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ONG_DAN" sheetId="1" r:id="rId5"/>
    <sheet state="hidden" name="CAI_DAT_EMAIL" sheetId="2" r:id="rId6"/>
    <sheet state="hidden" name="LOG_NHAP_LIEU" sheetId="3" r:id="rId7"/>
    <sheet state="visible" name="BOM" sheetId="4" r:id="rId8"/>
    <sheet state="visible" name="NHAP" sheetId="5" r:id="rId9"/>
    <sheet state="visible" name="TINH_TEC" sheetId="6" r:id="rId10"/>
    <sheet state="visible" name="TON_KHO" sheetId="7" r:id="rId11"/>
    <sheet state="hidden" name="&gt;&gt;" sheetId="8" r:id="rId12"/>
    <sheet state="visible" name="TIEU HAO DIESEL_1" sheetId="9" r:id="rId13"/>
    <sheet state="visible" name="TIEU HAO DIESEL_2" sheetId="10" r:id="rId14"/>
    <sheet state="hidden" name="TONG_HOP_TEC" sheetId="11" r:id="rId15"/>
    <sheet state="visible" name="TONG HOP TIEU HAO" sheetId="12" r:id="rId16"/>
    <sheet state="visible" name="DATA_GOC" sheetId="13" r:id="rId17"/>
    <sheet state="visible" name="DANH_MUC" sheetId="14" r:id="rId18"/>
    <sheet state="hidden" name="_TON_CAPACITY" sheetId="15" r:id="rId19"/>
    <sheet state="hidden" name="_DM_BOM_BOM" sheetId="16" r:id="rId20"/>
  </sheets>
  <definedNames>
    <definedName name="LIST_TEC_NGUON">DANH_MUC!$A$4:$A$14</definedName>
    <definedName name="LIST_KY_TINH">TINH_TEC!$A$6:$A$155</definedName>
    <definedName hidden="1" localSheetId="5" name="_xlnm._FilterDatabase">TINH_TEC!$A$5:$O$155</definedName>
    <definedName hidden="1" localSheetId="6" name="_xlnm._FilterDatabase">TON_KHO!$A$5:$M$12</definedName>
    <definedName hidden="1" localSheetId="12" name="_xlnm._FilterDatabase">DATA_GOC!$A$3:$R$5997</definedName>
  </definedNames>
  <calcPr/>
</workbook>
</file>

<file path=xl/sharedStrings.xml><?xml version="1.0" encoding="utf-8"?>
<sst xmlns="http://schemas.openxmlformats.org/spreadsheetml/2006/main" count="11801" uniqueCount="607">
  <si>
    <t>HƯỚNG DẪN SỬ DỤNG</t>
  </si>
  <si>
    <t>Đọc trước khi sử dụng — Mật khẩu sheet khóa: 1111</t>
  </si>
  <si>
    <t>Nhóm sheet</t>
  </si>
  <si>
    <t>Cách sử dụng</t>
  </si>
  <si>
    <t>Mật khẩu sheet khóa</t>
  </si>
  <si>
    <t>1111</t>
  </si>
  <si>
    <t>Sheet</t>
  </si>
  <si>
    <t>Ai dùng chính</t>
  </si>
  <si>
    <t>Mục đích</t>
  </si>
  <si>
    <t>Có được sửa trực tiếp?</t>
  </si>
  <si>
    <t>Chú thích</t>
  </si>
  <si>
    <t>Ô được phép nhập liệu</t>
  </si>
  <si>
    <t>BOM</t>
  </si>
  <si>
    <t>Thủ kho</t>
  </si>
  <si>
    <t>Nhập dữ liệu bơm/xuất dầu cho xe: số phiếu, biển số, téc/nguồn, loại giao dịch, số lít, KM cũ/mới.</t>
  </si>
  <si>
    <t>Có</t>
  </si>
  <si>
    <t>NHAP</t>
  </si>
  <si>
    <t>Thủ kho/Kế toán kho</t>
  </si>
  <si>
    <t>Nhập dữ liệu mỗi lần công ty mua/nhập dầu về téc: NCC, téc nhận dầu, loại dầu, số lít, đơn giá.</t>
  </si>
  <si>
    <t>TON_KHO</t>
  </si>
  <si>
    <t>Xem tồn kho theo ngày. Logic: Tồn = Tồn đầu + Nhập - Xuất - Tịnh âm + Tịnh dương.</t>
  </si>
  <si>
    <t>Chỉ nhập/cập nhật Tồn đầu theo số đo thực tế; không sửa công thức nhập/xuất/tịnh/tồn sau tịnh.</t>
  </si>
  <si>
    <t>TONG_HOP_XE</t>
  </si>
  <si>
    <t>Kế toán</t>
  </si>
  <si>
    <t>Xem tiêu hao từng xe theo tháng theo layout quen thuộc: ngày 1-31, tổng, bơm ngoài, tịnh âm/dương, tổng tiêu hao, KM, L/100km.</t>
  </si>
  <si>
    <t>Chỉ chỉnh Tháng/Năm. Tịnh và KM/L100km đã tự kéo từ TINH_TEC/DATA_GOC; không nhập tay.</t>
  </si>
  <si>
    <t>EXPORT_KE_TOAN</t>
  </si>
  <si>
    <t>Trích xuất dữ liệu BOM/NHAP theo tháng để copy gửi kế toán. Chỉnh B3 = tháng, D3 = năm; dữ liệu tự cập nhật.</t>
  </si>
  <si>
    <t>Chỉ chỉnh B3/D3.</t>
  </si>
  <si>
    <t>DATA_GOC</t>
  </si>
  <si>
    <t>Quản trị file</t>
  </si>
  <si>
    <t>Database gốc lưu toàn bộ dữ liệu mọi thời điểm. Các sheet khác đều đọc từ đây.</t>
  </si>
  <si>
    <t>Không sửa trực tiếp; đang khóa mật khẩu 1111.</t>
  </si>
  <si>
    <t>DANH_MUC</t>
  </si>
  <si>
    <t>Danh sách: téc/nguồn, loại dầu, loại giao dịch, nhà cung cấp, biển số/thiết bị.</t>
  </si>
  <si>
    <t>Cập nhật khi phát sinh xe/NCC mới. Các sheet phân bổ/tổng hợp đọc từ danh mục này.</t>
  </si>
  <si>
    <t>TINH_TEC</t>
  </si>
  <si>
    <t>Nhập kỳ tịnh khi thủ kho báo téc hết: chọn téc, ngày bắt đầu, ngày hết, tồn đầu kỳ/thực tế. Sheet tự tính tịnh âm/dương và phân bổ cho từng xe.</t>
  </si>
  <si>
    <t>Sửa các ô nhập liệu màu xám; không sửa công thức.</t>
  </si>
  <si>
    <t>Bổ sung: Quy trình TINH_TEC</t>
  </si>
  <si>
    <t>Khi téc hết nhẵn, kế toán vào TINH_TEC, nhập kỳ tịnh ở bảng trên, chọn KyTinhID để kiểm tra dashboard, sau đó đổi trạng thái sang Đã chốt để số tịnh tự cộng sang TONG_HOP_TEC và TON_KHO.</t>
  </si>
  <si>
    <t>Cấu hình email báo cáo tồn kho</t>
  </si>
  <si>
    <t>Danh sách email nhận</t>
  </si>
  <si>
    <t>ahuyle.work@gmail.com, nguyenkhanh.tsm@gmail.com, thuannv.thiennhat@gmail.com</t>
  </si>
  <si>
    <t>Giờ gửi mỗi ngày</t>
  </si>
  <si>
    <t>Ghi chú</t>
  </si>
  <si>
    <t>Có thể nhập nhiều email, cách nhau bằng dấu phẩy hoặc chấm phẩy.</t>
  </si>
  <si>
    <t>Function test</t>
  </si>
  <si>
    <t>guiThuEmailTonKhoCuoiNgay</t>
  </si>
  <si>
    <t>Timestamp</t>
  </si>
  <si>
    <t>User</t>
  </si>
  <si>
    <t>Status</t>
  </si>
  <si>
    <t>LoaiDuLieu</t>
  </si>
  <si>
    <t>DATA_GOC_Row</t>
  </si>
  <si>
    <t>Ngay</t>
  </si>
  <si>
    <t>SoPhieu</t>
  </si>
  <si>
    <t>DoiTuong/NCC</t>
  </si>
  <si>
    <t>Tec_Nguon</t>
  </si>
  <si>
    <t>LoaiGiaoDich</t>
  </si>
  <si>
    <t>LoaiDau</t>
  </si>
  <si>
    <t>SoLit</t>
  </si>
  <si>
    <t>KMCu</t>
  </si>
  <si>
    <t>KMMoi</t>
  </si>
  <si>
    <t>KMDi</t>
  </si>
  <si>
    <t>DonGia</t>
  </si>
  <si>
    <t>ThanhTien</t>
  </si>
  <si>
    <t>GhiChu</t>
  </si>
  <si>
    <t>Message</t>
  </si>
  <si>
    <t>vriens.gpt@gmail.com</t>
  </si>
  <si>
    <t>SAVE_OK</t>
  </si>
  <si>
    <t>BOM: 1 dòng, DATA_GOC từ dòng 1439</t>
  </si>
  <si>
    <t>BOM: 1 dòng, DATA_GOC từ dòng 1440</t>
  </si>
  <si>
    <t>BOM: 1 dòng, DATA_GOC từ dòng 1441</t>
  </si>
  <si>
    <t>NHAP: 1 dòng, DATA_GOC từ dòng 1442</t>
  </si>
  <si>
    <t>lekhamuoi@gmail.com</t>
  </si>
  <si>
    <t>SAVE_ERROR</t>
  </si>
  <si>
    <t>BOM: Bạn đang cố gắng chỉnh sửa ô hoặc đối tượng được bảo vệ. Vui lòng liên hệ với chủ sở hữu bảng tính để tắt chế độ bảo vệ nếu bạn cần chỉnh sửa.</t>
  </si>
  <si>
    <t>19H09482</t>
  </si>
  <si>
    <t>Téc 1</t>
  </si>
  <si>
    <t>Xuất nội bộ từ téc</t>
  </si>
  <si>
    <t>DO 0.05S</t>
  </si>
  <si>
    <t>BOM: đã lưu 1 dòng vào DATA_GOC</t>
  </si>
  <si>
    <t>28C02986</t>
  </si>
  <si>
    <t>Téc 3</t>
  </si>
  <si>
    <t>28C00462</t>
  </si>
  <si>
    <t>bơm máy lai</t>
  </si>
  <si>
    <t>28C05739</t>
  </si>
  <si>
    <t>28C03652</t>
  </si>
  <si>
    <t>28H00680</t>
  </si>
  <si>
    <t>28C02770</t>
  </si>
  <si>
    <t>BOM: BOM dòng 6: thiếu téc/nguồn.</t>
  </si>
  <si>
    <t>28A30696</t>
  </si>
  <si>
    <t>28C03385</t>
  </si>
  <si>
    <t>Dầu thủy lực</t>
  </si>
  <si>
    <t>Bổ sung bót lái</t>
  </si>
  <si>
    <t>Bơm tạm đủ chạy đi sửa xe</t>
  </si>
  <si>
    <t>28H00003</t>
  </si>
  <si>
    <t>28C05345</t>
  </si>
  <si>
    <t>28H00061</t>
  </si>
  <si>
    <t>28C01622</t>
  </si>
  <si>
    <t>28C06447</t>
  </si>
  <si>
    <t>28H00603</t>
  </si>
  <si>
    <t>28C04576</t>
  </si>
  <si>
    <t>Xúclật855H</t>
  </si>
  <si>
    <t>29E17410</t>
  </si>
  <si>
    <t>28C02973</t>
  </si>
  <si>
    <t>Cát nghiền</t>
  </si>
  <si>
    <t>Dầu cầu</t>
  </si>
  <si>
    <t>bổ sung máy nghiền</t>
  </si>
  <si>
    <t>Máy lu lốp</t>
  </si>
  <si>
    <t>Dầu động cơ</t>
  </si>
  <si>
    <t>Máy rải thảm</t>
  </si>
  <si>
    <t>28H00354</t>
  </si>
  <si>
    <t>28C06369</t>
  </si>
  <si>
    <t>28C03261</t>
  </si>
  <si>
    <t>28C01406</t>
  </si>
  <si>
    <t>28H01070</t>
  </si>
  <si>
    <t>Xúclật855N</t>
  </si>
  <si>
    <t>28C01647</t>
  </si>
  <si>
    <t>28H01364</t>
  </si>
  <si>
    <t>Bơm máy lái</t>
  </si>
  <si>
    <t>29E17417</t>
  </si>
  <si>
    <t>29E17269</t>
  </si>
  <si>
    <t>28H00669</t>
  </si>
  <si>
    <t>Bơm máy lai</t>
  </si>
  <si>
    <t>Bổ sung máy lai</t>
  </si>
  <si>
    <t>28C02574</t>
  </si>
  <si>
    <t>Công trình Asphalt</t>
  </si>
  <si>
    <t>cty trung thành</t>
  </si>
  <si>
    <t>29E17273</t>
  </si>
  <si>
    <t>28C02545</t>
  </si>
  <si>
    <t>km hỏng</t>
  </si>
  <si>
    <t>29E17539</t>
  </si>
  <si>
    <t>Xúc Đào</t>
  </si>
  <si>
    <t>bổ sung</t>
  </si>
  <si>
    <t>28C01544</t>
  </si>
  <si>
    <t>28C04509</t>
  </si>
  <si>
    <t>cty macma</t>
  </si>
  <si>
    <t>28H00609</t>
  </si>
  <si>
    <t>bồ sung  bìnhdầu ben</t>
  </si>
  <si>
    <t>Quang Cường</t>
  </si>
  <si>
    <t>Téc 2</t>
  </si>
  <si>
    <t>Nhập vào kho/téc</t>
  </si>
  <si>
    <t>Xuân cương</t>
  </si>
  <si>
    <t>NHAP: đã lưu 1 dòng vào DATA_GOC</t>
  </si>
  <si>
    <t>28C03323</t>
  </si>
  <si>
    <t>Xe 600148</t>
  </si>
  <si>
    <t>bơm tạm đi cơi</t>
  </si>
  <si>
    <t>29E18160</t>
  </si>
  <si>
    <t>Bơm ngoài/Hải Tân</t>
  </si>
  <si>
    <t>Bơm ngoài</t>
  </si>
  <si>
    <t>KM hỏng</t>
  </si>
  <si>
    <t>bổ sung máy</t>
  </si>
  <si>
    <t>28C01731</t>
  </si>
  <si>
    <t>28C01165</t>
  </si>
  <si>
    <t>A vinh thạch thất</t>
  </si>
  <si>
    <t>thay dầu định kỳ</t>
  </si>
  <si>
    <t>bổ sung máy lai</t>
  </si>
  <si>
    <t>28C03695</t>
  </si>
  <si>
    <t>28C02410</t>
  </si>
  <si>
    <t>bổ sung bót lái</t>
  </si>
  <si>
    <t>28C01743</t>
  </si>
  <si>
    <t>LG53F</t>
  </si>
  <si>
    <t>Téc cát nghiền</t>
  </si>
  <si>
    <t>28C05090</t>
  </si>
  <si>
    <t>hỏng giờ</t>
  </si>
  <si>
    <t>28C03044</t>
  </si>
  <si>
    <t>Xe ben mới</t>
  </si>
  <si>
    <t>Bơm ngoài/Cây 25</t>
  </si>
  <si>
    <t>cty xuân cương</t>
  </si>
  <si>
    <t>BOM — Nhập liệu bơm dầu</t>
  </si>
  <si>
    <t>Ngày</t>
  </si>
  <si>
    <t>① Điền thông tin bên dưới</t>
  </si>
  <si>
    <t>→  Điền xong nhấn chọn Lưu Bơm</t>
  </si>
  <si>
    <t>#</t>
  </si>
  <si>
    <t>Số phiếu</t>
  </si>
  <si>
    <t>Biển số / Phương tiện</t>
  </si>
  <si>
    <t>Téc / Nguồn</t>
  </si>
  <si>
    <t>Loại giao dịch</t>
  </si>
  <si>
    <t>Loại dầu</t>
  </si>
  <si>
    <t>Số lít</t>
  </si>
  <si>
    <t>KM cũ</t>
  </si>
  <si>
    <t>KM mới</t>
  </si>
  <si>
    <t>KM đi</t>
  </si>
  <si>
    <t>KM mới lần bơm gần nhất</t>
  </si>
  <si>
    <t>NHAP — Nhập dầu vào kho / téc</t>
  </si>
  <si>
    <t>→  Điền xong nhấn Lưu Nhập</t>
  </si>
  <si>
    <t>Số phiếu/HĐ</t>
  </si>
  <si>
    <t>Nhà cung cấp</t>
  </si>
  <si>
    <t>Téc nhận dầu</t>
  </si>
  <si>
    <t>Số lít nhập</t>
  </si>
  <si>
    <t>Đơn giá (đ/L)</t>
  </si>
  <si>
    <t>Thành tiền</t>
  </si>
  <si>
    <t>TỊNH TÉC — Chốt tịnh âm / tịnh dương</t>
  </si>
  <si>
    <t>Số xe đang phân bổ</t>
  </si>
  <si>
    <t>Tồn sổ (J) = Tồn đầu F + Nhập H − Xuất I     |     Tịnh âm (K) = MAX(0, J − G thực tế)     |     Tịnh dương (L) = MAX(0, G − J)</t>
  </si>
  <si>
    <t>Dropdown R5 đã được chuẩn hóa bằng named range LIST_KY_TINH; Cột C dùng LIST_TEC_NGUON.</t>
  </si>
  <si>
    <t>Capacity kỳ tịnh: 150; capacity xe: 60</t>
  </si>
  <si>
    <t>2) DASHBOARD TỊNH ĐANG XEM</t>
  </si>
  <si>
    <t>Kỳ ID</t>
  </si>
  <si>
    <t>Trạng thái</t>
  </si>
  <si>
    <t>Téc</t>
  </si>
  <si>
    <t>Ngày bắt đầu</t>
  </si>
  <si>
    <t>Ngày chốt/hết</t>
  </si>
  <si>
    <t>Tồn đầu còn sót
(tự nhập)</t>
  </si>
  <si>
    <t>Tồn thực tế
← KT kho nhập</t>
  </si>
  <si>
    <t>Nhập kỳ
(tự tính)</t>
  </si>
  <si>
    <t>Xuất ĐH
(tự tính)</t>
  </si>
  <si>
    <t>Tồn sổ
(tự tính)</t>
  </si>
  <si>
    <t>Tịnh âm
(tự tính)</t>
  </si>
  <si>
    <t>Tịnh dương
(tự tính)</t>
  </si>
  <si>
    <t>Tháng</t>
  </si>
  <si>
    <t>Năm</t>
  </si>
  <si>
    <t>Chọn KyTinhID</t>
  </si>
  <si>
    <t>Từ ngày</t>
  </si>
  <si>
    <t>Đến ngày</t>
  </si>
  <si>
    <t>Số ngày</t>
  </si>
  <si>
    <t>Đã chốt</t>
  </si>
  <si>
    <t>Tồn đầu/sót</t>
  </si>
  <si>
    <t>Nhập trong kỳ</t>
  </si>
  <si>
    <t>Xuất đồng hồ</t>
  </si>
  <si>
    <t>Tồn sổ trước chốt</t>
  </si>
  <si>
    <t>Tồn thực tế</t>
  </si>
  <si>
    <t>Tịnh âm tổng</t>
  </si>
  <si>
    <t>Tịnh dương tổng</t>
  </si>
  <si>
    <t>Xe / phương tiện</t>
  </si>
  <si>
    <t>Lít bơm kỳ</t>
  </si>
  <si>
    <t>Tỷ trọng</t>
  </si>
  <si>
    <t>Tịnh âm PB</t>
  </si>
  <si>
    <t>Tịnh dương PB</t>
  </si>
  <si>
    <t>Tiêu hao sau tịnh</t>
  </si>
  <si>
    <t>Các dòng tính kỹ thuật bên dưới đã được ẩn; không xóa vì các sheet tổng hợp đang dùng để cộng phân bổ tịnh.</t>
  </si>
  <si>
    <t>2) DASHBOARD KỲ ĐANG XEM - CHỌN MỘT KyTinhID ĐỂ KIỂM TRA</t>
  </si>
  <si>
    <t>3) CÁCH ĐỌC DASHBOARD</t>
  </si>
  <si>
    <t>Cảnh báo</t>
  </si>
  <si>
    <t>Bước 1</t>
  </si>
  <si>
    <t>Nhập kỳ tịnh ở bảng trên: KyTinhID, trạng thái, téc, ngày bắt đầu, ngày téc hết, tồn đầu/sót, tồn thực tế.</t>
  </si>
  <si>
    <t>Bước 2</t>
  </si>
  <si>
    <t>Kiểm tra bảng phân bổ bên dưới: tổng bơm kỳ, tỷ trọng, tịnh âm/dương phân bổ, tiêu hao sau tịnh.</t>
  </si>
  <si>
    <t>Bước 3</t>
  </si>
  <si>
    <t>Nếu dữ liệu đúng, đổi Trạng thái thành Đã chốt. Khi đó TONG_HOP_TEC, TONG_HOP_XE và TON_KHO mới cộng số tịnh.</t>
  </si>
  <si>
    <t>4) BẢNG PHÂN BỔ KỲ ĐANG CHỌN - GẦN GIỐNG TỔNG HỢP TÉC</t>
  </si>
  <si>
    <t>Tổng bơm kỳ</t>
  </si>
  <si>
    <t>KyTinhID</t>
  </si>
  <si>
    <t>D_bd</t>
  </si>
  <si>
    <t>D_kt</t>
  </si>
  <si>
    <t>Xe</t>
  </si>
  <si>
    <t>Lít trong kỳ</t>
  </si>
  <si>
    <t>Tổng sau tịnh</t>
  </si>
  <si>
    <t>TỒN KHO — Nhập xuất tồn theo tháng</t>
  </si>
  <si>
    <t>Bảng phân tích tiêu hao bình quân</t>
  </si>
  <si>
    <t>Tháng:</t>
  </si>
  <si>
    <t>Năm:</t>
  </si>
  <si>
    <t>← Đổi để xem tháng khác</t>
  </si>
  <si>
    <t>Đến ngày hôm nay</t>
  </si>
  <si>
    <t>Ngày dữ liệu</t>
  </si>
  <si>
    <t>Tháng/Năm</t>
  </si>
  <si>
    <t>Tồn cuối (H) = Tồn đầu (E) + Nhập (F) - Xuất (G) - Tịnh âm (K) + Tịnh dương (L)</t>
  </si>
  <si>
    <t>STT</t>
  </si>
  <si>
    <t>Mã vật tư</t>
  </si>
  <si>
    <t>Tên vật tư</t>
  </si>
  <si>
    <t>ĐVT</t>
  </si>
  <si>
    <t>SL tồn đầu</t>
  </si>
  <si>
    <t>SL nhập</t>
  </si>
  <si>
    <t>SL xuất</t>
  </si>
  <si>
    <t>SL tồn cuối</t>
  </si>
  <si>
    <t>% đầy</t>
  </si>
  <si>
    <t>Ghi chú / QC</t>
  </si>
  <si>
    <t>Tịnh âm</t>
  </si>
  <si>
    <t>Tịnh dương</t>
  </si>
  <si>
    <t>Tiêu hao bình quân/ngày dùng để dự báo</t>
  </si>
  <si>
    <t>L/ngày</t>
  </si>
  <si>
    <t>Tồn diesel tổng</t>
  </si>
  <si>
    <t>L</t>
  </si>
  <si>
    <t>DIEZEN-T1</t>
  </si>
  <si>
    <t>Dầu Diesel téc 1</t>
  </si>
  <si>
    <t>Lít</t>
  </si>
  <si>
    <t>Số ngày cần chờ nhà cung cấp</t>
  </si>
  <si>
    <t>ngày</t>
  </si>
  <si>
    <t>Số ngày tồn còn lại</t>
  </si>
  <si>
    <t>DIEZEN-T2</t>
  </si>
  <si>
    <t>Dầu Diesel téc 2</t>
  </si>
  <si>
    <t>Rủi ro</t>
  </si>
  <si>
    <t>Mức tồn tối thiểu</t>
  </si>
  <si>
    <t>DIEZEL-T3</t>
  </si>
  <si>
    <t>Dầu Diesel téc 3</t>
  </si>
  <si>
    <t>Mức tồn tối thiểu cần dự trữ</t>
  </si>
  <si>
    <t>Reorder point</t>
  </si>
  <si>
    <t>CAT NGHIEN</t>
  </si>
  <si>
    <t>Dầu Diesel téc cát nghiền</t>
  </si>
  <si>
    <t>Khoảng cách tới ROP</t>
  </si>
  <si>
    <t>DONGCO</t>
  </si>
  <si>
    <t>Khuyến nghị</t>
  </si>
  <si>
    <t>THUYLUC</t>
  </si>
  <si>
    <t>CÁC CHỈ SỐ THAM CHIẾU TỰ ĐỘNG</t>
  </si>
  <si>
    <t>DAUCAU</t>
  </si>
  <si>
    <t>Avg daily MTD từ xuất diesel</t>
  </si>
  <si>
    <t>DAUSO</t>
  </si>
  <si>
    <t>Dầu số</t>
  </si>
  <si>
    <t>Avg daily 7 ngày gần nhất</t>
  </si>
  <si>
    <t>Tổng cộng</t>
  </si>
  <si>
    <t>Công suất chứa diesel tham chiếu</t>
  </si>
  <si>
    <t>% đầy tổng diesel</t>
  </si>
  <si>
    <t>%</t>
  </si>
  <si>
    <t>TỔNG HỢP TIÊU HAO CUỐI THÁNG — Chốt theo xe / pháp nhân</t>
  </si>
  <si>
    <t>← Đổi tháng / năm để báo cáo tự cập nhật. Ô vàng = thủ kho nhập/chốt cuối tháng. Định mức bơm bom được parse từ file mẫu cuối tháng.</t>
  </si>
  <si>
    <t>Công ty Cổ phần ĐTXD và TM Thiên Nhật</t>
  </si>
  <si>
    <t>Stt</t>
  </si>
  <si>
    <t>Biển số xe</t>
  </si>
  <si>
    <t>Dầu tồn</t>
  </si>
  <si>
    <t>Phát sinh trong kỳ</t>
  </si>
  <si>
    <t>Số km — cross-check</t>
  </si>
  <si>
    <t>Chênh KM</t>
  </si>
  <si>
    <t>Tách bơm đầu / bơm bom</t>
  </si>
  <si>
    <t>Tỷ lệ tiêu hao</t>
  </si>
  <si>
    <t>So sánh tháng trước</t>
  </si>
  <si>
    <t>Đầu kỳ
(thủ kho nhập)</t>
  </si>
  <si>
    <t>Cuối kỳ
(thủ kho nhập)</t>
  </si>
  <si>
    <t>Tổng nhập /
tiêu hao sau tịnh</t>
  </si>
  <si>
    <t>KL tiêu hao
thực tế</t>
  </si>
  <si>
    <t>KM theo
phiếu bơm</t>
  </si>
  <si>
    <t>KM đầu tháng
(đồng hồ)</t>
  </si>
  <si>
    <t>KM cuối tháng
(đồng hồ)</t>
  </si>
  <si>
    <t>KM theo
đồng hồ</t>
  </si>
  <si>
    <t>Đồng hồ -
phiếu bơm</t>
  </si>
  <si>
    <t>Bơm bom</t>
  </si>
  <si>
    <t>Số chuyến
(thủ kho nhập)</t>
  </si>
  <si>
    <t>Định mức
bơm bom</t>
  </si>
  <si>
    <t>Bơm đầu xe</t>
  </si>
  <si>
    <t>Theo
phiếu bơm</t>
  </si>
  <si>
    <t>Theo
đồng hồ</t>
  </si>
  <si>
    <t>L/km
tháng này</t>
  </si>
  <si>
    <t>Thay đổi L/km
vs tháng trước</t>
  </si>
  <si>
    <t>28C04536</t>
  </si>
  <si>
    <t>28C02106</t>
  </si>
  <si>
    <t>s</t>
  </si>
  <si>
    <t>28C03927</t>
  </si>
  <si>
    <t>28C05661</t>
  </si>
  <si>
    <t>Máy phát điện</t>
  </si>
  <si>
    <t>Xúclật asphalt</t>
  </si>
  <si>
    <t>Tổng</t>
  </si>
  <si>
    <t>Công ty CP Lâm Hải Logistic</t>
  </si>
  <si>
    <t>Ghi chú vận hành: Nhập tồn đầu kỳ/cuối kỳ, KM đầu/cuối tháng và số chuyến bơm bom tại ô vàng. Cột KM theo phiếu bơm lấy từ nhập liệu hằng ngày của thủ kho; cột KM theo đồng hồ dùng để đối chiếu ảnh chụp đồng hồ xe cuối tháng.</t>
  </si>
  <si>
    <t>TỔNG HỢP XE — Tất cả téc gộp chung</t>
  </si>
  <si>
    <t>← Đổi tháng / năm, bảng tự cập nhật</t>
  </si>
  <si>
    <t>Phương tiện</t>
  </si>
  <si>
    <t>Bơm
ngoài</t>
  </si>
  <si>
    <t>Tịnh
dương</t>
  </si>
  <si>
    <t>Tịnh
âm</t>
  </si>
  <si>
    <t>Tiêu hao
sau tịnh</t>
  </si>
  <si>
    <t>KM</t>
  </si>
  <si>
    <t>L/100km</t>
  </si>
  <si>
    <t>Biển số/Thiết bị</t>
  </si>
  <si>
    <t>Lít từ téc sau tịnh</t>
  </si>
  <si>
    <t>Lít bơm ngoài</t>
  </si>
  <si>
    <t>Tổng lít theo KT</t>
  </si>
  <si>
    <t>Téc 3 sau tịnh</t>
  </si>
  <si>
    <t>Téc 1+2</t>
  </si>
  <si>
    <t>Ghi chú nguồn</t>
  </si>
  <si>
    <t>Téc 3 | Tổng cộng téc 3 t1 | dòng 5</t>
  </si>
  <si>
    <t>Téc 3 | Tổng cộng téc 3 t1 | dòng 7</t>
  </si>
  <si>
    <t>Téc 3 | Tổng cộng téc 3 t1 | dòng 8</t>
  </si>
  <si>
    <t>Téc 3 | Tổng cộng téc 3 t1 | dòng 9</t>
  </si>
  <si>
    <t>Téc 3 | Tổng cộng téc 3 t1 | dòng 10</t>
  </si>
  <si>
    <t>Téc 3 | Tổng cộng téc 3 t1 | dòng 11</t>
  </si>
  <si>
    <t>Téc 3 | Tổng cộng téc 3 t1 | dòng 12</t>
  </si>
  <si>
    <t>Téc 3 | Tổng cộng téc 3 t1 | dòng 13</t>
  </si>
  <si>
    <t>Téc 3 | Tổng cộng téc 3 t1 | dòng 14</t>
  </si>
  <si>
    <t>Téc 3 | Tổng cộng téc 3 t1 | dòng 15</t>
  </si>
  <si>
    <t>Téc 3 | Tổng cộng téc 3 t1 | dòng 16</t>
  </si>
  <si>
    <t>Téc 3 | Tổng cộng téc 3 t1 | dòng 17</t>
  </si>
  <si>
    <t>Téc 3 | Tổng cộng téc 3 t1 | dòng 18</t>
  </si>
  <si>
    <t>Téc 3 | Tổng cộng téc 3 t1 | dòng 19</t>
  </si>
  <si>
    <t>Téc 3 | Tổng cộng téc 3 t1 | dòng 20</t>
  </si>
  <si>
    <t>Téc 3 | Tổng cộng téc 3 t1 | dòng 21</t>
  </si>
  <si>
    <t>Téc 3 | Tổng cộng téc 3 t1 | dòng 22</t>
  </si>
  <si>
    <t>Téc 3 | Tổng cộng téc 3 t1 | dòng 23</t>
  </si>
  <si>
    <t>Téc 3 | Tổng cộng téc 3 t1 | dòng 24</t>
  </si>
  <si>
    <t>Téc 3 | Tổng cộng téc 3 t1 | dòng 25</t>
  </si>
  <si>
    <t>Téc 3 | Tổng cộng téc 3 t1 | dòng 26</t>
  </si>
  <si>
    <t>Téc 3 | Tổng cộng téc 3 t1 | dòng 28</t>
  </si>
  <si>
    <t>Téc 3 | Tổng cộng téc 3 t1 | dòng 29</t>
  </si>
  <si>
    <t>Téc 3 | Tổng cộng téc 3 t1 | dòng 30</t>
  </si>
  <si>
    <t>Téc 3 | Tổng cộng téc 3 t1 | dòng 31</t>
  </si>
  <si>
    <t>Công trình asphalt</t>
  </si>
  <si>
    <t>Téc 3 | Tổng cộng téc 3 t1 | dòng 33</t>
  </si>
  <si>
    <t>Téc 3 | Tổng cộng téc 3 t1 | dòng 42</t>
  </si>
  <si>
    <t>Téc 3 | Tổng cộng téc 3 t1 | dòng 43</t>
  </si>
  <si>
    <t>Téc 3 | Tổng cộng téc 3 t1 | dòng 45</t>
  </si>
  <si>
    <t>Téc 3 | Tổng cộng téc 3 t1 | dòng 46</t>
  </si>
  <si>
    <t>Téc 3 | Tổng cộng téc 3 t1 | dòng 47</t>
  </si>
  <si>
    <t>Téc 3 | Tổng cộng téc 3 t1 | dòng 48</t>
  </si>
  <si>
    <t>Téc 3 | Tổng cộng téc 3 t1 | dòng 49</t>
  </si>
  <si>
    <t>Téc 3 | Tổng cộng téc 3 t1 | dòng 50</t>
  </si>
  <si>
    <t>Téc 3 | Tổng cộng téc 3 t1 | dòng 51</t>
  </si>
  <si>
    <t>Téc 3 | Tổng cộng téc 3 t1 | dòng 52</t>
  </si>
  <si>
    <t>Téc 3 | Tổng cộng téc 3 t1 | dòng 53</t>
  </si>
  <si>
    <t>Téc 3 | Tổng cộng téc 3 t1 | dòng 54</t>
  </si>
  <si>
    <t>Téc 3 | Tổng cộng téc 3 t1 | dòng 55</t>
  </si>
  <si>
    <t>Téc 3 | Tổng cộng téc 3 t2 | dòng 65</t>
  </si>
  <si>
    <t>Téc 3 | Tổng cộng téc 3 t2 | dòng 67</t>
  </si>
  <si>
    <t>Téc 3 | Tổng cộng téc 3 t2 | dòng 68</t>
  </si>
  <si>
    <t>Téc 3 | Tổng cộng téc 3 t2 | dòng 69</t>
  </si>
  <si>
    <t>Téc 3 | Tổng cộng téc 3 t2 | dòng 70</t>
  </si>
  <si>
    <t>Téc 3 | Tổng cộng téc 3 t2 | dòng 71</t>
  </si>
  <si>
    <t>Téc 3 | Tổng cộng téc 3 t2 | dòng 72</t>
  </si>
  <si>
    <t>Téc 3 | Tổng cộng téc 3 t2 | dòng 73</t>
  </si>
  <si>
    <t>Téc 3 | Tổng cộng téc 3 t2 | dòng 74</t>
  </si>
  <si>
    <t>Téc 3 | Tổng cộng téc 3 t2 | dòng 75</t>
  </si>
  <si>
    <t>Téc 3 | Tổng cộng téc 3 t2 | dòng 76</t>
  </si>
  <si>
    <t>Téc 3 | Tổng cộng téc 3 t2 | dòng 77</t>
  </si>
  <si>
    <t>Téc 3 | Tổng cộng téc 3 t2 | dòng 78</t>
  </si>
  <si>
    <t>Téc 3 | Tổng cộng téc 3 t2 | dòng 79</t>
  </si>
  <si>
    <t>Téc 3 | Tổng cộng téc 3 t2 | dòng 80</t>
  </si>
  <si>
    <t>Téc 3 | Tổng cộng téc 3 t2 | dòng 81</t>
  </si>
  <si>
    <t>Téc 3 | Tổng cộng téc 3 t2 | dòng 82</t>
  </si>
  <si>
    <t>Téc 3 | Tổng cộng téc 3 t2 | dòng 83</t>
  </si>
  <si>
    <t>Téc 3 | Tổng cộng téc 3 t2 | dòng 84</t>
  </si>
  <si>
    <t>Téc 3 | Tổng cộng téc 3 t2 | dòng 85</t>
  </si>
  <si>
    <t>Téc 3 | Tổng cộng téc 3 t2 | dòng 86</t>
  </si>
  <si>
    <t>Téc 3 | Tổng cộng téc 3 t2 | dòng 88</t>
  </si>
  <si>
    <t>Téc 3 | Tổng cộng téc 3 t2 | dòng 89</t>
  </si>
  <si>
    <t>Téc 3 | Tổng cộng téc 3 t2 | dòng 90</t>
  </si>
  <si>
    <t>Téc 3 | Tổng cộng téc 3 t2 | dòng 91</t>
  </si>
  <si>
    <t>Téc 3 | Tổng cộng téc 3 t2 | dòng 92</t>
  </si>
  <si>
    <t>Téc 3 | Tổng cộng téc 3 t2 | dòng 93</t>
  </si>
  <si>
    <t>Téc 3 | Tổng cộng téc 3 t2 | dòng 102</t>
  </si>
  <si>
    <t>Téc 3 | Tổng cộng téc 3 t2 | dòng 103</t>
  </si>
  <si>
    <t>Téc 3 | Tổng cộng téc 3 t2 | dòng 105</t>
  </si>
  <si>
    <t>Téc 3 | Tổng cộng téc 3 t2 | dòng 106</t>
  </si>
  <si>
    <t>Téc 3 | Tổng cộng téc 3 t2 | dòng 107</t>
  </si>
  <si>
    <t>Téc 3 | Tổng cộng téc 3 t2 | dòng 108</t>
  </si>
  <si>
    <t>Téc 3 | Tổng cộng téc 3 t2 | dòng 109</t>
  </si>
  <si>
    <t>Téc 3 | Tổng cộng téc 3 t2 | dòng 110</t>
  </si>
  <si>
    <t>Téc 3 | Tổng cộng téc 3 t2 | dòng 111</t>
  </si>
  <si>
    <t>Téc 3 | Tổng cộng téc 3 t2 | dòng 112</t>
  </si>
  <si>
    <t>Téc 3 | Tổng cộng téc 3 t2 | dòng 113</t>
  </si>
  <si>
    <t>Téc 3 | Tổng cộng téc 3 t2 | dòng 114</t>
  </si>
  <si>
    <t>Téc 3 | Tổng cộng téc 3 t2 | dòng 115</t>
  </si>
  <si>
    <t>Téc 3 | Tổng cộng téc 3 t2 | dòng 116</t>
  </si>
  <si>
    <t>Téc 3 | Tổng cộng téc 3 t3 | dòng 125</t>
  </si>
  <si>
    <t>Téc 3 | Tổng cộng téc 3 t3 | dòng 127</t>
  </si>
  <si>
    <t>Téc 3 | Tổng cộng téc 3 t3 | dòng 128</t>
  </si>
  <si>
    <t>Téc 3 | Tổng cộng téc 3 t3 | dòng 129</t>
  </si>
  <si>
    <t>Téc 3 | Tổng cộng téc 3 t3 | dòng 130</t>
  </si>
  <si>
    <t>Téc 3 | Tổng cộng téc 3 t3 | dòng 131</t>
  </si>
  <si>
    <t>Téc 3 | Tổng cộng téc 3 t3 | dòng 133</t>
  </si>
  <si>
    <t>Téc 3 | Tổng cộng téc 3 t3 | dòng 134</t>
  </si>
  <si>
    <t>Téc 3 | Tổng cộng téc 3 t3 | dòng 135</t>
  </si>
  <si>
    <t>Téc 3 | Tổng cộng téc 3 t3 | dòng 136</t>
  </si>
  <si>
    <t>Téc 3 | Tổng cộng téc 3 t3 | dòng 137</t>
  </si>
  <si>
    <t>Téc 3 | Tổng cộng téc 3 t3 | dòng 138</t>
  </si>
  <si>
    <t>Téc 3 | Tổng cộng téc 3 t3 | dòng 139</t>
  </si>
  <si>
    <t>Téc 3 | Tổng cộng téc 3 t3 | dòng 140</t>
  </si>
  <si>
    <t>Téc 3 | Tổng cộng téc 3 t3 | dòng 141</t>
  </si>
  <si>
    <t>Téc 3 | Tổng cộng téc 3 t3 | dòng 142</t>
  </si>
  <si>
    <t>Téc 3 | Tổng cộng téc 3 t3 | dòng 143</t>
  </si>
  <si>
    <t>Téc 3 | Tổng cộng téc 3 t3 | dòng 144</t>
  </si>
  <si>
    <t>Téc 3 | Tổng cộng téc 3 t3 | dòng 145</t>
  </si>
  <si>
    <t>Téc 3 | Tổng cộng téc 3 t3 | dòng 146</t>
  </si>
  <si>
    <t>Téc 3 | Tổng cộng téc 3 t3 | dòng 147</t>
  </si>
  <si>
    <t>Téc 3 | Tổng cộng téc 3 t3 | dòng 148</t>
  </si>
  <si>
    <t>Téc 3 | Tổng cộng téc 3 t3 | dòng 149</t>
  </si>
  <si>
    <t>Téc 3 | Tổng cộng téc 3 t3 | dòng 150</t>
  </si>
  <si>
    <t>Téc 3 | Tổng cộng téc 3 t3 | dòng 151</t>
  </si>
  <si>
    <t>Téc 3 | Tổng cộng téc 3 t3 | dòng 153</t>
  </si>
  <si>
    <t>Téc 3 | Tổng cộng téc 3 t3 | dòng 154</t>
  </si>
  <si>
    <t>Téc 3 | Tổng cộng téc 3 t3 | dòng 155</t>
  </si>
  <si>
    <t>Téc 3 | Tổng cộng téc 3 t3 | dòng 156</t>
  </si>
  <si>
    <t>Téc 3 | Tổng cộng téc 3 t3 | dòng 160</t>
  </si>
  <si>
    <t>Téc 3 | Tổng cộng téc 3 t3 | dòng 161</t>
  </si>
  <si>
    <t>Téc 3 | Tổng cộng téc 3 t3 | dòng 162</t>
  </si>
  <si>
    <t>Téc 3 | Tổng cộng téc 3 t3 | dòng 163</t>
  </si>
  <si>
    <t>Téc 3 | Tổng cộng téc 3 t3 | dòng 165</t>
  </si>
  <si>
    <t>Téc 3 | Tổng cộng téc 3 t3 | dòng 166</t>
  </si>
  <si>
    <t>Téc 3 | Tổng cộng téc 3 t3 | dòng 167</t>
  </si>
  <si>
    <t>Téc 3 | Tổng cộng téc 3 t3 | dòng 168</t>
  </si>
  <si>
    <t>Téc 3 | Tổng cộng téc 3 t3 | dòng 169</t>
  </si>
  <si>
    <t>Téc 3 | Tổng cộng téc 3 t3 | dòng 170</t>
  </si>
  <si>
    <t>Téc 3 | Tổng cộng téc 3 t3 | dòng 171</t>
  </si>
  <si>
    <t>Téc 3 | Tổng cộng téc 3 t3 | dòng 172</t>
  </si>
  <si>
    <t>Téc 3 | Tổng cộng téc 3 t3 | dòng 173</t>
  </si>
  <si>
    <t>Téc 3 | Tổng cộng téc 3 t3 | dòng 174</t>
  </si>
  <si>
    <t>Téc 3 | Tổng cộng téc 3 t3 | dòng 175</t>
  </si>
  <si>
    <t>Téc 3 | Tổng cộng téc 3 t4 | dòng 185</t>
  </si>
  <si>
    <t>Téc 3 | Tổng cộng téc 3 t4 | dòng 186</t>
  </si>
  <si>
    <t>Téc 3 | Tổng cộng téc 3 t4 | dòng 187</t>
  </si>
  <si>
    <t>Téc 3 | Tổng cộng téc 3 t4 | dòng 188</t>
  </si>
  <si>
    <t>Téc 3 | Tổng cộng téc 3 t4 | dòng 189</t>
  </si>
  <si>
    <t>Téc 3 | Tổng cộng téc 3 t4 | dòng 190</t>
  </si>
  <si>
    <t>Téc 3 | Tổng cộng téc 3 t4 | dòng 191</t>
  </si>
  <si>
    <t>Téc 3 | Tổng cộng téc 3 t4 | dòng 193</t>
  </si>
  <si>
    <t>Téc 3 | Tổng cộng téc 3 t4 | dòng 194</t>
  </si>
  <si>
    <t>Téc 3 | Tổng cộng téc 3 t4 | dòng 195</t>
  </si>
  <si>
    <t>Téc 3 | Tổng cộng téc 3 t4 | dòng 196</t>
  </si>
  <si>
    <t>Téc 3 | Tổng cộng téc 3 t4 | dòng 197</t>
  </si>
  <si>
    <t>Téc 3 | Tổng cộng téc 3 t4 | dòng 198</t>
  </si>
  <si>
    <t>Téc 3 | Tổng cộng téc 3 t4 | dòng 199</t>
  </si>
  <si>
    <t>Téc 3 | Tổng cộng téc 3 t4 | dòng 200</t>
  </si>
  <si>
    <t>Téc 3 | Tổng cộng téc 3 t4 | dòng 201</t>
  </si>
  <si>
    <t>Téc 3 | Tổng cộng téc 3 t4 | dòng 202</t>
  </si>
  <si>
    <t>Téc 3 | Tổng cộng téc 3 t4 | dòng 203</t>
  </si>
  <si>
    <t>Téc 3 | Tổng cộng téc 3 t4 | dòng 204</t>
  </si>
  <si>
    <t>Téc 3 | Tổng cộng téc 3 t4 | dòng 205</t>
  </si>
  <si>
    <t>Téc 3 | Tổng cộng téc 3 t4 | dòng 206</t>
  </si>
  <si>
    <t>Téc 3 | Tổng cộng téc 3 t4 | dòng 207</t>
  </si>
  <si>
    <t>Téc 3 | Tổng cộng téc 3 t4 | dòng 208</t>
  </si>
  <si>
    <t>Téc 3 | Tổng cộng téc 3 t4 | dòng 209</t>
  </si>
  <si>
    <t>Téc 3 | Tổng cộng téc 3 t4 | dòng 210</t>
  </si>
  <si>
    <t>Téc 3 | Tổng cộng téc 3 t4 | dòng 211</t>
  </si>
  <si>
    <t>Téc 3 | Tổng cộng téc 3 t4 | dòng 213</t>
  </si>
  <si>
    <t>Téc 3 | Tổng cộng téc 3 t4 | dòng 214</t>
  </si>
  <si>
    <t>Téc 3 | Tổng cộng téc 3 t4 | dòng 215</t>
  </si>
  <si>
    <t>Téc 3 | Tổng cộng téc 3 t4 | dòng 216</t>
  </si>
  <si>
    <t>Téc 3 | Tổng cộng téc 3 t4 | dòng 217</t>
  </si>
  <si>
    <t>Téc 3 | Tổng cộng téc 3 t4 | dòng 218</t>
  </si>
  <si>
    <t>Téc 3 | Tổng cộng téc 3 t4 | dòng 219</t>
  </si>
  <si>
    <t>Téc 3 | Tổng cộng téc 3 t4 | dòng 220</t>
  </si>
  <si>
    <t>Téc 3 | Tổng cộng téc 3 t4 | dòng 221</t>
  </si>
  <si>
    <t>Téc 3 | Tổng cộng téc 3 t4 | dòng 222</t>
  </si>
  <si>
    <t>Téc 3 | Tổng cộng téc 3 t4 | dòng 223</t>
  </si>
  <si>
    <t>Téc 3 | Tổng cộng téc 3 t4 | dòng 224</t>
  </si>
  <si>
    <t>Téc 3 | Tổng cộng téc 3 t4 | dòng 225</t>
  </si>
  <si>
    <t>Téc 3 | Tổng cộng téc 3 t4 | dòng 226</t>
  </si>
  <si>
    <t>Téc 3 | Tổng cộng téc 3 t4 | dòng 227</t>
  </si>
  <si>
    <t>Téc 3 | Tổng cộng téc 3 t4 | dòng 228</t>
  </si>
  <si>
    <t>Téc 3 | Tổng cộng téc 3 t4 | dòng 229</t>
  </si>
  <si>
    <t>Téc 3 | Tổng cộng téc 3 t4 | dòng 230</t>
  </si>
  <si>
    <t>Téc 3 | Tổng cộng téc 3 t4 | dòng 231</t>
  </si>
  <si>
    <t>Téc 3 | Tổng cộng téc 3 t4 | dòng 232</t>
  </si>
  <si>
    <t>Téc 3 | Tổng cộng téc 3 t4 | dòng 233</t>
  </si>
  <si>
    <t>Téc 3 | Tổng cộng téc 3 t4 | dòng 234</t>
  </si>
  <si>
    <t>Téc 3 | Tổng cộng téc 3 t4 | dòng 235</t>
  </si>
  <si>
    <t>Téc 3 | Tổng cộng téc 3 t4 | dòng 236</t>
  </si>
  <si>
    <t>TỔNG HỢP TÉC — Phân tách theo từng téc</t>
  </si>
  <si>
    <t>Tên xe / Phương tiện</t>
  </si>
  <si>
    <t>Tịnh dầu dương</t>
  </si>
  <si>
    <t>Tịnh dầu âm</t>
  </si>
  <si>
    <t>Tổng tiêu hao sau tịnh</t>
  </si>
  <si>
    <t xml:space="preserve">  Téc 1</t>
  </si>
  <si>
    <t>Tổng — Téc 1</t>
  </si>
  <si>
    <t xml:space="preserve">  Téc 2</t>
  </si>
  <si>
    <t>Tổng — Téc 2</t>
  </si>
  <si>
    <t xml:space="preserve">  Téc 3</t>
  </si>
  <si>
    <t>Tổng — Téc 3</t>
  </si>
  <si>
    <t xml:space="preserve">  Téc cát nghiền</t>
  </si>
  <si>
    <t>Tổng — Téc cát nghiền</t>
  </si>
  <si>
    <t xml:space="preserve">  Dầu động cơ</t>
  </si>
  <si>
    <t>Tổng — Dầu động cơ</t>
  </si>
  <si>
    <t xml:space="preserve">  Dầu thủy lực</t>
  </si>
  <si>
    <t>Tổng — Dầu thủy lực</t>
  </si>
  <si>
    <t xml:space="preserve">  Dầu cầu</t>
  </si>
  <si>
    <t>Tổng — Dầu cầu</t>
  </si>
  <si>
    <t xml:space="preserve">  Dầu số</t>
  </si>
  <si>
    <t>Tổng — Dầu số</t>
  </si>
  <si>
    <t>TH — Tổng hợp tiêu hao theo xe / loại dầu</t>
  </si>
  <si>
    <t>← Đổi tháng / năm để lọc dữ liệu từ DATA_GOC</t>
  </si>
  <si>
    <t>Tổng diesel</t>
  </si>
  <si>
    <t>Tổng dầu khác</t>
  </si>
  <si>
    <t/>
  </si>
  <si>
    <t>DATA_GOC — Database gốc (không sửa trực tiếp)</t>
  </si>
  <si>
    <t>Không sửa trực tiếp. Dữ liệu được đẩy từ BOM + NHAP qua nút CẬP NHẬT.</t>
  </si>
  <si>
    <t>DoiTuong</t>
  </si>
  <si>
    <t>NhaCungCap</t>
  </si>
  <si>
    <t>_Không dùng</t>
  </si>
  <si>
    <t>Nhap dau</t>
  </si>
  <si>
    <t>Tổng T1 - không có ngày cụ thể</t>
  </si>
  <si>
    <t>Tổng T2 - không có ngày cụ thể</t>
  </si>
  <si>
    <t>Tổng T3 - không có ngày cụ thể</t>
  </si>
  <si>
    <t>Tổng T4 - không có ngày cụ thể</t>
  </si>
  <si>
    <t>Km hỏng</t>
  </si>
  <si>
    <t>km hỏng thay dầu định kỳ</t>
  </si>
  <si>
    <t>Bổ sung</t>
  </si>
  <si>
    <t xml:space="preserve">Cty CP xăng dầu Tự Lực 1 </t>
  </si>
  <si>
    <t>Thủ Đô</t>
  </si>
  <si>
    <t>Bảo dưỡng xe</t>
  </si>
  <si>
    <t>Cty Thăng Long</t>
  </si>
  <si>
    <t>Bơm phuy</t>
  </si>
  <si>
    <t>Cty thăng long</t>
  </si>
  <si>
    <t>cty Hòa phú</t>
  </si>
  <si>
    <t>Cty Delta</t>
  </si>
  <si>
    <t>Cty Hòa phú</t>
  </si>
  <si>
    <t>Cty Hòa phú Cầu lão</t>
  </si>
  <si>
    <t>Bổ sung quay chum</t>
  </si>
  <si>
    <t>Cty Hòa Phú Xà kiều</t>
  </si>
  <si>
    <t>bơm phuy</t>
  </si>
  <si>
    <t>Thay định kỳ hợp số</t>
  </si>
  <si>
    <t>28h00603</t>
  </si>
  <si>
    <t>DANH MỤC — Dropdown lists</t>
  </si>
  <si>
    <t>Chỉ kế toán/admin chỉnh sửa. Thủ kho KHÔNG chỉnh sửa sheet này.</t>
  </si>
  <si>
    <t>Biển số / Thiết bị</t>
  </si>
  <si>
    <t>Cty CP TMDV Hồng Quân (dầu)</t>
  </si>
  <si>
    <t>DO</t>
  </si>
  <si>
    <t>Công ty TNHH Xây Dựng và Cơ Khí Xuân Cương</t>
  </si>
  <si>
    <t>Hải Tân</t>
  </si>
  <si>
    <t>Cây 25</t>
  </si>
  <si>
    <t>Cây 25 TP</t>
  </si>
  <si>
    <t>Hồng Quân</t>
  </si>
  <si>
    <t>Bơm ngoài/NCC khác</t>
  </si>
  <si>
    <t>Xuân Cương</t>
  </si>
  <si>
    <t>NCC khác</t>
  </si>
  <si>
    <t>Téc / Loại dầu</t>
  </si>
  <si>
    <t>Dung tích / sức chứa tham chiếu</t>
  </si>
  <si>
    <t>Định mức bơm bom</t>
  </si>
  <si>
    <t>Ctr apphan</t>
  </si>
  <si>
    <t>Công trình apphan</t>
  </si>
  <si>
    <t>Xúc đào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</si>
</sst>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/d/yyyy h:mm:ss"/>
    <numFmt numFmtId="165" formatCode="dd/mm/yyyy hh:mm:ss"/>
    <numFmt numFmtId="166" formatCode="dd/mm/yyyy"/>
    <numFmt numFmtId="167" formatCode="#,##0.0"/>
    <numFmt numFmtId="168" formatCode="#,##0.##"/>
    <numFmt numFmtId="169" formatCode="m/d/yyyy"/>
    <numFmt numFmtId="170" formatCode="m/d/yyyy\ h:mm"/>
    <numFmt numFmtId="171" formatCode="D/M/YYYY"/>
    <numFmt numFmtId="172" formatCode="0.0%"/>
    <numFmt numFmtId="173" formatCode="#,##0.000"/>
    <numFmt numFmtId="174" formatCode="dd/mm"/>
    <numFmt numFmtId="175" formatCode="_(* #,##0.00_);_(* \(#,##0.00\);_(* &quot;-&quot;??_);_(@_)"/>
    <numFmt numFmtId="176" formatCode="#,##0;\-#,##0;&quot;-&quot;"/>
    <numFmt numFmtId="177" formatCode="#,##0.0;\-#,##0.0;&quot;-&quot;"/>
    <numFmt numFmtId="178" formatCode="#,##0.###"/>
    <numFmt numFmtId="179" formatCode="dd/mm/yyyy hh:mm"/>
  </numFmts>
  <fonts count="68">
    <font>
      <sz val="11.0"/>
      <color theme="1"/>
      <name val="Calibri"/>
      <scheme val="minor"/>
    </font>
    <font>
      <b/>
      <sz val="11.0"/>
      <color rgb="FFFFFFFF"/>
      <name val="Calibri"/>
    </font>
    <font/>
    <font>
      <i/>
      <sz val="8.0"/>
      <color rgb="FFAEAEB2"/>
      <name val="Calibri"/>
    </font>
    <font>
      <sz val="11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</font>
    <font>
      <sz val="11.0"/>
      <color theme="0"/>
      <name val="Calibri"/>
    </font>
    <font>
      <b/>
      <sz val="14.0"/>
      <color rgb="FF1C1C1E"/>
      <name val="Calibri"/>
    </font>
    <font>
      <sz val="11.0"/>
      <color rgb="FF8D8D8F"/>
      <name val="Calibri"/>
    </font>
    <font>
      <b/>
      <sz val="10.0"/>
      <color rgb="FFFFFFFF"/>
      <name val="Calibri"/>
    </font>
    <font>
      <i/>
      <sz val="8.0"/>
      <color rgb="FF8E8E93"/>
      <name val="Calibri"/>
    </font>
    <font>
      <sz val="9.0"/>
      <color rgb="FF8D8D8F"/>
      <name val="Calibri"/>
    </font>
    <font>
      <sz val="10.0"/>
      <color rgb="FF1C1C1E"/>
      <name val="Calibri"/>
    </font>
    <font>
      <i/>
      <sz val="9.0"/>
      <color rgb="FF8D8D8F"/>
      <name val="Calibri"/>
    </font>
    <font>
      <sz val="9.0"/>
      <color rgb="FF1C1C1E"/>
      <name val="Calibri"/>
    </font>
    <font>
      <color theme="1"/>
      <name val="Calibri"/>
    </font>
    <font>
      <sz val="7.0"/>
      <color rgb="FF8E8E93"/>
      <name val="Arial"/>
    </font>
    <font>
      <b/>
      <sz val="11.0"/>
      <color theme="0"/>
      <name val="Calibri"/>
    </font>
    <font>
      <i/>
      <sz val="8.0"/>
      <color rgb="FF8D8D8F"/>
      <name val="Calibri"/>
    </font>
    <font>
      <i/>
      <sz val="11.0"/>
      <color rgb="FF666666"/>
      <name val="Cambria"/>
    </font>
    <font>
      <b/>
      <sz val="12.0"/>
      <color rgb="FFFFFFFF"/>
      <name val="Calibri"/>
    </font>
    <font>
      <b/>
      <sz val="9.0"/>
      <color rgb="FFFFFFFF"/>
      <name val="Calibri"/>
    </font>
    <font>
      <b/>
      <sz val="10.0"/>
      <color theme="0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b/>
      <sz val="10.0"/>
      <color rgb="FF1C1C1E"/>
      <name val="Calibri"/>
    </font>
    <font>
      <sz val="10.0"/>
      <color rgb="FF000000"/>
      <name val="Calibri"/>
    </font>
    <font>
      <b/>
      <sz val="11.0"/>
      <color rgb="FF000000"/>
      <name val="Calibri"/>
    </font>
    <font>
      <i/>
      <sz val="10.0"/>
      <color rgb="FF000000"/>
      <name val="Calibri"/>
    </font>
    <font>
      <i/>
      <sz val="9.0"/>
      <color rgb="FF666666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6.0"/>
      <color rgb="FF007AFF"/>
      <name val="Calibri"/>
    </font>
    <font>
      <sz val="12.0"/>
      <color rgb="FF8D8D8F"/>
      <name val="Calibri"/>
    </font>
    <font>
      <i/>
      <sz val="10.0"/>
      <color rgb="FF8D8D8F"/>
      <name val="Calibri"/>
    </font>
    <font>
      <i/>
      <sz val="12.0"/>
      <color rgb="FF8D8D8F"/>
      <name val="Calibri"/>
    </font>
    <font>
      <b/>
      <sz val="11.0"/>
      <color rgb="FF007AFF"/>
      <name val="Calibri"/>
    </font>
    <font>
      <sz val="10.0"/>
      <color rgb="FF007AFF"/>
      <name val="Calibri"/>
    </font>
    <font>
      <b/>
      <sz val="11.0"/>
      <color rgb="FF1C1C1E"/>
      <name val="Calibri"/>
    </font>
    <font>
      <b/>
      <sz val="13.0"/>
      <color rgb="FFFFFFFF"/>
      <name val="Calibri"/>
    </font>
    <font>
      <b/>
      <sz val="18.0"/>
      <color rgb="FF007AFF"/>
      <name val="Calibri"/>
    </font>
    <font>
      <i/>
      <sz val="12.0"/>
      <color rgb="FF8E8E93"/>
      <name val="Calibri"/>
    </font>
    <font>
      <i/>
      <sz val="11.0"/>
      <color rgb="FF1F4E79"/>
      <name val="Calibri"/>
    </font>
    <font>
      <sz val="14.0"/>
      <color rgb="FF8D8D8F"/>
      <name val="Calibri"/>
    </font>
    <font>
      <sz val="14.0"/>
      <color rgb="FF1C1C1E"/>
      <name val="Calibri"/>
    </font>
    <font>
      <b/>
      <sz val="14.0"/>
      <color theme="4"/>
      <name val="Calibri"/>
    </font>
    <font>
      <b/>
      <sz val="14.0"/>
      <color rgb="FF007AFF"/>
      <name val="Calibri"/>
    </font>
    <font>
      <i/>
      <sz val="14.0"/>
      <color rgb="FF8E8E93"/>
      <name val="Calibri"/>
    </font>
    <font>
      <b/>
      <sz val="11.0"/>
      <color rgb="FFFFFFFF"/>
      <name val="Arial"/>
    </font>
    <font>
      <b/>
      <sz val="9.0"/>
      <color rgb="FF8D8D8F"/>
      <name val="Calibri"/>
    </font>
    <font>
      <sz val="8.0"/>
      <color rgb="FF8E8E93"/>
      <name val="Arial"/>
    </font>
    <font>
      <sz val="11.0"/>
      <color rgb="FF1C1C1E"/>
      <name val="Arial"/>
    </font>
    <font>
      <sz val="11.0"/>
      <color rgb="FF1C1C1E"/>
      <name val="Calibri"/>
    </font>
    <font>
      <b/>
      <sz val="11.0"/>
      <color theme="4"/>
      <name val="Calibri"/>
    </font>
    <font>
      <b/>
      <sz val="11.0"/>
      <color rgb="FF1C1C1E"/>
      <name val="Arial"/>
    </font>
    <font>
      <b/>
      <sz val="11.0"/>
      <color rgb="FF1A5276"/>
      <name val="Arial"/>
    </font>
    <font>
      <b/>
      <sz val="11.0"/>
      <color rgb="FF1E8449"/>
      <name val="Arial"/>
    </font>
    <font>
      <b/>
      <sz val="10.0"/>
      <color rgb="FFFFFFFF"/>
      <name val="Arial"/>
    </font>
    <font>
      <sz val="9.0"/>
      <color rgb="FF1C1C1E"/>
      <name val="Arial"/>
    </font>
    <font>
      <b/>
      <sz val="9.0"/>
      <color rgb="FF1A5276"/>
      <name val="Arial"/>
    </font>
    <font>
      <b/>
      <sz val="9.0"/>
      <color rgb="FF1C1C1E"/>
      <name val="Arial"/>
    </font>
    <font>
      <b/>
      <sz val="9.0"/>
      <color rgb="FF1E8449"/>
      <name val="Arial"/>
    </font>
    <font>
      <b/>
      <sz val="11.0"/>
      <color rgb="FFFFFFFF"/>
      <name val="Cambria"/>
    </font>
  </fonts>
  <fills count="38">
    <fill>
      <patternFill patternType="none"/>
    </fill>
    <fill>
      <patternFill patternType="lightGray"/>
    </fill>
    <fill>
      <patternFill patternType="solid">
        <fgColor rgb="FF1C1C1E"/>
        <bgColor rgb="FF1C1C1E"/>
      </patternFill>
    </fill>
    <fill>
      <patternFill patternType="solid">
        <fgColor rgb="FF2C2C2E"/>
        <bgColor rgb="FF2C2C2E"/>
      </patternFill>
    </fill>
    <fill>
      <patternFill patternType="solid">
        <fgColor rgb="FF548235"/>
        <bgColor rgb="FF548235"/>
      </patternFill>
    </fill>
    <fill>
      <patternFill patternType="solid">
        <fgColor rgb="FFFAFAFA"/>
        <bgColor rgb="FFFAFAFA"/>
      </patternFill>
    </fill>
    <fill>
      <patternFill patternType="solid">
        <fgColor rgb="FF000000"/>
        <bgColor rgb="FF000000"/>
      </patternFill>
    </fill>
    <fill>
      <patternFill patternType="solid">
        <fgColor rgb="FFFAFFA7"/>
        <bgColor rgb="FFFAFFA7"/>
      </patternFill>
    </fill>
    <fill>
      <patternFill patternType="solid">
        <fgColor rgb="FFF7F7F7"/>
        <bgColor rgb="FFF7F7F7"/>
      </patternFill>
    </fill>
    <fill>
      <patternFill patternType="solid">
        <fgColor rgb="FFC45713"/>
        <bgColor rgb="FFC45713"/>
      </patternFill>
    </fill>
    <fill>
      <patternFill patternType="solid">
        <fgColor rgb="FFFFFFFF"/>
        <bgColor rgb="FFFFFFFF"/>
      </patternFill>
    </fill>
    <fill>
      <patternFill patternType="solid">
        <fgColor rgb="FF5856D6"/>
        <bgColor rgb="FF5856D6"/>
      </patternFill>
    </fill>
    <fill>
      <patternFill patternType="solid">
        <fgColor rgb="FFF5F5F7"/>
        <bgColor rgb="FFF5F5F7"/>
      </patternFill>
    </fill>
    <fill>
      <patternFill patternType="solid">
        <fgColor rgb="FFE5E5EA"/>
        <bgColor rgb="FFE5E5EA"/>
      </patternFill>
    </fill>
    <fill>
      <patternFill patternType="solid">
        <fgColor rgb="FFF5F5F5"/>
        <bgColor rgb="FFF5F5F5"/>
      </patternFill>
    </fill>
    <fill>
      <patternFill patternType="solid">
        <fgColor rgb="FF1F4E78"/>
        <bgColor rgb="FF1F4E78"/>
      </patternFill>
    </fill>
    <fill>
      <patternFill patternType="solid">
        <fgColor rgb="FF007AFF"/>
        <bgColor rgb="FF007AFF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1F4E79"/>
        <bgColor rgb="FF1F4E79"/>
      </patternFill>
    </fill>
    <fill>
      <patternFill patternType="solid">
        <fgColor rgb="FFEDEDED"/>
        <bgColor rgb="FFEDEDED"/>
      </patternFill>
    </fill>
    <fill>
      <patternFill patternType="solid">
        <fgColor rgb="FF595959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  <fill>
      <patternFill patternType="solid">
        <fgColor rgb="FFD9EAF7"/>
        <bgColor rgb="FFD9EAF7"/>
      </patternFill>
    </fill>
    <fill>
      <patternFill patternType="solid">
        <fgColor rgb="FFC6D9F0"/>
        <bgColor rgb="FFC6D9F0"/>
      </patternFill>
    </fill>
    <fill>
      <patternFill patternType="solid">
        <fgColor rgb="FF1A3A4A"/>
        <bgColor rgb="FF1A3A4A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rgb="FFD5EEF8"/>
        <bgColor rgb="FFD5EEF8"/>
      </patternFill>
    </fill>
    <fill>
      <patternFill patternType="solid">
        <fgColor rgb="FFD5F5E3"/>
        <bgColor rgb="FFD5F5E3"/>
      </patternFill>
    </fill>
    <fill>
      <patternFill patternType="solid">
        <fgColor rgb="FF157F49"/>
        <bgColor rgb="FF157F49"/>
      </patternFill>
    </fill>
    <fill>
      <patternFill patternType="solid">
        <fgColor rgb="FF1A5276"/>
        <bgColor rgb="FF1A5276"/>
      </patternFill>
    </fill>
    <fill>
      <patternFill patternType="solid">
        <fgColor rgb="FFEAF4FB"/>
        <bgColor rgb="FFEAF4FB"/>
      </patternFill>
    </fill>
    <fill>
      <patternFill patternType="solid">
        <fgColor theme="4"/>
        <bgColor theme="4"/>
      </patternFill>
    </fill>
    <fill>
      <patternFill patternType="solid">
        <fgColor rgb="FF0A84FF"/>
        <bgColor rgb="FF0A84FF"/>
      </patternFill>
    </fill>
    <fill>
      <patternFill patternType="solid">
        <fgColor rgb="FF44546A"/>
        <bgColor rgb="FF44546A"/>
      </patternFill>
    </fill>
  </fills>
  <borders count="52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/>
      <right/>
      <top/>
      <bottom style="medium">
        <color rgb="FF007AFF"/>
      </bottom>
    </border>
    <border>
      <left/>
      <right/>
      <top/>
      <bottom style="thin">
        <color rgb="FFE5E5EA"/>
      </bottom>
    </border>
    <border>
      <left/>
      <right/>
      <top/>
      <bottom style="thin">
        <color rgb="FF3A3A3C"/>
      </bottom>
    </border>
    <border>
      <left/>
      <right/>
      <top/>
      <bottom style="thin">
        <color rgb="FF007AFF"/>
      </bottom>
    </border>
    <border>
      <right style="thin">
        <color rgb="FFD9D9D9"/>
      </right>
      <top/>
      <bottom/>
    </border>
    <border>
      <left/>
      <right/>
      <top/>
      <bottom style="thin">
        <color rgb="FF0055CC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BDE0FF"/>
      </left>
      <right style="thin">
        <color rgb="FFBDE0FF"/>
      </right>
      <top/>
      <bottom style="thin">
        <color rgb="FF007AF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</border>
    <border>
      <top/>
    </border>
    <border>
      <right/>
      <top/>
    </border>
    <border>
      <left/>
      <top/>
      <bottom style="thin">
        <color rgb="FF3A3A3C"/>
      </bottom>
    </border>
    <border>
      <top/>
      <bottom style="thin">
        <color rgb="FF3A3A3C"/>
      </bottom>
    </border>
    <border>
      <right/>
      <top/>
      <bottom style="thin">
        <color rgb="FF3A3A3C"/>
      </bottom>
    </border>
    <border>
      <left/>
      <bottom/>
    </border>
    <border>
      <bottom/>
    </border>
    <border>
      <right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medium">
        <color rgb="FF000000"/>
      </top>
    </border>
    <border>
      <left style="thin">
        <color rgb="FFB7B7B7"/>
      </left>
      <top style="medium">
        <color rgb="FF000000"/>
      </top>
      <bottom style="thin">
        <color theme="0"/>
      </bottom>
    </border>
    <border>
      <right style="thin">
        <color rgb="FFB7B7B7"/>
      </right>
      <top style="medium">
        <color rgb="FF000000"/>
      </top>
      <bottom style="thin">
        <color theme="0"/>
      </bottom>
    </border>
    <border>
      <top style="medium">
        <color rgb="FF000000"/>
      </top>
      <bottom style="thin">
        <color theme="0"/>
      </bottom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theme="0"/>
      </bottom>
    </border>
    <border>
      <left style="thin">
        <color rgb="FFB7B7B7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B7B7B7"/>
      </left>
      <right style="thin">
        <color rgb="FFB7B7B7"/>
      </right>
      <bottom style="medium">
        <color rgb="FF000000"/>
      </bottom>
    </border>
    <border>
      <left style="thin">
        <color rgb="FFB7B7B7"/>
      </left>
      <right style="thin">
        <color rgb="FFB7B7B7"/>
      </right>
      <top/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medium">
        <color rgb="FF000000"/>
      </top>
      <bottom style="medium">
        <color rgb="FF000000"/>
      </bottom>
    </border>
    <border>
      <right style="thin">
        <color rgb="FFB7B7B7"/>
      </right>
      <top style="medium">
        <color rgb="FF00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theme="0"/>
      </top>
      <bottom style="medium">
        <color rgb="FF000000"/>
      </bottom>
    </border>
    <border>
      <left style="thin">
        <color rgb="FFB7B7B7"/>
      </left>
      <right style="thin">
        <color theme="0"/>
      </right>
      <top style="thin">
        <color theme="0"/>
      </top>
      <bottom style="medium">
        <color rgb="FF000000"/>
      </bottom>
    </border>
    <border>
      <left/>
      <right style="thin">
        <color rgb="FFB7B7B7"/>
      </right>
      <top style="thin">
        <color theme="0"/>
      </top>
      <bottom style="medium">
        <color rgb="FF000000"/>
      </bottom>
    </border>
    <border>
      <left style="thin">
        <color rgb="FFB7B7B7"/>
      </left>
      <right style="thin">
        <color rgb="FFB7B7B7"/>
      </right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top/>
      <bottom style="thin">
        <color rgb="FFE5E5EA"/>
      </bottom>
    </border>
    <border>
      <top/>
      <bottom style="thin">
        <color rgb="FFE5E5EA"/>
      </bottom>
    </border>
    <border>
      <right/>
      <top/>
      <bottom style="thin">
        <color rgb="FFE5E5EA"/>
      </bottom>
    </border>
    <border>
      <left style="thin">
        <color rgb="FFE5E5EA"/>
      </left>
      <right style="thin">
        <color rgb="FFE5E5EA"/>
      </right>
      <top style="thin">
        <color rgb="FFE5E5EA"/>
      </top>
      <bottom style="thin">
        <color rgb="FFE5E5EA"/>
      </bottom>
    </border>
    <border>
      <left style="thin">
        <color rgb="FFD9D9D9"/>
      </left>
      <right style="thin">
        <color rgb="FFD9D9D9"/>
      </right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0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5" fillId="7" fontId="4" numFmtId="0" xfId="0" applyBorder="1" applyFill="1" applyFont="1"/>
    <xf borderId="0" fillId="0" fontId="5" numFmtId="0" xfId="0" applyAlignment="1" applyFont="1">
      <alignment horizontal="left" vertical="center"/>
    </xf>
    <xf borderId="4" fillId="8" fontId="6" numFmtId="0" xfId="0" applyAlignment="1" applyBorder="1" applyFill="1" applyFont="1">
      <alignment horizontal="left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shrinkToFit="0" vertical="top" wrapText="1"/>
    </xf>
    <xf borderId="5" fillId="9" fontId="1" numFmtId="0" xfId="0" applyBorder="1" applyFill="1" applyFont="1"/>
    <xf borderId="0" fillId="0" fontId="4" numFmtId="0" xfId="0" applyAlignment="1" applyFont="1">
      <alignment shrinkToFit="0" vertical="top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Font="1"/>
    <xf borderId="0" fillId="0" fontId="9" numFmtId="164" xfId="0" applyAlignment="1" applyFont="1" applyNumberFormat="1">
      <alignment readingOrder="0"/>
    </xf>
    <xf borderId="0" fillId="0" fontId="9" numFmtId="165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1" fillId="2" fontId="10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5" fillId="6" fontId="11" numFmtId="0" xfId="0" applyAlignment="1" applyBorder="1" applyFont="1">
      <alignment horizontal="right" vertical="center"/>
    </xf>
    <xf borderId="6" fillId="7" fontId="12" numFmtId="166" xfId="0" applyAlignment="1" applyBorder="1" applyFont="1" applyNumberFormat="1">
      <alignment horizontal="center" readingOrder="0" vertical="center"/>
    </xf>
    <xf borderId="5" fillId="10" fontId="13" numFmtId="0" xfId="0" applyAlignment="1" applyBorder="1" applyFill="1" applyFont="1">
      <alignment horizontal="left" vertical="center"/>
    </xf>
    <xf borderId="5" fillId="10" fontId="13" numFmtId="0" xfId="0" applyAlignment="1" applyBorder="1" applyFont="1">
      <alignment horizontal="left" readingOrder="0" vertical="center"/>
    </xf>
    <xf borderId="5" fillId="10" fontId="4" numFmtId="0" xfId="0" applyBorder="1" applyFont="1"/>
    <xf borderId="5" fillId="11" fontId="14" numFmtId="0" xfId="0" applyAlignment="1" applyBorder="1" applyFill="1" applyFont="1">
      <alignment horizontal="center" vertical="center"/>
    </xf>
    <xf borderId="7" fillId="10" fontId="4" numFmtId="0" xfId="0" applyBorder="1" applyFont="1"/>
    <xf borderId="7" fillId="10" fontId="15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7" fillId="10" fontId="16" numFmtId="0" xfId="0" applyAlignment="1" applyBorder="1" applyFont="1">
      <alignment horizontal="center" vertical="center"/>
    </xf>
    <xf borderId="7" fillId="10" fontId="17" numFmtId="0" xfId="0" applyAlignment="1" applyBorder="1" applyFont="1">
      <alignment horizontal="left" vertical="center"/>
    </xf>
    <xf borderId="9" fillId="7" fontId="17" numFmtId="0" xfId="0" applyAlignment="1" applyBorder="1" applyFont="1">
      <alignment horizontal="left" readingOrder="0" vertical="center"/>
    </xf>
    <xf borderId="9" fillId="7" fontId="17" numFmtId="0" xfId="0" applyAlignment="1" applyBorder="1" applyFont="1">
      <alignment horizontal="right" readingOrder="0" vertical="center"/>
    </xf>
    <xf borderId="7" fillId="7" fontId="17" numFmtId="0" xfId="0" applyAlignment="1" applyBorder="1" applyFont="1">
      <alignment horizontal="right" readingOrder="0" vertical="center"/>
    </xf>
    <xf borderId="7" fillId="12" fontId="18" numFmtId="167" xfId="0" applyAlignment="1" applyBorder="1" applyFill="1" applyFont="1" applyNumberFormat="1">
      <alignment horizontal="right" vertical="center"/>
    </xf>
    <xf borderId="7" fillId="7" fontId="19" numFmtId="0" xfId="0" applyAlignment="1" applyBorder="1" applyFont="1">
      <alignment horizontal="left" readingOrder="0" vertical="center"/>
    </xf>
    <xf borderId="5" fillId="13" fontId="4" numFmtId="3" xfId="0" applyBorder="1" applyFill="1" applyFont="1" applyNumberFormat="1"/>
    <xf borderId="0" fillId="0" fontId="20" numFmtId="0" xfId="0" applyFont="1"/>
    <xf borderId="9" fillId="7" fontId="17" numFmtId="168" xfId="0" applyAlignment="1" applyBorder="1" applyFont="1" applyNumberFormat="1">
      <alignment horizontal="right" readingOrder="0" vertical="center"/>
    </xf>
    <xf borderId="0" fillId="0" fontId="4" numFmtId="169" xfId="0" applyFont="1" applyNumberFormat="1"/>
    <xf borderId="0" fillId="0" fontId="4" numFmtId="11" xfId="0" applyFont="1" applyNumberFormat="1"/>
    <xf borderId="0" fillId="0" fontId="4" numFmtId="170" xfId="0" applyFont="1" applyNumberFormat="1"/>
    <xf borderId="7" fillId="10" fontId="17" numFmtId="0" xfId="0" applyAlignment="1" applyBorder="1" applyFont="1">
      <alignment horizontal="left" readingOrder="0" vertical="center"/>
    </xf>
    <xf borderId="7" fillId="7" fontId="19" numFmtId="0" xfId="0" applyAlignment="1" applyBorder="1" applyFont="1">
      <alignment horizontal="left" vertical="center"/>
    </xf>
    <xf borderId="7" fillId="7" fontId="17" numFmtId="0" xfId="0" applyAlignment="1" applyBorder="1" applyFont="1">
      <alignment horizontal="right" vertical="center"/>
    </xf>
    <xf borderId="9" fillId="7" fontId="17" numFmtId="0" xfId="0" applyAlignment="1" applyBorder="1" applyFont="1">
      <alignment horizontal="left" vertical="center"/>
    </xf>
    <xf borderId="9" fillId="7" fontId="17" numFmtId="168" xfId="0" applyAlignment="1" applyBorder="1" applyFont="1" applyNumberFormat="1">
      <alignment horizontal="right" vertical="center"/>
    </xf>
    <xf borderId="5" fillId="14" fontId="21" numFmtId="0" xfId="0" applyBorder="1" applyFill="1" applyFont="1"/>
    <xf borderId="5" fillId="6" fontId="22" numFmtId="0" xfId="0" applyAlignment="1" applyBorder="1" applyFont="1">
      <alignment horizontal="right" vertical="center"/>
    </xf>
    <xf borderId="7" fillId="12" fontId="18" numFmtId="3" xfId="0" applyAlignment="1" applyBorder="1" applyFont="1" applyNumberFormat="1">
      <alignment horizontal="right" vertical="center"/>
    </xf>
    <xf borderId="0" fillId="0" fontId="4" numFmtId="171" xfId="0" applyFont="1" applyNumberFormat="1"/>
    <xf borderId="0" fillId="0" fontId="4" numFmtId="22" xfId="0" applyFont="1" applyNumberFormat="1"/>
    <xf borderId="10" fillId="0" fontId="2" numFmtId="0" xfId="0" applyBorder="1" applyFont="1"/>
    <xf borderId="0" fillId="0" fontId="9" numFmtId="0" xfId="0" applyFont="1"/>
    <xf borderId="1" fillId="10" fontId="23" numFmtId="0" xfId="0" applyAlignment="1" applyBorder="1" applyFont="1">
      <alignment horizontal="left" vertical="center"/>
    </xf>
    <xf borderId="0" fillId="0" fontId="6" numFmtId="0" xfId="0" applyFont="1"/>
    <xf borderId="0" fillId="0" fontId="24" numFmtId="0" xfId="0" applyAlignment="1" applyFont="1">
      <alignment shrinkToFit="0" wrapText="1"/>
    </xf>
    <xf borderId="1" fillId="13" fontId="15" numFmtId="0" xfId="0" applyAlignment="1" applyBorder="1" applyFont="1">
      <alignment vertical="center"/>
    </xf>
    <xf borderId="4" fillId="15" fontId="25" numFmtId="0" xfId="0" applyAlignment="1" applyBorder="1" applyFill="1" applyFont="1">
      <alignment horizontal="left" shrinkToFit="0" vertical="center" wrapText="1"/>
    </xf>
    <xf borderId="8" fillId="2" fontId="26" numFmtId="0" xfId="0" applyAlignment="1" applyBorder="1" applyFont="1">
      <alignment horizontal="center" shrinkToFit="0" vertical="center" wrapText="1"/>
    </xf>
    <xf borderId="11" fillId="16" fontId="26" numFmtId="0" xfId="0" applyAlignment="1" applyBorder="1" applyFill="1" applyFont="1">
      <alignment horizontal="center" shrinkToFit="0" vertical="center" wrapText="1"/>
    </xf>
    <xf borderId="4" fillId="6" fontId="27" numFmtId="0" xfId="0" applyAlignment="1" applyBorder="1" applyFont="1">
      <alignment horizontal="center" shrinkToFit="0" vertical="center" wrapText="1"/>
    </xf>
    <xf borderId="4" fillId="10" fontId="28" numFmtId="0" xfId="0" applyAlignment="1" applyBorder="1" applyFont="1">
      <alignment horizontal="center" shrinkToFit="0" vertical="center" wrapText="1"/>
    </xf>
    <xf borderId="4" fillId="10" fontId="28" numFmtId="169" xfId="0" applyAlignment="1" applyBorder="1" applyFont="1" applyNumberFormat="1">
      <alignment horizontal="center" shrinkToFit="0" vertical="center" wrapText="1"/>
    </xf>
    <xf borderId="12" fillId="10" fontId="28" numFmtId="0" xfId="0" applyAlignment="1" applyBorder="1" applyFont="1">
      <alignment horizontal="center" shrinkToFit="0" vertical="center" wrapText="1"/>
    </xf>
    <xf borderId="5" fillId="10" fontId="29" numFmtId="0" xfId="0" applyAlignment="1" applyBorder="1" applyFont="1">
      <alignment horizontal="center" shrinkToFit="0" vertical="center" wrapText="1"/>
    </xf>
    <xf borderId="1" fillId="10" fontId="29" numFmtId="0" xfId="0" applyAlignment="1" applyBorder="1" applyFont="1">
      <alignment horizontal="left" shrinkToFit="0" vertical="center" wrapText="1"/>
    </xf>
    <xf borderId="7" fillId="7" fontId="17" numFmtId="169" xfId="0" applyAlignment="1" applyBorder="1" applyFont="1" applyNumberFormat="1">
      <alignment horizontal="center" vertical="center"/>
    </xf>
    <xf borderId="7" fillId="7" fontId="18" numFmtId="167" xfId="0" applyAlignment="1" applyBorder="1" applyFont="1" applyNumberFormat="1">
      <alignment horizontal="right" vertical="center"/>
    </xf>
    <xf borderId="13" fillId="10" fontId="30" numFmtId="167" xfId="0" applyAlignment="1" applyBorder="1" applyFont="1" applyNumberFormat="1">
      <alignment horizontal="right" vertical="center"/>
    </xf>
    <xf borderId="7" fillId="10" fontId="17" numFmtId="3" xfId="0" applyAlignment="1" applyBorder="1" applyFont="1" applyNumberFormat="1">
      <alignment horizontal="center" vertical="center"/>
    </xf>
    <xf borderId="7" fillId="10" fontId="16" numFmtId="0" xfId="0" applyAlignment="1" applyBorder="1" applyFont="1">
      <alignment horizontal="left" shrinkToFit="0" vertical="center" wrapText="1"/>
    </xf>
    <xf borderId="0" fillId="0" fontId="31" numFmtId="0" xfId="0" applyAlignment="1" applyFont="1">
      <alignment vertical="center"/>
    </xf>
    <xf borderId="14" fillId="15" fontId="2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4" fillId="10" fontId="32" numFmtId="167" xfId="0" applyAlignment="1" applyBorder="1" applyFont="1" applyNumberFormat="1">
      <alignment horizontal="center" shrinkToFit="0" vertical="center" wrapText="1"/>
    </xf>
    <xf borderId="4" fillId="17" fontId="29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4" fillId="5" fontId="31" numFmtId="0" xfId="0" applyAlignment="1" applyBorder="1" applyFont="1">
      <alignment horizontal="center" vertical="center"/>
    </xf>
    <xf borderId="4" fillId="5" fontId="31" numFmtId="0" xfId="0" applyAlignment="1" applyBorder="1" applyFont="1">
      <alignment horizontal="left" vertical="center"/>
    </xf>
    <xf borderId="4" fillId="5" fontId="31" numFmtId="167" xfId="0" applyAlignment="1" applyBorder="1" applyFont="1" applyNumberFormat="1">
      <alignment horizontal="center" vertical="center"/>
    </xf>
    <xf borderId="4" fillId="5" fontId="31" numFmtId="172" xfId="0" applyAlignment="1" applyBorder="1" applyFont="1" applyNumberFormat="1">
      <alignment horizontal="center" vertical="center"/>
    </xf>
    <xf borderId="0" fillId="0" fontId="29" numFmtId="0" xfId="0" applyAlignment="1" applyFont="1">
      <alignment shrinkToFit="0" vertical="center" wrapText="1"/>
    </xf>
    <xf borderId="4" fillId="0" fontId="31" numFmtId="0" xfId="0" applyAlignment="1" applyBorder="1" applyFont="1">
      <alignment horizontal="center" vertical="center"/>
    </xf>
    <xf borderId="4" fillId="0" fontId="31" numFmtId="0" xfId="0" applyAlignment="1" applyBorder="1" applyFont="1">
      <alignment horizontal="left" vertical="center"/>
    </xf>
    <xf borderId="4" fillId="0" fontId="31" numFmtId="167" xfId="0" applyAlignment="1" applyBorder="1" applyFont="1" applyNumberFormat="1">
      <alignment horizontal="center" vertical="center"/>
    </xf>
    <xf borderId="4" fillId="0" fontId="31" numFmtId="172" xfId="0" applyAlignment="1" applyBorder="1" applyFont="1" applyNumberFormat="1">
      <alignment horizontal="center" vertical="center"/>
    </xf>
    <xf borderId="0" fillId="0" fontId="31" numFmtId="0" xfId="0" applyAlignment="1" applyFont="1">
      <alignment shrinkToFit="0" vertical="center" wrapText="1"/>
    </xf>
    <xf borderId="7" fillId="10" fontId="17" numFmtId="167" xfId="0" applyAlignment="1" applyBorder="1" applyFont="1" applyNumberFormat="1">
      <alignment horizontal="center" vertical="center"/>
    </xf>
    <xf borderId="14" fillId="0" fontId="31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17" fillId="15" fontId="1" numFmtId="0" xfId="0" applyAlignment="1" applyBorder="1" applyFont="1">
      <alignment horizontal="left" shrinkToFit="0" vertical="center" wrapText="1"/>
    </xf>
    <xf borderId="4" fillId="15" fontId="1" numFmtId="0" xfId="0" applyAlignment="1" applyBorder="1" applyFont="1">
      <alignment horizontal="left" shrinkToFit="0" vertical="center" wrapText="1"/>
    </xf>
    <xf borderId="12" fillId="5" fontId="31" numFmtId="167" xfId="0" applyAlignment="1" applyBorder="1" applyFont="1" applyNumberFormat="1">
      <alignment horizontal="center" vertical="center"/>
    </xf>
    <xf borderId="0" fillId="0" fontId="33" numFmtId="0" xfId="0" applyAlignment="1" applyFont="1">
      <alignment horizontal="left" shrinkToFit="0" vertical="center" wrapText="1"/>
    </xf>
    <xf borderId="17" fillId="18" fontId="33" numFmtId="0" xfId="0" applyAlignment="1" applyBorder="1" applyFill="1" applyFont="1">
      <alignment horizontal="left" shrinkToFit="0" vertical="center" wrapText="1"/>
    </xf>
    <xf borderId="4" fillId="18" fontId="33" numFmtId="0" xfId="0" applyAlignment="1" applyBorder="1" applyFont="1">
      <alignment horizontal="left" shrinkToFit="0" vertical="center" wrapText="1"/>
    </xf>
    <xf borderId="7" fillId="7" fontId="17" numFmtId="169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horizontal="left" shrinkToFit="0" vertical="center" wrapText="1"/>
    </xf>
    <xf borderId="17" fillId="18" fontId="31" numFmtId="0" xfId="0" applyAlignment="1" applyBorder="1" applyFont="1">
      <alignment horizontal="left" shrinkToFit="0" vertical="center" wrapText="1"/>
    </xf>
    <xf borderId="4" fillId="18" fontId="31" numFmtId="0" xfId="0" applyAlignment="1" applyBorder="1" applyFont="1">
      <alignment horizontal="left" shrinkToFit="0" vertical="center" wrapText="1"/>
    </xf>
    <xf borderId="17" fillId="19" fontId="31" numFmtId="0" xfId="0" applyAlignment="1" applyBorder="1" applyFill="1" applyFont="1">
      <alignment horizontal="left" shrinkToFit="0" vertical="center" wrapText="1"/>
    </xf>
    <xf borderId="4" fillId="19" fontId="31" numFmtId="0" xfId="0" applyAlignment="1" applyBorder="1" applyFont="1">
      <alignment horizontal="left" shrinkToFit="0" vertical="center" wrapText="1"/>
    </xf>
    <xf borderId="9" fillId="10" fontId="17" numFmtId="0" xfId="0" applyAlignment="1" applyBorder="1" applyFont="1">
      <alignment horizontal="left" vertical="center"/>
    </xf>
    <xf borderId="7" fillId="10" fontId="17" numFmtId="169" xfId="0" applyAlignment="1" applyBorder="1" applyFont="1" applyNumberFormat="1">
      <alignment horizontal="center" vertical="center"/>
    </xf>
    <xf borderId="0" fillId="0" fontId="34" numFmtId="0" xfId="0" applyFont="1"/>
    <xf borderId="14" fillId="20" fontId="25" numFmtId="0" xfId="0" applyAlignment="1" applyBorder="1" applyFill="1" applyFont="1">
      <alignment vertical="center"/>
    </xf>
    <xf borderId="14" fillId="4" fontId="25" numFmtId="0" xfId="0" applyAlignment="1" applyBorder="1" applyFont="1">
      <alignment vertical="center"/>
    </xf>
    <xf borderId="0" fillId="0" fontId="35" numFmtId="0" xfId="0" applyAlignment="1" applyFont="1">
      <alignment shrinkToFit="0" wrapText="1"/>
    </xf>
    <xf borderId="5" fillId="18" fontId="6" numFmtId="0" xfId="0" applyBorder="1" applyFont="1"/>
    <xf borderId="4" fillId="21" fontId="6" numFmtId="0" xfId="0" applyAlignment="1" applyBorder="1" applyFill="1" applyFont="1">
      <alignment shrinkToFit="0" wrapText="1"/>
    </xf>
    <xf borderId="4" fillId="21" fontId="6" numFmtId="169" xfId="0" applyAlignment="1" applyBorder="1" applyFont="1" applyNumberFormat="1">
      <alignment shrinkToFit="0" wrapText="1"/>
    </xf>
    <xf borderId="4" fillId="0" fontId="35" numFmtId="0" xfId="0" applyAlignment="1" applyBorder="1" applyFont="1">
      <alignment shrinkToFit="0" vertical="top" wrapText="1"/>
    </xf>
    <xf borderId="14" fillId="0" fontId="6" numFmtId="0" xfId="0" applyAlignment="1" applyBorder="1" applyFont="1">
      <alignment shrinkToFit="0" vertical="top" wrapText="1"/>
    </xf>
    <xf borderId="14" fillId="6" fontId="1" numFmtId="0" xfId="0" applyAlignment="1" applyBorder="1" applyFont="1">
      <alignment horizontal="center" shrinkToFit="0" vertical="center" wrapText="1"/>
    </xf>
    <xf borderId="14" fillId="8" fontId="36" numFmtId="173" xfId="0" applyAlignment="1" applyBorder="1" applyFont="1" applyNumberFormat="1">
      <alignment horizontal="center"/>
    </xf>
    <xf borderId="14" fillId="9" fontId="25" numFmtId="0" xfId="0" applyAlignment="1" applyBorder="1" applyFont="1">
      <alignment vertical="center"/>
    </xf>
    <xf borderId="4" fillId="6" fontId="14" numFmtId="0" xfId="0" applyAlignment="1" applyBorder="1" applyFont="1">
      <alignment horizontal="center" shrinkToFit="0" vertical="center" wrapText="1"/>
    </xf>
    <xf borderId="4" fillId="6" fontId="14" numFmtId="17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8" fontId="6" numFmtId="0" xfId="0" applyAlignment="1" applyBorder="1" applyFont="1">
      <alignment shrinkToFit="0" vertical="center" wrapText="1"/>
    </xf>
    <xf borderId="4" fillId="0" fontId="6" numFmtId="4" xfId="0" applyAlignment="1" applyBorder="1" applyFont="1" applyNumberFormat="1">
      <alignment shrinkToFit="0" vertical="center" wrapText="1"/>
    </xf>
    <xf borderId="4" fillId="21" fontId="6" numFmtId="173" xfId="0" applyAlignment="1" applyBorder="1" applyFont="1" applyNumberFormat="1">
      <alignment shrinkToFit="0" vertical="center" wrapText="1"/>
    </xf>
    <xf borderId="4" fillId="21" fontId="6" numFmtId="10" xfId="0" applyAlignment="1" applyBorder="1" applyFont="1" applyNumberFormat="1">
      <alignment shrinkToFit="0" vertical="center" wrapText="1"/>
    </xf>
    <xf borderId="5" fillId="6" fontId="1" numFmtId="0" xfId="0" applyBorder="1" applyFont="1"/>
    <xf borderId="0" fillId="0" fontId="4" numFmtId="167" xfId="0" applyFont="1" applyNumberFormat="1"/>
    <xf borderId="0" fillId="0" fontId="4" numFmtId="3" xfId="0" applyFont="1" applyNumberFormat="1"/>
    <xf borderId="5" fillId="10" fontId="17" numFmtId="0" xfId="0" applyBorder="1" applyFont="1"/>
    <xf borderId="1" fillId="2" fontId="17" numFmtId="0" xfId="0" applyAlignment="1" applyBorder="1" applyFont="1">
      <alignment horizontal="left" vertical="center"/>
    </xf>
    <xf borderId="5" fillId="10" fontId="13" numFmtId="0" xfId="0" applyAlignment="1" applyBorder="1" applyFont="1">
      <alignment horizontal="right" vertical="center"/>
    </xf>
    <xf borderId="6" fillId="7" fontId="37" numFmtId="1" xfId="0" applyAlignment="1" applyBorder="1" applyFont="1" applyNumberFormat="1">
      <alignment horizontal="center" readingOrder="0" vertical="center"/>
    </xf>
    <xf borderId="5" fillId="10" fontId="38" numFmtId="0" xfId="0" applyAlignment="1" applyBorder="1" applyFont="1">
      <alignment horizontal="right" vertical="center"/>
    </xf>
    <xf borderId="5" fillId="10" fontId="39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5" fillId="10" fontId="40" numFmtId="169" xfId="0" applyAlignment="1" applyBorder="1" applyFont="1" applyNumberFormat="1">
      <alignment horizontal="center" vertical="center"/>
    </xf>
    <xf borderId="5" fillId="10" fontId="17" numFmtId="169" xfId="0" applyAlignment="1" applyBorder="1" applyFont="1" applyNumberFormat="1">
      <alignment horizontal="center"/>
    </xf>
    <xf borderId="5" fillId="10" fontId="17" numFmtId="0" xfId="0" applyAlignment="1" applyBorder="1" applyFont="1">
      <alignment horizontal="center"/>
    </xf>
    <xf borderId="7" fillId="10" fontId="41" numFmtId="171" xfId="0" applyAlignment="1" applyBorder="1" applyFont="1" applyNumberFormat="1">
      <alignment horizontal="right" vertical="center"/>
    </xf>
    <xf borderId="7" fillId="10" fontId="41" numFmtId="3" xfId="0" applyAlignment="1" applyBorder="1" applyFont="1" applyNumberFormat="1">
      <alignment horizontal="right" vertical="center"/>
    </xf>
    <xf borderId="1" fillId="10" fontId="18" numFmtId="0" xfId="0" applyAlignment="1" applyBorder="1" applyFont="1">
      <alignment horizontal="left" vertical="center"/>
    </xf>
    <xf borderId="18" fillId="2" fontId="1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2" fontId="1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  <xf borderId="1" fillId="13" fontId="17" numFmtId="0" xfId="0" applyAlignment="1" applyBorder="1" applyFont="1">
      <alignment horizontal="center" shrinkToFit="0" vertical="center" wrapText="1"/>
    </xf>
    <xf borderId="5" fillId="10" fontId="17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8" fillId="2" fontId="1" numFmtId="167" xfId="0" applyAlignment="1" applyBorder="1" applyFont="1" applyNumberFormat="1">
      <alignment horizontal="center" shrinkToFit="0" vertical="center" wrapText="1"/>
    </xf>
    <xf borderId="8" fillId="2" fontId="1" numFmtId="3" xfId="0" applyAlignment="1" applyBorder="1" applyFont="1" applyNumberFormat="1">
      <alignment horizontal="center" shrinkToFit="0" vertical="center" wrapText="1"/>
    </xf>
    <xf borderId="6" fillId="7" fontId="37" numFmtId="1" xfId="0" applyAlignment="1" applyBorder="1" applyFont="1" applyNumberFormat="1">
      <alignment horizontal="center" vertical="center"/>
    </xf>
    <xf borderId="7" fillId="10" fontId="42" numFmtId="0" xfId="0" applyAlignment="1" applyBorder="1" applyFont="1">
      <alignment horizontal="left" vertical="center"/>
    </xf>
    <xf borderId="7" fillId="10" fontId="30" numFmtId="167" xfId="0" applyAlignment="1" applyBorder="1" applyFont="1" applyNumberFormat="1">
      <alignment horizontal="left" vertical="center"/>
    </xf>
    <xf borderId="7" fillId="10" fontId="16" numFmtId="167" xfId="0" applyAlignment="1" applyBorder="1" applyFont="1" applyNumberFormat="1">
      <alignment horizontal="center" vertical="center"/>
    </xf>
    <xf borderId="7" fillId="12" fontId="39" numFmtId="3" xfId="0" applyAlignment="1" applyBorder="1" applyFont="1" applyNumberFormat="1">
      <alignment horizontal="right" vertical="center"/>
    </xf>
    <xf borderId="7" fillId="10" fontId="16" numFmtId="9" xfId="0" applyAlignment="1" applyBorder="1" applyFont="1" applyNumberFormat="1">
      <alignment horizontal="center" vertical="center"/>
    </xf>
    <xf borderId="7" fillId="10" fontId="16" numFmtId="3" xfId="0" applyAlignment="1" applyBorder="1" applyFont="1" applyNumberFormat="1">
      <alignment horizontal="left" vertical="center"/>
    </xf>
    <xf borderId="7" fillId="10" fontId="42" numFmtId="0" xfId="0" applyAlignment="1" applyBorder="1" applyFont="1">
      <alignment horizontal="left" readingOrder="0" vertical="center"/>
    </xf>
    <xf borderId="7" fillId="12" fontId="17" numFmtId="167" xfId="0" applyAlignment="1" applyBorder="1" applyFont="1" applyNumberFormat="1">
      <alignment horizontal="right" vertical="center"/>
    </xf>
    <xf borderId="7" fillId="10" fontId="30" numFmtId="0" xfId="0" applyAlignment="1" applyBorder="1" applyFont="1">
      <alignment horizontal="left" vertical="center"/>
    </xf>
    <xf borderId="7" fillId="12" fontId="17" numFmtId="0" xfId="0" applyBorder="1" applyFont="1"/>
    <xf borderId="7" fillId="10" fontId="17" numFmtId="0" xfId="0" applyBorder="1" applyFont="1"/>
    <xf borderId="7" fillId="10" fontId="17" numFmtId="3" xfId="0" applyBorder="1" applyFont="1" applyNumberFormat="1"/>
    <xf borderId="7" fillId="10" fontId="43" numFmtId="3" xfId="0" applyAlignment="1" applyBorder="1" applyFont="1" applyNumberFormat="1">
      <alignment horizontal="right" vertical="center"/>
    </xf>
    <xf borderId="7" fillId="10" fontId="41" numFmtId="9" xfId="0" applyAlignment="1" applyBorder="1" applyFont="1" applyNumberFormat="1">
      <alignment horizontal="right" vertical="center"/>
    </xf>
    <xf borderId="1" fillId="6" fontId="44" numFmtId="0" xfId="0" applyAlignment="1" applyBorder="1" applyFont="1">
      <alignment horizontal="left" vertical="center"/>
    </xf>
    <xf borderId="6" fillId="18" fontId="45" numFmtId="1" xfId="0" applyAlignment="1" applyBorder="1" applyFont="1" applyNumberFormat="1">
      <alignment horizontal="center" readingOrder="0" vertical="center"/>
    </xf>
    <xf borderId="5" fillId="10" fontId="46" numFmtId="0" xfId="0" applyBorder="1" applyFont="1"/>
    <xf borderId="5" fillId="10" fontId="46" numFmtId="175" xfId="0" applyBorder="1" applyFont="1" applyNumberFormat="1"/>
    <xf borderId="0" fillId="0" fontId="4" numFmtId="175" xfId="0" applyFont="1" applyNumberFormat="1"/>
    <xf borderId="27" fillId="22" fontId="1" numFmtId="3" xfId="0" applyAlignment="1" applyBorder="1" applyFill="1" applyFont="1" applyNumberFormat="1">
      <alignment horizontal="left" vertical="center"/>
    </xf>
    <xf borderId="28" fillId="0" fontId="2" numFmtId="0" xfId="0" applyBorder="1" applyFont="1"/>
    <xf borderId="29" fillId="0" fontId="2" numFmtId="0" xfId="0" applyBorder="1" applyFont="1"/>
    <xf borderId="30" fillId="6" fontId="1" numFmtId="3" xfId="0" applyAlignment="1" applyBorder="1" applyFont="1" applyNumberFormat="1">
      <alignment horizontal="center" shrinkToFit="0" vertical="center" wrapText="1"/>
    </xf>
    <xf borderId="31" fillId="6" fontId="1" numFmtId="3" xfId="0" applyAlignment="1" applyBorder="1" applyFont="1" applyNumberForma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34" fillId="6" fontId="1" numFmtId="3" xfId="0" applyAlignment="1" applyBorder="1" applyFont="1" applyNumberFormat="1">
      <alignment horizontal="center" shrinkToFit="0" vertical="center" wrapText="1"/>
    </xf>
    <xf borderId="35" fillId="6" fontId="1" numFmtId="3" xfId="0" applyAlignment="1" applyBorder="1" applyFont="1" applyNumberFormat="1">
      <alignment horizontal="center" shrinkToFit="0" vertical="center" wrapText="1"/>
    </xf>
    <xf borderId="36" fillId="0" fontId="2" numFmtId="0" xfId="0" applyBorder="1" applyFont="1"/>
    <xf borderId="37" fillId="0" fontId="2" numFmtId="0" xfId="0" applyBorder="1" applyFont="1"/>
    <xf borderId="38" fillId="23" fontId="35" numFmtId="3" xfId="0" applyAlignment="1" applyBorder="1" applyFill="1" applyFont="1" applyNumberFormat="1">
      <alignment horizontal="center" shrinkToFit="0" vertical="center" wrapText="1"/>
    </xf>
    <xf borderId="38" fillId="6" fontId="1" numFmtId="3" xfId="0" applyAlignment="1" applyBorder="1" applyFont="1" applyNumberFormat="1">
      <alignment horizontal="center" shrinkToFit="0" vertical="center" wrapText="1"/>
    </xf>
    <xf borderId="38" fillId="23" fontId="35" numFmtId="175" xfId="0" applyAlignment="1" applyBorder="1" applyFont="1" applyNumberFormat="1">
      <alignment horizontal="center" shrinkToFit="0" vertical="center" wrapText="1"/>
    </xf>
    <xf borderId="38" fillId="6" fontId="1" numFmtId="175" xfId="0" applyAlignment="1" applyBorder="1" applyFont="1" applyNumberFormat="1">
      <alignment horizontal="center" shrinkToFit="0" vertical="center" wrapText="1"/>
    </xf>
    <xf borderId="39" fillId="0" fontId="4" numFmtId="176" xfId="0" applyAlignment="1" applyBorder="1" applyFont="1" applyNumberFormat="1">
      <alignment horizontal="center" shrinkToFit="0" vertical="center" wrapText="1"/>
    </xf>
    <xf borderId="39" fillId="18" fontId="4" numFmtId="176" xfId="0" applyAlignment="1" applyBorder="1" applyFont="1" applyNumberFormat="1">
      <alignment horizontal="center" shrinkToFit="0" vertical="center" wrapText="1"/>
    </xf>
    <xf borderId="39" fillId="18" fontId="4" numFmtId="176" xfId="0" applyAlignment="1" applyBorder="1" applyFont="1" applyNumberFormat="1">
      <alignment horizontal="center" readingOrder="0" shrinkToFit="0" vertical="center" wrapText="1"/>
    </xf>
    <xf borderId="39" fillId="0" fontId="4" numFmtId="175" xfId="0" applyAlignment="1" applyBorder="1" applyFont="1" applyNumberFormat="1">
      <alignment horizontal="center" shrinkToFit="0" vertical="center" wrapText="1"/>
    </xf>
    <xf borderId="39" fillId="18" fontId="4" numFmtId="176" xfId="0" applyAlignment="1" applyBorder="1" applyFont="1" applyNumberFormat="1">
      <alignment horizontal="left" shrinkToFit="0" vertical="center" wrapText="1"/>
    </xf>
    <xf borderId="39" fillId="0" fontId="4" numFmtId="176" xfId="0" applyAlignment="1" applyBorder="1" applyFont="1" applyNumberFormat="1">
      <alignment horizontal="center" readingOrder="0" shrinkToFit="0" vertical="center" wrapText="1"/>
    </xf>
    <xf borderId="40" fillId="6" fontId="1" numFmtId="176" xfId="0" applyAlignment="1" applyBorder="1" applyFont="1" applyNumberFormat="1">
      <alignment horizontal="center" shrinkToFit="0" vertical="center" wrapText="1"/>
    </xf>
    <xf borderId="40" fillId="6" fontId="1" numFmtId="175" xfId="0" applyAlignment="1" applyBorder="1" applyFont="1" applyNumberFormat="1">
      <alignment horizontal="center" shrinkToFit="0" vertical="center" wrapText="1"/>
    </xf>
    <xf borderId="0" fillId="0" fontId="4" numFmtId="1" xfId="0" applyFont="1" applyNumberFormat="1"/>
    <xf borderId="0" fillId="0" fontId="4" numFmtId="177" xfId="0" applyFont="1" applyNumberFormat="1"/>
    <xf borderId="41" fillId="0" fontId="2" numFmtId="0" xfId="0" applyBorder="1" applyFont="1"/>
    <xf borderId="42" fillId="6" fontId="1" numFmtId="176" xfId="0" applyAlignment="1" applyBorder="1" applyFont="1" applyNumberFormat="1">
      <alignment horizontal="center" shrinkToFit="0" vertical="center" wrapText="1"/>
    </xf>
    <xf borderId="43" fillId="6" fontId="1" numFmtId="3" xfId="0" applyAlignment="1" applyBorder="1" applyFont="1" applyNumberFormat="1">
      <alignment horizontal="center" shrinkToFit="0" vertical="center" wrapText="1"/>
    </xf>
    <xf borderId="44" fillId="6" fontId="1" numFmtId="3" xfId="0" applyAlignment="1" applyBorder="1" applyFont="1" applyNumberFormat="1">
      <alignment horizontal="center" shrinkToFit="0" vertical="center" wrapText="1"/>
    </xf>
    <xf borderId="42" fillId="6" fontId="1" numFmtId="175" xfId="0" applyAlignment="1" applyBorder="1" applyFont="1" applyNumberFormat="1">
      <alignment horizontal="center" shrinkToFit="0" vertical="center" wrapText="1"/>
    </xf>
    <xf borderId="45" fillId="0" fontId="4" numFmtId="176" xfId="0" applyAlignment="1" applyBorder="1" applyFont="1" applyNumberFormat="1">
      <alignment horizontal="center" readingOrder="0" shrinkToFit="0" vertical="center" wrapText="1"/>
    </xf>
    <xf borderId="45" fillId="18" fontId="4" numFmtId="176" xfId="0" applyAlignment="1" applyBorder="1" applyFont="1" applyNumberFormat="1">
      <alignment horizontal="center" shrinkToFit="0" vertical="center" wrapText="1"/>
    </xf>
    <xf borderId="46" fillId="24" fontId="4" numFmtId="0" xfId="0" applyBorder="1" applyFill="1" applyFont="1"/>
    <xf borderId="45" fillId="18" fontId="4" numFmtId="176" xfId="0" applyAlignment="1" applyBorder="1" applyFont="1" applyNumberFormat="1">
      <alignment horizontal="left" shrinkToFit="0" vertical="center" wrapText="1"/>
    </xf>
    <xf borderId="1" fillId="25" fontId="47" numFmtId="1" xfId="0" applyAlignment="1" applyBorder="1" applyFill="1" applyFont="1" applyNumberFormat="1">
      <alignment shrinkToFit="0" vertical="center" wrapText="1"/>
    </xf>
    <xf borderId="5" fillId="10" fontId="35" numFmtId="0" xfId="0" applyBorder="1" applyFont="1"/>
    <xf borderId="5" fillId="10" fontId="6" numFmtId="0" xfId="0" applyBorder="1" applyFont="1"/>
    <xf borderId="7" fillId="10" fontId="6" numFmtId="0" xfId="0" applyBorder="1" applyFont="1"/>
    <xf borderId="8" fillId="2" fontId="25" numFmtId="0" xfId="0" applyAlignment="1" applyBorder="1" applyFont="1">
      <alignment horizontal="center" shrinkToFit="0" vertical="center" wrapText="1"/>
    </xf>
    <xf borderId="8" fillId="2" fontId="25" numFmtId="175" xfId="0" applyAlignment="1" applyBorder="1" applyFont="1" applyNumberFormat="1">
      <alignment horizontal="center" shrinkToFit="0" vertical="center" wrapText="1"/>
    </xf>
    <xf borderId="7" fillId="10" fontId="48" numFmtId="0" xfId="0" applyAlignment="1" applyBorder="1" applyFont="1">
      <alignment horizontal="center" vertical="center"/>
    </xf>
    <xf borderId="7" fillId="10" fontId="49" numFmtId="3" xfId="0" applyAlignment="1" applyBorder="1" applyFont="1" applyNumberFormat="1">
      <alignment horizontal="left" vertical="center"/>
    </xf>
    <xf borderId="7" fillId="10" fontId="49" numFmtId="176" xfId="0" applyAlignment="1" applyBorder="1" applyFont="1" applyNumberFormat="1">
      <alignment horizontal="right" vertical="center"/>
    </xf>
    <xf borderId="7" fillId="26" fontId="50" numFmtId="176" xfId="0" applyAlignment="1" applyBorder="1" applyFill="1" applyFont="1" applyNumberFormat="1">
      <alignment horizontal="right" vertical="center"/>
    </xf>
    <xf borderId="7" fillId="12" fontId="49" numFmtId="177" xfId="0" applyAlignment="1" applyBorder="1" applyFont="1" applyNumberFormat="1">
      <alignment horizontal="right" vertical="center"/>
    </xf>
    <xf borderId="7" fillId="12" fontId="51" numFmtId="3" xfId="0" applyAlignment="1" applyBorder="1" applyFont="1" applyNumberFormat="1">
      <alignment horizontal="right" vertical="center"/>
    </xf>
    <xf borderId="7" fillId="12" fontId="48" numFmtId="3" xfId="0" applyAlignment="1" applyBorder="1" applyFont="1" applyNumberFormat="1">
      <alignment horizontal="right" vertical="center"/>
    </xf>
    <xf borderId="7" fillId="12" fontId="48" numFmtId="175" xfId="0" applyAlignment="1" applyBorder="1" applyFont="1" applyNumberFormat="1">
      <alignment horizontal="right" vertical="center"/>
    </xf>
    <xf borderId="0" fillId="0" fontId="6" numFmtId="3" xfId="0" applyFont="1" applyNumberFormat="1"/>
    <xf borderId="0" fillId="0" fontId="6" numFmtId="173" xfId="0" applyFont="1" applyNumberFormat="1"/>
    <xf borderId="5" fillId="10" fontId="52" numFmtId="0" xfId="0" applyBorder="1" applyFont="1"/>
    <xf borderId="46" fillId="2" fontId="53" numFmtId="0" xfId="0" applyAlignment="1" applyBorder="1" applyFont="1">
      <alignment horizontal="center" shrinkToFit="0" vertical="center" wrapText="1"/>
    </xf>
    <xf borderId="46" fillId="2" fontId="53" numFmtId="0" xfId="0" applyAlignment="1" applyBorder="1" applyFont="1">
      <alignment horizontal="center" vertical="center"/>
    </xf>
    <xf borderId="46" fillId="27" fontId="53" numFmtId="0" xfId="0" applyAlignment="1" applyBorder="1" applyFill="1" applyFont="1">
      <alignment horizontal="center" shrinkToFit="0" vertical="center" wrapText="1"/>
    </xf>
    <xf borderId="47" fillId="12" fontId="54" numFmtId="0" xfId="0" applyAlignment="1" applyBorder="1" applyFont="1">
      <alignment horizontal="left" vertical="center"/>
    </xf>
    <xf borderId="48" fillId="0" fontId="2" numFmtId="0" xfId="0" applyBorder="1" applyFont="1"/>
    <xf borderId="49" fillId="0" fontId="2" numFmtId="0" xfId="0" applyBorder="1" applyFont="1"/>
    <xf borderId="46" fillId="24" fontId="55" numFmtId="0" xfId="0" applyAlignment="1" applyBorder="1" applyFont="1">
      <alignment horizontal="center" vertical="center"/>
    </xf>
    <xf borderId="46" fillId="10" fontId="56" numFmtId="0" xfId="0" applyAlignment="1" applyBorder="1" applyFont="1">
      <alignment horizontal="left" vertical="center"/>
    </xf>
    <xf borderId="7" fillId="10" fontId="57" numFmtId="176" xfId="0" applyAlignment="1" applyBorder="1" applyFont="1" applyNumberFormat="1">
      <alignment horizontal="right" vertical="center"/>
    </xf>
    <xf borderId="7" fillId="28" fontId="58" numFmtId="176" xfId="0" applyAlignment="1" applyBorder="1" applyFill="1" applyFont="1" applyNumberFormat="1">
      <alignment horizontal="right" vertical="center"/>
    </xf>
    <xf borderId="46" fillId="10" fontId="4" numFmtId="3" xfId="0" applyAlignment="1" applyBorder="1" applyFont="1" applyNumberFormat="1">
      <alignment horizontal="right" vertical="center"/>
    </xf>
    <xf borderId="46" fillId="0" fontId="4" numFmtId="173" xfId="0" applyAlignment="1" applyBorder="1" applyFont="1" applyNumberFormat="1">
      <alignment horizontal="right" vertical="center"/>
    </xf>
    <xf borderId="46" fillId="24" fontId="59" numFmtId="0" xfId="0" applyAlignment="1" applyBorder="1" applyFont="1">
      <alignment horizontal="left" vertical="center"/>
    </xf>
    <xf borderId="7" fillId="29" fontId="57" numFmtId="176" xfId="0" applyAlignment="1" applyBorder="1" applyFill="1" applyFont="1" applyNumberFormat="1">
      <alignment horizontal="right" vertical="center"/>
    </xf>
    <xf borderId="46" fillId="30" fontId="60" numFmtId="3" xfId="0" applyAlignment="1" applyBorder="1" applyFill="1" applyFont="1" applyNumberFormat="1">
      <alignment horizontal="right" vertical="center"/>
    </xf>
    <xf borderId="46" fillId="31" fontId="61" numFmtId="3" xfId="0" applyAlignment="1" applyBorder="1" applyFill="1" applyFont="1" applyNumberFormat="1">
      <alignment horizontal="right" vertical="center"/>
    </xf>
    <xf borderId="46" fillId="30" fontId="60" numFmtId="173" xfId="0" applyAlignment="1" applyBorder="1" applyFont="1" applyNumberFormat="1">
      <alignment horizontal="right" vertical="center"/>
    </xf>
    <xf borderId="5" fillId="32" fontId="62" numFmtId="0" xfId="0" applyAlignment="1" applyBorder="1" applyFill="1" applyFont="1">
      <alignment horizontal="left" vertical="center"/>
    </xf>
    <xf borderId="5" fillId="33" fontId="62" numFmtId="0" xfId="0" applyAlignment="1" applyBorder="1" applyFill="1" applyFont="1">
      <alignment horizontal="left" vertical="center"/>
    </xf>
    <xf borderId="46" fillId="10" fontId="63" numFmtId="0" xfId="0" applyAlignment="1" applyBorder="1" applyFont="1">
      <alignment horizontal="left" vertical="center"/>
    </xf>
    <xf borderId="46" fillId="10" fontId="63" numFmtId="3" xfId="0" applyAlignment="1" applyBorder="1" applyFont="1" applyNumberFormat="1">
      <alignment horizontal="right" vertical="center"/>
    </xf>
    <xf borderId="46" fillId="34" fontId="64" numFmtId="3" xfId="0" applyAlignment="1" applyBorder="1" applyFill="1" applyFont="1" applyNumberFormat="1">
      <alignment horizontal="right" vertical="center"/>
    </xf>
    <xf borderId="46" fillId="24" fontId="65" numFmtId="0" xfId="0" applyAlignment="1" applyBorder="1" applyFont="1">
      <alignment horizontal="left" vertical="center"/>
    </xf>
    <xf borderId="46" fillId="24" fontId="65" numFmtId="3" xfId="0" applyAlignment="1" applyBorder="1" applyFont="1" applyNumberFormat="1">
      <alignment horizontal="right" vertical="center"/>
    </xf>
    <xf borderId="46" fillId="30" fontId="64" numFmtId="3" xfId="0" applyAlignment="1" applyBorder="1" applyFont="1" applyNumberFormat="1">
      <alignment horizontal="right" vertical="center"/>
    </xf>
    <xf borderId="46" fillId="31" fontId="66" numFmtId="3" xfId="0" applyAlignment="1" applyBorder="1" applyFont="1" applyNumberFormat="1">
      <alignment horizontal="right" vertical="center"/>
    </xf>
    <xf borderId="46" fillId="30" fontId="64" numFmtId="173" xfId="0" applyAlignment="1" applyBorder="1" applyFont="1" applyNumberFormat="1">
      <alignment horizontal="right" vertical="center"/>
    </xf>
    <xf borderId="46" fillId="14" fontId="63" numFmtId="0" xfId="0" applyAlignment="1" applyBorder="1" applyFont="1">
      <alignment horizontal="left" vertical="center"/>
    </xf>
    <xf borderId="46" fillId="14" fontId="63" numFmtId="3" xfId="0" applyAlignment="1" applyBorder="1" applyFont="1" applyNumberFormat="1">
      <alignment horizontal="right" vertical="center"/>
    </xf>
    <xf borderId="46" fillId="14" fontId="4" numFmtId="3" xfId="0" applyAlignment="1" applyBorder="1" applyFont="1" applyNumberFormat="1">
      <alignment horizontal="right" vertical="center"/>
    </xf>
    <xf borderId="47" fillId="10" fontId="49" numFmtId="3" xfId="0" applyAlignment="1" applyBorder="1" applyFont="1" applyNumberFormat="1">
      <alignment horizontal="left" vertical="center"/>
    </xf>
    <xf borderId="8" fillId="35" fontId="25" numFmtId="0" xfId="0" applyAlignment="1" applyBorder="1" applyFill="1" applyFont="1">
      <alignment horizontal="center" shrinkToFit="0" vertical="center" wrapText="1"/>
    </xf>
    <xf borderId="7" fillId="28" fontId="49" numFmtId="176" xfId="0" applyAlignment="1" applyBorder="1" applyFont="1" applyNumberFormat="1">
      <alignment horizontal="right" vertical="center"/>
    </xf>
    <xf borderId="50" fillId="2" fontId="26" numFmtId="0" xfId="0" applyAlignment="1" applyBorder="1" applyFont="1">
      <alignment horizontal="center" shrinkToFit="0" vertical="center" wrapText="1"/>
    </xf>
    <xf borderId="50" fillId="2" fontId="26" numFmtId="166" xfId="0" applyAlignment="1" applyBorder="1" applyFont="1" applyNumberFormat="1">
      <alignment horizontal="center" shrinkToFit="0" vertical="center" wrapText="1"/>
    </xf>
    <xf borderId="50" fillId="2" fontId="26" numFmtId="178" xfId="0" applyAlignment="1" applyBorder="1" applyFont="1" applyNumberFormat="1">
      <alignment horizontal="center" shrinkToFit="0" vertical="center" wrapText="1"/>
    </xf>
    <xf borderId="50" fillId="2" fontId="26" numFmtId="179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4" fillId="0" fontId="4" numFmtId="166" xfId="0" applyAlignment="1" applyBorder="1" applyFont="1" applyNumberFormat="1">
      <alignment vertical="center"/>
    </xf>
    <xf borderId="4" fillId="0" fontId="4" numFmtId="178" xfId="0" applyAlignment="1" applyBorder="1" applyFont="1" applyNumberFormat="1">
      <alignment vertical="center"/>
    </xf>
    <xf borderId="4" fillId="0" fontId="4" numFmtId="179" xfId="0" applyAlignment="1" applyBorder="1" applyFont="1" applyNumberFormat="1">
      <alignment vertical="center"/>
    </xf>
    <xf borderId="0" fillId="0" fontId="4" numFmtId="166" xfId="0" applyFont="1" applyNumberFormat="1"/>
    <xf borderId="0" fillId="0" fontId="4" numFmtId="178" xfId="0" applyFont="1" applyNumberFormat="1"/>
    <xf borderId="0" fillId="0" fontId="9" numFmtId="178" xfId="0" applyFont="1" applyNumberFormat="1"/>
    <xf borderId="0" fillId="0" fontId="9" numFmtId="179" xfId="0" applyFont="1" applyNumberFormat="1"/>
    <xf borderId="0" fillId="0" fontId="4" numFmtId="179" xfId="0" applyFont="1" applyNumberFormat="1"/>
    <xf borderId="0" fillId="0" fontId="9" numFmtId="178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78" xfId="0" applyAlignment="1" applyFont="1" applyNumberFormat="1">
      <alignment readingOrder="0"/>
    </xf>
    <xf borderId="0" fillId="0" fontId="9" numFmtId="179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9" numFmtId="166" xfId="0" applyFont="1" applyNumberFormat="1"/>
    <xf borderId="1" fillId="36" fontId="3" numFmtId="0" xfId="0" applyAlignment="1" applyBorder="1" applyFill="1" applyFont="1">
      <alignment horizontal="left" vertical="center"/>
    </xf>
    <xf borderId="51" fillId="0" fontId="4" numFmtId="0" xfId="0" applyAlignment="1" applyBorder="1" applyFont="1">
      <alignment vertical="center"/>
    </xf>
    <xf borderId="5" fillId="37" fontId="67" numFmtId="0" xfId="0" applyBorder="1" applyFill="1" applyFont="1"/>
    <xf borderId="0" fillId="0" fontId="35" numFmtId="0" xfId="0" applyFont="1"/>
  </cellXfs>
  <cellStyles count="1">
    <cellStyle xfId="0" name="Normal" builtinId="0"/>
  </cellStyles>
  <dxfs count="5">
    <dxf>
      <font>
        <b/>
        <color rgb="FFC00000"/>
      </font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Calibri"/>
              </a:defRPr>
            </a:pPr>
            <a:r>
              <a:rPr b="0" i="0" sz="1400">
                <a:solidFill>
                  <a:srgbClr val="000000"/>
                </a:solidFill>
                <a:latin typeface="Calibri"/>
              </a:rPr>
              <a:t>Tồn kho thực tế (0 - 100%)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AA464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TON_KHO!$C$7:$C$10</c:f>
            </c:strRef>
          </c:cat>
          <c:val>
            <c:numRef>
              <c:f>TON_KHO!$H$7:$H$10</c:f>
              <c:numCache/>
            </c:numRef>
          </c:val>
        </c:ser>
        <c:axId val="1187360485"/>
        <c:axId val="356017964"/>
      </c:barChart>
      <c:lineChart>
        <c:varyColors val="0"/>
        <c:ser>
          <c:idx val="1"/>
          <c:order val="1"/>
          <c:spPr>
            <a:ln cmpd="sng" w="19050">
              <a:noFill/>
            </a:ln>
          </c:spPr>
          <c:marker>
            <c:symbol val="none"/>
          </c:marker>
          <c:cat>
            <c:strRef>
              <c:f>TON_KHO!$C$7:$C$10</c:f>
            </c:strRef>
          </c:cat>
          <c:val>
            <c:numRef>
              <c:f>TON_KHO!$I$7:$I$10</c:f>
              <c:numCache/>
            </c:numRef>
          </c:val>
          <c:smooth val="0"/>
        </c:ser>
        <c:axId val="1187360485"/>
        <c:axId val="356017964"/>
      </c:lineChart>
      <c:catAx>
        <c:axId val="1187360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Calibri"/>
              </a:defRPr>
            </a:pPr>
          </a:p>
        </c:txPr>
        <c:crossAx val="356017964"/>
      </c:catAx>
      <c:valAx>
        <c:axId val="356017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Calibri"/>
              </a:defRPr>
            </a:pPr>
          </a:p>
        </c:txPr>
        <c:crossAx val="1187360485"/>
      </c:valAx>
    </c:plotArea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15</xdr:row>
      <xdr:rowOff>161925</xdr:rowOff>
    </xdr:from>
    <xdr:ext cx="5981700" cy="3390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14"/>
    <col customWidth="1" min="2" max="2" width="23.43"/>
    <col customWidth="1" min="3" max="3" width="55.43"/>
    <col customWidth="1" min="4" max="4" width="38.29"/>
    <col customWidth="1" min="5" max="5" width="32.29"/>
    <col customWidth="1" min="6" max="26" width="8.86"/>
  </cols>
  <sheetData>
    <row r="1" ht="30.0" customHeight="1">
      <c r="A1" s="1" t="s">
        <v>0</v>
      </c>
      <c r="B1" s="2"/>
      <c r="C1" s="2"/>
      <c r="D1" s="2"/>
      <c r="E1" s="3"/>
    </row>
    <row r="2" ht="13.5" customHeight="1">
      <c r="A2" s="4" t="s">
        <v>1</v>
      </c>
      <c r="B2" s="2"/>
      <c r="C2" s="2"/>
      <c r="D2" s="2"/>
      <c r="E2" s="3"/>
    </row>
    <row r="3" ht="15.75" customHeight="1">
      <c r="A3" s="5" t="s">
        <v>2</v>
      </c>
      <c r="B3" s="5" t="s">
        <v>3</v>
      </c>
      <c r="D3" s="6" t="s">
        <v>4</v>
      </c>
      <c r="E3" s="7" t="s">
        <v>5</v>
      </c>
    </row>
    <row r="4" ht="31.5" customHeight="1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G4" s="9"/>
      <c r="H4" s="10" t="s">
        <v>11</v>
      </c>
    </row>
    <row r="5" ht="31.5" customHeight="1">
      <c r="A5" s="11" t="s">
        <v>12</v>
      </c>
      <c r="B5" s="11" t="s">
        <v>13</v>
      </c>
      <c r="C5" s="11" t="s">
        <v>14</v>
      </c>
      <c r="D5" s="11" t="s">
        <v>15</v>
      </c>
      <c r="E5" s="11"/>
    </row>
    <row r="6" ht="31.5" customHeight="1">
      <c r="A6" s="12" t="s">
        <v>16</v>
      </c>
      <c r="B6" s="12" t="s">
        <v>17</v>
      </c>
      <c r="C6" s="12" t="s">
        <v>18</v>
      </c>
      <c r="D6" s="12" t="s">
        <v>15</v>
      </c>
      <c r="E6" s="12"/>
    </row>
    <row r="7" ht="31.5" customHeight="1">
      <c r="A7" s="11" t="s">
        <v>19</v>
      </c>
      <c r="B7" s="12" t="s">
        <v>17</v>
      </c>
      <c r="C7" s="11" t="s">
        <v>20</v>
      </c>
      <c r="D7" s="11" t="s">
        <v>21</v>
      </c>
      <c r="E7" s="11"/>
    </row>
    <row r="8" ht="31.5" customHeight="1">
      <c r="A8" s="12" t="s">
        <v>22</v>
      </c>
      <c r="B8" s="12" t="s">
        <v>23</v>
      </c>
      <c r="C8" s="12" t="s">
        <v>24</v>
      </c>
      <c r="D8" s="12" t="s">
        <v>25</v>
      </c>
      <c r="E8" s="12"/>
    </row>
    <row r="9" ht="31.5" customHeight="1">
      <c r="A9" s="11" t="s">
        <v>26</v>
      </c>
      <c r="B9" s="11" t="s">
        <v>23</v>
      </c>
      <c r="C9" s="11" t="s">
        <v>27</v>
      </c>
      <c r="D9" s="11" t="s">
        <v>28</v>
      </c>
      <c r="E9" s="11"/>
    </row>
    <row r="10" ht="31.5" customHeight="1">
      <c r="A10" s="12" t="s">
        <v>29</v>
      </c>
      <c r="B10" s="12" t="s">
        <v>30</v>
      </c>
      <c r="C10" s="12" t="s">
        <v>31</v>
      </c>
      <c r="D10" s="12" t="s">
        <v>32</v>
      </c>
      <c r="E10" s="12"/>
    </row>
    <row r="11" ht="31.5" customHeight="1">
      <c r="A11" s="11" t="s">
        <v>33</v>
      </c>
      <c r="B11" s="11" t="s">
        <v>30</v>
      </c>
      <c r="C11" s="11" t="s">
        <v>34</v>
      </c>
      <c r="D11" s="11" t="s">
        <v>35</v>
      </c>
      <c r="E11" s="11"/>
    </row>
    <row r="12" ht="63.75" customHeight="1">
      <c r="A12" s="13" t="s">
        <v>36</v>
      </c>
      <c r="B12" s="13" t="s">
        <v>23</v>
      </c>
      <c r="C12" s="13" t="s">
        <v>37</v>
      </c>
      <c r="D12" s="13" t="s">
        <v>38</v>
      </c>
      <c r="E12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27.5" customHeight="1">
      <c r="A64" s="14" t="s">
        <v>39</v>
      </c>
      <c r="B64" s="15" t="s">
        <v>40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7.29"/>
  </cols>
  <sheetData>
    <row r="1">
      <c r="A1" s="16" t="s">
        <v>41</v>
      </c>
    </row>
    <row r="2">
      <c r="A2" s="17" t="s">
        <v>42</v>
      </c>
      <c r="B2" s="18" t="s">
        <v>43</v>
      </c>
    </row>
    <row r="3">
      <c r="A3" s="17" t="s">
        <v>44</v>
      </c>
      <c r="B3" s="19">
        <v>17.0</v>
      </c>
    </row>
    <row r="4">
      <c r="A4" s="17" t="s">
        <v>45</v>
      </c>
      <c r="B4" s="18" t="s">
        <v>46</v>
      </c>
    </row>
    <row r="5">
      <c r="A5" s="17" t="s">
        <v>47</v>
      </c>
      <c r="B5" s="18" t="s">
        <v>48</v>
      </c>
    </row>
    <row r="6">
      <c r="A6" s="20"/>
    </row>
    <row r="7">
      <c r="A7" s="20"/>
    </row>
    <row r="8">
      <c r="A8" s="20"/>
    </row>
    <row r="9">
      <c r="A9" s="20"/>
    </row>
    <row r="10">
      <c r="A10" s="20"/>
    </row>
    <row r="11">
      <c r="A11" s="20"/>
    </row>
    <row r="12">
      <c r="A12" s="20"/>
    </row>
    <row r="13">
      <c r="A13" s="20"/>
    </row>
    <row r="14">
      <c r="A14" s="20"/>
    </row>
    <row r="15">
      <c r="A15" s="20"/>
    </row>
    <row r="16">
      <c r="A16" s="20"/>
    </row>
    <row r="17">
      <c r="A17" s="20"/>
    </row>
    <row r="18">
      <c r="A18" s="20"/>
    </row>
    <row r="19">
      <c r="A19" s="20"/>
    </row>
    <row r="20">
      <c r="A20" s="20"/>
    </row>
    <row r="21">
      <c r="A21" s="20"/>
    </row>
    <row r="22">
      <c r="A22" s="20"/>
    </row>
    <row r="23">
      <c r="A23" s="20"/>
    </row>
    <row r="24">
      <c r="A24" s="20"/>
    </row>
    <row r="25">
      <c r="A25" s="20"/>
    </row>
    <row r="26">
      <c r="A26" s="20"/>
    </row>
    <row r="27">
      <c r="A27" s="20"/>
    </row>
    <row r="28">
      <c r="A28" s="20"/>
    </row>
    <row r="29">
      <c r="A29" s="20"/>
    </row>
    <row r="30">
      <c r="A30" s="20"/>
    </row>
    <row r="31">
      <c r="A31" s="20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  <row r="61">
      <c r="A61" s="20"/>
    </row>
    <row r="62">
      <c r="A62" s="20"/>
    </row>
    <row r="63">
      <c r="A63" s="20"/>
    </row>
    <row r="64">
      <c r="A64" s="20"/>
    </row>
    <row r="65">
      <c r="A65" s="20"/>
    </row>
    <row r="66">
      <c r="A66" s="20"/>
    </row>
    <row r="67">
      <c r="A67" s="20"/>
    </row>
    <row r="68">
      <c r="A68" s="20"/>
    </row>
    <row r="69">
      <c r="A69" s="20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65</v>
      </c>
      <c r="R1" s="17" t="s">
        <v>66</v>
      </c>
      <c r="S1" s="17" t="s">
        <v>67</v>
      </c>
    </row>
    <row r="2">
      <c r="A2" s="21">
        <v>46185.70138421297</v>
      </c>
      <c r="B2" s="18" t="s">
        <v>68</v>
      </c>
      <c r="C2" s="18" t="s">
        <v>69</v>
      </c>
      <c r="D2" s="18" t="s">
        <v>70</v>
      </c>
    </row>
    <row r="3">
      <c r="A3" s="21">
        <v>46185.701614861115</v>
      </c>
      <c r="B3" s="18" t="s">
        <v>68</v>
      </c>
      <c r="C3" s="18" t="s">
        <v>69</v>
      </c>
      <c r="D3" s="18" t="s">
        <v>71</v>
      </c>
    </row>
    <row r="4">
      <c r="A4" s="21">
        <v>46185.702868402775</v>
      </c>
      <c r="B4" s="18" t="s">
        <v>68</v>
      </c>
      <c r="C4" s="18" t="s">
        <v>69</v>
      </c>
      <c r="D4" s="18" t="s">
        <v>72</v>
      </c>
    </row>
    <row r="5">
      <c r="A5" s="21">
        <v>46185.70299423611</v>
      </c>
      <c r="B5" s="18" t="s">
        <v>68</v>
      </c>
      <c r="C5" s="18" t="s">
        <v>69</v>
      </c>
      <c r="D5" s="18" t="s">
        <v>73</v>
      </c>
    </row>
    <row r="6">
      <c r="A6" s="21">
        <v>46186.348793391204</v>
      </c>
      <c r="B6" s="18" t="s">
        <v>74</v>
      </c>
      <c r="C6" s="18" t="s">
        <v>75</v>
      </c>
      <c r="D6" s="18" t="s">
        <v>76</v>
      </c>
    </row>
    <row r="7">
      <c r="A7" s="21">
        <v>46186.348906238425</v>
      </c>
      <c r="B7" s="18" t="s">
        <v>74</v>
      </c>
      <c r="C7" s="18" t="s">
        <v>75</v>
      </c>
      <c r="D7" s="18" t="s">
        <v>76</v>
      </c>
    </row>
    <row r="8">
      <c r="A8" s="22">
        <v>46188.902659907406</v>
      </c>
      <c r="B8" s="18" t="s">
        <v>68</v>
      </c>
      <c r="C8" s="18" t="s">
        <v>69</v>
      </c>
      <c r="D8" s="18" t="s">
        <v>12</v>
      </c>
      <c r="E8" s="19">
        <v>1481.0</v>
      </c>
      <c r="F8" s="23">
        <v>46188.0</v>
      </c>
      <c r="H8" s="18" t="s">
        <v>77</v>
      </c>
      <c r="I8" s="18" t="s">
        <v>78</v>
      </c>
      <c r="J8" s="18" t="s">
        <v>79</v>
      </c>
      <c r="K8" s="18" t="s">
        <v>80</v>
      </c>
      <c r="L8" s="19">
        <v>1.0</v>
      </c>
      <c r="S8" s="18" t="s">
        <v>81</v>
      </c>
    </row>
    <row r="9">
      <c r="A9" s="22">
        <v>46188.90302283565</v>
      </c>
      <c r="B9" s="18" t="s">
        <v>68</v>
      </c>
      <c r="C9" s="18" t="s">
        <v>69</v>
      </c>
      <c r="D9" s="18" t="s">
        <v>12</v>
      </c>
      <c r="E9" s="19">
        <v>1482.0</v>
      </c>
      <c r="F9" s="23">
        <v>46188.0</v>
      </c>
      <c r="H9" s="18" t="s">
        <v>77</v>
      </c>
      <c r="I9" s="18" t="s">
        <v>78</v>
      </c>
      <c r="J9" s="18" t="s">
        <v>79</v>
      </c>
      <c r="K9" s="18" t="s">
        <v>80</v>
      </c>
      <c r="L9" s="19">
        <v>1.0</v>
      </c>
      <c r="S9" s="18" t="s">
        <v>81</v>
      </c>
    </row>
    <row r="10">
      <c r="A10" s="22">
        <v>46189.40577864583</v>
      </c>
      <c r="B10" s="18" t="s">
        <v>74</v>
      </c>
      <c r="C10" s="18" t="s">
        <v>69</v>
      </c>
      <c r="D10" s="18" t="s">
        <v>12</v>
      </c>
      <c r="E10" s="19">
        <v>1481.0</v>
      </c>
      <c r="F10" s="23">
        <v>46188.0</v>
      </c>
      <c r="H10" s="18" t="s">
        <v>82</v>
      </c>
      <c r="I10" s="18" t="s">
        <v>83</v>
      </c>
      <c r="J10" s="18" t="s">
        <v>79</v>
      </c>
      <c r="K10" s="18" t="s">
        <v>80</v>
      </c>
      <c r="L10" s="19">
        <v>415.0</v>
      </c>
      <c r="M10" s="19">
        <v>95589.0</v>
      </c>
      <c r="N10" s="19">
        <v>96491.0</v>
      </c>
      <c r="O10" s="19">
        <v>902.0</v>
      </c>
      <c r="S10" s="18" t="s">
        <v>81</v>
      </c>
    </row>
    <row r="11">
      <c r="A11" s="22">
        <v>46189.40577865741</v>
      </c>
      <c r="B11" s="18" t="s">
        <v>74</v>
      </c>
      <c r="C11" s="18" t="s">
        <v>69</v>
      </c>
      <c r="D11" s="18" t="s">
        <v>12</v>
      </c>
      <c r="E11" s="19">
        <v>1482.0</v>
      </c>
      <c r="F11" s="23">
        <v>46188.0</v>
      </c>
      <c r="H11" s="18" t="s">
        <v>77</v>
      </c>
      <c r="I11" s="18" t="s">
        <v>83</v>
      </c>
      <c r="J11" s="18" t="s">
        <v>79</v>
      </c>
      <c r="K11" s="18" t="s">
        <v>80</v>
      </c>
      <c r="L11" s="19">
        <v>460.0</v>
      </c>
      <c r="M11" s="19">
        <v>23404.0</v>
      </c>
      <c r="N11" s="19">
        <v>24367.0</v>
      </c>
      <c r="O11" s="19">
        <v>963.0</v>
      </c>
      <c r="S11" s="18" t="s">
        <v>81</v>
      </c>
    </row>
    <row r="12">
      <c r="A12" s="22">
        <v>46189.40577865741</v>
      </c>
      <c r="B12" s="18" t="s">
        <v>74</v>
      </c>
      <c r="C12" s="18" t="s">
        <v>69</v>
      </c>
      <c r="D12" s="18" t="s">
        <v>12</v>
      </c>
      <c r="E12" s="19">
        <v>1483.0</v>
      </c>
      <c r="F12" s="23">
        <v>46188.0</v>
      </c>
      <c r="H12" s="18" t="s">
        <v>84</v>
      </c>
      <c r="I12" s="18" t="s">
        <v>83</v>
      </c>
      <c r="J12" s="18" t="s">
        <v>79</v>
      </c>
      <c r="K12" s="18" t="s">
        <v>80</v>
      </c>
      <c r="L12" s="19">
        <v>36.0</v>
      </c>
      <c r="R12" s="18" t="s">
        <v>85</v>
      </c>
      <c r="S12" s="18" t="s">
        <v>81</v>
      </c>
    </row>
    <row r="13">
      <c r="A13" s="22">
        <v>46189.672125428246</v>
      </c>
      <c r="B13" s="18" t="s">
        <v>74</v>
      </c>
      <c r="C13" s="18" t="s">
        <v>69</v>
      </c>
      <c r="D13" s="18" t="s">
        <v>12</v>
      </c>
      <c r="E13" s="19">
        <v>1484.0</v>
      </c>
      <c r="F13" s="23">
        <v>46189.0</v>
      </c>
      <c r="H13" s="18" t="s">
        <v>86</v>
      </c>
      <c r="I13" s="18" t="s">
        <v>83</v>
      </c>
      <c r="J13" s="18" t="s">
        <v>79</v>
      </c>
      <c r="K13" s="18" t="s">
        <v>80</v>
      </c>
      <c r="L13" s="19">
        <v>238.0</v>
      </c>
      <c r="M13" s="19">
        <v>191346.0</v>
      </c>
      <c r="N13" s="19">
        <v>191860.0</v>
      </c>
      <c r="O13" s="19">
        <v>514.0</v>
      </c>
      <c r="S13" s="18" t="s">
        <v>81</v>
      </c>
    </row>
    <row r="14">
      <c r="A14" s="22">
        <v>46189.672125428246</v>
      </c>
      <c r="B14" s="18" t="s">
        <v>74</v>
      </c>
      <c r="C14" s="18" t="s">
        <v>69</v>
      </c>
      <c r="D14" s="18" t="s">
        <v>12</v>
      </c>
      <c r="E14" s="19">
        <v>1485.0</v>
      </c>
      <c r="F14" s="23">
        <v>46189.0</v>
      </c>
      <c r="H14" s="18" t="s">
        <v>87</v>
      </c>
      <c r="I14" s="18" t="s">
        <v>83</v>
      </c>
      <c r="J14" s="18" t="s">
        <v>79</v>
      </c>
      <c r="K14" s="18" t="s">
        <v>80</v>
      </c>
      <c r="L14" s="19">
        <v>244.0</v>
      </c>
      <c r="M14" s="19">
        <v>264541.0</v>
      </c>
      <c r="N14" s="19">
        <v>265070.0</v>
      </c>
      <c r="O14" s="19">
        <v>529.0</v>
      </c>
      <c r="S14" s="18" t="s">
        <v>81</v>
      </c>
    </row>
    <row r="15">
      <c r="A15" s="22">
        <v>46189.672125439814</v>
      </c>
      <c r="B15" s="18" t="s">
        <v>74</v>
      </c>
      <c r="C15" s="18" t="s">
        <v>69</v>
      </c>
      <c r="D15" s="18" t="s">
        <v>12</v>
      </c>
      <c r="E15" s="19">
        <v>1486.0</v>
      </c>
      <c r="F15" s="23">
        <v>46189.0</v>
      </c>
      <c r="H15" s="18" t="s">
        <v>88</v>
      </c>
      <c r="I15" s="18" t="s">
        <v>83</v>
      </c>
      <c r="J15" s="18" t="s">
        <v>79</v>
      </c>
      <c r="K15" s="18" t="s">
        <v>80</v>
      </c>
      <c r="L15" s="19">
        <v>477.0</v>
      </c>
      <c r="M15" s="19">
        <v>243778.0</v>
      </c>
      <c r="N15" s="19">
        <v>244724.0</v>
      </c>
      <c r="O15" s="19">
        <v>946.0</v>
      </c>
      <c r="S15" s="18" t="s">
        <v>81</v>
      </c>
    </row>
    <row r="16">
      <c r="A16" s="22">
        <v>46189.672125439814</v>
      </c>
      <c r="B16" s="18" t="s">
        <v>74</v>
      </c>
      <c r="C16" s="18" t="s">
        <v>69</v>
      </c>
      <c r="D16" s="18" t="s">
        <v>12</v>
      </c>
      <c r="E16" s="19">
        <v>1487.0</v>
      </c>
      <c r="F16" s="23">
        <v>46189.0</v>
      </c>
      <c r="H16" s="18" t="s">
        <v>89</v>
      </c>
      <c r="I16" s="18" t="s">
        <v>83</v>
      </c>
      <c r="J16" s="18" t="s">
        <v>79</v>
      </c>
      <c r="K16" s="18" t="s">
        <v>80</v>
      </c>
      <c r="L16" s="19">
        <v>512.0</v>
      </c>
      <c r="M16" s="19">
        <v>7401.0</v>
      </c>
      <c r="N16" s="19">
        <v>8378.0</v>
      </c>
      <c r="O16" s="19">
        <v>977.0</v>
      </c>
      <c r="S16" s="18" t="s">
        <v>81</v>
      </c>
    </row>
    <row r="17">
      <c r="A17" s="22">
        <v>46189.81497770833</v>
      </c>
      <c r="B17" s="18" t="s">
        <v>68</v>
      </c>
      <c r="C17" s="18" t="s">
        <v>75</v>
      </c>
      <c r="S17" s="18" t="s">
        <v>90</v>
      </c>
    </row>
    <row r="18">
      <c r="A18" s="22">
        <v>46189.81513988426</v>
      </c>
      <c r="B18" s="18" t="s">
        <v>68</v>
      </c>
      <c r="C18" s="18" t="s">
        <v>69</v>
      </c>
      <c r="D18" s="18" t="s">
        <v>12</v>
      </c>
      <c r="E18" s="19">
        <v>1488.0</v>
      </c>
      <c r="F18" s="23">
        <v>46189.0</v>
      </c>
      <c r="H18" s="18" t="s">
        <v>91</v>
      </c>
      <c r="I18" s="18" t="s">
        <v>78</v>
      </c>
      <c r="J18" s="18" t="s">
        <v>79</v>
      </c>
      <c r="K18" s="18" t="s">
        <v>80</v>
      </c>
      <c r="L18" s="19">
        <v>200.0</v>
      </c>
      <c r="M18" s="19">
        <v>11.0</v>
      </c>
      <c r="N18" s="19">
        <v>12.0</v>
      </c>
      <c r="O18" s="19">
        <v>1.0</v>
      </c>
      <c r="S18" s="18" t="s">
        <v>81</v>
      </c>
    </row>
    <row r="19">
      <c r="A19" s="22">
        <v>46190.247044097225</v>
      </c>
      <c r="B19" s="18" t="s">
        <v>74</v>
      </c>
      <c r="C19" s="18" t="s">
        <v>69</v>
      </c>
      <c r="D19" s="18" t="s">
        <v>12</v>
      </c>
      <c r="E19" s="19">
        <v>1488.0</v>
      </c>
      <c r="F19" s="23">
        <v>46189.0</v>
      </c>
      <c r="H19" s="18" t="s">
        <v>92</v>
      </c>
      <c r="I19" s="18" t="s">
        <v>93</v>
      </c>
      <c r="J19" s="18" t="s">
        <v>79</v>
      </c>
      <c r="K19" s="18" t="s">
        <v>93</v>
      </c>
      <c r="L19" s="19">
        <v>3.0</v>
      </c>
      <c r="R19" s="18" t="s">
        <v>94</v>
      </c>
      <c r="S19" s="18" t="s">
        <v>81</v>
      </c>
    </row>
    <row r="20">
      <c r="A20" s="22">
        <v>46190.24704412037</v>
      </c>
      <c r="B20" s="18" t="s">
        <v>74</v>
      </c>
      <c r="C20" s="18" t="s">
        <v>69</v>
      </c>
      <c r="D20" s="18" t="s">
        <v>12</v>
      </c>
      <c r="E20" s="19">
        <v>1489.0</v>
      </c>
      <c r="F20" s="23">
        <v>46189.0</v>
      </c>
      <c r="H20" s="18" t="s">
        <v>92</v>
      </c>
      <c r="I20" s="18" t="s">
        <v>83</v>
      </c>
      <c r="J20" s="18" t="s">
        <v>79</v>
      </c>
      <c r="K20" s="18" t="s">
        <v>80</v>
      </c>
      <c r="L20" s="19">
        <v>30.0</v>
      </c>
      <c r="R20" s="18" t="s">
        <v>95</v>
      </c>
      <c r="S20" s="18" t="s">
        <v>81</v>
      </c>
    </row>
    <row r="21">
      <c r="A21" s="22">
        <v>46190.247044131946</v>
      </c>
      <c r="B21" s="18" t="s">
        <v>74</v>
      </c>
      <c r="C21" s="18" t="s">
        <v>69</v>
      </c>
      <c r="D21" s="18" t="s">
        <v>12</v>
      </c>
      <c r="E21" s="19">
        <v>1490.0</v>
      </c>
      <c r="F21" s="23">
        <v>46189.0</v>
      </c>
      <c r="H21" s="18" t="s">
        <v>96</v>
      </c>
      <c r="I21" s="18" t="s">
        <v>83</v>
      </c>
      <c r="J21" s="18" t="s">
        <v>79</v>
      </c>
      <c r="K21" s="18" t="s">
        <v>80</v>
      </c>
      <c r="L21" s="19">
        <v>370.0</v>
      </c>
      <c r="M21" s="19">
        <v>79455.0</v>
      </c>
      <c r="N21" s="19">
        <v>80207.0</v>
      </c>
      <c r="O21" s="19">
        <v>752.0</v>
      </c>
      <c r="S21" s="18" t="s">
        <v>81</v>
      </c>
    </row>
    <row r="22">
      <c r="A22" s="22">
        <v>46190.247044143514</v>
      </c>
      <c r="B22" s="18" t="s">
        <v>74</v>
      </c>
      <c r="C22" s="18" t="s">
        <v>69</v>
      </c>
      <c r="D22" s="18" t="s">
        <v>12</v>
      </c>
      <c r="E22" s="19">
        <v>1491.0</v>
      </c>
      <c r="F22" s="23">
        <v>46189.0</v>
      </c>
      <c r="H22" s="18" t="s">
        <v>97</v>
      </c>
      <c r="I22" s="18" t="s">
        <v>83</v>
      </c>
      <c r="J22" s="18" t="s">
        <v>79</v>
      </c>
      <c r="K22" s="18" t="s">
        <v>80</v>
      </c>
      <c r="L22" s="19">
        <v>306.0</v>
      </c>
      <c r="M22" s="19">
        <v>182478.0</v>
      </c>
      <c r="N22" s="19">
        <v>182743.0</v>
      </c>
      <c r="O22" s="19">
        <v>265.0</v>
      </c>
      <c r="S22" s="18" t="s">
        <v>81</v>
      </c>
    </row>
    <row r="23">
      <c r="A23" s="22">
        <v>46190.2470441551</v>
      </c>
      <c r="B23" s="18" t="s">
        <v>74</v>
      </c>
      <c r="C23" s="18" t="s">
        <v>69</v>
      </c>
      <c r="D23" s="18" t="s">
        <v>12</v>
      </c>
      <c r="E23" s="19">
        <v>1492.0</v>
      </c>
      <c r="F23" s="23">
        <v>46189.0</v>
      </c>
      <c r="H23" s="18" t="s">
        <v>98</v>
      </c>
      <c r="I23" s="18" t="s">
        <v>83</v>
      </c>
      <c r="J23" s="18" t="s">
        <v>79</v>
      </c>
      <c r="K23" s="18" t="s">
        <v>80</v>
      </c>
      <c r="L23" s="19">
        <v>164.0</v>
      </c>
      <c r="M23" s="19">
        <v>167544.0</v>
      </c>
      <c r="N23" s="19">
        <v>167916.0</v>
      </c>
      <c r="O23" s="19">
        <v>372.0</v>
      </c>
      <c r="S23" s="18" t="s">
        <v>81</v>
      </c>
    </row>
    <row r="24">
      <c r="A24" s="22">
        <v>46190.24704416667</v>
      </c>
      <c r="B24" s="18" t="s">
        <v>74</v>
      </c>
      <c r="C24" s="18" t="s">
        <v>69</v>
      </c>
      <c r="D24" s="18" t="s">
        <v>12</v>
      </c>
      <c r="E24" s="19">
        <v>1493.0</v>
      </c>
      <c r="F24" s="23">
        <v>46189.0</v>
      </c>
      <c r="H24" s="18" t="s">
        <v>99</v>
      </c>
      <c r="I24" s="18" t="s">
        <v>83</v>
      </c>
      <c r="J24" s="18" t="s">
        <v>79</v>
      </c>
      <c r="K24" s="18" t="s">
        <v>80</v>
      </c>
      <c r="L24" s="19">
        <v>350.0</v>
      </c>
      <c r="M24" s="19">
        <v>153251.0</v>
      </c>
      <c r="N24" s="19">
        <v>153934.0</v>
      </c>
      <c r="O24" s="19">
        <v>683.0</v>
      </c>
      <c r="S24" s="18" t="s">
        <v>81</v>
      </c>
    </row>
    <row r="25">
      <c r="A25" s="22">
        <v>46190.24704416667</v>
      </c>
      <c r="B25" s="18" t="s">
        <v>74</v>
      </c>
      <c r="C25" s="18" t="s">
        <v>69</v>
      </c>
      <c r="D25" s="18" t="s">
        <v>12</v>
      </c>
      <c r="E25" s="19">
        <v>1494.0</v>
      </c>
      <c r="F25" s="23">
        <v>46189.0</v>
      </c>
      <c r="H25" s="18" t="s">
        <v>100</v>
      </c>
      <c r="I25" s="18" t="s">
        <v>83</v>
      </c>
      <c r="J25" s="18" t="s">
        <v>79</v>
      </c>
      <c r="K25" s="18" t="s">
        <v>80</v>
      </c>
      <c r="L25" s="19">
        <v>315.0</v>
      </c>
      <c r="M25" s="19">
        <v>407553.0</v>
      </c>
      <c r="N25" s="19">
        <v>408237.0</v>
      </c>
      <c r="O25" s="19">
        <v>684.0</v>
      </c>
      <c r="S25" s="18" t="s">
        <v>81</v>
      </c>
    </row>
    <row r="26">
      <c r="A26" s="22">
        <v>46190.7235562037</v>
      </c>
      <c r="B26" s="18" t="s">
        <v>74</v>
      </c>
      <c r="C26" s="18" t="s">
        <v>69</v>
      </c>
      <c r="D26" s="18" t="s">
        <v>12</v>
      </c>
      <c r="E26" s="19">
        <v>1495.0</v>
      </c>
      <c r="F26" s="23">
        <v>46190.0</v>
      </c>
      <c r="H26" s="18" t="s">
        <v>101</v>
      </c>
      <c r="I26" s="18" t="s">
        <v>83</v>
      </c>
      <c r="J26" s="18" t="s">
        <v>79</v>
      </c>
      <c r="K26" s="18" t="s">
        <v>80</v>
      </c>
      <c r="L26" s="19">
        <v>239.0</v>
      </c>
      <c r="M26" s="19">
        <v>116959.0</v>
      </c>
      <c r="N26" s="19">
        <v>117559.0</v>
      </c>
      <c r="O26" s="19">
        <v>600.0</v>
      </c>
      <c r="S26" s="18" t="s">
        <v>81</v>
      </c>
    </row>
    <row r="27">
      <c r="A27" s="22">
        <v>46190.72355621528</v>
      </c>
      <c r="B27" s="18" t="s">
        <v>74</v>
      </c>
      <c r="C27" s="18" t="s">
        <v>69</v>
      </c>
      <c r="D27" s="18" t="s">
        <v>12</v>
      </c>
      <c r="E27" s="19">
        <v>1496.0</v>
      </c>
      <c r="F27" s="23">
        <v>46190.0</v>
      </c>
      <c r="H27" s="18" t="s">
        <v>102</v>
      </c>
      <c r="I27" s="18" t="s">
        <v>83</v>
      </c>
      <c r="J27" s="18" t="s">
        <v>79</v>
      </c>
      <c r="K27" s="18" t="s">
        <v>80</v>
      </c>
      <c r="L27" s="19">
        <v>235.0</v>
      </c>
      <c r="N27" s="19">
        <v>254856.0</v>
      </c>
      <c r="S27" s="18" t="s">
        <v>81</v>
      </c>
    </row>
    <row r="28">
      <c r="A28" s="22">
        <v>46190.72355622685</v>
      </c>
      <c r="B28" s="18" t="s">
        <v>74</v>
      </c>
      <c r="C28" s="18" t="s">
        <v>69</v>
      </c>
      <c r="D28" s="18" t="s">
        <v>12</v>
      </c>
      <c r="E28" s="19">
        <v>1497.0</v>
      </c>
      <c r="F28" s="23">
        <v>46190.0</v>
      </c>
      <c r="H28" s="18" t="s">
        <v>103</v>
      </c>
      <c r="I28" s="18" t="s">
        <v>83</v>
      </c>
      <c r="J28" s="18" t="s">
        <v>79</v>
      </c>
      <c r="K28" s="18" t="s">
        <v>80</v>
      </c>
      <c r="L28" s="19">
        <v>158.0</v>
      </c>
      <c r="M28" s="19">
        <v>4312.0</v>
      </c>
      <c r="N28" s="19">
        <v>4326.0</v>
      </c>
      <c r="O28" s="19">
        <v>14.0</v>
      </c>
      <c r="S28" s="18" t="s">
        <v>81</v>
      </c>
    </row>
    <row r="29">
      <c r="A29" s="22">
        <v>46190.72355622685</v>
      </c>
      <c r="B29" s="18" t="s">
        <v>74</v>
      </c>
      <c r="C29" s="18" t="s">
        <v>69</v>
      </c>
      <c r="D29" s="18" t="s">
        <v>12</v>
      </c>
      <c r="E29" s="19">
        <v>1498.0</v>
      </c>
      <c r="F29" s="23">
        <v>46190.0</v>
      </c>
      <c r="H29" s="18" t="s">
        <v>104</v>
      </c>
      <c r="I29" s="18" t="s">
        <v>83</v>
      </c>
      <c r="J29" s="18" t="s">
        <v>79</v>
      </c>
      <c r="K29" s="18" t="s">
        <v>80</v>
      </c>
      <c r="L29" s="19">
        <v>309.0</v>
      </c>
      <c r="M29" s="19">
        <v>5305.0</v>
      </c>
      <c r="N29" s="19">
        <v>5936.0</v>
      </c>
      <c r="O29" s="19">
        <v>631.0</v>
      </c>
      <c r="S29" s="18" t="s">
        <v>81</v>
      </c>
    </row>
    <row r="30">
      <c r="A30" s="22">
        <v>46190.72355623843</v>
      </c>
      <c r="B30" s="18" t="s">
        <v>74</v>
      </c>
      <c r="C30" s="18" t="s">
        <v>69</v>
      </c>
      <c r="D30" s="18" t="s">
        <v>12</v>
      </c>
      <c r="E30" s="19">
        <v>1499.0</v>
      </c>
      <c r="F30" s="23">
        <v>46190.0</v>
      </c>
      <c r="H30" s="18" t="s">
        <v>105</v>
      </c>
      <c r="I30" s="18" t="s">
        <v>83</v>
      </c>
      <c r="J30" s="18" t="s">
        <v>79</v>
      </c>
      <c r="K30" s="18" t="s">
        <v>80</v>
      </c>
      <c r="L30" s="19">
        <v>230.0</v>
      </c>
      <c r="M30" s="19">
        <v>1447.0</v>
      </c>
      <c r="N30" s="19">
        <v>2052.0</v>
      </c>
      <c r="O30" s="19">
        <v>605.0</v>
      </c>
      <c r="S30" s="18" t="s">
        <v>81</v>
      </c>
    </row>
    <row r="31">
      <c r="A31" s="22">
        <v>46190.723556261575</v>
      </c>
      <c r="B31" s="18" t="s">
        <v>74</v>
      </c>
      <c r="C31" s="18" t="s">
        <v>69</v>
      </c>
      <c r="D31" s="18" t="s">
        <v>12</v>
      </c>
      <c r="E31" s="19">
        <v>1500.0</v>
      </c>
      <c r="F31" s="23">
        <v>46190.0</v>
      </c>
      <c r="H31" s="18" t="s">
        <v>77</v>
      </c>
      <c r="I31" s="18" t="s">
        <v>83</v>
      </c>
      <c r="J31" s="18" t="s">
        <v>79</v>
      </c>
      <c r="K31" s="18" t="s">
        <v>80</v>
      </c>
      <c r="L31" s="19">
        <v>30.0</v>
      </c>
      <c r="R31" s="18" t="s">
        <v>85</v>
      </c>
      <c r="S31" s="18" t="s">
        <v>81</v>
      </c>
    </row>
    <row r="32">
      <c r="A32" s="22">
        <v>46190.723556261575</v>
      </c>
      <c r="B32" s="18" t="s">
        <v>74</v>
      </c>
      <c r="C32" s="18" t="s">
        <v>69</v>
      </c>
      <c r="D32" s="18" t="s">
        <v>12</v>
      </c>
      <c r="E32" s="19">
        <v>1501.0</v>
      </c>
      <c r="F32" s="23">
        <v>46190.0</v>
      </c>
      <c r="H32" s="18" t="s">
        <v>106</v>
      </c>
      <c r="I32" s="18" t="s">
        <v>107</v>
      </c>
      <c r="J32" s="18" t="s">
        <v>79</v>
      </c>
      <c r="K32" s="18" t="s">
        <v>107</v>
      </c>
      <c r="L32" s="19">
        <v>20.0</v>
      </c>
      <c r="R32" s="18" t="s">
        <v>108</v>
      </c>
      <c r="S32" s="18" t="s">
        <v>81</v>
      </c>
    </row>
    <row r="33">
      <c r="A33" s="22">
        <v>46191.68934158565</v>
      </c>
      <c r="B33" s="18" t="s">
        <v>74</v>
      </c>
      <c r="C33" s="18" t="s">
        <v>69</v>
      </c>
      <c r="D33" s="18" t="s">
        <v>12</v>
      </c>
      <c r="E33" s="19">
        <v>1502.0</v>
      </c>
      <c r="F33" s="23">
        <v>46191.0</v>
      </c>
      <c r="H33" s="18" t="s">
        <v>109</v>
      </c>
      <c r="I33" s="18" t="s">
        <v>110</v>
      </c>
      <c r="J33" s="18" t="s">
        <v>79</v>
      </c>
      <c r="K33" s="18" t="s">
        <v>110</v>
      </c>
      <c r="L33" s="19">
        <v>40.0</v>
      </c>
      <c r="S33" s="18" t="s">
        <v>81</v>
      </c>
    </row>
    <row r="34">
      <c r="A34" s="22">
        <v>46191.68934158565</v>
      </c>
      <c r="B34" s="18" t="s">
        <v>74</v>
      </c>
      <c r="C34" s="18" t="s">
        <v>69</v>
      </c>
      <c r="D34" s="18" t="s">
        <v>12</v>
      </c>
      <c r="E34" s="19">
        <v>1503.0</v>
      </c>
      <c r="F34" s="23">
        <v>46191.0</v>
      </c>
      <c r="H34" s="18" t="s">
        <v>111</v>
      </c>
      <c r="I34" s="18" t="s">
        <v>93</v>
      </c>
      <c r="J34" s="18" t="s">
        <v>79</v>
      </c>
      <c r="K34" s="18" t="s">
        <v>93</v>
      </c>
      <c r="L34" s="19">
        <v>60.0</v>
      </c>
      <c r="S34" s="18" t="s">
        <v>81</v>
      </c>
    </row>
    <row r="35">
      <c r="A35" s="22">
        <v>46191.68934159722</v>
      </c>
      <c r="B35" s="18" t="s">
        <v>74</v>
      </c>
      <c r="C35" s="18" t="s">
        <v>69</v>
      </c>
      <c r="D35" s="18" t="s">
        <v>12</v>
      </c>
      <c r="E35" s="19">
        <v>1504.0</v>
      </c>
      <c r="F35" s="23">
        <v>46191.0</v>
      </c>
      <c r="H35" s="18" t="s">
        <v>97</v>
      </c>
      <c r="I35" s="18" t="s">
        <v>93</v>
      </c>
      <c r="J35" s="18" t="s">
        <v>79</v>
      </c>
      <c r="K35" s="18" t="s">
        <v>93</v>
      </c>
      <c r="L35" s="19">
        <v>176.0</v>
      </c>
      <c r="S35" s="18" t="s">
        <v>81</v>
      </c>
    </row>
    <row r="36">
      <c r="A36" s="22">
        <v>46191.68934159722</v>
      </c>
      <c r="B36" s="18" t="s">
        <v>74</v>
      </c>
      <c r="C36" s="18" t="s">
        <v>69</v>
      </c>
      <c r="D36" s="18" t="s">
        <v>12</v>
      </c>
      <c r="E36" s="19">
        <v>1505.0</v>
      </c>
      <c r="F36" s="23">
        <v>46191.0</v>
      </c>
      <c r="H36" s="18" t="s">
        <v>112</v>
      </c>
      <c r="I36" s="18" t="s">
        <v>83</v>
      </c>
      <c r="J36" s="18" t="s">
        <v>79</v>
      </c>
      <c r="K36" s="18" t="s">
        <v>80</v>
      </c>
      <c r="L36" s="19">
        <v>257.0</v>
      </c>
      <c r="M36" s="19">
        <v>99407.0</v>
      </c>
      <c r="N36" s="19">
        <v>100007.0</v>
      </c>
      <c r="O36" s="19">
        <v>600.0</v>
      </c>
      <c r="S36" s="18" t="s">
        <v>81</v>
      </c>
    </row>
    <row r="37">
      <c r="A37" s="22">
        <v>46191.68934159722</v>
      </c>
      <c r="B37" s="18" t="s">
        <v>74</v>
      </c>
      <c r="C37" s="18" t="s">
        <v>69</v>
      </c>
      <c r="D37" s="18" t="s">
        <v>12</v>
      </c>
      <c r="E37" s="19">
        <v>1506.0</v>
      </c>
      <c r="F37" s="23">
        <v>46191.0</v>
      </c>
      <c r="H37" s="18" t="s">
        <v>113</v>
      </c>
      <c r="I37" s="18" t="s">
        <v>83</v>
      </c>
      <c r="J37" s="18" t="s">
        <v>79</v>
      </c>
      <c r="K37" s="18" t="s">
        <v>80</v>
      </c>
      <c r="L37" s="19">
        <v>230.0</v>
      </c>
      <c r="M37" s="19">
        <v>172660.0</v>
      </c>
      <c r="N37" s="19">
        <v>173173.0</v>
      </c>
      <c r="O37" s="19">
        <v>513.0</v>
      </c>
      <c r="S37" s="18" t="s">
        <v>81</v>
      </c>
    </row>
    <row r="38">
      <c r="A38" s="22">
        <v>46191.6893416088</v>
      </c>
      <c r="B38" s="18" t="s">
        <v>74</v>
      </c>
      <c r="C38" s="18" t="s">
        <v>69</v>
      </c>
      <c r="D38" s="18" t="s">
        <v>12</v>
      </c>
      <c r="E38" s="19">
        <v>1507.0</v>
      </c>
      <c r="F38" s="23">
        <v>46191.0</v>
      </c>
      <c r="H38" s="18" t="s">
        <v>114</v>
      </c>
      <c r="I38" s="18" t="s">
        <v>83</v>
      </c>
      <c r="J38" s="18" t="s">
        <v>79</v>
      </c>
      <c r="K38" s="18" t="s">
        <v>80</v>
      </c>
      <c r="L38" s="19">
        <v>260.0</v>
      </c>
      <c r="M38" s="19">
        <v>276347.0</v>
      </c>
      <c r="N38" s="19">
        <v>276819.0</v>
      </c>
      <c r="O38" s="19">
        <v>472.0</v>
      </c>
      <c r="S38" s="18" t="s">
        <v>81</v>
      </c>
    </row>
    <row r="39">
      <c r="A39" s="22">
        <v>46191.6893416088</v>
      </c>
      <c r="B39" s="18" t="s">
        <v>74</v>
      </c>
      <c r="C39" s="18" t="s">
        <v>69</v>
      </c>
      <c r="D39" s="18" t="s">
        <v>12</v>
      </c>
      <c r="E39" s="19">
        <v>1508.0</v>
      </c>
      <c r="F39" s="23">
        <v>46191.0</v>
      </c>
      <c r="H39" s="18" t="s">
        <v>115</v>
      </c>
      <c r="I39" s="18" t="s">
        <v>83</v>
      </c>
      <c r="J39" s="18" t="s">
        <v>79</v>
      </c>
      <c r="K39" s="18" t="s">
        <v>80</v>
      </c>
      <c r="L39" s="19">
        <v>460.0</v>
      </c>
      <c r="M39" s="19">
        <v>15973.0</v>
      </c>
      <c r="N39" s="19">
        <v>17185.0</v>
      </c>
      <c r="O39" s="19">
        <v>1212.0</v>
      </c>
      <c r="S39" s="18" t="s">
        <v>81</v>
      </c>
    </row>
    <row r="40">
      <c r="A40" s="22">
        <v>46191.6893416088</v>
      </c>
      <c r="B40" s="18" t="s">
        <v>74</v>
      </c>
      <c r="C40" s="18" t="s">
        <v>69</v>
      </c>
      <c r="D40" s="18" t="s">
        <v>12</v>
      </c>
      <c r="E40" s="19">
        <v>1509.0</v>
      </c>
      <c r="F40" s="23">
        <v>46191.0</v>
      </c>
      <c r="H40" s="18" t="s">
        <v>116</v>
      </c>
      <c r="I40" s="18" t="s">
        <v>83</v>
      </c>
      <c r="J40" s="18" t="s">
        <v>79</v>
      </c>
      <c r="K40" s="18" t="s">
        <v>80</v>
      </c>
      <c r="L40" s="19">
        <v>305.0</v>
      </c>
      <c r="M40" s="19">
        <v>80579.0</v>
      </c>
      <c r="N40" s="19">
        <v>81275.0</v>
      </c>
      <c r="O40" s="19">
        <v>696.0</v>
      </c>
      <c r="S40" s="18" t="s">
        <v>81</v>
      </c>
    </row>
    <row r="41">
      <c r="A41" s="22">
        <v>46191.68934162037</v>
      </c>
      <c r="B41" s="18" t="s">
        <v>74</v>
      </c>
      <c r="C41" s="18" t="s">
        <v>69</v>
      </c>
      <c r="D41" s="18" t="s">
        <v>12</v>
      </c>
      <c r="E41" s="19">
        <v>1510.0</v>
      </c>
      <c r="F41" s="23">
        <v>46191.0</v>
      </c>
      <c r="H41" s="18" t="s">
        <v>117</v>
      </c>
      <c r="I41" s="18" t="s">
        <v>83</v>
      </c>
      <c r="J41" s="18" t="s">
        <v>79</v>
      </c>
      <c r="K41" s="18" t="s">
        <v>80</v>
      </c>
      <c r="L41" s="19">
        <v>176.0</v>
      </c>
      <c r="M41" s="19">
        <v>8350.0</v>
      </c>
      <c r="N41" s="19">
        <v>8365.0</v>
      </c>
      <c r="O41" s="19">
        <v>15.0</v>
      </c>
      <c r="S41" s="18" t="s">
        <v>81</v>
      </c>
    </row>
    <row r="42">
      <c r="A42" s="22">
        <v>46191.68934162037</v>
      </c>
      <c r="B42" s="18" t="s">
        <v>74</v>
      </c>
      <c r="C42" s="18" t="s">
        <v>69</v>
      </c>
      <c r="D42" s="18" t="s">
        <v>12</v>
      </c>
      <c r="E42" s="19">
        <v>1511.0</v>
      </c>
      <c r="F42" s="23">
        <v>46191.0</v>
      </c>
      <c r="H42" s="18" t="s">
        <v>118</v>
      </c>
      <c r="I42" s="18" t="s">
        <v>83</v>
      </c>
      <c r="J42" s="18" t="s">
        <v>79</v>
      </c>
      <c r="K42" s="18" t="s">
        <v>80</v>
      </c>
      <c r="L42" s="19">
        <v>435.0</v>
      </c>
      <c r="M42" s="19">
        <v>151814.0</v>
      </c>
      <c r="N42" s="19">
        <v>152853.0</v>
      </c>
      <c r="O42" s="19">
        <v>1039.0</v>
      </c>
      <c r="S42" s="18" t="s">
        <v>81</v>
      </c>
    </row>
    <row r="43">
      <c r="A43" s="22">
        <v>46191.68934163194</v>
      </c>
      <c r="B43" s="18" t="s">
        <v>74</v>
      </c>
      <c r="C43" s="18" t="s">
        <v>69</v>
      </c>
      <c r="D43" s="18" t="s">
        <v>12</v>
      </c>
      <c r="E43" s="19">
        <v>1512.0</v>
      </c>
      <c r="F43" s="23">
        <v>46191.0</v>
      </c>
      <c r="H43" s="18" t="s">
        <v>99</v>
      </c>
      <c r="I43" s="18" t="s">
        <v>83</v>
      </c>
      <c r="J43" s="18" t="s">
        <v>79</v>
      </c>
      <c r="K43" s="18" t="s">
        <v>80</v>
      </c>
      <c r="L43" s="19">
        <v>200.0</v>
      </c>
      <c r="M43" s="19">
        <v>153934.0</v>
      </c>
      <c r="N43" s="19">
        <v>154468.0</v>
      </c>
      <c r="O43" s="19">
        <v>534.0</v>
      </c>
      <c r="S43" s="18" t="s">
        <v>81</v>
      </c>
    </row>
    <row r="44">
      <c r="A44" s="22">
        <v>46191.68934163194</v>
      </c>
      <c r="B44" s="18" t="s">
        <v>74</v>
      </c>
      <c r="C44" s="18" t="s">
        <v>69</v>
      </c>
      <c r="D44" s="18" t="s">
        <v>12</v>
      </c>
      <c r="E44" s="19">
        <v>1513.0</v>
      </c>
      <c r="F44" s="23">
        <v>46191.0</v>
      </c>
      <c r="H44" s="18" t="s">
        <v>119</v>
      </c>
      <c r="I44" s="18" t="s">
        <v>83</v>
      </c>
      <c r="J44" s="18" t="s">
        <v>79</v>
      </c>
      <c r="K44" s="18" t="s">
        <v>80</v>
      </c>
      <c r="L44" s="19">
        <v>445.0</v>
      </c>
      <c r="M44" s="19">
        <v>59989.0</v>
      </c>
      <c r="N44" s="19">
        <v>60879.0</v>
      </c>
      <c r="O44" s="19">
        <v>890.0</v>
      </c>
      <c r="S44" s="18" t="s">
        <v>81</v>
      </c>
    </row>
    <row r="45">
      <c r="A45" s="22">
        <v>46191.68934164352</v>
      </c>
      <c r="B45" s="18" t="s">
        <v>74</v>
      </c>
      <c r="C45" s="18" t="s">
        <v>69</v>
      </c>
      <c r="D45" s="18" t="s">
        <v>12</v>
      </c>
      <c r="E45" s="19">
        <v>1514.0</v>
      </c>
      <c r="F45" s="23">
        <v>46191.0</v>
      </c>
      <c r="H45" s="18" t="s">
        <v>97</v>
      </c>
      <c r="I45" s="18" t="s">
        <v>83</v>
      </c>
      <c r="J45" s="18" t="s">
        <v>79</v>
      </c>
      <c r="K45" s="18" t="s">
        <v>80</v>
      </c>
      <c r="L45" s="19">
        <v>136.0</v>
      </c>
      <c r="M45" s="19">
        <v>182743.0</v>
      </c>
      <c r="N45" s="19">
        <v>182820.0</v>
      </c>
      <c r="O45" s="19">
        <v>77.0</v>
      </c>
      <c r="S45" s="18" t="s">
        <v>81</v>
      </c>
    </row>
    <row r="46">
      <c r="A46" s="22">
        <v>46191.690359444445</v>
      </c>
      <c r="B46" s="18" t="s">
        <v>74</v>
      </c>
      <c r="C46" s="18" t="s">
        <v>69</v>
      </c>
      <c r="D46" s="18" t="s">
        <v>12</v>
      </c>
      <c r="E46" s="19">
        <v>1515.0</v>
      </c>
      <c r="F46" s="23">
        <v>46190.0</v>
      </c>
      <c r="H46" s="18" t="s">
        <v>84</v>
      </c>
      <c r="I46" s="18" t="s">
        <v>83</v>
      </c>
      <c r="J46" s="18" t="s">
        <v>79</v>
      </c>
      <c r="K46" s="18" t="s">
        <v>80</v>
      </c>
      <c r="L46" s="19">
        <v>45.0</v>
      </c>
      <c r="R46" s="18" t="s">
        <v>120</v>
      </c>
      <c r="S46" s="18" t="s">
        <v>81</v>
      </c>
    </row>
    <row r="47">
      <c r="A47" s="22">
        <v>46192.56234833333</v>
      </c>
      <c r="B47" s="18" t="s">
        <v>74</v>
      </c>
      <c r="C47" s="18" t="s">
        <v>69</v>
      </c>
      <c r="D47" s="18" t="s">
        <v>12</v>
      </c>
      <c r="E47" s="19">
        <v>1516.0</v>
      </c>
      <c r="F47" s="23">
        <v>46191.0</v>
      </c>
      <c r="H47" s="18" t="s">
        <v>82</v>
      </c>
      <c r="I47" s="18" t="s">
        <v>83</v>
      </c>
      <c r="J47" s="18" t="s">
        <v>79</v>
      </c>
      <c r="K47" s="18" t="s">
        <v>80</v>
      </c>
      <c r="L47" s="19">
        <v>390.0</v>
      </c>
      <c r="M47" s="19">
        <v>96491.0</v>
      </c>
      <c r="N47" s="19">
        <v>97444.0</v>
      </c>
      <c r="O47" s="19">
        <v>953.0</v>
      </c>
      <c r="S47" s="18" t="s">
        <v>81</v>
      </c>
    </row>
    <row r="48">
      <c r="A48" s="22">
        <v>46192.56741314815</v>
      </c>
      <c r="B48" s="18" t="s">
        <v>74</v>
      </c>
      <c r="C48" s="18" t="s">
        <v>69</v>
      </c>
      <c r="D48" s="18" t="s">
        <v>12</v>
      </c>
      <c r="E48" s="19">
        <v>1517.0</v>
      </c>
      <c r="F48" s="23">
        <v>46192.0</v>
      </c>
      <c r="H48" s="18" t="s">
        <v>98</v>
      </c>
      <c r="I48" s="18" t="s">
        <v>83</v>
      </c>
      <c r="J48" s="18" t="s">
        <v>79</v>
      </c>
      <c r="K48" s="18" t="s">
        <v>80</v>
      </c>
      <c r="L48" s="19">
        <v>155.0</v>
      </c>
      <c r="M48" s="19">
        <v>167916.0</v>
      </c>
      <c r="N48" s="19">
        <v>168271.0</v>
      </c>
      <c r="O48" s="19">
        <v>355.0</v>
      </c>
      <c r="S48" s="18" t="s">
        <v>81</v>
      </c>
    </row>
    <row r="49">
      <c r="A49" s="22">
        <v>46192.56741315972</v>
      </c>
      <c r="B49" s="18" t="s">
        <v>74</v>
      </c>
      <c r="C49" s="18" t="s">
        <v>69</v>
      </c>
      <c r="D49" s="18" t="s">
        <v>12</v>
      </c>
      <c r="E49" s="19">
        <v>1518.0</v>
      </c>
      <c r="F49" s="23">
        <v>46192.0</v>
      </c>
      <c r="H49" s="18" t="s">
        <v>121</v>
      </c>
      <c r="I49" s="18" t="s">
        <v>83</v>
      </c>
      <c r="J49" s="18" t="s">
        <v>79</v>
      </c>
      <c r="K49" s="18" t="s">
        <v>80</v>
      </c>
      <c r="L49" s="19">
        <v>300.0</v>
      </c>
      <c r="M49" s="19">
        <v>3767.0</v>
      </c>
      <c r="N49" s="19">
        <v>4304.0</v>
      </c>
      <c r="O49" s="19">
        <v>537.0</v>
      </c>
      <c r="S49" s="18" t="s">
        <v>81</v>
      </c>
    </row>
    <row r="50">
      <c r="A50" s="22">
        <v>46192.56741315972</v>
      </c>
      <c r="B50" s="18" t="s">
        <v>74</v>
      </c>
      <c r="C50" s="18" t="s">
        <v>69</v>
      </c>
      <c r="D50" s="18" t="s">
        <v>12</v>
      </c>
      <c r="E50" s="19">
        <v>1519.0</v>
      </c>
      <c r="F50" s="23">
        <v>46192.0</v>
      </c>
      <c r="H50" s="18" t="s">
        <v>122</v>
      </c>
      <c r="I50" s="18" t="s">
        <v>83</v>
      </c>
      <c r="J50" s="18" t="s">
        <v>79</v>
      </c>
      <c r="K50" s="18" t="s">
        <v>80</v>
      </c>
      <c r="L50" s="19">
        <v>283.0</v>
      </c>
      <c r="M50" s="19">
        <v>6953.0</v>
      </c>
      <c r="N50" s="19">
        <v>7481.0</v>
      </c>
      <c r="O50" s="19">
        <v>528.0</v>
      </c>
      <c r="S50" s="18" t="s">
        <v>81</v>
      </c>
    </row>
    <row r="51">
      <c r="A51" s="22">
        <v>46192.567413171295</v>
      </c>
      <c r="B51" s="18" t="s">
        <v>74</v>
      </c>
      <c r="C51" s="18" t="s">
        <v>69</v>
      </c>
      <c r="D51" s="18" t="s">
        <v>12</v>
      </c>
      <c r="E51" s="19">
        <v>1520.0</v>
      </c>
      <c r="F51" s="23">
        <v>46192.0</v>
      </c>
      <c r="H51" s="18" t="s">
        <v>91</v>
      </c>
      <c r="I51" s="18" t="s">
        <v>83</v>
      </c>
      <c r="J51" s="18" t="s">
        <v>79</v>
      </c>
      <c r="K51" s="18" t="s">
        <v>80</v>
      </c>
      <c r="L51" s="19">
        <v>23.0</v>
      </c>
      <c r="M51" s="19">
        <v>12493.0</v>
      </c>
      <c r="N51" s="19">
        <v>12735.0</v>
      </c>
      <c r="O51" s="19">
        <v>242.0</v>
      </c>
      <c r="S51" s="18" t="s">
        <v>81</v>
      </c>
    </row>
    <row r="52">
      <c r="A52" s="22">
        <v>46192.56741318287</v>
      </c>
      <c r="B52" s="18" t="s">
        <v>74</v>
      </c>
      <c r="C52" s="18" t="s">
        <v>69</v>
      </c>
      <c r="D52" s="18" t="s">
        <v>12</v>
      </c>
      <c r="E52" s="19">
        <v>1521.0</v>
      </c>
      <c r="F52" s="23">
        <v>46192.0</v>
      </c>
      <c r="H52" s="18" t="s">
        <v>123</v>
      </c>
      <c r="I52" s="18" t="s">
        <v>83</v>
      </c>
      <c r="J52" s="18" t="s">
        <v>79</v>
      </c>
      <c r="K52" s="18" t="s">
        <v>80</v>
      </c>
      <c r="L52" s="19">
        <v>527.0</v>
      </c>
      <c r="M52" s="19">
        <v>201054.0</v>
      </c>
      <c r="N52" s="19">
        <v>202105.0</v>
      </c>
      <c r="O52" s="19">
        <v>1051.0</v>
      </c>
      <c r="S52" s="18" t="s">
        <v>81</v>
      </c>
    </row>
    <row r="53">
      <c r="A53" s="22">
        <v>46192.66216503472</v>
      </c>
      <c r="B53" s="18" t="s">
        <v>74</v>
      </c>
      <c r="C53" s="18" t="s">
        <v>69</v>
      </c>
      <c r="D53" s="18" t="s">
        <v>12</v>
      </c>
      <c r="E53" s="19">
        <v>1522.0</v>
      </c>
      <c r="F53" s="23">
        <v>46192.0</v>
      </c>
      <c r="H53" s="18" t="s">
        <v>77</v>
      </c>
      <c r="I53" s="18" t="s">
        <v>83</v>
      </c>
      <c r="J53" s="18" t="s">
        <v>79</v>
      </c>
      <c r="K53" s="18" t="s">
        <v>80</v>
      </c>
      <c r="L53" s="19">
        <v>45.0</v>
      </c>
      <c r="R53" s="18" t="s">
        <v>124</v>
      </c>
      <c r="S53" s="18" t="s">
        <v>81</v>
      </c>
    </row>
    <row r="54">
      <c r="A54" s="22">
        <v>46192.662165092595</v>
      </c>
      <c r="B54" s="18" t="s">
        <v>74</v>
      </c>
      <c r="C54" s="18" t="s">
        <v>69</v>
      </c>
      <c r="D54" s="18" t="s">
        <v>12</v>
      </c>
      <c r="E54" s="19">
        <v>1523.0</v>
      </c>
      <c r="F54" s="23">
        <v>46192.0</v>
      </c>
      <c r="H54" s="18" t="s">
        <v>77</v>
      </c>
      <c r="I54" s="18" t="s">
        <v>110</v>
      </c>
      <c r="J54" s="18" t="s">
        <v>79</v>
      </c>
      <c r="K54" s="18" t="s">
        <v>110</v>
      </c>
      <c r="L54" s="19">
        <v>5.0</v>
      </c>
      <c r="R54" s="18" t="s">
        <v>125</v>
      </c>
      <c r="S54" s="18" t="s">
        <v>81</v>
      </c>
    </row>
    <row r="55">
      <c r="A55" s="22">
        <v>46192.71528956019</v>
      </c>
      <c r="B55" s="18" t="s">
        <v>74</v>
      </c>
      <c r="C55" s="18" t="s">
        <v>69</v>
      </c>
      <c r="D55" s="18" t="s">
        <v>12</v>
      </c>
      <c r="E55" s="19">
        <v>1524.0</v>
      </c>
      <c r="F55" s="23">
        <v>46192.0</v>
      </c>
      <c r="H55" s="18" t="s">
        <v>84</v>
      </c>
      <c r="I55" s="18" t="s">
        <v>83</v>
      </c>
      <c r="J55" s="18" t="s">
        <v>79</v>
      </c>
      <c r="K55" s="18" t="s">
        <v>80</v>
      </c>
      <c r="L55" s="19">
        <v>456.0</v>
      </c>
      <c r="M55" s="19">
        <v>47711.0</v>
      </c>
      <c r="N55" s="19">
        <v>48609.0</v>
      </c>
      <c r="O55" s="19">
        <v>898.0</v>
      </c>
      <c r="S55" s="18" t="s">
        <v>81</v>
      </c>
    </row>
    <row r="56">
      <c r="A56" s="22">
        <v>46192.71528956019</v>
      </c>
      <c r="B56" s="18" t="s">
        <v>74</v>
      </c>
      <c r="C56" s="18" t="s">
        <v>69</v>
      </c>
      <c r="D56" s="18" t="s">
        <v>12</v>
      </c>
      <c r="E56" s="19">
        <v>1525.0</v>
      </c>
      <c r="F56" s="23">
        <v>46192.0</v>
      </c>
      <c r="H56" s="18" t="s">
        <v>84</v>
      </c>
      <c r="I56" s="18" t="s">
        <v>110</v>
      </c>
      <c r="J56" s="18" t="s">
        <v>79</v>
      </c>
      <c r="K56" s="18" t="s">
        <v>110</v>
      </c>
      <c r="L56" s="19">
        <v>5.0</v>
      </c>
      <c r="R56" s="18" t="s">
        <v>125</v>
      </c>
      <c r="S56" s="18" t="s">
        <v>81</v>
      </c>
    </row>
    <row r="57">
      <c r="A57" s="22">
        <v>46192.72839363426</v>
      </c>
      <c r="B57" s="18" t="s">
        <v>74</v>
      </c>
      <c r="C57" s="18" t="s">
        <v>69</v>
      </c>
      <c r="D57" s="18" t="s">
        <v>12</v>
      </c>
      <c r="E57" s="19">
        <v>1526.0</v>
      </c>
      <c r="F57" s="23">
        <v>46192.0</v>
      </c>
      <c r="H57" s="18" t="s">
        <v>126</v>
      </c>
      <c r="I57" s="18" t="s">
        <v>83</v>
      </c>
      <c r="J57" s="18" t="s">
        <v>79</v>
      </c>
      <c r="K57" s="18" t="s">
        <v>80</v>
      </c>
      <c r="L57" s="19">
        <v>180.0</v>
      </c>
      <c r="M57" s="19">
        <v>587496.0</v>
      </c>
      <c r="N57" s="19">
        <v>587794.0</v>
      </c>
      <c r="O57" s="19">
        <v>298.0</v>
      </c>
      <c r="S57" s="18" t="s">
        <v>81</v>
      </c>
    </row>
    <row r="58">
      <c r="A58" s="22">
        <v>46193.305106562504</v>
      </c>
      <c r="B58" s="18" t="s">
        <v>74</v>
      </c>
      <c r="C58" s="18" t="s">
        <v>69</v>
      </c>
      <c r="D58" s="18" t="s">
        <v>12</v>
      </c>
      <c r="E58" s="19">
        <v>1527.0</v>
      </c>
      <c r="F58" s="23">
        <v>46192.0</v>
      </c>
      <c r="H58" s="18" t="s">
        <v>96</v>
      </c>
      <c r="I58" s="18" t="s">
        <v>83</v>
      </c>
      <c r="J58" s="18" t="s">
        <v>79</v>
      </c>
      <c r="K58" s="18" t="s">
        <v>80</v>
      </c>
      <c r="L58" s="19">
        <v>362.0</v>
      </c>
      <c r="M58" s="19">
        <v>80207.0</v>
      </c>
      <c r="N58" s="19">
        <v>81166.0</v>
      </c>
      <c r="O58" s="19">
        <v>959.0</v>
      </c>
      <c r="S58" s="18" t="s">
        <v>81</v>
      </c>
    </row>
    <row r="59">
      <c r="A59" s="22">
        <v>46193.30510657407</v>
      </c>
      <c r="B59" s="18" t="s">
        <v>74</v>
      </c>
      <c r="C59" s="18" t="s">
        <v>69</v>
      </c>
      <c r="D59" s="18" t="s">
        <v>12</v>
      </c>
      <c r="E59" s="19">
        <v>1528.0</v>
      </c>
      <c r="F59" s="23">
        <v>46192.0</v>
      </c>
      <c r="H59" s="18" t="s">
        <v>127</v>
      </c>
      <c r="I59" s="18" t="s">
        <v>83</v>
      </c>
      <c r="J59" s="18" t="s">
        <v>79</v>
      </c>
      <c r="K59" s="18" t="s">
        <v>80</v>
      </c>
      <c r="L59" s="19">
        <v>191.0</v>
      </c>
      <c r="R59" s="18" t="s">
        <v>128</v>
      </c>
      <c r="S59" s="18" t="s">
        <v>81</v>
      </c>
    </row>
    <row r="60">
      <c r="A60" s="22">
        <v>46193.415746342595</v>
      </c>
      <c r="B60" s="18" t="s">
        <v>74</v>
      </c>
      <c r="C60" s="18" t="s">
        <v>69</v>
      </c>
      <c r="D60" s="18" t="s">
        <v>12</v>
      </c>
      <c r="E60" s="19">
        <v>1529.0</v>
      </c>
      <c r="F60" s="23">
        <v>46193.0</v>
      </c>
      <c r="H60" s="18" t="s">
        <v>88</v>
      </c>
      <c r="I60" s="18" t="s">
        <v>83</v>
      </c>
      <c r="J60" s="18" t="s">
        <v>79</v>
      </c>
      <c r="K60" s="18" t="s">
        <v>80</v>
      </c>
      <c r="L60" s="19">
        <v>490.0</v>
      </c>
      <c r="M60" s="19">
        <v>244724.0</v>
      </c>
      <c r="N60" s="19">
        <v>245687.0</v>
      </c>
      <c r="O60" s="19">
        <v>963.0</v>
      </c>
      <c r="S60" s="18" t="s">
        <v>81</v>
      </c>
    </row>
    <row r="61">
      <c r="A61" s="22">
        <v>46193.415746342595</v>
      </c>
      <c r="B61" s="18" t="s">
        <v>74</v>
      </c>
      <c r="C61" s="18" t="s">
        <v>69</v>
      </c>
      <c r="D61" s="18" t="s">
        <v>12</v>
      </c>
      <c r="E61" s="19">
        <v>1530.0</v>
      </c>
      <c r="F61" s="23">
        <v>46193.0</v>
      </c>
      <c r="H61" s="18" t="s">
        <v>101</v>
      </c>
      <c r="I61" s="18" t="s">
        <v>83</v>
      </c>
      <c r="J61" s="18" t="s">
        <v>79</v>
      </c>
      <c r="K61" s="18" t="s">
        <v>80</v>
      </c>
      <c r="L61" s="19">
        <v>220.0</v>
      </c>
      <c r="M61" s="19">
        <v>117559.0</v>
      </c>
      <c r="N61" s="19">
        <v>118036.0</v>
      </c>
      <c r="O61" s="19">
        <v>477.0</v>
      </c>
      <c r="S61" s="18" t="s">
        <v>81</v>
      </c>
    </row>
    <row r="62">
      <c r="A62" s="22">
        <v>46193.41574635416</v>
      </c>
      <c r="B62" s="18" t="s">
        <v>74</v>
      </c>
      <c r="C62" s="18" t="s">
        <v>69</v>
      </c>
      <c r="D62" s="18" t="s">
        <v>12</v>
      </c>
      <c r="E62" s="19">
        <v>1531.0</v>
      </c>
      <c r="F62" s="23">
        <v>46193.0</v>
      </c>
      <c r="H62" s="18" t="s">
        <v>87</v>
      </c>
      <c r="I62" s="18" t="s">
        <v>83</v>
      </c>
      <c r="J62" s="18" t="s">
        <v>79</v>
      </c>
      <c r="K62" s="18" t="s">
        <v>80</v>
      </c>
      <c r="L62" s="19">
        <v>240.0</v>
      </c>
      <c r="M62" s="19">
        <v>265070.0</v>
      </c>
      <c r="N62" s="19">
        <v>265572.0</v>
      </c>
      <c r="O62" s="19">
        <v>502.0</v>
      </c>
      <c r="S62" s="18" t="s">
        <v>81</v>
      </c>
    </row>
    <row r="63">
      <c r="A63" s="22">
        <v>46193.41574636574</v>
      </c>
      <c r="B63" s="18" t="s">
        <v>74</v>
      </c>
      <c r="C63" s="18" t="s">
        <v>69</v>
      </c>
      <c r="D63" s="18" t="s">
        <v>12</v>
      </c>
      <c r="E63" s="19">
        <v>1532.0</v>
      </c>
      <c r="F63" s="23">
        <v>46193.0</v>
      </c>
      <c r="H63" s="18" t="s">
        <v>119</v>
      </c>
      <c r="I63" s="18" t="s">
        <v>83</v>
      </c>
      <c r="J63" s="18" t="s">
        <v>79</v>
      </c>
      <c r="K63" s="18" t="s">
        <v>80</v>
      </c>
      <c r="L63" s="19">
        <v>305.0</v>
      </c>
      <c r="M63" s="19">
        <v>60879.0</v>
      </c>
      <c r="N63" s="19">
        <v>61619.0</v>
      </c>
      <c r="O63" s="19">
        <v>740.0</v>
      </c>
      <c r="S63" s="18" t="s">
        <v>81</v>
      </c>
    </row>
    <row r="64">
      <c r="A64" s="22">
        <v>46193.41574636574</v>
      </c>
      <c r="B64" s="18" t="s">
        <v>74</v>
      </c>
      <c r="C64" s="18" t="s">
        <v>69</v>
      </c>
      <c r="D64" s="18" t="s">
        <v>12</v>
      </c>
      <c r="E64" s="19">
        <v>1533.0</v>
      </c>
      <c r="F64" s="23">
        <v>46193.0</v>
      </c>
      <c r="H64" s="18" t="s">
        <v>102</v>
      </c>
      <c r="I64" s="18" t="s">
        <v>83</v>
      </c>
      <c r="J64" s="18" t="s">
        <v>79</v>
      </c>
      <c r="K64" s="18" t="s">
        <v>80</v>
      </c>
      <c r="L64" s="19">
        <v>220.0</v>
      </c>
      <c r="M64" s="19">
        <v>254856.0</v>
      </c>
      <c r="N64" s="19">
        <v>255278.0</v>
      </c>
      <c r="O64" s="19">
        <v>422.0</v>
      </c>
      <c r="S64" s="18" t="s">
        <v>81</v>
      </c>
    </row>
    <row r="65">
      <c r="A65" s="22">
        <v>46193.415746377315</v>
      </c>
      <c r="B65" s="18" t="s">
        <v>74</v>
      </c>
      <c r="C65" s="18" t="s">
        <v>69</v>
      </c>
      <c r="D65" s="18" t="s">
        <v>12</v>
      </c>
      <c r="E65" s="19">
        <v>1534.0</v>
      </c>
      <c r="F65" s="23">
        <v>46193.0</v>
      </c>
      <c r="H65" s="18" t="s">
        <v>105</v>
      </c>
      <c r="I65" s="18" t="s">
        <v>83</v>
      </c>
      <c r="J65" s="18" t="s">
        <v>79</v>
      </c>
      <c r="K65" s="18" t="s">
        <v>80</v>
      </c>
      <c r="L65" s="19">
        <v>235.0</v>
      </c>
      <c r="M65" s="19">
        <v>2052.0</v>
      </c>
      <c r="N65" s="19">
        <v>2633.0</v>
      </c>
      <c r="O65" s="19">
        <v>581.0</v>
      </c>
      <c r="S65" s="18" t="s">
        <v>81</v>
      </c>
    </row>
    <row r="66">
      <c r="A66" s="22">
        <v>46193.66953584491</v>
      </c>
      <c r="B66" s="18" t="s">
        <v>74</v>
      </c>
      <c r="C66" s="18" t="s">
        <v>69</v>
      </c>
      <c r="D66" s="18" t="s">
        <v>12</v>
      </c>
      <c r="E66" s="19">
        <v>1535.0</v>
      </c>
      <c r="F66" s="23">
        <v>46192.0</v>
      </c>
      <c r="H66" s="18" t="s">
        <v>86</v>
      </c>
      <c r="I66" s="18" t="s">
        <v>83</v>
      </c>
      <c r="J66" s="18" t="s">
        <v>79</v>
      </c>
      <c r="K66" s="18" t="s">
        <v>80</v>
      </c>
      <c r="L66" s="19">
        <v>263.0</v>
      </c>
      <c r="M66" s="19">
        <v>191860.0</v>
      </c>
      <c r="N66" s="19">
        <v>192346.0</v>
      </c>
      <c r="O66" s="19">
        <v>486.0</v>
      </c>
      <c r="S66" s="18" t="s">
        <v>81</v>
      </c>
    </row>
    <row r="67">
      <c r="A67" s="22">
        <v>46193.67173625</v>
      </c>
      <c r="B67" s="18" t="s">
        <v>74</v>
      </c>
      <c r="C67" s="18" t="s">
        <v>69</v>
      </c>
      <c r="D67" s="18" t="s">
        <v>12</v>
      </c>
      <c r="E67" s="19">
        <v>1536.0</v>
      </c>
      <c r="F67" s="23">
        <v>46193.0</v>
      </c>
      <c r="H67" s="18" t="s">
        <v>129</v>
      </c>
      <c r="I67" s="18" t="s">
        <v>83</v>
      </c>
      <c r="J67" s="18" t="s">
        <v>79</v>
      </c>
      <c r="K67" s="18" t="s">
        <v>80</v>
      </c>
      <c r="L67" s="19">
        <v>226.0</v>
      </c>
      <c r="M67" s="19">
        <v>7059.0</v>
      </c>
      <c r="N67" s="19">
        <v>7510.0</v>
      </c>
      <c r="O67" s="19">
        <v>451.0</v>
      </c>
      <c r="S67" s="18" t="s">
        <v>81</v>
      </c>
    </row>
    <row r="68">
      <c r="A68" s="22">
        <v>46195.33490314815</v>
      </c>
      <c r="B68" s="18" t="s">
        <v>74</v>
      </c>
      <c r="C68" s="18" t="s">
        <v>69</v>
      </c>
      <c r="D68" s="18" t="s">
        <v>12</v>
      </c>
      <c r="E68" s="19">
        <v>1537.0</v>
      </c>
      <c r="F68" s="23">
        <v>46194.0</v>
      </c>
      <c r="H68" s="18" t="s">
        <v>130</v>
      </c>
      <c r="I68" s="18" t="s">
        <v>83</v>
      </c>
      <c r="J68" s="18" t="s">
        <v>79</v>
      </c>
      <c r="K68" s="18" t="s">
        <v>80</v>
      </c>
      <c r="L68" s="19">
        <v>182.0</v>
      </c>
      <c r="R68" s="18" t="s">
        <v>131</v>
      </c>
      <c r="S68" s="18" t="s">
        <v>81</v>
      </c>
    </row>
    <row r="69">
      <c r="A69" s="22">
        <v>46195.33490314815</v>
      </c>
      <c r="B69" s="18" t="s">
        <v>74</v>
      </c>
      <c r="C69" s="18" t="s">
        <v>69</v>
      </c>
      <c r="D69" s="18" t="s">
        <v>12</v>
      </c>
      <c r="E69" s="19">
        <v>1538.0</v>
      </c>
      <c r="F69" s="23">
        <v>46194.0</v>
      </c>
      <c r="H69" s="18" t="s">
        <v>100</v>
      </c>
      <c r="I69" s="18" t="s">
        <v>83</v>
      </c>
      <c r="J69" s="18" t="s">
        <v>79</v>
      </c>
      <c r="K69" s="18" t="s">
        <v>80</v>
      </c>
      <c r="L69" s="19">
        <v>372.0</v>
      </c>
      <c r="M69" s="19">
        <v>408237.0</v>
      </c>
      <c r="N69" s="19">
        <v>409248.0</v>
      </c>
      <c r="O69" s="19">
        <v>1011.0</v>
      </c>
      <c r="S69" s="18" t="s">
        <v>81</v>
      </c>
    </row>
    <row r="70">
      <c r="A70" s="22">
        <v>46195.33490315972</v>
      </c>
      <c r="B70" s="18" t="s">
        <v>74</v>
      </c>
      <c r="C70" s="18" t="s">
        <v>69</v>
      </c>
      <c r="D70" s="18" t="s">
        <v>12</v>
      </c>
      <c r="E70" s="19">
        <v>1539.0</v>
      </c>
      <c r="F70" s="23">
        <v>46194.0</v>
      </c>
      <c r="H70" s="18" t="s">
        <v>118</v>
      </c>
      <c r="I70" s="18" t="s">
        <v>83</v>
      </c>
      <c r="J70" s="18" t="s">
        <v>79</v>
      </c>
      <c r="K70" s="18" t="s">
        <v>80</v>
      </c>
      <c r="L70" s="19">
        <v>380.0</v>
      </c>
      <c r="M70" s="19">
        <v>152853.0</v>
      </c>
      <c r="N70" s="19">
        <v>153859.0</v>
      </c>
      <c r="O70" s="19">
        <v>1006.0</v>
      </c>
      <c r="S70" s="18" t="s">
        <v>81</v>
      </c>
    </row>
    <row r="71">
      <c r="A71" s="22">
        <v>46195.33490315972</v>
      </c>
      <c r="B71" s="18" t="s">
        <v>74</v>
      </c>
      <c r="C71" s="18" t="s">
        <v>69</v>
      </c>
      <c r="D71" s="18" t="s">
        <v>12</v>
      </c>
      <c r="E71" s="19">
        <v>1540.0</v>
      </c>
      <c r="F71" s="23">
        <v>46194.0</v>
      </c>
      <c r="H71" s="18" t="s">
        <v>132</v>
      </c>
      <c r="I71" s="18" t="s">
        <v>83</v>
      </c>
      <c r="J71" s="18" t="s">
        <v>79</v>
      </c>
      <c r="K71" s="18" t="s">
        <v>80</v>
      </c>
      <c r="L71" s="19">
        <v>213.0</v>
      </c>
      <c r="M71" s="19">
        <v>5828.0</v>
      </c>
      <c r="N71" s="19">
        <v>6248.0</v>
      </c>
      <c r="O71" s="19">
        <v>420.0</v>
      </c>
      <c r="S71" s="18" t="s">
        <v>81</v>
      </c>
    </row>
    <row r="72">
      <c r="A72" s="22">
        <v>46195.3349031713</v>
      </c>
      <c r="B72" s="18" t="s">
        <v>74</v>
      </c>
      <c r="C72" s="18" t="s">
        <v>69</v>
      </c>
      <c r="D72" s="18" t="s">
        <v>12</v>
      </c>
      <c r="E72" s="19">
        <v>1541.0</v>
      </c>
      <c r="F72" s="23">
        <v>46194.0</v>
      </c>
      <c r="H72" s="18" t="s">
        <v>113</v>
      </c>
      <c r="I72" s="18" t="s">
        <v>83</v>
      </c>
      <c r="J72" s="18" t="s">
        <v>79</v>
      </c>
      <c r="K72" s="18" t="s">
        <v>80</v>
      </c>
      <c r="L72" s="19">
        <v>209.0</v>
      </c>
      <c r="M72" s="19">
        <v>173193.0</v>
      </c>
      <c r="N72" s="19">
        <v>173617.0</v>
      </c>
      <c r="O72" s="19">
        <v>424.0</v>
      </c>
      <c r="S72" s="18" t="s">
        <v>81</v>
      </c>
    </row>
    <row r="73">
      <c r="A73" s="22">
        <v>46195.3349031713</v>
      </c>
      <c r="B73" s="18" t="s">
        <v>74</v>
      </c>
      <c r="C73" s="18" t="s">
        <v>69</v>
      </c>
      <c r="D73" s="18" t="s">
        <v>12</v>
      </c>
      <c r="E73" s="19">
        <v>1542.0</v>
      </c>
      <c r="F73" s="23">
        <v>46194.0</v>
      </c>
      <c r="H73" s="18" t="s">
        <v>114</v>
      </c>
      <c r="I73" s="18" t="s">
        <v>83</v>
      </c>
      <c r="J73" s="18" t="s">
        <v>79</v>
      </c>
      <c r="K73" s="18" t="s">
        <v>80</v>
      </c>
      <c r="L73" s="19">
        <v>210.0</v>
      </c>
      <c r="M73" s="19">
        <v>276819.0</v>
      </c>
      <c r="N73" s="19">
        <v>277275.0</v>
      </c>
      <c r="O73" s="19">
        <v>456.0</v>
      </c>
      <c r="S73" s="18" t="s">
        <v>81</v>
      </c>
    </row>
    <row r="74">
      <c r="A74" s="22">
        <v>46195.33809265046</v>
      </c>
      <c r="B74" s="18" t="s">
        <v>74</v>
      </c>
      <c r="C74" s="18" t="s">
        <v>69</v>
      </c>
      <c r="D74" s="18" t="s">
        <v>12</v>
      </c>
      <c r="E74" s="19">
        <v>1543.0</v>
      </c>
      <c r="F74" s="23">
        <v>46195.0</v>
      </c>
      <c r="H74" s="18" t="s">
        <v>89</v>
      </c>
      <c r="I74" s="18" t="s">
        <v>83</v>
      </c>
      <c r="J74" s="18" t="s">
        <v>79</v>
      </c>
      <c r="K74" s="18" t="s">
        <v>80</v>
      </c>
      <c r="L74" s="19">
        <v>50.0</v>
      </c>
      <c r="R74" s="18" t="s">
        <v>85</v>
      </c>
      <c r="S74" s="18" t="s">
        <v>81</v>
      </c>
    </row>
    <row r="75">
      <c r="A75" s="22">
        <v>46195.33809266204</v>
      </c>
      <c r="B75" s="18" t="s">
        <v>74</v>
      </c>
      <c r="C75" s="18" t="s">
        <v>69</v>
      </c>
      <c r="D75" s="18" t="s">
        <v>12</v>
      </c>
      <c r="E75" s="19">
        <v>1544.0</v>
      </c>
      <c r="F75" s="23">
        <v>46195.0</v>
      </c>
      <c r="H75" s="18" t="s">
        <v>82</v>
      </c>
      <c r="I75" s="18" t="s">
        <v>83</v>
      </c>
      <c r="J75" s="18" t="s">
        <v>79</v>
      </c>
      <c r="K75" s="18" t="s">
        <v>80</v>
      </c>
      <c r="L75" s="19">
        <v>378.0</v>
      </c>
      <c r="M75" s="19">
        <v>97444.0</v>
      </c>
      <c r="N75" s="19">
        <v>98427.0</v>
      </c>
      <c r="O75" s="19">
        <v>983.0</v>
      </c>
      <c r="S75" s="18" t="s">
        <v>81</v>
      </c>
    </row>
    <row r="76">
      <c r="A76" s="22">
        <v>46195.33809267361</v>
      </c>
      <c r="B76" s="18" t="s">
        <v>74</v>
      </c>
      <c r="C76" s="18" t="s">
        <v>69</v>
      </c>
      <c r="D76" s="18" t="s">
        <v>12</v>
      </c>
      <c r="E76" s="19">
        <v>1545.0</v>
      </c>
      <c r="F76" s="23">
        <v>46195.0</v>
      </c>
      <c r="H76" s="18" t="s">
        <v>97</v>
      </c>
      <c r="I76" s="18" t="s">
        <v>83</v>
      </c>
      <c r="J76" s="18" t="s">
        <v>79</v>
      </c>
      <c r="K76" s="18" t="s">
        <v>80</v>
      </c>
      <c r="L76" s="19">
        <v>246.0</v>
      </c>
      <c r="M76" s="19">
        <v>182820.0</v>
      </c>
      <c r="N76" s="19">
        <v>183113.0</v>
      </c>
      <c r="O76" s="19">
        <v>293.0</v>
      </c>
      <c r="S76" s="18" t="s">
        <v>81</v>
      </c>
    </row>
    <row r="77">
      <c r="A77" s="22">
        <v>46195.33809268518</v>
      </c>
      <c r="B77" s="18" t="s">
        <v>74</v>
      </c>
      <c r="C77" s="18" t="s">
        <v>69</v>
      </c>
      <c r="D77" s="18" t="s">
        <v>12</v>
      </c>
      <c r="E77" s="19">
        <v>1546.0</v>
      </c>
      <c r="F77" s="23">
        <v>46195.0</v>
      </c>
      <c r="H77" s="18" t="s">
        <v>115</v>
      </c>
      <c r="I77" s="18" t="s">
        <v>83</v>
      </c>
      <c r="J77" s="18" t="s">
        <v>79</v>
      </c>
      <c r="K77" s="18" t="s">
        <v>80</v>
      </c>
      <c r="L77" s="19">
        <v>360.0</v>
      </c>
      <c r="M77" s="19">
        <v>17185.0</v>
      </c>
      <c r="N77" s="19">
        <v>18263.0</v>
      </c>
      <c r="O77" s="19">
        <v>1078.0</v>
      </c>
      <c r="S77" s="18" t="s">
        <v>81</v>
      </c>
    </row>
    <row r="78">
      <c r="A78" s="22">
        <v>46195.33809269676</v>
      </c>
      <c r="B78" s="18" t="s">
        <v>74</v>
      </c>
      <c r="C78" s="18" t="s">
        <v>69</v>
      </c>
      <c r="D78" s="18" t="s">
        <v>12</v>
      </c>
      <c r="E78" s="19">
        <v>1547.0</v>
      </c>
      <c r="F78" s="23">
        <v>46195.0</v>
      </c>
      <c r="H78" s="18" t="s">
        <v>103</v>
      </c>
      <c r="I78" s="18" t="s">
        <v>83</v>
      </c>
      <c r="J78" s="18" t="s">
        <v>79</v>
      </c>
      <c r="K78" s="18" t="s">
        <v>80</v>
      </c>
      <c r="L78" s="19">
        <v>175.0</v>
      </c>
      <c r="M78" s="19">
        <v>4326.0</v>
      </c>
      <c r="N78" s="19">
        <v>4340.0</v>
      </c>
      <c r="O78" s="19">
        <v>14.0</v>
      </c>
      <c r="S78" s="18" t="s">
        <v>81</v>
      </c>
    </row>
    <row r="79">
      <c r="A79" s="22">
        <v>46195.338092708334</v>
      </c>
      <c r="B79" s="18" t="s">
        <v>74</v>
      </c>
      <c r="C79" s="18" t="s">
        <v>69</v>
      </c>
      <c r="D79" s="18" t="s">
        <v>12</v>
      </c>
      <c r="E79" s="19">
        <v>1548.0</v>
      </c>
      <c r="F79" s="23">
        <v>46195.0</v>
      </c>
      <c r="H79" s="18" t="s">
        <v>133</v>
      </c>
      <c r="I79" s="18" t="s">
        <v>93</v>
      </c>
      <c r="J79" s="18" t="s">
        <v>79</v>
      </c>
      <c r="K79" s="18" t="s">
        <v>93</v>
      </c>
      <c r="L79" s="19">
        <v>30.0</v>
      </c>
      <c r="R79" s="18" t="s">
        <v>134</v>
      </c>
      <c r="S79" s="18" t="s">
        <v>81</v>
      </c>
    </row>
    <row r="80">
      <c r="A80" s="22">
        <v>46195.3380927199</v>
      </c>
      <c r="B80" s="18" t="s">
        <v>74</v>
      </c>
      <c r="C80" s="18" t="s">
        <v>69</v>
      </c>
      <c r="D80" s="18" t="s">
        <v>12</v>
      </c>
      <c r="E80" s="19">
        <v>1549.0</v>
      </c>
      <c r="F80" s="23">
        <v>46195.0</v>
      </c>
      <c r="H80" s="18" t="s">
        <v>116</v>
      </c>
      <c r="I80" s="18" t="s">
        <v>83</v>
      </c>
      <c r="J80" s="18" t="s">
        <v>79</v>
      </c>
      <c r="K80" s="18" t="s">
        <v>80</v>
      </c>
      <c r="L80" s="19">
        <v>350.0</v>
      </c>
      <c r="M80" s="19">
        <v>81275.0</v>
      </c>
      <c r="N80" s="19">
        <v>82028.0</v>
      </c>
      <c r="O80" s="19">
        <v>753.0</v>
      </c>
      <c r="S80" s="18" t="s">
        <v>81</v>
      </c>
    </row>
    <row r="81">
      <c r="A81" s="22">
        <v>46195.33809273149</v>
      </c>
      <c r="B81" s="18" t="s">
        <v>74</v>
      </c>
      <c r="C81" s="18" t="s">
        <v>69</v>
      </c>
      <c r="D81" s="18" t="s">
        <v>12</v>
      </c>
      <c r="E81" s="19">
        <v>1550.0</v>
      </c>
      <c r="F81" s="23">
        <v>46195.0</v>
      </c>
      <c r="H81" s="18" t="s">
        <v>135</v>
      </c>
      <c r="I81" s="18" t="s">
        <v>83</v>
      </c>
      <c r="J81" s="18" t="s">
        <v>79</v>
      </c>
      <c r="K81" s="18" t="s">
        <v>80</v>
      </c>
      <c r="L81" s="19">
        <v>56.0</v>
      </c>
      <c r="M81" s="19">
        <v>478299.0</v>
      </c>
      <c r="N81" s="19">
        <v>479019.0</v>
      </c>
      <c r="O81" s="19">
        <v>720.0</v>
      </c>
      <c r="S81" s="18" t="s">
        <v>81</v>
      </c>
    </row>
    <row r="82">
      <c r="A82" s="22">
        <v>46195.33809273149</v>
      </c>
      <c r="B82" s="18" t="s">
        <v>74</v>
      </c>
      <c r="C82" s="18" t="s">
        <v>69</v>
      </c>
      <c r="D82" s="18" t="s">
        <v>12</v>
      </c>
      <c r="E82" s="19">
        <v>1551.0</v>
      </c>
      <c r="F82" s="23">
        <v>46195.0</v>
      </c>
      <c r="H82" s="18" t="s">
        <v>98</v>
      </c>
      <c r="I82" s="18" t="s">
        <v>83</v>
      </c>
      <c r="J82" s="18" t="s">
        <v>79</v>
      </c>
      <c r="K82" s="18" t="s">
        <v>80</v>
      </c>
      <c r="L82" s="19">
        <v>160.0</v>
      </c>
      <c r="M82" s="19">
        <v>168271.0</v>
      </c>
      <c r="N82" s="19">
        <v>168604.0</v>
      </c>
      <c r="O82" s="19">
        <v>333.0</v>
      </c>
      <c r="S82" s="18" t="s">
        <v>81</v>
      </c>
    </row>
    <row r="83">
      <c r="A83" s="22">
        <v>46195.338092743055</v>
      </c>
      <c r="B83" s="18" t="s">
        <v>74</v>
      </c>
      <c r="C83" s="18" t="s">
        <v>69</v>
      </c>
      <c r="D83" s="18" t="s">
        <v>12</v>
      </c>
      <c r="E83" s="19">
        <v>1552.0</v>
      </c>
      <c r="F83" s="23">
        <v>46195.0</v>
      </c>
      <c r="H83" s="18" t="s">
        <v>136</v>
      </c>
      <c r="I83" s="18" t="s">
        <v>83</v>
      </c>
      <c r="J83" s="18" t="s">
        <v>79</v>
      </c>
      <c r="K83" s="18" t="s">
        <v>80</v>
      </c>
      <c r="L83" s="19">
        <v>74.0</v>
      </c>
      <c r="M83" s="19">
        <v>320053.0</v>
      </c>
      <c r="N83" s="19">
        <v>321012.0</v>
      </c>
      <c r="O83" s="19">
        <v>959.0</v>
      </c>
      <c r="S83" s="18" t="s">
        <v>81</v>
      </c>
    </row>
    <row r="84">
      <c r="A84" s="22">
        <v>46195.41750930555</v>
      </c>
      <c r="B84" s="18" t="s">
        <v>74</v>
      </c>
      <c r="C84" s="18" t="s">
        <v>69</v>
      </c>
      <c r="D84" s="18" t="s">
        <v>12</v>
      </c>
      <c r="E84" s="19">
        <v>1553.0</v>
      </c>
      <c r="F84" s="23">
        <v>46195.0</v>
      </c>
      <c r="H84" s="18" t="s">
        <v>84</v>
      </c>
      <c r="I84" s="18" t="s">
        <v>83</v>
      </c>
      <c r="J84" s="18" t="s">
        <v>79</v>
      </c>
      <c r="K84" s="18" t="s">
        <v>80</v>
      </c>
      <c r="L84" s="19">
        <v>40.0</v>
      </c>
      <c r="R84" s="18" t="s">
        <v>85</v>
      </c>
      <c r="S84" s="18" t="s">
        <v>81</v>
      </c>
    </row>
    <row r="85">
      <c r="A85" s="22">
        <v>46195.41750931713</v>
      </c>
      <c r="B85" s="18" t="s">
        <v>74</v>
      </c>
      <c r="C85" s="18" t="s">
        <v>69</v>
      </c>
      <c r="D85" s="18" t="s">
        <v>12</v>
      </c>
      <c r="E85" s="19">
        <v>1554.0</v>
      </c>
      <c r="F85" s="23">
        <v>46195.0</v>
      </c>
      <c r="H85" s="18" t="s">
        <v>119</v>
      </c>
      <c r="I85" s="18" t="s">
        <v>83</v>
      </c>
      <c r="J85" s="18" t="s">
        <v>79</v>
      </c>
      <c r="K85" s="18" t="s">
        <v>80</v>
      </c>
      <c r="L85" s="19">
        <v>328.0</v>
      </c>
      <c r="M85" s="19">
        <v>61619.0</v>
      </c>
      <c r="N85" s="19">
        <v>62390.0</v>
      </c>
      <c r="O85" s="19">
        <v>771.0</v>
      </c>
      <c r="S85" s="18" t="s">
        <v>81</v>
      </c>
    </row>
    <row r="86">
      <c r="A86" s="22">
        <v>46196.285893576394</v>
      </c>
      <c r="B86" s="18" t="s">
        <v>74</v>
      </c>
      <c r="C86" s="18" t="s">
        <v>69</v>
      </c>
      <c r="D86" s="18" t="s">
        <v>12</v>
      </c>
      <c r="E86" s="19">
        <v>1555.0</v>
      </c>
      <c r="F86" s="23">
        <v>46195.0</v>
      </c>
      <c r="H86" s="18" t="s">
        <v>127</v>
      </c>
      <c r="I86" s="18" t="s">
        <v>83</v>
      </c>
      <c r="J86" s="18" t="s">
        <v>79</v>
      </c>
      <c r="K86" s="18" t="s">
        <v>80</v>
      </c>
      <c r="L86" s="19">
        <v>150.0</v>
      </c>
      <c r="R86" s="18" t="s">
        <v>137</v>
      </c>
      <c r="S86" s="18" t="s">
        <v>81</v>
      </c>
    </row>
    <row r="87">
      <c r="A87" s="22">
        <v>46196.28589358796</v>
      </c>
      <c r="B87" s="18" t="s">
        <v>74</v>
      </c>
      <c r="C87" s="18" t="s">
        <v>69</v>
      </c>
      <c r="D87" s="18" t="s">
        <v>12</v>
      </c>
      <c r="E87" s="19">
        <v>1556.0</v>
      </c>
      <c r="F87" s="23">
        <v>46195.0</v>
      </c>
      <c r="H87" s="18" t="s">
        <v>112</v>
      </c>
      <c r="I87" s="18" t="s">
        <v>83</v>
      </c>
      <c r="J87" s="18" t="s">
        <v>79</v>
      </c>
      <c r="K87" s="18" t="s">
        <v>80</v>
      </c>
      <c r="L87" s="19">
        <v>227.0</v>
      </c>
      <c r="M87" s="19">
        <v>100007.0</v>
      </c>
      <c r="N87" s="19">
        <v>100470.0</v>
      </c>
      <c r="O87" s="19">
        <v>463.0</v>
      </c>
      <c r="S87" s="18" t="s">
        <v>81</v>
      </c>
    </row>
    <row r="88">
      <c r="A88" s="22">
        <v>46196.28589358796</v>
      </c>
      <c r="B88" s="18" t="s">
        <v>74</v>
      </c>
      <c r="C88" s="18" t="s">
        <v>69</v>
      </c>
      <c r="D88" s="18" t="s">
        <v>12</v>
      </c>
      <c r="E88" s="19">
        <v>1557.0</v>
      </c>
      <c r="F88" s="23">
        <v>46195.0</v>
      </c>
      <c r="H88" s="18" t="s">
        <v>123</v>
      </c>
      <c r="I88" s="18" t="s">
        <v>83</v>
      </c>
      <c r="J88" s="18" t="s">
        <v>79</v>
      </c>
      <c r="K88" s="18" t="s">
        <v>80</v>
      </c>
      <c r="L88" s="19">
        <v>370.0</v>
      </c>
      <c r="M88" s="19">
        <v>202105.0</v>
      </c>
      <c r="N88" s="19">
        <v>202829.0</v>
      </c>
      <c r="O88" s="19">
        <v>724.0</v>
      </c>
      <c r="S88" s="18" t="s">
        <v>81</v>
      </c>
    </row>
    <row r="89">
      <c r="A89" s="22">
        <v>46196.28589358796</v>
      </c>
      <c r="B89" s="18" t="s">
        <v>74</v>
      </c>
      <c r="C89" s="18" t="s">
        <v>69</v>
      </c>
      <c r="D89" s="18" t="s">
        <v>12</v>
      </c>
      <c r="E89" s="19">
        <v>1558.0</v>
      </c>
      <c r="F89" s="23">
        <v>46195.0</v>
      </c>
      <c r="H89" s="18" t="s">
        <v>106</v>
      </c>
      <c r="I89" s="18" t="s">
        <v>107</v>
      </c>
      <c r="J89" s="18" t="s">
        <v>79</v>
      </c>
      <c r="K89" s="18" t="s">
        <v>107</v>
      </c>
      <c r="L89" s="19">
        <v>20.0</v>
      </c>
      <c r="R89" s="18" t="s">
        <v>108</v>
      </c>
      <c r="S89" s="18" t="s">
        <v>81</v>
      </c>
    </row>
    <row r="90">
      <c r="A90" s="22">
        <v>46196.424249895834</v>
      </c>
      <c r="B90" s="18" t="s">
        <v>74</v>
      </c>
      <c r="C90" s="18" t="s">
        <v>69</v>
      </c>
      <c r="D90" s="18" t="s">
        <v>12</v>
      </c>
      <c r="E90" s="19">
        <v>1559.0</v>
      </c>
      <c r="F90" s="23">
        <v>46196.0</v>
      </c>
      <c r="H90" s="18" t="s">
        <v>117</v>
      </c>
      <c r="I90" s="18" t="s">
        <v>83</v>
      </c>
      <c r="J90" s="18" t="s">
        <v>79</v>
      </c>
      <c r="K90" s="18" t="s">
        <v>80</v>
      </c>
      <c r="L90" s="19">
        <v>163.0</v>
      </c>
      <c r="M90" s="19">
        <v>8365.0</v>
      </c>
      <c r="N90" s="19">
        <v>8378.0</v>
      </c>
      <c r="O90" s="19">
        <v>13.0</v>
      </c>
      <c r="S90" s="18" t="s">
        <v>81</v>
      </c>
    </row>
    <row r="91">
      <c r="A91" s="22">
        <v>46196.4242499074</v>
      </c>
      <c r="B91" s="18" t="s">
        <v>74</v>
      </c>
      <c r="C91" s="18" t="s">
        <v>69</v>
      </c>
      <c r="D91" s="18" t="s">
        <v>12</v>
      </c>
      <c r="E91" s="19">
        <v>1560.0</v>
      </c>
      <c r="F91" s="23">
        <v>46196.0</v>
      </c>
      <c r="H91" s="18" t="s">
        <v>88</v>
      </c>
      <c r="I91" s="18" t="s">
        <v>83</v>
      </c>
      <c r="J91" s="18" t="s">
        <v>79</v>
      </c>
      <c r="K91" s="18" t="s">
        <v>80</v>
      </c>
      <c r="L91" s="19">
        <v>477.0</v>
      </c>
      <c r="M91" s="19">
        <v>245687.0</v>
      </c>
      <c r="N91" s="19">
        <v>246656.0</v>
      </c>
      <c r="O91" s="19">
        <v>969.0</v>
      </c>
      <c r="S91" s="18" t="s">
        <v>81</v>
      </c>
    </row>
    <row r="92">
      <c r="A92" s="22">
        <v>46197.312200416665</v>
      </c>
      <c r="B92" s="18" t="s">
        <v>74</v>
      </c>
      <c r="C92" s="18" t="s">
        <v>69</v>
      </c>
      <c r="D92" s="18" t="s">
        <v>12</v>
      </c>
      <c r="E92" s="19">
        <v>1561.0</v>
      </c>
      <c r="F92" s="23">
        <v>46196.0</v>
      </c>
      <c r="H92" s="18" t="s">
        <v>97</v>
      </c>
      <c r="I92" s="18" t="s">
        <v>83</v>
      </c>
      <c r="J92" s="18" t="s">
        <v>79</v>
      </c>
      <c r="K92" s="18" t="s">
        <v>80</v>
      </c>
      <c r="L92" s="19">
        <v>172.0</v>
      </c>
      <c r="M92" s="19">
        <v>183113.0</v>
      </c>
      <c r="N92" s="19">
        <v>183141.0</v>
      </c>
      <c r="O92" s="19">
        <v>28.0</v>
      </c>
      <c r="S92" s="18" t="s">
        <v>81</v>
      </c>
    </row>
    <row r="93">
      <c r="A93" s="22">
        <v>46197.31220042824</v>
      </c>
      <c r="B93" s="18" t="s">
        <v>74</v>
      </c>
      <c r="C93" s="18" t="s">
        <v>69</v>
      </c>
      <c r="D93" s="18" t="s">
        <v>12</v>
      </c>
      <c r="E93" s="19">
        <v>1562.0</v>
      </c>
      <c r="F93" s="23">
        <v>46196.0</v>
      </c>
      <c r="H93" s="18" t="s">
        <v>99</v>
      </c>
      <c r="I93" s="18" t="s">
        <v>83</v>
      </c>
      <c r="J93" s="18" t="s">
        <v>79</v>
      </c>
      <c r="K93" s="18" t="s">
        <v>80</v>
      </c>
      <c r="L93" s="19">
        <v>370.0</v>
      </c>
      <c r="M93" s="19">
        <v>154468.0</v>
      </c>
      <c r="N93" s="19">
        <v>155180.0</v>
      </c>
      <c r="O93" s="19">
        <v>712.0</v>
      </c>
      <c r="S93" s="18" t="s">
        <v>81</v>
      </c>
    </row>
    <row r="94">
      <c r="A94" s="22">
        <v>46197.31220042824</v>
      </c>
      <c r="B94" s="18" t="s">
        <v>74</v>
      </c>
      <c r="C94" s="18" t="s">
        <v>69</v>
      </c>
      <c r="D94" s="18" t="s">
        <v>12</v>
      </c>
      <c r="E94" s="19">
        <v>1563.0</v>
      </c>
      <c r="F94" s="23">
        <v>46196.0</v>
      </c>
      <c r="H94" s="18" t="s">
        <v>138</v>
      </c>
      <c r="I94" s="18" t="s">
        <v>83</v>
      </c>
      <c r="J94" s="18" t="s">
        <v>79</v>
      </c>
      <c r="K94" s="18" t="s">
        <v>80</v>
      </c>
      <c r="L94" s="19">
        <v>220.0</v>
      </c>
      <c r="M94" s="19">
        <v>105627.0</v>
      </c>
      <c r="N94" s="19">
        <v>106188.0</v>
      </c>
      <c r="O94" s="19">
        <v>561.0</v>
      </c>
      <c r="S94" s="18" t="s">
        <v>81</v>
      </c>
    </row>
    <row r="95">
      <c r="A95" s="22">
        <v>46197.31220043982</v>
      </c>
      <c r="B95" s="18" t="s">
        <v>74</v>
      </c>
      <c r="C95" s="18" t="s">
        <v>69</v>
      </c>
      <c r="D95" s="18" t="s">
        <v>12</v>
      </c>
      <c r="E95" s="19">
        <v>1564.0</v>
      </c>
      <c r="F95" s="23">
        <v>46196.0</v>
      </c>
      <c r="H95" s="18" t="s">
        <v>96</v>
      </c>
      <c r="I95" s="18" t="s">
        <v>83</v>
      </c>
      <c r="J95" s="18" t="s">
        <v>79</v>
      </c>
      <c r="K95" s="18" t="s">
        <v>80</v>
      </c>
      <c r="L95" s="19">
        <v>400.0</v>
      </c>
      <c r="M95" s="19">
        <v>81166.0</v>
      </c>
      <c r="N95" s="19">
        <v>82258.0</v>
      </c>
      <c r="O95" s="19">
        <v>1092.0</v>
      </c>
      <c r="S95" s="18" t="s">
        <v>81</v>
      </c>
    </row>
    <row r="96">
      <c r="A96" s="22">
        <v>46197.312200451386</v>
      </c>
      <c r="B96" s="18" t="s">
        <v>74</v>
      </c>
      <c r="C96" s="18" t="s">
        <v>69</v>
      </c>
      <c r="D96" s="18" t="s">
        <v>12</v>
      </c>
      <c r="E96" s="19">
        <v>1565.0</v>
      </c>
      <c r="F96" s="23">
        <v>46196.0</v>
      </c>
      <c r="H96" s="18" t="s">
        <v>96</v>
      </c>
      <c r="I96" s="18" t="s">
        <v>93</v>
      </c>
      <c r="J96" s="18" t="s">
        <v>79</v>
      </c>
      <c r="K96" s="18" t="s">
        <v>93</v>
      </c>
      <c r="L96" s="19">
        <v>15.0</v>
      </c>
      <c r="R96" s="18" t="s">
        <v>139</v>
      </c>
      <c r="S96" s="18" t="s">
        <v>81</v>
      </c>
    </row>
    <row r="97">
      <c r="A97" s="22">
        <v>46197.31531248843</v>
      </c>
      <c r="B97" s="18" t="s">
        <v>74</v>
      </c>
      <c r="C97" s="18" t="s">
        <v>69</v>
      </c>
      <c r="D97" s="18" t="s">
        <v>16</v>
      </c>
      <c r="E97" s="19">
        <v>1566.0</v>
      </c>
      <c r="F97" s="23">
        <v>46196.0</v>
      </c>
      <c r="H97" s="18" t="s">
        <v>140</v>
      </c>
      <c r="I97" s="18" t="s">
        <v>141</v>
      </c>
      <c r="J97" s="18" t="s">
        <v>142</v>
      </c>
      <c r="K97" s="18" t="s">
        <v>80</v>
      </c>
      <c r="L97" s="19">
        <v>22930.0</v>
      </c>
      <c r="P97" s="19">
        <v>23830.0</v>
      </c>
      <c r="Q97" s="19">
        <v>5.464219E8</v>
      </c>
      <c r="R97" s="18" t="s">
        <v>143</v>
      </c>
      <c r="S97" s="18" t="s">
        <v>144</v>
      </c>
    </row>
    <row r="98">
      <c r="A98" s="22">
        <v>46197.649034421294</v>
      </c>
      <c r="B98" s="18" t="s">
        <v>74</v>
      </c>
      <c r="C98" s="18" t="s">
        <v>69</v>
      </c>
      <c r="D98" s="18" t="s">
        <v>12</v>
      </c>
      <c r="E98" s="19">
        <v>1567.0</v>
      </c>
      <c r="F98" s="23">
        <v>46197.0</v>
      </c>
      <c r="H98" s="18" t="s">
        <v>101</v>
      </c>
      <c r="I98" s="18" t="s">
        <v>83</v>
      </c>
      <c r="J98" s="18" t="s">
        <v>79</v>
      </c>
      <c r="K98" s="18" t="s">
        <v>80</v>
      </c>
      <c r="L98" s="19">
        <v>230.0</v>
      </c>
      <c r="M98" s="19">
        <v>118036.0</v>
      </c>
      <c r="N98" s="19">
        <v>118501.0</v>
      </c>
      <c r="O98" s="19">
        <v>465.0</v>
      </c>
      <c r="S98" s="18" t="s">
        <v>81</v>
      </c>
    </row>
    <row r="99">
      <c r="A99" s="22">
        <v>46197.64903443287</v>
      </c>
      <c r="B99" s="18" t="s">
        <v>74</v>
      </c>
      <c r="C99" s="18" t="s">
        <v>69</v>
      </c>
      <c r="D99" s="18" t="s">
        <v>12</v>
      </c>
      <c r="E99" s="19">
        <v>1568.0</v>
      </c>
      <c r="F99" s="23">
        <v>46197.0</v>
      </c>
      <c r="H99" s="18" t="s">
        <v>98</v>
      </c>
      <c r="I99" s="18" t="s">
        <v>83</v>
      </c>
      <c r="J99" s="18" t="s">
        <v>79</v>
      </c>
      <c r="K99" s="18" t="s">
        <v>80</v>
      </c>
      <c r="L99" s="19">
        <v>161.0</v>
      </c>
      <c r="M99" s="19">
        <v>168604.0</v>
      </c>
      <c r="N99" s="19">
        <v>168960.0</v>
      </c>
      <c r="O99" s="19">
        <v>356.0</v>
      </c>
      <c r="S99" s="18" t="s">
        <v>81</v>
      </c>
    </row>
    <row r="100">
      <c r="A100" s="22">
        <v>46197.64903444445</v>
      </c>
      <c r="B100" s="18" t="s">
        <v>74</v>
      </c>
      <c r="C100" s="18" t="s">
        <v>69</v>
      </c>
      <c r="D100" s="18" t="s">
        <v>12</v>
      </c>
      <c r="E100" s="19">
        <v>1569.0</v>
      </c>
      <c r="F100" s="23">
        <v>46197.0</v>
      </c>
      <c r="H100" s="18" t="s">
        <v>113</v>
      </c>
      <c r="I100" s="18" t="s">
        <v>83</v>
      </c>
      <c r="J100" s="18" t="s">
        <v>79</v>
      </c>
      <c r="K100" s="18" t="s">
        <v>80</v>
      </c>
      <c r="L100" s="19">
        <v>208.0</v>
      </c>
      <c r="M100" s="19">
        <v>173617.0</v>
      </c>
      <c r="N100" s="19">
        <v>174042.0</v>
      </c>
      <c r="O100" s="19">
        <v>425.0</v>
      </c>
      <c r="S100" s="18" t="s">
        <v>81</v>
      </c>
    </row>
    <row r="101">
      <c r="A101" s="22">
        <v>46197.649034456015</v>
      </c>
      <c r="B101" s="18" t="s">
        <v>74</v>
      </c>
      <c r="C101" s="18" t="s">
        <v>69</v>
      </c>
      <c r="D101" s="18" t="s">
        <v>12</v>
      </c>
      <c r="E101" s="19">
        <v>1570.0</v>
      </c>
      <c r="F101" s="23">
        <v>46197.0</v>
      </c>
      <c r="H101" s="18" t="s">
        <v>86</v>
      </c>
      <c r="I101" s="18" t="s">
        <v>83</v>
      </c>
      <c r="J101" s="18" t="s">
        <v>79</v>
      </c>
      <c r="K101" s="18" t="s">
        <v>80</v>
      </c>
      <c r="L101" s="19">
        <v>226.0</v>
      </c>
      <c r="M101" s="19">
        <v>192346.0</v>
      </c>
      <c r="N101" s="19">
        <v>192786.0</v>
      </c>
      <c r="O101" s="19">
        <v>440.0</v>
      </c>
      <c r="S101" s="18" t="s">
        <v>81</v>
      </c>
    </row>
    <row r="102">
      <c r="A102" s="22">
        <v>46197.649034456015</v>
      </c>
      <c r="B102" s="18" t="s">
        <v>74</v>
      </c>
      <c r="C102" s="18" t="s">
        <v>69</v>
      </c>
      <c r="D102" s="18" t="s">
        <v>12</v>
      </c>
      <c r="E102" s="19">
        <v>1571.0</v>
      </c>
      <c r="F102" s="23">
        <v>46197.0</v>
      </c>
      <c r="H102" s="18" t="s">
        <v>102</v>
      </c>
      <c r="I102" s="18" t="s">
        <v>83</v>
      </c>
      <c r="J102" s="18" t="s">
        <v>79</v>
      </c>
      <c r="K102" s="18" t="s">
        <v>80</v>
      </c>
      <c r="L102" s="19">
        <v>237.0</v>
      </c>
      <c r="M102" s="19">
        <v>255278.0</v>
      </c>
      <c r="N102" s="19">
        <v>255810.0</v>
      </c>
      <c r="O102" s="19">
        <v>532.0</v>
      </c>
      <c r="S102" s="18" t="s">
        <v>81</v>
      </c>
    </row>
    <row r="103">
      <c r="A103" s="22">
        <v>46197.64903446759</v>
      </c>
      <c r="B103" s="18" t="s">
        <v>74</v>
      </c>
      <c r="C103" s="18" t="s">
        <v>69</v>
      </c>
      <c r="D103" s="18" t="s">
        <v>12</v>
      </c>
      <c r="E103" s="19">
        <v>1572.0</v>
      </c>
      <c r="F103" s="23">
        <v>46197.0</v>
      </c>
      <c r="H103" s="18" t="s">
        <v>145</v>
      </c>
      <c r="I103" s="18" t="s">
        <v>83</v>
      </c>
      <c r="J103" s="18" t="s">
        <v>79</v>
      </c>
      <c r="K103" s="18" t="s">
        <v>80</v>
      </c>
      <c r="L103" s="19">
        <v>250.0</v>
      </c>
      <c r="M103" s="19">
        <v>265087.0</v>
      </c>
      <c r="N103" s="19">
        <v>265552.0</v>
      </c>
      <c r="O103" s="19">
        <v>465.0</v>
      </c>
      <c r="S103" s="18" t="s">
        <v>81</v>
      </c>
    </row>
    <row r="104">
      <c r="A104" s="22">
        <v>46197.64903447917</v>
      </c>
      <c r="B104" s="18" t="s">
        <v>74</v>
      </c>
      <c r="C104" s="18" t="s">
        <v>69</v>
      </c>
      <c r="D104" s="18" t="s">
        <v>12</v>
      </c>
      <c r="E104" s="19">
        <v>1573.0</v>
      </c>
      <c r="F104" s="23">
        <v>46197.0</v>
      </c>
      <c r="H104" s="18" t="s">
        <v>103</v>
      </c>
      <c r="I104" s="18" t="s">
        <v>83</v>
      </c>
      <c r="J104" s="18" t="s">
        <v>79</v>
      </c>
      <c r="K104" s="18" t="s">
        <v>80</v>
      </c>
      <c r="L104" s="19">
        <v>164.0</v>
      </c>
      <c r="M104" s="19">
        <v>4340.0</v>
      </c>
      <c r="N104" s="19">
        <v>4355.0</v>
      </c>
      <c r="O104" s="19">
        <v>15.0</v>
      </c>
      <c r="S104" s="18" t="s">
        <v>81</v>
      </c>
    </row>
    <row r="105">
      <c r="A105" s="22">
        <v>46197.649034490736</v>
      </c>
      <c r="B105" s="18" t="s">
        <v>74</v>
      </c>
      <c r="C105" s="18" t="s">
        <v>69</v>
      </c>
      <c r="D105" s="18" t="s">
        <v>12</v>
      </c>
      <c r="E105" s="19">
        <v>1574.0</v>
      </c>
      <c r="F105" s="23">
        <v>46197.0</v>
      </c>
      <c r="H105" s="18" t="s">
        <v>91</v>
      </c>
      <c r="I105" s="18" t="s">
        <v>83</v>
      </c>
      <c r="J105" s="18" t="s">
        <v>79</v>
      </c>
      <c r="K105" s="18" t="s">
        <v>80</v>
      </c>
      <c r="L105" s="19">
        <v>46.0</v>
      </c>
      <c r="M105" s="19">
        <v>12735.0</v>
      </c>
      <c r="N105" s="19">
        <v>13492.0</v>
      </c>
      <c r="O105" s="19">
        <v>757.0</v>
      </c>
      <c r="S105" s="18" t="s">
        <v>81</v>
      </c>
    </row>
    <row r="106">
      <c r="A106" s="22">
        <v>46197.649034490736</v>
      </c>
      <c r="B106" s="18" t="s">
        <v>74</v>
      </c>
      <c r="C106" s="18" t="s">
        <v>69</v>
      </c>
      <c r="D106" s="18" t="s">
        <v>12</v>
      </c>
      <c r="E106" s="19">
        <v>1575.0</v>
      </c>
      <c r="F106" s="23">
        <v>46197.0</v>
      </c>
      <c r="H106" s="18" t="s">
        <v>105</v>
      </c>
      <c r="I106" s="18" t="s">
        <v>83</v>
      </c>
      <c r="J106" s="18" t="s">
        <v>79</v>
      </c>
      <c r="K106" s="18" t="s">
        <v>80</v>
      </c>
      <c r="L106" s="19">
        <v>235.0</v>
      </c>
      <c r="M106" s="19">
        <v>2633.0</v>
      </c>
      <c r="N106" s="19">
        <v>3203.0</v>
      </c>
      <c r="O106" s="19">
        <v>570.0</v>
      </c>
      <c r="S106" s="18" t="s">
        <v>81</v>
      </c>
    </row>
    <row r="107">
      <c r="A107" s="22">
        <v>46197.649034490736</v>
      </c>
      <c r="B107" s="18" t="s">
        <v>74</v>
      </c>
      <c r="C107" s="18" t="s">
        <v>69</v>
      </c>
      <c r="D107" s="18" t="s">
        <v>12</v>
      </c>
      <c r="E107" s="19">
        <v>1576.0</v>
      </c>
      <c r="F107" s="23">
        <v>46197.0</v>
      </c>
      <c r="H107" s="18" t="s">
        <v>119</v>
      </c>
      <c r="I107" s="18" t="s">
        <v>83</v>
      </c>
      <c r="J107" s="18" t="s">
        <v>79</v>
      </c>
      <c r="K107" s="18" t="s">
        <v>80</v>
      </c>
      <c r="L107" s="19">
        <v>448.0</v>
      </c>
      <c r="M107" s="19">
        <v>62390.0</v>
      </c>
      <c r="N107" s="19">
        <v>63509.0</v>
      </c>
      <c r="O107" s="19">
        <v>1119.0</v>
      </c>
      <c r="S107" s="18" t="s">
        <v>81</v>
      </c>
    </row>
    <row r="108">
      <c r="A108" s="22">
        <v>46197.64903450232</v>
      </c>
      <c r="B108" s="18" t="s">
        <v>74</v>
      </c>
      <c r="C108" s="18" t="s">
        <v>69</v>
      </c>
      <c r="D108" s="18" t="s">
        <v>12</v>
      </c>
      <c r="E108" s="19">
        <v>1577.0</v>
      </c>
      <c r="F108" s="23">
        <v>46197.0</v>
      </c>
      <c r="H108" s="18" t="s">
        <v>84</v>
      </c>
      <c r="I108" s="18" t="s">
        <v>83</v>
      </c>
      <c r="J108" s="18" t="s">
        <v>79</v>
      </c>
      <c r="K108" s="18" t="s">
        <v>80</v>
      </c>
      <c r="L108" s="19">
        <v>55.0</v>
      </c>
      <c r="R108" s="18" t="s">
        <v>124</v>
      </c>
      <c r="S108" s="18" t="s">
        <v>81</v>
      </c>
    </row>
    <row r="109">
      <c r="A109" s="22">
        <v>46197.659620833336</v>
      </c>
      <c r="B109" s="18" t="s">
        <v>74</v>
      </c>
      <c r="C109" s="18" t="s">
        <v>69</v>
      </c>
      <c r="D109" s="18" t="s">
        <v>12</v>
      </c>
      <c r="E109" s="19">
        <v>1578.0</v>
      </c>
      <c r="F109" s="23">
        <v>46197.0</v>
      </c>
      <c r="H109" s="18" t="s">
        <v>146</v>
      </c>
      <c r="I109" s="18" t="s">
        <v>83</v>
      </c>
      <c r="J109" s="18" t="s">
        <v>79</v>
      </c>
      <c r="K109" s="18" t="s">
        <v>80</v>
      </c>
      <c r="L109" s="19">
        <v>20.0</v>
      </c>
      <c r="R109" s="18" t="s">
        <v>147</v>
      </c>
      <c r="S109" s="18" t="s">
        <v>81</v>
      </c>
    </row>
    <row r="110">
      <c r="A110" s="22">
        <v>46198.42764760417</v>
      </c>
      <c r="B110" s="18" t="s">
        <v>74</v>
      </c>
      <c r="C110" s="18" t="s">
        <v>69</v>
      </c>
      <c r="D110" s="18" t="s">
        <v>12</v>
      </c>
      <c r="E110" s="19">
        <v>1579.0</v>
      </c>
      <c r="F110" s="23">
        <v>46197.0</v>
      </c>
      <c r="H110" s="18" t="s">
        <v>114</v>
      </c>
      <c r="I110" s="18" t="s">
        <v>83</v>
      </c>
      <c r="J110" s="18" t="s">
        <v>79</v>
      </c>
      <c r="K110" s="18" t="s">
        <v>80</v>
      </c>
      <c r="L110" s="19">
        <v>200.0</v>
      </c>
      <c r="M110" s="19">
        <v>277275.0</v>
      </c>
      <c r="N110" s="19">
        <v>277699.0</v>
      </c>
      <c r="O110" s="19">
        <v>424.0</v>
      </c>
      <c r="S110" s="18" t="s">
        <v>81</v>
      </c>
    </row>
    <row r="111">
      <c r="A111" s="22">
        <v>46198.42764761574</v>
      </c>
      <c r="B111" s="18" t="s">
        <v>74</v>
      </c>
      <c r="C111" s="18" t="s">
        <v>69</v>
      </c>
      <c r="D111" s="18" t="s">
        <v>12</v>
      </c>
      <c r="E111" s="19">
        <v>1580.0</v>
      </c>
      <c r="F111" s="23">
        <v>46197.0</v>
      </c>
      <c r="H111" s="18" t="s">
        <v>100</v>
      </c>
      <c r="I111" s="18" t="s">
        <v>83</v>
      </c>
      <c r="J111" s="18" t="s">
        <v>79</v>
      </c>
      <c r="K111" s="18" t="s">
        <v>80</v>
      </c>
      <c r="L111" s="19">
        <v>355.0</v>
      </c>
      <c r="M111" s="19">
        <v>409248.0</v>
      </c>
      <c r="N111" s="19">
        <v>409982.0</v>
      </c>
      <c r="O111" s="19">
        <v>734.0</v>
      </c>
      <c r="S111" s="18" t="s">
        <v>81</v>
      </c>
    </row>
    <row r="112">
      <c r="A112" s="22">
        <v>46198.43165921296</v>
      </c>
      <c r="B112" s="18" t="s">
        <v>74</v>
      </c>
      <c r="C112" s="18" t="s">
        <v>69</v>
      </c>
      <c r="D112" s="18" t="s">
        <v>12</v>
      </c>
      <c r="E112" s="19">
        <v>1581.0</v>
      </c>
      <c r="F112" s="23">
        <v>46198.0</v>
      </c>
      <c r="H112" s="18" t="s">
        <v>112</v>
      </c>
      <c r="I112" s="18" t="s">
        <v>83</v>
      </c>
      <c r="J112" s="18" t="s">
        <v>79</v>
      </c>
      <c r="K112" s="18" t="s">
        <v>80</v>
      </c>
      <c r="L112" s="19">
        <v>248.0</v>
      </c>
      <c r="M112" s="19">
        <v>100470.0</v>
      </c>
      <c r="N112" s="19">
        <v>101064.0</v>
      </c>
      <c r="O112" s="19">
        <v>594.0</v>
      </c>
      <c r="S112" s="18" t="s">
        <v>81</v>
      </c>
    </row>
    <row r="113">
      <c r="A113" s="22">
        <v>46198.431659236114</v>
      </c>
      <c r="B113" s="18" t="s">
        <v>74</v>
      </c>
      <c r="C113" s="18" t="s">
        <v>69</v>
      </c>
      <c r="D113" s="18" t="s">
        <v>12</v>
      </c>
      <c r="E113" s="19">
        <v>1582.0</v>
      </c>
      <c r="F113" s="23">
        <v>46198.0</v>
      </c>
      <c r="H113" s="18" t="s">
        <v>148</v>
      </c>
      <c r="I113" s="18" t="s">
        <v>83</v>
      </c>
      <c r="J113" s="18" t="s">
        <v>79</v>
      </c>
      <c r="K113" s="18" t="s">
        <v>80</v>
      </c>
      <c r="L113" s="19">
        <v>305.0</v>
      </c>
      <c r="M113" s="19">
        <v>5415.0</v>
      </c>
      <c r="N113" s="19">
        <v>5954.0</v>
      </c>
      <c r="O113" s="19">
        <v>539.0</v>
      </c>
      <c r="S113" s="18" t="s">
        <v>81</v>
      </c>
    </row>
    <row r="114">
      <c r="A114" s="22">
        <v>46198.43165932871</v>
      </c>
      <c r="B114" s="18" t="s">
        <v>74</v>
      </c>
      <c r="C114" s="18" t="s">
        <v>69</v>
      </c>
      <c r="D114" s="18" t="s">
        <v>12</v>
      </c>
      <c r="E114" s="19">
        <v>1583.0</v>
      </c>
      <c r="F114" s="23">
        <v>46198.0</v>
      </c>
      <c r="H114" s="18" t="s">
        <v>116</v>
      </c>
      <c r="I114" s="18" t="s">
        <v>83</v>
      </c>
      <c r="J114" s="18" t="s">
        <v>79</v>
      </c>
      <c r="K114" s="18" t="s">
        <v>80</v>
      </c>
      <c r="L114" s="19">
        <v>335.0</v>
      </c>
      <c r="M114" s="19">
        <v>82028.0</v>
      </c>
      <c r="N114" s="19">
        <v>82757.0</v>
      </c>
      <c r="O114" s="19">
        <v>729.0</v>
      </c>
      <c r="S114" s="18" t="s">
        <v>81</v>
      </c>
    </row>
    <row r="115">
      <c r="A115" s="22">
        <v>46198.43165934028</v>
      </c>
      <c r="B115" s="18" t="s">
        <v>74</v>
      </c>
      <c r="C115" s="18" t="s">
        <v>69</v>
      </c>
      <c r="D115" s="18" t="s">
        <v>12</v>
      </c>
      <c r="E115" s="19">
        <v>1584.0</v>
      </c>
      <c r="F115" s="23">
        <v>46198.0</v>
      </c>
      <c r="H115" s="18" t="s">
        <v>118</v>
      </c>
      <c r="I115" s="18" t="s">
        <v>83</v>
      </c>
      <c r="J115" s="18" t="s">
        <v>79</v>
      </c>
      <c r="K115" s="18" t="s">
        <v>80</v>
      </c>
      <c r="L115" s="19">
        <v>423.0</v>
      </c>
      <c r="M115" s="19">
        <v>153859.0</v>
      </c>
      <c r="N115" s="19">
        <v>154829.0</v>
      </c>
      <c r="O115" s="19">
        <v>970.0</v>
      </c>
      <c r="S115" s="18" t="s">
        <v>81</v>
      </c>
    </row>
    <row r="116">
      <c r="A116" s="22">
        <v>46199.21129460648</v>
      </c>
      <c r="B116" s="18" t="s">
        <v>74</v>
      </c>
      <c r="C116" s="18" t="s">
        <v>69</v>
      </c>
      <c r="D116" s="18" t="s">
        <v>12</v>
      </c>
      <c r="E116" s="19">
        <v>1585.0</v>
      </c>
      <c r="F116" s="23">
        <v>46198.0</v>
      </c>
      <c r="H116" s="18" t="s">
        <v>123</v>
      </c>
      <c r="I116" s="18" t="s">
        <v>149</v>
      </c>
      <c r="J116" s="18" t="s">
        <v>150</v>
      </c>
      <c r="K116" s="18" t="s">
        <v>80</v>
      </c>
      <c r="L116" s="19">
        <v>100.0</v>
      </c>
      <c r="M116" s="19">
        <v>202829.0</v>
      </c>
      <c r="N116" s="19">
        <v>203721.0</v>
      </c>
      <c r="O116" s="19">
        <v>892.0</v>
      </c>
      <c r="S116" s="18" t="s">
        <v>81</v>
      </c>
    </row>
    <row r="117">
      <c r="A117" s="22">
        <v>46199.2441665625</v>
      </c>
      <c r="B117" s="18" t="s">
        <v>74</v>
      </c>
      <c r="C117" s="18" t="s">
        <v>69</v>
      </c>
      <c r="D117" s="18" t="s">
        <v>12</v>
      </c>
      <c r="E117" s="19">
        <v>1586.0</v>
      </c>
      <c r="F117" s="23">
        <v>46198.0</v>
      </c>
      <c r="H117" s="18" t="s">
        <v>97</v>
      </c>
      <c r="I117" s="18" t="s">
        <v>83</v>
      </c>
      <c r="J117" s="18" t="s">
        <v>79</v>
      </c>
      <c r="K117" s="18" t="s">
        <v>80</v>
      </c>
      <c r="L117" s="19">
        <v>203.0</v>
      </c>
      <c r="M117" s="19">
        <v>183141.0</v>
      </c>
      <c r="N117" s="19">
        <v>183447.0</v>
      </c>
      <c r="O117" s="19">
        <v>306.0</v>
      </c>
      <c r="S117" s="18" t="s">
        <v>81</v>
      </c>
    </row>
    <row r="118">
      <c r="A118" s="22">
        <v>46199.24416657408</v>
      </c>
      <c r="B118" s="18" t="s">
        <v>74</v>
      </c>
      <c r="C118" s="18" t="s">
        <v>69</v>
      </c>
      <c r="D118" s="18" t="s">
        <v>12</v>
      </c>
      <c r="E118" s="19">
        <v>1587.0</v>
      </c>
      <c r="F118" s="23">
        <v>46198.0</v>
      </c>
      <c r="H118" s="18" t="s">
        <v>98</v>
      </c>
      <c r="I118" s="18" t="s">
        <v>83</v>
      </c>
      <c r="J118" s="18" t="s">
        <v>79</v>
      </c>
      <c r="K118" s="18" t="s">
        <v>80</v>
      </c>
      <c r="L118" s="19">
        <v>143.0</v>
      </c>
      <c r="M118" s="19">
        <v>168960.0</v>
      </c>
      <c r="N118" s="19">
        <v>169311.0</v>
      </c>
      <c r="O118" s="19">
        <v>351.0</v>
      </c>
      <c r="S118" s="18" t="s">
        <v>81</v>
      </c>
    </row>
    <row r="119">
      <c r="A119" s="22">
        <v>46199.244166585646</v>
      </c>
      <c r="B119" s="18" t="s">
        <v>74</v>
      </c>
      <c r="C119" s="18" t="s">
        <v>69</v>
      </c>
      <c r="D119" s="18" t="s">
        <v>12</v>
      </c>
      <c r="E119" s="19">
        <v>1588.0</v>
      </c>
      <c r="F119" s="23">
        <v>46198.0</v>
      </c>
      <c r="H119" s="18" t="s">
        <v>86</v>
      </c>
      <c r="I119" s="18" t="s">
        <v>83</v>
      </c>
      <c r="J119" s="18" t="s">
        <v>79</v>
      </c>
      <c r="K119" s="18" t="s">
        <v>80</v>
      </c>
      <c r="L119" s="19">
        <v>226.0</v>
      </c>
      <c r="M119" s="19">
        <v>192786.0</v>
      </c>
      <c r="N119" s="19">
        <v>193309.0</v>
      </c>
      <c r="O119" s="19">
        <v>523.0</v>
      </c>
      <c r="S119" s="18" t="s">
        <v>81</v>
      </c>
    </row>
    <row r="120">
      <c r="A120" s="22">
        <v>46199.24416659722</v>
      </c>
      <c r="B120" s="18" t="s">
        <v>74</v>
      </c>
      <c r="C120" s="18" t="s">
        <v>69</v>
      </c>
      <c r="D120" s="18" t="s">
        <v>12</v>
      </c>
      <c r="E120" s="19">
        <v>1589.0</v>
      </c>
      <c r="F120" s="23">
        <v>46198.0</v>
      </c>
      <c r="H120" s="18" t="s">
        <v>89</v>
      </c>
      <c r="I120" s="18" t="s">
        <v>83</v>
      </c>
      <c r="J120" s="18" t="s">
        <v>79</v>
      </c>
      <c r="K120" s="18" t="s">
        <v>80</v>
      </c>
      <c r="L120" s="19">
        <v>54.0</v>
      </c>
      <c r="R120" s="18" t="s">
        <v>85</v>
      </c>
      <c r="S120" s="18" t="s">
        <v>81</v>
      </c>
    </row>
    <row r="121">
      <c r="A121" s="22">
        <v>46199.2441666088</v>
      </c>
      <c r="B121" s="18" t="s">
        <v>74</v>
      </c>
      <c r="C121" s="18" t="s">
        <v>69</v>
      </c>
      <c r="D121" s="18" t="s">
        <v>12</v>
      </c>
      <c r="E121" s="19">
        <v>1590.0</v>
      </c>
      <c r="F121" s="23">
        <v>46198.0</v>
      </c>
      <c r="H121" s="18" t="s">
        <v>123</v>
      </c>
      <c r="I121" s="18" t="s">
        <v>83</v>
      </c>
      <c r="J121" s="18" t="s">
        <v>79</v>
      </c>
      <c r="K121" s="18" t="s">
        <v>80</v>
      </c>
      <c r="L121" s="19">
        <v>434.0</v>
      </c>
      <c r="M121" s="19">
        <v>203721.0</v>
      </c>
      <c r="N121" s="19">
        <v>203880.0</v>
      </c>
      <c r="O121" s="19">
        <v>159.0</v>
      </c>
      <c r="S121" s="18" t="s">
        <v>81</v>
      </c>
    </row>
    <row r="122">
      <c r="A122" s="22">
        <v>46199.2449787963</v>
      </c>
      <c r="B122" s="18" t="s">
        <v>74</v>
      </c>
      <c r="C122" s="18" t="s">
        <v>69</v>
      </c>
      <c r="D122" s="18" t="s">
        <v>12</v>
      </c>
      <c r="E122" s="19">
        <v>1591.0</v>
      </c>
      <c r="F122" s="23">
        <v>46199.0</v>
      </c>
      <c r="H122" s="18" t="s">
        <v>82</v>
      </c>
      <c r="I122" s="18" t="s">
        <v>83</v>
      </c>
      <c r="J122" s="18" t="s">
        <v>79</v>
      </c>
      <c r="K122" s="18" t="s">
        <v>80</v>
      </c>
      <c r="L122" s="19">
        <v>390.0</v>
      </c>
      <c r="M122" s="19">
        <v>98427.0</v>
      </c>
      <c r="N122" s="19">
        <v>99391.0</v>
      </c>
      <c r="O122" s="19">
        <v>964.0</v>
      </c>
      <c r="S122" s="18" t="s">
        <v>81</v>
      </c>
    </row>
    <row r="123">
      <c r="A123" s="22">
        <v>46199.69096792824</v>
      </c>
      <c r="B123" s="18" t="s">
        <v>74</v>
      </c>
      <c r="C123" s="18" t="s">
        <v>69</v>
      </c>
      <c r="D123" s="18" t="s">
        <v>12</v>
      </c>
      <c r="E123" s="19">
        <v>1592.0</v>
      </c>
      <c r="F123" s="23">
        <v>46199.0</v>
      </c>
      <c r="H123" s="18" t="s">
        <v>138</v>
      </c>
      <c r="I123" s="18" t="s">
        <v>83</v>
      </c>
      <c r="J123" s="18" t="s">
        <v>79</v>
      </c>
      <c r="K123" s="18" t="s">
        <v>80</v>
      </c>
      <c r="L123" s="19">
        <v>240.0</v>
      </c>
      <c r="M123" s="19">
        <v>106188.0</v>
      </c>
      <c r="N123" s="19">
        <v>106660.0</v>
      </c>
      <c r="O123" s="19">
        <v>472.0</v>
      </c>
      <c r="S123" s="18" t="s">
        <v>81</v>
      </c>
    </row>
    <row r="124">
      <c r="A124" s="22">
        <v>46199.690967939816</v>
      </c>
      <c r="B124" s="18" t="s">
        <v>74</v>
      </c>
      <c r="C124" s="18" t="s">
        <v>69</v>
      </c>
      <c r="D124" s="18" t="s">
        <v>12</v>
      </c>
      <c r="E124" s="19">
        <v>1593.0</v>
      </c>
      <c r="F124" s="23">
        <v>46199.0</v>
      </c>
      <c r="H124" s="18" t="s">
        <v>145</v>
      </c>
      <c r="I124" s="18" t="s">
        <v>83</v>
      </c>
      <c r="J124" s="18" t="s">
        <v>79</v>
      </c>
      <c r="K124" s="18" t="s">
        <v>80</v>
      </c>
      <c r="L124" s="19">
        <v>215.0</v>
      </c>
      <c r="M124" s="19">
        <v>265552.0</v>
      </c>
      <c r="N124" s="19">
        <v>266028.0</v>
      </c>
      <c r="O124" s="19">
        <v>476.0</v>
      </c>
      <c r="S124" s="18" t="s">
        <v>81</v>
      </c>
    </row>
    <row r="125">
      <c r="A125" s="22">
        <v>46199.69096795139</v>
      </c>
      <c r="B125" s="18" t="s">
        <v>74</v>
      </c>
      <c r="C125" s="18" t="s">
        <v>69</v>
      </c>
      <c r="D125" s="18" t="s">
        <v>12</v>
      </c>
      <c r="E125" s="19">
        <v>1594.0</v>
      </c>
      <c r="F125" s="23">
        <v>46199.0</v>
      </c>
      <c r="H125" s="18" t="s">
        <v>136</v>
      </c>
      <c r="I125" s="18" t="s">
        <v>83</v>
      </c>
      <c r="J125" s="18" t="s">
        <v>79</v>
      </c>
      <c r="K125" s="18" t="s">
        <v>80</v>
      </c>
      <c r="L125" s="19">
        <v>50.0</v>
      </c>
      <c r="M125" s="19">
        <v>321012.0</v>
      </c>
      <c r="N125" s="19">
        <v>321689.0</v>
      </c>
      <c r="O125" s="19">
        <v>677.0</v>
      </c>
      <c r="S125" s="18" t="s">
        <v>81</v>
      </c>
    </row>
    <row r="126">
      <c r="A126" s="22">
        <v>46199.69096796296</v>
      </c>
      <c r="B126" s="18" t="s">
        <v>74</v>
      </c>
      <c r="C126" s="18" t="s">
        <v>69</v>
      </c>
      <c r="D126" s="18" t="s">
        <v>12</v>
      </c>
      <c r="E126" s="19">
        <v>1595.0</v>
      </c>
      <c r="F126" s="23">
        <v>46199.0</v>
      </c>
      <c r="H126" s="18" t="s">
        <v>84</v>
      </c>
      <c r="I126" s="18" t="s">
        <v>83</v>
      </c>
      <c r="J126" s="18" t="s">
        <v>79</v>
      </c>
      <c r="K126" s="18" t="s">
        <v>80</v>
      </c>
      <c r="L126" s="19">
        <v>356.0</v>
      </c>
      <c r="M126" s="19">
        <v>48609.0</v>
      </c>
      <c r="N126" s="19">
        <v>49224.0</v>
      </c>
      <c r="O126" s="19">
        <v>615.0</v>
      </c>
      <c r="S126" s="18" t="s">
        <v>81</v>
      </c>
    </row>
    <row r="127">
      <c r="A127" s="22">
        <v>46199.69096797454</v>
      </c>
      <c r="B127" s="18" t="s">
        <v>74</v>
      </c>
      <c r="C127" s="18" t="s">
        <v>69</v>
      </c>
      <c r="D127" s="18" t="s">
        <v>12</v>
      </c>
      <c r="E127" s="19">
        <v>1596.0</v>
      </c>
      <c r="F127" s="23">
        <v>46199.0</v>
      </c>
      <c r="H127" s="18" t="s">
        <v>88</v>
      </c>
      <c r="I127" s="18" t="s">
        <v>83</v>
      </c>
      <c r="J127" s="18" t="s">
        <v>79</v>
      </c>
      <c r="K127" s="18" t="s">
        <v>80</v>
      </c>
      <c r="L127" s="19">
        <v>498.0</v>
      </c>
      <c r="M127" s="19">
        <v>246656.0</v>
      </c>
      <c r="N127" s="19">
        <v>247721.0</v>
      </c>
      <c r="O127" s="19">
        <v>1065.0</v>
      </c>
      <c r="S127" s="18" t="s">
        <v>81</v>
      </c>
    </row>
    <row r="128">
      <c r="A128" s="22">
        <v>46199.69096798611</v>
      </c>
      <c r="B128" s="18" t="s">
        <v>74</v>
      </c>
      <c r="C128" s="18" t="s">
        <v>69</v>
      </c>
      <c r="D128" s="18" t="s">
        <v>12</v>
      </c>
      <c r="E128" s="19">
        <v>1597.0</v>
      </c>
      <c r="F128" s="23">
        <v>46199.0</v>
      </c>
      <c r="H128" s="18" t="s">
        <v>126</v>
      </c>
      <c r="I128" s="18" t="s">
        <v>83</v>
      </c>
      <c r="J128" s="18" t="s">
        <v>79</v>
      </c>
      <c r="K128" s="18" t="s">
        <v>80</v>
      </c>
      <c r="L128" s="19">
        <v>159.0</v>
      </c>
      <c r="M128" s="19">
        <v>587794.0</v>
      </c>
      <c r="N128" s="19">
        <v>588140.0</v>
      </c>
      <c r="O128" s="19">
        <v>346.0</v>
      </c>
      <c r="S128" s="18" t="s">
        <v>81</v>
      </c>
    </row>
    <row r="129">
      <c r="A129" s="22">
        <v>46199.69096799768</v>
      </c>
      <c r="B129" s="18" t="s">
        <v>74</v>
      </c>
      <c r="C129" s="18" t="s">
        <v>69</v>
      </c>
      <c r="D129" s="18" t="s">
        <v>12</v>
      </c>
      <c r="E129" s="19">
        <v>1598.0</v>
      </c>
      <c r="F129" s="23">
        <v>46199.0</v>
      </c>
      <c r="H129" s="18" t="s">
        <v>130</v>
      </c>
      <c r="I129" s="18" t="s">
        <v>83</v>
      </c>
      <c r="J129" s="18" t="s">
        <v>79</v>
      </c>
      <c r="K129" s="18" t="s">
        <v>80</v>
      </c>
      <c r="L129" s="19">
        <v>155.0</v>
      </c>
      <c r="R129" s="18" t="s">
        <v>151</v>
      </c>
      <c r="S129" s="18" t="s">
        <v>81</v>
      </c>
    </row>
    <row r="130">
      <c r="A130" s="22">
        <v>46199.69841585648</v>
      </c>
      <c r="B130" s="18" t="s">
        <v>74</v>
      </c>
      <c r="C130" s="18" t="s">
        <v>69</v>
      </c>
      <c r="D130" s="18" t="s">
        <v>12</v>
      </c>
      <c r="E130" s="19">
        <v>1599.0</v>
      </c>
      <c r="F130" s="23">
        <v>46199.0</v>
      </c>
      <c r="H130" s="18" t="s">
        <v>126</v>
      </c>
      <c r="I130" s="18" t="s">
        <v>141</v>
      </c>
      <c r="J130" s="18" t="s">
        <v>79</v>
      </c>
      <c r="K130" s="18" t="s">
        <v>80</v>
      </c>
      <c r="L130" s="19">
        <v>48.0</v>
      </c>
      <c r="M130" s="19">
        <v>587794.0</v>
      </c>
      <c r="N130" s="19">
        <v>588140.0</v>
      </c>
      <c r="O130" s="19">
        <v>346.0</v>
      </c>
      <c r="S130" s="18" t="s">
        <v>81</v>
      </c>
    </row>
    <row r="131">
      <c r="A131" s="22">
        <v>46199.69841586806</v>
      </c>
      <c r="B131" s="18" t="s">
        <v>74</v>
      </c>
      <c r="C131" s="18" t="s">
        <v>69</v>
      </c>
      <c r="D131" s="18" t="s">
        <v>12</v>
      </c>
      <c r="E131" s="19">
        <v>1600.0</v>
      </c>
      <c r="F131" s="23">
        <v>46199.0</v>
      </c>
      <c r="H131" s="18" t="s">
        <v>101</v>
      </c>
      <c r="I131" s="18" t="s">
        <v>141</v>
      </c>
      <c r="J131" s="18" t="s">
        <v>79</v>
      </c>
      <c r="K131" s="18" t="s">
        <v>80</v>
      </c>
      <c r="L131" s="19">
        <v>235.0</v>
      </c>
      <c r="M131" s="19">
        <v>118501.0</v>
      </c>
      <c r="N131" s="19">
        <v>119035.0</v>
      </c>
      <c r="O131" s="19">
        <v>534.0</v>
      </c>
      <c r="S131" s="18" t="s">
        <v>81</v>
      </c>
    </row>
    <row r="132">
      <c r="A132" s="22">
        <v>46199.69841586806</v>
      </c>
      <c r="B132" s="18" t="s">
        <v>74</v>
      </c>
      <c r="C132" s="18" t="s">
        <v>69</v>
      </c>
      <c r="D132" s="18" t="s">
        <v>12</v>
      </c>
      <c r="E132" s="19">
        <v>1601.0</v>
      </c>
      <c r="F132" s="23">
        <v>46199.0</v>
      </c>
      <c r="H132" s="18" t="s">
        <v>113</v>
      </c>
      <c r="I132" s="18" t="s">
        <v>141</v>
      </c>
      <c r="J132" s="18" t="s">
        <v>79</v>
      </c>
      <c r="K132" s="18" t="s">
        <v>80</v>
      </c>
      <c r="L132" s="19">
        <v>200.0</v>
      </c>
      <c r="M132" s="19">
        <v>173042.0</v>
      </c>
      <c r="N132" s="19">
        <v>174516.0</v>
      </c>
      <c r="O132" s="19">
        <v>1474.0</v>
      </c>
      <c r="S132" s="18" t="s">
        <v>81</v>
      </c>
    </row>
    <row r="133">
      <c r="A133" s="22">
        <v>46199.698415879626</v>
      </c>
      <c r="B133" s="18" t="s">
        <v>74</v>
      </c>
      <c r="C133" s="18" t="s">
        <v>69</v>
      </c>
      <c r="D133" s="18" t="s">
        <v>12</v>
      </c>
      <c r="E133" s="19">
        <v>1602.0</v>
      </c>
      <c r="F133" s="23">
        <v>46199.0</v>
      </c>
      <c r="H133" s="18" t="s">
        <v>114</v>
      </c>
      <c r="I133" s="18" t="s">
        <v>141</v>
      </c>
      <c r="J133" s="18" t="s">
        <v>79</v>
      </c>
      <c r="K133" s="18" t="s">
        <v>80</v>
      </c>
      <c r="L133" s="19">
        <v>205.0</v>
      </c>
      <c r="M133" s="19">
        <v>277699.0</v>
      </c>
      <c r="N133" s="19">
        <v>278171.0</v>
      </c>
      <c r="O133" s="19">
        <v>472.0</v>
      </c>
      <c r="S133" s="18" t="s">
        <v>81</v>
      </c>
    </row>
    <row r="134">
      <c r="A134" s="22">
        <v>46199.69841589121</v>
      </c>
      <c r="B134" s="18" t="s">
        <v>74</v>
      </c>
      <c r="C134" s="18" t="s">
        <v>69</v>
      </c>
      <c r="D134" s="18" t="s">
        <v>12</v>
      </c>
      <c r="E134" s="19">
        <v>1603.0</v>
      </c>
      <c r="F134" s="23">
        <v>46199.0</v>
      </c>
      <c r="H134" s="18" t="s">
        <v>103</v>
      </c>
      <c r="I134" s="18" t="s">
        <v>141</v>
      </c>
      <c r="J134" s="18" t="s">
        <v>79</v>
      </c>
      <c r="K134" s="18" t="s">
        <v>80</v>
      </c>
      <c r="L134" s="19">
        <v>167.0</v>
      </c>
      <c r="M134" s="19">
        <v>4355.0</v>
      </c>
      <c r="N134" s="19">
        <v>4371.0</v>
      </c>
      <c r="O134" s="19">
        <v>16.0</v>
      </c>
      <c r="S134" s="18" t="s">
        <v>81</v>
      </c>
    </row>
    <row r="135">
      <c r="A135" s="22">
        <v>46199.69841589121</v>
      </c>
      <c r="B135" s="18" t="s">
        <v>74</v>
      </c>
      <c r="C135" s="18" t="s">
        <v>69</v>
      </c>
      <c r="D135" s="18" t="s">
        <v>12</v>
      </c>
      <c r="E135" s="19">
        <v>1604.0</v>
      </c>
      <c r="F135" s="23">
        <v>46199.0</v>
      </c>
      <c r="H135" s="18" t="s">
        <v>115</v>
      </c>
      <c r="I135" s="18" t="s">
        <v>141</v>
      </c>
      <c r="J135" s="18" t="s">
        <v>79</v>
      </c>
      <c r="K135" s="18" t="s">
        <v>80</v>
      </c>
      <c r="L135" s="19">
        <v>410.0</v>
      </c>
      <c r="M135" s="19">
        <v>18263.0</v>
      </c>
      <c r="N135" s="19">
        <v>19397.0</v>
      </c>
      <c r="O135" s="19">
        <v>1134.0</v>
      </c>
      <c r="S135" s="18" t="s">
        <v>81</v>
      </c>
    </row>
    <row r="136">
      <c r="A136" s="22">
        <v>46199.69841590278</v>
      </c>
      <c r="B136" s="18" t="s">
        <v>74</v>
      </c>
      <c r="C136" s="18" t="s">
        <v>69</v>
      </c>
      <c r="D136" s="18" t="s">
        <v>12</v>
      </c>
      <c r="E136" s="19">
        <v>1605.0</v>
      </c>
      <c r="F136" s="23">
        <v>46199.0</v>
      </c>
      <c r="H136" s="18" t="s">
        <v>122</v>
      </c>
      <c r="I136" s="18" t="s">
        <v>141</v>
      </c>
      <c r="J136" s="18" t="s">
        <v>79</v>
      </c>
      <c r="K136" s="18" t="s">
        <v>80</v>
      </c>
      <c r="L136" s="19">
        <v>236.0</v>
      </c>
      <c r="M136" s="19">
        <v>7481.0</v>
      </c>
      <c r="N136" s="19">
        <v>7985.0</v>
      </c>
      <c r="O136" s="19">
        <v>504.0</v>
      </c>
      <c r="S136" s="18" t="s">
        <v>81</v>
      </c>
    </row>
    <row r="137">
      <c r="A137" s="22">
        <v>46199.69841591435</v>
      </c>
      <c r="B137" s="18" t="s">
        <v>74</v>
      </c>
      <c r="C137" s="18" t="s">
        <v>69</v>
      </c>
      <c r="D137" s="18" t="s">
        <v>12</v>
      </c>
      <c r="E137" s="19">
        <v>1606.0</v>
      </c>
      <c r="F137" s="23">
        <v>46199.0</v>
      </c>
      <c r="H137" s="18" t="s">
        <v>96</v>
      </c>
      <c r="I137" s="18" t="s">
        <v>141</v>
      </c>
      <c r="J137" s="18" t="s">
        <v>79</v>
      </c>
      <c r="K137" s="18" t="s">
        <v>80</v>
      </c>
      <c r="L137" s="19">
        <v>372.0</v>
      </c>
      <c r="M137" s="19">
        <v>82258.0</v>
      </c>
      <c r="N137" s="19">
        <v>83160.0</v>
      </c>
      <c r="O137" s="19">
        <v>902.0</v>
      </c>
      <c r="S137" s="18" t="s">
        <v>81</v>
      </c>
    </row>
    <row r="138">
      <c r="A138" s="22">
        <v>46199.69841591435</v>
      </c>
      <c r="B138" s="18" t="s">
        <v>74</v>
      </c>
      <c r="C138" s="18" t="s">
        <v>69</v>
      </c>
      <c r="D138" s="18" t="s">
        <v>12</v>
      </c>
      <c r="E138" s="19">
        <v>1607.0</v>
      </c>
      <c r="F138" s="23">
        <v>46199.0</v>
      </c>
      <c r="H138" s="18" t="s">
        <v>105</v>
      </c>
      <c r="I138" s="18" t="s">
        <v>141</v>
      </c>
      <c r="J138" s="18" t="s">
        <v>79</v>
      </c>
      <c r="K138" s="18" t="s">
        <v>80</v>
      </c>
      <c r="L138" s="19">
        <v>230.0</v>
      </c>
      <c r="M138" s="19">
        <v>3203.0</v>
      </c>
      <c r="N138" s="19">
        <v>3852.0</v>
      </c>
      <c r="O138" s="19">
        <v>649.0</v>
      </c>
      <c r="S138" s="18" t="s">
        <v>81</v>
      </c>
    </row>
    <row r="139">
      <c r="A139" s="22">
        <v>46200.663163923615</v>
      </c>
      <c r="B139" s="18" t="s">
        <v>74</v>
      </c>
      <c r="C139" s="18" t="s">
        <v>69</v>
      </c>
      <c r="D139" s="18" t="s">
        <v>12</v>
      </c>
      <c r="E139" s="19">
        <v>1608.0</v>
      </c>
      <c r="F139" s="23">
        <v>46200.0</v>
      </c>
      <c r="H139" s="18" t="s">
        <v>98</v>
      </c>
      <c r="I139" s="18" t="s">
        <v>141</v>
      </c>
      <c r="J139" s="18" t="s">
        <v>79</v>
      </c>
      <c r="K139" s="18" t="s">
        <v>80</v>
      </c>
      <c r="L139" s="19">
        <v>169.0</v>
      </c>
      <c r="M139" s="19">
        <v>169311.0</v>
      </c>
      <c r="N139" s="19">
        <v>169715.0</v>
      </c>
      <c r="O139" s="19">
        <v>404.0</v>
      </c>
      <c r="S139" s="18" t="s">
        <v>81</v>
      </c>
    </row>
    <row r="140">
      <c r="A140" s="22">
        <v>46200.66316393518</v>
      </c>
      <c r="B140" s="18" t="s">
        <v>74</v>
      </c>
      <c r="C140" s="18" t="s">
        <v>69</v>
      </c>
      <c r="D140" s="18" t="s">
        <v>12</v>
      </c>
      <c r="E140" s="19">
        <v>1609.0</v>
      </c>
      <c r="F140" s="23">
        <v>46200.0</v>
      </c>
      <c r="H140" s="18" t="s">
        <v>87</v>
      </c>
      <c r="I140" s="18" t="s">
        <v>141</v>
      </c>
      <c r="J140" s="18" t="s">
        <v>79</v>
      </c>
      <c r="K140" s="18" t="s">
        <v>80</v>
      </c>
      <c r="L140" s="19">
        <v>220.0</v>
      </c>
      <c r="M140" s="19">
        <v>265572.0</v>
      </c>
      <c r="N140" s="19">
        <v>266027.0</v>
      </c>
      <c r="O140" s="19">
        <v>455.0</v>
      </c>
      <c r="S140" s="18" t="s">
        <v>81</v>
      </c>
    </row>
    <row r="141">
      <c r="A141" s="22">
        <v>46200.66316394676</v>
      </c>
      <c r="B141" s="18" t="s">
        <v>74</v>
      </c>
      <c r="C141" s="18" t="s">
        <v>69</v>
      </c>
      <c r="D141" s="18" t="s">
        <v>12</v>
      </c>
      <c r="E141" s="19">
        <v>1610.0</v>
      </c>
      <c r="F141" s="23">
        <v>46200.0</v>
      </c>
      <c r="H141" s="18" t="s">
        <v>102</v>
      </c>
      <c r="I141" s="18" t="s">
        <v>141</v>
      </c>
      <c r="J141" s="18" t="s">
        <v>79</v>
      </c>
      <c r="K141" s="18" t="s">
        <v>80</v>
      </c>
      <c r="L141" s="19">
        <v>230.0</v>
      </c>
      <c r="M141" s="19">
        <v>255810.0</v>
      </c>
      <c r="N141" s="19">
        <v>256364.0</v>
      </c>
      <c r="O141" s="19">
        <v>554.0</v>
      </c>
      <c r="S141" s="18" t="s">
        <v>81</v>
      </c>
    </row>
    <row r="142">
      <c r="A142" s="22">
        <v>46200.663163958336</v>
      </c>
      <c r="B142" s="18" t="s">
        <v>74</v>
      </c>
      <c r="C142" s="18" t="s">
        <v>69</v>
      </c>
      <c r="D142" s="18" t="s">
        <v>12</v>
      </c>
      <c r="E142" s="19">
        <v>1611.0</v>
      </c>
      <c r="F142" s="23">
        <v>46200.0</v>
      </c>
      <c r="H142" s="18" t="s">
        <v>89</v>
      </c>
      <c r="I142" s="18" t="s">
        <v>141</v>
      </c>
      <c r="J142" s="18" t="s">
        <v>79</v>
      </c>
      <c r="K142" s="18" t="s">
        <v>80</v>
      </c>
      <c r="L142" s="19">
        <v>525.0</v>
      </c>
      <c r="M142" s="19">
        <v>8378.0</v>
      </c>
      <c r="N142" s="19">
        <v>9639.0</v>
      </c>
      <c r="O142" s="19">
        <v>1261.0</v>
      </c>
      <c r="S142" s="18" t="s">
        <v>81</v>
      </c>
    </row>
    <row r="143">
      <c r="A143" s="22">
        <v>46200.663163969904</v>
      </c>
      <c r="B143" s="18" t="s">
        <v>74</v>
      </c>
      <c r="C143" s="18" t="s">
        <v>69</v>
      </c>
      <c r="D143" s="18" t="s">
        <v>12</v>
      </c>
      <c r="E143" s="19">
        <v>1612.0</v>
      </c>
      <c r="F143" s="23">
        <v>46200.0</v>
      </c>
      <c r="H143" s="18" t="s">
        <v>119</v>
      </c>
      <c r="I143" s="18" t="s">
        <v>141</v>
      </c>
      <c r="J143" s="18" t="s">
        <v>79</v>
      </c>
      <c r="K143" s="18" t="s">
        <v>80</v>
      </c>
      <c r="L143" s="19">
        <v>440.0</v>
      </c>
      <c r="M143" s="19">
        <v>63509.0</v>
      </c>
      <c r="N143" s="19">
        <v>64637.0</v>
      </c>
      <c r="O143" s="19">
        <v>1128.0</v>
      </c>
      <c r="S143" s="18" t="s">
        <v>81</v>
      </c>
    </row>
    <row r="144">
      <c r="A144" s="22">
        <v>46200.678525995376</v>
      </c>
      <c r="B144" s="18" t="s">
        <v>74</v>
      </c>
      <c r="C144" s="18" t="s">
        <v>69</v>
      </c>
      <c r="D144" s="18" t="s">
        <v>12</v>
      </c>
      <c r="E144" s="19">
        <v>1613.0</v>
      </c>
      <c r="F144" s="23">
        <v>46200.0</v>
      </c>
      <c r="H144" s="18" t="s">
        <v>129</v>
      </c>
      <c r="I144" s="18" t="s">
        <v>141</v>
      </c>
      <c r="J144" s="18" t="s">
        <v>79</v>
      </c>
      <c r="K144" s="18" t="s">
        <v>80</v>
      </c>
      <c r="L144" s="19">
        <v>220.0</v>
      </c>
      <c r="M144" s="19">
        <v>7510.0</v>
      </c>
      <c r="N144" s="19">
        <v>7971.0</v>
      </c>
      <c r="O144" s="19">
        <v>461.0</v>
      </c>
      <c r="S144" s="18" t="s">
        <v>81</v>
      </c>
    </row>
    <row r="145">
      <c r="A145" s="22">
        <v>46200.67852601851</v>
      </c>
      <c r="B145" s="18" t="s">
        <v>74</v>
      </c>
      <c r="C145" s="18" t="s">
        <v>69</v>
      </c>
      <c r="D145" s="18" t="s">
        <v>12</v>
      </c>
      <c r="E145" s="19">
        <v>1614.0</v>
      </c>
      <c r="F145" s="23">
        <v>46200.0</v>
      </c>
      <c r="H145" s="18" t="s">
        <v>77</v>
      </c>
      <c r="I145" s="18" t="s">
        <v>141</v>
      </c>
      <c r="J145" s="18" t="s">
        <v>79</v>
      </c>
      <c r="K145" s="18" t="s">
        <v>80</v>
      </c>
      <c r="L145" s="19">
        <v>415.0</v>
      </c>
      <c r="M145" s="19">
        <v>24367.0</v>
      </c>
      <c r="N145" s="19">
        <v>25163.0</v>
      </c>
      <c r="O145" s="19">
        <v>796.0</v>
      </c>
      <c r="S145" s="18" t="s">
        <v>81</v>
      </c>
    </row>
    <row r="146">
      <c r="A146" s="22">
        <v>46200.6946153125</v>
      </c>
      <c r="B146" s="18" t="s">
        <v>74</v>
      </c>
      <c r="C146" s="18" t="s">
        <v>69</v>
      </c>
      <c r="D146" s="18" t="s">
        <v>12</v>
      </c>
      <c r="E146" s="19">
        <v>1615.0</v>
      </c>
      <c r="F146" s="23">
        <v>46200.0</v>
      </c>
      <c r="H146" s="18" t="s">
        <v>117</v>
      </c>
      <c r="I146" s="18" t="s">
        <v>141</v>
      </c>
      <c r="J146" s="18" t="s">
        <v>79</v>
      </c>
      <c r="K146" s="18" t="s">
        <v>80</v>
      </c>
      <c r="L146" s="19">
        <v>148.0</v>
      </c>
      <c r="M146" s="19">
        <v>8378.0</v>
      </c>
      <c r="N146" s="19">
        <v>8392.0</v>
      </c>
      <c r="O146" s="19">
        <v>14.0</v>
      </c>
      <c r="S146" s="18" t="s">
        <v>81</v>
      </c>
    </row>
    <row r="147">
      <c r="A147" s="22">
        <v>46200.69461532407</v>
      </c>
      <c r="B147" s="18" t="s">
        <v>74</v>
      </c>
      <c r="C147" s="18" t="s">
        <v>69</v>
      </c>
      <c r="D147" s="18" t="s">
        <v>12</v>
      </c>
      <c r="E147" s="19">
        <v>1616.0</v>
      </c>
      <c r="F147" s="23">
        <v>46200.0</v>
      </c>
      <c r="H147" s="18" t="s">
        <v>117</v>
      </c>
      <c r="I147" s="18" t="s">
        <v>110</v>
      </c>
      <c r="J147" s="18" t="s">
        <v>79</v>
      </c>
      <c r="K147" s="18" t="s">
        <v>110</v>
      </c>
      <c r="L147" s="19">
        <v>5.0</v>
      </c>
      <c r="R147" s="18" t="s">
        <v>152</v>
      </c>
      <c r="S147" s="18" t="s">
        <v>81</v>
      </c>
    </row>
    <row r="148">
      <c r="A148" s="22">
        <v>46202.251721134264</v>
      </c>
      <c r="B148" s="18" t="s">
        <v>74</v>
      </c>
      <c r="C148" s="18" t="s">
        <v>69</v>
      </c>
      <c r="D148" s="18" t="s">
        <v>12</v>
      </c>
      <c r="E148" s="19">
        <v>1617.0</v>
      </c>
      <c r="F148" s="23">
        <v>46201.0</v>
      </c>
      <c r="H148" s="18" t="s">
        <v>97</v>
      </c>
      <c r="I148" s="18" t="s">
        <v>141</v>
      </c>
      <c r="J148" s="18" t="s">
        <v>79</v>
      </c>
      <c r="K148" s="18" t="s">
        <v>80</v>
      </c>
      <c r="L148" s="19">
        <v>141.0</v>
      </c>
      <c r="M148" s="19">
        <v>183447.0</v>
      </c>
      <c r="N148" s="19">
        <v>183614.0</v>
      </c>
      <c r="O148" s="19">
        <v>167.0</v>
      </c>
      <c r="S148" s="18" t="s">
        <v>81</v>
      </c>
    </row>
    <row r="149">
      <c r="A149" s="22">
        <v>46202.25172114583</v>
      </c>
      <c r="B149" s="18" t="s">
        <v>74</v>
      </c>
      <c r="C149" s="18" t="s">
        <v>69</v>
      </c>
      <c r="D149" s="18" t="s">
        <v>12</v>
      </c>
      <c r="E149" s="19">
        <v>1618.0</v>
      </c>
      <c r="F149" s="23">
        <v>46201.0</v>
      </c>
      <c r="H149" s="18" t="s">
        <v>138</v>
      </c>
      <c r="I149" s="18" t="s">
        <v>141</v>
      </c>
      <c r="J149" s="18" t="s">
        <v>79</v>
      </c>
      <c r="K149" s="18" t="s">
        <v>80</v>
      </c>
      <c r="L149" s="19">
        <v>240.0</v>
      </c>
      <c r="M149" s="19">
        <v>106660.0</v>
      </c>
      <c r="N149" s="19">
        <v>107266.0</v>
      </c>
      <c r="O149" s="19">
        <v>606.0</v>
      </c>
      <c r="S149" s="18" t="s">
        <v>81</v>
      </c>
    </row>
    <row r="150">
      <c r="A150" s="22">
        <v>46202.25172115741</v>
      </c>
      <c r="B150" s="18" t="s">
        <v>74</v>
      </c>
      <c r="C150" s="18" t="s">
        <v>69</v>
      </c>
      <c r="D150" s="18" t="s">
        <v>12</v>
      </c>
      <c r="E150" s="19">
        <v>1619.0</v>
      </c>
      <c r="F150" s="23">
        <v>46201.0</v>
      </c>
      <c r="H150" s="18" t="s">
        <v>112</v>
      </c>
      <c r="I150" s="18" t="s">
        <v>141</v>
      </c>
      <c r="J150" s="18" t="s">
        <v>79</v>
      </c>
      <c r="K150" s="18" t="s">
        <v>80</v>
      </c>
      <c r="L150" s="19">
        <v>237.0</v>
      </c>
      <c r="M150" s="19">
        <v>101064.0</v>
      </c>
      <c r="N150" s="19">
        <v>101619.0</v>
      </c>
      <c r="O150" s="19">
        <v>555.0</v>
      </c>
      <c r="S150" s="18" t="s">
        <v>81</v>
      </c>
    </row>
    <row r="151">
      <c r="A151" s="22">
        <v>46202.251721168985</v>
      </c>
      <c r="B151" s="18" t="s">
        <v>74</v>
      </c>
      <c r="C151" s="18" t="s">
        <v>69</v>
      </c>
      <c r="D151" s="18" t="s">
        <v>12</v>
      </c>
      <c r="E151" s="19">
        <v>1620.0</v>
      </c>
      <c r="F151" s="23">
        <v>46201.0</v>
      </c>
      <c r="H151" s="18" t="s">
        <v>113</v>
      </c>
      <c r="I151" s="18" t="s">
        <v>141</v>
      </c>
      <c r="J151" s="18" t="s">
        <v>79</v>
      </c>
      <c r="K151" s="18" t="s">
        <v>80</v>
      </c>
      <c r="L151" s="19">
        <v>200.0</v>
      </c>
      <c r="M151" s="19">
        <v>174516.0</v>
      </c>
      <c r="N151" s="19">
        <v>174989.0</v>
      </c>
      <c r="O151" s="19">
        <v>473.0</v>
      </c>
      <c r="S151" s="18" t="s">
        <v>81</v>
      </c>
    </row>
    <row r="152">
      <c r="A152" s="22">
        <v>46202.25172119213</v>
      </c>
      <c r="B152" s="18" t="s">
        <v>74</v>
      </c>
      <c r="C152" s="18" t="s">
        <v>69</v>
      </c>
      <c r="D152" s="18" t="s">
        <v>12</v>
      </c>
      <c r="E152" s="19">
        <v>1621.0</v>
      </c>
      <c r="F152" s="23">
        <v>46201.0</v>
      </c>
      <c r="H152" s="18" t="s">
        <v>86</v>
      </c>
      <c r="I152" s="18" t="s">
        <v>141</v>
      </c>
      <c r="J152" s="18" t="s">
        <v>79</v>
      </c>
      <c r="K152" s="18" t="s">
        <v>80</v>
      </c>
      <c r="L152" s="19">
        <v>239.0</v>
      </c>
      <c r="M152" s="19">
        <v>193304.0</v>
      </c>
      <c r="N152" s="19">
        <v>193790.0</v>
      </c>
      <c r="O152" s="19">
        <v>486.0</v>
      </c>
      <c r="S152" s="18" t="s">
        <v>81</v>
      </c>
    </row>
    <row r="153">
      <c r="A153" s="22">
        <v>46202.251721203706</v>
      </c>
      <c r="B153" s="18" t="s">
        <v>74</v>
      </c>
      <c r="C153" s="18" t="s">
        <v>69</v>
      </c>
      <c r="D153" s="18" t="s">
        <v>12</v>
      </c>
      <c r="E153" s="19">
        <v>1622.0</v>
      </c>
      <c r="F153" s="23">
        <v>46201.0</v>
      </c>
      <c r="H153" s="18" t="s">
        <v>145</v>
      </c>
      <c r="I153" s="18" t="s">
        <v>141</v>
      </c>
      <c r="J153" s="18" t="s">
        <v>79</v>
      </c>
      <c r="K153" s="18" t="s">
        <v>80</v>
      </c>
      <c r="L153" s="19">
        <v>211.0</v>
      </c>
      <c r="M153" s="19">
        <v>266028.0</v>
      </c>
      <c r="N153" s="19">
        <v>266529.0</v>
      </c>
      <c r="O153" s="19">
        <v>501.0</v>
      </c>
      <c r="S153" s="18" t="s">
        <v>81</v>
      </c>
    </row>
    <row r="154">
      <c r="A154" s="22">
        <v>46202.25172122685</v>
      </c>
      <c r="B154" s="18" t="s">
        <v>74</v>
      </c>
      <c r="C154" s="18" t="s">
        <v>69</v>
      </c>
      <c r="D154" s="18" t="s">
        <v>12</v>
      </c>
      <c r="E154" s="19">
        <v>1623.0</v>
      </c>
      <c r="F154" s="23">
        <v>46201.0</v>
      </c>
      <c r="H154" s="18" t="s">
        <v>121</v>
      </c>
      <c r="I154" s="18" t="s">
        <v>141</v>
      </c>
      <c r="J154" s="18" t="s">
        <v>79</v>
      </c>
      <c r="K154" s="18" t="s">
        <v>80</v>
      </c>
      <c r="L154" s="19">
        <v>268.0</v>
      </c>
      <c r="M154" s="19">
        <v>4304.0</v>
      </c>
      <c r="N154" s="19">
        <v>4760.0</v>
      </c>
      <c r="O154" s="19">
        <v>456.0</v>
      </c>
      <c r="S154" s="18" t="s">
        <v>81</v>
      </c>
    </row>
    <row r="155">
      <c r="A155" s="22">
        <v>46202.251721249995</v>
      </c>
      <c r="B155" s="18" t="s">
        <v>74</v>
      </c>
      <c r="C155" s="18" t="s">
        <v>69</v>
      </c>
      <c r="D155" s="18" t="s">
        <v>12</v>
      </c>
      <c r="E155" s="19">
        <v>1624.0</v>
      </c>
      <c r="F155" s="23">
        <v>46201.0</v>
      </c>
      <c r="H155" s="18" t="s">
        <v>132</v>
      </c>
      <c r="I155" s="18" t="s">
        <v>141</v>
      </c>
      <c r="J155" s="18" t="s">
        <v>79</v>
      </c>
      <c r="K155" s="18" t="s">
        <v>80</v>
      </c>
      <c r="L155" s="19">
        <v>212.0</v>
      </c>
      <c r="M155" s="19">
        <v>6248.0</v>
      </c>
      <c r="N155" s="19">
        <v>6702.0</v>
      </c>
      <c r="O155" s="19">
        <v>454.0</v>
      </c>
      <c r="S155" s="18" t="s">
        <v>81</v>
      </c>
    </row>
    <row r="156">
      <c r="A156" s="22">
        <v>46202.25172133102</v>
      </c>
      <c r="B156" s="18" t="s">
        <v>74</v>
      </c>
      <c r="C156" s="18" t="s">
        <v>69</v>
      </c>
      <c r="D156" s="18" t="s">
        <v>12</v>
      </c>
      <c r="E156" s="19">
        <v>1625.0</v>
      </c>
      <c r="F156" s="23">
        <v>46201.0</v>
      </c>
      <c r="H156" s="18" t="s">
        <v>104</v>
      </c>
      <c r="I156" s="18" t="s">
        <v>141</v>
      </c>
      <c r="J156" s="18" t="s">
        <v>79</v>
      </c>
      <c r="K156" s="18" t="s">
        <v>80</v>
      </c>
      <c r="L156" s="19">
        <v>301.0</v>
      </c>
      <c r="M156" s="19">
        <v>5936.0</v>
      </c>
      <c r="N156" s="19">
        <v>6494.0</v>
      </c>
      <c r="O156" s="19">
        <v>558.0</v>
      </c>
      <c r="S156" s="18" t="s">
        <v>81</v>
      </c>
    </row>
    <row r="157">
      <c r="A157" s="22">
        <v>46202.25172134259</v>
      </c>
      <c r="B157" s="18" t="s">
        <v>74</v>
      </c>
      <c r="C157" s="18" t="s">
        <v>69</v>
      </c>
      <c r="D157" s="18" t="s">
        <v>12</v>
      </c>
      <c r="E157" s="19">
        <v>1626.0</v>
      </c>
      <c r="F157" s="23">
        <v>46201.0</v>
      </c>
      <c r="H157" s="18" t="s">
        <v>100</v>
      </c>
      <c r="I157" s="18" t="s">
        <v>141</v>
      </c>
      <c r="J157" s="18" t="s">
        <v>79</v>
      </c>
      <c r="K157" s="18" t="s">
        <v>80</v>
      </c>
      <c r="L157" s="19">
        <v>333.0</v>
      </c>
      <c r="M157" s="19">
        <v>409982.0</v>
      </c>
      <c r="N157" s="19">
        <v>410764.0</v>
      </c>
      <c r="O157" s="19">
        <v>782.0</v>
      </c>
      <c r="S157" s="18" t="s">
        <v>81</v>
      </c>
    </row>
    <row r="158">
      <c r="A158" s="22">
        <v>46202.251721354165</v>
      </c>
      <c r="B158" s="18" t="s">
        <v>74</v>
      </c>
      <c r="C158" s="18" t="s">
        <v>69</v>
      </c>
      <c r="D158" s="18" t="s">
        <v>12</v>
      </c>
      <c r="E158" s="19">
        <v>1627.0</v>
      </c>
      <c r="F158" s="23">
        <v>46201.0</v>
      </c>
      <c r="H158" s="18" t="s">
        <v>153</v>
      </c>
      <c r="I158" s="18" t="s">
        <v>141</v>
      </c>
      <c r="J158" s="18" t="s">
        <v>79</v>
      </c>
      <c r="K158" s="18" t="s">
        <v>80</v>
      </c>
      <c r="L158" s="19">
        <v>120.0</v>
      </c>
      <c r="M158" s="19">
        <v>361033.0</v>
      </c>
      <c r="N158" s="19">
        <v>361432.0</v>
      </c>
      <c r="O158" s="19">
        <v>399.0</v>
      </c>
      <c r="S158" s="18" t="s">
        <v>81</v>
      </c>
    </row>
    <row r="159">
      <c r="A159" s="22">
        <v>46202.25172137731</v>
      </c>
      <c r="B159" s="18" t="s">
        <v>74</v>
      </c>
      <c r="C159" s="18" t="s">
        <v>69</v>
      </c>
      <c r="D159" s="18" t="s">
        <v>12</v>
      </c>
      <c r="E159" s="19">
        <v>1628.0</v>
      </c>
      <c r="F159" s="23">
        <v>46201.0</v>
      </c>
      <c r="H159" s="18" t="s">
        <v>153</v>
      </c>
      <c r="I159" s="18" t="s">
        <v>93</v>
      </c>
      <c r="J159" s="18" t="s">
        <v>79</v>
      </c>
      <c r="K159" s="18" t="s">
        <v>93</v>
      </c>
      <c r="L159" s="19">
        <v>3.0</v>
      </c>
      <c r="R159" s="18" t="s">
        <v>134</v>
      </c>
      <c r="S159" s="18" t="s">
        <v>81</v>
      </c>
    </row>
    <row r="160">
      <c r="A160" s="22">
        <v>46202.251721423614</v>
      </c>
      <c r="B160" s="18" t="s">
        <v>74</v>
      </c>
      <c r="C160" s="18" t="s">
        <v>69</v>
      </c>
      <c r="D160" s="18" t="s">
        <v>12</v>
      </c>
      <c r="E160" s="19">
        <v>1629.0</v>
      </c>
      <c r="F160" s="23">
        <v>46201.0</v>
      </c>
      <c r="H160" s="18" t="s">
        <v>154</v>
      </c>
      <c r="I160" s="18" t="s">
        <v>141</v>
      </c>
      <c r="J160" s="18" t="s">
        <v>79</v>
      </c>
      <c r="K160" s="18" t="s">
        <v>80</v>
      </c>
      <c r="L160" s="19">
        <v>156.0</v>
      </c>
      <c r="M160" s="19">
        <v>366996.0</v>
      </c>
      <c r="N160" s="19">
        <v>367500.0</v>
      </c>
      <c r="O160" s="19">
        <v>504.0</v>
      </c>
      <c r="S160" s="18" t="s">
        <v>81</v>
      </c>
    </row>
    <row r="161">
      <c r="A161" s="22">
        <v>46202.251721493056</v>
      </c>
      <c r="B161" s="18" t="s">
        <v>74</v>
      </c>
      <c r="C161" s="18" t="s">
        <v>69</v>
      </c>
      <c r="D161" s="18" t="s">
        <v>12</v>
      </c>
      <c r="E161" s="19">
        <v>1630.0</v>
      </c>
      <c r="F161" s="23">
        <v>46201.0</v>
      </c>
      <c r="H161" s="18" t="s">
        <v>154</v>
      </c>
      <c r="I161" s="18" t="s">
        <v>93</v>
      </c>
      <c r="J161" s="18" t="s">
        <v>79</v>
      </c>
      <c r="K161" s="18" t="s">
        <v>93</v>
      </c>
      <c r="L161" s="19">
        <v>3.0</v>
      </c>
      <c r="R161" s="18" t="s">
        <v>134</v>
      </c>
      <c r="S161" s="18" t="s">
        <v>81</v>
      </c>
    </row>
    <row r="162">
      <c r="A162" s="22">
        <v>46202.429912997686</v>
      </c>
      <c r="B162" s="18" t="s">
        <v>74</v>
      </c>
      <c r="C162" s="18" t="s">
        <v>69</v>
      </c>
      <c r="D162" s="18" t="s">
        <v>12</v>
      </c>
      <c r="E162" s="19">
        <v>1631.0</v>
      </c>
      <c r="F162" s="23">
        <v>46202.0</v>
      </c>
      <c r="H162" s="18" t="s">
        <v>103</v>
      </c>
      <c r="I162" s="18" t="s">
        <v>141</v>
      </c>
      <c r="J162" s="18" t="s">
        <v>79</v>
      </c>
      <c r="K162" s="18" t="s">
        <v>80</v>
      </c>
      <c r="L162" s="19">
        <v>166.0</v>
      </c>
      <c r="M162" s="19">
        <v>4371.0</v>
      </c>
      <c r="N162" s="19">
        <v>4386.0</v>
      </c>
      <c r="O162" s="19">
        <v>15.0</v>
      </c>
      <c r="S162" s="18" t="s">
        <v>81</v>
      </c>
    </row>
    <row r="163">
      <c r="A163" s="22">
        <v>46202.42991303241</v>
      </c>
      <c r="B163" s="18" t="s">
        <v>74</v>
      </c>
      <c r="C163" s="18" t="s">
        <v>69</v>
      </c>
      <c r="D163" s="18" t="s">
        <v>12</v>
      </c>
      <c r="E163" s="19">
        <v>1632.0</v>
      </c>
      <c r="F163" s="23">
        <v>46202.0</v>
      </c>
      <c r="H163" s="18" t="s">
        <v>89</v>
      </c>
      <c r="I163" s="18" t="s">
        <v>141</v>
      </c>
      <c r="J163" s="18" t="s">
        <v>79</v>
      </c>
      <c r="K163" s="18" t="s">
        <v>80</v>
      </c>
      <c r="L163" s="19">
        <v>47.0</v>
      </c>
      <c r="R163" s="18" t="s">
        <v>85</v>
      </c>
      <c r="S163" s="18" t="s">
        <v>81</v>
      </c>
    </row>
    <row r="164">
      <c r="A164" s="22">
        <v>46202.42991304398</v>
      </c>
      <c r="B164" s="18" t="s">
        <v>74</v>
      </c>
      <c r="C164" s="18" t="s">
        <v>69</v>
      </c>
      <c r="D164" s="18" t="s">
        <v>12</v>
      </c>
      <c r="E164" s="19">
        <v>1633.0</v>
      </c>
      <c r="F164" s="23">
        <v>46202.0</v>
      </c>
      <c r="H164" s="18" t="s">
        <v>127</v>
      </c>
      <c r="I164" s="18" t="s">
        <v>141</v>
      </c>
      <c r="J164" s="18" t="s">
        <v>79</v>
      </c>
      <c r="K164" s="18" t="s">
        <v>80</v>
      </c>
      <c r="L164" s="19">
        <v>187.0</v>
      </c>
      <c r="R164" s="18" t="s">
        <v>155</v>
      </c>
      <c r="S164" s="18" t="s">
        <v>81</v>
      </c>
    </row>
    <row r="165">
      <c r="A165" s="22">
        <v>46202.42991305556</v>
      </c>
      <c r="B165" s="18" t="s">
        <v>74</v>
      </c>
      <c r="C165" s="18" t="s">
        <v>69</v>
      </c>
      <c r="D165" s="18" t="s">
        <v>12</v>
      </c>
      <c r="E165" s="19">
        <v>1634.0</v>
      </c>
      <c r="F165" s="23">
        <v>46202.0</v>
      </c>
      <c r="H165" s="18" t="s">
        <v>99</v>
      </c>
      <c r="I165" s="18" t="s">
        <v>141</v>
      </c>
      <c r="J165" s="18" t="s">
        <v>79</v>
      </c>
      <c r="K165" s="18" t="s">
        <v>80</v>
      </c>
      <c r="L165" s="19">
        <v>350.0</v>
      </c>
      <c r="M165" s="19">
        <v>155180.0</v>
      </c>
      <c r="N165" s="19">
        <v>155997.0</v>
      </c>
      <c r="O165" s="19">
        <v>817.0</v>
      </c>
      <c r="S165" s="18" t="s">
        <v>81</v>
      </c>
    </row>
    <row r="166">
      <c r="A166" s="22">
        <v>46202.429913078704</v>
      </c>
      <c r="B166" s="18" t="s">
        <v>74</v>
      </c>
      <c r="C166" s="18" t="s">
        <v>69</v>
      </c>
      <c r="D166" s="18" t="s">
        <v>12</v>
      </c>
      <c r="E166" s="19">
        <v>1635.0</v>
      </c>
      <c r="F166" s="23">
        <v>46202.0</v>
      </c>
      <c r="H166" s="18" t="s">
        <v>123</v>
      </c>
      <c r="I166" s="18" t="s">
        <v>141</v>
      </c>
      <c r="J166" s="18" t="s">
        <v>79</v>
      </c>
      <c r="K166" s="18" t="s">
        <v>80</v>
      </c>
      <c r="L166" s="19">
        <v>497.0</v>
      </c>
      <c r="M166" s="19">
        <v>203880.0</v>
      </c>
      <c r="N166" s="19">
        <v>204911.0</v>
      </c>
      <c r="O166" s="19">
        <v>1031.0</v>
      </c>
      <c r="S166" s="18" t="s">
        <v>81</v>
      </c>
    </row>
    <row r="167">
      <c r="A167" s="22">
        <v>46202.42991313657</v>
      </c>
      <c r="B167" s="18" t="s">
        <v>74</v>
      </c>
      <c r="C167" s="18" t="s">
        <v>69</v>
      </c>
      <c r="D167" s="18" t="s">
        <v>12</v>
      </c>
      <c r="E167" s="19">
        <v>1636.0</v>
      </c>
      <c r="F167" s="23">
        <v>46202.0</v>
      </c>
      <c r="H167" s="18" t="s">
        <v>88</v>
      </c>
      <c r="I167" s="18" t="s">
        <v>141</v>
      </c>
      <c r="J167" s="18" t="s">
        <v>79</v>
      </c>
      <c r="K167" s="18" t="s">
        <v>80</v>
      </c>
      <c r="L167" s="19">
        <v>481.0</v>
      </c>
      <c r="M167" s="19">
        <v>247721.0</v>
      </c>
      <c r="N167" s="19">
        <v>248686.0</v>
      </c>
      <c r="O167" s="19">
        <v>965.0</v>
      </c>
      <c r="S167" s="18" t="s">
        <v>81</v>
      </c>
    </row>
    <row r="168">
      <c r="A168" s="22">
        <v>46203.267661562495</v>
      </c>
      <c r="B168" s="18" t="s">
        <v>74</v>
      </c>
      <c r="C168" s="18" t="s">
        <v>69</v>
      </c>
      <c r="D168" s="18" t="s">
        <v>12</v>
      </c>
      <c r="E168" s="19">
        <v>1637.0</v>
      </c>
      <c r="F168" s="23">
        <v>46202.0</v>
      </c>
      <c r="H168" s="18" t="s">
        <v>101</v>
      </c>
      <c r="I168" s="18" t="s">
        <v>141</v>
      </c>
      <c r="J168" s="18" t="s">
        <v>79</v>
      </c>
      <c r="K168" s="18" t="s">
        <v>80</v>
      </c>
      <c r="L168" s="19">
        <v>230.0</v>
      </c>
      <c r="M168" s="19">
        <v>119035.0</v>
      </c>
      <c r="N168" s="19">
        <v>119571.0</v>
      </c>
      <c r="O168" s="19">
        <v>536.0</v>
      </c>
      <c r="S168" s="18" t="s">
        <v>81</v>
      </c>
    </row>
    <row r="169">
      <c r="A169" s="22">
        <v>46203.267661562495</v>
      </c>
      <c r="B169" s="18" t="s">
        <v>74</v>
      </c>
      <c r="C169" s="18" t="s">
        <v>69</v>
      </c>
      <c r="D169" s="18" t="s">
        <v>12</v>
      </c>
      <c r="E169" s="19">
        <v>1638.0</v>
      </c>
      <c r="F169" s="23">
        <v>46202.0</v>
      </c>
      <c r="H169" s="18" t="s">
        <v>98</v>
      </c>
      <c r="I169" s="18" t="s">
        <v>141</v>
      </c>
      <c r="J169" s="18" t="s">
        <v>79</v>
      </c>
      <c r="K169" s="18" t="s">
        <v>80</v>
      </c>
      <c r="L169" s="19">
        <v>179.0</v>
      </c>
      <c r="M169" s="19">
        <v>169715.0</v>
      </c>
      <c r="N169" s="19">
        <v>170130.0</v>
      </c>
      <c r="O169" s="19">
        <v>415.0</v>
      </c>
      <c r="S169" s="18" t="s">
        <v>81</v>
      </c>
    </row>
    <row r="170">
      <c r="A170" s="22">
        <v>46203.26766157408</v>
      </c>
      <c r="B170" s="18" t="s">
        <v>74</v>
      </c>
      <c r="C170" s="18" t="s">
        <v>69</v>
      </c>
      <c r="D170" s="18" t="s">
        <v>12</v>
      </c>
      <c r="E170" s="19">
        <v>1639.0</v>
      </c>
      <c r="F170" s="23">
        <v>46202.0</v>
      </c>
      <c r="H170" s="18" t="s">
        <v>114</v>
      </c>
      <c r="I170" s="18" t="s">
        <v>141</v>
      </c>
      <c r="J170" s="18" t="s">
        <v>79</v>
      </c>
      <c r="K170" s="18" t="s">
        <v>80</v>
      </c>
      <c r="L170" s="19">
        <v>235.0</v>
      </c>
      <c r="M170" s="19">
        <v>278171.0</v>
      </c>
      <c r="N170" s="19">
        <v>278741.0</v>
      </c>
      <c r="O170" s="19">
        <v>570.0</v>
      </c>
      <c r="S170" s="18" t="s">
        <v>81</v>
      </c>
    </row>
    <row r="171">
      <c r="A171" s="22">
        <v>46203.26766157408</v>
      </c>
      <c r="B171" s="18" t="s">
        <v>74</v>
      </c>
      <c r="C171" s="18" t="s">
        <v>69</v>
      </c>
      <c r="D171" s="18" t="s">
        <v>12</v>
      </c>
      <c r="E171" s="19">
        <v>1640.0</v>
      </c>
      <c r="F171" s="23">
        <v>46202.0</v>
      </c>
      <c r="H171" s="18" t="s">
        <v>96</v>
      </c>
      <c r="I171" s="18" t="s">
        <v>141</v>
      </c>
      <c r="J171" s="18" t="s">
        <v>79</v>
      </c>
      <c r="K171" s="18" t="s">
        <v>80</v>
      </c>
      <c r="L171" s="19">
        <v>360.0</v>
      </c>
      <c r="M171" s="19">
        <v>83160.0</v>
      </c>
      <c r="N171" s="19">
        <v>83862.0</v>
      </c>
      <c r="O171" s="19">
        <v>702.0</v>
      </c>
      <c r="S171" s="18" t="s">
        <v>81</v>
      </c>
    </row>
    <row r="172">
      <c r="A172" s="22">
        <v>46203.26766158565</v>
      </c>
      <c r="B172" s="18" t="s">
        <v>74</v>
      </c>
      <c r="C172" s="18" t="s">
        <v>69</v>
      </c>
      <c r="D172" s="18" t="s">
        <v>12</v>
      </c>
      <c r="E172" s="19">
        <v>1641.0</v>
      </c>
      <c r="F172" s="23">
        <v>46202.0</v>
      </c>
      <c r="H172" s="18" t="s">
        <v>118</v>
      </c>
      <c r="I172" s="18" t="s">
        <v>141</v>
      </c>
      <c r="J172" s="18" t="s">
        <v>79</v>
      </c>
      <c r="K172" s="18" t="s">
        <v>80</v>
      </c>
      <c r="L172" s="19">
        <v>470.0</v>
      </c>
      <c r="M172" s="19">
        <v>154829.0</v>
      </c>
      <c r="N172" s="19">
        <v>155924.0</v>
      </c>
      <c r="O172" s="19">
        <v>1095.0</v>
      </c>
      <c r="S172" s="18" t="s">
        <v>81</v>
      </c>
    </row>
    <row r="173">
      <c r="A173" s="22">
        <v>46203.26766158565</v>
      </c>
      <c r="B173" s="18" t="s">
        <v>74</v>
      </c>
      <c r="C173" s="18" t="s">
        <v>69</v>
      </c>
      <c r="D173" s="18" t="s">
        <v>12</v>
      </c>
      <c r="E173" s="19">
        <v>1642.0</v>
      </c>
      <c r="F173" s="23">
        <v>46202.0</v>
      </c>
      <c r="H173" s="18" t="s">
        <v>105</v>
      </c>
      <c r="I173" s="18" t="s">
        <v>141</v>
      </c>
      <c r="J173" s="18" t="s">
        <v>79</v>
      </c>
      <c r="K173" s="18" t="s">
        <v>80</v>
      </c>
      <c r="L173" s="19">
        <v>230.0</v>
      </c>
      <c r="M173" s="19">
        <v>3852.0</v>
      </c>
      <c r="N173" s="19">
        <v>4447.0</v>
      </c>
      <c r="O173" s="19">
        <v>595.0</v>
      </c>
      <c r="S173" s="18" t="s">
        <v>81</v>
      </c>
    </row>
    <row r="174">
      <c r="A174" s="22">
        <v>46203.26766159722</v>
      </c>
      <c r="B174" s="18" t="s">
        <v>74</v>
      </c>
      <c r="C174" s="18" t="s">
        <v>69</v>
      </c>
      <c r="D174" s="18" t="s">
        <v>12</v>
      </c>
      <c r="E174" s="19">
        <v>1643.0</v>
      </c>
      <c r="F174" s="23">
        <v>46202.0</v>
      </c>
      <c r="H174" s="18" t="s">
        <v>105</v>
      </c>
      <c r="I174" s="18" t="s">
        <v>110</v>
      </c>
      <c r="J174" s="18" t="s">
        <v>79</v>
      </c>
      <c r="K174" s="18" t="s">
        <v>110</v>
      </c>
      <c r="L174" s="19">
        <v>22.0</v>
      </c>
      <c r="R174" s="18" t="s">
        <v>156</v>
      </c>
      <c r="S174" s="18" t="s">
        <v>81</v>
      </c>
    </row>
    <row r="175">
      <c r="A175" s="22">
        <v>46203.26766159722</v>
      </c>
      <c r="B175" s="18" t="s">
        <v>74</v>
      </c>
      <c r="C175" s="18" t="s">
        <v>69</v>
      </c>
      <c r="D175" s="18" t="s">
        <v>12</v>
      </c>
      <c r="E175" s="19">
        <v>1644.0</v>
      </c>
      <c r="F175" s="23">
        <v>46202.0</v>
      </c>
      <c r="H175" s="18" t="s">
        <v>82</v>
      </c>
      <c r="I175" s="18" t="s">
        <v>141</v>
      </c>
      <c r="J175" s="18" t="s">
        <v>79</v>
      </c>
      <c r="K175" s="18" t="s">
        <v>80</v>
      </c>
      <c r="L175" s="19">
        <v>340.0</v>
      </c>
      <c r="M175" s="19">
        <v>99391.0</v>
      </c>
      <c r="N175" s="19">
        <v>100218.0</v>
      </c>
      <c r="O175" s="19">
        <v>827.0</v>
      </c>
      <c r="S175" s="18" t="s">
        <v>81</v>
      </c>
    </row>
    <row r="176">
      <c r="A176" s="22">
        <v>46204.27088364583</v>
      </c>
      <c r="B176" s="18" t="s">
        <v>74</v>
      </c>
      <c r="C176" s="18" t="s">
        <v>69</v>
      </c>
      <c r="D176" s="18" t="s">
        <v>12</v>
      </c>
      <c r="E176" s="19">
        <v>1645.0</v>
      </c>
      <c r="F176" s="23">
        <v>46203.0</v>
      </c>
      <c r="H176" s="18" t="s">
        <v>101</v>
      </c>
      <c r="I176" s="18" t="s">
        <v>141</v>
      </c>
      <c r="J176" s="18" t="s">
        <v>79</v>
      </c>
      <c r="K176" s="18" t="s">
        <v>80</v>
      </c>
      <c r="L176" s="19">
        <v>110.0</v>
      </c>
      <c r="M176" s="19">
        <v>119571.0</v>
      </c>
      <c r="N176" s="19">
        <v>119806.0</v>
      </c>
      <c r="O176" s="19">
        <v>235.0</v>
      </c>
      <c r="S176" s="18" t="s">
        <v>81</v>
      </c>
    </row>
    <row r="177">
      <c r="A177" s="22">
        <v>46204.2708836574</v>
      </c>
      <c r="B177" s="18" t="s">
        <v>74</v>
      </c>
      <c r="C177" s="18" t="s">
        <v>69</v>
      </c>
      <c r="D177" s="18" t="s">
        <v>12</v>
      </c>
      <c r="E177" s="19">
        <v>1646.0</v>
      </c>
      <c r="F177" s="23">
        <v>46203.0</v>
      </c>
      <c r="H177" s="18" t="s">
        <v>138</v>
      </c>
      <c r="I177" s="18" t="s">
        <v>141</v>
      </c>
      <c r="J177" s="18" t="s">
        <v>79</v>
      </c>
      <c r="K177" s="18" t="s">
        <v>80</v>
      </c>
      <c r="L177" s="19">
        <v>190.0</v>
      </c>
      <c r="M177" s="19">
        <v>107266.0</v>
      </c>
      <c r="N177" s="19">
        <v>107693.0</v>
      </c>
      <c r="O177" s="19">
        <v>427.0</v>
      </c>
      <c r="S177" s="18" t="s">
        <v>81</v>
      </c>
    </row>
    <row r="178">
      <c r="A178" s="22">
        <v>46204.270883668985</v>
      </c>
      <c r="B178" s="18" t="s">
        <v>74</v>
      </c>
      <c r="C178" s="18" t="s">
        <v>69</v>
      </c>
      <c r="D178" s="18" t="s">
        <v>12</v>
      </c>
      <c r="E178" s="19">
        <v>1647.0</v>
      </c>
      <c r="F178" s="23">
        <v>46203.0</v>
      </c>
      <c r="H178" s="18" t="s">
        <v>145</v>
      </c>
      <c r="I178" s="18" t="s">
        <v>141</v>
      </c>
      <c r="J178" s="18" t="s">
        <v>79</v>
      </c>
      <c r="K178" s="18" t="s">
        <v>80</v>
      </c>
      <c r="L178" s="19">
        <v>165.0</v>
      </c>
      <c r="M178" s="19">
        <v>266529.0</v>
      </c>
      <c r="N178" s="19">
        <v>266911.0</v>
      </c>
      <c r="O178" s="19">
        <v>382.0</v>
      </c>
      <c r="S178" s="18" t="s">
        <v>81</v>
      </c>
    </row>
    <row r="179">
      <c r="A179" s="22">
        <v>46204.270883668985</v>
      </c>
      <c r="B179" s="18" t="s">
        <v>74</v>
      </c>
      <c r="C179" s="18" t="s">
        <v>69</v>
      </c>
      <c r="D179" s="18" t="s">
        <v>12</v>
      </c>
      <c r="E179" s="19">
        <v>1648.0</v>
      </c>
      <c r="F179" s="23">
        <v>46203.0</v>
      </c>
      <c r="H179" s="18" t="s">
        <v>96</v>
      </c>
      <c r="I179" s="18" t="s">
        <v>141</v>
      </c>
      <c r="J179" s="18" t="s">
        <v>79</v>
      </c>
      <c r="K179" s="18" t="s">
        <v>80</v>
      </c>
      <c r="L179" s="19">
        <v>200.0</v>
      </c>
      <c r="M179" s="19">
        <v>83862.0</v>
      </c>
      <c r="N179" s="19">
        <v>84323.0</v>
      </c>
      <c r="O179" s="19">
        <v>461.0</v>
      </c>
      <c r="S179" s="18" t="s">
        <v>81</v>
      </c>
    </row>
    <row r="180">
      <c r="A180" s="22">
        <v>46204.270883680554</v>
      </c>
      <c r="B180" s="18" t="s">
        <v>74</v>
      </c>
      <c r="C180" s="18" t="s">
        <v>69</v>
      </c>
      <c r="D180" s="18" t="s">
        <v>12</v>
      </c>
      <c r="E180" s="19">
        <v>1649.0</v>
      </c>
      <c r="F180" s="23">
        <v>46203.0</v>
      </c>
      <c r="H180" s="18" t="s">
        <v>118</v>
      </c>
      <c r="I180" s="18" t="s">
        <v>141</v>
      </c>
      <c r="J180" s="18" t="s">
        <v>79</v>
      </c>
      <c r="K180" s="18" t="s">
        <v>80</v>
      </c>
      <c r="L180" s="19">
        <v>140.0</v>
      </c>
      <c r="M180" s="19">
        <v>155924.0</v>
      </c>
      <c r="N180" s="19">
        <v>156239.0</v>
      </c>
      <c r="O180" s="19">
        <v>315.0</v>
      </c>
      <c r="S180" s="18" t="s">
        <v>81</v>
      </c>
    </row>
    <row r="181">
      <c r="A181" s="22">
        <v>46204.270883680554</v>
      </c>
      <c r="B181" s="18" t="s">
        <v>74</v>
      </c>
      <c r="C181" s="18" t="s">
        <v>69</v>
      </c>
      <c r="D181" s="18" t="s">
        <v>12</v>
      </c>
      <c r="E181" s="19">
        <v>1650.0</v>
      </c>
      <c r="F181" s="23">
        <v>46203.0</v>
      </c>
      <c r="H181" s="18" t="s">
        <v>123</v>
      </c>
      <c r="I181" s="18" t="s">
        <v>141</v>
      </c>
      <c r="J181" s="18" t="s">
        <v>79</v>
      </c>
      <c r="K181" s="18" t="s">
        <v>80</v>
      </c>
      <c r="L181" s="19">
        <v>195.0</v>
      </c>
      <c r="M181" s="19">
        <v>204911.0</v>
      </c>
      <c r="N181" s="19">
        <v>205274.0</v>
      </c>
      <c r="O181" s="19">
        <v>363.0</v>
      </c>
      <c r="S181" s="18" t="s">
        <v>81</v>
      </c>
    </row>
    <row r="182">
      <c r="A182" s="22">
        <v>46204.28595363426</v>
      </c>
      <c r="B182" s="18" t="s">
        <v>74</v>
      </c>
      <c r="C182" s="18" t="s">
        <v>69</v>
      </c>
      <c r="D182" s="18" t="s">
        <v>12</v>
      </c>
      <c r="E182" s="19">
        <v>1651.0</v>
      </c>
      <c r="F182" s="23">
        <v>46203.0</v>
      </c>
      <c r="H182" s="18" t="s">
        <v>97</v>
      </c>
      <c r="I182" s="18" t="s">
        <v>141</v>
      </c>
      <c r="J182" s="18" t="s">
        <v>79</v>
      </c>
      <c r="K182" s="18" t="s">
        <v>80</v>
      </c>
      <c r="L182" s="19">
        <v>233.0</v>
      </c>
      <c r="M182" s="19">
        <v>183614.0</v>
      </c>
      <c r="N182" s="19">
        <v>183860.0</v>
      </c>
      <c r="O182" s="19">
        <v>246.0</v>
      </c>
      <c r="S182" s="18" t="s">
        <v>81</v>
      </c>
    </row>
    <row r="183">
      <c r="A183" s="22">
        <v>46204.28595366898</v>
      </c>
      <c r="B183" s="18" t="s">
        <v>74</v>
      </c>
      <c r="C183" s="18" t="s">
        <v>69</v>
      </c>
      <c r="D183" s="18" t="s">
        <v>12</v>
      </c>
      <c r="E183" s="19">
        <v>1652.0</v>
      </c>
      <c r="F183" s="23">
        <v>46203.0</v>
      </c>
      <c r="H183" s="18" t="s">
        <v>112</v>
      </c>
      <c r="I183" s="18" t="s">
        <v>141</v>
      </c>
      <c r="J183" s="18" t="s">
        <v>79</v>
      </c>
      <c r="K183" s="18" t="s">
        <v>80</v>
      </c>
      <c r="L183" s="19">
        <v>204.0</v>
      </c>
      <c r="M183" s="19">
        <v>101619.0</v>
      </c>
      <c r="N183" s="19">
        <v>102063.0</v>
      </c>
      <c r="O183" s="19">
        <v>444.0</v>
      </c>
      <c r="S183" s="18" t="s">
        <v>81</v>
      </c>
    </row>
    <row r="184">
      <c r="A184" s="22">
        <v>46204.285953680555</v>
      </c>
      <c r="B184" s="18" t="s">
        <v>74</v>
      </c>
      <c r="C184" s="18" t="s">
        <v>69</v>
      </c>
      <c r="D184" s="18" t="s">
        <v>12</v>
      </c>
      <c r="E184" s="19">
        <v>1653.0</v>
      </c>
      <c r="F184" s="23">
        <v>46203.0</v>
      </c>
      <c r="H184" s="18" t="s">
        <v>98</v>
      </c>
      <c r="I184" s="18" t="s">
        <v>141</v>
      </c>
      <c r="J184" s="18" t="s">
        <v>79</v>
      </c>
      <c r="K184" s="18" t="s">
        <v>80</v>
      </c>
      <c r="L184" s="19">
        <v>125.0</v>
      </c>
      <c r="M184" s="19">
        <v>170130.0</v>
      </c>
      <c r="N184" s="19">
        <v>170471.0</v>
      </c>
      <c r="O184" s="19">
        <v>341.0</v>
      </c>
      <c r="S184" s="18" t="s">
        <v>81</v>
      </c>
    </row>
    <row r="185">
      <c r="A185" s="22">
        <v>46204.28595369213</v>
      </c>
      <c r="B185" s="18" t="s">
        <v>74</v>
      </c>
      <c r="C185" s="18" t="s">
        <v>69</v>
      </c>
      <c r="D185" s="18" t="s">
        <v>12</v>
      </c>
      <c r="E185" s="19">
        <v>1654.0</v>
      </c>
      <c r="F185" s="23">
        <v>46203.0</v>
      </c>
      <c r="H185" s="18" t="s">
        <v>113</v>
      </c>
      <c r="I185" s="18" t="s">
        <v>141</v>
      </c>
      <c r="J185" s="18" t="s">
        <v>79</v>
      </c>
      <c r="K185" s="18" t="s">
        <v>80</v>
      </c>
      <c r="L185" s="19">
        <v>212.0</v>
      </c>
      <c r="M185" s="19">
        <v>174989.0</v>
      </c>
      <c r="N185" s="19">
        <v>175455.0</v>
      </c>
      <c r="O185" s="19">
        <v>466.0</v>
      </c>
      <c r="S185" s="18" t="s">
        <v>81</v>
      </c>
    </row>
    <row r="186">
      <c r="A186" s="22">
        <v>46204.2859537037</v>
      </c>
      <c r="B186" s="18" t="s">
        <v>74</v>
      </c>
      <c r="C186" s="18" t="s">
        <v>69</v>
      </c>
      <c r="D186" s="18" t="s">
        <v>12</v>
      </c>
      <c r="E186" s="19">
        <v>1655.0</v>
      </c>
      <c r="F186" s="23">
        <v>46203.0</v>
      </c>
      <c r="H186" s="18" t="s">
        <v>86</v>
      </c>
      <c r="I186" s="18" t="s">
        <v>141</v>
      </c>
      <c r="J186" s="18" t="s">
        <v>79</v>
      </c>
      <c r="K186" s="18" t="s">
        <v>80</v>
      </c>
      <c r="L186" s="19">
        <v>222.0</v>
      </c>
      <c r="M186" s="19">
        <v>193790.0</v>
      </c>
      <c r="N186" s="19">
        <v>194252.0</v>
      </c>
      <c r="O186" s="19">
        <v>462.0</v>
      </c>
      <c r="S186" s="18" t="s">
        <v>81</v>
      </c>
    </row>
    <row r="187">
      <c r="A187" s="22">
        <v>46204.285953715276</v>
      </c>
      <c r="B187" s="18" t="s">
        <v>74</v>
      </c>
      <c r="C187" s="18" t="s">
        <v>69</v>
      </c>
      <c r="D187" s="18" t="s">
        <v>12</v>
      </c>
      <c r="E187" s="19">
        <v>1656.0</v>
      </c>
      <c r="F187" s="23">
        <v>46203.0</v>
      </c>
      <c r="H187" s="18" t="s">
        <v>102</v>
      </c>
      <c r="I187" s="18" t="s">
        <v>141</v>
      </c>
      <c r="J187" s="18" t="s">
        <v>79</v>
      </c>
      <c r="K187" s="18" t="s">
        <v>80</v>
      </c>
      <c r="L187" s="19">
        <v>212.0</v>
      </c>
      <c r="M187" s="19">
        <v>256364.0</v>
      </c>
      <c r="N187" s="19">
        <v>256859.0</v>
      </c>
      <c r="O187" s="19">
        <v>495.0</v>
      </c>
      <c r="S187" s="18" t="s">
        <v>81</v>
      </c>
    </row>
    <row r="188">
      <c r="A188" s="22">
        <v>46204.28595372685</v>
      </c>
      <c r="B188" s="18" t="s">
        <v>74</v>
      </c>
      <c r="C188" s="18" t="s">
        <v>69</v>
      </c>
      <c r="D188" s="18" t="s">
        <v>12</v>
      </c>
      <c r="E188" s="19">
        <v>1657.0</v>
      </c>
      <c r="F188" s="23">
        <v>46203.0</v>
      </c>
      <c r="H188" s="18" t="s">
        <v>115</v>
      </c>
      <c r="I188" s="18" t="s">
        <v>141</v>
      </c>
      <c r="J188" s="18" t="s">
        <v>79</v>
      </c>
      <c r="K188" s="18" t="s">
        <v>80</v>
      </c>
      <c r="L188" s="19">
        <v>400.0</v>
      </c>
      <c r="M188" s="19">
        <v>19397.0</v>
      </c>
      <c r="N188" s="19">
        <v>20321.0</v>
      </c>
      <c r="O188" s="19">
        <v>924.0</v>
      </c>
      <c r="S188" s="18" t="s">
        <v>81</v>
      </c>
    </row>
    <row r="189">
      <c r="A189" s="22">
        <v>46204.28595373842</v>
      </c>
      <c r="B189" s="18" t="s">
        <v>74</v>
      </c>
      <c r="C189" s="18" t="s">
        <v>69</v>
      </c>
      <c r="D189" s="18" t="s">
        <v>12</v>
      </c>
      <c r="E189" s="19">
        <v>1658.0</v>
      </c>
      <c r="F189" s="23">
        <v>46203.0</v>
      </c>
      <c r="H189" s="18" t="s">
        <v>89</v>
      </c>
      <c r="I189" s="18" t="s">
        <v>110</v>
      </c>
      <c r="J189" s="18" t="s">
        <v>79</v>
      </c>
      <c r="K189" s="18" t="s">
        <v>110</v>
      </c>
      <c r="L189" s="19">
        <v>4.0</v>
      </c>
      <c r="R189" s="18" t="s">
        <v>157</v>
      </c>
      <c r="S189" s="18" t="s">
        <v>81</v>
      </c>
    </row>
    <row r="190">
      <c r="A190" s="22">
        <v>46204.285953750004</v>
      </c>
      <c r="B190" s="18" t="s">
        <v>74</v>
      </c>
      <c r="C190" s="18" t="s">
        <v>69</v>
      </c>
      <c r="D190" s="18" t="s">
        <v>12</v>
      </c>
      <c r="E190" s="19">
        <v>1659.0</v>
      </c>
      <c r="F190" s="23">
        <v>46203.0</v>
      </c>
      <c r="H190" s="18" t="s">
        <v>89</v>
      </c>
      <c r="I190" s="18" t="s">
        <v>141</v>
      </c>
      <c r="J190" s="18" t="s">
        <v>79</v>
      </c>
      <c r="K190" s="18" t="s">
        <v>80</v>
      </c>
      <c r="L190" s="19">
        <v>238.0</v>
      </c>
      <c r="M190" s="19">
        <v>9639.0</v>
      </c>
      <c r="N190" s="19">
        <v>10108.0</v>
      </c>
      <c r="O190" s="19">
        <v>469.0</v>
      </c>
      <c r="S190" s="18" t="s">
        <v>81</v>
      </c>
    </row>
    <row r="191">
      <c r="A191" s="22">
        <v>46204.28595380787</v>
      </c>
      <c r="B191" s="18" t="s">
        <v>74</v>
      </c>
      <c r="C191" s="18" t="s">
        <v>69</v>
      </c>
      <c r="D191" s="18" t="s">
        <v>12</v>
      </c>
      <c r="E191" s="19">
        <v>1660.0</v>
      </c>
      <c r="F191" s="23">
        <v>46203.0</v>
      </c>
      <c r="H191" s="18" t="s">
        <v>121</v>
      </c>
      <c r="I191" s="18" t="s">
        <v>141</v>
      </c>
      <c r="J191" s="18" t="s">
        <v>79</v>
      </c>
      <c r="K191" s="18" t="s">
        <v>80</v>
      </c>
      <c r="L191" s="19">
        <v>70.0</v>
      </c>
      <c r="M191" s="19">
        <v>4760.0</v>
      </c>
      <c r="N191" s="19">
        <v>4869.0</v>
      </c>
      <c r="O191" s="19">
        <v>109.0</v>
      </c>
      <c r="S191" s="18" t="s">
        <v>81</v>
      </c>
    </row>
    <row r="192">
      <c r="A192" s="22">
        <v>46204.28595384259</v>
      </c>
      <c r="B192" s="18" t="s">
        <v>74</v>
      </c>
      <c r="C192" s="18" t="s">
        <v>69</v>
      </c>
      <c r="D192" s="18" t="s">
        <v>12</v>
      </c>
      <c r="E192" s="19">
        <v>1661.0</v>
      </c>
      <c r="F192" s="23">
        <v>46203.0</v>
      </c>
      <c r="H192" s="18" t="s">
        <v>129</v>
      </c>
      <c r="I192" s="18" t="s">
        <v>141</v>
      </c>
      <c r="J192" s="18" t="s">
        <v>79</v>
      </c>
      <c r="K192" s="18" t="s">
        <v>80</v>
      </c>
      <c r="L192" s="19">
        <v>70.0</v>
      </c>
      <c r="M192" s="19">
        <v>7971.0</v>
      </c>
      <c r="N192" s="19">
        <v>8140.0</v>
      </c>
      <c r="O192" s="19">
        <v>169.0</v>
      </c>
      <c r="S192" s="18" t="s">
        <v>81</v>
      </c>
    </row>
    <row r="193">
      <c r="A193" s="22">
        <v>46204.28595394676</v>
      </c>
      <c r="B193" s="18" t="s">
        <v>74</v>
      </c>
      <c r="C193" s="18" t="s">
        <v>69</v>
      </c>
      <c r="D193" s="18" t="s">
        <v>12</v>
      </c>
      <c r="E193" s="19">
        <v>1662.0</v>
      </c>
      <c r="F193" s="23">
        <v>46203.0</v>
      </c>
      <c r="H193" s="18" t="s">
        <v>132</v>
      </c>
      <c r="I193" s="18" t="s">
        <v>141</v>
      </c>
      <c r="J193" s="18" t="s">
        <v>79</v>
      </c>
      <c r="K193" s="18" t="s">
        <v>80</v>
      </c>
      <c r="L193" s="19">
        <v>48.0</v>
      </c>
      <c r="M193" s="19">
        <v>6702.0</v>
      </c>
      <c r="N193" s="19">
        <v>6810.0</v>
      </c>
      <c r="O193" s="19">
        <v>108.0</v>
      </c>
      <c r="S193" s="18" t="s">
        <v>81</v>
      </c>
    </row>
    <row r="194">
      <c r="A194" s="22">
        <v>46204.28595398148</v>
      </c>
      <c r="B194" s="18" t="s">
        <v>74</v>
      </c>
      <c r="C194" s="18" t="s">
        <v>69</v>
      </c>
      <c r="D194" s="18" t="s">
        <v>12</v>
      </c>
      <c r="E194" s="19">
        <v>1663.0</v>
      </c>
      <c r="F194" s="23">
        <v>46203.0</v>
      </c>
      <c r="H194" s="18" t="s">
        <v>104</v>
      </c>
      <c r="I194" s="18" t="s">
        <v>141</v>
      </c>
      <c r="J194" s="18" t="s">
        <v>79</v>
      </c>
      <c r="K194" s="18" t="s">
        <v>80</v>
      </c>
      <c r="L194" s="19">
        <v>87.0</v>
      </c>
      <c r="M194" s="19">
        <v>6494.0</v>
      </c>
      <c r="N194" s="19">
        <v>6683.0</v>
      </c>
      <c r="O194" s="19">
        <v>189.0</v>
      </c>
      <c r="S194" s="18" t="s">
        <v>81</v>
      </c>
    </row>
    <row r="195">
      <c r="A195" s="22">
        <v>46204.285954120365</v>
      </c>
      <c r="B195" s="18" t="s">
        <v>74</v>
      </c>
      <c r="C195" s="18" t="s">
        <v>69</v>
      </c>
      <c r="D195" s="18" t="s">
        <v>12</v>
      </c>
      <c r="E195" s="19">
        <v>1664.0</v>
      </c>
      <c r="F195" s="23">
        <v>46203.0</v>
      </c>
      <c r="H195" s="18" t="s">
        <v>148</v>
      </c>
      <c r="I195" s="18" t="s">
        <v>141</v>
      </c>
      <c r="J195" s="18" t="s">
        <v>79</v>
      </c>
      <c r="K195" s="18" t="s">
        <v>80</v>
      </c>
      <c r="L195" s="19">
        <v>135.0</v>
      </c>
      <c r="M195" s="19">
        <v>5954.0</v>
      </c>
      <c r="N195" s="19">
        <v>6233.0</v>
      </c>
      <c r="O195" s="19">
        <v>279.0</v>
      </c>
      <c r="S195" s="18" t="s">
        <v>81</v>
      </c>
    </row>
    <row r="196">
      <c r="A196" s="22">
        <v>46204.28595423611</v>
      </c>
      <c r="B196" s="18" t="s">
        <v>74</v>
      </c>
      <c r="C196" s="18" t="s">
        <v>69</v>
      </c>
      <c r="D196" s="18" t="s">
        <v>12</v>
      </c>
      <c r="E196" s="19">
        <v>1665.0</v>
      </c>
      <c r="F196" s="23">
        <v>46203.0</v>
      </c>
      <c r="H196" s="18" t="s">
        <v>122</v>
      </c>
      <c r="I196" s="18" t="s">
        <v>141</v>
      </c>
      <c r="J196" s="18" t="s">
        <v>79</v>
      </c>
      <c r="K196" s="18" t="s">
        <v>80</v>
      </c>
      <c r="L196" s="19">
        <v>117.0</v>
      </c>
      <c r="M196" s="19">
        <v>7985.0</v>
      </c>
      <c r="N196" s="19">
        <v>8237.0</v>
      </c>
      <c r="O196" s="19">
        <v>252.0</v>
      </c>
      <c r="S196" s="18" t="s">
        <v>81</v>
      </c>
    </row>
    <row r="197">
      <c r="A197" s="22">
        <v>46204.28595435186</v>
      </c>
      <c r="B197" s="18" t="s">
        <v>74</v>
      </c>
      <c r="C197" s="18" t="s">
        <v>69</v>
      </c>
      <c r="D197" s="18" t="s">
        <v>12</v>
      </c>
      <c r="E197" s="19">
        <v>1666.0</v>
      </c>
      <c r="F197" s="23">
        <v>46203.0</v>
      </c>
      <c r="H197" s="18" t="s">
        <v>91</v>
      </c>
      <c r="I197" s="18" t="s">
        <v>141</v>
      </c>
      <c r="J197" s="18" t="s">
        <v>79</v>
      </c>
      <c r="K197" s="18" t="s">
        <v>80</v>
      </c>
      <c r="L197" s="19">
        <v>37.0</v>
      </c>
      <c r="M197" s="19">
        <v>13492.0</v>
      </c>
      <c r="N197" s="19">
        <v>14114.0</v>
      </c>
      <c r="O197" s="19">
        <v>622.0</v>
      </c>
      <c r="S197" s="18" t="s">
        <v>81</v>
      </c>
    </row>
    <row r="198">
      <c r="A198" s="22">
        <v>46204.285954374995</v>
      </c>
      <c r="B198" s="18" t="s">
        <v>74</v>
      </c>
      <c r="C198" s="18" t="s">
        <v>69</v>
      </c>
      <c r="D198" s="18" t="s">
        <v>12</v>
      </c>
      <c r="E198" s="19">
        <v>1667.0</v>
      </c>
      <c r="F198" s="23">
        <v>46203.0</v>
      </c>
      <c r="H198" s="18" t="s">
        <v>136</v>
      </c>
      <c r="I198" s="18" t="s">
        <v>141</v>
      </c>
      <c r="J198" s="18" t="s">
        <v>79</v>
      </c>
      <c r="K198" s="18" t="s">
        <v>80</v>
      </c>
      <c r="L198" s="19">
        <v>56.0</v>
      </c>
      <c r="M198" s="19">
        <v>321689.0</v>
      </c>
      <c r="N198" s="19">
        <v>322294.0</v>
      </c>
      <c r="O198" s="19">
        <v>605.0</v>
      </c>
      <c r="S198" s="18" t="s">
        <v>81</v>
      </c>
    </row>
    <row r="199">
      <c r="A199" s="22">
        <v>46204.28595443287</v>
      </c>
      <c r="B199" s="18" t="s">
        <v>74</v>
      </c>
      <c r="C199" s="18" t="s">
        <v>69</v>
      </c>
      <c r="D199" s="18" t="s">
        <v>12</v>
      </c>
      <c r="E199" s="19">
        <v>1668.0</v>
      </c>
      <c r="F199" s="23">
        <v>46203.0</v>
      </c>
      <c r="H199" s="18" t="s">
        <v>116</v>
      </c>
      <c r="I199" s="18" t="s">
        <v>141</v>
      </c>
      <c r="J199" s="18" t="s">
        <v>79</v>
      </c>
      <c r="K199" s="18" t="s">
        <v>80</v>
      </c>
      <c r="L199" s="19">
        <v>455.0</v>
      </c>
      <c r="M199" s="19">
        <v>82757.0</v>
      </c>
      <c r="N199" s="19">
        <v>83845.0</v>
      </c>
      <c r="O199" s="19">
        <v>1088.0</v>
      </c>
      <c r="S199" s="18" t="s">
        <v>81</v>
      </c>
    </row>
    <row r="200">
      <c r="A200" s="22">
        <v>46204.28595450232</v>
      </c>
      <c r="B200" s="18" t="s">
        <v>74</v>
      </c>
      <c r="C200" s="18" t="s">
        <v>69</v>
      </c>
      <c r="D200" s="18" t="s">
        <v>12</v>
      </c>
      <c r="E200" s="19">
        <v>1669.0</v>
      </c>
      <c r="F200" s="23">
        <v>46203.0</v>
      </c>
      <c r="H200" s="18" t="s">
        <v>99</v>
      </c>
      <c r="I200" s="18" t="s">
        <v>141</v>
      </c>
      <c r="J200" s="18" t="s">
        <v>79</v>
      </c>
      <c r="K200" s="18" t="s">
        <v>80</v>
      </c>
      <c r="L200" s="19">
        <v>290.0</v>
      </c>
      <c r="M200" s="19">
        <v>155997.0</v>
      </c>
      <c r="N200" s="19">
        <v>156601.0</v>
      </c>
      <c r="O200" s="19">
        <v>604.0</v>
      </c>
      <c r="S200" s="18" t="s">
        <v>81</v>
      </c>
    </row>
    <row r="201">
      <c r="A201" s="22">
        <v>46204.28595457176</v>
      </c>
      <c r="B201" s="18" t="s">
        <v>74</v>
      </c>
      <c r="C201" s="18" t="s">
        <v>69</v>
      </c>
      <c r="D201" s="18" t="s">
        <v>12</v>
      </c>
      <c r="E201" s="19">
        <v>1670.0</v>
      </c>
      <c r="F201" s="23">
        <v>46203.0</v>
      </c>
      <c r="H201" s="18" t="s">
        <v>100</v>
      </c>
      <c r="I201" s="18" t="s">
        <v>141</v>
      </c>
      <c r="J201" s="18" t="s">
        <v>79</v>
      </c>
      <c r="K201" s="18" t="s">
        <v>80</v>
      </c>
      <c r="L201" s="19">
        <v>332.0</v>
      </c>
      <c r="M201" s="19">
        <v>410764.0</v>
      </c>
      <c r="N201" s="19">
        <v>411589.0</v>
      </c>
      <c r="O201" s="19">
        <v>825.0</v>
      </c>
      <c r="S201" s="18" t="s">
        <v>81</v>
      </c>
    </row>
    <row r="202">
      <c r="A202" s="22">
        <v>46204.28595460649</v>
      </c>
      <c r="B202" s="18" t="s">
        <v>74</v>
      </c>
      <c r="C202" s="18" t="s">
        <v>69</v>
      </c>
      <c r="D202" s="18" t="s">
        <v>12</v>
      </c>
      <c r="E202" s="19">
        <v>1671.0</v>
      </c>
      <c r="F202" s="23">
        <v>46203.0</v>
      </c>
      <c r="H202" s="18" t="s">
        <v>84</v>
      </c>
      <c r="I202" s="18" t="s">
        <v>141</v>
      </c>
      <c r="J202" s="18" t="s">
        <v>79</v>
      </c>
      <c r="K202" s="18" t="s">
        <v>80</v>
      </c>
      <c r="L202" s="19">
        <v>110.0</v>
      </c>
      <c r="M202" s="19">
        <v>49224.0</v>
      </c>
      <c r="N202" s="19">
        <v>49348.0</v>
      </c>
      <c r="O202" s="19">
        <v>124.0</v>
      </c>
      <c r="S202" s="18" t="s">
        <v>81</v>
      </c>
    </row>
    <row r="203">
      <c r="A203" s="22">
        <v>46204.285954652776</v>
      </c>
      <c r="B203" s="18" t="s">
        <v>74</v>
      </c>
      <c r="C203" s="18" t="s">
        <v>69</v>
      </c>
      <c r="D203" s="18" t="s">
        <v>12</v>
      </c>
      <c r="E203" s="19">
        <v>1672.0</v>
      </c>
      <c r="F203" s="23">
        <v>46203.0</v>
      </c>
      <c r="H203" s="18" t="s">
        <v>82</v>
      </c>
      <c r="I203" s="18" t="s">
        <v>141</v>
      </c>
      <c r="J203" s="18" t="s">
        <v>79</v>
      </c>
      <c r="K203" s="18" t="s">
        <v>80</v>
      </c>
      <c r="L203" s="19">
        <v>175.0</v>
      </c>
      <c r="M203" s="19">
        <v>100218.0</v>
      </c>
      <c r="N203" s="19">
        <v>100593.0</v>
      </c>
      <c r="O203" s="19">
        <v>375.0</v>
      </c>
      <c r="S203" s="18" t="s">
        <v>81</v>
      </c>
    </row>
    <row r="204">
      <c r="A204" s="22">
        <v>46204.28595466435</v>
      </c>
      <c r="B204" s="18" t="s">
        <v>74</v>
      </c>
      <c r="C204" s="18" t="s">
        <v>69</v>
      </c>
      <c r="D204" s="18" t="s">
        <v>12</v>
      </c>
      <c r="E204" s="19">
        <v>1673.0</v>
      </c>
      <c r="F204" s="23">
        <v>46203.0</v>
      </c>
      <c r="H204" s="18" t="s">
        <v>126</v>
      </c>
      <c r="I204" s="18" t="s">
        <v>141</v>
      </c>
      <c r="J204" s="18" t="s">
        <v>79</v>
      </c>
      <c r="K204" s="18" t="s">
        <v>80</v>
      </c>
      <c r="L204" s="19">
        <v>135.0</v>
      </c>
      <c r="M204" s="19">
        <v>588140.0</v>
      </c>
      <c r="N204" s="19">
        <v>588367.0</v>
      </c>
      <c r="O204" s="19">
        <v>227.0</v>
      </c>
      <c r="S204" s="18" t="s">
        <v>81</v>
      </c>
    </row>
    <row r="205">
      <c r="A205" s="22">
        <v>46204.28595469907</v>
      </c>
      <c r="B205" s="18" t="s">
        <v>74</v>
      </c>
      <c r="C205" s="18" t="s">
        <v>69</v>
      </c>
      <c r="D205" s="18" t="s">
        <v>12</v>
      </c>
      <c r="E205" s="19">
        <v>1674.0</v>
      </c>
      <c r="F205" s="23">
        <v>46203.0</v>
      </c>
      <c r="H205" s="18" t="s">
        <v>130</v>
      </c>
      <c r="I205" s="18" t="s">
        <v>141</v>
      </c>
      <c r="J205" s="18" t="s">
        <v>79</v>
      </c>
      <c r="K205" s="18" t="s">
        <v>80</v>
      </c>
      <c r="L205" s="19">
        <v>115.0</v>
      </c>
      <c r="R205" s="18" t="s">
        <v>131</v>
      </c>
      <c r="S205" s="18" t="s">
        <v>81</v>
      </c>
    </row>
    <row r="206">
      <c r="A206" s="22">
        <v>46204.28595478009</v>
      </c>
      <c r="B206" s="18" t="s">
        <v>74</v>
      </c>
      <c r="C206" s="18" t="s">
        <v>69</v>
      </c>
      <c r="D206" s="18" t="s">
        <v>12</v>
      </c>
      <c r="E206" s="19">
        <v>1675.0</v>
      </c>
      <c r="F206" s="23">
        <v>46203.0</v>
      </c>
      <c r="H206" s="18" t="s">
        <v>158</v>
      </c>
      <c r="I206" s="18" t="s">
        <v>141</v>
      </c>
      <c r="J206" s="18" t="s">
        <v>79</v>
      </c>
      <c r="K206" s="18" t="s">
        <v>80</v>
      </c>
      <c r="L206" s="19">
        <v>127.0</v>
      </c>
      <c r="M206" s="19">
        <v>248583.0</v>
      </c>
      <c r="N206" s="19">
        <v>248979.0</v>
      </c>
      <c r="O206" s="19">
        <v>396.0</v>
      </c>
      <c r="S206" s="18" t="s">
        <v>81</v>
      </c>
    </row>
    <row r="207">
      <c r="A207" s="22">
        <v>46204.28595479167</v>
      </c>
      <c r="B207" s="18" t="s">
        <v>74</v>
      </c>
      <c r="C207" s="18" t="s">
        <v>69</v>
      </c>
      <c r="D207" s="18" t="s">
        <v>12</v>
      </c>
      <c r="E207" s="19">
        <v>1676.0</v>
      </c>
      <c r="F207" s="23">
        <v>46203.0</v>
      </c>
      <c r="H207" s="18" t="s">
        <v>159</v>
      </c>
      <c r="I207" s="18" t="s">
        <v>141</v>
      </c>
      <c r="J207" s="18" t="s">
        <v>79</v>
      </c>
      <c r="K207" s="18" t="s">
        <v>80</v>
      </c>
      <c r="L207" s="19">
        <v>140.0</v>
      </c>
      <c r="M207" s="19">
        <v>77715.0</v>
      </c>
      <c r="N207" s="19">
        <v>78234.0</v>
      </c>
      <c r="O207" s="19">
        <v>519.0</v>
      </c>
      <c r="S207" s="18" t="s">
        <v>81</v>
      </c>
    </row>
    <row r="208">
      <c r="A208" s="22">
        <v>46204.28595480324</v>
      </c>
      <c r="B208" s="18" t="s">
        <v>74</v>
      </c>
      <c r="C208" s="18" t="s">
        <v>69</v>
      </c>
      <c r="D208" s="18" t="s">
        <v>12</v>
      </c>
      <c r="E208" s="19">
        <v>1677.0</v>
      </c>
      <c r="F208" s="23">
        <v>46203.0</v>
      </c>
      <c r="H208" s="18" t="s">
        <v>159</v>
      </c>
      <c r="I208" s="18" t="s">
        <v>93</v>
      </c>
      <c r="J208" s="18" t="s">
        <v>79</v>
      </c>
      <c r="K208" s="18" t="s">
        <v>93</v>
      </c>
      <c r="L208" s="19">
        <v>3.0</v>
      </c>
      <c r="R208" s="18" t="s">
        <v>160</v>
      </c>
      <c r="S208" s="18" t="s">
        <v>81</v>
      </c>
    </row>
    <row r="209">
      <c r="A209" s="22">
        <v>46204.28595482639</v>
      </c>
      <c r="B209" s="18" t="s">
        <v>74</v>
      </c>
      <c r="C209" s="18" t="s">
        <v>69</v>
      </c>
      <c r="D209" s="18" t="s">
        <v>12</v>
      </c>
      <c r="E209" s="19">
        <v>1678.0</v>
      </c>
      <c r="F209" s="23">
        <v>46203.0</v>
      </c>
      <c r="H209" s="18" t="s">
        <v>161</v>
      </c>
      <c r="I209" s="18" t="s">
        <v>141</v>
      </c>
      <c r="J209" s="18" t="s">
        <v>79</v>
      </c>
      <c r="K209" s="18" t="s">
        <v>80</v>
      </c>
      <c r="L209" s="19">
        <v>94.0</v>
      </c>
      <c r="N209" s="19">
        <v>60980.0</v>
      </c>
      <c r="S209" s="18" t="s">
        <v>81</v>
      </c>
    </row>
    <row r="210">
      <c r="A210" s="22">
        <v>46204.28595484953</v>
      </c>
      <c r="B210" s="18" t="s">
        <v>74</v>
      </c>
      <c r="C210" s="18" t="s">
        <v>69</v>
      </c>
      <c r="D210" s="18" t="s">
        <v>12</v>
      </c>
      <c r="E210" s="19">
        <v>1679.0</v>
      </c>
      <c r="F210" s="23">
        <v>46203.0</v>
      </c>
      <c r="H210" s="18" t="s">
        <v>154</v>
      </c>
      <c r="I210" s="18" t="s">
        <v>141</v>
      </c>
      <c r="J210" s="18" t="s">
        <v>79</v>
      </c>
      <c r="K210" s="18" t="s">
        <v>80</v>
      </c>
      <c r="L210" s="19">
        <v>54.0</v>
      </c>
      <c r="M210" s="19">
        <v>367500.0</v>
      </c>
      <c r="N210" s="19">
        <v>367710.0</v>
      </c>
      <c r="O210" s="19">
        <v>210.0</v>
      </c>
      <c r="S210" s="18" t="s">
        <v>81</v>
      </c>
    </row>
    <row r="211">
      <c r="A211" s="22">
        <v>46204.285954872685</v>
      </c>
      <c r="B211" s="18" t="s">
        <v>74</v>
      </c>
      <c r="C211" s="18" t="s">
        <v>69</v>
      </c>
      <c r="D211" s="18" t="s">
        <v>12</v>
      </c>
      <c r="E211" s="19">
        <v>1680.0</v>
      </c>
      <c r="F211" s="23">
        <v>46203.0</v>
      </c>
      <c r="H211" s="18" t="s">
        <v>162</v>
      </c>
      <c r="I211" s="18" t="s">
        <v>163</v>
      </c>
      <c r="J211" s="18" t="s">
        <v>79</v>
      </c>
      <c r="K211" s="18" t="s">
        <v>80</v>
      </c>
      <c r="L211" s="19">
        <v>1701.0</v>
      </c>
      <c r="N211" s="19">
        <v>4356.0</v>
      </c>
      <c r="S211" s="18" t="s">
        <v>81</v>
      </c>
    </row>
    <row r="212">
      <c r="A212" s="22">
        <v>46204.28595488426</v>
      </c>
      <c r="B212" s="18" t="s">
        <v>74</v>
      </c>
      <c r="C212" s="18" t="s">
        <v>69</v>
      </c>
      <c r="D212" s="18" t="s">
        <v>12</v>
      </c>
      <c r="E212" s="19">
        <v>1681.0</v>
      </c>
      <c r="F212" s="23">
        <v>46203.0</v>
      </c>
      <c r="H212" s="18" t="s">
        <v>164</v>
      </c>
      <c r="I212" s="18" t="s">
        <v>163</v>
      </c>
      <c r="J212" s="18" t="s">
        <v>79</v>
      </c>
      <c r="K212" s="18" t="s">
        <v>80</v>
      </c>
      <c r="L212" s="19">
        <v>180.0</v>
      </c>
      <c r="R212" s="18" t="s">
        <v>131</v>
      </c>
      <c r="S212" s="18" t="s">
        <v>81</v>
      </c>
    </row>
    <row r="213">
      <c r="A213" s="22">
        <v>46204.31643769676</v>
      </c>
      <c r="B213" s="18" t="s">
        <v>74</v>
      </c>
      <c r="C213" s="18" t="s">
        <v>69</v>
      </c>
      <c r="D213" s="18" t="s">
        <v>12</v>
      </c>
      <c r="E213" s="19">
        <v>1682.0</v>
      </c>
      <c r="F213" s="23">
        <v>46203.0</v>
      </c>
      <c r="H213" s="18" t="s">
        <v>117</v>
      </c>
      <c r="I213" s="18" t="s">
        <v>141</v>
      </c>
      <c r="J213" s="18" t="s">
        <v>79</v>
      </c>
      <c r="K213" s="18" t="s">
        <v>80</v>
      </c>
      <c r="L213" s="19">
        <v>146.0</v>
      </c>
      <c r="M213" s="19">
        <v>8392.0</v>
      </c>
      <c r="N213" s="19">
        <v>8404.0</v>
      </c>
      <c r="O213" s="19">
        <v>12.0</v>
      </c>
      <c r="S213" s="18" t="s">
        <v>81</v>
      </c>
    </row>
    <row r="214">
      <c r="A214" s="22">
        <v>46204.31643770833</v>
      </c>
      <c r="B214" s="18" t="s">
        <v>74</v>
      </c>
      <c r="C214" s="18" t="s">
        <v>69</v>
      </c>
      <c r="D214" s="18" t="s">
        <v>12</v>
      </c>
      <c r="E214" s="19">
        <v>1683.0</v>
      </c>
      <c r="F214" s="23">
        <v>46203.0</v>
      </c>
      <c r="H214" s="18" t="s">
        <v>114</v>
      </c>
      <c r="I214" s="18" t="s">
        <v>141</v>
      </c>
      <c r="J214" s="18" t="s">
        <v>79</v>
      </c>
      <c r="K214" s="18" t="s">
        <v>80</v>
      </c>
      <c r="L214" s="19">
        <v>100.0</v>
      </c>
      <c r="M214" s="19">
        <v>278741.0</v>
      </c>
      <c r="N214" s="19">
        <v>278970.0</v>
      </c>
      <c r="O214" s="19">
        <v>229.0</v>
      </c>
      <c r="S214" s="18" t="s">
        <v>81</v>
      </c>
    </row>
    <row r="215">
      <c r="A215" s="22">
        <v>46204.33378155093</v>
      </c>
      <c r="B215" s="18" t="s">
        <v>74</v>
      </c>
      <c r="C215" s="18" t="s">
        <v>69</v>
      </c>
      <c r="D215" s="18" t="s">
        <v>12</v>
      </c>
      <c r="E215" s="19">
        <v>1684.0</v>
      </c>
      <c r="F215" s="23">
        <v>46179.0</v>
      </c>
      <c r="H215" s="18" t="s">
        <v>116</v>
      </c>
      <c r="I215" s="18" t="s">
        <v>149</v>
      </c>
      <c r="J215" s="18" t="s">
        <v>150</v>
      </c>
      <c r="K215" s="18" t="s">
        <v>80</v>
      </c>
      <c r="L215" s="19">
        <v>368.6</v>
      </c>
      <c r="S215" s="18" t="s">
        <v>81</v>
      </c>
    </row>
    <row r="216">
      <c r="A216" s="22">
        <v>46204.334295127315</v>
      </c>
      <c r="B216" s="18" t="s">
        <v>74</v>
      </c>
      <c r="C216" s="18" t="s">
        <v>69</v>
      </c>
      <c r="D216" s="18" t="s">
        <v>12</v>
      </c>
      <c r="E216" s="19">
        <v>1685.0</v>
      </c>
      <c r="F216" s="23">
        <v>46182.0</v>
      </c>
      <c r="H216" s="18" t="s">
        <v>116</v>
      </c>
      <c r="I216" s="18" t="s">
        <v>149</v>
      </c>
      <c r="J216" s="18" t="s">
        <v>150</v>
      </c>
      <c r="K216" s="18" t="s">
        <v>80</v>
      </c>
      <c r="L216" s="19">
        <v>336.003</v>
      </c>
      <c r="S216" s="18" t="s">
        <v>81</v>
      </c>
    </row>
    <row r="217">
      <c r="A217" s="22">
        <v>46204.33550042824</v>
      </c>
      <c r="B217" s="18" t="s">
        <v>74</v>
      </c>
      <c r="C217" s="18" t="s">
        <v>69</v>
      </c>
      <c r="D217" s="18" t="s">
        <v>12</v>
      </c>
      <c r="E217" s="19">
        <v>1686.0</v>
      </c>
      <c r="F217" s="23">
        <v>46202.0</v>
      </c>
      <c r="H217" s="18" t="s">
        <v>116</v>
      </c>
      <c r="I217" s="18" t="s">
        <v>149</v>
      </c>
      <c r="J217" s="18" t="s">
        <v>150</v>
      </c>
      <c r="K217" s="18" t="s">
        <v>80</v>
      </c>
      <c r="L217" s="19">
        <v>50.0</v>
      </c>
      <c r="S217" s="18" t="s">
        <v>81</v>
      </c>
    </row>
    <row r="218">
      <c r="A218" s="22">
        <v>46204.64817402778</v>
      </c>
      <c r="B218" s="18" t="s">
        <v>74</v>
      </c>
      <c r="C218" s="18" t="s">
        <v>69</v>
      </c>
      <c r="D218" s="18" t="s">
        <v>12</v>
      </c>
      <c r="E218" s="19">
        <v>1687.0</v>
      </c>
      <c r="F218" s="23">
        <v>46203.0</v>
      </c>
      <c r="H218" s="18" t="s">
        <v>135</v>
      </c>
      <c r="I218" s="18" t="s">
        <v>141</v>
      </c>
      <c r="J218" s="18" t="s">
        <v>79</v>
      </c>
      <c r="K218" s="18" t="s">
        <v>80</v>
      </c>
      <c r="L218" s="19">
        <v>43.0</v>
      </c>
      <c r="M218" s="19">
        <v>479019.0</v>
      </c>
      <c r="N218" s="19">
        <v>479520.0</v>
      </c>
      <c r="O218" s="19">
        <v>501.0</v>
      </c>
      <c r="S218" s="18" t="s">
        <v>81</v>
      </c>
    </row>
    <row r="219">
      <c r="A219" s="22">
        <v>46204.64817403935</v>
      </c>
      <c r="B219" s="18" t="s">
        <v>74</v>
      </c>
      <c r="C219" s="18" t="s">
        <v>69</v>
      </c>
      <c r="D219" s="18" t="s">
        <v>12</v>
      </c>
      <c r="E219" s="19">
        <v>1688.0</v>
      </c>
      <c r="F219" s="23">
        <v>46203.0</v>
      </c>
      <c r="H219" s="18" t="s">
        <v>88</v>
      </c>
      <c r="I219" s="18" t="s">
        <v>141</v>
      </c>
      <c r="J219" s="18" t="s">
        <v>79</v>
      </c>
      <c r="K219" s="18" t="s">
        <v>80</v>
      </c>
      <c r="L219" s="19">
        <v>509.0</v>
      </c>
      <c r="M219" s="19">
        <v>248686.0</v>
      </c>
      <c r="N219" s="19">
        <v>249661.0</v>
      </c>
      <c r="O219" s="19">
        <v>975.0</v>
      </c>
      <c r="S219" s="18" t="s">
        <v>81</v>
      </c>
    </row>
    <row r="220">
      <c r="A220" s="22">
        <v>46204.656502881946</v>
      </c>
      <c r="B220" s="18" t="s">
        <v>74</v>
      </c>
      <c r="C220" s="18" t="s">
        <v>69</v>
      </c>
      <c r="D220" s="18" t="s">
        <v>12</v>
      </c>
      <c r="E220" s="19">
        <v>1689.0</v>
      </c>
      <c r="F220" s="23">
        <v>46203.0</v>
      </c>
      <c r="H220" s="18" t="s">
        <v>101</v>
      </c>
      <c r="I220" s="18" t="s">
        <v>141</v>
      </c>
      <c r="J220" s="18" t="s">
        <v>79</v>
      </c>
      <c r="K220" s="18" t="s">
        <v>80</v>
      </c>
      <c r="L220" s="19">
        <v>110.0</v>
      </c>
      <c r="M220" s="19">
        <v>119571.0</v>
      </c>
      <c r="N220" s="19">
        <v>119806.0</v>
      </c>
      <c r="O220" s="19">
        <v>235.0</v>
      </c>
      <c r="S220" s="18" t="s">
        <v>81</v>
      </c>
    </row>
    <row r="221">
      <c r="A221" s="22">
        <v>46204.656502893515</v>
      </c>
      <c r="B221" s="18" t="s">
        <v>74</v>
      </c>
      <c r="C221" s="18" t="s">
        <v>69</v>
      </c>
      <c r="D221" s="18" t="s">
        <v>12</v>
      </c>
      <c r="E221" s="19">
        <v>1690.0</v>
      </c>
      <c r="F221" s="23">
        <v>46203.0</v>
      </c>
      <c r="H221" s="18" t="s">
        <v>153</v>
      </c>
      <c r="I221" s="18" t="s">
        <v>141</v>
      </c>
      <c r="J221" s="18" t="s">
        <v>79</v>
      </c>
      <c r="K221" s="18" t="s">
        <v>80</v>
      </c>
      <c r="L221" s="19">
        <v>75.0</v>
      </c>
      <c r="M221" s="19">
        <v>361432.0</v>
      </c>
      <c r="N221" s="19">
        <v>361697.0</v>
      </c>
      <c r="O221" s="19">
        <v>265.0</v>
      </c>
      <c r="S221" s="18" t="s">
        <v>81</v>
      </c>
    </row>
    <row r="222">
      <c r="A222" s="22">
        <v>46204.6565029051</v>
      </c>
      <c r="B222" s="18" t="s">
        <v>74</v>
      </c>
      <c r="C222" s="18" t="s">
        <v>69</v>
      </c>
      <c r="D222" s="18" t="s">
        <v>12</v>
      </c>
      <c r="E222" s="19">
        <v>1691.0</v>
      </c>
      <c r="F222" s="23">
        <v>46203.0</v>
      </c>
      <c r="H222" s="18" t="s">
        <v>77</v>
      </c>
      <c r="I222" s="18" t="s">
        <v>141</v>
      </c>
      <c r="J222" s="18" t="s">
        <v>79</v>
      </c>
      <c r="K222" s="18" t="s">
        <v>80</v>
      </c>
      <c r="L222" s="19">
        <v>100.0</v>
      </c>
      <c r="M222" s="19">
        <v>25163.0</v>
      </c>
      <c r="N222" s="19">
        <v>25442.0</v>
      </c>
      <c r="O222" s="19">
        <v>279.0</v>
      </c>
      <c r="S222" s="18" t="s">
        <v>81</v>
      </c>
    </row>
    <row r="223">
      <c r="A223" s="22">
        <v>46204.6565029051</v>
      </c>
      <c r="B223" s="18" t="s">
        <v>74</v>
      </c>
      <c r="C223" s="18" t="s">
        <v>69</v>
      </c>
      <c r="D223" s="18" t="s">
        <v>12</v>
      </c>
      <c r="E223" s="19">
        <v>1692.0</v>
      </c>
      <c r="F223" s="23">
        <v>46203.0</v>
      </c>
      <c r="H223" s="18" t="s">
        <v>105</v>
      </c>
      <c r="I223" s="18" t="s">
        <v>141</v>
      </c>
      <c r="J223" s="18" t="s">
        <v>79</v>
      </c>
      <c r="K223" s="18" t="s">
        <v>80</v>
      </c>
      <c r="L223" s="19">
        <v>160.0</v>
      </c>
      <c r="M223" s="19">
        <v>4447.0</v>
      </c>
      <c r="N223" s="19">
        <v>4834.0</v>
      </c>
      <c r="O223" s="19">
        <v>387.0</v>
      </c>
      <c r="S223" s="18" t="s">
        <v>81</v>
      </c>
    </row>
    <row r="224">
      <c r="A224" s="22">
        <v>46204.656502928236</v>
      </c>
      <c r="B224" s="18" t="s">
        <v>74</v>
      </c>
      <c r="C224" s="18" t="s">
        <v>69</v>
      </c>
      <c r="D224" s="18" t="s">
        <v>12</v>
      </c>
      <c r="E224" s="19">
        <v>1693.0</v>
      </c>
      <c r="F224" s="23">
        <v>46203.0</v>
      </c>
      <c r="H224" s="18" t="s">
        <v>103</v>
      </c>
      <c r="I224" s="18" t="s">
        <v>141</v>
      </c>
      <c r="J224" s="18" t="s">
        <v>79</v>
      </c>
      <c r="K224" s="18" t="s">
        <v>80</v>
      </c>
      <c r="L224" s="19">
        <v>165.0</v>
      </c>
      <c r="M224" s="19">
        <v>4386.0</v>
      </c>
      <c r="N224" s="19">
        <v>4401.0</v>
      </c>
      <c r="O224" s="19">
        <v>15.0</v>
      </c>
      <c r="S224" s="18" t="s">
        <v>81</v>
      </c>
    </row>
    <row r="225">
      <c r="A225" s="22">
        <v>46204.65650297454</v>
      </c>
      <c r="B225" s="18" t="s">
        <v>74</v>
      </c>
      <c r="C225" s="18" t="s">
        <v>69</v>
      </c>
      <c r="D225" s="18" t="s">
        <v>12</v>
      </c>
      <c r="E225" s="19">
        <v>1694.0</v>
      </c>
      <c r="F225" s="23">
        <v>46203.0</v>
      </c>
      <c r="H225" s="18" t="s">
        <v>133</v>
      </c>
      <c r="I225" s="18" t="s">
        <v>163</v>
      </c>
      <c r="J225" s="18" t="s">
        <v>79</v>
      </c>
      <c r="K225" s="18" t="s">
        <v>80</v>
      </c>
      <c r="L225" s="19">
        <v>215.0</v>
      </c>
      <c r="R225" s="18" t="s">
        <v>165</v>
      </c>
      <c r="S225" s="18" t="s">
        <v>81</v>
      </c>
    </row>
    <row r="226">
      <c r="A226" s="22">
        <v>46204.664618229166</v>
      </c>
      <c r="B226" s="18" t="s">
        <v>74</v>
      </c>
      <c r="C226" s="18" t="s">
        <v>69</v>
      </c>
      <c r="D226" s="18" t="s">
        <v>12</v>
      </c>
      <c r="E226" s="19">
        <v>1694.0</v>
      </c>
      <c r="F226" s="23">
        <v>46174.0</v>
      </c>
      <c r="H226" s="18" t="s">
        <v>119</v>
      </c>
      <c r="I226" s="18" t="s">
        <v>149</v>
      </c>
      <c r="J226" s="18" t="s">
        <v>150</v>
      </c>
      <c r="K226" s="18" t="s">
        <v>80</v>
      </c>
      <c r="L226" s="19">
        <v>250.0</v>
      </c>
      <c r="S226" s="18" t="s">
        <v>81</v>
      </c>
    </row>
    <row r="227">
      <c r="A227" s="22">
        <v>46204.6653028588</v>
      </c>
      <c r="B227" s="18" t="s">
        <v>74</v>
      </c>
      <c r="C227" s="18" t="s">
        <v>69</v>
      </c>
      <c r="D227" s="18" t="s">
        <v>12</v>
      </c>
      <c r="E227" s="19">
        <v>1695.0</v>
      </c>
      <c r="F227" s="23">
        <v>46180.0</v>
      </c>
      <c r="H227" s="18" t="s">
        <v>119</v>
      </c>
      <c r="I227" s="18" t="s">
        <v>149</v>
      </c>
      <c r="J227" s="18" t="s">
        <v>150</v>
      </c>
      <c r="K227" s="18" t="s">
        <v>80</v>
      </c>
      <c r="L227" s="19">
        <v>300.0</v>
      </c>
      <c r="S227" s="18" t="s">
        <v>81</v>
      </c>
    </row>
    <row r="228">
      <c r="A228" s="22">
        <v>46204.665713090275</v>
      </c>
      <c r="B228" s="18" t="s">
        <v>74</v>
      </c>
      <c r="C228" s="18" t="s">
        <v>69</v>
      </c>
      <c r="D228" s="18" t="s">
        <v>12</v>
      </c>
      <c r="E228" s="19">
        <v>1696.0</v>
      </c>
      <c r="F228" s="23">
        <v>46183.0</v>
      </c>
      <c r="H228" s="18" t="s">
        <v>119</v>
      </c>
      <c r="I228" s="18" t="s">
        <v>149</v>
      </c>
      <c r="J228" s="18" t="s">
        <v>150</v>
      </c>
      <c r="K228" s="18" t="s">
        <v>80</v>
      </c>
      <c r="L228" s="19">
        <v>300.0</v>
      </c>
      <c r="S228" s="18" t="s">
        <v>81</v>
      </c>
    </row>
    <row r="229">
      <c r="A229" s="22">
        <v>46204.66600484954</v>
      </c>
      <c r="B229" s="18" t="s">
        <v>74</v>
      </c>
      <c r="C229" s="18" t="s">
        <v>69</v>
      </c>
      <c r="D229" s="18" t="s">
        <v>12</v>
      </c>
      <c r="E229" s="19">
        <v>1697.0</v>
      </c>
      <c r="F229" s="23">
        <v>46189.0</v>
      </c>
      <c r="H229" s="18" t="s">
        <v>119</v>
      </c>
      <c r="I229" s="18" t="s">
        <v>149</v>
      </c>
      <c r="J229" s="18" t="s">
        <v>150</v>
      </c>
      <c r="K229" s="18" t="s">
        <v>80</v>
      </c>
      <c r="L229" s="19">
        <v>300.0</v>
      </c>
      <c r="S229" s="18" t="s">
        <v>81</v>
      </c>
    </row>
    <row r="230">
      <c r="A230" s="22">
        <v>46205.63206935185</v>
      </c>
      <c r="B230" s="18" t="s">
        <v>74</v>
      </c>
      <c r="C230" s="18" t="s">
        <v>69</v>
      </c>
      <c r="D230" s="18" t="s">
        <v>12</v>
      </c>
      <c r="E230" s="19">
        <v>1698.0</v>
      </c>
      <c r="F230" s="23">
        <v>46205.0</v>
      </c>
      <c r="H230" s="18" t="s">
        <v>98</v>
      </c>
      <c r="I230" s="18" t="s">
        <v>110</v>
      </c>
      <c r="J230" s="18" t="s">
        <v>79</v>
      </c>
      <c r="K230" s="18" t="s">
        <v>110</v>
      </c>
      <c r="L230" s="19">
        <v>22.0</v>
      </c>
      <c r="M230" s="19">
        <v>154543.0</v>
      </c>
      <c r="N230" s="19">
        <v>170789.0</v>
      </c>
      <c r="O230" s="19">
        <v>16246.0</v>
      </c>
      <c r="S230" s="18" t="s">
        <v>81</v>
      </c>
    </row>
    <row r="231">
      <c r="A231" s="22">
        <v>46205.632069375</v>
      </c>
      <c r="B231" s="18" t="s">
        <v>74</v>
      </c>
      <c r="C231" s="18" t="s">
        <v>69</v>
      </c>
      <c r="D231" s="18" t="s">
        <v>12</v>
      </c>
      <c r="E231" s="19">
        <v>1699.0</v>
      </c>
      <c r="F231" s="23">
        <v>46205.0</v>
      </c>
      <c r="H231" s="18" t="s">
        <v>97</v>
      </c>
      <c r="I231" s="18" t="s">
        <v>141</v>
      </c>
      <c r="J231" s="18" t="s">
        <v>79</v>
      </c>
      <c r="K231" s="18" t="s">
        <v>80</v>
      </c>
      <c r="L231" s="19">
        <v>127.0</v>
      </c>
      <c r="M231" s="19">
        <v>183860.0</v>
      </c>
      <c r="N231" s="19">
        <v>183971.0</v>
      </c>
      <c r="O231" s="19">
        <v>111.0</v>
      </c>
      <c r="S231" s="18" t="s">
        <v>81</v>
      </c>
    </row>
    <row r="232">
      <c r="A232" s="22">
        <v>46205.632069467596</v>
      </c>
      <c r="B232" s="18" t="s">
        <v>74</v>
      </c>
      <c r="C232" s="18" t="s">
        <v>69</v>
      </c>
      <c r="D232" s="18" t="s">
        <v>12</v>
      </c>
      <c r="E232" s="19">
        <v>1700.0</v>
      </c>
      <c r="F232" s="23">
        <v>46205.0</v>
      </c>
      <c r="H232" s="18" t="s">
        <v>166</v>
      </c>
      <c r="I232" s="18" t="s">
        <v>141</v>
      </c>
      <c r="J232" s="18" t="s">
        <v>79</v>
      </c>
      <c r="K232" s="18" t="s">
        <v>80</v>
      </c>
      <c r="L232" s="19">
        <v>350.0</v>
      </c>
      <c r="N232" s="19">
        <v>269.0</v>
      </c>
      <c r="O232" s="19">
        <v>269.0</v>
      </c>
      <c r="S232" s="18" t="s">
        <v>81</v>
      </c>
    </row>
    <row r="233">
      <c r="A233" s="22">
        <v>46206.26437239583</v>
      </c>
      <c r="B233" s="18" t="s">
        <v>74</v>
      </c>
      <c r="C233" s="18" t="s">
        <v>69</v>
      </c>
      <c r="D233" s="18" t="s">
        <v>12</v>
      </c>
      <c r="E233" s="19">
        <v>1701.0</v>
      </c>
      <c r="F233" s="23">
        <v>46205.0</v>
      </c>
      <c r="H233" s="18" t="s">
        <v>115</v>
      </c>
      <c r="I233" s="18" t="s">
        <v>110</v>
      </c>
      <c r="J233" s="18" t="s">
        <v>79</v>
      </c>
      <c r="K233" s="18" t="s">
        <v>110</v>
      </c>
      <c r="L233" s="19">
        <v>30.0</v>
      </c>
      <c r="M233" s="19">
        <v>4500.0</v>
      </c>
      <c r="N233" s="19">
        <v>21051.0</v>
      </c>
      <c r="O233" s="19">
        <v>16551.0</v>
      </c>
      <c r="S233" s="18" t="s">
        <v>81</v>
      </c>
    </row>
    <row r="234">
      <c r="A234" s="22">
        <v>46206.42929515046</v>
      </c>
      <c r="B234" s="18" t="s">
        <v>74</v>
      </c>
      <c r="C234" s="18" t="s">
        <v>69</v>
      </c>
      <c r="D234" s="18" t="s">
        <v>12</v>
      </c>
      <c r="E234" s="19">
        <v>1702.0</v>
      </c>
      <c r="F234" s="23">
        <v>46206.0</v>
      </c>
      <c r="H234" s="18" t="s">
        <v>123</v>
      </c>
      <c r="I234" s="18" t="s">
        <v>141</v>
      </c>
      <c r="J234" s="18" t="s">
        <v>79</v>
      </c>
      <c r="K234" s="18" t="s">
        <v>80</v>
      </c>
      <c r="L234" s="19">
        <v>387.0</v>
      </c>
      <c r="M234" s="19">
        <v>205274.0</v>
      </c>
      <c r="N234" s="19">
        <v>206034.0</v>
      </c>
      <c r="O234" s="19">
        <v>760.0</v>
      </c>
      <c r="S234" s="18" t="s">
        <v>81</v>
      </c>
    </row>
    <row r="235">
      <c r="A235" s="22">
        <v>46206.650413888885</v>
      </c>
      <c r="B235" s="18" t="s">
        <v>74</v>
      </c>
      <c r="C235" s="18" t="s">
        <v>69</v>
      </c>
      <c r="D235" s="18" t="s">
        <v>12</v>
      </c>
      <c r="E235" s="19">
        <v>1703.0</v>
      </c>
      <c r="F235" s="23">
        <v>46206.0</v>
      </c>
      <c r="H235" s="18" t="s">
        <v>167</v>
      </c>
      <c r="I235" s="18" t="s">
        <v>141</v>
      </c>
      <c r="J235" s="18" t="s">
        <v>79</v>
      </c>
      <c r="K235" s="18" t="s">
        <v>80</v>
      </c>
      <c r="L235" s="19">
        <v>40.0</v>
      </c>
      <c r="S235" s="18" t="s">
        <v>81</v>
      </c>
    </row>
    <row r="236">
      <c r="A236" s="22">
        <v>46206.65041390047</v>
      </c>
      <c r="B236" s="18" t="s">
        <v>74</v>
      </c>
      <c r="C236" s="18" t="s">
        <v>69</v>
      </c>
      <c r="D236" s="18" t="s">
        <v>12</v>
      </c>
      <c r="E236" s="19">
        <v>1704.0</v>
      </c>
      <c r="F236" s="23">
        <v>46206.0</v>
      </c>
      <c r="H236" s="18" t="s">
        <v>77</v>
      </c>
      <c r="I236" s="18" t="s">
        <v>141</v>
      </c>
      <c r="J236" s="18" t="s">
        <v>79</v>
      </c>
      <c r="K236" s="18" t="s">
        <v>80</v>
      </c>
      <c r="L236" s="19">
        <v>45.0</v>
      </c>
      <c r="R236" s="18" t="s">
        <v>85</v>
      </c>
      <c r="S236" s="18" t="s">
        <v>81</v>
      </c>
    </row>
    <row r="237">
      <c r="A237" s="22">
        <v>46207.2633502199</v>
      </c>
      <c r="B237" s="18" t="s">
        <v>74</v>
      </c>
      <c r="C237" s="18" t="s">
        <v>69</v>
      </c>
      <c r="D237" s="18" t="s">
        <v>12</v>
      </c>
      <c r="E237" s="19">
        <v>1705.0</v>
      </c>
      <c r="F237" s="23">
        <v>46206.0</v>
      </c>
      <c r="H237" s="18" t="s">
        <v>115</v>
      </c>
      <c r="I237" s="18" t="s">
        <v>141</v>
      </c>
      <c r="J237" s="18" t="s">
        <v>79</v>
      </c>
      <c r="K237" s="18" t="s">
        <v>80</v>
      </c>
      <c r="L237" s="19">
        <v>390.0</v>
      </c>
      <c r="M237" s="19">
        <v>20321.0</v>
      </c>
      <c r="N237" s="19">
        <v>21396.0</v>
      </c>
      <c r="O237" s="19">
        <v>1075.0</v>
      </c>
      <c r="S237" s="18" t="s">
        <v>81</v>
      </c>
    </row>
    <row r="238">
      <c r="A238" s="22">
        <v>46207.263350231486</v>
      </c>
      <c r="B238" s="18" t="s">
        <v>74</v>
      </c>
      <c r="C238" s="18" t="s">
        <v>69</v>
      </c>
      <c r="D238" s="18" t="s">
        <v>12</v>
      </c>
      <c r="E238" s="19">
        <v>1706.0</v>
      </c>
      <c r="F238" s="23">
        <v>46206.0</v>
      </c>
      <c r="H238" s="18" t="s">
        <v>100</v>
      </c>
      <c r="I238" s="18" t="s">
        <v>141</v>
      </c>
      <c r="J238" s="18" t="s">
        <v>79</v>
      </c>
      <c r="K238" s="18" t="s">
        <v>80</v>
      </c>
      <c r="L238" s="19">
        <v>310.0</v>
      </c>
      <c r="M238" s="19">
        <v>411589.0</v>
      </c>
      <c r="N238" s="19">
        <v>412346.0</v>
      </c>
      <c r="O238" s="19">
        <v>757.0</v>
      </c>
      <c r="S238" s="18" t="s">
        <v>81</v>
      </c>
    </row>
    <row r="239">
      <c r="A239" s="22">
        <v>46207.263350231486</v>
      </c>
      <c r="B239" s="18" t="s">
        <v>74</v>
      </c>
      <c r="C239" s="18" t="s">
        <v>69</v>
      </c>
      <c r="D239" s="18" t="s">
        <v>12</v>
      </c>
      <c r="E239" s="19">
        <v>1707.0</v>
      </c>
      <c r="F239" s="23">
        <v>46206.0</v>
      </c>
      <c r="H239" s="18" t="s">
        <v>96</v>
      </c>
      <c r="I239" s="18" t="s">
        <v>141</v>
      </c>
      <c r="J239" s="18" t="s">
        <v>79</v>
      </c>
      <c r="K239" s="18" t="s">
        <v>80</v>
      </c>
      <c r="L239" s="19">
        <v>360.0</v>
      </c>
      <c r="M239" s="19">
        <v>84323.0</v>
      </c>
      <c r="N239" s="19">
        <v>85139.0</v>
      </c>
      <c r="O239" s="19">
        <v>816.0</v>
      </c>
      <c r="S239" s="18" t="s">
        <v>81</v>
      </c>
    </row>
    <row r="240">
      <c r="A240" s="22">
        <v>46207.263350243054</v>
      </c>
      <c r="B240" s="18" t="s">
        <v>74</v>
      </c>
      <c r="C240" s="18" t="s">
        <v>69</v>
      </c>
      <c r="D240" s="18" t="s">
        <v>12</v>
      </c>
      <c r="E240" s="19">
        <v>1708.0</v>
      </c>
      <c r="F240" s="23">
        <v>46206.0</v>
      </c>
      <c r="H240" s="18" t="s">
        <v>99</v>
      </c>
      <c r="I240" s="18" t="s">
        <v>141</v>
      </c>
      <c r="J240" s="18" t="s">
        <v>79</v>
      </c>
      <c r="K240" s="18" t="s">
        <v>80</v>
      </c>
      <c r="L240" s="19">
        <v>390.0</v>
      </c>
      <c r="M240" s="19">
        <v>156601.0</v>
      </c>
      <c r="N240" s="19">
        <v>157445.0</v>
      </c>
      <c r="O240" s="19">
        <v>844.0</v>
      </c>
      <c r="S240" s="18" t="s">
        <v>81</v>
      </c>
    </row>
    <row r="241">
      <c r="A241" s="22">
        <v>46207.26335025463</v>
      </c>
      <c r="B241" s="18" t="s">
        <v>74</v>
      </c>
      <c r="C241" s="18" t="s">
        <v>69</v>
      </c>
      <c r="D241" s="18" t="s">
        <v>12</v>
      </c>
      <c r="E241" s="19">
        <v>1709.0</v>
      </c>
      <c r="F241" s="23">
        <v>46206.0</v>
      </c>
      <c r="H241" s="18" t="s">
        <v>98</v>
      </c>
      <c r="I241" s="18" t="s">
        <v>141</v>
      </c>
      <c r="J241" s="18" t="s">
        <v>79</v>
      </c>
      <c r="K241" s="18" t="s">
        <v>80</v>
      </c>
      <c r="L241" s="19">
        <v>164.0</v>
      </c>
      <c r="M241" s="19">
        <v>170471.0</v>
      </c>
      <c r="N241" s="19">
        <v>170871.0</v>
      </c>
      <c r="O241" s="19">
        <v>400.0</v>
      </c>
      <c r="S241" s="18" t="s">
        <v>81</v>
      </c>
    </row>
    <row r="242">
      <c r="A242" s="22">
        <v>46207.41507803241</v>
      </c>
      <c r="B242" s="18" t="s">
        <v>74</v>
      </c>
      <c r="C242" s="18" t="s">
        <v>69</v>
      </c>
      <c r="D242" s="18" t="s">
        <v>12</v>
      </c>
      <c r="E242" s="19">
        <v>1710.0</v>
      </c>
      <c r="F242" s="23">
        <v>46207.0</v>
      </c>
      <c r="H242" s="18" t="s">
        <v>84</v>
      </c>
      <c r="I242" s="18" t="s">
        <v>141</v>
      </c>
      <c r="J242" s="18" t="s">
        <v>79</v>
      </c>
      <c r="K242" s="18" t="s">
        <v>80</v>
      </c>
      <c r="L242" s="19">
        <v>46.0</v>
      </c>
      <c r="R242" s="18" t="s">
        <v>85</v>
      </c>
      <c r="S242" s="18" t="s">
        <v>81</v>
      </c>
    </row>
    <row r="243">
      <c r="A243" s="22">
        <v>46207.41507804398</v>
      </c>
      <c r="B243" s="18" t="s">
        <v>74</v>
      </c>
      <c r="C243" s="18" t="s">
        <v>69</v>
      </c>
      <c r="D243" s="18" t="s">
        <v>12</v>
      </c>
      <c r="E243" s="19">
        <v>1711.0</v>
      </c>
      <c r="F243" s="23">
        <v>46207.0</v>
      </c>
      <c r="H243" s="18" t="s">
        <v>88</v>
      </c>
      <c r="I243" s="18" t="s">
        <v>141</v>
      </c>
      <c r="J243" s="18" t="s">
        <v>79</v>
      </c>
      <c r="K243" s="18" t="s">
        <v>80</v>
      </c>
      <c r="L243" s="19">
        <v>460.0</v>
      </c>
      <c r="M243" s="19">
        <v>249661.0</v>
      </c>
      <c r="N243" s="19">
        <v>250608.0</v>
      </c>
      <c r="O243" s="19">
        <v>947.0</v>
      </c>
      <c r="S243" s="18" t="s">
        <v>81</v>
      </c>
    </row>
    <row r="244">
      <c r="A244" s="22">
        <v>46207.41507806713</v>
      </c>
      <c r="B244" s="18" t="s">
        <v>74</v>
      </c>
      <c r="C244" s="18" t="s">
        <v>69</v>
      </c>
      <c r="D244" s="18" t="s">
        <v>12</v>
      </c>
      <c r="E244" s="19">
        <v>1712.0</v>
      </c>
      <c r="F244" s="23">
        <v>46207.0</v>
      </c>
      <c r="H244" s="18" t="s">
        <v>136</v>
      </c>
      <c r="I244" s="18" t="s">
        <v>141</v>
      </c>
      <c r="J244" s="18" t="s">
        <v>79</v>
      </c>
      <c r="K244" s="18" t="s">
        <v>80</v>
      </c>
      <c r="L244" s="19">
        <v>63.0</v>
      </c>
      <c r="M244" s="19">
        <v>322294.0</v>
      </c>
      <c r="N244" s="19">
        <v>323179.0</v>
      </c>
      <c r="O244" s="19">
        <v>885.0</v>
      </c>
      <c r="S244" s="18" t="s">
        <v>81</v>
      </c>
    </row>
    <row r="245">
      <c r="A245" s="22">
        <v>46207.4150780787</v>
      </c>
      <c r="B245" s="18" t="s">
        <v>74</v>
      </c>
      <c r="C245" s="18" t="s">
        <v>69</v>
      </c>
      <c r="D245" s="18" t="s">
        <v>12</v>
      </c>
      <c r="E245" s="19">
        <v>1713.0</v>
      </c>
      <c r="F245" s="23">
        <v>46207.0</v>
      </c>
      <c r="H245" s="18" t="s">
        <v>130</v>
      </c>
      <c r="I245" s="18" t="s">
        <v>141</v>
      </c>
      <c r="J245" s="18" t="s">
        <v>79</v>
      </c>
      <c r="K245" s="18" t="s">
        <v>80</v>
      </c>
      <c r="L245" s="19">
        <v>157.0</v>
      </c>
      <c r="R245" s="18" t="s">
        <v>131</v>
      </c>
      <c r="S245" s="18" t="s">
        <v>81</v>
      </c>
    </row>
    <row r="246">
      <c r="A246" s="22">
        <v>46207.4150780787</v>
      </c>
      <c r="B246" s="18" t="s">
        <v>74</v>
      </c>
      <c r="C246" s="18" t="s">
        <v>69</v>
      </c>
      <c r="D246" s="18" t="s">
        <v>12</v>
      </c>
      <c r="E246" s="19">
        <v>1714.0</v>
      </c>
      <c r="F246" s="23">
        <v>46207.0</v>
      </c>
      <c r="H246" s="18" t="s">
        <v>86</v>
      </c>
      <c r="I246" s="18" t="s">
        <v>141</v>
      </c>
      <c r="J246" s="18" t="s">
        <v>79</v>
      </c>
      <c r="K246" s="18" t="s">
        <v>80</v>
      </c>
      <c r="L246" s="19">
        <v>222.0</v>
      </c>
      <c r="M246" s="19">
        <v>194252.0</v>
      </c>
      <c r="N246" s="19">
        <v>194746.0</v>
      </c>
      <c r="O246" s="19">
        <v>494.0</v>
      </c>
      <c r="S246" s="18" t="s">
        <v>81</v>
      </c>
    </row>
    <row r="247">
      <c r="A247" s="22">
        <v>46207.41507809028</v>
      </c>
      <c r="B247" s="18" t="s">
        <v>74</v>
      </c>
      <c r="C247" s="18" t="s">
        <v>69</v>
      </c>
      <c r="D247" s="18" t="s">
        <v>12</v>
      </c>
      <c r="E247" s="19">
        <v>1715.0</v>
      </c>
      <c r="F247" s="23">
        <v>46207.0</v>
      </c>
      <c r="H247" s="18" t="s">
        <v>117</v>
      </c>
      <c r="I247" s="18" t="s">
        <v>141</v>
      </c>
      <c r="J247" s="18" t="s">
        <v>79</v>
      </c>
      <c r="K247" s="18" t="s">
        <v>80</v>
      </c>
      <c r="L247" s="19">
        <v>155.0</v>
      </c>
      <c r="M247" s="19">
        <v>8404.0</v>
      </c>
      <c r="N247" s="19">
        <v>8417.0</v>
      </c>
      <c r="O247" s="19">
        <v>13.0</v>
      </c>
      <c r="S247" s="18" t="s">
        <v>81</v>
      </c>
    </row>
    <row r="248">
      <c r="A248" s="22">
        <v>46207.68432961806</v>
      </c>
      <c r="B248" s="18" t="s">
        <v>74</v>
      </c>
      <c r="C248" s="18" t="s">
        <v>69</v>
      </c>
      <c r="D248" s="18" t="s">
        <v>12</v>
      </c>
      <c r="E248" s="19">
        <v>1716.0</v>
      </c>
      <c r="F248" s="23">
        <v>46207.0</v>
      </c>
      <c r="H248" s="18" t="s">
        <v>102</v>
      </c>
      <c r="I248" s="18" t="s">
        <v>141</v>
      </c>
      <c r="J248" s="18" t="s">
        <v>79</v>
      </c>
      <c r="K248" s="18" t="s">
        <v>80</v>
      </c>
      <c r="L248" s="19">
        <v>223.0</v>
      </c>
      <c r="M248" s="19">
        <v>256859.0</v>
      </c>
      <c r="N248" s="19">
        <v>257363.0</v>
      </c>
      <c r="O248" s="19">
        <v>504.0</v>
      </c>
      <c r="S248" s="18" t="s">
        <v>81</v>
      </c>
    </row>
    <row r="249">
      <c r="A249" s="22">
        <v>46207.68432962963</v>
      </c>
      <c r="B249" s="18" t="s">
        <v>74</v>
      </c>
      <c r="C249" s="18" t="s">
        <v>69</v>
      </c>
      <c r="D249" s="18" t="s">
        <v>12</v>
      </c>
      <c r="E249" s="19">
        <v>1717.0</v>
      </c>
      <c r="F249" s="23">
        <v>46207.0</v>
      </c>
      <c r="H249" s="18" t="s">
        <v>82</v>
      </c>
      <c r="I249" s="18" t="s">
        <v>141</v>
      </c>
      <c r="J249" s="18" t="s">
        <v>79</v>
      </c>
      <c r="K249" s="18" t="s">
        <v>80</v>
      </c>
      <c r="L249" s="19">
        <v>88.0</v>
      </c>
      <c r="M249" s="19">
        <v>100593.0</v>
      </c>
      <c r="N249" s="19">
        <v>101689.0</v>
      </c>
      <c r="O249" s="19">
        <v>1096.0</v>
      </c>
      <c r="S249" s="18" t="s">
        <v>81</v>
      </c>
    </row>
    <row r="250">
      <c r="A250" s="22">
        <v>46208.31854070602</v>
      </c>
      <c r="B250" s="18" t="s">
        <v>74</v>
      </c>
      <c r="C250" s="18" t="s">
        <v>69</v>
      </c>
      <c r="D250" s="18" t="s">
        <v>12</v>
      </c>
      <c r="E250" s="19">
        <v>1718.0</v>
      </c>
      <c r="F250" s="23">
        <v>46207.0</v>
      </c>
      <c r="H250" s="18" t="s">
        <v>82</v>
      </c>
      <c r="I250" s="18" t="s">
        <v>110</v>
      </c>
      <c r="J250" s="18" t="s">
        <v>79</v>
      </c>
      <c r="K250" s="18" t="s">
        <v>110</v>
      </c>
      <c r="L250" s="19">
        <v>28.0</v>
      </c>
      <c r="M250" s="19">
        <v>88807.0</v>
      </c>
      <c r="N250" s="19">
        <v>101774.0</v>
      </c>
      <c r="O250" s="19">
        <v>12967.0</v>
      </c>
      <c r="S250" s="18" t="s">
        <v>81</v>
      </c>
    </row>
    <row r="251">
      <c r="A251" s="22">
        <v>46208.53927010417</v>
      </c>
      <c r="B251" s="18" t="s">
        <v>74</v>
      </c>
      <c r="C251" s="18" t="s">
        <v>69</v>
      </c>
      <c r="D251" s="18" t="s">
        <v>12</v>
      </c>
      <c r="E251" s="19">
        <v>1719.0</v>
      </c>
      <c r="F251" s="23">
        <v>46208.0</v>
      </c>
      <c r="H251" s="18" t="s">
        <v>118</v>
      </c>
      <c r="I251" s="18" t="s">
        <v>168</v>
      </c>
      <c r="J251" s="18" t="s">
        <v>150</v>
      </c>
      <c r="K251" s="18" t="s">
        <v>80</v>
      </c>
      <c r="L251" s="19">
        <v>458.218</v>
      </c>
      <c r="M251" s="19">
        <v>156239.0</v>
      </c>
      <c r="N251" s="19">
        <v>157316.0</v>
      </c>
      <c r="O251" s="19">
        <v>1077.0</v>
      </c>
      <c r="S251" s="18" t="s">
        <v>81</v>
      </c>
    </row>
    <row r="252">
      <c r="A252" s="22">
        <v>46208.53927010417</v>
      </c>
      <c r="B252" s="18" t="s">
        <v>74</v>
      </c>
      <c r="C252" s="18" t="s">
        <v>69</v>
      </c>
      <c r="D252" s="18" t="s">
        <v>12</v>
      </c>
      <c r="E252" s="19">
        <v>1720.0</v>
      </c>
      <c r="F252" s="23">
        <v>46208.0</v>
      </c>
      <c r="H252" s="18" t="s">
        <v>82</v>
      </c>
      <c r="I252" s="18" t="s">
        <v>168</v>
      </c>
      <c r="J252" s="18" t="s">
        <v>150</v>
      </c>
      <c r="K252" s="18" t="s">
        <v>80</v>
      </c>
      <c r="L252" s="19">
        <v>432.218</v>
      </c>
      <c r="M252" s="19">
        <v>101689.0</v>
      </c>
      <c r="N252" s="19">
        <v>101859.0</v>
      </c>
      <c r="O252" s="19">
        <v>170.0</v>
      </c>
      <c r="S252" s="18" t="s">
        <v>81</v>
      </c>
    </row>
    <row r="253">
      <c r="A253" s="22">
        <v>46208.53927010417</v>
      </c>
      <c r="B253" s="18" t="s">
        <v>74</v>
      </c>
      <c r="C253" s="18" t="s">
        <v>69</v>
      </c>
      <c r="D253" s="18" t="s">
        <v>12</v>
      </c>
      <c r="E253" s="19">
        <v>1721.0</v>
      </c>
      <c r="F253" s="23">
        <v>46208.0</v>
      </c>
      <c r="H253" s="18" t="s">
        <v>112</v>
      </c>
      <c r="I253" s="18" t="s">
        <v>168</v>
      </c>
      <c r="J253" s="18" t="s">
        <v>150</v>
      </c>
      <c r="K253" s="18" t="s">
        <v>80</v>
      </c>
      <c r="L253" s="19">
        <v>259.806</v>
      </c>
      <c r="M253" s="19">
        <v>102063.0</v>
      </c>
      <c r="N253" s="19">
        <v>102665.0</v>
      </c>
      <c r="O253" s="19">
        <v>602.0</v>
      </c>
      <c r="S253" s="18" t="s">
        <v>81</v>
      </c>
    </row>
    <row r="254">
      <c r="A254" s="22">
        <v>46208.7586031713</v>
      </c>
      <c r="B254" s="18" t="s">
        <v>74</v>
      </c>
      <c r="C254" s="18" t="s">
        <v>69</v>
      </c>
      <c r="D254" s="18" t="s">
        <v>16</v>
      </c>
      <c r="E254" s="19">
        <v>1722.0</v>
      </c>
      <c r="F254" s="23">
        <v>46208.0</v>
      </c>
      <c r="H254" s="18" t="s">
        <v>140</v>
      </c>
      <c r="I254" s="18" t="s">
        <v>141</v>
      </c>
      <c r="J254" s="18" t="s">
        <v>142</v>
      </c>
      <c r="K254" s="18" t="s">
        <v>80</v>
      </c>
      <c r="L254" s="19">
        <v>22935.0</v>
      </c>
      <c r="P254" s="19">
        <v>21670.0</v>
      </c>
      <c r="Q254" s="19">
        <v>4.9700145E8</v>
      </c>
      <c r="R254" s="18" t="s">
        <v>169</v>
      </c>
      <c r="S254" s="18" t="s">
        <v>144</v>
      </c>
    </row>
    <row r="255">
      <c r="A255" s="22">
        <v>46208.75942649305</v>
      </c>
      <c r="B255" s="18" t="s">
        <v>74</v>
      </c>
      <c r="C255" s="18" t="s">
        <v>69</v>
      </c>
      <c r="D255" s="18" t="s">
        <v>12</v>
      </c>
      <c r="E255" s="19">
        <v>1723.0</v>
      </c>
      <c r="F255" s="23">
        <v>46208.0</v>
      </c>
      <c r="H255" s="18" t="s">
        <v>114</v>
      </c>
      <c r="I255" s="18" t="s">
        <v>141</v>
      </c>
      <c r="J255" s="18" t="s">
        <v>79</v>
      </c>
      <c r="K255" s="18" t="s">
        <v>80</v>
      </c>
      <c r="L255" s="19">
        <v>230.0</v>
      </c>
      <c r="M255" s="19">
        <v>278970.0</v>
      </c>
      <c r="N255" s="19">
        <v>279519.0</v>
      </c>
      <c r="O255" s="19">
        <v>549.0</v>
      </c>
      <c r="S255" s="18" t="s">
        <v>81</v>
      </c>
    </row>
    <row r="256">
      <c r="A256" s="22">
        <v>46209.31743925926</v>
      </c>
      <c r="B256" s="18" t="s">
        <v>74</v>
      </c>
      <c r="C256" s="18" t="s">
        <v>69</v>
      </c>
      <c r="D256" s="18" t="s">
        <v>12</v>
      </c>
      <c r="E256" s="19">
        <v>1724.0</v>
      </c>
      <c r="F256" s="23">
        <v>46209.0</v>
      </c>
      <c r="H256" s="18" t="s">
        <v>116</v>
      </c>
      <c r="I256" s="18" t="s">
        <v>141</v>
      </c>
      <c r="J256" s="18" t="s">
        <v>79</v>
      </c>
      <c r="K256" s="18" t="s">
        <v>80</v>
      </c>
      <c r="L256" s="19">
        <v>364.0</v>
      </c>
      <c r="M256" s="19">
        <v>83845.0</v>
      </c>
      <c r="N256" s="19">
        <v>84594.0</v>
      </c>
      <c r="O256" s="19">
        <v>749.0</v>
      </c>
      <c r="S256" s="18" t="s">
        <v>81</v>
      </c>
    </row>
    <row r="257">
      <c r="A257" s="22">
        <v>46209.31743940972</v>
      </c>
      <c r="B257" s="18" t="s">
        <v>74</v>
      </c>
      <c r="C257" s="18" t="s">
        <v>69</v>
      </c>
      <c r="D257" s="18" t="s">
        <v>12</v>
      </c>
      <c r="E257" s="19">
        <v>1725.0</v>
      </c>
      <c r="F257" s="23">
        <v>46209.0</v>
      </c>
      <c r="H257" s="18" t="s">
        <v>113</v>
      </c>
      <c r="I257" s="18" t="s">
        <v>141</v>
      </c>
      <c r="J257" s="18" t="s">
        <v>79</v>
      </c>
      <c r="K257" s="18" t="s">
        <v>80</v>
      </c>
      <c r="L257" s="19">
        <v>210.0</v>
      </c>
      <c r="M257" s="19">
        <v>175455.0</v>
      </c>
      <c r="N257" s="19">
        <v>175958.0</v>
      </c>
      <c r="O257" s="19">
        <v>503.0</v>
      </c>
      <c r="S257" s="18" t="s">
        <v>81</v>
      </c>
    </row>
    <row r="258">
      <c r="A258" s="22">
        <v>46209.63338965278</v>
      </c>
      <c r="B258" s="18" t="s">
        <v>74</v>
      </c>
      <c r="C258" s="18" t="s">
        <v>69</v>
      </c>
      <c r="D258" s="18" t="s">
        <v>12</v>
      </c>
      <c r="E258" s="19">
        <v>1726.0</v>
      </c>
      <c r="F258" s="23">
        <v>46209.0</v>
      </c>
      <c r="H258" s="18" t="s">
        <v>101</v>
      </c>
      <c r="I258" s="18" t="s">
        <v>141</v>
      </c>
      <c r="J258" s="18" t="s">
        <v>79</v>
      </c>
      <c r="K258" s="18" t="s">
        <v>80</v>
      </c>
      <c r="L258" s="19">
        <v>233.0</v>
      </c>
      <c r="M258" s="19">
        <v>119806.0</v>
      </c>
      <c r="N258" s="19">
        <v>120375.0</v>
      </c>
      <c r="O258" s="19">
        <v>569.0</v>
      </c>
      <c r="S258" s="18" t="s">
        <v>81</v>
      </c>
    </row>
    <row r="259">
      <c r="A259" s="22">
        <v>46209.63338966435</v>
      </c>
      <c r="B259" s="18" t="s">
        <v>74</v>
      </c>
      <c r="C259" s="18" t="s">
        <v>69</v>
      </c>
      <c r="D259" s="18" t="s">
        <v>12</v>
      </c>
      <c r="E259" s="19">
        <v>1727.0</v>
      </c>
      <c r="F259" s="23">
        <v>46209.0</v>
      </c>
      <c r="H259" s="18" t="s">
        <v>105</v>
      </c>
      <c r="I259" s="18" t="s">
        <v>141</v>
      </c>
      <c r="J259" s="18" t="s">
        <v>79</v>
      </c>
      <c r="K259" s="18" t="s">
        <v>80</v>
      </c>
      <c r="L259" s="19">
        <v>255.0</v>
      </c>
      <c r="M259" s="19">
        <v>4834.0</v>
      </c>
      <c r="N259" s="19">
        <v>5515.0</v>
      </c>
      <c r="O259" s="19">
        <v>681.0</v>
      </c>
      <c r="S259" s="18" t="s">
        <v>81</v>
      </c>
    </row>
    <row r="260">
      <c r="A260" s="22">
        <v>46209.633389675924</v>
      </c>
      <c r="B260" s="18" t="s">
        <v>74</v>
      </c>
      <c r="C260" s="18" t="s">
        <v>69</v>
      </c>
      <c r="D260" s="18" t="s">
        <v>12</v>
      </c>
      <c r="E260" s="19">
        <v>1728.0</v>
      </c>
      <c r="F260" s="23">
        <v>46209.0</v>
      </c>
      <c r="H260" s="18" t="s">
        <v>126</v>
      </c>
      <c r="I260" s="18" t="s">
        <v>141</v>
      </c>
      <c r="J260" s="18" t="s">
        <v>79</v>
      </c>
      <c r="K260" s="18" t="s">
        <v>80</v>
      </c>
      <c r="L260" s="19">
        <v>210.0</v>
      </c>
      <c r="M260" s="19">
        <v>588367.0</v>
      </c>
      <c r="N260" s="19">
        <v>588750.0</v>
      </c>
      <c r="O260" s="19">
        <v>383.0</v>
      </c>
      <c r="S260" s="18" t="s">
        <v>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6.43"/>
    <col customWidth="1" min="2" max="2" width="19.29"/>
    <col customWidth="1" min="3" max="6" width="22.0"/>
    <col customWidth="1" min="7" max="10" width="11.0"/>
    <col customWidth="1" min="11" max="11" width="22.0"/>
    <col customWidth="1" min="12" max="12" width="13.29"/>
    <col customWidth="1" min="13" max="13" width="26.0"/>
    <col customWidth="1" min="14" max="28" width="8.86"/>
  </cols>
  <sheetData>
    <row r="1" ht="30.0" customHeight="1">
      <c r="A1" s="24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.0" customHeight="1">
      <c r="A2" s="25"/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3.75" customHeight="1">
      <c r="A3" s="26" t="s">
        <v>171</v>
      </c>
      <c r="B3" s="27">
        <v>46209.0</v>
      </c>
      <c r="C3" s="28" t="s">
        <v>172</v>
      </c>
      <c r="D3" s="29" t="s">
        <v>173</v>
      </c>
      <c r="E3" s="30"/>
      <c r="F3" s="30"/>
      <c r="G3" s="30"/>
      <c r="H3" s="30"/>
      <c r="I3" s="30"/>
      <c r="J3" s="30"/>
      <c r="K3" s="30"/>
      <c r="L3" s="31"/>
    </row>
    <row r="4" ht="3.75" customHeight="1">
      <c r="A4" s="32"/>
      <c r="B4" s="32"/>
      <c r="C4" s="33"/>
      <c r="D4" s="33"/>
      <c r="E4" s="33"/>
      <c r="F4" s="33"/>
      <c r="G4" s="33"/>
      <c r="H4" s="32"/>
      <c r="I4" s="32"/>
      <c r="J4" s="32"/>
      <c r="K4" s="33"/>
      <c r="L4" s="32"/>
    </row>
    <row r="5" ht="25.5" customHeight="1">
      <c r="A5" s="34" t="s">
        <v>174</v>
      </c>
      <c r="B5" s="34" t="s">
        <v>175</v>
      </c>
      <c r="C5" s="34" t="s">
        <v>176</v>
      </c>
      <c r="D5" s="34" t="s">
        <v>177</v>
      </c>
      <c r="E5" s="34" t="s">
        <v>178</v>
      </c>
      <c r="F5" s="34" t="s">
        <v>179</v>
      </c>
      <c r="G5" s="34" t="s">
        <v>180</v>
      </c>
      <c r="H5" s="34" t="s">
        <v>181</v>
      </c>
      <c r="I5" s="34" t="s">
        <v>182</v>
      </c>
      <c r="J5" s="34" t="s">
        <v>183</v>
      </c>
      <c r="K5" s="34" t="s">
        <v>45</v>
      </c>
      <c r="L5" s="34" t="s">
        <v>184</v>
      </c>
      <c r="M5" s="34"/>
    </row>
    <row r="6" ht="18.0" customHeight="1">
      <c r="A6" s="35"/>
      <c r="B6" s="36"/>
      <c r="C6" s="37"/>
      <c r="D6" s="37"/>
      <c r="E6" s="37"/>
      <c r="F6" s="37"/>
      <c r="G6" s="38"/>
      <c r="H6" s="39"/>
      <c r="I6" s="39"/>
      <c r="J6" s="40" t="str">
        <f t="shared" ref="J6:J105" si="1">IF(OR(H6="",I6=""),"",MAX(0,I6-H6))</f>
        <v/>
      </c>
      <c r="K6" s="41"/>
      <c r="L6" s="42" t="str">
        <f>IFERROR(__xludf.DUMMYFUNCTION("IF($C6="""","""",IFERROR(INDEX(SORT(FILTER({DATA_GOC!$B$4:$B$49999,DATA_GOC!$P$4:$P$49999,DATA_GOC!$J$4:$J$49999},DATA_GOC!$A$4:$A$49999=""BOM"",TRIM(DATA_GOC!$D$4:$D$49999)=TRIM($C6),DATA_GOC!$J$4:$J$49999&lt;&gt;"""",DATA_GOC!$B$4:$B$49999&lt;=$B$3),1,FALSE,2,FA"&amp;"LSE),1,3),""Chưa có dữ liệu""))"),"")</f>
        <v/>
      </c>
      <c r="M6" s="43"/>
    </row>
    <row r="7" ht="18.0" customHeight="1">
      <c r="A7" s="35"/>
      <c r="B7" s="36"/>
      <c r="C7" s="37"/>
      <c r="D7" s="37"/>
      <c r="E7" s="37"/>
      <c r="F7" s="37"/>
      <c r="G7" s="44"/>
      <c r="H7" s="39"/>
      <c r="I7" s="39"/>
      <c r="J7" s="40" t="str">
        <f t="shared" si="1"/>
        <v/>
      </c>
      <c r="K7" s="41"/>
      <c r="L7" s="42" t="str">
        <f>IFERROR(__xludf.DUMMYFUNCTION("IF($C7="""","""",IFERROR(INDEX(SORT(FILTER({DATA_GOC!$B$4:$B$49999,DATA_GOC!$P$4:$P$49999,DATA_GOC!$J$4:$J$49999},DATA_GOC!$A$4:$A$49999=""BOM"",TRIM(DATA_GOC!$D$4:$D$49999)=TRIM($C7),DATA_GOC!$J$4:$J$49999&lt;&gt;"""",DATA_GOC!$B$4:$B$49999&lt;=$B$3),1,FALSE,2,FA"&amp;"LSE),1,3),""Chưa có dữ liệu""))"),"")</f>
        <v/>
      </c>
      <c r="M7" s="43"/>
      <c r="N7" s="45"/>
      <c r="P7" s="46"/>
      <c r="AB7" s="47"/>
    </row>
    <row r="8" ht="18.0" customHeight="1">
      <c r="A8" s="35" t="str">
        <f t="shared" ref="A8:A105" si="2">IF(C8="","",ROW()-5)</f>
        <v/>
      </c>
      <c r="B8" s="36"/>
      <c r="C8" s="37"/>
      <c r="D8" s="37"/>
      <c r="E8" s="37"/>
      <c r="F8" s="37"/>
      <c r="G8" s="44"/>
      <c r="H8" s="39"/>
      <c r="I8" s="39"/>
      <c r="J8" s="40" t="str">
        <f t="shared" si="1"/>
        <v/>
      </c>
      <c r="K8" s="41"/>
      <c r="L8" s="42" t="str">
        <f>IFERROR(__xludf.DUMMYFUNCTION("IF($C8="""","""",IFERROR(INDEX(SORT(FILTER({DATA_GOC!$B$4:$B$49999,DATA_GOC!$P$4:$P$49999,DATA_GOC!$J$4:$J$49999},DATA_GOC!$A$4:$A$49999=""BOM"",TRIM(DATA_GOC!$D$4:$D$49999)=TRIM($C8),DATA_GOC!$J$4:$J$49999&lt;&gt;"""",DATA_GOC!$B$4:$B$49999&lt;=$B$3),1,FALSE,2,FA"&amp;"LSE),1,3),""Chưa có dữ liệu""))"),"")</f>
        <v/>
      </c>
      <c r="M8" s="43"/>
      <c r="N8" s="45"/>
      <c r="P8" s="46"/>
      <c r="AB8" s="47"/>
    </row>
    <row r="9" ht="18.0" customHeight="1">
      <c r="A9" s="35" t="str">
        <f t="shared" si="2"/>
        <v/>
      </c>
      <c r="B9" s="36"/>
      <c r="C9" s="37"/>
      <c r="D9" s="37"/>
      <c r="E9" s="37"/>
      <c r="F9" s="37"/>
      <c r="G9" s="44"/>
      <c r="H9" s="39"/>
      <c r="I9" s="39"/>
      <c r="J9" s="40" t="str">
        <f t="shared" si="1"/>
        <v/>
      </c>
      <c r="K9" s="41"/>
      <c r="L9" s="42" t="str">
        <f>IFERROR(__xludf.DUMMYFUNCTION("IF($C9="""","""",IFERROR(INDEX(SORT(FILTER({DATA_GOC!$B$4:$B$49999,DATA_GOC!$P$4:$P$49999,DATA_GOC!$J$4:$J$49999},DATA_GOC!$A$4:$A$49999=""BOM"",TRIM(DATA_GOC!$D$4:$D$49999)=TRIM($C9),DATA_GOC!$J$4:$J$49999&lt;&gt;"""",DATA_GOC!$B$4:$B$49999&lt;=$B$3),1,FALSE,2,FA"&amp;"LSE),1,3),""Chưa có dữ liệu""))"),"")</f>
        <v/>
      </c>
      <c r="M9" s="43"/>
      <c r="N9" s="45"/>
      <c r="P9" s="46"/>
      <c r="AB9" s="47"/>
    </row>
    <row r="10" ht="18.0" customHeight="1">
      <c r="A10" s="35" t="str">
        <f t="shared" si="2"/>
        <v/>
      </c>
      <c r="B10" s="36"/>
      <c r="C10" s="37"/>
      <c r="D10" s="37"/>
      <c r="E10" s="37"/>
      <c r="F10" s="37"/>
      <c r="G10" s="44"/>
      <c r="H10" s="39"/>
      <c r="I10" s="39"/>
      <c r="J10" s="40" t="str">
        <f t="shared" si="1"/>
        <v/>
      </c>
      <c r="K10" s="41"/>
      <c r="L10" s="42" t="str">
        <f>IFERROR(__xludf.DUMMYFUNCTION("IF($C10="""","""",IFERROR(INDEX(SORT(FILTER({DATA_GOC!$B$4:$B$49999,DATA_GOC!$P$4:$P$49999,DATA_GOC!$J$4:$J$49999},DATA_GOC!$A$4:$A$49999=""BOM"",TRIM(DATA_GOC!$D$4:$D$49999)=TRIM($C10),DATA_GOC!$J$4:$J$49999&lt;&gt;"""",DATA_GOC!$B$4:$B$49999&lt;=$B$3),1,FALSE,2,"&amp;"FALSE),1,3),""Chưa có dữ liệu""))"),"")</f>
        <v/>
      </c>
      <c r="M10" s="43"/>
      <c r="N10" s="45"/>
      <c r="P10" s="46"/>
      <c r="AB10" s="47"/>
    </row>
    <row r="11" ht="18.0" customHeight="1">
      <c r="A11" s="35" t="str">
        <f t="shared" si="2"/>
        <v/>
      </c>
      <c r="B11" s="36"/>
      <c r="C11" s="37"/>
      <c r="D11" s="37"/>
      <c r="E11" s="37"/>
      <c r="F11" s="37"/>
      <c r="G11" s="44"/>
      <c r="H11" s="39"/>
      <c r="I11" s="39"/>
      <c r="J11" s="40" t="str">
        <f t="shared" si="1"/>
        <v/>
      </c>
      <c r="K11" s="41"/>
      <c r="L11" s="42" t="str">
        <f>IFERROR(__xludf.DUMMYFUNCTION("IF($C11="""","""",IFERROR(INDEX(SORT(FILTER({DATA_GOC!$B$4:$B$49999,DATA_GOC!$P$4:$P$49999,DATA_GOC!$J$4:$J$49999},DATA_GOC!$A$4:$A$49999=""BOM"",TRIM(DATA_GOC!$D$4:$D$49999)=TRIM($C11),DATA_GOC!$J$4:$J$49999&lt;&gt;"""",DATA_GOC!$B$4:$B$49999&lt;=$B$3),1,FALSE,2,"&amp;"FALSE),1,3),""Chưa có dữ liệu""))"),"")</f>
        <v/>
      </c>
      <c r="M11" s="43"/>
      <c r="N11" s="45"/>
      <c r="P11" s="46"/>
      <c r="AB11" s="47"/>
    </row>
    <row r="12" ht="18.0" customHeight="1">
      <c r="A12" s="35" t="str">
        <f t="shared" si="2"/>
        <v/>
      </c>
      <c r="B12" s="48"/>
      <c r="C12" s="37"/>
      <c r="D12" s="37"/>
      <c r="E12" s="37"/>
      <c r="F12" s="37"/>
      <c r="G12" s="44"/>
      <c r="H12" s="39"/>
      <c r="I12" s="39"/>
      <c r="J12" s="40" t="str">
        <f t="shared" si="1"/>
        <v/>
      </c>
      <c r="K12" s="41"/>
      <c r="L12" s="42" t="str">
        <f>IFERROR(__xludf.DUMMYFUNCTION("IF($C12="""","""",IFERROR(INDEX(SORT(FILTER({DATA_GOC!$B$4:$B$49999,DATA_GOC!$P$4:$P$49999,DATA_GOC!$J$4:$J$49999},DATA_GOC!$A$4:$A$49999=""BOM"",TRIM(DATA_GOC!$D$4:$D$49999)=TRIM($C12),DATA_GOC!$J$4:$J$49999&lt;&gt;"""",DATA_GOC!$B$4:$B$49999&lt;=$B$3),1,FALSE,2,"&amp;"FALSE),1,3),""Chưa có dữ liệu""))"),"")</f>
        <v/>
      </c>
      <c r="M12" s="43"/>
      <c r="N12" s="45"/>
      <c r="P12" s="46"/>
      <c r="AB12" s="47"/>
    </row>
    <row r="13" ht="18.0" customHeight="1">
      <c r="A13" s="35" t="str">
        <f t="shared" si="2"/>
        <v/>
      </c>
      <c r="B13" s="36"/>
      <c r="C13" s="37"/>
      <c r="D13" s="37"/>
      <c r="E13" s="37"/>
      <c r="F13" s="37"/>
      <c r="G13" s="44"/>
      <c r="H13" s="39"/>
      <c r="I13" s="39"/>
      <c r="J13" s="40" t="str">
        <f t="shared" si="1"/>
        <v/>
      </c>
      <c r="K13" s="41"/>
      <c r="L13" s="42" t="str">
        <f>IFERROR(__xludf.DUMMYFUNCTION("IF($C13="""","""",IFERROR(INDEX(SORT(FILTER({DATA_GOC!$B$4:$B$49999,DATA_GOC!$P$4:$P$49999,DATA_GOC!$J$4:$J$49999},DATA_GOC!$A$4:$A$49999=""BOM"",TRIM(DATA_GOC!$D$4:$D$49999)=TRIM($C13),DATA_GOC!$J$4:$J$49999&lt;&gt;"""",DATA_GOC!$B$4:$B$49999&lt;=$B$3),1,FALSE,2,"&amp;"FALSE),1,3),""Chưa có dữ liệu""))"),"")</f>
        <v/>
      </c>
      <c r="M13" s="43"/>
      <c r="N13" s="45"/>
      <c r="P13" s="46"/>
      <c r="AB13" s="47"/>
    </row>
    <row r="14" ht="18.0" customHeight="1">
      <c r="A14" s="35" t="str">
        <f t="shared" si="2"/>
        <v/>
      </c>
      <c r="B14" s="36"/>
      <c r="C14" s="37"/>
      <c r="D14" s="37"/>
      <c r="E14" s="37"/>
      <c r="F14" s="37"/>
      <c r="G14" s="44"/>
      <c r="H14" s="39"/>
      <c r="I14" s="39"/>
      <c r="J14" s="40" t="str">
        <f t="shared" si="1"/>
        <v/>
      </c>
      <c r="K14" s="41"/>
      <c r="L14" s="42" t="str">
        <f>IFERROR(__xludf.DUMMYFUNCTION("IF($C14="""","""",IFERROR(INDEX(SORT(FILTER({DATA_GOC!$B$4:$B$49999,DATA_GOC!$P$4:$P$49999,DATA_GOC!$J$4:$J$49999},DATA_GOC!$A$4:$A$49999=""BOM"",TRIM(DATA_GOC!$D$4:$D$49999)=TRIM($C14),DATA_GOC!$J$4:$J$49999&lt;&gt;"""",DATA_GOC!$B$4:$B$49999&lt;=$B$3),1,FALSE,2,"&amp;"FALSE),1,3),""Chưa có dữ liệu""))"),"")</f>
        <v/>
      </c>
      <c r="M14" s="43"/>
      <c r="N14" s="45"/>
      <c r="P14" s="46"/>
      <c r="AB14" s="47"/>
    </row>
    <row r="15" ht="18.0" customHeight="1">
      <c r="A15" s="35" t="str">
        <f t="shared" si="2"/>
        <v/>
      </c>
      <c r="B15" s="36"/>
      <c r="C15" s="37"/>
      <c r="D15" s="37"/>
      <c r="E15" s="37"/>
      <c r="F15" s="37"/>
      <c r="G15" s="44"/>
      <c r="H15" s="39"/>
      <c r="I15" s="39"/>
      <c r="J15" s="40" t="str">
        <f t="shared" si="1"/>
        <v/>
      </c>
      <c r="K15" s="49"/>
      <c r="L15" s="42" t="str">
        <f>IFERROR(__xludf.DUMMYFUNCTION("IF($C15="""","""",IFERROR(INDEX(SORT(FILTER({DATA_GOC!$B$4:$B$49999,DATA_GOC!$P$4:$P$49999,DATA_GOC!$J$4:$J$49999},DATA_GOC!$A$4:$A$49999=""BOM"",TRIM(DATA_GOC!$D$4:$D$49999)=TRIM($C15),DATA_GOC!$J$4:$J$49999&lt;&gt;"""",DATA_GOC!$B$4:$B$49999&lt;=$B$3),1,FALSE,2,"&amp;"FALSE),1,3),""Chưa có dữ liệu""))"),"")</f>
        <v/>
      </c>
      <c r="M15" s="43"/>
      <c r="N15" s="45"/>
      <c r="AB15" s="47"/>
    </row>
    <row r="16" ht="18.0" customHeight="1">
      <c r="A16" s="35" t="str">
        <f t="shared" si="2"/>
        <v/>
      </c>
      <c r="B16" s="36"/>
      <c r="C16" s="37"/>
      <c r="D16" s="37"/>
      <c r="E16" s="37"/>
      <c r="F16" s="37"/>
      <c r="G16" s="44"/>
      <c r="H16" s="39"/>
      <c r="I16" s="39"/>
      <c r="J16" s="40" t="str">
        <f t="shared" si="1"/>
        <v/>
      </c>
      <c r="K16" s="41"/>
      <c r="L16" s="42" t="str">
        <f>IFERROR(__xludf.DUMMYFUNCTION("IF($C16="""","""",IFERROR(INDEX(SORT(FILTER({DATA_GOC!$B$4:$B$49999,DATA_GOC!$P$4:$P$49999,DATA_GOC!$J$4:$J$49999},DATA_GOC!$A$4:$A$49999=""BOM"",TRIM(DATA_GOC!$D$4:$D$49999)=TRIM($C16),DATA_GOC!$J$4:$J$49999&lt;&gt;"""",DATA_GOC!$B$4:$B$49999&lt;=$B$3),1,FALSE,2,"&amp;"FALSE),1,3),""Chưa có dữ liệu""))"),"")</f>
        <v/>
      </c>
      <c r="M16" s="43"/>
      <c r="N16" s="45"/>
      <c r="P16" s="46"/>
      <c r="AB16" s="47"/>
    </row>
    <row r="17" ht="18.0" customHeight="1">
      <c r="A17" s="35" t="str">
        <f t="shared" si="2"/>
        <v/>
      </c>
      <c r="B17" s="36"/>
      <c r="C17" s="37"/>
      <c r="D17" s="37"/>
      <c r="E17" s="37"/>
      <c r="F17" s="37"/>
      <c r="G17" s="44"/>
      <c r="H17" s="39"/>
      <c r="I17" s="39"/>
      <c r="J17" s="40" t="str">
        <f t="shared" si="1"/>
        <v/>
      </c>
      <c r="K17" s="41"/>
      <c r="L17" s="42" t="str">
        <f>IFERROR(__xludf.DUMMYFUNCTION("IF($C17="""","""",IFERROR(INDEX(SORT(FILTER({DATA_GOC!$B$4:$B$49999,DATA_GOC!$P$4:$P$49999,DATA_GOC!$J$4:$J$49999},DATA_GOC!$A$4:$A$49999=""BOM"",TRIM(DATA_GOC!$D$4:$D$49999)=TRIM($C17),DATA_GOC!$J$4:$J$49999&lt;&gt;"""",DATA_GOC!$B$4:$B$49999&lt;=$B$3),1,FALSE,2,"&amp;"FALSE),1,3),""Chưa có dữ liệu""))"),"")</f>
        <v/>
      </c>
      <c r="M17" s="43"/>
      <c r="N17" s="45"/>
      <c r="P17" s="46"/>
      <c r="AB17" s="47"/>
    </row>
    <row r="18" ht="18.0" customHeight="1">
      <c r="A18" s="35" t="str">
        <f t="shared" si="2"/>
        <v/>
      </c>
      <c r="B18" s="36"/>
      <c r="C18" s="37"/>
      <c r="D18" s="37"/>
      <c r="E18" s="37"/>
      <c r="F18" s="37"/>
      <c r="G18" s="44"/>
      <c r="H18" s="39"/>
      <c r="I18" s="39"/>
      <c r="J18" s="40" t="str">
        <f t="shared" si="1"/>
        <v/>
      </c>
      <c r="K18" s="49"/>
      <c r="L18" s="42" t="str">
        <f>IFERROR(__xludf.DUMMYFUNCTION("IF($C18="""","""",IFERROR(INDEX(SORT(FILTER({DATA_GOC!$B$4:$B$49999,DATA_GOC!$P$4:$P$49999,DATA_GOC!$J$4:$J$49999},DATA_GOC!$A$4:$A$49999=""BOM"",TRIM(DATA_GOC!$D$4:$D$49999)=TRIM($C18),DATA_GOC!$J$4:$J$49999&lt;&gt;"""",DATA_GOC!$B$4:$B$49999&lt;=$B$3),1,FALSE,2,"&amp;"FALSE),1,3),""Chưa có dữ liệu""))"),"")</f>
        <v/>
      </c>
      <c r="M18" s="43"/>
      <c r="N18" s="45"/>
      <c r="P18" s="46"/>
      <c r="AB18" s="47"/>
    </row>
    <row r="19" ht="18.0" customHeight="1">
      <c r="A19" s="35" t="str">
        <f t="shared" si="2"/>
        <v/>
      </c>
      <c r="B19" s="36"/>
      <c r="C19" s="37"/>
      <c r="D19" s="37"/>
      <c r="E19" s="37"/>
      <c r="F19" s="37"/>
      <c r="G19" s="44"/>
      <c r="H19" s="39"/>
      <c r="I19" s="39"/>
      <c r="J19" s="40" t="str">
        <f t="shared" si="1"/>
        <v/>
      </c>
      <c r="K19" s="41"/>
      <c r="L19" s="42" t="str">
        <f>IFERROR(__xludf.DUMMYFUNCTION("IF($C19="""","""",IFERROR(INDEX(SORT(FILTER({DATA_GOC!$B$4:$B$49999,DATA_GOC!$P$4:$P$49999,DATA_GOC!$J$4:$J$49999},DATA_GOC!$A$4:$A$49999=""BOM"",TRIM(DATA_GOC!$D$4:$D$49999)=TRIM($C19),DATA_GOC!$J$4:$J$49999&lt;&gt;"""",DATA_GOC!$B$4:$B$49999&lt;=$B$3),1,FALSE,2,"&amp;"FALSE),1,3),""Chưa có dữ liệu""))"),"")</f>
        <v/>
      </c>
      <c r="M19" s="43"/>
      <c r="N19" s="45"/>
      <c r="AB19" s="47"/>
    </row>
    <row r="20" ht="18.0" customHeight="1">
      <c r="A20" s="35" t="str">
        <f t="shared" si="2"/>
        <v/>
      </c>
      <c r="B20" s="36"/>
      <c r="C20" s="37"/>
      <c r="D20" s="37"/>
      <c r="E20" s="37"/>
      <c r="F20" s="37"/>
      <c r="G20" s="44"/>
      <c r="H20" s="39"/>
      <c r="I20" s="39"/>
      <c r="J20" s="40" t="str">
        <f t="shared" si="1"/>
        <v/>
      </c>
      <c r="K20" s="49"/>
      <c r="L20" s="42" t="str">
        <f>IFERROR(__xludf.DUMMYFUNCTION("IF($C20="""","""",IFERROR(INDEX(SORT(FILTER({DATA_GOC!$B$4:$B$49999,DATA_GOC!$P$4:$P$49999,DATA_GOC!$J$4:$J$49999},DATA_GOC!$A$4:$A$49999=""BOM"",TRIM(DATA_GOC!$D$4:$D$49999)=TRIM($C20),DATA_GOC!$J$4:$J$49999&lt;&gt;"""",DATA_GOC!$B$4:$B$49999&lt;=$B$3),1,FALSE,2,"&amp;"FALSE),1,3),""Chưa có dữ liệu""))"),"")</f>
        <v/>
      </c>
      <c r="M20" s="43"/>
      <c r="N20" s="45"/>
      <c r="AB20" s="47"/>
    </row>
    <row r="21" ht="18.0" customHeight="1">
      <c r="A21" s="35" t="str">
        <f t="shared" si="2"/>
        <v/>
      </c>
      <c r="B21" s="36"/>
      <c r="C21" s="37"/>
      <c r="D21" s="37"/>
      <c r="E21" s="37"/>
      <c r="F21" s="37"/>
      <c r="G21" s="44"/>
      <c r="H21" s="39"/>
      <c r="I21" s="39"/>
      <c r="J21" s="40" t="str">
        <f t="shared" si="1"/>
        <v/>
      </c>
      <c r="K21" s="49"/>
      <c r="L21" s="42" t="str">
        <f>IFERROR(__xludf.DUMMYFUNCTION("IF($C21="""","""",IFERROR(INDEX(SORT(FILTER({DATA_GOC!$B$4:$B$49999,DATA_GOC!$P$4:$P$49999,DATA_GOC!$J$4:$J$49999},DATA_GOC!$A$4:$A$49999=""BOM"",TRIM(DATA_GOC!$D$4:$D$49999)=TRIM($C21),DATA_GOC!$J$4:$J$49999&lt;&gt;"""",DATA_GOC!$B$4:$B$49999&lt;=$B$3),1,FALSE,2,"&amp;"FALSE),1,3),""Chưa có dữ liệu""))"),"")</f>
        <v/>
      </c>
      <c r="M21" s="43"/>
      <c r="N21" s="45"/>
      <c r="AB21" s="47"/>
    </row>
    <row r="22" ht="18.0" customHeight="1">
      <c r="A22" s="35" t="str">
        <f t="shared" si="2"/>
        <v/>
      </c>
      <c r="B22" s="36"/>
      <c r="C22" s="37"/>
      <c r="D22" s="37"/>
      <c r="E22" s="37"/>
      <c r="F22" s="37"/>
      <c r="G22" s="44"/>
      <c r="H22" s="39"/>
      <c r="I22" s="39"/>
      <c r="J22" s="40" t="str">
        <f t="shared" si="1"/>
        <v/>
      </c>
      <c r="K22" s="49"/>
      <c r="L22" s="42" t="str">
        <f>IFERROR(__xludf.DUMMYFUNCTION("IF($C22="""","""",IFERROR(INDEX(SORT(FILTER({DATA_GOC!$B$4:$B$49999,DATA_GOC!$P$4:$P$49999,DATA_GOC!$J$4:$J$49999},DATA_GOC!$A$4:$A$49999=""BOM"",TRIM(DATA_GOC!$D$4:$D$49999)=TRIM($C22),DATA_GOC!$J$4:$J$49999&lt;&gt;"""",DATA_GOC!$B$4:$B$49999&lt;=$B$3),1,FALSE,2,"&amp;"FALSE),1,3),""Chưa có dữ liệu""))"),"")</f>
        <v/>
      </c>
      <c r="M22" s="43"/>
      <c r="N22" s="45"/>
      <c r="AB22" s="47"/>
    </row>
    <row r="23" ht="18.0" customHeight="1">
      <c r="A23" s="35" t="str">
        <f t="shared" si="2"/>
        <v/>
      </c>
      <c r="B23" s="36"/>
      <c r="C23" s="37"/>
      <c r="D23" s="37"/>
      <c r="E23" s="37"/>
      <c r="F23" s="37"/>
      <c r="G23" s="44"/>
      <c r="H23" s="39"/>
      <c r="I23" s="39"/>
      <c r="J23" s="40" t="str">
        <f t="shared" si="1"/>
        <v/>
      </c>
      <c r="K23" s="49"/>
      <c r="L23" s="42" t="str">
        <f>IFERROR(__xludf.DUMMYFUNCTION("IF($C23="""","""",IFERROR(INDEX(SORT(FILTER({DATA_GOC!$B$4:$B$49999,DATA_GOC!$P$4:$P$49999,DATA_GOC!$J$4:$J$49999},DATA_GOC!$A$4:$A$49999=""BOM"",TRIM(DATA_GOC!$D$4:$D$49999)=TRIM($C23),DATA_GOC!$J$4:$J$49999&lt;&gt;"""",DATA_GOC!$B$4:$B$49999&lt;=$B$3),1,FALSE,2,"&amp;"FALSE),1,3),""Chưa có dữ liệu""))"),"")</f>
        <v/>
      </c>
      <c r="M23" s="43"/>
      <c r="N23" s="45"/>
      <c r="AB23" s="47"/>
    </row>
    <row r="24" ht="18.0" customHeight="1">
      <c r="A24" s="35" t="str">
        <f t="shared" si="2"/>
        <v/>
      </c>
      <c r="B24" s="36"/>
      <c r="C24" s="37"/>
      <c r="D24" s="37"/>
      <c r="E24" s="37"/>
      <c r="F24" s="37"/>
      <c r="G24" s="44"/>
      <c r="H24" s="39"/>
      <c r="I24" s="39"/>
      <c r="J24" s="40" t="str">
        <f t="shared" si="1"/>
        <v/>
      </c>
      <c r="K24" s="49"/>
      <c r="L24" s="42" t="str">
        <f>IFERROR(__xludf.DUMMYFUNCTION("IF($C24="""","""",IFERROR(INDEX(SORT(FILTER({DATA_GOC!$B$4:$B$49999,DATA_GOC!$P$4:$P$49999,DATA_GOC!$J$4:$J$49999},DATA_GOC!$A$4:$A$49999=""BOM"",TRIM(DATA_GOC!$D$4:$D$49999)=TRIM($C24),DATA_GOC!$J$4:$J$49999&lt;&gt;"""",DATA_GOC!$B$4:$B$49999&lt;=$B$3),1,FALSE,2,"&amp;"FALSE),1,3),""Chưa có dữ liệu""))"),"")</f>
        <v/>
      </c>
      <c r="M24" s="43"/>
      <c r="N24" s="45"/>
      <c r="AB24" s="47"/>
    </row>
    <row r="25" ht="18.0" customHeight="1">
      <c r="A25" s="35" t="str">
        <f t="shared" si="2"/>
        <v/>
      </c>
      <c r="B25" s="36"/>
      <c r="C25" s="37"/>
      <c r="D25" s="37"/>
      <c r="E25" s="37"/>
      <c r="F25" s="37"/>
      <c r="G25" s="44"/>
      <c r="H25" s="39"/>
      <c r="I25" s="39"/>
      <c r="J25" s="40" t="str">
        <f t="shared" si="1"/>
        <v/>
      </c>
      <c r="K25" s="49"/>
      <c r="L25" s="42" t="str">
        <f>IFERROR(__xludf.DUMMYFUNCTION("IF($C25="""","""",IFERROR(INDEX(SORT(FILTER({DATA_GOC!$B$4:$B$49999,DATA_GOC!$P$4:$P$49999,DATA_GOC!$J$4:$J$49999},DATA_GOC!$A$4:$A$49999=""BOM"",TRIM(DATA_GOC!$D$4:$D$49999)=TRIM($C25),DATA_GOC!$J$4:$J$49999&lt;&gt;"""",DATA_GOC!$B$4:$B$49999&lt;=$B$3),1,FALSE,2,"&amp;"FALSE),1,3),""Chưa có dữ liệu""))"),"")</f>
        <v/>
      </c>
      <c r="M25" s="43"/>
      <c r="N25" s="45"/>
      <c r="P25" s="46"/>
      <c r="AB25" s="47"/>
    </row>
    <row r="26" ht="18.0" customHeight="1">
      <c r="A26" s="35" t="str">
        <f t="shared" si="2"/>
        <v/>
      </c>
      <c r="B26" s="36"/>
      <c r="C26" s="37"/>
      <c r="D26" s="37"/>
      <c r="E26" s="37"/>
      <c r="F26" s="37"/>
      <c r="G26" s="44"/>
      <c r="H26" s="39"/>
      <c r="I26" s="39"/>
      <c r="J26" s="40" t="str">
        <f t="shared" si="1"/>
        <v/>
      </c>
      <c r="K26" s="49"/>
      <c r="L26" s="42" t="str">
        <f>IFERROR(__xludf.DUMMYFUNCTION("IF($C26="""","""",IFERROR(INDEX(SORT(FILTER({DATA_GOC!$B$4:$B$49999,DATA_GOC!$P$4:$P$49999,DATA_GOC!$J$4:$J$49999},DATA_GOC!$A$4:$A$49999=""BOM"",TRIM(DATA_GOC!$D$4:$D$49999)=TRIM($C26),DATA_GOC!$J$4:$J$49999&lt;&gt;"""",DATA_GOC!$B$4:$B$49999&lt;=$B$3),1,FALSE,2,"&amp;"FALSE),1,3),""Chưa có dữ liệu""))"),"")</f>
        <v/>
      </c>
      <c r="M26" s="43"/>
    </row>
    <row r="27" ht="18.0" customHeight="1">
      <c r="A27" s="35" t="str">
        <f t="shared" si="2"/>
        <v/>
      </c>
      <c r="B27" s="36"/>
      <c r="C27" s="37"/>
      <c r="D27" s="37"/>
      <c r="E27" s="37"/>
      <c r="F27" s="37"/>
      <c r="G27" s="44"/>
      <c r="H27" s="39"/>
      <c r="I27" s="39"/>
      <c r="J27" s="40" t="str">
        <f t="shared" si="1"/>
        <v/>
      </c>
      <c r="K27" s="49"/>
      <c r="L27" s="42" t="str">
        <f>IFERROR(__xludf.DUMMYFUNCTION("IF($C27="""","""",IFERROR(INDEX(SORT(FILTER({DATA_GOC!$B$4:$B$49999,DATA_GOC!$P$4:$P$49999,DATA_GOC!$J$4:$J$49999},DATA_GOC!$A$4:$A$49999=""BOM"",TRIM(DATA_GOC!$D$4:$D$49999)=TRIM($C27),DATA_GOC!$J$4:$J$49999&lt;&gt;"""",DATA_GOC!$B$4:$B$49999&lt;=$B$3),1,FALSE,2,"&amp;"FALSE),1,3),""Chưa có dữ liệu""))"),"")</f>
        <v/>
      </c>
      <c r="M27" s="43"/>
    </row>
    <row r="28" ht="18.0" customHeight="1">
      <c r="A28" s="35" t="str">
        <f t="shared" si="2"/>
        <v/>
      </c>
      <c r="B28" s="36"/>
      <c r="C28" s="37"/>
      <c r="D28" s="37"/>
      <c r="E28" s="37"/>
      <c r="F28" s="37"/>
      <c r="G28" s="44"/>
      <c r="H28" s="39"/>
      <c r="I28" s="39"/>
      <c r="J28" s="40" t="str">
        <f t="shared" si="1"/>
        <v/>
      </c>
      <c r="K28" s="49"/>
      <c r="L28" s="42" t="str">
        <f>IFERROR(__xludf.DUMMYFUNCTION("IF($C28="""","""",IFERROR(INDEX(SORT(FILTER({DATA_GOC!$B$4:$B$49999,DATA_GOC!$P$4:$P$49999,DATA_GOC!$J$4:$J$49999},DATA_GOC!$A$4:$A$49999=""BOM"",TRIM(DATA_GOC!$D$4:$D$49999)=TRIM($C28),DATA_GOC!$J$4:$J$49999&lt;&gt;"""",DATA_GOC!$B$4:$B$49999&lt;=$B$3),1,FALSE,2,"&amp;"FALSE),1,3),""Chưa có dữ liệu""))"),"")</f>
        <v/>
      </c>
      <c r="M28" s="43"/>
    </row>
    <row r="29" ht="18.0" customHeight="1">
      <c r="A29" s="35" t="str">
        <f t="shared" si="2"/>
        <v/>
      </c>
      <c r="B29" s="36"/>
      <c r="C29" s="37"/>
      <c r="D29" s="37"/>
      <c r="E29" s="37"/>
      <c r="F29" s="37"/>
      <c r="G29" s="44"/>
      <c r="H29" s="50"/>
      <c r="I29" s="50"/>
      <c r="J29" s="40" t="str">
        <f t="shared" si="1"/>
        <v/>
      </c>
      <c r="K29" s="41"/>
      <c r="L29" s="42" t="str">
        <f>IFERROR(__xludf.DUMMYFUNCTION("IF($C29="""","""",IFERROR(INDEX(SORT(FILTER({DATA_GOC!$B$4:$B$49999,DATA_GOC!$P$4:$P$49999,DATA_GOC!$J$4:$J$49999},DATA_GOC!$A$4:$A$49999=""BOM"",TRIM(DATA_GOC!$D$4:$D$49999)=TRIM($C29),DATA_GOC!$J$4:$J$49999&lt;&gt;"""",DATA_GOC!$B$4:$B$49999&lt;=$B$3),1,FALSE,2,"&amp;"FALSE),1,3),""Chưa có dữ liệu""))"),"")</f>
        <v/>
      </c>
      <c r="M29" s="43"/>
    </row>
    <row r="30" ht="18.0" customHeight="1">
      <c r="A30" s="35" t="str">
        <f t="shared" si="2"/>
        <v/>
      </c>
      <c r="B30" s="36"/>
      <c r="C30" s="37"/>
      <c r="D30" s="37"/>
      <c r="E30" s="37"/>
      <c r="F30" s="37"/>
      <c r="G30" s="44"/>
      <c r="H30" s="39"/>
      <c r="I30" s="39"/>
      <c r="J30" s="40" t="str">
        <f t="shared" si="1"/>
        <v/>
      </c>
      <c r="K30" s="49"/>
      <c r="L30" s="42" t="str">
        <f>IFERROR(__xludf.DUMMYFUNCTION("IF($C30="""","""",IFERROR(INDEX(SORT(FILTER({DATA_GOC!$B$4:$B$49999,DATA_GOC!$P$4:$P$49999,DATA_GOC!$J$4:$J$49999},DATA_GOC!$A$4:$A$49999=""BOM"",TRIM(DATA_GOC!$D$4:$D$49999)=TRIM($C30),DATA_GOC!$J$4:$J$49999&lt;&gt;"""",DATA_GOC!$B$4:$B$49999&lt;=$B$3),1,FALSE,2,"&amp;"FALSE),1,3),""Chưa có dữ liệu""))"),"")</f>
        <v/>
      </c>
      <c r="M30" s="43"/>
    </row>
    <row r="31" ht="18.0" customHeight="1">
      <c r="A31" s="35" t="str">
        <f t="shared" si="2"/>
        <v/>
      </c>
      <c r="B31" s="36"/>
      <c r="C31" s="37"/>
      <c r="D31" s="37"/>
      <c r="E31" s="37"/>
      <c r="F31" s="37"/>
      <c r="G31" s="44"/>
      <c r="H31" s="39"/>
      <c r="I31" s="39"/>
      <c r="J31" s="40" t="str">
        <f t="shared" si="1"/>
        <v/>
      </c>
      <c r="K31" s="49"/>
      <c r="L31" s="42" t="str">
        <f>IFERROR(__xludf.DUMMYFUNCTION("IF($C31="""","""",IFERROR(INDEX(SORT(FILTER({DATA_GOC!$B$4:$B$49999,DATA_GOC!$P$4:$P$49999,DATA_GOC!$J$4:$J$49999},DATA_GOC!$A$4:$A$49999=""BOM"",TRIM(DATA_GOC!$D$4:$D$49999)=TRIM($C31),DATA_GOC!$J$4:$J$49999&lt;&gt;"""",DATA_GOC!$B$4:$B$49999&lt;=$B$3),1,FALSE,2,"&amp;"FALSE),1,3),""Chưa có dữ liệu""))"),"")</f>
        <v/>
      </c>
      <c r="M31" s="43"/>
    </row>
    <row r="32" ht="18.0" customHeight="1">
      <c r="A32" s="35" t="str">
        <f t="shared" si="2"/>
        <v/>
      </c>
      <c r="B32" s="36"/>
      <c r="C32" s="37"/>
      <c r="D32" s="37"/>
      <c r="E32" s="37"/>
      <c r="F32" s="37"/>
      <c r="G32" s="44"/>
      <c r="H32" s="50"/>
      <c r="I32" s="50"/>
      <c r="J32" s="40" t="str">
        <f t="shared" si="1"/>
        <v/>
      </c>
      <c r="K32" s="41"/>
      <c r="L32" s="42" t="str">
        <f>IFERROR(__xludf.DUMMYFUNCTION("IF($C32="""","""",IFERROR(INDEX(SORT(FILTER({DATA_GOC!$B$4:$B$49999,DATA_GOC!$P$4:$P$49999,DATA_GOC!$J$4:$J$49999},DATA_GOC!$A$4:$A$49999=""BOM"",TRIM(DATA_GOC!$D$4:$D$49999)=TRIM($C32),DATA_GOC!$J$4:$J$49999&lt;&gt;"""",DATA_GOC!$B$4:$B$49999&lt;=$B$3),1,FALSE,2,"&amp;"FALSE),1,3),""Chưa có dữ liệu""))"),"")</f>
        <v/>
      </c>
      <c r="M32" s="43"/>
    </row>
    <row r="33" ht="18.0" customHeight="1">
      <c r="A33" s="35" t="str">
        <f t="shared" si="2"/>
        <v/>
      </c>
      <c r="B33" s="36"/>
      <c r="C33" s="37"/>
      <c r="D33" s="37"/>
      <c r="E33" s="37"/>
      <c r="F33" s="37"/>
      <c r="G33" s="44"/>
      <c r="H33" s="50"/>
      <c r="I33" s="39"/>
      <c r="J33" s="40" t="str">
        <f t="shared" si="1"/>
        <v/>
      </c>
      <c r="K33" s="49"/>
      <c r="L33" s="42" t="str">
        <f>IFERROR(__xludf.DUMMYFUNCTION("IF($C33="""","""",IFERROR(INDEX(SORT(FILTER({DATA_GOC!$B$4:$B$49999,DATA_GOC!$P$4:$P$49999,DATA_GOC!$J$4:$J$49999},DATA_GOC!$A$4:$A$49999=""BOM"",TRIM(DATA_GOC!$D$4:$D$49999)=TRIM($C33),DATA_GOC!$J$4:$J$49999&lt;&gt;"""",DATA_GOC!$B$4:$B$49999&lt;=$B$3),1,FALSE,2,"&amp;"FALSE),1,3),""Chưa có dữ liệu""))"),"")</f>
        <v/>
      </c>
      <c r="M33" s="43"/>
    </row>
    <row r="34" ht="18.0" customHeight="1">
      <c r="A34" s="35" t="str">
        <f t="shared" si="2"/>
        <v/>
      </c>
      <c r="B34" s="36"/>
      <c r="C34" s="37"/>
      <c r="D34" s="37"/>
      <c r="E34" s="37"/>
      <c r="F34" s="37"/>
      <c r="G34" s="44"/>
      <c r="H34" s="39"/>
      <c r="I34" s="39"/>
      <c r="J34" s="40" t="str">
        <f t="shared" si="1"/>
        <v/>
      </c>
      <c r="K34" s="49"/>
      <c r="L34" s="42" t="str">
        <f>IFERROR(__xludf.DUMMYFUNCTION("IF($C34="""","""",IFERROR(INDEX(SORT(FILTER({DATA_GOC!$B$4:$B$49999,DATA_GOC!$P$4:$P$49999,DATA_GOC!$J$4:$J$49999},DATA_GOC!$A$4:$A$49999=""BOM"",TRIM(DATA_GOC!$D$4:$D$49999)=TRIM($C34),DATA_GOC!$J$4:$J$49999&lt;&gt;"""",DATA_GOC!$B$4:$B$49999&lt;=$B$3),1,FALSE,2,"&amp;"FALSE),1,3),""Chưa có dữ liệu""))"),"")</f>
        <v/>
      </c>
      <c r="M34" s="43"/>
    </row>
    <row r="35" ht="18.0" customHeight="1">
      <c r="A35" s="35" t="str">
        <f t="shared" si="2"/>
        <v/>
      </c>
      <c r="B35" s="36"/>
      <c r="C35" s="37"/>
      <c r="D35" s="37"/>
      <c r="E35" s="37"/>
      <c r="F35" s="37"/>
      <c r="G35" s="44"/>
      <c r="H35" s="50"/>
      <c r="I35" s="39"/>
      <c r="J35" s="40" t="str">
        <f t="shared" si="1"/>
        <v/>
      </c>
      <c r="K35" s="49"/>
      <c r="L35" s="42" t="str">
        <f>IFERROR(__xludf.DUMMYFUNCTION("IF($C35="""","""",IFERROR(INDEX(SORT(FILTER({DATA_GOC!$B$4:$B$49999,DATA_GOC!$P$4:$P$49999,DATA_GOC!$J$4:$J$49999},DATA_GOC!$A$4:$A$49999=""BOM"",TRIM(DATA_GOC!$D$4:$D$49999)=TRIM($C35),DATA_GOC!$J$4:$J$49999&lt;&gt;"""",DATA_GOC!$B$4:$B$49999&lt;=$B$3),1,FALSE,2,"&amp;"FALSE),1,3),""Chưa có dữ liệu""))"),"")</f>
        <v/>
      </c>
      <c r="M35" s="43"/>
    </row>
    <row r="36" ht="18.0" customHeight="1">
      <c r="A36" s="35" t="str">
        <f t="shared" si="2"/>
        <v/>
      </c>
      <c r="B36" s="36"/>
      <c r="C36" s="37"/>
      <c r="D36" s="37"/>
      <c r="E36" s="37"/>
      <c r="F36" s="37"/>
      <c r="G36" s="44"/>
      <c r="H36" s="50"/>
      <c r="I36" s="50"/>
      <c r="J36" s="40" t="str">
        <f t="shared" si="1"/>
        <v/>
      </c>
      <c r="K36" s="41"/>
      <c r="L36" s="42" t="str">
        <f>IFERROR(__xludf.DUMMYFUNCTION("IF($C36="""","""",IFERROR(INDEX(SORT(FILTER({DATA_GOC!$B$4:$B$49999,DATA_GOC!$P$4:$P$49999,DATA_GOC!$J$4:$J$49999},DATA_GOC!$A$4:$A$49999=""BOM"",TRIM(DATA_GOC!$D$4:$D$49999)=TRIM($C36),DATA_GOC!$J$4:$J$49999&lt;&gt;"""",DATA_GOC!$B$4:$B$49999&lt;=$B$3),1,FALSE,2,"&amp;"FALSE),1,3),""Chưa có dữ liệu""))"),"")</f>
        <v/>
      </c>
      <c r="M36" s="43"/>
    </row>
    <row r="37" ht="18.0" customHeight="1">
      <c r="A37" s="35" t="str">
        <f t="shared" si="2"/>
        <v/>
      </c>
      <c r="B37" s="36"/>
      <c r="C37" s="51"/>
      <c r="D37" s="51"/>
      <c r="E37" s="51"/>
      <c r="F37" s="51"/>
      <c r="G37" s="52"/>
      <c r="H37" s="50"/>
      <c r="I37" s="50"/>
      <c r="J37" s="40" t="str">
        <f t="shared" si="1"/>
        <v/>
      </c>
      <c r="K37" s="49"/>
      <c r="L37" s="42" t="str">
        <f>IFERROR(__xludf.DUMMYFUNCTION("IF($C37="""","""",IFERROR(INDEX(SORT(FILTER({DATA_GOC!$B$4:$B$49999,DATA_GOC!$P$4:$P$49999,DATA_GOC!$J$4:$J$49999},DATA_GOC!$A$4:$A$49999=""BOM"",TRIM(DATA_GOC!$D$4:$D$49999)=TRIM($C37),DATA_GOC!$J$4:$J$49999&lt;&gt;"""",DATA_GOC!$B$4:$B$49999&lt;=$B$3),1,FALSE,2,"&amp;"FALSE),1,3),""Chưa có dữ liệu""))"),"")</f>
        <v/>
      </c>
      <c r="M37" s="43"/>
    </row>
    <row r="38" ht="18.0" customHeight="1">
      <c r="A38" s="35" t="str">
        <f t="shared" si="2"/>
        <v/>
      </c>
      <c r="B38" s="36"/>
      <c r="C38" s="51"/>
      <c r="D38" s="51"/>
      <c r="E38" s="51"/>
      <c r="F38" s="51"/>
      <c r="G38" s="52"/>
      <c r="H38" s="50"/>
      <c r="I38" s="50"/>
      <c r="J38" s="40" t="str">
        <f t="shared" si="1"/>
        <v/>
      </c>
      <c r="K38" s="49"/>
      <c r="L38" s="42" t="str">
        <f>IFERROR(__xludf.DUMMYFUNCTION("IF($C38="""","""",IFERROR(INDEX(SORT(FILTER({DATA_GOC!$B$4:$B$49999,DATA_GOC!$P$4:$P$49999,DATA_GOC!$J$4:$J$49999},DATA_GOC!$A$4:$A$49999=""BOM"",TRIM(DATA_GOC!$D$4:$D$49999)=TRIM($C38),DATA_GOC!$J$4:$J$49999&lt;&gt;"""",DATA_GOC!$B$4:$B$49999&lt;=$B$3),1,FALSE,2,"&amp;"FALSE),1,3),""Chưa có dữ liệu""))"),"")</f>
        <v/>
      </c>
      <c r="M38" s="43"/>
    </row>
    <row r="39" ht="18.0" customHeight="1">
      <c r="A39" s="35" t="str">
        <f t="shared" si="2"/>
        <v/>
      </c>
      <c r="B39" s="36"/>
      <c r="C39" s="51"/>
      <c r="D39" s="51"/>
      <c r="E39" s="51"/>
      <c r="F39" s="51"/>
      <c r="G39" s="52"/>
      <c r="H39" s="50"/>
      <c r="I39" s="50"/>
      <c r="J39" s="40" t="str">
        <f t="shared" si="1"/>
        <v/>
      </c>
      <c r="K39" s="49"/>
      <c r="L39" s="42" t="str">
        <f>IFERROR(__xludf.DUMMYFUNCTION("IF($C39="""","""",IFERROR(INDEX(SORT(FILTER({DATA_GOC!$B$4:$B$49999,DATA_GOC!$P$4:$P$49999,DATA_GOC!$J$4:$J$49999},DATA_GOC!$A$4:$A$49999=""BOM"",TRIM(DATA_GOC!$D$4:$D$49999)=TRIM($C39),DATA_GOC!$J$4:$J$49999&lt;&gt;"""",DATA_GOC!$B$4:$B$49999&lt;=$B$3),1,FALSE,2,"&amp;"FALSE),1,3),""Chưa có dữ liệu""))"),"")</f>
        <v/>
      </c>
      <c r="M39" s="43"/>
    </row>
    <row r="40" ht="18.0" customHeight="1">
      <c r="A40" s="35" t="str">
        <f t="shared" si="2"/>
        <v/>
      </c>
      <c r="B40" s="36"/>
      <c r="C40" s="51"/>
      <c r="D40" s="51"/>
      <c r="E40" s="51"/>
      <c r="F40" s="51"/>
      <c r="G40" s="52"/>
      <c r="H40" s="50"/>
      <c r="I40" s="50"/>
      <c r="J40" s="40" t="str">
        <f t="shared" si="1"/>
        <v/>
      </c>
      <c r="K40" s="49"/>
      <c r="L40" s="42" t="str">
        <f>IFERROR(__xludf.DUMMYFUNCTION("IF($C40="""","""",IFERROR(INDEX(SORT(FILTER({DATA_GOC!$B$4:$B$49999,DATA_GOC!$P$4:$P$49999,DATA_GOC!$J$4:$J$49999},DATA_GOC!$A$4:$A$49999=""BOM"",TRIM(DATA_GOC!$D$4:$D$49999)=TRIM($C40),DATA_GOC!$J$4:$J$49999&lt;&gt;"""",DATA_GOC!$B$4:$B$49999&lt;=$B$3),1,FALSE,2,"&amp;"FALSE),1,3),""Chưa có dữ liệu""))"),"")</f>
        <v/>
      </c>
      <c r="M40" s="43"/>
    </row>
    <row r="41" ht="18.0" customHeight="1">
      <c r="A41" s="35" t="str">
        <f t="shared" si="2"/>
        <v/>
      </c>
      <c r="B41" s="36"/>
      <c r="C41" s="51"/>
      <c r="D41" s="51"/>
      <c r="E41" s="51"/>
      <c r="F41" s="51"/>
      <c r="G41" s="52"/>
      <c r="H41" s="50"/>
      <c r="I41" s="50"/>
      <c r="J41" s="40" t="str">
        <f t="shared" si="1"/>
        <v/>
      </c>
      <c r="K41" s="49"/>
      <c r="L41" s="42" t="str">
        <f>IFERROR(__xludf.DUMMYFUNCTION("IF($C41="""","""",IFERROR(INDEX(SORT(FILTER({DATA_GOC!$B$4:$B$49999,DATA_GOC!$P$4:$P$49999,DATA_GOC!$J$4:$J$49999},DATA_GOC!$A$4:$A$49999=""BOM"",TRIM(DATA_GOC!$D$4:$D$49999)=TRIM($C41),DATA_GOC!$J$4:$J$49999&lt;&gt;"""",DATA_GOC!$B$4:$B$49999&lt;=$B$3),1,FALSE,2,"&amp;"FALSE),1,3),""Chưa có dữ liệu""))"),"")</f>
        <v/>
      </c>
      <c r="M41" s="43"/>
    </row>
    <row r="42" ht="18.0" customHeight="1">
      <c r="A42" s="35" t="str">
        <f t="shared" si="2"/>
        <v/>
      </c>
      <c r="B42" s="36"/>
      <c r="C42" s="51"/>
      <c r="D42" s="51"/>
      <c r="E42" s="51"/>
      <c r="F42" s="51"/>
      <c r="G42" s="52"/>
      <c r="H42" s="50"/>
      <c r="I42" s="50"/>
      <c r="J42" s="40" t="str">
        <f t="shared" si="1"/>
        <v/>
      </c>
      <c r="K42" s="49"/>
      <c r="L42" s="42" t="str">
        <f>IFERROR(__xludf.DUMMYFUNCTION("IF($C42="""","""",IFERROR(INDEX(SORT(FILTER({DATA_GOC!$B$4:$B$49999,DATA_GOC!$P$4:$P$49999,DATA_GOC!$J$4:$J$49999},DATA_GOC!$A$4:$A$49999=""BOM"",TRIM(DATA_GOC!$D$4:$D$49999)=TRIM($C42),DATA_GOC!$J$4:$J$49999&lt;&gt;"""",DATA_GOC!$B$4:$B$49999&lt;=$B$3),1,FALSE,2,"&amp;"FALSE),1,3),""Chưa có dữ liệu""))"),"")</f>
        <v/>
      </c>
      <c r="M42" s="43"/>
    </row>
    <row r="43" ht="18.0" customHeight="1">
      <c r="A43" s="35" t="str">
        <f t="shared" si="2"/>
        <v/>
      </c>
      <c r="B43" s="36"/>
      <c r="C43" s="51"/>
      <c r="D43" s="51"/>
      <c r="E43" s="51"/>
      <c r="F43" s="51"/>
      <c r="G43" s="52"/>
      <c r="H43" s="50"/>
      <c r="I43" s="50"/>
      <c r="J43" s="40" t="str">
        <f t="shared" si="1"/>
        <v/>
      </c>
      <c r="K43" s="49"/>
      <c r="L43" s="42" t="str">
        <f>IFERROR(__xludf.DUMMYFUNCTION("IF($C43="""","""",IFERROR(INDEX(SORT(FILTER({DATA_GOC!$B$4:$B$49999,DATA_GOC!$P$4:$P$49999,DATA_GOC!$J$4:$J$49999},DATA_GOC!$A$4:$A$49999=""BOM"",TRIM(DATA_GOC!$D$4:$D$49999)=TRIM($C43),DATA_GOC!$J$4:$J$49999&lt;&gt;"""",DATA_GOC!$B$4:$B$49999&lt;=$B$3),1,FALSE,2,"&amp;"FALSE),1,3),""Chưa có dữ liệu""))"),"")</f>
        <v/>
      </c>
      <c r="M43" s="43"/>
    </row>
    <row r="44" ht="18.0" customHeight="1">
      <c r="A44" s="35" t="str">
        <f t="shared" si="2"/>
        <v/>
      </c>
      <c r="B44" s="36"/>
      <c r="C44" s="51"/>
      <c r="D44" s="51"/>
      <c r="E44" s="51"/>
      <c r="F44" s="51"/>
      <c r="G44" s="52"/>
      <c r="H44" s="50"/>
      <c r="I44" s="50"/>
      <c r="J44" s="40" t="str">
        <f t="shared" si="1"/>
        <v/>
      </c>
      <c r="K44" s="49"/>
      <c r="L44" s="42" t="str">
        <f>IFERROR(__xludf.DUMMYFUNCTION("IF($C44="""","""",IFERROR(INDEX(SORT(FILTER({DATA_GOC!$B$4:$B$49999,DATA_GOC!$P$4:$P$49999,DATA_GOC!$J$4:$J$49999},DATA_GOC!$A$4:$A$49999=""BOM"",TRIM(DATA_GOC!$D$4:$D$49999)=TRIM($C44),DATA_GOC!$J$4:$J$49999&lt;&gt;"""",DATA_GOC!$B$4:$B$49999&lt;=$B$3),1,FALSE,2,"&amp;"FALSE),1,3),""Chưa có dữ liệu""))"),"")</f>
        <v/>
      </c>
      <c r="M44" s="43"/>
    </row>
    <row r="45" ht="18.0" customHeight="1">
      <c r="A45" s="35" t="str">
        <f t="shared" si="2"/>
        <v/>
      </c>
      <c r="B45" s="36"/>
      <c r="C45" s="51"/>
      <c r="D45" s="51"/>
      <c r="E45" s="51"/>
      <c r="F45" s="51"/>
      <c r="G45" s="52"/>
      <c r="H45" s="50"/>
      <c r="I45" s="50"/>
      <c r="J45" s="40" t="str">
        <f t="shared" si="1"/>
        <v/>
      </c>
      <c r="K45" s="49"/>
      <c r="L45" s="42" t="str">
        <f>IFERROR(__xludf.DUMMYFUNCTION("IF($C45="""","""",IFERROR(INDEX(SORT(FILTER({DATA_GOC!$B$4:$B$49999,DATA_GOC!$P$4:$P$49999,DATA_GOC!$J$4:$J$49999},DATA_GOC!$A$4:$A$49999=""BOM"",TRIM(DATA_GOC!$D$4:$D$49999)=TRIM($C45),DATA_GOC!$J$4:$J$49999&lt;&gt;"""",DATA_GOC!$B$4:$B$49999&lt;=$B$3),1,FALSE,2,"&amp;"FALSE),1,3),""Chưa có dữ liệu""))"),"")</f>
        <v/>
      </c>
      <c r="M45" s="43"/>
    </row>
    <row r="46" ht="18.0" customHeight="1">
      <c r="A46" s="35" t="str">
        <f t="shared" si="2"/>
        <v/>
      </c>
      <c r="B46" s="36"/>
      <c r="C46" s="51"/>
      <c r="D46" s="51"/>
      <c r="E46" s="51"/>
      <c r="F46" s="51"/>
      <c r="G46" s="52"/>
      <c r="H46" s="50"/>
      <c r="I46" s="50"/>
      <c r="J46" s="40" t="str">
        <f t="shared" si="1"/>
        <v/>
      </c>
      <c r="K46" s="49"/>
      <c r="L46" s="42" t="str">
        <f>IFERROR(__xludf.DUMMYFUNCTION("IF($C46="""","""",IFERROR(INDEX(SORT(FILTER({DATA_GOC!$B$4:$B$49999,DATA_GOC!$P$4:$P$49999,DATA_GOC!$J$4:$J$49999},DATA_GOC!$A$4:$A$49999=""BOM"",TRIM(DATA_GOC!$D$4:$D$49999)=TRIM($C46),DATA_GOC!$J$4:$J$49999&lt;&gt;"""",DATA_GOC!$B$4:$B$49999&lt;=$B$3),1,FALSE,2,"&amp;"FALSE),1,3),""Chưa có dữ liệu""))"),"")</f>
        <v/>
      </c>
      <c r="M46" s="43"/>
    </row>
    <row r="47" ht="18.0" customHeight="1">
      <c r="A47" s="35" t="str">
        <f t="shared" si="2"/>
        <v/>
      </c>
      <c r="B47" s="36"/>
      <c r="C47" s="51"/>
      <c r="D47" s="51"/>
      <c r="E47" s="51"/>
      <c r="F47" s="51"/>
      <c r="G47" s="52"/>
      <c r="H47" s="50"/>
      <c r="I47" s="50"/>
      <c r="J47" s="40" t="str">
        <f t="shared" si="1"/>
        <v/>
      </c>
      <c r="K47" s="49"/>
      <c r="L47" s="42" t="str">
        <f>IFERROR(__xludf.DUMMYFUNCTION("IF($C47="""","""",IFERROR(INDEX(SORT(FILTER({DATA_GOC!$B$4:$B$49999,DATA_GOC!$P$4:$P$49999,DATA_GOC!$J$4:$J$49999},DATA_GOC!$A$4:$A$49999=""BOM"",TRIM(DATA_GOC!$D$4:$D$49999)=TRIM($C47),DATA_GOC!$J$4:$J$49999&lt;&gt;"""",DATA_GOC!$B$4:$B$49999&lt;=$B$3),1,FALSE,2,"&amp;"FALSE),1,3),""Chưa có dữ liệu""))"),"")</f>
        <v/>
      </c>
      <c r="M47" s="43"/>
    </row>
    <row r="48" ht="18.0" customHeight="1">
      <c r="A48" s="35" t="str">
        <f t="shared" si="2"/>
        <v/>
      </c>
      <c r="B48" s="36"/>
      <c r="C48" s="51"/>
      <c r="D48" s="51"/>
      <c r="E48" s="51"/>
      <c r="F48" s="51"/>
      <c r="G48" s="52"/>
      <c r="H48" s="50"/>
      <c r="I48" s="50"/>
      <c r="J48" s="40" t="str">
        <f t="shared" si="1"/>
        <v/>
      </c>
      <c r="K48" s="49"/>
      <c r="L48" s="42" t="str">
        <f>IFERROR(__xludf.DUMMYFUNCTION("IF($C48="""","""",IFERROR(INDEX(SORT(FILTER({DATA_GOC!$B$4:$B$49999,DATA_GOC!$P$4:$P$49999,DATA_GOC!$J$4:$J$49999},DATA_GOC!$A$4:$A$49999=""BOM"",TRIM(DATA_GOC!$D$4:$D$49999)=TRIM($C48),DATA_GOC!$J$4:$J$49999&lt;&gt;"""",DATA_GOC!$B$4:$B$49999&lt;=$B$3),1,FALSE,2,"&amp;"FALSE),1,3),""Chưa có dữ liệu""))"),"")</f>
        <v/>
      </c>
      <c r="M48" s="43"/>
    </row>
    <row r="49" ht="18.0" customHeight="1">
      <c r="A49" s="35" t="str">
        <f t="shared" si="2"/>
        <v/>
      </c>
      <c r="B49" s="36"/>
      <c r="C49" s="51"/>
      <c r="D49" s="51"/>
      <c r="E49" s="51"/>
      <c r="F49" s="51"/>
      <c r="G49" s="52"/>
      <c r="H49" s="50"/>
      <c r="I49" s="50"/>
      <c r="J49" s="40" t="str">
        <f t="shared" si="1"/>
        <v/>
      </c>
      <c r="K49" s="49"/>
      <c r="L49" s="42" t="str">
        <f>IFERROR(__xludf.DUMMYFUNCTION("IF($C49="""","""",IFERROR(INDEX(SORT(FILTER({DATA_GOC!$B$4:$B$49999,DATA_GOC!$P$4:$P$49999,DATA_GOC!$J$4:$J$49999},DATA_GOC!$A$4:$A$49999=""BOM"",TRIM(DATA_GOC!$D$4:$D$49999)=TRIM($C49),DATA_GOC!$J$4:$J$49999&lt;&gt;"""",DATA_GOC!$B$4:$B$49999&lt;=$B$3),1,FALSE,2,"&amp;"FALSE),1,3),""Chưa có dữ liệu""))"),"")</f>
        <v/>
      </c>
      <c r="M49" s="43"/>
    </row>
    <row r="50" ht="18.0" customHeight="1">
      <c r="A50" s="35" t="str">
        <f t="shared" si="2"/>
        <v/>
      </c>
      <c r="B50" s="36"/>
      <c r="C50" s="51"/>
      <c r="D50" s="51"/>
      <c r="E50" s="51"/>
      <c r="F50" s="51"/>
      <c r="G50" s="52"/>
      <c r="H50" s="50"/>
      <c r="I50" s="50"/>
      <c r="J50" s="40" t="str">
        <f t="shared" si="1"/>
        <v/>
      </c>
      <c r="K50" s="49"/>
      <c r="L50" s="42" t="str">
        <f>IFERROR(__xludf.DUMMYFUNCTION("IF($C50="""","""",IFERROR(INDEX(SORT(FILTER({DATA_GOC!$B$4:$B$49999,DATA_GOC!$P$4:$P$49999,DATA_GOC!$J$4:$J$49999},DATA_GOC!$A$4:$A$49999=""BOM"",TRIM(DATA_GOC!$D$4:$D$49999)=TRIM($C50),DATA_GOC!$J$4:$J$49999&lt;&gt;"""",DATA_GOC!$B$4:$B$49999&lt;=$B$3),1,FALSE,2,"&amp;"FALSE),1,3),""Chưa có dữ liệu""))"),"")</f>
        <v/>
      </c>
      <c r="M50" s="43"/>
    </row>
    <row r="51" ht="18.0" customHeight="1">
      <c r="A51" s="35" t="str">
        <f t="shared" si="2"/>
        <v/>
      </c>
      <c r="B51" s="36"/>
      <c r="C51" s="51"/>
      <c r="D51" s="51"/>
      <c r="E51" s="51"/>
      <c r="F51" s="51"/>
      <c r="G51" s="52"/>
      <c r="H51" s="50"/>
      <c r="I51" s="50"/>
      <c r="J51" s="40" t="str">
        <f t="shared" si="1"/>
        <v/>
      </c>
      <c r="K51" s="49"/>
      <c r="L51" s="42" t="str">
        <f>IFERROR(__xludf.DUMMYFUNCTION("IF($C51="""","""",IFERROR(INDEX(SORT(FILTER({DATA_GOC!$B$4:$B$49999,DATA_GOC!$P$4:$P$49999,DATA_GOC!$J$4:$J$49999},DATA_GOC!$A$4:$A$49999=""BOM"",TRIM(DATA_GOC!$D$4:$D$49999)=TRIM($C51),DATA_GOC!$J$4:$J$49999&lt;&gt;"""",DATA_GOC!$B$4:$B$49999&lt;=$B$3),1,FALSE,2,"&amp;"FALSE),1,3),""Chưa có dữ liệu""))"),"")</f>
        <v/>
      </c>
      <c r="M51" s="43"/>
    </row>
    <row r="52" ht="18.0" customHeight="1">
      <c r="A52" s="35" t="str">
        <f t="shared" si="2"/>
        <v/>
      </c>
      <c r="B52" s="36"/>
      <c r="C52" s="51"/>
      <c r="D52" s="51"/>
      <c r="E52" s="51"/>
      <c r="F52" s="51"/>
      <c r="G52" s="52"/>
      <c r="H52" s="50"/>
      <c r="I52" s="50"/>
      <c r="J52" s="40" t="str">
        <f t="shared" si="1"/>
        <v/>
      </c>
      <c r="K52" s="49"/>
      <c r="L52" s="42" t="str">
        <f>IFERROR(__xludf.DUMMYFUNCTION("IF($C52="""","""",IFERROR(INDEX(SORT(FILTER({DATA_GOC!$B$4:$B$49999,DATA_GOC!$P$4:$P$49999,DATA_GOC!$J$4:$J$49999},DATA_GOC!$A$4:$A$49999=""BOM"",TRIM(DATA_GOC!$D$4:$D$49999)=TRIM($C52),DATA_GOC!$J$4:$J$49999&lt;&gt;"""",DATA_GOC!$B$4:$B$49999&lt;=$B$3),1,FALSE,2,"&amp;"FALSE),1,3),""Chưa có dữ liệu""))"),"")</f>
        <v/>
      </c>
      <c r="M52" s="43"/>
    </row>
    <row r="53" ht="18.0" customHeight="1">
      <c r="A53" s="35" t="str">
        <f t="shared" si="2"/>
        <v/>
      </c>
      <c r="B53" s="36"/>
      <c r="C53" s="51"/>
      <c r="D53" s="51"/>
      <c r="E53" s="51"/>
      <c r="F53" s="51"/>
      <c r="G53" s="52"/>
      <c r="H53" s="50"/>
      <c r="I53" s="50"/>
      <c r="J53" s="40" t="str">
        <f t="shared" si="1"/>
        <v/>
      </c>
      <c r="K53" s="49"/>
      <c r="L53" s="42" t="str">
        <f>IFERROR(__xludf.DUMMYFUNCTION("IF($C53="""","""",IFERROR(INDEX(SORT(FILTER({DATA_GOC!$B$4:$B$49999,DATA_GOC!$P$4:$P$49999,DATA_GOC!$J$4:$J$49999},DATA_GOC!$A$4:$A$49999=""BOM"",TRIM(DATA_GOC!$D$4:$D$49999)=TRIM($C53),DATA_GOC!$J$4:$J$49999&lt;&gt;"""",DATA_GOC!$B$4:$B$49999&lt;=$B$3),1,FALSE,2,"&amp;"FALSE),1,3),""Chưa có dữ liệu""))"),"")</f>
        <v/>
      </c>
      <c r="M53" s="43"/>
    </row>
    <row r="54" ht="18.0" customHeight="1">
      <c r="A54" s="35" t="str">
        <f t="shared" si="2"/>
        <v/>
      </c>
      <c r="B54" s="36"/>
      <c r="C54" s="51"/>
      <c r="D54" s="51"/>
      <c r="E54" s="51"/>
      <c r="F54" s="51"/>
      <c r="G54" s="52"/>
      <c r="H54" s="50"/>
      <c r="I54" s="50"/>
      <c r="J54" s="40" t="str">
        <f t="shared" si="1"/>
        <v/>
      </c>
      <c r="K54" s="49"/>
      <c r="L54" s="42" t="str">
        <f>IFERROR(__xludf.DUMMYFUNCTION("IF($C54="""","""",IFERROR(INDEX(SORT(FILTER({DATA_GOC!$B$4:$B$49999,DATA_GOC!$P$4:$P$49999,DATA_GOC!$J$4:$J$49999},DATA_GOC!$A$4:$A$49999=""BOM"",TRIM(DATA_GOC!$D$4:$D$49999)=TRIM($C54),DATA_GOC!$J$4:$J$49999&lt;&gt;"""",DATA_GOC!$B$4:$B$49999&lt;=$B$3),1,FALSE,2,"&amp;"FALSE),1,3),""Chưa có dữ liệu""))"),"")</f>
        <v/>
      </c>
      <c r="M54" s="43"/>
    </row>
    <row r="55" ht="18.0" customHeight="1">
      <c r="A55" s="35" t="str">
        <f t="shared" si="2"/>
        <v/>
      </c>
      <c r="B55" s="36"/>
      <c r="C55" s="51"/>
      <c r="D55" s="51"/>
      <c r="E55" s="51"/>
      <c r="F55" s="51"/>
      <c r="G55" s="52"/>
      <c r="H55" s="50"/>
      <c r="I55" s="50"/>
      <c r="J55" s="40" t="str">
        <f t="shared" si="1"/>
        <v/>
      </c>
      <c r="K55" s="49"/>
      <c r="L55" s="42" t="str">
        <f>IFERROR(__xludf.DUMMYFUNCTION("IF($C55="""","""",IFERROR(INDEX(SORT(FILTER({DATA_GOC!$B$4:$B$49999,DATA_GOC!$P$4:$P$49999,DATA_GOC!$J$4:$J$49999},DATA_GOC!$A$4:$A$49999=""BOM"",TRIM(DATA_GOC!$D$4:$D$49999)=TRIM($C55),DATA_GOC!$J$4:$J$49999&lt;&gt;"""",DATA_GOC!$B$4:$B$49999&lt;=$B$3),1,FALSE,2,"&amp;"FALSE),1,3),""Chưa có dữ liệu""))"),"")</f>
        <v/>
      </c>
      <c r="M55" s="43"/>
    </row>
    <row r="56" ht="18.0" customHeight="1">
      <c r="A56" s="35" t="str">
        <f t="shared" si="2"/>
        <v/>
      </c>
      <c r="B56" s="36"/>
      <c r="C56" s="51"/>
      <c r="D56" s="51"/>
      <c r="E56" s="51"/>
      <c r="F56" s="51"/>
      <c r="G56" s="52"/>
      <c r="H56" s="50"/>
      <c r="I56" s="50"/>
      <c r="J56" s="40" t="str">
        <f t="shared" si="1"/>
        <v/>
      </c>
      <c r="K56" s="49"/>
      <c r="L56" s="42" t="str">
        <f>IFERROR(__xludf.DUMMYFUNCTION("IF($C56="""","""",IFERROR(INDEX(SORT(FILTER({DATA_GOC!$B$4:$B$49999,DATA_GOC!$P$4:$P$49999,DATA_GOC!$J$4:$J$49999},DATA_GOC!$A$4:$A$49999=""BOM"",TRIM(DATA_GOC!$D$4:$D$49999)=TRIM($C56),DATA_GOC!$J$4:$J$49999&lt;&gt;"""",DATA_GOC!$B$4:$B$49999&lt;=$B$3),1,FALSE,2,"&amp;"FALSE),1,3),""Chưa có dữ liệu""))"),"")</f>
        <v/>
      </c>
      <c r="M56" s="43"/>
    </row>
    <row r="57" ht="18.0" customHeight="1">
      <c r="A57" s="35" t="str">
        <f t="shared" si="2"/>
        <v/>
      </c>
      <c r="B57" s="36"/>
      <c r="C57" s="51"/>
      <c r="D57" s="51"/>
      <c r="E57" s="51"/>
      <c r="F57" s="51"/>
      <c r="G57" s="52"/>
      <c r="H57" s="50"/>
      <c r="I57" s="50"/>
      <c r="J57" s="40" t="str">
        <f t="shared" si="1"/>
        <v/>
      </c>
      <c r="K57" s="49"/>
      <c r="L57" s="42" t="str">
        <f>IFERROR(__xludf.DUMMYFUNCTION("IF($C57="""","""",IFERROR(INDEX(SORT(FILTER({DATA_GOC!$B$4:$B$49999,DATA_GOC!$P$4:$P$49999,DATA_GOC!$J$4:$J$49999},DATA_GOC!$A$4:$A$49999=""BOM"",TRIM(DATA_GOC!$D$4:$D$49999)=TRIM($C57),DATA_GOC!$J$4:$J$49999&lt;&gt;"""",DATA_GOC!$B$4:$B$49999&lt;=$B$3),1,FALSE,2,"&amp;"FALSE),1,3),""Chưa có dữ liệu""))"),"")</f>
        <v/>
      </c>
      <c r="M57" s="43"/>
    </row>
    <row r="58" ht="18.0" customHeight="1">
      <c r="A58" s="35" t="str">
        <f t="shared" si="2"/>
        <v/>
      </c>
      <c r="B58" s="36"/>
      <c r="C58" s="51"/>
      <c r="D58" s="51"/>
      <c r="E58" s="51"/>
      <c r="F58" s="51"/>
      <c r="G58" s="52"/>
      <c r="H58" s="50"/>
      <c r="I58" s="50"/>
      <c r="J58" s="40" t="str">
        <f t="shared" si="1"/>
        <v/>
      </c>
      <c r="K58" s="49"/>
      <c r="L58" s="42" t="str">
        <f>IFERROR(__xludf.DUMMYFUNCTION("IF($C58="""","""",IFERROR(INDEX(SORT(FILTER({DATA_GOC!$B$4:$B$49999,DATA_GOC!$P$4:$P$49999,DATA_GOC!$J$4:$J$49999},DATA_GOC!$A$4:$A$49999=""BOM"",TRIM(DATA_GOC!$D$4:$D$49999)=TRIM($C58),DATA_GOC!$J$4:$J$49999&lt;&gt;"""",DATA_GOC!$B$4:$B$49999&lt;=$B$3),1,FALSE,2,"&amp;"FALSE),1,3),""Chưa có dữ liệu""))"),"")</f>
        <v/>
      </c>
      <c r="M58" s="43"/>
    </row>
    <row r="59" ht="18.0" customHeight="1">
      <c r="A59" s="35" t="str">
        <f t="shared" si="2"/>
        <v/>
      </c>
      <c r="B59" s="36"/>
      <c r="C59" s="51"/>
      <c r="D59" s="51"/>
      <c r="E59" s="51"/>
      <c r="F59" s="51"/>
      <c r="G59" s="52"/>
      <c r="H59" s="50"/>
      <c r="I59" s="50"/>
      <c r="J59" s="40" t="str">
        <f t="shared" si="1"/>
        <v/>
      </c>
      <c r="K59" s="49"/>
      <c r="L59" s="42" t="str">
        <f>IFERROR(__xludf.DUMMYFUNCTION("IF($C59="""","""",IFERROR(INDEX(SORT(FILTER({DATA_GOC!$B$4:$B$49999,DATA_GOC!$P$4:$P$49999,DATA_GOC!$J$4:$J$49999},DATA_GOC!$A$4:$A$49999=""BOM"",TRIM(DATA_GOC!$D$4:$D$49999)=TRIM($C59),DATA_GOC!$J$4:$J$49999&lt;&gt;"""",DATA_GOC!$B$4:$B$49999&lt;=$B$3),1,FALSE,2,"&amp;"FALSE),1,3),""Chưa có dữ liệu""))"),"")</f>
        <v/>
      </c>
      <c r="M59" s="43"/>
    </row>
    <row r="60" ht="18.0" customHeight="1">
      <c r="A60" s="35" t="str">
        <f t="shared" si="2"/>
        <v/>
      </c>
      <c r="B60" s="36"/>
      <c r="C60" s="51"/>
      <c r="D60" s="51"/>
      <c r="E60" s="51"/>
      <c r="F60" s="51"/>
      <c r="G60" s="52"/>
      <c r="H60" s="50"/>
      <c r="I60" s="50"/>
      <c r="J60" s="40" t="str">
        <f t="shared" si="1"/>
        <v/>
      </c>
      <c r="K60" s="49"/>
      <c r="L60" s="42" t="str">
        <f>IFERROR(__xludf.DUMMYFUNCTION("IF($C60="""","""",IFERROR(INDEX(SORT(FILTER({DATA_GOC!$B$4:$B$49999,DATA_GOC!$P$4:$P$49999,DATA_GOC!$J$4:$J$49999},DATA_GOC!$A$4:$A$49999=""BOM"",TRIM(DATA_GOC!$D$4:$D$49999)=TRIM($C60),DATA_GOC!$J$4:$J$49999&lt;&gt;"""",DATA_GOC!$B$4:$B$49999&lt;=$B$3),1,FALSE,2,"&amp;"FALSE),1,3),""Chưa có dữ liệu""))"),"")</f>
        <v/>
      </c>
      <c r="M60" s="43"/>
    </row>
    <row r="61" ht="18.0" customHeight="1">
      <c r="A61" s="35" t="str">
        <f t="shared" si="2"/>
        <v/>
      </c>
      <c r="B61" s="36"/>
      <c r="C61" s="51"/>
      <c r="D61" s="51"/>
      <c r="E61" s="51"/>
      <c r="F61" s="51"/>
      <c r="G61" s="52"/>
      <c r="H61" s="50"/>
      <c r="I61" s="50"/>
      <c r="J61" s="40" t="str">
        <f t="shared" si="1"/>
        <v/>
      </c>
      <c r="K61" s="49"/>
      <c r="L61" s="42" t="str">
        <f>IFERROR(__xludf.DUMMYFUNCTION("IF($C61="""","""",IFERROR(INDEX(SORT(FILTER({DATA_GOC!$B$4:$B$49999,DATA_GOC!$P$4:$P$49999,DATA_GOC!$J$4:$J$49999},DATA_GOC!$A$4:$A$49999=""BOM"",TRIM(DATA_GOC!$D$4:$D$49999)=TRIM($C61),DATA_GOC!$J$4:$J$49999&lt;&gt;"""",DATA_GOC!$B$4:$B$49999&lt;=$B$3),1,FALSE,2,"&amp;"FALSE),1,3),""Chưa có dữ liệu""))"),"")</f>
        <v/>
      </c>
      <c r="M61" s="43"/>
    </row>
    <row r="62" ht="18.0" customHeight="1">
      <c r="A62" s="35" t="str">
        <f t="shared" si="2"/>
        <v/>
      </c>
      <c r="B62" s="36"/>
      <c r="C62" s="51"/>
      <c r="D62" s="51"/>
      <c r="E62" s="51"/>
      <c r="F62" s="51"/>
      <c r="G62" s="52"/>
      <c r="H62" s="50"/>
      <c r="I62" s="50"/>
      <c r="J62" s="40" t="str">
        <f t="shared" si="1"/>
        <v/>
      </c>
      <c r="K62" s="49"/>
      <c r="L62" s="42" t="str">
        <f>IFERROR(__xludf.DUMMYFUNCTION("IF($C62="""","""",IFERROR(INDEX(SORT(FILTER({DATA_GOC!$B$4:$B$49999,DATA_GOC!$P$4:$P$49999,DATA_GOC!$J$4:$J$49999},DATA_GOC!$A$4:$A$49999=""BOM"",TRIM(DATA_GOC!$D$4:$D$49999)=TRIM($C62),DATA_GOC!$J$4:$J$49999&lt;&gt;"""",DATA_GOC!$B$4:$B$49999&lt;=$B$3),1,FALSE,2,"&amp;"FALSE),1,3),""Chưa có dữ liệu""))"),"")</f>
        <v/>
      </c>
      <c r="M62" s="43"/>
    </row>
    <row r="63" ht="18.0" customHeight="1">
      <c r="A63" s="35" t="str">
        <f t="shared" si="2"/>
        <v/>
      </c>
      <c r="B63" s="36"/>
      <c r="C63" s="51"/>
      <c r="D63" s="51"/>
      <c r="E63" s="51"/>
      <c r="F63" s="51"/>
      <c r="G63" s="52"/>
      <c r="H63" s="50"/>
      <c r="I63" s="50"/>
      <c r="J63" s="40" t="str">
        <f t="shared" si="1"/>
        <v/>
      </c>
      <c r="K63" s="49"/>
      <c r="L63" s="42" t="str">
        <f>IFERROR(__xludf.DUMMYFUNCTION("IF($C63="""","""",IFERROR(INDEX(SORT(FILTER({DATA_GOC!$B$4:$B$49999,DATA_GOC!$P$4:$P$49999,DATA_GOC!$J$4:$J$49999},DATA_GOC!$A$4:$A$49999=""BOM"",TRIM(DATA_GOC!$D$4:$D$49999)=TRIM($C63),DATA_GOC!$J$4:$J$49999&lt;&gt;"""",DATA_GOC!$B$4:$B$49999&lt;=$B$3),1,FALSE,2,"&amp;"FALSE),1,3),""Chưa có dữ liệu""))"),"")</f>
        <v/>
      </c>
      <c r="M63" s="43"/>
    </row>
    <row r="64" ht="18.0" customHeight="1">
      <c r="A64" s="35" t="str">
        <f t="shared" si="2"/>
        <v/>
      </c>
      <c r="B64" s="36"/>
      <c r="C64" s="51"/>
      <c r="D64" s="51"/>
      <c r="E64" s="51"/>
      <c r="F64" s="51"/>
      <c r="G64" s="52"/>
      <c r="H64" s="50"/>
      <c r="I64" s="50"/>
      <c r="J64" s="40" t="str">
        <f t="shared" si="1"/>
        <v/>
      </c>
      <c r="K64" s="49"/>
      <c r="L64" s="42" t="str">
        <f>IFERROR(__xludf.DUMMYFUNCTION("IF($C64="""","""",IFERROR(INDEX(SORT(FILTER({DATA_GOC!$B$4:$B$49999,DATA_GOC!$P$4:$P$49999,DATA_GOC!$J$4:$J$49999},DATA_GOC!$A$4:$A$49999=""BOM"",TRIM(DATA_GOC!$D$4:$D$49999)=TRIM($C64),DATA_GOC!$J$4:$J$49999&lt;&gt;"""",DATA_GOC!$B$4:$B$49999&lt;=$B$3),1,FALSE,2,"&amp;"FALSE),1,3),""Chưa có dữ liệu""))"),"")</f>
        <v/>
      </c>
      <c r="M64" s="43"/>
    </row>
    <row r="65" ht="18.0" customHeight="1">
      <c r="A65" s="35" t="str">
        <f t="shared" si="2"/>
        <v/>
      </c>
      <c r="B65" s="36"/>
      <c r="C65" s="51"/>
      <c r="D65" s="51"/>
      <c r="E65" s="51"/>
      <c r="F65" s="51"/>
      <c r="G65" s="52"/>
      <c r="H65" s="50"/>
      <c r="I65" s="50"/>
      <c r="J65" s="40" t="str">
        <f t="shared" si="1"/>
        <v/>
      </c>
      <c r="K65" s="49"/>
      <c r="L65" s="42" t="str">
        <f>IFERROR(__xludf.DUMMYFUNCTION("IF($C65="""","""",IFERROR(INDEX(SORT(FILTER({DATA_GOC!$B$4:$B$49999,DATA_GOC!$P$4:$P$49999,DATA_GOC!$J$4:$J$49999},DATA_GOC!$A$4:$A$49999=""BOM"",TRIM(DATA_GOC!$D$4:$D$49999)=TRIM($C65),DATA_GOC!$J$4:$J$49999&lt;&gt;"""",DATA_GOC!$B$4:$B$49999&lt;=$B$3),1,FALSE,2,"&amp;"FALSE),1,3),""Chưa có dữ liệu""))"),"")</f>
        <v/>
      </c>
      <c r="M65" s="43"/>
    </row>
    <row r="66" ht="18.0" customHeight="1">
      <c r="A66" s="35" t="str">
        <f t="shared" si="2"/>
        <v/>
      </c>
      <c r="B66" s="36"/>
      <c r="C66" s="51"/>
      <c r="D66" s="51"/>
      <c r="E66" s="51"/>
      <c r="F66" s="51"/>
      <c r="G66" s="52"/>
      <c r="H66" s="50"/>
      <c r="I66" s="50"/>
      <c r="J66" s="40" t="str">
        <f t="shared" si="1"/>
        <v/>
      </c>
      <c r="K66" s="49"/>
      <c r="L66" s="42" t="str">
        <f>IFERROR(__xludf.DUMMYFUNCTION("IF($C66="""","""",IFERROR(INDEX(SORT(FILTER({DATA_GOC!$B$4:$B$49999,DATA_GOC!$P$4:$P$49999,DATA_GOC!$J$4:$J$49999},DATA_GOC!$A$4:$A$49999=""BOM"",TRIM(DATA_GOC!$D$4:$D$49999)=TRIM($C66),DATA_GOC!$J$4:$J$49999&lt;&gt;"""",DATA_GOC!$B$4:$B$49999&lt;=$B$3),1,FALSE,2,"&amp;"FALSE),1,3),""Chưa có dữ liệu""))"),"")</f>
        <v/>
      </c>
      <c r="M66" s="43"/>
    </row>
    <row r="67" ht="18.0" customHeight="1">
      <c r="A67" s="35" t="str">
        <f t="shared" si="2"/>
        <v/>
      </c>
      <c r="B67" s="36"/>
      <c r="C67" s="51"/>
      <c r="D67" s="51"/>
      <c r="E67" s="51"/>
      <c r="F67" s="51"/>
      <c r="G67" s="52"/>
      <c r="H67" s="50"/>
      <c r="I67" s="50"/>
      <c r="J67" s="40" t="str">
        <f t="shared" si="1"/>
        <v/>
      </c>
      <c r="K67" s="49"/>
      <c r="L67" s="42" t="str">
        <f>IFERROR(__xludf.DUMMYFUNCTION("IF($C67="""","""",IFERROR(INDEX(SORT(FILTER({DATA_GOC!$B$4:$B$49999,DATA_GOC!$P$4:$P$49999,DATA_GOC!$J$4:$J$49999},DATA_GOC!$A$4:$A$49999=""BOM"",TRIM(DATA_GOC!$D$4:$D$49999)=TRIM($C67),DATA_GOC!$J$4:$J$49999&lt;&gt;"""",DATA_GOC!$B$4:$B$49999&lt;=$B$3),1,FALSE,2,"&amp;"FALSE),1,3),""Chưa có dữ liệu""))"),"")</f>
        <v/>
      </c>
      <c r="M67" s="43"/>
    </row>
    <row r="68" ht="18.0" customHeight="1">
      <c r="A68" s="35" t="str">
        <f t="shared" si="2"/>
        <v/>
      </c>
      <c r="B68" s="36"/>
      <c r="C68" s="51"/>
      <c r="D68" s="51"/>
      <c r="E68" s="51"/>
      <c r="F68" s="51"/>
      <c r="G68" s="52"/>
      <c r="H68" s="50"/>
      <c r="I68" s="50"/>
      <c r="J68" s="40" t="str">
        <f t="shared" si="1"/>
        <v/>
      </c>
      <c r="K68" s="49"/>
      <c r="L68" s="42" t="str">
        <f>IFERROR(__xludf.DUMMYFUNCTION("IF($C68="""","""",IFERROR(INDEX(SORT(FILTER({DATA_GOC!$B$4:$B$49999,DATA_GOC!$P$4:$P$49999,DATA_GOC!$J$4:$J$49999},DATA_GOC!$A$4:$A$49999=""BOM"",TRIM(DATA_GOC!$D$4:$D$49999)=TRIM($C68),DATA_GOC!$J$4:$J$49999&lt;&gt;"""",DATA_GOC!$B$4:$B$49999&lt;=$B$3),1,FALSE,2,"&amp;"FALSE),1,3),""Chưa có dữ liệu""))"),"")</f>
        <v/>
      </c>
      <c r="M68" s="43"/>
    </row>
    <row r="69" ht="18.0" customHeight="1">
      <c r="A69" s="35" t="str">
        <f t="shared" si="2"/>
        <v/>
      </c>
      <c r="B69" s="36"/>
      <c r="C69" s="51"/>
      <c r="D69" s="51"/>
      <c r="E69" s="51"/>
      <c r="F69" s="51"/>
      <c r="G69" s="52"/>
      <c r="H69" s="50"/>
      <c r="I69" s="50"/>
      <c r="J69" s="40" t="str">
        <f t="shared" si="1"/>
        <v/>
      </c>
      <c r="K69" s="49"/>
      <c r="L69" s="42" t="str">
        <f>IFERROR(__xludf.DUMMYFUNCTION("IF($C69="""","""",IFERROR(INDEX(SORT(FILTER({DATA_GOC!$B$4:$B$49999,DATA_GOC!$P$4:$P$49999,DATA_GOC!$J$4:$J$49999},DATA_GOC!$A$4:$A$49999=""BOM"",TRIM(DATA_GOC!$D$4:$D$49999)=TRIM($C69),DATA_GOC!$J$4:$J$49999&lt;&gt;"""",DATA_GOC!$B$4:$B$49999&lt;=$B$3),1,FALSE,2,"&amp;"FALSE),1,3),""Chưa có dữ liệu""))"),"")</f>
        <v/>
      </c>
      <c r="M69" s="43"/>
    </row>
    <row r="70" ht="18.0" customHeight="1">
      <c r="A70" s="35" t="str">
        <f t="shared" si="2"/>
        <v/>
      </c>
      <c r="B70" s="36"/>
      <c r="C70" s="51"/>
      <c r="D70" s="51"/>
      <c r="E70" s="51"/>
      <c r="F70" s="51"/>
      <c r="G70" s="52"/>
      <c r="H70" s="50"/>
      <c r="I70" s="50"/>
      <c r="J70" s="40" t="str">
        <f t="shared" si="1"/>
        <v/>
      </c>
      <c r="K70" s="49"/>
      <c r="L70" s="42" t="str">
        <f>IFERROR(__xludf.DUMMYFUNCTION("IF($C70="""","""",IFERROR(INDEX(SORT(FILTER({DATA_GOC!$B$4:$B$49999,DATA_GOC!$P$4:$P$49999,DATA_GOC!$J$4:$J$49999},DATA_GOC!$A$4:$A$49999=""BOM"",TRIM(DATA_GOC!$D$4:$D$49999)=TRIM($C70),DATA_GOC!$J$4:$J$49999&lt;&gt;"""",DATA_GOC!$B$4:$B$49999&lt;=$B$3),1,FALSE,2,"&amp;"FALSE),1,3),""Chưa có dữ liệu""))"),"")</f>
        <v/>
      </c>
      <c r="M70" s="43"/>
    </row>
    <row r="71" ht="18.0" customHeight="1">
      <c r="A71" s="35" t="str">
        <f t="shared" si="2"/>
        <v/>
      </c>
      <c r="B71" s="36"/>
      <c r="C71" s="51"/>
      <c r="D71" s="51"/>
      <c r="E71" s="51"/>
      <c r="F71" s="51"/>
      <c r="G71" s="52"/>
      <c r="H71" s="50"/>
      <c r="I71" s="50"/>
      <c r="J71" s="40" t="str">
        <f t="shared" si="1"/>
        <v/>
      </c>
      <c r="K71" s="49"/>
      <c r="L71" s="42" t="str">
        <f>IFERROR(__xludf.DUMMYFUNCTION("IF($C71="""","""",IFERROR(INDEX(SORT(FILTER({DATA_GOC!$B$4:$B$49999,DATA_GOC!$P$4:$P$49999,DATA_GOC!$J$4:$J$49999},DATA_GOC!$A$4:$A$49999=""BOM"",TRIM(DATA_GOC!$D$4:$D$49999)=TRIM($C71),DATA_GOC!$J$4:$J$49999&lt;&gt;"""",DATA_GOC!$B$4:$B$49999&lt;=$B$3),1,FALSE,2,"&amp;"FALSE),1,3),""Chưa có dữ liệu""))"),"")</f>
        <v/>
      </c>
      <c r="M71" s="43"/>
    </row>
    <row r="72" ht="18.0" customHeight="1">
      <c r="A72" s="35" t="str">
        <f t="shared" si="2"/>
        <v/>
      </c>
      <c r="B72" s="36"/>
      <c r="C72" s="51"/>
      <c r="D72" s="51"/>
      <c r="E72" s="51"/>
      <c r="F72" s="51"/>
      <c r="G72" s="52"/>
      <c r="H72" s="50"/>
      <c r="I72" s="50"/>
      <c r="J72" s="40" t="str">
        <f t="shared" si="1"/>
        <v/>
      </c>
      <c r="K72" s="49"/>
      <c r="L72" s="42" t="str">
        <f>IFERROR(__xludf.DUMMYFUNCTION("IF($C72="""","""",IFERROR(INDEX(SORT(FILTER({DATA_GOC!$B$4:$B$49999,DATA_GOC!$P$4:$P$49999,DATA_GOC!$J$4:$J$49999},DATA_GOC!$A$4:$A$49999=""BOM"",TRIM(DATA_GOC!$D$4:$D$49999)=TRIM($C72),DATA_GOC!$J$4:$J$49999&lt;&gt;"""",DATA_GOC!$B$4:$B$49999&lt;=$B$3),1,FALSE,2,"&amp;"FALSE),1,3),""Chưa có dữ liệu""))"),"")</f>
        <v/>
      </c>
      <c r="M72" s="43"/>
    </row>
    <row r="73" ht="18.0" customHeight="1">
      <c r="A73" s="35" t="str">
        <f t="shared" si="2"/>
        <v/>
      </c>
      <c r="B73" s="36"/>
      <c r="C73" s="51"/>
      <c r="D73" s="51"/>
      <c r="E73" s="51"/>
      <c r="F73" s="51"/>
      <c r="G73" s="52"/>
      <c r="H73" s="50"/>
      <c r="I73" s="50"/>
      <c r="J73" s="40" t="str">
        <f t="shared" si="1"/>
        <v/>
      </c>
      <c r="K73" s="49"/>
      <c r="L73" s="42" t="str">
        <f>IFERROR(__xludf.DUMMYFUNCTION("IF($C73="""","""",IFERROR(INDEX(SORT(FILTER({DATA_GOC!$B$4:$B$49999,DATA_GOC!$P$4:$P$49999,DATA_GOC!$J$4:$J$49999},DATA_GOC!$A$4:$A$49999=""BOM"",TRIM(DATA_GOC!$D$4:$D$49999)=TRIM($C73),DATA_GOC!$J$4:$J$49999&lt;&gt;"""",DATA_GOC!$B$4:$B$49999&lt;=$B$3),1,FALSE,2,"&amp;"FALSE),1,3),""Chưa có dữ liệu""))"),"")</f>
        <v/>
      </c>
      <c r="M73" s="43"/>
    </row>
    <row r="74" ht="18.0" customHeight="1">
      <c r="A74" s="35" t="str">
        <f t="shared" si="2"/>
        <v/>
      </c>
      <c r="B74" s="36"/>
      <c r="C74" s="51"/>
      <c r="D74" s="51"/>
      <c r="E74" s="51"/>
      <c r="F74" s="51"/>
      <c r="G74" s="52"/>
      <c r="H74" s="50"/>
      <c r="I74" s="50"/>
      <c r="J74" s="40" t="str">
        <f t="shared" si="1"/>
        <v/>
      </c>
      <c r="K74" s="49"/>
      <c r="L74" s="42" t="str">
        <f>IFERROR(__xludf.DUMMYFUNCTION("IF($C74="""","""",IFERROR(INDEX(SORT(FILTER({DATA_GOC!$B$4:$B$49999,DATA_GOC!$P$4:$P$49999,DATA_GOC!$J$4:$J$49999},DATA_GOC!$A$4:$A$49999=""BOM"",TRIM(DATA_GOC!$D$4:$D$49999)=TRIM($C74),DATA_GOC!$J$4:$J$49999&lt;&gt;"""",DATA_GOC!$B$4:$B$49999&lt;=$B$3),1,FALSE,2,"&amp;"FALSE),1,3),""Chưa có dữ liệu""))"),"")</f>
        <v/>
      </c>
      <c r="M74" s="43"/>
    </row>
    <row r="75" ht="18.0" customHeight="1">
      <c r="A75" s="35" t="str">
        <f t="shared" si="2"/>
        <v/>
      </c>
      <c r="B75" s="36"/>
      <c r="C75" s="51"/>
      <c r="D75" s="51"/>
      <c r="E75" s="51"/>
      <c r="F75" s="51"/>
      <c r="G75" s="52"/>
      <c r="H75" s="50"/>
      <c r="I75" s="50"/>
      <c r="J75" s="40" t="str">
        <f t="shared" si="1"/>
        <v/>
      </c>
      <c r="K75" s="49"/>
      <c r="L75" s="42" t="str">
        <f>IFERROR(__xludf.DUMMYFUNCTION("IF($C75="""","""",IFERROR(INDEX(SORT(FILTER({DATA_GOC!$B$4:$B$49999,DATA_GOC!$P$4:$P$49999,DATA_GOC!$J$4:$J$49999},DATA_GOC!$A$4:$A$49999=""BOM"",TRIM(DATA_GOC!$D$4:$D$49999)=TRIM($C75),DATA_GOC!$J$4:$J$49999&lt;&gt;"""",DATA_GOC!$B$4:$B$49999&lt;=$B$3),1,FALSE,2,"&amp;"FALSE),1,3),""Chưa có dữ liệu""))"),"")</f>
        <v/>
      </c>
      <c r="M75" s="43"/>
    </row>
    <row r="76" ht="18.0" customHeight="1">
      <c r="A76" s="35" t="str">
        <f t="shared" si="2"/>
        <v/>
      </c>
      <c r="B76" s="36"/>
      <c r="C76" s="51"/>
      <c r="D76" s="51"/>
      <c r="E76" s="51"/>
      <c r="F76" s="51"/>
      <c r="G76" s="52"/>
      <c r="H76" s="50"/>
      <c r="I76" s="50"/>
      <c r="J76" s="40" t="str">
        <f t="shared" si="1"/>
        <v/>
      </c>
      <c r="K76" s="49"/>
      <c r="L76" s="42" t="str">
        <f>IFERROR(__xludf.DUMMYFUNCTION("IF($C76="""","""",IFERROR(INDEX(SORT(FILTER({DATA_GOC!$B$4:$B$49999,DATA_GOC!$P$4:$P$49999,DATA_GOC!$J$4:$J$49999},DATA_GOC!$A$4:$A$49999=""BOM"",TRIM(DATA_GOC!$D$4:$D$49999)=TRIM($C76),DATA_GOC!$J$4:$J$49999&lt;&gt;"""",DATA_GOC!$B$4:$B$49999&lt;=$B$3),1,FALSE,2,"&amp;"FALSE),1,3),""Chưa có dữ liệu""))"),"")</f>
        <v/>
      </c>
      <c r="M76" s="43"/>
    </row>
    <row r="77" ht="18.0" customHeight="1">
      <c r="A77" s="35" t="str">
        <f t="shared" si="2"/>
        <v/>
      </c>
      <c r="B77" s="36"/>
      <c r="C77" s="51"/>
      <c r="D77" s="51"/>
      <c r="E77" s="51"/>
      <c r="F77" s="51"/>
      <c r="G77" s="52"/>
      <c r="H77" s="50"/>
      <c r="I77" s="50"/>
      <c r="J77" s="40" t="str">
        <f t="shared" si="1"/>
        <v/>
      </c>
      <c r="K77" s="49"/>
      <c r="L77" s="42" t="str">
        <f>IFERROR(__xludf.DUMMYFUNCTION("IF($C77="""","""",IFERROR(INDEX(SORT(FILTER({DATA_GOC!$B$4:$B$49999,DATA_GOC!$P$4:$P$49999,DATA_GOC!$J$4:$J$49999},DATA_GOC!$A$4:$A$49999=""BOM"",TRIM(DATA_GOC!$D$4:$D$49999)=TRIM($C77),DATA_GOC!$J$4:$J$49999&lt;&gt;"""",DATA_GOC!$B$4:$B$49999&lt;=$B$3),1,FALSE,2,"&amp;"FALSE),1,3),""Chưa có dữ liệu""))"),"")</f>
        <v/>
      </c>
      <c r="M77" s="43"/>
    </row>
    <row r="78" ht="18.0" customHeight="1">
      <c r="A78" s="35" t="str">
        <f t="shared" si="2"/>
        <v/>
      </c>
      <c r="B78" s="36"/>
      <c r="C78" s="51"/>
      <c r="D78" s="51"/>
      <c r="E78" s="51"/>
      <c r="F78" s="51"/>
      <c r="G78" s="52"/>
      <c r="H78" s="50"/>
      <c r="I78" s="50"/>
      <c r="J78" s="40" t="str">
        <f t="shared" si="1"/>
        <v/>
      </c>
      <c r="K78" s="49"/>
      <c r="L78" s="42" t="str">
        <f>IFERROR(__xludf.DUMMYFUNCTION("IF($C78="""","""",IFERROR(INDEX(SORT(FILTER({DATA_GOC!$B$4:$B$49999,DATA_GOC!$P$4:$P$49999,DATA_GOC!$J$4:$J$49999},DATA_GOC!$A$4:$A$49999=""BOM"",TRIM(DATA_GOC!$D$4:$D$49999)=TRIM($C78),DATA_GOC!$J$4:$J$49999&lt;&gt;"""",DATA_GOC!$B$4:$B$49999&lt;=$B$3),1,FALSE,2,"&amp;"FALSE),1,3),""Chưa có dữ liệu""))"),"")</f>
        <v/>
      </c>
      <c r="M78" s="43"/>
    </row>
    <row r="79" ht="18.0" customHeight="1">
      <c r="A79" s="35" t="str">
        <f t="shared" si="2"/>
        <v/>
      </c>
      <c r="B79" s="36"/>
      <c r="C79" s="51"/>
      <c r="D79" s="51"/>
      <c r="E79" s="51"/>
      <c r="F79" s="51"/>
      <c r="G79" s="52"/>
      <c r="H79" s="50"/>
      <c r="I79" s="50"/>
      <c r="J79" s="40" t="str">
        <f t="shared" si="1"/>
        <v/>
      </c>
      <c r="K79" s="49"/>
      <c r="L79" s="42" t="str">
        <f>IFERROR(__xludf.DUMMYFUNCTION("IF($C79="""","""",IFERROR(INDEX(SORT(FILTER({DATA_GOC!$B$4:$B$49999,DATA_GOC!$P$4:$P$49999,DATA_GOC!$J$4:$J$49999},DATA_GOC!$A$4:$A$49999=""BOM"",TRIM(DATA_GOC!$D$4:$D$49999)=TRIM($C79),DATA_GOC!$J$4:$J$49999&lt;&gt;"""",DATA_GOC!$B$4:$B$49999&lt;=$B$3),1,FALSE,2,"&amp;"FALSE),1,3),""Chưa có dữ liệu""))"),"")</f>
        <v/>
      </c>
      <c r="M79" s="43"/>
    </row>
    <row r="80" ht="18.0" customHeight="1">
      <c r="A80" s="35" t="str">
        <f t="shared" si="2"/>
        <v/>
      </c>
      <c r="B80" s="36"/>
      <c r="C80" s="51"/>
      <c r="D80" s="51"/>
      <c r="E80" s="51"/>
      <c r="F80" s="51"/>
      <c r="G80" s="52"/>
      <c r="H80" s="50"/>
      <c r="I80" s="50"/>
      <c r="J80" s="40" t="str">
        <f t="shared" si="1"/>
        <v/>
      </c>
      <c r="K80" s="49"/>
      <c r="L80" s="42" t="str">
        <f>IFERROR(__xludf.DUMMYFUNCTION("IF($C80="""","""",IFERROR(INDEX(SORT(FILTER({DATA_GOC!$B$4:$B$49999,DATA_GOC!$P$4:$P$49999,DATA_GOC!$J$4:$J$49999},DATA_GOC!$A$4:$A$49999=""BOM"",TRIM(DATA_GOC!$D$4:$D$49999)=TRIM($C80),DATA_GOC!$J$4:$J$49999&lt;&gt;"""",DATA_GOC!$B$4:$B$49999&lt;=$B$3),1,FALSE,2,"&amp;"FALSE),1,3),""Chưa có dữ liệu""))"),"")</f>
        <v/>
      </c>
      <c r="M80" s="43"/>
    </row>
    <row r="81" ht="18.0" customHeight="1">
      <c r="A81" s="35" t="str">
        <f t="shared" si="2"/>
        <v/>
      </c>
      <c r="B81" s="36"/>
      <c r="C81" s="51"/>
      <c r="D81" s="51"/>
      <c r="E81" s="51"/>
      <c r="F81" s="51"/>
      <c r="G81" s="52"/>
      <c r="H81" s="50"/>
      <c r="I81" s="50"/>
      <c r="J81" s="40" t="str">
        <f t="shared" si="1"/>
        <v/>
      </c>
      <c r="K81" s="49"/>
      <c r="L81" s="42" t="str">
        <f>IFERROR(__xludf.DUMMYFUNCTION("IF($C81="""","""",IFERROR(INDEX(SORT(FILTER({DATA_GOC!$B$4:$B$49999,DATA_GOC!$P$4:$P$49999,DATA_GOC!$J$4:$J$49999},DATA_GOC!$A$4:$A$49999=""BOM"",TRIM(DATA_GOC!$D$4:$D$49999)=TRIM($C81),DATA_GOC!$J$4:$J$49999&lt;&gt;"""",DATA_GOC!$B$4:$B$49999&lt;=$B$3),1,FALSE,2,"&amp;"FALSE),1,3),""Chưa có dữ liệu""))"),"")</f>
        <v/>
      </c>
      <c r="M81" s="43"/>
    </row>
    <row r="82" ht="18.0" customHeight="1">
      <c r="A82" s="35" t="str">
        <f t="shared" si="2"/>
        <v/>
      </c>
      <c r="B82" s="36"/>
      <c r="C82" s="51"/>
      <c r="D82" s="51"/>
      <c r="E82" s="51"/>
      <c r="F82" s="51"/>
      <c r="G82" s="52"/>
      <c r="H82" s="50"/>
      <c r="I82" s="50"/>
      <c r="J82" s="40" t="str">
        <f t="shared" si="1"/>
        <v/>
      </c>
      <c r="K82" s="49"/>
      <c r="L82" s="42" t="str">
        <f>IFERROR(__xludf.DUMMYFUNCTION("IF($C82="""","""",IFERROR(INDEX(SORT(FILTER({DATA_GOC!$B$4:$B$49999,DATA_GOC!$P$4:$P$49999,DATA_GOC!$J$4:$J$49999},DATA_GOC!$A$4:$A$49999=""BOM"",TRIM(DATA_GOC!$D$4:$D$49999)=TRIM($C82),DATA_GOC!$J$4:$J$49999&lt;&gt;"""",DATA_GOC!$B$4:$B$49999&lt;=$B$3),1,FALSE,2,"&amp;"FALSE),1,3),""Chưa có dữ liệu""))"),"")</f>
        <v/>
      </c>
      <c r="M82" s="43"/>
    </row>
    <row r="83" ht="18.0" customHeight="1">
      <c r="A83" s="35" t="str">
        <f t="shared" si="2"/>
        <v/>
      </c>
      <c r="B83" s="36"/>
      <c r="C83" s="51"/>
      <c r="D83" s="51"/>
      <c r="E83" s="51"/>
      <c r="F83" s="51"/>
      <c r="G83" s="52"/>
      <c r="H83" s="50"/>
      <c r="I83" s="50"/>
      <c r="J83" s="40" t="str">
        <f t="shared" si="1"/>
        <v/>
      </c>
      <c r="K83" s="49"/>
      <c r="L83" s="42" t="str">
        <f>IFERROR(__xludf.DUMMYFUNCTION("IF($C83="""","""",IFERROR(INDEX(SORT(FILTER({DATA_GOC!$B$4:$B$49999,DATA_GOC!$P$4:$P$49999,DATA_GOC!$J$4:$J$49999},DATA_GOC!$A$4:$A$49999=""BOM"",TRIM(DATA_GOC!$D$4:$D$49999)=TRIM($C83),DATA_GOC!$J$4:$J$49999&lt;&gt;"""",DATA_GOC!$B$4:$B$49999&lt;=$B$3),1,FALSE,2,"&amp;"FALSE),1,3),""Chưa có dữ liệu""))"),"")</f>
        <v/>
      </c>
      <c r="M83" s="43"/>
    </row>
    <row r="84" ht="18.0" customHeight="1">
      <c r="A84" s="35" t="str">
        <f t="shared" si="2"/>
        <v/>
      </c>
      <c r="B84" s="36"/>
      <c r="C84" s="51"/>
      <c r="D84" s="51"/>
      <c r="E84" s="51"/>
      <c r="F84" s="51"/>
      <c r="G84" s="52"/>
      <c r="H84" s="50"/>
      <c r="I84" s="50"/>
      <c r="J84" s="40" t="str">
        <f t="shared" si="1"/>
        <v/>
      </c>
      <c r="K84" s="49"/>
      <c r="L84" s="42" t="str">
        <f>IFERROR(__xludf.DUMMYFUNCTION("IF($C84="""","""",IFERROR(INDEX(SORT(FILTER({DATA_GOC!$B$4:$B$49999,DATA_GOC!$P$4:$P$49999,DATA_GOC!$J$4:$J$49999},DATA_GOC!$A$4:$A$49999=""BOM"",TRIM(DATA_GOC!$D$4:$D$49999)=TRIM($C84),DATA_GOC!$J$4:$J$49999&lt;&gt;"""",DATA_GOC!$B$4:$B$49999&lt;=$B$3),1,FALSE,2,"&amp;"FALSE),1,3),""Chưa có dữ liệu""))"),"")</f>
        <v/>
      </c>
      <c r="M84" s="43"/>
    </row>
    <row r="85" ht="18.0" customHeight="1">
      <c r="A85" s="35" t="str">
        <f t="shared" si="2"/>
        <v/>
      </c>
      <c r="B85" s="36"/>
      <c r="C85" s="51"/>
      <c r="D85" s="51"/>
      <c r="E85" s="51"/>
      <c r="F85" s="51"/>
      <c r="G85" s="52"/>
      <c r="H85" s="50"/>
      <c r="I85" s="50"/>
      <c r="J85" s="40" t="str">
        <f t="shared" si="1"/>
        <v/>
      </c>
      <c r="K85" s="49"/>
      <c r="L85" s="42" t="str">
        <f>IFERROR(__xludf.DUMMYFUNCTION("IF($C85="""","""",IFERROR(INDEX(SORT(FILTER({DATA_GOC!$B$4:$B$49999,DATA_GOC!$P$4:$P$49999,DATA_GOC!$J$4:$J$49999},DATA_GOC!$A$4:$A$49999=""BOM"",TRIM(DATA_GOC!$D$4:$D$49999)=TRIM($C85),DATA_GOC!$J$4:$J$49999&lt;&gt;"""",DATA_GOC!$B$4:$B$49999&lt;=$B$3),1,FALSE,2,"&amp;"FALSE),1,3),""Chưa có dữ liệu""))"),"")</f>
        <v/>
      </c>
      <c r="M85" s="43"/>
    </row>
    <row r="86" ht="18.0" customHeight="1">
      <c r="A86" s="35" t="str">
        <f t="shared" si="2"/>
        <v/>
      </c>
      <c r="B86" s="36"/>
      <c r="C86" s="51"/>
      <c r="D86" s="51"/>
      <c r="E86" s="51"/>
      <c r="F86" s="51"/>
      <c r="G86" s="52"/>
      <c r="H86" s="50"/>
      <c r="I86" s="50"/>
      <c r="J86" s="40" t="str">
        <f t="shared" si="1"/>
        <v/>
      </c>
      <c r="K86" s="49"/>
      <c r="L86" s="42" t="str">
        <f>IFERROR(__xludf.DUMMYFUNCTION("IF($C86="""","""",IFERROR(INDEX(SORT(FILTER({DATA_GOC!$B$4:$B$49999,DATA_GOC!$P$4:$P$49999,DATA_GOC!$J$4:$J$49999},DATA_GOC!$A$4:$A$49999=""BOM"",TRIM(DATA_GOC!$D$4:$D$49999)=TRIM($C86),DATA_GOC!$J$4:$J$49999&lt;&gt;"""",DATA_GOC!$B$4:$B$49999&lt;=$B$3),1,FALSE,2,"&amp;"FALSE),1,3),""Chưa có dữ liệu""))"),"")</f>
        <v/>
      </c>
      <c r="M86" s="43"/>
    </row>
    <row r="87" ht="18.0" customHeight="1">
      <c r="A87" s="35" t="str">
        <f t="shared" si="2"/>
        <v/>
      </c>
      <c r="B87" s="36"/>
      <c r="C87" s="51"/>
      <c r="D87" s="51"/>
      <c r="E87" s="51"/>
      <c r="F87" s="51"/>
      <c r="G87" s="52"/>
      <c r="H87" s="50"/>
      <c r="I87" s="50"/>
      <c r="J87" s="40" t="str">
        <f t="shared" si="1"/>
        <v/>
      </c>
      <c r="K87" s="49"/>
      <c r="L87" s="42" t="str">
        <f>IFERROR(__xludf.DUMMYFUNCTION("IF($C87="""","""",IFERROR(INDEX(SORT(FILTER({DATA_GOC!$B$4:$B$49999,DATA_GOC!$P$4:$P$49999,DATA_GOC!$J$4:$J$49999},DATA_GOC!$A$4:$A$49999=""BOM"",TRIM(DATA_GOC!$D$4:$D$49999)=TRIM($C87),DATA_GOC!$J$4:$J$49999&lt;&gt;"""",DATA_GOC!$B$4:$B$49999&lt;=$B$3),1,FALSE,2,"&amp;"FALSE),1,3),""Chưa có dữ liệu""))"),"")</f>
        <v/>
      </c>
      <c r="M87" s="43"/>
    </row>
    <row r="88" ht="18.0" customHeight="1">
      <c r="A88" s="35" t="str">
        <f t="shared" si="2"/>
        <v/>
      </c>
      <c r="B88" s="36"/>
      <c r="C88" s="51"/>
      <c r="D88" s="51"/>
      <c r="E88" s="51"/>
      <c r="F88" s="51"/>
      <c r="G88" s="52"/>
      <c r="H88" s="50"/>
      <c r="I88" s="50"/>
      <c r="J88" s="40" t="str">
        <f t="shared" si="1"/>
        <v/>
      </c>
      <c r="K88" s="49"/>
      <c r="L88" s="42" t="str">
        <f>IFERROR(__xludf.DUMMYFUNCTION("IF($C88="""","""",IFERROR(INDEX(SORT(FILTER({DATA_GOC!$B$4:$B$49999,DATA_GOC!$P$4:$P$49999,DATA_GOC!$J$4:$J$49999},DATA_GOC!$A$4:$A$49999=""BOM"",TRIM(DATA_GOC!$D$4:$D$49999)=TRIM($C88),DATA_GOC!$J$4:$J$49999&lt;&gt;"""",DATA_GOC!$B$4:$B$49999&lt;=$B$3),1,FALSE,2,"&amp;"FALSE),1,3),""Chưa có dữ liệu""))"),"")</f>
        <v/>
      </c>
      <c r="M88" s="43"/>
    </row>
    <row r="89" ht="18.0" customHeight="1">
      <c r="A89" s="35" t="str">
        <f t="shared" si="2"/>
        <v/>
      </c>
      <c r="B89" s="36"/>
      <c r="C89" s="51"/>
      <c r="D89" s="51"/>
      <c r="E89" s="51"/>
      <c r="F89" s="51"/>
      <c r="G89" s="52"/>
      <c r="H89" s="50"/>
      <c r="I89" s="50"/>
      <c r="J89" s="40" t="str">
        <f t="shared" si="1"/>
        <v/>
      </c>
      <c r="K89" s="49"/>
      <c r="L89" s="42" t="str">
        <f>IFERROR(__xludf.DUMMYFUNCTION("IF($C89="""","""",IFERROR(INDEX(SORT(FILTER({DATA_GOC!$B$4:$B$49999,DATA_GOC!$P$4:$P$49999,DATA_GOC!$J$4:$J$49999},DATA_GOC!$A$4:$A$49999=""BOM"",TRIM(DATA_GOC!$D$4:$D$49999)=TRIM($C89),DATA_GOC!$J$4:$J$49999&lt;&gt;"""",DATA_GOC!$B$4:$B$49999&lt;=$B$3),1,FALSE,2,"&amp;"FALSE),1,3),""Chưa có dữ liệu""))"),"")</f>
        <v/>
      </c>
      <c r="M89" s="43"/>
    </row>
    <row r="90" ht="18.0" customHeight="1">
      <c r="A90" s="35" t="str">
        <f t="shared" si="2"/>
        <v/>
      </c>
      <c r="B90" s="36"/>
      <c r="C90" s="51"/>
      <c r="D90" s="51"/>
      <c r="E90" s="51"/>
      <c r="F90" s="51"/>
      <c r="G90" s="52"/>
      <c r="H90" s="50"/>
      <c r="I90" s="50"/>
      <c r="J90" s="40" t="str">
        <f t="shared" si="1"/>
        <v/>
      </c>
      <c r="K90" s="49"/>
      <c r="L90" s="42" t="str">
        <f>IFERROR(__xludf.DUMMYFUNCTION("IF($C90="""","""",IFERROR(INDEX(SORT(FILTER({DATA_GOC!$B$4:$B$49999,DATA_GOC!$P$4:$P$49999,DATA_GOC!$J$4:$J$49999},DATA_GOC!$A$4:$A$49999=""BOM"",TRIM(DATA_GOC!$D$4:$D$49999)=TRIM($C90),DATA_GOC!$J$4:$J$49999&lt;&gt;"""",DATA_GOC!$B$4:$B$49999&lt;=$B$3),1,FALSE,2,"&amp;"FALSE),1,3),""Chưa có dữ liệu""))"),"")</f>
        <v/>
      </c>
      <c r="M90" s="43"/>
    </row>
    <row r="91" ht="18.0" customHeight="1">
      <c r="A91" s="35" t="str">
        <f t="shared" si="2"/>
        <v/>
      </c>
      <c r="B91" s="36"/>
      <c r="C91" s="51"/>
      <c r="D91" s="51"/>
      <c r="E91" s="51"/>
      <c r="F91" s="51"/>
      <c r="G91" s="52"/>
      <c r="H91" s="50"/>
      <c r="I91" s="50"/>
      <c r="J91" s="40" t="str">
        <f t="shared" si="1"/>
        <v/>
      </c>
      <c r="K91" s="49"/>
      <c r="L91" s="42" t="str">
        <f>IFERROR(__xludf.DUMMYFUNCTION("IF($C91="""","""",IFERROR(INDEX(SORT(FILTER({DATA_GOC!$B$4:$B$49999,DATA_GOC!$P$4:$P$49999,DATA_GOC!$J$4:$J$49999},DATA_GOC!$A$4:$A$49999=""BOM"",TRIM(DATA_GOC!$D$4:$D$49999)=TRIM($C91),DATA_GOC!$J$4:$J$49999&lt;&gt;"""",DATA_GOC!$B$4:$B$49999&lt;=$B$3),1,FALSE,2,"&amp;"FALSE),1,3),""Chưa có dữ liệu""))"),"")</f>
        <v/>
      </c>
      <c r="M91" s="43"/>
    </row>
    <row r="92" ht="18.0" customHeight="1">
      <c r="A92" s="35" t="str">
        <f t="shared" si="2"/>
        <v/>
      </c>
      <c r="B92" s="36"/>
      <c r="C92" s="51"/>
      <c r="D92" s="51"/>
      <c r="E92" s="51"/>
      <c r="F92" s="51"/>
      <c r="G92" s="52"/>
      <c r="H92" s="50"/>
      <c r="I92" s="50"/>
      <c r="J92" s="40" t="str">
        <f t="shared" si="1"/>
        <v/>
      </c>
      <c r="K92" s="49"/>
      <c r="L92" s="42" t="str">
        <f>IFERROR(__xludf.DUMMYFUNCTION("IF($C92="""","""",IFERROR(INDEX(SORT(FILTER({DATA_GOC!$B$4:$B$49999,DATA_GOC!$P$4:$P$49999,DATA_GOC!$J$4:$J$49999},DATA_GOC!$A$4:$A$49999=""BOM"",TRIM(DATA_GOC!$D$4:$D$49999)=TRIM($C92),DATA_GOC!$J$4:$J$49999&lt;&gt;"""",DATA_GOC!$B$4:$B$49999&lt;=$B$3),1,FALSE,2,"&amp;"FALSE),1,3),""Chưa có dữ liệu""))"),"")</f>
        <v/>
      </c>
      <c r="M92" s="43"/>
    </row>
    <row r="93" ht="18.0" customHeight="1">
      <c r="A93" s="35" t="str">
        <f t="shared" si="2"/>
        <v/>
      </c>
      <c r="B93" s="36"/>
      <c r="C93" s="51"/>
      <c r="D93" s="51"/>
      <c r="E93" s="51"/>
      <c r="F93" s="51"/>
      <c r="G93" s="52"/>
      <c r="H93" s="50"/>
      <c r="I93" s="50"/>
      <c r="J93" s="40" t="str">
        <f t="shared" si="1"/>
        <v/>
      </c>
      <c r="K93" s="49"/>
      <c r="L93" s="42" t="str">
        <f>IFERROR(__xludf.DUMMYFUNCTION("IF($C93="""","""",IFERROR(INDEX(SORT(FILTER({DATA_GOC!$B$4:$B$49999,DATA_GOC!$P$4:$P$49999,DATA_GOC!$J$4:$J$49999},DATA_GOC!$A$4:$A$49999=""BOM"",TRIM(DATA_GOC!$D$4:$D$49999)=TRIM($C93),DATA_GOC!$J$4:$J$49999&lt;&gt;"""",DATA_GOC!$B$4:$B$49999&lt;=$B$3),1,FALSE,2,"&amp;"FALSE),1,3),""Chưa có dữ liệu""))"),"")</f>
        <v/>
      </c>
      <c r="M93" s="43"/>
    </row>
    <row r="94" ht="18.0" customHeight="1">
      <c r="A94" s="35" t="str">
        <f t="shared" si="2"/>
        <v/>
      </c>
      <c r="B94" s="36"/>
      <c r="C94" s="51"/>
      <c r="D94" s="51"/>
      <c r="E94" s="51"/>
      <c r="F94" s="51"/>
      <c r="G94" s="52"/>
      <c r="H94" s="50"/>
      <c r="I94" s="50"/>
      <c r="J94" s="40" t="str">
        <f t="shared" si="1"/>
        <v/>
      </c>
      <c r="K94" s="49"/>
      <c r="L94" s="42" t="str">
        <f>IFERROR(__xludf.DUMMYFUNCTION("IF($C94="""","""",IFERROR(INDEX(SORT(FILTER({DATA_GOC!$B$4:$B$49999,DATA_GOC!$P$4:$P$49999,DATA_GOC!$J$4:$J$49999},DATA_GOC!$A$4:$A$49999=""BOM"",TRIM(DATA_GOC!$D$4:$D$49999)=TRIM($C94),DATA_GOC!$J$4:$J$49999&lt;&gt;"""",DATA_GOC!$B$4:$B$49999&lt;=$B$3),1,FALSE,2,"&amp;"FALSE),1,3),""Chưa có dữ liệu""))"),"")</f>
        <v/>
      </c>
      <c r="M94" s="43"/>
    </row>
    <row r="95" ht="18.0" customHeight="1">
      <c r="A95" s="35" t="str">
        <f t="shared" si="2"/>
        <v/>
      </c>
      <c r="B95" s="36"/>
      <c r="C95" s="51"/>
      <c r="D95" s="51"/>
      <c r="E95" s="51"/>
      <c r="F95" s="51"/>
      <c r="G95" s="52"/>
      <c r="H95" s="50"/>
      <c r="I95" s="50"/>
      <c r="J95" s="40" t="str">
        <f t="shared" si="1"/>
        <v/>
      </c>
      <c r="K95" s="49"/>
      <c r="L95" s="42" t="str">
        <f>IFERROR(__xludf.DUMMYFUNCTION("IF($C95="""","""",IFERROR(INDEX(SORT(FILTER({DATA_GOC!$B$4:$B$49999,DATA_GOC!$P$4:$P$49999,DATA_GOC!$J$4:$J$49999},DATA_GOC!$A$4:$A$49999=""BOM"",TRIM(DATA_GOC!$D$4:$D$49999)=TRIM($C95),DATA_GOC!$J$4:$J$49999&lt;&gt;"""",DATA_GOC!$B$4:$B$49999&lt;=$B$3),1,FALSE,2,"&amp;"FALSE),1,3),""Chưa có dữ liệu""))"),"")</f>
        <v/>
      </c>
      <c r="M95" s="43"/>
    </row>
    <row r="96" ht="18.0" customHeight="1">
      <c r="A96" s="35" t="str">
        <f t="shared" si="2"/>
        <v/>
      </c>
      <c r="B96" s="36"/>
      <c r="C96" s="51"/>
      <c r="D96" s="51"/>
      <c r="E96" s="51"/>
      <c r="F96" s="51"/>
      <c r="G96" s="52"/>
      <c r="H96" s="50"/>
      <c r="I96" s="50"/>
      <c r="J96" s="40" t="str">
        <f t="shared" si="1"/>
        <v/>
      </c>
      <c r="K96" s="49"/>
      <c r="L96" s="42" t="str">
        <f>IFERROR(__xludf.DUMMYFUNCTION("IF($C96="""","""",IFERROR(INDEX(SORT(FILTER({DATA_GOC!$B$4:$B$49999,DATA_GOC!$P$4:$P$49999,DATA_GOC!$J$4:$J$49999},DATA_GOC!$A$4:$A$49999=""BOM"",TRIM(DATA_GOC!$D$4:$D$49999)=TRIM($C96),DATA_GOC!$J$4:$J$49999&lt;&gt;"""",DATA_GOC!$B$4:$B$49999&lt;=$B$3),1,FALSE,2,"&amp;"FALSE),1,3),""Chưa có dữ liệu""))"),"")</f>
        <v/>
      </c>
      <c r="M96" s="43"/>
    </row>
    <row r="97" ht="18.0" customHeight="1">
      <c r="A97" s="35" t="str">
        <f t="shared" si="2"/>
        <v/>
      </c>
      <c r="B97" s="36"/>
      <c r="C97" s="51"/>
      <c r="D97" s="51"/>
      <c r="E97" s="51"/>
      <c r="F97" s="51"/>
      <c r="G97" s="52"/>
      <c r="H97" s="50"/>
      <c r="I97" s="50"/>
      <c r="J97" s="40" t="str">
        <f t="shared" si="1"/>
        <v/>
      </c>
      <c r="K97" s="49"/>
      <c r="L97" s="42" t="str">
        <f>IFERROR(__xludf.DUMMYFUNCTION("IF($C97="""","""",IFERROR(INDEX(SORT(FILTER({DATA_GOC!$B$4:$B$49999,DATA_GOC!$P$4:$P$49999,DATA_GOC!$J$4:$J$49999},DATA_GOC!$A$4:$A$49999=""BOM"",TRIM(DATA_GOC!$D$4:$D$49999)=TRIM($C97),DATA_GOC!$J$4:$J$49999&lt;&gt;"""",DATA_GOC!$B$4:$B$49999&lt;=$B$3),1,FALSE,2,"&amp;"FALSE),1,3),""Chưa có dữ liệu""))"),"")</f>
        <v/>
      </c>
      <c r="M97" s="43"/>
    </row>
    <row r="98" ht="18.0" customHeight="1">
      <c r="A98" s="35" t="str">
        <f t="shared" si="2"/>
        <v/>
      </c>
      <c r="B98" s="36"/>
      <c r="C98" s="51"/>
      <c r="D98" s="51"/>
      <c r="E98" s="51"/>
      <c r="F98" s="51"/>
      <c r="G98" s="52"/>
      <c r="H98" s="50"/>
      <c r="I98" s="50"/>
      <c r="J98" s="40" t="str">
        <f t="shared" si="1"/>
        <v/>
      </c>
      <c r="K98" s="49"/>
      <c r="L98" s="42" t="str">
        <f>IFERROR(__xludf.DUMMYFUNCTION("IF($C98="""","""",IFERROR(INDEX(SORT(FILTER({DATA_GOC!$B$4:$B$49999,DATA_GOC!$P$4:$P$49999,DATA_GOC!$J$4:$J$49999},DATA_GOC!$A$4:$A$49999=""BOM"",TRIM(DATA_GOC!$D$4:$D$49999)=TRIM($C98),DATA_GOC!$J$4:$J$49999&lt;&gt;"""",DATA_GOC!$B$4:$B$49999&lt;=$B$3),1,FALSE,2,"&amp;"FALSE),1,3),""Chưa có dữ liệu""))"),"")</f>
        <v/>
      </c>
      <c r="M98" s="43"/>
    </row>
    <row r="99" ht="18.0" customHeight="1">
      <c r="A99" s="35" t="str">
        <f t="shared" si="2"/>
        <v/>
      </c>
      <c r="B99" s="36"/>
      <c r="C99" s="51"/>
      <c r="D99" s="51"/>
      <c r="E99" s="51"/>
      <c r="F99" s="51"/>
      <c r="G99" s="52"/>
      <c r="H99" s="50"/>
      <c r="I99" s="50"/>
      <c r="J99" s="40" t="str">
        <f t="shared" si="1"/>
        <v/>
      </c>
      <c r="K99" s="49"/>
      <c r="L99" s="42" t="str">
        <f>IFERROR(__xludf.DUMMYFUNCTION("IF($C99="""","""",IFERROR(INDEX(SORT(FILTER({DATA_GOC!$B$4:$B$49999,DATA_GOC!$P$4:$P$49999,DATA_GOC!$J$4:$J$49999},DATA_GOC!$A$4:$A$49999=""BOM"",TRIM(DATA_GOC!$D$4:$D$49999)=TRIM($C99),DATA_GOC!$J$4:$J$49999&lt;&gt;"""",DATA_GOC!$B$4:$B$49999&lt;=$B$3),1,FALSE,2,"&amp;"FALSE),1,3),""Chưa có dữ liệu""))"),"")</f>
        <v/>
      </c>
      <c r="M99" s="43"/>
    </row>
    <row r="100" ht="18.0" customHeight="1">
      <c r="A100" s="35" t="str">
        <f t="shared" si="2"/>
        <v/>
      </c>
      <c r="B100" s="36"/>
      <c r="C100" s="51"/>
      <c r="D100" s="51"/>
      <c r="E100" s="51"/>
      <c r="F100" s="51"/>
      <c r="G100" s="52"/>
      <c r="H100" s="50"/>
      <c r="I100" s="50"/>
      <c r="J100" s="40" t="str">
        <f t="shared" si="1"/>
        <v/>
      </c>
      <c r="K100" s="49"/>
      <c r="L100" s="42" t="str">
        <f>IFERROR(__xludf.DUMMYFUNCTION("IF($C100="""","""",IFERROR(INDEX(SORT(FILTER({DATA_GOC!$B$4:$B$49999,DATA_GOC!$P$4:$P$49999,DATA_GOC!$J$4:$J$49999},DATA_GOC!$A$4:$A$49999=""BOM"",TRIM(DATA_GOC!$D$4:$D$49999)=TRIM($C100),DATA_GOC!$J$4:$J$49999&lt;&gt;"""",DATA_GOC!$B$4:$B$49999&lt;=$B$3),1,FALSE,"&amp;"2,FALSE),1,3),""Chưa có dữ liệu""))"),"")</f>
        <v/>
      </c>
      <c r="M100" s="43"/>
    </row>
    <row r="101" ht="18.0" customHeight="1">
      <c r="A101" s="35" t="str">
        <f t="shared" si="2"/>
        <v/>
      </c>
      <c r="B101" s="36"/>
      <c r="C101" s="51"/>
      <c r="D101" s="51"/>
      <c r="E101" s="51"/>
      <c r="F101" s="51"/>
      <c r="G101" s="52"/>
      <c r="H101" s="50"/>
      <c r="I101" s="50"/>
      <c r="J101" s="40" t="str">
        <f t="shared" si="1"/>
        <v/>
      </c>
      <c r="K101" s="49"/>
      <c r="L101" s="42" t="str">
        <f>IFERROR(__xludf.DUMMYFUNCTION("IF($C101="""","""",IFERROR(INDEX(SORT(FILTER({DATA_GOC!$B$4:$B$49999,DATA_GOC!$P$4:$P$49999,DATA_GOC!$J$4:$J$49999},DATA_GOC!$A$4:$A$49999=""BOM"",TRIM(DATA_GOC!$D$4:$D$49999)=TRIM($C101),DATA_GOC!$J$4:$J$49999&lt;&gt;"""",DATA_GOC!$B$4:$B$49999&lt;=$B$3),1,FALSE,"&amp;"2,FALSE),1,3),""Chưa có dữ liệu""))"),"")</f>
        <v/>
      </c>
      <c r="M101" s="43"/>
    </row>
    <row r="102" ht="18.0" customHeight="1">
      <c r="A102" s="35" t="str">
        <f t="shared" si="2"/>
        <v/>
      </c>
      <c r="B102" s="36"/>
      <c r="C102" s="51"/>
      <c r="D102" s="51"/>
      <c r="E102" s="51"/>
      <c r="F102" s="51"/>
      <c r="G102" s="52"/>
      <c r="H102" s="50"/>
      <c r="I102" s="50"/>
      <c r="J102" s="40" t="str">
        <f t="shared" si="1"/>
        <v/>
      </c>
      <c r="K102" s="49"/>
      <c r="L102" s="42" t="str">
        <f>IFERROR(__xludf.DUMMYFUNCTION("IF($C102="""","""",IFERROR(INDEX(SORT(FILTER({DATA_GOC!$B$4:$B$49999,DATA_GOC!$P$4:$P$49999,DATA_GOC!$J$4:$J$49999},DATA_GOC!$A$4:$A$49999=""BOM"",TRIM(DATA_GOC!$D$4:$D$49999)=TRIM($C102),DATA_GOC!$J$4:$J$49999&lt;&gt;"""",DATA_GOC!$B$4:$B$49999&lt;=$B$3),1,FALSE,"&amp;"2,FALSE),1,3),""Chưa có dữ liệu""))"),"")</f>
        <v/>
      </c>
      <c r="M102" s="43"/>
    </row>
    <row r="103" ht="18.0" customHeight="1">
      <c r="A103" s="35" t="str">
        <f t="shared" si="2"/>
        <v/>
      </c>
      <c r="B103" s="36"/>
      <c r="C103" s="51"/>
      <c r="D103" s="51"/>
      <c r="E103" s="51"/>
      <c r="F103" s="51"/>
      <c r="G103" s="52"/>
      <c r="H103" s="50"/>
      <c r="I103" s="50"/>
      <c r="J103" s="40" t="str">
        <f t="shared" si="1"/>
        <v/>
      </c>
      <c r="K103" s="49"/>
      <c r="L103" s="42" t="str">
        <f>IFERROR(__xludf.DUMMYFUNCTION("IF($C103="""","""",IFERROR(INDEX(SORT(FILTER({DATA_GOC!$B$4:$B$49999,DATA_GOC!$P$4:$P$49999,DATA_GOC!$J$4:$J$49999},DATA_GOC!$A$4:$A$49999=""BOM"",TRIM(DATA_GOC!$D$4:$D$49999)=TRIM($C103),DATA_GOC!$J$4:$J$49999&lt;&gt;"""",DATA_GOC!$B$4:$B$49999&lt;=$B$3),1,FALSE,"&amp;"2,FALSE),1,3),""Chưa có dữ liệu""))"),"")</f>
        <v/>
      </c>
      <c r="M103" s="43"/>
    </row>
    <row r="104" ht="18.0" customHeight="1">
      <c r="A104" s="35" t="str">
        <f t="shared" si="2"/>
        <v/>
      </c>
      <c r="B104" s="36"/>
      <c r="C104" s="51"/>
      <c r="D104" s="51"/>
      <c r="E104" s="51"/>
      <c r="F104" s="51"/>
      <c r="G104" s="52"/>
      <c r="H104" s="50"/>
      <c r="I104" s="50"/>
      <c r="J104" s="40" t="str">
        <f t="shared" si="1"/>
        <v/>
      </c>
      <c r="K104" s="49"/>
      <c r="L104" s="42" t="str">
        <f>IFERROR(__xludf.DUMMYFUNCTION("IF($C104="""","""",IFERROR(INDEX(SORT(FILTER({DATA_GOC!$B$4:$B$49999,DATA_GOC!$P$4:$P$49999,DATA_GOC!$J$4:$J$49999},DATA_GOC!$A$4:$A$49999=""BOM"",TRIM(DATA_GOC!$D$4:$D$49999)=TRIM($C104),DATA_GOC!$J$4:$J$49999&lt;&gt;"""",DATA_GOC!$B$4:$B$49999&lt;=$B$3),1,FALSE,"&amp;"2,FALSE),1,3),""Chưa có dữ liệu""))"),"")</f>
        <v/>
      </c>
      <c r="M104" s="43"/>
    </row>
    <row r="105" ht="18.0" customHeight="1">
      <c r="A105" s="35" t="str">
        <f t="shared" si="2"/>
        <v/>
      </c>
      <c r="B105" s="36"/>
      <c r="C105" s="51"/>
      <c r="D105" s="51"/>
      <c r="E105" s="51"/>
      <c r="F105" s="51"/>
      <c r="G105" s="52"/>
      <c r="H105" s="50"/>
      <c r="I105" s="50"/>
      <c r="J105" s="40" t="str">
        <f t="shared" si="1"/>
        <v/>
      </c>
      <c r="K105" s="49"/>
      <c r="L105" s="42" t="str">
        <f>IFERROR(__xludf.DUMMYFUNCTION("IF($C105="""","""",IFERROR(INDEX(SORT(FILTER({DATA_GOC!$B$4:$B$49999,DATA_GOC!$P$4:$P$49999,DATA_GOC!$J$4:$J$49999},DATA_GOC!$A$4:$A$49999=""BOM"",TRIM(DATA_GOC!$D$4:$D$49999)=TRIM($C105),DATA_GOC!$J$4:$J$49999&lt;&gt;"""",DATA_GOC!$B$4:$B$49999&lt;=$B$3),1,FALSE,"&amp;"2,FALSE),1,3),""Chưa có dữ liệu""))"),"")</f>
        <v/>
      </c>
      <c r="M105" s="43"/>
    </row>
    <row r="106" ht="15.0" customHeight="1">
      <c r="B106" s="5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howErrorMessage="1" sqref="C6:C97">
      <formula1>DANH_MUC!$E$4:$E$63</formula1>
    </dataValidation>
    <dataValidation type="list" allowBlank="1" showErrorMessage="1" sqref="E6:E105">
      <formula1>DANH_MUC!$C$4:$C$5</formula1>
    </dataValidation>
    <dataValidation type="list" allowBlank="1" showErrorMessage="1" sqref="D6:D95">
      <formula1>LIST_TEC_NGUON</formula1>
    </dataValidation>
    <dataValidation type="list" allowBlank="1" showErrorMessage="1" sqref="F6:F105">
      <formula1>DANH_MUC!$B$4:$B$9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7.0"/>
    <col customWidth="1" min="2" max="2" width="19.43"/>
    <col customWidth="1" min="3" max="5" width="22.0"/>
    <col customWidth="1" min="6" max="8" width="13.0"/>
    <col customWidth="1" min="9" max="9" width="22.0"/>
    <col customWidth="1" min="10" max="26" width="8.86"/>
  </cols>
  <sheetData>
    <row r="1" ht="30.0" customHeight="1">
      <c r="A1" s="24" t="s">
        <v>185</v>
      </c>
      <c r="B1" s="2"/>
      <c r="C1" s="2"/>
      <c r="D1" s="2"/>
      <c r="E1" s="2"/>
      <c r="F1" s="2"/>
      <c r="G1" s="2"/>
      <c r="H1" s="2"/>
      <c r="I1" s="3"/>
    </row>
    <row r="2" ht="3.0" customHeight="1">
      <c r="A2" s="25"/>
      <c r="B2" s="2"/>
      <c r="C2" s="2"/>
      <c r="D2" s="2"/>
      <c r="E2" s="2"/>
      <c r="F2" s="2"/>
      <c r="G2" s="2"/>
      <c r="H2" s="2"/>
      <c r="I2" s="3"/>
    </row>
    <row r="3" ht="33.75" customHeight="1">
      <c r="A3" s="54" t="s">
        <v>171</v>
      </c>
      <c r="B3" s="27">
        <v>46209.0</v>
      </c>
      <c r="C3" s="28" t="s">
        <v>172</v>
      </c>
      <c r="D3" s="29" t="s">
        <v>186</v>
      </c>
      <c r="E3" s="30"/>
      <c r="F3" s="30"/>
      <c r="G3" s="30"/>
      <c r="H3" s="30"/>
      <c r="I3" s="30"/>
    </row>
    <row r="4" ht="3.75" customHeight="1">
      <c r="A4" s="32"/>
      <c r="B4" s="32"/>
      <c r="C4" s="33"/>
      <c r="D4" s="33"/>
      <c r="E4" s="33"/>
      <c r="F4" s="33"/>
      <c r="G4" s="33"/>
      <c r="H4" s="32"/>
      <c r="I4" s="33"/>
    </row>
    <row r="5" ht="25.5" customHeight="1">
      <c r="A5" s="34" t="s">
        <v>174</v>
      </c>
      <c r="B5" s="34" t="s">
        <v>187</v>
      </c>
      <c r="C5" s="34" t="s">
        <v>188</v>
      </c>
      <c r="D5" s="34" t="s">
        <v>189</v>
      </c>
      <c r="E5" s="34" t="s">
        <v>179</v>
      </c>
      <c r="F5" s="34" t="s">
        <v>190</v>
      </c>
      <c r="G5" s="34" t="s">
        <v>191</v>
      </c>
      <c r="H5" s="34" t="s">
        <v>192</v>
      </c>
      <c r="I5" s="34" t="s">
        <v>45</v>
      </c>
    </row>
    <row r="6" ht="18.0" customHeight="1">
      <c r="A6" s="35" t="str">
        <f t="shared" ref="A6:A55" si="1">IF(D6="","",ROW()-5)</f>
        <v/>
      </c>
      <c r="B6" s="36"/>
      <c r="C6" s="37"/>
      <c r="D6" s="37"/>
      <c r="E6" s="37"/>
      <c r="F6" s="44"/>
      <c r="G6" s="44"/>
      <c r="H6" s="55" t="str">
        <f t="shared" ref="H6:H55" si="2">IF(OR(F6="",G6=""),"",F6*G6)</f>
        <v/>
      </c>
      <c r="I6" s="41"/>
    </row>
    <row r="7" ht="18.0" customHeight="1">
      <c r="A7" s="35" t="str">
        <f t="shared" si="1"/>
        <v/>
      </c>
      <c r="B7" s="36"/>
      <c r="C7" s="51"/>
      <c r="D7" s="51"/>
      <c r="E7" s="51"/>
      <c r="F7" s="52"/>
      <c r="G7" s="52"/>
      <c r="H7" s="55" t="str">
        <f t="shared" si="2"/>
        <v/>
      </c>
      <c r="I7" s="49"/>
      <c r="L7" s="45"/>
      <c r="Z7" s="47"/>
    </row>
    <row r="8" ht="18.0" customHeight="1">
      <c r="A8" s="35" t="str">
        <f t="shared" si="1"/>
        <v/>
      </c>
      <c r="B8" s="36"/>
      <c r="C8" s="51"/>
      <c r="D8" s="51"/>
      <c r="E8" s="51"/>
      <c r="F8" s="52"/>
      <c r="G8" s="52"/>
      <c r="H8" s="55" t="str">
        <f t="shared" si="2"/>
        <v/>
      </c>
      <c r="I8" s="49"/>
      <c r="L8" s="45"/>
      <c r="Z8" s="47"/>
    </row>
    <row r="9" ht="18.0" customHeight="1">
      <c r="A9" s="35" t="str">
        <f t="shared" si="1"/>
        <v/>
      </c>
      <c r="B9" s="36"/>
      <c r="C9" s="51"/>
      <c r="D9" s="51"/>
      <c r="E9" s="51"/>
      <c r="F9" s="52"/>
      <c r="G9" s="52"/>
      <c r="H9" s="55" t="str">
        <f t="shared" si="2"/>
        <v/>
      </c>
      <c r="I9" s="49"/>
      <c r="L9" s="56"/>
      <c r="Z9" s="57"/>
    </row>
    <row r="10" ht="18.0" customHeight="1">
      <c r="A10" s="35" t="str">
        <f t="shared" si="1"/>
        <v/>
      </c>
      <c r="B10" s="36"/>
      <c r="C10" s="51"/>
      <c r="D10" s="51"/>
      <c r="E10" s="51"/>
      <c r="F10" s="52"/>
      <c r="G10" s="52"/>
      <c r="H10" s="55" t="str">
        <f t="shared" si="2"/>
        <v/>
      </c>
      <c r="I10" s="49"/>
    </row>
    <row r="11" ht="18.0" customHeight="1">
      <c r="A11" s="35" t="str">
        <f t="shared" si="1"/>
        <v/>
      </c>
      <c r="B11" s="36"/>
      <c r="C11" s="51"/>
      <c r="D11" s="51"/>
      <c r="E11" s="51"/>
      <c r="F11" s="52"/>
      <c r="G11" s="52"/>
      <c r="H11" s="55" t="str">
        <f t="shared" si="2"/>
        <v/>
      </c>
      <c r="I11" s="49"/>
    </row>
    <row r="12" ht="18.0" customHeight="1">
      <c r="A12" s="35" t="str">
        <f t="shared" si="1"/>
        <v/>
      </c>
      <c r="B12" s="36"/>
      <c r="C12" s="51"/>
      <c r="D12" s="51"/>
      <c r="E12" s="51"/>
      <c r="F12" s="52"/>
      <c r="G12" s="52"/>
      <c r="H12" s="55" t="str">
        <f t="shared" si="2"/>
        <v/>
      </c>
      <c r="I12" s="49"/>
    </row>
    <row r="13" ht="18.0" customHeight="1">
      <c r="A13" s="35" t="str">
        <f t="shared" si="1"/>
        <v/>
      </c>
      <c r="B13" s="36"/>
      <c r="C13" s="51"/>
      <c r="D13" s="51"/>
      <c r="E13" s="51"/>
      <c r="F13" s="52"/>
      <c r="G13" s="52"/>
      <c r="H13" s="55" t="str">
        <f t="shared" si="2"/>
        <v/>
      </c>
      <c r="I13" s="49"/>
    </row>
    <row r="14" ht="18.0" customHeight="1">
      <c r="A14" s="35" t="str">
        <f t="shared" si="1"/>
        <v/>
      </c>
      <c r="B14" s="36"/>
      <c r="C14" s="51"/>
      <c r="D14" s="51"/>
      <c r="E14" s="51"/>
      <c r="F14" s="52"/>
      <c r="G14" s="52"/>
      <c r="H14" s="55" t="str">
        <f t="shared" si="2"/>
        <v/>
      </c>
      <c r="I14" s="49"/>
    </row>
    <row r="15" ht="18.0" customHeight="1">
      <c r="A15" s="35" t="str">
        <f t="shared" si="1"/>
        <v/>
      </c>
      <c r="B15" s="36"/>
      <c r="C15" s="51"/>
      <c r="D15" s="51"/>
      <c r="E15" s="51"/>
      <c r="F15" s="52"/>
      <c r="G15" s="52"/>
      <c r="H15" s="55" t="str">
        <f t="shared" si="2"/>
        <v/>
      </c>
      <c r="I15" s="49"/>
    </row>
    <row r="16" ht="18.0" customHeight="1">
      <c r="A16" s="35" t="str">
        <f t="shared" si="1"/>
        <v/>
      </c>
      <c r="B16" s="36"/>
      <c r="C16" s="51"/>
      <c r="D16" s="51"/>
      <c r="E16" s="51"/>
      <c r="F16" s="52"/>
      <c r="G16" s="52"/>
      <c r="H16" s="55" t="str">
        <f t="shared" si="2"/>
        <v/>
      </c>
      <c r="I16" s="49"/>
    </row>
    <row r="17" ht="18.0" customHeight="1">
      <c r="A17" s="35" t="str">
        <f t="shared" si="1"/>
        <v/>
      </c>
      <c r="B17" s="36"/>
      <c r="C17" s="51"/>
      <c r="D17" s="51"/>
      <c r="E17" s="51"/>
      <c r="F17" s="52"/>
      <c r="G17" s="52"/>
      <c r="H17" s="55" t="str">
        <f t="shared" si="2"/>
        <v/>
      </c>
      <c r="I17" s="49"/>
    </row>
    <row r="18" ht="18.0" customHeight="1">
      <c r="A18" s="35" t="str">
        <f t="shared" si="1"/>
        <v/>
      </c>
      <c r="B18" s="36"/>
      <c r="C18" s="51"/>
      <c r="D18" s="51"/>
      <c r="E18" s="51"/>
      <c r="F18" s="52"/>
      <c r="G18" s="52"/>
      <c r="H18" s="55" t="str">
        <f t="shared" si="2"/>
        <v/>
      </c>
      <c r="I18" s="49"/>
    </row>
    <row r="19" ht="18.0" customHeight="1">
      <c r="A19" s="35" t="str">
        <f t="shared" si="1"/>
        <v/>
      </c>
      <c r="B19" s="36"/>
      <c r="C19" s="51"/>
      <c r="D19" s="51"/>
      <c r="E19" s="51"/>
      <c r="F19" s="52"/>
      <c r="G19" s="52"/>
      <c r="H19" s="55" t="str">
        <f t="shared" si="2"/>
        <v/>
      </c>
      <c r="I19" s="49"/>
    </row>
    <row r="20" ht="18.0" customHeight="1">
      <c r="A20" s="35" t="str">
        <f t="shared" si="1"/>
        <v/>
      </c>
      <c r="B20" s="36"/>
      <c r="C20" s="51"/>
      <c r="D20" s="51"/>
      <c r="E20" s="51"/>
      <c r="F20" s="52"/>
      <c r="G20" s="52"/>
      <c r="H20" s="55" t="str">
        <f t="shared" si="2"/>
        <v/>
      </c>
      <c r="I20" s="49"/>
    </row>
    <row r="21" ht="18.0" customHeight="1">
      <c r="A21" s="35" t="str">
        <f t="shared" si="1"/>
        <v/>
      </c>
      <c r="B21" s="36"/>
      <c r="C21" s="51"/>
      <c r="D21" s="51"/>
      <c r="E21" s="51"/>
      <c r="F21" s="52"/>
      <c r="G21" s="52"/>
      <c r="H21" s="55" t="str">
        <f t="shared" si="2"/>
        <v/>
      </c>
      <c r="I21" s="49"/>
    </row>
    <row r="22" ht="18.0" customHeight="1">
      <c r="A22" s="35" t="str">
        <f t="shared" si="1"/>
        <v/>
      </c>
      <c r="B22" s="36"/>
      <c r="C22" s="51"/>
      <c r="D22" s="51"/>
      <c r="E22" s="51"/>
      <c r="F22" s="52"/>
      <c r="G22" s="52"/>
      <c r="H22" s="55" t="str">
        <f t="shared" si="2"/>
        <v/>
      </c>
      <c r="I22" s="49"/>
    </row>
    <row r="23" ht="18.0" customHeight="1">
      <c r="A23" s="35" t="str">
        <f t="shared" si="1"/>
        <v/>
      </c>
      <c r="B23" s="36"/>
      <c r="C23" s="51"/>
      <c r="D23" s="51"/>
      <c r="E23" s="51"/>
      <c r="F23" s="52"/>
      <c r="G23" s="52"/>
      <c r="H23" s="55" t="str">
        <f t="shared" si="2"/>
        <v/>
      </c>
      <c r="I23" s="49"/>
    </row>
    <row r="24" ht="18.0" customHeight="1">
      <c r="A24" s="35" t="str">
        <f t="shared" si="1"/>
        <v/>
      </c>
      <c r="B24" s="36"/>
      <c r="C24" s="51"/>
      <c r="D24" s="51"/>
      <c r="E24" s="51"/>
      <c r="F24" s="52"/>
      <c r="G24" s="52"/>
      <c r="H24" s="55" t="str">
        <f t="shared" si="2"/>
        <v/>
      </c>
      <c r="I24" s="49"/>
    </row>
    <row r="25" ht="18.0" customHeight="1">
      <c r="A25" s="35" t="str">
        <f t="shared" si="1"/>
        <v/>
      </c>
      <c r="B25" s="36"/>
      <c r="C25" s="51"/>
      <c r="D25" s="51"/>
      <c r="E25" s="51"/>
      <c r="F25" s="52"/>
      <c r="G25" s="52"/>
      <c r="H25" s="55" t="str">
        <f t="shared" si="2"/>
        <v/>
      </c>
      <c r="I25" s="49"/>
    </row>
    <row r="26" ht="18.0" customHeight="1">
      <c r="A26" s="35" t="str">
        <f t="shared" si="1"/>
        <v/>
      </c>
      <c r="B26" s="36"/>
      <c r="C26" s="51"/>
      <c r="D26" s="51"/>
      <c r="E26" s="51"/>
      <c r="F26" s="52"/>
      <c r="G26" s="52"/>
      <c r="H26" s="55" t="str">
        <f t="shared" si="2"/>
        <v/>
      </c>
      <c r="I26" s="49"/>
    </row>
    <row r="27" ht="18.0" customHeight="1">
      <c r="A27" s="35" t="str">
        <f t="shared" si="1"/>
        <v/>
      </c>
      <c r="B27" s="36"/>
      <c r="C27" s="51"/>
      <c r="D27" s="51"/>
      <c r="E27" s="51"/>
      <c r="F27" s="52"/>
      <c r="G27" s="52"/>
      <c r="H27" s="55" t="str">
        <f t="shared" si="2"/>
        <v/>
      </c>
      <c r="I27" s="49"/>
    </row>
    <row r="28" ht="18.0" customHeight="1">
      <c r="A28" s="35" t="str">
        <f t="shared" si="1"/>
        <v/>
      </c>
      <c r="B28" s="36"/>
      <c r="C28" s="51"/>
      <c r="D28" s="51"/>
      <c r="E28" s="51"/>
      <c r="F28" s="52"/>
      <c r="G28" s="52"/>
      <c r="H28" s="55" t="str">
        <f t="shared" si="2"/>
        <v/>
      </c>
      <c r="I28" s="49"/>
    </row>
    <row r="29" ht="18.0" customHeight="1">
      <c r="A29" s="35" t="str">
        <f t="shared" si="1"/>
        <v/>
      </c>
      <c r="B29" s="36"/>
      <c r="C29" s="51"/>
      <c r="D29" s="51"/>
      <c r="E29" s="51"/>
      <c r="F29" s="52"/>
      <c r="G29" s="52"/>
      <c r="H29" s="55" t="str">
        <f t="shared" si="2"/>
        <v/>
      </c>
      <c r="I29" s="49"/>
    </row>
    <row r="30" ht="18.0" customHeight="1">
      <c r="A30" s="35" t="str">
        <f t="shared" si="1"/>
        <v/>
      </c>
      <c r="B30" s="36"/>
      <c r="C30" s="51"/>
      <c r="D30" s="51"/>
      <c r="E30" s="51"/>
      <c r="F30" s="52"/>
      <c r="G30" s="52"/>
      <c r="H30" s="55" t="str">
        <f t="shared" si="2"/>
        <v/>
      </c>
      <c r="I30" s="49"/>
    </row>
    <row r="31" ht="18.0" customHeight="1">
      <c r="A31" s="35" t="str">
        <f t="shared" si="1"/>
        <v/>
      </c>
      <c r="B31" s="36"/>
      <c r="C31" s="51"/>
      <c r="D31" s="51"/>
      <c r="E31" s="51"/>
      <c r="F31" s="52"/>
      <c r="G31" s="52"/>
      <c r="H31" s="55" t="str">
        <f t="shared" si="2"/>
        <v/>
      </c>
      <c r="I31" s="49"/>
    </row>
    <row r="32" ht="18.0" customHeight="1">
      <c r="A32" s="35" t="str">
        <f t="shared" si="1"/>
        <v/>
      </c>
      <c r="B32" s="36"/>
      <c r="C32" s="51"/>
      <c r="D32" s="51"/>
      <c r="E32" s="51"/>
      <c r="F32" s="52"/>
      <c r="G32" s="52"/>
      <c r="H32" s="55" t="str">
        <f t="shared" si="2"/>
        <v/>
      </c>
      <c r="I32" s="49"/>
    </row>
    <row r="33" ht="18.0" customHeight="1">
      <c r="A33" s="35" t="str">
        <f t="shared" si="1"/>
        <v/>
      </c>
      <c r="B33" s="36"/>
      <c r="C33" s="51"/>
      <c r="D33" s="51"/>
      <c r="E33" s="51"/>
      <c r="F33" s="52"/>
      <c r="G33" s="52"/>
      <c r="H33" s="55" t="str">
        <f t="shared" si="2"/>
        <v/>
      </c>
      <c r="I33" s="49"/>
    </row>
    <row r="34" ht="18.0" customHeight="1">
      <c r="A34" s="35" t="str">
        <f t="shared" si="1"/>
        <v/>
      </c>
      <c r="B34" s="36"/>
      <c r="C34" s="51"/>
      <c r="D34" s="51"/>
      <c r="E34" s="51"/>
      <c r="F34" s="52"/>
      <c r="G34" s="52"/>
      <c r="H34" s="55" t="str">
        <f t="shared" si="2"/>
        <v/>
      </c>
      <c r="I34" s="49"/>
    </row>
    <row r="35" ht="18.0" customHeight="1">
      <c r="A35" s="35" t="str">
        <f t="shared" si="1"/>
        <v/>
      </c>
      <c r="B35" s="36"/>
      <c r="C35" s="51"/>
      <c r="D35" s="51"/>
      <c r="E35" s="51"/>
      <c r="F35" s="52"/>
      <c r="G35" s="52"/>
      <c r="H35" s="55" t="str">
        <f t="shared" si="2"/>
        <v/>
      </c>
      <c r="I35" s="49"/>
    </row>
    <row r="36" ht="18.0" customHeight="1">
      <c r="A36" s="35" t="str">
        <f t="shared" si="1"/>
        <v/>
      </c>
      <c r="B36" s="36"/>
      <c r="C36" s="51"/>
      <c r="D36" s="51"/>
      <c r="E36" s="51"/>
      <c r="F36" s="52"/>
      <c r="G36" s="52"/>
      <c r="H36" s="55" t="str">
        <f t="shared" si="2"/>
        <v/>
      </c>
      <c r="I36" s="49"/>
    </row>
    <row r="37" ht="18.0" customHeight="1">
      <c r="A37" s="35" t="str">
        <f t="shared" si="1"/>
        <v/>
      </c>
      <c r="B37" s="36"/>
      <c r="C37" s="51"/>
      <c r="D37" s="51"/>
      <c r="E37" s="51"/>
      <c r="F37" s="52"/>
      <c r="G37" s="52"/>
      <c r="H37" s="55" t="str">
        <f t="shared" si="2"/>
        <v/>
      </c>
      <c r="I37" s="49"/>
    </row>
    <row r="38" ht="18.0" customHeight="1">
      <c r="A38" s="35" t="str">
        <f t="shared" si="1"/>
        <v/>
      </c>
      <c r="B38" s="36"/>
      <c r="C38" s="51"/>
      <c r="D38" s="51"/>
      <c r="E38" s="51"/>
      <c r="F38" s="52"/>
      <c r="G38" s="52"/>
      <c r="H38" s="55" t="str">
        <f t="shared" si="2"/>
        <v/>
      </c>
      <c r="I38" s="49"/>
    </row>
    <row r="39" ht="18.0" customHeight="1">
      <c r="A39" s="35" t="str">
        <f t="shared" si="1"/>
        <v/>
      </c>
      <c r="B39" s="36"/>
      <c r="C39" s="51"/>
      <c r="D39" s="51"/>
      <c r="E39" s="51"/>
      <c r="F39" s="52"/>
      <c r="G39" s="52"/>
      <c r="H39" s="55" t="str">
        <f t="shared" si="2"/>
        <v/>
      </c>
      <c r="I39" s="49"/>
    </row>
    <row r="40" ht="18.0" customHeight="1">
      <c r="A40" s="35" t="str">
        <f t="shared" si="1"/>
        <v/>
      </c>
      <c r="B40" s="36"/>
      <c r="C40" s="51"/>
      <c r="D40" s="51"/>
      <c r="E40" s="51"/>
      <c r="F40" s="52"/>
      <c r="G40" s="52"/>
      <c r="H40" s="55" t="str">
        <f t="shared" si="2"/>
        <v/>
      </c>
      <c r="I40" s="49"/>
    </row>
    <row r="41" ht="18.0" customHeight="1">
      <c r="A41" s="35" t="str">
        <f t="shared" si="1"/>
        <v/>
      </c>
      <c r="B41" s="36"/>
      <c r="C41" s="51"/>
      <c r="D41" s="51"/>
      <c r="E41" s="51"/>
      <c r="F41" s="52"/>
      <c r="G41" s="52"/>
      <c r="H41" s="55" t="str">
        <f t="shared" si="2"/>
        <v/>
      </c>
      <c r="I41" s="49"/>
    </row>
    <row r="42" ht="18.0" customHeight="1">
      <c r="A42" s="35" t="str">
        <f t="shared" si="1"/>
        <v/>
      </c>
      <c r="B42" s="36"/>
      <c r="C42" s="51"/>
      <c r="D42" s="51"/>
      <c r="E42" s="51"/>
      <c r="F42" s="52"/>
      <c r="G42" s="52"/>
      <c r="H42" s="55" t="str">
        <f t="shared" si="2"/>
        <v/>
      </c>
      <c r="I42" s="49"/>
    </row>
    <row r="43" ht="18.0" customHeight="1">
      <c r="A43" s="35" t="str">
        <f t="shared" si="1"/>
        <v/>
      </c>
      <c r="B43" s="36"/>
      <c r="C43" s="51"/>
      <c r="D43" s="51"/>
      <c r="E43" s="51"/>
      <c r="F43" s="52"/>
      <c r="G43" s="52"/>
      <c r="H43" s="55" t="str">
        <f t="shared" si="2"/>
        <v/>
      </c>
      <c r="I43" s="49"/>
    </row>
    <row r="44" ht="18.0" customHeight="1">
      <c r="A44" s="35" t="str">
        <f t="shared" si="1"/>
        <v/>
      </c>
      <c r="B44" s="36"/>
      <c r="C44" s="51"/>
      <c r="D44" s="51"/>
      <c r="E44" s="51"/>
      <c r="F44" s="52"/>
      <c r="G44" s="52"/>
      <c r="H44" s="55" t="str">
        <f t="shared" si="2"/>
        <v/>
      </c>
      <c r="I44" s="49"/>
    </row>
    <row r="45" ht="18.0" customHeight="1">
      <c r="A45" s="35" t="str">
        <f t="shared" si="1"/>
        <v/>
      </c>
      <c r="B45" s="36"/>
      <c r="C45" s="51"/>
      <c r="D45" s="51"/>
      <c r="E45" s="51"/>
      <c r="F45" s="52"/>
      <c r="G45" s="52"/>
      <c r="H45" s="55" t="str">
        <f t="shared" si="2"/>
        <v/>
      </c>
      <c r="I45" s="49"/>
    </row>
    <row r="46" ht="18.0" customHeight="1">
      <c r="A46" s="35" t="str">
        <f t="shared" si="1"/>
        <v/>
      </c>
      <c r="B46" s="36"/>
      <c r="C46" s="51"/>
      <c r="D46" s="51"/>
      <c r="E46" s="51"/>
      <c r="F46" s="52"/>
      <c r="G46" s="52"/>
      <c r="H46" s="55" t="str">
        <f t="shared" si="2"/>
        <v/>
      </c>
      <c r="I46" s="49"/>
    </row>
    <row r="47" ht="18.0" customHeight="1">
      <c r="A47" s="35" t="str">
        <f t="shared" si="1"/>
        <v/>
      </c>
      <c r="B47" s="36"/>
      <c r="C47" s="51"/>
      <c r="D47" s="51"/>
      <c r="E47" s="51"/>
      <c r="F47" s="52"/>
      <c r="G47" s="52"/>
      <c r="H47" s="55" t="str">
        <f t="shared" si="2"/>
        <v/>
      </c>
      <c r="I47" s="49"/>
    </row>
    <row r="48" ht="18.0" customHeight="1">
      <c r="A48" s="35" t="str">
        <f t="shared" si="1"/>
        <v/>
      </c>
      <c r="B48" s="36"/>
      <c r="C48" s="51"/>
      <c r="D48" s="51"/>
      <c r="E48" s="51"/>
      <c r="F48" s="52"/>
      <c r="G48" s="52"/>
      <c r="H48" s="55" t="str">
        <f t="shared" si="2"/>
        <v/>
      </c>
      <c r="I48" s="49"/>
    </row>
    <row r="49" ht="18.0" customHeight="1">
      <c r="A49" s="35" t="str">
        <f t="shared" si="1"/>
        <v/>
      </c>
      <c r="B49" s="36"/>
      <c r="C49" s="51"/>
      <c r="D49" s="51"/>
      <c r="E49" s="51"/>
      <c r="F49" s="52"/>
      <c r="G49" s="52"/>
      <c r="H49" s="55" t="str">
        <f t="shared" si="2"/>
        <v/>
      </c>
      <c r="I49" s="49"/>
    </row>
    <row r="50" ht="18.0" customHeight="1">
      <c r="A50" s="35" t="str">
        <f t="shared" si="1"/>
        <v/>
      </c>
      <c r="B50" s="36"/>
      <c r="C50" s="51"/>
      <c r="D50" s="51"/>
      <c r="E50" s="51"/>
      <c r="F50" s="52"/>
      <c r="G50" s="52"/>
      <c r="H50" s="55" t="str">
        <f t="shared" si="2"/>
        <v/>
      </c>
      <c r="I50" s="49"/>
    </row>
    <row r="51" ht="18.0" customHeight="1">
      <c r="A51" s="35" t="str">
        <f t="shared" si="1"/>
        <v/>
      </c>
      <c r="B51" s="36"/>
      <c r="C51" s="51"/>
      <c r="D51" s="51"/>
      <c r="E51" s="51"/>
      <c r="F51" s="52"/>
      <c r="G51" s="52"/>
      <c r="H51" s="55" t="str">
        <f t="shared" si="2"/>
        <v/>
      </c>
      <c r="I51" s="49"/>
    </row>
    <row r="52" ht="18.0" customHeight="1">
      <c r="A52" s="35" t="str">
        <f t="shared" si="1"/>
        <v/>
      </c>
      <c r="B52" s="36"/>
      <c r="C52" s="51"/>
      <c r="D52" s="51"/>
      <c r="E52" s="51"/>
      <c r="F52" s="52"/>
      <c r="G52" s="52"/>
      <c r="H52" s="55" t="str">
        <f t="shared" si="2"/>
        <v/>
      </c>
      <c r="I52" s="49"/>
    </row>
    <row r="53" ht="18.0" customHeight="1">
      <c r="A53" s="35" t="str">
        <f t="shared" si="1"/>
        <v/>
      </c>
      <c r="B53" s="36"/>
      <c r="C53" s="51"/>
      <c r="D53" s="51"/>
      <c r="E53" s="51"/>
      <c r="F53" s="52"/>
      <c r="G53" s="52"/>
      <c r="H53" s="55" t="str">
        <f t="shared" si="2"/>
        <v/>
      </c>
      <c r="I53" s="49"/>
    </row>
    <row r="54" ht="18.0" customHeight="1">
      <c r="A54" s="35" t="str">
        <f t="shared" si="1"/>
        <v/>
      </c>
      <c r="B54" s="36"/>
      <c r="C54" s="51"/>
      <c r="D54" s="51"/>
      <c r="E54" s="51"/>
      <c r="F54" s="52"/>
      <c r="G54" s="52"/>
      <c r="H54" s="55" t="str">
        <f t="shared" si="2"/>
        <v/>
      </c>
      <c r="I54" s="49"/>
    </row>
    <row r="55" ht="18.0" customHeight="1">
      <c r="A55" s="35" t="str">
        <f t="shared" si="1"/>
        <v/>
      </c>
      <c r="B55" s="36"/>
      <c r="C55" s="51"/>
      <c r="D55" s="51"/>
      <c r="E55" s="51"/>
      <c r="F55" s="52"/>
      <c r="G55" s="52"/>
      <c r="H55" s="55" t="str">
        <f t="shared" si="2"/>
        <v/>
      </c>
      <c r="I55" s="49"/>
    </row>
    <row r="56" ht="15.0" customHeight="1">
      <c r="B56" s="53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howErrorMessage="1" sqref="C6:C8">
      <formula1>DANH_MUC!$D$4:$D$13</formula1>
    </dataValidation>
    <dataValidation type="list" allowBlank="1" showErrorMessage="1" sqref="D6:D8">
      <formula1>LIST_TEC_NGUON</formula1>
    </dataValidation>
    <dataValidation type="list" allowBlank="1" showErrorMessage="1" sqref="E6:E8">
      <formula1>DANH_MUC!$B$4:$B$9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13.0"/>
    <col customWidth="1" min="4" max="6" width="12.0"/>
    <col customWidth="1" hidden="1" min="7" max="7" width="12.0"/>
    <col customWidth="1" min="8" max="33" width="12.0"/>
    <col customWidth="1" hidden="1" min="34" max="38" width="12.0"/>
    <col customWidth="1" hidden="1" min="39" max="39" width="13.0"/>
  </cols>
  <sheetData>
    <row r="1" ht="30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8"/>
      <c r="AM1" s="59" t="s">
        <v>194</v>
      </c>
    </row>
    <row r="2" ht="3.0" customHeight="1">
      <c r="A2" s="2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AM2" s="59">
        <f>MIN(60,COUNTA(DANH_MUC!$E$4:$E$997))</f>
        <v>60</v>
      </c>
    </row>
    <row r="3" ht="15.75" customHeight="1">
      <c r="A3" s="60" t="s">
        <v>195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61"/>
      <c r="Q3" s="62" t="s">
        <v>196</v>
      </c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59" t="s">
        <v>197</v>
      </c>
    </row>
    <row r="4" ht="3.75" customHeight="1">
      <c r="A4" s="6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61"/>
      <c r="Q4" s="64" t="s">
        <v>198</v>
      </c>
    </row>
    <row r="5" ht="36.0" customHeight="1">
      <c r="A5" s="65" t="s">
        <v>199</v>
      </c>
      <c r="B5" s="65" t="s">
        <v>200</v>
      </c>
      <c r="C5" s="65" t="s">
        <v>201</v>
      </c>
      <c r="D5" s="65" t="s">
        <v>202</v>
      </c>
      <c r="E5" s="65" t="s">
        <v>203</v>
      </c>
      <c r="F5" s="66" t="s">
        <v>204</v>
      </c>
      <c r="G5" s="66" t="s">
        <v>205</v>
      </c>
      <c r="H5" s="65" t="s">
        <v>206</v>
      </c>
      <c r="I5" s="65" t="s">
        <v>207</v>
      </c>
      <c r="J5" s="65" t="s">
        <v>208</v>
      </c>
      <c r="K5" s="65" t="s">
        <v>209</v>
      </c>
      <c r="L5" s="65" t="s">
        <v>210</v>
      </c>
      <c r="M5" s="65" t="s">
        <v>211</v>
      </c>
      <c r="N5" s="65" t="s">
        <v>212</v>
      </c>
      <c r="O5" s="65" t="s">
        <v>45</v>
      </c>
      <c r="P5" s="61"/>
      <c r="Q5" s="67" t="s">
        <v>213</v>
      </c>
      <c r="R5" s="68">
        <v>1.0</v>
      </c>
      <c r="S5" s="67" t="s">
        <v>200</v>
      </c>
      <c r="T5" s="68" t="str">
        <f t="array" ref="T5">IFERROR(INDEX($B$6:$B$155,MATCH($R$5,$A$6:$A$155,0)),"")</f>
        <v>Đã chốt</v>
      </c>
      <c r="U5" s="67" t="s">
        <v>201</v>
      </c>
      <c r="V5" s="68" t="str">
        <f t="array" ref="V5">IFERROR(INDEX($C$6:$C$155,MATCH($R$5,$A$6:$A$155,0)),"")</f>
        <v>Téc 1</v>
      </c>
      <c r="W5" s="67" t="s">
        <v>214</v>
      </c>
      <c r="X5" s="69">
        <f t="array" ref="X5">IFERROR(INDEX($D$6:$D$155,MATCH($R$5,$A$6:$A$155,0)),"")</f>
        <v>46132</v>
      </c>
      <c r="Y5" s="67" t="s">
        <v>215</v>
      </c>
      <c r="Z5" s="69">
        <f t="array" ref="Z5">IFERROR(INDEX($E$6:$E$155,MATCH($R$5,$A$6:$A$155,0)),"")</f>
        <v>46153</v>
      </c>
      <c r="AA5" s="67" t="s">
        <v>216</v>
      </c>
      <c r="AB5" s="70">
        <f>IF(OR($X$5="",$Z$5=""),"",$Z$5-$X$5+1)</f>
        <v>22</v>
      </c>
      <c r="AC5" s="71"/>
      <c r="AD5" s="72"/>
      <c r="AE5" s="2"/>
      <c r="AF5" s="2"/>
      <c r="AG5" s="2"/>
      <c r="AH5" s="2"/>
      <c r="AI5" s="2"/>
      <c r="AJ5" s="2"/>
      <c r="AK5" s="2"/>
      <c r="AL5" s="3"/>
    </row>
    <row r="6" ht="18.0" customHeight="1">
      <c r="A6" s="35">
        <v>1.0</v>
      </c>
      <c r="B6" s="51" t="s">
        <v>217</v>
      </c>
      <c r="C6" s="51" t="s">
        <v>78</v>
      </c>
      <c r="D6" s="73">
        <v>46132.0</v>
      </c>
      <c r="E6" s="73">
        <v>46153.0</v>
      </c>
      <c r="F6" s="74"/>
      <c r="G6" s="75"/>
      <c r="H6" s="55">
        <f>IF(OR($C6="",$D6="",$E6=""),"",SUMIFS(DATA_GOC!$H:$H,DATA_GOC!$A:$A,"NHAP",DATA_GOC!$E:$E,$C6,DATA_GOC!$B:$B,"&gt;="&amp;$D6,DATA_GOC!$B:$B,"&lt;="&amp;$E6))</f>
        <v>14160</v>
      </c>
      <c r="I6" s="55">
        <f>IF(OR($C6="",$D6="",$E6=""),"",SUMIFS(DATA_GOC!$H:$H,DATA_GOC!$A:$A,"BOM",DATA_GOC!$E:$E,$C6,DATA_GOC!$F:$F,"Xuất nội bộ từ téc",DATA_GOC!$B:$B,"&gt;="&amp;$D6,DATA_GOC!$B:$B,"&lt;="&amp;$E6))</f>
        <v>13789</v>
      </c>
      <c r="J6" s="55">
        <f t="shared" ref="J6:J155" si="1">IF($I6="","",N($F6)+N($H6)-N($I6))</f>
        <v>371</v>
      </c>
      <c r="K6" s="55">
        <f t="shared" ref="K6:K155" si="2">IF($J6="","",MAX(0,N($J6)-N($G6)))</f>
        <v>371</v>
      </c>
      <c r="L6" s="55">
        <f t="shared" ref="L6:L155" si="3">IF($J6="","",MAX(0,N($G6)-N($J6)))</f>
        <v>0</v>
      </c>
      <c r="M6" s="76">
        <f t="shared" ref="M6:M155" si="4">IF($E6="","",MONTH($E6))</f>
        <v>5</v>
      </c>
      <c r="N6" s="76">
        <f t="shared" ref="N6:N155" si="5">IF($E6="","",YEAR($E6))</f>
        <v>2026</v>
      </c>
      <c r="O6" s="77"/>
      <c r="P6" s="61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</row>
    <row r="7" ht="18.0" customHeight="1">
      <c r="A7" s="35">
        <v>2.0</v>
      </c>
      <c r="B7" s="51" t="s">
        <v>217</v>
      </c>
      <c r="C7" s="51" t="s">
        <v>78</v>
      </c>
      <c r="D7" s="73">
        <v>46082.0</v>
      </c>
      <c r="E7" s="73">
        <v>46121.0</v>
      </c>
      <c r="F7" s="74"/>
      <c r="G7" s="75"/>
      <c r="H7" s="55">
        <f>IF(OR($C7="",$D7="",$E7=""),"",SUMIFS(DATA_GOC!$H:$H,DATA_GOC!$A:$A,"NHAP",DATA_GOC!$E:$E,$C7,DATA_GOC!$B:$B,"&gt;="&amp;$D7,DATA_GOC!$B:$B,"&lt;="&amp;$E7))</f>
        <v>8745</v>
      </c>
      <c r="I7" s="55">
        <f>IF(OR($C7="",$D7="",$E7=""),"",SUMIFS(DATA_GOC!$H:$H,DATA_GOC!$A:$A,"BOM",DATA_GOC!$E:$E,$C7,DATA_GOC!$F:$F,"Xuất nội bộ từ téc",DATA_GOC!$B:$B,"&gt;="&amp;$D7,DATA_GOC!$B:$B,"&lt;="&amp;$E7))</f>
        <v>8680</v>
      </c>
      <c r="J7" s="55">
        <f t="shared" si="1"/>
        <v>65</v>
      </c>
      <c r="K7" s="55">
        <f t="shared" si="2"/>
        <v>65</v>
      </c>
      <c r="L7" s="55">
        <f t="shared" si="3"/>
        <v>0</v>
      </c>
      <c r="M7" s="76">
        <f t="shared" si="4"/>
        <v>4</v>
      </c>
      <c r="N7" s="76">
        <f t="shared" si="5"/>
        <v>2026</v>
      </c>
      <c r="O7" s="77"/>
      <c r="P7" s="61"/>
      <c r="Q7" s="79" t="s">
        <v>218</v>
      </c>
      <c r="R7" s="80"/>
      <c r="S7" s="81"/>
      <c r="T7" s="79" t="s">
        <v>219</v>
      </c>
      <c r="U7" s="80"/>
      <c r="V7" s="81"/>
      <c r="W7" s="79" t="s">
        <v>220</v>
      </c>
      <c r="X7" s="80"/>
      <c r="Y7" s="81"/>
      <c r="Z7" s="79" t="s">
        <v>221</v>
      </c>
      <c r="AA7" s="80"/>
      <c r="AB7" s="81"/>
      <c r="AC7" s="79" t="s">
        <v>222</v>
      </c>
      <c r="AD7" s="80"/>
      <c r="AE7" s="81"/>
      <c r="AF7" s="79" t="s">
        <v>223</v>
      </c>
      <c r="AG7" s="80"/>
      <c r="AH7" s="81"/>
      <c r="AI7" s="79" t="s">
        <v>224</v>
      </c>
      <c r="AJ7" s="80"/>
      <c r="AK7" s="80"/>
      <c r="AL7" s="81"/>
    </row>
    <row r="8" ht="18.0" customHeight="1">
      <c r="A8" s="35">
        <v>3.0</v>
      </c>
      <c r="B8" s="51" t="s">
        <v>217</v>
      </c>
      <c r="C8" s="51" t="s">
        <v>78</v>
      </c>
      <c r="D8" s="73">
        <v>46056.0</v>
      </c>
      <c r="E8" s="73">
        <v>46079.0</v>
      </c>
      <c r="F8" s="74"/>
      <c r="G8" s="75"/>
      <c r="H8" s="55">
        <f>IF(OR($C8="",$D8="",$E8=""),"",SUMIFS(DATA_GOC!$H:$H,DATA_GOC!$A:$A,"NHAP",DATA_GOC!$E:$E,$C8,DATA_GOC!$B:$B,"&gt;="&amp;$D8,DATA_GOC!$B:$B,"&lt;="&amp;$E8))</f>
        <v>11173</v>
      </c>
      <c r="I8" s="55">
        <f>IF(OR($C8="",$D8="",$E8=""),"",SUMIFS(DATA_GOC!$H:$H,DATA_GOC!$A:$A,"BOM",DATA_GOC!$E:$E,$C8,DATA_GOC!$F:$F,"Xuất nội bộ từ téc",DATA_GOC!$B:$B,"&gt;="&amp;$D8,DATA_GOC!$B:$B,"&lt;="&amp;$E8))</f>
        <v>10823</v>
      </c>
      <c r="J8" s="55">
        <f t="shared" si="1"/>
        <v>350</v>
      </c>
      <c r="K8" s="55">
        <f t="shared" si="2"/>
        <v>350</v>
      </c>
      <c r="L8" s="55">
        <f t="shared" si="3"/>
        <v>0</v>
      </c>
      <c r="M8" s="76">
        <f t="shared" si="4"/>
        <v>2</v>
      </c>
      <c r="N8" s="76">
        <f t="shared" si="5"/>
        <v>2026</v>
      </c>
      <c r="O8" s="77"/>
      <c r="P8" s="61"/>
      <c r="Q8" s="82" t="str">
        <f t="array" ref="Q8">IFERROR(INDEX($F$6:$F$155,MATCH($R$5,$A$6:$A$155,0)),"")</f>
        <v/>
      </c>
      <c r="R8" s="80"/>
      <c r="S8" s="81"/>
      <c r="T8" s="82">
        <f t="array" ref="T8">IFERROR(INDEX($H$6:$H$155,MATCH($R$5,$A$6:$A$155,0)),"")</f>
        <v>14160</v>
      </c>
      <c r="U8" s="80"/>
      <c r="V8" s="81"/>
      <c r="W8" s="82">
        <f t="array" ref="W8">IFERROR(INDEX($I$6:$I$155,MATCH($R$5,$A$6:$A$155,0)),"")</f>
        <v>13789</v>
      </c>
      <c r="X8" s="80"/>
      <c r="Y8" s="81"/>
      <c r="Z8" s="82">
        <f t="array" ref="Z8">IFERROR(INDEX($J$6:$J$155,MATCH($R$5,$A$6:$A$155,0)),"")</f>
        <v>371</v>
      </c>
      <c r="AA8" s="80"/>
      <c r="AB8" s="81"/>
      <c r="AC8" s="82" t="str">
        <f t="array" ref="AC8">IFERROR(INDEX($G$6:$G$155,MATCH($R$5,$A$6:$A$155,0)),"")</f>
        <v/>
      </c>
      <c r="AD8" s="80"/>
      <c r="AE8" s="81"/>
      <c r="AF8" s="82">
        <f t="array" ref="AF8">IFERROR(INDEX($K$6:$K$155,MATCH($R$5,$A$6:$A$155,0)),"")</f>
        <v>371</v>
      </c>
      <c r="AG8" s="80"/>
      <c r="AH8" s="81"/>
      <c r="AI8" s="82">
        <f t="array" ref="AI8">IFERROR(INDEX($L$6:$L$155,MATCH($R$5,$A$6:$A$155,0)),"")</f>
        <v>0</v>
      </c>
      <c r="AJ8" s="80"/>
      <c r="AK8" s="80"/>
      <c r="AL8" s="81"/>
    </row>
    <row r="9" ht="18.0" customHeight="1">
      <c r="A9" s="35">
        <v>4.0</v>
      </c>
      <c r="B9" s="51" t="s">
        <v>217</v>
      </c>
      <c r="C9" s="51" t="s">
        <v>141</v>
      </c>
      <c r="D9" s="73">
        <v>46023.0</v>
      </c>
      <c r="E9" s="73">
        <v>46035.0</v>
      </c>
      <c r="F9" s="74">
        <v>104.0</v>
      </c>
      <c r="G9" s="75"/>
      <c r="H9" s="55">
        <f>IF(OR($C9="",$D9="",$E9=""),"",SUMIFS(DATA_GOC!$H:$H,DATA_GOC!$A:$A,"NHAP",DATA_GOC!$E:$E,$C9,DATA_GOC!$B:$B,"&gt;="&amp;$D9,DATA_GOC!$B:$B,"&lt;="&amp;$E9))</f>
        <v>21270</v>
      </c>
      <c r="I9" s="55">
        <f>IF(OR($C9="",$D9="",$E9=""),"",SUMIFS(DATA_GOC!$H:$H,DATA_GOC!$A:$A,"BOM",DATA_GOC!$E:$E,$C9,DATA_GOC!$F:$F,"Xuất nội bộ từ téc",DATA_GOC!$B:$B,"&gt;="&amp;$D9,DATA_GOC!$B:$B,"&lt;="&amp;$E9))</f>
        <v>20617</v>
      </c>
      <c r="J9" s="55">
        <f t="shared" si="1"/>
        <v>757</v>
      </c>
      <c r="K9" s="55">
        <f t="shared" si="2"/>
        <v>757</v>
      </c>
      <c r="L9" s="55">
        <f t="shared" si="3"/>
        <v>0</v>
      </c>
      <c r="M9" s="76">
        <f t="shared" si="4"/>
        <v>1</v>
      </c>
      <c r="N9" s="76">
        <f t="shared" si="5"/>
        <v>2026</v>
      </c>
      <c r="O9" s="77"/>
      <c r="P9" s="61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</row>
    <row r="10" ht="27.0" customHeight="1">
      <c r="A10" s="35">
        <v>5.0</v>
      </c>
      <c r="B10" s="51" t="s">
        <v>217</v>
      </c>
      <c r="C10" s="51" t="s">
        <v>141</v>
      </c>
      <c r="D10" s="73">
        <v>46046.0</v>
      </c>
      <c r="E10" s="73">
        <v>46057.0</v>
      </c>
      <c r="F10" s="74"/>
      <c r="G10" s="75"/>
      <c r="H10" s="55">
        <f>IF(OR($C10="",$D10="",$E10=""),"",SUMIFS(DATA_GOC!$H:$H,DATA_GOC!$A:$A,"NHAP",DATA_GOC!$E:$E,$C10,DATA_GOC!$B:$B,"&gt;="&amp;$D10,DATA_GOC!$B:$B,"&lt;="&amp;$E10))</f>
        <v>22930</v>
      </c>
      <c r="I10" s="55">
        <f>IF(OR($C10="",$D10="",$E10=""),"",SUMIFS(DATA_GOC!$H:$H,DATA_GOC!$A:$A,"BOM",DATA_GOC!$E:$E,$C10,DATA_GOC!$F:$F,"Xuất nội bộ từ téc",DATA_GOC!$B:$B,"&gt;="&amp;$D10,DATA_GOC!$B:$B,"&lt;="&amp;$E10))</f>
        <v>22574</v>
      </c>
      <c r="J10" s="55">
        <f t="shared" si="1"/>
        <v>356</v>
      </c>
      <c r="K10" s="55">
        <f t="shared" si="2"/>
        <v>356</v>
      </c>
      <c r="L10" s="55">
        <f t="shared" si="3"/>
        <v>0</v>
      </c>
      <c r="M10" s="76">
        <f t="shared" si="4"/>
        <v>2</v>
      </c>
      <c r="N10" s="76">
        <f t="shared" si="5"/>
        <v>2026</v>
      </c>
      <c r="O10" s="77"/>
      <c r="P10" s="61"/>
      <c r="Q10" s="83" t="s">
        <v>174</v>
      </c>
      <c r="R10" s="83" t="s">
        <v>225</v>
      </c>
      <c r="S10" s="83" t="s">
        <v>226</v>
      </c>
      <c r="T10" s="83" t="s">
        <v>227</v>
      </c>
      <c r="U10" s="83" t="s">
        <v>228</v>
      </c>
      <c r="V10" s="83" t="s">
        <v>229</v>
      </c>
      <c r="W10" s="83" t="s">
        <v>230</v>
      </c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</row>
    <row r="11" ht="18.0" customHeight="1">
      <c r="A11" s="35">
        <v>6.0</v>
      </c>
      <c r="B11" s="51" t="s">
        <v>217</v>
      </c>
      <c r="C11" s="51" t="s">
        <v>141</v>
      </c>
      <c r="D11" s="73">
        <v>46058.0</v>
      </c>
      <c r="E11" s="73">
        <v>46079.0</v>
      </c>
      <c r="F11" s="74"/>
      <c r="G11" s="75"/>
      <c r="H11" s="55">
        <f>IF(OR($C11="",$D11="",$E11=""),"",SUMIFS(DATA_GOC!$H:$H,DATA_GOC!$A:$A,"NHAP",DATA_GOC!$E:$E,$C11,DATA_GOC!$B:$B,"&gt;="&amp;$D11,DATA_GOC!$B:$B,"&lt;="&amp;$E11))</f>
        <v>8745</v>
      </c>
      <c r="I11" s="55">
        <f>IF(OR($C11="",$D11="",$E11=""),"",SUMIFS(DATA_GOC!$H:$H,DATA_GOC!$A:$A,"BOM",DATA_GOC!$E:$E,$C11,DATA_GOC!$F:$F,"Xuất nội bộ từ téc",DATA_GOC!$B:$B,"&gt;="&amp;$D11,DATA_GOC!$B:$B,"&lt;="&amp;$E11))</f>
        <v>8473</v>
      </c>
      <c r="J11" s="55">
        <f t="shared" si="1"/>
        <v>272</v>
      </c>
      <c r="K11" s="55">
        <f t="shared" si="2"/>
        <v>272</v>
      </c>
      <c r="L11" s="55">
        <f t="shared" si="3"/>
        <v>0</v>
      </c>
      <c r="M11" s="76">
        <f t="shared" si="4"/>
        <v>2</v>
      </c>
      <c r="N11" s="76">
        <f t="shared" si="5"/>
        <v>2026</v>
      </c>
      <c r="O11" s="77"/>
      <c r="P11" s="61"/>
      <c r="Q11" s="85">
        <f t="shared" ref="Q11:Q70" si="6">IF($B168="","",$A168)</f>
        <v>1</v>
      </c>
      <c r="R11" s="86" t="str">
        <f t="shared" ref="R11:R70" si="7">IF($B168="","",$B168)</f>
        <v>19H09482</v>
      </c>
      <c r="S11" s="87">
        <f t="shared" ref="S11:S70" si="8">IF($B168="","",$AH168)</f>
        <v>480</v>
      </c>
      <c r="T11" s="88">
        <f t="shared" ref="T11:T70" si="9">IF($B168="","",$AI168)</f>
        <v>0.03481035608</v>
      </c>
      <c r="U11" s="87">
        <f t="shared" ref="U11:U70" si="10">IF($B168="","",$AJ168)</f>
        <v>12.915</v>
      </c>
      <c r="V11" s="87">
        <f t="shared" ref="V11:V70" si="11">IF($B168="","",$AK168)</f>
        <v>0</v>
      </c>
      <c r="W11" s="87">
        <f t="shared" ref="W11:W70" si="12">IF($B168="","",$AL168)</f>
        <v>492.915</v>
      </c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</row>
    <row r="12" ht="18.0" customHeight="1">
      <c r="A12" s="35">
        <v>7.0</v>
      </c>
      <c r="B12" s="51" t="s">
        <v>217</v>
      </c>
      <c r="C12" s="51" t="s">
        <v>141</v>
      </c>
      <c r="D12" s="73">
        <v>46082.0</v>
      </c>
      <c r="E12" s="73">
        <v>46118.0</v>
      </c>
      <c r="F12" s="74"/>
      <c r="G12" s="75"/>
      <c r="H12" s="55">
        <f>IF(OR($C12="",$D12="",$E12=""),"",SUMIFS(DATA_GOC!$H:$H,DATA_GOC!$A:$A,"NHAP",DATA_GOC!$E:$E,$C12,DATA_GOC!$B:$B,"&gt;="&amp;$D12,DATA_GOC!$B:$B,"&lt;="&amp;$E12))</f>
        <v>29435</v>
      </c>
      <c r="I12" s="55">
        <f>IF(OR($C12="",$D12="",$E12=""),"",SUMIFS(DATA_GOC!$H:$H,DATA_GOC!$A:$A,"BOM",DATA_GOC!$E:$E,$C12,DATA_GOC!$F:$F,"Xuất nội bộ từ téc",DATA_GOC!$B:$B,"&gt;="&amp;$D12,DATA_GOC!$B:$B,"&lt;="&amp;$E12))</f>
        <v>28426</v>
      </c>
      <c r="J12" s="55">
        <f t="shared" si="1"/>
        <v>1009</v>
      </c>
      <c r="K12" s="55">
        <f t="shared" si="2"/>
        <v>1009</v>
      </c>
      <c r="L12" s="55">
        <f t="shared" si="3"/>
        <v>0</v>
      </c>
      <c r="M12" s="76">
        <f t="shared" si="4"/>
        <v>4</v>
      </c>
      <c r="N12" s="76">
        <f t="shared" si="5"/>
        <v>2026</v>
      </c>
      <c r="O12" s="77"/>
      <c r="P12" s="61"/>
      <c r="Q12" s="90">
        <f t="shared" si="6"/>
        <v>2</v>
      </c>
      <c r="R12" s="91" t="str">
        <f t="shared" si="7"/>
        <v>28A30696</v>
      </c>
      <c r="S12" s="92">
        <f t="shared" si="8"/>
        <v>35</v>
      </c>
      <c r="T12" s="93">
        <f t="shared" si="9"/>
        <v>0.002538255131</v>
      </c>
      <c r="U12" s="92">
        <f t="shared" si="10"/>
        <v>0.942</v>
      </c>
      <c r="V12" s="92">
        <f t="shared" si="11"/>
        <v>0</v>
      </c>
      <c r="W12" s="92">
        <f t="shared" si="12"/>
        <v>35.942</v>
      </c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</row>
    <row r="13" ht="18.0" customHeight="1">
      <c r="A13" s="35">
        <v>8.0</v>
      </c>
      <c r="B13" s="51" t="s">
        <v>217</v>
      </c>
      <c r="C13" s="51" t="s">
        <v>141</v>
      </c>
      <c r="D13" s="73">
        <v>46123.0</v>
      </c>
      <c r="E13" s="73">
        <v>46142.0</v>
      </c>
      <c r="F13" s="74"/>
      <c r="G13" s="75"/>
      <c r="H13" s="55">
        <f>IF(OR($C13="",$D13="",$E13=""),"",SUMIFS(DATA_GOC!$H:$H,DATA_GOC!$A:$A,"NHAP",DATA_GOC!$E:$E,$C13,DATA_GOC!$B:$B,"&gt;="&amp;$D13,DATA_GOC!$B:$B,"&lt;="&amp;$E13))</f>
        <v>31700</v>
      </c>
      <c r="I13" s="55">
        <f>IF(OR($C13="",$D13="",$E13=""),"",SUMIFS(DATA_GOC!$H:$H,DATA_GOC!$A:$A,"BOM",DATA_GOC!$E:$E,$C13,DATA_GOC!$F:$F,"Xuất nội bộ từ téc",DATA_GOC!$B:$B,"&gt;="&amp;$D13,DATA_GOC!$B:$B,"&lt;="&amp;$E13))</f>
        <v>30401</v>
      </c>
      <c r="J13" s="55">
        <f t="shared" si="1"/>
        <v>1299</v>
      </c>
      <c r="K13" s="55">
        <f t="shared" si="2"/>
        <v>1299</v>
      </c>
      <c r="L13" s="55">
        <f t="shared" si="3"/>
        <v>0</v>
      </c>
      <c r="M13" s="76">
        <f t="shared" si="4"/>
        <v>4</v>
      </c>
      <c r="N13" s="76">
        <f t="shared" si="5"/>
        <v>2026</v>
      </c>
      <c r="O13" s="77"/>
      <c r="P13" s="61"/>
      <c r="Q13" s="85">
        <f t="shared" si="6"/>
        <v>3</v>
      </c>
      <c r="R13" s="86" t="str">
        <f t="shared" si="7"/>
        <v>28C00462</v>
      </c>
      <c r="S13" s="87">
        <f t="shared" si="8"/>
        <v>107</v>
      </c>
      <c r="T13" s="88">
        <f t="shared" si="9"/>
        <v>0.007759808543</v>
      </c>
      <c r="U13" s="87">
        <f t="shared" si="10"/>
        <v>2.879</v>
      </c>
      <c r="V13" s="87">
        <f t="shared" si="11"/>
        <v>0</v>
      </c>
      <c r="W13" s="87">
        <f t="shared" si="12"/>
        <v>109.879</v>
      </c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</row>
    <row r="14" ht="18.0" customHeight="1">
      <c r="A14" s="35">
        <v>9.0</v>
      </c>
      <c r="B14" s="51" t="s">
        <v>217</v>
      </c>
      <c r="C14" s="51" t="s">
        <v>83</v>
      </c>
      <c r="D14" s="73">
        <v>46023.0</v>
      </c>
      <c r="E14" s="73">
        <v>46027.0</v>
      </c>
      <c r="F14" s="74">
        <v>5779.0</v>
      </c>
      <c r="G14" s="75"/>
      <c r="H14" s="55">
        <f>IF(OR($C14="",$D14="",$E14=""),"",SUMIFS(DATA_GOC!$H:$H,DATA_GOC!$A:$A,"NHAP",DATA_GOC!$E:$E,$C14,DATA_GOC!$B:$B,"&gt;="&amp;$D14,DATA_GOC!$B:$B,"&lt;="&amp;$E14))</f>
        <v>0</v>
      </c>
      <c r="I14" s="55">
        <f>IF(OR($C14="",$D14="",$E14=""),"",SUMIFS(DATA_GOC!$H:$H,DATA_GOC!$A:$A,"BOM",DATA_GOC!$E:$E,$C14,DATA_GOC!$F:$F,"Xuất nội bộ từ téc",DATA_GOC!$B:$B,"&gt;="&amp;$D14,DATA_GOC!$B:$B,"&lt;="&amp;$E14))</f>
        <v>5395</v>
      </c>
      <c r="J14" s="55">
        <f t="shared" si="1"/>
        <v>384</v>
      </c>
      <c r="K14" s="55">
        <f t="shared" si="2"/>
        <v>384</v>
      </c>
      <c r="L14" s="55">
        <f t="shared" si="3"/>
        <v>0</v>
      </c>
      <c r="M14" s="76">
        <f t="shared" si="4"/>
        <v>1</v>
      </c>
      <c r="N14" s="76">
        <f t="shared" si="5"/>
        <v>2026</v>
      </c>
      <c r="O14" s="77"/>
      <c r="P14" s="61"/>
      <c r="Q14" s="90">
        <f t="shared" si="6"/>
        <v>4</v>
      </c>
      <c r="R14" s="91" t="str">
        <f t="shared" si="7"/>
        <v>28C01165</v>
      </c>
      <c r="S14" s="92">
        <f t="shared" si="8"/>
        <v>0</v>
      </c>
      <c r="T14" s="93">
        <f t="shared" si="9"/>
        <v>0</v>
      </c>
      <c r="U14" s="92">
        <f t="shared" si="10"/>
        <v>0</v>
      </c>
      <c r="V14" s="92">
        <f t="shared" si="11"/>
        <v>0</v>
      </c>
      <c r="W14" s="92">
        <f t="shared" si="12"/>
        <v>0</v>
      </c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</row>
    <row r="15" ht="18.0" customHeight="1">
      <c r="A15" s="35">
        <v>10.0</v>
      </c>
      <c r="B15" s="51" t="s">
        <v>217</v>
      </c>
      <c r="C15" s="51" t="s">
        <v>83</v>
      </c>
      <c r="D15" s="73">
        <v>46028.0</v>
      </c>
      <c r="E15" s="73">
        <v>46046.0</v>
      </c>
      <c r="F15" s="74"/>
      <c r="G15" s="75"/>
      <c r="H15" s="55">
        <f>IF(OR($C15="",$D15="",$E15=""),"",SUMIFS(DATA_GOC!$H:$H,DATA_GOC!$A:$A,"NHAP",DATA_GOC!$E:$E,$C15,DATA_GOC!$B:$B,"&gt;="&amp;$D15,DATA_GOC!$B:$B,"&lt;="&amp;$E15))</f>
        <v>22335</v>
      </c>
      <c r="I15" s="55">
        <f>IF(OR($C15="",$D15="",$E15=""),"",SUMIFS(DATA_GOC!$H:$H,DATA_GOC!$A:$A,"BOM",DATA_GOC!$E:$E,$C15,DATA_GOC!$F:$F,"Xuất nội bộ từ téc",DATA_GOC!$B:$B,"&gt;="&amp;$D15,DATA_GOC!$B:$B,"&lt;="&amp;$E15))</f>
        <v>21509</v>
      </c>
      <c r="J15" s="55">
        <f t="shared" si="1"/>
        <v>826</v>
      </c>
      <c r="K15" s="55">
        <f t="shared" si="2"/>
        <v>826</v>
      </c>
      <c r="L15" s="55">
        <f t="shared" si="3"/>
        <v>0</v>
      </c>
      <c r="M15" s="76">
        <f t="shared" si="4"/>
        <v>1</v>
      </c>
      <c r="N15" s="76">
        <f t="shared" si="5"/>
        <v>2026</v>
      </c>
      <c r="O15" s="77"/>
      <c r="P15" s="61"/>
      <c r="Q15" s="85">
        <f t="shared" si="6"/>
        <v>5</v>
      </c>
      <c r="R15" s="86" t="str">
        <f t="shared" si="7"/>
        <v>28C01406</v>
      </c>
      <c r="S15" s="87">
        <f t="shared" si="8"/>
        <v>370</v>
      </c>
      <c r="T15" s="88">
        <f t="shared" si="9"/>
        <v>0.02683298281</v>
      </c>
      <c r="U15" s="87">
        <f t="shared" si="10"/>
        <v>9.955</v>
      </c>
      <c r="V15" s="87">
        <f t="shared" si="11"/>
        <v>0</v>
      </c>
      <c r="W15" s="87">
        <f t="shared" si="12"/>
        <v>379.955</v>
      </c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</row>
    <row r="16" ht="18.0" customHeight="1">
      <c r="A16" s="35">
        <v>11.0</v>
      </c>
      <c r="B16" s="51" t="s">
        <v>217</v>
      </c>
      <c r="C16" s="51" t="s">
        <v>83</v>
      </c>
      <c r="D16" s="73">
        <v>46065.0</v>
      </c>
      <c r="E16" s="73">
        <v>46106.0</v>
      </c>
      <c r="F16" s="74"/>
      <c r="G16" s="75"/>
      <c r="H16" s="55">
        <f>IF(OR($C16="",$D16="",$E16=""),"",SUMIFS(DATA_GOC!$H:$H,DATA_GOC!$A:$A,"NHAP",DATA_GOC!$E:$E,$C16,DATA_GOC!$B:$B,"&gt;="&amp;$D16,DATA_GOC!$B:$B,"&lt;="&amp;$E16))</f>
        <v>30130</v>
      </c>
      <c r="I16" s="55">
        <f>IF(OR($C16="",$D16="",$E16=""),"",SUMIFS(DATA_GOC!$H:$H,DATA_GOC!$A:$A,"BOM",DATA_GOC!$E:$E,$C16,DATA_GOC!$F:$F,"Xuất nội bộ từ téc",DATA_GOC!$B:$B,"&gt;="&amp;$D16,DATA_GOC!$B:$B,"&lt;="&amp;$E16))</f>
        <v>29125</v>
      </c>
      <c r="J16" s="55">
        <f t="shared" si="1"/>
        <v>1005</v>
      </c>
      <c r="K16" s="55">
        <f t="shared" si="2"/>
        <v>1005</v>
      </c>
      <c r="L16" s="55">
        <f t="shared" si="3"/>
        <v>0</v>
      </c>
      <c r="M16" s="76">
        <f t="shared" si="4"/>
        <v>3</v>
      </c>
      <c r="N16" s="76">
        <f t="shared" si="5"/>
        <v>2026</v>
      </c>
      <c r="O16" s="77"/>
      <c r="P16" s="61"/>
      <c r="Q16" s="90">
        <f t="shared" si="6"/>
        <v>6</v>
      </c>
      <c r="R16" s="91" t="str">
        <f t="shared" si="7"/>
        <v>28C01544</v>
      </c>
      <c r="S16" s="92">
        <f t="shared" si="8"/>
        <v>46</v>
      </c>
      <c r="T16" s="93">
        <f t="shared" si="9"/>
        <v>0.003335992458</v>
      </c>
      <c r="U16" s="92">
        <f t="shared" si="10"/>
        <v>1.238</v>
      </c>
      <c r="V16" s="92">
        <f t="shared" si="11"/>
        <v>0</v>
      </c>
      <c r="W16" s="92">
        <f t="shared" si="12"/>
        <v>47.238</v>
      </c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</row>
    <row r="17" ht="18.0" customHeight="1">
      <c r="A17" s="35">
        <v>12.0</v>
      </c>
      <c r="B17" s="51" t="s">
        <v>217</v>
      </c>
      <c r="C17" s="51" t="s">
        <v>83</v>
      </c>
      <c r="D17" s="73">
        <v>46111.0</v>
      </c>
      <c r="E17" s="73">
        <v>46128.0</v>
      </c>
      <c r="F17" s="74"/>
      <c r="G17" s="75"/>
      <c r="H17" s="55">
        <f>IF(OR($C17="",$D17="",$E17=""),"",SUMIFS(DATA_GOC!$H:$H,DATA_GOC!$A:$A,"NHAP",DATA_GOC!$E:$E,$C17,DATA_GOC!$B:$B,"&gt;="&amp;$D17,DATA_GOC!$B:$B,"&lt;="&amp;$E17))</f>
        <v>15850</v>
      </c>
      <c r="I17" s="55">
        <f>IF(OR($C17="",$D17="",$E17=""),"",SUMIFS(DATA_GOC!$H:$H,DATA_GOC!$A:$A,"BOM",DATA_GOC!$E:$E,$C17,DATA_GOC!$F:$F,"Xuất nội bộ từ téc",DATA_GOC!$B:$B,"&gt;="&amp;$D17,DATA_GOC!$B:$B,"&lt;="&amp;$E17))</f>
        <v>15710</v>
      </c>
      <c r="J17" s="55">
        <f t="shared" si="1"/>
        <v>140</v>
      </c>
      <c r="K17" s="55">
        <f t="shared" si="2"/>
        <v>140</v>
      </c>
      <c r="L17" s="55">
        <f t="shared" si="3"/>
        <v>0</v>
      </c>
      <c r="M17" s="76">
        <f t="shared" si="4"/>
        <v>4</v>
      </c>
      <c r="N17" s="76">
        <f t="shared" si="5"/>
        <v>2026</v>
      </c>
      <c r="O17" s="77"/>
      <c r="P17" s="61"/>
      <c r="Q17" s="85">
        <f t="shared" si="6"/>
        <v>7</v>
      </c>
      <c r="R17" s="86" t="str">
        <f t="shared" si="7"/>
        <v>28C01622</v>
      </c>
      <c r="S17" s="87">
        <f t="shared" si="8"/>
        <v>740</v>
      </c>
      <c r="T17" s="88">
        <f t="shared" si="9"/>
        <v>0.05366596562</v>
      </c>
      <c r="U17" s="87">
        <f t="shared" si="10"/>
        <v>19.91</v>
      </c>
      <c r="V17" s="87">
        <f t="shared" si="11"/>
        <v>0</v>
      </c>
      <c r="W17" s="87">
        <f t="shared" si="12"/>
        <v>759.91</v>
      </c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</row>
    <row r="18" ht="18.0" customHeight="1">
      <c r="A18" s="35">
        <v>13.0</v>
      </c>
      <c r="B18" s="51" t="s">
        <v>217</v>
      </c>
      <c r="C18" s="51" t="s">
        <v>83</v>
      </c>
      <c r="D18" s="73">
        <v>46131.0</v>
      </c>
      <c r="E18" s="73">
        <v>46165.0</v>
      </c>
      <c r="F18" s="74"/>
      <c r="G18" s="75"/>
      <c r="H18" s="40">
        <f>IF(OR($C18="",$D18="",$E18=""),"",SUMIFS(DATA_GOC!$H:$H,DATA_GOC!$A:$A,"NHAP",DATA_GOC!$E:$E,$C18,DATA_GOC!$B:$B,"&gt;="&amp;$D18,DATA_GOC!$B:$B,"&lt;="&amp;$E18))</f>
        <v>30015</v>
      </c>
      <c r="I18" s="40">
        <f>IF(OR($C18="",$D18="",$E18=""),"",SUMIFS(DATA_GOC!$H:$H,DATA_GOC!$A:$A,"BOM",DATA_GOC!$E:$E,$C18,DATA_GOC!$F:$F,"Xuất nội bộ từ téc",DATA_GOC!$B:$B,"&gt;="&amp;$D18,DATA_GOC!$B:$B,"&lt;="&amp;$E18))</f>
        <v>29077</v>
      </c>
      <c r="J18" s="40">
        <f t="shared" si="1"/>
        <v>938</v>
      </c>
      <c r="K18" s="40">
        <f t="shared" si="2"/>
        <v>938</v>
      </c>
      <c r="L18" s="40">
        <f t="shared" si="3"/>
        <v>0</v>
      </c>
      <c r="M18" s="95">
        <f t="shared" si="4"/>
        <v>5</v>
      </c>
      <c r="N18" s="95">
        <f t="shared" si="5"/>
        <v>2026</v>
      </c>
      <c r="O18" s="77"/>
      <c r="P18" s="61"/>
      <c r="Q18" s="90">
        <f t="shared" si="6"/>
        <v>8</v>
      </c>
      <c r="R18" s="91" t="str">
        <f t="shared" si="7"/>
        <v>28C01647</v>
      </c>
      <c r="S18" s="92">
        <f t="shared" si="8"/>
        <v>444</v>
      </c>
      <c r="T18" s="93">
        <f t="shared" si="9"/>
        <v>0.03219957937</v>
      </c>
      <c r="U18" s="92">
        <f t="shared" si="10"/>
        <v>11.946</v>
      </c>
      <c r="V18" s="92">
        <f t="shared" si="11"/>
        <v>0</v>
      </c>
      <c r="W18" s="96">
        <f t="shared" si="12"/>
        <v>455.946</v>
      </c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8"/>
      <c r="AI18" s="99"/>
      <c r="AJ18" s="99"/>
      <c r="AK18" s="99"/>
      <c r="AL18" s="99"/>
    </row>
    <row r="19" ht="25.5" customHeight="1">
      <c r="A19" s="35">
        <v>14.0</v>
      </c>
      <c r="B19" s="51" t="s">
        <v>217</v>
      </c>
      <c r="C19" s="51" t="s">
        <v>78</v>
      </c>
      <c r="D19" s="73">
        <v>46162.0</v>
      </c>
      <c r="E19" s="73">
        <v>46168.0</v>
      </c>
      <c r="F19" s="74"/>
      <c r="G19" s="75"/>
      <c r="H19" s="40">
        <f>IF(OR($C19="",$D19="",$E19=""),"",SUMIFS(DATA_GOC!$H:$H,DATA_GOC!$A:$A,"NHAP",DATA_GOC!$E:$E,$C19,DATA_GOC!$B:$B,"&gt;="&amp;$D19,DATA_GOC!$B:$B,"&lt;="&amp;$E19))</f>
        <v>8134</v>
      </c>
      <c r="I19" s="40">
        <f>IF(OR($C19="",$D19="",$E19=""),"",SUMIFS(DATA_GOC!$H:$H,DATA_GOC!$A:$A,"BOM",DATA_GOC!$E:$E,$C19,DATA_GOC!$F:$F,"Xuất nội bộ từ téc",DATA_GOC!$B:$B,"&gt;="&amp;$D19,DATA_GOC!$B:$B,"&lt;="&amp;$E19))</f>
        <v>7755</v>
      </c>
      <c r="J19" s="40">
        <f t="shared" si="1"/>
        <v>379</v>
      </c>
      <c r="K19" s="40">
        <f t="shared" si="2"/>
        <v>379</v>
      </c>
      <c r="L19" s="40">
        <f t="shared" si="3"/>
        <v>0</v>
      </c>
      <c r="M19" s="95">
        <f t="shared" si="4"/>
        <v>5</v>
      </c>
      <c r="N19" s="95">
        <f t="shared" si="5"/>
        <v>2026</v>
      </c>
      <c r="O19" s="77"/>
      <c r="P19" s="61"/>
      <c r="Q19" s="85">
        <f t="shared" si="6"/>
        <v>9</v>
      </c>
      <c r="R19" s="86" t="str">
        <f t="shared" si="7"/>
        <v>28C01731</v>
      </c>
      <c r="S19" s="87">
        <f t="shared" si="8"/>
        <v>247</v>
      </c>
      <c r="T19" s="88">
        <f t="shared" si="9"/>
        <v>0.01791282907</v>
      </c>
      <c r="U19" s="87">
        <f t="shared" si="10"/>
        <v>6.646</v>
      </c>
      <c r="V19" s="87">
        <f t="shared" si="11"/>
        <v>0</v>
      </c>
      <c r="W19" s="100">
        <f t="shared" si="12"/>
        <v>253.646</v>
      </c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3"/>
      <c r="AJ19" s="103"/>
      <c r="AK19" s="103"/>
      <c r="AL19" s="103"/>
    </row>
    <row r="20" ht="18.0" customHeight="1">
      <c r="A20" s="35">
        <v>15.0</v>
      </c>
      <c r="B20" s="51" t="s">
        <v>217</v>
      </c>
      <c r="C20" s="51" t="s">
        <v>141</v>
      </c>
      <c r="D20" s="73">
        <v>46160.0</v>
      </c>
      <c r="E20" s="73">
        <v>46184.0</v>
      </c>
      <c r="F20" s="74" t="str">
        <f t="shared" ref="F20:F155" si="13">IF(OR($C20="",$D20=""),"",IFERROR(LOOKUP(2,1/(($C$6:$C$155=$C20)*($B$6:$B$155="Đã chốt")*($E$6:$E$155&lt;$D20)*($G$6:$G$155&lt;&gt;"")),$G$6:$G$155),""))</f>
        <v/>
      </c>
      <c r="G20" s="75"/>
      <c r="H20" s="40">
        <f>IF(OR($C20="",$D20="",$E20=""),"",SUMIFS(DATA_GOC!$H:$H,DATA_GOC!$A:$A,"NHAP",DATA_GOC!$E:$E,$C20,DATA_GOC!$B:$B,"&gt;="&amp;$D20,DATA_GOC!$B:$B,"&lt;="&amp;$E20))</f>
        <v>35996</v>
      </c>
      <c r="I20" s="40">
        <f>IF(OR($C20="",$D20="",$E20=""),"",SUMIFS(DATA_GOC!$H:$H,DATA_GOC!$A:$A,"BOM",DATA_GOC!$E:$E,$C20,DATA_GOC!$F:$F,"Xuất nội bộ từ téc",DATA_GOC!$B:$B,"&gt;="&amp;$D20,DATA_GOC!$B:$B,"&lt;="&amp;$E20))</f>
        <v>34366</v>
      </c>
      <c r="J20" s="40">
        <f t="shared" si="1"/>
        <v>1630</v>
      </c>
      <c r="K20" s="40">
        <f t="shared" si="2"/>
        <v>1630</v>
      </c>
      <c r="L20" s="40">
        <f t="shared" si="3"/>
        <v>0</v>
      </c>
      <c r="M20" s="95">
        <f t="shared" si="4"/>
        <v>6</v>
      </c>
      <c r="N20" s="95">
        <f t="shared" si="5"/>
        <v>2026</v>
      </c>
      <c r="O20" s="77"/>
      <c r="P20" s="61"/>
      <c r="Q20" s="90">
        <f t="shared" si="6"/>
        <v>10</v>
      </c>
      <c r="R20" s="91" t="str">
        <f t="shared" si="7"/>
        <v>28C01743</v>
      </c>
      <c r="S20" s="92">
        <f t="shared" si="8"/>
        <v>0</v>
      </c>
      <c r="T20" s="93">
        <f t="shared" si="9"/>
        <v>0</v>
      </c>
      <c r="U20" s="92">
        <f t="shared" si="10"/>
        <v>0</v>
      </c>
      <c r="V20" s="92">
        <f t="shared" si="11"/>
        <v>0</v>
      </c>
      <c r="W20" s="96">
        <f t="shared" si="12"/>
        <v>0</v>
      </c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</row>
    <row r="21" ht="18.0" customHeight="1">
      <c r="A21" s="35">
        <v>16.0</v>
      </c>
      <c r="B21" s="37" t="s">
        <v>217</v>
      </c>
      <c r="C21" s="37" t="s">
        <v>78</v>
      </c>
      <c r="D21" s="104">
        <v>46178.0</v>
      </c>
      <c r="E21" s="104">
        <v>46188.0</v>
      </c>
      <c r="F21" s="74" t="str">
        <f t="shared" si="13"/>
        <v/>
      </c>
      <c r="G21" s="75"/>
      <c r="H21" s="40">
        <f>IF(OR($C21="",$D21="",$E21=""),"",SUMIFS(DATA_GOC!$H:$H,DATA_GOC!$A:$A,"NHAP",DATA_GOC!$E:$E,$C21,DATA_GOC!$B:$B,"&gt;="&amp;$D21,DATA_GOC!$B:$B,"&lt;="&amp;$E21))</f>
        <v>8745</v>
      </c>
      <c r="I21" s="40">
        <f>IF(OR($C21="",$D21="",$E21=""),"",SUMIFS(DATA_GOC!$H:$H,DATA_GOC!$A:$A,"BOM",DATA_GOC!$E:$E,$C21,DATA_GOC!$F:$F,"Xuất nội bộ từ téc",DATA_GOC!$B:$B,"&gt;="&amp;$D21,DATA_GOC!$B:$B,"&lt;="&amp;$E21))</f>
        <v>8377</v>
      </c>
      <c r="J21" s="40">
        <f t="shared" si="1"/>
        <v>368</v>
      </c>
      <c r="K21" s="40">
        <f t="shared" si="2"/>
        <v>368</v>
      </c>
      <c r="L21" s="40">
        <f t="shared" si="3"/>
        <v>0</v>
      </c>
      <c r="M21" s="95">
        <f t="shared" si="4"/>
        <v>6</v>
      </c>
      <c r="N21" s="95">
        <f t="shared" si="5"/>
        <v>2026</v>
      </c>
      <c r="O21" s="77"/>
      <c r="P21" s="61"/>
      <c r="Q21" s="85">
        <f t="shared" si="6"/>
        <v>11</v>
      </c>
      <c r="R21" s="86" t="str">
        <f t="shared" si="7"/>
        <v>28C02106</v>
      </c>
      <c r="S21" s="87">
        <f t="shared" si="8"/>
        <v>0</v>
      </c>
      <c r="T21" s="88">
        <f t="shared" si="9"/>
        <v>0</v>
      </c>
      <c r="U21" s="87">
        <f t="shared" si="10"/>
        <v>0</v>
      </c>
      <c r="V21" s="87">
        <f t="shared" si="11"/>
        <v>0</v>
      </c>
      <c r="W21" s="100">
        <f t="shared" si="12"/>
        <v>0</v>
      </c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6"/>
      <c r="AI21" s="107"/>
      <c r="AJ21" s="107"/>
      <c r="AK21" s="107"/>
      <c r="AL21" s="107"/>
    </row>
    <row r="22" ht="18.0" customHeight="1">
      <c r="A22" s="35">
        <v>17.0</v>
      </c>
      <c r="B22" s="37" t="s">
        <v>217</v>
      </c>
      <c r="C22" s="37" t="s">
        <v>83</v>
      </c>
      <c r="D22" s="104">
        <v>46178.0</v>
      </c>
      <c r="E22" s="104">
        <v>46199.0</v>
      </c>
      <c r="F22" s="74" t="str">
        <f t="shared" si="13"/>
        <v/>
      </c>
      <c r="G22" s="75"/>
      <c r="H22" s="40">
        <f>IF(OR($C22="",$D22="",$E22=""),"",SUMIFS(DATA_GOC!$H:$H,DATA_GOC!$A:$A,"NHAP",DATA_GOC!$E:$E,$C22,DATA_GOC!$B:$B,"&gt;="&amp;$D22,DATA_GOC!$B:$B,"&lt;="&amp;$E22))</f>
        <v>29415</v>
      </c>
      <c r="I22" s="40">
        <f>IF(OR($C22="",$D22="",$E22=""),"",SUMIFS(DATA_GOC!$H:$H,DATA_GOC!$A:$A,"BOM",DATA_GOC!$E:$E,$C22,DATA_GOC!$F:$F,"Xuất nội bộ từ téc",DATA_GOC!$B:$B,"&gt;="&amp;$D22,DATA_GOC!$B:$B,"&lt;="&amp;$E22))</f>
        <v>27987</v>
      </c>
      <c r="J22" s="40">
        <f t="shared" si="1"/>
        <v>1428</v>
      </c>
      <c r="K22" s="40">
        <f t="shared" si="2"/>
        <v>1428</v>
      </c>
      <c r="L22" s="40">
        <f t="shared" si="3"/>
        <v>0</v>
      </c>
      <c r="M22" s="95">
        <f t="shared" si="4"/>
        <v>6</v>
      </c>
      <c r="N22" s="95">
        <f t="shared" si="5"/>
        <v>2026</v>
      </c>
      <c r="O22" s="77"/>
      <c r="P22" s="61"/>
      <c r="Q22" s="90">
        <f t="shared" si="6"/>
        <v>12</v>
      </c>
      <c r="R22" s="91" t="str">
        <f t="shared" si="7"/>
        <v>28C02410</v>
      </c>
      <c r="S22" s="92">
        <f t="shared" si="8"/>
        <v>140</v>
      </c>
      <c r="T22" s="93">
        <f t="shared" si="9"/>
        <v>0.01015302052</v>
      </c>
      <c r="U22" s="92">
        <f t="shared" si="10"/>
        <v>3.767</v>
      </c>
      <c r="V22" s="92">
        <f t="shared" si="11"/>
        <v>0</v>
      </c>
      <c r="W22" s="96">
        <f t="shared" si="12"/>
        <v>143.767</v>
      </c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6"/>
      <c r="AI22" s="107"/>
      <c r="AJ22" s="107"/>
      <c r="AK22" s="107"/>
      <c r="AL22" s="107"/>
    </row>
    <row r="23" ht="18.0" customHeight="1">
      <c r="A23" s="35">
        <v>18.0</v>
      </c>
      <c r="B23" s="37" t="s">
        <v>217</v>
      </c>
      <c r="C23" s="37" t="s">
        <v>141</v>
      </c>
      <c r="D23" s="104">
        <v>46196.0</v>
      </c>
      <c r="E23" s="104">
        <v>46207.0</v>
      </c>
      <c r="F23" s="74" t="str">
        <f t="shared" si="13"/>
        <v/>
      </c>
      <c r="G23" s="75"/>
      <c r="H23" s="40">
        <f>IF(OR($C23="",$D23="",$E23=""),"",SUMIFS(DATA_GOC!$H:$H,DATA_GOC!$A:$A,"NHAP",DATA_GOC!$E:$E,$C23,DATA_GOC!$B:$B,"&gt;="&amp;$D23,DATA_GOC!$B:$B,"&lt;="&amp;$E23))</f>
        <v>22930</v>
      </c>
      <c r="I23" s="40">
        <f>IF(OR($C23="",$D23="",$E23=""),"",SUMIFS(DATA_GOC!$H:$H,DATA_GOC!$A:$A,"BOM",DATA_GOC!$E:$E,$C23,DATA_GOC!$F:$F,"Xuất nội bộ từ téc",DATA_GOC!$B:$B,"&gt;="&amp;$D23,DATA_GOC!$B:$B,"&lt;="&amp;$E23))</f>
        <v>21668</v>
      </c>
      <c r="J23" s="40">
        <f t="shared" si="1"/>
        <v>1262</v>
      </c>
      <c r="K23" s="40">
        <f t="shared" si="2"/>
        <v>1262</v>
      </c>
      <c r="L23" s="40">
        <f t="shared" si="3"/>
        <v>0</v>
      </c>
      <c r="M23" s="95">
        <f t="shared" si="4"/>
        <v>7</v>
      </c>
      <c r="N23" s="95">
        <f t="shared" si="5"/>
        <v>2026</v>
      </c>
      <c r="O23" s="77"/>
      <c r="P23" s="61"/>
      <c r="Q23" s="85">
        <f t="shared" si="6"/>
        <v>13</v>
      </c>
      <c r="R23" s="86" t="str">
        <f t="shared" si="7"/>
        <v>28C02545</v>
      </c>
      <c r="S23" s="87">
        <f t="shared" si="8"/>
        <v>163</v>
      </c>
      <c r="T23" s="88">
        <f t="shared" si="9"/>
        <v>0.01182101675</v>
      </c>
      <c r="U23" s="87">
        <f t="shared" si="10"/>
        <v>4.386</v>
      </c>
      <c r="V23" s="87">
        <f t="shared" si="11"/>
        <v>0</v>
      </c>
      <c r="W23" s="100">
        <f t="shared" si="12"/>
        <v>167.386</v>
      </c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6"/>
      <c r="AI23" s="107"/>
      <c r="AJ23" s="107"/>
      <c r="AK23" s="107"/>
      <c r="AL23" s="107"/>
    </row>
    <row r="24" ht="18.0" customHeight="1">
      <c r="A24" s="35">
        <v>19.0</v>
      </c>
      <c r="B24" s="51"/>
      <c r="C24" s="51"/>
      <c r="D24" s="73"/>
      <c r="E24" s="73"/>
      <c r="F24" s="74" t="str">
        <f t="shared" si="13"/>
        <v/>
      </c>
      <c r="G24" s="75"/>
      <c r="H24" s="40" t="str">
        <f>IF(OR($C24="",$D24="",$E24=""),"",SUMIFS(DATA_GOC!$H:$H,DATA_GOC!$A:$A,"NHAP",DATA_GOC!$E:$E,$C24,DATA_GOC!$B:$B,"&gt;="&amp;$D24,DATA_GOC!$B:$B,"&lt;="&amp;$E24))</f>
        <v/>
      </c>
      <c r="I24" s="40" t="str">
        <f>IF(OR($C24="",$D24="",$E24=""),"",SUMIFS(DATA_GOC!$H:$H,DATA_GOC!$A:$A,"BOM",DATA_GOC!$E:$E,$C24,DATA_GOC!$F:$F,"Xuất nội bộ từ téc",DATA_GOC!$B:$B,"&gt;="&amp;$D24,DATA_GOC!$B:$B,"&lt;="&amp;$E24))</f>
        <v/>
      </c>
      <c r="J24" s="40" t="str">
        <f t="shared" si="1"/>
        <v/>
      </c>
      <c r="K24" s="40" t="str">
        <f t="shared" si="2"/>
        <v/>
      </c>
      <c r="L24" s="40" t="str">
        <f t="shared" si="3"/>
        <v/>
      </c>
      <c r="M24" s="95" t="str">
        <f t="shared" si="4"/>
        <v/>
      </c>
      <c r="N24" s="95" t="str">
        <f t="shared" si="5"/>
        <v/>
      </c>
      <c r="O24" s="77"/>
      <c r="P24" s="61"/>
      <c r="Q24" s="90">
        <f t="shared" si="6"/>
        <v>14</v>
      </c>
      <c r="R24" s="91" t="str">
        <f t="shared" si="7"/>
        <v>28C02574</v>
      </c>
      <c r="S24" s="92">
        <f t="shared" si="8"/>
        <v>0</v>
      </c>
      <c r="T24" s="93">
        <f t="shared" si="9"/>
        <v>0</v>
      </c>
      <c r="U24" s="92">
        <f t="shared" si="10"/>
        <v>0</v>
      </c>
      <c r="V24" s="92">
        <f t="shared" si="11"/>
        <v>0</v>
      </c>
      <c r="W24" s="96">
        <f t="shared" si="12"/>
        <v>0</v>
      </c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6"/>
      <c r="AI24" s="107"/>
      <c r="AJ24" s="107"/>
      <c r="AK24" s="107"/>
      <c r="AL24" s="107"/>
    </row>
    <row r="25" ht="18.0" customHeight="1">
      <c r="A25" s="35">
        <v>20.0</v>
      </c>
      <c r="B25" s="51"/>
      <c r="C25" s="51"/>
      <c r="D25" s="73"/>
      <c r="E25" s="73"/>
      <c r="F25" s="74" t="str">
        <f t="shared" si="13"/>
        <v/>
      </c>
      <c r="G25" s="75"/>
      <c r="H25" s="40" t="str">
        <f>IF(OR($C25="",$D25="",$E25=""),"",SUMIFS(DATA_GOC!$H:$H,DATA_GOC!$A:$A,"NHAP",DATA_GOC!$E:$E,$C25,DATA_GOC!$B:$B,"&gt;="&amp;$D25,DATA_GOC!$B:$B,"&lt;="&amp;$E25))</f>
        <v/>
      </c>
      <c r="I25" s="40" t="str">
        <f>IF(OR($C25="",$D25="",$E25=""),"",SUMIFS(DATA_GOC!$H:$H,DATA_GOC!$A:$A,"BOM",DATA_GOC!$E:$E,$C25,DATA_GOC!$F:$F,"Xuất nội bộ từ téc",DATA_GOC!$B:$B,"&gt;="&amp;$D25,DATA_GOC!$B:$B,"&lt;="&amp;$E25))</f>
        <v/>
      </c>
      <c r="J25" s="40" t="str">
        <f t="shared" si="1"/>
        <v/>
      </c>
      <c r="K25" s="40" t="str">
        <f t="shared" si="2"/>
        <v/>
      </c>
      <c r="L25" s="40" t="str">
        <f t="shared" si="3"/>
        <v/>
      </c>
      <c r="M25" s="95" t="str">
        <f t="shared" si="4"/>
        <v/>
      </c>
      <c r="N25" s="95" t="str">
        <f t="shared" si="5"/>
        <v/>
      </c>
      <c r="O25" s="77"/>
      <c r="P25" s="61"/>
      <c r="Q25" s="85">
        <f t="shared" si="6"/>
        <v>15</v>
      </c>
      <c r="R25" s="86" t="str">
        <f t="shared" si="7"/>
        <v>28C02770</v>
      </c>
      <c r="S25" s="87">
        <f t="shared" si="8"/>
        <v>163</v>
      </c>
      <c r="T25" s="88">
        <f t="shared" si="9"/>
        <v>0.01182101675</v>
      </c>
      <c r="U25" s="87">
        <f t="shared" si="10"/>
        <v>4.386</v>
      </c>
      <c r="V25" s="87">
        <f t="shared" si="11"/>
        <v>0</v>
      </c>
      <c r="W25" s="100">
        <f t="shared" si="12"/>
        <v>167.386</v>
      </c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6"/>
      <c r="AI25" s="107"/>
      <c r="AJ25" s="107"/>
      <c r="AK25" s="107"/>
      <c r="AL25" s="107"/>
    </row>
    <row r="26" ht="18.0" customHeight="1">
      <c r="A26" s="35">
        <v>21.0</v>
      </c>
      <c r="B26" s="51"/>
      <c r="C26" s="51"/>
      <c r="D26" s="73"/>
      <c r="E26" s="73"/>
      <c r="F26" s="74" t="str">
        <f t="shared" si="13"/>
        <v/>
      </c>
      <c r="G26" s="75"/>
      <c r="H26" s="40" t="str">
        <f>IF(OR($C26="",$D26="",$E26=""),"",SUMIFS(DATA_GOC!$H:$H,DATA_GOC!$A:$A,"NHAP",DATA_GOC!$E:$E,$C26,DATA_GOC!$B:$B,"&gt;="&amp;$D26,DATA_GOC!$B:$B,"&lt;="&amp;$E26))</f>
        <v/>
      </c>
      <c r="I26" s="40" t="str">
        <f>IF(OR($C26="",$D26="",$E26=""),"",SUMIFS(DATA_GOC!$H:$H,DATA_GOC!$A:$A,"BOM",DATA_GOC!$E:$E,$C26,DATA_GOC!$F:$F,"Xuất nội bộ từ téc",DATA_GOC!$B:$B,"&gt;="&amp;$D26,DATA_GOC!$B:$B,"&lt;="&amp;$E26))</f>
        <v/>
      </c>
      <c r="J26" s="40" t="str">
        <f t="shared" si="1"/>
        <v/>
      </c>
      <c r="K26" s="40" t="str">
        <f t="shared" si="2"/>
        <v/>
      </c>
      <c r="L26" s="40" t="str">
        <f t="shared" si="3"/>
        <v/>
      </c>
      <c r="M26" s="95" t="str">
        <f t="shared" si="4"/>
        <v/>
      </c>
      <c r="N26" s="95" t="str">
        <f t="shared" si="5"/>
        <v/>
      </c>
      <c r="O26" s="77"/>
      <c r="Q26" s="90">
        <f t="shared" si="6"/>
        <v>16</v>
      </c>
      <c r="R26" s="91" t="str">
        <f t="shared" si="7"/>
        <v>28C02986</v>
      </c>
      <c r="S26" s="92">
        <f t="shared" si="8"/>
        <v>930</v>
      </c>
      <c r="T26" s="93">
        <f t="shared" si="9"/>
        <v>0.06744506491</v>
      </c>
      <c r="U26" s="92">
        <f t="shared" si="10"/>
        <v>25.022</v>
      </c>
      <c r="V26" s="92">
        <f t="shared" si="11"/>
        <v>0</v>
      </c>
      <c r="W26" s="96">
        <f t="shared" si="12"/>
        <v>955.022</v>
      </c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</row>
    <row r="27" ht="18.0" customHeight="1">
      <c r="A27" s="35">
        <v>22.0</v>
      </c>
      <c r="B27" s="51"/>
      <c r="C27" s="51"/>
      <c r="D27" s="73"/>
      <c r="E27" s="73"/>
      <c r="F27" s="74" t="str">
        <f t="shared" si="13"/>
        <v/>
      </c>
      <c r="G27" s="75"/>
      <c r="H27" s="40" t="str">
        <f>IF(OR($C27="",$D27="",$E27=""),"",SUMIFS(DATA_GOC!$H:$H,DATA_GOC!$A:$A,"NHAP",DATA_GOC!$E:$E,$C27,DATA_GOC!$B:$B,"&gt;="&amp;$D27,DATA_GOC!$B:$B,"&lt;="&amp;$E27))</f>
        <v/>
      </c>
      <c r="I27" s="40" t="str">
        <f>IF(OR($C27="",$D27="",$E27=""),"",SUMIFS(DATA_GOC!$H:$H,DATA_GOC!$A:$A,"BOM",DATA_GOC!$E:$E,$C27,DATA_GOC!$F:$F,"Xuất nội bộ từ téc",DATA_GOC!$B:$B,"&gt;="&amp;$D27,DATA_GOC!$B:$B,"&lt;="&amp;$E27))</f>
        <v/>
      </c>
      <c r="J27" s="40" t="str">
        <f t="shared" si="1"/>
        <v/>
      </c>
      <c r="K27" s="40" t="str">
        <f t="shared" si="2"/>
        <v/>
      </c>
      <c r="L27" s="40" t="str">
        <f t="shared" si="3"/>
        <v/>
      </c>
      <c r="M27" s="95" t="str">
        <f t="shared" si="4"/>
        <v/>
      </c>
      <c r="N27" s="95" t="str">
        <f t="shared" si="5"/>
        <v/>
      </c>
      <c r="O27" s="77"/>
      <c r="Q27" s="85">
        <f t="shared" si="6"/>
        <v>17</v>
      </c>
      <c r="R27" s="86" t="str">
        <f t="shared" si="7"/>
        <v>28C03261</v>
      </c>
      <c r="S27" s="87">
        <f t="shared" si="8"/>
        <v>220</v>
      </c>
      <c r="T27" s="88">
        <f t="shared" si="9"/>
        <v>0.01595474654</v>
      </c>
      <c r="U27" s="87">
        <f t="shared" si="10"/>
        <v>5.919</v>
      </c>
      <c r="V27" s="87">
        <f t="shared" si="11"/>
        <v>0</v>
      </c>
      <c r="W27" s="100">
        <f t="shared" si="12"/>
        <v>225.919</v>
      </c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8"/>
      <c r="AI27" s="109"/>
      <c r="AJ27" s="109"/>
      <c r="AK27" s="109"/>
      <c r="AL27" s="109"/>
    </row>
    <row r="28" ht="18.0" customHeight="1">
      <c r="A28" s="35">
        <v>23.0</v>
      </c>
      <c r="B28" s="51"/>
      <c r="C28" s="51"/>
      <c r="D28" s="73"/>
      <c r="E28" s="73"/>
      <c r="F28" s="74" t="str">
        <f t="shared" si="13"/>
        <v/>
      </c>
      <c r="G28" s="75"/>
      <c r="H28" s="40" t="str">
        <f>IF(OR($C28="",$D28="",$E28=""),"",SUMIFS(DATA_GOC!$H:$H,DATA_GOC!$A:$A,"NHAP",DATA_GOC!$E:$E,$C28,DATA_GOC!$B:$B,"&gt;="&amp;$D28,DATA_GOC!$B:$B,"&lt;="&amp;$E28))</f>
        <v/>
      </c>
      <c r="I28" s="40" t="str">
        <f>IF(OR($C28="",$D28="",$E28=""),"",SUMIFS(DATA_GOC!$H:$H,DATA_GOC!$A:$A,"BOM",DATA_GOC!$E:$E,$C28,DATA_GOC!$F:$F,"Xuất nội bộ từ téc",DATA_GOC!$B:$B,"&gt;="&amp;$D28,DATA_GOC!$B:$B,"&lt;="&amp;$E28))</f>
        <v/>
      </c>
      <c r="J28" s="40" t="str">
        <f t="shared" si="1"/>
        <v/>
      </c>
      <c r="K28" s="40" t="str">
        <f t="shared" si="2"/>
        <v/>
      </c>
      <c r="L28" s="40" t="str">
        <f t="shared" si="3"/>
        <v/>
      </c>
      <c r="M28" s="95" t="str">
        <f t="shared" si="4"/>
        <v/>
      </c>
      <c r="N28" s="95" t="str">
        <f t="shared" si="5"/>
        <v/>
      </c>
      <c r="O28" s="77"/>
      <c r="Q28" s="90">
        <f t="shared" si="6"/>
        <v>18</v>
      </c>
      <c r="R28" s="91" t="str">
        <f t="shared" si="7"/>
        <v>28C03323</v>
      </c>
      <c r="S28" s="92">
        <f t="shared" si="8"/>
        <v>222</v>
      </c>
      <c r="T28" s="93">
        <f t="shared" si="9"/>
        <v>0.01609978969</v>
      </c>
      <c r="U28" s="92">
        <f t="shared" si="10"/>
        <v>5.973</v>
      </c>
      <c r="V28" s="92">
        <f t="shared" si="11"/>
        <v>0</v>
      </c>
      <c r="W28" s="96">
        <f t="shared" si="12"/>
        <v>227.973</v>
      </c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8"/>
      <c r="AI28" s="109"/>
      <c r="AJ28" s="109"/>
      <c r="AK28" s="109"/>
      <c r="AL28" s="109"/>
    </row>
    <row r="29" ht="18.0" customHeight="1">
      <c r="A29" s="35">
        <v>24.0</v>
      </c>
      <c r="B29" s="51"/>
      <c r="C29" s="51"/>
      <c r="D29" s="73"/>
      <c r="E29" s="73"/>
      <c r="F29" s="74" t="str">
        <f t="shared" si="13"/>
        <v/>
      </c>
      <c r="G29" s="75"/>
      <c r="H29" s="40" t="str">
        <f>IF(OR($C29="",$D29="",$E29=""),"",SUMIFS(DATA_GOC!$H:$H,DATA_GOC!$A:$A,"NHAP",DATA_GOC!$E:$E,$C29,DATA_GOC!$B:$B,"&gt;="&amp;$D29,DATA_GOC!$B:$B,"&lt;="&amp;$E29))</f>
        <v/>
      </c>
      <c r="I29" s="40" t="str">
        <f>IF(OR($C29="",$D29="",$E29=""),"",SUMIFS(DATA_GOC!$H:$H,DATA_GOC!$A:$A,"BOM",DATA_GOC!$E:$E,$C29,DATA_GOC!$F:$F,"Xuất nội bộ từ téc",DATA_GOC!$B:$B,"&gt;="&amp;$D29,DATA_GOC!$B:$B,"&lt;="&amp;$E29))</f>
        <v/>
      </c>
      <c r="J29" s="40" t="str">
        <f t="shared" si="1"/>
        <v/>
      </c>
      <c r="K29" s="40" t="str">
        <f t="shared" si="2"/>
        <v/>
      </c>
      <c r="L29" s="40" t="str">
        <f t="shared" si="3"/>
        <v/>
      </c>
      <c r="M29" s="95" t="str">
        <f t="shared" si="4"/>
        <v/>
      </c>
      <c r="N29" s="95" t="str">
        <f t="shared" si="5"/>
        <v/>
      </c>
      <c r="O29" s="77"/>
      <c r="Q29" s="85">
        <f t="shared" si="6"/>
        <v>19</v>
      </c>
      <c r="R29" s="86" t="str">
        <f t="shared" si="7"/>
        <v>28C03385</v>
      </c>
      <c r="S29" s="87">
        <f t="shared" si="8"/>
        <v>300</v>
      </c>
      <c r="T29" s="88">
        <f t="shared" si="9"/>
        <v>0.02175647255</v>
      </c>
      <c r="U29" s="87">
        <f t="shared" si="10"/>
        <v>8.072</v>
      </c>
      <c r="V29" s="87">
        <f t="shared" si="11"/>
        <v>0</v>
      </c>
      <c r="W29" s="100">
        <f t="shared" si="12"/>
        <v>308.072</v>
      </c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8"/>
      <c r="AI29" s="109"/>
      <c r="AJ29" s="109"/>
      <c r="AK29" s="109"/>
      <c r="AL29" s="109"/>
    </row>
    <row r="30" ht="18.0" customHeight="1">
      <c r="A30" s="35">
        <v>25.0</v>
      </c>
      <c r="B30" s="51"/>
      <c r="C30" s="51"/>
      <c r="D30" s="73"/>
      <c r="E30" s="73"/>
      <c r="F30" s="74" t="str">
        <f t="shared" si="13"/>
        <v/>
      </c>
      <c r="G30" s="75"/>
      <c r="H30" s="40" t="str">
        <f>IF(OR($C30="",$D30="",$E30=""),"",SUMIFS(DATA_GOC!$H:$H,DATA_GOC!$A:$A,"NHAP",DATA_GOC!$E:$E,$C30,DATA_GOC!$B:$B,"&gt;="&amp;$D30,DATA_GOC!$B:$B,"&lt;="&amp;$E30))</f>
        <v/>
      </c>
      <c r="I30" s="40" t="str">
        <f>IF(OR($C30="",$D30="",$E30=""),"",SUMIFS(DATA_GOC!$H:$H,DATA_GOC!$A:$A,"BOM",DATA_GOC!$E:$E,$C30,DATA_GOC!$F:$F,"Xuất nội bộ từ téc",DATA_GOC!$B:$B,"&gt;="&amp;$D30,DATA_GOC!$B:$B,"&lt;="&amp;$E30))</f>
        <v/>
      </c>
      <c r="J30" s="40" t="str">
        <f t="shared" si="1"/>
        <v/>
      </c>
      <c r="K30" s="40" t="str">
        <f t="shared" si="2"/>
        <v/>
      </c>
      <c r="L30" s="40" t="str">
        <f t="shared" si="3"/>
        <v/>
      </c>
      <c r="M30" s="95" t="str">
        <f t="shared" si="4"/>
        <v/>
      </c>
      <c r="N30" s="95" t="str">
        <f t="shared" si="5"/>
        <v/>
      </c>
      <c r="O30" s="77"/>
      <c r="Q30" s="90">
        <f t="shared" si="6"/>
        <v>20</v>
      </c>
      <c r="R30" s="91" t="str">
        <f t="shared" si="7"/>
        <v>28C03652</v>
      </c>
      <c r="S30" s="92">
        <f t="shared" si="8"/>
        <v>0</v>
      </c>
      <c r="T30" s="93">
        <f t="shared" si="9"/>
        <v>0</v>
      </c>
      <c r="U30" s="92">
        <f t="shared" si="10"/>
        <v>0</v>
      </c>
      <c r="V30" s="92">
        <f t="shared" si="11"/>
        <v>0</v>
      </c>
      <c r="W30" s="96">
        <f t="shared" si="12"/>
        <v>0</v>
      </c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8"/>
      <c r="AI30" s="109"/>
      <c r="AJ30" s="109"/>
      <c r="AK30" s="109"/>
      <c r="AL30" s="109"/>
    </row>
    <row r="31" ht="18.0" customHeight="1">
      <c r="A31" s="35">
        <v>26.0</v>
      </c>
      <c r="B31" s="51"/>
      <c r="C31" s="51"/>
      <c r="D31" s="73"/>
      <c r="E31" s="73"/>
      <c r="F31" s="74" t="str">
        <f t="shared" si="13"/>
        <v/>
      </c>
      <c r="G31" s="75"/>
      <c r="H31" s="40" t="str">
        <f>IF(OR($C31="",$D31="",$E31=""),"",SUMIFS(DATA_GOC!$H:$H,DATA_GOC!$A:$A,"NHAP",DATA_GOC!$E:$E,$C31,DATA_GOC!$B:$B,"&gt;="&amp;$D31,DATA_GOC!$B:$B,"&lt;="&amp;$E31))</f>
        <v/>
      </c>
      <c r="I31" s="40" t="str">
        <f>IF(OR($C31="",$D31="",$E31=""),"",SUMIFS(DATA_GOC!$H:$H,DATA_GOC!$A:$A,"BOM",DATA_GOC!$E:$E,$C31,DATA_GOC!$F:$F,"Xuất nội bộ từ téc",DATA_GOC!$B:$B,"&gt;="&amp;$D31,DATA_GOC!$B:$B,"&lt;="&amp;$E31))</f>
        <v/>
      </c>
      <c r="J31" s="40" t="str">
        <f t="shared" si="1"/>
        <v/>
      </c>
      <c r="K31" s="40" t="str">
        <f t="shared" si="2"/>
        <v/>
      </c>
      <c r="L31" s="40" t="str">
        <f t="shared" si="3"/>
        <v/>
      </c>
      <c r="M31" s="95" t="str">
        <f t="shared" si="4"/>
        <v/>
      </c>
      <c r="N31" s="95" t="str">
        <f t="shared" si="5"/>
        <v/>
      </c>
      <c r="O31" s="77"/>
      <c r="Q31" s="85">
        <f t="shared" si="6"/>
        <v>21</v>
      </c>
      <c r="R31" s="86" t="str">
        <f t="shared" si="7"/>
        <v>28C03695</v>
      </c>
      <c r="S31" s="87">
        <f t="shared" si="8"/>
        <v>211</v>
      </c>
      <c r="T31" s="88">
        <f t="shared" si="9"/>
        <v>0.01530205236</v>
      </c>
      <c r="U31" s="87">
        <f t="shared" si="10"/>
        <v>5.677</v>
      </c>
      <c r="V31" s="87">
        <f t="shared" si="11"/>
        <v>0</v>
      </c>
      <c r="W31" s="100">
        <f t="shared" si="12"/>
        <v>216.677</v>
      </c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8"/>
      <c r="AI31" s="109"/>
      <c r="AJ31" s="109"/>
      <c r="AK31" s="109"/>
      <c r="AL31" s="109"/>
    </row>
    <row r="32" ht="18.0" customHeight="1">
      <c r="A32" s="35">
        <v>27.0</v>
      </c>
      <c r="B32" s="51"/>
      <c r="C32" s="51"/>
      <c r="D32" s="73"/>
      <c r="E32" s="73"/>
      <c r="F32" s="74" t="str">
        <f t="shared" si="13"/>
        <v/>
      </c>
      <c r="G32" s="75"/>
      <c r="H32" s="40" t="str">
        <f>IF(OR($C32="",$D32="",$E32=""),"",SUMIFS(DATA_GOC!$H:$H,DATA_GOC!$A:$A,"NHAP",DATA_GOC!$E:$E,$C32,DATA_GOC!$B:$B,"&gt;="&amp;$D32,DATA_GOC!$B:$B,"&lt;="&amp;$E32))</f>
        <v/>
      </c>
      <c r="I32" s="40" t="str">
        <f>IF(OR($C32="",$D32="",$E32=""),"",SUMIFS(DATA_GOC!$H:$H,DATA_GOC!$A:$A,"BOM",DATA_GOC!$E:$E,$C32,DATA_GOC!$F:$F,"Xuất nội bộ từ téc",DATA_GOC!$B:$B,"&gt;="&amp;$D32,DATA_GOC!$B:$B,"&lt;="&amp;$E32))</f>
        <v/>
      </c>
      <c r="J32" s="40" t="str">
        <f t="shared" si="1"/>
        <v/>
      </c>
      <c r="K32" s="40" t="str">
        <f t="shared" si="2"/>
        <v/>
      </c>
      <c r="L32" s="40" t="str">
        <f t="shared" si="3"/>
        <v/>
      </c>
      <c r="M32" s="95" t="str">
        <f t="shared" si="4"/>
        <v/>
      </c>
      <c r="N32" s="95" t="str">
        <f t="shared" si="5"/>
        <v/>
      </c>
      <c r="O32" s="77"/>
      <c r="Q32" s="90">
        <f t="shared" si="6"/>
        <v>22</v>
      </c>
      <c r="R32" s="91" t="str">
        <f t="shared" si="7"/>
        <v>28C03927</v>
      </c>
      <c r="S32" s="92">
        <f t="shared" si="8"/>
        <v>275</v>
      </c>
      <c r="T32" s="93">
        <f t="shared" si="9"/>
        <v>0.01994343317</v>
      </c>
      <c r="U32" s="92">
        <f t="shared" si="10"/>
        <v>7.399</v>
      </c>
      <c r="V32" s="92">
        <f t="shared" si="11"/>
        <v>0</v>
      </c>
      <c r="W32" s="96">
        <f t="shared" si="12"/>
        <v>282.399</v>
      </c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</row>
    <row r="33" ht="18.0" customHeight="1">
      <c r="A33" s="35">
        <v>28.0</v>
      </c>
      <c r="B33" s="51"/>
      <c r="C33" s="51"/>
      <c r="D33" s="73"/>
      <c r="E33" s="73"/>
      <c r="F33" s="74" t="str">
        <f t="shared" si="13"/>
        <v/>
      </c>
      <c r="G33" s="75"/>
      <c r="H33" s="40" t="str">
        <f>IF(OR($C33="",$D33="",$E33=""),"",SUMIFS(DATA_GOC!$H:$H,DATA_GOC!$A:$A,"NHAP",DATA_GOC!$E:$E,$C33,DATA_GOC!$B:$B,"&gt;="&amp;$D33,DATA_GOC!$B:$B,"&lt;="&amp;$E33))</f>
        <v/>
      </c>
      <c r="I33" s="40" t="str">
        <f>IF(OR($C33="",$D33="",$E33=""),"",SUMIFS(DATA_GOC!$H:$H,DATA_GOC!$A:$A,"BOM",DATA_GOC!$E:$E,$C33,DATA_GOC!$F:$F,"Xuất nội bộ từ téc",DATA_GOC!$B:$B,"&gt;="&amp;$D33,DATA_GOC!$B:$B,"&lt;="&amp;$E33))</f>
        <v/>
      </c>
      <c r="J33" s="40" t="str">
        <f t="shared" si="1"/>
        <v/>
      </c>
      <c r="K33" s="40" t="str">
        <f t="shared" si="2"/>
        <v/>
      </c>
      <c r="L33" s="40" t="str">
        <f t="shared" si="3"/>
        <v/>
      </c>
      <c r="M33" s="95" t="str">
        <f t="shared" si="4"/>
        <v/>
      </c>
      <c r="N33" s="95" t="str">
        <f t="shared" si="5"/>
        <v/>
      </c>
      <c r="O33" s="77"/>
      <c r="Q33" s="85">
        <f t="shared" si="6"/>
        <v>23</v>
      </c>
      <c r="R33" s="86" t="str">
        <f t="shared" si="7"/>
        <v>28C04509</v>
      </c>
      <c r="S33" s="87">
        <f t="shared" si="8"/>
        <v>46</v>
      </c>
      <c r="T33" s="88">
        <f t="shared" si="9"/>
        <v>0.003335992458</v>
      </c>
      <c r="U33" s="87">
        <f t="shared" si="10"/>
        <v>1.238</v>
      </c>
      <c r="V33" s="87">
        <f t="shared" si="11"/>
        <v>0</v>
      </c>
      <c r="W33" s="87">
        <f t="shared" si="12"/>
        <v>47.238</v>
      </c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</row>
    <row r="34" ht="18.0" customHeight="1">
      <c r="A34" s="35">
        <v>29.0</v>
      </c>
      <c r="B34" s="51"/>
      <c r="C34" s="51"/>
      <c r="D34" s="73"/>
      <c r="E34" s="73"/>
      <c r="F34" s="74" t="str">
        <f t="shared" si="13"/>
        <v/>
      </c>
      <c r="G34" s="75"/>
      <c r="H34" s="40" t="str">
        <f>IF(OR($C34="",$D34="",$E34=""),"",SUMIFS(DATA_GOC!$H:$H,DATA_GOC!$A:$A,"NHAP",DATA_GOC!$E:$E,$C34,DATA_GOC!$B:$B,"&gt;="&amp;$D34,DATA_GOC!$B:$B,"&lt;="&amp;$E34))</f>
        <v/>
      </c>
      <c r="I34" s="40" t="str">
        <f>IF(OR($C34="",$D34="",$E34=""),"",SUMIFS(DATA_GOC!$H:$H,DATA_GOC!$A:$A,"BOM",DATA_GOC!$E:$E,$C34,DATA_GOC!$F:$F,"Xuất nội bộ từ téc",DATA_GOC!$B:$B,"&gt;="&amp;$D34,DATA_GOC!$B:$B,"&lt;="&amp;$E34))</f>
        <v/>
      </c>
      <c r="J34" s="40" t="str">
        <f t="shared" si="1"/>
        <v/>
      </c>
      <c r="K34" s="40" t="str">
        <f t="shared" si="2"/>
        <v/>
      </c>
      <c r="L34" s="40" t="str">
        <f t="shared" si="3"/>
        <v/>
      </c>
      <c r="M34" s="95" t="str">
        <f t="shared" si="4"/>
        <v/>
      </c>
      <c r="N34" s="95" t="str">
        <f t="shared" si="5"/>
        <v/>
      </c>
      <c r="O34" s="77"/>
      <c r="Q34" s="90">
        <f t="shared" si="6"/>
        <v>24</v>
      </c>
      <c r="R34" s="91" t="str">
        <f t="shared" si="7"/>
        <v>28C04536</v>
      </c>
      <c r="S34" s="92">
        <f t="shared" si="8"/>
        <v>0</v>
      </c>
      <c r="T34" s="93">
        <f t="shared" si="9"/>
        <v>0</v>
      </c>
      <c r="U34" s="92">
        <f t="shared" si="10"/>
        <v>0</v>
      </c>
      <c r="V34" s="92">
        <f t="shared" si="11"/>
        <v>0</v>
      </c>
      <c r="W34" s="92">
        <f t="shared" si="12"/>
        <v>0</v>
      </c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</row>
    <row r="35" ht="18.0" customHeight="1">
      <c r="A35" s="35">
        <v>30.0</v>
      </c>
      <c r="B35" s="51"/>
      <c r="C35" s="51"/>
      <c r="D35" s="73"/>
      <c r="E35" s="73"/>
      <c r="F35" s="74" t="str">
        <f t="shared" si="13"/>
        <v/>
      </c>
      <c r="G35" s="75"/>
      <c r="H35" s="40" t="str">
        <f>IF(OR($C35="",$D35="",$E35=""),"",SUMIFS(DATA_GOC!$H:$H,DATA_GOC!$A:$A,"NHAP",DATA_GOC!$E:$E,$C35,DATA_GOC!$B:$B,"&gt;="&amp;$D35,DATA_GOC!$B:$B,"&lt;="&amp;$E35))</f>
        <v/>
      </c>
      <c r="I35" s="40" t="str">
        <f>IF(OR($C35="",$D35="",$E35=""),"",SUMIFS(DATA_GOC!$H:$H,DATA_GOC!$A:$A,"BOM",DATA_GOC!$E:$E,$C35,DATA_GOC!$F:$F,"Xuất nội bộ từ téc",DATA_GOC!$B:$B,"&gt;="&amp;$D35,DATA_GOC!$B:$B,"&lt;="&amp;$E35))</f>
        <v/>
      </c>
      <c r="J35" s="40" t="str">
        <f t="shared" si="1"/>
        <v/>
      </c>
      <c r="K35" s="40" t="str">
        <f t="shared" si="2"/>
        <v/>
      </c>
      <c r="L35" s="40" t="str">
        <f t="shared" si="3"/>
        <v/>
      </c>
      <c r="M35" s="95" t="str">
        <f t="shared" si="4"/>
        <v/>
      </c>
      <c r="N35" s="95" t="str">
        <f t="shared" si="5"/>
        <v/>
      </c>
      <c r="O35" s="77"/>
      <c r="Q35" s="85">
        <f t="shared" si="6"/>
        <v>25</v>
      </c>
      <c r="R35" s="86" t="str">
        <f t="shared" si="7"/>
        <v>28C04576</v>
      </c>
      <c r="S35" s="87">
        <f t="shared" si="8"/>
        <v>240</v>
      </c>
      <c r="T35" s="88">
        <f t="shared" si="9"/>
        <v>0.01740517804</v>
      </c>
      <c r="U35" s="87">
        <f t="shared" si="10"/>
        <v>6.457</v>
      </c>
      <c r="V35" s="87">
        <f t="shared" si="11"/>
        <v>0</v>
      </c>
      <c r="W35" s="87">
        <f t="shared" si="12"/>
        <v>246.457</v>
      </c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</row>
    <row r="36" ht="18.0" customHeight="1">
      <c r="A36" s="35">
        <v>31.0</v>
      </c>
      <c r="B36" s="51"/>
      <c r="C36" s="51"/>
      <c r="D36" s="73"/>
      <c r="E36" s="73"/>
      <c r="F36" s="74" t="str">
        <f t="shared" si="13"/>
        <v/>
      </c>
      <c r="G36" s="75"/>
      <c r="H36" s="40" t="str">
        <f>IF(OR($C36="",$D36="",$E36=""),"",SUMIFS(DATA_GOC!$H:$H,DATA_GOC!$A:$A,"NHAP",DATA_GOC!$E:$E,$C36,DATA_GOC!$B:$B,"&gt;="&amp;$D36,DATA_GOC!$B:$B,"&lt;="&amp;$E36))</f>
        <v/>
      </c>
      <c r="I36" s="40" t="str">
        <f>IF(OR($C36="",$D36="",$E36=""),"",SUMIFS(DATA_GOC!$H:$H,DATA_GOC!$A:$A,"BOM",DATA_GOC!$E:$E,$C36,DATA_GOC!$F:$F,"Xuất nội bộ từ téc",DATA_GOC!$B:$B,"&gt;="&amp;$D36,DATA_GOC!$B:$B,"&lt;="&amp;$E36))</f>
        <v/>
      </c>
      <c r="J36" s="40" t="str">
        <f t="shared" si="1"/>
        <v/>
      </c>
      <c r="K36" s="40" t="str">
        <f t="shared" si="2"/>
        <v/>
      </c>
      <c r="L36" s="40" t="str">
        <f t="shared" si="3"/>
        <v/>
      </c>
      <c r="M36" s="95" t="str">
        <f t="shared" si="4"/>
        <v/>
      </c>
      <c r="N36" s="95" t="str">
        <f t="shared" si="5"/>
        <v/>
      </c>
      <c r="O36" s="77"/>
      <c r="Q36" s="90">
        <f t="shared" si="6"/>
        <v>26</v>
      </c>
      <c r="R36" s="91" t="str">
        <f t="shared" si="7"/>
        <v>28C05090</v>
      </c>
      <c r="S36" s="92">
        <f t="shared" si="8"/>
        <v>0</v>
      </c>
      <c r="T36" s="93">
        <f t="shared" si="9"/>
        <v>0</v>
      </c>
      <c r="U36" s="92">
        <f t="shared" si="10"/>
        <v>0</v>
      </c>
      <c r="V36" s="92">
        <f t="shared" si="11"/>
        <v>0</v>
      </c>
      <c r="W36" s="92">
        <f t="shared" si="12"/>
        <v>0</v>
      </c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</row>
    <row r="37" ht="18.0" customHeight="1">
      <c r="A37" s="35">
        <v>32.0</v>
      </c>
      <c r="B37" s="51"/>
      <c r="C37" s="51"/>
      <c r="D37" s="73"/>
      <c r="E37" s="73"/>
      <c r="F37" s="74" t="str">
        <f t="shared" si="13"/>
        <v/>
      </c>
      <c r="G37" s="75"/>
      <c r="H37" s="40" t="str">
        <f>IF(OR($C37="",$D37="",$E37=""),"",SUMIFS(DATA_GOC!$H:$H,DATA_GOC!$A:$A,"NHAP",DATA_GOC!$E:$E,$C37,DATA_GOC!$B:$B,"&gt;="&amp;$D37,DATA_GOC!$B:$B,"&lt;="&amp;$E37))</f>
        <v/>
      </c>
      <c r="I37" s="40" t="str">
        <f>IF(OR($C37="",$D37="",$E37=""),"",SUMIFS(DATA_GOC!$H:$H,DATA_GOC!$A:$A,"BOM",DATA_GOC!$E:$E,$C37,DATA_GOC!$F:$F,"Xuất nội bộ từ téc",DATA_GOC!$B:$B,"&gt;="&amp;$D37,DATA_GOC!$B:$B,"&lt;="&amp;$E37))</f>
        <v/>
      </c>
      <c r="J37" s="40" t="str">
        <f t="shared" si="1"/>
        <v/>
      </c>
      <c r="K37" s="40" t="str">
        <f t="shared" si="2"/>
        <v/>
      </c>
      <c r="L37" s="40" t="str">
        <f t="shared" si="3"/>
        <v/>
      </c>
      <c r="M37" s="95" t="str">
        <f t="shared" si="4"/>
        <v/>
      </c>
      <c r="N37" s="95" t="str">
        <f t="shared" si="5"/>
        <v/>
      </c>
      <c r="O37" s="77"/>
      <c r="Q37" s="85">
        <f t="shared" si="6"/>
        <v>27</v>
      </c>
      <c r="R37" s="86" t="str">
        <f t="shared" si="7"/>
        <v>28C05345</v>
      </c>
      <c r="S37" s="87">
        <f t="shared" si="8"/>
        <v>784</v>
      </c>
      <c r="T37" s="88">
        <f t="shared" si="9"/>
        <v>0.05685691493</v>
      </c>
      <c r="U37" s="87">
        <f t="shared" si="10"/>
        <v>21.094</v>
      </c>
      <c r="V37" s="87">
        <f t="shared" si="11"/>
        <v>0</v>
      </c>
      <c r="W37" s="87">
        <f t="shared" si="12"/>
        <v>805.094</v>
      </c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</row>
    <row r="38" ht="18.0" customHeight="1">
      <c r="A38" s="35">
        <v>33.0</v>
      </c>
      <c r="B38" s="51"/>
      <c r="C38" s="51"/>
      <c r="D38" s="73"/>
      <c r="E38" s="73"/>
      <c r="F38" s="74" t="str">
        <f t="shared" si="13"/>
        <v/>
      </c>
      <c r="G38" s="75"/>
      <c r="H38" s="40" t="str">
        <f>IF(OR($C38="",$D38="",$E38=""),"",SUMIFS(DATA_GOC!$H:$H,DATA_GOC!$A:$A,"NHAP",DATA_GOC!$E:$E,$C38,DATA_GOC!$B:$B,"&gt;="&amp;$D38,DATA_GOC!$B:$B,"&lt;="&amp;$E38))</f>
        <v/>
      </c>
      <c r="I38" s="40" t="str">
        <f>IF(OR($C38="",$D38="",$E38=""),"",SUMIFS(DATA_GOC!$H:$H,DATA_GOC!$A:$A,"BOM",DATA_GOC!$E:$E,$C38,DATA_GOC!$F:$F,"Xuất nội bộ từ téc",DATA_GOC!$B:$B,"&gt;="&amp;$D38,DATA_GOC!$B:$B,"&lt;="&amp;$E38))</f>
        <v/>
      </c>
      <c r="J38" s="40" t="str">
        <f t="shared" si="1"/>
        <v/>
      </c>
      <c r="K38" s="40" t="str">
        <f t="shared" si="2"/>
        <v/>
      </c>
      <c r="L38" s="40" t="str">
        <f t="shared" si="3"/>
        <v/>
      </c>
      <c r="M38" s="95" t="str">
        <f t="shared" si="4"/>
        <v/>
      </c>
      <c r="N38" s="95" t="str">
        <f t="shared" si="5"/>
        <v/>
      </c>
      <c r="O38" s="77"/>
      <c r="Q38" s="90">
        <f t="shared" si="6"/>
        <v>28</v>
      </c>
      <c r="R38" s="91" t="str">
        <f t="shared" si="7"/>
        <v>28C05661</v>
      </c>
      <c r="S38" s="92">
        <f t="shared" si="8"/>
        <v>0</v>
      </c>
      <c r="T38" s="93">
        <f t="shared" si="9"/>
        <v>0</v>
      </c>
      <c r="U38" s="92">
        <f t="shared" si="10"/>
        <v>0</v>
      </c>
      <c r="V38" s="92">
        <f t="shared" si="11"/>
        <v>0</v>
      </c>
      <c r="W38" s="92">
        <f t="shared" si="12"/>
        <v>0</v>
      </c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</row>
    <row r="39" ht="18.0" customHeight="1">
      <c r="A39" s="35">
        <v>34.0</v>
      </c>
      <c r="B39" s="51"/>
      <c r="C39" s="51"/>
      <c r="D39" s="73"/>
      <c r="E39" s="73"/>
      <c r="F39" s="74" t="str">
        <f t="shared" si="13"/>
        <v/>
      </c>
      <c r="G39" s="75"/>
      <c r="H39" s="40" t="str">
        <f>IF(OR($C39="",$D39="",$E39=""),"",SUMIFS(DATA_GOC!$H:$H,DATA_GOC!$A:$A,"NHAP",DATA_GOC!$E:$E,$C39,DATA_GOC!$B:$B,"&gt;="&amp;$D39,DATA_GOC!$B:$B,"&lt;="&amp;$E39))</f>
        <v/>
      </c>
      <c r="I39" s="40" t="str">
        <f>IF(OR($C39="",$D39="",$E39=""),"",SUMIFS(DATA_GOC!$H:$H,DATA_GOC!$A:$A,"BOM",DATA_GOC!$E:$E,$C39,DATA_GOC!$F:$F,"Xuất nội bộ từ téc",DATA_GOC!$B:$B,"&gt;="&amp;$D39,DATA_GOC!$B:$B,"&lt;="&amp;$E39))</f>
        <v/>
      </c>
      <c r="J39" s="40" t="str">
        <f t="shared" si="1"/>
        <v/>
      </c>
      <c r="K39" s="40" t="str">
        <f t="shared" si="2"/>
        <v/>
      </c>
      <c r="L39" s="40" t="str">
        <f t="shared" si="3"/>
        <v/>
      </c>
      <c r="M39" s="95" t="str">
        <f t="shared" si="4"/>
        <v/>
      </c>
      <c r="N39" s="95" t="str">
        <f t="shared" si="5"/>
        <v/>
      </c>
      <c r="O39" s="77"/>
      <c r="Q39" s="85">
        <f t="shared" si="6"/>
        <v>29</v>
      </c>
      <c r="R39" s="86" t="str">
        <f t="shared" si="7"/>
        <v>28C05739</v>
      </c>
      <c r="S39" s="87">
        <f t="shared" si="8"/>
        <v>218</v>
      </c>
      <c r="T39" s="88">
        <f t="shared" si="9"/>
        <v>0.01580970339</v>
      </c>
      <c r="U39" s="87">
        <f t="shared" si="10"/>
        <v>5.865</v>
      </c>
      <c r="V39" s="87">
        <f t="shared" si="11"/>
        <v>0</v>
      </c>
      <c r="W39" s="87">
        <f t="shared" si="12"/>
        <v>223.865</v>
      </c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</row>
    <row r="40" ht="18.0" customHeight="1">
      <c r="A40" s="35">
        <v>35.0</v>
      </c>
      <c r="B40" s="51"/>
      <c r="C40" s="51"/>
      <c r="D40" s="73"/>
      <c r="E40" s="73"/>
      <c r="F40" s="74" t="str">
        <f t="shared" si="13"/>
        <v/>
      </c>
      <c r="G40" s="75"/>
      <c r="H40" s="40" t="str">
        <f>IF(OR($C40="",$D40="",$E40=""),"",SUMIFS(DATA_GOC!$H:$H,DATA_GOC!$A:$A,"NHAP",DATA_GOC!$E:$E,$C40,DATA_GOC!$B:$B,"&gt;="&amp;$D40,DATA_GOC!$B:$B,"&lt;="&amp;$E40))</f>
        <v/>
      </c>
      <c r="I40" s="40" t="str">
        <f>IF(OR($C40="",$D40="",$E40=""),"",SUMIFS(DATA_GOC!$H:$H,DATA_GOC!$A:$A,"BOM",DATA_GOC!$E:$E,$C40,DATA_GOC!$F:$F,"Xuất nội bộ từ téc",DATA_GOC!$B:$B,"&gt;="&amp;$D40,DATA_GOC!$B:$B,"&lt;="&amp;$E40))</f>
        <v/>
      </c>
      <c r="J40" s="40" t="str">
        <f t="shared" si="1"/>
        <v/>
      </c>
      <c r="K40" s="40" t="str">
        <f t="shared" si="2"/>
        <v/>
      </c>
      <c r="L40" s="40" t="str">
        <f t="shared" si="3"/>
        <v/>
      </c>
      <c r="M40" s="95" t="str">
        <f t="shared" si="4"/>
        <v/>
      </c>
      <c r="N40" s="95" t="str">
        <f t="shared" si="5"/>
        <v/>
      </c>
      <c r="O40" s="77"/>
      <c r="Q40" s="90">
        <f t="shared" si="6"/>
        <v>30</v>
      </c>
      <c r="R40" s="91" t="str">
        <f t="shared" si="7"/>
        <v>28C06369</v>
      </c>
      <c r="S40" s="92">
        <f t="shared" si="8"/>
        <v>430</v>
      </c>
      <c r="T40" s="93">
        <f t="shared" si="9"/>
        <v>0.03118427732</v>
      </c>
      <c r="U40" s="92">
        <f t="shared" si="10"/>
        <v>11.569</v>
      </c>
      <c r="V40" s="92">
        <f t="shared" si="11"/>
        <v>0</v>
      </c>
      <c r="W40" s="92">
        <f t="shared" si="12"/>
        <v>441.569</v>
      </c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</row>
    <row r="41" ht="18.0" customHeight="1">
      <c r="A41" s="35">
        <v>36.0</v>
      </c>
      <c r="B41" s="51"/>
      <c r="C41" s="51"/>
      <c r="D41" s="73"/>
      <c r="E41" s="73"/>
      <c r="F41" s="74" t="str">
        <f t="shared" si="13"/>
        <v/>
      </c>
      <c r="G41" s="75"/>
      <c r="H41" s="40" t="str">
        <f>IF(OR($C41="",$D41="",$E41=""),"",SUMIFS(DATA_GOC!$H:$H,DATA_GOC!$A:$A,"NHAP",DATA_GOC!$E:$E,$C41,DATA_GOC!$B:$B,"&gt;="&amp;$D41,DATA_GOC!$B:$B,"&lt;="&amp;$E41))</f>
        <v/>
      </c>
      <c r="I41" s="40" t="str">
        <f>IF(OR($C41="",$D41="",$E41=""),"",SUMIFS(DATA_GOC!$H:$H,DATA_GOC!$A:$A,"BOM",DATA_GOC!$E:$E,$C41,DATA_GOC!$F:$F,"Xuất nội bộ từ téc",DATA_GOC!$B:$B,"&gt;="&amp;$D41,DATA_GOC!$B:$B,"&lt;="&amp;$E41))</f>
        <v/>
      </c>
      <c r="J41" s="40" t="str">
        <f t="shared" si="1"/>
        <v/>
      </c>
      <c r="K41" s="40" t="str">
        <f t="shared" si="2"/>
        <v/>
      </c>
      <c r="L41" s="40" t="str">
        <f t="shared" si="3"/>
        <v/>
      </c>
      <c r="M41" s="95" t="str">
        <f t="shared" si="4"/>
        <v/>
      </c>
      <c r="N41" s="95" t="str">
        <f t="shared" si="5"/>
        <v/>
      </c>
      <c r="O41" s="77"/>
      <c r="Q41" s="85">
        <f t="shared" si="6"/>
        <v>31</v>
      </c>
      <c r="R41" s="86" t="str">
        <f t="shared" si="7"/>
        <v>28C06447</v>
      </c>
      <c r="S41" s="87">
        <f t="shared" si="8"/>
        <v>913</v>
      </c>
      <c r="T41" s="88">
        <f t="shared" si="9"/>
        <v>0.06621219813</v>
      </c>
      <c r="U41" s="87">
        <f t="shared" si="10"/>
        <v>24.565</v>
      </c>
      <c r="V41" s="87">
        <f t="shared" si="11"/>
        <v>0</v>
      </c>
      <c r="W41" s="87">
        <f t="shared" si="12"/>
        <v>937.565</v>
      </c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</row>
    <row r="42" ht="18.0" customHeight="1">
      <c r="A42" s="35">
        <v>37.0</v>
      </c>
      <c r="B42" s="51"/>
      <c r="C42" s="51"/>
      <c r="D42" s="73"/>
      <c r="E42" s="73"/>
      <c r="F42" s="74" t="str">
        <f t="shared" si="13"/>
        <v/>
      </c>
      <c r="G42" s="75"/>
      <c r="H42" s="40" t="str">
        <f>IF(OR($C42="",$D42="",$E42=""),"",SUMIFS(DATA_GOC!$H:$H,DATA_GOC!$A:$A,"NHAP",DATA_GOC!$E:$E,$C42,DATA_GOC!$B:$B,"&gt;="&amp;$D42,DATA_GOC!$B:$B,"&lt;="&amp;$E42))</f>
        <v/>
      </c>
      <c r="I42" s="40" t="str">
        <f>IF(OR($C42="",$D42="",$E42=""),"",SUMIFS(DATA_GOC!$H:$H,DATA_GOC!$A:$A,"BOM",DATA_GOC!$E:$E,$C42,DATA_GOC!$F:$F,"Xuất nội bộ từ téc",DATA_GOC!$B:$B,"&gt;="&amp;$D42,DATA_GOC!$B:$B,"&lt;="&amp;$E42))</f>
        <v/>
      </c>
      <c r="J42" s="40" t="str">
        <f t="shared" si="1"/>
        <v/>
      </c>
      <c r="K42" s="40" t="str">
        <f t="shared" si="2"/>
        <v/>
      </c>
      <c r="L42" s="40" t="str">
        <f t="shared" si="3"/>
        <v/>
      </c>
      <c r="M42" s="95" t="str">
        <f t="shared" si="4"/>
        <v/>
      </c>
      <c r="N42" s="95" t="str">
        <f t="shared" si="5"/>
        <v/>
      </c>
      <c r="O42" s="77"/>
      <c r="Q42" s="90">
        <f t="shared" si="6"/>
        <v>32</v>
      </c>
      <c r="R42" s="91" t="str">
        <f t="shared" si="7"/>
        <v>28H00003</v>
      </c>
      <c r="S42" s="92">
        <f t="shared" si="8"/>
        <v>546</v>
      </c>
      <c r="T42" s="93">
        <f t="shared" si="9"/>
        <v>0.03959678004</v>
      </c>
      <c r="U42" s="92">
        <f t="shared" si="10"/>
        <v>14.69</v>
      </c>
      <c r="V42" s="92">
        <f t="shared" si="11"/>
        <v>0</v>
      </c>
      <c r="W42" s="92">
        <f t="shared" si="12"/>
        <v>560.69</v>
      </c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</row>
    <row r="43" ht="18.0" customHeight="1">
      <c r="A43" s="35">
        <v>38.0</v>
      </c>
      <c r="B43" s="51"/>
      <c r="C43" s="51"/>
      <c r="D43" s="73"/>
      <c r="E43" s="73"/>
      <c r="F43" s="74" t="str">
        <f t="shared" si="13"/>
        <v/>
      </c>
      <c r="G43" s="75"/>
      <c r="H43" s="40" t="str">
        <f>IF(OR($C43="",$D43="",$E43=""),"",SUMIFS(DATA_GOC!$H:$H,DATA_GOC!$A:$A,"NHAP",DATA_GOC!$E:$E,$C43,DATA_GOC!$B:$B,"&gt;="&amp;$D43,DATA_GOC!$B:$B,"&lt;="&amp;$E43))</f>
        <v/>
      </c>
      <c r="I43" s="40" t="str">
        <f>IF(OR($C43="",$D43="",$E43=""),"",SUMIFS(DATA_GOC!$H:$H,DATA_GOC!$A:$A,"BOM",DATA_GOC!$E:$E,$C43,DATA_GOC!$F:$F,"Xuất nội bộ từ téc",DATA_GOC!$B:$B,"&gt;="&amp;$D43,DATA_GOC!$B:$B,"&lt;="&amp;$E43))</f>
        <v/>
      </c>
      <c r="J43" s="40" t="str">
        <f t="shared" si="1"/>
        <v/>
      </c>
      <c r="K43" s="40" t="str">
        <f t="shared" si="2"/>
        <v/>
      </c>
      <c r="L43" s="40" t="str">
        <f t="shared" si="3"/>
        <v/>
      </c>
      <c r="M43" s="95" t="str">
        <f t="shared" si="4"/>
        <v/>
      </c>
      <c r="N43" s="95" t="str">
        <f t="shared" si="5"/>
        <v/>
      </c>
      <c r="O43" s="77"/>
      <c r="Q43" s="85">
        <f t="shared" si="6"/>
        <v>33</v>
      </c>
      <c r="R43" s="86" t="str">
        <f t="shared" si="7"/>
        <v>28H00061</v>
      </c>
      <c r="S43" s="87">
        <f t="shared" si="8"/>
        <v>366</v>
      </c>
      <c r="T43" s="88">
        <f t="shared" si="9"/>
        <v>0.02654289651</v>
      </c>
      <c r="U43" s="87">
        <f t="shared" si="10"/>
        <v>9.847</v>
      </c>
      <c r="V43" s="87">
        <f t="shared" si="11"/>
        <v>0</v>
      </c>
      <c r="W43" s="87">
        <f t="shared" si="12"/>
        <v>375.847</v>
      </c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</row>
    <row r="44" ht="18.0" customHeight="1">
      <c r="A44" s="35">
        <v>39.0</v>
      </c>
      <c r="B44" s="51"/>
      <c r="C44" s="51"/>
      <c r="D44" s="73"/>
      <c r="E44" s="73"/>
      <c r="F44" s="74" t="str">
        <f t="shared" si="13"/>
        <v/>
      </c>
      <c r="G44" s="75"/>
      <c r="H44" s="40" t="str">
        <f>IF(OR($C44="",$D44="",$E44=""),"",SUMIFS(DATA_GOC!$H:$H,DATA_GOC!$A:$A,"NHAP",DATA_GOC!$E:$E,$C44,DATA_GOC!$B:$B,"&gt;="&amp;$D44,DATA_GOC!$B:$B,"&lt;="&amp;$E44))</f>
        <v/>
      </c>
      <c r="I44" s="40" t="str">
        <f>IF(OR($C44="",$D44="",$E44=""),"",SUMIFS(DATA_GOC!$H:$H,DATA_GOC!$A:$A,"BOM",DATA_GOC!$E:$E,$C44,DATA_GOC!$F:$F,"Xuất nội bộ từ téc",DATA_GOC!$B:$B,"&gt;="&amp;$D44,DATA_GOC!$B:$B,"&lt;="&amp;$E44))</f>
        <v/>
      </c>
      <c r="J44" s="40" t="str">
        <f t="shared" si="1"/>
        <v/>
      </c>
      <c r="K44" s="40" t="str">
        <f t="shared" si="2"/>
        <v/>
      </c>
      <c r="L44" s="40" t="str">
        <f t="shared" si="3"/>
        <v/>
      </c>
      <c r="M44" s="95" t="str">
        <f t="shared" si="4"/>
        <v/>
      </c>
      <c r="N44" s="95" t="str">
        <f t="shared" si="5"/>
        <v/>
      </c>
      <c r="O44" s="77"/>
      <c r="Q44" s="90">
        <f t="shared" si="6"/>
        <v>34</v>
      </c>
      <c r="R44" s="91" t="str">
        <f t="shared" si="7"/>
        <v>28H00354</v>
      </c>
      <c r="S44" s="92">
        <f t="shared" si="8"/>
        <v>480</v>
      </c>
      <c r="T44" s="93">
        <f t="shared" si="9"/>
        <v>0.03481035608</v>
      </c>
      <c r="U44" s="92">
        <f t="shared" si="10"/>
        <v>12.915</v>
      </c>
      <c r="V44" s="92">
        <f t="shared" si="11"/>
        <v>0</v>
      </c>
      <c r="W44" s="92">
        <f t="shared" si="12"/>
        <v>492.915</v>
      </c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</row>
    <row r="45" ht="18.0" customHeight="1">
      <c r="A45" s="35">
        <v>40.0</v>
      </c>
      <c r="B45" s="51"/>
      <c r="C45" s="51"/>
      <c r="D45" s="73"/>
      <c r="E45" s="73"/>
      <c r="F45" s="74" t="str">
        <f t="shared" si="13"/>
        <v/>
      </c>
      <c r="G45" s="75"/>
      <c r="H45" s="40" t="str">
        <f>IF(OR($C45="",$D45="",$E45=""),"",SUMIFS(DATA_GOC!$H:$H,DATA_GOC!$A:$A,"NHAP",DATA_GOC!$E:$E,$C45,DATA_GOC!$B:$B,"&gt;="&amp;$D45,DATA_GOC!$B:$B,"&lt;="&amp;$E45))</f>
        <v/>
      </c>
      <c r="I45" s="40" t="str">
        <f>IF(OR($C45="",$D45="",$E45=""),"",SUMIFS(DATA_GOC!$H:$H,DATA_GOC!$A:$A,"BOM",DATA_GOC!$E:$E,$C45,DATA_GOC!$F:$F,"Xuất nội bộ từ téc",DATA_GOC!$B:$B,"&gt;="&amp;$D45,DATA_GOC!$B:$B,"&lt;="&amp;$E45))</f>
        <v/>
      </c>
      <c r="J45" s="40" t="str">
        <f t="shared" si="1"/>
        <v/>
      </c>
      <c r="K45" s="40" t="str">
        <f t="shared" si="2"/>
        <v/>
      </c>
      <c r="L45" s="40" t="str">
        <f t="shared" si="3"/>
        <v/>
      </c>
      <c r="M45" s="95" t="str">
        <f t="shared" si="4"/>
        <v/>
      </c>
      <c r="N45" s="95" t="str">
        <f t="shared" si="5"/>
        <v/>
      </c>
      <c r="O45" s="77"/>
      <c r="Q45" s="85">
        <f t="shared" si="6"/>
        <v>35</v>
      </c>
      <c r="R45" s="86" t="str">
        <f t="shared" si="7"/>
        <v>28H00603</v>
      </c>
      <c r="S45" s="87">
        <f t="shared" si="8"/>
        <v>220</v>
      </c>
      <c r="T45" s="88">
        <f t="shared" si="9"/>
        <v>0.01595474654</v>
      </c>
      <c r="U45" s="87">
        <f t="shared" si="10"/>
        <v>5.919</v>
      </c>
      <c r="V45" s="87">
        <f t="shared" si="11"/>
        <v>0</v>
      </c>
      <c r="W45" s="87">
        <f t="shared" si="12"/>
        <v>225.919</v>
      </c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</row>
    <row r="46" ht="18.0" customHeight="1">
      <c r="A46" s="35">
        <v>41.0</v>
      </c>
      <c r="B46" s="51"/>
      <c r="C46" s="51"/>
      <c r="D46" s="73"/>
      <c r="E46" s="73"/>
      <c r="F46" s="74" t="str">
        <f t="shared" si="13"/>
        <v/>
      </c>
      <c r="G46" s="75"/>
      <c r="H46" s="40" t="str">
        <f>IF(OR($C46="",$D46="",$E46=""),"",SUMIFS(DATA_GOC!$H:$H,DATA_GOC!$A:$A,"NHAP",DATA_GOC!$E:$E,$C46,DATA_GOC!$B:$B,"&gt;="&amp;$D46,DATA_GOC!$B:$B,"&lt;="&amp;$E46))</f>
        <v/>
      </c>
      <c r="I46" s="40" t="str">
        <f>IF(OR($C46="",$D46="",$E46=""),"",SUMIFS(DATA_GOC!$H:$H,DATA_GOC!$A:$A,"BOM",DATA_GOC!$E:$E,$C46,DATA_GOC!$F:$F,"Xuất nội bộ từ téc",DATA_GOC!$B:$B,"&gt;="&amp;$D46,DATA_GOC!$B:$B,"&lt;="&amp;$E46))</f>
        <v/>
      </c>
      <c r="J46" s="40" t="str">
        <f t="shared" si="1"/>
        <v/>
      </c>
      <c r="K46" s="40" t="str">
        <f t="shared" si="2"/>
        <v/>
      </c>
      <c r="L46" s="40" t="str">
        <f t="shared" si="3"/>
        <v/>
      </c>
      <c r="M46" s="95" t="str">
        <f t="shared" si="4"/>
        <v/>
      </c>
      <c r="N46" s="95" t="str">
        <f t="shared" si="5"/>
        <v/>
      </c>
      <c r="O46" s="77"/>
      <c r="Q46" s="90">
        <f t="shared" si="6"/>
        <v>36</v>
      </c>
      <c r="R46" s="91" t="str">
        <f t="shared" si="7"/>
        <v>28H00609</v>
      </c>
      <c r="S46" s="92">
        <f t="shared" si="8"/>
        <v>240</v>
      </c>
      <c r="T46" s="93">
        <f t="shared" si="9"/>
        <v>0.01740517804</v>
      </c>
      <c r="U46" s="92">
        <f t="shared" si="10"/>
        <v>6.457</v>
      </c>
      <c r="V46" s="92">
        <f t="shared" si="11"/>
        <v>0</v>
      </c>
      <c r="W46" s="92">
        <f t="shared" si="12"/>
        <v>246.457</v>
      </c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</row>
    <row r="47" ht="18.0" customHeight="1">
      <c r="A47" s="35">
        <v>42.0</v>
      </c>
      <c r="B47" s="51"/>
      <c r="C47" s="51"/>
      <c r="D47" s="73"/>
      <c r="E47" s="73"/>
      <c r="F47" s="74" t="str">
        <f t="shared" si="13"/>
        <v/>
      </c>
      <c r="G47" s="75"/>
      <c r="H47" s="40" t="str">
        <f>IF(OR($C47="",$D47="",$E47=""),"",SUMIFS(DATA_GOC!$H:$H,DATA_GOC!$A:$A,"NHAP",DATA_GOC!$E:$E,$C47,DATA_GOC!$B:$B,"&gt;="&amp;$D47,DATA_GOC!$B:$B,"&lt;="&amp;$E47))</f>
        <v/>
      </c>
      <c r="I47" s="40" t="str">
        <f>IF(OR($C47="",$D47="",$E47=""),"",SUMIFS(DATA_GOC!$H:$H,DATA_GOC!$A:$A,"BOM",DATA_GOC!$E:$E,$C47,DATA_GOC!$F:$F,"Xuất nội bộ từ téc",DATA_GOC!$B:$B,"&gt;="&amp;$D47,DATA_GOC!$B:$B,"&lt;="&amp;$E47))</f>
        <v/>
      </c>
      <c r="J47" s="40" t="str">
        <f t="shared" si="1"/>
        <v/>
      </c>
      <c r="K47" s="40" t="str">
        <f t="shared" si="2"/>
        <v/>
      </c>
      <c r="L47" s="40" t="str">
        <f t="shared" si="3"/>
        <v/>
      </c>
      <c r="M47" s="95" t="str">
        <f t="shared" si="4"/>
        <v/>
      </c>
      <c r="N47" s="95" t="str">
        <f t="shared" si="5"/>
        <v/>
      </c>
      <c r="O47" s="77"/>
      <c r="Q47" s="85">
        <f t="shared" si="6"/>
        <v>37</v>
      </c>
      <c r="R47" s="86" t="str">
        <f t="shared" si="7"/>
        <v>28H00669</v>
      </c>
      <c r="S47" s="87">
        <f t="shared" si="8"/>
        <v>0</v>
      </c>
      <c r="T47" s="88">
        <f t="shared" si="9"/>
        <v>0</v>
      </c>
      <c r="U47" s="87">
        <f t="shared" si="10"/>
        <v>0</v>
      </c>
      <c r="V47" s="87">
        <f t="shared" si="11"/>
        <v>0</v>
      </c>
      <c r="W47" s="87">
        <f t="shared" si="12"/>
        <v>0</v>
      </c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</row>
    <row r="48" ht="18.0" customHeight="1">
      <c r="A48" s="35">
        <v>43.0</v>
      </c>
      <c r="B48" s="51"/>
      <c r="C48" s="51"/>
      <c r="D48" s="73"/>
      <c r="E48" s="73"/>
      <c r="F48" s="74" t="str">
        <f t="shared" si="13"/>
        <v/>
      </c>
      <c r="G48" s="75"/>
      <c r="H48" s="40" t="str">
        <f>IF(OR($C48="",$D48="",$E48=""),"",SUMIFS(DATA_GOC!$H:$H,DATA_GOC!$A:$A,"NHAP",DATA_GOC!$E:$E,$C48,DATA_GOC!$B:$B,"&gt;="&amp;$D48,DATA_GOC!$B:$B,"&lt;="&amp;$E48))</f>
        <v/>
      </c>
      <c r="I48" s="40" t="str">
        <f>IF(OR($C48="",$D48="",$E48=""),"",SUMIFS(DATA_GOC!$H:$H,DATA_GOC!$A:$A,"BOM",DATA_GOC!$E:$E,$C48,DATA_GOC!$F:$F,"Xuất nội bộ từ téc",DATA_GOC!$B:$B,"&gt;="&amp;$D48,DATA_GOC!$B:$B,"&lt;="&amp;$E48))</f>
        <v/>
      </c>
      <c r="J48" s="40" t="str">
        <f t="shared" si="1"/>
        <v/>
      </c>
      <c r="K48" s="40" t="str">
        <f t="shared" si="2"/>
        <v/>
      </c>
      <c r="L48" s="40" t="str">
        <f t="shared" si="3"/>
        <v/>
      </c>
      <c r="M48" s="95" t="str">
        <f t="shared" si="4"/>
        <v/>
      </c>
      <c r="N48" s="95" t="str">
        <f t="shared" si="5"/>
        <v/>
      </c>
      <c r="O48" s="77"/>
      <c r="Q48" s="90">
        <f t="shared" si="6"/>
        <v>38</v>
      </c>
      <c r="R48" s="91" t="str">
        <f t="shared" si="7"/>
        <v>28H00680</v>
      </c>
      <c r="S48" s="92">
        <f t="shared" si="8"/>
        <v>1248</v>
      </c>
      <c r="T48" s="93">
        <f t="shared" si="9"/>
        <v>0.09050692581</v>
      </c>
      <c r="U48" s="92">
        <f t="shared" si="10"/>
        <v>33.578</v>
      </c>
      <c r="V48" s="92">
        <f t="shared" si="11"/>
        <v>0</v>
      </c>
      <c r="W48" s="92">
        <f t="shared" si="12"/>
        <v>1281.578</v>
      </c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</row>
    <row r="49" ht="18.0" customHeight="1">
      <c r="A49" s="35">
        <v>44.0</v>
      </c>
      <c r="B49" s="51"/>
      <c r="C49" s="51"/>
      <c r="D49" s="73"/>
      <c r="E49" s="73"/>
      <c r="F49" s="74" t="str">
        <f t="shared" si="13"/>
        <v/>
      </c>
      <c r="G49" s="75"/>
      <c r="H49" s="40" t="str">
        <f>IF(OR($C49="",$D49="",$E49=""),"",SUMIFS(DATA_GOC!$H:$H,DATA_GOC!$A:$A,"NHAP",DATA_GOC!$E:$E,$C49,DATA_GOC!$B:$B,"&gt;="&amp;$D49,DATA_GOC!$B:$B,"&lt;="&amp;$E49))</f>
        <v/>
      </c>
      <c r="I49" s="40" t="str">
        <f>IF(OR($C49="",$D49="",$E49=""),"",SUMIFS(DATA_GOC!$H:$H,DATA_GOC!$A:$A,"BOM",DATA_GOC!$E:$E,$C49,DATA_GOC!$F:$F,"Xuất nội bộ từ téc",DATA_GOC!$B:$B,"&gt;="&amp;$D49,DATA_GOC!$B:$B,"&lt;="&amp;$E49))</f>
        <v/>
      </c>
      <c r="J49" s="40" t="str">
        <f t="shared" si="1"/>
        <v/>
      </c>
      <c r="K49" s="40" t="str">
        <f t="shared" si="2"/>
        <v/>
      </c>
      <c r="L49" s="40" t="str">
        <f t="shared" si="3"/>
        <v/>
      </c>
      <c r="M49" s="95" t="str">
        <f t="shared" si="4"/>
        <v/>
      </c>
      <c r="N49" s="95" t="str">
        <f t="shared" si="5"/>
        <v/>
      </c>
      <c r="O49" s="77"/>
      <c r="Q49" s="85">
        <f t="shared" si="6"/>
        <v>39</v>
      </c>
      <c r="R49" s="86" t="str">
        <f t="shared" si="7"/>
        <v>28H01070</v>
      </c>
      <c r="S49" s="87">
        <f t="shared" si="8"/>
        <v>0</v>
      </c>
      <c r="T49" s="88">
        <f t="shared" si="9"/>
        <v>0</v>
      </c>
      <c r="U49" s="87">
        <f t="shared" si="10"/>
        <v>0</v>
      </c>
      <c r="V49" s="87">
        <f t="shared" si="11"/>
        <v>0</v>
      </c>
      <c r="W49" s="87">
        <f t="shared" si="12"/>
        <v>0</v>
      </c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</row>
    <row r="50" ht="18.0" customHeight="1">
      <c r="A50" s="35">
        <v>45.0</v>
      </c>
      <c r="B50" s="51"/>
      <c r="C50" s="51"/>
      <c r="D50" s="73"/>
      <c r="E50" s="73"/>
      <c r="F50" s="74" t="str">
        <f t="shared" si="13"/>
        <v/>
      </c>
      <c r="G50" s="75"/>
      <c r="H50" s="40" t="str">
        <f>IF(OR($C50="",$D50="",$E50=""),"",SUMIFS(DATA_GOC!$H:$H,DATA_GOC!$A:$A,"NHAP",DATA_GOC!$E:$E,$C50,DATA_GOC!$B:$B,"&gt;="&amp;$D50,DATA_GOC!$B:$B,"&lt;="&amp;$E50))</f>
        <v/>
      </c>
      <c r="I50" s="40" t="str">
        <f>IF(OR($C50="",$D50="",$E50=""),"",SUMIFS(DATA_GOC!$H:$H,DATA_GOC!$A:$A,"BOM",DATA_GOC!$E:$E,$C50,DATA_GOC!$F:$F,"Xuất nội bộ từ téc",DATA_GOC!$B:$B,"&gt;="&amp;$D50,DATA_GOC!$B:$B,"&lt;="&amp;$E50))</f>
        <v/>
      </c>
      <c r="J50" s="40" t="str">
        <f t="shared" si="1"/>
        <v/>
      </c>
      <c r="K50" s="40" t="str">
        <f t="shared" si="2"/>
        <v/>
      </c>
      <c r="L50" s="40" t="str">
        <f t="shared" si="3"/>
        <v/>
      </c>
      <c r="M50" s="95" t="str">
        <f t="shared" si="4"/>
        <v/>
      </c>
      <c r="N50" s="95" t="str">
        <f t="shared" si="5"/>
        <v/>
      </c>
      <c r="O50" s="77"/>
      <c r="Q50" s="90">
        <f t="shared" si="6"/>
        <v>40</v>
      </c>
      <c r="R50" s="91" t="str">
        <f t="shared" si="7"/>
        <v>28H01364</v>
      </c>
      <c r="S50" s="92">
        <f t="shared" si="8"/>
        <v>710</v>
      </c>
      <c r="T50" s="93">
        <f t="shared" si="9"/>
        <v>0.05149031837</v>
      </c>
      <c r="U50" s="92">
        <f t="shared" si="10"/>
        <v>19.103</v>
      </c>
      <c r="V50" s="92">
        <f t="shared" si="11"/>
        <v>0</v>
      </c>
      <c r="W50" s="92">
        <f t="shared" si="12"/>
        <v>729.103</v>
      </c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</row>
    <row r="51" ht="18.0" customHeight="1">
      <c r="A51" s="35">
        <v>46.0</v>
      </c>
      <c r="B51" s="51"/>
      <c r="C51" s="51"/>
      <c r="D51" s="73"/>
      <c r="E51" s="73"/>
      <c r="F51" s="74" t="str">
        <f t="shared" si="13"/>
        <v/>
      </c>
      <c r="G51" s="75"/>
      <c r="H51" s="40" t="str">
        <f>IF(OR($C51="",$D51="",$E51=""),"",SUMIFS(DATA_GOC!$H:$H,DATA_GOC!$A:$A,"NHAP",DATA_GOC!$E:$E,$C51,DATA_GOC!$B:$B,"&gt;="&amp;$D51,DATA_GOC!$B:$B,"&lt;="&amp;$E51))</f>
        <v/>
      </c>
      <c r="I51" s="40" t="str">
        <f>IF(OR($C51="",$D51="",$E51=""),"",SUMIFS(DATA_GOC!$H:$H,DATA_GOC!$A:$A,"BOM",DATA_GOC!$E:$E,$C51,DATA_GOC!$F:$F,"Xuất nội bộ từ téc",DATA_GOC!$B:$B,"&gt;="&amp;$D51,DATA_GOC!$B:$B,"&lt;="&amp;$E51))</f>
        <v/>
      </c>
      <c r="J51" s="40" t="str">
        <f t="shared" si="1"/>
        <v/>
      </c>
      <c r="K51" s="40" t="str">
        <f t="shared" si="2"/>
        <v/>
      </c>
      <c r="L51" s="40" t="str">
        <f t="shared" si="3"/>
        <v/>
      </c>
      <c r="M51" s="95" t="str">
        <f t="shared" si="4"/>
        <v/>
      </c>
      <c r="N51" s="95" t="str">
        <f t="shared" si="5"/>
        <v/>
      </c>
      <c r="O51" s="77"/>
      <c r="Q51" s="85">
        <f t="shared" si="6"/>
        <v>41</v>
      </c>
      <c r="R51" s="86" t="str">
        <f t="shared" si="7"/>
        <v>29E17269</v>
      </c>
      <c r="S51" s="87">
        <f t="shared" si="8"/>
        <v>274</v>
      </c>
      <c r="T51" s="88">
        <f t="shared" si="9"/>
        <v>0.0198709116</v>
      </c>
      <c r="U51" s="87">
        <f t="shared" si="10"/>
        <v>7.372</v>
      </c>
      <c r="V51" s="87">
        <f t="shared" si="11"/>
        <v>0</v>
      </c>
      <c r="W51" s="87">
        <f t="shared" si="12"/>
        <v>281.372</v>
      </c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</row>
    <row r="52" ht="18.0" customHeight="1">
      <c r="A52" s="35">
        <v>47.0</v>
      </c>
      <c r="B52" s="51"/>
      <c r="C52" s="51"/>
      <c r="D52" s="73"/>
      <c r="E52" s="73"/>
      <c r="F52" s="74" t="str">
        <f t="shared" si="13"/>
        <v/>
      </c>
      <c r="G52" s="75"/>
      <c r="H52" s="40" t="str">
        <f>IF(OR($C52="",$D52="",$E52=""),"",SUMIFS(DATA_GOC!$H:$H,DATA_GOC!$A:$A,"NHAP",DATA_GOC!$E:$E,$C52,DATA_GOC!$B:$B,"&gt;="&amp;$D52,DATA_GOC!$B:$B,"&lt;="&amp;$E52))</f>
        <v/>
      </c>
      <c r="I52" s="40" t="str">
        <f>IF(OR($C52="",$D52="",$E52=""),"",SUMIFS(DATA_GOC!$H:$H,DATA_GOC!$A:$A,"BOM",DATA_GOC!$E:$E,$C52,DATA_GOC!$F:$F,"Xuất nội bộ từ téc",DATA_GOC!$B:$B,"&gt;="&amp;$D52,DATA_GOC!$B:$B,"&lt;="&amp;$E52))</f>
        <v/>
      </c>
      <c r="J52" s="40" t="str">
        <f t="shared" si="1"/>
        <v/>
      </c>
      <c r="K52" s="40" t="str">
        <f t="shared" si="2"/>
        <v/>
      </c>
      <c r="L52" s="40" t="str">
        <f t="shared" si="3"/>
        <v/>
      </c>
      <c r="M52" s="95" t="str">
        <f t="shared" si="4"/>
        <v/>
      </c>
      <c r="N52" s="95" t="str">
        <f t="shared" si="5"/>
        <v/>
      </c>
      <c r="O52" s="77"/>
      <c r="Q52" s="90">
        <f t="shared" si="6"/>
        <v>42</v>
      </c>
      <c r="R52" s="91" t="str">
        <f t="shared" si="7"/>
        <v>29E17273</v>
      </c>
      <c r="S52" s="92">
        <f t="shared" si="8"/>
        <v>301</v>
      </c>
      <c r="T52" s="93">
        <f t="shared" si="9"/>
        <v>0.02182899413</v>
      </c>
      <c r="U52" s="92">
        <f t="shared" si="10"/>
        <v>8.099</v>
      </c>
      <c r="V52" s="92">
        <f t="shared" si="11"/>
        <v>0</v>
      </c>
      <c r="W52" s="92">
        <f t="shared" si="12"/>
        <v>309.099</v>
      </c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</row>
    <row r="53" ht="18.0" customHeight="1">
      <c r="A53" s="35">
        <v>48.0</v>
      </c>
      <c r="B53" s="51"/>
      <c r="C53" s="51"/>
      <c r="D53" s="73"/>
      <c r="E53" s="73"/>
      <c r="F53" s="74" t="str">
        <f t="shared" si="13"/>
        <v/>
      </c>
      <c r="G53" s="75"/>
      <c r="H53" s="40" t="str">
        <f>IF(OR($C53="",$D53="",$E53=""),"",SUMIFS(DATA_GOC!$H:$H,DATA_GOC!$A:$A,"NHAP",DATA_GOC!$E:$E,$C53,DATA_GOC!$B:$B,"&gt;="&amp;$D53,DATA_GOC!$B:$B,"&lt;="&amp;$E53))</f>
        <v/>
      </c>
      <c r="I53" s="40" t="str">
        <f>IF(OR($C53="",$D53="",$E53=""),"",SUMIFS(DATA_GOC!$H:$H,DATA_GOC!$A:$A,"BOM",DATA_GOC!$E:$E,$C53,DATA_GOC!$F:$F,"Xuất nội bộ từ téc",DATA_GOC!$B:$B,"&gt;="&amp;$D53,DATA_GOC!$B:$B,"&lt;="&amp;$E53))</f>
        <v/>
      </c>
      <c r="J53" s="40" t="str">
        <f t="shared" si="1"/>
        <v/>
      </c>
      <c r="K53" s="40" t="str">
        <f t="shared" si="2"/>
        <v/>
      </c>
      <c r="L53" s="40" t="str">
        <f t="shared" si="3"/>
        <v/>
      </c>
      <c r="M53" s="95" t="str">
        <f t="shared" si="4"/>
        <v/>
      </c>
      <c r="N53" s="95" t="str">
        <f t="shared" si="5"/>
        <v/>
      </c>
      <c r="O53" s="77"/>
      <c r="Q53" s="85">
        <f t="shared" si="6"/>
        <v>43</v>
      </c>
      <c r="R53" s="86" t="str">
        <f t="shared" si="7"/>
        <v>29E17410</v>
      </c>
      <c r="S53" s="87">
        <f t="shared" si="8"/>
        <v>298</v>
      </c>
      <c r="T53" s="88">
        <f t="shared" si="9"/>
        <v>0.0216114294</v>
      </c>
      <c r="U53" s="87">
        <f t="shared" si="10"/>
        <v>8.018</v>
      </c>
      <c r="V53" s="87">
        <f t="shared" si="11"/>
        <v>0</v>
      </c>
      <c r="W53" s="87">
        <f t="shared" si="12"/>
        <v>306.018</v>
      </c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</row>
    <row r="54" ht="18.0" customHeight="1">
      <c r="A54" s="35">
        <v>49.0</v>
      </c>
      <c r="B54" s="51"/>
      <c r="C54" s="51"/>
      <c r="D54" s="73"/>
      <c r="E54" s="73"/>
      <c r="F54" s="74" t="str">
        <f t="shared" si="13"/>
        <v/>
      </c>
      <c r="G54" s="75"/>
      <c r="H54" s="40" t="str">
        <f>IF(OR($C54="",$D54="",$E54=""),"",SUMIFS(DATA_GOC!$H:$H,DATA_GOC!$A:$A,"NHAP",DATA_GOC!$E:$E,$C54,DATA_GOC!$B:$B,"&gt;="&amp;$D54,DATA_GOC!$B:$B,"&lt;="&amp;$E54))</f>
        <v/>
      </c>
      <c r="I54" s="40" t="str">
        <f>IF(OR($C54="",$D54="",$E54=""),"",SUMIFS(DATA_GOC!$H:$H,DATA_GOC!$A:$A,"BOM",DATA_GOC!$E:$E,$C54,DATA_GOC!$F:$F,"Xuất nội bộ từ téc",DATA_GOC!$B:$B,"&gt;="&amp;$D54,DATA_GOC!$B:$B,"&lt;="&amp;$E54))</f>
        <v/>
      </c>
      <c r="J54" s="40" t="str">
        <f t="shared" si="1"/>
        <v/>
      </c>
      <c r="K54" s="40" t="str">
        <f t="shared" si="2"/>
        <v/>
      </c>
      <c r="L54" s="40" t="str">
        <f t="shared" si="3"/>
        <v/>
      </c>
      <c r="M54" s="95" t="str">
        <f t="shared" si="4"/>
        <v/>
      </c>
      <c r="N54" s="95" t="str">
        <f t="shared" si="5"/>
        <v/>
      </c>
      <c r="O54" s="77"/>
      <c r="Q54" s="90">
        <f t="shared" si="6"/>
        <v>44</v>
      </c>
      <c r="R54" s="91" t="str">
        <f t="shared" si="7"/>
        <v>29E17417</v>
      </c>
      <c r="S54" s="92">
        <f t="shared" si="8"/>
        <v>311</v>
      </c>
      <c r="T54" s="93">
        <f t="shared" si="9"/>
        <v>0.02255420988</v>
      </c>
      <c r="U54" s="92">
        <f t="shared" si="10"/>
        <v>8.368</v>
      </c>
      <c r="V54" s="92">
        <f t="shared" si="11"/>
        <v>0</v>
      </c>
      <c r="W54" s="92">
        <f t="shared" si="12"/>
        <v>319.368</v>
      </c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</row>
    <row r="55" ht="18.0" customHeight="1">
      <c r="A55" s="35">
        <v>50.0</v>
      </c>
      <c r="B55" s="51"/>
      <c r="C55" s="51"/>
      <c r="D55" s="73"/>
      <c r="E55" s="73"/>
      <c r="F55" s="74" t="str">
        <f t="shared" si="13"/>
        <v/>
      </c>
      <c r="G55" s="75"/>
      <c r="H55" s="40" t="str">
        <f>IF(OR($C55="",$D55="",$E55=""),"",SUMIFS(DATA_GOC!$H:$H,DATA_GOC!$A:$A,"NHAP",DATA_GOC!$E:$E,$C55,DATA_GOC!$B:$B,"&gt;="&amp;$D55,DATA_GOC!$B:$B,"&lt;="&amp;$E55))</f>
        <v/>
      </c>
      <c r="I55" s="40" t="str">
        <f>IF(OR($C55="",$D55="",$E55=""),"",SUMIFS(DATA_GOC!$H:$H,DATA_GOC!$A:$A,"BOM",DATA_GOC!$E:$E,$C55,DATA_GOC!$F:$F,"Xuất nội bộ từ téc",DATA_GOC!$B:$B,"&gt;="&amp;$D55,DATA_GOC!$B:$B,"&lt;="&amp;$E55))</f>
        <v/>
      </c>
      <c r="J55" s="40" t="str">
        <f t="shared" si="1"/>
        <v/>
      </c>
      <c r="K55" s="40" t="str">
        <f t="shared" si="2"/>
        <v/>
      </c>
      <c r="L55" s="40" t="str">
        <f t="shared" si="3"/>
        <v/>
      </c>
      <c r="M55" s="95" t="str">
        <f t="shared" si="4"/>
        <v/>
      </c>
      <c r="N55" s="95" t="str">
        <f t="shared" si="5"/>
        <v/>
      </c>
      <c r="O55" s="77"/>
      <c r="Q55" s="85">
        <f t="shared" si="6"/>
        <v>45</v>
      </c>
      <c r="R55" s="86" t="str">
        <f t="shared" si="7"/>
        <v>29E17539</v>
      </c>
      <c r="S55" s="87">
        <f t="shared" si="8"/>
        <v>427</v>
      </c>
      <c r="T55" s="88">
        <f t="shared" si="9"/>
        <v>0.0309667126</v>
      </c>
      <c r="U55" s="87">
        <f t="shared" si="10"/>
        <v>11.489</v>
      </c>
      <c r="V55" s="87">
        <f t="shared" si="11"/>
        <v>0</v>
      </c>
      <c r="W55" s="87">
        <f t="shared" si="12"/>
        <v>438.489</v>
      </c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</row>
    <row r="56" ht="18.0" customHeight="1">
      <c r="A56" s="35">
        <v>51.0</v>
      </c>
      <c r="B56" s="51"/>
      <c r="C56" s="51"/>
      <c r="D56" s="73"/>
      <c r="E56" s="73"/>
      <c r="F56" s="74" t="str">
        <f t="shared" si="13"/>
        <v/>
      </c>
      <c r="G56" s="75"/>
      <c r="H56" s="40" t="str">
        <f>IF(OR($C56="",$D56="",$E56=""),"",SUMIFS(DATA_GOC!$H:$H,DATA_GOC!$A:$A,"NHAP",DATA_GOC!$E:$E,$C56,DATA_GOC!$B:$B,"&gt;="&amp;$D56,DATA_GOC!$B:$B,"&lt;="&amp;$E56))</f>
        <v/>
      </c>
      <c r="I56" s="40" t="str">
        <f>IF(OR($C56="",$D56="",$E56=""),"",SUMIFS(DATA_GOC!$H:$H,DATA_GOC!$A:$A,"BOM",DATA_GOC!$E:$E,$C56,DATA_GOC!$F:$F,"Xuất nội bộ từ téc",DATA_GOC!$B:$B,"&gt;="&amp;$D56,DATA_GOC!$B:$B,"&lt;="&amp;$E56))</f>
        <v/>
      </c>
      <c r="J56" s="40" t="str">
        <f t="shared" si="1"/>
        <v/>
      </c>
      <c r="K56" s="40" t="str">
        <f t="shared" si="2"/>
        <v/>
      </c>
      <c r="L56" s="40" t="str">
        <f t="shared" si="3"/>
        <v/>
      </c>
      <c r="M56" s="95" t="str">
        <f t="shared" si="4"/>
        <v/>
      </c>
      <c r="N56" s="95" t="str">
        <f t="shared" si="5"/>
        <v/>
      </c>
      <c r="O56" s="77"/>
      <c r="Q56" s="90">
        <f t="shared" si="6"/>
        <v>46</v>
      </c>
      <c r="R56" s="91" t="str">
        <f t="shared" si="7"/>
        <v>29E18160</v>
      </c>
      <c r="S56" s="92">
        <f t="shared" si="8"/>
        <v>0</v>
      </c>
      <c r="T56" s="93">
        <f t="shared" si="9"/>
        <v>0</v>
      </c>
      <c r="U56" s="92">
        <f t="shared" si="10"/>
        <v>0</v>
      </c>
      <c r="V56" s="92">
        <f t="shared" si="11"/>
        <v>0</v>
      </c>
      <c r="W56" s="92">
        <f t="shared" si="12"/>
        <v>0</v>
      </c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</row>
    <row r="57" ht="18.0" customHeight="1">
      <c r="A57" s="35">
        <v>52.0</v>
      </c>
      <c r="B57" s="51"/>
      <c r="C57" s="51"/>
      <c r="D57" s="73"/>
      <c r="E57" s="73"/>
      <c r="F57" s="74" t="str">
        <f t="shared" si="13"/>
        <v/>
      </c>
      <c r="G57" s="75"/>
      <c r="H57" s="40" t="str">
        <f>IF(OR($C57="",$D57="",$E57=""),"",SUMIFS(DATA_GOC!$H:$H,DATA_GOC!$A:$A,"NHAP",DATA_GOC!$E:$E,$C57,DATA_GOC!$B:$B,"&gt;="&amp;$D57,DATA_GOC!$B:$B,"&lt;="&amp;$E57))</f>
        <v/>
      </c>
      <c r="I57" s="40" t="str">
        <f>IF(OR($C57="",$D57="",$E57=""),"",SUMIFS(DATA_GOC!$H:$H,DATA_GOC!$A:$A,"BOM",DATA_GOC!$E:$E,$C57,DATA_GOC!$F:$F,"Xuất nội bộ từ téc",DATA_GOC!$B:$B,"&gt;="&amp;$D57,DATA_GOC!$B:$B,"&lt;="&amp;$E57))</f>
        <v/>
      </c>
      <c r="J57" s="40" t="str">
        <f t="shared" si="1"/>
        <v/>
      </c>
      <c r="K57" s="40" t="str">
        <f t="shared" si="2"/>
        <v/>
      </c>
      <c r="L57" s="40" t="str">
        <f t="shared" si="3"/>
        <v/>
      </c>
      <c r="M57" s="95" t="str">
        <f t="shared" si="4"/>
        <v/>
      </c>
      <c r="N57" s="95" t="str">
        <f t="shared" si="5"/>
        <v/>
      </c>
      <c r="O57" s="77"/>
      <c r="Q57" s="85">
        <f t="shared" si="6"/>
        <v>47</v>
      </c>
      <c r="R57" s="86" t="str">
        <f t="shared" si="7"/>
        <v>Công trình Asphalt</v>
      </c>
      <c r="S57" s="87">
        <f t="shared" si="8"/>
        <v>0</v>
      </c>
      <c r="T57" s="88">
        <f t="shared" si="9"/>
        <v>0</v>
      </c>
      <c r="U57" s="87">
        <f t="shared" si="10"/>
        <v>0</v>
      </c>
      <c r="V57" s="87">
        <f t="shared" si="11"/>
        <v>0</v>
      </c>
      <c r="W57" s="87">
        <f t="shared" si="12"/>
        <v>0</v>
      </c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</row>
    <row r="58" ht="18.0" customHeight="1">
      <c r="A58" s="35">
        <v>53.0</v>
      </c>
      <c r="B58" s="51"/>
      <c r="C58" s="51"/>
      <c r="D58" s="73"/>
      <c r="E58" s="73"/>
      <c r="F58" s="74" t="str">
        <f t="shared" si="13"/>
        <v/>
      </c>
      <c r="G58" s="75"/>
      <c r="H58" s="40" t="str">
        <f>IF(OR($C58="",$D58="",$E58=""),"",SUMIFS(DATA_GOC!$H:$H,DATA_GOC!$A:$A,"NHAP",DATA_GOC!$E:$E,$C58,DATA_GOC!$B:$B,"&gt;="&amp;$D58,DATA_GOC!$B:$B,"&lt;="&amp;$E58))</f>
        <v/>
      </c>
      <c r="I58" s="40" t="str">
        <f>IF(OR($C58="",$D58="",$E58=""),"",SUMIFS(DATA_GOC!$H:$H,DATA_GOC!$A:$A,"BOM",DATA_GOC!$E:$E,$C58,DATA_GOC!$F:$F,"Xuất nội bộ từ téc",DATA_GOC!$B:$B,"&gt;="&amp;$D58,DATA_GOC!$B:$B,"&lt;="&amp;$E58))</f>
        <v/>
      </c>
      <c r="J58" s="40" t="str">
        <f t="shared" si="1"/>
        <v/>
      </c>
      <c r="K58" s="40" t="str">
        <f t="shared" si="2"/>
        <v/>
      </c>
      <c r="L58" s="40" t="str">
        <f t="shared" si="3"/>
        <v/>
      </c>
      <c r="M58" s="95" t="str">
        <f t="shared" si="4"/>
        <v/>
      </c>
      <c r="N58" s="95" t="str">
        <f t="shared" si="5"/>
        <v/>
      </c>
      <c r="O58" s="77"/>
      <c r="Q58" s="90">
        <f t="shared" si="6"/>
        <v>48</v>
      </c>
      <c r="R58" s="91" t="str">
        <f t="shared" si="7"/>
        <v>LG53F</v>
      </c>
      <c r="S58" s="92">
        <f t="shared" si="8"/>
        <v>0</v>
      </c>
      <c r="T58" s="93">
        <f t="shared" si="9"/>
        <v>0</v>
      </c>
      <c r="U58" s="92">
        <f t="shared" si="10"/>
        <v>0</v>
      </c>
      <c r="V58" s="92">
        <f t="shared" si="11"/>
        <v>0</v>
      </c>
      <c r="W58" s="92">
        <f t="shared" si="12"/>
        <v>0</v>
      </c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</row>
    <row r="59" ht="18.0" customHeight="1">
      <c r="A59" s="35">
        <v>54.0</v>
      </c>
      <c r="B59" s="51"/>
      <c r="C59" s="51"/>
      <c r="D59" s="73"/>
      <c r="E59" s="73"/>
      <c r="F59" s="74" t="str">
        <f t="shared" si="13"/>
        <v/>
      </c>
      <c r="G59" s="75"/>
      <c r="H59" s="40" t="str">
        <f>IF(OR($C59="",$D59="",$E59=""),"",SUMIFS(DATA_GOC!$H:$H,DATA_GOC!$A:$A,"NHAP",DATA_GOC!$E:$E,$C59,DATA_GOC!$B:$B,"&gt;="&amp;$D59,DATA_GOC!$B:$B,"&lt;="&amp;$E59))</f>
        <v/>
      </c>
      <c r="I59" s="40" t="str">
        <f>IF(OR($C59="",$D59="",$E59=""),"",SUMIFS(DATA_GOC!$H:$H,DATA_GOC!$A:$A,"BOM",DATA_GOC!$E:$E,$C59,DATA_GOC!$F:$F,"Xuất nội bộ từ téc",DATA_GOC!$B:$B,"&gt;="&amp;$D59,DATA_GOC!$B:$B,"&lt;="&amp;$E59))</f>
        <v/>
      </c>
      <c r="J59" s="40" t="str">
        <f t="shared" si="1"/>
        <v/>
      </c>
      <c r="K59" s="40" t="str">
        <f t="shared" si="2"/>
        <v/>
      </c>
      <c r="L59" s="40" t="str">
        <f t="shared" si="3"/>
        <v/>
      </c>
      <c r="M59" s="95" t="str">
        <f t="shared" si="4"/>
        <v/>
      </c>
      <c r="N59" s="95" t="str">
        <f t="shared" si="5"/>
        <v/>
      </c>
      <c r="O59" s="77"/>
      <c r="Q59" s="85">
        <f t="shared" si="6"/>
        <v>49</v>
      </c>
      <c r="R59" s="86" t="str">
        <f t="shared" si="7"/>
        <v>Máy phát điện</v>
      </c>
      <c r="S59" s="87">
        <f t="shared" si="8"/>
        <v>0</v>
      </c>
      <c r="T59" s="88">
        <f t="shared" si="9"/>
        <v>0</v>
      </c>
      <c r="U59" s="87">
        <f t="shared" si="10"/>
        <v>0</v>
      </c>
      <c r="V59" s="87">
        <f t="shared" si="11"/>
        <v>0</v>
      </c>
      <c r="W59" s="87">
        <f t="shared" si="12"/>
        <v>0</v>
      </c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</row>
    <row r="60" ht="18.0" customHeight="1">
      <c r="A60" s="35">
        <v>55.0</v>
      </c>
      <c r="B60" s="51"/>
      <c r="C60" s="51"/>
      <c r="D60" s="73"/>
      <c r="E60" s="73"/>
      <c r="F60" s="74" t="str">
        <f t="shared" si="13"/>
        <v/>
      </c>
      <c r="G60" s="75"/>
      <c r="H60" s="40" t="str">
        <f>IF(OR($C60="",$D60="",$E60=""),"",SUMIFS(DATA_GOC!$H:$H,DATA_GOC!$A:$A,"NHAP",DATA_GOC!$E:$E,$C60,DATA_GOC!$B:$B,"&gt;="&amp;$D60,DATA_GOC!$B:$B,"&lt;="&amp;$E60))</f>
        <v/>
      </c>
      <c r="I60" s="40" t="str">
        <f>IF(OR($C60="",$D60="",$E60=""),"",SUMIFS(DATA_GOC!$H:$H,DATA_GOC!$A:$A,"BOM",DATA_GOC!$E:$E,$C60,DATA_GOC!$F:$F,"Xuất nội bộ từ téc",DATA_GOC!$B:$B,"&gt;="&amp;$D60,DATA_GOC!$B:$B,"&lt;="&amp;$E60))</f>
        <v/>
      </c>
      <c r="J60" s="40" t="str">
        <f t="shared" si="1"/>
        <v/>
      </c>
      <c r="K60" s="40" t="str">
        <f t="shared" si="2"/>
        <v/>
      </c>
      <c r="L60" s="40" t="str">
        <f t="shared" si="3"/>
        <v/>
      </c>
      <c r="M60" s="95" t="str">
        <f t="shared" si="4"/>
        <v/>
      </c>
      <c r="N60" s="95" t="str">
        <f t="shared" si="5"/>
        <v/>
      </c>
      <c r="O60" s="77"/>
      <c r="Q60" s="90">
        <f t="shared" si="6"/>
        <v>50</v>
      </c>
      <c r="R60" s="91" t="str">
        <f t="shared" si="7"/>
        <v>Máy rải thảm</v>
      </c>
      <c r="S60" s="92">
        <f t="shared" si="8"/>
        <v>0</v>
      </c>
      <c r="T60" s="93">
        <f t="shared" si="9"/>
        <v>0</v>
      </c>
      <c r="U60" s="92">
        <f t="shared" si="10"/>
        <v>0</v>
      </c>
      <c r="V60" s="92">
        <f t="shared" si="11"/>
        <v>0</v>
      </c>
      <c r="W60" s="92">
        <f t="shared" si="12"/>
        <v>0</v>
      </c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</row>
    <row r="61" ht="18.0" customHeight="1">
      <c r="A61" s="35">
        <v>56.0</v>
      </c>
      <c r="B61" s="51"/>
      <c r="C61" s="51"/>
      <c r="D61" s="73"/>
      <c r="E61" s="73"/>
      <c r="F61" s="74" t="str">
        <f t="shared" si="13"/>
        <v/>
      </c>
      <c r="G61" s="75"/>
      <c r="H61" s="40" t="str">
        <f>IF(OR($C61="",$D61="",$E61=""),"",SUMIFS(DATA_GOC!$H:$H,DATA_GOC!$A:$A,"NHAP",DATA_GOC!$E:$E,$C61,DATA_GOC!$B:$B,"&gt;="&amp;$D61,DATA_GOC!$B:$B,"&lt;="&amp;$E61))</f>
        <v/>
      </c>
      <c r="I61" s="40" t="str">
        <f>IF(OR($C61="",$D61="",$E61=""),"",SUMIFS(DATA_GOC!$H:$H,DATA_GOC!$A:$A,"BOM",DATA_GOC!$E:$E,$C61,DATA_GOC!$F:$F,"Xuất nội bộ từ téc",DATA_GOC!$B:$B,"&gt;="&amp;$D61,DATA_GOC!$B:$B,"&lt;="&amp;$E61))</f>
        <v/>
      </c>
      <c r="J61" s="40" t="str">
        <f t="shared" si="1"/>
        <v/>
      </c>
      <c r="K61" s="40" t="str">
        <f t="shared" si="2"/>
        <v/>
      </c>
      <c r="L61" s="40" t="str">
        <f t="shared" si="3"/>
        <v/>
      </c>
      <c r="M61" s="95" t="str">
        <f t="shared" si="4"/>
        <v/>
      </c>
      <c r="N61" s="95" t="str">
        <f t="shared" si="5"/>
        <v/>
      </c>
      <c r="O61" s="77"/>
      <c r="Q61" s="85">
        <f t="shared" si="6"/>
        <v>51</v>
      </c>
      <c r="R61" s="86" t="str">
        <f t="shared" si="7"/>
        <v>Xúc Đào</v>
      </c>
      <c r="S61" s="87">
        <f t="shared" si="8"/>
        <v>0</v>
      </c>
      <c r="T61" s="88">
        <f t="shared" si="9"/>
        <v>0</v>
      </c>
      <c r="U61" s="87">
        <f t="shared" si="10"/>
        <v>0</v>
      </c>
      <c r="V61" s="87">
        <f t="shared" si="11"/>
        <v>0</v>
      </c>
      <c r="W61" s="87">
        <f t="shared" si="12"/>
        <v>0</v>
      </c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</row>
    <row r="62" ht="18.0" customHeight="1">
      <c r="A62" s="35">
        <v>57.0</v>
      </c>
      <c r="B62" s="51"/>
      <c r="C62" s="51"/>
      <c r="D62" s="73"/>
      <c r="E62" s="73"/>
      <c r="F62" s="74" t="str">
        <f t="shared" si="13"/>
        <v/>
      </c>
      <c r="G62" s="75"/>
      <c r="H62" s="40" t="str">
        <f>IF(OR($C62="",$D62="",$E62=""),"",SUMIFS(DATA_GOC!$H:$H,DATA_GOC!$A:$A,"NHAP",DATA_GOC!$E:$E,$C62,DATA_GOC!$B:$B,"&gt;="&amp;$D62,DATA_GOC!$B:$B,"&lt;="&amp;$E62))</f>
        <v/>
      </c>
      <c r="I62" s="40" t="str">
        <f>IF(OR($C62="",$D62="",$E62=""),"",SUMIFS(DATA_GOC!$H:$H,DATA_GOC!$A:$A,"BOM",DATA_GOC!$E:$E,$C62,DATA_GOC!$F:$F,"Xuất nội bộ từ téc",DATA_GOC!$B:$B,"&gt;="&amp;$D62,DATA_GOC!$B:$B,"&lt;="&amp;$E62))</f>
        <v/>
      </c>
      <c r="J62" s="40" t="str">
        <f t="shared" si="1"/>
        <v/>
      </c>
      <c r="K62" s="40" t="str">
        <f t="shared" si="2"/>
        <v/>
      </c>
      <c r="L62" s="40" t="str">
        <f t="shared" si="3"/>
        <v/>
      </c>
      <c r="M62" s="95" t="str">
        <f t="shared" si="4"/>
        <v/>
      </c>
      <c r="N62" s="95" t="str">
        <f t="shared" si="5"/>
        <v/>
      </c>
      <c r="O62" s="77"/>
      <c r="Q62" s="90">
        <f t="shared" si="6"/>
        <v>52</v>
      </c>
      <c r="R62" s="91" t="str">
        <f t="shared" si="7"/>
        <v>Xúclật asphalt</v>
      </c>
      <c r="S62" s="92">
        <f t="shared" si="8"/>
        <v>0</v>
      </c>
      <c r="T62" s="93">
        <f t="shared" si="9"/>
        <v>0</v>
      </c>
      <c r="U62" s="92">
        <f t="shared" si="10"/>
        <v>0</v>
      </c>
      <c r="V62" s="92">
        <f t="shared" si="11"/>
        <v>0</v>
      </c>
      <c r="W62" s="92">
        <f t="shared" si="12"/>
        <v>0</v>
      </c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</row>
    <row r="63" ht="18.0" customHeight="1">
      <c r="A63" s="35">
        <v>58.0</v>
      </c>
      <c r="B63" s="51"/>
      <c r="C63" s="51"/>
      <c r="D63" s="73"/>
      <c r="E63" s="73"/>
      <c r="F63" s="74" t="str">
        <f t="shared" si="13"/>
        <v/>
      </c>
      <c r="G63" s="75"/>
      <c r="H63" s="40" t="str">
        <f>IF(OR($C63="",$D63="",$E63=""),"",SUMIFS(DATA_GOC!$H:$H,DATA_GOC!$A:$A,"NHAP",DATA_GOC!$E:$E,$C63,DATA_GOC!$B:$B,"&gt;="&amp;$D63,DATA_GOC!$B:$B,"&lt;="&amp;$E63))</f>
        <v/>
      </c>
      <c r="I63" s="40" t="str">
        <f>IF(OR($C63="",$D63="",$E63=""),"",SUMIFS(DATA_GOC!$H:$H,DATA_GOC!$A:$A,"BOM",DATA_GOC!$E:$E,$C63,DATA_GOC!$F:$F,"Xuất nội bộ từ téc",DATA_GOC!$B:$B,"&gt;="&amp;$D63,DATA_GOC!$B:$B,"&lt;="&amp;$E63))</f>
        <v/>
      </c>
      <c r="J63" s="40" t="str">
        <f t="shared" si="1"/>
        <v/>
      </c>
      <c r="K63" s="40" t="str">
        <f t="shared" si="2"/>
        <v/>
      </c>
      <c r="L63" s="40" t="str">
        <f t="shared" si="3"/>
        <v/>
      </c>
      <c r="M63" s="95" t="str">
        <f t="shared" si="4"/>
        <v/>
      </c>
      <c r="N63" s="95" t="str">
        <f t="shared" si="5"/>
        <v/>
      </c>
      <c r="O63" s="77"/>
      <c r="Q63" s="85">
        <f t="shared" si="6"/>
        <v>53</v>
      </c>
      <c r="R63" s="86" t="str">
        <f t="shared" si="7"/>
        <v>Xúclật855H</v>
      </c>
      <c r="S63" s="87">
        <f t="shared" si="8"/>
        <v>324</v>
      </c>
      <c r="T63" s="88">
        <f t="shared" si="9"/>
        <v>0.02349699035</v>
      </c>
      <c r="U63" s="87">
        <f t="shared" si="10"/>
        <v>8.717</v>
      </c>
      <c r="V63" s="87">
        <f t="shared" si="11"/>
        <v>0</v>
      </c>
      <c r="W63" s="87">
        <f t="shared" si="12"/>
        <v>332.717</v>
      </c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</row>
    <row r="64" ht="18.0" customHeight="1">
      <c r="A64" s="35">
        <v>59.0</v>
      </c>
      <c r="B64" s="51"/>
      <c r="C64" s="51"/>
      <c r="D64" s="73"/>
      <c r="E64" s="73"/>
      <c r="F64" s="74" t="str">
        <f t="shared" si="13"/>
        <v/>
      </c>
      <c r="G64" s="75"/>
      <c r="H64" s="40" t="str">
        <f>IF(OR($C64="",$D64="",$E64=""),"",SUMIFS(DATA_GOC!$H:$H,DATA_GOC!$A:$A,"NHAP",DATA_GOC!$E:$E,$C64,DATA_GOC!$B:$B,"&gt;="&amp;$D64,DATA_GOC!$B:$B,"&lt;="&amp;$E64))</f>
        <v/>
      </c>
      <c r="I64" s="40" t="str">
        <f>IF(OR($C64="",$D64="",$E64=""),"",SUMIFS(DATA_GOC!$H:$H,DATA_GOC!$A:$A,"BOM",DATA_GOC!$E:$E,$C64,DATA_GOC!$F:$F,"Xuất nội bộ từ téc",DATA_GOC!$B:$B,"&gt;="&amp;$D64,DATA_GOC!$B:$B,"&lt;="&amp;$E64))</f>
        <v/>
      </c>
      <c r="J64" s="40" t="str">
        <f t="shared" si="1"/>
        <v/>
      </c>
      <c r="K64" s="40" t="str">
        <f t="shared" si="2"/>
        <v/>
      </c>
      <c r="L64" s="40" t="str">
        <f t="shared" si="3"/>
        <v/>
      </c>
      <c r="M64" s="95" t="str">
        <f t="shared" si="4"/>
        <v/>
      </c>
      <c r="N64" s="95" t="str">
        <f t="shared" si="5"/>
        <v/>
      </c>
      <c r="O64" s="77"/>
      <c r="Q64" s="90">
        <f t="shared" si="6"/>
        <v>54</v>
      </c>
      <c r="R64" s="91" t="str">
        <f t="shared" si="7"/>
        <v>Xúclật855N</v>
      </c>
      <c r="S64" s="92">
        <f t="shared" si="8"/>
        <v>320</v>
      </c>
      <c r="T64" s="93">
        <f t="shared" si="9"/>
        <v>0.02320690405</v>
      </c>
      <c r="U64" s="92">
        <f t="shared" si="10"/>
        <v>8.61</v>
      </c>
      <c r="V64" s="92">
        <f t="shared" si="11"/>
        <v>0</v>
      </c>
      <c r="W64" s="92">
        <f t="shared" si="12"/>
        <v>328.61</v>
      </c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</row>
    <row r="65" ht="18.0" customHeight="1">
      <c r="A65" s="35">
        <v>60.0</v>
      </c>
      <c r="B65" s="51"/>
      <c r="C65" s="51"/>
      <c r="D65" s="73"/>
      <c r="E65" s="73"/>
      <c r="F65" s="74" t="str">
        <f t="shared" si="13"/>
        <v/>
      </c>
      <c r="G65" s="75"/>
      <c r="H65" s="40" t="str">
        <f>IF(OR($C65="",$D65="",$E65=""),"",SUMIFS(DATA_GOC!$H:$H,DATA_GOC!$A:$A,"NHAP",DATA_GOC!$E:$E,$C65,DATA_GOC!$B:$B,"&gt;="&amp;$D65,DATA_GOC!$B:$B,"&lt;="&amp;$E65))</f>
        <v/>
      </c>
      <c r="I65" s="40" t="str">
        <f>IF(OR($C65="",$D65="",$E65=""),"",SUMIFS(DATA_GOC!$H:$H,DATA_GOC!$A:$A,"BOM",DATA_GOC!$E:$E,$C65,DATA_GOC!$F:$F,"Xuất nội bộ từ téc",DATA_GOC!$B:$B,"&gt;="&amp;$D65,DATA_GOC!$B:$B,"&lt;="&amp;$E65))</f>
        <v/>
      </c>
      <c r="J65" s="40" t="str">
        <f t="shared" si="1"/>
        <v/>
      </c>
      <c r="K65" s="40" t="str">
        <f t="shared" si="2"/>
        <v/>
      </c>
      <c r="L65" s="40" t="str">
        <f t="shared" si="3"/>
        <v/>
      </c>
      <c r="M65" s="95" t="str">
        <f t="shared" si="4"/>
        <v/>
      </c>
      <c r="N65" s="95" t="str">
        <f t="shared" si="5"/>
        <v/>
      </c>
      <c r="O65" s="77"/>
      <c r="Q65" s="85">
        <f t="shared" si="6"/>
        <v>55</v>
      </c>
      <c r="R65" s="86" t="str">
        <f t="shared" si="7"/>
        <v>Cát nghiền</v>
      </c>
      <c r="S65" s="87">
        <f t="shared" si="8"/>
        <v>0</v>
      </c>
      <c r="T65" s="88">
        <f t="shared" si="9"/>
        <v>0</v>
      </c>
      <c r="U65" s="87">
        <f t="shared" si="10"/>
        <v>0</v>
      </c>
      <c r="V65" s="87">
        <f t="shared" si="11"/>
        <v>0</v>
      </c>
      <c r="W65" s="87">
        <f t="shared" si="12"/>
        <v>0</v>
      </c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</row>
    <row r="66" ht="18.0" customHeight="1">
      <c r="A66" s="35">
        <v>61.0</v>
      </c>
      <c r="B66" s="51"/>
      <c r="C66" s="51"/>
      <c r="D66" s="73"/>
      <c r="E66" s="73"/>
      <c r="F66" s="74" t="str">
        <f t="shared" si="13"/>
        <v/>
      </c>
      <c r="G66" s="75"/>
      <c r="H66" s="40" t="str">
        <f>IF(OR($C66="",$D66="",$E66=""),"",SUMIFS(DATA_GOC!$H:$H,DATA_GOC!$A:$A,"NHAP",DATA_GOC!$E:$E,$C66,DATA_GOC!$B:$B,"&gt;="&amp;$D66,DATA_GOC!$B:$B,"&lt;="&amp;$E66))</f>
        <v/>
      </c>
      <c r="I66" s="40" t="str">
        <f>IF(OR($C66="",$D66="",$E66=""),"",SUMIFS(DATA_GOC!$H:$H,DATA_GOC!$A:$A,"BOM",DATA_GOC!$E:$E,$C66,DATA_GOC!$F:$F,"Xuất nội bộ từ téc",DATA_GOC!$B:$B,"&gt;="&amp;$D66,DATA_GOC!$B:$B,"&lt;="&amp;$E66))</f>
        <v/>
      </c>
      <c r="J66" s="40" t="str">
        <f t="shared" si="1"/>
        <v/>
      </c>
      <c r="K66" s="40" t="str">
        <f t="shared" si="2"/>
        <v/>
      </c>
      <c r="L66" s="40" t="str">
        <f t="shared" si="3"/>
        <v/>
      </c>
      <c r="M66" s="95" t="str">
        <f t="shared" si="4"/>
        <v/>
      </c>
      <c r="N66" s="95" t="str">
        <f t="shared" si="5"/>
        <v/>
      </c>
      <c r="O66" s="77"/>
      <c r="Q66" s="90">
        <f t="shared" si="6"/>
        <v>56</v>
      </c>
      <c r="R66" s="91" t="str">
        <f t="shared" si="7"/>
        <v>28C02973</v>
      </c>
      <c r="S66" s="92">
        <f t="shared" si="8"/>
        <v>0</v>
      </c>
      <c r="T66" s="93">
        <f t="shared" si="9"/>
        <v>0</v>
      </c>
      <c r="U66" s="92">
        <f t="shared" si="10"/>
        <v>0</v>
      </c>
      <c r="V66" s="92">
        <f t="shared" si="11"/>
        <v>0</v>
      </c>
      <c r="W66" s="92">
        <f t="shared" si="12"/>
        <v>0</v>
      </c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</row>
    <row r="67" ht="18.0" customHeight="1">
      <c r="A67" s="35">
        <v>62.0</v>
      </c>
      <c r="B67" s="51"/>
      <c r="C67" s="51"/>
      <c r="D67" s="73"/>
      <c r="E67" s="73"/>
      <c r="F67" s="74" t="str">
        <f t="shared" si="13"/>
        <v/>
      </c>
      <c r="G67" s="75"/>
      <c r="H67" s="40" t="str">
        <f>IF(OR($C67="",$D67="",$E67=""),"",SUMIFS(DATA_GOC!$H:$H,DATA_GOC!$A:$A,"NHAP",DATA_GOC!$E:$E,$C67,DATA_GOC!$B:$B,"&gt;="&amp;$D67,DATA_GOC!$B:$B,"&lt;="&amp;$E67))</f>
        <v/>
      </c>
      <c r="I67" s="40" t="str">
        <f>IF(OR($C67="",$D67="",$E67=""),"",SUMIFS(DATA_GOC!$H:$H,DATA_GOC!$A:$A,"BOM",DATA_GOC!$E:$E,$C67,DATA_GOC!$F:$F,"Xuất nội bộ từ téc",DATA_GOC!$B:$B,"&gt;="&amp;$D67,DATA_GOC!$B:$B,"&lt;="&amp;$E67))</f>
        <v/>
      </c>
      <c r="J67" s="40" t="str">
        <f t="shared" si="1"/>
        <v/>
      </c>
      <c r="K67" s="40" t="str">
        <f t="shared" si="2"/>
        <v/>
      </c>
      <c r="L67" s="40" t="str">
        <f t="shared" si="3"/>
        <v/>
      </c>
      <c r="M67" s="95" t="str">
        <f t="shared" si="4"/>
        <v/>
      </c>
      <c r="N67" s="95" t="str">
        <f t="shared" si="5"/>
        <v/>
      </c>
      <c r="O67" s="77"/>
      <c r="Q67" s="85">
        <f t="shared" si="6"/>
        <v>57</v>
      </c>
      <c r="R67" s="86" t="str">
        <f t="shared" si="7"/>
        <v>28C03044</v>
      </c>
      <c r="S67" s="87">
        <f t="shared" si="8"/>
        <v>0</v>
      </c>
      <c r="T67" s="88">
        <f t="shared" si="9"/>
        <v>0</v>
      </c>
      <c r="U67" s="87">
        <f t="shared" si="10"/>
        <v>0</v>
      </c>
      <c r="V67" s="87">
        <f t="shared" si="11"/>
        <v>0</v>
      </c>
      <c r="W67" s="87">
        <f t="shared" si="12"/>
        <v>0</v>
      </c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</row>
    <row r="68" ht="18.0" customHeight="1">
      <c r="A68" s="35">
        <v>63.0</v>
      </c>
      <c r="B68" s="51"/>
      <c r="C68" s="51"/>
      <c r="D68" s="73"/>
      <c r="E68" s="73"/>
      <c r="F68" s="74" t="str">
        <f t="shared" si="13"/>
        <v/>
      </c>
      <c r="G68" s="75"/>
      <c r="H68" s="40" t="str">
        <f>IF(OR($C68="",$D68="",$E68=""),"",SUMIFS(DATA_GOC!$H:$H,DATA_GOC!$A:$A,"NHAP",DATA_GOC!$E:$E,$C68,DATA_GOC!$B:$B,"&gt;="&amp;$D68,DATA_GOC!$B:$B,"&lt;="&amp;$E68))</f>
        <v/>
      </c>
      <c r="I68" s="40" t="str">
        <f>IF(OR($C68="",$D68="",$E68=""),"",SUMIFS(DATA_GOC!$H:$H,DATA_GOC!$A:$A,"BOM",DATA_GOC!$E:$E,$C68,DATA_GOC!$F:$F,"Xuất nội bộ từ téc",DATA_GOC!$B:$B,"&gt;="&amp;$D68,DATA_GOC!$B:$B,"&lt;="&amp;$E68))</f>
        <v/>
      </c>
      <c r="J68" s="40" t="str">
        <f t="shared" si="1"/>
        <v/>
      </c>
      <c r="K68" s="40" t="str">
        <f t="shared" si="2"/>
        <v/>
      </c>
      <c r="L68" s="40" t="str">
        <f t="shared" si="3"/>
        <v/>
      </c>
      <c r="M68" s="95" t="str">
        <f t="shared" si="4"/>
        <v/>
      </c>
      <c r="N68" s="95" t="str">
        <f t="shared" si="5"/>
        <v/>
      </c>
      <c r="O68" s="77"/>
      <c r="Q68" s="90">
        <f t="shared" si="6"/>
        <v>58</v>
      </c>
      <c r="R68" s="91" t="str">
        <f t="shared" si="7"/>
        <v>Máy lu lốp</v>
      </c>
      <c r="S68" s="92">
        <f t="shared" si="8"/>
        <v>0</v>
      </c>
      <c r="T68" s="93">
        <f t="shared" si="9"/>
        <v>0</v>
      </c>
      <c r="U68" s="92">
        <f t="shared" si="10"/>
        <v>0</v>
      </c>
      <c r="V68" s="92">
        <f t="shared" si="11"/>
        <v>0</v>
      </c>
      <c r="W68" s="92">
        <f t="shared" si="12"/>
        <v>0</v>
      </c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</row>
    <row r="69" ht="18.0" customHeight="1">
      <c r="A69" s="35">
        <v>64.0</v>
      </c>
      <c r="B69" s="51"/>
      <c r="C69" s="51"/>
      <c r="D69" s="73"/>
      <c r="E69" s="73"/>
      <c r="F69" s="74" t="str">
        <f t="shared" si="13"/>
        <v/>
      </c>
      <c r="G69" s="75"/>
      <c r="H69" s="40" t="str">
        <f>IF(OR($C69="",$D69="",$E69=""),"",SUMIFS(DATA_GOC!$H:$H,DATA_GOC!$A:$A,"NHAP",DATA_GOC!$E:$E,$C69,DATA_GOC!$B:$B,"&gt;="&amp;$D69,DATA_GOC!$B:$B,"&lt;="&amp;$E69))</f>
        <v/>
      </c>
      <c r="I69" s="40" t="str">
        <f>IF(OR($C69="",$D69="",$E69=""),"",SUMIFS(DATA_GOC!$H:$H,DATA_GOC!$A:$A,"BOM",DATA_GOC!$E:$E,$C69,DATA_GOC!$F:$F,"Xuất nội bộ từ téc",DATA_GOC!$B:$B,"&gt;="&amp;$D69,DATA_GOC!$B:$B,"&lt;="&amp;$E69))</f>
        <v/>
      </c>
      <c r="J69" s="40" t="str">
        <f t="shared" si="1"/>
        <v/>
      </c>
      <c r="K69" s="40" t="str">
        <f t="shared" si="2"/>
        <v/>
      </c>
      <c r="L69" s="40" t="str">
        <f t="shared" si="3"/>
        <v/>
      </c>
      <c r="M69" s="95" t="str">
        <f t="shared" si="4"/>
        <v/>
      </c>
      <c r="N69" s="95" t="str">
        <f t="shared" si="5"/>
        <v/>
      </c>
      <c r="O69" s="77"/>
      <c r="Q69" s="85">
        <f t="shared" si="6"/>
        <v>59</v>
      </c>
      <c r="R69" s="86" t="str">
        <f t="shared" si="7"/>
        <v>Xe 600148</v>
      </c>
      <c r="S69" s="87">
        <f t="shared" si="8"/>
        <v>0</v>
      </c>
      <c r="T69" s="88">
        <f t="shared" si="9"/>
        <v>0</v>
      </c>
      <c r="U69" s="87">
        <f t="shared" si="10"/>
        <v>0</v>
      </c>
      <c r="V69" s="87">
        <f t="shared" si="11"/>
        <v>0</v>
      </c>
      <c r="W69" s="87">
        <f t="shared" si="12"/>
        <v>0</v>
      </c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</row>
    <row r="70" ht="18.0" customHeight="1">
      <c r="A70" s="35">
        <v>65.0</v>
      </c>
      <c r="B70" s="51"/>
      <c r="C70" s="51"/>
      <c r="D70" s="73"/>
      <c r="E70" s="73"/>
      <c r="F70" s="74" t="str">
        <f t="shared" si="13"/>
        <v/>
      </c>
      <c r="G70" s="75"/>
      <c r="H70" s="40" t="str">
        <f>IF(OR($C70="",$D70="",$E70=""),"",SUMIFS(DATA_GOC!$H:$H,DATA_GOC!$A:$A,"NHAP",DATA_GOC!$E:$E,$C70,DATA_GOC!$B:$B,"&gt;="&amp;$D70,DATA_GOC!$B:$B,"&lt;="&amp;$E70))</f>
        <v/>
      </c>
      <c r="I70" s="40" t="str">
        <f>IF(OR($C70="",$D70="",$E70=""),"",SUMIFS(DATA_GOC!$H:$H,DATA_GOC!$A:$A,"BOM",DATA_GOC!$E:$E,$C70,DATA_GOC!$F:$F,"Xuất nội bộ từ téc",DATA_GOC!$B:$B,"&gt;="&amp;$D70,DATA_GOC!$B:$B,"&lt;="&amp;$E70))</f>
        <v/>
      </c>
      <c r="J70" s="40" t="str">
        <f t="shared" si="1"/>
        <v/>
      </c>
      <c r="K70" s="40" t="str">
        <f t="shared" si="2"/>
        <v/>
      </c>
      <c r="L70" s="40" t="str">
        <f t="shared" si="3"/>
        <v/>
      </c>
      <c r="M70" s="95" t="str">
        <f t="shared" si="4"/>
        <v/>
      </c>
      <c r="N70" s="95" t="str">
        <f t="shared" si="5"/>
        <v/>
      </c>
      <c r="O70" s="77"/>
      <c r="Q70" s="90">
        <f t="shared" si="6"/>
        <v>60</v>
      </c>
      <c r="R70" s="91" t="str">
        <f t="shared" si="7"/>
        <v>Xe ben mới</v>
      </c>
      <c r="S70" s="92">
        <f t="shared" si="8"/>
        <v>0</v>
      </c>
      <c r="T70" s="93">
        <f t="shared" si="9"/>
        <v>0</v>
      </c>
      <c r="U70" s="92">
        <f t="shared" si="10"/>
        <v>0</v>
      </c>
      <c r="V70" s="92">
        <f t="shared" si="11"/>
        <v>0</v>
      </c>
      <c r="W70" s="92">
        <f t="shared" si="12"/>
        <v>0</v>
      </c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</row>
    <row r="71" ht="18.0" customHeight="1">
      <c r="A71" s="35">
        <v>66.0</v>
      </c>
      <c r="B71" s="51"/>
      <c r="C71" s="51"/>
      <c r="D71" s="73"/>
      <c r="E71" s="73"/>
      <c r="F71" s="74" t="str">
        <f t="shared" si="13"/>
        <v/>
      </c>
      <c r="G71" s="75"/>
      <c r="H71" s="40" t="str">
        <f>IF(OR($C71="",$D71="",$E71=""),"",SUMIFS(DATA_GOC!$H:$H,DATA_GOC!$A:$A,"NHAP",DATA_GOC!$E:$E,$C71,DATA_GOC!$B:$B,"&gt;="&amp;$D71,DATA_GOC!$B:$B,"&lt;="&amp;$E71))</f>
        <v/>
      </c>
      <c r="I71" s="40" t="str">
        <f>IF(OR($C71="",$D71="",$E71=""),"",SUMIFS(DATA_GOC!$H:$H,DATA_GOC!$A:$A,"BOM",DATA_GOC!$E:$E,$C71,DATA_GOC!$F:$F,"Xuất nội bộ từ téc",DATA_GOC!$B:$B,"&gt;="&amp;$D71,DATA_GOC!$B:$B,"&lt;="&amp;$E71))</f>
        <v/>
      </c>
      <c r="J71" s="40" t="str">
        <f t="shared" si="1"/>
        <v/>
      </c>
      <c r="K71" s="40" t="str">
        <f t="shared" si="2"/>
        <v/>
      </c>
      <c r="L71" s="40" t="str">
        <f t="shared" si="3"/>
        <v/>
      </c>
      <c r="M71" s="95" t="str">
        <f t="shared" si="4"/>
        <v/>
      </c>
      <c r="N71" s="95" t="str">
        <f t="shared" si="5"/>
        <v/>
      </c>
      <c r="O71" s="77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</row>
    <row r="72" ht="18.0" customHeight="1">
      <c r="A72" s="35">
        <v>67.0</v>
      </c>
      <c r="B72" s="51"/>
      <c r="C72" s="51"/>
      <c r="D72" s="73"/>
      <c r="E72" s="73"/>
      <c r="F72" s="74" t="str">
        <f t="shared" si="13"/>
        <v/>
      </c>
      <c r="G72" s="75"/>
      <c r="H72" s="40" t="str">
        <f>IF(OR($C72="",$D72="",$E72=""),"",SUMIFS(DATA_GOC!$H:$H,DATA_GOC!$A:$A,"NHAP",DATA_GOC!$E:$E,$C72,DATA_GOC!$B:$B,"&gt;="&amp;$D72,DATA_GOC!$B:$B,"&lt;="&amp;$E72))</f>
        <v/>
      </c>
      <c r="I72" s="40" t="str">
        <f>IF(OR($C72="",$D72="",$E72=""),"",SUMIFS(DATA_GOC!$H:$H,DATA_GOC!$A:$A,"BOM",DATA_GOC!$E:$E,$C72,DATA_GOC!$F:$F,"Xuất nội bộ từ téc",DATA_GOC!$B:$B,"&gt;="&amp;$D72,DATA_GOC!$B:$B,"&lt;="&amp;$E72))</f>
        <v/>
      </c>
      <c r="J72" s="40" t="str">
        <f t="shared" si="1"/>
        <v/>
      </c>
      <c r="K72" s="40" t="str">
        <f t="shared" si="2"/>
        <v/>
      </c>
      <c r="L72" s="40" t="str">
        <f t="shared" si="3"/>
        <v/>
      </c>
      <c r="M72" s="95" t="str">
        <f t="shared" si="4"/>
        <v/>
      </c>
      <c r="N72" s="95" t="str">
        <f t="shared" si="5"/>
        <v/>
      </c>
      <c r="O72" s="77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</row>
    <row r="73" ht="18.0" customHeight="1">
      <c r="A73" s="35">
        <v>68.0</v>
      </c>
      <c r="B73" s="51"/>
      <c r="C73" s="51"/>
      <c r="D73" s="73"/>
      <c r="E73" s="73"/>
      <c r="F73" s="74" t="str">
        <f t="shared" si="13"/>
        <v/>
      </c>
      <c r="G73" s="75"/>
      <c r="H73" s="40" t="str">
        <f>IF(OR($C73="",$D73="",$E73=""),"",SUMIFS(DATA_GOC!$H:$H,DATA_GOC!$A:$A,"NHAP",DATA_GOC!$E:$E,$C73,DATA_GOC!$B:$B,"&gt;="&amp;$D73,DATA_GOC!$B:$B,"&lt;="&amp;$E73))</f>
        <v/>
      </c>
      <c r="I73" s="40" t="str">
        <f>IF(OR($C73="",$D73="",$E73=""),"",SUMIFS(DATA_GOC!$H:$H,DATA_GOC!$A:$A,"BOM",DATA_GOC!$E:$E,$C73,DATA_GOC!$F:$F,"Xuất nội bộ từ téc",DATA_GOC!$B:$B,"&gt;="&amp;$D73,DATA_GOC!$B:$B,"&lt;="&amp;$E73))</f>
        <v/>
      </c>
      <c r="J73" s="40" t="str">
        <f t="shared" si="1"/>
        <v/>
      </c>
      <c r="K73" s="40" t="str">
        <f t="shared" si="2"/>
        <v/>
      </c>
      <c r="L73" s="40" t="str">
        <f t="shared" si="3"/>
        <v/>
      </c>
      <c r="M73" s="95" t="str">
        <f t="shared" si="4"/>
        <v/>
      </c>
      <c r="N73" s="95" t="str">
        <f t="shared" si="5"/>
        <v/>
      </c>
      <c r="O73" s="77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</row>
    <row r="74" ht="18.0" customHeight="1">
      <c r="A74" s="35">
        <v>69.0</v>
      </c>
      <c r="B74" s="51"/>
      <c r="C74" s="51"/>
      <c r="D74" s="73"/>
      <c r="E74" s="73"/>
      <c r="F74" s="74" t="str">
        <f t="shared" si="13"/>
        <v/>
      </c>
      <c r="G74" s="75"/>
      <c r="H74" s="40" t="str">
        <f>IF(OR($C74="",$D74="",$E74=""),"",SUMIFS(DATA_GOC!$H:$H,DATA_GOC!$A:$A,"NHAP",DATA_GOC!$E:$E,$C74,DATA_GOC!$B:$B,"&gt;="&amp;$D74,DATA_GOC!$B:$B,"&lt;="&amp;$E74))</f>
        <v/>
      </c>
      <c r="I74" s="40" t="str">
        <f>IF(OR($C74="",$D74="",$E74=""),"",SUMIFS(DATA_GOC!$H:$H,DATA_GOC!$A:$A,"BOM",DATA_GOC!$E:$E,$C74,DATA_GOC!$F:$F,"Xuất nội bộ từ téc",DATA_GOC!$B:$B,"&gt;="&amp;$D74,DATA_GOC!$B:$B,"&lt;="&amp;$E74))</f>
        <v/>
      </c>
      <c r="J74" s="40" t="str">
        <f t="shared" si="1"/>
        <v/>
      </c>
      <c r="K74" s="40" t="str">
        <f t="shared" si="2"/>
        <v/>
      </c>
      <c r="L74" s="40" t="str">
        <f t="shared" si="3"/>
        <v/>
      </c>
      <c r="M74" s="95" t="str">
        <f t="shared" si="4"/>
        <v/>
      </c>
      <c r="N74" s="95" t="str">
        <f t="shared" si="5"/>
        <v/>
      </c>
      <c r="O74" s="77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</row>
    <row r="75" ht="18.0" customHeight="1">
      <c r="A75" s="35">
        <v>70.0</v>
      </c>
      <c r="B75" s="51"/>
      <c r="C75" s="51"/>
      <c r="D75" s="73"/>
      <c r="E75" s="73"/>
      <c r="F75" s="74" t="str">
        <f t="shared" si="13"/>
        <v/>
      </c>
      <c r="G75" s="75"/>
      <c r="H75" s="40" t="str">
        <f>IF(OR($C75="",$D75="",$E75=""),"",SUMIFS(DATA_GOC!$H:$H,DATA_GOC!$A:$A,"NHAP",DATA_GOC!$E:$E,$C75,DATA_GOC!$B:$B,"&gt;="&amp;$D75,DATA_GOC!$B:$B,"&lt;="&amp;$E75))</f>
        <v/>
      </c>
      <c r="I75" s="40" t="str">
        <f>IF(OR($C75="",$D75="",$E75=""),"",SUMIFS(DATA_GOC!$H:$H,DATA_GOC!$A:$A,"BOM",DATA_GOC!$E:$E,$C75,DATA_GOC!$F:$F,"Xuất nội bộ từ téc",DATA_GOC!$B:$B,"&gt;="&amp;$D75,DATA_GOC!$B:$B,"&lt;="&amp;$E75))</f>
        <v/>
      </c>
      <c r="J75" s="40" t="str">
        <f t="shared" si="1"/>
        <v/>
      </c>
      <c r="K75" s="40" t="str">
        <f t="shared" si="2"/>
        <v/>
      </c>
      <c r="L75" s="40" t="str">
        <f t="shared" si="3"/>
        <v/>
      </c>
      <c r="M75" s="95" t="str">
        <f t="shared" si="4"/>
        <v/>
      </c>
      <c r="N75" s="95" t="str">
        <f t="shared" si="5"/>
        <v/>
      </c>
      <c r="O75" s="77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</row>
    <row r="76" ht="18.0" customHeight="1">
      <c r="A76" s="35">
        <v>71.0</v>
      </c>
      <c r="B76" s="51"/>
      <c r="C76" s="51"/>
      <c r="D76" s="73"/>
      <c r="E76" s="73"/>
      <c r="F76" s="74" t="str">
        <f t="shared" si="13"/>
        <v/>
      </c>
      <c r="G76" s="75"/>
      <c r="H76" s="40" t="str">
        <f>IF(OR($C76="",$D76="",$E76=""),"",SUMIFS(DATA_GOC!$H:$H,DATA_GOC!$A:$A,"NHAP",DATA_GOC!$E:$E,$C76,DATA_GOC!$B:$B,"&gt;="&amp;$D76,DATA_GOC!$B:$B,"&lt;="&amp;$E76))</f>
        <v/>
      </c>
      <c r="I76" s="40" t="str">
        <f>IF(OR($C76="",$D76="",$E76=""),"",SUMIFS(DATA_GOC!$H:$H,DATA_GOC!$A:$A,"BOM",DATA_GOC!$E:$E,$C76,DATA_GOC!$F:$F,"Xuất nội bộ từ téc",DATA_GOC!$B:$B,"&gt;="&amp;$D76,DATA_GOC!$B:$B,"&lt;="&amp;$E76))</f>
        <v/>
      </c>
      <c r="J76" s="40" t="str">
        <f t="shared" si="1"/>
        <v/>
      </c>
      <c r="K76" s="40" t="str">
        <f t="shared" si="2"/>
        <v/>
      </c>
      <c r="L76" s="40" t="str">
        <f t="shared" si="3"/>
        <v/>
      </c>
      <c r="M76" s="95" t="str">
        <f t="shared" si="4"/>
        <v/>
      </c>
      <c r="N76" s="95" t="str">
        <f t="shared" si="5"/>
        <v/>
      </c>
      <c r="O76" s="77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</row>
    <row r="77" ht="18.0" customHeight="1">
      <c r="A77" s="35">
        <v>72.0</v>
      </c>
      <c r="B77" s="51"/>
      <c r="C77" s="51"/>
      <c r="D77" s="73"/>
      <c r="E77" s="73"/>
      <c r="F77" s="74" t="str">
        <f t="shared" si="13"/>
        <v/>
      </c>
      <c r="G77" s="75"/>
      <c r="H77" s="40" t="str">
        <f>IF(OR($C77="",$D77="",$E77=""),"",SUMIFS(DATA_GOC!$H:$H,DATA_GOC!$A:$A,"NHAP",DATA_GOC!$E:$E,$C77,DATA_GOC!$B:$B,"&gt;="&amp;$D77,DATA_GOC!$B:$B,"&lt;="&amp;$E77))</f>
        <v/>
      </c>
      <c r="I77" s="40" t="str">
        <f>IF(OR($C77="",$D77="",$E77=""),"",SUMIFS(DATA_GOC!$H:$H,DATA_GOC!$A:$A,"BOM",DATA_GOC!$E:$E,$C77,DATA_GOC!$F:$F,"Xuất nội bộ từ téc",DATA_GOC!$B:$B,"&gt;="&amp;$D77,DATA_GOC!$B:$B,"&lt;="&amp;$E77))</f>
        <v/>
      </c>
      <c r="J77" s="40" t="str">
        <f t="shared" si="1"/>
        <v/>
      </c>
      <c r="K77" s="40" t="str">
        <f t="shared" si="2"/>
        <v/>
      </c>
      <c r="L77" s="40" t="str">
        <f t="shared" si="3"/>
        <v/>
      </c>
      <c r="M77" s="95" t="str">
        <f t="shared" si="4"/>
        <v/>
      </c>
      <c r="N77" s="95" t="str">
        <f t="shared" si="5"/>
        <v/>
      </c>
      <c r="O77" s="77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</row>
    <row r="78" ht="18.0" customHeight="1">
      <c r="A78" s="35">
        <v>73.0</v>
      </c>
      <c r="B78" s="51"/>
      <c r="C78" s="51"/>
      <c r="D78" s="73"/>
      <c r="E78" s="73"/>
      <c r="F78" s="74" t="str">
        <f t="shared" si="13"/>
        <v/>
      </c>
      <c r="G78" s="75"/>
      <c r="H78" s="40" t="str">
        <f>IF(OR($C78="",$D78="",$E78=""),"",SUMIFS(DATA_GOC!$H:$H,DATA_GOC!$A:$A,"NHAP",DATA_GOC!$E:$E,$C78,DATA_GOC!$B:$B,"&gt;="&amp;$D78,DATA_GOC!$B:$B,"&lt;="&amp;$E78))</f>
        <v/>
      </c>
      <c r="I78" s="40" t="str">
        <f>IF(OR($C78="",$D78="",$E78=""),"",SUMIFS(DATA_GOC!$H:$H,DATA_GOC!$A:$A,"BOM",DATA_GOC!$E:$E,$C78,DATA_GOC!$F:$F,"Xuất nội bộ từ téc",DATA_GOC!$B:$B,"&gt;="&amp;$D78,DATA_GOC!$B:$B,"&lt;="&amp;$E78))</f>
        <v/>
      </c>
      <c r="J78" s="40" t="str">
        <f t="shared" si="1"/>
        <v/>
      </c>
      <c r="K78" s="40" t="str">
        <f t="shared" si="2"/>
        <v/>
      </c>
      <c r="L78" s="40" t="str">
        <f t="shared" si="3"/>
        <v/>
      </c>
      <c r="M78" s="95" t="str">
        <f t="shared" si="4"/>
        <v/>
      </c>
      <c r="N78" s="95" t="str">
        <f t="shared" si="5"/>
        <v/>
      </c>
      <c r="O78" s="77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</row>
    <row r="79" ht="18.0" customHeight="1">
      <c r="A79" s="35">
        <v>74.0</v>
      </c>
      <c r="B79" s="51"/>
      <c r="C79" s="51"/>
      <c r="D79" s="73"/>
      <c r="E79" s="73"/>
      <c r="F79" s="74" t="str">
        <f t="shared" si="13"/>
        <v/>
      </c>
      <c r="G79" s="75"/>
      <c r="H79" s="40" t="str">
        <f>IF(OR($C79="",$D79="",$E79=""),"",SUMIFS(DATA_GOC!$H:$H,DATA_GOC!$A:$A,"NHAP",DATA_GOC!$E:$E,$C79,DATA_GOC!$B:$B,"&gt;="&amp;$D79,DATA_GOC!$B:$B,"&lt;="&amp;$E79))</f>
        <v/>
      </c>
      <c r="I79" s="40" t="str">
        <f>IF(OR($C79="",$D79="",$E79=""),"",SUMIFS(DATA_GOC!$H:$H,DATA_GOC!$A:$A,"BOM",DATA_GOC!$E:$E,$C79,DATA_GOC!$F:$F,"Xuất nội bộ từ téc",DATA_GOC!$B:$B,"&gt;="&amp;$D79,DATA_GOC!$B:$B,"&lt;="&amp;$E79))</f>
        <v/>
      </c>
      <c r="J79" s="40" t="str">
        <f t="shared" si="1"/>
        <v/>
      </c>
      <c r="K79" s="40" t="str">
        <f t="shared" si="2"/>
        <v/>
      </c>
      <c r="L79" s="40" t="str">
        <f t="shared" si="3"/>
        <v/>
      </c>
      <c r="M79" s="95" t="str">
        <f t="shared" si="4"/>
        <v/>
      </c>
      <c r="N79" s="95" t="str">
        <f t="shared" si="5"/>
        <v/>
      </c>
      <c r="O79" s="77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</row>
    <row r="80" ht="18.0" customHeight="1">
      <c r="A80" s="35">
        <v>75.0</v>
      </c>
      <c r="B80" s="51"/>
      <c r="C80" s="51"/>
      <c r="D80" s="73"/>
      <c r="E80" s="73"/>
      <c r="F80" s="74" t="str">
        <f t="shared" si="13"/>
        <v/>
      </c>
      <c r="G80" s="75"/>
      <c r="H80" s="40" t="str">
        <f>IF(OR($C80="",$D80="",$E80=""),"",SUMIFS(DATA_GOC!$H:$H,DATA_GOC!$A:$A,"NHAP",DATA_GOC!$E:$E,$C80,DATA_GOC!$B:$B,"&gt;="&amp;$D80,DATA_GOC!$B:$B,"&lt;="&amp;$E80))</f>
        <v/>
      </c>
      <c r="I80" s="40" t="str">
        <f>IF(OR($C80="",$D80="",$E80=""),"",SUMIFS(DATA_GOC!$H:$H,DATA_GOC!$A:$A,"BOM",DATA_GOC!$E:$E,$C80,DATA_GOC!$F:$F,"Xuất nội bộ từ téc",DATA_GOC!$B:$B,"&gt;="&amp;$D80,DATA_GOC!$B:$B,"&lt;="&amp;$E80))</f>
        <v/>
      </c>
      <c r="J80" s="40" t="str">
        <f t="shared" si="1"/>
        <v/>
      </c>
      <c r="K80" s="40" t="str">
        <f t="shared" si="2"/>
        <v/>
      </c>
      <c r="L80" s="40" t="str">
        <f t="shared" si="3"/>
        <v/>
      </c>
      <c r="M80" s="95" t="str">
        <f t="shared" si="4"/>
        <v/>
      </c>
      <c r="N80" s="95" t="str">
        <f t="shared" si="5"/>
        <v/>
      </c>
      <c r="O80" s="77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</row>
    <row r="81" ht="18.0" customHeight="1">
      <c r="A81" s="35">
        <v>76.0</v>
      </c>
      <c r="B81" s="51"/>
      <c r="C81" s="51"/>
      <c r="D81" s="73"/>
      <c r="E81" s="73"/>
      <c r="F81" s="74" t="str">
        <f t="shared" si="13"/>
        <v/>
      </c>
      <c r="G81" s="75"/>
      <c r="H81" s="40" t="str">
        <f>IF(OR($C81="",$D81="",$E81=""),"",SUMIFS(DATA_GOC!$H:$H,DATA_GOC!$A:$A,"NHAP",DATA_GOC!$E:$E,$C81,DATA_GOC!$B:$B,"&gt;="&amp;$D81,DATA_GOC!$B:$B,"&lt;="&amp;$E81))</f>
        <v/>
      </c>
      <c r="I81" s="40" t="str">
        <f>IF(OR($C81="",$D81="",$E81=""),"",SUMIFS(DATA_GOC!$H:$H,DATA_GOC!$A:$A,"BOM",DATA_GOC!$E:$E,$C81,DATA_GOC!$F:$F,"Xuất nội bộ từ téc",DATA_GOC!$B:$B,"&gt;="&amp;$D81,DATA_GOC!$B:$B,"&lt;="&amp;$E81))</f>
        <v/>
      </c>
      <c r="J81" s="40" t="str">
        <f t="shared" si="1"/>
        <v/>
      </c>
      <c r="K81" s="40" t="str">
        <f t="shared" si="2"/>
        <v/>
      </c>
      <c r="L81" s="40" t="str">
        <f t="shared" si="3"/>
        <v/>
      </c>
      <c r="M81" s="95" t="str">
        <f t="shared" si="4"/>
        <v/>
      </c>
      <c r="N81" s="95" t="str">
        <f t="shared" si="5"/>
        <v/>
      </c>
      <c r="O81" s="77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</row>
    <row r="82" ht="18.0" customHeight="1">
      <c r="A82" s="35">
        <v>77.0</v>
      </c>
      <c r="B82" s="51"/>
      <c r="C82" s="51"/>
      <c r="D82" s="73"/>
      <c r="E82" s="73"/>
      <c r="F82" s="74" t="str">
        <f t="shared" si="13"/>
        <v/>
      </c>
      <c r="G82" s="75"/>
      <c r="H82" s="40" t="str">
        <f>IF(OR($C82="",$D82="",$E82=""),"",SUMIFS(DATA_GOC!$H:$H,DATA_GOC!$A:$A,"NHAP",DATA_GOC!$E:$E,$C82,DATA_GOC!$B:$B,"&gt;="&amp;$D82,DATA_GOC!$B:$B,"&lt;="&amp;$E82))</f>
        <v/>
      </c>
      <c r="I82" s="40" t="str">
        <f>IF(OR($C82="",$D82="",$E82=""),"",SUMIFS(DATA_GOC!$H:$H,DATA_GOC!$A:$A,"BOM",DATA_GOC!$E:$E,$C82,DATA_GOC!$F:$F,"Xuất nội bộ từ téc",DATA_GOC!$B:$B,"&gt;="&amp;$D82,DATA_GOC!$B:$B,"&lt;="&amp;$E82))</f>
        <v/>
      </c>
      <c r="J82" s="40" t="str">
        <f t="shared" si="1"/>
        <v/>
      </c>
      <c r="K82" s="40" t="str">
        <f t="shared" si="2"/>
        <v/>
      </c>
      <c r="L82" s="40" t="str">
        <f t="shared" si="3"/>
        <v/>
      </c>
      <c r="M82" s="95" t="str">
        <f t="shared" si="4"/>
        <v/>
      </c>
      <c r="N82" s="95" t="str">
        <f t="shared" si="5"/>
        <v/>
      </c>
      <c r="O82" s="77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</row>
    <row r="83" ht="18.0" customHeight="1">
      <c r="A83" s="35">
        <v>78.0</v>
      </c>
      <c r="B83" s="51"/>
      <c r="C83" s="51"/>
      <c r="D83" s="73"/>
      <c r="E83" s="73"/>
      <c r="F83" s="74" t="str">
        <f t="shared" si="13"/>
        <v/>
      </c>
      <c r="G83" s="75"/>
      <c r="H83" s="40" t="str">
        <f>IF(OR($C83="",$D83="",$E83=""),"",SUMIFS(DATA_GOC!$H:$H,DATA_GOC!$A:$A,"NHAP",DATA_GOC!$E:$E,$C83,DATA_GOC!$B:$B,"&gt;="&amp;$D83,DATA_GOC!$B:$B,"&lt;="&amp;$E83))</f>
        <v/>
      </c>
      <c r="I83" s="40" t="str">
        <f>IF(OR($C83="",$D83="",$E83=""),"",SUMIFS(DATA_GOC!$H:$H,DATA_GOC!$A:$A,"BOM",DATA_GOC!$E:$E,$C83,DATA_GOC!$F:$F,"Xuất nội bộ từ téc",DATA_GOC!$B:$B,"&gt;="&amp;$D83,DATA_GOC!$B:$B,"&lt;="&amp;$E83))</f>
        <v/>
      </c>
      <c r="J83" s="40" t="str">
        <f t="shared" si="1"/>
        <v/>
      </c>
      <c r="K83" s="40" t="str">
        <f t="shared" si="2"/>
        <v/>
      </c>
      <c r="L83" s="40" t="str">
        <f t="shared" si="3"/>
        <v/>
      </c>
      <c r="M83" s="95" t="str">
        <f t="shared" si="4"/>
        <v/>
      </c>
      <c r="N83" s="95" t="str">
        <f t="shared" si="5"/>
        <v/>
      </c>
      <c r="O83" s="77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</row>
    <row r="84" ht="18.0" customHeight="1">
      <c r="A84" s="35">
        <v>79.0</v>
      </c>
      <c r="B84" s="51"/>
      <c r="C84" s="51"/>
      <c r="D84" s="73"/>
      <c r="E84" s="73"/>
      <c r="F84" s="74" t="str">
        <f t="shared" si="13"/>
        <v/>
      </c>
      <c r="G84" s="75"/>
      <c r="H84" s="40" t="str">
        <f>IF(OR($C84="",$D84="",$E84=""),"",SUMIFS(DATA_GOC!$H:$H,DATA_GOC!$A:$A,"NHAP",DATA_GOC!$E:$E,$C84,DATA_GOC!$B:$B,"&gt;="&amp;$D84,DATA_GOC!$B:$B,"&lt;="&amp;$E84))</f>
        <v/>
      </c>
      <c r="I84" s="40" t="str">
        <f>IF(OR($C84="",$D84="",$E84=""),"",SUMIFS(DATA_GOC!$H:$H,DATA_GOC!$A:$A,"BOM",DATA_GOC!$E:$E,$C84,DATA_GOC!$F:$F,"Xuất nội bộ từ téc",DATA_GOC!$B:$B,"&gt;="&amp;$D84,DATA_GOC!$B:$B,"&lt;="&amp;$E84))</f>
        <v/>
      </c>
      <c r="J84" s="40" t="str">
        <f t="shared" si="1"/>
        <v/>
      </c>
      <c r="K84" s="40" t="str">
        <f t="shared" si="2"/>
        <v/>
      </c>
      <c r="L84" s="40" t="str">
        <f t="shared" si="3"/>
        <v/>
      </c>
      <c r="M84" s="95" t="str">
        <f t="shared" si="4"/>
        <v/>
      </c>
      <c r="N84" s="95" t="str">
        <f t="shared" si="5"/>
        <v/>
      </c>
      <c r="O84" s="77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</row>
    <row r="85" ht="18.0" customHeight="1">
      <c r="A85" s="35">
        <v>80.0</v>
      </c>
      <c r="B85" s="51"/>
      <c r="C85" s="51"/>
      <c r="D85" s="73"/>
      <c r="E85" s="73"/>
      <c r="F85" s="74" t="str">
        <f t="shared" si="13"/>
        <v/>
      </c>
      <c r="G85" s="75"/>
      <c r="H85" s="40" t="str">
        <f>IF(OR($C85="",$D85="",$E85=""),"",SUMIFS(DATA_GOC!$H:$H,DATA_GOC!$A:$A,"NHAP",DATA_GOC!$E:$E,$C85,DATA_GOC!$B:$B,"&gt;="&amp;$D85,DATA_GOC!$B:$B,"&lt;="&amp;$E85))</f>
        <v/>
      </c>
      <c r="I85" s="40" t="str">
        <f>IF(OR($C85="",$D85="",$E85=""),"",SUMIFS(DATA_GOC!$H:$H,DATA_GOC!$A:$A,"BOM",DATA_GOC!$E:$E,$C85,DATA_GOC!$F:$F,"Xuất nội bộ từ téc",DATA_GOC!$B:$B,"&gt;="&amp;$D85,DATA_GOC!$B:$B,"&lt;="&amp;$E85))</f>
        <v/>
      </c>
      <c r="J85" s="40" t="str">
        <f t="shared" si="1"/>
        <v/>
      </c>
      <c r="K85" s="40" t="str">
        <f t="shared" si="2"/>
        <v/>
      </c>
      <c r="L85" s="40" t="str">
        <f t="shared" si="3"/>
        <v/>
      </c>
      <c r="M85" s="95" t="str">
        <f t="shared" si="4"/>
        <v/>
      </c>
      <c r="N85" s="95" t="str">
        <f t="shared" si="5"/>
        <v/>
      </c>
      <c r="O85" s="77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</row>
    <row r="86" ht="18.0" customHeight="1">
      <c r="A86" s="35">
        <v>81.0</v>
      </c>
      <c r="B86" s="51"/>
      <c r="C86" s="51"/>
      <c r="D86" s="73"/>
      <c r="E86" s="73"/>
      <c r="F86" s="74" t="str">
        <f t="shared" si="13"/>
        <v/>
      </c>
      <c r="G86" s="75"/>
      <c r="H86" s="40" t="str">
        <f>IF(OR($C86="",$D86="",$E86=""),"",SUMIFS(DATA_GOC!$H:$H,DATA_GOC!$A:$A,"NHAP",DATA_GOC!$E:$E,$C86,DATA_GOC!$B:$B,"&gt;="&amp;$D86,DATA_GOC!$B:$B,"&lt;="&amp;$E86))</f>
        <v/>
      </c>
      <c r="I86" s="40" t="str">
        <f>IF(OR($C86="",$D86="",$E86=""),"",SUMIFS(DATA_GOC!$H:$H,DATA_GOC!$A:$A,"BOM",DATA_GOC!$E:$E,$C86,DATA_GOC!$F:$F,"Xuất nội bộ từ téc",DATA_GOC!$B:$B,"&gt;="&amp;$D86,DATA_GOC!$B:$B,"&lt;="&amp;$E86))</f>
        <v/>
      </c>
      <c r="J86" s="40" t="str">
        <f t="shared" si="1"/>
        <v/>
      </c>
      <c r="K86" s="40" t="str">
        <f t="shared" si="2"/>
        <v/>
      </c>
      <c r="L86" s="40" t="str">
        <f t="shared" si="3"/>
        <v/>
      </c>
      <c r="M86" s="95" t="str">
        <f t="shared" si="4"/>
        <v/>
      </c>
      <c r="N86" s="95" t="str">
        <f t="shared" si="5"/>
        <v/>
      </c>
      <c r="O86" s="77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</row>
    <row r="87" ht="18.0" customHeight="1">
      <c r="A87" s="35">
        <v>82.0</v>
      </c>
      <c r="B87" s="51"/>
      <c r="C87" s="51"/>
      <c r="D87" s="73"/>
      <c r="E87" s="73"/>
      <c r="F87" s="74" t="str">
        <f t="shared" si="13"/>
        <v/>
      </c>
      <c r="G87" s="75"/>
      <c r="H87" s="40" t="str">
        <f>IF(OR($C87="",$D87="",$E87=""),"",SUMIFS(DATA_GOC!$H:$H,DATA_GOC!$A:$A,"NHAP",DATA_GOC!$E:$E,$C87,DATA_GOC!$B:$B,"&gt;="&amp;$D87,DATA_GOC!$B:$B,"&lt;="&amp;$E87))</f>
        <v/>
      </c>
      <c r="I87" s="40" t="str">
        <f>IF(OR($C87="",$D87="",$E87=""),"",SUMIFS(DATA_GOC!$H:$H,DATA_GOC!$A:$A,"BOM",DATA_GOC!$E:$E,$C87,DATA_GOC!$F:$F,"Xuất nội bộ từ téc",DATA_GOC!$B:$B,"&gt;="&amp;$D87,DATA_GOC!$B:$B,"&lt;="&amp;$E87))</f>
        <v/>
      </c>
      <c r="J87" s="40" t="str">
        <f t="shared" si="1"/>
        <v/>
      </c>
      <c r="K87" s="40" t="str">
        <f t="shared" si="2"/>
        <v/>
      </c>
      <c r="L87" s="40" t="str">
        <f t="shared" si="3"/>
        <v/>
      </c>
      <c r="M87" s="95" t="str">
        <f t="shared" si="4"/>
        <v/>
      </c>
      <c r="N87" s="95" t="str">
        <f t="shared" si="5"/>
        <v/>
      </c>
      <c r="O87" s="77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</row>
    <row r="88" ht="18.0" customHeight="1">
      <c r="A88" s="35">
        <v>83.0</v>
      </c>
      <c r="B88" s="51"/>
      <c r="C88" s="51"/>
      <c r="D88" s="73"/>
      <c r="E88" s="73"/>
      <c r="F88" s="74" t="str">
        <f t="shared" si="13"/>
        <v/>
      </c>
      <c r="G88" s="75"/>
      <c r="H88" s="40" t="str">
        <f>IF(OR($C88="",$D88="",$E88=""),"",SUMIFS(DATA_GOC!$H:$H,DATA_GOC!$A:$A,"NHAP",DATA_GOC!$E:$E,$C88,DATA_GOC!$B:$B,"&gt;="&amp;$D88,DATA_GOC!$B:$B,"&lt;="&amp;$E88))</f>
        <v/>
      </c>
      <c r="I88" s="40" t="str">
        <f>IF(OR($C88="",$D88="",$E88=""),"",SUMIFS(DATA_GOC!$H:$H,DATA_GOC!$A:$A,"BOM",DATA_GOC!$E:$E,$C88,DATA_GOC!$F:$F,"Xuất nội bộ từ téc",DATA_GOC!$B:$B,"&gt;="&amp;$D88,DATA_GOC!$B:$B,"&lt;="&amp;$E88))</f>
        <v/>
      </c>
      <c r="J88" s="40" t="str">
        <f t="shared" si="1"/>
        <v/>
      </c>
      <c r="K88" s="40" t="str">
        <f t="shared" si="2"/>
        <v/>
      </c>
      <c r="L88" s="40" t="str">
        <f t="shared" si="3"/>
        <v/>
      </c>
      <c r="M88" s="95" t="str">
        <f t="shared" si="4"/>
        <v/>
      </c>
      <c r="N88" s="95" t="str">
        <f t="shared" si="5"/>
        <v/>
      </c>
      <c r="O88" s="77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</row>
    <row r="89" ht="18.0" customHeight="1">
      <c r="A89" s="35">
        <v>84.0</v>
      </c>
      <c r="B89" s="51"/>
      <c r="C89" s="51"/>
      <c r="D89" s="73"/>
      <c r="E89" s="73"/>
      <c r="F89" s="74" t="str">
        <f t="shared" si="13"/>
        <v/>
      </c>
      <c r="G89" s="75"/>
      <c r="H89" s="40" t="str">
        <f>IF(OR($C89="",$D89="",$E89=""),"",SUMIFS(DATA_GOC!$H:$H,DATA_GOC!$A:$A,"NHAP",DATA_GOC!$E:$E,$C89,DATA_GOC!$B:$B,"&gt;="&amp;$D89,DATA_GOC!$B:$B,"&lt;="&amp;$E89))</f>
        <v/>
      </c>
      <c r="I89" s="40" t="str">
        <f>IF(OR($C89="",$D89="",$E89=""),"",SUMIFS(DATA_GOC!$H:$H,DATA_GOC!$A:$A,"BOM",DATA_GOC!$E:$E,$C89,DATA_GOC!$F:$F,"Xuất nội bộ từ téc",DATA_GOC!$B:$B,"&gt;="&amp;$D89,DATA_GOC!$B:$B,"&lt;="&amp;$E89))</f>
        <v/>
      </c>
      <c r="J89" s="40" t="str">
        <f t="shared" si="1"/>
        <v/>
      </c>
      <c r="K89" s="40" t="str">
        <f t="shared" si="2"/>
        <v/>
      </c>
      <c r="L89" s="40" t="str">
        <f t="shared" si="3"/>
        <v/>
      </c>
      <c r="M89" s="95" t="str">
        <f t="shared" si="4"/>
        <v/>
      </c>
      <c r="N89" s="95" t="str">
        <f t="shared" si="5"/>
        <v/>
      </c>
      <c r="O89" s="77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</row>
    <row r="90" ht="18.0" customHeight="1">
      <c r="A90" s="35">
        <v>85.0</v>
      </c>
      <c r="B90" s="51"/>
      <c r="C90" s="51"/>
      <c r="D90" s="73"/>
      <c r="E90" s="73"/>
      <c r="F90" s="74" t="str">
        <f t="shared" si="13"/>
        <v/>
      </c>
      <c r="G90" s="75"/>
      <c r="H90" s="40" t="str">
        <f>IF(OR($C90="",$D90="",$E90=""),"",SUMIFS(DATA_GOC!$H:$H,DATA_GOC!$A:$A,"NHAP",DATA_GOC!$E:$E,$C90,DATA_GOC!$B:$B,"&gt;="&amp;$D90,DATA_GOC!$B:$B,"&lt;="&amp;$E90))</f>
        <v/>
      </c>
      <c r="I90" s="40" t="str">
        <f>IF(OR($C90="",$D90="",$E90=""),"",SUMIFS(DATA_GOC!$H:$H,DATA_GOC!$A:$A,"BOM",DATA_GOC!$E:$E,$C90,DATA_GOC!$F:$F,"Xuất nội bộ từ téc",DATA_GOC!$B:$B,"&gt;="&amp;$D90,DATA_GOC!$B:$B,"&lt;="&amp;$E90))</f>
        <v/>
      </c>
      <c r="J90" s="40" t="str">
        <f t="shared" si="1"/>
        <v/>
      </c>
      <c r="K90" s="40" t="str">
        <f t="shared" si="2"/>
        <v/>
      </c>
      <c r="L90" s="40" t="str">
        <f t="shared" si="3"/>
        <v/>
      </c>
      <c r="M90" s="95" t="str">
        <f t="shared" si="4"/>
        <v/>
      </c>
      <c r="N90" s="95" t="str">
        <f t="shared" si="5"/>
        <v/>
      </c>
      <c r="O90" s="77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</row>
    <row r="91" ht="18.0" customHeight="1">
      <c r="A91" s="35">
        <v>86.0</v>
      </c>
      <c r="B91" s="51"/>
      <c r="C91" s="51"/>
      <c r="D91" s="73"/>
      <c r="E91" s="73"/>
      <c r="F91" s="74" t="str">
        <f t="shared" si="13"/>
        <v/>
      </c>
      <c r="G91" s="75"/>
      <c r="H91" s="40" t="str">
        <f>IF(OR($C91="",$D91="",$E91=""),"",SUMIFS(DATA_GOC!$H:$H,DATA_GOC!$A:$A,"NHAP",DATA_GOC!$E:$E,$C91,DATA_GOC!$B:$B,"&gt;="&amp;$D91,DATA_GOC!$B:$B,"&lt;="&amp;$E91))</f>
        <v/>
      </c>
      <c r="I91" s="40" t="str">
        <f>IF(OR($C91="",$D91="",$E91=""),"",SUMIFS(DATA_GOC!$H:$H,DATA_GOC!$A:$A,"BOM",DATA_GOC!$E:$E,$C91,DATA_GOC!$F:$F,"Xuất nội bộ từ téc",DATA_GOC!$B:$B,"&gt;="&amp;$D91,DATA_GOC!$B:$B,"&lt;="&amp;$E91))</f>
        <v/>
      </c>
      <c r="J91" s="40" t="str">
        <f t="shared" si="1"/>
        <v/>
      </c>
      <c r="K91" s="40" t="str">
        <f t="shared" si="2"/>
        <v/>
      </c>
      <c r="L91" s="40" t="str">
        <f t="shared" si="3"/>
        <v/>
      </c>
      <c r="M91" s="95" t="str">
        <f t="shared" si="4"/>
        <v/>
      </c>
      <c r="N91" s="95" t="str">
        <f t="shared" si="5"/>
        <v/>
      </c>
      <c r="O91" s="77"/>
    </row>
    <row r="92" ht="18.0" customHeight="1">
      <c r="A92" s="35">
        <v>87.0</v>
      </c>
      <c r="B92" s="51"/>
      <c r="C92" s="51"/>
      <c r="D92" s="73"/>
      <c r="E92" s="73"/>
      <c r="F92" s="74" t="str">
        <f t="shared" si="13"/>
        <v/>
      </c>
      <c r="G92" s="75"/>
      <c r="H92" s="40" t="str">
        <f>IF(OR($C92="",$D92="",$E92=""),"",SUMIFS(DATA_GOC!$H:$H,DATA_GOC!$A:$A,"NHAP",DATA_GOC!$E:$E,$C92,DATA_GOC!$B:$B,"&gt;="&amp;$D92,DATA_GOC!$B:$B,"&lt;="&amp;$E92))</f>
        <v/>
      </c>
      <c r="I92" s="40" t="str">
        <f>IF(OR($C92="",$D92="",$E92=""),"",SUMIFS(DATA_GOC!$H:$H,DATA_GOC!$A:$A,"BOM",DATA_GOC!$E:$E,$C92,DATA_GOC!$F:$F,"Xuất nội bộ từ téc",DATA_GOC!$B:$B,"&gt;="&amp;$D92,DATA_GOC!$B:$B,"&lt;="&amp;$E92))</f>
        <v/>
      </c>
      <c r="J92" s="40" t="str">
        <f t="shared" si="1"/>
        <v/>
      </c>
      <c r="K92" s="40" t="str">
        <f t="shared" si="2"/>
        <v/>
      </c>
      <c r="L92" s="40" t="str">
        <f t="shared" si="3"/>
        <v/>
      </c>
      <c r="M92" s="95" t="str">
        <f t="shared" si="4"/>
        <v/>
      </c>
      <c r="N92" s="95" t="str">
        <f t="shared" si="5"/>
        <v/>
      </c>
      <c r="O92" s="77"/>
    </row>
    <row r="93" ht="18.0" customHeight="1">
      <c r="A93" s="35">
        <v>88.0</v>
      </c>
      <c r="B93" s="51"/>
      <c r="C93" s="51"/>
      <c r="D93" s="73"/>
      <c r="E93" s="73"/>
      <c r="F93" s="74" t="str">
        <f t="shared" si="13"/>
        <v/>
      </c>
      <c r="G93" s="75"/>
      <c r="H93" s="40" t="str">
        <f>IF(OR($C93="",$D93="",$E93=""),"",SUMIFS(DATA_GOC!$H:$H,DATA_GOC!$A:$A,"NHAP",DATA_GOC!$E:$E,$C93,DATA_GOC!$B:$B,"&gt;="&amp;$D93,DATA_GOC!$B:$B,"&lt;="&amp;$E93))</f>
        <v/>
      </c>
      <c r="I93" s="40" t="str">
        <f>IF(OR($C93="",$D93="",$E93=""),"",SUMIFS(DATA_GOC!$H:$H,DATA_GOC!$A:$A,"BOM",DATA_GOC!$E:$E,$C93,DATA_GOC!$F:$F,"Xuất nội bộ từ téc",DATA_GOC!$B:$B,"&gt;="&amp;$D93,DATA_GOC!$B:$B,"&lt;="&amp;$E93))</f>
        <v/>
      </c>
      <c r="J93" s="40" t="str">
        <f t="shared" si="1"/>
        <v/>
      </c>
      <c r="K93" s="40" t="str">
        <f t="shared" si="2"/>
        <v/>
      </c>
      <c r="L93" s="40" t="str">
        <f t="shared" si="3"/>
        <v/>
      </c>
      <c r="M93" s="95" t="str">
        <f t="shared" si="4"/>
        <v/>
      </c>
      <c r="N93" s="95" t="str">
        <f t="shared" si="5"/>
        <v/>
      </c>
      <c r="O93" s="77"/>
    </row>
    <row r="94" ht="18.0" customHeight="1">
      <c r="A94" s="35">
        <v>89.0</v>
      </c>
      <c r="B94" s="51"/>
      <c r="C94" s="51"/>
      <c r="D94" s="73"/>
      <c r="E94" s="73"/>
      <c r="F94" s="74" t="str">
        <f t="shared" si="13"/>
        <v/>
      </c>
      <c r="G94" s="75"/>
      <c r="H94" s="40" t="str">
        <f>IF(OR($C94="",$D94="",$E94=""),"",SUMIFS(DATA_GOC!$H:$H,DATA_GOC!$A:$A,"NHAP",DATA_GOC!$E:$E,$C94,DATA_GOC!$B:$B,"&gt;="&amp;$D94,DATA_GOC!$B:$B,"&lt;="&amp;$E94))</f>
        <v/>
      </c>
      <c r="I94" s="40" t="str">
        <f>IF(OR($C94="",$D94="",$E94=""),"",SUMIFS(DATA_GOC!$H:$H,DATA_GOC!$A:$A,"BOM",DATA_GOC!$E:$E,$C94,DATA_GOC!$F:$F,"Xuất nội bộ từ téc",DATA_GOC!$B:$B,"&gt;="&amp;$D94,DATA_GOC!$B:$B,"&lt;="&amp;$E94))</f>
        <v/>
      </c>
      <c r="J94" s="40" t="str">
        <f t="shared" si="1"/>
        <v/>
      </c>
      <c r="K94" s="40" t="str">
        <f t="shared" si="2"/>
        <v/>
      </c>
      <c r="L94" s="40" t="str">
        <f t="shared" si="3"/>
        <v/>
      </c>
      <c r="M94" s="95" t="str">
        <f t="shared" si="4"/>
        <v/>
      </c>
      <c r="N94" s="95" t="str">
        <f t="shared" si="5"/>
        <v/>
      </c>
      <c r="O94" s="77"/>
    </row>
    <row r="95" ht="18.0" customHeight="1">
      <c r="A95" s="35">
        <v>90.0</v>
      </c>
      <c r="B95" s="51"/>
      <c r="C95" s="51"/>
      <c r="D95" s="73"/>
      <c r="E95" s="73"/>
      <c r="F95" s="74" t="str">
        <f t="shared" si="13"/>
        <v/>
      </c>
      <c r="G95" s="75"/>
      <c r="H95" s="40" t="str">
        <f>IF(OR($C95="",$D95="",$E95=""),"",SUMIFS(DATA_GOC!$H:$H,DATA_GOC!$A:$A,"NHAP",DATA_GOC!$E:$E,$C95,DATA_GOC!$B:$B,"&gt;="&amp;$D95,DATA_GOC!$B:$B,"&lt;="&amp;$E95))</f>
        <v/>
      </c>
      <c r="I95" s="40" t="str">
        <f>IF(OR($C95="",$D95="",$E95=""),"",SUMIFS(DATA_GOC!$H:$H,DATA_GOC!$A:$A,"BOM",DATA_GOC!$E:$E,$C95,DATA_GOC!$F:$F,"Xuất nội bộ từ téc",DATA_GOC!$B:$B,"&gt;="&amp;$D95,DATA_GOC!$B:$B,"&lt;="&amp;$E95))</f>
        <v/>
      </c>
      <c r="J95" s="40" t="str">
        <f t="shared" si="1"/>
        <v/>
      </c>
      <c r="K95" s="40" t="str">
        <f t="shared" si="2"/>
        <v/>
      </c>
      <c r="L95" s="40" t="str">
        <f t="shared" si="3"/>
        <v/>
      </c>
      <c r="M95" s="95" t="str">
        <f t="shared" si="4"/>
        <v/>
      </c>
      <c r="N95" s="95" t="str">
        <f t="shared" si="5"/>
        <v/>
      </c>
      <c r="O95" s="77"/>
    </row>
    <row r="96" ht="18.0" customHeight="1">
      <c r="A96" s="35">
        <v>91.0</v>
      </c>
      <c r="B96" s="51"/>
      <c r="C96" s="51"/>
      <c r="D96" s="73"/>
      <c r="E96" s="73"/>
      <c r="F96" s="74" t="str">
        <f t="shared" si="13"/>
        <v/>
      </c>
      <c r="G96" s="75"/>
      <c r="H96" s="40" t="str">
        <f>IF(OR($C96="",$D96="",$E96=""),"",SUMIFS(DATA_GOC!$H:$H,DATA_GOC!$A:$A,"NHAP",DATA_GOC!$E:$E,$C96,DATA_GOC!$B:$B,"&gt;="&amp;$D96,DATA_GOC!$B:$B,"&lt;="&amp;$E96))</f>
        <v/>
      </c>
      <c r="I96" s="40" t="str">
        <f>IF(OR($C96="",$D96="",$E96=""),"",SUMIFS(DATA_GOC!$H:$H,DATA_GOC!$A:$A,"BOM",DATA_GOC!$E:$E,$C96,DATA_GOC!$F:$F,"Xuất nội bộ từ téc",DATA_GOC!$B:$B,"&gt;="&amp;$D96,DATA_GOC!$B:$B,"&lt;="&amp;$E96))</f>
        <v/>
      </c>
      <c r="J96" s="40" t="str">
        <f t="shared" si="1"/>
        <v/>
      </c>
      <c r="K96" s="40" t="str">
        <f t="shared" si="2"/>
        <v/>
      </c>
      <c r="L96" s="40" t="str">
        <f t="shared" si="3"/>
        <v/>
      </c>
      <c r="M96" s="95" t="str">
        <f t="shared" si="4"/>
        <v/>
      </c>
      <c r="N96" s="95" t="str">
        <f t="shared" si="5"/>
        <v/>
      </c>
      <c r="O96" s="77"/>
    </row>
    <row r="97" ht="18.0" customHeight="1">
      <c r="A97" s="35">
        <v>92.0</v>
      </c>
      <c r="B97" s="51"/>
      <c r="C97" s="51"/>
      <c r="D97" s="73"/>
      <c r="E97" s="73"/>
      <c r="F97" s="74" t="str">
        <f t="shared" si="13"/>
        <v/>
      </c>
      <c r="G97" s="75"/>
      <c r="H97" s="40" t="str">
        <f>IF(OR($C97="",$D97="",$E97=""),"",SUMIFS(DATA_GOC!$H:$H,DATA_GOC!$A:$A,"NHAP",DATA_GOC!$E:$E,$C97,DATA_GOC!$B:$B,"&gt;="&amp;$D97,DATA_GOC!$B:$B,"&lt;="&amp;$E97))</f>
        <v/>
      </c>
      <c r="I97" s="40" t="str">
        <f>IF(OR($C97="",$D97="",$E97=""),"",SUMIFS(DATA_GOC!$H:$H,DATA_GOC!$A:$A,"BOM",DATA_GOC!$E:$E,$C97,DATA_GOC!$F:$F,"Xuất nội bộ từ téc",DATA_GOC!$B:$B,"&gt;="&amp;$D97,DATA_GOC!$B:$B,"&lt;="&amp;$E97))</f>
        <v/>
      </c>
      <c r="J97" s="40" t="str">
        <f t="shared" si="1"/>
        <v/>
      </c>
      <c r="K97" s="40" t="str">
        <f t="shared" si="2"/>
        <v/>
      </c>
      <c r="L97" s="40" t="str">
        <f t="shared" si="3"/>
        <v/>
      </c>
      <c r="M97" s="95" t="str">
        <f t="shared" si="4"/>
        <v/>
      </c>
      <c r="N97" s="95" t="str">
        <f t="shared" si="5"/>
        <v/>
      </c>
      <c r="O97" s="77"/>
    </row>
    <row r="98" ht="18.0" customHeight="1">
      <c r="A98" s="35">
        <v>93.0</v>
      </c>
      <c r="B98" s="51"/>
      <c r="C98" s="51"/>
      <c r="D98" s="73"/>
      <c r="E98" s="73"/>
      <c r="F98" s="74" t="str">
        <f t="shared" si="13"/>
        <v/>
      </c>
      <c r="G98" s="75"/>
      <c r="H98" s="40" t="str">
        <f>IF(OR($C98="",$D98="",$E98=""),"",SUMIFS(DATA_GOC!$H:$H,DATA_GOC!$A:$A,"NHAP",DATA_GOC!$E:$E,$C98,DATA_GOC!$B:$B,"&gt;="&amp;$D98,DATA_GOC!$B:$B,"&lt;="&amp;$E98))</f>
        <v/>
      </c>
      <c r="I98" s="40" t="str">
        <f>IF(OR($C98="",$D98="",$E98=""),"",SUMIFS(DATA_GOC!$H:$H,DATA_GOC!$A:$A,"BOM",DATA_GOC!$E:$E,$C98,DATA_GOC!$F:$F,"Xuất nội bộ từ téc",DATA_GOC!$B:$B,"&gt;="&amp;$D98,DATA_GOC!$B:$B,"&lt;="&amp;$E98))</f>
        <v/>
      </c>
      <c r="J98" s="40" t="str">
        <f t="shared" si="1"/>
        <v/>
      </c>
      <c r="K98" s="40" t="str">
        <f t="shared" si="2"/>
        <v/>
      </c>
      <c r="L98" s="40" t="str">
        <f t="shared" si="3"/>
        <v/>
      </c>
      <c r="M98" s="95" t="str">
        <f t="shared" si="4"/>
        <v/>
      </c>
      <c r="N98" s="95" t="str">
        <f t="shared" si="5"/>
        <v/>
      </c>
      <c r="O98" s="77"/>
    </row>
    <row r="99" ht="18.0" hidden="1" customHeight="1">
      <c r="A99" s="35">
        <v>94.0</v>
      </c>
      <c r="B99" s="110"/>
      <c r="C99" s="110"/>
      <c r="D99" s="111"/>
      <c r="E99" s="111"/>
      <c r="F99" s="40" t="str">
        <f t="shared" si="13"/>
        <v/>
      </c>
      <c r="G99" s="75"/>
      <c r="H99" s="40" t="str">
        <f>IF(OR($C99="",$D99="",$E99=""),"",SUMIFS(DATA_GOC!$H:$H,DATA_GOC!$A:$A,"NHAP",DATA_GOC!$E:$E,$C99,DATA_GOC!$B:$B,"&gt;="&amp;$D99,DATA_GOC!$B:$B,"&lt;="&amp;$E99))</f>
        <v/>
      </c>
      <c r="I99" s="40" t="str">
        <f>IF(OR($C99="",$D99="",$E99=""),"",SUMIFS(DATA_GOC!$H:$H,DATA_GOC!$A:$A,"BOM",DATA_GOC!$E:$E,$C99,DATA_GOC!$F:$F,"Xuất nội bộ từ téc",DATA_GOC!$B:$B,"&gt;="&amp;$D99,DATA_GOC!$B:$B,"&lt;="&amp;$E99))</f>
        <v/>
      </c>
      <c r="J99" s="40" t="str">
        <f t="shared" si="1"/>
        <v/>
      </c>
      <c r="K99" s="40" t="str">
        <f t="shared" si="2"/>
        <v/>
      </c>
      <c r="L99" s="40" t="str">
        <f t="shared" si="3"/>
        <v/>
      </c>
      <c r="M99" s="95" t="str">
        <f t="shared" si="4"/>
        <v/>
      </c>
      <c r="N99" s="95" t="str">
        <f t="shared" si="5"/>
        <v/>
      </c>
      <c r="O99" s="77"/>
    </row>
    <row r="100" ht="18.0" hidden="1" customHeight="1">
      <c r="A100" s="35">
        <v>95.0</v>
      </c>
      <c r="B100" s="110"/>
      <c r="C100" s="110"/>
      <c r="D100" s="111"/>
      <c r="E100" s="111"/>
      <c r="F100" s="40" t="str">
        <f t="shared" si="13"/>
        <v/>
      </c>
      <c r="G100" s="75"/>
      <c r="H100" s="40" t="str">
        <f>IF(OR($C100="",$D100="",$E100=""),"",SUMIFS(DATA_GOC!$H:$H,DATA_GOC!$A:$A,"NHAP",DATA_GOC!$E:$E,$C100,DATA_GOC!$B:$B,"&gt;="&amp;$D100,DATA_GOC!$B:$B,"&lt;="&amp;$E100))</f>
        <v/>
      </c>
      <c r="I100" s="40" t="str">
        <f>IF(OR($C100="",$D100="",$E100=""),"",SUMIFS(DATA_GOC!$H:$H,DATA_GOC!$A:$A,"BOM",DATA_GOC!$E:$E,$C100,DATA_GOC!$F:$F,"Xuất nội bộ từ téc",DATA_GOC!$B:$B,"&gt;="&amp;$D100,DATA_GOC!$B:$B,"&lt;="&amp;$E100))</f>
        <v/>
      </c>
      <c r="J100" s="40" t="str">
        <f t="shared" si="1"/>
        <v/>
      </c>
      <c r="K100" s="40" t="str">
        <f t="shared" si="2"/>
        <v/>
      </c>
      <c r="L100" s="40" t="str">
        <f t="shared" si="3"/>
        <v/>
      </c>
      <c r="M100" s="95" t="str">
        <f t="shared" si="4"/>
        <v/>
      </c>
      <c r="N100" s="95" t="str">
        <f t="shared" si="5"/>
        <v/>
      </c>
      <c r="O100" s="77"/>
    </row>
    <row r="101" ht="18.0" hidden="1" customHeight="1">
      <c r="A101" s="35">
        <v>96.0</v>
      </c>
      <c r="B101" s="110"/>
      <c r="C101" s="110"/>
      <c r="D101" s="111"/>
      <c r="E101" s="111"/>
      <c r="F101" s="40" t="str">
        <f t="shared" si="13"/>
        <v/>
      </c>
      <c r="G101" s="75"/>
      <c r="H101" s="40" t="str">
        <f>IF(OR($C101="",$D101="",$E101=""),"",SUMIFS(DATA_GOC!$H:$H,DATA_GOC!$A:$A,"NHAP",DATA_GOC!$E:$E,$C101,DATA_GOC!$B:$B,"&gt;="&amp;$D101,DATA_GOC!$B:$B,"&lt;="&amp;$E101))</f>
        <v/>
      </c>
      <c r="I101" s="40" t="str">
        <f>IF(OR($C101="",$D101="",$E101=""),"",SUMIFS(DATA_GOC!$H:$H,DATA_GOC!$A:$A,"BOM",DATA_GOC!$E:$E,$C101,DATA_GOC!$F:$F,"Xuất nội bộ từ téc",DATA_GOC!$B:$B,"&gt;="&amp;$D101,DATA_GOC!$B:$B,"&lt;="&amp;$E101))</f>
        <v/>
      </c>
      <c r="J101" s="40" t="str">
        <f t="shared" si="1"/>
        <v/>
      </c>
      <c r="K101" s="40" t="str">
        <f t="shared" si="2"/>
        <v/>
      </c>
      <c r="L101" s="40" t="str">
        <f t="shared" si="3"/>
        <v/>
      </c>
      <c r="M101" s="95" t="str">
        <f t="shared" si="4"/>
        <v/>
      </c>
      <c r="N101" s="95" t="str">
        <f t="shared" si="5"/>
        <v/>
      </c>
      <c r="O101" s="77"/>
    </row>
    <row r="102" ht="18.0" hidden="1" customHeight="1">
      <c r="A102" s="35">
        <v>97.0</v>
      </c>
      <c r="B102" s="110"/>
      <c r="C102" s="110"/>
      <c r="D102" s="111"/>
      <c r="E102" s="111"/>
      <c r="F102" s="40" t="str">
        <f t="shared" si="13"/>
        <v/>
      </c>
      <c r="G102" s="75"/>
      <c r="H102" s="40" t="str">
        <f>IF(OR($C102="",$D102="",$E102=""),"",SUMIFS(DATA_GOC!$H:$H,DATA_GOC!$A:$A,"NHAP",DATA_GOC!$E:$E,$C102,DATA_GOC!$B:$B,"&gt;="&amp;$D102,DATA_GOC!$B:$B,"&lt;="&amp;$E102))</f>
        <v/>
      </c>
      <c r="I102" s="40" t="str">
        <f>IF(OR($C102="",$D102="",$E102=""),"",SUMIFS(DATA_GOC!$H:$H,DATA_GOC!$A:$A,"BOM",DATA_GOC!$E:$E,$C102,DATA_GOC!$F:$F,"Xuất nội bộ từ téc",DATA_GOC!$B:$B,"&gt;="&amp;$D102,DATA_GOC!$B:$B,"&lt;="&amp;$E102))</f>
        <v/>
      </c>
      <c r="J102" s="40" t="str">
        <f t="shared" si="1"/>
        <v/>
      </c>
      <c r="K102" s="40" t="str">
        <f t="shared" si="2"/>
        <v/>
      </c>
      <c r="L102" s="40" t="str">
        <f t="shared" si="3"/>
        <v/>
      </c>
      <c r="M102" s="95" t="str">
        <f t="shared" si="4"/>
        <v/>
      </c>
      <c r="N102" s="95" t="str">
        <f t="shared" si="5"/>
        <v/>
      </c>
      <c r="O102" s="77"/>
    </row>
    <row r="103" ht="18.0" hidden="1" customHeight="1">
      <c r="A103" s="35">
        <v>98.0</v>
      </c>
      <c r="B103" s="110"/>
      <c r="C103" s="110"/>
      <c r="D103" s="111"/>
      <c r="E103" s="111"/>
      <c r="F103" s="40" t="str">
        <f t="shared" si="13"/>
        <v/>
      </c>
      <c r="G103" s="75"/>
      <c r="H103" s="40" t="str">
        <f>IF(OR($C103="",$D103="",$E103=""),"",SUMIFS(DATA_GOC!$H:$H,DATA_GOC!$A:$A,"NHAP",DATA_GOC!$E:$E,$C103,DATA_GOC!$B:$B,"&gt;="&amp;$D103,DATA_GOC!$B:$B,"&lt;="&amp;$E103))</f>
        <v/>
      </c>
      <c r="I103" s="40" t="str">
        <f>IF(OR($C103="",$D103="",$E103=""),"",SUMIFS(DATA_GOC!$H:$H,DATA_GOC!$A:$A,"BOM",DATA_GOC!$E:$E,$C103,DATA_GOC!$F:$F,"Xuất nội bộ từ téc",DATA_GOC!$B:$B,"&gt;="&amp;$D103,DATA_GOC!$B:$B,"&lt;="&amp;$E103))</f>
        <v/>
      </c>
      <c r="J103" s="40" t="str">
        <f t="shared" si="1"/>
        <v/>
      </c>
      <c r="K103" s="40" t="str">
        <f t="shared" si="2"/>
        <v/>
      </c>
      <c r="L103" s="40" t="str">
        <f t="shared" si="3"/>
        <v/>
      </c>
      <c r="M103" s="95" t="str">
        <f t="shared" si="4"/>
        <v/>
      </c>
      <c r="N103" s="95" t="str">
        <f t="shared" si="5"/>
        <v/>
      </c>
      <c r="O103" s="77"/>
    </row>
    <row r="104" ht="18.0" hidden="1" customHeight="1">
      <c r="A104" s="35">
        <v>99.0</v>
      </c>
      <c r="B104" s="110"/>
      <c r="C104" s="110"/>
      <c r="D104" s="111"/>
      <c r="E104" s="111"/>
      <c r="F104" s="40" t="str">
        <f t="shared" si="13"/>
        <v/>
      </c>
      <c r="G104" s="75"/>
      <c r="H104" s="40" t="str">
        <f>IF(OR($C104="",$D104="",$E104=""),"",SUMIFS(DATA_GOC!$H:$H,DATA_GOC!$A:$A,"NHAP",DATA_GOC!$E:$E,$C104,DATA_GOC!$B:$B,"&gt;="&amp;$D104,DATA_GOC!$B:$B,"&lt;="&amp;$E104))</f>
        <v/>
      </c>
      <c r="I104" s="40" t="str">
        <f>IF(OR($C104="",$D104="",$E104=""),"",SUMIFS(DATA_GOC!$H:$H,DATA_GOC!$A:$A,"BOM",DATA_GOC!$E:$E,$C104,DATA_GOC!$F:$F,"Xuất nội bộ từ téc",DATA_GOC!$B:$B,"&gt;="&amp;$D104,DATA_GOC!$B:$B,"&lt;="&amp;$E104))</f>
        <v/>
      </c>
      <c r="J104" s="40" t="str">
        <f t="shared" si="1"/>
        <v/>
      </c>
      <c r="K104" s="40" t="str">
        <f t="shared" si="2"/>
        <v/>
      </c>
      <c r="L104" s="40" t="str">
        <f t="shared" si="3"/>
        <v/>
      </c>
      <c r="M104" s="95" t="str">
        <f t="shared" si="4"/>
        <v/>
      </c>
      <c r="N104" s="95" t="str">
        <f t="shared" si="5"/>
        <v/>
      </c>
      <c r="O104" s="77"/>
    </row>
    <row r="105" ht="18.0" hidden="1" customHeight="1">
      <c r="A105" s="35">
        <v>100.0</v>
      </c>
      <c r="B105" s="110"/>
      <c r="C105" s="110"/>
      <c r="D105" s="111"/>
      <c r="E105" s="111"/>
      <c r="F105" s="40" t="str">
        <f t="shared" si="13"/>
        <v/>
      </c>
      <c r="G105" s="75"/>
      <c r="H105" s="40" t="str">
        <f>IF(OR($C105="",$D105="",$E105=""),"",SUMIFS(DATA_GOC!$H:$H,DATA_GOC!$A:$A,"NHAP",DATA_GOC!$E:$E,$C105,DATA_GOC!$B:$B,"&gt;="&amp;$D105,DATA_GOC!$B:$B,"&lt;="&amp;$E105))</f>
        <v/>
      </c>
      <c r="I105" s="40" t="str">
        <f>IF(OR($C105="",$D105="",$E105=""),"",SUMIFS(DATA_GOC!$H:$H,DATA_GOC!$A:$A,"BOM",DATA_GOC!$E:$E,$C105,DATA_GOC!$F:$F,"Xuất nội bộ từ téc",DATA_GOC!$B:$B,"&gt;="&amp;$D105,DATA_GOC!$B:$B,"&lt;="&amp;$E105))</f>
        <v/>
      </c>
      <c r="J105" s="40" t="str">
        <f t="shared" si="1"/>
        <v/>
      </c>
      <c r="K105" s="40" t="str">
        <f t="shared" si="2"/>
        <v/>
      </c>
      <c r="L105" s="40" t="str">
        <f t="shared" si="3"/>
        <v/>
      </c>
      <c r="M105" s="95" t="str">
        <f t="shared" si="4"/>
        <v/>
      </c>
      <c r="N105" s="95" t="str">
        <f t="shared" si="5"/>
        <v/>
      </c>
      <c r="O105" s="77"/>
    </row>
    <row r="106" ht="18.0" hidden="1" customHeight="1">
      <c r="A106" s="35">
        <v>101.0</v>
      </c>
      <c r="B106" s="110"/>
      <c r="C106" s="110"/>
      <c r="D106" s="111"/>
      <c r="E106" s="111"/>
      <c r="F106" s="40" t="str">
        <f t="shared" si="13"/>
        <v/>
      </c>
      <c r="G106" s="75"/>
      <c r="H106" s="40" t="str">
        <f>IF(OR($C106="",$D106="",$E106=""),"",SUMIFS(DATA_GOC!$H:$H,DATA_GOC!$A:$A,"NHAP",DATA_GOC!$E:$E,$C106,DATA_GOC!$B:$B,"&gt;="&amp;$D106,DATA_GOC!$B:$B,"&lt;="&amp;$E106))</f>
        <v/>
      </c>
      <c r="I106" s="40" t="str">
        <f>IF(OR($C106="",$D106="",$E106=""),"",SUMIFS(DATA_GOC!$H:$H,DATA_GOC!$A:$A,"BOM",DATA_GOC!$E:$E,$C106,DATA_GOC!$F:$F,"Xuất nội bộ từ téc",DATA_GOC!$B:$B,"&gt;="&amp;$D106,DATA_GOC!$B:$B,"&lt;="&amp;$E106))</f>
        <v/>
      </c>
      <c r="J106" s="40" t="str">
        <f t="shared" si="1"/>
        <v/>
      </c>
      <c r="K106" s="40" t="str">
        <f t="shared" si="2"/>
        <v/>
      </c>
      <c r="L106" s="40" t="str">
        <f t="shared" si="3"/>
        <v/>
      </c>
      <c r="M106" s="95" t="str">
        <f t="shared" si="4"/>
        <v/>
      </c>
      <c r="N106" s="95" t="str">
        <f t="shared" si="5"/>
        <v/>
      </c>
      <c r="O106" s="77"/>
    </row>
    <row r="107" ht="18.0" hidden="1" customHeight="1">
      <c r="A107" s="35">
        <v>102.0</v>
      </c>
      <c r="B107" s="110"/>
      <c r="C107" s="110"/>
      <c r="D107" s="111"/>
      <c r="E107" s="111"/>
      <c r="F107" s="40" t="str">
        <f t="shared" si="13"/>
        <v/>
      </c>
      <c r="G107" s="75"/>
      <c r="H107" s="40" t="str">
        <f>IF(OR($C107="",$D107="",$E107=""),"",SUMIFS(DATA_GOC!$H:$H,DATA_GOC!$A:$A,"NHAP",DATA_GOC!$E:$E,$C107,DATA_GOC!$B:$B,"&gt;="&amp;$D107,DATA_GOC!$B:$B,"&lt;="&amp;$E107))</f>
        <v/>
      </c>
      <c r="I107" s="40" t="str">
        <f>IF(OR($C107="",$D107="",$E107=""),"",SUMIFS(DATA_GOC!$H:$H,DATA_GOC!$A:$A,"BOM",DATA_GOC!$E:$E,$C107,DATA_GOC!$F:$F,"Xuất nội bộ từ téc",DATA_GOC!$B:$B,"&gt;="&amp;$D107,DATA_GOC!$B:$B,"&lt;="&amp;$E107))</f>
        <v/>
      </c>
      <c r="J107" s="40" t="str">
        <f t="shared" si="1"/>
        <v/>
      </c>
      <c r="K107" s="40" t="str">
        <f t="shared" si="2"/>
        <v/>
      </c>
      <c r="L107" s="40" t="str">
        <f t="shared" si="3"/>
        <v/>
      </c>
      <c r="M107" s="95" t="str">
        <f t="shared" si="4"/>
        <v/>
      </c>
      <c r="N107" s="95" t="str">
        <f t="shared" si="5"/>
        <v/>
      </c>
      <c r="O107" s="77"/>
    </row>
    <row r="108" ht="18.0" hidden="1" customHeight="1">
      <c r="A108" s="35">
        <v>103.0</v>
      </c>
      <c r="B108" s="110"/>
      <c r="C108" s="110"/>
      <c r="D108" s="111"/>
      <c r="E108" s="111"/>
      <c r="F108" s="40" t="str">
        <f t="shared" si="13"/>
        <v/>
      </c>
      <c r="G108" s="75"/>
      <c r="H108" s="40" t="str">
        <f>IF(OR($C108="",$D108="",$E108=""),"",SUMIFS(DATA_GOC!$H:$H,DATA_GOC!$A:$A,"NHAP",DATA_GOC!$E:$E,$C108,DATA_GOC!$B:$B,"&gt;="&amp;$D108,DATA_GOC!$B:$B,"&lt;="&amp;$E108))</f>
        <v/>
      </c>
      <c r="I108" s="40" t="str">
        <f>IF(OR($C108="",$D108="",$E108=""),"",SUMIFS(DATA_GOC!$H:$H,DATA_GOC!$A:$A,"BOM",DATA_GOC!$E:$E,$C108,DATA_GOC!$F:$F,"Xuất nội bộ từ téc",DATA_GOC!$B:$B,"&gt;="&amp;$D108,DATA_GOC!$B:$B,"&lt;="&amp;$E108))</f>
        <v/>
      </c>
      <c r="J108" s="40" t="str">
        <f t="shared" si="1"/>
        <v/>
      </c>
      <c r="K108" s="40" t="str">
        <f t="shared" si="2"/>
        <v/>
      </c>
      <c r="L108" s="40" t="str">
        <f t="shared" si="3"/>
        <v/>
      </c>
      <c r="M108" s="95" t="str">
        <f t="shared" si="4"/>
        <v/>
      </c>
      <c r="N108" s="95" t="str">
        <f t="shared" si="5"/>
        <v/>
      </c>
      <c r="O108" s="77"/>
    </row>
    <row r="109" ht="18.0" hidden="1" customHeight="1">
      <c r="A109" s="35">
        <v>104.0</v>
      </c>
      <c r="B109" s="110"/>
      <c r="C109" s="110"/>
      <c r="D109" s="111"/>
      <c r="E109" s="111"/>
      <c r="F109" s="40" t="str">
        <f t="shared" si="13"/>
        <v/>
      </c>
      <c r="G109" s="75"/>
      <c r="H109" s="40" t="str">
        <f>IF(OR($C109="",$D109="",$E109=""),"",SUMIFS(DATA_GOC!$H:$H,DATA_GOC!$A:$A,"NHAP",DATA_GOC!$E:$E,$C109,DATA_GOC!$B:$B,"&gt;="&amp;$D109,DATA_GOC!$B:$B,"&lt;="&amp;$E109))</f>
        <v/>
      </c>
      <c r="I109" s="40" t="str">
        <f>IF(OR($C109="",$D109="",$E109=""),"",SUMIFS(DATA_GOC!$H:$H,DATA_GOC!$A:$A,"BOM",DATA_GOC!$E:$E,$C109,DATA_GOC!$F:$F,"Xuất nội bộ từ téc",DATA_GOC!$B:$B,"&gt;="&amp;$D109,DATA_GOC!$B:$B,"&lt;="&amp;$E109))</f>
        <v/>
      </c>
      <c r="J109" s="40" t="str">
        <f t="shared" si="1"/>
        <v/>
      </c>
      <c r="K109" s="40" t="str">
        <f t="shared" si="2"/>
        <v/>
      </c>
      <c r="L109" s="40" t="str">
        <f t="shared" si="3"/>
        <v/>
      </c>
      <c r="M109" s="95" t="str">
        <f t="shared" si="4"/>
        <v/>
      </c>
      <c r="N109" s="95" t="str">
        <f t="shared" si="5"/>
        <v/>
      </c>
      <c r="O109" s="77"/>
    </row>
    <row r="110" ht="18.0" hidden="1" customHeight="1">
      <c r="A110" s="35">
        <v>105.0</v>
      </c>
      <c r="B110" s="110"/>
      <c r="C110" s="110"/>
      <c r="D110" s="111"/>
      <c r="E110" s="111"/>
      <c r="F110" s="40" t="str">
        <f t="shared" si="13"/>
        <v/>
      </c>
      <c r="G110" s="75"/>
      <c r="H110" s="40" t="str">
        <f>IF(OR($C110="",$D110="",$E110=""),"",SUMIFS(DATA_GOC!$H:$H,DATA_GOC!$A:$A,"NHAP",DATA_GOC!$E:$E,$C110,DATA_GOC!$B:$B,"&gt;="&amp;$D110,DATA_GOC!$B:$B,"&lt;="&amp;$E110))</f>
        <v/>
      </c>
      <c r="I110" s="40" t="str">
        <f>IF(OR($C110="",$D110="",$E110=""),"",SUMIFS(DATA_GOC!$H:$H,DATA_GOC!$A:$A,"BOM",DATA_GOC!$E:$E,$C110,DATA_GOC!$F:$F,"Xuất nội bộ từ téc",DATA_GOC!$B:$B,"&gt;="&amp;$D110,DATA_GOC!$B:$B,"&lt;="&amp;$E110))</f>
        <v/>
      </c>
      <c r="J110" s="40" t="str">
        <f t="shared" si="1"/>
        <v/>
      </c>
      <c r="K110" s="40" t="str">
        <f t="shared" si="2"/>
        <v/>
      </c>
      <c r="L110" s="40" t="str">
        <f t="shared" si="3"/>
        <v/>
      </c>
      <c r="M110" s="95" t="str">
        <f t="shared" si="4"/>
        <v/>
      </c>
      <c r="N110" s="95" t="str">
        <f t="shared" si="5"/>
        <v/>
      </c>
      <c r="O110" s="77"/>
    </row>
    <row r="111" ht="18.0" hidden="1" customHeight="1">
      <c r="A111" s="35">
        <v>106.0</v>
      </c>
      <c r="B111" s="110"/>
      <c r="C111" s="110"/>
      <c r="D111" s="111"/>
      <c r="E111" s="111"/>
      <c r="F111" s="40" t="str">
        <f t="shared" si="13"/>
        <v/>
      </c>
      <c r="G111" s="75"/>
      <c r="H111" s="40" t="str">
        <f>IF(OR($C111="",$D111="",$E111=""),"",SUMIFS(DATA_GOC!$H:$H,DATA_GOC!$A:$A,"NHAP",DATA_GOC!$E:$E,$C111,DATA_GOC!$B:$B,"&gt;="&amp;$D111,DATA_GOC!$B:$B,"&lt;="&amp;$E111))</f>
        <v/>
      </c>
      <c r="I111" s="40" t="str">
        <f>IF(OR($C111="",$D111="",$E111=""),"",SUMIFS(DATA_GOC!$H:$H,DATA_GOC!$A:$A,"BOM",DATA_GOC!$E:$E,$C111,DATA_GOC!$F:$F,"Xuất nội bộ từ téc",DATA_GOC!$B:$B,"&gt;="&amp;$D111,DATA_GOC!$B:$B,"&lt;="&amp;$E111))</f>
        <v/>
      </c>
      <c r="J111" s="40" t="str">
        <f t="shared" si="1"/>
        <v/>
      </c>
      <c r="K111" s="40" t="str">
        <f t="shared" si="2"/>
        <v/>
      </c>
      <c r="L111" s="40" t="str">
        <f t="shared" si="3"/>
        <v/>
      </c>
      <c r="M111" s="95" t="str">
        <f t="shared" si="4"/>
        <v/>
      </c>
      <c r="N111" s="95" t="str">
        <f t="shared" si="5"/>
        <v/>
      </c>
      <c r="O111" s="77"/>
    </row>
    <row r="112" ht="18.0" hidden="1" customHeight="1">
      <c r="A112" s="35">
        <v>107.0</v>
      </c>
      <c r="B112" s="110"/>
      <c r="C112" s="110"/>
      <c r="D112" s="111"/>
      <c r="E112" s="111"/>
      <c r="F112" s="40" t="str">
        <f t="shared" si="13"/>
        <v/>
      </c>
      <c r="G112" s="75"/>
      <c r="H112" s="40" t="str">
        <f>IF(OR($C112="",$D112="",$E112=""),"",SUMIFS(DATA_GOC!$H:$H,DATA_GOC!$A:$A,"NHAP",DATA_GOC!$E:$E,$C112,DATA_GOC!$B:$B,"&gt;="&amp;$D112,DATA_GOC!$B:$B,"&lt;="&amp;$E112))</f>
        <v/>
      </c>
      <c r="I112" s="40" t="str">
        <f>IF(OR($C112="",$D112="",$E112=""),"",SUMIFS(DATA_GOC!$H:$H,DATA_GOC!$A:$A,"BOM",DATA_GOC!$E:$E,$C112,DATA_GOC!$F:$F,"Xuất nội bộ từ téc",DATA_GOC!$B:$B,"&gt;="&amp;$D112,DATA_GOC!$B:$B,"&lt;="&amp;$E112))</f>
        <v/>
      </c>
      <c r="J112" s="40" t="str">
        <f t="shared" si="1"/>
        <v/>
      </c>
      <c r="K112" s="40" t="str">
        <f t="shared" si="2"/>
        <v/>
      </c>
      <c r="L112" s="40" t="str">
        <f t="shared" si="3"/>
        <v/>
      </c>
      <c r="M112" s="95" t="str">
        <f t="shared" si="4"/>
        <v/>
      </c>
      <c r="N112" s="95" t="str">
        <f t="shared" si="5"/>
        <v/>
      </c>
      <c r="O112" s="77"/>
    </row>
    <row r="113" ht="18.0" hidden="1" customHeight="1">
      <c r="A113" s="35">
        <v>108.0</v>
      </c>
      <c r="B113" s="110"/>
      <c r="C113" s="110"/>
      <c r="D113" s="111"/>
      <c r="E113" s="111"/>
      <c r="F113" s="40" t="str">
        <f t="shared" si="13"/>
        <v/>
      </c>
      <c r="G113" s="75"/>
      <c r="H113" s="40" t="str">
        <f>IF(OR($C113="",$D113="",$E113=""),"",SUMIFS(DATA_GOC!$H:$H,DATA_GOC!$A:$A,"NHAP",DATA_GOC!$E:$E,$C113,DATA_GOC!$B:$B,"&gt;="&amp;$D113,DATA_GOC!$B:$B,"&lt;="&amp;$E113))</f>
        <v/>
      </c>
      <c r="I113" s="40" t="str">
        <f>IF(OR($C113="",$D113="",$E113=""),"",SUMIFS(DATA_GOC!$H:$H,DATA_GOC!$A:$A,"BOM",DATA_GOC!$E:$E,$C113,DATA_GOC!$F:$F,"Xuất nội bộ từ téc",DATA_GOC!$B:$B,"&gt;="&amp;$D113,DATA_GOC!$B:$B,"&lt;="&amp;$E113))</f>
        <v/>
      </c>
      <c r="J113" s="40" t="str">
        <f t="shared" si="1"/>
        <v/>
      </c>
      <c r="K113" s="40" t="str">
        <f t="shared" si="2"/>
        <v/>
      </c>
      <c r="L113" s="40" t="str">
        <f t="shared" si="3"/>
        <v/>
      </c>
      <c r="M113" s="95" t="str">
        <f t="shared" si="4"/>
        <v/>
      </c>
      <c r="N113" s="95" t="str">
        <f t="shared" si="5"/>
        <v/>
      </c>
      <c r="O113" s="77"/>
    </row>
    <row r="114" ht="18.0" hidden="1" customHeight="1">
      <c r="A114" s="35">
        <v>109.0</v>
      </c>
      <c r="B114" s="110"/>
      <c r="C114" s="110"/>
      <c r="D114" s="111"/>
      <c r="E114" s="111"/>
      <c r="F114" s="40" t="str">
        <f t="shared" si="13"/>
        <v/>
      </c>
      <c r="G114" s="75"/>
      <c r="H114" s="40" t="str">
        <f>IF(OR($C114="",$D114="",$E114=""),"",SUMIFS(DATA_GOC!$H:$H,DATA_GOC!$A:$A,"NHAP",DATA_GOC!$E:$E,$C114,DATA_GOC!$B:$B,"&gt;="&amp;$D114,DATA_GOC!$B:$B,"&lt;="&amp;$E114))</f>
        <v/>
      </c>
      <c r="I114" s="40" t="str">
        <f>IF(OR($C114="",$D114="",$E114=""),"",SUMIFS(DATA_GOC!$H:$H,DATA_GOC!$A:$A,"BOM",DATA_GOC!$E:$E,$C114,DATA_GOC!$F:$F,"Xuất nội bộ từ téc",DATA_GOC!$B:$B,"&gt;="&amp;$D114,DATA_GOC!$B:$B,"&lt;="&amp;$E114))</f>
        <v/>
      </c>
      <c r="J114" s="40" t="str">
        <f t="shared" si="1"/>
        <v/>
      </c>
      <c r="K114" s="40" t="str">
        <f t="shared" si="2"/>
        <v/>
      </c>
      <c r="L114" s="40" t="str">
        <f t="shared" si="3"/>
        <v/>
      </c>
      <c r="M114" s="95" t="str">
        <f t="shared" si="4"/>
        <v/>
      </c>
      <c r="N114" s="95" t="str">
        <f t="shared" si="5"/>
        <v/>
      </c>
      <c r="O114" s="77"/>
    </row>
    <row r="115" ht="18.0" hidden="1" customHeight="1">
      <c r="A115" s="35">
        <v>110.0</v>
      </c>
      <c r="B115" s="110"/>
      <c r="C115" s="110"/>
      <c r="D115" s="111"/>
      <c r="E115" s="111"/>
      <c r="F115" s="40" t="str">
        <f t="shared" si="13"/>
        <v/>
      </c>
      <c r="G115" s="75"/>
      <c r="H115" s="40" t="str">
        <f>IF(OR($C115="",$D115="",$E115=""),"",SUMIFS(DATA_GOC!$H:$H,DATA_GOC!$A:$A,"NHAP",DATA_GOC!$E:$E,$C115,DATA_GOC!$B:$B,"&gt;="&amp;$D115,DATA_GOC!$B:$B,"&lt;="&amp;$E115))</f>
        <v/>
      </c>
      <c r="I115" s="40" t="str">
        <f>IF(OR($C115="",$D115="",$E115=""),"",SUMIFS(DATA_GOC!$H:$H,DATA_GOC!$A:$A,"BOM",DATA_GOC!$E:$E,$C115,DATA_GOC!$F:$F,"Xuất nội bộ từ téc",DATA_GOC!$B:$B,"&gt;="&amp;$D115,DATA_GOC!$B:$B,"&lt;="&amp;$E115))</f>
        <v/>
      </c>
      <c r="J115" s="40" t="str">
        <f t="shared" si="1"/>
        <v/>
      </c>
      <c r="K115" s="40" t="str">
        <f t="shared" si="2"/>
        <v/>
      </c>
      <c r="L115" s="40" t="str">
        <f t="shared" si="3"/>
        <v/>
      </c>
      <c r="M115" s="95" t="str">
        <f t="shared" si="4"/>
        <v/>
      </c>
      <c r="N115" s="95" t="str">
        <f t="shared" si="5"/>
        <v/>
      </c>
      <c r="O115" s="77"/>
    </row>
    <row r="116" ht="18.0" hidden="1" customHeight="1">
      <c r="A116" s="35">
        <v>111.0</v>
      </c>
      <c r="B116" s="110"/>
      <c r="C116" s="110"/>
      <c r="D116" s="111"/>
      <c r="E116" s="111"/>
      <c r="F116" s="40" t="str">
        <f t="shared" si="13"/>
        <v/>
      </c>
      <c r="G116" s="75"/>
      <c r="H116" s="40" t="str">
        <f>IF(OR($C116="",$D116="",$E116=""),"",SUMIFS(DATA_GOC!$H:$H,DATA_GOC!$A:$A,"NHAP",DATA_GOC!$E:$E,$C116,DATA_GOC!$B:$B,"&gt;="&amp;$D116,DATA_GOC!$B:$B,"&lt;="&amp;$E116))</f>
        <v/>
      </c>
      <c r="I116" s="40" t="str">
        <f>IF(OR($C116="",$D116="",$E116=""),"",SUMIFS(DATA_GOC!$H:$H,DATA_GOC!$A:$A,"BOM",DATA_GOC!$E:$E,$C116,DATA_GOC!$F:$F,"Xuất nội bộ từ téc",DATA_GOC!$B:$B,"&gt;="&amp;$D116,DATA_GOC!$B:$B,"&lt;="&amp;$E116))</f>
        <v/>
      </c>
      <c r="J116" s="40" t="str">
        <f t="shared" si="1"/>
        <v/>
      </c>
      <c r="K116" s="40" t="str">
        <f t="shared" si="2"/>
        <v/>
      </c>
      <c r="L116" s="40" t="str">
        <f t="shared" si="3"/>
        <v/>
      </c>
      <c r="M116" s="95" t="str">
        <f t="shared" si="4"/>
        <v/>
      </c>
      <c r="N116" s="95" t="str">
        <f t="shared" si="5"/>
        <v/>
      </c>
      <c r="O116" s="77"/>
    </row>
    <row r="117" ht="18.0" hidden="1" customHeight="1">
      <c r="A117" s="35">
        <v>112.0</v>
      </c>
      <c r="B117" s="110"/>
      <c r="C117" s="110"/>
      <c r="D117" s="111"/>
      <c r="E117" s="111"/>
      <c r="F117" s="40" t="str">
        <f t="shared" si="13"/>
        <v/>
      </c>
      <c r="G117" s="75"/>
      <c r="H117" s="40" t="str">
        <f>IF(OR($C117="",$D117="",$E117=""),"",SUMIFS(DATA_GOC!$H:$H,DATA_GOC!$A:$A,"NHAP",DATA_GOC!$E:$E,$C117,DATA_GOC!$B:$B,"&gt;="&amp;$D117,DATA_GOC!$B:$B,"&lt;="&amp;$E117))</f>
        <v/>
      </c>
      <c r="I117" s="40" t="str">
        <f>IF(OR($C117="",$D117="",$E117=""),"",SUMIFS(DATA_GOC!$H:$H,DATA_GOC!$A:$A,"BOM",DATA_GOC!$E:$E,$C117,DATA_GOC!$F:$F,"Xuất nội bộ từ téc",DATA_GOC!$B:$B,"&gt;="&amp;$D117,DATA_GOC!$B:$B,"&lt;="&amp;$E117))</f>
        <v/>
      </c>
      <c r="J117" s="40" t="str">
        <f t="shared" si="1"/>
        <v/>
      </c>
      <c r="K117" s="40" t="str">
        <f t="shared" si="2"/>
        <v/>
      </c>
      <c r="L117" s="40" t="str">
        <f t="shared" si="3"/>
        <v/>
      </c>
      <c r="M117" s="95" t="str">
        <f t="shared" si="4"/>
        <v/>
      </c>
      <c r="N117" s="95" t="str">
        <f t="shared" si="5"/>
        <v/>
      </c>
      <c r="O117" s="77"/>
    </row>
    <row r="118" ht="18.0" hidden="1" customHeight="1">
      <c r="A118" s="35">
        <v>113.0</v>
      </c>
      <c r="B118" s="110"/>
      <c r="C118" s="110"/>
      <c r="D118" s="111"/>
      <c r="E118" s="111"/>
      <c r="F118" s="40" t="str">
        <f t="shared" si="13"/>
        <v/>
      </c>
      <c r="G118" s="75"/>
      <c r="H118" s="40" t="str">
        <f>IF(OR($C118="",$D118="",$E118=""),"",SUMIFS(DATA_GOC!$H:$H,DATA_GOC!$A:$A,"NHAP",DATA_GOC!$E:$E,$C118,DATA_GOC!$B:$B,"&gt;="&amp;$D118,DATA_GOC!$B:$B,"&lt;="&amp;$E118))</f>
        <v/>
      </c>
      <c r="I118" s="40" t="str">
        <f>IF(OR($C118="",$D118="",$E118=""),"",SUMIFS(DATA_GOC!$H:$H,DATA_GOC!$A:$A,"BOM",DATA_GOC!$E:$E,$C118,DATA_GOC!$F:$F,"Xuất nội bộ từ téc",DATA_GOC!$B:$B,"&gt;="&amp;$D118,DATA_GOC!$B:$B,"&lt;="&amp;$E118))</f>
        <v/>
      </c>
      <c r="J118" s="40" t="str">
        <f t="shared" si="1"/>
        <v/>
      </c>
      <c r="K118" s="40" t="str">
        <f t="shared" si="2"/>
        <v/>
      </c>
      <c r="L118" s="40" t="str">
        <f t="shared" si="3"/>
        <v/>
      </c>
      <c r="M118" s="95" t="str">
        <f t="shared" si="4"/>
        <v/>
      </c>
      <c r="N118" s="95" t="str">
        <f t="shared" si="5"/>
        <v/>
      </c>
      <c r="O118" s="77"/>
    </row>
    <row r="119" ht="18.0" hidden="1" customHeight="1">
      <c r="A119" s="35">
        <v>114.0</v>
      </c>
      <c r="B119" s="110"/>
      <c r="C119" s="110"/>
      <c r="D119" s="111"/>
      <c r="E119" s="111"/>
      <c r="F119" s="40" t="str">
        <f t="shared" si="13"/>
        <v/>
      </c>
      <c r="G119" s="75"/>
      <c r="H119" s="40" t="str">
        <f>IF(OR($C119="",$D119="",$E119=""),"",SUMIFS(DATA_GOC!$H:$H,DATA_GOC!$A:$A,"NHAP",DATA_GOC!$E:$E,$C119,DATA_GOC!$B:$B,"&gt;="&amp;$D119,DATA_GOC!$B:$B,"&lt;="&amp;$E119))</f>
        <v/>
      </c>
      <c r="I119" s="40" t="str">
        <f>IF(OR($C119="",$D119="",$E119=""),"",SUMIFS(DATA_GOC!$H:$H,DATA_GOC!$A:$A,"BOM",DATA_GOC!$E:$E,$C119,DATA_GOC!$F:$F,"Xuất nội bộ từ téc",DATA_GOC!$B:$B,"&gt;="&amp;$D119,DATA_GOC!$B:$B,"&lt;="&amp;$E119))</f>
        <v/>
      </c>
      <c r="J119" s="40" t="str">
        <f t="shared" si="1"/>
        <v/>
      </c>
      <c r="K119" s="40" t="str">
        <f t="shared" si="2"/>
        <v/>
      </c>
      <c r="L119" s="40" t="str">
        <f t="shared" si="3"/>
        <v/>
      </c>
      <c r="M119" s="95" t="str">
        <f t="shared" si="4"/>
        <v/>
      </c>
      <c r="N119" s="95" t="str">
        <f t="shared" si="5"/>
        <v/>
      </c>
      <c r="O119" s="77"/>
    </row>
    <row r="120" ht="18.0" hidden="1" customHeight="1">
      <c r="A120" s="35">
        <v>115.0</v>
      </c>
      <c r="B120" s="110"/>
      <c r="C120" s="110"/>
      <c r="D120" s="111"/>
      <c r="E120" s="111"/>
      <c r="F120" s="40" t="str">
        <f t="shared" si="13"/>
        <v/>
      </c>
      <c r="G120" s="75"/>
      <c r="H120" s="40" t="str">
        <f>IF(OR($C120="",$D120="",$E120=""),"",SUMIFS(DATA_GOC!$H:$H,DATA_GOC!$A:$A,"NHAP",DATA_GOC!$E:$E,$C120,DATA_GOC!$B:$B,"&gt;="&amp;$D120,DATA_GOC!$B:$B,"&lt;="&amp;$E120))</f>
        <v/>
      </c>
      <c r="I120" s="40" t="str">
        <f>IF(OR($C120="",$D120="",$E120=""),"",SUMIFS(DATA_GOC!$H:$H,DATA_GOC!$A:$A,"BOM",DATA_GOC!$E:$E,$C120,DATA_GOC!$F:$F,"Xuất nội bộ từ téc",DATA_GOC!$B:$B,"&gt;="&amp;$D120,DATA_GOC!$B:$B,"&lt;="&amp;$E120))</f>
        <v/>
      </c>
      <c r="J120" s="40" t="str">
        <f t="shared" si="1"/>
        <v/>
      </c>
      <c r="K120" s="40" t="str">
        <f t="shared" si="2"/>
        <v/>
      </c>
      <c r="L120" s="40" t="str">
        <f t="shared" si="3"/>
        <v/>
      </c>
      <c r="M120" s="95" t="str">
        <f t="shared" si="4"/>
        <v/>
      </c>
      <c r="N120" s="95" t="str">
        <f t="shared" si="5"/>
        <v/>
      </c>
      <c r="O120" s="77"/>
    </row>
    <row r="121" ht="18.0" hidden="1" customHeight="1">
      <c r="A121" s="35">
        <v>116.0</v>
      </c>
      <c r="B121" s="110"/>
      <c r="C121" s="110"/>
      <c r="D121" s="111"/>
      <c r="E121" s="111"/>
      <c r="F121" s="40" t="str">
        <f t="shared" si="13"/>
        <v/>
      </c>
      <c r="G121" s="75"/>
      <c r="H121" s="40" t="str">
        <f>IF(OR($C121="",$D121="",$E121=""),"",SUMIFS(DATA_GOC!$H:$H,DATA_GOC!$A:$A,"NHAP",DATA_GOC!$E:$E,$C121,DATA_GOC!$B:$B,"&gt;="&amp;$D121,DATA_GOC!$B:$B,"&lt;="&amp;$E121))</f>
        <v/>
      </c>
      <c r="I121" s="40" t="str">
        <f>IF(OR($C121="",$D121="",$E121=""),"",SUMIFS(DATA_GOC!$H:$H,DATA_GOC!$A:$A,"BOM",DATA_GOC!$E:$E,$C121,DATA_GOC!$F:$F,"Xuất nội bộ từ téc",DATA_GOC!$B:$B,"&gt;="&amp;$D121,DATA_GOC!$B:$B,"&lt;="&amp;$E121))</f>
        <v/>
      </c>
      <c r="J121" s="40" t="str">
        <f t="shared" si="1"/>
        <v/>
      </c>
      <c r="K121" s="40" t="str">
        <f t="shared" si="2"/>
        <v/>
      </c>
      <c r="L121" s="40" t="str">
        <f t="shared" si="3"/>
        <v/>
      </c>
      <c r="M121" s="95" t="str">
        <f t="shared" si="4"/>
        <v/>
      </c>
      <c r="N121" s="95" t="str">
        <f t="shared" si="5"/>
        <v/>
      </c>
      <c r="O121" s="77"/>
    </row>
    <row r="122" ht="18.0" hidden="1" customHeight="1">
      <c r="A122" s="35">
        <v>117.0</v>
      </c>
      <c r="B122" s="110"/>
      <c r="C122" s="110"/>
      <c r="D122" s="111"/>
      <c r="E122" s="111"/>
      <c r="F122" s="40" t="str">
        <f t="shared" si="13"/>
        <v/>
      </c>
      <c r="G122" s="75"/>
      <c r="H122" s="40" t="str">
        <f>IF(OR($C122="",$D122="",$E122=""),"",SUMIFS(DATA_GOC!$H:$H,DATA_GOC!$A:$A,"NHAP",DATA_GOC!$E:$E,$C122,DATA_GOC!$B:$B,"&gt;="&amp;$D122,DATA_GOC!$B:$B,"&lt;="&amp;$E122))</f>
        <v/>
      </c>
      <c r="I122" s="40" t="str">
        <f>IF(OR($C122="",$D122="",$E122=""),"",SUMIFS(DATA_GOC!$H:$H,DATA_GOC!$A:$A,"BOM",DATA_GOC!$E:$E,$C122,DATA_GOC!$F:$F,"Xuất nội bộ từ téc",DATA_GOC!$B:$B,"&gt;="&amp;$D122,DATA_GOC!$B:$B,"&lt;="&amp;$E122))</f>
        <v/>
      </c>
      <c r="J122" s="40" t="str">
        <f t="shared" si="1"/>
        <v/>
      </c>
      <c r="K122" s="40" t="str">
        <f t="shared" si="2"/>
        <v/>
      </c>
      <c r="L122" s="40" t="str">
        <f t="shared" si="3"/>
        <v/>
      </c>
      <c r="M122" s="95" t="str">
        <f t="shared" si="4"/>
        <v/>
      </c>
      <c r="N122" s="95" t="str">
        <f t="shared" si="5"/>
        <v/>
      </c>
      <c r="O122" s="77"/>
    </row>
    <row r="123" ht="18.0" hidden="1" customHeight="1">
      <c r="A123" s="35">
        <v>118.0</v>
      </c>
      <c r="B123" s="110"/>
      <c r="C123" s="110"/>
      <c r="D123" s="111"/>
      <c r="E123" s="111"/>
      <c r="F123" s="40" t="str">
        <f t="shared" si="13"/>
        <v/>
      </c>
      <c r="G123" s="75"/>
      <c r="H123" s="40" t="str">
        <f>IF(OR($C123="",$D123="",$E123=""),"",SUMIFS(DATA_GOC!$H:$H,DATA_GOC!$A:$A,"NHAP",DATA_GOC!$E:$E,$C123,DATA_GOC!$B:$B,"&gt;="&amp;$D123,DATA_GOC!$B:$B,"&lt;="&amp;$E123))</f>
        <v/>
      </c>
      <c r="I123" s="40" t="str">
        <f>IF(OR($C123="",$D123="",$E123=""),"",SUMIFS(DATA_GOC!$H:$H,DATA_GOC!$A:$A,"BOM",DATA_GOC!$E:$E,$C123,DATA_GOC!$F:$F,"Xuất nội bộ từ téc",DATA_GOC!$B:$B,"&gt;="&amp;$D123,DATA_GOC!$B:$B,"&lt;="&amp;$E123))</f>
        <v/>
      </c>
      <c r="J123" s="40" t="str">
        <f t="shared" si="1"/>
        <v/>
      </c>
      <c r="K123" s="40" t="str">
        <f t="shared" si="2"/>
        <v/>
      </c>
      <c r="L123" s="40" t="str">
        <f t="shared" si="3"/>
        <v/>
      </c>
      <c r="M123" s="95" t="str">
        <f t="shared" si="4"/>
        <v/>
      </c>
      <c r="N123" s="95" t="str">
        <f t="shared" si="5"/>
        <v/>
      </c>
      <c r="O123" s="77"/>
    </row>
    <row r="124" ht="18.0" hidden="1" customHeight="1">
      <c r="A124" s="35">
        <v>119.0</v>
      </c>
      <c r="B124" s="110"/>
      <c r="C124" s="110"/>
      <c r="D124" s="111"/>
      <c r="E124" s="111"/>
      <c r="F124" s="40" t="str">
        <f t="shared" si="13"/>
        <v/>
      </c>
      <c r="G124" s="75"/>
      <c r="H124" s="40" t="str">
        <f>IF(OR($C124="",$D124="",$E124=""),"",SUMIFS(DATA_GOC!$H:$H,DATA_GOC!$A:$A,"NHAP",DATA_GOC!$E:$E,$C124,DATA_GOC!$B:$B,"&gt;="&amp;$D124,DATA_GOC!$B:$B,"&lt;="&amp;$E124))</f>
        <v/>
      </c>
      <c r="I124" s="40" t="str">
        <f>IF(OR($C124="",$D124="",$E124=""),"",SUMIFS(DATA_GOC!$H:$H,DATA_GOC!$A:$A,"BOM",DATA_GOC!$E:$E,$C124,DATA_GOC!$F:$F,"Xuất nội bộ từ téc",DATA_GOC!$B:$B,"&gt;="&amp;$D124,DATA_GOC!$B:$B,"&lt;="&amp;$E124))</f>
        <v/>
      </c>
      <c r="J124" s="40" t="str">
        <f t="shared" si="1"/>
        <v/>
      </c>
      <c r="K124" s="40" t="str">
        <f t="shared" si="2"/>
        <v/>
      </c>
      <c r="L124" s="40" t="str">
        <f t="shared" si="3"/>
        <v/>
      </c>
      <c r="M124" s="95" t="str">
        <f t="shared" si="4"/>
        <v/>
      </c>
      <c r="N124" s="95" t="str">
        <f t="shared" si="5"/>
        <v/>
      </c>
      <c r="O124" s="77"/>
    </row>
    <row r="125" ht="18.0" hidden="1" customHeight="1">
      <c r="A125" s="35">
        <v>120.0</v>
      </c>
      <c r="B125" s="110"/>
      <c r="C125" s="110"/>
      <c r="D125" s="111"/>
      <c r="E125" s="111"/>
      <c r="F125" s="40" t="str">
        <f t="shared" si="13"/>
        <v/>
      </c>
      <c r="G125" s="75"/>
      <c r="H125" s="40" t="str">
        <f>IF(OR($C125="",$D125="",$E125=""),"",SUMIFS(DATA_GOC!$H:$H,DATA_GOC!$A:$A,"NHAP",DATA_GOC!$E:$E,$C125,DATA_GOC!$B:$B,"&gt;="&amp;$D125,DATA_GOC!$B:$B,"&lt;="&amp;$E125))</f>
        <v/>
      </c>
      <c r="I125" s="40" t="str">
        <f>IF(OR($C125="",$D125="",$E125=""),"",SUMIFS(DATA_GOC!$H:$H,DATA_GOC!$A:$A,"BOM",DATA_GOC!$E:$E,$C125,DATA_GOC!$F:$F,"Xuất nội bộ từ téc",DATA_GOC!$B:$B,"&gt;="&amp;$D125,DATA_GOC!$B:$B,"&lt;="&amp;$E125))</f>
        <v/>
      </c>
      <c r="J125" s="40" t="str">
        <f t="shared" si="1"/>
        <v/>
      </c>
      <c r="K125" s="40" t="str">
        <f t="shared" si="2"/>
        <v/>
      </c>
      <c r="L125" s="40" t="str">
        <f t="shared" si="3"/>
        <v/>
      </c>
      <c r="M125" s="95" t="str">
        <f t="shared" si="4"/>
        <v/>
      </c>
      <c r="N125" s="95" t="str">
        <f t="shared" si="5"/>
        <v/>
      </c>
      <c r="O125" s="77"/>
    </row>
    <row r="126" ht="18.0" hidden="1" customHeight="1">
      <c r="A126" s="35">
        <v>121.0</v>
      </c>
      <c r="B126" s="110"/>
      <c r="C126" s="110"/>
      <c r="D126" s="111"/>
      <c r="E126" s="111"/>
      <c r="F126" s="40" t="str">
        <f t="shared" si="13"/>
        <v/>
      </c>
      <c r="G126" s="75"/>
      <c r="H126" s="40" t="str">
        <f>IF(OR($C126="",$D126="",$E126=""),"",SUMIFS(DATA_GOC!$H:$H,DATA_GOC!$A:$A,"NHAP",DATA_GOC!$E:$E,$C126,DATA_GOC!$B:$B,"&gt;="&amp;$D126,DATA_GOC!$B:$B,"&lt;="&amp;$E126))</f>
        <v/>
      </c>
      <c r="I126" s="40" t="str">
        <f>IF(OR($C126="",$D126="",$E126=""),"",SUMIFS(DATA_GOC!$H:$H,DATA_GOC!$A:$A,"BOM",DATA_GOC!$E:$E,$C126,DATA_GOC!$F:$F,"Xuất nội bộ từ téc",DATA_GOC!$B:$B,"&gt;="&amp;$D126,DATA_GOC!$B:$B,"&lt;="&amp;$E126))</f>
        <v/>
      </c>
      <c r="J126" s="40" t="str">
        <f t="shared" si="1"/>
        <v/>
      </c>
      <c r="K126" s="40" t="str">
        <f t="shared" si="2"/>
        <v/>
      </c>
      <c r="L126" s="40" t="str">
        <f t="shared" si="3"/>
        <v/>
      </c>
      <c r="M126" s="95" t="str">
        <f t="shared" si="4"/>
        <v/>
      </c>
      <c r="N126" s="95" t="str">
        <f t="shared" si="5"/>
        <v/>
      </c>
      <c r="O126" s="77"/>
    </row>
    <row r="127" ht="18.0" hidden="1" customHeight="1">
      <c r="A127" s="35">
        <v>122.0</v>
      </c>
      <c r="B127" s="110"/>
      <c r="C127" s="110"/>
      <c r="D127" s="111"/>
      <c r="E127" s="111"/>
      <c r="F127" s="40" t="str">
        <f t="shared" si="13"/>
        <v/>
      </c>
      <c r="G127" s="75"/>
      <c r="H127" s="40" t="str">
        <f>IF(OR($C127="",$D127="",$E127=""),"",SUMIFS(DATA_GOC!$H:$H,DATA_GOC!$A:$A,"NHAP",DATA_GOC!$E:$E,$C127,DATA_GOC!$B:$B,"&gt;="&amp;$D127,DATA_GOC!$B:$B,"&lt;="&amp;$E127))</f>
        <v/>
      </c>
      <c r="I127" s="40" t="str">
        <f>IF(OR($C127="",$D127="",$E127=""),"",SUMIFS(DATA_GOC!$H:$H,DATA_GOC!$A:$A,"BOM",DATA_GOC!$E:$E,$C127,DATA_GOC!$F:$F,"Xuất nội bộ từ téc",DATA_GOC!$B:$B,"&gt;="&amp;$D127,DATA_GOC!$B:$B,"&lt;="&amp;$E127))</f>
        <v/>
      </c>
      <c r="J127" s="40" t="str">
        <f t="shared" si="1"/>
        <v/>
      </c>
      <c r="K127" s="40" t="str">
        <f t="shared" si="2"/>
        <v/>
      </c>
      <c r="L127" s="40" t="str">
        <f t="shared" si="3"/>
        <v/>
      </c>
      <c r="M127" s="95" t="str">
        <f t="shared" si="4"/>
        <v/>
      </c>
      <c r="N127" s="95" t="str">
        <f t="shared" si="5"/>
        <v/>
      </c>
      <c r="O127" s="77"/>
    </row>
    <row r="128" ht="18.0" hidden="1" customHeight="1">
      <c r="A128" s="35">
        <v>123.0</v>
      </c>
      <c r="B128" s="110"/>
      <c r="C128" s="110"/>
      <c r="D128" s="111"/>
      <c r="E128" s="111"/>
      <c r="F128" s="40" t="str">
        <f t="shared" si="13"/>
        <v/>
      </c>
      <c r="G128" s="75"/>
      <c r="H128" s="40" t="str">
        <f>IF(OR($C128="",$D128="",$E128=""),"",SUMIFS(DATA_GOC!$H:$H,DATA_GOC!$A:$A,"NHAP",DATA_GOC!$E:$E,$C128,DATA_GOC!$B:$B,"&gt;="&amp;$D128,DATA_GOC!$B:$B,"&lt;="&amp;$E128))</f>
        <v/>
      </c>
      <c r="I128" s="40" t="str">
        <f>IF(OR($C128="",$D128="",$E128=""),"",SUMIFS(DATA_GOC!$H:$H,DATA_GOC!$A:$A,"BOM",DATA_GOC!$E:$E,$C128,DATA_GOC!$F:$F,"Xuất nội bộ từ téc",DATA_GOC!$B:$B,"&gt;="&amp;$D128,DATA_GOC!$B:$B,"&lt;="&amp;$E128))</f>
        <v/>
      </c>
      <c r="J128" s="40" t="str">
        <f t="shared" si="1"/>
        <v/>
      </c>
      <c r="K128" s="40" t="str">
        <f t="shared" si="2"/>
        <v/>
      </c>
      <c r="L128" s="40" t="str">
        <f t="shared" si="3"/>
        <v/>
      </c>
      <c r="M128" s="95" t="str">
        <f t="shared" si="4"/>
        <v/>
      </c>
      <c r="N128" s="95" t="str">
        <f t="shared" si="5"/>
        <v/>
      </c>
      <c r="O128" s="77"/>
    </row>
    <row r="129" ht="18.0" hidden="1" customHeight="1">
      <c r="A129" s="35">
        <v>124.0</v>
      </c>
      <c r="B129" s="110"/>
      <c r="C129" s="110"/>
      <c r="D129" s="111"/>
      <c r="E129" s="111"/>
      <c r="F129" s="40" t="str">
        <f t="shared" si="13"/>
        <v/>
      </c>
      <c r="G129" s="75"/>
      <c r="H129" s="40" t="str">
        <f>IF(OR($C129="",$D129="",$E129=""),"",SUMIFS(DATA_GOC!$H:$H,DATA_GOC!$A:$A,"NHAP",DATA_GOC!$E:$E,$C129,DATA_GOC!$B:$B,"&gt;="&amp;$D129,DATA_GOC!$B:$B,"&lt;="&amp;$E129))</f>
        <v/>
      </c>
      <c r="I129" s="40" t="str">
        <f>IF(OR($C129="",$D129="",$E129=""),"",SUMIFS(DATA_GOC!$H:$H,DATA_GOC!$A:$A,"BOM",DATA_GOC!$E:$E,$C129,DATA_GOC!$F:$F,"Xuất nội bộ từ téc",DATA_GOC!$B:$B,"&gt;="&amp;$D129,DATA_GOC!$B:$B,"&lt;="&amp;$E129))</f>
        <v/>
      </c>
      <c r="J129" s="40" t="str">
        <f t="shared" si="1"/>
        <v/>
      </c>
      <c r="K129" s="40" t="str">
        <f t="shared" si="2"/>
        <v/>
      </c>
      <c r="L129" s="40" t="str">
        <f t="shared" si="3"/>
        <v/>
      </c>
      <c r="M129" s="95" t="str">
        <f t="shared" si="4"/>
        <v/>
      </c>
      <c r="N129" s="95" t="str">
        <f t="shared" si="5"/>
        <v/>
      </c>
      <c r="O129" s="77"/>
    </row>
    <row r="130" ht="18.0" hidden="1" customHeight="1">
      <c r="A130" s="35">
        <v>125.0</v>
      </c>
      <c r="B130" s="110"/>
      <c r="C130" s="110"/>
      <c r="D130" s="111"/>
      <c r="E130" s="111"/>
      <c r="F130" s="40" t="str">
        <f t="shared" si="13"/>
        <v/>
      </c>
      <c r="G130" s="75"/>
      <c r="H130" s="40" t="str">
        <f>IF(OR($C130="",$D130="",$E130=""),"",SUMIFS(DATA_GOC!$H:$H,DATA_GOC!$A:$A,"NHAP",DATA_GOC!$E:$E,$C130,DATA_GOC!$B:$B,"&gt;="&amp;$D130,DATA_GOC!$B:$B,"&lt;="&amp;$E130))</f>
        <v/>
      </c>
      <c r="I130" s="40" t="str">
        <f>IF(OR($C130="",$D130="",$E130=""),"",SUMIFS(DATA_GOC!$H:$H,DATA_GOC!$A:$A,"BOM",DATA_GOC!$E:$E,$C130,DATA_GOC!$F:$F,"Xuất nội bộ từ téc",DATA_GOC!$B:$B,"&gt;="&amp;$D130,DATA_GOC!$B:$B,"&lt;="&amp;$E130))</f>
        <v/>
      </c>
      <c r="J130" s="40" t="str">
        <f t="shared" si="1"/>
        <v/>
      </c>
      <c r="K130" s="40" t="str">
        <f t="shared" si="2"/>
        <v/>
      </c>
      <c r="L130" s="40" t="str">
        <f t="shared" si="3"/>
        <v/>
      </c>
      <c r="M130" s="95" t="str">
        <f t="shared" si="4"/>
        <v/>
      </c>
      <c r="N130" s="95" t="str">
        <f t="shared" si="5"/>
        <v/>
      </c>
      <c r="O130" s="77"/>
    </row>
    <row r="131" ht="18.0" hidden="1" customHeight="1">
      <c r="A131" s="35">
        <v>126.0</v>
      </c>
      <c r="B131" s="110"/>
      <c r="C131" s="110"/>
      <c r="D131" s="111"/>
      <c r="E131" s="111"/>
      <c r="F131" s="40" t="str">
        <f t="shared" si="13"/>
        <v/>
      </c>
      <c r="G131" s="75"/>
      <c r="H131" s="40" t="str">
        <f>IF(OR($C131="",$D131="",$E131=""),"",SUMIFS(DATA_GOC!$H:$H,DATA_GOC!$A:$A,"NHAP",DATA_GOC!$E:$E,$C131,DATA_GOC!$B:$B,"&gt;="&amp;$D131,DATA_GOC!$B:$B,"&lt;="&amp;$E131))</f>
        <v/>
      </c>
      <c r="I131" s="40" t="str">
        <f>IF(OR($C131="",$D131="",$E131=""),"",SUMIFS(DATA_GOC!$H:$H,DATA_GOC!$A:$A,"BOM",DATA_GOC!$E:$E,$C131,DATA_GOC!$F:$F,"Xuất nội bộ từ téc",DATA_GOC!$B:$B,"&gt;="&amp;$D131,DATA_GOC!$B:$B,"&lt;="&amp;$E131))</f>
        <v/>
      </c>
      <c r="J131" s="40" t="str">
        <f t="shared" si="1"/>
        <v/>
      </c>
      <c r="K131" s="40" t="str">
        <f t="shared" si="2"/>
        <v/>
      </c>
      <c r="L131" s="40" t="str">
        <f t="shared" si="3"/>
        <v/>
      </c>
      <c r="M131" s="95" t="str">
        <f t="shared" si="4"/>
        <v/>
      </c>
      <c r="N131" s="95" t="str">
        <f t="shared" si="5"/>
        <v/>
      </c>
      <c r="O131" s="77"/>
    </row>
    <row r="132" ht="18.0" hidden="1" customHeight="1">
      <c r="A132" s="35">
        <v>127.0</v>
      </c>
      <c r="B132" s="110"/>
      <c r="C132" s="110"/>
      <c r="D132" s="111"/>
      <c r="E132" s="111"/>
      <c r="F132" s="40" t="str">
        <f t="shared" si="13"/>
        <v/>
      </c>
      <c r="G132" s="75"/>
      <c r="H132" s="40" t="str">
        <f>IF(OR($C132="",$D132="",$E132=""),"",SUMIFS(DATA_GOC!$H:$H,DATA_GOC!$A:$A,"NHAP",DATA_GOC!$E:$E,$C132,DATA_GOC!$B:$B,"&gt;="&amp;$D132,DATA_GOC!$B:$B,"&lt;="&amp;$E132))</f>
        <v/>
      </c>
      <c r="I132" s="40" t="str">
        <f>IF(OR($C132="",$D132="",$E132=""),"",SUMIFS(DATA_GOC!$H:$H,DATA_GOC!$A:$A,"BOM",DATA_GOC!$E:$E,$C132,DATA_GOC!$F:$F,"Xuất nội bộ từ téc",DATA_GOC!$B:$B,"&gt;="&amp;$D132,DATA_GOC!$B:$B,"&lt;="&amp;$E132))</f>
        <v/>
      </c>
      <c r="J132" s="40" t="str">
        <f t="shared" si="1"/>
        <v/>
      </c>
      <c r="K132" s="40" t="str">
        <f t="shared" si="2"/>
        <v/>
      </c>
      <c r="L132" s="40" t="str">
        <f t="shared" si="3"/>
        <v/>
      </c>
      <c r="M132" s="95" t="str">
        <f t="shared" si="4"/>
        <v/>
      </c>
      <c r="N132" s="95" t="str">
        <f t="shared" si="5"/>
        <v/>
      </c>
      <c r="O132" s="77"/>
    </row>
    <row r="133" ht="18.0" hidden="1" customHeight="1">
      <c r="A133" s="35">
        <v>128.0</v>
      </c>
      <c r="B133" s="110"/>
      <c r="C133" s="110"/>
      <c r="D133" s="111"/>
      <c r="E133" s="111"/>
      <c r="F133" s="40" t="str">
        <f t="shared" si="13"/>
        <v/>
      </c>
      <c r="G133" s="75"/>
      <c r="H133" s="40" t="str">
        <f>IF(OR($C133="",$D133="",$E133=""),"",SUMIFS(DATA_GOC!$H:$H,DATA_GOC!$A:$A,"NHAP",DATA_GOC!$E:$E,$C133,DATA_GOC!$B:$B,"&gt;="&amp;$D133,DATA_GOC!$B:$B,"&lt;="&amp;$E133))</f>
        <v/>
      </c>
      <c r="I133" s="40" t="str">
        <f>IF(OR($C133="",$D133="",$E133=""),"",SUMIFS(DATA_GOC!$H:$H,DATA_GOC!$A:$A,"BOM",DATA_GOC!$E:$E,$C133,DATA_GOC!$F:$F,"Xuất nội bộ từ téc",DATA_GOC!$B:$B,"&gt;="&amp;$D133,DATA_GOC!$B:$B,"&lt;="&amp;$E133))</f>
        <v/>
      </c>
      <c r="J133" s="40" t="str">
        <f t="shared" si="1"/>
        <v/>
      </c>
      <c r="K133" s="40" t="str">
        <f t="shared" si="2"/>
        <v/>
      </c>
      <c r="L133" s="40" t="str">
        <f t="shared" si="3"/>
        <v/>
      </c>
      <c r="M133" s="95" t="str">
        <f t="shared" si="4"/>
        <v/>
      </c>
      <c r="N133" s="95" t="str">
        <f t="shared" si="5"/>
        <v/>
      </c>
      <c r="O133" s="77"/>
    </row>
    <row r="134" ht="18.0" hidden="1" customHeight="1">
      <c r="A134" s="35">
        <v>129.0</v>
      </c>
      <c r="B134" s="110"/>
      <c r="C134" s="110"/>
      <c r="D134" s="111"/>
      <c r="E134" s="111"/>
      <c r="F134" s="40" t="str">
        <f t="shared" si="13"/>
        <v/>
      </c>
      <c r="G134" s="75"/>
      <c r="H134" s="40" t="str">
        <f>IF(OR($C134="",$D134="",$E134=""),"",SUMIFS(DATA_GOC!$H:$H,DATA_GOC!$A:$A,"NHAP",DATA_GOC!$E:$E,$C134,DATA_GOC!$B:$B,"&gt;="&amp;$D134,DATA_GOC!$B:$B,"&lt;="&amp;$E134))</f>
        <v/>
      </c>
      <c r="I134" s="40" t="str">
        <f>IF(OR($C134="",$D134="",$E134=""),"",SUMIFS(DATA_GOC!$H:$H,DATA_GOC!$A:$A,"BOM",DATA_GOC!$E:$E,$C134,DATA_GOC!$F:$F,"Xuất nội bộ từ téc",DATA_GOC!$B:$B,"&gt;="&amp;$D134,DATA_GOC!$B:$B,"&lt;="&amp;$E134))</f>
        <v/>
      </c>
      <c r="J134" s="40" t="str">
        <f t="shared" si="1"/>
        <v/>
      </c>
      <c r="K134" s="40" t="str">
        <f t="shared" si="2"/>
        <v/>
      </c>
      <c r="L134" s="40" t="str">
        <f t="shared" si="3"/>
        <v/>
      </c>
      <c r="M134" s="95" t="str">
        <f t="shared" si="4"/>
        <v/>
      </c>
      <c r="N134" s="95" t="str">
        <f t="shared" si="5"/>
        <v/>
      </c>
      <c r="O134" s="77"/>
    </row>
    <row r="135" ht="18.0" hidden="1" customHeight="1">
      <c r="A135" s="35">
        <v>130.0</v>
      </c>
      <c r="B135" s="110"/>
      <c r="C135" s="110"/>
      <c r="D135" s="111"/>
      <c r="E135" s="111"/>
      <c r="F135" s="40" t="str">
        <f t="shared" si="13"/>
        <v/>
      </c>
      <c r="G135" s="75"/>
      <c r="H135" s="40" t="str">
        <f>IF(OR($C135="",$D135="",$E135=""),"",SUMIFS(DATA_GOC!$H:$H,DATA_GOC!$A:$A,"NHAP",DATA_GOC!$E:$E,$C135,DATA_GOC!$B:$B,"&gt;="&amp;$D135,DATA_GOC!$B:$B,"&lt;="&amp;$E135))</f>
        <v/>
      </c>
      <c r="I135" s="40" t="str">
        <f>IF(OR($C135="",$D135="",$E135=""),"",SUMIFS(DATA_GOC!$H:$H,DATA_GOC!$A:$A,"BOM",DATA_GOC!$E:$E,$C135,DATA_GOC!$F:$F,"Xuất nội bộ từ téc",DATA_GOC!$B:$B,"&gt;="&amp;$D135,DATA_GOC!$B:$B,"&lt;="&amp;$E135))</f>
        <v/>
      </c>
      <c r="J135" s="40" t="str">
        <f t="shared" si="1"/>
        <v/>
      </c>
      <c r="K135" s="40" t="str">
        <f t="shared" si="2"/>
        <v/>
      </c>
      <c r="L135" s="40" t="str">
        <f t="shared" si="3"/>
        <v/>
      </c>
      <c r="M135" s="95" t="str">
        <f t="shared" si="4"/>
        <v/>
      </c>
      <c r="N135" s="95" t="str">
        <f t="shared" si="5"/>
        <v/>
      </c>
      <c r="O135" s="77"/>
    </row>
    <row r="136" ht="18.0" hidden="1" customHeight="1">
      <c r="A136" s="35">
        <v>131.0</v>
      </c>
      <c r="B136" s="110"/>
      <c r="C136" s="110"/>
      <c r="D136" s="111"/>
      <c r="E136" s="111"/>
      <c r="F136" s="40" t="str">
        <f t="shared" si="13"/>
        <v/>
      </c>
      <c r="G136" s="75"/>
      <c r="H136" s="40" t="str">
        <f>IF(OR($C136="",$D136="",$E136=""),"",SUMIFS(DATA_GOC!$H:$H,DATA_GOC!$A:$A,"NHAP",DATA_GOC!$E:$E,$C136,DATA_GOC!$B:$B,"&gt;="&amp;$D136,DATA_GOC!$B:$B,"&lt;="&amp;$E136))</f>
        <v/>
      </c>
      <c r="I136" s="40" t="str">
        <f>IF(OR($C136="",$D136="",$E136=""),"",SUMIFS(DATA_GOC!$H:$H,DATA_GOC!$A:$A,"BOM",DATA_GOC!$E:$E,$C136,DATA_GOC!$F:$F,"Xuất nội bộ từ téc",DATA_GOC!$B:$B,"&gt;="&amp;$D136,DATA_GOC!$B:$B,"&lt;="&amp;$E136))</f>
        <v/>
      </c>
      <c r="J136" s="40" t="str">
        <f t="shared" si="1"/>
        <v/>
      </c>
      <c r="K136" s="40" t="str">
        <f t="shared" si="2"/>
        <v/>
      </c>
      <c r="L136" s="40" t="str">
        <f t="shared" si="3"/>
        <v/>
      </c>
      <c r="M136" s="95" t="str">
        <f t="shared" si="4"/>
        <v/>
      </c>
      <c r="N136" s="95" t="str">
        <f t="shared" si="5"/>
        <v/>
      </c>
      <c r="O136" s="77"/>
    </row>
    <row r="137" ht="18.0" hidden="1" customHeight="1">
      <c r="A137" s="35">
        <v>132.0</v>
      </c>
      <c r="B137" s="110"/>
      <c r="C137" s="110"/>
      <c r="D137" s="111"/>
      <c r="E137" s="111"/>
      <c r="F137" s="40" t="str">
        <f t="shared" si="13"/>
        <v/>
      </c>
      <c r="G137" s="75"/>
      <c r="H137" s="40" t="str">
        <f>IF(OR($C137="",$D137="",$E137=""),"",SUMIFS(DATA_GOC!$H:$H,DATA_GOC!$A:$A,"NHAP",DATA_GOC!$E:$E,$C137,DATA_GOC!$B:$B,"&gt;="&amp;$D137,DATA_GOC!$B:$B,"&lt;="&amp;$E137))</f>
        <v/>
      </c>
      <c r="I137" s="40" t="str">
        <f>IF(OR($C137="",$D137="",$E137=""),"",SUMIFS(DATA_GOC!$H:$H,DATA_GOC!$A:$A,"BOM",DATA_GOC!$E:$E,$C137,DATA_GOC!$F:$F,"Xuất nội bộ từ téc",DATA_GOC!$B:$B,"&gt;="&amp;$D137,DATA_GOC!$B:$B,"&lt;="&amp;$E137))</f>
        <v/>
      </c>
      <c r="J137" s="40" t="str">
        <f t="shared" si="1"/>
        <v/>
      </c>
      <c r="K137" s="40" t="str">
        <f t="shared" si="2"/>
        <v/>
      </c>
      <c r="L137" s="40" t="str">
        <f t="shared" si="3"/>
        <v/>
      </c>
      <c r="M137" s="95" t="str">
        <f t="shared" si="4"/>
        <v/>
      </c>
      <c r="N137" s="95" t="str">
        <f t="shared" si="5"/>
        <v/>
      </c>
      <c r="O137" s="77"/>
    </row>
    <row r="138" ht="18.0" hidden="1" customHeight="1">
      <c r="A138" s="35">
        <v>133.0</v>
      </c>
      <c r="B138" s="110"/>
      <c r="C138" s="110"/>
      <c r="D138" s="111"/>
      <c r="E138" s="111"/>
      <c r="F138" s="40" t="str">
        <f t="shared" si="13"/>
        <v/>
      </c>
      <c r="G138" s="75"/>
      <c r="H138" s="40" t="str">
        <f>IF(OR($C138="",$D138="",$E138=""),"",SUMIFS(DATA_GOC!$H:$H,DATA_GOC!$A:$A,"NHAP",DATA_GOC!$E:$E,$C138,DATA_GOC!$B:$B,"&gt;="&amp;$D138,DATA_GOC!$B:$B,"&lt;="&amp;$E138))</f>
        <v/>
      </c>
      <c r="I138" s="40" t="str">
        <f>IF(OR($C138="",$D138="",$E138=""),"",SUMIFS(DATA_GOC!$H:$H,DATA_GOC!$A:$A,"BOM",DATA_GOC!$E:$E,$C138,DATA_GOC!$F:$F,"Xuất nội bộ từ téc",DATA_GOC!$B:$B,"&gt;="&amp;$D138,DATA_GOC!$B:$B,"&lt;="&amp;$E138))</f>
        <v/>
      </c>
      <c r="J138" s="40" t="str">
        <f t="shared" si="1"/>
        <v/>
      </c>
      <c r="K138" s="40" t="str">
        <f t="shared" si="2"/>
        <v/>
      </c>
      <c r="L138" s="40" t="str">
        <f t="shared" si="3"/>
        <v/>
      </c>
      <c r="M138" s="95" t="str">
        <f t="shared" si="4"/>
        <v/>
      </c>
      <c r="N138" s="95" t="str">
        <f t="shared" si="5"/>
        <v/>
      </c>
      <c r="O138" s="77"/>
    </row>
    <row r="139" ht="18.0" hidden="1" customHeight="1">
      <c r="A139" s="35">
        <v>134.0</v>
      </c>
      <c r="B139" s="110"/>
      <c r="C139" s="110"/>
      <c r="D139" s="111"/>
      <c r="E139" s="111"/>
      <c r="F139" s="40" t="str">
        <f t="shared" si="13"/>
        <v/>
      </c>
      <c r="G139" s="75"/>
      <c r="H139" s="40" t="str">
        <f>IF(OR($C139="",$D139="",$E139=""),"",SUMIFS(DATA_GOC!$H:$H,DATA_GOC!$A:$A,"NHAP",DATA_GOC!$E:$E,$C139,DATA_GOC!$B:$B,"&gt;="&amp;$D139,DATA_GOC!$B:$B,"&lt;="&amp;$E139))</f>
        <v/>
      </c>
      <c r="I139" s="40" t="str">
        <f>IF(OR($C139="",$D139="",$E139=""),"",SUMIFS(DATA_GOC!$H:$H,DATA_GOC!$A:$A,"BOM",DATA_GOC!$E:$E,$C139,DATA_GOC!$F:$F,"Xuất nội bộ từ téc",DATA_GOC!$B:$B,"&gt;="&amp;$D139,DATA_GOC!$B:$B,"&lt;="&amp;$E139))</f>
        <v/>
      </c>
      <c r="J139" s="40" t="str">
        <f t="shared" si="1"/>
        <v/>
      </c>
      <c r="K139" s="40" t="str">
        <f t="shared" si="2"/>
        <v/>
      </c>
      <c r="L139" s="40" t="str">
        <f t="shared" si="3"/>
        <v/>
      </c>
      <c r="M139" s="95" t="str">
        <f t="shared" si="4"/>
        <v/>
      </c>
      <c r="N139" s="95" t="str">
        <f t="shared" si="5"/>
        <v/>
      </c>
      <c r="O139" s="77"/>
    </row>
    <row r="140" ht="18.0" hidden="1" customHeight="1">
      <c r="A140" s="35">
        <v>135.0</v>
      </c>
      <c r="B140" s="110"/>
      <c r="C140" s="110"/>
      <c r="D140" s="111"/>
      <c r="E140" s="111"/>
      <c r="F140" s="40" t="str">
        <f t="shared" si="13"/>
        <v/>
      </c>
      <c r="G140" s="75"/>
      <c r="H140" s="40" t="str">
        <f>IF(OR($C140="",$D140="",$E140=""),"",SUMIFS(DATA_GOC!$H:$H,DATA_GOC!$A:$A,"NHAP",DATA_GOC!$E:$E,$C140,DATA_GOC!$B:$B,"&gt;="&amp;$D140,DATA_GOC!$B:$B,"&lt;="&amp;$E140))</f>
        <v/>
      </c>
      <c r="I140" s="40" t="str">
        <f>IF(OR($C140="",$D140="",$E140=""),"",SUMIFS(DATA_GOC!$H:$H,DATA_GOC!$A:$A,"BOM",DATA_GOC!$E:$E,$C140,DATA_GOC!$F:$F,"Xuất nội bộ từ téc",DATA_GOC!$B:$B,"&gt;="&amp;$D140,DATA_GOC!$B:$B,"&lt;="&amp;$E140))</f>
        <v/>
      </c>
      <c r="J140" s="40" t="str">
        <f t="shared" si="1"/>
        <v/>
      </c>
      <c r="K140" s="40" t="str">
        <f t="shared" si="2"/>
        <v/>
      </c>
      <c r="L140" s="40" t="str">
        <f t="shared" si="3"/>
        <v/>
      </c>
      <c r="M140" s="95" t="str">
        <f t="shared" si="4"/>
        <v/>
      </c>
      <c r="N140" s="95" t="str">
        <f t="shared" si="5"/>
        <v/>
      </c>
      <c r="O140" s="77"/>
    </row>
    <row r="141" ht="18.0" hidden="1" customHeight="1">
      <c r="A141" s="35">
        <v>136.0</v>
      </c>
      <c r="B141" s="110"/>
      <c r="C141" s="110"/>
      <c r="D141" s="111"/>
      <c r="E141" s="111"/>
      <c r="F141" s="40" t="str">
        <f t="shared" si="13"/>
        <v/>
      </c>
      <c r="G141" s="75"/>
      <c r="H141" s="40" t="str">
        <f>IF(OR($C141="",$D141="",$E141=""),"",SUMIFS(DATA_GOC!$H:$H,DATA_GOC!$A:$A,"NHAP",DATA_GOC!$E:$E,$C141,DATA_GOC!$B:$B,"&gt;="&amp;$D141,DATA_GOC!$B:$B,"&lt;="&amp;$E141))</f>
        <v/>
      </c>
      <c r="I141" s="40" t="str">
        <f>IF(OR($C141="",$D141="",$E141=""),"",SUMIFS(DATA_GOC!$H:$H,DATA_GOC!$A:$A,"BOM",DATA_GOC!$E:$E,$C141,DATA_GOC!$F:$F,"Xuất nội bộ từ téc",DATA_GOC!$B:$B,"&gt;="&amp;$D141,DATA_GOC!$B:$B,"&lt;="&amp;$E141))</f>
        <v/>
      </c>
      <c r="J141" s="40" t="str">
        <f t="shared" si="1"/>
        <v/>
      </c>
      <c r="K141" s="40" t="str">
        <f t="shared" si="2"/>
        <v/>
      </c>
      <c r="L141" s="40" t="str">
        <f t="shared" si="3"/>
        <v/>
      </c>
      <c r="M141" s="95" t="str">
        <f t="shared" si="4"/>
        <v/>
      </c>
      <c r="N141" s="95" t="str">
        <f t="shared" si="5"/>
        <v/>
      </c>
      <c r="O141" s="77"/>
    </row>
    <row r="142" ht="18.0" hidden="1" customHeight="1">
      <c r="A142" s="35">
        <v>137.0</v>
      </c>
      <c r="B142" s="110"/>
      <c r="C142" s="110"/>
      <c r="D142" s="111"/>
      <c r="E142" s="111"/>
      <c r="F142" s="40" t="str">
        <f t="shared" si="13"/>
        <v/>
      </c>
      <c r="G142" s="75"/>
      <c r="H142" s="40" t="str">
        <f>IF(OR($C142="",$D142="",$E142=""),"",SUMIFS(DATA_GOC!$H:$H,DATA_GOC!$A:$A,"NHAP",DATA_GOC!$E:$E,$C142,DATA_GOC!$B:$B,"&gt;="&amp;$D142,DATA_GOC!$B:$B,"&lt;="&amp;$E142))</f>
        <v/>
      </c>
      <c r="I142" s="40" t="str">
        <f>IF(OR($C142="",$D142="",$E142=""),"",SUMIFS(DATA_GOC!$H:$H,DATA_GOC!$A:$A,"BOM",DATA_GOC!$E:$E,$C142,DATA_GOC!$F:$F,"Xuất nội bộ từ téc",DATA_GOC!$B:$B,"&gt;="&amp;$D142,DATA_GOC!$B:$B,"&lt;="&amp;$E142))</f>
        <v/>
      </c>
      <c r="J142" s="40" t="str">
        <f t="shared" si="1"/>
        <v/>
      </c>
      <c r="K142" s="40" t="str">
        <f t="shared" si="2"/>
        <v/>
      </c>
      <c r="L142" s="40" t="str">
        <f t="shared" si="3"/>
        <v/>
      </c>
      <c r="M142" s="95" t="str">
        <f t="shared" si="4"/>
        <v/>
      </c>
      <c r="N142" s="95" t="str">
        <f t="shared" si="5"/>
        <v/>
      </c>
      <c r="O142" s="77"/>
    </row>
    <row r="143" ht="18.0" hidden="1" customHeight="1">
      <c r="A143" s="35">
        <v>138.0</v>
      </c>
      <c r="B143" s="110"/>
      <c r="C143" s="110"/>
      <c r="D143" s="111"/>
      <c r="E143" s="111"/>
      <c r="F143" s="40" t="str">
        <f t="shared" si="13"/>
        <v/>
      </c>
      <c r="G143" s="75"/>
      <c r="H143" s="40" t="str">
        <f>IF(OR($C143="",$D143="",$E143=""),"",SUMIFS(DATA_GOC!$H:$H,DATA_GOC!$A:$A,"NHAP",DATA_GOC!$E:$E,$C143,DATA_GOC!$B:$B,"&gt;="&amp;$D143,DATA_GOC!$B:$B,"&lt;="&amp;$E143))</f>
        <v/>
      </c>
      <c r="I143" s="40" t="str">
        <f>IF(OR($C143="",$D143="",$E143=""),"",SUMIFS(DATA_GOC!$H:$H,DATA_GOC!$A:$A,"BOM",DATA_GOC!$E:$E,$C143,DATA_GOC!$F:$F,"Xuất nội bộ từ téc",DATA_GOC!$B:$B,"&gt;="&amp;$D143,DATA_GOC!$B:$B,"&lt;="&amp;$E143))</f>
        <v/>
      </c>
      <c r="J143" s="40" t="str">
        <f t="shared" si="1"/>
        <v/>
      </c>
      <c r="K143" s="40" t="str">
        <f t="shared" si="2"/>
        <v/>
      </c>
      <c r="L143" s="40" t="str">
        <f t="shared" si="3"/>
        <v/>
      </c>
      <c r="M143" s="95" t="str">
        <f t="shared" si="4"/>
        <v/>
      </c>
      <c r="N143" s="95" t="str">
        <f t="shared" si="5"/>
        <v/>
      </c>
      <c r="O143" s="77"/>
    </row>
    <row r="144" ht="18.0" hidden="1" customHeight="1">
      <c r="A144" s="35">
        <v>139.0</v>
      </c>
      <c r="B144" s="110"/>
      <c r="C144" s="110"/>
      <c r="D144" s="111"/>
      <c r="E144" s="111"/>
      <c r="F144" s="40" t="str">
        <f t="shared" si="13"/>
        <v/>
      </c>
      <c r="G144" s="75"/>
      <c r="H144" s="40" t="str">
        <f>IF(OR($C144="",$D144="",$E144=""),"",SUMIFS(DATA_GOC!$H:$H,DATA_GOC!$A:$A,"NHAP",DATA_GOC!$E:$E,$C144,DATA_GOC!$B:$B,"&gt;="&amp;$D144,DATA_GOC!$B:$B,"&lt;="&amp;$E144))</f>
        <v/>
      </c>
      <c r="I144" s="40" t="str">
        <f>IF(OR($C144="",$D144="",$E144=""),"",SUMIFS(DATA_GOC!$H:$H,DATA_GOC!$A:$A,"BOM",DATA_GOC!$E:$E,$C144,DATA_GOC!$F:$F,"Xuất nội bộ từ téc",DATA_GOC!$B:$B,"&gt;="&amp;$D144,DATA_GOC!$B:$B,"&lt;="&amp;$E144))</f>
        <v/>
      </c>
      <c r="J144" s="40" t="str">
        <f t="shared" si="1"/>
        <v/>
      </c>
      <c r="K144" s="40" t="str">
        <f t="shared" si="2"/>
        <v/>
      </c>
      <c r="L144" s="40" t="str">
        <f t="shared" si="3"/>
        <v/>
      </c>
      <c r="M144" s="95" t="str">
        <f t="shared" si="4"/>
        <v/>
      </c>
      <c r="N144" s="95" t="str">
        <f t="shared" si="5"/>
        <v/>
      </c>
      <c r="O144" s="77"/>
    </row>
    <row r="145" ht="18.0" hidden="1" customHeight="1">
      <c r="A145" s="35">
        <v>140.0</v>
      </c>
      <c r="B145" s="110"/>
      <c r="C145" s="110"/>
      <c r="D145" s="111"/>
      <c r="E145" s="111"/>
      <c r="F145" s="40" t="str">
        <f t="shared" si="13"/>
        <v/>
      </c>
      <c r="G145" s="75"/>
      <c r="H145" s="40" t="str">
        <f>IF(OR($C145="",$D145="",$E145=""),"",SUMIFS(DATA_GOC!$H:$H,DATA_GOC!$A:$A,"NHAP",DATA_GOC!$E:$E,$C145,DATA_GOC!$B:$B,"&gt;="&amp;$D145,DATA_GOC!$B:$B,"&lt;="&amp;$E145))</f>
        <v/>
      </c>
      <c r="I145" s="40" t="str">
        <f>IF(OR($C145="",$D145="",$E145=""),"",SUMIFS(DATA_GOC!$H:$H,DATA_GOC!$A:$A,"BOM",DATA_GOC!$E:$E,$C145,DATA_GOC!$F:$F,"Xuất nội bộ từ téc",DATA_GOC!$B:$B,"&gt;="&amp;$D145,DATA_GOC!$B:$B,"&lt;="&amp;$E145))</f>
        <v/>
      </c>
      <c r="J145" s="40" t="str">
        <f t="shared" si="1"/>
        <v/>
      </c>
      <c r="K145" s="40" t="str">
        <f t="shared" si="2"/>
        <v/>
      </c>
      <c r="L145" s="40" t="str">
        <f t="shared" si="3"/>
        <v/>
      </c>
      <c r="M145" s="95" t="str">
        <f t="shared" si="4"/>
        <v/>
      </c>
      <c r="N145" s="95" t="str">
        <f t="shared" si="5"/>
        <v/>
      </c>
      <c r="O145" s="77"/>
    </row>
    <row r="146" ht="18.0" hidden="1" customHeight="1">
      <c r="A146" s="35">
        <v>141.0</v>
      </c>
      <c r="B146" s="110"/>
      <c r="C146" s="110"/>
      <c r="D146" s="111"/>
      <c r="E146" s="111"/>
      <c r="F146" s="40" t="str">
        <f t="shared" si="13"/>
        <v/>
      </c>
      <c r="G146" s="75"/>
      <c r="H146" s="40" t="str">
        <f>IF(OR($C146="",$D146="",$E146=""),"",SUMIFS(DATA_GOC!$H:$H,DATA_GOC!$A:$A,"NHAP",DATA_GOC!$E:$E,$C146,DATA_GOC!$B:$B,"&gt;="&amp;$D146,DATA_GOC!$B:$B,"&lt;="&amp;$E146))</f>
        <v/>
      </c>
      <c r="I146" s="40" t="str">
        <f>IF(OR($C146="",$D146="",$E146=""),"",SUMIFS(DATA_GOC!$H:$H,DATA_GOC!$A:$A,"BOM",DATA_GOC!$E:$E,$C146,DATA_GOC!$F:$F,"Xuất nội bộ từ téc",DATA_GOC!$B:$B,"&gt;="&amp;$D146,DATA_GOC!$B:$B,"&lt;="&amp;$E146))</f>
        <v/>
      </c>
      <c r="J146" s="40" t="str">
        <f t="shared" si="1"/>
        <v/>
      </c>
      <c r="K146" s="40" t="str">
        <f t="shared" si="2"/>
        <v/>
      </c>
      <c r="L146" s="40" t="str">
        <f t="shared" si="3"/>
        <v/>
      </c>
      <c r="M146" s="95" t="str">
        <f t="shared" si="4"/>
        <v/>
      </c>
      <c r="N146" s="95" t="str">
        <f t="shared" si="5"/>
        <v/>
      </c>
      <c r="O146" s="77"/>
    </row>
    <row r="147" ht="18.0" hidden="1" customHeight="1">
      <c r="A147" s="35">
        <v>142.0</v>
      </c>
      <c r="B147" s="110"/>
      <c r="C147" s="110"/>
      <c r="D147" s="111"/>
      <c r="E147" s="111"/>
      <c r="F147" s="40" t="str">
        <f t="shared" si="13"/>
        <v/>
      </c>
      <c r="G147" s="75"/>
      <c r="H147" s="40" t="str">
        <f>IF(OR($C147="",$D147="",$E147=""),"",SUMIFS(DATA_GOC!$H:$H,DATA_GOC!$A:$A,"NHAP",DATA_GOC!$E:$E,$C147,DATA_GOC!$B:$B,"&gt;="&amp;$D147,DATA_GOC!$B:$B,"&lt;="&amp;$E147))</f>
        <v/>
      </c>
      <c r="I147" s="40" t="str">
        <f>IF(OR($C147="",$D147="",$E147=""),"",SUMIFS(DATA_GOC!$H:$H,DATA_GOC!$A:$A,"BOM",DATA_GOC!$E:$E,$C147,DATA_GOC!$F:$F,"Xuất nội bộ từ téc",DATA_GOC!$B:$B,"&gt;="&amp;$D147,DATA_GOC!$B:$B,"&lt;="&amp;$E147))</f>
        <v/>
      </c>
      <c r="J147" s="40" t="str">
        <f t="shared" si="1"/>
        <v/>
      </c>
      <c r="K147" s="40" t="str">
        <f t="shared" si="2"/>
        <v/>
      </c>
      <c r="L147" s="40" t="str">
        <f t="shared" si="3"/>
        <v/>
      </c>
      <c r="M147" s="95" t="str">
        <f t="shared" si="4"/>
        <v/>
      </c>
      <c r="N147" s="95" t="str">
        <f t="shared" si="5"/>
        <v/>
      </c>
      <c r="O147" s="77"/>
    </row>
    <row r="148" ht="18.0" hidden="1" customHeight="1">
      <c r="A148" s="35">
        <v>143.0</v>
      </c>
      <c r="B148" s="110"/>
      <c r="C148" s="110"/>
      <c r="D148" s="111"/>
      <c r="E148" s="111"/>
      <c r="F148" s="40" t="str">
        <f t="shared" si="13"/>
        <v/>
      </c>
      <c r="G148" s="75"/>
      <c r="H148" s="40" t="str">
        <f>IF(OR($C148="",$D148="",$E148=""),"",SUMIFS(DATA_GOC!$H:$H,DATA_GOC!$A:$A,"NHAP",DATA_GOC!$E:$E,$C148,DATA_GOC!$B:$B,"&gt;="&amp;$D148,DATA_GOC!$B:$B,"&lt;="&amp;$E148))</f>
        <v/>
      </c>
      <c r="I148" s="40" t="str">
        <f>IF(OR($C148="",$D148="",$E148=""),"",SUMIFS(DATA_GOC!$H:$H,DATA_GOC!$A:$A,"BOM",DATA_GOC!$E:$E,$C148,DATA_GOC!$F:$F,"Xuất nội bộ từ téc",DATA_GOC!$B:$B,"&gt;="&amp;$D148,DATA_GOC!$B:$B,"&lt;="&amp;$E148))</f>
        <v/>
      </c>
      <c r="J148" s="40" t="str">
        <f t="shared" si="1"/>
        <v/>
      </c>
      <c r="K148" s="40" t="str">
        <f t="shared" si="2"/>
        <v/>
      </c>
      <c r="L148" s="40" t="str">
        <f t="shared" si="3"/>
        <v/>
      </c>
      <c r="M148" s="95" t="str">
        <f t="shared" si="4"/>
        <v/>
      </c>
      <c r="N148" s="95" t="str">
        <f t="shared" si="5"/>
        <v/>
      </c>
      <c r="O148" s="77"/>
    </row>
    <row r="149" ht="18.0" hidden="1" customHeight="1">
      <c r="A149" s="35">
        <v>144.0</v>
      </c>
      <c r="B149" s="110"/>
      <c r="C149" s="110"/>
      <c r="D149" s="111"/>
      <c r="E149" s="111"/>
      <c r="F149" s="40" t="str">
        <f t="shared" si="13"/>
        <v/>
      </c>
      <c r="G149" s="75"/>
      <c r="H149" s="40" t="str">
        <f>IF(OR($C149="",$D149="",$E149=""),"",SUMIFS(DATA_GOC!$H:$H,DATA_GOC!$A:$A,"NHAP",DATA_GOC!$E:$E,$C149,DATA_GOC!$B:$B,"&gt;="&amp;$D149,DATA_GOC!$B:$B,"&lt;="&amp;$E149))</f>
        <v/>
      </c>
      <c r="I149" s="40" t="str">
        <f>IF(OR($C149="",$D149="",$E149=""),"",SUMIFS(DATA_GOC!$H:$H,DATA_GOC!$A:$A,"BOM",DATA_GOC!$E:$E,$C149,DATA_GOC!$F:$F,"Xuất nội bộ từ téc",DATA_GOC!$B:$B,"&gt;="&amp;$D149,DATA_GOC!$B:$B,"&lt;="&amp;$E149))</f>
        <v/>
      </c>
      <c r="J149" s="40" t="str">
        <f t="shared" si="1"/>
        <v/>
      </c>
      <c r="K149" s="40" t="str">
        <f t="shared" si="2"/>
        <v/>
      </c>
      <c r="L149" s="40" t="str">
        <f t="shared" si="3"/>
        <v/>
      </c>
      <c r="M149" s="95" t="str">
        <f t="shared" si="4"/>
        <v/>
      </c>
      <c r="N149" s="95" t="str">
        <f t="shared" si="5"/>
        <v/>
      </c>
      <c r="O149" s="77"/>
    </row>
    <row r="150" ht="18.0" hidden="1" customHeight="1">
      <c r="A150" s="35">
        <v>145.0</v>
      </c>
      <c r="B150" s="110"/>
      <c r="C150" s="110"/>
      <c r="D150" s="111"/>
      <c r="E150" s="111"/>
      <c r="F150" s="40" t="str">
        <f t="shared" si="13"/>
        <v/>
      </c>
      <c r="G150" s="75"/>
      <c r="H150" s="40" t="str">
        <f>IF(OR($C150="",$D150="",$E150=""),"",SUMIFS(DATA_GOC!$H:$H,DATA_GOC!$A:$A,"NHAP",DATA_GOC!$E:$E,$C150,DATA_GOC!$B:$B,"&gt;="&amp;$D150,DATA_GOC!$B:$B,"&lt;="&amp;$E150))</f>
        <v/>
      </c>
      <c r="I150" s="40" t="str">
        <f>IF(OR($C150="",$D150="",$E150=""),"",SUMIFS(DATA_GOC!$H:$H,DATA_GOC!$A:$A,"BOM",DATA_GOC!$E:$E,$C150,DATA_GOC!$F:$F,"Xuất nội bộ từ téc",DATA_GOC!$B:$B,"&gt;="&amp;$D150,DATA_GOC!$B:$B,"&lt;="&amp;$E150))</f>
        <v/>
      </c>
      <c r="J150" s="40" t="str">
        <f t="shared" si="1"/>
        <v/>
      </c>
      <c r="K150" s="40" t="str">
        <f t="shared" si="2"/>
        <v/>
      </c>
      <c r="L150" s="40" t="str">
        <f t="shared" si="3"/>
        <v/>
      </c>
      <c r="M150" s="95" t="str">
        <f t="shared" si="4"/>
        <v/>
      </c>
      <c r="N150" s="95" t="str">
        <f t="shared" si="5"/>
        <v/>
      </c>
      <c r="O150" s="77"/>
    </row>
    <row r="151" ht="18.0" hidden="1" customHeight="1">
      <c r="A151" s="35">
        <v>146.0</v>
      </c>
      <c r="B151" s="110"/>
      <c r="C151" s="110"/>
      <c r="D151" s="111"/>
      <c r="E151" s="111"/>
      <c r="F151" s="40" t="str">
        <f t="shared" si="13"/>
        <v/>
      </c>
      <c r="G151" s="75"/>
      <c r="H151" s="40" t="str">
        <f>IF(OR($C151="",$D151="",$E151=""),"",SUMIFS(DATA_GOC!$H:$H,DATA_GOC!$A:$A,"NHAP",DATA_GOC!$E:$E,$C151,DATA_GOC!$B:$B,"&gt;="&amp;$D151,DATA_GOC!$B:$B,"&lt;="&amp;$E151))</f>
        <v/>
      </c>
      <c r="I151" s="40" t="str">
        <f>IF(OR($C151="",$D151="",$E151=""),"",SUMIFS(DATA_GOC!$H:$H,DATA_GOC!$A:$A,"BOM",DATA_GOC!$E:$E,$C151,DATA_GOC!$F:$F,"Xuất nội bộ từ téc",DATA_GOC!$B:$B,"&gt;="&amp;$D151,DATA_GOC!$B:$B,"&lt;="&amp;$E151))</f>
        <v/>
      </c>
      <c r="J151" s="40" t="str">
        <f t="shared" si="1"/>
        <v/>
      </c>
      <c r="K151" s="40" t="str">
        <f t="shared" si="2"/>
        <v/>
      </c>
      <c r="L151" s="40" t="str">
        <f t="shared" si="3"/>
        <v/>
      </c>
      <c r="M151" s="95" t="str">
        <f t="shared" si="4"/>
        <v/>
      </c>
      <c r="N151" s="95" t="str">
        <f t="shared" si="5"/>
        <v/>
      </c>
      <c r="O151" s="77"/>
    </row>
    <row r="152" ht="18.0" hidden="1" customHeight="1">
      <c r="A152" s="35">
        <v>147.0</v>
      </c>
      <c r="B152" s="110"/>
      <c r="C152" s="110"/>
      <c r="D152" s="111"/>
      <c r="E152" s="111"/>
      <c r="F152" s="40" t="str">
        <f t="shared" si="13"/>
        <v/>
      </c>
      <c r="G152" s="75"/>
      <c r="H152" s="40" t="str">
        <f>IF(OR($C152="",$D152="",$E152=""),"",SUMIFS(DATA_GOC!$H:$H,DATA_GOC!$A:$A,"NHAP",DATA_GOC!$E:$E,$C152,DATA_GOC!$B:$B,"&gt;="&amp;$D152,DATA_GOC!$B:$B,"&lt;="&amp;$E152))</f>
        <v/>
      </c>
      <c r="I152" s="40" t="str">
        <f>IF(OR($C152="",$D152="",$E152=""),"",SUMIFS(DATA_GOC!$H:$H,DATA_GOC!$A:$A,"BOM",DATA_GOC!$E:$E,$C152,DATA_GOC!$F:$F,"Xuất nội bộ từ téc",DATA_GOC!$B:$B,"&gt;="&amp;$D152,DATA_GOC!$B:$B,"&lt;="&amp;$E152))</f>
        <v/>
      </c>
      <c r="J152" s="40" t="str">
        <f t="shared" si="1"/>
        <v/>
      </c>
      <c r="K152" s="40" t="str">
        <f t="shared" si="2"/>
        <v/>
      </c>
      <c r="L152" s="40" t="str">
        <f t="shared" si="3"/>
        <v/>
      </c>
      <c r="M152" s="95" t="str">
        <f t="shared" si="4"/>
        <v/>
      </c>
      <c r="N152" s="95" t="str">
        <f t="shared" si="5"/>
        <v/>
      </c>
      <c r="O152" s="77"/>
    </row>
    <row r="153" ht="18.0" hidden="1" customHeight="1">
      <c r="A153" s="35">
        <v>148.0</v>
      </c>
      <c r="B153" s="110"/>
      <c r="C153" s="110"/>
      <c r="D153" s="111"/>
      <c r="E153" s="111"/>
      <c r="F153" s="40" t="str">
        <f t="shared" si="13"/>
        <v/>
      </c>
      <c r="G153" s="75"/>
      <c r="H153" s="40" t="str">
        <f>IF(OR($C153="",$D153="",$E153=""),"",SUMIFS(DATA_GOC!$H:$H,DATA_GOC!$A:$A,"NHAP",DATA_GOC!$E:$E,$C153,DATA_GOC!$B:$B,"&gt;="&amp;$D153,DATA_GOC!$B:$B,"&lt;="&amp;$E153))</f>
        <v/>
      </c>
      <c r="I153" s="40" t="str">
        <f>IF(OR($C153="",$D153="",$E153=""),"",SUMIFS(DATA_GOC!$H:$H,DATA_GOC!$A:$A,"BOM",DATA_GOC!$E:$E,$C153,DATA_GOC!$F:$F,"Xuất nội bộ từ téc",DATA_GOC!$B:$B,"&gt;="&amp;$D153,DATA_GOC!$B:$B,"&lt;="&amp;$E153))</f>
        <v/>
      </c>
      <c r="J153" s="40" t="str">
        <f t="shared" si="1"/>
        <v/>
      </c>
      <c r="K153" s="40" t="str">
        <f t="shared" si="2"/>
        <v/>
      </c>
      <c r="L153" s="40" t="str">
        <f t="shared" si="3"/>
        <v/>
      </c>
      <c r="M153" s="95" t="str">
        <f t="shared" si="4"/>
        <v/>
      </c>
      <c r="N153" s="95" t="str">
        <f t="shared" si="5"/>
        <v/>
      </c>
      <c r="O153" s="77"/>
    </row>
    <row r="154" ht="18.0" hidden="1" customHeight="1">
      <c r="A154" s="35">
        <v>149.0</v>
      </c>
      <c r="B154" s="110"/>
      <c r="C154" s="110"/>
      <c r="D154" s="111"/>
      <c r="E154" s="111"/>
      <c r="F154" s="40" t="str">
        <f t="shared" si="13"/>
        <v/>
      </c>
      <c r="G154" s="75"/>
      <c r="H154" s="40" t="str">
        <f>IF(OR($C154="",$D154="",$E154=""),"",SUMIFS(DATA_GOC!$H:$H,DATA_GOC!$A:$A,"NHAP",DATA_GOC!$E:$E,$C154,DATA_GOC!$B:$B,"&gt;="&amp;$D154,DATA_GOC!$B:$B,"&lt;="&amp;$E154))</f>
        <v/>
      </c>
      <c r="I154" s="40" t="str">
        <f>IF(OR($C154="",$D154="",$E154=""),"",SUMIFS(DATA_GOC!$H:$H,DATA_GOC!$A:$A,"BOM",DATA_GOC!$E:$E,$C154,DATA_GOC!$F:$F,"Xuất nội bộ từ téc",DATA_GOC!$B:$B,"&gt;="&amp;$D154,DATA_GOC!$B:$B,"&lt;="&amp;$E154))</f>
        <v/>
      </c>
      <c r="J154" s="40" t="str">
        <f t="shared" si="1"/>
        <v/>
      </c>
      <c r="K154" s="40" t="str">
        <f t="shared" si="2"/>
        <v/>
      </c>
      <c r="L154" s="40" t="str">
        <f t="shared" si="3"/>
        <v/>
      </c>
      <c r="M154" s="95" t="str">
        <f t="shared" si="4"/>
        <v/>
      </c>
      <c r="N154" s="95" t="str">
        <f t="shared" si="5"/>
        <v/>
      </c>
      <c r="O154" s="77"/>
    </row>
    <row r="155" ht="18.0" hidden="1" customHeight="1">
      <c r="A155" s="35">
        <v>150.0</v>
      </c>
      <c r="B155" s="110"/>
      <c r="C155" s="110"/>
      <c r="D155" s="111"/>
      <c r="E155" s="111"/>
      <c r="F155" s="40" t="str">
        <f t="shared" si="13"/>
        <v/>
      </c>
      <c r="G155" s="75"/>
      <c r="H155" s="40" t="str">
        <f>IF(OR($C155="",$D155="",$E155=""),"",SUMIFS(DATA_GOC!$H:$H,DATA_GOC!$A:$A,"NHAP",DATA_GOC!$E:$E,$C155,DATA_GOC!$B:$B,"&gt;="&amp;$D155,DATA_GOC!$B:$B,"&lt;="&amp;$E155))</f>
        <v/>
      </c>
      <c r="I155" s="40" t="str">
        <f>IF(OR($C155="",$D155="",$E155=""),"",SUMIFS(DATA_GOC!$H:$H,DATA_GOC!$A:$A,"BOM",DATA_GOC!$E:$E,$C155,DATA_GOC!$F:$F,"Xuất nội bộ từ téc",DATA_GOC!$B:$B,"&gt;="&amp;$D155,DATA_GOC!$B:$B,"&lt;="&amp;$E155))</f>
        <v/>
      </c>
      <c r="J155" s="40" t="str">
        <f t="shared" si="1"/>
        <v/>
      </c>
      <c r="K155" s="40" t="str">
        <f t="shared" si="2"/>
        <v/>
      </c>
      <c r="L155" s="40" t="str">
        <f t="shared" si="3"/>
        <v/>
      </c>
      <c r="M155" s="95" t="str">
        <f t="shared" si="4"/>
        <v/>
      </c>
      <c r="N155" s="95" t="str">
        <f t="shared" si="5"/>
        <v/>
      </c>
      <c r="O155" s="77"/>
    </row>
    <row r="156" ht="15.0" hidden="1" customHeight="1"/>
    <row r="157" ht="15.0" hidden="1" customHeight="1">
      <c r="A157" s="112" t="s">
        <v>231</v>
      </c>
    </row>
    <row r="158" ht="21.75" hidden="1" customHeight="1">
      <c r="A158" s="113" t="s">
        <v>232</v>
      </c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1"/>
      <c r="P158" s="61"/>
      <c r="Q158" s="114" t="s">
        <v>233</v>
      </c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1"/>
    </row>
    <row r="159" ht="36.0" hidden="1" customHeight="1">
      <c r="A159" s="115" t="s">
        <v>213</v>
      </c>
      <c r="B159" s="116">
        <f>$R$5</f>
        <v>1</v>
      </c>
      <c r="C159" s="115" t="s">
        <v>200</v>
      </c>
      <c r="D159" s="117" t="str">
        <f t="array" ref="D159">IFERROR(INDEX($B$6:$B$155,MATCH($B$159,$A$6:$A$155,0)),"")</f>
        <v>Đã chốt</v>
      </c>
      <c r="E159" s="115" t="s">
        <v>201</v>
      </c>
      <c r="F159" s="117" t="str">
        <f t="array" ref="F159">IFERROR(INDEX($C$6:$C$155,MATCH($B$159,$A$6:$A$155,0)),"")</f>
        <v>Téc 1</v>
      </c>
      <c r="G159" s="115" t="s">
        <v>214</v>
      </c>
      <c r="H159" s="118">
        <f t="array" ref="H159">IFERROR(INDEX($D$6:$D$155,MATCH($B$159,$A$6:$A$155,0)),"")</f>
        <v>46132</v>
      </c>
      <c r="I159" s="115" t="s">
        <v>215</v>
      </c>
      <c r="J159" s="118">
        <f t="array" ref="J159">IFERROR(INDEX($E$6:$E$155,MATCH($B$159,$A$6:$A$155,0)),"")</f>
        <v>46153</v>
      </c>
      <c r="K159" s="115" t="s">
        <v>216</v>
      </c>
      <c r="L159" s="117">
        <f>IF(OR($H$159="",$J$159=""),"",$J$159-$H$159+1)</f>
        <v>22</v>
      </c>
      <c r="M159" s="115" t="s">
        <v>234</v>
      </c>
      <c r="N159" s="117" t="str">
        <f>IF($L$159="","",IF($L$159&gt;31,"Kỳ &gt;31 ngày: bảng ngày chỉ hiện 31 ngày đầu, tổng bơm kỳ vẫn tính đủ","OK"))</f>
        <v>OK</v>
      </c>
      <c r="O159" s="61"/>
      <c r="P159" s="61"/>
      <c r="Q159" s="119" t="s">
        <v>235</v>
      </c>
      <c r="R159" s="120" t="s">
        <v>236</v>
      </c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1"/>
    </row>
    <row r="160" ht="36.0" hidden="1" customHeight="1">
      <c r="A160" s="115"/>
      <c r="B160" s="116"/>
      <c r="C160" s="115"/>
      <c r="D160" s="117"/>
      <c r="E160" s="115"/>
      <c r="F160" s="117"/>
      <c r="G160" s="115"/>
      <c r="H160" s="118"/>
      <c r="I160" s="115"/>
      <c r="J160" s="118"/>
      <c r="K160" s="115"/>
      <c r="L160" s="117"/>
      <c r="M160" s="115"/>
      <c r="N160" s="117"/>
      <c r="O160" s="61"/>
      <c r="P160" s="61"/>
      <c r="Q160" s="119" t="s">
        <v>237</v>
      </c>
      <c r="R160" s="120" t="s">
        <v>238</v>
      </c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1"/>
    </row>
    <row r="161" ht="36.0" hidden="1" customHeight="1">
      <c r="A161" s="121" t="s">
        <v>218</v>
      </c>
      <c r="B161" s="81"/>
      <c r="C161" s="121" t="s">
        <v>219</v>
      </c>
      <c r="D161" s="81"/>
      <c r="E161" s="121" t="s">
        <v>220</v>
      </c>
      <c r="F161" s="81"/>
      <c r="G161" s="121" t="s">
        <v>221</v>
      </c>
      <c r="H161" s="81"/>
      <c r="I161" s="121" t="s">
        <v>222</v>
      </c>
      <c r="J161" s="81"/>
      <c r="K161" s="121" t="s">
        <v>223</v>
      </c>
      <c r="L161" s="81"/>
      <c r="M161" s="121" t="s">
        <v>224</v>
      </c>
      <c r="N161" s="81"/>
      <c r="O161" s="61"/>
      <c r="P161" s="61"/>
      <c r="Q161" s="119" t="s">
        <v>239</v>
      </c>
      <c r="R161" s="120" t="s">
        <v>240</v>
      </c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1"/>
    </row>
    <row r="162" ht="36.0" hidden="1" customHeight="1">
      <c r="A162" s="122" t="str">
        <f t="array" ref="A162">IFERROR(INDEX($F$6:$F$155,MATCH($B$159,$A$6:$A$155,0)),"")</f>
        <v/>
      </c>
      <c r="B162" s="81"/>
      <c r="C162" s="122">
        <f t="array" ref="C162">IFERROR(INDEX($H$6:$H$155,MATCH($B$159,$A$6:$A$155,0)),"")</f>
        <v>14160</v>
      </c>
      <c r="D162" s="81"/>
      <c r="E162" s="122">
        <f t="array" ref="E162">IFERROR(INDEX($I$6:$I$155,MATCH($B$159,$A$6:$A$155,0)),"")</f>
        <v>13789</v>
      </c>
      <c r="F162" s="81"/>
      <c r="G162" s="122">
        <f t="array" ref="G162">IFERROR(INDEX($J$6:$J$155,MATCH($B$159,$A$6:$A$155,0)),"")</f>
        <v>371</v>
      </c>
      <c r="H162" s="81"/>
      <c r="I162" s="122" t="str">
        <f t="array" ref="I162">IFERROR(INDEX($G$6:$G$155,MATCH($B$159,$A$6:$A$155,0)),"")</f>
        <v/>
      </c>
      <c r="J162" s="81"/>
      <c r="K162" s="122">
        <f t="array" ref="K162">IFERROR(INDEX($K$6:$K$155,MATCH($B$159,$A$6:$A$155,0)),"")</f>
        <v>371</v>
      </c>
      <c r="L162" s="81"/>
      <c r="M162" s="122">
        <f t="array" ref="M162">IFERROR(INDEX($L$6:$L$155,MATCH($B$159,$A$6:$A$155,0)),"")</f>
        <v>0</v>
      </c>
      <c r="N162" s="81"/>
      <c r="O162" s="61"/>
      <c r="P162" s="61"/>
      <c r="Q162" s="119"/>
      <c r="R162" s="12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1"/>
    </row>
    <row r="163" ht="15.0" hidden="1" customHeight="1"/>
    <row r="164" ht="15.0" hidden="1" customHeight="1"/>
    <row r="165" ht="21.75" hidden="1" customHeight="1">
      <c r="A165" s="123" t="s">
        <v>241</v>
      </c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1"/>
    </row>
    <row r="166" ht="15.0" hidden="1" customHeight="1"/>
    <row r="167" ht="30.0" hidden="1" customHeight="1">
      <c r="A167" s="124" t="s">
        <v>174</v>
      </c>
      <c r="B167" s="124" t="s">
        <v>225</v>
      </c>
      <c r="C167" s="125">
        <f t="shared" ref="C167:AG167" si="14">IF($H$159="","",IF($H$159+COLUMN(C1)-COLUMN($C$1)&gt;$J$159,"",$H$159+COLUMN(C1)-COLUMN($C$1)))</f>
        <v>46132</v>
      </c>
      <c r="D167" s="125">
        <f t="shared" si="14"/>
        <v>46133</v>
      </c>
      <c r="E167" s="125">
        <f t="shared" si="14"/>
        <v>46134</v>
      </c>
      <c r="F167" s="125">
        <f t="shared" si="14"/>
        <v>46135</v>
      </c>
      <c r="G167" s="125">
        <f t="shared" si="14"/>
        <v>46136</v>
      </c>
      <c r="H167" s="125">
        <f t="shared" si="14"/>
        <v>46137</v>
      </c>
      <c r="I167" s="125">
        <f t="shared" si="14"/>
        <v>46138</v>
      </c>
      <c r="J167" s="125">
        <f t="shared" si="14"/>
        <v>46139</v>
      </c>
      <c r="K167" s="125">
        <f t="shared" si="14"/>
        <v>46140</v>
      </c>
      <c r="L167" s="125">
        <f t="shared" si="14"/>
        <v>46141</v>
      </c>
      <c r="M167" s="125">
        <f t="shared" si="14"/>
        <v>46142</v>
      </c>
      <c r="N167" s="125">
        <f t="shared" si="14"/>
        <v>46143</v>
      </c>
      <c r="O167" s="125">
        <f t="shared" si="14"/>
        <v>46144</v>
      </c>
      <c r="P167" s="125">
        <f t="shared" si="14"/>
        <v>46145</v>
      </c>
      <c r="Q167" s="125">
        <f t="shared" si="14"/>
        <v>46146</v>
      </c>
      <c r="R167" s="125">
        <f t="shared" si="14"/>
        <v>46147</v>
      </c>
      <c r="S167" s="125">
        <f t="shared" si="14"/>
        <v>46148</v>
      </c>
      <c r="T167" s="125">
        <f t="shared" si="14"/>
        <v>46149</v>
      </c>
      <c r="U167" s="125">
        <f t="shared" si="14"/>
        <v>46150</v>
      </c>
      <c r="V167" s="125">
        <f t="shared" si="14"/>
        <v>46151</v>
      </c>
      <c r="W167" s="125">
        <f t="shared" si="14"/>
        <v>46152</v>
      </c>
      <c r="X167" s="125">
        <f t="shared" si="14"/>
        <v>46153</v>
      </c>
      <c r="Y167" s="125" t="str">
        <f t="shared" si="14"/>
        <v/>
      </c>
      <c r="Z167" s="125" t="str">
        <f t="shared" si="14"/>
        <v/>
      </c>
      <c r="AA167" s="125" t="str">
        <f t="shared" si="14"/>
        <v/>
      </c>
      <c r="AB167" s="125" t="str">
        <f t="shared" si="14"/>
        <v/>
      </c>
      <c r="AC167" s="125" t="str">
        <f t="shared" si="14"/>
        <v/>
      </c>
      <c r="AD167" s="125" t="str">
        <f t="shared" si="14"/>
        <v/>
      </c>
      <c r="AE167" s="125" t="str">
        <f t="shared" si="14"/>
        <v/>
      </c>
      <c r="AF167" s="125" t="str">
        <f t="shared" si="14"/>
        <v/>
      </c>
      <c r="AG167" s="125" t="str">
        <f t="shared" si="14"/>
        <v/>
      </c>
      <c r="AH167" s="124" t="s">
        <v>242</v>
      </c>
      <c r="AI167" s="124" t="s">
        <v>227</v>
      </c>
      <c r="AJ167" s="124" t="s">
        <v>228</v>
      </c>
      <c r="AK167" s="124" t="s">
        <v>229</v>
      </c>
      <c r="AL167" s="124" t="s">
        <v>230</v>
      </c>
    </row>
    <row r="168" ht="21.75" hidden="1" customHeight="1">
      <c r="A168" s="126">
        <f t="shared" ref="A168:A227" si="15">IF($B168&lt;&gt;"",ROW()-167,"")</f>
        <v>1</v>
      </c>
      <c r="B168" s="127" t="str">
        <f t="array" ref="B168">IFERROR(IF(INDEX(DANH_MUC!$E:$E,4)="","",INDEX(DANH_MUC!$E:$E,4)),"")</f>
        <v>19H09482</v>
      </c>
      <c r="C168" s="128">
        <f>IF(C$167="","",SUMIFS(DATA_GOC!$H:$H,DATA_GOC!$A:$A,"BOM",DATA_GOC!$D:$D,$B168,DATA_GOC!$E:$E,$F$159,DATA_GOC!$F:$F,"Xuất nội bộ từ téc",DATA_GOC!$B:$B,C$167))</f>
        <v>0</v>
      </c>
      <c r="D168" s="128">
        <f>IF(D$167="","",SUMIFS(DATA_GOC!$H:$H,DATA_GOC!$A:$A,"BOM",DATA_GOC!$D:$D,$B168,DATA_GOC!$E:$E,$F$159,DATA_GOC!$F:$F,"Xuất nội bộ từ téc",DATA_GOC!$B:$B,D$167))</f>
        <v>0</v>
      </c>
      <c r="E168" s="128">
        <f>IF(E$167="","",SUMIFS(DATA_GOC!$H:$H,DATA_GOC!$A:$A,"BOM",DATA_GOC!$D:$D,$B168,DATA_GOC!$E:$E,$F$159,DATA_GOC!$F:$F,"Xuất nội bộ từ téc",DATA_GOC!$B:$B,E$167))</f>
        <v>0</v>
      </c>
      <c r="F168" s="128">
        <f>IF(F$167="","",SUMIFS(DATA_GOC!$H:$H,DATA_GOC!$A:$A,"BOM",DATA_GOC!$D:$D,$B168,DATA_GOC!$E:$E,$F$159,DATA_GOC!$F:$F,"Xuất nội bộ từ téc",DATA_GOC!$B:$B,F$167))</f>
        <v>0</v>
      </c>
      <c r="G168" s="128">
        <f>IF(G$167="","",SUMIFS(DATA_GOC!$H:$H,DATA_GOC!$A:$A,"BOM",DATA_GOC!$D:$D,$B168,DATA_GOC!$E:$E,$F$159,DATA_GOC!$F:$F,"Xuất nội bộ từ téc",DATA_GOC!$B:$B,G$167))</f>
        <v>0</v>
      </c>
      <c r="H168" s="128">
        <f>IF(H$167="","",SUMIFS(DATA_GOC!$H:$H,DATA_GOC!$A:$A,"BOM",DATA_GOC!$D:$D,$B168,DATA_GOC!$E:$E,$F$159,DATA_GOC!$F:$F,"Xuất nội bộ từ téc",DATA_GOC!$B:$B,H$167))</f>
        <v>0</v>
      </c>
      <c r="I168" s="128">
        <f>IF(I$167="","",SUMIFS(DATA_GOC!$H:$H,DATA_GOC!$A:$A,"BOM",DATA_GOC!$D:$D,$B168,DATA_GOC!$E:$E,$F$159,DATA_GOC!$F:$F,"Xuất nội bộ từ téc",DATA_GOC!$B:$B,I$167))</f>
        <v>0</v>
      </c>
      <c r="J168" s="128">
        <f>IF(J$167="","",SUMIFS(DATA_GOC!$H:$H,DATA_GOC!$A:$A,"BOM",DATA_GOC!$D:$D,$B168,DATA_GOC!$E:$E,$F$159,DATA_GOC!$F:$F,"Xuất nội bộ từ téc",DATA_GOC!$B:$B,J$167))</f>
        <v>0</v>
      </c>
      <c r="K168" s="128">
        <f>IF(K$167="","",SUMIFS(DATA_GOC!$H:$H,DATA_GOC!$A:$A,"BOM",DATA_GOC!$D:$D,$B168,DATA_GOC!$E:$E,$F$159,DATA_GOC!$F:$F,"Xuất nội bộ từ téc",DATA_GOC!$B:$B,K$167))</f>
        <v>0</v>
      </c>
      <c r="L168" s="128">
        <f>IF(L$167="","",SUMIFS(DATA_GOC!$H:$H,DATA_GOC!$A:$A,"BOM",DATA_GOC!$D:$D,$B168,DATA_GOC!$E:$E,$F$159,DATA_GOC!$F:$F,"Xuất nội bộ từ téc",DATA_GOC!$B:$B,L$167))</f>
        <v>0</v>
      </c>
      <c r="M168" s="128">
        <f>IF(M$167="","",SUMIFS(DATA_GOC!$H:$H,DATA_GOC!$A:$A,"BOM",DATA_GOC!$D:$D,$B168,DATA_GOC!$E:$E,$F$159,DATA_GOC!$F:$F,"Xuất nội bộ từ téc",DATA_GOC!$B:$B,M$167))</f>
        <v>0</v>
      </c>
      <c r="N168" s="128">
        <f>IF(N$167="","",SUMIFS(DATA_GOC!$H:$H,DATA_GOC!$A:$A,"BOM",DATA_GOC!$D:$D,$B168,DATA_GOC!$E:$E,$F$159,DATA_GOC!$F:$F,"Xuất nội bộ từ téc",DATA_GOC!$B:$B,N$167))</f>
        <v>0</v>
      </c>
      <c r="O168" s="128">
        <f>IF(O$167="","",SUMIFS(DATA_GOC!$H:$H,DATA_GOC!$A:$A,"BOM",DATA_GOC!$D:$D,$B168,DATA_GOC!$E:$E,$F$159,DATA_GOC!$F:$F,"Xuất nội bộ từ téc",DATA_GOC!$B:$B,O$167))</f>
        <v>0</v>
      </c>
      <c r="P168" s="128">
        <f>IF(P$167="","",SUMIFS(DATA_GOC!$H:$H,DATA_GOC!$A:$A,"BOM",DATA_GOC!$D:$D,$B168,DATA_GOC!$E:$E,$F$159,DATA_GOC!$F:$F,"Xuất nội bộ từ téc",DATA_GOC!$B:$B,P$167))</f>
        <v>0</v>
      </c>
      <c r="Q168" s="128">
        <f>IF(Q$167="","",SUMIFS(DATA_GOC!$H:$H,DATA_GOC!$A:$A,"BOM",DATA_GOC!$D:$D,$B168,DATA_GOC!$E:$E,$F$159,DATA_GOC!$F:$F,"Xuất nội bộ từ téc",DATA_GOC!$B:$B,Q$167))</f>
        <v>0</v>
      </c>
      <c r="R168" s="128">
        <f>IF(R$167="","",SUMIFS(DATA_GOC!$H:$H,DATA_GOC!$A:$A,"BOM",DATA_GOC!$D:$D,$B168,DATA_GOC!$E:$E,$F$159,DATA_GOC!$F:$F,"Xuất nội bộ từ téc",DATA_GOC!$B:$B,R$167))</f>
        <v>0</v>
      </c>
      <c r="S168" s="128">
        <f>IF(S$167="","",SUMIFS(DATA_GOC!$H:$H,DATA_GOC!$A:$A,"BOM",DATA_GOC!$D:$D,$B168,DATA_GOC!$E:$E,$F$159,DATA_GOC!$F:$F,"Xuất nội bộ từ téc",DATA_GOC!$B:$B,S$167))</f>
        <v>0</v>
      </c>
      <c r="T168" s="128">
        <f>IF(T$167="","",SUMIFS(DATA_GOC!$H:$H,DATA_GOC!$A:$A,"BOM",DATA_GOC!$D:$D,$B168,DATA_GOC!$E:$E,$F$159,DATA_GOC!$F:$F,"Xuất nội bộ từ téc",DATA_GOC!$B:$B,T$167))</f>
        <v>0</v>
      </c>
      <c r="U168" s="128">
        <f>IF(U$167="","",SUMIFS(DATA_GOC!$H:$H,DATA_GOC!$A:$A,"BOM",DATA_GOC!$D:$D,$B168,DATA_GOC!$E:$E,$F$159,DATA_GOC!$F:$F,"Xuất nội bộ từ téc",DATA_GOC!$B:$B,U$167))</f>
        <v>480</v>
      </c>
      <c r="V168" s="128">
        <f>IF(V$167="","",SUMIFS(DATA_GOC!$H:$H,DATA_GOC!$A:$A,"BOM",DATA_GOC!$D:$D,$B168,DATA_GOC!$E:$E,$F$159,DATA_GOC!$F:$F,"Xuất nội bộ từ téc",DATA_GOC!$B:$B,V$167))</f>
        <v>0</v>
      </c>
      <c r="W168" s="128">
        <f>IF(W$167="","",SUMIFS(DATA_GOC!$H:$H,DATA_GOC!$A:$A,"BOM",DATA_GOC!$D:$D,$B168,DATA_GOC!$E:$E,$F$159,DATA_GOC!$F:$F,"Xuất nội bộ từ téc",DATA_GOC!$B:$B,W$167))</f>
        <v>0</v>
      </c>
      <c r="X168" s="128">
        <f>IF(X$167="","",SUMIFS(DATA_GOC!$H:$H,DATA_GOC!$A:$A,"BOM",DATA_GOC!$D:$D,$B168,DATA_GOC!$E:$E,$F$159,DATA_GOC!$F:$F,"Xuất nội bộ từ téc",DATA_GOC!$B:$B,X$167))</f>
        <v>0</v>
      </c>
      <c r="Y168" s="128" t="str">
        <f>IF(Y$167="","",SUMIFS(DATA_GOC!$H:$H,DATA_GOC!$A:$A,"BOM",DATA_GOC!$D:$D,$B168,DATA_GOC!$E:$E,$F$159,DATA_GOC!$F:$F,"Xuất nội bộ từ téc",DATA_GOC!$B:$B,Y$167))</f>
        <v/>
      </c>
      <c r="Z168" s="128" t="str">
        <f>IF(Z$167="","",SUMIFS(DATA_GOC!$H:$H,DATA_GOC!$A:$A,"BOM",DATA_GOC!$D:$D,$B168,DATA_GOC!$E:$E,$F$159,DATA_GOC!$F:$F,"Xuất nội bộ từ téc",DATA_GOC!$B:$B,Z$167))</f>
        <v/>
      </c>
      <c r="AA168" s="128" t="str">
        <f>IF(AA$167="","",SUMIFS(DATA_GOC!$H:$H,DATA_GOC!$A:$A,"BOM",DATA_GOC!$D:$D,$B168,DATA_GOC!$E:$E,$F$159,DATA_GOC!$F:$F,"Xuất nội bộ từ téc",DATA_GOC!$B:$B,AA$167))</f>
        <v/>
      </c>
      <c r="AB168" s="128" t="str">
        <f>IF(AB$167="","",SUMIFS(DATA_GOC!$H:$H,DATA_GOC!$A:$A,"BOM",DATA_GOC!$D:$D,$B168,DATA_GOC!$E:$E,$F$159,DATA_GOC!$F:$F,"Xuất nội bộ từ téc",DATA_GOC!$B:$B,AB$167))</f>
        <v/>
      </c>
      <c r="AC168" s="128" t="str">
        <f>IF(AC$167="","",SUMIFS(DATA_GOC!$H:$H,DATA_GOC!$A:$A,"BOM",DATA_GOC!$D:$D,$B168,DATA_GOC!$E:$E,$F$159,DATA_GOC!$F:$F,"Xuất nội bộ từ téc",DATA_GOC!$B:$B,AC$167))</f>
        <v/>
      </c>
      <c r="AD168" s="128" t="str">
        <f>IF(AD$167="","",SUMIFS(DATA_GOC!$H:$H,DATA_GOC!$A:$A,"BOM",DATA_GOC!$D:$D,$B168,DATA_GOC!$E:$E,$F$159,DATA_GOC!$F:$F,"Xuất nội bộ từ téc",DATA_GOC!$B:$B,AD$167))</f>
        <v/>
      </c>
      <c r="AE168" s="128" t="str">
        <f>IF(AE$167="","",SUMIFS(DATA_GOC!$H:$H,DATA_GOC!$A:$A,"BOM",DATA_GOC!$D:$D,$B168,DATA_GOC!$E:$E,$F$159,DATA_GOC!$F:$F,"Xuất nội bộ từ téc",DATA_GOC!$B:$B,AE$167))</f>
        <v/>
      </c>
      <c r="AF168" s="128" t="str">
        <f>IF(AF$167="","",SUMIFS(DATA_GOC!$H:$H,DATA_GOC!$A:$A,"BOM",DATA_GOC!$D:$D,$B168,DATA_GOC!$E:$E,$F$159,DATA_GOC!$F:$F,"Xuất nội bộ từ téc",DATA_GOC!$B:$B,AF$167))</f>
        <v/>
      </c>
      <c r="AG168" s="128" t="str">
        <f>IF(AG$167="","",SUMIFS(DATA_GOC!$H:$H,DATA_GOC!$A:$A,"BOM",DATA_GOC!$D:$D,$B168,DATA_GOC!$E:$E,$F$159,DATA_GOC!$F:$F,"Xuất nội bộ từ téc",DATA_GOC!$B:$B,AG$167))</f>
        <v/>
      </c>
      <c r="AH168" s="129">
        <f>IF($B168="","",SUMIFS(DATA_GOC!$H:$H,DATA_GOC!$A:$A,"BOM",DATA_GOC!$D:$D,$B168,DATA_GOC!$E:$E,$F$159,DATA_GOC!$F:$F,"Xuất nội bộ từ téc",DATA_GOC!$B:$B,"&gt;="&amp;$H$159,DATA_GOC!$B:$B,"&lt;="&amp;$J$159))</f>
        <v>480</v>
      </c>
      <c r="AI168" s="130">
        <f t="shared" ref="AI168:AI227" si="16">IFERROR(AH168/$E$162,0)</f>
        <v>0.03481035608</v>
      </c>
      <c r="AJ168" s="129">
        <f t="shared" ref="AJ168:AJ227" si="17">IFERROR(ROUND(AH168*$K$162/$E$162,3),0)</f>
        <v>12.915</v>
      </c>
      <c r="AK168" s="129">
        <f t="shared" ref="AK168:AK227" si="18">IFERROR(ROUND(AH168*$M$162/$E$162,3),0)</f>
        <v>0</v>
      </c>
      <c r="AL168" s="129">
        <f t="shared" ref="AL168:AL227" si="19">IF($B168="","",N(AH168)+N(AJ168)-N(AK168))</f>
        <v>492.915</v>
      </c>
    </row>
    <row r="169" ht="21.75" hidden="1" customHeight="1">
      <c r="A169" s="126">
        <f t="shared" si="15"/>
        <v>2</v>
      </c>
      <c r="B169" s="127" t="str">
        <f t="array" ref="B169">IFERROR(IF(INDEX(DANH_MUC!$E:$E,5)="","",INDEX(DANH_MUC!$E:$E,5)),"")</f>
        <v>28A30696</v>
      </c>
      <c r="C169" s="128">
        <f>IF(C$167="","",SUMIFS(DATA_GOC!$H:$H,DATA_GOC!$A:$A,"BOM",DATA_GOC!$D:$D,$B169,DATA_GOC!$E:$E,$F$159,DATA_GOC!$F:$F,"Xuất nội bộ từ téc",DATA_GOC!$B:$B,C$167))</f>
        <v>0</v>
      </c>
      <c r="D169" s="128">
        <f>IF(D$167="","",SUMIFS(DATA_GOC!$H:$H,DATA_GOC!$A:$A,"BOM",DATA_GOC!$D:$D,$B169,DATA_GOC!$E:$E,$F$159,DATA_GOC!$F:$F,"Xuất nội bộ từ téc",DATA_GOC!$B:$B,D$167))</f>
        <v>0</v>
      </c>
      <c r="E169" s="128">
        <f>IF(E$167="","",SUMIFS(DATA_GOC!$H:$H,DATA_GOC!$A:$A,"BOM",DATA_GOC!$D:$D,$B169,DATA_GOC!$E:$E,$F$159,DATA_GOC!$F:$F,"Xuất nội bộ từ téc",DATA_GOC!$B:$B,E$167))</f>
        <v>0</v>
      </c>
      <c r="F169" s="128">
        <f>IF(F$167="","",SUMIFS(DATA_GOC!$H:$H,DATA_GOC!$A:$A,"BOM",DATA_GOC!$D:$D,$B169,DATA_GOC!$E:$E,$F$159,DATA_GOC!$F:$F,"Xuất nội bộ từ téc",DATA_GOC!$B:$B,F$167))</f>
        <v>0</v>
      </c>
      <c r="G169" s="128">
        <f>IF(G$167="","",SUMIFS(DATA_GOC!$H:$H,DATA_GOC!$A:$A,"BOM",DATA_GOC!$D:$D,$B169,DATA_GOC!$E:$E,$F$159,DATA_GOC!$F:$F,"Xuất nội bộ từ téc",DATA_GOC!$B:$B,G$167))</f>
        <v>0</v>
      </c>
      <c r="H169" s="128">
        <f>IF(H$167="","",SUMIFS(DATA_GOC!$H:$H,DATA_GOC!$A:$A,"BOM",DATA_GOC!$D:$D,$B169,DATA_GOC!$E:$E,$F$159,DATA_GOC!$F:$F,"Xuất nội bộ từ téc",DATA_GOC!$B:$B,H$167))</f>
        <v>0</v>
      </c>
      <c r="I169" s="128">
        <f>IF(I$167="","",SUMIFS(DATA_GOC!$H:$H,DATA_GOC!$A:$A,"BOM",DATA_GOC!$D:$D,$B169,DATA_GOC!$E:$E,$F$159,DATA_GOC!$F:$F,"Xuất nội bộ từ téc",DATA_GOC!$B:$B,I$167))</f>
        <v>0</v>
      </c>
      <c r="J169" s="128">
        <f>IF(J$167="","",SUMIFS(DATA_GOC!$H:$H,DATA_GOC!$A:$A,"BOM",DATA_GOC!$D:$D,$B169,DATA_GOC!$E:$E,$F$159,DATA_GOC!$F:$F,"Xuất nội bộ từ téc",DATA_GOC!$B:$B,J$167))</f>
        <v>0</v>
      </c>
      <c r="K169" s="128">
        <f>IF(K$167="","",SUMIFS(DATA_GOC!$H:$H,DATA_GOC!$A:$A,"BOM",DATA_GOC!$D:$D,$B169,DATA_GOC!$E:$E,$F$159,DATA_GOC!$F:$F,"Xuất nội bộ từ téc",DATA_GOC!$B:$B,K$167))</f>
        <v>0</v>
      </c>
      <c r="L169" s="128">
        <f>IF(L$167="","",SUMIFS(DATA_GOC!$H:$H,DATA_GOC!$A:$A,"BOM",DATA_GOC!$D:$D,$B169,DATA_GOC!$E:$E,$F$159,DATA_GOC!$F:$F,"Xuất nội bộ từ téc",DATA_GOC!$B:$B,L$167))</f>
        <v>0</v>
      </c>
      <c r="M169" s="128">
        <f>IF(M$167="","",SUMIFS(DATA_GOC!$H:$H,DATA_GOC!$A:$A,"BOM",DATA_GOC!$D:$D,$B169,DATA_GOC!$E:$E,$F$159,DATA_GOC!$F:$F,"Xuất nội bộ từ téc",DATA_GOC!$B:$B,M$167))</f>
        <v>35</v>
      </c>
      <c r="N169" s="128">
        <f>IF(N$167="","",SUMIFS(DATA_GOC!$H:$H,DATA_GOC!$A:$A,"BOM",DATA_GOC!$D:$D,$B169,DATA_GOC!$E:$E,$F$159,DATA_GOC!$F:$F,"Xuất nội bộ từ téc",DATA_GOC!$B:$B,N$167))</f>
        <v>0</v>
      </c>
      <c r="O169" s="128">
        <f>IF(O$167="","",SUMIFS(DATA_GOC!$H:$H,DATA_GOC!$A:$A,"BOM",DATA_GOC!$D:$D,$B169,DATA_GOC!$E:$E,$F$159,DATA_GOC!$F:$F,"Xuất nội bộ từ téc",DATA_GOC!$B:$B,O$167))</f>
        <v>0</v>
      </c>
      <c r="P169" s="128">
        <f>IF(P$167="","",SUMIFS(DATA_GOC!$H:$H,DATA_GOC!$A:$A,"BOM",DATA_GOC!$D:$D,$B169,DATA_GOC!$E:$E,$F$159,DATA_GOC!$F:$F,"Xuất nội bộ từ téc",DATA_GOC!$B:$B,P$167))</f>
        <v>0</v>
      </c>
      <c r="Q169" s="128">
        <f>IF(Q$167="","",SUMIFS(DATA_GOC!$H:$H,DATA_GOC!$A:$A,"BOM",DATA_GOC!$D:$D,$B169,DATA_GOC!$E:$E,$F$159,DATA_GOC!$F:$F,"Xuất nội bộ từ téc",DATA_GOC!$B:$B,Q$167))</f>
        <v>0</v>
      </c>
      <c r="R169" s="128">
        <f>IF(R$167="","",SUMIFS(DATA_GOC!$H:$H,DATA_GOC!$A:$A,"BOM",DATA_GOC!$D:$D,$B169,DATA_GOC!$E:$E,$F$159,DATA_GOC!$F:$F,"Xuất nội bộ từ téc",DATA_GOC!$B:$B,R$167))</f>
        <v>0</v>
      </c>
      <c r="S169" s="128">
        <f>IF(S$167="","",SUMIFS(DATA_GOC!$H:$H,DATA_GOC!$A:$A,"BOM",DATA_GOC!$D:$D,$B169,DATA_GOC!$E:$E,$F$159,DATA_GOC!$F:$F,"Xuất nội bộ từ téc",DATA_GOC!$B:$B,S$167))</f>
        <v>0</v>
      </c>
      <c r="T169" s="128">
        <f>IF(T$167="","",SUMIFS(DATA_GOC!$H:$H,DATA_GOC!$A:$A,"BOM",DATA_GOC!$D:$D,$B169,DATA_GOC!$E:$E,$F$159,DATA_GOC!$F:$F,"Xuất nội bộ từ téc",DATA_GOC!$B:$B,T$167))</f>
        <v>0</v>
      </c>
      <c r="U169" s="128">
        <f>IF(U$167="","",SUMIFS(DATA_GOC!$H:$H,DATA_GOC!$A:$A,"BOM",DATA_GOC!$D:$D,$B169,DATA_GOC!$E:$E,$F$159,DATA_GOC!$F:$F,"Xuất nội bộ từ téc",DATA_GOC!$B:$B,U$167))</f>
        <v>0</v>
      </c>
      <c r="V169" s="128">
        <f>IF(V$167="","",SUMIFS(DATA_GOC!$H:$H,DATA_GOC!$A:$A,"BOM",DATA_GOC!$D:$D,$B169,DATA_GOC!$E:$E,$F$159,DATA_GOC!$F:$F,"Xuất nội bộ từ téc",DATA_GOC!$B:$B,V$167))</f>
        <v>0</v>
      </c>
      <c r="W169" s="128">
        <f>IF(W$167="","",SUMIFS(DATA_GOC!$H:$H,DATA_GOC!$A:$A,"BOM",DATA_GOC!$D:$D,$B169,DATA_GOC!$E:$E,$F$159,DATA_GOC!$F:$F,"Xuất nội bộ từ téc",DATA_GOC!$B:$B,W$167))</f>
        <v>0</v>
      </c>
      <c r="X169" s="128">
        <f>IF(X$167="","",SUMIFS(DATA_GOC!$H:$H,DATA_GOC!$A:$A,"BOM",DATA_GOC!$D:$D,$B169,DATA_GOC!$E:$E,$F$159,DATA_GOC!$F:$F,"Xuất nội bộ từ téc",DATA_GOC!$B:$B,X$167))</f>
        <v>0</v>
      </c>
      <c r="Y169" s="128" t="str">
        <f>IF(Y$167="","",SUMIFS(DATA_GOC!$H:$H,DATA_GOC!$A:$A,"BOM",DATA_GOC!$D:$D,$B169,DATA_GOC!$E:$E,$F$159,DATA_GOC!$F:$F,"Xuất nội bộ từ téc",DATA_GOC!$B:$B,Y$167))</f>
        <v/>
      </c>
      <c r="Z169" s="128" t="str">
        <f>IF(Z$167="","",SUMIFS(DATA_GOC!$H:$H,DATA_GOC!$A:$A,"BOM",DATA_GOC!$D:$D,$B169,DATA_GOC!$E:$E,$F$159,DATA_GOC!$F:$F,"Xuất nội bộ từ téc",DATA_GOC!$B:$B,Z$167))</f>
        <v/>
      </c>
      <c r="AA169" s="128" t="str">
        <f>IF(AA$167="","",SUMIFS(DATA_GOC!$H:$H,DATA_GOC!$A:$A,"BOM",DATA_GOC!$D:$D,$B169,DATA_GOC!$E:$E,$F$159,DATA_GOC!$F:$F,"Xuất nội bộ từ téc",DATA_GOC!$B:$B,AA$167))</f>
        <v/>
      </c>
      <c r="AB169" s="128" t="str">
        <f>IF(AB$167="","",SUMIFS(DATA_GOC!$H:$H,DATA_GOC!$A:$A,"BOM",DATA_GOC!$D:$D,$B169,DATA_GOC!$E:$E,$F$159,DATA_GOC!$F:$F,"Xuất nội bộ từ téc",DATA_GOC!$B:$B,AB$167))</f>
        <v/>
      </c>
      <c r="AC169" s="128" t="str">
        <f>IF(AC$167="","",SUMIFS(DATA_GOC!$H:$H,DATA_GOC!$A:$A,"BOM",DATA_GOC!$D:$D,$B169,DATA_GOC!$E:$E,$F$159,DATA_GOC!$F:$F,"Xuất nội bộ từ téc",DATA_GOC!$B:$B,AC$167))</f>
        <v/>
      </c>
      <c r="AD169" s="128" t="str">
        <f>IF(AD$167="","",SUMIFS(DATA_GOC!$H:$H,DATA_GOC!$A:$A,"BOM",DATA_GOC!$D:$D,$B169,DATA_GOC!$E:$E,$F$159,DATA_GOC!$F:$F,"Xuất nội bộ từ téc",DATA_GOC!$B:$B,AD$167))</f>
        <v/>
      </c>
      <c r="AE169" s="128" t="str">
        <f>IF(AE$167="","",SUMIFS(DATA_GOC!$H:$H,DATA_GOC!$A:$A,"BOM",DATA_GOC!$D:$D,$B169,DATA_GOC!$E:$E,$F$159,DATA_GOC!$F:$F,"Xuất nội bộ từ téc",DATA_GOC!$B:$B,AE$167))</f>
        <v/>
      </c>
      <c r="AF169" s="128" t="str">
        <f>IF(AF$167="","",SUMIFS(DATA_GOC!$H:$H,DATA_GOC!$A:$A,"BOM",DATA_GOC!$D:$D,$B169,DATA_GOC!$E:$E,$F$159,DATA_GOC!$F:$F,"Xuất nội bộ từ téc",DATA_GOC!$B:$B,AF$167))</f>
        <v/>
      </c>
      <c r="AG169" s="128" t="str">
        <f>IF(AG$167="","",SUMIFS(DATA_GOC!$H:$H,DATA_GOC!$A:$A,"BOM",DATA_GOC!$D:$D,$B169,DATA_GOC!$E:$E,$F$159,DATA_GOC!$F:$F,"Xuất nội bộ từ téc",DATA_GOC!$B:$B,AG$167))</f>
        <v/>
      </c>
      <c r="AH169" s="129">
        <f>IF($B169="","",SUMIFS(DATA_GOC!$H:$H,DATA_GOC!$A:$A,"BOM",DATA_GOC!$D:$D,$B169,DATA_GOC!$E:$E,$F$159,DATA_GOC!$F:$F,"Xuất nội bộ từ téc",DATA_GOC!$B:$B,"&gt;="&amp;$H$159,DATA_GOC!$B:$B,"&lt;="&amp;$J$159))</f>
        <v>35</v>
      </c>
      <c r="AI169" s="130">
        <f t="shared" si="16"/>
        <v>0.002538255131</v>
      </c>
      <c r="AJ169" s="129">
        <f t="shared" si="17"/>
        <v>0.942</v>
      </c>
      <c r="AK169" s="129">
        <f t="shared" si="18"/>
        <v>0</v>
      </c>
      <c r="AL169" s="129">
        <f t="shared" si="19"/>
        <v>35.942</v>
      </c>
    </row>
    <row r="170" ht="21.75" hidden="1" customHeight="1">
      <c r="A170" s="126">
        <f t="shared" si="15"/>
        <v>3</v>
      </c>
      <c r="B170" s="127" t="str">
        <f t="array" ref="B170">IFERROR(IF(INDEX(DANH_MUC!$E:$E,6)="","",INDEX(DANH_MUC!$E:$E,6)),"")</f>
        <v>28C00462</v>
      </c>
      <c r="C170" s="128">
        <f>IF(C$167="","",SUMIFS(DATA_GOC!$H:$H,DATA_GOC!$A:$A,"BOM",DATA_GOC!$D:$D,$B170,DATA_GOC!$E:$E,$F$159,DATA_GOC!$F:$F,"Xuất nội bộ từ téc",DATA_GOC!$B:$B,C$167))</f>
        <v>0</v>
      </c>
      <c r="D170" s="128">
        <f>IF(D$167="","",SUMIFS(DATA_GOC!$H:$H,DATA_GOC!$A:$A,"BOM",DATA_GOC!$D:$D,$B170,DATA_GOC!$E:$E,$F$159,DATA_GOC!$F:$F,"Xuất nội bộ từ téc",DATA_GOC!$B:$B,D$167))</f>
        <v>0</v>
      </c>
      <c r="E170" s="128">
        <f>IF(E$167="","",SUMIFS(DATA_GOC!$H:$H,DATA_GOC!$A:$A,"BOM",DATA_GOC!$D:$D,$B170,DATA_GOC!$E:$E,$F$159,DATA_GOC!$F:$F,"Xuất nội bộ từ téc",DATA_GOC!$B:$B,E$167))</f>
        <v>0</v>
      </c>
      <c r="F170" s="128">
        <f>IF(F$167="","",SUMIFS(DATA_GOC!$H:$H,DATA_GOC!$A:$A,"BOM",DATA_GOC!$D:$D,$B170,DATA_GOC!$E:$E,$F$159,DATA_GOC!$F:$F,"Xuất nội bộ từ téc",DATA_GOC!$B:$B,F$167))</f>
        <v>0</v>
      </c>
      <c r="G170" s="128">
        <f>IF(G$167="","",SUMIFS(DATA_GOC!$H:$H,DATA_GOC!$A:$A,"BOM",DATA_GOC!$D:$D,$B170,DATA_GOC!$E:$E,$F$159,DATA_GOC!$F:$F,"Xuất nội bộ từ téc",DATA_GOC!$B:$B,G$167))</f>
        <v>0</v>
      </c>
      <c r="H170" s="128">
        <f>IF(H$167="","",SUMIFS(DATA_GOC!$H:$H,DATA_GOC!$A:$A,"BOM",DATA_GOC!$D:$D,$B170,DATA_GOC!$E:$E,$F$159,DATA_GOC!$F:$F,"Xuất nội bộ từ téc",DATA_GOC!$B:$B,H$167))</f>
        <v>0</v>
      </c>
      <c r="I170" s="128">
        <f>IF(I$167="","",SUMIFS(DATA_GOC!$H:$H,DATA_GOC!$A:$A,"BOM",DATA_GOC!$D:$D,$B170,DATA_GOC!$E:$E,$F$159,DATA_GOC!$F:$F,"Xuất nội bộ từ téc",DATA_GOC!$B:$B,I$167))</f>
        <v>0</v>
      </c>
      <c r="J170" s="128">
        <f>IF(J$167="","",SUMIFS(DATA_GOC!$H:$H,DATA_GOC!$A:$A,"BOM",DATA_GOC!$D:$D,$B170,DATA_GOC!$E:$E,$F$159,DATA_GOC!$F:$F,"Xuất nội bộ từ téc",DATA_GOC!$B:$B,J$167))</f>
        <v>0</v>
      </c>
      <c r="K170" s="128">
        <f>IF(K$167="","",SUMIFS(DATA_GOC!$H:$H,DATA_GOC!$A:$A,"BOM",DATA_GOC!$D:$D,$B170,DATA_GOC!$E:$E,$F$159,DATA_GOC!$F:$F,"Xuất nội bộ từ téc",DATA_GOC!$B:$B,K$167))</f>
        <v>0</v>
      </c>
      <c r="L170" s="128">
        <f>IF(L$167="","",SUMIFS(DATA_GOC!$H:$H,DATA_GOC!$A:$A,"BOM",DATA_GOC!$D:$D,$B170,DATA_GOC!$E:$E,$F$159,DATA_GOC!$F:$F,"Xuất nội bộ từ téc",DATA_GOC!$B:$B,L$167))</f>
        <v>0</v>
      </c>
      <c r="M170" s="128">
        <f>IF(M$167="","",SUMIFS(DATA_GOC!$H:$H,DATA_GOC!$A:$A,"BOM",DATA_GOC!$D:$D,$B170,DATA_GOC!$E:$E,$F$159,DATA_GOC!$F:$F,"Xuất nội bộ từ téc",DATA_GOC!$B:$B,M$167))</f>
        <v>0</v>
      </c>
      <c r="N170" s="128">
        <f>IF(N$167="","",SUMIFS(DATA_GOC!$H:$H,DATA_GOC!$A:$A,"BOM",DATA_GOC!$D:$D,$B170,DATA_GOC!$E:$E,$F$159,DATA_GOC!$F:$F,"Xuất nội bộ từ téc",DATA_GOC!$B:$B,N$167))</f>
        <v>0</v>
      </c>
      <c r="O170" s="128">
        <f>IF(O$167="","",SUMIFS(DATA_GOC!$H:$H,DATA_GOC!$A:$A,"BOM",DATA_GOC!$D:$D,$B170,DATA_GOC!$E:$E,$F$159,DATA_GOC!$F:$F,"Xuất nội bộ từ téc",DATA_GOC!$B:$B,O$167))</f>
        <v>0</v>
      </c>
      <c r="P170" s="128">
        <f>IF(P$167="","",SUMIFS(DATA_GOC!$H:$H,DATA_GOC!$A:$A,"BOM",DATA_GOC!$D:$D,$B170,DATA_GOC!$E:$E,$F$159,DATA_GOC!$F:$F,"Xuất nội bộ từ téc",DATA_GOC!$B:$B,P$167))</f>
        <v>0</v>
      </c>
      <c r="Q170" s="128">
        <f>IF(Q$167="","",SUMIFS(DATA_GOC!$H:$H,DATA_GOC!$A:$A,"BOM",DATA_GOC!$D:$D,$B170,DATA_GOC!$E:$E,$F$159,DATA_GOC!$F:$F,"Xuất nội bộ từ téc",DATA_GOC!$B:$B,Q$167))</f>
        <v>0</v>
      </c>
      <c r="R170" s="128">
        <f>IF(R$167="","",SUMIFS(DATA_GOC!$H:$H,DATA_GOC!$A:$A,"BOM",DATA_GOC!$D:$D,$B170,DATA_GOC!$E:$E,$F$159,DATA_GOC!$F:$F,"Xuất nội bộ từ téc",DATA_GOC!$B:$B,R$167))</f>
        <v>51</v>
      </c>
      <c r="S170" s="128">
        <f>IF(S$167="","",SUMIFS(DATA_GOC!$H:$H,DATA_GOC!$A:$A,"BOM",DATA_GOC!$D:$D,$B170,DATA_GOC!$E:$E,$F$159,DATA_GOC!$F:$F,"Xuất nội bộ từ téc",DATA_GOC!$B:$B,S$167))</f>
        <v>0</v>
      </c>
      <c r="T170" s="128">
        <f>IF(T$167="","",SUMIFS(DATA_GOC!$H:$H,DATA_GOC!$A:$A,"BOM",DATA_GOC!$D:$D,$B170,DATA_GOC!$E:$E,$F$159,DATA_GOC!$F:$F,"Xuất nội bộ từ téc",DATA_GOC!$B:$B,T$167))</f>
        <v>0</v>
      </c>
      <c r="U170" s="128">
        <f>IF(U$167="","",SUMIFS(DATA_GOC!$H:$H,DATA_GOC!$A:$A,"BOM",DATA_GOC!$D:$D,$B170,DATA_GOC!$E:$E,$F$159,DATA_GOC!$F:$F,"Xuất nội bộ từ téc",DATA_GOC!$B:$B,U$167))</f>
        <v>56</v>
      </c>
      <c r="V170" s="128">
        <f>IF(V$167="","",SUMIFS(DATA_GOC!$H:$H,DATA_GOC!$A:$A,"BOM",DATA_GOC!$D:$D,$B170,DATA_GOC!$E:$E,$F$159,DATA_GOC!$F:$F,"Xuất nội bộ từ téc",DATA_GOC!$B:$B,V$167))</f>
        <v>0</v>
      </c>
      <c r="W170" s="128">
        <f>IF(W$167="","",SUMIFS(DATA_GOC!$H:$H,DATA_GOC!$A:$A,"BOM",DATA_GOC!$D:$D,$B170,DATA_GOC!$E:$E,$F$159,DATA_GOC!$F:$F,"Xuất nội bộ từ téc",DATA_GOC!$B:$B,W$167))</f>
        <v>0</v>
      </c>
      <c r="X170" s="128">
        <f>IF(X$167="","",SUMIFS(DATA_GOC!$H:$H,DATA_GOC!$A:$A,"BOM",DATA_GOC!$D:$D,$B170,DATA_GOC!$E:$E,$F$159,DATA_GOC!$F:$F,"Xuất nội bộ từ téc",DATA_GOC!$B:$B,X$167))</f>
        <v>0</v>
      </c>
      <c r="Y170" s="128" t="str">
        <f>IF(Y$167="","",SUMIFS(DATA_GOC!$H:$H,DATA_GOC!$A:$A,"BOM",DATA_GOC!$D:$D,$B170,DATA_GOC!$E:$E,$F$159,DATA_GOC!$F:$F,"Xuất nội bộ từ téc",DATA_GOC!$B:$B,Y$167))</f>
        <v/>
      </c>
      <c r="Z170" s="128" t="str">
        <f>IF(Z$167="","",SUMIFS(DATA_GOC!$H:$H,DATA_GOC!$A:$A,"BOM",DATA_GOC!$D:$D,$B170,DATA_GOC!$E:$E,$F$159,DATA_GOC!$F:$F,"Xuất nội bộ từ téc",DATA_GOC!$B:$B,Z$167))</f>
        <v/>
      </c>
      <c r="AA170" s="128" t="str">
        <f>IF(AA$167="","",SUMIFS(DATA_GOC!$H:$H,DATA_GOC!$A:$A,"BOM",DATA_GOC!$D:$D,$B170,DATA_GOC!$E:$E,$F$159,DATA_GOC!$F:$F,"Xuất nội bộ từ téc",DATA_GOC!$B:$B,AA$167))</f>
        <v/>
      </c>
      <c r="AB170" s="128" t="str">
        <f>IF(AB$167="","",SUMIFS(DATA_GOC!$H:$H,DATA_GOC!$A:$A,"BOM",DATA_GOC!$D:$D,$B170,DATA_GOC!$E:$E,$F$159,DATA_GOC!$F:$F,"Xuất nội bộ từ téc",DATA_GOC!$B:$B,AB$167))</f>
        <v/>
      </c>
      <c r="AC170" s="128" t="str">
        <f>IF(AC$167="","",SUMIFS(DATA_GOC!$H:$H,DATA_GOC!$A:$A,"BOM",DATA_GOC!$D:$D,$B170,DATA_GOC!$E:$E,$F$159,DATA_GOC!$F:$F,"Xuất nội bộ từ téc",DATA_GOC!$B:$B,AC$167))</f>
        <v/>
      </c>
      <c r="AD170" s="128" t="str">
        <f>IF(AD$167="","",SUMIFS(DATA_GOC!$H:$H,DATA_GOC!$A:$A,"BOM",DATA_GOC!$D:$D,$B170,DATA_GOC!$E:$E,$F$159,DATA_GOC!$F:$F,"Xuất nội bộ từ téc",DATA_GOC!$B:$B,AD$167))</f>
        <v/>
      </c>
      <c r="AE170" s="128" t="str">
        <f>IF(AE$167="","",SUMIFS(DATA_GOC!$H:$H,DATA_GOC!$A:$A,"BOM",DATA_GOC!$D:$D,$B170,DATA_GOC!$E:$E,$F$159,DATA_GOC!$F:$F,"Xuất nội bộ từ téc",DATA_GOC!$B:$B,AE$167))</f>
        <v/>
      </c>
      <c r="AF170" s="128" t="str">
        <f>IF(AF$167="","",SUMIFS(DATA_GOC!$H:$H,DATA_GOC!$A:$A,"BOM",DATA_GOC!$D:$D,$B170,DATA_GOC!$E:$E,$F$159,DATA_GOC!$F:$F,"Xuất nội bộ từ téc",DATA_GOC!$B:$B,AF$167))</f>
        <v/>
      </c>
      <c r="AG170" s="128" t="str">
        <f>IF(AG$167="","",SUMIFS(DATA_GOC!$H:$H,DATA_GOC!$A:$A,"BOM",DATA_GOC!$D:$D,$B170,DATA_GOC!$E:$E,$F$159,DATA_GOC!$F:$F,"Xuất nội bộ từ téc",DATA_GOC!$B:$B,AG$167))</f>
        <v/>
      </c>
      <c r="AH170" s="129">
        <f>IF($B170="","",SUMIFS(DATA_GOC!$H:$H,DATA_GOC!$A:$A,"BOM",DATA_GOC!$D:$D,$B170,DATA_GOC!$E:$E,$F$159,DATA_GOC!$F:$F,"Xuất nội bộ từ téc",DATA_GOC!$B:$B,"&gt;="&amp;$H$159,DATA_GOC!$B:$B,"&lt;="&amp;$J$159))</f>
        <v>107</v>
      </c>
      <c r="AI170" s="130">
        <f t="shared" si="16"/>
        <v>0.007759808543</v>
      </c>
      <c r="AJ170" s="129">
        <f t="shared" si="17"/>
        <v>2.879</v>
      </c>
      <c r="AK170" s="129">
        <f t="shared" si="18"/>
        <v>0</v>
      </c>
      <c r="AL170" s="129">
        <f t="shared" si="19"/>
        <v>109.879</v>
      </c>
    </row>
    <row r="171" ht="21.75" hidden="1" customHeight="1">
      <c r="A171" s="126">
        <f t="shared" si="15"/>
        <v>4</v>
      </c>
      <c r="B171" s="127" t="str">
        <f t="array" ref="B171">IFERROR(IF(INDEX(DANH_MUC!$E:$E,7)="","",INDEX(DANH_MUC!$E:$E,7)),"")</f>
        <v>28C01165</v>
      </c>
      <c r="C171" s="128">
        <f>IF(C$167="","",SUMIFS(DATA_GOC!$H:$H,DATA_GOC!$A:$A,"BOM",DATA_GOC!$D:$D,$B171,DATA_GOC!$E:$E,$F$159,DATA_GOC!$F:$F,"Xuất nội bộ từ téc",DATA_GOC!$B:$B,C$167))</f>
        <v>0</v>
      </c>
      <c r="D171" s="128">
        <f>IF(D$167="","",SUMIFS(DATA_GOC!$H:$H,DATA_GOC!$A:$A,"BOM",DATA_GOC!$D:$D,$B171,DATA_GOC!$E:$E,$F$159,DATA_GOC!$F:$F,"Xuất nội bộ từ téc",DATA_GOC!$B:$B,D$167))</f>
        <v>0</v>
      </c>
      <c r="E171" s="128">
        <f>IF(E$167="","",SUMIFS(DATA_GOC!$H:$H,DATA_GOC!$A:$A,"BOM",DATA_GOC!$D:$D,$B171,DATA_GOC!$E:$E,$F$159,DATA_GOC!$F:$F,"Xuất nội bộ từ téc",DATA_GOC!$B:$B,E$167))</f>
        <v>0</v>
      </c>
      <c r="F171" s="128">
        <f>IF(F$167="","",SUMIFS(DATA_GOC!$H:$H,DATA_GOC!$A:$A,"BOM",DATA_GOC!$D:$D,$B171,DATA_GOC!$E:$E,$F$159,DATA_GOC!$F:$F,"Xuất nội bộ từ téc",DATA_GOC!$B:$B,F$167))</f>
        <v>0</v>
      </c>
      <c r="G171" s="128">
        <f>IF(G$167="","",SUMIFS(DATA_GOC!$H:$H,DATA_GOC!$A:$A,"BOM",DATA_GOC!$D:$D,$B171,DATA_GOC!$E:$E,$F$159,DATA_GOC!$F:$F,"Xuất nội bộ từ téc",DATA_GOC!$B:$B,G$167))</f>
        <v>0</v>
      </c>
      <c r="H171" s="128">
        <f>IF(H$167="","",SUMIFS(DATA_GOC!$H:$H,DATA_GOC!$A:$A,"BOM",DATA_GOC!$D:$D,$B171,DATA_GOC!$E:$E,$F$159,DATA_GOC!$F:$F,"Xuất nội bộ từ téc",DATA_GOC!$B:$B,H$167))</f>
        <v>0</v>
      </c>
      <c r="I171" s="128">
        <f>IF(I$167="","",SUMIFS(DATA_GOC!$H:$H,DATA_GOC!$A:$A,"BOM",DATA_GOC!$D:$D,$B171,DATA_GOC!$E:$E,$F$159,DATA_GOC!$F:$F,"Xuất nội bộ từ téc",DATA_GOC!$B:$B,I$167))</f>
        <v>0</v>
      </c>
      <c r="J171" s="128">
        <f>IF(J$167="","",SUMIFS(DATA_GOC!$H:$H,DATA_GOC!$A:$A,"BOM",DATA_GOC!$D:$D,$B171,DATA_GOC!$E:$E,$F$159,DATA_GOC!$F:$F,"Xuất nội bộ từ téc",DATA_GOC!$B:$B,J$167))</f>
        <v>0</v>
      </c>
      <c r="K171" s="128">
        <f>IF(K$167="","",SUMIFS(DATA_GOC!$H:$H,DATA_GOC!$A:$A,"BOM",DATA_GOC!$D:$D,$B171,DATA_GOC!$E:$E,$F$159,DATA_GOC!$F:$F,"Xuất nội bộ từ téc",DATA_GOC!$B:$B,K$167))</f>
        <v>0</v>
      </c>
      <c r="L171" s="128">
        <f>IF(L$167="","",SUMIFS(DATA_GOC!$H:$H,DATA_GOC!$A:$A,"BOM",DATA_GOC!$D:$D,$B171,DATA_GOC!$E:$E,$F$159,DATA_GOC!$F:$F,"Xuất nội bộ từ téc",DATA_GOC!$B:$B,L$167))</f>
        <v>0</v>
      </c>
      <c r="M171" s="128">
        <f>IF(M$167="","",SUMIFS(DATA_GOC!$H:$H,DATA_GOC!$A:$A,"BOM",DATA_GOC!$D:$D,$B171,DATA_GOC!$E:$E,$F$159,DATA_GOC!$F:$F,"Xuất nội bộ từ téc",DATA_GOC!$B:$B,M$167))</f>
        <v>0</v>
      </c>
      <c r="N171" s="128">
        <f>IF(N$167="","",SUMIFS(DATA_GOC!$H:$H,DATA_GOC!$A:$A,"BOM",DATA_GOC!$D:$D,$B171,DATA_GOC!$E:$E,$F$159,DATA_GOC!$F:$F,"Xuất nội bộ từ téc",DATA_GOC!$B:$B,N$167))</f>
        <v>0</v>
      </c>
      <c r="O171" s="128">
        <f>IF(O$167="","",SUMIFS(DATA_GOC!$H:$H,DATA_GOC!$A:$A,"BOM",DATA_GOC!$D:$D,$B171,DATA_GOC!$E:$E,$F$159,DATA_GOC!$F:$F,"Xuất nội bộ từ téc",DATA_GOC!$B:$B,O$167))</f>
        <v>0</v>
      </c>
      <c r="P171" s="128">
        <f>IF(P$167="","",SUMIFS(DATA_GOC!$H:$H,DATA_GOC!$A:$A,"BOM",DATA_GOC!$D:$D,$B171,DATA_GOC!$E:$E,$F$159,DATA_GOC!$F:$F,"Xuất nội bộ từ téc",DATA_GOC!$B:$B,P$167))</f>
        <v>0</v>
      </c>
      <c r="Q171" s="128">
        <f>IF(Q$167="","",SUMIFS(DATA_GOC!$H:$H,DATA_GOC!$A:$A,"BOM",DATA_GOC!$D:$D,$B171,DATA_GOC!$E:$E,$F$159,DATA_GOC!$F:$F,"Xuất nội bộ từ téc",DATA_GOC!$B:$B,Q$167))</f>
        <v>0</v>
      </c>
      <c r="R171" s="128">
        <f>IF(R$167="","",SUMIFS(DATA_GOC!$H:$H,DATA_GOC!$A:$A,"BOM",DATA_GOC!$D:$D,$B171,DATA_GOC!$E:$E,$F$159,DATA_GOC!$F:$F,"Xuất nội bộ từ téc",DATA_GOC!$B:$B,R$167))</f>
        <v>0</v>
      </c>
      <c r="S171" s="128">
        <f>IF(S$167="","",SUMIFS(DATA_GOC!$H:$H,DATA_GOC!$A:$A,"BOM",DATA_GOC!$D:$D,$B171,DATA_GOC!$E:$E,$F$159,DATA_GOC!$F:$F,"Xuất nội bộ từ téc",DATA_GOC!$B:$B,S$167))</f>
        <v>0</v>
      </c>
      <c r="T171" s="128">
        <f>IF(T$167="","",SUMIFS(DATA_GOC!$H:$H,DATA_GOC!$A:$A,"BOM",DATA_GOC!$D:$D,$B171,DATA_GOC!$E:$E,$F$159,DATA_GOC!$F:$F,"Xuất nội bộ từ téc",DATA_GOC!$B:$B,T$167))</f>
        <v>0</v>
      </c>
      <c r="U171" s="128">
        <f>IF(U$167="","",SUMIFS(DATA_GOC!$H:$H,DATA_GOC!$A:$A,"BOM",DATA_GOC!$D:$D,$B171,DATA_GOC!$E:$E,$F$159,DATA_GOC!$F:$F,"Xuất nội bộ từ téc",DATA_GOC!$B:$B,U$167))</f>
        <v>0</v>
      </c>
      <c r="V171" s="128">
        <f>IF(V$167="","",SUMIFS(DATA_GOC!$H:$H,DATA_GOC!$A:$A,"BOM",DATA_GOC!$D:$D,$B171,DATA_GOC!$E:$E,$F$159,DATA_GOC!$F:$F,"Xuất nội bộ từ téc",DATA_GOC!$B:$B,V$167))</f>
        <v>0</v>
      </c>
      <c r="W171" s="128">
        <f>IF(W$167="","",SUMIFS(DATA_GOC!$H:$H,DATA_GOC!$A:$A,"BOM",DATA_GOC!$D:$D,$B171,DATA_GOC!$E:$E,$F$159,DATA_GOC!$F:$F,"Xuất nội bộ từ téc",DATA_GOC!$B:$B,W$167))</f>
        <v>0</v>
      </c>
      <c r="X171" s="128">
        <f>IF(X$167="","",SUMIFS(DATA_GOC!$H:$H,DATA_GOC!$A:$A,"BOM",DATA_GOC!$D:$D,$B171,DATA_GOC!$E:$E,$F$159,DATA_GOC!$F:$F,"Xuất nội bộ từ téc",DATA_GOC!$B:$B,X$167))</f>
        <v>0</v>
      </c>
      <c r="Y171" s="128" t="str">
        <f>IF(Y$167="","",SUMIFS(DATA_GOC!$H:$H,DATA_GOC!$A:$A,"BOM",DATA_GOC!$D:$D,$B171,DATA_GOC!$E:$E,$F$159,DATA_GOC!$F:$F,"Xuất nội bộ từ téc",DATA_GOC!$B:$B,Y$167))</f>
        <v/>
      </c>
      <c r="Z171" s="128" t="str">
        <f>IF(Z$167="","",SUMIFS(DATA_GOC!$H:$H,DATA_GOC!$A:$A,"BOM",DATA_GOC!$D:$D,$B171,DATA_GOC!$E:$E,$F$159,DATA_GOC!$F:$F,"Xuất nội bộ từ téc",DATA_GOC!$B:$B,Z$167))</f>
        <v/>
      </c>
      <c r="AA171" s="128" t="str">
        <f>IF(AA$167="","",SUMIFS(DATA_GOC!$H:$H,DATA_GOC!$A:$A,"BOM",DATA_GOC!$D:$D,$B171,DATA_GOC!$E:$E,$F$159,DATA_GOC!$F:$F,"Xuất nội bộ từ téc",DATA_GOC!$B:$B,AA$167))</f>
        <v/>
      </c>
      <c r="AB171" s="128" t="str">
        <f>IF(AB$167="","",SUMIFS(DATA_GOC!$H:$H,DATA_GOC!$A:$A,"BOM",DATA_GOC!$D:$D,$B171,DATA_GOC!$E:$E,$F$159,DATA_GOC!$F:$F,"Xuất nội bộ từ téc",DATA_GOC!$B:$B,AB$167))</f>
        <v/>
      </c>
      <c r="AC171" s="128" t="str">
        <f>IF(AC$167="","",SUMIFS(DATA_GOC!$H:$H,DATA_GOC!$A:$A,"BOM",DATA_GOC!$D:$D,$B171,DATA_GOC!$E:$E,$F$159,DATA_GOC!$F:$F,"Xuất nội bộ từ téc",DATA_GOC!$B:$B,AC$167))</f>
        <v/>
      </c>
      <c r="AD171" s="128" t="str">
        <f>IF(AD$167="","",SUMIFS(DATA_GOC!$H:$H,DATA_GOC!$A:$A,"BOM",DATA_GOC!$D:$D,$B171,DATA_GOC!$E:$E,$F$159,DATA_GOC!$F:$F,"Xuất nội bộ từ téc",DATA_GOC!$B:$B,AD$167))</f>
        <v/>
      </c>
      <c r="AE171" s="128" t="str">
        <f>IF(AE$167="","",SUMIFS(DATA_GOC!$H:$H,DATA_GOC!$A:$A,"BOM",DATA_GOC!$D:$D,$B171,DATA_GOC!$E:$E,$F$159,DATA_GOC!$F:$F,"Xuất nội bộ từ téc",DATA_GOC!$B:$B,AE$167))</f>
        <v/>
      </c>
      <c r="AF171" s="128" t="str">
        <f>IF(AF$167="","",SUMIFS(DATA_GOC!$H:$H,DATA_GOC!$A:$A,"BOM",DATA_GOC!$D:$D,$B171,DATA_GOC!$E:$E,$F$159,DATA_GOC!$F:$F,"Xuất nội bộ từ téc",DATA_GOC!$B:$B,AF$167))</f>
        <v/>
      </c>
      <c r="AG171" s="128" t="str">
        <f>IF(AG$167="","",SUMIFS(DATA_GOC!$H:$H,DATA_GOC!$A:$A,"BOM",DATA_GOC!$D:$D,$B171,DATA_GOC!$E:$E,$F$159,DATA_GOC!$F:$F,"Xuất nội bộ từ téc",DATA_GOC!$B:$B,AG$167))</f>
        <v/>
      </c>
      <c r="AH171" s="129">
        <f>IF($B171="","",SUMIFS(DATA_GOC!$H:$H,DATA_GOC!$A:$A,"BOM",DATA_GOC!$D:$D,$B171,DATA_GOC!$E:$E,$F$159,DATA_GOC!$F:$F,"Xuất nội bộ từ téc",DATA_GOC!$B:$B,"&gt;="&amp;$H$159,DATA_GOC!$B:$B,"&lt;="&amp;$J$159))</f>
        <v>0</v>
      </c>
      <c r="AI171" s="130">
        <f t="shared" si="16"/>
        <v>0</v>
      </c>
      <c r="AJ171" s="129">
        <f t="shared" si="17"/>
        <v>0</v>
      </c>
      <c r="AK171" s="129">
        <f t="shared" si="18"/>
        <v>0</v>
      </c>
      <c r="AL171" s="129">
        <f t="shared" si="19"/>
        <v>0</v>
      </c>
    </row>
    <row r="172" ht="21.75" hidden="1" customHeight="1">
      <c r="A172" s="126">
        <f t="shared" si="15"/>
        <v>5</v>
      </c>
      <c r="B172" s="127" t="str">
        <f t="array" ref="B172">IFERROR(IF(INDEX(DANH_MUC!$E:$E,8)="","",INDEX(DANH_MUC!$E:$E,8)),"")</f>
        <v>28C01406</v>
      </c>
      <c r="C172" s="128">
        <f>IF(C$167="","",SUMIFS(DATA_GOC!$H:$H,DATA_GOC!$A:$A,"BOM",DATA_GOC!$D:$D,$B172,DATA_GOC!$E:$E,$F$159,DATA_GOC!$F:$F,"Xuất nội bộ từ téc",DATA_GOC!$B:$B,C$167))</f>
        <v>0</v>
      </c>
      <c r="D172" s="128">
        <f>IF(D$167="","",SUMIFS(DATA_GOC!$H:$H,DATA_GOC!$A:$A,"BOM",DATA_GOC!$D:$D,$B172,DATA_GOC!$E:$E,$F$159,DATA_GOC!$F:$F,"Xuất nội bộ từ téc",DATA_GOC!$B:$B,D$167))</f>
        <v>0</v>
      </c>
      <c r="E172" s="128">
        <f>IF(E$167="","",SUMIFS(DATA_GOC!$H:$H,DATA_GOC!$A:$A,"BOM",DATA_GOC!$D:$D,$B172,DATA_GOC!$E:$E,$F$159,DATA_GOC!$F:$F,"Xuất nội bộ từ téc",DATA_GOC!$B:$B,E$167))</f>
        <v>0</v>
      </c>
      <c r="F172" s="128">
        <f>IF(F$167="","",SUMIFS(DATA_GOC!$H:$H,DATA_GOC!$A:$A,"BOM",DATA_GOC!$D:$D,$B172,DATA_GOC!$E:$E,$F$159,DATA_GOC!$F:$F,"Xuất nội bộ từ téc",DATA_GOC!$B:$B,F$167))</f>
        <v>0</v>
      </c>
      <c r="G172" s="128">
        <f>IF(G$167="","",SUMIFS(DATA_GOC!$H:$H,DATA_GOC!$A:$A,"BOM",DATA_GOC!$D:$D,$B172,DATA_GOC!$E:$E,$F$159,DATA_GOC!$F:$F,"Xuất nội bộ từ téc",DATA_GOC!$B:$B,G$167))</f>
        <v>0</v>
      </c>
      <c r="H172" s="128">
        <f>IF(H$167="","",SUMIFS(DATA_GOC!$H:$H,DATA_GOC!$A:$A,"BOM",DATA_GOC!$D:$D,$B172,DATA_GOC!$E:$E,$F$159,DATA_GOC!$F:$F,"Xuất nội bộ từ téc",DATA_GOC!$B:$B,H$167))</f>
        <v>0</v>
      </c>
      <c r="I172" s="128">
        <f>IF(I$167="","",SUMIFS(DATA_GOC!$H:$H,DATA_GOC!$A:$A,"BOM",DATA_GOC!$D:$D,$B172,DATA_GOC!$E:$E,$F$159,DATA_GOC!$F:$F,"Xuất nội bộ từ téc",DATA_GOC!$B:$B,I$167))</f>
        <v>0</v>
      </c>
      <c r="J172" s="128">
        <f>IF(J$167="","",SUMIFS(DATA_GOC!$H:$H,DATA_GOC!$A:$A,"BOM",DATA_GOC!$D:$D,$B172,DATA_GOC!$E:$E,$F$159,DATA_GOC!$F:$F,"Xuất nội bộ từ téc",DATA_GOC!$B:$B,J$167))</f>
        <v>0</v>
      </c>
      <c r="K172" s="128">
        <f>IF(K$167="","",SUMIFS(DATA_GOC!$H:$H,DATA_GOC!$A:$A,"BOM",DATA_GOC!$D:$D,$B172,DATA_GOC!$E:$E,$F$159,DATA_GOC!$F:$F,"Xuất nội bộ từ téc",DATA_GOC!$B:$B,K$167))</f>
        <v>0</v>
      </c>
      <c r="L172" s="128">
        <f>IF(L$167="","",SUMIFS(DATA_GOC!$H:$H,DATA_GOC!$A:$A,"BOM",DATA_GOC!$D:$D,$B172,DATA_GOC!$E:$E,$F$159,DATA_GOC!$F:$F,"Xuất nội bộ từ téc",DATA_GOC!$B:$B,L$167))</f>
        <v>0</v>
      </c>
      <c r="M172" s="128">
        <f>IF(M$167="","",SUMIFS(DATA_GOC!$H:$H,DATA_GOC!$A:$A,"BOM",DATA_GOC!$D:$D,$B172,DATA_GOC!$E:$E,$F$159,DATA_GOC!$F:$F,"Xuất nội bộ từ téc",DATA_GOC!$B:$B,M$167))</f>
        <v>0</v>
      </c>
      <c r="N172" s="128">
        <f>IF(N$167="","",SUMIFS(DATA_GOC!$H:$H,DATA_GOC!$A:$A,"BOM",DATA_GOC!$D:$D,$B172,DATA_GOC!$E:$E,$F$159,DATA_GOC!$F:$F,"Xuất nội bộ từ téc",DATA_GOC!$B:$B,N$167))</f>
        <v>0</v>
      </c>
      <c r="O172" s="128">
        <f>IF(O$167="","",SUMIFS(DATA_GOC!$H:$H,DATA_GOC!$A:$A,"BOM",DATA_GOC!$D:$D,$B172,DATA_GOC!$E:$E,$F$159,DATA_GOC!$F:$F,"Xuất nội bộ từ téc",DATA_GOC!$B:$B,O$167))</f>
        <v>0</v>
      </c>
      <c r="P172" s="128">
        <f>IF(P$167="","",SUMIFS(DATA_GOC!$H:$H,DATA_GOC!$A:$A,"BOM",DATA_GOC!$D:$D,$B172,DATA_GOC!$E:$E,$F$159,DATA_GOC!$F:$F,"Xuất nội bộ từ téc",DATA_GOC!$B:$B,P$167))</f>
        <v>0</v>
      </c>
      <c r="Q172" s="128">
        <f>IF(Q$167="","",SUMIFS(DATA_GOC!$H:$H,DATA_GOC!$A:$A,"BOM",DATA_GOC!$D:$D,$B172,DATA_GOC!$E:$E,$F$159,DATA_GOC!$F:$F,"Xuất nội bộ từ téc",DATA_GOC!$B:$B,Q$167))</f>
        <v>0</v>
      </c>
      <c r="R172" s="128">
        <f>IF(R$167="","",SUMIFS(DATA_GOC!$H:$H,DATA_GOC!$A:$A,"BOM",DATA_GOC!$D:$D,$B172,DATA_GOC!$E:$E,$F$159,DATA_GOC!$F:$F,"Xuất nội bộ từ téc",DATA_GOC!$B:$B,R$167))</f>
        <v>0</v>
      </c>
      <c r="S172" s="128">
        <f>IF(S$167="","",SUMIFS(DATA_GOC!$H:$H,DATA_GOC!$A:$A,"BOM",DATA_GOC!$D:$D,$B172,DATA_GOC!$E:$E,$F$159,DATA_GOC!$F:$F,"Xuất nội bộ từ téc",DATA_GOC!$B:$B,S$167))</f>
        <v>370</v>
      </c>
      <c r="T172" s="128">
        <f>IF(T$167="","",SUMIFS(DATA_GOC!$H:$H,DATA_GOC!$A:$A,"BOM",DATA_GOC!$D:$D,$B172,DATA_GOC!$E:$E,$F$159,DATA_GOC!$F:$F,"Xuất nội bộ từ téc",DATA_GOC!$B:$B,T$167))</f>
        <v>0</v>
      </c>
      <c r="U172" s="128">
        <f>IF(U$167="","",SUMIFS(DATA_GOC!$H:$H,DATA_GOC!$A:$A,"BOM",DATA_GOC!$D:$D,$B172,DATA_GOC!$E:$E,$F$159,DATA_GOC!$F:$F,"Xuất nội bộ từ téc",DATA_GOC!$B:$B,U$167))</f>
        <v>0</v>
      </c>
      <c r="V172" s="128">
        <f>IF(V$167="","",SUMIFS(DATA_GOC!$H:$H,DATA_GOC!$A:$A,"BOM",DATA_GOC!$D:$D,$B172,DATA_GOC!$E:$E,$F$159,DATA_GOC!$F:$F,"Xuất nội bộ từ téc",DATA_GOC!$B:$B,V$167))</f>
        <v>0</v>
      </c>
      <c r="W172" s="128">
        <f>IF(W$167="","",SUMIFS(DATA_GOC!$H:$H,DATA_GOC!$A:$A,"BOM",DATA_GOC!$D:$D,$B172,DATA_GOC!$E:$E,$F$159,DATA_GOC!$F:$F,"Xuất nội bộ từ téc",DATA_GOC!$B:$B,W$167))</f>
        <v>0</v>
      </c>
      <c r="X172" s="128">
        <f>IF(X$167="","",SUMIFS(DATA_GOC!$H:$H,DATA_GOC!$A:$A,"BOM",DATA_GOC!$D:$D,$B172,DATA_GOC!$E:$E,$F$159,DATA_GOC!$F:$F,"Xuất nội bộ từ téc",DATA_GOC!$B:$B,X$167))</f>
        <v>0</v>
      </c>
      <c r="Y172" s="128" t="str">
        <f>IF(Y$167="","",SUMIFS(DATA_GOC!$H:$H,DATA_GOC!$A:$A,"BOM",DATA_GOC!$D:$D,$B172,DATA_GOC!$E:$E,$F$159,DATA_GOC!$F:$F,"Xuất nội bộ từ téc",DATA_GOC!$B:$B,Y$167))</f>
        <v/>
      </c>
      <c r="Z172" s="128" t="str">
        <f>IF(Z$167="","",SUMIFS(DATA_GOC!$H:$H,DATA_GOC!$A:$A,"BOM",DATA_GOC!$D:$D,$B172,DATA_GOC!$E:$E,$F$159,DATA_GOC!$F:$F,"Xuất nội bộ từ téc",DATA_GOC!$B:$B,Z$167))</f>
        <v/>
      </c>
      <c r="AA172" s="128" t="str">
        <f>IF(AA$167="","",SUMIFS(DATA_GOC!$H:$H,DATA_GOC!$A:$A,"BOM",DATA_GOC!$D:$D,$B172,DATA_GOC!$E:$E,$F$159,DATA_GOC!$F:$F,"Xuất nội bộ từ téc",DATA_GOC!$B:$B,AA$167))</f>
        <v/>
      </c>
      <c r="AB172" s="128" t="str">
        <f>IF(AB$167="","",SUMIFS(DATA_GOC!$H:$H,DATA_GOC!$A:$A,"BOM",DATA_GOC!$D:$D,$B172,DATA_GOC!$E:$E,$F$159,DATA_GOC!$F:$F,"Xuất nội bộ từ téc",DATA_GOC!$B:$B,AB$167))</f>
        <v/>
      </c>
      <c r="AC172" s="128" t="str">
        <f>IF(AC$167="","",SUMIFS(DATA_GOC!$H:$H,DATA_GOC!$A:$A,"BOM",DATA_GOC!$D:$D,$B172,DATA_GOC!$E:$E,$F$159,DATA_GOC!$F:$F,"Xuất nội bộ từ téc",DATA_GOC!$B:$B,AC$167))</f>
        <v/>
      </c>
      <c r="AD172" s="128" t="str">
        <f>IF(AD$167="","",SUMIFS(DATA_GOC!$H:$H,DATA_GOC!$A:$A,"BOM",DATA_GOC!$D:$D,$B172,DATA_GOC!$E:$E,$F$159,DATA_GOC!$F:$F,"Xuất nội bộ từ téc",DATA_GOC!$B:$B,AD$167))</f>
        <v/>
      </c>
      <c r="AE172" s="128" t="str">
        <f>IF(AE$167="","",SUMIFS(DATA_GOC!$H:$H,DATA_GOC!$A:$A,"BOM",DATA_GOC!$D:$D,$B172,DATA_GOC!$E:$E,$F$159,DATA_GOC!$F:$F,"Xuất nội bộ từ téc",DATA_GOC!$B:$B,AE$167))</f>
        <v/>
      </c>
      <c r="AF172" s="128" t="str">
        <f>IF(AF$167="","",SUMIFS(DATA_GOC!$H:$H,DATA_GOC!$A:$A,"BOM",DATA_GOC!$D:$D,$B172,DATA_GOC!$E:$E,$F$159,DATA_GOC!$F:$F,"Xuất nội bộ từ téc",DATA_GOC!$B:$B,AF$167))</f>
        <v/>
      </c>
      <c r="AG172" s="128" t="str">
        <f>IF(AG$167="","",SUMIFS(DATA_GOC!$H:$H,DATA_GOC!$A:$A,"BOM",DATA_GOC!$D:$D,$B172,DATA_GOC!$E:$E,$F$159,DATA_GOC!$F:$F,"Xuất nội bộ từ téc",DATA_GOC!$B:$B,AG$167))</f>
        <v/>
      </c>
      <c r="AH172" s="129">
        <f>IF($B172="","",SUMIFS(DATA_GOC!$H:$H,DATA_GOC!$A:$A,"BOM",DATA_GOC!$D:$D,$B172,DATA_GOC!$E:$E,$F$159,DATA_GOC!$F:$F,"Xuất nội bộ từ téc",DATA_GOC!$B:$B,"&gt;="&amp;$H$159,DATA_GOC!$B:$B,"&lt;="&amp;$J$159))</f>
        <v>370</v>
      </c>
      <c r="AI172" s="130">
        <f t="shared" si="16"/>
        <v>0.02683298281</v>
      </c>
      <c r="AJ172" s="129">
        <f t="shared" si="17"/>
        <v>9.955</v>
      </c>
      <c r="AK172" s="129">
        <f t="shared" si="18"/>
        <v>0</v>
      </c>
      <c r="AL172" s="129">
        <f t="shared" si="19"/>
        <v>379.955</v>
      </c>
    </row>
    <row r="173" ht="21.75" hidden="1" customHeight="1">
      <c r="A173" s="126">
        <f t="shared" si="15"/>
        <v>6</v>
      </c>
      <c r="B173" s="127" t="str">
        <f t="array" ref="B173">IFERROR(IF(INDEX(DANH_MUC!$E:$E,9)="","",INDEX(DANH_MUC!$E:$E,9)),"")</f>
        <v>28C01544</v>
      </c>
      <c r="C173" s="128">
        <f>IF(C$167="","",SUMIFS(DATA_GOC!$H:$H,DATA_GOC!$A:$A,"BOM",DATA_GOC!$D:$D,$B173,DATA_GOC!$E:$E,$F$159,DATA_GOC!$F:$F,"Xuất nội bộ từ téc",DATA_GOC!$B:$B,C$167))</f>
        <v>0</v>
      </c>
      <c r="D173" s="128">
        <f>IF(D$167="","",SUMIFS(DATA_GOC!$H:$H,DATA_GOC!$A:$A,"BOM",DATA_GOC!$D:$D,$B173,DATA_GOC!$E:$E,$F$159,DATA_GOC!$F:$F,"Xuất nội bộ từ téc",DATA_GOC!$B:$B,D$167))</f>
        <v>0</v>
      </c>
      <c r="E173" s="128">
        <f>IF(E$167="","",SUMIFS(DATA_GOC!$H:$H,DATA_GOC!$A:$A,"BOM",DATA_GOC!$D:$D,$B173,DATA_GOC!$E:$E,$F$159,DATA_GOC!$F:$F,"Xuất nội bộ từ téc",DATA_GOC!$B:$B,E$167))</f>
        <v>0</v>
      </c>
      <c r="F173" s="128">
        <f>IF(F$167="","",SUMIFS(DATA_GOC!$H:$H,DATA_GOC!$A:$A,"BOM",DATA_GOC!$D:$D,$B173,DATA_GOC!$E:$E,$F$159,DATA_GOC!$F:$F,"Xuất nội bộ từ téc",DATA_GOC!$B:$B,F$167))</f>
        <v>0</v>
      </c>
      <c r="G173" s="128">
        <f>IF(G$167="","",SUMIFS(DATA_GOC!$H:$H,DATA_GOC!$A:$A,"BOM",DATA_GOC!$D:$D,$B173,DATA_GOC!$E:$E,$F$159,DATA_GOC!$F:$F,"Xuất nội bộ từ téc",DATA_GOC!$B:$B,G$167))</f>
        <v>0</v>
      </c>
      <c r="H173" s="128">
        <f>IF(H$167="","",SUMIFS(DATA_GOC!$H:$H,DATA_GOC!$A:$A,"BOM",DATA_GOC!$D:$D,$B173,DATA_GOC!$E:$E,$F$159,DATA_GOC!$F:$F,"Xuất nội bộ từ téc",DATA_GOC!$B:$B,H$167))</f>
        <v>0</v>
      </c>
      <c r="I173" s="128">
        <f>IF(I$167="","",SUMIFS(DATA_GOC!$H:$H,DATA_GOC!$A:$A,"BOM",DATA_GOC!$D:$D,$B173,DATA_GOC!$E:$E,$F$159,DATA_GOC!$F:$F,"Xuất nội bộ từ téc",DATA_GOC!$B:$B,I$167))</f>
        <v>0</v>
      </c>
      <c r="J173" s="128">
        <f>IF(J$167="","",SUMIFS(DATA_GOC!$H:$H,DATA_GOC!$A:$A,"BOM",DATA_GOC!$D:$D,$B173,DATA_GOC!$E:$E,$F$159,DATA_GOC!$F:$F,"Xuất nội bộ từ téc",DATA_GOC!$B:$B,J$167))</f>
        <v>0</v>
      </c>
      <c r="K173" s="128">
        <f>IF(K$167="","",SUMIFS(DATA_GOC!$H:$H,DATA_GOC!$A:$A,"BOM",DATA_GOC!$D:$D,$B173,DATA_GOC!$E:$E,$F$159,DATA_GOC!$F:$F,"Xuất nội bộ từ téc",DATA_GOC!$B:$B,K$167))</f>
        <v>0</v>
      </c>
      <c r="L173" s="128">
        <f>IF(L$167="","",SUMIFS(DATA_GOC!$H:$H,DATA_GOC!$A:$A,"BOM",DATA_GOC!$D:$D,$B173,DATA_GOC!$E:$E,$F$159,DATA_GOC!$F:$F,"Xuất nội bộ từ téc",DATA_GOC!$B:$B,L$167))</f>
        <v>0</v>
      </c>
      <c r="M173" s="128">
        <f>IF(M$167="","",SUMIFS(DATA_GOC!$H:$H,DATA_GOC!$A:$A,"BOM",DATA_GOC!$D:$D,$B173,DATA_GOC!$E:$E,$F$159,DATA_GOC!$F:$F,"Xuất nội bộ từ téc",DATA_GOC!$B:$B,M$167))</f>
        <v>46</v>
      </c>
      <c r="N173" s="128">
        <f>IF(N$167="","",SUMIFS(DATA_GOC!$H:$H,DATA_GOC!$A:$A,"BOM",DATA_GOC!$D:$D,$B173,DATA_GOC!$E:$E,$F$159,DATA_GOC!$F:$F,"Xuất nội bộ từ téc",DATA_GOC!$B:$B,N$167))</f>
        <v>0</v>
      </c>
      <c r="O173" s="128">
        <f>IF(O$167="","",SUMIFS(DATA_GOC!$H:$H,DATA_GOC!$A:$A,"BOM",DATA_GOC!$D:$D,$B173,DATA_GOC!$E:$E,$F$159,DATA_GOC!$F:$F,"Xuất nội bộ từ téc",DATA_GOC!$B:$B,O$167))</f>
        <v>0</v>
      </c>
      <c r="P173" s="128">
        <f>IF(P$167="","",SUMIFS(DATA_GOC!$H:$H,DATA_GOC!$A:$A,"BOM",DATA_GOC!$D:$D,$B173,DATA_GOC!$E:$E,$F$159,DATA_GOC!$F:$F,"Xuất nội bộ từ téc",DATA_GOC!$B:$B,P$167))</f>
        <v>0</v>
      </c>
      <c r="Q173" s="128">
        <f>IF(Q$167="","",SUMIFS(DATA_GOC!$H:$H,DATA_GOC!$A:$A,"BOM",DATA_GOC!$D:$D,$B173,DATA_GOC!$E:$E,$F$159,DATA_GOC!$F:$F,"Xuất nội bộ từ téc",DATA_GOC!$B:$B,Q$167))</f>
        <v>0</v>
      </c>
      <c r="R173" s="128">
        <f>IF(R$167="","",SUMIFS(DATA_GOC!$H:$H,DATA_GOC!$A:$A,"BOM",DATA_GOC!$D:$D,$B173,DATA_GOC!$E:$E,$F$159,DATA_GOC!$F:$F,"Xuất nội bộ từ téc",DATA_GOC!$B:$B,R$167))</f>
        <v>0</v>
      </c>
      <c r="S173" s="128">
        <f>IF(S$167="","",SUMIFS(DATA_GOC!$H:$H,DATA_GOC!$A:$A,"BOM",DATA_GOC!$D:$D,$B173,DATA_GOC!$E:$E,$F$159,DATA_GOC!$F:$F,"Xuất nội bộ từ téc",DATA_GOC!$B:$B,S$167))</f>
        <v>0</v>
      </c>
      <c r="T173" s="128">
        <f>IF(T$167="","",SUMIFS(DATA_GOC!$H:$H,DATA_GOC!$A:$A,"BOM",DATA_GOC!$D:$D,$B173,DATA_GOC!$E:$E,$F$159,DATA_GOC!$F:$F,"Xuất nội bộ từ téc",DATA_GOC!$B:$B,T$167))</f>
        <v>0</v>
      </c>
      <c r="U173" s="128">
        <f>IF(U$167="","",SUMIFS(DATA_GOC!$H:$H,DATA_GOC!$A:$A,"BOM",DATA_GOC!$D:$D,$B173,DATA_GOC!$E:$E,$F$159,DATA_GOC!$F:$F,"Xuất nội bộ từ téc",DATA_GOC!$B:$B,U$167))</f>
        <v>0</v>
      </c>
      <c r="V173" s="128">
        <f>IF(V$167="","",SUMIFS(DATA_GOC!$H:$H,DATA_GOC!$A:$A,"BOM",DATA_GOC!$D:$D,$B173,DATA_GOC!$E:$E,$F$159,DATA_GOC!$F:$F,"Xuất nội bộ từ téc",DATA_GOC!$B:$B,V$167))</f>
        <v>0</v>
      </c>
      <c r="W173" s="128">
        <f>IF(W$167="","",SUMIFS(DATA_GOC!$H:$H,DATA_GOC!$A:$A,"BOM",DATA_GOC!$D:$D,$B173,DATA_GOC!$E:$E,$F$159,DATA_GOC!$F:$F,"Xuất nội bộ từ téc",DATA_GOC!$B:$B,W$167))</f>
        <v>0</v>
      </c>
      <c r="X173" s="128">
        <f>IF(X$167="","",SUMIFS(DATA_GOC!$H:$H,DATA_GOC!$A:$A,"BOM",DATA_GOC!$D:$D,$B173,DATA_GOC!$E:$E,$F$159,DATA_GOC!$F:$F,"Xuất nội bộ từ téc",DATA_GOC!$B:$B,X$167))</f>
        <v>0</v>
      </c>
      <c r="Y173" s="128" t="str">
        <f>IF(Y$167="","",SUMIFS(DATA_GOC!$H:$H,DATA_GOC!$A:$A,"BOM",DATA_GOC!$D:$D,$B173,DATA_GOC!$E:$E,$F$159,DATA_GOC!$F:$F,"Xuất nội bộ từ téc",DATA_GOC!$B:$B,Y$167))</f>
        <v/>
      </c>
      <c r="Z173" s="128" t="str">
        <f>IF(Z$167="","",SUMIFS(DATA_GOC!$H:$H,DATA_GOC!$A:$A,"BOM",DATA_GOC!$D:$D,$B173,DATA_GOC!$E:$E,$F$159,DATA_GOC!$F:$F,"Xuất nội bộ từ téc",DATA_GOC!$B:$B,Z$167))</f>
        <v/>
      </c>
      <c r="AA173" s="128" t="str">
        <f>IF(AA$167="","",SUMIFS(DATA_GOC!$H:$H,DATA_GOC!$A:$A,"BOM",DATA_GOC!$D:$D,$B173,DATA_GOC!$E:$E,$F$159,DATA_GOC!$F:$F,"Xuất nội bộ từ téc",DATA_GOC!$B:$B,AA$167))</f>
        <v/>
      </c>
      <c r="AB173" s="128" t="str">
        <f>IF(AB$167="","",SUMIFS(DATA_GOC!$H:$H,DATA_GOC!$A:$A,"BOM",DATA_GOC!$D:$D,$B173,DATA_GOC!$E:$E,$F$159,DATA_GOC!$F:$F,"Xuất nội bộ từ téc",DATA_GOC!$B:$B,AB$167))</f>
        <v/>
      </c>
      <c r="AC173" s="128" t="str">
        <f>IF(AC$167="","",SUMIFS(DATA_GOC!$H:$H,DATA_GOC!$A:$A,"BOM",DATA_GOC!$D:$D,$B173,DATA_GOC!$E:$E,$F$159,DATA_GOC!$F:$F,"Xuất nội bộ từ téc",DATA_GOC!$B:$B,AC$167))</f>
        <v/>
      </c>
      <c r="AD173" s="128" t="str">
        <f>IF(AD$167="","",SUMIFS(DATA_GOC!$H:$H,DATA_GOC!$A:$A,"BOM",DATA_GOC!$D:$D,$B173,DATA_GOC!$E:$E,$F$159,DATA_GOC!$F:$F,"Xuất nội bộ từ téc",DATA_GOC!$B:$B,AD$167))</f>
        <v/>
      </c>
      <c r="AE173" s="128" t="str">
        <f>IF(AE$167="","",SUMIFS(DATA_GOC!$H:$H,DATA_GOC!$A:$A,"BOM",DATA_GOC!$D:$D,$B173,DATA_GOC!$E:$E,$F$159,DATA_GOC!$F:$F,"Xuất nội bộ từ téc",DATA_GOC!$B:$B,AE$167))</f>
        <v/>
      </c>
      <c r="AF173" s="128" t="str">
        <f>IF(AF$167="","",SUMIFS(DATA_GOC!$H:$H,DATA_GOC!$A:$A,"BOM",DATA_GOC!$D:$D,$B173,DATA_GOC!$E:$E,$F$159,DATA_GOC!$F:$F,"Xuất nội bộ từ téc",DATA_GOC!$B:$B,AF$167))</f>
        <v/>
      </c>
      <c r="AG173" s="128" t="str">
        <f>IF(AG$167="","",SUMIFS(DATA_GOC!$H:$H,DATA_GOC!$A:$A,"BOM",DATA_GOC!$D:$D,$B173,DATA_GOC!$E:$E,$F$159,DATA_GOC!$F:$F,"Xuất nội bộ từ téc",DATA_GOC!$B:$B,AG$167))</f>
        <v/>
      </c>
      <c r="AH173" s="129">
        <f>IF($B173="","",SUMIFS(DATA_GOC!$H:$H,DATA_GOC!$A:$A,"BOM",DATA_GOC!$D:$D,$B173,DATA_GOC!$E:$E,$F$159,DATA_GOC!$F:$F,"Xuất nội bộ từ téc",DATA_GOC!$B:$B,"&gt;="&amp;$H$159,DATA_GOC!$B:$B,"&lt;="&amp;$J$159))</f>
        <v>46</v>
      </c>
      <c r="AI173" s="130">
        <f t="shared" si="16"/>
        <v>0.003335992458</v>
      </c>
      <c r="AJ173" s="129">
        <f t="shared" si="17"/>
        <v>1.238</v>
      </c>
      <c r="AK173" s="129">
        <f t="shared" si="18"/>
        <v>0</v>
      </c>
      <c r="AL173" s="129">
        <f t="shared" si="19"/>
        <v>47.238</v>
      </c>
    </row>
    <row r="174" ht="21.75" hidden="1" customHeight="1">
      <c r="A174" s="126">
        <f t="shared" si="15"/>
        <v>7</v>
      </c>
      <c r="B174" s="127" t="str">
        <f t="array" ref="B174">IFERROR(IF(INDEX(DANH_MUC!$E:$E,10)="","",INDEX(DANH_MUC!$E:$E,10)),"")</f>
        <v>28C01622</v>
      </c>
      <c r="C174" s="128">
        <f>IF(C$167="","",SUMIFS(DATA_GOC!$H:$H,DATA_GOC!$A:$A,"BOM",DATA_GOC!$D:$D,$B174,DATA_GOC!$E:$E,$F$159,DATA_GOC!$F:$F,"Xuất nội bộ từ téc",DATA_GOC!$B:$B,C$167))</f>
        <v>0</v>
      </c>
      <c r="D174" s="128">
        <f>IF(D$167="","",SUMIFS(DATA_GOC!$H:$H,DATA_GOC!$A:$A,"BOM",DATA_GOC!$D:$D,$B174,DATA_GOC!$E:$E,$F$159,DATA_GOC!$F:$F,"Xuất nội bộ từ téc",DATA_GOC!$B:$B,D$167))</f>
        <v>0</v>
      </c>
      <c r="E174" s="128">
        <f>IF(E$167="","",SUMIFS(DATA_GOC!$H:$H,DATA_GOC!$A:$A,"BOM",DATA_GOC!$D:$D,$B174,DATA_GOC!$E:$E,$F$159,DATA_GOC!$F:$F,"Xuất nội bộ từ téc",DATA_GOC!$B:$B,E$167))</f>
        <v>0</v>
      </c>
      <c r="F174" s="128">
        <f>IF(F$167="","",SUMIFS(DATA_GOC!$H:$H,DATA_GOC!$A:$A,"BOM",DATA_GOC!$D:$D,$B174,DATA_GOC!$E:$E,$F$159,DATA_GOC!$F:$F,"Xuất nội bộ từ téc",DATA_GOC!$B:$B,F$167))</f>
        <v>0</v>
      </c>
      <c r="G174" s="128">
        <f>IF(G$167="","",SUMIFS(DATA_GOC!$H:$H,DATA_GOC!$A:$A,"BOM",DATA_GOC!$D:$D,$B174,DATA_GOC!$E:$E,$F$159,DATA_GOC!$F:$F,"Xuất nội bộ từ téc",DATA_GOC!$B:$B,G$167))</f>
        <v>0</v>
      </c>
      <c r="H174" s="128">
        <f>IF(H$167="","",SUMIFS(DATA_GOC!$H:$H,DATA_GOC!$A:$A,"BOM",DATA_GOC!$D:$D,$B174,DATA_GOC!$E:$E,$F$159,DATA_GOC!$F:$F,"Xuất nội bộ từ téc",DATA_GOC!$B:$B,H$167))</f>
        <v>0</v>
      </c>
      <c r="I174" s="128">
        <f>IF(I$167="","",SUMIFS(DATA_GOC!$H:$H,DATA_GOC!$A:$A,"BOM",DATA_GOC!$D:$D,$B174,DATA_GOC!$E:$E,$F$159,DATA_GOC!$F:$F,"Xuất nội bộ từ téc",DATA_GOC!$B:$B,I$167))</f>
        <v>0</v>
      </c>
      <c r="J174" s="128">
        <f>IF(J$167="","",SUMIFS(DATA_GOC!$H:$H,DATA_GOC!$A:$A,"BOM",DATA_GOC!$D:$D,$B174,DATA_GOC!$E:$E,$F$159,DATA_GOC!$F:$F,"Xuất nội bộ từ téc",DATA_GOC!$B:$B,J$167))</f>
        <v>0</v>
      </c>
      <c r="K174" s="128">
        <f>IF(K$167="","",SUMIFS(DATA_GOC!$H:$H,DATA_GOC!$A:$A,"BOM",DATA_GOC!$D:$D,$B174,DATA_GOC!$E:$E,$F$159,DATA_GOC!$F:$F,"Xuất nội bộ từ téc",DATA_GOC!$B:$B,K$167))</f>
        <v>0</v>
      </c>
      <c r="L174" s="128">
        <f>IF(L$167="","",SUMIFS(DATA_GOC!$H:$H,DATA_GOC!$A:$A,"BOM",DATA_GOC!$D:$D,$B174,DATA_GOC!$E:$E,$F$159,DATA_GOC!$F:$F,"Xuất nội bộ từ téc",DATA_GOC!$B:$B,L$167))</f>
        <v>0</v>
      </c>
      <c r="M174" s="128">
        <f>IF(M$167="","",SUMIFS(DATA_GOC!$H:$H,DATA_GOC!$A:$A,"BOM",DATA_GOC!$D:$D,$B174,DATA_GOC!$E:$E,$F$159,DATA_GOC!$F:$F,"Xuất nội bộ từ téc",DATA_GOC!$B:$B,M$167))</f>
        <v>0</v>
      </c>
      <c r="N174" s="128">
        <f>IF(N$167="","",SUMIFS(DATA_GOC!$H:$H,DATA_GOC!$A:$A,"BOM",DATA_GOC!$D:$D,$B174,DATA_GOC!$E:$E,$F$159,DATA_GOC!$F:$F,"Xuất nội bộ từ téc",DATA_GOC!$B:$B,N$167))</f>
        <v>0</v>
      </c>
      <c r="O174" s="128">
        <f>IF(O$167="","",SUMIFS(DATA_GOC!$H:$H,DATA_GOC!$A:$A,"BOM",DATA_GOC!$D:$D,$B174,DATA_GOC!$E:$E,$F$159,DATA_GOC!$F:$F,"Xuất nội bộ từ téc",DATA_GOC!$B:$B,O$167))</f>
        <v>0</v>
      </c>
      <c r="P174" s="128">
        <f>IF(P$167="","",SUMIFS(DATA_GOC!$H:$H,DATA_GOC!$A:$A,"BOM",DATA_GOC!$D:$D,$B174,DATA_GOC!$E:$E,$F$159,DATA_GOC!$F:$F,"Xuất nội bộ từ téc",DATA_GOC!$B:$B,P$167))</f>
        <v>0</v>
      </c>
      <c r="Q174" s="128">
        <f>IF(Q$167="","",SUMIFS(DATA_GOC!$H:$H,DATA_GOC!$A:$A,"BOM",DATA_GOC!$D:$D,$B174,DATA_GOC!$E:$E,$F$159,DATA_GOC!$F:$F,"Xuất nội bộ từ téc",DATA_GOC!$B:$B,Q$167))</f>
        <v>0</v>
      </c>
      <c r="R174" s="128">
        <f>IF(R$167="","",SUMIFS(DATA_GOC!$H:$H,DATA_GOC!$A:$A,"BOM",DATA_GOC!$D:$D,$B174,DATA_GOC!$E:$E,$F$159,DATA_GOC!$F:$F,"Xuất nội bộ từ téc",DATA_GOC!$B:$B,R$167))</f>
        <v>430</v>
      </c>
      <c r="S174" s="128">
        <f>IF(S$167="","",SUMIFS(DATA_GOC!$H:$H,DATA_GOC!$A:$A,"BOM",DATA_GOC!$D:$D,$B174,DATA_GOC!$E:$E,$F$159,DATA_GOC!$F:$F,"Xuất nội bộ từ téc",DATA_GOC!$B:$B,S$167))</f>
        <v>0</v>
      </c>
      <c r="T174" s="128">
        <f>IF(T$167="","",SUMIFS(DATA_GOC!$H:$H,DATA_GOC!$A:$A,"BOM",DATA_GOC!$D:$D,$B174,DATA_GOC!$E:$E,$F$159,DATA_GOC!$F:$F,"Xuất nội bộ từ téc",DATA_GOC!$B:$B,T$167))</f>
        <v>0</v>
      </c>
      <c r="U174" s="128">
        <f>IF(U$167="","",SUMIFS(DATA_GOC!$H:$H,DATA_GOC!$A:$A,"BOM",DATA_GOC!$D:$D,$B174,DATA_GOC!$E:$E,$F$159,DATA_GOC!$F:$F,"Xuất nội bộ từ téc",DATA_GOC!$B:$B,U$167))</f>
        <v>310</v>
      </c>
      <c r="V174" s="128">
        <f>IF(V$167="","",SUMIFS(DATA_GOC!$H:$H,DATA_GOC!$A:$A,"BOM",DATA_GOC!$D:$D,$B174,DATA_GOC!$E:$E,$F$159,DATA_GOC!$F:$F,"Xuất nội bộ từ téc",DATA_GOC!$B:$B,V$167))</f>
        <v>0</v>
      </c>
      <c r="W174" s="128">
        <f>IF(W$167="","",SUMIFS(DATA_GOC!$H:$H,DATA_GOC!$A:$A,"BOM",DATA_GOC!$D:$D,$B174,DATA_GOC!$E:$E,$F$159,DATA_GOC!$F:$F,"Xuất nội bộ từ téc",DATA_GOC!$B:$B,W$167))</f>
        <v>0</v>
      </c>
      <c r="X174" s="128">
        <f>IF(X$167="","",SUMIFS(DATA_GOC!$H:$H,DATA_GOC!$A:$A,"BOM",DATA_GOC!$D:$D,$B174,DATA_GOC!$E:$E,$F$159,DATA_GOC!$F:$F,"Xuất nội bộ từ téc",DATA_GOC!$B:$B,X$167))</f>
        <v>0</v>
      </c>
      <c r="Y174" s="128" t="str">
        <f>IF(Y$167="","",SUMIFS(DATA_GOC!$H:$H,DATA_GOC!$A:$A,"BOM",DATA_GOC!$D:$D,$B174,DATA_GOC!$E:$E,$F$159,DATA_GOC!$F:$F,"Xuất nội bộ từ téc",DATA_GOC!$B:$B,Y$167))</f>
        <v/>
      </c>
      <c r="Z174" s="128" t="str">
        <f>IF(Z$167="","",SUMIFS(DATA_GOC!$H:$H,DATA_GOC!$A:$A,"BOM",DATA_GOC!$D:$D,$B174,DATA_GOC!$E:$E,$F$159,DATA_GOC!$F:$F,"Xuất nội bộ từ téc",DATA_GOC!$B:$B,Z$167))</f>
        <v/>
      </c>
      <c r="AA174" s="128" t="str">
        <f>IF(AA$167="","",SUMIFS(DATA_GOC!$H:$H,DATA_GOC!$A:$A,"BOM",DATA_GOC!$D:$D,$B174,DATA_GOC!$E:$E,$F$159,DATA_GOC!$F:$F,"Xuất nội bộ từ téc",DATA_GOC!$B:$B,AA$167))</f>
        <v/>
      </c>
      <c r="AB174" s="128" t="str">
        <f>IF(AB$167="","",SUMIFS(DATA_GOC!$H:$H,DATA_GOC!$A:$A,"BOM",DATA_GOC!$D:$D,$B174,DATA_GOC!$E:$E,$F$159,DATA_GOC!$F:$F,"Xuất nội bộ từ téc",DATA_GOC!$B:$B,AB$167))</f>
        <v/>
      </c>
      <c r="AC174" s="128" t="str">
        <f>IF(AC$167="","",SUMIFS(DATA_GOC!$H:$H,DATA_GOC!$A:$A,"BOM",DATA_GOC!$D:$D,$B174,DATA_GOC!$E:$E,$F$159,DATA_GOC!$F:$F,"Xuất nội bộ từ téc",DATA_GOC!$B:$B,AC$167))</f>
        <v/>
      </c>
      <c r="AD174" s="128" t="str">
        <f>IF(AD$167="","",SUMIFS(DATA_GOC!$H:$H,DATA_GOC!$A:$A,"BOM",DATA_GOC!$D:$D,$B174,DATA_GOC!$E:$E,$F$159,DATA_GOC!$F:$F,"Xuất nội bộ từ téc",DATA_GOC!$B:$B,AD$167))</f>
        <v/>
      </c>
      <c r="AE174" s="128" t="str">
        <f>IF(AE$167="","",SUMIFS(DATA_GOC!$H:$H,DATA_GOC!$A:$A,"BOM",DATA_GOC!$D:$D,$B174,DATA_GOC!$E:$E,$F$159,DATA_GOC!$F:$F,"Xuất nội bộ từ téc",DATA_GOC!$B:$B,AE$167))</f>
        <v/>
      </c>
      <c r="AF174" s="128" t="str">
        <f>IF(AF$167="","",SUMIFS(DATA_GOC!$H:$H,DATA_GOC!$A:$A,"BOM",DATA_GOC!$D:$D,$B174,DATA_GOC!$E:$E,$F$159,DATA_GOC!$F:$F,"Xuất nội bộ từ téc",DATA_GOC!$B:$B,AF$167))</f>
        <v/>
      </c>
      <c r="AG174" s="128" t="str">
        <f>IF(AG$167="","",SUMIFS(DATA_GOC!$H:$H,DATA_GOC!$A:$A,"BOM",DATA_GOC!$D:$D,$B174,DATA_GOC!$E:$E,$F$159,DATA_GOC!$F:$F,"Xuất nội bộ từ téc",DATA_GOC!$B:$B,AG$167))</f>
        <v/>
      </c>
      <c r="AH174" s="129">
        <f>IF($B174="","",SUMIFS(DATA_GOC!$H:$H,DATA_GOC!$A:$A,"BOM",DATA_GOC!$D:$D,$B174,DATA_GOC!$E:$E,$F$159,DATA_GOC!$F:$F,"Xuất nội bộ từ téc",DATA_GOC!$B:$B,"&gt;="&amp;$H$159,DATA_GOC!$B:$B,"&lt;="&amp;$J$159))</f>
        <v>740</v>
      </c>
      <c r="AI174" s="130">
        <f t="shared" si="16"/>
        <v>0.05366596562</v>
      </c>
      <c r="AJ174" s="129">
        <f t="shared" si="17"/>
        <v>19.91</v>
      </c>
      <c r="AK174" s="129">
        <f t="shared" si="18"/>
        <v>0</v>
      </c>
      <c r="AL174" s="129">
        <f t="shared" si="19"/>
        <v>759.91</v>
      </c>
    </row>
    <row r="175" ht="21.75" hidden="1" customHeight="1">
      <c r="A175" s="126">
        <f t="shared" si="15"/>
        <v>8</v>
      </c>
      <c r="B175" s="127" t="str">
        <f t="array" ref="B175">IFERROR(IF(INDEX(DANH_MUC!$E:$E,11)="","",INDEX(DANH_MUC!$E:$E,11)),"")</f>
        <v>28C01647</v>
      </c>
      <c r="C175" s="128">
        <f>IF(C$167="","",SUMIFS(DATA_GOC!$H:$H,DATA_GOC!$A:$A,"BOM",DATA_GOC!$D:$D,$B175,DATA_GOC!$E:$E,$F$159,DATA_GOC!$F:$F,"Xuất nội bộ từ téc",DATA_GOC!$B:$B,C$167))</f>
        <v>0</v>
      </c>
      <c r="D175" s="128">
        <f>IF(D$167="","",SUMIFS(DATA_GOC!$H:$H,DATA_GOC!$A:$A,"BOM",DATA_GOC!$D:$D,$B175,DATA_GOC!$E:$E,$F$159,DATA_GOC!$F:$F,"Xuất nội bộ từ téc",DATA_GOC!$B:$B,D$167))</f>
        <v>0</v>
      </c>
      <c r="E175" s="128">
        <f>IF(E$167="","",SUMIFS(DATA_GOC!$H:$H,DATA_GOC!$A:$A,"BOM",DATA_GOC!$D:$D,$B175,DATA_GOC!$E:$E,$F$159,DATA_GOC!$F:$F,"Xuất nội bộ từ téc",DATA_GOC!$B:$B,E$167))</f>
        <v>0</v>
      </c>
      <c r="F175" s="128">
        <f>IF(F$167="","",SUMIFS(DATA_GOC!$H:$H,DATA_GOC!$A:$A,"BOM",DATA_GOC!$D:$D,$B175,DATA_GOC!$E:$E,$F$159,DATA_GOC!$F:$F,"Xuất nội bộ từ téc",DATA_GOC!$B:$B,F$167))</f>
        <v>0</v>
      </c>
      <c r="G175" s="128">
        <f>IF(G$167="","",SUMIFS(DATA_GOC!$H:$H,DATA_GOC!$A:$A,"BOM",DATA_GOC!$D:$D,$B175,DATA_GOC!$E:$E,$F$159,DATA_GOC!$F:$F,"Xuất nội bộ từ téc",DATA_GOC!$B:$B,G$167))</f>
        <v>0</v>
      </c>
      <c r="H175" s="128">
        <f>IF(H$167="","",SUMIFS(DATA_GOC!$H:$H,DATA_GOC!$A:$A,"BOM",DATA_GOC!$D:$D,$B175,DATA_GOC!$E:$E,$F$159,DATA_GOC!$F:$F,"Xuất nội bộ từ téc",DATA_GOC!$B:$B,H$167))</f>
        <v>0</v>
      </c>
      <c r="I175" s="128">
        <f>IF(I$167="","",SUMIFS(DATA_GOC!$H:$H,DATA_GOC!$A:$A,"BOM",DATA_GOC!$D:$D,$B175,DATA_GOC!$E:$E,$F$159,DATA_GOC!$F:$F,"Xuất nội bộ từ téc",DATA_GOC!$B:$B,I$167))</f>
        <v>0</v>
      </c>
      <c r="J175" s="128">
        <f>IF(J$167="","",SUMIFS(DATA_GOC!$H:$H,DATA_GOC!$A:$A,"BOM",DATA_GOC!$D:$D,$B175,DATA_GOC!$E:$E,$F$159,DATA_GOC!$F:$F,"Xuất nội bộ từ téc",DATA_GOC!$B:$B,J$167))</f>
        <v>0</v>
      </c>
      <c r="K175" s="128">
        <f>IF(K$167="","",SUMIFS(DATA_GOC!$H:$H,DATA_GOC!$A:$A,"BOM",DATA_GOC!$D:$D,$B175,DATA_GOC!$E:$E,$F$159,DATA_GOC!$F:$F,"Xuất nội bộ từ téc",DATA_GOC!$B:$B,K$167))</f>
        <v>0</v>
      </c>
      <c r="L175" s="128">
        <f>IF(L$167="","",SUMIFS(DATA_GOC!$H:$H,DATA_GOC!$A:$A,"BOM",DATA_GOC!$D:$D,$B175,DATA_GOC!$E:$E,$F$159,DATA_GOC!$F:$F,"Xuất nội bộ từ téc",DATA_GOC!$B:$B,L$167))</f>
        <v>0</v>
      </c>
      <c r="M175" s="128">
        <f>IF(M$167="","",SUMIFS(DATA_GOC!$H:$H,DATA_GOC!$A:$A,"BOM",DATA_GOC!$D:$D,$B175,DATA_GOC!$E:$E,$F$159,DATA_GOC!$F:$F,"Xuất nội bộ từ téc",DATA_GOC!$B:$B,M$167))</f>
        <v>0</v>
      </c>
      <c r="N175" s="128">
        <f>IF(N$167="","",SUMIFS(DATA_GOC!$H:$H,DATA_GOC!$A:$A,"BOM",DATA_GOC!$D:$D,$B175,DATA_GOC!$E:$E,$F$159,DATA_GOC!$F:$F,"Xuất nội bộ từ téc",DATA_GOC!$B:$B,N$167))</f>
        <v>0</v>
      </c>
      <c r="O175" s="128">
        <f>IF(O$167="","",SUMIFS(DATA_GOC!$H:$H,DATA_GOC!$A:$A,"BOM",DATA_GOC!$D:$D,$B175,DATA_GOC!$E:$E,$F$159,DATA_GOC!$F:$F,"Xuất nội bộ từ téc",DATA_GOC!$B:$B,O$167))</f>
        <v>0</v>
      </c>
      <c r="P175" s="128">
        <f>IF(P$167="","",SUMIFS(DATA_GOC!$H:$H,DATA_GOC!$A:$A,"BOM",DATA_GOC!$D:$D,$B175,DATA_GOC!$E:$E,$F$159,DATA_GOC!$F:$F,"Xuất nội bộ từ téc",DATA_GOC!$B:$B,P$167))</f>
        <v>0</v>
      </c>
      <c r="Q175" s="128">
        <f>IF(Q$167="","",SUMIFS(DATA_GOC!$H:$H,DATA_GOC!$A:$A,"BOM",DATA_GOC!$D:$D,$B175,DATA_GOC!$E:$E,$F$159,DATA_GOC!$F:$F,"Xuất nội bộ từ téc",DATA_GOC!$B:$B,Q$167))</f>
        <v>0</v>
      </c>
      <c r="R175" s="128">
        <f>IF(R$167="","",SUMIFS(DATA_GOC!$H:$H,DATA_GOC!$A:$A,"BOM",DATA_GOC!$D:$D,$B175,DATA_GOC!$E:$E,$F$159,DATA_GOC!$F:$F,"Xuất nội bộ từ téc",DATA_GOC!$B:$B,R$167))</f>
        <v>0</v>
      </c>
      <c r="S175" s="128">
        <f>IF(S$167="","",SUMIFS(DATA_GOC!$H:$H,DATA_GOC!$A:$A,"BOM",DATA_GOC!$D:$D,$B175,DATA_GOC!$E:$E,$F$159,DATA_GOC!$F:$F,"Xuất nội bộ từ téc",DATA_GOC!$B:$B,S$167))</f>
        <v>444</v>
      </c>
      <c r="T175" s="128">
        <f>IF(T$167="","",SUMIFS(DATA_GOC!$H:$H,DATA_GOC!$A:$A,"BOM",DATA_GOC!$D:$D,$B175,DATA_GOC!$E:$E,$F$159,DATA_GOC!$F:$F,"Xuất nội bộ từ téc",DATA_GOC!$B:$B,T$167))</f>
        <v>0</v>
      </c>
      <c r="U175" s="128">
        <f>IF(U$167="","",SUMIFS(DATA_GOC!$H:$H,DATA_GOC!$A:$A,"BOM",DATA_GOC!$D:$D,$B175,DATA_GOC!$E:$E,$F$159,DATA_GOC!$F:$F,"Xuất nội bộ từ téc",DATA_GOC!$B:$B,U$167))</f>
        <v>0</v>
      </c>
      <c r="V175" s="128">
        <f>IF(V$167="","",SUMIFS(DATA_GOC!$H:$H,DATA_GOC!$A:$A,"BOM",DATA_GOC!$D:$D,$B175,DATA_GOC!$E:$E,$F$159,DATA_GOC!$F:$F,"Xuất nội bộ từ téc",DATA_GOC!$B:$B,V$167))</f>
        <v>0</v>
      </c>
      <c r="W175" s="128">
        <f>IF(W$167="","",SUMIFS(DATA_GOC!$H:$H,DATA_GOC!$A:$A,"BOM",DATA_GOC!$D:$D,$B175,DATA_GOC!$E:$E,$F$159,DATA_GOC!$F:$F,"Xuất nội bộ từ téc",DATA_GOC!$B:$B,W$167))</f>
        <v>0</v>
      </c>
      <c r="X175" s="128">
        <f>IF(X$167="","",SUMIFS(DATA_GOC!$H:$H,DATA_GOC!$A:$A,"BOM",DATA_GOC!$D:$D,$B175,DATA_GOC!$E:$E,$F$159,DATA_GOC!$F:$F,"Xuất nội bộ từ téc",DATA_GOC!$B:$B,X$167))</f>
        <v>0</v>
      </c>
      <c r="Y175" s="128" t="str">
        <f>IF(Y$167="","",SUMIFS(DATA_GOC!$H:$H,DATA_GOC!$A:$A,"BOM",DATA_GOC!$D:$D,$B175,DATA_GOC!$E:$E,$F$159,DATA_GOC!$F:$F,"Xuất nội bộ từ téc",DATA_GOC!$B:$B,Y$167))</f>
        <v/>
      </c>
      <c r="Z175" s="128" t="str">
        <f>IF(Z$167="","",SUMIFS(DATA_GOC!$H:$H,DATA_GOC!$A:$A,"BOM",DATA_GOC!$D:$D,$B175,DATA_GOC!$E:$E,$F$159,DATA_GOC!$F:$F,"Xuất nội bộ từ téc",DATA_GOC!$B:$B,Z$167))</f>
        <v/>
      </c>
      <c r="AA175" s="128" t="str">
        <f>IF(AA$167="","",SUMIFS(DATA_GOC!$H:$H,DATA_GOC!$A:$A,"BOM",DATA_GOC!$D:$D,$B175,DATA_GOC!$E:$E,$F$159,DATA_GOC!$F:$F,"Xuất nội bộ từ téc",DATA_GOC!$B:$B,AA$167))</f>
        <v/>
      </c>
      <c r="AB175" s="128" t="str">
        <f>IF(AB$167="","",SUMIFS(DATA_GOC!$H:$H,DATA_GOC!$A:$A,"BOM",DATA_GOC!$D:$D,$B175,DATA_GOC!$E:$E,$F$159,DATA_GOC!$F:$F,"Xuất nội bộ từ téc",DATA_GOC!$B:$B,AB$167))</f>
        <v/>
      </c>
      <c r="AC175" s="128" t="str">
        <f>IF(AC$167="","",SUMIFS(DATA_GOC!$H:$H,DATA_GOC!$A:$A,"BOM",DATA_GOC!$D:$D,$B175,DATA_GOC!$E:$E,$F$159,DATA_GOC!$F:$F,"Xuất nội bộ từ téc",DATA_GOC!$B:$B,AC$167))</f>
        <v/>
      </c>
      <c r="AD175" s="128" t="str">
        <f>IF(AD$167="","",SUMIFS(DATA_GOC!$H:$H,DATA_GOC!$A:$A,"BOM",DATA_GOC!$D:$D,$B175,DATA_GOC!$E:$E,$F$159,DATA_GOC!$F:$F,"Xuất nội bộ từ téc",DATA_GOC!$B:$B,AD$167))</f>
        <v/>
      </c>
      <c r="AE175" s="128" t="str">
        <f>IF(AE$167="","",SUMIFS(DATA_GOC!$H:$H,DATA_GOC!$A:$A,"BOM",DATA_GOC!$D:$D,$B175,DATA_GOC!$E:$E,$F$159,DATA_GOC!$F:$F,"Xuất nội bộ từ téc",DATA_GOC!$B:$B,AE$167))</f>
        <v/>
      </c>
      <c r="AF175" s="128" t="str">
        <f>IF(AF$167="","",SUMIFS(DATA_GOC!$H:$H,DATA_GOC!$A:$A,"BOM",DATA_GOC!$D:$D,$B175,DATA_GOC!$E:$E,$F$159,DATA_GOC!$F:$F,"Xuất nội bộ từ téc",DATA_GOC!$B:$B,AF$167))</f>
        <v/>
      </c>
      <c r="AG175" s="128" t="str">
        <f>IF(AG$167="","",SUMIFS(DATA_GOC!$H:$H,DATA_GOC!$A:$A,"BOM",DATA_GOC!$D:$D,$B175,DATA_GOC!$E:$E,$F$159,DATA_GOC!$F:$F,"Xuất nội bộ từ téc",DATA_GOC!$B:$B,AG$167))</f>
        <v/>
      </c>
      <c r="AH175" s="129">
        <f>IF($B175="","",SUMIFS(DATA_GOC!$H:$H,DATA_GOC!$A:$A,"BOM",DATA_GOC!$D:$D,$B175,DATA_GOC!$E:$E,$F$159,DATA_GOC!$F:$F,"Xuất nội bộ từ téc",DATA_GOC!$B:$B,"&gt;="&amp;$H$159,DATA_GOC!$B:$B,"&lt;="&amp;$J$159))</f>
        <v>444</v>
      </c>
      <c r="AI175" s="130">
        <f t="shared" si="16"/>
        <v>0.03219957937</v>
      </c>
      <c r="AJ175" s="129">
        <f t="shared" si="17"/>
        <v>11.946</v>
      </c>
      <c r="AK175" s="129">
        <f t="shared" si="18"/>
        <v>0</v>
      </c>
      <c r="AL175" s="129">
        <f t="shared" si="19"/>
        <v>455.946</v>
      </c>
    </row>
    <row r="176" ht="21.75" hidden="1" customHeight="1">
      <c r="A176" s="126">
        <f t="shared" si="15"/>
        <v>9</v>
      </c>
      <c r="B176" s="127" t="str">
        <f t="array" ref="B176">IFERROR(IF(INDEX(DANH_MUC!$E:$E,12)="","",INDEX(DANH_MUC!$E:$E,12)),"")</f>
        <v>28C01731</v>
      </c>
      <c r="C176" s="128">
        <f>IF(C$167="","",SUMIFS(DATA_GOC!$H:$H,DATA_GOC!$A:$A,"BOM",DATA_GOC!$D:$D,$B176,DATA_GOC!$E:$E,$F$159,DATA_GOC!$F:$F,"Xuất nội bộ từ téc",DATA_GOC!$B:$B,C$167))</f>
        <v>0</v>
      </c>
      <c r="D176" s="128">
        <f>IF(D$167="","",SUMIFS(DATA_GOC!$H:$H,DATA_GOC!$A:$A,"BOM",DATA_GOC!$D:$D,$B176,DATA_GOC!$E:$E,$F$159,DATA_GOC!$F:$F,"Xuất nội bộ từ téc",DATA_GOC!$B:$B,D$167))</f>
        <v>0</v>
      </c>
      <c r="E176" s="128">
        <f>IF(E$167="","",SUMIFS(DATA_GOC!$H:$H,DATA_GOC!$A:$A,"BOM",DATA_GOC!$D:$D,$B176,DATA_GOC!$E:$E,$F$159,DATA_GOC!$F:$F,"Xuất nội bộ từ téc",DATA_GOC!$B:$B,E$167))</f>
        <v>0</v>
      </c>
      <c r="F176" s="128">
        <f>IF(F$167="","",SUMIFS(DATA_GOC!$H:$H,DATA_GOC!$A:$A,"BOM",DATA_GOC!$D:$D,$B176,DATA_GOC!$E:$E,$F$159,DATA_GOC!$F:$F,"Xuất nội bộ từ téc",DATA_GOC!$B:$B,F$167))</f>
        <v>0</v>
      </c>
      <c r="G176" s="128">
        <f>IF(G$167="","",SUMIFS(DATA_GOC!$H:$H,DATA_GOC!$A:$A,"BOM",DATA_GOC!$D:$D,$B176,DATA_GOC!$E:$E,$F$159,DATA_GOC!$F:$F,"Xuất nội bộ từ téc",DATA_GOC!$B:$B,G$167))</f>
        <v>0</v>
      </c>
      <c r="H176" s="128">
        <f>IF(H$167="","",SUMIFS(DATA_GOC!$H:$H,DATA_GOC!$A:$A,"BOM",DATA_GOC!$D:$D,$B176,DATA_GOC!$E:$E,$F$159,DATA_GOC!$F:$F,"Xuất nội bộ từ téc",DATA_GOC!$B:$B,H$167))</f>
        <v>0</v>
      </c>
      <c r="I176" s="128">
        <f>IF(I$167="","",SUMIFS(DATA_GOC!$H:$H,DATA_GOC!$A:$A,"BOM",DATA_GOC!$D:$D,$B176,DATA_GOC!$E:$E,$F$159,DATA_GOC!$F:$F,"Xuất nội bộ từ téc",DATA_GOC!$B:$B,I$167))</f>
        <v>0</v>
      </c>
      <c r="J176" s="128">
        <f>IF(J$167="","",SUMIFS(DATA_GOC!$H:$H,DATA_GOC!$A:$A,"BOM",DATA_GOC!$D:$D,$B176,DATA_GOC!$E:$E,$F$159,DATA_GOC!$F:$F,"Xuất nội bộ từ téc",DATA_GOC!$B:$B,J$167))</f>
        <v>0</v>
      </c>
      <c r="K176" s="128">
        <f>IF(K$167="","",SUMIFS(DATA_GOC!$H:$H,DATA_GOC!$A:$A,"BOM",DATA_GOC!$D:$D,$B176,DATA_GOC!$E:$E,$F$159,DATA_GOC!$F:$F,"Xuất nội bộ từ téc",DATA_GOC!$B:$B,K$167))</f>
        <v>0</v>
      </c>
      <c r="L176" s="128">
        <f>IF(L$167="","",SUMIFS(DATA_GOC!$H:$H,DATA_GOC!$A:$A,"BOM",DATA_GOC!$D:$D,$B176,DATA_GOC!$E:$E,$F$159,DATA_GOC!$F:$F,"Xuất nội bộ từ téc",DATA_GOC!$B:$B,L$167))</f>
        <v>0</v>
      </c>
      <c r="M176" s="128">
        <f>IF(M$167="","",SUMIFS(DATA_GOC!$H:$H,DATA_GOC!$A:$A,"BOM",DATA_GOC!$D:$D,$B176,DATA_GOC!$E:$E,$F$159,DATA_GOC!$F:$F,"Xuất nội bộ từ téc",DATA_GOC!$B:$B,M$167))</f>
        <v>120</v>
      </c>
      <c r="N176" s="128">
        <f>IF(N$167="","",SUMIFS(DATA_GOC!$H:$H,DATA_GOC!$A:$A,"BOM",DATA_GOC!$D:$D,$B176,DATA_GOC!$E:$E,$F$159,DATA_GOC!$F:$F,"Xuất nội bộ từ téc",DATA_GOC!$B:$B,N$167))</f>
        <v>0</v>
      </c>
      <c r="O176" s="128">
        <f>IF(O$167="","",SUMIFS(DATA_GOC!$H:$H,DATA_GOC!$A:$A,"BOM",DATA_GOC!$D:$D,$B176,DATA_GOC!$E:$E,$F$159,DATA_GOC!$F:$F,"Xuất nội bộ từ téc",DATA_GOC!$B:$B,O$167))</f>
        <v>0</v>
      </c>
      <c r="P176" s="128">
        <f>IF(P$167="","",SUMIFS(DATA_GOC!$H:$H,DATA_GOC!$A:$A,"BOM",DATA_GOC!$D:$D,$B176,DATA_GOC!$E:$E,$F$159,DATA_GOC!$F:$F,"Xuất nội bộ từ téc",DATA_GOC!$B:$B,P$167))</f>
        <v>0</v>
      </c>
      <c r="Q176" s="128">
        <f>IF(Q$167="","",SUMIFS(DATA_GOC!$H:$H,DATA_GOC!$A:$A,"BOM",DATA_GOC!$D:$D,$B176,DATA_GOC!$E:$E,$F$159,DATA_GOC!$F:$F,"Xuất nội bộ từ téc",DATA_GOC!$B:$B,Q$167))</f>
        <v>0</v>
      </c>
      <c r="R176" s="128">
        <f>IF(R$167="","",SUMIFS(DATA_GOC!$H:$H,DATA_GOC!$A:$A,"BOM",DATA_GOC!$D:$D,$B176,DATA_GOC!$E:$E,$F$159,DATA_GOC!$F:$F,"Xuất nội bộ từ téc",DATA_GOC!$B:$B,R$167))</f>
        <v>0</v>
      </c>
      <c r="S176" s="128">
        <f>IF(S$167="","",SUMIFS(DATA_GOC!$H:$H,DATA_GOC!$A:$A,"BOM",DATA_GOC!$D:$D,$B176,DATA_GOC!$E:$E,$F$159,DATA_GOC!$F:$F,"Xuất nội bộ từ téc",DATA_GOC!$B:$B,S$167))</f>
        <v>0</v>
      </c>
      <c r="T176" s="128">
        <f>IF(T$167="","",SUMIFS(DATA_GOC!$H:$H,DATA_GOC!$A:$A,"BOM",DATA_GOC!$D:$D,$B176,DATA_GOC!$E:$E,$F$159,DATA_GOC!$F:$F,"Xuất nội bộ từ téc",DATA_GOC!$B:$B,T$167))</f>
        <v>127</v>
      </c>
      <c r="U176" s="128">
        <f>IF(U$167="","",SUMIFS(DATA_GOC!$H:$H,DATA_GOC!$A:$A,"BOM",DATA_GOC!$D:$D,$B176,DATA_GOC!$E:$E,$F$159,DATA_GOC!$F:$F,"Xuất nội bộ từ téc",DATA_GOC!$B:$B,U$167))</f>
        <v>0</v>
      </c>
      <c r="V176" s="128">
        <f>IF(V$167="","",SUMIFS(DATA_GOC!$H:$H,DATA_GOC!$A:$A,"BOM",DATA_GOC!$D:$D,$B176,DATA_GOC!$E:$E,$F$159,DATA_GOC!$F:$F,"Xuất nội bộ từ téc",DATA_GOC!$B:$B,V$167))</f>
        <v>0</v>
      </c>
      <c r="W176" s="128">
        <f>IF(W$167="","",SUMIFS(DATA_GOC!$H:$H,DATA_GOC!$A:$A,"BOM",DATA_GOC!$D:$D,$B176,DATA_GOC!$E:$E,$F$159,DATA_GOC!$F:$F,"Xuất nội bộ từ téc",DATA_GOC!$B:$B,W$167))</f>
        <v>0</v>
      </c>
      <c r="X176" s="128">
        <f>IF(X$167="","",SUMIFS(DATA_GOC!$H:$H,DATA_GOC!$A:$A,"BOM",DATA_GOC!$D:$D,$B176,DATA_GOC!$E:$E,$F$159,DATA_GOC!$F:$F,"Xuất nội bộ từ téc",DATA_GOC!$B:$B,X$167))</f>
        <v>0</v>
      </c>
      <c r="Y176" s="128" t="str">
        <f>IF(Y$167="","",SUMIFS(DATA_GOC!$H:$H,DATA_GOC!$A:$A,"BOM",DATA_GOC!$D:$D,$B176,DATA_GOC!$E:$E,$F$159,DATA_GOC!$F:$F,"Xuất nội bộ từ téc",DATA_GOC!$B:$B,Y$167))</f>
        <v/>
      </c>
      <c r="Z176" s="128" t="str">
        <f>IF(Z$167="","",SUMIFS(DATA_GOC!$H:$H,DATA_GOC!$A:$A,"BOM",DATA_GOC!$D:$D,$B176,DATA_GOC!$E:$E,$F$159,DATA_GOC!$F:$F,"Xuất nội bộ từ téc",DATA_GOC!$B:$B,Z$167))</f>
        <v/>
      </c>
      <c r="AA176" s="128" t="str">
        <f>IF(AA$167="","",SUMIFS(DATA_GOC!$H:$H,DATA_GOC!$A:$A,"BOM",DATA_GOC!$D:$D,$B176,DATA_GOC!$E:$E,$F$159,DATA_GOC!$F:$F,"Xuất nội bộ từ téc",DATA_GOC!$B:$B,AA$167))</f>
        <v/>
      </c>
      <c r="AB176" s="128" t="str">
        <f>IF(AB$167="","",SUMIFS(DATA_GOC!$H:$H,DATA_GOC!$A:$A,"BOM",DATA_GOC!$D:$D,$B176,DATA_GOC!$E:$E,$F$159,DATA_GOC!$F:$F,"Xuất nội bộ từ téc",DATA_GOC!$B:$B,AB$167))</f>
        <v/>
      </c>
      <c r="AC176" s="128" t="str">
        <f>IF(AC$167="","",SUMIFS(DATA_GOC!$H:$H,DATA_GOC!$A:$A,"BOM",DATA_GOC!$D:$D,$B176,DATA_GOC!$E:$E,$F$159,DATA_GOC!$F:$F,"Xuất nội bộ từ téc",DATA_GOC!$B:$B,AC$167))</f>
        <v/>
      </c>
      <c r="AD176" s="128" t="str">
        <f>IF(AD$167="","",SUMIFS(DATA_GOC!$H:$H,DATA_GOC!$A:$A,"BOM",DATA_GOC!$D:$D,$B176,DATA_GOC!$E:$E,$F$159,DATA_GOC!$F:$F,"Xuất nội bộ từ téc",DATA_GOC!$B:$B,AD$167))</f>
        <v/>
      </c>
      <c r="AE176" s="128" t="str">
        <f>IF(AE$167="","",SUMIFS(DATA_GOC!$H:$H,DATA_GOC!$A:$A,"BOM",DATA_GOC!$D:$D,$B176,DATA_GOC!$E:$E,$F$159,DATA_GOC!$F:$F,"Xuất nội bộ từ téc",DATA_GOC!$B:$B,AE$167))</f>
        <v/>
      </c>
      <c r="AF176" s="128" t="str">
        <f>IF(AF$167="","",SUMIFS(DATA_GOC!$H:$H,DATA_GOC!$A:$A,"BOM",DATA_GOC!$D:$D,$B176,DATA_GOC!$E:$E,$F$159,DATA_GOC!$F:$F,"Xuất nội bộ từ téc",DATA_GOC!$B:$B,AF$167))</f>
        <v/>
      </c>
      <c r="AG176" s="128" t="str">
        <f>IF(AG$167="","",SUMIFS(DATA_GOC!$H:$H,DATA_GOC!$A:$A,"BOM",DATA_GOC!$D:$D,$B176,DATA_GOC!$E:$E,$F$159,DATA_GOC!$F:$F,"Xuất nội bộ từ téc",DATA_GOC!$B:$B,AG$167))</f>
        <v/>
      </c>
      <c r="AH176" s="129">
        <f>IF($B176="","",SUMIFS(DATA_GOC!$H:$H,DATA_GOC!$A:$A,"BOM",DATA_GOC!$D:$D,$B176,DATA_GOC!$E:$E,$F$159,DATA_GOC!$F:$F,"Xuất nội bộ từ téc",DATA_GOC!$B:$B,"&gt;="&amp;$H$159,DATA_GOC!$B:$B,"&lt;="&amp;$J$159))</f>
        <v>247</v>
      </c>
      <c r="AI176" s="130">
        <f t="shared" si="16"/>
        <v>0.01791282907</v>
      </c>
      <c r="AJ176" s="129">
        <f t="shared" si="17"/>
        <v>6.646</v>
      </c>
      <c r="AK176" s="129">
        <f t="shared" si="18"/>
        <v>0</v>
      </c>
      <c r="AL176" s="129">
        <f t="shared" si="19"/>
        <v>253.646</v>
      </c>
    </row>
    <row r="177" ht="21.75" hidden="1" customHeight="1">
      <c r="A177" s="126">
        <f t="shared" si="15"/>
        <v>10</v>
      </c>
      <c r="B177" s="127" t="str">
        <f t="array" ref="B177">IFERROR(IF(INDEX(DANH_MUC!$E:$E,13)="","",INDEX(DANH_MUC!$E:$E,13)),"")</f>
        <v>28C01743</v>
      </c>
      <c r="C177" s="128">
        <f>IF(C$167="","",SUMIFS(DATA_GOC!$H:$H,DATA_GOC!$A:$A,"BOM",DATA_GOC!$D:$D,$B177,DATA_GOC!$E:$E,$F$159,DATA_GOC!$F:$F,"Xuất nội bộ từ téc",DATA_GOC!$B:$B,C$167))</f>
        <v>0</v>
      </c>
      <c r="D177" s="128">
        <f>IF(D$167="","",SUMIFS(DATA_GOC!$H:$H,DATA_GOC!$A:$A,"BOM",DATA_GOC!$D:$D,$B177,DATA_GOC!$E:$E,$F$159,DATA_GOC!$F:$F,"Xuất nội bộ từ téc",DATA_GOC!$B:$B,D$167))</f>
        <v>0</v>
      </c>
      <c r="E177" s="128">
        <f>IF(E$167="","",SUMIFS(DATA_GOC!$H:$H,DATA_GOC!$A:$A,"BOM",DATA_GOC!$D:$D,$B177,DATA_GOC!$E:$E,$F$159,DATA_GOC!$F:$F,"Xuất nội bộ từ téc",DATA_GOC!$B:$B,E$167))</f>
        <v>0</v>
      </c>
      <c r="F177" s="128">
        <f>IF(F$167="","",SUMIFS(DATA_GOC!$H:$H,DATA_GOC!$A:$A,"BOM",DATA_GOC!$D:$D,$B177,DATA_GOC!$E:$E,$F$159,DATA_GOC!$F:$F,"Xuất nội bộ từ téc",DATA_GOC!$B:$B,F$167))</f>
        <v>0</v>
      </c>
      <c r="G177" s="128">
        <f>IF(G$167="","",SUMIFS(DATA_GOC!$H:$H,DATA_GOC!$A:$A,"BOM",DATA_GOC!$D:$D,$B177,DATA_GOC!$E:$E,$F$159,DATA_GOC!$F:$F,"Xuất nội bộ từ téc",DATA_GOC!$B:$B,G$167))</f>
        <v>0</v>
      </c>
      <c r="H177" s="128">
        <f>IF(H$167="","",SUMIFS(DATA_GOC!$H:$H,DATA_GOC!$A:$A,"BOM",DATA_GOC!$D:$D,$B177,DATA_GOC!$E:$E,$F$159,DATA_GOC!$F:$F,"Xuất nội bộ từ téc",DATA_GOC!$B:$B,H$167))</f>
        <v>0</v>
      </c>
      <c r="I177" s="128">
        <f>IF(I$167="","",SUMIFS(DATA_GOC!$H:$H,DATA_GOC!$A:$A,"BOM",DATA_GOC!$D:$D,$B177,DATA_GOC!$E:$E,$F$159,DATA_GOC!$F:$F,"Xuất nội bộ từ téc",DATA_GOC!$B:$B,I$167))</f>
        <v>0</v>
      </c>
      <c r="J177" s="128">
        <f>IF(J$167="","",SUMIFS(DATA_GOC!$H:$H,DATA_GOC!$A:$A,"BOM",DATA_GOC!$D:$D,$B177,DATA_GOC!$E:$E,$F$159,DATA_GOC!$F:$F,"Xuất nội bộ từ téc",DATA_GOC!$B:$B,J$167))</f>
        <v>0</v>
      </c>
      <c r="K177" s="128">
        <f>IF(K$167="","",SUMIFS(DATA_GOC!$H:$H,DATA_GOC!$A:$A,"BOM",DATA_GOC!$D:$D,$B177,DATA_GOC!$E:$E,$F$159,DATA_GOC!$F:$F,"Xuất nội bộ từ téc",DATA_GOC!$B:$B,K$167))</f>
        <v>0</v>
      </c>
      <c r="L177" s="128">
        <f>IF(L$167="","",SUMIFS(DATA_GOC!$H:$H,DATA_GOC!$A:$A,"BOM",DATA_GOC!$D:$D,$B177,DATA_GOC!$E:$E,$F$159,DATA_GOC!$F:$F,"Xuất nội bộ từ téc",DATA_GOC!$B:$B,L$167))</f>
        <v>0</v>
      </c>
      <c r="M177" s="128">
        <f>IF(M$167="","",SUMIFS(DATA_GOC!$H:$H,DATA_GOC!$A:$A,"BOM",DATA_GOC!$D:$D,$B177,DATA_GOC!$E:$E,$F$159,DATA_GOC!$F:$F,"Xuất nội bộ từ téc",DATA_GOC!$B:$B,M$167))</f>
        <v>0</v>
      </c>
      <c r="N177" s="128">
        <f>IF(N$167="","",SUMIFS(DATA_GOC!$H:$H,DATA_GOC!$A:$A,"BOM",DATA_GOC!$D:$D,$B177,DATA_GOC!$E:$E,$F$159,DATA_GOC!$F:$F,"Xuất nội bộ từ téc",DATA_GOC!$B:$B,N$167))</f>
        <v>0</v>
      </c>
      <c r="O177" s="128">
        <f>IF(O$167="","",SUMIFS(DATA_GOC!$H:$H,DATA_GOC!$A:$A,"BOM",DATA_GOC!$D:$D,$B177,DATA_GOC!$E:$E,$F$159,DATA_GOC!$F:$F,"Xuất nội bộ từ téc",DATA_GOC!$B:$B,O$167))</f>
        <v>0</v>
      </c>
      <c r="P177" s="128">
        <f>IF(P$167="","",SUMIFS(DATA_GOC!$H:$H,DATA_GOC!$A:$A,"BOM",DATA_GOC!$D:$D,$B177,DATA_GOC!$E:$E,$F$159,DATA_GOC!$F:$F,"Xuất nội bộ từ téc",DATA_GOC!$B:$B,P$167))</f>
        <v>0</v>
      </c>
      <c r="Q177" s="128">
        <f>IF(Q$167="","",SUMIFS(DATA_GOC!$H:$H,DATA_GOC!$A:$A,"BOM",DATA_GOC!$D:$D,$B177,DATA_GOC!$E:$E,$F$159,DATA_GOC!$F:$F,"Xuất nội bộ từ téc",DATA_GOC!$B:$B,Q$167))</f>
        <v>0</v>
      </c>
      <c r="R177" s="128">
        <f>IF(R$167="","",SUMIFS(DATA_GOC!$H:$H,DATA_GOC!$A:$A,"BOM",DATA_GOC!$D:$D,$B177,DATA_GOC!$E:$E,$F$159,DATA_GOC!$F:$F,"Xuất nội bộ từ téc",DATA_GOC!$B:$B,R$167))</f>
        <v>0</v>
      </c>
      <c r="S177" s="128">
        <f>IF(S$167="","",SUMIFS(DATA_GOC!$H:$H,DATA_GOC!$A:$A,"BOM",DATA_GOC!$D:$D,$B177,DATA_GOC!$E:$E,$F$159,DATA_GOC!$F:$F,"Xuất nội bộ từ téc",DATA_GOC!$B:$B,S$167))</f>
        <v>0</v>
      </c>
      <c r="T177" s="128">
        <f>IF(T$167="","",SUMIFS(DATA_GOC!$H:$H,DATA_GOC!$A:$A,"BOM",DATA_GOC!$D:$D,$B177,DATA_GOC!$E:$E,$F$159,DATA_GOC!$F:$F,"Xuất nội bộ từ téc",DATA_GOC!$B:$B,T$167))</f>
        <v>0</v>
      </c>
      <c r="U177" s="128">
        <f>IF(U$167="","",SUMIFS(DATA_GOC!$H:$H,DATA_GOC!$A:$A,"BOM",DATA_GOC!$D:$D,$B177,DATA_GOC!$E:$E,$F$159,DATA_GOC!$F:$F,"Xuất nội bộ từ téc",DATA_GOC!$B:$B,U$167))</f>
        <v>0</v>
      </c>
      <c r="V177" s="128">
        <f>IF(V$167="","",SUMIFS(DATA_GOC!$H:$H,DATA_GOC!$A:$A,"BOM",DATA_GOC!$D:$D,$B177,DATA_GOC!$E:$E,$F$159,DATA_GOC!$F:$F,"Xuất nội bộ từ téc",DATA_GOC!$B:$B,V$167))</f>
        <v>0</v>
      </c>
      <c r="W177" s="128">
        <f>IF(W$167="","",SUMIFS(DATA_GOC!$H:$H,DATA_GOC!$A:$A,"BOM",DATA_GOC!$D:$D,$B177,DATA_GOC!$E:$E,$F$159,DATA_GOC!$F:$F,"Xuất nội bộ từ téc",DATA_GOC!$B:$B,W$167))</f>
        <v>0</v>
      </c>
      <c r="X177" s="128">
        <f>IF(X$167="","",SUMIFS(DATA_GOC!$H:$H,DATA_GOC!$A:$A,"BOM",DATA_GOC!$D:$D,$B177,DATA_GOC!$E:$E,$F$159,DATA_GOC!$F:$F,"Xuất nội bộ từ téc",DATA_GOC!$B:$B,X$167))</f>
        <v>0</v>
      </c>
      <c r="Y177" s="128" t="str">
        <f>IF(Y$167="","",SUMIFS(DATA_GOC!$H:$H,DATA_GOC!$A:$A,"BOM",DATA_GOC!$D:$D,$B177,DATA_GOC!$E:$E,$F$159,DATA_GOC!$F:$F,"Xuất nội bộ từ téc",DATA_GOC!$B:$B,Y$167))</f>
        <v/>
      </c>
      <c r="Z177" s="128" t="str">
        <f>IF(Z$167="","",SUMIFS(DATA_GOC!$H:$H,DATA_GOC!$A:$A,"BOM",DATA_GOC!$D:$D,$B177,DATA_GOC!$E:$E,$F$159,DATA_GOC!$F:$F,"Xuất nội bộ từ téc",DATA_GOC!$B:$B,Z$167))</f>
        <v/>
      </c>
      <c r="AA177" s="128" t="str">
        <f>IF(AA$167="","",SUMIFS(DATA_GOC!$H:$H,DATA_GOC!$A:$A,"BOM",DATA_GOC!$D:$D,$B177,DATA_GOC!$E:$E,$F$159,DATA_GOC!$F:$F,"Xuất nội bộ từ téc",DATA_GOC!$B:$B,AA$167))</f>
        <v/>
      </c>
      <c r="AB177" s="128" t="str">
        <f>IF(AB$167="","",SUMIFS(DATA_GOC!$H:$H,DATA_GOC!$A:$A,"BOM",DATA_GOC!$D:$D,$B177,DATA_GOC!$E:$E,$F$159,DATA_GOC!$F:$F,"Xuất nội bộ từ téc",DATA_GOC!$B:$B,AB$167))</f>
        <v/>
      </c>
      <c r="AC177" s="128" t="str">
        <f>IF(AC$167="","",SUMIFS(DATA_GOC!$H:$H,DATA_GOC!$A:$A,"BOM",DATA_GOC!$D:$D,$B177,DATA_GOC!$E:$E,$F$159,DATA_GOC!$F:$F,"Xuất nội bộ từ téc",DATA_GOC!$B:$B,AC$167))</f>
        <v/>
      </c>
      <c r="AD177" s="128" t="str">
        <f>IF(AD$167="","",SUMIFS(DATA_GOC!$H:$H,DATA_GOC!$A:$A,"BOM",DATA_GOC!$D:$D,$B177,DATA_GOC!$E:$E,$F$159,DATA_GOC!$F:$F,"Xuất nội bộ từ téc",DATA_GOC!$B:$B,AD$167))</f>
        <v/>
      </c>
      <c r="AE177" s="128" t="str">
        <f>IF(AE$167="","",SUMIFS(DATA_GOC!$H:$H,DATA_GOC!$A:$A,"BOM",DATA_GOC!$D:$D,$B177,DATA_GOC!$E:$E,$F$159,DATA_GOC!$F:$F,"Xuất nội bộ từ téc",DATA_GOC!$B:$B,AE$167))</f>
        <v/>
      </c>
      <c r="AF177" s="128" t="str">
        <f>IF(AF$167="","",SUMIFS(DATA_GOC!$H:$H,DATA_GOC!$A:$A,"BOM",DATA_GOC!$D:$D,$B177,DATA_GOC!$E:$E,$F$159,DATA_GOC!$F:$F,"Xuất nội bộ từ téc",DATA_GOC!$B:$B,AF$167))</f>
        <v/>
      </c>
      <c r="AG177" s="128" t="str">
        <f>IF(AG$167="","",SUMIFS(DATA_GOC!$H:$H,DATA_GOC!$A:$A,"BOM",DATA_GOC!$D:$D,$B177,DATA_GOC!$E:$E,$F$159,DATA_GOC!$F:$F,"Xuất nội bộ từ téc",DATA_GOC!$B:$B,AG$167))</f>
        <v/>
      </c>
      <c r="AH177" s="129">
        <f>IF($B177="","",SUMIFS(DATA_GOC!$H:$H,DATA_GOC!$A:$A,"BOM",DATA_GOC!$D:$D,$B177,DATA_GOC!$E:$E,$F$159,DATA_GOC!$F:$F,"Xuất nội bộ từ téc",DATA_GOC!$B:$B,"&gt;="&amp;$H$159,DATA_GOC!$B:$B,"&lt;="&amp;$J$159))</f>
        <v>0</v>
      </c>
      <c r="AI177" s="130">
        <f t="shared" si="16"/>
        <v>0</v>
      </c>
      <c r="AJ177" s="129">
        <f t="shared" si="17"/>
        <v>0</v>
      </c>
      <c r="AK177" s="129">
        <f t="shared" si="18"/>
        <v>0</v>
      </c>
      <c r="AL177" s="129">
        <f t="shared" si="19"/>
        <v>0</v>
      </c>
    </row>
    <row r="178" ht="21.75" hidden="1" customHeight="1">
      <c r="A178" s="126">
        <f t="shared" si="15"/>
        <v>11</v>
      </c>
      <c r="B178" s="127" t="str">
        <f t="array" ref="B178">IFERROR(IF(INDEX(DANH_MUC!$E:$E,14)="","",INDEX(DANH_MUC!$E:$E,14)),"")</f>
        <v>28C02106</v>
      </c>
      <c r="C178" s="128">
        <f>IF(C$167="","",SUMIFS(DATA_GOC!$H:$H,DATA_GOC!$A:$A,"BOM",DATA_GOC!$D:$D,$B178,DATA_GOC!$E:$E,$F$159,DATA_GOC!$F:$F,"Xuất nội bộ từ téc",DATA_GOC!$B:$B,C$167))</f>
        <v>0</v>
      </c>
      <c r="D178" s="128">
        <f>IF(D$167="","",SUMIFS(DATA_GOC!$H:$H,DATA_GOC!$A:$A,"BOM",DATA_GOC!$D:$D,$B178,DATA_GOC!$E:$E,$F$159,DATA_GOC!$F:$F,"Xuất nội bộ từ téc",DATA_GOC!$B:$B,D$167))</f>
        <v>0</v>
      </c>
      <c r="E178" s="128">
        <f>IF(E$167="","",SUMIFS(DATA_GOC!$H:$H,DATA_GOC!$A:$A,"BOM",DATA_GOC!$D:$D,$B178,DATA_GOC!$E:$E,$F$159,DATA_GOC!$F:$F,"Xuất nội bộ từ téc",DATA_GOC!$B:$B,E$167))</f>
        <v>0</v>
      </c>
      <c r="F178" s="128">
        <f>IF(F$167="","",SUMIFS(DATA_GOC!$H:$H,DATA_GOC!$A:$A,"BOM",DATA_GOC!$D:$D,$B178,DATA_GOC!$E:$E,$F$159,DATA_GOC!$F:$F,"Xuất nội bộ từ téc",DATA_GOC!$B:$B,F$167))</f>
        <v>0</v>
      </c>
      <c r="G178" s="128">
        <f>IF(G$167="","",SUMIFS(DATA_GOC!$H:$H,DATA_GOC!$A:$A,"BOM",DATA_GOC!$D:$D,$B178,DATA_GOC!$E:$E,$F$159,DATA_GOC!$F:$F,"Xuất nội bộ từ téc",DATA_GOC!$B:$B,G$167))</f>
        <v>0</v>
      </c>
      <c r="H178" s="128">
        <f>IF(H$167="","",SUMIFS(DATA_GOC!$H:$H,DATA_GOC!$A:$A,"BOM",DATA_GOC!$D:$D,$B178,DATA_GOC!$E:$E,$F$159,DATA_GOC!$F:$F,"Xuất nội bộ từ téc",DATA_GOC!$B:$B,H$167))</f>
        <v>0</v>
      </c>
      <c r="I178" s="128">
        <f>IF(I$167="","",SUMIFS(DATA_GOC!$H:$H,DATA_GOC!$A:$A,"BOM",DATA_GOC!$D:$D,$B178,DATA_GOC!$E:$E,$F$159,DATA_GOC!$F:$F,"Xuất nội bộ từ téc",DATA_GOC!$B:$B,I$167))</f>
        <v>0</v>
      </c>
      <c r="J178" s="128">
        <f>IF(J$167="","",SUMIFS(DATA_GOC!$H:$H,DATA_GOC!$A:$A,"BOM",DATA_GOC!$D:$D,$B178,DATA_GOC!$E:$E,$F$159,DATA_GOC!$F:$F,"Xuất nội bộ từ téc",DATA_GOC!$B:$B,J$167))</f>
        <v>0</v>
      </c>
      <c r="K178" s="128">
        <f>IF(K$167="","",SUMIFS(DATA_GOC!$H:$H,DATA_GOC!$A:$A,"BOM",DATA_GOC!$D:$D,$B178,DATA_GOC!$E:$E,$F$159,DATA_GOC!$F:$F,"Xuất nội bộ từ téc",DATA_GOC!$B:$B,K$167))</f>
        <v>0</v>
      </c>
      <c r="L178" s="128">
        <f>IF(L$167="","",SUMIFS(DATA_GOC!$H:$H,DATA_GOC!$A:$A,"BOM",DATA_GOC!$D:$D,$B178,DATA_GOC!$E:$E,$F$159,DATA_GOC!$F:$F,"Xuất nội bộ từ téc",DATA_GOC!$B:$B,L$167))</f>
        <v>0</v>
      </c>
      <c r="M178" s="128">
        <f>IF(M$167="","",SUMIFS(DATA_GOC!$H:$H,DATA_GOC!$A:$A,"BOM",DATA_GOC!$D:$D,$B178,DATA_GOC!$E:$E,$F$159,DATA_GOC!$F:$F,"Xuất nội bộ từ téc",DATA_GOC!$B:$B,M$167))</f>
        <v>0</v>
      </c>
      <c r="N178" s="128">
        <f>IF(N$167="","",SUMIFS(DATA_GOC!$H:$H,DATA_GOC!$A:$A,"BOM",DATA_GOC!$D:$D,$B178,DATA_GOC!$E:$E,$F$159,DATA_GOC!$F:$F,"Xuất nội bộ từ téc",DATA_GOC!$B:$B,N$167))</f>
        <v>0</v>
      </c>
      <c r="O178" s="128">
        <f>IF(O$167="","",SUMIFS(DATA_GOC!$H:$H,DATA_GOC!$A:$A,"BOM",DATA_GOC!$D:$D,$B178,DATA_GOC!$E:$E,$F$159,DATA_GOC!$F:$F,"Xuất nội bộ từ téc",DATA_GOC!$B:$B,O$167))</f>
        <v>0</v>
      </c>
      <c r="P178" s="128">
        <f>IF(P$167="","",SUMIFS(DATA_GOC!$H:$H,DATA_GOC!$A:$A,"BOM",DATA_GOC!$D:$D,$B178,DATA_GOC!$E:$E,$F$159,DATA_GOC!$F:$F,"Xuất nội bộ từ téc",DATA_GOC!$B:$B,P$167))</f>
        <v>0</v>
      </c>
      <c r="Q178" s="128">
        <f>IF(Q$167="","",SUMIFS(DATA_GOC!$H:$H,DATA_GOC!$A:$A,"BOM",DATA_GOC!$D:$D,$B178,DATA_GOC!$E:$E,$F$159,DATA_GOC!$F:$F,"Xuất nội bộ từ téc",DATA_GOC!$B:$B,Q$167))</f>
        <v>0</v>
      </c>
      <c r="R178" s="128">
        <f>IF(R$167="","",SUMIFS(DATA_GOC!$H:$H,DATA_GOC!$A:$A,"BOM",DATA_GOC!$D:$D,$B178,DATA_GOC!$E:$E,$F$159,DATA_GOC!$F:$F,"Xuất nội bộ từ téc",DATA_GOC!$B:$B,R$167))</f>
        <v>0</v>
      </c>
      <c r="S178" s="128">
        <f>IF(S$167="","",SUMIFS(DATA_GOC!$H:$H,DATA_GOC!$A:$A,"BOM",DATA_GOC!$D:$D,$B178,DATA_GOC!$E:$E,$F$159,DATA_GOC!$F:$F,"Xuất nội bộ từ téc",DATA_GOC!$B:$B,S$167))</f>
        <v>0</v>
      </c>
      <c r="T178" s="128">
        <f>IF(T$167="","",SUMIFS(DATA_GOC!$H:$H,DATA_GOC!$A:$A,"BOM",DATA_GOC!$D:$D,$B178,DATA_GOC!$E:$E,$F$159,DATA_GOC!$F:$F,"Xuất nội bộ từ téc",DATA_GOC!$B:$B,T$167))</f>
        <v>0</v>
      </c>
      <c r="U178" s="128">
        <f>IF(U$167="","",SUMIFS(DATA_GOC!$H:$H,DATA_GOC!$A:$A,"BOM",DATA_GOC!$D:$D,$B178,DATA_GOC!$E:$E,$F$159,DATA_GOC!$F:$F,"Xuất nội bộ từ téc",DATA_GOC!$B:$B,U$167))</f>
        <v>0</v>
      </c>
      <c r="V178" s="128">
        <f>IF(V$167="","",SUMIFS(DATA_GOC!$H:$H,DATA_GOC!$A:$A,"BOM",DATA_GOC!$D:$D,$B178,DATA_GOC!$E:$E,$F$159,DATA_GOC!$F:$F,"Xuất nội bộ từ téc",DATA_GOC!$B:$B,V$167))</f>
        <v>0</v>
      </c>
      <c r="W178" s="128">
        <f>IF(W$167="","",SUMIFS(DATA_GOC!$H:$H,DATA_GOC!$A:$A,"BOM",DATA_GOC!$D:$D,$B178,DATA_GOC!$E:$E,$F$159,DATA_GOC!$F:$F,"Xuất nội bộ từ téc",DATA_GOC!$B:$B,W$167))</f>
        <v>0</v>
      </c>
      <c r="X178" s="128">
        <f>IF(X$167="","",SUMIFS(DATA_GOC!$H:$H,DATA_GOC!$A:$A,"BOM",DATA_GOC!$D:$D,$B178,DATA_GOC!$E:$E,$F$159,DATA_GOC!$F:$F,"Xuất nội bộ từ téc",DATA_GOC!$B:$B,X$167))</f>
        <v>0</v>
      </c>
      <c r="Y178" s="128" t="str">
        <f>IF(Y$167="","",SUMIFS(DATA_GOC!$H:$H,DATA_GOC!$A:$A,"BOM",DATA_GOC!$D:$D,$B178,DATA_GOC!$E:$E,$F$159,DATA_GOC!$F:$F,"Xuất nội bộ từ téc",DATA_GOC!$B:$B,Y$167))</f>
        <v/>
      </c>
      <c r="Z178" s="128" t="str">
        <f>IF(Z$167="","",SUMIFS(DATA_GOC!$H:$H,DATA_GOC!$A:$A,"BOM",DATA_GOC!$D:$D,$B178,DATA_GOC!$E:$E,$F$159,DATA_GOC!$F:$F,"Xuất nội bộ từ téc",DATA_GOC!$B:$B,Z$167))</f>
        <v/>
      </c>
      <c r="AA178" s="128" t="str">
        <f>IF(AA$167="","",SUMIFS(DATA_GOC!$H:$H,DATA_GOC!$A:$A,"BOM",DATA_GOC!$D:$D,$B178,DATA_GOC!$E:$E,$F$159,DATA_GOC!$F:$F,"Xuất nội bộ từ téc",DATA_GOC!$B:$B,AA$167))</f>
        <v/>
      </c>
      <c r="AB178" s="128" t="str">
        <f>IF(AB$167="","",SUMIFS(DATA_GOC!$H:$H,DATA_GOC!$A:$A,"BOM",DATA_GOC!$D:$D,$B178,DATA_GOC!$E:$E,$F$159,DATA_GOC!$F:$F,"Xuất nội bộ từ téc",DATA_GOC!$B:$B,AB$167))</f>
        <v/>
      </c>
      <c r="AC178" s="128" t="str">
        <f>IF(AC$167="","",SUMIFS(DATA_GOC!$H:$H,DATA_GOC!$A:$A,"BOM",DATA_GOC!$D:$D,$B178,DATA_GOC!$E:$E,$F$159,DATA_GOC!$F:$F,"Xuất nội bộ từ téc",DATA_GOC!$B:$B,AC$167))</f>
        <v/>
      </c>
      <c r="AD178" s="128" t="str">
        <f>IF(AD$167="","",SUMIFS(DATA_GOC!$H:$H,DATA_GOC!$A:$A,"BOM",DATA_GOC!$D:$D,$B178,DATA_GOC!$E:$E,$F$159,DATA_GOC!$F:$F,"Xuất nội bộ từ téc",DATA_GOC!$B:$B,AD$167))</f>
        <v/>
      </c>
      <c r="AE178" s="128" t="str">
        <f>IF(AE$167="","",SUMIFS(DATA_GOC!$H:$H,DATA_GOC!$A:$A,"BOM",DATA_GOC!$D:$D,$B178,DATA_GOC!$E:$E,$F$159,DATA_GOC!$F:$F,"Xuất nội bộ từ téc",DATA_GOC!$B:$B,AE$167))</f>
        <v/>
      </c>
      <c r="AF178" s="128" t="str">
        <f>IF(AF$167="","",SUMIFS(DATA_GOC!$H:$H,DATA_GOC!$A:$A,"BOM",DATA_GOC!$D:$D,$B178,DATA_GOC!$E:$E,$F$159,DATA_GOC!$F:$F,"Xuất nội bộ từ téc",DATA_GOC!$B:$B,AF$167))</f>
        <v/>
      </c>
      <c r="AG178" s="128" t="str">
        <f>IF(AG$167="","",SUMIFS(DATA_GOC!$H:$H,DATA_GOC!$A:$A,"BOM",DATA_GOC!$D:$D,$B178,DATA_GOC!$E:$E,$F$159,DATA_GOC!$F:$F,"Xuất nội bộ từ téc",DATA_GOC!$B:$B,AG$167))</f>
        <v/>
      </c>
      <c r="AH178" s="129">
        <f>IF($B178="","",SUMIFS(DATA_GOC!$H:$H,DATA_GOC!$A:$A,"BOM",DATA_GOC!$D:$D,$B178,DATA_GOC!$E:$E,$F$159,DATA_GOC!$F:$F,"Xuất nội bộ từ téc",DATA_GOC!$B:$B,"&gt;="&amp;$H$159,DATA_GOC!$B:$B,"&lt;="&amp;$J$159))</f>
        <v>0</v>
      </c>
      <c r="AI178" s="130">
        <f t="shared" si="16"/>
        <v>0</v>
      </c>
      <c r="AJ178" s="129">
        <f t="shared" si="17"/>
        <v>0</v>
      </c>
      <c r="AK178" s="129">
        <f t="shared" si="18"/>
        <v>0</v>
      </c>
      <c r="AL178" s="129">
        <f t="shared" si="19"/>
        <v>0</v>
      </c>
    </row>
    <row r="179" ht="21.75" hidden="1" customHeight="1">
      <c r="A179" s="126">
        <f t="shared" si="15"/>
        <v>12</v>
      </c>
      <c r="B179" s="127" t="str">
        <f t="array" ref="B179">IFERROR(IF(INDEX(DANH_MUC!$E:$E,15)="","",INDEX(DANH_MUC!$E:$E,15)),"")</f>
        <v>28C02410</v>
      </c>
      <c r="C179" s="128">
        <f>IF(C$167="","",SUMIFS(DATA_GOC!$H:$H,DATA_GOC!$A:$A,"BOM",DATA_GOC!$D:$D,$B179,DATA_GOC!$E:$E,$F$159,DATA_GOC!$F:$F,"Xuất nội bộ từ téc",DATA_GOC!$B:$B,C$167))</f>
        <v>0</v>
      </c>
      <c r="D179" s="128">
        <f>IF(D$167="","",SUMIFS(DATA_GOC!$H:$H,DATA_GOC!$A:$A,"BOM",DATA_GOC!$D:$D,$B179,DATA_GOC!$E:$E,$F$159,DATA_GOC!$F:$F,"Xuất nội bộ từ téc",DATA_GOC!$B:$B,D$167))</f>
        <v>0</v>
      </c>
      <c r="E179" s="128">
        <f>IF(E$167="","",SUMIFS(DATA_GOC!$H:$H,DATA_GOC!$A:$A,"BOM",DATA_GOC!$D:$D,$B179,DATA_GOC!$E:$E,$F$159,DATA_GOC!$F:$F,"Xuất nội bộ từ téc",DATA_GOC!$B:$B,E$167))</f>
        <v>0</v>
      </c>
      <c r="F179" s="128">
        <f>IF(F$167="","",SUMIFS(DATA_GOC!$H:$H,DATA_GOC!$A:$A,"BOM",DATA_GOC!$D:$D,$B179,DATA_GOC!$E:$E,$F$159,DATA_GOC!$F:$F,"Xuất nội bộ từ téc",DATA_GOC!$B:$B,F$167))</f>
        <v>0</v>
      </c>
      <c r="G179" s="128">
        <f>IF(G$167="","",SUMIFS(DATA_GOC!$H:$H,DATA_GOC!$A:$A,"BOM",DATA_GOC!$D:$D,$B179,DATA_GOC!$E:$E,$F$159,DATA_GOC!$F:$F,"Xuất nội bộ từ téc",DATA_GOC!$B:$B,G$167))</f>
        <v>0</v>
      </c>
      <c r="H179" s="128">
        <f>IF(H$167="","",SUMIFS(DATA_GOC!$H:$H,DATA_GOC!$A:$A,"BOM",DATA_GOC!$D:$D,$B179,DATA_GOC!$E:$E,$F$159,DATA_GOC!$F:$F,"Xuất nội bộ từ téc",DATA_GOC!$B:$B,H$167))</f>
        <v>0</v>
      </c>
      <c r="I179" s="128">
        <f>IF(I$167="","",SUMIFS(DATA_GOC!$H:$H,DATA_GOC!$A:$A,"BOM",DATA_GOC!$D:$D,$B179,DATA_GOC!$E:$E,$F$159,DATA_GOC!$F:$F,"Xuất nội bộ từ téc",DATA_GOC!$B:$B,I$167))</f>
        <v>0</v>
      </c>
      <c r="J179" s="128">
        <f>IF(J$167="","",SUMIFS(DATA_GOC!$H:$H,DATA_GOC!$A:$A,"BOM",DATA_GOC!$D:$D,$B179,DATA_GOC!$E:$E,$F$159,DATA_GOC!$F:$F,"Xuất nội bộ từ téc",DATA_GOC!$B:$B,J$167))</f>
        <v>0</v>
      </c>
      <c r="K179" s="128">
        <f>IF(K$167="","",SUMIFS(DATA_GOC!$H:$H,DATA_GOC!$A:$A,"BOM",DATA_GOC!$D:$D,$B179,DATA_GOC!$E:$E,$F$159,DATA_GOC!$F:$F,"Xuất nội bộ từ téc",DATA_GOC!$B:$B,K$167))</f>
        <v>0</v>
      </c>
      <c r="L179" s="128">
        <f>IF(L$167="","",SUMIFS(DATA_GOC!$H:$H,DATA_GOC!$A:$A,"BOM",DATA_GOC!$D:$D,$B179,DATA_GOC!$E:$E,$F$159,DATA_GOC!$F:$F,"Xuất nội bộ từ téc",DATA_GOC!$B:$B,L$167))</f>
        <v>0</v>
      </c>
      <c r="M179" s="128">
        <f>IF(M$167="","",SUMIFS(DATA_GOC!$H:$H,DATA_GOC!$A:$A,"BOM",DATA_GOC!$D:$D,$B179,DATA_GOC!$E:$E,$F$159,DATA_GOC!$F:$F,"Xuất nội bộ từ téc",DATA_GOC!$B:$B,M$167))</f>
        <v>0</v>
      </c>
      <c r="N179" s="128">
        <f>IF(N$167="","",SUMIFS(DATA_GOC!$H:$H,DATA_GOC!$A:$A,"BOM",DATA_GOC!$D:$D,$B179,DATA_GOC!$E:$E,$F$159,DATA_GOC!$F:$F,"Xuất nội bộ từ téc",DATA_GOC!$B:$B,N$167))</f>
        <v>0</v>
      </c>
      <c r="O179" s="128">
        <f>IF(O$167="","",SUMIFS(DATA_GOC!$H:$H,DATA_GOC!$A:$A,"BOM",DATA_GOC!$D:$D,$B179,DATA_GOC!$E:$E,$F$159,DATA_GOC!$F:$F,"Xuất nội bộ từ téc",DATA_GOC!$B:$B,O$167))</f>
        <v>0</v>
      </c>
      <c r="P179" s="128">
        <f>IF(P$167="","",SUMIFS(DATA_GOC!$H:$H,DATA_GOC!$A:$A,"BOM",DATA_GOC!$D:$D,$B179,DATA_GOC!$E:$E,$F$159,DATA_GOC!$F:$F,"Xuất nội bộ từ téc",DATA_GOC!$B:$B,P$167))</f>
        <v>0</v>
      </c>
      <c r="Q179" s="128">
        <f>IF(Q$167="","",SUMIFS(DATA_GOC!$H:$H,DATA_GOC!$A:$A,"BOM",DATA_GOC!$D:$D,$B179,DATA_GOC!$E:$E,$F$159,DATA_GOC!$F:$F,"Xuất nội bộ từ téc",DATA_GOC!$B:$B,Q$167))</f>
        <v>0</v>
      </c>
      <c r="R179" s="128">
        <f>IF(R$167="","",SUMIFS(DATA_GOC!$H:$H,DATA_GOC!$A:$A,"BOM",DATA_GOC!$D:$D,$B179,DATA_GOC!$E:$E,$F$159,DATA_GOC!$F:$F,"Xuất nội bộ từ téc",DATA_GOC!$B:$B,R$167))</f>
        <v>0</v>
      </c>
      <c r="S179" s="128">
        <f>IF(S$167="","",SUMIFS(DATA_GOC!$H:$H,DATA_GOC!$A:$A,"BOM",DATA_GOC!$D:$D,$B179,DATA_GOC!$E:$E,$F$159,DATA_GOC!$F:$F,"Xuất nội bộ từ téc",DATA_GOC!$B:$B,S$167))</f>
        <v>0</v>
      </c>
      <c r="T179" s="128">
        <f>IF(T$167="","",SUMIFS(DATA_GOC!$H:$H,DATA_GOC!$A:$A,"BOM",DATA_GOC!$D:$D,$B179,DATA_GOC!$E:$E,$F$159,DATA_GOC!$F:$F,"Xuất nội bộ từ téc",DATA_GOC!$B:$B,T$167))</f>
        <v>140</v>
      </c>
      <c r="U179" s="128">
        <f>IF(U$167="","",SUMIFS(DATA_GOC!$H:$H,DATA_GOC!$A:$A,"BOM",DATA_GOC!$D:$D,$B179,DATA_GOC!$E:$E,$F$159,DATA_GOC!$F:$F,"Xuất nội bộ từ téc",DATA_GOC!$B:$B,U$167))</f>
        <v>0</v>
      </c>
      <c r="V179" s="128">
        <f>IF(V$167="","",SUMIFS(DATA_GOC!$H:$H,DATA_GOC!$A:$A,"BOM",DATA_GOC!$D:$D,$B179,DATA_GOC!$E:$E,$F$159,DATA_GOC!$F:$F,"Xuất nội bộ từ téc",DATA_GOC!$B:$B,V$167))</f>
        <v>0</v>
      </c>
      <c r="W179" s="128">
        <f>IF(W$167="","",SUMIFS(DATA_GOC!$H:$H,DATA_GOC!$A:$A,"BOM",DATA_GOC!$D:$D,$B179,DATA_GOC!$E:$E,$F$159,DATA_GOC!$F:$F,"Xuất nội bộ từ téc",DATA_GOC!$B:$B,W$167))</f>
        <v>0</v>
      </c>
      <c r="X179" s="128">
        <f>IF(X$167="","",SUMIFS(DATA_GOC!$H:$H,DATA_GOC!$A:$A,"BOM",DATA_GOC!$D:$D,$B179,DATA_GOC!$E:$E,$F$159,DATA_GOC!$F:$F,"Xuất nội bộ từ téc",DATA_GOC!$B:$B,X$167))</f>
        <v>0</v>
      </c>
      <c r="Y179" s="128" t="str">
        <f>IF(Y$167="","",SUMIFS(DATA_GOC!$H:$H,DATA_GOC!$A:$A,"BOM",DATA_GOC!$D:$D,$B179,DATA_GOC!$E:$E,$F$159,DATA_GOC!$F:$F,"Xuất nội bộ từ téc",DATA_GOC!$B:$B,Y$167))</f>
        <v/>
      </c>
      <c r="Z179" s="128" t="str">
        <f>IF(Z$167="","",SUMIFS(DATA_GOC!$H:$H,DATA_GOC!$A:$A,"BOM",DATA_GOC!$D:$D,$B179,DATA_GOC!$E:$E,$F$159,DATA_GOC!$F:$F,"Xuất nội bộ từ téc",DATA_GOC!$B:$B,Z$167))</f>
        <v/>
      </c>
      <c r="AA179" s="128" t="str">
        <f>IF(AA$167="","",SUMIFS(DATA_GOC!$H:$H,DATA_GOC!$A:$A,"BOM",DATA_GOC!$D:$D,$B179,DATA_GOC!$E:$E,$F$159,DATA_GOC!$F:$F,"Xuất nội bộ từ téc",DATA_GOC!$B:$B,AA$167))</f>
        <v/>
      </c>
      <c r="AB179" s="128" t="str">
        <f>IF(AB$167="","",SUMIFS(DATA_GOC!$H:$H,DATA_GOC!$A:$A,"BOM",DATA_GOC!$D:$D,$B179,DATA_GOC!$E:$E,$F$159,DATA_GOC!$F:$F,"Xuất nội bộ từ téc",DATA_GOC!$B:$B,AB$167))</f>
        <v/>
      </c>
      <c r="AC179" s="128" t="str">
        <f>IF(AC$167="","",SUMIFS(DATA_GOC!$H:$H,DATA_GOC!$A:$A,"BOM",DATA_GOC!$D:$D,$B179,DATA_GOC!$E:$E,$F$159,DATA_GOC!$F:$F,"Xuất nội bộ từ téc",DATA_GOC!$B:$B,AC$167))</f>
        <v/>
      </c>
      <c r="AD179" s="128" t="str">
        <f>IF(AD$167="","",SUMIFS(DATA_GOC!$H:$H,DATA_GOC!$A:$A,"BOM",DATA_GOC!$D:$D,$B179,DATA_GOC!$E:$E,$F$159,DATA_GOC!$F:$F,"Xuất nội bộ từ téc",DATA_GOC!$B:$B,AD$167))</f>
        <v/>
      </c>
      <c r="AE179" s="128" t="str">
        <f>IF(AE$167="","",SUMIFS(DATA_GOC!$H:$H,DATA_GOC!$A:$A,"BOM",DATA_GOC!$D:$D,$B179,DATA_GOC!$E:$E,$F$159,DATA_GOC!$F:$F,"Xuất nội bộ từ téc",DATA_GOC!$B:$B,AE$167))</f>
        <v/>
      </c>
      <c r="AF179" s="128" t="str">
        <f>IF(AF$167="","",SUMIFS(DATA_GOC!$H:$H,DATA_GOC!$A:$A,"BOM",DATA_GOC!$D:$D,$B179,DATA_GOC!$E:$E,$F$159,DATA_GOC!$F:$F,"Xuất nội bộ từ téc",DATA_GOC!$B:$B,AF$167))</f>
        <v/>
      </c>
      <c r="AG179" s="128" t="str">
        <f>IF(AG$167="","",SUMIFS(DATA_GOC!$H:$H,DATA_GOC!$A:$A,"BOM",DATA_GOC!$D:$D,$B179,DATA_GOC!$E:$E,$F$159,DATA_GOC!$F:$F,"Xuất nội bộ từ téc",DATA_GOC!$B:$B,AG$167))</f>
        <v/>
      </c>
      <c r="AH179" s="129">
        <f>IF($B179="","",SUMIFS(DATA_GOC!$H:$H,DATA_GOC!$A:$A,"BOM",DATA_GOC!$D:$D,$B179,DATA_GOC!$E:$E,$F$159,DATA_GOC!$F:$F,"Xuất nội bộ từ téc",DATA_GOC!$B:$B,"&gt;="&amp;$H$159,DATA_GOC!$B:$B,"&lt;="&amp;$J$159))</f>
        <v>140</v>
      </c>
      <c r="AI179" s="130">
        <f t="shared" si="16"/>
        <v>0.01015302052</v>
      </c>
      <c r="AJ179" s="129">
        <f t="shared" si="17"/>
        <v>3.767</v>
      </c>
      <c r="AK179" s="129">
        <f t="shared" si="18"/>
        <v>0</v>
      </c>
      <c r="AL179" s="129">
        <f t="shared" si="19"/>
        <v>143.767</v>
      </c>
    </row>
    <row r="180" ht="21.75" hidden="1" customHeight="1">
      <c r="A180" s="126">
        <f t="shared" si="15"/>
        <v>13</v>
      </c>
      <c r="B180" s="127" t="str">
        <f t="array" ref="B180">IFERROR(IF(INDEX(DANH_MUC!$E:$E,16)="","",INDEX(DANH_MUC!$E:$E,16)),"")</f>
        <v>28C02545</v>
      </c>
      <c r="C180" s="128">
        <f>IF(C$167="","",SUMIFS(DATA_GOC!$H:$H,DATA_GOC!$A:$A,"BOM",DATA_GOC!$D:$D,$B180,DATA_GOC!$E:$E,$F$159,DATA_GOC!$F:$F,"Xuất nội bộ từ téc",DATA_GOC!$B:$B,C$167))</f>
        <v>0</v>
      </c>
      <c r="D180" s="128">
        <f>IF(D$167="","",SUMIFS(DATA_GOC!$H:$H,DATA_GOC!$A:$A,"BOM",DATA_GOC!$D:$D,$B180,DATA_GOC!$E:$E,$F$159,DATA_GOC!$F:$F,"Xuất nội bộ từ téc",DATA_GOC!$B:$B,D$167))</f>
        <v>0</v>
      </c>
      <c r="E180" s="128">
        <f>IF(E$167="","",SUMIFS(DATA_GOC!$H:$H,DATA_GOC!$A:$A,"BOM",DATA_GOC!$D:$D,$B180,DATA_GOC!$E:$E,$F$159,DATA_GOC!$F:$F,"Xuất nội bộ từ téc",DATA_GOC!$B:$B,E$167))</f>
        <v>0</v>
      </c>
      <c r="F180" s="128">
        <f>IF(F$167="","",SUMIFS(DATA_GOC!$H:$H,DATA_GOC!$A:$A,"BOM",DATA_GOC!$D:$D,$B180,DATA_GOC!$E:$E,$F$159,DATA_GOC!$F:$F,"Xuất nội bộ từ téc",DATA_GOC!$B:$B,F$167))</f>
        <v>0</v>
      </c>
      <c r="G180" s="128">
        <f>IF(G$167="","",SUMIFS(DATA_GOC!$H:$H,DATA_GOC!$A:$A,"BOM",DATA_GOC!$D:$D,$B180,DATA_GOC!$E:$E,$F$159,DATA_GOC!$F:$F,"Xuất nội bộ từ téc",DATA_GOC!$B:$B,G$167))</f>
        <v>0</v>
      </c>
      <c r="H180" s="128">
        <f>IF(H$167="","",SUMIFS(DATA_GOC!$H:$H,DATA_GOC!$A:$A,"BOM",DATA_GOC!$D:$D,$B180,DATA_GOC!$E:$E,$F$159,DATA_GOC!$F:$F,"Xuất nội bộ từ téc",DATA_GOC!$B:$B,H$167))</f>
        <v>0</v>
      </c>
      <c r="I180" s="128">
        <f>IF(I$167="","",SUMIFS(DATA_GOC!$H:$H,DATA_GOC!$A:$A,"BOM",DATA_GOC!$D:$D,$B180,DATA_GOC!$E:$E,$F$159,DATA_GOC!$F:$F,"Xuất nội bộ từ téc",DATA_GOC!$B:$B,I$167))</f>
        <v>0</v>
      </c>
      <c r="J180" s="128">
        <f>IF(J$167="","",SUMIFS(DATA_GOC!$H:$H,DATA_GOC!$A:$A,"BOM",DATA_GOC!$D:$D,$B180,DATA_GOC!$E:$E,$F$159,DATA_GOC!$F:$F,"Xuất nội bộ từ téc",DATA_GOC!$B:$B,J$167))</f>
        <v>0</v>
      </c>
      <c r="K180" s="128">
        <f>IF(K$167="","",SUMIFS(DATA_GOC!$H:$H,DATA_GOC!$A:$A,"BOM",DATA_GOC!$D:$D,$B180,DATA_GOC!$E:$E,$F$159,DATA_GOC!$F:$F,"Xuất nội bộ từ téc",DATA_GOC!$B:$B,K$167))</f>
        <v>0</v>
      </c>
      <c r="L180" s="128">
        <f>IF(L$167="","",SUMIFS(DATA_GOC!$H:$H,DATA_GOC!$A:$A,"BOM",DATA_GOC!$D:$D,$B180,DATA_GOC!$E:$E,$F$159,DATA_GOC!$F:$F,"Xuất nội bộ từ téc",DATA_GOC!$B:$B,L$167))</f>
        <v>0</v>
      </c>
      <c r="M180" s="128">
        <f>IF(M$167="","",SUMIFS(DATA_GOC!$H:$H,DATA_GOC!$A:$A,"BOM",DATA_GOC!$D:$D,$B180,DATA_GOC!$E:$E,$F$159,DATA_GOC!$F:$F,"Xuất nội bộ từ téc",DATA_GOC!$B:$B,M$167))</f>
        <v>0</v>
      </c>
      <c r="N180" s="128">
        <f>IF(N$167="","",SUMIFS(DATA_GOC!$H:$H,DATA_GOC!$A:$A,"BOM",DATA_GOC!$D:$D,$B180,DATA_GOC!$E:$E,$F$159,DATA_GOC!$F:$F,"Xuất nội bộ từ téc",DATA_GOC!$B:$B,N$167))</f>
        <v>0</v>
      </c>
      <c r="O180" s="128">
        <f>IF(O$167="","",SUMIFS(DATA_GOC!$H:$H,DATA_GOC!$A:$A,"BOM",DATA_GOC!$D:$D,$B180,DATA_GOC!$E:$E,$F$159,DATA_GOC!$F:$F,"Xuất nội bộ từ téc",DATA_GOC!$B:$B,O$167))</f>
        <v>0</v>
      </c>
      <c r="P180" s="128">
        <f>IF(P$167="","",SUMIFS(DATA_GOC!$H:$H,DATA_GOC!$A:$A,"BOM",DATA_GOC!$D:$D,$B180,DATA_GOC!$E:$E,$F$159,DATA_GOC!$F:$F,"Xuất nội bộ từ téc",DATA_GOC!$B:$B,P$167))</f>
        <v>0</v>
      </c>
      <c r="Q180" s="128">
        <f>IF(Q$167="","",SUMIFS(DATA_GOC!$H:$H,DATA_GOC!$A:$A,"BOM",DATA_GOC!$D:$D,$B180,DATA_GOC!$E:$E,$F$159,DATA_GOC!$F:$F,"Xuất nội bộ từ téc",DATA_GOC!$B:$B,Q$167))</f>
        <v>0</v>
      </c>
      <c r="R180" s="128">
        <f>IF(R$167="","",SUMIFS(DATA_GOC!$H:$H,DATA_GOC!$A:$A,"BOM",DATA_GOC!$D:$D,$B180,DATA_GOC!$E:$E,$F$159,DATA_GOC!$F:$F,"Xuất nội bộ từ téc",DATA_GOC!$B:$B,R$167))</f>
        <v>0</v>
      </c>
      <c r="S180" s="128">
        <f>IF(S$167="","",SUMIFS(DATA_GOC!$H:$H,DATA_GOC!$A:$A,"BOM",DATA_GOC!$D:$D,$B180,DATA_GOC!$E:$E,$F$159,DATA_GOC!$F:$F,"Xuất nội bộ từ téc",DATA_GOC!$B:$B,S$167))</f>
        <v>0</v>
      </c>
      <c r="T180" s="128">
        <f>IF(T$167="","",SUMIFS(DATA_GOC!$H:$H,DATA_GOC!$A:$A,"BOM",DATA_GOC!$D:$D,$B180,DATA_GOC!$E:$E,$F$159,DATA_GOC!$F:$F,"Xuất nội bộ từ téc",DATA_GOC!$B:$B,T$167))</f>
        <v>163</v>
      </c>
      <c r="U180" s="128">
        <f>IF(U$167="","",SUMIFS(DATA_GOC!$H:$H,DATA_GOC!$A:$A,"BOM",DATA_GOC!$D:$D,$B180,DATA_GOC!$E:$E,$F$159,DATA_GOC!$F:$F,"Xuất nội bộ từ téc",DATA_GOC!$B:$B,U$167))</f>
        <v>0</v>
      </c>
      <c r="V180" s="128">
        <f>IF(V$167="","",SUMIFS(DATA_GOC!$H:$H,DATA_GOC!$A:$A,"BOM",DATA_GOC!$D:$D,$B180,DATA_GOC!$E:$E,$F$159,DATA_GOC!$F:$F,"Xuất nội bộ từ téc",DATA_GOC!$B:$B,V$167))</f>
        <v>0</v>
      </c>
      <c r="W180" s="128">
        <f>IF(W$167="","",SUMIFS(DATA_GOC!$H:$H,DATA_GOC!$A:$A,"BOM",DATA_GOC!$D:$D,$B180,DATA_GOC!$E:$E,$F$159,DATA_GOC!$F:$F,"Xuất nội bộ từ téc",DATA_GOC!$B:$B,W$167))</f>
        <v>0</v>
      </c>
      <c r="X180" s="128">
        <f>IF(X$167="","",SUMIFS(DATA_GOC!$H:$H,DATA_GOC!$A:$A,"BOM",DATA_GOC!$D:$D,$B180,DATA_GOC!$E:$E,$F$159,DATA_GOC!$F:$F,"Xuất nội bộ từ téc",DATA_GOC!$B:$B,X$167))</f>
        <v>0</v>
      </c>
      <c r="Y180" s="128" t="str">
        <f>IF(Y$167="","",SUMIFS(DATA_GOC!$H:$H,DATA_GOC!$A:$A,"BOM",DATA_GOC!$D:$D,$B180,DATA_GOC!$E:$E,$F$159,DATA_GOC!$F:$F,"Xuất nội bộ từ téc",DATA_GOC!$B:$B,Y$167))</f>
        <v/>
      </c>
      <c r="Z180" s="128" t="str">
        <f>IF(Z$167="","",SUMIFS(DATA_GOC!$H:$H,DATA_GOC!$A:$A,"BOM",DATA_GOC!$D:$D,$B180,DATA_GOC!$E:$E,$F$159,DATA_GOC!$F:$F,"Xuất nội bộ từ téc",DATA_GOC!$B:$B,Z$167))</f>
        <v/>
      </c>
      <c r="AA180" s="128" t="str">
        <f>IF(AA$167="","",SUMIFS(DATA_GOC!$H:$H,DATA_GOC!$A:$A,"BOM",DATA_GOC!$D:$D,$B180,DATA_GOC!$E:$E,$F$159,DATA_GOC!$F:$F,"Xuất nội bộ từ téc",DATA_GOC!$B:$B,AA$167))</f>
        <v/>
      </c>
      <c r="AB180" s="128" t="str">
        <f>IF(AB$167="","",SUMIFS(DATA_GOC!$H:$H,DATA_GOC!$A:$A,"BOM",DATA_GOC!$D:$D,$B180,DATA_GOC!$E:$E,$F$159,DATA_GOC!$F:$F,"Xuất nội bộ từ téc",DATA_GOC!$B:$B,AB$167))</f>
        <v/>
      </c>
      <c r="AC180" s="128" t="str">
        <f>IF(AC$167="","",SUMIFS(DATA_GOC!$H:$H,DATA_GOC!$A:$A,"BOM",DATA_GOC!$D:$D,$B180,DATA_GOC!$E:$E,$F$159,DATA_GOC!$F:$F,"Xuất nội bộ từ téc",DATA_GOC!$B:$B,AC$167))</f>
        <v/>
      </c>
      <c r="AD180" s="128" t="str">
        <f>IF(AD$167="","",SUMIFS(DATA_GOC!$H:$H,DATA_GOC!$A:$A,"BOM",DATA_GOC!$D:$D,$B180,DATA_GOC!$E:$E,$F$159,DATA_GOC!$F:$F,"Xuất nội bộ từ téc",DATA_GOC!$B:$B,AD$167))</f>
        <v/>
      </c>
      <c r="AE180" s="128" t="str">
        <f>IF(AE$167="","",SUMIFS(DATA_GOC!$H:$H,DATA_GOC!$A:$A,"BOM",DATA_GOC!$D:$D,$B180,DATA_GOC!$E:$E,$F$159,DATA_GOC!$F:$F,"Xuất nội bộ từ téc",DATA_GOC!$B:$B,AE$167))</f>
        <v/>
      </c>
      <c r="AF180" s="128" t="str">
        <f>IF(AF$167="","",SUMIFS(DATA_GOC!$H:$H,DATA_GOC!$A:$A,"BOM",DATA_GOC!$D:$D,$B180,DATA_GOC!$E:$E,$F$159,DATA_GOC!$F:$F,"Xuất nội bộ từ téc",DATA_GOC!$B:$B,AF$167))</f>
        <v/>
      </c>
      <c r="AG180" s="128" t="str">
        <f>IF(AG$167="","",SUMIFS(DATA_GOC!$H:$H,DATA_GOC!$A:$A,"BOM",DATA_GOC!$D:$D,$B180,DATA_GOC!$E:$E,$F$159,DATA_GOC!$F:$F,"Xuất nội bộ từ téc",DATA_GOC!$B:$B,AG$167))</f>
        <v/>
      </c>
      <c r="AH180" s="129">
        <f>IF($B180="","",SUMIFS(DATA_GOC!$H:$H,DATA_GOC!$A:$A,"BOM",DATA_GOC!$D:$D,$B180,DATA_GOC!$E:$E,$F$159,DATA_GOC!$F:$F,"Xuất nội bộ từ téc",DATA_GOC!$B:$B,"&gt;="&amp;$H$159,DATA_GOC!$B:$B,"&lt;="&amp;$J$159))</f>
        <v>163</v>
      </c>
      <c r="AI180" s="130">
        <f t="shared" si="16"/>
        <v>0.01182101675</v>
      </c>
      <c r="AJ180" s="129">
        <f t="shared" si="17"/>
        <v>4.386</v>
      </c>
      <c r="AK180" s="129">
        <f t="shared" si="18"/>
        <v>0</v>
      </c>
      <c r="AL180" s="129">
        <f t="shared" si="19"/>
        <v>167.386</v>
      </c>
    </row>
    <row r="181" ht="21.75" hidden="1" customHeight="1">
      <c r="A181" s="126">
        <f t="shared" si="15"/>
        <v>14</v>
      </c>
      <c r="B181" s="127" t="str">
        <f t="array" ref="B181">IFERROR(IF(INDEX(DANH_MUC!$E:$E,17)="","",INDEX(DANH_MUC!$E:$E,17)),"")</f>
        <v>28C02574</v>
      </c>
      <c r="C181" s="128">
        <f>IF(C$167="","",SUMIFS(DATA_GOC!$H:$H,DATA_GOC!$A:$A,"BOM",DATA_GOC!$D:$D,$B181,DATA_GOC!$E:$E,$F$159,DATA_GOC!$F:$F,"Xuất nội bộ từ téc",DATA_GOC!$B:$B,C$167))</f>
        <v>0</v>
      </c>
      <c r="D181" s="128">
        <f>IF(D$167="","",SUMIFS(DATA_GOC!$H:$H,DATA_GOC!$A:$A,"BOM",DATA_GOC!$D:$D,$B181,DATA_GOC!$E:$E,$F$159,DATA_GOC!$F:$F,"Xuất nội bộ từ téc",DATA_GOC!$B:$B,D$167))</f>
        <v>0</v>
      </c>
      <c r="E181" s="128">
        <f>IF(E$167="","",SUMIFS(DATA_GOC!$H:$H,DATA_GOC!$A:$A,"BOM",DATA_GOC!$D:$D,$B181,DATA_GOC!$E:$E,$F$159,DATA_GOC!$F:$F,"Xuất nội bộ từ téc",DATA_GOC!$B:$B,E$167))</f>
        <v>0</v>
      </c>
      <c r="F181" s="128">
        <f>IF(F$167="","",SUMIFS(DATA_GOC!$H:$H,DATA_GOC!$A:$A,"BOM",DATA_GOC!$D:$D,$B181,DATA_GOC!$E:$E,$F$159,DATA_GOC!$F:$F,"Xuất nội bộ từ téc",DATA_GOC!$B:$B,F$167))</f>
        <v>0</v>
      </c>
      <c r="G181" s="128">
        <f>IF(G$167="","",SUMIFS(DATA_GOC!$H:$H,DATA_GOC!$A:$A,"BOM",DATA_GOC!$D:$D,$B181,DATA_GOC!$E:$E,$F$159,DATA_GOC!$F:$F,"Xuất nội bộ từ téc",DATA_GOC!$B:$B,G$167))</f>
        <v>0</v>
      </c>
      <c r="H181" s="128">
        <f>IF(H$167="","",SUMIFS(DATA_GOC!$H:$H,DATA_GOC!$A:$A,"BOM",DATA_GOC!$D:$D,$B181,DATA_GOC!$E:$E,$F$159,DATA_GOC!$F:$F,"Xuất nội bộ từ téc",DATA_GOC!$B:$B,H$167))</f>
        <v>0</v>
      </c>
      <c r="I181" s="128">
        <f>IF(I$167="","",SUMIFS(DATA_GOC!$H:$H,DATA_GOC!$A:$A,"BOM",DATA_GOC!$D:$D,$B181,DATA_GOC!$E:$E,$F$159,DATA_GOC!$F:$F,"Xuất nội bộ từ téc",DATA_GOC!$B:$B,I$167))</f>
        <v>0</v>
      </c>
      <c r="J181" s="128">
        <f>IF(J$167="","",SUMIFS(DATA_GOC!$H:$H,DATA_GOC!$A:$A,"BOM",DATA_GOC!$D:$D,$B181,DATA_GOC!$E:$E,$F$159,DATA_GOC!$F:$F,"Xuất nội bộ từ téc",DATA_GOC!$B:$B,J$167))</f>
        <v>0</v>
      </c>
      <c r="K181" s="128">
        <f>IF(K$167="","",SUMIFS(DATA_GOC!$H:$H,DATA_GOC!$A:$A,"BOM",DATA_GOC!$D:$D,$B181,DATA_GOC!$E:$E,$F$159,DATA_GOC!$F:$F,"Xuất nội bộ từ téc",DATA_GOC!$B:$B,K$167))</f>
        <v>0</v>
      </c>
      <c r="L181" s="128">
        <f>IF(L$167="","",SUMIFS(DATA_GOC!$H:$H,DATA_GOC!$A:$A,"BOM",DATA_GOC!$D:$D,$B181,DATA_GOC!$E:$E,$F$159,DATA_GOC!$F:$F,"Xuất nội bộ từ téc",DATA_GOC!$B:$B,L$167))</f>
        <v>0</v>
      </c>
      <c r="M181" s="128">
        <f>IF(M$167="","",SUMIFS(DATA_GOC!$H:$H,DATA_GOC!$A:$A,"BOM",DATA_GOC!$D:$D,$B181,DATA_GOC!$E:$E,$F$159,DATA_GOC!$F:$F,"Xuất nội bộ từ téc",DATA_GOC!$B:$B,M$167))</f>
        <v>0</v>
      </c>
      <c r="N181" s="128">
        <f>IF(N$167="","",SUMIFS(DATA_GOC!$H:$H,DATA_GOC!$A:$A,"BOM",DATA_GOC!$D:$D,$B181,DATA_GOC!$E:$E,$F$159,DATA_GOC!$F:$F,"Xuất nội bộ từ téc",DATA_GOC!$B:$B,N$167))</f>
        <v>0</v>
      </c>
      <c r="O181" s="128">
        <f>IF(O$167="","",SUMIFS(DATA_GOC!$H:$H,DATA_GOC!$A:$A,"BOM",DATA_GOC!$D:$D,$B181,DATA_GOC!$E:$E,$F$159,DATA_GOC!$F:$F,"Xuất nội bộ từ téc",DATA_GOC!$B:$B,O$167))</f>
        <v>0</v>
      </c>
      <c r="P181" s="128">
        <f>IF(P$167="","",SUMIFS(DATA_GOC!$H:$H,DATA_GOC!$A:$A,"BOM",DATA_GOC!$D:$D,$B181,DATA_GOC!$E:$E,$F$159,DATA_GOC!$F:$F,"Xuất nội bộ từ téc",DATA_GOC!$B:$B,P$167))</f>
        <v>0</v>
      </c>
      <c r="Q181" s="128">
        <f>IF(Q$167="","",SUMIFS(DATA_GOC!$H:$H,DATA_GOC!$A:$A,"BOM",DATA_GOC!$D:$D,$B181,DATA_GOC!$E:$E,$F$159,DATA_GOC!$F:$F,"Xuất nội bộ từ téc",DATA_GOC!$B:$B,Q$167))</f>
        <v>0</v>
      </c>
      <c r="R181" s="128">
        <f>IF(R$167="","",SUMIFS(DATA_GOC!$H:$H,DATA_GOC!$A:$A,"BOM",DATA_GOC!$D:$D,$B181,DATA_GOC!$E:$E,$F$159,DATA_GOC!$F:$F,"Xuất nội bộ từ téc",DATA_GOC!$B:$B,R$167))</f>
        <v>0</v>
      </c>
      <c r="S181" s="128">
        <f>IF(S$167="","",SUMIFS(DATA_GOC!$H:$H,DATA_GOC!$A:$A,"BOM",DATA_GOC!$D:$D,$B181,DATA_GOC!$E:$E,$F$159,DATA_GOC!$F:$F,"Xuất nội bộ từ téc",DATA_GOC!$B:$B,S$167))</f>
        <v>0</v>
      </c>
      <c r="T181" s="128">
        <f>IF(T$167="","",SUMIFS(DATA_GOC!$H:$H,DATA_GOC!$A:$A,"BOM",DATA_GOC!$D:$D,$B181,DATA_GOC!$E:$E,$F$159,DATA_GOC!$F:$F,"Xuất nội bộ từ téc",DATA_GOC!$B:$B,T$167))</f>
        <v>0</v>
      </c>
      <c r="U181" s="128">
        <f>IF(U$167="","",SUMIFS(DATA_GOC!$H:$H,DATA_GOC!$A:$A,"BOM",DATA_GOC!$D:$D,$B181,DATA_GOC!$E:$E,$F$159,DATA_GOC!$F:$F,"Xuất nội bộ từ téc",DATA_GOC!$B:$B,U$167))</f>
        <v>0</v>
      </c>
      <c r="V181" s="128">
        <f>IF(V$167="","",SUMIFS(DATA_GOC!$H:$H,DATA_GOC!$A:$A,"BOM",DATA_GOC!$D:$D,$B181,DATA_GOC!$E:$E,$F$159,DATA_GOC!$F:$F,"Xuất nội bộ từ téc",DATA_GOC!$B:$B,V$167))</f>
        <v>0</v>
      </c>
      <c r="W181" s="128">
        <f>IF(W$167="","",SUMIFS(DATA_GOC!$H:$H,DATA_GOC!$A:$A,"BOM",DATA_GOC!$D:$D,$B181,DATA_GOC!$E:$E,$F$159,DATA_GOC!$F:$F,"Xuất nội bộ từ téc",DATA_GOC!$B:$B,W$167))</f>
        <v>0</v>
      </c>
      <c r="X181" s="128">
        <f>IF(X$167="","",SUMIFS(DATA_GOC!$H:$H,DATA_GOC!$A:$A,"BOM",DATA_GOC!$D:$D,$B181,DATA_GOC!$E:$E,$F$159,DATA_GOC!$F:$F,"Xuất nội bộ từ téc",DATA_GOC!$B:$B,X$167))</f>
        <v>0</v>
      </c>
      <c r="Y181" s="128" t="str">
        <f>IF(Y$167="","",SUMIFS(DATA_GOC!$H:$H,DATA_GOC!$A:$A,"BOM",DATA_GOC!$D:$D,$B181,DATA_GOC!$E:$E,$F$159,DATA_GOC!$F:$F,"Xuất nội bộ từ téc",DATA_GOC!$B:$B,Y$167))</f>
        <v/>
      </c>
      <c r="Z181" s="128" t="str">
        <f>IF(Z$167="","",SUMIFS(DATA_GOC!$H:$H,DATA_GOC!$A:$A,"BOM",DATA_GOC!$D:$D,$B181,DATA_GOC!$E:$E,$F$159,DATA_GOC!$F:$F,"Xuất nội bộ từ téc",DATA_GOC!$B:$B,Z$167))</f>
        <v/>
      </c>
      <c r="AA181" s="128" t="str">
        <f>IF(AA$167="","",SUMIFS(DATA_GOC!$H:$H,DATA_GOC!$A:$A,"BOM",DATA_GOC!$D:$D,$B181,DATA_GOC!$E:$E,$F$159,DATA_GOC!$F:$F,"Xuất nội bộ từ téc",DATA_GOC!$B:$B,AA$167))</f>
        <v/>
      </c>
      <c r="AB181" s="128" t="str">
        <f>IF(AB$167="","",SUMIFS(DATA_GOC!$H:$H,DATA_GOC!$A:$A,"BOM",DATA_GOC!$D:$D,$B181,DATA_GOC!$E:$E,$F$159,DATA_GOC!$F:$F,"Xuất nội bộ từ téc",DATA_GOC!$B:$B,AB$167))</f>
        <v/>
      </c>
      <c r="AC181" s="128" t="str">
        <f>IF(AC$167="","",SUMIFS(DATA_GOC!$H:$H,DATA_GOC!$A:$A,"BOM",DATA_GOC!$D:$D,$B181,DATA_GOC!$E:$E,$F$159,DATA_GOC!$F:$F,"Xuất nội bộ từ téc",DATA_GOC!$B:$B,AC$167))</f>
        <v/>
      </c>
      <c r="AD181" s="128" t="str">
        <f>IF(AD$167="","",SUMIFS(DATA_GOC!$H:$H,DATA_GOC!$A:$A,"BOM",DATA_GOC!$D:$D,$B181,DATA_GOC!$E:$E,$F$159,DATA_GOC!$F:$F,"Xuất nội bộ từ téc",DATA_GOC!$B:$B,AD$167))</f>
        <v/>
      </c>
      <c r="AE181" s="128" t="str">
        <f>IF(AE$167="","",SUMIFS(DATA_GOC!$H:$H,DATA_GOC!$A:$A,"BOM",DATA_GOC!$D:$D,$B181,DATA_GOC!$E:$E,$F$159,DATA_GOC!$F:$F,"Xuất nội bộ từ téc",DATA_GOC!$B:$B,AE$167))</f>
        <v/>
      </c>
      <c r="AF181" s="128" t="str">
        <f>IF(AF$167="","",SUMIFS(DATA_GOC!$H:$H,DATA_GOC!$A:$A,"BOM",DATA_GOC!$D:$D,$B181,DATA_GOC!$E:$E,$F$159,DATA_GOC!$F:$F,"Xuất nội bộ từ téc",DATA_GOC!$B:$B,AF$167))</f>
        <v/>
      </c>
      <c r="AG181" s="128" t="str">
        <f>IF(AG$167="","",SUMIFS(DATA_GOC!$H:$H,DATA_GOC!$A:$A,"BOM",DATA_GOC!$D:$D,$B181,DATA_GOC!$E:$E,$F$159,DATA_GOC!$F:$F,"Xuất nội bộ từ téc",DATA_GOC!$B:$B,AG$167))</f>
        <v/>
      </c>
      <c r="AH181" s="129">
        <f>IF($B181="","",SUMIFS(DATA_GOC!$H:$H,DATA_GOC!$A:$A,"BOM",DATA_GOC!$D:$D,$B181,DATA_GOC!$E:$E,$F$159,DATA_GOC!$F:$F,"Xuất nội bộ từ téc",DATA_GOC!$B:$B,"&gt;="&amp;$H$159,DATA_GOC!$B:$B,"&lt;="&amp;$J$159))</f>
        <v>0</v>
      </c>
      <c r="AI181" s="130">
        <f t="shared" si="16"/>
        <v>0</v>
      </c>
      <c r="AJ181" s="129">
        <f t="shared" si="17"/>
        <v>0</v>
      </c>
      <c r="AK181" s="129">
        <f t="shared" si="18"/>
        <v>0</v>
      </c>
      <c r="AL181" s="129">
        <f t="shared" si="19"/>
        <v>0</v>
      </c>
    </row>
    <row r="182" ht="21.75" hidden="1" customHeight="1">
      <c r="A182" s="126">
        <f t="shared" si="15"/>
        <v>15</v>
      </c>
      <c r="B182" s="127" t="str">
        <f t="array" ref="B182">IFERROR(IF(INDEX(DANH_MUC!$E:$E,18)="","",INDEX(DANH_MUC!$E:$E,18)),"")</f>
        <v>28C02770</v>
      </c>
      <c r="C182" s="128">
        <f>IF(C$167="","",SUMIFS(DATA_GOC!$H:$H,DATA_GOC!$A:$A,"BOM",DATA_GOC!$D:$D,$B182,DATA_GOC!$E:$E,$F$159,DATA_GOC!$F:$F,"Xuất nội bộ từ téc",DATA_GOC!$B:$B,C$167))</f>
        <v>0</v>
      </c>
      <c r="D182" s="128">
        <f>IF(D$167="","",SUMIFS(DATA_GOC!$H:$H,DATA_GOC!$A:$A,"BOM",DATA_GOC!$D:$D,$B182,DATA_GOC!$E:$E,$F$159,DATA_GOC!$F:$F,"Xuất nội bộ từ téc",DATA_GOC!$B:$B,D$167))</f>
        <v>0</v>
      </c>
      <c r="E182" s="128">
        <f>IF(E$167="","",SUMIFS(DATA_GOC!$H:$H,DATA_GOC!$A:$A,"BOM",DATA_GOC!$D:$D,$B182,DATA_GOC!$E:$E,$F$159,DATA_GOC!$F:$F,"Xuất nội bộ từ téc",DATA_GOC!$B:$B,E$167))</f>
        <v>0</v>
      </c>
      <c r="F182" s="128">
        <f>IF(F$167="","",SUMIFS(DATA_GOC!$H:$H,DATA_GOC!$A:$A,"BOM",DATA_GOC!$D:$D,$B182,DATA_GOC!$E:$E,$F$159,DATA_GOC!$F:$F,"Xuất nội bộ từ téc",DATA_GOC!$B:$B,F$167))</f>
        <v>0</v>
      </c>
      <c r="G182" s="128">
        <f>IF(G$167="","",SUMIFS(DATA_GOC!$H:$H,DATA_GOC!$A:$A,"BOM",DATA_GOC!$D:$D,$B182,DATA_GOC!$E:$E,$F$159,DATA_GOC!$F:$F,"Xuất nội bộ từ téc",DATA_GOC!$B:$B,G$167))</f>
        <v>0</v>
      </c>
      <c r="H182" s="128">
        <f>IF(H$167="","",SUMIFS(DATA_GOC!$H:$H,DATA_GOC!$A:$A,"BOM",DATA_GOC!$D:$D,$B182,DATA_GOC!$E:$E,$F$159,DATA_GOC!$F:$F,"Xuất nội bộ từ téc",DATA_GOC!$B:$B,H$167))</f>
        <v>0</v>
      </c>
      <c r="I182" s="128">
        <f>IF(I$167="","",SUMIFS(DATA_GOC!$H:$H,DATA_GOC!$A:$A,"BOM",DATA_GOC!$D:$D,$B182,DATA_GOC!$E:$E,$F$159,DATA_GOC!$F:$F,"Xuất nội bộ từ téc",DATA_GOC!$B:$B,I$167))</f>
        <v>0</v>
      </c>
      <c r="J182" s="128">
        <f>IF(J$167="","",SUMIFS(DATA_GOC!$H:$H,DATA_GOC!$A:$A,"BOM",DATA_GOC!$D:$D,$B182,DATA_GOC!$E:$E,$F$159,DATA_GOC!$F:$F,"Xuất nội bộ từ téc",DATA_GOC!$B:$B,J$167))</f>
        <v>0</v>
      </c>
      <c r="K182" s="128">
        <f>IF(K$167="","",SUMIFS(DATA_GOC!$H:$H,DATA_GOC!$A:$A,"BOM",DATA_GOC!$D:$D,$B182,DATA_GOC!$E:$E,$F$159,DATA_GOC!$F:$F,"Xuất nội bộ từ téc",DATA_GOC!$B:$B,K$167))</f>
        <v>0</v>
      </c>
      <c r="L182" s="128">
        <f>IF(L$167="","",SUMIFS(DATA_GOC!$H:$H,DATA_GOC!$A:$A,"BOM",DATA_GOC!$D:$D,$B182,DATA_GOC!$E:$E,$F$159,DATA_GOC!$F:$F,"Xuất nội bộ từ téc",DATA_GOC!$B:$B,L$167))</f>
        <v>0</v>
      </c>
      <c r="M182" s="128">
        <f>IF(M$167="","",SUMIFS(DATA_GOC!$H:$H,DATA_GOC!$A:$A,"BOM",DATA_GOC!$D:$D,$B182,DATA_GOC!$E:$E,$F$159,DATA_GOC!$F:$F,"Xuất nội bộ từ téc",DATA_GOC!$B:$B,M$167))</f>
        <v>0</v>
      </c>
      <c r="N182" s="128">
        <f>IF(N$167="","",SUMIFS(DATA_GOC!$H:$H,DATA_GOC!$A:$A,"BOM",DATA_GOC!$D:$D,$B182,DATA_GOC!$E:$E,$F$159,DATA_GOC!$F:$F,"Xuất nội bộ từ téc",DATA_GOC!$B:$B,N$167))</f>
        <v>0</v>
      </c>
      <c r="O182" s="128">
        <f>IF(O$167="","",SUMIFS(DATA_GOC!$H:$H,DATA_GOC!$A:$A,"BOM",DATA_GOC!$D:$D,$B182,DATA_GOC!$E:$E,$F$159,DATA_GOC!$F:$F,"Xuất nội bộ từ téc",DATA_GOC!$B:$B,O$167))</f>
        <v>0</v>
      </c>
      <c r="P182" s="128">
        <f>IF(P$167="","",SUMIFS(DATA_GOC!$H:$H,DATA_GOC!$A:$A,"BOM",DATA_GOC!$D:$D,$B182,DATA_GOC!$E:$E,$F$159,DATA_GOC!$F:$F,"Xuất nội bộ từ téc",DATA_GOC!$B:$B,P$167))</f>
        <v>0</v>
      </c>
      <c r="Q182" s="128">
        <f>IF(Q$167="","",SUMIFS(DATA_GOC!$H:$H,DATA_GOC!$A:$A,"BOM",DATA_GOC!$D:$D,$B182,DATA_GOC!$E:$E,$F$159,DATA_GOC!$F:$F,"Xuất nội bộ từ téc",DATA_GOC!$B:$B,Q$167))</f>
        <v>54</v>
      </c>
      <c r="R182" s="128">
        <f>IF(R$167="","",SUMIFS(DATA_GOC!$H:$H,DATA_GOC!$A:$A,"BOM",DATA_GOC!$D:$D,$B182,DATA_GOC!$E:$E,$F$159,DATA_GOC!$F:$F,"Xuất nội bộ từ téc",DATA_GOC!$B:$B,R$167))</f>
        <v>0</v>
      </c>
      <c r="S182" s="128">
        <f>IF(S$167="","",SUMIFS(DATA_GOC!$H:$H,DATA_GOC!$A:$A,"BOM",DATA_GOC!$D:$D,$B182,DATA_GOC!$E:$E,$F$159,DATA_GOC!$F:$F,"Xuất nội bộ từ téc",DATA_GOC!$B:$B,S$167))</f>
        <v>49</v>
      </c>
      <c r="T182" s="128">
        <f>IF(T$167="","",SUMIFS(DATA_GOC!$H:$H,DATA_GOC!$A:$A,"BOM",DATA_GOC!$D:$D,$B182,DATA_GOC!$E:$E,$F$159,DATA_GOC!$F:$F,"Xuất nội bộ từ téc",DATA_GOC!$B:$B,T$167))</f>
        <v>0</v>
      </c>
      <c r="U182" s="128">
        <f>IF(U$167="","",SUMIFS(DATA_GOC!$H:$H,DATA_GOC!$A:$A,"BOM",DATA_GOC!$D:$D,$B182,DATA_GOC!$E:$E,$F$159,DATA_GOC!$F:$F,"Xuất nội bộ từ téc",DATA_GOC!$B:$B,U$167))</f>
        <v>0</v>
      </c>
      <c r="V182" s="128">
        <f>IF(V$167="","",SUMIFS(DATA_GOC!$H:$H,DATA_GOC!$A:$A,"BOM",DATA_GOC!$D:$D,$B182,DATA_GOC!$E:$E,$F$159,DATA_GOC!$F:$F,"Xuất nội bộ từ téc",DATA_GOC!$B:$B,V$167))</f>
        <v>60</v>
      </c>
      <c r="W182" s="128">
        <f>IF(W$167="","",SUMIFS(DATA_GOC!$H:$H,DATA_GOC!$A:$A,"BOM",DATA_GOC!$D:$D,$B182,DATA_GOC!$E:$E,$F$159,DATA_GOC!$F:$F,"Xuất nội bộ từ téc",DATA_GOC!$B:$B,W$167))</f>
        <v>0</v>
      </c>
      <c r="X182" s="128">
        <f>IF(X$167="","",SUMIFS(DATA_GOC!$H:$H,DATA_GOC!$A:$A,"BOM",DATA_GOC!$D:$D,$B182,DATA_GOC!$E:$E,$F$159,DATA_GOC!$F:$F,"Xuất nội bộ từ téc",DATA_GOC!$B:$B,X$167))</f>
        <v>0</v>
      </c>
      <c r="Y182" s="128" t="str">
        <f>IF(Y$167="","",SUMIFS(DATA_GOC!$H:$H,DATA_GOC!$A:$A,"BOM",DATA_GOC!$D:$D,$B182,DATA_GOC!$E:$E,$F$159,DATA_GOC!$F:$F,"Xuất nội bộ từ téc",DATA_GOC!$B:$B,Y$167))</f>
        <v/>
      </c>
      <c r="Z182" s="128" t="str">
        <f>IF(Z$167="","",SUMIFS(DATA_GOC!$H:$H,DATA_GOC!$A:$A,"BOM",DATA_GOC!$D:$D,$B182,DATA_GOC!$E:$E,$F$159,DATA_GOC!$F:$F,"Xuất nội bộ từ téc",DATA_GOC!$B:$B,Z$167))</f>
        <v/>
      </c>
      <c r="AA182" s="128" t="str">
        <f>IF(AA$167="","",SUMIFS(DATA_GOC!$H:$H,DATA_GOC!$A:$A,"BOM",DATA_GOC!$D:$D,$B182,DATA_GOC!$E:$E,$F$159,DATA_GOC!$F:$F,"Xuất nội bộ từ téc",DATA_GOC!$B:$B,AA$167))</f>
        <v/>
      </c>
      <c r="AB182" s="128" t="str">
        <f>IF(AB$167="","",SUMIFS(DATA_GOC!$H:$H,DATA_GOC!$A:$A,"BOM",DATA_GOC!$D:$D,$B182,DATA_GOC!$E:$E,$F$159,DATA_GOC!$F:$F,"Xuất nội bộ từ téc",DATA_GOC!$B:$B,AB$167))</f>
        <v/>
      </c>
      <c r="AC182" s="128" t="str">
        <f>IF(AC$167="","",SUMIFS(DATA_GOC!$H:$H,DATA_GOC!$A:$A,"BOM",DATA_GOC!$D:$D,$B182,DATA_GOC!$E:$E,$F$159,DATA_GOC!$F:$F,"Xuất nội bộ từ téc",DATA_GOC!$B:$B,AC$167))</f>
        <v/>
      </c>
      <c r="AD182" s="128" t="str">
        <f>IF(AD$167="","",SUMIFS(DATA_GOC!$H:$H,DATA_GOC!$A:$A,"BOM",DATA_GOC!$D:$D,$B182,DATA_GOC!$E:$E,$F$159,DATA_GOC!$F:$F,"Xuất nội bộ từ téc",DATA_GOC!$B:$B,AD$167))</f>
        <v/>
      </c>
      <c r="AE182" s="128" t="str">
        <f>IF(AE$167="","",SUMIFS(DATA_GOC!$H:$H,DATA_GOC!$A:$A,"BOM",DATA_GOC!$D:$D,$B182,DATA_GOC!$E:$E,$F$159,DATA_GOC!$F:$F,"Xuất nội bộ từ téc",DATA_GOC!$B:$B,AE$167))</f>
        <v/>
      </c>
      <c r="AF182" s="128" t="str">
        <f>IF(AF$167="","",SUMIFS(DATA_GOC!$H:$H,DATA_GOC!$A:$A,"BOM",DATA_GOC!$D:$D,$B182,DATA_GOC!$E:$E,$F$159,DATA_GOC!$F:$F,"Xuất nội bộ từ téc",DATA_GOC!$B:$B,AF$167))</f>
        <v/>
      </c>
      <c r="AG182" s="128" t="str">
        <f>IF(AG$167="","",SUMIFS(DATA_GOC!$H:$H,DATA_GOC!$A:$A,"BOM",DATA_GOC!$D:$D,$B182,DATA_GOC!$E:$E,$F$159,DATA_GOC!$F:$F,"Xuất nội bộ từ téc",DATA_GOC!$B:$B,AG$167))</f>
        <v/>
      </c>
      <c r="AH182" s="129">
        <f>IF($B182="","",SUMIFS(DATA_GOC!$H:$H,DATA_GOC!$A:$A,"BOM",DATA_GOC!$D:$D,$B182,DATA_GOC!$E:$E,$F$159,DATA_GOC!$F:$F,"Xuất nội bộ từ téc",DATA_GOC!$B:$B,"&gt;="&amp;$H$159,DATA_GOC!$B:$B,"&lt;="&amp;$J$159))</f>
        <v>163</v>
      </c>
      <c r="AI182" s="130">
        <f t="shared" si="16"/>
        <v>0.01182101675</v>
      </c>
      <c r="AJ182" s="129">
        <f t="shared" si="17"/>
        <v>4.386</v>
      </c>
      <c r="AK182" s="129">
        <f t="shared" si="18"/>
        <v>0</v>
      </c>
      <c r="AL182" s="129">
        <f t="shared" si="19"/>
        <v>167.386</v>
      </c>
    </row>
    <row r="183" ht="21.75" hidden="1" customHeight="1">
      <c r="A183" s="126">
        <f t="shared" si="15"/>
        <v>16</v>
      </c>
      <c r="B183" s="127" t="str">
        <f t="array" ref="B183">IFERROR(IF(INDEX(DANH_MUC!$E:$E,19)="","",INDEX(DANH_MUC!$E:$E,19)),"")</f>
        <v>28C02986</v>
      </c>
      <c r="C183" s="128">
        <f>IF(C$167="","",SUMIFS(DATA_GOC!$H:$H,DATA_GOC!$A:$A,"BOM",DATA_GOC!$D:$D,$B183,DATA_GOC!$E:$E,$F$159,DATA_GOC!$F:$F,"Xuất nội bộ từ téc",DATA_GOC!$B:$B,C$167))</f>
        <v>0</v>
      </c>
      <c r="D183" s="128">
        <f>IF(D$167="","",SUMIFS(DATA_GOC!$H:$H,DATA_GOC!$A:$A,"BOM",DATA_GOC!$D:$D,$B183,DATA_GOC!$E:$E,$F$159,DATA_GOC!$F:$F,"Xuất nội bộ từ téc",DATA_GOC!$B:$B,D$167))</f>
        <v>0</v>
      </c>
      <c r="E183" s="128">
        <f>IF(E$167="","",SUMIFS(DATA_GOC!$H:$H,DATA_GOC!$A:$A,"BOM",DATA_GOC!$D:$D,$B183,DATA_GOC!$E:$E,$F$159,DATA_GOC!$F:$F,"Xuất nội bộ từ téc",DATA_GOC!$B:$B,E$167))</f>
        <v>0</v>
      </c>
      <c r="F183" s="128">
        <f>IF(F$167="","",SUMIFS(DATA_GOC!$H:$H,DATA_GOC!$A:$A,"BOM",DATA_GOC!$D:$D,$B183,DATA_GOC!$E:$E,$F$159,DATA_GOC!$F:$F,"Xuất nội bộ từ téc",DATA_GOC!$B:$B,F$167))</f>
        <v>0</v>
      </c>
      <c r="G183" s="128">
        <f>IF(G$167="","",SUMIFS(DATA_GOC!$H:$H,DATA_GOC!$A:$A,"BOM",DATA_GOC!$D:$D,$B183,DATA_GOC!$E:$E,$F$159,DATA_GOC!$F:$F,"Xuất nội bộ từ téc",DATA_GOC!$B:$B,G$167))</f>
        <v>0</v>
      </c>
      <c r="H183" s="128">
        <f>IF(H$167="","",SUMIFS(DATA_GOC!$H:$H,DATA_GOC!$A:$A,"BOM",DATA_GOC!$D:$D,$B183,DATA_GOC!$E:$E,$F$159,DATA_GOC!$F:$F,"Xuất nội bộ từ téc",DATA_GOC!$B:$B,H$167))</f>
        <v>0</v>
      </c>
      <c r="I183" s="128">
        <f>IF(I$167="","",SUMIFS(DATA_GOC!$H:$H,DATA_GOC!$A:$A,"BOM",DATA_GOC!$D:$D,$B183,DATA_GOC!$E:$E,$F$159,DATA_GOC!$F:$F,"Xuất nội bộ từ téc",DATA_GOC!$B:$B,I$167))</f>
        <v>0</v>
      </c>
      <c r="J183" s="128">
        <f>IF(J$167="","",SUMIFS(DATA_GOC!$H:$H,DATA_GOC!$A:$A,"BOM",DATA_GOC!$D:$D,$B183,DATA_GOC!$E:$E,$F$159,DATA_GOC!$F:$F,"Xuất nội bộ từ téc",DATA_GOC!$B:$B,J$167))</f>
        <v>0</v>
      </c>
      <c r="K183" s="128">
        <f>IF(K$167="","",SUMIFS(DATA_GOC!$H:$H,DATA_GOC!$A:$A,"BOM",DATA_GOC!$D:$D,$B183,DATA_GOC!$E:$E,$F$159,DATA_GOC!$F:$F,"Xuất nội bộ từ téc",DATA_GOC!$B:$B,K$167))</f>
        <v>0</v>
      </c>
      <c r="L183" s="128">
        <f>IF(L$167="","",SUMIFS(DATA_GOC!$H:$H,DATA_GOC!$A:$A,"BOM",DATA_GOC!$D:$D,$B183,DATA_GOC!$E:$E,$F$159,DATA_GOC!$F:$F,"Xuất nội bộ từ téc",DATA_GOC!$B:$B,L$167))</f>
        <v>310</v>
      </c>
      <c r="M183" s="128">
        <f>IF(M$167="","",SUMIFS(DATA_GOC!$H:$H,DATA_GOC!$A:$A,"BOM",DATA_GOC!$D:$D,$B183,DATA_GOC!$E:$E,$F$159,DATA_GOC!$F:$F,"Xuất nội bộ từ téc",DATA_GOC!$B:$B,M$167))</f>
        <v>0</v>
      </c>
      <c r="N183" s="128">
        <f>IF(N$167="","",SUMIFS(DATA_GOC!$H:$H,DATA_GOC!$A:$A,"BOM",DATA_GOC!$D:$D,$B183,DATA_GOC!$E:$E,$F$159,DATA_GOC!$F:$F,"Xuất nội bộ từ téc",DATA_GOC!$B:$B,N$167))</f>
        <v>0</v>
      </c>
      <c r="O183" s="128">
        <f>IF(O$167="","",SUMIFS(DATA_GOC!$H:$H,DATA_GOC!$A:$A,"BOM",DATA_GOC!$D:$D,$B183,DATA_GOC!$E:$E,$F$159,DATA_GOC!$F:$F,"Xuất nội bộ từ téc",DATA_GOC!$B:$B,O$167))</f>
        <v>0</v>
      </c>
      <c r="P183" s="128">
        <f>IF(P$167="","",SUMIFS(DATA_GOC!$H:$H,DATA_GOC!$A:$A,"BOM",DATA_GOC!$D:$D,$B183,DATA_GOC!$E:$E,$F$159,DATA_GOC!$F:$F,"Xuất nội bộ từ téc",DATA_GOC!$B:$B,P$167))</f>
        <v>300</v>
      </c>
      <c r="Q183" s="128">
        <f>IF(Q$167="","",SUMIFS(DATA_GOC!$H:$H,DATA_GOC!$A:$A,"BOM",DATA_GOC!$D:$D,$B183,DATA_GOC!$E:$E,$F$159,DATA_GOC!$F:$F,"Xuất nội bộ từ téc",DATA_GOC!$B:$B,Q$167))</f>
        <v>0</v>
      </c>
      <c r="R183" s="128">
        <f>IF(R$167="","",SUMIFS(DATA_GOC!$H:$H,DATA_GOC!$A:$A,"BOM",DATA_GOC!$D:$D,$B183,DATA_GOC!$E:$E,$F$159,DATA_GOC!$F:$F,"Xuất nội bộ từ téc",DATA_GOC!$B:$B,R$167))</f>
        <v>0</v>
      </c>
      <c r="S183" s="128">
        <f>IF(S$167="","",SUMIFS(DATA_GOC!$H:$H,DATA_GOC!$A:$A,"BOM",DATA_GOC!$D:$D,$B183,DATA_GOC!$E:$E,$F$159,DATA_GOC!$F:$F,"Xuất nội bộ từ téc",DATA_GOC!$B:$B,S$167))</f>
        <v>0</v>
      </c>
      <c r="T183" s="128">
        <f>IF(T$167="","",SUMIFS(DATA_GOC!$H:$H,DATA_GOC!$A:$A,"BOM",DATA_GOC!$D:$D,$B183,DATA_GOC!$E:$E,$F$159,DATA_GOC!$F:$F,"Xuất nội bộ từ téc",DATA_GOC!$B:$B,T$167))</f>
        <v>320</v>
      </c>
      <c r="U183" s="128">
        <f>IF(U$167="","",SUMIFS(DATA_GOC!$H:$H,DATA_GOC!$A:$A,"BOM",DATA_GOC!$D:$D,$B183,DATA_GOC!$E:$E,$F$159,DATA_GOC!$F:$F,"Xuất nội bộ từ téc",DATA_GOC!$B:$B,U$167))</f>
        <v>0</v>
      </c>
      <c r="V183" s="128">
        <f>IF(V$167="","",SUMIFS(DATA_GOC!$H:$H,DATA_GOC!$A:$A,"BOM",DATA_GOC!$D:$D,$B183,DATA_GOC!$E:$E,$F$159,DATA_GOC!$F:$F,"Xuất nội bộ từ téc",DATA_GOC!$B:$B,V$167))</f>
        <v>0</v>
      </c>
      <c r="W183" s="128">
        <f>IF(W$167="","",SUMIFS(DATA_GOC!$H:$H,DATA_GOC!$A:$A,"BOM",DATA_GOC!$D:$D,$B183,DATA_GOC!$E:$E,$F$159,DATA_GOC!$F:$F,"Xuất nội bộ từ téc",DATA_GOC!$B:$B,W$167))</f>
        <v>0</v>
      </c>
      <c r="X183" s="128">
        <f>IF(X$167="","",SUMIFS(DATA_GOC!$H:$H,DATA_GOC!$A:$A,"BOM",DATA_GOC!$D:$D,$B183,DATA_GOC!$E:$E,$F$159,DATA_GOC!$F:$F,"Xuất nội bộ từ téc",DATA_GOC!$B:$B,X$167))</f>
        <v>0</v>
      </c>
      <c r="Y183" s="128" t="str">
        <f>IF(Y$167="","",SUMIFS(DATA_GOC!$H:$H,DATA_GOC!$A:$A,"BOM",DATA_GOC!$D:$D,$B183,DATA_GOC!$E:$E,$F$159,DATA_GOC!$F:$F,"Xuất nội bộ từ téc",DATA_GOC!$B:$B,Y$167))</f>
        <v/>
      </c>
      <c r="Z183" s="128" t="str">
        <f>IF(Z$167="","",SUMIFS(DATA_GOC!$H:$H,DATA_GOC!$A:$A,"BOM",DATA_GOC!$D:$D,$B183,DATA_GOC!$E:$E,$F$159,DATA_GOC!$F:$F,"Xuất nội bộ từ téc",DATA_GOC!$B:$B,Z$167))</f>
        <v/>
      </c>
      <c r="AA183" s="128" t="str">
        <f>IF(AA$167="","",SUMIFS(DATA_GOC!$H:$H,DATA_GOC!$A:$A,"BOM",DATA_GOC!$D:$D,$B183,DATA_GOC!$E:$E,$F$159,DATA_GOC!$F:$F,"Xuất nội bộ từ téc",DATA_GOC!$B:$B,AA$167))</f>
        <v/>
      </c>
      <c r="AB183" s="128" t="str">
        <f>IF(AB$167="","",SUMIFS(DATA_GOC!$H:$H,DATA_GOC!$A:$A,"BOM",DATA_GOC!$D:$D,$B183,DATA_GOC!$E:$E,$F$159,DATA_GOC!$F:$F,"Xuất nội bộ từ téc",DATA_GOC!$B:$B,AB$167))</f>
        <v/>
      </c>
      <c r="AC183" s="128" t="str">
        <f>IF(AC$167="","",SUMIFS(DATA_GOC!$H:$H,DATA_GOC!$A:$A,"BOM",DATA_GOC!$D:$D,$B183,DATA_GOC!$E:$E,$F$159,DATA_GOC!$F:$F,"Xuất nội bộ từ téc",DATA_GOC!$B:$B,AC$167))</f>
        <v/>
      </c>
      <c r="AD183" s="128" t="str">
        <f>IF(AD$167="","",SUMIFS(DATA_GOC!$H:$H,DATA_GOC!$A:$A,"BOM",DATA_GOC!$D:$D,$B183,DATA_GOC!$E:$E,$F$159,DATA_GOC!$F:$F,"Xuất nội bộ từ téc",DATA_GOC!$B:$B,AD$167))</f>
        <v/>
      </c>
      <c r="AE183" s="128" t="str">
        <f>IF(AE$167="","",SUMIFS(DATA_GOC!$H:$H,DATA_GOC!$A:$A,"BOM",DATA_GOC!$D:$D,$B183,DATA_GOC!$E:$E,$F$159,DATA_GOC!$F:$F,"Xuất nội bộ từ téc",DATA_GOC!$B:$B,AE$167))</f>
        <v/>
      </c>
      <c r="AF183" s="128" t="str">
        <f>IF(AF$167="","",SUMIFS(DATA_GOC!$H:$H,DATA_GOC!$A:$A,"BOM",DATA_GOC!$D:$D,$B183,DATA_GOC!$E:$E,$F$159,DATA_GOC!$F:$F,"Xuất nội bộ từ téc",DATA_GOC!$B:$B,AF$167))</f>
        <v/>
      </c>
      <c r="AG183" s="128" t="str">
        <f>IF(AG$167="","",SUMIFS(DATA_GOC!$H:$H,DATA_GOC!$A:$A,"BOM",DATA_GOC!$D:$D,$B183,DATA_GOC!$E:$E,$F$159,DATA_GOC!$F:$F,"Xuất nội bộ từ téc",DATA_GOC!$B:$B,AG$167))</f>
        <v/>
      </c>
      <c r="AH183" s="129">
        <f>IF($B183="","",SUMIFS(DATA_GOC!$H:$H,DATA_GOC!$A:$A,"BOM",DATA_GOC!$D:$D,$B183,DATA_GOC!$E:$E,$F$159,DATA_GOC!$F:$F,"Xuất nội bộ từ téc",DATA_GOC!$B:$B,"&gt;="&amp;$H$159,DATA_GOC!$B:$B,"&lt;="&amp;$J$159))</f>
        <v>930</v>
      </c>
      <c r="AI183" s="130">
        <f t="shared" si="16"/>
        <v>0.06744506491</v>
      </c>
      <c r="AJ183" s="129">
        <f t="shared" si="17"/>
        <v>25.022</v>
      </c>
      <c r="AK183" s="129">
        <f t="shared" si="18"/>
        <v>0</v>
      </c>
      <c r="AL183" s="129">
        <f t="shared" si="19"/>
        <v>955.022</v>
      </c>
    </row>
    <row r="184" ht="21.75" hidden="1" customHeight="1">
      <c r="A184" s="126">
        <f t="shared" si="15"/>
        <v>17</v>
      </c>
      <c r="B184" s="127" t="str">
        <f t="array" ref="B184">IFERROR(IF(INDEX(DANH_MUC!$E:$E,20)="","",INDEX(DANH_MUC!$E:$E,20)),"")</f>
        <v>28C03261</v>
      </c>
      <c r="C184" s="128">
        <f>IF(C$167="","",SUMIFS(DATA_GOC!$H:$H,DATA_GOC!$A:$A,"BOM",DATA_GOC!$D:$D,$B184,DATA_GOC!$E:$E,$F$159,DATA_GOC!$F:$F,"Xuất nội bộ từ téc",DATA_GOC!$B:$B,C$167))</f>
        <v>0</v>
      </c>
      <c r="D184" s="128">
        <f>IF(D$167="","",SUMIFS(DATA_GOC!$H:$H,DATA_GOC!$A:$A,"BOM",DATA_GOC!$D:$D,$B184,DATA_GOC!$E:$E,$F$159,DATA_GOC!$F:$F,"Xuất nội bộ từ téc",DATA_GOC!$B:$B,D$167))</f>
        <v>0</v>
      </c>
      <c r="E184" s="128">
        <f>IF(E$167="","",SUMIFS(DATA_GOC!$H:$H,DATA_GOC!$A:$A,"BOM",DATA_GOC!$D:$D,$B184,DATA_GOC!$E:$E,$F$159,DATA_GOC!$F:$F,"Xuất nội bộ từ téc",DATA_GOC!$B:$B,E$167))</f>
        <v>0</v>
      </c>
      <c r="F184" s="128">
        <f>IF(F$167="","",SUMIFS(DATA_GOC!$H:$H,DATA_GOC!$A:$A,"BOM",DATA_GOC!$D:$D,$B184,DATA_GOC!$E:$E,$F$159,DATA_GOC!$F:$F,"Xuất nội bộ từ téc",DATA_GOC!$B:$B,F$167))</f>
        <v>0</v>
      </c>
      <c r="G184" s="128">
        <f>IF(G$167="","",SUMIFS(DATA_GOC!$H:$H,DATA_GOC!$A:$A,"BOM",DATA_GOC!$D:$D,$B184,DATA_GOC!$E:$E,$F$159,DATA_GOC!$F:$F,"Xuất nội bộ từ téc",DATA_GOC!$B:$B,G$167))</f>
        <v>0</v>
      </c>
      <c r="H184" s="128">
        <f>IF(H$167="","",SUMIFS(DATA_GOC!$H:$H,DATA_GOC!$A:$A,"BOM",DATA_GOC!$D:$D,$B184,DATA_GOC!$E:$E,$F$159,DATA_GOC!$F:$F,"Xuất nội bộ từ téc",DATA_GOC!$B:$B,H$167))</f>
        <v>0</v>
      </c>
      <c r="I184" s="128">
        <f>IF(I$167="","",SUMIFS(DATA_GOC!$H:$H,DATA_GOC!$A:$A,"BOM",DATA_GOC!$D:$D,$B184,DATA_GOC!$E:$E,$F$159,DATA_GOC!$F:$F,"Xuất nội bộ từ téc",DATA_GOC!$B:$B,I$167))</f>
        <v>0</v>
      </c>
      <c r="J184" s="128">
        <f>IF(J$167="","",SUMIFS(DATA_GOC!$H:$H,DATA_GOC!$A:$A,"BOM",DATA_GOC!$D:$D,$B184,DATA_GOC!$E:$E,$F$159,DATA_GOC!$F:$F,"Xuất nội bộ từ téc",DATA_GOC!$B:$B,J$167))</f>
        <v>0</v>
      </c>
      <c r="K184" s="128">
        <f>IF(K$167="","",SUMIFS(DATA_GOC!$H:$H,DATA_GOC!$A:$A,"BOM",DATA_GOC!$D:$D,$B184,DATA_GOC!$E:$E,$F$159,DATA_GOC!$F:$F,"Xuất nội bộ từ téc",DATA_GOC!$B:$B,K$167))</f>
        <v>0</v>
      </c>
      <c r="L184" s="128">
        <f>IF(L$167="","",SUMIFS(DATA_GOC!$H:$H,DATA_GOC!$A:$A,"BOM",DATA_GOC!$D:$D,$B184,DATA_GOC!$E:$E,$F$159,DATA_GOC!$F:$F,"Xuất nội bộ từ téc",DATA_GOC!$B:$B,L$167))</f>
        <v>0</v>
      </c>
      <c r="M184" s="128">
        <f>IF(M$167="","",SUMIFS(DATA_GOC!$H:$H,DATA_GOC!$A:$A,"BOM",DATA_GOC!$D:$D,$B184,DATA_GOC!$E:$E,$F$159,DATA_GOC!$F:$F,"Xuất nội bộ từ téc",DATA_GOC!$B:$B,M$167))</f>
        <v>0</v>
      </c>
      <c r="N184" s="128">
        <f>IF(N$167="","",SUMIFS(DATA_GOC!$H:$H,DATA_GOC!$A:$A,"BOM",DATA_GOC!$D:$D,$B184,DATA_GOC!$E:$E,$F$159,DATA_GOC!$F:$F,"Xuất nội bộ từ téc",DATA_GOC!$B:$B,N$167))</f>
        <v>0</v>
      </c>
      <c r="O184" s="128">
        <f>IF(O$167="","",SUMIFS(DATA_GOC!$H:$H,DATA_GOC!$A:$A,"BOM",DATA_GOC!$D:$D,$B184,DATA_GOC!$E:$E,$F$159,DATA_GOC!$F:$F,"Xuất nội bộ từ téc",DATA_GOC!$B:$B,O$167))</f>
        <v>0</v>
      </c>
      <c r="P184" s="128">
        <f>IF(P$167="","",SUMIFS(DATA_GOC!$H:$H,DATA_GOC!$A:$A,"BOM",DATA_GOC!$D:$D,$B184,DATA_GOC!$E:$E,$F$159,DATA_GOC!$F:$F,"Xuất nội bộ từ téc",DATA_GOC!$B:$B,P$167))</f>
        <v>0</v>
      </c>
      <c r="Q184" s="128">
        <f>IF(Q$167="","",SUMIFS(DATA_GOC!$H:$H,DATA_GOC!$A:$A,"BOM",DATA_GOC!$D:$D,$B184,DATA_GOC!$E:$E,$F$159,DATA_GOC!$F:$F,"Xuất nội bộ từ téc",DATA_GOC!$B:$B,Q$167))</f>
        <v>0</v>
      </c>
      <c r="R184" s="128">
        <f>IF(R$167="","",SUMIFS(DATA_GOC!$H:$H,DATA_GOC!$A:$A,"BOM",DATA_GOC!$D:$D,$B184,DATA_GOC!$E:$E,$F$159,DATA_GOC!$F:$F,"Xuất nội bộ từ téc",DATA_GOC!$B:$B,R$167))</f>
        <v>0</v>
      </c>
      <c r="S184" s="128">
        <f>IF(S$167="","",SUMIFS(DATA_GOC!$H:$H,DATA_GOC!$A:$A,"BOM",DATA_GOC!$D:$D,$B184,DATA_GOC!$E:$E,$F$159,DATA_GOC!$F:$F,"Xuất nội bộ từ téc",DATA_GOC!$B:$B,S$167))</f>
        <v>0</v>
      </c>
      <c r="T184" s="128">
        <f>IF(T$167="","",SUMIFS(DATA_GOC!$H:$H,DATA_GOC!$A:$A,"BOM",DATA_GOC!$D:$D,$B184,DATA_GOC!$E:$E,$F$159,DATA_GOC!$F:$F,"Xuất nội bộ từ téc",DATA_GOC!$B:$B,T$167))</f>
        <v>220</v>
      </c>
      <c r="U184" s="128">
        <f>IF(U$167="","",SUMIFS(DATA_GOC!$H:$H,DATA_GOC!$A:$A,"BOM",DATA_GOC!$D:$D,$B184,DATA_GOC!$E:$E,$F$159,DATA_GOC!$F:$F,"Xuất nội bộ từ téc",DATA_GOC!$B:$B,U$167))</f>
        <v>0</v>
      </c>
      <c r="V184" s="128">
        <f>IF(V$167="","",SUMIFS(DATA_GOC!$H:$H,DATA_GOC!$A:$A,"BOM",DATA_GOC!$D:$D,$B184,DATA_GOC!$E:$E,$F$159,DATA_GOC!$F:$F,"Xuất nội bộ từ téc",DATA_GOC!$B:$B,V$167))</f>
        <v>0</v>
      </c>
      <c r="W184" s="128">
        <f>IF(W$167="","",SUMIFS(DATA_GOC!$H:$H,DATA_GOC!$A:$A,"BOM",DATA_GOC!$D:$D,$B184,DATA_GOC!$E:$E,$F$159,DATA_GOC!$F:$F,"Xuất nội bộ từ téc",DATA_GOC!$B:$B,W$167))</f>
        <v>0</v>
      </c>
      <c r="X184" s="128">
        <f>IF(X$167="","",SUMIFS(DATA_GOC!$H:$H,DATA_GOC!$A:$A,"BOM",DATA_GOC!$D:$D,$B184,DATA_GOC!$E:$E,$F$159,DATA_GOC!$F:$F,"Xuất nội bộ từ téc",DATA_GOC!$B:$B,X$167))</f>
        <v>0</v>
      </c>
      <c r="Y184" s="128" t="str">
        <f>IF(Y$167="","",SUMIFS(DATA_GOC!$H:$H,DATA_GOC!$A:$A,"BOM",DATA_GOC!$D:$D,$B184,DATA_GOC!$E:$E,$F$159,DATA_GOC!$F:$F,"Xuất nội bộ từ téc",DATA_GOC!$B:$B,Y$167))</f>
        <v/>
      </c>
      <c r="Z184" s="128" t="str">
        <f>IF(Z$167="","",SUMIFS(DATA_GOC!$H:$H,DATA_GOC!$A:$A,"BOM",DATA_GOC!$D:$D,$B184,DATA_GOC!$E:$E,$F$159,DATA_GOC!$F:$F,"Xuất nội bộ từ téc",DATA_GOC!$B:$B,Z$167))</f>
        <v/>
      </c>
      <c r="AA184" s="128" t="str">
        <f>IF(AA$167="","",SUMIFS(DATA_GOC!$H:$H,DATA_GOC!$A:$A,"BOM",DATA_GOC!$D:$D,$B184,DATA_GOC!$E:$E,$F$159,DATA_GOC!$F:$F,"Xuất nội bộ từ téc",DATA_GOC!$B:$B,AA$167))</f>
        <v/>
      </c>
      <c r="AB184" s="128" t="str">
        <f>IF(AB$167="","",SUMIFS(DATA_GOC!$H:$H,DATA_GOC!$A:$A,"BOM",DATA_GOC!$D:$D,$B184,DATA_GOC!$E:$E,$F$159,DATA_GOC!$F:$F,"Xuất nội bộ từ téc",DATA_GOC!$B:$B,AB$167))</f>
        <v/>
      </c>
      <c r="AC184" s="128" t="str">
        <f>IF(AC$167="","",SUMIFS(DATA_GOC!$H:$H,DATA_GOC!$A:$A,"BOM",DATA_GOC!$D:$D,$B184,DATA_GOC!$E:$E,$F$159,DATA_GOC!$F:$F,"Xuất nội bộ từ téc",DATA_GOC!$B:$B,AC$167))</f>
        <v/>
      </c>
      <c r="AD184" s="128" t="str">
        <f>IF(AD$167="","",SUMIFS(DATA_GOC!$H:$H,DATA_GOC!$A:$A,"BOM",DATA_GOC!$D:$D,$B184,DATA_GOC!$E:$E,$F$159,DATA_GOC!$F:$F,"Xuất nội bộ từ téc",DATA_GOC!$B:$B,AD$167))</f>
        <v/>
      </c>
      <c r="AE184" s="128" t="str">
        <f>IF(AE$167="","",SUMIFS(DATA_GOC!$H:$H,DATA_GOC!$A:$A,"BOM",DATA_GOC!$D:$D,$B184,DATA_GOC!$E:$E,$F$159,DATA_GOC!$F:$F,"Xuất nội bộ từ téc",DATA_GOC!$B:$B,AE$167))</f>
        <v/>
      </c>
      <c r="AF184" s="128" t="str">
        <f>IF(AF$167="","",SUMIFS(DATA_GOC!$H:$H,DATA_GOC!$A:$A,"BOM",DATA_GOC!$D:$D,$B184,DATA_GOC!$E:$E,$F$159,DATA_GOC!$F:$F,"Xuất nội bộ từ téc",DATA_GOC!$B:$B,AF$167))</f>
        <v/>
      </c>
      <c r="AG184" s="128" t="str">
        <f>IF(AG$167="","",SUMIFS(DATA_GOC!$H:$H,DATA_GOC!$A:$A,"BOM",DATA_GOC!$D:$D,$B184,DATA_GOC!$E:$E,$F$159,DATA_GOC!$F:$F,"Xuất nội bộ từ téc",DATA_GOC!$B:$B,AG$167))</f>
        <v/>
      </c>
      <c r="AH184" s="129">
        <f>IF($B184="","",SUMIFS(DATA_GOC!$H:$H,DATA_GOC!$A:$A,"BOM",DATA_GOC!$D:$D,$B184,DATA_GOC!$E:$E,$F$159,DATA_GOC!$F:$F,"Xuất nội bộ từ téc",DATA_GOC!$B:$B,"&gt;="&amp;$H$159,DATA_GOC!$B:$B,"&lt;="&amp;$J$159))</f>
        <v>220</v>
      </c>
      <c r="AI184" s="130">
        <f t="shared" si="16"/>
        <v>0.01595474654</v>
      </c>
      <c r="AJ184" s="129">
        <f t="shared" si="17"/>
        <v>5.919</v>
      </c>
      <c r="AK184" s="129">
        <f t="shared" si="18"/>
        <v>0</v>
      </c>
      <c r="AL184" s="129">
        <f t="shared" si="19"/>
        <v>225.919</v>
      </c>
    </row>
    <row r="185" ht="21.75" hidden="1" customHeight="1">
      <c r="A185" s="126">
        <f t="shared" si="15"/>
        <v>18</v>
      </c>
      <c r="B185" s="127" t="str">
        <f t="array" ref="B185">IFERROR(IF(INDEX(DANH_MUC!$E:$E,21)="","",INDEX(DANH_MUC!$E:$E,21)),"")</f>
        <v>28C03323</v>
      </c>
      <c r="C185" s="128">
        <f>IF(C$167="","",SUMIFS(DATA_GOC!$H:$H,DATA_GOC!$A:$A,"BOM",DATA_GOC!$D:$D,$B185,DATA_GOC!$E:$E,$F$159,DATA_GOC!$F:$F,"Xuất nội bộ từ téc",DATA_GOC!$B:$B,C$167))</f>
        <v>0</v>
      </c>
      <c r="D185" s="128">
        <f>IF(D$167="","",SUMIFS(DATA_GOC!$H:$H,DATA_GOC!$A:$A,"BOM",DATA_GOC!$D:$D,$B185,DATA_GOC!$E:$E,$F$159,DATA_GOC!$F:$F,"Xuất nội bộ từ téc",DATA_GOC!$B:$B,D$167))</f>
        <v>0</v>
      </c>
      <c r="E185" s="128">
        <f>IF(E$167="","",SUMIFS(DATA_GOC!$H:$H,DATA_GOC!$A:$A,"BOM",DATA_GOC!$D:$D,$B185,DATA_GOC!$E:$E,$F$159,DATA_GOC!$F:$F,"Xuất nội bộ từ téc",DATA_GOC!$B:$B,E$167))</f>
        <v>0</v>
      </c>
      <c r="F185" s="128">
        <f>IF(F$167="","",SUMIFS(DATA_GOC!$H:$H,DATA_GOC!$A:$A,"BOM",DATA_GOC!$D:$D,$B185,DATA_GOC!$E:$E,$F$159,DATA_GOC!$F:$F,"Xuất nội bộ từ téc",DATA_GOC!$B:$B,F$167))</f>
        <v>0</v>
      </c>
      <c r="G185" s="128">
        <f>IF(G$167="","",SUMIFS(DATA_GOC!$H:$H,DATA_GOC!$A:$A,"BOM",DATA_GOC!$D:$D,$B185,DATA_GOC!$E:$E,$F$159,DATA_GOC!$F:$F,"Xuất nội bộ từ téc",DATA_GOC!$B:$B,G$167))</f>
        <v>0</v>
      </c>
      <c r="H185" s="128">
        <f>IF(H$167="","",SUMIFS(DATA_GOC!$H:$H,DATA_GOC!$A:$A,"BOM",DATA_GOC!$D:$D,$B185,DATA_GOC!$E:$E,$F$159,DATA_GOC!$F:$F,"Xuất nội bộ từ téc",DATA_GOC!$B:$B,H$167))</f>
        <v>0</v>
      </c>
      <c r="I185" s="128">
        <f>IF(I$167="","",SUMIFS(DATA_GOC!$H:$H,DATA_GOC!$A:$A,"BOM",DATA_GOC!$D:$D,$B185,DATA_GOC!$E:$E,$F$159,DATA_GOC!$F:$F,"Xuất nội bộ từ téc",DATA_GOC!$B:$B,I$167))</f>
        <v>0</v>
      </c>
      <c r="J185" s="128">
        <f>IF(J$167="","",SUMIFS(DATA_GOC!$H:$H,DATA_GOC!$A:$A,"BOM",DATA_GOC!$D:$D,$B185,DATA_GOC!$E:$E,$F$159,DATA_GOC!$F:$F,"Xuất nội bộ từ téc",DATA_GOC!$B:$B,J$167))</f>
        <v>0</v>
      </c>
      <c r="K185" s="128">
        <f>IF(K$167="","",SUMIFS(DATA_GOC!$H:$H,DATA_GOC!$A:$A,"BOM",DATA_GOC!$D:$D,$B185,DATA_GOC!$E:$E,$F$159,DATA_GOC!$F:$F,"Xuất nội bộ từ téc",DATA_GOC!$B:$B,K$167))</f>
        <v>0</v>
      </c>
      <c r="L185" s="128">
        <f>IF(L$167="","",SUMIFS(DATA_GOC!$H:$H,DATA_GOC!$A:$A,"BOM",DATA_GOC!$D:$D,$B185,DATA_GOC!$E:$E,$F$159,DATA_GOC!$F:$F,"Xuất nội bộ từ téc",DATA_GOC!$B:$B,L$167))</f>
        <v>0</v>
      </c>
      <c r="M185" s="128">
        <f>IF(M$167="","",SUMIFS(DATA_GOC!$H:$H,DATA_GOC!$A:$A,"BOM",DATA_GOC!$D:$D,$B185,DATA_GOC!$E:$E,$F$159,DATA_GOC!$F:$F,"Xuất nội bộ từ téc",DATA_GOC!$B:$B,M$167))</f>
        <v>0</v>
      </c>
      <c r="N185" s="128">
        <f>IF(N$167="","",SUMIFS(DATA_GOC!$H:$H,DATA_GOC!$A:$A,"BOM",DATA_GOC!$D:$D,$B185,DATA_GOC!$E:$E,$F$159,DATA_GOC!$F:$F,"Xuất nội bộ từ téc",DATA_GOC!$B:$B,N$167))</f>
        <v>0</v>
      </c>
      <c r="O185" s="128">
        <f>IF(O$167="","",SUMIFS(DATA_GOC!$H:$H,DATA_GOC!$A:$A,"BOM",DATA_GOC!$D:$D,$B185,DATA_GOC!$E:$E,$F$159,DATA_GOC!$F:$F,"Xuất nội bộ từ téc",DATA_GOC!$B:$B,O$167))</f>
        <v>0</v>
      </c>
      <c r="P185" s="128">
        <f>IF(P$167="","",SUMIFS(DATA_GOC!$H:$H,DATA_GOC!$A:$A,"BOM",DATA_GOC!$D:$D,$B185,DATA_GOC!$E:$E,$F$159,DATA_GOC!$F:$F,"Xuất nội bộ từ téc",DATA_GOC!$B:$B,P$167))</f>
        <v>0</v>
      </c>
      <c r="Q185" s="128">
        <f>IF(Q$167="","",SUMIFS(DATA_GOC!$H:$H,DATA_GOC!$A:$A,"BOM",DATA_GOC!$D:$D,$B185,DATA_GOC!$E:$E,$F$159,DATA_GOC!$F:$F,"Xuất nội bộ từ téc",DATA_GOC!$B:$B,Q$167))</f>
        <v>0</v>
      </c>
      <c r="R185" s="128">
        <f>IF(R$167="","",SUMIFS(DATA_GOC!$H:$H,DATA_GOC!$A:$A,"BOM",DATA_GOC!$D:$D,$B185,DATA_GOC!$E:$E,$F$159,DATA_GOC!$F:$F,"Xuất nội bộ từ téc",DATA_GOC!$B:$B,R$167))</f>
        <v>0</v>
      </c>
      <c r="S185" s="128">
        <f>IF(S$167="","",SUMIFS(DATA_GOC!$H:$H,DATA_GOC!$A:$A,"BOM",DATA_GOC!$D:$D,$B185,DATA_GOC!$E:$E,$F$159,DATA_GOC!$F:$F,"Xuất nội bộ từ téc",DATA_GOC!$B:$B,S$167))</f>
        <v>222</v>
      </c>
      <c r="T185" s="128">
        <f>IF(T$167="","",SUMIFS(DATA_GOC!$H:$H,DATA_GOC!$A:$A,"BOM",DATA_GOC!$D:$D,$B185,DATA_GOC!$E:$E,$F$159,DATA_GOC!$F:$F,"Xuất nội bộ từ téc",DATA_GOC!$B:$B,T$167))</f>
        <v>0</v>
      </c>
      <c r="U185" s="128">
        <f>IF(U$167="","",SUMIFS(DATA_GOC!$H:$H,DATA_GOC!$A:$A,"BOM",DATA_GOC!$D:$D,$B185,DATA_GOC!$E:$E,$F$159,DATA_GOC!$F:$F,"Xuất nội bộ từ téc",DATA_GOC!$B:$B,U$167))</f>
        <v>0</v>
      </c>
      <c r="V185" s="128">
        <f>IF(V$167="","",SUMIFS(DATA_GOC!$H:$H,DATA_GOC!$A:$A,"BOM",DATA_GOC!$D:$D,$B185,DATA_GOC!$E:$E,$F$159,DATA_GOC!$F:$F,"Xuất nội bộ từ téc",DATA_GOC!$B:$B,V$167))</f>
        <v>0</v>
      </c>
      <c r="W185" s="128">
        <f>IF(W$167="","",SUMIFS(DATA_GOC!$H:$H,DATA_GOC!$A:$A,"BOM",DATA_GOC!$D:$D,$B185,DATA_GOC!$E:$E,$F$159,DATA_GOC!$F:$F,"Xuất nội bộ từ téc",DATA_GOC!$B:$B,W$167))</f>
        <v>0</v>
      </c>
      <c r="X185" s="128">
        <f>IF(X$167="","",SUMIFS(DATA_GOC!$H:$H,DATA_GOC!$A:$A,"BOM",DATA_GOC!$D:$D,$B185,DATA_GOC!$E:$E,$F$159,DATA_GOC!$F:$F,"Xuất nội bộ từ téc",DATA_GOC!$B:$B,X$167))</f>
        <v>0</v>
      </c>
      <c r="Y185" s="128" t="str">
        <f>IF(Y$167="","",SUMIFS(DATA_GOC!$H:$H,DATA_GOC!$A:$A,"BOM",DATA_GOC!$D:$D,$B185,DATA_GOC!$E:$E,$F$159,DATA_GOC!$F:$F,"Xuất nội bộ từ téc",DATA_GOC!$B:$B,Y$167))</f>
        <v/>
      </c>
      <c r="Z185" s="128" t="str">
        <f>IF(Z$167="","",SUMIFS(DATA_GOC!$H:$H,DATA_GOC!$A:$A,"BOM",DATA_GOC!$D:$D,$B185,DATA_GOC!$E:$E,$F$159,DATA_GOC!$F:$F,"Xuất nội bộ từ téc",DATA_GOC!$B:$B,Z$167))</f>
        <v/>
      </c>
      <c r="AA185" s="128" t="str">
        <f>IF(AA$167="","",SUMIFS(DATA_GOC!$H:$H,DATA_GOC!$A:$A,"BOM",DATA_GOC!$D:$D,$B185,DATA_GOC!$E:$E,$F$159,DATA_GOC!$F:$F,"Xuất nội bộ từ téc",DATA_GOC!$B:$B,AA$167))</f>
        <v/>
      </c>
      <c r="AB185" s="128" t="str">
        <f>IF(AB$167="","",SUMIFS(DATA_GOC!$H:$H,DATA_GOC!$A:$A,"BOM",DATA_GOC!$D:$D,$B185,DATA_GOC!$E:$E,$F$159,DATA_GOC!$F:$F,"Xuất nội bộ từ téc",DATA_GOC!$B:$B,AB$167))</f>
        <v/>
      </c>
      <c r="AC185" s="128" t="str">
        <f>IF(AC$167="","",SUMIFS(DATA_GOC!$H:$H,DATA_GOC!$A:$A,"BOM",DATA_GOC!$D:$D,$B185,DATA_GOC!$E:$E,$F$159,DATA_GOC!$F:$F,"Xuất nội bộ từ téc",DATA_GOC!$B:$B,AC$167))</f>
        <v/>
      </c>
      <c r="AD185" s="128" t="str">
        <f>IF(AD$167="","",SUMIFS(DATA_GOC!$H:$H,DATA_GOC!$A:$A,"BOM",DATA_GOC!$D:$D,$B185,DATA_GOC!$E:$E,$F$159,DATA_GOC!$F:$F,"Xuất nội bộ từ téc",DATA_GOC!$B:$B,AD$167))</f>
        <v/>
      </c>
      <c r="AE185" s="128" t="str">
        <f>IF(AE$167="","",SUMIFS(DATA_GOC!$H:$H,DATA_GOC!$A:$A,"BOM",DATA_GOC!$D:$D,$B185,DATA_GOC!$E:$E,$F$159,DATA_GOC!$F:$F,"Xuất nội bộ từ téc",DATA_GOC!$B:$B,AE$167))</f>
        <v/>
      </c>
      <c r="AF185" s="128" t="str">
        <f>IF(AF$167="","",SUMIFS(DATA_GOC!$H:$H,DATA_GOC!$A:$A,"BOM",DATA_GOC!$D:$D,$B185,DATA_GOC!$E:$E,$F$159,DATA_GOC!$F:$F,"Xuất nội bộ từ téc",DATA_GOC!$B:$B,AF$167))</f>
        <v/>
      </c>
      <c r="AG185" s="128" t="str">
        <f>IF(AG$167="","",SUMIFS(DATA_GOC!$H:$H,DATA_GOC!$A:$A,"BOM",DATA_GOC!$D:$D,$B185,DATA_GOC!$E:$E,$F$159,DATA_GOC!$F:$F,"Xuất nội bộ từ téc",DATA_GOC!$B:$B,AG$167))</f>
        <v/>
      </c>
      <c r="AH185" s="129">
        <f>IF($B185="","",SUMIFS(DATA_GOC!$H:$H,DATA_GOC!$A:$A,"BOM",DATA_GOC!$D:$D,$B185,DATA_GOC!$E:$E,$F$159,DATA_GOC!$F:$F,"Xuất nội bộ từ téc",DATA_GOC!$B:$B,"&gt;="&amp;$H$159,DATA_GOC!$B:$B,"&lt;="&amp;$J$159))</f>
        <v>222</v>
      </c>
      <c r="AI185" s="130">
        <f t="shared" si="16"/>
        <v>0.01609978969</v>
      </c>
      <c r="AJ185" s="129">
        <f t="shared" si="17"/>
        <v>5.973</v>
      </c>
      <c r="AK185" s="129">
        <f t="shared" si="18"/>
        <v>0</v>
      </c>
      <c r="AL185" s="129">
        <f t="shared" si="19"/>
        <v>227.973</v>
      </c>
    </row>
    <row r="186" ht="21.75" hidden="1" customHeight="1">
      <c r="A186" s="126">
        <f t="shared" si="15"/>
        <v>19</v>
      </c>
      <c r="B186" s="127" t="str">
        <f t="array" ref="B186">IFERROR(IF(INDEX(DANH_MUC!$E:$E,22)="","",INDEX(DANH_MUC!$E:$E,22)),"")</f>
        <v>28C03385</v>
      </c>
      <c r="C186" s="128">
        <f>IF(C$167="","",SUMIFS(DATA_GOC!$H:$H,DATA_GOC!$A:$A,"BOM",DATA_GOC!$D:$D,$B186,DATA_GOC!$E:$E,$F$159,DATA_GOC!$F:$F,"Xuất nội bộ từ téc",DATA_GOC!$B:$B,C$167))</f>
        <v>0</v>
      </c>
      <c r="D186" s="128">
        <f>IF(D$167="","",SUMIFS(DATA_GOC!$H:$H,DATA_GOC!$A:$A,"BOM",DATA_GOC!$D:$D,$B186,DATA_GOC!$E:$E,$F$159,DATA_GOC!$F:$F,"Xuất nội bộ từ téc",DATA_GOC!$B:$B,D$167))</f>
        <v>0</v>
      </c>
      <c r="E186" s="128">
        <f>IF(E$167="","",SUMIFS(DATA_GOC!$H:$H,DATA_GOC!$A:$A,"BOM",DATA_GOC!$D:$D,$B186,DATA_GOC!$E:$E,$F$159,DATA_GOC!$F:$F,"Xuất nội bộ từ téc",DATA_GOC!$B:$B,E$167))</f>
        <v>0</v>
      </c>
      <c r="F186" s="128">
        <f>IF(F$167="","",SUMIFS(DATA_GOC!$H:$H,DATA_GOC!$A:$A,"BOM",DATA_GOC!$D:$D,$B186,DATA_GOC!$E:$E,$F$159,DATA_GOC!$F:$F,"Xuất nội bộ từ téc",DATA_GOC!$B:$B,F$167))</f>
        <v>0</v>
      </c>
      <c r="G186" s="128">
        <f>IF(G$167="","",SUMIFS(DATA_GOC!$H:$H,DATA_GOC!$A:$A,"BOM",DATA_GOC!$D:$D,$B186,DATA_GOC!$E:$E,$F$159,DATA_GOC!$F:$F,"Xuất nội bộ từ téc",DATA_GOC!$B:$B,G$167))</f>
        <v>0</v>
      </c>
      <c r="H186" s="128">
        <f>IF(H$167="","",SUMIFS(DATA_GOC!$H:$H,DATA_GOC!$A:$A,"BOM",DATA_GOC!$D:$D,$B186,DATA_GOC!$E:$E,$F$159,DATA_GOC!$F:$F,"Xuất nội bộ từ téc",DATA_GOC!$B:$B,H$167))</f>
        <v>0</v>
      </c>
      <c r="I186" s="128">
        <f>IF(I$167="","",SUMIFS(DATA_GOC!$H:$H,DATA_GOC!$A:$A,"BOM",DATA_GOC!$D:$D,$B186,DATA_GOC!$E:$E,$F$159,DATA_GOC!$F:$F,"Xuất nội bộ từ téc",DATA_GOC!$B:$B,I$167))</f>
        <v>0</v>
      </c>
      <c r="J186" s="128">
        <f>IF(J$167="","",SUMIFS(DATA_GOC!$H:$H,DATA_GOC!$A:$A,"BOM",DATA_GOC!$D:$D,$B186,DATA_GOC!$E:$E,$F$159,DATA_GOC!$F:$F,"Xuất nội bộ từ téc",DATA_GOC!$B:$B,J$167))</f>
        <v>0</v>
      </c>
      <c r="K186" s="128">
        <f>IF(K$167="","",SUMIFS(DATA_GOC!$H:$H,DATA_GOC!$A:$A,"BOM",DATA_GOC!$D:$D,$B186,DATA_GOC!$E:$E,$F$159,DATA_GOC!$F:$F,"Xuất nội bộ từ téc",DATA_GOC!$B:$B,K$167))</f>
        <v>0</v>
      </c>
      <c r="L186" s="128">
        <f>IF(L$167="","",SUMIFS(DATA_GOC!$H:$H,DATA_GOC!$A:$A,"BOM",DATA_GOC!$D:$D,$B186,DATA_GOC!$E:$E,$F$159,DATA_GOC!$F:$F,"Xuất nội bộ từ téc",DATA_GOC!$B:$B,L$167))</f>
        <v>0</v>
      </c>
      <c r="M186" s="128">
        <f>IF(M$167="","",SUMIFS(DATA_GOC!$H:$H,DATA_GOC!$A:$A,"BOM",DATA_GOC!$D:$D,$B186,DATA_GOC!$E:$E,$F$159,DATA_GOC!$F:$F,"Xuất nội bộ từ téc",DATA_GOC!$B:$B,M$167))</f>
        <v>0</v>
      </c>
      <c r="N186" s="128">
        <f>IF(N$167="","",SUMIFS(DATA_GOC!$H:$H,DATA_GOC!$A:$A,"BOM",DATA_GOC!$D:$D,$B186,DATA_GOC!$E:$E,$F$159,DATA_GOC!$F:$F,"Xuất nội bộ từ téc",DATA_GOC!$B:$B,N$167))</f>
        <v>0</v>
      </c>
      <c r="O186" s="128">
        <f>IF(O$167="","",SUMIFS(DATA_GOC!$H:$H,DATA_GOC!$A:$A,"BOM",DATA_GOC!$D:$D,$B186,DATA_GOC!$E:$E,$F$159,DATA_GOC!$F:$F,"Xuất nội bộ từ téc",DATA_GOC!$B:$B,O$167))</f>
        <v>0</v>
      </c>
      <c r="P186" s="128">
        <f>IF(P$167="","",SUMIFS(DATA_GOC!$H:$H,DATA_GOC!$A:$A,"BOM",DATA_GOC!$D:$D,$B186,DATA_GOC!$E:$E,$F$159,DATA_GOC!$F:$F,"Xuất nội bộ từ téc",DATA_GOC!$B:$B,P$167))</f>
        <v>0</v>
      </c>
      <c r="Q186" s="128">
        <f>IF(Q$167="","",SUMIFS(DATA_GOC!$H:$H,DATA_GOC!$A:$A,"BOM",DATA_GOC!$D:$D,$B186,DATA_GOC!$E:$E,$F$159,DATA_GOC!$F:$F,"Xuất nội bộ từ téc",DATA_GOC!$B:$B,Q$167))</f>
        <v>0</v>
      </c>
      <c r="R186" s="128">
        <f>IF(R$167="","",SUMIFS(DATA_GOC!$H:$H,DATA_GOC!$A:$A,"BOM",DATA_GOC!$D:$D,$B186,DATA_GOC!$E:$E,$F$159,DATA_GOC!$F:$F,"Xuất nội bộ từ téc",DATA_GOC!$B:$B,R$167))</f>
        <v>0</v>
      </c>
      <c r="S186" s="128">
        <f>IF(S$167="","",SUMIFS(DATA_GOC!$H:$H,DATA_GOC!$A:$A,"BOM",DATA_GOC!$D:$D,$B186,DATA_GOC!$E:$E,$F$159,DATA_GOC!$F:$F,"Xuất nội bộ từ téc",DATA_GOC!$B:$B,S$167))</f>
        <v>0</v>
      </c>
      <c r="T186" s="128">
        <f>IF(T$167="","",SUMIFS(DATA_GOC!$H:$H,DATA_GOC!$A:$A,"BOM",DATA_GOC!$D:$D,$B186,DATA_GOC!$E:$E,$F$159,DATA_GOC!$F:$F,"Xuất nội bộ từ téc",DATA_GOC!$B:$B,T$167))</f>
        <v>300</v>
      </c>
      <c r="U186" s="128">
        <f>IF(U$167="","",SUMIFS(DATA_GOC!$H:$H,DATA_GOC!$A:$A,"BOM",DATA_GOC!$D:$D,$B186,DATA_GOC!$E:$E,$F$159,DATA_GOC!$F:$F,"Xuất nội bộ từ téc",DATA_GOC!$B:$B,U$167))</f>
        <v>0</v>
      </c>
      <c r="V186" s="128">
        <f>IF(V$167="","",SUMIFS(DATA_GOC!$H:$H,DATA_GOC!$A:$A,"BOM",DATA_GOC!$D:$D,$B186,DATA_GOC!$E:$E,$F$159,DATA_GOC!$F:$F,"Xuất nội bộ từ téc",DATA_GOC!$B:$B,V$167))</f>
        <v>0</v>
      </c>
      <c r="W186" s="128">
        <f>IF(W$167="","",SUMIFS(DATA_GOC!$H:$H,DATA_GOC!$A:$A,"BOM",DATA_GOC!$D:$D,$B186,DATA_GOC!$E:$E,$F$159,DATA_GOC!$F:$F,"Xuất nội bộ từ téc",DATA_GOC!$B:$B,W$167))</f>
        <v>0</v>
      </c>
      <c r="X186" s="128">
        <f>IF(X$167="","",SUMIFS(DATA_GOC!$H:$H,DATA_GOC!$A:$A,"BOM",DATA_GOC!$D:$D,$B186,DATA_GOC!$E:$E,$F$159,DATA_GOC!$F:$F,"Xuất nội bộ từ téc",DATA_GOC!$B:$B,X$167))</f>
        <v>0</v>
      </c>
      <c r="Y186" s="128" t="str">
        <f>IF(Y$167="","",SUMIFS(DATA_GOC!$H:$H,DATA_GOC!$A:$A,"BOM",DATA_GOC!$D:$D,$B186,DATA_GOC!$E:$E,$F$159,DATA_GOC!$F:$F,"Xuất nội bộ từ téc",DATA_GOC!$B:$B,Y$167))</f>
        <v/>
      </c>
      <c r="Z186" s="128" t="str">
        <f>IF(Z$167="","",SUMIFS(DATA_GOC!$H:$H,DATA_GOC!$A:$A,"BOM",DATA_GOC!$D:$D,$B186,DATA_GOC!$E:$E,$F$159,DATA_GOC!$F:$F,"Xuất nội bộ từ téc",DATA_GOC!$B:$B,Z$167))</f>
        <v/>
      </c>
      <c r="AA186" s="128" t="str">
        <f>IF(AA$167="","",SUMIFS(DATA_GOC!$H:$H,DATA_GOC!$A:$A,"BOM",DATA_GOC!$D:$D,$B186,DATA_GOC!$E:$E,$F$159,DATA_GOC!$F:$F,"Xuất nội bộ từ téc",DATA_GOC!$B:$B,AA$167))</f>
        <v/>
      </c>
      <c r="AB186" s="128" t="str">
        <f>IF(AB$167="","",SUMIFS(DATA_GOC!$H:$H,DATA_GOC!$A:$A,"BOM",DATA_GOC!$D:$D,$B186,DATA_GOC!$E:$E,$F$159,DATA_GOC!$F:$F,"Xuất nội bộ từ téc",DATA_GOC!$B:$B,AB$167))</f>
        <v/>
      </c>
      <c r="AC186" s="128" t="str">
        <f>IF(AC$167="","",SUMIFS(DATA_GOC!$H:$H,DATA_GOC!$A:$A,"BOM",DATA_GOC!$D:$D,$B186,DATA_GOC!$E:$E,$F$159,DATA_GOC!$F:$F,"Xuất nội bộ từ téc",DATA_GOC!$B:$B,AC$167))</f>
        <v/>
      </c>
      <c r="AD186" s="128" t="str">
        <f>IF(AD$167="","",SUMIFS(DATA_GOC!$H:$H,DATA_GOC!$A:$A,"BOM",DATA_GOC!$D:$D,$B186,DATA_GOC!$E:$E,$F$159,DATA_GOC!$F:$F,"Xuất nội bộ từ téc",DATA_GOC!$B:$B,AD$167))</f>
        <v/>
      </c>
      <c r="AE186" s="128" t="str">
        <f>IF(AE$167="","",SUMIFS(DATA_GOC!$H:$H,DATA_GOC!$A:$A,"BOM",DATA_GOC!$D:$D,$B186,DATA_GOC!$E:$E,$F$159,DATA_GOC!$F:$F,"Xuất nội bộ từ téc",DATA_GOC!$B:$B,AE$167))</f>
        <v/>
      </c>
      <c r="AF186" s="128" t="str">
        <f>IF(AF$167="","",SUMIFS(DATA_GOC!$H:$H,DATA_GOC!$A:$A,"BOM",DATA_GOC!$D:$D,$B186,DATA_GOC!$E:$E,$F$159,DATA_GOC!$F:$F,"Xuất nội bộ từ téc",DATA_GOC!$B:$B,AF$167))</f>
        <v/>
      </c>
      <c r="AG186" s="128" t="str">
        <f>IF(AG$167="","",SUMIFS(DATA_GOC!$H:$H,DATA_GOC!$A:$A,"BOM",DATA_GOC!$D:$D,$B186,DATA_GOC!$E:$E,$F$159,DATA_GOC!$F:$F,"Xuất nội bộ từ téc",DATA_GOC!$B:$B,AG$167))</f>
        <v/>
      </c>
      <c r="AH186" s="129">
        <f>IF($B186="","",SUMIFS(DATA_GOC!$H:$H,DATA_GOC!$A:$A,"BOM",DATA_GOC!$D:$D,$B186,DATA_GOC!$E:$E,$F$159,DATA_GOC!$F:$F,"Xuất nội bộ từ téc",DATA_GOC!$B:$B,"&gt;="&amp;$H$159,DATA_GOC!$B:$B,"&lt;="&amp;$J$159))</f>
        <v>300</v>
      </c>
      <c r="AI186" s="130">
        <f t="shared" si="16"/>
        <v>0.02175647255</v>
      </c>
      <c r="AJ186" s="129">
        <f t="shared" si="17"/>
        <v>8.072</v>
      </c>
      <c r="AK186" s="129">
        <f t="shared" si="18"/>
        <v>0</v>
      </c>
      <c r="AL186" s="129">
        <f t="shared" si="19"/>
        <v>308.072</v>
      </c>
    </row>
    <row r="187" ht="21.75" hidden="1" customHeight="1">
      <c r="A187" s="126">
        <f t="shared" si="15"/>
        <v>20</v>
      </c>
      <c r="B187" s="127" t="str">
        <f t="array" ref="B187">IFERROR(IF(INDEX(DANH_MUC!$E:$E,23)="","",INDEX(DANH_MUC!$E:$E,23)),"")</f>
        <v>28C03652</v>
      </c>
      <c r="C187" s="128">
        <f>IF(C$167="","",SUMIFS(DATA_GOC!$H:$H,DATA_GOC!$A:$A,"BOM",DATA_GOC!$D:$D,$B187,DATA_GOC!$E:$E,$F$159,DATA_GOC!$F:$F,"Xuất nội bộ từ téc",DATA_GOC!$B:$B,C$167))</f>
        <v>0</v>
      </c>
      <c r="D187" s="128">
        <f>IF(D$167="","",SUMIFS(DATA_GOC!$H:$H,DATA_GOC!$A:$A,"BOM",DATA_GOC!$D:$D,$B187,DATA_GOC!$E:$E,$F$159,DATA_GOC!$F:$F,"Xuất nội bộ từ téc",DATA_GOC!$B:$B,D$167))</f>
        <v>0</v>
      </c>
      <c r="E187" s="128">
        <f>IF(E$167="","",SUMIFS(DATA_GOC!$H:$H,DATA_GOC!$A:$A,"BOM",DATA_GOC!$D:$D,$B187,DATA_GOC!$E:$E,$F$159,DATA_GOC!$F:$F,"Xuất nội bộ từ téc",DATA_GOC!$B:$B,E$167))</f>
        <v>0</v>
      </c>
      <c r="F187" s="128">
        <f>IF(F$167="","",SUMIFS(DATA_GOC!$H:$H,DATA_GOC!$A:$A,"BOM",DATA_GOC!$D:$D,$B187,DATA_GOC!$E:$E,$F$159,DATA_GOC!$F:$F,"Xuất nội bộ từ téc",DATA_GOC!$B:$B,F$167))</f>
        <v>0</v>
      </c>
      <c r="G187" s="128">
        <f>IF(G$167="","",SUMIFS(DATA_GOC!$H:$H,DATA_GOC!$A:$A,"BOM",DATA_GOC!$D:$D,$B187,DATA_GOC!$E:$E,$F$159,DATA_GOC!$F:$F,"Xuất nội bộ từ téc",DATA_GOC!$B:$B,G$167))</f>
        <v>0</v>
      </c>
      <c r="H187" s="128">
        <f>IF(H$167="","",SUMIFS(DATA_GOC!$H:$H,DATA_GOC!$A:$A,"BOM",DATA_GOC!$D:$D,$B187,DATA_GOC!$E:$E,$F$159,DATA_GOC!$F:$F,"Xuất nội bộ từ téc",DATA_GOC!$B:$B,H$167))</f>
        <v>0</v>
      </c>
      <c r="I187" s="128">
        <f>IF(I$167="","",SUMIFS(DATA_GOC!$H:$H,DATA_GOC!$A:$A,"BOM",DATA_GOC!$D:$D,$B187,DATA_GOC!$E:$E,$F$159,DATA_GOC!$F:$F,"Xuất nội bộ từ téc",DATA_GOC!$B:$B,I$167))</f>
        <v>0</v>
      </c>
      <c r="J187" s="128">
        <f>IF(J$167="","",SUMIFS(DATA_GOC!$H:$H,DATA_GOC!$A:$A,"BOM",DATA_GOC!$D:$D,$B187,DATA_GOC!$E:$E,$F$159,DATA_GOC!$F:$F,"Xuất nội bộ từ téc",DATA_GOC!$B:$B,J$167))</f>
        <v>0</v>
      </c>
      <c r="K187" s="128">
        <f>IF(K$167="","",SUMIFS(DATA_GOC!$H:$H,DATA_GOC!$A:$A,"BOM",DATA_GOC!$D:$D,$B187,DATA_GOC!$E:$E,$F$159,DATA_GOC!$F:$F,"Xuất nội bộ từ téc",DATA_GOC!$B:$B,K$167))</f>
        <v>0</v>
      </c>
      <c r="L187" s="128">
        <f>IF(L$167="","",SUMIFS(DATA_GOC!$H:$H,DATA_GOC!$A:$A,"BOM",DATA_GOC!$D:$D,$B187,DATA_GOC!$E:$E,$F$159,DATA_GOC!$F:$F,"Xuất nội bộ từ téc",DATA_GOC!$B:$B,L$167))</f>
        <v>0</v>
      </c>
      <c r="M187" s="128">
        <f>IF(M$167="","",SUMIFS(DATA_GOC!$H:$H,DATA_GOC!$A:$A,"BOM",DATA_GOC!$D:$D,$B187,DATA_GOC!$E:$E,$F$159,DATA_GOC!$F:$F,"Xuất nội bộ từ téc",DATA_GOC!$B:$B,M$167))</f>
        <v>0</v>
      </c>
      <c r="N187" s="128">
        <f>IF(N$167="","",SUMIFS(DATA_GOC!$H:$H,DATA_GOC!$A:$A,"BOM",DATA_GOC!$D:$D,$B187,DATA_GOC!$E:$E,$F$159,DATA_GOC!$F:$F,"Xuất nội bộ từ téc",DATA_GOC!$B:$B,N$167))</f>
        <v>0</v>
      </c>
      <c r="O187" s="128">
        <f>IF(O$167="","",SUMIFS(DATA_GOC!$H:$H,DATA_GOC!$A:$A,"BOM",DATA_GOC!$D:$D,$B187,DATA_GOC!$E:$E,$F$159,DATA_GOC!$F:$F,"Xuất nội bộ từ téc",DATA_GOC!$B:$B,O$167))</f>
        <v>0</v>
      </c>
      <c r="P187" s="128">
        <f>IF(P$167="","",SUMIFS(DATA_GOC!$H:$H,DATA_GOC!$A:$A,"BOM",DATA_GOC!$D:$D,$B187,DATA_GOC!$E:$E,$F$159,DATA_GOC!$F:$F,"Xuất nội bộ từ téc",DATA_GOC!$B:$B,P$167))</f>
        <v>0</v>
      </c>
      <c r="Q187" s="128">
        <f>IF(Q$167="","",SUMIFS(DATA_GOC!$H:$H,DATA_GOC!$A:$A,"BOM",DATA_GOC!$D:$D,$B187,DATA_GOC!$E:$E,$F$159,DATA_GOC!$F:$F,"Xuất nội bộ từ téc",DATA_GOC!$B:$B,Q$167))</f>
        <v>0</v>
      </c>
      <c r="R187" s="128">
        <f>IF(R$167="","",SUMIFS(DATA_GOC!$H:$H,DATA_GOC!$A:$A,"BOM",DATA_GOC!$D:$D,$B187,DATA_GOC!$E:$E,$F$159,DATA_GOC!$F:$F,"Xuất nội bộ từ téc",DATA_GOC!$B:$B,R$167))</f>
        <v>0</v>
      </c>
      <c r="S187" s="128">
        <f>IF(S$167="","",SUMIFS(DATA_GOC!$H:$H,DATA_GOC!$A:$A,"BOM",DATA_GOC!$D:$D,$B187,DATA_GOC!$E:$E,$F$159,DATA_GOC!$F:$F,"Xuất nội bộ từ téc",DATA_GOC!$B:$B,S$167))</f>
        <v>0</v>
      </c>
      <c r="T187" s="128">
        <f>IF(T$167="","",SUMIFS(DATA_GOC!$H:$H,DATA_GOC!$A:$A,"BOM",DATA_GOC!$D:$D,$B187,DATA_GOC!$E:$E,$F$159,DATA_GOC!$F:$F,"Xuất nội bộ từ téc",DATA_GOC!$B:$B,T$167))</f>
        <v>0</v>
      </c>
      <c r="U187" s="128">
        <f>IF(U$167="","",SUMIFS(DATA_GOC!$H:$H,DATA_GOC!$A:$A,"BOM",DATA_GOC!$D:$D,$B187,DATA_GOC!$E:$E,$F$159,DATA_GOC!$F:$F,"Xuất nội bộ từ téc",DATA_GOC!$B:$B,U$167))</f>
        <v>0</v>
      </c>
      <c r="V187" s="128">
        <f>IF(V$167="","",SUMIFS(DATA_GOC!$H:$H,DATA_GOC!$A:$A,"BOM",DATA_GOC!$D:$D,$B187,DATA_GOC!$E:$E,$F$159,DATA_GOC!$F:$F,"Xuất nội bộ từ téc",DATA_GOC!$B:$B,V$167))</f>
        <v>0</v>
      </c>
      <c r="W187" s="128">
        <f>IF(W$167="","",SUMIFS(DATA_GOC!$H:$H,DATA_GOC!$A:$A,"BOM",DATA_GOC!$D:$D,$B187,DATA_GOC!$E:$E,$F$159,DATA_GOC!$F:$F,"Xuất nội bộ từ téc",DATA_GOC!$B:$B,W$167))</f>
        <v>0</v>
      </c>
      <c r="X187" s="128">
        <f>IF(X$167="","",SUMIFS(DATA_GOC!$H:$H,DATA_GOC!$A:$A,"BOM",DATA_GOC!$D:$D,$B187,DATA_GOC!$E:$E,$F$159,DATA_GOC!$F:$F,"Xuất nội bộ từ téc",DATA_GOC!$B:$B,X$167))</f>
        <v>0</v>
      </c>
      <c r="Y187" s="128" t="str">
        <f>IF(Y$167="","",SUMIFS(DATA_GOC!$H:$H,DATA_GOC!$A:$A,"BOM",DATA_GOC!$D:$D,$B187,DATA_GOC!$E:$E,$F$159,DATA_GOC!$F:$F,"Xuất nội bộ từ téc",DATA_GOC!$B:$B,Y$167))</f>
        <v/>
      </c>
      <c r="Z187" s="128" t="str">
        <f>IF(Z$167="","",SUMIFS(DATA_GOC!$H:$H,DATA_GOC!$A:$A,"BOM",DATA_GOC!$D:$D,$B187,DATA_GOC!$E:$E,$F$159,DATA_GOC!$F:$F,"Xuất nội bộ từ téc",DATA_GOC!$B:$B,Z$167))</f>
        <v/>
      </c>
      <c r="AA187" s="128" t="str">
        <f>IF(AA$167="","",SUMIFS(DATA_GOC!$H:$H,DATA_GOC!$A:$A,"BOM",DATA_GOC!$D:$D,$B187,DATA_GOC!$E:$E,$F$159,DATA_GOC!$F:$F,"Xuất nội bộ từ téc",DATA_GOC!$B:$B,AA$167))</f>
        <v/>
      </c>
      <c r="AB187" s="128" t="str">
        <f>IF(AB$167="","",SUMIFS(DATA_GOC!$H:$H,DATA_GOC!$A:$A,"BOM",DATA_GOC!$D:$D,$B187,DATA_GOC!$E:$E,$F$159,DATA_GOC!$F:$F,"Xuất nội bộ từ téc",DATA_GOC!$B:$B,AB$167))</f>
        <v/>
      </c>
      <c r="AC187" s="128" t="str">
        <f>IF(AC$167="","",SUMIFS(DATA_GOC!$H:$H,DATA_GOC!$A:$A,"BOM",DATA_GOC!$D:$D,$B187,DATA_GOC!$E:$E,$F$159,DATA_GOC!$F:$F,"Xuất nội bộ từ téc",DATA_GOC!$B:$B,AC$167))</f>
        <v/>
      </c>
      <c r="AD187" s="128" t="str">
        <f>IF(AD$167="","",SUMIFS(DATA_GOC!$H:$H,DATA_GOC!$A:$A,"BOM",DATA_GOC!$D:$D,$B187,DATA_GOC!$E:$E,$F$159,DATA_GOC!$F:$F,"Xuất nội bộ từ téc",DATA_GOC!$B:$B,AD$167))</f>
        <v/>
      </c>
      <c r="AE187" s="128" t="str">
        <f>IF(AE$167="","",SUMIFS(DATA_GOC!$H:$H,DATA_GOC!$A:$A,"BOM",DATA_GOC!$D:$D,$B187,DATA_GOC!$E:$E,$F$159,DATA_GOC!$F:$F,"Xuất nội bộ từ téc",DATA_GOC!$B:$B,AE$167))</f>
        <v/>
      </c>
      <c r="AF187" s="128" t="str">
        <f>IF(AF$167="","",SUMIFS(DATA_GOC!$H:$H,DATA_GOC!$A:$A,"BOM",DATA_GOC!$D:$D,$B187,DATA_GOC!$E:$E,$F$159,DATA_GOC!$F:$F,"Xuất nội bộ từ téc",DATA_GOC!$B:$B,AF$167))</f>
        <v/>
      </c>
      <c r="AG187" s="128" t="str">
        <f>IF(AG$167="","",SUMIFS(DATA_GOC!$H:$H,DATA_GOC!$A:$A,"BOM",DATA_GOC!$D:$D,$B187,DATA_GOC!$E:$E,$F$159,DATA_GOC!$F:$F,"Xuất nội bộ từ téc",DATA_GOC!$B:$B,AG$167))</f>
        <v/>
      </c>
      <c r="AH187" s="129">
        <f>IF($B187="","",SUMIFS(DATA_GOC!$H:$H,DATA_GOC!$A:$A,"BOM",DATA_GOC!$D:$D,$B187,DATA_GOC!$E:$E,$F$159,DATA_GOC!$F:$F,"Xuất nội bộ từ téc",DATA_GOC!$B:$B,"&gt;="&amp;$H$159,DATA_GOC!$B:$B,"&lt;="&amp;$J$159))</f>
        <v>0</v>
      </c>
      <c r="AI187" s="130">
        <f t="shared" si="16"/>
        <v>0</v>
      </c>
      <c r="AJ187" s="129">
        <f t="shared" si="17"/>
        <v>0</v>
      </c>
      <c r="AK187" s="129">
        <f t="shared" si="18"/>
        <v>0</v>
      </c>
      <c r="AL187" s="129">
        <f t="shared" si="19"/>
        <v>0</v>
      </c>
    </row>
    <row r="188" ht="21.75" hidden="1" customHeight="1">
      <c r="A188" s="126">
        <f t="shared" si="15"/>
        <v>21</v>
      </c>
      <c r="B188" s="127" t="str">
        <f t="array" ref="B188">IFERROR(IF(INDEX(DANH_MUC!$E:$E,24)="","",INDEX(DANH_MUC!$E:$E,24)),"")</f>
        <v>28C03695</v>
      </c>
      <c r="C188" s="128">
        <f>IF(C$167="","",SUMIFS(DATA_GOC!$H:$H,DATA_GOC!$A:$A,"BOM",DATA_GOC!$D:$D,$B188,DATA_GOC!$E:$E,$F$159,DATA_GOC!$F:$F,"Xuất nội bộ từ téc",DATA_GOC!$B:$B,C$167))</f>
        <v>0</v>
      </c>
      <c r="D188" s="128">
        <f>IF(D$167="","",SUMIFS(DATA_GOC!$H:$H,DATA_GOC!$A:$A,"BOM",DATA_GOC!$D:$D,$B188,DATA_GOC!$E:$E,$F$159,DATA_GOC!$F:$F,"Xuất nội bộ từ téc",DATA_GOC!$B:$B,D$167))</f>
        <v>0</v>
      </c>
      <c r="E188" s="128">
        <f>IF(E$167="","",SUMIFS(DATA_GOC!$H:$H,DATA_GOC!$A:$A,"BOM",DATA_GOC!$D:$D,$B188,DATA_GOC!$E:$E,$F$159,DATA_GOC!$F:$F,"Xuất nội bộ từ téc",DATA_GOC!$B:$B,E$167))</f>
        <v>0</v>
      </c>
      <c r="F188" s="128">
        <f>IF(F$167="","",SUMIFS(DATA_GOC!$H:$H,DATA_GOC!$A:$A,"BOM",DATA_GOC!$D:$D,$B188,DATA_GOC!$E:$E,$F$159,DATA_GOC!$F:$F,"Xuất nội bộ từ téc",DATA_GOC!$B:$B,F$167))</f>
        <v>0</v>
      </c>
      <c r="G188" s="128">
        <f>IF(G$167="","",SUMIFS(DATA_GOC!$H:$H,DATA_GOC!$A:$A,"BOM",DATA_GOC!$D:$D,$B188,DATA_GOC!$E:$E,$F$159,DATA_GOC!$F:$F,"Xuất nội bộ từ téc",DATA_GOC!$B:$B,G$167))</f>
        <v>0</v>
      </c>
      <c r="H188" s="128">
        <f>IF(H$167="","",SUMIFS(DATA_GOC!$H:$H,DATA_GOC!$A:$A,"BOM",DATA_GOC!$D:$D,$B188,DATA_GOC!$E:$E,$F$159,DATA_GOC!$F:$F,"Xuất nội bộ từ téc",DATA_GOC!$B:$B,H$167))</f>
        <v>0</v>
      </c>
      <c r="I188" s="128">
        <f>IF(I$167="","",SUMIFS(DATA_GOC!$H:$H,DATA_GOC!$A:$A,"BOM",DATA_GOC!$D:$D,$B188,DATA_GOC!$E:$E,$F$159,DATA_GOC!$F:$F,"Xuất nội bộ từ téc",DATA_GOC!$B:$B,I$167))</f>
        <v>0</v>
      </c>
      <c r="J188" s="128">
        <f>IF(J$167="","",SUMIFS(DATA_GOC!$H:$H,DATA_GOC!$A:$A,"BOM",DATA_GOC!$D:$D,$B188,DATA_GOC!$E:$E,$F$159,DATA_GOC!$F:$F,"Xuất nội bộ từ téc",DATA_GOC!$B:$B,J$167))</f>
        <v>0</v>
      </c>
      <c r="K188" s="128">
        <f>IF(K$167="","",SUMIFS(DATA_GOC!$H:$H,DATA_GOC!$A:$A,"BOM",DATA_GOC!$D:$D,$B188,DATA_GOC!$E:$E,$F$159,DATA_GOC!$F:$F,"Xuất nội bộ từ téc",DATA_GOC!$B:$B,K$167))</f>
        <v>0</v>
      </c>
      <c r="L188" s="128">
        <f>IF(L$167="","",SUMIFS(DATA_GOC!$H:$H,DATA_GOC!$A:$A,"BOM",DATA_GOC!$D:$D,$B188,DATA_GOC!$E:$E,$F$159,DATA_GOC!$F:$F,"Xuất nội bộ từ téc",DATA_GOC!$B:$B,L$167))</f>
        <v>0</v>
      </c>
      <c r="M188" s="128">
        <f>IF(M$167="","",SUMIFS(DATA_GOC!$H:$H,DATA_GOC!$A:$A,"BOM",DATA_GOC!$D:$D,$B188,DATA_GOC!$E:$E,$F$159,DATA_GOC!$F:$F,"Xuất nội bộ từ téc",DATA_GOC!$B:$B,M$167))</f>
        <v>0</v>
      </c>
      <c r="N188" s="128">
        <f>IF(N$167="","",SUMIFS(DATA_GOC!$H:$H,DATA_GOC!$A:$A,"BOM",DATA_GOC!$D:$D,$B188,DATA_GOC!$E:$E,$F$159,DATA_GOC!$F:$F,"Xuất nội bộ từ téc",DATA_GOC!$B:$B,N$167))</f>
        <v>0</v>
      </c>
      <c r="O188" s="128">
        <f>IF(O$167="","",SUMIFS(DATA_GOC!$H:$H,DATA_GOC!$A:$A,"BOM",DATA_GOC!$D:$D,$B188,DATA_GOC!$E:$E,$F$159,DATA_GOC!$F:$F,"Xuất nội bộ từ téc",DATA_GOC!$B:$B,O$167))</f>
        <v>0</v>
      </c>
      <c r="P188" s="128">
        <f>IF(P$167="","",SUMIFS(DATA_GOC!$H:$H,DATA_GOC!$A:$A,"BOM",DATA_GOC!$D:$D,$B188,DATA_GOC!$E:$E,$F$159,DATA_GOC!$F:$F,"Xuất nội bộ từ téc",DATA_GOC!$B:$B,P$167))</f>
        <v>0</v>
      </c>
      <c r="Q188" s="128">
        <f>IF(Q$167="","",SUMIFS(DATA_GOC!$H:$H,DATA_GOC!$A:$A,"BOM",DATA_GOC!$D:$D,$B188,DATA_GOC!$E:$E,$F$159,DATA_GOC!$F:$F,"Xuất nội bộ từ téc",DATA_GOC!$B:$B,Q$167))</f>
        <v>0</v>
      </c>
      <c r="R188" s="128">
        <f>IF(R$167="","",SUMIFS(DATA_GOC!$H:$H,DATA_GOC!$A:$A,"BOM",DATA_GOC!$D:$D,$B188,DATA_GOC!$E:$E,$F$159,DATA_GOC!$F:$F,"Xuất nội bộ từ téc",DATA_GOC!$B:$B,R$167))</f>
        <v>0</v>
      </c>
      <c r="S188" s="128">
        <f>IF(S$167="","",SUMIFS(DATA_GOC!$H:$H,DATA_GOC!$A:$A,"BOM",DATA_GOC!$D:$D,$B188,DATA_GOC!$E:$E,$F$159,DATA_GOC!$F:$F,"Xuất nội bộ từ téc",DATA_GOC!$B:$B,S$167))</f>
        <v>0</v>
      </c>
      <c r="T188" s="128">
        <f>IF(T$167="","",SUMIFS(DATA_GOC!$H:$H,DATA_GOC!$A:$A,"BOM",DATA_GOC!$D:$D,$B188,DATA_GOC!$E:$E,$F$159,DATA_GOC!$F:$F,"Xuất nội bộ từ téc",DATA_GOC!$B:$B,T$167))</f>
        <v>211</v>
      </c>
      <c r="U188" s="128">
        <f>IF(U$167="","",SUMIFS(DATA_GOC!$H:$H,DATA_GOC!$A:$A,"BOM",DATA_GOC!$D:$D,$B188,DATA_GOC!$E:$E,$F$159,DATA_GOC!$F:$F,"Xuất nội bộ từ téc",DATA_GOC!$B:$B,U$167))</f>
        <v>0</v>
      </c>
      <c r="V188" s="128">
        <f>IF(V$167="","",SUMIFS(DATA_GOC!$H:$H,DATA_GOC!$A:$A,"BOM",DATA_GOC!$D:$D,$B188,DATA_GOC!$E:$E,$F$159,DATA_GOC!$F:$F,"Xuất nội bộ từ téc",DATA_GOC!$B:$B,V$167))</f>
        <v>0</v>
      </c>
      <c r="W188" s="128">
        <f>IF(W$167="","",SUMIFS(DATA_GOC!$H:$H,DATA_GOC!$A:$A,"BOM",DATA_GOC!$D:$D,$B188,DATA_GOC!$E:$E,$F$159,DATA_GOC!$F:$F,"Xuất nội bộ từ téc",DATA_GOC!$B:$B,W$167))</f>
        <v>0</v>
      </c>
      <c r="X188" s="128">
        <f>IF(X$167="","",SUMIFS(DATA_GOC!$H:$H,DATA_GOC!$A:$A,"BOM",DATA_GOC!$D:$D,$B188,DATA_GOC!$E:$E,$F$159,DATA_GOC!$F:$F,"Xuất nội bộ từ téc",DATA_GOC!$B:$B,X$167))</f>
        <v>0</v>
      </c>
      <c r="Y188" s="128" t="str">
        <f>IF(Y$167="","",SUMIFS(DATA_GOC!$H:$H,DATA_GOC!$A:$A,"BOM",DATA_GOC!$D:$D,$B188,DATA_GOC!$E:$E,$F$159,DATA_GOC!$F:$F,"Xuất nội bộ từ téc",DATA_GOC!$B:$B,Y$167))</f>
        <v/>
      </c>
      <c r="Z188" s="128" t="str">
        <f>IF(Z$167="","",SUMIFS(DATA_GOC!$H:$H,DATA_GOC!$A:$A,"BOM",DATA_GOC!$D:$D,$B188,DATA_GOC!$E:$E,$F$159,DATA_GOC!$F:$F,"Xuất nội bộ từ téc",DATA_GOC!$B:$B,Z$167))</f>
        <v/>
      </c>
      <c r="AA188" s="128" t="str">
        <f>IF(AA$167="","",SUMIFS(DATA_GOC!$H:$H,DATA_GOC!$A:$A,"BOM",DATA_GOC!$D:$D,$B188,DATA_GOC!$E:$E,$F$159,DATA_GOC!$F:$F,"Xuất nội bộ từ téc",DATA_GOC!$B:$B,AA$167))</f>
        <v/>
      </c>
      <c r="AB188" s="128" t="str">
        <f>IF(AB$167="","",SUMIFS(DATA_GOC!$H:$H,DATA_GOC!$A:$A,"BOM",DATA_GOC!$D:$D,$B188,DATA_GOC!$E:$E,$F$159,DATA_GOC!$F:$F,"Xuất nội bộ từ téc",DATA_GOC!$B:$B,AB$167))</f>
        <v/>
      </c>
      <c r="AC188" s="128" t="str">
        <f>IF(AC$167="","",SUMIFS(DATA_GOC!$H:$H,DATA_GOC!$A:$A,"BOM",DATA_GOC!$D:$D,$B188,DATA_GOC!$E:$E,$F$159,DATA_GOC!$F:$F,"Xuất nội bộ từ téc",DATA_GOC!$B:$B,AC$167))</f>
        <v/>
      </c>
      <c r="AD188" s="128" t="str">
        <f>IF(AD$167="","",SUMIFS(DATA_GOC!$H:$H,DATA_GOC!$A:$A,"BOM",DATA_GOC!$D:$D,$B188,DATA_GOC!$E:$E,$F$159,DATA_GOC!$F:$F,"Xuất nội bộ từ téc",DATA_GOC!$B:$B,AD$167))</f>
        <v/>
      </c>
      <c r="AE188" s="128" t="str">
        <f>IF(AE$167="","",SUMIFS(DATA_GOC!$H:$H,DATA_GOC!$A:$A,"BOM",DATA_GOC!$D:$D,$B188,DATA_GOC!$E:$E,$F$159,DATA_GOC!$F:$F,"Xuất nội bộ từ téc",DATA_GOC!$B:$B,AE$167))</f>
        <v/>
      </c>
      <c r="AF188" s="128" t="str">
        <f>IF(AF$167="","",SUMIFS(DATA_GOC!$H:$H,DATA_GOC!$A:$A,"BOM",DATA_GOC!$D:$D,$B188,DATA_GOC!$E:$E,$F$159,DATA_GOC!$F:$F,"Xuất nội bộ từ téc",DATA_GOC!$B:$B,AF$167))</f>
        <v/>
      </c>
      <c r="AG188" s="128" t="str">
        <f>IF(AG$167="","",SUMIFS(DATA_GOC!$H:$H,DATA_GOC!$A:$A,"BOM",DATA_GOC!$D:$D,$B188,DATA_GOC!$E:$E,$F$159,DATA_GOC!$F:$F,"Xuất nội bộ từ téc",DATA_GOC!$B:$B,AG$167))</f>
        <v/>
      </c>
      <c r="AH188" s="129">
        <f>IF($B188="","",SUMIFS(DATA_GOC!$H:$H,DATA_GOC!$A:$A,"BOM",DATA_GOC!$D:$D,$B188,DATA_GOC!$E:$E,$F$159,DATA_GOC!$F:$F,"Xuất nội bộ từ téc",DATA_GOC!$B:$B,"&gt;="&amp;$H$159,DATA_GOC!$B:$B,"&lt;="&amp;$J$159))</f>
        <v>211</v>
      </c>
      <c r="AI188" s="130">
        <f t="shared" si="16"/>
        <v>0.01530205236</v>
      </c>
      <c r="AJ188" s="129">
        <f t="shared" si="17"/>
        <v>5.677</v>
      </c>
      <c r="AK188" s="129">
        <f t="shared" si="18"/>
        <v>0</v>
      </c>
      <c r="AL188" s="129">
        <f t="shared" si="19"/>
        <v>216.677</v>
      </c>
    </row>
    <row r="189" ht="21.75" hidden="1" customHeight="1">
      <c r="A189" s="126">
        <f t="shared" si="15"/>
        <v>22</v>
      </c>
      <c r="B189" s="127" t="str">
        <f t="array" ref="B189">IFERROR(IF(INDEX(DANH_MUC!$E:$E,25)="","",INDEX(DANH_MUC!$E:$E,25)),"")</f>
        <v>28C03927</v>
      </c>
      <c r="C189" s="128">
        <f>IF(C$167="","",SUMIFS(DATA_GOC!$H:$H,DATA_GOC!$A:$A,"BOM",DATA_GOC!$D:$D,$B189,DATA_GOC!$E:$E,$F$159,DATA_GOC!$F:$F,"Xuất nội bộ từ téc",DATA_GOC!$B:$B,C$167))</f>
        <v>0</v>
      </c>
      <c r="D189" s="128">
        <f>IF(D$167="","",SUMIFS(DATA_GOC!$H:$H,DATA_GOC!$A:$A,"BOM",DATA_GOC!$D:$D,$B189,DATA_GOC!$E:$E,$F$159,DATA_GOC!$F:$F,"Xuất nội bộ từ téc",DATA_GOC!$B:$B,D$167))</f>
        <v>0</v>
      </c>
      <c r="E189" s="128">
        <f>IF(E$167="","",SUMIFS(DATA_GOC!$H:$H,DATA_GOC!$A:$A,"BOM",DATA_GOC!$D:$D,$B189,DATA_GOC!$E:$E,$F$159,DATA_GOC!$F:$F,"Xuất nội bộ từ téc",DATA_GOC!$B:$B,E$167))</f>
        <v>0</v>
      </c>
      <c r="F189" s="128">
        <f>IF(F$167="","",SUMIFS(DATA_GOC!$H:$H,DATA_GOC!$A:$A,"BOM",DATA_GOC!$D:$D,$B189,DATA_GOC!$E:$E,$F$159,DATA_GOC!$F:$F,"Xuất nội bộ từ téc",DATA_GOC!$B:$B,F$167))</f>
        <v>0</v>
      </c>
      <c r="G189" s="128">
        <f>IF(G$167="","",SUMIFS(DATA_GOC!$H:$H,DATA_GOC!$A:$A,"BOM",DATA_GOC!$D:$D,$B189,DATA_GOC!$E:$E,$F$159,DATA_GOC!$F:$F,"Xuất nội bộ từ téc",DATA_GOC!$B:$B,G$167))</f>
        <v>0</v>
      </c>
      <c r="H189" s="128">
        <f>IF(H$167="","",SUMIFS(DATA_GOC!$H:$H,DATA_GOC!$A:$A,"BOM",DATA_GOC!$D:$D,$B189,DATA_GOC!$E:$E,$F$159,DATA_GOC!$F:$F,"Xuất nội bộ từ téc",DATA_GOC!$B:$B,H$167))</f>
        <v>0</v>
      </c>
      <c r="I189" s="128">
        <f>IF(I$167="","",SUMIFS(DATA_GOC!$H:$H,DATA_GOC!$A:$A,"BOM",DATA_GOC!$D:$D,$B189,DATA_GOC!$E:$E,$F$159,DATA_GOC!$F:$F,"Xuất nội bộ từ téc",DATA_GOC!$B:$B,I$167))</f>
        <v>0</v>
      </c>
      <c r="J189" s="128">
        <f>IF(J$167="","",SUMIFS(DATA_GOC!$H:$H,DATA_GOC!$A:$A,"BOM",DATA_GOC!$D:$D,$B189,DATA_GOC!$E:$E,$F$159,DATA_GOC!$F:$F,"Xuất nội bộ từ téc",DATA_GOC!$B:$B,J$167))</f>
        <v>0</v>
      </c>
      <c r="K189" s="128">
        <f>IF(K$167="","",SUMIFS(DATA_GOC!$H:$H,DATA_GOC!$A:$A,"BOM",DATA_GOC!$D:$D,$B189,DATA_GOC!$E:$E,$F$159,DATA_GOC!$F:$F,"Xuất nội bộ từ téc",DATA_GOC!$B:$B,K$167))</f>
        <v>0</v>
      </c>
      <c r="L189" s="128">
        <f>IF(L$167="","",SUMIFS(DATA_GOC!$H:$H,DATA_GOC!$A:$A,"BOM",DATA_GOC!$D:$D,$B189,DATA_GOC!$E:$E,$F$159,DATA_GOC!$F:$F,"Xuất nội bộ từ téc",DATA_GOC!$B:$B,L$167))</f>
        <v>0</v>
      </c>
      <c r="M189" s="128">
        <f>IF(M$167="","",SUMIFS(DATA_GOC!$H:$H,DATA_GOC!$A:$A,"BOM",DATA_GOC!$D:$D,$B189,DATA_GOC!$E:$E,$F$159,DATA_GOC!$F:$F,"Xuất nội bộ từ téc",DATA_GOC!$B:$B,M$167))</f>
        <v>0</v>
      </c>
      <c r="N189" s="128">
        <f>IF(N$167="","",SUMIFS(DATA_GOC!$H:$H,DATA_GOC!$A:$A,"BOM",DATA_GOC!$D:$D,$B189,DATA_GOC!$E:$E,$F$159,DATA_GOC!$F:$F,"Xuất nội bộ từ téc",DATA_GOC!$B:$B,N$167))</f>
        <v>0</v>
      </c>
      <c r="O189" s="128">
        <f>IF(O$167="","",SUMIFS(DATA_GOC!$H:$H,DATA_GOC!$A:$A,"BOM",DATA_GOC!$D:$D,$B189,DATA_GOC!$E:$E,$F$159,DATA_GOC!$F:$F,"Xuất nội bộ từ téc",DATA_GOC!$B:$B,O$167))</f>
        <v>0</v>
      </c>
      <c r="P189" s="128">
        <f>IF(P$167="","",SUMIFS(DATA_GOC!$H:$H,DATA_GOC!$A:$A,"BOM",DATA_GOC!$D:$D,$B189,DATA_GOC!$E:$E,$F$159,DATA_GOC!$F:$F,"Xuất nội bộ từ téc",DATA_GOC!$B:$B,P$167))</f>
        <v>0</v>
      </c>
      <c r="Q189" s="128">
        <f>IF(Q$167="","",SUMIFS(DATA_GOC!$H:$H,DATA_GOC!$A:$A,"BOM",DATA_GOC!$D:$D,$B189,DATA_GOC!$E:$E,$F$159,DATA_GOC!$F:$F,"Xuất nội bộ từ téc",DATA_GOC!$B:$B,Q$167))</f>
        <v>0</v>
      </c>
      <c r="R189" s="128">
        <f>IF(R$167="","",SUMIFS(DATA_GOC!$H:$H,DATA_GOC!$A:$A,"BOM",DATA_GOC!$D:$D,$B189,DATA_GOC!$E:$E,$F$159,DATA_GOC!$F:$F,"Xuất nội bộ từ téc",DATA_GOC!$B:$B,R$167))</f>
        <v>0</v>
      </c>
      <c r="S189" s="128">
        <f>IF(S$167="","",SUMIFS(DATA_GOC!$H:$H,DATA_GOC!$A:$A,"BOM",DATA_GOC!$D:$D,$B189,DATA_GOC!$E:$E,$F$159,DATA_GOC!$F:$F,"Xuất nội bộ từ téc",DATA_GOC!$B:$B,S$167))</f>
        <v>230</v>
      </c>
      <c r="T189" s="128">
        <f>IF(T$167="","",SUMIFS(DATA_GOC!$H:$H,DATA_GOC!$A:$A,"BOM",DATA_GOC!$D:$D,$B189,DATA_GOC!$E:$E,$F$159,DATA_GOC!$F:$F,"Xuất nội bộ từ téc",DATA_GOC!$B:$B,T$167))</f>
        <v>0</v>
      </c>
      <c r="U189" s="128">
        <f>IF(U$167="","",SUMIFS(DATA_GOC!$H:$H,DATA_GOC!$A:$A,"BOM",DATA_GOC!$D:$D,$B189,DATA_GOC!$E:$E,$F$159,DATA_GOC!$F:$F,"Xuất nội bộ từ téc",DATA_GOC!$B:$B,U$167))</f>
        <v>0</v>
      </c>
      <c r="V189" s="128">
        <f>IF(V$167="","",SUMIFS(DATA_GOC!$H:$H,DATA_GOC!$A:$A,"BOM",DATA_GOC!$D:$D,$B189,DATA_GOC!$E:$E,$F$159,DATA_GOC!$F:$F,"Xuất nội bộ từ téc",DATA_GOC!$B:$B,V$167))</f>
        <v>0</v>
      </c>
      <c r="W189" s="128">
        <f>IF(W$167="","",SUMIFS(DATA_GOC!$H:$H,DATA_GOC!$A:$A,"BOM",DATA_GOC!$D:$D,$B189,DATA_GOC!$E:$E,$F$159,DATA_GOC!$F:$F,"Xuất nội bộ từ téc",DATA_GOC!$B:$B,W$167))</f>
        <v>45</v>
      </c>
      <c r="X189" s="128">
        <f>IF(X$167="","",SUMIFS(DATA_GOC!$H:$H,DATA_GOC!$A:$A,"BOM",DATA_GOC!$D:$D,$B189,DATA_GOC!$E:$E,$F$159,DATA_GOC!$F:$F,"Xuất nội bộ từ téc",DATA_GOC!$B:$B,X$167))</f>
        <v>0</v>
      </c>
      <c r="Y189" s="128" t="str">
        <f>IF(Y$167="","",SUMIFS(DATA_GOC!$H:$H,DATA_GOC!$A:$A,"BOM",DATA_GOC!$D:$D,$B189,DATA_GOC!$E:$E,$F$159,DATA_GOC!$F:$F,"Xuất nội bộ từ téc",DATA_GOC!$B:$B,Y$167))</f>
        <v/>
      </c>
      <c r="Z189" s="128" t="str">
        <f>IF(Z$167="","",SUMIFS(DATA_GOC!$H:$H,DATA_GOC!$A:$A,"BOM",DATA_GOC!$D:$D,$B189,DATA_GOC!$E:$E,$F$159,DATA_GOC!$F:$F,"Xuất nội bộ từ téc",DATA_GOC!$B:$B,Z$167))</f>
        <v/>
      </c>
      <c r="AA189" s="128" t="str">
        <f>IF(AA$167="","",SUMIFS(DATA_GOC!$H:$H,DATA_GOC!$A:$A,"BOM",DATA_GOC!$D:$D,$B189,DATA_GOC!$E:$E,$F$159,DATA_GOC!$F:$F,"Xuất nội bộ từ téc",DATA_GOC!$B:$B,AA$167))</f>
        <v/>
      </c>
      <c r="AB189" s="128" t="str">
        <f>IF(AB$167="","",SUMIFS(DATA_GOC!$H:$H,DATA_GOC!$A:$A,"BOM",DATA_GOC!$D:$D,$B189,DATA_GOC!$E:$E,$F$159,DATA_GOC!$F:$F,"Xuất nội bộ từ téc",DATA_GOC!$B:$B,AB$167))</f>
        <v/>
      </c>
      <c r="AC189" s="128" t="str">
        <f>IF(AC$167="","",SUMIFS(DATA_GOC!$H:$H,DATA_GOC!$A:$A,"BOM",DATA_GOC!$D:$D,$B189,DATA_GOC!$E:$E,$F$159,DATA_GOC!$F:$F,"Xuất nội bộ từ téc",DATA_GOC!$B:$B,AC$167))</f>
        <v/>
      </c>
      <c r="AD189" s="128" t="str">
        <f>IF(AD$167="","",SUMIFS(DATA_GOC!$H:$H,DATA_GOC!$A:$A,"BOM",DATA_GOC!$D:$D,$B189,DATA_GOC!$E:$E,$F$159,DATA_GOC!$F:$F,"Xuất nội bộ từ téc",DATA_GOC!$B:$B,AD$167))</f>
        <v/>
      </c>
      <c r="AE189" s="128" t="str">
        <f>IF(AE$167="","",SUMIFS(DATA_GOC!$H:$H,DATA_GOC!$A:$A,"BOM",DATA_GOC!$D:$D,$B189,DATA_GOC!$E:$E,$F$159,DATA_GOC!$F:$F,"Xuất nội bộ từ téc",DATA_GOC!$B:$B,AE$167))</f>
        <v/>
      </c>
      <c r="AF189" s="128" t="str">
        <f>IF(AF$167="","",SUMIFS(DATA_GOC!$H:$H,DATA_GOC!$A:$A,"BOM",DATA_GOC!$D:$D,$B189,DATA_GOC!$E:$E,$F$159,DATA_GOC!$F:$F,"Xuất nội bộ từ téc",DATA_GOC!$B:$B,AF$167))</f>
        <v/>
      </c>
      <c r="AG189" s="128" t="str">
        <f>IF(AG$167="","",SUMIFS(DATA_GOC!$H:$H,DATA_GOC!$A:$A,"BOM",DATA_GOC!$D:$D,$B189,DATA_GOC!$E:$E,$F$159,DATA_GOC!$F:$F,"Xuất nội bộ từ téc",DATA_GOC!$B:$B,AG$167))</f>
        <v/>
      </c>
      <c r="AH189" s="129">
        <f>IF($B189="","",SUMIFS(DATA_GOC!$H:$H,DATA_GOC!$A:$A,"BOM",DATA_GOC!$D:$D,$B189,DATA_GOC!$E:$E,$F$159,DATA_GOC!$F:$F,"Xuất nội bộ từ téc",DATA_GOC!$B:$B,"&gt;="&amp;$H$159,DATA_GOC!$B:$B,"&lt;="&amp;$J$159))</f>
        <v>275</v>
      </c>
      <c r="AI189" s="130">
        <f t="shared" si="16"/>
        <v>0.01994343317</v>
      </c>
      <c r="AJ189" s="129">
        <f t="shared" si="17"/>
        <v>7.399</v>
      </c>
      <c r="AK189" s="129">
        <f t="shared" si="18"/>
        <v>0</v>
      </c>
      <c r="AL189" s="129">
        <f t="shared" si="19"/>
        <v>282.399</v>
      </c>
    </row>
    <row r="190" ht="21.75" hidden="1" customHeight="1">
      <c r="A190" s="126">
        <f t="shared" si="15"/>
        <v>23</v>
      </c>
      <c r="B190" s="127" t="str">
        <f t="array" ref="B190">IFERROR(IF(INDEX(DANH_MUC!$E:$E,26)="","",INDEX(DANH_MUC!$E:$E,26)),"")</f>
        <v>28C04509</v>
      </c>
      <c r="C190" s="128">
        <f>IF(C$167="","",SUMIFS(DATA_GOC!$H:$H,DATA_GOC!$A:$A,"BOM",DATA_GOC!$D:$D,$B190,DATA_GOC!$E:$E,$F$159,DATA_GOC!$F:$F,"Xuất nội bộ từ téc",DATA_GOC!$B:$B,C$167))</f>
        <v>0</v>
      </c>
      <c r="D190" s="128">
        <f>IF(D$167="","",SUMIFS(DATA_GOC!$H:$H,DATA_GOC!$A:$A,"BOM",DATA_GOC!$D:$D,$B190,DATA_GOC!$E:$E,$F$159,DATA_GOC!$F:$F,"Xuất nội bộ từ téc",DATA_GOC!$B:$B,D$167))</f>
        <v>0</v>
      </c>
      <c r="E190" s="128">
        <f>IF(E$167="","",SUMIFS(DATA_GOC!$H:$H,DATA_GOC!$A:$A,"BOM",DATA_GOC!$D:$D,$B190,DATA_GOC!$E:$E,$F$159,DATA_GOC!$F:$F,"Xuất nội bộ từ téc",DATA_GOC!$B:$B,E$167))</f>
        <v>0</v>
      </c>
      <c r="F190" s="128">
        <f>IF(F$167="","",SUMIFS(DATA_GOC!$H:$H,DATA_GOC!$A:$A,"BOM",DATA_GOC!$D:$D,$B190,DATA_GOC!$E:$E,$F$159,DATA_GOC!$F:$F,"Xuất nội bộ từ téc",DATA_GOC!$B:$B,F$167))</f>
        <v>0</v>
      </c>
      <c r="G190" s="128">
        <f>IF(G$167="","",SUMIFS(DATA_GOC!$H:$H,DATA_GOC!$A:$A,"BOM",DATA_GOC!$D:$D,$B190,DATA_GOC!$E:$E,$F$159,DATA_GOC!$F:$F,"Xuất nội bộ từ téc",DATA_GOC!$B:$B,G$167))</f>
        <v>0</v>
      </c>
      <c r="H190" s="128">
        <f>IF(H$167="","",SUMIFS(DATA_GOC!$H:$H,DATA_GOC!$A:$A,"BOM",DATA_GOC!$D:$D,$B190,DATA_GOC!$E:$E,$F$159,DATA_GOC!$F:$F,"Xuất nội bộ từ téc",DATA_GOC!$B:$B,H$167))</f>
        <v>0</v>
      </c>
      <c r="I190" s="128">
        <f>IF(I$167="","",SUMIFS(DATA_GOC!$H:$H,DATA_GOC!$A:$A,"BOM",DATA_GOC!$D:$D,$B190,DATA_GOC!$E:$E,$F$159,DATA_GOC!$F:$F,"Xuất nội bộ từ téc",DATA_GOC!$B:$B,I$167))</f>
        <v>0</v>
      </c>
      <c r="J190" s="128">
        <f>IF(J$167="","",SUMIFS(DATA_GOC!$H:$H,DATA_GOC!$A:$A,"BOM",DATA_GOC!$D:$D,$B190,DATA_GOC!$E:$E,$F$159,DATA_GOC!$F:$F,"Xuất nội bộ từ téc",DATA_GOC!$B:$B,J$167))</f>
        <v>0</v>
      </c>
      <c r="K190" s="128">
        <f>IF(K$167="","",SUMIFS(DATA_GOC!$H:$H,DATA_GOC!$A:$A,"BOM",DATA_GOC!$D:$D,$B190,DATA_GOC!$E:$E,$F$159,DATA_GOC!$F:$F,"Xuất nội bộ từ téc",DATA_GOC!$B:$B,K$167))</f>
        <v>0</v>
      </c>
      <c r="L190" s="128">
        <f>IF(L$167="","",SUMIFS(DATA_GOC!$H:$H,DATA_GOC!$A:$A,"BOM",DATA_GOC!$D:$D,$B190,DATA_GOC!$E:$E,$F$159,DATA_GOC!$F:$F,"Xuất nội bộ từ téc",DATA_GOC!$B:$B,L$167))</f>
        <v>0</v>
      </c>
      <c r="M190" s="128">
        <f>IF(M$167="","",SUMIFS(DATA_GOC!$H:$H,DATA_GOC!$A:$A,"BOM",DATA_GOC!$D:$D,$B190,DATA_GOC!$E:$E,$F$159,DATA_GOC!$F:$F,"Xuất nội bộ từ téc",DATA_GOC!$B:$B,M$167))</f>
        <v>0</v>
      </c>
      <c r="N190" s="128">
        <f>IF(N$167="","",SUMIFS(DATA_GOC!$H:$H,DATA_GOC!$A:$A,"BOM",DATA_GOC!$D:$D,$B190,DATA_GOC!$E:$E,$F$159,DATA_GOC!$F:$F,"Xuất nội bộ từ téc",DATA_GOC!$B:$B,N$167))</f>
        <v>0</v>
      </c>
      <c r="O190" s="128">
        <f>IF(O$167="","",SUMIFS(DATA_GOC!$H:$H,DATA_GOC!$A:$A,"BOM",DATA_GOC!$D:$D,$B190,DATA_GOC!$E:$E,$F$159,DATA_GOC!$F:$F,"Xuất nội bộ từ téc",DATA_GOC!$B:$B,O$167))</f>
        <v>0</v>
      </c>
      <c r="P190" s="128">
        <f>IF(P$167="","",SUMIFS(DATA_GOC!$H:$H,DATA_GOC!$A:$A,"BOM",DATA_GOC!$D:$D,$B190,DATA_GOC!$E:$E,$F$159,DATA_GOC!$F:$F,"Xuất nội bộ từ téc",DATA_GOC!$B:$B,P$167))</f>
        <v>0</v>
      </c>
      <c r="Q190" s="128">
        <f>IF(Q$167="","",SUMIFS(DATA_GOC!$H:$H,DATA_GOC!$A:$A,"BOM",DATA_GOC!$D:$D,$B190,DATA_GOC!$E:$E,$F$159,DATA_GOC!$F:$F,"Xuất nội bộ từ téc",DATA_GOC!$B:$B,Q$167))</f>
        <v>0</v>
      </c>
      <c r="R190" s="128">
        <f>IF(R$167="","",SUMIFS(DATA_GOC!$H:$H,DATA_GOC!$A:$A,"BOM",DATA_GOC!$D:$D,$B190,DATA_GOC!$E:$E,$F$159,DATA_GOC!$F:$F,"Xuất nội bộ từ téc",DATA_GOC!$B:$B,R$167))</f>
        <v>46</v>
      </c>
      <c r="S190" s="128">
        <f>IF(S$167="","",SUMIFS(DATA_GOC!$H:$H,DATA_GOC!$A:$A,"BOM",DATA_GOC!$D:$D,$B190,DATA_GOC!$E:$E,$F$159,DATA_GOC!$F:$F,"Xuất nội bộ từ téc",DATA_GOC!$B:$B,S$167))</f>
        <v>0</v>
      </c>
      <c r="T190" s="128">
        <f>IF(T$167="","",SUMIFS(DATA_GOC!$H:$H,DATA_GOC!$A:$A,"BOM",DATA_GOC!$D:$D,$B190,DATA_GOC!$E:$E,$F$159,DATA_GOC!$F:$F,"Xuất nội bộ từ téc",DATA_GOC!$B:$B,T$167))</f>
        <v>0</v>
      </c>
      <c r="U190" s="128">
        <f>IF(U$167="","",SUMIFS(DATA_GOC!$H:$H,DATA_GOC!$A:$A,"BOM",DATA_GOC!$D:$D,$B190,DATA_GOC!$E:$E,$F$159,DATA_GOC!$F:$F,"Xuất nội bộ từ téc",DATA_GOC!$B:$B,U$167))</f>
        <v>0</v>
      </c>
      <c r="V190" s="128">
        <f>IF(V$167="","",SUMIFS(DATA_GOC!$H:$H,DATA_GOC!$A:$A,"BOM",DATA_GOC!$D:$D,$B190,DATA_GOC!$E:$E,$F$159,DATA_GOC!$F:$F,"Xuất nội bộ từ téc",DATA_GOC!$B:$B,V$167))</f>
        <v>0</v>
      </c>
      <c r="W190" s="128">
        <f>IF(W$167="","",SUMIFS(DATA_GOC!$H:$H,DATA_GOC!$A:$A,"BOM",DATA_GOC!$D:$D,$B190,DATA_GOC!$E:$E,$F$159,DATA_GOC!$F:$F,"Xuất nội bộ từ téc",DATA_GOC!$B:$B,W$167))</f>
        <v>0</v>
      </c>
      <c r="X190" s="128">
        <f>IF(X$167="","",SUMIFS(DATA_GOC!$H:$H,DATA_GOC!$A:$A,"BOM",DATA_GOC!$D:$D,$B190,DATA_GOC!$E:$E,$F$159,DATA_GOC!$F:$F,"Xuất nội bộ từ téc",DATA_GOC!$B:$B,X$167))</f>
        <v>0</v>
      </c>
      <c r="Y190" s="128" t="str">
        <f>IF(Y$167="","",SUMIFS(DATA_GOC!$H:$H,DATA_GOC!$A:$A,"BOM",DATA_GOC!$D:$D,$B190,DATA_GOC!$E:$E,$F$159,DATA_GOC!$F:$F,"Xuất nội bộ từ téc",DATA_GOC!$B:$B,Y$167))</f>
        <v/>
      </c>
      <c r="Z190" s="128" t="str">
        <f>IF(Z$167="","",SUMIFS(DATA_GOC!$H:$H,DATA_GOC!$A:$A,"BOM",DATA_GOC!$D:$D,$B190,DATA_GOC!$E:$E,$F$159,DATA_GOC!$F:$F,"Xuất nội bộ từ téc",DATA_GOC!$B:$B,Z$167))</f>
        <v/>
      </c>
      <c r="AA190" s="128" t="str">
        <f>IF(AA$167="","",SUMIFS(DATA_GOC!$H:$H,DATA_GOC!$A:$A,"BOM",DATA_GOC!$D:$D,$B190,DATA_GOC!$E:$E,$F$159,DATA_GOC!$F:$F,"Xuất nội bộ từ téc",DATA_GOC!$B:$B,AA$167))</f>
        <v/>
      </c>
      <c r="AB190" s="128" t="str">
        <f>IF(AB$167="","",SUMIFS(DATA_GOC!$H:$H,DATA_GOC!$A:$A,"BOM",DATA_GOC!$D:$D,$B190,DATA_GOC!$E:$E,$F$159,DATA_GOC!$F:$F,"Xuất nội bộ từ téc",DATA_GOC!$B:$B,AB$167))</f>
        <v/>
      </c>
      <c r="AC190" s="128" t="str">
        <f>IF(AC$167="","",SUMIFS(DATA_GOC!$H:$H,DATA_GOC!$A:$A,"BOM",DATA_GOC!$D:$D,$B190,DATA_GOC!$E:$E,$F$159,DATA_GOC!$F:$F,"Xuất nội bộ từ téc",DATA_GOC!$B:$B,AC$167))</f>
        <v/>
      </c>
      <c r="AD190" s="128" t="str">
        <f>IF(AD$167="","",SUMIFS(DATA_GOC!$H:$H,DATA_GOC!$A:$A,"BOM",DATA_GOC!$D:$D,$B190,DATA_GOC!$E:$E,$F$159,DATA_GOC!$F:$F,"Xuất nội bộ từ téc",DATA_GOC!$B:$B,AD$167))</f>
        <v/>
      </c>
      <c r="AE190" s="128" t="str">
        <f>IF(AE$167="","",SUMIFS(DATA_GOC!$H:$H,DATA_GOC!$A:$A,"BOM",DATA_GOC!$D:$D,$B190,DATA_GOC!$E:$E,$F$159,DATA_GOC!$F:$F,"Xuất nội bộ từ téc",DATA_GOC!$B:$B,AE$167))</f>
        <v/>
      </c>
      <c r="AF190" s="128" t="str">
        <f>IF(AF$167="","",SUMIFS(DATA_GOC!$H:$H,DATA_GOC!$A:$A,"BOM",DATA_GOC!$D:$D,$B190,DATA_GOC!$E:$E,$F$159,DATA_GOC!$F:$F,"Xuất nội bộ từ téc",DATA_GOC!$B:$B,AF$167))</f>
        <v/>
      </c>
      <c r="AG190" s="128" t="str">
        <f>IF(AG$167="","",SUMIFS(DATA_GOC!$H:$H,DATA_GOC!$A:$A,"BOM",DATA_GOC!$D:$D,$B190,DATA_GOC!$E:$E,$F$159,DATA_GOC!$F:$F,"Xuất nội bộ từ téc",DATA_GOC!$B:$B,AG$167))</f>
        <v/>
      </c>
      <c r="AH190" s="129">
        <f>IF($B190="","",SUMIFS(DATA_GOC!$H:$H,DATA_GOC!$A:$A,"BOM",DATA_GOC!$D:$D,$B190,DATA_GOC!$E:$E,$F$159,DATA_GOC!$F:$F,"Xuất nội bộ từ téc",DATA_GOC!$B:$B,"&gt;="&amp;$H$159,DATA_GOC!$B:$B,"&lt;="&amp;$J$159))</f>
        <v>46</v>
      </c>
      <c r="AI190" s="130">
        <f t="shared" si="16"/>
        <v>0.003335992458</v>
      </c>
      <c r="AJ190" s="129">
        <f t="shared" si="17"/>
        <v>1.238</v>
      </c>
      <c r="AK190" s="129">
        <f t="shared" si="18"/>
        <v>0</v>
      </c>
      <c r="AL190" s="129">
        <f t="shared" si="19"/>
        <v>47.238</v>
      </c>
    </row>
    <row r="191" ht="21.75" hidden="1" customHeight="1">
      <c r="A191" s="126">
        <f t="shared" si="15"/>
        <v>24</v>
      </c>
      <c r="B191" s="127" t="str">
        <f t="array" ref="B191">IFERROR(IF(INDEX(DANH_MUC!$E:$E,27)="","",INDEX(DANH_MUC!$E:$E,27)),"")</f>
        <v>28C04536</v>
      </c>
      <c r="C191" s="128">
        <f>IF(C$167="","",SUMIFS(DATA_GOC!$H:$H,DATA_GOC!$A:$A,"BOM",DATA_GOC!$D:$D,$B191,DATA_GOC!$E:$E,$F$159,DATA_GOC!$F:$F,"Xuất nội bộ từ téc",DATA_GOC!$B:$B,C$167))</f>
        <v>0</v>
      </c>
      <c r="D191" s="128">
        <f>IF(D$167="","",SUMIFS(DATA_GOC!$H:$H,DATA_GOC!$A:$A,"BOM",DATA_GOC!$D:$D,$B191,DATA_GOC!$E:$E,$F$159,DATA_GOC!$F:$F,"Xuất nội bộ từ téc",DATA_GOC!$B:$B,D$167))</f>
        <v>0</v>
      </c>
      <c r="E191" s="128">
        <f>IF(E$167="","",SUMIFS(DATA_GOC!$H:$H,DATA_GOC!$A:$A,"BOM",DATA_GOC!$D:$D,$B191,DATA_GOC!$E:$E,$F$159,DATA_GOC!$F:$F,"Xuất nội bộ từ téc",DATA_GOC!$B:$B,E$167))</f>
        <v>0</v>
      </c>
      <c r="F191" s="128">
        <f>IF(F$167="","",SUMIFS(DATA_GOC!$H:$H,DATA_GOC!$A:$A,"BOM",DATA_GOC!$D:$D,$B191,DATA_GOC!$E:$E,$F$159,DATA_GOC!$F:$F,"Xuất nội bộ từ téc",DATA_GOC!$B:$B,F$167))</f>
        <v>0</v>
      </c>
      <c r="G191" s="128">
        <f>IF(G$167="","",SUMIFS(DATA_GOC!$H:$H,DATA_GOC!$A:$A,"BOM",DATA_GOC!$D:$D,$B191,DATA_GOC!$E:$E,$F$159,DATA_GOC!$F:$F,"Xuất nội bộ từ téc",DATA_GOC!$B:$B,G$167))</f>
        <v>0</v>
      </c>
      <c r="H191" s="128">
        <f>IF(H$167="","",SUMIFS(DATA_GOC!$H:$H,DATA_GOC!$A:$A,"BOM",DATA_GOC!$D:$D,$B191,DATA_GOC!$E:$E,$F$159,DATA_GOC!$F:$F,"Xuất nội bộ từ téc",DATA_GOC!$B:$B,H$167))</f>
        <v>0</v>
      </c>
      <c r="I191" s="128">
        <f>IF(I$167="","",SUMIFS(DATA_GOC!$H:$H,DATA_GOC!$A:$A,"BOM",DATA_GOC!$D:$D,$B191,DATA_GOC!$E:$E,$F$159,DATA_GOC!$F:$F,"Xuất nội bộ từ téc",DATA_GOC!$B:$B,I$167))</f>
        <v>0</v>
      </c>
      <c r="J191" s="128">
        <f>IF(J$167="","",SUMIFS(DATA_GOC!$H:$H,DATA_GOC!$A:$A,"BOM",DATA_GOC!$D:$D,$B191,DATA_GOC!$E:$E,$F$159,DATA_GOC!$F:$F,"Xuất nội bộ từ téc",DATA_GOC!$B:$B,J$167))</f>
        <v>0</v>
      </c>
      <c r="K191" s="128">
        <f>IF(K$167="","",SUMIFS(DATA_GOC!$H:$H,DATA_GOC!$A:$A,"BOM",DATA_GOC!$D:$D,$B191,DATA_GOC!$E:$E,$F$159,DATA_GOC!$F:$F,"Xuất nội bộ từ téc",DATA_GOC!$B:$B,K$167))</f>
        <v>0</v>
      </c>
      <c r="L191" s="128">
        <f>IF(L$167="","",SUMIFS(DATA_GOC!$H:$H,DATA_GOC!$A:$A,"BOM",DATA_GOC!$D:$D,$B191,DATA_GOC!$E:$E,$F$159,DATA_GOC!$F:$F,"Xuất nội bộ từ téc",DATA_GOC!$B:$B,L$167))</f>
        <v>0</v>
      </c>
      <c r="M191" s="128">
        <f>IF(M$167="","",SUMIFS(DATA_GOC!$H:$H,DATA_GOC!$A:$A,"BOM",DATA_GOC!$D:$D,$B191,DATA_GOC!$E:$E,$F$159,DATA_GOC!$F:$F,"Xuất nội bộ từ téc",DATA_GOC!$B:$B,M$167))</f>
        <v>0</v>
      </c>
      <c r="N191" s="128">
        <f>IF(N$167="","",SUMIFS(DATA_GOC!$H:$H,DATA_GOC!$A:$A,"BOM",DATA_GOC!$D:$D,$B191,DATA_GOC!$E:$E,$F$159,DATA_GOC!$F:$F,"Xuất nội bộ từ téc",DATA_GOC!$B:$B,N$167))</f>
        <v>0</v>
      </c>
      <c r="O191" s="128">
        <f>IF(O$167="","",SUMIFS(DATA_GOC!$H:$H,DATA_GOC!$A:$A,"BOM",DATA_GOC!$D:$D,$B191,DATA_GOC!$E:$E,$F$159,DATA_GOC!$F:$F,"Xuất nội bộ từ téc",DATA_GOC!$B:$B,O$167))</f>
        <v>0</v>
      </c>
      <c r="P191" s="128">
        <f>IF(P$167="","",SUMIFS(DATA_GOC!$H:$H,DATA_GOC!$A:$A,"BOM",DATA_GOC!$D:$D,$B191,DATA_GOC!$E:$E,$F$159,DATA_GOC!$F:$F,"Xuất nội bộ từ téc",DATA_GOC!$B:$B,P$167))</f>
        <v>0</v>
      </c>
      <c r="Q191" s="128">
        <f>IF(Q$167="","",SUMIFS(DATA_GOC!$H:$H,DATA_GOC!$A:$A,"BOM",DATA_GOC!$D:$D,$B191,DATA_GOC!$E:$E,$F$159,DATA_GOC!$F:$F,"Xuất nội bộ từ téc",DATA_GOC!$B:$B,Q$167))</f>
        <v>0</v>
      </c>
      <c r="R191" s="128">
        <f>IF(R$167="","",SUMIFS(DATA_GOC!$H:$H,DATA_GOC!$A:$A,"BOM",DATA_GOC!$D:$D,$B191,DATA_GOC!$E:$E,$F$159,DATA_GOC!$F:$F,"Xuất nội bộ từ téc",DATA_GOC!$B:$B,R$167))</f>
        <v>0</v>
      </c>
      <c r="S191" s="128">
        <f>IF(S$167="","",SUMIFS(DATA_GOC!$H:$H,DATA_GOC!$A:$A,"BOM",DATA_GOC!$D:$D,$B191,DATA_GOC!$E:$E,$F$159,DATA_GOC!$F:$F,"Xuất nội bộ từ téc",DATA_GOC!$B:$B,S$167))</f>
        <v>0</v>
      </c>
      <c r="T191" s="128">
        <f>IF(T$167="","",SUMIFS(DATA_GOC!$H:$H,DATA_GOC!$A:$A,"BOM",DATA_GOC!$D:$D,$B191,DATA_GOC!$E:$E,$F$159,DATA_GOC!$F:$F,"Xuất nội bộ từ téc",DATA_GOC!$B:$B,T$167))</f>
        <v>0</v>
      </c>
      <c r="U191" s="128">
        <f>IF(U$167="","",SUMIFS(DATA_GOC!$H:$H,DATA_GOC!$A:$A,"BOM",DATA_GOC!$D:$D,$B191,DATA_GOC!$E:$E,$F$159,DATA_GOC!$F:$F,"Xuất nội bộ từ téc",DATA_GOC!$B:$B,U$167))</f>
        <v>0</v>
      </c>
      <c r="V191" s="128">
        <f>IF(V$167="","",SUMIFS(DATA_GOC!$H:$H,DATA_GOC!$A:$A,"BOM",DATA_GOC!$D:$D,$B191,DATA_GOC!$E:$E,$F$159,DATA_GOC!$F:$F,"Xuất nội bộ từ téc",DATA_GOC!$B:$B,V$167))</f>
        <v>0</v>
      </c>
      <c r="W191" s="128">
        <f>IF(W$167="","",SUMIFS(DATA_GOC!$H:$H,DATA_GOC!$A:$A,"BOM",DATA_GOC!$D:$D,$B191,DATA_GOC!$E:$E,$F$159,DATA_GOC!$F:$F,"Xuất nội bộ từ téc",DATA_GOC!$B:$B,W$167))</f>
        <v>0</v>
      </c>
      <c r="X191" s="128">
        <f>IF(X$167="","",SUMIFS(DATA_GOC!$H:$H,DATA_GOC!$A:$A,"BOM",DATA_GOC!$D:$D,$B191,DATA_GOC!$E:$E,$F$159,DATA_GOC!$F:$F,"Xuất nội bộ từ téc",DATA_GOC!$B:$B,X$167))</f>
        <v>0</v>
      </c>
      <c r="Y191" s="128" t="str">
        <f>IF(Y$167="","",SUMIFS(DATA_GOC!$H:$H,DATA_GOC!$A:$A,"BOM",DATA_GOC!$D:$D,$B191,DATA_GOC!$E:$E,$F$159,DATA_GOC!$F:$F,"Xuất nội bộ từ téc",DATA_GOC!$B:$B,Y$167))</f>
        <v/>
      </c>
      <c r="Z191" s="128" t="str">
        <f>IF(Z$167="","",SUMIFS(DATA_GOC!$H:$H,DATA_GOC!$A:$A,"BOM",DATA_GOC!$D:$D,$B191,DATA_GOC!$E:$E,$F$159,DATA_GOC!$F:$F,"Xuất nội bộ từ téc",DATA_GOC!$B:$B,Z$167))</f>
        <v/>
      </c>
      <c r="AA191" s="128" t="str">
        <f>IF(AA$167="","",SUMIFS(DATA_GOC!$H:$H,DATA_GOC!$A:$A,"BOM",DATA_GOC!$D:$D,$B191,DATA_GOC!$E:$E,$F$159,DATA_GOC!$F:$F,"Xuất nội bộ từ téc",DATA_GOC!$B:$B,AA$167))</f>
        <v/>
      </c>
      <c r="AB191" s="128" t="str">
        <f>IF(AB$167="","",SUMIFS(DATA_GOC!$H:$H,DATA_GOC!$A:$A,"BOM",DATA_GOC!$D:$D,$B191,DATA_GOC!$E:$E,$F$159,DATA_GOC!$F:$F,"Xuất nội bộ từ téc",DATA_GOC!$B:$B,AB$167))</f>
        <v/>
      </c>
      <c r="AC191" s="128" t="str">
        <f>IF(AC$167="","",SUMIFS(DATA_GOC!$H:$H,DATA_GOC!$A:$A,"BOM",DATA_GOC!$D:$D,$B191,DATA_GOC!$E:$E,$F$159,DATA_GOC!$F:$F,"Xuất nội bộ từ téc",DATA_GOC!$B:$B,AC$167))</f>
        <v/>
      </c>
      <c r="AD191" s="128" t="str">
        <f>IF(AD$167="","",SUMIFS(DATA_GOC!$H:$H,DATA_GOC!$A:$A,"BOM",DATA_GOC!$D:$D,$B191,DATA_GOC!$E:$E,$F$159,DATA_GOC!$F:$F,"Xuất nội bộ từ téc",DATA_GOC!$B:$B,AD$167))</f>
        <v/>
      </c>
      <c r="AE191" s="128" t="str">
        <f>IF(AE$167="","",SUMIFS(DATA_GOC!$H:$H,DATA_GOC!$A:$A,"BOM",DATA_GOC!$D:$D,$B191,DATA_GOC!$E:$E,$F$159,DATA_GOC!$F:$F,"Xuất nội bộ từ téc",DATA_GOC!$B:$B,AE$167))</f>
        <v/>
      </c>
      <c r="AF191" s="128" t="str">
        <f>IF(AF$167="","",SUMIFS(DATA_GOC!$H:$H,DATA_GOC!$A:$A,"BOM",DATA_GOC!$D:$D,$B191,DATA_GOC!$E:$E,$F$159,DATA_GOC!$F:$F,"Xuất nội bộ từ téc",DATA_GOC!$B:$B,AF$167))</f>
        <v/>
      </c>
      <c r="AG191" s="128" t="str">
        <f>IF(AG$167="","",SUMIFS(DATA_GOC!$H:$H,DATA_GOC!$A:$A,"BOM",DATA_GOC!$D:$D,$B191,DATA_GOC!$E:$E,$F$159,DATA_GOC!$F:$F,"Xuất nội bộ từ téc",DATA_GOC!$B:$B,AG$167))</f>
        <v/>
      </c>
      <c r="AH191" s="129">
        <f>IF($B191="","",SUMIFS(DATA_GOC!$H:$H,DATA_GOC!$A:$A,"BOM",DATA_GOC!$D:$D,$B191,DATA_GOC!$E:$E,$F$159,DATA_GOC!$F:$F,"Xuất nội bộ từ téc",DATA_GOC!$B:$B,"&gt;="&amp;$H$159,DATA_GOC!$B:$B,"&lt;="&amp;$J$159))</f>
        <v>0</v>
      </c>
      <c r="AI191" s="130">
        <f t="shared" si="16"/>
        <v>0</v>
      </c>
      <c r="AJ191" s="129">
        <f t="shared" si="17"/>
        <v>0</v>
      </c>
      <c r="AK191" s="129">
        <f t="shared" si="18"/>
        <v>0</v>
      </c>
      <c r="AL191" s="129">
        <f t="shared" si="19"/>
        <v>0</v>
      </c>
    </row>
    <row r="192" ht="21.75" hidden="1" customHeight="1">
      <c r="A192" s="126">
        <f t="shared" si="15"/>
        <v>25</v>
      </c>
      <c r="B192" s="127" t="str">
        <f t="array" ref="B192">IFERROR(IF(INDEX(DANH_MUC!$E:$E,28)="","",INDEX(DANH_MUC!$E:$E,28)),"")</f>
        <v>28C04576</v>
      </c>
      <c r="C192" s="128">
        <f>IF(C$167="","",SUMIFS(DATA_GOC!$H:$H,DATA_GOC!$A:$A,"BOM",DATA_GOC!$D:$D,$B192,DATA_GOC!$E:$E,$F$159,DATA_GOC!$F:$F,"Xuất nội bộ từ téc",DATA_GOC!$B:$B,C$167))</f>
        <v>0</v>
      </c>
      <c r="D192" s="128">
        <f>IF(D$167="","",SUMIFS(DATA_GOC!$H:$H,DATA_GOC!$A:$A,"BOM",DATA_GOC!$D:$D,$B192,DATA_GOC!$E:$E,$F$159,DATA_GOC!$F:$F,"Xuất nội bộ từ téc",DATA_GOC!$B:$B,D$167))</f>
        <v>0</v>
      </c>
      <c r="E192" s="128">
        <f>IF(E$167="","",SUMIFS(DATA_GOC!$H:$H,DATA_GOC!$A:$A,"BOM",DATA_GOC!$D:$D,$B192,DATA_GOC!$E:$E,$F$159,DATA_GOC!$F:$F,"Xuất nội bộ từ téc",DATA_GOC!$B:$B,E$167))</f>
        <v>0</v>
      </c>
      <c r="F192" s="128">
        <f>IF(F$167="","",SUMIFS(DATA_GOC!$H:$H,DATA_GOC!$A:$A,"BOM",DATA_GOC!$D:$D,$B192,DATA_GOC!$E:$E,$F$159,DATA_GOC!$F:$F,"Xuất nội bộ từ téc",DATA_GOC!$B:$B,F$167))</f>
        <v>0</v>
      </c>
      <c r="G192" s="128">
        <f>IF(G$167="","",SUMIFS(DATA_GOC!$H:$H,DATA_GOC!$A:$A,"BOM",DATA_GOC!$D:$D,$B192,DATA_GOC!$E:$E,$F$159,DATA_GOC!$F:$F,"Xuất nội bộ từ téc",DATA_GOC!$B:$B,G$167))</f>
        <v>0</v>
      </c>
      <c r="H192" s="128">
        <f>IF(H$167="","",SUMIFS(DATA_GOC!$H:$H,DATA_GOC!$A:$A,"BOM",DATA_GOC!$D:$D,$B192,DATA_GOC!$E:$E,$F$159,DATA_GOC!$F:$F,"Xuất nội bộ từ téc",DATA_GOC!$B:$B,H$167))</f>
        <v>0</v>
      </c>
      <c r="I192" s="128">
        <f>IF(I$167="","",SUMIFS(DATA_GOC!$H:$H,DATA_GOC!$A:$A,"BOM",DATA_GOC!$D:$D,$B192,DATA_GOC!$E:$E,$F$159,DATA_GOC!$F:$F,"Xuất nội bộ từ téc",DATA_GOC!$B:$B,I$167))</f>
        <v>0</v>
      </c>
      <c r="J192" s="128">
        <f>IF(J$167="","",SUMIFS(DATA_GOC!$H:$H,DATA_GOC!$A:$A,"BOM",DATA_GOC!$D:$D,$B192,DATA_GOC!$E:$E,$F$159,DATA_GOC!$F:$F,"Xuất nội bộ từ téc",DATA_GOC!$B:$B,J$167))</f>
        <v>0</v>
      </c>
      <c r="K192" s="128">
        <f>IF(K$167="","",SUMIFS(DATA_GOC!$H:$H,DATA_GOC!$A:$A,"BOM",DATA_GOC!$D:$D,$B192,DATA_GOC!$E:$E,$F$159,DATA_GOC!$F:$F,"Xuất nội bộ từ téc",DATA_GOC!$B:$B,K$167))</f>
        <v>0</v>
      </c>
      <c r="L192" s="128">
        <f>IF(L$167="","",SUMIFS(DATA_GOC!$H:$H,DATA_GOC!$A:$A,"BOM",DATA_GOC!$D:$D,$B192,DATA_GOC!$E:$E,$F$159,DATA_GOC!$F:$F,"Xuất nội bộ từ téc",DATA_GOC!$B:$B,L$167))</f>
        <v>0</v>
      </c>
      <c r="M192" s="128">
        <f>IF(M$167="","",SUMIFS(DATA_GOC!$H:$H,DATA_GOC!$A:$A,"BOM",DATA_GOC!$D:$D,$B192,DATA_GOC!$E:$E,$F$159,DATA_GOC!$F:$F,"Xuất nội bộ từ téc",DATA_GOC!$B:$B,M$167))</f>
        <v>0</v>
      </c>
      <c r="N192" s="128">
        <f>IF(N$167="","",SUMIFS(DATA_GOC!$H:$H,DATA_GOC!$A:$A,"BOM",DATA_GOC!$D:$D,$B192,DATA_GOC!$E:$E,$F$159,DATA_GOC!$F:$F,"Xuất nội bộ từ téc",DATA_GOC!$B:$B,N$167))</f>
        <v>0</v>
      </c>
      <c r="O192" s="128">
        <f>IF(O$167="","",SUMIFS(DATA_GOC!$H:$H,DATA_GOC!$A:$A,"BOM",DATA_GOC!$D:$D,$B192,DATA_GOC!$E:$E,$F$159,DATA_GOC!$F:$F,"Xuất nội bộ từ téc",DATA_GOC!$B:$B,O$167))</f>
        <v>0</v>
      </c>
      <c r="P192" s="128">
        <f>IF(P$167="","",SUMIFS(DATA_GOC!$H:$H,DATA_GOC!$A:$A,"BOM",DATA_GOC!$D:$D,$B192,DATA_GOC!$E:$E,$F$159,DATA_GOC!$F:$F,"Xuất nội bộ từ téc",DATA_GOC!$B:$B,P$167))</f>
        <v>0</v>
      </c>
      <c r="Q192" s="128">
        <f>IF(Q$167="","",SUMIFS(DATA_GOC!$H:$H,DATA_GOC!$A:$A,"BOM",DATA_GOC!$D:$D,$B192,DATA_GOC!$E:$E,$F$159,DATA_GOC!$F:$F,"Xuất nội bộ từ téc",DATA_GOC!$B:$B,Q$167))</f>
        <v>0</v>
      </c>
      <c r="R192" s="128">
        <f>IF(R$167="","",SUMIFS(DATA_GOC!$H:$H,DATA_GOC!$A:$A,"BOM",DATA_GOC!$D:$D,$B192,DATA_GOC!$E:$E,$F$159,DATA_GOC!$F:$F,"Xuất nội bộ từ téc",DATA_GOC!$B:$B,R$167))</f>
        <v>0</v>
      </c>
      <c r="S192" s="128">
        <f>IF(S$167="","",SUMIFS(DATA_GOC!$H:$H,DATA_GOC!$A:$A,"BOM",DATA_GOC!$D:$D,$B192,DATA_GOC!$E:$E,$F$159,DATA_GOC!$F:$F,"Xuất nội bộ từ téc",DATA_GOC!$B:$B,S$167))</f>
        <v>0</v>
      </c>
      <c r="T192" s="128">
        <f>IF(T$167="","",SUMIFS(DATA_GOC!$H:$H,DATA_GOC!$A:$A,"BOM",DATA_GOC!$D:$D,$B192,DATA_GOC!$E:$E,$F$159,DATA_GOC!$F:$F,"Xuất nội bộ từ téc",DATA_GOC!$B:$B,T$167))</f>
        <v>240</v>
      </c>
      <c r="U192" s="128">
        <f>IF(U$167="","",SUMIFS(DATA_GOC!$H:$H,DATA_GOC!$A:$A,"BOM",DATA_GOC!$D:$D,$B192,DATA_GOC!$E:$E,$F$159,DATA_GOC!$F:$F,"Xuất nội bộ từ téc",DATA_GOC!$B:$B,U$167))</f>
        <v>0</v>
      </c>
      <c r="V192" s="128">
        <f>IF(V$167="","",SUMIFS(DATA_GOC!$H:$H,DATA_GOC!$A:$A,"BOM",DATA_GOC!$D:$D,$B192,DATA_GOC!$E:$E,$F$159,DATA_GOC!$F:$F,"Xuất nội bộ từ téc",DATA_GOC!$B:$B,V$167))</f>
        <v>0</v>
      </c>
      <c r="W192" s="128">
        <f>IF(W$167="","",SUMIFS(DATA_GOC!$H:$H,DATA_GOC!$A:$A,"BOM",DATA_GOC!$D:$D,$B192,DATA_GOC!$E:$E,$F$159,DATA_GOC!$F:$F,"Xuất nội bộ từ téc",DATA_GOC!$B:$B,W$167))</f>
        <v>0</v>
      </c>
      <c r="X192" s="128">
        <f>IF(X$167="","",SUMIFS(DATA_GOC!$H:$H,DATA_GOC!$A:$A,"BOM",DATA_GOC!$D:$D,$B192,DATA_GOC!$E:$E,$F$159,DATA_GOC!$F:$F,"Xuất nội bộ từ téc",DATA_GOC!$B:$B,X$167))</f>
        <v>0</v>
      </c>
      <c r="Y192" s="128" t="str">
        <f>IF(Y$167="","",SUMIFS(DATA_GOC!$H:$H,DATA_GOC!$A:$A,"BOM",DATA_GOC!$D:$D,$B192,DATA_GOC!$E:$E,$F$159,DATA_GOC!$F:$F,"Xuất nội bộ từ téc",DATA_GOC!$B:$B,Y$167))</f>
        <v/>
      </c>
      <c r="Z192" s="128" t="str">
        <f>IF(Z$167="","",SUMIFS(DATA_GOC!$H:$H,DATA_GOC!$A:$A,"BOM",DATA_GOC!$D:$D,$B192,DATA_GOC!$E:$E,$F$159,DATA_GOC!$F:$F,"Xuất nội bộ từ téc",DATA_GOC!$B:$B,Z$167))</f>
        <v/>
      </c>
      <c r="AA192" s="128" t="str">
        <f>IF(AA$167="","",SUMIFS(DATA_GOC!$H:$H,DATA_GOC!$A:$A,"BOM",DATA_GOC!$D:$D,$B192,DATA_GOC!$E:$E,$F$159,DATA_GOC!$F:$F,"Xuất nội bộ từ téc",DATA_GOC!$B:$B,AA$167))</f>
        <v/>
      </c>
      <c r="AB192" s="128" t="str">
        <f>IF(AB$167="","",SUMIFS(DATA_GOC!$H:$H,DATA_GOC!$A:$A,"BOM",DATA_GOC!$D:$D,$B192,DATA_GOC!$E:$E,$F$159,DATA_GOC!$F:$F,"Xuất nội bộ từ téc",DATA_GOC!$B:$B,AB$167))</f>
        <v/>
      </c>
      <c r="AC192" s="128" t="str">
        <f>IF(AC$167="","",SUMIFS(DATA_GOC!$H:$H,DATA_GOC!$A:$A,"BOM",DATA_GOC!$D:$D,$B192,DATA_GOC!$E:$E,$F$159,DATA_GOC!$F:$F,"Xuất nội bộ từ téc",DATA_GOC!$B:$B,AC$167))</f>
        <v/>
      </c>
      <c r="AD192" s="128" t="str">
        <f>IF(AD$167="","",SUMIFS(DATA_GOC!$H:$H,DATA_GOC!$A:$A,"BOM",DATA_GOC!$D:$D,$B192,DATA_GOC!$E:$E,$F$159,DATA_GOC!$F:$F,"Xuất nội bộ từ téc",DATA_GOC!$B:$B,AD$167))</f>
        <v/>
      </c>
      <c r="AE192" s="128" t="str">
        <f>IF(AE$167="","",SUMIFS(DATA_GOC!$H:$H,DATA_GOC!$A:$A,"BOM",DATA_GOC!$D:$D,$B192,DATA_GOC!$E:$E,$F$159,DATA_GOC!$F:$F,"Xuất nội bộ từ téc",DATA_GOC!$B:$B,AE$167))</f>
        <v/>
      </c>
      <c r="AF192" s="128" t="str">
        <f>IF(AF$167="","",SUMIFS(DATA_GOC!$H:$H,DATA_GOC!$A:$A,"BOM",DATA_GOC!$D:$D,$B192,DATA_GOC!$E:$E,$F$159,DATA_GOC!$F:$F,"Xuất nội bộ từ téc",DATA_GOC!$B:$B,AF$167))</f>
        <v/>
      </c>
      <c r="AG192" s="128" t="str">
        <f>IF(AG$167="","",SUMIFS(DATA_GOC!$H:$H,DATA_GOC!$A:$A,"BOM",DATA_GOC!$D:$D,$B192,DATA_GOC!$E:$E,$F$159,DATA_GOC!$F:$F,"Xuất nội bộ từ téc",DATA_GOC!$B:$B,AG$167))</f>
        <v/>
      </c>
      <c r="AH192" s="129">
        <f>IF($B192="","",SUMIFS(DATA_GOC!$H:$H,DATA_GOC!$A:$A,"BOM",DATA_GOC!$D:$D,$B192,DATA_GOC!$E:$E,$F$159,DATA_GOC!$F:$F,"Xuất nội bộ từ téc",DATA_GOC!$B:$B,"&gt;="&amp;$H$159,DATA_GOC!$B:$B,"&lt;="&amp;$J$159))</f>
        <v>240</v>
      </c>
      <c r="AI192" s="130">
        <f t="shared" si="16"/>
        <v>0.01740517804</v>
      </c>
      <c r="AJ192" s="129">
        <f t="shared" si="17"/>
        <v>6.457</v>
      </c>
      <c r="AK192" s="129">
        <f t="shared" si="18"/>
        <v>0</v>
      </c>
      <c r="AL192" s="129">
        <f t="shared" si="19"/>
        <v>246.457</v>
      </c>
    </row>
    <row r="193" ht="21.75" hidden="1" customHeight="1">
      <c r="A193" s="126">
        <f t="shared" si="15"/>
        <v>26</v>
      </c>
      <c r="B193" s="127" t="str">
        <f t="array" ref="B193">IFERROR(IF(INDEX(DANH_MUC!$E:$E,29)="","",INDEX(DANH_MUC!$E:$E,29)),"")</f>
        <v>28C05090</v>
      </c>
      <c r="C193" s="128">
        <f>IF(C$167="","",SUMIFS(DATA_GOC!$H:$H,DATA_GOC!$A:$A,"BOM",DATA_GOC!$D:$D,$B193,DATA_GOC!$E:$E,$F$159,DATA_GOC!$F:$F,"Xuất nội bộ từ téc",DATA_GOC!$B:$B,C$167))</f>
        <v>0</v>
      </c>
      <c r="D193" s="128">
        <f>IF(D$167="","",SUMIFS(DATA_GOC!$H:$H,DATA_GOC!$A:$A,"BOM",DATA_GOC!$D:$D,$B193,DATA_GOC!$E:$E,$F$159,DATA_GOC!$F:$F,"Xuất nội bộ từ téc",DATA_GOC!$B:$B,D$167))</f>
        <v>0</v>
      </c>
      <c r="E193" s="128">
        <f>IF(E$167="","",SUMIFS(DATA_GOC!$H:$H,DATA_GOC!$A:$A,"BOM",DATA_GOC!$D:$D,$B193,DATA_GOC!$E:$E,$F$159,DATA_GOC!$F:$F,"Xuất nội bộ từ téc",DATA_GOC!$B:$B,E$167))</f>
        <v>0</v>
      </c>
      <c r="F193" s="128">
        <f>IF(F$167="","",SUMIFS(DATA_GOC!$H:$H,DATA_GOC!$A:$A,"BOM",DATA_GOC!$D:$D,$B193,DATA_GOC!$E:$E,$F$159,DATA_GOC!$F:$F,"Xuất nội bộ từ téc",DATA_GOC!$B:$B,F$167))</f>
        <v>0</v>
      </c>
      <c r="G193" s="128">
        <f>IF(G$167="","",SUMIFS(DATA_GOC!$H:$H,DATA_GOC!$A:$A,"BOM",DATA_GOC!$D:$D,$B193,DATA_GOC!$E:$E,$F$159,DATA_GOC!$F:$F,"Xuất nội bộ từ téc",DATA_GOC!$B:$B,G$167))</f>
        <v>0</v>
      </c>
      <c r="H193" s="128">
        <f>IF(H$167="","",SUMIFS(DATA_GOC!$H:$H,DATA_GOC!$A:$A,"BOM",DATA_GOC!$D:$D,$B193,DATA_GOC!$E:$E,$F$159,DATA_GOC!$F:$F,"Xuất nội bộ từ téc",DATA_GOC!$B:$B,H$167))</f>
        <v>0</v>
      </c>
      <c r="I193" s="128">
        <f>IF(I$167="","",SUMIFS(DATA_GOC!$H:$H,DATA_GOC!$A:$A,"BOM",DATA_GOC!$D:$D,$B193,DATA_GOC!$E:$E,$F$159,DATA_GOC!$F:$F,"Xuất nội bộ từ téc",DATA_GOC!$B:$B,I$167))</f>
        <v>0</v>
      </c>
      <c r="J193" s="128">
        <f>IF(J$167="","",SUMIFS(DATA_GOC!$H:$H,DATA_GOC!$A:$A,"BOM",DATA_GOC!$D:$D,$B193,DATA_GOC!$E:$E,$F$159,DATA_GOC!$F:$F,"Xuất nội bộ từ téc",DATA_GOC!$B:$B,J$167))</f>
        <v>0</v>
      </c>
      <c r="K193" s="128">
        <f>IF(K$167="","",SUMIFS(DATA_GOC!$H:$H,DATA_GOC!$A:$A,"BOM",DATA_GOC!$D:$D,$B193,DATA_GOC!$E:$E,$F$159,DATA_GOC!$F:$F,"Xuất nội bộ từ téc",DATA_GOC!$B:$B,K$167))</f>
        <v>0</v>
      </c>
      <c r="L193" s="128">
        <f>IF(L$167="","",SUMIFS(DATA_GOC!$H:$H,DATA_GOC!$A:$A,"BOM",DATA_GOC!$D:$D,$B193,DATA_GOC!$E:$E,$F$159,DATA_GOC!$F:$F,"Xuất nội bộ từ téc",DATA_GOC!$B:$B,L$167))</f>
        <v>0</v>
      </c>
      <c r="M193" s="128">
        <f>IF(M$167="","",SUMIFS(DATA_GOC!$H:$H,DATA_GOC!$A:$A,"BOM",DATA_GOC!$D:$D,$B193,DATA_GOC!$E:$E,$F$159,DATA_GOC!$F:$F,"Xuất nội bộ từ téc",DATA_GOC!$B:$B,M$167))</f>
        <v>0</v>
      </c>
      <c r="N193" s="128">
        <f>IF(N$167="","",SUMIFS(DATA_GOC!$H:$H,DATA_GOC!$A:$A,"BOM",DATA_GOC!$D:$D,$B193,DATA_GOC!$E:$E,$F$159,DATA_GOC!$F:$F,"Xuất nội bộ từ téc",DATA_GOC!$B:$B,N$167))</f>
        <v>0</v>
      </c>
      <c r="O193" s="128">
        <f>IF(O$167="","",SUMIFS(DATA_GOC!$H:$H,DATA_GOC!$A:$A,"BOM",DATA_GOC!$D:$D,$B193,DATA_GOC!$E:$E,$F$159,DATA_GOC!$F:$F,"Xuất nội bộ từ téc",DATA_GOC!$B:$B,O$167))</f>
        <v>0</v>
      </c>
      <c r="P193" s="128">
        <f>IF(P$167="","",SUMIFS(DATA_GOC!$H:$H,DATA_GOC!$A:$A,"BOM",DATA_GOC!$D:$D,$B193,DATA_GOC!$E:$E,$F$159,DATA_GOC!$F:$F,"Xuất nội bộ từ téc",DATA_GOC!$B:$B,P$167))</f>
        <v>0</v>
      </c>
      <c r="Q193" s="128">
        <f>IF(Q$167="","",SUMIFS(DATA_GOC!$H:$H,DATA_GOC!$A:$A,"BOM",DATA_GOC!$D:$D,$B193,DATA_GOC!$E:$E,$F$159,DATA_GOC!$F:$F,"Xuất nội bộ từ téc",DATA_GOC!$B:$B,Q$167))</f>
        <v>0</v>
      </c>
      <c r="R193" s="128">
        <f>IF(R$167="","",SUMIFS(DATA_GOC!$H:$H,DATA_GOC!$A:$A,"BOM",DATA_GOC!$D:$D,$B193,DATA_GOC!$E:$E,$F$159,DATA_GOC!$F:$F,"Xuất nội bộ từ téc",DATA_GOC!$B:$B,R$167))</f>
        <v>0</v>
      </c>
      <c r="S193" s="128">
        <f>IF(S$167="","",SUMIFS(DATA_GOC!$H:$H,DATA_GOC!$A:$A,"BOM",DATA_GOC!$D:$D,$B193,DATA_GOC!$E:$E,$F$159,DATA_GOC!$F:$F,"Xuất nội bộ từ téc",DATA_GOC!$B:$B,S$167))</f>
        <v>0</v>
      </c>
      <c r="T193" s="128">
        <f>IF(T$167="","",SUMIFS(DATA_GOC!$H:$H,DATA_GOC!$A:$A,"BOM",DATA_GOC!$D:$D,$B193,DATA_GOC!$E:$E,$F$159,DATA_GOC!$F:$F,"Xuất nội bộ từ téc",DATA_GOC!$B:$B,T$167))</f>
        <v>0</v>
      </c>
      <c r="U193" s="128">
        <f>IF(U$167="","",SUMIFS(DATA_GOC!$H:$H,DATA_GOC!$A:$A,"BOM",DATA_GOC!$D:$D,$B193,DATA_GOC!$E:$E,$F$159,DATA_GOC!$F:$F,"Xuất nội bộ từ téc",DATA_GOC!$B:$B,U$167))</f>
        <v>0</v>
      </c>
      <c r="V193" s="128">
        <f>IF(V$167="","",SUMIFS(DATA_GOC!$H:$H,DATA_GOC!$A:$A,"BOM",DATA_GOC!$D:$D,$B193,DATA_GOC!$E:$E,$F$159,DATA_GOC!$F:$F,"Xuất nội bộ từ téc",DATA_GOC!$B:$B,V$167))</f>
        <v>0</v>
      </c>
      <c r="W193" s="128">
        <f>IF(W$167="","",SUMIFS(DATA_GOC!$H:$H,DATA_GOC!$A:$A,"BOM",DATA_GOC!$D:$D,$B193,DATA_GOC!$E:$E,$F$159,DATA_GOC!$F:$F,"Xuất nội bộ từ téc",DATA_GOC!$B:$B,W$167))</f>
        <v>0</v>
      </c>
      <c r="X193" s="128">
        <f>IF(X$167="","",SUMIFS(DATA_GOC!$H:$H,DATA_GOC!$A:$A,"BOM",DATA_GOC!$D:$D,$B193,DATA_GOC!$E:$E,$F$159,DATA_GOC!$F:$F,"Xuất nội bộ từ téc",DATA_GOC!$B:$B,X$167))</f>
        <v>0</v>
      </c>
      <c r="Y193" s="128" t="str">
        <f>IF(Y$167="","",SUMIFS(DATA_GOC!$H:$H,DATA_GOC!$A:$A,"BOM",DATA_GOC!$D:$D,$B193,DATA_GOC!$E:$E,$F$159,DATA_GOC!$F:$F,"Xuất nội bộ từ téc",DATA_GOC!$B:$B,Y$167))</f>
        <v/>
      </c>
      <c r="Z193" s="128" t="str">
        <f>IF(Z$167="","",SUMIFS(DATA_GOC!$H:$H,DATA_GOC!$A:$A,"BOM",DATA_GOC!$D:$D,$B193,DATA_GOC!$E:$E,$F$159,DATA_GOC!$F:$F,"Xuất nội bộ từ téc",DATA_GOC!$B:$B,Z$167))</f>
        <v/>
      </c>
      <c r="AA193" s="128" t="str">
        <f>IF(AA$167="","",SUMIFS(DATA_GOC!$H:$H,DATA_GOC!$A:$A,"BOM",DATA_GOC!$D:$D,$B193,DATA_GOC!$E:$E,$F$159,DATA_GOC!$F:$F,"Xuất nội bộ từ téc",DATA_GOC!$B:$B,AA$167))</f>
        <v/>
      </c>
      <c r="AB193" s="128" t="str">
        <f>IF(AB$167="","",SUMIFS(DATA_GOC!$H:$H,DATA_GOC!$A:$A,"BOM",DATA_GOC!$D:$D,$B193,DATA_GOC!$E:$E,$F$159,DATA_GOC!$F:$F,"Xuất nội bộ từ téc",DATA_GOC!$B:$B,AB$167))</f>
        <v/>
      </c>
      <c r="AC193" s="128" t="str">
        <f>IF(AC$167="","",SUMIFS(DATA_GOC!$H:$H,DATA_GOC!$A:$A,"BOM",DATA_GOC!$D:$D,$B193,DATA_GOC!$E:$E,$F$159,DATA_GOC!$F:$F,"Xuất nội bộ từ téc",DATA_GOC!$B:$B,AC$167))</f>
        <v/>
      </c>
      <c r="AD193" s="128" t="str">
        <f>IF(AD$167="","",SUMIFS(DATA_GOC!$H:$H,DATA_GOC!$A:$A,"BOM",DATA_GOC!$D:$D,$B193,DATA_GOC!$E:$E,$F$159,DATA_GOC!$F:$F,"Xuất nội bộ từ téc",DATA_GOC!$B:$B,AD$167))</f>
        <v/>
      </c>
      <c r="AE193" s="128" t="str">
        <f>IF(AE$167="","",SUMIFS(DATA_GOC!$H:$H,DATA_GOC!$A:$A,"BOM",DATA_GOC!$D:$D,$B193,DATA_GOC!$E:$E,$F$159,DATA_GOC!$F:$F,"Xuất nội bộ từ téc",DATA_GOC!$B:$B,AE$167))</f>
        <v/>
      </c>
      <c r="AF193" s="128" t="str">
        <f>IF(AF$167="","",SUMIFS(DATA_GOC!$H:$H,DATA_GOC!$A:$A,"BOM",DATA_GOC!$D:$D,$B193,DATA_GOC!$E:$E,$F$159,DATA_GOC!$F:$F,"Xuất nội bộ từ téc",DATA_GOC!$B:$B,AF$167))</f>
        <v/>
      </c>
      <c r="AG193" s="128" t="str">
        <f>IF(AG$167="","",SUMIFS(DATA_GOC!$H:$H,DATA_GOC!$A:$A,"BOM",DATA_GOC!$D:$D,$B193,DATA_GOC!$E:$E,$F$159,DATA_GOC!$F:$F,"Xuất nội bộ từ téc",DATA_GOC!$B:$B,AG$167))</f>
        <v/>
      </c>
      <c r="AH193" s="129">
        <f>IF($B193="","",SUMIFS(DATA_GOC!$H:$H,DATA_GOC!$A:$A,"BOM",DATA_GOC!$D:$D,$B193,DATA_GOC!$E:$E,$F$159,DATA_GOC!$F:$F,"Xuất nội bộ từ téc",DATA_GOC!$B:$B,"&gt;="&amp;$H$159,DATA_GOC!$B:$B,"&lt;="&amp;$J$159))</f>
        <v>0</v>
      </c>
      <c r="AI193" s="130">
        <f t="shared" si="16"/>
        <v>0</v>
      </c>
      <c r="AJ193" s="129">
        <f t="shared" si="17"/>
        <v>0</v>
      </c>
      <c r="AK193" s="129">
        <f t="shared" si="18"/>
        <v>0</v>
      </c>
      <c r="AL193" s="129">
        <f t="shared" si="19"/>
        <v>0</v>
      </c>
    </row>
    <row r="194" ht="21.75" hidden="1" customHeight="1">
      <c r="A194" s="126">
        <f t="shared" si="15"/>
        <v>27</v>
      </c>
      <c r="B194" s="127" t="str">
        <f t="array" ref="B194">IFERROR(IF(INDEX(DANH_MUC!$E:$E,30)="","",INDEX(DANH_MUC!$E:$E,30)),"")</f>
        <v>28C05345</v>
      </c>
      <c r="C194" s="128">
        <f>IF(C$167="","",SUMIFS(DATA_GOC!$H:$H,DATA_GOC!$A:$A,"BOM",DATA_GOC!$D:$D,$B194,DATA_GOC!$E:$E,$F$159,DATA_GOC!$F:$F,"Xuất nội bộ từ téc",DATA_GOC!$B:$B,C$167))</f>
        <v>0</v>
      </c>
      <c r="D194" s="128">
        <f>IF(D$167="","",SUMIFS(DATA_GOC!$H:$H,DATA_GOC!$A:$A,"BOM",DATA_GOC!$D:$D,$B194,DATA_GOC!$E:$E,$F$159,DATA_GOC!$F:$F,"Xuất nội bộ từ téc",DATA_GOC!$B:$B,D$167))</f>
        <v>0</v>
      </c>
      <c r="E194" s="128">
        <f>IF(E$167="","",SUMIFS(DATA_GOC!$H:$H,DATA_GOC!$A:$A,"BOM",DATA_GOC!$D:$D,$B194,DATA_GOC!$E:$E,$F$159,DATA_GOC!$F:$F,"Xuất nội bộ từ téc",DATA_GOC!$B:$B,E$167))</f>
        <v>0</v>
      </c>
      <c r="F194" s="128">
        <f>IF(F$167="","",SUMIFS(DATA_GOC!$H:$H,DATA_GOC!$A:$A,"BOM",DATA_GOC!$D:$D,$B194,DATA_GOC!$E:$E,$F$159,DATA_GOC!$F:$F,"Xuất nội bộ từ téc",DATA_GOC!$B:$B,F$167))</f>
        <v>0</v>
      </c>
      <c r="G194" s="128">
        <f>IF(G$167="","",SUMIFS(DATA_GOC!$H:$H,DATA_GOC!$A:$A,"BOM",DATA_GOC!$D:$D,$B194,DATA_GOC!$E:$E,$F$159,DATA_GOC!$F:$F,"Xuất nội bộ từ téc",DATA_GOC!$B:$B,G$167))</f>
        <v>0</v>
      </c>
      <c r="H194" s="128">
        <f>IF(H$167="","",SUMIFS(DATA_GOC!$H:$H,DATA_GOC!$A:$A,"BOM",DATA_GOC!$D:$D,$B194,DATA_GOC!$E:$E,$F$159,DATA_GOC!$F:$F,"Xuất nội bộ từ téc",DATA_GOC!$B:$B,H$167))</f>
        <v>0</v>
      </c>
      <c r="I194" s="128">
        <f>IF(I$167="","",SUMIFS(DATA_GOC!$H:$H,DATA_GOC!$A:$A,"BOM",DATA_GOC!$D:$D,$B194,DATA_GOC!$E:$E,$F$159,DATA_GOC!$F:$F,"Xuất nội bộ từ téc",DATA_GOC!$B:$B,I$167))</f>
        <v>0</v>
      </c>
      <c r="J194" s="128">
        <f>IF(J$167="","",SUMIFS(DATA_GOC!$H:$H,DATA_GOC!$A:$A,"BOM",DATA_GOC!$D:$D,$B194,DATA_GOC!$E:$E,$F$159,DATA_GOC!$F:$F,"Xuất nội bộ từ téc",DATA_GOC!$B:$B,J$167))</f>
        <v>0</v>
      </c>
      <c r="K194" s="128">
        <f>IF(K$167="","",SUMIFS(DATA_GOC!$H:$H,DATA_GOC!$A:$A,"BOM",DATA_GOC!$D:$D,$B194,DATA_GOC!$E:$E,$F$159,DATA_GOC!$F:$F,"Xuất nội bộ từ téc",DATA_GOC!$B:$B,K$167))</f>
        <v>0</v>
      </c>
      <c r="L194" s="128">
        <f>IF(L$167="","",SUMIFS(DATA_GOC!$H:$H,DATA_GOC!$A:$A,"BOM",DATA_GOC!$D:$D,$B194,DATA_GOC!$E:$E,$F$159,DATA_GOC!$F:$F,"Xuất nội bộ từ téc",DATA_GOC!$B:$B,L$167))</f>
        <v>0</v>
      </c>
      <c r="M194" s="128">
        <f>IF(M$167="","",SUMIFS(DATA_GOC!$H:$H,DATA_GOC!$A:$A,"BOM",DATA_GOC!$D:$D,$B194,DATA_GOC!$E:$E,$F$159,DATA_GOC!$F:$F,"Xuất nội bộ từ téc",DATA_GOC!$B:$B,M$167))</f>
        <v>147</v>
      </c>
      <c r="N194" s="128">
        <f>IF(N$167="","",SUMIFS(DATA_GOC!$H:$H,DATA_GOC!$A:$A,"BOM",DATA_GOC!$D:$D,$B194,DATA_GOC!$E:$E,$F$159,DATA_GOC!$F:$F,"Xuất nội bộ từ téc",DATA_GOC!$B:$B,N$167))</f>
        <v>0</v>
      </c>
      <c r="O194" s="128">
        <f>IF(O$167="","",SUMIFS(DATA_GOC!$H:$H,DATA_GOC!$A:$A,"BOM",DATA_GOC!$D:$D,$B194,DATA_GOC!$E:$E,$F$159,DATA_GOC!$F:$F,"Xuất nội bộ từ téc",DATA_GOC!$B:$B,O$167))</f>
        <v>0</v>
      </c>
      <c r="P194" s="128">
        <f>IF(P$167="","",SUMIFS(DATA_GOC!$H:$H,DATA_GOC!$A:$A,"BOM",DATA_GOC!$D:$D,$B194,DATA_GOC!$E:$E,$F$159,DATA_GOC!$F:$F,"Xuất nội bộ từ téc",DATA_GOC!$B:$B,P$167))</f>
        <v>191</v>
      </c>
      <c r="Q194" s="128">
        <f>IF(Q$167="","",SUMIFS(DATA_GOC!$H:$H,DATA_GOC!$A:$A,"BOM",DATA_GOC!$D:$D,$B194,DATA_GOC!$E:$E,$F$159,DATA_GOC!$F:$F,"Xuất nội bộ từ téc",DATA_GOC!$B:$B,Q$167))</f>
        <v>0</v>
      </c>
      <c r="R194" s="128">
        <f>IF(R$167="","",SUMIFS(DATA_GOC!$H:$H,DATA_GOC!$A:$A,"BOM",DATA_GOC!$D:$D,$B194,DATA_GOC!$E:$E,$F$159,DATA_GOC!$F:$F,"Xuất nội bộ từ téc",DATA_GOC!$B:$B,R$167))</f>
        <v>0</v>
      </c>
      <c r="S194" s="128">
        <f>IF(S$167="","",SUMIFS(DATA_GOC!$H:$H,DATA_GOC!$A:$A,"BOM",DATA_GOC!$D:$D,$B194,DATA_GOC!$E:$E,$F$159,DATA_GOC!$F:$F,"Xuất nội bộ từ téc",DATA_GOC!$B:$B,S$167))</f>
        <v>247</v>
      </c>
      <c r="T194" s="128">
        <f>IF(T$167="","",SUMIFS(DATA_GOC!$H:$H,DATA_GOC!$A:$A,"BOM",DATA_GOC!$D:$D,$B194,DATA_GOC!$E:$E,$F$159,DATA_GOC!$F:$F,"Xuất nội bộ từ téc",DATA_GOC!$B:$B,T$167))</f>
        <v>0</v>
      </c>
      <c r="U194" s="128">
        <f>IF(U$167="","",SUMIFS(DATA_GOC!$H:$H,DATA_GOC!$A:$A,"BOM",DATA_GOC!$D:$D,$B194,DATA_GOC!$E:$E,$F$159,DATA_GOC!$F:$F,"Xuất nội bộ từ téc",DATA_GOC!$B:$B,U$167))</f>
        <v>199</v>
      </c>
      <c r="V194" s="128">
        <f>IF(V$167="","",SUMIFS(DATA_GOC!$H:$H,DATA_GOC!$A:$A,"BOM",DATA_GOC!$D:$D,$B194,DATA_GOC!$E:$E,$F$159,DATA_GOC!$F:$F,"Xuất nội bộ từ téc",DATA_GOC!$B:$B,V$167))</f>
        <v>0</v>
      </c>
      <c r="W194" s="128">
        <f>IF(W$167="","",SUMIFS(DATA_GOC!$H:$H,DATA_GOC!$A:$A,"BOM",DATA_GOC!$D:$D,$B194,DATA_GOC!$E:$E,$F$159,DATA_GOC!$F:$F,"Xuất nội bộ từ téc",DATA_GOC!$B:$B,W$167))</f>
        <v>0</v>
      </c>
      <c r="X194" s="128">
        <f>IF(X$167="","",SUMIFS(DATA_GOC!$H:$H,DATA_GOC!$A:$A,"BOM",DATA_GOC!$D:$D,$B194,DATA_GOC!$E:$E,$F$159,DATA_GOC!$F:$F,"Xuất nội bộ từ téc",DATA_GOC!$B:$B,X$167))</f>
        <v>0</v>
      </c>
      <c r="Y194" s="128" t="str">
        <f>IF(Y$167="","",SUMIFS(DATA_GOC!$H:$H,DATA_GOC!$A:$A,"BOM",DATA_GOC!$D:$D,$B194,DATA_GOC!$E:$E,$F$159,DATA_GOC!$F:$F,"Xuất nội bộ từ téc",DATA_GOC!$B:$B,Y$167))</f>
        <v/>
      </c>
      <c r="Z194" s="128" t="str">
        <f>IF(Z$167="","",SUMIFS(DATA_GOC!$H:$H,DATA_GOC!$A:$A,"BOM",DATA_GOC!$D:$D,$B194,DATA_GOC!$E:$E,$F$159,DATA_GOC!$F:$F,"Xuất nội bộ từ téc",DATA_GOC!$B:$B,Z$167))</f>
        <v/>
      </c>
      <c r="AA194" s="128" t="str">
        <f>IF(AA$167="","",SUMIFS(DATA_GOC!$H:$H,DATA_GOC!$A:$A,"BOM",DATA_GOC!$D:$D,$B194,DATA_GOC!$E:$E,$F$159,DATA_GOC!$F:$F,"Xuất nội bộ từ téc",DATA_GOC!$B:$B,AA$167))</f>
        <v/>
      </c>
      <c r="AB194" s="128" t="str">
        <f>IF(AB$167="","",SUMIFS(DATA_GOC!$H:$H,DATA_GOC!$A:$A,"BOM",DATA_GOC!$D:$D,$B194,DATA_GOC!$E:$E,$F$159,DATA_GOC!$F:$F,"Xuất nội bộ từ téc",DATA_GOC!$B:$B,AB$167))</f>
        <v/>
      </c>
      <c r="AC194" s="128" t="str">
        <f>IF(AC$167="","",SUMIFS(DATA_GOC!$H:$H,DATA_GOC!$A:$A,"BOM",DATA_GOC!$D:$D,$B194,DATA_GOC!$E:$E,$F$159,DATA_GOC!$F:$F,"Xuất nội bộ từ téc",DATA_GOC!$B:$B,AC$167))</f>
        <v/>
      </c>
      <c r="AD194" s="128" t="str">
        <f>IF(AD$167="","",SUMIFS(DATA_GOC!$H:$H,DATA_GOC!$A:$A,"BOM",DATA_GOC!$D:$D,$B194,DATA_GOC!$E:$E,$F$159,DATA_GOC!$F:$F,"Xuất nội bộ từ téc",DATA_GOC!$B:$B,AD$167))</f>
        <v/>
      </c>
      <c r="AE194" s="128" t="str">
        <f>IF(AE$167="","",SUMIFS(DATA_GOC!$H:$H,DATA_GOC!$A:$A,"BOM",DATA_GOC!$D:$D,$B194,DATA_GOC!$E:$E,$F$159,DATA_GOC!$F:$F,"Xuất nội bộ từ téc",DATA_GOC!$B:$B,AE$167))</f>
        <v/>
      </c>
      <c r="AF194" s="128" t="str">
        <f>IF(AF$167="","",SUMIFS(DATA_GOC!$H:$H,DATA_GOC!$A:$A,"BOM",DATA_GOC!$D:$D,$B194,DATA_GOC!$E:$E,$F$159,DATA_GOC!$F:$F,"Xuất nội bộ từ téc",DATA_GOC!$B:$B,AF$167))</f>
        <v/>
      </c>
      <c r="AG194" s="128" t="str">
        <f>IF(AG$167="","",SUMIFS(DATA_GOC!$H:$H,DATA_GOC!$A:$A,"BOM",DATA_GOC!$D:$D,$B194,DATA_GOC!$E:$E,$F$159,DATA_GOC!$F:$F,"Xuất nội bộ từ téc",DATA_GOC!$B:$B,AG$167))</f>
        <v/>
      </c>
      <c r="AH194" s="129">
        <f>IF($B194="","",SUMIFS(DATA_GOC!$H:$H,DATA_GOC!$A:$A,"BOM",DATA_GOC!$D:$D,$B194,DATA_GOC!$E:$E,$F$159,DATA_GOC!$F:$F,"Xuất nội bộ từ téc",DATA_GOC!$B:$B,"&gt;="&amp;$H$159,DATA_GOC!$B:$B,"&lt;="&amp;$J$159))</f>
        <v>784</v>
      </c>
      <c r="AI194" s="130">
        <f t="shared" si="16"/>
        <v>0.05685691493</v>
      </c>
      <c r="AJ194" s="129">
        <f t="shared" si="17"/>
        <v>21.094</v>
      </c>
      <c r="AK194" s="129">
        <f t="shared" si="18"/>
        <v>0</v>
      </c>
      <c r="AL194" s="129">
        <f t="shared" si="19"/>
        <v>805.094</v>
      </c>
    </row>
    <row r="195" ht="21.75" hidden="1" customHeight="1">
      <c r="A195" s="126">
        <f t="shared" si="15"/>
        <v>28</v>
      </c>
      <c r="B195" s="127" t="str">
        <f t="array" ref="B195">IFERROR(IF(INDEX(DANH_MUC!$E:$E,31)="","",INDEX(DANH_MUC!$E:$E,31)),"")</f>
        <v>28C05661</v>
      </c>
      <c r="C195" s="128">
        <f>IF(C$167="","",SUMIFS(DATA_GOC!$H:$H,DATA_GOC!$A:$A,"BOM",DATA_GOC!$D:$D,$B195,DATA_GOC!$E:$E,$F$159,DATA_GOC!$F:$F,"Xuất nội bộ từ téc",DATA_GOC!$B:$B,C$167))</f>
        <v>0</v>
      </c>
      <c r="D195" s="128">
        <f>IF(D$167="","",SUMIFS(DATA_GOC!$H:$H,DATA_GOC!$A:$A,"BOM",DATA_GOC!$D:$D,$B195,DATA_GOC!$E:$E,$F$159,DATA_GOC!$F:$F,"Xuất nội bộ từ téc",DATA_GOC!$B:$B,D$167))</f>
        <v>0</v>
      </c>
      <c r="E195" s="128">
        <f>IF(E$167="","",SUMIFS(DATA_GOC!$H:$H,DATA_GOC!$A:$A,"BOM",DATA_GOC!$D:$D,$B195,DATA_GOC!$E:$E,$F$159,DATA_GOC!$F:$F,"Xuất nội bộ từ téc",DATA_GOC!$B:$B,E$167))</f>
        <v>0</v>
      </c>
      <c r="F195" s="128">
        <f>IF(F$167="","",SUMIFS(DATA_GOC!$H:$H,DATA_GOC!$A:$A,"BOM",DATA_GOC!$D:$D,$B195,DATA_GOC!$E:$E,$F$159,DATA_GOC!$F:$F,"Xuất nội bộ từ téc",DATA_GOC!$B:$B,F$167))</f>
        <v>0</v>
      </c>
      <c r="G195" s="128">
        <f>IF(G$167="","",SUMIFS(DATA_GOC!$H:$H,DATA_GOC!$A:$A,"BOM",DATA_GOC!$D:$D,$B195,DATA_GOC!$E:$E,$F$159,DATA_GOC!$F:$F,"Xuất nội bộ từ téc",DATA_GOC!$B:$B,G$167))</f>
        <v>0</v>
      </c>
      <c r="H195" s="128">
        <f>IF(H$167="","",SUMIFS(DATA_GOC!$H:$H,DATA_GOC!$A:$A,"BOM",DATA_GOC!$D:$D,$B195,DATA_GOC!$E:$E,$F$159,DATA_GOC!$F:$F,"Xuất nội bộ từ téc",DATA_GOC!$B:$B,H$167))</f>
        <v>0</v>
      </c>
      <c r="I195" s="128">
        <f>IF(I$167="","",SUMIFS(DATA_GOC!$H:$H,DATA_GOC!$A:$A,"BOM",DATA_GOC!$D:$D,$B195,DATA_GOC!$E:$E,$F$159,DATA_GOC!$F:$F,"Xuất nội bộ từ téc",DATA_GOC!$B:$B,I$167))</f>
        <v>0</v>
      </c>
      <c r="J195" s="128">
        <f>IF(J$167="","",SUMIFS(DATA_GOC!$H:$H,DATA_GOC!$A:$A,"BOM",DATA_GOC!$D:$D,$B195,DATA_GOC!$E:$E,$F$159,DATA_GOC!$F:$F,"Xuất nội bộ từ téc",DATA_GOC!$B:$B,J$167))</f>
        <v>0</v>
      </c>
      <c r="K195" s="128">
        <f>IF(K$167="","",SUMIFS(DATA_GOC!$H:$H,DATA_GOC!$A:$A,"BOM",DATA_GOC!$D:$D,$B195,DATA_GOC!$E:$E,$F$159,DATA_GOC!$F:$F,"Xuất nội bộ từ téc",DATA_GOC!$B:$B,K$167))</f>
        <v>0</v>
      </c>
      <c r="L195" s="128">
        <f>IF(L$167="","",SUMIFS(DATA_GOC!$H:$H,DATA_GOC!$A:$A,"BOM",DATA_GOC!$D:$D,$B195,DATA_GOC!$E:$E,$F$159,DATA_GOC!$F:$F,"Xuất nội bộ từ téc",DATA_GOC!$B:$B,L$167))</f>
        <v>0</v>
      </c>
      <c r="M195" s="128">
        <f>IF(M$167="","",SUMIFS(DATA_GOC!$H:$H,DATA_GOC!$A:$A,"BOM",DATA_GOC!$D:$D,$B195,DATA_GOC!$E:$E,$F$159,DATA_GOC!$F:$F,"Xuất nội bộ từ téc",DATA_GOC!$B:$B,M$167))</f>
        <v>0</v>
      </c>
      <c r="N195" s="128">
        <f>IF(N$167="","",SUMIFS(DATA_GOC!$H:$H,DATA_GOC!$A:$A,"BOM",DATA_GOC!$D:$D,$B195,DATA_GOC!$E:$E,$F$159,DATA_GOC!$F:$F,"Xuất nội bộ từ téc",DATA_GOC!$B:$B,N$167))</f>
        <v>0</v>
      </c>
      <c r="O195" s="128">
        <f>IF(O$167="","",SUMIFS(DATA_GOC!$H:$H,DATA_GOC!$A:$A,"BOM",DATA_GOC!$D:$D,$B195,DATA_GOC!$E:$E,$F$159,DATA_GOC!$F:$F,"Xuất nội bộ từ téc",DATA_GOC!$B:$B,O$167))</f>
        <v>0</v>
      </c>
      <c r="P195" s="128">
        <f>IF(P$167="","",SUMIFS(DATA_GOC!$H:$H,DATA_GOC!$A:$A,"BOM",DATA_GOC!$D:$D,$B195,DATA_GOC!$E:$E,$F$159,DATA_GOC!$F:$F,"Xuất nội bộ từ téc",DATA_GOC!$B:$B,P$167))</f>
        <v>0</v>
      </c>
      <c r="Q195" s="128">
        <f>IF(Q$167="","",SUMIFS(DATA_GOC!$H:$H,DATA_GOC!$A:$A,"BOM",DATA_GOC!$D:$D,$B195,DATA_GOC!$E:$E,$F$159,DATA_GOC!$F:$F,"Xuất nội bộ từ téc",DATA_GOC!$B:$B,Q$167))</f>
        <v>0</v>
      </c>
      <c r="R195" s="128">
        <f>IF(R$167="","",SUMIFS(DATA_GOC!$H:$H,DATA_GOC!$A:$A,"BOM",DATA_GOC!$D:$D,$B195,DATA_GOC!$E:$E,$F$159,DATA_GOC!$F:$F,"Xuất nội bộ từ téc",DATA_GOC!$B:$B,R$167))</f>
        <v>0</v>
      </c>
      <c r="S195" s="128">
        <f>IF(S$167="","",SUMIFS(DATA_GOC!$H:$H,DATA_GOC!$A:$A,"BOM",DATA_GOC!$D:$D,$B195,DATA_GOC!$E:$E,$F$159,DATA_GOC!$F:$F,"Xuất nội bộ từ téc",DATA_GOC!$B:$B,S$167))</f>
        <v>0</v>
      </c>
      <c r="T195" s="128">
        <f>IF(T$167="","",SUMIFS(DATA_GOC!$H:$H,DATA_GOC!$A:$A,"BOM",DATA_GOC!$D:$D,$B195,DATA_GOC!$E:$E,$F$159,DATA_GOC!$F:$F,"Xuất nội bộ từ téc",DATA_GOC!$B:$B,T$167))</f>
        <v>0</v>
      </c>
      <c r="U195" s="128">
        <f>IF(U$167="","",SUMIFS(DATA_GOC!$H:$H,DATA_GOC!$A:$A,"BOM",DATA_GOC!$D:$D,$B195,DATA_GOC!$E:$E,$F$159,DATA_GOC!$F:$F,"Xuất nội bộ từ téc",DATA_GOC!$B:$B,U$167))</f>
        <v>0</v>
      </c>
      <c r="V195" s="128">
        <f>IF(V$167="","",SUMIFS(DATA_GOC!$H:$H,DATA_GOC!$A:$A,"BOM",DATA_GOC!$D:$D,$B195,DATA_GOC!$E:$E,$F$159,DATA_GOC!$F:$F,"Xuất nội bộ từ téc",DATA_GOC!$B:$B,V$167))</f>
        <v>0</v>
      </c>
      <c r="W195" s="128">
        <f>IF(W$167="","",SUMIFS(DATA_GOC!$H:$H,DATA_GOC!$A:$A,"BOM",DATA_GOC!$D:$D,$B195,DATA_GOC!$E:$E,$F$159,DATA_GOC!$F:$F,"Xuất nội bộ từ téc",DATA_GOC!$B:$B,W$167))</f>
        <v>0</v>
      </c>
      <c r="X195" s="128">
        <f>IF(X$167="","",SUMIFS(DATA_GOC!$H:$H,DATA_GOC!$A:$A,"BOM",DATA_GOC!$D:$D,$B195,DATA_GOC!$E:$E,$F$159,DATA_GOC!$F:$F,"Xuất nội bộ từ téc",DATA_GOC!$B:$B,X$167))</f>
        <v>0</v>
      </c>
      <c r="Y195" s="128" t="str">
        <f>IF(Y$167="","",SUMIFS(DATA_GOC!$H:$H,DATA_GOC!$A:$A,"BOM",DATA_GOC!$D:$D,$B195,DATA_GOC!$E:$E,$F$159,DATA_GOC!$F:$F,"Xuất nội bộ từ téc",DATA_GOC!$B:$B,Y$167))</f>
        <v/>
      </c>
      <c r="Z195" s="128" t="str">
        <f>IF(Z$167="","",SUMIFS(DATA_GOC!$H:$H,DATA_GOC!$A:$A,"BOM",DATA_GOC!$D:$D,$B195,DATA_GOC!$E:$E,$F$159,DATA_GOC!$F:$F,"Xuất nội bộ từ téc",DATA_GOC!$B:$B,Z$167))</f>
        <v/>
      </c>
      <c r="AA195" s="128" t="str">
        <f>IF(AA$167="","",SUMIFS(DATA_GOC!$H:$H,DATA_GOC!$A:$A,"BOM",DATA_GOC!$D:$D,$B195,DATA_GOC!$E:$E,$F$159,DATA_GOC!$F:$F,"Xuất nội bộ từ téc",DATA_GOC!$B:$B,AA$167))</f>
        <v/>
      </c>
      <c r="AB195" s="128" t="str">
        <f>IF(AB$167="","",SUMIFS(DATA_GOC!$H:$H,DATA_GOC!$A:$A,"BOM",DATA_GOC!$D:$D,$B195,DATA_GOC!$E:$E,$F$159,DATA_GOC!$F:$F,"Xuất nội bộ từ téc",DATA_GOC!$B:$B,AB$167))</f>
        <v/>
      </c>
      <c r="AC195" s="128" t="str">
        <f>IF(AC$167="","",SUMIFS(DATA_GOC!$H:$H,DATA_GOC!$A:$A,"BOM",DATA_GOC!$D:$D,$B195,DATA_GOC!$E:$E,$F$159,DATA_GOC!$F:$F,"Xuất nội bộ từ téc",DATA_GOC!$B:$B,AC$167))</f>
        <v/>
      </c>
      <c r="AD195" s="128" t="str">
        <f>IF(AD$167="","",SUMIFS(DATA_GOC!$H:$H,DATA_GOC!$A:$A,"BOM",DATA_GOC!$D:$D,$B195,DATA_GOC!$E:$E,$F$159,DATA_GOC!$F:$F,"Xuất nội bộ từ téc",DATA_GOC!$B:$B,AD$167))</f>
        <v/>
      </c>
      <c r="AE195" s="128" t="str">
        <f>IF(AE$167="","",SUMIFS(DATA_GOC!$H:$H,DATA_GOC!$A:$A,"BOM",DATA_GOC!$D:$D,$B195,DATA_GOC!$E:$E,$F$159,DATA_GOC!$F:$F,"Xuất nội bộ từ téc",DATA_GOC!$B:$B,AE$167))</f>
        <v/>
      </c>
      <c r="AF195" s="128" t="str">
        <f>IF(AF$167="","",SUMIFS(DATA_GOC!$H:$H,DATA_GOC!$A:$A,"BOM",DATA_GOC!$D:$D,$B195,DATA_GOC!$E:$E,$F$159,DATA_GOC!$F:$F,"Xuất nội bộ từ téc",DATA_GOC!$B:$B,AF$167))</f>
        <v/>
      </c>
      <c r="AG195" s="128" t="str">
        <f>IF(AG$167="","",SUMIFS(DATA_GOC!$H:$H,DATA_GOC!$A:$A,"BOM",DATA_GOC!$D:$D,$B195,DATA_GOC!$E:$E,$F$159,DATA_GOC!$F:$F,"Xuất nội bộ từ téc",DATA_GOC!$B:$B,AG$167))</f>
        <v/>
      </c>
      <c r="AH195" s="129">
        <f>IF($B195="","",SUMIFS(DATA_GOC!$H:$H,DATA_GOC!$A:$A,"BOM",DATA_GOC!$D:$D,$B195,DATA_GOC!$E:$E,$F$159,DATA_GOC!$F:$F,"Xuất nội bộ từ téc",DATA_GOC!$B:$B,"&gt;="&amp;$H$159,DATA_GOC!$B:$B,"&lt;="&amp;$J$159))</f>
        <v>0</v>
      </c>
      <c r="AI195" s="130">
        <f t="shared" si="16"/>
        <v>0</v>
      </c>
      <c r="AJ195" s="129">
        <f t="shared" si="17"/>
        <v>0</v>
      </c>
      <c r="AK195" s="129">
        <f t="shared" si="18"/>
        <v>0</v>
      </c>
      <c r="AL195" s="129">
        <f t="shared" si="19"/>
        <v>0</v>
      </c>
    </row>
    <row r="196" ht="21.75" hidden="1" customHeight="1">
      <c r="A196" s="126">
        <f t="shared" si="15"/>
        <v>29</v>
      </c>
      <c r="B196" s="127" t="str">
        <f t="array" ref="B196">IFERROR(IF(INDEX(DANH_MUC!$E:$E,32)="","",INDEX(DANH_MUC!$E:$E,32)),"")</f>
        <v>28C05739</v>
      </c>
      <c r="C196" s="128">
        <f>IF(C$167="","",SUMIFS(DATA_GOC!$H:$H,DATA_GOC!$A:$A,"BOM",DATA_GOC!$D:$D,$B196,DATA_GOC!$E:$E,$F$159,DATA_GOC!$F:$F,"Xuất nội bộ từ téc",DATA_GOC!$B:$B,C$167))</f>
        <v>0</v>
      </c>
      <c r="D196" s="128">
        <f>IF(D$167="","",SUMIFS(DATA_GOC!$H:$H,DATA_GOC!$A:$A,"BOM",DATA_GOC!$D:$D,$B196,DATA_GOC!$E:$E,$F$159,DATA_GOC!$F:$F,"Xuất nội bộ từ téc",DATA_GOC!$B:$B,D$167))</f>
        <v>0</v>
      </c>
      <c r="E196" s="128">
        <f>IF(E$167="","",SUMIFS(DATA_GOC!$H:$H,DATA_GOC!$A:$A,"BOM",DATA_GOC!$D:$D,$B196,DATA_GOC!$E:$E,$F$159,DATA_GOC!$F:$F,"Xuất nội bộ từ téc",DATA_GOC!$B:$B,E$167))</f>
        <v>0</v>
      </c>
      <c r="F196" s="128">
        <f>IF(F$167="","",SUMIFS(DATA_GOC!$H:$H,DATA_GOC!$A:$A,"BOM",DATA_GOC!$D:$D,$B196,DATA_GOC!$E:$E,$F$159,DATA_GOC!$F:$F,"Xuất nội bộ từ téc",DATA_GOC!$B:$B,F$167))</f>
        <v>0</v>
      </c>
      <c r="G196" s="128">
        <f>IF(G$167="","",SUMIFS(DATA_GOC!$H:$H,DATA_GOC!$A:$A,"BOM",DATA_GOC!$D:$D,$B196,DATA_GOC!$E:$E,$F$159,DATA_GOC!$F:$F,"Xuất nội bộ từ téc",DATA_GOC!$B:$B,G$167))</f>
        <v>0</v>
      </c>
      <c r="H196" s="128">
        <f>IF(H$167="","",SUMIFS(DATA_GOC!$H:$H,DATA_GOC!$A:$A,"BOM",DATA_GOC!$D:$D,$B196,DATA_GOC!$E:$E,$F$159,DATA_GOC!$F:$F,"Xuất nội bộ từ téc",DATA_GOC!$B:$B,H$167))</f>
        <v>0</v>
      </c>
      <c r="I196" s="128">
        <f>IF(I$167="","",SUMIFS(DATA_GOC!$H:$H,DATA_GOC!$A:$A,"BOM",DATA_GOC!$D:$D,$B196,DATA_GOC!$E:$E,$F$159,DATA_GOC!$F:$F,"Xuất nội bộ từ téc",DATA_GOC!$B:$B,I$167))</f>
        <v>0</v>
      </c>
      <c r="J196" s="128">
        <f>IF(J$167="","",SUMIFS(DATA_GOC!$H:$H,DATA_GOC!$A:$A,"BOM",DATA_GOC!$D:$D,$B196,DATA_GOC!$E:$E,$F$159,DATA_GOC!$F:$F,"Xuất nội bộ từ téc",DATA_GOC!$B:$B,J$167))</f>
        <v>0</v>
      </c>
      <c r="K196" s="128">
        <f>IF(K$167="","",SUMIFS(DATA_GOC!$H:$H,DATA_GOC!$A:$A,"BOM",DATA_GOC!$D:$D,$B196,DATA_GOC!$E:$E,$F$159,DATA_GOC!$F:$F,"Xuất nội bộ từ téc",DATA_GOC!$B:$B,K$167))</f>
        <v>0</v>
      </c>
      <c r="L196" s="128">
        <f>IF(L$167="","",SUMIFS(DATA_GOC!$H:$H,DATA_GOC!$A:$A,"BOM",DATA_GOC!$D:$D,$B196,DATA_GOC!$E:$E,$F$159,DATA_GOC!$F:$F,"Xuất nội bộ từ téc",DATA_GOC!$B:$B,L$167))</f>
        <v>0</v>
      </c>
      <c r="M196" s="128">
        <f>IF(M$167="","",SUMIFS(DATA_GOC!$H:$H,DATA_GOC!$A:$A,"BOM",DATA_GOC!$D:$D,$B196,DATA_GOC!$E:$E,$F$159,DATA_GOC!$F:$F,"Xuất nội bộ từ téc",DATA_GOC!$B:$B,M$167))</f>
        <v>0</v>
      </c>
      <c r="N196" s="128">
        <f>IF(N$167="","",SUMIFS(DATA_GOC!$H:$H,DATA_GOC!$A:$A,"BOM",DATA_GOC!$D:$D,$B196,DATA_GOC!$E:$E,$F$159,DATA_GOC!$F:$F,"Xuất nội bộ từ téc",DATA_GOC!$B:$B,N$167))</f>
        <v>0</v>
      </c>
      <c r="O196" s="128">
        <f>IF(O$167="","",SUMIFS(DATA_GOC!$H:$H,DATA_GOC!$A:$A,"BOM",DATA_GOC!$D:$D,$B196,DATA_GOC!$E:$E,$F$159,DATA_GOC!$F:$F,"Xuất nội bộ từ téc",DATA_GOC!$B:$B,O$167))</f>
        <v>0</v>
      </c>
      <c r="P196" s="128">
        <f>IF(P$167="","",SUMIFS(DATA_GOC!$H:$H,DATA_GOC!$A:$A,"BOM",DATA_GOC!$D:$D,$B196,DATA_GOC!$E:$E,$F$159,DATA_GOC!$F:$F,"Xuất nội bộ từ téc",DATA_GOC!$B:$B,P$167))</f>
        <v>0</v>
      </c>
      <c r="Q196" s="128">
        <f>IF(Q$167="","",SUMIFS(DATA_GOC!$H:$H,DATA_GOC!$A:$A,"BOM",DATA_GOC!$D:$D,$B196,DATA_GOC!$E:$E,$F$159,DATA_GOC!$F:$F,"Xuất nội bộ từ téc",DATA_GOC!$B:$B,Q$167))</f>
        <v>0</v>
      </c>
      <c r="R196" s="128">
        <f>IF(R$167="","",SUMIFS(DATA_GOC!$H:$H,DATA_GOC!$A:$A,"BOM",DATA_GOC!$D:$D,$B196,DATA_GOC!$E:$E,$F$159,DATA_GOC!$F:$F,"Xuất nội bộ từ téc",DATA_GOC!$B:$B,R$167))</f>
        <v>0</v>
      </c>
      <c r="S196" s="128">
        <f>IF(S$167="","",SUMIFS(DATA_GOC!$H:$H,DATA_GOC!$A:$A,"BOM",DATA_GOC!$D:$D,$B196,DATA_GOC!$E:$E,$F$159,DATA_GOC!$F:$F,"Xuất nội bộ từ téc",DATA_GOC!$B:$B,S$167))</f>
        <v>0</v>
      </c>
      <c r="T196" s="128">
        <f>IF(T$167="","",SUMIFS(DATA_GOC!$H:$H,DATA_GOC!$A:$A,"BOM",DATA_GOC!$D:$D,$B196,DATA_GOC!$E:$E,$F$159,DATA_GOC!$F:$F,"Xuất nội bộ từ téc",DATA_GOC!$B:$B,T$167))</f>
        <v>218</v>
      </c>
      <c r="U196" s="128">
        <f>IF(U$167="","",SUMIFS(DATA_GOC!$H:$H,DATA_GOC!$A:$A,"BOM",DATA_GOC!$D:$D,$B196,DATA_GOC!$E:$E,$F$159,DATA_GOC!$F:$F,"Xuất nội bộ từ téc",DATA_GOC!$B:$B,U$167))</f>
        <v>0</v>
      </c>
      <c r="V196" s="128">
        <f>IF(V$167="","",SUMIFS(DATA_GOC!$H:$H,DATA_GOC!$A:$A,"BOM",DATA_GOC!$D:$D,$B196,DATA_GOC!$E:$E,$F$159,DATA_GOC!$F:$F,"Xuất nội bộ từ téc",DATA_GOC!$B:$B,V$167))</f>
        <v>0</v>
      </c>
      <c r="W196" s="128">
        <f>IF(W$167="","",SUMIFS(DATA_GOC!$H:$H,DATA_GOC!$A:$A,"BOM",DATA_GOC!$D:$D,$B196,DATA_GOC!$E:$E,$F$159,DATA_GOC!$F:$F,"Xuất nội bộ từ téc",DATA_GOC!$B:$B,W$167))</f>
        <v>0</v>
      </c>
      <c r="X196" s="128">
        <f>IF(X$167="","",SUMIFS(DATA_GOC!$H:$H,DATA_GOC!$A:$A,"BOM",DATA_GOC!$D:$D,$B196,DATA_GOC!$E:$E,$F$159,DATA_GOC!$F:$F,"Xuất nội bộ từ téc",DATA_GOC!$B:$B,X$167))</f>
        <v>0</v>
      </c>
      <c r="Y196" s="128" t="str">
        <f>IF(Y$167="","",SUMIFS(DATA_GOC!$H:$H,DATA_GOC!$A:$A,"BOM",DATA_GOC!$D:$D,$B196,DATA_GOC!$E:$E,$F$159,DATA_GOC!$F:$F,"Xuất nội bộ từ téc",DATA_GOC!$B:$B,Y$167))</f>
        <v/>
      </c>
      <c r="Z196" s="128" t="str">
        <f>IF(Z$167="","",SUMIFS(DATA_GOC!$H:$H,DATA_GOC!$A:$A,"BOM",DATA_GOC!$D:$D,$B196,DATA_GOC!$E:$E,$F$159,DATA_GOC!$F:$F,"Xuất nội bộ từ téc",DATA_GOC!$B:$B,Z$167))</f>
        <v/>
      </c>
      <c r="AA196" s="128" t="str">
        <f>IF(AA$167="","",SUMIFS(DATA_GOC!$H:$H,DATA_GOC!$A:$A,"BOM",DATA_GOC!$D:$D,$B196,DATA_GOC!$E:$E,$F$159,DATA_GOC!$F:$F,"Xuất nội bộ từ téc",DATA_GOC!$B:$B,AA$167))</f>
        <v/>
      </c>
      <c r="AB196" s="128" t="str">
        <f>IF(AB$167="","",SUMIFS(DATA_GOC!$H:$H,DATA_GOC!$A:$A,"BOM",DATA_GOC!$D:$D,$B196,DATA_GOC!$E:$E,$F$159,DATA_GOC!$F:$F,"Xuất nội bộ từ téc",DATA_GOC!$B:$B,AB$167))</f>
        <v/>
      </c>
      <c r="AC196" s="128" t="str">
        <f>IF(AC$167="","",SUMIFS(DATA_GOC!$H:$H,DATA_GOC!$A:$A,"BOM",DATA_GOC!$D:$D,$B196,DATA_GOC!$E:$E,$F$159,DATA_GOC!$F:$F,"Xuất nội bộ từ téc",DATA_GOC!$B:$B,AC$167))</f>
        <v/>
      </c>
      <c r="AD196" s="128" t="str">
        <f>IF(AD$167="","",SUMIFS(DATA_GOC!$H:$H,DATA_GOC!$A:$A,"BOM",DATA_GOC!$D:$D,$B196,DATA_GOC!$E:$E,$F$159,DATA_GOC!$F:$F,"Xuất nội bộ từ téc",DATA_GOC!$B:$B,AD$167))</f>
        <v/>
      </c>
      <c r="AE196" s="128" t="str">
        <f>IF(AE$167="","",SUMIFS(DATA_GOC!$H:$H,DATA_GOC!$A:$A,"BOM",DATA_GOC!$D:$D,$B196,DATA_GOC!$E:$E,$F$159,DATA_GOC!$F:$F,"Xuất nội bộ từ téc",DATA_GOC!$B:$B,AE$167))</f>
        <v/>
      </c>
      <c r="AF196" s="128" t="str">
        <f>IF(AF$167="","",SUMIFS(DATA_GOC!$H:$H,DATA_GOC!$A:$A,"BOM",DATA_GOC!$D:$D,$B196,DATA_GOC!$E:$E,$F$159,DATA_GOC!$F:$F,"Xuất nội bộ từ téc",DATA_GOC!$B:$B,AF$167))</f>
        <v/>
      </c>
      <c r="AG196" s="128" t="str">
        <f>IF(AG$167="","",SUMIFS(DATA_GOC!$H:$H,DATA_GOC!$A:$A,"BOM",DATA_GOC!$D:$D,$B196,DATA_GOC!$E:$E,$F$159,DATA_GOC!$F:$F,"Xuất nội bộ từ téc",DATA_GOC!$B:$B,AG$167))</f>
        <v/>
      </c>
      <c r="AH196" s="129">
        <f>IF($B196="","",SUMIFS(DATA_GOC!$H:$H,DATA_GOC!$A:$A,"BOM",DATA_GOC!$D:$D,$B196,DATA_GOC!$E:$E,$F$159,DATA_GOC!$F:$F,"Xuất nội bộ từ téc",DATA_GOC!$B:$B,"&gt;="&amp;$H$159,DATA_GOC!$B:$B,"&lt;="&amp;$J$159))</f>
        <v>218</v>
      </c>
      <c r="AI196" s="130">
        <f t="shared" si="16"/>
        <v>0.01580970339</v>
      </c>
      <c r="AJ196" s="129">
        <f t="shared" si="17"/>
        <v>5.865</v>
      </c>
      <c r="AK196" s="129">
        <f t="shared" si="18"/>
        <v>0</v>
      </c>
      <c r="AL196" s="129">
        <f t="shared" si="19"/>
        <v>223.865</v>
      </c>
    </row>
    <row r="197" ht="21.75" hidden="1" customHeight="1">
      <c r="A197" s="126">
        <f t="shared" si="15"/>
        <v>30</v>
      </c>
      <c r="B197" s="127" t="str">
        <f t="array" ref="B197">IFERROR(IF(INDEX(DANH_MUC!$E:$E,33)="","",INDEX(DANH_MUC!$E:$E,33)),"")</f>
        <v>28C06369</v>
      </c>
      <c r="C197" s="128">
        <f>IF(C$167="","",SUMIFS(DATA_GOC!$H:$H,DATA_GOC!$A:$A,"BOM",DATA_GOC!$D:$D,$B197,DATA_GOC!$E:$E,$F$159,DATA_GOC!$F:$F,"Xuất nội bộ từ téc",DATA_GOC!$B:$B,C$167))</f>
        <v>0</v>
      </c>
      <c r="D197" s="128">
        <f>IF(D$167="","",SUMIFS(DATA_GOC!$H:$H,DATA_GOC!$A:$A,"BOM",DATA_GOC!$D:$D,$B197,DATA_GOC!$E:$E,$F$159,DATA_GOC!$F:$F,"Xuất nội bộ từ téc",DATA_GOC!$B:$B,D$167))</f>
        <v>0</v>
      </c>
      <c r="E197" s="128">
        <f>IF(E$167="","",SUMIFS(DATA_GOC!$H:$H,DATA_GOC!$A:$A,"BOM",DATA_GOC!$D:$D,$B197,DATA_GOC!$E:$E,$F$159,DATA_GOC!$F:$F,"Xuất nội bộ từ téc",DATA_GOC!$B:$B,E$167))</f>
        <v>0</v>
      </c>
      <c r="F197" s="128">
        <f>IF(F$167="","",SUMIFS(DATA_GOC!$H:$H,DATA_GOC!$A:$A,"BOM",DATA_GOC!$D:$D,$B197,DATA_GOC!$E:$E,$F$159,DATA_GOC!$F:$F,"Xuất nội bộ từ téc",DATA_GOC!$B:$B,F$167))</f>
        <v>0</v>
      </c>
      <c r="G197" s="128">
        <f>IF(G$167="","",SUMIFS(DATA_GOC!$H:$H,DATA_GOC!$A:$A,"BOM",DATA_GOC!$D:$D,$B197,DATA_GOC!$E:$E,$F$159,DATA_GOC!$F:$F,"Xuất nội bộ từ téc",DATA_GOC!$B:$B,G$167))</f>
        <v>0</v>
      </c>
      <c r="H197" s="128">
        <f>IF(H$167="","",SUMIFS(DATA_GOC!$H:$H,DATA_GOC!$A:$A,"BOM",DATA_GOC!$D:$D,$B197,DATA_GOC!$E:$E,$F$159,DATA_GOC!$F:$F,"Xuất nội bộ từ téc",DATA_GOC!$B:$B,H$167))</f>
        <v>0</v>
      </c>
      <c r="I197" s="128">
        <f>IF(I$167="","",SUMIFS(DATA_GOC!$H:$H,DATA_GOC!$A:$A,"BOM",DATA_GOC!$D:$D,$B197,DATA_GOC!$E:$E,$F$159,DATA_GOC!$F:$F,"Xuất nội bộ từ téc",DATA_GOC!$B:$B,I$167))</f>
        <v>0</v>
      </c>
      <c r="J197" s="128">
        <f>IF(J$167="","",SUMIFS(DATA_GOC!$H:$H,DATA_GOC!$A:$A,"BOM",DATA_GOC!$D:$D,$B197,DATA_GOC!$E:$E,$F$159,DATA_GOC!$F:$F,"Xuất nội bộ từ téc",DATA_GOC!$B:$B,J$167))</f>
        <v>0</v>
      </c>
      <c r="K197" s="128">
        <f>IF(K$167="","",SUMIFS(DATA_GOC!$H:$H,DATA_GOC!$A:$A,"BOM",DATA_GOC!$D:$D,$B197,DATA_GOC!$E:$E,$F$159,DATA_GOC!$F:$F,"Xuất nội bộ từ téc",DATA_GOC!$B:$B,K$167))</f>
        <v>0</v>
      </c>
      <c r="L197" s="128">
        <f>IF(L$167="","",SUMIFS(DATA_GOC!$H:$H,DATA_GOC!$A:$A,"BOM",DATA_GOC!$D:$D,$B197,DATA_GOC!$E:$E,$F$159,DATA_GOC!$F:$F,"Xuất nội bộ từ téc",DATA_GOC!$B:$B,L$167))</f>
        <v>0</v>
      </c>
      <c r="M197" s="128">
        <f>IF(M$167="","",SUMIFS(DATA_GOC!$H:$H,DATA_GOC!$A:$A,"BOM",DATA_GOC!$D:$D,$B197,DATA_GOC!$E:$E,$F$159,DATA_GOC!$F:$F,"Xuất nội bộ từ téc",DATA_GOC!$B:$B,M$167))</f>
        <v>0</v>
      </c>
      <c r="N197" s="128">
        <f>IF(N$167="","",SUMIFS(DATA_GOC!$H:$H,DATA_GOC!$A:$A,"BOM",DATA_GOC!$D:$D,$B197,DATA_GOC!$E:$E,$F$159,DATA_GOC!$F:$F,"Xuất nội bộ từ téc",DATA_GOC!$B:$B,N$167))</f>
        <v>0</v>
      </c>
      <c r="O197" s="128">
        <f>IF(O$167="","",SUMIFS(DATA_GOC!$H:$H,DATA_GOC!$A:$A,"BOM",DATA_GOC!$D:$D,$B197,DATA_GOC!$E:$E,$F$159,DATA_GOC!$F:$F,"Xuất nội bộ từ téc",DATA_GOC!$B:$B,O$167))</f>
        <v>0</v>
      </c>
      <c r="P197" s="128">
        <f>IF(P$167="","",SUMIFS(DATA_GOC!$H:$H,DATA_GOC!$A:$A,"BOM",DATA_GOC!$D:$D,$B197,DATA_GOC!$E:$E,$F$159,DATA_GOC!$F:$F,"Xuất nội bộ từ téc",DATA_GOC!$B:$B,P$167))</f>
        <v>0</v>
      </c>
      <c r="Q197" s="128">
        <f>IF(Q$167="","",SUMIFS(DATA_GOC!$H:$H,DATA_GOC!$A:$A,"BOM",DATA_GOC!$D:$D,$B197,DATA_GOC!$E:$E,$F$159,DATA_GOC!$F:$F,"Xuất nội bộ từ téc",DATA_GOC!$B:$B,Q$167))</f>
        <v>0</v>
      </c>
      <c r="R197" s="128">
        <f>IF(R$167="","",SUMIFS(DATA_GOC!$H:$H,DATA_GOC!$A:$A,"BOM",DATA_GOC!$D:$D,$B197,DATA_GOC!$E:$E,$F$159,DATA_GOC!$F:$F,"Xuất nội bộ từ téc",DATA_GOC!$B:$B,R$167))</f>
        <v>0</v>
      </c>
      <c r="S197" s="128">
        <f>IF(S$167="","",SUMIFS(DATA_GOC!$H:$H,DATA_GOC!$A:$A,"BOM",DATA_GOC!$D:$D,$B197,DATA_GOC!$E:$E,$F$159,DATA_GOC!$F:$F,"Xuất nội bộ từ téc",DATA_GOC!$B:$B,S$167))</f>
        <v>220</v>
      </c>
      <c r="T197" s="128">
        <f>IF(T$167="","",SUMIFS(DATA_GOC!$H:$H,DATA_GOC!$A:$A,"BOM",DATA_GOC!$D:$D,$B197,DATA_GOC!$E:$E,$F$159,DATA_GOC!$F:$F,"Xuất nội bộ từ téc",DATA_GOC!$B:$B,T$167))</f>
        <v>0</v>
      </c>
      <c r="U197" s="128">
        <f>IF(U$167="","",SUMIFS(DATA_GOC!$H:$H,DATA_GOC!$A:$A,"BOM",DATA_GOC!$D:$D,$B197,DATA_GOC!$E:$E,$F$159,DATA_GOC!$F:$F,"Xuất nội bộ từ téc",DATA_GOC!$B:$B,U$167))</f>
        <v>0</v>
      </c>
      <c r="V197" s="128">
        <f>IF(V$167="","",SUMIFS(DATA_GOC!$H:$H,DATA_GOC!$A:$A,"BOM",DATA_GOC!$D:$D,$B197,DATA_GOC!$E:$E,$F$159,DATA_GOC!$F:$F,"Xuất nội bộ từ téc",DATA_GOC!$B:$B,V$167))</f>
        <v>0</v>
      </c>
      <c r="W197" s="128">
        <f>IF(W$167="","",SUMIFS(DATA_GOC!$H:$H,DATA_GOC!$A:$A,"BOM",DATA_GOC!$D:$D,$B197,DATA_GOC!$E:$E,$F$159,DATA_GOC!$F:$F,"Xuất nội bộ từ téc",DATA_GOC!$B:$B,W$167))</f>
        <v>210</v>
      </c>
      <c r="X197" s="128">
        <f>IF(X$167="","",SUMIFS(DATA_GOC!$H:$H,DATA_GOC!$A:$A,"BOM",DATA_GOC!$D:$D,$B197,DATA_GOC!$E:$E,$F$159,DATA_GOC!$F:$F,"Xuất nội bộ từ téc",DATA_GOC!$B:$B,X$167))</f>
        <v>0</v>
      </c>
      <c r="Y197" s="128" t="str">
        <f>IF(Y$167="","",SUMIFS(DATA_GOC!$H:$H,DATA_GOC!$A:$A,"BOM",DATA_GOC!$D:$D,$B197,DATA_GOC!$E:$E,$F$159,DATA_GOC!$F:$F,"Xuất nội bộ từ téc",DATA_GOC!$B:$B,Y$167))</f>
        <v/>
      </c>
      <c r="Z197" s="128" t="str">
        <f>IF(Z$167="","",SUMIFS(DATA_GOC!$H:$H,DATA_GOC!$A:$A,"BOM",DATA_GOC!$D:$D,$B197,DATA_GOC!$E:$E,$F$159,DATA_GOC!$F:$F,"Xuất nội bộ từ téc",DATA_GOC!$B:$B,Z$167))</f>
        <v/>
      </c>
      <c r="AA197" s="128" t="str">
        <f>IF(AA$167="","",SUMIFS(DATA_GOC!$H:$H,DATA_GOC!$A:$A,"BOM",DATA_GOC!$D:$D,$B197,DATA_GOC!$E:$E,$F$159,DATA_GOC!$F:$F,"Xuất nội bộ từ téc",DATA_GOC!$B:$B,AA$167))</f>
        <v/>
      </c>
      <c r="AB197" s="128" t="str">
        <f>IF(AB$167="","",SUMIFS(DATA_GOC!$H:$H,DATA_GOC!$A:$A,"BOM",DATA_GOC!$D:$D,$B197,DATA_GOC!$E:$E,$F$159,DATA_GOC!$F:$F,"Xuất nội bộ từ téc",DATA_GOC!$B:$B,AB$167))</f>
        <v/>
      </c>
      <c r="AC197" s="128" t="str">
        <f>IF(AC$167="","",SUMIFS(DATA_GOC!$H:$H,DATA_GOC!$A:$A,"BOM",DATA_GOC!$D:$D,$B197,DATA_GOC!$E:$E,$F$159,DATA_GOC!$F:$F,"Xuất nội bộ từ téc",DATA_GOC!$B:$B,AC$167))</f>
        <v/>
      </c>
      <c r="AD197" s="128" t="str">
        <f>IF(AD$167="","",SUMIFS(DATA_GOC!$H:$H,DATA_GOC!$A:$A,"BOM",DATA_GOC!$D:$D,$B197,DATA_GOC!$E:$E,$F$159,DATA_GOC!$F:$F,"Xuất nội bộ từ téc",DATA_GOC!$B:$B,AD$167))</f>
        <v/>
      </c>
      <c r="AE197" s="128" t="str">
        <f>IF(AE$167="","",SUMIFS(DATA_GOC!$H:$H,DATA_GOC!$A:$A,"BOM",DATA_GOC!$D:$D,$B197,DATA_GOC!$E:$E,$F$159,DATA_GOC!$F:$F,"Xuất nội bộ từ téc",DATA_GOC!$B:$B,AE$167))</f>
        <v/>
      </c>
      <c r="AF197" s="128" t="str">
        <f>IF(AF$167="","",SUMIFS(DATA_GOC!$H:$H,DATA_GOC!$A:$A,"BOM",DATA_GOC!$D:$D,$B197,DATA_GOC!$E:$E,$F$159,DATA_GOC!$F:$F,"Xuất nội bộ từ téc",DATA_GOC!$B:$B,AF$167))</f>
        <v/>
      </c>
      <c r="AG197" s="128" t="str">
        <f>IF(AG$167="","",SUMIFS(DATA_GOC!$H:$H,DATA_GOC!$A:$A,"BOM",DATA_GOC!$D:$D,$B197,DATA_GOC!$E:$E,$F$159,DATA_GOC!$F:$F,"Xuất nội bộ từ téc",DATA_GOC!$B:$B,AG$167))</f>
        <v/>
      </c>
      <c r="AH197" s="129">
        <f>IF($B197="","",SUMIFS(DATA_GOC!$H:$H,DATA_GOC!$A:$A,"BOM",DATA_GOC!$D:$D,$B197,DATA_GOC!$E:$E,$F$159,DATA_GOC!$F:$F,"Xuất nội bộ từ téc",DATA_GOC!$B:$B,"&gt;="&amp;$H$159,DATA_GOC!$B:$B,"&lt;="&amp;$J$159))</f>
        <v>430</v>
      </c>
      <c r="AI197" s="130">
        <f t="shared" si="16"/>
        <v>0.03118427732</v>
      </c>
      <c r="AJ197" s="129">
        <f t="shared" si="17"/>
        <v>11.569</v>
      </c>
      <c r="AK197" s="129">
        <f t="shared" si="18"/>
        <v>0</v>
      </c>
      <c r="AL197" s="129">
        <f t="shared" si="19"/>
        <v>441.569</v>
      </c>
    </row>
    <row r="198" ht="21.75" hidden="1" customHeight="1">
      <c r="A198" s="126">
        <f t="shared" si="15"/>
        <v>31</v>
      </c>
      <c r="B198" s="127" t="str">
        <f t="array" ref="B198">IFERROR(IF(INDEX(DANH_MUC!$E:$E,34)="","",INDEX(DANH_MUC!$E:$E,34)),"")</f>
        <v>28C06447</v>
      </c>
      <c r="C198" s="128">
        <f>IF(C$167="","",SUMIFS(DATA_GOC!$H:$H,DATA_GOC!$A:$A,"BOM",DATA_GOC!$D:$D,$B198,DATA_GOC!$E:$E,$F$159,DATA_GOC!$F:$F,"Xuất nội bộ từ téc",DATA_GOC!$B:$B,C$167))</f>
        <v>0</v>
      </c>
      <c r="D198" s="128">
        <f>IF(D$167="","",SUMIFS(DATA_GOC!$H:$H,DATA_GOC!$A:$A,"BOM",DATA_GOC!$D:$D,$B198,DATA_GOC!$E:$E,$F$159,DATA_GOC!$F:$F,"Xuất nội bộ từ téc",DATA_GOC!$B:$B,D$167))</f>
        <v>0</v>
      </c>
      <c r="E198" s="128">
        <f>IF(E$167="","",SUMIFS(DATA_GOC!$H:$H,DATA_GOC!$A:$A,"BOM",DATA_GOC!$D:$D,$B198,DATA_GOC!$E:$E,$F$159,DATA_GOC!$F:$F,"Xuất nội bộ từ téc",DATA_GOC!$B:$B,E$167))</f>
        <v>0</v>
      </c>
      <c r="F198" s="128">
        <f>IF(F$167="","",SUMIFS(DATA_GOC!$H:$H,DATA_GOC!$A:$A,"BOM",DATA_GOC!$D:$D,$B198,DATA_GOC!$E:$E,$F$159,DATA_GOC!$F:$F,"Xuất nội bộ từ téc",DATA_GOC!$B:$B,F$167))</f>
        <v>0</v>
      </c>
      <c r="G198" s="128">
        <f>IF(G$167="","",SUMIFS(DATA_GOC!$H:$H,DATA_GOC!$A:$A,"BOM",DATA_GOC!$D:$D,$B198,DATA_GOC!$E:$E,$F$159,DATA_GOC!$F:$F,"Xuất nội bộ từ téc",DATA_GOC!$B:$B,G$167))</f>
        <v>0</v>
      </c>
      <c r="H198" s="128">
        <f>IF(H$167="","",SUMIFS(DATA_GOC!$H:$H,DATA_GOC!$A:$A,"BOM",DATA_GOC!$D:$D,$B198,DATA_GOC!$E:$E,$F$159,DATA_GOC!$F:$F,"Xuất nội bộ từ téc",DATA_GOC!$B:$B,H$167))</f>
        <v>0</v>
      </c>
      <c r="I198" s="128">
        <f>IF(I$167="","",SUMIFS(DATA_GOC!$H:$H,DATA_GOC!$A:$A,"BOM",DATA_GOC!$D:$D,$B198,DATA_GOC!$E:$E,$F$159,DATA_GOC!$F:$F,"Xuất nội bộ từ téc",DATA_GOC!$B:$B,I$167))</f>
        <v>0</v>
      </c>
      <c r="J198" s="128">
        <f>IF(J$167="","",SUMIFS(DATA_GOC!$H:$H,DATA_GOC!$A:$A,"BOM",DATA_GOC!$D:$D,$B198,DATA_GOC!$E:$E,$F$159,DATA_GOC!$F:$F,"Xuất nội bộ từ téc",DATA_GOC!$B:$B,J$167))</f>
        <v>0</v>
      </c>
      <c r="K198" s="128">
        <f>IF(K$167="","",SUMIFS(DATA_GOC!$H:$H,DATA_GOC!$A:$A,"BOM",DATA_GOC!$D:$D,$B198,DATA_GOC!$E:$E,$F$159,DATA_GOC!$F:$F,"Xuất nội bộ từ téc",DATA_GOC!$B:$B,K$167))</f>
        <v>0</v>
      </c>
      <c r="L198" s="128">
        <f>IF(L$167="","",SUMIFS(DATA_GOC!$H:$H,DATA_GOC!$A:$A,"BOM",DATA_GOC!$D:$D,$B198,DATA_GOC!$E:$E,$F$159,DATA_GOC!$F:$F,"Xuất nội bộ từ téc",DATA_GOC!$B:$B,L$167))</f>
        <v>167</v>
      </c>
      <c r="M198" s="128">
        <f>IF(M$167="","",SUMIFS(DATA_GOC!$H:$H,DATA_GOC!$A:$A,"BOM",DATA_GOC!$D:$D,$B198,DATA_GOC!$E:$E,$F$159,DATA_GOC!$F:$F,"Xuất nội bộ từ téc",DATA_GOC!$B:$B,M$167))</f>
        <v>0</v>
      </c>
      <c r="N198" s="128">
        <f>IF(N$167="","",SUMIFS(DATA_GOC!$H:$H,DATA_GOC!$A:$A,"BOM",DATA_GOC!$D:$D,$B198,DATA_GOC!$E:$E,$F$159,DATA_GOC!$F:$F,"Xuất nội bộ từ téc",DATA_GOC!$B:$B,N$167))</f>
        <v>0</v>
      </c>
      <c r="O198" s="128">
        <f>IF(O$167="","",SUMIFS(DATA_GOC!$H:$H,DATA_GOC!$A:$A,"BOM",DATA_GOC!$D:$D,$B198,DATA_GOC!$E:$E,$F$159,DATA_GOC!$F:$F,"Xuất nội bộ từ téc",DATA_GOC!$B:$B,O$167))</f>
        <v>0</v>
      </c>
      <c r="P198" s="128">
        <f>IF(P$167="","",SUMIFS(DATA_GOC!$H:$H,DATA_GOC!$A:$A,"BOM",DATA_GOC!$D:$D,$B198,DATA_GOC!$E:$E,$F$159,DATA_GOC!$F:$F,"Xuất nội bộ từ téc",DATA_GOC!$B:$B,P$167))</f>
        <v>0</v>
      </c>
      <c r="Q198" s="128">
        <f>IF(Q$167="","",SUMIFS(DATA_GOC!$H:$H,DATA_GOC!$A:$A,"BOM",DATA_GOC!$D:$D,$B198,DATA_GOC!$E:$E,$F$159,DATA_GOC!$F:$F,"Xuất nội bộ từ téc",DATA_GOC!$B:$B,Q$167))</f>
        <v>0</v>
      </c>
      <c r="R198" s="128">
        <f>IF(R$167="","",SUMIFS(DATA_GOC!$H:$H,DATA_GOC!$A:$A,"BOM",DATA_GOC!$D:$D,$B198,DATA_GOC!$E:$E,$F$159,DATA_GOC!$F:$F,"Xuất nội bộ từ téc",DATA_GOC!$B:$B,R$167))</f>
        <v>366</v>
      </c>
      <c r="S198" s="128">
        <f>IF(S$167="","",SUMIFS(DATA_GOC!$H:$H,DATA_GOC!$A:$A,"BOM",DATA_GOC!$D:$D,$B198,DATA_GOC!$E:$E,$F$159,DATA_GOC!$F:$F,"Xuất nội bộ từ téc",DATA_GOC!$B:$B,S$167))</f>
        <v>0</v>
      </c>
      <c r="T198" s="128">
        <f>IF(T$167="","",SUMIFS(DATA_GOC!$H:$H,DATA_GOC!$A:$A,"BOM",DATA_GOC!$D:$D,$B198,DATA_GOC!$E:$E,$F$159,DATA_GOC!$F:$F,"Xuất nội bộ từ téc",DATA_GOC!$B:$B,T$167))</f>
        <v>0</v>
      </c>
      <c r="U198" s="128">
        <f>IF(U$167="","",SUMIFS(DATA_GOC!$H:$H,DATA_GOC!$A:$A,"BOM",DATA_GOC!$D:$D,$B198,DATA_GOC!$E:$E,$F$159,DATA_GOC!$F:$F,"Xuất nội bộ từ téc",DATA_GOC!$B:$B,U$167))</f>
        <v>0</v>
      </c>
      <c r="V198" s="128">
        <f>IF(V$167="","",SUMIFS(DATA_GOC!$H:$H,DATA_GOC!$A:$A,"BOM",DATA_GOC!$D:$D,$B198,DATA_GOC!$E:$E,$F$159,DATA_GOC!$F:$F,"Xuất nội bộ từ téc",DATA_GOC!$B:$B,V$167))</f>
        <v>380</v>
      </c>
      <c r="W198" s="128">
        <f>IF(W$167="","",SUMIFS(DATA_GOC!$H:$H,DATA_GOC!$A:$A,"BOM",DATA_GOC!$D:$D,$B198,DATA_GOC!$E:$E,$F$159,DATA_GOC!$F:$F,"Xuất nội bộ từ téc",DATA_GOC!$B:$B,W$167))</f>
        <v>0</v>
      </c>
      <c r="X198" s="128">
        <f>IF(X$167="","",SUMIFS(DATA_GOC!$H:$H,DATA_GOC!$A:$A,"BOM",DATA_GOC!$D:$D,$B198,DATA_GOC!$E:$E,$F$159,DATA_GOC!$F:$F,"Xuất nội bộ từ téc",DATA_GOC!$B:$B,X$167))</f>
        <v>0</v>
      </c>
      <c r="Y198" s="128" t="str">
        <f>IF(Y$167="","",SUMIFS(DATA_GOC!$H:$H,DATA_GOC!$A:$A,"BOM",DATA_GOC!$D:$D,$B198,DATA_GOC!$E:$E,$F$159,DATA_GOC!$F:$F,"Xuất nội bộ từ téc",DATA_GOC!$B:$B,Y$167))</f>
        <v/>
      </c>
      <c r="Z198" s="128" t="str">
        <f>IF(Z$167="","",SUMIFS(DATA_GOC!$H:$H,DATA_GOC!$A:$A,"BOM",DATA_GOC!$D:$D,$B198,DATA_GOC!$E:$E,$F$159,DATA_GOC!$F:$F,"Xuất nội bộ từ téc",DATA_GOC!$B:$B,Z$167))</f>
        <v/>
      </c>
      <c r="AA198" s="128" t="str">
        <f>IF(AA$167="","",SUMIFS(DATA_GOC!$H:$H,DATA_GOC!$A:$A,"BOM",DATA_GOC!$D:$D,$B198,DATA_GOC!$E:$E,$F$159,DATA_GOC!$F:$F,"Xuất nội bộ từ téc",DATA_GOC!$B:$B,AA$167))</f>
        <v/>
      </c>
      <c r="AB198" s="128" t="str">
        <f>IF(AB$167="","",SUMIFS(DATA_GOC!$H:$H,DATA_GOC!$A:$A,"BOM",DATA_GOC!$D:$D,$B198,DATA_GOC!$E:$E,$F$159,DATA_GOC!$F:$F,"Xuất nội bộ từ téc",DATA_GOC!$B:$B,AB$167))</f>
        <v/>
      </c>
      <c r="AC198" s="128" t="str">
        <f>IF(AC$167="","",SUMIFS(DATA_GOC!$H:$H,DATA_GOC!$A:$A,"BOM",DATA_GOC!$D:$D,$B198,DATA_GOC!$E:$E,$F$159,DATA_GOC!$F:$F,"Xuất nội bộ từ téc",DATA_GOC!$B:$B,AC$167))</f>
        <v/>
      </c>
      <c r="AD198" s="128" t="str">
        <f>IF(AD$167="","",SUMIFS(DATA_GOC!$H:$H,DATA_GOC!$A:$A,"BOM",DATA_GOC!$D:$D,$B198,DATA_GOC!$E:$E,$F$159,DATA_GOC!$F:$F,"Xuất nội bộ từ téc",DATA_GOC!$B:$B,AD$167))</f>
        <v/>
      </c>
      <c r="AE198" s="128" t="str">
        <f>IF(AE$167="","",SUMIFS(DATA_GOC!$H:$H,DATA_GOC!$A:$A,"BOM",DATA_GOC!$D:$D,$B198,DATA_GOC!$E:$E,$F$159,DATA_GOC!$F:$F,"Xuất nội bộ từ téc",DATA_GOC!$B:$B,AE$167))</f>
        <v/>
      </c>
      <c r="AF198" s="128" t="str">
        <f>IF(AF$167="","",SUMIFS(DATA_GOC!$H:$H,DATA_GOC!$A:$A,"BOM",DATA_GOC!$D:$D,$B198,DATA_GOC!$E:$E,$F$159,DATA_GOC!$F:$F,"Xuất nội bộ từ téc",DATA_GOC!$B:$B,AF$167))</f>
        <v/>
      </c>
      <c r="AG198" s="128" t="str">
        <f>IF(AG$167="","",SUMIFS(DATA_GOC!$H:$H,DATA_GOC!$A:$A,"BOM",DATA_GOC!$D:$D,$B198,DATA_GOC!$E:$E,$F$159,DATA_GOC!$F:$F,"Xuất nội bộ từ téc",DATA_GOC!$B:$B,AG$167))</f>
        <v/>
      </c>
      <c r="AH198" s="129">
        <f>IF($B198="","",SUMIFS(DATA_GOC!$H:$H,DATA_GOC!$A:$A,"BOM",DATA_GOC!$D:$D,$B198,DATA_GOC!$E:$E,$F$159,DATA_GOC!$F:$F,"Xuất nội bộ từ téc",DATA_GOC!$B:$B,"&gt;="&amp;$H$159,DATA_GOC!$B:$B,"&lt;="&amp;$J$159))</f>
        <v>913</v>
      </c>
      <c r="AI198" s="130">
        <f t="shared" si="16"/>
        <v>0.06621219813</v>
      </c>
      <c r="AJ198" s="129">
        <f t="shared" si="17"/>
        <v>24.565</v>
      </c>
      <c r="AK198" s="129">
        <f t="shared" si="18"/>
        <v>0</v>
      </c>
      <c r="AL198" s="129">
        <f t="shared" si="19"/>
        <v>937.565</v>
      </c>
    </row>
    <row r="199" ht="21.75" hidden="1" customHeight="1">
      <c r="A199" s="126">
        <f t="shared" si="15"/>
        <v>32</v>
      </c>
      <c r="B199" s="127" t="str">
        <f t="array" ref="B199">IFERROR(IF(INDEX(DANH_MUC!$E:$E,35)="","",INDEX(DANH_MUC!$E:$E,35)),"")</f>
        <v>28H00003</v>
      </c>
      <c r="C199" s="128">
        <f>IF(C$167="","",SUMIFS(DATA_GOC!$H:$H,DATA_GOC!$A:$A,"BOM",DATA_GOC!$D:$D,$B199,DATA_GOC!$E:$E,$F$159,DATA_GOC!$F:$F,"Xuất nội bộ từ téc",DATA_GOC!$B:$B,C$167))</f>
        <v>0</v>
      </c>
      <c r="D199" s="128">
        <f>IF(D$167="","",SUMIFS(DATA_GOC!$H:$H,DATA_GOC!$A:$A,"BOM",DATA_GOC!$D:$D,$B199,DATA_GOC!$E:$E,$F$159,DATA_GOC!$F:$F,"Xuất nội bộ từ téc",DATA_GOC!$B:$B,D$167))</f>
        <v>0</v>
      </c>
      <c r="E199" s="128">
        <f>IF(E$167="","",SUMIFS(DATA_GOC!$H:$H,DATA_GOC!$A:$A,"BOM",DATA_GOC!$D:$D,$B199,DATA_GOC!$E:$E,$F$159,DATA_GOC!$F:$F,"Xuất nội bộ từ téc",DATA_GOC!$B:$B,E$167))</f>
        <v>0</v>
      </c>
      <c r="F199" s="128">
        <f>IF(F$167="","",SUMIFS(DATA_GOC!$H:$H,DATA_GOC!$A:$A,"BOM",DATA_GOC!$D:$D,$B199,DATA_GOC!$E:$E,$F$159,DATA_GOC!$F:$F,"Xuất nội bộ từ téc",DATA_GOC!$B:$B,F$167))</f>
        <v>0</v>
      </c>
      <c r="G199" s="128">
        <f>IF(G$167="","",SUMIFS(DATA_GOC!$H:$H,DATA_GOC!$A:$A,"BOM",DATA_GOC!$D:$D,$B199,DATA_GOC!$E:$E,$F$159,DATA_GOC!$F:$F,"Xuất nội bộ từ téc",DATA_GOC!$B:$B,G$167))</f>
        <v>0</v>
      </c>
      <c r="H199" s="128">
        <f>IF(H$167="","",SUMIFS(DATA_GOC!$H:$H,DATA_GOC!$A:$A,"BOM",DATA_GOC!$D:$D,$B199,DATA_GOC!$E:$E,$F$159,DATA_GOC!$F:$F,"Xuất nội bộ từ téc",DATA_GOC!$B:$B,H$167))</f>
        <v>0</v>
      </c>
      <c r="I199" s="128">
        <f>IF(I$167="","",SUMIFS(DATA_GOC!$H:$H,DATA_GOC!$A:$A,"BOM",DATA_GOC!$D:$D,$B199,DATA_GOC!$E:$E,$F$159,DATA_GOC!$F:$F,"Xuất nội bộ từ téc",DATA_GOC!$B:$B,I$167))</f>
        <v>0</v>
      </c>
      <c r="J199" s="128">
        <f>IF(J$167="","",SUMIFS(DATA_GOC!$H:$H,DATA_GOC!$A:$A,"BOM",DATA_GOC!$D:$D,$B199,DATA_GOC!$E:$E,$F$159,DATA_GOC!$F:$F,"Xuất nội bộ từ téc",DATA_GOC!$B:$B,J$167))</f>
        <v>0</v>
      </c>
      <c r="K199" s="128">
        <f>IF(K$167="","",SUMIFS(DATA_GOC!$H:$H,DATA_GOC!$A:$A,"BOM",DATA_GOC!$D:$D,$B199,DATA_GOC!$E:$E,$F$159,DATA_GOC!$F:$F,"Xuất nội bộ từ téc",DATA_GOC!$B:$B,K$167))</f>
        <v>0</v>
      </c>
      <c r="L199" s="128">
        <f>IF(L$167="","",SUMIFS(DATA_GOC!$H:$H,DATA_GOC!$A:$A,"BOM",DATA_GOC!$D:$D,$B199,DATA_GOC!$E:$E,$F$159,DATA_GOC!$F:$F,"Xuất nội bộ từ téc",DATA_GOC!$B:$B,L$167))</f>
        <v>140</v>
      </c>
      <c r="M199" s="128">
        <f>IF(M$167="","",SUMIFS(DATA_GOC!$H:$H,DATA_GOC!$A:$A,"BOM",DATA_GOC!$D:$D,$B199,DATA_GOC!$E:$E,$F$159,DATA_GOC!$F:$F,"Xuất nội bộ từ téc",DATA_GOC!$B:$B,M$167))</f>
        <v>0</v>
      </c>
      <c r="N199" s="128">
        <f>IF(N$167="","",SUMIFS(DATA_GOC!$H:$H,DATA_GOC!$A:$A,"BOM",DATA_GOC!$D:$D,$B199,DATA_GOC!$E:$E,$F$159,DATA_GOC!$F:$F,"Xuất nội bộ từ téc",DATA_GOC!$B:$B,N$167))</f>
        <v>0</v>
      </c>
      <c r="O199" s="128">
        <f>IF(O$167="","",SUMIFS(DATA_GOC!$H:$H,DATA_GOC!$A:$A,"BOM",DATA_GOC!$D:$D,$B199,DATA_GOC!$E:$E,$F$159,DATA_GOC!$F:$F,"Xuất nội bộ từ téc",DATA_GOC!$B:$B,O$167))</f>
        <v>0</v>
      </c>
      <c r="P199" s="128">
        <f>IF(P$167="","",SUMIFS(DATA_GOC!$H:$H,DATA_GOC!$A:$A,"BOM",DATA_GOC!$D:$D,$B199,DATA_GOC!$E:$E,$F$159,DATA_GOC!$F:$F,"Xuất nội bộ từ téc",DATA_GOC!$B:$B,P$167))</f>
        <v>0</v>
      </c>
      <c r="Q199" s="128">
        <f>IF(Q$167="","",SUMIFS(DATA_GOC!$H:$H,DATA_GOC!$A:$A,"BOM",DATA_GOC!$D:$D,$B199,DATA_GOC!$E:$E,$F$159,DATA_GOC!$F:$F,"Xuất nội bộ từ téc",DATA_GOC!$B:$B,Q$167))</f>
        <v>0</v>
      </c>
      <c r="R199" s="128">
        <f>IF(R$167="","",SUMIFS(DATA_GOC!$H:$H,DATA_GOC!$A:$A,"BOM",DATA_GOC!$D:$D,$B199,DATA_GOC!$E:$E,$F$159,DATA_GOC!$F:$F,"Xuất nội bộ từ téc",DATA_GOC!$B:$B,R$167))</f>
        <v>0</v>
      </c>
      <c r="S199" s="128">
        <f>IF(S$167="","",SUMIFS(DATA_GOC!$H:$H,DATA_GOC!$A:$A,"BOM",DATA_GOC!$D:$D,$B199,DATA_GOC!$E:$E,$F$159,DATA_GOC!$F:$F,"Xuất nội bộ từ téc",DATA_GOC!$B:$B,S$167))</f>
        <v>0</v>
      </c>
      <c r="T199" s="128">
        <f>IF(T$167="","",SUMIFS(DATA_GOC!$H:$H,DATA_GOC!$A:$A,"BOM",DATA_GOC!$D:$D,$B199,DATA_GOC!$E:$E,$F$159,DATA_GOC!$F:$F,"Xuất nội bộ từ téc",DATA_GOC!$B:$B,T$167))</f>
        <v>406</v>
      </c>
      <c r="U199" s="128">
        <f>IF(U$167="","",SUMIFS(DATA_GOC!$H:$H,DATA_GOC!$A:$A,"BOM",DATA_GOC!$D:$D,$B199,DATA_GOC!$E:$E,$F$159,DATA_GOC!$F:$F,"Xuất nội bộ từ téc",DATA_GOC!$B:$B,U$167))</f>
        <v>0</v>
      </c>
      <c r="V199" s="128">
        <f>IF(V$167="","",SUMIFS(DATA_GOC!$H:$H,DATA_GOC!$A:$A,"BOM",DATA_GOC!$D:$D,$B199,DATA_GOC!$E:$E,$F$159,DATA_GOC!$F:$F,"Xuất nội bộ từ téc",DATA_GOC!$B:$B,V$167))</f>
        <v>0</v>
      </c>
      <c r="W199" s="128">
        <f>IF(W$167="","",SUMIFS(DATA_GOC!$H:$H,DATA_GOC!$A:$A,"BOM",DATA_GOC!$D:$D,$B199,DATA_GOC!$E:$E,$F$159,DATA_GOC!$F:$F,"Xuất nội bộ từ téc",DATA_GOC!$B:$B,W$167))</f>
        <v>0</v>
      </c>
      <c r="X199" s="128">
        <f>IF(X$167="","",SUMIFS(DATA_GOC!$H:$H,DATA_GOC!$A:$A,"BOM",DATA_GOC!$D:$D,$B199,DATA_GOC!$E:$E,$F$159,DATA_GOC!$F:$F,"Xuất nội bộ từ téc",DATA_GOC!$B:$B,X$167))</f>
        <v>0</v>
      </c>
      <c r="Y199" s="128" t="str">
        <f>IF(Y$167="","",SUMIFS(DATA_GOC!$H:$H,DATA_GOC!$A:$A,"BOM",DATA_GOC!$D:$D,$B199,DATA_GOC!$E:$E,$F$159,DATA_GOC!$F:$F,"Xuất nội bộ từ téc",DATA_GOC!$B:$B,Y$167))</f>
        <v/>
      </c>
      <c r="Z199" s="128" t="str">
        <f>IF(Z$167="","",SUMIFS(DATA_GOC!$H:$H,DATA_GOC!$A:$A,"BOM",DATA_GOC!$D:$D,$B199,DATA_GOC!$E:$E,$F$159,DATA_GOC!$F:$F,"Xuất nội bộ từ téc",DATA_GOC!$B:$B,Z$167))</f>
        <v/>
      </c>
      <c r="AA199" s="128" t="str">
        <f>IF(AA$167="","",SUMIFS(DATA_GOC!$H:$H,DATA_GOC!$A:$A,"BOM",DATA_GOC!$D:$D,$B199,DATA_GOC!$E:$E,$F$159,DATA_GOC!$F:$F,"Xuất nội bộ từ téc",DATA_GOC!$B:$B,AA$167))</f>
        <v/>
      </c>
      <c r="AB199" s="128" t="str">
        <f>IF(AB$167="","",SUMIFS(DATA_GOC!$H:$H,DATA_GOC!$A:$A,"BOM",DATA_GOC!$D:$D,$B199,DATA_GOC!$E:$E,$F$159,DATA_GOC!$F:$F,"Xuất nội bộ từ téc",DATA_GOC!$B:$B,AB$167))</f>
        <v/>
      </c>
      <c r="AC199" s="128" t="str">
        <f>IF(AC$167="","",SUMIFS(DATA_GOC!$H:$H,DATA_GOC!$A:$A,"BOM",DATA_GOC!$D:$D,$B199,DATA_GOC!$E:$E,$F$159,DATA_GOC!$F:$F,"Xuất nội bộ từ téc",DATA_GOC!$B:$B,AC$167))</f>
        <v/>
      </c>
      <c r="AD199" s="128" t="str">
        <f>IF(AD$167="","",SUMIFS(DATA_GOC!$H:$H,DATA_GOC!$A:$A,"BOM",DATA_GOC!$D:$D,$B199,DATA_GOC!$E:$E,$F$159,DATA_GOC!$F:$F,"Xuất nội bộ từ téc",DATA_GOC!$B:$B,AD$167))</f>
        <v/>
      </c>
      <c r="AE199" s="128" t="str">
        <f>IF(AE$167="","",SUMIFS(DATA_GOC!$H:$H,DATA_GOC!$A:$A,"BOM",DATA_GOC!$D:$D,$B199,DATA_GOC!$E:$E,$F$159,DATA_GOC!$F:$F,"Xuất nội bộ từ téc",DATA_GOC!$B:$B,AE$167))</f>
        <v/>
      </c>
      <c r="AF199" s="128" t="str">
        <f>IF(AF$167="","",SUMIFS(DATA_GOC!$H:$H,DATA_GOC!$A:$A,"BOM",DATA_GOC!$D:$D,$B199,DATA_GOC!$E:$E,$F$159,DATA_GOC!$F:$F,"Xuất nội bộ từ téc",DATA_GOC!$B:$B,AF$167))</f>
        <v/>
      </c>
      <c r="AG199" s="128" t="str">
        <f>IF(AG$167="","",SUMIFS(DATA_GOC!$H:$H,DATA_GOC!$A:$A,"BOM",DATA_GOC!$D:$D,$B199,DATA_GOC!$E:$E,$F$159,DATA_GOC!$F:$F,"Xuất nội bộ từ téc",DATA_GOC!$B:$B,AG$167))</f>
        <v/>
      </c>
      <c r="AH199" s="129">
        <f>IF($B199="","",SUMIFS(DATA_GOC!$H:$H,DATA_GOC!$A:$A,"BOM",DATA_GOC!$D:$D,$B199,DATA_GOC!$E:$E,$F$159,DATA_GOC!$F:$F,"Xuất nội bộ từ téc",DATA_GOC!$B:$B,"&gt;="&amp;$H$159,DATA_GOC!$B:$B,"&lt;="&amp;$J$159))</f>
        <v>546</v>
      </c>
      <c r="AI199" s="130">
        <f t="shared" si="16"/>
        <v>0.03959678004</v>
      </c>
      <c r="AJ199" s="129">
        <f t="shared" si="17"/>
        <v>14.69</v>
      </c>
      <c r="AK199" s="129">
        <f t="shared" si="18"/>
        <v>0</v>
      </c>
      <c r="AL199" s="129">
        <f t="shared" si="19"/>
        <v>560.69</v>
      </c>
    </row>
    <row r="200" ht="21.75" hidden="1" customHeight="1">
      <c r="A200" s="126">
        <f t="shared" si="15"/>
        <v>33</v>
      </c>
      <c r="B200" s="127" t="str">
        <f t="array" ref="B200">IFERROR(IF(INDEX(DANH_MUC!$E:$E,36)="","",INDEX(DANH_MUC!$E:$E,36)),"")</f>
        <v>28H00061</v>
      </c>
      <c r="C200" s="128">
        <f>IF(C$167="","",SUMIFS(DATA_GOC!$H:$H,DATA_GOC!$A:$A,"BOM",DATA_GOC!$D:$D,$B200,DATA_GOC!$E:$E,$F$159,DATA_GOC!$F:$F,"Xuất nội bộ từ téc",DATA_GOC!$B:$B,C$167))</f>
        <v>0</v>
      </c>
      <c r="D200" s="128">
        <f>IF(D$167="","",SUMIFS(DATA_GOC!$H:$H,DATA_GOC!$A:$A,"BOM",DATA_GOC!$D:$D,$B200,DATA_GOC!$E:$E,$F$159,DATA_GOC!$F:$F,"Xuất nội bộ từ téc",DATA_GOC!$B:$B,D$167))</f>
        <v>0</v>
      </c>
      <c r="E200" s="128">
        <f>IF(E$167="","",SUMIFS(DATA_GOC!$H:$H,DATA_GOC!$A:$A,"BOM",DATA_GOC!$D:$D,$B200,DATA_GOC!$E:$E,$F$159,DATA_GOC!$F:$F,"Xuất nội bộ từ téc",DATA_GOC!$B:$B,E$167))</f>
        <v>0</v>
      </c>
      <c r="F200" s="128">
        <f>IF(F$167="","",SUMIFS(DATA_GOC!$H:$H,DATA_GOC!$A:$A,"BOM",DATA_GOC!$D:$D,$B200,DATA_GOC!$E:$E,$F$159,DATA_GOC!$F:$F,"Xuất nội bộ từ téc",DATA_GOC!$B:$B,F$167))</f>
        <v>0</v>
      </c>
      <c r="G200" s="128">
        <f>IF(G$167="","",SUMIFS(DATA_GOC!$H:$H,DATA_GOC!$A:$A,"BOM",DATA_GOC!$D:$D,$B200,DATA_GOC!$E:$E,$F$159,DATA_GOC!$F:$F,"Xuất nội bộ từ téc",DATA_GOC!$B:$B,G$167))</f>
        <v>0</v>
      </c>
      <c r="H200" s="128">
        <f>IF(H$167="","",SUMIFS(DATA_GOC!$H:$H,DATA_GOC!$A:$A,"BOM",DATA_GOC!$D:$D,$B200,DATA_GOC!$E:$E,$F$159,DATA_GOC!$F:$F,"Xuất nội bộ từ téc",DATA_GOC!$B:$B,H$167))</f>
        <v>0</v>
      </c>
      <c r="I200" s="128">
        <f>IF(I$167="","",SUMIFS(DATA_GOC!$H:$H,DATA_GOC!$A:$A,"BOM",DATA_GOC!$D:$D,$B200,DATA_GOC!$E:$E,$F$159,DATA_GOC!$F:$F,"Xuất nội bộ từ téc",DATA_GOC!$B:$B,I$167))</f>
        <v>0</v>
      </c>
      <c r="J200" s="128">
        <f>IF(J$167="","",SUMIFS(DATA_GOC!$H:$H,DATA_GOC!$A:$A,"BOM",DATA_GOC!$D:$D,$B200,DATA_GOC!$E:$E,$F$159,DATA_GOC!$F:$F,"Xuất nội bộ từ téc",DATA_GOC!$B:$B,J$167))</f>
        <v>0</v>
      </c>
      <c r="K200" s="128">
        <f>IF(K$167="","",SUMIFS(DATA_GOC!$H:$H,DATA_GOC!$A:$A,"BOM",DATA_GOC!$D:$D,$B200,DATA_GOC!$E:$E,$F$159,DATA_GOC!$F:$F,"Xuất nội bộ từ téc",DATA_GOC!$B:$B,K$167))</f>
        <v>0</v>
      </c>
      <c r="L200" s="128">
        <f>IF(L$167="","",SUMIFS(DATA_GOC!$H:$H,DATA_GOC!$A:$A,"BOM",DATA_GOC!$D:$D,$B200,DATA_GOC!$E:$E,$F$159,DATA_GOC!$F:$F,"Xuất nội bộ từ téc",DATA_GOC!$B:$B,L$167))</f>
        <v>0</v>
      </c>
      <c r="M200" s="128">
        <f>IF(M$167="","",SUMIFS(DATA_GOC!$H:$H,DATA_GOC!$A:$A,"BOM",DATA_GOC!$D:$D,$B200,DATA_GOC!$E:$E,$F$159,DATA_GOC!$F:$F,"Xuất nội bộ từ téc",DATA_GOC!$B:$B,M$167))</f>
        <v>0</v>
      </c>
      <c r="N200" s="128">
        <f>IF(N$167="","",SUMIFS(DATA_GOC!$H:$H,DATA_GOC!$A:$A,"BOM",DATA_GOC!$D:$D,$B200,DATA_GOC!$E:$E,$F$159,DATA_GOC!$F:$F,"Xuất nội bộ từ téc",DATA_GOC!$B:$B,N$167))</f>
        <v>0</v>
      </c>
      <c r="O200" s="128">
        <f>IF(O$167="","",SUMIFS(DATA_GOC!$H:$H,DATA_GOC!$A:$A,"BOM",DATA_GOC!$D:$D,$B200,DATA_GOC!$E:$E,$F$159,DATA_GOC!$F:$F,"Xuất nội bộ từ téc",DATA_GOC!$B:$B,O$167))</f>
        <v>0</v>
      </c>
      <c r="P200" s="128">
        <f>IF(P$167="","",SUMIFS(DATA_GOC!$H:$H,DATA_GOC!$A:$A,"BOM",DATA_GOC!$D:$D,$B200,DATA_GOC!$E:$E,$F$159,DATA_GOC!$F:$F,"Xuất nội bộ từ téc",DATA_GOC!$B:$B,P$167))</f>
        <v>0</v>
      </c>
      <c r="Q200" s="128">
        <f>IF(Q$167="","",SUMIFS(DATA_GOC!$H:$H,DATA_GOC!$A:$A,"BOM",DATA_GOC!$D:$D,$B200,DATA_GOC!$E:$E,$F$159,DATA_GOC!$F:$F,"Xuất nội bộ từ téc",DATA_GOC!$B:$B,Q$167))</f>
        <v>0</v>
      </c>
      <c r="R200" s="128">
        <f>IF(R$167="","",SUMIFS(DATA_GOC!$H:$H,DATA_GOC!$A:$A,"BOM",DATA_GOC!$D:$D,$B200,DATA_GOC!$E:$E,$F$159,DATA_GOC!$F:$F,"Xuất nội bộ từ téc",DATA_GOC!$B:$B,R$167))</f>
        <v>0</v>
      </c>
      <c r="S200" s="128">
        <f>IF(S$167="","",SUMIFS(DATA_GOC!$H:$H,DATA_GOC!$A:$A,"BOM",DATA_GOC!$D:$D,$B200,DATA_GOC!$E:$E,$F$159,DATA_GOC!$F:$F,"Xuất nội bộ từ téc",DATA_GOC!$B:$B,S$167))</f>
        <v>195</v>
      </c>
      <c r="T200" s="128">
        <f>IF(T$167="","",SUMIFS(DATA_GOC!$H:$H,DATA_GOC!$A:$A,"BOM",DATA_GOC!$D:$D,$B200,DATA_GOC!$E:$E,$F$159,DATA_GOC!$F:$F,"Xuất nội bộ từ téc",DATA_GOC!$B:$B,T$167))</f>
        <v>0</v>
      </c>
      <c r="U200" s="128">
        <f>IF(U$167="","",SUMIFS(DATA_GOC!$H:$H,DATA_GOC!$A:$A,"BOM",DATA_GOC!$D:$D,$B200,DATA_GOC!$E:$E,$F$159,DATA_GOC!$F:$F,"Xuất nội bộ từ téc",DATA_GOC!$B:$B,U$167))</f>
        <v>0</v>
      </c>
      <c r="V200" s="128">
        <f>IF(V$167="","",SUMIFS(DATA_GOC!$H:$H,DATA_GOC!$A:$A,"BOM",DATA_GOC!$D:$D,$B200,DATA_GOC!$E:$E,$F$159,DATA_GOC!$F:$F,"Xuất nội bộ từ téc",DATA_GOC!$B:$B,V$167))</f>
        <v>0</v>
      </c>
      <c r="W200" s="128">
        <f>IF(W$167="","",SUMIFS(DATA_GOC!$H:$H,DATA_GOC!$A:$A,"BOM",DATA_GOC!$D:$D,$B200,DATA_GOC!$E:$E,$F$159,DATA_GOC!$F:$F,"Xuất nội bộ từ téc",DATA_GOC!$B:$B,W$167))</f>
        <v>171</v>
      </c>
      <c r="X200" s="128">
        <f>IF(X$167="","",SUMIFS(DATA_GOC!$H:$H,DATA_GOC!$A:$A,"BOM",DATA_GOC!$D:$D,$B200,DATA_GOC!$E:$E,$F$159,DATA_GOC!$F:$F,"Xuất nội bộ từ téc",DATA_GOC!$B:$B,X$167))</f>
        <v>0</v>
      </c>
      <c r="Y200" s="128" t="str">
        <f>IF(Y$167="","",SUMIFS(DATA_GOC!$H:$H,DATA_GOC!$A:$A,"BOM",DATA_GOC!$D:$D,$B200,DATA_GOC!$E:$E,$F$159,DATA_GOC!$F:$F,"Xuất nội bộ từ téc",DATA_GOC!$B:$B,Y$167))</f>
        <v/>
      </c>
      <c r="Z200" s="128" t="str">
        <f>IF(Z$167="","",SUMIFS(DATA_GOC!$H:$H,DATA_GOC!$A:$A,"BOM",DATA_GOC!$D:$D,$B200,DATA_GOC!$E:$E,$F$159,DATA_GOC!$F:$F,"Xuất nội bộ từ téc",DATA_GOC!$B:$B,Z$167))</f>
        <v/>
      </c>
      <c r="AA200" s="128" t="str">
        <f>IF(AA$167="","",SUMIFS(DATA_GOC!$H:$H,DATA_GOC!$A:$A,"BOM",DATA_GOC!$D:$D,$B200,DATA_GOC!$E:$E,$F$159,DATA_GOC!$F:$F,"Xuất nội bộ từ téc",DATA_GOC!$B:$B,AA$167))</f>
        <v/>
      </c>
      <c r="AB200" s="128" t="str">
        <f>IF(AB$167="","",SUMIFS(DATA_GOC!$H:$H,DATA_GOC!$A:$A,"BOM",DATA_GOC!$D:$D,$B200,DATA_GOC!$E:$E,$F$159,DATA_GOC!$F:$F,"Xuất nội bộ từ téc",DATA_GOC!$B:$B,AB$167))</f>
        <v/>
      </c>
      <c r="AC200" s="128" t="str">
        <f>IF(AC$167="","",SUMIFS(DATA_GOC!$H:$H,DATA_GOC!$A:$A,"BOM",DATA_GOC!$D:$D,$B200,DATA_GOC!$E:$E,$F$159,DATA_GOC!$F:$F,"Xuất nội bộ từ téc",DATA_GOC!$B:$B,AC$167))</f>
        <v/>
      </c>
      <c r="AD200" s="128" t="str">
        <f>IF(AD$167="","",SUMIFS(DATA_GOC!$H:$H,DATA_GOC!$A:$A,"BOM",DATA_GOC!$D:$D,$B200,DATA_GOC!$E:$E,$F$159,DATA_GOC!$F:$F,"Xuất nội bộ từ téc",DATA_GOC!$B:$B,AD$167))</f>
        <v/>
      </c>
      <c r="AE200" s="128" t="str">
        <f>IF(AE$167="","",SUMIFS(DATA_GOC!$H:$H,DATA_GOC!$A:$A,"BOM",DATA_GOC!$D:$D,$B200,DATA_GOC!$E:$E,$F$159,DATA_GOC!$F:$F,"Xuất nội bộ từ téc",DATA_GOC!$B:$B,AE$167))</f>
        <v/>
      </c>
      <c r="AF200" s="128" t="str">
        <f>IF(AF$167="","",SUMIFS(DATA_GOC!$H:$H,DATA_GOC!$A:$A,"BOM",DATA_GOC!$D:$D,$B200,DATA_GOC!$E:$E,$F$159,DATA_GOC!$F:$F,"Xuất nội bộ từ téc",DATA_GOC!$B:$B,AF$167))</f>
        <v/>
      </c>
      <c r="AG200" s="128" t="str">
        <f>IF(AG$167="","",SUMIFS(DATA_GOC!$H:$H,DATA_GOC!$A:$A,"BOM",DATA_GOC!$D:$D,$B200,DATA_GOC!$E:$E,$F$159,DATA_GOC!$F:$F,"Xuất nội bộ từ téc",DATA_GOC!$B:$B,AG$167))</f>
        <v/>
      </c>
      <c r="AH200" s="129">
        <f>IF($B200="","",SUMIFS(DATA_GOC!$H:$H,DATA_GOC!$A:$A,"BOM",DATA_GOC!$D:$D,$B200,DATA_GOC!$E:$E,$F$159,DATA_GOC!$F:$F,"Xuất nội bộ từ téc",DATA_GOC!$B:$B,"&gt;="&amp;$H$159,DATA_GOC!$B:$B,"&lt;="&amp;$J$159))</f>
        <v>366</v>
      </c>
      <c r="AI200" s="130">
        <f t="shared" si="16"/>
        <v>0.02654289651</v>
      </c>
      <c r="AJ200" s="129">
        <f t="shared" si="17"/>
        <v>9.847</v>
      </c>
      <c r="AK200" s="129">
        <f t="shared" si="18"/>
        <v>0</v>
      </c>
      <c r="AL200" s="129">
        <f t="shared" si="19"/>
        <v>375.847</v>
      </c>
    </row>
    <row r="201" ht="21.75" hidden="1" customHeight="1">
      <c r="A201" s="126">
        <f t="shared" si="15"/>
        <v>34</v>
      </c>
      <c r="B201" s="127" t="str">
        <f t="array" ref="B201">IFERROR(IF(INDEX(DANH_MUC!$E:$E,37)="","",INDEX(DANH_MUC!$E:$E,37)),"")</f>
        <v>28H00354</v>
      </c>
      <c r="C201" s="128">
        <f>IF(C$167="","",SUMIFS(DATA_GOC!$H:$H,DATA_GOC!$A:$A,"BOM",DATA_GOC!$D:$D,$B201,DATA_GOC!$E:$E,$F$159,DATA_GOC!$F:$F,"Xuất nội bộ từ téc",DATA_GOC!$B:$B,C$167))</f>
        <v>0</v>
      </c>
      <c r="D201" s="128">
        <f>IF(D$167="","",SUMIFS(DATA_GOC!$H:$H,DATA_GOC!$A:$A,"BOM",DATA_GOC!$D:$D,$B201,DATA_GOC!$E:$E,$F$159,DATA_GOC!$F:$F,"Xuất nội bộ từ téc",DATA_GOC!$B:$B,D$167))</f>
        <v>0</v>
      </c>
      <c r="E201" s="128">
        <f>IF(E$167="","",SUMIFS(DATA_GOC!$H:$H,DATA_GOC!$A:$A,"BOM",DATA_GOC!$D:$D,$B201,DATA_GOC!$E:$E,$F$159,DATA_GOC!$F:$F,"Xuất nội bộ từ téc",DATA_GOC!$B:$B,E$167))</f>
        <v>0</v>
      </c>
      <c r="F201" s="128">
        <f>IF(F$167="","",SUMIFS(DATA_GOC!$H:$H,DATA_GOC!$A:$A,"BOM",DATA_GOC!$D:$D,$B201,DATA_GOC!$E:$E,$F$159,DATA_GOC!$F:$F,"Xuất nội bộ từ téc",DATA_GOC!$B:$B,F$167))</f>
        <v>0</v>
      </c>
      <c r="G201" s="128">
        <f>IF(G$167="","",SUMIFS(DATA_GOC!$H:$H,DATA_GOC!$A:$A,"BOM",DATA_GOC!$D:$D,$B201,DATA_GOC!$E:$E,$F$159,DATA_GOC!$F:$F,"Xuất nội bộ từ téc",DATA_GOC!$B:$B,G$167))</f>
        <v>0</v>
      </c>
      <c r="H201" s="128">
        <f>IF(H$167="","",SUMIFS(DATA_GOC!$H:$H,DATA_GOC!$A:$A,"BOM",DATA_GOC!$D:$D,$B201,DATA_GOC!$E:$E,$F$159,DATA_GOC!$F:$F,"Xuất nội bộ từ téc",DATA_GOC!$B:$B,H$167))</f>
        <v>0</v>
      </c>
      <c r="I201" s="128">
        <f>IF(I$167="","",SUMIFS(DATA_GOC!$H:$H,DATA_GOC!$A:$A,"BOM",DATA_GOC!$D:$D,$B201,DATA_GOC!$E:$E,$F$159,DATA_GOC!$F:$F,"Xuất nội bộ từ téc",DATA_GOC!$B:$B,I$167))</f>
        <v>0</v>
      </c>
      <c r="J201" s="128">
        <f>IF(J$167="","",SUMIFS(DATA_GOC!$H:$H,DATA_GOC!$A:$A,"BOM",DATA_GOC!$D:$D,$B201,DATA_GOC!$E:$E,$F$159,DATA_GOC!$F:$F,"Xuất nội bộ từ téc",DATA_GOC!$B:$B,J$167))</f>
        <v>0</v>
      </c>
      <c r="K201" s="128">
        <f>IF(K$167="","",SUMIFS(DATA_GOC!$H:$H,DATA_GOC!$A:$A,"BOM",DATA_GOC!$D:$D,$B201,DATA_GOC!$E:$E,$F$159,DATA_GOC!$F:$F,"Xuất nội bộ từ téc",DATA_GOC!$B:$B,K$167))</f>
        <v>0</v>
      </c>
      <c r="L201" s="128">
        <f>IF(L$167="","",SUMIFS(DATA_GOC!$H:$H,DATA_GOC!$A:$A,"BOM",DATA_GOC!$D:$D,$B201,DATA_GOC!$E:$E,$F$159,DATA_GOC!$F:$F,"Xuất nội bộ từ téc",DATA_GOC!$B:$B,L$167))</f>
        <v>0</v>
      </c>
      <c r="M201" s="128">
        <f>IF(M$167="","",SUMIFS(DATA_GOC!$H:$H,DATA_GOC!$A:$A,"BOM",DATA_GOC!$D:$D,$B201,DATA_GOC!$E:$E,$F$159,DATA_GOC!$F:$F,"Xuất nội bộ từ téc",DATA_GOC!$B:$B,M$167))</f>
        <v>0</v>
      </c>
      <c r="N201" s="128">
        <f>IF(N$167="","",SUMIFS(DATA_GOC!$H:$H,DATA_GOC!$A:$A,"BOM",DATA_GOC!$D:$D,$B201,DATA_GOC!$E:$E,$F$159,DATA_GOC!$F:$F,"Xuất nội bộ từ téc",DATA_GOC!$B:$B,N$167))</f>
        <v>0</v>
      </c>
      <c r="O201" s="128">
        <f>IF(O$167="","",SUMIFS(DATA_GOC!$H:$H,DATA_GOC!$A:$A,"BOM",DATA_GOC!$D:$D,$B201,DATA_GOC!$E:$E,$F$159,DATA_GOC!$F:$F,"Xuất nội bộ từ téc",DATA_GOC!$B:$B,O$167))</f>
        <v>0</v>
      </c>
      <c r="P201" s="128">
        <f>IF(P$167="","",SUMIFS(DATA_GOC!$H:$H,DATA_GOC!$A:$A,"BOM",DATA_GOC!$D:$D,$B201,DATA_GOC!$E:$E,$F$159,DATA_GOC!$F:$F,"Xuất nội bộ từ téc",DATA_GOC!$B:$B,P$167))</f>
        <v>0</v>
      </c>
      <c r="Q201" s="128">
        <f>IF(Q$167="","",SUMIFS(DATA_GOC!$H:$H,DATA_GOC!$A:$A,"BOM",DATA_GOC!$D:$D,$B201,DATA_GOC!$E:$E,$F$159,DATA_GOC!$F:$F,"Xuất nội bộ từ téc",DATA_GOC!$B:$B,Q$167))</f>
        <v>0</v>
      </c>
      <c r="R201" s="128">
        <f>IF(R$167="","",SUMIFS(DATA_GOC!$H:$H,DATA_GOC!$A:$A,"BOM",DATA_GOC!$D:$D,$B201,DATA_GOC!$E:$E,$F$159,DATA_GOC!$F:$F,"Xuất nội bộ từ téc",DATA_GOC!$B:$B,R$167))</f>
        <v>0</v>
      </c>
      <c r="S201" s="128">
        <f>IF(S$167="","",SUMIFS(DATA_GOC!$H:$H,DATA_GOC!$A:$A,"BOM",DATA_GOC!$D:$D,$B201,DATA_GOC!$E:$E,$F$159,DATA_GOC!$F:$F,"Xuất nội bộ từ téc",DATA_GOC!$B:$B,S$167))</f>
        <v>216</v>
      </c>
      <c r="T201" s="128">
        <f>IF(T$167="","",SUMIFS(DATA_GOC!$H:$H,DATA_GOC!$A:$A,"BOM",DATA_GOC!$D:$D,$B201,DATA_GOC!$E:$E,$F$159,DATA_GOC!$F:$F,"Xuất nội bộ từ téc",DATA_GOC!$B:$B,T$167))</f>
        <v>0</v>
      </c>
      <c r="U201" s="128">
        <f>IF(U$167="","",SUMIFS(DATA_GOC!$H:$H,DATA_GOC!$A:$A,"BOM",DATA_GOC!$D:$D,$B201,DATA_GOC!$E:$E,$F$159,DATA_GOC!$F:$F,"Xuất nội bộ từ téc",DATA_GOC!$B:$B,U$167))</f>
        <v>0</v>
      </c>
      <c r="V201" s="128">
        <f>IF(V$167="","",SUMIFS(DATA_GOC!$H:$H,DATA_GOC!$A:$A,"BOM",DATA_GOC!$D:$D,$B201,DATA_GOC!$E:$E,$F$159,DATA_GOC!$F:$F,"Xuất nội bộ từ téc",DATA_GOC!$B:$B,V$167))</f>
        <v>0</v>
      </c>
      <c r="W201" s="128">
        <f>IF(W$167="","",SUMIFS(DATA_GOC!$H:$H,DATA_GOC!$A:$A,"BOM",DATA_GOC!$D:$D,$B201,DATA_GOC!$E:$E,$F$159,DATA_GOC!$F:$F,"Xuất nội bộ từ téc",DATA_GOC!$B:$B,W$167))</f>
        <v>264</v>
      </c>
      <c r="X201" s="128">
        <f>IF(X$167="","",SUMIFS(DATA_GOC!$H:$H,DATA_GOC!$A:$A,"BOM",DATA_GOC!$D:$D,$B201,DATA_GOC!$E:$E,$F$159,DATA_GOC!$F:$F,"Xuất nội bộ từ téc",DATA_GOC!$B:$B,X$167))</f>
        <v>0</v>
      </c>
      <c r="Y201" s="128" t="str">
        <f>IF(Y$167="","",SUMIFS(DATA_GOC!$H:$H,DATA_GOC!$A:$A,"BOM",DATA_GOC!$D:$D,$B201,DATA_GOC!$E:$E,$F$159,DATA_GOC!$F:$F,"Xuất nội bộ từ téc",DATA_GOC!$B:$B,Y$167))</f>
        <v/>
      </c>
      <c r="Z201" s="128" t="str">
        <f>IF(Z$167="","",SUMIFS(DATA_GOC!$H:$H,DATA_GOC!$A:$A,"BOM",DATA_GOC!$D:$D,$B201,DATA_GOC!$E:$E,$F$159,DATA_GOC!$F:$F,"Xuất nội bộ từ téc",DATA_GOC!$B:$B,Z$167))</f>
        <v/>
      </c>
      <c r="AA201" s="128" t="str">
        <f>IF(AA$167="","",SUMIFS(DATA_GOC!$H:$H,DATA_GOC!$A:$A,"BOM",DATA_GOC!$D:$D,$B201,DATA_GOC!$E:$E,$F$159,DATA_GOC!$F:$F,"Xuất nội bộ từ téc",DATA_GOC!$B:$B,AA$167))</f>
        <v/>
      </c>
      <c r="AB201" s="128" t="str">
        <f>IF(AB$167="","",SUMIFS(DATA_GOC!$H:$H,DATA_GOC!$A:$A,"BOM",DATA_GOC!$D:$D,$B201,DATA_GOC!$E:$E,$F$159,DATA_GOC!$F:$F,"Xuất nội bộ từ téc",DATA_GOC!$B:$B,AB$167))</f>
        <v/>
      </c>
      <c r="AC201" s="128" t="str">
        <f>IF(AC$167="","",SUMIFS(DATA_GOC!$H:$H,DATA_GOC!$A:$A,"BOM",DATA_GOC!$D:$D,$B201,DATA_GOC!$E:$E,$F$159,DATA_GOC!$F:$F,"Xuất nội bộ từ téc",DATA_GOC!$B:$B,AC$167))</f>
        <v/>
      </c>
      <c r="AD201" s="128" t="str">
        <f>IF(AD$167="","",SUMIFS(DATA_GOC!$H:$H,DATA_GOC!$A:$A,"BOM",DATA_GOC!$D:$D,$B201,DATA_GOC!$E:$E,$F$159,DATA_GOC!$F:$F,"Xuất nội bộ từ téc",DATA_GOC!$B:$B,AD$167))</f>
        <v/>
      </c>
      <c r="AE201" s="128" t="str">
        <f>IF(AE$167="","",SUMIFS(DATA_GOC!$H:$H,DATA_GOC!$A:$A,"BOM",DATA_GOC!$D:$D,$B201,DATA_GOC!$E:$E,$F$159,DATA_GOC!$F:$F,"Xuất nội bộ từ téc",DATA_GOC!$B:$B,AE$167))</f>
        <v/>
      </c>
      <c r="AF201" s="128" t="str">
        <f>IF(AF$167="","",SUMIFS(DATA_GOC!$H:$H,DATA_GOC!$A:$A,"BOM",DATA_GOC!$D:$D,$B201,DATA_GOC!$E:$E,$F$159,DATA_GOC!$F:$F,"Xuất nội bộ từ téc",DATA_GOC!$B:$B,AF$167))</f>
        <v/>
      </c>
      <c r="AG201" s="128" t="str">
        <f>IF(AG$167="","",SUMIFS(DATA_GOC!$H:$H,DATA_GOC!$A:$A,"BOM",DATA_GOC!$D:$D,$B201,DATA_GOC!$E:$E,$F$159,DATA_GOC!$F:$F,"Xuất nội bộ từ téc",DATA_GOC!$B:$B,AG$167))</f>
        <v/>
      </c>
      <c r="AH201" s="129">
        <f>IF($B201="","",SUMIFS(DATA_GOC!$H:$H,DATA_GOC!$A:$A,"BOM",DATA_GOC!$D:$D,$B201,DATA_GOC!$E:$E,$F$159,DATA_GOC!$F:$F,"Xuất nội bộ từ téc",DATA_GOC!$B:$B,"&gt;="&amp;$H$159,DATA_GOC!$B:$B,"&lt;="&amp;$J$159))</f>
        <v>480</v>
      </c>
      <c r="AI201" s="130">
        <f t="shared" si="16"/>
        <v>0.03481035608</v>
      </c>
      <c r="AJ201" s="129">
        <f t="shared" si="17"/>
        <v>12.915</v>
      </c>
      <c r="AK201" s="129">
        <f t="shared" si="18"/>
        <v>0</v>
      </c>
      <c r="AL201" s="129">
        <f t="shared" si="19"/>
        <v>492.915</v>
      </c>
    </row>
    <row r="202" ht="21.75" hidden="1" customHeight="1">
      <c r="A202" s="126">
        <f t="shared" si="15"/>
        <v>35</v>
      </c>
      <c r="B202" s="127" t="str">
        <f t="array" ref="B202">IFERROR(IF(INDEX(DANH_MUC!$E:$E,38)="","",INDEX(DANH_MUC!$E:$E,38)),"")</f>
        <v>28H00603</v>
      </c>
      <c r="C202" s="128">
        <f>IF(C$167="","",SUMIFS(DATA_GOC!$H:$H,DATA_GOC!$A:$A,"BOM",DATA_GOC!$D:$D,$B202,DATA_GOC!$E:$E,$F$159,DATA_GOC!$F:$F,"Xuất nội bộ từ téc",DATA_GOC!$B:$B,C$167))</f>
        <v>0</v>
      </c>
      <c r="D202" s="128">
        <f>IF(D$167="","",SUMIFS(DATA_GOC!$H:$H,DATA_GOC!$A:$A,"BOM",DATA_GOC!$D:$D,$B202,DATA_GOC!$E:$E,$F$159,DATA_GOC!$F:$F,"Xuất nội bộ từ téc",DATA_GOC!$B:$B,D$167))</f>
        <v>0</v>
      </c>
      <c r="E202" s="128">
        <f>IF(E$167="","",SUMIFS(DATA_GOC!$H:$H,DATA_GOC!$A:$A,"BOM",DATA_GOC!$D:$D,$B202,DATA_GOC!$E:$E,$F$159,DATA_GOC!$F:$F,"Xuất nội bộ từ téc",DATA_GOC!$B:$B,E$167))</f>
        <v>0</v>
      </c>
      <c r="F202" s="128">
        <f>IF(F$167="","",SUMIFS(DATA_GOC!$H:$H,DATA_GOC!$A:$A,"BOM",DATA_GOC!$D:$D,$B202,DATA_GOC!$E:$E,$F$159,DATA_GOC!$F:$F,"Xuất nội bộ từ téc",DATA_GOC!$B:$B,F$167))</f>
        <v>0</v>
      </c>
      <c r="G202" s="128">
        <f>IF(G$167="","",SUMIFS(DATA_GOC!$H:$H,DATA_GOC!$A:$A,"BOM",DATA_GOC!$D:$D,$B202,DATA_GOC!$E:$E,$F$159,DATA_GOC!$F:$F,"Xuất nội bộ từ téc",DATA_GOC!$B:$B,G$167))</f>
        <v>0</v>
      </c>
      <c r="H202" s="128">
        <f>IF(H$167="","",SUMIFS(DATA_GOC!$H:$H,DATA_GOC!$A:$A,"BOM",DATA_GOC!$D:$D,$B202,DATA_GOC!$E:$E,$F$159,DATA_GOC!$F:$F,"Xuất nội bộ từ téc",DATA_GOC!$B:$B,H$167))</f>
        <v>0</v>
      </c>
      <c r="I202" s="128">
        <f>IF(I$167="","",SUMIFS(DATA_GOC!$H:$H,DATA_GOC!$A:$A,"BOM",DATA_GOC!$D:$D,$B202,DATA_GOC!$E:$E,$F$159,DATA_GOC!$F:$F,"Xuất nội bộ từ téc",DATA_GOC!$B:$B,I$167))</f>
        <v>0</v>
      </c>
      <c r="J202" s="128">
        <f>IF(J$167="","",SUMIFS(DATA_GOC!$H:$H,DATA_GOC!$A:$A,"BOM",DATA_GOC!$D:$D,$B202,DATA_GOC!$E:$E,$F$159,DATA_GOC!$F:$F,"Xuất nội bộ từ téc",DATA_GOC!$B:$B,J$167))</f>
        <v>0</v>
      </c>
      <c r="K202" s="128">
        <f>IF(K$167="","",SUMIFS(DATA_GOC!$H:$H,DATA_GOC!$A:$A,"BOM",DATA_GOC!$D:$D,$B202,DATA_GOC!$E:$E,$F$159,DATA_GOC!$F:$F,"Xuất nội bộ từ téc",DATA_GOC!$B:$B,K$167))</f>
        <v>0</v>
      </c>
      <c r="L202" s="128">
        <f>IF(L$167="","",SUMIFS(DATA_GOC!$H:$H,DATA_GOC!$A:$A,"BOM",DATA_GOC!$D:$D,$B202,DATA_GOC!$E:$E,$F$159,DATA_GOC!$F:$F,"Xuất nội bộ từ téc",DATA_GOC!$B:$B,L$167))</f>
        <v>0</v>
      </c>
      <c r="M202" s="128">
        <f>IF(M$167="","",SUMIFS(DATA_GOC!$H:$H,DATA_GOC!$A:$A,"BOM",DATA_GOC!$D:$D,$B202,DATA_GOC!$E:$E,$F$159,DATA_GOC!$F:$F,"Xuất nội bộ từ téc",DATA_GOC!$B:$B,M$167))</f>
        <v>0</v>
      </c>
      <c r="N202" s="128">
        <f>IF(N$167="","",SUMIFS(DATA_GOC!$H:$H,DATA_GOC!$A:$A,"BOM",DATA_GOC!$D:$D,$B202,DATA_GOC!$E:$E,$F$159,DATA_GOC!$F:$F,"Xuất nội bộ từ téc",DATA_GOC!$B:$B,N$167))</f>
        <v>0</v>
      </c>
      <c r="O202" s="128">
        <f>IF(O$167="","",SUMIFS(DATA_GOC!$H:$H,DATA_GOC!$A:$A,"BOM",DATA_GOC!$D:$D,$B202,DATA_GOC!$E:$E,$F$159,DATA_GOC!$F:$F,"Xuất nội bộ từ téc",DATA_GOC!$B:$B,O$167))</f>
        <v>0</v>
      </c>
      <c r="P202" s="128">
        <f>IF(P$167="","",SUMIFS(DATA_GOC!$H:$H,DATA_GOC!$A:$A,"BOM",DATA_GOC!$D:$D,$B202,DATA_GOC!$E:$E,$F$159,DATA_GOC!$F:$F,"Xuất nội bộ từ téc",DATA_GOC!$B:$B,P$167))</f>
        <v>0</v>
      </c>
      <c r="Q202" s="128">
        <f>IF(Q$167="","",SUMIFS(DATA_GOC!$H:$H,DATA_GOC!$A:$A,"BOM",DATA_GOC!$D:$D,$B202,DATA_GOC!$E:$E,$F$159,DATA_GOC!$F:$F,"Xuất nội bộ từ téc",DATA_GOC!$B:$B,Q$167))</f>
        <v>0</v>
      </c>
      <c r="R202" s="128">
        <f>IF(R$167="","",SUMIFS(DATA_GOC!$H:$H,DATA_GOC!$A:$A,"BOM",DATA_GOC!$D:$D,$B202,DATA_GOC!$E:$E,$F$159,DATA_GOC!$F:$F,"Xuất nội bộ từ téc",DATA_GOC!$B:$B,R$167))</f>
        <v>0</v>
      </c>
      <c r="S202" s="128">
        <f>IF(S$167="","",SUMIFS(DATA_GOC!$H:$H,DATA_GOC!$A:$A,"BOM",DATA_GOC!$D:$D,$B202,DATA_GOC!$E:$E,$F$159,DATA_GOC!$F:$F,"Xuất nội bộ từ téc",DATA_GOC!$B:$B,S$167))</f>
        <v>0</v>
      </c>
      <c r="T202" s="128">
        <f>IF(T$167="","",SUMIFS(DATA_GOC!$H:$H,DATA_GOC!$A:$A,"BOM",DATA_GOC!$D:$D,$B202,DATA_GOC!$E:$E,$F$159,DATA_GOC!$F:$F,"Xuất nội bộ từ téc",DATA_GOC!$B:$B,T$167))</f>
        <v>220</v>
      </c>
      <c r="U202" s="128">
        <f>IF(U$167="","",SUMIFS(DATA_GOC!$H:$H,DATA_GOC!$A:$A,"BOM",DATA_GOC!$D:$D,$B202,DATA_GOC!$E:$E,$F$159,DATA_GOC!$F:$F,"Xuất nội bộ từ téc",DATA_GOC!$B:$B,U$167))</f>
        <v>0</v>
      </c>
      <c r="V202" s="128">
        <f>IF(V$167="","",SUMIFS(DATA_GOC!$H:$H,DATA_GOC!$A:$A,"BOM",DATA_GOC!$D:$D,$B202,DATA_GOC!$E:$E,$F$159,DATA_GOC!$F:$F,"Xuất nội bộ từ téc",DATA_GOC!$B:$B,V$167))</f>
        <v>0</v>
      </c>
      <c r="W202" s="128">
        <f>IF(W$167="","",SUMIFS(DATA_GOC!$H:$H,DATA_GOC!$A:$A,"BOM",DATA_GOC!$D:$D,$B202,DATA_GOC!$E:$E,$F$159,DATA_GOC!$F:$F,"Xuất nội bộ từ téc",DATA_GOC!$B:$B,W$167))</f>
        <v>0</v>
      </c>
      <c r="X202" s="128">
        <f>IF(X$167="","",SUMIFS(DATA_GOC!$H:$H,DATA_GOC!$A:$A,"BOM",DATA_GOC!$D:$D,$B202,DATA_GOC!$E:$E,$F$159,DATA_GOC!$F:$F,"Xuất nội bộ từ téc",DATA_GOC!$B:$B,X$167))</f>
        <v>0</v>
      </c>
      <c r="Y202" s="128" t="str">
        <f>IF(Y$167="","",SUMIFS(DATA_GOC!$H:$H,DATA_GOC!$A:$A,"BOM",DATA_GOC!$D:$D,$B202,DATA_GOC!$E:$E,$F$159,DATA_GOC!$F:$F,"Xuất nội bộ từ téc",DATA_GOC!$B:$B,Y$167))</f>
        <v/>
      </c>
      <c r="Z202" s="128" t="str">
        <f>IF(Z$167="","",SUMIFS(DATA_GOC!$H:$H,DATA_GOC!$A:$A,"BOM",DATA_GOC!$D:$D,$B202,DATA_GOC!$E:$E,$F$159,DATA_GOC!$F:$F,"Xuất nội bộ từ téc",DATA_GOC!$B:$B,Z$167))</f>
        <v/>
      </c>
      <c r="AA202" s="128" t="str">
        <f>IF(AA$167="","",SUMIFS(DATA_GOC!$H:$H,DATA_GOC!$A:$A,"BOM",DATA_GOC!$D:$D,$B202,DATA_GOC!$E:$E,$F$159,DATA_GOC!$F:$F,"Xuất nội bộ từ téc",DATA_GOC!$B:$B,AA$167))</f>
        <v/>
      </c>
      <c r="AB202" s="128" t="str">
        <f>IF(AB$167="","",SUMIFS(DATA_GOC!$H:$H,DATA_GOC!$A:$A,"BOM",DATA_GOC!$D:$D,$B202,DATA_GOC!$E:$E,$F$159,DATA_GOC!$F:$F,"Xuất nội bộ từ téc",DATA_GOC!$B:$B,AB$167))</f>
        <v/>
      </c>
      <c r="AC202" s="128" t="str">
        <f>IF(AC$167="","",SUMIFS(DATA_GOC!$H:$H,DATA_GOC!$A:$A,"BOM",DATA_GOC!$D:$D,$B202,DATA_GOC!$E:$E,$F$159,DATA_GOC!$F:$F,"Xuất nội bộ từ téc",DATA_GOC!$B:$B,AC$167))</f>
        <v/>
      </c>
      <c r="AD202" s="128" t="str">
        <f>IF(AD$167="","",SUMIFS(DATA_GOC!$H:$H,DATA_GOC!$A:$A,"BOM",DATA_GOC!$D:$D,$B202,DATA_GOC!$E:$E,$F$159,DATA_GOC!$F:$F,"Xuất nội bộ từ téc",DATA_GOC!$B:$B,AD$167))</f>
        <v/>
      </c>
      <c r="AE202" s="128" t="str">
        <f>IF(AE$167="","",SUMIFS(DATA_GOC!$H:$H,DATA_GOC!$A:$A,"BOM",DATA_GOC!$D:$D,$B202,DATA_GOC!$E:$E,$F$159,DATA_GOC!$F:$F,"Xuất nội bộ từ téc",DATA_GOC!$B:$B,AE$167))</f>
        <v/>
      </c>
      <c r="AF202" s="128" t="str">
        <f>IF(AF$167="","",SUMIFS(DATA_GOC!$H:$H,DATA_GOC!$A:$A,"BOM",DATA_GOC!$D:$D,$B202,DATA_GOC!$E:$E,$F$159,DATA_GOC!$F:$F,"Xuất nội bộ từ téc",DATA_GOC!$B:$B,AF$167))</f>
        <v/>
      </c>
      <c r="AG202" s="128" t="str">
        <f>IF(AG$167="","",SUMIFS(DATA_GOC!$H:$H,DATA_GOC!$A:$A,"BOM",DATA_GOC!$D:$D,$B202,DATA_GOC!$E:$E,$F$159,DATA_GOC!$F:$F,"Xuất nội bộ từ téc",DATA_GOC!$B:$B,AG$167))</f>
        <v/>
      </c>
      <c r="AH202" s="129">
        <f>IF($B202="","",SUMIFS(DATA_GOC!$H:$H,DATA_GOC!$A:$A,"BOM",DATA_GOC!$D:$D,$B202,DATA_GOC!$E:$E,$F$159,DATA_GOC!$F:$F,"Xuất nội bộ từ téc",DATA_GOC!$B:$B,"&gt;="&amp;$H$159,DATA_GOC!$B:$B,"&lt;="&amp;$J$159))</f>
        <v>220</v>
      </c>
      <c r="AI202" s="130">
        <f t="shared" si="16"/>
        <v>0.01595474654</v>
      </c>
      <c r="AJ202" s="129">
        <f t="shared" si="17"/>
        <v>5.919</v>
      </c>
      <c r="AK202" s="129">
        <f t="shared" si="18"/>
        <v>0</v>
      </c>
      <c r="AL202" s="129">
        <f t="shared" si="19"/>
        <v>225.919</v>
      </c>
    </row>
    <row r="203" ht="21.75" hidden="1" customHeight="1">
      <c r="A203" s="126">
        <f t="shared" si="15"/>
        <v>36</v>
      </c>
      <c r="B203" s="127" t="str">
        <f t="array" ref="B203">IFERROR(IF(INDEX(DANH_MUC!$E:$E,39)="","",INDEX(DANH_MUC!$E:$E,39)),"")</f>
        <v>28H00609</v>
      </c>
      <c r="C203" s="128">
        <f>IF(C$167="","",SUMIFS(DATA_GOC!$H:$H,DATA_GOC!$A:$A,"BOM",DATA_GOC!$D:$D,$B203,DATA_GOC!$E:$E,$F$159,DATA_GOC!$F:$F,"Xuất nội bộ từ téc",DATA_GOC!$B:$B,C$167))</f>
        <v>0</v>
      </c>
      <c r="D203" s="128">
        <f>IF(D$167="","",SUMIFS(DATA_GOC!$H:$H,DATA_GOC!$A:$A,"BOM",DATA_GOC!$D:$D,$B203,DATA_GOC!$E:$E,$F$159,DATA_GOC!$F:$F,"Xuất nội bộ từ téc",DATA_GOC!$B:$B,D$167))</f>
        <v>0</v>
      </c>
      <c r="E203" s="128">
        <f>IF(E$167="","",SUMIFS(DATA_GOC!$H:$H,DATA_GOC!$A:$A,"BOM",DATA_GOC!$D:$D,$B203,DATA_GOC!$E:$E,$F$159,DATA_GOC!$F:$F,"Xuất nội bộ từ téc",DATA_GOC!$B:$B,E$167))</f>
        <v>0</v>
      </c>
      <c r="F203" s="128">
        <f>IF(F$167="","",SUMIFS(DATA_GOC!$H:$H,DATA_GOC!$A:$A,"BOM",DATA_GOC!$D:$D,$B203,DATA_GOC!$E:$E,$F$159,DATA_GOC!$F:$F,"Xuất nội bộ từ téc",DATA_GOC!$B:$B,F$167))</f>
        <v>0</v>
      </c>
      <c r="G203" s="128">
        <f>IF(G$167="","",SUMIFS(DATA_GOC!$H:$H,DATA_GOC!$A:$A,"BOM",DATA_GOC!$D:$D,$B203,DATA_GOC!$E:$E,$F$159,DATA_GOC!$F:$F,"Xuất nội bộ từ téc",DATA_GOC!$B:$B,G$167))</f>
        <v>0</v>
      </c>
      <c r="H203" s="128">
        <f>IF(H$167="","",SUMIFS(DATA_GOC!$H:$H,DATA_GOC!$A:$A,"BOM",DATA_GOC!$D:$D,$B203,DATA_GOC!$E:$E,$F$159,DATA_GOC!$F:$F,"Xuất nội bộ từ téc",DATA_GOC!$B:$B,H$167))</f>
        <v>0</v>
      </c>
      <c r="I203" s="128">
        <f>IF(I$167="","",SUMIFS(DATA_GOC!$H:$H,DATA_GOC!$A:$A,"BOM",DATA_GOC!$D:$D,$B203,DATA_GOC!$E:$E,$F$159,DATA_GOC!$F:$F,"Xuất nội bộ từ téc",DATA_GOC!$B:$B,I$167))</f>
        <v>0</v>
      </c>
      <c r="J203" s="128">
        <f>IF(J$167="","",SUMIFS(DATA_GOC!$H:$H,DATA_GOC!$A:$A,"BOM",DATA_GOC!$D:$D,$B203,DATA_GOC!$E:$E,$F$159,DATA_GOC!$F:$F,"Xuất nội bộ từ téc",DATA_GOC!$B:$B,J$167))</f>
        <v>0</v>
      </c>
      <c r="K203" s="128">
        <f>IF(K$167="","",SUMIFS(DATA_GOC!$H:$H,DATA_GOC!$A:$A,"BOM",DATA_GOC!$D:$D,$B203,DATA_GOC!$E:$E,$F$159,DATA_GOC!$F:$F,"Xuất nội bộ từ téc",DATA_GOC!$B:$B,K$167))</f>
        <v>0</v>
      </c>
      <c r="L203" s="128">
        <f>IF(L$167="","",SUMIFS(DATA_GOC!$H:$H,DATA_GOC!$A:$A,"BOM",DATA_GOC!$D:$D,$B203,DATA_GOC!$E:$E,$F$159,DATA_GOC!$F:$F,"Xuất nội bộ từ téc",DATA_GOC!$B:$B,L$167))</f>
        <v>0</v>
      </c>
      <c r="M203" s="128">
        <f>IF(M$167="","",SUMIFS(DATA_GOC!$H:$H,DATA_GOC!$A:$A,"BOM",DATA_GOC!$D:$D,$B203,DATA_GOC!$E:$E,$F$159,DATA_GOC!$F:$F,"Xuất nội bộ từ téc",DATA_GOC!$B:$B,M$167))</f>
        <v>0</v>
      </c>
      <c r="N203" s="128">
        <f>IF(N$167="","",SUMIFS(DATA_GOC!$H:$H,DATA_GOC!$A:$A,"BOM",DATA_GOC!$D:$D,$B203,DATA_GOC!$E:$E,$F$159,DATA_GOC!$F:$F,"Xuất nội bộ từ téc",DATA_GOC!$B:$B,N$167))</f>
        <v>0</v>
      </c>
      <c r="O203" s="128">
        <f>IF(O$167="","",SUMIFS(DATA_GOC!$H:$H,DATA_GOC!$A:$A,"BOM",DATA_GOC!$D:$D,$B203,DATA_GOC!$E:$E,$F$159,DATA_GOC!$F:$F,"Xuất nội bộ từ téc",DATA_GOC!$B:$B,O$167))</f>
        <v>0</v>
      </c>
      <c r="P203" s="128">
        <f>IF(P$167="","",SUMIFS(DATA_GOC!$H:$H,DATA_GOC!$A:$A,"BOM",DATA_GOC!$D:$D,$B203,DATA_GOC!$E:$E,$F$159,DATA_GOC!$F:$F,"Xuất nội bộ từ téc",DATA_GOC!$B:$B,P$167))</f>
        <v>0</v>
      </c>
      <c r="Q203" s="128">
        <f>IF(Q$167="","",SUMIFS(DATA_GOC!$H:$H,DATA_GOC!$A:$A,"BOM",DATA_GOC!$D:$D,$B203,DATA_GOC!$E:$E,$F$159,DATA_GOC!$F:$F,"Xuất nội bộ từ téc",DATA_GOC!$B:$B,Q$167))</f>
        <v>0</v>
      </c>
      <c r="R203" s="128">
        <f>IF(R$167="","",SUMIFS(DATA_GOC!$H:$H,DATA_GOC!$A:$A,"BOM",DATA_GOC!$D:$D,$B203,DATA_GOC!$E:$E,$F$159,DATA_GOC!$F:$F,"Xuất nội bộ từ téc",DATA_GOC!$B:$B,R$167))</f>
        <v>0</v>
      </c>
      <c r="S203" s="128">
        <f>IF(S$167="","",SUMIFS(DATA_GOC!$H:$H,DATA_GOC!$A:$A,"BOM",DATA_GOC!$D:$D,$B203,DATA_GOC!$E:$E,$F$159,DATA_GOC!$F:$F,"Xuất nội bộ từ téc",DATA_GOC!$B:$B,S$167))</f>
        <v>0</v>
      </c>
      <c r="T203" s="128">
        <f>IF(T$167="","",SUMIFS(DATA_GOC!$H:$H,DATA_GOC!$A:$A,"BOM",DATA_GOC!$D:$D,$B203,DATA_GOC!$E:$E,$F$159,DATA_GOC!$F:$F,"Xuất nội bộ từ téc",DATA_GOC!$B:$B,T$167))</f>
        <v>240</v>
      </c>
      <c r="U203" s="128">
        <f>IF(U$167="","",SUMIFS(DATA_GOC!$H:$H,DATA_GOC!$A:$A,"BOM",DATA_GOC!$D:$D,$B203,DATA_GOC!$E:$E,$F$159,DATA_GOC!$F:$F,"Xuất nội bộ từ téc",DATA_GOC!$B:$B,U$167))</f>
        <v>0</v>
      </c>
      <c r="V203" s="128">
        <f>IF(V$167="","",SUMIFS(DATA_GOC!$H:$H,DATA_GOC!$A:$A,"BOM",DATA_GOC!$D:$D,$B203,DATA_GOC!$E:$E,$F$159,DATA_GOC!$F:$F,"Xuất nội bộ từ téc",DATA_GOC!$B:$B,V$167))</f>
        <v>0</v>
      </c>
      <c r="W203" s="128">
        <f>IF(W$167="","",SUMIFS(DATA_GOC!$H:$H,DATA_GOC!$A:$A,"BOM",DATA_GOC!$D:$D,$B203,DATA_GOC!$E:$E,$F$159,DATA_GOC!$F:$F,"Xuất nội bộ từ téc",DATA_GOC!$B:$B,W$167))</f>
        <v>0</v>
      </c>
      <c r="X203" s="128">
        <f>IF(X$167="","",SUMIFS(DATA_GOC!$H:$H,DATA_GOC!$A:$A,"BOM",DATA_GOC!$D:$D,$B203,DATA_GOC!$E:$E,$F$159,DATA_GOC!$F:$F,"Xuất nội bộ từ téc",DATA_GOC!$B:$B,X$167))</f>
        <v>0</v>
      </c>
      <c r="Y203" s="128" t="str">
        <f>IF(Y$167="","",SUMIFS(DATA_GOC!$H:$H,DATA_GOC!$A:$A,"BOM",DATA_GOC!$D:$D,$B203,DATA_GOC!$E:$E,$F$159,DATA_GOC!$F:$F,"Xuất nội bộ từ téc",DATA_GOC!$B:$B,Y$167))</f>
        <v/>
      </c>
      <c r="Z203" s="128" t="str">
        <f>IF(Z$167="","",SUMIFS(DATA_GOC!$H:$H,DATA_GOC!$A:$A,"BOM",DATA_GOC!$D:$D,$B203,DATA_GOC!$E:$E,$F$159,DATA_GOC!$F:$F,"Xuất nội bộ từ téc",DATA_GOC!$B:$B,Z$167))</f>
        <v/>
      </c>
      <c r="AA203" s="128" t="str">
        <f>IF(AA$167="","",SUMIFS(DATA_GOC!$H:$H,DATA_GOC!$A:$A,"BOM",DATA_GOC!$D:$D,$B203,DATA_GOC!$E:$E,$F$159,DATA_GOC!$F:$F,"Xuất nội bộ từ téc",DATA_GOC!$B:$B,AA$167))</f>
        <v/>
      </c>
      <c r="AB203" s="128" t="str">
        <f>IF(AB$167="","",SUMIFS(DATA_GOC!$H:$H,DATA_GOC!$A:$A,"BOM",DATA_GOC!$D:$D,$B203,DATA_GOC!$E:$E,$F$159,DATA_GOC!$F:$F,"Xuất nội bộ từ téc",DATA_GOC!$B:$B,AB$167))</f>
        <v/>
      </c>
      <c r="AC203" s="128" t="str">
        <f>IF(AC$167="","",SUMIFS(DATA_GOC!$H:$H,DATA_GOC!$A:$A,"BOM",DATA_GOC!$D:$D,$B203,DATA_GOC!$E:$E,$F$159,DATA_GOC!$F:$F,"Xuất nội bộ từ téc",DATA_GOC!$B:$B,AC$167))</f>
        <v/>
      </c>
      <c r="AD203" s="128" t="str">
        <f>IF(AD$167="","",SUMIFS(DATA_GOC!$H:$H,DATA_GOC!$A:$A,"BOM",DATA_GOC!$D:$D,$B203,DATA_GOC!$E:$E,$F$159,DATA_GOC!$F:$F,"Xuất nội bộ từ téc",DATA_GOC!$B:$B,AD$167))</f>
        <v/>
      </c>
      <c r="AE203" s="128" t="str">
        <f>IF(AE$167="","",SUMIFS(DATA_GOC!$H:$H,DATA_GOC!$A:$A,"BOM",DATA_GOC!$D:$D,$B203,DATA_GOC!$E:$E,$F$159,DATA_GOC!$F:$F,"Xuất nội bộ từ téc",DATA_GOC!$B:$B,AE$167))</f>
        <v/>
      </c>
      <c r="AF203" s="128" t="str">
        <f>IF(AF$167="","",SUMIFS(DATA_GOC!$H:$H,DATA_GOC!$A:$A,"BOM",DATA_GOC!$D:$D,$B203,DATA_GOC!$E:$E,$F$159,DATA_GOC!$F:$F,"Xuất nội bộ từ téc",DATA_GOC!$B:$B,AF$167))</f>
        <v/>
      </c>
      <c r="AG203" s="128" t="str">
        <f>IF(AG$167="","",SUMIFS(DATA_GOC!$H:$H,DATA_GOC!$A:$A,"BOM",DATA_GOC!$D:$D,$B203,DATA_GOC!$E:$E,$F$159,DATA_GOC!$F:$F,"Xuất nội bộ từ téc",DATA_GOC!$B:$B,AG$167))</f>
        <v/>
      </c>
      <c r="AH203" s="129">
        <f>IF($B203="","",SUMIFS(DATA_GOC!$H:$H,DATA_GOC!$A:$A,"BOM",DATA_GOC!$D:$D,$B203,DATA_GOC!$E:$E,$F$159,DATA_GOC!$F:$F,"Xuất nội bộ từ téc",DATA_GOC!$B:$B,"&gt;="&amp;$H$159,DATA_GOC!$B:$B,"&lt;="&amp;$J$159))</f>
        <v>240</v>
      </c>
      <c r="AI203" s="130">
        <f t="shared" si="16"/>
        <v>0.01740517804</v>
      </c>
      <c r="AJ203" s="129">
        <f t="shared" si="17"/>
        <v>6.457</v>
      </c>
      <c r="AK203" s="129">
        <f t="shared" si="18"/>
        <v>0</v>
      </c>
      <c r="AL203" s="129">
        <f t="shared" si="19"/>
        <v>246.457</v>
      </c>
    </row>
    <row r="204" ht="21.75" hidden="1" customHeight="1">
      <c r="A204" s="126">
        <f t="shared" si="15"/>
        <v>37</v>
      </c>
      <c r="B204" s="127" t="str">
        <f t="array" ref="B204">IFERROR(IF(INDEX(DANH_MUC!$E:$E,40)="","",INDEX(DANH_MUC!$E:$E,40)),"")</f>
        <v>28H00669</v>
      </c>
      <c r="C204" s="128">
        <f>IF(C$167="","",SUMIFS(DATA_GOC!$H:$H,DATA_GOC!$A:$A,"BOM",DATA_GOC!$D:$D,$B204,DATA_GOC!$E:$E,$F$159,DATA_GOC!$F:$F,"Xuất nội bộ từ téc",DATA_GOC!$B:$B,C$167))</f>
        <v>0</v>
      </c>
      <c r="D204" s="128">
        <f>IF(D$167="","",SUMIFS(DATA_GOC!$H:$H,DATA_GOC!$A:$A,"BOM",DATA_GOC!$D:$D,$B204,DATA_GOC!$E:$E,$F$159,DATA_GOC!$F:$F,"Xuất nội bộ từ téc",DATA_GOC!$B:$B,D$167))</f>
        <v>0</v>
      </c>
      <c r="E204" s="128">
        <f>IF(E$167="","",SUMIFS(DATA_GOC!$H:$H,DATA_GOC!$A:$A,"BOM",DATA_GOC!$D:$D,$B204,DATA_GOC!$E:$E,$F$159,DATA_GOC!$F:$F,"Xuất nội bộ từ téc",DATA_GOC!$B:$B,E$167))</f>
        <v>0</v>
      </c>
      <c r="F204" s="128">
        <f>IF(F$167="","",SUMIFS(DATA_GOC!$H:$H,DATA_GOC!$A:$A,"BOM",DATA_GOC!$D:$D,$B204,DATA_GOC!$E:$E,$F$159,DATA_GOC!$F:$F,"Xuất nội bộ từ téc",DATA_GOC!$B:$B,F$167))</f>
        <v>0</v>
      </c>
      <c r="G204" s="128">
        <f>IF(G$167="","",SUMIFS(DATA_GOC!$H:$H,DATA_GOC!$A:$A,"BOM",DATA_GOC!$D:$D,$B204,DATA_GOC!$E:$E,$F$159,DATA_GOC!$F:$F,"Xuất nội bộ từ téc",DATA_GOC!$B:$B,G$167))</f>
        <v>0</v>
      </c>
      <c r="H204" s="128">
        <f>IF(H$167="","",SUMIFS(DATA_GOC!$H:$H,DATA_GOC!$A:$A,"BOM",DATA_GOC!$D:$D,$B204,DATA_GOC!$E:$E,$F$159,DATA_GOC!$F:$F,"Xuất nội bộ từ téc",DATA_GOC!$B:$B,H$167))</f>
        <v>0</v>
      </c>
      <c r="I204" s="128">
        <f>IF(I$167="","",SUMIFS(DATA_GOC!$H:$H,DATA_GOC!$A:$A,"BOM",DATA_GOC!$D:$D,$B204,DATA_GOC!$E:$E,$F$159,DATA_GOC!$F:$F,"Xuất nội bộ từ téc",DATA_GOC!$B:$B,I$167))</f>
        <v>0</v>
      </c>
      <c r="J204" s="128">
        <f>IF(J$167="","",SUMIFS(DATA_GOC!$H:$H,DATA_GOC!$A:$A,"BOM",DATA_GOC!$D:$D,$B204,DATA_GOC!$E:$E,$F$159,DATA_GOC!$F:$F,"Xuất nội bộ từ téc",DATA_GOC!$B:$B,J$167))</f>
        <v>0</v>
      </c>
      <c r="K204" s="128">
        <f>IF(K$167="","",SUMIFS(DATA_GOC!$H:$H,DATA_GOC!$A:$A,"BOM",DATA_GOC!$D:$D,$B204,DATA_GOC!$E:$E,$F$159,DATA_GOC!$F:$F,"Xuất nội bộ từ téc",DATA_GOC!$B:$B,K$167))</f>
        <v>0</v>
      </c>
      <c r="L204" s="128">
        <f>IF(L$167="","",SUMIFS(DATA_GOC!$H:$H,DATA_GOC!$A:$A,"BOM",DATA_GOC!$D:$D,$B204,DATA_GOC!$E:$E,$F$159,DATA_GOC!$F:$F,"Xuất nội bộ từ téc",DATA_GOC!$B:$B,L$167))</f>
        <v>0</v>
      </c>
      <c r="M204" s="128">
        <f>IF(M$167="","",SUMIFS(DATA_GOC!$H:$H,DATA_GOC!$A:$A,"BOM",DATA_GOC!$D:$D,$B204,DATA_GOC!$E:$E,$F$159,DATA_GOC!$F:$F,"Xuất nội bộ từ téc",DATA_GOC!$B:$B,M$167))</f>
        <v>0</v>
      </c>
      <c r="N204" s="128">
        <f>IF(N$167="","",SUMIFS(DATA_GOC!$H:$H,DATA_GOC!$A:$A,"BOM",DATA_GOC!$D:$D,$B204,DATA_GOC!$E:$E,$F$159,DATA_GOC!$F:$F,"Xuất nội bộ từ téc",DATA_GOC!$B:$B,N$167))</f>
        <v>0</v>
      </c>
      <c r="O204" s="128">
        <f>IF(O$167="","",SUMIFS(DATA_GOC!$H:$H,DATA_GOC!$A:$A,"BOM",DATA_GOC!$D:$D,$B204,DATA_GOC!$E:$E,$F$159,DATA_GOC!$F:$F,"Xuất nội bộ từ téc",DATA_GOC!$B:$B,O$167))</f>
        <v>0</v>
      </c>
      <c r="P204" s="128">
        <f>IF(P$167="","",SUMIFS(DATA_GOC!$H:$H,DATA_GOC!$A:$A,"BOM",DATA_GOC!$D:$D,$B204,DATA_GOC!$E:$E,$F$159,DATA_GOC!$F:$F,"Xuất nội bộ từ téc",DATA_GOC!$B:$B,P$167))</f>
        <v>0</v>
      </c>
      <c r="Q204" s="128">
        <f>IF(Q$167="","",SUMIFS(DATA_GOC!$H:$H,DATA_GOC!$A:$A,"BOM",DATA_GOC!$D:$D,$B204,DATA_GOC!$E:$E,$F$159,DATA_GOC!$F:$F,"Xuất nội bộ từ téc",DATA_GOC!$B:$B,Q$167))</f>
        <v>0</v>
      </c>
      <c r="R204" s="128">
        <f>IF(R$167="","",SUMIFS(DATA_GOC!$H:$H,DATA_GOC!$A:$A,"BOM",DATA_GOC!$D:$D,$B204,DATA_GOC!$E:$E,$F$159,DATA_GOC!$F:$F,"Xuất nội bộ từ téc",DATA_GOC!$B:$B,R$167))</f>
        <v>0</v>
      </c>
      <c r="S204" s="128">
        <f>IF(S$167="","",SUMIFS(DATA_GOC!$H:$H,DATA_GOC!$A:$A,"BOM",DATA_GOC!$D:$D,$B204,DATA_GOC!$E:$E,$F$159,DATA_GOC!$F:$F,"Xuất nội bộ từ téc",DATA_GOC!$B:$B,S$167))</f>
        <v>0</v>
      </c>
      <c r="T204" s="128">
        <f>IF(T$167="","",SUMIFS(DATA_GOC!$H:$H,DATA_GOC!$A:$A,"BOM",DATA_GOC!$D:$D,$B204,DATA_GOC!$E:$E,$F$159,DATA_GOC!$F:$F,"Xuất nội bộ từ téc",DATA_GOC!$B:$B,T$167))</f>
        <v>0</v>
      </c>
      <c r="U204" s="128">
        <f>IF(U$167="","",SUMIFS(DATA_GOC!$H:$H,DATA_GOC!$A:$A,"BOM",DATA_GOC!$D:$D,$B204,DATA_GOC!$E:$E,$F$159,DATA_GOC!$F:$F,"Xuất nội bộ từ téc",DATA_GOC!$B:$B,U$167))</f>
        <v>0</v>
      </c>
      <c r="V204" s="128">
        <f>IF(V$167="","",SUMIFS(DATA_GOC!$H:$H,DATA_GOC!$A:$A,"BOM",DATA_GOC!$D:$D,$B204,DATA_GOC!$E:$E,$F$159,DATA_GOC!$F:$F,"Xuất nội bộ từ téc",DATA_GOC!$B:$B,V$167))</f>
        <v>0</v>
      </c>
      <c r="W204" s="128">
        <f>IF(W$167="","",SUMIFS(DATA_GOC!$H:$H,DATA_GOC!$A:$A,"BOM",DATA_GOC!$D:$D,$B204,DATA_GOC!$E:$E,$F$159,DATA_GOC!$F:$F,"Xuất nội bộ từ téc",DATA_GOC!$B:$B,W$167))</f>
        <v>0</v>
      </c>
      <c r="X204" s="128">
        <f>IF(X$167="","",SUMIFS(DATA_GOC!$H:$H,DATA_GOC!$A:$A,"BOM",DATA_GOC!$D:$D,$B204,DATA_GOC!$E:$E,$F$159,DATA_GOC!$F:$F,"Xuất nội bộ từ téc",DATA_GOC!$B:$B,X$167))</f>
        <v>0</v>
      </c>
      <c r="Y204" s="128" t="str">
        <f>IF(Y$167="","",SUMIFS(DATA_GOC!$H:$H,DATA_GOC!$A:$A,"BOM",DATA_GOC!$D:$D,$B204,DATA_GOC!$E:$E,$F$159,DATA_GOC!$F:$F,"Xuất nội bộ từ téc",DATA_GOC!$B:$B,Y$167))</f>
        <v/>
      </c>
      <c r="Z204" s="128" t="str">
        <f>IF(Z$167="","",SUMIFS(DATA_GOC!$H:$H,DATA_GOC!$A:$A,"BOM",DATA_GOC!$D:$D,$B204,DATA_GOC!$E:$E,$F$159,DATA_GOC!$F:$F,"Xuất nội bộ từ téc",DATA_GOC!$B:$B,Z$167))</f>
        <v/>
      </c>
      <c r="AA204" s="128" t="str">
        <f>IF(AA$167="","",SUMIFS(DATA_GOC!$H:$H,DATA_GOC!$A:$A,"BOM",DATA_GOC!$D:$D,$B204,DATA_GOC!$E:$E,$F$159,DATA_GOC!$F:$F,"Xuất nội bộ từ téc",DATA_GOC!$B:$B,AA$167))</f>
        <v/>
      </c>
      <c r="AB204" s="128" t="str">
        <f>IF(AB$167="","",SUMIFS(DATA_GOC!$H:$H,DATA_GOC!$A:$A,"BOM",DATA_GOC!$D:$D,$B204,DATA_GOC!$E:$E,$F$159,DATA_GOC!$F:$F,"Xuất nội bộ từ téc",DATA_GOC!$B:$B,AB$167))</f>
        <v/>
      </c>
      <c r="AC204" s="128" t="str">
        <f>IF(AC$167="","",SUMIFS(DATA_GOC!$H:$H,DATA_GOC!$A:$A,"BOM",DATA_GOC!$D:$D,$B204,DATA_GOC!$E:$E,$F$159,DATA_GOC!$F:$F,"Xuất nội bộ từ téc",DATA_GOC!$B:$B,AC$167))</f>
        <v/>
      </c>
      <c r="AD204" s="128" t="str">
        <f>IF(AD$167="","",SUMIFS(DATA_GOC!$H:$H,DATA_GOC!$A:$A,"BOM",DATA_GOC!$D:$D,$B204,DATA_GOC!$E:$E,$F$159,DATA_GOC!$F:$F,"Xuất nội bộ từ téc",DATA_GOC!$B:$B,AD$167))</f>
        <v/>
      </c>
      <c r="AE204" s="128" t="str">
        <f>IF(AE$167="","",SUMIFS(DATA_GOC!$H:$H,DATA_GOC!$A:$A,"BOM",DATA_GOC!$D:$D,$B204,DATA_GOC!$E:$E,$F$159,DATA_GOC!$F:$F,"Xuất nội bộ từ téc",DATA_GOC!$B:$B,AE$167))</f>
        <v/>
      </c>
      <c r="AF204" s="128" t="str">
        <f>IF(AF$167="","",SUMIFS(DATA_GOC!$H:$H,DATA_GOC!$A:$A,"BOM",DATA_GOC!$D:$D,$B204,DATA_GOC!$E:$E,$F$159,DATA_GOC!$F:$F,"Xuất nội bộ từ téc",DATA_GOC!$B:$B,AF$167))</f>
        <v/>
      </c>
      <c r="AG204" s="128" t="str">
        <f>IF(AG$167="","",SUMIFS(DATA_GOC!$H:$H,DATA_GOC!$A:$A,"BOM",DATA_GOC!$D:$D,$B204,DATA_GOC!$E:$E,$F$159,DATA_GOC!$F:$F,"Xuất nội bộ từ téc",DATA_GOC!$B:$B,AG$167))</f>
        <v/>
      </c>
      <c r="AH204" s="129">
        <f>IF($B204="","",SUMIFS(DATA_GOC!$H:$H,DATA_GOC!$A:$A,"BOM",DATA_GOC!$D:$D,$B204,DATA_GOC!$E:$E,$F$159,DATA_GOC!$F:$F,"Xuất nội bộ từ téc",DATA_GOC!$B:$B,"&gt;="&amp;$H$159,DATA_GOC!$B:$B,"&lt;="&amp;$J$159))</f>
        <v>0</v>
      </c>
      <c r="AI204" s="130">
        <f t="shared" si="16"/>
        <v>0</v>
      </c>
      <c r="AJ204" s="129">
        <f t="shared" si="17"/>
        <v>0</v>
      </c>
      <c r="AK204" s="129">
        <f t="shared" si="18"/>
        <v>0</v>
      </c>
      <c r="AL204" s="129">
        <f t="shared" si="19"/>
        <v>0</v>
      </c>
    </row>
    <row r="205" ht="21.75" hidden="1" customHeight="1">
      <c r="A205" s="126">
        <f t="shared" si="15"/>
        <v>38</v>
      </c>
      <c r="B205" s="127" t="str">
        <f t="array" ref="B205">IFERROR(IF(INDEX(DANH_MUC!$E:$E,41)="","",INDEX(DANH_MUC!$E:$E,41)),"")</f>
        <v>28H00680</v>
      </c>
      <c r="C205" s="128">
        <f>IF(C$167="","",SUMIFS(DATA_GOC!$H:$H,DATA_GOC!$A:$A,"BOM",DATA_GOC!$D:$D,$B205,DATA_GOC!$E:$E,$F$159,DATA_GOC!$F:$F,"Xuất nội bộ từ téc",DATA_GOC!$B:$B,C$167))</f>
        <v>0</v>
      </c>
      <c r="D205" s="128">
        <f>IF(D$167="","",SUMIFS(DATA_GOC!$H:$H,DATA_GOC!$A:$A,"BOM",DATA_GOC!$D:$D,$B205,DATA_GOC!$E:$E,$F$159,DATA_GOC!$F:$F,"Xuất nội bộ từ téc",DATA_GOC!$B:$B,D$167))</f>
        <v>0</v>
      </c>
      <c r="E205" s="128">
        <f>IF(E$167="","",SUMIFS(DATA_GOC!$H:$H,DATA_GOC!$A:$A,"BOM",DATA_GOC!$D:$D,$B205,DATA_GOC!$E:$E,$F$159,DATA_GOC!$F:$F,"Xuất nội bộ từ téc",DATA_GOC!$B:$B,E$167))</f>
        <v>0</v>
      </c>
      <c r="F205" s="128">
        <f>IF(F$167="","",SUMIFS(DATA_GOC!$H:$H,DATA_GOC!$A:$A,"BOM",DATA_GOC!$D:$D,$B205,DATA_GOC!$E:$E,$F$159,DATA_GOC!$F:$F,"Xuất nội bộ từ téc",DATA_GOC!$B:$B,F$167))</f>
        <v>0</v>
      </c>
      <c r="G205" s="128">
        <f>IF(G$167="","",SUMIFS(DATA_GOC!$H:$H,DATA_GOC!$A:$A,"BOM",DATA_GOC!$D:$D,$B205,DATA_GOC!$E:$E,$F$159,DATA_GOC!$F:$F,"Xuất nội bộ từ téc",DATA_GOC!$B:$B,G$167))</f>
        <v>0</v>
      </c>
      <c r="H205" s="128">
        <f>IF(H$167="","",SUMIFS(DATA_GOC!$H:$H,DATA_GOC!$A:$A,"BOM",DATA_GOC!$D:$D,$B205,DATA_GOC!$E:$E,$F$159,DATA_GOC!$F:$F,"Xuất nội bộ từ téc",DATA_GOC!$B:$B,H$167))</f>
        <v>0</v>
      </c>
      <c r="I205" s="128">
        <f>IF(I$167="","",SUMIFS(DATA_GOC!$H:$H,DATA_GOC!$A:$A,"BOM",DATA_GOC!$D:$D,$B205,DATA_GOC!$E:$E,$F$159,DATA_GOC!$F:$F,"Xuất nội bộ từ téc",DATA_GOC!$B:$B,I$167))</f>
        <v>0</v>
      </c>
      <c r="J205" s="128">
        <f>IF(J$167="","",SUMIFS(DATA_GOC!$H:$H,DATA_GOC!$A:$A,"BOM",DATA_GOC!$D:$D,$B205,DATA_GOC!$E:$E,$F$159,DATA_GOC!$F:$F,"Xuất nội bộ từ téc",DATA_GOC!$B:$B,J$167))</f>
        <v>0</v>
      </c>
      <c r="K205" s="128">
        <f>IF(K$167="","",SUMIFS(DATA_GOC!$H:$H,DATA_GOC!$A:$A,"BOM",DATA_GOC!$D:$D,$B205,DATA_GOC!$E:$E,$F$159,DATA_GOC!$F:$F,"Xuất nội bộ từ téc",DATA_GOC!$B:$B,K$167))</f>
        <v>0</v>
      </c>
      <c r="L205" s="128">
        <f>IF(L$167="","",SUMIFS(DATA_GOC!$H:$H,DATA_GOC!$A:$A,"BOM",DATA_GOC!$D:$D,$B205,DATA_GOC!$E:$E,$F$159,DATA_GOC!$F:$F,"Xuất nội bộ từ téc",DATA_GOC!$B:$B,L$167))</f>
        <v>0</v>
      </c>
      <c r="M205" s="128">
        <f>IF(M$167="","",SUMIFS(DATA_GOC!$H:$H,DATA_GOC!$A:$A,"BOM",DATA_GOC!$D:$D,$B205,DATA_GOC!$E:$E,$F$159,DATA_GOC!$F:$F,"Xuất nội bộ từ téc",DATA_GOC!$B:$B,M$167))</f>
        <v>403</v>
      </c>
      <c r="N205" s="128">
        <f>IF(N$167="","",SUMIFS(DATA_GOC!$H:$H,DATA_GOC!$A:$A,"BOM",DATA_GOC!$D:$D,$B205,DATA_GOC!$E:$E,$F$159,DATA_GOC!$F:$F,"Xuất nội bộ từ téc",DATA_GOC!$B:$B,N$167))</f>
        <v>0</v>
      </c>
      <c r="O205" s="128">
        <f>IF(O$167="","",SUMIFS(DATA_GOC!$H:$H,DATA_GOC!$A:$A,"BOM",DATA_GOC!$D:$D,$B205,DATA_GOC!$E:$E,$F$159,DATA_GOC!$F:$F,"Xuất nội bộ từ téc",DATA_GOC!$B:$B,O$167))</f>
        <v>0</v>
      </c>
      <c r="P205" s="128">
        <f>IF(P$167="","",SUMIFS(DATA_GOC!$H:$H,DATA_GOC!$A:$A,"BOM",DATA_GOC!$D:$D,$B205,DATA_GOC!$E:$E,$F$159,DATA_GOC!$F:$F,"Xuất nội bộ từ téc",DATA_GOC!$B:$B,P$167))</f>
        <v>0</v>
      </c>
      <c r="Q205" s="128">
        <f>IF(Q$167="","",SUMIFS(DATA_GOC!$H:$H,DATA_GOC!$A:$A,"BOM",DATA_GOC!$D:$D,$B205,DATA_GOC!$E:$E,$F$159,DATA_GOC!$F:$F,"Xuất nội bộ từ téc",DATA_GOC!$B:$B,Q$167))</f>
        <v>325</v>
      </c>
      <c r="R205" s="128">
        <f>IF(R$167="","",SUMIFS(DATA_GOC!$H:$H,DATA_GOC!$A:$A,"BOM",DATA_GOC!$D:$D,$B205,DATA_GOC!$E:$E,$F$159,DATA_GOC!$F:$F,"Xuất nội bộ từ téc",DATA_GOC!$B:$B,R$167))</f>
        <v>0</v>
      </c>
      <c r="S205" s="128">
        <f>IF(S$167="","",SUMIFS(DATA_GOC!$H:$H,DATA_GOC!$A:$A,"BOM",DATA_GOC!$D:$D,$B205,DATA_GOC!$E:$E,$F$159,DATA_GOC!$F:$F,"Xuất nội bộ từ téc",DATA_GOC!$B:$B,S$167))</f>
        <v>0</v>
      </c>
      <c r="T205" s="128">
        <f>IF(T$167="","",SUMIFS(DATA_GOC!$H:$H,DATA_GOC!$A:$A,"BOM",DATA_GOC!$D:$D,$B205,DATA_GOC!$E:$E,$F$159,DATA_GOC!$F:$F,"Xuất nội bộ từ téc",DATA_GOC!$B:$B,T$167))</f>
        <v>0</v>
      </c>
      <c r="U205" s="128">
        <f>IF(U$167="","",SUMIFS(DATA_GOC!$H:$H,DATA_GOC!$A:$A,"BOM",DATA_GOC!$D:$D,$B205,DATA_GOC!$E:$E,$F$159,DATA_GOC!$F:$F,"Xuất nội bộ từ téc",DATA_GOC!$B:$B,U$167))</f>
        <v>520</v>
      </c>
      <c r="V205" s="128">
        <f>IF(V$167="","",SUMIFS(DATA_GOC!$H:$H,DATA_GOC!$A:$A,"BOM",DATA_GOC!$D:$D,$B205,DATA_GOC!$E:$E,$F$159,DATA_GOC!$F:$F,"Xuất nội bộ từ téc",DATA_GOC!$B:$B,V$167))</f>
        <v>0</v>
      </c>
      <c r="W205" s="128">
        <f>IF(W$167="","",SUMIFS(DATA_GOC!$H:$H,DATA_GOC!$A:$A,"BOM",DATA_GOC!$D:$D,$B205,DATA_GOC!$E:$E,$F$159,DATA_GOC!$F:$F,"Xuất nội bộ từ téc",DATA_GOC!$B:$B,W$167))</f>
        <v>0</v>
      </c>
      <c r="X205" s="128">
        <f>IF(X$167="","",SUMIFS(DATA_GOC!$H:$H,DATA_GOC!$A:$A,"BOM",DATA_GOC!$D:$D,$B205,DATA_GOC!$E:$E,$F$159,DATA_GOC!$F:$F,"Xuất nội bộ từ téc",DATA_GOC!$B:$B,X$167))</f>
        <v>0</v>
      </c>
      <c r="Y205" s="128" t="str">
        <f>IF(Y$167="","",SUMIFS(DATA_GOC!$H:$H,DATA_GOC!$A:$A,"BOM",DATA_GOC!$D:$D,$B205,DATA_GOC!$E:$E,$F$159,DATA_GOC!$F:$F,"Xuất nội bộ từ téc",DATA_GOC!$B:$B,Y$167))</f>
        <v/>
      </c>
      <c r="Z205" s="128" t="str">
        <f>IF(Z$167="","",SUMIFS(DATA_GOC!$H:$H,DATA_GOC!$A:$A,"BOM",DATA_GOC!$D:$D,$B205,DATA_GOC!$E:$E,$F$159,DATA_GOC!$F:$F,"Xuất nội bộ từ téc",DATA_GOC!$B:$B,Z$167))</f>
        <v/>
      </c>
      <c r="AA205" s="128" t="str">
        <f>IF(AA$167="","",SUMIFS(DATA_GOC!$H:$H,DATA_GOC!$A:$A,"BOM",DATA_GOC!$D:$D,$B205,DATA_GOC!$E:$E,$F$159,DATA_GOC!$F:$F,"Xuất nội bộ từ téc",DATA_GOC!$B:$B,AA$167))</f>
        <v/>
      </c>
      <c r="AB205" s="128" t="str">
        <f>IF(AB$167="","",SUMIFS(DATA_GOC!$H:$H,DATA_GOC!$A:$A,"BOM",DATA_GOC!$D:$D,$B205,DATA_GOC!$E:$E,$F$159,DATA_GOC!$F:$F,"Xuất nội bộ từ téc",DATA_GOC!$B:$B,AB$167))</f>
        <v/>
      </c>
      <c r="AC205" s="128" t="str">
        <f>IF(AC$167="","",SUMIFS(DATA_GOC!$H:$H,DATA_GOC!$A:$A,"BOM",DATA_GOC!$D:$D,$B205,DATA_GOC!$E:$E,$F$159,DATA_GOC!$F:$F,"Xuất nội bộ từ téc",DATA_GOC!$B:$B,AC$167))</f>
        <v/>
      </c>
      <c r="AD205" s="128" t="str">
        <f>IF(AD$167="","",SUMIFS(DATA_GOC!$H:$H,DATA_GOC!$A:$A,"BOM",DATA_GOC!$D:$D,$B205,DATA_GOC!$E:$E,$F$159,DATA_GOC!$F:$F,"Xuất nội bộ từ téc",DATA_GOC!$B:$B,AD$167))</f>
        <v/>
      </c>
      <c r="AE205" s="128" t="str">
        <f>IF(AE$167="","",SUMIFS(DATA_GOC!$H:$H,DATA_GOC!$A:$A,"BOM",DATA_GOC!$D:$D,$B205,DATA_GOC!$E:$E,$F$159,DATA_GOC!$F:$F,"Xuất nội bộ từ téc",DATA_GOC!$B:$B,AE$167))</f>
        <v/>
      </c>
      <c r="AF205" s="128" t="str">
        <f>IF(AF$167="","",SUMIFS(DATA_GOC!$H:$H,DATA_GOC!$A:$A,"BOM",DATA_GOC!$D:$D,$B205,DATA_GOC!$E:$E,$F$159,DATA_GOC!$F:$F,"Xuất nội bộ từ téc",DATA_GOC!$B:$B,AF$167))</f>
        <v/>
      </c>
      <c r="AG205" s="128" t="str">
        <f>IF(AG$167="","",SUMIFS(DATA_GOC!$H:$H,DATA_GOC!$A:$A,"BOM",DATA_GOC!$D:$D,$B205,DATA_GOC!$E:$E,$F$159,DATA_GOC!$F:$F,"Xuất nội bộ từ téc",DATA_GOC!$B:$B,AG$167))</f>
        <v/>
      </c>
      <c r="AH205" s="129">
        <f>IF($B205="","",SUMIFS(DATA_GOC!$H:$H,DATA_GOC!$A:$A,"BOM",DATA_GOC!$D:$D,$B205,DATA_GOC!$E:$E,$F$159,DATA_GOC!$F:$F,"Xuất nội bộ từ téc",DATA_GOC!$B:$B,"&gt;="&amp;$H$159,DATA_GOC!$B:$B,"&lt;="&amp;$J$159))</f>
        <v>1248</v>
      </c>
      <c r="AI205" s="130">
        <f t="shared" si="16"/>
        <v>0.09050692581</v>
      </c>
      <c r="AJ205" s="129">
        <f t="shared" si="17"/>
        <v>33.578</v>
      </c>
      <c r="AK205" s="129">
        <f t="shared" si="18"/>
        <v>0</v>
      </c>
      <c r="AL205" s="129">
        <f t="shared" si="19"/>
        <v>1281.578</v>
      </c>
    </row>
    <row r="206" ht="21.75" hidden="1" customHeight="1">
      <c r="A206" s="126">
        <f t="shared" si="15"/>
        <v>39</v>
      </c>
      <c r="B206" s="127" t="str">
        <f t="array" ref="B206">IFERROR(IF(INDEX(DANH_MUC!$E:$E,42)="","",INDEX(DANH_MUC!$E:$E,42)),"")</f>
        <v>28H01070</v>
      </c>
      <c r="C206" s="128">
        <f>IF(C$167="","",SUMIFS(DATA_GOC!$H:$H,DATA_GOC!$A:$A,"BOM",DATA_GOC!$D:$D,$B206,DATA_GOC!$E:$E,$F$159,DATA_GOC!$F:$F,"Xuất nội bộ từ téc",DATA_GOC!$B:$B,C$167))</f>
        <v>0</v>
      </c>
      <c r="D206" s="128">
        <f>IF(D$167="","",SUMIFS(DATA_GOC!$H:$H,DATA_GOC!$A:$A,"BOM",DATA_GOC!$D:$D,$B206,DATA_GOC!$E:$E,$F$159,DATA_GOC!$F:$F,"Xuất nội bộ từ téc",DATA_GOC!$B:$B,D$167))</f>
        <v>0</v>
      </c>
      <c r="E206" s="128">
        <f>IF(E$167="","",SUMIFS(DATA_GOC!$H:$H,DATA_GOC!$A:$A,"BOM",DATA_GOC!$D:$D,$B206,DATA_GOC!$E:$E,$F$159,DATA_GOC!$F:$F,"Xuất nội bộ từ téc",DATA_GOC!$B:$B,E$167))</f>
        <v>0</v>
      </c>
      <c r="F206" s="128">
        <f>IF(F$167="","",SUMIFS(DATA_GOC!$H:$H,DATA_GOC!$A:$A,"BOM",DATA_GOC!$D:$D,$B206,DATA_GOC!$E:$E,$F$159,DATA_GOC!$F:$F,"Xuất nội bộ từ téc",DATA_GOC!$B:$B,F$167))</f>
        <v>0</v>
      </c>
      <c r="G206" s="128">
        <f>IF(G$167="","",SUMIFS(DATA_GOC!$H:$H,DATA_GOC!$A:$A,"BOM",DATA_GOC!$D:$D,$B206,DATA_GOC!$E:$E,$F$159,DATA_GOC!$F:$F,"Xuất nội bộ từ téc",DATA_GOC!$B:$B,G$167))</f>
        <v>0</v>
      </c>
      <c r="H206" s="128">
        <f>IF(H$167="","",SUMIFS(DATA_GOC!$H:$H,DATA_GOC!$A:$A,"BOM",DATA_GOC!$D:$D,$B206,DATA_GOC!$E:$E,$F$159,DATA_GOC!$F:$F,"Xuất nội bộ từ téc",DATA_GOC!$B:$B,H$167))</f>
        <v>0</v>
      </c>
      <c r="I206" s="128">
        <f>IF(I$167="","",SUMIFS(DATA_GOC!$H:$H,DATA_GOC!$A:$A,"BOM",DATA_GOC!$D:$D,$B206,DATA_GOC!$E:$E,$F$159,DATA_GOC!$F:$F,"Xuất nội bộ từ téc",DATA_GOC!$B:$B,I$167))</f>
        <v>0</v>
      </c>
      <c r="J206" s="128">
        <f>IF(J$167="","",SUMIFS(DATA_GOC!$H:$H,DATA_GOC!$A:$A,"BOM",DATA_GOC!$D:$D,$B206,DATA_GOC!$E:$E,$F$159,DATA_GOC!$F:$F,"Xuất nội bộ từ téc",DATA_GOC!$B:$B,J$167))</f>
        <v>0</v>
      </c>
      <c r="K206" s="128">
        <f>IF(K$167="","",SUMIFS(DATA_GOC!$H:$H,DATA_GOC!$A:$A,"BOM",DATA_GOC!$D:$D,$B206,DATA_GOC!$E:$E,$F$159,DATA_GOC!$F:$F,"Xuất nội bộ từ téc",DATA_GOC!$B:$B,K$167))</f>
        <v>0</v>
      </c>
      <c r="L206" s="128">
        <f>IF(L$167="","",SUMIFS(DATA_GOC!$H:$H,DATA_GOC!$A:$A,"BOM",DATA_GOC!$D:$D,$B206,DATA_GOC!$E:$E,$F$159,DATA_GOC!$F:$F,"Xuất nội bộ từ téc",DATA_GOC!$B:$B,L$167))</f>
        <v>0</v>
      </c>
      <c r="M206" s="128">
        <f>IF(M$167="","",SUMIFS(DATA_GOC!$H:$H,DATA_GOC!$A:$A,"BOM",DATA_GOC!$D:$D,$B206,DATA_GOC!$E:$E,$F$159,DATA_GOC!$F:$F,"Xuất nội bộ từ téc",DATA_GOC!$B:$B,M$167))</f>
        <v>0</v>
      </c>
      <c r="N206" s="128">
        <f>IF(N$167="","",SUMIFS(DATA_GOC!$H:$H,DATA_GOC!$A:$A,"BOM",DATA_GOC!$D:$D,$B206,DATA_GOC!$E:$E,$F$159,DATA_GOC!$F:$F,"Xuất nội bộ từ téc",DATA_GOC!$B:$B,N$167))</f>
        <v>0</v>
      </c>
      <c r="O206" s="128">
        <f>IF(O$167="","",SUMIFS(DATA_GOC!$H:$H,DATA_GOC!$A:$A,"BOM",DATA_GOC!$D:$D,$B206,DATA_GOC!$E:$E,$F$159,DATA_GOC!$F:$F,"Xuất nội bộ từ téc",DATA_GOC!$B:$B,O$167))</f>
        <v>0</v>
      </c>
      <c r="P206" s="128">
        <f>IF(P$167="","",SUMIFS(DATA_GOC!$H:$H,DATA_GOC!$A:$A,"BOM",DATA_GOC!$D:$D,$B206,DATA_GOC!$E:$E,$F$159,DATA_GOC!$F:$F,"Xuất nội bộ từ téc",DATA_GOC!$B:$B,P$167))</f>
        <v>0</v>
      </c>
      <c r="Q206" s="128">
        <f>IF(Q$167="","",SUMIFS(DATA_GOC!$H:$H,DATA_GOC!$A:$A,"BOM",DATA_GOC!$D:$D,$B206,DATA_GOC!$E:$E,$F$159,DATA_GOC!$F:$F,"Xuất nội bộ từ téc",DATA_GOC!$B:$B,Q$167))</f>
        <v>0</v>
      </c>
      <c r="R206" s="128">
        <f>IF(R$167="","",SUMIFS(DATA_GOC!$H:$H,DATA_GOC!$A:$A,"BOM",DATA_GOC!$D:$D,$B206,DATA_GOC!$E:$E,$F$159,DATA_GOC!$F:$F,"Xuất nội bộ từ téc",DATA_GOC!$B:$B,R$167))</f>
        <v>0</v>
      </c>
      <c r="S206" s="128">
        <f>IF(S$167="","",SUMIFS(DATA_GOC!$H:$H,DATA_GOC!$A:$A,"BOM",DATA_GOC!$D:$D,$B206,DATA_GOC!$E:$E,$F$159,DATA_GOC!$F:$F,"Xuất nội bộ từ téc",DATA_GOC!$B:$B,S$167))</f>
        <v>0</v>
      </c>
      <c r="T206" s="128">
        <f>IF(T$167="","",SUMIFS(DATA_GOC!$H:$H,DATA_GOC!$A:$A,"BOM",DATA_GOC!$D:$D,$B206,DATA_GOC!$E:$E,$F$159,DATA_GOC!$F:$F,"Xuất nội bộ từ téc",DATA_GOC!$B:$B,T$167))</f>
        <v>0</v>
      </c>
      <c r="U206" s="128">
        <f>IF(U$167="","",SUMIFS(DATA_GOC!$H:$H,DATA_GOC!$A:$A,"BOM",DATA_GOC!$D:$D,$B206,DATA_GOC!$E:$E,$F$159,DATA_GOC!$F:$F,"Xuất nội bộ từ téc",DATA_GOC!$B:$B,U$167))</f>
        <v>0</v>
      </c>
      <c r="V206" s="128">
        <f>IF(V$167="","",SUMIFS(DATA_GOC!$H:$H,DATA_GOC!$A:$A,"BOM",DATA_GOC!$D:$D,$B206,DATA_GOC!$E:$E,$F$159,DATA_GOC!$F:$F,"Xuất nội bộ từ téc",DATA_GOC!$B:$B,V$167))</f>
        <v>0</v>
      </c>
      <c r="W206" s="128">
        <f>IF(W$167="","",SUMIFS(DATA_GOC!$H:$H,DATA_GOC!$A:$A,"BOM",DATA_GOC!$D:$D,$B206,DATA_GOC!$E:$E,$F$159,DATA_GOC!$F:$F,"Xuất nội bộ từ téc",DATA_GOC!$B:$B,W$167))</f>
        <v>0</v>
      </c>
      <c r="X206" s="128">
        <f>IF(X$167="","",SUMIFS(DATA_GOC!$H:$H,DATA_GOC!$A:$A,"BOM",DATA_GOC!$D:$D,$B206,DATA_GOC!$E:$E,$F$159,DATA_GOC!$F:$F,"Xuất nội bộ từ téc",DATA_GOC!$B:$B,X$167))</f>
        <v>0</v>
      </c>
      <c r="Y206" s="128" t="str">
        <f>IF(Y$167="","",SUMIFS(DATA_GOC!$H:$H,DATA_GOC!$A:$A,"BOM",DATA_GOC!$D:$D,$B206,DATA_GOC!$E:$E,$F$159,DATA_GOC!$F:$F,"Xuất nội bộ từ téc",DATA_GOC!$B:$B,Y$167))</f>
        <v/>
      </c>
      <c r="Z206" s="128" t="str">
        <f>IF(Z$167="","",SUMIFS(DATA_GOC!$H:$H,DATA_GOC!$A:$A,"BOM",DATA_GOC!$D:$D,$B206,DATA_GOC!$E:$E,$F$159,DATA_GOC!$F:$F,"Xuất nội bộ từ téc",DATA_GOC!$B:$B,Z$167))</f>
        <v/>
      </c>
      <c r="AA206" s="128" t="str">
        <f>IF(AA$167="","",SUMIFS(DATA_GOC!$H:$H,DATA_GOC!$A:$A,"BOM",DATA_GOC!$D:$D,$B206,DATA_GOC!$E:$E,$F$159,DATA_GOC!$F:$F,"Xuất nội bộ từ téc",DATA_GOC!$B:$B,AA$167))</f>
        <v/>
      </c>
      <c r="AB206" s="128" t="str">
        <f>IF(AB$167="","",SUMIFS(DATA_GOC!$H:$H,DATA_GOC!$A:$A,"BOM",DATA_GOC!$D:$D,$B206,DATA_GOC!$E:$E,$F$159,DATA_GOC!$F:$F,"Xuất nội bộ từ téc",DATA_GOC!$B:$B,AB$167))</f>
        <v/>
      </c>
      <c r="AC206" s="128" t="str">
        <f>IF(AC$167="","",SUMIFS(DATA_GOC!$H:$H,DATA_GOC!$A:$A,"BOM",DATA_GOC!$D:$D,$B206,DATA_GOC!$E:$E,$F$159,DATA_GOC!$F:$F,"Xuất nội bộ từ téc",DATA_GOC!$B:$B,AC$167))</f>
        <v/>
      </c>
      <c r="AD206" s="128" t="str">
        <f>IF(AD$167="","",SUMIFS(DATA_GOC!$H:$H,DATA_GOC!$A:$A,"BOM",DATA_GOC!$D:$D,$B206,DATA_GOC!$E:$E,$F$159,DATA_GOC!$F:$F,"Xuất nội bộ từ téc",DATA_GOC!$B:$B,AD$167))</f>
        <v/>
      </c>
      <c r="AE206" s="128" t="str">
        <f>IF(AE$167="","",SUMIFS(DATA_GOC!$H:$H,DATA_GOC!$A:$A,"BOM",DATA_GOC!$D:$D,$B206,DATA_GOC!$E:$E,$F$159,DATA_GOC!$F:$F,"Xuất nội bộ từ téc",DATA_GOC!$B:$B,AE$167))</f>
        <v/>
      </c>
      <c r="AF206" s="128" t="str">
        <f>IF(AF$167="","",SUMIFS(DATA_GOC!$H:$H,DATA_GOC!$A:$A,"BOM",DATA_GOC!$D:$D,$B206,DATA_GOC!$E:$E,$F$159,DATA_GOC!$F:$F,"Xuất nội bộ từ téc",DATA_GOC!$B:$B,AF$167))</f>
        <v/>
      </c>
      <c r="AG206" s="128" t="str">
        <f>IF(AG$167="","",SUMIFS(DATA_GOC!$H:$H,DATA_GOC!$A:$A,"BOM",DATA_GOC!$D:$D,$B206,DATA_GOC!$E:$E,$F$159,DATA_GOC!$F:$F,"Xuất nội bộ từ téc",DATA_GOC!$B:$B,AG$167))</f>
        <v/>
      </c>
      <c r="AH206" s="129">
        <f>IF($B206="","",SUMIFS(DATA_GOC!$H:$H,DATA_GOC!$A:$A,"BOM",DATA_GOC!$D:$D,$B206,DATA_GOC!$E:$E,$F$159,DATA_GOC!$F:$F,"Xuất nội bộ từ téc",DATA_GOC!$B:$B,"&gt;="&amp;$H$159,DATA_GOC!$B:$B,"&lt;="&amp;$J$159))</f>
        <v>0</v>
      </c>
      <c r="AI206" s="130">
        <f t="shared" si="16"/>
        <v>0</v>
      </c>
      <c r="AJ206" s="129">
        <f t="shared" si="17"/>
        <v>0</v>
      </c>
      <c r="AK206" s="129">
        <f t="shared" si="18"/>
        <v>0</v>
      </c>
      <c r="AL206" s="129">
        <f t="shared" si="19"/>
        <v>0</v>
      </c>
    </row>
    <row r="207" ht="21.75" hidden="1" customHeight="1">
      <c r="A207" s="126">
        <f t="shared" si="15"/>
        <v>40</v>
      </c>
      <c r="B207" s="127" t="str">
        <f t="array" ref="B207">IFERROR(IF(INDEX(DANH_MUC!$E:$E,43)="","",INDEX(DANH_MUC!$E:$E,43)),"")</f>
        <v>28H01364</v>
      </c>
      <c r="C207" s="128">
        <f>IF(C$167="","",SUMIFS(DATA_GOC!$H:$H,DATA_GOC!$A:$A,"BOM",DATA_GOC!$D:$D,$B207,DATA_GOC!$E:$E,$F$159,DATA_GOC!$F:$F,"Xuất nội bộ từ téc",DATA_GOC!$B:$B,C$167))</f>
        <v>0</v>
      </c>
      <c r="D207" s="128">
        <f>IF(D$167="","",SUMIFS(DATA_GOC!$H:$H,DATA_GOC!$A:$A,"BOM",DATA_GOC!$D:$D,$B207,DATA_GOC!$E:$E,$F$159,DATA_GOC!$F:$F,"Xuất nội bộ từ téc",DATA_GOC!$B:$B,D$167))</f>
        <v>0</v>
      </c>
      <c r="E207" s="128">
        <f>IF(E$167="","",SUMIFS(DATA_GOC!$H:$H,DATA_GOC!$A:$A,"BOM",DATA_GOC!$D:$D,$B207,DATA_GOC!$E:$E,$F$159,DATA_GOC!$F:$F,"Xuất nội bộ từ téc",DATA_GOC!$B:$B,E$167))</f>
        <v>0</v>
      </c>
      <c r="F207" s="128">
        <f>IF(F$167="","",SUMIFS(DATA_GOC!$H:$H,DATA_GOC!$A:$A,"BOM",DATA_GOC!$D:$D,$B207,DATA_GOC!$E:$E,$F$159,DATA_GOC!$F:$F,"Xuất nội bộ từ téc",DATA_GOC!$B:$B,F$167))</f>
        <v>0</v>
      </c>
      <c r="G207" s="128">
        <f>IF(G$167="","",SUMIFS(DATA_GOC!$H:$H,DATA_GOC!$A:$A,"BOM",DATA_GOC!$D:$D,$B207,DATA_GOC!$E:$E,$F$159,DATA_GOC!$F:$F,"Xuất nội bộ từ téc",DATA_GOC!$B:$B,G$167))</f>
        <v>0</v>
      </c>
      <c r="H207" s="128">
        <f>IF(H$167="","",SUMIFS(DATA_GOC!$H:$H,DATA_GOC!$A:$A,"BOM",DATA_GOC!$D:$D,$B207,DATA_GOC!$E:$E,$F$159,DATA_GOC!$F:$F,"Xuất nội bộ từ téc",DATA_GOC!$B:$B,H$167))</f>
        <v>0</v>
      </c>
      <c r="I207" s="128">
        <f>IF(I$167="","",SUMIFS(DATA_GOC!$H:$H,DATA_GOC!$A:$A,"BOM",DATA_GOC!$D:$D,$B207,DATA_GOC!$E:$E,$F$159,DATA_GOC!$F:$F,"Xuất nội bộ từ téc",DATA_GOC!$B:$B,I$167))</f>
        <v>0</v>
      </c>
      <c r="J207" s="128">
        <f>IF(J$167="","",SUMIFS(DATA_GOC!$H:$H,DATA_GOC!$A:$A,"BOM",DATA_GOC!$D:$D,$B207,DATA_GOC!$E:$E,$F$159,DATA_GOC!$F:$F,"Xuất nội bộ từ téc",DATA_GOC!$B:$B,J$167))</f>
        <v>0</v>
      </c>
      <c r="K207" s="128">
        <f>IF(K$167="","",SUMIFS(DATA_GOC!$H:$H,DATA_GOC!$A:$A,"BOM",DATA_GOC!$D:$D,$B207,DATA_GOC!$E:$E,$F$159,DATA_GOC!$F:$F,"Xuất nội bộ từ téc",DATA_GOC!$B:$B,K$167))</f>
        <v>0</v>
      </c>
      <c r="L207" s="128">
        <f>IF(L$167="","",SUMIFS(DATA_GOC!$H:$H,DATA_GOC!$A:$A,"BOM",DATA_GOC!$D:$D,$B207,DATA_GOC!$E:$E,$F$159,DATA_GOC!$F:$F,"Xuất nội bộ từ téc",DATA_GOC!$B:$B,L$167))</f>
        <v>0</v>
      </c>
      <c r="M207" s="128">
        <f>IF(M$167="","",SUMIFS(DATA_GOC!$H:$H,DATA_GOC!$A:$A,"BOM",DATA_GOC!$D:$D,$B207,DATA_GOC!$E:$E,$F$159,DATA_GOC!$F:$F,"Xuất nội bộ từ téc",DATA_GOC!$B:$B,M$167))</f>
        <v>360</v>
      </c>
      <c r="N207" s="128">
        <f>IF(N$167="","",SUMIFS(DATA_GOC!$H:$H,DATA_GOC!$A:$A,"BOM",DATA_GOC!$D:$D,$B207,DATA_GOC!$E:$E,$F$159,DATA_GOC!$F:$F,"Xuất nội bộ từ téc",DATA_GOC!$B:$B,N$167))</f>
        <v>0</v>
      </c>
      <c r="O207" s="128">
        <f>IF(O$167="","",SUMIFS(DATA_GOC!$H:$H,DATA_GOC!$A:$A,"BOM",DATA_GOC!$D:$D,$B207,DATA_GOC!$E:$E,$F$159,DATA_GOC!$F:$F,"Xuất nội bộ từ téc",DATA_GOC!$B:$B,O$167))</f>
        <v>0</v>
      </c>
      <c r="P207" s="128">
        <f>IF(P$167="","",SUMIFS(DATA_GOC!$H:$H,DATA_GOC!$A:$A,"BOM",DATA_GOC!$D:$D,$B207,DATA_GOC!$E:$E,$F$159,DATA_GOC!$F:$F,"Xuất nội bộ từ téc",DATA_GOC!$B:$B,P$167))</f>
        <v>0</v>
      </c>
      <c r="Q207" s="128">
        <f>IF(Q$167="","",SUMIFS(DATA_GOC!$H:$H,DATA_GOC!$A:$A,"BOM",DATA_GOC!$D:$D,$B207,DATA_GOC!$E:$E,$F$159,DATA_GOC!$F:$F,"Xuất nội bộ từ téc",DATA_GOC!$B:$B,Q$167))</f>
        <v>0</v>
      </c>
      <c r="R207" s="128">
        <f>IF(R$167="","",SUMIFS(DATA_GOC!$H:$H,DATA_GOC!$A:$A,"BOM",DATA_GOC!$D:$D,$B207,DATA_GOC!$E:$E,$F$159,DATA_GOC!$F:$F,"Xuất nội bộ từ téc",DATA_GOC!$B:$B,R$167))</f>
        <v>0</v>
      </c>
      <c r="S207" s="128">
        <f>IF(S$167="","",SUMIFS(DATA_GOC!$H:$H,DATA_GOC!$A:$A,"BOM",DATA_GOC!$D:$D,$B207,DATA_GOC!$E:$E,$F$159,DATA_GOC!$F:$F,"Xuất nội bộ từ téc",DATA_GOC!$B:$B,S$167))</f>
        <v>0</v>
      </c>
      <c r="T207" s="128">
        <f>IF(T$167="","",SUMIFS(DATA_GOC!$H:$H,DATA_GOC!$A:$A,"BOM",DATA_GOC!$D:$D,$B207,DATA_GOC!$E:$E,$F$159,DATA_GOC!$F:$F,"Xuất nội bộ từ téc",DATA_GOC!$B:$B,T$167))</f>
        <v>0</v>
      </c>
      <c r="U207" s="128">
        <f>IF(U$167="","",SUMIFS(DATA_GOC!$H:$H,DATA_GOC!$A:$A,"BOM",DATA_GOC!$D:$D,$B207,DATA_GOC!$E:$E,$F$159,DATA_GOC!$F:$F,"Xuất nội bộ từ téc",DATA_GOC!$B:$B,U$167))</f>
        <v>0</v>
      </c>
      <c r="V207" s="128">
        <f>IF(V$167="","",SUMIFS(DATA_GOC!$H:$H,DATA_GOC!$A:$A,"BOM",DATA_GOC!$D:$D,$B207,DATA_GOC!$E:$E,$F$159,DATA_GOC!$F:$F,"Xuất nội bộ từ téc",DATA_GOC!$B:$B,V$167))</f>
        <v>350</v>
      </c>
      <c r="W207" s="128">
        <f>IF(W$167="","",SUMIFS(DATA_GOC!$H:$H,DATA_GOC!$A:$A,"BOM",DATA_GOC!$D:$D,$B207,DATA_GOC!$E:$E,$F$159,DATA_GOC!$F:$F,"Xuất nội bộ từ téc",DATA_GOC!$B:$B,W$167))</f>
        <v>0</v>
      </c>
      <c r="X207" s="128">
        <f>IF(X$167="","",SUMIFS(DATA_GOC!$H:$H,DATA_GOC!$A:$A,"BOM",DATA_GOC!$D:$D,$B207,DATA_GOC!$E:$E,$F$159,DATA_GOC!$F:$F,"Xuất nội bộ từ téc",DATA_GOC!$B:$B,X$167))</f>
        <v>0</v>
      </c>
      <c r="Y207" s="128" t="str">
        <f>IF(Y$167="","",SUMIFS(DATA_GOC!$H:$H,DATA_GOC!$A:$A,"BOM",DATA_GOC!$D:$D,$B207,DATA_GOC!$E:$E,$F$159,DATA_GOC!$F:$F,"Xuất nội bộ từ téc",DATA_GOC!$B:$B,Y$167))</f>
        <v/>
      </c>
      <c r="Z207" s="128" t="str">
        <f>IF(Z$167="","",SUMIFS(DATA_GOC!$H:$H,DATA_GOC!$A:$A,"BOM",DATA_GOC!$D:$D,$B207,DATA_GOC!$E:$E,$F$159,DATA_GOC!$F:$F,"Xuất nội bộ từ téc",DATA_GOC!$B:$B,Z$167))</f>
        <v/>
      </c>
      <c r="AA207" s="128" t="str">
        <f>IF(AA$167="","",SUMIFS(DATA_GOC!$H:$H,DATA_GOC!$A:$A,"BOM",DATA_GOC!$D:$D,$B207,DATA_GOC!$E:$E,$F$159,DATA_GOC!$F:$F,"Xuất nội bộ từ téc",DATA_GOC!$B:$B,AA$167))</f>
        <v/>
      </c>
      <c r="AB207" s="128" t="str">
        <f>IF(AB$167="","",SUMIFS(DATA_GOC!$H:$H,DATA_GOC!$A:$A,"BOM",DATA_GOC!$D:$D,$B207,DATA_GOC!$E:$E,$F$159,DATA_GOC!$F:$F,"Xuất nội bộ từ téc",DATA_GOC!$B:$B,AB$167))</f>
        <v/>
      </c>
      <c r="AC207" s="128" t="str">
        <f>IF(AC$167="","",SUMIFS(DATA_GOC!$H:$H,DATA_GOC!$A:$A,"BOM",DATA_GOC!$D:$D,$B207,DATA_GOC!$E:$E,$F$159,DATA_GOC!$F:$F,"Xuất nội bộ từ téc",DATA_GOC!$B:$B,AC$167))</f>
        <v/>
      </c>
      <c r="AD207" s="128" t="str">
        <f>IF(AD$167="","",SUMIFS(DATA_GOC!$H:$H,DATA_GOC!$A:$A,"BOM",DATA_GOC!$D:$D,$B207,DATA_GOC!$E:$E,$F$159,DATA_GOC!$F:$F,"Xuất nội bộ từ téc",DATA_GOC!$B:$B,AD$167))</f>
        <v/>
      </c>
      <c r="AE207" s="128" t="str">
        <f>IF(AE$167="","",SUMIFS(DATA_GOC!$H:$H,DATA_GOC!$A:$A,"BOM",DATA_GOC!$D:$D,$B207,DATA_GOC!$E:$E,$F$159,DATA_GOC!$F:$F,"Xuất nội bộ từ téc",DATA_GOC!$B:$B,AE$167))</f>
        <v/>
      </c>
      <c r="AF207" s="128" t="str">
        <f>IF(AF$167="","",SUMIFS(DATA_GOC!$H:$H,DATA_GOC!$A:$A,"BOM",DATA_GOC!$D:$D,$B207,DATA_GOC!$E:$E,$F$159,DATA_GOC!$F:$F,"Xuất nội bộ từ téc",DATA_GOC!$B:$B,AF$167))</f>
        <v/>
      </c>
      <c r="AG207" s="128" t="str">
        <f>IF(AG$167="","",SUMIFS(DATA_GOC!$H:$H,DATA_GOC!$A:$A,"BOM",DATA_GOC!$D:$D,$B207,DATA_GOC!$E:$E,$F$159,DATA_GOC!$F:$F,"Xuất nội bộ từ téc",DATA_GOC!$B:$B,AG$167))</f>
        <v/>
      </c>
      <c r="AH207" s="129">
        <f>IF($B207="","",SUMIFS(DATA_GOC!$H:$H,DATA_GOC!$A:$A,"BOM",DATA_GOC!$D:$D,$B207,DATA_GOC!$E:$E,$F$159,DATA_GOC!$F:$F,"Xuất nội bộ từ téc",DATA_GOC!$B:$B,"&gt;="&amp;$H$159,DATA_GOC!$B:$B,"&lt;="&amp;$J$159))</f>
        <v>710</v>
      </c>
      <c r="AI207" s="130">
        <f t="shared" si="16"/>
        <v>0.05149031837</v>
      </c>
      <c r="AJ207" s="129">
        <f t="shared" si="17"/>
        <v>19.103</v>
      </c>
      <c r="AK207" s="129">
        <f t="shared" si="18"/>
        <v>0</v>
      </c>
      <c r="AL207" s="129">
        <f t="shared" si="19"/>
        <v>729.103</v>
      </c>
    </row>
    <row r="208" ht="21.75" hidden="1" customHeight="1">
      <c r="A208" s="126">
        <f t="shared" si="15"/>
        <v>41</v>
      </c>
      <c r="B208" s="127" t="str">
        <f t="array" ref="B208">IFERROR(IF(INDEX(DANH_MUC!$E:$E,44)="","",INDEX(DANH_MUC!$E:$E,44)),"")</f>
        <v>29E17269</v>
      </c>
      <c r="C208" s="128">
        <f>IF(C$167="","",SUMIFS(DATA_GOC!$H:$H,DATA_GOC!$A:$A,"BOM",DATA_GOC!$D:$D,$B208,DATA_GOC!$E:$E,$F$159,DATA_GOC!$F:$F,"Xuất nội bộ từ téc",DATA_GOC!$B:$B,C$167))</f>
        <v>0</v>
      </c>
      <c r="D208" s="128">
        <f>IF(D$167="","",SUMIFS(DATA_GOC!$H:$H,DATA_GOC!$A:$A,"BOM",DATA_GOC!$D:$D,$B208,DATA_GOC!$E:$E,$F$159,DATA_GOC!$F:$F,"Xuất nội bộ từ téc",DATA_GOC!$B:$B,D$167))</f>
        <v>0</v>
      </c>
      <c r="E208" s="128">
        <f>IF(E$167="","",SUMIFS(DATA_GOC!$H:$H,DATA_GOC!$A:$A,"BOM",DATA_GOC!$D:$D,$B208,DATA_GOC!$E:$E,$F$159,DATA_GOC!$F:$F,"Xuất nội bộ từ téc",DATA_GOC!$B:$B,E$167))</f>
        <v>0</v>
      </c>
      <c r="F208" s="128">
        <f>IF(F$167="","",SUMIFS(DATA_GOC!$H:$H,DATA_GOC!$A:$A,"BOM",DATA_GOC!$D:$D,$B208,DATA_GOC!$E:$E,$F$159,DATA_GOC!$F:$F,"Xuất nội bộ từ téc",DATA_GOC!$B:$B,F$167))</f>
        <v>0</v>
      </c>
      <c r="G208" s="128">
        <f>IF(G$167="","",SUMIFS(DATA_GOC!$H:$H,DATA_GOC!$A:$A,"BOM",DATA_GOC!$D:$D,$B208,DATA_GOC!$E:$E,$F$159,DATA_GOC!$F:$F,"Xuất nội bộ từ téc",DATA_GOC!$B:$B,G$167))</f>
        <v>0</v>
      </c>
      <c r="H208" s="128">
        <f>IF(H$167="","",SUMIFS(DATA_GOC!$H:$H,DATA_GOC!$A:$A,"BOM",DATA_GOC!$D:$D,$B208,DATA_GOC!$E:$E,$F$159,DATA_GOC!$F:$F,"Xuất nội bộ từ téc",DATA_GOC!$B:$B,H$167))</f>
        <v>0</v>
      </c>
      <c r="I208" s="128">
        <f>IF(I$167="","",SUMIFS(DATA_GOC!$H:$H,DATA_GOC!$A:$A,"BOM",DATA_GOC!$D:$D,$B208,DATA_GOC!$E:$E,$F$159,DATA_GOC!$F:$F,"Xuất nội bộ từ téc",DATA_GOC!$B:$B,I$167))</f>
        <v>0</v>
      </c>
      <c r="J208" s="128">
        <f>IF(J$167="","",SUMIFS(DATA_GOC!$H:$H,DATA_GOC!$A:$A,"BOM",DATA_GOC!$D:$D,$B208,DATA_GOC!$E:$E,$F$159,DATA_GOC!$F:$F,"Xuất nội bộ từ téc",DATA_GOC!$B:$B,J$167))</f>
        <v>0</v>
      </c>
      <c r="K208" s="128">
        <f>IF(K$167="","",SUMIFS(DATA_GOC!$H:$H,DATA_GOC!$A:$A,"BOM",DATA_GOC!$D:$D,$B208,DATA_GOC!$E:$E,$F$159,DATA_GOC!$F:$F,"Xuất nội bộ từ téc",DATA_GOC!$B:$B,K$167))</f>
        <v>0</v>
      </c>
      <c r="L208" s="128">
        <f>IF(L$167="","",SUMIFS(DATA_GOC!$H:$H,DATA_GOC!$A:$A,"BOM",DATA_GOC!$D:$D,$B208,DATA_GOC!$E:$E,$F$159,DATA_GOC!$F:$F,"Xuất nội bộ từ téc",DATA_GOC!$B:$B,L$167))</f>
        <v>0</v>
      </c>
      <c r="M208" s="128">
        <f>IF(M$167="","",SUMIFS(DATA_GOC!$H:$H,DATA_GOC!$A:$A,"BOM",DATA_GOC!$D:$D,$B208,DATA_GOC!$E:$E,$F$159,DATA_GOC!$F:$F,"Xuất nội bộ từ téc",DATA_GOC!$B:$B,M$167))</f>
        <v>0</v>
      </c>
      <c r="N208" s="128">
        <f>IF(N$167="","",SUMIFS(DATA_GOC!$H:$H,DATA_GOC!$A:$A,"BOM",DATA_GOC!$D:$D,$B208,DATA_GOC!$E:$E,$F$159,DATA_GOC!$F:$F,"Xuất nội bộ từ téc",DATA_GOC!$B:$B,N$167))</f>
        <v>0</v>
      </c>
      <c r="O208" s="128">
        <f>IF(O$167="","",SUMIFS(DATA_GOC!$H:$H,DATA_GOC!$A:$A,"BOM",DATA_GOC!$D:$D,$B208,DATA_GOC!$E:$E,$F$159,DATA_GOC!$F:$F,"Xuất nội bộ từ téc",DATA_GOC!$B:$B,O$167))</f>
        <v>0</v>
      </c>
      <c r="P208" s="128">
        <f>IF(P$167="","",SUMIFS(DATA_GOC!$H:$H,DATA_GOC!$A:$A,"BOM",DATA_GOC!$D:$D,$B208,DATA_GOC!$E:$E,$F$159,DATA_GOC!$F:$F,"Xuất nội bộ từ téc",DATA_GOC!$B:$B,P$167))</f>
        <v>0</v>
      </c>
      <c r="Q208" s="128">
        <f>IF(Q$167="","",SUMIFS(DATA_GOC!$H:$H,DATA_GOC!$A:$A,"BOM",DATA_GOC!$D:$D,$B208,DATA_GOC!$E:$E,$F$159,DATA_GOC!$F:$F,"Xuất nội bộ từ téc",DATA_GOC!$B:$B,Q$167))</f>
        <v>0</v>
      </c>
      <c r="R208" s="128">
        <f>IF(R$167="","",SUMIFS(DATA_GOC!$H:$H,DATA_GOC!$A:$A,"BOM",DATA_GOC!$D:$D,$B208,DATA_GOC!$E:$E,$F$159,DATA_GOC!$F:$F,"Xuất nội bộ từ téc",DATA_GOC!$B:$B,R$167))</f>
        <v>0</v>
      </c>
      <c r="S208" s="128">
        <f>IF(S$167="","",SUMIFS(DATA_GOC!$H:$H,DATA_GOC!$A:$A,"BOM",DATA_GOC!$D:$D,$B208,DATA_GOC!$E:$E,$F$159,DATA_GOC!$F:$F,"Xuất nội bộ từ téc",DATA_GOC!$B:$B,S$167))</f>
        <v>0</v>
      </c>
      <c r="T208" s="128">
        <f>IF(T$167="","",SUMIFS(DATA_GOC!$H:$H,DATA_GOC!$A:$A,"BOM",DATA_GOC!$D:$D,$B208,DATA_GOC!$E:$E,$F$159,DATA_GOC!$F:$F,"Xuất nội bộ từ téc",DATA_GOC!$B:$B,T$167))</f>
        <v>0</v>
      </c>
      <c r="U208" s="128">
        <f>IF(U$167="","",SUMIFS(DATA_GOC!$H:$H,DATA_GOC!$A:$A,"BOM",DATA_GOC!$D:$D,$B208,DATA_GOC!$E:$E,$F$159,DATA_GOC!$F:$F,"Xuất nội bộ từ téc",DATA_GOC!$B:$B,U$167))</f>
        <v>0</v>
      </c>
      <c r="V208" s="128">
        <f>IF(V$167="","",SUMIFS(DATA_GOC!$H:$H,DATA_GOC!$A:$A,"BOM",DATA_GOC!$D:$D,$B208,DATA_GOC!$E:$E,$F$159,DATA_GOC!$F:$F,"Xuất nội bộ từ téc",DATA_GOC!$B:$B,V$167))</f>
        <v>274</v>
      </c>
      <c r="W208" s="128">
        <f>IF(W$167="","",SUMIFS(DATA_GOC!$H:$H,DATA_GOC!$A:$A,"BOM",DATA_GOC!$D:$D,$B208,DATA_GOC!$E:$E,$F$159,DATA_GOC!$F:$F,"Xuất nội bộ từ téc",DATA_GOC!$B:$B,W$167))</f>
        <v>0</v>
      </c>
      <c r="X208" s="128">
        <f>IF(X$167="","",SUMIFS(DATA_GOC!$H:$H,DATA_GOC!$A:$A,"BOM",DATA_GOC!$D:$D,$B208,DATA_GOC!$E:$E,$F$159,DATA_GOC!$F:$F,"Xuất nội bộ từ téc",DATA_GOC!$B:$B,X$167))</f>
        <v>0</v>
      </c>
      <c r="Y208" s="128" t="str">
        <f>IF(Y$167="","",SUMIFS(DATA_GOC!$H:$H,DATA_GOC!$A:$A,"BOM",DATA_GOC!$D:$D,$B208,DATA_GOC!$E:$E,$F$159,DATA_GOC!$F:$F,"Xuất nội bộ từ téc",DATA_GOC!$B:$B,Y$167))</f>
        <v/>
      </c>
      <c r="Z208" s="128" t="str">
        <f>IF(Z$167="","",SUMIFS(DATA_GOC!$H:$H,DATA_GOC!$A:$A,"BOM",DATA_GOC!$D:$D,$B208,DATA_GOC!$E:$E,$F$159,DATA_GOC!$F:$F,"Xuất nội bộ từ téc",DATA_GOC!$B:$B,Z$167))</f>
        <v/>
      </c>
      <c r="AA208" s="128" t="str">
        <f>IF(AA$167="","",SUMIFS(DATA_GOC!$H:$H,DATA_GOC!$A:$A,"BOM",DATA_GOC!$D:$D,$B208,DATA_GOC!$E:$E,$F$159,DATA_GOC!$F:$F,"Xuất nội bộ từ téc",DATA_GOC!$B:$B,AA$167))</f>
        <v/>
      </c>
      <c r="AB208" s="128" t="str">
        <f>IF(AB$167="","",SUMIFS(DATA_GOC!$H:$H,DATA_GOC!$A:$A,"BOM",DATA_GOC!$D:$D,$B208,DATA_GOC!$E:$E,$F$159,DATA_GOC!$F:$F,"Xuất nội bộ từ téc",DATA_GOC!$B:$B,AB$167))</f>
        <v/>
      </c>
      <c r="AC208" s="128" t="str">
        <f>IF(AC$167="","",SUMIFS(DATA_GOC!$H:$H,DATA_GOC!$A:$A,"BOM",DATA_GOC!$D:$D,$B208,DATA_GOC!$E:$E,$F$159,DATA_GOC!$F:$F,"Xuất nội bộ từ téc",DATA_GOC!$B:$B,AC$167))</f>
        <v/>
      </c>
      <c r="AD208" s="128" t="str">
        <f>IF(AD$167="","",SUMIFS(DATA_GOC!$H:$H,DATA_GOC!$A:$A,"BOM",DATA_GOC!$D:$D,$B208,DATA_GOC!$E:$E,$F$159,DATA_GOC!$F:$F,"Xuất nội bộ từ téc",DATA_GOC!$B:$B,AD$167))</f>
        <v/>
      </c>
      <c r="AE208" s="128" t="str">
        <f>IF(AE$167="","",SUMIFS(DATA_GOC!$H:$H,DATA_GOC!$A:$A,"BOM",DATA_GOC!$D:$D,$B208,DATA_GOC!$E:$E,$F$159,DATA_GOC!$F:$F,"Xuất nội bộ từ téc",DATA_GOC!$B:$B,AE$167))</f>
        <v/>
      </c>
      <c r="AF208" s="128" t="str">
        <f>IF(AF$167="","",SUMIFS(DATA_GOC!$H:$H,DATA_GOC!$A:$A,"BOM",DATA_GOC!$D:$D,$B208,DATA_GOC!$E:$E,$F$159,DATA_GOC!$F:$F,"Xuất nội bộ từ téc",DATA_GOC!$B:$B,AF$167))</f>
        <v/>
      </c>
      <c r="AG208" s="128" t="str">
        <f>IF(AG$167="","",SUMIFS(DATA_GOC!$H:$H,DATA_GOC!$A:$A,"BOM",DATA_GOC!$D:$D,$B208,DATA_GOC!$E:$E,$F$159,DATA_GOC!$F:$F,"Xuất nội bộ từ téc",DATA_GOC!$B:$B,AG$167))</f>
        <v/>
      </c>
      <c r="AH208" s="129">
        <f>IF($B208="","",SUMIFS(DATA_GOC!$H:$H,DATA_GOC!$A:$A,"BOM",DATA_GOC!$D:$D,$B208,DATA_GOC!$E:$E,$F$159,DATA_GOC!$F:$F,"Xuất nội bộ từ téc",DATA_GOC!$B:$B,"&gt;="&amp;$H$159,DATA_GOC!$B:$B,"&lt;="&amp;$J$159))</f>
        <v>274</v>
      </c>
      <c r="AI208" s="130">
        <f t="shared" si="16"/>
        <v>0.0198709116</v>
      </c>
      <c r="AJ208" s="129">
        <f t="shared" si="17"/>
        <v>7.372</v>
      </c>
      <c r="AK208" s="129">
        <f t="shared" si="18"/>
        <v>0</v>
      </c>
      <c r="AL208" s="129">
        <f t="shared" si="19"/>
        <v>281.372</v>
      </c>
    </row>
    <row r="209" ht="21.75" hidden="1" customHeight="1">
      <c r="A209" s="126">
        <f t="shared" si="15"/>
        <v>42</v>
      </c>
      <c r="B209" s="127" t="str">
        <f t="array" ref="B209">IFERROR(IF(INDEX(DANH_MUC!$E:$E,45)="","",INDEX(DANH_MUC!$E:$E,45)),"")</f>
        <v>29E17273</v>
      </c>
      <c r="C209" s="128">
        <f>IF(C$167="","",SUMIFS(DATA_GOC!$H:$H,DATA_GOC!$A:$A,"BOM",DATA_GOC!$D:$D,$B209,DATA_GOC!$E:$E,$F$159,DATA_GOC!$F:$F,"Xuất nội bộ từ téc",DATA_GOC!$B:$B,C$167))</f>
        <v>0</v>
      </c>
      <c r="D209" s="128">
        <f>IF(D$167="","",SUMIFS(DATA_GOC!$H:$H,DATA_GOC!$A:$A,"BOM",DATA_GOC!$D:$D,$B209,DATA_GOC!$E:$E,$F$159,DATA_GOC!$F:$F,"Xuất nội bộ từ téc",DATA_GOC!$B:$B,D$167))</f>
        <v>0</v>
      </c>
      <c r="E209" s="128">
        <f>IF(E$167="","",SUMIFS(DATA_GOC!$H:$H,DATA_GOC!$A:$A,"BOM",DATA_GOC!$D:$D,$B209,DATA_GOC!$E:$E,$F$159,DATA_GOC!$F:$F,"Xuất nội bộ từ téc",DATA_GOC!$B:$B,E$167))</f>
        <v>0</v>
      </c>
      <c r="F209" s="128">
        <f>IF(F$167="","",SUMIFS(DATA_GOC!$H:$H,DATA_GOC!$A:$A,"BOM",DATA_GOC!$D:$D,$B209,DATA_GOC!$E:$E,$F$159,DATA_GOC!$F:$F,"Xuất nội bộ từ téc",DATA_GOC!$B:$B,F$167))</f>
        <v>0</v>
      </c>
      <c r="G209" s="128">
        <f>IF(G$167="","",SUMIFS(DATA_GOC!$H:$H,DATA_GOC!$A:$A,"BOM",DATA_GOC!$D:$D,$B209,DATA_GOC!$E:$E,$F$159,DATA_GOC!$F:$F,"Xuất nội bộ từ téc",DATA_GOC!$B:$B,G$167))</f>
        <v>0</v>
      </c>
      <c r="H209" s="128">
        <f>IF(H$167="","",SUMIFS(DATA_GOC!$H:$H,DATA_GOC!$A:$A,"BOM",DATA_GOC!$D:$D,$B209,DATA_GOC!$E:$E,$F$159,DATA_GOC!$F:$F,"Xuất nội bộ từ téc",DATA_GOC!$B:$B,H$167))</f>
        <v>0</v>
      </c>
      <c r="I209" s="128">
        <f>IF(I$167="","",SUMIFS(DATA_GOC!$H:$H,DATA_GOC!$A:$A,"BOM",DATA_GOC!$D:$D,$B209,DATA_GOC!$E:$E,$F$159,DATA_GOC!$F:$F,"Xuất nội bộ từ téc",DATA_GOC!$B:$B,I$167))</f>
        <v>0</v>
      </c>
      <c r="J209" s="128">
        <f>IF(J$167="","",SUMIFS(DATA_GOC!$H:$H,DATA_GOC!$A:$A,"BOM",DATA_GOC!$D:$D,$B209,DATA_GOC!$E:$E,$F$159,DATA_GOC!$F:$F,"Xuất nội bộ từ téc",DATA_GOC!$B:$B,J$167))</f>
        <v>0</v>
      </c>
      <c r="K209" s="128">
        <f>IF(K$167="","",SUMIFS(DATA_GOC!$H:$H,DATA_GOC!$A:$A,"BOM",DATA_GOC!$D:$D,$B209,DATA_GOC!$E:$E,$F$159,DATA_GOC!$F:$F,"Xuất nội bộ từ téc",DATA_GOC!$B:$B,K$167))</f>
        <v>0</v>
      </c>
      <c r="L209" s="128">
        <f>IF(L$167="","",SUMIFS(DATA_GOC!$H:$H,DATA_GOC!$A:$A,"BOM",DATA_GOC!$D:$D,$B209,DATA_GOC!$E:$E,$F$159,DATA_GOC!$F:$F,"Xuất nội bộ từ téc",DATA_GOC!$B:$B,L$167))</f>
        <v>0</v>
      </c>
      <c r="M209" s="128">
        <f>IF(M$167="","",SUMIFS(DATA_GOC!$H:$H,DATA_GOC!$A:$A,"BOM",DATA_GOC!$D:$D,$B209,DATA_GOC!$E:$E,$F$159,DATA_GOC!$F:$F,"Xuất nội bộ từ téc",DATA_GOC!$B:$B,M$167))</f>
        <v>69</v>
      </c>
      <c r="N209" s="128">
        <f>IF(N$167="","",SUMIFS(DATA_GOC!$H:$H,DATA_GOC!$A:$A,"BOM",DATA_GOC!$D:$D,$B209,DATA_GOC!$E:$E,$F$159,DATA_GOC!$F:$F,"Xuất nội bộ từ téc",DATA_GOC!$B:$B,N$167))</f>
        <v>0</v>
      </c>
      <c r="O209" s="128">
        <f>IF(O$167="","",SUMIFS(DATA_GOC!$H:$H,DATA_GOC!$A:$A,"BOM",DATA_GOC!$D:$D,$B209,DATA_GOC!$E:$E,$F$159,DATA_GOC!$F:$F,"Xuất nội bộ từ téc",DATA_GOC!$B:$B,O$167))</f>
        <v>0</v>
      </c>
      <c r="P209" s="128">
        <f>IF(P$167="","",SUMIFS(DATA_GOC!$H:$H,DATA_GOC!$A:$A,"BOM",DATA_GOC!$D:$D,$B209,DATA_GOC!$E:$E,$F$159,DATA_GOC!$F:$F,"Xuất nội bộ từ téc",DATA_GOC!$B:$B,P$167))</f>
        <v>0</v>
      </c>
      <c r="Q209" s="128">
        <f>IF(Q$167="","",SUMIFS(DATA_GOC!$H:$H,DATA_GOC!$A:$A,"BOM",DATA_GOC!$D:$D,$B209,DATA_GOC!$E:$E,$F$159,DATA_GOC!$F:$F,"Xuất nội bộ từ téc",DATA_GOC!$B:$B,Q$167))</f>
        <v>0</v>
      </c>
      <c r="R209" s="128">
        <f>IF(R$167="","",SUMIFS(DATA_GOC!$H:$H,DATA_GOC!$A:$A,"BOM",DATA_GOC!$D:$D,$B209,DATA_GOC!$E:$E,$F$159,DATA_GOC!$F:$F,"Xuất nội bộ từ téc",DATA_GOC!$B:$B,R$167))</f>
        <v>0</v>
      </c>
      <c r="S209" s="128">
        <f>IF(S$167="","",SUMIFS(DATA_GOC!$H:$H,DATA_GOC!$A:$A,"BOM",DATA_GOC!$D:$D,$B209,DATA_GOC!$E:$E,$F$159,DATA_GOC!$F:$F,"Xuất nội bộ từ téc",DATA_GOC!$B:$B,S$167))</f>
        <v>0</v>
      </c>
      <c r="T209" s="128">
        <f>IF(T$167="","",SUMIFS(DATA_GOC!$H:$H,DATA_GOC!$A:$A,"BOM",DATA_GOC!$D:$D,$B209,DATA_GOC!$E:$E,$F$159,DATA_GOC!$F:$F,"Xuất nội bộ từ téc",DATA_GOC!$B:$B,T$167))</f>
        <v>0</v>
      </c>
      <c r="U209" s="128">
        <f>IF(U$167="","",SUMIFS(DATA_GOC!$H:$H,DATA_GOC!$A:$A,"BOM",DATA_GOC!$D:$D,$B209,DATA_GOC!$E:$E,$F$159,DATA_GOC!$F:$F,"Xuất nội bộ từ téc",DATA_GOC!$B:$B,U$167))</f>
        <v>232</v>
      </c>
      <c r="V209" s="128">
        <f>IF(V$167="","",SUMIFS(DATA_GOC!$H:$H,DATA_GOC!$A:$A,"BOM",DATA_GOC!$D:$D,$B209,DATA_GOC!$E:$E,$F$159,DATA_GOC!$F:$F,"Xuất nội bộ từ téc",DATA_GOC!$B:$B,V$167))</f>
        <v>0</v>
      </c>
      <c r="W209" s="128">
        <f>IF(W$167="","",SUMIFS(DATA_GOC!$H:$H,DATA_GOC!$A:$A,"BOM",DATA_GOC!$D:$D,$B209,DATA_GOC!$E:$E,$F$159,DATA_GOC!$F:$F,"Xuất nội bộ từ téc",DATA_GOC!$B:$B,W$167))</f>
        <v>0</v>
      </c>
      <c r="X209" s="128">
        <f>IF(X$167="","",SUMIFS(DATA_GOC!$H:$H,DATA_GOC!$A:$A,"BOM",DATA_GOC!$D:$D,$B209,DATA_GOC!$E:$E,$F$159,DATA_GOC!$F:$F,"Xuất nội bộ từ téc",DATA_GOC!$B:$B,X$167))</f>
        <v>0</v>
      </c>
      <c r="Y209" s="128" t="str">
        <f>IF(Y$167="","",SUMIFS(DATA_GOC!$H:$H,DATA_GOC!$A:$A,"BOM",DATA_GOC!$D:$D,$B209,DATA_GOC!$E:$E,$F$159,DATA_GOC!$F:$F,"Xuất nội bộ từ téc",DATA_GOC!$B:$B,Y$167))</f>
        <v/>
      </c>
      <c r="Z209" s="128" t="str">
        <f>IF(Z$167="","",SUMIFS(DATA_GOC!$H:$H,DATA_GOC!$A:$A,"BOM",DATA_GOC!$D:$D,$B209,DATA_GOC!$E:$E,$F$159,DATA_GOC!$F:$F,"Xuất nội bộ từ téc",DATA_GOC!$B:$B,Z$167))</f>
        <v/>
      </c>
      <c r="AA209" s="128" t="str">
        <f>IF(AA$167="","",SUMIFS(DATA_GOC!$H:$H,DATA_GOC!$A:$A,"BOM",DATA_GOC!$D:$D,$B209,DATA_GOC!$E:$E,$F$159,DATA_GOC!$F:$F,"Xuất nội bộ từ téc",DATA_GOC!$B:$B,AA$167))</f>
        <v/>
      </c>
      <c r="AB209" s="128" t="str">
        <f>IF(AB$167="","",SUMIFS(DATA_GOC!$H:$H,DATA_GOC!$A:$A,"BOM",DATA_GOC!$D:$D,$B209,DATA_GOC!$E:$E,$F$159,DATA_GOC!$F:$F,"Xuất nội bộ từ téc",DATA_GOC!$B:$B,AB$167))</f>
        <v/>
      </c>
      <c r="AC209" s="128" t="str">
        <f>IF(AC$167="","",SUMIFS(DATA_GOC!$H:$H,DATA_GOC!$A:$A,"BOM",DATA_GOC!$D:$D,$B209,DATA_GOC!$E:$E,$F$159,DATA_GOC!$F:$F,"Xuất nội bộ từ téc",DATA_GOC!$B:$B,AC$167))</f>
        <v/>
      </c>
      <c r="AD209" s="128" t="str">
        <f>IF(AD$167="","",SUMIFS(DATA_GOC!$H:$H,DATA_GOC!$A:$A,"BOM",DATA_GOC!$D:$D,$B209,DATA_GOC!$E:$E,$F$159,DATA_GOC!$F:$F,"Xuất nội bộ từ téc",DATA_GOC!$B:$B,AD$167))</f>
        <v/>
      </c>
      <c r="AE209" s="128" t="str">
        <f>IF(AE$167="","",SUMIFS(DATA_GOC!$H:$H,DATA_GOC!$A:$A,"BOM",DATA_GOC!$D:$D,$B209,DATA_GOC!$E:$E,$F$159,DATA_GOC!$F:$F,"Xuất nội bộ từ téc",DATA_GOC!$B:$B,AE$167))</f>
        <v/>
      </c>
      <c r="AF209" s="128" t="str">
        <f>IF(AF$167="","",SUMIFS(DATA_GOC!$H:$H,DATA_GOC!$A:$A,"BOM",DATA_GOC!$D:$D,$B209,DATA_GOC!$E:$E,$F$159,DATA_GOC!$F:$F,"Xuất nội bộ từ téc",DATA_GOC!$B:$B,AF$167))</f>
        <v/>
      </c>
      <c r="AG209" s="128" t="str">
        <f>IF(AG$167="","",SUMIFS(DATA_GOC!$H:$H,DATA_GOC!$A:$A,"BOM",DATA_GOC!$D:$D,$B209,DATA_GOC!$E:$E,$F$159,DATA_GOC!$F:$F,"Xuất nội bộ từ téc",DATA_GOC!$B:$B,AG$167))</f>
        <v/>
      </c>
      <c r="AH209" s="129">
        <f>IF($B209="","",SUMIFS(DATA_GOC!$H:$H,DATA_GOC!$A:$A,"BOM",DATA_GOC!$D:$D,$B209,DATA_GOC!$E:$E,$F$159,DATA_GOC!$F:$F,"Xuất nội bộ từ téc",DATA_GOC!$B:$B,"&gt;="&amp;$H$159,DATA_GOC!$B:$B,"&lt;="&amp;$J$159))</f>
        <v>301</v>
      </c>
      <c r="AI209" s="130">
        <f t="shared" si="16"/>
        <v>0.02182899413</v>
      </c>
      <c r="AJ209" s="129">
        <f t="shared" si="17"/>
        <v>8.099</v>
      </c>
      <c r="AK209" s="129">
        <f t="shared" si="18"/>
        <v>0</v>
      </c>
      <c r="AL209" s="129">
        <f t="shared" si="19"/>
        <v>309.099</v>
      </c>
    </row>
    <row r="210" ht="21.75" hidden="1" customHeight="1">
      <c r="A210" s="126">
        <f t="shared" si="15"/>
        <v>43</v>
      </c>
      <c r="B210" s="127" t="str">
        <f t="array" ref="B210">IFERROR(IF(INDEX(DANH_MUC!$E:$E,46)="","",INDEX(DANH_MUC!$E:$E,46)),"")</f>
        <v>29E17410</v>
      </c>
      <c r="C210" s="128">
        <f>IF(C$167="","",SUMIFS(DATA_GOC!$H:$H,DATA_GOC!$A:$A,"BOM",DATA_GOC!$D:$D,$B210,DATA_GOC!$E:$E,$F$159,DATA_GOC!$F:$F,"Xuất nội bộ từ téc",DATA_GOC!$B:$B,C$167))</f>
        <v>0</v>
      </c>
      <c r="D210" s="128">
        <f>IF(D$167="","",SUMIFS(DATA_GOC!$H:$H,DATA_GOC!$A:$A,"BOM",DATA_GOC!$D:$D,$B210,DATA_GOC!$E:$E,$F$159,DATA_GOC!$F:$F,"Xuất nội bộ từ téc",DATA_GOC!$B:$B,D$167))</f>
        <v>0</v>
      </c>
      <c r="E210" s="128">
        <f>IF(E$167="","",SUMIFS(DATA_GOC!$H:$H,DATA_GOC!$A:$A,"BOM",DATA_GOC!$D:$D,$B210,DATA_GOC!$E:$E,$F$159,DATA_GOC!$F:$F,"Xuất nội bộ từ téc",DATA_GOC!$B:$B,E$167))</f>
        <v>0</v>
      </c>
      <c r="F210" s="128">
        <f>IF(F$167="","",SUMIFS(DATA_GOC!$H:$H,DATA_GOC!$A:$A,"BOM",DATA_GOC!$D:$D,$B210,DATA_GOC!$E:$E,$F$159,DATA_GOC!$F:$F,"Xuất nội bộ từ téc",DATA_GOC!$B:$B,F$167))</f>
        <v>0</v>
      </c>
      <c r="G210" s="128">
        <f>IF(G$167="","",SUMIFS(DATA_GOC!$H:$H,DATA_GOC!$A:$A,"BOM",DATA_GOC!$D:$D,$B210,DATA_GOC!$E:$E,$F$159,DATA_GOC!$F:$F,"Xuất nội bộ từ téc",DATA_GOC!$B:$B,G$167))</f>
        <v>0</v>
      </c>
      <c r="H210" s="128">
        <f>IF(H$167="","",SUMIFS(DATA_GOC!$H:$H,DATA_GOC!$A:$A,"BOM",DATA_GOC!$D:$D,$B210,DATA_GOC!$E:$E,$F$159,DATA_GOC!$F:$F,"Xuất nội bộ từ téc",DATA_GOC!$B:$B,H$167))</f>
        <v>0</v>
      </c>
      <c r="I210" s="128">
        <f>IF(I$167="","",SUMIFS(DATA_GOC!$H:$H,DATA_GOC!$A:$A,"BOM",DATA_GOC!$D:$D,$B210,DATA_GOC!$E:$E,$F$159,DATA_GOC!$F:$F,"Xuất nội bộ từ téc",DATA_GOC!$B:$B,I$167))</f>
        <v>0</v>
      </c>
      <c r="J210" s="128">
        <f>IF(J$167="","",SUMIFS(DATA_GOC!$H:$H,DATA_GOC!$A:$A,"BOM",DATA_GOC!$D:$D,$B210,DATA_GOC!$E:$E,$F$159,DATA_GOC!$F:$F,"Xuất nội bộ từ téc",DATA_GOC!$B:$B,J$167))</f>
        <v>0</v>
      </c>
      <c r="K210" s="128">
        <f>IF(K$167="","",SUMIFS(DATA_GOC!$H:$H,DATA_GOC!$A:$A,"BOM",DATA_GOC!$D:$D,$B210,DATA_GOC!$E:$E,$F$159,DATA_GOC!$F:$F,"Xuất nội bộ từ téc",DATA_GOC!$B:$B,K$167))</f>
        <v>0</v>
      </c>
      <c r="L210" s="128">
        <f>IF(L$167="","",SUMIFS(DATA_GOC!$H:$H,DATA_GOC!$A:$A,"BOM",DATA_GOC!$D:$D,$B210,DATA_GOC!$E:$E,$F$159,DATA_GOC!$F:$F,"Xuất nội bộ từ téc",DATA_GOC!$B:$B,L$167))</f>
        <v>0</v>
      </c>
      <c r="M210" s="128">
        <f>IF(M$167="","",SUMIFS(DATA_GOC!$H:$H,DATA_GOC!$A:$A,"BOM",DATA_GOC!$D:$D,$B210,DATA_GOC!$E:$E,$F$159,DATA_GOC!$F:$F,"Xuất nội bộ từ téc",DATA_GOC!$B:$B,M$167))</f>
        <v>0</v>
      </c>
      <c r="N210" s="128">
        <f>IF(N$167="","",SUMIFS(DATA_GOC!$H:$H,DATA_GOC!$A:$A,"BOM",DATA_GOC!$D:$D,$B210,DATA_GOC!$E:$E,$F$159,DATA_GOC!$F:$F,"Xuất nội bộ từ téc",DATA_GOC!$B:$B,N$167))</f>
        <v>0</v>
      </c>
      <c r="O210" s="128">
        <f>IF(O$167="","",SUMIFS(DATA_GOC!$H:$H,DATA_GOC!$A:$A,"BOM",DATA_GOC!$D:$D,$B210,DATA_GOC!$E:$E,$F$159,DATA_GOC!$F:$F,"Xuất nội bộ từ téc",DATA_GOC!$B:$B,O$167))</f>
        <v>0</v>
      </c>
      <c r="P210" s="128">
        <f>IF(P$167="","",SUMIFS(DATA_GOC!$H:$H,DATA_GOC!$A:$A,"BOM",DATA_GOC!$D:$D,$B210,DATA_GOC!$E:$E,$F$159,DATA_GOC!$F:$F,"Xuất nội bộ từ téc",DATA_GOC!$B:$B,P$167))</f>
        <v>0</v>
      </c>
      <c r="Q210" s="128">
        <f>IF(Q$167="","",SUMIFS(DATA_GOC!$H:$H,DATA_GOC!$A:$A,"BOM",DATA_GOC!$D:$D,$B210,DATA_GOC!$E:$E,$F$159,DATA_GOC!$F:$F,"Xuất nội bộ từ téc",DATA_GOC!$B:$B,Q$167))</f>
        <v>0</v>
      </c>
      <c r="R210" s="128">
        <f>IF(R$167="","",SUMIFS(DATA_GOC!$H:$H,DATA_GOC!$A:$A,"BOM",DATA_GOC!$D:$D,$B210,DATA_GOC!$E:$E,$F$159,DATA_GOC!$F:$F,"Xuất nội bộ từ téc",DATA_GOC!$B:$B,R$167))</f>
        <v>0</v>
      </c>
      <c r="S210" s="128">
        <f>IF(S$167="","",SUMIFS(DATA_GOC!$H:$H,DATA_GOC!$A:$A,"BOM",DATA_GOC!$D:$D,$B210,DATA_GOC!$E:$E,$F$159,DATA_GOC!$F:$F,"Xuất nội bộ từ téc",DATA_GOC!$B:$B,S$167))</f>
        <v>0</v>
      </c>
      <c r="T210" s="128">
        <f>IF(T$167="","",SUMIFS(DATA_GOC!$H:$H,DATA_GOC!$A:$A,"BOM",DATA_GOC!$D:$D,$B210,DATA_GOC!$E:$E,$F$159,DATA_GOC!$F:$F,"Xuất nội bộ từ téc",DATA_GOC!$B:$B,T$167))</f>
        <v>298</v>
      </c>
      <c r="U210" s="128">
        <f>IF(U$167="","",SUMIFS(DATA_GOC!$H:$H,DATA_GOC!$A:$A,"BOM",DATA_GOC!$D:$D,$B210,DATA_GOC!$E:$E,$F$159,DATA_GOC!$F:$F,"Xuất nội bộ từ téc",DATA_GOC!$B:$B,U$167))</f>
        <v>0</v>
      </c>
      <c r="V210" s="128">
        <f>IF(V$167="","",SUMIFS(DATA_GOC!$H:$H,DATA_GOC!$A:$A,"BOM",DATA_GOC!$D:$D,$B210,DATA_GOC!$E:$E,$F$159,DATA_GOC!$F:$F,"Xuất nội bộ từ téc",DATA_GOC!$B:$B,V$167))</f>
        <v>0</v>
      </c>
      <c r="W210" s="128">
        <f>IF(W$167="","",SUMIFS(DATA_GOC!$H:$H,DATA_GOC!$A:$A,"BOM",DATA_GOC!$D:$D,$B210,DATA_GOC!$E:$E,$F$159,DATA_GOC!$F:$F,"Xuất nội bộ từ téc",DATA_GOC!$B:$B,W$167))</f>
        <v>0</v>
      </c>
      <c r="X210" s="128">
        <f>IF(X$167="","",SUMIFS(DATA_GOC!$H:$H,DATA_GOC!$A:$A,"BOM",DATA_GOC!$D:$D,$B210,DATA_GOC!$E:$E,$F$159,DATA_GOC!$F:$F,"Xuất nội bộ từ téc",DATA_GOC!$B:$B,X$167))</f>
        <v>0</v>
      </c>
      <c r="Y210" s="128" t="str">
        <f>IF(Y$167="","",SUMIFS(DATA_GOC!$H:$H,DATA_GOC!$A:$A,"BOM",DATA_GOC!$D:$D,$B210,DATA_GOC!$E:$E,$F$159,DATA_GOC!$F:$F,"Xuất nội bộ từ téc",DATA_GOC!$B:$B,Y$167))</f>
        <v/>
      </c>
      <c r="Z210" s="128" t="str">
        <f>IF(Z$167="","",SUMIFS(DATA_GOC!$H:$H,DATA_GOC!$A:$A,"BOM",DATA_GOC!$D:$D,$B210,DATA_GOC!$E:$E,$F$159,DATA_GOC!$F:$F,"Xuất nội bộ từ téc",DATA_GOC!$B:$B,Z$167))</f>
        <v/>
      </c>
      <c r="AA210" s="128" t="str">
        <f>IF(AA$167="","",SUMIFS(DATA_GOC!$H:$H,DATA_GOC!$A:$A,"BOM",DATA_GOC!$D:$D,$B210,DATA_GOC!$E:$E,$F$159,DATA_GOC!$F:$F,"Xuất nội bộ từ téc",DATA_GOC!$B:$B,AA$167))</f>
        <v/>
      </c>
      <c r="AB210" s="128" t="str">
        <f>IF(AB$167="","",SUMIFS(DATA_GOC!$H:$H,DATA_GOC!$A:$A,"BOM",DATA_GOC!$D:$D,$B210,DATA_GOC!$E:$E,$F$159,DATA_GOC!$F:$F,"Xuất nội bộ từ téc",DATA_GOC!$B:$B,AB$167))</f>
        <v/>
      </c>
      <c r="AC210" s="128" t="str">
        <f>IF(AC$167="","",SUMIFS(DATA_GOC!$H:$H,DATA_GOC!$A:$A,"BOM",DATA_GOC!$D:$D,$B210,DATA_GOC!$E:$E,$F$159,DATA_GOC!$F:$F,"Xuất nội bộ từ téc",DATA_GOC!$B:$B,AC$167))</f>
        <v/>
      </c>
      <c r="AD210" s="128" t="str">
        <f>IF(AD$167="","",SUMIFS(DATA_GOC!$H:$H,DATA_GOC!$A:$A,"BOM",DATA_GOC!$D:$D,$B210,DATA_GOC!$E:$E,$F$159,DATA_GOC!$F:$F,"Xuất nội bộ từ téc",DATA_GOC!$B:$B,AD$167))</f>
        <v/>
      </c>
      <c r="AE210" s="128" t="str">
        <f>IF(AE$167="","",SUMIFS(DATA_GOC!$H:$H,DATA_GOC!$A:$A,"BOM",DATA_GOC!$D:$D,$B210,DATA_GOC!$E:$E,$F$159,DATA_GOC!$F:$F,"Xuất nội bộ từ téc",DATA_GOC!$B:$B,AE$167))</f>
        <v/>
      </c>
      <c r="AF210" s="128" t="str">
        <f>IF(AF$167="","",SUMIFS(DATA_GOC!$H:$H,DATA_GOC!$A:$A,"BOM",DATA_GOC!$D:$D,$B210,DATA_GOC!$E:$E,$F$159,DATA_GOC!$F:$F,"Xuất nội bộ từ téc",DATA_GOC!$B:$B,AF$167))</f>
        <v/>
      </c>
      <c r="AG210" s="128" t="str">
        <f>IF(AG$167="","",SUMIFS(DATA_GOC!$H:$H,DATA_GOC!$A:$A,"BOM",DATA_GOC!$D:$D,$B210,DATA_GOC!$E:$E,$F$159,DATA_GOC!$F:$F,"Xuất nội bộ từ téc",DATA_GOC!$B:$B,AG$167))</f>
        <v/>
      </c>
      <c r="AH210" s="129">
        <f>IF($B210="","",SUMIFS(DATA_GOC!$H:$H,DATA_GOC!$A:$A,"BOM",DATA_GOC!$D:$D,$B210,DATA_GOC!$E:$E,$F$159,DATA_GOC!$F:$F,"Xuất nội bộ từ téc",DATA_GOC!$B:$B,"&gt;="&amp;$H$159,DATA_GOC!$B:$B,"&lt;="&amp;$J$159))</f>
        <v>298</v>
      </c>
      <c r="AI210" s="130">
        <f t="shared" si="16"/>
        <v>0.0216114294</v>
      </c>
      <c r="AJ210" s="129">
        <f t="shared" si="17"/>
        <v>8.018</v>
      </c>
      <c r="AK210" s="129">
        <f t="shared" si="18"/>
        <v>0</v>
      </c>
      <c r="AL210" s="129">
        <f t="shared" si="19"/>
        <v>306.018</v>
      </c>
    </row>
    <row r="211" ht="21.75" hidden="1" customHeight="1">
      <c r="A211" s="126">
        <f t="shared" si="15"/>
        <v>44</v>
      </c>
      <c r="B211" s="127" t="str">
        <f t="array" ref="B211">IFERROR(IF(INDEX(DANH_MUC!$E:$E,47)="","",INDEX(DANH_MUC!$E:$E,47)),"")</f>
        <v>29E17417</v>
      </c>
      <c r="C211" s="128">
        <f>IF(C$167="","",SUMIFS(DATA_GOC!$H:$H,DATA_GOC!$A:$A,"BOM",DATA_GOC!$D:$D,$B211,DATA_GOC!$E:$E,$F$159,DATA_GOC!$F:$F,"Xuất nội bộ từ téc",DATA_GOC!$B:$B,C$167))</f>
        <v>0</v>
      </c>
      <c r="D211" s="128">
        <f>IF(D$167="","",SUMIFS(DATA_GOC!$H:$H,DATA_GOC!$A:$A,"BOM",DATA_GOC!$D:$D,$B211,DATA_GOC!$E:$E,$F$159,DATA_GOC!$F:$F,"Xuất nội bộ từ téc",DATA_GOC!$B:$B,D$167))</f>
        <v>0</v>
      </c>
      <c r="E211" s="128">
        <f>IF(E$167="","",SUMIFS(DATA_GOC!$H:$H,DATA_GOC!$A:$A,"BOM",DATA_GOC!$D:$D,$B211,DATA_GOC!$E:$E,$F$159,DATA_GOC!$F:$F,"Xuất nội bộ từ téc",DATA_GOC!$B:$B,E$167))</f>
        <v>0</v>
      </c>
      <c r="F211" s="128">
        <f>IF(F$167="","",SUMIFS(DATA_GOC!$H:$H,DATA_GOC!$A:$A,"BOM",DATA_GOC!$D:$D,$B211,DATA_GOC!$E:$E,$F$159,DATA_GOC!$F:$F,"Xuất nội bộ từ téc",DATA_GOC!$B:$B,F$167))</f>
        <v>0</v>
      </c>
      <c r="G211" s="128">
        <f>IF(G$167="","",SUMIFS(DATA_GOC!$H:$H,DATA_GOC!$A:$A,"BOM",DATA_GOC!$D:$D,$B211,DATA_GOC!$E:$E,$F$159,DATA_GOC!$F:$F,"Xuất nội bộ từ téc",DATA_GOC!$B:$B,G$167))</f>
        <v>0</v>
      </c>
      <c r="H211" s="128">
        <f>IF(H$167="","",SUMIFS(DATA_GOC!$H:$H,DATA_GOC!$A:$A,"BOM",DATA_GOC!$D:$D,$B211,DATA_GOC!$E:$E,$F$159,DATA_GOC!$F:$F,"Xuất nội bộ từ téc",DATA_GOC!$B:$B,H$167))</f>
        <v>0</v>
      </c>
      <c r="I211" s="128">
        <f>IF(I$167="","",SUMIFS(DATA_GOC!$H:$H,DATA_GOC!$A:$A,"BOM",DATA_GOC!$D:$D,$B211,DATA_GOC!$E:$E,$F$159,DATA_GOC!$F:$F,"Xuất nội bộ từ téc",DATA_GOC!$B:$B,I$167))</f>
        <v>0</v>
      </c>
      <c r="J211" s="128">
        <f>IF(J$167="","",SUMIFS(DATA_GOC!$H:$H,DATA_GOC!$A:$A,"BOM",DATA_GOC!$D:$D,$B211,DATA_GOC!$E:$E,$F$159,DATA_GOC!$F:$F,"Xuất nội bộ từ téc",DATA_GOC!$B:$B,J$167))</f>
        <v>0</v>
      </c>
      <c r="K211" s="128">
        <f>IF(K$167="","",SUMIFS(DATA_GOC!$H:$H,DATA_GOC!$A:$A,"BOM",DATA_GOC!$D:$D,$B211,DATA_GOC!$E:$E,$F$159,DATA_GOC!$F:$F,"Xuất nội bộ từ téc",DATA_GOC!$B:$B,K$167))</f>
        <v>0</v>
      </c>
      <c r="L211" s="128">
        <f>IF(L$167="","",SUMIFS(DATA_GOC!$H:$H,DATA_GOC!$A:$A,"BOM",DATA_GOC!$D:$D,$B211,DATA_GOC!$E:$E,$F$159,DATA_GOC!$F:$F,"Xuất nội bộ từ téc",DATA_GOC!$B:$B,L$167))</f>
        <v>0</v>
      </c>
      <c r="M211" s="128">
        <f>IF(M$167="","",SUMIFS(DATA_GOC!$H:$H,DATA_GOC!$A:$A,"BOM",DATA_GOC!$D:$D,$B211,DATA_GOC!$E:$E,$F$159,DATA_GOC!$F:$F,"Xuất nội bộ từ téc",DATA_GOC!$B:$B,M$167))</f>
        <v>0</v>
      </c>
      <c r="N211" s="128">
        <f>IF(N$167="","",SUMIFS(DATA_GOC!$H:$H,DATA_GOC!$A:$A,"BOM",DATA_GOC!$D:$D,$B211,DATA_GOC!$E:$E,$F$159,DATA_GOC!$F:$F,"Xuất nội bộ từ téc",DATA_GOC!$B:$B,N$167))</f>
        <v>0</v>
      </c>
      <c r="O211" s="128">
        <f>IF(O$167="","",SUMIFS(DATA_GOC!$H:$H,DATA_GOC!$A:$A,"BOM",DATA_GOC!$D:$D,$B211,DATA_GOC!$E:$E,$F$159,DATA_GOC!$F:$F,"Xuất nội bộ từ téc",DATA_GOC!$B:$B,O$167))</f>
        <v>0</v>
      </c>
      <c r="P211" s="128">
        <f>IF(P$167="","",SUMIFS(DATA_GOC!$H:$H,DATA_GOC!$A:$A,"BOM",DATA_GOC!$D:$D,$B211,DATA_GOC!$E:$E,$F$159,DATA_GOC!$F:$F,"Xuất nội bộ từ téc",DATA_GOC!$B:$B,P$167))</f>
        <v>0</v>
      </c>
      <c r="Q211" s="128">
        <f>IF(Q$167="","",SUMIFS(DATA_GOC!$H:$H,DATA_GOC!$A:$A,"BOM",DATA_GOC!$D:$D,$B211,DATA_GOC!$E:$E,$F$159,DATA_GOC!$F:$F,"Xuất nội bộ từ téc",DATA_GOC!$B:$B,Q$167))</f>
        <v>0</v>
      </c>
      <c r="R211" s="128">
        <f>IF(R$167="","",SUMIFS(DATA_GOC!$H:$H,DATA_GOC!$A:$A,"BOM",DATA_GOC!$D:$D,$B211,DATA_GOC!$E:$E,$F$159,DATA_GOC!$F:$F,"Xuất nội bộ từ téc",DATA_GOC!$B:$B,R$167))</f>
        <v>0</v>
      </c>
      <c r="S211" s="128">
        <f>IF(S$167="","",SUMIFS(DATA_GOC!$H:$H,DATA_GOC!$A:$A,"BOM",DATA_GOC!$D:$D,$B211,DATA_GOC!$E:$E,$F$159,DATA_GOC!$F:$F,"Xuất nội bộ từ téc",DATA_GOC!$B:$B,S$167))</f>
        <v>0</v>
      </c>
      <c r="T211" s="128">
        <f>IF(T$167="","",SUMIFS(DATA_GOC!$H:$H,DATA_GOC!$A:$A,"BOM",DATA_GOC!$D:$D,$B211,DATA_GOC!$E:$E,$F$159,DATA_GOC!$F:$F,"Xuất nội bộ từ téc",DATA_GOC!$B:$B,T$167))</f>
        <v>0</v>
      </c>
      <c r="U211" s="128">
        <f>IF(U$167="","",SUMIFS(DATA_GOC!$H:$H,DATA_GOC!$A:$A,"BOM",DATA_GOC!$D:$D,$B211,DATA_GOC!$E:$E,$F$159,DATA_GOC!$F:$F,"Xuất nội bộ từ téc",DATA_GOC!$B:$B,U$167))</f>
        <v>0</v>
      </c>
      <c r="V211" s="128">
        <f>IF(V$167="","",SUMIFS(DATA_GOC!$H:$H,DATA_GOC!$A:$A,"BOM",DATA_GOC!$D:$D,$B211,DATA_GOC!$E:$E,$F$159,DATA_GOC!$F:$F,"Xuất nội bộ từ téc",DATA_GOC!$B:$B,V$167))</f>
        <v>0</v>
      </c>
      <c r="W211" s="128">
        <f>IF(W$167="","",SUMIFS(DATA_GOC!$H:$H,DATA_GOC!$A:$A,"BOM",DATA_GOC!$D:$D,$B211,DATA_GOC!$E:$E,$F$159,DATA_GOC!$F:$F,"Xuất nội bộ từ téc",DATA_GOC!$B:$B,W$167))</f>
        <v>311</v>
      </c>
      <c r="X211" s="128">
        <f>IF(X$167="","",SUMIFS(DATA_GOC!$H:$H,DATA_GOC!$A:$A,"BOM",DATA_GOC!$D:$D,$B211,DATA_GOC!$E:$E,$F$159,DATA_GOC!$F:$F,"Xuất nội bộ từ téc",DATA_GOC!$B:$B,X$167))</f>
        <v>0</v>
      </c>
      <c r="Y211" s="128" t="str">
        <f>IF(Y$167="","",SUMIFS(DATA_GOC!$H:$H,DATA_GOC!$A:$A,"BOM",DATA_GOC!$D:$D,$B211,DATA_GOC!$E:$E,$F$159,DATA_GOC!$F:$F,"Xuất nội bộ từ téc",DATA_GOC!$B:$B,Y$167))</f>
        <v/>
      </c>
      <c r="Z211" s="128" t="str">
        <f>IF(Z$167="","",SUMIFS(DATA_GOC!$H:$H,DATA_GOC!$A:$A,"BOM",DATA_GOC!$D:$D,$B211,DATA_GOC!$E:$E,$F$159,DATA_GOC!$F:$F,"Xuất nội bộ từ téc",DATA_GOC!$B:$B,Z$167))</f>
        <v/>
      </c>
      <c r="AA211" s="128" t="str">
        <f>IF(AA$167="","",SUMIFS(DATA_GOC!$H:$H,DATA_GOC!$A:$A,"BOM",DATA_GOC!$D:$D,$B211,DATA_GOC!$E:$E,$F$159,DATA_GOC!$F:$F,"Xuất nội bộ từ téc",DATA_GOC!$B:$B,AA$167))</f>
        <v/>
      </c>
      <c r="AB211" s="128" t="str">
        <f>IF(AB$167="","",SUMIFS(DATA_GOC!$H:$H,DATA_GOC!$A:$A,"BOM",DATA_GOC!$D:$D,$B211,DATA_GOC!$E:$E,$F$159,DATA_GOC!$F:$F,"Xuất nội bộ từ téc",DATA_GOC!$B:$B,AB$167))</f>
        <v/>
      </c>
      <c r="AC211" s="128" t="str">
        <f>IF(AC$167="","",SUMIFS(DATA_GOC!$H:$H,DATA_GOC!$A:$A,"BOM",DATA_GOC!$D:$D,$B211,DATA_GOC!$E:$E,$F$159,DATA_GOC!$F:$F,"Xuất nội bộ từ téc",DATA_GOC!$B:$B,AC$167))</f>
        <v/>
      </c>
      <c r="AD211" s="128" t="str">
        <f>IF(AD$167="","",SUMIFS(DATA_GOC!$H:$H,DATA_GOC!$A:$A,"BOM",DATA_GOC!$D:$D,$B211,DATA_GOC!$E:$E,$F$159,DATA_GOC!$F:$F,"Xuất nội bộ từ téc",DATA_GOC!$B:$B,AD$167))</f>
        <v/>
      </c>
      <c r="AE211" s="128" t="str">
        <f>IF(AE$167="","",SUMIFS(DATA_GOC!$H:$H,DATA_GOC!$A:$A,"BOM",DATA_GOC!$D:$D,$B211,DATA_GOC!$E:$E,$F$159,DATA_GOC!$F:$F,"Xuất nội bộ từ téc",DATA_GOC!$B:$B,AE$167))</f>
        <v/>
      </c>
      <c r="AF211" s="128" t="str">
        <f>IF(AF$167="","",SUMIFS(DATA_GOC!$H:$H,DATA_GOC!$A:$A,"BOM",DATA_GOC!$D:$D,$B211,DATA_GOC!$E:$E,$F$159,DATA_GOC!$F:$F,"Xuất nội bộ từ téc",DATA_GOC!$B:$B,AF$167))</f>
        <v/>
      </c>
      <c r="AG211" s="128" t="str">
        <f>IF(AG$167="","",SUMIFS(DATA_GOC!$H:$H,DATA_GOC!$A:$A,"BOM",DATA_GOC!$D:$D,$B211,DATA_GOC!$E:$E,$F$159,DATA_GOC!$F:$F,"Xuất nội bộ từ téc",DATA_GOC!$B:$B,AG$167))</f>
        <v/>
      </c>
      <c r="AH211" s="129">
        <f>IF($B211="","",SUMIFS(DATA_GOC!$H:$H,DATA_GOC!$A:$A,"BOM",DATA_GOC!$D:$D,$B211,DATA_GOC!$E:$E,$F$159,DATA_GOC!$F:$F,"Xuất nội bộ từ téc",DATA_GOC!$B:$B,"&gt;="&amp;$H$159,DATA_GOC!$B:$B,"&lt;="&amp;$J$159))</f>
        <v>311</v>
      </c>
      <c r="AI211" s="130">
        <f t="shared" si="16"/>
        <v>0.02255420988</v>
      </c>
      <c r="AJ211" s="129">
        <f t="shared" si="17"/>
        <v>8.368</v>
      </c>
      <c r="AK211" s="129">
        <f t="shared" si="18"/>
        <v>0</v>
      </c>
      <c r="AL211" s="129">
        <f t="shared" si="19"/>
        <v>319.368</v>
      </c>
    </row>
    <row r="212" ht="21.75" hidden="1" customHeight="1">
      <c r="A212" s="126">
        <f t="shared" si="15"/>
        <v>45</v>
      </c>
      <c r="B212" s="127" t="str">
        <f t="array" ref="B212">IFERROR(IF(INDEX(DANH_MUC!$E:$E,48)="","",INDEX(DANH_MUC!$E:$E,48)),"")</f>
        <v>29E17539</v>
      </c>
      <c r="C212" s="128">
        <f>IF(C$167="","",SUMIFS(DATA_GOC!$H:$H,DATA_GOC!$A:$A,"BOM",DATA_GOC!$D:$D,$B212,DATA_GOC!$E:$E,$F$159,DATA_GOC!$F:$F,"Xuất nội bộ từ téc",DATA_GOC!$B:$B,C$167))</f>
        <v>0</v>
      </c>
      <c r="D212" s="128">
        <f>IF(D$167="","",SUMIFS(DATA_GOC!$H:$H,DATA_GOC!$A:$A,"BOM",DATA_GOC!$D:$D,$B212,DATA_GOC!$E:$E,$F$159,DATA_GOC!$F:$F,"Xuất nội bộ từ téc",DATA_GOC!$B:$B,D$167))</f>
        <v>0</v>
      </c>
      <c r="E212" s="128">
        <f>IF(E$167="","",SUMIFS(DATA_GOC!$H:$H,DATA_GOC!$A:$A,"BOM",DATA_GOC!$D:$D,$B212,DATA_GOC!$E:$E,$F$159,DATA_GOC!$F:$F,"Xuất nội bộ từ téc",DATA_GOC!$B:$B,E$167))</f>
        <v>0</v>
      </c>
      <c r="F212" s="128">
        <f>IF(F$167="","",SUMIFS(DATA_GOC!$H:$H,DATA_GOC!$A:$A,"BOM",DATA_GOC!$D:$D,$B212,DATA_GOC!$E:$E,$F$159,DATA_GOC!$F:$F,"Xuất nội bộ từ téc",DATA_GOC!$B:$B,F$167))</f>
        <v>0</v>
      </c>
      <c r="G212" s="128">
        <f>IF(G$167="","",SUMIFS(DATA_GOC!$H:$H,DATA_GOC!$A:$A,"BOM",DATA_GOC!$D:$D,$B212,DATA_GOC!$E:$E,$F$159,DATA_GOC!$F:$F,"Xuất nội bộ từ téc",DATA_GOC!$B:$B,G$167))</f>
        <v>0</v>
      </c>
      <c r="H212" s="128">
        <f>IF(H$167="","",SUMIFS(DATA_GOC!$H:$H,DATA_GOC!$A:$A,"BOM",DATA_GOC!$D:$D,$B212,DATA_GOC!$E:$E,$F$159,DATA_GOC!$F:$F,"Xuất nội bộ từ téc",DATA_GOC!$B:$B,H$167))</f>
        <v>0</v>
      </c>
      <c r="I212" s="128">
        <f>IF(I$167="","",SUMIFS(DATA_GOC!$H:$H,DATA_GOC!$A:$A,"BOM",DATA_GOC!$D:$D,$B212,DATA_GOC!$E:$E,$F$159,DATA_GOC!$F:$F,"Xuất nội bộ từ téc",DATA_GOC!$B:$B,I$167))</f>
        <v>0</v>
      </c>
      <c r="J212" s="128">
        <f>IF(J$167="","",SUMIFS(DATA_GOC!$H:$H,DATA_GOC!$A:$A,"BOM",DATA_GOC!$D:$D,$B212,DATA_GOC!$E:$E,$F$159,DATA_GOC!$F:$F,"Xuất nội bộ từ téc",DATA_GOC!$B:$B,J$167))</f>
        <v>0</v>
      </c>
      <c r="K212" s="128">
        <f>IF(K$167="","",SUMIFS(DATA_GOC!$H:$H,DATA_GOC!$A:$A,"BOM",DATA_GOC!$D:$D,$B212,DATA_GOC!$E:$E,$F$159,DATA_GOC!$F:$F,"Xuất nội bộ từ téc",DATA_GOC!$B:$B,K$167))</f>
        <v>0</v>
      </c>
      <c r="L212" s="128">
        <f>IF(L$167="","",SUMIFS(DATA_GOC!$H:$H,DATA_GOC!$A:$A,"BOM",DATA_GOC!$D:$D,$B212,DATA_GOC!$E:$E,$F$159,DATA_GOC!$F:$F,"Xuất nội bộ từ téc",DATA_GOC!$B:$B,L$167))</f>
        <v>0</v>
      </c>
      <c r="M212" s="128">
        <f>IF(M$167="","",SUMIFS(DATA_GOC!$H:$H,DATA_GOC!$A:$A,"BOM",DATA_GOC!$D:$D,$B212,DATA_GOC!$E:$E,$F$159,DATA_GOC!$F:$F,"Xuất nội bộ từ téc",DATA_GOC!$B:$B,M$167))</f>
        <v>240</v>
      </c>
      <c r="N212" s="128">
        <f>IF(N$167="","",SUMIFS(DATA_GOC!$H:$H,DATA_GOC!$A:$A,"BOM",DATA_GOC!$D:$D,$B212,DATA_GOC!$E:$E,$F$159,DATA_GOC!$F:$F,"Xuất nội bộ từ téc",DATA_GOC!$B:$B,N$167))</f>
        <v>0</v>
      </c>
      <c r="O212" s="128">
        <f>IF(O$167="","",SUMIFS(DATA_GOC!$H:$H,DATA_GOC!$A:$A,"BOM",DATA_GOC!$D:$D,$B212,DATA_GOC!$E:$E,$F$159,DATA_GOC!$F:$F,"Xuất nội bộ từ téc",DATA_GOC!$B:$B,O$167))</f>
        <v>0</v>
      </c>
      <c r="P212" s="128">
        <f>IF(P$167="","",SUMIFS(DATA_GOC!$H:$H,DATA_GOC!$A:$A,"BOM",DATA_GOC!$D:$D,$B212,DATA_GOC!$E:$E,$F$159,DATA_GOC!$F:$F,"Xuất nội bộ từ téc",DATA_GOC!$B:$B,P$167))</f>
        <v>0</v>
      </c>
      <c r="Q212" s="128">
        <f>IF(Q$167="","",SUMIFS(DATA_GOC!$H:$H,DATA_GOC!$A:$A,"BOM",DATA_GOC!$D:$D,$B212,DATA_GOC!$E:$E,$F$159,DATA_GOC!$F:$F,"Xuất nội bộ từ téc",DATA_GOC!$B:$B,Q$167))</f>
        <v>0</v>
      </c>
      <c r="R212" s="128">
        <f>IF(R$167="","",SUMIFS(DATA_GOC!$H:$H,DATA_GOC!$A:$A,"BOM",DATA_GOC!$D:$D,$B212,DATA_GOC!$E:$E,$F$159,DATA_GOC!$F:$F,"Xuất nội bộ từ téc",DATA_GOC!$B:$B,R$167))</f>
        <v>0</v>
      </c>
      <c r="S212" s="128">
        <f>IF(S$167="","",SUMIFS(DATA_GOC!$H:$H,DATA_GOC!$A:$A,"BOM",DATA_GOC!$D:$D,$B212,DATA_GOC!$E:$E,$F$159,DATA_GOC!$F:$F,"Xuất nội bộ từ téc",DATA_GOC!$B:$B,S$167))</f>
        <v>0</v>
      </c>
      <c r="T212" s="128">
        <f>IF(T$167="","",SUMIFS(DATA_GOC!$H:$H,DATA_GOC!$A:$A,"BOM",DATA_GOC!$D:$D,$B212,DATA_GOC!$E:$E,$F$159,DATA_GOC!$F:$F,"Xuất nội bộ từ téc",DATA_GOC!$B:$B,T$167))</f>
        <v>0</v>
      </c>
      <c r="U212" s="128">
        <f>IF(U$167="","",SUMIFS(DATA_GOC!$H:$H,DATA_GOC!$A:$A,"BOM",DATA_GOC!$D:$D,$B212,DATA_GOC!$E:$E,$F$159,DATA_GOC!$F:$F,"Xuất nội bộ từ téc",DATA_GOC!$B:$B,U$167))</f>
        <v>187</v>
      </c>
      <c r="V212" s="128">
        <f>IF(V$167="","",SUMIFS(DATA_GOC!$H:$H,DATA_GOC!$A:$A,"BOM",DATA_GOC!$D:$D,$B212,DATA_GOC!$E:$E,$F$159,DATA_GOC!$F:$F,"Xuất nội bộ từ téc",DATA_GOC!$B:$B,V$167))</f>
        <v>0</v>
      </c>
      <c r="W212" s="128">
        <f>IF(W$167="","",SUMIFS(DATA_GOC!$H:$H,DATA_GOC!$A:$A,"BOM",DATA_GOC!$D:$D,$B212,DATA_GOC!$E:$E,$F$159,DATA_GOC!$F:$F,"Xuất nội bộ từ téc",DATA_GOC!$B:$B,W$167))</f>
        <v>0</v>
      </c>
      <c r="X212" s="128">
        <f>IF(X$167="","",SUMIFS(DATA_GOC!$H:$H,DATA_GOC!$A:$A,"BOM",DATA_GOC!$D:$D,$B212,DATA_GOC!$E:$E,$F$159,DATA_GOC!$F:$F,"Xuất nội bộ từ téc",DATA_GOC!$B:$B,X$167))</f>
        <v>0</v>
      </c>
      <c r="Y212" s="128" t="str">
        <f>IF(Y$167="","",SUMIFS(DATA_GOC!$H:$H,DATA_GOC!$A:$A,"BOM",DATA_GOC!$D:$D,$B212,DATA_GOC!$E:$E,$F$159,DATA_GOC!$F:$F,"Xuất nội bộ từ téc",DATA_GOC!$B:$B,Y$167))</f>
        <v/>
      </c>
      <c r="Z212" s="128" t="str">
        <f>IF(Z$167="","",SUMIFS(DATA_GOC!$H:$H,DATA_GOC!$A:$A,"BOM",DATA_GOC!$D:$D,$B212,DATA_GOC!$E:$E,$F$159,DATA_GOC!$F:$F,"Xuất nội bộ từ téc",DATA_GOC!$B:$B,Z$167))</f>
        <v/>
      </c>
      <c r="AA212" s="128" t="str">
        <f>IF(AA$167="","",SUMIFS(DATA_GOC!$H:$H,DATA_GOC!$A:$A,"BOM",DATA_GOC!$D:$D,$B212,DATA_GOC!$E:$E,$F$159,DATA_GOC!$F:$F,"Xuất nội bộ từ téc",DATA_GOC!$B:$B,AA$167))</f>
        <v/>
      </c>
      <c r="AB212" s="128" t="str">
        <f>IF(AB$167="","",SUMIFS(DATA_GOC!$H:$H,DATA_GOC!$A:$A,"BOM",DATA_GOC!$D:$D,$B212,DATA_GOC!$E:$E,$F$159,DATA_GOC!$F:$F,"Xuất nội bộ từ téc",DATA_GOC!$B:$B,AB$167))</f>
        <v/>
      </c>
      <c r="AC212" s="128" t="str">
        <f>IF(AC$167="","",SUMIFS(DATA_GOC!$H:$H,DATA_GOC!$A:$A,"BOM",DATA_GOC!$D:$D,$B212,DATA_GOC!$E:$E,$F$159,DATA_GOC!$F:$F,"Xuất nội bộ từ téc",DATA_GOC!$B:$B,AC$167))</f>
        <v/>
      </c>
      <c r="AD212" s="128" t="str">
        <f>IF(AD$167="","",SUMIFS(DATA_GOC!$H:$H,DATA_GOC!$A:$A,"BOM",DATA_GOC!$D:$D,$B212,DATA_GOC!$E:$E,$F$159,DATA_GOC!$F:$F,"Xuất nội bộ từ téc",DATA_GOC!$B:$B,AD$167))</f>
        <v/>
      </c>
      <c r="AE212" s="128" t="str">
        <f>IF(AE$167="","",SUMIFS(DATA_GOC!$H:$H,DATA_GOC!$A:$A,"BOM",DATA_GOC!$D:$D,$B212,DATA_GOC!$E:$E,$F$159,DATA_GOC!$F:$F,"Xuất nội bộ từ téc",DATA_GOC!$B:$B,AE$167))</f>
        <v/>
      </c>
      <c r="AF212" s="128" t="str">
        <f>IF(AF$167="","",SUMIFS(DATA_GOC!$H:$H,DATA_GOC!$A:$A,"BOM",DATA_GOC!$D:$D,$B212,DATA_GOC!$E:$E,$F$159,DATA_GOC!$F:$F,"Xuất nội bộ từ téc",DATA_GOC!$B:$B,AF$167))</f>
        <v/>
      </c>
      <c r="AG212" s="128" t="str">
        <f>IF(AG$167="","",SUMIFS(DATA_GOC!$H:$H,DATA_GOC!$A:$A,"BOM",DATA_GOC!$D:$D,$B212,DATA_GOC!$E:$E,$F$159,DATA_GOC!$F:$F,"Xuất nội bộ từ téc",DATA_GOC!$B:$B,AG$167))</f>
        <v/>
      </c>
      <c r="AH212" s="129">
        <f>IF($B212="","",SUMIFS(DATA_GOC!$H:$H,DATA_GOC!$A:$A,"BOM",DATA_GOC!$D:$D,$B212,DATA_GOC!$E:$E,$F$159,DATA_GOC!$F:$F,"Xuất nội bộ từ téc",DATA_GOC!$B:$B,"&gt;="&amp;$H$159,DATA_GOC!$B:$B,"&lt;="&amp;$J$159))</f>
        <v>427</v>
      </c>
      <c r="AI212" s="130">
        <f t="shared" si="16"/>
        <v>0.0309667126</v>
      </c>
      <c r="AJ212" s="129">
        <f t="shared" si="17"/>
        <v>11.489</v>
      </c>
      <c r="AK212" s="129">
        <f t="shared" si="18"/>
        <v>0</v>
      </c>
      <c r="AL212" s="129">
        <f t="shared" si="19"/>
        <v>438.489</v>
      </c>
    </row>
    <row r="213" ht="21.75" hidden="1" customHeight="1">
      <c r="A213" s="126">
        <f t="shared" si="15"/>
        <v>46</v>
      </c>
      <c r="B213" s="127" t="str">
        <f t="array" ref="B213">IFERROR(IF(INDEX(DANH_MUC!$E:$E,49)="","",INDEX(DANH_MUC!$E:$E,49)),"")</f>
        <v>29E18160</v>
      </c>
      <c r="C213" s="128">
        <f>IF(C$167="","",SUMIFS(DATA_GOC!$H:$H,DATA_GOC!$A:$A,"BOM",DATA_GOC!$D:$D,$B213,DATA_GOC!$E:$E,$F$159,DATA_GOC!$F:$F,"Xuất nội bộ từ téc",DATA_GOC!$B:$B,C$167))</f>
        <v>0</v>
      </c>
      <c r="D213" s="128">
        <f>IF(D$167="","",SUMIFS(DATA_GOC!$H:$H,DATA_GOC!$A:$A,"BOM",DATA_GOC!$D:$D,$B213,DATA_GOC!$E:$E,$F$159,DATA_GOC!$F:$F,"Xuất nội bộ từ téc",DATA_GOC!$B:$B,D$167))</f>
        <v>0</v>
      </c>
      <c r="E213" s="128">
        <f>IF(E$167="","",SUMIFS(DATA_GOC!$H:$H,DATA_GOC!$A:$A,"BOM",DATA_GOC!$D:$D,$B213,DATA_GOC!$E:$E,$F$159,DATA_GOC!$F:$F,"Xuất nội bộ từ téc",DATA_GOC!$B:$B,E$167))</f>
        <v>0</v>
      </c>
      <c r="F213" s="128">
        <f>IF(F$167="","",SUMIFS(DATA_GOC!$H:$H,DATA_GOC!$A:$A,"BOM",DATA_GOC!$D:$D,$B213,DATA_GOC!$E:$E,$F$159,DATA_GOC!$F:$F,"Xuất nội bộ từ téc",DATA_GOC!$B:$B,F$167))</f>
        <v>0</v>
      </c>
      <c r="G213" s="128">
        <f>IF(G$167="","",SUMIFS(DATA_GOC!$H:$H,DATA_GOC!$A:$A,"BOM",DATA_GOC!$D:$D,$B213,DATA_GOC!$E:$E,$F$159,DATA_GOC!$F:$F,"Xuất nội bộ từ téc",DATA_GOC!$B:$B,G$167))</f>
        <v>0</v>
      </c>
      <c r="H213" s="128">
        <f>IF(H$167="","",SUMIFS(DATA_GOC!$H:$H,DATA_GOC!$A:$A,"BOM",DATA_GOC!$D:$D,$B213,DATA_GOC!$E:$E,$F$159,DATA_GOC!$F:$F,"Xuất nội bộ từ téc",DATA_GOC!$B:$B,H$167))</f>
        <v>0</v>
      </c>
      <c r="I213" s="128">
        <f>IF(I$167="","",SUMIFS(DATA_GOC!$H:$H,DATA_GOC!$A:$A,"BOM",DATA_GOC!$D:$D,$B213,DATA_GOC!$E:$E,$F$159,DATA_GOC!$F:$F,"Xuất nội bộ từ téc",DATA_GOC!$B:$B,I$167))</f>
        <v>0</v>
      </c>
      <c r="J213" s="128">
        <f>IF(J$167="","",SUMIFS(DATA_GOC!$H:$H,DATA_GOC!$A:$A,"BOM",DATA_GOC!$D:$D,$B213,DATA_GOC!$E:$E,$F$159,DATA_GOC!$F:$F,"Xuất nội bộ từ téc",DATA_GOC!$B:$B,J$167))</f>
        <v>0</v>
      </c>
      <c r="K213" s="128">
        <f>IF(K$167="","",SUMIFS(DATA_GOC!$H:$H,DATA_GOC!$A:$A,"BOM",DATA_GOC!$D:$D,$B213,DATA_GOC!$E:$E,$F$159,DATA_GOC!$F:$F,"Xuất nội bộ từ téc",DATA_GOC!$B:$B,K$167))</f>
        <v>0</v>
      </c>
      <c r="L213" s="128">
        <f>IF(L$167="","",SUMIFS(DATA_GOC!$H:$H,DATA_GOC!$A:$A,"BOM",DATA_GOC!$D:$D,$B213,DATA_GOC!$E:$E,$F$159,DATA_GOC!$F:$F,"Xuất nội bộ từ téc",DATA_GOC!$B:$B,L$167))</f>
        <v>0</v>
      </c>
      <c r="M213" s="128">
        <f>IF(M$167="","",SUMIFS(DATA_GOC!$H:$H,DATA_GOC!$A:$A,"BOM",DATA_GOC!$D:$D,$B213,DATA_GOC!$E:$E,$F$159,DATA_GOC!$F:$F,"Xuất nội bộ từ téc",DATA_GOC!$B:$B,M$167))</f>
        <v>0</v>
      </c>
      <c r="N213" s="128">
        <f>IF(N$167="","",SUMIFS(DATA_GOC!$H:$H,DATA_GOC!$A:$A,"BOM",DATA_GOC!$D:$D,$B213,DATA_GOC!$E:$E,$F$159,DATA_GOC!$F:$F,"Xuất nội bộ từ téc",DATA_GOC!$B:$B,N$167))</f>
        <v>0</v>
      </c>
      <c r="O213" s="128">
        <f>IF(O$167="","",SUMIFS(DATA_GOC!$H:$H,DATA_GOC!$A:$A,"BOM",DATA_GOC!$D:$D,$B213,DATA_GOC!$E:$E,$F$159,DATA_GOC!$F:$F,"Xuất nội bộ từ téc",DATA_GOC!$B:$B,O$167))</f>
        <v>0</v>
      </c>
      <c r="P213" s="128">
        <f>IF(P$167="","",SUMIFS(DATA_GOC!$H:$H,DATA_GOC!$A:$A,"BOM",DATA_GOC!$D:$D,$B213,DATA_GOC!$E:$E,$F$159,DATA_GOC!$F:$F,"Xuất nội bộ từ téc",DATA_GOC!$B:$B,P$167))</f>
        <v>0</v>
      </c>
      <c r="Q213" s="128">
        <f>IF(Q$167="","",SUMIFS(DATA_GOC!$H:$H,DATA_GOC!$A:$A,"BOM",DATA_GOC!$D:$D,$B213,DATA_GOC!$E:$E,$F$159,DATA_GOC!$F:$F,"Xuất nội bộ từ téc",DATA_GOC!$B:$B,Q$167))</f>
        <v>0</v>
      </c>
      <c r="R213" s="128">
        <f>IF(R$167="","",SUMIFS(DATA_GOC!$H:$H,DATA_GOC!$A:$A,"BOM",DATA_GOC!$D:$D,$B213,DATA_GOC!$E:$E,$F$159,DATA_GOC!$F:$F,"Xuất nội bộ từ téc",DATA_GOC!$B:$B,R$167))</f>
        <v>0</v>
      </c>
      <c r="S213" s="128">
        <f>IF(S$167="","",SUMIFS(DATA_GOC!$H:$H,DATA_GOC!$A:$A,"BOM",DATA_GOC!$D:$D,$B213,DATA_GOC!$E:$E,$F$159,DATA_GOC!$F:$F,"Xuất nội bộ từ téc",DATA_GOC!$B:$B,S$167))</f>
        <v>0</v>
      </c>
      <c r="T213" s="128">
        <f>IF(T$167="","",SUMIFS(DATA_GOC!$H:$H,DATA_GOC!$A:$A,"BOM",DATA_GOC!$D:$D,$B213,DATA_GOC!$E:$E,$F$159,DATA_GOC!$F:$F,"Xuất nội bộ từ téc",DATA_GOC!$B:$B,T$167))</f>
        <v>0</v>
      </c>
      <c r="U213" s="128">
        <f>IF(U$167="","",SUMIFS(DATA_GOC!$H:$H,DATA_GOC!$A:$A,"BOM",DATA_GOC!$D:$D,$B213,DATA_GOC!$E:$E,$F$159,DATA_GOC!$F:$F,"Xuất nội bộ từ téc",DATA_GOC!$B:$B,U$167))</f>
        <v>0</v>
      </c>
      <c r="V213" s="128">
        <f>IF(V$167="","",SUMIFS(DATA_GOC!$H:$H,DATA_GOC!$A:$A,"BOM",DATA_GOC!$D:$D,$B213,DATA_GOC!$E:$E,$F$159,DATA_GOC!$F:$F,"Xuất nội bộ từ téc",DATA_GOC!$B:$B,V$167))</f>
        <v>0</v>
      </c>
      <c r="W213" s="128">
        <f>IF(W$167="","",SUMIFS(DATA_GOC!$H:$H,DATA_GOC!$A:$A,"BOM",DATA_GOC!$D:$D,$B213,DATA_GOC!$E:$E,$F$159,DATA_GOC!$F:$F,"Xuất nội bộ từ téc",DATA_GOC!$B:$B,W$167))</f>
        <v>0</v>
      </c>
      <c r="X213" s="128">
        <f>IF(X$167="","",SUMIFS(DATA_GOC!$H:$H,DATA_GOC!$A:$A,"BOM",DATA_GOC!$D:$D,$B213,DATA_GOC!$E:$E,$F$159,DATA_GOC!$F:$F,"Xuất nội bộ từ téc",DATA_GOC!$B:$B,X$167))</f>
        <v>0</v>
      </c>
      <c r="Y213" s="128" t="str">
        <f>IF(Y$167="","",SUMIFS(DATA_GOC!$H:$H,DATA_GOC!$A:$A,"BOM",DATA_GOC!$D:$D,$B213,DATA_GOC!$E:$E,$F$159,DATA_GOC!$F:$F,"Xuất nội bộ từ téc",DATA_GOC!$B:$B,Y$167))</f>
        <v/>
      </c>
      <c r="Z213" s="128" t="str">
        <f>IF(Z$167="","",SUMIFS(DATA_GOC!$H:$H,DATA_GOC!$A:$A,"BOM",DATA_GOC!$D:$D,$B213,DATA_GOC!$E:$E,$F$159,DATA_GOC!$F:$F,"Xuất nội bộ từ téc",DATA_GOC!$B:$B,Z$167))</f>
        <v/>
      </c>
      <c r="AA213" s="128" t="str">
        <f>IF(AA$167="","",SUMIFS(DATA_GOC!$H:$H,DATA_GOC!$A:$A,"BOM",DATA_GOC!$D:$D,$B213,DATA_GOC!$E:$E,$F$159,DATA_GOC!$F:$F,"Xuất nội bộ từ téc",DATA_GOC!$B:$B,AA$167))</f>
        <v/>
      </c>
      <c r="AB213" s="128" t="str">
        <f>IF(AB$167="","",SUMIFS(DATA_GOC!$H:$H,DATA_GOC!$A:$A,"BOM",DATA_GOC!$D:$D,$B213,DATA_GOC!$E:$E,$F$159,DATA_GOC!$F:$F,"Xuất nội bộ từ téc",DATA_GOC!$B:$B,AB$167))</f>
        <v/>
      </c>
      <c r="AC213" s="128" t="str">
        <f>IF(AC$167="","",SUMIFS(DATA_GOC!$H:$H,DATA_GOC!$A:$A,"BOM",DATA_GOC!$D:$D,$B213,DATA_GOC!$E:$E,$F$159,DATA_GOC!$F:$F,"Xuất nội bộ từ téc",DATA_GOC!$B:$B,AC$167))</f>
        <v/>
      </c>
      <c r="AD213" s="128" t="str">
        <f>IF(AD$167="","",SUMIFS(DATA_GOC!$H:$H,DATA_GOC!$A:$A,"BOM",DATA_GOC!$D:$D,$B213,DATA_GOC!$E:$E,$F$159,DATA_GOC!$F:$F,"Xuất nội bộ từ téc",DATA_GOC!$B:$B,AD$167))</f>
        <v/>
      </c>
      <c r="AE213" s="128" t="str">
        <f>IF(AE$167="","",SUMIFS(DATA_GOC!$H:$H,DATA_GOC!$A:$A,"BOM",DATA_GOC!$D:$D,$B213,DATA_GOC!$E:$E,$F$159,DATA_GOC!$F:$F,"Xuất nội bộ từ téc",DATA_GOC!$B:$B,AE$167))</f>
        <v/>
      </c>
      <c r="AF213" s="128" t="str">
        <f>IF(AF$167="","",SUMIFS(DATA_GOC!$H:$H,DATA_GOC!$A:$A,"BOM",DATA_GOC!$D:$D,$B213,DATA_GOC!$E:$E,$F$159,DATA_GOC!$F:$F,"Xuất nội bộ từ téc",DATA_GOC!$B:$B,AF$167))</f>
        <v/>
      </c>
      <c r="AG213" s="128" t="str">
        <f>IF(AG$167="","",SUMIFS(DATA_GOC!$H:$H,DATA_GOC!$A:$A,"BOM",DATA_GOC!$D:$D,$B213,DATA_GOC!$E:$E,$F$159,DATA_GOC!$F:$F,"Xuất nội bộ từ téc",DATA_GOC!$B:$B,AG$167))</f>
        <v/>
      </c>
      <c r="AH213" s="129">
        <f>IF($B213="","",SUMIFS(DATA_GOC!$H:$H,DATA_GOC!$A:$A,"BOM",DATA_GOC!$D:$D,$B213,DATA_GOC!$E:$E,$F$159,DATA_GOC!$F:$F,"Xuất nội bộ từ téc",DATA_GOC!$B:$B,"&gt;="&amp;$H$159,DATA_GOC!$B:$B,"&lt;="&amp;$J$159))</f>
        <v>0</v>
      </c>
      <c r="AI213" s="130">
        <f t="shared" si="16"/>
        <v>0</v>
      </c>
      <c r="AJ213" s="129">
        <f t="shared" si="17"/>
        <v>0</v>
      </c>
      <c r="AK213" s="129">
        <f t="shared" si="18"/>
        <v>0</v>
      </c>
      <c r="AL213" s="129">
        <f t="shared" si="19"/>
        <v>0</v>
      </c>
    </row>
    <row r="214" ht="21.75" hidden="1" customHeight="1">
      <c r="A214" s="126">
        <f t="shared" si="15"/>
        <v>47</v>
      </c>
      <c r="B214" s="127" t="str">
        <f t="array" ref="B214">IFERROR(IF(INDEX(DANH_MUC!$E:$E,50)="","",INDEX(DANH_MUC!$E:$E,50)),"")</f>
        <v>Công trình Asphalt</v>
      </c>
      <c r="C214" s="128">
        <f>IF(C$167="","",SUMIFS(DATA_GOC!$H:$H,DATA_GOC!$A:$A,"BOM",DATA_GOC!$D:$D,$B214,DATA_GOC!$E:$E,$F$159,DATA_GOC!$F:$F,"Xuất nội bộ từ téc",DATA_GOC!$B:$B,C$167))</f>
        <v>0</v>
      </c>
      <c r="D214" s="128">
        <f>IF(D$167="","",SUMIFS(DATA_GOC!$H:$H,DATA_GOC!$A:$A,"BOM",DATA_GOC!$D:$D,$B214,DATA_GOC!$E:$E,$F$159,DATA_GOC!$F:$F,"Xuất nội bộ từ téc",DATA_GOC!$B:$B,D$167))</f>
        <v>0</v>
      </c>
      <c r="E214" s="128">
        <f>IF(E$167="","",SUMIFS(DATA_GOC!$H:$H,DATA_GOC!$A:$A,"BOM",DATA_GOC!$D:$D,$B214,DATA_GOC!$E:$E,$F$159,DATA_GOC!$F:$F,"Xuất nội bộ từ téc",DATA_GOC!$B:$B,E$167))</f>
        <v>0</v>
      </c>
      <c r="F214" s="128">
        <f>IF(F$167="","",SUMIFS(DATA_GOC!$H:$H,DATA_GOC!$A:$A,"BOM",DATA_GOC!$D:$D,$B214,DATA_GOC!$E:$E,$F$159,DATA_GOC!$F:$F,"Xuất nội bộ từ téc",DATA_GOC!$B:$B,F$167))</f>
        <v>0</v>
      </c>
      <c r="G214" s="128">
        <f>IF(G$167="","",SUMIFS(DATA_GOC!$H:$H,DATA_GOC!$A:$A,"BOM",DATA_GOC!$D:$D,$B214,DATA_GOC!$E:$E,$F$159,DATA_GOC!$F:$F,"Xuất nội bộ từ téc",DATA_GOC!$B:$B,G$167))</f>
        <v>0</v>
      </c>
      <c r="H214" s="128">
        <f>IF(H$167="","",SUMIFS(DATA_GOC!$H:$H,DATA_GOC!$A:$A,"BOM",DATA_GOC!$D:$D,$B214,DATA_GOC!$E:$E,$F$159,DATA_GOC!$F:$F,"Xuất nội bộ từ téc",DATA_GOC!$B:$B,H$167))</f>
        <v>0</v>
      </c>
      <c r="I214" s="128">
        <f>IF(I$167="","",SUMIFS(DATA_GOC!$H:$H,DATA_GOC!$A:$A,"BOM",DATA_GOC!$D:$D,$B214,DATA_GOC!$E:$E,$F$159,DATA_GOC!$F:$F,"Xuất nội bộ từ téc",DATA_GOC!$B:$B,I$167))</f>
        <v>0</v>
      </c>
      <c r="J214" s="128">
        <f>IF(J$167="","",SUMIFS(DATA_GOC!$H:$H,DATA_GOC!$A:$A,"BOM",DATA_GOC!$D:$D,$B214,DATA_GOC!$E:$E,$F$159,DATA_GOC!$F:$F,"Xuất nội bộ từ téc",DATA_GOC!$B:$B,J$167))</f>
        <v>0</v>
      </c>
      <c r="K214" s="128">
        <f>IF(K$167="","",SUMIFS(DATA_GOC!$H:$H,DATA_GOC!$A:$A,"BOM",DATA_GOC!$D:$D,$B214,DATA_GOC!$E:$E,$F$159,DATA_GOC!$F:$F,"Xuất nội bộ từ téc",DATA_GOC!$B:$B,K$167))</f>
        <v>0</v>
      </c>
      <c r="L214" s="128">
        <f>IF(L$167="","",SUMIFS(DATA_GOC!$H:$H,DATA_GOC!$A:$A,"BOM",DATA_GOC!$D:$D,$B214,DATA_GOC!$E:$E,$F$159,DATA_GOC!$F:$F,"Xuất nội bộ từ téc",DATA_GOC!$B:$B,L$167))</f>
        <v>0</v>
      </c>
      <c r="M214" s="128">
        <f>IF(M$167="","",SUMIFS(DATA_GOC!$H:$H,DATA_GOC!$A:$A,"BOM",DATA_GOC!$D:$D,$B214,DATA_GOC!$E:$E,$F$159,DATA_GOC!$F:$F,"Xuất nội bộ từ téc",DATA_GOC!$B:$B,M$167))</f>
        <v>0</v>
      </c>
      <c r="N214" s="128">
        <f>IF(N$167="","",SUMIFS(DATA_GOC!$H:$H,DATA_GOC!$A:$A,"BOM",DATA_GOC!$D:$D,$B214,DATA_GOC!$E:$E,$F$159,DATA_GOC!$F:$F,"Xuất nội bộ từ téc",DATA_GOC!$B:$B,N$167))</f>
        <v>0</v>
      </c>
      <c r="O214" s="128">
        <f>IF(O$167="","",SUMIFS(DATA_GOC!$H:$H,DATA_GOC!$A:$A,"BOM",DATA_GOC!$D:$D,$B214,DATA_GOC!$E:$E,$F$159,DATA_GOC!$F:$F,"Xuất nội bộ từ téc",DATA_GOC!$B:$B,O$167))</f>
        <v>0</v>
      </c>
      <c r="P214" s="128">
        <f>IF(P$167="","",SUMIFS(DATA_GOC!$H:$H,DATA_GOC!$A:$A,"BOM",DATA_GOC!$D:$D,$B214,DATA_GOC!$E:$E,$F$159,DATA_GOC!$F:$F,"Xuất nội bộ từ téc",DATA_GOC!$B:$B,P$167))</f>
        <v>0</v>
      </c>
      <c r="Q214" s="128">
        <f>IF(Q$167="","",SUMIFS(DATA_GOC!$H:$H,DATA_GOC!$A:$A,"BOM",DATA_GOC!$D:$D,$B214,DATA_GOC!$E:$E,$F$159,DATA_GOC!$F:$F,"Xuất nội bộ từ téc",DATA_GOC!$B:$B,Q$167))</f>
        <v>0</v>
      </c>
      <c r="R214" s="128">
        <f>IF(R$167="","",SUMIFS(DATA_GOC!$H:$H,DATA_GOC!$A:$A,"BOM",DATA_GOC!$D:$D,$B214,DATA_GOC!$E:$E,$F$159,DATA_GOC!$F:$F,"Xuất nội bộ từ téc",DATA_GOC!$B:$B,R$167))</f>
        <v>0</v>
      </c>
      <c r="S214" s="128">
        <f>IF(S$167="","",SUMIFS(DATA_GOC!$H:$H,DATA_GOC!$A:$A,"BOM",DATA_GOC!$D:$D,$B214,DATA_GOC!$E:$E,$F$159,DATA_GOC!$F:$F,"Xuất nội bộ từ téc",DATA_GOC!$B:$B,S$167))</f>
        <v>0</v>
      </c>
      <c r="T214" s="128">
        <f>IF(T$167="","",SUMIFS(DATA_GOC!$H:$H,DATA_GOC!$A:$A,"BOM",DATA_GOC!$D:$D,$B214,DATA_GOC!$E:$E,$F$159,DATA_GOC!$F:$F,"Xuất nội bộ từ téc",DATA_GOC!$B:$B,T$167))</f>
        <v>0</v>
      </c>
      <c r="U214" s="128">
        <f>IF(U$167="","",SUMIFS(DATA_GOC!$H:$H,DATA_GOC!$A:$A,"BOM",DATA_GOC!$D:$D,$B214,DATA_GOC!$E:$E,$F$159,DATA_GOC!$F:$F,"Xuất nội bộ từ téc",DATA_GOC!$B:$B,U$167))</f>
        <v>0</v>
      </c>
      <c r="V214" s="128">
        <f>IF(V$167="","",SUMIFS(DATA_GOC!$H:$H,DATA_GOC!$A:$A,"BOM",DATA_GOC!$D:$D,$B214,DATA_GOC!$E:$E,$F$159,DATA_GOC!$F:$F,"Xuất nội bộ từ téc",DATA_GOC!$B:$B,V$167))</f>
        <v>0</v>
      </c>
      <c r="W214" s="128">
        <f>IF(W$167="","",SUMIFS(DATA_GOC!$H:$H,DATA_GOC!$A:$A,"BOM",DATA_GOC!$D:$D,$B214,DATA_GOC!$E:$E,$F$159,DATA_GOC!$F:$F,"Xuất nội bộ từ téc",DATA_GOC!$B:$B,W$167))</f>
        <v>0</v>
      </c>
      <c r="X214" s="128">
        <f>IF(X$167="","",SUMIFS(DATA_GOC!$H:$H,DATA_GOC!$A:$A,"BOM",DATA_GOC!$D:$D,$B214,DATA_GOC!$E:$E,$F$159,DATA_GOC!$F:$F,"Xuất nội bộ từ téc",DATA_GOC!$B:$B,X$167))</f>
        <v>0</v>
      </c>
      <c r="Y214" s="128" t="str">
        <f>IF(Y$167="","",SUMIFS(DATA_GOC!$H:$H,DATA_GOC!$A:$A,"BOM",DATA_GOC!$D:$D,$B214,DATA_GOC!$E:$E,$F$159,DATA_GOC!$F:$F,"Xuất nội bộ từ téc",DATA_GOC!$B:$B,Y$167))</f>
        <v/>
      </c>
      <c r="Z214" s="128" t="str">
        <f>IF(Z$167="","",SUMIFS(DATA_GOC!$H:$H,DATA_GOC!$A:$A,"BOM",DATA_GOC!$D:$D,$B214,DATA_GOC!$E:$E,$F$159,DATA_GOC!$F:$F,"Xuất nội bộ từ téc",DATA_GOC!$B:$B,Z$167))</f>
        <v/>
      </c>
      <c r="AA214" s="128" t="str">
        <f>IF(AA$167="","",SUMIFS(DATA_GOC!$H:$H,DATA_GOC!$A:$A,"BOM",DATA_GOC!$D:$D,$B214,DATA_GOC!$E:$E,$F$159,DATA_GOC!$F:$F,"Xuất nội bộ từ téc",DATA_GOC!$B:$B,AA$167))</f>
        <v/>
      </c>
      <c r="AB214" s="128" t="str">
        <f>IF(AB$167="","",SUMIFS(DATA_GOC!$H:$H,DATA_GOC!$A:$A,"BOM",DATA_GOC!$D:$D,$B214,DATA_GOC!$E:$E,$F$159,DATA_GOC!$F:$F,"Xuất nội bộ từ téc",DATA_GOC!$B:$B,AB$167))</f>
        <v/>
      </c>
      <c r="AC214" s="128" t="str">
        <f>IF(AC$167="","",SUMIFS(DATA_GOC!$H:$H,DATA_GOC!$A:$A,"BOM",DATA_GOC!$D:$D,$B214,DATA_GOC!$E:$E,$F$159,DATA_GOC!$F:$F,"Xuất nội bộ từ téc",DATA_GOC!$B:$B,AC$167))</f>
        <v/>
      </c>
      <c r="AD214" s="128" t="str">
        <f>IF(AD$167="","",SUMIFS(DATA_GOC!$H:$H,DATA_GOC!$A:$A,"BOM",DATA_GOC!$D:$D,$B214,DATA_GOC!$E:$E,$F$159,DATA_GOC!$F:$F,"Xuất nội bộ từ téc",DATA_GOC!$B:$B,AD$167))</f>
        <v/>
      </c>
      <c r="AE214" s="128" t="str">
        <f>IF(AE$167="","",SUMIFS(DATA_GOC!$H:$H,DATA_GOC!$A:$A,"BOM",DATA_GOC!$D:$D,$B214,DATA_GOC!$E:$E,$F$159,DATA_GOC!$F:$F,"Xuất nội bộ từ téc",DATA_GOC!$B:$B,AE$167))</f>
        <v/>
      </c>
      <c r="AF214" s="128" t="str">
        <f>IF(AF$167="","",SUMIFS(DATA_GOC!$H:$H,DATA_GOC!$A:$A,"BOM",DATA_GOC!$D:$D,$B214,DATA_GOC!$E:$E,$F$159,DATA_GOC!$F:$F,"Xuất nội bộ từ téc",DATA_GOC!$B:$B,AF$167))</f>
        <v/>
      </c>
      <c r="AG214" s="128" t="str">
        <f>IF(AG$167="","",SUMIFS(DATA_GOC!$H:$H,DATA_GOC!$A:$A,"BOM",DATA_GOC!$D:$D,$B214,DATA_GOC!$E:$E,$F$159,DATA_GOC!$F:$F,"Xuất nội bộ từ téc",DATA_GOC!$B:$B,AG$167))</f>
        <v/>
      </c>
      <c r="AH214" s="129">
        <f>IF($B214="","",SUMIFS(DATA_GOC!$H:$H,DATA_GOC!$A:$A,"BOM",DATA_GOC!$D:$D,$B214,DATA_GOC!$E:$E,$F$159,DATA_GOC!$F:$F,"Xuất nội bộ từ téc",DATA_GOC!$B:$B,"&gt;="&amp;$H$159,DATA_GOC!$B:$B,"&lt;="&amp;$J$159))</f>
        <v>0</v>
      </c>
      <c r="AI214" s="130">
        <f t="shared" si="16"/>
        <v>0</v>
      </c>
      <c r="AJ214" s="129">
        <f t="shared" si="17"/>
        <v>0</v>
      </c>
      <c r="AK214" s="129">
        <f t="shared" si="18"/>
        <v>0</v>
      </c>
      <c r="AL214" s="129">
        <f t="shared" si="19"/>
        <v>0</v>
      </c>
    </row>
    <row r="215" ht="21.75" hidden="1" customHeight="1">
      <c r="A215" s="126">
        <f t="shared" si="15"/>
        <v>48</v>
      </c>
      <c r="B215" s="127" t="str">
        <f t="array" ref="B215">IFERROR(IF(INDEX(DANH_MUC!$E:$E,51)="","",INDEX(DANH_MUC!$E:$E,51)),"")</f>
        <v>LG53F</v>
      </c>
      <c r="C215" s="128">
        <f>IF(C$167="","",SUMIFS(DATA_GOC!$H:$H,DATA_GOC!$A:$A,"BOM",DATA_GOC!$D:$D,$B215,DATA_GOC!$E:$E,$F$159,DATA_GOC!$F:$F,"Xuất nội bộ từ téc",DATA_GOC!$B:$B,C$167))</f>
        <v>0</v>
      </c>
      <c r="D215" s="128">
        <f>IF(D$167="","",SUMIFS(DATA_GOC!$H:$H,DATA_GOC!$A:$A,"BOM",DATA_GOC!$D:$D,$B215,DATA_GOC!$E:$E,$F$159,DATA_GOC!$F:$F,"Xuất nội bộ từ téc",DATA_GOC!$B:$B,D$167))</f>
        <v>0</v>
      </c>
      <c r="E215" s="128">
        <f>IF(E$167="","",SUMIFS(DATA_GOC!$H:$H,DATA_GOC!$A:$A,"BOM",DATA_GOC!$D:$D,$B215,DATA_GOC!$E:$E,$F$159,DATA_GOC!$F:$F,"Xuất nội bộ từ téc",DATA_GOC!$B:$B,E$167))</f>
        <v>0</v>
      </c>
      <c r="F215" s="128">
        <f>IF(F$167="","",SUMIFS(DATA_GOC!$H:$H,DATA_GOC!$A:$A,"BOM",DATA_GOC!$D:$D,$B215,DATA_GOC!$E:$E,$F$159,DATA_GOC!$F:$F,"Xuất nội bộ từ téc",DATA_GOC!$B:$B,F$167))</f>
        <v>0</v>
      </c>
      <c r="G215" s="128">
        <f>IF(G$167="","",SUMIFS(DATA_GOC!$H:$H,DATA_GOC!$A:$A,"BOM",DATA_GOC!$D:$D,$B215,DATA_GOC!$E:$E,$F$159,DATA_GOC!$F:$F,"Xuất nội bộ từ téc",DATA_GOC!$B:$B,G$167))</f>
        <v>0</v>
      </c>
      <c r="H215" s="128">
        <f>IF(H$167="","",SUMIFS(DATA_GOC!$H:$H,DATA_GOC!$A:$A,"BOM",DATA_GOC!$D:$D,$B215,DATA_GOC!$E:$E,$F$159,DATA_GOC!$F:$F,"Xuất nội bộ từ téc",DATA_GOC!$B:$B,H$167))</f>
        <v>0</v>
      </c>
      <c r="I215" s="128">
        <f>IF(I$167="","",SUMIFS(DATA_GOC!$H:$H,DATA_GOC!$A:$A,"BOM",DATA_GOC!$D:$D,$B215,DATA_GOC!$E:$E,$F$159,DATA_GOC!$F:$F,"Xuất nội bộ từ téc",DATA_GOC!$B:$B,I$167))</f>
        <v>0</v>
      </c>
      <c r="J215" s="128">
        <f>IF(J$167="","",SUMIFS(DATA_GOC!$H:$H,DATA_GOC!$A:$A,"BOM",DATA_GOC!$D:$D,$B215,DATA_GOC!$E:$E,$F$159,DATA_GOC!$F:$F,"Xuất nội bộ từ téc",DATA_GOC!$B:$B,J$167))</f>
        <v>0</v>
      </c>
      <c r="K215" s="128">
        <f>IF(K$167="","",SUMIFS(DATA_GOC!$H:$H,DATA_GOC!$A:$A,"BOM",DATA_GOC!$D:$D,$B215,DATA_GOC!$E:$E,$F$159,DATA_GOC!$F:$F,"Xuất nội bộ từ téc",DATA_GOC!$B:$B,K$167))</f>
        <v>0</v>
      </c>
      <c r="L215" s="128">
        <f>IF(L$167="","",SUMIFS(DATA_GOC!$H:$H,DATA_GOC!$A:$A,"BOM",DATA_GOC!$D:$D,$B215,DATA_GOC!$E:$E,$F$159,DATA_GOC!$F:$F,"Xuất nội bộ từ téc",DATA_GOC!$B:$B,L$167))</f>
        <v>0</v>
      </c>
      <c r="M215" s="128">
        <f>IF(M$167="","",SUMIFS(DATA_GOC!$H:$H,DATA_GOC!$A:$A,"BOM",DATA_GOC!$D:$D,$B215,DATA_GOC!$E:$E,$F$159,DATA_GOC!$F:$F,"Xuất nội bộ từ téc",DATA_GOC!$B:$B,M$167))</f>
        <v>0</v>
      </c>
      <c r="N215" s="128">
        <f>IF(N$167="","",SUMIFS(DATA_GOC!$H:$H,DATA_GOC!$A:$A,"BOM",DATA_GOC!$D:$D,$B215,DATA_GOC!$E:$E,$F$159,DATA_GOC!$F:$F,"Xuất nội bộ từ téc",DATA_GOC!$B:$B,N$167))</f>
        <v>0</v>
      </c>
      <c r="O215" s="128">
        <f>IF(O$167="","",SUMIFS(DATA_GOC!$H:$H,DATA_GOC!$A:$A,"BOM",DATA_GOC!$D:$D,$B215,DATA_GOC!$E:$E,$F$159,DATA_GOC!$F:$F,"Xuất nội bộ từ téc",DATA_GOC!$B:$B,O$167))</f>
        <v>0</v>
      </c>
      <c r="P215" s="128">
        <f>IF(P$167="","",SUMIFS(DATA_GOC!$H:$H,DATA_GOC!$A:$A,"BOM",DATA_GOC!$D:$D,$B215,DATA_GOC!$E:$E,$F$159,DATA_GOC!$F:$F,"Xuất nội bộ từ téc",DATA_GOC!$B:$B,P$167))</f>
        <v>0</v>
      </c>
      <c r="Q215" s="128">
        <f>IF(Q$167="","",SUMIFS(DATA_GOC!$H:$H,DATA_GOC!$A:$A,"BOM",DATA_GOC!$D:$D,$B215,DATA_GOC!$E:$E,$F$159,DATA_GOC!$F:$F,"Xuất nội bộ từ téc",DATA_GOC!$B:$B,Q$167))</f>
        <v>0</v>
      </c>
      <c r="R215" s="128">
        <f>IF(R$167="","",SUMIFS(DATA_GOC!$H:$H,DATA_GOC!$A:$A,"BOM",DATA_GOC!$D:$D,$B215,DATA_GOC!$E:$E,$F$159,DATA_GOC!$F:$F,"Xuất nội bộ từ téc",DATA_GOC!$B:$B,R$167))</f>
        <v>0</v>
      </c>
      <c r="S215" s="128">
        <f>IF(S$167="","",SUMIFS(DATA_GOC!$H:$H,DATA_GOC!$A:$A,"BOM",DATA_GOC!$D:$D,$B215,DATA_GOC!$E:$E,$F$159,DATA_GOC!$F:$F,"Xuất nội bộ từ téc",DATA_GOC!$B:$B,S$167))</f>
        <v>0</v>
      </c>
      <c r="T215" s="128">
        <f>IF(T$167="","",SUMIFS(DATA_GOC!$H:$H,DATA_GOC!$A:$A,"BOM",DATA_GOC!$D:$D,$B215,DATA_GOC!$E:$E,$F$159,DATA_GOC!$F:$F,"Xuất nội bộ từ téc",DATA_GOC!$B:$B,T$167))</f>
        <v>0</v>
      </c>
      <c r="U215" s="128">
        <f>IF(U$167="","",SUMIFS(DATA_GOC!$H:$H,DATA_GOC!$A:$A,"BOM",DATA_GOC!$D:$D,$B215,DATA_GOC!$E:$E,$F$159,DATA_GOC!$F:$F,"Xuất nội bộ từ téc",DATA_GOC!$B:$B,U$167))</f>
        <v>0</v>
      </c>
      <c r="V215" s="128">
        <f>IF(V$167="","",SUMIFS(DATA_GOC!$H:$H,DATA_GOC!$A:$A,"BOM",DATA_GOC!$D:$D,$B215,DATA_GOC!$E:$E,$F$159,DATA_GOC!$F:$F,"Xuất nội bộ từ téc",DATA_GOC!$B:$B,V$167))</f>
        <v>0</v>
      </c>
      <c r="W215" s="128">
        <f>IF(W$167="","",SUMIFS(DATA_GOC!$H:$H,DATA_GOC!$A:$A,"BOM",DATA_GOC!$D:$D,$B215,DATA_GOC!$E:$E,$F$159,DATA_GOC!$F:$F,"Xuất nội bộ từ téc",DATA_GOC!$B:$B,W$167))</f>
        <v>0</v>
      </c>
      <c r="X215" s="128">
        <f>IF(X$167="","",SUMIFS(DATA_GOC!$H:$H,DATA_GOC!$A:$A,"BOM",DATA_GOC!$D:$D,$B215,DATA_GOC!$E:$E,$F$159,DATA_GOC!$F:$F,"Xuất nội bộ từ téc",DATA_GOC!$B:$B,X$167))</f>
        <v>0</v>
      </c>
      <c r="Y215" s="128" t="str">
        <f>IF(Y$167="","",SUMIFS(DATA_GOC!$H:$H,DATA_GOC!$A:$A,"BOM",DATA_GOC!$D:$D,$B215,DATA_GOC!$E:$E,$F$159,DATA_GOC!$F:$F,"Xuất nội bộ từ téc",DATA_GOC!$B:$B,Y$167))</f>
        <v/>
      </c>
      <c r="Z215" s="128" t="str">
        <f>IF(Z$167="","",SUMIFS(DATA_GOC!$H:$H,DATA_GOC!$A:$A,"BOM",DATA_GOC!$D:$D,$B215,DATA_GOC!$E:$E,$F$159,DATA_GOC!$F:$F,"Xuất nội bộ từ téc",DATA_GOC!$B:$B,Z$167))</f>
        <v/>
      </c>
      <c r="AA215" s="128" t="str">
        <f>IF(AA$167="","",SUMIFS(DATA_GOC!$H:$H,DATA_GOC!$A:$A,"BOM",DATA_GOC!$D:$D,$B215,DATA_GOC!$E:$E,$F$159,DATA_GOC!$F:$F,"Xuất nội bộ từ téc",DATA_GOC!$B:$B,AA$167))</f>
        <v/>
      </c>
      <c r="AB215" s="128" t="str">
        <f>IF(AB$167="","",SUMIFS(DATA_GOC!$H:$H,DATA_GOC!$A:$A,"BOM",DATA_GOC!$D:$D,$B215,DATA_GOC!$E:$E,$F$159,DATA_GOC!$F:$F,"Xuất nội bộ từ téc",DATA_GOC!$B:$B,AB$167))</f>
        <v/>
      </c>
      <c r="AC215" s="128" t="str">
        <f>IF(AC$167="","",SUMIFS(DATA_GOC!$H:$H,DATA_GOC!$A:$A,"BOM",DATA_GOC!$D:$D,$B215,DATA_GOC!$E:$E,$F$159,DATA_GOC!$F:$F,"Xuất nội bộ từ téc",DATA_GOC!$B:$B,AC$167))</f>
        <v/>
      </c>
      <c r="AD215" s="128" t="str">
        <f>IF(AD$167="","",SUMIFS(DATA_GOC!$H:$H,DATA_GOC!$A:$A,"BOM",DATA_GOC!$D:$D,$B215,DATA_GOC!$E:$E,$F$159,DATA_GOC!$F:$F,"Xuất nội bộ từ téc",DATA_GOC!$B:$B,AD$167))</f>
        <v/>
      </c>
      <c r="AE215" s="128" t="str">
        <f>IF(AE$167="","",SUMIFS(DATA_GOC!$H:$H,DATA_GOC!$A:$A,"BOM",DATA_GOC!$D:$D,$B215,DATA_GOC!$E:$E,$F$159,DATA_GOC!$F:$F,"Xuất nội bộ từ téc",DATA_GOC!$B:$B,AE$167))</f>
        <v/>
      </c>
      <c r="AF215" s="128" t="str">
        <f>IF(AF$167="","",SUMIFS(DATA_GOC!$H:$H,DATA_GOC!$A:$A,"BOM",DATA_GOC!$D:$D,$B215,DATA_GOC!$E:$E,$F$159,DATA_GOC!$F:$F,"Xuất nội bộ từ téc",DATA_GOC!$B:$B,AF$167))</f>
        <v/>
      </c>
      <c r="AG215" s="128" t="str">
        <f>IF(AG$167="","",SUMIFS(DATA_GOC!$H:$H,DATA_GOC!$A:$A,"BOM",DATA_GOC!$D:$D,$B215,DATA_GOC!$E:$E,$F$159,DATA_GOC!$F:$F,"Xuất nội bộ từ téc",DATA_GOC!$B:$B,AG$167))</f>
        <v/>
      </c>
      <c r="AH215" s="129">
        <f>IF($B215="","",SUMIFS(DATA_GOC!$H:$H,DATA_GOC!$A:$A,"BOM",DATA_GOC!$D:$D,$B215,DATA_GOC!$E:$E,$F$159,DATA_GOC!$F:$F,"Xuất nội bộ từ téc",DATA_GOC!$B:$B,"&gt;="&amp;$H$159,DATA_GOC!$B:$B,"&lt;="&amp;$J$159))</f>
        <v>0</v>
      </c>
      <c r="AI215" s="130">
        <f t="shared" si="16"/>
        <v>0</v>
      </c>
      <c r="AJ215" s="129">
        <f t="shared" si="17"/>
        <v>0</v>
      </c>
      <c r="AK215" s="129">
        <f t="shared" si="18"/>
        <v>0</v>
      </c>
      <c r="AL215" s="129">
        <f t="shared" si="19"/>
        <v>0</v>
      </c>
    </row>
    <row r="216" ht="21.75" hidden="1" customHeight="1">
      <c r="A216" s="126">
        <f t="shared" si="15"/>
        <v>49</v>
      </c>
      <c r="B216" s="127" t="str">
        <f t="array" ref="B216">IFERROR(IF(INDEX(DANH_MUC!$E:$E,52)="","",INDEX(DANH_MUC!$E:$E,52)),"")</f>
        <v>Máy phát điện</v>
      </c>
      <c r="C216" s="128">
        <f>IF(C$167="","",SUMIFS(DATA_GOC!$H:$H,DATA_GOC!$A:$A,"BOM",DATA_GOC!$D:$D,$B216,DATA_GOC!$E:$E,$F$159,DATA_GOC!$F:$F,"Xuất nội bộ từ téc",DATA_GOC!$B:$B,C$167))</f>
        <v>0</v>
      </c>
      <c r="D216" s="128">
        <f>IF(D$167="","",SUMIFS(DATA_GOC!$H:$H,DATA_GOC!$A:$A,"BOM",DATA_GOC!$D:$D,$B216,DATA_GOC!$E:$E,$F$159,DATA_GOC!$F:$F,"Xuất nội bộ từ téc",DATA_GOC!$B:$B,D$167))</f>
        <v>0</v>
      </c>
      <c r="E216" s="128">
        <f>IF(E$167="","",SUMIFS(DATA_GOC!$H:$H,DATA_GOC!$A:$A,"BOM",DATA_GOC!$D:$D,$B216,DATA_GOC!$E:$E,$F$159,DATA_GOC!$F:$F,"Xuất nội bộ từ téc",DATA_GOC!$B:$B,E$167))</f>
        <v>0</v>
      </c>
      <c r="F216" s="128">
        <f>IF(F$167="","",SUMIFS(DATA_GOC!$H:$H,DATA_GOC!$A:$A,"BOM",DATA_GOC!$D:$D,$B216,DATA_GOC!$E:$E,$F$159,DATA_GOC!$F:$F,"Xuất nội bộ từ téc",DATA_GOC!$B:$B,F$167))</f>
        <v>0</v>
      </c>
      <c r="G216" s="128">
        <f>IF(G$167="","",SUMIFS(DATA_GOC!$H:$H,DATA_GOC!$A:$A,"BOM",DATA_GOC!$D:$D,$B216,DATA_GOC!$E:$E,$F$159,DATA_GOC!$F:$F,"Xuất nội bộ từ téc",DATA_GOC!$B:$B,G$167))</f>
        <v>0</v>
      </c>
      <c r="H216" s="128">
        <f>IF(H$167="","",SUMIFS(DATA_GOC!$H:$H,DATA_GOC!$A:$A,"BOM",DATA_GOC!$D:$D,$B216,DATA_GOC!$E:$E,$F$159,DATA_GOC!$F:$F,"Xuất nội bộ từ téc",DATA_GOC!$B:$B,H$167))</f>
        <v>0</v>
      </c>
      <c r="I216" s="128">
        <f>IF(I$167="","",SUMIFS(DATA_GOC!$H:$H,DATA_GOC!$A:$A,"BOM",DATA_GOC!$D:$D,$B216,DATA_GOC!$E:$E,$F$159,DATA_GOC!$F:$F,"Xuất nội bộ từ téc",DATA_GOC!$B:$B,I$167))</f>
        <v>0</v>
      </c>
      <c r="J216" s="128">
        <f>IF(J$167="","",SUMIFS(DATA_GOC!$H:$H,DATA_GOC!$A:$A,"BOM",DATA_GOC!$D:$D,$B216,DATA_GOC!$E:$E,$F$159,DATA_GOC!$F:$F,"Xuất nội bộ từ téc",DATA_GOC!$B:$B,J$167))</f>
        <v>0</v>
      </c>
      <c r="K216" s="128">
        <f>IF(K$167="","",SUMIFS(DATA_GOC!$H:$H,DATA_GOC!$A:$A,"BOM",DATA_GOC!$D:$D,$B216,DATA_GOC!$E:$E,$F$159,DATA_GOC!$F:$F,"Xuất nội bộ từ téc",DATA_GOC!$B:$B,K$167))</f>
        <v>0</v>
      </c>
      <c r="L216" s="128">
        <f>IF(L$167="","",SUMIFS(DATA_GOC!$H:$H,DATA_GOC!$A:$A,"BOM",DATA_GOC!$D:$D,$B216,DATA_GOC!$E:$E,$F$159,DATA_GOC!$F:$F,"Xuất nội bộ từ téc",DATA_GOC!$B:$B,L$167))</f>
        <v>0</v>
      </c>
      <c r="M216" s="128">
        <f>IF(M$167="","",SUMIFS(DATA_GOC!$H:$H,DATA_GOC!$A:$A,"BOM",DATA_GOC!$D:$D,$B216,DATA_GOC!$E:$E,$F$159,DATA_GOC!$F:$F,"Xuất nội bộ từ téc",DATA_GOC!$B:$B,M$167))</f>
        <v>0</v>
      </c>
      <c r="N216" s="128">
        <f>IF(N$167="","",SUMIFS(DATA_GOC!$H:$H,DATA_GOC!$A:$A,"BOM",DATA_GOC!$D:$D,$B216,DATA_GOC!$E:$E,$F$159,DATA_GOC!$F:$F,"Xuất nội bộ từ téc",DATA_GOC!$B:$B,N$167))</f>
        <v>0</v>
      </c>
      <c r="O216" s="128">
        <f>IF(O$167="","",SUMIFS(DATA_GOC!$H:$H,DATA_GOC!$A:$A,"BOM",DATA_GOC!$D:$D,$B216,DATA_GOC!$E:$E,$F$159,DATA_GOC!$F:$F,"Xuất nội bộ từ téc",DATA_GOC!$B:$B,O$167))</f>
        <v>0</v>
      </c>
      <c r="P216" s="128">
        <f>IF(P$167="","",SUMIFS(DATA_GOC!$H:$H,DATA_GOC!$A:$A,"BOM",DATA_GOC!$D:$D,$B216,DATA_GOC!$E:$E,$F$159,DATA_GOC!$F:$F,"Xuất nội bộ từ téc",DATA_GOC!$B:$B,P$167))</f>
        <v>0</v>
      </c>
      <c r="Q216" s="128">
        <f>IF(Q$167="","",SUMIFS(DATA_GOC!$H:$H,DATA_GOC!$A:$A,"BOM",DATA_GOC!$D:$D,$B216,DATA_GOC!$E:$E,$F$159,DATA_GOC!$F:$F,"Xuất nội bộ từ téc",DATA_GOC!$B:$B,Q$167))</f>
        <v>0</v>
      </c>
      <c r="R216" s="128">
        <f>IF(R$167="","",SUMIFS(DATA_GOC!$H:$H,DATA_GOC!$A:$A,"BOM",DATA_GOC!$D:$D,$B216,DATA_GOC!$E:$E,$F$159,DATA_GOC!$F:$F,"Xuất nội bộ từ téc",DATA_GOC!$B:$B,R$167))</f>
        <v>0</v>
      </c>
      <c r="S216" s="128">
        <f>IF(S$167="","",SUMIFS(DATA_GOC!$H:$H,DATA_GOC!$A:$A,"BOM",DATA_GOC!$D:$D,$B216,DATA_GOC!$E:$E,$F$159,DATA_GOC!$F:$F,"Xuất nội bộ từ téc",DATA_GOC!$B:$B,S$167))</f>
        <v>0</v>
      </c>
      <c r="T216" s="128">
        <f>IF(T$167="","",SUMIFS(DATA_GOC!$H:$H,DATA_GOC!$A:$A,"BOM",DATA_GOC!$D:$D,$B216,DATA_GOC!$E:$E,$F$159,DATA_GOC!$F:$F,"Xuất nội bộ từ téc",DATA_GOC!$B:$B,T$167))</f>
        <v>0</v>
      </c>
      <c r="U216" s="128">
        <f>IF(U$167="","",SUMIFS(DATA_GOC!$H:$H,DATA_GOC!$A:$A,"BOM",DATA_GOC!$D:$D,$B216,DATA_GOC!$E:$E,$F$159,DATA_GOC!$F:$F,"Xuất nội bộ từ téc",DATA_GOC!$B:$B,U$167))</f>
        <v>0</v>
      </c>
      <c r="V216" s="128">
        <f>IF(V$167="","",SUMIFS(DATA_GOC!$H:$H,DATA_GOC!$A:$A,"BOM",DATA_GOC!$D:$D,$B216,DATA_GOC!$E:$E,$F$159,DATA_GOC!$F:$F,"Xuất nội bộ từ téc",DATA_GOC!$B:$B,V$167))</f>
        <v>0</v>
      </c>
      <c r="W216" s="128">
        <f>IF(W$167="","",SUMIFS(DATA_GOC!$H:$H,DATA_GOC!$A:$A,"BOM",DATA_GOC!$D:$D,$B216,DATA_GOC!$E:$E,$F$159,DATA_GOC!$F:$F,"Xuất nội bộ từ téc",DATA_GOC!$B:$B,W$167))</f>
        <v>0</v>
      </c>
      <c r="X216" s="128">
        <f>IF(X$167="","",SUMIFS(DATA_GOC!$H:$H,DATA_GOC!$A:$A,"BOM",DATA_GOC!$D:$D,$B216,DATA_GOC!$E:$E,$F$159,DATA_GOC!$F:$F,"Xuất nội bộ từ téc",DATA_GOC!$B:$B,X$167))</f>
        <v>0</v>
      </c>
      <c r="Y216" s="128" t="str">
        <f>IF(Y$167="","",SUMIFS(DATA_GOC!$H:$H,DATA_GOC!$A:$A,"BOM",DATA_GOC!$D:$D,$B216,DATA_GOC!$E:$E,$F$159,DATA_GOC!$F:$F,"Xuất nội bộ từ téc",DATA_GOC!$B:$B,Y$167))</f>
        <v/>
      </c>
      <c r="Z216" s="128" t="str">
        <f>IF(Z$167="","",SUMIFS(DATA_GOC!$H:$H,DATA_GOC!$A:$A,"BOM",DATA_GOC!$D:$D,$B216,DATA_GOC!$E:$E,$F$159,DATA_GOC!$F:$F,"Xuất nội bộ từ téc",DATA_GOC!$B:$B,Z$167))</f>
        <v/>
      </c>
      <c r="AA216" s="128" t="str">
        <f>IF(AA$167="","",SUMIFS(DATA_GOC!$H:$H,DATA_GOC!$A:$A,"BOM",DATA_GOC!$D:$D,$B216,DATA_GOC!$E:$E,$F$159,DATA_GOC!$F:$F,"Xuất nội bộ từ téc",DATA_GOC!$B:$B,AA$167))</f>
        <v/>
      </c>
      <c r="AB216" s="128" t="str">
        <f>IF(AB$167="","",SUMIFS(DATA_GOC!$H:$H,DATA_GOC!$A:$A,"BOM",DATA_GOC!$D:$D,$B216,DATA_GOC!$E:$E,$F$159,DATA_GOC!$F:$F,"Xuất nội bộ từ téc",DATA_GOC!$B:$B,AB$167))</f>
        <v/>
      </c>
      <c r="AC216" s="128" t="str">
        <f>IF(AC$167="","",SUMIFS(DATA_GOC!$H:$H,DATA_GOC!$A:$A,"BOM",DATA_GOC!$D:$D,$B216,DATA_GOC!$E:$E,$F$159,DATA_GOC!$F:$F,"Xuất nội bộ từ téc",DATA_GOC!$B:$B,AC$167))</f>
        <v/>
      </c>
      <c r="AD216" s="128" t="str">
        <f>IF(AD$167="","",SUMIFS(DATA_GOC!$H:$H,DATA_GOC!$A:$A,"BOM",DATA_GOC!$D:$D,$B216,DATA_GOC!$E:$E,$F$159,DATA_GOC!$F:$F,"Xuất nội bộ từ téc",DATA_GOC!$B:$B,AD$167))</f>
        <v/>
      </c>
      <c r="AE216" s="128" t="str">
        <f>IF(AE$167="","",SUMIFS(DATA_GOC!$H:$H,DATA_GOC!$A:$A,"BOM",DATA_GOC!$D:$D,$B216,DATA_GOC!$E:$E,$F$159,DATA_GOC!$F:$F,"Xuất nội bộ từ téc",DATA_GOC!$B:$B,AE$167))</f>
        <v/>
      </c>
      <c r="AF216" s="128" t="str">
        <f>IF(AF$167="","",SUMIFS(DATA_GOC!$H:$H,DATA_GOC!$A:$A,"BOM",DATA_GOC!$D:$D,$B216,DATA_GOC!$E:$E,$F$159,DATA_GOC!$F:$F,"Xuất nội bộ từ téc",DATA_GOC!$B:$B,AF$167))</f>
        <v/>
      </c>
      <c r="AG216" s="128" t="str">
        <f>IF(AG$167="","",SUMIFS(DATA_GOC!$H:$H,DATA_GOC!$A:$A,"BOM",DATA_GOC!$D:$D,$B216,DATA_GOC!$E:$E,$F$159,DATA_GOC!$F:$F,"Xuất nội bộ từ téc",DATA_GOC!$B:$B,AG$167))</f>
        <v/>
      </c>
      <c r="AH216" s="129">
        <f>IF($B216="","",SUMIFS(DATA_GOC!$H:$H,DATA_GOC!$A:$A,"BOM",DATA_GOC!$D:$D,$B216,DATA_GOC!$E:$E,$F$159,DATA_GOC!$F:$F,"Xuất nội bộ từ téc",DATA_GOC!$B:$B,"&gt;="&amp;$H$159,DATA_GOC!$B:$B,"&lt;="&amp;$J$159))</f>
        <v>0</v>
      </c>
      <c r="AI216" s="130">
        <f t="shared" si="16"/>
        <v>0</v>
      </c>
      <c r="AJ216" s="129">
        <f t="shared" si="17"/>
        <v>0</v>
      </c>
      <c r="AK216" s="129">
        <f t="shared" si="18"/>
        <v>0</v>
      </c>
      <c r="AL216" s="129">
        <f t="shared" si="19"/>
        <v>0</v>
      </c>
    </row>
    <row r="217" ht="21.75" hidden="1" customHeight="1">
      <c r="A217" s="126">
        <f t="shared" si="15"/>
        <v>50</v>
      </c>
      <c r="B217" s="127" t="str">
        <f t="array" ref="B217">IFERROR(IF(INDEX(DANH_MUC!$E:$E,53)="","",INDEX(DANH_MUC!$E:$E,53)),"")</f>
        <v>Máy rải thảm</v>
      </c>
      <c r="C217" s="128">
        <f>IF(C$167="","",SUMIFS(DATA_GOC!$H:$H,DATA_GOC!$A:$A,"BOM",DATA_GOC!$D:$D,$B217,DATA_GOC!$E:$E,$F$159,DATA_GOC!$F:$F,"Xuất nội bộ từ téc",DATA_GOC!$B:$B,C$167))</f>
        <v>0</v>
      </c>
      <c r="D217" s="128">
        <f>IF(D$167="","",SUMIFS(DATA_GOC!$H:$H,DATA_GOC!$A:$A,"BOM",DATA_GOC!$D:$D,$B217,DATA_GOC!$E:$E,$F$159,DATA_GOC!$F:$F,"Xuất nội bộ từ téc",DATA_GOC!$B:$B,D$167))</f>
        <v>0</v>
      </c>
      <c r="E217" s="128">
        <f>IF(E$167="","",SUMIFS(DATA_GOC!$H:$H,DATA_GOC!$A:$A,"BOM",DATA_GOC!$D:$D,$B217,DATA_GOC!$E:$E,$F$159,DATA_GOC!$F:$F,"Xuất nội bộ từ téc",DATA_GOC!$B:$B,E$167))</f>
        <v>0</v>
      </c>
      <c r="F217" s="128">
        <f>IF(F$167="","",SUMIFS(DATA_GOC!$H:$H,DATA_GOC!$A:$A,"BOM",DATA_GOC!$D:$D,$B217,DATA_GOC!$E:$E,$F$159,DATA_GOC!$F:$F,"Xuất nội bộ từ téc",DATA_GOC!$B:$B,F$167))</f>
        <v>0</v>
      </c>
      <c r="G217" s="128">
        <f>IF(G$167="","",SUMIFS(DATA_GOC!$H:$H,DATA_GOC!$A:$A,"BOM",DATA_GOC!$D:$D,$B217,DATA_GOC!$E:$E,$F$159,DATA_GOC!$F:$F,"Xuất nội bộ từ téc",DATA_GOC!$B:$B,G$167))</f>
        <v>0</v>
      </c>
      <c r="H217" s="128">
        <f>IF(H$167="","",SUMIFS(DATA_GOC!$H:$H,DATA_GOC!$A:$A,"BOM",DATA_GOC!$D:$D,$B217,DATA_GOC!$E:$E,$F$159,DATA_GOC!$F:$F,"Xuất nội bộ từ téc",DATA_GOC!$B:$B,H$167))</f>
        <v>0</v>
      </c>
      <c r="I217" s="128">
        <f>IF(I$167="","",SUMIFS(DATA_GOC!$H:$H,DATA_GOC!$A:$A,"BOM",DATA_GOC!$D:$D,$B217,DATA_GOC!$E:$E,$F$159,DATA_GOC!$F:$F,"Xuất nội bộ từ téc",DATA_GOC!$B:$B,I$167))</f>
        <v>0</v>
      </c>
      <c r="J217" s="128">
        <f>IF(J$167="","",SUMIFS(DATA_GOC!$H:$H,DATA_GOC!$A:$A,"BOM",DATA_GOC!$D:$D,$B217,DATA_GOC!$E:$E,$F$159,DATA_GOC!$F:$F,"Xuất nội bộ từ téc",DATA_GOC!$B:$B,J$167))</f>
        <v>0</v>
      </c>
      <c r="K217" s="128">
        <f>IF(K$167="","",SUMIFS(DATA_GOC!$H:$H,DATA_GOC!$A:$A,"BOM",DATA_GOC!$D:$D,$B217,DATA_GOC!$E:$E,$F$159,DATA_GOC!$F:$F,"Xuất nội bộ từ téc",DATA_GOC!$B:$B,K$167))</f>
        <v>0</v>
      </c>
      <c r="L217" s="128">
        <f>IF(L$167="","",SUMIFS(DATA_GOC!$H:$H,DATA_GOC!$A:$A,"BOM",DATA_GOC!$D:$D,$B217,DATA_GOC!$E:$E,$F$159,DATA_GOC!$F:$F,"Xuất nội bộ từ téc",DATA_GOC!$B:$B,L$167))</f>
        <v>0</v>
      </c>
      <c r="M217" s="128">
        <f>IF(M$167="","",SUMIFS(DATA_GOC!$H:$H,DATA_GOC!$A:$A,"BOM",DATA_GOC!$D:$D,$B217,DATA_GOC!$E:$E,$F$159,DATA_GOC!$F:$F,"Xuất nội bộ từ téc",DATA_GOC!$B:$B,M$167))</f>
        <v>0</v>
      </c>
      <c r="N217" s="128">
        <f>IF(N$167="","",SUMIFS(DATA_GOC!$H:$H,DATA_GOC!$A:$A,"BOM",DATA_GOC!$D:$D,$B217,DATA_GOC!$E:$E,$F$159,DATA_GOC!$F:$F,"Xuất nội bộ từ téc",DATA_GOC!$B:$B,N$167))</f>
        <v>0</v>
      </c>
      <c r="O217" s="128">
        <f>IF(O$167="","",SUMIFS(DATA_GOC!$H:$H,DATA_GOC!$A:$A,"BOM",DATA_GOC!$D:$D,$B217,DATA_GOC!$E:$E,$F$159,DATA_GOC!$F:$F,"Xuất nội bộ từ téc",DATA_GOC!$B:$B,O$167))</f>
        <v>0</v>
      </c>
      <c r="P217" s="128">
        <f>IF(P$167="","",SUMIFS(DATA_GOC!$H:$H,DATA_GOC!$A:$A,"BOM",DATA_GOC!$D:$D,$B217,DATA_GOC!$E:$E,$F$159,DATA_GOC!$F:$F,"Xuất nội bộ từ téc",DATA_GOC!$B:$B,P$167))</f>
        <v>0</v>
      </c>
      <c r="Q217" s="128">
        <f>IF(Q$167="","",SUMIFS(DATA_GOC!$H:$H,DATA_GOC!$A:$A,"BOM",DATA_GOC!$D:$D,$B217,DATA_GOC!$E:$E,$F$159,DATA_GOC!$F:$F,"Xuất nội bộ từ téc",DATA_GOC!$B:$B,Q$167))</f>
        <v>0</v>
      </c>
      <c r="R217" s="128">
        <f>IF(R$167="","",SUMIFS(DATA_GOC!$H:$H,DATA_GOC!$A:$A,"BOM",DATA_GOC!$D:$D,$B217,DATA_GOC!$E:$E,$F$159,DATA_GOC!$F:$F,"Xuất nội bộ từ téc",DATA_GOC!$B:$B,R$167))</f>
        <v>0</v>
      </c>
      <c r="S217" s="128">
        <f>IF(S$167="","",SUMIFS(DATA_GOC!$H:$H,DATA_GOC!$A:$A,"BOM",DATA_GOC!$D:$D,$B217,DATA_GOC!$E:$E,$F$159,DATA_GOC!$F:$F,"Xuất nội bộ từ téc",DATA_GOC!$B:$B,S$167))</f>
        <v>0</v>
      </c>
      <c r="T217" s="128">
        <f>IF(T$167="","",SUMIFS(DATA_GOC!$H:$H,DATA_GOC!$A:$A,"BOM",DATA_GOC!$D:$D,$B217,DATA_GOC!$E:$E,$F$159,DATA_GOC!$F:$F,"Xuất nội bộ từ téc",DATA_GOC!$B:$B,T$167))</f>
        <v>0</v>
      </c>
      <c r="U217" s="128">
        <f>IF(U$167="","",SUMIFS(DATA_GOC!$H:$H,DATA_GOC!$A:$A,"BOM",DATA_GOC!$D:$D,$B217,DATA_GOC!$E:$E,$F$159,DATA_GOC!$F:$F,"Xuất nội bộ từ téc",DATA_GOC!$B:$B,U$167))</f>
        <v>0</v>
      </c>
      <c r="V217" s="128">
        <f>IF(V$167="","",SUMIFS(DATA_GOC!$H:$H,DATA_GOC!$A:$A,"BOM",DATA_GOC!$D:$D,$B217,DATA_GOC!$E:$E,$F$159,DATA_GOC!$F:$F,"Xuất nội bộ từ téc",DATA_GOC!$B:$B,V$167))</f>
        <v>0</v>
      </c>
      <c r="W217" s="128">
        <f>IF(W$167="","",SUMIFS(DATA_GOC!$H:$H,DATA_GOC!$A:$A,"BOM",DATA_GOC!$D:$D,$B217,DATA_GOC!$E:$E,$F$159,DATA_GOC!$F:$F,"Xuất nội bộ từ téc",DATA_GOC!$B:$B,W$167))</f>
        <v>0</v>
      </c>
      <c r="X217" s="128">
        <f>IF(X$167="","",SUMIFS(DATA_GOC!$H:$H,DATA_GOC!$A:$A,"BOM",DATA_GOC!$D:$D,$B217,DATA_GOC!$E:$E,$F$159,DATA_GOC!$F:$F,"Xuất nội bộ từ téc",DATA_GOC!$B:$B,X$167))</f>
        <v>0</v>
      </c>
      <c r="Y217" s="128" t="str">
        <f>IF(Y$167="","",SUMIFS(DATA_GOC!$H:$H,DATA_GOC!$A:$A,"BOM",DATA_GOC!$D:$D,$B217,DATA_GOC!$E:$E,$F$159,DATA_GOC!$F:$F,"Xuất nội bộ từ téc",DATA_GOC!$B:$B,Y$167))</f>
        <v/>
      </c>
      <c r="Z217" s="128" t="str">
        <f>IF(Z$167="","",SUMIFS(DATA_GOC!$H:$H,DATA_GOC!$A:$A,"BOM",DATA_GOC!$D:$D,$B217,DATA_GOC!$E:$E,$F$159,DATA_GOC!$F:$F,"Xuất nội bộ từ téc",DATA_GOC!$B:$B,Z$167))</f>
        <v/>
      </c>
      <c r="AA217" s="128" t="str">
        <f>IF(AA$167="","",SUMIFS(DATA_GOC!$H:$H,DATA_GOC!$A:$A,"BOM",DATA_GOC!$D:$D,$B217,DATA_GOC!$E:$E,$F$159,DATA_GOC!$F:$F,"Xuất nội bộ từ téc",DATA_GOC!$B:$B,AA$167))</f>
        <v/>
      </c>
      <c r="AB217" s="128" t="str">
        <f>IF(AB$167="","",SUMIFS(DATA_GOC!$H:$H,DATA_GOC!$A:$A,"BOM",DATA_GOC!$D:$D,$B217,DATA_GOC!$E:$E,$F$159,DATA_GOC!$F:$F,"Xuất nội bộ từ téc",DATA_GOC!$B:$B,AB$167))</f>
        <v/>
      </c>
      <c r="AC217" s="128" t="str">
        <f>IF(AC$167="","",SUMIFS(DATA_GOC!$H:$H,DATA_GOC!$A:$A,"BOM",DATA_GOC!$D:$D,$B217,DATA_GOC!$E:$E,$F$159,DATA_GOC!$F:$F,"Xuất nội bộ từ téc",DATA_GOC!$B:$B,AC$167))</f>
        <v/>
      </c>
      <c r="AD217" s="128" t="str">
        <f>IF(AD$167="","",SUMIFS(DATA_GOC!$H:$H,DATA_GOC!$A:$A,"BOM",DATA_GOC!$D:$D,$B217,DATA_GOC!$E:$E,$F$159,DATA_GOC!$F:$F,"Xuất nội bộ từ téc",DATA_GOC!$B:$B,AD$167))</f>
        <v/>
      </c>
      <c r="AE217" s="128" t="str">
        <f>IF(AE$167="","",SUMIFS(DATA_GOC!$H:$H,DATA_GOC!$A:$A,"BOM",DATA_GOC!$D:$D,$B217,DATA_GOC!$E:$E,$F$159,DATA_GOC!$F:$F,"Xuất nội bộ từ téc",DATA_GOC!$B:$B,AE$167))</f>
        <v/>
      </c>
      <c r="AF217" s="128" t="str">
        <f>IF(AF$167="","",SUMIFS(DATA_GOC!$H:$H,DATA_GOC!$A:$A,"BOM",DATA_GOC!$D:$D,$B217,DATA_GOC!$E:$E,$F$159,DATA_GOC!$F:$F,"Xuất nội bộ từ téc",DATA_GOC!$B:$B,AF$167))</f>
        <v/>
      </c>
      <c r="AG217" s="128" t="str">
        <f>IF(AG$167="","",SUMIFS(DATA_GOC!$H:$H,DATA_GOC!$A:$A,"BOM",DATA_GOC!$D:$D,$B217,DATA_GOC!$E:$E,$F$159,DATA_GOC!$F:$F,"Xuất nội bộ từ téc",DATA_GOC!$B:$B,AG$167))</f>
        <v/>
      </c>
      <c r="AH217" s="129">
        <f>IF($B217="","",SUMIFS(DATA_GOC!$H:$H,DATA_GOC!$A:$A,"BOM",DATA_GOC!$D:$D,$B217,DATA_GOC!$E:$E,$F$159,DATA_GOC!$F:$F,"Xuất nội bộ từ téc",DATA_GOC!$B:$B,"&gt;="&amp;$H$159,DATA_GOC!$B:$B,"&lt;="&amp;$J$159))</f>
        <v>0</v>
      </c>
      <c r="AI217" s="130">
        <f t="shared" si="16"/>
        <v>0</v>
      </c>
      <c r="AJ217" s="129">
        <f t="shared" si="17"/>
        <v>0</v>
      </c>
      <c r="AK217" s="129">
        <f t="shared" si="18"/>
        <v>0</v>
      </c>
      <c r="AL217" s="129">
        <f t="shared" si="19"/>
        <v>0</v>
      </c>
    </row>
    <row r="218" ht="21.75" hidden="1" customHeight="1">
      <c r="A218" s="126">
        <f t="shared" si="15"/>
        <v>51</v>
      </c>
      <c r="B218" s="127" t="str">
        <f t="array" ref="B218">IFERROR(IF(INDEX(DANH_MUC!$E:$E,54)="","",INDEX(DANH_MUC!$E:$E,54)),"")</f>
        <v>Xúc Đào</v>
      </c>
      <c r="C218" s="128">
        <f>IF(C$167="","",SUMIFS(DATA_GOC!$H:$H,DATA_GOC!$A:$A,"BOM",DATA_GOC!$D:$D,$B218,DATA_GOC!$E:$E,$F$159,DATA_GOC!$F:$F,"Xuất nội bộ từ téc",DATA_GOC!$B:$B,C$167))</f>
        <v>0</v>
      </c>
      <c r="D218" s="128">
        <f>IF(D$167="","",SUMIFS(DATA_GOC!$H:$H,DATA_GOC!$A:$A,"BOM",DATA_GOC!$D:$D,$B218,DATA_GOC!$E:$E,$F$159,DATA_GOC!$F:$F,"Xuất nội bộ từ téc",DATA_GOC!$B:$B,D$167))</f>
        <v>0</v>
      </c>
      <c r="E218" s="128">
        <f>IF(E$167="","",SUMIFS(DATA_GOC!$H:$H,DATA_GOC!$A:$A,"BOM",DATA_GOC!$D:$D,$B218,DATA_GOC!$E:$E,$F$159,DATA_GOC!$F:$F,"Xuất nội bộ từ téc",DATA_GOC!$B:$B,E$167))</f>
        <v>0</v>
      </c>
      <c r="F218" s="128">
        <f>IF(F$167="","",SUMIFS(DATA_GOC!$H:$H,DATA_GOC!$A:$A,"BOM",DATA_GOC!$D:$D,$B218,DATA_GOC!$E:$E,$F$159,DATA_GOC!$F:$F,"Xuất nội bộ từ téc",DATA_GOC!$B:$B,F$167))</f>
        <v>0</v>
      </c>
      <c r="G218" s="128">
        <f>IF(G$167="","",SUMIFS(DATA_GOC!$H:$H,DATA_GOC!$A:$A,"BOM",DATA_GOC!$D:$D,$B218,DATA_GOC!$E:$E,$F$159,DATA_GOC!$F:$F,"Xuất nội bộ từ téc",DATA_GOC!$B:$B,G$167))</f>
        <v>0</v>
      </c>
      <c r="H218" s="128">
        <f>IF(H$167="","",SUMIFS(DATA_GOC!$H:$H,DATA_GOC!$A:$A,"BOM",DATA_GOC!$D:$D,$B218,DATA_GOC!$E:$E,$F$159,DATA_GOC!$F:$F,"Xuất nội bộ từ téc",DATA_GOC!$B:$B,H$167))</f>
        <v>0</v>
      </c>
      <c r="I218" s="128">
        <f>IF(I$167="","",SUMIFS(DATA_GOC!$H:$H,DATA_GOC!$A:$A,"BOM",DATA_GOC!$D:$D,$B218,DATA_GOC!$E:$E,$F$159,DATA_GOC!$F:$F,"Xuất nội bộ từ téc",DATA_GOC!$B:$B,I$167))</f>
        <v>0</v>
      </c>
      <c r="J218" s="128">
        <f>IF(J$167="","",SUMIFS(DATA_GOC!$H:$H,DATA_GOC!$A:$A,"BOM",DATA_GOC!$D:$D,$B218,DATA_GOC!$E:$E,$F$159,DATA_GOC!$F:$F,"Xuất nội bộ từ téc",DATA_GOC!$B:$B,J$167))</f>
        <v>0</v>
      </c>
      <c r="K218" s="128">
        <f>IF(K$167="","",SUMIFS(DATA_GOC!$H:$H,DATA_GOC!$A:$A,"BOM",DATA_GOC!$D:$D,$B218,DATA_GOC!$E:$E,$F$159,DATA_GOC!$F:$F,"Xuất nội bộ từ téc",DATA_GOC!$B:$B,K$167))</f>
        <v>0</v>
      </c>
      <c r="L218" s="128">
        <f>IF(L$167="","",SUMIFS(DATA_GOC!$H:$H,DATA_GOC!$A:$A,"BOM",DATA_GOC!$D:$D,$B218,DATA_GOC!$E:$E,$F$159,DATA_GOC!$F:$F,"Xuất nội bộ từ téc",DATA_GOC!$B:$B,L$167))</f>
        <v>0</v>
      </c>
      <c r="M218" s="128">
        <f>IF(M$167="","",SUMIFS(DATA_GOC!$H:$H,DATA_GOC!$A:$A,"BOM",DATA_GOC!$D:$D,$B218,DATA_GOC!$E:$E,$F$159,DATA_GOC!$F:$F,"Xuất nội bộ từ téc",DATA_GOC!$B:$B,M$167))</f>
        <v>0</v>
      </c>
      <c r="N218" s="128">
        <f>IF(N$167="","",SUMIFS(DATA_GOC!$H:$H,DATA_GOC!$A:$A,"BOM",DATA_GOC!$D:$D,$B218,DATA_GOC!$E:$E,$F$159,DATA_GOC!$F:$F,"Xuất nội bộ từ téc",DATA_GOC!$B:$B,N$167))</f>
        <v>0</v>
      </c>
      <c r="O218" s="128">
        <f>IF(O$167="","",SUMIFS(DATA_GOC!$H:$H,DATA_GOC!$A:$A,"BOM",DATA_GOC!$D:$D,$B218,DATA_GOC!$E:$E,$F$159,DATA_GOC!$F:$F,"Xuất nội bộ từ téc",DATA_GOC!$B:$B,O$167))</f>
        <v>0</v>
      </c>
      <c r="P218" s="128">
        <f>IF(P$167="","",SUMIFS(DATA_GOC!$H:$H,DATA_GOC!$A:$A,"BOM",DATA_GOC!$D:$D,$B218,DATA_GOC!$E:$E,$F$159,DATA_GOC!$F:$F,"Xuất nội bộ từ téc",DATA_GOC!$B:$B,P$167))</f>
        <v>0</v>
      </c>
      <c r="Q218" s="128">
        <f>IF(Q$167="","",SUMIFS(DATA_GOC!$H:$H,DATA_GOC!$A:$A,"BOM",DATA_GOC!$D:$D,$B218,DATA_GOC!$E:$E,$F$159,DATA_GOC!$F:$F,"Xuất nội bộ từ téc",DATA_GOC!$B:$B,Q$167))</f>
        <v>0</v>
      </c>
      <c r="R218" s="128">
        <f>IF(R$167="","",SUMIFS(DATA_GOC!$H:$H,DATA_GOC!$A:$A,"BOM",DATA_GOC!$D:$D,$B218,DATA_GOC!$E:$E,$F$159,DATA_GOC!$F:$F,"Xuất nội bộ từ téc",DATA_GOC!$B:$B,R$167))</f>
        <v>0</v>
      </c>
      <c r="S218" s="128">
        <f>IF(S$167="","",SUMIFS(DATA_GOC!$H:$H,DATA_GOC!$A:$A,"BOM",DATA_GOC!$D:$D,$B218,DATA_GOC!$E:$E,$F$159,DATA_GOC!$F:$F,"Xuất nội bộ từ téc",DATA_GOC!$B:$B,S$167))</f>
        <v>0</v>
      </c>
      <c r="T218" s="128">
        <f>IF(T$167="","",SUMIFS(DATA_GOC!$H:$H,DATA_GOC!$A:$A,"BOM",DATA_GOC!$D:$D,$B218,DATA_GOC!$E:$E,$F$159,DATA_GOC!$F:$F,"Xuất nội bộ từ téc",DATA_GOC!$B:$B,T$167))</f>
        <v>0</v>
      </c>
      <c r="U218" s="128">
        <f>IF(U$167="","",SUMIFS(DATA_GOC!$H:$H,DATA_GOC!$A:$A,"BOM",DATA_GOC!$D:$D,$B218,DATA_GOC!$E:$E,$F$159,DATA_GOC!$F:$F,"Xuất nội bộ từ téc",DATA_GOC!$B:$B,U$167))</f>
        <v>0</v>
      </c>
      <c r="V218" s="128">
        <f>IF(V$167="","",SUMIFS(DATA_GOC!$H:$H,DATA_GOC!$A:$A,"BOM",DATA_GOC!$D:$D,$B218,DATA_GOC!$E:$E,$F$159,DATA_GOC!$F:$F,"Xuất nội bộ từ téc",DATA_GOC!$B:$B,V$167))</f>
        <v>0</v>
      </c>
      <c r="W218" s="128">
        <f>IF(W$167="","",SUMIFS(DATA_GOC!$H:$H,DATA_GOC!$A:$A,"BOM",DATA_GOC!$D:$D,$B218,DATA_GOC!$E:$E,$F$159,DATA_GOC!$F:$F,"Xuất nội bộ từ téc",DATA_GOC!$B:$B,W$167))</f>
        <v>0</v>
      </c>
      <c r="X218" s="128">
        <f>IF(X$167="","",SUMIFS(DATA_GOC!$H:$H,DATA_GOC!$A:$A,"BOM",DATA_GOC!$D:$D,$B218,DATA_GOC!$E:$E,$F$159,DATA_GOC!$F:$F,"Xuất nội bộ từ téc",DATA_GOC!$B:$B,X$167))</f>
        <v>0</v>
      </c>
      <c r="Y218" s="128" t="str">
        <f>IF(Y$167="","",SUMIFS(DATA_GOC!$H:$H,DATA_GOC!$A:$A,"BOM",DATA_GOC!$D:$D,$B218,DATA_GOC!$E:$E,$F$159,DATA_GOC!$F:$F,"Xuất nội bộ từ téc",DATA_GOC!$B:$B,Y$167))</f>
        <v/>
      </c>
      <c r="Z218" s="128" t="str">
        <f>IF(Z$167="","",SUMIFS(DATA_GOC!$H:$H,DATA_GOC!$A:$A,"BOM",DATA_GOC!$D:$D,$B218,DATA_GOC!$E:$E,$F$159,DATA_GOC!$F:$F,"Xuất nội bộ từ téc",DATA_GOC!$B:$B,Z$167))</f>
        <v/>
      </c>
      <c r="AA218" s="128" t="str">
        <f>IF(AA$167="","",SUMIFS(DATA_GOC!$H:$H,DATA_GOC!$A:$A,"BOM",DATA_GOC!$D:$D,$B218,DATA_GOC!$E:$E,$F$159,DATA_GOC!$F:$F,"Xuất nội bộ từ téc",DATA_GOC!$B:$B,AA$167))</f>
        <v/>
      </c>
      <c r="AB218" s="128" t="str">
        <f>IF(AB$167="","",SUMIFS(DATA_GOC!$H:$H,DATA_GOC!$A:$A,"BOM",DATA_GOC!$D:$D,$B218,DATA_GOC!$E:$E,$F$159,DATA_GOC!$F:$F,"Xuất nội bộ từ téc",DATA_GOC!$B:$B,AB$167))</f>
        <v/>
      </c>
      <c r="AC218" s="128" t="str">
        <f>IF(AC$167="","",SUMIFS(DATA_GOC!$H:$H,DATA_GOC!$A:$A,"BOM",DATA_GOC!$D:$D,$B218,DATA_GOC!$E:$E,$F$159,DATA_GOC!$F:$F,"Xuất nội bộ từ téc",DATA_GOC!$B:$B,AC$167))</f>
        <v/>
      </c>
      <c r="AD218" s="128" t="str">
        <f>IF(AD$167="","",SUMIFS(DATA_GOC!$H:$H,DATA_GOC!$A:$A,"BOM",DATA_GOC!$D:$D,$B218,DATA_GOC!$E:$E,$F$159,DATA_GOC!$F:$F,"Xuất nội bộ từ téc",DATA_GOC!$B:$B,AD$167))</f>
        <v/>
      </c>
      <c r="AE218" s="128" t="str">
        <f>IF(AE$167="","",SUMIFS(DATA_GOC!$H:$H,DATA_GOC!$A:$A,"BOM",DATA_GOC!$D:$D,$B218,DATA_GOC!$E:$E,$F$159,DATA_GOC!$F:$F,"Xuất nội bộ từ téc",DATA_GOC!$B:$B,AE$167))</f>
        <v/>
      </c>
      <c r="AF218" s="128" t="str">
        <f>IF(AF$167="","",SUMIFS(DATA_GOC!$H:$H,DATA_GOC!$A:$A,"BOM",DATA_GOC!$D:$D,$B218,DATA_GOC!$E:$E,$F$159,DATA_GOC!$F:$F,"Xuất nội bộ từ téc",DATA_GOC!$B:$B,AF$167))</f>
        <v/>
      </c>
      <c r="AG218" s="128" t="str">
        <f>IF(AG$167="","",SUMIFS(DATA_GOC!$H:$H,DATA_GOC!$A:$A,"BOM",DATA_GOC!$D:$D,$B218,DATA_GOC!$E:$E,$F$159,DATA_GOC!$F:$F,"Xuất nội bộ từ téc",DATA_GOC!$B:$B,AG$167))</f>
        <v/>
      </c>
      <c r="AH218" s="129">
        <f>IF($B218="","",SUMIFS(DATA_GOC!$H:$H,DATA_GOC!$A:$A,"BOM",DATA_GOC!$D:$D,$B218,DATA_GOC!$E:$E,$F$159,DATA_GOC!$F:$F,"Xuất nội bộ từ téc",DATA_GOC!$B:$B,"&gt;="&amp;$H$159,DATA_GOC!$B:$B,"&lt;="&amp;$J$159))</f>
        <v>0</v>
      </c>
      <c r="AI218" s="130">
        <f t="shared" si="16"/>
        <v>0</v>
      </c>
      <c r="AJ218" s="129">
        <f t="shared" si="17"/>
        <v>0</v>
      </c>
      <c r="AK218" s="129">
        <f t="shared" si="18"/>
        <v>0</v>
      </c>
      <c r="AL218" s="129">
        <f t="shared" si="19"/>
        <v>0</v>
      </c>
    </row>
    <row r="219" ht="21.75" hidden="1" customHeight="1">
      <c r="A219" s="126">
        <f t="shared" si="15"/>
        <v>52</v>
      </c>
      <c r="B219" s="127" t="str">
        <f t="array" ref="B219">IFERROR(IF(INDEX(DANH_MUC!$E:$E,55)="","",INDEX(DANH_MUC!$E:$E,55)),"")</f>
        <v>Xúclật asphalt</v>
      </c>
      <c r="C219" s="128">
        <f>IF(C$167="","",SUMIFS(DATA_GOC!$H:$H,DATA_GOC!$A:$A,"BOM",DATA_GOC!$D:$D,$B219,DATA_GOC!$E:$E,$F$159,DATA_GOC!$F:$F,"Xuất nội bộ từ téc",DATA_GOC!$B:$B,C$167))</f>
        <v>0</v>
      </c>
      <c r="D219" s="128">
        <f>IF(D$167="","",SUMIFS(DATA_GOC!$H:$H,DATA_GOC!$A:$A,"BOM",DATA_GOC!$D:$D,$B219,DATA_GOC!$E:$E,$F$159,DATA_GOC!$F:$F,"Xuất nội bộ từ téc",DATA_GOC!$B:$B,D$167))</f>
        <v>0</v>
      </c>
      <c r="E219" s="128">
        <f>IF(E$167="","",SUMIFS(DATA_GOC!$H:$H,DATA_GOC!$A:$A,"BOM",DATA_GOC!$D:$D,$B219,DATA_GOC!$E:$E,$F$159,DATA_GOC!$F:$F,"Xuất nội bộ từ téc",DATA_GOC!$B:$B,E$167))</f>
        <v>0</v>
      </c>
      <c r="F219" s="128">
        <f>IF(F$167="","",SUMIFS(DATA_GOC!$H:$H,DATA_GOC!$A:$A,"BOM",DATA_GOC!$D:$D,$B219,DATA_GOC!$E:$E,$F$159,DATA_GOC!$F:$F,"Xuất nội bộ từ téc",DATA_GOC!$B:$B,F$167))</f>
        <v>0</v>
      </c>
      <c r="G219" s="128">
        <f>IF(G$167="","",SUMIFS(DATA_GOC!$H:$H,DATA_GOC!$A:$A,"BOM",DATA_GOC!$D:$D,$B219,DATA_GOC!$E:$E,$F$159,DATA_GOC!$F:$F,"Xuất nội bộ từ téc",DATA_GOC!$B:$B,G$167))</f>
        <v>0</v>
      </c>
      <c r="H219" s="128">
        <f>IF(H$167="","",SUMIFS(DATA_GOC!$H:$H,DATA_GOC!$A:$A,"BOM",DATA_GOC!$D:$D,$B219,DATA_GOC!$E:$E,$F$159,DATA_GOC!$F:$F,"Xuất nội bộ từ téc",DATA_GOC!$B:$B,H$167))</f>
        <v>0</v>
      </c>
      <c r="I219" s="128">
        <f>IF(I$167="","",SUMIFS(DATA_GOC!$H:$H,DATA_GOC!$A:$A,"BOM",DATA_GOC!$D:$D,$B219,DATA_GOC!$E:$E,$F$159,DATA_GOC!$F:$F,"Xuất nội bộ từ téc",DATA_GOC!$B:$B,I$167))</f>
        <v>0</v>
      </c>
      <c r="J219" s="128">
        <f>IF(J$167="","",SUMIFS(DATA_GOC!$H:$H,DATA_GOC!$A:$A,"BOM",DATA_GOC!$D:$D,$B219,DATA_GOC!$E:$E,$F$159,DATA_GOC!$F:$F,"Xuất nội bộ từ téc",DATA_GOC!$B:$B,J$167))</f>
        <v>0</v>
      </c>
      <c r="K219" s="128">
        <f>IF(K$167="","",SUMIFS(DATA_GOC!$H:$H,DATA_GOC!$A:$A,"BOM",DATA_GOC!$D:$D,$B219,DATA_GOC!$E:$E,$F$159,DATA_GOC!$F:$F,"Xuất nội bộ từ téc",DATA_GOC!$B:$B,K$167))</f>
        <v>0</v>
      </c>
      <c r="L219" s="128">
        <f>IF(L$167="","",SUMIFS(DATA_GOC!$H:$H,DATA_GOC!$A:$A,"BOM",DATA_GOC!$D:$D,$B219,DATA_GOC!$E:$E,$F$159,DATA_GOC!$F:$F,"Xuất nội bộ từ téc",DATA_GOC!$B:$B,L$167))</f>
        <v>0</v>
      </c>
      <c r="M219" s="128">
        <f>IF(M$167="","",SUMIFS(DATA_GOC!$H:$H,DATA_GOC!$A:$A,"BOM",DATA_GOC!$D:$D,$B219,DATA_GOC!$E:$E,$F$159,DATA_GOC!$F:$F,"Xuất nội bộ từ téc",DATA_GOC!$B:$B,M$167))</f>
        <v>0</v>
      </c>
      <c r="N219" s="128">
        <f>IF(N$167="","",SUMIFS(DATA_GOC!$H:$H,DATA_GOC!$A:$A,"BOM",DATA_GOC!$D:$D,$B219,DATA_GOC!$E:$E,$F$159,DATA_GOC!$F:$F,"Xuất nội bộ từ téc",DATA_GOC!$B:$B,N$167))</f>
        <v>0</v>
      </c>
      <c r="O219" s="128">
        <f>IF(O$167="","",SUMIFS(DATA_GOC!$H:$H,DATA_GOC!$A:$A,"BOM",DATA_GOC!$D:$D,$B219,DATA_GOC!$E:$E,$F$159,DATA_GOC!$F:$F,"Xuất nội bộ từ téc",DATA_GOC!$B:$B,O$167))</f>
        <v>0</v>
      </c>
      <c r="P219" s="128">
        <f>IF(P$167="","",SUMIFS(DATA_GOC!$H:$H,DATA_GOC!$A:$A,"BOM",DATA_GOC!$D:$D,$B219,DATA_GOC!$E:$E,$F$159,DATA_GOC!$F:$F,"Xuất nội bộ từ téc",DATA_GOC!$B:$B,P$167))</f>
        <v>0</v>
      </c>
      <c r="Q219" s="128">
        <f>IF(Q$167="","",SUMIFS(DATA_GOC!$H:$H,DATA_GOC!$A:$A,"BOM",DATA_GOC!$D:$D,$B219,DATA_GOC!$E:$E,$F$159,DATA_GOC!$F:$F,"Xuất nội bộ từ téc",DATA_GOC!$B:$B,Q$167))</f>
        <v>0</v>
      </c>
      <c r="R219" s="128">
        <f>IF(R$167="","",SUMIFS(DATA_GOC!$H:$H,DATA_GOC!$A:$A,"BOM",DATA_GOC!$D:$D,$B219,DATA_GOC!$E:$E,$F$159,DATA_GOC!$F:$F,"Xuất nội bộ từ téc",DATA_GOC!$B:$B,R$167))</f>
        <v>0</v>
      </c>
      <c r="S219" s="128">
        <f>IF(S$167="","",SUMIFS(DATA_GOC!$H:$H,DATA_GOC!$A:$A,"BOM",DATA_GOC!$D:$D,$B219,DATA_GOC!$E:$E,$F$159,DATA_GOC!$F:$F,"Xuất nội bộ từ téc",DATA_GOC!$B:$B,S$167))</f>
        <v>0</v>
      </c>
      <c r="T219" s="128">
        <f>IF(T$167="","",SUMIFS(DATA_GOC!$H:$H,DATA_GOC!$A:$A,"BOM",DATA_GOC!$D:$D,$B219,DATA_GOC!$E:$E,$F$159,DATA_GOC!$F:$F,"Xuất nội bộ từ téc",DATA_GOC!$B:$B,T$167))</f>
        <v>0</v>
      </c>
      <c r="U219" s="128">
        <f>IF(U$167="","",SUMIFS(DATA_GOC!$H:$H,DATA_GOC!$A:$A,"BOM",DATA_GOC!$D:$D,$B219,DATA_GOC!$E:$E,$F$159,DATA_GOC!$F:$F,"Xuất nội bộ từ téc",DATA_GOC!$B:$B,U$167))</f>
        <v>0</v>
      </c>
      <c r="V219" s="128">
        <f>IF(V$167="","",SUMIFS(DATA_GOC!$H:$H,DATA_GOC!$A:$A,"BOM",DATA_GOC!$D:$D,$B219,DATA_GOC!$E:$E,$F$159,DATA_GOC!$F:$F,"Xuất nội bộ từ téc",DATA_GOC!$B:$B,V$167))</f>
        <v>0</v>
      </c>
      <c r="W219" s="128">
        <f>IF(W$167="","",SUMIFS(DATA_GOC!$H:$H,DATA_GOC!$A:$A,"BOM",DATA_GOC!$D:$D,$B219,DATA_GOC!$E:$E,$F$159,DATA_GOC!$F:$F,"Xuất nội bộ từ téc",DATA_GOC!$B:$B,W$167))</f>
        <v>0</v>
      </c>
      <c r="X219" s="128">
        <f>IF(X$167="","",SUMIFS(DATA_GOC!$H:$H,DATA_GOC!$A:$A,"BOM",DATA_GOC!$D:$D,$B219,DATA_GOC!$E:$E,$F$159,DATA_GOC!$F:$F,"Xuất nội bộ từ téc",DATA_GOC!$B:$B,X$167))</f>
        <v>0</v>
      </c>
      <c r="Y219" s="128" t="str">
        <f>IF(Y$167="","",SUMIFS(DATA_GOC!$H:$H,DATA_GOC!$A:$A,"BOM",DATA_GOC!$D:$D,$B219,DATA_GOC!$E:$E,$F$159,DATA_GOC!$F:$F,"Xuất nội bộ từ téc",DATA_GOC!$B:$B,Y$167))</f>
        <v/>
      </c>
      <c r="Z219" s="128" t="str">
        <f>IF(Z$167="","",SUMIFS(DATA_GOC!$H:$H,DATA_GOC!$A:$A,"BOM",DATA_GOC!$D:$D,$B219,DATA_GOC!$E:$E,$F$159,DATA_GOC!$F:$F,"Xuất nội bộ từ téc",DATA_GOC!$B:$B,Z$167))</f>
        <v/>
      </c>
      <c r="AA219" s="128" t="str">
        <f>IF(AA$167="","",SUMIFS(DATA_GOC!$H:$H,DATA_GOC!$A:$A,"BOM",DATA_GOC!$D:$D,$B219,DATA_GOC!$E:$E,$F$159,DATA_GOC!$F:$F,"Xuất nội bộ từ téc",DATA_GOC!$B:$B,AA$167))</f>
        <v/>
      </c>
      <c r="AB219" s="128" t="str">
        <f>IF(AB$167="","",SUMIFS(DATA_GOC!$H:$H,DATA_GOC!$A:$A,"BOM",DATA_GOC!$D:$D,$B219,DATA_GOC!$E:$E,$F$159,DATA_GOC!$F:$F,"Xuất nội bộ từ téc",DATA_GOC!$B:$B,AB$167))</f>
        <v/>
      </c>
      <c r="AC219" s="128" t="str">
        <f>IF(AC$167="","",SUMIFS(DATA_GOC!$H:$H,DATA_GOC!$A:$A,"BOM",DATA_GOC!$D:$D,$B219,DATA_GOC!$E:$E,$F$159,DATA_GOC!$F:$F,"Xuất nội bộ từ téc",DATA_GOC!$B:$B,AC$167))</f>
        <v/>
      </c>
      <c r="AD219" s="128" t="str">
        <f>IF(AD$167="","",SUMIFS(DATA_GOC!$H:$H,DATA_GOC!$A:$A,"BOM",DATA_GOC!$D:$D,$B219,DATA_GOC!$E:$E,$F$159,DATA_GOC!$F:$F,"Xuất nội bộ từ téc",DATA_GOC!$B:$B,AD$167))</f>
        <v/>
      </c>
      <c r="AE219" s="128" t="str">
        <f>IF(AE$167="","",SUMIFS(DATA_GOC!$H:$H,DATA_GOC!$A:$A,"BOM",DATA_GOC!$D:$D,$B219,DATA_GOC!$E:$E,$F$159,DATA_GOC!$F:$F,"Xuất nội bộ từ téc",DATA_GOC!$B:$B,AE$167))</f>
        <v/>
      </c>
      <c r="AF219" s="128" t="str">
        <f>IF(AF$167="","",SUMIFS(DATA_GOC!$H:$H,DATA_GOC!$A:$A,"BOM",DATA_GOC!$D:$D,$B219,DATA_GOC!$E:$E,$F$159,DATA_GOC!$F:$F,"Xuất nội bộ từ téc",DATA_GOC!$B:$B,AF$167))</f>
        <v/>
      </c>
      <c r="AG219" s="128" t="str">
        <f>IF(AG$167="","",SUMIFS(DATA_GOC!$H:$H,DATA_GOC!$A:$A,"BOM",DATA_GOC!$D:$D,$B219,DATA_GOC!$E:$E,$F$159,DATA_GOC!$F:$F,"Xuất nội bộ từ téc",DATA_GOC!$B:$B,AG$167))</f>
        <v/>
      </c>
      <c r="AH219" s="129">
        <f>IF($B219="","",SUMIFS(DATA_GOC!$H:$H,DATA_GOC!$A:$A,"BOM",DATA_GOC!$D:$D,$B219,DATA_GOC!$E:$E,$F$159,DATA_GOC!$F:$F,"Xuất nội bộ từ téc",DATA_GOC!$B:$B,"&gt;="&amp;$H$159,DATA_GOC!$B:$B,"&lt;="&amp;$J$159))</f>
        <v>0</v>
      </c>
      <c r="AI219" s="130">
        <f t="shared" si="16"/>
        <v>0</v>
      </c>
      <c r="AJ219" s="129">
        <f t="shared" si="17"/>
        <v>0</v>
      </c>
      <c r="AK219" s="129">
        <f t="shared" si="18"/>
        <v>0</v>
      </c>
      <c r="AL219" s="129">
        <f t="shared" si="19"/>
        <v>0</v>
      </c>
    </row>
    <row r="220" ht="21.75" hidden="1" customHeight="1">
      <c r="A220" s="126">
        <f t="shared" si="15"/>
        <v>53</v>
      </c>
      <c r="B220" s="127" t="str">
        <f t="array" ref="B220">IFERROR(IF(INDEX(DANH_MUC!$E:$E,56)="","",INDEX(DANH_MUC!$E:$E,56)),"")</f>
        <v>Xúclật855H</v>
      </c>
      <c r="C220" s="128">
        <f>IF(C$167="","",SUMIFS(DATA_GOC!$H:$H,DATA_GOC!$A:$A,"BOM",DATA_GOC!$D:$D,$B220,DATA_GOC!$E:$E,$F$159,DATA_GOC!$F:$F,"Xuất nội bộ từ téc",DATA_GOC!$B:$B,C$167))</f>
        <v>0</v>
      </c>
      <c r="D220" s="128">
        <f>IF(D$167="","",SUMIFS(DATA_GOC!$H:$H,DATA_GOC!$A:$A,"BOM",DATA_GOC!$D:$D,$B220,DATA_GOC!$E:$E,$F$159,DATA_GOC!$F:$F,"Xuất nội bộ từ téc",DATA_GOC!$B:$B,D$167))</f>
        <v>0</v>
      </c>
      <c r="E220" s="128">
        <f>IF(E$167="","",SUMIFS(DATA_GOC!$H:$H,DATA_GOC!$A:$A,"BOM",DATA_GOC!$D:$D,$B220,DATA_GOC!$E:$E,$F$159,DATA_GOC!$F:$F,"Xuất nội bộ từ téc",DATA_GOC!$B:$B,E$167))</f>
        <v>0</v>
      </c>
      <c r="F220" s="128">
        <f>IF(F$167="","",SUMIFS(DATA_GOC!$H:$H,DATA_GOC!$A:$A,"BOM",DATA_GOC!$D:$D,$B220,DATA_GOC!$E:$E,$F$159,DATA_GOC!$F:$F,"Xuất nội bộ từ téc",DATA_GOC!$B:$B,F$167))</f>
        <v>0</v>
      </c>
      <c r="G220" s="128">
        <f>IF(G$167="","",SUMIFS(DATA_GOC!$H:$H,DATA_GOC!$A:$A,"BOM",DATA_GOC!$D:$D,$B220,DATA_GOC!$E:$E,$F$159,DATA_GOC!$F:$F,"Xuất nội bộ từ téc",DATA_GOC!$B:$B,G$167))</f>
        <v>0</v>
      </c>
      <c r="H220" s="128">
        <f>IF(H$167="","",SUMIFS(DATA_GOC!$H:$H,DATA_GOC!$A:$A,"BOM",DATA_GOC!$D:$D,$B220,DATA_GOC!$E:$E,$F$159,DATA_GOC!$F:$F,"Xuất nội bộ từ téc",DATA_GOC!$B:$B,H$167))</f>
        <v>0</v>
      </c>
      <c r="I220" s="128">
        <f>IF(I$167="","",SUMIFS(DATA_GOC!$H:$H,DATA_GOC!$A:$A,"BOM",DATA_GOC!$D:$D,$B220,DATA_GOC!$E:$E,$F$159,DATA_GOC!$F:$F,"Xuất nội bộ từ téc",DATA_GOC!$B:$B,I$167))</f>
        <v>0</v>
      </c>
      <c r="J220" s="128">
        <f>IF(J$167="","",SUMIFS(DATA_GOC!$H:$H,DATA_GOC!$A:$A,"BOM",DATA_GOC!$D:$D,$B220,DATA_GOC!$E:$E,$F$159,DATA_GOC!$F:$F,"Xuất nội bộ từ téc",DATA_GOC!$B:$B,J$167))</f>
        <v>0</v>
      </c>
      <c r="K220" s="128">
        <f>IF(K$167="","",SUMIFS(DATA_GOC!$H:$H,DATA_GOC!$A:$A,"BOM",DATA_GOC!$D:$D,$B220,DATA_GOC!$E:$E,$F$159,DATA_GOC!$F:$F,"Xuất nội bộ từ téc",DATA_GOC!$B:$B,K$167))</f>
        <v>0</v>
      </c>
      <c r="L220" s="128">
        <f>IF(L$167="","",SUMIFS(DATA_GOC!$H:$H,DATA_GOC!$A:$A,"BOM",DATA_GOC!$D:$D,$B220,DATA_GOC!$E:$E,$F$159,DATA_GOC!$F:$F,"Xuất nội bộ từ téc",DATA_GOC!$B:$B,L$167))</f>
        <v>0</v>
      </c>
      <c r="M220" s="128">
        <f>IF(M$167="","",SUMIFS(DATA_GOC!$H:$H,DATA_GOC!$A:$A,"BOM",DATA_GOC!$D:$D,$B220,DATA_GOC!$E:$E,$F$159,DATA_GOC!$F:$F,"Xuất nội bộ từ téc",DATA_GOC!$B:$B,M$167))</f>
        <v>0</v>
      </c>
      <c r="N220" s="128">
        <f>IF(N$167="","",SUMIFS(DATA_GOC!$H:$H,DATA_GOC!$A:$A,"BOM",DATA_GOC!$D:$D,$B220,DATA_GOC!$E:$E,$F$159,DATA_GOC!$F:$F,"Xuất nội bộ từ téc",DATA_GOC!$B:$B,N$167))</f>
        <v>0</v>
      </c>
      <c r="O220" s="128">
        <f>IF(O$167="","",SUMIFS(DATA_GOC!$H:$H,DATA_GOC!$A:$A,"BOM",DATA_GOC!$D:$D,$B220,DATA_GOC!$E:$E,$F$159,DATA_GOC!$F:$F,"Xuất nội bộ từ téc",DATA_GOC!$B:$B,O$167))</f>
        <v>0</v>
      </c>
      <c r="P220" s="128">
        <f>IF(P$167="","",SUMIFS(DATA_GOC!$H:$H,DATA_GOC!$A:$A,"BOM",DATA_GOC!$D:$D,$B220,DATA_GOC!$E:$E,$F$159,DATA_GOC!$F:$F,"Xuất nội bộ từ téc",DATA_GOC!$B:$B,P$167))</f>
        <v>0</v>
      </c>
      <c r="Q220" s="128">
        <f>IF(Q$167="","",SUMIFS(DATA_GOC!$H:$H,DATA_GOC!$A:$A,"BOM",DATA_GOC!$D:$D,$B220,DATA_GOC!$E:$E,$F$159,DATA_GOC!$F:$F,"Xuất nội bộ từ téc",DATA_GOC!$B:$B,Q$167))</f>
        <v>0</v>
      </c>
      <c r="R220" s="128">
        <f>IF(R$167="","",SUMIFS(DATA_GOC!$H:$H,DATA_GOC!$A:$A,"BOM",DATA_GOC!$D:$D,$B220,DATA_GOC!$E:$E,$F$159,DATA_GOC!$F:$F,"Xuất nội bộ từ téc",DATA_GOC!$B:$B,R$167))</f>
        <v>0</v>
      </c>
      <c r="S220" s="128">
        <f>IF(S$167="","",SUMIFS(DATA_GOC!$H:$H,DATA_GOC!$A:$A,"BOM",DATA_GOC!$D:$D,$B220,DATA_GOC!$E:$E,$F$159,DATA_GOC!$F:$F,"Xuất nội bộ từ téc",DATA_GOC!$B:$B,S$167))</f>
        <v>167</v>
      </c>
      <c r="T220" s="128">
        <f>IF(T$167="","",SUMIFS(DATA_GOC!$H:$H,DATA_GOC!$A:$A,"BOM",DATA_GOC!$D:$D,$B220,DATA_GOC!$E:$E,$F$159,DATA_GOC!$F:$F,"Xuất nội bộ từ téc",DATA_GOC!$B:$B,T$167))</f>
        <v>0</v>
      </c>
      <c r="U220" s="128">
        <f>IF(U$167="","",SUMIFS(DATA_GOC!$H:$H,DATA_GOC!$A:$A,"BOM",DATA_GOC!$D:$D,$B220,DATA_GOC!$E:$E,$F$159,DATA_GOC!$F:$F,"Xuất nội bộ từ téc",DATA_GOC!$B:$B,U$167))</f>
        <v>0</v>
      </c>
      <c r="V220" s="128">
        <f>IF(V$167="","",SUMIFS(DATA_GOC!$H:$H,DATA_GOC!$A:$A,"BOM",DATA_GOC!$D:$D,$B220,DATA_GOC!$E:$E,$F$159,DATA_GOC!$F:$F,"Xuất nội bộ từ téc",DATA_GOC!$B:$B,V$167))</f>
        <v>157</v>
      </c>
      <c r="W220" s="128">
        <f>IF(W$167="","",SUMIFS(DATA_GOC!$H:$H,DATA_GOC!$A:$A,"BOM",DATA_GOC!$D:$D,$B220,DATA_GOC!$E:$E,$F$159,DATA_GOC!$F:$F,"Xuất nội bộ từ téc",DATA_GOC!$B:$B,W$167))</f>
        <v>0</v>
      </c>
      <c r="X220" s="128">
        <f>IF(X$167="","",SUMIFS(DATA_GOC!$H:$H,DATA_GOC!$A:$A,"BOM",DATA_GOC!$D:$D,$B220,DATA_GOC!$E:$E,$F$159,DATA_GOC!$F:$F,"Xuất nội bộ từ téc",DATA_GOC!$B:$B,X$167))</f>
        <v>0</v>
      </c>
      <c r="Y220" s="128" t="str">
        <f>IF(Y$167="","",SUMIFS(DATA_GOC!$H:$H,DATA_GOC!$A:$A,"BOM",DATA_GOC!$D:$D,$B220,DATA_GOC!$E:$E,$F$159,DATA_GOC!$F:$F,"Xuất nội bộ từ téc",DATA_GOC!$B:$B,Y$167))</f>
        <v/>
      </c>
      <c r="Z220" s="128" t="str">
        <f>IF(Z$167="","",SUMIFS(DATA_GOC!$H:$H,DATA_GOC!$A:$A,"BOM",DATA_GOC!$D:$D,$B220,DATA_GOC!$E:$E,$F$159,DATA_GOC!$F:$F,"Xuất nội bộ từ téc",DATA_GOC!$B:$B,Z$167))</f>
        <v/>
      </c>
      <c r="AA220" s="128" t="str">
        <f>IF(AA$167="","",SUMIFS(DATA_GOC!$H:$H,DATA_GOC!$A:$A,"BOM",DATA_GOC!$D:$D,$B220,DATA_GOC!$E:$E,$F$159,DATA_GOC!$F:$F,"Xuất nội bộ từ téc",DATA_GOC!$B:$B,AA$167))</f>
        <v/>
      </c>
      <c r="AB220" s="128" t="str">
        <f>IF(AB$167="","",SUMIFS(DATA_GOC!$H:$H,DATA_GOC!$A:$A,"BOM",DATA_GOC!$D:$D,$B220,DATA_GOC!$E:$E,$F$159,DATA_GOC!$F:$F,"Xuất nội bộ từ téc",DATA_GOC!$B:$B,AB$167))</f>
        <v/>
      </c>
      <c r="AC220" s="128" t="str">
        <f>IF(AC$167="","",SUMIFS(DATA_GOC!$H:$H,DATA_GOC!$A:$A,"BOM",DATA_GOC!$D:$D,$B220,DATA_GOC!$E:$E,$F$159,DATA_GOC!$F:$F,"Xuất nội bộ từ téc",DATA_GOC!$B:$B,AC$167))</f>
        <v/>
      </c>
      <c r="AD220" s="128" t="str">
        <f>IF(AD$167="","",SUMIFS(DATA_GOC!$H:$H,DATA_GOC!$A:$A,"BOM",DATA_GOC!$D:$D,$B220,DATA_GOC!$E:$E,$F$159,DATA_GOC!$F:$F,"Xuất nội bộ từ téc",DATA_GOC!$B:$B,AD$167))</f>
        <v/>
      </c>
      <c r="AE220" s="128" t="str">
        <f>IF(AE$167="","",SUMIFS(DATA_GOC!$H:$H,DATA_GOC!$A:$A,"BOM",DATA_GOC!$D:$D,$B220,DATA_GOC!$E:$E,$F$159,DATA_GOC!$F:$F,"Xuất nội bộ từ téc",DATA_GOC!$B:$B,AE$167))</f>
        <v/>
      </c>
      <c r="AF220" s="128" t="str">
        <f>IF(AF$167="","",SUMIFS(DATA_GOC!$H:$H,DATA_GOC!$A:$A,"BOM",DATA_GOC!$D:$D,$B220,DATA_GOC!$E:$E,$F$159,DATA_GOC!$F:$F,"Xuất nội bộ từ téc",DATA_GOC!$B:$B,AF$167))</f>
        <v/>
      </c>
      <c r="AG220" s="128" t="str">
        <f>IF(AG$167="","",SUMIFS(DATA_GOC!$H:$H,DATA_GOC!$A:$A,"BOM",DATA_GOC!$D:$D,$B220,DATA_GOC!$E:$E,$F$159,DATA_GOC!$F:$F,"Xuất nội bộ từ téc",DATA_GOC!$B:$B,AG$167))</f>
        <v/>
      </c>
      <c r="AH220" s="129">
        <f>IF($B220="","",SUMIFS(DATA_GOC!$H:$H,DATA_GOC!$A:$A,"BOM",DATA_GOC!$D:$D,$B220,DATA_GOC!$E:$E,$F$159,DATA_GOC!$F:$F,"Xuất nội bộ từ téc",DATA_GOC!$B:$B,"&gt;="&amp;$H$159,DATA_GOC!$B:$B,"&lt;="&amp;$J$159))</f>
        <v>324</v>
      </c>
      <c r="AI220" s="130">
        <f t="shared" si="16"/>
        <v>0.02349699035</v>
      </c>
      <c r="AJ220" s="129">
        <f t="shared" si="17"/>
        <v>8.717</v>
      </c>
      <c r="AK220" s="129">
        <f t="shared" si="18"/>
        <v>0</v>
      </c>
      <c r="AL220" s="129">
        <f t="shared" si="19"/>
        <v>332.717</v>
      </c>
    </row>
    <row r="221" ht="21.75" hidden="1" customHeight="1">
      <c r="A221" s="126">
        <f t="shared" si="15"/>
        <v>54</v>
      </c>
      <c r="B221" s="127" t="str">
        <f t="array" ref="B221">IFERROR(IF(INDEX(DANH_MUC!$E:$E,57)="","",INDEX(DANH_MUC!$E:$E,57)),"")</f>
        <v>Xúclật855N</v>
      </c>
      <c r="C221" s="128">
        <f>IF(C$167="","",SUMIFS(DATA_GOC!$H:$H,DATA_GOC!$A:$A,"BOM",DATA_GOC!$D:$D,$B221,DATA_GOC!$E:$E,$F$159,DATA_GOC!$F:$F,"Xuất nội bộ từ téc",DATA_GOC!$B:$B,C$167))</f>
        <v>0</v>
      </c>
      <c r="D221" s="128">
        <f>IF(D$167="","",SUMIFS(DATA_GOC!$H:$H,DATA_GOC!$A:$A,"BOM",DATA_GOC!$D:$D,$B221,DATA_GOC!$E:$E,$F$159,DATA_GOC!$F:$F,"Xuất nội bộ từ téc",DATA_GOC!$B:$B,D$167))</f>
        <v>0</v>
      </c>
      <c r="E221" s="128">
        <f>IF(E$167="","",SUMIFS(DATA_GOC!$H:$H,DATA_GOC!$A:$A,"BOM",DATA_GOC!$D:$D,$B221,DATA_GOC!$E:$E,$F$159,DATA_GOC!$F:$F,"Xuất nội bộ từ téc",DATA_GOC!$B:$B,E$167))</f>
        <v>0</v>
      </c>
      <c r="F221" s="128">
        <f>IF(F$167="","",SUMIFS(DATA_GOC!$H:$H,DATA_GOC!$A:$A,"BOM",DATA_GOC!$D:$D,$B221,DATA_GOC!$E:$E,$F$159,DATA_GOC!$F:$F,"Xuất nội bộ từ téc",DATA_GOC!$B:$B,F$167))</f>
        <v>0</v>
      </c>
      <c r="G221" s="128">
        <f>IF(G$167="","",SUMIFS(DATA_GOC!$H:$H,DATA_GOC!$A:$A,"BOM",DATA_GOC!$D:$D,$B221,DATA_GOC!$E:$E,$F$159,DATA_GOC!$F:$F,"Xuất nội bộ từ téc",DATA_GOC!$B:$B,G$167))</f>
        <v>0</v>
      </c>
      <c r="H221" s="128">
        <f>IF(H$167="","",SUMIFS(DATA_GOC!$H:$H,DATA_GOC!$A:$A,"BOM",DATA_GOC!$D:$D,$B221,DATA_GOC!$E:$E,$F$159,DATA_GOC!$F:$F,"Xuất nội bộ từ téc",DATA_GOC!$B:$B,H$167))</f>
        <v>0</v>
      </c>
      <c r="I221" s="128">
        <f>IF(I$167="","",SUMIFS(DATA_GOC!$H:$H,DATA_GOC!$A:$A,"BOM",DATA_GOC!$D:$D,$B221,DATA_GOC!$E:$E,$F$159,DATA_GOC!$F:$F,"Xuất nội bộ từ téc",DATA_GOC!$B:$B,I$167))</f>
        <v>0</v>
      </c>
      <c r="J221" s="128">
        <f>IF(J$167="","",SUMIFS(DATA_GOC!$H:$H,DATA_GOC!$A:$A,"BOM",DATA_GOC!$D:$D,$B221,DATA_GOC!$E:$E,$F$159,DATA_GOC!$F:$F,"Xuất nội bộ từ téc",DATA_GOC!$B:$B,J$167))</f>
        <v>0</v>
      </c>
      <c r="K221" s="128">
        <f>IF(K$167="","",SUMIFS(DATA_GOC!$H:$H,DATA_GOC!$A:$A,"BOM",DATA_GOC!$D:$D,$B221,DATA_GOC!$E:$E,$F$159,DATA_GOC!$F:$F,"Xuất nội bộ từ téc",DATA_GOC!$B:$B,K$167))</f>
        <v>0</v>
      </c>
      <c r="L221" s="128">
        <f>IF(L$167="","",SUMIFS(DATA_GOC!$H:$H,DATA_GOC!$A:$A,"BOM",DATA_GOC!$D:$D,$B221,DATA_GOC!$E:$E,$F$159,DATA_GOC!$F:$F,"Xuất nội bộ từ téc",DATA_GOC!$B:$B,L$167))</f>
        <v>0</v>
      </c>
      <c r="M221" s="128">
        <f>IF(M$167="","",SUMIFS(DATA_GOC!$H:$H,DATA_GOC!$A:$A,"BOM",DATA_GOC!$D:$D,$B221,DATA_GOC!$E:$E,$F$159,DATA_GOC!$F:$F,"Xuất nội bộ từ téc",DATA_GOC!$B:$B,M$167))</f>
        <v>0</v>
      </c>
      <c r="N221" s="128">
        <f>IF(N$167="","",SUMIFS(DATA_GOC!$H:$H,DATA_GOC!$A:$A,"BOM",DATA_GOC!$D:$D,$B221,DATA_GOC!$E:$E,$F$159,DATA_GOC!$F:$F,"Xuất nội bộ từ téc",DATA_GOC!$B:$B,N$167))</f>
        <v>0</v>
      </c>
      <c r="O221" s="128">
        <f>IF(O$167="","",SUMIFS(DATA_GOC!$H:$H,DATA_GOC!$A:$A,"BOM",DATA_GOC!$D:$D,$B221,DATA_GOC!$E:$E,$F$159,DATA_GOC!$F:$F,"Xuất nội bộ từ téc",DATA_GOC!$B:$B,O$167))</f>
        <v>0</v>
      </c>
      <c r="P221" s="128">
        <f>IF(P$167="","",SUMIFS(DATA_GOC!$H:$H,DATA_GOC!$A:$A,"BOM",DATA_GOC!$D:$D,$B221,DATA_GOC!$E:$E,$F$159,DATA_GOC!$F:$F,"Xuất nội bộ từ téc",DATA_GOC!$B:$B,P$167))</f>
        <v>0</v>
      </c>
      <c r="Q221" s="128">
        <f>IF(Q$167="","",SUMIFS(DATA_GOC!$H:$H,DATA_GOC!$A:$A,"BOM",DATA_GOC!$D:$D,$B221,DATA_GOC!$E:$E,$F$159,DATA_GOC!$F:$F,"Xuất nội bộ từ téc",DATA_GOC!$B:$B,Q$167))</f>
        <v>170</v>
      </c>
      <c r="R221" s="128">
        <f>IF(R$167="","",SUMIFS(DATA_GOC!$H:$H,DATA_GOC!$A:$A,"BOM",DATA_GOC!$D:$D,$B221,DATA_GOC!$E:$E,$F$159,DATA_GOC!$F:$F,"Xuất nội bộ từ téc",DATA_GOC!$B:$B,R$167))</f>
        <v>0</v>
      </c>
      <c r="S221" s="128">
        <f>IF(S$167="","",SUMIFS(DATA_GOC!$H:$H,DATA_GOC!$A:$A,"BOM",DATA_GOC!$D:$D,$B221,DATA_GOC!$E:$E,$F$159,DATA_GOC!$F:$F,"Xuất nội bộ từ téc",DATA_GOC!$B:$B,S$167))</f>
        <v>0</v>
      </c>
      <c r="T221" s="128">
        <f>IF(T$167="","",SUMIFS(DATA_GOC!$H:$H,DATA_GOC!$A:$A,"BOM",DATA_GOC!$D:$D,$B221,DATA_GOC!$E:$E,$F$159,DATA_GOC!$F:$F,"Xuất nội bộ từ téc",DATA_GOC!$B:$B,T$167))</f>
        <v>150</v>
      </c>
      <c r="U221" s="128">
        <f>IF(U$167="","",SUMIFS(DATA_GOC!$H:$H,DATA_GOC!$A:$A,"BOM",DATA_GOC!$D:$D,$B221,DATA_GOC!$E:$E,$F$159,DATA_GOC!$F:$F,"Xuất nội bộ từ téc",DATA_GOC!$B:$B,U$167))</f>
        <v>0</v>
      </c>
      <c r="V221" s="128">
        <f>IF(V$167="","",SUMIFS(DATA_GOC!$H:$H,DATA_GOC!$A:$A,"BOM",DATA_GOC!$D:$D,$B221,DATA_GOC!$E:$E,$F$159,DATA_GOC!$F:$F,"Xuất nội bộ từ téc",DATA_GOC!$B:$B,V$167))</f>
        <v>0</v>
      </c>
      <c r="W221" s="128">
        <f>IF(W$167="","",SUMIFS(DATA_GOC!$H:$H,DATA_GOC!$A:$A,"BOM",DATA_GOC!$D:$D,$B221,DATA_GOC!$E:$E,$F$159,DATA_GOC!$F:$F,"Xuất nội bộ từ téc",DATA_GOC!$B:$B,W$167))</f>
        <v>0</v>
      </c>
      <c r="X221" s="128">
        <f>IF(X$167="","",SUMIFS(DATA_GOC!$H:$H,DATA_GOC!$A:$A,"BOM",DATA_GOC!$D:$D,$B221,DATA_GOC!$E:$E,$F$159,DATA_GOC!$F:$F,"Xuất nội bộ từ téc",DATA_GOC!$B:$B,X$167))</f>
        <v>0</v>
      </c>
      <c r="Y221" s="128" t="str">
        <f>IF(Y$167="","",SUMIFS(DATA_GOC!$H:$H,DATA_GOC!$A:$A,"BOM",DATA_GOC!$D:$D,$B221,DATA_GOC!$E:$E,$F$159,DATA_GOC!$F:$F,"Xuất nội bộ từ téc",DATA_GOC!$B:$B,Y$167))</f>
        <v/>
      </c>
      <c r="Z221" s="128" t="str">
        <f>IF(Z$167="","",SUMIFS(DATA_GOC!$H:$H,DATA_GOC!$A:$A,"BOM",DATA_GOC!$D:$D,$B221,DATA_GOC!$E:$E,$F$159,DATA_GOC!$F:$F,"Xuất nội bộ từ téc",DATA_GOC!$B:$B,Z$167))</f>
        <v/>
      </c>
      <c r="AA221" s="128" t="str">
        <f>IF(AA$167="","",SUMIFS(DATA_GOC!$H:$H,DATA_GOC!$A:$A,"BOM",DATA_GOC!$D:$D,$B221,DATA_GOC!$E:$E,$F$159,DATA_GOC!$F:$F,"Xuất nội bộ từ téc",DATA_GOC!$B:$B,AA$167))</f>
        <v/>
      </c>
      <c r="AB221" s="128" t="str">
        <f>IF(AB$167="","",SUMIFS(DATA_GOC!$H:$H,DATA_GOC!$A:$A,"BOM",DATA_GOC!$D:$D,$B221,DATA_GOC!$E:$E,$F$159,DATA_GOC!$F:$F,"Xuất nội bộ từ téc",DATA_GOC!$B:$B,AB$167))</f>
        <v/>
      </c>
      <c r="AC221" s="128" t="str">
        <f>IF(AC$167="","",SUMIFS(DATA_GOC!$H:$H,DATA_GOC!$A:$A,"BOM",DATA_GOC!$D:$D,$B221,DATA_GOC!$E:$E,$F$159,DATA_GOC!$F:$F,"Xuất nội bộ từ téc",DATA_GOC!$B:$B,AC$167))</f>
        <v/>
      </c>
      <c r="AD221" s="128" t="str">
        <f>IF(AD$167="","",SUMIFS(DATA_GOC!$H:$H,DATA_GOC!$A:$A,"BOM",DATA_GOC!$D:$D,$B221,DATA_GOC!$E:$E,$F$159,DATA_GOC!$F:$F,"Xuất nội bộ từ téc",DATA_GOC!$B:$B,AD$167))</f>
        <v/>
      </c>
      <c r="AE221" s="128" t="str">
        <f>IF(AE$167="","",SUMIFS(DATA_GOC!$H:$H,DATA_GOC!$A:$A,"BOM",DATA_GOC!$D:$D,$B221,DATA_GOC!$E:$E,$F$159,DATA_GOC!$F:$F,"Xuất nội bộ từ téc",DATA_GOC!$B:$B,AE$167))</f>
        <v/>
      </c>
      <c r="AF221" s="128" t="str">
        <f>IF(AF$167="","",SUMIFS(DATA_GOC!$H:$H,DATA_GOC!$A:$A,"BOM",DATA_GOC!$D:$D,$B221,DATA_GOC!$E:$E,$F$159,DATA_GOC!$F:$F,"Xuất nội bộ từ téc",DATA_GOC!$B:$B,AF$167))</f>
        <v/>
      </c>
      <c r="AG221" s="128" t="str">
        <f>IF(AG$167="","",SUMIFS(DATA_GOC!$H:$H,DATA_GOC!$A:$A,"BOM",DATA_GOC!$D:$D,$B221,DATA_GOC!$E:$E,$F$159,DATA_GOC!$F:$F,"Xuất nội bộ từ téc",DATA_GOC!$B:$B,AG$167))</f>
        <v/>
      </c>
      <c r="AH221" s="129">
        <f>IF($B221="","",SUMIFS(DATA_GOC!$H:$H,DATA_GOC!$A:$A,"BOM",DATA_GOC!$D:$D,$B221,DATA_GOC!$E:$E,$F$159,DATA_GOC!$F:$F,"Xuất nội bộ từ téc",DATA_GOC!$B:$B,"&gt;="&amp;$H$159,DATA_GOC!$B:$B,"&lt;="&amp;$J$159))</f>
        <v>320</v>
      </c>
      <c r="AI221" s="130">
        <f t="shared" si="16"/>
        <v>0.02320690405</v>
      </c>
      <c r="AJ221" s="129">
        <f t="shared" si="17"/>
        <v>8.61</v>
      </c>
      <c r="AK221" s="129">
        <f t="shared" si="18"/>
        <v>0</v>
      </c>
      <c r="AL221" s="129">
        <f t="shared" si="19"/>
        <v>328.61</v>
      </c>
    </row>
    <row r="222" ht="21.75" hidden="1" customHeight="1">
      <c r="A222" s="126">
        <f t="shared" si="15"/>
        <v>55</v>
      </c>
      <c r="B222" s="127" t="str">
        <f t="array" ref="B222">IFERROR(IF(INDEX(DANH_MUC!$E:$E,58)="","",INDEX(DANH_MUC!$E:$E,58)),"")</f>
        <v>Cát nghiền</v>
      </c>
      <c r="C222" s="128">
        <f>IF(C$167="","",SUMIFS(DATA_GOC!$H:$H,DATA_GOC!$A:$A,"BOM",DATA_GOC!$D:$D,$B222,DATA_GOC!$E:$E,$F$159,DATA_GOC!$F:$F,"Xuất nội bộ từ téc",DATA_GOC!$B:$B,C$167))</f>
        <v>0</v>
      </c>
      <c r="D222" s="128">
        <f>IF(D$167="","",SUMIFS(DATA_GOC!$H:$H,DATA_GOC!$A:$A,"BOM",DATA_GOC!$D:$D,$B222,DATA_GOC!$E:$E,$F$159,DATA_GOC!$F:$F,"Xuất nội bộ từ téc",DATA_GOC!$B:$B,D$167))</f>
        <v>0</v>
      </c>
      <c r="E222" s="128">
        <f>IF(E$167="","",SUMIFS(DATA_GOC!$H:$H,DATA_GOC!$A:$A,"BOM",DATA_GOC!$D:$D,$B222,DATA_GOC!$E:$E,$F$159,DATA_GOC!$F:$F,"Xuất nội bộ từ téc",DATA_GOC!$B:$B,E$167))</f>
        <v>0</v>
      </c>
      <c r="F222" s="128">
        <f>IF(F$167="","",SUMIFS(DATA_GOC!$H:$H,DATA_GOC!$A:$A,"BOM",DATA_GOC!$D:$D,$B222,DATA_GOC!$E:$E,$F$159,DATA_GOC!$F:$F,"Xuất nội bộ từ téc",DATA_GOC!$B:$B,F$167))</f>
        <v>0</v>
      </c>
      <c r="G222" s="128">
        <f>IF(G$167="","",SUMIFS(DATA_GOC!$H:$H,DATA_GOC!$A:$A,"BOM",DATA_GOC!$D:$D,$B222,DATA_GOC!$E:$E,$F$159,DATA_GOC!$F:$F,"Xuất nội bộ từ téc",DATA_GOC!$B:$B,G$167))</f>
        <v>0</v>
      </c>
      <c r="H222" s="128">
        <f>IF(H$167="","",SUMIFS(DATA_GOC!$H:$H,DATA_GOC!$A:$A,"BOM",DATA_GOC!$D:$D,$B222,DATA_GOC!$E:$E,$F$159,DATA_GOC!$F:$F,"Xuất nội bộ từ téc",DATA_GOC!$B:$B,H$167))</f>
        <v>0</v>
      </c>
      <c r="I222" s="128">
        <f>IF(I$167="","",SUMIFS(DATA_GOC!$H:$H,DATA_GOC!$A:$A,"BOM",DATA_GOC!$D:$D,$B222,DATA_GOC!$E:$E,$F$159,DATA_GOC!$F:$F,"Xuất nội bộ từ téc",DATA_GOC!$B:$B,I$167))</f>
        <v>0</v>
      </c>
      <c r="J222" s="128">
        <f>IF(J$167="","",SUMIFS(DATA_GOC!$H:$H,DATA_GOC!$A:$A,"BOM",DATA_GOC!$D:$D,$B222,DATA_GOC!$E:$E,$F$159,DATA_GOC!$F:$F,"Xuất nội bộ từ téc",DATA_GOC!$B:$B,J$167))</f>
        <v>0</v>
      </c>
      <c r="K222" s="128">
        <f>IF(K$167="","",SUMIFS(DATA_GOC!$H:$H,DATA_GOC!$A:$A,"BOM",DATA_GOC!$D:$D,$B222,DATA_GOC!$E:$E,$F$159,DATA_GOC!$F:$F,"Xuất nội bộ từ téc",DATA_GOC!$B:$B,K$167))</f>
        <v>0</v>
      </c>
      <c r="L222" s="128">
        <f>IF(L$167="","",SUMIFS(DATA_GOC!$H:$H,DATA_GOC!$A:$A,"BOM",DATA_GOC!$D:$D,$B222,DATA_GOC!$E:$E,$F$159,DATA_GOC!$F:$F,"Xuất nội bộ từ téc",DATA_GOC!$B:$B,L$167))</f>
        <v>0</v>
      </c>
      <c r="M222" s="128">
        <f>IF(M$167="","",SUMIFS(DATA_GOC!$H:$H,DATA_GOC!$A:$A,"BOM",DATA_GOC!$D:$D,$B222,DATA_GOC!$E:$E,$F$159,DATA_GOC!$F:$F,"Xuất nội bộ từ téc",DATA_GOC!$B:$B,M$167))</f>
        <v>0</v>
      </c>
      <c r="N222" s="128">
        <f>IF(N$167="","",SUMIFS(DATA_GOC!$H:$H,DATA_GOC!$A:$A,"BOM",DATA_GOC!$D:$D,$B222,DATA_GOC!$E:$E,$F$159,DATA_GOC!$F:$F,"Xuất nội bộ từ téc",DATA_GOC!$B:$B,N$167))</f>
        <v>0</v>
      </c>
      <c r="O222" s="128">
        <f>IF(O$167="","",SUMIFS(DATA_GOC!$H:$H,DATA_GOC!$A:$A,"BOM",DATA_GOC!$D:$D,$B222,DATA_GOC!$E:$E,$F$159,DATA_GOC!$F:$F,"Xuất nội bộ từ téc",DATA_GOC!$B:$B,O$167))</f>
        <v>0</v>
      </c>
      <c r="P222" s="128">
        <f>IF(P$167="","",SUMIFS(DATA_GOC!$H:$H,DATA_GOC!$A:$A,"BOM",DATA_GOC!$D:$D,$B222,DATA_GOC!$E:$E,$F$159,DATA_GOC!$F:$F,"Xuất nội bộ từ téc",DATA_GOC!$B:$B,P$167))</f>
        <v>0</v>
      </c>
      <c r="Q222" s="128">
        <f>IF(Q$167="","",SUMIFS(DATA_GOC!$H:$H,DATA_GOC!$A:$A,"BOM",DATA_GOC!$D:$D,$B222,DATA_GOC!$E:$E,$F$159,DATA_GOC!$F:$F,"Xuất nội bộ từ téc",DATA_GOC!$B:$B,Q$167))</f>
        <v>0</v>
      </c>
      <c r="R222" s="128">
        <f>IF(R$167="","",SUMIFS(DATA_GOC!$H:$H,DATA_GOC!$A:$A,"BOM",DATA_GOC!$D:$D,$B222,DATA_GOC!$E:$E,$F$159,DATA_GOC!$F:$F,"Xuất nội bộ từ téc",DATA_GOC!$B:$B,R$167))</f>
        <v>0</v>
      </c>
      <c r="S222" s="128">
        <f>IF(S$167="","",SUMIFS(DATA_GOC!$H:$H,DATA_GOC!$A:$A,"BOM",DATA_GOC!$D:$D,$B222,DATA_GOC!$E:$E,$F$159,DATA_GOC!$F:$F,"Xuất nội bộ từ téc",DATA_GOC!$B:$B,S$167))</f>
        <v>0</v>
      </c>
      <c r="T222" s="128">
        <f>IF(T$167="","",SUMIFS(DATA_GOC!$H:$H,DATA_GOC!$A:$A,"BOM",DATA_GOC!$D:$D,$B222,DATA_GOC!$E:$E,$F$159,DATA_GOC!$F:$F,"Xuất nội bộ từ téc",DATA_GOC!$B:$B,T$167))</f>
        <v>0</v>
      </c>
      <c r="U222" s="128">
        <f>IF(U$167="","",SUMIFS(DATA_GOC!$H:$H,DATA_GOC!$A:$A,"BOM",DATA_GOC!$D:$D,$B222,DATA_GOC!$E:$E,$F$159,DATA_GOC!$F:$F,"Xuất nội bộ từ téc",DATA_GOC!$B:$B,U$167))</f>
        <v>0</v>
      </c>
      <c r="V222" s="128">
        <f>IF(V$167="","",SUMIFS(DATA_GOC!$H:$H,DATA_GOC!$A:$A,"BOM",DATA_GOC!$D:$D,$B222,DATA_GOC!$E:$E,$F$159,DATA_GOC!$F:$F,"Xuất nội bộ từ téc",DATA_GOC!$B:$B,V$167))</f>
        <v>0</v>
      </c>
      <c r="W222" s="128">
        <f>IF(W$167="","",SUMIFS(DATA_GOC!$H:$H,DATA_GOC!$A:$A,"BOM",DATA_GOC!$D:$D,$B222,DATA_GOC!$E:$E,$F$159,DATA_GOC!$F:$F,"Xuất nội bộ từ téc",DATA_GOC!$B:$B,W$167))</f>
        <v>0</v>
      </c>
      <c r="X222" s="128">
        <f>IF(X$167="","",SUMIFS(DATA_GOC!$H:$H,DATA_GOC!$A:$A,"BOM",DATA_GOC!$D:$D,$B222,DATA_GOC!$E:$E,$F$159,DATA_GOC!$F:$F,"Xuất nội bộ từ téc",DATA_GOC!$B:$B,X$167))</f>
        <v>0</v>
      </c>
      <c r="Y222" s="128" t="str">
        <f>IF(Y$167="","",SUMIFS(DATA_GOC!$H:$H,DATA_GOC!$A:$A,"BOM",DATA_GOC!$D:$D,$B222,DATA_GOC!$E:$E,$F$159,DATA_GOC!$F:$F,"Xuất nội bộ từ téc",DATA_GOC!$B:$B,Y$167))</f>
        <v/>
      </c>
      <c r="Z222" s="128" t="str">
        <f>IF(Z$167="","",SUMIFS(DATA_GOC!$H:$H,DATA_GOC!$A:$A,"BOM",DATA_GOC!$D:$D,$B222,DATA_GOC!$E:$E,$F$159,DATA_GOC!$F:$F,"Xuất nội bộ từ téc",DATA_GOC!$B:$B,Z$167))</f>
        <v/>
      </c>
      <c r="AA222" s="128" t="str">
        <f>IF(AA$167="","",SUMIFS(DATA_GOC!$H:$H,DATA_GOC!$A:$A,"BOM",DATA_GOC!$D:$D,$B222,DATA_GOC!$E:$E,$F$159,DATA_GOC!$F:$F,"Xuất nội bộ từ téc",DATA_GOC!$B:$B,AA$167))</f>
        <v/>
      </c>
      <c r="AB222" s="128" t="str">
        <f>IF(AB$167="","",SUMIFS(DATA_GOC!$H:$H,DATA_GOC!$A:$A,"BOM",DATA_GOC!$D:$D,$B222,DATA_GOC!$E:$E,$F$159,DATA_GOC!$F:$F,"Xuất nội bộ từ téc",DATA_GOC!$B:$B,AB$167))</f>
        <v/>
      </c>
      <c r="AC222" s="128" t="str">
        <f>IF(AC$167="","",SUMIFS(DATA_GOC!$H:$H,DATA_GOC!$A:$A,"BOM",DATA_GOC!$D:$D,$B222,DATA_GOC!$E:$E,$F$159,DATA_GOC!$F:$F,"Xuất nội bộ từ téc",DATA_GOC!$B:$B,AC$167))</f>
        <v/>
      </c>
      <c r="AD222" s="128" t="str">
        <f>IF(AD$167="","",SUMIFS(DATA_GOC!$H:$H,DATA_GOC!$A:$A,"BOM",DATA_GOC!$D:$D,$B222,DATA_GOC!$E:$E,$F$159,DATA_GOC!$F:$F,"Xuất nội bộ từ téc",DATA_GOC!$B:$B,AD$167))</f>
        <v/>
      </c>
      <c r="AE222" s="128" t="str">
        <f>IF(AE$167="","",SUMIFS(DATA_GOC!$H:$H,DATA_GOC!$A:$A,"BOM",DATA_GOC!$D:$D,$B222,DATA_GOC!$E:$E,$F$159,DATA_GOC!$F:$F,"Xuất nội bộ từ téc",DATA_GOC!$B:$B,AE$167))</f>
        <v/>
      </c>
      <c r="AF222" s="128" t="str">
        <f>IF(AF$167="","",SUMIFS(DATA_GOC!$H:$H,DATA_GOC!$A:$A,"BOM",DATA_GOC!$D:$D,$B222,DATA_GOC!$E:$E,$F$159,DATA_GOC!$F:$F,"Xuất nội bộ từ téc",DATA_GOC!$B:$B,AF$167))</f>
        <v/>
      </c>
      <c r="AG222" s="128" t="str">
        <f>IF(AG$167="","",SUMIFS(DATA_GOC!$H:$H,DATA_GOC!$A:$A,"BOM",DATA_GOC!$D:$D,$B222,DATA_GOC!$E:$E,$F$159,DATA_GOC!$F:$F,"Xuất nội bộ từ téc",DATA_GOC!$B:$B,AG$167))</f>
        <v/>
      </c>
      <c r="AH222" s="129">
        <f>IF($B222="","",SUMIFS(DATA_GOC!$H:$H,DATA_GOC!$A:$A,"BOM",DATA_GOC!$D:$D,$B222,DATA_GOC!$E:$E,$F$159,DATA_GOC!$F:$F,"Xuất nội bộ từ téc",DATA_GOC!$B:$B,"&gt;="&amp;$H$159,DATA_GOC!$B:$B,"&lt;="&amp;$J$159))</f>
        <v>0</v>
      </c>
      <c r="AI222" s="130">
        <f t="shared" si="16"/>
        <v>0</v>
      </c>
      <c r="AJ222" s="129">
        <f t="shared" si="17"/>
        <v>0</v>
      </c>
      <c r="AK222" s="129">
        <f t="shared" si="18"/>
        <v>0</v>
      </c>
      <c r="AL222" s="129">
        <f t="shared" si="19"/>
        <v>0</v>
      </c>
    </row>
    <row r="223" ht="21.75" hidden="1" customHeight="1">
      <c r="A223" s="126">
        <f t="shared" si="15"/>
        <v>56</v>
      </c>
      <c r="B223" s="127" t="str">
        <f t="array" ref="B223">IFERROR(IF(INDEX(DANH_MUC!$E:$E,59)="","",INDEX(DANH_MUC!$E:$E,59)),"")</f>
        <v>28C02973</v>
      </c>
      <c r="C223" s="128">
        <f>IF(C$167="","",SUMIFS(DATA_GOC!$H:$H,DATA_GOC!$A:$A,"BOM",DATA_GOC!$D:$D,$B223,DATA_GOC!$E:$E,$F$159,DATA_GOC!$F:$F,"Xuất nội bộ từ téc",DATA_GOC!$B:$B,C$167))</f>
        <v>0</v>
      </c>
      <c r="D223" s="128">
        <f>IF(D$167="","",SUMIFS(DATA_GOC!$H:$H,DATA_GOC!$A:$A,"BOM",DATA_GOC!$D:$D,$B223,DATA_GOC!$E:$E,$F$159,DATA_GOC!$F:$F,"Xuất nội bộ từ téc",DATA_GOC!$B:$B,D$167))</f>
        <v>0</v>
      </c>
      <c r="E223" s="128">
        <f>IF(E$167="","",SUMIFS(DATA_GOC!$H:$H,DATA_GOC!$A:$A,"BOM",DATA_GOC!$D:$D,$B223,DATA_GOC!$E:$E,$F$159,DATA_GOC!$F:$F,"Xuất nội bộ từ téc",DATA_GOC!$B:$B,E$167))</f>
        <v>0</v>
      </c>
      <c r="F223" s="128">
        <f>IF(F$167="","",SUMIFS(DATA_GOC!$H:$H,DATA_GOC!$A:$A,"BOM",DATA_GOC!$D:$D,$B223,DATA_GOC!$E:$E,$F$159,DATA_GOC!$F:$F,"Xuất nội bộ từ téc",DATA_GOC!$B:$B,F$167))</f>
        <v>0</v>
      </c>
      <c r="G223" s="128">
        <f>IF(G$167="","",SUMIFS(DATA_GOC!$H:$H,DATA_GOC!$A:$A,"BOM",DATA_GOC!$D:$D,$B223,DATA_GOC!$E:$E,$F$159,DATA_GOC!$F:$F,"Xuất nội bộ từ téc",DATA_GOC!$B:$B,G$167))</f>
        <v>0</v>
      </c>
      <c r="H223" s="128">
        <f>IF(H$167="","",SUMIFS(DATA_GOC!$H:$H,DATA_GOC!$A:$A,"BOM",DATA_GOC!$D:$D,$B223,DATA_GOC!$E:$E,$F$159,DATA_GOC!$F:$F,"Xuất nội bộ từ téc",DATA_GOC!$B:$B,H$167))</f>
        <v>0</v>
      </c>
      <c r="I223" s="128">
        <f>IF(I$167="","",SUMIFS(DATA_GOC!$H:$H,DATA_GOC!$A:$A,"BOM",DATA_GOC!$D:$D,$B223,DATA_GOC!$E:$E,$F$159,DATA_GOC!$F:$F,"Xuất nội bộ từ téc",DATA_GOC!$B:$B,I$167))</f>
        <v>0</v>
      </c>
      <c r="J223" s="128">
        <f>IF(J$167="","",SUMIFS(DATA_GOC!$H:$H,DATA_GOC!$A:$A,"BOM",DATA_GOC!$D:$D,$B223,DATA_GOC!$E:$E,$F$159,DATA_GOC!$F:$F,"Xuất nội bộ từ téc",DATA_GOC!$B:$B,J$167))</f>
        <v>0</v>
      </c>
      <c r="K223" s="128">
        <f>IF(K$167="","",SUMIFS(DATA_GOC!$H:$H,DATA_GOC!$A:$A,"BOM",DATA_GOC!$D:$D,$B223,DATA_GOC!$E:$E,$F$159,DATA_GOC!$F:$F,"Xuất nội bộ từ téc",DATA_GOC!$B:$B,K$167))</f>
        <v>0</v>
      </c>
      <c r="L223" s="128">
        <f>IF(L$167="","",SUMIFS(DATA_GOC!$H:$H,DATA_GOC!$A:$A,"BOM",DATA_GOC!$D:$D,$B223,DATA_GOC!$E:$E,$F$159,DATA_GOC!$F:$F,"Xuất nội bộ từ téc",DATA_GOC!$B:$B,L$167))</f>
        <v>0</v>
      </c>
      <c r="M223" s="128">
        <f>IF(M$167="","",SUMIFS(DATA_GOC!$H:$H,DATA_GOC!$A:$A,"BOM",DATA_GOC!$D:$D,$B223,DATA_GOC!$E:$E,$F$159,DATA_GOC!$F:$F,"Xuất nội bộ từ téc",DATA_GOC!$B:$B,M$167))</f>
        <v>0</v>
      </c>
      <c r="N223" s="128">
        <f>IF(N$167="","",SUMIFS(DATA_GOC!$H:$H,DATA_GOC!$A:$A,"BOM",DATA_GOC!$D:$D,$B223,DATA_GOC!$E:$E,$F$159,DATA_GOC!$F:$F,"Xuất nội bộ từ téc",DATA_GOC!$B:$B,N$167))</f>
        <v>0</v>
      </c>
      <c r="O223" s="128">
        <f>IF(O$167="","",SUMIFS(DATA_GOC!$H:$H,DATA_GOC!$A:$A,"BOM",DATA_GOC!$D:$D,$B223,DATA_GOC!$E:$E,$F$159,DATA_GOC!$F:$F,"Xuất nội bộ từ téc",DATA_GOC!$B:$B,O$167))</f>
        <v>0</v>
      </c>
      <c r="P223" s="128">
        <f>IF(P$167="","",SUMIFS(DATA_GOC!$H:$H,DATA_GOC!$A:$A,"BOM",DATA_GOC!$D:$D,$B223,DATA_GOC!$E:$E,$F$159,DATA_GOC!$F:$F,"Xuất nội bộ từ téc",DATA_GOC!$B:$B,P$167))</f>
        <v>0</v>
      </c>
      <c r="Q223" s="128">
        <f>IF(Q$167="","",SUMIFS(DATA_GOC!$H:$H,DATA_GOC!$A:$A,"BOM",DATA_GOC!$D:$D,$B223,DATA_GOC!$E:$E,$F$159,DATA_GOC!$F:$F,"Xuất nội bộ từ téc",DATA_GOC!$B:$B,Q$167))</f>
        <v>0</v>
      </c>
      <c r="R223" s="128">
        <f>IF(R$167="","",SUMIFS(DATA_GOC!$H:$H,DATA_GOC!$A:$A,"BOM",DATA_GOC!$D:$D,$B223,DATA_GOC!$E:$E,$F$159,DATA_GOC!$F:$F,"Xuất nội bộ từ téc",DATA_GOC!$B:$B,R$167))</f>
        <v>0</v>
      </c>
      <c r="S223" s="128">
        <f>IF(S$167="","",SUMIFS(DATA_GOC!$H:$H,DATA_GOC!$A:$A,"BOM",DATA_GOC!$D:$D,$B223,DATA_GOC!$E:$E,$F$159,DATA_GOC!$F:$F,"Xuất nội bộ từ téc",DATA_GOC!$B:$B,S$167))</f>
        <v>0</v>
      </c>
      <c r="T223" s="128">
        <f>IF(T$167="","",SUMIFS(DATA_GOC!$H:$H,DATA_GOC!$A:$A,"BOM",DATA_GOC!$D:$D,$B223,DATA_GOC!$E:$E,$F$159,DATA_GOC!$F:$F,"Xuất nội bộ từ téc",DATA_GOC!$B:$B,T$167))</f>
        <v>0</v>
      </c>
      <c r="U223" s="128">
        <f>IF(U$167="","",SUMIFS(DATA_GOC!$H:$H,DATA_GOC!$A:$A,"BOM",DATA_GOC!$D:$D,$B223,DATA_GOC!$E:$E,$F$159,DATA_GOC!$F:$F,"Xuất nội bộ từ téc",DATA_GOC!$B:$B,U$167))</f>
        <v>0</v>
      </c>
      <c r="V223" s="128">
        <f>IF(V$167="","",SUMIFS(DATA_GOC!$H:$H,DATA_GOC!$A:$A,"BOM",DATA_GOC!$D:$D,$B223,DATA_GOC!$E:$E,$F$159,DATA_GOC!$F:$F,"Xuất nội bộ từ téc",DATA_GOC!$B:$B,V$167))</f>
        <v>0</v>
      </c>
      <c r="W223" s="128">
        <f>IF(W$167="","",SUMIFS(DATA_GOC!$H:$H,DATA_GOC!$A:$A,"BOM",DATA_GOC!$D:$D,$B223,DATA_GOC!$E:$E,$F$159,DATA_GOC!$F:$F,"Xuất nội bộ từ téc",DATA_GOC!$B:$B,W$167))</f>
        <v>0</v>
      </c>
      <c r="X223" s="128">
        <f>IF(X$167="","",SUMIFS(DATA_GOC!$H:$H,DATA_GOC!$A:$A,"BOM",DATA_GOC!$D:$D,$B223,DATA_GOC!$E:$E,$F$159,DATA_GOC!$F:$F,"Xuất nội bộ từ téc",DATA_GOC!$B:$B,X$167))</f>
        <v>0</v>
      </c>
      <c r="Y223" s="128" t="str">
        <f>IF(Y$167="","",SUMIFS(DATA_GOC!$H:$H,DATA_GOC!$A:$A,"BOM",DATA_GOC!$D:$D,$B223,DATA_GOC!$E:$E,$F$159,DATA_GOC!$F:$F,"Xuất nội bộ từ téc",DATA_GOC!$B:$B,Y$167))</f>
        <v/>
      </c>
      <c r="Z223" s="128" t="str">
        <f>IF(Z$167="","",SUMIFS(DATA_GOC!$H:$H,DATA_GOC!$A:$A,"BOM",DATA_GOC!$D:$D,$B223,DATA_GOC!$E:$E,$F$159,DATA_GOC!$F:$F,"Xuất nội bộ từ téc",DATA_GOC!$B:$B,Z$167))</f>
        <v/>
      </c>
      <c r="AA223" s="128" t="str">
        <f>IF(AA$167="","",SUMIFS(DATA_GOC!$H:$H,DATA_GOC!$A:$A,"BOM",DATA_GOC!$D:$D,$B223,DATA_GOC!$E:$E,$F$159,DATA_GOC!$F:$F,"Xuất nội bộ từ téc",DATA_GOC!$B:$B,AA$167))</f>
        <v/>
      </c>
      <c r="AB223" s="128" t="str">
        <f>IF(AB$167="","",SUMIFS(DATA_GOC!$H:$H,DATA_GOC!$A:$A,"BOM",DATA_GOC!$D:$D,$B223,DATA_GOC!$E:$E,$F$159,DATA_GOC!$F:$F,"Xuất nội bộ từ téc",DATA_GOC!$B:$B,AB$167))</f>
        <v/>
      </c>
      <c r="AC223" s="128" t="str">
        <f>IF(AC$167="","",SUMIFS(DATA_GOC!$H:$H,DATA_GOC!$A:$A,"BOM",DATA_GOC!$D:$D,$B223,DATA_GOC!$E:$E,$F$159,DATA_GOC!$F:$F,"Xuất nội bộ từ téc",DATA_GOC!$B:$B,AC$167))</f>
        <v/>
      </c>
      <c r="AD223" s="128" t="str">
        <f>IF(AD$167="","",SUMIFS(DATA_GOC!$H:$H,DATA_GOC!$A:$A,"BOM",DATA_GOC!$D:$D,$B223,DATA_GOC!$E:$E,$F$159,DATA_GOC!$F:$F,"Xuất nội bộ từ téc",DATA_GOC!$B:$B,AD$167))</f>
        <v/>
      </c>
      <c r="AE223" s="128" t="str">
        <f>IF(AE$167="","",SUMIFS(DATA_GOC!$H:$H,DATA_GOC!$A:$A,"BOM",DATA_GOC!$D:$D,$B223,DATA_GOC!$E:$E,$F$159,DATA_GOC!$F:$F,"Xuất nội bộ từ téc",DATA_GOC!$B:$B,AE$167))</f>
        <v/>
      </c>
      <c r="AF223" s="128" t="str">
        <f>IF(AF$167="","",SUMIFS(DATA_GOC!$H:$H,DATA_GOC!$A:$A,"BOM",DATA_GOC!$D:$D,$B223,DATA_GOC!$E:$E,$F$159,DATA_GOC!$F:$F,"Xuất nội bộ từ téc",DATA_GOC!$B:$B,AF$167))</f>
        <v/>
      </c>
      <c r="AG223" s="128" t="str">
        <f>IF(AG$167="","",SUMIFS(DATA_GOC!$H:$H,DATA_GOC!$A:$A,"BOM",DATA_GOC!$D:$D,$B223,DATA_GOC!$E:$E,$F$159,DATA_GOC!$F:$F,"Xuất nội bộ từ téc",DATA_GOC!$B:$B,AG$167))</f>
        <v/>
      </c>
      <c r="AH223" s="129">
        <f>IF($B223="","",SUMIFS(DATA_GOC!$H:$H,DATA_GOC!$A:$A,"BOM",DATA_GOC!$D:$D,$B223,DATA_GOC!$E:$E,$F$159,DATA_GOC!$F:$F,"Xuất nội bộ từ téc",DATA_GOC!$B:$B,"&gt;="&amp;$H$159,DATA_GOC!$B:$B,"&lt;="&amp;$J$159))</f>
        <v>0</v>
      </c>
      <c r="AI223" s="130">
        <f t="shared" si="16"/>
        <v>0</v>
      </c>
      <c r="AJ223" s="129">
        <f t="shared" si="17"/>
        <v>0</v>
      </c>
      <c r="AK223" s="129">
        <f t="shared" si="18"/>
        <v>0</v>
      </c>
      <c r="AL223" s="129">
        <f t="shared" si="19"/>
        <v>0</v>
      </c>
    </row>
    <row r="224" ht="21.75" hidden="1" customHeight="1">
      <c r="A224" s="126">
        <f t="shared" si="15"/>
        <v>57</v>
      </c>
      <c r="B224" s="127" t="str">
        <f t="array" ref="B224">IFERROR(IF(INDEX(DANH_MUC!$E:$E,60)="","",INDEX(DANH_MUC!$E:$E,60)),"")</f>
        <v>28C03044</v>
      </c>
      <c r="C224" s="128">
        <f>IF(C$167="","",SUMIFS(DATA_GOC!$H:$H,DATA_GOC!$A:$A,"BOM",DATA_GOC!$D:$D,$B224,DATA_GOC!$E:$E,$F$159,DATA_GOC!$F:$F,"Xuất nội bộ từ téc",DATA_GOC!$B:$B,C$167))</f>
        <v>0</v>
      </c>
      <c r="D224" s="128">
        <f>IF(D$167="","",SUMIFS(DATA_GOC!$H:$H,DATA_GOC!$A:$A,"BOM",DATA_GOC!$D:$D,$B224,DATA_GOC!$E:$E,$F$159,DATA_GOC!$F:$F,"Xuất nội bộ từ téc",DATA_GOC!$B:$B,D$167))</f>
        <v>0</v>
      </c>
      <c r="E224" s="128">
        <f>IF(E$167="","",SUMIFS(DATA_GOC!$H:$H,DATA_GOC!$A:$A,"BOM",DATA_GOC!$D:$D,$B224,DATA_GOC!$E:$E,$F$159,DATA_GOC!$F:$F,"Xuất nội bộ từ téc",DATA_GOC!$B:$B,E$167))</f>
        <v>0</v>
      </c>
      <c r="F224" s="128">
        <f>IF(F$167="","",SUMIFS(DATA_GOC!$H:$H,DATA_GOC!$A:$A,"BOM",DATA_GOC!$D:$D,$B224,DATA_GOC!$E:$E,$F$159,DATA_GOC!$F:$F,"Xuất nội bộ từ téc",DATA_GOC!$B:$B,F$167))</f>
        <v>0</v>
      </c>
      <c r="G224" s="128">
        <f>IF(G$167="","",SUMIFS(DATA_GOC!$H:$H,DATA_GOC!$A:$A,"BOM",DATA_GOC!$D:$D,$B224,DATA_GOC!$E:$E,$F$159,DATA_GOC!$F:$F,"Xuất nội bộ từ téc",DATA_GOC!$B:$B,G$167))</f>
        <v>0</v>
      </c>
      <c r="H224" s="128">
        <f>IF(H$167="","",SUMIFS(DATA_GOC!$H:$H,DATA_GOC!$A:$A,"BOM",DATA_GOC!$D:$D,$B224,DATA_GOC!$E:$E,$F$159,DATA_GOC!$F:$F,"Xuất nội bộ từ téc",DATA_GOC!$B:$B,H$167))</f>
        <v>0</v>
      </c>
      <c r="I224" s="128">
        <f>IF(I$167="","",SUMIFS(DATA_GOC!$H:$H,DATA_GOC!$A:$A,"BOM",DATA_GOC!$D:$D,$B224,DATA_GOC!$E:$E,$F$159,DATA_GOC!$F:$F,"Xuất nội bộ từ téc",DATA_GOC!$B:$B,I$167))</f>
        <v>0</v>
      </c>
      <c r="J224" s="128">
        <f>IF(J$167="","",SUMIFS(DATA_GOC!$H:$H,DATA_GOC!$A:$A,"BOM",DATA_GOC!$D:$D,$B224,DATA_GOC!$E:$E,$F$159,DATA_GOC!$F:$F,"Xuất nội bộ từ téc",DATA_GOC!$B:$B,J$167))</f>
        <v>0</v>
      </c>
      <c r="K224" s="128">
        <f>IF(K$167="","",SUMIFS(DATA_GOC!$H:$H,DATA_GOC!$A:$A,"BOM",DATA_GOC!$D:$D,$B224,DATA_GOC!$E:$E,$F$159,DATA_GOC!$F:$F,"Xuất nội bộ từ téc",DATA_GOC!$B:$B,K$167))</f>
        <v>0</v>
      </c>
      <c r="L224" s="128">
        <f>IF(L$167="","",SUMIFS(DATA_GOC!$H:$H,DATA_GOC!$A:$A,"BOM",DATA_GOC!$D:$D,$B224,DATA_GOC!$E:$E,$F$159,DATA_GOC!$F:$F,"Xuất nội bộ từ téc",DATA_GOC!$B:$B,L$167))</f>
        <v>0</v>
      </c>
      <c r="M224" s="128">
        <f>IF(M$167="","",SUMIFS(DATA_GOC!$H:$H,DATA_GOC!$A:$A,"BOM",DATA_GOC!$D:$D,$B224,DATA_GOC!$E:$E,$F$159,DATA_GOC!$F:$F,"Xuất nội bộ từ téc",DATA_GOC!$B:$B,M$167))</f>
        <v>0</v>
      </c>
      <c r="N224" s="128">
        <f>IF(N$167="","",SUMIFS(DATA_GOC!$H:$H,DATA_GOC!$A:$A,"BOM",DATA_GOC!$D:$D,$B224,DATA_GOC!$E:$E,$F$159,DATA_GOC!$F:$F,"Xuất nội bộ từ téc",DATA_GOC!$B:$B,N$167))</f>
        <v>0</v>
      </c>
      <c r="O224" s="128">
        <f>IF(O$167="","",SUMIFS(DATA_GOC!$H:$H,DATA_GOC!$A:$A,"BOM",DATA_GOC!$D:$D,$B224,DATA_GOC!$E:$E,$F$159,DATA_GOC!$F:$F,"Xuất nội bộ từ téc",DATA_GOC!$B:$B,O$167))</f>
        <v>0</v>
      </c>
      <c r="P224" s="128">
        <f>IF(P$167="","",SUMIFS(DATA_GOC!$H:$H,DATA_GOC!$A:$A,"BOM",DATA_GOC!$D:$D,$B224,DATA_GOC!$E:$E,$F$159,DATA_GOC!$F:$F,"Xuất nội bộ từ téc",DATA_GOC!$B:$B,P$167))</f>
        <v>0</v>
      </c>
      <c r="Q224" s="128">
        <f>IF(Q$167="","",SUMIFS(DATA_GOC!$H:$H,DATA_GOC!$A:$A,"BOM",DATA_GOC!$D:$D,$B224,DATA_GOC!$E:$E,$F$159,DATA_GOC!$F:$F,"Xuất nội bộ từ téc",DATA_GOC!$B:$B,Q$167))</f>
        <v>0</v>
      </c>
      <c r="R224" s="128">
        <f>IF(R$167="","",SUMIFS(DATA_GOC!$H:$H,DATA_GOC!$A:$A,"BOM",DATA_GOC!$D:$D,$B224,DATA_GOC!$E:$E,$F$159,DATA_GOC!$F:$F,"Xuất nội bộ từ téc",DATA_GOC!$B:$B,R$167))</f>
        <v>0</v>
      </c>
      <c r="S224" s="128">
        <f>IF(S$167="","",SUMIFS(DATA_GOC!$H:$H,DATA_GOC!$A:$A,"BOM",DATA_GOC!$D:$D,$B224,DATA_GOC!$E:$E,$F$159,DATA_GOC!$F:$F,"Xuất nội bộ từ téc",DATA_GOC!$B:$B,S$167))</f>
        <v>0</v>
      </c>
      <c r="T224" s="128">
        <f>IF(T$167="","",SUMIFS(DATA_GOC!$H:$H,DATA_GOC!$A:$A,"BOM",DATA_GOC!$D:$D,$B224,DATA_GOC!$E:$E,$F$159,DATA_GOC!$F:$F,"Xuất nội bộ từ téc",DATA_GOC!$B:$B,T$167))</f>
        <v>0</v>
      </c>
      <c r="U224" s="128">
        <f>IF(U$167="","",SUMIFS(DATA_GOC!$H:$H,DATA_GOC!$A:$A,"BOM",DATA_GOC!$D:$D,$B224,DATA_GOC!$E:$E,$F$159,DATA_GOC!$F:$F,"Xuất nội bộ từ téc",DATA_GOC!$B:$B,U$167))</f>
        <v>0</v>
      </c>
      <c r="V224" s="128">
        <f>IF(V$167="","",SUMIFS(DATA_GOC!$H:$H,DATA_GOC!$A:$A,"BOM",DATA_GOC!$D:$D,$B224,DATA_GOC!$E:$E,$F$159,DATA_GOC!$F:$F,"Xuất nội bộ từ téc",DATA_GOC!$B:$B,V$167))</f>
        <v>0</v>
      </c>
      <c r="W224" s="128">
        <f>IF(W$167="","",SUMIFS(DATA_GOC!$H:$H,DATA_GOC!$A:$A,"BOM",DATA_GOC!$D:$D,$B224,DATA_GOC!$E:$E,$F$159,DATA_GOC!$F:$F,"Xuất nội bộ từ téc",DATA_GOC!$B:$B,W$167))</f>
        <v>0</v>
      </c>
      <c r="X224" s="128">
        <f>IF(X$167="","",SUMIFS(DATA_GOC!$H:$H,DATA_GOC!$A:$A,"BOM",DATA_GOC!$D:$D,$B224,DATA_GOC!$E:$E,$F$159,DATA_GOC!$F:$F,"Xuất nội bộ từ téc",DATA_GOC!$B:$B,X$167))</f>
        <v>0</v>
      </c>
      <c r="Y224" s="128" t="str">
        <f>IF(Y$167="","",SUMIFS(DATA_GOC!$H:$H,DATA_GOC!$A:$A,"BOM",DATA_GOC!$D:$D,$B224,DATA_GOC!$E:$E,$F$159,DATA_GOC!$F:$F,"Xuất nội bộ từ téc",DATA_GOC!$B:$B,Y$167))</f>
        <v/>
      </c>
      <c r="Z224" s="128" t="str">
        <f>IF(Z$167="","",SUMIFS(DATA_GOC!$H:$H,DATA_GOC!$A:$A,"BOM",DATA_GOC!$D:$D,$B224,DATA_GOC!$E:$E,$F$159,DATA_GOC!$F:$F,"Xuất nội bộ từ téc",DATA_GOC!$B:$B,Z$167))</f>
        <v/>
      </c>
      <c r="AA224" s="128" t="str">
        <f>IF(AA$167="","",SUMIFS(DATA_GOC!$H:$H,DATA_GOC!$A:$A,"BOM",DATA_GOC!$D:$D,$B224,DATA_GOC!$E:$E,$F$159,DATA_GOC!$F:$F,"Xuất nội bộ từ téc",DATA_GOC!$B:$B,AA$167))</f>
        <v/>
      </c>
      <c r="AB224" s="128" t="str">
        <f>IF(AB$167="","",SUMIFS(DATA_GOC!$H:$H,DATA_GOC!$A:$A,"BOM",DATA_GOC!$D:$D,$B224,DATA_GOC!$E:$E,$F$159,DATA_GOC!$F:$F,"Xuất nội bộ từ téc",DATA_GOC!$B:$B,AB$167))</f>
        <v/>
      </c>
      <c r="AC224" s="128" t="str">
        <f>IF(AC$167="","",SUMIFS(DATA_GOC!$H:$H,DATA_GOC!$A:$A,"BOM",DATA_GOC!$D:$D,$B224,DATA_GOC!$E:$E,$F$159,DATA_GOC!$F:$F,"Xuất nội bộ từ téc",DATA_GOC!$B:$B,AC$167))</f>
        <v/>
      </c>
      <c r="AD224" s="128" t="str">
        <f>IF(AD$167="","",SUMIFS(DATA_GOC!$H:$H,DATA_GOC!$A:$A,"BOM",DATA_GOC!$D:$D,$B224,DATA_GOC!$E:$E,$F$159,DATA_GOC!$F:$F,"Xuất nội bộ từ téc",DATA_GOC!$B:$B,AD$167))</f>
        <v/>
      </c>
      <c r="AE224" s="128" t="str">
        <f>IF(AE$167="","",SUMIFS(DATA_GOC!$H:$H,DATA_GOC!$A:$A,"BOM",DATA_GOC!$D:$D,$B224,DATA_GOC!$E:$E,$F$159,DATA_GOC!$F:$F,"Xuất nội bộ từ téc",DATA_GOC!$B:$B,AE$167))</f>
        <v/>
      </c>
      <c r="AF224" s="128" t="str">
        <f>IF(AF$167="","",SUMIFS(DATA_GOC!$H:$H,DATA_GOC!$A:$A,"BOM",DATA_GOC!$D:$D,$B224,DATA_GOC!$E:$E,$F$159,DATA_GOC!$F:$F,"Xuất nội bộ từ téc",DATA_GOC!$B:$B,AF$167))</f>
        <v/>
      </c>
      <c r="AG224" s="128" t="str">
        <f>IF(AG$167="","",SUMIFS(DATA_GOC!$H:$H,DATA_GOC!$A:$A,"BOM",DATA_GOC!$D:$D,$B224,DATA_GOC!$E:$E,$F$159,DATA_GOC!$F:$F,"Xuất nội bộ từ téc",DATA_GOC!$B:$B,AG$167))</f>
        <v/>
      </c>
      <c r="AH224" s="129">
        <f>IF($B224="","",SUMIFS(DATA_GOC!$H:$H,DATA_GOC!$A:$A,"BOM",DATA_GOC!$D:$D,$B224,DATA_GOC!$E:$E,$F$159,DATA_GOC!$F:$F,"Xuất nội bộ từ téc",DATA_GOC!$B:$B,"&gt;="&amp;$H$159,DATA_GOC!$B:$B,"&lt;="&amp;$J$159))</f>
        <v>0</v>
      </c>
      <c r="AI224" s="130">
        <f t="shared" si="16"/>
        <v>0</v>
      </c>
      <c r="AJ224" s="129">
        <f t="shared" si="17"/>
        <v>0</v>
      </c>
      <c r="AK224" s="129">
        <f t="shared" si="18"/>
        <v>0</v>
      </c>
      <c r="AL224" s="129">
        <f t="shared" si="19"/>
        <v>0</v>
      </c>
    </row>
    <row r="225" ht="21.75" hidden="1" customHeight="1">
      <c r="A225" s="126">
        <f t="shared" si="15"/>
        <v>58</v>
      </c>
      <c r="B225" s="127" t="str">
        <f t="array" ref="B225">IFERROR(IF(INDEX(DANH_MUC!$E:$E,61)="","",INDEX(DANH_MUC!$E:$E,61)),"")</f>
        <v>Máy lu lốp</v>
      </c>
      <c r="C225" s="128">
        <f>IF(C$167="","",SUMIFS(DATA_GOC!$H:$H,DATA_GOC!$A:$A,"BOM",DATA_GOC!$D:$D,$B225,DATA_GOC!$E:$E,$F$159,DATA_GOC!$F:$F,"Xuất nội bộ từ téc",DATA_GOC!$B:$B,C$167))</f>
        <v>0</v>
      </c>
      <c r="D225" s="128">
        <f>IF(D$167="","",SUMIFS(DATA_GOC!$H:$H,DATA_GOC!$A:$A,"BOM",DATA_GOC!$D:$D,$B225,DATA_GOC!$E:$E,$F$159,DATA_GOC!$F:$F,"Xuất nội bộ từ téc",DATA_GOC!$B:$B,D$167))</f>
        <v>0</v>
      </c>
      <c r="E225" s="128">
        <f>IF(E$167="","",SUMIFS(DATA_GOC!$H:$H,DATA_GOC!$A:$A,"BOM",DATA_GOC!$D:$D,$B225,DATA_GOC!$E:$E,$F$159,DATA_GOC!$F:$F,"Xuất nội bộ từ téc",DATA_GOC!$B:$B,E$167))</f>
        <v>0</v>
      </c>
      <c r="F225" s="128">
        <f>IF(F$167="","",SUMIFS(DATA_GOC!$H:$H,DATA_GOC!$A:$A,"BOM",DATA_GOC!$D:$D,$B225,DATA_GOC!$E:$E,$F$159,DATA_GOC!$F:$F,"Xuất nội bộ từ téc",DATA_GOC!$B:$B,F$167))</f>
        <v>0</v>
      </c>
      <c r="G225" s="128">
        <f>IF(G$167="","",SUMIFS(DATA_GOC!$H:$H,DATA_GOC!$A:$A,"BOM",DATA_GOC!$D:$D,$B225,DATA_GOC!$E:$E,$F$159,DATA_GOC!$F:$F,"Xuất nội bộ từ téc",DATA_GOC!$B:$B,G$167))</f>
        <v>0</v>
      </c>
      <c r="H225" s="128">
        <f>IF(H$167="","",SUMIFS(DATA_GOC!$H:$H,DATA_GOC!$A:$A,"BOM",DATA_GOC!$D:$D,$B225,DATA_GOC!$E:$E,$F$159,DATA_GOC!$F:$F,"Xuất nội bộ từ téc",DATA_GOC!$B:$B,H$167))</f>
        <v>0</v>
      </c>
      <c r="I225" s="128">
        <f>IF(I$167="","",SUMIFS(DATA_GOC!$H:$H,DATA_GOC!$A:$A,"BOM",DATA_GOC!$D:$D,$B225,DATA_GOC!$E:$E,$F$159,DATA_GOC!$F:$F,"Xuất nội bộ từ téc",DATA_GOC!$B:$B,I$167))</f>
        <v>0</v>
      </c>
      <c r="J225" s="128">
        <f>IF(J$167="","",SUMIFS(DATA_GOC!$H:$H,DATA_GOC!$A:$A,"BOM",DATA_GOC!$D:$D,$B225,DATA_GOC!$E:$E,$F$159,DATA_GOC!$F:$F,"Xuất nội bộ từ téc",DATA_GOC!$B:$B,J$167))</f>
        <v>0</v>
      </c>
      <c r="K225" s="128">
        <f>IF(K$167="","",SUMIFS(DATA_GOC!$H:$H,DATA_GOC!$A:$A,"BOM",DATA_GOC!$D:$D,$B225,DATA_GOC!$E:$E,$F$159,DATA_GOC!$F:$F,"Xuất nội bộ từ téc",DATA_GOC!$B:$B,K$167))</f>
        <v>0</v>
      </c>
      <c r="L225" s="128">
        <f>IF(L$167="","",SUMIFS(DATA_GOC!$H:$H,DATA_GOC!$A:$A,"BOM",DATA_GOC!$D:$D,$B225,DATA_GOC!$E:$E,$F$159,DATA_GOC!$F:$F,"Xuất nội bộ từ téc",DATA_GOC!$B:$B,L$167))</f>
        <v>0</v>
      </c>
      <c r="M225" s="128">
        <f>IF(M$167="","",SUMIFS(DATA_GOC!$H:$H,DATA_GOC!$A:$A,"BOM",DATA_GOC!$D:$D,$B225,DATA_GOC!$E:$E,$F$159,DATA_GOC!$F:$F,"Xuất nội bộ từ téc",DATA_GOC!$B:$B,M$167))</f>
        <v>0</v>
      </c>
      <c r="N225" s="128">
        <f>IF(N$167="","",SUMIFS(DATA_GOC!$H:$H,DATA_GOC!$A:$A,"BOM",DATA_GOC!$D:$D,$B225,DATA_GOC!$E:$E,$F$159,DATA_GOC!$F:$F,"Xuất nội bộ từ téc",DATA_GOC!$B:$B,N$167))</f>
        <v>0</v>
      </c>
      <c r="O225" s="128">
        <f>IF(O$167="","",SUMIFS(DATA_GOC!$H:$H,DATA_GOC!$A:$A,"BOM",DATA_GOC!$D:$D,$B225,DATA_GOC!$E:$E,$F$159,DATA_GOC!$F:$F,"Xuất nội bộ từ téc",DATA_GOC!$B:$B,O$167))</f>
        <v>0</v>
      </c>
      <c r="P225" s="128">
        <f>IF(P$167="","",SUMIFS(DATA_GOC!$H:$H,DATA_GOC!$A:$A,"BOM",DATA_GOC!$D:$D,$B225,DATA_GOC!$E:$E,$F$159,DATA_GOC!$F:$F,"Xuất nội bộ từ téc",DATA_GOC!$B:$B,P$167))</f>
        <v>0</v>
      </c>
      <c r="Q225" s="128">
        <f>IF(Q$167="","",SUMIFS(DATA_GOC!$H:$H,DATA_GOC!$A:$A,"BOM",DATA_GOC!$D:$D,$B225,DATA_GOC!$E:$E,$F$159,DATA_GOC!$F:$F,"Xuất nội bộ từ téc",DATA_GOC!$B:$B,Q$167))</f>
        <v>0</v>
      </c>
      <c r="R225" s="128">
        <f>IF(R$167="","",SUMIFS(DATA_GOC!$H:$H,DATA_GOC!$A:$A,"BOM",DATA_GOC!$D:$D,$B225,DATA_GOC!$E:$E,$F$159,DATA_GOC!$F:$F,"Xuất nội bộ từ téc",DATA_GOC!$B:$B,R$167))</f>
        <v>0</v>
      </c>
      <c r="S225" s="128">
        <f>IF(S$167="","",SUMIFS(DATA_GOC!$H:$H,DATA_GOC!$A:$A,"BOM",DATA_GOC!$D:$D,$B225,DATA_GOC!$E:$E,$F$159,DATA_GOC!$F:$F,"Xuất nội bộ từ téc",DATA_GOC!$B:$B,S$167))</f>
        <v>0</v>
      </c>
      <c r="T225" s="128">
        <f>IF(T$167="","",SUMIFS(DATA_GOC!$H:$H,DATA_GOC!$A:$A,"BOM",DATA_GOC!$D:$D,$B225,DATA_GOC!$E:$E,$F$159,DATA_GOC!$F:$F,"Xuất nội bộ từ téc",DATA_GOC!$B:$B,T$167))</f>
        <v>0</v>
      </c>
      <c r="U225" s="128">
        <f>IF(U$167="","",SUMIFS(DATA_GOC!$H:$H,DATA_GOC!$A:$A,"BOM",DATA_GOC!$D:$D,$B225,DATA_GOC!$E:$E,$F$159,DATA_GOC!$F:$F,"Xuất nội bộ từ téc",DATA_GOC!$B:$B,U$167))</f>
        <v>0</v>
      </c>
      <c r="V225" s="128">
        <f>IF(V$167="","",SUMIFS(DATA_GOC!$H:$H,DATA_GOC!$A:$A,"BOM",DATA_GOC!$D:$D,$B225,DATA_GOC!$E:$E,$F$159,DATA_GOC!$F:$F,"Xuất nội bộ từ téc",DATA_GOC!$B:$B,V$167))</f>
        <v>0</v>
      </c>
      <c r="W225" s="128">
        <f>IF(W$167="","",SUMIFS(DATA_GOC!$H:$H,DATA_GOC!$A:$A,"BOM",DATA_GOC!$D:$D,$B225,DATA_GOC!$E:$E,$F$159,DATA_GOC!$F:$F,"Xuất nội bộ từ téc",DATA_GOC!$B:$B,W$167))</f>
        <v>0</v>
      </c>
      <c r="X225" s="128">
        <f>IF(X$167="","",SUMIFS(DATA_GOC!$H:$H,DATA_GOC!$A:$A,"BOM",DATA_GOC!$D:$D,$B225,DATA_GOC!$E:$E,$F$159,DATA_GOC!$F:$F,"Xuất nội bộ từ téc",DATA_GOC!$B:$B,X$167))</f>
        <v>0</v>
      </c>
      <c r="Y225" s="128" t="str">
        <f>IF(Y$167="","",SUMIFS(DATA_GOC!$H:$H,DATA_GOC!$A:$A,"BOM",DATA_GOC!$D:$D,$B225,DATA_GOC!$E:$E,$F$159,DATA_GOC!$F:$F,"Xuất nội bộ từ téc",DATA_GOC!$B:$B,Y$167))</f>
        <v/>
      </c>
      <c r="Z225" s="128" t="str">
        <f>IF(Z$167="","",SUMIFS(DATA_GOC!$H:$H,DATA_GOC!$A:$A,"BOM",DATA_GOC!$D:$D,$B225,DATA_GOC!$E:$E,$F$159,DATA_GOC!$F:$F,"Xuất nội bộ từ téc",DATA_GOC!$B:$B,Z$167))</f>
        <v/>
      </c>
      <c r="AA225" s="128" t="str">
        <f>IF(AA$167="","",SUMIFS(DATA_GOC!$H:$H,DATA_GOC!$A:$A,"BOM",DATA_GOC!$D:$D,$B225,DATA_GOC!$E:$E,$F$159,DATA_GOC!$F:$F,"Xuất nội bộ từ téc",DATA_GOC!$B:$B,AA$167))</f>
        <v/>
      </c>
      <c r="AB225" s="128" t="str">
        <f>IF(AB$167="","",SUMIFS(DATA_GOC!$H:$H,DATA_GOC!$A:$A,"BOM",DATA_GOC!$D:$D,$B225,DATA_GOC!$E:$E,$F$159,DATA_GOC!$F:$F,"Xuất nội bộ từ téc",DATA_GOC!$B:$B,AB$167))</f>
        <v/>
      </c>
      <c r="AC225" s="128" t="str">
        <f>IF(AC$167="","",SUMIFS(DATA_GOC!$H:$H,DATA_GOC!$A:$A,"BOM",DATA_GOC!$D:$D,$B225,DATA_GOC!$E:$E,$F$159,DATA_GOC!$F:$F,"Xuất nội bộ từ téc",DATA_GOC!$B:$B,AC$167))</f>
        <v/>
      </c>
      <c r="AD225" s="128" t="str">
        <f>IF(AD$167="","",SUMIFS(DATA_GOC!$H:$H,DATA_GOC!$A:$A,"BOM",DATA_GOC!$D:$D,$B225,DATA_GOC!$E:$E,$F$159,DATA_GOC!$F:$F,"Xuất nội bộ từ téc",DATA_GOC!$B:$B,AD$167))</f>
        <v/>
      </c>
      <c r="AE225" s="128" t="str">
        <f>IF(AE$167="","",SUMIFS(DATA_GOC!$H:$H,DATA_GOC!$A:$A,"BOM",DATA_GOC!$D:$D,$B225,DATA_GOC!$E:$E,$F$159,DATA_GOC!$F:$F,"Xuất nội bộ từ téc",DATA_GOC!$B:$B,AE$167))</f>
        <v/>
      </c>
      <c r="AF225" s="128" t="str">
        <f>IF(AF$167="","",SUMIFS(DATA_GOC!$H:$H,DATA_GOC!$A:$A,"BOM",DATA_GOC!$D:$D,$B225,DATA_GOC!$E:$E,$F$159,DATA_GOC!$F:$F,"Xuất nội bộ từ téc",DATA_GOC!$B:$B,AF$167))</f>
        <v/>
      </c>
      <c r="AG225" s="128" t="str">
        <f>IF(AG$167="","",SUMIFS(DATA_GOC!$H:$H,DATA_GOC!$A:$A,"BOM",DATA_GOC!$D:$D,$B225,DATA_GOC!$E:$E,$F$159,DATA_GOC!$F:$F,"Xuất nội bộ từ téc",DATA_GOC!$B:$B,AG$167))</f>
        <v/>
      </c>
      <c r="AH225" s="129">
        <f>IF($B225="","",SUMIFS(DATA_GOC!$H:$H,DATA_GOC!$A:$A,"BOM",DATA_GOC!$D:$D,$B225,DATA_GOC!$E:$E,$F$159,DATA_GOC!$F:$F,"Xuất nội bộ từ téc",DATA_GOC!$B:$B,"&gt;="&amp;$H$159,DATA_GOC!$B:$B,"&lt;="&amp;$J$159))</f>
        <v>0</v>
      </c>
      <c r="AI225" s="130">
        <f t="shared" si="16"/>
        <v>0</v>
      </c>
      <c r="AJ225" s="129">
        <f t="shared" si="17"/>
        <v>0</v>
      </c>
      <c r="AK225" s="129">
        <f t="shared" si="18"/>
        <v>0</v>
      </c>
      <c r="AL225" s="129">
        <f t="shared" si="19"/>
        <v>0</v>
      </c>
    </row>
    <row r="226" ht="21.75" hidden="1" customHeight="1">
      <c r="A226" s="126">
        <f t="shared" si="15"/>
        <v>59</v>
      </c>
      <c r="B226" s="127" t="str">
        <f t="array" ref="B226">IFERROR(IF(INDEX(DANH_MUC!$E:$E,62)="","",INDEX(DANH_MUC!$E:$E,62)),"")</f>
        <v>Xe 600148</v>
      </c>
      <c r="C226" s="128">
        <f>IF(C$167="","",SUMIFS(DATA_GOC!$H:$H,DATA_GOC!$A:$A,"BOM",DATA_GOC!$D:$D,$B226,DATA_GOC!$E:$E,$F$159,DATA_GOC!$F:$F,"Xuất nội bộ từ téc",DATA_GOC!$B:$B,C$167))</f>
        <v>0</v>
      </c>
      <c r="D226" s="128">
        <f>IF(D$167="","",SUMIFS(DATA_GOC!$H:$H,DATA_GOC!$A:$A,"BOM",DATA_GOC!$D:$D,$B226,DATA_GOC!$E:$E,$F$159,DATA_GOC!$F:$F,"Xuất nội bộ từ téc",DATA_GOC!$B:$B,D$167))</f>
        <v>0</v>
      </c>
      <c r="E226" s="128">
        <f>IF(E$167="","",SUMIFS(DATA_GOC!$H:$H,DATA_GOC!$A:$A,"BOM",DATA_GOC!$D:$D,$B226,DATA_GOC!$E:$E,$F$159,DATA_GOC!$F:$F,"Xuất nội bộ từ téc",DATA_GOC!$B:$B,E$167))</f>
        <v>0</v>
      </c>
      <c r="F226" s="128">
        <f>IF(F$167="","",SUMIFS(DATA_GOC!$H:$H,DATA_GOC!$A:$A,"BOM",DATA_GOC!$D:$D,$B226,DATA_GOC!$E:$E,$F$159,DATA_GOC!$F:$F,"Xuất nội bộ từ téc",DATA_GOC!$B:$B,F$167))</f>
        <v>0</v>
      </c>
      <c r="G226" s="128">
        <f>IF(G$167="","",SUMIFS(DATA_GOC!$H:$H,DATA_GOC!$A:$A,"BOM",DATA_GOC!$D:$D,$B226,DATA_GOC!$E:$E,$F$159,DATA_GOC!$F:$F,"Xuất nội bộ từ téc",DATA_GOC!$B:$B,G$167))</f>
        <v>0</v>
      </c>
      <c r="H226" s="128">
        <f>IF(H$167="","",SUMIFS(DATA_GOC!$H:$H,DATA_GOC!$A:$A,"BOM",DATA_GOC!$D:$D,$B226,DATA_GOC!$E:$E,$F$159,DATA_GOC!$F:$F,"Xuất nội bộ từ téc",DATA_GOC!$B:$B,H$167))</f>
        <v>0</v>
      </c>
      <c r="I226" s="128">
        <f>IF(I$167="","",SUMIFS(DATA_GOC!$H:$H,DATA_GOC!$A:$A,"BOM",DATA_GOC!$D:$D,$B226,DATA_GOC!$E:$E,$F$159,DATA_GOC!$F:$F,"Xuất nội bộ từ téc",DATA_GOC!$B:$B,I$167))</f>
        <v>0</v>
      </c>
      <c r="J226" s="128">
        <f>IF(J$167="","",SUMIFS(DATA_GOC!$H:$H,DATA_GOC!$A:$A,"BOM",DATA_GOC!$D:$D,$B226,DATA_GOC!$E:$E,$F$159,DATA_GOC!$F:$F,"Xuất nội bộ từ téc",DATA_GOC!$B:$B,J$167))</f>
        <v>0</v>
      </c>
      <c r="K226" s="128">
        <f>IF(K$167="","",SUMIFS(DATA_GOC!$H:$H,DATA_GOC!$A:$A,"BOM",DATA_GOC!$D:$D,$B226,DATA_GOC!$E:$E,$F$159,DATA_GOC!$F:$F,"Xuất nội bộ từ téc",DATA_GOC!$B:$B,K$167))</f>
        <v>0</v>
      </c>
      <c r="L226" s="128">
        <f>IF(L$167="","",SUMIFS(DATA_GOC!$H:$H,DATA_GOC!$A:$A,"BOM",DATA_GOC!$D:$D,$B226,DATA_GOC!$E:$E,$F$159,DATA_GOC!$F:$F,"Xuất nội bộ từ téc",DATA_GOC!$B:$B,L$167))</f>
        <v>0</v>
      </c>
      <c r="M226" s="128">
        <f>IF(M$167="","",SUMIFS(DATA_GOC!$H:$H,DATA_GOC!$A:$A,"BOM",DATA_GOC!$D:$D,$B226,DATA_GOC!$E:$E,$F$159,DATA_GOC!$F:$F,"Xuất nội bộ từ téc",DATA_GOC!$B:$B,M$167))</f>
        <v>0</v>
      </c>
      <c r="N226" s="128">
        <f>IF(N$167="","",SUMIFS(DATA_GOC!$H:$H,DATA_GOC!$A:$A,"BOM",DATA_GOC!$D:$D,$B226,DATA_GOC!$E:$E,$F$159,DATA_GOC!$F:$F,"Xuất nội bộ từ téc",DATA_GOC!$B:$B,N$167))</f>
        <v>0</v>
      </c>
      <c r="O226" s="128">
        <f>IF(O$167="","",SUMIFS(DATA_GOC!$H:$H,DATA_GOC!$A:$A,"BOM",DATA_GOC!$D:$D,$B226,DATA_GOC!$E:$E,$F$159,DATA_GOC!$F:$F,"Xuất nội bộ từ téc",DATA_GOC!$B:$B,O$167))</f>
        <v>0</v>
      </c>
      <c r="P226" s="128">
        <f>IF(P$167="","",SUMIFS(DATA_GOC!$H:$H,DATA_GOC!$A:$A,"BOM",DATA_GOC!$D:$D,$B226,DATA_GOC!$E:$E,$F$159,DATA_GOC!$F:$F,"Xuất nội bộ từ téc",DATA_GOC!$B:$B,P$167))</f>
        <v>0</v>
      </c>
      <c r="Q226" s="128">
        <f>IF(Q$167="","",SUMIFS(DATA_GOC!$H:$H,DATA_GOC!$A:$A,"BOM",DATA_GOC!$D:$D,$B226,DATA_GOC!$E:$E,$F$159,DATA_GOC!$F:$F,"Xuất nội bộ từ téc",DATA_GOC!$B:$B,Q$167))</f>
        <v>0</v>
      </c>
      <c r="R226" s="128">
        <f>IF(R$167="","",SUMIFS(DATA_GOC!$H:$H,DATA_GOC!$A:$A,"BOM",DATA_GOC!$D:$D,$B226,DATA_GOC!$E:$E,$F$159,DATA_GOC!$F:$F,"Xuất nội bộ từ téc",DATA_GOC!$B:$B,R$167))</f>
        <v>0</v>
      </c>
      <c r="S226" s="128">
        <f>IF(S$167="","",SUMIFS(DATA_GOC!$H:$H,DATA_GOC!$A:$A,"BOM",DATA_GOC!$D:$D,$B226,DATA_GOC!$E:$E,$F$159,DATA_GOC!$F:$F,"Xuất nội bộ từ téc",DATA_GOC!$B:$B,S$167))</f>
        <v>0</v>
      </c>
      <c r="T226" s="128">
        <f>IF(T$167="","",SUMIFS(DATA_GOC!$H:$H,DATA_GOC!$A:$A,"BOM",DATA_GOC!$D:$D,$B226,DATA_GOC!$E:$E,$F$159,DATA_GOC!$F:$F,"Xuất nội bộ từ téc",DATA_GOC!$B:$B,T$167))</f>
        <v>0</v>
      </c>
      <c r="U226" s="128">
        <f>IF(U$167="","",SUMIFS(DATA_GOC!$H:$H,DATA_GOC!$A:$A,"BOM",DATA_GOC!$D:$D,$B226,DATA_GOC!$E:$E,$F$159,DATA_GOC!$F:$F,"Xuất nội bộ từ téc",DATA_GOC!$B:$B,U$167))</f>
        <v>0</v>
      </c>
      <c r="V226" s="128">
        <f>IF(V$167="","",SUMIFS(DATA_GOC!$H:$H,DATA_GOC!$A:$A,"BOM",DATA_GOC!$D:$D,$B226,DATA_GOC!$E:$E,$F$159,DATA_GOC!$F:$F,"Xuất nội bộ từ téc",DATA_GOC!$B:$B,V$167))</f>
        <v>0</v>
      </c>
      <c r="W226" s="128">
        <f>IF(W$167="","",SUMIFS(DATA_GOC!$H:$H,DATA_GOC!$A:$A,"BOM",DATA_GOC!$D:$D,$B226,DATA_GOC!$E:$E,$F$159,DATA_GOC!$F:$F,"Xuất nội bộ từ téc",DATA_GOC!$B:$B,W$167))</f>
        <v>0</v>
      </c>
      <c r="X226" s="128">
        <f>IF(X$167="","",SUMIFS(DATA_GOC!$H:$H,DATA_GOC!$A:$A,"BOM",DATA_GOC!$D:$D,$B226,DATA_GOC!$E:$E,$F$159,DATA_GOC!$F:$F,"Xuất nội bộ từ téc",DATA_GOC!$B:$B,X$167))</f>
        <v>0</v>
      </c>
      <c r="Y226" s="128" t="str">
        <f>IF(Y$167="","",SUMIFS(DATA_GOC!$H:$H,DATA_GOC!$A:$A,"BOM",DATA_GOC!$D:$D,$B226,DATA_GOC!$E:$E,$F$159,DATA_GOC!$F:$F,"Xuất nội bộ từ téc",DATA_GOC!$B:$B,Y$167))</f>
        <v/>
      </c>
      <c r="Z226" s="128" t="str">
        <f>IF(Z$167="","",SUMIFS(DATA_GOC!$H:$H,DATA_GOC!$A:$A,"BOM",DATA_GOC!$D:$D,$B226,DATA_GOC!$E:$E,$F$159,DATA_GOC!$F:$F,"Xuất nội bộ từ téc",DATA_GOC!$B:$B,Z$167))</f>
        <v/>
      </c>
      <c r="AA226" s="128" t="str">
        <f>IF(AA$167="","",SUMIFS(DATA_GOC!$H:$H,DATA_GOC!$A:$A,"BOM",DATA_GOC!$D:$D,$B226,DATA_GOC!$E:$E,$F$159,DATA_GOC!$F:$F,"Xuất nội bộ từ téc",DATA_GOC!$B:$B,AA$167))</f>
        <v/>
      </c>
      <c r="AB226" s="128" t="str">
        <f>IF(AB$167="","",SUMIFS(DATA_GOC!$H:$H,DATA_GOC!$A:$A,"BOM",DATA_GOC!$D:$D,$B226,DATA_GOC!$E:$E,$F$159,DATA_GOC!$F:$F,"Xuất nội bộ từ téc",DATA_GOC!$B:$B,AB$167))</f>
        <v/>
      </c>
      <c r="AC226" s="128" t="str">
        <f>IF(AC$167="","",SUMIFS(DATA_GOC!$H:$H,DATA_GOC!$A:$A,"BOM",DATA_GOC!$D:$D,$B226,DATA_GOC!$E:$E,$F$159,DATA_GOC!$F:$F,"Xuất nội bộ từ téc",DATA_GOC!$B:$B,AC$167))</f>
        <v/>
      </c>
      <c r="AD226" s="128" t="str">
        <f>IF(AD$167="","",SUMIFS(DATA_GOC!$H:$H,DATA_GOC!$A:$A,"BOM",DATA_GOC!$D:$D,$B226,DATA_GOC!$E:$E,$F$159,DATA_GOC!$F:$F,"Xuất nội bộ từ téc",DATA_GOC!$B:$B,AD$167))</f>
        <v/>
      </c>
      <c r="AE226" s="128" t="str">
        <f>IF(AE$167="","",SUMIFS(DATA_GOC!$H:$H,DATA_GOC!$A:$A,"BOM",DATA_GOC!$D:$D,$B226,DATA_GOC!$E:$E,$F$159,DATA_GOC!$F:$F,"Xuất nội bộ từ téc",DATA_GOC!$B:$B,AE$167))</f>
        <v/>
      </c>
      <c r="AF226" s="128" t="str">
        <f>IF(AF$167="","",SUMIFS(DATA_GOC!$H:$H,DATA_GOC!$A:$A,"BOM",DATA_GOC!$D:$D,$B226,DATA_GOC!$E:$E,$F$159,DATA_GOC!$F:$F,"Xuất nội bộ từ téc",DATA_GOC!$B:$B,AF$167))</f>
        <v/>
      </c>
      <c r="AG226" s="128" t="str">
        <f>IF(AG$167="","",SUMIFS(DATA_GOC!$H:$H,DATA_GOC!$A:$A,"BOM",DATA_GOC!$D:$D,$B226,DATA_GOC!$E:$E,$F$159,DATA_GOC!$F:$F,"Xuất nội bộ từ téc",DATA_GOC!$B:$B,AG$167))</f>
        <v/>
      </c>
      <c r="AH226" s="129">
        <f>IF($B226="","",SUMIFS(DATA_GOC!$H:$H,DATA_GOC!$A:$A,"BOM",DATA_GOC!$D:$D,$B226,DATA_GOC!$E:$E,$F$159,DATA_GOC!$F:$F,"Xuất nội bộ từ téc",DATA_GOC!$B:$B,"&gt;="&amp;$H$159,DATA_GOC!$B:$B,"&lt;="&amp;$J$159))</f>
        <v>0</v>
      </c>
      <c r="AI226" s="130">
        <f t="shared" si="16"/>
        <v>0</v>
      </c>
      <c r="AJ226" s="129">
        <f t="shared" si="17"/>
        <v>0</v>
      </c>
      <c r="AK226" s="129">
        <f t="shared" si="18"/>
        <v>0</v>
      </c>
      <c r="AL226" s="129">
        <f t="shared" si="19"/>
        <v>0</v>
      </c>
    </row>
    <row r="227" ht="21.75" hidden="1" customHeight="1">
      <c r="A227" s="126">
        <f t="shared" si="15"/>
        <v>60</v>
      </c>
      <c r="B227" s="127" t="str">
        <f t="array" ref="B227">IFERROR(IF(INDEX(DANH_MUC!$E:$E,63)="","",INDEX(DANH_MUC!$E:$E,63)),"")</f>
        <v>Xe ben mới</v>
      </c>
      <c r="C227" s="128">
        <f>IF(C$167="","",SUMIFS(DATA_GOC!$H:$H,DATA_GOC!$A:$A,"BOM",DATA_GOC!$D:$D,$B227,DATA_GOC!$E:$E,$F$159,DATA_GOC!$F:$F,"Xuất nội bộ từ téc",DATA_GOC!$B:$B,C$167))</f>
        <v>0</v>
      </c>
      <c r="D227" s="128">
        <f>IF(D$167="","",SUMIFS(DATA_GOC!$H:$H,DATA_GOC!$A:$A,"BOM",DATA_GOC!$D:$D,$B227,DATA_GOC!$E:$E,$F$159,DATA_GOC!$F:$F,"Xuất nội bộ từ téc",DATA_GOC!$B:$B,D$167))</f>
        <v>0</v>
      </c>
      <c r="E227" s="128">
        <f>IF(E$167="","",SUMIFS(DATA_GOC!$H:$H,DATA_GOC!$A:$A,"BOM",DATA_GOC!$D:$D,$B227,DATA_GOC!$E:$E,$F$159,DATA_GOC!$F:$F,"Xuất nội bộ từ téc",DATA_GOC!$B:$B,E$167))</f>
        <v>0</v>
      </c>
      <c r="F227" s="128">
        <f>IF(F$167="","",SUMIFS(DATA_GOC!$H:$H,DATA_GOC!$A:$A,"BOM",DATA_GOC!$D:$D,$B227,DATA_GOC!$E:$E,$F$159,DATA_GOC!$F:$F,"Xuất nội bộ từ téc",DATA_GOC!$B:$B,F$167))</f>
        <v>0</v>
      </c>
      <c r="G227" s="128">
        <f>IF(G$167="","",SUMIFS(DATA_GOC!$H:$H,DATA_GOC!$A:$A,"BOM",DATA_GOC!$D:$D,$B227,DATA_GOC!$E:$E,$F$159,DATA_GOC!$F:$F,"Xuất nội bộ từ téc",DATA_GOC!$B:$B,G$167))</f>
        <v>0</v>
      </c>
      <c r="H227" s="128">
        <f>IF(H$167="","",SUMIFS(DATA_GOC!$H:$H,DATA_GOC!$A:$A,"BOM",DATA_GOC!$D:$D,$B227,DATA_GOC!$E:$E,$F$159,DATA_GOC!$F:$F,"Xuất nội bộ từ téc",DATA_GOC!$B:$B,H$167))</f>
        <v>0</v>
      </c>
      <c r="I227" s="128">
        <f>IF(I$167="","",SUMIFS(DATA_GOC!$H:$H,DATA_GOC!$A:$A,"BOM",DATA_GOC!$D:$D,$B227,DATA_GOC!$E:$E,$F$159,DATA_GOC!$F:$F,"Xuất nội bộ từ téc",DATA_GOC!$B:$B,I$167))</f>
        <v>0</v>
      </c>
      <c r="J227" s="128">
        <f>IF(J$167="","",SUMIFS(DATA_GOC!$H:$H,DATA_GOC!$A:$A,"BOM",DATA_GOC!$D:$D,$B227,DATA_GOC!$E:$E,$F$159,DATA_GOC!$F:$F,"Xuất nội bộ từ téc",DATA_GOC!$B:$B,J$167))</f>
        <v>0</v>
      </c>
      <c r="K227" s="128">
        <f>IF(K$167="","",SUMIFS(DATA_GOC!$H:$H,DATA_GOC!$A:$A,"BOM",DATA_GOC!$D:$D,$B227,DATA_GOC!$E:$E,$F$159,DATA_GOC!$F:$F,"Xuất nội bộ từ téc",DATA_GOC!$B:$B,K$167))</f>
        <v>0</v>
      </c>
      <c r="L227" s="128">
        <f>IF(L$167="","",SUMIFS(DATA_GOC!$H:$H,DATA_GOC!$A:$A,"BOM",DATA_GOC!$D:$D,$B227,DATA_GOC!$E:$E,$F$159,DATA_GOC!$F:$F,"Xuất nội bộ từ téc",DATA_GOC!$B:$B,L$167))</f>
        <v>0</v>
      </c>
      <c r="M227" s="128">
        <f>IF(M$167="","",SUMIFS(DATA_GOC!$H:$H,DATA_GOC!$A:$A,"BOM",DATA_GOC!$D:$D,$B227,DATA_GOC!$E:$E,$F$159,DATA_GOC!$F:$F,"Xuất nội bộ từ téc",DATA_GOC!$B:$B,M$167))</f>
        <v>0</v>
      </c>
      <c r="N227" s="128">
        <f>IF(N$167="","",SUMIFS(DATA_GOC!$H:$H,DATA_GOC!$A:$A,"BOM",DATA_GOC!$D:$D,$B227,DATA_GOC!$E:$E,$F$159,DATA_GOC!$F:$F,"Xuất nội bộ từ téc",DATA_GOC!$B:$B,N$167))</f>
        <v>0</v>
      </c>
      <c r="O227" s="128">
        <f>IF(O$167="","",SUMIFS(DATA_GOC!$H:$H,DATA_GOC!$A:$A,"BOM",DATA_GOC!$D:$D,$B227,DATA_GOC!$E:$E,$F$159,DATA_GOC!$F:$F,"Xuất nội bộ từ téc",DATA_GOC!$B:$B,O$167))</f>
        <v>0</v>
      </c>
      <c r="P227" s="128">
        <f>IF(P$167="","",SUMIFS(DATA_GOC!$H:$H,DATA_GOC!$A:$A,"BOM",DATA_GOC!$D:$D,$B227,DATA_GOC!$E:$E,$F$159,DATA_GOC!$F:$F,"Xuất nội bộ từ téc",DATA_GOC!$B:$B,P$167))</f>
        <v>0</v>
      </c>
      <c r="Q227" s="128">
        <f>IF(Q$167="","",SUMIFS(DATA_GOC!$H:$H,DATA_GOC!$A:$A,"BOM",DATA_GOC!$D:$D,$B227,DATA_GOC!$E:$E,$F$159,DATA_GOC!$F:$F,"Xuất nội bộ từ téc",DATA_GOC!$B:$B,Q$167))</f>
        <v>0</v>
      </c>
      <c r="R227" s="128">
        <f>IF(R$167="","",SUMIFS(DATA_GOC!$H:$H,DATA_GOC!$A:$A,"BOM",DATA_GOC!$D:$D,$B227,DATA_GOC!$E:$E,$F$159,DATA_GOC!$F:$F,"Xuất nội bộ từ téc",DATA_GOC!$B:$B,R$167))</f>
        <v>0</v>
      </c>
      <c r="S227" s="128">
        <f>IF(S$167="","",SUMIFS(DATA_GOC!$H:$H,DATA_GOC!$A:$A,"BOM",DATA_GOC!$D:$D,$B227,DATA_GOC!$E:$E,$F$159,DATA_GOC!$F:$F,"Xuất nội bộ từ téc",DATA_GOC!$B:$B,S$167))</f>
        <v>0</v>
      </c>
      <c r="T227" s="128">
        <f>IF(T$167="","",SUMIFS(DATA_GOC!$H:$H,DATA_GOC!$A:$A,"BOM",DATA_GOC!$D:$D,$B227,DATA_GOC!$E:$E,$F$159,DATA_GOC!$F:$F,"Xuất nội bộ từ téc",DATA_GOC!$B:$B,T$167))</f>
        <v>0</v>
      </c>
      <c r="U227" s="128">
        <f>IF(U$167="","",SUMIFS(DATA_GOC!$H:$H,DATA_GOC!$A:$A,"BOM",DATA_GOC!$D:$D,$B227,DATA_GOC!$E:$E,$F$159,DATA_GOC!$F:$F,"Xuất nội bộ từ téc",DATA_GOC!$B:$B,U$167))</f>
        <v>0</v>
      </c>
      <c r="V227" s="128">
        <f>IF(V$167="","",SUMIFS(DATA_GOC!$H:$H,DATA_GOC!$A:$A,"BOM",DATA_GOC!$D:$D,$B227,DATA_GOC!$E:$E,$F$159,DATA_GOC!$F:$F,"Xuất nội bộ từ téc",DATA_GOC!$B:$B,V$167))</f>
        <v>0</v>
      </c>
      <c r="W227" s="128">
        <f>IF(W$167="","",SUMIFS(DATA_GOC!$H:$H,DATA_GOC!$A:$A,"BOM",DATA_GOC!$D:$D,$B227,DATA_GOC!$E:$E,$F$159,DATA_GOC!$F:$F,"Xuất nội bộ từ téc",DATA_GOC!$B:$B,W$167))</f>
        <v>0</v>
      </c>
      <c r="X227" s="128">
        <f>IF(X$167="","",SUMIFS(DATA_GOC!$H:$H,DATA_GOC!$A:$A,"BOM",DATA_GOC!$D:$D,$B227,DATA_GOC!$E:$E,$F$159,DATA_GOC!$F:$F,"Xuất nội bộ từ téc",DATA_GOC!$B:$B,X$167))</f>
        <v>0</v>
      </c>
      <c r="Y227" s="128" t="str">
        <f>IF(Y$167="","",SUMIFS(DATA_GOC!$H:$H,DATA_GOC!$A:$A,"BOM",DATA_GOC!$D:$D,$B227,DATA_GOC!$E:$E,$F$159,DATA_GOC!$F:$F,"Xuất nội bộ từ téc",DATA_GOC!$B:$B,Y$167))</f>
        <v/>
      </c>
      <c r="Z227" s="128" t="str">
        <f>IF(Z$167="","",SUMIFS(DATA_GOC!$H:$H,DATA_GOC!$A:$A,"BOM",DATA_GOC!$D:$D,$B227,DATA_GOC!$E:$E,$F$159,DATA_GOC!$F:$F,"Xuất nội bộ từ téc",DATA_GOC!$B:$B,Z$167))</f>
        <v/>
      </c>
      <c r="AA227" s="128" t="str">
        <f>IF(AA$167="","",SUMIFS(DATA_GOC!$H:$H,DATA_GOC!$A:$A,"BOM",DATA_GOC!$D:$D,$B227,DATA_GOC!$E:$E,$F$159,DATA_GOC!$F:$F,"Xuất nội bộ từ téc",DATA_GOC!$B:$B,AA$167))</f>
        <v/>
      </c>
      <c r="AB227" s="128" t="str">
        <f>IF(AB$167="","",SUMIFS(DATA_GOC!$H:$H,DATA_GOC!$A:$A,"BOM",DATA_GOC!$D:$D,$B227,DATA_GOC!$E:$E,$F$159,DATA_GOC!$F:$F,"Xuất nội bộ từ téc",DATA_GOC!$B:$B,AB$167))</f>
        <v/>
      </c>
      <c r="AC227" s="128" t="str">
        <f>IF(AC$167="","",SUMIFS(DATA_GOC!$H:$H,DATA_GOC!$A:$A,"BOM",DATA_GOC!$D:$D,$B227,DATA_GOC!$E:$E,$F$159,DATA_GOC!$F:$F,"Xuất nội bộ từ téc",DATA_GOC!$B:$B,AC$167))</f>
        <v/>
      </c>
      <c r="AD227" s="128" t="str">
        <f>IF(AD$167="","",SUMIFS(DATA_GOC!$H:$H,DATA_GOC!$A:$A,"BOM",DATA_GOC!$D:$D,$B227,DATA_GOC!$E:$E,$F$159,DATA_GOC!$F:$F,"Xuất nội bộ từ téc",DATA_GOC!$B:$B,AD$167))</f>
        <v/>
      </c>
      <c r="AE227" s="128" t="str">
        <f>IF(AE$167="","",SUMIFS(DATA_GOC!$H:$H,DATA_GOC!$A:$A,"BOM",DATA_GOC!$D:$D,$B227,DATA_GOC!$E:$E,$F$159,DATA_GOC!$F:$F,"Xuất nội bộ từ téc",DATA_GOC!$B:$B,AE$167))</f>
        <v/>
      </c>
      <c r="AF227" s="128" t="str">
        <f>IF(AF$167="","",SUMIFS(DATA_GOC!$H:$H,DATA_GOC!$A:$A,"BOM",DATA_GOC!$D:$D,$B227,DATA_GOC!$E:$E,$F$159,DATA_GOC!$F:$F,"Xuất nội bộ từ téc",DATA_GOC!$B:$B,AF$167))</f>
        <v/>
      </c>
      <c r="AG227" s="128" t="str">
        <f>IF(AG$167="","",SUMIFS(DATA_GOC!$H:$H,DATA_GOC!$A:$A,"BOM",DATA_GOC!$D:$D,$B227,DATA_GOC!$E:$E,$F$159,DATA_GOC!$F:$F,"Xuất nội bộ từ téc",DATA_GOC!$B:$B,AG$167))</f>
        <v/>
      </c>
      <c r="AH227" s="129">
        <f>IF($B227="","",SUMIFS(DATA_GOC!$H:$H,DATA_GOC!$A:$A,"BOM",DATA_GOC!$D:$D,$B227,DATA_GOC!$E:$E,$F$159,DATA_GOC!$F:$F,"Xuất nội bộ từ téc",DATA_GOC!$B:$B,"&gt;="&amp;$H$159,DATA_GOC!$B:$B,"&lt;="&amp;$J$159))</f>
        <v>0</v>
      </c>
      <c r="AI227" s="130">
        <f t="shared" si="16"/>
        <v>0</v>
      </c>
      <c r="AJ227" s="129">
        <f t="shared" si="17"/>
        <v>0</v>
      </c>
      <c r="AK227" s="129">
        <f t="shared" si="18"/>
        <v>0</v>
      </c>
      <c r="AL227" s="129">
        <f t="shared" si="19"/>
        <v>0</v>
      </c>
    </row>
    <row r="228" ht="15.0" hidden="1" customHeight="1"/>
    <row r="229" ht="15.0" hidden="1" customHeight="1"/>
    <row r="230" ht="15.0" hidden="1" customHeight="1"/>
    <row r="231" ht="15.0" hidden="1" customHeight="1"/>
    <row r="232" ht="15.0" hidden="1" customHeight="1">
      <c r="A232" s="131" t="s">
        <v>243</v>
      </c>
      <c r="B232" s="131" t="s">
        <v>200</v>
      </c>
      <c r="C232" s="131" t="s">
        <v>201</v>
      </c>
      <c r="D232" s="131" t="s">
        <v>244</v>
      </c>
      <c r="E232" s="131" t="s">
        <v>245</v>
      </c>
      <c r="F232" s="131" t="s">
        <v>211</v>
      </c>
      <c r="G232" s="131" t="s">
        <v>212</v>
      </c>
      <c r="H232" s="131" t="s">
        <v>246</v>
      </c>
      <c r="I232" s="131" t="s">
        <v>247</v>
      </c>
      <c r="J232" s="131" t="s">
        <v>228</v>
      </c>
      <c r="K232" s="131" t="s">
        <v>229</v>
      </c>
      <c r="L232" s="131" t="s">
        <v>248</v>
      </c>
      <c r="M232" s="131" t="s">
        <v>227</v>
      </c>
    </row>
    <row r="233" ht="15.0" hidden="1" customHeight="1">
      <c r="A233" s="59">
        <f t="shared" ref="A233:A9232" si="20">IF(INT((ROW()-233)/$AM$2)+1&gt;ROWS($A$6:$A$155),"",IF(INDEX($A$6:$A$155,INT((ROW()-233)/$AM$2)+1)="","",INDEX($A$6:$A$155,INT((ROW()-233)/$AM$2)+1)))</f>
        <v>1</v>
      </c>
      <c r="B233" s="59" t="str">
        <f t="shared" ref="B233:B9232" si="21">IF($A233="","",IFERROR(INDEX($B$6:$B$155,MATCH($A233,$A$6:$A$155,0)),""))</f>
        <v>Đã chốt</v>
      </c>
      <c r="C233" s="59" t="str">
        <f t="shared" ref="C233:C9232" si="22">IF($A233="","",IFERROR(INDEX($C$6:$C$155,MATCH($A233,$A$6:$A$155,0)),""))</f>
        <v>Téc 1</v>
      </c>
      <c r="D233" s="45">
        <f t="shared" ref="D233:D9232" si="23">IF($A233="","",IFERROR(INDEX($D$6:$D$155,MATCH($A233,$A$6:$A$155,0)),""))</f>
        <v>46132</v>
      </c>
      <c r="E233" s="45">
        <f t="shared" ref="E233:E9232" si="24">IF($A233="","",IFERROR(INDEX($E$6:$E$155,MATCH($A233,$A$6:$A$155,0)),""))</f>
        <v>46153</v>
      </c>
      <c r="F233" s="132">
        <f t="shared" ref="F233:F9232" si="25">IF($A233="","",IFERROR(INDEX($M$6:$M$155,MATCH($A233,$A$6:$A$155,0)),""))</f>
        <v>5</v>
      </c>
      <c r="G233" s="132">
        <f t="shared" ref="G233:G9232" si="26">IF($A233="","",IFERROR(INDEX($N$6:$N$155,MATCH($A233,$A$6:$A$155,0)),""))</f>
        <v>2026</v>
      </c>
      <c r="H233" s="59" t="str">
        <f t="shared" ref="H233:H9232" si="27">IFERROR(INDEX($B$168:$B$227,MOD(ROW()-233,$AM$2)+1),"")</f>
        <v>19H09482</v>
      </c>
      <c r="I233" s="59">
        <f>IF(OR($A233="",$C233="",$D233="",$E233="",$H233=""),"",SUMIFS(DATA_GOC!$H:$H,DATA_GOC!$A:$A,"BOM",DATA_GOC!$D:$D,$H233,DATA_GOC!$E:$E,$C233,DATA_GOC!$F:$F,"Xuất nội bộ từ téc",DATA_GOC!$B:$B,"&gt;="&amp;$D233,DATA_GOC!$B:$B,"&lt;="&amp;$E233))</f>
        <v>480</v>
      </c>
      <c r="J233" s="59">
        <f t="shared" ref="J233:J9232" si="28">IF($B233&lt;&gt;"Đã chốt",0,IFERROR(ROUND($I233*INDEX($K$6:$K$155,MATCH($A233,$A$6:$A$155,0))/INDEX($I$6:$I$155,MATCH($A233,$A$6:$A$155,0)),3),0))</f>
        <v>12.915</v>
      </c>
      <c r="K233" s="59">
        <f t="shared" ref="K233:K9232" si="29">IF($B233&lt;&gt;"Đã chốt",0,IFERROR(ROUND($I233*INDEX($L$6:$L$155,MATCH($A233,$A$6:$A$155,0))/INDEX($I$6:$I$155,MATCH($A233,$A$6:$A$155,0)),3),0))</f>
        <v>0</v>
      </c>
      <c r="L233" s="59">
        <f t="shared" ref="L233:L9232" si="30">IF($H233="","",N($I233)+N($J233)-N($K233))</f>
        <v>492.915</v>
      </c>
      <c r="M233" s="59">
        <f t="shared" ref="M233:M9232" si="31">IFERROR($I233/INDEX($I$6:$I$155,MATCH($A233,$A$6:$A$155,0)),0)</f>
        <v>0.03481035608</v>
      </c>
    </row>
    <row r="234" ht="15.0" hidden="1" customHeight="1">
      <c r="A234" s="59">
        <f t="shared" si="20"/>
        <v>1</v>
      </c>
      <c r="B234" s="59" t="str">
        <f t="shared" si="21"/>
        <v>Đã chốt</v>
      </c>
      <c r="C234" s="59" t="str">
        <f t="shared" si="22"/>
        <v>Téc 1</v>
      </c>
      <c r="D234" s="45">
        <f t="shared" si="23"/>
        <v>46132</v>
      </c>
      <c r="E234" s="45">
        <f t="shared" si="24"/>
        <v>46153</v>
      </c>
      <c r="F234" s="132">
        <f t="shared" si="25"/>
        <v>5</v>
      </c>
      <c r="G234" s="132">
        <f t="shared" si="26"/>
        <v>2026</v>
      </c>
      <c r="H234" s="59" t="str">
        <f t="shared" si="27"/>
        <v>28A30696</v>
      </c>
      <c r="I234" s="59">
        <f>IF(OR($A234="",$C234="",$D234="",$E234="",$H234=""),"",SUMIFS(DATA_GOC!$H:$H,DATA_GOC!$A:$A,"BOM",DATA_GOC!$D:$D,$H234,DATA_GOC!$E:$E,$C234,DATA_GOC!$F:$F,"Xuất nội bộ từ téc",DATA_GOC!$B:$B,"&gt;="&amp;$D234,DATA_GOC!$B:$B,"&lt;="&amp;$E234))</f>
        <v>35</v>
      </c>
      <c r="J234" s="59">
        <f t="shared" si="28"/>
        <v>0.942</v>
      </c>
      <c r="K234" s="59">
        <f t="shared" si="29"/>
        <v>0</v>
      </c>
      <c r="L234" s="59">
        <f t="shared" si="30"/>
        <v>35.942</v>
      </c>
      <c r="M234" s="59">
        <f t="shared" si="31"/>
        <v>0.002538255131</v>
      </c>
    </row>
    <row r="235" ht="15.0" hidden="1" customHeight="1">
      <c r="A235" s="59">
        <f t="shared" si="20"/>
        <v>1</v>
      </c>
      <c r="B235" s="59" t="str">
        <f t="shared" si="21"/>
        <v>Đã chốt</v>
      </c>
      <c r="C235" s="59" t="str">
        <f t="shared" si="22"/>
        <v>Téc 1</v>
      </c>
      <c r="D235" s="45">
        <f t="shared" si="23"/>
        <v>46132</v>
      </c>
      <c r="E235" s="45">
        <f t="shared" si="24"/>
        <v>46153</v>
      </c>
      <c r="F235" s="132">
        <f t="shared" si="25"/>
        <v>5</v>
      </c>
      <c r="G235" s="132">
        <f t="shared" si="26"/>
        <v>2026</v>
      </c>
      <c r="H235" s="59" t="str">
        <f t="shared" si="27"/>
        <v>28C00462</v>
      </c>
      <c r="I235" s="59">
        <f>IF(OR($A235="",$C235="",$D235="",$E235="",$H235=""),"",SUMIFS(DATA_GOC!$H:$H,DATA_GOC!$A:$A,"BOM",DATA_GOC!$D:$D,$H235,DATA_GOC!$E:$E,$C235,DATA_GOC!$F:$F,"Xuất nội bộ từ téc",DATA_GOC!$B:$B,"&gt;="&amp;$D235,DATA_GOC!$B:$B,"&lt;="&amp;$E235))</f>
        <v>107</v>
      </c>
      <c r="J235" s="59">
        <f t="shared" si="28"/>
        <v>2.879</v>
      </c>
      <c r="K235" s="59">
        <f t="shared" si="29"/>
        <v>0</v>
      </c>
      <c r="L235" s="59">
        <f t="shared" si="30"/>
        <v>109.879</v>
      </c>
      <c r="M235" s="59">
        <f t="shared" si="31"/>
        <v>0.007759808543</v>
      </c>
    </row>
    <row r="236" ht="15.0" hidden="1" customHeight="1">
      <c r="A236" s="59">
        <f t="shared" si="20"/>
        <v>1</v>
      </c>
      <c r="B236" s="59" t="str">
        <f t="shared" si="21"/>
        <v>Đã chốt</v>
      </c>
      <c r="C236" s="59" t="str">
        <f t="shared" si="22"/>
        <v>Téc 1</v>
      </c>
      <c r="D236" s="45">
        <f t="shared" si="23"/>
        <v>46132</v>
      </c>
      <c r="E236" s="45">
        <f t="shared" si="24"/>
        <v>46153</v>
      </c>
      <c r="F236" s="132">
        <f t="shared" si="25"/>
        <v>5</v>
      </c>
      <c r="G236" s="132">
        <f t="shared" si="26"/>
        <v>2026</v>
      </c>
      <c r="H236" s="59" t="str">
        <f t="shared" si="27"/>
        <v>28C01165</v>
      </c>
      <c r="I236" s="59">
        <f>IF(OR($A236="",$C236="",$D236="",$E236="",$H236=""),"",SUMIFS(DATA_GOC!$H:$H,DATA_GOC!$A:$A,"BOM",DATA_GOC!$D:$D,$H236,DATA_GOC!$E:$E,$C236,DATA_GOC!$F:$F,"Xuất nội bộ từ téc",DATA_GOC!$B:$B,"&gt;="&amp;$D236,DATA_GOC!$B:$B,"&lt;="&amp;$E236))</f>
        <v>0</v>
      </c>
      <c r="J236" s="59">
        <f t="shared" si="28"/>
        <v>0</v>
      </c>
      <c r="K236" s="59">
        <f t="shared" si="29"/>
        <v>0</v>
      </c>
      <c r="L236" s="59">
        <f t="shared" si="30"/>
        <v>0</v>
      </c>
      <c r="M236" s="59">
        <f t="shared" si="31"/>
        <v>0</v>
      </c>
    </row>
    <row r="237" ht="15.0" hidden="1" customHeight="1">
      <c r="A237" s="59">
        <f t="shared" si="20"/>
        <v>1</v>
      </c>
      <c r="B237" s="59" t="str">
        <f t="shared" si="21"/>
        <v>Đã chốt</v>
      </c>
      <c r="C237" s="59" t="str">
        <f t="shared" si="22"/>
        <v>Téc 1</v>
      </c>
      <c r="D237" s="45">
        <f t="shared" si="23"/>
        <v>46132</v>
      </c>
      <c r="E237" s="45">
        <f t="shared" si="24"/>
        <v>46153</v>
      </c>
      <c r="F237" s="132">
        <f t="shared" si="25"/>
        <v>5</v>
      </c>
      <c r="G237" s="132">
        <f t="shared" si="26"/>
        <v>2026</v>
      </c>
      <c r="H237" s="59" t="str">
        <f t="shared" si="27"/>
        <v>28C01406</v>
      </c>
      <c r="I237" s="59">
        <f>IF(OR($A237="",$C237="",$D237="",$E237="",$H237=""),"",SUMIFS(DATA_GOC!$H:$H,DATA_GOC!$A:$A,"BOM",DATA_GOC!$D:$D,$H237,DATA_GOC!$E:$E,$C237,DATA_GOC!$F:$F,"Xuất nội bộ từ téc",DATA_GOC!$B:$B,"&gt;="&amp;$D237,DATA_GOC!$B:$B,"&lt;="&amp;$E237))</f>
        <v>370</v>
      </c>
      <c r="J237" s="59">
        <f t="shared" si="28"/>
        <v>9.955</v>
      </c>
      <c r="K237" s="59">
        <f t="shared" si="29"/>
        <v>0</v>
      </c>
      <c r="L237" s="59">
        <f t="shared" si="30"/>
        <v>379.955</v>
      </c>
      <c r="M237" s="59">
        <f t="shared" si="31"/>
        <v>0.02683298281</v>
      </c>
    </row>
    <row r="238" ht="15.0" hidden="1" customHeight="1">
      <c r="A238" s="59">
        <f t="shared" si="20"/>
        <v>1</v>
      </c>
      <c r="B238" s="59" t="str">
        <f t="shared" si="21"/>
        <v>Đã chốt</v>
      </c>
      <c r="C238" s="59" t="str">
        <f t="shared" si="22"/>
        <v>Téc 1</v>
      </c>
      <c r="D238" s="45">
        <f t="shared" si="23"/>
        <v>46132</v>
      </c>
      <c r="E238" s="45">
        <f t="shared" si="24"/>
        <v>46153</v>
      </c>
      <c r="F238" s="132">
        <f t="shared" si="25"/>
        <v>5</v>
      </c>
      <c r="G238" s="132">
        <f t="shared" si="26"/>
        <v>2026</v>
      </c>
      <c r="H238" s="59" t="str">
        <f t="shared" si="27"/>
        <v>28C01544</v>
      </c>
      <c r="I238" s="59">
        <f>IF(OR($A238="",$C238="",$D238="",$E238="",$H238=""),"",SUMIFS(DATA_GOC!$H:$H,DATA_GOC!$A:$A,"BOM",DATA_GOC!$D:$D,$H238,DATA_GOC!$E:$E,$C238,DATA_GOC!$F:$F,"Xuất nội bộ từ téc",DATA_GOC!$B:$B,"&gt;="&amp;$D238,DATA_GOC!$B:$B,"&lt;="&amp;$E238))</f>
        <v>46</v>
      </c>
      <c r="J238" s="59">
        <f t="shared" si="28"/>
        <v>1.238</v>
      </c>
      <c r="K238" s="59">
        <f t="shared" si="29"/>
        <v>0</v>
      </c>
      <c r="L238" s="59">
        <f t="shared" si="30"/>
        <v>47.238</v>
      </c>
      <c r="M238" s="59">
        <f t="shared" si="31"/>
        <v>0.003335992458</v>
      </c>
    </row>
    <row r="239" ht="15.0" hidden="1" customHeight="1">
      <c r="A239" s="59">
        <f t="shared" si="20"/>
        <v>1</v>
      </c>
      <c r="B239" s="59" t="str">
        <f t="shared" si="21"/>
        <v>Đã chốt</v>
      </c>
      <c r="C239" s="59" t="str">
        <f t="shared" si="22"/>
        <v>Téc 1</v>
      </c>
      <c r="D239" s="45">
        <f t="shared" si="23"/>
        <v>46132</v>
      </c>
      <c r="E239" s="45">
        <f t="shared" si="24"/>
        <v>46153</v>
      </c>
      <c r="F239" s="132">
        <f t="shared" si="25"/>
        <v>5</v>
      </c>
      <c r="G239" s="132">
        <f t="shared" si="26"/>
        <v>2026</v>
      </c>
      <c r="H239" s="59" t="str">
        <f t="shared" si="27"/>
        <v>28C01622</v>
      </c>
      <c r="I239" s="59">
        <f>IF(OR($A239="",$C239="",$D239="",$E239="",$H239=""),"",SUMIFS(DATA_GOC!$H:$H,DATA_GOC!$A:$A,"BOM",DATA_GOC!$D:$D,$H239,DATA_GOC!$E:$E,$C239,DATA_GOC!$F:$F,"Xuất nội bộ từ téc",DATA_GOC!$B:$B,"&gt;="&amp;$D239,DATA_GOC!$B:$B,"&lt;="&amp;$E239))</f>
        <v>740</v>
      </c>
      <c r="J239" s="59">
        <f t="shared" si="28"/>
        <v>19.91</v>
      </c>
      <c r="K239" s="59">
        <f t="shared" si="29"/>
        <v>0</v>
      </c>
      <c r="L239" s="59">
        <f t="shared" si="30"/>
        <v>759.91</v>
      </c>
      <c r="M239" s="59">
        <f t="shared" si="31"/>
        <v>0.05366596562</v>
      </c>
    </row>
    <row r="240" ht="15.0" hidden="1" customHeight="1">
      <c r="A240" s="59">
        <f t="shared" si="20"/>
        <v>1</v>
      </c>
      <c r="B240" s="59" t="str">
        <f t="shared" si="21"/>
        <v>Đã chốt</v>
      </c>
      <c r="C240" s="59" t="str">
        <f t="shared" si="22"/>
        <v>Téc 1</v>
      </c>
      <c r="D240" s="45">
        <f t="shared" si="23"/>
        <v>46132</v>
      </c>
      <c r="E240" s="45">
        <f t="shared" si="24"/>
        <v>46153</v>
      </c>
      <c r="F240" s="132">
        <f t="shared" si="25"/>
        <v>5</v>
      </c>
      <c r="G240" s="132">
        <f t="shared" si="26"/>
        <v>2026</v>
      </c>
      <c r="H240" s="59" t="str">
        <f t="shared" si="27"/>
        <v>28C01647</v>
      </c>
      <c r="I240" s="59">
        <f>IF(OR($A240="",$C240="",$D240="",$E240="",$H240=""),"",SUMIFS(DATA_GOC!$H:$H,DATA_GOC!$A:$A,"BOM",DATA_GOC!$D:$D,$H240,DATA_GOC!$E:$E,$C240,DATA_GOC!$F:$F,"Xuất nội bộ từ téc",DATA_GOC!$B:$B,"&gt;="&amp;$D240,DATA_GOC!$B:$B,"&lt;="&amp;$E240))</f>
        <v>444</v>
      </c>
      <c r="J240" s="59">
        <f t="shared" si="28"/>
        <v>11.946</v>
      </c>
      <c r="K240" s="59">
        <f t="shared" si="29"/>
        <v>0</v>
      </c>
      <c r="L240" s="59">
        <f t="shared" si="30"/>
        <v>455.946</v>
      </c>
      <c r="M240" s="59">
        <f t="shared" si="31"/>
        <v>0.03219957937</v>
      </c>
    </row>
    <row r="241" ht="15.0" hidden="1" customHeight="1">
      <c r="A241" s="59">
        <f t="shared" si="20"/>
        <v>1</v>
      </c>
      <c r="B241" s="59" t="str">
        <f t="shared" si="21"/>
        <v>Đã chốt</v>
      </c>
      <c r="C241" s="59" t="str">
        <f t="shared" si="22"/>
        <v>Téc 1</v>
      </c>
      <c r="D241" s="45">
        <f t="shared" si="23"/>
        <v>46132</v>
      </c>
      <c r="E241" s="45">
        <f t="shared" si="24"/>
        <v>46153</v>
      </c>
      <c r="F241" s="132">
        <f t="shared" si="25"/>
        <v>5</v>
      </c>
      <c r="G241" s="132">
        <f t="shared" si="26"/>
        <v>2026</v>
      </c>
      <c r="H241" s="59" t="str">
        <f t="shared" si="27"/>
        <v>28C01731</v>
      </c>
      <c r="I241" s="59">
        <f>IF(OR($A241="",$C241="",$D241="",$E241="",$H241=""),"",SUMIFS(DATA_GOC!$H:$H,DATA_GOC!$A:$A,"BOM",DATA_GOC!$D:$D,$H241,DATA_GOC!$E:$E,$C241,DATA_GOC!$F:$F,"Xuất nội bộ từ téc",DATA_GOC!$B:$B,"&gt;="&amp;$D241,DATA_GOC!$B:$B,"&lt;="&amp;$E241))</f>
        <v>247</v>
      </c>
      <c r="J241" s="59">
        <f t="shared" si="28"/>
        <v>6.646</v>
      </c>
      <c r="K241" s="59">
        <f t="shared" si="29"/>
        <v>0</v>
      </c>
      <c r="L241" s="59">
        <f t="shared" si="30"/>
        <v>253.646</v>
      </c>
      <c r="M241" s="59">
        <f t="shared" si="31"/>
        <v>0.01791282907</v>
      </c>
    </row>
    <row r="242" ht="15.0" hidden="1" customHeight="1">
      <c r="A242" s="59">
        <f t="shared" si="20"/>
        <v>1</v>
      </c>
      <c r="B242" s="59" t="str">
        <f t="shared" si="21"/>
        <v>Đã chốt</v>
      </c>
      <c r="C242" s="59" t="str">
        <f t="shared" si="22"/>
        <v>Téc 1</v>
      </c>
      <c r="D242" s="45">
        <f t="shared" si="23"/>
        <v>46132</v>
      </c>
      <c r="E242" s="45">
        <f t="shared" si="24"/>
        <v>46153</v>
      </c>
      <c r="F242" s="132">
        <f t="shared" si="25"/>
        <v>5</v>
      </c>
      <c r="G242" s="132">
        <f t="shared" si="26"/>
        <v>2026</v>
      </c>
      <c r="H242" s="59" t="str">
        <f t="shared" si="27"/>
        <v>28C01743</v>
      </c>
      <c r="I242" s="59">
        <f>IF(OR($A242="",$C242="",$D242="",$E242="",$H242=""),"",SUMIFS(DATA_GOC!$H:$H,DATA_GOC!$A:$A,"BOM",DATA_GOC!$D:$D,$H242,DATA_GOC!$E:$E,$C242,DATA_GOC!$F:$F,"Xuất nội bộ từ téc",DATA_GOC!$B:$B,"&gt;="&amp;$D242,DATA_GOC!$B:$B,"&lt;="&amp;$E242))</f>
        <v>0</v>
      </c>
      <c r="J242" s="59">
        <f t="shared" si="28"/>
        <v>0</v>
      </c>
      <c r="K242" s="59">
        <f t="shared" si="29"/>
        <v>0</v>
      </c>
      <c r="L242" s="59">
        <f t="shared" si="30"/>
        <v>0</v>
      </c>
      <c r="M242" s="59">
        <f t="shared" si="31"/>
        <v>0</v>
      </c>
    </row>
    <row r="243" ht="15.0" hidden="1" customHeight="1">
      <c r="A243" s="59">
        <f t="shared" si="20"/>
        <v>1</v>
      </c>
      <c r="B243" s="59" t="str">
        <f t="shared" si="21"/>
        <v>Đã chốt</v>
      </c>
      <c r="C243" s="59" t="str">
        <f t="shared" si="22"/>
        <v>Téc 1</v>
      </c>
      <c r="D243" s="45">
        <f t="shared" si="23"/>
        <v>46132</v>
      </c>
      <c r="E243" s="45">
        <f t="shared" si="24"/>
        <v>46153</v>
      </c>
      <c r="F243" s="132">
        <f t="shared" si="25"/>
        <v>5</v>
      </c>
      <c r="G243" s="132">
        <f t="shared" si="26"/>
        <v>2026</v>
      </c>
      <c r="H243" s="59" t="str">
        <f t="shared" si="27"/>
        <v>28C02106</v>
      </c>
      <c r="I243" s="59">
        <f>IF(OR($A243="",$C243="",$D243="",$E243="",$H243=""),"",SUMIFS(DATA_GOC!$H:$H,DATA_GOC!$A:$A,"BOM",DATA_GOC!$D:$D,$H243,DATA_GOC!$E:$E,$C243,DATA_GOC!$F:$F,"Xuất nội bộ từ téc",DATA_GOC!$B:$B,"&gt;="&amp;$D243,DATA_GOC!$B:$B,"&lt;="&amp;$E243))</f>
        <v>0</v>
      </c>
      <c r="J243" s="59">
        <f t="shared" si="28"/>
        <v>0</v>
      </c>
      <c r="K243" s="59">
        <f t="shared" si="29"/>
        <v>0</v>
      </c>
      <c r="L243" s="59">
        <f t="shared" si="30"/>
        <v>0</v>
      </c>
      <c r="M243" s="59">
        <f t="shared" si="31"/>
        <v>0</v>
      </c>
    </row>
    <row r="244" ht="15.0" hidden="1" customHeight="1">
      <c r="A244" s="59">
        <f t="shared" si="20"/>
        <v>1</v>
      </c>
      <c r="B244" s="59" t="str">
        <f t="shared" si="21"/>
        <v>Đã chốt</v>
      </c>
      <c r="C244" s="59" t="str">
        <f t="shared" si="22"/>
        <v>Téc 1</v>
      </c>
      <c r="D244" s="45">
        <f t="shared" si="23"/>
        <v>46132</v>
      </c>
      <c r="E244" s="45">
        <f t="shared" si="24"/>
        <v>46153</v>
      </c>
      <c r="F244" s="132">
        <f t="shared" si="25"/>
        <v>5</v>
      </c>
      <c r="G244" s="132">
        <f t="shared" si="26"/>
        <v>2026</v>
      </c>
      <c r="H244" s="59" t="str">
        <f t="shared" si="27"/>
        <v>28C02410</v>
      </c>
      <c r="I244" s="59">
        <f>IF(OR($A244="",$C244="",$D244="",$E244="",$H244=""),"",SUMIFS(DATA_GOC!$H:$H,DATA_GOC!$A:$A,"BOM",DATA_GOC!$D:$D,$H244,DATA_GOC!$E:$E,$C244,DATA_GOC!$F:$F,"Xuất nội bộ từ téc",DATA_GOC!$B:$B,"&gt;="&amp;$D244,DATA_GOC!$B:$B,"&lt;="&amp;$E244))</f>
        <v>140</v>
      </c>
      <c r="J244" s="59">
        <f t="shared" si="28"/>
        <v>3.767</v>
      </c>
      <c r="K244" s="59">
        <f t="shared" si="29"/>
        <v>0</v>
      </c>
      <c r="L244" s="59">
        <f t="shared" si="30"/>
        <v>143.767</v>
      </c>
      <c r="M244" s="59">
        <f t="shared" si="31"/>
        <v>0.01015302052</v>
      </c>
    </row>
    <row r="245" ht="15.0" hidden="1" customHeight="1">
      <c r="A245" s="59">
        <f t="shared" si="20"/>
        <v>1</v>
      </c>
      <c r="B245" s="59" t="str">
        <f t="shared" si="21"/>
        <v>Đã chốt</v>
      </c>
      <c r="C245" s="59" t="str">
        <f t="shared" si="22"/>
        <v>Téc 1</v>
      </c>
      <c r="D245" s="45">
        <f t="shared" si="23"/>
        <v>46132</v>
      </c>
      <c r="E245" s="45">
        <f t="shared" si="24"/>
        <v>46153</v>
      </c>
      <c r="F245" s="132">
        <f t="shared" si="25"/>
        <v>5</v>
      </c>
      <c r="G245" s="132">
        <f t="shared" si="26"/>
        <v>2026</v>
      </c>
      <c r="H245" s="59" t="str">
        <f t="shared" si="27"/>
        <v>28C02545</v>
      </c>
      <c r="I245" s="59">
        <f>IF(OR($A245="",$C245="",$D245="",$E245="",$H245=""),"",SUMIFS(DATA_GOC!$H:$H,DATA_GOC!$A:$A,"BOM",DATA_GOC!$D:$D,$H245,DATA_GOC!$E:$E,$C245,DATA_GOC!$F:$F,"Xuất nội bộ từ téc",DATA_GOC!$B:$B,"&gt;="&amp;$D245,DATA_GOC!$B:$B,"&lt;="&amp;$E245))</f>
        <v>163</v>
      </c>
      <c r="J245" s="59">
        <f t="shared" si="28"/>
        <v>4.386</v>
      </c>
      <c r="K245" s="59">
        <f t="shared" si="29"/>
        <v>0</v>
      </c>
      <c r="L245" s="59">
        <f t="shared" si="30"/>
        <v>167.386</v>
      </c>
      <c r="M245" s="59">
        <f t="shared" si="31"/>
        <v>0.01182101675</v>
      </c>
    </row>
    <row r="246" ht="15.0" hidden="1" customHeight="1">
      <c r="A246" s="59">
        <f t="shared" si="20"/>
        <v>1</v>
      </c>
      <c r="B246" s="59" t="str">
        <f t="shared" si="21"/>
        <v>Đã chốt</v>
      </c>
      <c r="C246" s="59" t="str">
        <f t="shared" si="22"/>
        <v>Téc 1</v>
      </c>
      <c r="D246" s="45">
        <f t="shared" si="23"/>
        <v>46132</v>
      </c>
      <c r="E246" s="45">
        <f t="shared" si="24"/>
        <v>46153</v>
      </c>
      <c r="F246" s="132">
        <f t="shared" si="25"/>
        <v>5</v>
      </c>
      <c r="G246" s="132">
        <f t="shared" si="26"/>
        <v>2026</v>
      </c>
      <c r="H246" s="59" t="str">
        <f t="shared" si="27"/>
        <v>28C02574</v>
      </c>
      <c r="I246" s="59">
        <f>IF(OR($A246="",$C246="",$D246="",$E246="",$H246=""),"",SUMIFS(DATA_GOC!$H:$H,DATA_GOC!$A:$A,"BOM",DATA_GOC!$D:$D,$H246,DATA_GOC!$E:$E,$C246,DATA_GOC!$F:$F,"Xuất nội bộ từ téc",DATA_GOC!$B:$B,"&gt;="&amp;$D246,DATA_GOC!$B:$B,"&lt;="&amp;$E246))</f>
        <v>0</v>
      </c>
      <c r="J246" s="59">
        <f t="shared" si="28"/>
        <v>0</v>
      </c>
      <c r="K246" s="59">
        <f t="shared" si="29"/>
        <v>0</v>
      </c>
      <c r="L246" s="59">
        <f t="shared" si="30"/>
        <v>0</v>
      </c>
      <c r="M246" s="59">
        <f t="shared" si="31"/>
        <v>0</v>
      </c>
    </row>
    <row r="247" ht="15.0" hidden="1" customHeight="1">
      <c r="A247" s="59">
        <f t="shared" si="20"/>
        <v>1</v>
      </c>
      <c r="B247" s="59" t="str">
        <f t="shared" si="21"/>
        <v>Đã chốt</v>
      </c>
      <c r="C247" s="59" t="str">
        <f t="shared" si="22"/>
        <v>Téc 1</v>
      </c>
      <c r="D247" s="45">
        <f t="shared" si="23"/>
        <v>46132</v>
      </c>
      <c r="E247" s="45">
        <f t="shared" si="24"/>
        <v>46153</v>
      </c>
      <c r="F247" s="132">
        <f t="shared" si="25"/>
        <v>5</v>
      </c>
      <c r="G247" s="132">
        <f t="shared" si="26"/>
        <v>2026</v>
      </c>
      <c r="H247" s="59" t="str">
        <f t="shared" si="27"/>
        <v>28C02770</v>
      </c>
      <c r="I247" s="59">
        <f>IF(OR($A247="",$C247="",$D247="",$E247="",$H247=""),"",SUMIFS(DATA_GOC!$H:$H,DATA_GOC!$A:$A,"BOM",DATA_GOC!$D:$D,$H247,DATA_GOC!$E:$E,$C247,DATA_GOC!$F:$F,"Xuất nội bộ từ téc",DATA_GOC!$B:$B,"&gt;="&amp;$D247,DATA_GOC!$B:$B,"&lt;="&amp;$E247))</f>
        <v>163</v>
      </c>
      <c r="J247" s="59">
        <f t="shared" si="28"/>
        <v>4.386</v>
      </c>
      <c r="K247" s="59">
        <f t="shared" si="29"/>
        <v>0</v>
      </c>
      <c r="L247" s="59">
        <f t="shared" si="30"/>
        <v>167.386</v>
      </c>
      <c r="M247" s="59">
        <f t="shared" si="31"/>
        <v>0.01182101675</v>
      </c>
    </row>
    <row r="248" ht="15.0" hidden="1" customHeight="1">
      <c r="A248" s="59">
        <f t="shared" si="20"/>
        <v>1</v>
      </c>
      <c r="B248" s="59" t="str">
        <f t="shared" si="21"/>
        <v>Đã chốt</v>
      </c>
      <c r="C248" s="59" t="str">
        <f t="shared" si="22"/>
        <v>Téc 1</v>
      </c>
      <c r="D248" s="45">
        <f t="shared" si="23"/>
        <v>46132</v>
      </c>
      <c r="E248" s="45">
        <f t="shared" si="24"/>
        <v>46153</v>
      </c>
      <c r="F248" s="132">
        <f t="shared" si="25"/>
        <v>5</v>
      </c>
      <c r="G248" s="132">
        <f t="shared" si="26"/>
        <v>2026</v>
      </c>
      <c r="H248" s="59" t="str">
        <f t="shared" si="27"/>
        <v>28C02986</v>
      </c>
      <c r="I248" s="59">
        <f>IF(OR($A248="",$C248="",$D248="",$E248="",$H248=""),"",SUMIFS(DATA_GOC!$H:$H,DATA_GOC!$A:$A,"BOM",DATA_GOC!$D:$D,$H248,DATA_GOC!$E:$E,$C248,DATA_GOC!$F:$F,"Xuất nội bộ từ téc",DATA_GOC!$B:$B,"&gt;="&amp;$D248,DATA_GOC!$B:$B,"&lt;="&amp;$E248))</f>
        <v>930</v>
      </c>
      <c r="J248" s="59">
        <f t="shared" si="28"/>
        <v>25.022</v>
      </c>
      <c r="K248" s="59">
        <f t="shared" si="29"/>
        <v>0</v>
      </c>
      <c r="L248" s="59">
        <f t="shared" si="30"/>
        <v>955.022</v>
      </c>
      <c r="M248" s="59">
        <f t="shared" si="31"/>
        <v>0.06744506491</v>
      </c>
    </row>
    <row r="249" ht="15.0" hidden="1" customHeight="1">
      <c r="A249" s="59">
        <f t="shared" si="20"/>
        <v>1</v>
      </c>
      <c r="B249" s="59" t="str">
        <f t="shared" si="21"/>
        <v>Đã chốt</v>
      </c>
      <c r="C249" s="59" t="str">
        <f t="shared" si="22"/>
        <v>Téc 1</v>
      </c>
      <c r="D249" s="45">
        <f t="shared" si="23"/>
        <v>46132</v>
      </c>
      <c r="E249" s="45">
        <f t="shared" si="24"/>
        <v>46153</v>
      </c>
      <c r="F249" s="132">
        <f t="shared" si="25"/>
        <v>5</v>
      </c>
      <c r="G249" s="132">
        <f t="shared" si="26"/>
        <v>2026</v>
      </c>
      <c r="H249" s="59" t="str">
        <f t="shared" si="27"/>
        <v>28C03261</v>
      </c>
      <c r="I249" s="59">
        <f>IF(OR($A249="",$C249="",$D249="",$E249="",$H249=""),"",SUMIFS(DATA_GOC!$H:$H,DATA_GOC!$A:$A,"BOM",DATA_GOC!$D:$D,$H249,DATA_GOC!$E:$E,$C249,DATA_GOC!$F:$F,"Xuất nội bộ từ téc",DATA_GOC!$B:$B,"&gt;="&amp;$D249,DATA_GOC!$B:$B,"&lt;="&amp;$E249))</f>
        <v>220</v>
      </c>
      <c r="J249" s="59">
        <f t="shared" si="28"/>
        <v>5.919</v>
      </c>
      <c r="K249" s="59">
        <f t="shared" si="29"/>
        <v>0</v>
      </c>
      <c r="L249" s="59">
        <f t="shared" si="30"/>
        <v>225.919</v>
      </c>
      <c r="M249" s="59">
        <f t="shared" si="31"/>
        <v>0.01595474654</v>
      </c>
    </row>
    <row r="250" ht="15.0" hidden="1" customHeight="1">
      <c r="A250" s="59">
        <f t="shared" si="20"/>
        <v>1</v>
      </c>
      <c r="B250" s="59" t="str">
        <f t="shared" si="21"/>
        <v>Đã chốt</v>
      </c>
      <c r="C250" s="59" t="str">
        <f t="shared" si="22"/>
        <v>Téc 1</v>
      </c>
      <c r="D250" s="45">
        <f t="shared" si="23"/>
        <v>46132</v>
      </c>
      <c r="E250" s="45">
        <f t="shared" si="24"/>
        <v>46153</v>
      </c>
      <c r="F250" s="132">
        <f t="shared" si="25"/>
        <v>5</v>
      </c>
      <c r="G250" s="132">
        <f t="shared" si="26"/>
        <v>2026</v>
      </c>
      <c r="H250" s="59" t="str">
        <f t="shared" si="27"/>
        <v>28C03323</v>
      </c>
      <c r="I250" s="59">
        <f>IF(OR($A250="",$C250="",$D250="",$E250="",$H250=""),"",SUMIFS(DATA_GOC!$H:$H,DATA_GOC!$A:$A,"BOM",DATA_GOC!$D:$D,$H250,DATA_GOC!$E:$E,$C250,DATA_GOC!$F:$F,"Xuất nội bộ từ téc",DATA_GOC!$B:$B,"&gt;="&amp;$D250,DATA_GOC!$B:$B,"&lt;="&amp;$E250))</f>
        <v>222</v>
      </c>
      <c r="J250" s="59">
        <f t="shared" si="28"/>
        <v>5.973</v>
      </c>
      <c r="K250" s="59">
        <f t="shared" si="29"/>
        <v>0</v>
      </c>
      <c r="L250" s="59">
        <f t="shared" si="30"/>
        <v>227.973</v>
      </c>
      <c r="M250" s="59">
        <f t="shared" si="31"/>
        <v>0.01609978969</v>
      </c>
    </row>
    <row r="251" ht="15.0" hidden="1" customHeight="1">
      <c r="A251" s="59">
        <f t="shared" si="20"/>
        <v>1</v>
      </c>
      <c r="B251" s="59" t="str">
        <f t="shared" si="21"/>
        <v>Đã chốt</v>
      </c>
      <c r="C251" s="59" t="str">
        <f t="shared" si="22"/>
        <v>Téc 1</v>
      </c>
      <c r="D251" s="45">
        <f t="shared" si="23"/>
        <v>46132</v>
      </c>
      <c r="E251" s="45">
        <f t="shared" si="24"/>
        <v>46153</v>
      </c>
      <c r="F251" s="132">
        <f t="shared" si="25"/>
        <v>5</v>
      </c>
      <c r="G251" s="132">
        <f t="shared" si="26"/>
        <v>2026</v>
      </c>
      <c r="H251" s="59" t="str">
        <f t="shared" si="27"/>
        <v>28C03385</v>
      </c>
      <c r="I251" s="59">
        <f>IF(OR($A251="",$C251="",$D251="",$E251="",$H251=""),"",SUMIFS(DATA_GOC!$H:$H,DATA_GOC!$A:$A,"BOM",DATA_GOC!$D:$D,$H251,DATA_GOC!$E:$E,$C251,DATA_GOC!$F:$F,"Xuất nội bộ từ téc",DATA_GOC!$B:$B,"&gt;="&amp;$D251,DATA_GOC!$B:$B,"&lt;="&amp;$E251))</f>
        <v>300</v>
      </c>
      <c r="J251" s="59">
        <f t="shared" si="28"/>
        <v>8.072</v>
      </c>
      <c r="K251" s="59">
        <f t="shared" si="29"/>
        <v>0</v>
      </c>
      <c r="L251" s="59">
        <f t="shared" si="30"/>
        <v>308.072</v>
      </c>
      <c r="M251" s="59">
        <f t="shared" si="31"/>
        <v>0.02175647255</v>
      </c>
    </row>
    <row r="252" ht="15.0" hidden="1" customHeight="1">
      <c r="A252" s="59">
        <f t="shared" si="20"/>
        <v>1</v>
      </c>
      <c r="B252" s="59" t="str">
        <f t="shared" si="21"/>
        <v>Đã chốt</v>
      </c>
      <c r="C252" s="59" t="str">
        <f t="shared" si="22"/>
        <v>Téc 1</v>
      </c>
      <c r="D252" s="45">
        <f t="shared" si="23"/>
        <v>46132</v>
      </c>
      <c r="E252" s="45">
        <f t="shared" si="24"/>
        <v>46153</v>
      </c>
      <c r="F252" s="132">
        <f t="shared" si="25"/>
        <v>5</v>
      </c>
      <c r="G252" s="132">
        <f t="shared" si="26"/>
        <v>2026</v>
      </c>
      <c r="H252" s="59" t="str">
        <f t="shared" si="27"/>
        <v>28C03652</v>
      </c>
      <c r="I252" s="59">
        <f>IF(OR($A252="",$C252="",$D252="",$E252="",$H252=""),"",SUMIFS(DATA_GOC!$H:$H,DATA_GOC!$A:$A,"BOM",DATA_GOC!$D:$D,$H252,DATA_GOC!$E:$E,$C252,DATA_GOC!$F:$F,"Xuất nội bộ từ téc",DATA_GOC!$B:$B,"&gt;="&amp;$D252,DATA_GOC!$B:$B,"&lt;="&amp;$E252))</f>
        <v>0</v>
      </c>
      <c r="J252" s="59">
        <f t="shared" si="28"/>
        <v>0</v>
      </c>
      <c r="K252" s="59">
        <f t="shared" si="29"/>
        <v>0</v>
      </c>
      <c r="L252" s="59">
        <f t="shared" si="30"/>
        <v>0</v>
      </c>
      <c r="M252" s="59">
        <f t="shared" si="31"/>
        <v>0</v>
      </c>
    </row>
    <row r="253" ht="15.0" hidden="1" customHeight="1">
      <c r="A253" s="59">
        <f t="shared" si="20"/>
        <v>1</v>
      </c>
      <c r="B253" s="59" t="str">
        <f t="shared" si="21"/>
        <v>Đã chốt</v>
      </c>
      <c r="C253" s="59" t="str">
        <f t="shared" si="22"/>
        <v>Téc 1</v>
      </c>
      <c r="D253" s="45">
        <f t="shared" si="23"/>
        <v>46132</v>
      </c>
      <c r="E253" s="45">
        <f t="shared" si="24"/>
        <v>46153</v>
      </c>
      <c r="F253" s="132">
        <f t="shared" si="25"/>
        <v>5</v>
      </c>
      <c r="G253" s="132">
        <f t="shared" si="26"/>
        <v>2026</v>
      </c>
      <c r="H253" s="59" t="str">
        <f t="shared" si="27"/>
        <v>28C03695</v>
      </c>
      <c r="I253" s="59">
        <f>IF(OR($A253="",$C253="",$D253="",$E253="",$H253=""),"",SUMIFS(DATA_GOC!$H:$H,DATA_GOC!$A:$A,"BOM",DATA_GOC!$D:$D,$H253,DATA_GOC!$E:$E,$C253,DATA_GOC!$F:$F,"Xuất nội bộ từ téc",DATA_GOC!$B:$B,"&gt;="&amp;$D253,DATA_GOC!$B:$B,"&lt;="&amp;$E253))</f>
        <v>211</v>
      </c>
      <c r="J253" s="59">
        <f t="shared" si="28"/>
        <v>5.677</v>
      </c>
      <c r="K253" s="59">
        <f t="shared" si="29"/>
        <v>0</v>
      </c>
      <c r="L253" s="59">
        <f t="shared" si="30"/>
        <v>216.677</v>
      </c>
      <c r="M253" s="59">
        <f t="shared" si="31"/>
        <v>0.01530205236</v>
      </c>
    </row>
    <row r="254" ht="15.0" hidden="1" customHeight="1">
      <c r="A254" s="59">
        <f t="shared" si="20"/>
        <v>1</v>
      </c>
      <c r="B254" s="59" t="str">
        <f t="shared" si="21"/>
        <v>Đã chốt</v>
      </c>
      <c r="C254" s="59" t="str">
        <f t="shared" si="22"/>
        <v>Téc 1</v>
      </c>
      <c r="D254" s="45">
        <f t="shared" si="23"/>
        <v>46132</v>
      </c>
      <c r="E254" s="45">
        <f t="shared" si="24"/>
        <v>46153</v>
      </c>
      <c r="F254" s="132">
        <f t="shared" si="25"/>
        <v>5</v>
      </c>
      <c r="G254" s="132">
        <f t="shared" si="26"/>
        <v>2026</v>
      </c>
      <c r="H254" s="59" t="str">
        <f t="shared" si="27"/>
        <v>28C03927</v>
      </c>
      <c r="I254" s="59">
        <f>IF(OR($A254="",$C254="",$D254="",$E254="",$H254=""),"",SUMIFS(DATA_GOC!$H:$H,DATA_GOC!$A:$A,"BOM",DATA_GOC!$D:$D,$H254,DATA_GOC!$E:$E,$C254,DATA_GOC!$F:$F,"Xuất nội bộ từ téc",DATA_GOC!$B:$B,"&gt;="&amp;$D254,DATA_GOC!$B:$B,"&lt;="&amp;$E254))</f>
        <v>275</v>
      </c>
      <c r="J254" s="59">
        <f t="shared" si="28"/>
        <v>7.399</v>
      </c>
      <c r="K254" s="59">
        <f t="shared" si="29"/>
        <v>0</v>
      </c>
      <c r="L254" s="59">
        <f t="shared" si="30"/>
        <v>282.399</v>
      </c>
      <c r="M254" s="59">
        <f t="shared" si="31"/>
        <v>0.01994343317</v>
      </c>
    </row>
    <row r="255" ht="15.0" hidden="1" customHeight="1">
      <c r="A255" s="59">
        <f t="shared" si="20"/>
        <v>1</v>
      </c>
      <c r="B255" s="59" t="str">
        <f t="shared" si="21"/>
        <v>Đã chốt</v>
      </c>
      <c r="C255" s="59" t="str">
        <f t="shared" si="22"/>
        <v>Téc 1</v>
      </c>
      <c r="D255" s="45">
        <f t="shared" si="23"/>
        <v>46132</v>
      </c>
      <c r="E255" s="45">
        <f t="shared" si="24"/>
        <v>46153</v>
      </c>
      <c r="F255" s="132">
        <f t="shared" si="25"/>
        <v>5</v>
      </c>
      <c r="G255" s="132">
        <f t="shared" si="26"/>
        <v>2026</v>
      </c>
      <c r="H255" s="59" t="str">
        <f t="shared" si="27"/>
        <v>28C04509</v>
      </c>
      <c r="I255" s="59">
        <f>IF(OR($A255="",$C255="",$D255="",$E255="",$H255=""),"",SUMIFS(DATA_GOC!$H:$H,DATA_GOC!$A:$A,"BOM",DATA_GOC!$D:$D,$H255,DATA_GOC!$E:$E,$C255,DATA_GOC!$F:$F,"Xuất nội bộ từ téc",DATA_GOC!$B:$B,"&gt;="&amp;$D255,DATA_GOC!$B:$B,"&lt;="&amp;$E255))</f>
        <v>46</v>
      </c>
      <c r="J255" s="59">
        <f t="shared" si="28"/>
        <v>1.238</v>
      </c>
      <c r="K255" s="59">
        <f t="shared" si="29"/>
        <v>0</v>
      </c>
      <c r="L255" s="59">
        <f t="shared" si="30"/>
        <v>47.238</v>
      </c>
      <c r="M255" s="59">
        <f t="shared" si="31"/>
        <v>0.003335992458</v>
      </c>
    </row>
    <row r="256" ht="15.0" hidden="1" customHeight="1">
      <c r="A256" s="59">
        <f t="shared" si="20"/>
        <v>1</v>
      </c>
      <c r="B256" s="59" t="str">
        <f t="shared" si="21"/>
        <v>Đã chốt</v>
      </c>
      <c r="C256" s="59" t="str">
        <f t="shared" si="22"/>
        <v>Téc 1</v>
      </c>
      <c r="D256" s="45">
        <f t="shared" si="23"/>
        <v>46132</v>
      </c>
      <c r="E256" s="45">
        <f t="shared" si="24"/>
        <v>46153</v>
      </c>
      <c r="F256" s="132">
        <f t="shared" si="25"/>
        <v>5</v>
      </c>
      <c r="G256" s="132">
        <f t="shared" si="26"/>
        <v>2026</v>
      </c>
      <c r="H256" s="59" t="str">
        <f t="shared" si="27"/>
        <v>28C04536</v>
      </c>
      <c r="I256" s="59">
        <f>IF(OR($A256="",$C256="",$D256="",$E256="",$H256=""),"",SUMIFS(DATA_GOC!$H:$H,DATA_GOC!$A:$A,"BOM",DATA_GOC!$D:$D,$H256,DATA_GOC!$E:$E,$C256,DATA_GOC!$F:$F,"Xuất nội bộ từ téc",DATA_GOC!$B:$B,"&gt;="&amp;$D256,DATA_GOC!$B:$B,"&lt;="&amp;$E256))</f>
        <v>0</v>
      </c>
      <c r="J256" s="59">
        <f t="shared" si="28"/>
        <v>0</v>
      </c>
      <c r="K256" s="59">
        <f t="shared" si="29"/>
        <v>0</v>
      </c>
      <c r="L256" s="59">
        <f t="shared" si="30"/>
        <v>0</v>
      </c>
      <c r="M256" s="59">
        <f t="shared" si="31"/>
        <v>0</v>
      </c>
    </row>
    <row r="257" ht="15.0" hidden="1" customHeight="1">
      <c r="A257" s="59">
        <f t="shared" si="20"/>
        <v>1</v>
      </c>
      <c r="B257" s="59" t="str">
        <f t="shared" si="21"/>
        <v>Đã chốt</v>
      </c>
      <c r="C257" s="59" t="str">
        <f t="shared" si="22"/>
        <v>Téc 1</v>
      </c>
      <c r="D257" s="45">
        <f t="shared" si="23"/>
        <v>46132</v>
      </c>
      <c r="E257" s="45">
        <f t="shared" si="24"/>
        <v>46153</v>
      </c>
      <c r="F257" s="132">
        <f t="shared" si="25"/>
        <v>5</v>
      </c>
      <c r="G257" s="132">
        <f t="shared" si="26"/>
        <v>2026</v>
      </c>
      <c r="H257" s="59" t="str">
        <f t="shared" si="27"/>
        <v>28C04576</v>
      </c>
      <c r="I257" s="59">
        <f>IF(OR($A257="",$C257="",$D257="",$E257="",$H257=""),"",SUMIFS(DATA_GOC!$H:$H,DATA_GOC!$A:$A,"BOM",DATA_GOC!$D:$D,$H257,DATA_GOC!$E:$E,$C257,DATA_GOC!$F:$F,"Xuất nội bộ từ téc",DATA_GOC!$B:$B,"&gt;="&amp;$D257,DATA_GOC!$B:$B,"&lt;="&amp;$E257))</f>
        <v>240</v>
      </c>
      <c r="J257" s="59">
        <f t="shared" si="28"/>
        <v>6.457</v>
      </c>
      <c r="K257" s="59">
        <f t="shared" si="29"/>
        <v>0</v>
      </c>
      <c r="L257" s="59">
        <f t="shared" si="30"/>
        <v>246.457</v>
      </c>
      <c r="M257" s="59">
        <f t="shared" si="31"/>
        <v>0.01740517804</v>
      </c>
    </row>
    <row r="258" ht="15.0" hidden="1" customHeight="1">
      <c r="A258" s="59">
        <f t="shared" si="20"/>
        <v>1</v>
      </c>
      <c r="B258" s="59" t="str">
        <f t="shared" si="21"/>
        <v>Đã chốt</v>
      </c>
      <c r="C258" s="59" t="str">
        <f t="shared" si="22"/>
        <v>Téc 1</v>
      </c>
      <c r="D258" s="45">
        <f t="shared" si="23"/>
        <v>46132</v>
      </c>
      <c r="E258" s="45">
        <f t="shared" si="24"/>
        <v>46153</v>
      </c>
      <c r="F258" s="132">
        <f t="shared" si="25"/>
        <v>5</v>
      </c>
      <c r="G258" s="132">
        <f t="shared" si="26"/>
        <v>2026</v>
      </c>
      <c r="H258" s="59" t="str">
        <f t="shared" si="27"/>
        <v>28C05090</v>
      </c>
      <c r="I258" s="59">
        <f>IF(OR($A258="",$C258="",$D258="",$E258="",$H258=""),"",SUMIFS(DATA_GOC!$H:$H,DATA_GOC!$A:$A,"BOM",DATA_GOC!$D:$D,$H258,DATA_GOC!$E:$E,$C258,DATA_GOC!$F:$F,"Xuất nội bộ từ téc",DATA_GOC!$B:$B,"&gt;="&amp;$D258,DATA_GOC!$B:$B,"&lt;="&amp;$E258))</f>
        <v>0</v>
      </c>
      <c r="J258" s="59">
        <f t="shared" si="28"/>
        <v>0</v>
      </c>
      <c r="K258" s="59">
        <f t="shared" si="29"/>
        <v>0</v>
      </c>
      <c r="L258" s="59">
        <f t="shared" si="30"/>
        <v>0</v>
      </c>
      <c r="M258" s="59">
        <f t="shared" si="31"/>
        <v>0</v>
      </c>
    </row>
    <row r="259" ht="15.0" hidden="1" customHeight="1">
      <c r="A259" s="59">
        <f t="shared" si="20"/>
        <v>1</v>
      </c>
      <c r="B259" s="59" t="str">
        <f t="shared" si="21"/>
        <v>Đã chốt</v>
      </c>
      <c r="C259" s="59" t="str">
        <f t="shared" si="22"/>
        <v>Téc 1</v>
      </c>
      <c r="D259" s="45">
        <f t="shared" si="23"/>
        <v>46132</v>
      </c>
      <c r="E259" s="45">
        <f t="shared" si="24"/>
        <v>46153</v>
      </c>
      <c r="F259" s="132">
        <f t="shared" si="25"/>
        <v>5</v>
      </c>
      <c r="G259" s="132">
        <f t="shared" si="26"/>
        <v>2026</v>
      </c>
      <c r="H259" s="59" t="str">
        <f t="shared" si="27"/>
        <v>28C05345</v>
      </c>
      <c r="I259" s="59">
        <f>IF(OR($A259="",$C259="",$D259="",$E259="",$H259=""),"",SUMIFS(DATA_GOC!$H:$H,DATA_GOC!$A:$A,"BOM",DATA_GOC!$D:$D,$H259,DATA_GOC!$E:$E,$C259,DATA_GOC!$F:$F,"Xuất nội bộ từ téc",DATA_GOC!$B:$B,"&gt;="&amp;$D259,DATA_GOC!$B:$B,"&lt;="&amp;$E259))</f>
        <v>784</v>
      </c>
      <c r="J259" s="59">
        <f t="shared" si="28"/>
        <v>21.094</v>
      </c>
      <c r="K259" s="59">
        <f t="shared" si="29"/>
        <v>0</v>
      </c>
      <c r="L259" s="59">
        <f t="shared" si="30"/>
        <v>805.094</v>
      </c>
      <c r="M259" s="59">
        <f t="shared" si="31"/>
        <v>0.05685691493</v>
      </c>
    </row>
    <row r="260" ht="15.0" hidden="1" customHeight="1">
      <c r="A260" s="59">
        <f t="shared" si="20"/>
        <v>1</v>
      </c>
      <c r="B260" s="59" t="str">
        <f t="shared" si="21"/>
        <v>Đã chốt</v>
      </c>
      <c r="C260" s="59" t="str">
        <f t="shared" si="22"/>
        <v>Téc 1</v>
      </c>
      <c r="D260" s="45">
        <f t="shared" si="23"/>
        <v>46132</v>
      </c>
      <c r="E260" s="45">
        <f t="shared" si="24"/>
        <v>46153</v>
      </c>
      <c r="F260" s="132">
        <f t="shared" si="25"/>
        <v>5</v>
      </c>
      <c r="G260" s="132">
        <f t="shared" si="26"/>
        <v>2026</v>
      </c>
      <c r="H260" s="59" t="str">
        <f t="shared" si="27"/>
        <v>28C05661</v>
      </c>
      <c r="I260" s="59">
        <f>IF(OR($A260="",$C260="",$D260="",$E260="",$H260=""),"",SUMIFS(DATA_GOC!$H:$H,DATA_GOC!$A:$A,"BOM",DATA_GOC!$D:$D,$H260,DATA_GOC!$E:$E,$C260,DATA_GOC!$F:$F,"Xuất nội bộ từ téc",DATA_GOC!$B:$B,"&gt;="&amp;$D260,DATA_GOC!$B:$B,"&lt;="&amp;$E260))</f>
        <v>0</v>
      </c>
      <c r="J260" s="59">
        <f t="shared" si="28"/>
        <v>0</v>
      </c>
      <c r="K260" s="59">
        <f t="shared" si="29"/>
        <v>0</v>
      </c>
      <c r="L260" s="59">
        <f t="shared" si="30"/>
        <v>0</v>
      </c>
      <c r="M260" s="59">
        <f t="shared" si="31"/>
        <v>0</v>
      </c>
    </row>
    <row r="261" ht="15.0" hidden="1" customHeight="1">
      <c r="A261" s="59">
        <f t="shared" si="20"/>
        <v>1</v>
      </c>
      <c r="B261" s="59" t="str">
        <f t="shared" si="21"/>
        <v>Đã chốt</v>
      </c>
      <c r="C261" s="59" t="str">
        <f t="shared" si="22"/>
        <v>Téc 1</v>
      </c>
      <c r="D261" s="45">
        <f t="shared" si="23"/>
        <v>46132</v>
      </c>
      <c r="E261" s="45">
        <f t="shared" si="24"/>
        <v>46153</v>
      </c>
      <c r="F261" s="132">
        <f t="shared" si="25"/>
        <v>5</v>
      </c>
      <c r="G261" s="132">
        <f t="shared" si="26"/>
        <v>2026</v>
      </c>
      <c r="H261" s="59" t="str">
        <f t="shared" si="27"/>
        <v>28C05739</v>
      </c>
      <c r="I261" s="59">
        <f>IF(OR($A261="",$C261="",$D261="",$E261="",$H261=""),"",SUMIFS(DATA_GOC!$H:$H,DATA_GOC!$A:$A,"BOM",DATA_GOC!$D:$D,$H261,DATA_GOC!$E:$E,$C261,DATA_GOC!$F:$F,"Xuất nội bộ từ téc",DATA_GOC!$B:$B,"&gt;="&amp;$D261,DATA_GOC!$B:$B,"&lt;="&amp;$E261))</f>
        <v>218</v>
      </c>
      <c r="J261" s="59">
        <f t="shared" si="28"/>
        <v>5.865</v>
      </c>
      <c r="K261" s="59">
        <f t="shared" si="29"/>
        <v>0</v>
      </c>
      <c r="L261" s="59">
        <f t="shared" si="30"/>
        <v>223.865</v>
      </c>
      <c r="M261" s="59">
        <f t="shared" si="31"/>
        <v>0.01580970339</v>
      </c>
    </row>
    <row r="262" ht="15.0" hidden="1" customHeight="1">
      <c r="A262" s="59">
        <f t="shared" si="20"/>
        <v>1</v>
      </c>
      <c r="B262" s="59" t="str">
        <f t="shared" si="21"/>
        <v>Đã chốt</v>
      </c>
      <c r="C262" s="59" t="str">
        <f t="shared" si="22"/>
        <v>Téc 1</v>
      </c>
      <c r="D262" s="45">
        <f t="shared" si="23"/>
        <v>46132</v>
      </c>
      <c r="E262" s="45">
        <f t="shared" si="24"/>
        <v>46153</v>
      </c>
      <c r="F262" s="132">
        <f t="shared" si="25"/>
        <v>5</v>
      </c>
      <c r="G262" s="132">
        <f t="shared" si="26"/>
        <v>2026</v>
      </c>
      <c r="H262" s="59" t="str">
        <f t="shared" si="27"/>
        <v>28C06369</v>
      </c>
      <c r="I262" s="59">
        <f>IF(OR($A262="",$C262="",$D262="",$E262="",$H262=""),"",SUMIFS(DATA_GOC!$H:$H,DATA_GOC!$A:$A,"BOM",DATA_GOC!$D:$D,$H262,DATA_GOC!$E:$E,$C262,DATA_GOC!$F:$F,"Xuất nội bộ từ téc",DATA_GOC!$B:$B,"&gt;="&amp;$D262,DATA_GOC!$B:$B,"&lt;="&amp;$E262))</f>
        <v>430</v>
      </c>
      <c r="J262" s="59">
        <f t="shared" si="28"/>
        <v>11.569</v>
      </c>
      <c r="K262" s="59">
        <f t="shared" si="29"/>
        <v>0</v>
      </c>
      <c r="L262" s="59">
        <f t="shared" si="30"/>
        <v>441.569</v>
      </c>
      <c r="M262" s="59">
        <f t="shared" si="31"/>
        <v>0.03118427732</v>
      </c>
    </row>
    <row r="263" ht="15.0" hidden="1" customHeight="1">
      <c r="A263" s="59">
        <f t="shared" si="20"/>
        <v>1</v>
      </c>
      <c r="B263" s="59" t="str">
        <f t="shared" si="21"/>
        <v>Đã chốt</v>
      </c>
      <c r="C263" s="59" t="str">
        <f t="shared" si="22"/>
        <v>Téc 1</v>
      </c>
      <c r="D263" s="45">
        <f t="shared" si="23"/>
        <v>46132</v>
      </c>
      <c r="E263" s="45">
        <f t="shared" si="24"/>
        <v>46153</v>
      </c>
      <c r="F263" s="132">
        <f t="shared" si="25"/>
        <v>5</v>
      </c>
      <c r="G263" s="132">
        <f t="shared" si="26"/>
        <v>2026</v>
      </c>
      <c r="H263" s="59" t="str">
        <f t="shared" si="27"/>
        <v>28C06447</v>
      </c>
      <c r="I263" s="59">
        <f>IF(OR($A263="",$C263="",$D263="",$E263="",$H263=""),"",SUMIFS(DATA_GOC!$H:$H,DATA_GOC!$A:$A,"BOM",DATA_GOC!$D:$D,$H263,DATA_GOC!$E:$E,$C263,DATA_GOC!$F:$F,"Xuất nội bộ từ téc",DATA_GOC!$B:$B,"&gt;="&amp;$D263,DATA_GOC!$B:$B,"&lt;="&amp;$E263))</f>
        <v>913</v>
      </c>
      <c r="J263" s="59">
        <f t="shared" si="28"/>
        <v>24.565</v>
      </c>
      <c r="K263" s="59">
        <f t="shared" si="29"/>
        <v>0</v>
      </c>
      <c r="L263" s="59">
        <f t="shared" si="30"/>
        <v>937.565</v>
      </c>
      <c r="M263" s="59">
        <f t="shared" si="31"/>
        <v>0.06621219813</v>
      </c>
    </row>
    <row r="264" ht="15.0" hidden="1" customHeight="1">
      <c r="A264" s="59">
        <f t="shared" si="20"/>
        <v>1</v>
      </c>
      <c r="B264" s="59" t="str">
        <f t="shared" si="21"/>
        <v>Đã chốt</v>
      </c>
      <c r="C264" s="59" t="str">
        <f t="shared" si="22"/>
        <v>Téc 1</v>
      </c>
      <c r="D264" s="45">
        <f t="shared" si="23"/>
        <v>46132</v>
      </c>
      <c r="E264" s="45">
        <f t="shared" si="24"/>
        <v>46153</v>
      </c>
      <c r="F264" s="132">
        <f t="shared" si="25"/>
        <v>5</v>
      </c>
      <c r="G264" s="132">
        <f t="shared" si="26"/>
        <v>2026</v>
      </c>
      <c r="H264" s="59" t="str">
        <f t="shared" si="27"/>
        <v>28H00003</v>
      </c>
      <c r="I264" s="59">
        <f>IF(OR($A264="",$C264="",$D264="",$E264="",$H264=""),"",SUMIFS(DATA_GOC!$H:$H,DATA_GOC!$A:$A,"BOM",DATA_GOC!$D:$D,$H264,DATA_GOC!$E:$E,$C264,DATA_GOC!$F:$F,"Xuất nội bộ từ téc",DATA_GOC!$B:$B,"&gt;="&amp;$D264,DATA_GOC!$B:$B,"&lt;="&amp;$E264))</f>
        <v>546</v>
      </c>
      <c r="J264" s="59">
        <f t="shared" si="28"/>
        <v>14.69</v>
      </c>
      <c r="K264" s="59">
        <f t="shared" si="29"/>
        <v>0</v>
      </c>
      <c r="L264" s="59">
        <f t="shared" si="30"/>
        <v>560.69</v>
      </c>
      <c r="M264" s="59">
        <f t="shared" si="31"/>
        <v>0.03959678004</v>
      </c>
    </row>
    <row r="265" ht="15.0" hidden="1" customHeight="1">
      <c r="A265" s="59">
        <f t="shared" si="20"/>
        <v>1</v>
      </c>
      <c r="B265" s="59" t="str">
        <f t="shared" si="21"/>
        <v>Đã chốt</v>
      </c>
      <c r="C265" s="59" t="str">
        <f t="shared" si="22"/>
        <v>Téc 1</v>
      </c>
      <c r="D265" s="45">
        <f t="shared" si="23"/>
        <v>46132</v>
      </c>
      <c r="E265" s="45">
        <f t="shared" si="24"/>
        <v>46153</v>
      </c>
      <c r="F265" s="132">
        <f t="shared" si="25"/>
        <v>5</v>
      </c>
      <c r="G265" s="132">
        <f t="shared" si="26"/>
        <v>2026</v>
      </c>
      <c r="H265" s="59" t="str">
        <f t="shared" si="27"/>
        <v>28H00061</v>
      </c>
      <c r="I265" s="59">
        <f>IF(OR($A265="",$C265="",$D265="",$E265="",$H265=""),"",SUMIFS(DATA_GOC!$H:$H,DATA_GOC!$A:$A,"BOM",DATA_GOC!$D:$D,$H265,DATA_GOC!$E:$E,$C265,DATA_GOC!$F:$F,"Xuất nội bộ từ téc",DATA_GOC!$B:$B,"&gt;="&amp;$D265,DATA_GOC!$B:$B,"&lt;="&amp;$E265))</f>
        <v>366</v>
      </c>
      <c r="J265" s="59">
        <f t="shared" si="28"/>
        <v>9.847</v>
      </c>
      <c r="K265" s="59">
        <f t="shared" si="29"/>
        <v>0</v>
      </c>
      <c r="L265" s="59">
        <f t="shared" si="30"/>
        <v>375.847</v>
      </c>
      <c r="M265" s="59">
        <f t="shared" si="31"/>
        <v>0.02654289651</v>
      </c>
    </row>
    <row r="266" ht="15.0" hidden="1" customHeight="1">
      <c r="A266" s="59">
        <f t="shared" si="20"/>
        <v>1</v>
      </c>
      <c r="B266" s="59" t="str">
        <f t="shared" si="21"/>
        <v>Đã chốt</v>
      </c>
      <c r="C266" s="59" t="str">
        <f t="shared" si="22"/>
        <v>Téc 1</v>
      </c>
      <c r="D266" s="45">
        <f t="shared" si="23"/>
        <v>46132</v>
      </c>
      <c r="E266" s="45">
        <f t="shared" si="24"/>
        <v>46153</v>
      </c>
      <c r="F266" s="132">
        <f t="shared" si="25"/>
        <v>5</v>
      </c>
      <c r="G266" s="132">
        <f t="shared" si="26"/>
        <v>2026</v>
      </c>
      <c r="H266" s="59" t="str">
        <f t="shared" si="27"/>
        <v>28H00354</v>
      </c>
      <c r="I266" s="59">
        <f>IF(OR($A266="",$C266="",$D266="",$E266="",$H266=""),"",SUMIFS(DATA_GOC!$H:$H,DATA_GOC!$A:$A,"BOM",DATA_GOC!$D:$D,$H266,DATA_GOC!$E:$E,$C266,DATA_GOC!$F:$F,"Xuất nội bộ từ téc",DATA_GOC!$B:$B,"&gt;="&amp;$D266,DATA_GOC!$B:$B,"&lt;="&amp;$E266))</f>
        <v>480</v>
      </c>
      <c r="J266" s="59">
        <f t="shared" si="28"/>
        <v>12.915</v>
      </c>
      <c r="K266" s="59">
        <f t="shared" si="29"/>
        <v>0</v>
      </c>
      <c r="L266" s="59">
        <f t="shared" si="30"/>
        <v>492.915</v>
      </c>
      <c r="M266" s="59">
        <f t="shared" si="31"/>
        <v>0.03481035608</v>
      </c>
    </row>
    <row r="267" ht="15.0" hidden="1" customHeight="1">
      <c r="A267" s="59">
        <f t="shared" si="20"/>
        <v>1</v>
      </c>
      <c r="B267" s="59" t="str">
        <f t="shared" si="21"/>
        <v>Đã chốt</v>
      </c>
      <c r="C267" s="59" t="str">
        <f t="shared" si="22"/>
        <v>Téc 1</v>
      </c>
      <c r="D267" s="45">
        <f t="shared" si="23"/>
        <v>46132</v>
      </c>
      <c r="E267" s="45">
        <f t="shared" si="24"/>
        <v>46153</v>
      </c>
      <c r="F267" s="132">
        <f t="shared" si="25"/>
        <v>5</v>
      </c>
      <c r="G267" s="132">
        <f t="shared" si="26"/>
        <v>2026</v>
      </c>
      <c r="H267" s="59" t="str">
        <f t="shared" si="27"/>
        <v>28H00603</v>
      </c>
      <c r="I267" s="59">
        <f>IF(OR($A267="",$C267="",$D267="",$E267="",$H267=""),"",SUMIFS(DATA_GOC!$H:$H,DATA_GOC!$A:$A,"BOM",DATA_GOC!$D:$D,$H267,DATA_GOC!$E:$E,$C267,DATA_GOC!$F:$F,"Xuất nội bộ từ téc",DATA_GOC!$B:$B,"&gt;="&amp;$D267,DATA_GOC!$B:$B,"&lt;="&amp;$E267))</f>
        <v>220</v>
      </c>
      <c r="J267" s="59">
        <f t="shared" si="28"/>
        <v>5.919</v>
      </c>
      <c r="K267" s="59">
        <f t="shared" si="29"/>
        <v>0</v>
      </c>
      <c r="L267" s="59">
        <f t="shared" si="30"/>
        <v>225.919</v>
      </c>
      <c r="M267" s="59">
        <f t="shared" si="31"/>
        <v>0.01595474654</v>
      </c>
    </row>
    <row r="268" ht="15.0" hidden="1" customHeight="1">
      <c r="A268" s="59">
        <f t="shared" si="20"/>
        <v>1</v>
      </c>
      <c r="B268" s="59" t="str">
        <f t="shared" si="21"/>
        <v>Đã chốt</v>
      </c>
      <c r="C268" s="59" t="str">
        <f t="shared" si="22"/>
        <v>Téc 1</v>
      </c>
      <c r="D268" s="45">
        <f t="shared" si="23"/>
        <v>46132</v>
      </c>
      <c r="E268" s="45">
        <f t="shared" si="24"/>
        <v>46153</v>
      </c>
      <c r="F268" s="132">
        <f t="shared" si="25"/>
        <v>5</v>
      </c>
      <c r="G268" s="132">
        <f t="shared" si="26"/>
        <v>2026</v>
      </c>
      <c r="H268" s="59" t="str">
        <f t="shared" si="27"/>
        <v>28H00609</v>
      </c>
      <c r="I268" s="59">
        <f>IF(OR($A268="",$C268="",$D268="",$E268="",$H268=""),"",SUMIFS(DATA_GOC!$H:$H,DATA_GOC!$A:$A,"BOM",DATA_GOC!$D:$D,$H268,DATA_GOC!$E:$E,$C268,DATA_GOC!$F:$F,"Xuất nội bộ từ téc",DATA_GOC!$B:$B,"&gt;="&amp;$D268,DATA_GOC!$B:$B,"&lt;="&amp;$E268))</f>
        <v>240</v>
      </c>
      <c r="J268" s="59">
        <f t="shared" si="28"/>
        <v>6.457</v>
      </c>
      <c r="K268" s="59">
        <f t="shared" si="29"/>
        <v>0</v>
      </c>
      <c r="L268" s="59">
        <f t="shared" si="30"/>
        <v>246.457</v>
      </c>
      <c r="M268" s="59">
        <f t="shared" si="31"/>
        <v>0.01740517804</v>
      </c>
    </row>
    <row r="269" ht="15.0" hidden="1" customHeight="1">
      <c r="A269" s="59">
        <f t="shared" si="20"/>
        <v>1</v>
      </c>
      <c r="B269" s="59" t="str">
        <f t="shared" si="21"/>
        <v>Đã chốt</v>
      </c>
      <c r="C269" s="59" t="str">
        <f t="shared" si="22"/>
        <v>Téc 1</v>
      </c>
      <c r="D269" s="45">
        <f t="shared" si="23"/>
        <v>46132</v>
      </c>
      <c r="E269" s="45">
        <f t="shared" si="24"/>
        <v>46153</v>
      </c>
      <c r="F269" s="132">
        <f t="shared" si="25"/>
        <v>5</v>
      </c>
      <c r="G269" s="132">
        <f t="shared" si="26"/>
        <v>2026</v>
      </c>
      <c r="H269" s="59" t="str">
        <f t="shared" si="27"/>
        <v>28H00669</v>
      </c>
      <c r="I269" s="59">
        <f>IF(OR($A269="",$C269="",$D269="",$E269="",$H269=""),"",SUMIFS(DATA_GOC!$H:$H,DATA_GOC!$A:$A,"BOM",DATA_GOC!$D:$D,$H269,DATA_GOC!$E:$E,$C269,DATA_GOC!$F:$F,"Xuất nội bộ từ téc",DATA_GOC!$B:$B,"&gt;="&amp;$D269,DATA_GOC!$B:$B,"&lt;="&amp;$E269))</f>
        <v>0</v>
      </c>
      <c r="J269" s="59">
        <f t="shared" si="28"/>
        <v>0</v>
      </c>
      <c r="K269" s="59">
        <f t="shared" si="29"/>
        <v>0</v>
      </c>
      <c r="L269" s="59">
        <f t="shared" si="30"/>
        <v>0</v>
      </c>
      <c r="M269" s="59">
        <f t="shared" si="31"/>
        <v>0</v>
      </c>
    </row>
    <row r="270" ht="15.0" hidden="1" customHeight="1">
      <c r="A270" s="59">
        <f t="shared" si="20"/>
        <v>1</v>
      </c>
      <c r="B270" s="59" t="str">
        <f t="shared" si="21"/>
        <v>Đã chốt</v>
      </c>
      <c r="C270" s="59" t="str">
        <f t="shared" si="22"/>
        <v>Téc 1</v>
      </c>
      <c r="D270" s="45">
        <f t="shared" si="23"/>
        <v>46132</v>
      </c>
      <c r="E270" s="45">
        <f t="shared" si="24"/>
        <v>46153</v>
      </c>
      <c r="F270" s="132">
        <f t="shared" si="25"/>
        <v>5</v>
      </c>
      <c r="G270" s="132">
        <f t="shared" si="26"/>
        <v>2026</v>
      </c>
      <c r="H270" s="59" t="str">
        <f t="shared" si="27"/>
        <v>28H00680</v>
      </c>
      <c r="I270" s="59">
        <f>IF(OR($A270="",$C270="",$D270="",$E270="",$H270=""),"",SUMIFS(DATA_GOC!$H:$H,DATA_GOC!$A:$A,"BOM",DATA_GOC!$D:$D,$H270,DATA_GOC!$E:$E,$C270,DATA_GOC!$F:$F,"Xuất nội bộ từ téc",DATA_GOC!$B:$B,"&gt;="&amp;$D270,DATA_GOC!$B:$B,"&lt;="&amp;$E270))</f>
        <v>1248</v>
      </c>
      <c r="J270" s="59">
        <f t="shared" si="28"/>
        <v>33.578</v>
      </c>
      <c r="K270" s="59">
        <f t="shared" si="29"/>
        <v>0</v>
      </c>
      <c r="L270" s="59">
        <f t="shared" si="30"/>
        <v>1281.578</v>
      </c>
      <c r="M270" s="59">
        <f t="shared" si="31"/>
        <v>0.09050692581</v>
      </c>
    </row>
    <row r="271" ht="15.0" hidden="1" customHeight="1">
      <c r="A271" s="59">
        <f t="shared" si="20"/>
        <v>1</v>
      </c>
      <c r="B271" s="59" t="str">
        <f t="shared" si="21"/>
        <v>Đã chốt</v>
      </c>
      <c r="C271" s="59" t="str">
        <f t="shared" si="22"/>
        <v>Téc 1</v>
      </c>
      <c r="D271" s="45">
        <f t="shared" si="23"/>
        <v>46132</v>
      </c>
      <c r="E271" s="45">
        <f t="shared" si="24"/>
        <v>46153</v>
      </c>
      <c r="F271" s="132">
        <f t="shared" si="25"/>
        <v>5</v>
      </c>
      <c r="G271" s="132">
        <f t="shared" si="26"/>
        <v>2026</v>
      </c>
      <c r="H271" s="59" t="str">
        <f t="shared" si="27"/>
        <v>28H01070</v>
      </c>
      <c r="I271" s="59">
        <f>IF(OR($A271="",$C271="",$D271="",$E271="",$H271=""),"",SUMIFS(DATA_GOC!$H:$H,DATA_GOC!$A:$A,"BOM",DATA_GOC!$D:$D,$H271,DATA_GOC!$E:$E,$C271,DATA_GOC!$F:$F,"Xuất nội bộ từ téc",DATA_GOC!$B:$B,"&gt;="&amp;$D271,DATA_GOC!$B:$B,"&lt;="&amp;$E271))</f>
        <v>0</v>
      </c>
      <c r="J271" s="59">
        <f t="shared" si="28"/>
        <v>0</v>
      </c>
      <c r="K271" s="59">
        <f t="shared" si="29"/>
        <v>0</v>
      </c>
      <c r="L271" s="59">
        <f t="shared" si="30"/>
        <v>0</v>
      </c>
      <c r="M271" s="59">
        <f t="shared" si="31"/>
        <v>0</v>
      </c>
    </row>
    <row r="272" ht="15.0" hidden="1" customHeight="1">
      <c r="A272" s="59">
        <f t="shared" si="20"/>
        <v>1</v>
      </c>
      <c r="B272" s="59" t="str">
        <f t="shared" si="21"/>
        <v>Đã chốt</v>
      </c>
      <c r="C272" s="59" t="str">
        <f t="shared" si="22"/>
        <v>Téc 1</v>
      </c>
      <c r="D272" s="45">
        <f t="shared" si="23"/>
        <v>46132</v>
      </c>
      <c r="E272" s="45">
        <f t="shared" si="24"/>
        <v>46153</v>
      </c>
      <c r="F272" s="132">
        <f t="shared" si="25"/>
        <v>5</v>
      </c>
      <c r="G272" s="132">
        <f t="shared" si="26"/>
        <v>2026</v>
      </c>
      <c r="H272" s="59" t="str">
        <f t="shared" si="27"/>
        <v>28H01364</v>
      </c>
      <c r="I272" s="59">
        <f>IF(OR($A272="",$C272="",$D272="",$E272="",$H272=""),"",SUMIFS(DATA_GOC!$H:$H,DATA_GOC!$A:$A,"BOM",DATA_GOC!$D:$D,$H272,DATA_GOC!$E:$E,$C272,DATA_GOC!$F:$F,"Xuất nội bộ từ téc",DATA_GOC!$B:$B,"&gt;="&amp;$D272,DATA_GOC!$B:$B,"&lt;="&amp;$E272))</f>
        <v>710</v>
      </c>
      <c r="J272" s="59">
        <f t="shared" si="28"/>
        <v>19.103</v>
      </c>
      <c r="K272" s="59">
        <f t="shared" si="29"/>
        <v>0</v>
      </c>
      <c r="L272" s="59">
        <f t="shared" si="30"/>
        <v>729.103</v>
      </c>
      <c r="M272" s="59">
        <f t="shared" si="31"/>
        <v>0.05149031837</v>
      </c>
    </row>
    <row r="273" ht="15.0" hidden="1" customHeight="1">
      <c r="A273" s="59">
        <f t="shared" si="20"/>
        <v>1</v>
      </c>
      <c r="B273" s="59" t="str">
        <f t="shared" si="21"/>
        <v>Đã chốt</v>
      </c>
      <c r="C273" s="59" t="str">
        <f t="shared" si="22"/>
        <v>Téc 1</v>
      </c>
      <c r="D273" s="45">
        <f t="shared" si="23"/>
        <v>46132</v>
      </c>
      <c r="E273" s="45">
        <f t="shared" si="24"/>
        <v>46153</v>
      </c>
      <c r="F273" s="132">
        <f t="shared" si="25"/>
        <v>5</v>
      </c>
      <c r="G273" s="132">
        <f t="shared" si="26"/>
        <v>2026</v>
      </c>
      <c r="H273" s="59" t="str">
        <f t="shared" si="27"/>
        <v>29E17269</v>
      </c>
      <c r="I273" s="59">
        <f>IF(OR($A273="",$C273="",$D273="",$E273="",$H273=""),"",SUMIFS(DATA_GOC!$H:$H,DATA_GOC!$A:$A,"BOM",DATA_GOC!$D:$D,$H273,DATA_GOC!$E:$E,$C273,DATA_GOC!$F:$F,"Xuất nội bộ từ téc",DATA_GOC!$B:$B,"&gt;="&amp;$D273,DATA_GOC!$B:$B,"&lt;="&amp;$E273))</f>
        <v>274</v>
      </c>
      <c r="J273" s="59">
        <f t="shared" si="28"/>
        <v>7.372</v>
      </c>
      <c r="K273" s="59">
        <f t="shared" si="29"/>
        <v>0</v>
      </c>
      <c r="L273" s="59">
        <f t="shared" si="30"/>
        <v>281.372</v>
      </c>
      <c r="M273" s="59">
        <f t="shared" si="31"/>
        <v>0.0198709116</v>
      </c>
    </row>
    <row r="274" ht="15.0" hidden="1" customHeight="1">
      <c r="A274" s="59">
        <f t="shared" si="20"/>
        <v>1</v>
      </c>
      <c r="B274" s="59" t="str">
        <f t="shared" si="21"/>
        <v>Đã chốt</v>
      </c>
      <c r="C274" s="59" t="str">
        <f t="shared" si="22"/>
        <v>Téc 1</v>
      </c>
      <c r="D274" s="45">
        <f t="shared" si="23"/>
        <v>46132</v>
      </c>
      <c r="E274" s="45">
        <f t="shared" si="24"/>
        <v>46153</v>
      </c>
      <c r="F274" s="132">
        <f t="shared" si="25"/>
        <v>5</v>
      </c>
      <c r="G274" s="132">
        <f t="shared" si="26"/>
        <v>2026</v>
      </c>
      <c r="H274" s="59" t="str">
        <f t="shared" si="27"/>
        <v>29E17273</v>
      </c>
      <c r="I274" s="59">
        <f>IF(OR($A274="",$C274="",$D274="",$E274="",$H274=""),"",SUMIFS(DATA_GOC!$H:$H,DATA_GOC!$A:$A,"BOM",DATA_GOC!$D:$D,$H274,DATA_GOC!$E:$E,$C274,DATA_GOC!$F:$F,"Xuất nội bộ từ téc",DATA_GOC!$B:$B,"&gt;="&amp;$D274,DATA_GOC!$B:$B,"&lt;="&amp;$E274))</f>
        <v>301</v>
      </c>
      <c r="J274" s="59">
        <f t="shared" si="28"/>
        <v>8.099</v>
      </c>
      <c r="K274" s="59">
        <f t="shared" si="29"/>
        <v>0</v>
      </c>
      <c r="L274" s="59">
        <f t="shared" si="30"/>
        <v>309.099</v>
      </c>
      <c r="M274" s="59">
        <f t="shared" si="31"/>
        <v>0.02182899413</v>
      </c>
    </row>
    <row r="275" ht="15.0" hidden="1" customHeight="1">
      <c r="A275" s="59">
        <f t="shared" si="20"/>
        <v>1</v>
      </c>
      <c r="B275" s="59" t="str">
        <f t="shared" si="21"/>
        <v>Đã chốt</v>
      </c>
      <c r="C275" s="59" t="str">
        <f t="shared" si="22"/>
        <v>Téc 1</v>
      </c>
      <c r="D275" s="45">
        <f t="shared" si="23"/>
        <v>46132</v>
      </c>
      <c r="E275" s="45">
        <f t="shared" si="24"/>
        <v>46153</v>
      </c>
      <c r="F275" s="132">
        <f t="shared" si="25"/>
        <v>5</v>
      </c>
      <c r="G275" s="132">
        <f t="shared" si="26"/>
        <v>2026</v>
      </c>
      <c r="H275" s="59" t="str">
        <f t="shared" si="27"/>
        <v>29E17410</v>
      </c>
      <c r="I275" s="59">
        <f>IF(OR($A275="",$C275="",$D275="",$E275="",$H275=""),"",SUMIFS(DATA_GOC!$H:$H,DATA_GOC!$A:$A,"BOM",DATA_GOC!$D:$D,$H275,DATA_GOC!$E:$E,$C275,DATA_GOC!$F:$F,"Xuất nội bộ từ téc",DATA_GOC!$B:$B,"&gt;="&amp;$D275,DATA_GOC!$B:$B,"&lt;="&amp;$E275))</f>
        <v>298</v>
      </c>
      <c r="J275" s="59">
        <f t="shared" si="28"/>
        <v>8.018</v>
      </c>
      <c r="K275" s="59">
        <f t="shared" si="29"/>
        <v>0</v>
      </c>
      <c r="L275" s="59">
        <f t="shared" si="30"/>
        <v>306.018</v>
      </c>
      <c r="M275" s="59">
        <f t="shared" si="31"/>
        <v>0.0216114294</v>
      </c>
    </row>
    <row r="276" ht="15.0" hidden="1" customHeight="1">
      <c r="A276" s="59">
        <f t="shared" si="20"/>
        <v>1</v>
      </c>
      <c r="B276" s="59" t="str">
        <f t="shared" si="21"/>
        <v>Đã chốt</v>
      </c>
      <c r="C276" s="59" t="str">
        <f t="shared" si="22"/>
        <v>Téc 1</v>
      </c>
      <c r="D276" s="45">
        <f t="shared" si="23"/>
        <v>46132</v>
      </c>
      <c r="E276" s="45">
        <f t="shared" si="24"/>
        <v>46153</v>
      </c>
      <c r="F276" s="132">
        <f t="shared" si="25"/>
        <v>5</v>
      </c>
      <c r="G276" s="132">
        <f t="shared" si="26"/>
        <v>2026</v>
      </c>
      <c r="H276" s="59" t="str">
        <f t="shared" si="27"/>
        <v>29E17417</v>
      </c>
      <c r="I276" s="59">
        <f>IF(OR($A276="",$C276="",$D276="",$E276="",$H276=""),"",SUMIFS(DATA_GOC!$H:$H,DATA_GOC!$A:$A,"BOM",DATA_GOC!$D:$D,$H276,DATA_GOC!$E:$E,$C276,DATA_GOC!$F:$F,"Xuất nội bộ từ téc",DATA_GOC!$B:$B,"&gt;="&amp;$D276,DATA_GOC!$B:$B,"&lt;="&amp;$E276))</f>
        <v>311</v>
      </c>
      <c r="J276" s="59">
        <f t="shared" si="28"/>
        <v>8.368</v>
      </c>
      <c r="K276" s="59">
        <f t="shared" si="29"/>
        <v>0</v>
      </c>
      <c r="L276" s="59">
        <f t="shared" si="30"/>
        <v>319.368</v>
      </c>
      <c r="M276" s="59">
        <f t="shared" si="31"/>
        <v>0.02255420988</v>
      </c>
    </row>
    <row r="277" ht="15.0" hidden="1" customHeight="1">
      <c r="A277" s="59">
        <f t="shared" si="20"/>
        <v>1</v>
      </c>
      <c r="B277" s="59" t="str">
        <f t="shared" si="21"/>
        <v>Đã chốt</v>
      </c>
      <c r="C277" s="59" t="str">
        <f t="shared" si="22"/>
        <v>Téc 1</v>
      </c>
      <c r="D277" s="45">
        <f t="shared" si="23"/>
        <v>46132</v>
      </c>
      <c r="E277" s="45">
        <f t="shared" si="24"/>
        <v>46153</v>
      </c>
      <c r="F277" s="132">
        <f t="shared" si="25"/>
        <v>5</v>
      </c>
      <c r="G277" s="132">
        <f t="shared" si="26"/>
        <v>2026</v>
      </c>
      <c r="H277" s="59" t="str">
        <f t="shared" si="27"/>
        <v>29E17539</v>
      </c>
      <c r="I277" s="59">
        <f>IF(OR($A277="",$C277="",$D277="",$E277="",$H277=""),"",SUMIFS(DATA_GOC!$H:$H,DATA_GOC!$A:$A,"BOM",DATA_GOC!$D:$D,$H277,DATA_GOC!$E:$E,$C277,DATA_GOC!$F:$F,"Xuất nội bộ từ téc",DATA_GOC!$B:$B,"&gt;="&amp;$D277,DATA_GOC!$B:$B,"&lt;="&amp;$E277))</f>
        <v>427</v>
      </c>
      <c r="J277" s="59">
        <f t="shared" si="28"/>
        <v>11.489</v>
      </c>
      <c r="K277" s="59">
        <f t="shared" si="29"/>
        <v>0</v>
      </c>
      <c r="L277" s="59">
        <f t="shared" si="30"/>
        <v>438.489</v>
      </c>
      <c r="M277" s="59">
        <f t="shared" si="31"/>
        <v>0.0309667126</v>
      </c>
    </row>
    <row r="278" ht="15.0" hidden="1" customHeight="1">
      <c r="A278" s="59">
        <f t="shared" si="20"/>
        <v>1</v>
      </c>
      <c r="B278" s="59" t="str">
        <f t="shared" si="21"/>
        <v>Đã chốt</v>
      </c>
      <c r="C278" s="59" t="str">
        <f t="shared" si="22"/>
        <v>Téc 1</v>
      </c>
      <c r="D278" s="45">
        <f t="shared" si="23"/>
        <v>46132</v>
      </c>
      <c r="E278" s="45">
        <f t="shared" si="24"/>
        <v>46153</v>
      </c>
      <c r="F278" s="132">
        <f t="shared" si="25"/>
        <v>5</v>
      </c>
      <c r="G278" s="132">
        <f t="shared" si="26"/>
        <v>2026</v>
      </c>
      <c r="H278" s="59" t="str">
        <f t="shared" si="27"/>
        <v>29E18160</v>
      </c>
      <c r="I278" s="59">
        <f>IF(OR($A278="",$C278="",$D278="",$E278="",$H278=""),"",SUMIFS(DATA_GOC!$H:$H,DATA_GOC!$A:$A,"BOM",DATA_GOC!$D:$D,$H278,DATA_GOC!$E:$E,$C278,DATA_GOC!$F:$F,"Xuất nội bộ từ téc",DATA_GOC!$B:$B,"&gt;="&amp;$D278,DATA_GOC!$B:$B,"&lt;="&amp;$E278))</f>
        <v>0</v>
      </c>
      <c r="J278" s="59">
        <f t="shared" si="28"/>
        <v>0</v>
      </c>
      <c r="K278" s="59">
        <f t="shared" si="29"/>
        <v>0</v>
      </c>
      <c r="L278" s="59">
        <f t="shared" si="30"/>
        <v>0</v>
      </c>
      <c r="M278" s="59">
        <f t="shared" si="31"/>
        <v>0</v>
      </c>
    </row>
    <row r="279" ht="15.0" hidden="1" customHeight="1">
      <c r="A279" s="59">
        <f t="shared" si="20"/>
        <v>1</v>
      </c>
      <c r="B279" s="59" t="str">
        <f t="shared" si="21"/>
        <v>Đã chốt</v>
      </c>
      <c r="C279" s="59" t="str">
        <f t="shared" si="22"/>
        <v>Téc 1</v>
      </c>
      <c r="D279" s="45">
        <f t="shared" si="23"/>
        <v>46132</v>
      </c>
      <c r="E279" s="45">
        <f t="shared" si="24"/>
        <v>46153</v>
      </c>
      <c r="F279" s="132">
        <f t="shared" si="25"/>
        <v>5</v>
      </c>
      <c r="G279" s="132">
        <f t="shared" si="26"/>
        <v>2026</v>
      </c>
      <c r="H279" s="59" t="str">
        <f t="shared" si="27"/>
        <v>Công trình Asphalt</v>
      </c>
      <c r="I279" s="59">
        <f>IF(OR($A279="",$C279="",$D279="",$E279="",$H279=""),"",SUMIFS(DATA_GOC!$H:$H,DATA_GOC!$A:$A,"BOM",DATA_GOC!$D:$D,$H279,DATA_GOC!$E:$E,$C279,DATA_GOC!$F:$F,"Xuất nội bộ từ téc",DATA_GOC!$B:$B,"&gt;="&amp;$D279,DATA_GOC!$B:$B,"&lt;="&amp;$E279))</f>
        <v>0</v>
      </c>
      <c r="J279" s="59">
        <f t="shared" si="28"/>
        <v>0</v>
      </c>
      <c r="K279" s="59">
        <f t="shared" si="29"/>
        <v>0</v>
      </c>
      <c r="L279" s="59">
        <f t="shared" si="30"/>
        <v>0</v>
      </c>
      <c r="M279" s="59">
        <f t="shared" si="31"/>
        <v>0</v>
      </c>
    </row>
    <row r="280" ht="15.0" hidden="1" customHeight="1">
      <c r="A280" s="59">
        <f t="shared" si="20"/>
        <v>1</v>
      </c>
      <c r="B280" s="59" t="str">
        <f t="shared" si="21"/>
        <v>Đã chốt</v>
      </c>
      <c r="C280" s="59" t="str">
        <f t="shared" si="22"/>
        <v>Téc 1</v>
      </c>
      <c r="D280" s="45">
        <f t="shared" si="23"/>
        <v>46132</v>
      </c>
      <c r="E280" s="45">
        <f t="shared" si="24"/>
        <v>46153</v>
      </c>
      <c r="F280" s="132">
        <f t="shared" si="25"/>
        <v>5</v>
      </c>
      <c r="G280" s="132">
        <f t="shared" si="26"/>
        <v>2026</v>
      </c>
      <c r="H280" s="59" t="str">
        <f t="shared" si="27"/>
        <v>LG53F</v>
      </c>
      <c r="I280" s="59">
        <f>IF(OR($A280="",$C280="",$D280="",$E280="",$H280=""),"",SUMIFS(DATA_GOC!$H:$H,DATA_GOC!$A:$A,"BOM",DATA_GOC!$D:$D,$H280,DATA_GOC!$E:$E,$C280,DATA_GOC!$F:$F,"Xuất nội bộ từ téc",DATA_GOC!$B:$B,"&gt;="&amp;$D280,DATA_GOC!$B:$B,"&lt;="&amp;$E280))</f>
        <v>0</v>
      </c>
      <c r="J280" s="59">
        <f t="shared" si="28"/>
        <v>0</v>
      </c>
      <c r="K280" s="59">
        <f t="shared" si="29"/>
        <v>0</v>
      </c>
      <c r="L280" s="59">
        <f t="shared" si="30"/>
        <v>0</v>
      </c>
      <c r="M280" s="59">
        <f t="shared" si="31"/>
        <v>0</v>
      </c>
    </row>
    <row r="281" ht="15.0" hidden="1" customHeight="1">
      <c r="A281" s="59">
        <f t="shared" si="20"/>
        <v>1</v>
      </c>
      <c r="B281" s="59" t="str">
        <f t="shared" si="21"/>
        <v>Đã chốt</v>
      </c>
      <c r="C281" s="59" t="str">
        <f t="shared" si="22"/>
        <v>Téc 1</v>
      </c>
      <c r="D281" s="45">
        <f t="shared" si="23"/>
        <v>46132</v>
      </c>
      <c r="E281" s="45">
        <f t="shared" si="24"/>
        <v>46153</v>
      </c>
      <c r="F281" s="132">
        <f t="shared" si="25"/>
        <v>5</v>
      </c>
      <c r="G281" s="132">
        <f t="shared" si="26"/>
        <v>2026</v>
      </c>
      <c r="H281" s="59" t="str">
        <f t="shared" si="27"/>
        <v>Máy phát điện</v>
      </c>
      <c r="I281" s="59">
        <f>IF(OR($A281="",$C281="",$D281="",$E281="",$H281=""),"",SUMIFS(DATA_GOC!$H:$H,DATA_GOC!$A:$A,"BOM",DATA_GOC!$D:$D,$H281,DATA_GOC!$E:$E,$C281,DATA_GOC!$F:$F,"Xuất nội bộ từ téc",DATA_GOC!$B:$B,"&gt;="&amp;$D281,DATA_GOC!$B:$B,"&lt;="&amp;$E281))</f>
        <v>0</v>
      </c>
      <c r="J281" s="59">
        <f t="shared" si="28"/>
        <v>0</v>
      </c>
      <c r="K281" s="59">
        <f t="shared" si="29"/>
        <v>0</v>
      </c>
      <c r="L281" s="59">
        <f t="shared" si="30"/>
        <v>0</v>
      </c>
      <c r="M281" s="59">
        <f t="shared" si="31"/>
        <v>0</v>
      </c>
    </row>
    <row r="282" ht="15.0" hidden="1" customHeight="1">
      <c r="A282" s="59">
        <f t="shared" si="20"/>
        <v>1</v>
      </c>
      <c r="B282" s="59" t="str">
        <f t="shared" si="21"/>
        <v>Đã chốt</v>
      </c>
      <c r="C282" s="59" t="str">
        <f t="shared" si="22"/>
        <v>Téc 1</v>
      </c>
      <c r="D282" s="45">
        <f t="shared" si="23"/>
        <v>46132</v>
      </c>
      <c r="E282" s="45">
        <f t="shared" si="24"/>
        <v>46153</v>
      </c>
      <c r="F282" s="132">
        <f t="shared" si="25"/>
        <v>5</v>
      </c>
      <c r="G282" s="132">
        <f t="shared" si="26"/>
        <v>2026</v>
      </c>
      <c r="H282" s="59" t="str">
        <f t="shared" si="27"/>
        <v>Máy rải thảm</v>
      </c>
      <c r="I282" s="59">
        <f>IF(OR($A282="",$C282="",$D282="",$E282="",$H282=""),"",SUMIFS(DATA_GOC!$H:$H,DATA_GOC!$A:$A,"BOM",DATA_GOC!$D:$D,$H282,DATA_GOC!$E:$E,$C282,DATA_GOC!$F:$F,"Xuất nội bộ từ téc",DATA_GOC!$B:$B,"&gt;="&amp;$D282,DATA_GOC!$B:$B,"&lt;="&amp;$E282))</f>
        <v>0</v>
      </c>
      <c r="J282" s="59">
        <f t="shared" si="28"/>
        <v>0</v>
      </c>
      <c r="K282" s="59">
        <f t="shared" si="29"/>
        <v>0</v>
      </c>
      <c r="L282" s="59">
        <f t="shared" si="30"/>
        <v>0</v>
      </c>
      <c r="M282" s="59">
        <f t="shared" si="31"/>
        <v>0</v>
      </c>
    </row>
    <row r="283" ht="15.0" hidden="1" customHeight="1">
      <c r="A283" s="59">
        <f t="shared" si="20"/>
        <v>1</v>
      </c>
      <c r="B283" s="59" t="str">
        <f t="shared" si="21"/>
        <v>Đã chốt</v>
      </c>
      <c r="C283" s="59" t="str">
        <f t="shared" si="22"/>
        <v>Téc 1</v>
      </c>
      <c r="D283" s="45">
        <f t="shared" si="23"/>
        <v>46132</v>
      </c>
      <c r="E283" s="45">
        <f t="shared" si="24"/>
        <v>46153</v>
      </c>
      <c r="F283" s="132">
        <f t="shared" si="25"/>
        <v>5</v>
      </c>
      <c r="G283" s="132">
        <f t="shared" si="26"/>
        <v>2026</v>
      </c>
      <c r="H283" s="59" t="str">
        <f t="shared" si="27"/>
        <v>Xúc Đào</v>
      </c>
      <c r="I283" s="59">
        <f>IF(OR($A283="",$C283="",$D283="",$E283="",$H283=""),"",SUMIFS(DATA_GOC!$H:$H,DATA_GOC!$A:$A,"BOM",DATA_GOC!$D:$D,$H283,DATA_GOC!$E:$E,$C283,DATA_GOC!$F:$F,"Xuất nội bộ từ téc",DATA_GOC!$B:$B,"&gt;="&amp;$D283,DATA_GOC!$B:$B,"&lt;="&amp;$E283))</f>
        <v>0</v>
      </c>
      <c r="J283" s="59">
        <f t="shared" si="28"/>
        <v>0</v>
      </c>
      <c r="K283" s="59">
        <f t="shared" si="29"/>
        <v>0</v>
      </c>
      <c r="L283" s="59">
        <f t="shared" si="30"/>
        <v>0</v>
      </c>
      <c r="M283" s="59">
        <f t="shared" si="31"/>
        <v>0</v>
      </c>
    </row>
    <row r="284" ht="15.0" hidden="1" customHeight="1">
      <c r="A284" s="59">
        <f t="shared" si="20"/>
        <v>1</v>
      </c>
      <c r="B284" s="59" t="str">
        <f t="shared" si="21"/>
        <v>Đã chốt</v>
      </c>
      <c r="C284" s="59" t="str">
        <f t="shared" si="22"/>
        <v>Téc 1</v>
      </c>
      <c r="D284" s="45">
        <f t="shared" si="23"/>
        <v>46132</v>
      </c>
      <c r="E284" s="45">
        <f t="shared" si="24"/>
        <v>46153</v>
      </c>
      <c r="F284" s="132">
        <f t="shared" si="25"/>
        <v>5</v>
      </c>
      <c r="G284" s="132">
        <f t="shared" si="26"/>
        <v>2026</v>
      </c>
      <c r="H284" s="59" t="str">
        <f t="shared" si="27"/>
        <v>Xúclật asphalt</v>
      </c>
      <c r="I284" s="59">
        <f>IF(OR($A284="",$C284="",$D284="",$E284="",$H284=""),"",SUMIFS(DATA_GOC!$H:$H,DATA_GOC!$A:$A,"BOM",DATA_GOC!$D:$D,$H284,DATA_GOC!$E:$E,$C284,DATA_GOC!$F:$F,"Xuất nội bộ từ téc",DATA_GOC!$B:$B,"&gt;="&amp;$D284,DATA_GOC!$B:$B,"&lt;="&amp;$E284))</f>
        <v>0</v>
      </c>
      <c r="J284" s="59">
        <f t="shared" si="28"/>
        <v>0</v>
      </c>
      <c r="K284" s="59">
        <f t="shared" si="29"/>
        <v>0</v>
      </c>
      <c r="L284" s="59">
        <f t="shared" si="30"/>
        <v>0</v>
      </c>
      <c r="M284" s="59">
        <f t="shared" si="31"/>
        <v>0</v>
      </c>
    </row>
    <row r="285" ht="15.0" hidden="1" customHeight="1">
      <c r="A285" s="59">
        <f t="shared" si="20"/>
        <v>1</v>
      </c>
      <c r="B285" s="59" t="str">
        <f t="shared" si="21"/>
        <v>Đã chốt</v>
      </c>
      <c r="C285" s="59" t="str">
        <f t="shared" si="22"/>
        <v>Téc 1</v>
      </c>
      <c r="D285" s="45">
        <f t="shared" si="23"/>
        <v>46132</v>
      </c>
      <c r="E285" s="45">
        <f t="shared" si="24"/>
        <v>46153</v>
      </c>
      <c r="F285" s="132">
        <f t="shared" si="25"/>
        <v>5</v>
      </c>
      <c r="G285" s="132">
        <f t="shared" si="26"/>
        <v>2026</v>
      </c>
      <c r="H285" s="59" t="str">
        <f t="shared" si="27"/>
        <v>Xúclật855H</v>
      </c>
      <c r="I285" s="59">
        <f>IF(OR($A285="",$C285="",$D285="",$E285="",$H285=""),"",SUMIFS(DATA_GOC!$H:$H,DATA_GOC!$A:$A,"BOM",DATA_GOC!$D:$D,$H285,DATA_GOC!$E:$E,$C285,DATA_GOC!$F:$F,"Xuất nội bộ từ téc",DATA_GOC!$B:$B,"&gt;="&amp;$D285,DATA_GOC!$B:$B,"&lt;="&amp;$E285))</f>
        <v>324</v>
      </c>
      <c r="J285" s="59">
        <f t="shared" si="28"/>
        <v>8.717</v>
      </c>
      <c r="K285" s="59">
        <f t="shared" si="29"/>
        <v>0</v>
      </c>
      <c r="L285" s="59">
        <f t="shared" si="30"/>
        <v>332.717</v>
      </c>
      <c r="M285" s="59">
        <f t="shared" si="31"/>
        <v>0.02349699035</v>
      </c>
    </row>
    <row r="286" ht="15.0" hidden="1" customHeight="1">
      <c r="A286" s="59">
        <f t="shared" si="20"/>
        <v>1</v>
      </c>
      <c r="B286" s="59" t="str">
        <f t="shared" si="21"/>
        <v>Đã chốt</v>
      </c>
      <c r="C286" s="59" t="str">
        <f t="shared" si="22"/>
        <v>Téc 1</v>
      </c>
      <c r="D286" s="45">
        <f t="shared" si="23"/>
        <v>46132</v>
      </c>
      <c r="E286" s="45">
        <f t="shared" si="24"/>
        <v>46153</v>
      </c>
      <c r="F286" s="132">
        <f t="shared" si="25"/>
        <v>5</v>
      </c>
      <c r="G286" s="132">
        <f t="shared" si="26"/>
        <v>2026</v>
      </c>
      <c r="H286" s="59" t="str">
        <f t="shared" si="27"/>
        <v>Xúclật855N</v>
      </c>
      <c r="I286" s="59">
        <f>IF(OR($A286="",$C286="",$D286="",$E286="",$H286=""),"",SUMIFS(DATA_GOC!$H:$H,DATA_GOC!$A:$A,"BOM",DATA_GOC!$D:$D,$H286,DATA_GOC!$E:$E,$C286,DATA_GOC!$F:$F,"Xuất nội bộ từ téc",DATA_GOC!$B:$B,"&gt;="&amp;$D286,DATA_GOC!$B:$B,"&lt;="&amp;$E286))</f>
        <v>320</v>
      </c>
      <c r="J286" s="59">
        <f t="shared" si="28"/>
        <v>8.61</v>
      </c>
      <c r="K286" s="59">
        <f t="shared" si="29"/>
        <v>0</v>
      </c>
      <c r="L286" s="59">
        <f t="shared" si="30"/>
        <v>328.61</v>
      </c>
      <c r="M286" s="59">
        <f t="shared" si="31"/>
        <v>0.02320690405</v>
      </c>
    </row>
    <row r="287" ht="15.0" hidden="1" customHeight="1">
      <c r="A287" s="59">
        <f t="shared" si="20"/>
        <v>1</v>
      </c>
      <c r="B287" s="59" t="str">
        <f t="shared" si="21"/>
        <v>Đã chốt</v>
      </c>
      <c r="C287" s="59" t="str">
        <f t="shared" si="22"/>
        <v>Téc 1</v>
      </c>
      <c r="D287" s="45">
        <f t="shared" si="23"/>
        <v>46132</v>
      </c>
      <c r="E287" s="45">
        <f t="shared" si="24"/>
        <v>46153</v>
      </c>
      <c r="F287" s="132">
        <f t="shared" si="25"/>
        <v>5</v>
      </c>
      <c r="G287" s="132">
        <f t="shared" si="26"/>
        <v>2026</v>
      </c>
      <c r="H287" s="59" t="str">
        <f t="shared" si="27"/>
        <v>Cát nghiền</v>
      </c>
      <c r="I287" s="59">
        <f>IF(OR($A287="",$C287="",$D287="",$E287="",$H287=""),"",SUMIFS(DATA_GOC!$H:$H,DATA_GOC!$A:$A,"BOM",DATA_GOC!$D:$D,$H287,DATA_GOC!$E:$E,$C287,DATA_GOC!$F:$F,"Xuất nội bộ từ téc",DATA_GOC!$B:$B,"&gt;="&amp;$D287,DATA_GOC!$B:$B,"&lt;="&amp;$E287))</f>
        <v>0</v>
      </c>
      <c r="J287" s="59">
        <f t="shared" si="28"/>
        <v>0</v>
      </c>
      <c r="K287" s="59">
        <f t="shared" si="29"/>
        <v>0</v>
      </c>
      <c r="L287" s="59">
        <f t="shared" si="30"/>
        <v>0</v>
      </c>
      <c r="M287" s="59">
        <f t="shared" si="31"/>
        <v>0</v>
      </c>
    </row>
    <row r="288" ht="15.0" hidden="1" customHeight="1">
      <c r="A288" s="59">
        <f t="shared" si="20"/>
        <v>1</v>
      </c>
      <c r="B288" s="59" t="str">
        <f t="shared" si="21"/>
        <v>Đã chốt</v>
      </c>
      <c r="C288" s="59" t="str">
        <f t="shared" si="22"/>
        <v>Téc 1</v>
      </c>
      <c r="D288" s="45">
        <f t="shared" si="23"/>
        <v>46132</v>
      </c>
      <c r="E288" s="45">
        <f t="shared" si="24"/>
        <v>46153</v>
      </c>
      <c r="F288" s="132">
        <f t="shared" si="25"/>
        <v>5</v>
      </c>
      <c r="G288" s="132">
        <f t="shared" si="26"/>
        <v>2026</v>
      </c>
      <c r="H288" s="59" t="str">
        <f t="shared" si="27"/>
        <v>28C02973</v>
      </c>
      <c r="I288" s="59">
        <f>IF(OR($A288="",$C288="",$D288="",$E288="",$H288=""),"",SUMIFS(DATA_GOC!$H:$H,DATA_GOC!$A:$A,"BOM",DATA_GOC!$D:$D,$H288,DATA_GOC!$E:$E,$C288,DATA_GOC!$F:$F,"Xuất nội bộ từ téc",DATA_GOC!$B:$B,"&gt;="&amp;$D288,DATA_GOC!$B:$B,"&lt;="&amp;$E288))</f>
        <v>0</v>
      </c>
      <c r="J288" s="59">
        <f t="shared" si="28"/>
        <v>0</v>
      </c>
      <c r="K288" s="59">
        <f t="shared" si="29"/>
        <v>0</v>
      </c>
      <c r="L288" s="59">
        <f t="shared" si="30"/>
        <v>0</v>
      </c>
      <c r="M288" s="59">
        <f t="shared" si="31"/>
        <v>0</v>
      </c>
    </row>
    <row r="289" ht="15.0" hidden="1" customHeight="1">
      <c r="A289" s="59">
        <f t="shared" si="20"/>
        <v>1</v>
      </c>
      <c r="B289" s="59" t="str">
        <f t="shared" si="21"/>
        <v>Đã chốt</v>
      </c>
      <c r="C289" s="59" t="str">
        <f t="shared" si="22"/>
        <v>Téc 1</v>
      </c>
      <c r="D289" s="45">
        <f t="shared" si="23"/>
        <v>46132</v>
      </c>
      <c r="E289" s="45">
        <f t="shared" si="24"/>
        <v>46153</v>
      </c>
      <c r="F289" s="132">
        <f t="shared" si="25"/>
        <v>5</v>
      </c>
      <c r="G289" s="132">
        <f t="shared" si="26"/>
        <v>2026</v>
      </c>
      <c r="H289" s="59" t="str">
        <f t="shared" si="27"/>
        <v>28C03044</v>
      </c>
      <c r="I289" s="59">
        <f>IF(OR($A289="",$C289="",$D289="",$E289="",$H289=""),"",SUMIFS(DATA_GOC!$H:$H,DATA_GOC!$A:$A,"BOM",DATA_GOC!$D:$D,$H289,DATA_GOC!$E:$E,$C289,DATA_GOC!$F:$F,"Xuất nội bộ từ téc",DATA_GOC!$B:$B,"&gt;="&amp;$D289,DATA_GOC!$B:$B,"&lt;="&amp;$E289))</f>
        <v>0</v>
      </c>
      <c r="J289" s="59">
        <f t="shared" si="28"/>
        <v>0</v>
      </c>
      <c r="K289" s="59">
        <f t="shared" si="29"/>
        <v>0</v>
      </c>
      <c r="L289" s="59">
        <f t="shared" si="30"/>
        <v>0</v>
      </c>
      <c r="M289" s="59">
        <f t="shared" si="31"/>
        <v>0</v>
      </c>
    </row>
    <row r="290" ht="15.0" hidden="1" customHeight="1">
      <c r="A290" s="59">
        <f t="shared" si="20"/>
        <v>1</v>
      </c>
      <c r="B290" s="59" t="str">
        <f t="shared" si="21"/>
        <v>Đã chốt</v>
      </c>
      <c r="C290" s="59" t="str">
        <f t="shared" si="22"/>
        <v>Téc 1</v>
      </c>
      <c r="D290" s="45">
        <f t="shared" si="23"/>
        <v>46132</v>
      </c>
      <c r="E290" s="45">
        <f t="shared" si="24"/>
        <v>46153</v>
      </c>
      <c r="F290" s="132">
        <f t="shared" si="25"/>
        <v>5</v>
      </c>
      <c r="G290" s="132">
        <f t="shared" si="26"/>
        <v>2026</v>
      </c>
      <c r="H290" s="59" t="str">
        <f t="shared" si="27"/>
        <v>Máy lu lốp</v>
      </c>
      <c r="I290" s="59">
        <f>IF(OR($A290="",$C290="",$D290="",$E290="",$H290=""),"",SUMIFS(DATA_GOC!$H:$H,DATA_GOC!$A:$A,"BOM",DATA_GOC!$D:$D,$H290,DATA_GOC!$E:$E,$C290,DATA_GOC!$F:$F,"Xuất nội bộ từ téc",DATA_GOC!$B:$B,"&gt;="&amp;$D290,DATA_GOC!$B:$B,"&lt;="&amp;$E290))</f>
        <v>0</v>
      </c>
      <c r="J290" s="59">
        <f t="shared" si="28"/>
        <v>0</v>
      </c>
      <c r="K290" s="59">
        <f t="shared" si="29"/>
        <v>0</v>
      </c>
      <c r="L290" s="59">
        <f t="shared" si="30"/>
        <v>0</v>
      </c>
      <c r="M290" s="59">
        <f t="shared" si="31"/>
        <v>0</v>
      </c>
    </row>
    <row r="291" ht="15.0" hidden="1" customHeight="1">
      <c r="A291" s="59">
        <f t="shared" si="20"/>
        <v>1</v>
      </c>
      <c r="B291" s="59" t="str">
        <f t="shared" si="21"/>
        <v>Đã chốt</v>
      </c>
      <c r="C291" s="59" t="str">
        <f t="shared" si="22"/>
        <v>Téc 1</v>
      </c>
      <c r="D291" s="45">
        <f t="shared" si="23"/>
        <v>46132</v>
      </c>
      <c r="E291" s="45">
        <f t="shared" si="24"/>
        <v>46153</v>
      </c>
      <c r="F291" s="133">
        <f t="shared" si="25"/>
        <v>5</v>
      </c>
      <c r="G291" s="133">
        <f t="shared" si="26"/>
        <v>2026</v>
      </c>
      <c r="H291" s="59" t="str">
        <f t="shared" si="27"/>
        <v>Xe 600148</v>
      </c>
      <c r="I291" s="59">
        <f>IF(OR($A291="",$C291="",$D291="",$E291="",$H291=""),"",SUMIFS(DATA_GOC!$H:$H,DATA_GOC!$A:$A,"BOM",DATA_GOC!$D:$D,$H291,DATA_GOC!$E:$E,$C291,DATA_GOC!$F:$F,"Xuất nội bộ từ téc",DATA_GOC!$B:$B,"&gt;="&amp;$D291,DATA_GOC!$B:$B,"&lt;="&amp;$E291))</f>
        <v>0</v>
      </c>
      <c r="J291" s="59">
        <f t="shared" si="28"/>
        <v>0</v>
      </c>
      <c r="K291" s="59">
        <f t="shared" si="29"/>
        <v>0</v>
      </c>
      <c r="L291" s="59">
        <f t="shared" si="30"/>
        <v>0</v>
      </c>
      <c r="M291" s="59">
        <f t="shared" si="31"/>
        <v>0</v>
      </c>
    </row>
    <row r="292" ht="15.0" hidden="1" customHeight="1">
      <c r="A292" s="59">
        <f t="shared" si="20"/>
        <v>1</v>
      </c>
      <c r="B292" s="59" t="str">
        <f t="shared" si="21"/>
        <v>Đã chốt</v>
      </c>
      <c r="C292" s="59" t="str">
        <f t="shared" si="22"/>
        <v>Téc 1</v>
      </c>
      <c r="D292" s="45">
        <f t="shared" si="23"/>
        <v>46132</v>
      </c>
      <c r="E292" s="45">
        <f t="shared" si="24"/>
        <v>46153</v>
      </c>
      <c r="F292" s="133">
        <f t="shared" si="25"/>
        <v>5</v>
      </c>
      <c r="G292" s="133">
        <f t="shared" si="26"/>
        <v>2026</v>
      </c>
      <c r="H292" s="59" t="str">
        <f t="shared" si="27"/>
        <v>Xe ben mới</v>
      </c>
      <c r="I292" s="59">
        <f>IF(OR($A292="",$C292="",$D292="",$E292="",$H292=""),"",SUMIFS(DATA_GOC!$H:$H,DATA_GOC!$A:$A,"BOM",DATA_GOC!$D:$D,$H292,DATA_GOC!$E:$E,$C292,DATA_GOC!$F:$F,"Xuất nội bộ từ téc",DATA_GOC!$B:$B,"&gt;="&amp;$D292,DATA_GOC!$B:$B,"&lt;="&amp;$E292))</f>
        <v>0</v>
      </c>
      <c r="J292" s="59">
        <f t="shared" si="28"/>
        <v>0</v>
      </c>
      <c r="K292" s="59">
        <f t="shared" si="29"/>
        <v>0</v>
      </c>
      <c r="L292" s="59">
        <f t="shared" si="30"/>
        <v>0</v>
      </c>
      <c r="M292" s="59">
        <f t="shared" si="31"/>
        <v>0</v>
      </c>
    </row>
    <row r="293" ht="15.0" hidden="1" customHeight="1">
      <c r="A293" s="59">
        <f t="shared" si="20"/>
        <v>2</v>
      </c>
      <c r="B293" s="59" t="str">
        <f t="shared" si="21"/>
        <v>Đã chốt</v>
      </c>
      <c r="C293" s="59" t="str">
        <f t="shared" si="22"/>
        <v>Téc 1</v>
      </c>
      <c r="D293" s="45">
        <f t="shared" si="23"/>
        <v>46082</v>
      </c>
      <c r="E293" s="45">
        <f t="shared" si="24"/>
        <v>46121</v>
      </c>
      <c r="F293" s="133">
        <f t="shared" si="25"/>
        <v>4</v>
      </c>
      <c r="G293" s="133">
        <f t="shared" si="26"/>
        <v>2026</v>
      </c>
      <c r="H293" s="59" t="str">
        <f t="shared" si="27"/>
        <v>19H09482</v>
      </c>
      <c r="I293" s="59">
        <f>IF(OR($A293="",$C293="",$D293="",$E293="",$H293=""),"",SUMIFS(DATA_GOC!$H:$H,DATA_GOC!$A:$A,"BOM",DATA_GOC!$D:$D,$H293,DATA_GOC!$E:$E,$C293,DATA_GOC!$F:$F,"Xuất nội bộ từ téc",DATA_GOC!$B:$B,"&gt;="&amp;$D293,DATA_GOC!$B:$B,"&lt;="&amp;$E293))</f>
        <v>470</v>
      </c>
      <c r="J293" s="59">
        <f t="shared" si="28"/>
        <v>3.52</v>
      </c>
      <c r="K293" s="59">
        <f t="shared" si="29"/>
        <v>0</v>
      </c>
      <c r="L293" s="59">
        <f t="shared" si="30"/>
        <v>473.52</v>
      </c>
      <c r="M293" s="59">
        <f t="shared" si="31"/>
        <v>0.05414746544</v>
      </c>
    </row>
    <row r="294" ht="15.0" hidden="1" customHeight="1">
      <c r="A294" s="59">
        <f t="shared" si="20"/>
        <v>2</v>
      </c>
      <c r="B294" s="59" t="str">
        <f t="shared" si="21"/>
        <v>Đã chốt</v>
      </c>
      <c r="C294" s="59" t="str">
        <f t="shared" si="22"/>
        <v>Téc 1</v>
      </c>
      <c r="D294" s="45">
        <f t="shared" si="23"/>
        <v>46082</v>
      </c>
      <c r="E294" s="45">
        <f t="shared" si="24"/>
        <v>46121</v>
      </c>
      <c r="F294" s="133">
        <f t="shared" si="25"/>
        <v>4</v>
      </c>
      <c r="G294" s="133">
        <f t="shared" si="26"/>
        <v>2026</v>
      </c>
      <c r="H294" s="59" t="str">
        <f t="shared" si="27"/>
        <v>28A30696</v>
      </c>
      <c r="I294" s="59">
        <f>IF(OR($A294="",$C294="",$D294="",$E294="",$H294=""),"",SUMIFS(DATA_GOC!$H:$H,DATA_GOC!$A:$A,"BOM",DATA_GOC!$D:$D,$H294,DATA_GOC!$E:$E,$C294,DATA_GOC!$F:$F,"Xuất nội bộ từ téc",DATA_GOC!$B:$B,"&gt;="&amp;$D294,DATA_GOC!$B:$B,"&lt;="&amp;$E294))</f>
        <v>50</v>
      </c>
      <c r="J294" s="59">
        <f t="shared" si="28"/>
        <v>0.374</v>
      </c>
      <c r="K294" s="59">
        <f t="shared" si="29"/>
        <v>0</v>
      </c>
      <c r="L294" s="59">
        <f t="shared" si="30"/>
        <v>50.374</v>
      </c>
      <c r="M294" s="59">
        <f t="shared" si="31"/>
        <v>0.005760368664</v>
      </c>
    </row>
    <row r="295" ht="15.0" hidden="1" customHeight="1">
      <c r="A295" s="59">
        <f t="shared" si="20"/>
        <v>2</v>
      </c>
      <c r="B295" s="59" t="str">
        <f t="shared" si="21"/>
        <v>Đã chốt</v>
      </c>
      <c r="C295" s="59" t="str">
        <f t="shared" si="22"/>
        <v>Téc 1</v>
      </c>
      <c r="D295" s="45">
        <f t="shared" si="23"/>
        <v>46082</v>
      </c>
      <c r="E295" s="45">
        <f t="shared" si="24"/>
        <v>46121</v>
      </c>
      <c r="F295" s="133">
        <f t="shared" si="25"/>
        <v>4</v>
      </c>
      <c r="G295" s="133">
        <f t="shared" si="26"/>
        <v>2026</v>
      </c>
      <c r="H295" s="59" t="str">
        <f t="shared" si="27"/>
        <v>28C00462</v>
      </c>
      <c r="I295" s="59">
        <f>IF(OR($A295="",$C295="",$D295="",$E295="",$H295=""),"",SUMIFS(DATA_GOC!$H:$H,DATA_GOC!$A:$A,"BOM",DATA_GOC!$D:$D,$H295,DATA_GOC!$E:$E,$C295,DATA_GOC!$F:$F,"Xuất nội bộ từ téc",DATA_GOC!$B:$B,"&gt;="&amp;$D295,DATA_GOC!$B:$B,"&lt;="&amp;$E295))</f>
        <v>504</v>
      </c>
      <c r="J295" s="59">
        <f t="shared" si="28"/>
        <v>3.774</v>
      </c>
      <c r="K295" s="59">
        <f t="shared" si="29"/>
        <v>0</v>
      </c>
      <c r="L295" s="59">
        <f t="shared" si="30"/>
        <v>507.774</v>
      </c>
      <c r="M295" s="59">
        <f t="shared" si="31"/>
        <v>0.05806451613</v>
      </c>
    </row>
    <row r="296" ht="15.0" hidden="1" customHeight="1">
      <c r="A296" s="59">
        <f t="shared" si="20"/>
        <v>2</v>
      </c>
      <c r="B296" s="59" t="str">
        <f t="shared" si="21"/>
        <v>Đã chốt</v>
      </c>
      <c r="C296" s="59" t="str">
        <f t="shared" si="22"/>
        <v>Téc 1</v>
      </c>
      <c r="D296" s="45">
        <f t="shared" si="23"/>
        <v>46082</v>
      </c>
      <c r="E296" s="45">
        <f t="shared" si="24"/>
        <v>46121</v>
      </c>
      <c r="F296" s="133">
        <f t="shared" si="25"/>
        <v>4</v>
      </c>
      <c r="G296" s="133">
        <f t="shared" si="26"/>
        <v>2026</v>
      </c>
      <c r="H296" s="59" t="str">
        <f t="shared" si="27"/>
        <v>28C01165</v>
      </c>
      <c r="I296" s="59">
        <f>IF(OR($A296="",$C296="",$D296="",$E296="",$H296=""),"",SUMIFS(DATA_GOC!$H:$H,DATA_GOC!$A:$A,"BOM",DATA_GOC!$D:$D,$H296,DATA_GOC!$E:$E,$C296,DATA_GOC!$F:$F,"Xuất nội bộ từ téc",DATA_GOC!$B:$B,"&gt;="&amp;$D296,DATA_GOC!$B:$B,"&lt;="&amp;$E296))</f>
        <v>163</v>
      </c>
      <c r="J296" s="59">
        <f t="shared" si="28"/>
        <v>1.221</v>
      </c>
      <c r="K296" s="59">
        <f t="shared" si="29"/>
        <v>0</v>
      </c>
      <c r="L296" s="59">
        <f t="shared" si="30"/>
        <v>164.221</v>
      </c>
      <c r="M296" s="59">
        <f t="shared" si="31"/>
        <v>0.01877880184</v>
      </c>
    </row>
    <row r="297" ht="15.0" hidden="1" customHeight="1">
      <c r="A297" s="59">
        <f t="shared" si="20"/>
        <v>2</v>
      </c>
      <c r="B297" s="59" t="str">
        <f t="shared" si="21"/>
        <v>Đã chốt</v>
      </c>
      <c r="C297" s="59" t="str">
        <f t="shared" si="22"/>
        <v>Téc 1</v>
      </c>
      <c r="D297" s="45">
        <f t="shared" si="23"/>
        <v>46082</v>
      </c>
      <c r="E297" s="45">
        <f t="shared" si="24"/>
        <v>46121</v>
      </c>
      <c r="F297" s="133">
        <f t="shared" si="25"/>
        <v>4</v>
      </c>
      <c r="G297" s="133">
        <f t="shared" si="26"/>
        <v>2026</v>
      </c>
      <c r="H297" s="59" t="str">
        <f t="shared" si="27"/>
        <v>28C01406</v>
      </c>
      <c r="I297" s="59">
        <f>IF(OR($A297="",$C297="",$D297="",$E297="",$H297=""),"",SUMIFS(DATA_GOC!$H:$H,DATA_GOC!$A:$A,"BOM",DATA_GOC!$D:$D,$H297,DATA_GOC!$E:$E,$C297,DATA_GOC!$F:$F,"Xuất nội bộ từ téc",DATA_GOC!$B:$B,"&gt;="&amp;$D297,DATA_GOC!$B:$B,"&lt;="&amp;$E297))</f>
        <v>0</v>
      </c>
      <c r="J297" s="59">
        <f t="shared" si="28"/>
        <v>0</v>
      </c>
      <c r="K297" s="59">
        <f t="shared" si="29"/>
        <v>0</v>
      </c>
      <c r="L297" s="59">
        <f t="shared" si="30"/>
        <v>0</v>
      </c>
      <c r="M297" s="59">
        <f t="shared" si="31"/>
        <v>0</v>
      </c>
    </row>
    <row r="298" ht="15.0" hidden="1" customHeight="1">
      <c r="A298" s="59">
        <f t="shared" si="20"/>
        <v>2</v>
      </c>
      <c r="B298" s="59" t="str">
        <f t="shared" si="21"/>
        <v>Đã chốt</v>
      </c>
      <c r="C298" s="59" t="str">
        <f t="shared" si="22"/>
        <v>Téc 1</v>
      </c>
      <c r="D298" s="45">
        <f t="shared" si="23"/>
        <v>46082</v>
      </c>
      <c r="E298" s="45">
        <f t="shared" si="24"/>
        <v>46121</v>
      </c>
      <c r="F298" s="133">
        <f t="shared" si="25"/>
        <v>4</v>
      </c>
      <c r="G298" s="133">
        <f t="shared" si="26"/>
        <v>2026</v>
      </c>
      <c r="H298" s="59" t="str">
        <f t="shared" si="27"/>
        <v>28C01544</v>
      </c>
      <c r="I298" s="59">
        <f>IF(OR($A298="",$C298="",$D298="",$E298="",$H298=""),"",SUMIFS(DATA_GOC!$H:$H,DATA_GOC!$A:$A,"BOM",DATA_GOC!$D:$D,$H298,DATA_GOC!$E:$E,$C298,DATA_GOC!$F:$F,"Xuất nội bộ từ téc",DATA_GOC!$B:$B,"&gt;="&amp;$D298,DATA_GOC!$B:$B,"&lt;="&amp;$E298))</f>
        <v>0</v>
      </c>
      <c r="J298" s="59">
        <f t="shared" si="28"/>
        <v>0</v>
      </c>
      <c r="K298" s="59">
        <f t="shared" si="29"/>
        <v>0</v>
      </c>
      <c r="L298" s="59">
        <f t="shared" si="30"/>
        <v>0</v>
      </c>
      <c r="M298" s="59">
        <f t="shared" si="31"/>
        <v>0</v>
      </c>
    </row>
    <row r="299" ht="15.0" hidden="1" customHeight="1">
      <c r="A299" s="59">
        <f t="shared" si="20"/>
        <v>2</v>
      </c>
      <c r="B299" s="59" t="str">
        <f t="shared" si="21"/>
        <v>Đã chốt</v>
      </c>
      <c r="C299" s="59" t="str">
        <f t="shared" si="22"/>
        <v>Téc 1</v>
      </c>
      <c r="D299" s="45">
        <f t="shared" si="23"/>
        <v>46082</v>
      </c>
      <c r="E299" s="45">
        <f t="shared" si="24"/>
        <v>46121</v>
      </c>
      <c r="F299" s="133">
        <f t="shared" si="25"/>
        <v>4</v>
      </c>
      <c r="G299" s="133">
        <f t="shared" si="26"/>
        <v>2026</v>
      </c>
      <c r="H299" s="59" t="str">
        <f t="shared" si="27"/>
        <v>28C01622</v>
      </c>
      <c r="I299" s="59">
        <f>IF(OR($A299="",$C299="",$D299="",$E299="",$H299=""),"",SUMIFS(DATA_GOC!$H:$H,DATA_GOC!$A:$A,"BOM",DATA_GOC!$D:$D,$H299,DATA_GOC!$E:$E,$C299,DATA_GOC!$F:$F,"Xuất nội bộ từ téc",DATA_GOC!$B:$B,"&gt;="&amp;$D299,DATA_GOC!$B:$B,"&lt;="&amp;$E299))</f>
        <v>535</v>
      </c>
      <c r="J299" s="59">
        <f t="shared" si="28"/>
        <v>4.006</v>
      </c>
      <c r="K299" s="59">
        <f t="shared" si="29"/>
        <v>0</v>
      </c>
      <c r="L299" s="59">
        <f t="shared" si="30"/>
        <v>539.006</v>
      </c>
      <c r="M299" s="59">
        <f t="shared" si="31"/>
        <v>0.0616359447</v>
      </c>
    </row>
    <row r="300" ht="15.0" hidden="1" customHeight="1">
      <c r="A300" s="59">
        <f t="shared" si="20"/>
        <v>2</v>
      </c>
      <c r="B300" s="59" t="str">
        <f t="shared" si="21"/>
        <v>Đã chốt</v>
      </c>
      <c r="C300" s="59" t="str">
        <f t="shared" si="22"/>
        <v>Téc 1</v>
      </c>
      <c r="D300" s="45">
        <f t="shared" si="23"/>
        <v>46082</v>
      </c>
      <c r="E300" s="45">
        <f t="shared" si="24"/>
        <v>46121</v>
      </c>
      <c r="F300" s="133">
        <f t="shared" si="25"/>
        <v>4</v>
      </c>
      <c r="G300" s="133">
        <f t="shared" si="26"/>
        <v>2026</v>
      </c>
      <c r="H300" s="59" t="str">
        <f t="shared" si="27"/>
        <v>28C01647</v>
      </c>
      <c r="I300" s="59">
        <f>IF(OR($A300="",$C300="",$D300="",$E300="",$H300=""),"",SUMIFS(DATA_GOC!$H:$H,DATA_GOC!$A:$A,"BOM",DATA_GOC!$D:$D,$H300,DATA_GOC!$E:$E,$C300,DATA_GOC!$F:$F,"Xuất nội bộ từ téc",DATA_GOC!$B:$B,"&gt;="&amp;$D300,DATA_GOC!$B:$B,"&lt;="&amp;$E300))</f>
        <v>440</v>
      </c>
      <c r="J300" s="59">
        <f t="shared" si="28"/>
        <v>3.295</v>
      </c>
      <c r="K300" s="59">
        <f t="shared" si="29"/>
        <v>0</v>
      </c>
      <c r="L300" s="59">
        <f t="shared" si="30"/>
        <v>443.295</v>
      </c>
      <c r="M300" s="59">
        <f t="shared" si="31"/>
        <v>0.05069124424</v>
      </c>
    </row>
    <row r="301" ht="15.0" hidden="1" customHeight="1">
      <c r="A301" s="59">
        <f t="shared" si="20"/>
        <v>2</v>
      </c>
      <c r="B301" s="59" t="str">
        <f t="shared" si="21"/>
        <v>Đã chốt</v>
      </c>
      <c r="C301" s="59" t="str">
        <f t="shared" si="22"/>
        <v>Téc 1</v>
      </c>
      <c r="D301" s="45">
        <f t="shared" si="23"/>
        <v>46082</v>
      </c>
      <c r="E301" s="45">
        <f t="shared" si="24"/>
        <v>46121</v>
      </c>
      <c r="F301" s="133">
        <f t="shared" si="25"/>
        <v>4</v>
      </c>
      <c r="G301" s="133">
        <f t="shared" si="26"/>
        <v>2026</v>
      </c>
      <c r="H301" s="59" t="str">
        <f t="shared" si="27"/>
        <v>28C01731</v>
      </c>
      <c r="I301" s="59">
        <f>IF(OR($A301="",$C301="",$D301="",$E301="",$H301=""),"",SUMIFS(DATA_GOC!$H:$H,DATA_GOC!$A:$A,"BOM",DATA_GOC!$D:$D,$H301,DATA_GOC!$E:$E,$C301,DATA_GOC!$F:$F,"Xuất nội bộ từ téc",DATA_GOC!$B:$B,"&gt;="&amp;$D301,DATA_GOC!$B:$B,"&lt;="&amp;$E301))</f>
        <v>134</v>
      </c>
      <c r="J301" s="59">
        <f t="shared" si="28"/>
        <v>1.003</v>
      </c>
      <c r="K301" s="59">
        <f t="shared" si="29"/>
        <v>0</v>
      </c>
      <c r="L301" s="59">
        <f t="shared" si="30"/>
        <v>135.003</v>
      </c>
      <c r="M301" s="59">
        <f t="shared" si="31"/>
        <v>0.01543778802</v>
      </c>
    </row>
    <row r="302" ht="15.0" hidden="1" customHeight="1">
      <c r="A302" s="59">
        <f t="shared" si="20"/>
        <v>2</v>
      </c>
      <c r="B302" s="59" t="str">
        <f t="shared" si="21"/>
        <v>Đã chốt</v>
      </c>
      <c r="C302" s="59" t="str">
        <f t="shared" si="22"/>
        <v>Téc 1</v>
      </c>
      <c r="D302" s="45">
        <f t="shared" si="23"/>
        <v>46082</v>
      </c>
      <c r="E302" s="45">
        <f t="shared" si="24"/>
        <v>46121</v>
      </c>
      <c r="F302" s="133">
        <f t="shared" si="25"/>
        <v>4</v>
      </c>
      <c r="G302" s="133">
        <f t="shared" si="26"/>
        <v>2026</v>
      </c>
      <c r="H302" s="59" t="str">
        <f t="shared" si="27"/>
        <v>28C01743</v>
      </c>
      <c r="I302" s="59">
        <f>IF(OR($A302="",$C302="",$D302="",$E302="",$H302=""),"",SUMIFS(DATA_GOC!$H:$H,DATA_GOC!$A:$A,"BOM",DATA_GOC!$D:$D,$H302,DATA_GOC!$E:$E,$C302,DATA_GOC!$F:$F,"Xuất nội bộ từ téc",DATA_GOC!$B:$B,"&gt;="&amp;$D302,DATA_GOC!$B:$B,"&lt;="&amp;$E302))</f>
        <v>156</v>
      </c>
      <c r="J302" s="59">
        <f t="shared" si="28"/>
        <v>1.168</v>
      </c>
      <c r="K302" s="59">
        <f t="shared" si="29"/>
        <v>0</v>
      </c>
      <c r="L302" s="59">
        <f t="shared" si="30"/>
        <v>157.168</v>
      </c>
      <c r="M302" s="59">
        <f t="shared" si="31"/>
        <v>0.01797235023</v>
      </c>
    </row>
    <row r="303" ht="15.0" hidden="1" customHeight="1">
      <c r="A303" s="59">
        <f t="shared" si="20"/>
        <v>2</v>
      </c>
      <c r="B303" s="59" t="str">
        <f t="shared" si="21"/>
        <v>Đã chốt</v>
      </c>
      <c r="C303" s="59" t="str">
        <f t="shared" si="22"/>
        <v>Téc 1</v>
      </c>
      <c r="D303" s="45">
        <f t="shared" si="23"/>
        <v>46082</v>
      </c>
      <c r="E303" s="45">
        <f t="shared" si="24"/>
        <v>46121</v>
      </c>
      <c r="F303" s="133">
        <f t="shared" si="25"/>
        <v>4</v>
      </c>
      <c r="G303" s="133">
        <f t="shared" si="26"/>
        <v>2026</v>
      </c>
      <c r="H303" s="59" t="str">
        <f t="shared" si="27"/>
        <v>28C02106</v>
      </c>
      <c r="I303" s="59">
        <f>IF(OR($A303="",$C303="",$D303="",$E303="",$H303=""),"",SUMIFS(DATA_GOC!$H:$H,DATA_GOC!$A:$A,"BOM",DATA_GOC!$D:$D,$H303,DATA_GOC!$E:$E,$C303,DATA_GOC!$F:$F,"Xuất nội bộ từ téc",DATA_GOC!$B:$B,"&gt;="&amp;$D303,DATA_GOC!$B:$B,"&lt;="&amp;$E303))</f>
        <v>0</v>
      </c>
      <c r="J303" s="59">
        <f t="shared" si="28"/>
        <v>0</v>
      </c>
      <c r="K303" s="59">
        <f t="shared" si="29"/>
        <v>0</v>
      </c>
      <c r="L303" s="59">
        <f t="shared" si="30"/>
        <v>0</v>
      </c>
      <c r="M303" s="59">
        <f t="shared" si="31"/>
        <v>0</v>
      </c>
    </row>
    <row r="304" ht="15.0" hidden="1" customHeight="1">
      <c r="A304" s="59">
        <f t="shared" si="20"/>
        <v>2</v>
      </c>
      <c r="B304" s="59" t="str">
        <f t="shared" si="21"/>
        <v>Đã chốt</v>
      </c>
      <c r="C304" s="59" t="str">
        <f t="shared" si="22"/>
        <v>Téc 1</v>
      </c>
      <c r="D304" s="45">
        <f t="shared" si="23"/>
        <v>46082</v>
      </c>
      <c r="E304" s="45">
        <f t="shared" si="24"/>
        <v>46121</v>
      </c>
      <c r="F304" s="133">
        <f t="shared" si="25"/>
        <v>4</v>
      </c>
      <c r="G304" s="133">
        <f t="shared" si="26"/>
        <v>2026</v>
      </c>
      <c r="H304" s="59" t="str">
        <f t="shared" si="27"/>
        <v>28C02410</v>
      </c>
      <c r="I304" s="59">
        <f>IF(OR($A304="",$C304="",$D304="",$E304="",$H304=""),"",SUMIFS(DATA_GOC!$H:$H,DATA_GOC!$A:$A,"BOM",DATA_GOC!$D:$D,$H304,DATA_GOC!$E:$E,$C304,DATA_GOC!$F:$F,"Xuất nội bộ từ téc",DATA_GOC!$B:$B,"&gt;="&amp;$D304,DATA_GOC!$B:$B,"&lt;="&amp;$E304))</f>
        <v>0</v>
      </c>
      <c r="J304" s="59">
        <f t="shared" si="28"/>
        <v>0</v>
      </c>
      <c r="K304" s="59">
        <f t="shared" si="29"/>
        <v>0</v>
      </c>
      <c r="L304" s="59">
        <f t="shared" si="30"/>
        <v>0</v>
      </c>
      <c r="M304" s="59">
        <f t="shared" si="31"/>
        <v>0</v>
      </c>
    </row>
    <row r="305" ht="15.0" hidden="1" customHeight="1">
      <c r="A305" s="59">
        <f t="shared" si="20"/>
        <v>2</v>
      </c>
      <c r="B305" s="59" t="str">
        <f t="shared" si="21"/>
        <v>Đã chốt</v>
      </c>
      <c r="C305" s="59" t="str">
        <f t="shared" si="22"/>
        <v>Téc 1</v>
      </c>
      <c r="D305" s="45">
        <f t="shared" si="23"/>
        <v>46082</v>
      </c>
      <c r="E305" s="45">
        <f t="shared" si="24"/>
        <v>46121</v>
      </c>
      <c r="F305" s="133">
        <f t="shared" si="25"/>
        <v>4</v>
      </c>
      <c r="G305" s="133">
        <f t="shared" si="26"/>
        <v>2026</v>
      </c>
      <c r="H305" s="59" t="str">
        <f t="shared" si="27"/>
        <v>28C02545</v>
      </c>
      <c r="I305" s="59">
        <f>IF(OR($A305="",$C305="",$D305="",$E305="",$H305=""),"",SUMIFS(DATA_GOC!$H:$H,DATA_GOC!$A:$A,"BOM",DATA_GOC!$D:$D,$H305,DATA_GOC!$E:$E,$C305,DATA_GOC!$F:$F,"Xuất nội bộ từ téc",DATA_GOC!$B:$B,"&gt;="&amp;$D305,DATA_GOC!$B:$B,"&lt;="&amp;$E305))</f>
        <v>182</v>
      </c>
      <c r="J305" s="59">
        <f t="shared" si="28"/>
        <v>1.363</v>
      </c>
      <c r="K305" s="59">
        <f t="shared" si="29"/>
        <v>0</v>
      </c>
      <c r="L305" s="59">
        <f t="shared" si="30"/>
        <v>183.363</v>
      </c>
      <c r="M305" s="59">
        <f t="shared" si="31"/>
        <v>0.02096774194</v>
      </c>
    </row>
    <row r="306" ht="15.0" hidden="1" customHeight="1">
      <c r="A306" s="59">
        <f t="shared" si="20"/>
        <v>2</v>
      </c>
      <c r="B306" s="59" t="str">
        <f t="shared" si="21"/>
        <v>Đã chốt</v>
      </c>
      <c r="C306" s="59" t="str">
        <f t="shared" si="22"/>
        <v>Téc 1</v>
      </c>
      <c r="D306" s="45">
        <f t="shared" si="23"/>
        <v>46082</v>
      </c>
      <c r="E306" s="45">
        <f t="shared" si="24"/>
        <v>46121</v>
      </c>
      <c r="F306" s="133">
        <f t="shared" si="25"/>
        <v>4</v>
      </c>
      <c r="G306" s="133">
        <f t="shared" si="26"/>
        <v>2026</v>
      </c>
      <c r="H306" s="59" t="str">
        <f t="shared" si="27"/>
        <v>28C02574</v>
      </c>
      <c r="I306" s="59">
        <f>IF(OR($A306="",$C306="",$D306="",$E306="",$H306=""),"",SUMIFS(DATA_GOC!$H:$H,DATA_GOC!$A:$A,"BOM",DATA_GOC!$D:$D,$H306,DATA_GOC!$E:$E,$C306,DATA_GOC!$F:$F,"Xuất nội bộ từ téc",DATA_GOC!$B:$B,"&gt;="&amp;$D306,DATA_GOC!$B:$B,"&lt;="&amp;$E306))</f>
        <v>0</v>
      </c>
      <c r="J306" s="59">
        <f t="shared" si="28"/>
        <v>0</v>
      </c>
      <c r="K306" s="59">
        <f t="shared" si="29"/>
        <v>0</v>
      </c>
      <c r="L306" s="59">
        <f t="shared" si="30"/>
        <v>0</v>
      </c>
      <c r="M306" s="59">
        <f t="shared" si="31"/>
        <v>0</v>
      </c>
    </row>
    <row r="307" ht="15.0" hidden="1" customHeight="1">
      <c r="A307" s="59">
        <f t="shared" si="20"/>
        <v>2</v>
      </c>
      <c r="B307" s="59" t="str">
        <f t="shared" si="21"/>
        <v>Đã chốt</v>
      </c>
      <c r="C307" s="59" t="str">
        <f t="shared" si="22"/>
        <v>Téc 1</v>
      </c>
      <c r="D307" s="45">
        <f t="shared" si="23"/>
        <v>46082</v>
      </c>
      <c r="E307" s="45">
        <f t="shared" si="24"/>
        <v>46121</v>
      </c>
      <c r="F307" s="133">
        <f t="shared" si="25"/>
        <v>4</v>
      </c>
      <c r="G307" s="133">
        <f t="shared" si="26"/>
        <v>2026</v>
      </c>
      <c r="H307" s="59" t="str">
        <f t="shared" si="27"/>
        <v>28C02770</v>
      </c>
      <c r="I307" s="59">
        <f>IF(OR($A307="",$C307="",$D307="",$E307="",$H307=""),"",SUMIFS(DATA_GOC!$H:$H,DATA_GOC!$A:$A,"BOM",DATA_GOC!$D:$D,$H307,DATA_GOC!$E:$E,$C307,DATA_GOC!$F:$F,"Xuất nội bộ từ téc",DATA_GOC!$B:$B,"&gt;="&amp;$D307,DATA_GOC!$B:$B,"&lt;="&amp;$E307))</f>
        <v>120</v>
      </c>
      <c r="J307" s="59">
        <f t="shared" si="28"/>
        <v>0.899</v>
      </c>
      <c r="K307" s="59">
        <f t="shared" si="29"/>
        <v>0</v>
      </c>
      <c r="L307" s="59">
        <f t="shared" si="30"/>
        <v>120.899</v>
      </c>
      <c r="M307" s="59">
        <f t="shared" si="31"/>
        <v>0.01382488479</v>
      </c>
    </row>
    <row r="308" ht="15.0" hidden="1" customHeight="1">
      <c r="A308" s="59">
        <f t="shared" si="20"/>
        <v>2</v>
      </c>
      <c r="B308" s="59" t="str">
        <f t="shared" si="21"/>
        <v>Đã chốt</v>
      </c>
      <c r="C308" s="59" t="str">
        <f t="shared" si="22"/>
        <v>Téc 1</v>
      </c>
      <c r="D308" s="45">
        <f t="shared" si="23"/>
        <v>46082</v>
      </c>
      <c r="E308" s="45">
        <f t="shared" si="24"/>
        <v>46121</v>
      </c>
      <c r="F308" s="133">
        <f t="shared" si="25"/>
        <v>4</v>
      </c>
      <c r="G308" s="133">
        <f t="shared" si="26"/>
        <v>2026</v>
      </c>
      <c r="H308" s="59" t="str">
        <f t="shared" si="27"/>
        <v>28C02986</v>
      </c>
      <c r="I308" s="59">
        <f>IF(OR($A308="",$C308="",$D308="",$E308="",$H308=""),"",SUMIFS(DATA_GOC!$H:$H,DATA_GOC!$A:$A,"BOM",DATA_GOC!$D:$D,$H308,DATA_GOC!$E:$E,$C308,DATA_GOC!$F:$F,"Xuất nội bộ từ téc",DATA_GOC!$B:$B,"&gt;="&amp;$D308,DATA_GOC!$B:$B,"&lt;="&amp;$E308))</f>
        <v>330</v>
      </c>
      <c r="J308" s="59">
        <f t="shared" si="28"/>
        <v>2.471</v>
      </c>
      <c r="K308" s="59">
        <f t="shared" si="29"/>
        <v>0</v>
      </c>
      <c r="L308" s="59">
        <f t="shared" si="30"/>
        <v>332.471</v>
      </c>
      <c r="M308" s="59">
        <f t="shared" si="31"/>
        <v>0.03801843318</v>
      </c>
    </row>
    <row r="309" ht="15.0" hidden="1" customHeight="1">
      <c r="A309" s="59">
        <f t="shared" si="20"/>
        <v>2</v>
      </c>
      <c r="B309" s="59" t="str">
        <f t="shared" si="21"/>
        <v>Đã chốt</v>
      </c>
      <c r="C309" s="59" t="str">
        <f t="shared" si="22"/>
        <v>Téc 1</v>
      </c>
      <c r="D309" s="45">
        <f t="shared" si="23"/>
        <v>46082</v>
      </c>
      <c r="E309" s="45">
        <f t="shared" si="24"/>
        <v>46121</v>
      </c>
      <c r="F309" s="133">
        <f t="shared" si="25"/>
        <v>4</v>
      </c>
      <c r="G309" s="133">
        <f t="shared" si="26"/>
        <v>2026</v>
      </c>
      <c r="H309" s="59" t="str">
        <f t="shared" si="27"/>
        <v>28C03261</v>
      </c>
      <c r="I309" s="59">
        <f>IF(OR($A309="",$C309="",$D309="",$E309="",$H309=""),"",SUMIFS(DATA_GOC!$H:$H,DATA_GOC!$A:$A,"BOM",DATA_GOC!$D:$D,$H309,DATA_GOC!$E:$E,$C309,DATA_GOC!$F:$F,"Xuất nội bộ từ téc",DATA_GOC!$B:$B,"&gt;="&amp;$D309,DATA_GOC!$B:$B,"&lt;="&amp;$E309))</f>
        <v>240</v>
      </c>
      <c r="J309" s="59">
        <f t="shared" si="28"/>
        <v>1.797</v>
      </c>
      <c r="K309" s="59">
        <f t="shared" si="29"/>
        <v>0</v>
      </c>
      <c r="L309" s="59">
        <f t="shared" si="30"/>
        <v>241.797</v>
      </c>
      <c r="M309" s="59">
        <f t="shared" si="31"/>
        <v>0.02764976959</v>
      </c>
    </row>
    <row r="310" ht="15.0" hidden="1" customHeight="1">
      <c r="A310" s="59">
        <f t="shared" si="20"/>
        <v>2</v>
      </c>
      <c r="B310" s="59" t="str">
        <f t="shared" si="21"/>
        <v>Đã chốt</v>
      </c>
      <c r="C310" s="59" t="str">
        <f t="shared" si="22"/>
        <v>Téc 1</v>
      </c>
      <c r="D310" s="45">
        <f t="shared" si="23"/>
        <v>46082</v>
      </c>
      <c r="E310" s="45">
        <f t="shared" si="24"/>
        <v>46121</v>
      </c>
      <c r="F310" s="133">
        <f t="shared" si="25"/>
        <v>4</v>
      </c>
      <c r="G310" s="133">
        <f t="shared" si="26"/>
        <v>2026</v>
      </c>
      <c r="H310" s="59" t="str">
        <f t="shared" si="27"/>
        <v>28C03323</v>
      </c>
      <c r="I310" s="59">
        <f>IF(OR($A310="",$C310="",$D310="",$E310="",$H310=""),"",SUMIFS(DATA_GOC!$H:$H,DATA_GOC!$A:$A,"BOM",DATA_GOC!$D:$D,$H310,DATA_GOC!$E:$E,$C310,DATA_GOC!$F:$F,"Xuất nội bộ từ téc",DATA_GOC!$B:$B,"&gt;="&amp;$D310,DATA_GOC!$B:$B,"&lt;="&amp;$E310))</f>
        <v>480</v>
      </c>
      <c r="J310" s="59">
        <f t="shared" si="28"/>
        <v>3.594</v>
      </c>
      <c r="K310" s="59">
        <f t="shared" si="29"/>
        <v>0</v>
      </c>
      <c r="L310" s="59">
        <f t="shared" si="30"/>
        <v>483.594</v>
      </c>
      <c r="M310" s="59">
        <f t="shared" si="31"/>
        <v>0.05529953917</v>
      </c>
    </row>
    <row r="311" ht="15.0" hidden="1" customHeight="1">
      <c r="A311" s="59">
        <f t="shared" si="20"/>
        <v>2</v>
      </c>
      <c r="B311" s="59" t="str">
        <f t="shared" si="21"/>
        <v>Đã chốt</v>
      </c>
      <c r="C311" s="59" t="str">
        <f t="shared" si="22"/>
        <v>Téc 1</v>
      </c>
      <c r="D311" s="45">
        <f t="shared" si="23"/>
        <v>46082</v>
      </c>
      <c r="E311" s="45">
        <f t="shared" si="24"/>
        <v>46121</v>
      </c>
      <c r="F311" s="133">
        <f t="shared" si="25"/>
        <v>4</v>
      </c>
      <c r="G311" s="133">
        <f t="shared" si="26"/>
        <v>2026</v>
      </c>
      <c r="H311" s="59" t="str">
        <f t="shared" si="27"/>
        <v>28C03385</v>
      </c>
      <c r="I311" s="59">
        <f>IF(OR($A311="",$C311="",$D311="",$E311="",$H311=""),"",SUMIFS(DATA_GOC!$H:$H,DATA_GOC!$A:$A,"BOM",DATA_GOC!$D:$D,$H311,DATA_GOC!$E:$E,$C311,DATA_GOC!$F:$F,"Xuất nội bộ từ téc",DATA_GOC!$B:$B,"&gt;="&amp;$D311,DATA_GOC!$B:$B,"&lt;="&amp;$E311))</f>
        <v>260</v>
      </c>
      <c r="J311" s="59">
        <f t="shared" si="28"/>
        <v>1.947</v>
      </c>
      <c r="K311" s="59">
        <f t="shared" si="29"/>
        <v>0</v>
      </c>
      <c r="L311" s="59">
        <f t="shared" si="30"/>
        <v>261.947</v>
      </c>
      <c r="M311" s="59">
        <f t="shared" si="31"/>
        <v>0.02995391705</v>
      </c>
    </row>
    <row r="312" ht="15.0" hidden="1" customHeight="1">
      <c r="A312" s="59">
        <f t="shared" si="20"/>
        <v>2</v>
      </c>
      <c r="B312" s="59" t="str">
        <f t="shared" si="21"/>
        <v>Đã chốt</v>
      </c>
      <c r="C312" s="59" t="str">
        <f t="shared" si="22"/>
        <v>Téc 1</v>
      </c>
      <c r="D312" s="45">
        <f t="shared" si="23"/>
        <v>46082</v>
      </c>
      <c r="E312" s="45">
        <f t="shared" si="24"/>
        <v>46121</v>
      </c>
      <c r="F312" s="133">
        <f t="shared" si="25"/>
        <v>4</v>
      </c>
      <c r="G312" s="133">
        <f t="shared" si="26"/>
        <v>2026</v>
      </c>
      <c r="H312" s="59" t="str">
        <f t="shared" si="27"/>
        <v>28C03652</v>
      </c>
      <c r="I312" s="59">
        <f>IF(OR($A312="",$C312="",$D312="",$E312="",$H312=""),"",SUMIFS(DATA_GOC!$H:$H,DATA_GOC!$A:$A,"BOM",DATA_GOC!$D:$D,$H312,DATA_GOC!$E:$E,$C312,DATA_GOC!$F:$F,"Xuất nội bộ từ téc",DATA_GOC!$B:$B,"&gt;="&amp;$D312,DATA_GOC!$B:$B,"&lt;="&amp;$E312))</f>
        <v>0</v>
      </c>
      <c r="J312" s="59">
        <f t="shared" si="28"/>
        <v>0</v>
      </c>
      <c r="K312" s="59">
        <f t="shared" si="29"/>
        <v>0</v>
      </c>
      <c r="L312" s="59">
        <f t="shared" si="30"/>
        <v>0</v>
      </c>
      <c r="M312" s="59">
        <f t="shared" si="31"/>
        <v>0</v>
      </c>
    </row>
    <row r="313" ht="15.0" hidden="1" customHeight="1">
      <c r="A313" s="59">
        <f t="shared" si="20"/>
        <v>2</v>
      </c>
      <c r="B313" s="59" t="str">
        <f t="shared" si="21"/>
        <v>Đã chốt</v>
      </c>
      <c r="C313" s="59" t="str">
        <f t="shared" si="22"/>
        <v>Téc 1</v>
      </c>
      <c r="D313" s="45">
        <f t="shared" si="23"/>
        <v>46082</v>
      </c>
      <c r="E313" s="45">
        <f t="shared" si="24"/>
        <v>46121</v>
      </c>
      <c r="F313" s="133">
        <f t="shared" si="25"/>
        <v>4</v>
      </c>
      <c r="G313" s="133">
        <f t="shared" si="26"/>
        <v>2026</v>
      </c>
      <c r="H313" s="59" t="str">
        <f t="shared" si="27"/>
        <v>28C03695</v>
      </c>
      <c r="I313" s="59">
        <f>IF(OR($A313="",$C313="",$D313="",$E313="",$H313=""),"",SUMIFS(DATA_GOC!$H:$H,DATA_GOC!$A:$A,"BOM",DATA_GOC!$D:$D,$H313,DATA_GOC!$E:$E,$C313,DATA_GOC!$F:$F,"Xuất nội bộ từ téc",DATA_GOC!$B:$B,"&gt;="&amp;$D313,DATA_GOC!$B:$B,"&lt;="&amp;$E313))</f>
        <v>188</v>
      </c>
      <c r="J313" s="59">
        <f t="shared" si="28"/>
        <v>1.408</v>
      </c>
      <c r="K313" s="59">
        <f t="shared" si="29"/>
        <v>0</v>
      </c>
      <c r="L313" s="59">
        <f t="shared" si="30"/>
        <v>189.408</v>
      </c>
      <c r="M313" s="59">
        <f t="shared" si="31"/>
        <v>0.02165898618</v>
      </c>
    </row>
    <row r="314" ht="15.0" hidden="1" customHeight="1">
      <c r="A314" s="59">
        <f t="shared" si="20"/>
        <v>2</v>
      </c>
      <c r="B314" s="59" t="str">
        <f t="shared" si="21"/>
        <v>Đã chốt</v>
      </c>
      <c r="C314" s="59" t="str">
        <f t="shared" si="22"/>
        <v>Téc 1</v>
      </c>
      <c r="D314" s="45">
        <f t="shared" si="23"/>
        <v>46082</v>
      </c>
      <c r="E314" s="45">
        <f t="shared" si="24"/>
        <v>46121</v>
      </c>
      <c r="F314" s="133">
        <f t="shared" si="25"/>
        <v>4</v>
      </c>
      <c r="G314" s="133">
        <f t="shared" si="26"/>
        <v>2026</v>
      </c>
      <c r="H314" s="59" t="str">
        <f t="shared" si="27"/>
        <v>28C03927</v>
      </c>
      <c r="I314" s="59">
        <f>IF(OR($A314="",$C314="",$D314="",$E314="",$H314=""),"",SUMIFS(DATA_GOC!$H:$H,DATA_GOC!$A:$A,"BOM",DATA_GOC!$D:$D,$H314,DATA_GOC!$E:$E,$C314,DATA_GOC!$F:$F,"Xuất nội bộ từ téc",DATA_GOC!$B:$B,"&gt;="&amp;$D314,DATA_GOC!$B:$B,"&lt;="&amp;$E314))</f>
        <v>212</v>
      </c>
      <c r="J314" s="59">
        <f t="shared" si="28"/>
        <v>1.588</v>
      </c>
      <c r="K314" s="59">
        <f t="shared" si="29"/>
        <v>0</v>
      </c>
      <c r="L314" s="59">
        <f t="shared" si="30"/>
        <v>213.588</v>
      </c>
      <c r="M314" s="59">
        <f t="shared" si="31"/>
        <v>0.02442396313</v>
      </c>
    </row>
    <row r="315" ht="15.0" hidden="1" customHeight="1">
      <c r="A315" s="59">
        <f t="shared" si="20"/>
        <v>2</v>
      </c>
      <c r="B315" s="59" t="str">
        <f t="shared" si="21"/>
        <v>Đã chốt</v>
      </c>
      <c r="C315" s="59" t="str">
        <f t="shared" si="22"/>
        <v>Téc 1</v>
      </c>
      <c r="D315" s="45">
        <f t="shared" si="23"/>
        <v>46082</v>
      </c>
      <c r="E315" s="45">
        <f t="shared" si="24"/>
        <v>46121</v>
      </c>
      <c r="F315" s="133">
        <f t="shared" si="25"/>
        <v>4</v>
      </c>
      <c r="G315" s="133">
        <f t="shared" si="26"/>
        <v>2026</v>
      </c>
      <c r="H315" s="59" t="str">
        <f t="shared" si="27"/>
        <v>28C04509</v>
      </c>
      <c r="I315" s="59">
        <f>IF(OR($A315="",$C315="",$D315="",$E315="",$H315=""),"",SUMIFS(DATA_GOC!$H:$H,DATA_GOC!$A:$A,"BOM",DATA_GOC!$D:$D,$H315,DATA_GOC!$E:$E,$C315,DATA_GOC!$F:$F,"Xuất nội bộ từ téc",DATA_GOC!$B:$B,"&gt;="&amp;$D315,DATA_GOC!$B:$B,"&lt;="&amp;$E315))</f>
        <v>0</v>
      </c>
      <c r="J315" s="59">
        <f t="shared" si="28"/>
        <v>0</v>
      </c>
      <c r="K315" s="59">
        <f t="shared" si="29"/>
        <v>0</v>
      </c>
      <c r="L315" s="59">
        <f t="shared" si="30"/>
        <v>0</v>
      </c>
      <c r="M315" s="59">
        <f t="shared" si="31"/>
        <v>0</v>
      </c>
    </row>
    <row r="316" ht="15.0" hidden="1" customHeight="1">
      <c r="A316" s="59">
        <f t="shared" si="20"/>
        <v>2</v>
      </c>
      <c r="B316" s="59" t="str">
        <f t="shared" si="21"/>
        <v>Đã chốt</v>
      </c>
      <c r="C316" s="59" t="str">
        <f t="shared" si="22"/>
        <v>Téc 1</v>
      </c>
      <c r="D316" s="45">
        <f t="shared" si="23"/>
        <v>46082</v>
      </c>
      <c r="E316" s="45">
        <f t="shared" si="24"/>
        <v>46121</v>
      </c>
      <c r="F316" s="133">
        <f t="shared" si="25"/>
        <v>4</v>
      </c>
      <c r="G316" s="133">
        <f t="shared" si="26"/>
        <v>2026</v>
      </c>
      <c r="H316" s="59" t="str">
        <f t="shared" si="27"/>
        <v>28C04536</v>
      </c>
      <c r="I316" s="59">
        <f>IF(OR($A316="",$C316="",$D316="",$E316="",$H316=""),"",SUMIFS(DATA_GOC!$H:$H,DATA_GOC!$A:$A,"BOM",DATA_GOC!$D:$D,$H316,DATA_GOC!$E:$E,$C316,DATA_GOC!$F:$F,"Xuất nội bộ từ téc",DATA_GOC!$B:$B,"&gt;="&amp;$D316,DATA_GOC!$B:$B,"&lt;="&amp;$E316))</f>
        <v>0</v>
      </c>
      <c r="J316" s="59">
        <f t="shared" si="28"/>
        <v>0</v>
      </c>
      <c r="K316" s="59">
        <f t="shared" si="29"/>
        <v>0</v>
      </c>
      <c r="L316" s="59">
        <f t="shared" si="30"/>
        <v>0</v>
      </c>
      <c r="M316" s="59">
        <f t="shared" si="31"/>
        <v>0</v>
      </c>
    </row>
    <row r="317" ht="15.0" hidden="1" customHeight="1">
      <c r="A317" s="59">
        <f t="shared" si="20"/>
        <v>2</v>
      </c>
      <c r="B317" s="59" t="str">
        <f t="shared" si="21"/>
        <v>Đã chốt</v>
      </c>
      <c r="C317" s="59" t="str">
        <f t="shared" si="22"/>
        <v>Téc 1</v>
      </c>
      <c r="D317" s="45">
        <f t="shared" si="23"/>
        <v>46082</v>
      </c>
      <c r="E317" s="45">
        <f t="shared" si="24"/>
        <v>46121</v>
      </c>
      <c r="F317" s="133">
        <f t="shared" si="25"/>
        <v>4</v>
      </c>
      <c r="G317" s="133">
        <f t="shared" si="26"/>
        <v>2026</v>
      </c>
      <c r="H317" s="59" t="str">
        <f t="shared" si="27"/>
        <v>28C04576</v>
      </c>
      <c r="I317" s="59">
        <f>IF(OR($A317="",$C317="",$D317="",$E317="",$H317=""),"",SUMIFS(DATA_GOC!$H:$H,DATA_GOC!$A:$A,"BOM",DATA_GOC!$D:$D,$H317,DATA_GOC!$E:$E,$C317,DATA_GOC!$F:$F,"Xuất nội bộ từ téc",DATA_GOC!$B:$B,"&gt;="&amp;$D317,DATA_GOC!$B:$B,"&lt;="&amp;$E317))</f>
        <v>230</v>
      </c>
      <c r="J317" s="59">
        <f t="shared" si="28"/>
        <v>1.722</v>
      </c>
      <c r="K317" s="59">
        <f t="shared" si="29"/>
        <v>0</v>
      </c>
      <c r="L317" s="59">
        <f t="shared" si="30"/>
        <v>231.722</v>
      </c>
      <c r="M317" s="59">
        <f t="shared" si="31"/>
        <v>0.02649769585</v>
      </c>
    </row>
    <row r="318" ht="15.0" hidden="1" customHeight="1">
      <c r="A318" s="59">
        <f t="shared" si="20"/>
        <v>2</v>
      </c>
      <c r="B318" s="59" t="str">
        <f t="shared" si="21"/>
        <v>Đã chốt</v>
      </c>
      <c r="C318" s="59" t="str">
        <f t="shared" si="22"/>
        <v>Téc 1</v>
      </c>
      <c r="D318" s="45">
        <f t="shared" si="23"/>
        <v>46082</v>
      </c>
      <c r="E318" s="45">
        <f t="shared" si="24"/>
        <v>46121</v>
      </c>
      <c r="F318" s="133">
        <f t="shared" si="25"/>
        <v>4</v>
      </c>
      <c r="G318" s="133">
        <f t="shared" si="26"/>
        <v>2026</v>
      </c>
      <c r="H318" s="59" t="str">
        <f t="shared" si="27"/>
        <v>28C05090</v>
      </c>
      <c r="I318" s="59">
        <f>IF(OR($A318="",$C318="",$D318="",$E318="",$H318=""),"",SUMIFS(DATA_GOC!$H:$H,DATA_GOC!$A:$A,"BOM",DATA_GOC!$D:$D,$H318,DATA_GOC!$E:$E,$C318,DATA_GOC!$F:$F,"Xuất nội bộ từ téc",DATA_GOC!$B:$B,"&gt;="&amp;$D318,DATA_GOC!$B:$B,"&lt;="&amp;$E318))</f>
        <v>0</v>
      </c>
      <c r="J318" s="59">
        <f t="shared" si="28"/>
        <v>0</v>
      </c>
      <c r="K318" s="59">
        <f t="shared" si="29"/>
        <v>0</v>
      </c>
      <c r="L318" s="59">
        <f t="shared" si="30"/>
        <v>0</v>
      </c>
      <c r="M318" s="59">
        <f t="shared" si="31"/>
        <v>0</v>
      </c>
    </row>
    <row r="319" ht="15.0" hidden="1" customHeight="1">
      <c r="A319" s="59">
        <f t="shared" si="20"/>
        <v>2</v>
      </c>
      <c r="B319" s="59" t="str">
        <f t="shared" si="21"/>
        <v>Đã chốt</v>
      </c>
      <c r="C319" s="59" t="str">
        <f t="shared" si="22"/>
        <v>Téc 1</v>
      </c>
      <c r="D319" s="45">
        <f t="shared" si="23"/>
        <v>46082</v>
      </c>
      <c r="E319" s="45">
        <f t="shared" si="24"/>
        <v>46121</v>
      </c>
      <c r="F319" s="133">
        <f t="shared" si="25"/>
        <v>4</v>
      </c>
      <c r="G319" s="133">
        <f t="shared" si="26"/>
        <v>2026</v>
      </c>
      <c r="H319" s="59" t="str">
        <f t="shared" si="27"/>
        <v>28C05345</v>
      </c>
      <c r="I319" s="59">
        <f>IF(OR($A319="",$C319="",$D319="",$E319="",$H319=""),"",SUMIFS(DATA_GOC!$H:$H,DATA_GOC!$A:$A,"BOM",DATA_GOC!$D:$D,$H319,DATA_GOC!$E:$E,$C319,DATA_GOC!$F:$F,"Xuất nội bộ từ téc",DATA_GOC!$B:$B,"&gt;="&amp;$D319,DATA_GOC!$B:$B,"&lt;="&amp;$E319))</f>
        <v>230</v>
      </c>
      <c r="J319" s="59">
        <f t="shared" si="28"/>
        <v>1.722</v>
      </c>
      <c r="K319" s="59">
        <f t="shared" si="29"/>
        <v>0</v>
      </c>
      <c r="L319" s="59">
        <f t="shared" si="30"/>
        <v>231.722</v>
      </c>
      <c r="M319" s="59">
        <f t="shared" si="31"/>
        <v>0.02649769585</v>
      </c>
    </row>
    <row r="320" ht="15.0" hidden="1" customHeight="1">
      <c r="A320" s="59">
        <f t="shared" si="20"/>
        <v>2</v>
      </c>
      <c r="B320" s="59" t="str">
        <f t="shared" si="21"/>
        <v>Đã chốt</v>
      </c>
      <c r="C320" s="59" t="str">
        <f t="shared" si="22"/>
        <v>Téc 1</v>
      </c>
      <c r="D320" s="45">
        <f t="shared" si="23"/>
        <v>46082</v>
      </c>
      <c r="E320" s="45">
        <f t="shared" si="24"/>
        <v>46121</v>
      </c>
      <c r="F320" s="133">
        <f t="shared" si="25"/>
        <v>4</v>
      </c>
      <c r="G320" s="133">
        <f t="shared" si="26"/>
        <v>2026</v>
      </c>
      <c r="H320" s="59" t="str">
        <f t="shared" si="27"/>
        <v>28C05661</v>
      </c>
      <c r="I320" s="59">
        <f>IF(OR($A320="",$C320="",$D320="",$E320="",$H320=""),"",SUMIFS(DATA_GOC!$H:$H,DATA_GOC!$A:$A,"BOM",DATA_GOC!$D:$D,$H320,DATA_GOC!$E:$E,$C320,DATA_GOC!$F:$F,"Xuất nội bộ từ téc",DATA_GOC!$B:$B,"&gt;="&amp;$D320,DATA_GOC!$B:$B,"&lt;="&amp;$E320))</f>
        <v>0</v>
      </c>
      <c r="J320" s="59">
        <f t="shared" si="28"/>
        <v>0</v>
      </c>
      <c r="K320" s="59">
        <f t="shared" si="29"/>
        <v>0</v>
      </c>
      <c r="L320" s="59">
        <f t="shared" si="30"/>
        <v>0</v>
      </c>
      <c r="M320" s="59">
        <f t="shared" si="31"/>
        <v>0</v>
      </c>
    </row>
    <row r="321" ht="15.0" hidden="1" customHeight="1">
      <c r="A321" s="59">
        <f t="shared" si="20"/>
        <v>2</v>
      </c>
      <c r="B321" s="59" t="str">
        <f t="shared" si="21"/>
        <v>Đã chốt</v>
      </c>
      <c r="C321" s="59" t="str">
        <f t="shared" si="22"/>
        <v>Téc 1</v>
      </c>
      <c r="D321" s="45">
        <f t="shared" si="23"/>
        <v>46082</v>
      </c>
      <c r="E321" s="45">
        <f t="shared" si="24"/>
        <v>46121</v>
      </c>
      <c r="F321" s="133">
        <f t="shared" si="25"/>
        <v>4</v>
      </c>
      <c r="G321" s="133">
        <f t="shared" si="26"/>
        <v>2026</v>
      </c>
      <c r="H321" s="59" t="str">
        <f t="shared" si="27"/>
        <v>28C05739</v>
      </c>
      <c r="I321" s="59">
        <f>IF(OR($A321="",$C321="",$D321="",$E321="",$H321=""),"",SUMIFS(DATA_GOC!$H:$H,DATA_GOC!$A:$A,"BOM",DATA_GOC!$D:$D,$H321,DATA_GOC!$E:$E,$C321,DATA_GOC!$F:$F,"Xuất nội bộ từ téc",DATA_GOC!$B:$B,"&gt;="&amp;$D321,DATA_GOC!$B:$B,"&lt;="&amp;$E321))</f>
        <v>523</v>
      </c>
      <c r="J321" s="59">
        <f t="shared" si="28"/>
        <v>3.916</v>
      </c>
      <c r="K321" s="59">
        <f t="shared" si="29"/>
        <v>0</v>
      </c>
      <c r="L321" s="59">
        <f t="shared" si="30"/>
        <v>526.916</v>
      </c>
      <c r="M321" s="59">
        <f t="shared" si="31"/>
        <v>0.06025345622</v>
      </c>
    </row>
    <row r="322" ht="15.0" hidden="1" customHeight="1">
      <c r="A322" s="59">
        <f t="shared" si="20"/>
        <v>2</v>
      </c>
      <c r="B322" s="59" t="str">
        <f t="shared" si="21"/>
        <v>Đã chốt</v>
      </c>
      <c r="C322" s="59" t="str">
        <f t="shared" si="22"/>
        <v>Téc 1</v>
      </c>
      <c r="D322" s="45">
        <f t="shared" si="23"/>
        <v>46082</v>
      </c>
      <c r="E322" s="45">
        <f t="shared" si="24"/>
        <v>46121</v>
      </c>
      <c r="F322" s="133">
        <f t="shared" si="25"/>
        <v>4</v>
      </c>
      <c r="G322" s="133">
        <f t="shared" si="26"/>
        <v>2026</v>
      </c>
      <c r="H322" s="59" t="str">
        <f t="shared" si="27"/>
        <v>28C06369</v>
      </c>
      <c r="I322" s="59">
        <f>IF(OR($A322="",$C322="",$D322="",$E322="",$H322=""),"",SUMIFS(DATA_GOC!$H:$H,DATA_GOC!$A:$A,"BOM",DATA_GOC!$D:$D,$H322,DATA_GOC!$E:$E,$C322,DATA_GOC!$F:$F,"Xuất nội bộ từ téc",DATA_GOC!$B:$B,"&gt;="&amp;$D322,DATA_GOC!$B:$B,"&lt;="&amp;$E322))</f>
        <v>454</v>
      </c>
      <c r="J322" s="59">
        <f t="shared" si="28"/>
        <v>3.4</v>
      </c>
      <c r="K322" s="59">
        <f t="shared" si="29"/>
        <v>0</v>
      </c>
      <c r="L322" s="59">
        <f t="shared" si="30"/>
        <v>457.4</v>
      </c>
      <c r="M322" s="59">
        <f t="shared" si="31"/>
        <v>0.05230414747</v>
      </c>
    </row>
    <row r="323" ht="15.0" hidden="1" customHeight="1">
      <c r="A323" s="59">
        <f t="shared" si="20"/>
        <v>2</v>
      </c>
      <c r="B323" s="59" t="str">
        <f t="shared" si="21"/>
        <v>Đã chốt</v>
      </c>
      <c r="C323" s="59" t="str">
        <f t="shared" si="22"/>
        <v>Téc 1</v>
      </c>
      <c r="D323" s="45">
        <f t="shared" si="23"/>
        <v>46082</v>
      </c>
      <c r="E323" s="45">
        <f t="shared" si="24"/>
        <v>46121</v>
      </c>
      <c r="F323" s="133">
        <f t="shared" si="25"/>
        <v>4</v>
      </c>
      <c r="G323" s="133">
        <f t="shared" si="26"/>
        <v>2026</v>
      </c>
      <c r="H323" s="59" t="str">
        <f t="shared" si="27"/>
        <v>28C06447</v>
      </c>
      <c r="I323" s="59">
        <f>IF(OR($A323="",$C323="",$D323="",$E323="",$H323=""),"",SUMIFS(DATA_GOC!$H:$H,DATA_GOC!$A:$A,"BOM",DATA_GOC!$D:$D,$H323,DATA_GOC!$E:$E,$C323,DATA_GOC!$F:$F,"Xuất nội bộ từ téc",DATA_GOC!$B:$B,"&gt;="&amp;$D323,DATA_GOC!$B:$B,"&lt;="&amp;$E323))</f>
        <v>331</v>
      </c>
      <c r="J323" s="59">
        <f t="shared" si="28"/>
        <v>2.479</v>
      </c>
      <c r="K323" s="59">
        <f t="shared" si="29"/>
        <v>0</v>
      </c>
      <c r="L323" s="59">
        <f t="shared" si="30"/>
        <v>333.479</v>
      </c>
      <c r="M323" s="59">
        <f t="shared" si="31"/>
        <v>0.03813364055</v>
      </c>
    </row>
    <row r="324" ht="15.0" hidden="1" customHeight="1">
      <c r="A324" s="59">
        <f t="shared" si="20"/>
        <v>2</v>
      </c>
      <c r="B324" s="59" t="str">
        <f t="shared" si="21"/>
        <v>Đã chốt</v>
      </c>
      <c r="C324" s="59" t="str">
        <f t="shared" si="22"/>
        <v>Téc 1</v>
      </c>
      <c r="D324" s="45">
        <f t="shared" si="23"/>
        <v>46082</v>
      </c>
      <c r="E324" s="45">
        <f t="shared" si="24"/>
        <v>46121</v>
      </c>
      <c r="F324" s="133">
        <f t="shared" si="25"/>
        <v>4</v>
      </c>
      <c r="G324" s="133">
        <f t="shared" si="26"/>
        <v>2026</v>
      </c>
      <c r="H324" s="59" t="str">
        <f t="shared" si="27"/>
        <v>28H00003</v>
      </c>
      <c r="I324" s="59">
        <f>IF(OR($A324="",$C324="",$D324="",$E324="",$H324=""),"",SUMIFS(DATA_GOC!$H:$H,DATA_GOC!$A:$A,"BOM",DATA_GOC!$D:$D,$H324,DATA_GOC!$E:$E,$C324,DATA_GOC!$F:$F,"Xuất nội bộ từ téc",DATA_GOC!$B:$B,"&gt;="&amp;$D324,DATA_GOC!$B:$B,"&lt;="&amp;$E324))</f>
        <v>376</v>
      </c>
      <c r="J324" s="59">
        <f t="shared" si="28"/>
        <v>2.816</v>
      </c>
      <c r="K324" s="59">
        <f t="shared" si="29"/>
        <v>0</v>
      </c>
      <c r="L324" s="59">
        <f t="shared" si="30"/>
        <v>378.816</v>
      </c>
      <c r="M324" s="59">
        <f t="shared" si="31"/>
        <v>0.04331797235</v>
      </c>
    </row>
    <row r="325" ht="15.0" hidden="1" customHeight="1">
      <c r="A325" s="59">
        <f t="shared" si="20"/>
        <v>2</v>
      </c>
      <c r="B325" s="59" t="str">
        <f t="shared" si="21"/>
        <v>Đã chốt</v>
      </c>
      <c r="C325" s="59" t="str">
        <f t="shared" si="22"/>
        <v>Téc 1</v>
      </c>
      <c r="D325" s="45">
        <f t="shared" si="23"/>
        <v>46082</v>
      </c>
      <c r="E325" s="45">
        <f t="shared" si="24"/>
        <v>46121</v>
      </c>
      <c r="F325" s="133">
        <f t="shared" si="25"/>
        <v>4</v>
      </c>
      <c r="G325" s="133">
        <f t="shared" si="26"/>
        <v>2026</v>
      </c>
      <c r="H325" s="59" t="str">
        <f t="shared" si="27"/>
        <v>28H00061</v>
      </c>
      <c r="I325" s="59">
        <f>IF(OR($A325="",$C325="",$D325="",$E325="",$H325=""),"",SUMIFS(DATA_GOC!$H:$H,DATA_GOC!$A:$A,"BOM",DATA_GOC!$D:$D,$H325,DATA_GOC!$E:$E,$C325,DATA_GOC!$F:$F,"Xuất nội bộ từ téc",DATA_GOC!$B:$B,"&gt;="&amp;$D325,DATA_GOC!$B:$B,"&lt;="&amp;$E325))</f>
        <v>360</v>
      </c>
      <c r="J325" s="59">
        <f t="shared" si="28"/>
        <v>2.696</v>
      </c>
      <c r="K325" s="59">
        <f t="shared" si="29"/>
        <v>0</v>
      </c>
      <c r="L325" s="59">
        <f t="shared" si="30"/>
        <v>362.696</v>
      </c>
      <c r="M325" s="59">
        <f t="shared" si="31"/>
        <v>0.04147465438</v>
      </c>
    </row>
    <row r="326" ht="15.0" hidden="1" customHeight="1">
      <c r="A326" s="59">
        <f t="shared" si="20"/>
        <v>2</v>
      </c>
      <c r="B326" s="59" t="str">
        <f t="shared" si="21"/>
        <v>Đã chốt</v>
      </c>
      <c r="C326" s="59" t="str">
        <f t="shared" si="22"/>
        <v>Téc 1</v>
      </c>
      <c r="D326" s="45">
        <f t="shared" si="23"/>
        <v>46082</v>
      </c>
      <c r="E326" s="45">
        <f t="shared" si="24"/>
        <v>46121</v>
      </c>
      <c r="F326" s="133">
        <f t="shared" si="25"/>
        <v>4</v>
      </c>
      <c r="G326" s="133">
        <f t="shared" si="26"/>
        <v>2026</v>
      </c>
      <c r="H326" s="59" t="str">
        <f t="shared" si="27"/>
        <v>28H00354</v>
      </c>
      <c r="I326" s="59">
        <f>IF(OR($A326="",$C326="",$D326="",$E326="",$H326=""),"",SUMIFS(DATA_GOC!$H:$H,DATA_GOC!$A:$A,"BOM",DATA_GOC!$D:$D,$H326,DATA_GOC!$E:$E,$C326,DATA_GOC!$F:$F,"Xuất nội bộ từ téc",DATA_GOC!$B:$B,"&gt;="&amp;$D326,DATA_GOC!$B:$B,"&lt;="&amp;$E326))</f>
        <v>236</v>
      </c>
      <c r="J326" s="59">
        <f t="shared" si="28"/>
        <v>1.767</v>
      </c>
      <c r="K326" s="59">
        <f t="shared" si="29"/>
        <v>0</v>
      </c>
      <c r="L326" s="59">
        <f t="shared" si="30"/>
        <v>237.767</v>
      </c>
      <c r="M326" s="59">
        <f t="shared" si="31"/>
        <v>0.02718894009</v>
      </c>
    </row>
    <row r="327" ht="15.0" hidden="1" customHeight="1">
      <c r="A327" s="59">
        <f t="shared" si="20"/>
        <v>2</v>
      </c>
      <c r="B327" s="59" t="str">
        <f t="shared" si="21"/>
        <v>Đã chốt</v>
      </c>
      <c r="C327" s="59" t="str">
        <f t="shared" si="22"/>
        <v>Téc 1</v>
      </c>
      <c r="D327" s="45">
        <f t="shared" si="23"/>
        <v>46082</v>
      </c>
      <c r="E327" s="45">
        <f t="shared" si="24"/>
        <v>46121</v>
      </c>
      <c r="F327" s="133">
        <f t="shared" si="25"/>
        <v>4</v>
      </c>
      <c r="G327" s="133">
        <f t="shared" si="26"/>
        <v>2026</v>
      </c>
      <c r="H327" s="59" t="str">
        <f t="shared" si="27"/>
        <v>28H00603</v>
      </c>
      <c r="I327" s="59">
        <f>IF(OR($A327="",$C327="",$D327="",$E327="",$H327=""),"",SUMIFS(DATA_GOC!$H:$H,DATA_GOC!$A:$A,"BOM",DATA_GOC!$D:$D,$H327,DATA_GOC!$E:$E,$C327,DATA_GOC!$F:$F,"Xuất nội bộ từ téc",DATA_GOC!$B:$B,"&gt;="&amp;$D327,DATA_GOC!$B:$B,"&lt;="&amp;$E327))</f>
        <v>225</v>
      </c>
      <c r="J327" s="59">
        <f t="shared" si="28"/>
        <v>1.685</v>
      </c>
      <c r="K327" s="59">
        <f t="shared" si="29"/>
        <v>0</v>
      </c>
      <c r="L327" s="59">
        <f t="shared" si="30"/>
        <v>226.685</v>
      </c>
      <c r="M327" s="59">
        <f t="shared" si="31"/>
        <v>0.02592165899</v>
      </c>
    </row>
    <row r="328" ht="15.0" hidden="1" customHeight="1">
      <c r="A328" s="59">
        <f t="shared" si="20"/>
        <v>2</v>
      </c>
      <c r="B328" s="59" t="str">
        <f t="shared" si="21"/>
        <v>Đã chốt</v>
      </c>
      <c r="C328" s="59" t="str">
        <f t="shared" si="22"/>
        <v>Téc 1</v>
      </c>
      <c r="D328" s="45">
        <f t="shared" si="23"/>
        <v>46082</v>
      </c>
      <c r="E328" s="45">
        <f t="shared" si="24"/>
        <v>46121</v>
      </c>
      <c r="F328" s="133">
        <f t="shared" si="25"/>
        <v>4</v>
      </c>
      <c r="G328" s="133">
        <f t="shared" si="26"/>
        <v>2026</v>
      </c>
      <c r="H328" s="59" t="str">
        <f t="shared" si="27"/>
        <v>28H00609</v>
      </c>
      <c r="I328" s="59">
        <f>IF(OR($A328="",$C328="",$D328="",$E328="",$H328=""),"",SUMIFS(DATA_GOC!$H:$H,DATA_GOC!$A:$A,"BOM",DATA_GOC!$D:$D,$H328,DATA_GOC!$E:$E,$C328,DATA_GOC!$F:$F,"Xuất nội bộ từ téc",DATA_GOC!$B:$B,"&gt;="&amp;$D328,DATA_GOC!$B:$B,"&lt;="&amp;$E328))</f>
        <v>205</v>
      </c>
      <c r="J328" s="59">
        <f t="shared" si="28"/>
        <v>1.535</v>
      </c>
      <c r="K328" s="59">
        <f t="shared" si="29"/>
        <v>0</v>
      </c>
      <c r="L328" s="59">
        <f t="shared" si="30"/>
        <v>206.535</v>
      </c>
      <c r="M328" s="59">
        <f t="shared" si="31"/>
        <v>0.02361751152</v>
      </c>
    </row>
    <row r="329" ht="15.0" hidden="1" customHeight="1">
      <c r="A329" s="59">
        <f t="shared" si="20"/>
        <v>2</v>
      </c>
      <c r="B329" s="59" t="str">
        <f t="shared" si="21"/>
        <v>Đã chốt</v>
      </c>
      <c r="C329" s="59" t="str">
        <f t="shared" si="22"/>
        <v>Téc 1</v>
      </c>
      <c r="D329" s="45">
        <f t="shared" si="23"/>
        <v>46082</v>
      </c>
      <c r="E329" s="45">
        <f t="shared" si="24"/>
        <v>46121</v>
      </c>
      <c r="F329" s="133">
        <f t="shared" si="25"/>
        <v>4</v>
      </c>
      <c r="G329" s="133">
        <f t="shared" si="26"/>
        <v>2026</v>
      </c>
      <c r="H329" s="59" t="str">
        <f t="shared" si="27"/>
        <v>28H00669</v>
      </c>
      <c r="I329" s="59">
        <f>IF(OR($A329="",$C329="",$D329="",$E329="",$H329=""),"",SUMIFS(DATA_GOC!$H:$H,DATA_GOC!$A:$A,"BOM",DATA_GOC!$D:$D,$H329,DATA_GOC!$E:$E,$C329,DATA_GOC!$F:$F,"Xuất nội bộ từ téc",DATA_GOC!$B:$B,"&gt;="&amp;$D329,DATA_GOC!$B:$B,"&lt;="&amp;$E329))</f>
        <v>283</v>
      </c>
      <c r="J329" s="59">
        <f t="shared" si="28"/>
        <v>2.119</v>
      </c>
      <c r="K329" s="59">
        <f t="shared" si="29"/>
        <v>0</v>
      </c>
      <c r="L329" s="59">
        <f t="shared" si="30"/>
        <v>285.119</v>
      </c>
      <c r="M329" s="59">
        <f t="shared" si="31"/>
        <v>0.03260368664</v>
      </c>
    </row>
    <row r="330" ht="15.0" hidden="1" customHeight="1">
      <c r="A330" s="59">
        <f t="shared" si="20"/>
        <v>2</v>
      </c>
      <c r="B330" s="59" t="str">
        <f t="shared" si="21"/>
        <v>Đã chốt</v>
      </c>
      <c r="C330" s="59" t="str">
        <f t="shared" si="22"/>
        <v>Téc 1</v>
      </c>
      <c r="D330" s="45">
        <f t="shared" si="23"/>
        <v>46082</v>
      </c>
      <c r="E330" s="45">
        <f t="shared" si="24"/>
        <v>46121</v>
      </c>
      <c r="F330" s="133">
        <f t="shared" si="25"/>
        <v>4</v>
      </c>
      <c r="G330" s="133">
        <f t="shared" si="26"/>
        <v>2026</v>
      </c>
      <c r="H330" s="59" t="str">
        <f t="shared" si="27"/>
        <v>28H00680</v>
      </c>
      <c r="I330" s="59">
        <f>IF(OR($A330="",$C330="",$D330="",$E330="",$H330=""),"",SUMIFS(DATA_GOC!$H:$H,DATA_GOC!$A:$A,"BOM",DATA_GOC!$D:$D,$H330,DATA_GOC!$E:$E,$C330,DATA_GOC!$F:$F,"Xuất nội bộ từ téc",DATA_GOC!$B:$B,"&gt;="&amp;$D330,DATA_GOC!$B:$B,"&lt;="&amp;$E330))</f>
        <v>0</v>
      </c>
      <c r="J330" s="59">
        <f t="shared" si="28"/>
        <v>0</v>
      </c>
      <c r="K330" s="59">
        <f t="shared" si="29"/>
        <v>0</v>
      </c>
      <c r="L330" s="59">
        <f t="shared" si="30"/>
        <v>0</v>
      </c>
      <c r="M330" s="59">
        <f t="shared" si="31"/>
        <v>0</v>
      </c>
    </row>
    <row r="331" ht="15.0" hidden="1" customHeight="1">
      <c r="A331" s="59">
        <f t="shared" si="20"/>
        <v>2</v>
      </c>
      <c r="B331" s="59" t="str">
        <f t="shared" si="21"/>
        <v>Đã chốt</v>
      </c>
      <c r="C331" s="59" t="str">
        <f t="shared" si="22"/>
        <v>Téc 1</v>
      </c>
      <c r="D331" s="45">
        <f t="shared" si="23"/>
        <v>46082</v>
      </c>
      <c r="E331" s="45">
        <f t="shared" si="24"/>
        <v>46121</v>
      </c>
      <c r="F331" s="133">
        <f t="shared" si="25"/>
        <v>4</v>
      </c>
      <c r="G331" s="133">
        <f t="shared" si="26"/>
        <v>2026</v>
      </c>
      <c r="H331" s="59" t="str">
        <f t="shared" si="27"/>
        <v>28H01070</v>
      </c>
      <c r="I331" s="59">
        <f>IF(OR($A331="",$C331="",$D331="",$E331="",$H331=""),"",SUMIFS(DATA_GOC!$H:$H,DATA_GOC!$A:$A,"BOM",DATA_GOC!$D:$D,$H331,DATA_GOC!$E:$E,$C331,DATA_GOC!$F:$F,"Xuất nội bộ từ téc",DATA_GOC!$B:$B,"&gt;="&amp;$D331,DATA_GOC!$B:$B,"&lt;="&amp;$E331))</f>
        <v>0</v>
      </c>
      <c r="J331" s="59">
        <f t="shared" si="28"/>
        <v>0</v>
      </c>
      <c r="K331" s="59">
        <f t="shared" si="29"/>
        <v>0</v>
      </c>
      <c r="L331" s="59">
        <f t="shared" si="30"/>
        <v>0</v>
      </c>
      <c r="M331" s="59">
        <f t="shared" si="31"/>
        <v>0</v>
      </c>
    </row>
    <row r="332" ht="15.0" hidden="1" customHeight="1">
      <c r="A332" s="59">
        <f t="shared" si="20"/>
        <v>2</v>
      </c>
      <c r="B332" s="59" t="str">
        <f t="shared" si="21"/>
        <v>Đã chốt</v>
      </c>
      <c r="C332" s="59" t="str">
        <f t="shared" si="22"/>
        <v>Téc 1</v>
      </c>
      <c r="D332" s="45">
        <f t="shared" si="23"/>
        <v>46082</v>
      </c>
      <c r="E332" s="45">
        <f t="shared" si="24"/>
        <v>46121</v>
      </c>
      <c r="F332" s="133">
        <f t="shared" si="25"/>
        <v>4</v>
      </c>
      <c r="G332" s="133">
        <f t="shared" si="26"/>
        <v>2026</v>
      </c>
      <c r="H332" s="59" t="str">
        <f t="shared" si="27"/>
        <v>28H01364</v>
      </c>
      <c r="I332" s="59">
        <f>IF(OR($A332="",$C332="",$D332="",$E332="",$H332=""),"",SUMIFS(DATA_GOC!$H:$H,DATA_GOC!$A:$A,"BOM",DATA_GOC!$D:$D,$H332,DATA_GOC!$E:$E,$C332,DATA_GOC!$F:$F,"Xuất nội bộ từ téc",DATA_GOC!$B:$B,"&gt;="&amp;$D332,DATA_GOC!$B:$B,"&lt;="&amp;$E332))</f>
        <v>0</v>
      </c>
      <c r="J332" s="59">
        <f t="shared" si="28"/>
        <v>0</v>
      </c>
      <c r="K332" s="59">
        <f t="shared" si="29"/>
        <v>0</v>
      </c>
      <c r="L332" s="59">
        <f t="shared" si="30"/>
        <v>0</v>
      </c>
      <c r="M332" s="59">
        <f t="shared" si="31"/>
        <v>0</v>
      </c>
    </row>
    <row r="333" ht="15.0" hidden="1" customHeight="1">
      <c r="A333" s="59">
        <f t="shared" si="20"/>
        <v>2</v>
      </c>
      <c r="B333" s="59" t="str">
        <f t="shared" si="21"/>
        <v>Đã chốt</v>
      </c>
      <c r="C333" s="59" t="str">
        <f t="shared" si="22"/>
        <v>Téc 1</v>
      </c>
      <c r="D333" s="45">
        <f t="shared" si="23"/>
        <v>46082</v>
      </c>
      <c r="E333" s="45">
        <f t="shared" si="24"/>
        <v>46121</v>
      </c>
      <c r="F333" s="133">
        <f t="shared" si="25"/>
        <v>4</v>
      </c>
      <c r="G333" s="133">
        <f t="shared" si="26"/>
        <v>2026</v>
      </c>
      <c r="H333" s="59" t="str">
        <f t="shared" si="27"/>
        <v>29E17269</v>
      </c>
      <c r="I333" s="59">
        <f>IF(OR($A333="",$C333="",$D333="",$E333="",$H333=""),"",SUMIFS(DATA_GOC!$H:$H,DATA_GOC!$A:$A,"BOM",DATA_GOC!$D:$D,$H333,DATA_GOC!$E:$E,$C333,DATA_GOC!$F:$F,"Xuất nội bộ từ téc",DATA_GOC!$B:$B,"&gt;="&amp;$D333,DATA_GOC!$B:$B,"&lt;="&amp;$E333))</f>
        <v>0</v>
      </c>
      <c r="J333" s="59">
        <f t="shared" si="28"/>
        <v>0</v>
      </c>
      <c r="K333" s="59">
        <f t="shared" si="29"/>
        <v>0</v>
      </c>
      <c r="L333" s="59">
        <f t="shared" si="30"/>
        <v>0</v>
      </c>
      <c r="M333" s="59">
        <f t="shared" si="31"/>
        <v>0</v>
      </c>
    </row>
    <row r="334" ht="15.0" hidden="1" customHeight="1">
      <c r="A334" s="59">
        <f t="shared" si="20"/>
        <v>2</v>
      </c>
      <c r="B334" s="59" t="str">
        <f t="shared" si="21"/>
        <v>Đã chốt</v>
      </c>
      <c r="C334" s="59" t="str">
        <f t="shared" si="22"/>
        <v>Téc 1</v>
      </c>
      <c r="D334" s="45">
        <f t="shared" si="23"/>
        <v>46082</v>
      </c>
      <c r="E334" s="45">
        <f t="shared" si="24"/>
        <v>46121</v>
      </c>
      <c r="F334" s="133">
        <f t="shared" si="25"/>
        <v>4</v>
      </c>
      <c r="G334" s="133">
        <f t="shared" si="26"/>
        <v>2026</v>
      </c>
      <c r="H334" s="59" t="str">
        <f t="shared" si="27"/>
        <v>29E17273</v>
      </c>
      <c r="I334" s="59">
        <f>IF(OR($A334="",$C334="",$D334="",$E334="",$H334=""),"",SUMIFS(DATA_GOC!$H:$H,DATA_GOC!$A:$A,"BOM",DATA_GOC!$D:$D,$H334,DATA_GOC!$E:$E,$C334,DATA_GOC!$F:$F,"Xuất nội bộ từ téc",DATA_GOC!$B:$B,"&gt;="&amp;$D334,DATA_GOC!$B:$B,"&lt;="&amp;$E334))</f>
        <v>0</v>
      </c>
      <c r="J334" s="59">
        <f t="shared" si="28"/>
        <v>0</v>
      </c>
      <c r="K334" s="59">
        <f t="shared" si="29"/>
        <v>0</v>
      </c>
      <c r="L334" s="59">
        <f t="shared" si="30"/>
        <v>0</v>
      </c>
      <c r="M334" s="59">
        <f t="shared" si="31"/>
        <v>0</v>
      </c>
    </row>
    <row r="335" ht="15.0" hidden="1" customHeight="1">
      <c r="A335" s="59">
        <f t="shared" si="20"/>
        <v>2</v>
      </c>
      <c r="B335" s="59" t="str">
        <f t="shared" si="21"/>
        <v>Đã chốt</v>
      </c>
      <c r="C335" s="59" t="str">
        <f t="shared" si="22"/>
        <v>Téc 1</v>
      </c>
      <c r="D335" s="45">
        <f t="shared" si="23"/>
        <v>46082</v>
      </c>
      <c r="E335" s="45">
        <f t="shared" si="24"/>
        <v>46121</v>
      </c>
      <c r="F335" s="133">
        <f t="shared" si="25"/>
        <v>4</v>
      </c>
      <c r="G335" s="133">
        <f t="shared" si="26"/>
        <v>2026</v>
      </c>
      <c r="H335" s="59" t="str">
        <f t="shared" si="27"/>
        <v>29E17410</v>
      </c>
      <c r="I335" s="59">
        <f>IF(OR($A335="",$C335="",$D335="",$E335="",$H335=""),"",SUMIFS(DATA_GOC!$H:$H,DATA_GOC!$A:$A,"BOM",DATA_GOC!$D:$D,$H335,DATA_GOC!$E:$E,$C335,DATA_GOC!$F:$F,"Xuất nội bộ từ téc",DATA_GOC!$B:$B,"&gt;="&amp;$D335,DATA_GOC!$B:$B,"&lt;="&amp;$E335))</f>
        <v>294</v>
      </c>
      <c r="J335" s="59">
        <f t="shared" si="28"/>
        <v>2.202</v>
      </c>
      <c r="K335" s="59">
        <f t="shared" si="29"/>
        <v>0</v>
      </c>
      <c r="L335" s="59">
        <f t="shared" si="30"/>
        <v>296.202</v>
      </c>
      <c r="M335" s="59">
        <f t="shared" si="31"/>
        <v>0.03387096774</v>
      </c>
    </row>
    <row r="336" ht="15.0" hidden="1" customHeight="1">
      <c r="A336" s="59">
        <f t="shared" si="20"/>
        <v>2</v>
      </c>
      <c r="B336" s="59" t="str">
        <f t="shared" si="21"/>
        <v>Đã chốt</v>
      </c>
      <c r="C336" s="59" t="str">
        <f t="shared" si="22"/>
        <v>Téc 1</v>
      </c>
      <c r="D336" s="45">
        <f t="shared" si="23"/>
        <v>46082</v>
      </c>
      <c r="E336" s="45">
        <f t="shared" si="24"/>
        <v>46121</v>
      </c>
      <c r="F336" s="133">
        <f t="shared" si="25"/>
        <v>4</v>
      </c>
      <c r="G336" s="133">
        <f t="shared" si="26"/>
        <v>2026</v>
      </c>
      <c r="H336" s="59" t="str">
        <f t="shared" si="27"/>
        <v>29E17417</v>
      </c>
      <c r="I336" s="59">
        <f>IF(OR($A336="",$C336="",$D336="",$E336="",$H336=""),"",SUMIFS(DATA_GOC!$H:$H,DATA_GOC!$A:$A,"BOM",DATA_GOC!$D:$D,$H336,DATA_GOC!$E:$E,$C336,DATA_GOC!$F:$F,"Xuất nội bộ từ téc",DATA_GOC!$B:$B,"&gt;="&amp;$D336,DATA_GOC!$B:$B,"&lt;="&amp;$E336))</f>
        <v>0</v>
      </c>
      <c r="J336" s="59">
        <f t="shared" si="28"/>
        <v>0</v>
      </c>
      <c r="K336" s="59">
        <f t="shared" si="29"/>
        <v>0</v>
      </c>
      <c r="L336" s="59">
        <f t="shared" si="30"/>
        <v>0</v>
      </c>
      <c r="M336" s="59">
        <f t="shared" si="31"/>
        <v>0</v>
      </c>
    </row>
    <row r="337" ht="15.0" hidden="1" customHeight="1">
      <c r="A337" s="59">
        <f t="shared" si="20"/>
        <v>2</v>
      </c>
      <c r="B337" s="59" t="str">
        <f t="shared" si="21"/>
        <v>Đã chốt</v>
      </c>
      <c r="C337" s="59" t="str">
        <f t="shared" si="22"/>
        <v>Téc 1</v>
      </c>
      <c r="D337" s="45">
        <f t="shared" si="23"/>
        <v>46082</v>
      </c>
      <c r="E337" s="45">
        <f t="shared" si="24"/>
        <v>46121</v>
      </c>
      <c r="F337" s="133">
        <f t="shared" si="25"/>
        <v>4</v>
      </c>
      <c r="G337" s="133">
        <f t="shared" si="26"/>
        <v>2026</v>
      </c>
      <c r="H337" s="59" t="str">
        <f t="shared" si="27"/>
        <v>29E17539</v>
      </c>
      <c r="I337" s="59">
        <f>IF(OR($A337="",$C337="",$D337="",$E337="",$H337=""),"",SUMIFS(DATA_GOC!$H:$H,DATA_GOC!$A:$A,"BOM",DATA_GOC!$D:$D,$H337,DATA_GOC!$E:$E,$C337,DATA_GOC!$F:$F,"Xuất nội bộ từ téc",DATA_GOC!$B:$B,"&gt;="&amp;$D337,DATA_GOC!$B:$B,"&lt;="&amp;$E337))</f>
        <v>0</v>
      </c>
      <c r="J337" s="59">
        <f t="shared" si="28"/>
        <v>0</v>
      </c>
      <c r="K337" s="59">
        <f t="shared" si="29"/>
        <v>0</v>
      </c>
      <c r="L337" s="59">
        <f t="shared" si="30"/>
        <v>0</v>
      </c>
      <c r="M337" s="59">
        <f t="shared" si="31"/>
        <v>0</v>
      </c>
    </row>
    <row r="338" ht="15.0" hidden="1" customHeight="1">
      <c r="A338" s="59">
        <f t="shared" si="20"/>
        <v>2</v>
      </c>
      <c r="B338" s="59" t="str">
        <f t="shared" si="21"/>
        <v>Đã chốt</v>
      </c>
      <c r="C338" s="59" t="str">
        <f t="shared" si="22"/>
        <v>Téc 1</v>
      </c>
      <c r="D338" s="45">
        <f t="shared" si="23"/>
        <v>46082</v>
      </c>
      <c r="E338" s="45">
        <f t="shared" si="24"/>
        <v>46121</v>
      </c>
      <c r="F338" s="133">
        <f t="shared" si="25"/>
        <v>4</v>
      </c>
      <c r="G338" s="133">
        <f t="shared" si="26"/>
        <v>2026</v>
      </c>
      <c r="H338" s="59" t="str">
        <f t="shared" si="27"/>
        <v>29E18160</v>
      </c>
      <c r="I338" s="59">
        <f>IF(OR($A338="",$C338="",$D338="",$E338="",$H338=""),"",SUMIFS(DATA_GOC!$H:$H,DATA_GOC!$A:$A,"BOM",DATA_GOC!$D:$D,$H338,DATA_GOC!$E:$E,$C338,DATA_GOC!$F:$F,"Xuất nội bộ từ téc",DATA_GOC!$B:$B,"&gt;="&amp;$D338,DATA_GOC!$B:$B,"&lt;="&amp;$E338))</f>
        <v>0</v>
      </c>
      <c r="J338" s="59">
        <f t="shared" si="28"/>
        <v>0</v>
      </c>
      <c r="K338" s="59">
        <f t="shared" si="29"/>
        <v>0</v>
      </c>
      <c r="L338" s="59">
        <f t="shared" si="30"/>
        <v>0</v>
      </c>
      <c r="M338" s="59">
        <f t="shared" si="31"/>
        <v>0</v>
      </c>
    </row>
    <row r="339" ht="15.0" hidden="1" customHeight="1">
      <c r="A339" s="59">
        <f t="shared" si="20"/>
        <v>2</v>
      </c>
      <c r="B339" s="59" t="str">
        <f t="shared" si="21"/>
        <v>Đã chốt</v>
      </c>
      <c r="C339" s="59" t="str">
        <f t="shared" si="22"/>
        <v>Téc 1</v>
      </c>
      <c r="D339" s="45">
        <f t="shared" si="23"/>
        <v>46082</v>
      </c>
      <c r="E339" s="45">
        <f t="shared" si="24"/>
        <v>46121</v>
      </c>
      <c r="F339" s="133">
        <f t="shared" si="25"/>
        <v>4</v>
      </c>
      <c r="G339" s="133">
        <f t="shared" si="26"/>
        <v>2026</v>
      </c>
      <c r="H339" s="59" t="str">
        <f t="shared" si="27"/>
        <v>Công trình Asphalt</v>
      </c>
      <c r="I339" s="59">
        <f>IF(OR($A339="",$C339="",$D339="",$E339="",$H339=""),"",SUMIFS(DATA_GOC!$H:$H,DATA_GOC!$A:$A,"BOM",DATA_GOC!$D:$D,$H339,DATA_GOC!$E:$E,$C339,DATA_GOC!$F:$F,"Xuất nội bộ từ téc",DATA_GOC!$B:$B,"&gt;="&amp;$D339,DATA_GOC!$B:$B,"&lt;="&amp;$E339))</f>
        <v>0</v>
      </c>
      <c r="J339" s="59">
        <f t="shared" si="28"/>
        <v>0</v>
      </c>
      <c r="K339" s="59">
        <f t="shared" si="29"/>
        <v>0</v>
      </c>
      <c r="L339" s="59">
        <f t="shared" si="30"/>
        <v>0</v>
      </c>
      <c r="M339" s="59">
        <f t="shared" si="31"/>
        <v>0</v>
      </c>
    </row>
    <row r="340" ht="15.0" hidden="1" customHeight="1">
      <c r="A340" s="59">
        <f t="shared" si="20"/>
        <v>2</v>
      </c>
      <c r="B340" s="59" t="str">
        <f t="shared" si="21"/>
        <v>Đã chốt</v>
      </c>
      <c r="C340" s="59" t="str">
        <f t="shared" si="22"/>
        <v>Téc 1</v>
      </c>
      <c r="D340" s="45">
        <f t="shared" si="23"/>
        <v>46082</v>
      </c>
      <c r="E340" s="45">
        <f t="shared" si="24"/>
        <v>46121</v>
      </c>
      <c r="F340" s="133">
        <f t="shared" si="25"/>
        <v>4</v>
      </c>
      <c r="G340" s="133">
        <f t="shared" si="26"/>
        <v>2026</v>
      </c>
      <c r="H340" s="59" t="str">
        <f t="shared" si="27"/>
        <v>LG53F</v>
      </c>
      <c r="I340" s="59">
        <f>IF(OR($A340="",$C340="",$D340="",$E340="",$H340=""),"",SUMIFS(DATA_GOC!$H:$H,DATA_GOC!$A:$A,"BOM",DATA_GOC!$D:$D,$H340,DATA_GOC!$E:$E,$C340,DATA_GOC!$F:$F,"Xuất nội bộ từ téc",DATA_GOC!$B:$B,"&gt;="&amp;$D340,DATA_GOC!$B:$B,"&lt;="&amp;$E340))</f>
        <v>0</v>
      </c>
      <c r="J340" s="59">
        <f t="shared" si="28"/>
        <v>0</v>
      </c>
      <c r="K340" s="59">
        <f t="shared" si="29"/>
        <v>0</v>
      </c>
      <c r="L340" s="59">
        <f t="shared" si="30"/>
        <v>0</v>
      </c>
      <c r="M340" s="59">
        <f t="shared" si="31"/>
        <v>0</v>
      </c>
    </row>
    <row r="341" ht="15.0" hidden="1" customHeight="1">
      <c r="A341" s="59">
        <f t="shared" si="20"/>
        <v>2</v>
      </c>
      <c r="B341" s="59" t="str">
        <f t="shared" si="21"/>
        <v>Đã chốt</v>
      </c>
      <c r="C341" s="59" t="str">
        <f t="shared" si="22"/>
        <v>Téc 1</v>
      </c>
      <c r="D341" s="45">
        <f t="shared" si="23"/>
        <v>46082</v>
      </c>
      <c r="E341" s="45">
        <f t="shared" si="24"/>
        <v>46121</v>
      </c>
      <c r="F341" s="133">
        <f t="shared" si="25"/>
        <v>4</v>
      </c>
      <c r="G341" s="133">
        <f t="shared" si="26"/>
        <v>2026</v>
      </c>
      <c r="H341" s="59" t="str">
        <f t="shared" si="27"/>
        <v>Máy phát điện</v>
      </c>
      <c r="I341" s="59">
        <f>IF(OR($A341="",$C341="",$D341="",$E341="",$H341=""),"",SUMIFS(DATA_GOC!$H:$H,DATA_GOC!$A:$A,"BOM",DATA_GOC!$D:$D,$H341,DATA_GOC!$E:$E,$C341,DATA_GOC!$F:$F,"Xuất nội bộ từ téc",DATA_GOC!$B:$B,"&gt;="&amp;$D341,DATA_GOC!$B:$B,"&lt;="&amp;$E341))</f>
        <v>0</v>
      </c>
      <c r="J341" s="59">
        <f t="shared" si="28"/>
        <v>0</v>
      </c>
      <c r="K341" s="59">
        <f t="shared" si="29"/>
        <v>0</v>
      </c>
      <c r="L341" s="59">
        <f t="shared" si="30"/>
        <v>0</v>
      </c>
      <c r="M341" s="59">
        <f t="shared" si="31"/>
        <v>0</v>
      </c>
    </row>
    <row r="342" ht="15.0" hidden="1" customHeight="1">
      <c r="A342" s="59">
        <f t="shared" si="20"/>
        <v>2</v>
      </c>
      <c r="B342" s="59" t="str">
        <f t="shared" si="21"/>
        <v>Đã chốt</v>
      </c>
      <c r="C342" s="59" t="str">
        <f t="shared" si="22"/>
        <v>Téc 1</v>
      </c>
      <c r="D342" s="45">
        <f t="shared" si="23"/>
        <v>46082</v>
      </c>
      <c r="E342" s="45">
        <f t="shared" si="24"/>
        <v>46121</v>
      </c>
      <c r="F342" s="133">
        <f t="shared" si="25"/>
        <v>4</v>
      </c>
      <c r="G342" s="133">
        <f t="shared" si="26"/>
        <v>2026</v>
      </c>
      <c r="H342" s="59" t="str">
        <f t="shared" si="27"/>
        <v>Máy rải thảm</v>
      </c>
      <c r="I342" s="59">
        <f>IF(OR($A342="",$C342="",$D342="",$E342="",$H342=""),"",SUMIFS(DATA_GOC!$H:$H,DATA_GOC!$A:$A,"BOM",DATA_GOC!$D:$D,$H342,DATA_GOC!$E:$E,$C342,DATA_GOC!$F:$F,"Xuất nội bộ từ téc",DATA_GOC!$B:$B,"&gt;="&amp;$D342,DATA_GOC!$B:$B,"&lt;="&amp;$E342))</f>
        <v>0</v>
      </c>
      <c r="J342" s="59">
        <f t="shared" si="28"/>
        <v>0</v>
      </c>
      <c r="K342" s="59">
        <f t="shared" si="29"/>
        <v>0</v>
      </c>
      <c r="L342" s="59">
        <f t="shared" si="30"/>
        <v>0</v>
      </c>
      <c r="M342" s="59">
        <f t="shared" si="31"/>
        <v>0</v>
      </c>
    </row>
    <row r="343" ht="15.0" hidden="1" customHeight="1">
      <c r="A343" s="59">
        <f t="shared" si="20"/>
        <v>2</v>
      </c>
      <c r="B343" s="59" t="str">
        <f t="shared" si="21"/>
        <v>Đã chốt</v>
      </c>
      <c r="C343" s="59" t="str">
        <f t="shared" si="22"/>
        <v>Téc 1</v>
      </c>
      <c r="D343" s="45">
        <f t="shared" si="23"/>
        <v>46082</v>
      </c>
      <c r="E343" s="45">
        <f t="shared" si="24"/>
        <v>46121</v>
      </c>
      <c r="F343" s="133">
        <f t="shared" si="25"/>
        <v>4</v>
      </c>
      <c r="G343" s="133">
        <f t="shared" si="26"/>
        <v>2026</v>
      </c>
      <c r="H343" s="59" t="str">
        <f t="shared" si="27"/>
        <v>Xúc Đào</v>
      </c>
      <c r="I343" s="59">
        <f>IF(OR($A343="",$C343="",$D343="",$E343="",$H343=""),"",SUMIFS(DATA_GOC!$H:$H,DATA_GOC!$A:$A,"BOM",DATA_GOC!$D:$D,$H343,DATA_GOC!$E:$E,$C343,DATA_GOC!$F:$F,"Xuất nội bộ từ téc",DATA_GOC!$B:$B,"&gt;="&amp;$D343,DATA_GOC!$B:$B,"&lt;="&amp;$E343))</f>
        <v>0</v>
      </c>
      <c r="J343" s="59">
        <f t="shared" si="28"/>
        <v>0</v>
      </c>
      <c r="K343" s="59">
        <f t="shared" si="29"/>
        <v>0</v>
      </c>
      <c r="L343" s="59">
        <f t="shared" si="30"/>
        <v>0</v>
      </c>
      <c r="M343" s="59">
        <f t="shared" si="31"/>
        <v>0</v>
      </c>
    </row>
    <row r="344" ht="15.0" hidden="1" customHeight="1">
      <c r="A344" s="59">
        <f t="shared" si="20"/>
        <v>2</v>
      </c>
      <c r="B344" s="59" t="str">
        <f t="shared" si="21"/>
        <v>Đã chốt</v>
      </c>
      <c r="C344" s="59" t="str">
        <f t="shared" si="22"/>
        <v>Téc 1</v>
      </c>
      <c r="D344" s="45">
        <f t="shared" si="23"/>
        <v>46082</v>
      </c>
      <c r="E344" s="45">
        <f t="shared" si="24"/>
        <v>46121</v>
      </c>
      <c r="F344" s="133">
        <f t="shared" si="25"/>
        <v>4</v>
      </c>
      <c r="G344" s="133">
        <f t="shared" si="26"/>
        <v>2026</v>
      </c>
      <c r="H344" s="59" t="str">
        <f t="shared" si="27"/>
        <v>Xúclật asphalt</v>
      </c>
      <c r="I344" s="59">
        <f>IF(OR($A344="",$C344="",$D344="",$E344="",$H344=""),"",SUMIFS(DATA_GOC!$H:$H,DATA_GOC!$A:$A,"BOM",DATA_GOC!$D:$D,$H344,DATA_GOC!$E:$E,$C344,DATA_GOC!$F:$F,"Xuất nội bộ từ téc",DATA_GOC!$B:$B,"&gt;="&amp;$D344,DATA_GOC!$B:$B,"&lt;="&amp;$E344))</f>
        <v>0</v>
      </c>
      <c r="J344" s="59">
        <f t="shared" si="28"/>
        <v>0</v>
      </c>
      <c r="K344" s="59">
        <f t="shared" si="29"/>
        <v>0</v>
      </c>
      <c r="L344" s="59">
        <f t="shared" si="30"/>
        <v>0</v>
      </c>
      <c r="M344" s="59">
        <f t="shared" si="31"/>
        <v>0</v>
      </c>
    </row>
    <row r="345" ht="15.0" hidden="1" customHeight="1">
      <c r="A345" s="59">
        <f t="shared" si="20"/>
        <v>2</v>
      </c>
      <c r="B345" s="59" t="str">
        <f t="shared" si="21"/>
        <v>Đã chốt</v>
      </c>
      <c r="C345" s="59" t="str">
        <f t="shared" si="22"/>
        <v>Téc 1</v>
      </c>
      <c r="D345" s="45">
        <f t="shared" si="23"/>
        <v>46082</v>
      </c>
      <c r="E345" s="45">
        <f t="shared" si="24"/>
        <v>46121</v>
      </c>
      <c r="F345" s="133">
        <f t="shared" si="25"/>
        <v>4</v>
      </c>
      <c r="G345" s="133">
        <f t="shared" si="26"/>
        <v>2026</v>
      </c>
      <c r="H345" s="59" t="str">
        <f t="shared" si="27"/>
        <v>Xúclật855H</v>
      </c>
      <c r="I345" s="59">
        <f>IF(OR($A345="",$C345="",$D345="",$E345="",$H345=""),"",SUMIFS(DATA_GOC!$H:$H,DATA_GOC!$A:$A,"BOM",DATA_GOC!$D:$D,$H345,DATA_GOC!$E:$E,$C345,DATA_GOC!$F:$F,"Xuất nội bộ từ téc",DATA_GOC!$B:$B,"&gt;="&amp;$D345,DATA_GOC!$B:$B,"&lt;="&amp;$E345))</f>
        <v>313</v>
      </c>
      <c r="J345" s="59">
        <f t="shared" si="28"/>
        <v>2.344</v>
      </c>
      <c r="K345" s="59">
        <f t="shared" si="29"/>
        <v>0</v>
      </c>
      <c r="L345" s="59">
        <f t="shared" si="30"/>
        <v>315.344</v>
      </c>
      <c r="M345" s="59">
        <f t="shared" si="31"/>
        <v>0.03605990783</v>
      </c>
    </row>
    <row r="346" ht="15.0" hidden="1" customHeight="1">
      <c r="A346" s="59">
        <f t="shared" si="20"/>
        <v>2</v>
      </c>
      <c r="B346" s="59" t="str">
        <f t="shared" si="21"/>
        <v>Đã chốt</v>
      </c>
      <c r="C346" s="59" t="str">
        <f t="shared" si="22"/>
        <v>Téc 1</v>
      </c>
      <c r="D346" s="45">
        <f t="shared" si="23"/>
        <v>46082</v>
      </c>
      <c r="E346" s="45">
        <f t="shared" si="24"/>
        <v>46121</v>
      </c>
      <c r="F346" s="133">
        <f t="shared" si="25"/>
        <v>4</v>
      </c>
      <c r="G346" s="133">
        <f t="shared" si="26"/>
        <v>2026</v>
      </c>
      <c r="H346" s="59" t="str">
        <f t="shared" si="27"/>
        <v>Xúclật855N</v>
      </c>
      <c r="I346" s="59">
        <f>IF(OR($A346="",$C346="",$D346="",$E346="",$H346=""),"",SUMIFS(DATA_GOC!$H:$H,DATA_GOC!$A:$A,"BOM",DATA_GOC!$D:$D,$H346,DATA_GOC!$E:$E,$C346,DATA_GOC!$F:$F,"Xuất nội bộ từ téc",DATA_GOC!$B:$B,"&gt;="&amp;$D346,DATA_GOC!$B:$B,"&lt;="&amp;$E346))</f>
        <v>156</v>
      </c>
      <c r="J346" s="59">
        <f t="shared" si="28"/>
        <v>1.168</v>
      </c>
      <c r="K346" s="59">
        <f t="shared" si="29"/>
        <v>0</v>
      </c>
      <c r="L346" s="59">
        <f t="shared" si="30"/>
        <v>157.168</v>
      </c>
      <c r="M346" s="59">
        <f t="shared" si="31"/>
        <v>0.01797235023</v>
      </c>
    </row>
    <row r="347" ht="15.0" hidden="1" customHeight="1">
      <c r="A347" s="59">
        <f t="shared" si="20"/>
        <v>2</v>
      </c>
      <c r="B347" s="59" t="str">
        <f t="shared" si="21"/>
        <v>Đã chốt</v>
      </c>
      <c r="C347" s="59" t="str">
        <f t="shared" si="22"/>
        <v>Téc 1</v>
      </c>
      <c r="D347" s="45">
        <f t="shared" si="23"/>
        <v>46082</v>
      </c>
      <c r="E347" s="45">
        <f t="shared" si="24"/>
        <v>46121</v>
      </c>
      <c r="F347" s="133">
        <f t="shared" si="25"/>
        <v>4</v>
      </c>
      <c r="G347" s="133">
        <f t="shared" si="26"/>
        <v>2026</v>
      </c>
      <c r="H347" s="59" t="str">
        <f t="shared" si="27"/>
        <v>Cát nghiền</v>
      </c>
      <c r="I347" s="59">
        <f>IF(OR($A347="",$C347="",$D347="",$E347="",$H347=""),"",SUMIFS(DATA_GOC!$H:$H,DATA_GOC!$A:$A,"BOM",DATA_GOC!$D:$D,$H347,DATA_GOC!$E:$E,$C347,DATA_GOC!$F:$F,"Xuất nội bộ từ téc",DATA_GOC!$B:$B,"&gt;="&amp;$D347,DATA_GOC!$B:$B,"&lt;="&amp;$E347))</f>
        <v>0</v>
      </c>
      <c r="J347" s="59">
        <f t="shared" si="28"/>
        <v>0</v>
      </c>
      <c r="K347" s="59">
        <f t="shared" si="29"/>
        <v>0</v>
      </c>
      <c r="L347" s="59">
        <f t="shared" si="30"/>
        <v>0</v>
      </c>
      <c r="M347" s="59">
        <f t="shared" si="31"/>
        <v>0</v>
      </c>
    </row>
    <row r="348" ht="15.0" hidden="1" customHeight="1">
      <c r="A348" s="59">
        <f t="shared" si="20"/>
        <v>2</v>
      </c>
      <c r="B348" s="59" t="str">
        <f t="shared" si="21"/>
        <v>Đã chốt</v>
      </c>
      <c r="C348" s="59" t="str">
        <f t="shared" si="22"/>
        <v>Téc 1</v>
      </c>
      <c r="D348" s="45">
        <f t="shared" si="23"/>
        <v>46082</v>
      </c>
      <c r="E348" s="45">
        <f t="shared" si="24"/>
        <v>46121</v>
      </c>
      <c r="F348" s="133">
        <f t="shared" si="25"/>
        <v>4</v>
      </c>
      <c r="G348" s="133">
        <f t="shared" si="26"/>
        <v>2026</v>
      </c>
      <c r="H348" s="59" t="str">
        <f t="shared" si="27"/>
        <v>28C02973</v>
      </c>
      <c r="I348" s="59">
        <f>IF(OR($A348="",$C348="",$D348="",$E348="",$H348=""),"",SUMIFS(DATA_GOC!$H:$H,DATA_GOC!$A:$A,"BOM",DATA_GOC!$D:$D,$H348,DATA_GOC!$E:$E,$C348,DATA_GOC!$F:$F,"Xuất nội bộ từ téc",DATA_GOC!$B:$B,"&gt;="&amp;$D348,DATA_GOC!$B:$B,"&lt;="&amp;$E348))</f>
        <v>0</v>
      </c>
      <c r="J348" s="59">
        <f t="shared" si="28"/>
        <v>0</v>
      </c>
      <c r="K348" s="59">
        <f t="shared" si="29"/>
        <v>0</v>
      </c>
      <c r="L348" s="59">
        <f t="shared" si="30"/>
        <v>0</v>
      </c>
      <c r="M348" s="59">
        <f t="shared" si="31"/>
        <v>0</v>
      </c>
    </row>
    <row r="349" ht="15.0" hidden="1" customHeight="1">
      <c r="A349" s="59">
        <f t="shared" si="20"/>
        <v>2</v>
      </c>
      <c r="B349" s="59" t="str">
        <f t="shared" si="21"/>
        <v>Đã chốt</v>
      </c>
      <c r="C349" s="59" t="str">
        <f t="shared" si="22"/>
        <v>Téc 1</v>
      </c>
      <c r="D349" s="45">
        <f t="shared" si="23"/>
        <v>46082</v>
      </c>
      <c r="E349" s="45">
        <f t="shared" si="24"/>
        <v>46121</v>
      </c>
      <c r="F349" s="133">
        <f t="shared" si="25"/>
        <v>4</v>
      </c>
      <c r="G349" s="133">
        <f t="shared" si="26"/>
        <v>2026</v>
      </c>
      <c r="H349" s="59" t="str">
        <f t="shared" si="27"/>
        <v>28C03044</v>
      </c>
      <c r="I349" s="59">
        <f>IF(OR($A349="",$C349="",$D349="",$E349="",$H349=""),"",SUMIFS(DATA_GOC!$H:$H,DATA_GOC!$A:$A,"BOM",DATA_GOC!$D:$D,$H349,DATA_GOC!$E:$E,$C349,DATA_GOC!$F:$F,"Xuất nội bộ từ téc",DATA_GOC!$B:$B,"&gt;="&amp;$D349,DATA_GOC!$B:$B,"&lt;="&amp;$E349))</f>
        <v>0</v>
      </c>
      <c r="J349" s="59">
        <f t="shared" si="28"/>
        <v>0</v>
      </c>
      <c r="K349" s="59">
        <f t="shared" si="29"/>
        <v>0</v>
      </c>
      <c r="L349" s="59">
        <f t="shared" si="30"/>
        <v>0</v>
      </c>
      <c r="M349" s="59">
        <f t="shared" si="31"/>
        <v>0</v>
      </c>
    </row>
    <row r="350" ht="15.0" hidden="1" customHeight="1">
      <c r="A350" s="59">
        <f t="shared" si="20"/>
        <v>2</v>
      </c>
      <c r="B350" s="59" t="str">
        <f t="shared" si="21"/>
        <v>Đã chốt</v>
      </c>
      <c r="C350" s="59" t="str">
        <f t="shared" si="22"/>
        <v>Téc 1</v>
      </c>
      <c r="D350" s="45">
        <f t="shared" si="23"/>
        <v>46082</v>
      </c>
      <c r="E350" s="45">
        <f t="shared" si="24"/>
        <v>46121</v>
      </c>
      <c r="F350" s="133">
        <f t="shared" si="25"/>
        <v>4</v>
      </c>
      <c r="G350" s="133">
        <f t="shared" si="26"/>
        <v>2026</v>
      </c>
      <c r="H350" s="59" t="str">
        <f t="shared" si="27"/>
        <v>Máy lu lốp</v>
      </c>
      <c r="I350" s="59">
        <f>IF(OR($A350="",$C350="",$D350="",$E350="",$H350=""),"",SUMIFS(DATA_GOC!$H:$H,DATA_GOC!$A:$A,"BOM",DATA_GOC!$D:$D,$H350,DATA_GOC!$E:$E,$C350,DATA_GOC!$F:$F,"Xuất nội bộ từ téc",DATA_GOC!$B:$B,"&gt;="&amp;$D350,DATA_GOC!$B:$B,"&lt;="&amp;$E350))</f>
        <v>0</v>
      </c>
      <c r="J350" s="59">
        <f t="shared" si="28"/>
        <v>0</v>
      </c>
      <c r="K350" s="59">
        <f t="shared" si="29"/>
        <v>0</v>
      </c>
      <c r="L350" s="59">
        <f t="shared" si="30"/>
        <v>0</v>
      </c>
      <c r="M350" s="59">
        <f t="shared" si="31"/>
        <v>0</v>
      </c>
    </row>
    <row r="351" ht="15.0" hidden="1" customHeight="1">
      <c r="A351" s="59">
        <f t="shared" si="20"/>
        <v>2</v>
      </c>
      <c r="B351" s="59" t="str">
        <f t="shared" si="21"/>
        <v>Đã chốt</v>
      </c>
      <c r="C351" s="59" t="str">
        <f t="shared" si="22"/>
        <v>Téc 1</v>
      </c>
      <c r="D351" s="45">
        <f t="shared" si="23"/>
        <v>46082</v>
      </c>
      <c r="E351" s="45">
        <f t="shared" si="24"/>
        <v>46121</v>
      </c>
      <c r="F351" s="133">
        <f t="shared" si="25"/>
        <v>4</v>
      </c>
      <c r="G351" s="133">
        <f t="shared" si="26"/>
        <v>2026</v>
      </c>
      <c r="H351" s="59" t="str">
        <f t="shared" si="27"/>
        <v>Xe 600148</v>
      </c>
      <c r="I351" s="59">
        <f>IF(OR($A351="",$C351="",$D351="",$E351="",$H351=""),"",SUMIFS(DATA_GOC!$H:$H,DATA_GOC!$A:$A,"BOM",DATA_GOC!$D:$D,$H351,DATA_GOC!$E:$E,$C351,DATA_GOC!$F:$F,"Xuất nội bộ từ téc",DATA_GOC!$B:$B,"&gt;="&amp;$D351,DATA_GOC!$B:$B,"&lt;="&amp;$E351))</f>
        <v>0</v>
      </c>
      <c r="J351" s="59">
        <f t="shared" si="28"/>
        <v>0</v>
      </c>
      <c r="K351" s="59">
        <f t="shared" si="29"/>
        <v>0</v>
      </c>
      <c r="L351" s="59">
        <f t="shared" si="30"/>
        <v>0</v>
      </c>
      <c r="M351" s="59">
        <f t="shared" si="31"/>
        <v>0</v>
      </c>
    </row>
    <row r="352" ht="15.0" hidden="1" customHeight="1">
      <c r="A352" s="59">
        <f t="shared" si="20"/>
        <v>2</v>
      </c>
      <c r="B352" s="59" t="str">
        <f t="shared" si="21"/>
        <v>Đã chốt</v>
      </c>
      <c r="C352" s="59" t="str">
        <f t="shared" si="22"/>
        <v>Téc 1</v>
      </c>
      <c r="D352" s="45">
        <f t="shared" si="23"/>
        <v>46082</v>
      </c>
      <c r="E352" s="45">
        <f t="shared" si="24"/>
        <v>46121</v>
      </c>
      <c r="F352" s="133">
        <f t="shared" si="25"/>
        <v>4</v>
      </c>
      <c r="G352" s="133">
        <f t="shared" si="26"/>
        <v>2026</v>
      </c>
      <c r="H352" s="59" t="str">
        <f t="shared" si="27"/>
        <v>Xe ben mới</v>
      </c>
      <c r="I352" s="59">
        <f>IF(OR($A352="",$C352="",$D352="",$E352="",$H352=""),"",SUMIFS(DATA_GOC!$H:$H,DATA_GOC!$A:$A,"BOM",DATA_GOC!$D:$D,$H352,DATA_GOC!$E:$E,$C352,DATA_GOC!$F:$F,"Xuất nội bộ từ téc",DATA_GOC!$B:$B,"&gt;="&amp;$D352,DATA_GOC!$B:$B,"&lt;="&amp;$E352))</f>
        <v>0</v>
      </c>
      <c r="J352" s="59">
        <f t="shared" si="28"/>
        <v>0</v>
      </c>
      <c r="K352" s="59">
        <f t="shared" si="29"/>
        <v>0</v>
      </c>
      <c r="L352" s="59">
        <f t="shared" si="30"/>
        <v>0</v>
      </c>
      <c r="M352" s="59">
        <f t="shared" si="31"/>
        <v>0</v>
      </c>
    </row>
    <row r="353" ht="15.0" hidden="1" customHeight="1">
      <c r="A353" s="59">
        <f t="shared" si="20"/>
        <v>3</v>
      </c>
      <c r="B353" s="59" t="str">
        <f t="shared" si="21"/>
        <v>Đã chốt</v>
      </c>
      <c r="C353" s="59" t="str">
        <f t="shared" si="22"/>
        <v>Téc 1</v>
      </c>
      <c r="D353" s="45">
        <f t="shared" si="23"/>
        <v>46056</v>
      </c>
      <c r="E353" s="45">
        <f t="shared" si="24"/>
        <v>46079</v>
      </c>
      <c r="F353" s="133">
        <f t="shared" si="25"/>
        <v>2</v>
      </c>
      <c r="G353" s="133">
        <f t="shared" si="26"/>
        <v>2026</v>
      </c>
      <c r="H353" s="59" t="str">
        <f t="shared" si="27"/>
        <v>19H09482</v>
      </c>
      <c r="I353" s="59">
        <f>IF(OR($A353="",$C353="",$D353="",$E353="",$H353=""),"",SUMIFS(DATA_GOC!$H:$H,DATA_GOC!$A:$A,"BOM",DATA_GOC!$D:$D,$H353,DATA_GOC!$E:$E,$C353,DATA_GOC!$F:$F,"Xuất nội bộ từ téc",DATA_GOC!$B:$B,"&gt;="&amp;$D353,DATA_GOC!$B:$B,"&lt;="&amp;$E353))</f>
        <v>450</v>
      </c>
      <c r="J353" s="59">
        <f t="shared" si="28"/>
        <v>14.552</v>
      </c>
      <c r="K353" s="59">
        <f t="shared" si="29"/>
        <v>0</v>
      </c>
      <c r="L353" s="59">
        <f t="shared" si="30"/>
        <v>464.552</v>
      </c>
      <c r="M353" s="59">
        <f t="shared" si="31"/>
        <v>0.04157812067</v>
      </c>
    </row>
    <row r="354" ht="15.0" hidden="1" customHeight="1">
      <c r="A354" s="59">
        <f t="shared" si="20"/>
        <v>3</v>
      </c>
      <c r="B354" s="59" t="str">
        <f t="shared" si="21"/>
        <v>Đã chốt</v>
      </c>
      <c r="C354" s="59" t="str">
        <f t="shared" si="22"/>
        <v>Téc 1</v>
      </c>
      <c r="D354" s="45">
        <f t="shared" si="23"/>
        <v>46056</v>
      </c>
      <c r="E354" s="45">
        <f t="shared" si="24"/>
        <v>46079</v>
      </c>
      <c r="F354" s="133">
        <f t="shared" si="25"/>
        <v>2</v>
      </c>
      <c r="G354" s="133">
        <f t="shared" si="26"/>
        <v>2026</v>
      </c>
      <c r="H354" s="59" t="str">
        <f t="shared" si="27"/>
        <v>28A30696</v>
      </c>
      <c r="I354" s="59">
        <f>IF(OR($A354="",$C354="",$D354="",$E354="",$H354=""),"",SUMIFS(DATA_GOC!$H:$H,DATA_GOC!$A:$A,"BOM",DATA_GOC!$D:$D,$H354,DATA_GOC!$E:$E,$C354,DATA_GOC!$F:$F,"Xuất nội bộ từ téc",DATA_GOC!$B:$B,"&gt;="&amp;$D354,DATA_GOC!$B:$B,"&lt;="&amp;$E354))</f>
        <v>0</v>
      </c>
      <c r="J354" s="59">
        <f t="shared" si="28"/>
        <v>0</v>
      </c>
      <c r="K354" s="59">
        <f t="shared" si="29"/>
        <v>0</v>
      </c>
      <c r="L354" s="59">
        <f t="shared" si="30"/>
        <v>0</v>
      </c>
      <c r="M354" s="59">
        <f t="shared" si="31"/>
        <v>0</v>
      </c>
    </row>
    <row r="355" ht="15.0" hidden="1" customHeight="1">
      <c r="A355" s="59">
        <f t="shared" si="20"/>
        <v>3</v>
      </c>
      <c r="B355" s="59" t="str">
        <f t="shared" si="21"/>
        <v>Đã chốt</v>
      </c>
      <c r="C355" s="59" t="str">
        <f t="shared" si="22"/>
        <v>Téc 1</v>
      </c>
      <c r="D355" s="45">
        <f t="shared" si="23"/>
        <v>46056</v>
      </c>
      <c r="E355" s="45">
        <f t="shared" si="24"/>
        <v>46079</v>
      </c>
      <c r="F355" s="133">
        <f t="shared" si="25"/>
        <v>2</v>
      </c>
      <c r="G355" s="133">
        <f t="shared" si="26"/>
        <v>2026</v>
      </c>
      <c r="H355" s="59" t="str">
        <f t="shared" si="27"/>
        <v>28C00462</v>
      </c>
      <c r="I355" s="59">
        <f>IF(OR($A355="",$C355="",$D355="",$E355="",$H355=""),"",SUMIFS(DATA_GOC!$H:$H,DATA_GOC!$A:$A,"BOM",DATA_GOC!$D:$D,$H355,DATA_GOC!$E:$E,$C355,DATA_GOC!$F:$F,"Xuất nội bộ từ téc",DATA_GOC!$B:$B,"&gt;="&amp;$D355,DATA_GOC!$B:$B,"&lt;="&amp;$E355))</f>
        <v>395</v>
      </c>
      <c r="J355" s="59">
        <f t="shared" si="28"/>
        <v>12.774</v>
      </c>
      <c r="K355" s="59">
        <f t="shared" si="29"/>
        <v>0</v>
      </c>
      <c r="L355" s="59">
        <f t="shared" si="30"/>
        <v>407.774</v>
      </c>
      <c r="M355" s="59">
        <f t="shared" si="31"/>
        <v>0.03649635036</v>
      </c>
    </row>
    <row r="356" ht="15.0" hidden="1" customHeight="1">
      <c r="A356" s="59">
        <f t="shared" si="20"/>
        <v>3</v>
      </c>
      <c r="B356" s="59" t="str">
        <f t="shared" si="21"/>
        <v>Đã chốt</v>
      </c>
      <c r="C356" s="59" t="str">
        <f t="shared" si="22"/>
        <v>Téc 1</v>
      </c>
      <c r="D356" s="45">
        <f t="shared" si="23"/>
        <v>46056</v>
      </c>
      <c r="E356" s="45">
        <f t="shared" si="24"/>
        <v>46079</v>
      </c>
      <c r="F356" s="133">
        <f t="shared" si="25"/>
        <v>2</v>
      </c>
      <c r="G356" s="133">
        <f t="shared" si="26"/>
        <v>2026</v>
      </c>
      <c r="H356" s="59" t="str">
        <f t="shared" si="27"/>
        <v>28C01165</v>
      </c>
      <c r="I356" s="59">
        <f>IF(OR($A356="",$C356="",$D356="",$E356="",$H356=""),"",SUMIFS(DATA_GOC!$H:$H,DATA_GOC!$A:$A,"BOM",DATA_GOC!$D:$D,$H356,DATA_GOC!$E:$E,$C356,DATA_GOC!$F:$F,"Xuất nội bộ từ téc",DATA_GOC!$B:$B,"&gt;="&amp;$D356,DATA_GOC!$B:$B,"&lt;="&amp;$E356))</f>
        <v>0</v>
      </c>
      <c r="J356" s="59">
        <f t="shared" si="28"/>
        <v>0</v>
      </c>
      <c r="K356" s="59">
        <f t="shared" si="29"/>
        <v>0</v>
      </c>
      <c r="L356" s="59">
        <f t="shared" si="30"/>
        <v>0</v>
      </c>
      <c r="M356" s="59">
        <f t="shared" si="31"/>
        <v>0</v>
      </c>
    </row>
    <row r="357" ht="15.0" hidden="1" customHeight="1">
      <c r="A357" s="59">
        <f t="shared" si="20"/>
        <v>3</v>
      </c>
      <c r="B357" s="59" t="str">
        <f t="shared" si="21"/>
        <v>Đã chốt</v>
      </c>
      <c r="C357" s="59" t="str">
        <f t="shared" si="22"/>
        <v>Téc 1</v>
      </c>
      <c r="D357" s="45">
        <f t="shared" si="23"/>
        <v>46056</v>
      </c>
      <c r="E357" s="45">
        <f t="shared" si="24"/>
        <v>46079</v>
      </c>
      <c r="F357" s="133">
        <f t="shared" si="25"/>
        <v>2</v>
      </c>
      <c r="G357" s="133">
        <f t="shared" si="26"/>
        <v>2026</v>
      </c>
      <c r="H357" s="59" t="str">
        <f t="shared" si="27"/>
        <v>28C01406</v>
      </c>
      <c r="I357" s="59">
        <f>IF(OR($A357="",$C357="",$D357="",$E357="",$H357=""),"",SUMIFS(DATA_GOC!$H:$H,DATA_GOC!$A:$A,"BOM",DATA_GOC!$D:$D,$H357,DATA_GOC!$E:$E,$C357,DATA_GOC!$F:$F,"Xuất nội bộ từ téc",DATA_GOC!$B:$B,"&gt;="&amp;$D357,DATA_GOC!$B:$B,"&lt;="&amp;$E357))</f>
        <v>0</v>
      </c>
      <c r="J357" s="59">
        <f t="shared" si="28"/>
        <v>0</v>
      </c>
      <c r="K357" s="59">
        <f t="shared" si="29"/>
        <v>0</v>
      </c>
      <c r="L357" s="59">
        <f t="shared" si="30"/>
        <v>0</v>
      </c>
      <c r="M357" s="59">
        <f t="shared" si="31"/>
        <v>0</v>
      </c>
    </row>
    <row r="358" ht="15.0" hidden="1" customHeight="1">
      <c r="A358" s="59">
        <f t="shared" si="20"/>
        <v>3</v>
      </c>
      <c r="B358" s="59" t="str">
        <f t="shared" si="21"/>
        <v>Đã chốt</v>
      </c>
      <c r="C358" s="59" t="str">
        <f t="shared" si="22"/>
        <v>Téc 1</v>
      </c>
      <c r="D358" s="45">
        <f t="shared" si="23"/>
        <v>46056</v>
      </c>
      <c r="E358" s="45">
        <f t="shared" si="24"/>
        <v>46079</v>
      </c>
      <c r="F358" s="133">
        <f t="shared" si="25"/>
        <v>2</v>
      </c>
      <c r="G358" s="133">
        <f t="shared" si="26"/>
        <v>2026</v>
      </c>
      <c r="H358" s="59" t="str">
        <f t="shared" si="27"/>
        <v>28C01544</v>
      </c>
      <c r="I358" s="59">
        <f>IF(OR($A358="",$C358="",$D358="",$E358="",$H358=""),"",SUMIFS(DATA_GOC!$H:$H,DATA_GOC!$A:$A,"BOM",DATA_GOC!$D:$D,$H358,DATA_GOC!$E:$E,$C358,DATA_GOC!$F:$F,"Xuất nội bộ từ téc",DATA_GOC!$B:$B,"&gt;="&amp;$D358,DATA_GOC!$B:$B,"&lt;="&amp;$E358))</f>
        <v>60</v>
      </c>
      <c r="J358" s="59">
        <f t="shared" si="28"/>
        <v>1.94</v>
      </c>
      <c r="K358" s="59">
        <f t="shared" si="29"/>
        <v>0</v>
      </c>
      <c r="L358" s="59">
        <f t="shared" si="30"/>
        <v>61.94</v>
      </c>
      <c r="M358" s="59">
        <f t="shared" si="31"/>
        <v>0.005543749423</v>
      </c>
    </row>
    <row r="359" ht="15.0" hidden="1" customHeight="1">
      <c r="A359" s="59">
        <f t="shared" si="20"/>
        <v>3</v>
      </c>
      <c r="B359" s="59" t="str">
        <f t="shared" si="21"/>
        <v>Đã chốt</v>
      </c>
      <c r="C359" s="59" t="str">
        <f t="shared" si="22"/>
        <v>Téc 1</v>
      </c>
      <c r="D359" s="45">
        <f t="shared" si="23"/>
        <v>46056</v>
      </c>
      <c r="E359" s="45">
        <f t="shared" si="24"/>
        <v>46079</v>
      </c>
      <c r="F359" s="133">
        <f t="shared" si="25"/>
        <v>2</v>
      </c>
      <c r="G359" s="133">
        <f t="shared" si="26"/>
        <v>2026</v>
      </c>
      <c r="H359" s="59" t="str">
        <f t="shared" si="27"/>
        <v>28C01622</v>
      </c>
      <c r="I359" s="59">
        <f>IF(OR($A359="",$C359="",$D359="",$E359="",$H359=""),"",SUMIFS(DATA_GOC!$H:$H,DATA_GOC!$A:$A,"BOM",DATA_GOC!$D:$D,$H359,DATA_GOC!$E:$E,$C359,DATA_GOC!$F:$F,"Xuất nội bộ từ téc",DATA_GOC!$B:$B,"&gt;="&amp;$D359,DATA_GOC!$B:$B,"&lt;="&amp;$E359))</f>
        <v>400</v>
      </c>
      <c r="J359" s="59">
        <f t="shared" si="28"/>
        <v>12.935</v>
      </c>
      <c r="K359" s="59">
        <f t="shared" si="29"/>
        <v>0</v>
      </c>
      <c r="L359" s="59">
        <f t="shared" si="30"/>
        <v>412.935</v>
      </c>
      <c r="M359" s="59">
        <f t="shared" si="31"/>
        <v>0.03695832948</v>
      </c>
    </row>
    <row r="360" ht="15.0" hidden="1" customHeight="1">
      <c r="A360" s="59">
        <f t="shared" si="20"/>
        <v>3</v>
      </c>
      <c r="B360" s="59" t="str">
        <f t="shared" si="21"/>
        <v>Đã chốt</v>
      </c>
      <c r="C360" s="59" t="str">
        <f t="shared" si="22"/>
        <v>Téc 1</v>
      </c>
      <c r="D360" s="45">
        <f t="shared" si="23"/>
        <v>46056</v>
      </c>
      <c r="E360" s="45">
        <f t="shared" si="24"/>
        <v>46079</v>
      </c>
      <c r="F360" s="133">
        <f t="shared" si="25"/>
        <v>2</v>
      </c>
      <c r="G360" s="133">
        <f t="shared" si="26"/>
        <v>2026</v>
      </c>
      <c r="H360" s="59" t="str">
        <f t="shared" si="27"/>
        <v>28C01647</v>
      </c>
      <c r="I360" s="59">
        <f>IF(OR($A360="",$C360="",$D360="",$E360="",$H360=""),"",SUMIFS(DATA_GOC!$H:$H,DATA_GOC!$A:$A,"BOM",DATA_GOC!$D:$D,$H360,DATA_GOC!$E:$E,$C360,DATA_GOC!$F:$F,"Xuất nội bộ từ téc",DATA_GOC!$B:$B,"&gt;="&amp;$D360,DATA_GOC!$B:$B,"&lt;="&amp;$E360))</f>
        <v>390</v>
      </c>
      <c r="J360" s="59">
        <f t="shared" si="28"/>
        <v>12.612</v>
      </c>
      <c r="K360" s="59">
        <f t="shared" si="29"/>
        <v>0</v>
      </c>
      <c r="L360" s="59">
        <f t="shared" si="30"/>
        <v>402.612</v>
      </c>
      <c r="M360" s="59">
        <f t="shared" si="31"/>
        <v>0.03603437125</v>
      </c>
    </row>
    <row r="361" ht="15.0" hidden="1" customHeight="1">
      <c r="A361" s="59">
        <f t="shared" si="20"/>
        <v>3</v>
      </c>
      <c r="B361" s="59" t="str">
        <f t="shared" si="21"/>
        <v>Đã chốt</v>
      </c>
      <c r="C361" s="59" t="str">
        <f t="shared" si="22"/>
        <v>Téc 1</v>
      </c>
      <c r="D361" s="45">
        <f t="shared" si="23"/>
        <v>46056</v>
      </c>
      <c r="E361" s="45">
        <f t="shared" si="24"/>
        <v>46079</v>
      </c>
      <c r="F361" s="133">
        <f t="shared" si="25"/>
        <v>2</v>
      </c>
      <c r="G361" s="133">
        <f t="shared" si="26"/>
        <v>2026</v>
      </c>
      <c r="H361" s="59" t="str">
        <f t="shared" si="27"/>
        <v>28C01731</v>
      </c>
      <c r="I361" s="59">
        <f>IF(OR($A361="",$C361="",$D361="",$E361="",$H361=""),"",SUMIFS(DATA_GOC!$H:$H,DATA_GOC!$A:$A,"BOM",DATA_GOC!$D:$D,$H361,DATA_GOC!$E:$E,$C361,DATA_GOC!$F:$F,"Xuất nội bộ từ téc",DATA_GOC!$B:$B,"&gt;="&amp;$D361,DATA_GOC!$B:$B,"&lt;="&amp;$E361))</f>
        <v>110</v>
      </c>
      <c r="J361" s="59">
        <f t="shared" si="28"/>
        <v>3.557</v>
      </c>
      <c r="K361" s="59">
        <f t="shared" si="29"/>
        <v>0</v>
      </c>
      <c r="L361" s="59">
        <f t="shared" si="30"/>
        <v>113.557</v>
      </c>
      <c r="M361" s="59">
        <f t="shared" si="31"/>
        <v>0.01016354061</v>
      </c>
    </row>
    <row r="362" ht="15.0" hidden="1" customHeight="1">
      <c r="A362" s="59">
        <f t="shared" si="20"/>
        <v>3</v>
      </c>
      <c r="B362" s="59" t="str">
        <f t="shared" si="21"/>
        <v>Đã chốt</v>
      </c>
      <c r="C362" s="59" t="str">
        <f t="shared" si="22"/>
        <v>Téc 1</v>
      </c>
      <c r="D362" s="45">
        <f t="shared" si="23"/>
        <v>46056</v>
      </c>
      <c r="E362" s="45">
        <f t="shared" si="24"/>
        <v>46079</v>
      </c>
      <c r="F362" s="133">
        <f t="shared" si="25"/>
        <v>2</v>
      </c>
      <c r="G362" s="133">
        <f t="shared" si="26"/>
        <v>2026</v>
      </c>
      <c r="H362" s="59" t="str">
        <f t="shared" si="27"/>
        <v>28C01743</v>
      </c>
      <c r="I362" s="59">
        <f>IF(OR($A362="",$C362="",$D362="",$E362="",$H362=""),"",SUMIFS(DATA_GOC!$H:$H,DATA_GOC!$A:$A,"BOM",DATA_GOC!$D:$D,$H362,DATA_GOC!$E:$E,$C362,DATA_GOC!$F:$F,"Xuất nội bộ từ téc",DATA_GOC!$B:$B,"&gt;="&amp;$D362,DATA_GOC!$B:$B,"&lt;="&amp;$E362))</f>
        <v>0</v>
      </c>
      <c r="J362" s="59">
        <f t="shared" si="28"/>
        <v>0</v>
      </c>
      <c r="K362" s="59">
        <f t="shared" si="29"/>
        <v>0</v>
      </c>
      <c r="L362" s="59">
        <f t="shared" si="30"/>
        <v>0</v>
      </c>
      <c r="M362" s="59">
        <f t="shared" si="31"/>
        <v>0</v>
      </c>
    </row>
    <row r="363" ht="15.0" hidden="1" customHeight="1">
      <c r="A363" s="59">
        <f t="shared" si="20"/>
        <v>3</v>
      </c>
      <c r="B363" s="59" t="str">
        <f t="shared" si="21"/>
        <v>Đã chốt</v>
      </c>
      <c r="C363" s="59" t="str">
        <f t="shared" si="22"/>
        <v>Téc 1</v>
      </c>
      <c r="D363" s="45">
        <f t="shared" si="23"/>
        <v>46056</v>
      </c>
      <c r="E363" s="45">
        <f t="shared" si="24"/>
        <v>46079</v>
      </c>
      <c r="F363" s="133">
        <f t="shared" si="25"/>
        <v>2</v>
      </c>
      <c r="G363" s="133">
        <f t="shared" si="26"/>
        <v>2026</v>
      </c>
      <c r="H363" s="59" t="str">
        <f t="shared" si="27"/>
        <v>28C02106</v>
      </c>
      <c r="I363" s="59">
        <f>IF(OR($A363="",$C363="",$D363="",$E363="",$H363=""),"",SUMIFS(DATA_GOC!$H:$H,DATA_GOC!$A:$A,"BOM",DATA_GOC!$D:$D,$H363,DATA_GOC!$E:$E,$C363,DATA_GOC!$F:$F,"Xuất nội bộ từ téc",DATA_GOC!$B:$B,"&gt;="&amp;$D363,DATA_GOC!$B:$B,"&lt;="&amp;$E363))</f>
        <v>389</v>
      </c>
      <c r="J363" s="59">
        <f t="shared" si="28"/>
        <v>12.58</v>
      </c>
      <c r="K363" s="59">
        <f t="shared" si="29"/>
        <v>0</v>
      </c>
      <c r="L363" s="59">
        <f t="shared" si="30"/>
        <v>401.58</v>
      </c>
      <c r="M363" s="59">
        <f t="shared" si="31"/>
        <v>0.03594197542</v>
      </c>
    </row>
    <row r="364" ht="15.0" hidden="1" customHeight="1">
      <c r="A364" s="59">
        <f t="shared" si="20"/>
        <v>3</v>
      </c>
      <c r="B364" s="59" t="str">
        <f t="shared" si="21"/>
        <v>Đã chốt</v>
      </c>
      <c r="C364" s="59" t="str">
        <f t="shared" si="22"/>
        <v>Téc 1</v>
      </c>
      <c r="D364" s="45">
        <f t="shared" si="23"/>
        <v>46056</v>
      </c>
      <c r="E364" s="45">
        <f t="shared" si="24"/>
        <v>46079</v>
      </c>
      <c r="F364" s="133">
        <f t="shared" si="25"/>
        <v>2</v>
      </c>
      <c r="G364" s="133">
        <f t="shared" si="26"/>
        <v>2026</v>
      </c>
      <c r="H364" s="59" t="str">
        <f t="shared" si="27"/>
        <v>28C02410</v>
      </c>
      <c r="I364" s="59">
        <f>IF(OR($A364="",$C364="",$D364="",$E364="",$H364=""),"",SUMIFS(DATA_GOC!$H:$H,DATA_GOC!$A:$A,"BOM",DATA_GOC!$D:$D,$H364,DATA_GOC!$E:$E,$C364,DATA_GOC!$F:$F,"Xuất nội bộ từ téc",DATA_GOC!$B:$B,"&gt;="&amp;$D364,DATA_GOC!$B:$B,"&lt;="&amp;$E364))</f>
        <v>0</v>
      </c>
      <c r="J364" s="59">
        <f t="shared" si="28"/>
        <v>0</v>
      </c>
      <c r="K364" s="59">
        <f t="shared" si="29"/>
        <v>0</v>
      </c>
      <c r="L364" s="59">
        <f t="shared" si="30"/>
        <v>0</v>
      </c>
      <c r="M364" s="59">
        <f t="shared" si="31"/>
        <v>0</v>
      </c>
    </row>
    <row r="365" ht="15.0" hidden="1" customHeight="1">
      <c r="A365" s="59">
        <f t="shared" si="20"/>
        <v>3</v>
      </c>
      <c r="B365" s="59" t="str">
        <f t="shared" si="21"/>
        <v>Đã chốt</v>
      </c>
      <c r="C365" s="59" t="str">
        <f t="shared" si="22"/>
        <v>Téc 1</v>
      </c>
      <c r="D365" s="45">
        <f t="shared" si="23"/>
        <v>46056</v>
      </c>
      <c r="E365" s="45">
        <f t="shared" si="24"/>
        <v>46079</v>
      </c>
      <c r="F365" s="133">
        <f t="shared" si="25"/>
        <v>2</v>
      </c>
      <c r="G365" s="133">
        <f t="shared" si="26"/>
        <v>2026</v>
      </c>
      <c r="H365" s="59" t="str">
        <f t="shared" si="27"/>
        <v>28C02545</v>
      </c>
      <c r="I365" s="59">
        <f>IF(OR($A365="",$C365="",$D365="",$E365="",$H365=""),"",SUMIFS(DATA_GOC!$H:$H,DATA_GOC!$A:$A,"BOM",DATA_GOC!$D:$D,$H365,DATA_GOC!$E:$E,$C365,DATA_GOC!$F:$F,"Xuất nội bộ từ téc",DATA_GOC!$B:$B,"&gt;="&amp;$D365,DATA_GOC!$B:$B,"&lt;="&amp;$E365))</f>
        <v>116</v>
      </c>
      <c r="J365" s="59">
        <f t="shared" si="28"/>
        <v>3.751</v>
      </c>
      <c r="K365" s="59">
        <f t="shared" si="29"/>
        <v>0</v>
      </c>
      <c r="L365" s="59">
        <f t="shared" si="30"/>
        <v>119.751</v>
      </c>
      <c r="M365" s="59">
        <f t="shared" si="31"/>
        <v>0.01071791555</v>
      </c>
    </row>
    <row r="366" ht="15.0" hidden="1" customHeight="1">
      <c r="A366" s="59">
        <f t="shared" si="20"/>
        <v>3</v>
      </c>
      <c r="B366" s="59" t="str">
        <f t="shared" si="21"/>
        <v>Đã chốt</v>
      </c>
      <c r="C366" s="59" t="str">
        <f t="shared" si="22"/>
        <v>Téc 1</v>
      </c>
      <c r="D366" s="45">
        <f t="shared" si="23"/>
        <v>46056</v>
      </c>
      <c r="E366" s="45">
        <f t="shared" si="24"/>
        <v>46079</v>
      </c>
      <c r="F366" s="133">
        <f t="shared" si="25"/>
        <v>2</v>
      </c>
      <c r="G366" s="133">
        <f t="shared" si="26"/>
        <v>2026</v>
      </c>
      <c r="H366" s="59" t="str">
        <f t="shared" si="27"/>
        <v>28C02574</v>
      </c>
      <c r="I366" s="59">
        <f>IF(OR($A366="",$C366="",$D366="",$E366="",$H366=""),"",SUMIFS(DATA_GOC!$H:$H,DATA_GOC!$A:$A,"BOM",DATA_GOC!$D:$D,$H366,DATA_GOC!$E:$E,$C366,DATA_GOC!$F:$F,"Xuất nội bộ từ téc",DATA_GOC!$B:$B,"&gt;="&amp;$D366,DATA_GOC!$B:$B,"&lt;="&amp;$E366))</f>
        <v>217</v>
      </c>
      <c r="J366" s="59">
        <f t="shared" si="28"/>
        <v>7.017</v>
      </c>
      <c r="K366" s="59">
        <f t="shared" si="29"/>
        <v>0</v>
      </c>
      <c r="L366" s="59">
        <f t="shared" si="30"/>
        <v>224.017</v>
      </c>
      <c r="M366" s="59">
        <f t="shared" si="31"/>
        <v>0.02004989374</v>
      </c>
    </row>
    <row r="367" ht="15.0" hidden="1" customHeight="1">
      <c r="A367" s="59">
        <f t="shared" si="20"/>
        <v>3</v>
      </c>
      <c r="B367" s="59" t="str">
        <f t="shared" si="21"/>
        <v>Đã chốt</v>
      </c>
      <c r="C367" s="59" t="str">
        <f t="shared" si="22"/>
        <v>Téc 1</v>
      </c>
      <c r="D367" s="45">
        <f t="shared" si="23"/>
        <v>46056</v>
      </c>
      <c r="E367" s="45">
        <f t="shared" si="24"/>
        <v>46079</v>
      </c>
      <c r="F367" s="133">
        <f t="shared" si="25"/>
        <v>2</v>
      </c>
      <c r="G367" s="133">
        <f t="shared" si="26"/>
        <v>2026</v>
      </c>
      <c r="H367" s="59" t="str">
        <f t="shared" si="27"/>
        <v>28C02770</v>
      </c>
      <c r="I367" s="59">
        <f>IF(OR($A367="",$C367="",$D367="",$E367="",$H367=""),"",SUMIFS(DATA_GOC!$H:$H,DATA_GOC!$A:$A,"BOM",DATA_GOC!$D:$D,$H367,DATA_GOC!$E:$E,$C367,DATA_GOC!$F:$F,"Xuất nội bộ từ téc",DATA_GOC!$B:$B,"&gt;="&amp;$D367,DATA_GOC!$B:$B,"&lt;="&amp;$E367))</f>
        <v>0</v>
      </c>
      <c r="J367" s="59">
        <f t="shared" si="28"/>
        <v>0</v>
      </c>
      <c r="K367" s="59">
        <f t="shared" si="29"/>
        <v>0</v>
      </c>
      <c r="L367" s="59">
        <f t="shared" si="30"/>
        <v>0</v>
      </c>
      <c r="M367" s="59">
        <f t="shared" si="31"/>
        <v>0</v>
      </c>
    </row>
    <row r="368" ht="15.0" hidden="1" customHeight="1">
      <c r="A368" s="59">
        <f t="shared" si="20"/>
        <v>3</v>
      </c>
      <c r="B368" s="59" t="str">
        <f t="shared" si="21"/>
        <v>Đã chốt</v>
      </c>
      <c r="C368" s="59" t="str">
        <f t="shared" si="22"/>
        <v>Téc 1</v>
      </c>
      <c r="D368" s="45">
        <f t="shared" si="23"/>
        <v>46056</v>
      </c>
      <c r="E368" s="45">
        <f t="shared" si="24"/>
        <v>46079</v>
      </c>
      <c r="F368" s="133">
        <f t="shared" si="25"/>
        <v>2</v>
      </c>
      <c r="G368" s="133">
        <f t="shared" si="26"/>
        <v>2026</v>
      </c>
      <c r="H368" s="59" t="str">
        <f t="shared" si="27"/>
        <v>28C02986</v>
      </c>
      <c r="I368" s="59">
        <f>IF(OR($A368="",$C368="",$D368="",$E368="",$H368=""),"",SUMIFS(DATA_GOC!$H:$H,DATA_GOC!$A:$A,"BOM",DATA_GOC!$D:$D,$H368,DATA_GOC!$E:$E,$C368,DATA_GOC!$F:$F,"Xuất nội bộ từ téc",DATA_GOC!$B:$B,"&gt;="&amp;$D368,DATA_GOC!$B:$B,"&lt;="&amp;$E368))</f>
        <v>406</v>
      </c>
      <c r="J368" s="59">
        <f t="shared" si="28"/>
        <v>13.129</v>
      </c>
      <c r="K368" s="59">
        <f t="shared" si="29"/>
        <v>0</v>
      </c>
      <c r="L368" s="59">
        <f t="shared" si="30"/>
        <v>419.129</v>
      </c>
      <c r="M368" s="59">
        <f t="shared" si="31"/>
        <v>0.03751270443</v>
      </c>
    </row>
    <row r="369" ht="15.0" hidden="1" customHeight="1">
      <c r="A369" s="59">
        <f t="shared" si="20"/>
        <v>3</v>
      </c>
      <c r="B369" s="59" t="str">
        <f t="shared" si="21"/>
        <v>Đã chốt</v>
      </c>
      <c r="C369" s="59" t="str">
        <f t="shared" si="22"/>
        <v>Téc 1</v>
      </c>
      <c r="D369" s="45">
        <f t="shared" si="23"/>
        <v>46056</v>
      </c>
      <c r="E369" s="45">
        <f t="shared" si="24"/>
        <v>46079</v>
      </c>
      <c r="F369" s="133">
        <f t="shared" si="25"/>
        <v>2</v>
      </c>
      <c r="G369" s="133">
        <f t="shared" si="26"/>
        <v>2026</v>
      </c>
      <c r="H369" s="59" t="str">
        <f t="shared" si="27"/>
        <v>28C03261</v>
      </c>
      <c r="I369" s="59">
        <f>IF(OR($A369="",$C369="",$D369="",$E369="",$H369=""),"",SUMIFS(DATA_GOC!$H:$H,DATA_GOC!$A:$A,"BOM",DATA_GOC!$D:$D,$H369,DATA_GOC!$E:$E,$C369,DATA_GOC!$F:$F,"Xuất nội bộ từ téc",DATA_GOC!$B:$B,"&gt;="&amp;$D369,DATA_GOC!$B:$B,"&lt;="&amp;$E369))</f>
        <v>0</v>
      </c>
      <c r="J369" s="59">
        <f t="shared" si="28"/>
        <v>0</v>
      </c>
      <c r="K369" s="59">
        <f t="shared" si="29"/>
        <v>0</v>
      </c>
      <c r="L369" s="59">
        <f t="shared" si="30"/>
        <v>0</v>
      </c>
      <c r="M369" s="59">
        <f t="shared" si="31"/>
        <v>0</v>
      </c>
    </row>
    <row r="370" ht="15.0" hidden="1" customHeight="1">
      <c r="A370" s="59">
        <f t="shared" si="20"/>
        <v>3</v>
      </c>
      <c r="B370" s="59" t="str">
        <f t="shared" si="21"/>
        <v>Đã chốt</v>
      </c>
      <c r="C370" s="59" t="str">
        <f t="shared" si="22"/>
        <v>Téc 1</v>
      </c>
      <c r="D370" s="45">
        <f t="shared" si="23"/>
        <v>46056</v>
      </c>
      <c r="E370" s="45">
        <f t="shared" si="24"/>
        <v>46079</v>
      </c>
      <c r="F370" s="133">
        <f t="shared" si="25"/>
        <v>2</v>
      </c>
      <c r="G370" s="133">
        <f t="shared" si="26"/>
        <v>2026</v>
      </c>
      <c r="H370" s="59" t="str">
        <f t="shared" si="27"/>
        <v>28C03323</v>
      </c>
      <c r="I370" s="59">
        <f>IF(OR($A370="",$C370="",$D370="",$E370="",$H370=""),"",SUMIFS(DATA_GOC!$H:$H,DATA_GOC!$A:$A,"BOM",DATA_GOC!$D:$D,$H370,DATA_GOC!$E:$E,$C370,DATA_GOC!$F:$F,"Xuất nội bộ từ téc",DATA_GOC!$B:$B,"&gt;="&amp;$D370,DATA_GOC!$B:$B,"&lt;="&amp;$E370))</f>
        <v>235</v>
      </c>
      <c r="J370" s="59">
        <f t="shared" si="28"/>
        <v>7.6</v>
      </c>
      <c r="K370" s="59">
        <f t="shared" si="29"/>
        <v>0</v>
      </c>
      <c r="L370" s="59">
        <f t="shared" si="30"/>
        <v>242.6</v>
      </c>
      <c r="M370" s="59">
        <f t="shared" si="31"/>
        <v>0.02171301857</v>
      </c>
    </row>
    <row r="371" ht="15.0" hidden="1" customHeight="1">
      <c r="A371" s="59">
        <f t="shared" si="20"/>
        <v>3</v>
      </c>
      <c r="B371" s="59" t="str">
        <f t="shared" si="21"/>
        <v>Đã chốt</v>
      </c>
      <c r="C371" s="59" t="str">
        <f t="shared" si="22"/>
        <v>Téc 1</v>
      </c>
      <c r="D371" s="45">
        <f t="shared" si="23"/>
        <v>46056</v>
      </c>
      <c r="E371" s="45">
        <f t="shared" si="24"/>
        <v>46079</v>
      </c>
      <c r="F371" s="133">
        <f t="shared" si="25"/>
        <v>2</v>
      </c>
      <c r="G371" s="133">
        <f t="shared" si="26"/>
        <v>2026</v>
      </c>
      <c r="H371" s="59" t="str">
        <f t="shared" si="27"/>
        <v>28C03385</v>
      </c>
      <c r="I371" s="59">
        <f>IF(OR($A371="",$C371="",$D371="",$E371="",$H371=""),"",SUMIFS(DATA_GOC!$H:$H,DATA_GOC!$A:$A,"BOM",DATA_GOC!$D:$D,$H371,DATA_GOC!$E:$E,$C371,DATA_GOC!$F:$F,"Xuất nội bộ từ téc",DATA_GOC!$B:$B,"&gt;="&amp;$D371,DATA_GOC!$B:$B,"&lt;="&amp;$E371))</f>
        <v>260</v>
      </c>
      <c r="J371" s="59">
        <f t="shared" si="28"/>
        <v>8.408</v>
      </c>
      <c r="K371" s="59">
        <f t="shared" si="29"/>
        <v>0</v>
      </c>
      <c r="L371" s="59">
        <f t="shared" si="30"/>
        <v>268.408</v>
      </c>
      <c r="M371" s="59">
        <f t="shared" si="31"/>
        <v>0.02402291416</v>
      </c>
    </row>
    <row r="372" ht="15.0" hidden="1" customHeight="1">
      <c r="A372" s="59">
        <f t="shared" si="20"/>
        <v>3</v>
      </c>
      <c r="B372" s="59" t="str">
        <f t="shared" si="21"/>
        <v>Đã chốt</v>
      </c>
      <c r="C372" s="59" t="str">
        <f t="shared" si="22"/>
        <v>Téc 1</v>
      </c>
      <c r="D372" s="45">
        <f t="shared" si="23"/>
        <v>46056</v>
      </c>
      <c r="E372" s="45">
        <f t="shared" si="24"/>
        <v>46079</v>
      </c>
      <c r="F372" s="133">
        <f t="shared" si="25"/>
        <v>2</v>
      </c>
      <c r="G372" s="133">
        <f t="shared" si="26"/>
        <v>2026</v>
      </c>
      <c r="H372" s="59" t="str">
        <f t="shared" si="27"/>
        <v>28C03652</v>
      </c>
      <c r="I372" s="59">
        <f>IF(OR($A372="",$C372="",$D372="",$E372="",$H372=""),"",SUMIFS(DATA_GOC!$H:$H,DATA_GOC!$A:$A,"BOM",DATA_GOC!$D:$D,$H372,DATA_GOC!$E:$E,$C372,DATA_GOC!$F:$F,"Xuất nội bộ từ téc",DATA_GOC!$B:$B,"&gt;="&amp;$D372,DATA_GOC!$B:$B,"&lt;="&amp;$E372))</f>
        <v>245</v>
      </c>
      <c r="J372" s="59">
        <f t="shared" si="28"/>
        <v>7.923</v>
      </c>
      <c r="K372" s="59">
        <f t="shared" si="29"/>
        <v>0</v>
      </c>
      <c r="L372" s="59">
        <f t="shared" si="30"/>
        <v>252.923</v>
      </c>
      <c r="M372" s="59">
        <f t="shared" si="31"/>
        <v>0.02263697681</v>
      </c>
    </row>
    <row r="373" ht="15.0" hidden="1" customHeight="1">
      <c r="A373" s="59">
        <f t="shared" si="20"/>
        <v>3</v>
      </c>
      <c r="B373" s="59" t="str">
        <f t="shared" si="21"/>
        <v>Đã chốt</v>
      </c>
      <c r="C373" s="59" t="str">
        <f t="shared" si="22"/>
        <v>Téc 1</v>
      </c>
      <c r="D373" s="45">
        <f t="shared" si="23"/>
        <v>46056</v>
      </c>
      <c r="E373" s="45">
        <f t="shared" si="24"/>
        <v>46079</v>
      </c>
      <c r="F373" s="133">
        <f t="shared" si="25"/>
        <v>2</v>
      </c>
      <c r="G373" s="133">
        <f t="shared" si="26"/>
        <v>2026</v>
      </c>
      <c r="H373" s="59" t="str">
        <f t="shared" si="27"/>
        <v>28C03695</v>
      </c>
      <c r="I373" s="59">
        <f>IF(OR($A373="",$C373="",$D373="",$E373="",$H373=""),"",SUMIFS(DATA_GOC!$H:$H,DATA_GOC!$A:$A,"BOM",DATA_GOC!$D:$D,$H373,DATA_GOC!$E:$E,$C373,DATA_GOC!$F:$F,"Xuất nội bộ từ téc",DATA_GOC!$B:$B,"&gt;="&amp;$D373,DATA_GOC!$B:$B,"&lt;="&amp;$E373))</f>
        <v>190</v>
      </c>
      <c r="J373" s="59">
        <f t="shared" si="28"/>
        <v>6.144</v>
      </c>
      <c r="K373" s="59">
        <f t="shared" si="29"/>
        <v>0</v>
      </c>
      <c r="L373" s="59">
        <f t="shared" si="30"/>
        <v>196.144</v>
      </c>
      <c r="M373" s="59">
        <f t="shared" si="31"/>
        <v>0.0175552065</v>
      </c>
    </row>
    <row r="374" ht="15.0" hidden="1" customHeight="1">
      <c r="A374" s="59">
        <f t="shared" si="20"/>
        <v>3</v>
      </c>
      <c r="B374" s="59" t="str">
        <f t="shared" si="21"/>
        <v>Đã chốt</v>
      </c>
      <c r="C374" s="59" t="str">
        <f t="shared" si="22"/>
        <v>Téc 1</v>
      </c>
      <c r="D374" s="45">
        <f t="shared" si="23"/>
        <v>46056</v>
      </c>
      <c r="E374" s="45">
        <f t="shared" si="24"/>
        <v>46079</v>
      </c>
      <c r="F374" s="133">
        <f t="shared" si="25"/>
        <v>2</v>
      </c>
      <c r="G374" s="133">
        <f t="shared" si="26"/>
        <v>2026</v>
      </c>
      <c r="H374" s="59" t="str">
        <f t="shared" si="27"/>
        <v>28C03927</v>
      </c>
      <c r="I374" s="59">
        <f>IF(OR($A374="",$C374="",$D374="",$E374="",$H374=""),"",SUMIFS(DATA_GOC!$H:$H,DATA_GOC!$A:$A,"BOM",DATA_GOC!$D:$D,$H374,DATA_GOC!$E:$E,$C374,DATA_GOC!$F:$F,"Xuất nội bộ từ téc",DATA_GOC!$B:$B,"&gt;="&amp;$D374,DATA_GOC!$B:$B,"&lt;="&amp;$E374))</f>
        <v>507</v>
      </c>
      <c r="J374" s="59">
        <f t="shared" si="28"/>
        <v>16.396</v>
      </c>
      <c r="K374" s="59">
        <f t="shared" si="29"/>
        <v>0</v>
      </c>
      <c r="L374" s="59">
        <f t="shared" si="30"/>
        <v>523.396</v>
      </c>
      <c r="M374" s="59">
        <f t="shared" si="31"/>
        <v>0.04684468262</v>
      </c>
    </row>
    <row r="375" ht="15.0" hidden="1" customHeight="1">
      <c r="A375" s="59">
        <f t="shared" si="20"/>
        <v>3</v>
      </c>
      <c r="B375" s="59" t="str">
        <f t="shared" si="21"/>
        <v>Đã chốt</v>
      </c>
      <c r="C375" s="59" t="str">
        <f t="shared" si="22"/>
        <v>Téc 1</v>
      </c>
      <c r="D375" s="45">
        <f t="shared" si="23"/>
        <v>46056</v>
      </c>
      <c r="E375" s="45">
        <f t="shared" si="24"/>
        <v>46079</v>
      </c>
      <c r="F375" s="133">
        <f t="shared" si="25"/>
        <v>2</v>
      </c>
      <c r="G375" s="133">
        <f t="shared" si="26"/>
        <v>2026</v>
      </c>
      <c r="H375" s="59" t="str">
        <f t="shared" si="27"/>
        <v>28C04509</v>
      </c>
      <c r="I375" s="59">
        <f>IF(OR($A375="",$C375="",$D375="",$E375="",$H375=""),"",SUMIFS(DATA_GOC!$H:$H,DATA_GOC!$A:$A,"BOM",DATA_GOC!$D:$D,$H375,DATA_GOC!$E:$E,$C375,DATA_GOC!$F:$F,"Xuất nội bộ từ téc",DATA_GOC!$B:$B,"&gt;="&amp;$D375,DATA_GOC!$B:$B,"&lt;="&amp;$E375))</f>
        <v>65</v>
      </c>
      <c r="J375" s="59">
        <f t="shared" si="28"/>
        <v>2.102</v>
      </c>
      <c r="K375" s="59">
        <f t="shared" si="29"/>
        <v>0</v>
      </c>
      <c r="L375" s="59">
        <f t="shared" si="30"/>
        <v>67.102</v>
      </c>
      <c r="M375" s="59">
        <f t="shared" si="31"/>
        <v>0.006005728541</v>
      </c>
    </row>
    <row r="376" ht="15.0" hidden="1" customHeight="1">
      <c r="A376" s="59">
        <f t="shared" si="20"/>
        <v>3</v>
      </c>
      <c r="B376" s="59" t="str">
        <f t="shared" si="21"/>
        <v>Đã chốt</v>
      </c>
      <c r="C376" s="59" t="str">
        <f t="shared" si="22"/>
        <v>Téc 1</v>
      </c>
      <c r="D376" s="45">
        <f t="shared" si="23"/>
        <v>46056</v>
      </c>
      <c r="E376" s="45">
        <f t="shared" si="24"/>
        <v>46079</v>
      </c>
      <c r="F376" s="133">
        <f t="shared" si="25"/>
        <v>2</v>
      </c>
      <c r="G376" s="133">
        <f t="shared" si="26"/>
        <v>2026</v>
      </c>
      <c r="H376" s="59" t="str">
        <f t="shared" si="27"/>
        <v>28C04536</v>
      </c>
      <c r="I376" s="59">
        <f>IF(OR($A376="",$C376="",$D376="",$E376="",$H376=""),"",SUMIFS(DATA_GOC!$H:$H,DATA_GOC!$A:$A,"BOM",DATA_GOC!$D:$D,$H376,DATA_GOC!$E:$E,$C376,DATA_GOC!$F:$F,"Xuất nội bộ từ téc",DATA_GOC!$B:$B,"&gt;="&amp;$D376,DATA_GOC!$B:$B,"&lt;="&amp;$E376))</f>
        <v>0</v>
      </c>
      <c r="J376" s="59">
        <f t="shared" si="28"/>
        <v>0</v>
      </c>
      <c r="K376" s="59">
        <f t="shared" si="29"/>
        <v>0</v>
      </c>
      <c r="L376" s="59">
        <f t="shared" si="30"/>
        <v>0</v>
      </c>
      <c r="M376" s="59">
        <f t="shared" si="31"/>
        <v>0</v>
      </c>
    </row>
    <row r="377" ht="15.0" hidden="1" customHeight="1">
      <c r="A377" s="59">
        <f t="shared" si="20"/>
        <v>3</v>
      </c>
      <c r="B377" s="59" t="str">
        <f t="shared" si="21"/>
        <v>Đã chốt</v>
      </c>
      <c r="C377" s="59" t="str">
        <f t="shared" si="22"/>
        <v>Téc 1</v>
      </c>
      <c r="D377" s="45">
        <f t="shared" si="23"/>
        <v>46056</v>
      </c>
      <c r="E377" s="45">
        <f t="shared" si="24"/>
        <v>46079</v>
      </c>
      <c r="F377" s="133">
        <f t="shared" si="25"/>
        <v>2</v>
      </c>
      <c r="G377" s="133">
        <f t="shared" si="26"/>
        <v>2026</v>
      </c>
      <c r="H377" s="59" t="str">
        <f t="shared" si="27"/>
        <v>28C04576</v>
      </c>
      <c r="I377" s="59">
        <f>IF(OR($A377="",$C377="",$D377="",$E377="",$H377=""),"",SUMIFS(DATA_GOC!$H:$H,DATA_GOC!$A:$A,"BOM",DATA_GOC!$D:$D,$H377,DATA_GOC!$E:$E,$C377,DATA_GOC!$F:$F,"Xuất nội bộ từ téc",DATA_GOC!$B:$B,"&gt;="&amp;$D377,DATA_GOC!$B:$B,"&lt;="&amp;$E377))</f>
        <v>440</v>
      </c>
      <c r="J377" s="59">
        <f t="shared" si="28"/>
        <v>14.229</v>
      </c>
      <c r="K377" s="59">
        <f t="shared" si="29"/>
        <v>0</v>
      </c>
      <c r="L377" s="59">
        <f t="shared" si="30"/>
        <v>454.229</v>
      </c>
      <c r="M377" s="59">
        <f t="shared" si="31"/>
        <v>0.04065416243</v>
      </c>
    </row>
    <row r="378" ht="15.0" hidden="1" customHeight="1">
      <c r="A378" s="59">
        <f t="shared" si="20"/>
        <v>3</v>
      </c>
      <c r="B378" s="59" t="str">
        <f t="shared" si="21"/>
        <v>Đã chốt</v>
      </c>
      <c r="C378" s="59" t="str">
        <f t="shared" si="22"/>
        <v>Téc 1</v>
      </c>
      <c r="D378" s="45">
        <f t="shared" si="23"/>
        <v>46056</v>
      </c>
      <c r="E378" s="45">
        <f t="shared" si="24"/>
        <v>46079</v>
      </c>
      <c r="F378" s="133">
        <f t="shared" si="25"/>
        <v>2</v>
      </c>
      <c r="G378" s="133">
        <f t="shared" si="26"/>
        <v>2026</v>
      </c>
      <c r="H378" s="59" t="str">
        <f t="shared" si="27"/>
        <v>28C05090</v>
      </c>
      <c r="I378" s="59">
        <f>IF(OR($A378="",$C378="",$D378="",$E378="",$H378=""),"",SUMIFS(DATA_GOC!$H:$H,DATA_GOC!$A:$A,"BOM",DATA_GOC!$D:$D,$H378,DATA_GOC!$E:$E,$C378,DATA_GOC!$F:$F,"Xuất nội bộ từ téc",DATA_GOC!$B:$B,"&gt;="&amp;$D378,DATA_GOC!$B:$B,"&lt;="&amp;$E378))</f>
        <v>210</v>
      </c>
      <c r="J378" s="59">
        <f t="shared" si="28"/>
        <v>6.791</v>
      </c>
      <c r="K378" s="59">
        <f t="shared" si="29"/>
        <v>0</v>
      </c>
      <c r="L378" s="59">
        <f t="shared" si="30"/>
        <v>216.791</v>
      </c>
      <c r="M378" s="59">
        <f t="shared" si="31"/>
        <v>0.01940312298</v>
      </c>
    </row>
    <row r="379" ht="15.0" hidden="1" customHeight="1">
      <c r="A379" s="59">
        <f t="shared" si="20"/>
        <v>3</v>
      </c>
      <c r="B379" s="59" t="str">
        <f t="shared" si="21"/>
        <v>Đã chốt</v>
      </c>
      <c r="C379" s="59" t="str">
        <f t="shared" si="22"/>
        <v>Téc 1</v>
      </c>
      <c r="D379" s="45">
        <f t="shared" si="23"/>
        <v>46056</v>
      </c>
      <c r="E379" s="45">
        <f t="shared" si="24"/>
        <v>46079</v>
      </c>
      <c r="F379" s="133">
        <f t="shared" si="25"/>
        <v>2</v>
      </c>
      <c r="G379" s="133">
        <f t="shared" si="26"/>
        <v>2026</v>
      </c>
      <c r="H379" s="59" t="str">
        <f t="shared" si="27"/>
        <v>28C05345</v>
      </c>
      <c r="I379" s="59">
        <f>IF(OR($A379="",$C379="",$D379="",$E379="",$H379=""),"",SUMIFS(DATA_GOC!$H:$H,DATA_GOC!$A:$A,"BOM",DATA_GOC!$D:$D,$H379,DATA_GOC!$E:$E,$C379,DATA_GOC!$F:$F,"Xuất nội bộ từ téc",DATA_GOC!$B:$B,"&gt;="&amp;$D379,DATA_GOC!$B:$B,"&lt;="&amp;$E379))</f>
        <v>179</v>
      </c>
      <c r="J379" s="59">
        <f t="shared" si="28"/>
        <v>5.789</v>
      </c>
      <c r="K379" s="59">
        <f t="shared" si="29"/>
        <v>0</v>
      </c>
      <c r="L379" s="59">
        <f t="shared" si="30"/>
        <v>184.789</v>
      </c>
      <c r="M379" s="59">
        <f t="shared" si="31"/>
        <v>0.01653885244</v>
      </c>
    </row>
    <row r="380" ht="15.0" hidden="1" customHeight="1">
      <c r="A380" s="59">
        <f t="shared" si="20"/>
        <v>3</v>
      </c>
      <c r="B380" s="59" t="str">
        <f t="shared" si="21"/>
        <v>Đã chốt</v>
      </c>
      <c r="C380" s="59" t="str">
        <f t="shared" si="22"/>
        <v>Téc 1</v>
      </c>
      <c r="D380" s="45">
        <f t="shared" si="23"/>
        <v>46056</v>
      </c>
      <c r="E380" s="45">
        <f t="shared" si="24"/>
        <v>46079</v>
      </c>
      <c r="F380" s="133">
        <f t="shared" si="25"/>
        <v>2</v>
      </c>
      <c r="G380" s="133">
        <f t="shared" si="26"/>
        <v>2026</v>
      </c>
      <c r="H380" s="59" t="str">
        <f t="shared" si="27"/>
        <v>28C05661</v>
      </c>
      <c r="I380" s="59">
        <f>IF(OR($A380="",$C380="",$D380="",$E380="",$H380=""),"",SUMIFS(DATA_GOC!$H:$H,DATA_GOC!$A:$A,"BOM",DATA_GOC!$D:$D,$H380,DATA_GOC!$E:$E,$C380,DATA_GOC!$F:$F,"Xuất nội bộ từ téc",DATA_GOC!$B:$B,"&gt;="&amp;$D380,DATA_GOC!$B:$B,"&lt;="&amp;$E380))</f>
        <v>390</v>
      </c>
      <c r="J380" s="59">
        <f t="shared" si="28"/>
        <v>12.612</v>
      </c>
      <c r="K380" s="59">
        <f t="shared" si="29"/>
        <v>0</v>
      </c>
      <c r="L380" s="59">
        <f t="shared" si="30"/>
        <v>402.612</v>
      </c>
      <c r="M380" s="59">
        <f t="shared" si="31"/>
        <v>0.03603437125</v>
      </c>
    </row>
    <row r="381" ht="15.0" hidden="1" customHeight="1">
      <c r="A381" s="59">
        <f t="shared" si="20"/>
        <v>3</v>
      </c>
      <c r="B381" s="59" t="str">
        <f t="shared" si="21"/>
        <v>Đã chốt</v>
      </c>
      <c r="C381" s="59" t="str">
        <f t="shared" si="22"/>
        <v>Téc 1</v>
      </c>
      <c r="D381" s="45">
        <f t="shared" si="23"/>
        <v>46056</v>
      </c>
      <c r="E381" s="45">
        <f t="shared" si="24"/>
        <v>46079</v>
      </c>
      <c r="F381" s="133">
        <f t="shared" si="25"/>
        <v>2</v>
      </c>
      <c r="G381" s="133">
        <f t="shared" si="26"/>
        <v>2026</v>
      </c>
      <c r="H381" s="59" t="str">
        <f t="shared" si="27"/>
        <v>28C05739</v>
      </c>
      <c r="I381" s="59">
        <f>IF(OR($A381="",$C381="",$D381="",$E381="",$H381=""),"",SUMIFS(DATA_GOC!$H:$H,DATA_GOC!$A:$A,"BOM",DATA_GOC!$D:$D,$H381,DATA_GOC!$E:$E,$C381,DATA_GOC!$F:$F,"Xuất nội bộ từ téc",DATA_GOC!$B:$B,"&gt;="&amp;$D381,DATA_GOC!$B:$B,"&lt;="&amp;$E381))</f>
        <v>507</v>
      </c>
      <c r="J381" s="59">
        <f t="shared" si="28"/>
        <v>16.396</v>
      </c>
      <c r="K381" s="59">
        <f t="shared" si="29"/>
        <v>0</v>
      </c>
      <c r="L381" s="59">
        <f t="shared" si="30"/>
        <v>523.396</v>
      </c>
      <c r="M381" s="59">
        <f t="shared" si="31"/>
        <v>0.04684468262</v>
      </c>
    </row>
    <row r="382" ht="15.0" hidden="1" customHeight="1">
      <c r="A382" s="59">
        <f t="shared" si="20"/>
        <v>3</v>
      </c>
      <c r="B382" s="59" t="str">
        <f t="shared" si="21"/>
        <v>Đã chốt</v>
      </c>
      <c r="C382" s="59" t="str">
        <f t="shared" si="22"/>
        <v>Téc 1</v>
      </c>
      <c r="D382" s="45">
        <f t="shared" si="23"/>
        <v>46056</v>
      </c>
      <c r="E382" s="45">
        <f t="shared" si="24"/>
        <v>46079</v>
      </c>
      <c r="F382" s="133">
        <f t="shared" si="25"/>
        <v>2</v>
      </c>
      <c r="G382" s="133">
        <f t="shared" si="26"/>
        <v>2026</v>
      </c>
      <c r="H382" s="59" t="str">
        <f t="shared" si="27"/>
        <v>28C06369</v>
      </c>
      <c r="I382" s="59">
        <f>IF(OR($A382="",$C382="",$D382="",$E382="",$H382=""),"",SUMIFS(DATA_GOC!$H:$H,DATA_GOC!$A:$A,"BOM",DATA_GOC!$D:$D,$H382,DATA_GOC!$E:$E,$C382,DATA_GOC!$F:$F,"Xuất nội bộ từ téc",DATA_GOC!$B:$B,"&gt;="&amp;$D382,DATA_GOC!$B:$B,"&lt;="&amp;$E382))</f>
        <v>220</v>
      </c>
      <c r="J382" s="59">
        <f t="shared" si="28"/>
        <v>7.114</v>
      </c>
      <c r="K382" s="59">
        <f t="shared" si="29"/>
        <v>0</v>
      </c>
      <c r="L382" s="59">
        <f t="shared" si="30"/>
        <v>227.114</v>
      </c>
      <c r="M382" s="59">
        <f t="shared" si="31"/>
        <v>0.02032708122</v>
      </c>
    </row>
    <row r="383" ht="15.0" hidden="1" customHeight="1">
      <c r="A383" s="59">
        <f t="shared" si="20"/>
        <v>3</v>
      </c>
      <c r="B383" s="59" t="str">
        <f t="shared" si="21"/>
        <v>Đã chốt</v>
      </c>
      <c r="C383" s="59" t="str">
        <f t="shared" si="22"/>
        <v>Téc 1</v>
      </c>
      <c r="D383" s="45">
        <f t="shared" si="23"/>
        <v>46056</v>
      </c>
      <c r="E383" s="45">
        <f t="shared" si="24"/>
        <v>46079</v>
      </c>
      <c r="F383" s="133">
        <f t="shared" si="25"/>
        <v>2</v>
      </c>
      <c r="G383" s="133">
        <f t="shared" si="26"/>
        <v>2026</v>
      </c>
      <c r="H383" s="59" t="str">
        <f t="shared" si="27"/>
        <v>28C06447</v>
      </c>
      <c r="I383" s="59">
        <f>IF(OR($A383="",$C383="",$D383="",$E383="",$H383=""),"",SUMIFS(DATA_GOC!$H:$H,DATA_GOC!$A:$A,"BOM",DATA_GOC!$D:$D,$H383,DATA_GOC!$E:$E,$C383,DATA_GOC!$F:$F,"Xuất nội bộ từ téc",DATA_GOC!$B:$B,"&gt;="&amp;$D383,DATA_GOC!$B:$B,"&lt;="&amp;$E383))</f>
        <v>618</v>
      </c>
      <c r="J383" s="59">
        <f t="shared" si="28"/>
        <v>19.985</v>
      </c>
      <c r="K383" s="59">
        <f t="shared" si="29"/>
        <v>0</v>
      </c>
      <c r="L383" s="59">
        <f t="shared" si="30"/>
        <v>637.985</v>
      </c>
      <c r="M383" s="59">
        <f t="shared" si="31"/>
        <v>0.05710061905</v>
      </c>
    </row>
    <row r="384" ht="15.0" hidden="1" customHeight="1">
      <c r="A384" s="59">
        <f t="shared" si="20"/>
        <v>3</v>
      </c>
      <c r="B384" s="59" t="str">
        <f t="shared" si="21"/>
        <v>Đã chốt</v>
      </c>
      <c r="C384" s="59" t="str">
        <f t="shared" si="22"/>
        <v>Téc 1</v>
      </c>
      <c r="D384" s="45">
        <f t="shared" si="23"/>
        <v>46056</v>
      </c>
      <c r="E384" s="45">
        <f t="shared" si="24"/>
        <v>46079</v>
      </c>
      <c r="F384" s="133">
        <f t="shared" si="25"/>
        <v>2</v>
      </c>
      <c r="G384" s="133">
        <f t="shared" si="26"/>
        <v>2026</v>
      </c>
      <c r="H384" s="59" t="str">
        <f t="shared" si="27"/>
        <v>28H00003</v>
      </c>
      <c r="I384" s="59">
        <f>IF(OR($A384="",$C384="",$D384="",$E384="",$H384=""),"",SUMIFS(DATA_GOC!$H:$H,DATA_GOC!$A:$A,"BOM",DATA_GOC!$D:$D,$H384,DATA_GOC!$E:$E,$C384,DATA_GOC!$F:$F,"Xuất nội bộ từ téc",DATA_GOC!$B:$B,"&gt;="&amp;$D384,DATA_GOC!$B:$B,"&lt;="&amp;$E384))</f>
        <v>420</v>
      </c>
      <c r="J384" s="59">
        <f t="shared" si="28"/>
        <v>13.582</v>
      </c>
      <c r="K384" s="59">
        <f t="shared" si="29"/>
        <v>0</v>
      </c>
      <c r="L384" s="59">
        <f t="shared" si="30"/>
        <v>433.582</v>
      </c>
      <c r="M384" s="59">
        <f t="shared" si="31"/>
        <v>0.03880624596</v>
      </c>
    </row>
    <row r="385" ht="15.0" hidden="1" customHeight="1">
      <c r="A385" s="59">
        <f t="shared" si="20"/>
        <v>3</v>
      </c>
      <c r="B385" s="59" t="str">
        <f t="shared" si="21"/>
        <v>Đã chốt</v>
      </c>
      <c r="C385" s="59" t="str">
        <f t="shared" si="22"/>
        <v>Téc 1</v>
      </c>
      <c r="D385" s="45">
        <f t="shared" si="23"/>
        <v>46056</v>
      </c>
      <c r="E385" s="45">
        <f t="shared" si="24"/>
        <v>46079</v>
      </c>
      <c r="F385" s="133">
        <f t="shared" si="25"/>
        <v>2</v>
      </c>
      <c r="G385" s="133">
        <f t="shared" si="26"/>
        <v>2026</v>
      </c>
      <c r="H385" s="59" t="str">
        <f t="shared" si="27"/>
        <v>28H00061</v>
      </c>
      <c r="I385" s="59">
        <f>IF(OR($A385="",$C385="",$D385="",$E385="",$H385=""),"",SUMIFS(DATA_GOC!$H:$H,DATA_GOC!$A:$A,"BOM",DATA_GOC!$D:$D,$H385,DATA_GOC!$E:$E,$C385,DATA_GOC!$F:$F,"Xuất nội bộ từ téc",DATA_GOC!$B:$B,"&gt;="&amp;$D385,DATA_GOC!$B:$B,"&lt;="&amp;$E385))</f>
        <v>540</v>
      </c>
      <c r="J385" s="59">
        <f t="shared" si="28"/>
        <v>17.463</v>
      </c>
      <c r="K385" s="59">
        <f t="shared" si="29"/>
        <v>0</v>
      </c>
      <c r="L385" s="59">
        <f t="shared" si="30"/>
        <v>557.463</v>
      </c>
      <c r="M385" s="59">
        <f t="shared" si="31"/>
        <v>0.0498937448</v>
      </c>
    </row>
    <row r="386" ht="15.0" hidden="1" customHeight="1">
      <c r="A386" s="59">
        <f t="shared" si="20"/>
        <v>3</v>
      </c>
      <c r="B386" s="59" t="str">
        <f t="shared" si="21"/>
        <v>Đã chốt</v>
      </c>
      <c r="C386" s="59" t="str">
        <f t="shared" si="22"/>
        <v>Téc 1</v>
      </c>
      <c r="D386" s="45">
        <f t="shared" si="23"/>
        <v>46056</v>
      </c>
      <c r="E386" s="45">
        <f t="shared" si="24"/>
        <v>46079</v>
      </c>
      <c r="F386" s="133">
        <f t="shared" si="25"/>
        <v>2</v>
      </c>
      <c r="G386" s="133">
        <f t="shared" si="26"/>
        <v>2026</v>
      </c>
      <c r="H386" s="59" t="str">
        <f t="shared" si="27"/>
        <v>28H00354</v>
      </c>
      <c r="I386" s="59">
        <f>IF(OR($A386="",$C386="",$D386="",$E386="",$H386=""),"",SUMIFS(DATA_GOC!$H:$H,DATA_GOC!$A:$A,"BOM",DATA_GOC!$D:$D,$H386,DATA_GOC!$E:$E,$C386,DATA_GOC!$F:$F,"Xuất nội bộ từ téc",DATA_GOC!$B:$B,"&gt;="&amp;$D386,DATA_GOC!$B:$B,"&lt;="&amp;$E386))</f>
        <v>250</v>
      </c>
      <c r="J386" s="59">
        <f t="shared" si="28"/>
        <v>8.085</v>
      </c>
      <c r="K386" s="59">
        <f t="shared" si="29"/>
        <v>0</v>
      </c>
      <c r="L386" s="59">
        <f t="shared" si="30"/>
        <v>258.085</v>
      </c>
      <c r="M386" s="59">
        <f t="shared" si="31"/>
        <v>0.02309895593</v>
      </c>
    </row>
    <row r="387" ht="15.0" hidden="1" customHeight="1">
      <c r="A387" s="59">
        <f t="shared" si="20"/>
        <v>3</v>
      </c>
      <c r="B387" s="59" t="str">
        <f t="shared" si="21"/>
        <v>Đã chốt</v>
      </c>
      <c r="C387" s="59" t="str">
        <f t="shared" si="22"/>
        <v>Téc 1</v>
      </c>
      <c r="D387" s="45">
        <f t="shared" si="23"/>
        <v>46056</v>
      </c>
      <c r="E387" s="45">
        <f t="shared" si="24"/>
        <v>46079</v>
      </c>
      <c r="F387" s="133">
        <f t="shared" si="25"/>
        <v>2</v>
      </c>
      <c r="G387" s="133">
        <f t="shared" si="26"/>
        <v>2026</v>
      </c>
      <c r="H387" s="59" t="str">
        <f t="shared" si="27"/>
        <v>28H00603</v>
      </c>
      <c r="I387" s="59">
        <f>IF(OR($A387="",$C387="",$D387="",$E387="",$H387=""),"",SUMIFS(DATA_GOC!$H:$H,DATA_GOC!$A:$A,"BOM",DATA_GOC!$D:$D,$H387,DATA_GOC!$E:$E,$C387,DATA_GOC!$F:$F,"Xuất nội bộ từ téc",DATA_GOC!$B:$B,"&gt;="&amp;$D387,DATA_GOC!$B:$B,"&lt;="&amp;$E387))</f>
        <v>440</v>
      </c>
      <c r="J387" s="59">
        <f t="shared" si="28"/>
        <v>14.229</v>
      </c>
      <c r="K387" s="59">
        <f t="shared" si="29"/>
        <v>0</v>
      </c>
      <c r="L387" s="59">
        <f t="shared" si="30"/>
        <v>454.229</v>
      </c>
      <c r="M387" s="59">
        <f t="shared" si="31"/>
        <v>0.04065416243</v>
      </c>
    </row>
    <row r="388" ht="15.0" hidden="1" customHeight="1">
      <c r="A388" s="59">
        <f t="shared" si="20"/>
        <v>3</v>
      </c>
      <c r="B388" s="59" t="str">
        <f t="shared" si="21"/>
        <v>Đã chốt</v>
      </c>
      <c r="C388" s="59" t="str">
        <f t="shared" si="22"/>
        <v>Téc 1</v>
      </c>
      <c r="D388" s="45">
        <f t="shared" si="23"/>
        <v>46056</v>
      </c>
      <c r="E388" s="45">
        <f t="shared" si="24"/>
        <v>46079</v>
      </c>
      <c r="F388" s="133">
        <f t="shared" si="25"/>
        <v>2</v>
      </c>
      <c r="G388" s="133">
        <f t="shared" si="26"/>
        <v>2026</v>
      </c>
      <c r="H388" s="59" t="str">
        <f t="shared" si="27"/>
        <v>28H00609</v>
      </c>
      <c r="I388" s="59">
        <f>IF(OR($A388="",$C388="",$D388="",$E388="",$H388=""),"",SUMIFS(DATA_GOC!$H:$H,DATA_GOC!$A:$A,"BOM",DATA_GOC!$D:$D,$H388,DATA_GOC!$E:$E,$C388,DATA_GOC!$F:$F,"Xuất nội bộ từ téc",DATA_GOC!$B:$B,"&gt;="&amp;$D388,DATA_GOC!$B:$B,"&lt;="&amp;$E388))</f>
        <v>500</v>
      </c>
      <c r="J388" s="59">
        <f t="shared" si="28"/>
        <v>16.169</v>
      </c>
      <c r="K388" s="59">
        <f t="shared" si="29"/>
        <v>0</v>
      </c>
      <c r="L388" s="59">
        <f t="shared" si="30"/>
        <v>516.169</v>
      </c>
      <c r="M388" s="59">
        <f t="shared" si="31"/>
        <v>0.04619791185</v>
      </c>
    </row>
    <row r="389" ht="15.0" hidden="1" customHeight="1">
      <c r="A389" s="59">
        <f t="shared" si="20"/>
        <v>3</v>
      </c>
      <c r="B389" s="59" t="str">
        <f t="shared" si="21"/>
        <v>Đã chốt</v>
      </c>
      <c r="C389" s="59" t="str">
        <f t="shared" si="22"/>
        <v>Téc 1</v>
      </c>
      <c r="D389" s="45">
        <f t="shared" si="23"/>
        <v>46056</v>
      </c>
      <c r="E389" s="45">
        <f t="shared" si="24"/>
        <v>46079</v>
      </c>
      <c r="F389" s="133">
        <f t="shared" si="25"/>
        <v>2</v>
      </c>
      <c r="G389" s="133">
        <f t="shared" si="26"/>
        <v>2026</v>
      </c>
      <c r="H389" s="59" t="str">
        <f t="shared" si="27"/>
        <v>28H00669</v>
      </c>
      <c r="I389" s="59">
        <f>IF(OR($A389="",$C389="",$D389="",$E389="",$H389=""),"",SUMIFS(DATA_GOC!$H:$H,DATA_GOC!$A:$A,"BOM",DATA_GOC!$D:$D,$H389,DATA_GOC!$E:$E,$C389,DATA_GOC!$F:$F,"Xuất nội bộ từ téc",DATA_GOC!$B:$B,"&gt;="&amp;$D389,DATA_GOC!$B:$B,"&lt;="&amp;$E389))</f>
        <v>420</v>
      </c>
      <c r="J389" s="59">
        <f t="shared" si="28"/>
        <v>13.582</v>
      </c>
      <c r="K389" s="59">
        <f t="shared" si="29"/>
        <v>0</v>
      </c>
      <c r="L389" s="59">
        <f t="shared" si="30"/>
        <v>433.582</v>
      </c>
      <c r="M389" s="59">
        <f t="shared" si="31"/>
        <v>0.03880624596</v>
      </c>
    </row>
    <row r="390" ht="15.0" hidden="1" customHeight="1">
      <c r="A390" s="59">
        <f t="shared" si="20"/>
        <v>3</v>
      </c>
      <c r="B390" s="59" t="str">
        <f t="shared" si="21"/>
        <v>Đã chốt</v>
      </c>
      <c r="C390" s="59" t="str">
        <f t="shared" si="22"/>
        <v>Téc 1</v>
      </c>
      <c r="D390" s="45">
        <f t="shared" si="23"/>
        <v>46056</v>
      </c>
      <c r="E390" s="45">
        <f t="shared" si="24"/>
        <v>46079</v>
      </c>
      <c r="F390" s="133">
        <f t="shared" si="25"/>
        <v>2</v>
      </c>
      <c r="G390" s="133">
        <f t="shared" si="26"/>
        <v>2026</v>
      </c>
      <c r="H390" s="59" t="str">
        <f t="shared" si="27"/>
        <v>28H00680</v>
      </c>
      <c r="I390" s="59">
        <f>IF(OR($A390="",$C390="",$D390="",$E390="",$H390=""),"",SUMIFS(DATA_GOC!$H:$H,DATA_GOC!$A:$A,"BOM",DATA_GOC!$D:$D,$H390,DATA_GOC!$E:$E,$C390,DATA_GOC!$F:$F,"Xuất nội bộ từ téc",DATA_GOC!$B:$B,"&gt;="&amp;$D390,DATA_GOC!$B:$B,"&lt;="&amp;$E390))</f>
        <v>0</v>
      </c>
      <c r="J390" s="59">
        <f t="shared" si="28"/>
        <v>0</v>
      </c>
      <c r="K390" s="59">
        <f t="shared" si="29"/>
        <v>0</v>
      </c>
      <c r="L390" s="59">
        <f t="shared" si="30"/>
        <v>0</v>
      </c>
      <c r="M390" s="59">
        <f t="shared" si="31"/>
        <v>0</v>
      </c>
    </row>
    <row r="391" ht="15.0" hidden="1" customHeight="1">
      <c r="A391" s="59">
        <f t="shared" si="20"/>
        <v>3</v>
      </c>
      <c r="B391" s="59" t="str">
        <f t="shared" si="21"/>
        <v>Đã chốt</v>
      </c>
      <c r="C391" s="59" t="str">
        <f t="shared" si="22"/>
        <v>Téc 1</v>
      </c>
      <c r="D391" s="45">
        <f t="shared" si="23"/>
        <v>46056</v>
      </c>
      <c r="E391" s="45">
        <f t="shared" si="24"/>
        <v>46079</v>
      </c>
      <c r="F391" s="133">
        <f t="shared" si="25"/>
        <v>2</v>
      </c>
      <c r="G391" s="133">
        <f t="shared" si="26"/>
        <v>2026</v>
      </c>
      <c r="H391" s="59" t="str">
        <f t="shared" si="27"/>
        <v>28H01070</v>
      </c>
      <c r="I391" s="59">
        <f>IF(OR($A391="",$C391="",$D391="",$E391="",$H391=""),"",SUMIFS(DATA_GOC!$H:$H,DATA_GOC!$A:$A,"BOM",DATA_GOC!$D:$D,$H391,DATA_GOC!$E:$E,$C391,DATA_GOC!$F:$F,"Xuất nội bộ từ téc",DATA_GOC!$B:$B,"&gt;="&amp;$D391,DATA_GOC!$B:$B,"&lt;="&amp;$E391))</f>
        <v>0</v>
      </c>
      <c r="J391" s="59">
        <f t="shared" si="28"/>
        <v>0</v>
      </c>
      <c r="K391" s="59">
        <f t="shared" si="29"/>
        <v>0</v>
      </c>
      <c r="L391" s="59">
        <f t="shared" si="30"/>
        <v>0</v>
      </c>
      <c r="M391" s="59">
        <f t="shared" si="31"/>
        <v>0</v>
      </c>
    </row>
    <row r="392" ht="15.0" hidden="1" customHeight="1">
      <c r="A392" s="59">
        <f t="shared" si="20"/>
        <v>3</v>
      </c>
      <c r="B392" s="59" t="str">
        <f t="shared" si="21"/>
        <v>Đã chốt</v>
      </c>
      <c r="C392" s="59" t="str">
        <f t="shared" si="22"/>
        <v>Téc 1</v>
      </c>
      <c r="D392" s="45">
        <f t="shared" si="23"/>
        <v>46056</v>
      </c>
      <c r="E392" s="45">
        <f t="shared" si="24"/>
        <v>46079</v>
      </c>
      <c r="F392" s="133">
        <f t="shared" si="25"/>
        <v>2</v>
      </c>
      <c r="G392" s="133">
        <f t="shared" si="26"/>
        <v>2026</v>
      </c>
      <c r="H392" s="59" t="str">
        <f t="shared" si="27"/>
        <v>28H01364</v>
      </c>
      <c r="I392" s="59">
        <f>IF(OR($A392="",$C392="",$D392="",$E392="",$H392=""),"",SUMIFS(DATA_GOC!$H:$H,DATA_GOC!$A:$A,"BOM",DATA_GOC!$D:$D,$H392,DATA_GOC!$E:$E,$C392,DATA_GOC!$F:$F,"Xuất nội bộ từ téc",DATA_GOC!$B:$B,"&gt;="&amp;$D392,DATA_GOC!$B:$B,"&lt;="&amp;$E392))</f>
        <v>586</v>
      </c>
      <c r="J392" s="59">
        <f t="shared" si="28"/>
        <v>18.95</v>
      </c>
      <c r="K392" s="59">
        <f t="shared" si="29"/>
        <v>0</v>
      </c>
      <c r="L392" s="59">
        <f t="shared" si="30"/>
        <v>604.95</v>
      </c>
      <c r="M392" s="59">
        <f t="shared" si="31"/>
        <v>0.05414395269</v>
      </c>
    </row>
    <row r="393" ht="15.0" hidden="1" customHeight="1">
      <c r="A393" s="59">
        <f t="shared" si="20"/>
        <v>3</v>
      </c>
      <c r="B393" s="59" t="str">
        <f t="shared" si="21"/>
        <v>Đã chốt</v>
      </c>
      <c r="C393" s="59" t="str">
        <f t="shared" si="22"/>
        <v>Téc 1</v>
      </c>
      <c r="D393" s="45">
        <f t="shared" si="23"/>
        <v>46056</v>
      </c>
      <c r="E393" s="45">
        <f t="shared" si="24"/>
        <v>46079</v>
      </c>
      <c r="F393" s="133">
        <f t="shared" si="25"/>
        <v>2</v>
      </c>
      <c r="G393" s="133">
        <f t="shared" si="26"/>
        <v>2026</v>
      </c>
      <c r="H393" s="59" t="str">
        <f t="shared" si="27"/>
        <v>29E17269</v>
      </c>
      <c r="I393" s="59">
        <f>IF(OR($A393="",$C393="",$D393="",$E393="",$H393=""),"",SUMIFS(DATA_GOC!$H:$H,DATA_GOC!$A:$A,"BOM",DATA_GOC!$D:$D,$H393,DATA_GOC!$E:$E,$C393,DATA_GOC!$F:$F,"Xuất nội bộ từ téc",DATA_GOC!$B:$B,"&gt;="&amp;$D393,DATA_GOC!$B:$B,"&lt;="&amp;$E393))</f>
        <v>0</v>
      </c>
      <c r="J393" s="59">
        <f t="shared" si="28"/>
        <v>0</v>
      </c>
      <c r="K393" s="59">
        <f t="shared" si="29"/>
        <v>0</v>
      </c>
      <c r="L393" s="59">
        <f t="shared" si="30"/>
        <v>0</v>
      </c>
      <c r="M393" s="59">
        <f t="shared" si="31"/>
        <v>0</v>
      </c>
    </row>
    <row r="394" ht="15.0" hidden="1" customHeight="1">
      <c r="A394" s="59">
        <f t="shared" si="20"/>
        <v>3</v>
      </c>
      <c r="B394" s="59" t="str">
        <f t="shared" si="21"/>
        <v>Đã chốt</v>
      </c>
      <c r="C394" s="59" t="str">
        <f t="shared" si="22"/>
        <v>Téc 1</v>
      </c>
      <c r="D394" s="45">
        <f t="shared" si="23"/>
        <v>46056</v>
      </c>
      <c r="E394" s="45">
        <f t="shared" si="24"/>
        <v>46079</v>
      </c>
      <c r="F394" s="133">
        <f t="shared" si="25"/>
        <v>2</v>
      </c>
      <c r="G394" s="133">
        <f t="shared" si="26"/>
        <v>2026</v>
      </c>
      <c r="H394" s="59" t="str">
        <f t="shared" si="27"/>
        <v>29E17273</v>
      </c>
      <c r="I394" s="59">
        <f>IF(OR($A394="",$C394="",$D394="",$E394="",$H394=""),"",SUMIFS(DATA_GOC!$H:$H,DATA_GOC!$A:$A,"BOM",DATA_GOC!$D:$D,$H394,DATA_GOC!$E:$E,$C394,DATA_GOC!$F:$F,"Xuất nội bộ từ téc",DATA_GOC!$B:$B,"&gt;="&amp;$D394,DATA_GOC!$B:$B,"&lt;="&amp;$E394))</f>
        <v>0</v>
      </c>
      <c r="J394" s="59">
        <f t="shared" si="28"/>
        <v>0</v>
      </c>
      <c r="K394" s="59">
        <f t="shared" si="29"/>
        <v>0</v>
      </c>
      <c r="L394" s="59">
        <f t="shared" si="30"/>
        <v>0</v>
      </c>
      <c r="M394" s="59">
        <f t="shared" si="31"/>
        <v>0</v>
      </c>
    </row>
    <row r="395" ht="15.0" hidden="1" customHeight="1">
      <c r="A395" s="59">
        <f t="shared" si="20"/>
        <v>3</v>
      </c>
      <c r="B395" s="59" t="str">
        <f t="shared" si="21"/>
        <v>Đã chốt</v>
      </c>
      <c r="C395" s="59" t="str">
        <f t="shared" si="22"/>
        <v>Téc 1</v>
      </c>
      <c r="D395" s="45">
        <f t="shared" si="23"/>
        <v>46056</v>
      </c>
      <c r="E395" s="45">
        <f t="shared" si="24"/>
        <v>46079</v>
      </c>
      <c r="F395" s="133">
        <f t="shared" si="25"/>
        <v>2</v>
      </c>
      <c r="G395" s="133">
        <f t="shared" si="26"/>
        <v>2026</v>
      </c>
      <c r="H395" s="59" t="str">
        <f t="shared" si="27"/>
        <v>29E17410</v>
      </c>
      <c r="I395" s="59">
        <f>IF(OR($A395="",$C395="",$D395="",$E395="",$H395=""),"",SUMIFS(DATA_GOC!$H:$H,DATA_GOC!$A:$A,"BOM",DATA_GOC!$D:$D,$H395,DATA_GOC!$E:$E,$C395,DATA_GOC!$F:$F,"Xuất nội bộ từ téc",DATA_GOC!$B:$B,"&gt;="&amp;$D395,DATA_GOC!$B:$B,"&lt;="&amp;$E395))</f>
        <v>0</v>
      </c>
      <c r="J395" s="59">
        <f t="shared" si="28"/>
        <v>0</v>
      </c>
      <c r="K395" s="59">
        <f t="shared" si="29"/>
        <v>0</v>
      </c>
      <c r="L395" s="59">
        <f t="shared" si="30"/>
        <v>0</v>
      </c>
      <c r="M395" s="59">
        <f t="shared" si="31"/>
        <v>0</v>
      </c>
    </row>
    <row r="396" ht="15.0" hidden="1" customHeight="1">
      <c r="A396" s="59">
        <f t="shared" si="20"/>
        <v>3</v>
      </c>
      <c r="B396" s="59" t="str">
        <f t="shared" si="21"/>
        <v>Đã chốt</v>
      </c>
      <c r="C396" s="59" t="str">
        <f t="shared" si="22"/>
        <v>Téc 1</v>
      </c>
      <c r="D396" s="45">
        <f t="shared" si="23"/>
        <v>46056</v>
      </c>
      <c r="E396" s="45">
        <f t="shared" si="24"/>
        <v>46079</v>
      </c>
      <c r="F396" s="133">
        <f t="shared" si="25"/>
        <v>2</v>
      </c>
      <c r="G396" s="133">
        <f t="shared" si="26"/>
        <v>2026</v>
      </c>
      <c r="H396" s="59" t="str">
        <f t="shared" si="27"/>
        <v>29E17417</v>
      </c>
      <c r="I396" s="59">
        <f>IF(OR($A396="",$C396="",$D396="",$E396="",$H396=""),"",SUMIFS(DATA_GOC!$H:$H,DATA_GOC!$A:$A,"BOM",DATA_GOC!$D:$D,$H396,DATA_GOC!$E:$E,$C396,DATA_GOC!$F:$F,"Xuất nội bộ từ téc",DATA_GOC!$B:$B,"&gt;="&amp;$D396,DATA_GOC!$B:$B,"&lt;="&amp;$E396))</f>
        <v>0</v>
      </c>
      <c r="J396" s="59">
        <f t="shared" si="28"/>
        <v>0</v>
      </c>
      <c r="K396" s="59">
        <f t="shared" si="29"/>
        <v>0</v>
      </c>
      <c r="L396" s="59">
        <f t="shared" si="30"/>
        <v>0</v>
      </c>
      <c r="M396" s="59">
        <f t="shared" si="31"/>
        <v>0</v>
      </c>
    </row>
    <row r="397" ht="15.0" hidden="1" customHeight="1">
      <c r="A397" s="59">
        <f t="shared" si="20"/>
        <v>3</v>
      </c>
      <c r="B397" s="59" t="str">
        <f t="shared" si="21"/>
        <v>Đã chốt</v>
      </c>
      <c r="C397" s="59" t="str">
        <f t="shared" si="22"/>
        <v>Téc 1</v>
      </c>
      <c r="D397" s="45">
        <f t="shared" si="23"/>
        <v>46056</v>
      </c>
      <c r="E397" s="45">
        <f t="shared" si="24"/>
        <v>46079</v>
      </c>
      <c r="F397" s="133">
        <f t="shared" si="25"/>
        <v>2</v>
      </c>
      <c r="G397" s="133">
        <f t="shared" si="26"/>
        <v>2026</v>
      </c>
      <c r="H397" s="59" t="str">
        <f t="shared" si="27"/>
        <v>29E17539</v>
      </c>
      <c r="I397" s="59">
        <f>IF(OR($A397="",$C397="",$D397="",$E397="",$H397=""),"",SUMIFS(DATA_GOC!$H:$H,DATA_GOC!$A:$A,"BOM",DATA_GOC!$D:$D,$H397,DATA_GOC!$E:$E,$C397,DATA_GOC!$F:$F,"Xuất nội bộ từ téc",DATA_GOC!$B:$B,"&gt;="&amp;$D397,DATA_GOC!$B:$B,"&lt;="&amp;$E397))</f>
        <v>0</v>
      </c>
      <c r="J397" s="59">
        <f t="shared" si="28"/>
        <v>0</v>
      </c>
      <c r="K397" s="59">
        <f t="shared" si="29"/>
        <v>0</v>
      </c>
      <c r="L397" s="59">
        <f t="shared" si="30"/>
        <v>0</v>
      </c>
      <c r="M397" s="59">
        <f t="shared" si="31"/>
        <v>0</v>
      </c>
    </row>
    <row r="398" ht="15.0" hidden="1" customHeight="1">
      <c r="A398" s="59">
        <f t="shared" si="20"/>
        <v>3</v>
      </c>
      <c r="B398" s="59" t="str">
        <f t="shared" si="21"/>
        <v>Đã chốt</v>
      </c>
      <c r="C398" s="59" t="str">
        <f t="shared" si="22"/>
        <v>Téc 1</v>
      </c>
      <c r="D398" s="45">
        <f t="shared" si="23"/>
        <v>46056</v>
      </c>
      <c r="E398" s="45">
        <f t="shared" si="24"/>
        <v>46079</v>
      </c>
      <c r="F398" s="133">
        <f t="shared" si="25"/>
        <v>2</v>
      </c>
      <c r="G398" s="133">
        <f t="shared" si="26"/>
        <v>2026</v>
      </c>
      <c r="H398" s="59" t="str">
        <f t="shared" si="27"/>
        <v>29E18160</v>
      </c>
      <c r="I398" s="59">
        <f>IF(OR($A398="",$C398="",$D398="",$E398="",$H398=""),"",SUMIFS(DATA_GOC!$H:$H,DATA_GOC!$A:$A,"BOM",DATA_GOC!$D:$D,$H398,DATA_GOC!$E:$E,$C398,DATA_GOC!$F:$F,"Xuất nội bộ từ téc",DATA_GOC!$B:$B,"&gt;="&amp;$D398,DATA_GOC!$B:$B,"&lt;="&amp;$E398))</f>
        <v>0</v>
      </c>
      <c r="J398" s="59">
        <f t="shared" si="28"/>
        <v>0</v>
      </c>
      <c r="K398" s="59">
        <f t="shared" si="29"/>
        <v>0</v>
      </c>
      <c r="L398" s="59">
        <f t="shared" si="30"/>
        <v>0</v>
      </c>
      <c r="M398" s="59">
        <f t="shared" si="31"/>
        <v>0</v>
      </c>
    </row>
    <row r="399" ht="15.0" hidden="1" customHeight="1">
      <c r="A399" s="59">
        <f t="shared" si="20"/>
        <v>3</v>
      </c>
      <c r="B399" s="59" t="str">
        <f t="shared" si="21"/>
        <v>Đã chốt</v>
      </c>
      <c r="C399" s="59" t="str">
        <f t="shared" si="22"/>
        <v>Téc 1</v>
      </c>
      <c r="D399" s="45">
        <f t="shared" si="23"/>
        <v>46056</v>
      </c>
      <c r="E399" s="45">
        <f t="shared" si="24"/>
        <v>46079</v>
      </c>
      <c r="F399" s="133">
        <f t="shared" si="25"/>
        <v>2</v>
      </c>
      <c r="G399" s="133">
        <f t="shared" si="26"/>
        <v>2026</v>
      </c>
      <c r="H399" s="59" t="str">
        <f t="shared" si="27"/>
        <v>Công trình Asphalt</v>
      </c>
      <c r="I399" s="59">
        <f>IF(OR($A399="",$C399="",$D399="",$E399="",$H399=""),"",SUMIFS(DATA_GOC!$H:$H,DATA_GOC!$A:$A,"BOM",DATA_GOC!$D:$D,$H399,DATA_GOC!$E:$E,$C399,DATA_GOC!$F:$F,"Xuất nội bộ từ téc",DATA_GOC!$B:$B,"&gt;="&amp;$D399,DATA_GOC!$B:$B,"&lt;="&amp;$E399))</f>
        <v>155</v>
      </c>
      <c r="J399" s="59">
        <f t="shared" si="28"/>
        <v>5.012</v>
      </c>
      <c r="K399" s="59">
        <f t="shared" si="29"/>
        <v>0</v>
      </c>
      <c r="L399" s="59">
        <f t="shared" si="30"/>
        <v>160.012</v>
      </c>
      <c r="M399" s="59">
        <f t="shared" si="31"/>
        <v>0.01432135267</v>
      </c>
    </row>
    <row r="400" ht="15.0" hidden="1" customHeight="1">
      <c r="A400" s="59">
        <f t="shared" si="20"/>
        <v>3</v>
      </c>
      <c r="B400" s="59" t="str">
        <f t="shared" si="21"/>
        <v>Đã chốt</v>
      </c>
      <c r="C400" s="59" t="str">
        <f t="shared" si="22"/>
        <v>Téc 1</v>
      </c>
      <c r="D400" s="45">
        <f t="shared" si="23"/>
        <v>46056</v>
      </c>
      <c r="E400" s="45">
        <f t="shared" si="24"/>
        <v>46079</v>
      </c>
      <c r="F400" s="133">
        <f t="shared" si="25"/>
        <v>2</v>
      </c>
      <c r="G400" s="133">
        <f t="shared" si="26"/>
        <v>2026</v>
      </c>
      <c r="H400" s="59" t="str">
        <f t="shared" si="27"/>
        <v>LG53F</v>
      </c>
      <c r="I400" s="59">
        <f>IF(OR($A400="",$C400="",$D400="",$E400="",$H400=""),"",SUMIFS(DATA_GOC!$H:$H,DATA_GOC!$A:$A,"BOM",DATA_GOC!$D:$D,$H400,DATA_GOC!$E:$E,$C400,DATA_GOC!$F:$F,"Xuất nội bộ từ téc",DATA_GOC!$B:$B,"&gt;="&amp;$D400,DATA_GOC!$B:$B,"&lt;="&amp;$E400))</f>
        <v>0</v>
      </c>
      <c r="J400" s="59">
        <f t="shared" si="28"/>
        <v>0</v>
      </c>
      <c r="K400" s="59">
        <f t="shared" si="29"/>
        <v>0</v>
      </c>
      <c r="L400" s="59">
        <f t="shared" si="30"/>
        <v>0</v>
      </c>
      <c r="M400" s="59">
        <f t="shared" si="31"/>
        <v>0</v>
      </c>
    </row>
    <row r="401" ht="15.0" hidden="1" customHeight="1">
      <c r="A401" s="59">
        <f t="shared" si="20"/>
        <v>3</v>
      </c>
      <c r="B401" s="59" t="str">
        <f t="shared" si="21"/>
        <v>Đã chốt</v>
      </c>
      <c r="C401" s="59" t="str">
        <f t="shared" si="22"/>
        <v>Téc 1</v>
      </c>
      <c r="D401" s="45">
        <f t="shared" si="23"/>
        <v>46056</v>
      </c>
      <c r="E401" s="45">
        <f t="shared" si="24"/>
        <v>46079</v>
      </c>
      <c r="F401" s="133">
        <f t="shared" si="25"/>
        <v>2</v>
      </c>
      <c r="G401" s="133">
        <f t="shared" si="26"/>
        <v>2026</v>
      </c>
      <c r="H401" s="59" t="str">
        <f t="shared" si="27"/>
        <v>Máy phát điện</v>
      </c>
      <c r="I401" s="59">
        <f>IF(OR($A401="",$C401="",$D401="",$E401="",$H401=""),"",SUMIFS(DATA_GOC!$H:$H,DATA_GOC!$A:$A,"BOM",DATA_GOC!$D:$D,$H401,DATA_GOC!$E:$E,$C401,DATA_GOC!$F:$F,"Xuất nội bộ từ téc",DATA_GOC!$B:$B,"&gt;="&amp;$D401,DATA_GOC!$B:$B,"&lt;="&amp;$E401))</f>
        <v>0</v>
      </c>
      <c r="J401" s="59">
        <f t="shared" si="28"/>
        <v>0</v>
      </c>
      <c r="K401" s="59">
        <f t="shared" si="29"/>
        <v>0</v>
      </c>
      <c r="L401" s="59">
        <f t="shared" si="30"/>
        <v>0</v>
      </c>
      <c r="M401" s="59">
        <f t="shared" si="31"/>
        <v>0</v>
      </c>
    </row>
    <row r="402" ht="15.0" hidden="1" customHeight="1">
      <c r="A402" s="59">
        <f t="shared" si="20"/>
        <v>3</v>
      </c>
      <c r="B402" s="59" t="str">
        <f t="shared" si="21"/>
        <v>Đã chốt</v>
      </c>
      <c r="C402" s="59" t="str">
        <f t="shared" si="22"/>
        <v>Téc 1</v>
      </c>
      <c r="D402" s="45">
        <f t="shared" si="23"/>
        <v>46056</v>
      </c>
      <c r="E402" s="45">
        <f t="shared" si="24"/>
        <v>46079</v>
      </c>
      <c r="F402" s="133">
        <f t="shared" si="25"/>
        <v>2</v>
      </c>
      <c r="G402" s="133">
        <f t="shared" si="26"/>
        <v>2026</v>
      </c>
      <c r="H402" s="59" t="str">
        <f t="shared" si="27"/>
        <v>Máy rải thảm</v>
      </c>
      <c r="I402" s="59">
        <f>IF(OR($A402="",$C402="",$D402="",$E402="",$H402=""),"",SUMIFS(DATA_GOC!$H:$H,DATA_GOC!$A:$A,"BOM",DATA_GOC!$D:$D,$H402,DATA_GOC!$E:$E,$C402,DATA_GOC!$F:$F,"Xuất nội bộ từ téc",DATA_GOC!$B:$B,"&gt;="&amp;$D402,DATA_GOC!$B:$B,"&lt;="&amp;$E402))</f>
        <v>170</v>
      </c>
      <c r="J402" s="59">
        <f t="shared" si="28"/>
        <v>5.498</v>
      </c>
      <c r="K402" s="59">
        <f t="shared" si="29"/>
        <v>0</v>
      </c>
      <c r="L402" s="59">
        <f t="shared" si="30"/>
        <v>175.498</v>
      </c>
      <c r="M402" s="59">
        <f t="shared" si="31"/>
        <v>0.01570729003</v>
      </c>
    </row>
    <row r="403" ht="15.0" hidden="1" customHeight="1">
      <c r="A403" s="59">
        <f t="shared" si="20"/>
        <v>3</v>
      </c>
      <c r="B403" s="59" t="str">
        <f t="shared" si="21"/>
        <v>Đã chốt</v>
      </c>
      <c r="C403" s="59" t="str">
        <f t="shared" si="22"/>
        <v>Téc 1</v>
      </c>
      <c r="D403" s="45">
        <f t="shared" si="23"/>
        <v>46056</v>
      </c>
      <c r="E403" s="45">
        <f t="shared" si="24"/>
        <v>46079</v>
      </c>
      <c r="F403" s="133">
        <f t="shared" si="25"/>
        <v>2</v>
      </c>
      <c r="G403" s="133">
        <f t="shared" si="26"/>
        <v>2026</v>
      </c>
      <c r="H403" s="59" t="str">
        <f t="shared" si="27"/>
        <v>Xúc Đào</v>
      </c>
      <c r="I403" s="59">
        <f>IF(OR($A403="",$C403="",$D403="",$E403="",$H403=""),"",SUMIFS(DATA_GOC!$H:$H,DATA_GOC!$A:$A,"BOM",DATA_GOC!$D:$D,$H403,DATA_GOC!$E:$E,$C403,DATA_GOC!$F:$F,"Xuất nội bộ từ téc",DATA_GOC!$B:$B,"&gt;="&amp;$D403,DATA_GOC!$B:$B,"&lt;="&amp;$E403))</f>
        <v>0</v>
      </c>
      <c r="J403" s="59">
        <f t="shared" si="28"/>
        <v>0</v>
      </c>
      <c r="K403" s="59">
        <f t="shared" si="29"/>
        <v>0</v>
      </c>
      <c r="L403" s="59">
        <f t="shared" si="30"/>
        <v>0</v>
      </c>
      <c r="M403" s="59">
        <f t="shared" si="31"/>
        <v>0</v>
      </c>
    </row>
    <row r="404" ht="15.0" hidden="1" customHeight="1">
      <c r="A404" s="59">
        <f t="shared" si="20"/>
        <v>3</v>
      </c>
      <c r="B404" s="59" t="str">
        <f t="shared" si="21"/>
        <v>Đã chốt</v>
      </c>
      <c r="C404" s="59" t="str">
        <f t="shared" si="22"/>
        <v>Téc 1</v>
      </c>
      <c r="D404" s="45">
        <f t="shared" si="23"/>
        <v>46056</v>
      </c>
      <c r="E404" s="45">
        <f t="shared" si="24"/>
        <v>46079</v>
      </c>
      <c r="F404" s="133">
        <f t="shared" si="25"/>
        <v>2</v>
      </c>
      <c r="G404" s="133">
        <f t="shared" si="26"/>
        <v>2026</v>
      </c>
      <c r="H404" s="59" t="str">
        <f t="shared" si="27"/>
        <v>Xúclật asphalt</v>
      </c>
      <c r="I404" s="59">
        <f>IF(OR($A404="",$C404="",$D404="",$E404="",$H404=""),"",SUMIFS(DATA_GOC!$H:$H,DATA_GOC!$A:$A,"BOM",DATA_GOC!$D:$D,$H404,DATA_GOC!$E:$E,$C404,DATA_GOC!$F:$F,"Xuất nội bộ từ téc",DATA_GOC!$B:$B,"&gt;="&amp;$D404,DATA_GOC!$B:$B,"&lt;="&amp;$E404))</f>
        <v>0</v>
      </c>
      <c r="J404" s="59">
        <f t="shared" si="28"/>
        <v>0</v>
      </c>
      <c r="K404" s="59">
        <f t="shared" si="29"/>
        <v>0</v>
      </c>
      <c r="L404" s="59">
        <f t="shared" si="30"/>
        <v>0</v>
      </c>
      <c r="M404" s="59">
        <f t="shared" si="31"/>
        <v>0</v>
      </c>
    </row>
    <row r="405" ht="15.0" hidden="1" customHeight="1">
      <c r="A405" s="59">
        <f t="shared" si="20"/>
        <v>3</v>
      </c>
      <c r="B405" s="59" t="str">
        <f t="shared" si="21"/>
        <v>Đã chốt</v>
      </c>
      <c r="C405" s="59" t="str">
        <f t="shared" si="22"/>
        <v>Téc 1</v>
      </c>
      <c r="D405" s="45">
        <f t="shared" si="23"/>
        <v>46056</v>
      </c>
      <c r="E405" s="45">
        <f t="shared" si="24"/>
        <v>46079</v>
      </c>
      <c r="F405" s="133">
        <f t="shared" si="25"/>
        <v>2</v>
      </c>
      <c r="G405" s="133">
        <f t="shared" si="26"/>
        <v>2026</v>
      </c>
      <c r="H405" s="59" t="str">
        <f t="shared" si="27"/>
        <v>Xúclật855H</v>
      </c>
      <c r="I405" s="59">
        <f>IF(OR($A405="",$C405="",$D405="",$E405="",$H405=""),"",SUMIFS(DATA_GOC!$H:$H,DATA_GOC!$A:$A,"BOM",DATA_GOC!$D:$D,$H405,DATA_GOC!$E:$E,$C405,DATA_GOC!$F:$F,"Xuất nội bộ từ téc",DATA_GOC!$B:$B,"&gt;="&amp;$D405,DATA_GOC!$B:$B,"&lt;="&amp;$E405))</f>
        <v>173</v>
      </c>
      <c r="J405" s="59">
        <f t="shared" si="28"/>
        <v>5.595</v>
      </c>
      <c r="K405" s="59">
        <f t="shared" si="29"/>
        <v>0</v>
      </c>
      <c r="L405" s="59">
        <f t="shared" si="30"/>
        <v>178.595</v>
      </c>
      <c r="M405" s="59">
        <f t="shared" si="31"/>
        <v>0.0159844775</v>
      </c>
    </row>
    <row r="406" ht="15.0" hidden="1" customHeight="1">
      <c r="A406" s="59">
        <f t="shared" si="20"/>
        <v>3</v>
      </c>
      <c r="B406" s="59" t="str">
        <f t="shared" si="21"/>
        <v>Đã chốt</v>
      </c>
      <c r="C406" s="59" t="str">
        <f t="shared" si="22"/>
        <v>Téc 1</v>
      </c>
      <c r="D406" s="45">
        <f t="shared" si="23"/>
        <v>46056</v>
      </c>
      <c r="E406" s="45">
        <f t="shared" si="24"/>
        <v>46079</v>
      </c>
      <c r="F406" s="133">
        <f t="shared" si="25"/>
        <v>2</v>
      </c>
      <c r="G406" s="133">
        <f t="shared" si="26"/>
        <v>2026</v>
      </c>
      <c r="H406" s="59" t="str">
        <f t="shared" si="27"/>
        <v>Xúclật855N</v>
      </c>
      <c r="I406" s="59">
        <f>IF(OR($A406="",$C406="",$D406="",$E406="",$H406=""),"",SUMIFS(DATA_GOC!$H:$H,DATA_GOC!$A:$A,"BOM",DATA_GOC!$D:$D,$H406,DATA_GOC!$E:$E,$C406,DATA_GOC!$F:$F,"Xuất nội bộ từ téc",DATA_GOC!$B:$B,"&gt;="&amp;$D406,DATA_GOC!$B:$B,"&lt;="&amp;$E406))</f>
        <v>170</v>
      </c>
      <c r="J406" s="59">
        <f t="shared" si="28"/>
        <v>5.498</v>
      </c>
      <c r="K406" s="59">
        <f t="shared" si="29"/>
        <v>0</v>
      </c>
      <c r="L406" s="59">
        <f t="shared" si="30"/>
        <v>175.498</v>
      </c>
      <c r="M406" s="59">
        <f t="shared" si="31"/>
        <v>0.01570729003</v>
      </c>
    </row>
    <row r="407" ht="15.0" hidden="1" customHeight="1">
      <c r="A407" s="59">
        <f t="shared" si="20"/>
        <v>3</v>
      </c>
      <c r="B407" s="59" t="str">
        <f t="shared" si="21"/>
        <v>Đã chốt</v>
      </c>
      <c r="C407" s="59" t="str">
        <f t="shared" si="22"/>
        <v>Téc 1</v>
      </c>
      <c r="D407" s="45">
        <f t="shared" si="23"/>
        <v>46056</v>
      </c>
      <c r="E407" s="45">
        <f t="shared" si="24"/>
        <v>46079</v>
      </c>
      <c r="F407" s="133">
        <f t="shared" si="25"/>
        <v>2</v>
      </c>
      <c r="G407" s="133">
        <f t="shared" si="26"/>
        <v>2026</v>
      </c>
      <c r="H407" s="59" t="str">
        <f t="shared" si="27"/>
        <v>Cát nghiền</v>
      </c>
      <c r="I407" s="59">
        <f>IF(OR($A407="",$C407="",$D407="",$E407="",$H407=""),"",SUMIFS(DATA_GOC!$H:$H,DATA_GOC!$A:$A,"BOM",DATA_GOC!$D:$D,$H407,DATA_GOC!$E:$E,$C407,DATA_GOC!$F:$F,"Xuất nội bộ từ téc",DATA_GOC!$B:$B,"&gt;="&amp;$D407,DATA_GOC!$B:$B,"&lt;="&amp;$E407))</f>
        <v>0</v>
      </c>
      <c r="J407" s="59">
        <f t="shared" si="28"/>
        <v>0</v>
      </c>
      <c r="K407" s="59">
        <f t="shared" si="29"/>
        <v>0</v>
      </c>
      <c r="L407" s="59">
        <f t="shared" si="30"/>
        <v>0</v>
      </c>
      <c r="M407" s="59">
        <f t="shared" si="31"/>
        <v>0</v>
      </c>
    </row>
    <row r="408" ht="15.0" hidden="1" customHeight="1">
      <c r="A408" s="59">
        <f t="shared" si="20"/>
        <v>3</v>
      </c>
      <c r="B408" s="59" t="str">
        <f t="shared" si="21"/>
        <v>Đã chốt</v>
      </c>
      <c r="C408" s="59" t="str">
        <f t="shared" si="22"/>
        <v>Téc 1</v>
      </c>
      <c r="D408" s="45">
        <f t="shared" si="23"/>
        <v>46056</v>
      </c>
      <c r="E408" s="45">
        <f t="shared" si="24"/>
        <v>46079</v>
      </c>
      <c r="F408" s="133">
        <f t="shared" si="25"/>
        <v>2</v>
      </c>
      <c r="G408" s="133">
        <f t="shared" si="26"/>
        <v>2026</v>
      </c>
      <c r="H408" s="59" t="str">
        <f t="shared" si="27"/>
        <v>28C02973</v>
      </c>
      <c r="I408" s="59">
        <f>IF(OR($A408="",$C408="",$D408="",$E408="",$H408=""),"",SUMIFS(DATA_GOC!$H:$H,DATA_GOC!$A:$A,"BOM",DATA_GOC!$D:$D,$H408,DATA_GOC!$E:$E,$C408,DATA_GOC!$F:$F,"Xuất nội bộ từ téc",DATA_GOC!$B:$B,"&gt;="&amp;$D408,DATA_GOC!$B:$B,"&lt;="&amp;$E408))</f>
        <v>0</v>
      </c>
      <c r="J408" s="59">
        <f t="shared" si="28"/>
        <v>0</v>
      </c>
      <c r="K408" s="59">
        <f t="shared" si="29"/>
        <v>0</v>
      </c>
      <c r="L408" s="59">
        <f t="shared" si="30"/>
        <v>0</v>
      </c>
      <c r="M408" s="59">
        <f t="shared" si="31"/>
        <v>0</v>
      </c>
    </row>
    <row r="409" ht="15.0" hidden="1" customHeight="1">
      <c r="A409" s="59">
        <f t="shared" si="20"/>
        <v>3</v>
      </c>
      <c r="B409" s="59" t="str">
        <f t="shared" si="21"/>
        <v>Đã chốt</v>
      </c>
      <c r="C409" s="59" t="str">
        <f t="shared" si="22"/>
        <v>Téc 1</v>
      </c>
      <c r="D409" s="45">
        <f t="shared" si="23"/>
        <v>46056</v>
      </c>
      <c r="E409" s="45">
        <f t="shared" si="24"/>
        <v>46079</v>
      </c>
      <c r="F409" s="133">
        <f t="shared" si="25"/>
        <v>2</v>
      </c>
      <c r="G409" s="133">
        <f t="shared" si="26"/>
        <v>2026</v>
      </c>
      <c r="H409" s="59" t="str">
        <f t="shared" si="27"/>
        <v>28C03044</v>
      </c>
      <c r="I409" s="59">
        <f>IF(OR($A409="",$C409="",$D409="",$E409="",$H409=""),"",SUMIFS(DATA_GOC!$H:$H,DATA_GOC!$A:$A,"BOM",DATA_GOC!$D:$D,$H409,DATA_GOC!$E:$E,$C409,DATA_GOC!$F:$F,"Xuất nội bộ từ téc",DATA_GOC!$B:$B,"&gt;="&amp;$D409,DATA_GOC!$B:$B,"&lt;="&amp;$E409))</f>
        <v>0</v>
      </c>
      <c r="J409" s="59">
        <f t="shared" si="28"/>
        <v>0</v>
      </c>
      <c r="K409" s="59">
        <f t="shared" si="29"/>
        <v>0</v>
      </c>
      <c r="L409" s="59">
        <f t="shared" si="30"/>
        <v>0</v>
      </c>
      <c r="M409" s="59">
        <f t="shared" si="31"/>
        <v>0</v>
      </c>
    </row>
    <row r="410" ht="15.0" hidden="1" customHeight="1">
      <c r="A410" s="59">
        <f t="shared" si="20"/>
        <v>3</v>
      </c>
      <c r="B410" s="59" t="str">
        <f t="shared" si="21"/>
        <v>Đã chốt</v>
      </c>
      <c r="C410" s="59" t="str">
        <f t="shared" si="22"/>
        <v>Téc 1</v>
      </c>
      <c r="D410" s="45">
        <f t="shared" si="23"/>
        <v>46056</v>
      </c>
      <c r="E410" s="45">
        <f t="shared" si="24"/>
        <v>46079</v>
      </c>
      <c r="F410" s="133">
        <f t="shared" si="25"/>
        <v>2</v>
      </c>
      <c r="G410" s="133">
        <f t="shared" si="26"/>
        <v>2026</v>
      </c>
      <c r="H410" s="59" t="str">
        <f t="shared" si="27"/>
        <v>Máy lu lốp</v>
      </c>
      <c r="I410" s="59">
        <f>IF(OR($A410="",$C410="",$D410="",$E410="",$H410=""),"",SUMIFS(DATA_GOC!$H:$H,DATA_GOC!$A:$A,"BOM",DATA_GOC!$D:$D,$H410,DATA_GOC!$E:$E,$C410,DATA_GOC!$F:$F,"Xuất nội bộ từ téc",DATA_GOC!$B:$B,"&gt;="&amp;$D410,DATA_GOC!$B:$B,"&lt;="&amp;$E410))</f>
        <v>0</v>
      </c>
      <c r="J410" s="59">
        <f t="shared" si="28"/>
        <v>0</v>
      </c>
      <c r="K410" s="59">
        <f t="shared" si="29"/>
        <v>0</v>
      </c>
      <c r="L410" s="59">
        <f t="shared" si="30"/>
        <v>0</v>
      </c>
      <c r="M410" s="59">
        <f t="shared" si="31"/>
        <v>0</v>
      </c>
    </row>
    <row r="411" ht="15.0" hidden="1" customHeight="1">
      <c r="A411" s="59">
        <f t="shared" si="20"/>
        <v>3</v>
      </c>
      <c r="B411" s="59" t="str">
        <f t="shared" si="21"/>
        <v>Đã chốt</v>
      </c>
      <c r="C411" s="59" t="str">
        <f t="shared" si="22"/>
        <v>Téc 1</v>
      </c>
      <c r="D411" s="45">
        <f t="shared" si="23"/>
        <v>46056</v>
      </c>
      <c r="E411" s="45">
        <f t="shared" si="24"/>
        <v>46079</v>
      </c>
      <c r="F411" s="133">
        <f t="shared" si="25"/>
        <v>2</v>
      </c>
      <c r="G411" s="133">
        <f t="shared" si="26"/>
        <v>2026</v>
      </c>
      <c r="H411" s="59" t="str">
        <f t="shared" si="27"/>
        <v>Xe 600148</v>
      </c>
      <c r="I411" s="59">
        <f>IF(OR($A411="",$C411="",$D411="",$E411="",$H411=""),"",SUMIFS(DATA_GOC!$H:$H,DATA_GOC!$A:$A,"BOM",DATA_GOC!$D:$D,$H411,DATA_GOC!$E:$E,$C411,DATA_GOC!$F:$F,"Xuất nội bộ từ téc",DATA_GOC!$B:$B,"&gt;="&amp;$D411,DATA_GOC!$B:$B,"&lt;="&amp;$E411))</f>
        <v>0</v>
      </c>
      <c r="J411" s="59">
        <f t="shared" si="28"/>
        <v>0</v>
      </c>
      <c r="K411" s="59">
        <f t="shared" si="29"/>
        <v>0</v>
      </c>
      <c r="L411" s="59">
        <f t="shared" si="30"/>
        <v>0</v>
      </c>
      <c r="M411" s="59">
        <f t="shared" si="31"/>
        <v>0</v>
      </c>
    </row>
    <row r="412" ht="15.0" hidden="1" customHeight="1">
      <c r="A412" s="59">
        <f t="shared" si="20"/>
        <v>3</v>
      </c>
      <c r="B412" s="59" t="str">
        <f t="shared" si="21"/>
        <v>Đã chốt</v>
      </c>
      <c r="C412" s="59" t="str">
        <f t="shared" si="22"/>
        <v>Téc 1</v>
      </c>
      <c r="D412" s="45">
        <f t="shared" si="23"/>
        <v>46056</v>
      </c>
      <c r="E412" s="45">
        <f t="shared" si="24"/>
        <v>46079</v>
      </c>
      <c r="F412" s="133">
        <f t="shared" si="25"/>
        <v>2</v>
      </c>
      <c r="G412" s="133">
        <f t="shared" si="26"/>
        <v>2026</v>
      </c>
      <c r="H412" s="59" t="str">
        <f t="shared" si="27"/>
        <v>Xe ben mới</v>
      </c>
      <c r="I412" s="59">
        <f>IF(OR($A412="",$C412="",$D412="",$E412="",$H412=""),"",SUMIFS(DATA_GOC!$H:$H,DATA_GOC!$A:$A,"BOM",DATA_GOC!$D:$D,$H412,DATA_GOC!$E:$E,$C412,DATA_GOC!$F:$F,"Xuất nội bộ từ téc",DATA_GOC!$B:$B,"&gt;="&amp;$D412,DATA_GOC!$B:$B,"&lt;="&amp;$E412))</f>
        <v>0</v>
      </c>
      <c r="J412" s="59">
        <f t="shared" si="28"/>
        <v>0</v>
      </c>
      <c r="K412" s="59">
        <f t="shared" si="29"/>
        <v>0</v>
      </c>
      <c r="L412" s="59">
        <f t="shared" si="30"/>
        <v>0</v>
      </c>
      <c r="M412" s="59">
        <f t="shared" si="31"/>
        <v>0</v>
      </c>
    </row>
    <row r="413" ht="15.0" hidden="1" customHeight="1">
      <c r="A413" s="59">
        <f t="shared" si="20"/>
        <v>4</v>
      </c>
      <c r="B413" s="59" t="str">
        <f t="shared" si="21"/>
        <v>Đã chốt</v>
      </c>
      <c r="C413" s="59" t="str">
        <f t="shared" si="22"/>
        <v>Téc 2</v>
      </c>
      <c r="D413" s="45">
        <f t="shared" si="23"/>
        <v>46023</v>
      </c>
      <c r="E413" s="45">
        <f t="shared" si="24"/>
        <v>46035</v>
      </c>
      <c r="F413" s="133">
        <f t="shared" si="25"/>
        <v>1</v>
      </c>
      <c r="G413" s="133">
        <f t="shared" si="26"/>
        <v>2026</v>
      </c>
      <c r="H413" s="59" t="str">
        <f t="shared" si="27"/>
        <v>19H09482</v>
      </c>
      <c r="I413" s="59">
        <f>IF(OR($A413="",$C413="",$D413="",$E413="",$H413=""),"",SUMIFS(DATA_GOC!$H:$H,DATA_GOC!$A:$A,"BOM",DATA_GOC!$D:$D,$H413,DATA_GOC!$E:$E,$C413,DATA_GOC!$F:$F,"Xuất nội bộ từ téc",DATA_GOC!$B:$B,"&gt;="&amp;$D413,DATA_GOC!$B:$B,"&lt;="&amp;$E413))</f>
        <v>480</v>
      </c>
      <c r="J413" s="59">
        <f t="shared" si="28"/>
        <v>17.624</v>
      </c>
      <c r="K413" s="59">
        <f t="shared" si="29"/>
        <v>0</v>
      </c>
      <c r="L413" s="59">
        <f t="shared" si="30"/>
        <v>497.624</v>
      </c>
      <c r="M413" s="59">
        <f t="shared" si="31"/>
        <v>0.02328175777</v>
      </c>
    </row>
    <row r="414" ht="15.0" hidden="1" customHeight="1">
      <c r="A414" s="59">
        <f t="shared" si="20"/>
        <v>4</v>
      </c>
      <c r="B414" s="59" t="str">
        <f t="shared" si="21"/>
        <v>Đã chốt</v>
      </c>
      <c r="C414" s="59" t="str">
        <f t="shared" si="22"/>
        <v>Téc 2</v>
      </c>
      <c r="D414" s="45">
        <f t="shared" si="23"/>
        <v>46023</v>
      </c>
      <c r="E414" s="45">
        <f t="shared" si="24"/>
        <v>46035</v>
      </c>
      <c r="F414" s="133">
        <f t="shared" si="25"/>
        <v>1</v>
      </c>
      <c r="G414" s="133">
        <f t="shared" si="26"/>
        <v>2026</v>
      </c>
      <c r="H414" s="59" t="str">
        <f t="shared" si="27"/>
        <v>28A30696</v>
      </c>
      <c r="I414" s="59">
        <f>IF(OR($A414="",$C414="",$D414="",$E414="",$H414=""),"",SUMIFS(DATA_GOC!$H:$H,DATA_GOC!$A:$A,"BOM",DATA_GOC!$D:$D,$H414,DATA_GOC!$E:$E,$C414,DATA_GOC!$F:$F,"Xuất nội bộ từ téc",DATA_GOC!$B:$B,"&gt;="&amp;$D414,DATA_GOC!$B:$B,"&lt;="&amp;$E414))</f>
        <v>0</v>
      </c>
      <c r="J414" s="59">
        <f t="shared" si="28"/>
        <v>0</v>
      </c>
      <c r="K414" s="59">
        <f t="shared" si="29"/>
        <v>0</v>
      </c>
      <c r="L414" s="59">
        <f t="shared" si="30"/>
        <v>0</v>
      </c>
      <c r="M414" s="59">
        <f t="shared" si="31"/>
        <v>0</v>
      </c>
    </row>
    <row r="415" ht="15.0" hidden="1" customHeight="1">
      <c r="A415" s="59">
        <f t="shared" si="20"/>
        <v>4</v>
      </c>
      <c r="B415" s="59" t="str">
        <f t="shared" si="21"/>
        <v>Đã chốt</v>
      </c>
      <c r="C415" s="59" t="str">
        <f t="shared" si="22"/>
        <v>Téc 2</v>
      </c>
      <c r="D415" s="45">
        <f t="shared" si="23"/>
        <v>46023</v>
      </c>
      <c r="E415" s="45">
        <f t="shared" si="24"/>
        <v>46035</v>
      </c>
      <c r="F415" s="133">
        <f t="shared" si="25"/>
        <v>1</v>
      </c>
      <c r="G415" s="133">
        <f t="shared" si="26"/>
        <v>2026</v>
      </c>
      <c r="H415" s="59" t="str">
        <f t="shared" si="27"/>
        <v>28C00462</v>
      </c>
      <c r="I415" s="59">
        <f>IF(OR($A415="",$C415="",$D415="",$E415="",$H415=""),"",SUMIFS(DATA_GOC!$H:$H,DATA_GOC!$A:$A,"BOM",DATA_GOC!$D:$D,$H415,DATA_GOC!$E:$E,$C415,DATA_GOC!$F:$F,"Xuất nội bộ từ téc",DATA_GOC!$B:$B,"&gt;="&amp;$D415,DATA_GOC!$B:$B,"&lt;="&amp;$E415))</f>
        <v>907</v>
      </c>
      <c r="J415" s="59">
        <f t="shared" si="28"/>
        <v>33.303</v>
      </c>
      <c r="K415" s="59">
        <f t="shared" si="29"/>
        <v>0</v>
      </c>
      <c r="L415" s="59">
        <f t="shared" si="30"/>
        <v>940.303</v>
      </c>
      <c r="M415" s="59">
        <f t="shared" si="31"/>
        <v>0.04399282146</v>
      </c>
    </row>
    <row r="416" ht="15.0" hidden="1" customHeight="1">
      <c r="A416" s="59">
        <f t="shared" si="20"/>
        <v>4</v>
      </c>
      <c r="B416" s="59" t="str">
        <f t="shared" si="21"/>
        <v>Đã chốt</v>
      </c>
      <c r="C416" s="59" t="str">
        <f t="shared" si="22"/>
        <v>Téc 2</v>
      </c>
      <c r="D416" s="45">
        <f t="shared" si="23"/>
        <v>46023</v>
      </c>
      <c r="E416" s="45">
        <f t="shared" si="24"/>
        <v>46035</v>
      </c>
      <c r="F416" s="133">
        <f t="shared" si="25"/>
        <v>1</v>
      </c>
      <c r="G416" s="133">
        <f t="shared" si="26"/>
        <v>2026</v>
      </c>
      <c r="H416" s="59" t="str">
        <f t="shared" si="27"/>
        <v>28C01165</v>
      </c>
      <c r="I416" s="59">
        <f>IF(OR($A416="",$C416="",$D416="",$E416="",$H416=""),"",SUMIFS(DATA_GOC!$H:$H,DATA_GOC!$A:$A,"BOM",DATA_GOC!$D:$D,$H416,DATA_GOC!$E:$E,$C416,DATA_GOC!$F:$F,"Xuất nội bộ từ téc",DATA_GOC!$B:$B,"&gt;="&amp;$D416,DATA_GOC!$B:$B,"&lt;="&amp;$E416))</f>
        <v>0</v>
      </c>
      <c r="J416" s="59">
        <f t="shared" si="28"/>
        <v>0</v>
      </c>
      <c r="K416" s="59">
        <f t="shared" si="29"/>
        <v>0</v>
      </c>
      <c r="L416" s="59">
        <f t="shared" si="30"/>
        <v>0</v>
      </c>
      <c r="M416" s="59">
        <f t="shared" si="31"/>
        <v>0</v>
      </c>
    </row>
    <row r="417" ht="15.0" hidden="1" customHeight="1">
      <c r="A417" s="59">
        <f t="shared" si="20"/>
        <v>4</v>
      </c>
      <c r="B417" s="59" t="str">
        <f t="shared" si="21"/>
        <v>Đã chốt</v>
      </c>
      <c r="C417" s="59" t="str">
        <f t="shared" si="22"/>
        <v>Téc 2</v>
      </c>
      <c r="D417" s="45">
        <f t="shared" si="23"/>
        <v>46023</v>
      </c>
      <c r="E417" s="45">
        <f t="shared" si="24"/>
        <v>46035</v>
      </c>
      <c r="F417" s="133">
        <f t="shared" si="25"/>
        <v>1</v>
      </c>
      <c r="G417" s="133">
        <f t="shared" si="26"/>
        <v>2026</v>
      </c>
      <c r="H417" s="59" t="str">
        <f t="shared" si="27"/>
        <v>28C01406</v>
      </c>
      <c r="I417" s="59">
        <f>IF(OR($A417="",$C417="",$D417="",$E417="",$H417=""),"",SUMIFS(DATA_GOC!$H:$H,DATA_GOC!$A:$A,"BOM",DATA_GOC!$D:$D,$H417,DATA_GOC!$E:$E,$C417,DATA_GOC!$F:$F,"Xuất nội bộ từ téc",DATA_GOC!$B:$B,"&gt;="&amp;$D417,DATA_GOC!$B:$B,"&lt;="&amp;$E417))</f>
        <v>0</v>
      </c>
      <c r="J417" s="59">
        <f t="shared" si="28"/>
        <v>0</v>
      </c>
      <c r="K417" s="59">
        <f t="shared" si="29"/>
        <v>0</v>
      </c>
      <c r="L417" s="59">
        <f t="shared" si="30"/>
        <v>0</v>
      </c>
      <c r="M417" s="59">
        <f t="shared" si="31"/>
        <v>0</v>
      </c>
    </row>
    <row r="418" ht="15.0" hidden="1" customHeight="1">
      <c r="A418" s="59">
        <f t="shared" si="20"/>
        <v>4</v>
      </c>
      <c r="B418" s="59" t="str">
        <f t="shared" si="21"/>
        <v>Đã chốt</v>
      </c>
      <c r="C418" s="59" t="str">
        <f t="shared" si="22"/>
        <v>Téc 2</v>
      </c>
      <c r="D418" s="45">
        <f t="shared" si="23"/>
        <v>46023</v>
      </c>
      <c r="E418" s="45">
        <f t="shared" si="24"/>
        <v>46035</v>
      </c>
      <c r="F418" s="133">
        <f t="shared" si="25"/>
        <v>1</v>
      </c>
      <c r="G418" s="133">
        <f t="shared" si="26"/>
        <v>2026</v>
      </c>
      <c r="H418" s="59" t="str">
        <f t="shared" si="27"/>
        <v>28C01544</v>
      </c>
      <c r="I418" s="59">
        <f>IF(OR($A418="",$C418="",$D418="",$E418="",$H418=""),"",SUMIFS(DATA_GOC!$H:$H,DATA_GOC!$A:$A,"BOM",DATA_GOC!$D:$D,$H418,DATA_GOC!$E:$E,$C418,DATA_GOC!$F:$F,"Xuất nội bộ từ téc",DATA_GOC!$B:$B,"&gt;="&amp;$D418,DATA_GOC!$B:$B,"&lt;="&amp;$E418))</f>
        <v>93</v>
      </c>
      <c r="J418" s="59">
        <f t="shared" si="28"/>
        <v>3.415</v>
      </c>
      <c r="K418" s="59">
        <f t="shared" si="29"/>
        <v>0</v>
      </c>
      <c r="L418" s="59">
        <f t="shared" si="30"/>
        <v>96.415</v>
      </c>
      <c r="M418" s="59">
        <f t="shared" si="31"/>
        <v>0.004510840568</v>
      </c>
    </row>
    <row r="419" ht="15.0" hidden="1" customHeight="1">
      <c r="A419" s="59">
        <f t="shared" si="20"/>
        <v>4</v>
      </c>
      <c r="B419" s="59" t="str">
        <f t="shared" si="21"/>
        <v>Đã chốt</v>
      </c>
      <c r="C419" s="59" t="str">
        <f t="shared" si="22"/>
        <v>Téc 2</v>
      </c>
      <c r="D419" s="45">
        <f t="shared" si="23"/>
        <v>46023</v>
      </c>
      <c r="E419" s="45">
        <f t="shared" si="24"/>
        <v>46035</v>
      </c>
      <c r="F419" s="133">
        <f t="shared" si="25"/>
        <v>1</v>
      </c>
      <c r="G419" s="133">
        <f t="shared" si="26"/>
        <v>2026</v>
      </c>
      <c r="H419" s="59" t="str">
        <f t="shared" si="27"/>
        <v>28C01622</v>
      </c>
      <c r="I419" s="59">
        <f>IF(OR($A419="",$C419="",$D419="",$E419="",$H419=""),"",SUMIFS(DATA_GOC!$H:$H,DATA_GOC!$A:$A,"BOM",DATA_GOC!$D:$D,$H419,DATA_GOC!$E:$E,$C419,DATA_GOC!$F:$F,"Xuất nội bộ từ téc",DATA_GOC!$B:$B,"&gt;="&amp;$D419,DATA_GOC!$B:$B,"&lt;="&amp;$E419))</f>
        <v>889</v>
      </c>
      <c r="J419" s="59">
        <f t="shared" si="28"/>
        <v>32.642</v>
      </c>
      <c r="K419" s="59">
        <f t="shared" si="29"/>
        <v>0</v>
      </c>
      <c r="L419" s="59">
        <f t="shared" si="30"/>
        <v>921.642</v>
      </c>
      <c r="M419" s="59">
        <f t="shared" si="31"/>
        <v>0.04311975554</v>
      </c>
    </row>
    <row r="420" ht="15.0" hidden="1" customHeight="1">
      <c r="A420" s="59">
        <f t="shared" si="20"/>
        <v>4</v>
      </c>
      <c r="B420" s="59" t="str">
        <f t="shared" si="21"/>
        <v>Đã chốt</v>
      </c>
      <c r="C420" s="59" t="str">
        <f t="shared" si="22"/>
        <v>Téc 2</v>
      </c>
      <c r="D420" s="45">
        <f t="shared" si="23"/>
        <v>46023</v>
      </c>
      <c r="E420" s="45">
        <f t="shared" si="24"/>
        <v>46035</v>
      </c>
      <c r="F420" s="133">
        <f t="shared" si="25"/>
        <v>1</v>
      </c>
      <c r="G420" s="133">
        <f t="shared" si="26"/>
        <v>2026</v>
      </c>
      <c r="H420" s="59" t="str">
        <f t="shared" si="27"/>
        <v>28C01647</v>
      </c>
      <c r="I420" s="59">
        <f>IF(OR($A420="",$C420="",$D420="",$E420="",$H420=""),"",SUMIFS(DATA_GOC!$H:$H,DATA_GOC!$A:$A,"BOM",DATA_GOC!$D:$D,$H420,DATA_GOC!$E:$E,$C420,DATA_GOC!$F:$F,"Xuất nội bộ từ téc",DATA_GOC!$B:$B,"&gt;="&amp;$D420,DATA_GOC!$B:$B,"&lt;="&amp;$E420))</f>
        <v>1053</v>
      </c>
      <c r="J420" s="59">
        <f t="shared" si="28"/>
        <v>38.663</v>
      </c>
      <c r="K420" s="59">
        <f t="shared" si="29"/>
        <v>0</v>
      </c>
      <c r="L420" s="59">
        <f t="shared" si="30"/>
        <v>1091.663</v>
      </c>
      <c r="M420" s="59">
        <f t="shared" si="31"/>
        <v>0.05107435611</v>
      </c>
    </row>
    <row r="421" ht="15.0" hidden="1" customHeight="1">
      <c r="A421" s="59">
        <f t="shared" si="20"/>
        <v>4</v>
      </c>
      <c r="B421" s="59" t="str">
        <f t="shared" si="21"/>
        <v>Đã chốt</v>
      </c>
      <c r="C421" s="59" t="str">
        <f t="shared" si="22"/>
        <v>Téc 2</v>
      </c>
      <c r="D421" s="45">
        <f t="shared" si="23"/>
        <v>46023</v>
      </c>
      <c r="E421" s="45">
        <f t="shared" si="24"/>
        <v>46035</v>
      </c>
      <c r="F421" s="133">
        <f t="shared" si="25"/>
        <v>1</v>
      </c>
      <c r="G421" s="133">
        <f t="shared" si="26"/>
        <v>2026</v>
      </c>
      <c r="H421" s="59" t="str">
        <f t="shared" si="27"/>
        <v>28C01731</v>
      </c>
      <c r="I421" s="59">
        <f>IF(OR($A421="",$C421="",$D421="",$E421="",$H421=""),"",SUMIFS(DATA_GOC!$H:$H,DATA_GOC!$A:$A,"BOM",DATA_GOC!$D:$D,$H421,DATA_GOC!$E:$E,$C421,DATA_GOC!$F:$F,"Xuất nội bộ từ téc",DATA_GOC!$B:$B,"&gt;="&amp;$D421,DATA_GOC!$B:$B,"&lt;="&amp;$E421))</f>
        <v>252</v>
      </c>
      <c r="J421" s="59">
        <f t="shared" si="28"/>
        <v>9.253</v>
      </c>
      <c r="K421" s="59">
        <f t="shared" si="29"/>
        <v>0</v>
      </c>
      <c r="L421" s="59">
        <f t="shared" si="30"/>
        <v>261.253</v>
      </c>
      <c r="M421" s="59">
        <f t="shared" si="31"/>
        <v>0.01222292283</v>
      </c>
    </row>
    <row r="422" ht="15.0" hidden="1" customHeight="1">
      <c r="A422" s="59">
        <f t="shared" si="20"/>
        <v>4</v>
      </c>
      <c r="B422" s="59" t="str">
        <f t="shared" si="21"/>
        <v>Đã chốt</v>
      </c>
      <c r="C422" s="59" t="str">
        <f t="shared" si="22"/>
        <v>Téc 2</v>
      </c>
      <c r="D422" s="45">
        <f t="shared" si="23"/>
        <v>46023</v>
      </c>
      <c r="E422" s="45">
        <f t="shared" si="24"/>
        <v>46035</v>
      </c>
      <c r="F422" s="133">
        <f t="shared" si="25"/>
        <v>1</v>
      </c>
      <c r="G422" s="133">
        <f t="shared" si="26"/>
        <v>2026</v>
      </c>
      <c r="H422" s="59" t="str">
        <f t="shared" si="27"/>
        <v>28C01743</v>
      </c>
      <c r="I422" s="59">
        <f>IF(OR($A422="",$C422="",$D422="",$E422="",$H422=""),"",SUMIFS(DATA_GOC!$H:$H,DATA_GOC!$A:$A,"BOM",DATA_GOC!$D:$D,$H422,DATA_GOC!$E:$E,$C422,DATA_GOC!$F:$F,"Xuất nội bộ từ téc",DATA_GOC!$B:$B,"&gt;="&amp;$D422,DATA_GOC!$B:$B,"&lt;="&amp;$E422))</f>
        <v>0</v>
      </c>
      <c r="J422" s="59">
        <f t="shared" si="28"/>
        <v>0</v>
      </c>
      <c r="K422" s="59">
        <f t="shared" si="29"/>
        <v>0</v>
      </c>
      <c r="L422" s="59">
        <f t="shared" si="30"/>
        <v>0</v>
      </c>
      <c r="M422" s="59">
        <f t="shared" si="31"/>
        <v>0</v>
      </c>
    </row>
    <row r="423" ht="15.0" hidden="1" customHeight="1">
      <c r="A423" s="59">
        <f t="shared" si="20"/>
        <v>4</v>
      </c>
      <c r="B423" s="59" t="str">
        <f t="shared" si="21"/>
        <v>Đã chốt</v>
      </c>
      <c r="C423" s="59" t="str">
        <f t="shared" si="22"/>
        <v>Téc 2</v>
      </c>
      <c r="D423" s="45">
        <f t="shared" si="23"/>
        <v>46023</v>
      </c>
      <c r="E423" s="45">
        <f t="shared" si="24"/>
        <v>46035</v>
      </c>
      <c r="F423" s="133">
        <f t="shared" si="25"/>
        <v>1</v>
      </c>
      <c r="G423" s="133">
        <f t="shared" si="26"/>
        <v>2026</v>
      </c>
      <c r="H423" s="59" t="str">
        <f t="shared" si="27"/>
        <v>28C02106</v>
      </c>
      <c r="I423" s="59">
        <f>IF(OR($A423="",$C423="",$D423="",$E423="",$H423=""),"",SUMIFS(DATA_GOC!$H:$H,DATA_GOC!$A:$A,"BOM",DATA_GOC!$D:$D,$H423,DATA_GOC!$E:$E,$C423,DATA_GOC!$F:$F,"Xuất nội bộ từ téc",DATA_GOC!$B:$B,"&gt;="&amp;$D423,DATA_GOC!$B:$B,"&lt;="&amp;$E423))</f>
        <v>849</v>
      </c>
      <c r="J423" s="59">
        <f t="shared" si="28"/>
        <v>31.173</v>
      </c>
      <c r="K423" s="59">
        <f t="shared" si="29"/>
        <v>0</v>
      </c>
      <c r="L423" s="59">
        <f t="shared" si="30"/>
        <v>880.173</v>
      </c>
      <c r="M423" s="59">
        <f t="shared" si="31"/>
        <v>0.04117960906</v>
      </c>
    </row>
    <row r="424" ht="15.0" hidden="1" customHeight="1">
      <c r="A424" s="59">
        <f t="shared" si="20"/>
        <v>4</v>
      </c>
      <c r="B424" s="59" t="str">
        <f t="shared" si="21"/>
        <v>Đã chốt</v>
      </c>
      <c r="C424" s="59" t="str">
        <f t="shared" si="22"/>
        <v>Téc 2</v>
      </c>
      <c r="D424" s="45">
        <f t="shared" si="23"/>
        <v>46023</v>
      </c>
      <c r="E424" s="45">
        <f t="shared" si="24"/>
        <v>46035</v>
      </c>
      <c r="F424" s="133">
        <f t="shared" si="25"/>
        <v>1</v>
      </c>
      <c r="G424" s="133">
        <f t="shared" si="26"/>
        <v>2026</v>
      </c>
      <c r="H424" s="59" t="str">
        <f t="shared" si="27"/>
        <v>28C02410</v>
      </c>
      <c r="I424" s="59">
        <f>IF(OR($A424="",$C424="",$D424="",$E424="",$H424=""),"",SUMIFS(DATA_GOC!$H:$H,DATA_GOC!$A:$A,"BOM",DATA_GOC!$D:$D,$H424,DATA_GOC!$E:$E,$C424,DATA_GOC!$F:$F,"Xuất nội bộ từ téc",DATA_GOC!$B:$B,"&gt;="&amp;$D424,DATA_GOC!$B:$B,"&lt;="&amp;$E424))</f>
        <v>130</v>
      </c>
      <c r="J424" s="59">
        <f t="shared" si="28"/>
        <v>4.773</v>
      </c>
      <c r="K424" s="59">
        <f t="shared" si="29"/>
        <v>0</v>
      </c>
      <c r="L424" s="59">
        <f t="shared" si="30"/>
        <v>134.773</v>
      </c>
      <c r="M424" s="59">
        <f t="shared" si="31"/>
        <v>0.006305476063</v>
      </c>
    </row>
    <row r="425" ht="15.0" hidden="1" customHeight="1">
      <c r="A425" s="59">
        <f t="shared" si="20"/>
        <v>4</v>
      </c>
      <c r="B425" s="59" t="str">
        <f t="shared" si="21"/>
        <v>Đã chốt</v>
      </c>
      <c r="C425" s="59" t="str">
        <f t="shared" si="22"/>
        <v>Téc 2</v>
      </c>
      <c r="D425" s="45">
        <f t="shared" si="23"/>
        <v>46023</v>
      </c>
      <c r="E425" s="45">
        <f t="shared" si="24"/>
        <v>46035</v>
      </c>
      <c r="F425" s="133">
        <f t="shared" si="25"/>
        <v>1</v>
      </c>
      <c r="G425" s="133">
        <f t="shared" si="26"/>
        <v>2026</v>
      </c>
      <c r="H425" s="59" t="str">
        <f t="shared" si="27"/>
        <v>28C02545</v>
      </c>
      <c r="I425" s="59">
        <f>IF(OR($A425="",$C425="",$D425="",$E425="",$H425=""),"",SUMIFS(DATA_GOC!$H:$H,DATA_GOC!$A:$A,"BOM",DATA_GOC!$D:$D,$H425,DATA_GOC!$E:$E,$C425,DATA_GOC!$F:$F,"Xuất nội bộ từ téc",DATA_GOC!$B:$B,"&gt;="&amp;$D425,DATA_GOC!$B:$B,"&lt;="&amp;$E425))</f>
        <v>349</v>
      </c>
      <c r="J425" s="59">
        <f t="shared" si="28"/>
        <v>12.814</v>
      </c>
      <c r="K425" s="59">
        <f t="shared" si="29"/>
        <v>0</v>
      </c>
      <c r="L425" s="59">
        <f t="shared" si="30"/>
        <v>361.814</v>
      </c>
      <c r="M425" s="59">
        <f t="shared" si="31"/>
        <v>0.01692777805</v>
      </c>
    </row>
    <row r="426" ht="15.0" hidden="1" customHeight="1">
      <c r="A426" s="59">
        <f t="shared" si="20"/>
        <v>4</v>
      </c>
      <c r="B426" s="59" t="str">
        <f t="shared" si="21"/>
        <v>Đã chốt</v>
      </c>
      <c r="C426" s="59" t="str">
        <f t="shared" si="22"/>
        <v>Téc 2</v>
      </c>
      <c r="D426" s="45">
        <f t="shared" si="23"/>
        <v>46023</v>
      </c>
      <c r="E426" s="45">
        <f t="shared" si="24"/>
        <v>46035</v>
      </c>
      <c r="F426" s="133">
        <f t="shared" si="25"/>
        <v>1</v>
      </c>
      <c r="G426" s="133">
        <f t="shared" si="26"/>
        <v>2026</v>
      </c>
      <c r="H426" s="59" t="str">
        <f t="shared" si="27"/>
        <v>28C02574</v>
      </c>
      <c r="I426" s="59">
        <f>IF(OR($A426="",$C426="",$D426="",$E426="",$H426=""),"",SUMIFS(DATA_GOC!$H:$H,DATA_GOC!$A:$A,"BOM",DATA_GOC!$D:$D,$H426,DATA_GOC!$E:$E,$C426,DATA_GOC!$F:$F,"Xuất nội bộ từ téc",DATA_GOC!$B:$B,"&gt;="&amp;$D426,DATA_GOC!$B:$B,"&lt;="&amp;$E426))</f>
        <v>424</v>
      </c>
      <c r="J426" s="59">
        <f t="shared" si="28"/>
        <v>15.568</v>
      </c>
      <c r="K426" s="59">
        <f t="shared" si="29"/>
        <v>0</v>
      </c>
      <c r="L426" s="59">
        <f t="shared" si="30"/>
        <v>439.568</v>
      </c>
      <c r="M426" s="59">
        <f t="shared" si="31"/>
        <v>0.0205655527</v>
      </c>
    </row>
    <row r="427" ht="15.0" hidden="1" customHeight="1">
      <c r="A427" s="59">
        <f t="shared" si="20"/>
        <v>4</v>
      </c>
      <c r="B427" s="59" t="str">
        <f t="shared" si="21"/>
        <v>Đã chốt</v>
      </c>
      <c r="C427" s="59" t="str">
        <f t="shared" si="22"/>
        <v>Téc 2</v>
      </c>
      <c r="D427" s="45">
        <f t="shared" si="23"/>
        <v>46023</v>
      </c>
      <c r="E427" s="45">
        <f t="shared" si="24"/>
        <v>46035</v>
      </c>
      <c r="F427" s="133">
        <f t="shared" si="25"/>
        <v>1</v>
      </c>
      <c r="G427" s="133">
        <f t="shared" si="26"/>
        <v>2026</v>
      </c>
      <c r="H427" s="59" t="str">
        <f t="shared" si="27"/>
        <v>28C02770</v>
      </c>
      <c r="I427" s="59">
        <f>IF(OR($A427="",$C427="",$D427="",$E427="",$H427=""),"",SUMIFS(DATA_GOC!$H:$H,DATA_GOC!$A:$A,"BOM",DATA_GOC!$D:$D,$H427,DATA_GOC!$E:$E,$C427,DATA_GOC!$F:$F,"Xuất nội bộ từ téc",DATA_GOC!$B:$B,"&gt;="&amp;$D427,DATA_GOC!$B:$B,"&lt;="&amp;$E427))</f>
        <v>0</v>
      </c>
      <c r="J427" s="59">
        <f t="shared" si="28"/>
        <v>0</v>
      </c>
      <c r="K427" s="59">
        <f t="shared" si="29"/>
        <v>0</v>
      </c>
      <c r="L427" s="59">
        <f t="shared" si="30"/>
        <v>0</v>
      </c>
      <c r="M427" s="59">
        <f t="shared" si="31"/>
        <v>0</v>
      </c>
    </row>
    <row r="428" ht="15.0" hidden="1" customHeight="1">
      <c r="A428" s="59">
        <f t="shared" si="20"/>
        <v>4</v>
      </c>
      <c r="B428" s="59" t="str">
        <f t="shared" si="21"/>
        <v>Đã chốt</v>
      </c>
      <c r="C428" s="59" t="str">
        <f t="shared" si="22"/>
        <v>Téc 2</v>
      </c>
      <c r="D428" s="45">
        <f t="shared" si="23"/>
        <v>46023</v>
      </c>
      <c r="E428" s="45">
        <f t="shared" si="24"/>
        <v>46035</v>
      </c>
      <c r="F428" s="133">
        <f t="shared" si="25"/>
        <v>1</v>
      </c>
      <c r="G428" s="133">
        <f t="shared" si="26"/>
        <v>2026</v>
      </c>
      <c r="H428" s="59" t="str">
        <f t="shared" si="27"/>
        <v>28C02986</v>
      </c>
      <c r="I428" s="59">
        <f>IF(OR($A428="",$C428="",$D428="",$E428="",$H428=""),"",SUMIFS(DATA_GOC!$H:$H,DATA_GOC!$A:$A,"BOM",DATA_GOC!$D:$D,$H428,DATA_GOC!$E:$E,$C428,DATA_GOC!$F:$F,"Xuất nội bộ từ téc",DATA_GOC!$B:$B,"&gt;="&amp;$D428,DATA_GOC!$B:$B,"&lt;="&amp;$E428))</f>
        <v>772</v>
      </c>
      <c r="J428" s="59">
        <f t="shared" si="28"/>
        <v>28.346</v>
      </c>
      <c r="K428" s="59">
        <f t="shared" si="29"/>
        <v>0</v>
      </c>
      <c r="L428" s="59">
        <f t="shared" si="30"/>
        <v>800.346</v>
      </c>
      <c r="M428" s="59">
        <f t="shared" si="31"/>
        <v>0.03744482708</v>
      </c>
    </row>
    <row r="429" ht="15.0" hidden="1" customHeight="1">
      <c r="A429" s="59">
        <f t="shared" si="20"/>
        <v>4</v>
      </c>
      <c r="B429" s="59" t="str">
        <f t="shared" si="21"/>
        <v>Đã chốt</v>
      </c>
      <c r="C429" s="59" t="str">
        <f t="shared" si="22"/>
        <v>Téc 2</v>
      </c>
      <c r="D429" s="45">
        <f t="shared" si="23"/>
        <v>46023</v>
      </c>
      <c r="E429" s="45">
        <f t="shared" si="24"/>
        <v>46035</v>
      </c>
      <c r="F429" s="133">
        <f t="shared" si="25"/>
        <v>1</v>
      </c>
      <c r="G429" s="133">
        <f t="shared" si="26"/>
        <v>2026</v>
      </c>
      <c r="H429" s="59" t="str">
        <f t="shared" si="27"/>
        <v>28C03261</v>
      </c>
      <c r="I429" s="59">
        <f>IF(OR($A429="",$C429="",$D429="",$E429="",$H429=""),"",SUMIFS(DATA_GOC!$H:$H,DATA_GOC!$A:$A,"BOM",DATA_GOC!$D:$D,$H429,DATA_GOC!$E:$E,$C429,DATA_GOC!$F:$F,"Xuất nội bộ từ téc",DATA_GOC!$B:$B,"&gt;="&amp;$D429,DATA_GOC!$B:$B,"&lt;="&amp;$E429))</f>
        <v>0</v>
      </c>
      <c r="J429" s="59">
        <f t="shared" si="28"/>
        <v>0</v>
      </c>
      <c r="K429" s="59">
        <f t="shared" si="29"/>
        <v>0</v>
      </c>
      <c r="L429" s="59">
        <f t="shared" si="30"/>
        <v>0</v>
      </c>
      <c r="M429" s="59">
        <f t="shared" si="31"/>
        <v>0</v>
      </c>
    </row>
    <row r="430" ht="15.0" hidden="1" customHeight="1">
      <c r="A430" s="59">
        <f t="shared" si="20"/>
        <v>4</v>
      </c>
      <c r="B430" s="59" t="str">
        <f t="shared" si="21"/>
        <v>Đã chốt</v>
      </c>
      <c r="C430" s="59" t="str">
        <f t="shared" si="22"/>
        <v>Téc 2</v>
      </c>
      <c r="D430" s="45">
        <f t="shared" si="23"/>
        <v>46023</v>
      </c>
      <c r="E430" s="45">
        <f t="shared" si="24"/>
        <v>46035</v>
      </c>
      <c r="F430" s="133">
        <f t="shared" si="25"/>
        <v>1</v>
      </c>
      <c r="G430" s="133">
        <f t="shared" si="26"/>
        <v>2026</v>
      </c>
      <c r="H430" s="59" t="str">
        <f t="shared" si="27"/>
        <v>28C03323</v>
      </c>
      <c r="I430" s="59">
        <f>IF(OR($A430="",$C430="",$D430="",$E430="",$H430=""),"",SUMIFS(DATA_GOC!$H:$H,DATA_GOC!$A:$A,"BOM",DATA_GOC!$D:$D,$H430,DATA_GOC!$E:$E,$C430,DATA_GOC!$F:$F,"Xuất nội bộ từ téc",DATA_GOC!$B:$B,"&gt;="&amp;$D430,DATA_GOC!$B:$B,"&lt;="&amp;$E430))</f>
        <v>450</v>
      </c>
      <c r="J430" s="59">
        <f t="shared" si="28"/>
        <v>16.523</v>
      </c>
      <c r="K430" s="59">
        <f t="shared" si="29"/>
        <v>0</v>
      </c>
      <c r="L430" s="59">
        <f t="shared" si="30"/>
        <v>466.523</v>
      </c>
      <c r="M430" s="59">
        <f t="shared" si="31"/>
        <v>0.02182664791</v>
      </c>
    </row>
    <row r="431" ht="15.0" hidden="1" customHeight="1">
      <c r="A431" s="59">
        <f t="shared" si="20"/>
        <v>4</v>
      </c>
      <c r="B431" s="59" t="str">
        <f t="shared" si="21"/>
        <v>Đã chốt</v>
      </c>
      <c r="C431" s="59" t="str">
        <f t="shared" si="22"/>
        <v>Téc 2</v>
      </c>
      <c r="D431" s="45">
        <f t="shared" si="23"/>
        <v>46023</v>
      </c>
      <c r="E431" s="45">
        <f t="shared" si="24"/>
        <v>46035</v>
      </c>
      <c r="F431" s="133">
        <f t="shared" si="25"/>
        <v>1</v>
      </c>
      <c r="G431" s="133">
        <f t="shared" si="26"/>
        <v>2026</v>
      </c>
      <c r="H431" s="59" t="str">
        <f t="shared" si="27"/>
        <v>28C03385</v>
      </c>
      <c r="I431" s="59">
        <f>IF(OR($A431="",$C431="",$D431="",$E431="",$H431=""),"",SUMIFS(DATA_GOC!$H:$H,DATA_GOC!$A:$A,"BOM",DATA_GOC!$D:$D,$H431,DATA_GOC!$E:$E,$C431,DATA_GOC!$F:$F,"Xuất nội bộ từ téc",DATA_GOC!$B:$B,"&gt;="&amp;$D431,DATA_GOC!$B:$B,"&lt;="&amp;$E431))</f>
        <v>210</v>
      </c>
      <c r="J431" s="59">
        <f t="shared" si="28"/>
        <v>7.711</v>
      </c>
      <c r="K431" s="59">
        <f t="shared" si="29"/>
        <v>0</v>
      </c>
      <c r="L431" s="59">
        <f t="shared" si="30"/>
        <v>217.711</v>
      </c>
      <c r="M431" s="59">
        <f t="shared" si="31"/>
        <v>0.01018576903</v>
      </c>
    </row>
    <row r="432" ht="15.0" hidden="1" customHeight="1">
      <c r="A432" s="59">
        <f t="shared" si="20"/>
        <v>4</v>
      </c>
      <c r="B432" s="59" t="str">
        <f t="shared" si="21"/>
        <v>Đã chốt</v>
      </c>
      <c r="C432" s="59" t="str">
        <f t="shared" si="22"/>
        <v>Téc 2</v>
      </c>
      <c r="D432" s="45">
        <f t="shared" si="23"/>
        <v>46023</v>
      </c>
      <c r="E432" s="45">
        <f t="shared" si="24"/>
        <v>46035</v>
      </c>
      <c r="F432" s="133">
        <f t="shared" si="25"/>
        <v>1</v>
      </c>
      <c r="G432" s="133">
        <f t="shared" si="26"/>
        <v>2026</v>
      </c>
      <c r="H432" s="59" t="str">
        <f t="shared" si="27"/>
        <v>28C03652</v>
      </c>
      <c r="I432" s="59">
        <f>IF(OR($A432="",$C432="",$D432="",$E432="",$H432=""),"",SUMIFS(DATA_GOC!$H:$H,DATA_GOC!$A:$A,"BOM",DATA_GOC!$D:$D,$H432,DATA_GOC!$E:$E,$C432,DATA_GOC!$F:$F,"Xuất nội bộ từ téc",DATA_GOC!$B:$B,"&gt;="&amp;$D432,DATA_GOC!$B:$B,"&lt;="&amp;$E432))</f>
        <v>467</v>
      </c>
      <c r="J432" s="59">
        <f t="shared" si="28"/>
        <v>17.147</v>
      </c>
      <c r="K432" s="59">
        <f t="shared" si="29"/>
        <v>0</v>
      </c>
      <c r="L432" s="59">
        <f t="shared" si="30"/>
        <v>484.147</v>
      </c>
      <c r="M432" s="59">
        <f t="shared" si="31"/>
        <v>0.02265121017</v>
      </c>
    </row>
    <row r="433" ht="15.0" hidden="1" customHeight="1">
      <c r="A433" s="59">
        <f t="shared" si="20"/>
        <v>4</v>
      </c>
      <c r="B433" s="59" t="str">
        <f t="shared" si="21"/>
        <v>Đã chốt</v>
      </c>
      <c r="C433" s="59" t="str">
        <f t="shared" si="22"/>
        <v>Téc 2</v>
      </c>
      <c r="D433" s="45">
        <f t="shared" si="23"/>
        <v>46023</v>
      </c>
      <c r="E433" s="45">
        <f t="shared" si="24"/>
        <v>46035</v>
      </c>
      <c r="F433" s="133">
        <f t="shared" si="25"/>
        <v>1</v>
      </c>
      <c r="G433" s="133">
        <f t="shared" si="26"/>
        <v>2026</v>
      </c>
      <c r="H433" s="59" t="str">
        <f t="shared" si="27"/>
        <v>28C03695</v>
      </c>
      <c r="I433" s="59">
        <f>IF(OR($A433="",$C433="",$D433="",$E433="",$H433=""),"",SUMIFS(DATA_GOC!$H:$H,DATA_GOC!$A:$A,"BOM",DATA_GOC!$D:$D,$H433,DATA_GOC!$E:$E,$C433,DATA_GOC!$F:$F,"Xuất nội bộ từ téc",DATA_GOC!$B:$B,"&gt;="&amp;$D433,DATA_GOC!$B:$B,"&lt;="&amp;$E433))</f>
        <v>225</v>
      </c>
      <c r="J433" s="59">
        <f t="shared" si="28"/>
        <v>8.261</v>
      </c>
      <c r="K433" s="59">
        <f t="shared" si="29"/>
        <v>0</v>
      </c>
      <c r="L433" s="59">
        <f t="shared" si="30"/>
        <v>233.261</v>
      </c>
      <c r="M433" s="59">
        <f t="shared" si="31"/>
        <v>0.01091332396</v>
      </c>
    </row>
    <row r="434" ht="15.0" hidden="1" customHeight="1">
      <c r="A434" s="59">
        <f t="shared" si="20"/>
        <v>4</v>
      </c>
      <c r="B434" s="59" t="str">
        <f t="shared" si="21"/>
        <v>Đã chốt</v>
      </c>
      <c r="C434" s="59" t="str">
        <f t="shared" si="22"/>
        <v>Téc 2</v>
      </c>
      <c r="D434" s="45">
        <f t="shared" si="23"/>
        <v>46023</v>
      </c>
      <c r="E434" s="45">
        <f t="shared" si="24"/>
        <v>46035</v>
      </c>
      <c r="F434" s="133">
        <f t="shared" si="25"/>
        <v>1</v>
      </c>
      <c r="G434" s="133">
        <f t="shared" si="26"/>
        <v>2026</v>
      </c>
      <c r="H434" s="59" t="str">
        <f t="shared" si="27"/>
        <v>28C03927</v>
      </c>
      <c r="I434" s="59">
        <f>IF(OR($A434="",$C434="",$D434="",$E434="",$H434=""),"",SUMIFS(DATA_GOC!$H:$H,DATA_GOC!$A:$A,"BOM",DATA_GOC!$D:$D,$H434,DATA_GOC!$E:$E,$C434,DATA_GOC!$F:$F,"Xuất nội bộ từ téc",DATA_GOC!$B:$B,"&gt;="&amp;$D434,DATA_GOC!$B:$B,"&lt;="&amp;$E434))</f>
        <v>855</v>
      </c>
      <c r="J434" s="59">
        <f t="shared" si="28"/>
        <v>31.393</v>
      </c>
      <c r="K434" s="59">
        <f t="shared" si="29"/>
        <v>0</v>
      </c>
      <c r="L434" s="59">
        <f t="shared" si="30"/>
        <v>886.393</v>
      </c>
      <c r="M434" s="59">
        <f t="shared" si="31"/>
        <v>0.04147063103</v>
      </c>
    </row>
    <row r="435" ht="15.0" hidden="1" customHeight="1">
      <c r="A435" s="59">
        <f t="shared" si="20"/>
        <v>4</v>
      </c>
      <c r="B435" s="59" t="str">
        <f t="shared" si="21"/>
        <v>Đã chốt</v>
      </c>
      <c r="C435" s="59" t="str">
        <f t="shared" si="22"/>
        <v>Téc 2</v>
      </c>
      <c r="D435" s="45">
        <f t="shared" si="23"/>
        <v>46023</v>
      </c>
      <c r="E435" s="45">
        <f t="shared" si="24"/>
        <v>46035</v>
      </c>
      <c r="F435" s="133">
        <f t="shared" si="25"/>
        <v>1</v>
      </c>
      <c r="G435" s="133">
        <f t="shared" si="26"/>
        <v>2026</v>
      </c>
      <c r="H435" s="59" t="str">
        <f t="shared" si="27"/>
        <v>28C04509</v>
      </c>
      <c r="I435" s="59">
        <f>IF(OR($A435="",$C435="",$D435="",$E435="",$H435=""),"",SUMIFS(DATA_GOC!$H:$H,DATA_GOC!$A:$A,"BOM",DATA_GOC!$D:$D,$H435,DATA_GOC!$E:$E,$C435,DATA_GOC!$F:$F,"Xuất nội bộ từ téc",DATA_GOC!$B:$B,"&gt;="&amp;$D435,DATA_GOC!$B:$B,"&lt;="&amp;$E435))</f>
        <v>87</v>
      </c>
      <c r="J435" s="59">
        <f t="shared" si="28"/>
        <v>3.194</v>
      </c>
      <c r="K435" s="59">
        <f t="shared" si="29"/>
        <v>0</v>
      </c>
      <c r="L435" s="59">
        <f t="shared" si="30"/>
        <v>90.194</v>
      </c>
      <c r="M435" s="59">
        <f t="shared" si="31"/>
        <v>0.004219818596</v>
      </c>
    </row>
    <row r="436" ht="15.0" hidden="1" customHeight="1">
      <c r="A436" s="59">
        <f t="shared" si="20"/>
        <v>4</v>
      </c>
      <c r="B436" s="59" t="str">
        <f t="shared" si="21"/>
        <v>Đã chốt</v>
      </c>
      <c r="C436" s="59" t="str">
        <f t="shared" si="22"/>
        <v>Téc 2</v>
      </c>
      <c r="D436" s="45">
        <f t="shared" si="23"/>
        <v>46023</v>
      </c>
      <c r="E436" s="45">
        <f t="shared" si="24"/>
        <v>46035</v>
      </c>
      <c r="F436" s="133">
        <f t="shared" si="25"/>
        <v>1</v>
      </c>
      <c r="G436" s="133">
        <f t="shared" si="26"/>
        <v>2026</v>
      </c>
      <c r="H436" s="59" t="str">
        <f t="shared" si="27"/>
        <v>28C04536</v>
      </c>
      <c r="I436" s="59">
        <f>IF(OR($A436="",$C436="",$D436="",$E436="",$H436=""),"",SUMIFS(DATA_GOC!$H:$H,DATA_GOC!$A:$A,"BOM",DATA_GOC!$D:$D,$H436,DATA_GOC!$E:$E,$C436,DATA_GOC!$F:$F,"Xuất nội bộ từ téc",DATA_GOC!$B:$B,"&gt;="&amp;$D436,DATA_GOC!$B:$B,"&lt;="&amp;$E436))</f>
        <v>0</v>
      </c>
      <c r="J436" s="59">
        <f t="shared" si="28"/>
        <v>0</v>
      </c>
      <c r="K436" s="59">
        <f t="shared" si="29"/>
        <v>0</v>
      </c>
      <c r="L436" s="59">
        <f t="shared" si="30"/>
        <v>0</v>
      </c>
      <c r="M436" s="59">
        <f t="shared" si="31"/>
        <v>0</v>
      </c>
    </row>
    <row r="437" ht="15.0" hidden="1" customHeight="1">
      <c r="A437" s="59">
        <f t="shared" si="20"/>
        <v>4</v>
      </c>
      <c r="B437" s="59" t="str">
        <f t="shared" si="21"/>
        <v>Đã chốt</v>
      </c>
      <c r="C437" s="59" t="str">
        <f t="shared" si="22"/>
        <v>Téc 2</v>
      </c>
      <c r="D437" s="45">
        <f t="shared" si="23"/>
        <v>46023</v>
      </c>
      <c r="E437" s="45">
        <f t="shared" si="24"/>
        <v>46035</v>
      </c>
      <c r="F437" s="133">
        <f t="shared" si="25"/>
        <v>1</v>
      </c>
      <c r="G437" s="133">
        <f t="shared" si="26"/>
        <v>2026</v>
      </c>
      <c r="H437" s="59" t="str">
        <f t="shared" si="27"/>
        <v>28C04576</v>
      </c>
      <c r="I437" s="59">
        <f>IF(OR($A437="",$C437="",$D437="",$E437="",$H437=""),"",SUMIFS(DATA_GOC!$H:$H,DATA_GOC!$A:$A,"BOM",DATA_GOC!$D:$D,$H437,DATA_GOC!$E:$E,$C437,DATA_GOC!$F:$F,"Xuất nội bộ từ téc",DATA_GOC!$B:$B,"&gt;="&amp;$D437,DATA_GOC!$B:$B,"&lt;="&amp;$E437))</f>
        <v>660</v>
      </c>
      <c r="J437" s="59">
        <f t="shared" si="28"/>
        <v>24.233</v>
      </c>
      <c r="K437" s="59">
        <f t="shared" si="29"/>
        <v>0</v>
      </c>
      <c r="L437" s="59">
        <f t="shared" si="30"/>
        <v>684.233</v>
      </c>
      <c r="M437" s="59">
        <f t="shared" si="31"/>
        <v>0.03201241694</v>
      </c>
    </row>
    <row r="438" ht="15.0" hidden="1" customHeight="1">
      <c r="A438" s="59">
        <f t="shared" si="20"/>
        <v>4</v>
      </c>
      <c r="B438" s="59" t="str">
        <f t="shared" si="21"/>
        <v>Đã chốt</v>
      </c>
      <c r="C438" s="59" t="str">
        <f t="shared" si="22"/>
        <v>Téc 2</v>
      </c>
      <c r="D438" s="45">
        <f t="shared" si="23"/>
        <v>46023</v>
      </c>
      <c r="E438" s="45">
        <f t="shared" si="24"/>
        <v>46035</v>
      </c>
      <c r="F438" s="133">
        <f t="shared" si="25"/>
        <v>1</v>
      </c>
      <c r="G438" s="133">
        <f t="shared" si="26"/>
        <v>2026</v>
      </c>
      <c r="H438" s="59" t="str">
        <f t="shared" si="27"/>
        <v>28C05090</v>
      </c>
      <c r="I438" s="59">
        <f>IF(OR($A438="",$C438="",$D438="",$E438="",$H438=""),"",SUMIFS(DATA_GOC!$H:$H,DATA_GOC!$A:$A,"BOM",DATA_GOC!$D:$D,$H438,DATA_GOC!$E:$E,$C438,DATA_GOC!$F:$F,"Xuất nội bộ từ téc",DATA_GOC!$B:$B,"&gt;="&amp;$D438,DATA_GOC!$B:$B,"&lt;="&amp;$E438))</f>
        <v>0</v>
      </c>
      <c r="J438" s="59">
        <f t="shared" si="28"/>
        <v>0</v>
      </c>
      <c r="K438" s="59">
        <f t="shared" si="29"/>
        <v>0</v>
      </c>
      <c r="L438" s="59">
        <f t="shared" si="30"/>
        <v>0</v>
      </c>
      <c r="M438" s="59">
        <f t="shared" si="31"/>
        <v>0</v>
      </c>
    </row>
    <row r="439" ht="15.0" hidden="1" customHeight="1">
      <c r="A439" s="59">
        <f t="shared" si="20"/>
        <v>4</v>
      </c>
      <c r="B439" s="59" t="str">
        <f t="shared" si="21"/>
        <v>Đã chốt</v>
      </c>
      <c r="C439" s="59" t="str">
        <f t="shared" si="22"/>
        <v>Téc 2</v>
      </c>
      <c r="D439" s="45">
        <f t="shared" si="23"/>
        <v>46023</v>
      </c>
      <c r="E439" s="45">
        <f t="shared" si="24"/>
        <v>46035</v>
      </c>
      <c r="F439" s="133">
        <f t="shared" si="25"/>
        <v>1</v>
      </c>
      <c r="G439" s="133">
        <f t="shared" si="26"/>
        <v>2026</v>
      </c>
      <c r="H439" s="59" t="str">
        <f t="shared" si="27"/>
        <v>28C05345</v>
      </c>
      <c r="I439" s="59">
        <f>IF(OR($A439="",$C439="",$D439="",$E439="",$H439=""),"",SUMIFS(DATA_GOC!$H:$H,DATA_GOC!$A:$A,"BOM",DATA_GOC!$D:$D,$H439,DATA_GOC!$E:$E,$C439,DATA_GOC!$F:$F,"Xuất nội bộ từ téc",DATA_GOC!$B:$B,"&gt;="&amp;$D439,DATA_GOC!$B:$B,"&lt;="&amp;$E439))</f>
        <v>157</v>
      </c>
      <c r="J439" s="59">
        <f t="shared" si="28"/>
        <v>5.765</v>
      </c>
      <c r="K439" s="59">
        <f t="shared" si="29"/>
        <v>0</v>
      </c>
      <c r="L439" s="59">
        <f t="shared" si="30"/>
        <v>162.765</v>
      </c>
      <c r="M439" s="59">
        <f t="shared" si="31"/>
        <v>0.007615074938</v>
      </c>
    </row>
    <row r="440" ht="15.0" hidden="1" customHeight="1">
      <c r="A440" s="59">
        <f t="shared" si="20"/>
        <v>4</v>
      </c>
      <c r="B440" s="59" t="str">
        <f t="shared" si="21"/>
        <v>Đã chốt</v>
      </c>
      <c r="C440" s="59" t="str">
        <f t="shared" si="22"/>
        <v>Téc 2</v>
      </c>
      <c r="D440" s="45">
        <f t="shared" si="23"/>
        <v>46023</v>
      </c>
      <c r="E440" s="45">
        <f t="shared" si="24"/>
        <v>46035</v>
      </c>
      <c r="F440" s="133">
        <f t="shared" si="25"/>
        <v>1</v>
      </c>
      <c r="G440" s="133">
        <f t="shared" si="26"/>
        <v>2026</v>
      </c>
      <c r="H440" s="59" t="str">
        <f t="shared" si="27"/>
        <v>28C05661</v>
      </c>
      <c r="I440" s="59">
        <f>IF(OR($A440="",$C440="",$D440="",$E440="",$H440=""),"",SUMIFS(DATA_GOC!$H:$H,DATA_GOC!$A:$A,"BOM",DATA_GOC!$D:$D,$H440,DATA_GOC!$E:$E,$C440,DATA_GOC!$F:$F,"Xuất nội bộ từ téc",DATA_GOC!$B:$B,"&gt;="&amp;$D440,DATA_GOC!$B:$B,"&lt;="&amp;$E440))</f>
        <v>1145</v>
      </c>
      <c r="J440" s="59">
        <f t="shared" si="28"/>
        <v>42.041</v>
      </c>
      <c r="K440" s="59">
        <f t="shared" si="29"/>
        <v>0</v>
      </c>
      <c r="L440" s="59">
        <f t="shared" si="30"/>
        <v>1187.041</v>
      </c>
      <c r="M440" s="59">
        <f t="shared" si="31"/>
        <v>0.05553669302</v>
      </c>
    </row>
    <row r="441" ht="15.0" hidden="1" customHeight="1">
      <c r="A441" s="59">
        <f t="shared" si="20"/>
        <v>4</v>
      </c>
      <c r="B441" s="59" t="str">
        <f t="shared" si="21"/>
        <v>Đã chốt</v>
      </c>
      <c r="C441" s="59" t="str">
        <f t="shared" si="22"/>
        <v>Téc 2</v>
      </c>
      <c r="D441" s="45">
        <f t="shared" si="23"/>
        <v>46023</v>
      </c>
      <c r="E441" s="45">
        <f t="shared" si="24"/>
        <v>46035</v>
      </c>
      <c r="F441" s="133">
        <f t="shared" si="25"/>
        <v>1</v>
      </c>
      <c r="G441" s="133">
        <f t="shared" si="26"/>
        <v>2026</v>
      </c>
      <c r="H441" s="59" t="str">
        <f t="shared" si="27"/>
        <v>28C05739</v>
      </c>
      <c r="I441" s="59">
        <f>IF(OR($A441="",$C441="",$D441="",$E441="",$H441=""),"",SUMIFS(DATA_GOC!$H:$H,DATA_GOC!$A:$A,"BOM",DATA_GOC!$D:$D,$H441,DATA_GOC!$E:$E,$C441,DATA_GOC!$F:$F,"Xuất nội bộ từ téc",DATA_GOC!$B:$B,"&gt;="&amp;$D441,DATA_GOC!$B:$B,"&lt;="&amp;$E441))</f>
        <v>755</v>
      </c>
      <c r="J441" s="59">
        <f t="shared" si="28"/>
        <v>27.722</v>
      </c>
      <c r="K441" s="59">
        <f t="shared" si="29"/>
        <v>0</v>
      </c>
      <c r="L441" s="59">
        <f t="shared" si="30"/>
        <v>782.722</v>
      </c>
      <c r="M441" s="59">
        <f t="shared" si="31"/>
        <v>0.03662026483</v>
      </c>
    </row>
    <row r="442" ht="15.0" hidden="1" customHeight="1">
      <c r="A442" s="59">
        <f t="shared" si="20"/>
        <v>4</v>
      </c>
      <c r="B442" s="59" t="str">
        <f t="shared" si="21"/>
        <v>Đã chốt</v>
      </c>
      <c r="C442" s="59" t="str">
        <f t="shared" si="22"/>
        <v>Téc 2</v>
      </c>
      <c r="D442" s="45">
        <f t="shared" si="23"/>
        <v>46023</v>
      </c>
      <c r="E442" s="45">
        <f t="shared" si="24"/>
        <v>46035</v>
      </c>
      <c r="F442" s="133">
        <f t="shared" si="25"/>
        <v>1</v>
      </c>
      <c r="G442" s="133">
        <f t="shared" si="26"/>
        <v>2026</v>
      </c>
      <c r="H442" s="59" t="str">
        <f t="shared" si="27"/>
        <v>28C06369</v>
      </c>
      <c r="I442" s="59">
        <f>IF(OR($A442="",$C442="",$D442="",$E442="",$H442=""),"",SUMIFS(DATA_GOC!$H:$H,DATA_GOC!$A:$A,"BOM",DATA_GOC!$D:$D,$H442,DATA_GOC!$E:$E,$C442,DATA_GOC!$F:$F,"Xuất nội bộ từ téc",DATA_GOC!$B:$B,"&gt;="&amp;$D442,DATA_GOC!$B:$B,"&lt;="&amp;$E442))</f>
        <v>867</v>
      </c>
      <c r="J442" s="59">
        <f t="shared" si="28"/>
        <v>31.834</v>
      </c>
      <c r="K442" s="59">
        <f t="shared" si="29"/>
        <v>0</v>
      </c>
      <c r="L442" s="59">
        <f t="shared" si="30"/>
        <v>898.834</v>
      </c>
      <c r="M442" s="59">
        <f t="shared" si="31"/>
        <v>0.04205267498</v>
      </c>
    </row>
    <row r="443" ht="15.0" hidden="1" customHeight="1">
      <c r="A443" s="59">
        <f t="shared" si="20"/>
        <v>4</v>
      </c>
      <c r="B443" s="59" t="str">
        <f t="shared" si="21"/>
        <v>Đã chốt</v>
      </c>
      <c r="C443" s="59" t="str">
        <f t="shared" si="22"/>
        <v>Téc 2</v>
      </c>
      <c r="D443" s="45">
        <f t="shared" si="23"/>
        <v>46023</v>
      </c>
      <c r="E443" s="45">
        <f t="shared" si="24"/>
        <v>46035</v>
      </c>
      <c r="F443" s="133">
        <f t="shared" si="25"/>
        <v>1</v>
      </c>
      <c r="G443" s="133">
        <f t="shared" si="26"/>
        <v>2026</v>
      </c>
      <c r="H443" s="59" t="str">
        <f t="shared" si="27"/>
        <v>28C06447</v>
      </c>
      <c r="I443" s="59">
        <f>IF(OR($A443="",$C443="",$D443="",$E443="",$H443=""),"",SUMIFS(DATA_GOC!$H:$H,DATA_GOC!$A:$A,"BOM",DATA_GOC!$D:$D,$H443,DATA_GOC!$E:$E,$C443,DATA_GOC!$F:$F,"Xuất nội bộ từ téc",DATA_GOC!$B:$B,"&gt;="&amp;$D443,DATA_GOC!$B:$B,"&lt;="&amp;$E443))</f>
        <v>1104</v>
      </c>
      <c r="J443" s="59">
        <f t="shared" si="28"/>
        <v>40.536</v>
      </c>
      <c r="K443" s="59">
        <f t="shared" si="29"/>
        <v>0</v>
      </c>
      <c r="L443" s="59">
        <f t="shared" si="30"/>
        <v>1144.536</v>
      </c>
      <c r="M443" s="59">
        <f t="shared" si="31"/>
        <v>0.05354804288</v>
      </c>
    </row>
    <row r="444" ht="15.0" hidden="1" customHeight="1">
      <c r="A444" s="59">
        <f t="shared" si="20"/>
        <v>4</v>
      </c>
      <c r="B444" s="59" t="str">
        <f t="shared" si="21"/>
        <v>Đã chốt</v>
      </c>
      <c r="C444" s="59" t="str">
        <f t="shared" si="22"/>
        <v>Téc 2</v>
      </c>
      <c r="D444" s="45">
        <f t="shared" si="23"/>
        <v>46023</v>
      </c>
      <c r="E444" s="45">
        <f t="shared" si="24"/>
        <v>46035</v>
      </c>
      <c r="F444" s="133">
        <f t="shared" si="25"/>
        <v>1</v>
      </c>
      <c r="G444" s="133">
        <f t="shared" si="26"/>
        <v>2026</v>
      </c>
      <c r="H444" s="59" t="str">
        <f t="shared" si="27"/>
        <v>28H00003</v>
      </c>
      <c r="I444" s="59">
        <f>IF(OR($A444="",$C444="",$D444="",$E444="",$H444=""),"",SUMIFS(DATA_GOC!$H:$H,DATA_GOC!$A:$A,"BOM",DATA_GOC!$D:$D,$H444,DATA_GOC!$E:$E,$C444,DATA_GOC!$F:$F,"Xuất nội bộ từ téc",DATA_GOC!$B:$B,"&gt;="&amp;$D444,DATA_GOC!$B:$B,"&lt;="&amp;$E444))</f>
        <v>817</v>
      </c>
      <c r="J444" s="59">
        <f t="shared" si="28"/>
        <v>29.998</v>
      </c>
      <c r="K444" s="59">
        <f t="shared" si="29"/>
        <v>0</v>
      </c>
      <c r="L444" s="59">
        <f t="shared" si="30"/>
        <v>846.998</v>
      </c>
      <c r="M444" s="59">
        <f t="shared" si="31"/>
        <v>0.03962749188</v>
      </c>
    </row>
    <row r="445" ht="15.0" hidden="1" customHeight="1">
      <c r="A445" s="59">
        <f t="shared" si="20"/>
        <v>4</v>
      </c>
      <c r="B445" s="59" t="str">
        <f t="shared" si="21"/>
        <v>Đã chốt</v>
      </c>
      <c r="C445" s="59" t="str">
        <f t="shared" si="22"/>
        <v>Téc 2</v>
      </c>
      <c r="D445" s="45">
        <f t="shared" si="23"/>
        <v>46023</v>
      </c>
      <c r="E445" s="45">
        <f t="shared" si="24"/>
        <v>46035</v>
      </c>
      <c r="F445" s="133">
        <f t="shared" si="25"/>
        <v>1</v>
      </c>
      <c r="G445" s="133">
        <f t="shared" si="26"/>
        <v>2026</v>
      </c>
      <c r="H445" s="59" t="str">
        <f t="shared" si="27"/>
        <v>28H00061</v>
      </c>
      <c r="I445" s="59">
        <f>IF(OR($A445="",$C445="",$D445="",$E445="",$H445=""),"",SUMIFS(DATA_GOC!$H:$H,DATA_GOC!$A:$A,"BOM",DATA_GOC!$D:$D,$H445,DATA_GOC!$E:$E,$C445,DATA_GOC!$F:$F,"Xuất nội bộ từ téc",DATA_GOC!$B:$B,"&gt;="&amp;$D445,DATA_GOC!$B:$B,"&lt;="&amp;$E445))</f>
        <v>698</v>
      </c>
      <c r="J445" s="59">
        <f t="shared" si="28"/>
        <v>25.629</v>
      </c>
      <c r="K445" s="59">
        <f t="shared" si="29"/>
        <v>0</v>
      </c>
      <c r="L445" s="59">
        <f t="shared" si="30"/>
        <v>723.629</v>
      </c>
      <c r="M445" s="59">
        <f t="shared" si="31"/>
        <v>0.03385555609</v>
      </c>
    </row>
    <row r="446" ht="15.0" hidden="1" customHeight="1">
      <c r="A446" s="59">
        <f t="shared" si="20"/>
        <v>4</v>
      </c>
      <c r="B446" s="59" t="str">
        <f t="shared" si="21"/>
        <v>Đã chốt</v>
      </c>
      <c r="C446" s="59" t="str">
        <f t="shared" si="22"/>
        <v>Téc 2</v>
      </c>
      <c r="D446" s="45">
        <f t="shared" si="23"/>
        <v>46023</v>
      </c>
      <c r="E446" s="45">
        <f t="shared" si="24"/>
        <v>46035</v>
      </c>
      <c r="F446" s="133">
        <f t="shared" si="25"/>
        <v>1</v>
      </c>
      <c r="G446" s="133">
        <f t="shared" si="26"/>
        <v>2026</v>
      </c>
      <c r="H446" s="59" t="str">
        <f t="shared" si="27"/>
        <v>28H00354</v>
      </c>
      <c r="I446" s="59">
        <f>IF(OR($A446="",$C446="",$D446="",$E446="",$H446=""),"",SUMIFS(DATA_GOC!$H:$H,DATA_GOC!$A:$A,"BOM",DATA_GOC!$D:$D,$H446,DATA_GOC!$E:$E,$C446,DATA_GOC!$F:$F,"Xuất nội bộ từ téc",DATA_GOC!$B:$B,"&gt;="&amp;$D446,DATA_GOC!$B:$B,"&lt;="&amp;$E446))</f>
        <v>517</v>
      </c>
      <c r="J446" s="59">
        <f t="shared" si="28"/>
        <v>18.983</v>
      </c>
      <c r="K446" s="59">
        <f t="shared" si="29"/>
        <v>0</v>
      </c>
      <c r="L446" s="59">
        <f t="shared" si="30"/>
        <v>535.983</v>
      </c>
      <c r="M446" s="59">
        <f t="shared" si="31"/>
        <v>0.02507639327</v>
      </c>
    </row>
    <row r="447" ht="15.0" hidden="1" customHeight="1">
      <c r="A447" s="59">
        <f t="shared" si="20"/>
        <v>4</v>
      </c>
      <c r="B447" s="59" t="str">
        <f t="shared" si="21"/>
        <v>Đã chốt</v>
      </c>
      <c r="C447" s="59" t="str">
        <f t="shared" si="22"/>
        <v>Téc 2</v>
      </c>
      <c r="D447" s="45">
        <f t="shared" si="23"/>
        <v>46023</v>
      </c>
      <c r="E447" s="45">
        <f t="shared" si="24"/>
        <v>46035</v>
      </c>
      <c r="F447" s="133">
        <f t="shared" si="25"/>
        <v>1</v>
      </c>
      <c r="G447" s="133">
        <f t="shared" si="26"/>
        <v>2026</v>
      </c>
      <c r="H447" s="59" t="str">
        <f t="shared" si="27"/>
        <v>28H00603</v>
      </c>
      <c r="I447" s="59">
        <f>IF(OR($A447="",$C447="",$D447="",$E447="",$H447=""),"",SUMIFS(DATA_GOC!$H:$H,DATA_GOC!$A:$A,"BOM",DATA_GOC!$D:$D,$H447,DATA_GOC!$E:$E,$C447,DATA_GOC!$F:$F,"Xuất nội bộ từ téc",DATA_GOC!$B:$B,"&gt;="&amp;$D447,DATA_GOC!$B:$B,"&lt;="&amp;$E447))</f>
        <v>710</v>
      </c>
      <c r="J447" s="59">
        <f t="shared" si="28"/>
        <v>26.069</v>
      </c>
      <c r="K447" s="59">
        <f t="shared" si="29"/>
        <v>0</v>
      </c>
      <c r="L447" s="59">
        <f t="shared" si="30"/>
        <v>736.069</v>
      </c>
      <c r="M447" s="59">
        <f t="shared" si="31"/>
        <v>0.03443760004</v>
      </c>
    </row>
    <row r="448" ht="15.0" hidden="1" customHeight="1">
      <c r="A448" s="59">
        <f t="shared" si="20"/>
        <v>4</v>
      </c>
      <c r="B448" s="59" t="str">
        <f t="shared" si="21"/>
        <v>Đã chốt</v>
      </c>
      <c r="C448" s="59" t="str">
        <f t="shared" si="22"/>
        <v>Téc 2</v>
      </c>
      <c r="D448" s="45">
        <f t="shared" si="23"/>
        <v>46023</v>
      </c>
      <c r="E448" s="45">
        <f t="shared" si="24"/>
        <v>46035</v>
      </c>
      <c r="F448" s="133">
        <f t="shared" si="25"/>
        <v>1</v>
      </c>
      <c r="G448" s="133">
        <f t="shared" si="26"/>
        <v>2026</v>
      </c>
      <c r="H448" s="59" t="str">
        <f t="shared" si="27"/>
        <v>28H00609</v>
      </c>
      <c r="I448" s="59">
        <f>IF(OR($A448="",$C448="",$D448="",$E448="",$H448=""),"",SUMIFS(DATA_GOC!$H:$H,DATA_GOC!$A:$A,"BOM",DATA_GOC!$D:$D,$H448,DATA_GOC!$E:$E,$C448,DATA_GOC!$F:$F,"Xuất nội bộ từ téc",DATA_GOC!$B:$B,"&gt;="&amp;$D448,DATA_GOC!$B:$B,"&lt;="&amp;$E448))</f>
        <v>717</v>
      </c>
      <c r="J448" s="59">
        <f t="shared" si="28"/>
        <v>26.326</v>
      </c>
      <c r="K448" s="59">
        <f t="shared" si="29"/>
        <v>0</v>
      </c>
      <c r="L448" s="59">
        <f t="shared" si="30"/>
        <v>743.326</v>
      </c>
      <c r="M448" s="59">
        <f t="shared" si="31"/>
        <v>0.03477712567</v>
      </c>
    </row>
    <row r="449" ht="15.0" hidden="1" customHeight="1">
      <c r="A449" s="59">
        <f t="shared" si="20"/>
        <v>4</v>
      </c>
      <c r="B449" s="59" t="str">
        <f t="shared" si="21"/>
        <v>Đã chốt</v>
      </c>
      <c r="C449" s="59" t="str">
        <f t="shared" si="22"/>
        <v>Téc 2</v>
      </c>
      <c r="D449" s="45">
        <f t="shared" si="23"/>
        <v>46023</v>
      </c>
      <c r="E449" s="45">
        <f t="shared" si="24"/>
        <v>46035</v>
      </c>
      <c r="F449" s="133">
        <f t="shared" si="25"/>
        <v>1</v>
      </c>
      <c r="G449" s="133">
        <f t="shared" si="26"/>
        <v>2026</v>
      </c>
      <c r="H449" s="59" t="str">
        <f t="shared" si="27"/>
        <v>28H00669</v>
      </c>
      <c r="I449" s="59">
        <f>IF(OR($A449="",$C449="",$D449="",$E449="",$H449=""),"",SUMIFS(DATA_GOC!$H:$H,DATA_GOC!$A:$A,"BOM",DATA_GOC!$D:$D,$H449,DATA_GOC!$E:$E,$C449,DATA_GOC!$F:$F,"Xuất nội bộ từ téc",DATA_GOC!$B:$B,"&gt;="&amp;$D449,DATA_GOC!$B:$B,"&lt;="&amp;$E449))</f>
        <v>1165</v>
      </c>
      <c r="J449" s="59">
        <f t="shared" si="28"/>
        <v>42.776</v>
      </c>
      <c r="K449" s="59">
        <f t="shared" si="29"/>
        <v>0</v>
      </c>
      <c r="L449" s="59">
        <f t="shared" si="30"/>
        <v>1207.776</v>
      </c>
      <c r="M449" s="59">
        <f t="shared" si="31"/>
        <v>0.05650676626</v>
      </c>
    </row>
    <row r="450" ht="15.0" hidden="1" customHeight="1">
      <c r="A450" s="59">
        <f t="shared" si="20"/>
        <v>4</v>
      </c>
      <c r="B450" s="59" t="str">
        <f t="shared" si="21"/>
        <v>Đã chốt</v>
      </c>
      <c r="C450" s="59" t="str">
        <f t="shared" si="22"/>
        <v>Téc 2</v>
      </c>
      <c r="D450" s="45">
        <f t="shared" si="23"/>
        <v>46023</v>
      </c>
      <c r="E450" s="45">
        <f t="shared" si="24"/>
        <v>46035</v>
      </c>
      <c r="F450" s="133">
        <f t="shared" si="25"/>
        <v>1</v>
      </c>
      <c r="G450" s="133">
        <f t="shared" si="26"/>
        <v>2026</v>
      </c>
      <c r="H450" s="59" t="str">
        <f t="shared" si="27"/>
        <v>28H00680</v>
      </c>
      <c r="I450" s="59">
        <f>IF(OR($A450="",$C450="",$D450="",$E450="",$H450=""),"",SUMIFS(DATA_GOC!$H:$H,DATA_GOC!$A:$A,"BOM",DATA_GOC!$D:$D,$H450,DATA_GOC!$E:$E,$C450,DATA_GOC!$F:$F,"Xuất nội bộ từ téc",DATA_GOC!$B:$B,"&gt;="&amp;$D450,DATA_GOC!$B:$B,"&lt;="&amp;$E450))</f>
        <v>965</v>
      </c>
      <c r="J450" s="59">
        <f t="shared" si="28"/>
        <v>35.432</v>
      </c>
      <c r="K450" s="59">
        <f t="shared" si="29"/>
        <v>0</v>
      </c>
      <c r="L450" s="59">
        <f t="shared" si="30"/>
        <v>1000.432</v>
      </c>
      <c r="M450" s="59">
        <f t="shared" si="31"/>
        <v>0.04680603386</v>
      </c>
    </row>
    <row r="451" ht="15.0" hidden="1" customHeight="1">
      <c r="A451" s="59">
        <f t="shared" si="20"/>
        <v>4</v>
      </c>
      <c r="B451" s="59" t="str">
        <f t="shared" si="21"/>
        <v>Đã chốt</v>
      </c>
      <c r="C451" s="59" t="str">
        <f t="shared" si="22"/>
        <v>Téc 2</v>
      </c>
      <c r="D451" s="45">
        <f t="shared" si="23"/>
        <v>46023</v>
      </c>
      <c r="E451" s="45">
        <f t="shared" si="24"/>
        <v>46035</v>
      </c>
      <c r="F451" s="133">
        <f t="shared" si="25"/>
        <v>1</v>
      </c>
      <c r="G451" s="133">
        <f t="shared" si="26"/>
        <v>2026</v>
      </c>
      <c r="H451" s="59" t="str">
        <f t="shared" si="27"/>
        <v>28H01070</v>
      </c>
      <c r="I451" s="59">
        <f>IF(OR($A451="",$C451="",$D451="",$E451="",$H451=""),"",SUMIFS(DATA_GOC!$H:$H,DATA_GOC!$A:$A,"BOM",DATA_GOC!$D:$D,$H451,DATA_GOC!$E:$E,$C451,DATA_GOC!$F:$F,"Xuất nội bộ từ téc",DATA_GOC!$B:$B,"&gt;="&amp;$D451,DATA_GOC!$B:$B,"&lt;="&amp;$E451))</f>
        <v>0</v>
      </c>
      <c r="J451" s="59">
        <f t="shared" si="28"/>
        <v>0</v>
      </c>
      <c r="K451" s="59">
        <f t="shared" si="29"/>
        <v>0</v>
      </c>
      <c r="L451" s="59">
        <f t="shared" si="30"/>
        <v>0</v>
      </c>
      <c r="M451" s="59">
        <f t="shared" si="31"/>
        <v>0</v>
      </c>
    </row>
    <row r="452" ht="15.0" hidden="1" customHeight="1">
      <c r="A452" s="59">
        <f t="shared" si="20"/>
        <v>4</v>
      </c>
      <c r="B452" s="59" t="str">
        <f t="shared" si="21"/>
        <v>Đã chốt</v>
      </c>
      <c r="C452" s="59" t="str">
        <f t="shared" si="22"/>
        <v>Téc 2</v>
      </c>
      <c r="D452" s="45">
        <f t="shared" si="23"/>
        <v>46023</v>
      </c>
      <c r="E452" s="45">
        <f t="shared" si="24"/>
        <v>46035</v>
      </c>
      <c r="F452" s="133">
        <f t="shared" si="25"/>
        <v>1</v>
      </c>
      <c r="G452" s="133">
        <f t="shared" si="26"/>
        <v>2026</v>
      </c>
      <c r="H452" s="59" t="str">
        <f t="shared" si="27"/>
        <v>28H01364</v>
      </c>
      <c r="I452" s="59">
        <f>IF(OR($A452="",$C452="",$D452="",$E452="",$H452=""),"",SUMIFS(DATA_GOC!$H:$H,DATA_GOC!$A:$A,"BOM",DATA_GOC!$D:$D,$H452,DATA_GOC!$E:$E,$C452,DATA_GOC!$F:$F,"Xuất nội bộ từ téc",DATA_GOC!$B:$B,"&gt;="&amp;$D452,DATA_GOC!$B:$B,"&lt;="&amp;$E452))</f>
        <v>226</v>
      </c>
      <c r="J452" s="59">
        <f t="shared" si="28"/>
        <v>8.298</v>
      </c>
      <c r="K452" s="59">
        <f t="shared" si="29"/>
        <v>0</v>
      </c>
      <c r="L452" s="59">
        <f t="shared" si="30"/>
        <v>234.298</v>
      </c>
      <c r="M452" s="59">
        <f t="shared" si="31"/>
        <v>0.01096182762</v>
      </c>
    </row>
    <row r="453" ht="15.0" hidden="1" customHeight="1">
      <c r="A453" s="59">
        <f t="shared" si="20"/>
        <v>4</v>
      </c>
      <c r="B453" s="59" t="str">
        <f t="shared" si="21"/>
        <v>Đã chốt</v>
      </c>
      <c r="C453" s="59" t="str">
        <f t="shared" si="22"/>
        <v>Téc 2</v>
      </c>
      <c r="D453" s="45">
        <f t="shared" si="23"/>
        <v>46023</v>
      </c>
      <c r="E453" s="45">
        <f t="shared" si="24"/>
        <v>46035</v>
      </c>
      <c r="F453" s="133">
        <f t="shared" si="25"/>
        <v>1</v>
      </c>
      <c r="G453" s="133">
        <f t="shared" si="26"/>
        <v>2026</v>
      </c>
      <c r="H453" s="59" t="str">
        <f t="shared" si="27"/>
        <v>29E17269</v>
      </c>
      <c r="I453" s="59">
        <f>IF(OR($A453="",$C453="",$D453="",$E453="",$H453=""),"",SUMIFS(DATA_GOC!$H:$H,DATA_GOC!$A:$A,"BOM",DATA_GOC!$D:$D,$H453,DATA_GOC!$E:$E,$C453,DATA_GOC!$F:$F,"Xuất nội bộ từ téc",DATA_GOC!$B:$B,"&gt;="&amp;$D453,DATA_GOC!$B:$B,"&lt;="&amp;$E453))</f>
        <v>0</v>
      </c>
      <c r="J453" s="59">
        <f t="shared" si="28"/>
        <v>0</v>
      </c>
      <c r="K453" s="59">
        <f t="shared" si="29"/>
        <v>0</v>
      </c>
      <c r="L453" s="59">
        <f t="shared" si="30"/>
        <v>0</v>
      </c>
      <c r="M453" s="59">
        <f t="shared" si="31"/>
        <v>0</v>
      </c>
    </row>
    <row r="454" ht="15.0" hidden="1" customHeight="1">
      <c r="A454" s="59">
        <f t="shared" si="20"/>
        <v>4</v>
      </c>
      <c r="B454" s="59" t="str">
        <f t="shared" si="21"/>
        <v>Đã chốt</v>
      </c>
      <c r="C454" s="59" t="str">
        <f t="shared" si="22"/>
        <v>Téc 2</v>
      </c>
      <c r="D454" s="45">
        <f t="shared" si="23"/>
        <v>46023</v>
      </c>
      <c r="E454" s="45">
        <f t="shared" si="24"/>
        <v>46035</v>
      </c>
      <c r="F454" s="133">
        <f t="shared" si="25"/>
        <v>1</v>
      </c>
      <c r="G454" s="133">
        <f t="shared" si="26"/>
        <v>2026</v>
      </c>
      <c r="H454" s="59" t="str">
        <f t="shared" si="27"/>
        <v>29E17273</v>
      </c>
      <c r="I454" s="59">
        <f>IF(OR($A454="",$C454="",$D454="",$E454="",$H454=""),"",SUMIFS(DATA_GOC!$H:$H,DATA_GOC!$A:$A,"BOM",DATA_GOC!$D:$D,$H454,DATA_GOC!$E:$E,$C454,DATA_GOC!$F:$F,"Xuất nội bộ từ téc",DATA_GOC!$B:$B,"&gt;="&amp;$D454,DATA_GOC!$B:$B,"&lt;="&amp;$E454))</f>
        <v>0</v>
      </c>
      <c r="J454" s="59">
        <f t="shared" si="28"/>
        <v>0</v>
      </c>
      <c r="K454" s="59">
        <f t="shared" si="29"/>
        <v>0</v>
      </c>
      <c r="L454" s="59">
        <f t="shared" si="30"/>
        <v>0</v>
      </c>
      <c r="M454" s="59">
        <f t="shared" si="31"/>
        <v>0</v>
      </c>
    </row>
    <row r="455" ht="15.0" hidden="1" customHeight="1">
      <c r="A455" s="59">
        <f t="shared" si="20"/>
        <v>4</v>
      </c>
      <c r="B455" s="59" t="str">
        <f t="shared" si="21"/>
        <v>Đã chốt</v>
      </c>
      <c r="C455" s="59" t="str">
        <f t="shared" si="22"/>
        <v>Téc 2</v>
      </c>
      <c r="D455" s="45">
        <f t="shared" si="23"/>
        <v>46023</v>
      </c>
      <c r="E455" s="45">
        <f t="shared" si="24"/>
        <v>46035</v>
      </c>
      <c r="F455" s="133">
        <f t="shared" si="25"/>
        <v>1</v>
      </c>
      <c r="G455" s="133">
        <f t="shared" si="26"/>
        <v>2026</v>
      </c>
      <c r="H455" s="59" t="str">
        <f t="shared" si="27"/>
        <v>29E17410</v>
      </c>
      <c r="I455" s="59">
        <f>IF(OR($A455="",$C455="",$D455="",$E455="",$H455=""),"",SUMIFS(DATA_GOC!$H:$H,DATA_GOC!$A:$A,"BOM",DATA_GOC!$D:$D,$H455,DATA_GOC!$E:$E,$C455,DATA_GOC!$F:$F,"Xuất nội bộ từ téc",DATA_GOC!$B:$B,"&gt;="&amp;$D455,DATA_GOC!$B:$B,"&lt;="&amp;$E455))</f>
        <v>0</v>
      </c>
      <c r="J455" s="59">
        <f t="shared" si="28"/>
        <v>0</v>
      </c>
      <c r="K455" s="59">
        <f t="shared" si="29"/>
        <v>0</v>
      </c>
      <c r="L455" s="59">
        <f t="shared" si="30"/>
        <v>0</v>
      </c>
      <c r="M455" s="59">
        <f t="shared" si="31"/>
        <v>0</v>
      </c>
    </row>
    <row r="456" ht="15.0" hidden="1" customHeight="1">
      <c r="A456" s="59">
        <f t="shared" si="20"/>
        <v>4</v>
      </c>
      <c r="B456" s="59" t="str">
        <f t="shared" si="21"/>
        <v>Đã chốt</v>
      </c>
      <c r="C456" s="59" t="str">
        <f t="shared" si="22"/>
        <v>Téc 2</v>
      </c>
      <c r="D456" s="45">
        <f t="shared" si="23"/>
        <v>46023</v>
      </c>
      <c r="E456" s="45">
        <f t="shared" si="24"/>
        <v>46035</v>
      </c>
      <c r="F456" s="133">
        <f t="shared" si="25"/>
        <v>1</v>
      </c>
      <c r="G456" s="133">
        <f t="shared" si="26"/>
        <v>2026</v>
      </c>
      <c r="H456" s="59" t="str">
        <f t="shared" si="27"/>
        <v>29E17417</v>
      </c>
      <c r="I456" s="59">
        <f>IF(OR($A456="",$C456="",$D456="",$E456="",$H456=""),"",SUMIFS(DATA_GOC!$H:$H,DATA_GOC!$A:$A,"BOM",DATA_GOC!$D:$D,$H456,DATA_GOC!$E:$E,$C456,DATA_GOC!$F:$F,"Xuất nội bộ từ téc",DATA_GOC!$B:$B,"&gt;="&amp;$D456,DATA_GOC!$B:$B,"&lt;="&amp;$E456))</f>
        <v>0</v>
      </c>
      <c r="J456" s="59">
        <f t="shared" si="28"/>
        <v>0</v>
      </c>
      <c r="K456" s="59">
        <f t="shared" si="29"/>
        <v>0</v>
      </c>
      <c r="L456" s="59">
        <f t="shared" si="30"/>
        <v>0</v>
      </c>
      <c r="M456" s="59">
        <f t="shared" si="31"/>
        <v>0</v>
      </c>
    </row>
    <row r="457" ht="15.0" hidden="1" customHeight="1">
      <c r="A457" s="59">
        <f t="shared" si="20"/>
        <v>4</v>
      </c>
      <c r="B457" s="59" t="str">
        <f t="shared" si="21"/>
        <v>Đã chốt</v>
      </c>
      <c r="C457" s="59" t="str">
        <f t="shared" si="22"/>
        <v>Téc 2</v>
      </c>
      <c r="D457" s="45">
        <f t="shared" si="23"/>
        <v>46023</v>
      </c>
      <c r="E457" s="45">
        <f t="shared" si="24"/>
        <v>46035</v>
      </c>
      <c r="F457" s="133">
        <f t="shared" si="25"/>
        <v>1</v>
      </c>
      <c r="G457" s="133">
        <f t="shared" si="26"/>
        <v>2026</v>
      </c>
      <c r="H457" s="59" t="str">
        <f t="shared" si="27"/>
        <v>29E17539</v>
      </c>
      <c r="I457" s="59">
        <f>IF(OR($A457="",$C457="",$D457="",$E457="",$H457=""),"",SUMIFS(DATA_GOC!$H:$H,DATA_GOC!$A:$A,"BOM",DATA_GOC!$D:$D,$H457,DATA_GOC!$E:$E,$C457,DATA_GOC!$F:$F,"Xuất nội bộ từ téc",DATA_GOC!$B:$B,"&gt;="&amp;$D457,DATA_GOC!$B:$B,"&lt;="&amp;$E457))</f>
        <v>0</v>
      </c>
      <c r="J457" s="59">
        <f t="shared" si="28"/>
        <v>0</v>
      </c>
      <c r="K457" s="59">
        <f t="shared" si="29"/>
        <v>0</v>
      </c>
      <c r="L457" s="59">
        <f t="shared" si="30"/>
        <v>0</v>
      </c>
      <c r="M457" s="59">
        <f t="shared" si="31"/>
        <v>0</v>
      </c>
    </row>
    <row r="458" ht="15.0" hidden="1" customHeight="1">
      <c r="A458" s="59">
        <f t="shared" si="20"/>
        <v>4</v>
      </c>
      <c r="B458" s="59" t="str">
        <f t="shared" si="21"/>
        <v>Đã chốt</v>
      </c>
      <c r="C458" s="59" t="str">
        <f t="shared" si="22"/>
        <v>Téc 2</v>
      </c>
      <c r="D458" s="45">
        <f t="shared" si="23"/>
        <v>46023</v>
      </c>
      <c r="E458" s="45">
        <f t="shared" si="24"/>
        <v>46035</v>
      </c>
      <c r="F458" s="133">
        <f t="shared" si="25"/>
        <v>1</v>
      </c>
      <c r="G458" s="133">
        <f t="shared" si="26"/>
        <v>2026</v>
      </c>
      <c r="H458" s="59" t="str">
        <f t="shared" si="27"/>
        <v>29E18160</v>
      </c>
      <c r="I458" s="59">
        <f>IF(OR($A458="",$C458="",$D458="",$E458="",$H458=""),"",SUMIFS(DATA_GOC!$H:$H,DATA_GOC!$A:$A,"BOM",DATA_GOC!$D:$D,$H458,DATA_GOC!$E:$E,$C458,DATA_GOC!$F:$F,"Xuất nội bộ từ téc",DATA_GOC!$B:$B,"&gt;="&amp;$D458,DATA_GOC!$B:$B,"&lt;="&amp;$E458))</f>
        <v>0</v>
      </c>
      <c r="J458" s="59">
        <f t="shared" si="28"/>
        <v>0</v>
      </c>
      <c r="K458" s="59">
        <f t="shared" si="29"/>
        <v>0</v>
      </c>
      <c r="L458" s="59">
        <f t="shared" si="30"/>
        <v>0</v>
      </c>
      <c r="M458" s="59">
        <f t="shared" si="31"/>
        <v>0</v>
      </c>
    </row>
    <row r="459" ht="15.0" hidden="1" customHeight="1">
      <c r="A459" s="59">
        <f t="shared" si="20"/>
        <v>4</v>
      </c>
      <c r="B459" s="59" t="str">
        <f t="shared" si="21"/>
        <v>Đã chốt</v>
      </c>
      <c r="C459" s="59" t="str">
        <f t="shared" si="22"/>
        <v>Téc 2</v>
      </c>
      <c r="D459" s="45">
        <f t="shared" si="23"/>
        <v>46023</v>
      </c>
      <c r="E459" s="45">
        <f t="shared" si="24"/>
        <v>46035</v>
      </c>
      <c r="F459" s="133">
        <f t="shared" si="25"/>
        <v>1</v>
      </c>
      <c r="G459" s="133">
        <f t="shared" si="26"/>
        <v>2026</v>
      </c>
      <c r="H459" s="59" t="str">
        <f t="shared" si="27"/>
        <v>Công trình Asphalt</v>
      </c>
      <c r="I459" s="59">
        <f>IF(OR($A459="",$C459="",$D459="",$E459="",$H459=""),"",SUMIFS(DATA_GOC!$H:$H,DATA_GOC!$A:$A,"BOM",DATA_GOC!$D:$D,$H459,DATA_GOC!$E:$E,$C459,DATA_GOC!$F:$F,"Xuất nội bộ từ téc",DATA_GOC!$B:$B,"&gt;="&amp;$D459,DATA_GOC!$B:$B,"&lt;="&amp;$E459))</f>
        <v>150</v>
      </c>
      <c r="J459" s="59">
        <f t="shared" si="28"/>
        <v>5.508</v>
      </c>
      <c r="K459" s="59">
        <f t="shared" si="29"/>
        <v>0</v>
      </c>
      <c r="L459" s="59">
        <f t="shared" si="30"/>
        <v>155.508</v>
      </c>
      <c r="M459" s="59">
        <f t="shared" si="31"/>
        <v>0.007275549304</v>
      </c>
    </row>
    <row r="460" ht="15.0" hidden="1" customHeight="1">
      <c r="A460" s="59">
        <f t="shared" si="20"/>
        <v>4</v>
      </c>
      <c r="B460" s="59" t="str">
        <f t="shared" si="21"/>
        <v>Đã chốt</v>
      </c>
      <c r="C460" s="59" t="str">
        <f t="shared" si="22"/>
        <v>Téc 2</v>
      </c>
      <c r="D460" s="45">
        <f t="shared" si="23"/>
        <v>46023</v>
      </c>
      <c r="E460" s="45">
        <f t="shared" si="24"/>
        <v>46035</v>
      </c>
      <c r="F460" s="133">
        <f t="shared" si="25"/>
        <v>1</v>
      </c>
      <c r="G460" s="133">
        <f t="shared" si="26"/>
        <v>2026</v>
      </c>
      <c r="H460" s="59" t="str">
        <f t="shared" si="27"/>
        <v>LG53F</v>
      </c>
      <c r="I460" s="59">
        <f>IF(OR($A460="",$C460="",$D460="",$E460="",$H460=""),"",SUMIFS(DATA_GOC!$H:$H,DATA_GOC!$A:$A,"BOM",DATA_GOC!$D:$D,$H460,DATA_GOC!$E:$E,$C460,DATA_GOC!$F:$F,"Xuất nội bộ từ téc",DATA_GOC!$B:$B,"&gt;="&amp;$D460,DATA_GOC!$B:$B,"&lt;="&amp;$E460))</f>
        <v>0</v>
      </c>
      <c r="J460" s="59">
        <f t="shared" si="28"/>
        <v>0</v>
      </c>
      <c r="K460" s="59">
        <f t="shared" si="29"/>
        <v>0</v>
      </c>
      <c r="L460" s="59">
        <f t="shared" si="30"/>
        <v>0</v>
      </c>
      <c r="M460" s="59">
        <f t="shared" si="31"/>
        <v>0</v>
      </c>
    </row>
    <row r="461" ht="15.0" hidden="1" customHeight="1">
      <c r="A461" s="59">
        <f t="shared" si="20"/>
        <v>4</v>
      </c>
      <c r="B461" s="59" t="str">
        <f t="shared" si="21"/>
        <v>Đã chốt</v>
      </c>
      <c r="C461" s="59" t="str">
        <f t="shared" si="22"/>
        <v>Téc 2</v>
      </c>
      <c r="D461" s="45">
        <f t="shared" si="23"/>
        <v>46023</v>
      </c>
      <c r="E461" s="45">
        <f t="shared" si="24"/>
        <v>46035</v>
      </c>
      <c r="F461" s="133">
        <f t="shared" si="25"/>
        <v>1</v>
      </c>
      <c r="G461" s="133">
        <f t="shared" si="26"/>
        <v>2026</v>
      </c>
      <c r="H461" s="59" t="str">
        <f t="shared" si="27"/>
        <v>Máy phát điện</v>
      </c>
      <c r="I461" s="59">
        <f>IF(OR($A461="",$C461="",$D461="",$E461="",$H461=""),"",SUMIFS(DATA_GOC!$H:$H,DATA_GOC!$A:$A,"BOM",DATA_GOC!$D:$D,$H461,DATA_GOC!$E:$E,$C461,DATA_GOC!$F:$F,"Xuất nội bộ từ téc",DATA_GOC!$B:$B,"&gt;="&amp;$D461,DATA_GOC!$B:$B,"&lt;="&amp;$E461))</f>
        <v>0</v>
      </c>
      <c r="J461" s="59">
        <f t="shared" si="28"/>
        <v>0</v>
      </c>
      <c r="K461" s="59">
        <f t="shared" si="29"/>
        <v>0</v>
      </c>
      <c r="L461" s="59">
        <f t="shared" si="30"/>
        <v>0</v>
      </c>
      <c r="M461" s="59">
        <f t="shared" si="31"/>
        <v>0</v>
      </c>
    </row>
    <row r="462" ht="15.0" hidden="1" customHeight="1">
      <c r="A462" s="59">
        <f t="shared" si="20"/>
        <v>4</v>
      </c>
      <c r="B462" s="59" t="str">
        <f t="shared" si="21"/>
        <v>Đã chốt</v>
      </c>
      <c r="C462" s="59" t="str">
        <f t="shared" si="22"/>
        <v>Téc 2</v>
      </c>
      <c r="D462" s="45">
        <f t="shared" si="23"/>
        <v>46023</v>
      </c>
      <c r="E462" s="45">
        <f t="shared" si="24"/>
        <v>46035</v>
      </c>
      <c r="F462" s="133">
        <f t="shared" si="25"/>
        <v>1</v>
      </c>
      <c r="G462" s="133">
        <f t="shared" si="26"/>
        <v>2026</v>
      </c>
      <c r="H462" s="59" t="str">
        <f t="shared" si="27"/>
        <v>Máy rải thảm</v>
      </c>
      <c r="I462" s="59">
        <f>IF(OR($A462="",$C462="",$D462="",$E462="",$H462=""),"",SUMIFS(DATA_GOC!$H:$H,DATA_GOC!$A:$A,"BOM",DATA_GOC!$D:$D,$H462,DATA_GOC!$E:$E,$C462,DATA_GOC!$F:$F,"Xuất nội bộ từ téc",DATA_GOC!$B:$B,"&gt;="&amp;$D462,DATA_GOC!$B:$B,"&lt;="&amp;$E462))</f>
        <v>0</v>
      </c>
      <c r="J462" s="59">
        <f t="shared" si="28"/>
        <v>0</v>
      </c>
      <c r="K462" s="59">
        <f t="shared" si="29"/>
        <v>0</v>
      </c>
      <c r="L462" s="59">
        <f t="shared" si="30"/>
        <v>0</v>
      </c>
      <c r="M462" s="59">
        <f t="shared" si="31"/>
        <v>0</v>
      </c>
    </row>
    <row r="463" ht="15.0" hidden="1" customHeight="1">
      <c r="A463" s="59">
        <f t="shared" si="20"/>
        <v>4</v>
      </c>
      <c r="B463" s="59" t="str">
        <f t="shared" si="21"/>
        <v>Đã chốt</v>
      </c>
      <c r="C463" s="59" t="str">
        <f t="shared" si="22"/>
        <v>Téc 2</v>
      </c>
      <c r="D463" s="45">
        <f t="shared" si="23"/>
        <v>46023</v>
      </c>
      <c r="E463" s="45">
        <f t="shared" si="24"/>
        <v>46035</v>
      </c>
      <c r="F463" s="133">
        <f t="shared" si="25"/>
        <v>1</v>
      </c>
      <c r="G463" s="133">
        <f t="shared" si="26"/>
        <v>2026</v>
      </c>
      <c r="H463" s="59" t="str">
        <f t="shared" si="27"/>
        <v>Xúc Đào</v>
      </c>
      <c r="I463" s="59">
        <f>IF(OR($A463="",$C463="",$D463="",$E463="",$H463=""),"",SUMIFS(DATA_GOC!$H:$H,DATA_GOC!$A:$A,"BOM",DATA_GOC!$D:$D,$H463,DATA_GOC!$E:$E,$C463,DATA_GOC!$F:$F,"Xuất nội bộ từ téc",DATA_GOC!$B:$B,"&gt;="&amp;$D463,DATA_GOC!$B:$B,"&lt;="&amp;$E463))</f>
        <v>104</v>
      </c>
      <c r="J463" s="59">
        <f t="shared" si="28"/>
        <v>3.819</v>
      </c>
      <c r="K463" s="59">
        <f t="shared" si="29"/>
        <v>0</v>
      </c>
      <c r="L463" s="59">
        <f t="shared" si="30"/>
        <v>107.819</v>
      </c>
      <c r="M463" s="59">
        <f t="shared" si="31"/>
        <v>0.005044380851</v>
      </c>
    </row>
    <row r="464" ht="15.0" hidden="1" customHeight="1">
      <c r="A464" s="59">
        <f t="shared" si="20"/>
        <v>4</v>
      </c>
      <c r="B464" s="59" t="str">
        <f t="shared" si="21"/>
        <v>Đã chốt</v>
      </c>
      <c r="C464" s="59" t="str">
        <f t="shared" si="22"/>
        <v>Téc 2</v>
      </c>
      <c r="D464" s="45">
        <f t="shared" si="23"/>
        <v>46023</v>
      </c>
      <c r="E464" s="45">
        <f t="shared" si="24"/>
        <v>46035</v>
      </c>
      <c r="F464" s="133">
        <f t="shared" si="25"/>
        <v>1</v>
      </c>
      <c r="G464" s="133">
        <f t="shared" si="26"/>
        <v>2026</v>
      </c>
      <c r="H464" s="59" t="str">
        <f t="shared" si="27"/>
        <v>Xúclật asphalt</v>
      </c>
      <c r="I464" s="59">
        <f>IF(OR($A464="",$C464="",$D464="",$E464="",$H464=""),"",SUMIFS(DATA_GOC!$H:$H,DATA_GOC!$A:$A,"BOM",DATA_GOC!$D:$D,$H464,DATA_GOC!$E:$E,$C464,DATA_GOC!$F:$F,"Xuất nội bộ từ téc",DATA_GOC!$B:$B,"&gt;="&amp;$D464,DATA_GOC!$B:$B,"&lt;="&amp;$E464))</f>
        <v>400</v>
      </c>
      <c r="J464" s="59">
        <f t="shared" si="28"/>
        <v>14.687</v>
      </c>
      <c r="K464" s="59">
        <f t="shared" si="29"/>
        <v>0</v>
      </c>
      <c r="L464" s="59">
        <f t="shared" si="30"/>
        <v>414.687</v>
      </c>
      <c r="M464" s="59">
        <f t="shared" si="31"/>
        <v>0.01940146481</v>
      </c>
    </row>
    <row r="465" ht="15.0" hidden="1" customHeight="1">
      <c r="A465" s="59">
        <f t="shared" si="20"/>
        <v>4</v>
      </c>
      <c r="B465" s="59" t="str">
        <f t="shared" si="21"/>
        <v>Đã chốt</v>
      </c>
      <c r="C465" s="59" t="str">
        <f t="shared" si="22"/>
        <v>Téc 2</v>
      </c>
      <c r="D465" s="45">
        <f t="shared" si="23"/>
        <v>46023</v>
      </c>
      <c r="E465" s="45">
        <f t="shared" si="24"/>
        <v>46035</v>
      </c>
      <c r="F465" s="133">
        <f t="shared" si="25"/>
        <v>1</v>
      </c>
      <c r="G465" s="133">
        <f t="shared" si="26"/>
        <v>2026</v>
      </c>
      <c r="H465" s="59" t="str">
        <f t="shared" si="27"/>
        <v>Xúclật855H</v>
      </c>
      <c r="I465" s="59">
        <f>IF(OR($A465="",$C465="",$D465="",$E465="",$H465=""),"",SUMIFS(DATA_GOC!$H:$H,DATA_GOC!$A:$A,"BOM",DATA_GOC!$D:$D,$H465,DATA_GOC!$E:$E,$C465,DATA_GOC!$F:$F,"Xuất nội bộ từ téc",DATA_GOC!$B:$B,"&gt;="&amp;$D465,DATA_GOC!$B:$B,"&lt;="&amp;$E465))</f>
        <v>482</v>
      </c>
      <c r="J465" s="59">
        <f t="shared" si="28"/>
        <v>17.698</v>
      </c>
      <c r="K465" s="59">
        <f t="shared" si="29"/>
        <v>0</v>
      </c>
      <c r="L465" s="59">
        <f t="shared" si="30"/>
        <v>499.698</v>
      </c>
      <c r="M465" s="59">
        <f t="shared" si="31"/>
        <v>0.0233787651</v>
      </c>
    </row>
    <row r="466" ht="15.0" hidden="1" customHeight="1">
      <c r="A466" s="59">
        <f t="shared" si="20"/>
        <v>4</v>
      </c>
      <c r="B466" s="59" t="str">
        <f t="shared" si="21"/>
        <v>Đã chốt</v>
      </c>
      <c r="C466" s="59" t="str">
        <f t="shared" si="22"/>
        <v>Téc 2</v>
      </c>
      <c r="D466" s="45">
        <f t="shared" si="23"/>
        <v>46023</v>
      </c>
      <c r="E466" s="45">
        <f t="shared" si="24"/>
        <v>46035</v>
      </c>
      <c r="F466" s="133">
        <f t="shared" si="25"/>
        <v>1</v>
      </c>
      <c r="G466" s="133">
        <f t="shared" si="26"/>
        <v>2026</v>
      </c>
      <c r="H466" s="59" t="str">
        <f t="shared" si="27"/>
        <v>Xúclật855N</v>
      </c>
      <c r="I466" s="59">
        <f>IF(OR($A466="",$C466="",$D466="",$E466="",$H466=""),"",SUMIFS(DATA_GOC!$H:$H,DATA_GOC!$A:$A,"BOM",DATA_GOC!$D:$D,$H466,DATA_GOC!$E:$E,$C466,DATA_GOC!$F:$F,"Xuất nội bộ từ téc",DATA_GOC!$B:$B,"&gt;="&amp;$D466,DATA_GOC!$B:$B,"&lt;="&amp;$E466))</f>
        <v>486</v>
      </c>
      <c r="J466" s="59">
        <f t="shared" si="28"/>
        <v>17.845</v>
      </c>
      <c r="K466" s="59">
        <f t="shared" si="29"/>
        <v>0</v>
      </c>
      <c r="L466" s="59">
        <f t="shared" si="30"/>
        <v>503.845</v>
      </c>
      <c r="M466" s="59">
        <f t="shared" si="31"/>
        <v>0.02357277974</v>
      </c>
    </row>
    <row r="467" ht="15.0" hidden="1" customHeight="1">
      <c r="A467" s="59">
        <f t="shared" si="20"/>
        <v>4</v>
      </c>
      <c r="B467" s="59" t="str">
        <f t="shared" si="21"/>
        <v>Đã chốt</v>
      </c>
      <c r="C467" s="59" t="str">
        <f t="shared" si="22"/>
        <v>Téc 2</v>
      </c>
      <c r="D467" s="45">
        <f t="shared" si="23"/>
        <v>46023</v>
      </c>
      <c r="E467" s="45">
        <f t="shared" si="24"/>
        <v>46035</v>
      </c>
      <c r="F467" s="133">
        <f t="shared" si="25"/>
        <v>1</v>
      </c>
      <c r="G467" s="133">
        <f t="shared" si="26"/>
        <v>2026</v>
      </c>
      <c r="H467" s="59" t="str">
        <f t="shared" si="27"/>
        <v>Cát nghiền</v>
      </c>
      <c r="I467" s="59">
        <f>IF(OR($A467="",$C467="",$D467="",$E467="",$H467=""),"",SUMIFS(DATA_GOC!$H:$H,DATA_GOC!$A:$A,"BOM",DATA_GOC!$D:$D,$H467,DATA_GOC!$E:$E,$C467,DATA_GOC!$F:$F,"Xuất nội bộ từ téc",DATA_GOC!$B:$B,"&gt;="&amp;$D467,DATA_GOC!$B:$B,"&lt;="&amp;$E467))</f>
        <v>0</v>
      </c>
      <c r="J467" s="59">
        <f t="shared" si="28"/>
        <v>0</v>
      </c>
      <c r="K467" s="59">
        <f t="shared" si="29"/>
        <v>0</v>
      </c>
      <c r="L467" s="59">
        <f t="shared" si="30"/>
        <v>0</v>
      </c>
      <c r="M467" s="59">
        <f t="shared" si="31"/>
        <v>0</v>
      </c>
    </row>
    <row r="468" ht="15.0" hidden="1" customHeight="1">
      <c r="A468" s="59">
        <f t="shared" si="20"/>
        <v>4</v>
      </c>
      <c r="B468" s="59" t="str">
        <f t="shared" si="21"/>
        <v>Đã chốt</v>
      </c>
      <c r="C468" s="59" t="str">
        <f t="shared" si="22"/>
        <v>Téc 2</v>
      </c>
      <c r="D468" s="45">
        <f t="shared" si="23"/>
        <v>46023</v>
      </c>
      <c r="E468" s="45">
        <f t="shared" si="24"/>
        <v>46035</v>
      </c>
      <c r="F468" s="133">
        <f t="shared" si="25"/>
        <v>1</v>
      </c>
      <c r="G468" s="133">
        <f t="shared" si="26"/>
        <v>2026</v>
      </c>
      <c r="H468" s="59" t="str">
        <f t="shared" si="27"/>
        <v>28C02973</v>
      </c>
      <c r="I468" s="59">
        <f>IF(OR($A468="",$C468="",$D468="",$E468="",$H468=""),"",SUMIFS(DATA_GOC!$H:$H,DATA_GOC!$A:$A,"BOM",DATA_GOC!$D:$D,$H468,DATA_GOC!$E:$E,$C468,DATA_GOC!$F:$F,"Xuất nội bộ từ téc",DATA_GOC!$B:$B,"&gt;="&amp;$D468,DATA_GOC!$B:$B,"&lt;="&amp;$E468))</f>
        <v>0</v>
      </c>
      <c r="J468" s="59">
        <f t="shared" si="28"/>
        <v>0</v>
      </c>
      <c r="K468" s="59">
        <f t="shared" si="29"/>
        <v>0</v>
      </c>
      <c r="L468" s="59">
        <f t="shared" si="30"/>
        <v>0</v>
      </c>
      <c r="M468" s="59">
        <f t="shared" si="31"/>
        <v>0</v>
      </c>
    </row>
    <row r="469" ht="15.0" hidden="1" customHeight="1">
      <c r="A469" s="59">
        <f t="shared" si="20"/>
        <v>4</v>
      </c>
      <c r="B469" s="59" t="str">
        <f t="shared" si="21"/>
        <v>Đã chốt</v>
      </c>
      <c r="C469" s="59" t="str">
        <f t="shared" si="22"/>
        <v>Téc 2</v>
      </c>
      <c r="D469" s="45">
        <f t="shared" si="23"/>
        <v>46023</v>
      </c>
      <c r="E469" s="45">
        <f t="shared" si="24"/>
        <v>46035</v>
      </c>
      <c r="F469" s="133">
        <f t="shared" si="25"/>
        <v>1</v>
      </c>
      <c r="G469" s="133">
        <f t="shared" si="26"/>
        <v>2026</v>
      </c>
      <c r="H469" s="59" t="str">
        <f t="shared" si="27"/>
        <v>28C03044</v>
      </c>
      <c r="I469" s="59">
        <f>IF(OR($A469="",$C469="",$D469="",$E469="",$H469=""),"",SUMIFS(DATA_GOC!$H:$H,DATA_GOC!$A:$A,"BOM",DATA_GOC!$D:$D,$H469,DATA_GOC!$E:$E,$C469,DATA_GOC!$F:$F,"Xuất nội bộ từ téc",DATA_GOC!$B:$B,"&gt;="&amp;$D469,DATA_GOC!$B:$B,"&lt;="&amp;$E469))</f>
        <v>0</v>
      </c>
      <c r="J469" s="59">
        <f t="shared" si="28"/>
        <v>0</v>
      </c>
      <c r="K469" s="59">
        <f t="shared" si="29"/>
        <v>0</v>
      </c>
      <c r="L469" s="59">
        <f t="shared" si="30"/>
        <v>0</v>
      </c>
      <c r="M469" s="59">
        <f t="shared" si="31"/>
        <v>0</v>
      </c>
    </row>
    <row r="470" ht="15.0" hidden="1" customHeight="1">
      <c r="A470" s="59">
        <f t="shared" si="20"/>
        <v>4</v>
      </c>
      <c r="B470" s="59" t="str">
        <f t="shared" si="21"/>
        <v>Đã chốt</v>
      </c>
      <c r="C470" s="59" t="str">
        <f t="shared" si="22"/>
        <v>Téc 2</v>
      </c>
      <c r="D470" s="45">
        <f t="shared" si="23"/>
        <v>46023</v>
      </c>
      <c r="E470" s="45">
        <f t="shared" si="24"/>
        <v>46035</v>
      </c>
      <c r="F470" s="133">
        <f t="shared" si="25"/>
        <v>1</v>
      </c>
      <c r="G470" s="133">
        <f t="shared" si="26"/>
        <v>2026</v>
      </c>
      <c r="H470" s="59" t="str">
        <f t="shared" si="27"/>
        <v>Máy lu lốp</v>
      </c>
      <c r="I470" s="59">
        <f>IF(OR($A470="",$C470="",$D470="",$E470="",$H470=""),"",SUMIFS(DATA_GOC!$H:$H,DATA_GOC!$A:$A,"BOM",DATA_GOC!$D:$D,$H470,DATA_GOC!$E:$E,$C470,DATA_GOC!$F:$F,"Xuất nội bộ từ téc",DATA_GOC!$B:$B,"&gt;="&amp;$D470,DATA_GOC!$B:$B,"&lt;="&amp;$E470))</f>
        <v>0</v>
      </c>
      <c r="J470" s="59">
        <f t="shared" si="28"/>
        <v>0</v>
      </c>
      <c r="K470" s="59">
        <f t="shared" si="29"/>
        <v>0</v>
      </c>
      <c r="L470" s="59">
        <f t="shared" si="30"/>
        <v>0</v>
      </c>
      <c r="M470" s="59">
        <f t="shared" si="31"/>
        <v>0</v>
      </c>
    </row>
    <row r="471" ht="15.0" hidden="1" customHeight="1">
      <c r="A471" s="59">
        <f t="shared" si="20"/>
        <v>4</v>
      </c>
      <c r="B471" s="59" t="str">
        <f t="shared" si="21"/>
        <v>Đã chốt</v>
      </c>
      <c r="C471" s="59" t="str">
        <f t="shared" si="22"/>
        <v>Téc 2</v>
      </c>
      <c r="D471" s="45">
        <f t="shared" si="23"/>
        <v>46023</v>
      </c>
      <c r="E471" s="45">
        <f t="shared" si="24"/>
        <v>46035</v>
      </c>
      <c r="F471" s="133">
        <f t="shared" si="25"/>
        <v>1</v>
      </c>
      <c r="G471" s="133">
        <f t="shared" si="26"/>
        <v>2026</v>
      </c>
      <c r="H471" s="59" t="str">
        <f t="shared" si="27"/>
        <v>Xe 600148</v>
      </c>
      <c r="I471" s="59">
        <f>IF(OR($A471="",$C471="",$D471="",$E471="",$H471=""),"",SUMIFS(DATA_GOC!$H:$H,DATA_GOC!$A:$A,"BOM",DATA_GOC!$D:$D,$H471,DATA_GOC!$E:$E,$C471,DATA_GOC!$F:$F,"Xuất nội bộ từ téc",DATA_GOC!$B:$B,"&gt;="&amp;$D471,DATA_GOC!$B:$B,"&lt;="&amp;$E471))</f>
        <v>0</v>
      </c>
      <c r="J471" s="59">
        <f t="shared" si="28"/>
        <v>0</v>
      </c>
      <c r="K471" s="59">
        <f t="shared" si="29"/>
        <v>0</v>
      </c>
      <c r="L471" s="59">
        <f t="shared" si="30"/>
        <v>0</v>
      </c>
      <c r="M471" s="59">
        <f t="shared" si="31"/>
        <v>0</v>
      </c>
    </row>
    <row r="472" ht="15.0" hidden="1" customHeight="1">
      <c r="A472" s="59">
        <f t="shared" si="20"/>
        <v>4</v>
      </c>
      <c r="B472" s="59" t="str">
        <f t="shared" si="21"/>
        <v>Đã chốt</v>
      </c>
      <c r="C472" s="59" t="str">
        <f t="shared" si="22"/>
        <v>Téc 2</v>
      </c>
      <c r="D472" s="45">
        <f t="shared" si="23"/>
        <v>46023</v>
      </c>
      <c r="E472" s="45">
        <f t="shared" si="24"/>
        <v>46035</v>
      </c>
      <c r="F472" s="133">
        <f t="shared" si="25"/>
        <v>1</v>
      </c>
      <c r="G472" s="133">
        <f t="shared" si="26"/>
        <v>2026</v>
      </c>
      <c r="H472" s="59" t="str">
        <f t="shared" si="27"/>
        <v>Xe ben mới</v>
      </c>
      <c r="I472" s="59">
        <f>IF(OR($A472="",$C472="",$D472="",$E472="",$H472=""),"",SUMIFS(DATA_GOC!$H:$H,DATA_GOC!$A:$A,"BOM",DATA_GOC!$D:$D,$H472,DATA_GOC!$E:$E,$C472,DATA_GOC!$F:$F,"Xuất nội bộ từ téc",DATA_GOC!$B:$B,"&gt;="&amp;$D472,DATA_GOC!$B:$B,"&lt;="&amp;$E472))</f>
        <v>0</v>
      </c>
      <c r="J472" s="59">
        <f t="shared" si="28"/>
        <v>0</v>
      </c>
      <c r="K472" s="59">
        <f t="shared" si="29"/>
        <v>0</v>
      </c>
      <c r="L472" s="59">
        <f t="shared" si="30"/>
        <v>0</v>
      </c>
      <c r="M472" s="59">
        <f t="shared" si="31"/>
        <v>0</v>
      </c>
    </row>
    <row r="473" ht="15.0" hidden="1" customHeight="1">
      <c r="A473" s="59">
        <f t="shared" si="20"/>
        <v>5</v>
      </c>
      <c r="B473" s="59" t="str">
        <f t="shared" si="21"/>
        <v>Đã chốt</v>
      </c>
      <c r="C473" s="59" t="str">
        <f t="shared" si="22"/>
        <v>Téc 2</v>
      </c>
      <c r="D473" s="45">
        <f t="shared" si="23"/>
        <v>46046</v>
      </c>
      <c r="E473" s="45">
        <f t="shared" si="24"/>
        <v>46057</v>
      </c>
      <c r="F473" s="133">
        <f t="shared" si="25"/>
        <v>2</v>
      </c>
      <c r="G473" s="133">
        <f t="shared" si="26"/>
        <v>2026</v>
      </c>
      <c r="H473" s="59" t="str">
        <f t="shared" si="27"/>
        <v>19H09482</v>
      </c>
      <c r="I473" s="59">
        <f>IF(OR($A473="",$C473="",$D473="",$E473="",$H473=""),"",SUMIFS(DATA_GOC!$H:$H,DATA_GOC!$A:$A,"BOM",DATA_GOC!$D:$D,$H473,DATA_GOC!$E:$E,$C473,DATA_GOC!$F:$F,"Xuất nội bộ từ téc",DATA_GOC!$B:$B,"&gt;="&amp;$D473,DATA_GOC!$B:$B,"&lt;="&amp;$E473))</f>
        <v>475</v>
      </c>
      <c r="J473" s="59">
        <f t="shared" si="28"/>
        <v>7.491</v>
      </c>
      <c r="K473" s="59">
        <f t="shared" si="29"/>
        <v>0</v>
      </c>
      <c r="L473" s="59">
        <f t="shared" si="30"/>
        <v>482.491</v>
      </c>
      <c r="M473" s="59">
        <f t="shared" si="31"/>
        <v>0.02104190662</v>
      </c>
    </row>
    <row r="474" ht="15.0" hidden="1" customHeight="1">
      <c r="A474" s="59">
        <f t="shared" si="20"/>
        <v>5</v>
      </c>
      <c r="B474" s="59" t="str">
        <f t="shared" si="21"/>
        <v>Đã chốt</v>
      </c>
      <c r="C474" s="59" t="str">
        <f t="shared" si="22"/>
        <v>Téc 2</v>
      </c>
      <c r="D474" s="45">
        <f t="shared" si="23"/>
        <v>46046</v>
      </c>
      <c r="E474" s="45">
        <f t="shared" si="24"/>
        <v>46057</v>
      </c>
      <c r="F474" s="133">
        <f t="shared" si="25"/>
        <v>2</v>
      </c>
      <c r="G474" s="133">
        <f t="shared" si="26"/>
        <v>2026</v>
      </c>
      <c r="H474" s="59" t="str">
        <f t="shared" si="27"/>
        <v>28A30696</v>
      </c>
      <c r="I474" s="59">
        <f>IF(OR($A474="",$C474="",$D474="",$E474="",$H474=""),"",SUMIFS(DATA_GOC!$H:$H,DATA_GOC!$A:$A,"BOM",DATA_GOC!$D:$D,$H474,DATA_GOC!$E:$E,$C474,DATA_GOC!$F:$F,"Xuất nội bộ từ téc",DATA_GOC!$B:$B,"&gt;="&amp;$D474,DATA_GOC!$B:$B,"&lt;="&amp;$E474))</f>
        <v>81</v>
      </c>
      <c r="J474" s="59">
        <f t="shared" si="28"/>
        <v>1.277</v>
      </c>
      <c r="K474" s="59">
        <f t="shared" si="29"/>
        <v>0</v>
      </c>
      <c r="L474" s="59">
        <f t="shared" si="30"/>
        <v>82.277</v>
      </c>
      <c r="M474" s="59">
        <f t="shared" si="31"/>
        <v>0.003588198813</v>
      </c>
    </row>
    <row r="475" ht="15.0" hidden="1" customHeight="1">
      <c r="A475" s="59">
        <f t="shared" si="20"/>
        <v>5</v>
      </c>
      <c r="B475" s="59" t="str">
        <f t="shared" si="21"/>
        <v>Đã chốt</v>
      </c>
      <c r="C475" s="59" t="str">
        <f t="shared" si="22"/>
        <v>Téc 2</v>
      </c>
      <c r="D475" s="45">
        <f t="shared" si="23"/>
        <v>46046</v>
      </c>
      <c r="E475" s="45">
        <f t="shared" si="24"/>
        <v>46057</v>
      </c>
      <c r="F475" s="133">
        <f t="shared" si="25"/>
        <v>2</v>
      </c>
      <c r="G475" s="133">
        <f t="shared" si="26"/>
        <v>2026</v>
      </c>
      <c r="H475" s="59" t="str">
        <f t="shared" si="27"/>
        <v>28C00462</v>
      </c>
      <c r="I475" s="59">
        <f>IF(OR($A475="",$C475="",$D475="",$E475="",$H475=""),"",SUMIFS(DATA_GOC!$H:$H,DATA_GOC!$A:$A,"BOM",DATA_GOC!$D:$D,$H475,DATA_GOC!$E:$E,$C475,DATA_GOC!$F:$F,"Xuất nội bộ từ téc",DATA_GOC!$B:$B,"&gt;="&amp;$D475,DATA_GOC!$B:$B,"&lt;="&amp;$E475))</f>
        <v>964</v>
      </c>
      <c r="J475" s="59">
        <f t="shared" si="28"/>
        <v>15.203</v>
      </c>
      <c r="K475" s="59">
        <f t="shared" si="29"/>
        <v>0</v>
      </c>
      <c r="L475" s="59">
        <f t="shared" si="30"/>
        <v>979.203</v>
      </c>
      <c r="M475" s="59">
        <f t="shared" si="31"/>
        <v>0.04270399575</v>
      </c>
    </row>
    <row r="476" ht="15.0" hidden="1" customHeight="1">
      <c r="A476" s="59">
        <f t="shared" si="20"/>
        <v>5</v>
      </c>
      <c r="B476" s="59" t="str">
        <f t="shared" si="21"/>
        <v>Đã chốt</v>
      </c>
      <c r="C476" s="59" t="str">
        <f t="shared" si="22"/>
        <v>Téc 2</v>
      </c>
      <c r="D476" s="45">
        <f t="shared" si="23"/>
        <v>46046</v>
      </c>
      <c r="E476" s="45">
        <f t="shared" si="24"/>
        <v>46057</v>
      </c>
      <c r="F476" s="133">
        <f t="shared" si="25"/>
        <v>2</v>
      </c>
      <c r="G476" s="133">
        <f t="shared" si="26"/>
        <v>2026</v>
      </c>
      <c r="H476" s="59" t="str">
        <f t="shared" si="27"/>
        <v>28C01165</v>
      </c>
      <c r="I476" s="59">
        <f>IF(OR($A476="",$C476="",$D476="",$E476="",$H476=""),"",SUMIFS(DATA_GOC!$H:$H,DATA_GOC!$A:$A,"BOM",DATA_GOC!$D:$D,$H476,DATA_GOC!$E:$E,$C476,DATA_GOC!$F:$F,"Xuất nội bộ từ téc",DATA_GOC!$B:$B,"&gt;="&amp;$D476,DATA_GOC!$B:$B,"&lt;="&amp;$E476))</f>
        <v>260</v>
      </c>
      <c r="J476" s="59">
        <f t="shared" si="28"/>
        <v>4.1</v>
      </c>
      <c r="K476" s="59">
        <f t="shared" si="29"/>
        <v>0</v>
      </c>
      <c r="L476" s="59">
        <f t="shared" si="30"/>
        <v>264.1</v>
      </c>
      <c r="M476" s="59">
        <f t="shared" si="31"/>
        <v>0.0115176752</v>
      </c>
    </row>
    <row r="477" ht="15.0" hidden="1" customHeight="1">
      <c r="A477" s="59">
        <f t="shared" si="20"/>
        <v>5</v>
      </c>
      <c r="B477" s="59" t="str">
        <f t="shared" si="21"/>
        <v>Đã chốt</v>
      </c>
      <c r="C477" s="59" t="str">
        <f t="shared" si="22"/>
        <v>Téc 2</v>
      </c>
      <c r="D477" s="45">
        <f t="shared" si="23"/>
        <v>46046</v>
      </c>
      <c r="E477" s="45">
        <f t="shared" si="24"/>
        <v>46057</v>
      </c>
      <c r="F477" s="133">
        <f t="shared" si="25"/>
        <v>2</v>
      </c>
      <c r="G477" s="133">
        <f t="shared" si="26"/>
        <v>2026</v>
      </c>
      <c r="H477" s="59" t="str">
        <f t="shared" si="27"/>
        <v>28C01406</v>
      </c>
      <c r="I477" s="59">
        <f>IF(OR($A477="",$C477="",$D477="",$E477="",$H477=""),"",SUMIFS(DATA_GOC!$H:$H,DATA_GOC!$A:$A,"BOM",DATA_GOC!$D:$D,$H477,DATA_GOC!$E:$E,$C477,DATA_GOC!$F:$F,"Xuất nội bộ từ téc",DATA_GOC!$B:$B,"&gt;="&amp;$D477,DATA_GOC!$B:$B,"&lt;="&amp;$E477))</f>
        <v>0</v>
      </c>
      <c r="J477" s="59">
        <f t="shared" si="28"/>
        <v>0</v>
      </c>
      <c r="K477" s="59">
        <f t="shared" si="29"/>
        <v>0</v>
      </c>
      <c r="L477" s="59">
        <f t="shared" si="30"/>
        <v>0</v>
      </c>
      <c r="M477" s="59">
        <f t="shared" si="31"/>
        <v>0</v>
      </c>
    </row>
    <row r="478" ht="15.0" hidden="1" customHeight="1">
      <c r="A478" s="59">
        <f t="shared" si="20"/>
        <v>5</v>
      </c>
      <c r="B478" s="59" t="str">
        <f t="shared" si="21"/>
        <v>Đã chốt</v>
      </c>
      <c r="C478" s="59" t="str">
        <f t="shared" si="22"/>
        <v>Téc 2</v>
      </c>
      <c r="D478" s="45">
        <f t="shared" si="23"/>
        <v>46046</v>
      </c>
      <c r="E478" s="45">
        <f t="shared" si="24"/>
        <v>46057</v>
      </c>
      <c r="F478" s="133">
        <f t="shared" si="25"/>
        <v>2</v>
      </c>
      <c r="G478" s="133">
        <f t="shared" si="26"/>
        <v>2026</v>
      </c>
      <c r="H478" s="59" t="str">
        <f t="shared" si="27"/>
        <v>28C01544</v>
      </c>
      <c r="I478" s="59">
        <f>IF(OR($A478="",$C478="",$D478="",$E478="",$H478=""),"",SUMIFS(DATA_GOC!$H:$H,DATA_GOC!$A:$A,"BOM",DATA_GOC!$D:$D,$H478,DATA_GOC!$E:$E,$C478,DATA_GOC!$F:$F,"Xuất nội bộ từ téc",DATA_GOC!$B:$B,"&gt;="&amp;$D478,DATA_GOC!$B:$B,"&lt;="&amp;$E478))</f>
        <v>52</v>
      </c>
      <c r="J478" s="59">
        <f t="shared" si="28"/>
        <v>0.82</v>
      </c>
      <c r="K478" s="59">
        <f t="shared" si="29"/>
        <v>0</v>
      </c>
      <c r="L478" s="59">
        <f t="shared" si="30"/>
        <v>52.82</v>
      </c>
      <c r="M478" s="59">
        <f t="shared" si="31"/>
        <v>0.00230353504</v>
      </c>
    </row>
    <row r="479" ht="15.0" hidden="1" customHeight="1">
      <c r="A479" s="59">
        <f t="shared" si="20"/>
        <v>5</v>
      </c>
      <c r="B479" s="59" t="str">
        <f t="shared" si="21"/>
        <v>Đã chốt</v>
      </c>
      <c r="C479" s="59" t="str">
        <f t="shared" si="22"/>
        <v>Téc 2</v>
      </c>
      <c r="D479" s="45">
        <f t="shared" si="23"/>
        <v>46046</v>
      </c>
      <c r="E479" s="45">
        <f t="shared" si="24"/>
        <v>46057</v>
      </c>
      <c r="F479" s="133">
        <f t="shared" si="25"/>
        <v>2</v>
      </c>
      <c r="G479" s="133">
        <f t="shared" si="26"/>
        <v>2026</v>
      </c>
      <c r="H479" s="59" t="str">
        <f t="shared" si="27"/>
        <v>28C01622</v>
      </c>
      <c r="I479" s="59">
        <f>IF(OR($A479="",$C479="",$D479="",$E479="",$H479=""),"",SUMIFS(DATA_GOC!$H:$H,DATA_GOC!$A:$A,"BOM",DATA_GOC!$D:$D,$H479,DATA_GOC!$E:$E,$C479,DATA_GOC!$F:$F,"Xuất nội bộ từ téc",DATA_GOC!$B:$B,"&gt;="&amp;$D479,DATA_GOC!$B:$B,"&lt;="&amp;$E479))</f>
        <v>976</v>
      </c>
      <c r="J479" s="59">
        <f t="shared" si="28"/>
        <v>15.392</v>
      </c>
      <c r="K479" s="59">
        <f t="shared" si="29"/>
        <v>0</v>
      </c>
      <c r="L479" s="59">
        <f t="shared" si="30"/>
        <v>991.392</v>
      </c>
      <c r="M479" s="59">
        <f t="shared" si="31"/>
        <v>0.04323558076</v>
      </c>
    </row>
    <row r="480" ht="15.0" hidden="1" customHeight="1">
      <c r="A480" s="59">
        <f t="shared" si="20"/>
        <v>5</v>
      </c>
      <c r="B480" s="59" t="str">
        <f t="shared" si="21"/>
        <v>Đã chốt</v>
      </c>
      <c r="C480" s="59" t="str">
        <f t="shared" si="22"/>
        <v>Téc 2</v>
      </c>
      <c r="D480" s="45">
        <f t="shared" si="23"/>
        <v>46046</v>
      </c>
      <c r="E480" s="45">
        <f t="shared" si="24"/>
        <v>46057</v>
      </c>
      <c r="F480" s="133">
        <f t="shared" si="25"/>
        <v>2</v>
      </c>
      <c r="G480" s="133">
        <f t="shared" si="26"/>
        <v>2026</v>
      </c>
      <c r="H480" s="59" t="str">
        <f t="shared" si="27"/>
        <v>28C01647</v>
      </c>
      <c r="I480" s="59">
        <f>IF(OR($A480="",$C480="",$D480="",$E480="",$H480=""),"",SUMIFS(DATA_GOC!$H:$H,DATA_GOC!$A:$A,"BOM",DATA_GOC!$D:$D,$H480,DATA_GOC!$E:$E,$C480,DATA_GOC!$F:$F,"Xuất nội bộ từ téc",DATA_GOC!$B:$B,"&gt;="&amp;$D480,DATA_GOC!$B:$B,"&lt;="&amp;$E480))</f>
        <v>813</v>
      </c>
      <c r="J480" s="59">
        <f t="shared" si="28"/>
        <v>12.821</v>
      </c>
      <c r="K480" s="59">
        <f t="shared" si="29"/>
        <v>0</v>
      </c>
      <c r="L480" s="59">
        <f t="shared" si="30"/>
        <v>825.821</v>
      </c>
      <c r="M480" s="59">
        <f t="shared" si="31"/>
        <v>0.03601488438</v>
      </c>
    </row>
    <row r="481" ht="15.0" hidden="1" customHeight="1">
      <c r="A481" s="59">
        <f t="shared" si="20"/>
        <v>5</v>
      </c>
      <c r="B481" s="59" t="str">
        <f t="shared" si="21"/>
        <v>Đã chốt</v>
      </c>
      <c r="C481" s="59" t="str">
        <f t="shared" si="22"/>
        <v>Téc 2</v>
      </c>
      <c r="D481" s="45">
        <f t="shared" si="23"/>
        <v>46046</v>
      </c>
      <c r="E481" s="45">
        <f t="shared" si="24"/>
        <v>46057</v>
      </c>
      <c r="F481" s="133">
        <f t="shared" si="25"/>
        <v>2</v>
      </c>
      <c r="G481" s="133">
        <f t="shared" si="26"/>
        <v>2026</v>
      </c>
      <c r="H481" s="59" t="str">
        <f t="shared" si="27"/>
        <v>28C01731</v>
      </c>
      <c r="I481" s="59">
        <f>IF(OR($A481="",$C481="",$D481="",$E481="",$H481=""),"",SUMIFS(DATA_GOC!$H:$H,DATA_GOC!$A:$A,"BOM",DATA_GOC!$D:$D,$H481,DATA_GOC!$E:$E,$C481,DATA_GOC!$F:$F,"Xuất nội bộ từ téc",DATA_GOC!$B:$B,"&gt;="&amp;$D481,DATA_GOC!$B:$B,"&lt;="&amp;$E481))</f>
        <v>229</v>
      </c>
      <c r="J481" s="59">
        <f t="shared" si="28"/>
        <v>3.611</v>
      </c>
      <c r="K481" s="59">
        <f t="shared" si="29"/>
        <v>0</v>
      </c>
      <c r="L481" s="59">
        <f t="shared" si="30"/>
        <v>232.611</v>
      </c>
      <c r="M481" s="59">
        <f t="shared" si="31"/>
        <v>0.01014441393</v>
      </c>
    </row>
    <row r="482" ht="15.0" hidden="1" customHeight="1">
      <c r="A482" s="59">
        <f t="shared" si="20"/>
        <v>5</v>
      </c>
      <c r="B482" s="59" t="str">
        <f t="shared" si="21"/>
        <v>Đã chốt</v>
      </c>
      <c r="C482" s="59" t="str">
        <f t="shared" si="22"/>
        <v>Téc 2</v>
      </c>
      <c r="D482" s="45">
        <f t="shared" si="23"/>
        <v>46046</v>
      </c>
      <c r="E482" s="45">
        <f t="shared" si="24"/>
        <v>46057</v>
      </c>
      <c r="F482" s="133">
        <f t="shared" si="25"/>
        <v>2</v>
      </c>
      <c r="G482" s="133">
        <f t="shared" si="26"/>
        <v>2026</v>
      </c>
      <c r="H482" s="59" t="str">
        <f t="shared" si="27"/>
        <v>28C01743</v>
      </c>
      <c r="I482" s="59">
        <f>IF(OR($A482="",$C482="",$D482="",$E482="",$H482=""),"",SUMIFS(DATA_GOC!$H:$H,DATA_GOC!$A:$A,"BOM",DATA_GOC!$D:$D,$H482,DATA_GOC!$E:$E,$C482,DATA_GOC!$F:$F,"Xuất nội bộ từ téc",DATA_GOC!$B:$B,"&gt;="&amp;$D482,DATA_GOC!$B:$B,"&lt;="&amp;$E482))</f>
        <v>0</v>
      </c>
      <c r="J482" s="59">
        <f t="shared" si="28"/>
        <v>0</v>
      </c>
      <c r="K482" s="59">
        <f t="shared" si="29"/>
        <v>0</v>
      </c>
      <c r="L482" s="59">
        <f t="shared" si="30"/>
        <v>0</v>
      </c>
      <c r="M482" s="59">
        <f t="shared" si="31"/>
        <v>0</v>
      </c>
    </row>
    <row r="483" ht="15.0" hidden="1" customHeight="1">
      <c r="A483" s="59">
        <f t="shared" si="20"/>
        <v>5</v>
      </c>
      <c r="B483" s="59" t="str">
        <f t="shared" si="21"/>
        <v>Đã chốt</v>
      </c>
      <c r="C483" s="59" t="str">
        <f t="shared" si="22"/>
        <v>Téc 2</v>
      </c>
      <c r="D483" s="45">
        <f t="shared" si="23"/>
        <v>46046</v>
      </c>
      <c r="E483" s="45">
        <f t="shared" si="24"/>
        <v>46057</v>
      </c>
      <c r="F483" s="133">
        <f t="shared" si="25"/>
        <v>2</v>
      </c>
      <c r="G483" s="133">
        <f t="shared" si="26"/>
        <v>2026</v>
      </c>
      <c r="H483" s="59" t="str">
        <f t="shared" si="27"/>
        <v>28C02106</v>
      </c>
      <c r="I483" s="59">
        <f>IF(OR($A483="",$C483="",$D483="",$E483="",$H483=""),"",SUMIFS(DATA_GOC!$H:$H,DATA_GOC!$A:$A,"BOM",DATA_GOC!$D:$D,$H483,DATA_GOC!$E:$E,$C483,DATA_GOC!$F:$F,"Xuất nội bộ từ téc",DATA_GOC!$B:$B,"&gt;="&amp;$D483,DATA_GOC!$B:$B,"&lt;="&amp;$E483))</f>
        <v>1000</v>
      </c>
      <c r="J483" s="59">
        <f t="shared" si="28"/>
        <v>15.77</v>
      </c>
      <c r="K483" s="59">
        <f t="shared" si="29"/>
        <v>0</v>
      </c>
      <c r="L483" s="59">
        <f t="shared" si="30"/>
        <v>1015.77</v>
      </c>
      <c r="M483" s="59">
        <f t="shared" si="31"/>
        <v>0.04429875078</v>
      </c>
    </row>
    <row r="484" ht="15.0" hidden="1" customHeight="1">
      <c r="A484" s="59">
        <f t="shared" si="20"/>
        <v>5</v>
      </c>
      <c r="B484" s="59" t="str">
        <f t="shared" si="21"/>
        <v>Đã chốt</v>
      </c>
      <c r="C484" s="59" t="str">
        <f t="shared" si="22"/>
        <v>Téc 2</v>
      </c>
      <c r="D484" s="45">
        <f t="shared" si="23"/>
        <v>46046</v>
      </c>
      <c r="E484" s="45">
        <f t="shared" si="24"/>
        <v>46057</v>
      </c>
      <c r="F484" s="133">
        <f t="shared" si="25"/>
        <v>2</v>
      </c>
      <c r="G484" s="133">
        <f t="shared" si="26"/>
        <v>2026</v>
      </c>
      <c r="H484" s="59" t="str">
        <f t="shared" si="27"/>
        <v>28C02410</v>
      </c>
      <c r="I484" s="59">
        <f>IF(OR($A484="",$C484="",$D484="",$E484="",$H484=""),"",SUMIFS(DATA_GOC!$H:$H,DATA_GOC!$A:$A,"BOM",DATA_GOC!$D:$D,$H484,DATA_GOC!$E:$E,$C484,DATA_GOC!$F:$F,"Xuất nội bộ từ téc",DATA_GOC!$B:$B,"&gt;="&amp;$D484,DATA_GOC!$B:$B,"&lt;="&amp;$E484))</f>
        <v>296</v>
      </c>
      <c r="J484" s="59">
        <f t="shared" si="28"/>
        <v>4.668</v>
      </c>
      <c r="K484" s="59">
        <f t="shared" si="29"/>
        <v>0</v>
      </c>
      <c r="L484" s="59">
        <f t="shared" si="30"/>
        <v>300.668</v>
      </c>
      <c r="M484" s="59">
        <f t="shared" si="31"/>
        <v>0.01311243023</v>
      </c>
    </row>
    <row r="485" ht="15.0" hidden="1" customHeight="1">
      <c r="A485" s="59">
        <f t="shared" si="20"/>
        <v>5</v>
      </c>
      <c r="B485" s="59" t="str">
        <f t="shared" si="21"/>
        <v>Đã chốt</v>
      </c>
      <c r="C485" s="59" t="str">
        <f t="shared" si="22"/>
        <v>Téc 2</v>
      </c>
      <c r="D485" s="45">
        <f t="shared" si="23"/>
        <v>46046</v>
      </c>
      <c r="E485" s="45">
        <f t="shared" si="24"/>
        <v>46057</v>
      </c>
      <c r="F485" s="133">
        <f t="shared" si="25"/>
        <v>2</v>
      </c>
      <c r="G485" s="133">
        <f t="shared" si="26"/>
        <v>2026</v>
      </c>
      <c r="H485" s="59" t="str">
        <f t="shared" si="27"/>
        <v>28C02545</v>
      </c>
      <c r="I485" s="59">
        <f>IF(OR($A485="",$C485="",$D485="",$E485="",$H485=""),"",SUMIFS(DATA_GOC!$H:$H,DATA_GOC!$A:$A,"BOM",DATA_GOC!$D:$D,$H485,DATA_GOC!$E:$E,$C485,DATA_GOC!$F:$F,"Xuất nội bộ từ téc",DATA_GOC!$B:$B,"&gt;="&amp;$D485,DATA_GOC!$B:$B,"&lt;="&amp;$E485))</f>
        <v>259</v>
      </c>
      <c r="J485" s="59">
        <f t="shared" si="28"/>
        <v>4.085</v>
      </c>
      <c r="K485" s="59">
        <f t="shared" si="29"/>
        <v>0</v>
      </c>
      <c r="L485" s="59">
        <f t="shared" si="30"/>
        <v>263.085</v>
      </c>
      <c r="M485" s="59">
        <f t="shared" si="31"/>
        <v>0.01147337645</v>
      </c>
    </row>
    <row r="486" ht="15.0" hidden="1" customHeight="1">
      <c r="A486" s="59">
        <f t="shared" si="20"/>
        <v>5</v>
      </c>
      <c r="B486" s="59" t="str">
        <f t="shared" si="21"/>
        <v>Đã chốt</v>
      </c>
      <c r="C486" s="59" t="str">
        <f t="shared" si="22"/>
        <v>Téc 2</v>
      </c>
      <c r="D486" s="45">
        <f t="shared" si="23"/>
        <v>46046</v>
      </c>
      <c r="E486" s="45">
        <f t="shared" si="24"/>
        <v>46057</v>
      </c>
      <c r="F486" s="133">
        <f t="shared" si="25"/>
        <v>2</v>
      </c>
      <c r="G486" s="133">
        <f t="shared" si="26"/>
        <v>2026</v>
      </c>
      <c r="H486" s="59" t="str">
        <f t="shared" si="27"/>
        <v>28C02574</v>
      </c>
      <c r="I486" s="59">
        <f>IF(OR($A486="",$C486="",$D486="",$E486="",$H486=""),"",SUMIFS(DATA_GOC!$H:$H,DATA_GOC!$A:$A,"BOM",DATA_GOC!$D:$D,$H486,DATA_GOC!$E:$E,$C486,DATA_GOC!$F:$F,"Xuất nội bộ từ téc",DATA_GOC!$B:$B,"&gt;="&amp;$D486,DATA_GOC!$B:$B,"&lt;="&amp;$E486))</f>
        <v>223</v>
      </c>
      <c r="J486" s="59">
        <f t="shared" si="28"/>
        <v>3.517</v>
      </c>
      <c r="K486" s="59">
        <f t="shared" si="29"/>
        <v>0</v>
      </c>
      <c r="L486" s="59">
        <f t="shared" si="30"/>
        <v>226.517</v>
      </c>
      <c r="M486" s="59">
        <f t="shared" si="31"/>
        <v>0.009878621423</v>
      </c>
    </row>
    <row r="487" ht="15.0" hidden="1" customHeight="1">
      <c r="A487" s="59">
        <f t="shared" si="20"/>
        <v>5</v>
      </c>
      <c r="B487" s="59" t="str">
        <f t="shared" si="21"/>
        <v>Đã chốt</v>
      </c>
      <c r="C487" s="59" t="str">
        <f t="shared" si="22"/>
        <v>Téc 2</v>
      </c>
      <c r="D487" s="45">
        <f t="shared" si="23"/>
        <v>46046</v>
      </c>
      <c r="E487" s="45">
        <f t="shared" si="24"/>
        <v>46057</v>
      </c>
      <c r="F487" s="133">
        <f t="shared" si="25"/>
        <v>2</v>
      </c>
      <c r="G487" s="133">
        <f t="shared" si="26"/>
        <v>2026</v>
      </c>
      <c r="H487" s="59" t="str">
        <f t="shared" si="27"/>
        <v>28C02770</v>
      </c>
      <c r="I487" s="59">
        <f>IF(OR($A487="",$C487="",$D487="",$E487="",$H487=""),"",SUMIFS(DATA_GOC!$H:$H,DATA_GOC!$A:$A,"BOM",DATA_GOC!$D:$D,$H487,DATA_GOC!$E:$E,$C487,DATA_GOC!$F:$F,"Xuất nội bộ từ téc",DATA_GOC!$B:$B,"&gt;="&amp;$D487,DATA_GOC!$B:$B,"&lt;="&amp;$E487))</f>
        <v>0</v>
      </c>
      <c r="J487" s="59">
        <f t="shared" si="28"/>
        <v>0</v>
      </c>
      <c r="K487" s="59">
        <f t="shared" si="29"/>
        <v>0</v>
      </c>
      <c r="L487" s="59">
        <f t="shared" si="30"/>
        <v>0</v>
      </c>
      <c r="M487" s="59">
        <f t="shared" si="31"/>
        <v>0</v>
      </c>
    </row>
    <row r="488" ht="15.0" hidden="1" customHeight="1">
      <c r="A488" s="59">
        <f t="shared" si="20"/>
        <v>5</v>
      </c>
      <c r="B488" s="59" t="str">
        <f t="shared" si="21"/>
        <v>Đã chốt</v>
      </c>
      <c r="C488" s="59" t="str">
        <f t="shared" si="22"/>
        <v>Téc 2</v>
      </c>
      <c r="D488" s="45">
        <f t="shared" si="23"/>
        <v>46046</v>
      </c>
      <c r="E488" s="45">
        <f t="shared" si="24"/>
        <v>46057</v>
      </c>
      <c r="F488" s="133">
        <f t="shared" si="25"/>
        <v>2</v>
      </c>
      <c r="G488" s="133">
        <f t="shared" si="26"/>
        <v>2026</v>
      </c>
      <c r="H488" s="59" t="str">
        <f t="shared" si="27"/>
        <v>28C02986</v>
      </c>
      <c r="I488" s="59">
        <f>IF(OR($A488="",$C488="",$D488="",$E488="",$H488=""),"",SUMIFS(DATA_GOC!$H:$H,DATA_GOC!$A:$A,"BOM",DATA_GOC!$D:$D,$H488,DATA_GOC!$E:$E,$C488,DATA_GOC!$F:$F,"Xuất nội bộ từ téc",DATA_GOC!$B:$B,"&gt;="&amp;$D488,DATA_GOC!$B:$B,"&lt;="&amp;$E488))</f>
        <v>1290</v>
      </c>
      <c r="J488" s="59">
        <f t="shared" si="28"/>
        <v>20.344</v>
      </c>
      <c r="K488" s="59">
        <f t="shared" si="29"/>
        <v>0</v>
      </c>
      <c r="L488" s="59">
        <f t="shared" si="30"/>
        <v>1310.344</v>
      </c>
      <c r="M488" s="59">
        <f t="shared" si="31"/>
        <v>0.0571453885</v>
      </c>
    </row>
    <row r="489" ht="15.0" hidden="1" customHeight="1">
      <c r="A489" s="59">
        <f t="shared" si="20"/>
        <v>5</v>
      </c>
      <c r="B489" s="59" t="str">
        <f t="shared" si="21"/>
        <v>Đã chốt</v>
      </c>
      <c r="C489" s="59" t="str">
        <f t="shared" si="22"/>
        <v>Téc 2</v>
      </c>
      <c r="D489" s="45">
        <f t="shared" si="23"/>
        <v>46046</v>
      </c>
      <c r="E489" s="45">
        <f t="shared" si="24"/>
        <v>46057</v>
      </c>
      <c r="F489" s="133">
        <f t="shared" si="25"/>
        <v>2</v>
      </c>
      <c r="G489" s="133">
        <f t="shared" si="26"/>
        <v>2026</v>
      </c>
      <c r="H489" s="59" t="str">
        <f t="shared" si="27"/>
        <v>28C03261</v>
      </c>
      <c r="I489" s="59">
        <f>IF(OR($A489="",$C489="",$D489="",$E489="",$H489=""),"",SUMIFS(DATA_GOC!$H:$H,DATA_GOC!$A:$A,"BOM",DATA_GOC!$D:$D,$H489,DATA_GOC!$E:$E,$C489,DATA_GOC!$F:$F,"Xuất nội bộ từ téc",DATA_GOC!$B:$B,"&gt;="&amp;$D489,DATA_GOC!$B:$B,"&lt;="&amp;$E489))</f>
        <v>0</v>
      </c>
      <c r="J489" s="59">
        <f t="shared" si="28"/>
        <v>0</v>
      </c>
      <c r="K489" s="59">
        <f t="shared" si="29"/>
        <v>0</v>
      </c>
      <c r="L489" s="59">
        <f t="shared" si="30"/>
        <v>0</v>
      </c>
      <c r="M489" s="59">
        <f t="shared" si="31"/>
        <v>0</v>
      </c>
    </row>
    <row r="490" ht="15.0" hidden="1" customHeight="1">
      <c r="A490" s="59">
        <f t="shared" si="20"/>
        <v>5</v>
      </c>
      <c r="B490" s="59" t="str">
        <f t="shared" si="21"/>
        <v>Đã chốt</v>
      </c>
      <c r="C490" s="59" t="str">
        <f t="shared" si="22"/>
        <v>Téc 2</v>
      </c>
      <c r="D490" s="45">
        <f t="shared" si="23"/>
        <v>46046</v>
      </c>
      <c r="E490" s="45">
        <f t="shared" si="24"/>
        <v>46057</v>
      </c>
      <c r="F490" s="133">
        <f t="shared" si="25"/>
        <v>2</v>
      </c>
      <c r="G490" s="133">
        <f t="shared" si="26"/>
        <v>2026</v>
      </c>
      <c r="H490" s="59" t="str">
        <f t="shared" si="27"/>
        <v>28C03323</v>
      </c>
      <c r="I490" s="59">
        <f>IF(OR($A490="",$C490="",$D490="",$E490="",$H490=""),"",SUMIFS(DATA_GOC!$H:$H,DATA_GOC!$A:$A,"BOM",DATA_GOC!$D:$D,$H490,DATA_GOC!$E:$E,$C490,DATA_GOC!$F:$F,"Xuất nội bộ từ téc",DATA_GOC!$B:$B,"&gt;="&amp;$D490,DATA_GOC!$B:$B,"&lt;="&amp;$E490))</f>
        <v>430</v>
      </c>
      <c r="J490" s="59">
        <f t="shared" si="28"/>
        <v>6.781</v>
      </c>
      <c r="K490" s="59">
        <f t="shared" si="29"/>
        <v>0</v>
      </c>
      <c r="L490" s="59">
        <f t="shared" si="30"/>
        <v>436.781</v>
      </c>
      <c r="M490" s="59">
        <f t="shared" si="31"/>
        <v>0.01904846283</v>
      </c>
    </row>
    <row r="491" ht="15.0" hidden="1" customHeight="1">
      <c r="A491" s="59">
        <f t="shared" si="20"/>
        <v>5</v>
      </c>
      <c r="B491" s="59" t="str">
        <f t="shared" si="21"/>
        <v>Đã chốt</v>
      </c>
      <c r="C491" s="59" t="str">
        <f t="shared" si="22"/>
        <v>Téc 2</v>
      </c>
      <c r="D491" s="45">
        <f t="shared" si="23"/>
        <v>46046</v>
      </c>
      <c r="E491" s="45">
        <f t="shared" si="24"/>
        <v>46057</v>
      </c>
      <c r="F491" s="133">
        <f t="shared" si="25"/>
        <v>2</v>
      </c>
      <c r="G491" s="133">
        <f t="shared" si="26"/>
        <v>2026</v>
      </c>
      <c r="H491" s="59" t="str">
        <f t="shared" si="27"/>
        <v>28C03385</v>
      </c>
      <c r="I491" s="59">
        <f>IF(OR($A491="",$C491="",$D491="",$E491="",$H491=""),"",SUMIFS(DATA_GOC!$H:$H,DATA_GOC!$A:$A,"BOM",DATA_GOC!$D:$D,$H491,DATA_GOC!$E:$E,$C491,DATA_GOC!$F:$F,"Xuất nội bộ từ téc",DATA_GOC!$B:$B,"&gt;="&amp;$D491,DATA_GOC!$B:$B,"&lt;="&amp;$E491))</f>
        <v>0</v>
      </c>
      <c r="J491" s="59">
        <f t="shared" si="28"/>
        <v>0</v>
      </c>
      <c r="K491" s="59">
        <f t="shared" si="29"/>
        <v>0</v>
      </c>
      <c r="L491" s="59">
        <f t="shared" si="30"/>
        <v>0</v>
      </c>
      <c r="M491" s="59">
        <f t="shared" si="31"/>
        <v>0</v>
      </c>
    </row>
    <row r="492" ht="15.0" hidden="1" customHeight="1">
      <c r="A492" s="59">
        <f t="shared" si="20"/>
        <v>5</v>
      </c>
      <c r="B492" s="59" t="str">
        <f t="shared" si="21"/>
        <v>Đã chốt</v>
      </c>
      <c r="C492" s="59" t="str">
        <f t="shared" si="22"/>
        <v>Téc 2</v>
      </c>
      <c r="D492" s="45">
        <f t="shared" si="23"/>
        <v>46046</v>
      </c>
      <c r="E492" s="45">
        <f t="shared" si="24"/>
        <v>46057</v>
      </c>
      <c r="F492" s="133">
        <f t="shared" si="25"/>
        <v>2</v>
      </c>
      <c r="G492" s="133">
        <f t="shared" si="26"/>
        <v>2026</v>
      </c>
      <c r="H492" s="59" t="str">
        <f t="shared" si="27"/>
        <v>28C03652</v>
      </c>
      <c r="I492" s="59">
        <f>IF(OR($A492="",$C492="",$D492="",$E492="",$H492=""),"",SUMIFS(DATA_GOC!$H:$H,DATA_GOC!$A:$A,"BOM",DATA_GOC!$D:$D,$H492,DATA_GOC!$E:$E,$C492,DATA_GOC!$F:$F,"Xuất nội bộ từ téc",DATA_GOC!$B:$B,"&gt;="&amp;$D492,DATA_GOC!$B:$B,"&lt;="&amp;$E492))</f>
        <v>748</v>
      </c>
      <c r="J492" s="59">
        <f t="shared" si="28"/>
        <v>11.796</v>
      </c>
      <c r="K492" s="59">
        <f t="shared" si="29"/>
        <v>0</v>
      </c>
      <c r="L492" s="59">
        <f t="shared" si="30"/>
        <v>759.796</v>
      </c>
      <c r="M492" s="59">
        <f t="shared" si="31"/>
        <v>0.03313546558</v>
      </c>
    </row>
    <row r="493" ht="15.0" hidden="1" customHeight="1">
      <c r="A493" s="59">
        <f t="shared" si="20"/>
        <v>5</v>
      </c>
      <c r="B493" s="59" t="str">
        <f t="shared" si="21"/>
        <v>Đã chốt</v>
      </c>
      <c r="C493" s="59" t="str">
        <f t="shared" si="22"/>
        <v>Téc 2</v>
      </c>
      <c r="D493" s="45">
        <f t="shared" si="23"/>
        <v>46046</v>
      </c>
      <c r="E493" s="45">
        <f t="shared" si="24"/>
        <v>46057</v>
      </c>
      <c r="F493" s="133">
        <f t="shared" si="25"/>
        <v>2</v>
      </c>
      <c r="G493" s="133">
        <f t="shared" si="26"/>
        <v>2026</v>
      </c>
      <c r="H493" s="59" t="str">
        <f t="shared" si="27"/>
        <v>28C03695</v>
      </c>
      <c r="I493" s="59">
        <f>IF(OR($A493="",$C493="",$D493="",$E493="",$H493=""),"",SUMIFS(DATA_GOC!$H:$H,DATA_GOC!$A:$A,"BOM",DATA_GOC!$D:$D,$H493,DATA_GOC!$E:$E,$C493,DATA_GOC!$F:$F,"Xuất nội bộ từ téc",DATA_GOC!$B:$B,"&gt;="&amp;$D493,DATA_GOC!$B:$B,"&lt;="&amp;$E493))</f>
        <v>182</v>
      </c>
      <c r="J493" s="59">
        <f t="shared" si="28"/>
        <v>2.87</v>
      </c>
      <c r="K493" s="59">
        <f t="shared" si="29"/>
        <v>0</v>
      </c>
      <c r="L493" s="59">
        <f t="shared" si="30"/>
        <v>184.87</v>
      </c>
      <c r="M493" s="59">
        <f t="shared" si="31"/>
        <v>0.008062372641</v>
      </c>
    </row>
    <row r="494" ht="15.0" hidden="1" customHeight="1">
      <c r="A494" s="59">
        <f t="shared" si="20"/>
        <v>5</v>
      </c>
      <c r="B494" s="59" t="str">
        <f t="shared" si="21"/>
        <v>Đã chốt</v>
      </c>
      <c r="C494" s="59" t="str">
        <f t="shared" si="22"/>
        <v>Téc 2</v>
      </c>
      <c r="D494" s="45">
        <f t="shared" si="23"/>
        <v>46046</v>
      </c>
      <c r="E494" s="45">
        <f t="shared" si="24"/>
        <v>46057</v>
      </c>
      <c r="F494" s="133">
        <f t="shared" si="25"/>
        <v>2</v>
      </c>
      <c r="G494" s="133">
        <f t="shared" si="26"/>
        <v>2026</v>
      </c>
      <c r="H494" s="59" t="str">
        <f t="shared" si="27"/>
        <v>28C03927</v>
      </c>
      <c r="I494" s="59">
        <f>IF(OR($A494="",$C494="",$D494="",$E494="",$H494=""),"",SUMIFS(DATA_GOC!$H:$H,DATA_GOC!$A:$A,"BOM",DATA_GOC!$D:$D,$H494,DATA_GOC!$E:$E,$C494,DATA_GOC!$F:$F,"Xuất nội bộ từ téc",DATA_GOC!$B:$B,"&gt;="&amp;$D494,DATA_GOC!$B:$B,"&lt;="&amp;$E494))</f>
        <v>726</v>
      </c>
      <c r="J494" s="59">
        <f t="shared" si="28"/>
        <v>11.449</v>
      </c>
      <c r="K494" s="59">
        <f t="shared" si="29"/>
        <v>0</v>
      </c>
      <c r="L494" s="59">
        <f t="shared" si="30"/>
        <v>737.449</v>
      </c>
      <c r="M494" s="59">
        <f t="shared" si="31"/>
        <v>0.03216089306</v>
      </c>
    </row>
    <row r="495" ht="15.0" hidden="1" customHeight="1">
      <c r="A495" s="59">
        <f t="shared" si="20"/>
        <v>5</v>
      </c>
      <c r="B495" s="59" t="str">
        <f t="shared" si="21"/>
        <v>Đã chốt</v>
      </c>
      <c r="C495" s="59" t="str">
        <f t="shared" si="22"/>
        <v>Téc 2</v>
      </c>
      <c r="D495" s="45">
        <f t="shared" si="23"/>
        <v>46046</v>
      </c>
      <c r="E495" s="45">
        <f t="shared" si="24"/>
        <v>46057</v>
      </c>
      <c r="F495" s="133">
        <f t="shared" si="25"/>
        <v>2</v>
      </c>
      <c r="G495" s="133">
        <f t="shared" si="26"/>
        <v>2026</v>
      </c>
      <c r="H495" s="59" t="str">
        <f t="shared" si="27"/>
        <v>28C04509</v>
      </c>
      <c r="I495" s="59">
        <f>IF(OR($A495="",$C495="",$D495="",$E495="",$H495=""),"",SUMIFS(DATA_GOC!$H:$H,DATA_GOC!$A:$A,"BOM",DATA_GOC!$D:$D,$H495,DATA_GOC!$E:$E,$C495,DATA_GOC!$F:$F,"Xuất nội bộ từ téc",DATA_GOC!$B:$B,"&gt;="&amp;$D495,DATA_GOC!$B:$B,"&lt;="&amp;$E495))</f>
        <v>108</v>
      </c>
      <c r="J495" s="59">
        <f t="shared" si="28"/>
        <v>1.703</v>
      </c>
      <c r="K495" s="59">
        <f t="shared" si="29"/>
        <v>0</v>
      </c>
      <c r="L495" s="59">
        <f t="shared" si="30"/>
        <v>109.703</v>
      </c>
      <c r="M495" s="59">
        <f t="shared" si="31"/>
        <v>0.004784265084</v>
      </c>
    </row>
    <row r="496" ht="15.0" hidden="1" customHeight="1">
      <c r="A496" s="59">
        <f t="shared" si="20"/>
        <v>5</v>
      </c>
      <c r="B496" s="59" t="str">
        <f t="shared" si="21"/>
        <v>Đã chốt</v>
      </c>
      <c r="C496" s="59" t="str">
        <f t="shared" si="22"/>
        <v>Téc 2</v>
      </c>
      <c r="D496" s="45">
        <f t="shared" si="23"/>
        <v>46046</v>
      </c>
      <c r="E496" s="45">
        <f t="shared" si="24"/>
        <v>46057</v>
      </c>
      <c r="F496" s="133">
        <f t="shared" si="25"/>
        <v>2</v>
      </c>
      <c r="G496" s="133">
        <f t="shared" si="26"/>
        <v>2026</v>
      </c>
      <c r="H496" s="59" t="str">
        <f t="shared" si="27"/>
        <v>28C04536</v>
      </c>
      <c r="I496" s="59">
        <f>IF(OR($A496="",$C496="",$D496="",$E496="",$H496=""),"",SUMIFS(DATA_GOC!$H:$H,DATA_GOC!$A:$A,"BOM",DATA_GOC!$D:$D,$H496,DATA_GOC!$E:$E,$C496,DATA_GOC!$F:$F,"Xuất nội bộ từ téc",DATA_GOC!$B:$B,"&gt;="&amp;$D496,DATA_GOC!$B:$B,"&lt;="&amp;$E496))</f>
        <v>0</v>
      </c>
      <c r="J496" s="59">
        <f t="shared" si="28"/>
        <v>0</v>
      </c>
      <c r="K496" s="59">
        <f t="shared" si="29"/>
        <v>0</v>
      </c>
      <c r="L496" s="59">
        <f t="shared" si="30"/>
        <v>0</v>
      </c>
      <c r="M496" s="59">
        <f t="shared" si="31"/>
        <v>0</v>
      </c>
    </row>
    <row r="497" ht="15.0" hidden="1" customHeight="1">
      <c r="A497" s="59">
        <f t="shared" si="20"/>
        <v>5</v>
      </c>
      <c r="B497" s="59" t="str">
        <f t="shared" si="21"/>
        <v>Đã chốt</v>
      </c>
      <c r="C497" s="59" t="str">
        <f t="shared" si="22"/>
        <v>Téc 2</v>
      </c>
      <c r="D497" s="45">
        <f t="shared" si="23"/>
        <v>46046</v>
      </c>
      <c r="E497" s="45">
        <f t="shared" si="24"/>
        <v>46057</v>
      </c>
      <c r="F497" s="133">
        <f t="shared" si="25"/>
        <v>2</v>
      </c>
      <c r="G497" s="133">
        <f t="shared" si="26"/>
        <v>2026</v>
      </c>
      <c r="H497" s="59" t="str">
        <f t="shared" si="27"/>
        <v>28C04576</v>
      </c>
      <c r="I497" s="59">
        <f>IF(OR($A497="",$C497="",$D497="",$E497="",$H497=""),"",SUMIFS(DATA_GOC!$H:$H,DATA_GOC!$A:$A,"BOM",DATA_GOC!$D:$D,$H497,DATA_GOC!$E:$E,$C497,DATA_GOC!$F:$F,"Xuất nội bộ từ téc",DATA_GOC!$B:$B,"&gt;="&amp;$D497,DATA_GOC!$B:$B,"&lt;="&amp;$E497))</f>
        <v>680</v>
      </c>
      <c r="J497" s="59">
        <f t="shared" si="28"/>
        <v>10.724</v>
      </c>
      <c r="K497" s="59">
        <f t="shared" si="29"/>
        <v>0</v>
      </c>
      <c r="L497" s="59">
        <f t="shared" si="30"/>
        <v>690.724</v>
      </c>
      <c r="M497" s="59">
        <f t="shared" si="31"/>
        <v>0.03012315053</v>
      </c>
    </row>
    <row r="498" ht="15.0" hidden="1" customHeight="1">
      <c r="A498" s="59">
        <f t="shared" si="20"/>
        <v>5</v>
      </c>
      <c r="B498" s="59" t="str">
        <f t="shared" si="21"/>
        <v>Đã chốt</v>
      </c>
      <c r="C498" s="59" t="str">
        <f t="shared" si="22"/>
        <v>Téc 2</v>
      </c>
      <c r="D498" s="45">
        <f t="shared" si="23"/>
        <v>46046</v>
      </c>
      <c r="E498" s="45">
        <f t="shared" si="24"/>
        <v>46057</v>
      </c>
      <c r="F498" s="133">
        <f t="shared" si="25"/>
        <v>2</v>
      </c>
      <c r="G498" s="133">
        <f t="shared" si="26"/>
        <v>2026</v>
      </c>
      <c r="H498" s="59" t="str">
        <f t="shared" si="27"/>
        <v>28C05090</v>
      </c>
      <c r="I498" s="59">
        <f>IF(OR($A498="",$C498="",$D498="",$E498="",$H498=""),"",SUMIFS(DATA_GOC!$H:$H,DATA_GOC!$A:$A,"BOM",DATA_GOC!$D:$D,$H498,DATA_GOC!$E:$E,$C498,DATA_GOC!$F:$F,"Xuất nội bộ từ téc",DATA_GOC!$B:$B,"&gt;="&amp;$D498,DATA_GOC!$B:$B,"&lt;="&amp;$E498))</f>
        <v>0</v>
      </c>
      <c r="J498" s="59">
        <f t="shared" si="28"/>
        <v>0</v>
      </c>
      <c r="K498" s="59">
        <f t="shared" si="29"/>
        <v>0</v>
      </c>
      <c r="L498" s="59">
        <f t="shared" si="30"/>
        <v>0</v>
      </c>
      <c r="M498" s="59">
        <f t="shared" si="31"/>
        <v>0</v>
      </c>
    </row>
    <row r="499" ht="15.0" hidden="1" customHeight="1">
      <c r="A499" s="59">
        <f t="shared" si="20"/>
        <v>5</v>
      </c>
      <c r="B499" s="59" t="str">
        <f t="shared" si="21"/>
        <v>Đã chốt</v>
      </c>
      <c r="C499" s="59" t="str">
        <f t="shared" si="22"/>
        <v>Téc 2</v>
      </c>
      <c r="D499" s="45">
        <f t="shared" si="23"/>
        <v>46046</v>
      </c>
      <c r="E499" s="45">
        <f t="shared" si="24"/>
        <v>46057</v>
      </c>
      <c r="F499" s="133">
        <f t="shared" si="25"/>
        <v>2</v>
      </c>
      <c r="G499" s="133">
        <f t="shared" si="26"/>
        <v>2026</v>
      </c>
      <c r="H499" s="59" t="str">
        <f t="shared" si="27"/>
        <v>28C05345</v>
      </c>
      <c r="I499" s="59">
        <f>IF(OR($A499="",$C499="",$D499="",$E499="",$H499=""),"",SUMIFS(DATA_GOC!$H:$H,DATA_GOC!$A:$A,"BOM",DATA_GOC!$D:$D,$H499,DATA_GOC!$E:$E,$C499,DATA_GOC!$F:$F,"Xuất nội bộ từ téc",DATA_GOC!$B:$B,"&gt;="&amp;$D499,DATA_GOC!$B:$B,"&lt;="&amp;$E499))</f>
        <v>467</v>
      </c>
      <c r="J499" s="59">
        <f t="shared" si="28"/>
        <v>7.365</v>
      </c>
      <c r="K499" s="59">
        <f t="shared" si="29"/>
        <v>0</v>
      </c>
      <c r="L499" s="59">
        <f t="shared" si="30"/>
        <v>474.365</v>
      </c>
      <c r="M499" s="59">
        <f t="shared" si="31"/>
        <v>0.02068751661</v>
      </c>
    </row>
    <row r="500" ht="15.0" hidden="1" customHeight="1">
      <c r="A500" s="59">
        <f t="shared" si="20"/>
        <v>5</v>
      </c>
      <c r="B500" s="59" t="str">
        <f t="shared" si="21"/>
        <v>Đã chốt</v>
      </c>
      <c r="C500" s="59" t="str">
        <f t="shared" si="22"/>
        <v>Téc 2</v>
      </c>
      <c r="D500" s="45">
        <f t="shared" si="23"/>
        <v>46046</v>
      </c>
      <c r="E500" s="45">
        <f t="shared" si="24"/>
        <v>46057</v>
      </c>
      <c r="F500" s="133">
        <f t="shared" si="25"/>
        <v>2</v>
      </c>
      <c r="G500" s="133">
        <f t="shared" si="26"/>
        <v>2026</v>
      </c>
      <c r="H500" s="59" t="str">
        <f t="shared" si="27"/>
        <v>28C05661</v>
      </c>
      <c r="I500" s="59">
        <f>IF(OR($A500="",$C500="",$D500="",$E500="",$H500=""),"",SUMIFS(DATA_GOC!$H:$H,DATA_GOC!$A:$A,"BOM",DATA_GOC!$D:$D,$H500,DATA_GOC!$E:$E,$C500,DATA_GOC!$F:$F,"Xuất nội bộ từ téc",DATA_GOC!$B:$B,"&gt;="&amp;$D500,DATA_GOC!$B:$B,"&lt;="&amp;$E500))</f>
        <v>1138</v>
      </c>
      <c r="J500" s="59">
        <f t="shared" si="28"/>
        <v>17.947</v>
      </c>
      <c r="K500" s="59">
        <f t="shared" si="29"/>
        <v>0</v>
      </c>
      <c r="L500" s="59">
        <f t="shared" si="30"/>
        <v>1155.947</v>
      </c>
      <c r="M500" s="59">
        <f t="shared" si="31"/>
        <v>0.05041197838</v>
      </c>
    </row>
    <row r="501" ht="15.0" hidden="1" customHeight="1">
      <c r="A501" s="59">
        <f t="shared" si="20"/>
        <v>5</v>
      </c>
      <c r="B501" s="59" t="str">
        <f t="shared" si="21"/>
        <v>Đã chốt</v>
      </c>
      <c r="C501" s="59" t="str">
        <f t="shared" si="22"/>
        <v>Téc 2</v>
      </c>
      <c r="D501" s="45">
        <f t="shared" si="23"/>
        <v>46046</v>
      </c>
      <c r="E501" s="45">
        <f t="shared" si="24"/>
        <v>46057</v>
      </c>
      <c r="F501" s="133">
        <f t="shared" si="25"/>
        <v>2</v>
      </c>
      <c r="G501" s="133">
        <f t="shared" si="26"/>
        <v>2026</v>
      </c>
      <c r="H501" s="59" t="str">
        <f t="shared" si="27"/>
        <v>28C05739</v>
      </c>
      <c r="I501" s="59">
        <f>IF(OR($A501="",$C501="",$D501="",$E501="",$H501=""),"",SUMIFS(DATA_GOC!$H:$H,DATA_GOC!$A:$A,"BOM",DATA_GOC!$D:$D,$H501,DATA_GOC!$E:$E,$C501,DATA_GOC!$F:$F,"Xuất nội bộ từ téc",DATA_GOC!$B:$B,"&gt;="&amp;$D501,DATA_GOC!$B:$B,"&lt;="&amp;$E501))</f>
        <v>987</v>
      </c>
      <c r="J501" s="59">
        <f t="shared" si="28"/>
        <v>15.565</v>
      </c>
      <c r="K501" s="59">
        <f t="shared" si="29"/>
        <v>0</v>
      </c>
      <c r="L501" s="59">
        <f t="shared" si="30"/>
        <v>1002.565</v>
      </c>
      <c r="M501" s="59">
        <f t="shared" si="31"/>
        <v>0.04372286702</v>
      </c>
    </row>
    <row r="502" ht="15.0" hidden="1" customHeight="1">
      <c r="A502" s="59">
        <f t="shared" si="20"/>
        <v>5</v>
      </c>
      <c r="B502" s="59" t="str">
        <f t="shared" si="21"/>
        <v>Đã chốt</v>
      </c>
      <c r="C502" s="59" t="str">
        <f t="shared" si="22"/>
        <v>Téc 2</v>
      </c>
      <c r="D502" s="45">
        <f t="shared" si="23"/>
        <v>46046</v>
      </c>
      <c r="E502" s="45">
        <f t="shared" si="24"/>
        <v>46057</v>
      </c>
      <c r="F502" s="133">
        <f t="shared" si="25"/>
        <v>2</v>
      </c>
      <c r="G502" s="133">
        <f t="shared" si="26"/>
        <v>2026</v>
      </c>
      <c r="H502" s="59" t="str">
        <f t="shared" si="27"/>
        <v>28C06369</v>
      </c>
      <c r="I502" s="59">
        <f>IF(OR($A502="",$C502="",$D502="",$E502="",$H502=""),"",SUMIFS(DATA_GOC!$H:$H,DATA_GOC!$A:$A,"BOM",DATA_GOC!$D:$D,$H502,DATA_GOC!$E:$E,$C502,DATA_GOC!$F:$F,"Xuất nội bộ từ téc",DATA_GOC!$B:$B,"&gt;="&amp;$D502,DATA_GOC!$B:$B,"&lt;="&amp;$E502))</f>
        <v>701</v>
      </c>
      <c r="J502" s="59">
        <f t="shared" si="28"/>
        <v>11.055</v>
      </c>
      <c r="K502" s="59">
        <f t="shared" si="29"/>
        <v>0</v>
      </c>
      <c r="L502" s="59">
        <f t="shared" si="30"/>
        <v>712.055</v>
      </c>
      <c r="M502" s="59">
        <f t="shared" si="31"/>
        <v>0.03105342429</v>
      </c>
    </row>
    <row r="503" ht="15.0" hidden="1" customHeight="1">
      <c r="A503" s="59">
        <f t="shared" si="20"/>
        <v>5</v>
      </c>
      <c r="B503" s="59" t="str">
        <f t="shared" si="21"/>
        <v>Đã chốt</v>
      </c>
      <c r="C503" s="59" t="str">
        <f t="shared" si="22"/>
        <v>Téc 2</v>
      </c>
      <c r="D503" s="45">
        <f t="shared" si="23"/>
        <v>46046</v>
      </c>
      <c r="E503" s="45">
        <f t="shared" si="24"/>
        <v>46057</v>
      </c>
      <c r="F503" s="133">
        <f t="shared" si="25"/>
        <v>2</v>
      </c>
      <c r="G503" s="133">
        <f t="shared" si="26"/>
        <v>2026</v>
      </c>
      <c r="H503" s="59" t="str">
        <f t="shared" si="27"/>
        <v>28C06447</v>
      </c>
      <c r="I503" s="59">
        <f>IF(OR($A503="",$C503="",$D503="",$E503="",$H503=""),"",SUMIFS(DATA_GOC!$H:$H,DATA_GOC!$A:$A,"BOM",DATA_GOC!$D:$D,$H503,DATA_GOC!$E:$E,$C503,DATA_GOC!$F:$F,"Xuất nội bộ từ téc",DATA_GOC!$B:$B,"&gt;="&amp;$D503,DATA_GOC!$B:$B,"&lt;="&amp;$E503))</f>
        <v>847</v>
      </c>
      <c r="J503" s="59">
        <f t="shared" si="28"/>
        <v>13.357</v>
      </c>
      <c r="K503" s="59">
        <f t="shared" si="29"/>
        <v>0</v>
      </c>
      <c r="L503" s="59">
        <f t="shared" si="30"/>
        <v>860.357</v>
      </c>
      <c r="M503" s="59">
        <f t="shared" si="31"/>
        <v>0.03752104191</v>
      </c>
    </row>
    <row r="504" ht="15.0" hidden="1" customHeight="1">
      <c r="A504" s="59">
        <f t="shared" si="20"/>
        <v>5</v>
      </c>
      <c r="B504" s="59" t="str">
        <f t="shared" si="21"/>
        <v>Đã chốt</v>
      </c>
      <c r="C504" s="59" t="str">
        <f t="shared" si="22"/>
        <v>Téc 2</v>
      </c>
      <c r="D504" s="45">
        <f t="shared" si="23"/>
        <v>46046</v>
      </c>
      <c r="E504" s="45">
        <f t="shared" si="24"/>
        <v>46057</v>
      </c>
      <c r="F504" s="133">
        <f t="shared" si="25"/>
        <v>2</v>
      </c>
      <c r="G504" s="133">
        <f t="shared" si="26"/>
        <v>2026</v>
      </c>
      <c r="H504" s="59" t="str">
        <f t="shared" si="27"/>
        <v>28H00003</v>
      </c>
      <c r="I504" s="59">
        <f>IF(OR($A504="",$C504="",$D504="",$E504="",$H504=""),"",SUMIFS(DATA_GOC!$H:$H,DATA_GOC!$A:$A,"BOM",DATA_GOC!$D:$D,$H504,DATA_GOC!$E:$E,$C504,DATA_GOC!$F:$F,"Xuất nội bộ từ téc",DATA_GOC!$B:$B,"&gt;="&amp;$D504,DATA_GOC!$B:$B,"&lt;="&amp;$E504))</f>
        <v>1220</v>
      </c>
      <c r="J504" s="59">
        <f t="shared" si="28"/>
        <v>19.24</v>
      </c>
      <c r="K504" s="59">
        <f t="shared" si="29"/>
        <v>0</v>
      </c>
      <c r="L504" s="59">
        <f t="shared" si="30"/>
        <v>1239.24</v>
      </c>
      <c r="M504" s="59">
        <f t="shared" si="31"/>
        <v>0.05404447595</v>
      </c>
    </row>
    <row r="505" ht="15.0" hidden="1" customHeight="1">
      <c r="A505" s="59">
        <f t="shared" si="20"/>
        <v>5</v>
      </c>
      <c r="B505" s="59" t="str">
        <f t="shared" si="21"/>
        <v>Đã chốt</v>
      </c>
      <c r="C505" s="59" t="str">
        <f t="shared" si="22"/>
        <v>Téc 2</v>
      </c>
      <c r="D505" s="45">
        <f t="shared" si="23"/>
        <v>46046</v>
      </c>
      <c r="E505" s="45">
        <f t="shared" si="24"/>
        <v>46057</v>
      </c>
      <c r="F505" s="133">
        <f t="shared" si="25"/>
        <v>2</v>
      </c>
      <c r="G505" s="133">
        <f t="shared" si="26"/>
        <v>2026</v>
      </c>
      <c r="H505" s="59" t="str">
        <f t="shared" si="27"/>
        <v>28H00061</v>
      </c>
      <c r="I505" s="59">
        <f>IF(OR($A505="",$C505="",$D505="",$E505="",$H505=""),"",SUMIFS(DATA_GOC!$H:$H,DATA_GOC!$A:$A,"BOM",DATA_GOC!$D:$D,$H505,DATA_GOC!$E:$E,$C505,DATA_GOC!$F:$F,"Xuất nội bộ từ téc",DATA_GOC!$B:$B,"&gt;="&amp;$D505,DATA_GOC!$B:$B,"&lt;="&amp;$E505))</f>
        <v>552</v>
      </c>
      <c r="J505" s="59">
        <f t="shared" si="28"/>
        <v>8.705</v>
      </c>
      <c r="K505" s="59">
        <f t="shared" si="29"/>
        <v>0</v>
      </c>
      <c r="L505" s="59">
        <f t="shared" si="30"/>
        <v>560.705</v>
      </c>
      <c r="M505" s="59">
        <f t="shared" si="31"/>
        <v>0.02445291043</v>
      </c>
    </row>
    <row r="506" ht="15.0" hidden="1" customHeight="1">
      <c r="A506" s="59">
        <f t="shared" si="20"/>
        <v>5</v>
      </c>
      <c r="B506" s="59" t="str">
        <f t="shared" si="21"/>
        <v>Đã chốt</v>
      </c>
      <c r="C506" s="59" t="str">
        <f t="shared" si="22"/>
        <v>Téc 2</v>
      </c>
      <c r="D506" s="45">
        <f t="shared" si="23"/>
        <v>46046</v>
      </c>
      <c r="E506" s="45">
        <f t="shared" si="24"/>
        <v>46057</v>
      </c>
      <c r="F506" s="133">
        <f t="shared" si="25"/>
        <v>2</v>
      </c>
      <c r="G506" s="133">
        <f t="shared" si="26"/>
        <v>2026</v>
      </c>
      <c r="H506" s="59" t="str">
        <f t="shared" si="27"/>
        <v>28H00354</v>
      </c>
      <c r="I506" s="59">
        <f>IF(OR($A506="",$C506="",$D506="",$E506="",$H506=""),"",SUMIFS(DATA_GOC!$H:$H,DATA_GOC!$A:$A,"BOM",DATA_GOC!$D:$D,$H506,DATA_GOC!$E:$E,$C506,DATA_GOC!$F:$F,"Xuất nội bộ từ téc",DATA_GOC!$B:$B,"&gt;="&amp;$D506,DATA_GOC!$B:$B,"&lt;="&amp;$E506))</f>
        <v>975</v>
      </c>
      <c r="J506" s="59">
        <f t="shared" si="28"/>
        <v>15.376</v>
      </c>
      <c r="K506" s="59">
        <f t="shared" si="29"/>
        <v>0</v>
      </c>
      <c r="L506" s="59">
        <f t="shared" si="30"/>
        <v>990.376</v>
      </c>
      <c r="M506" s="59">
        <f t="shared" si="31"/>
        <v>0.04319128201</v>
      </c>
    </row>
    <row r="507" ht="15.0" hidden="1" customHeight="1">
      <c r="A507" s="59">
        <f t="shared" si="20"/>
        <v>5</v>
      </c>
      <c r="B507" s="59" t="str">
        <f t="shared" si="21"/>
        <v>Đã chốt</v>
      </c>
      <c r="C507" s="59" t="str">
        <f t="shared" si="22"/>
        <v>Téc 2</v>
      </c>
      <c r="D507" s="45">
        <f t="shared" si="23"/>
        <v>46046</v>
      </c>
      <c r="E507" s="45">
        <f t="shared" si="24"/>
        <v>46057</v>
      </c>
      <c r="F507" s="133">
        <f t="shared" si="25"/>
        <v>2</v>
      </c>
      <c r="G507" s="133">
        <f t="shared" si="26"/>
        <v>2026</v>
      </c>
      <c r="H507" s="59" t="str">
        <f t="shared" si="27"/>
        <v>28H00603</v>
      </c>
      <c r="I507" s="59">
        <f>IF(OR($A507="",$C507="",$D507="",$E507="",$H507=""),"",SUMIFS(DATA_GOC!$H:$H,DATA_GOC!$A:$A,"BOM",DATA_GOC!$D:$D,$H507,DATA_GOC!$E:$E,$C507,DATA_GOC!$F:$F,"Xuất nội bộ từ téc",DATA_GOC!$B:$B,"&gt;="&amp;$D507,DATA_GOC!$B:$B,"&lt;="&amp;$E507))</f>
        <v>405</v>
      </c>
      <c r="J507" s="59">
        <f t="shared" si="28"/>
        <v>6.387</v>
      </c>
      <c r="K507" s="59">
        <f t="shared" si="29"/>
        <v>0</v>
      </c>
      <c r="L507" s="59">
        <f t="shared" si="30"/>
        <v>411.387</v>
      </c>
      <c r="M507" s="59">
        <f t="shared" si="31"/>
        <v>0.01794099406</v>
      </c>
    </row>
    <row r="508" ht="15.0" hidden="1" customHeight="1">
      <c r="A508" s="59">
        <f t="shared" si="20"/>
        <v>5</v>
      </c>
      <c r="B508" s="59" t="str">
        <f t="shared" si="21"/>
        <v>Đã chốt</v>
      </c>
      <c r="C508" s="59" t="str">
        <f t="shared" si="22"/>
        <v>Téc 2</v>
      </c>
      <c r="D508" s="45">
        <f t="shared" si="23"/>
        <v>46046</v>
      </c>
      <c r="E508" s="45">
        <f t="shared" si="24"/>
        <v>46057</v>
      </c>
      <c r="F508" s="133">
        <f t="shared" si="25"/>
        <v>2</v>
      </c>
      <c r="G508" s="133">
        <f t="shared" si="26"/>
        <v>2026</v>
      </c>
      <c r="H508" s="59" t="str">
        <f t="shared" si="27"/>
        <v>28H00609</v>
      </c>
      <c r="I508" s="59">
        <f>IF(OR($A508="",$C508="",$D508="",$E508="",$H508=""),"",SUMIFS(DATA_GOC!$H:$H,DATA_GOC!$A:$A,"BOM",DATA_GOC!$D:$D,$H508,DATA_GOC!$E:$E,$C508,DATA_GOC!$F:$F,"Xuất nội bộ từ téc",DATA_GOC!$B:$B,"&gt;="&amp;$D508,DATA_GOC!$B:$B,"&lt;="&amp;$E508))</f>
        <v>478</v>
      </c>
      <c r="J508" s="59">
        <f t="shared" si="28"/>
        <v>7.538</v>
      </c>
      <c r="K508" s="59">
        <f t="shared" si="29"/>
        <v>0</v>
      </c>
      <c r="L508" s="59">
        <f t="shared" si="30"/>
        <v>485.538</v>
      </c>
      <c r="M508" s="59">
        <f t="shared" si="31"/>
        <v>0.02117480287</v>
      </c>
    </row>
    <row r="509" ht="15.0" hidden="1" customHeight="1">
      <c r="A509" s="59">
        <f t="shared" si="20"/>
        <v>5</v>
      </c>
      <c r="B509" s="59" t="str">
        <f t="shared" si="21"/>
        <v>Đã chốt</v>
      </c>
      <c r="C509" s="59" t="str">
        <f t="shared" si="22"/>
        <v>Téc 2</v>
      </c>
      <c r="D509" s="45">
        <f t="shared" si="23"/>
        <v>46046</v>
      </c>
      <c r="E509" s="45">
        <f t="shared" si="24"/>
        <v>46057</v>
      </c>
      <c r="F509" s="133">
        <f t="shared" si="25"/>
        <v>2</v>
      </c>
      <c r="G509" s="133">
        <f t="shared" si="26"/>
        <v>2026</v>
      </c>
      <c r="H509" s="59" t="str">
        <f t="shared" si="27"/>
        <v>28H00669</v>
      </c>
      <c r="I509" s="59">
        <f>IF(OR($A509="",$C509="",$D509="",$E509="",$H509=""),"",SUMIFS(DATA_GOC!$H:$H,DATA_GOC!$A:$A,"BOM",DATA_GOC!$D:$D,$H509,DATA_GOC!$E:$E,$C509,DATA_GOC!$F:$F,"Xuất nội bộ từ téc",DATA_GOC!$B:$B,"&gt;="&amp;$D509,DATA_GOC!$B:$B,"&lt;="&amp;$E509))</f>
        <v>850</v>
      </c>
      <c r="J509" s="59">
        <f t="shared" si="28"/>
        <v>13.405</v>
      </c>
      <c r="K509" s="59">
        <f t="shared" si="29"/>
        <v>0</v>
      </c>
      <c r="L509" s="59">
        <f t="shared" si="30"/>
        <v>863.405</v>
      </c>
      <c r="M509" s="59">
        <f t="shared" si="31"/>
        <v>0.03765393816</v>
      </c>
    </row>
    <row r="510" ht="15.0" hidden="1" customHeight="1">
      <c r="A510" s="59">
        <f t="shared" si="20"/>
        <v>5</v>
      </c>
      <c r="B510" s="59" t="str">
        <f t="shared" si="21"/>
        <v>Đã chốt</v>
      </c>
      <c r="C510" s="59" t="str">
        <f t="shared" si="22"/>
        <v>Téc 2</v>
      </c>
      <c r="D510" s="45">
        <f t="shared" si="23"/>
        <v>46046</v>
      </c>
      <c r="E510" s="45">
        <f t="shared" si="24"/>
        <v>46057</v>
      </c>
      <c r="F510" s="133">
        <f t="shared" si="25"/>
        <v>2</v>
      </c>
      <c r="G510" s="133">
        <f t="shared" si="26"/>
        <v>2026</v>
      </c>
      <c r="H510" s="59" t="str">
        <f t="shared" si="27"/>
        <v>28H00680</v>
      </c>
      <c r="I510" s="59">
        <f>IF(OR($A510="",$C510="",$D510="",$E510="",$H510=""),"",SUMIFS(DATA_GOC!$H:$H,DATA_GOC!$A:$A,"BOM",DATA_GOC!$D:$D,$H510,DATA_GOC!$E:$E,$C510,DATA_GOC!$F:$F,"Xuất nội bộ từ téc",DATA_GOC!$B:$B,"&gt;="&amp;$D510,DATA_GOC!$B:$B,"&lt;="&amp;$E510))</f>
        <v>855</v>
      </c>
      <c r="J510" s="59">
        <f t="shared" si="28"/>
        <v>13.484</v>
      </c>
      <c r="K510" s="59">
        <f t="shared" si="29"/>
        <v>0</v>
      </c>
      <c r="L510" s="59">
        <f t="shared" si="30"/>
        <v>868.484</v>
      </c>
      <c r="M510" s="59">
        <f t="shared" si="31"/>
        <v>0.03787543191</v>
      </c>
    </row>
    <row r="511" ht="15.0" hidden="1" customHeight="1">
      <c r="A511" s="59">
        <f t="shared" si="20"/>
        <v>5</v>
      </c>
      <c r="B511" s="59" t="str">
        <f t="shared" si="21"/>
        <v>Đã chốt</v>
      </c>
      <c r="C511" s="59" t="str">
        <f t="shared" si="22"/>
        <v>Téc 2</v>
      </c>
      <c r="D511" s="45">
        <f t="shared" si="23"/>
        <v>46046</v>
      </c>
      <c r="E511" s="45">
        <f t="shared" si="24"/>
        <v>46057</v>
      </c>
      <c r="F511" s="133">
        <f t="shared" si="25"/>
        <v>2</v>
      </c>
      <c r="G511" s="133">
        <f t="shared" si="26"/>
        <v>2026</v>
      </c>
      <c r="H511" s="59" t="str">
        <f t="shared" si="27"/>
        <v>28H01070</v>
      </c>
      <c r="I511" s="59">
        <f>IF(OR($A511="",$C511="",$D511="",$E511="",$H511=""),"",SUMIFS(DATA_GOC!$H:$H,DATA_GOC!$A:$A,"BOM",DATA_GOC!$D:$D,$H511,DATA_GOC!$E:$E,$C511,DATA_GOC!$F:$F,"Xuất nội bộ từ téc",DATA_GOC!$B:$B,"&gt;="&amp;$D511,DATA_GOC!$B:$B,"&lt;="&amp;$E511))</f>
        <v>0</v>
      </c>
      <c r="J511" s="59">
        <f t="shared" si="28"/>
        <v>0</v>
      </c>
      <c r="K511" s="59">
        <f t="shared" si="29"/>
        <v>0</v>
      </c>
      <c r="L511" s="59">
        <f t="shared" si="30"/>
        <v>0</v>
      </c>
      <c r="M511" s="59">
        <f t="shared" si="31"/>
        <v>0</v>
      </c>
    </row>
    <row r="512" ht="15.0" hidden="1" customHeight="1">
      <c r="A512" s="59">
        <f t="shared" si="20"/>
        <v>5</v>
      </c>
      <c r="B512" s="59" t="str">
        <f t="shared" si="21"/>
        <v>Đã chốt</v>
      </c>
      <c r="C512" s="59" t="str">
        <f t="shared" si="22"/>
        <v>Téc 2</v>
      </c>
      <c r="D512" s="45">
        <f t="shared" si="23"/>
        <v>46046</v>
      </c>
      <c r="E512" s="45">
        <f t="shared" si="24"/>
        <v>46057</v>
      </c>
      <c r="F512" s="133">
        <f t="shared" si="25"/>
        <v>2</v>
      </c>
      <c r="G512" s="133">
        <f t="shared" si="26"/>
        <v>2026</v>
      </c>
      <c r="H512" s="59" t="str">
        <f t="shared" si="27"/>
        <v>28H01364</v>
      </c>
      <c r="I512" s="59">
        <f>IF(OR($A512="",$C512="",$D512="",$E512="",$H512=""),"",SUMIFS(DATA_GOC!$H:$H,DATA_GOC!$A:$A,"BOM",DATA_GOC!$D:$D,$H512,DATA_GOC!$E:$E,$C512,DATA_GOC!$F:$F,"Xuất nội bộ từ téc",DATA_GOC!$B:$B,"&gt;="&amp;$D512,DATA_GOC!$B:$B,"&lt;="&amp;$E512))</f>
        <v>874</v>
      </c>
      <c r="J512" s="59">
        <f t="shared" si="28"/>
        <v>13.783</v>
      </c>
      <c r="K512" s="59">
        <f t="shared" si="29"/>
        <v>0</v>
      </c>
      <c r="L512" s="59">
        <f t="shared" si="30"/>
        <v>887.783</v>
      </c>
      <c r="M512" s="59">
        <f t="shared" si="31"/>
        <v>0.03871710818</v>
      </c>
    </row>
    <row r="513" ht="15.0" hidden="1" customHeight="1">
      <c r="A513" s="59">
        <f t="shared" si="20"/>
        <v>5</v>
      </c>
      <c r="B513" s="59" t="str">
        <f t="shared" si="21"/>
        <v>Đã chốt</v>
      </c>
      <c r="C513" s="59" t="str">
        <f t="shared" si="22"/>
        <v>Téc 2</v>
      </c>
      <c r="D513" s="45">
        <f t="shared" si="23"/>
        <v>46046</v>
      </c>
      <c r="E513" s="45">
        <f t="shared" si="24"/>
        <v>46057</v>
      </c>
      <c r="F513" s="133">
        <f t="shared" si="25"/>
        <v>2</v>
      </c>
      <c r="G513" s="133">
        <f t="shared" si="26"/>
        <v>2026</v>
      </c>
      <c r="H513" s="59" t="str">
        <f t="shared" si="27"/>
        <v>29E17269</v>
      </c>
      <c r="I513" s="59">
        <f>IF(OR($A513="",$C513="",$D513="",$E513="",$H513=""),"",SUMIFS(DATA_GOC!$H:$H,DATA_GOC!$A:$A,"BOM",DATA_GOC!$D:$D,$H513,DATA_GOC!$E:$E,$C513,DATA_GOC!$F:$F,"Xuất nội bộ từ téc",DATA_GOC!$B:$B,"&gt;="&amp;$D513,DATA_GOC!$B:$B,"&lt;="&amp;$E513))</f>
        <v>0</v>
      </c>
      <c r="J513" s="59">
        <f t="shared" si="28"/>
        <v>0</v>
      </c>
      <c r="K513" s="59">
        <f t="shared" si="29"/>
        <v>0</v>
      </c>
      <c r="L513" s="59">
        <f t="shared" si="30"/>
        <v>0</v>
      </c>
      <c r="M513" s="59">
        <f t="shared" si="31"/>
        <v>0</v>
      </c>
    </row>
    <row r="514" ht="15.0" hidden="1" customHeight="1">
      <c r="A514" s="59">
        <f t="shared" si="20"/>
        <v>5</v>
      </c>
      <c r="B514" s="59" t="str">
        <f t="shared" si="21"/>
        <v>Đã chốt</v>
      </c>
      <c r="C514" s="59" t="str">
        <f t="shared" si="22"/>
        <v>Téc 2</v>
      </c>
      <c r="D514" s="45">
        <f t="shared" si="23"/>
        <v>46046</v>
      </c>
      <c r="E514" s="45">
        <f t="shared" si="24"/>
        <v>46057</v>
      </c>
      <c r="F514" s="133">
        <f t="shared" si="25"/>
        <v>2</v>
      </c>
      <c r="G514" s="133">
        <f t="shared" si="26"/>
        <v>2026</v>
      </c>
      <c r="H514" s="59" t="str">
        <f t="shared" si="27"/>
        <v>29E17273</v>
      </c>
      <c r="I514" s="59">
        <f>IF(OR($A514="",$C514="",$D514="",$E514="",$H514=""),"",SUMIFS(DATA_GOC!$H:$H,DATA_GOC!$A:$A,"BOM",DATA_GOC!$D:$D,$H514,DATA_GOC!$E:$E,$C514,DATA_GOC!$F:$F,"Xuất nội bộ từ téc",DATA_GOC!$B:$B,"&gt;="&amp;$D514,DATA_GOC!$B:$B,"&lt;="&amp;$E514))</f>
        <v>0</v>
      </c>
      <c r="J514" s="59">
        <f t="shared" si="28"/>
        <v>0</v>
      </c>
      <c r="K514" s="59">
        <f t="shared" si="29"/>
        <v>0</v>
      </c>
      <c r="L514" s="59">
        <f t="shared" si="30"/>
        <v>0</v>
      </c>
      <c r="M514" s="59">
        <f t="shared" si="31"/>
        <v>0</v>
      </c>
    </row>
    <row r="515" ht="15.0" hidden="1" customHeight="1">
      <c r="A515" s="59">
        <f t="shared" si="20"/>
        <v>5</v>
      </c>
      <c r="B515" s="59" t="str">
        <f t="shared" si="21"/>
        <v>Đã chốt</v>
      </c>
      <c r="C515" s="59" t="str">
        <f t="shared" si="22"/>
        <v>Téc 2</v>
      </c>
      <c r="D515" s="45">
        <f t="shared" si="23"/>
        <v>46046</v>
      </c>
      <c r="E515" s="45">
        <f t="shared" si="24"/>
        <v>46057</v>
      </c>
      <c r="F515" s="133">
        <f t="shared" si="25"/>
        <v>2</v>
      </c>
      <c r="G515" s="133">
        <f t="shared" si="26"/>
        <v>2026</v>
      </c>
      <c r="H515" s="59" t="str">
        <f t="shared" si="27"/>
        <v>29E17410</v>
      </c>
      <c r="I515" s="59">
        <f>IF(OR($A515="",$C515="",$D515="",$E515="",$H515=""),"",SUMIFS(DATA_GOC!$H:$H,DATA_GOC!$A:$A,"BOM",DATA_GOC!$D:$D,$H515,DATA_GOC!$E:$E,$C515,DATA_GOC!$F:$F,"Xuất nội bộ từ téc",DATA_GOC!$B:$B,"&gt;="&amp;$D515,DATA_GOC!$B:$B,"&lt;="&amp;$E515))</f>
        <v>0</v>
      </c>
      <c r="J515" s="59">
        <f t="shared" si="28"/>
        <v>0</v>
      </c>
      <c r="K515" s="59">
        <f t="shared" si="29"/>
        <v>0</v>
      </c>
      <c r="L515" s="59">
        <f t="shared" si="30"/>
        <v>0</v>
      </c>
      <c r="M515" s="59">
        <f t="shared" si="31"/>
        <v>0</v>
      </c>
    </row>
    <row r="516" ht="15.0" hidden="1" customHeight="1">
      <c r="A516" s="59">
        <f t="shared" si="20"/>
        <v>5</v>
      </c>
      <c r="B516" s="59" t="str">
        <f t="shared" si="21"/>
        <v>Đã chốt</v>
      </c>
      <c r="C516" s="59" t="str">
        <f t="shared" si="22"/>
        <v>Téc 2</v>
      </c>
      <c r="D516" s="45">
        <f t="shared" si="23"/>
        <v>46046</v>
      </c>
      <c r="E516" s="45">
        <f t="shared" si="24"/>
        <v>46057</v>
      </c>
      <c r="F516" s="133">
        <f t="shared" si="25"/>
        <v>2</v>
      </c>
      <c r="G516" s="133">
        <f t="shared" si="26"/>
        <v>2026</v>
      </c>
      <c r="H516" s="59" t="str">
        <f t="shared" si="27"/>
        <v>29E17417</v>
      </c>
      <c r="I516" s="59">
        <f>IF(OR($A516="",$C516="",$D516="",$E516="",$H516=""),"",SUMIFS(DATA_GOC!$H:$H,DATA_GOC!$A:$A,"BOM",DATA_GOC!$D:$D,$H516,DATA_GOC!$E:$E,$C516,DATA_GOC!$F:$F,"Xuất nội bộ từ téc",DATA_GOC!$B:$B,"&gt;="&amp;$D516,DATA_GOC!$B:$B,"&lt;="&amp;$E516))</f>
        <v>0</v>
      </c>
      <c r="J516" s="59">
        <f t="shared" si="28"/>
        <v>0</v>
      </c>
      <c r="K516" s="59">
        <f t="shared" si="29"/>
        <v>0</v>
      </c>
      <c r="L516" s="59">
        <f t="shared" si="30"/>
        <v>0</v>
      </c>
      <c r="M516" s="59">
        <f t="shared" si="31"/>
        <v>0</v>
      </c>
    </row>
    <row r="517" ht="15.0" hidden="1" customHeight="1">
      <c r="A517" s="59">
        <f t="shared" si="20"/>
        <v>5</v>
      </c>
      <c r="B517" s="59" t="str">
        <f t="shared" si="21"/>
        <v>Đã chốt</v>
      </c>
      <c r="C517" s="59" t="str">
        <f t="shared" si="22"/>
        <v>Téc 2</v>
      </c>
      <c r="D517" s="45">
        <f t="shared" si="23"/>
        <v>46046</v>
      </c>
      <c r="E517" s="45">
        <f t="shared" si="24"/>
        <v>46057</v>
      </c>
      <c r="F517" s="133">
        <f t="shared" si="25"/>
        <v>2</v>
      </c>
      <c r="G517" s="133">
        <f t="shared" si="26"/>
        <v>2026</v>
      </c>
      <c r="H517" s="59" t="str">
        <f t="shared" si="27"/>
        <v>29E17539</v>
      </c>
      <c r="I517" s="59">
        <f>IF(OR($A517="",$C517="",$D517="",$E517="",$H517=""),"",SUMIFS(DATA_GOC!$H:$H,DATA_GOC!$A:$A,"BOM",DATA_GOC!$D:$D,$H517,DATA_GOC!$E:$E,$C517,DATA_GOC!$F:$F,"Xuất nội bộ từ téc",DATA_GOC!$B:$B,"&gt;="&amp;$D517,DATA_GOC!$B:$B,"&lt;="&amp;$E517))</f>
        <v>0</v>
      </c>
      <c r="J517" s="59">
        <f t="shared" si="28"/>
        <v>0</v>
      </c>
      <c r="K517" s="59">
        <f t="shared" si="29"/>
        <v>0</v>
      </c>
      <c r="L517" s="59">
        <f t="shared" si="30"/>
        <v>0</v>
      </c>
      <c r="M517" s="59">
        <f t="shared" si="31"/>
        <v>0</v>
      </c>
    </row>
    <row r="518" ht="15.0" hidden="1" customHeight="1">
      <c r="A518" s="59">
        <f t="shared" si="20"/>
        <v>5</v>
      </c>
      <c r="B518" s="59" t="str">
        <f t="shared" si="21"/>
        <v>Đã chốt</v>
      </c>
      <c r="C518" s="59" t="str">
        <f t="shared" si="22"/>
        <v>Téc 2</v>
      </c>
      <c r="D518" s="45">
        <f t="shared" si="23"/>
        <v>46046</v>
      </c>
      <c r="E518" s="45">
        <f t="shared" si="24"/>
        <v>46057</v>
      </c>
      <c r="F518" s="133">
        <f t="shared" si="25"/>
        <v>2</v>
      </c>
      <c r="G518" s="133">
        <f t="shared" si="26"/>
        <v>2026</v>
      </c>
      <c r="H518" s="59" t="str">
        <f t="shared" si="27"/>
        <v>29E18160</v>
      </c>
      <c r="I518" s="59">
        <f>IF(OR($A518="",$C518="",$D518="",$E518="",$H518=""),"",SUMIFS(DATA_GOC!$H:$H,DATA_GOC!$A:$A,"BOM",DATA_GOC!$D:$D,$H518,DATA_GOC!$E:$E,$C518,DATA_GOC!$F:$F,"Xuất nội bộ từ téc",DATA_GOC!$B:$B,"&gt;="&amp;$D518,DATA_GOC!$B:$B,"&lt;="&amp;$E518))</f>
        <v>0</v>
      </c>
      <c r="J518" s="59">
        <f t="shared" si="28"/>
        <v>0</v>
      </c>
      <c r="K518" s="59">
        <f t="shared" si="29"/>
        <v>0</v>
      </c>
      <c r="L518" s="59">
        <f t="shared" si="30"/>
        <v>0</v>
      </c>
      <c r="M518" s="59">
        <f t="shared" si="31"/>
        <v>0</v>
      </c>
    </row>
    <row r="519" ht="15.0" hidden="1" customHeight="1">
      <c r="A519" s="59">
        <f t="shared" si="20"/>
        <v>5</v>
      </c>
      <c r="B519" s="59" t="str">
        <f t="shared" si="21"/>
        <v>Đã chốt</v>
      </c>
      <c r="C519" s="59" t="str">
        <f t="shared" si="22"/>
        <v>Téc 2</v>
      </c>
      <c r="D519" s="45">
        <f t="shared" si="23"/>
        <v>46046</v>
      </c>
      <c r="E519" s="45">
        <f t="shared" si="24"/>
        <v>46057</v>
      </c>
      <c r="F519" s="133">
        <f t="shared" si="25"/>
        <v>2</v>
      </c>
      <c r="G519" s="133">
        <f t="shared" si="26"/>
        <v>2026</v>
      </c>
      <c r="H519" s="59" t="str">
        <f t="shared" si="27"/>
        <v>Công trình Asphalt</v>
      </c>
      <c r="I519" s="59">
        <f>IF(OR($A519="",$C519="",$D519="",$E519="",$H519=""),"",SUMIFS(DATA_GOC!$H:$H,DATA_GOC!$A:$A,"BOM",DATA_GOC!$D:$D,$H519,DATA_GOC!$E:$E,$C519,DATA_GOC!$F:$F,"Xuất nội bộ từ téc",DATA_GOC!$B:$B,"&gt;="&amp;$D519,DATA_GOC!$B:$B,"&lt;="&amp;$E519))</f>
        <v>768</v>
      </c>
      <c r="J519" s="59">
        <f t="shared" si="28"/>
        <v>12.112</v>
      </c>
      <c r="K519" s="59">
        <f t="shared" si="29"/>
        <v>0</v>
      </c>
      <c r="L519" s="59">
        <f t="shared" si="30"/>
        <v>780.112</v>
      </c>
      <c r="M519" s="59">
        <f t="shared" si="31"/>
        <v>0.0340214406</v>
      </c>
    </row>
    <row r="520" ht="15.0" hidden="1" customHeight="1">
      <c r="A520" s="59">
        <f t="shared" si="20"/>
        <v>5</v>
      </c>
      <c r="B520" s="59" t="str">
        <f t="shared" si="21"/>
        <v>Đã chốt</v>
      </c>
      <c r="C520" s="59" t="str">
        <f t="shared" si="22"/>
        <v>Téc 2</v>
      </c>
      <c r="D520" s="45">
        <f t="shared" si="23"/>
        <v>46046</v>
      </c>
      <c r="E520" s="45">
        <f t="shared" si="24"/>
        <v>46057</v>
      </c>
      <c r="F520" s="133">
        <f t="shared" si="25"/>
        <v>2</v>
      </c>
      <c r="G520" s="133">
        <f t="shared" si="26"/>
        <v>2026</v>
      </c>
      <c r="H520" s="59" t="str">
        <f t="shared" si="27"/>
        <v>LG53F</v>
      </c>
      <c r="I520" s="59">
        <f>IF(OR($A520="",$C520="",$D520="",$E520="",$H520=""),"",SUMIFS(DATA_GOC!$H:$H,DATA_GOC!$A:$A,"BOM",DATA_GOC!$D:$D,$H520,DATA_GOC!$E:$E,$C520,DATA_GOC!$F:$F,"Xuất nội bộ từ téc",DATA_GOC!$B:$B,"&gt;="&amp;$D520,DATA_GOC!$B:$B,"&lt;="&amp;$E520))</f>
        <v>0</v>
      </c>
      <c r="J520" s="59">
        <f t="shared" si="28"/>
        <v>0</v>
      </c>
      <c r="K520" s="59">
        <f t="shared" si="29"/>
        <v>0</v>
      </c>
      <c r="L520" s="59">
        <f t="shared" si="30"/>
        <v>0</v>
      </c>
      <c r="M520" s="59">
        <f t="shared" si="31"/>
        <v>0</v>
      </c>
    </row>
    <row r="521" ht="15.0" hidden="1" customHeight="1">
      <c r="A521" s="59">
        <f t="shared" si="20"/>
        <v>5</v>
      </c>
      <c r="B521" s="59" t="str">
        <f t="shared" si="21"/>
        <v>Đã chốt</v>
      </c>
      <c r="C521" s="59" t="str">
        <f t="shared" si="22"/>
        <v>Téc 2</v>
      </c>
      <c r="D521" s="45">
        <f t="shared" si="23"/>
        <v>46046</v>
      </c>
      <c r="E521" s="45">
        <f t="shared" si="24"/>
        <v>46057</v>
      </c>
      <c r="F521" s="133">
        <f t="shared" si="25"/>
        <v>2</v>
      </c>
      <c r="G521" s="133">
        <f t="shared" si="26"/>
        <v>2026</v>
      </c>
      <c r="H521" s="59" t="str">
        <f t="shared" si="27"/>
        <v>Máy phát điện</v>
      </c>
      <c r="I521" s="59">
        <f>IF(OR($A521="",$C521="",$D521="",$E521="",$H521=""),"",SUMIFS(DATA_GOC!$H:$H,DATA_GOC!$A:$A,"BOM",DATA_GOC!$D:$D,$H521,DATA_GOC!$E:$E,$C521,DATA_GOC!$F:$F,"Xuất nội bộ từ téc",DATA_GOC!$B:$B,"&gt;="&amp;$D521,DATA_GOC!$B:$B,"&lt;="&amp;$E521))</f>
        <v>0</v>
      </c>
      <c r="J521" s="59">
        <f t="shared" si="28"/>
        <v>0</v>
      </c>
      <c r="K521" s="59">
        <f t="shared" si="29"/>
        <v>0</v>
      </c>
      <c r="L521" s="59">
        <f t="shared" si="30"/>
        <v>0</v>
      </c>
      <c r="M521" s="59">
        <f t="shared" si="31"/>
        <v>0</v>
      </c>
    </row>
    <row r="522" ht="15.0" hidden="1" customHeight="1">
      <c r="A522" s="59">
        <f t="shared" si="20"/>
        <v>5</v>
      </c>
      <c r="B522" s="59" t="str">
        <f t="shared" si="21"/>
        <v>Đã chốt</v>
      </c>
      <c r="C522" s="59" t="str">
        <f t="shared" si="22"/>
        <v>Téc 2</v>
      </c>
      <c r="D522" s="45">
        <f t="shared" si="23"/>
        <v>46046</v>
      </c>
      <c r="E522" s="45">
        <f t="shared" si="24"/>
        <v>46057</v>
      </c>
      <c r="F522" s="133">
        <f t="shared" si="25"/>
        <v>2</v>
      </c>
      <c r="G522" s="133">
        <f t="shared" si="26"/>
        <v>2026</v>
      </c>
      <c r="H522" s="59" t="str">
        <f t="shared" si="27"/>
        <v>Máy rải thảm</v>
      </c>
      <c r="I522" s="59">
        <f>IF(OR($A522="",$C522="",$D522="",$E522="",$H522=""),"",SUMIFS(DATA_GOC!$H:$H,DATA_GOC!$A:$A,"BOM",DATA_GOC!$D:$D,$H522,DATA_GOC!$E:$E,$C522,DATA_GOC!$F:$F,"Xuất nội bộ từ téc",DATA_GOC!$B:$B,"&gt;="&amp;$D522,DATA_GOC!$B:$B,"&lt;="&amp;$E522))</f>
        <v>0</v>
      </c>
      <c r="J522" s="59">
        <f t="shared" si="28"/>
        <v>0</v>
      </c>
      <c r="K522" s="59">
        <f t="shared" si="29"/>
        <v>0</v>
      </c>
      <c r="L522" s="59">
        <f t="shared" si="30"/>
        <v>0</v>
      </c>
      <c r="M522" s="59">
        <f t="shared" si="31"/>
        <v>0</v>
      </c>
    </row>
    <row r="523" ht="15.0" hidden="1" customHeight="1">
      <c r="A523" s="59">
        <f t="shared" si="20"/>
        <v>5</v>
      </c>
      <c r="B523" s="59" t="str">
        <f t="shared" si="21"/>
        <v>Đã chốt</v>
      </c>
      <c r="C523" s="59" t="str">
        <f t="shared" si="22"/>
        <v>Téc 2</v>
      </c>
      <c r="D523" s="45">
        <f t="shared" si="23"/>
        <v>46046</v>
      </c>
      <c r="E523" s="45">
        <f t="shared" si="24"/>
        <v>46057</v>
      </c>
      <c r="F523" s="133">
        <f t="shared" si="25"/>
        <v>2</v>
      </c>
      <c r="G523" s="133">
        <f t="shared" si="26"/>
        <v>2026</v>
      </c>
      <c r="H523" s="59" t="str">
        <f t="shared" si="27"/>
        <v>Xúc Đào</v>
      </c>
      <c r="I523" s="59">
        <f>IF(OR($A523="",$C523="",$D523="",$E523="",$H523=""),"",SUMIFS(DATA_GOC!$H:$H,DATA_GOC!$A:$A,"BOM",DATA_GOC!$D:$D,$H523,DATA_GOC!$E:$E,$C523,DATA_GOC!$F:$F,"Xuất nội bộ từ téc",DATA_GOC!$B:$B,"&gt;="&amp;$D523,DATA_GOC!$B:$B,"&lt;="&amp;$E523))</f>
        <v>191</v>
      </c>
      <c r="J523" s="59">
        <f t="shared" si="28"/>
        <v>3.012</v>
      </c>
      <c r="K523" s="59">
        <f t="shared" si="29"/>
        <v>0</v>
      </c>
      <c r="L523" s="59">
        <f t="shared" si="30"/>
        <v>194.012</v>
      </c>
      <c r="M523" s="59">
        <f t="shared" si="31"/>
        <v>0.008461061398</v>
      </c>
    </row>
    <row r="524" ht="15.0" hidden="1" customHeight="1">
      <c r="A524" s="59">
        <f t="shared" si="20"/>
        <v>5</v>
      </c>
      <c r="B524" s="59" t="str">
        <f t="shared" si="21"/>
        <v>Đã chốt</v>
      </c>
      <c r="C524" s="59" t="str">
        <f t="shared" si="22"/>
        <v>Téc 2</v>
      </c>
      <c r="D524" s="45">
        <f t="shared" si="23"/>
        <v>46046</v>
      </c>
      <c r="E524" s="45">
        <f t="shared" si="24"/>
        <v>46057</v>
      </c>
      <c r="F524" s="133">
        <f t="shared" si="25"/>
        <v>2</v>
      </c>
      <c r="G524" s="133">
        <f t="shared" si="26"/>
        <v>2026</v>
      </c>
      <c r="H524" s="59" t="str">
        <f t="shared" si="27"/>
        <v>Xúclật asphalt</v>
      </c>
      <c r="I524" s="59">
        <f>IF(OR($A524="",$C524="",$D524="",$E524="",$H524=""),"",SUMIFS(DATA_GOC!$H:$H,DATA_GOC!$A:$A,"BOM",DATA_GOC!$D:$D,$H524,DATA_GOC!$E:$E,$C524,DATA_GOC!$F:$F,"Xuất nội bộ từ téc",DATA_GOC!$B:$B,"&gt;="&amp;$D524,DATA_GOC!$B:$B,"&lt;="&amp;$E524))</f>
        <v>358</v>
      </c>
      <c r="J524" s="59">
        <f t="shared" si="28"/>
        <v>5.646</v>
      </c>
      <c r="K524" s="59">
        <f t="shared" si="29"/>
        <v>0</v>
      </c>
      <c r="L524" s="59">
        <f t="shared" si="30"/>
        <v>363.646</v>
      </c>
      <c r="M524" s="59">
        <f t="shared" si="31"/>
        <v>0.01585895278</v>
      </c>
    </row>
    <row r="525" ht="15.0" hidden="1" customHeight="1">
      <c r="A525" s="59">
        <f t="shared" si="20"/>
        <v>5</v>
      </c>
      <c r="B525" s="59" t="str">
        <f t="shared" si="21"/>
        <v>Đã chốt</v>
      </c>
      <c r="C525" s="59" t="str">
        <f t="shared" si="22"/>
        <v>Téc 2</v>
      </c>
      <c r="D525" s="45">
        <f t="shared" si="23"/>
        <v>46046</v>
      </c>
      <c r="E525" s="45">
        <f t="shared" si="24"/>
        <v>46057</v>
      </c>
      <c r="F525" s="133">
        <f t="shared" si="25"/>
        <v>2</v>
      </c>
      <c r="G525" s="133">
        <f t="shared" si="26"/>
        <v>2026</v>
      </c>
      <c r="H525" s="59" t="str">
        <f t="shared" si="27"/>
        <v>Xúclật855H</v>
      </c>
      <c r="I525" s="59">
        <f>IF(OR($A525="",$C525="",$D525="",$E525="",$H525=""),"",SUMIFS(DATA_GOC!$H:$H,DATA_GOC!$A:$A,"BOM",DATA_GOC!$D:$D,$H525,DATA_GOC!$E:$E,$C525,DATA_GOC!$F:$F,"Xuất nội bộ từ téc",DATA_GOC!$B:$B,"&gt;="&amp;$D525,DATA_GOC!$B:$B,"&lt;="&amp;$E525))</f>
        <v>551</v>
      </c>
      <c r="J525" s="59">
        <f t="shared" si="28"/>
        <v>8.689</v>
      </c>
      <c r="K525" s="59">
        <f t="shared" si="29"/>
        <v>0</v>
      </c>
      <c r="L525" s="59">
        <f t="shared" si="30"/>
        <v>559.689</v>
      </c>
      <c r="M525" s="59">
        <f t="shared" si="31"/>
        <v>0.02440861168</v>
      </c>
    </row>
    <row r="526" ht="15.0" hidden="1" customHeight="1">
      <c r="A526" s="59">
        <f t="shared" si="20"/>
        <v>5</v>
      </c>
      <c r="B526" s="59" t="str">
        <f t="shared" si="21"/>
        <v>Đã chốt</v>
      </c>
      <c r="C526" s="59" t="str">
        <f t="shared" si="22"/>
        <v>Téc 2</v>
      </c>
      <c r="D526" s="45">
        <f t="shared" si="23"/>
        <v>46046</v>
      </c>
      <c r="E526" s="45">
        <f t="shared" si="24"/>
        <v>46057</v>
      </c>
      <c r="F526" s="133">
        <f t="shared" si="25"/>
        <v>2</v>
      </c>
      <c r="G526" s="133">
        <f t="shared" si="26"/>
        <v>2026</v>
      </c>
      <c r="H526" s="59" t="str">
        <f t="shared" si="27"/>
        <v>Xúclật855N</v>
      </c>
      <c r="I526" s="59">
        <f>IF(OR($A526="",$C526="",$D526="",$E526="",$H526=""),"",SUMIFS(DATA_GOC!$H:$H,DATA_GOC!$A:$A,"BOM",DATA_GOC!$D:$D,$H526,DATA_GOC!$E:$E,$C526,DATA_GOC!$F:$F,"Xuất nội bộ từ téc",DATA_GOC!$B:$B,"&gt;="&amp;$D526,DATA_GOC!$B:$B,"&lt;="&amp;$E526))</f>
        <v>565</v>
      </c>
      <c r="J526" s="59">
        <f t="shared" si="28"/>
        <v>8.91</v>
      </c>
      <c r="K526" s="59">
        <f t="shared" si="29"/>
        <v>0</v>
      </c>
      <c r="L526" s="59">
        <f t="shared" si="30"/>
        <v>573.91</v>
      </c>
      <c r="M526" s="59">
        <f t="shared" si="31"/>
        <v>0.02502879419</v>
      </c>
    </row>
    <row r="527" ht="15.0" hidden="1" customHeight="1">
      <c r="A527" s="59">
        <f t="shared" si="20"/>
        <v>5</v>
      </c>
      <c r="B527" s="59" t="str">
        <f t="shared" si="21"/>
        <v>Đã chốt</v>
      </c>
      <c r="C527" s="59" t="str">
        <f t="shared" si="22"/>
        <v>Téc 2</v>
      </c>
      <c r="D527" s="45">
        <f t="shared" si="23"/>
        <v>46046</v>
      </c>
      <c r="E527" s="45">
        <f t="shared" si="24"/>
        <v>46057</v>
      </c>
      <c r="F527" s="133">
        <f t="shared" si="25"/>
        <v>2</v>
      </c>
      <c r="G527" s="133">
        <f t="shared" si="26"/>
        <v>2026</v>
      </c>
      <c r="H527" s="59" t="str">
        <f t="shared" si="27"/>
        <v>Cát nghiền</v>
      </c>
      <c r="I527" s="59">
        <f>IF(OR($A527="",$C527="",$D527="",$E527="",$H527=""),"",SUMIFS(DATA_GOC!$H:$H,DATA_GOC!$A:$A,"BOM",DATA_GOC!$D:$D,$H527,DATA_GOC!$E:$E,$C527,DATA_GOC!$F:$F,"Xuất nội bộ từ téc",DATA_GOC!$B:$B,"&gt;="&amp;$D527,DATA_GOC!$B:$B,"&lt;="&amp;$E527))</f>
        <v>0</v>
      </c>
      <c r="J527" s="59">
        <f t="shared" si="28"/>
        <v>0</v>
      </c>
      <c r="K527" s="59">
        <f t="shared" si="29"/>
        <v>0</v>
      </c>
      <c r="L527" s="59">
        <f t="shared" si="30"/>
        <v>0</v>
      </c>
      <c r="M527" s="59">
        <f t="shared" si="31"/>
        <v>0</v>
      </c>
    </row>
    <row r="528" ht="15.0" hidden="1" customHeight="1">
      <c r="A528" s="59">
        <f t="shared" si="20"/>
        <v>5</v>
      </c>
      <c r="B528" s="59" t="str">
        <f t="shared" si="21"/>
        <v>Đã chốt</v>
      </c>
      <c r="C528" s="59" t="str">
        <f t="shared" si="22"/>
        <v>Téc 2</v>
      </c>
      <c r="D528" s="45">
        <f t="shared" si="23"/>
        <v>46046</v>
      </c>
      <c r="E528" s="45">
        <f t="shared" si="24"/>
        <v>46057</v>
      </c>
      <c r="F528" s="133">
        <f t="shared" si="25"/>
        <v>2</v>
      </c>
      <c r="G528" s="133">
        <f t="shared" si="26"/>
        <v>2026</v>
      </c>
      <c r="H528" s="59" t="str">
        <f t="shared" si="27"/>
        <v>28C02973</v>
      </c>
      <c r="I528" s="59">
        <f>IF(OR($A528="",$C528="",$D528="",$E528="",$H528=""),"",SUMIFS(DATA_GOC!$H:$H,DATA_GOC!$A:$A,"BOM",DATA_GOC!$D:$D,$H528,DATA_GOC!$E:$E,$C528,DATA_GOC!$F:$F,"Xuất nội bộ từ téc",DATA_GOC!$B:$B,"&gt;="&amp;$D528,DATA_GOC!$B:$B,"&lt;="&amp;$E528))</f>
        <v>0</v>
      </c>
      <c r="J528" s="59">
        <f t="shared" si="28"/>
        <v>0</v>
      </c>
      <c r="K528" s="59">
        <f t="shared" si="29"/>
        <v>0</v>
      </c>
      <c r="L528" s="59">
        <f t="shared" si="30"/>
        <v>0</v>
      </c>
      <c r="M528" s="59">
        <f t="shared" si="31"/>
        <v>0</v>
      </c>
    </row>
    <row r="529" ht="15.0" hidden="1" customHeight="1">
      <c r="A529" s="59">
        <f t="shared" si="20"/>
        <v>5</v>
      </c>
      <c r="B529" s="59" t="str">
        <f t="shared" si="21"/>
        <v>Đã chốt</v>
      </c>
      <c r="C529" s="59" t="str">
        <f t="shared" si="22"/>
        <v>Téc 2</v>
      </c>
      <c r="D529" s="45">
        <f t="shared" si="23"/>
        <v>46046</v>
      </c>
      <c r="E529" s="45">
        <f t="shared" si="24"/>
        <v>46057</v>
      </c>
      <c r="F529" s="133">
        <f t="shared" si="25"/>
        <v>2</v>
      </c>
      <c r="G529" s="133">
        <f t="shared" si="26"/>
        <v>2026</v>
      </c>
      <c r="H529" s="59" t="str">
        <f t="shared" si="27"/>
        <v>28C03044</v>
      </c>
      <c r="I529" s="59">
        <f>IF(OR($A529="",$C529="",$D529="",$E529="",$H529=""),"",SUMIFS(DATA_GOC!$H:$H,DATA_GOC!$A:$A,"BOM",DATA_GOC!$D:$D,$H529,DATA_GOC!$E:$E,$C529,DATA_GOC!$F:$F,"Xuất nội bộ từ téc",DATA_GOC!$B:$B,"&gt;="&amp;$D529,DATA_GOC!$B:$B,"&lt;="&amp;$E529))</f>
        <v>0</v>
      </c>
      <c r="J529" s="59">
        <f t="shared" si="28"/>
        <v>0</v>
      </c>
      <c r="K529" s="59">
        <f t="shared" si="29"/>
        <v>0</v>
      </c>
      <c r="L529" s="59">
        <f t="shared" si="30"/>
        <v>0</v>
      </c>
      <c r="M529" s="59">
        <f t="shared" si="31"/>
        <v>0</v>
      </c>
    </row>
    <row r="530" ht="15.0" hidden="1" customHeight="1">
      <c r="A530" s="59">
        <f t="shared" si="20"/>
        <v>5</v>
      </c>
      <c r="B530" s="59" t="str">
        <f t="shared" si="21"/>
        <v>Đã chốt</v>
      </c>
      <c r="C530" s="59" t="str">
        <f t="shared" si="22"/>
        <v>Téc 2</v>
      </c>
      <c r="D530" s="45">
        <f t="shared" si="23"/>
        <v>46046</v>
      </c>
      <c r="E530" s="45">
        <f t="shared" si="24"/>
        <v>46057</v>
      </c>
      <c r="F530" s="133">
        <f t="shared" si="25"/>
        <v>2</v>
      </c>
      <c r="G530" s="133">
        <f t="shared" si="26"/>
        <v>2026</v>
      </c>
      <c r="H530" s="59" t="str">
        <f t="shared" si="27"/>
        <v>Máy lu lốp</v>
      </c>
      <c r="I530" s="59">
        <f>IF(OR($A530="",$C530="",$D530="",$E530="",$H530=""),"",SUMIFS(DATA_GOC!$H:$H,DATA_GOC!$A:$A,"BOM",DATA_GOC!$D:$D,$H530,DATA_GOC!$E:$E,$C530,DATA_GOC!$F:$F,"Xuất nội bộ từ téc",DATA_GOC!$B:$B,"&gt;="&amp;$D530,DATA_GOC!$B:$B,"&lt;="&amp;$E530))</f>
        <v>0</v>
      </c>
      <c r="J530" s="59">
        <f t="shared" si="28"/>
        <v>0</v>
      </c>
      <c r="K530" s="59">
        <f t="shared" si="29"/>
        <v>0</v>
      </c>
      <c r="L530" s="59">
        <f t="shared" si="30"/>
        <v>0</v>
      </c>
      <c r="M530" s="59">
        <f t="shared" si="31"/>
        <v>0</v>
      </c>
    </row>
    <row r="531" ht="15.0" hidden="1" customHeight="1">
      <c r="A531" s="59">
        <f t="shared" si="20"/>
        <v>5</v>
      </c>
      <c r="B531" s="59" t="str">
        <f t="shared" si="21"/>
        <v>Đã chốt</v>
      </c>
      <c r="C531" s="59" t="str">
        <f t="shared" si="22"/>
        <v>Téc 2</v>
      </c>
      <c r="D531" s="45">
        <f t="shared" si="23"/>
        <v>46046</v>
      </c>
      <c r="E531" s="45">
        <f t="shared" si="24"/>
        <v>46057</v>
      </c>
      <c r="F531" s="133">
        <f t="shared" si="25"/>
        <v>2</v>
      </c>
      <c r="G531" s="133">
        <f t="shared" si="26"/>
        <v>2026</v>
      </c>
      <c r="H531" s="59" t="str">
        <f t="shared" si="27"/>
        <v>Xe 600148</v>
      </c>
      <c r="I531" s="59">
        <f>IF(OR($A531="",$C531="",$D531="",$E531="",$H531=""),"",SUMIFS(DATA_GOC!$H:$H,DATA_GOC!$A:$A,"BOM",DATA_GOC!$D:$D,$H531,DATA_GOC!$E:$E,$C531,DATA_GOC!$F:$F,"Xuất nội bộ từ téc",DATA_GOC!$B:$B,"&gt;="&amp;$D531,DATA_GOC!$B:$B,"&lt;="&amp;$E531))</f>
        <v>0</v>
      </c>
      <c r="J531" s="59">
        <f t="shared" si="28"/>
        <v>0</v>
      </c>
      <c r="K531" s="59">
        <f t="shared" si="29"/>
        <v>0</v>
      </c>
      <c r="L531" s="59">
        <f t="shared" si="30"/>
        <v>0</v>
      </c>
      <c r="M531" s="59">
        <f t="shared" si="31"/>
        <v>0</v>
      </c>
    </row>
    <row r="532" ht="15.0" hidden="1" customHeight="1">
      <c r="A532" s="59">
        <f t="shared" si="20"/>
        <v>5</v>
      </c>
      <c r="B532" s="59" t="str">
        <f t="shared" si="21"/>
        <v>Đã chốt</v>
      </c>
      <c r="C532" s="59" t="str">
        <f t="shared" si="22"/>
        <v>Téc 2</v>
      </c>
      <c r="D532" s="45">
        <f t="shared" si="23"/>
        <v>46046</v>
      </c>
      <c r="E532" s="45">
        <f t="shared" si="24"/>
        <v>46057</v>
      </c>
      <c r="F532" s="133">
        <f t="shared" si="25"/>
        <v>2</v>
      </c>
      <c r="G532" s="133">
        <f t="shared" si="26"/>
        <v>2026</v>
      </c>
      <c r="H532" s="59" t="str">
        <f t="shared" si="27"/>
        <v>Xe ben mới</v>
      </c>
      <c r="I532" s="59">
        <f>IF(OR($A532="",$C532="",$D532="",$E532="",$H532=""),"",SUMIFS(DATA_GOC!$H:$H,DATA_GOC!$A:$A,"BOM",DATA_GOC!$D:$D,$H532,DATA_GOC!$E:$E,$C532,DATA_GOC!$F:$F,"Xuất nội bộ từ téc",DATA_GOC!$B:$B,"&gt;="&amp;$D532,DATA_GOC!$B:$B,"&lt;="&amp;$E532))</f>
        <v>0</v>
      </c>
      <c r="J532" s="59">
        <f t="shared" si="28"/>
        <v>0</v>
      </c>
      <c r="K532" s="59">
        <f t="shared" si="29"/>
        <v>0</v>
      </c>
      <c r="L532" s="59">
        <f t="shared" si="30"/>
        <v>0</v>
      </c>
      <c r="M532" s="59">
        <f t="shared" si="31"/>
        <v>0</v>
      </c>
    </row>
    <row r="533" ht="15.0" hidden="1" customHeight="1">
      <c r="A533" s="59">
        <f t="shared" si="20"/>
        <v>6</v>
      </c>
      <c r="B533" s="59" t="str">
        <f t="shared" si="21"/>
        <v>Đã chốt</v>
      </c>
      <c r="C533" s="59" t="str">
        <f t="shared" si="22"/>
        <v>Téc 2</v>
      </c>
      <c r="D533" s="45">
        <f t="shared" si="23"/>
        <v>46058</v>
      </c>
      <c r="E533" s="45">
        <f t="shared" si="24"/>
        <v>46079</v>
      </c>
      <c r="F533" s="133">
        <f t="shared" si="25"/>
        <v>2</v>
      </c>
      <c r="G533" s="133">
        <f t="shared" si="26"/>
        <v>2026</v>
      </c>
      <c r="H533" s="59" t="str">
        <f t="shared" si="27"/>
        <v>19H09482</v>
      </c>
      <c r="I533" s="59">
        <f>IF(OR($A533="",$C533="",$D533="",$E533="",$H533=""),"",SUMIFS(DATA_GOC!$H:$H,DATA_GOC!$A:$A,"BOM",DATA_GOC!$D:$D,$H533,DATA_GOC!$E:$E,$C533,DATA_GOC!$F:$F,"Xuất nội bộ từ téc",DATA_GOC!$B:$B,"&gt;="&amp;$D533,DATA_GOC!$B:$B,"&lt;="&amp;$E533))</f>
        <v>0</v>
      </c>
      <c r="J533" s="59">
        <f t="shared" si="28"/>
        <v>0</v>
      </c>
      <c r="K533" s="59">
        <f t="shared" si="29"/>
        <v>0</v>
      </c>
      <c r="L533" s="59">
        <f t="shared" si="30"/>
        <v>0</v>
      </c>
      <c r="M533" s="59">
        <f t="shared" si="31"/>
        <v>0</v>
      </c>
    </row>
    <row r="534" ht="15.0" hidden="1" customHeight="1">
      <c r="A534" s="59">
        <f t="shared" si="20"/>
        <v>6</v>
      </c>
      <c r="B534" s="59" t="str">
        <f t="shared" si="21"/>
        <v>Đã chốt</v>
      </c>
      <c r="C534" s="59" t="str">
        <f t="shared" si="22"/>
        <v>Téc 2</v>
      </c>
      <c r="D534" s="45">
        <f t="shared" si="23"/>
        <v>46058</v>
      </c>
      <c r="E534" s="45">
        <f t="shared" si="24"/>
        <v>46079</v>
      </c>
      <c r="F534" s="133">
        <f t="shared" si="25"/>
        <v>2</v>
      </c>
      <c r="G534" s="133">
        <f t="shared" si="26"/>
        <v>2026</v>
      </c>
      <c r="H534" s="59" t="str">
        <f t="shared" si="27"/>
        <v>28A30696</v>
      </c>
      <c r="I534" s="59">
        <f>IF(OR($A534="",$C534="",$D534="",$E534="",$H534=""),"",SUMIFS(DATA_GOC!$H:$H,DATA_GOC!$A:$A,"BOM",DATA_GOC!$D:$D,$H534,DATA_GOC!$E:$E,$C534,DATA_GOC!$F:$F,"Xuất nội bộ từ téc",DATA_GOC!$B:$B,"&gt;="&amp;$D534,DATA_GOC!$B:$B,"&lt;="&amp;$E534))</f>
        <v>106</v>
      </c>
      <c r="J534" s="59">
        <f t="shared" si="28"/>
        <v>3.403</v>
      </c>
      <c r="K534" s="59">
        <f t="shared" si="29"/>
        <v>0</v>
      </c>
      <c r="L534" s="59">
        <f t="shared" si="30"/>
        <v>109.403</v>
      </c>
      <c r="M534" s="59">
        <f t="shared" si="31"/>
        <v>0.01251032692</v>
      </c>
    </row>
    <row r="535" ht="15.0" hidden="1" customHeight="1">
      <c r="A535" s="59">
        <f t="shared" si="20"/>
        <v>6</v>
      </c>
      <c r="B535" s="59" t="str">
        <f t="shared" si="21"/>
        <v>Đã chốt</v>
      </c>
      <c r="C535" s="59" t="str">
        <f t="shared" si="22"/>
        <v>Téc 2</v>
      </c>
      <c r="D535" s="45">
        <f t="shared" si="23"/>
        <v>46058</v>
      </c>
      <c r="E535" s="45">
        <f t="shared" si="24"/>
        <v>46079</v>
      </c>
      <c r="F535" s="133">
        <f t="shared" si="25"/>
        <v>2</v>
      </c>
      <c r="G535" s="133">
        <f t="shared" si="26"/>
        <v>2026</v>
      </c>
      <c r="H535" s="59" t="str">
        <f t="shared" si="27"/>
        <v>28C00462</v>
      </c>
      <c r="I535" s="59">
        <f>IF(OR($A535="",$C535="",$D535="",$E535="",$H535=""),"",SUMIFS(DATA_GOC!$H:$H,DATA_GOC!$A:$A,"BOM",DATA_GOC!$D:$D,$H535,DATA_GOC!$E:$E,$C535,DATA_GOC!$F:$F,"Xuất nội bộ từ téc",DATA_GOC!$B:$B,"&gt;="&amp;$D535,DATA_GOC!$B:$B,"&lt;="&amp;$E535))</f>
        <v>51</v>
      </c>
      <c r="J535" s="59">
        <f t="shared" si="28"/>
        <v>1.637</v>
      </c>
      <c r="K535" s="59">
        <f t="shared" si="29"/>
        <v>0</v>
      </c>
      <c r="L535" s="59">
        <f t="shared" si="30"/>
        <v>52.637</v>
      </c>
      <c r="M535" s="59">
        <f t="shared" si="31"/>
        <v>0.006019119556</v>
      </c>
    </row>
    <row r="536" ht="15.0" hidden="1" customHeight="1">
      <c r="A536" s="59">
        <f t="shared" si="20"/>
        <v>6</v>
      </c>
      <c r="B536" s="59" t="str">
        <f t="shared" si="21"/>
        <v>Đã chốt</v>
      </c>
      <c r="C536" s="59" t="str">
        <f t="shared" si="22"/>
        <v>Téc 2</v>
      </c>
      <c r="D536" s="45">
        <f t="shared" si="23"/>
        <v>46058</v>
      </c>
      <c r="E536" s="45">
        <f t="shared" si="24"/>
        <v>46079</v>
      </c>
      <c r="F536" s="133">
        <f t="shared" si="25"/>
        <v>2</v>
      </c>
      <c r="G536" s="133">
        <f t="shared" si="26"/>
        <v>2026</v>
      </c>
      <c r="H536" s="59" t="str">
        <f t="shared" si="27"/>
        <v>28C01165</v>
      </c>
      <c r="I536" s="59">
        <f>IF(OR($A536="",$C536="",$D536="",$E536="",$H536=""),"",SUMIFS(DATA_GOC!$H:$H,DATA_GOC!$A:$A,"BOM",DATA_GOC!$D:$D,$H536,DATA_GOC!$E:$E,$C536,DATA_GOC!$F:$F,"Xuất nội bộ từ téc",DATA_GOC!$B:$B,"&gt;="&amp;$D536,DATA_GOC!$B:$B,"&lt;="&amp;$E536))</f>
        <v>0</v>
      </c>
      <c r="J536" s="59">
        <f t="shared" si="28"/>
        <v>0</v>
      </c>
      <c r="K536" s="59">
        <f t="shared" si="29"/>
        <v>0</v>
      </c>
      <c r="L536" s="59">
        <f t="shared" si="30"/>
        <v>0</v>
      </c>
      <c r="M536" s="59">
        <f t="shared" si="31"/>
        <v>0</v>
      </c>
    </row>
    <row r="537" ht="15.0" hidden="1" customHeight="1">
      <c r="A537" s="59">
        <f t="shared" si="20"/>
        <v>6</v>
      </c>
      <c r="B537" s="59" t="str">
        <f t="shared" si="21"/>
        <v>Đã chốt</v>
      </c>
      <c r="C537" s="59" t="str">
        <f t="shared" si="22"/>
        <v>Téc 2</v>
      </c>
      <c r="D537" s="45">
        <f t="shared" si="23"/>
        <v>46058</v>
      </c>
      <c r="E537" s="45">
        <f t="shared" si="24"/>
        <v>46079</v>
      </c>
      <c r="F537" s="133">
        <f t="shared" si="25"/>
        <v>2</v>
      </c>
      <c r="G537" s="133">
        <f t="shared" si="26"/>
        <v>2026</v>
      </c>
      <c r="H537" s="59" t="str">
        <f t="shared" si="27"/>
        <v>28C01406</v>
      </c>
      <c r="I537" s="59">
        <f>IF(OR($A537="",$C537="",$D537="",$E537="",$H537=""),"",SUMIFS(DATA_GOC!$H:$H,DATA_GOC!$A:$A,"BOM",DATA_GOC!$D:$D,$H537,DATA_GOC!$E:$E,$C537,DATA_GOC!$F:$F,"Xuất nội bộ từ téc",DATA_GOC!$B:$B,"&gt;="&amp;$D537,DATA_GOC!$B:$B,"&lt;="&amp;$E537))</f>
        <v>0</v>
      </c>
      <c r="J537" s="59">
        <f t="shared" si="28"/>
        <v>0</v>
      </c>
      <c r="K537" s="59">
        <f t="shared" si="29"/>
        <v>0</v>
      </c>
      <c r="L537" s="59">
        <f t="shared" si="30"/>
        <v>0</v>
      </c>
      <c r="M537" s="59">
        <f t="shared" si="31"/>
        <v>0</v>
      </c>
    </row>
    <row r="538" ht="15.0" hidden="1" customHeight="1">
      <c r="A538" s="59">
        <f t="shared" si="20"/>
        <v>6</v>
      </c>
      <c r="B538" s="59" t="str">
        <f t="shared" si="21"/>
        <v>Đã chốt</v>
      </c>
      <c r="C538" s="59" t="str">
        <f t="shared" si="22"/>
        <v>Téc 2</v>
      </c>
      <c r="D538" s="45">
        <f t="shared" si="23"/>
        <v>46058</v>
      </c>
      <c r="E538" s="45">
        <f t="shared" si="24"/>
        <v>46079</v>
      </c>
      <c r="F538" s="133">
        <f t="shared" si="25"/>
        <v>2</v>
      </c>
      <c r="G538" s="133">
        <f t="shared" si="26"/>
        <v>2026</v>
      </c>
      <c r="H538" s="59" t="str">
        <f t="shared" si="27"/>
        <v>28C01544</v>
      </c>
      <c r="I538" s="59">
        <f>IF(OR($A538="",$C538="",$D538="",$E538="",$H538=""),"",SUMIFS(DATA_GOC!$H:$H,DATA_GOC!$A:$A,"BOM",DATA_GOC!$D:$D,$H538,DATA_GOC!$E:$E,$C538,DATA_GOC!$F:$F,"Xuất nội bộ từ téc",DATA_GOC!$B:$B,"&gt;="&amp;$D538,DATA_GOC!$B:$B,"&lt;="&amp;$E538))</f>
        <v>0</v>
      </c>
      <c r="J538" s="59">
        <f t="shared" si="28"/>
        <v>0</v>
      </c>
      <c r="K538" s="59">
        <f t="shared" si="29"/>
        <v>0</v>
      </c>
      <c r="L538" s="59">
        <f t="shared" si="30"/>
        <v>0</v>
      </c>
      <c r="M538" s="59">
        <f t="shared" si="31"/>
        <v>0</v>
      </c>
    </row>
    <row r="539" ht="15.0" hidden="1" customHeight="1">
      <c r="A539" s="59">
        <f t="shared" si="20"/>
        <v>6</v>
      </c>
      <c r="B539" s="59" t="str">
        <f t="shared" si="21"/>
        <v>Đã chốt</v>
      </c>
      <c r="C539" s="59" t="str">
        <f t="shared" si="22"/>
        <v>Téc 2</v>
      </c>
      <c r="D539" s="45">
        <f t="shared" si="23"/>
        <v>46058</v>
      </c>
      <c r="E539" s="45">
        <f t="shared" si="24"/>
        <v>46079</v>
      </c>
      <c r="F539" s="133">
        <f t="shared" si="25"/>
        <v>2</v>
      </c>
      <c r="G539" s="133">
        <f t="shared" si="26"/>
        <v>2026</v>
      </c>
      <c r="H539" s="59" t="str">
        <f t="shared" si="27"/>
        <v>28C01622</v>
      </c>
      <c r="I539" s="59">
        <f>IF(OR($A539="",$C539="",$D539="",$E539="",$H539=""),"",SUMIFS(DATA_GOC!$H:$H,DATA_GOC!$A:$A,"BOM",DATA_GOC!$D:$D,$H539,DATA_GOC!$E:$E,$C539,DATA_GOC!$F:$F,"Xuất nội bộ từ téc",DATA_GOC!$B:$B,"&gt;="&amp;$D539,DATA_GOC!$B:$B,"&lt;="&amp;$E539))</f>
        <v>670</v>
      </c>
      <c r="J539" s="59">
        <f t="shared" si="28"/>
        <v>21.508</v>
      </c>
      <c r="K539" s="59">
        <f t="shared" si="29"/>
        <v>0</v>
      </c>
      <c r="L539" s="59">
        <f t="shared" si="30"/>
        <v>691.508</v>
      </c>
      <c r="M539" s="59">
        <f t="shared" si="31"/>
        <v>0.0790747079</v>
      </c>
    </row>
    <row r="540" ht="15.0" hidden="1" customHeight="1">
      <c r="A540" s="59">
        <f t="shared" si="20"/>
        <v>6</v>
      </c>
      <c r="B540" s="59" t="str">
        <f t="shared" si="21"/>
        <v>Đã chốt</v>
      </c>
      <c r="C540" s="59" t="str">
        <f t="shared" si="22"/>
        <v>Téc 2</v>
      </c>
      <c r="D540" s="45">
        <f t="shared" si="23"/>
        <v>46058</v>
      </c>
      <c r="E540" s="45">
        <f t="shared" si="24"/>
        <v>46079</v>
      </c>
      <c r="F540" s="133">
        <f t="shared" si="25"/>
        <v>2</v>
      </c>
      <c r="G540" s="133">
        <f t="shared" si="26"/>
        <v>2026</v>
      </c>
      <c r="H540" s="59" t="str">
        <f t="shared" si="27"/>
        <v>28C01647</v>
      </c>
      <c r="I540" s="59">
        <f>IF(OR($A540="",$C540="",$D540="",$E540="",$H540=""),"",SUMIFS(DATA_GOC!$H:$H,DATA_GOC!$A:$A,"BOM",DATA_GOC!$D:$D,$H540,DATA_GOC!$E:$E,$C540,DATA_GOC!$F:$F,"Xuất nội bộ từ téc",DATA_GOC!$B:$B,"&gt;="&amp;$D540,DATA_GOC!$B:$B,"&lt;="&amp;$E540))</f>
        <v>465</v>
      </c>
      <c r="J540" s="59">
        <f t="shared" si="28"/>
        <v>14.927</v>
      </c>
      <c r="K540" s="59">
        <f t="shared" si="29"/>
        <v>0</v>
      </c>
      <c r="L540" s="59">
        <f t="shared" si="30"/>
        <v>479.927</v>
      </c>
      <c r="M540" s="59">
        <f t="shared" si="31"/>
        <v>0.05488020772</v>
      </c>
    </row>
    <row r="541" ht="15.0" hidden="1" customHeight="1">
      <c r="A541" s="59">
        <f t="shared" si="20"/>
        <v>6</v>
      </c>
      <c r="B541" s="59" t="str">
        <f t="shared" si="21"/>
        <v>Đã chốt</v>
      </c>
      <c r="C541" s="59" t="str">
        <f t="shared" si="22"/>
        <v>Téc 2</v>
      </c>
      <c r="D541" s="45">
        <f t="shared" si="23"/>
        <v>46058</v>
      </c>
      <c r="E541" s="45">
        <f t="shared" si="24"/>
        <v>46079</v>
      </c>
      <c r="F541" s="133">
        <f t="shared" si="25"/>
        <v>2</v>
      </c>
      <c r="G541" s="133">
        <f t="shared" si="26"/>
        <v>2026</v>
      </c>
      <c r="H541" s="59" t="str">
        <f t="shared" si="27"/>
        <v>28C01731</v>
      </c>
      <c r="I541" s="59">
        <f>IF(OR($A541="",$C541="",$D541="",$E541="",$H541=""),"",SUMIFS(DATA_GOC!$H:$H,DATA_GOC!$A:$A,"BOM",DATA_GOC!$D:$D,$H541,DATA_GOC!$E:$E,$C541,DATA_GOC!$F:$F,"Xuất nội bộ từ téc",DATA_GOC!$B:$B,"&gt;="&amp;$D541,DATA_GOC!$B:$B,"&lt;="&amp;$E541))</f>
        <v>0</v>
      </c>
      <c r="J541" s="59">
        <f t="shared" si="28"/>
        <v>0</v>
      </c>
      <c r="K541" s="59">
        <f t="shared" si="29"/>
        <v>0</v>
      </c>
      <c r="L541" s="59">
        <f t="shared" si="30"/>
        <v>0</v>
      </c>
      <c r="M541" s="59">
        <f t="shared" si="31"/>
        <v>0</v>
      </c>
    </row>
    <row r="542" ht="15.0" hidden="1" customHeight="1">
      <c r="A542" s="59">
        <f t="shared" si="20"/>
        <v>6</v>
      </c>
      <c r="B542" s="59" t="str">
        <f t="shared" si="21"/>
        <v>Đã chốt</v>
      </c>
      <c r="C542" s="59" t="str">
        <f t="shared" si="22"/>
        <v>Téc 2</v>
      </c>
      <c r="D542" s="45">
        <f t="shared" si="23"/>
        <v>46058</v>
      </c>
      <c r="E542" s="45">
        <f t="shared" si="24"/>
        <v>46079</v>
      </c>
      <c r="F542" s="133">
        <f t="shared" si="25"/>
        <v>2</v>
      </c>
      <c r="G542" s="133">
        <f t="shared" si="26"/>
        <v>2026</v>
      </c>
      <c r="H542" s="59" t="str">
        <f t="shared" si="27"/>
        <v>28C01743</v>
      </c>
      <c r="I542" s="59">
        <f>IF(OR($A542="",$C542="",$D542="",$E542="",$H542=""),"",SUMIFS(DATA_GOC!$H:$H,DATA_GOC!$A:$A,"BOM",DATA_GOC!$D:$D,$H542,DATA_GOC!$E:$E,$C542,DATA_GOC!$F:$F,"Xuất nội bộ từ téc",DATA_GOC!$B:$B,"&gt;="&amp;$D542,DATA_GOC!$B:$B,"&lt;="&amp;$E542))</f>
        <v>0</v>
      </c>
      <c r="J542" s="59">
        <f t="shared" si="28"/>
        <v>0</v>
      </c>
      <c r="K542" s="59">
        <f t="shared" si="29"/>
        <v>0</v>
      </c>
      <c r="L542" s="59">
        <f t="shared" si="30"/>
        <v>0</v>
      </c>
      <c r="M542" s="59">
        <f t="shared" si="31"/>
        <v>0</v>
      </c>
    </row>
    <row r="543" ht="15.0" hidden="1" customHeight="1">
      <c r="A543" s="59">
        <f t="shared" si="20"/>
        <v>6</v>
      </c>
      <c r="B543" s="59" t="str">
        <f t="shared" si="21"/>
        <v>Đã chốt</v>
      </c>
      <c r="C543" s="59" t="str">
        <f t="shared" si="22"/>
        <v>Téc 2</v>
      </c>
      <c r="D543" s="45">
        <f t="shared" si="23"/>
        <v>46058</v>
      </c>
      <c r="E543" s="45">
        <f t="shared" si="24"/>
        <v>46079</v>
      </c>
      <c r="F543" s="133">
        <f t="shared" si="25"/>
        <v>2</v>
      </c>
      <c r="G543" s="133">
        <f t="shared" si="26"/>
        <v>2026</v>
      </c>
      <c r="H543" s="59" t="str">
        <f t="shared" si="27"/>
        <v>28C02106</v>
      </c>
      <c r="I543" s="59">
        <f>IF(OR($A543="",$C543="",$D543="",$E543="",$H543=""),"",SUMIFS(DATA_GOC!$H:$H,DATA_GOC!$A:$A,"BOM",DATA_GOC!$D:$D,$H543,DATA_GOC!$E:$E,$C543,DATA_GOC!$F:$F,"Xuất nội bộ từ téc",DATA_GOC!$B:$B,"&gt;="&amp;$D543,DATA_GOC!$B:$B,"&lt;="&amp;$E543))</f>
        <v>343</v>
      </c>
      <c r="J543" s="59">
        <f t="shared" si="28"/>
        <v>11.011</v>
      </c>
      <c r="K543" s="59">
        <f t="shared" si="29"/>
        <v>0</v>
      </c>
      <c r="L543" s="59">
        <f t="shared" si="30"/>
        <v>354.011</v>
      </c>
      <c r="M543" s="59">
        <f t="shared" si="31"/>
        <v>0.04048152956</v>
      </c>
    </row>
    <row r="544" ht="15.0" hidden="1" customHeight="1">
      <c r="A544" s="59">
        <f t="shared" si="20"/>
        <v>6</v>
      </c>
      <c r="B544" s="59" t="str">
        <f t="shared" si="21"/>
        <v>Đã chốt</v>
      </c>
      <c r="C544" s="59" t="str">
        <f t="shared" si="22"/>
        <v>Téc 2</v>
      </c>
      <c r="D544" s="45">
        <f t="shared" si="23"/>
        <v>46058</v>
      </c>
      <c r="E544" s="45">
        <f t="shared" si="24"/>
        <v>46079</v>
      </c>
      <c r="F544" s="133">
        <f t="shared" si="25"/>
        <v>2</v>
      </c>
      <c r="G544" s="133">
        <f t="shared" si="26"/>
        <v>2026</v>
      </c>
      <c r="H544" s="59" t="str">
        <f t="shared" si="27"/>
        <v>28C02410</v>
      </c>
      <c r="I544" s="59">
        <f>IF(OR($A544="",$C544="",$D544="",$E544="",$H544=""),"",SUMIFS(DATA_GOC!$H:$H,DATA_GOC!$A:$A,"BOM",DATA_GOC!$D:$D,$H544,DATA_GOC!$E:$E,$C544,DATA_GOC!$F:$F,"Xuất nội bộ từ téc",DATA_GOC!$B:$B,"&gt;="&amp;$D544,DATA_GOC!$B:$B,"&lt;="&amp;$E544))</f>
        <v>153</v>
      </c>
      <c r="J544" s="59">
        <f t="shared" si="28"/>
        <v>4.912</v>
      </c>
      <c r="K544" s="59">
        <f t="shared" si="29"/>
        <v>0</v>
      </c>
      <c r="L544" s="59">
        <f t="shared" si="30"/>
        <v>157.912</v>
      </c>
      <c r="M544" s="59">
        <f t="shared" si="31"/>
        <v>0.01805735867</v>
      </c>
    </row>
    <row r="545" ht="15.0" hidden="1" customHeight="1">
      <c r="A545" s="59">
        <f t="shared" si="20"/>
        <v>6</v>
      </c>
      <c r="B545" s="59" t="str">
        <f t="shared" si="21"/>
        <v>Đã chốt</v>
      </c>
      <c r="C545" s="59" t="str">
        <f t="shared" si="22"/>
        <v>Téc 2</v>
      </c>
      <c r="D545" s="45">
        <f t="shared" si="23"/>
        <v>46058</v>
      </c>
      <c r="E545" s="45">
        <f t="shared" si="24"/>
        <v>46079</v>
      </c>
      <c r="F545" s="133">
        <f t="shared" si="25"/>
        <v>2</v>
      </c>
      <c r="G545" s="133">
        <f t="shared" si="26"/>
        <v>2026</v>
      </c>
      <c r="H545" s="59" t="str">
        <f t="shared" si="27"/>
        <v>28C02545</v>
      </c>
      <c r="I545" s="59">
        <f>IF(OR($A545="",$C545="",$D545="",$E545="",$H545=""),"",SUMIFS(DATA_GOC!$H:$H,DATA_GOC!$A:$A,"BOM",DATA_GOC!$D:$D,$H545,DATA_GOC!$E:$E,$C545,DATA_GOC!$F:$F,"Xuất nội bộ từ téc",DATA_GOC!$B:$B,"&gt;="&amp;$D545,DATA_GOC!$B:$B,"&lt;="&amp;$E545))</f>
        <v>153</v>
      </c>
      <c r="J545" s="59">
        <f t="shared" si="28"/>
        <v>4.912</v>
      </c>
      <c r="K545" s="59">
        <f t="shared" si="29"/>
        <v>0</v>
      </c>
      <c r="L545" s="59">
        <f t="shared" si="30"/>
        <v>157.912</v>
      </c>
      <c r="M545" s="59">
        <f t="shared" si="31"/>
        <v>0.01805735867</v>
      </c>
    </row>
    <row r="546" ht="15.0" hidden="1" customHeight="1">
      <c r="A546" s="59">
        <f t="shared" si="20"/>
        <v>6</v>
      </c>
      <c r="B546" s="59" t="str">
        <f t="shared" si="21"/>
        <v>Đã chốt</v>
      </c>
      <c r="C546" s="59" t="str">
        <f t="shared" si="22"/>
        <v>Téc 2</v>
      </c>
      <c r="D546" s="45">
        <f t="shared" si="23"/>
        <v>46058</v>
      </c>
      <c r="E546" s="45">
        <f t="shared" si="24"/>
        <v>46079</v>
      </c>
      <c r="F546" s="133">
        <f t="shared" si="25"/>
        <v>2</v>
      </c>
      <c r="G546" s="133">
        <f t="shared" si="26"/>
        <v>2026</v>
      </c>
      <c r="H546" s="59" t="str">
        <f t="shared" si="27"/>
        <v>28C02574</v>
      </c>
      <c r="I546" s="59">
        <f>IF(OR($A546="",$C546="",$D546="",$E546="",$H546=""),"",SUMIFS(DATA_GOC!$H:$H,DATA_GOC!$A:$A,"BOM",DATA_GOC!$D:$D,$H546,DATA_GOC!$E:$E,$C546,DATA_GOC!$F:$F,"Xuất nội bộ từ téc",DATA_GOC!$B:$B,"&gt;="&amp;$D546,DATA_GOC!$B:$B,"&lt;="&amp;$E546))</f>
        <v>213</v>
      </c>
      <c r="J546" s="59">
        <f t="shared" si="28"/>
        <v>6.838</v>
      </c>
      <c r="K546" s="59">
        <f t="shared" si="29"/>
        <v>0</v>
      </c>
      <c r="L546" s="59">
        <f t="shared" si="30"/>
        <v>219.838</v>
      </c>
      <c r="M546" s="59">
        <f t="shared" si="31"/>
        <v>0.02513867579</v>
      </c>
    </row>
    <row r="547" ht="15.0" hidden="1" customHeight="1">
      <c r="A547" s="59">
        <f t="shared" si="20"/>
        <v>6</v>
      </c>
      <c r="B547" s="59" t="str">
        <f t="shared" si="21"/>
        <v>Đã chốt</v>
      </c>
      <c r="C547" s="59" t="str">
        <f t="shared" si="22"/>
        <v>Téc 2</v>
      </c>
      <c r="D547" s="45">
        <f t="shared" si="23"/>
        <v>46058</v>
      </c>
      <c r="E547" s="45">
        <f t="shared" si="24"/>
        <v>46079</v>
      </c>
      <c r="F547" s="133">
        <f t="shared" si="25"/>
        <v>2</v>
      </c>
      <c r="G547" s="133">
        <f t="shared" si="26"/>
        <v>2026</v>
      </c>
      <c r="H547" s="59" t="str">
        <f t="shared" si="27"/>
        <v>28C02770</v>
      </c>
      <c r="I547" s="59">
        <f>IF(OR($A547="",$C547="",$D547="",$E547="",$H547=""),"",SUMIFS(DATA_GOC!$H:$H,DATA_GOC!$A:$A,"BOM",DATA_GOC!$D:$D,$H547,DATA_GOC!$E:$E,$C547,DATA_GOC!$F:$F,"Xuất nội bộ từ téc",DATA_GOC!$B:$B,"&gt;="&amp;$D547,DATA_GOC!$B:$B,"&lt;="&amp;$E547))</f>
        <v>0</v>
      </c>
      <c r="J547" s="59">
        <f t="shared" si="28"/>
        <v>0</v>
      </c>
      <c r="K547" s="59">
        <f t="shared" si="29"/>
        <v>0</v>
      </c>
      <c r="L547" s="59">
        <f t="shared" si="30"/>
        <v>0</v>
      </c>
      <c r="M547" s="59">
        <f t="shared" si="31"/>
        <v>0</v>
      </c>
    </row>
    <row r="548" ht="15.0" hidden="1" customHeight="1">
      <c r="A548" s="59">
        <f t="shared" si="20"/>
        <v>6</v>
      </c>
      <c r="B548" s="59" t="str">
        <f t="shared" si="21"/>
        <v>Đã chốt</v>
      </c>
      <c r="C548" s="59" t="str">
        <f t="shared" si="22"/>
        <v>Téc 2</v>
      </c>
      <c r="D548" s="45">
        <f t="shared" si="23"/>
        <v>46058</v>
      </c>
      <c r="E548" s="45">
        <f t="shared" si="24"/>
        <v>46079</v>
      </c>
      <c r="F548" s="133">
        <f t="shared" si="25"/>
        <v>2</v>
      </c>
      <c r="G548" s="133">
        <f t="shared" si="26"/>
        <v>2026</v>
      </c>
      <c r="H548" s="59" t="str">
        <f t="shared" si="27"/>
        <v>28C02986</v>
      </c>
      <c r="I548" s="59">
        <f>IF(OR($A548="",$C548="",$D548="",$E548="",$H548=""),"",SUMIFS(DATA_GOC!$H:$H,DATA_GOC!$A:$A,"BOM",DATA_GOC!$D:$D,$H548,DATA_GOC!$E:$E,$C548,DATA_GOC!$F:$F,"Xuất nội bộ từ téc",DATA_GOC!$B:$B,"&gt;="&amp;$D548,DATA_GOC!$B:$B,"&lt;="&amp;$E548))</f>
        <v>405</v>
      </c>
      <c r="J548" s="59">
        <f t="shared" si="28"/>
        <v>13.001</v>
      </c>
      <c r="K548" s="59">
        <f t="shared" si="29"/>
        <v>0</v>
      </c>
      <c r="L548" s="59">
        <f t="shared" si="30"/>
        <v>418.001</v>
      </c>
      <c r="M548" s="59">
        <f t="shared" si="31"/>
        <v>0.04779889059</v>
      </c>
    </row>
    <row r="549" ht="15.0" hidden="1" customHeight="1">
      <c r="A549" s="59">
        <f t="shared" si="20"/>
        <v>6</v>
      </c>
      <c r="B549" s="59" t="str">
        <f t="shared" si="21"/>
        <v>Đã chốt</v>
      </c>
      <c r="C549" s="59" t="str">
        <f t="shared" si="22"/>
        <v>Téc 2</v>
      </c>
      <c r="D549" s="45">
        <f t="shared" si="23"/>
        <v>46058</v>
      </c>
      <c r="E549" s="45">
        <f t="shared" si="24"/>
        <v>46079</v>
      </c>
      <c r="F549" s="133">
        <f t="shared" si="25"/>
        <v>2</v>
      </c>
      <c r="G549" s="133">
        <f t="shared" si="26"/>
        <v>2026</v>
      </c>
      <c r="H549" s="59" t="str">
        <f t="shared" si="27"/>
        <v>28C03261</v>
      </c>
      <c r="I549" s="59">
        <f>IF(OR($A549="",$C549="",$D549="",$E549="",$H549=""),"",SUMIFS(DATA_GOC!$H:$H,DATA_GOC!$A:$A,"BOM",DATA_GOC!$D:$D,$H549,DATA_GOC!$E:$E,$C549,DATA_GOC!$F:$F,"Xuất nội bộ từ téc",DATA_GOC!$B:$B,"&gt;="&amp;$D549,DATA_GOC!$B:$B,"&lt;="&amp;$E549))</f>
        <v>0</v>
      </c>
      <c r="J549" s="59">
        <f t="shared" si="28"/>
        <v>0</v>
      </c>
      <c r="K549" s="59">
        <f t="shared" si="29"/>
        <v>0</v>
      </c>
      <c r="L549" s="59">
        <f t="shared" si="30"/>
        <v>0</v>
      </c>
      <c r="M549" s="59">
        <f t="shared" si="31"/>
        <v>0</v>
      </c>
    </row>
    <row r="550" ht="15.0" hidden="1" customHeight="1">
      <c r="A550" s="59">
        <f t="shared" si="20"/>
        <v>6</v>
      </c>
      <c r="B550" s="59" t="str">
        <f t="shared" si="21"/>
        <v>Đã chốt</v>
      </c>
      <c r="C550" s="59" t="str">
        <f t="shared" si="22"/>
        <v>Téc 2</v>
      </c>
      <c r="D550" s="45">
        <f t="shared" si="23"/>
        <v>46058</v>
      </c>
      <c r="E550" s="45">
        <f t="shared" si="24"/>
        <v>46079</v>
      </c>
      <c r="F550" s="133">
        <f t="shared" si="25"/>
        <v>2</v>
      </c>
      <c r="G550" s="133">
        <f t="shared" si="26"/>
        <v>2026</v>
      </c>
      <c r="H550" s="59" t="str">
        <f t="shared" si="27"/>
        <v>28C03323</v>
      </c>
      <c r="I550" s="59">
        <f>IF(OR($A550="",$C550="",$D550="",$E550="",$H550=""),"",SUMIFS(DATA_GOC!$H:$H,DATA_GOC!$A:$A,"BOM",DATA_GOC!$D:$D,$H550,DATA_GOC!$E:$E,$C550,DATA_GOC!$F:$F,"Xuất nội bộ từ téc",DATA_GOC!$B:$B,"&gt;="&amp;$D550,DATA_GOC!$B:$B,"&lt;="&amp;$E550))</f>
        <v>0</v>
      </c>
      <c r="J550" s="59">
        <f t="shared" si="28"/>
        <v>0</v>
      </c>
      <c r="K550" s="59">
        <f t="shared" si="29"/>
        <v>0</v>
      </c>
      <c r="L550" s="59">
        <f t="shared" si="30"/>
        <v>0</v>
      </c>
      <c r="M550" s="59">
        <f t="shared" si="31"/>
        <v>0</v>
      </c>
    </row>
    <row r="551" ht="15.0" hidden="1" customHeight="1">
      <c r="A551" s="59">
        <f t="shared" si="20"/>
        <v>6</v>
      </c>
      <c r="B551" s="59" t="str">
        <f t="shared" si="21"/>
        <v>Đã chốt</v>
      </c>
      <c r="C551" s="59" t="str">
        <f t="shared" si="22"/>
        <v>Téc 2</v>
      </c>
      <c r="D551" s="45">
        <f t="shared" si="23"/>
        <v>46058</v>
      </c>
      <c r="E551" s="45">
        <f t="shared" si="24"/>
        <v>46079</v>
      </c>
      <c r="F551" s="133">
        <f t="shared" si="25"/>
        <v>2</v>
      </c>
      <c r="G551" s="133">
        <f t="shared" si="26"/>
        <v>2026</v>
      </c>
      <c r="H551" s="59" t="str">
        <f t="shared" si="27"/>
        <v>28C03385</v>
      </c>
      <c r="I551" s="59">
        <f>IF(OR($A551="",$C551="",$D551="",$E551="",$H551=""),"",SUMIFS(DATA_GOC!$H:$H,DATA_GOC!$A:$A,"BOM",DATA_GOC!$D:$D,$H551,DATA_GOC!$E:$E,$C551,DATA_GOC!$F:$F,"Xuất nội bộ từ téc",DATA_GOC!$B:$B,"&gt;="&amp;$D551,DATA_GOC!$B:$B,"&lt;="&amp;$E551))</f>
        <v>240</v>
      </c>
      <c r="J551" s="59">
        <f t="shared" si="28"/>
        <v>7.704</v>
      </c>
      <c r="K551" s="59">
        <f t="shared" si="29"/>
        <v>0</v>
      </c>
      <c r="L551" s="59">
        <f t="shared" si="30"/>
        <v>247.704</v>
      </c>
      <c r="M551" s="59">
        <f t="shared" si="31"/>
        <v>0.0283252685</v>
      </c>
    </row>
    <row r="552" ht="15.0" hidden="1" customHeight="1">
      <c r="A552" s="59">
        <f t="shared" si="20"/>
        <v>6</v>
      </c>
      <c r="B552" s="59" t="str">
        <f t="shared" si="21"/>
        <v>Đã chốt</v>
      </c>
      <c r="C552" s="59" t="str">
        <f t="shared" si="22"/>
        <v>Téc 2</v>
      </c>
      <c r="D552" s="45">
        <f t="shared" si="23"/>
        <v>46058</v>
      </c>
      <c r="E552" s="45">
        <f t="shared" si="24"/>
        <v>46079</v>
      </c>
      <c r="F552" s="133">
        <f t="shared" si="25"/>
        <v>2</v>
      </c>
      <c r="G552" s="133">
        <f t="shared" si="26"/>
        <v>2026</v>
      </c>
      <c r="H552" s="59" t="str">
        <f t="shared" si="27"/>
        <v>28C03652</v>
      </c>
      <c r="I552" s="59">
        <f>IF(OR($A552="",$C552="",$D552="",$E552="",$H552=""),"",SUMIFS(DATA_GOC!$H:$H,DATA_GOC!$A:$A,"BOM",DATA_GOC!$D:$D,$H552,DATA_GOC!$E:$E,$C552,DATA_GOC!$F:$F,"Xuất nội bộ từ téc",DATA_GOC!$B:$B,"&gt;="&amp;$D552,DATA_GOC!$B:$B,"&lt;="&amp;$E552))</f>
        <v>275</v>
      </c>
      <c r="J552" s="59">
        <f t="shared" si="28"/>
        <v>8.828</v>
      </c>
      <c r="K552" s="59">
        <f t="shared" si="29"/>
        <v>0</v>
      </c>
      <c r="L552" s="59">
        <f t="shared" si="30"/>
        <v>283.828</v>
      </c>
      <c r="M552" s="59">
        <f t="shared" si="31"/>
        <v>0.03245603682</v>
      </c>
    </row>
    <row r="553" ht="15.0" hidden="1" customHeight="1">
      <c r="A553" s="59">
        <f t="shared" si="20"/>
        <v>6</v>
      </c>
      <c r="B553" s="59" t="str">
        <f t="shared" si="21"/>
        <v>Đã chốt</v>
      </c>
      <c r="C553" s="59" t="str">
        <f t="shared" si="22"/>
        <v>Téc 2</v>
      </c>
      <c r="D553" s="45">
        <f t="shared" si="23"/>
        <v>46058</v>
      </c>
      <c r="E553" s="45">
        <f t="shared" si="24"/>
        <v>46079</v>
      </c>
      <c r="F553" s="133">
        <f t="shared" si="25"/>
        <v>2</v>
      </c>
      <c r="G553" s="133">
        <f t="shared" si="26"/>
        <v>2026</v>
      </c>
      <c r="H553" s="59" t="str">
        <f t="shared" si="27"/>
        <v>28C03695</v>
      </c>
      <c r="I553" s="59">
        <f>IF(OR($A553="",$C553="",$D553="",$E553="",$H553=""),"",SUMIFS(DATA_GOC!$H:$H,DATA_GOC!$A:$A,"BOM",DATA_GOC!$D:$D,$H553,DATA_GOC!$E:$E,$C553,DATA_GOC!$F:$F,"Xuất nội bộ từ téc",DATA_GOC!$B:$B,"&gt;="&amp;$D553,DATA_GOC!$B:$B,"&lt;="&amp;$E553))</f>
        <v>0</v>
      </c>
      <c r="J553" s="59">
        <f t="shared" si="28"/>
        <v>0</v>
      </c>
      <c r="K553" s="59">
        <f t="shared" si="29"/>
        <v>0</v>
      </c>
      <c r="L553" s="59">
        <f t="shared" si="30"/>
        <v>0</v>
      </c>
      <c r="M553" s="59">
        <f t="shared" si="31"/>
        <v>0</v>
      </c>
    </row>
    <row r="554" ht="15.0" hidden="1" customHeight="1">
      <c r="A554" s="59">
        <f t="shared" si="20"/>
        <v>6</v>
      </c>
      <c r="B554" s="59" t="str">
        <f t="shared" si="21"/>
        <v>Đã chốt</v>
      </c>
      <c r="C554" s="59" t="str">
        <f t="shared" si="22"/>
        <v>Téc 2</v>
      </c>
      <c r="D554" s="45">
        <f t="shared" si="23"/>
        <v>46058</v>
      </c>
      <c r="E554" s="45">
        <f t="shared" si="24"/>
        <v>46079</v>
      </c>
      <c r="F554" s="133">
        <f t="shared" si="25"/>
        <v>2</v>
      </c>
      <c r="G554" s="133">
        <f t="shared" si="26"/>
        <v>2026</v>
      </c>
      <c r="H554" s="59" t="str">
        <f t="shared" si="27"/>
        <v>28C03927</v>
      </c>
      <c r="I554" s="59">
        <f>IF(OR($A554="",$C554="",$D554="",$E554="",$H554=""),"",SUMIFS(DATA_GOC!$H:$H,DATA_GOC!$A:$A,"BOM",DATA_GOC!$D:$D,$H554,DATA_GOC!$E:$E,$C554,DATA_GOC!$F:$F,"Xuất nội bộ từ téc",DATA_GOC!$B:$B,"&gt;="&amp;$D554,DATA_GOC!$B:$B,"&lt;="&amp;$E554))</f>
        <v>233</v>
      </c>
      <c r="J554" s="59">
        <f t="shared" si="28"/>
        <v>7.48</v>
      </c>
      <c r="K554" s="59">
        <f t="shared" si="29"/>
        <v>0</v>
      </c>
      <c r="L554" s="59">
        <f t="shared" si="30"/>
        <v>240.48</v>
      </c>
      <c r="M554" s="59">
        <f t="shared" si="31"/>
        <v>0.02749911484</v>
      </c>
    </row>
    <row r="555" ht="15.0" hidden="1" customHeight="1">
      <c r="A555" s="59">
        <f t="shared" si="20"/>
        <v>6</v>
      </c>
      <c r="B555" s="59" t="str">
        <f t="shared" si="21"/>
        <v>Đã chốt</v>
      </c>
      <c r="C555" s="59" t="str">
        <f t="shared" si="22"/>
        <v>Téc 2</v>
      </c>
      <c r="D555" s="45">
        <f t="shared" si="23"/>
        <v>46058</v>
      </c>
      <c r="E555" s="45">
        <f t="shared" si="24"/>
        <v>46079</v>
      </c>
      <c r="F555" s="133">
        <f t="shared" si="25"/>
        <v>2</v>
      </c>
      <c r="G555" s="133">
        <f t="shared" si="26"/>
        <v>2026</v>
      </c>
      <c r="H555" s="59" t="str">
        <f t="shared" si="27"/>
        <v>28C04509</v>
      </c>
      <c r="I555" s="59">
        <f>IF(OR($A555="",$C555="",$D555="",$E555="",$H555=""),"",SUMIFS(DATA_GOC!$H:$H,DATA_GOC!$A:$A,"BOM",DATA_GOC!$D:$D,$H555,DATA_GOC!$E:$E,$C555,DATA_GOC!$F:$F,"Xuất nội bộ từ téc",DATA_GOC!$B:$B,"&gt;="&amp;$D555,DATA_GOC!$B:$B,"&lt;="&amp;$E555))</f>
        <v>127</v>
      </c>
      <c r="J555" s="59">
        <f t="shared" si="28"/>
        <v>4.077</v>
      </c>
      <c r="K555" s="59">
        <f t="shared" si="29"/>
        <v>0</v>
      </c>
      <c r="L555" s="59">
        <f t="shared" si="30"/>
        <v>131.077</v>
      </c>
      <c r="M555" s="59">
        <f t="shared" si="31"/>
        <v>0.01498878791</v>
      </c>
    </row>
    <row r="556" ht="15.0" hidden="1" customHeight="1">
      <c r="A556" s="59">
        <f t="shared" si="20"/>
        <v>6</v>
      </c>
      <c r="B556" s="59" t="str">
        <f t="shared" si="21"/>
        <v>Đã chốt</v>
      </c>
      <c r="C556" s="59" t="str">
        <f t="shared" si="22"/>
        <v>Téc 2</v>
      </c>
      <c r="D556" s="45">
        <f t="shared" si="23"/>
        <v>46058</v>
      </c>
      <c r="E556" s="45">
        <f t="shared" si="24"/>
        <v>46079</v>
      </c>
      <c r="F556" s="133">
        <f t="shared" si="25"/>
        <v>2</v>
      </c>
      <c r="G556" s="133">
        <f t="shared" si="26"/>
        <v>2026</v>
      </c>
      <c r="H556" s="59" t="str">
        <f t="shared" si="27"/>
        <v>28C04536</v>
      </c>
      <c r="I556" s="59">
        <f>IF(OR($A556="",$C556="",$D556="",$E556="",$H556=""),"",SUMIFS(DATA_GOC!$H:$H,DATA_GOC!$A:$A,"BOM",DATA_GOC!$D:$D,$H556,DATA_GOC!$E:$E,$C556,DATA_GOC!$F:$F,"Xuất nội bộ từ téc",DATA_GOC!$B:$B,"&gt;="&amp;$D556,DATA_GOC!$B:$B,"&lt;="&amp;$E556))</f>
        <v>0</v>
      </c>
      <c r="J556" s="59">
        <f t="shared" si="28"/>
        <v>0</v>
      </c>
      <c r="K556" s="59">
        <f t="shared" si="29"/>
        <v>0</v>
      </c>
      <c r="L556" s="59">
        <f t="shared" si="30"/>
        <v>0</v>
      </c>
      <c r="M556" s="59">
        <f t="shared" si="31"/>
        <v>0</v>
      </c>
    </row>
    <row r="557" ht="15.0" hidden="1" customHeight="1">
      <c r="A557" s="59">
        <f t="shared" si="20"/>
        <v>6</v>
      </c>
      <c r="B557" s="59" t="str">
        <f t="shared" si="21"/>
        <v>Đã chốt</v>
      </c>
      <c r="C557" s="59" t="str">
        <f t="shared" si="22"/>
        <v>Téc 2</v>
      </c>
      <c r="D557" s="45">
        <f t="shared" si="23"/>
        <v>46058</v>
      </c>
      <c r="E557" s="45">
        <f t="shared" si="24"/>
        <v>46079</v>
      </c>
      <c r="F557" s="133">
        <f t="shared" si="25"/>
        <v>2</v>
      </c>
      <c r="G557" s="133">
        <f t="shared" si="26"/>
        <v>2026</v>
      </c>
      <c r="H557" s="59" t="str">
        <f t="shared" si="27"/>
        <v>28C04576</v>
      </c>
      <c r="I557" s="59">
        <f>IF(OR($A557="",$C557="",$D557="",$E557="",$H557=""),"",SUMIFS(DATA_GOC!$H:$H,DATA_GOC!$A:$A,"BOM",DATA_GOC!$D:$D,$H557,DATA_GOC!$E:$E,$C557,DATA_GOC!$F:$F,"Xuất nội bộ từ téc",DATA_GOC!$B:$B,"&gt;="&amp;$D557,DATA_GOC!$B:$B,"&lt;="&amp;$E557))</f>
        <v>220</v>
      </c>
      <c r="J557" s="59">
        <f t="shared" si="28"/>
        <v>7.062</v>
      </c>
      <c r="K557" s="59">
        <f t="shared" si="29"/>
        <v>0</v>
      </c>
      <c r="L557" s="59">
        <f t="shared" si="30"/>
        <v>227.062</v>
      </c>
      <c r="M557" s="59">
        <f t="shared" si="31"/>
        <v>0.02596482946</v>
      </c>
    </row>
    <row r="558" ht="15.0" hidden="1" customHeight="1">
      <c r="A558" s="59">
        <f t="shared" si="20"/>
        <v>6</v>
      </c>
      <c r="B558" s="59" t="str">
        <f t="shared" si="21"/>
        <v>Đã chốt</v>
      </c>
      <c r="C558" s="59" t="str">
        <f t="shared" si="22"/>
        <v>Téc 2</v>
      </c>
      <c r="D558" s="45">
        <f t="shared" si="23"/>
        <v>46058</v>
      </c>
      <c r="E558" s="45">
        <f t="shared" si="24"/>
        <v>46079</v>
      </c>
      <c r="F558" s="133">
        <f t="shared" si="25"/>
        <v>2</v>
      </c>
      <c r="G558" s="133">
        <f t="shared" si="26"/>
        <v>2026</v>
      </c>
      <c r="H558" s="59" t="str">
        <f t="shared" si="27"/>
        <v>28C05090</v>
      </c>
      <c r="I558" s="59">
        <f>IF(OR($A558="",$C558="",$D558="",$E558="",$H558=""),"",SUMIFS(DATA_GOC!$H:$H,DATA_GOC!$A:$A,"BOM",DATA_GOC!$D:$D,$H558,DATA_GOC!$E:$E,$C558,DATA_GOC!$F:$F,"Xuất nội bộ từ téc",DATA_GOC!$B:$B,"&gt;="&amp;$D558,DATA_GOC!$B:$B,"&lt;="&amp;$E558))</f>
        <v>0</v>
      </c>
      <c r="J558" s="59">
        <f t="shared" si="28"/>
        <v>0</v>
      </c>
      <c r="K558" s="59">
        <f t="shared" si="29"/>
        <v>0</v>
      </c>
      <c r="L558" s="59">
        <f t="shared" si="30"/>
        <v>0</v>
      </c>
      <c r="M558" s="59">
        <f t="shared" si="31"/>
        <v>0</v>
      </c>
    </row>
    <row r="559" ht="15.0" hidden="1" customHeight="1">
      <c r="A559" s="59">
        <f t="shared" si="20"/>
        <v>6</v>
      </c>
      <c r="B559" s="59" t="str">
        <f t="shared" si="21"/>
        <v>Đã chốt</v>
      </c>
      <c r="C559" s="59" t="str">
        <f t="shared" si="22"/>
        <v>Téc 2</v>
      </c>
      <c r="D559" s="45">
        <f t="shared" si="23"/>
        <v>46058</v>
      </c>
      <c r="E559" s="45">
        <f t="shared" si="24"/>
        <v>46079</v>
      </c>
      <c r="F559" s="133">
        <f t="shared" si="25"/>
        <v>2</v>
      </c>
      <c r="G559" s="133">
        <f t="shared" si="26"/>
        <v>2026</v>
      </c>
      <c r="H559" s="59" t="str">
        <f t="shared" si="27"/>
        <v>28C05345</v>
      </c>
      <c r="I559" s="59">
        <f>IF(OR($A559="",$C559="",$D559="",$E559="",$H559=""),"",SUMIFS(DATA_GOC!$H:$H,DATA_GOC!$A:$A,"BOM",DATA_GOC!$D:$D,$H559,DATA_GOC!$E:$E,$C559,DATA_GOC!$F:$F,"Xuất nội bộ từ téc",DATA_GOC!$B:$B,"&gt;="&amp;$D559,DATA_GOC!$B:$B,"&lt;="&amp;$E559))</f>
        <v>126</v>
      </c>
      <c r="J559" s="59">
        <f t="shared" si="28"/>
        <v>4.045</v>
      </c>
      <c r="K559" s="59">
        <f t="shared" si="29"/>
        <v>0</v>
      </c>
      <c r="L559" s="59">
        <f t="shared" si="30"/>
        <v>130.045</v>
      </c>
      <c r="M559" s="59">
        <f t="shared" si="31"/>
        <v>0.01487076596</v>
      </c>
    </row>
    <row r="560" ht="15.0" hidden="1" customHeight="1">
      <c r="A560" s="59">
        <f t="shared" si="20"/>
        <v>6</v>
      </c>
      <c r="B560" s="59" t="str">
        <f t="shared" si="21"/>
        <v>Đã chốt</v>
      </c>
      <c r="C560" s="59" t="str">
        <f t="shared" si="22"/>
        <v>Téc 2</v>
      </c>
      <c r="D560" s="45">
        <f t="shared" si="23"/>
        <v>46058</v>
      </c>
      <c r="E560" s="45">
        <f t="shared" si="24"/>
        <v>46079</v>
      </c>
      <c r="F560" s="133">
        <f t="shared" si="25"/>
        <v>2</v>
      </c>
      <c r="G560" s="133">
        <f t="shared" si="26"/>
        <v>2026</v>
      </c>
      <c r="H560" s="59" t="str">
        <f t="shared" si="27"/>
        <v>28C05661</v>
      </c>
      <c r="I560" s="59">
        <f>IF(OR($A560="",$C560="",$D560="",$E560="",$H560=""),"",SUMIFS(DATA_GOC!$H:$H,DATA_GOC!$A:$A,"BOM",DATA_GOC!$D:$D,$H560,DATA_GOC!$E:$E,$C560,DATA_GOC!$F:$F,"Xuất nội bộ từ téc",DATA_GOC!$B:$B,"&gt;="&amp;$D560,DATA_GOC!$B:$B,"&lt;="&amp;$E560))</f>
        <v>390</v>
      </c>
      <c r="J560" s="59">
        <f t="shared" si="28"/>
        <v>12.52</v>
      </c>
      <c r="K560" s="59">
        <f t="shared" si="29"/>
        <v>0</v>
      </c>
      <c r="L560" s="59">
        <f t="shared" si="30"/>
        <v>402.52</v>
      </c>
      <c r="M560" s="59">
        <f t="shared" si="31"/>
        <v>0.04602856131</v>
      </c>
    </row>
    <row r="561" ht="15.0" hidden="1" customHeight="1">
      <c r="A561" s="59">
        <f t="shared" si="20"/>
        <v>6</v>
      </c>
      <c r="B561" s="59" t="str">
        <f t="shared" si="21"/>
        <v>Đã chốt</v>
      </c>
      <c r="C561" s="59" t="str">
        <f t="shared" si="22"/>
        <v>Téc 2</v>
      </c>
      <c r="D561" s="45">
        <f t="shared" si="23"/>
        <v>46058</v>
      </c>
      <c r="E561" s="45">
        <f t="shared" si="24"/>
        <v>46079</v>
      </c>
      <c r="F561" s="133">
        <f t="shared" si="25"/>
        <v>2</v>
      </c>
      <c r="G561" s="133">
        <f t="shared" si="26"/>
        <v>2026</v>
      </c>
      <c r="H561" s="59" t="str">
        <f t="shared" si="27"/>
        <v>28C05739</v>
      </c>
      <c r="I561" s="59">
        <f>IF(OR($A561="",$C561="",$D561="",$E561="",$H561=""),"",SUMIFS(DATA_GOC!$H:$H,DATA_GOC!$A:$A,"BOM",DATA_GOC!$D:$D,$H561,DATA_GOC!$E:$E,$C561,DATA_GOC!$F:$F,"Xuất nội bộ từ téc",DATA_GOC!$B:$B,"&gt;="&amp;$D561,DATA_GOC!$B:$B,"&lt;="&amp;$E561))</f>
        <v>247</v>
      </c>
      <c r="J561" s="59">
        <f t="shared" si="28"/>
        <v>7.929</v>
      </c>
      <c r="K561" s="59">
        <f t="shared" si="29"/>
        <v>0</v>
      </c>
      <c r="L561" s="59">
        <f t="shared" si="30"/>
        <v>254.929</v>
      </c>
      <c r="M561" s="59">
        <f t="shared" si="31"/>
        <v>0.02915142216</v>
      </c>
    </row>
    <row r="562" ht="15.0" hidden="1" customHeight="1">
      <c r="A562" s="59">
        <f t="shared" si="20"/>
        <v>6</v>
      </c>
      <c r="B562" s="59" t="str">
        <f t="shared" si="21"/>
        <v>Đã chốt</v>
      </c>
      <c r="C562" s="59" t="str">
        <f t="shared" si="22"/>
        <v>Téc 2</v>
      </c>
      <c r="D562" s="45">
        <f t="shared" si="23"/>
        <v>46058</v>
      </c>
      <c r="E562" s="45">
        <f t="shared" si="24"/>
        <v>46079</v>
      </c>
      <c r="F562" s="133">
        <f t="shared" si="25"/>
        <v>2</v>
      </c>
      <c r="G562" s="133">
        <f t="shared" si="26"/>
        <v>2026</v>
      </c>
      <c r="H562" s="59" t="str">
        <f t="shared" si="27"/>
        <v>28C06369</v>
      </c>
      <c r="I562" s="59">
        <f>IF(OR($A562="",$C562="",$D562="",$E562="",$H562=""),"",SUMIFS(DATA_GOC!$H:$H,DATA_GOC!$A:$A,"BOM",DATA_GOC!$D:$D,$H562,DATA_GOC!$E:$E,$C562,DATA_GOC!$F:$F,"Xuất nội bộ từ téc",DATA_GOC!$B:$B,"&gt;="&amp;$D562,DATA_GOC!$B:$B,"&lt;="&amp;$E562))</f>
        <v>220</v>
      </c>
      <c r="J562" s="59">
        <f t="shared" si="28"/>
        <v>7.062</v>
      </c>
      <c r="K562" s="59">
        <f t="shared" si="29"/>
        <v>0</v>
      </c>
      <c r="L562" s="59">
        <f t="shared" si="30"/>
        <v>227.062</v>
      </c>
      <c r="M562" s="59">
        <f t="shared" si="31"/>
        <v>0.02596482946</v>
      </c>
    </row>
    <row r="563" ht="15.0" hidden="1" customHeight="1">
      <c r="A563" s="59">
        <f t="shared" si="20"/>
        <v>6</v>
      </c>
      <c r="B563" s="59" t="str">
        <f t="shared" si="21"/>
        <v>Đã chốt</v>
      </c>
      <c r="C563" s="59" t="str">
        <f t="shared" si="22"/>
        <v>Téc 2</v>
      </c>
      <c r="D563" s="45">
        <f t="shared" si="23"/>
        <v>46058</v>
      </c>
      <c r="E563" s="45">
        <f t="shared" si="24"/>
        <v>46079</v>
      </c>
      <c r="F563" s="133">
        <f t="shared" si="25"/>
        <v>2</v>
      </c>
      <c r="G563" s="133">
        <f t="shared" si="26"/>
        <v>2026</v>
      </c>
      <c r="H563" s="59" t="str">
        <f t="shared" si="27"/>
        <v>28C06447</v>
      </c>
      <c r="I563" s="59">
        <f>IF(OR($A563="",$C563="",$D563="",$E563="",$H563=""),"",SUMIFS(DATA_GOC!$H:$H,DATA_GOC!$A:$A,"BOM",DATA_GOC!$D:$D,$H563,DATA_GOC!$E:$E,$C563,DATA_GOC!$F:$F,"Xuất nội bộ từ téc",DATA_GOC!$B:$B,"&gt;="&amp;$D563,DATA_GOC!$B:$B,"&lt;="&amp;$E563))</f>
        <v>350</v>
      </c>
      <c r="J563" s="59">
        <f t="shared" si="28"/>
        <v>11.236</v>
      </c>
      <c r="K563" s="59">
        <f t="shared" si="29"/>
        <v>0</v>
      </c>
      <c r="L563" s="59">
        <f t="shared" si="30"/>
        <v>361.236</v>
      </c>
      <c r="M563" s="59">
        <f t="shared" si="31"/>
        <v>0.04130768323</v>
      </c>
    </row>
    <row r="564" ht="15.0" hidden="1" customHeight="1">
      <c r="A564" s="59">
        <f t="shared" si="20"/>
        <v>6</v>
      </c>
      <c r="B564" s="59" t="str">
        <f t="shared" si="21"/>
        <v>Đã chốt</v>
      </c>
      <c r="C564" s="59" t="str">
        <f t="shared" si="22"/>
        <v>Téc 2</v>
      </c>
      <c r="D564" s="45">
        <f t="shared" si="23"/>
        <v>46058</v>
      </c>
      <c r="E564" s="45">
        <f t="shared" si="24"/>
        <v>46079</v>
      </c>
      <c r="F564" s="133">
        <f t="shared" si="25"/>
        <v>2</v>
      </c>
      <c r="G564" s="133">
        <f t="shared" si="26"/>
        <v>2026</v>
      </c>
      <c r="H564" s="59" t="str">
        <f t="shared" si="27"/>
        <v>28H00003</v>
      </c>
      <c r="I564" s="59">
        <f>IF(OR($A564="",$C564="",$D564="",$E564="",$H564=""),"",SUMIFS(DATA_GOC!$H:$H,DATA_GOC!$A:$A,"BOM",DATA_GOC!$D:$D,$H564,DATA_GOC!$E:$E,$C564,DATA_GOC!$F:$F,"Xuất nội bộ từ téc",DATA_GOC!$B:$B,"&gt;="&amp;$D564,DATA_GOC!$B:$B,"&lt;="&amp;$E564))</f>
        <v>400</v>
      </c>
      <c r="J564" s="59">
        <f t="shared" si="28"/>
        <v>12.841</v>
      </c>
      <c r="K564" s="59">
        <f t="shared" si="29"/>
        <v>0</v>
      </c>
      <c r="L564" s="59">
        <f t="shared" si="30"/>
        <v>412.841</v>
      </c>
      <c r="M564" s="59">
        <f t="shared" si="31"/>
        <v>0.04720878083</v>
      </c>
    </row>
    <row r="565" ht="15.0" hidden="1" customHeight="1">
      <c r="A565" s="59">
        <f t="shared" si="20"/>
        <v>6</v>
      </c>
      <c r="B565" s="59" t="str">
        <f t="shared" si="21"/>
        <v>Đã chốt</v>
      </c>
      <c r="C565" s="59" t="str">
        <f t="shared" si="22"/>
        <v>Téc 2</v>
      </c>
      <c r="D565" s="45">
        <f t="shared" si="23"/>
        <v>46058</v>
      </c>
      <c r="E565" s="45">
        <f t="shared" si="24"/>
        <v>46079</v>
      </c>
      <c r="F565" s="133">
        <f t="shared" si="25"/>
        <v>2</v>
      </c>
      <c r="G565" s="133">
        <f t="shared" si="26"/>
        <v>2026</v>
      </c>
      <c r="H565" s="59" t="str">
        <f t="shared" si="27"/>
        <v>28H00061</v>
      </c>
      <c r="I565" s="59">
        <f>IF(OR($A565="",$C565="",$D565="",$E565="",$H565=""),"",SUMIFS(DATA_GOC!$H:$H,DATA_GOC!$A:$A,"BOM",DATA_GOC!$D:$D,$H565,DATA_GOC!$E:$E,$C565,DATA_GOC!$F:$F,"Xuất nội bộ từ téc",DATA_GOC!$B:$B,"&gt;="&amp;$D565,DATA_GOC!$B:$B,"&lt;="&amp;$E565))</f>
        <v>173</v>
      </c>
      <c r="J565" s="59">
        <f t="shared" si="28"/>
        <v>5.554</v>
      </c>
      <c r="K565" s="59">
        <f t="shared" si="29"/>
        <v>0</v>
      </c>
      <c r="L565" s="59">
        <f t="shared" si="30"/>
        <v>178.554</v>
      </c>
      <c r="M565" s="59">
        <f t="shared" si="31"/>
        <v>0.02041779771</v>
      </c>
    </row>
    <row r="566" ht="15.0" hidden="1" customHeight="1">
      <c r="A566" s="59">
        <f t="shared" si="20"/>
        <v>6</v>
      </c>
      <c r="B566" s="59" t="str">
        <f t="shared" si="21"/>
        <v>Đã chốt</v>
      </c>
      <c r="C566" s="59" t="str">
        <f t="shared" si="22"/>
        <v>Téc 2</v>
      </c>
      <c r="D566" s="45">
        <f t="shared" si="23"/>
        <v>46058</v>
      </c>
      <c r="E566" s="45">
        <f t="shared" si="24"/>
        <v>46079</v>
      </c>
      <c r="F566" s="133">
        <f t="shared" si="25"/>
        <v>2</v>
      </c>
      <c r="G566" s="133">
        <f t="shared" si="26"/>
        <v>2026</v>
      </c>
      <c r="H566" s="59" t="str">
        <f t="shared" si="27"/>
        <v>28H00354</v>
      </c>
      <c r="I566" s="59">
        <f>IF(OR($A566="",$C566="",$D566="",$E566="",$H566=""),"",SUMIFS(DATA_GOC!$H:$H,DATA_GOC!$A:$A,"BOM",DATA_GOC!$D:$D,$H566,DATA_GOC!$E:$E,$C566,DATA_GOC!$F:$F,"Xuất nội bộ từ téc",DATA_GOC!$B:$B,"&gt;="&amp;$D566,DATA_GOC!$B:$B,"&lt;="&amp;$E566))</f>
        <v>262</v>
      </c>
      <c r="J566" s="59">
        <f t="shared" si="28"/>
        <v>8.411</v>
      </c>
      <c r="K566" s="59">
        <f t="shared" si="29"/>
        <v>0</v>
      </c>
      <c r="L566" s="59">
        <f t="shared" si="30"/>
        <v>270.411</v>
      </c>
      <c r="M566" s="59">
        <f t="shared" si="31"/>
        <v>0.03092175145</v>
      </c>
    </row>
    <row r="567" ht="15.0" hidden="1" customHeight="1">
      <c r="A567" s="59">
        <f t="shared" si="20"/>
        <v>6</v>
      </c>
      <c r="B567" s="59" t="str">
        <f t="shared" si="21"/>
        <v>Đã chốt</v>
      </c>
      <c r="C567" s="59" t="str">
        <f t="shared" si="22"/>
        <v>Téc 2</v>
      </c>
      <c r="D567" s="45">
        <f t="shared" si="23"/>
        <v>46058</v>
      </c>
      <c r="E567" s="45">
        <f t="shared" si="24"/>
        <v>46079</v>
      </c>
      <c r="F567" s="133">
        <f t="shared" si="25"/>
        <v>2</v>
      </c>
      <c r="G567" s="133">
        <f t="shared" si="26"/>
        <v>2026</v>
      </c>
      <c r="H567" s="59" t="str">
        <f t="shared" si="27"/>
        <v>28H00603</v>
      </c>
      <c r="I567" s="59">
        <f>IF(OR($A567="",$C567="",$D567="",$E567="",$H567=""),"",SUMIFS(DATA_GOC!$H:$H,DATA_GOC!$A:$A,"BOM",DATA_GOC!$D:$D,$H567,DATA_GOC!$E:$E,$C567,DATA_GOC!$F:$F,"Xuất nội bộ từ téc",DATA_GOC!$B:$B,"&gt;="&amp;$D567,DATA_GOC!$B:$B,"&lt;="&amp;$E567))</f>
        <v>235</v>
      </c>
      <c r="J567" s="59">
        <f t="shared" si="28"/>
        <v>7.544</v>
      </c>
      <c r="K567" s="59">
        <f t="shared" si="29"/>
        <v>0</v>
      </c>
      <c r="L567" s="59">
        <f t="shared" si="30"/>
        <v>242.544</v>
      </c>
      <c r="M567" s="59">
        <f t="shared" si="31"/>
        <v>0.02773515874</v>
      </c>
    </row>
    <row r="568" ht="15.0" hidden="1" customHeight="1">
      <c r="A568" s="59">
        <f t="shared" si="20"/>
        <v>6</v>
      </c>
      <c r="B568" s="59" t="str">
        <f t="shared" si="21"/>
        <v>Đã chốt</v>
      </c>
      <c r="C568" s="59" t="str">
        <f t="shared" si="22"/>
        <v>Téc 2</v>
      </c>
      <c r="D568" s="45">
        <f t="shared" si="23"/>
        <v>46058</v>
      </c>
      <c r="E568" s="45">
        <f t="shared" si="24"/>
        <v>46079</v>
      </c>
      <c r="F568" s="133">
        <f t="shared" si="25"/>
        <v>2</v>
      </c>
      <c r="G568" s="133">
        <f t="shared" si="26"/>
        <v>2026</v>
      </c>
      <c r="H568" s="59" t="str">
        <f t="shared" si="27"/>
        <v>28H00609</v>
      </c>
      <c r="I568" s="59">
        <f>IF(OR($A568="",$C568="",$D568="",$E568="",$H568=""),"",SUMIFS(DATA_GOC!$H:$H,DATA_GOC!$A:$A,"BOM",DATA_GOC!$D:$D,$H568,DATA_GOC!$E:$E,$C568,DATA_GOC!$F:$F,"Xuất nội bộ từ téc",DATA_GOC!$B:$B,"&gt;="&amp;$D568,DATA_GOC!$B:$B,"&lt;="&amp;$E568))</f>
        <v>240</v>
      </c>
      <c r="J568" s="59">
        <f t="shared" si="28"/>
        <v>7.704</v>
      </c>
      <c r="K568" s="59">
        <f t="shared" si="29"/>
        <v>0</v>
      </c>
      <c r="L568" s="59">
        <f t="shared" si="30"/>
        <v>247.704</v>
      </c>
      <c r="M568" s="59">
        <f t="shared" si="31"/>
        <v>0.0283252685</v>
      </c>
    </row>
    <row r="569" ht="15.0" hidden="1" customHeight="1">
      <c r="A569" s="59">
        <f t="shared" si="20"/>
        <v>6</v>
      </c>
      <c r="B569" s="59" t="str">
        <f t="shared" si="21"/>
        <v>Đã chốt</v>
      </c>
      <c r="C569" s="59" t="str">
        <f t="shared" si="22"/>
        <v>Téc 2</v>
      </c>
      <c r="D569" s="45">
        <f t="shared" si="23"/>
        <v>46058</v>
      </c>
      <c r="E569" s="45">
        <f t="shared" si="24"/>
        <v>46079</v>
      </c>
      <c r="F569" s="133">
        <f t="shared" si="25"/>
        <v>2</v>
      </c>
      <c r="G569" s="133">
        <f t="shared" si="26"/>
        <v>2026</v>
      </c>
      <c r="H569" s="59" t="str">
        <f t="shared" si="27"/>
        <v>28H00669</v>
      </c>
      <c r="I569" s="59">
        <f>IF(OR($A569="",$C569="",$D569="",$E569="",$H569=""),"",SUMIFS(DATA_GOC!$H:$H,DATA_GOC!$A:$A,"BOM",DATA_GOC!$D:$D,$H569,DATA_GOC!$E:$E,$C569,DATA_GOC!$F:$F,"Xuất nội bộ từ téc",DATA_GOC!$B:$B,"&gt;="&amp;$D569,DATA_GOC!$B:$B,"&lt;="&amp;$E569))</f>
        <v>829</v>
      </c>
      <c r="J569" s="59">
        <f t="shared" si="28"/>
        <v>26.613</v>
      </c>
      <c r="K569" s="59">
        <f t="shared" si="29"/>
        <v>0</v>
      </c>
      <c r="L569" s="59">
        <f t="shared" si="30"/>
        <v>855.613</v>
      </c>
      <c r="M569" s="59">
        <f t="shared" si="31"/>
        <v>0.09784019828</v>
      </c>
    </row>
    <row r="570" ht="15.0" hidden="1" customHeight="1">
      <c r="A570" s="59">
        <f t="shared" si="20"/>
        <v>6</v>
      </c>
      <c r="B570" s="59" t="str">
        <f t="shared" si="21"/>
        <v>Đã chốt</v>
      </c>
      <c r="C570" s="59" t="str">
        <f t="shared" si="22"/>
        <v>Téc 2</v>
      </c>
      <c r="D570" s="45">
        <f t="shared" si="23"/>
        <v>46058</v>
      </c>
      <c r="E570" s="45">
        <f t="shared" si="24"/>
        <v>46079</v>
      </c>
      <c r="F570" s="133">
        <f t="shared" si="25"/>
        <v>2</v>
      </c>
      <c r="G570" s="133">
        <f t="shared" si="26"/>
        <v>2026</v>
      </c>
      <c r="H570" s="59" t="str">
        <f t="shared" si="27"/>
        <v>28H00680</v>
      </c>
      <c r="I570" s="59">
        <f>IF(OR($A570="",$C570="",$D570="",$E570="",$H570=""),"",SUMIFS(DATA_GOC!$H:$H,DATA_GOC!$A:$A,"BOM",DATA_GOC!$D:$D,$H570,DATA_GOC!$E:$E,$C570,DATA_GOC!$F:$F,"Xuất nội bộ từ téc",DATA_GOC!$B:$B,"&gt;="&amp;$D570,DATA_GOC!$B:$B,"&lt;="&amp;$E570))</f>
        <v>0</v>
      </c>
      <c r="J570" s="59">
        <f t="shared" si="28"/>
        <v>0</v>
      </c>
      <c r="K570" s="59">
        <f t="shared" si="29"/>
        <v>0</v>
      </c>
      <c r="L570" s="59">
        <f t="shared" si="30"/>
        <v>0</v>
      </c>
      <c r="M570" s="59">
        <f t="shared" si="31"/>
        <v>0</v>
      </c>
    </row>
    <row r="571" ht="15.0" hidden="1" customHeight="1">
      <c r="A571" s="59">
        <f t="shared" si="20"/>
        <v>6</v>
      </c>
      <c r="B571" s="59" t="str">
        <f t="shared" si="21"/>
        <v>Đã chốt</v>
      </c>
      <c r="C571" s="59" t="str">
        <f t="shared" si="22"/>
        <v>Téc 2</v>
      </c>
      <c r="D571" s="45">
        <f t="shared" si="23"/>
        <v>46058</v>
      </c>
      <c r="E571" s="45">
        <f t="shared" si="24"/>
        <v>46079</v>
      </c>
      <c r="F571" s="133">
        <f t="shared" si="25"/>
        <v>2</v>
      </c>
      <c r="G571" s="133">
        <f t="shared" si="26"/>
        <v>2026</v>
      </c>
      <c r="H571" s="59" t="str">
        <f t="shared" si="27"/>
        <v>28H01070</v>
      </c>
      <c r="I571" s="59">
        <f>IF(OR($A571="",$C571="",$D571="",$E571="",$H571=""),"",SUMIFS(DATA_GOC!$H:$H,DATA_GOC!$A:$A,"BOM",DATA_GOC!$D:$D,$H571,DATA_GOC!$E:$E,$C571,DATA_GOC!$F:$F,"Xuất nội bộ từ téc",DATA_GOC!$B:$B,"&gt;="&amp;$D571,DATA_GOC!$B:$B,"&lt;="&amp;$E571))</f>
        <v>0</v>
      </c>
      <c r="J571" s="59">
        <f t="shared" si="28"/>
        <v>0</v>
      </c>
      <c r="K571" s="59">
        <f t="shared" si="29"/>
        <v>0</v>
      </c>
      <c r="L571" s="59">
        <f t="shared" si="30"/>
        <v>0</v>
      </c>
      <c r="M571" s="59">
        <f t="shared" si="31"/>
        <v>0</v>
      </c>
    </row>
    <row r="572" ht="15.0" hidden="1" customHeight="1">
      <c r="A572" s="59">
        <f t="shared" si="20"/>
        <v>6</v>
      </c>
      <c r="B572" s="59" t="str">
        <f t="shared" si="21"/>
        <v>Đã chốt</v>
      </c>
      <c r="C572" s="59" t="str">
        <f t="shared" si="22"/>
        <v>Téc 2</v>
      </c>
      <c r="D572" s="45">
        <f t="shared" si="23"/>
        <v>46058</v>
      </c>
      <c r="E572" s="45">
        <f t="shared" si="24"/>
        <v>46079</v>
      </c>
      <c r="F572" s="133">
        <f t="shared" si="25"/>
        <v>2</v>
      </c>
      <c r="G572" s="133">
        <f t="shared" si="26"/>
        <v>2026</v>
      </c>
      <c r="H572" s="59" t="str">
        <f t="shared" si="27"/>
        <v>28H01364</v>
      </c>
      <c r="I572" s="59">
        <f>IF(OR($A572="",$C572="",$D572="",$E572="",$H572=""),"",SUMIFS(DATA_GOC!$H:$H,DATA_GOC!$A:$A,"BOM",DATA_GOC!$D:$D,$H572,DATA_GOC!$E:$E,$C572,DATA_GOC!$F:$F,"Xuất nội bộ từ téc",DATA_GOC!$B:$B,"&gt;="&amp;$D572,DATA_GOC!$B:$B,"&lt;="&amp;$E572))</f>
        <v>616</v>
      </c>
      <c r="J572" s="59">
        <f t="shared" si="28"/>
        <v>19.775</v>
      </c>
      <c r="K572" s="59">
        <f t="shared" si="29"/>
        <v>0</v>
      </c>
      <c r="L572" s="59">
        <f t="shared" si="30"/>
        <v>635.775</v>
      </c>
      <c r="M572" s="59">
        <f t="shared" si="31"/>
        <v>0.07270152248</v>
      </c>
    </row>
    <row r="573" ht="15.0" hidden="1" customHeight="1">
      <c r="A573" s="59">
        <f t="shared" si="20"/>
        <v>6</v>
      </c>
      <c r="B573" s="59" t="str">
        <f t="shared" si="21"/>
        <v>Đã chốt</v>
      </c>
      <c r="C573" s="59" t="str">
        <f t="shared" si="22"/>
        <v>Téc 2</v>
      </c>
      <c r="D573" s="45">
        <f t="shared" si="23"/>
        <v>46058</v>
      </c>
      <c r="E573" s="45">
        <f t="shared" si="24"/>
        <v>46079</v>
      </c>
      <c r="F573" s="133">
        <f t="shared" si="25"/>
        <v>2</v>
      </c>
      <c r="G573" s="133">
        <f t="shared" si="26"/>
        <v>2026</v>
      </c>
      <c r="H573" s="59" t="str">
        <f t="shared" si="27"/>
        <v>29E17269</v>
      </c>
      <c r="I573" s="59">
        <f>IF(OR($A573="",$C573="",$D573="",$E573="",$H573=""),"",SUMIFS(DATA_GOC!$H:$H,DATA_GOC!$A:$A,"BOM",DATA_GOC!$D:$D,$H573,DATA_GOC!$E:$E,$C573,DATA_GOC!$F:$F,"Xuất nội bộ từ téc",DATA_GOC!$B:$B,"&gt;="&amp;$D573,DATA_GOC!$B:$B,"&lt;="&amp;$E573))</f>
        <v>0</v>
      </c>
      <c r="J573" s="59">
        <f t="shared" si="28"/>
        <v>0</v>
      </c>
      <c r="K573" s="59">
        <f t="shared" si="29"/>
        <v>0</v>
      </c>
      <c r="L573" s="59">
        <f t="shared" si="30"/>
        <v>0</v>
      </c>
      <c r="M573" s="59">
        <f t="shared" si="31"/>
        <v>0</v>
      </c>
    </row>
    <row r="574" ht="15.0" hidden="1" customHeight="1">
      <c r="A574" s="59">
        <f t="shared" si="20"/>
        <v>6</v>
      </c>
      <c r="B574" s="59" t="str">
        <f t="shared" si="21"/>
        <v>Đã chốt</v>
      </c>
      <c r="C574" s="59" t="str">
        <f t="shared" si="22"/>
        <v>Téc 2</v>
      </c>
      <c r="D574" s="45">
        <f t="shared" si="23"/>
        <v>46058</v>
      </c>
      <c r="E574" s="45">
        <f t="shared" si="24"/>
        <v>46079</v>
      </c>
      <c r="F574" s="133">
        <f t="shared" si="25"/>
        <v>2</v>
      </c>
      <c r="G574" s="133">
        <f t="shared" si="26"/>
        <v>2026</v>
      </c>
      <c r="H574" s="59" t="str">
        <f t="shared" si="27"/>
        <v>29E17273</v>
      </c>
      <c r="I574" s="59">
        <f>IF(OR($A574="",$C574="",$D574="",$E574="",$H574=""),"",SUMIFS(DATA_GOC!$H:$H,DATA_GOC!$A:$A,"BOM",DATA_GOC!$D:$D,$H574,DATA_GOC!$E:$E,$C574,DATA_GOC!$F:$F,"Xuất nội bộ từ téc",DATA_GOC!$B:$B,"&gt;="&amp;$D574,DATA_GOC!$B:$B,"&lt;="&amp;$E574))</f>
        <v>0</v>
      </c>
      <c r="J574" s="59">
        <f t="shared" si="28"/>
        <v>0</v>
      </c>
      <c r="K574" s="59">
        <f t="shared" si="29"/>
        <v>0</v>
      </c>
      <c r="L574" s="59">
        <f t="shared" si="30"/>
        <v>0</v>
      </c>
      <c r="M574" s="59">
        <f t="shared" si="31"/>
        <v>0</v>
      </c>
    </row>
    <row r="575" ht="15.0" hidden="1" customHeight="1">
      <c r="A575" s="59">
        <f t="shared" si="20"/>
        <v>6</v>
      </c>
      <c r="B575" s="59" t="str">
        <f t="shared" si="21"/>
        <v>Đã chốt</v>
      </c>
      <c r="C575" s="59" t="str">
        <f t="shared" si="22"/>
        <v>Téc 2</v>
      </c>
      <c r="D575" s="45">
        <f t="shared" si="23"/>
        <v>46058</v>
      </c>
      <c r="E575" s="45">
        <f t="shared" si="24"/>
        <v>46079</v>
      </c>
      <c r="F575" s="133">
        <f t="shared" si="25"/>
        <v>2</v>
      </c>
      <c r="G575" s="133">
        <f t="shared" si="26"/>
        <v>2026</v>
      </c>
      <c r="H575" s="59" t="str">
        <f t="shared" si="27"/>
        <v>29E17410</v>
      </c>
      <c r="I575" s="59">
        <f>IF(OR($A575="",$C575="",$D575="",$E575="",$H575=""),"",SUMIFS(DATA_GOC!$H:$H,DATA_GOC!$A:$A,"BOM",DATA_GOC!$D:$D,$H575,DATA_GOC!$E:$E,$C575,DATA_GOC!$F:$F,"Xuất nội bộ từ téc",DATA_GOC!$B:$B,"&gt;="&amp;$D575,DATA_GOC!$B:$B,"&lt;="&amp;$E575))</f>
        <v>0</v>
      </c>
      <c r="J575" s="59">
        <f t="shared" si="28"/>
        <v>0</v>
      </c>
      <c r="K575" s="59">
        <f t="shared" si="29"/>
        <v>0</v>
      </c>
      <c r="L575" s="59">
        <f t="shared" si="30"/>
        <v>0</v>
      </c>
      <c r="M575" s="59">
        <f t="shared" si="31"/>
        <v>0</v>
      </c>
    </row>
    <row r="576" ht="15.0" hidden="1" customHeight="1">
      <c r="A576" s="59">
        <f t="shared" si="20"/>
        <v>6</v>
      </c>
      <c r="B576" s="59" t="str">
        <f t="shared" si="21"/>
        <v>Đã chốt</v>
      </c>
      <c r="C576" s="59" t="str">
        <f t="shared" si="22"/>
        <v>Téc 2</v>
      </c>
      <c r="D576" s="45">
        <f t="shared" si="23"/>
        <v>46058</v>
      </c>
      <c r="E576" s="45">
        <f t="shared" si="24"/>
        <v>46079</v>
      </c>
      <c r="F576" s="133">
        <f t="shared" si="25"/>
        <v>2</v>
      </c>
      <c r="G576" s="133">
        <f t="shared" si="26"/>
        <v>2026</v>
      </c>
      <c r="H576" s="59" t="str">
        <f t="shared" si="27"/>
        <v>29E17417</v>
      </c>
      <c r="I576" s="59">
        <f>IF(OR($A576="",$C576="",$D576="",$E576="",$H576=""),"",SUMIFS(DATA_GOC!$H:$H,DATA_GOC!$A:$A,"BOM",DATA_GOC!$D:$D,$H576,DATA_GOC!$E:$E,$C576,DATA_GOC!$F:$F,"Xuất nội bộ từ téc",DATA_GOC!$B:$B,"&gt;="&amp;$D576,DATA_GOC!$B:$B,"&lt;="&amp;$E576))</f>
        <v>0</v>
      </c>
      <c r="J576" s="59">
        <f t="shared" si="28"/>
        <v>0</v>
      </c>
      <c r="K576" s="59">
        <f t="shared" si="29"/>
        <v>0</v>
      </c>
      <c r="L576" s="59">
        <f t="shared" si="30"/>
        <v>0</v>
      </c>
      <c r="M576" s="59">
        <f t="shared" si="31"/>
        <v>0</v>
      </c>
    </row>
    <row r="577" ht="15.0" hidden="1" customHeight="1">
      <c r="A577" s="59">
        <f t="shared" si="20"/>
        <v>6</v>
      </c>
      <c r="B577" s="59" t="str">
        <f t="shared" si="21"/>
        <v>Đã chốt</v>
      </c>
      <c r="C577" s="59" t="str">
        <f t="shared" si="22"/>
        <v>Téc 2</v>
      </c>
      <c r="D577" s="45">
        <f t="shared" si="23"/>
        <v>46058</v>
      </c>
      <c r="E577" s="45">
        <f t="shared" si="24"/>
        <v>46079</v>
      </c>
      <c r="F577" s="133">
        <f t="shared" si="25"/>
        <v>2</v>
      </c>
      <c r="G577" s="133">
        <f t="shared" si="26"/>
        <v>2026</v>
      </c>
      <c r="H577" s="59" t="str">
        <f t="shared" si="27"/>
        <v>29E17539</v>
      </c>
      <c r="I577" s="59">
        <f>IF(OR($A577="",$C577="",$D577="",$E577="",$H577=""),"",SUMIFS(DATA_GOC!$H:$H,DATA_GOC!$A:$A,"BOM",DATA_GOC!$D:$D,$H577,DATA_GOC!$E:$E,$C577,DATA_GOC!$F:$F,"Xuất nội bộ từ téc",DATA_GOC!$B:$B,"&gt;="&amp;$D577,DATA_GOC!$B:$B,"&lt;="&amp;$E577))</f>
        <v>0</v>
      </c>
      <c r="J577" s="59">
        <f t="shared" si="28"/>
        <v>0</v>
      </c>
      <c r="K577" s="59">
        <f t="shared" si="29"/>
        <v>0</v>
      </c>
      <c r="L577" s="59">
        <f t="shared" si="30"/>
        <v>0</v>
      </c>
      <c r="M577" s="59">
        <f t="shared" si="31"/>
        <v>0</v>
      </c>
    </row>
    <row r="578" ht="15.0" hidden="1" customHeight="1">
      <c r="A578" s="59">
        <f t="shared" si="20"/>
        <v>6</v>
      </c>
      <c r="B578" s="59" t="str">
        <f t="shared" si="21"/>
        <v>Đã chốt</v>
      </c>
      <c r="C578" s="59" t="str">
        <f t="shared" si="22"/>
        <v>Téc 2</v>
      </c>
      <c r="D578" s="45">
        <f t="shared" si="23"/>
        <v>46058</v>
      </c>
      <c r="E578" s="45">
        <f t="shared" si="24"/>
        <v>46079</v>
      </c>
      <c r="F578" s="133">
        <f t="shared" si="25"/>
        <v>2</v>
      </c>
      <c r="G578" s="133">
        <f t="shared" si="26"/>
        <v>2026</v>
      </c>
      <c r="H578" s="59" t="str">
        <f t="shared" si="27"/>
        <v>29E18160</v>
      </c>
      <c r="I578" s="59">
        <f>IF(OR($A578="",$C578="",$D578="",$E578="",$H578=""),"",SUMIFS(DATA_GOC!$H:$H,DATA_GOC!$A:$A,"BOM",DATA_GOC!$D:$D,$H578,DATA_GOC!$E:$E,$C578,DATA_GOC!$F:$F,"Xuất nội bộ từ téc",DATA_GOC!$B:$B,"&gt;="&amp;$D578,DATA_GOC!$B:$B,"&lt;="&amp;$E578))</f>
        <v>0</v>
      </c>
      <c r="J578" s="59">
        <f t="shared" si="28"/>
        <v>0</v>
      </c>
      <c r="K578" s="59">
        <f t="shared" si="29"/>
        <v>0</v>
      </c>
      <c r="L578" s="59">
        <f t="shared" si="30"/>
        <v>0</v>
      </c>
      <c r="M578" s="59">
        <f t="shared" si="31"/>
        <v>0</v>
      </c>
    </row>
    <row r="579" ht="15.0" hidden="1" customHeight="1">
      <c r="A579" s="59">
        <f t="shared" si="20"/>
        <v>6</v>
      </c>
      <c r="B579" s="59" t="str">
        <f t="shared" si="21"/>
        <v>Đã chốt</v>
      </c>
      <c r="C579" s="59" t="str">
        <f t="shared" si="22"/>
        <v>Téc 2</v>
      </c>
      <c r="D579" s="45">
        <f t="shared" si="23"/>
        <v>46058</v>
      </c>
      <c r="E579" s="45">
        <f t="shared" si="24"/>
        <v>46079</v>
      </c>
      <c r="F579" s="133">
        <f t="shared" si="25"/>
        <v>2</v>
      </c>
      <c r="G579" s="133">
        <f t="shared" si="26"/>
        <v>2026</v>
      </c>
      <c r="H579" s="59" t="str">
        <f t="shared" si="27"/>
        <v>Công trình Asphalt</v>
      </c>
      <c r="I579" s="59">
        <f>IF(OR($A579="",$C579="",$D579="",$E579="",$H579=""),"",SUMIFS(DATA_GOC!$H:$H,DATA_GOC!$A:$A,"BOM",DATA_GOC!$D:$D,$H579,DATA_GOC!$E:$E,$C579,DATA_GOC!$F:$F,"Xuất nội bộ từ téc",DATA_GOC!$B:$B,"&gt;="&amp;$D579,DATA_GOC!$B:$B,"&lt;="&amp;$E579))</f>
        <v>132</v>
      </c>
      <c r="J579" s="59">
        <f t="shared" si="28"/>
        <v>4.237</v>
      </c>
      <c r="K579" s="59">
        <f t="shared" si="29"/>
        <v>0</v>
      </c>
      <c r="L579" s="59">
        <f t="shared" si="30"/>
        <v>136.237</v>
      </c>
      <c r="M579" s="59">
        <f t="shared" si="31"/>
        <v>0.01557889767</v>
      </c>
    </row>
    <row r="580" ht="15.0" hidden="1" customHeight="1">
      <c r="A580" s="59">
        <f t="shared" si="20"/>
        <v>6</v>
      </c>
      <c r="B580" s="59" t="str">
        <f t="shared" si="21"/>
        <v>Đã chốt</v>
      </c>
      <c r="C580" s="59" t="str">
        <f t="shared" si="22"/>
        <v>Téc 2</v>
      </c>
      <c r="D580" s="45">
        <f t="shared" si="23"/>
        <v>46058</v>
      </c>
      <c r="E580" s="45">
        <f t="shared" si="24"/>
        <v>46079</v>
      </c>
      <c r="F580" s="133">
        <f t="shared" si="25"/>
        <v>2</v>
      </c>
      <c r="G580" s="133">
        <f t="shared" si="26"/>
        <v>2026</v>
      </c>
      <c r="H580" s="59" t="str">
        <f t="shared" si="27"/>
        <v>LG53F</v>
      </c>
      <c r="I580" s="59">
        <f>IF(OR($A580="",$C580="",$D580="",$E580="",$H580=""),"",SUMIFS(DATA_GOC!$H:$H,DATA_GOC!$A:$A,"BOM",DATA_GOC!$D:$D,$H580,DATA_GOC!$E:$E,$C580,DATA_GOC!$F:$F,"Xuất nội bộ từ téc",DATA_GOC!$B:$B,"&gt;="&amp;$D580,DATA_GOC!$B:$B,"&lt;="&amp;$E580))</f>
        <v>0</v>
      </c>
      <c r="J580" s="59">
        <f t="shared" si="28"/>
        <v>0</v>
      </c>
      <c r="K580" s="59">
        <f t="shared" si="29"/>
        <v>0</v>
      </c>
      <c r="L580" s="59">
        <f t="shared" si="30"/>
        <v>0</v>
      </c>
      <c r="M580" s="59">
        <f t="shared" si="31"/>
        <v>0</v>
      </c>
    </row>
    <row r="581" ht="15.0" hidden="1" customHeight="1">
      <c r="A581" s="59">
        <f t="shared" si="20"/>
        <v>6</v>
      </c>
      <c r="B581" s="59" t="str">
        <f t="shared" si="21"/>
        <v>Đã chốt</v>
      </c>
      <c r="C581" s="59" t="str">
        <f t="shared" si="22"/>
        <v>Téc 2</v>
      </c>
      <c r="D581" s="45">
        <f t="shared" si="23"/>
        <v>46058</v>
      </c>
      <c r="E581" s="45">
        <f t="shared" si="24"/>
        <v>46079</v>
      </c>
      <c r="F581" s="133">
        <f t="shared" si="25"/>
        <v>2</v>
      </c>
      <c r="G581" s="133">
        <f t="shared" si="26"/>
        <v>2026</v>
      </c>
      <c r="H581" s="59" t="str">
        <f t="shared" si="27"/>
        <v>Máy phát điện</v>
      </c>
      <c r="I581" s="59">
        <f>IF(OR($A581="",$C581="",$D581="",$E581="",$H581=""),"",SUMIFS(DATA_GOC!$H:$H,DATA_GOC!$A:$A,"BOM",DATA_GOC!$D:$D,$H581,DATA_GOC!$E:$E,$C581,DATA_GOC!$F:$F,"Xuất nội bộ từ téc",DATA_GOC!$B:$B,"&gt;="&amp;$D581,DATA_GOC!$B:$B,"&lt;="&amp;$E581))</f>
        <v>60</v>
      </c>
      <c r="J581" s="59">
        <f t="shared" si="28"/>
        <v>1.926</v>
      </c>
      <c r="K581" s="59">
        <f t="shared" si="29"/>
        <v>0</v>
      </c>
      <c r="L581" s="59">
        <f t="shared" si="30"/>
        <v>61.926</v>
      </c>
      <c r="M581" s="59">
        <f t="shared" si="31"/>
        <v>0.007081317125</v>
      </c>
    </row>
    <row r="582" ht="15.0" hidden="1" customHeight="1">
      <c r="A582" s="59">
        <f t="shared" si="20"/>
        <v>6</v>
      </c>
      <c r="B582" s="59" t="str">
        <f t="shared" si="21"/>
        <v>Đã chốt</v>
      </c>
      <c r="C582" s="59" t="str">
        <f t="shared" si="22"/>
        <v>Téc 2</v>
      </c>
      <c r="D582" s="45">
        <f t="shared" si="23"/>
        <v>46058</v>
      </c>
      <c r="E582" s="45">
        <f t="shared" si="24"/>
        <v>46079</v>
      </c>
      <c r="F582" s="133">
        <f t="shared" si="25"/>
        <v>2</v>
      </c>
      <c r="G582" s="133">
        <f t="shared" si="26"/>
        <v>2026</v>
      </c>
      <c r="H582" s="59" t="str">
        <f t="shared" si="27"/>
        <v>Máy rải thảm</v>
      </c>
      <c r="I582" s="59">
        <f>IF(OR($A582="",$C582="",$D582="",$E582="",$H582=""),"",SUMIFS(DATA_GOC!$H:$H,DATA_GOC!$A:$A,"BOM",DATA_GOC!$D:$D,$H582,DATA_GOC!$E:$E,$C582,DATA_GOC!$F:$F,"Xuất nội bộ từ téc",DATA_GOC!$B:$B,"&gt;="&amp;$D582,DATA_GOC!$B:$B,"&lt;="&amp;$E582))</f>
        <v>0</v>
      </c>
      <c r="J582" s="59">
        <f t="shared" si="28"/>
        <v>0</v>
      </c>
      <c r="K582" s="59">
        <f t="shared" si="29"/>
        <v>0</v>
      </c>
      <c r="L582" s="59">
        <f t="shared" si="30"/>
        <v>0</v>
      </c>
      <c r="M582" s="59">
        <f t="shared" si="31"/>
        <v>0</v>
      </c>
    </row>
    <row r="583" ht="15.0" hidden="1" customHeight="1">
      <c r="A583" s="59">
        <f t="shared" si="20"/>
        <v>6</v>
      </c>
      <c r="B583" s="59" t="str">
        <f t="shared" si="21"/>
        <v>Đã chốt</v>
      </c>
      <c r="C583" s="59" t="str">
        <f t="shared" si="22"/>
        <v>Téc 2</v>
      </c>
      <c r="D583" s="45">
        <f t="shared" si="23"/>
        <v>46058</v>
      </c>
      <c r="E583" s="45">
        <f t="shared" si="24"/>
        <v>46079</v>
      </c>
      <c r="F583" s="133">
        <f t="shared" si="25"/>
        <v>2</v>
      </c>
      <c r="G583" s="133">
        <f t="shared" si="26"/>
        <v>2026</v>
      </c>
      <c r="H583" s="59" t="str">
        <f t="shared" si="27"/>
        <v>Xúc Đào</v>
      </c>
      <c r="I583" s="59">
        <f>IF(OR($A583="",$C583="",$D583="",$E583="",$H583=""),"",SUMIFS(DATA_GOC!$H:$H,DATA_GOC!$A:$A,"BOM",DATA_GOC!$D:$D,$H583,DATA_GOC!$E:$E,$C583,DATA_GOC!$F:$F,"Xuất nội bộ từ téc",DATA_GOC!$B:$B,"&gt;="&amp;$D583,DATA_GOC!$B:$B,"&lt;="&amp;$E583))</f>
        <v>0</v>
      </c>
      <c r="J583" s="59">
        <f t="shared" si="28"/>
        <v>0</v>
      </c>
      <c r="K583" s="59">
        <f t="shared" si="29"/>
        <v>0</v>
      </c>
      <c r="L583" s="59">
        <f t="shared" si="30"/>
        <v>0</v>
      </c>
      <c r="M583" s="59">
        <f t="shared" si="31"/>
        <v>0</v>
      </c>
    </row>
    <row r="584" ht="15.0" hidden="1" customHeight="1">
      <c r="A584" s="59">
        <f t="shared" si="20"/>
        <v>6</v>
      </c>
      <c r="B584" s="59" t="str">
        <f t="shared" si="21"/>
        <v>Đã chốt</v>
      </c>
      <c r="C584" s="59" t="str">
        <f t="shared" si="22"/>
        <v>Téc 2</v>
      </c>
      <c r="D584" s="45">
        <f t="shared" si="23"/>
        <v>46058</v>
      </c>
      <c r="E584" s="45">
        <f t="shared" si="24"/>
        <v>46079</v>
      </c>
      <c r="F584" s="133">
        <f t="shared" si="25"/>
        <v>2</v>
      </c>
      <c r="G584" s="133">
        <f t="shared" si="26"/>
        <v>2026</v>
      </c>
      <c r="H584" s="59" t="str">
        <f t="shared" si="27"/>
        <v>Xúclật asphalt</v>
      </c>
      <c r="I584" s="59">
        <f>IF(OR($A584="",$C584="",$D584="",$E584="",$H584=""),"",SUMIFS(DATA_GOC!$H:$H,DATA_GOC!$A:$A,"BOM",DATA_GOC!$D:$D,$H584,DATA_GOC!$E:$E,$C584,DATA_GOC!$F:$F,"Xuất nội bộ từ téc",DATA_GOC!$B:$B,"&gt;="&amp;$D584,DATA_GOC!$B:$B,"&lt;="&amp;$E584))</f>
        <v>0</v>
      </c>
      <c r="J584" s="59">
        <f t="shared" si="28"/>
        <v>0</v>
      </c>
      <c r="K584" s="59">
        <f t="shared" si="29"/>
        <v>0</v>
      </c>
      <c r="L584" s="59">
        <f t="shared" si="30"/>
        <v>0</v>
      </c>
      <c r="M584" s="59">
        <f t="shared" si="31"/>
        <v>0</v>
      </c>
    </row>
    <row r="585" ht="15.0" hidden="1" customHeight="1">
      <c r="A585" s="59">
        <f t="shared" si="20"/>
        <v>6</v>
      </c>
      <c r="B585" s="59" t="str">
        <f t="shared" si="21"/>
        <v>Đã chốt</v>
      </c>
      <c r="C585" s="59" t="str">
        <f t="shared" si="22"/>
        <v>Téc 2</v>
      </c>
      <c r="D585" s="45">
        <f t="shared" si="23"/>
        <v>46058</v>
      </c>
      <c r="E585" s="45">
        <f t="shared" si="24"/>
        <v>46079</v>
      </c>
      <c r="F585" s="133">
        <f t="shared" si="25"/>
        <v>2</v>
      </c>
      <c r="G585" s="133">
        <f t="shared" si="26"/>
        <v>2026</v>
      </c>
      <c r="H585" s="59" t="str">
        <f t="shared" si="27"/>
        <v>Xúclật855H</v>
      </c>
      <c r="I585" s="59">
        <f>IF(OR($A585="",$C585="",$D585="",$E585="",$H585=""),"",SUMIFS(DATA_GOC!$H:$H,DATA_GOC!$A:$A,"BOM",DATA_GOC!$D:$D,$H585,DATA_GOC!$E:$E,$C585,DATA_GOC!$F:$F,"Xuất nội bộ từ téc",DATA_GOC!$B:$B,"&gt;="&amp;$D585,DATA_GOC!$B:$B,"&lt;="&amp;$E585))</f>
        <v>335</v>
      </c>
      <c r="J585" s="59">
        <f t="shared" si="28"/>
        <v>10.754</v>
      </c>
      <c r="K585" s="59">
        <f t="shared" si="29"/>
        <v>0</v>
      </c>
      <c r="L585" s="59">
        <f t="shared" si="30"/>
        <v>345.754</v>
      </c>
      <c r="M585" s="59">
        <f t="shared" si="31"/>
        <v>0.03953735395</v>
      </c>
    </row>
    <row r="586" ht="15.0" hidden="1" customHeight="1">
      <c r="A586" s="59">
        <f t="shared" si="20"/>
        <v>6</v>
      </c>
      <c r="B586" s="59" t="str">
        <f t="shared" si="21"/>
        <v>Đã chốt</v>
      </c>
      <c r="C586" s="59" t="str">
        <f t="shared" si="22"/>
        <v>Téc 2</v>
      </c>
      <c r="D586" s="45">
        <f t="shared" si="23"/>
        <v>46058</v>
      </c>
      <c r="E586" s="45">
        <f t="shared" si="24"/>
        <v>46079</v>
      </c>
      <c r="F586" s="133">
        <f t="shared" si="25"/>
        <v>2</v>
      </c>
      <c r="G586" s="133">
        <f t="shared" si="26"/>
        <v>2026</v>
      </c>
      <c r="H586" s="59" t="str">
        <f t="shared" si="27"/>
        <v>Xúclật855N</v>
      </c>
      <c r="I586" s="59">
        <f>IF(OR($A586="",$C586="",$D586="",$E586="",$H586=""),"",SUMIFS(DATA_GOC!$H:$H,DATA_GOC!$A:$A,"BOM",DATA_GOC!$D:$D,$H586,DATA_GOC!$E:$E,$C586,DATA_GOC!$F:$F,"Xuất nội bộ từ téc",DATA_GOC!$B:$B,"&gt;="&amp;$D586,DATA_GOC!$B:$B,"&lt;="&amp;$E586))</f>
        <v>204</v>
      </c>
      <c r="J586" s="59">
        <f t="shared" si="28"/>
        <v>6.549</v>
      </c>
      <c r="K586" s="59">
        <f t="shared" si="29"/>
        <v>0</v>
      </c>
      <c r="L586" s="59">
        <f t="shared" si="30"/>
        <v>210.549</v>
      </c>
      <c r="M586" s="59">
        <f t="shared" si="31"/>
        <v>0.02407647822</v>
      </c>
    </row>
    <row r="587" ht="15.0" hidden="1" customHeight="1">
      <c r="A587" s="59">
        <f t="shared" si="20"/>
        <v>6</v>
      </c>
      <c r="B587" s="59" t="str">
        <f t="shared" si="21"/>
        <v>Đã chốt</v>
      </c>
      <c r="C587" s="59" t="str">
        <f t="shared" si="22"/>
        <v>Téc 2</v>
      </c>
      <c r="D587" s="45">
        <f t="shared" si="23"/>
        <v>46058</v>
      </c>
      <c r="E587" s="45">
        <f t="shared" si="24"/>
        <v>46079</v>
      </c>
      <c r="F587" s="133">
        <f t="shared" si="25"/>
        <v>2</v>
      </c>
      <c r="G587" s="133">
        <f t="shared" si="26"/>
        <v>2026</v>
      </c>
      <c r="H587" s="59" t="str">
        <f t="shared" si="27"/>
        <v>Cát nghiền</v>
      </c>
      <c r="I587" s="59">
        <f>IF(OR($A587="",$C587="",$D587="",$E587="",$H587=""),"",SUMIFS(DATA_GOC!$H:$H,DATA_GOC!$A:$A,"BOM",DATA_GOC!$D:$D,$H587,DATA_GOC!$E:$E,$C587,DATA_GOC!$F:$F,"Xuất nội bộ từ téc",DATA_GOC!$B:$B,"&gt;="&amp;$D587,DATA_GOC!$B:$B,"&lt;="&amp;$E587))</f>
        <v>0</v>
      </c>
      <c r="J587" s="59">
        <f t="shared" si="28"/>
        <v>0</v>
      </c>
      <c r="K587" s="59">
        <f t="shared" si="29"/>
        <v>0</v>
      </c>
      <c r="L587" s="59">
        <f t="shared" si="30"/>
        <v>0</v>
      </c>
      <c r="M587" s="59">
        <f t="shared" si="31"/>
        <v>0</v>
      </c>
    </row>
    <row r="588" ht="15.0" hidden="1" customHeight="1">
      <c r="A588" s="59">
        <f t="shared" si="20"/>
        <v>6</v>
      </c>
      <c r="B588" s="59" t="str">
        <f t="shared" si="21"/>
        <v>Đã chốt</v>
      </c>
      <c r="C588" s="59" t="str">
        <f t="shared" si="22"/>
        <v>Téc 2</v>
      </c>
      <c r="D588" s="45">
        <f t="shared" si="23"/>
        <v>46058</v>
      </c>
      <c r="E588" s="45">
        <f t="shared" si="24"/>
        <v>46079</v>
      </c>
      <c r="F588" s="133">
        <f t="shared" si="25"/>
        <v>2</v>
      </c>
      <c r="G588" s="133">
        <f t="shared" si="26"/>
        <v>2026</v>
      </c>
      <c r="H588" s="59" t="str">
        <f t="shared" si="27"/>
        <v>28C02973</v>
      </c>
      <c r="I588" s="59">
        <f>IF(OR($A588="",$C588="",$D588="",$E588="",$H588=""),"",SUMIFS(DATA_GOC!$H:$H,DATA_GOC!$A:$A,"BOM",DATA_GOC!$D:$D,$H588,DATA_GOC!$E:$E,$C588,DATA_GOC!$F:$F,"Xuất nội bộ từ téc",DATA_GOC!$B:$B,"&gt;="&amp;$D588,DATA_GOC!$B:$B,"&lt;="&amp;$E588))</f>
        <v>0</v>
      </c>
      <c r="J588" s="59">
        <f t="shared" si="28"/>
        <v>0</v>
      </c>
      <c r="K588" s="59">
        <f t="shared" si="29"/>
        <v>0</v>
      </c>
      <c r="L588" s="59">
        <f t="shared" si="30"/>
        <v>0</v>
      </c>
      <c r="M588" s="59">
        <f t="shared" si="31"/>
        <v>0</v>
      </c>
    </row>
    <row r="589" ht="15.0" hidden="1" customHeight="1">
      <c r="A589" s="59">
        <f t="shared" si="20"/>
        <v>6</v>
      </c>
      <c r="B589" s="59" t="str">
        <f t="shared" si="21"/>
        <v>Đã chốt</v>
      </c>
      <c r="C589" s="59" t="str">
        <f t="shared" si="22"/>
        <v>Téc 2</v>
      </c>
      <c r="D589" s="45">
        <f t="shared" si="23"/>
        <v>46058</v>
      </c>
      <c r="E589" s="45">
        <f t="shared" si="24"/>
        <v>46079</v>
      </c>
      <c r="F589" s="133">
        <f t="shared" si="25"/>
        <v>2</v>
      </c>
      <c r="G589" s="133">
        <f t="shared" si="26"/>
        <v>2026</v>
      </c>
      <c r="H589" s="59" t="str">
        <f t="shared" si="27"/>
        <v>28C03044</v>
      </c>
      <c r="I589" s="59">
        <f>IF(OR($A589="",$C589="",$D589="",$E589="",$H589=""),"",SUMIFS(DATA_GOC!$H:$H,DATA_GOC!$A:$A,"BOM",DATA_GOC!$D:$D,$H589,DATA_GOC!$E:$E,$C589,DATA_GOC!$F:$F,"Xuất nội bộ từ téc",DATA_GOC!$B:$B,"&gt;="&amp;$D589,DATA_GOC!$B:$B,"&lt;="&amp;$E589))</f>
        <v>0</v>
      </c>
      <c r="J589" s="59">
        <f t="shared" si="28"/>
        <v>0</v>
      </c>
      <c r="K589" s="59">
        <f t="shared" si="29"/>
        <v>0</v>
      </c>
      <c r="L589" s="59">
        <f t="shared" si="30"/>
        <v>0</v>
      </c>
      <c r="M589" s="59">
        <f t="shared" si="31"/>
        <v>0</v>
      </c>
    </row>
    <row r="590" ht="15.0" hidden="1" customHeight="1">
      <c r="A590" s="59">
        <f t="shared" si="20"/>
        <v>6</v>
      </c>
      <c r="B590" s="59" t="str">
        <f t="shared" si="21"/>
        <v>Đã chốt</v>
      </c>
      <c r="C590" s="59" t="str">
        <f t="shared" si="22"/>
        <v>Téc 2</v>
      </c>
      <c r="D590" s="45">
        <f t="shared" si="23"/>
        <v>46058</v>
      </c>
      <c r="E590" s="45">
        <f t="shared" si="24"/>
        <v>46079</v>
      </c>
      <c r="F590" s="133">
        <f t="shared" si="25"/>
        <v>2</v>
      </c>
      <c r="G590" s="133">
        <f t="shared" si="26"/>
        <v>2026</v>
      </c>
      <c r="H590" s="59" t="str">
        <f t="shared" si="27"/>
        <v>Máy lu lốp</v>
      </c>
      <c r="I590" s="59">
        <f>IF(OR($A590="",$C590="",$D590="",$E590="",$H590=""),"",SUMIFS(DATA_GOC!$H:$H,DATA_GOC!$A:$A,"BOM",DATA_GOC!$D:$D,$H590,DATA_GOC!$E:$E,$C590,DATA_GOC!$F:$F,"Xuất nội bộ từ téc",DATA_GOC!$B:$B,"&gt;="&amp;$D590,DATA_GOC!$B:$B,"&lt;="&amp;$E590))</f>
        <v>0</v>
      </c>
      <c r="J590" s="59">
        <f t="shared" si="28"/>
        <v>0</v>
      </c>
      <c r="K590" s="59">
        <f t="shared" si="29"/>
        <v>0</v>
      </c>
      <c r="L590" s="59">
        <f t="shared" si="30"/>
        <v>0</v>
      </c>
      <c r="M590" s="59">
        <f t="shared" si="31"/>
        <v>0</v>
      </c>
    </row>
    <row r="591" ht="15.0" hidden="1" customHeight="1">
      <c r="A591" s="59">
        <f t="shared" si="20"/>
        <v>6</v>
      </c>
      <c r="B591" s="59" t="str">
        <f t="shared" si="21"/>
        <v>Đã chốt</v>
      </c>
      <c r="C591" s="59" t="str">
        <f t="shared" si="22"/>
        <v>Téc 2</v>
      </c>
      <c r="D591" s="45">
        <f t="shared" si="23"/>
        <v>46058</v>
      </c>
      <c r="E591" s="45">
        <f t="shared" si="24"/>
        <v>46079</v>
      </c>
      <c r="F591" s="133">
        <f t="shared" si="25"/>
        <v>2</v>
      </c>
      <c r="G591" s="133">
        <f t="shared" si="26"/>
        <v>2026</v>
      </c>
      <c r="H591" s="59" t="str">
        <f t="shared" si="27"/>
        <v>Xe 600148</v>
      </c>
      <c r="I591" s="59">
        <f>IF(OR($A591="",$C591="",$D591="",$E591="",$H591=""),"",SUMIFS(DATA_GOC!$H:$H,DATA_GOC!$A:$A,"BOM",DATA_GOC!$D:$D,$H591,DATA_GOC!$E:$E,$C591,DATA_GOC!$F:$F,"Xuất nội bộ từ téc",DATA_GOC!$B:$B,"&gt;="&amp;$D591,DATA_GOC!$B:$B,"&lt;="&amp;$E591))</f>
        <v>0</v>
      </c>
      <c r="J591" s="59">
        <f t="shared" si="28"/>
        <v>0</v>
      </c>
      <c r="K591" s="59">
        <f t="shared" si="29"/>
        <v>0</v>
      </c>
      <c r="L591" s="59">
        <f t="shared" si="30"/>
        <v>0</v>
      </c>
      <c r="M591" s="59">
        <f t="shared" si="31"/>
        <v>0</v>
      </c>
    </row>
    <row r="592" ht="15.0" hidden="1" customHeight="1">
      <c r="A592" s="59">
        <f t="shared" si="20"/>
        <v>6</v>
      </c>
      <c r="B592" s="59" t="str">
        <f t="shared" si="21"/>
        <v>Đã chốt</v>
      </c>
      <c r="C592" s="59" t="str">
        <f t="shared" si="22"/>
        <v>Téc 2</v>
      </c>
      <c r="D592" s="45">
        <f t="shared" si="23"/>
        <v>46058</v>
      </c>
      <c r="E592" s="45">
        <f t="shared" si="24"/>
        <v>46079</v>
      </c>
      <c r="F592" s="133">
        <f t="shared" si="25"/>
        <v>2</v>
      </c>
      <c r="G592" s="133">
        <f t="shared" si="26"/>
        <v>2026</v>
      </c>
      <c r="H592" s="59" t="str">
        <f t="shared" si="27"/>
        <v>Xe ben mới</v>
      </c>
      <c r="I592" s="59">
        <f>IF(OR($A592="",$C592="",$D592="",$E592="",$H592=""),"",SUMIFS(DATA_GOC!$H:$H,DATA_GOC!$A:$A,"BOM",DATA_GOC!$D:$D,$H592,DATA_GOC!$E:$E,$C592,DATA_GOC!$F:$F,"Xuất nội bộ từ téc",DATA_GOC!$B:$B,"&gt;="&amp;$D592,DATA_GOC!$B:$B,"&lt;="&amp;$E592))</f>
        <v>0</v>
      </c>
      <c r="J592" s="59">
        <f t="shared" si="28"/>
        <v>0</v>
      </c>
      <c r="K592" s="59">
        <f t="shared" si="29"/>
        <v>0</v>
      </c>
      <c r="L592" s="59">
        <f t="shared" si="30"/>
        <v>0</v>
      </c>
      <c r="M592" s="59">
        <f t="shared" si="31"/>
        <v>0</v>
      </c>
    </row>
    <row r="593" ht="15.0" hidden="1" customHeight="1">
      <c r="A593" s="59">
        <f t="shared" si="20"/>
        <v>7</v>
      </c>
      <c r="B593" s="59" t="str">
        <f t="shared" si="21"/>
        <v>Đã chốt</v>
      </c>
      <c r="C593" s="59" t="str">
        <f t="shared" si="22"/>
        <v>Téc 2</v>
      </c>
      <c r="D593" s="45">
        <f t="shared" si="23"/>
        <v>46082</v>
      </c>
      <c r="E593" s="45">
        <f t="shared" si="24"/>
        <v>46118</v>
      </c>
      <c r="F593" s="133">
        <f t="shared" si="25"/>
        <v>4</v>
      </c>
      <c r="G593" s="133">
        <f t="shared" si="26"/>
        <v>2026</v>
      </c>
      <c r="H593" s="59" t="str">
        <f t="shared" si="27"/>
        <v>19H09482</v>
      </c>
      <c r="I593" s="59">
        <f>IF(OR($A593="",$C593="",$D593="",$E593="",$H593=""),"",SUMIFS(DATA_GOC!$H:$H,DATA_GOC!$A:$A,"BOM",DATA_GOC!$D:$D,$H593,DATA_GOC!$E:$E,$C593,DATA_GOC!$F:$F,"Xuất nội bộ từ téc",DATA_GOC!$B:$B,"&gt;="&amp;$D593,DATA_GOC!$B:$B,"&lt;="&amp;$E593))</f>
        <v>400</v>
      </c>
      <c r="J593" s="59">
        <f t="shared" si="28"/>
        <v>14.198</v>
      </c>
      <c r="K593" s="59">
        <f t="shared" si="29"/>
        <v>0</v>
      </c>
      <c r="L593" s="59">
        <f t="shared" si="30"/>
        <v>414.198</v>
      </c>
      <c r="M593" s="59">
        <f t="shared" si="31"/>
        <v>0.01407162457</v>
      </c>
    </row>
    <row r="594" ht="15.0" hidden="1" customHeight="1">
      <c r="A594" s="59">
        <f t="shared" si="20"/>
        <v>7</v>
      </c>
      <c r="B594" s="59" t="str">
        <f t="shared" si="21"/>
        <v>Đã chốt</v>
      </c>
      <c r="C594" s="59" t="str">
        <f t="shared" si="22"/>
        <v>Téc 2</v>
      </c>
      <c r="D594" s="45">
        <f t="shared" si="23"/>
        <v>46082</v>
      </c>
      <c r="E594" s="45">
        <f t="shared" si="24"/>
        <v>46118</v>
      </c>
      <c r="F594" s="133">
        <f t="shared" si="25"/>
        <v>4</v>
      </c>
      <c r="G594" s="133">
        <f t="shared" si="26"/>
        <v>2026</v>
      </c>
      <c r="H594" s="59" t="str">
        <f t="shared" si="27"/>
        <v>28A30696</v>
      </c>
      <c r="I594" s="59">
        <f>IF(OR($A594="",$C594="",$D594="",$E594="",$H594=""),"",SUMIFS(DATA_GOC!$H:$H,DATA_GOC!$A:$A,"BOM",DATA_GOC!$D:$D,$H594,DATA_GOC!$E:$E,$C594,DATA_GOC!$F:$F,"Xuất nội bộ từ téc",DATA_GOC!$B:$B,"&gt;="&amp;$D594,DATA_GOC!$B:$B,"&lt;="&amp;$E594))</f>
        <v>40</v>
      </c>
      <c r="J594" s="59">
        <f t="shared" si="28"/>
        <v>1.42</v>
      </c>
      <c r="K594" s="59">
        <f t="shared" si="29"/>
        <v>0</v>
      </c>
      <c r="L594" s="59">
        <f t="shared" si="30"/>
        <v>41.42</v>
      </c>
      <c r="M594" s="59">
        <f t="shared" si="31"/>
        <v>0.001407162457</v>
      </c>
    </row>
    <row r="595" ht="15.0" hidden="1" customHeight="1">
      <c r="A595" s="59">
        <f t="shared" si="20"/>
        <v>7</v>
      </c>
      <c r="B595" s="59" t="str">
        <f t="shared" si="21"/>
        <v>Đã chốt</v>
      </c>
      <c r="C595" s="59" t="str">
        <f t="shared" si="22"/>
        <v>Téc 2</v>
      </c>
      <c r="D595" s="45">
        <f t="shared" si="23"/>
        <v>46082</v>
      </c>
      <c r="E595" s="45">
        <f t="shared" si="24"/>
        <v>46118</v>
      </c>
      <c r="F595" s="133">
        <f t="shared" si="25"/>
        <v>4</v>
      </c>
      <c r="G595" s="133">
        <f t="shared" si="26"/>
        <v>2026</v>
      </c>
      <c r="H595" s="59" t="str">
        <f t="shared" si="27"/>
        <v>28C00462</v>
      </c>
      <c r="I595" s="59">
        <f>IF(OR($A595="",$C595="",$D595="",$E595="",$H595=""),"",SUMIFS(DATA_GOC!$H:$H,DATA_GOC!$A:$A,"BOM",DATA_GOC!$D:$D,$H595,DATA_GOC!$E:$E,$C595,DATA_GOC!$F:$F,"Xuất nội bộ từ téc",DATA_GOC!$B:$B,"&gt;="&amp;$D595,DATA_GOC!$B:$B,"&lt;="&amp;$E595))</f>
        <v>560</v>
      </c>
      <c r="J595" s="59">
        <f t="shared" si="28"/>
        <v>19.878</v>
      </c>
      <c r="K595" s="59">
        <f t="shared" si="29"/>
        <v>0</v>
      </c>
      <c r="L595" s="59">
        <f t="shared" si="30"/>
        <v>579.878</v>
      </c>
      <c r="M595" s="59">
        <f t="shared" si="31"/>
        <v>0.0197002744</v>
      </c>
    </row>
    <row r="596" ht="15.0" hidden="1" customHeight="1">
      <c r="A596" s="59">
        <f t="shared" si="20"/>
        <v>7</v>
      </c>
      <c r="B596" s="59" t="str">
        <f t="shared" si="21"/>
        <v>Đã chốt</v>
      </c>
      <c r="C596" s="59" t="str">
        <f t="shared" si="22"/>
        <v>Téc 2</v>
      </c>
      <c r="D596" s="45">
        <f t="shared" si="23"/>
        <v>46082</v>
      </c>
      <c r="E596" s="45">
        <f t="shared" si="24"/>
        <v>46118</v>
      </c>
      <c r="F596" s="133">
        <f t="shared" si="25"/>
        <v>4</v>
      </c>
      <c r="G596" s="133">
        <f t="shared" si="26"/>
        <v>2026</v>
      </c>
      <c r="H596" s="59" t="str">
        <f t="shared" si="27"/>
        <v>28C01165</v>
      </c>
      <c r="I596" s="59">
        <f>IF(OR($A596="",$C596="",$D596="",$E596="",$H596=""),"",SUMIFS(DATA_GOC!$H:$H,DATA_GOC!$A:$A,"BOM",DATA_GOC!$D:$D,$H596,DATA_GOC!$E:$E,$C596,DATA_GOC!$F:$F,"Xuất nội bộ từ téc",DATA_GOC!$B:$B,"&gt;="&amp;$D596,DATA_GOC!$B:$B,"&lt;="&amp;$E596))</f>
        <v>148</v>
      </c>
      <c r="J596" s="59">
        <f t="shared" si="28"/>
        <v>5.253</v>
      </c>
      <c r="K596" s="59">
        <f t="shared" si="29"/>
        <v>0</v>
      </c>
      <c r="L596" s="59">
        <f t="shared" si="30"/>
        <v>153.253</v>
      </c>
      <c r="M596" s="59">
        <f t="shared" si="31"/>
        <v>0.005206501091</v>
      </c>
    </row>
    <row r="597" ht="15.0" hidden="1" customHeight="1">
      <c r="A597" s="59">
        <f t="shared" si="20"/>
        <v>7</v>
      </c>
      <c r="B597" s="59" t="str">
        <f t="shared" si="21"/>
        <v>Đã chốt</v>
      </c>
      <c r="C597" s="59" t="str">
        <f t="shared" si="22"/>
        <v>Téc 2</v>
      </c>
      <c r="D597" s="45">
        <f t="shared" si="23"/>
        <v>46082</v>
      </c>
      <c r="E597" s="45">
        <f t="shared" si="24"/>
        <v>46118</v>
      </c>
      <c r="F597" s="133">
        <f t="shared" si="25"/>
        <v>4</v>
      </c>
      <c r="G597" s="133">
        <f t="shared" si="26"/>
        <v>2026</v>
      </c>
      <c r="H597" s="59" t="str">
        <f t="shared" si="27"/>
        <v>28C01406</v>
      </c>
      <c r="I597" s="59">
        <f>IF(OR($A597="",$C597="",$D597="",$E597="",$H597=""),"",SUMIFS(DATA_GOC!$H:$H,DATA_GOC!$A:$A,"BOM",DATA_GOC!$D:$D,$H597,DATA_GOC!$E:$E,$C597,DATA_GOC!$F:$F,"Xuất nội bộ từ téc",DATA_GOC!$B:$B,"&gt;="&amp;$D597,DATA_GOC!$B:$B,"&lt;="&amp;$E597))</f>
        <v>0</v>
      </c>
      <c r="J597" s="59">
        <f t="shared" si="28"/>
        <v>0</v>
      </c>
      <c r="K597" s="59">
        <f t="shared" si="29"/>
        <v>0</v>
      </c>
      <c r="L597" s="59">
        <f t="shared" si="30"/>
        <v>0</v>
      </c>
      <c r="M597" s="59">
        <f t="shared" si="31"/>
        <v>0</v>
      </c>
    </row>
    <row r="598" ht="15.0" hidden="1" customHeight="1">
      <c r="A598" s="59">
        <f t="shared" si="20"/>
        <v>7</v>
      </c>
      <c r="B598" s="59" t="str">
        <f t="shared" si="21"/>
        <v>Đã chốt</v>
      </c>
      <c r="C598" s="59" t="str">
        <f t="shared" si="22"/>
        <v>Téc 2</v>
      </c>
      <c r="D598" s="45">
        <f t="shared" si="23"/>
        <v>46082</v>
      </c>
      <c r="E598" s="45">
        <f t="shared" si="24"/>
        <v>46118</v>
      </c>
      <c r="F598" s="133">
        <f t="shared" si="25"/>
        <v>4</v>
      </c>
      <c r="G598" s="133">
        <f t="shared" si="26"/>
        <v>2026</v>
      </c>
      <c r="H598" s="59" t="str">
        <f t="shared" si="27"/>
        <v>28C01544</v>
      </c>
      <c r="I598" s="59">
        <f>IF(OR($A598="",$C598="",$D598="",$E598="",$H598=""),"",SUMIFS(DATA_GOC!$H:$H,DATA_GOC!$A:$A,"BOM",DATA_GOC!$D:$D,$H598,DATA_GOC!$E:$E,$C598,DATA_GOC!$F:$F,"Xuất nội bộ từ téc",DATA_GOC!$B:$B,"&gt;="&amp;$D598,DATA_GOC!$B:$B,"&lt;="&amp;$E598))</f>
        <v>51</v>
      </c>
      <c r="J598" s="59">
        <f t="shared" si="28"/>
        <v>1.81</v>
      </c>
      <c r="K598" s="59">
        <f t="shared" si="29"/>
        <v>0</v>
      </c>
      <c r="L598" s="59">
        <f t="shared" si="30"/>
        <v>52.81</v>
      </c>
      <c r="M598" s="59">
        <f t="shared" si="31"/>
        <v>0.001794132133</v>
      </c>
    </row>
    <row r="599" ht="15.0" hidden="1" customHeight="1">
      <c r="A599" s="59">
        <f t="shared" si="20"/>
        <v>7</v>
      </c>
      <c r="B599" s="59" t="str">
        <f t="shared" si="21"/>
        <v>Đã chốt</v>
      </c>
      <c r="C599" s="59" t="str">
        <f t="shared" si="22"/>
        <v>Téc 2</v>
      </c>
      <c r="D599" s="45">
        <f t="shared" si="23"/>
        <v>46082</v>
      </c>
      <c r="E599" s="45">
        <f t="shared" si="24"/>
        <v>46118</v>
      </c>
      <c r="F599" s="133">
        <f t="shared" si="25"/>
        <v>4</v>
      </c>
      <c r="G599" s="133">
        <f t="shared" si="26"/>
        <v>2026</v>
      </c>
      <c r="H599" s="59" t="str">
        <f t="shared" si="27"/>
        <v>28C01622</v>
      </c>
      <c r="I599" s="59">
        <f>IF(OR($A599="",$C599="",$D599="",$E599="",$H599=""),"",SUMIFS(DATA_GOC!$H:$H,DATA_GOC!$A:$A,"BOM",DATA_GOC!$D:$D,$H599,DATA_GOC!$E:$E,$C599,DATA_GOC!$F:$F,"Xuất nội bộ từ téc",DATA_GOC!$B:$B,"&gt;="&amp;$D599,DATA_GOC!$B:$B,"&lt;="&amp;$E599))</f>
        <v>1469</v>
      </c>
      <c r="J599" s="59">
        <f t="shared" si="28"/>
        <v>52.143</v>
      </c>
      <c r="K599" s="59">
        <f t="shared" si="29"/>
        <v>0</v>
      </c>
      <c r="L599" s="59">
        <f t="shared" si="30"/>
        <v>1521.143</v>
      </c>
      <c r="M599" s="59">
        <f t="shared" si="31"/>
        <v>0.05167804123</v>
      </c>
    </row>
    <row r="600" ht="15.0" hidden="1" customHeight="1">
      <c r="A600" s="59">
        <f t="shared" si="20"/>
        <v>7</v>
      </c>
      <c r="B600" s="59" t="str">
        <f t="shared" si="21"/>
        <v>Đã chốt</v>
      </c>
      <c r="C600" s="59" t="str">
        <f t="shared" si="22"/>
        <v>Téc 2</v>
      </c>
      <c r="D600" s="45">
        <f t="shared" si="23"/>
        <v>46082</v>
      </c>
      <c r="E600" s="45">
        <f t="shared" si="24"/>
        <v>46118</v>
      </c>
      <c r="F600" s="133">
        <f t="shared" si="25"/>
        <v>4</v>
      </c>
      <c r="G600" s="133">
        <f t="shared" si="26"/>
        <v>2026</v>
      </c>
      <c r="H600" s="59" t="str">
        <f t="shared" si="27"/>
        <v>28C01647</v>
      </c>
      <c r="I600" s="59">
        <f>IF(OR($A600="",$C600="",$D600="",$E600="",$H600=""),"",SUMIFS(DATA_GOC!$H:$H,DATA_GOC!$A:$A,"BOM",DATA_GOC!$D:$D,$H600,DATA_GOC!$E:$E,$C600,DATA_GOC!$F:$F,"Xuất nội bộ từ téc",DATA_GOC!$B:$B,"&gt;="&amp;$D600,DATA_GOC!$B:$B,"&lt;="&amp;$E600))</f>
        <v>835</v>
      </c>
      <c r="J600" s="59">
        <f t="shared" si="28"/>
        <v>29.639</v>
      </c>
      <c r="K600" s="59">
        <f t="shared" si="29"/>
        <v>0</v>
      </c>
      <c r="L600" s="59">
        <f t="shared" si="30"/>
        <v>864.639</v>
      </c>
      <c r="M600" s="59">
        <f t="shared" si="31"/>
        <v>0.02937451629</v>
      </c>
    </row>
    <row r="601" ht="15.0" hidden="1" customHeight="1">
      <c r="A601" s="59">
        <f t="shared" si="20"/>
        <v>7</v>
      </c>
      <c r="B601" s="59" t="str">
        <f t="shared" si="21"/>
        <v>Đã chốt</v>
      </c>
      <c r="C601" s="59" t="str">
        <f t="shared" si="22"/>
        <v>Téc 2</v>
      </c>
      <c r="D601" s="45">
        <f t="shared" si="23"/>
        <v>46082</v>
      </c>
      <c r="E601" s="45">
        <f t="shared" si="24"/>
        <v>46118</v>
      </c>
      <c r="F601" s="133">
        <f t="shared" si="25"/>
        <v>4</v>
      </c>
      <c r="G601" s="133">
        <f t="shared" si="26"/>
        <v>2026</v>
      </c>
      <c r="H601" s="59" t="str">
        <f t="shared" si="27"/>
        <v>28C01731</v>
      </c>
      <c r="I601" s="59">
        <f>IF(OR($A601="",$C601="",$D601="",$E601="",$H601=""),"",SUMIFS(DATA_GOC!$H:$H,DATA_GOC!$A:$A,"BOM",DATA_GOC!$D:$D,$H601,DATA_GOC!$E:$E,$C601,DATA_GOC!$F:$F,"Xuất nội bộ từ téc",DATA_GOC!$B:$B,"&gt;="&amp;$D601,DATA_GOC!$B:$B,"&lt;="&amp;$E601))</f>
        <v>150</v>
      </c>
      <c r="J601" s="59">
        <f t="shared" si="28"/>
        <v>5.324</v>
      </c>
      <c r="K601" s="59">
        <f t="shared" si="29"/>
        <v>0</v>
      </c>
      <c r="L601" s="59">
        <f t="shared" si="30"/>
        <v>155.324</v>
      </c>
      <c r="M601" s="59">
        <f t="shared" si="31"/>
        <v>0.005276859213</v>
      </c>
    </row>
    <row r="602" ht="15.0" hidden="1" customHeight="1">
      <c r="A602" s="59">
        <f t="shared" si="20"/>
        <v>7</v>
      </c>
      <c r="B602" s="59" t="str">
        <f t="shared" si="21"/>
        <v>Đã chốt</v>
      </c>
      <c r="C602" s="59" t="str">
        <f t="shared" si="22"/>
        <v>Téc 2</v>
      </c>
      <c r="D602" s="45">
        <f t="shared" si="23"/>
        <v>46082</v>
      </c>
      <c r="E602" s="45">
        <f t="shared" si="24"/>
        <v>46118</v>
      </c>
      <c r="F602" s="133">
        <f t="shared" si="25"/>
        <v>4</v>
      </c>
      <c r="G602" s="133">
        <f t="shared" si="26"/>
        <v>2026</v>
      </c>
      <c r="H602" s="59" t="str">
        <f t="shared" si="27"/>
        <v>28C01743</v>
      </c>
      <c r="I602" s="59">
        <f>IF(OR($A602="",$C602="",$D602="",$E602="",$H602=""),"",SUMIFS(DATA_GOC!$H:$H,DATA_GOC!$A:$A,"BOM",DATA_GOC!$D:$D,$H602,DATA_GOC!$E:$E,$C602,DATA_GOC!$F:$F,"Xuất nội bộ từ téc",DATA_GOC!$B:$B,"&gt;="&amp;$D602,DATA_GOC!$B:$B,"&lt;="&amp;$E602))</f>
        <v>0</v>
      </c>
      <c r="J602" s="59">
        <f t="shared" si="28"/>
        <v>0</v>
      </c>
      <c r="K602" s="59">
        <f t="shared" si="29"/>
        <v>0</v>
      </c>
      <c r="L602" s="59">
        <f t="shared" si="30"/>
        <v>0</v>
      </c>
      <c r="M602" s="59">
        <f t="shared" si="31"/>
        <v>0</v>
      </c>
    </row>
    <row r="603" ht="15.0" hidden="1" customHeight="1">
      <c r="A603" s="59">
        <f t="shared" si="20"/>
        <v>7</v>
      </c>
      <c r="B603" s="59" t="str">
        <f t="shared" si="21"/>
        <v>Đã chốt</v>
      </c>
      <c r="C603" s="59" t="str">
        <f t="shared" si="22"/>
        <v>Téc 2</v>
      </c>
      <c r="D603" s="45">
        <f t="shared" si="23"/>
        <v>46082</v>
      </c>
      <c r="E603" s="45">
        <f t="shared" si="24"/>
        <v>46118</v>
      </c>
      <c r="F603" s="133">
        <f t="shared" si="25"/>
        <v>4</v>
      </c>
      <c r="G603" s="133">
        <f t="shared" si="26"/>
        <v>2026</v>
      </c>
      <c r="H603" s="59" t="str">
        <f t="shared" si="27"/>
        <v>28C02106</v>
      </c>
      <c r="I603" s="59">
        <f>IF(OR($A603="",$C603="",$D603="",$E603="",$H603=""),"",SUMIFS(DATA_GOC!$H:$H,DATA_GOC!$A:$A,"BOM",DATA_GOC!$D:$D,$H603,DATA_GOC!$E:$E,$C603,DATA_GOC!$F:$F,"Xuất nội bộ từ téc",DATA_GOC!$B:$B,"&gt;="&amp;$D603,DATA_GOC!$B:$B,"&lt;="&amp;$E603))</f>
        <v>250</v>
      </c>
      <c r="J603" s="59">
        <f t="shared" si="28"/>
        <v>8.874</v>
      </c>
      <c r="K603" s="59">
        <f t="shared" si="29"/>
        <v>0</v>
      </c>
      <c r="L603" s="59">
        <f t="shared" si="30"/>
        <v>258.874</v>
      </c>
      <c r="M603" s="59">
        <f t="shared" si="31"/>
        <v>0.008794765356</v>
      </c>
    </row>
    <row r="604" ht="15.0" hidden="1" customHeight="1">
      <c r="A604" s="59">
        <f t="shared" si="20"/>
        <v>7</v>
      </c>
      <c r="B604" s="59" t="str">
        <f t="shared" si="21"/>
        <v>Đã chốt</v>
      </c>
      <c r="C604" s="59" t="str">
        <f t="shared" si="22"/>
        <v>Téc 2</v>
      </c>
      <c r="D604" s="45">
        <f t="shared" si="23"/>
        <v>46082</v>
      </c>
      <c r="E604" s="45">
        <f t="shared" si="24"/>
        <v>46118</v>
      </c>
      <c r="F604" s="133">
        <f t="shared" si="25"/>
        <v>4</v>
      </c>
      <c r="G604" s="133">
        <f t="shared" si="26"/>
        <v>2026</v>
      </c>
      <c r="H604" s="59" t="str">
        <f t="shared" si="27"/>
        <v>28C02410</v>
      </c>
      <c r="I604" s="59">
        <f>IF(OR($A604="",$C604="",$D604="",$E604="",$H604=""),"",SUMIFS(DATA_GOC!$H:$H,DATA_GOC!$A:$A,"BOM",DATA_GOC!$D:$D,$H604,DATA_GOC!$E:$E,$C604,DATA_GOC!$F:$F,"Xuất nội bộ từ téc",DATA_GOC!$B:$B,"&gt;="&amp;$D604,DATA_GOC!$B:$B,"&lt;="&amp;$E604))</f>
        <v>280</v>
      </c>
      <c r="J604" s="59">
        <f t="shared" si="28"/>
        <v>9.939</v>
      </c>
      <c r="K604" s="59">
        <f t="shared" si="29"/>
        <v>0</v>
      </c>
      <c r="L604" s="59">
        <f t="shared" si="30"/>
        <v>289.939</v>
      </c>
      <c r="M604" s="59">
        <f t="shared" si="31"/>
        <v>0.009850137198</v>
      </c>
    </row>
    <row r="605" ht="15.0" hidden="1" customHeight="1">
      <c r="A605" s="59">
        <f t="shared" si="20"/>
        <v>7</v>
      </c>
      <c r="B605" s="59" t="str">
        <f t="shared" si="21"/>
        <v>Đã chốt</v>
      </c>
      <c r="C605" s="59" t="str">
        <f t="shared" si="22"/>
        <v>Téc 2</v>
      </c>
      <c r="D605" s="45">
        <f t="shared" si="23"/>
        <v>46082</v>
      </c>
      <c r="E605" s="45">
        <f t="shared" si="24"/>
        <v>46118</v>
      </c>
      <c r="F605" s="133">
        <f t="shared" si="25"/>
        <v>4</v>
      </c>
      <c r="G605" s="133">
        <f t="shared" si="26"/>
        <v>2026</v>
      </c>
      <c r="H605" s="59" t="str">
        <f t="shared" si="27"/>
        <v>28C02545</v>
      </c>
      <c r="I605" s="59">
        <f>IF(OR($A605="",$C605="",$D605="",$E605="",$H605=""),"",SUMIFS(DATA_GOC!$H:$H,DATA_GOC!$A:$A,"BOM",DATA_GOC!$D:$D,$H605,DATA_GOC!$E:$E,$C605,DATA_GOC!$F:$F,"Xuất nội bộ từ téc",DATA_GOC!$B:$B,"&gt;="&amp;$D605,DATA_GOC!$B:$B,"&lt;="&amp;$E605))</f>
        <v>476</v>
      </c>
      <c r="J605" s="59">
        <f t="shared" si="28"/>
        <v>16.896</v>
      </c>
      <c r="K605" s="59">
        <f t="shared" si="29"/>
        <v>0</v>
      </c>
      <c r="L605" s="59">
        <f t="shared" si="30"/>
        <v>492.896</v>
      </c>
      <c r="M605" s="59">
        <f t="shared" si="31"/>
        <v>0.01674523324</v>
      </c>
    </row>
    <row r="606" ht="15.0" hidden="1" customHeight="1">
      <c r="A606" s="59">
        <f t="shared" si="20"/>
        <v>7</v>
      </c>
      <c r="B606" s="59" t="str">
        <f t="shared" si="21"/>
        <v>Đã chốt</v>
      </c>
      <c r="C606" s="59" t="str">
        <f t="shared" si="22"/>
        <v>Téc 2</v>
      </c>
      <c r="D606" s="45">
        <f t="shared" si="23"/>
        <v>46082</v>
      </c>
      <c r="E606" s="45">
        <f t="shared" si="24"/>
        <v>46118</v>
      </c>
      <c r="F606" s="133">
        <f t="shared" si="25"/>
        <v>4</v>
      </c>
      <c r="G606" s="133">
        <f t="shared" si="26"/>
        <v>2026</v>
      </c>
      <c r="H606" s="59" t="str">
        <f t="shared" si="27"/>
        <v>28C02574</v>
      </c>
      <c r="I606" s="59">
        <f>IF(OR($A606="",$C606="",$D606="",$E606="",$H606=""),"",SUMIFS(DATA_GOC!$H:$H,DATA_GOC!$A:$A,"BOM",DATA_GOC!$D:$D,$H606,DATA_GOC!$E:$E,$C606,DATA_GOC!$F:$F,"Xuất nội bộ từ téc",DATA_GOC!$B:$B,"&gt;="&amp;$D606,DATA_GOC!$B:$B,"&lt;="&amp;$E606))</f>
        <v>419</v>
      </c>
      <c r="J606" s="59">
        <f t="shared" si="28"/>
        <v>14.873</v>
      </c>
      <c r="K606" s="59">
        <f t="shared" si="29"/>
        <v>0</v>
      </c>
      <c r="L606" s="59">
        <f t="shared" si="30"/>
        <v>433.873</v>
      </c>
      <c r="M606" s="59">
        <f t="shared" si="31"/>
        <v>0.01474002674</v>
      </c>
    </row>
    <row r="607" ht="15.0" hidden="1" customHeight="1">
      <c r="A607" s="59">
        <f t="shared" si="20"/>
        <v>7</v>
      </c>
      <c r="B607" s="59" t="str">
        <f t="shared" si="21"/>
        <v>Đã chốt</v>
      </c>
      <c r="C607" s="59" t="str">
        <f t="shared" si="22"/>
        <v>Téc 2</v>
      </c>
      <c r="D607" s="45">
        <f t="shared" si="23"/>
        <v>46082</v>
      </c>
      <c r="E607" s="45">
        <f t="shared" si="24"/>
        <v>46118</v>
      </c>
      <c r="F607" s="133">
        <f t="shared" si="25"/>
        <v>4</v>
      </c>
      <c r="G607" s="133">
        <f t="shared" si="26"/>
        <v>2026</v>
      </c>
      <c r="H607" s="59" t="str">
        <f t="shared" si="27"/>
        <v>28C02770</v>
      </c>
      <c r="I607" s="59">
        <f>IF(OR($A607="",$C607="",$D607="",$E607="",$H607=""),"",SUMIFS(DATA_GOC!$H:$H,DATA_GOC!$A:$A,"BOM",DATA_GOC!$D:$D,$H607,DATA_GOC!$E:$E,$C607,DATA_GOC!$F:$F,"Xuất nội bộ từ téc",DATA_GOC!$B:$B,"&gt;="&amp;$D607,DATA_GOC!$B:$B,"&lt;="&amp;$E607))</f>
        <v>46</v>
      </c>
      <c r="J607" s="59">
        <f t="shared" si="28"/>
        <v>1.633</v>
      </c>
      <c r="K607" s="59">
        <f t="shared" si="29"/>
        <v>0</v>
      </c>
      <c r="L607" s="59">
        <f t="shared" si="30"/>
        <v>47.633</v>
      </c>
      <c r="M607" s="59">
        <f t="shared" si="31"/>
        <v>0.001618236825</v>
      </c>
    </row>
    <row r="608" ht="15.0" hidden="1" customHeight="1">
      <c r="A608" s="59">
        <f t="shared" si="20"/>
        <v>7</v>
      </c>
      <c r="B608" s="59" t="str">
        <f t="shared" si="21"/>
        <v>Đã chốt</v>
      </c>
      <c r="C608" s="59" t="str">
        <f t="shared" si="22"/>
        <v>Téc 2</v>
      </c>
      <c r="D608" s="45">
        <f t="shared" si="23"/>
        <v>46082</v>
      </c>
      <c r="E608" s="45">
        <f t="shared" si="24"/>
        <v>46118</v>
      </c>
      <c r="F608" s="133">
        <f t="shared" si="25"/>
        <v>4</v>
      </c>
      <c r="G608" s="133">
        <f t="shared" si="26"/>
        <v>2026</v>
      </c>
      <c r="H608" s="59" t="str">
        <f t="shared" si="27"/>
        <v>28C02986</v>
      </c>
      <c r="I608" s="59">
        <f>IF(OR($A608="",$C608="",$D608="",$E608="",$H608=""),"",SUMIFS(DATA_GOC!$H:$H,DATA_GOC!$A:$A,"BOM",DATA_GOC!$D:$D,$H608,DATA_GOC!$E:$E,$C608,DATA_GOC!$F:$F,"Xuất nội bộ từ téc",DATA_GOC!$B:$B,"&gt;="&amp;$D608,DATA_GOC!$B:$B,"&lt;="&amp;$E608))</f>
        <v>1524</v>
      </c>
      <c r="J608" s="59">
        <f t="shared" si="28"/>
        <v>54.095</v>
      </c>
      <c r="K608" s="59">
        <f t="shared" si="29"/>
        <v>0</v>
      </c>
      <c r="L608" s="59">
        <f t="shared" si="30"/>
        <v>1578.095</v>
      </c>
      <c r="M608" s="59">
        <f t="shared" si="31"/>
        <v>0.05361288961</v>
      </c>
    </row>
    <row r="609" ht="15.0" hidden="1" customHeight="1">
      <c r="A609" s="59">
        <f t="shared" si="20"/>
        <v>7</v>
      </c>
      <c r="B609" s="59" t="str">
        <f t="shared" si="21"/>
        <v>Đã chốt</v>
      </c>
      <c r="C609" s="59" t="str">
        <f t="shared" si="22"/>
        <v>Téc 2</v>
      </c>
      <c r="D609" s="45">
        <f t="shared" si="23"/>
        <v>46082</v>
      </c>
      <c r="E609" s="45">
        <f t="shared" si="24"/>
        <v>46118</v>
      </c>
      <c r="F609" s="133">
        <f t="shared" si="25"/>
        <v>4</v>
      </c>
      <c r="G609" s="133">
        <f t="shared" si="26"/>
        <v>2026</v>
      </c>
      <c r="H609" s="59" t="str">
        <f t="shared" si="27"/>
        <v>28C03261</v>
      </c>
      <c r="I609" s="59">
        <f>IF(OR($A609="",$C609="",$D609="",$E609="",$H609=""),"",SUMIFS(DATA_GOC!$H:$H,DATA_GOC!$A:$A,"BOM",DATA_GOC!$D:$D,$H609,DATA_GOC!$E:$E,$C609,DATA_GOC!$F:$F,"Xuất nội bộ từ téc",DATA_GOC!$B:$B,"&gt;="&amp;$D609,DATA_GOC!$B:$B,"&lt;="&amp;$E609))</f>
        <v>455</v>
      </c>
      <c r="J609" s="59">
        <f t="shared" si="28"/>
        <v>16.151</v>
      </c>
      <c r="K609" s="59">
        <f t="shared" si="29"/>
        <v>0</v>
      </c>
      <c r="L609" s="59">
        <f t="shared" si="30"/>
        <v>471.151</v>
      </c>
      <c r="M609" s="59">
        <f t="shared" si="31"/>
        <v>0.01600647295</v>
      </c>
    </row>
    <row r="610" ht="15.0" hidden="1" customHeight="1">
      <c r="A610" s="59">
        <f t="shared" si="20"/>
        <v>7</v>
      </c>
      <c r="B610" s="59" t="str">
        <f t="shared" si="21"/>
        <v>Đã chốt</v>
      </c>
      <c r="C610" s="59" t="str">
        <f t="shared" si="22"/>
        <v>Téc 2</v>
      </c>
      <c r="D610" s="45">
        <f t="shared" si="23"/>
        <v>46082</v>
      </c>
      <c r="E610" s="45">
        <f t="shared" si="24"/>
        <v>46118</v>
      </c>
      <c r="F610" s="133">
        <f t="shared" si="25"/>
        <v>4</v>
      </c>
      <c r="G610" s="133">
        <f t="shared" si="26"/>
        <v>2026</v>
      </c>
      <c r="H610" s="59" t="str">
        <f t="shared" si="27"/>
        <v>28C03323</v>
      </c>
      <c r="I610" s="59">
        <f>IF(OR($A610="",$C610="",$D610="",$E610="",$H610=""),"",SUMIFS(DATA_GOC!$H:$H,DATA_GOC!$A:$A,"BOM",DATA_GOC!$D:$D,$H610,DATA_GOC!$E:$E,$C610,DATA_GOC!$F:$F,"Xuất nội bộ từ téc",DATA_GOC!$B:$B,"&gt;="&amp;$D610,DATA_GOC!$B:$B,"&lt;="&amp;$E610))</f>
        <v>675</v>
      </c>
      <c r="J610" s="59">
        <f t="shared" si="28"/>
        <v>23.96</v>
      </c>
      <c r="K610" s="59">
        <f t="shared" si="29"/>
        <v>0</v>
      </c>
      <c r="L610" s="59">
        <f t="shared" si="30"/>
        <v>698.96</v>
      </c>
      <c r="M610" s="59">
        <f t="shared" si="31"/>
        <v>0.02374586646</v>
      </c>
    </row>
    <row r="611" ht="15.0" hidden="1" customHeight="1">
      <c r="A611" s="59">
        <f t="shared" si="20"/>
        <v>7</v>
      </c>
      <c r="B611" s="59" t="str">
        <f t="shared" si="21"/>
        <v>Đã chốt</v>
      </c>
      <c r="C611" s="59" t="str">
        <f t="shared" si="22"/>
        <v>Téc 2</v>
      </c>
      <c r="D611" s="45">
        <f t="shared" si="23"/>
        <v>46082</v>
      </c>
      <c r="E611" s="45">
        <f t="shared" si="24"/>
        <v>46118</v>
      </c>
      <c r="F611" s="133">
        <f t="shared" si="25"/>
        <v>4</v>
      </c>
      <c r="G611" s="133">
        <f t="shared" si="26"/>
        <v>2026</v>
      </c>
      <c r="H611" s="59" t="str">
        <f t="shared" si="27"/>
        <v>28C03385</v>
      </c>
      <c r="I611" s="59">
        <f>IF(OR($A611="",$C611="",$D611="",$E611="",$H611=""),"",SUMIFS(DATA_GOC!$H:$H,DATA_GOC!$A:$A,"BOM",DATA_GOC!$D:$D,$H611,DATA_GOC!$E:$E,$C611,DATA_GOC!$F:$F,"Xuất nội bộ từ téc",DATA_GOC!$B:$B,"&gt;="&amp;$D611,DATA_GOC!$B:$B,"&lt;="&amp;$E611))</f>
        <v>555</v>
      </c>
      <c r="J611" s="59">
        <f t="shared" si="28"/>
        <v>19.7</v>
      </c>
      <c r="K611" s="59">
        <f t="shared" si="29"/>
        <v>0</v>
      </c>
      <c r="L611" s="59">
        <f t="shared" si="30"/>
        <v>574.7</v>
      </c>
      <c r="M611" s="59">
        <f t="shared" si="31"/>
        <v>0.01952437909</v>
      </c>
    </row>
    <row r="612" ht="15.0" hidden="1" customHeight="1">
      <c r="A612" s="59">
        <f t="shared" si="20"/>
        <v>7</v>
      </c>
      <c r="B612" s="59" t="str">
        <f t="shared" si="21"/>
        <v>Đã chốt</v>
      </c>
      <c r="C612" s="59" t="str">
        <f t="shared" si="22"/>
        <v>Téc 2</v>
      </c>
      <c r="D612" s="45">
        <f t="shared" si="23"/>
        <v>46082</v>
      </c>
      <c r="E612" s="45">
        <f t="shared" si="24"/>
        <v>46118</v>
      </c>
      <c r="F612" s="133">
        <f t="shared" si="25"/>
        <v>4</v>
      </c>
      <c r="G612" s="133">
        <f t="shared" si="26"/>
        <v>2026</v>
      </c>
      <c r="H612" s="59" t="str">
        <f t="shared" si="27"/>
        <v>28C03652</v>
      </c>
      <c r="I612" s="59">
        <f>IF(OR($A612="",$C612="",$D612="",$E612="",$H612=""),"",SUMIFS(DATA_GOC!$H:$H,DATA_GOC!$A:$A,"BOM",DATA_GOC!$D:$D,$H612,DATA_GOC!$E:$E,$C612,DATA_GOC!$F:$F,"Xuất nội bộ từ téc",DATA_GOC!$B:$B,"&gt;="&amp;$D612,DATA_GOC!$B:$B,"&lt;="&amp;$E612))</f>
        <v>493</v>
      </c>
      <c r="J612" s="59">
        <f t="shared" si="28"/>
        <v>17.499</v>
      </c>
      <c r="K612" s="59">
        <f t="shared" si="29"/>
        <v>0</v>
      </c>
      <c r="L612" s="59">
        <f t="shared" si="30"/>
        <v>510.499</v>
      </c>
      <c r="M612" s="59">
        <f t="shared" si="31"/>
        <v>0.01734327728</v>
      </c>
    </row>
    <row r="613" ht="15.0" hidden="1" customHeight="1">
      <c r="A613" s="59">
        <f t="shared" si="20"/>
        <v>7</v>
      </c>
      <c r="B613" s="59" t="str">
        <f t="shared" si="21"/>
        <v>Đã chốt</v>
      </c>
      <c r="C613" s="59" t="str">
        <f t="shared" si="22"/>
        <v>Téc 2</v>
      </c>
      <c r="D613" s="45">
        <f t="shared" si="23"/>
        <v>46082</v>
      </c>
      <c r="E613" s="45">
        <f t="shared" si="24"/>
        <v>46118</v>
      </c>
      <c r="F613" s="133">
        <f t="shared" si="25"/>
        <v>4</v>
      </c>
      <c r="G613" s="133">
        <f t="shared" si="26"/>
        <v>2026</v>
      </c>
      <c r="H613" s="59" t="str">
        <f t="shared" si="27"/>
        <v>28C03695</v>
      </c>
      <c r="I613" s="59">
        <f>IF(OR($A613="",$C613="",$D613="",$E613="",$H613=""),"",SUMIFS(DATA_GOC!$H:$H,DATA_GOC!$A:$A,"BOM",DATA_GOC!$D:$D,$H613,DATA_GOC!$E:$E,$C613,DATA_GOC!$F:$F,"Xuất nội bộ từ téc",DATA_GOC!$B:$B,"&gt;="&amp;$D613,DATA_GOC!$B:$B,"&lt;="&amp;$E613))</f>
        <v>177</v>
      </c>
      <c r="J613" s="59">
        <f t="shared" si="28"/>
        <v>6.283</v>
      </c>
      <c r="K613" s="59">
        <f t="shared" si="29"/>
        <v>0</v>
      </c>
      <c r="L613" s="59">
        <f t="shared" si="30"/>
        <v>183.283</v>
      </c>
      <c r="M613" s="59">
        <f t="shared" si="31"/>
        <v>0.006226693872</v>
      </c>
    </row>
    <row r="614" ht="15.0" hidden="1" customHeight="1">
      <c r="A614" s="59">
        <f t="shared" si="20"/>
        <v>7</v>
      </c>
      <c r="B614" s="59" t="str">
        <f t="shared" si="21"/>
        <v>Đã chốt</v>
      </c>
      <c r="C614" s="59" t="str">
        <f t="shared" si="22"/>
        <v>Téc 2</v>
      </c>
      <c r="D614" s="45">
        <f t="shared" si="23"/>
        <v>46082</v>
      </c>
      <c r="E614" s="45">
        <f t="shared" si="24"/>
        <v>46118</v>
      </c>
      <c r="F614" s="133">
        <f t="shared" si="25"/>
        <v>4</v>
      </c>
      <c r="G614" s="133">
        <f t="shared" si="26"/>
        <v>2026</v>
      </c>
      <c r="H614" s="59" t="str">
        <f t="shared" si="27"/>
        <v>28C03927</v>
      </c>
      <c r="I614" s="59">
        <f>IF(OR($A614="",$C614="",$D614="",$E614="",$H614=""),"",SUMIFS(DATA_GOC!$H:$H,DATA_GOC!$A:$A,"BOM",DATA_GOC!$D:$D,$H614,DATA_GOC!$E:$E,$C614,DATA_GOC!$F:$F,"Xuất nội bộ từ téc",DATA_GOC!$B:$B,"&gt;="&amp;$D614,DATA_GOC!$B:$B,"&lt;="&amp;$E614))</f>
        <v>922</v>
      </c>
      <c r="J614" s="59">
        <f t="shared" si="28"/>
        <v>32.727</v>
      </c>
      <c r="K614" s="59">
        <f t="shared" si="29"/>
        <v>0</v>
      </c>
      <c r="L614" s="59">
        <f t="shared" si="30"/>
        <v>954.727</v>
      </c>
      <c r="M614" s="59">
        <f t="shared" si="31"/>
        <v>0.03243509463</v>
      </c>
    </row>
    <row r="615" ht="15.0" hidden="1" customHeight="1">
      <c r="A615" s="59">
        <f t="shared" si="20"/>
        <v>7</v>
      </c>
      <c r="B615" s="59" t="str">
        <f t="shared" si="21"/>
        <v>Đã chốt</v>
      </c>
      <c r="C615" s="59" t="str">
        <f t="shared" si="22"/>
        <v>Téc 2</v>
      </c>
      <c r="D615" s="45">
        <f t="shared" si="23"/>
        <v>46082</v>
      </c>
      <c r="E615" s="45">
        <f t="shared" si="24"/>
        <v>46118</v>
      </c>
      <c r="F615" s="133">
        <f t="shared" si="25"/>
        <v>4</v>
      </c>
      <c r="G615" s="133">
        <f t="shared" si="26"/>
        <v>2026</v>
      </c>
      <c r="H615" s="59" t="str">
        <f t="shared" si="27"/>
        <v>28C04509</v>
      </c>
      <c r="I615" s="59">
        <f>IF(OR($A615="",$C615="",$D615="",$E615="",$H615=""),"",SUMIFS(DATA_GOC!$H:$H,DATA_GOC!$A:$A,"BOM",DATA_GOC!$D:$D,$H615,DATA_GOC!$E:$E,$C615,DATA_GOC!$F:$F,"Xuất nội bộ từ téc",DATA_GOC!$B:$B,"&gt;="&amp;$D615,DATA_GOC!$B:$B,"&lt;="&amp;$E615))</f>
        <v>191</v>
      </c>
      <c r="J615" s="59">
        <f t="shared" si="28"/>
        <v>6.78</v>
      </c>
      <c r="K615" s="59">
        <f t="shared" si="29"/>
        <v>0</v>
      </c>
      <c r="L615" s="59">
        <f t="shared" si="30"/>
        <v>197.78</v>
      </c>
      <c r="M615" s="59">
        <f t="shared" si="31"/>
        <v>0.006719200732</v>
      </c>
    </row>
    <row r="616" ht="15.0" hidden="1" customHeight="1">
      <c r="A616" s="59">
        <f t="shared" si="20"/>
        <v>7</v>
      </c>
      <c r="B616" s="59" t="str">
        <f t="shared" si="21"/>
        <v>Đã chốt</v>
      </c>
      <c r="C616" s="59" t="str">
        <f t="shared" si="22"/>
        <v>Téc 2</v>
      </c>
      <c r="D616" s="45">
        <f t="shared" si="23"/>
        <v>46082</v>
      </c>
      <c r="E616" s="45">
        <f t="shared" si="24"/>
        <v>46118</v>
      </c>
      <c r="F616" s="133">
        <f t="shared" si="25"/>
        <v>4</v>
      </c>
      <c r="G616" s="133">
        <f t="shared" si="26"/>
        <v>2026</v>
      </c>
      <c r="H616" s="59" t="str">
        <f t="shared" si="27"/>
        <v>28C04536</v>
      </c>
      <c r="I616" s="59">
        <f>IF(OR($A616="",$C616="",$D616="",$E616="",$H616=""),"",SUMIFS(DATA_GOC!$H:$H,DATA_GOC!$A:$A,"BOM",DATA_GOC!$D:$D,$H616,DATA_GOC!$E:$E,$C616,DATA_GOC!$F:$F,"Xuất nội bộ từ téc",DATA_GOC!$B:$B,"&gt;="&amp;$D616,DATA_GOC!$B:$B,"&lt;="&amp;$E616))</f>
        <v>0</v>
      </c>
      <c r="J616" s="59">
        <f t="shared" si="28"/>
        <v>0</v>
      </c>
      <c r="K616" s="59">
        <f t="shared" si="29"/>
        <v>0</v>
      </c>
      <c r="L616" s="59">
        <f t="shared" si="30"/>
        <v>0</v>
      </c>
      <c r="M616" s="59">
        <f t="shared" si="31"/>
        <v>0</v>
      </c>
    </row>
    <row r="617" ht="15.0" hidden="1" customHeight="1">
      <c r="A617" s="59">
        <f t="shared" si="20"/>
        <v>7</v>
      </c>
      <c r="B617" s="59" t="str">
        <f t="shared" si="21"/>
        <v>Đã chốt</v>
      </c>
      <c r="C617" s="59" t="str">
        <f t="shared" si="22"/>
        <v>Téc 2</v>
      </c>
      <c r="D617" s="45">
        <f t="shared" si="23"/>
        <v>46082</v>
      </c>
      <c r="E617" s="45">
        <f t="shared" si="24"/>
        <v>46118</v>
      </c>
      <c r="F617" s="133">
        <f t="shared" si="25"/>
        <v>4</v>
      </c>
      <c r="G617" s="133">
        <f t="shared" si="26"/>
        <v>2026</v>
      </c>
      <c r="H617" s="59" t="str">
        <f t="shared" si="27"/>
        <v>28C04576</v>
      </c>
      <c r="I617" s="59">
        <f>IF(OR($A617="",$C617="",$D617="",$E617="",$H617=""),"",SUMIFS(DATA_GOC!$H:$H,DATA_GOC!$A:$A,"BOM",DATA_GOC!$D:$D,$H617,DATA_GOC!$E:$E,$C617,DATA_GOC!$F:$F,"Xuất nội bộ từ téc",DATA_GOC!$B:$B,"&gt;="&amp;$D617,DATA_GOC!$B:$B,"&lt;="&amp;$E617))</f>
        <v>880</v>
      </c>
      <c r="J617" s="59">
        <f t="shared" si="28"/>
        <v>31.236</v>
      </c>
      <c r="K617" s="59">
        <f t="shared" si="29"/>
        <v>0</v>
      </c>
      <c r="L617" s="59">
        <f t="shared" si="30"/>
        <v>911.236</v>
      </c>
      <c r="M617" s="59">
        <f t="shared" si="31"/>
        <v>0.03095757405</v>
      </c>
    </row>
    <row r="618" ht="15.0" hidden="1" customHeight="1">
      <c r="A618" s="59">
        <f t="shared" si="20"/>
        <v>7</v>
      </c>
      <c r="B618" s="59" t="str">
        <f t="shared" si="21"/>
        <v>Đã chốt</v>
      </c>
      <c r="C618" s="59" t="str">
        <f t="shared" si="22"/>
        <v>Téc 2</v>
      </c>
      <c r="D618" s="45">
        <f t="shared" si="23"/>
        <v>46082</v>
      </c>
      <c r="E618" s="45">
        <f t="shared" si="24"/>
        <v>46118</v>
      </c>
      <c r="F618" s="133">
        <f t="shared" si="25"/>
        <v>4</v>
      </c>
      <c r="G618" s="133">
        <f t="shared" si="26"/>
        <v>2026</v>
      </c>
      <c r="H618" s="59" t="str">
        <f t="shared" si="27"/>
        <v>28C05090</v>
      </c>
      <c r="I618" s="59">
        <f>IF(OR($A618="",$C618="",$D618="",$E618="",$H618=""),"",SUMIFS(DATA_GOC!$H:$H,DATA_GOC!$A:$A,"BOM",DATA_GOC!$D:$D,$H618,DATA_GOC!$E:$E,$C618,DATA_GOC!$F:$F,"Xuất nội bộ từ téc",DATA_GOC!$B:$B,"&gt;="&amp;$D618,DATA_GOC!$B:$B,"&lt;="&amp;$E618))</f>
        <v>0</v>
      </c>
      <c r="J618" s="59">
        <f t="shared" si="28"/>
        <v>0</v>
      </c>
      <c r="K618" s="59">
        <f t="shared" si="29"/>
        <v>0</v>
      </c>
      <c r="L618" s="59">
        <f t="shared" si="30"/>
        <v>0</v>
      </c>
      <c r="M618" s="59">
        <f t="shared" si="31"/>
        <v>0</v>
      </c>
    </row>
    <row r="619" ht="15.0" hidden="1" customHeight="1">
      <c r="A619" s="59">
        <f t="shared" si="20"/>
        <v>7</v>
      </c>
      <c r="B619" s="59" t="str">
        <f t="shared" si="21"/>
        <v>Đã chốt</v>
      </c>
      <c r="C619" s="59" t="str">
        <f t="shared" si="22"/>
        <v>Téc 2</v>
      </c>
      <c r="D619" s="45">
        <f t="shared" si="23"/>
        <v>46082</v>
      </c>
      <c r="E619" s="45">
        <f t="shared" si="24"/>
        <v>46118</v>
      </c>
      <c r="F619" s="133">
        <f t="shared" si="25"/>
        <v>4</v>
      </c>
      <c r="G619" s="133">
        <f t="shared" si="26"/>
        <v>2026</v>
      </c>
      <c r="H619" s="59" t="str">
        <f t="shared" si="27"/>
        <v>28C05345</v>
      </c>
      <c r="I619" s="59">
        <f>IF(OR($A619="",$C619="",$D619="",$E619="",$H619=""),"",SUMIFS(DATA_GOC!$H:$H,DATA_GOC!$A:$A,"BOM",DATA_GOC!$D:$D,$H619,DATA_GOC!$E:$E,$C619,DATA_GOC!$F:$F,"Xuất nội bộ từ téc",DATA_GOC!$B:$B,"&gt;="&amp;$D619,DATA_GOC!$B:$B,"&lt;="&amp;$E619))</f>
        <v>886</v>
      </c>
      <c r="J619" s="59">
        <f t="shared" si="28"/>
        <v>31.449</v>
      </c>
      <c r="K619" s="59">
        <f t="shared" si="29"/>
        <v>0</v>
      </c>
      <c r="L619" s="59">
        <f t="shared" si="30"/>
        <v>917.449</v>
      </c>
      <c r="M619" s="59">
        <f t="shared" si="31"/>
        <v>0.03116864842</v>
      </c>
    </row>
    <row r="620" ht="15.0" hidden="1" customHeight="1">
      <c r="A620" s="59">
        <f t="shared" si="20"/>
        <v>7</v>
      </c>
      <c r="B620" s="59" t="str">
        <f t="shared" si="21"/>
        <v>Đã chốt</v>
      </c>
      <c r="C620" s="59" t="str">
        <f t="shared" si="22"/>
        <v>Téc 2</v>
      </c>
      <c r="D620" s="45">
        <f t="shared" si="23"/>
        <v>46082</v>
      </c>
      <c r="E620" s="45">
        <f t="shared" si="24"/>
        <v>46118</v>
      </c>
      <c r="F620" s="133">
        <f t="shared" si="25"/>
        <v>4</v>
      </c>
      <c r="G620" s="133">
        <f t="shared" si="26"/>
        <v>2026</v>
      </c>
      <c r="H620" s="59" t="str">
        <f t="shared" si="27"/>
        <v>28C05661</v>
      </c>
      <c r="I620" s="59">
        <f>IF(OR($A620="",$C620="",$D620="",$E620="",$H620=""),"",SUMIFS(DATA_GOC!$H:$H,DATA_GOC!$A:$A,"BOM",DATA_GOC!$D:$D,$H620,DATA_GOC!$E:$E,$C620,DATA_GOC!$F:$F,"Xuất nội bộ từ téc",DATA_GOC!$B:$B,"&gt;="&amp;$D620,DATA_GOC!$B:$B,"&lt;="&amp;$E620))</f>
        <v>850</v>
      </c>
      <c r="J620" s="59">
        <f t="shared" si="28"/>
        <v>30.171</v>
      </c>
      <c r="K620" s="59">
        <f t="shared" si="29"/>
        <v>0</v>
      </c>
      <c r="L620" s="59">
        <f t="shared" si="30"/>
        <v>880.171</v>
      </c>
      <c r="M620" s="59">
        <f t="shared" si="31"/>
        <v>0.02990220221</v>
      </c>
    </row>
    <row r="621" ht="15.0" hidden="1" customHeight="1">
      <c r="A621" s="59">
        <f t="shared" si="20"/>
        <v>7</v>
      </c>
      <c r="B621" s="59" t="str">
        <f t="shared" si="21"/>
        <v>Đã chốt</v>
      </c>
      <c r="C621" s="59" t="str">
        <f t="shared" si="22"/>
        <v>Téc 2</v>
      </c>
      <c r="D621" s="45">
        <f t="shared" si="23"/>
        <v>46082</v>
      </c>
      <c r="E621" s="45">
        <f t="shared" si="24"/>
        <v>46118</v>
      </c>
      <c r="F621" s="133">
        <f t="shared" si="25"/>
        <v>4</v>
      </c>
      <c r="G621" s="133">
        <f t="shared" si="26"/>
        <v>2026</v>
      </c>
      <c r="H621" s="59" t="str">
        <f t="shared" si="27"/>
        <v>28C05739</v>
      </c>
      <c r="I621" s="59">
        <f>IF(OR($A621="",$C621="",$D621="",$E621="",$H621=""),"",SUMIFS(DATA_GOC!$H:$H,DATA_GOC!$A:$A,"BOM",DATA_GOC!$D:$D,$H621,DATA_GOC!$E:$E,$C621,DATA_GOC!$F:$F,"Xuất nội bộ từ téc",DATA_GOC!$B:$B,"&gt;="&amp;$D621,DATA_GOC!$B:$B,"&lt;="&amp;$E621))</f>
        <v>506</v>
      </c>
      <c r="J621" s="59">
        <f t="shared" si="28"/>
        <v>17.961</v>
      </c>
      <c r="K621" s="59">
        <f t="shared" si="29"/>
        <v>0</v>
      </c>
      <c r="L621" s="59">
        <f t="shared" si="30"/>
        <v>523.961</v>
      </c>
      <c r="M621" s="59">
        <f t="shared" si="31"/>
        <v>0.01780060508</v>
      </c>
    </row>
    <row r="622" ht="15.0" hidden="1" customHeight="1">
      <c r="A622" s="59">
        <f t="shared" si="20"/>
        <v>7</v>
      </c>
      <c r="B622" s="59" t="str">
        <f t="shared" si="21"/>
        <v>Đã chốt</v>
      </c>
      <c r="C622" s="59" t="str">
        <f t="shared" si="22"/>
        <v>Téc 2</v>
      </c>
      <c r="D622" s="45">
        <f t="shared" si="23"/>
        <v>46082</v>
      </c>
      <c r="E622" s="45">
        <f t="shared" si="24"/>
        <v>46118</v>
      </c>
      <c r="F622" s="133">
        <f t="shared" si="25"/>
        <v>4</v>
      </c>
      <c r="G622" s="133">
        <f t="shared" si="26"/>
        <v>2026</v>
      </c>
      <c r="H622" s="59" t="str">
        <f t="shared" si="27"/>
        <v>28C06369</v>
      </c>
      <c r="I622" s="59">
        <f>IF(OR($A622="",$C622="",$D622="",$E622="",$H622=""),"",SUMIFS(DATA_GOC!$H:$H,DATA_GOC!$A:$A,"BOM",DATA_GOC!$D:$D,$H622,DATA_GOC!$E:$E,$C622,DATA_GOC!$F:$F,"Xuất nội bộ từ téc",DATA_GOC!$B:$B,"&gt;="&amp;$D622,DATA_GOC!$B:$B,"&lt;="&amp;$E622))</f>
        <v>675</v>
      </c>
      <c r="J622" s="59">
        <f t="shared" si="28"/>
        <v>23.96</v>
      </c>
      <c r="K622" s="59">
        <f t="shared" si="29"/>
        <v>0</v>
      </c>
      <c r="L622" s="59">
        <f t="shared" si="30"/>
        <v>698.96</v>
      </c>
      <c r="M622" s="59">
        <f t="shared" si="31"/>
        <v>0.02374586646</v>
      </c>
    </row>
    <row r="623" ht="15.0" hidden="1" customHeight="1">
      <c r="A623" s="59">
        <f t="shared" si="20"/>
        <v>7</v>
      </c>
      <c r="B623" s="59" t="str">
        <f t="shared" si="21"/>
        <v>Đã chốt</v>
      </c>
      <c r="C623" s="59" t="str">
        <f t="shared" si="22"/>
        <v>Téc 2</v>
      </c>
      <c r="D623" s="45">
        <f t="shared" si="23"/>
        <v>46082</v>
      </c>
      <c r="E623" s="45">
        <f t="shared" si="24"/>
        <v>46118</v>
      </c>
      <c r="F623" s="133">
        <f t="shared" si="25"/>
        <v>4</v>
      </c>
      <c r="G623" s="133">
        <f t="shared" si="26"/>
        <v>2026</v>
      </c>
      <c r="H623" s="59" t="str">
        <f t="shared" si="27"/>
        <v>28C06447</v>
      </c>
      <c r="I623" s="59">
        <f>IF(OR($A623="",$C623="",$D623="",$E623="",$H623=""),"",SUMIFS(DATA_GOC!$H:$H,DATA_GOC!$A:$A,"BOM",DATA_GOC!$D:$D,$H623,DATA_GOC!$E:$E,$C623,DATA_GOC!$F:$F,"Xuất nội bộ từ téc",DATA_GOC!$B:$B,"&gt;="&amp;$D623,DATA_GOC!$B:$B,"&lt;="&amp;$E623))</f>
        <v>1164</v>
      </c>
      <c r="J623" s="59">
        <f t="shared" si="28"/>
        <v>41.317</v>
      </c>
      <c r="K623" s="59">
        <f t="shared" si="29"/>
        <v>0</v>
      </c>
      <c r="L623" s="59">
        <f t="shared" si="30"/>
        <v>1205.317</v>
      </c>
      <c r="M623" s="59">
        <f t="shared" si="31"/>
        <v>0.0409484275</v>
      </c>
    </row>
    <row r="624" ht="15.0" hidden="1" customHeight="1">
      <c r="A624" s="59">
        <f t="shared" si="20"/>
        <v>7</v>
      </c>
      <c r="B624" s="59" t="str">
        <f t="shared" si="21"/>
        <v>Đã chốt</v>
      </c>
      <c r="C624" s="59" t="str">
        <f t="shared" si="22"/>
        <v>Téc 2</v>
      </c>
      <c r="D624" s="45">
        <f t="shared" si="23"/>
        <v>46082</v>
      </c>
      <c r="E624" s="45">
        <f t="shared" si="24"/>
        <v>46118</v>
      </c>
      <c r="F624" s="133">
        <f t="shared" si="25"/>
        <v>4</v>
      </c>
      <c r="G624" s="133">
        <f t="shared" si="26"/>
        <v>2026</v>
      </c>
      <c r="H624" s="59" t="str">
        <f t="shared" si="27"/>
        <v>28H00003</v>
      </c>
      <c r="I624" s="59">
        <f>IF(OR($A624="",$C624="",$D624="",$E624="",$H624=""),"",SUMIFS(DATA_GOC!$H:$H,DATA_GOC!$A:$A,"BOM",DATA_GOC!$D:$D,$H624,DATA_GOC!$E:$E,$C624,DATA_GOC!$F:$F,"Xuất nội bộ từ téc",DATA_GOC!$B:$B,"&gt;="&amp;$D624,DATA_GOC!$B:$B,"&lt;="&amp;$E624))</f>
        <v>1193</v>
      </c>
      <c r="J624" s="59">
        <f t="shared" si="28"/>
        <v>42.346</v>
      </c>
      <c r="K624" s="59">
        <f t="shared" si="29"/>
        <v>0</v>
      </c>
      <c r="L624" s="59">
        <f t="shared" si="30"/>
        <v>1235.346</v>
      </c>
      <c r="M624" s="59">
        <f t="shared" si="31"/>
        <v>0.04196862028</v>
      </c>
    </row>
    <row r="625" ht="15.0" hidden="1" customHeight="1">
      <c r="A625" s="59">
        <f t="shared" si="20"/>
        <v>7</v>
      </c>
      <c r="B625" s="59" t="str">
        <f t="shared" si="21"/>
        <v>Đã chốt</v>
      </c>
      <c r="C625" s="59" t="str">
        <f t="shared" si="22"/>
        <v>Téc 2</v>
      </c>
      <c r="D625" s="45">
        <f t="shared" si="23"/>
        <v>46082</v>
      </c>
      <c r="E625" s="45">
        <f t="shared" si="24"/>
        <v>46118</v>
      </c>
      <c r="F625" s="133">
        <f t="shared" si="25"/>
        <v>4</v>
      </c>
      <c r="G625" s="133">
        <f t="shared" si="26"/>
        <v>2026</v>
      </c>
      <c r="H625" s="59" t="str">
        <f t="shared" si="27"/>
        <v>28H00061</v>
      </c>
      <c r="I625" s="59">
        <f>IF(OR($A625="",$C625="",$D625="",$E625="",$H625=""),"",SUMIFS(DATA_GOC!$H:$H,DATA_GOC!$A:$A,"BOM",DATA_GOC!$D:$D,$H625,DATA_GOC!$E:$E,$C625,DATA_GOC!$F:$F,"Xuất nội bộ từ téc",DATA_GOC!$B:$B,"&gt;="&amp;$D625,DATA_GOC!$B:$B,"&lt;="&amp;$E625))</f>
        <v>703</v>
      </c>
      <c r="J625" s="59">
        <f t="shared" si="28"/>
        <v>24.953</v>
      </c>
      <c r="K625" s="59">
        <f t="shared" si="29"/>
        <v>0</v>
      </c>
      <c r="L625" s="59">
        <f t="shared" si="30"/>
        <v>727.953</v>
      </c>
      <c r="M625" s="59">
        <f t="shared" si="31"/>
        <v>0.02473088018</v>
      </c>
    </row>
    <row r="626" ht="15.0" hidden="1" customHeight="1">
      <c r="A626" s="59">
        <f t="shared" si="20"/>
        <v>7</v>
      </c>
      <c r="B626" s="59" t="str">
        <f t="shared" si="21"/>
        <v>Đã chốt</v>
      </c>
      <c r="C626" s="59" t="str">
        <f t="shared" si="22"/>
        <v>Téc 2</v>
      </c>
      <c r="D626" s="45">
        <f t="shared" si="23"/>
        <v>46082</v>
      </c>
      <c r="E626" s="45">
        <f t="shared" si="24"/>
        <v>46118</v>
      </c>
      <c r="F626" s="133">
        <f t="shared" si="25"/>
        <v>4</v>
      </c>
      <c r="G626" s="133">
        <f t="shared" si="26"/>
        <v>2026</v>
      </c>
      <c r="H626" s="59" t="str">
        <f t="shared" si="27"/>
        <v>28H00354</v>
      </c>
      <c r="I626" s="59">
        <f>IF(OR($A626="",$C626="",$D626="",$E626="",$H626=""),"",SUMIFS(DATA_GOC!$H:$H,DATA_GOC!$A:$A,"BOM",DATA_GOC!$D:$D,$H626,DATA_GOC!$E:$E,$C626,DATA_GOC!$F:$F,"Xuất nội bộ từ téc",DATA_GOC!$B:$B,"&gt;="&amp;$D626,DATA_GOC!$B:$B,"&lt;="&amp;$E626))</f>
        <v>760</v>
      </c>
      <c r="J626" s="59">
        <f t="shared" si="28"/>
        <v>26.977</v>
      </c>
      <c r="K626" s="59">
        <f t="shared" si="29"/>
        <v>0</v>
      </c>
      <c r="L626" s="59">
        <f t="shared" si="30"/>
        <v>786.977</v>
      </c>
      <c r="M626" s="59">
        <f t="shared" si="31"/>
        <v>0.02673608668</v>
      </c>
    </row>
    <row r="627" ht="15.0" hidden="1" customHeight="1">
      <c r="A627" s="59">
        <f t="shared" si="20"/>
        <v>7</v>
      </c>
      <c r="B627" s="59" t="str">
        <f t="shared" si="21"/>
        <v>Đã chốt</v>
      </c>
      <c r="C627" s="59" t="str">
        <f t="shared" si="22"/>
        <v>Téc 2</v>
      </c>
      <c r="D627" s="45">
        <f t="shared" si="23"/>
        <v>46082</v>
      </c>
      <c r="E627" s="45">
        <f t="shared" si="24"/>
        <v>46118</v>
      </c>
      <c r="F627" s="133">
        <f t="shared" si="25"/>
        <v>4</v>
      </c>
      <c r="G627" s="133">
        <f t="shared" si="26"/>
        <v>2026</v>
      </c>
      <c r="H627" s="59" t="str">
        <f t="shared" si="27"/>
        <v>28H00603</v>
      </c>
      <c r="I627" s="59">
        <f>IF(OR($A627="",$C627="",$D627="",$E627="",$H627=""),"",SUMIFS(DATA_GOC!$H:$H,DATA_GOC!$A:$A,"BOM",DATA_GOC!$D:$D,$H627,DATA_GOC!$E:$E,$C627,DATA_GOC!$F:$F,"Xuất nội bộ từ téc",DATA_GOC!$B:$B,"&gt;="&amp;$D627,DATA_GOC!$B:$B,"&lt;="&amp;$E627))</f>
        <v>650</v>
      </c>
      <c r="J627" s="59">
        <f t="shared" si="28"/>
        <v>23.072</v>
      </c>
      <c r="K627" s="59">
        <f t="shared" si="29"/>
        <v>0</v>
      </c>
      <c r="L627" s="59">
        <f t="shared" si="30"/>
        <v>673.072</v>
      </c>
      <c r="M627" s="59">
        <f t="shared" si="31"/>
        <v>0.02286638992</v>
      </c>
    </row>
    <row r="628" ht="15.0" hidden="1" customHeight="1">
      <c r="A628" s="59">
        <f t="shared" si="20"/>
        <v>7</v>
      </c>
      <c r="B628" s="59" t="str">
        <f t="shared" si="21"/>
        <v>Đã chốt</v>
      </c>
      <c r="C628" s="59" t="str">
        <f t="shared" si="22"/>
        <v>Téc 2</v>
      </c>
      <c r="D628" s="45">
        <f t="shared" si="23"/>
        <v>46082</v>
      </c>
      <c r="E628" s="45">
        <f t="shared" si="24"/>
        <v>46118</v>
      </c>
      <c r="F628" s="133">
        <f t="shared" si="25"/>
        <v>4</v>
      </c>
      <c r="G628" s="133">
        <f t="shared" si="26"/>
        <v>2026</v>
      </c>
      <c r="H628" s="59" t="str">
        <f t="shared" si="27"/>
        <v>28H00609</v>
      </c>
      <c r="I628" s="59">
        <f>IF(OR($A628="",$C628="",$D628="",$E628="",$H628=""),"",SUMIFS(DATA_GOC!$H:$H,DATA_GOC!$A:$A,"BOM",DATA_GOC!$D:$D,$H628,DATA_GOC!$E:$E,$C628,DATA_GOC!$F:$F,"Xuất nội bộ từ téc",DATA_GOC!$B:$B,"&gt;="&amp;$D628,DATA_GOC!$B:$B,"&lt;="&amp;$E628))</f>
        <v>705</v>
      </c>
      <c r="J628" s="59">
        <f t="shared" si="28"/>
        <v>25.024</v>
      </c>
      <c r="K628" s="59">
        <f t="shared" si="29"/>
        <v>0</v>
      </c>
      <c r="L628" s="59">
        <f t="shared" si="30"/>
        <v>730.024</v>
      </c>
      <c r="M628" s="59">
        <f t="shared" si="31"/>
        <v>0.0248012383</v>
      </c>
    </row>
    <row r="629" ht="15.0" hidden="1" customHeight="1">
      <c r="A629" s="59">
        <f t="shared" si="20"/>
        <v>7</v>
      </c>
      <c r="B629" s="59" t="str">
        <f t="shared" si="21"/>
        <v>Đã chốt</v>
      </c>
      <c r="C629" s="59" t="str">
        <f t="shared" si="22"/>
        <v>Téc 2</v>
      </c>
      <c r="D629" s="45">
        <f t="shared" si="23"/>
        <v>46082</v>
      </c>
      <c r="E629" s="45">
        <f t="shared" si="24"/>
        <v>46118</v>
      </c>
      <c r="F629" s="133">
        <f t="shared" si="25"/>
        <v>4</v>
      </c>
      <c r="G629" s="133">
        <f t="shared" si="26"/>
        <v>2026</v>
      </c>
      <c r="H629" s="59" t="str">
        <f t="shared" si="27"/>
        <v>28H00669</v>
      </c>
      <c r="I629" s="59">
        <f>IF(OR($A629="",$C629="",$D629="",$E629="",$H629=""),"",SUMIFS(DATA_GOC!$H:$H,DATA_GOC!$A:$A,"BOM",DATA_GOC!$D:$D,$H629,DATA_GOC!$E:$E,$C629,DATA_GOC!$F:$F,"Xuất nội bộ từ téc",DATA_GOC!$B:$B,"&gt;="&amp;$D629,DATA_GOC!$B:$B,"&lt;="&amp;$E629))</f>
        <v>2491</v>
      </c>
      <c r="J629" s="59">
        <f t="shared" si="28"/>
        <v>88.42</v>
      </c>
      <c r="K629" s="59">
        <f t="shared" si="29"/>
        <v>0</v>
      </c>
      <c r="L629" s="59">
        <f t="shared" si="30"/>
        <v>2579.42</v>
      </c>
      <c r="M629" s="59">
        <f t="shared" si="31"/>
        <v>0.087631042</v>
      </c>
    </row>
    <row r="630" ht="15.0" hidden="1" customHeight="1">
      <c r="A630" s="59">
        <f t="shared" si="20"/>
        <v>7</v>
      </c>
      <c r="B630" s="59" t="str">
        <f t="shared" si="21"/>
        <v>Đã chốt</v>
      </c>
      <c r="C630" s="59" t="str">
        <f t="shared" si="22"/>
        <v>Téc 2</v>
      </c>
      <c r="D630" s="45">
        <f t="shared" si="23"/>
        <v>46082</v>
      </c>
      <c r="E630" s="45">
        <f t="shared" si="24"/>
        <v>46118</v>
      </c>
      <c r="F630" s="133">
        <f t="shared" si="25"/>
        <v>4</v>
      </c>
      <c r="G630" s="133">
        <f t="shared" si="26"/>
        <v>2026</v>
      </c>
      <c r="H630" s="59" t="str">
        <f t="shared" si="27"/>
        <v>28H00680</v>
      </c>
      <c r="I630" s="59">
        <f>IF(OR($A630="",$C630="",$D630="",$E630="",$H630=""),"",SUMIFS(DATA_GOC!$H:$H,DATA_GOC!$A:$A,"BOM",DATA_GOC!$D:$D,$H630,DATA_GOC!$E:$E,$C630,DATA_GOC!$F:$F,"Xuất nội bộ từ téc",DATA_GOC!$B:$B,"&gt;="&amp;$D630,DATA_GOC!$B:$B,"&lt;="&amp;$E630))</f>
        <v>1176</v>
      </c>
      <c r="J630" s="59">
        <f t="shared" si="28"/>
        <v>41.743</v>
      </c>
      <c r="K630" s="59">
        <f t="shared" si="29"/>
        <v>0</v>
      </c>
      <c r="L630" s="59">
        <f t="shared" si="30"/>
        <v>1217.743</v>
      </c>
      <c r="M630" s="59">
        <f t="shared" si="31"/>
        <v>0.04137057623</v>
      </c>
    </row>
    <row r="631" ht="15.0" hidden="1" customHeight="1">
      <c r="A631" s="59">
        <f t="shared" si="20"/>
        <v>7</v>
      </c>
      <c r="B631" s="59" t="str">
        <f t="shared" si="21"/>
        <v>Đã chốt</v>
      </c>
      <c r="C631" s="59" t="str">
        <f t="shared" si="22"/>
        <v>Téc 2</v>
      </c>
      <c r="D631" s="45">
        <f t="shared" si="23"/>
        <v>46082</v>
      </c>
      <c r="E631" s="45">
        <f t="shared" si="24"/>
        <v>46118</v>
      </c>
      <c r="F631" s="133">
        <f t="shared" si="25"/>
        <v>4</v>
      </c>
      <c r="G631" s="133">
        <f t="shared" si="26"/>
        <v>2026</v>
      </c>
      <c r="H631" s="59" t="str">
        <f t="shared" si="27"/>
        <v>28H01070</v>
      </c>
      <c r="I631" s="59">
        <f>IF(OR($A631="",$C631="",$D631="",$E631="",$H631=""),"",SUMIFS(DATA_GOC!$H:$H,DATA_GOC!$A:$A,"BOM",DATA_GOC!$D:$D,$H631,DATA_GOC!$E:$E,$C631,DATA_GOC!$F:$F,"Xuất nội bộ từ téc",DATA_GOC!$B:$B,"&gt;="&amp;$D631,DATA_GOC!$B:$B,"&lt;="&amp;$E631))</f>
        <v>1269</v>
      </c>
      <c r="J631" s="59">
        <f t="shared" si="28"/>
        <v>45.044</v>
      </c>
      <c r="K631" s="59">
        <f t="shared" si="29"/>
        <v>0</v>
      </c>
      <c r="L631" s="59">
        <f t="shared" si="30"/>
        <v>1314.044</v>
      </c>
      <c r="M631" s="59">
        <f t="shared" si="31"/>
        <v>0.04464222895</v>
      </c>
    </row>
    <row r="632" ht="15.0" hidden="1" customHeight="1">
      <c r="A632" s="59">
        <f t="shared" si="20"/>
        <v>7</v>
      </c>
      <c r="B632" s="59" t="str">
        <f t="shared" si="21"/>
        <v>Đã chốt</v>
      </c>
      <c r="C632" s="59" t="str">
        <f t="shared" si="22"/>
        <v>Téc 2</v>
      </c>
      <c r="D632" s="45">
        <f t="shared" si="23"/>
        <v>46082</v>
      </c>
      <c r="E632" s="45">
        <f t="shared" si="24"/>
        <v>46118</v>
      </c>
      <c r="F632" s="133">
        <f t="shared" si="25"/>
        <v>4</v>
      </c>
      <c r="G632" s="133">
        <f t="shared" si="26"/>
        <v>2026</v>
      </c>
      <c r="H632" s="59" t="str">
        <f t="shared" si="27"/>
        <v>28H01364</v>
      </c>
      <c r="I632" s="59">
        <f>IF(OR($A632="",$C632="",$D632="",$E632="",$H632=""),"",SUMIFS(DATA_GOC!$H:$H,DATA_GOC!$A:$A,"BOM",DATA_GOC!$D:$D,$H632,DATA_GOC!$E:$E,$C632,DATA_GOC!$F:$F,"Xuất nội bộ từ téc",DATA_GOC!$B:$B,"&gt;="&amp;$D632,DATA_GOC!$B:$B,"&lt;="&amp;$E632))</f>
        <v>981</v>
      </c>
      <c r="J632" s="59">
        <f t="shared" si="28"/>
        <v>34.821</v>
      </c>
      <c r="K632" s="59">
        <f t="shared" si="29"/>
        <v>0</v>
      </c>
      <c r="L632" s="59">
        <f t="shared" si="30"/>
        <v>1015.821</v>
      </c>
      <c r="M632" s="59">
        <f t="shared" si="31"/>
        <v>0.03451065926</v>
      </c>
    </row>
    <row r="633" ht="15.0" hidden="1" customHeight="1">
      <c r="A633" s="59">
        <f t="shared" si="20"/>
        <v>7</v>
      </c>
      <c r="B633" s="59" t="str">
        <f t="shared" si="21"/>
        <v>Đã chốt</v>
      </c>
      <c r="C633" s="59" t="str">
        <f t="shared" si="22"/>
        <v>Téc 2</v>
      </c>
      <c r="D633" s="45">
        <f t="shared" si="23"/>
        <v>46082</v>
      </c>
      <c r="E633" s="45">
        <f t="shared" si="24"/>
        <v>46118</v>
      </c>
      <c r="F633" s="133">
        <f t="shared" si="25"/>
        <v>4</v>
      </c>
      <c r="G633" s="133">
        <f t="shared" si="26"/>
        <v>2026</v>
      </c>
      <c r="H633" s="59" t="str">
        <f t="shared" si="27"/>
        <v>29E17269</v>
      </c>
      <c r="I633" s="59">
        <f>IF(OR($A633="",$C633="",$D633="",$E633="",$H633=""),"",SUMIFS(DATA_GOC!$H:$H,DATA_GOC!$A:$A,"BOM",DATA_GOC!$D:$D,$H633,DATA_GOC!$E:$E,$C633,DATA_GOC!$F:$F,"Xuất nội bộ từ téc",DATA_GOC!$B:$B,"&gt;="&amp;$D633,DATA_GOC!$B:$B,"&lt;="&amp;$E633))</f>
        <v>300</v>
      </c>
      <c r="J633" s="59">
        <f t="shared" si="28"/>
        <v>10.649</v>
      </c>
      <c r="K633" s="59">
        <f t="shared" si="29"/>
        <v>0</v>
      </c>
      <c r="L633" s="59">
        <f t="shared" si="30"/>
        <v>310.649</v>
      </c>
      <c r="M633" s="59">
        <f t="shared" si="31"/>
        <v>0.01055371843</v>
      </c>
    </row>
    <row r="634" ht="15.0" hidden="1" customHeight="1">
      <c r="A634" s="59">
        <f t="shared" si="20"/>
        <v>7</v>
      </c>
      <c r="B634" s="59" t="str">
        <f t="shared" si="21"/>
        <v>Đã chốt</v>
      </c>
      <c r="C634" s="59" t="str">
        <f t="shared" si="22"/>
        <v>Téc 2</v>
      </c>
      <c r="D634" s="45">
        <f t="shared" si="23"/>
        <v>46082</v>
      </c>
      <c r="E634" s="45">
        <f t="shared" si="24"/>
        <v>46118</v>
      </c>
      <c r="F634" s="133">
        <f t="shared" si="25"/>
        <v>4</v>
      </c>
      <c r="G634" s="133">
        <f t="shared" si="26"/>
        <v>2026</v>
      </c>
      <c r="H634" s="59" t="str">
        <f t="shared" si="27"/>
        <v>29E17273</v>
      </c>
      <c r="I634" s="59">
        <f>IF(OR($A634="",$C634="",$D634="",$E634="",$H634=""),"",SUMIFS(DATA_GOC!$H:$H,DATA_GOC!$A:$A,"BOM",DATA_GOC!$D:$D,$H634,DATA_GOC!$E:$E,$C634,DATA_GOC!$F:$F,"Xuất nội bộ từ téc",DATA_GOC!$B:$B,"&gt;="&amp;$D634,DATA_GOC!$B:$B,"&lt;="&amp;$E634))</f>
        <v>258</v>
      </c>
      <c r="J634" s="59">
        <f t="shared" si="28"/>
        <v>9.158</v>
      </c>
      <c r="K634" s="59">
        <f t="shared" si="29"/>
        <v>0</v>
      </c>
      <c r="L634" s="59">
        <f t="shared" si="30"/>
        <v>267.158</v>
      </c>
      <c r="M634" s="59">
        <f t="shared" si="31"/>
        <v>0.009076197847</v>
      </c>
    </row>
    <row r="635" ht="15.0" hidden="1" customHeight="1">
      <c r="A635" s="59">
        <f t="shared" si="20"/>
        <v>7</v>
      </c>
      <c r="B635" s="59" t="str">
        <f t="shared" si="21"/>
        <v>Đã chốt</v>
      </c>
      <c r="C635" s="59" t="str">
        <f t="shared" si="22"/>
        <v>Téc 2</v>
      </c>
      <c r="D635" s="45">
        <f t="shared" si="23"/>
        <v>46082</v>
      </c>
      <c r="E635" s="45">
        <f t="shared" si="24"/>
        <v>46118</v>
      </c>
      <c r="F635" s="133">
        <f t="shared" si="25"/>
        <v>4</v>
      </c>
      <c r="G635" s="133">
        <f t="shared" si="26"/>
        <v>2026</v>
      </c>
      <c r="H635" s="59" t="str">
        <f t="shared" si="27"/>
        <v>29E17410</v>
      </c>
      <c r="I635" s="59">
        <f>IF(OR($A635="",$C635="",$D635="",$E635="",$H635=""),"",SUMIFS(DATA_GOC!$H:$H,DATA_GOC!$A:$A,"BOM",DATA_GOC!$D:$D,$H635,DATA_GOC!$E:$E,$C635,DATA_GOC!$F:$F,"Xuất nội bộ từ téc",DATA_GOC!$B:$B,"&gt;="&amp;$D635,DATA_GOC!$B:$B,"&lt;="&amp;$E635))</f>
        <v>300</v>
      </c>
      <c r="J635" s="59">
        <f t="shared" si="28"/>
        <v>10.649</v>
      </c>
      <c r="K635" s="59">
        <f t="shared" si="29"/>
        <v>0</v>
      </c>
      <c r="L635" s="59">
        <f t="shared" si="30"/>
        <v>310.649</v>
      </c>
      <c r="M635" s="59">
        <f t="shared" si="31"/>
        <v>0.01055371843</v>
      </c>
    </row>
    <row r="636" ht="15.0" hidden="1" customHeight="1">
      <c r="A636" s="59">
        <f t="shared" si="20"/>
        <v>7</v>
      </c>
      <c r="B636" s="59" t="str">
        <f t="shared" si="21"/>
        <v>Đã chốt</v>
      </c>
      <c r="C636" s="59" t="str">
        <f t="shared" si="22"/>
        <v>Téc 2</v>
      </c>
      <c r="D636" s="45">
        <f t="shared" si="23"/>
        <v>46082</v>
      </c>
      <c r="E636" s="45">
        <f t="shared" si="24"/>
        <v>46118</v>
      </c>
      <c r="F636" s="133">
        <f t="shared" si="25"/>
        <v>4</v>
      </c>
      <c r="G636" s="133">
        <f t="shared" si="26"/>
        <v>2026</v>
      </c>
      <c r="H636" s="59" t="str">
        <f t="shared" si="27"/>
        <v>29E17417</v>
      </c>
      <c r="I636" s="59">
        <f>IF(OR($A636="",$C636="",$D636="",$E636="",$H636=""),"",SUMIFS(DATA_GOC!$H:$H,DATA_GOC!$A:$A,"BOM",DATA_GOC!$D:$D,$H636,DATA_GOC!$E:$E,$C636,DATA_GOC!$F:$F,"Xuất nội bộ từ téc",DATA_GOC!$B:$B,"&gt;="&amp;$D636,DATA_GOC!$B:$B,"&lt;="&amp;$E636))</f>
        <v>241</v>
      </c>
      <c r="J636" s="59">
        <f t="shared" si="28"/>
        <v>8.554</v>
      </c>
      <c r="K636" s="59">
        <f t="shared" si="29"/>
        <v>0</v>
      </c>
      <c r="L636" s="59">
        <f t="shared" si="30"/>
        <v>249.554</v>
      </c>
      <c r="M636" s="59">
        <f t="shared" si="31"/>
        <v>0.008478153803</v>
      </c>
    </row>
    <row r="637" ht="15.0" hidden="1" customHeight="1">
      <c r="A637" s="59">
        <f t="shared" si="20"/>
        <v>7</v>
      </c>
      <c r="B637" s="59" t="str">
        <f t="shared" si="21"/>
        <v>Đã chốt</v>
      </c>
      <c r="C637" s="59" t="str">
        <f t="shared" si="22"/>
        <v>Téc 2</v>
      </c>
      <c r="D637" s="45">
        <f t="shared" si="23"/>
        <v>46082</v>
      </c>
      <c r="E637" s="45">
        <f t="shared" si="24"/>
        <v>46118</v>
      </c>
      <c r="F637" s="133">
        <f t="shared" si="25"/>
        <v>4</v>
      </c>
      <c r="G637" s="133">
        <f t="shared" si="26"/>
        <v>2026</v>
      </c>
      <c r="H637" s="59" t="str">
        <f t="shared" si="27"/>
        <v>29E17539</v>
      </c>
      <c r="I637" s="59">
        <f>IF(OR($A637="",$C637="",$D637="",$E637="",$H637=""),"",SUMIFS(DATA_GOC!$H:$H,DATA_GOC!$A:$A,"BOM",DATA_GOC!$D:$D,$H637,DATA_GOC!$E:$E,$C637,DATA_GOC!$F:$F,"Xuất nội bộ từ téc",DATA_GOC!$B:$B,"&gt;="&amp;$D637,DATA_GOC!$B:$B,"&lt;="&amp;$E637))</f>
        <v>229</v>
      </c>
      <c r="J637" s="59">
        <f t="shared" si="28"/>
        <v>8.129</v>
      </c>
      <c r="K637" s="59">
        <f t="shared" si="29"/>
        <v>0</v>
      </c>
      <c r="L637" s="59">
        <f t="shared" si="30"/>
        <v>237.129</v>
      </c>
      <c r="M637" s="59">
        <f t="shared" si="31"/>
        <v>0.008056005066</v>
      </c>
    </row>
    <row r="638" ht="15.0" hidden="1" customHeight="1">
      <c r="A638" s="59">
        <f t="shared" si="20"/>
        <v>7</v>
      </c>
      <c r="B638" s="59" t="str">
        <f t="shared" si="21"/>
        <v>Đã chốt</v>
      </c>
      <c r="C638" s="59" t="str">
        <f t="shared" si="22"/>
        <v>Téc 2</v>
      </c>
      <c r="D638" s="45">
        <f t="shared" si="23"/>
        <v>46082</v>
      </c>
      <c r="E638" s="45">
        <f t="shared" si="24"/>
        <v>46118</v>
      </c>
      <c r="F638" s="133">
        <f t="shared" si="25"/>
        <v>4</v>
      </c>
      <c r="G638" s="133">
        <f t="shared" si="26"/>
        <v>2026</v>
      </c>
      <c r="H638" s="59" t="str">
        <f t="shared" si="27"/>
        <v>29E18160</v>
      </c>
      <c r="I638" s="59">
        <f>IF(OR($A638="",$C638="",$D638="",$E638="",$H638=""),"",SUMIFS(DATA_GOC!$H:$H,DATA_GOC!$A:$A,"BOM",DATA_GOC!$D:$D,$H638,DATA_GOC!$E:$E,$C638,DATA_GOC!$F:$F,"Xuất nội bộ từ téc",DATA_GOC!$B:$B,"&gt;="&amp;$D638,DATA_GOC!$B:$B,"&lt;="&amp;$E638))</f>
        <v>362</v>
      </c>
      <c r="J638" s="59">
        <f t="shared" si="28"/>
        <v>12.849</v>
      </c>
      <c r="K638" s="59">
        <f t="shared" si="29"/>
        <v>0</v>
      </c>
      <c r="L638" s="59">
        <f t="shared" si="30"/>
        <v>374.849</v>
      </c>
      <c r="M638" s="59">
        <f t="shared" si="31"/>
        <v>0.01273482023</v>
      </c>
    </row>
    <row r="639" ht="15.0" hidden="1" customHeight="1">
      <c r="A639" s="59">
        <f t="shared" si="20"/>
        <v>7</v>
      </c>
      <c r="B639" s="59" t="str">
        <f t="shared" si="21"/>
        <v>Đã chốt</v>
      </c>
      <c r="C639" s="59" t="str">
        <f t="shared" si="22"/>
        <v>Téc 2</v>
      </c>
      <c r="D639" s="45">
        <f t="shared" si="23"/>
        <v>46082</v>
      </c>
      <c r="E639" s="45">
        <f t="shared" si="24"/>
        <v>46118</v>
      </c>
      <c r="F639" s="133">
        <f t="shared" si="25"/>
        <v>4</v>
      </c>
      <c r="G639" s="133">
        <f t="shared" si="26"/>
        <v>2026</v>
      </c>
      <c r="H639" s="59" t="str">
        <f t="shared" si="27"/>
        <v>Công trình Asphalt</v>
      </c>
      <c r="I639" s="59">
        <f>IF(OR($A639="",$C639="",$D639="",$E639="",$H639=""),"",SUMIFS(DATA_GOC!$H:$H,DATA_GOC!$A:$A,"BOM",DATA_GOC!$D:$D,$H639,DATA_GOC!$E:$E,$C639,DATA_GOC!$F:$F,"Xuất nội bộ từ téc",DATA_GOC!$B:$B,"&gt;="&amp;$D639,DATA_GOC!$B:$B,"&lt;="&amp;$E639))</f>
        <v>150</v>
      </c>
      <c r="J639" s="59">
        <f t="shared" si="28"/>
        <v>5.324</v>
      </c>
      <c r="K639" s="59">
        <f t="shared" si="29"/>
        <v>0</v>
      </c>
      <c r="L639" s="59">
        <f t="shared" si="30"/>
        <v>155.324</v>
      </c>
      <c r="M639" s="59">
        <f t="shared" si="31"/>
        <v>0.005276859213</v>
      </c>
    </row>
    <row r="640" ht="15.0" hidden="1" customHeight="1">
      <c r="A640" s="59">
        <f t="shared" si="20"/>
        <v>7</v>
      </c>
      <c r="B640" s="59" t="str">
        <f t="shared" si="21"/>
        <v>Đã chốt</v>
      </c>
      <c r="C640" s="59" t="str">
        <f t="shared" si="22"/>
        <v>Téc 2</v>
      </c>
      <c r="D640" s="45">
        <f t="shared" si="23"/>
        <v>46082</v>
      </c>
      <c r="E640" s="45">
        <f t="shared" si="24"/>
        <v>46118</v>
      </c>
      <c r="F640" s="133">
        <f t="shared" si="25"/>
        <v>4</v>
      </c>
      <c r="G640" s="133">
        <f t="shared" si="26"/>
        <v>2026</v>
      </c>
      <c r="H640" s="59" t="str">
        <f t="shared" si="27"/>
        <v>LG53F</v>
      </c>
      <c r="I640" s="59">
        <f>IF(OR($A640="",$C640="",$D640="",$E640="",$H640=""),"",SUMIFS(DATA_GOC!$H:$H,DATA_GOC!$A:$A,"BOM",DATA_GOC!$D:$D,$H640,DATA_GOC!$E:$E,$C640,DATA_GOC!$F:$F,"Xuất nội bộ từ téc",DATA_GOC!$B:$B,"&gt;="&amp;$D640,DATA_GOC!$B:$B,"&lt;="&amp;$E640))</f>
        <v>0</v>
      </c>
      <c r="J640" s="59">
        <f t="shared" si="28"/>
        <v>0</v>
      </c>
      <c r="K640" s="59">
        <f t="shared" si="29"/>
        <v>0</v>
      </c>
      <c r="L640" s="59">
        <f t="shared" si="30"/>
        <v>0</v>
      </c>
      <c r="M640" s="59">
        <f t="shared" si="31"/>
        <v>0</v>
      </c>
    </row>
    <row r="641" ht="15.0" hidden="1" customHeight="1">
      <c r="A641" s="59">
        <f t="shared" si="20"/>
        <v>7</v>
      </c>
      <c r="B641" s="59" t="str">
        <f t="shared" si="21"/>
        <v>Đã chốt</v>
      </c>
      <c r="C641" s="59" t="str">
        <f t="shared" si="22"/>
        <v>Téc 2</v>
      </c>
      <c r="D641" s="45">
        <f t="shared" si="23"/>
        <v>46082</v>
      </c>
      <c r="E641" s="45">
        <f t="shared" si="24"/>
        <v>46118</v>
      </c>
      <c r="F641" s="133">
        <f t="shared" si="25"/>
        <v>4</v>
      </c>
      <c r="G641" s="133">
        <f t="shared" si="26"/>
        <v>2026</v>
      </c>
      <c r="H641" s="59" t="str">
        <f t="shared" si="27"/>
        <v>Máy phát điện</v>
      </c>
      <c r="I641" s="59">
        <f>IF(OR($A641="",$C641="",$D641="",$E641="",$H641=""),"",SUMIFS(DATA_GOC!$H:$H,DATA_GOC!$A:$A,"BOM",DATA_GOC!$D:$D,$H641,DATA_GOC!$E:$E,$C641,DATA_GOC!$F:$F,"Xuất nội bộ từ téc",DATA_GOC!$B:$B,"&gt;="&amp;$D641,DATA_GOC!$B:$B,"&lt;="&amp;$E641))</f>
        <v>0</v>
      </c>
      <c r="J641" s="59">
        <f t="shared" si="28"/>
        <v>0</v>
      </c>
      <c r="K641" s="59">
        <f t="shared" si="29"/>
        <v>0</v>
      </c>
      <c r="L641" s="59">
        <f t="shared" si="30"/>
        <v>0</v>
      </c>
      <c r="M641" s="59">
        <f t="shared" si="31"/>
        <v>0</v>
      </c>
    </row>
    <row r="642" ht="15.0" hidden="1" customHeight="1">
      <c r="A642" s="59">
        <f t="shared" si="20"/>
        <v>7</v>
      </c>
      <c r="B642" s="59" t="str">
        <f t="shared" si="21"/>
        <v>Đã chốt</v>
      </c>
      <c r="C642" s="59" t="str">
        <f t="shared" si="22"/>
        <v>Téc 2</v>
      </c>
      <c r="D642" s="45">
        <f t="shared" si="23"/>
        <v>46082</v>
      </c>
      <c r="E642" s="45">
        <f t="shared" si="24"/>
        <v>46118</v>
      </c>
      <c r="F642" s="133">
        <f t="shared" si="25"/>
        <v>4</v>
      </c>
      <c r="G642" s="133">
        <f t="shared" si="26"/>
        <v>2026</v>
      </c>
      <c r="H642" s="59" t="str">
        <f t="shared" si="27"/>
        <v>Máy rải thảm</v>
      </c>
      <c r="I642" s="59">
        <f>IF(OR($A642="",$C642="",$D642="",$E642="",$H642=""),"",SUMIFS(DATA_GOC!$H:$H,DATA_GOC!$A:$A,"BOM",DATA_GOC!$D:$D,$H642,DATA_GOC!$E:$E,$C642,DATA_GOC!$F:$F,"Xuất nội bộ từ téc",DATA_GOC!$B:$B,"&gt;="&amp;$D642,DATA_GOC!$B:$B,"&lt;="&amp;$E642))</f>
        <v>0</v>
      </c>
      <c r="J642" s="59">
        <f t="shared" si="28"/>
        <v>0</v>
      </c>
      <c r="K642" s="59">
        <f t="shared" si="29"/>
        <v>0</v>
      </c>
      <c r="L642" s="59">
        <f t="shared" si="30"/>
        <v>0</v>
      </c>
      <c r="M642" s="59">
        <f t="shared" si="31"/>
        <v>0</v>
      </c>
    </row>
    <row r="643" ht="15.0" hidden="1" customHeight="1">
      <c r="A643" s="59">
        <f t="shared" si="20"/>
        <v>7</v>
      </c>
      <c r="B643" s="59" t="str">
        <f t="shared" si="21"/>
        <v>Đã chốt</v>
      </c>
      <c r="C643" s="59" t="str">
        <f t="shared" si="22"/>
        <v>Téc 2</v>
      </c>
      <c r="D643" s="45">
        <f t="shared" si="23"/>
        <v>46082</v>
      </c>
      <c r="E643" s="45">
        <f t="shared" si="24"/>
        <v>46118</v>
      </c>
      <c r="F643" s="133">
        <f t="shared" si="25"/>
        <v>4</v>
      </c>
      <c r="G643" s="133">
        <f t="shared" si="26"/>
        <v>2026</v>
      </c>
      <c r="H643" s="59" t="str">
        <f t="shared" si="27"/>
        <v>Xúc Đào</v>
      </c>
      <c r="I643" s="59">
        <f>IF(OR($A643="",$C643="",$D643="",$E643="",$H643=""),"",SUMIFS(DATA_GOC!$H:$H,DATA_GOC!$A:$A,"BOM",DATA_GOC!$D:$D,$H643,DATA_GOC!$E:$E,$C643,DATA_GOC!$F:$F,"Xuất nội bộ từ téc",DATA_GOC!$B:$B,"&gt;="&amp;$D643,DATA_GOC!$B:$B,"&lt;="&amp;$E643))</f>
        <v>291</v>
      </c>
      <c r="J643" s="59">
        <f t="shared" si="28"/>
        <v>10.329</v>
      </c>
      <c r="K643" s="59">
        <f t="shared" si="29"/>
        <v>0</v>
      </c>
      <c r="L643" s="59">
        <f t="shared" si="30"/>
        <v>301.329</v>
      </c>
      <c r="M643" s="59">
        <f t="shared" si="31"/>
        <v>0.01023710687</v>
      </c>
    </row>
    <row r="644" ht="15.0" hidden="1" customHeight="1">
      <c r="A644" s="59">
        <f t="shared" si="20"/>
        <v>7</v>
      </c>
      <c r="B644" s="59" t="str">
        <f t="shared" si="21"/>
        <v>Đã chốt</v>
      </c>
      <c r="C644" s="59" t="str">
        <f t="shared" si="22"/>
        <v>Téc 2</v>
      </c>
      <c r="D644" s="45">
        <f t="shared" si="23"/>
        <v>46082</v>
      </c>
      <c r="E644" s="45">
        <f t="shared" si="24"/>
        <v>46118</v>
      </c>
      <c r="F644" s="133">
        <f t="shared" si="25"/>
        <v>4</v>
      </c>
      <c r="G644" s="133">
        <f t="shared" si="26"/>
        <v>2026</v>
      </c>
      <c r="H644" s="59" t="str">
        <f t="shared" si="27"/>
        <v>Xúclật asphalt</v>
      </c>
      <c r="I644" s="59">
        <f>IF(OR($A644="",$C644="",$D644="",$E644="",$H644=""),"",SUMIFS(DATA_GOC!$H:$H,DATA_GOC!$A:$A,"BOM",DATA_GOC!$D:$D,$H644,DATA_GOC!$E:$E,$C644,DATA_GOC!$F:$F,"Xuất nội bộ từ téc",DATA_GOC!$B:$B,"&gt;="&amp;$D644,DATA_GOC!$B:$B,"&lt;="&amp;$E644))</f>
        <v>200</v>
      </c>
      <c r="J644" s="59">
        <f t="shared" si="28"/>
        <v>7.099</v>
      </c>
      <c r="K644" s="59">
        <f t="shared" si="29"/>
        <v>0</v>
      </c>
      <c r="L644" s="59">
        <f t="shared" si="30"/>
        <v>207.099</v>
      </c>
      <c r="M644" s="59">
        <f t="shared" si="31"/>
        <v>0.007035812285</v>
      </c>
    </row>
    <row r="645" ht="15.0" hidden="1" customHeight="1">
      <c r="A645" s="59">
        <f t="shared" si="20"/>
        <v>7</v>
      </c>
      <c r="B645" s="59" t="str">
        <f t="shared" si="21"/>
        <v>Đã chốt</v>
      </c>
      <c r="C645" s="59" t="str">
        <f t="shared" si="22"/>
        <v>Téc 2</v>
      </c>
      <c r="D645" s="45">
        <f t="shared" si="23"/>
        <v>46082</v>
      </c>
      <c r="E645" s="45">
        <f t="shared" si="24"/>
        <v>46118</v>
      </c>
      <c r="F645" s="133">
        <f t="shared" si="25"/>
        <v>4</v>
      </c>
      <c r="G645" s="133">
        <f t="shared" si="26"/>
        <v>2026</v>
      </c>
      <c r="H645" s="59" t="str">
        <f t="shared" si="27"/>
        <v>Xúclật855H</v>
      </c>
      <c r="I645" s="59">
        <f>IF(OR($A645="",$C645="",$D645="",$E645="",$H645=""),"",SUMIFS(DATA_GOC!$H:$H,DATA_GOC!$A:$A,"BOM",DATA_GOC!$D:$D,$H645,DATA_GOC!$E:$E,$C645,DATA_GOC!$F:$F,"Xuất nội bộ từ téc",DATA_GOC!$B:$B,"&gt;="&amp;$D645,DATA_GOC!$B:$B,"&lt;="&amp;$E645))</f>
        <v>581</v>
      </c>
      <c r="J645" s="59">
        <f t="shared" si="28"/>
        <v>20.623</v>
      </c>
      <c r="K645" s="59">
        <f t="shared" si="29"/>
        <v>0</v>
      </c>
      <c r="L645" s="59">
        <f t="shared" si="30"/>
        <v>601.623</v>
      </c>
      <c r="M645" s="59">
        <f t="shared" si="31"/>
        <v>0.02043903469</v>
      </c>
    </row>
    <row r="646" ht="15.0" hidden="1" customHeight="1">
      <c r="A646" s="59">
        <f t="shared" si="20"/>
        <v>7</v>
      </c>
      <c r="B646" s="59" t="str">
        <f t="shared" si="21"/>
        <v>Đã chốt</v>
      </c>
      <c r="C646" s="59" t="str">
        <f t="shared" si="22"/>
        <v>Téc 2</v>
      </c>
      <c r="D646" s="45">
        <f t="shared" si="23"/>
        <v>46082</v>
      </c>
      <c r="E646" s="45">
        <f t="shared" si="24"/>
        <v>46118</v>
      </c>
      <c r="F646" s="133">
        <f t="shared" si="25"/>
        <v>4</v>
      </c>
      <c r="G646" s="133">
        <f t="shared" si="26"/>
        <v>2026</v>
      </c>
      <c r="H646" s="59" t="str">
        <f t="shared" si="27"/>
        <v>Xúclật855N</v>
      </c>
      <c r="I646" s="59">
        <f>IF(OR($A646="",$C646="",$D646="",$E646="",$H646=""),"",SUMIFS(DATA_GOC!$H:$H,DATA_GOC!$A:$A,"BOM",DATA_GOC!$D:$D,$H646,DATA_GOC!$E:$E,$C646,DATA_GOC!$F:$F,"Xuất nội bộ từ téc",DATA_GOC!$B:$B,"&gt;="&amp;$D646,DATA_GOC!$B:$B,"&lt;="&amp;$E646))</f>
        <v>509</v>
      </c>
      <c r="J646" s="59">
        <f t="shared" si="28"/>
        <v>18.067</v>
      </c>
      <c r="K646" s="59">
        <f t="shared" si="29"/>
        <v>0</v>
      </c>
      <c r="L646" s="59">
        <f t="shared" si="30"/>
        <v>527.067</v>
      </c>
      <c r="M646" s="59">
        <f t="shared" si="31"/>
        <v>0.01790614226</v>
      </c>
    </row>
    <row r="647" ht="15.0" hidden="1" customHeight="1">
      <c r="A647" s="59">
        <f t="shared" si="20"/>
        <v>7</v>
      </c>
      <c r="B647" s="59" t="str">
        <f t="shared" si="21"/>
        <v>Đã chốt</v>
      </c>
      <c r="C647" s="59" t="str">
        <f t="shared" si="22"/>
        <v>Téc 2</v>
      </c>
      <c r="D647" s="45">
        <f t="shared" si="23"/>
        <v>46082</v>
      </c>
      <c r="E647" s="45">
        <f t="shared" si="24"/>
        <v>46118</v>
      </c>
      <c r="F647" s="133">
        <f t="shared" si="25"/>
        <v>4</v>
      </c>
      <c r="G647" s="133">
        <f t="shared" si="26"/>
        <v>2026</v>
      </c>
      <c r="H647" s="59" t="str">
        <f t="shared" si="27"/>
        <v>Cát nghiền</v>
      </c>
      <c r="I647" s="59">
        <f>IF(OR($A647="",$C647="",$D647="",$E647="",$H647=""),"",SUMIFS(DATA_GOC!$H:$H,DATA_GOC!$A:$A,"BOM",DATA_GOC!$D:$D,$H647,DATA_GOC!$E:$E,$C647,DATA_GOC!$F:$F,"Xuất nội bộ từ téc",DATA_GOC!$B:$B,"&gt;="&amp;$D647,DATA_GOC!$B:$B,"&lt;="&amp;$E647))</f>
        <v>0</v>
      </c>
      <c r="J647" s="59">
        <f t="shared" si="28"/>
        <v>0</v>
      </c>
      <c r="K647" s="59">
        <f t="shared" si="29"/>
        <v>0</v>
      </c>
      <c r="L647" s="59">
        <f t="shared" si="30"/>
        <v>0</v>
      </c>
      <c r="M647" s="59">
        <f t="shared" si="31"/>
        <v>0</v>
      </c>
    </row>
    <row r="648" ht="15.0" hidden="1" customHeight="1">
      <c r="A648" s="59">
        <f t="shared" si="20"/>
        <v>7</v>
      </c>
      <c r="B648" s="59" t="str">
        <f t="shared" si="21"/>
        <v>Đã chốt</v>
      </c>
      <c r="C648" s="59" t="str">
        <f t="shared" si="22"/>
        <v>Téc 2</v>
      </c>
      <c r="D648" s="45">
        <f t="shared" si="23"/>
        <v>46082</v>
      </c>
      <c r="E648" s="45">
        <f t="shared" si="24"/>
        <v>46118</v>
      </c>
      <c r="F648" s="133">
        <f t="shared" si="25"/>
        <v>4</v>
      </c>
      <c r="G648" s="133">
        <f t="shared" si="26"/>
        <v>2026</v>
      </c>
      <c r="H648" s="59" t="str">
        <f t="shared" si="27"/>
        <v>28C02973</v>
      </c>
      <c r="I648" s="59">
        <f>IF(OR($A648="",$C648="",$D648="",$E648="",$H648=""),"",SUMIFS(DATA_GOC!$H:$H,DATA_GOC!$A:$A,"BOM",DATA_GOC!$D:$D,$H648,DATA_GOC!$E:$E,$C648,DATA_GOC!$F:$F,"Xuất nội bộ từ téc",DATA_GOC!$B:$B,"&gt;="&amp;$D648,DATA_GOC!$B:$B,"&lt;="&amp;$E648))</f>
        <v>0</v>
      </c>
      <c r="J648" s="59">
        <f t="shared" si="28"/>
        <v>0</v>
      </c>
      <c r="K648" s="59">
        <f t="shared" si="29"/>
        <v>0</v>
      </c>
      <c r="L648" s="59">
        <f t="shared" si="30"/>
        <v>0</v>
      </c>
      <c r="M648" s="59">
        <f t="shared" si="31"/>
        <v>0</v>
      </c>
    </row>
    <row r="649" ht="15.0" hidden="1" customHeight="1">
      <c r="A649" s="59">
        <f t="shared" si="20"/>
        <v>7</v>
      </c>
      <c r="B649" s="59" t="str">
        <f t="shared" si="21"/>
        <v>Đã chốt</v>
      </c>
      <c r="C649" s="59" t="str">
        <f t="shared" si="22"/>
        <v>Téc 2</v>
      </c>
      <c r="D649" s="45">
        <f t="shared" si="23"/>
        <v>46082</v>
      </c>
      <c r="E649" s="45">
        <f t="shared" si="24"/>
        <v>46118</v>
      </c>
      <c r="F649" s="133">
        <f t="shared" si="25"/>
        <v>4</v>
      </c>
      <c r="G649" s="133">
        <f t="shared" si="26"/>
        <v>2026</v>
      </c>
      <c r="H649" s="59" t="str">
        <f t="shared" si="27"/>
        <v>28C03044</v>
      </c>
      <c r="I649" s="59">
        <f>IF(OR($A649="",$C649="",$D649="",$E649="",$H649=""),"",SUMIFS(DATA_GOC!$H:$H,DATA_GOC!$A:$A,"BOM",DATA_GOC!$D:$D,$H649,DATA_GOC!$E:$E,$C649,DATA_GOC!$F:$F,"Xuất nội bộ từ téc",DATA_GOC!$B:$B,"&gt;="&amp;$D649,DATA_GOC!$B:$B,"&lt;="&amp;$E649))</f>
        <v>0</v>
      </c>
      <c r="J649" s="59">
        <f t="shared" si="28"/>
        <v>0</v>
      </c>
      <c r="K649" s="59">
        <f t="shared" si="29"/>
        <v>0</v>
      </c>
      <c r="L649" s="59">
        <f t="shared" si="30"/>
        <v>0</v>
      </c>
      <c r="M649" s="59">
        <f t="shared" si="31"/>
        <v>0</v>
      </c>
    </row>
    <row r="650" ht="15.0" hidden="1" customHeight="1">
      <c r="A650" s="59">
        <f t="shared" si="20"/>
        <v>7</v>
      </c>
      <c r="B650" s="59" t="str">
        <f t="shared" si="21"/>
        <v>Đã chốt</v>
      </c>
      <c r="C650" s="59" t="str">
        <f t="shared" si="22"/>
        <v>Téc 2</v>
      </c>
      <c r="D650" s="45">
        <f t="shared" si="23"/>
        <v>46082</v>
      </c>
      <c r="E650" s="45">
        <f t="shared" si="24"/>
        <v>46118</v>
      </c>
      <c r="F650" s="133">
        <f t="shared" si="25"/>
        <v>4</v>
      </c>
      <c r="G650" s="133">
        <f t="shared" si="26"/>
        <v>2026</v>
      </c>
      <c r="H650" s="59" t="str">
        <f t="shared" si="27"/>
        <v>Máy lu lốp</v>
      </c>
      <c r="I650" s="59">
        <f>IF(OR($A650="",$C650="",$D650="",$E650="",$H650=""),"",SUMIFS(DATA_GOC!$H:$H,DATA_GOC!$A:$A,"BOM",DATA_GOC!$D:$D,$H650,DATA_GOC!$E:$E,$C650,DATA_GOC!$F:$F,"Xuất nội bộ từ téc",DATA_GOC!$B:$B,"&gt;="&amp;$D650,DATA_GOC!$B:$B,"&lt;="&amp;$E650))</f>
        <v>0</v>
      </c>
      <c r="J650" s="59">
        <f t="shared" si="28"/>
        <v>0</v>
      </c>
      <c r="K650" s="59">
        <f t="shared" si="29"/>
        <v>0</v>
      </c>
      <c r="L650" s="59">
        <f t="shared" si="30"/>
        <v>0</v>
      </c>
      <c r="M650" s="59">
        <f t="shared" si="31"/>
        <v>0</v>
      </c>
    </row>
    <row r="651" ht="15.0" hidden="1" customHeight="1">
      <c r="A651" s="59">
        <f t="shared" si="20"/>
        <v>7</v>
      </c>
      <c r="B651" s="59" t="str">
        <f t="shared" si="21"/>
        <v>Đã chốt</v>
      </c>
      <c r="C651" s="59" t="str">
        <f t="shared" si="22"/>
        <v>Téc 2</v>
      </c>
      <c r="D651" s="45">
        <f t="shared" si="23"/>
        <v>46082</v>
      </c>
      <c r="E651" s="45">
        <f t="shared" si="24"/>
        <v>46118</v>
      </c>
      <c r="F651" s="133">
        <f t="shared" si="25"/>
        <v>4</v>
      </c>
      <c r="G651" s="133">
        <f t="shared" si="26"/>
        <v>2026</v>
      </c>
      <c r="H651" s="59" t="str">
        <f t="shared" si="27"/>
        <v>Xe 600148</v>
      </c>
      <c r="I651" s="59">
        <f>IF(OR($A651="",$C651="",$D651="",$E651="",$H651=""),"",SUMIFS(DATA_GOC!$H:$H,DATA_GOC!$A:$A,"BOM",DATA_GOC!$D:$D,$H651,DATA_GOC!$E:$E,$C651,DATA_GOC!$F:$F,"Xuất nội bộ từ téc",DATA_GOC!$B:$B,"&gt;="&amp;$D651,DATA_GOC!$B:$B,"&lt;="&amp;$E651))</f>
        <v>0</v>
      </c>
      <c r="J651" s="59">
        <f t="shared" si="28"/>
        <v>0</v>
      </c>
      <c r="K651" s="59">
        <f t="shared" si="29"/>
        <v>0</v>
      </c>
      <c r="L651" s="59">
        <f t="shared" si="30"/>
        <v>0</v>
      </c>
      <c r="M651" s="59">
        <f t="shared" si="31"/>
        <v>0</v>
      </c>
    </row>
    <row r="652" ht="15.0" hidden="1" customHeight="1">
      <c r="A652" s="59">
        <f t="shared" si="20"/>
        <v>7</v>
      </c>
      <c r="B652" s="59" t="str">
        <f t="shared" si="21"/>
        <v>Đã chốt</v>
      </c>
      <c r="C652" s="59" t="str">
        <f t="shared" si="22"/>
        <v>Téc 2</v>
      </c>
      <c r="D652" s="45">
        <f t="shared" si="23"/>
        <v>46082</v>
      </c>
      <c r="E652" s="45">
        <f t="shared" si="24"/>
        <v>46118</v>
      </c>
      <c r="F652" s="133">
        <f t="shared" si="25"/>
        <v>4</v>
      </c>
      <c r="G652" s="133">
        <f t="shared" si="26"/>
        <v>2026</v>
      </c>
      <c r="H652" s="59" t="str">
        <f t="shared" si="27"/>
        <v>Xe ben mới</v>
      </c>
      <c r="I652" s="59">
        <f>IF(OR($A652="",$C652="",$D652="",$E652="",$H652=""),"",SUMIFS(DATA_GOC!$H:$H,DATA_GOC!$A:$A,"BOM",DATA_GOC!$D:$D,$H652,DATA_GOC!$E:$E,$C652,DATA_GOC!$F:$F,"Xuất nội bộ từ téc",DATA_GOC!$B:$B,"&gt;="&amp;$D652,DATA_GOC!$B:$B,"&lt;="&amp;$E652))</f>
        <v>0</v>
      </c>
      <c r="J652" s="59">
        <f t="shared" si="28"/>
        <v>0</v>
      </c>
      <c r="K652" s="59">
        <f t="shared" si="29"/>
        <v>0</v>
      </c>
      <c r="L652" s="59">
        <f t="shared" si="30"/>
        <v>0</v>
      </c>
      <c r="M652" s="59">
        <f t="shared" si="31"/>
        <v>0</v>
      </c>
    </row>
    <row r="653" ht="15.0" hidden="1" customHeight="1">
      <c r="A653" s="59">
        <f t="shared" si="20"/>
        <v>8</v>
      </c>
      <c r="B653" s="59" t="str">
        <f t="shared" si="21"/>
        <v>Đã chốt</v>
      </c>
      <c r="C653" s="59" t="str">
        <f t="shared" si="22"/>
        <v>Téc 2</v>
      </c>
      <c r="D653" s="45">
        <f t="shared" si="23"/>
        <v>46123</v>
      </c>
      <c r="E653" s="45">
        <f t="shared" si="24"/>
        <v>46142</v>
      </c>
      <c r="F653" s="133">
        <f t="shared" si="25"/>
        <v>4</v>
      </c>
      <c r="G653" s="133">
        <f t="shared" si="26"/>
        <v>2026</v>
      </c>
      <c r="H653" s="59" t="str">
        <f t="shared" si="27"/>
        <v>19H09482</v>
      </c>
      <c r="I653" s="59">
        <f>IF(OR($A653="",$C653="",$D653="",$E653="",$H653=""),"",SUMIFS(DATA_GOC!$H:$H,DATA_GOC!$A:$A,"BOM",DATA_GOC!$D:$D,$H653,DATA_GOC!$E:$E,$C653,DATA_GOC!$F:$F,"Xuất nội bộ từ téc",DATA_GOC!$B:$B,"&gt;="&amp;$D653,DATA_GOC!$B:$B,"&lt;="&amp;$E653))</f>
        <v>946</v>
      </c>
      <c r="J653" s="59">
        <f t="shared" si="28"/>
        <v>40.421</v>
      </c>
      <c r="K653" s="59">
        <f t="shared" si="29"/>
        <v>0</v>
      </c>
      <c r="L653" s="59">
        <f t="shared" si="30"/>
        <v>986.421</v>
      </c>
      <c r="M653" s="59">
        <f t="shared" si="31"/>
        <v>0.03111739745</v>
      </c>
    </row>
    <row r="654" ht="15.0" hidden="1" customHeight="1">
      <c r="A654" s="59">
        <f t="shared" si="20"/>
        <v>8</v>
      </c>
      <c r="B654" s="59" t="str">
        <f t="shared" si="21"/>
        <v>Đã chốt</v>
      </c>
      <c r="C654" s="59" t="str">
        <f t="shared" si="22"/>
        <v>Téc 2</v>
      </c>
      <c r="D654" s="45">
        <f t="shared" si="23"/>
        <v>46123</v>
      </c>
      <c r="E654" s="45">
        <f t="shared" si="24"/>
        <v>46142</v>
      </c>
      <c r="F654" s="133">
        <f t="shared" si="25"/>
        <v>4</v>
      </c>
      <c r="G654" s="133">
        <f t="shared" si="26"/>
        <v>2026</v>
      </c>
      <c r="H654" s="59" t="str">
        <f t="shared" si="27"/>
        <v>28A30696</v>
      </c>
      <c r="I654" s="59">
        <f>IF(OR($A654="",$C654="",$D654="",$E654="",$H654=""),"",SUMIFS(DATA_GOC!$H:$H,DATA_GOC!$A:$A,"BOM",DATA_GOC!$D:$D,$H654,DATA_GOC!$E:$E,$C654,DATA_GOC!$F:$F,"Xuất nội bộ từ téc",DATA_GOC!$B:$B,"&gt;="&amp;$D654,DATA_GOC!$B:$B,"&lt;="&amp;$E654))</f>
        <v>0</v>
      </c>
      <c r="J654" s="59">
        <f t="shared" si="28"/>
        <v>0</v>
      </c>
      <c r="K654" s="59">
        <f t="shared" si="29"/>
        <v>0</v>
      </c>
      <c r="L654" s="59">
        <f t="shared" si="30"/>
        <v>0</v>
      </c>
      <c r="M654" s="59">
        <f t="shared" si="31"/>
        <v>0</v>
      </c>
    </row>
    <row r="655" ht="15.0" hidden="1" customHeight="1">
      <c r="A655" s="59">
        <f t="shared" si="20"/>
        <v>8</v>
      </c>
      <c r="B655" s="59" t="str">
        <f t="shared" si="21"/>
        <v>Đã chốt</v>
      </c>
      <c r="C655" s="59" t="str">
        <f t="shared" si="22"/>
        <v>Téc 2</v>
      </c>
      <c r="D655" s="45">
        <f t="shared" si="23"/>
        <v>46123</v>
      </c>
      <c r="E655" s="45">
        <f t="shared" si="24"/>
        <v>46142</v>
      </c>
      <c r="F655" s="133">
        <f t="shared" si="25"/>
        <v>4</v>
      </c>
      <c r="G655" s="133">
        <f t="shared" si="26"/>
        <v>2026</v>
      </c>
      <c r="H655" s="59" t="str">
        <f t="shared" si="27"/>
        <v>28C00462</v>
      </c>
      <c r="I655" s="59">
        <f>IF(OR($A655="",$C655="",$D655="",$E655="",$H655=""),"",SUMIFS(DATA_GOC!$H:$H,DATA_GOC!$A:$A,"BOM",DATA_GOC!$D:$D,$H655,DATA_GOC!$E:$E,$C655,DATA_GOC!$F:$F,"Xuất nội bộ từ téc",DATA_GOC!$B:$B,"&gt;="&amp;$D655,DATA_GOC!$B:$B,"&lt;="&amp;$E655))</f>
        <v>848</v>
      </c>
      <c r="J655" s="59">
        <f t="shared" si="28"/>
        <v>36.234</v>
      </c>
      <c r="K655" s="59">
        <f t="shared" si="29"/>
        <v>0</v>
      </c>
      <c r="L655" s="59">
        <f t="shared" si="30"/>
        <v>884.234</v>
      </c>
      <c r="M655" s="59">
        <f t="shared" si="31"/>
        <v>0.02789381928</v>
      </c>
    </row>
    <row r="656" ht="15.0" hidden="1" customHeight="1">
      <c r="A656" s="59">
        <f t="shared" si="20"/>
        <v>8</v>
      </c>
      <c r="B656" s="59" t="str">
        <f t="shared" si="21"/>
        <v>Đã chốt</v>
      </c>
      <c r="C656" s="59" t="str">
        <f t="shared" si="22"/>
        <v>Téc 2</v>
      </c>
      <c r="D656" s="45">
        <f t="shared" si="23"/>
        <v>46123</v>
      </c>
      <c r="E656" s="45">
        <f t="shared" si="24"/>
        <v>46142</v>
      </c>
      <c r="F656" s="133">
        <f t="shared" si="25"/>
        <v>4</v>
      </c>
      <c r="G656" s="133">
        <f t="shared" si="26"/>
        <v>2026</v>
      </c>
      <c r="H656" s="59" t="str">
        <f t="shared" si="27"/>
        <v>28C01165</v>
      </c>
      <c r="I656" s="59">
        <f>IF(OR($A656="",$C656="",$D656="",$E656="",$H656=""),"",SUMIFS(DATA_GOC!$H:$H,DATA_GOC!$A:$A,"BOM",DATA_GOC!$D:$D,$H656,DATA_GOC!$E:$E,$C656,DATA_GOC!$F:$F,"Xuất nội bộ từ téc",DATA_GOC!$B:$B,"&gt;="&amp;$D656,DATA_GOC!$B:$B,"&lt;="&amp;$E656))</f>
        <v>387</v>
      </c>
      <c r="J656" s="59">
        <f t="shared" si="28"/>
        <v>16.536</v>
      </c>
      <c r="K656" s="59">
        <f t="shared" si="29"/>
        <v>0</v>
      </c>
      <c r="L656" s="59">
        <f t="shared" si="30"/>
        <v>403.536</v>
      </c>
      <c r="M656" s="59">
        <f t="shared" si="31"/>
        <v>0.01272984441</v>
      </c>
    </row>
    <row r="657" ht="15.0" hidden="1" customHeight="1">
      <c r="A657" s="59">
        <f t="shared" si="20"/>
        <v>8</v>
      </c>
      <c r="B657" s="59" t="str">
        <f t="shared" si="21"/>
        <v>Đã chốt</v>
      </c>
      <c r="C657" s="59" t="str">
        <f t="shared" si="22"/>
        <v>Téc 2</v>
      </c>
      <c r="D657" s="45">
        <f t="shared" si="23"/>
        <v>46123</v>
      </c>
      <c r="E657" s="45">
        <f t="shared" si="24"/>
        <v>46142</v>
      </c>
      <c r="F657" s="133">
        <f t="shared" si="25"/>
        <v>4</v>
      </c>
      <c r="G657" s="133">
        <f t="shared" si="26"/>
        <v>2026</v>
      </c>
      <c r="H657" s="59" t="str">
        <f t="shared" si="27"/>
        <v>28C01406</v>
      </c>
      <c r="I657" s="59">
        <f>IF(OR($A657="",$C657="",$D657="",$E657="",$H657=""),"",SUMIFS(DATA_GOC!$H:$H,DATA_GOC!$A:$A,"BOM",DATA_GOC!$D:$D,$H657,DATA_GOC!$E:$E,$C657,DATA_GOC!$F:$F,"Xuất nội bộ từ téc",DATA_GOC!$B:$B,"&gt;="&amp;$D657,DATA_GOC!$B:$B,"&lt;="&amp;$E657))</f>
        <v>1353</v>
      </c>
      <c r="J657" s="59">
        <f t="shared" si="28"/>
        <v>57.812</v>
      </c>
      <c r="K657" s="59">
        <f t="shared" si="29"/>
        <v>0</v>
      </c>
      <c r="L657" s="59">
        <f t="shared" si="30"/>
        <v>1410.812</v>
      </c>
      <c r="M657" s="59">
        <f t="shared" si="31"/>
        <v>0.04450511496</v>
      </c>
    </row>
    <row r="658" ht="15.0" hidden="1" customHeight="1">
      <c r="A658" s="59">
        <f t="shared" si="20"/>
        <v>8</v>
      </c>
      <c r="B658" s="59" t="str">
        <f t="shared" si="21"/>
        <v>Đã chốt</v>
      </c>
      <c r="C658" s="59" t="str">
        <f t="shared" si="22"/>
        <v>Téc 2</v>
      </c>
      <c r="D658" s="45">
        <f t="shared" si="23"/>
        <v>46123</v>
      </c>
      <c r="E658" s="45">
        <f t="shared" si="24"/>
        <v>46142</v>
      </c>
      <c r="F658" s="133">
        <f t="shared" si="25"/>
        <v>4</v>
      </c>
      <c r="G658" s="133">
        <f t="shared" si="26"/>
        <v>2026</v>
      </c>
      <c r="H658" s="59" t="str">
        <f t="shared" si="27"/>
        <v>28C01544</v>
      </c>
      <c r="I658" s="59">
        <f>IF(OR($A658="",$C658="",$D658="",$E658="",$H658=""),"",SUMIFS(DATA_GOC!$H:$H,DATA_GOC!$A:$A,"BOM",DATA_GOC!$D:$D,$H658,DATA_GOC!$E:$E,$C658,DATA_GOC!$F:$F,"Xuất nội bộ từ téc",DATA_GOC!$B:$B,"&gt;="&amp;$D658,DATA_GOC!$B:$B,"&lt;="&amp;$E658))</f>
        <v>0</v>
      </c>
      <c r="J658" s="59">
        <f t="shared" si="28"/>
        <v>0</v>
      </c>
      <c r="K658" s="59">
        <f t="shared" si="29"/>
        <v>0</v>
      </c>
      <c r="L658" s="59">
        <f t="shared" si="30"/>
        <v>0</v>
      </c>
      <c r="M658" s="59">
        <f t="shared" si="31"/>
        <v>0</v>
      </c>
    </row>
    <row r="659" ht="15.0" hidden="1" customHeight="1">
      <c r="A659" s="59">
        <f t="shared" si="20"/>
        <v>8</v>
      </c>
      <c r="B659" s="59" t="str">
        <f t="shared" si="21"/>
        <v>Đã chốt</v>
      </c>
      <c r="C659" s="59" t="str">
        <f t="shared" si="22"/>
        <v>Téc 2</v>
      </c>
      <c r="D659" s="45">
        <f t="shared" si="23"/>
        <v>46123</v>
      </c>
      <c r="E659" s="45">
        <f t="shared" si="24"/>
        <v>46142</v>
      </c>
      <c r="F659" s="133">
        <f t="shared" si="25"/>
        <v>4</v>
      </c>
      <c r="G659" s="133">
        <f t="shared" si="26"/>
        <v>2026</v>
      </c>
      <c r="H659" s="59" t="str">
        <f t="shared" si="27"/>
        <v>28C01622</v>
      </c>
      <c r="I659" s="59">
        <f>IF(OR($A659="",$C659="",$D659="",$E659="",$H659=""),"",SUMIFS(DATA_GOC!$H:$H,DATA_GOC!$A:$A,"BOM",DATA_GOC!$D:$D,$H659,DATA_GOC!$E:$E,$C659,DATA_GOC!$F:$F,"Xuất nội bộ từ téc",DATA_GOC!$B:$B,"&gt;="&amp;$D659,DATA_GOC!$B:$B,"&lt;="&amp;$E659))</f>
        <v>1438</v>
      </c>
      <c r="J659" s="59">
        <f t="shared" si="28"/>
        <v>61.444</v>
      </c>
      <c r="K659" s="59">
        <f t="shared" si="29"/>
        <v>0</v>
      </c>
      <c r="L659" s="59">
        <f t="shared" si="30"/>
        <v>1499.444</v>
      </c>
      <c r="M659" s="59">
        <f t="shared" si="31"/>
        <v>0.04730107562</v>
      </c>
    </row>
    <row r="660" ht="15.0" hidden="1" customHeight="1">
      <c r="A660" s="59">
        <f t="shared" si="20"/>
        <v>8</v>
      </c>
      <c r="B660" s="59" t="str">
        <f t="shared" si="21"/>
        <v>Đã chốt</v>
      </c>
      <c r="C660" s="59" t="str">
        <f t="shared" si="22"/>
        <v>Téc 2</v>
      </c>
      <c r="D660" s="45">
        <f t="shared" si="23"/>
        <v>46123</v>
      </c>
      <c r="E660" s="45">
        <f t="shared" si="24"/>
        <v>46142</v>
      </c>
      <c r="F660" s="133">
        <f t="shared" si="25"/>
        <v>4</v>
      </c>
      <c r="G660" s="133">
        <f t="shared" si="26"/>
        <v>2026</v>
      </c>
      <c r="H660" s="59" t="str">
        <f t="shared" si="27"/>
        <v>28C01647</v>
      </c>
      <c r="I660" s="59">
        <f>IF(OR($A660="",$C660="",$D660="",$E660="",$H660=""),"",SUMIFS(DATA_GOC!$H:$H,DATA_GOC!$A:$A,"BOM",DATA_GOC!$D:$D,$H660,DATA_GOC!$E:$E,$C660,DATA_GOC!$F:$F,"Xuất nội bộ từ téc",DATA_GOC!$B:$B,"&gt;="&amp;$D660,DATA_GOC!$B:$B,"&lt;="&amp;$E660))</f>
        <v>1380</v>
      </c>
      <c r="J660" s="59">
        <f t="shared" si="28"/>
        <v>58.966</v>
      </c>
      <c r="K660" s="59">
        <f t="shared" si="29"/>
        <v>0</v>
      </c>
      <c r="L660" s="59">
        <f t="shared" si="30"/>
        <v>1438.966</v>
      </c>
      <c r="M660" s="59">
        <f t="shared" si="31"/>
        <v>0.04539324364</v>
      </c>
    </row>
    <row r="661" ht="15.0" hidden="1" customHeight="1">
      <c r="A661" s="59">
        <f t="shared" si="20"/>
        <v>8</v>
      </c>
      <c r="B661" s="59" t="str">
        <f t="shared" si="21"/>
        <v>Đã chốt</v>
      </c>
      <c r="C661" s="59" t="str">
        <f t="shared" si="22"/>
        <v>Téc 2</v>
      </c>
      <c r="D661" s="45">
        <f t="shared" si="23"/>
        <v>46123</v>
      </c>
      <c r="E661" s="45">
        <f t="shared" si="24"/>
        <v>46142</v>
      </c>
      <c r="F661" s="133">
        <f t="shared" si="25"/>
        <v>4</v>
      </c>
      <c r="G661" s="133">
        <f t="shared" si="26"/>
        <v>2026</v>
      </c>
      <c r="H661" s="59" t="str">
        <f t="shared" si="27"/>
        <v>28C01731</v>
      </c>
      <c r="I661" s="59">
        <f>IF(OR($A661="",$C661="",$D661="",$E661="",$H661=""),"",SUMIFS(DATA_GOC!$H:$H,DATA_GOC!$A:$A,"BOM",DATA_GOC!$D:$D,$H661,DATA_GOC!$E:$E,$C661,DATA_GOC!$F:$F,"Xuất nội bộ từ téc",DATA_GOC!$B:$B,"&gt;="&amp;$D661,DATA_GOC!$B:$B,"&lt;="&amp;$E661))</f>
        <v>151</v>
      </c>
      <c r="J661" s="59">
        <f t="shared" si="28"/>
        <v>6.452</v>
      </c>
      <c r="K661" s="59">
        <f t="shared" si="29"/>
        <v>0</v>
      </c>
      <c r="L661" s="59">
        <f t="shared" si="30"/>
        <v>157.452</v>
      </c>
      <c r="M661" s="59">
        <f t="shared" si="31"/>
        <v>0.004966941877</v>
      </c>
    </row>
    <row r="662" ht="15.0" hidden="1" customHeight="1">
      <c r="A662" s="59">
        <f t="shared" si="20"/>
        <v>8</v>
      </c>
      <c r="B662" s="59" t="str">
        <f t="shared" si="21"/>
        <v>Đã chốt</v>
      </c>
      <c r="C662" s="59" t="str">
        <f t="shared" si="22"/>
        <v>Téc 2</v>
      </c>
      <c r="D662" s="45">
        <f t="shared" si="23"/>
        <v>46123</v>
      </c>
      <c r="E662" s="45">
        <f t="shared" si="24"/>
        <v>46142</v>
      </c>
      <c r="F662" s="133">
        <f t="shared" si="25"/>
        <v>4</v>
      </c>
      <c r="G662" s="133">
        <f t="shared" si="26"/>
        <v>2026</v>
      </c>
      <c r="H662" s="59" t="str">
        <f t="shared" si="27"/>
        <v>28C01743</v>
      </c>
      <c r="I662" s="59">
        <f>IF(OR($A662="",$C662="",$D662="",$E662="",$H662=""),"",SUMIFS(DATA_GOC!$H:$H,DATA_GOC!$A:$A,"BOM",DATA_GOC!$D:$D,$H662,DATA_GOC!$E:$E,$C662,DATA_GOC!$F:$F,"Xuất nội bộ từ téc",DATA_GOC!$B:$B,"&gt;="&amp;$D662,DATA_GOC!$B:$B,"&lt;="&amp;$E662))</f>
        <v>226</v>
      </c>
      <c r="J662" s="59">
        <f t="shared" si="28"/>
        <v>9.657</v>
      </c>
      <c r="K662" s="59">
        <f t="shared" si="29"/>
        <v>0</v>
      </c>
      <c r="L662" s="59">
        <f t="shared" si="30"/>
        <v>235.657</v>
      </c>
      <c r="M662" s="59">
        <f t="shared" si="31"/>
        <v>0.007433965988</v>
      </c>
    </row>
    <row r="663" ht="15.0" hidden="1" customHeight="1">
      <c r="A663" s="59">
        <f t="shared" si="20"/>
        <v>8</v>
      </c>
      <c r="B663" s="59" t="str">
        <f t="shared" si="21"/>
        <v>Đã chốt</v>
      </c>
      <c r="C663" s="59" t="str">
        <f t="shared" si="22"/>
        <v>Téc 2</v>
      </c>
      <c r="D663" s="45">
        <f t="shared" si="23"/>
        <v>46123</v>
      </c>
      <c r="E663" s="45">
        <f t="shared" si="24"/>
        <v>46142</v>
      </c>
      <c r="F663" s="133">
        <f t="shared" si="25"/>
        <v>4</v>
      </c>
      <c r="G663" s="133">
        <f t="shared" si="26"/>
        <v>2026</v>
      </c>
      <c r="H663" s="59" t="str">
        <f t="shared" si="27"/>
        <v>28C02106</v>
      </c>
      <c r="I663" s="59">
        <f>IF(OR($A663="",$C663="",$D663="",$E663="",$H663=""),"",SUMIFS(DATA_GOC!$H:$H,DATA_GOC!$A:$A,"BOM",DATA_GOC!$D:$D,$H663,DATA_GOC!$E:$E,$C663,DATA_GOC!$F:$F,"Xuất nội bộ từ téc",DATA_GOC!$B:$B,"&gt;="&amp;$D663,DATA_GOC!$B:$B,"&lt;="&amp;$E663))</f>
        <v>0</v>
      </c>
      <c r="J663" s="59">
        <f t="shared" si="28"/>
        <v>0</v>
      </c>
      <c r="K663" s="59">
        <f t="shared" si="29"/>
        <v>0</v>
      </c>
      <c r="L663" s="59">
        <f t="shared" si="30"/>
        <v>0</v>
      </c>
      <c r="M663" s="59">
        <f t="shared" si="31"/>
        <v>0</v>
      </c>
    </row>
    <row r="664" ht="15.0" hidden="1" customHeight="1">
      <c r="A664" s="59">
        <f t="shared" si="20"/>
        <v>8</v>
      </c>
      <c r="B664" s="59" t="str">
        <f t="shared" si="21"/>
        <v>Đã chốt</v>
      </c>
      <c r="C664" s="59" t="str">
        <f t="shared" si="22"/>
        <v>Téc 2</v>
      </c>
      <c r="D664" s="45">
        <f t="shared" si="23"/>
        <v>46123</v>
      </c>
      <c r="E664" s="45">
        <f t="shared" si="24"/>
        <v>46142</v>
      </c>
      <c r="F664" s="133">
        <f t="shared" si="25"/>
        <v>4</v>
      </c>
      <c r="G664" s="133">
        <f t="shared" si="26"/>
        <v>2026</v>
      </c>
      <c r="H664" s="59" t="str">
        <f t="shared" si="27"/>
        <v>28C02410</v>
      </c>
      <c r="I664" s="59">
        <f>IF(OR($A664="",$C664="",$D664="",$E664="",$H664=""),"",SUMIFS(DATA_GOC!$H:$H,DATA_GOC!$A:$A,"BOM",DATA_GOC!$D:$D,$H664,DATA_GOC!$E:$E,$C664,DATA_GOC!$F:$F,"Xuất nội bộ từ téc",DATA_GOC!$B:$B,"&gt;="&amp;$D664,DATA_GOC!$B:$B,"&lt;="&amp;$E664))</f>
        <v>305</v>
      </c>
      <c r="J664" s="59">
        <f t="shared" si="28"/>
        <v>13.032</v>
      </c>
      <c r="K664" s="59">
        <f t="shared" si="29"/>
        <v>0</v>
      </c>
      <c r="L664" s="59">
        <f t="shared" si="30"/>
        <v>318.032</v>
      </c>
      <c r="M664" s="59">
        <f t="shared" si="31"/>
        <v>0.01003256472</v>
      </c>
    </row>
    <row r="665" ht="15.0" hidden="1" customHeight="1">
      <c r="A665" s="59">
        <f t="shared" si="20"/>
        <v>8</v>
      </c>
      <c r="B665" s="59" t="str">
        <f t="shared" si="21"/>
        <v>Đã chốt</v>
      </c>
      <c r="C665" s="59" t="str">
        <f t="shared" si="22"/>
        <v>Téc 2</v>
      </c>
      <c r="D665" s="45">
        <f t="shared" si="23"/>
        <v>46123</v>
      </c>
      <c r="E665" s="45">
        <f t="shared" si="24"/>
        <v>46142</v>
      </c>
      <c r="F665" s="133">
        <f t="shared" si="25"/>
        <v>4</v>
      </c>
      <c r="G665" s="133">
        <f t="shared" si="26"/>
        <v>2026</v>
      </c>
      <c r="H665" s="59" t="str">
        <f t="shared" si="27"/>
        <v>28C02545</v>
      </c>
      <c r="I665" s="59">
        <f>IF(OR($A665="",$C665="",$D665="",$E665="",$H665=""),"",SUMIFS(DATA_GOC!$H:$H,DATA_GOC!$A:$A,"BOM",DATA_GOC!$D:$D,$H665,DATA_GOC!$E:$E,$C665,DATA_GOC!$F:$F,"Xuất nội bộ từ téc",DATA_GOC!$B:$B,"&gt;="&amp;$D665,DATA_GOC!$B:$B,"&lt;="&amp;$E665))</f>
        <v>582</v>
      </c>
      <c r="J665" s="59">
        <f t="shared" si="28"/>
        <v>24.868</v>
      </c>
      <c r="K665" s="59">
        <f t="shared" si="29"/>
        <v>0</v>
      </c>
      <c r="L665" s="59">
        <f t="shared" si="30"/>
        <v>606.868</v>
      </c>
      <c r="M665" s="59">
        <f t="shared" si="31"/>
        <v>0.0191441071</v>
      </c>
    </row>
    <row r="666" ht="15.0" hidden="1" customHeight="1">
      <c r="A666" s="59">
        <f t="shared" si="20"/>
        <v>8</v>
      </c>
      <c r="B666" s="59" t="str">
        <f t="shared" si="21"/>
        <v>Đã chốt</v>
      </c>
      <c r="C666" s="59" t="str">
        <f t="shared" si="22"/>
        <v>Téc 2</v>
      </c>
      <c r="D666" s="45">
        <f t="shared" si="23"/>
        <v>46123</v>
      </c>
      <c r="E666" s="45">
        <f t="shared" si="24"/>
        <v>46142</v>
      </c>
      <c r="F666" s="133">
        <f t="shared" si="25"/>
        <v>4</v>
      </c>
      <c r="G666" s="133">
        <f t="shared" si="26"/>
        <v>2026</v>
      </c>
      <c r="H666" s="59" t="str">
        <f t="shared" si="27"/>
        <v>28C02574</v>
      </c>
      <c r="I666" s="59">
        <f>IF(OR($A666="",$C666="",$D666="",$E666="",$H666=""),"",SUMIFS(DATA_GOC!$H:$H,DATA_GOC!$A:$A,"BOM",DATA_GOC!$D:$D,$H666,DATA_GOC!$E:$E,$C666,DATA_GOC!$F:$F,"Xuất nội bộ từ téc",DATA_GOC!$B:$B,"&gt;="&amp;$D666,DATA_GOC!$B:$B,"&lt;="&amp;$E666))</f>
        <v>376</v>
      </c>
      <c r="J666" s="59">
        <f t="shared" si="28"/>
        <v>16.066</v>
      </c>
      <c r="K666" s="59">
        <f t="shared" si="29"/>
        <v>0</v>
      </c>
      <c r="L666" s="59">
        <f t="shared" si="30"/>
        <v>392.066</v>
      </c>
      <c r="M666" s="59">
        <f t="shared" si="31"/>
        <v>0.01236801421</v>
      </c>
    </row>
    <row r="667" ht="15.0" hidden="1" customHeight="1">
      <c r="A667" s="59">
        <f t="shared" si="20"/>
        <v>8</v>
      </c>
      <c r="B667" s="59" t="str">
        <f t="shared" si="21"/>
        <v>Đã chốt</v>
      </c>
      <c r="C667" s="59" t="str">
        <f t="shared" si="22"/>
        <v>Téc 2</v>
      </c>
      <c r="D667" s="45">
        <f t="shared" si="23"/>
        <v>46123</v>
      </c>
      <c r="E667" s="45">
        <f t="shared" si="24"/>
        <v>46142</v>
      </c>
      <c r="F667" s="133">
        <f t="shared" si="25"/>
        <v>4</v>
      </c>
      <c r="G667" s="133">
        <f t="shared" si="26"/>
        <v>2026</v>
      </c>
      <c r="H667" s="59" t="str">
        <f t="shared" si="27"/>
        <v>28C02770</v>
      </c>
      <c r="I667" s="59">
        <f>IF(OR($A667="",$C667="",$D667="",$E667="",$H667=""),"",SUMIFS(DATA_GOC!$H:$H,DATA_GOC!$A:$A,"BOM",DATA_GOC!$D:$D,$H667,DATA_GOC!$E:$E,$C667,DATA_GOC!$F:$F,"Xuất nội bộ từ téc",DATA_GOC!$B:$B,"&gt;="&amp;$D667,DATA_GOC!$B:$B,"&lt;="&amp;$E667))</f>
        <v>981</v>
      </c>
      <c r="J667" s="59">
        <f t="shared" si="28"/>
        <v>41.917</v>
      </c>
      <c r="K667" s="59">
        <f t="shared" si="29"/>
        <v>0</v>
      </c>
      <c r="L667" s="59">
        <f t="shared" si="30"/>
        <v>1022.917</v>
      </c>
      <c r="M667" s="59">
        <f t="shared" si="31"/>
        <v>0.03226867537</v>
      </c>
    </row>
    <row r="668" ht="15.0" hidden="1" customHeight="1">
      <c r="A668" s="59">
        <f t="shared" si="20"/>
        <v>8</v>
      </c>
      <c r="B668" s="59" t="str">
        <f t="shared" si="21"/>
        <v>Đã chốt</v>
      </c>
      <c r="C668" s="59" t="str">
        <f t="shared" si="22"/>
        <v>Téc 2</v>
      </c>
      <c r="D668" s="45">
        <f t="shared" si="23"/>
        <v>46123</v>
      </c>
      <c r="E668" s="45">
        <f t="shared" si="24"/>
        <v>46142</v>
      </c>
      <c r="F668" s="133">
        <f t="shared" si="25"/>
        <v>4</v>
      </c>
      <c r="G668" s="133">
        <f t="shared" si="26"/>
        <v>2026</v>
      </c>
      <c r="H668" s="59" t="str">
        <f t="shared" si="27"/>
        <v>28C02986</v>
      </c>
      <c r="I668" s="59">
        <f>IF(OR($A668="",$C668="",$D668="",$E668="",$H668=""),"",SUMIFS(DATA_GOC!$H:$H,DATA_GOC!$A:$A,"BOM",DATA_GOC!$D:$D,$H668,DATA_GOC!$E:$E,$C668,DATA_GOC!$F:$F,"Xuất nội bộ từ téc",DATA_GOC!$B:$B,"&gt;="&amp;$D668,DATA_GOC!$B:$B,"&lt;="&amp;$E668))</f>
        <v>728</v>
      </c>
      <c r="J668" s="59">
        <f t="shared" si="28"/>
        <v>31.107</v>
      </c>
      <c r="K668" s="59">
        <f t="shared" si="29"/>
        <v>0</v>
      </c>
      <c r="L668" s="59">
        <f t="shared" si="30"/>
        <v>759.107</v>
      </c>
      <c r="M668" s="59">
        <f t="shared" si="31"/>
        <v>0.0239465807</v>
      </c>
    </row>
    <row r="669" ht="15.0" hidden="1" customHeight="1">
      <c r="A669" s="59">
        <f t="shared" si="20"/>
        <v>8</v>
      </c>
      <c r="B669" s="59" t="str">
        <f t="shared" si="21"/>
        <v>Đã chốt</v>
      </c>
      <c r="C669" s="59" t="str">
        <f t="shared" si="22"/>
        <v>Téc 2</v>
      </c>
      <c r="D669" s="45">
        <f t="shared" si="23"/>
        <v>46123</v>
      </c>
      <c r="E669" s="45">
        <f t="shared" si="24"/>
        <v>46142</v>
      </c>
      <c r="F669" s="133">
        <f t="shared" si="25"/>
        <v>4</v>
      </c>
      <c r="G669" s="133">
        <f t="shared" si="26"/>
        <v>2026</v>
      </c>
      <c r="H669" s="59" t="str">
        <f t="shared" si="27"/>
        <v>28C03261</v>
      </c>
      <c r="I669" s="59">
        <f>IF(OR($A669="",$C669="",$D669="",$E669="",$H669=""),"",SUMIFS(DATA_GOC!$H:$H,DATA_GOC!$A:$A,"BOM",DATA_GOC!$D:$D,$H669,DATA_GOC!$E:$E,$C669,DATA_GOC!$F:$F,"Xuất nội bộ từ téc",DATA_GOC!$B:$B,"&gt;="&amp;$D669,DATA_GOC!$B:$B,"&lt;="&amp;$E669))</f>
        <v>840</v>
      </c>
      <c r="J669" s="59">
        <f t="shared" si="28"/>
        <v>35.892</v>
      </c>
      <c r="K669" s="59">
        <f t="shared" si="29"/>
        <v>0</v>
      </c>
      <c r="L669" s="59">
        <f t="shared" si="30"/>
        <v>875.892</v>
      </c>
      <c r="M669" s="59">
        <f t="shared" si="31"/>
        <v>0.02763067004</v>
      </c>
    </row>
    <row r="670" ht="15.0" hidden="1" customHeight="1">
      <c r="A670" s="59">
        <f t="shared" si="20"/>
        <v>8</v>
      </c>
      <c r="B670" s="59" t="str">
        <f t="shared" si="21"/>
        <v>Đã chốt</v>
      </c>
      <c r="C670" s="59" t="str">
        <f t="shared" si="22"/>
        <v>Téc 2</v>
      </c>
      <c r="D670" s="45">
        <f t="shared" si="23"/>
        <v>46123</v>
      </c>
      <c r="E670" s="45">
        <f t="shared" si="24"/>
        <v>46142</v>
      </c>
      <c r="F670" s="133">
        <f t="shared" si="25"/>
        <v>4</v>
      </c>
      <c r="G670" s="133">
        <f t="shared" si="26"/>
        <v>2026</v>
      </c>
      <c r="H670" s="59" t="str">
        <f t="shared" si="27"/>
        <v>28C03323</v>
      </c>
      <c r="I670" s="59">
        <f>IF(OR($A670="",$C670="",$D670="",$E670="",$H670=""),"",SUMIFS(DATA_GOC!$H:$H,DATA_GOC!$A:$A,"BOM",DATA_GOC!$D:$D,$H670,DATA_GOC!$E:$E,$C670,DATA_GOC!$F:$F,"Xuất nội bộ từ téc",DATA_GOC!$B:$B,"&gt;="&amp;$D670,DATA_GOC!$B:$B,"&lt;="&amp;$E670))</f>
        <v>665</v>
      </c>
      <c r="J670" s="59">
        <f t="shared" si="28"/>
        <v>28.415</v>
      </c>
      <c r="K670" s="59">
        <f t="shared" si="29"/>
        <v>0</v>
      </c>
      <c r="L670" s="59">
        <f t="shared" si="30"/>
        <v>693.415</v>
      </c>
      <c r="M670" s="59">
        <f t="shared" si="31"/>
        <v>0.02187428045</v>
      </c>
    </row>
    <row r="671" ht="15.0" hidden="1" customHeight="1">
      <c r="A671" s="59">
        <f t="shared" si="20"/>
        <v>8</v>
      </c>
      <c r="B671" s="59" t="str">
        <f t="shared" si="21"/>
        <v>Đã chốt</v>
      </c>
      <c r="C671" s="59" t="str">
        <f t="shared" si="22"/>
        <v>Téc 2</v>
      </c>
      <c r="D671" s="45">
        <f t="shared" si="23"/>
        <v>46123</v>
      </c>
      <c r="E671" s="45">
        <f t="shared" si="24"/>
        <v>46142</v>
      </c>
      <c r="F671" s="133">
        <f t="shared" si="25"/>
        <v>4</v>
      </c>
      <c r="G671" s="133">
        <f t="shared" si="26"/>
        <v>2026</v>
      </c>
      <c r="H671" s="59" t="str">
        <f t="shared" si="27"/>
        <v>28C03385</v>
      </c>
      <c r="I671" s="59">
        <f>IF(OR($A671="",$C671="",$D671="",$E671="",$H671=""),"",SUMIFS(DATA_GOC!$H:$H,DATA_GOC!$A:$A,"BOM",DATA_GOC!$D:$D,$H671,DATA_GOC!$E:$E,$C671,DATA_GOC!$F:$F,"Xuất nội bộ từ téc",DATA_GOC!$B:$B,"&gt;="&amp;$D671,DATA_GOC!$B:$B,"&lt;="&amp;$E671))</f>
        <v>835</v>
      </c>
      <c r="J671" s="59">
        <f t="shared" si="28"/>
        <v>35.679</v>
      </c>
      <c r="K671" s="59">
        <f t="shared" si="29"/>
        <v>0</v>
      </c>
      <c r="L671" s="59">
        <f t="shared" si="30"/>
        <v>870.679</v>
      </c>
      <c r="M671" s="59">
        <f t="shared" si="31"/>
        <v>0.02746620177</v>
      </c>
    </row>
    <row r="672" ht="15.0" hidden="1" customHeight="1">
      <c r="A672" s="59">
        <f t="shared" si="20"/>
        <v>8</v>
      </c>
      <c r="B672" s="59" t="str">
        <f t="shared" si="21"/>
        <v>Đã chốt</v>
      </c>
      <c r="C672" s="59" t="str">
        <f t="shared" si="22"/>
        <v>Téc 2</v>
      </c>
      <c r="D672" s="45">
        <f t="shared" si="23"/>
        <v>46123</v>
      </c>
      <c r="E672" s="45">
        <f t="shared" si="24"/>
        <v>46142</v>
      </c>
      <c r="F672" s="133">
        <f t="shared" si="25"/>
        <v>4</v>
      </c>
      <c r="G672" s="133">
        <f t="shared" si="26"/>
        <v>2026</v>
      </c>
      <c r="H672" s="59" t="str">
        <f t="shared" si="27"/>
        <v>28C03652</v>
      </c>
      <c r="I672" s="59">
        <f>IF(OR($A672="",$C672="",$D672="",$E672="",$H672=""),"",SUMIFS(DATA_GOC!$H:$H,DATA_GOC!$A:$A,"BOM",DATA_GOC!$D:$D,$H672,DATA_GOC!$E:$E,$C672,DATA_GOC!$F:$F,"Xuất nội bộ từ téc",DATA_GOC!$B:$B,"&gt;="&amp;$D672,DATA_GOC!$B:$B,"&lt;="&amp;$E672))</f>
        <v>405</v>
      </c>
      <c r="J672" s="59">
        <f t="shared" si="28"/>
        <v>17.305</v>
      </c>
      <c r="K672" s="59">
        <f t="shared" si="29"/>
        <v>0</v>
      </c>
      <c r="L672" s="59">
        <f t="shared" si="30"/>
        <v>422.305</v>
      </c>
      <c r="M672" s="59">
        <f t="shared" si="31"/>
        <v>0.0133219302</v>
      </c>
    </row>
    <row r="673" ht="15.0" hidden="1" customHeight="1">
      <c r="A673" s="59">
        <f t="shared" si="20"/>
        <v>8</v>
      </c>
      <c r="B673" s="59" t="str">
        <f t="shared" si="21"/>
        <v>Đã chốt</v>
      </c>
      <c r="C673" s="59" t="str">
        <f t="shared" si="22"/>
        <v>Téc 2</v>
      </c>
      <c r="D673" s="45">
        <f t="shared" si="23"/>
        <v>46123</v>
      </c>
      <c r="E673" s="45">
        <f t="shared" si="24"/>
        <v>46142</v>
      </c>
      <c r="F673" s="133">
        <f t="shared" si="25"/>
        <v>4</v>
      </c>
      <c r="G673" s="133">
        <f t="shared" si="26"/>
        <v>2026</v>
      </c>
      <c r="H673" s="59" t="str">
        <f t="shared" si="27"/>
        <v>28C03695</v>
      </c>
      <c r="I673" s="59">
        <f>IF(OR($A673="",$C673="",$D673="",$E673="",$H673=""),"",SUMIFS(DATA_GOC!$H:$H,DATA_GOC!$A:$A,"BOM",DATA_GOC!$D:$D,$H673,DATA_GOC!$E:$E,$C673,DATA_GOC!$F:$F,"Xuất nội bộ từ téc",DATA_GOC!$B:$B,"&gt;="&amp;$D673,DATA_GOC!$B:$B,"&lt;="&amp;$E673))</f>
        <v>360</v>
      </c>
      <c r="J673" s="59">
        <f t="shared" si="28"/>
        <v>15.382</v>
      </c>
      <c r="K673" s="59">
        <f t="shared" si="29"/>
        <v>0</v>
      </c>
      <c r="L673" s="59">
        <f t="shared" si="30"/>
        <v>375.382</v>
      </c>
      <c r="M673" s="59">
        <f t="shared" si="31"/>
        <v>0.01184171573</v>
      </c>
    </row>
    <row r="674" ht="15.0" hidden="1" customHeight="1">
      <c r="A674" s="59">
        <f t="shared" si="20"/>
        <v>8</v>
      </c>
      <c r="B674" s="59" t="str">
        <f t="shared" si="21"/>
        <v>Đã chốt</v>
      </c>
      <c r="C674" s="59" t="str">
        <f t="shared" si="22"/>
        <v>Téc 2</v>
      </c>
      <c r="D674" s="45">
        <f t="shared" si="23"/>
        <v>46123</v>
      </c>
      <c r="E674" s="45">
        <f t="shared" si="24"/>
        <v>46142</v>
      </c>
      <c r="F674" s="133">
        <f t="shared" si="25"/>
        <v>4</v>
      </c>
      <c r="G674" s="133">
        <f t="shared" si="26"/>
        <v>2026</v>
      </c>
      <c r="H674" s="59" t="str">
        <f t="shared" si="27"/>
        <v>28C03927</v>
      </c>
      <c r="I674" s="59">
        <f>IF(OR($A674="",$C674="",$D674="",$E674="",$H674=""),"",SUMIFS(DATA_GOC!$H:$H,DATA_GOC!$A:$A,"BOM",DATA_GOC!$D:$D,$H674,DATA_GOC!$E:$E,$C674,DATA_GOC!$F:$F,"Xuất nội bộ từ téc",DATA_GOC!$B:$B,"&gt;="&amp;$D674,DATA_GOC!$B:$B,"&lt;="&amp;$E674))</f>
        <v>895</v>
      </c>
      <c r="J674" s="59">
        <f t="shared" si="28"/>
        <v>38.242</v>
      </c>
      <c r="K674" s="59">
        <f t="shared" si="29"/>
        <v>0</v>
      </c>
      <c r="L674" s="59">
        <f t="shared" si="30"/>
        <v>933.242</v>
      </c>
      <c r="M674" s="59">
        <f t="shared" si="31"/>
        <v>0.02943982106</v>
      </c>
    </row>
    <row r="675" ht="15.0" hidden="1" customHeight="1">
      <c r="A675" s="59">
        <f t="shared" si="20"/>
        <v>8</v>
      </c>
      <c r="B675" s="59" t="str">
        <f t="shared" si="21"/>
        <v>Đã chốt</v>
      </c>
      <c r="C675" s="59" t="str">
        <f t="shared" si="22"/>
        <v>Téc 2</v>
      </c>
      <c r="D675" s="45">
        <f t="shared" si="23"/>
        <v>46123</v>
      </c>
      <c r="E675" s="45">
        <f t="shared" si="24"/>
        <v>46142</v>
      </c>
      <c r="F675" s="133">
        <f t="shared" si="25"/>
        <v>4</v>
      </c>
      <c r="G675" s="133">
        <f t="shared" si="26"/>
        <v>2026</v>
      </c>
      <c r="H675" s="59" t="str">
        <f t="shared" si="27"/>
        <v>28C04509</v>
      </c>
      <c r="I675" s="59">
        <f>IF(OR($A675="",$C675="",$D675="",$E675="",$H675=""),"",SUMIFS(DATA_GOC!$H:$H,DATA_GOC!$A:$A,"BOM",DATA_GOC!$D:$D,$H675,DATA_GOC!$E:$E,$C675,DATA_GOC!$F:$F,"Xuất nội bộ từ téc",DATA_GOC!$B:$B,"&gt;="&amp;$D675,DATA_GOC!$B:$B,"&lt;="&amp;$E675))</f>
        <v>95</v>
      </c>
      <c r="J675" s="59">
        <f t="shared" si="28"/>
        <v>4.059</v>
      </c>
      <c r="K675" s="59">
        <f t="shared" si="29"/>
        <v>0</v>
      </c>
      <c r="L675" s="59">
        <f t="shared" si="30"/>
        <v>99.059</v>
      </c>
      <c r="M675" s="59">
        <f t="shared" si="31"/>
        <v>0.003124897207</v>
      </c>
    </row>
    <row r="676" ht="15.0" hidden="1" customHeight="1">
      <c r="A676" s="59">
        <f t="shared" si="20"/>
        <v>8</v>
      </c>
      <c r="B676" s="59" t="str">
        <f t="shared" si="21"/>
        <v>Đã chốt</v>
      </c>
      <c r="C676" s="59" t="str">
        <f t="shared" si="22"/>
        <v>Téc 2</v>
      </c>
      <c r="D676" s="45">
        <f t="shared" si="23"/>
        <v>46123</v>
      </c>
      <c r="E676" s="45">
        <f t="shared" si="24"/>
        <v>46142</v>
      </c>
      <c r="F676" s="133">
        <f t="shared" si="25"/>
        <v>4</v>
      </c>
      <c r="G676" s="133">
        <f t="shared" si="26"/>
        <v>2026</v>
      </c>
      <c r="H676" s="59" t="str">
        <f t="shared" si="27"/>
        <v>28C04536</v>
      </c>
      <c r="I676" s="59">
        <f>IF(OR($A676="",$C676="",$D676="",$E676="",$H676=""),"",SUMIFS(DATA_GOC!$H:$H,DATA_GOC!$A:$A,"BOM",DATA_GOC!$D:$D,$H676,DATA_GOC!$E:$E,$C676,DATA_GOC!$F:$F,"Xuất nội bộ từ téc",DATA_GOC!$B:$B,"&gt;="&amp;$D676,DATA_GOC!$B:$B,"&lt;="&amp;$E676))</f>
        <v>0</v>
      </c>
      <c r="J676" s="59">
        <f t="shared" si="28"/>
        <v>0</v>
      </c>
      <c r="K676" s="59">
        <f t="shared" si="29"/>
        <v>0</v>
      </c>
      <c r="L676" s="59">
        <f t="shared" si="30"/>
        <v>0</v>
      </c>
      <c r="M676" s="59">
        <f t="shared" si="31"/>
        <v>0</v>
      </c>
    </row>
    <row r="677" ht="15.0" hidden="1" customHeight="1">
      <c r="A677" s="59">
        <f t="shared" si="20"/>
        <v>8</v>
      </c>
      <c r="B677" s="59" t="str">
        <f t="shared" si="21"/>
        <v>Đã chốt</v>
      </c>
      <c r="C677" s="59" t="str">
        <f t="shared" si="22"/>
        <v>Téc 2</v>
      </c>
      <c r="D677" s="45">
        <f t="shared" si="23"/>
        <v>46123</v>
      </c>
      <c r="E677" s="45">
        <f t="shared" si="24"/>
        <v>46142</v>
      </c>
      <c r="F677" s="133">
        <f t="shared" si="25"/>
        <v>4</v>
      </c>
      <c r="G677" s="133">
        <f t="shared" si="26"/>
        <v>2026</v>
      </c>
      <c r="H677" s="59" t="str">
        <f t="shared" si="27"/>
        <v>28C04576</v>
      </c>
      <c r="I677" s="59">
        <f>IF(OR($A677="",$C677="",$D677="",$E677="",$H677=""),"",SUMIFS(DATA_GOC!$H:$H,DATA_GOC!$A:$A,"BOM",DATA_GOC!$D:$D,$H677,DATA_GOC!$E:$E,$C677,DATA_GOC!$F:$F,"Xuất nội bộ từ téc",DATA_GOC!$B:$B,"&gt;="&amp;$D677,DATA_GOC!$B:$B,"&lt;="&amp;$E677))</f>
        <v>640</v>
      </c>
      <c r="J677" s="59">
        <f t="shared" si="28"/>
        <v>27.346</v>
      </c>
      <c r="K677" s="59">
        <f t="shared" si="29"/>
        <v>0</v>
      </c>
      <c r="L677" s="59">
        <f t="shared" si="30"/>
        <v>667.346</v>
      </c>
      <c r="M677" s="59">
        <f t="shared" si="31"/>
        <v>0.02105193908</v>
      </c>
    </row>
    <row r="678" ht="15.0" hidden="1" customHeight="1">
      <c r="A678" s="59">
        <f t="shared" si="20"/>
        <v>8</v>
      </c>
      <c r="B678" s="59" t="str">
        <f t="shared" si="21"/>
        <v>Đã chốt</v>
      </c>
      <c r="C678" s="59" t="str">
        <f t="shared" si="22"/>
        <v>Téc 2</v>
      </c>
      <c r="D678" s="45">
        <f t="shared" si="23"/>
        <v>46123</v>
      </c>
      <c r="E678" s="45">
        <f t="shared" si="24"/>
        <v>46142</v>
      </c>
      <c r="F678" s="133">
        <f t="shared" si="25"/>
        <v>4</v>
      </c>
      <c r="G678" s="133">
        <f t="shared" si="26"/>
        <v>2026</v>
      </c>
      <c r="H678" s="59" t="str">
        <f t="shared" si="27"/>
        <v>28C05090</v>
      </c>
      <c r="I678" s="59">
        <f>IF(OR($A678="",$C678="",$D678="",$E678="",$H678=""),"",SUMIFS(DATA_GOC!$H:$H,DATA_GOC!$A:$A,"BOM",DATA_GOC!$D:$D,$H678,DATA_GOC!$E:$E,$C678,DATA_GOC!$F:$F,"Xuất nội bộ từ téc",DATA_GOC!$B:$B,"&gt;="&amp;$D678,DATA_GOC!$B:$B,"&lt;="&amp;$E678))</f>
        <v>0</v>
      </c>
      <c r="J678" s="59">
        <f t="shared" si="28"/>
        <v>0</v>
      </c>
      <c r="K678" s="59">
        <f t="shared" si="29"/>
        <v>0</v>
      </c>
      <c r="L678" s="59">
        <f t="shared" si="30"/>
        <v>0</v>
      </c>
      <c r="M678" s="59">
        <f t="shared" si="31"/>
        <v>0</v>
      </c>
    </row>
    <row r="679" ht="15.0" hidden="1" customHeight="1">
      <c r="A679" s="59">
        <f t="shared" si="20"/>
        <v>8</v>
      </c>
      <c r="B679" s="59" t="str">
        <f t="shared" si="21"/>
        <v>Đã chốt</v>
      </c>
      <c r="C679" s="59" t="str">
        <f t="shared" si="22"/>
        <v>Téc 2</v>
      </c>
      <c r="D679" s="45">
        <f t="shared" si="23"/>
        <v>46123</v>
      </c>
      <c r="E679" s="45">
        <f t="shared" si="24"/>
        <v>46142</v>
      </c>
      <c r="F679" s="133">
        <f t="shared" si="25"/>
        <v>4</v>
      </c>
      <c r="G679" s="133">
        <f t="shared" si="26"/>
        <v>2026</v>
      </c>
      <c r="H679" s="59" t="str">
        <f t="shared" si="27"/>
        <v>28C05345</v>
      </c>
      <c r="I679" s="59">
        <f>IF(OR($A679="",$C679="",$D679="",$E679="",$H679=""),"",SUMIFS(DATA_GOC!$H:$H,DATA_GOC!$A:$A,"BOM",DATA_GOC!$D:$D,$H679,DATA_GOC!$E:$E,$C679,DATA_GOC!$F:$F,"Xuất nội bộ từ téc",DATA_GOC!$B:$B,"&gt;="&amp;$D679,DATA_GOC!$B:$B,"&lt;="&amp;$E679))</f>
        <v>980</v>
      </c>
      <c r="J679" s="59">
        <f t="shared" si="28"/>
        <v>41.874</v>
      </c>
      <c r="K679" s="59">
        <f t="shared" si="29"/>
        <v>0</v>
      </c>
      <c r="L679" s="59">
        <f t="shared" si="30"/>
        <v>1021.874</v>
      </c>
      <c r="M679" s="59">
        <f t="shared" si="31"/>
        <v>0.03223578172</v>
      </c>
    </row>
    <row r="680" ht="15.0" hidden="1" customHeight="1">
      <c r="A680" s="59">
        <f t="shared" si="20"/>
        <v>8</v>
      </c>
      <c r="B680" s="59" t="str">
        <f t="shared" si="21"/>
        <v>Đã chốt</v>
      </c>
      <c r="C680" s="59" t="str">
        <f t="shared" si="22"/>
        <v>Téc 2</v>
      </c>
      <c r="D680" s="45">
        <f t="shared" si="23"/>
        <v>46123</v>
      </c>
      <c r="E680" s="45">
        <f t="shared" si="24"/>
        <v>46142</v>
      </c>
      <c r="F680" s="133">
        <f t="shared" si="25"/>
        <v>4</v>
      </c>
      <c r="G680" s="133">
        <f t="shared" si="26"/>
        <v>2026</v>
      </c>
      <c r="H680" s="59" t="str">
        <f t="shared" si="27"/>
        <v>28C05661</v>
      </c>
      <c r="I680" s="59">
        <f>IF(OR($A680="",$C680="",$D680="",$E680="",$H680=""),"",SUMIFS(DATA_GOC!$H:$H,DATA_GOC!$A:$A,"BOM",DATA_GOC!$D:$D,$H680,DATA_GOC!$E:$E,$C680,DATA_GOC!$F:$F,"Xuất nội bộ từ téc",DATA_GOC!$B:$B,"&gt;="&amp;$D680,DATA_GOC!$B:$B,"&lt;="&amp;$E680))</f>
        <v>0</v>
      </c>
      <c r="J680" s="59">
        <f t="shared" si="28"/>
        <v>0</v>
      </c>
      <c r="K680" s="59">
        <f t="shared" si="29"/>
        <v>0</v>
      </c>
      <c r="L680" s="59">
        <f t="shared" si="30"/>
        <v>0</v>
      </c>
      <c r="M680" s="59">
        <f t="shared" si="31"/>
        <v>0</v>
      </c>
    </row>
    <row r="681" ht="15.0" hidden="1" customHeight="1">
      <c r="A681" s="59">
        <f t="shared" si="20"/>
        <v>8</v>
      </c>
      <c r="B681" s="59" t="str">
        <f t="shared" si="21"/>
        <v>Đã chốt</v>
      </c>
      <c r="C681" s="59" t="str">
        <f t="shared" si="22"/>
        <v>Téc 2</v>
      </c>
      <c r="D681" s="45">
        <f t="shared" si="23"/>
        <v>46123</v>
      </c>
      <c r="E681" s="45">
        <f t="shared" si="24"/>
        <v>46142</v>
      </c>
      <c r="F681" s="133">
        <f t="shared" si="25"/>
        <v>4</v>
      </c>
      <c r="G681" s="133">
        <f t="shared" si="26"/>
        <v>2026</v>
      </c>
      <c r="H681" s="59" t="str">
        <f t="shared" si="27"/>
        <v>28C05739</v>
      </c>
      <c r="I681" s="59">
        <f>IF(OR($A681="",$C681="",$D681="",$E681="",$H681=""),"",SUMIFS(DATA_GOC!$H:$H,DATA_GOC!$A:$A,"BOM",DATA_GOC!$D:$D,$H681,DATA_GOC!$E:$E,$C681,DATA_GOC!$F:$F,"Xuất nội bộ từ téc",DATA_GOC!$B:$B,"&gt;="&amp;$D681,DATA_GOC!$B:$B,"&lt;="&amp;$E681))</f>
        <v>1104</v>
      </c>
      <c r="J681" s="59">
        <f t="shared" si="28"/>
        <v>47.173</v>
      </c>
      <c r="K681" s="59">
        <f t="shared" si="29"/>
        <v>0</v>
      </c>
      <c r="L681" s="59">
        <f t="shared" si="30"/>
        <v>1151.173</v>
      </c>
      <c r="M681" s="59">
        <f t="shared" si="31"/>
        <v>0.03631459491</v>
      </c>
    </row>
    <row r="682" ht="15.0" hidden="1" customHeight="1">
      <c r="A682" s="59">
        <f t="shared" si="20"/>
        <v>8</v>
      </c>
      <c r="B682" s="59" t="str">
        <f t="shared" si="21"/>
        <v>Đã chốt</v>
      </c>
      <c r="C682" s="59" t="str">
        <f t="shared" si="22"/>
        <v>Téc 2</v>
      </c>
      <c r="D682" s="45">
        <f t="shared" si="23"/>
        <v>46123</v>
      </c>
      <c r="E682" s="45">
        <f t="shared" si="24"/>
        <v>46142</v>
      </c>
      <c r="F682" s="133">
        <f t="shared" si="25"/>
        <v>4</v>
      </c>
      <c r="G682" s="133">
        <f t="shared" si="26"/>
        <v>2026</v>
      </c>
      <c r="H682" s="59" t="str">
        <f t="shared" si="27"/>
        <v>28C06369</v>
      </c>
      <c r="I682" s="59">
        <f>IF(OR($A682="",$C682="",$D682="",$E682="",$H682=""),"",SUMIFS(DATA_GOC!$H:$H,DATA_GOC!$A:$A,"BOM",DATA_GOC!$D:$D,$H682,DATA_GOC!$E:$E,$C682,DATA_GOC!$F:$F,"Xuất nội bộ từ téc",DATA_GOC!$B:$B,"&gt;="&amp;$D682,DATA_GOC!$B:$B,"&lt;="&amp;$E682))</f>
        <v>1040</v>
      </c>
      <c r="J682" s="59">
        <f t="shared" si="28"/>
        <v>44.438</v>
      </c>
      <c r="K682" s="59">
        <f t="shared" si="29"/>
        <v>0</v>
      </c>
      <c r="L682" s="59">
        <f t="shared" si="30"/>
        <v>1084.438</v>
      </c>
      <c r="M682" s="59">
        <f t="shared" si="31"/>
        <v>0.03420940101</v>
      </c>
    </row>
    <row r="683" ht="15.0" hidden="1" customHeight="1">
      <c r="A683" s="59">
        <f t="shared" si="20"/>
        <v>8</v>
      </c>
      <c r="B683" s="59" t="str">
        <f t="shared" si="21"/>
        <v>Đã chốt</v>
      </c>
      <c r="C683" s="59" t="str">
        <f t="shared" si="22"/>
        <v>Téc 2</v>
      </c>
      <c r="D683" s="45">
        <f t="shared" si="23"/>
        <v>46123</v>
      </c>
      <c r="E683" s="45">
        <f t="shared" si="24"/>
        <v>46142</v>
      </c>
      <c r="F683" s="133">
        <f t="shared" si="25"/>
        <v>4</v>
      </c>
      <c r="G683" s="133">
        <f t="shared" si="26"/>
        <v>2026</v>
      </c>
      <c r="H683" s="59" t="str">
        <f t="shared" si="27"/>
        <v>28C06447</v>
      </c>
      <c r="I683" s="59">
        <f>IF(OR($A683="",$C683="",$D683="",$E683="",$H683=""),"",SUMIFS(DATA_GOC!$H:$H,DATA_GOC!$A:$A,"BOM",DATA_GOC!$D:$D,$H683,DATA_GOC!$E:$E,$C683,DATA_GOC!$F:$F,"Xuất nội bộ từ téc",DATA_GOC!$B:$B,"&gt;="&amp;$D683,DATA_GOC!$B:$B,"&lt;="&amp;$E683))</f>
        <v>1265</v>
      </c>
      <c r="J683" s="59">
        <f t="shared" si="28"/>
        <v>54.052</v>
      </c>
      <c r="K683" s="59">
        <f t="shared" si="29"/>
        <v>0</v>
      </c>
      <c r="L683" s="59">
        <f t="shared" si="30"/>
        <v>1319.052</v>
      </c>
      <c r="M683" s="59">
        <f t="shared" si="31"/>
        <v>0.04161047334</v>
      </c>
    </row>
    <row r="684" ht="15.0" hidden="1" customHeight="1">
      <c r="A684" s="59">
        <f t="shared" si="20"/>
        <v>8</v>
      </c>
      <c r="B684" s="59" t="str">
        <f t="shared" si="21"/>
        <v>Đã chốt</v>
      </c>
      <c r="C684" s="59" t="str">
        <f t="shared" si="22"/>
        <v>Téc 2</v>
      </c>
      <c r="D684" s="45">
        <f t="shared" si="23"/>
        <v>46123</v>
      </c>
      <c r="E684" s="45">
        <f t="shared" si="24"/>
        <v>46142</v>
      </c>
      <c r="F684" s="133">
        <f t="shared" si="25"/>
        <v>4</v>
      </c>
      <c r="G684" s="133">
        <f t="shared" si="26"/>
        <v>2026</v>
      </c>
      <c r="H684" s="59" t="str">
        <f t="shared" si="27"/>
        <v>28H00003</v>
      </c>
      <c r="I684" s="59">
        <f>IF(OR($A684="",$C684="",$D684="",$E684="",$H684=""),"",SUMIFS(DATA_GOC!$H:$H,DATA_GOC!$A:$A,"BOM",DATA_GOC!$D:$D,$H684,DATA_GOC!$E:$E,$C684,DATA_GOC!$F:$F,"Xuất nội bộ từ téc",DATA_GOC!$B:$B,"&gt;="&amp;$D684,DATA_GOC!$B:$B,"&lt;="&amp;$E684))</f>
        <v>1360</v>
      </c>
      <c r="J684" s="59">
        <f t="shared" si="28"/>
        <v>58.111</v>
      </c>
      <c r="K684" s="59">
        <f t="shared" si="29"/>
        <v>0</v>
      </c>
      <c r="L684" s="59">
        <f t="shared" si="30"/>
        <v>1418.111</v>
      </c>
      <c r="M684" s="59">
        <f t="shared" si="31"/>
        <v>0.04473537055</v>
      </c>
    </row>
    <row r="685" ht="15.0" hidden="1" customHeight="1">
      <c r="A685" s="59">
        <f t="shared" si="20"/>
        <v>8</v>
      </c>
      <c r="B685" s="59" t="str">
        <f t="shared" si="21"/>
        <v>Đã chốt</v>
      </c>
      <c r="C685" s="59" t="str">
        <f t="shared" si="22"/>
        <v>Téc 2</v>
      </c>
      <c r="D685" s="45">
        <f t="shared" si="23"/>
        <v>46123</v>
      </c>
      <c r="E685" s="45">
        <f t="shared" si="24"/>
        <v>46142</v>
      </c>
      <c r="F685" s="133">
        <f t="shared" si="25"/>
        <v>4</v>
      </c>
      <c r="G685" s="133">
        <f t="shared" si="26"/>
        <v>2026</v>
      </c>
      <c r="H685" s="59" t="str">
        <f t="shared" si="27"/>
        <v>28H00061</v>
      </c>
      <c r="I685" s="59">
        <f>IF(OR($A685="",$C685="",$D685="",$E685="",$H685=""),"",SUMIFS(DATA_GOC!$H:$H,DATA_GOC!$A:$A,"BOM",DATA_GOC!$D:$D,$H685,DATA_GOC!$E:$E,$C685,DATA_GOC!$F:$F,"Xuất nội bộ từ téc",DATA_GOC!$B:$B,"&gt;="&amp;$D685,DATA_GOC!$B:$B,"&lt;="&amp;$E685))</f>
        <v>856</v>
      </c>
      <c r="J685" s="59">
        <f t="shared" si="28"/>
        <v>36.576</v>
      </c>
      <c r="K685" s="59">
        <f t="shared" si="29"/>
        <v>0</v>
      </c>
      <c r="L685" s="59">
        <f t="shared" si="30"/>
        <v>892.576</v>
      </c>
      <c r="M685" s="59">
        <f t="shared" si="31"/>
        <v>0.02815696852</v>
      </c>
    </row>
    <row r="686" ht="15.0" hidden="1" customHeight="1">
      <c r="A686" s="59">
        <f t="shared" si="20"/>
        <v>8</v>
      </c>
      <c r="B686" s="59" t="str">
        <f t="shared" si="21"/>
        <v>Đã chốt</v>
      </c>
      <c r="C686" s="59" t="str">
        <f t="shared" si="22"/>
        <v>Téc 2</v>
      </c>
      <c r="D686" s="45">
        <f t="shared" si="23"/>
        <v>46123</v>
      </c>
      <c r="E686" s="45">
        <f t="shared" si="24"/>
        <v>46142</v>
      </c>
      <c r="F686" s="133">
        <f t="shared" si="25"/>
        <v>4</v>
      </c>
      <c r="G686" s="133">
        <f t="shared" si="26"/>
        <v>2026</v>
      </c>
      <c r="H686" s="59" t="str">
        <f t="shared" si="27"/>
        <v>28H00354</v>
      </c>
      <c r="I686" s="59">
        <f>IF(OR($A686="",$C686="",$D686="",$E686="",$H686=""),"",SUMIFS(DATA_GOC!$H:$H,DATA_GOC!$A:$A,"BOM",DATA_GOC!$D:$D,$H686,DATA_GOC!$E:$E,$C686,DATA_GOC!$F:$F,"Xuất nội bộ từ téc",DATA_GOC!$B:$B,"&gt;="&amp;$D686,DATA_GOC!$B:$B,"&lt;="&amp;$E686))</f>
        <v>961</v>
      </c>
      <c r="J686" s="59">
        <f t="shared" si="28"/>
        <v>41.062</v>
      </c>
      <c r="K686" s="59">
        <f t="shared" si="29"/>
        <v>0</v>
      </c>
      <c r="L686" s="59">
        <f t="shared" si="30"/>
        <v>1002.062</v>
      </c>
      <c r="M686" s="59">
        <f t="shared" si="31"/>
        <v>0.03161080228</v>
      </c>
    </row>
    <row r="687" ht="15.0" hidden="1" customHeight="1">
      <c r="A687" s="59">
        <f t="shared" si="20"/>
        <v>8</v>
      </c>
      <c r="B687" s="59" t="str">
        <f t="shared" si="21"/>
        <v>Đã chốt</v>
      </c>
      <c r="C687" s="59" t="str">
        <f t="shared" si="22"/>
        <v>Téc 2</v>
      </c>
      <c r="D687" s="45">
        <f t="shared" si="23"/>
        <v>46123</v>
      </c>
      <c r="E687" s="45">
        <f t="shared" si="24"/>
        <v>46142</v>
      </c>
      <c r="F687" s="133">
        <f t="shared" si="25"/>
        <v>4</v>
      </c>
      <c r="G687" s="133">
        <f t="shared" si="26"/>
        <v>2026</v>
      </c>
      <c r="H687" s="59" t="str">
        <f t="shared" si="27"/>
        <v>28H00603</v>
      </c>
      <c r="I687" s="59">
        <f>IF(OR($A687="",$C687="",$D687="",$E687="",$H687=""),"",SUMIFS(DATA_GOC!$H:$H,DATA_GOC!$A:$A,"BOM",DATA_GOC!$D:$D,$H687,DATA_GOC!$E:$E,$C687,DATA_GOC!$F:$F,"Xuất nội bộ từ téc",DATA_GOC!$B:$B,"&gt;="&amp;$D687,DATA_GOC!$B:$B,"&lt;="&amp;$E687))</f>
        <v>1025</v>
      </c>
      <c r="J687" s="59">
        <f t="shared" si="28"/>
        <v>43.797</v>
      </c>
      <c r="K687" s="59">
        <f t="shared" si="29"/>
        <v>0</v>
      </c>
      <c r="L687" s="59">
        <f t="shared" si="30"/>
        <v>1068.797</v>
      </c>
      <c r="M687" s="59">
        <f t="shared" si="31"/>
        <v>0.03371599618</v>
      </c>
    </row>
    <row r="688" ht="15.0" hidden="1" customHeight="1">
      <c r="A688" s="59">
        <f t="shared" si="20"/>
        <v>8</v>
      </c>
      <c r="B688" s="59" t="str">
        <f t="shared" si="21"/>
        <v>Đã chốt</v>
      </c>
      <c r="C688" s="59" t="str">
        <f t="shared" si="22"/>
        <v>Téc 2</v>
      </c>
      <c r="D688" s="45">
        <f t="shared" si="23"/>
        <v>46123</v>
      </c>
      <c r="E688" s="45">
        <f t="shared" si="24"/>
        <v>46142</v>
      </c>
      <c r="F688" s="133">
        <f t="shared" si="25"/>
        <v>4</v>
      </c>
      <c r="G688" s="133">
        <f t="shared" si="26"/>
        <v>2026</v>
      </c>
      <c r="H688" s="59" t="str">
        <f t="shared" si="27"/>
        <v>28H00609</v>
      </c>
      <c r="I688" s="59">
        <f>IF(OR($A688="",$C688="",$D688="",$E688="",$H688=""),"",SUMIFS(DATA_GOC!$H:$H,DATA_GOC!$A:$A,"BOM",DATA_GOC!$D:$D,$H688,DATA_GOC!$E:$E,$C688,DATA_GOC!$F:$F,"Xuất nội bộ từ téc",DATA_GOC!$B:$B,"&gt;="&amp;$D688,DATA_GOC!$B:$B,"&lt;="&amp;$E688))</f>
        <v>774</v>
      </c>
      <c r="J688" s="59">
        <f t="shared" si="28"/>
        <v>33.072</v>
      </c>
      <c r="K688" s="59">
        <f t="shared" si="29"/>
        <v>0</v>
      </c>
      <c r="L688" s="59">
        <f t="shared" si="30"/>
        <v>807.072</v>
      </c>
      <c r="M688" s="59">
        <f t="shared" si="31"/>
        <v>0.02545968883</v>
      </c>
    </row>
    <row r="689" ht="15.0" hidden="1" customHeight="1">
      <c r="A689" s="59">
        <f t="shared" si="20"/>
        <v>8</v>
      </c>
      <c r="B689" s="59" t="str">
        <f t="shared" si="21"/>
        <v>Đã chốt</v>
      </c>
      <c r="C689" s="59" t="str">
        <f t="shared" si="22"/>
        <v>Téc 2</v>
      </c>
      <c r="D689" s="45">
        <f t="shared" si="23"/>
        <v>46123</v>
      </c>
      <c r="E689" s="45">
        <f t="shared" si="24"/>
        <v>46142</v>
      </c>
      <c r="F689" s="133">
        <f t="shared" si="25"/>
        <v>4</v>
      </c>
      <c r="G689" s="133">
        <f t="shared" si="26"/>
        <v>2026</v>
      </c>
      <c r="H689" s="59" t="str">
        <f t="shared" si="27"/>
        <v>28H00669</v>
      </c>
      <c r="I689" s="59">
        <f>IF(OR($A689="",$C689="",$D689="",$E689="",$H689=""),"",SUMIFS(DATA_GOC!$H:$H,DATA_GOC!$A:$A,"BOM",DATA_GOC!$D:$D,$H689,DATA_GOC!$E:$E,$C689,DATA_GOC!$F:$F,"Xuất nội bộ từ téc",DATA_GOC!$B:$B,"&gt;="&amp;$D689,DATA_GOC!$B:$B,"&lt;="&amp;$E689))</f>
        <v>1057</v>
      </c>
      <c r="J689" s="59">
        <f t="shared" si="28"/>
        <v>45.164</v>
      </c>
      <c r="K689" s="59">
        <f t="shared" si="29"/>
        <v>0</v>
      </c>
      <c r="L689" s="59">
        <f t="shared" si="30"/>
        <v>1102.164</v>
      </c>
      <c r="M689" s="59">
        <f t="shared" si="31"/>
        <v>0.03476859314</v>
      </c>
    </row>
    <row r="690" ht="15.0" hidden="1" customHeight="1">
      <c r="A690" s="59">
        <f t="shared" si="20"/>
        <v>8</v>
      </c>
      <c r="B690" s="59" t="str">
        <f t="shared" si="21"/>
        <v>Đã chốt</v>
      </c>
      <c r="C690" s="59" t="str">
        <f t="shared" si="22"/>
        <v>Téc 2</v>
      </c>
      <c r="D690" s="45">
        <f t="shared" si="23"/>
        <v>46123</v>
      </c>
      <c r="E690" s="45">
        <f t="shared" si="24"/>
        <v>46142</v>
      </c>
      <c r="F690" s="133">
        <f t="shared" si="25"/>
        <v>4</v>
      </c>
      <c r="G690" s="133">
        <f t="shared" si="26"/>
        <v>2026</v>
      </c>
      <c r="H690" s="59" t="str">
        <f t="shared" si="27"/>
        <v>28H00680</v>
      </c>
      <c r="I690" s="59">
        <f>IF(OR($A690="",$C690="",$D690="",$E690="",$H690=""),"",SUMIFS(DATA_GOC!$H:$H,DATA_GOC!$A:$A,"BOM",DATA_GOC!$D:$D,$H690,DATA_GOC!$E:$E,$C690,DATA_GOC!$F:$F,"Xuất nội bộ từ téc",DATA_GOC!$B:$B,"&gt;="&amp;$D690,DATA_GOC!$B:$B,"&lt;="&amp;$E690))</f>
        <v>458</v>
      </c>
      <c r="J690" s="59">
        <f t="shared" si="28"/>
        <v>19.57</v>
      </c>
      <c r="K690" s="59">
        <f t="shared" si="29"/>
        <v>0</v>
      </c>
      <c r="L690" s="59">
        <f t="shared" si="30"/>
        <v>477.57</v>
      </c>
      <c r="M690" s="59">
        <f t="shared" si="31"/>
        <v>0.0150652939</v>
      </c>
    </row>
    <row r="691" ht="15.0" hidden="1" customHeight="1">
      <c r="A691" s="59">
        <f t="shared" si="20"/>
        <v>8</v>
      </c>
      <c r="B691" s="59" t="str">
        <f t="shared" si="21"/>
        <v>Đã chốt</v>
      </c>
      <c r="C691" s="59" t="str">
        <f t="shared" si="22"/>
        <v>Téc 2</v>
      </c>
      <c r="D691" s="45">
        <f t="shared" si="23"/>
        <v>46123</v>
      </c>
      <c r="E691" s="45">
        <f t="shared" si="24"/>
        <v>46142</v>
      </c>
      <c r="F691" s="133">
        <f t="shared" si="25"/>
        <v>4</v>
      </c>
      <c r="G691" s="133">
        <f t="shared" si="26"/>
        <v>2026</v>
      </c>
      <c r="H691" s="59" t="str">
        <f t="shared" si="27"/>
        <v>28H01070</v>
      </c>
      <c r="I691" s="59">
        <f>IF(OR($A691="",$C691="",$D691="",$E691="",$H691=""),"",SUMIFS(DATA_GOC!$H:$H,DATA_GOC!$A:$A,"BOM",DATA_GOC!$D:$D,$H691,DATA_GOC!$E:$E,$C691,DATA_GOC!$F:$F,"Xuất nội bộ từ téc",DATA_GOC!$B:$B,"&gt;="&amp;$D691,DATA_GOC!$B:$B,"&lt;="&amp;$E691))</f>
        <v>1383</v>
      </c>
      <c r="J691" s="59">
        <f t="shared" si="28"/>
        <v>59.094</v>
      </c>
      <c r="K691" s="59">
        <f t="shared" si="29"/>
        <v>0</v>
      </c>
      <c r="L691" s="59">
        <f t="shared" si="30"/>
        <v>1442.094</v>
      </c>
      <c r="M691" s="59">
        <f t="shared" si="31"/>
        <v>0.04549192461</v>
      </c>
    </row>
    <row r="692" ht="15.0" hidden="1" customHeight="1">
      <c r="A692" s="59">
        <f t="shared" si="20"/>
        <v>8</v>
      </c>
      <c r="B692" s="59" t="str">
        <f t="shared" si="21"/>
        <v>Đã chốt</v>
      </c>
      <c r="C692" s="59" t="str">
        <f t="shared" si="22"/>
        <v>Téc 2</v>
      </c>
      <c r="D692" s="45">
        <f t="shared" si="23"/>
        <v>46123</v>
      </c>
      <c r="E692" s="45">
        <f t="shared" si="24"/>
        <v>46142</v>
      </c>
      <c r="F692" s="133">
        <f t="shared" si="25"/>
        <v>4</v>
      </c>
      <c r="G692" s="133">
        <f t="shared" si="26"/>
        <v>2026</v>
      </c>
      <c r="H692" s="59" t="str">
        <f t="shared" si="27"/>
        <v>28H01364</v>
      </c>
      <c r="I692" s="59">
        <f>IF(OR($A692="",$C692="",$D692="",$E692="",$H692=""),"",SUMIFS(DATA_GOC!$H:$H,DATA_GOC!$A:$A,"BOM",DATA_GOC!$D:$D,$H692,DATA_GOC!$E:$E,$C692,DATA_GOC!$F:$F,"Xuất nội bộ từ téc",DATA_GOC!$B:$B,"&gt;="&amp;$D692,DATA_GOC!$B:$B,"&lt;="&amp;$E692))</f>
        <v>327</v>
      </c>
      <c r="J692" s="59">
        <f t="shared" si="28"/>
        <v>13.972</v>
      </c>
      <c r="K692" s="59">
        <f t="shared" si="29"/>
        <v>0</v>
      </c>
      <c r="L692" s="59">
        <f t="shared" si="30"/>
        <v>340.972</v>
      </c>
      <c r="M692" s="59">
        <f t="shared" si="31"/>
        <v>0.01075622512</v>
      </c>
    </row>
    <row r="693" ht="15.0" hidden="1" customHeight="1">
      <c r="A693" s="59">
        <f t="shared" si="20"/>
        <v>8</v>
      </c>
      <c r="B693" s="59" t="str">
        <f t="shared" si="21"/>
        <v>Đã chốt</v>
      </c>
      <c r="C693" s="59" t="str">
        <f t="shared" si="22"/>
        <v>Téc 2</v>
      </c>
      <c r="D693" s="45">
        <f t="shared" si="23"/>
        <v>46123</v>
      </c>
      <c r="E693" s="45">
        <f t="shared" si="24"/>
        <v>46142</v>
      </c>
      <c r="F693" s="133">
        <f t="shared" si="25"/>
        <v>4</v>
      </c>
      <c r="G693" s="133">
        <f t="shared" si="26"/>
        <v>2026</v>
      </c>
      <c r="H693" s="59" t="str">
        <f t="shared" si="27"/>
        <v>29E17269</v>
      </c>
      <c r="I693" s="59">
        <f>IF(OR($A693="",$C693="",$D693="",$E693="",$H693=""),"",SUMIFS(DATA_GOC!$H:$H,DATA_GOC!$A:$A,"BOM",DATA_GOC!$D:$D,$H693,DATA_GOC!$E:$E,$C693,DATA_GOC!$F:$F,"Xuất nội bộ từ téc",DATA_GOC!$B:$B,"&gt;="&amp;$D693,DATA_GOC!$B:$B,"&lt;="&amp;$E693))</f>
        <v>446</v>
      </c>
      <c r="J693" s="59">
        <f t="shared" si="28"/>
        <v>19.057</v>
      </c>
      <c r="K693" s="59">
        <f t="shared" si="29"/>
        <v>0</v>
      </c>
      <c r="L693" s="59">
        <f t="shared" si="30"/>
        <v>465.057</v>
      </c>
      <c r="M693" s="59">
        <f t="shared" si="31"/>
        <v>0.01467057005</v>
      </c>
    </row>
    <row r="694" ht="15.0" hidden="1" customHeight="1">
      <c r="A694" s="59">
        <f t="shared" si="20"/>
        <v>8</v>
      </c>
      <c r="B694" s="59" t="str">
        <f t="shared" si="21"/>
        <v>Đã chốt</v>
      </c>
      <c r="C694" s="59" t="str">
        <f t="shared" si="22"/>
        <v>Téc 2</v>
      </c>
      <c r="D694" s="45">
        <f t="shared" si="23"/>
        <v>46123</v>
      </c>
      <c r="E694" s="45">
        <f t="shared" si="24"/>
        <v>46142</v>
      </c>
      <c r="F694" s="133">
        <f t="shared" si="25"/>
        <v>4</v>
      </c>
      <c r="G694" s="133">
        <f t="shared" si="26"/>
        <v>2026</v>
      </c>
      <c r="H694" s="59" t="str">
        <f t="shared" si="27"/>
        <v>29E17273</v>
      </c>
      <c r="I694" s="59">
        <f>IF(OR($A694="",$C694="",$D694="",$E694="",$H694=""),"",SUMIFS(DATA_GOC!$H:$H,DATA_GOC!$A:$A,"BOM",DATA_GOC!$D:$D,$H694,DATA_GOC!$E:$E,$C694,DATA_GOC!$F:$F,"Xuất nội bộ từ téc",DATA_GOC!$B:$B,"&gt;="&amp;$D694,DATA_GOC!$B:$B,"&lt;="&amp;$E694))</f>
        <v>505</v>
      </c>
      <c r="J694" s="59">
        <f t="shared" si="28"/>
        <v>21.578</v>
      </c>
      <c r="K694" s="59">
        <f t="shared" si="29"/>
        <v>0</v>
      </c>
      <c r="L694" s="59">
        <f t="shared" si="30"/>
        <v>526.578</v>
      </c>
      <c r="M694" s="59">
        <f t="shared" si="31"/>
        <v>0.01661129568</v>
      </c>
    </row>
    <row r="695" ht="15.0" hidden="1" customHeight="1">
      <c r="A695" s="59">
        <f t="shared" si="20"/>
        <v>8</v>
      </c>
      <c r="B695" s="59" t="str">
        <f t="shared" si="21"/>
        <v>Đã chốt</v>
      </c>
      <c r="C695" s="59" t="str">
        <f t="shared" si="22"/>
        <v>Téc 2</v>
      </c>
      <c r="D695" s="45">
        <f t="shared" si="23"/>
        <v>46123</v>
      </c>
      <c r="E695" s="45">
        <f t="shared" si="24"/>
        <v>46142</v>
      </c>
      <c r="F695" s="133">
        <f t="shared" si="25"/>
        <v>4</v>
      </c>
      <c r="G695" s="133">
        <f t="shared" si="26"/>
        <v>2026</v>
      </c>
      <c r="H695" s="59" t="str">
        <f t="shared" si="27"/>
        <v>29E17410</v>
      </c>
      <c r="I695" s="59">
        <f>IF(OR($A695="",$C695="",$D695="",$E695="",$H695=""),"",SUMIFS(DATA_GOC!$H:$H,DATA_GOC!$A:$A,"BOM",DATA_GOC!$D:$D,$H695,DATA_GOC!$E:$E,$C695,DATA_GOC!$F:$F,"Xuất nội bộ từ téc",DATA_GOC!$B:$B,"&gt;="&amp;$D695,DATA_GOC!$B:$B,"&lt;="&amp;$E695))</f>
        <v>310</v>
      </c>
      <c r="J695" s="59">
        <f t="shared" si="28"/>
        <v>13.246</v>
      </c>
      <c r="K695" s="59">
        <f t="shared" si="29"/>
        <v>0</v>
      </c>
      <c r="L695" s="59">
        <f t="shared" si="30"/>
        <v>323.246</v>
      </c>
      <c r="M695" s="59">
        <f t="shared" si="31"/>
        <v>0.01019703299</v>
      </c>
    </row>
    <row r="696" ht="15.0" hidden="1" customHeight="1">
      <c r="A696" s="59">
        <f t="shared" si="20"/>
        <v>8</v>
      </c>
      <c r="B696" s="59" t="str">
        <f t="shared" si="21"/>
        <v>Đã chốt</v>
      </c>
      <c r="C696" s="59" t="str">
        <f t="shared" si="22"/>
        <v>Téc 2</v>
      </c>
      <c r="D696" s="45">
        <f t="shared" si="23"/>
        <v>46123</v>
      </c>
      <c r="E696" s="45">
        <f t="shared" si="24"/>
        <v>46142</v>
      </c>
      <c r="F696" s="133">
        <f t="shared" si="25"/>
        <v>4</v>
      </c>
      <c r="G696" s="133">
        <f t="shared" si="26"/>
        <v>2026</v>
      </c>
      <c r="H696" s="59" t="str">
        <f t="shared" si="27"/>
        <v>29E17417</v>
      </c>
      <c r="I696" s="59">
        <f>IF(OR($A696="",$C696="",$D696="",$E696="",$H696=""),"",SUMIFS(DATA_GOC!$H:$H,DATA_GOC!$A:$A,"BOM",DATA_GOC!$D:$D,$H696,DATA_GOC!$E:$E,$C696,DATA_GOC!$F:$F,"Xuất nội bộ từ téc",DATA_GOC!$B:$B,"&gt;="&amp;$D696,DATA_GOC!$B:$B,"&lt;="&amp;$E696))</f>
        <v>222</v>
      </c>
      <c r="J696" s="59">
        <f t="shared" si="28"/>
        <v>9.486</v>
      </c>
      <c r="K696" s="59">
        <f t="shared" si="29"/>
        <v>0</v>
      </c>
      <c r="L696" s="59">
        <f t="shared" si="30"/>
        <v>231.486</v>
      </c>
      <c r="M696" s="59">
        <f t="shared" si="31"/>
        <v>0.007302391369</v>
      </c>
    </row>
    <row r="697" ht="15.0" hidden="1" customHeight="1">
      <c r="A697" s="59">
        <f t="shared" si="20"/>
        <v>8</v>
      </c>
      <c r="B697" s="59" t="str">
        <f t="shared" si="21"/>
        <v>Đã chốt</v>
      </c>
      <c r="C697" s="59" t="str">
        <f t="shared" si="22"/>
        <v>Téc 2</v>
      </c>
      <c r="D697" s="45">
        <f t="shared" si="23"/>
        <v>46123</v>
      </c>
      <c r="E697" s="45">
        <f t="shared" si="24"/>
        <v>46142</v>
      </c>
      <c r="F697" s="133">
        <f t="shared" si="25"/>
        <v>4</v>
      </c>
      <c r="G697" s="133">
        <f t="shared" si="26"/>
        <v>2026</v>
      </c>
      <c r="H697" s="59" t="str">
        <f t="shared" si="27"/>
        <v>29E17539</v>
      </c>
      <c r="I697" s="59">
        <f>IF(OR($A697="",$C697="",$D697="",$E697="",$H697=""),"",SUMIFS(DATA_GOC!$H:$H,DATA_GOC!$A:$A,"BOM",DATA_GOC!$D:$D,$H697,DATA_GOC!$E:$E,$C697,DATA_GOC!$F:$F,"Xuất nội bộ từ téc",DATA_GOC!$B:$B,"&gt;="&amp;$D697,DATA_GOC!$B:$B,"&lt;="&amp;$E697))</f>
        <v>0</v>
      </c>
      <c r="J697" s="59">
        <f t="shared" si="28"/>
        <v>0</v>
      </c>
      <c r="K697" s="59">
        <f t="shared" si="29"/>
        <v>0</v>
      </c>
      <c r="L697" s="59">
        <f t="shared" si="30"/>
        <v>0</v>
      </c>
      <c r="M697" s="59">
        <f t="shared" si="31"/>
        <v>0</v>
      </c>
    </row>
    <row r="698" ht="15.0" hidden="1" customHeight="1">
      <c r="A698" s="59">
        <f t="shared" si="20"/>
        <v>8</v>
      </c>
      <c r="B698" s="59" t="str">
        <f t="shared" si="21"/>
        <v>Đã chốt</v>
      </c>
      <c r="C698" s="59" t="str">
        <f t="shared" si="22"/>
        <v>Téc 2</v>
      </c>
      <c r="D698" s="45">
        <f t="shared" si="23"/>
        <v>46123</v>
      </c>
      <c r="E698" s="45">
        <f t="shared" si="24"/>
        <v>46142</v>
      </c>
      <c r="F698" s="133">
        <f t="shared" si="25"/>
        <v>4</v>
      </c>
      <c r="G698" s="133">
        <f t="shared" si="26"/>
        <v>2026</v>
      </c>
      <c r="H698" s="59" t="str">
        <f t="shared" si="27"/>
        <v>29E18160</v>
      </c>
      <c r="I698" s="59">
        <f>IF(OR($A698="",$C698="",$D698="",$E698="",$H698=""),"",SUMIFS(DATA_GOC!$H:$H,DATA_GOC!$A:$A,"BOM",DATA_GOC!$D:$D,$H698,DATA_GOC!$E:$E,$C698,DATA_GOC!$F:$F,"Xuất nội bộ từ téc",DATA_GOC!$B:$B,"&gt;="&amp;$D698,DATA_GOC!$B:$B,"&lt;="&amp;$E698))</f>
        <v>445</v>
      </c>
      <c r="J698" s="59">
        <f t="shared" si="28"/>
        <v>19.014</v>
      </c>
      <c r="K698" s="59">
        <f t="shared" si="29"/>
        <v>0</v>
      </c>
      <c r="L698" s="59">
        <f t="shared" si="30"/>
        <v>464.014</v>
      </c>
      <c r="M698" s="59">
        <f t="shared" si="31"/>
        <v>0.01463767639</v>
      </c>
    </row>
    <row r="699" ht="15.0" hidden="1" customHeight="1">
      <c r="A699" s="59">
        <f t="shared" si="20"/>
        <v>8</v>
      </c>
      <c r="B699" s="59" t="str">
        <f t="shared" si="21"/>
        <v>Đã chốt</v>
      </c>
      <c r="C699" s="59" t="str">
        <f t="shared" si="22"/>
        <v>Téc 2</v>
      </c>
      <c r="D699" s="45">
        <f t="shared" si="23"/>
        <v>46123</v>
      </c>
      <c r="E699" s="45">
        <f t="shared" si="24"/>
        <v>46142</v>
      </c>
      <c r="F699" s="133">
        <f t="shared" si="25"/>
        <v>4</v>
      </c>
      <c r="G699" s="133">
        <f t="shared" si="26"/>
        <v>2026</v>
      </c>
      <c r="H699" s="59" t="str">
        <f t="shared" si="27"/>
        <v>Công trình Asphalt</v>
      </c>
      <c r="I699" s="59">
        <f>IF(OR($A699="",$C699="",$D699="",$E699="",$H699=""),"",SUMIFS(DATA_GOC!$H:$H,DATA_GOC!$A:$A,"BOM",DATA_GOC!$D:$D,$H699,DATA_GOC!$E:$E,$C699,DATA_GOC!$F:$F,"Xuất nội bộ từ téc",DATA_GOC!$B:$B,"&gt;="&amp;$D699,DATA_GOC!$B:$B,"&lt;="&amp;$E699))</f>
        <v>0</v>
      </c>
      <c r="J699" s="59">
        <f t="shared" si="28"/>
        <v>0</v>
      </c>
      <c r="K699" s="59">
        <f t="shared" si="29"/>
        <v>0</v>
      </c>
      <c r="L699" s="59">
        <f t="shared" si="30"/>
        <v>0</v>
      </c>
      <c r="M699" s="59">
        <f t="shared" si="31"/>
        <v>0</v>
      </c>
    </row>
    <row r="700" ht="15.0" hidden="1" customHeight="1">
      <c r="A700" s="59">
        <f t="shared" si="20"/>
        <v>8</v>
      </c>
      <c r="B700" s="59" t="str">
        <f t="shared" si="21"/>
        <v>Đã chốt</v>
      </c>
      <c r="C700" s="59" t="str">
        <f t="shared" si="22"/>
        <v>Téc 2</v>
      </c>
      <c r="D700" s="45">
        <f t="shared" si="23"/>
        <v>46123</v>
      </c>
      <c r="E700" s="45">
        <f t="shared" si="24"/>
        <v>46142</v>
      </c>
      <c r="F700" s="133">
        <f t="shared" si="25"/>
        <v>4</v>
      </c>
      <c r="G700" s="133">
        <f t="shared" si="26"/>
        <v>2026</v>
      </c>
      <c r="H700" s="59" t="str">
        <f t="shared" si="27"/>
        <v>LG53F</v>
      </c>
      <c r="I700" s="59">
        <f>IF(OR($A700="",$C700="",$D700="",$E700="",$H700=""),"",SUMIFS(DATA_GOC!$H:$H,DATA_GOC!$A:$A,"BOM",DATA_GOC!$D:$D,$H700,DATA_GOC!$E:$E,$C700,DATA_GOC!$F:$F,"Xuất nội bộ từ téc",DATA_GOC!$B:$B,"&gt;="&amp;$D700,DATA_GOC!$B:$B,"&lt;="&amp;$E700))</f>
        <v>0</v>
      </c>
      <c r="J700" s="59">
        <f t="shared" si="28"/>
        <v>0</v>
      </c>
      <c r="K700" s="59">
        <f t="shared" si="29"/>
        <v>0</v>
      </c>
      <c r="L700" s="59">
        <f t="shared" si="30"/>
        <v>0</v>
      </c>
      <c r="M700" s="59">
        <f t="shared" si="31"/>
        <v>0</v>
      </c>
    </row>
    <row r="701" ht="15.0" hidden="1" customHeight="1">
      <c r="A701" s="59">
        <f t="shared" si="20"/>
        <v>8</v>
      </c>
      <c r="B701" s="59" t="str">
        <f t="shared" si="21"/>
        <v>Đã chốt</v>
      </c>
      <c r="C701" s="59" t="str">
        <f t="shared" si="22"/>
        <v>Téc 2</v>
      </c>
      <c r="D701" s="45">
        <f t="shared" si="23"/>
        <v>46123</v>
      </c>
      <c r="E701" s="45">
        <f t="shared" si="24"/>
        <v>46142</v>
      </c>
      <c r="F701" s="133">
        <f t="shared" si="25"/>
        <v>4</v>
      </c>
      <c r="G701" s="133">
        <f t="shared" si="26"/>
        <v>2026</v>
      </c>
      <c r="H701" s="59" t="str">
        <f t="shared" si="27"/>
        <v>Máy phát điện</v>
      </c>
      <c r="I701" s="59">
        <f>IF(OR($A701="",$C701="",$D701="",$E701="",$H701=""),"",SUMIFS(DATA_GOC!$H:$H,DATA_GOC!$A:$A,"BOM",DATA_GOC!$D:$D,$H701,DATA_GOC!$E:$E,$C701,DATA_GOC!$F:$F,"Xuất nội bộ từ téc",DATA_GOC!$B:$B,"&gt;="&amp;$D701,DATA_GOC!$B:$B,"&lt;="&amp;$E701))</f>
        <v>120</v>
      </c>
      <c r="J701" s="59">
        <f t="shared" si="28"/>
        <v>5.127</v>
      </c>
      <c r="K701" s="59">
        <f t="shared" si="29"/>
        <v>0</v>
      </c>
      <c r="L701" s="59">
        <f t="shared" si="30"/>
        <v>125.127</v>
      </c>
      <c r="M701" s="59">
        <f t="shared" si="31"/>
        <v>0.003947238578</v>
      </c>
    </row>
    <row r="702" ht="15.0" hidden="1" customHeight="1">
      <c r="A702" s="59">
        <f t="shared" si="20"/>
        <v>8</v>
      </c>
      <c r="B702" s="59" t="str">
        <f t="shared" si="21"/>
        <v>Đã chốt</v>
      </c>
      <c r="C702" s="59" t="str">
        <f t="shared" si="22"/>
        <v>Téc 2</v>
      </c>
      <c r="D702" s="45">
        <f t="shared" si="23"/>
        <v>46123</v>
      </c>
      <c r="E702" s="45">
        <f t="shared" si="24"/>
        <v>46142</v>
      </c>
      <c r="F702" s="133">
        <f t="shared" si="25"/>
        <v>4</v>
      </c>
      <c r="G702" s="133">
        <f t="shared" si="26"/>
        <v>2026</v>
      </c>
      <c r="H702" s="59" t="str">
        <f t="shared" si="27"/>
        <v>Máy rải thảm</v>
      </c>
      <c r="I702" s="59">
        <f>IF(OR($A702="",$C702="",$D702="",$E702="",$H702=""),"",SUMIFS(DATA_GOC!$H:$H,DATA_GOC!$A:$A,"BOM",DATA_GOC!$D:$D,$H702,DATA_GOC!$E:$E,$C702,DATA_GOC!$F:$F,"Xuất nội bộ từ téc",DATA_GOC!$B:$B,"&gt;="&amp;$D702,DATA_GOC!$B:$B,"&lt;="&amp;$E702))</f>
        <v>0</v>
      </c>
      <c r="J702" s="59">
        <f t="shared" si="28"/>
        <v>0</v>
      </c>
      <c r="K702" s="59">
        <f t="shared" si="29"/>
        <v>0</v>
      </c>
      <c r="L702" s="59">
        <f t="shared" si="30"/>
        <v>0</v>
      </c>
      <c r="M702" s="59">
        <f t="shared" si="31"/>
        <v>0</v>
      </c>
    </row>
    <row r="703" ht="15.0" hidden="1" customHeight="1">
      <c r="A703" s="59">
        <f t="shared" si="20"/>
        <v>8</v>
      </c>
      <c r="B703" s="59" t="str">
        <f t="shared" si="21"/>
        <v>Đã chốt</v>
      </c>
      <c r="C703" s="59" t="str">
        <f t="shared" si="22"/>
        <v>Téc 2</v>
      </c>
      <c r="D703" s="45">
        <f t="shared" si="23"/>
        <v>46123</v>
      </c>
      <c r="E703" s="45">
        <f t="shared" si="24"/>
        <v>46142</v>
      </c>
      <c r="F703" s="133">
        <f t="shared" si="25"/>
        <v>4</v>
      </c>
      <c r="G703" s="133">
        <f t="shared" si="26"/>
        <v>2026</v>
      </c>
      <c r="H703" s="59" t="str">
        <f t="shared" si="27"/>
        <v>Xúc Đào</v>
      </c>
      <c r="I703" s="59">
        <f>IF(OR($A703="",$C703="",$D703="",$E703="",$H703=""),"",SUMIFS(DATA_GOC!$H:$H,DATA_GOC!$A:$A,"BOM",DATA_GOC!$D:$D,$H703,DATA_GOC!$E:$E,$C703,DATA_GOC!$F:$F,"Xuất nội bộ từ téc",DATA_GOC!$B:$B,"&gt;="&amp;$D703,DATA_GOC!$B:$B,"&lt;="&amp;$E703))</f>
        <v>0</v>
      </c>
      <c r="J703" s="59">
        <f t="shared" si="28"/>
        <v>0</v>
      </c>
      <c r="K703" s="59">
        <f t="shared" si="29"/>
        <v>0</v>
      </c>
      <c r="L703" s="59">
        <f t="shared" si="30"/>
        <v>0</v>
      </c>
      <c r="M703" s="59">
        <f t="shared" si="31"/>
        <v>0</v>
      </c>
    </row>
    <row r="704" ht="15.0" hidden="1" customHeight="1">
      <c r="A704" s="59">
        <f t="shared" si="20"/>
        <v>8</v>
      </c>
      <c r="B704" s="59" t="str">
        <f t="shared" si="21"/>
        <v>Đã chốt</v>
      </c>
      <c r="C704" s="59" t="str">
        <f t="shared" si="22"/>
        <v>Téc 2</v>
      </c>
      <c r="D704" s="45">
        <f t="shared" si="23"/>
        <v>46123</v>
      </c>
      <c r="E704" s="45">
        <f t="shared" si="24"/>
        <v>46142</v>
      </c>
      <c r="F704" s="133">
        <f t="shared" si="25"/>
        <v>4</v>
      </c>
      <c r="G704" s="133">
        <f t="shared" si="26"/>
        <v>2026</v>
      </c>
      <c r="H704" s="59" t="str">
        <f t="shared" si="27"/>
        <v>Xúclật asphalt</v>
      </c>
      <c r="I704" s="59">
        <f>IF(OR($A704="",$C704="",$D704="",$E704="",$H704=""),"",SUMIFS(DATA_GOC!$H:$H,DATA_GOC!$A:$A,"BOM",DATA_GOC!$D:$D,$H704,DATA_GOC!$E:$E,$C704,DATA_GOC!$F:$F,"Xuất nội bộ từ téc",DATA_GOC!$B:$B,"&gt;="&amp;$D704,DATA_GOC!$B:$B,"&lt;="&amp;$E704))</f>
        <v>120</v>
      </c>
      <c r="J704" s="59">
        <f t="shared" si="28"/>
        <v>5.127</v>
      </c>
      <c r="K704" s="59">
        <f t="shared" si="29"/>
        <v>0</v>
      </c>
      <c r="L704" s="59">
        <f t="shared" si="30"/>
        <v>125.127</v>
      </c>
      <c r="M704" s="59">
        <f t="shared" si="31"/>
        <v>0.003947238578</v>
      </c>
    </row>
    <row r="705" ht="15.0" hidden="1" customHeight="1">
      <c r="A705" s="59">
        <f t="shared" si="20"/>
        <v>8</v>
      </c>
      <c r="B705" s="59" t="str">
        <f t="shared" si="21"/>
        <v>Đã chốt</v>
      </c>
      <c r="C705" s="59" t="str">
        <f t="shared" si="22"/>
        <v>Téc 2</v>
      </c>
      <c r="D705" s="45">
        <f t="shared" si="23"/>
        <v>46123</v>
      </c>
      <c r="E705" s="45">
        <f t="shared" si="24"/>
        <v>46142</v>
      </c>
      <c r="F705" s="133">
        <f t="shared" si="25"/>
        <v>4</v>
      </c>
      <c r="G705" s="133">
        <f t="shared" si="26"/>
        <v>2026</v>
      </c>
      <c r="H705" s="59" t="str">
        <f t="shared" si="27"/>
        <v>Xúclật855H</v>
      </c>
      <c r="I705" s="59">
        <f>IF(OR($A705="",$C705="",$D705="",$E705="",$H705=""),"",SUMIFS(DATA_GOC!$H:$H,DATA_GOC!$A:$A,"BOM",DATA_GOC!$D:$D,$H705,DATA_GOC!$E:$E,$C705,DATA_GOC!$F:$F,"Xuất nội bộ từ téc",DATA_GOC!$B:$B,"&gt;="&amp;$D705,DATA_GOC!$B:$B,"&lt;="&amp;$E705))</f>
        <v>718</v>
      </c>
      <c r="J705" s="59">
        <f t="shared" si="28"/>
        <v>30.679</v>
      </c>
      <c r="K705" s="59">
        <f t="shared" si="29"/>
        <v>0</v>
      </c>
      <c r="L705" s="59">
        <f t="shared" si="30"/>
        <v>748.679</v>
      </c>
      <c r="M705" s="59">
        <f t="shared" si="31"/>
        <v>0.02361764416</v>
      </c>
    </row>
    <row r="706" ht="15.0" hidden="1" customHeight="1">
      <c r="A706" s="59">
        <f t="shared" si="20"/>
        <v>8</v>
      </c>
      <c r="B706" s="59" t="str">
        <f t="shared" si="21"/>
        <v>Đã chốt</v>
      </c>
      <c r="C706" s="59" t="str">
        <f t="shared" si="22"/>
        <v>Téc 2</v>
      </c>
      <c r="D706" s="45">
        <f t="shared" si="23"/>
        <v>46123</v>
      </c>
      <c r="E706" s="45">
        <f t="shared" si="24"/>
        <v>46142</v>
      </c>
      <c r="F706" s="133">
        <f t="shared" si="25"/>
        <v>4</v>
      </c>
      <c r="G706" s="133">
        <f t="shared" si="26"/>
        <v>2026</v>
      </c>
      <c r="H706" s="59" t="str">
        <f t="shared" si="27"/>
        <v>Xúclật855N</v>
      </c>
      <c r="I706" s="59">
        <f>IF(OR($A706="",$C706="",$D706="",$E706="",$H706=""),"",SUMIFS(DATA_GOC!$H:$H,DATA_GOC!$A:$A,"BOM",DATA_GOC!$D:$D,$H706,DATA_GOC!$E:$E,$C706,DATA_GOC!$F:$F,"Xuất nội bộ từ téc",DATA_GOC!$B:$B,"&gt;="&amp;$D706,DATA_GOC!$B:$B,"&lt;="&amp;$E706))</f>
        <v>489</v>
      </c>
      <c r="J706" s="59">
        <f t="shared" si="28"/>
        <v>20.894</v>
      </c>
      <c r="K706" s="59">
        <f t="shared" si="29"/>
        <v>0</v>
      </c>
      <c r="L706" s="59">
        <f t="shared" si="30"/>
        <v>509.894</v>
      </c>
      <c r="M706" s="59">
        <f t="shared" si="31"/>
        <v>0.0160849972</v>
      </c>
    </row>
    <row r="707" ht="15.0" hidden="1" customHeight="1">
      <c r="A707" s="59">
        <f t="shared" si="20"/>
        <v>8</v>
      </c>
      <c r="B707" s="59" t="str">
        <f t="shared" si="21"/>
        <v>Đã chốt</v>
      </c>
      <c r="C707" s="59" t="str">
        <f t="shared" si="22"/>
        <v>Téc 2</v>
      </c>
      <c r="D707" s="45">
        <f t="shared" si="23"/>
        <v>46123</v>
      </c>
      <c r="E707" s="45">
        <f t="shared" si="24"/>
        <v>46142</v>
      </c>
      <c r="F707" s="133">
        <f t="shared" si="25"/>
        <v>4</v>
      </c>
      <c r="G707" s="133">
        <f t="shared" si="26"/>
        <v>2026</v>
      </c>
      <c r="H707" s="59" t="str">
        <f t="shared" si="27"/>
        <v>Cát nghiền</v>
      </c>
      <c r="I707" s="59">
        <f>IF(OR($A707="",$C707="",$D707="",$E707="",$H707=""),"",SUMIFS(DATA_GOC!$H:$H,DATA_GOC!$A:$A,"BOM",DATA_GOC!$D:$D,$H707,DATA_GOC!$E:$E,$C707,DATA_GOC!$F:$F,"Xuất nội bộ từ téc",DATA_GOC!$B:$B,"&gt;="&amp;$D707,DATA_GOC!$B:$B,"&lt;="&amp;$E707))</f>
        <v>0</v>
      </c>
      <c r="J707" s="59">
        <f t="shared" si="28"/>
        <v>0</v>
      </c>
      <c r="K707" s="59">
        <f t="shared" si="29"/>
        <v>0</v>
      </c>
      <c r="L707" s="59">
        <f t="shared" si="30"/>
        <v>0</v>
      </c>
      <c r="M707" s="59">
        <f t="shared" si="31"/>
        <v>0</v>
      </c>
    </row>
    <row r="708" ht="15.0" hidden="1" customHeight="1">
      <c r="A708" s="59">
        <f t="shared" si="20"/>
        <v>8</v>
      </c>
      <c r="B708" s="59" t="str">
        <f t="shared" si="21"/>
        <v>Đã chốt</v>
      </c>
      <c r="C708" s="59" t="str">
        <f t="shared" si="22"/>
        <v>Téc 2</v>
      </c>
      <c r="D708" s="45">
        <f t="shared" si="23"/>
        <v>46123</v>
      </c>
      <c r="E708" s="45">
        <f t="shared" si="24"/>
        <v>46142</v>
      </c>
      <c r="F708" s="133">
        <f t="shared" si="25"/>
        <v>4</v>
      </c>
      <c r="G708" s="133">
        <f t="shared" si="26"/>
        <v>2026</v>
      </c>
      <c r="H708" s="59" t="str">
        <f t="shared" si="27"/>
        <v>28C02973</v>
      </c>
      <c r="I708" s="59">
        <f>IF(OR($A708="",$C708="",$D708="",$E708="",$H708=""),"",SUMIFS(DATA_GOC!$H:$H,DATA_GOC!$A:$A,"BOM",DATA_GOC!$D:$D,$H708,DATA_GOC!$E:$E,$C708,DATA_GOC!$F:$F,"Xuất nội bộ từ téc",DATA_GOC!$B:$B,"&gt;="&amp;$D708,DATA_GOC!$B:$B,"&lt;="&amp;$E708))</f>
        <v>0</v>
      </c>
      <c r="J708" s="59">
        <f t="shared" si="28"/>
        <v>0</v>
      </c>
      <c r="K708" s="59">
        <f t="shared" si="29"/>
        <v>0</v>
      </c>
      <c r="L708" s="59">
        <f t="shared" si="30"/>
        <v>0</v>
      </c>
      <c r="M708" s="59">
        <f t="shared" si="31"/>
        <v>0</v>
      </c>
    </row>
    <row r="709" ht="15.0" hidden="1" customHeight="1">
      <c r="A709" s="59">
        <f t="shared" si="20"/>
        <v>8</v>
      </c>
      <c r="B709" s="59" t="str">
        <f t="shared" si="21"/>
        <v>Đã chốt</v>
      </c>
      <c r="C709" s="59" t="str">
        <f t="shared" si="22"/>
        <v>Téc 2</v>
      </c>
      <c r="D709" s="45">
        <f t="shared" si="23"/>
        <v>46123</v>
      </c>
      <c r="E709" s="45">
        <f t="shared" si="24"/>
        <v>46142</v>
      </c>
      <c r="F709" s="133">
        <f t="shared" si="25"/>
        <v>4</v>
      </c>
      <c r="G709" s="133">
        <f t="shared" si="26"/>
        <v>2026</v>
      </c>
      <c r="H709" s="59" t="str">
        <f t="shared" si="27"/>
        <v>28C03044</v>
      </c>
      <c r="I709" s="59">
        <f>IF(OR($A709="",$C709="",$D709="",$E709="",$H709=""),"",SUMIFS(DATA_GOC!$H:$H,DATA_GOC!$A:$A,"BOM",DATA_GOC!$D:$D,$H709,DATA_GOC!$E:$E,$C709,DATA_GOC!$F:$F,"Xuất nội bộ từ téc",DATA_GOC!$B:$B,"&gt;="&amp;$D709,DATA_GOC!$B:$B,"&lt;="&amp;$E709))</f>
        <v>0</v>
      </c>
      <c r="J709" s="59">
        <f t="shared" si="28"/>
        <v>0</v>
      </c>
      <c r="K709" s="59">
        <f t="shared" si="29"/>
        <v>0</v>
      </c>
      <c r="L709" s="59">
        <f t="shared" si="30"/>
        <v>0</v>
      </c>
      <c r="M709" s="59">
        <f t="shared" si="31"/>
        <v>0</v>
      </c>
    </row>
    <row r="710" ht="15.0" hidden="1" customHeight="1">
      <c r="A710" s="59">
        <f t="shared" si="20"/>
        <v>8</v>
      </c>
      <c r="B710" s="59" t="str">
        <f t="shared" si="21"/>
        <v>Đã chốt</v>
      </c>
      <c r="C710" s="59" t="str">
        <f t="shared" si="22"/>
        <v>Téc 2</v>
      </c>
      <c r="D710" s="45">
        <f t="shared" si="23"/>
        <v>46123</v>
      </c>
      <c r="E710" s="45">
        <f t="shared" si="24"/>
        <v>46142</v>
      </c>
      <c r="F710" s="133">
        <f t="shared" si="25"/>
        <v>4</v>
      </c>
      <c r="G710" s="133">
        <f t="shared" si="26"/>
        <v>2026</v>
      </c>
      <c r="H710" s="59" t="str">
        <f t="shared" si="27"/>
        <v>Máy lu lốp</v>
      </c>
      <c r="I710" s="59">
        <f>IF(OR($A710="",$C710="",$D710="",$E710="",$H710=""),"",SUMIFS(DATA_GOC!$H:$H,DATA_GOC!$A:$A,"BOM",DATA_GOC!$D:$D,$H710,DATA_GOC!$E:$E,$C710,DATA_GOC!$F:$F,"Xuất nội bộ từ téc",DATA_GOC!$B:$B,"&gt;="&amp;$D710,DATA_GOC!$B:$B,"&lt;="&amp;$E710))</f>
        <v>0</v>
      </c>
      <c r="J710" s="59">
        <f t="shared" si="28"/>
        <v>0</v>
      </c>
      <c r="K710" s="59">
        <f t="shared" si="29"/>
        <v>0</v>
      </c>
      <c r="L710" s="59">
        <f t="shared" si="30"/>
        <v>0</v>
      </c>
      <c r="M710" s="59">
        <f t="shared" si="31"/>
        <v>0</v>
      </c>
    </row>
    <row r="711" ht="15.0" hidden="1" customHeight="1">
      <c r="A711" s="59">
        <f t="shared" si="20"/>
        <v>8</v>
      </c>
      <c r="B711" s="59" t="str">
        <f t="shared" si="21"/>
        <v>Đã chốt</v>
      </c>
      <c r="C711" s="59" t="str">
        <f t="shared" si="22"/>
        <v>Téc 2</v>
      </c>
      <c r="D711" s="45">
        <f t="shared" si="23"/>
        <v>46123</v>
      </c>
      <c r="E711" s="45">
        <f t="shared" si="24"/>
        <v>46142</v>
      </c>
      <c r="F711" s="133">
        <f t="shared" si="25"/>
        <v>4</v>
      </c>
      <c r="G711" s="133">
        <f t="shared" si="26"/>
        <v>2026</v>
      </c>
      <c r="H711" s="59" t="str">
        <f t="shared" si="27"/>
        <v>Xe 600148</v>
      </c>
      <c r="I711" s="59">
        <f>IF(OR($A711="",$C711="",$D711="",$E711="",$H711=""),"",SUMIFS(DATA_GOC!$H:$H,DATA_GOC!$A:$A,"BOM",DATA_GOC!$D:$D,$H711,DATA_GOC!$E:$E,$C711,DATA_GOC!$F:$F,"Xuất nội bộ từ téc",DATA_GOC!$B:$B,"&gt;="&amp;$D711,DATA_GOC!$B:$B,"&lt;="&amp;$E711))</f>
        <v>0</v>
      </c>
      <c r="J711" s="59">
        <f t="shared" si="28"/>
        <v>0</v>
      </c>
      <c r="K711" s="59">
        <f t="shared" si="29"/>
        <v>0</v>
      </c>
      <c r="L711" s="59">
        <f t="shared" si="30"/>
        <v>0</v>
      </c>
      <c r="M711" s="59">
        <f t="shared" si="31"/>
        <v>0</v>
      </c>
    </row>
    <row r="712" ht="15.0" hidden="1" customHeight="1">
      <c r="A712" s="59">
        <f t="shared" si="20"/>
        <v>8</v>
      </c>
      <c r="B712" s="59" t="str">
        <f t="shared" si="21"/>
        <v>Đã chốt</v>
      </c>
      <c r="C712" s="59" t="str">
        <f t="shared" si="22"/>
        <v>Téc 2</v>
      </c>
      <c r="D712" s="45">
        <f t="shared" si="23"/>
        <v>46123</v>
      </c>
      <c r="E712" s="45">
        <f t="shared" si="24"/>
        <v>46142</v>
      </c>
      <c r="F712" s="133">
        <f t="shared" si="25"/>
        <v>4</v>
      </c>
      <c r="G712" s="133">
        <f t="shared" si="26"/>
        <v>2026</v>
      </c>
      <c r="H712" s="59" t="str">
        <f t="shared" si="27"/>
        <v>Xe ben mới</v>
      </c>
      <c r="I712" s="59">
        <f>IF(OR($A712="",$C712="",$D712="",$E712="",$H712=""),"",SUMIFS(DATA_GOC!$H:$H,DATA_GOC!$A:$A,"BOM",DATA_GOC!$D:$D,$H712,DATA_GOC!$E:$E,$C712,DATA_GOC!$F:$F,"Xuất nội bộ từ téc",DATA_GOC!$B:$B,"&gt;="&amp;$D712,DATA_GOC!$B:$B,"&lt;="&amp;$E712))</f>
        <v>0</v>
      </c>
      <c r="J712" s="59">
        <f t="shared" si="28"/>
        <v>0</v>
      </c>
      <c r="K712" s="59">
        <f t="shared" si="29"/>
        <v>0</v>
      </c>
      <c r="L712" s="59">
        <f t="shared" si="30"/>
        <v>0</v>
      </c>
      <c r="M712" s="59">
        <f t="shared" si="31"/>
        <v>0</v>
      </c>
    </row>
    <row r="713" ht="15.0" hidden="1" customHeight="1">
      <c r="A713" s="59">
        <f t="shared" si="20"/>
        <v>9</v>
      </c>
      <c r="B713" s="59" t="str">
        <f t="shared" si="21"/>
        <v>Đã chốt</v>
      </c>
      <c r="C713" s="59" t="str">
        <f t="shared" si="22"/>
        <v>Téc 3</v>
      </c>
      <c r="D713" s="45">
        <f t="shared" si="23"/>
        <v>46023</v>
      </c>
      <c r="E713" s="45">
        <f t="shared" si="24"/>
        <v>46027</v>
      </c>
      <c r="F713" s="133">
        <f t="shared" si="25"/>
        <v>1</v>
      </c>
      <c r="G713" s="133">
        <f t="shared" si="26"/>
        <v>2026</v>
      </c>
      <c r="H713" s="59" t="str">
        <f t="shared" si="27"/>
        <v>19H09482</v>
      </c>
      <c r="I713" s="59">
        <f>IF(OR($A713="",$C713="",$D713="",$E713="",$H713=""),"",SUMIFS(DATA_GOC!$H:$H,DATA_GOC!$A:$A,"BOM",DATA_GOC!$D:$D,$H713,DATA_GOC!$E:$E,$C713,DATA_GOC!$F:$F,"Xuất nội bộ từ téc",DATA_GOC!$B:$B,"&gt;="&amp;$D713,DATA_GOC!$B:$B,"&lt;="&amp;$E713))</f>
        <v>0</v>
      </c>
      <c r="J713" s="59">
        <f t="shared" si="28"/>
        <v>0</v>
      </c>
      <c r="K713" s="59">
        <f t="shared" si="29"/>
        <v>0</v>
      </c>
      <c r="L713" s="59">
        <f t="shared" si="30"/>
        <v>0</v>
      </c>
      <c r="M713" s="59">
        <f t="shared" si="31"/>
        <v>0</v>
      </c>
    </row>
    <row r="714" ht="15.0" hidden="1" customHeight="1">
      <c r="A714" s="59">
        <f t="shared" si="20"/>
        <v>9</v>
      </c>
      <c r="B714" s="59" t="str">
        <f t="shared" si="21"/>
        <v>Đã chốt</v>
      </c>
      <c r="C714" s="59" t="str">
        <f t="shared" si="22"/>
        <v>Téc 3</v>
      </c>
      <c r="D714" s="45">
        <f t="shared" si="23"/>
        <v>46023</v>
      </c>
      <c r="E714" s="45">
        <f t="shared" si="24"/>
        <v>46027</v>
      </c>
      <c r="F714" s="133">
        <f t="shared" si="25"/>
        <v>1</v>
      </c>
      <c r="G714" s="133">
        <f t="shared" si="26"/>
        <v>2026</v>
      </c>
      <c r="H714" s="59" t="str">
        <f t="shared" si="27"/>
        <v>28A30696</v>
      </c>
      <c r="I714" s="59">
        <f>IF(OR($A714="",$C714="",$D714="",$E714="",$H714=""),"",SUMIFS(DATA_GOC!$H:$H,DATA_GOC!$A:$A,"BOM",DATA_GOC!$D:$D,$H714,DATA_GOC!$E:$E,$C714,DATA_GOC!$F:$F,"Xuất nội bộ từ téc",DATA_GOC!$B:$B,"&gt;="&amp;$D714,DATA_GOC!$B:$B,"&lt;="&amp;$E714))</f>
        <v>0</v>
      </c>
      <c r="J714" s="59">
        <f t="shared" si="28"/>
        <v>0</v>
      </c>
      <c r="K714" s="59">
        <f t="shared" si="29"/>
        <v>0</v>
      </c>
      <c r="L714" s="59">
        <f t="shared" si="30"/>
        <v>0</v>
      </c>
      <c r="M714" s="59">
        <f t="shared" si="31"/>
        <v>0</v>
      </c>
    </row>
    <row r="715" ht="15.0" hidden="1" customHeight="1">
      <c r="A715" s="59">
        <f t="shared" si="20"/>
        <v>9</v>
      </c>
      <c r="B715" s="59" t="str">
        <f t="shared" si="21"/>
        <v>Đã chốt</v>
      </c>
      <c r="C715" s="59" t="str">
        <f t="shared" si="22"/>
        <v>Téc 3</v>
      </c>
      <c r="D715" s="45">
        <f t="shared" si="23"/>
        <v>46023</v>
      </c>
      <c r="E715" s="45">
        <f t="shared" si="24"/>
        <v>46027</v>
      </c>
      <c r="F715" s="133">
        <f t="shared" si="25"/>
        <v>1</v>
      </c>
      <c r="G715" s="133">
        <f t="shared" si="26"/>
        <v>2026</v>
      </c>
      <c r="H715" s="59" t="str">
        <f t="shared" si="27"/>
        <v>28C00462</v>
      </c>
      <c r="I715" s="59">
        <f>IF(OR($A715="",$C715="",$D715="",$E715="",$H715=""),"",SUMIFS(DATA_GOC!$H:$H,DATA_GOC!$A:$A,"BOM",DATA_GOC!$D:$D,$H715,DATA_GOC!$E:$E,$C715,DATA_GOC!$F:$F,"Xuất nội bộ từ téc",DATA_GOC!$B:$B,"&gt;="&amp;$D715,DATA_GOC!$B:$B,"&lt;="&amp;$E715))</f>
        <v>45</v>
      </c>
      <c r="J715" s="59">
        <f t="shared" si="28"/>
        <v>3.203</v>
      </c>
      <c r="K715" s="59">
        <f t="shared" si="29"/>
        <v>0</v>
      </c>
      <c r="L715" s="59">
        <f t="shared" si="30"/>
        <v>48.203</v>
      </c>
      <c r="M715" s="59">
        <f t="shared" si="31"/>
        <v>0.008341056534</v>
      </c>
    </row>
    <row r="716" ht="15.0" hidden="1" customHeight="1">
      <c r="A716" s="59">
        <f t="shared" si="20"/>
        <v>9</v>
      </c>
      <c r="B716" s="59" t="str">
        <f t="shared" si="21"/>
        <v>Đã chốt</v>
      </c>
      <c r="C716" s="59" t="str">
        <f t="shared" si="22"/>
        <v>Téc 3</v>
      </c>
      <c r="D716" s="45">
        <f t="shared" si="23"/>
        <v>46023</v>
      </c>
      <c r="E716" s="45">
        <f t="shared" si="24"/>
        <v>46027</v>
      </c>
      <c r="F716" s="133">
        <f t="shared" si="25"/>
        <v>1</v>
      </c>
      <c r="G716" s="133">
        <f t="shared" si="26"/>
        <v>2026</v>
      </c>
      <c r="H716" s="59" t="str">
        <f t="shared" si="27"/>
        <v>28C01165</v>
      </c>
      <c r="I716" s="59">
        <f>IF(OR($A716="",$C716="",$D716="",$E716="",$H716=""),"",SUMIFS(DATA_GOC!$H:$H,DATA_GOC!$A:$A,"BOM",DATA_GOC!$D:$D,$H716,DATA_GOC!$E:$E,$C716,DATA_GOC!$F:$F,"Xuất nội bộ từ téc",DATA_GOC!$B:$B,"&gt;="&amp;$D716,DATA_GOC!$B:$B,"&lt;="&amp;$E716))</f>
        <v>157</v>
      </c>
      <c r="J716" s="59">
        <f t="shared" si="28"/>
        <v>11.175</v>
      </c>
      <c r="K716" s="59">
        <f t="shared" si="29"/>
        <v>0</v>
      </c>
      <c r="L716" s="59">
        <f t="shared" si="30"/>
        <v>168.175</v>
      </c>
      <c r="M716" s="59">
        <f t="shared" si="31"/>
        <v>0.02910101946</v>
      </c>
    </row>
    <row r="717" ht="15.0" hidden="1" customHeight="1">
      <c r="A717" s="59">
        <f t="shared" si="20"/>
        <v>9</v>
      </c>
      <c r="B717" s="59" t="str">
        <f t="shared" si="21"/>
        <v>Đã chốt</v>
      </c>
      <c r="C717" s="59" t="str">
        <f t="shared" si="22"/>
        <v>Téc 3</v>
      </c>
      <c r="D717" s="45">
        <f t="shared" si="23"/>
        <v>46023</v>
      </c>
      <c r="E717" s="45">
        <f t="shared" si="24"/>
        <v>46027</v>
      </c>
      <c r="F717" s="133">
        <f t="shared" si="25"/>
        <v>1</v>
      </c>
      <c r="G717" s="133">
        <f t="shared" si="26"/>
        <v>2026</v>
      </c>
      <c r="H717" s="59" t="str">
        <f t="shared" si="27"/>
        <v>28C01406</v>
      </c>
      <c r="I717" s="59">
        <f>IF(OR($A717="",$C717="",$D717="",$E717="",$H717=""),"",SUMIFS(DATA_GOC!$H:$H,DATA_GOC!$A:$A,"BOM",DATA_GOC!$D:$D,$H717,DATA_GOC!$E:$E,$C717,DATA_GOC!$F:$F,"Xuất nội bộ từ téc",DATA_GOC!$B:$B,"&gt;="&amp;$D717,DATA_GOC!$B:$B,"&lt;="&amp;$E717))</f>
        <v>0</v>
      </c>
      <c r="J717" s="59">
        <f t="shared" si="28"/>
        <v>0</v>
      </c>
      <c r="K717" s="59">
        <f t="shared" si="29"/>
        <v>0</v>
      </c>
      <c r="L717" s="59">
        <f t="shared" si="30"/>
        <v>0</v>
      </c>
      <c r="M717" s="59">
        <f t="shared" si="31"/>
        <v>0</v>
      </c>
    </row>
    <row r="718" ht="15.0" hidden="1" customHeight="1">
      <c r="A718" s="59">
        <f t="shared" si="20"/>
        <v>9</v>
      </c>
      <c r="B718" s="59" t="str">
        <f t="shared" si="21"/>
        <v>Đã chốt</v>
      </c>
      <c r="C718" s="59" t="str">
        <f t="shared" si="22"/>
        <v>Téc 3</v>
      </c>
      <c r="D718" s="45">
        <f t="shared" si="23"/>
        <v>46023</v>
      </c>
      <c r="E718" s="45">
        <f t="shared" si="24"/>
        <v>46027</v>
      </c>
      <c r="F718" s="133">
        <f t="shared" si="25"/>
        <v>1</v>
      </c>
      <c r="G718" s="133">
        <f t="shared" si="26"/>
        <v>2026</v>
      </c>
      <c r="H718" s="59" t="str">
        <f t="shared" si="27"/>
        <v>28C01544</v>
      </c>
      <c r="I718" s="59">
        <f>IF(OR($A718="",$C718="",$D718="",$E718="",$H718=""),"",SUMIFS(DATA_GOC!$H:$H,DATA_GOC!$A:$A,"BOM",DATA_GOC!$D:$D,$H718,DATA_GOC!$E:$E,$C718,DATA_GOC!$F:$F,"Xuất nội bộ từ téc",DATA_GOC!$B:$B,"&gt;="&amp;$D718,DATA_GOC!$B:$B,"&lt;="&amp;$E718))</f>
        <v>0</v>
      </c>
      <c r="J718" s="59">
        <f t="shared" si="28"/>
        <v>0</v>
      </c>
      <c r="K718" s="59">
        <f t="shared" si="29"/>
        <v>0</v>
      </c>
      <c r="L718" s="59">
        <f t="shared" si="30"/>
        <v>0</v>
      </c>
      <c r="M718" s="59">
        <f t="shared" si="31"/>
        <v>0</v>
      </c>
    </row>
    <row r="719" ht="15.0" hidden="1" customHeight="1">
      <c r="A719" s="59">
        <f t="shared" si="20"/>
        <v>9</v>
      </c>
      <c r="B719" s="59" t="str">
        <f t="shared" si="21"/>
        <v>Đã chốt</v>
      </c>
      <c r="C719" s="59" t="str">
        <f t="shared" si="22"/>
        <v>Téc 3</v>
      </c>
      <c r="D719" s="45">
        <f t="shared" si="23"/>
        <v>46023</v>
      </c>
      <c r="E719" s="45">
        <f t="shared" si="24"/>
        <v>46027</v>
      </c>
      <c r="F719" s="133">
        <f t="shared" si="25"/>
        <v>1</v>
      </c>
      <c r="G719" s="133">
        <f t="shared" si="26"/>
        <v>2026</v>
      </c>
      <c r="H719" s="59" t="str">
        <f t="shared" si="27"/>
        <v>28C01622</v>
      </c>
      <c r="I719" s="59">
        <f>IF(OR($A719="",$C719="",$D719="",$E719="",$H719=""),"",SUMIFS(DATA_GOC!$H:$H,DATA_GOC!$A:$A,"BOM",DATA_GOC!$D:$D,$H719,DATA_GOC!$E:$E,$C719,DATA_GOC!$F:$F,"Xuất nội bộ từ téc",DATA_GOC!$B:$B,"&gt;="&amp;$D719,DATA_GOC!$B:$B,"&lt;="&amp;$E719))</f>
        <v>380</v>
      </c>
      <c r="J719" s="59">
        <f t="shared" si="28"/>
        <v>27.047</v>
      </c>
      <c r="K719" s="59">
        <f t="shared" si="29"/>
        <v>0</v>
      </c>
      <c r="L719" s="59">
        <f t="shared" si="30"/>
        <v>407.047</v>
      </c>
      <c r="M719" s="59">
        <f t="shared" si="31"/>
        <v>0.07043558851</v>
      </c>
    </row>
    <row r="720" ht="15.0" hidden="1" customHeight="1">
      <c r="A720" s="59">
        <f t="shared" si="20"/>
        <v>9</v>
      </c>
      <c r="B720" s="59" t="str">
        <f t="shared" si="21"/>
        <v>Đã chốt</v>
      </c>
      <c r="C720" s="59" t="str">
        <f t="shared" si="22"/>
        <v>Téc 3</v>
      </c>
      <c r="D720" s="45">
        <f t="shared" si="23"/>
        <v>46023</v>
      </c>
      <c r="E720" s="45">
        <f t="shared" si="24"/>
        <v>46027</v>
      </c>
      <c r="F720" s="133">
        <f t="shared" si="25"/>
        <v>1</v>
      </c>
      <c r="G720" s="133">
        <f t="shared" si="26"/>
        <v>2026</v>
      </c>
      <c r="H720" s="59" t="str">
        <f t="shared" si="27"/>
        <v>28C01647</v>
      </c>
      <c r="I720" s="59">
        <f>IF(OR($A720="",$C720="",$D720="",$E720="",$H720=""),"",SUMIFS(DATA_GOC!$H:$H,DATA_GOC!$A:$A,"BOM",DATA_GOC!$D:$D,$H720,DATA_GOC!$E:$E,$C720,DATA_GOC!$F:$F,"Xuất nội bộ từ téc",DATA_GOC!$B:$B,"&gt;="&amp;$D720,DATA_GOC!$B:$B,"&lt;="&amp;$E720))</f>
        <v>170</v>
      </c>
      <c r="J720" s="59">
        <f t="shared" si="28"/>
        <v>12.1</v>
      </c>
      <c r="K720" s="59">
        <f t="shared" si="29"/>
        <v>0</v>
      </c>
      <c r="L720" s="59">
        <f t="shared" si="30"/>
        <v>182.1</v>
      </c>
      <c r="M720" s="59">
        <f t="shared" si="31"/>
        <v>0.03151065802</v>
      </c>
    </row>
    <row r="721" ht="15.0" hidden="1" customHeight="1">
      <c r="A721" s="59">
        <f t="shared" si="20"/>
        <v>9</v>
      </c>
      <c r="B721" s="59" t="str">
        <f t="shared" si="21"/>
        <v>Đã chốt</v>
      </c>
      <c r="C721" s="59" t="str">
        <f t="shared" si="22"/>
        <v>Téc 3</v>
      </c>
      <c r="D721" s="45">
        <f t="shared" si="23"/>
        <v>46023</v>
      </c>
      <c r="E721" s="45">
        <f t="shared" si="24"/>
        <v>46027</v>
      </c>
      <c r="F721" s="133">
        <f t="shared" si="25"/>
        <v>1</v>
      </c>
      <c r="G721" s="133">
        <f t="shared" si="26"/>
        <v>2026</v>
      </c>
      <c r="H721" s="59" t="str">
        <f t="shared" si="27"/>
        <v>28C01731</v>
      </c>
      <c r="I721" s="59">
        <f>IF(OR($A721="",$C721="",$D721="",$E721="",$H721=""),"",SUMIFS(DATA_GOC!$H:$H,DATA_GOC!$A:$A,"BOM",DATA_GOC!$D:$D,$H721,DATA_GOC!$E:$E,$C721,DATA_GOC!$F:$F,"Xuất nội bộ từ téc",DATA_GOC!$B:$B,"&gt;="&amp;$D721,DATA_GOC!$B:$B,"&lt;="&amp;$E721))</f>
        <v>0</v>
      </c>
      <c r="J721" s="59">
        <f t="shared" si="28"/>
        <v>0</v>
      </c>
      <c r="K721" s="59">
        <f t="shared" si="29"/>
        <v>0</v>
      </c>
      <c r="L721" s="59">
        <f t="shared" si="30"/>
        <v>0</v>
      </c>
      <c r="M721" s="59">
        <f t="shared" si="31"/>
        <v>0</v>
      </c>
    </row>
    <row r="722" ht="15.0" hidden="1" customHeight="1">
      <c r="A722" s="59">
        <f t="shared" si="20"/>
        <v>9</v>
      </c>
      <c r="B722" s="59" t="str">
        <f t="shared" si="21"/>
        <v>Đã chốt</v>
      </c>
      <c r="C722" s="59" t="str">
        <f t="shared" si="22"/>
        <v>Téc 3</v>
      </c>
      <c r="D722" s="45">
        <f t="shared" si="23"/>
        <v>46023</v>
      </c>
      <c r="E722" s="45">
        <f t="shared" si="24"/>
        <v>46027</v>
      </c>
      <c r="F722" s="133">
        <f t="shared" si="25"/>
        <v>1</v>
      </c>
      <c r="G722" s="133">
        <f t="shared" si="26"/>
        <v>2026</v>
      </c>
      <c r="H722" s="59" t="str">
        <f t="shared" si="27"/>
        <v>28C01743</v>
      </c>
      <c r="I722" s="59">
        <f>IF(OR($A722="",$C722="",$D722="",$E722="",$H722=""),"",SUMIFS(DATA_GOC!$H:$H,DATA_GOC!$A:$A,"BOM",DATA_GOC!$D:$D,$H722,DATA_GOC!$E:$E,$C722,DATA_GOC!$F:$F,"Xuất nội bộ từ téc",DATA_GOC!$B:$B,"&gt;="&amp;$D722,DATA_GOC!$B:$B,"&lt;="&amp;$E722))</f>
        <v>0</v>
      </c>
      <c r="J722" s="59">
        <f t="shared" si="28"/>
        <v>0</v>
      </c>
      <c r="K722" s="59">
        <f t="shared" si="29"/>
        <v>0</v>
      </c>
      <c r="L722" s="59">
        <f t="shared" si="30"/>
        <v>0</v>
      </c>
      <c r="M722" s="59">
        <f t="shared" si="31"/>
        <v>0</v>
      </c>
    </row>
    <row r="723" ht="15.0" hidden="1" customHeight="1">
      <c r="A723" s="59">
        <f t="shared" si="20"/>
        <v>9</v>
      </c>
      <c r="B723" s="59" t="str">
        <f t="shared" si="21"/>
        <v>Đã chốt</v>
      </c>
      <c r="C723" s="59" t="str">
        <f t="shared" si="22"/>
        <v>Téc 3</v>
      </c>
      <c r="D723" s="45">
        <f t="shared" si="23"/>
        <v>46023</v>
      </c>
      <c r="E723" s="45">
        <f t="shared" si="24"/>
        <v>46027</v>
      </c>
      <c r="F723" s="133">
        <f t="shared" si="25"/>
        <v>1</v>
      </c>
      <c r="G723" s="133">
        <f t="shared" si="26"/>
        <v>2026</v>
      </c>
      <c r="H723" s="59" t="str">
        <f t="shared" si="27"/>
        <v>28C02106</v>
      </c>
      <c r="I723" s="59">
        <f>IF(OR($A723="",$C723="",$D723="",$E723="",$H723=""),"",SUMIFS(DATA_GOC!$H:$H,DATA_GOC!$A:$A,"BOM",DATA_GOC!$D:$D,$H723,DATA_GOC!$E:$E,$C723,DATA_GOC!$F:$F,"Xuất nội bộ từ téc",DATA_GOC!$B:$B,"&gt;="&amp;$D723,DATA_GOC!$B:$B,"&lt;="&amp;$E723))</f>
        <v>105</v>
      </c>
      <c r="J723" s="59">
        <f t="shared" si="28"/>
        <v>7.474</v>
      </c>
      <c r="K723" s="59">
        <f t="shared" si="29"/>
        <v>0</v>
      </c>
      <c r="L723" s="59">
        <f t="shared" si="30"/>
        <v>112.474</v>
      </c>
      <c r="M723" s="59">
        <f t="shared" si="31"/>
        <v>0.01946246525</v>
      </c>
    </row>
    <row r="724" ht="15.0" hidden="1" customHeight="1">
      <c r="A724" s="59">
        <f t="shared" si="20"/>
        <v>9</v>
      </c>
      <c r="B724" s="59" t="str">
        <f t="shared" si="21"/>
        <v>Đã chốt</v>
      </c>
      <c r="C724" s="59" t="str">
        <f t="shared" si="22"/>
        <v>Téc 3</v>
      </c>
      <c r="D724" s="45">
        <f t="shared" si="23"/>
        <v>46023</v>
      </c>
      <c r="E724" s="45">
        <f t="shared" si="24"/>
        <v>46027</v>
      </c>
      <c r="F724" s="133">
        <f t="shared" si="25"/>
        <v>1</v>
      </c>
      <c r="G724" s="133">
        <f t="shared" si="26"/>
        <v>2026</v>
      </c>
      <c r="H724" s="59" t="str">
        <f t="shared" si="27"/>
        <v>28C02410</v>
      </c>
      <c r="I724" s="59">
        <f>IF(OR($A724="",$C724="",$D724="",$E724="",$H724=""),"",SUMIFS(DATA_GOC!$H:$H,DATA_GOC!$A:$A,"BOM",DATA_GOC!$D:$D,$H724,DATA_GOC!$E:$E,$C724,DATA_GOC!$F:$F,"Xuất nội bộ từ téc",DATA_GOC!$B:$B,"&gt;="&amp;$D724,DATA_GOC!$B:$B,"&lt;="&amp;$E724))</f>
        <v>130</v>
      </c>
      <c r="J724" s="59">
        <f t="shared" si="28"/>
        <v>9.253</v>
      </c>
      <c r="K724" s="59">
        <f t="shared" si="29"/>
        <v>0</v>
      </c>
      <c r="L724" s="59">
        <f t="shared" si="30"/>
        <v>139.253</v>
      </c>
      <c r="M724" s="59">
        <f t="shared" si="31"/>
        <v>0.02409638554</v>
      </c>
    </row>
    <row r="725" ht="15.0" hidden="1" customHeight="1">
      <c r="A725" s="59">
        <f t="shared" si="20"/>
        <v>9</v>
      </c>
      <c r="B725" s="59" t="str">
        <f t="shared" si="21"/>
        <v>Đã chốt</v>
      </c>
      <c r="C725" s="59" t="str">
        <f t="shared" si="22"/>
        <v>Téc 3</v>
      </c>
      <c r="D725" s="45">
        <f t="shared" si="23"/>
        <v>46023</v>
      </c>
      <c r="E725" s="45">
        <f t="shared" si="24"/>
        <v>46027</v>
      </c>
      <c r="F725" s="133">
        <f t="shared" si="25"/>
        <v>1</v>
      </c>
      <c r="G725" s="133">
        <f t="shared" si="26"/>
        <v>2026</v>
      </c>
      <c r="H725" s="59" t="str">
        <f t="shared" si="27"/>
        <v>28C02545</v>
      </c>
      <c r="I725" s="59">
        <f>IF(OR($A725="",$C725="",$D725="",$E725="",$H725=""),"",SUMIFS(DATA_GOC!$H:$H,DATA_GOC!$A:$A,"BOM",DATA_GOC!$D:$D,$H725,DATA_GOC!$E:$E,$C725,DATA_GOC!$F:$F,"Xuất nội bộ từ téc",DATA_GOC!$B:$B,"&gt;="&amp;$D725,DATA_GOC!$B:$B,"&lt;="&amp;$E725))</f>
        <v>160</v>
      </c>
      <c r="J725" s="59">
        <f t="shared" si="28"/>
        <v>11.388</v>
      </c>
      <c r="K725" s="59">
        <f t="shared" si="29"/>
        <v>0</v>
      </c>
      <c r="L725" s="59">
        <f t="shared" si="30"/>
        <v>171.388</v>
      </c>
      <c r="M725" s="59">
        <f t="shared" si="31"/>
        <v>0.0296570899</v>
      </c>
    </row>
    <row r="726" ht="15.0" hidden="1" customHeight="1">
      <c r="A726" s="59">
        <f t="shared" si="20"/>
        <v>9</v>
      </c>
      <c r="B726" s="59" t="str">
        <f t="shared" si="21"/>
        <v>Đã chốt</v>
      </c>
      <c r="C726" s="59" t="str">
        <f t="shared" si="22"/>
        <v>Téc 3</v>
      </c>
      <c r="D726" s="45">
        <f t="shared" si="23"/>
        <v>46023</v>
      </c>
      <c r="E726" s="45">
        <f t="shared" si="24"/>
        <v>46027</v>
      </c>
      <c r="F726" s="133">
        <f t="shared" si="25"/>
        <v>1</v>
      </c>
      <c r="G726" s="133">
        <f t="shared" si="26"/>
        <v>2026</v>
      </c>
      <c r="H726" s="59" t="str">
        <f t="shared" si="27"/>
        <v>28C02574</v>
      </c>
      <c r="I726" s="59">
        <f>IF(OR($A726="",$C726="",$D726="",$E726="",$H726=""),"",SUMIFS(DATA_GOC!$H:$H,DATA_GOC!$A:$A,"BOM",DATA_GOC!$D:$D,$H726,DATA_GOC!$E:$E,$C726,DATA_GOC!$F:$F,"Xuất nội bộ từ téc",DATA_GOC!$B:$B,"&gt;="&amp;$D726,DATA_GOC!$B:$B,"&lt;="&amp;$E726))</f>
        <v>0</v>
      </c>
      <c r="J726" s="59">
        <f t="shared" si="28"/>
        <v>0</v>
      </c>
      <c r="K726" s="59">
        <f t="shared" si="29"/>
        <v>0</v>
      </c>
      <c r="L726" s="59">
        <f t="shared" si="30"/>
        <v>0</v>
      </c>
      <c r="M726" s="59">
        <f t="shared" si="31"/>
        <v>0</v>
      </c>
    </row>
    <row r="727" ht="15.0" hidden="1" customHeight="1">
      <c r="A727" s="59">
        <f t="shared" si="20"/>
        <v>9</v>
      </c>
      <c r="B727" s="59" t="str">
        <f t="shared" si="21"/>
        <v>Đã chốt</v>
      </c>
      <c r="C727" s="59" t="str">
        <f t="shared" si="22"/>
        <v>Téc 3</v>
      </c>
      <c r="D727" s="45">
        <f t="shared" si="23"/>
        <v>46023</v>
      </c>
      <c r="E727" s="45">
        <f t="shared" si="24"/>
        <v>46027</v>
      </c>
      <c r="F727" s="133">
        <f t="shared" si="25"/>
        <v>1</v>
      </c>
      <c r="G727" s="133">
        <f t="shared" si="26"/>
        <v>2026</v>
      </c>
      <c r="H727" s="59" t="str">
        <f t="shared" si="27"/>
        <v>28C02770</v>
      </c>
      <c r="I727" s="59">
        <f>IF(OR($A727="",$C727="",$D727="",$E727="",$H727=""),"",SUMIFS(DATA_GOC!$H:$H,DATA_GOC!$A:$A,"BOM",DATA_GOC!$D:$D,$H727,DATA_GOC!$E:$E,$C727,DATA_GOC!$F:$F,"Xuất nội bộ từ téc",DATA_GOC!$B:$B,"&gt;="&amp;$D727,DATA_GOC!$B:$B,"&lt;="&amp;$E727))</f>
        <v>0</v>
      </c>
      <c r="J727" s="59">
        <f t="shared" si="28"/>
        <v>0</v>
      </c>
      <c r="K727" s="59">
        <f t="shared" si="29"/>
        <v>0</v>
      </c>
      <c r="L727" s="59">
        <f t="shared" si="30"/>
        <v>0</v>
      </c>
      <c r="M727" s="59">
        <f t="shared" si="31"/>
        <v>0</v>
      </c>
    </row>
    <row r="728" ht="15.0" hidden="1" customHeight="1">
      <c r="A728" s="59">
        <f t="shared" si="20"/>
        <v>9</v>
      </c>
      <c r="B728" s="59" t="str">
        <f t="shared" si="21"/>
        <v>Đã chốt</v>
      </c>
      <c r="C728" s="59" t="str">
        <f t="shared" si="22"/>
        <v>Téc 3</v>
      </c>
      <c r="D728" s="45">
        <f t="shared" si="23"/>
        <v>46023</v>
      </c>
      <c r="E728" s="45">
        <f t="shared" si="24"/>
        <v>46027</v>
      </c>
      <c r="F728" s="133">
        <f t="shared" si="25"/>
        <v>1</v>
      </c>
      <c r="G728" s="133">
        <f t="shared" si="26"/>
        <v>2026</v>
      </c>
      <c r="H728" s="59" t="str">
        <f t="shared" si="27"/>
        <v>28C02986</v>
      </c>
      <c r="I728" s="59">
        <f>IF(OR($A728="",$C728="",$D728="",$E728="",$H728=""),"",SUMIFS(DATA_GOC!$H:$H,DATA_GOC!$A:$A,"BOM",DATA_GOC!$D:$D,$H728,DATA_GOC!$E:$E,$C728,DATA_GOC!$F:$F,"Xuất nội bộ từ téc",DATA_GOC!$B:$B,"&gt;="&amp;$D728,DATA_GOC!$B:$B,"&lt;="&amp;$E728))</f>
        <v>370</v>
      </c>
      <c r="J728" s="59">
        <f t="shared" si="28"/>
        <v>26.335</v>
      </c>
      <c r="K728" s="59">
        <f t="shared" si="29"/>
        <v>0</v>
      </c>
      <c r="L728" s="59">
        <f t="shared" si="30"/>
        <v>396.335</v>
      </c>
      <c r="M728" s="59">
        <f t="shared" si="31"/>
        <v>0.06858202039</v>
      </c>
    </row>
    <row r="729" ht="15.0" hidden="1" customHeight="1">
      <c r="A729" s="59">
        <f t="shared" si="20"/>
        <v>9</v>
      </c>
      <c r="B729" s="59" t="str">
        <f t="shared" si="21"/>
        <v>Đã chốt</v>
      </c>
      <c r="C729" s="59" t="str">
        <f t="shared" si="22"/>
        <v>Téc 3</v>
      </c>
      <c r="D729" s="45">
        <f t="shared" si="23"/>
        <v>46023</v>
      </c>
      <c r="E729" s="45">
        <f t="shared" si="24"/>
        <v>46027</v>
      </c>
      <c r="F729" s="133">
        <f t="shared" si="25"/>
        <v>1</v>
      </c>
      <c r="G729" s="133">
        <f t="shared" si="26"/>
        <v>2026</v>
      </c>
      <c r="H729" s="59" t="str">
        <f t="shared" si="27"/>
        <v>28C03261</v>
      </c>
      <c r="I729" s="59">
        <f>IF(OR($A729="",$C729="",$D729="",$E729="",$H729=""),"",SUMIFS(DATA_GOC!$H:$H,DATA_GOC!$A:$A,"BOM",DATA_GOC!$D:$D,$H729,DATA_GOC!$E:$E,$C729,DATA_GOC!$F:$F,"Xuất nội bộ từ téc",DATA_GOC!$B:$B,"&gt;="&amp;$D729,DATA_GOC!$B:$B,"&lt;="&amp;$E729))</f>
        <v>0</v>
      </c>
      <c r="J729" s="59">
        <f t="shared" si="28"/>
        <v>0</v>
      </c>
      <c r="K729" s="59">
        <f t="shared" si="29"/>
        <v>0</v>
      </c>
      <c r="L729" s="59">
        <f t="shared" si="30"/>
        <v>0</v>
      </c>
      <c r="M729" s="59">
        <f t="shared" si="31"/>
        <v>0</v>
      </c>
    </row>
    <row r="730" ht="15.0" hidden="1" customHeight="1">
      <c r="A730" s="59">
        <f t="shared" si="20"/>
        <v>9</v>
      </c>
      <c r="B730" s="59" t="str">
        <f t="shared" si="21"/>
        <v>Đã chốt</v>
      </c>
      <c r="C730" s="59" t="str">
        <f t="shared" si="22"/>
        <v>Téc 3</v>
      </c>
      <c r="D730" s="45">
        <f t="shared" si="23"/>
        <v>46023</v>
      </c>
      <c r="E730" s="45">
        <f t="shared" si="24"/>
        <v>46027</v>
      </c>
      <c r="F730" s="133">
        <f t="shared" si="25"/>
        <v>1</v>
      </c>
      <c r="G730" s="133">
        <f t="shared" si="26"/>
        <v>2026</v>
      </c>
      <c r="H730" s="59" t="str">
        <f t="shared" si="27"/>
        <v>28C03323</v>
      </c>
      <c r="I730" s="59">
        <f>IF(OR($A730="",$C730="",$D730="",$E730="",$H730=""),"",SUMIFS(DATA_GOC!$H:$H,DATA_GOC!$A:$A,"BOM",DATA_GOC!$D:$D,$H730,DATA_GOC!$E:$E,$C730,DATA_GOC!$F:$F,"Xuất nội bộ từ téc",DATA_GOC!$B:$B,"&gt;="&amp;$D730,DATA_GOC!$B:$B,"&lt;="&amp;$E730))</f>
        <v>222</v>
      </c>
      <c r="J730" s="59">
        <f t="shared" si="28"/>
        <v>15.801</v>
      </c>
      <c r="K730" s="59">
        <f t="shared" si="29"/>
        <v>0</v>
      </c>
      <c r="L730" s="59">
        <f t="shared" si="30"/>
        <v>237.801</v>
      </c>
      <c r="M730" s="59">
        <f t="shared" si="31"/>
        <v>0.04114921223</v>
      </c>
    </row>
    <row r="731" ht="15.0" hidden="1" customHeight="1">
      <c r="A731" s="59">
        <f t="shared" si="20"/>
        <v>9</v>
      </c>
      <c r="B731" s="59" t="str">
        <f t="shared" si="21"/>
        <v>Đã chốt</v>
      </c>
      <c r="C731" s="59" t="str">
        <f t="shared" si="22"/>
        <v>Téc 3</v>
      </c>
      <c r="D731" s="45">
        <f t="shared" si="23"/>
        <v>46023</v>
      </c>
      <c r="E731" s="45">
        <f t="shared" si="24"/>
        <v>46027</v>
      </c>
      <c r="F731" s="133">
        <f t="shared" si="25"/>
        <v>1</v>
      </c>
      <c r="G731" s="133">
        <f t="shared" si="26"/>
        <v>2026</v>
      </c>
      <c r="H731" s="59" t="str">
        <f t="shared" si="27"/>
        <v>28C03385</v>
      </c>
      <c r="I731" s="59">
        <f>IF(OR($A731="",$C731="",$D731="",$E731="",$H731=""),"",SUMIFS(DATA_GOC!$H:$H,DATA_GOC!$A:$A,"BOM",DATA_GOC!$D:$D,$H731,DATA_GOC!$E:$E,$C731,DATA_GOC!$F:$F,"Xuất nội bộ từ téc",DATA_GOC!$B:$B,"&gt;="&amp;$D731,DATA_GOC!$B:$B,"&lt;="&amp;$E731))</f>
        <v>0</v>
      </c>
      <c r="J731" s="59">
        <f t="shared" si="28"/>
        <v>0</v>
      </c>
      <c r="K731" s="59">
        <f t="shared" si="29"/>
        <v>0</v>
      </c>
      <c r="L731" s="59">
        <f t="shared" si="30"/>
        <v>0</v>
      </c>
      <c r="M731" s="59">
        <f t="shared" si="31"/>
        <v>0</v>
      </c>
    </row>
    <row r="732" ht="15.0" hidden="1" customHeight="1">
      <c r="A732" s="59">
        <f t="shared" si="20"/>
        <v>9</v>
      </c>
      <c r="B732" s="59" t="str">
        <f t="shared" si="21"/>
        <v>Đã chốt</v>
      </c>
      <c r="C732" s="59" t="str">
        <f t="shared" si="22"/>
        <v>Téc 3</v>
      </c>
      <c r="D732" s="45">
        <f t="shared" si="23"/>
        <v>46023</v>
      </c>
      <c r="E732" s="45">
        <f t="shared" si="24"/>
        <v>46027</v>
      </c>
      <c r="F732" s="133">
        <f t="shared" si="25"/>
        <v>1</v>
      </c>
      <c r="G732" s="133">
        <f t="shared" si="26"/>
        <v>2026</v>
      </c>
      <c r="H732" s="59" t="str">
        <f t="shared" si="27"/>
        <v>28C03652</v>
      </c>
      <c r="I732" s="59">
        <f>IF(OR($A732="",$C732="",$D732="",$E732="",$H732=""),"",SUMIFS(DATA_GOC!$H:$H,DATA_GOC!$A:$A,"BOM",DATA_GOC!$D:$D,$H732,DATA_GOC!$E:$E,$C732,DATA_GOC!$F:$F,"Xuất nội bộ từ téc",DATA_GOC!$B:$B,"&gt;="&amp;$D732,DATA_GOC!$B:$B,"&lt;="&amp;$E732))</f>
        <v>260</v>
      </c>
      <c r="J732" s="59">
        <f t="shared" si="28"/>
        <v>18.506</v>
      </c>
      <c r="K732" s="59">
        <f t="shared" si="29"/>
        <v>0</v>
      </c>
      <c r="L732" s="59">
        <f t="shared" si="30"/>
        <v>278.506</v>
      </c>
      <c r="M732" s="59">
        <f t="shared" si="31"/>
        <v>0.04819277108</v>
      </c>
    </row>
    <row r="733" ht="15.0" hidden="1" customHeight="1">
      <c r="A733" s="59">
        <f t="shared" si="20"/>
        <v>9</v>
      </c>
      <c r="B733" s="59" t="str">
        <f t="shared" si="21"/>
        <v>Đã chốt</v>
      </c>
      <c r="C733" s="59" t="str">
        <f t="shared" si="22"/>
        <v>Téc 3</v>
      </c>
      <c r="D733" s="45">
        <f t="shared" si="23"/>
        <v>46023</v>
      </c>
      <c r="E733" s="45">
        <f t="shared" si="24"/>
        <v>46027</v>
      </c>
      <c r="F733" s="133">
        <f t="shared" si="25"/>
        <v>1</v>
      </c>
      <c r="G733" s="133">
        <f t="shared" si="26"/>
        <v>2026</v>
      </c>
      <c r="H733" s="59" t="str">
        <f t="shared" si="27"/>
        <v>28C03695</v>
      </c>
      <c r="I733" s="59">
        <f>IF(OR($A733="",$C733="",$D733="",$E733="",$H733=""),"",SUMIFS(DATA_GOC!$H:$H,DATA_GOC!$A:$A,"BOM",DATA_GOC!$D:$D,$H733,DATA_GOC!$E:$E,$C733,DATA_GOC!$F:$F,"Xuất nội bộ từ téc",DATA_GOC!$B:$B,"&gt;="&amp;$D733,DATA_GOC!$B:$B,"&lt;="&amp;$E733))</f>
        <v>0</v>
      </c>
      <c r="J733" s="59">
        <f t="shared" si="28"/>
        <v>0</v>
      </c>
      <c r="K733" s="59">
        <f t="shared" si="29"/>
        <v>0</v>
      </c>
      <c r="L733" s="59">
        <f t="shared" si="30"/>
        <v>0</v>
      </c>
      <c r="M733" s="59">
        <f t="shared" si="31"/>
        <v>0</v>
      </c>
    </row>
    <row r="734" ht="15.0" hidden="1" customHeight="1">
      <c r="A734" s="59">
        <f t="shared" si="20"/>
        <v>9</v>
      </c>
      <c r="B734" s="59" t="str">
        <f t="shared" si="21"/>
        <v>Đã chốt</v>
      </c>
      <c r="C734" s="59" t="str">
        <f t="shared" si="22"/>
        <v>Téc 3</v>
      </c>
      <c r="D734" s="45">
        <f t="shared" si="23"/>
        <v>46023</v>
      </c>
      <c r="E734" s="45">
        <f t="shared" si="24"/>
        <v>46027</v>
      </c>
      <c r="F734" s="133">
        <f t="shared" si="25"/>
        <v>1</v>
      </c>
      <c r="G734" s="133">
        <f t="shared" si="26"/>
        <v>2026</v>
      </c>
      <c r="H734" s="59" t="str">
        <f t="shared" si="27"/>
        <v>28C03927</v>
      </c>
      <c r="I734" s="59">
        <f>IF(OR($A734="",$C734="",$D734="",$E734="",$H734=""),"",SUMIFS(DATA_GOC!$H:$H,DATA_GOC!$A:$A,"BOM",DATA_GOC!$D:$D,$H734,DATA_GOC!$E:$E,$C734,DATA_GOC!$F:$F,"Xuất nội bộ từ téc",DATA_GOC!$B:$B,"&gt;="&amp;$D734,DATA_GOC!$B:$B,"&lt;="&amp;$E734))</f>
        <v>205</v>
      </c>
      <c r="J734" s="59">
        <f t="shared" si="28"/>
        <v>14.591</v>
      </c>
      <c r="K734" s="59">
        <f t="shared" si="29"/>
        <v>0</v>
      </c>
      <c r="L734" s="59">
        <f t="shared" si="30"/>
        <v>219.591</v>
      </c>
      <c r="M734" s="59">
        <f t="shared" si="31"/>
        <v>0.03799814643</v>
      </c>
    </row>
    <row r="735" ht="15.0" hidden="1" customHeight="1">
      <c r="A735" s="59">
        <f t="shared" si="20"/>
        <v>9</v>
      </c>
      <c r="B735" s="59" t="str">
        <f t="shared" si="21"/>
        <v>Đã chốt</v>
      </c>
      <c r="C735" s="59" t="str">
        <f t="shared" si="22"/>
        <v>Téc 3</v>
      </c>
      <c r="D735" s="45">
        <f t="shared" si="23"/>
        <v>46023</v>
      </c>
      <c r="E735" s="45">
        <f t="shared" si="24"/>
        <v>46027</v>
      </c>
      <c r="F735" s="133">
        <f t="shared" si="25"/>
        <v>1</v>
      </c>
      <c r="G735" s="133">
        <f t="shared" si="26"/>
        <v>2026</v>
      </c>
      <c r="H735" s="59" t="str">
        <f t="shared" si="27"/>
        <v>28C04509</v>
      </c>
      <c r="I735" s="59">
        <f>IF(OR($A735="",$C735="",$D735="",$E735="",$H735=""),"",SUMIFS(DATA_GOC!$H:$H,DATA_GOC!$A:$A,"BOM",DATA_GOC!$D:$D,$H735,DATA_GOC!$E:$E,$C735,DATA_GOC!$F:$F,"Xuất nội bộ từ téc",DATA_GOC!$B:$B,"&gt;="&amp;$D735,DATA_GOC!$B:$B,"&lt;="&amp;$E735))</f>
        <v>0</v>
      </c>
      <c r="J735" s="59">
        <f t="shared" si="28"/>
        <v>0</v>
      </c>
      <c r="K735" s="59">
        <f t="shared" si="29"/>
        <v>0</v>
      </c>
      <c r="L735" s="59">
        <f t="shared" si="30"/>
        <v>0</v>
      </c>
      <c r="M735" s="59">
        <f t="shared" si="31"/>
        <v>0</v>
      </c>
    </row>
    <row r="736" ht="15.0" hidden="1" customHeight="1">
      <c r="A736" s="59">
        <f t="shared" si="20"/>
        <v>9</v>
      </c>
      <c r="B736" s="59" t="str">
        <f t="shared" si="21"/>
        <v>Đã chốt</v>
      </c>
      <c r="C736" s="59" t="str">
        <f t="shared" si="22"/>
        <v>Téc 3</v>
      </c>
      <c r="D736" s="45">
        <f t="shared" si="23"/>
        <v>46023</v>
      </c>
      <c r="E736" s="45">
        <f t="shared" si="24"/>
        <v>46027</v>
      </c>
      <c r="F736" s="133">
        <f t="shared" si="25"/>
        <v>1</v>
      </c>
      <c r="G736" s="133">
        <f t="shared" si="26"/>
        <v>2026</v>
      </c>
      <c r="H736" s="59" t="str">
        <f t="shared" si="27"/>
        <v>28C04536</v>
      </c>
      <c r="I736" s="59">
        <f>IF(OR($A736="",$C736="",$D736="",$E736="",$H736=""),"",SUMIFS(DATA_GOC!$H:$H,DATA_GOC!$A:$A,"BOM",DATA_GOC!$D:$D,$H736,DATA_GOC!$E:$E,$C736,DATA_GOC!$F:$F,"Xuất nội bộ từ téc",DATA_GOC!$B:$B,"&gt;="&amp;$D736,DATA_GOC!$B:$B,"&lt;="&amp;$E736))</f>
        <v>0</v>
      </c>
      <c r="J736" s="59">
        <f t="shared" si="28"/>
        <v>0</v>
      </c>
      <c r="K736" s="59">
        <f t="shared" si="29"/>
        <v>0</v>
      </c>
      <c r="L736" s="59">
        <f t="shared" si="30"/>
        <v>0</v>
      </c>
      <c r="M736" s="59">
        <f t="shared" si="31"/>
        <v>0</v>
      </c>
    </row>
    <row r="737" ht="15.0" hidden="1" customHeight="1">
      <c r="A737" s="59">
        <f t="shared" si="20"/>
        <v>9</v>
      </c>
      <c r="B737" s="59" t="str">
        <f t="shared" si="21"/>
        <v>Đã chốt</v>
      </c>
      <c r="C737" s="59" t="str">
        <f t="shared" si="22"/>
        <v>Téc 3</v>
      </c>
      <c r="D737" s="45">
        <f t="shared" si="23"/>
        <v>46023</v>
      </c>
      <c r="E737" s="45">
        <f t="shared" si="24"/>
        <v>46027</v>
      </c>
      <c r="F737" s="133">
        <f t="shared" si="25"/>
        <v>1</v>
      </c>
      <c r="G737" s="133">
        <f t="shared" si="26"/>
        <v>2026</v>
      </c>
      <c r="H737" s="59" t="str">
        <f t="shared" si="27"/>
        <v>28C04576</v>
      </c>
      <c r="I737" s="59">
        <f>IF(OR($A737="",$C737="",$D737="",$E737="",$H737=""),"",SUMIFS(DATA_GOC!$H:$H,DATA_GOC!$A:$A,"BOM",DATA_GOC!$D:$D,$H737,DATA_GOC!$E:$E,$C737,DATA_GOC!$F:$F,"Xuất nội bộ từ téc",DATA_GOC!$B:$B,"&gt;="&amp;$D737,DATA_GOC!$B:$B,"&lt;="&amp;$E737))</f>
        <v>250</v>
      </c>
      <c r="J737" s="59">
        <f t="shared" si="28"/>
        <v>17.794</v>
      </c>
      <c r="K737" s="59">
        <f t="shared" si="29"/>
        <v>0</v>
      </c>
      <c r="L737" s="59">
        <f t="shared" si="30"/>
        <v>267.794</v>
      </c>
      <c r="M737" s="59">
        <f t="shared" si="31"/>
        <v>0.04633920297</v>
      </c>
    </row>
    <row r="738" ht="15.0" hidden="1" customHeight="1">
      <c r="A738" s="59">
        <f t="shared" si="20"/>
        <v>9</v>
      </c>
      <c r="B738" s="59" t="str">
        <f t="shared" si="21"/>
        <v>Đã chốt</v>
      </c>
      <c r="C738" s="59" t="str">
        <f t="shared" si="22"/>
        <v>Téc 3</v>
      </c>
      <c r="D738" s="45">
        <f t="shared" si="23"/>
        <v>46023</v>
      </c>
      <c r="E738" s="45">
        <f t="shared" si="24"/>
        <v>46027</v>
      </c>
      <c r="F738" s="133">
        <f t="shared" si="25"/>
        <v>1</v>
      </c>
      <c r="G738" s="133">
        <f t="shared" si="26"/>
        <v>2026</v>
      </c>
      <c r="H738" s="59" t="str">
        <f t="shared" si="27"/>
        <v>28C05090</v>
      </c>
      <c r="I738" s="59">
        <f>IF(OR($A738="",$C738="",$D738="",$E738="",$H738=""),"",SUMIFS(DATA_GOC!$H:$H,DATA_GOC!$A:$A,"BOM",DATA_GOC!$D:$D,$H738,DATA_GOC!$E:$E,$C738,DATA_GOC!$F:$F,"Xuất nội bộ từ téc",DATA_GOC!$B:$B,"&gt;="&amp;$D738,DATA_GOC!$B:$B,"&lt;="&amp;$E738))</f>
        <v>0</v>
      </c>
      <c r="J738" s="59">
        <f t="shared" si="28"/>
        <v>0</v>
      </c>
      <c r="K738" s="59">
        <f t="shared" si="29"/>
        <v>0</v>
      </c>
      <c r="L738" s="59">
        <f t="shared" si="30"/>
        <v>0</v>
      </c>
      <c r="M738" s="59">
        <f t="shared" si="31"/>
        <v>0</v>
      </c>
    </row>
    <row r="739" ht="15.0" hidden="1" customHeight="1">
      <c r="A739" s="59">
        <f t="shared" si="20"/>
        <v>9</v>
      </c>
      <c r="B739" s="59" t="str">
        <f t="shared" si="21"/>
        <v>Đã chốt</v>
      </c>
      <c r="C739" s="59" t="str">
        <f t="shared" si="22"/>
        <v>Téc 3</v>
      </c>
      <c r="D739" s="45">
        <f t="shared" si="23"/>
        <v>46023</v>
      </c>
      <c r="E739" s="45">
        <f t="shared" si="24"/>
        <v>46027</v>
      </c>
      <c r="F739" s="133">
        <f t="shared" si="25"/>
        <v>1</v>
      </c>
      <c r="G739" s="133">
        <f t="shared" si="26"/>
        <v>2026</v>
      </c>
      <c r="H739" s="59" t="str">
        <f t="shared" si="27"/>
        <v>28C05345</v>
      </c>
      <c r="I739" s="59">
        <f>IF(OR($A739="",$C739="",$D739="",$E739="",$H739=""),"",SUMIFS(DATA_GOC!$H:$H,DATA_GOC!$A:$A,"BOM",DATA_GOC!$D:$D,$H739,DATA_GOC!$E:$E,$C739,DATA_GOC!$F:$F,"Xuất nội bộ từ téc",DATA_GOC!$B:$B,"&gt;="&amp;$D739,DATA_GOC!$B:$B,"&lt;="&amp;$E739))</f>
        <v>0</v>
      </c>
      <c r="J739" s="59">
        <f t="shared" si="28"/>
        <v>0</v>
      </c>
      <c r="K739" s="59">
        <f t="shared" si="29"/>
        <v>0</v>
      </c>
      <c r="L739" s="59">
        <f t="shared" si="30"/>
        <v>0</v>
      </c>
      <c r="M739" s="59">
        <f t="shared" si="31"/>
        <v>0</v>
      </c>
    </row>
    <row r="740" ht="15.0" hidden="1" customHeight="1">
      <c r="A740" s="59">
        <f t="shared" si="20"/>
        <v>9</v>
      </c>
      <c r="B740" s="59" t="str">
        <f t="shared" si="21"/>
        <v>Đã chốt</v>
      </c>
      <c r="C740" s="59" t="str">
        <f t="shared" si="22"/>
        <v>Téc 3</v>
      </c>
      <c r="D740" s="45">
        <f t="shared" si="23"/>
        <v>46023</v>
      </c>
      <c r="E740" s="45">
        <f t="shared" si="24"/>
        <v>46027</v>
      </c>
      <c r="F740" s="133">
        <f t="shared" si="25"/>
        <v>1</v>
      </c>
      <c r="G740" s="133">
        <f t="shared" si="26"/>
        <v>2026</v>
      </c>
      <c r="H740" s="59" t="str">
        <f t="shared" si="27"/>
        <v>28C05661</v>
      </c>
      <c r="I740" s="59">
        <f>IF(OR($A740="",$C740="",$D740="",$E740="",$H740=""),"",SUMIFS(DATA_GOC!$H:$H,DATA_GOC!$A:$A,"BOM",DATA_GOC!$D:$D,$H740,DATA_GOC!$E:$E,$C740,DATA_GOC!$F:$F,"Xuất nội bộ từ téc",DATA_GOC!$B:$B,"&gt;="&amp;$D740,DATA_GOC!$B:$B,"&lt;="&amp;$E740))</f>
        <v>0</v>
      </c>
      <c r="J740" s="59">
        <f t="shared" si="28"/>
        <v>0</v>
      </c>
      <c r="K740" s="59">
        <f t="shared" si="29"/>
        <v>0</v>
      </c>
      <c r="L740" s="59">
        <f t="shared" si="30"/>
        <v>0</v>
      </c>
      <c r="M740" s="59">
        <f t="shared" si="31"/>
        <v>0</v>
      </c>
    </row>
    <row r="741" ht="15.0" hidden="1" customHeight="1">
      <c r="A741" s="59">
        <f t="shared" si="20"/>
        <v>9</v>
      </c>
      <c r="B741" s="59" t="str">
        <f t="shared" si="21"/>
        <v>Đã chốt</v>
      </c>
      <c r="C741" s="59" t="str">
        <f t="shared" si="22"/>
        <v>Téc 3</v>
      </c>
      <c r="D741" s="45">
        <f t="shared" si="23"/>
        <v>46023</v>
      </c>
      <c r="E741" s="45">
        <f t="shared" si="24"/>
        <v>46027</v>
      </c>
      <c r="F741" s="133">
        <f t="shared" si="25"/>
        <v>1</v>
      </c>
      <c r="G741" s="133">
        <f t="shared" si="26"/>
        <v>2026</v>
      </c>
      <c r="H741" s="59" t="str">
        <f t="shared" si="27"/>
        <v>28C05739</v>
      </c>
      <c r="I741" s="59">
        <f>IF(OR($A741="",$C741="",$D741="",$E741="",$H741=""),"",SUMIFS(DATA_GOC!$H:$H,DATA_GOC!$A:$A,"BOM",DATA_GOC!$D:$D,$H741,DATA_GOC!$E:$E,$C741,DATA_GOC!$F:$F,"Xuất nội bộ từ téc",DATA_GOC!$B:$B,"&gt;="&amp;$D741,DATA_GOC!$B:$B,"&lt;="&amp;$E741))</f>
        <v>500</v>
      </c>
      <c r="J741" s="59">
        <f t="shared" si="28"/>
        <v>35.589</v>
      </c>
      <c r="K741" s="59">
        <f t="shared" si="29"/>
        <v>0</v>
      </c>
      <c r="L741" s="59">
        <f t="shared" si="30"/>
        <v>535.589</v>
      </c>
      <c r="M741" s="59">
        <f t="shared" si="31"/>
        <v>0.09267840593</v>
      </c>
    </row>
    <row r="742" ht="15.0" hidden="1" customHeight="1">
      <c r="A742" s="59">
        <f t="shared" si="20"/>
        <v>9</v>
      </c>
      <c r="B742" s="59" t="str">
        <f t="shared" si="21"/>
        <v>Đã chốt</v>
      </c>
      <c r="C742" s="59" t="str">
        <f t="shared" si="22"/>
        <v>Téc 3</v>
      </c>
      <c r="D742" s="45">
        <f t="shared" si="23"/>
        <v>46023</v>
      </c>
      <c r="E742" s="45">
        <f t="shared" si="24"/>
        <v>46027</v>
      </c>
      <c r="F742" s="133">
        <f t="shared" si="25"/>
        <v>1</v>
      </c>
      <c r="G742" s="133">
        <f t="shared" si="26"/>
        <v>2026</v>
      </c>
      <c r="H742" s="59" t="str">
        <f t="shared" si="27"/>
        <v>28C06369</v>
      </c>
      <c r="I742" s="59">
        <f>IF(OR($A742="",$C742="",$D742="",$E742="",$H742=""),"",SUMIFS(DATA_GOC!$H:$H,DATA_GOC!$A:$A,"BOM",DATA_GOC!$D:$D,$H742,DATA_GOC!$E:$E,$C742,DATA_GOC!$F:$F,"Xuất nội bộ từ téc",DATA_GOC!$B:$B,"&gt;="&amp;$D742,DATA_GOC!$B:$B,"&lt;="&amp;$E742))</f>
        <v>220</v>
      </c>
      <c r="J742" s="59">
        <f t="shared" si="28"/>
        <v>15.659</v>
      </c>
      <c r="K742" s="59">
        <f t="shared" si="29"/>
        <v>0</v>
      </c>
      <c r="L742" s="59">
        <f t="shared" si="30"/>
        <v>235.659</v>
      </c>
      <c r="M742" s="59">
        <f t="shared" si="31"/>
        <v>0.04077849861</v>
      </c>
    </row>
    <row r="743" ht="15.0" hidden="1" customHeight="1">
      <c r="A743" s="59">
        <f t="shared" si="20"/>
        <v>9</v>
      </c>
      <c r="B743" s="59" t="str">
        <f t="shared" si="21"/>
        <v>Đã chốt</v>
      </c>
      <c r="C743" s="59" t="str">
        <f t="shared" si="22"/>
        <v>Téc 3</v>
      </c>
      <c r="D743" s="45">
        <f t="shared" si="23"/>
        <v>46023</v>
      </c>
      <c r="E743" s="45">
        <f t="shared" si="24"/>
        <v>46027</v>
      </c>
      <c r="F743" s="133">
        <f t="shared" si="25"/>
        <v>1</v>
      </c>
      <c r="G743" s="133">
        <f t="shared" si="26"/>
        <v>2026</v>
      </c>
      <c r="H743" s="59" t="str">
        <f t="shared" si="27"/>
        <v>28C06447</v>
      </c>
      <c r="I743" s="59">
        <f>IF(OR($A743="",$C743="",$D743="",$E743="",$H743=""),"",SUMIFS(DATA_GOC!$H:$H,DATA_GOC!$A:$A,"BOM",DATA_GOC!$D:$D,$H743,DATA_GOC!$E:$E,$C743,DATA_GOC!$F:$F,"Xuất nội bộ từ téc",DATA_GOC!$B:$B,"&gt;="&amp;$D743,DATA_GOC!$B:$B,"&lt;="&amp;$E743))</f>
        <v>0</v>
      </c>
      <c r="J743" s="59">
        <f t="shared" si="28"/>
        <v>0</v>
      </c>
      <c r="K743" s="59">
        <f t="shared" si="29"/>
        <v>0</v>
      </c>
      <c r="L743" s="59">
        <f t="shared" si="30"/>
        <v>0</v>
      </c>
      <c r="M743" s="59">
        <f t="shared" si="31"/>
        <v>0</v>
      </c>
    </row>
    <row r="744" ht="15.0" hidden="1" customHeight="1">
      <c r="A744" s="59">
        <f t="shared" si="20"/>
        <v>9</v>
      </c>
      <c r="B744" s="59" t="str">
        <f t="shared" si="21"/>
        <v>Đã chốt</v>
      </c>
      <c r="C744" s="59" t="str">
        <f t="shared" si="22"/>
        <v>Téc 3</v>
      </c>
      <c r="D744" s="45">
        <f t="shared" si="23"/>
        <v>46023</v>
      </c>
      <c r="E744" s="45">
        <f t="shared" si="24"/>
        <v>46027</v>
      </c>
      <c r="F744" s="133">
        <f t="shared" si="25"/>
        <v>1</v>
      </c>
      <c r="G744" s="133">
        <f t="shared" si="26"/>
        <v>2026</v>
      </c>
      <c r="H744" s="59" t="str">
        <f t="shared" si="27"/>
        <v>28H00003</v>
      </c>
      <c r="I744" s="59">
        <f>IF(OR($A744="",$C744="",$D744="",$E744="",$H744=""),"",SUMIFS(DATA_GOC!$H:$H,DATA_GOC!$A:$A,"BOM",DATA_GOC!$D:$D,$H744,DATA_GOC!$E:$E,$C744,DATA_GOC!$F:$F,"Xuất nội bộ từ téc",DATA_GOC!$B:$B,"&gt;="&amp;$D744,DATA_GOC!$B:$B,"&lt;="&amp;$E744))</f>
        <v>460</v>
      </c>
      <c r="J744" s="59">
        <f t="shared" si="28"/>
        <v>32.741</v>
      </c>
      <c r="K744" s="59">
        <f t="shared" si="29"/>
        <v>0</v>
      </c>
      <c r="L744" s="59">
        <f t="shared" si="30"/>
        <v>492.741</v>
      </c>
      <c r="M744" s="59">
        <f t="shared" si="31"/>
        <v>0.08526413346</v>
      </c>
    </row>
    <row r="745" ht="15.0" hidden="1" customHeight="1">
      <c r="A745" s="59">
        <f t="shared" si="20"/>
        <v>9</v>
      </c>
      <c r="B745" s="59" t="str">
        <f t="shared" si="21"/>
        <v>Đã chốt</v>
      </c>
      <c r="C745" s="59" t="str">
        <f t="shared" si="22"/>
        <v>Téc 3</v>
      </c>
      <c r="D745" s="45">
        <f t="shared" si="23"/>
        <v>46023</v>
      </c>
      <c r="E745" s="45">
        <f t="shared" si="24"/>
        <v>46027</v>
      </c>
      <c r="F745" s="133">
        <f t="shared" si="25"/>
        <v>1</v>
      </c>
      <c r="G745" s="133">
        <f t="shared" si="26"/>
        <v>2026</v>
      </c>
      <c r="H745" s="59" t="str">
        <f t="shared" si="27"/>
        <v>28H00061</v>
      </c>
      <c r="I745" s="59">
        <f>IF(OR($A745="",$C745="",$D745="",$E745="",$H745=""),"",SUMIFS(DATA_GOC!$H:$H,DATA_GOC!$A:$A,"BOM",DATA_GOC!$D:$D,$H745,DATA_GOC!$E:$E,$C745,DATA_GOC!$F:$F,"Xuất nội bộ từ téc",DATA_GOC!$B:$B,"&gt;="&amp;$D745,DATA_GOC!$B:$B,"&lt;="&amp;$E745))</f>
        <v>392</v>
      </c>
      <c r="J745" s="59">
        <f t="shared" si="28"/>
        <v>27.901</v>
      </c>
      <c r="K745" s="59">
        <f t="shared" si="29"/>
        <v>0</v>
      </c>
      <c r="L745" s="59">
        <f t="shared" si="30"/>
        <v>419.901</v>
      </c>
      <c r="M745" s="59">
        <f t="shared" si="31"/>
        <v>0.07265987025</v>
      </c>
    </row>
    <row r="746" ht="15.0" hidden="1" customHeight="1">
      <c r="A746" s="59">
        <f t="shared" si="20"/>
        <v>9</v>
      </c>
      <c r="B746" s="59" t="str">
        <f t="shared" si="21"/>
        <v>Đã chốt</v>
      </c>
      <c r="C746" s="59" t="str">
        <f t="shared" si="22"/>
        <v>Téc 3</v>
      </c>
      <c r="D746" s="45">
        <f t="shared" si="23"/>
        <v>46023</v>
      </c>
      <c r="E746" s="45">
        <f t="shared" si="24"/>
        <v>46027</v>
      </c>
      <c r="F746" s="133">
        <f t="shared" si="25"/>
        <v>1</v>
      </c>
      <c r="G746" s="133">
        <f t="shared" si="26"/>
        <v>2026</v>
      </c>
      <c r="H746" s="59" t="str">
        <f t="shared" si="27"/>
        <v>28H00354</v>
      </c>
      <c r="I746" s="59">
        <f>IF(OR($A746="",$C746="",$D746="",$E746="",$H746=""),"",SUMIFS(DATA_GOC!$H:$H,DATA_GOC!$A:$A,"BOM",DATA_GOC!$D:$D,$H746,DATA_GOC!$E:$E,$C746,DATA_GOC!$F:$F,"Xuất nội bộ từ téc",DATA_GOC!$B:$B,"&gt;="&amp;$D746,DATA_GOC!$B:$B,"&lt;="&amp;$E746))</f>
        <v>248</v>
      </c>
      <c r="J746" s="59">
        <f t="shared" si="28"/>
        <v>17.652</v>
      </c>
      <c r="K746" s="59">
        <f t="shared" si="29"/>
        <v>0</v>
      </c>
      <c r="L746" s="59">
        <f t="shared" si="30"/>
        <v>265.652</v>
      </c>
      <c r="M746" s="59">
        <f t="shared" si="31"/>
        <v>0.04596848934</v>
      </c>
    </row>
    <row r="747" ht="15.0" hidden="1" customHeight="1">
      <c r="A747" s="59">
        <f t="shared" si="20"/>
        <v>9</v>
      </c>
      <c r="B747" s="59" t="str">
        <f t="shared" si="21"/>
        <v>Đã chốt</v>
      </c>
      <c r="C747" s="59" t="str">
        <f t="shared" si="22"/>
        <v>Téc 3</v>
      </c>
      <c r="D747" s="45">
        <f t="shared" si="23"/>
        <v>46023</v>
      </c>
      <c r="E747" s="45">
        <f t="shared" si="24"/>
        <v>46027</v>
      </c>
      <c r="F747" s="133">
        <f t="shared" si="25"/>
        <v>1</v>
      </c>
      <c r="G747" s="133">
        <f t="shared" si="26"/>
        <v>2026</v>
      </c>
      <c r="H747" s="59" t="str">
        <f t="shared" si="27"/>
        <v>28H00603</v>
      </c>
      <c r="I747" s="59">
        <f>IF(OR($A747="",$C747="",$D747="",$E747="",$H747=""),"",SUMIFS(DATA_GOC!$H:$H,DATA_GOC!$A:$A,"BOM",DATA_GOC!$D:$D,$H747,DATA_GOC!$E:$E,$C747,DATA_GOC!$F:$F,"Xuất nội bộ từ téc",DATA_GOC!$B:$B,"&gt;="&amp;$D747,DATA_GOC!$B:$B,"&lt;="&amp;$E747))</f>
        <v>225</v>
      </c>
      <c r="J747" s="59">
        <f t="shared" si="28"/>
        <v>16.015</v>
      </c>
      <c r="K747" s="59">
        <f t="shared" si="29"/>
        <v>0</v>
      </c>
      <c r="L747" s="59">
        <f t="shared" si="30"/>
        <v>241.015</v>
      </c>
      <c r="M747" s="59">
        <f t="shared" si="31"/>
        <v>0.04170528267</v>
      </c>
    </row>
    <row r="748" ht="15.0" hidden="1" customHeight="1">
      <c r="A748" s="59">
        <f t="shared" si="20"/>
        <v>9</v>
      </c>
      <c r="B748" s="59" t="str">
        <f t="shared" si="21"/>
        <v>Đã chốt</v>
      </c>
      <c r="C748" s="59" t="str">
        <f t="shared" si="22"/>
        <v>Téc 3</v>
      </c>
      <c r="D748" s="45">
        <f t="shared" si="23"/>
        <v>46023</v>
      </c>
      <c r="E748" s="45">
        <f t="shared" si="24"/>
        <v>46027</v>
      </c>
      <c r="F748" s="133">
        <f t="shared" si="25"/>
        <v>1</v>
      </c>
      <c r="G748" s="133">
        <f t="shared" si="26"/>
        <v>2026</v>
      </c>
      <c r="H748" s="59" t="str">
        <f t="shared" si="27"/>
        <v>28H00609</v>
      </c>
      <c r="I748" s="59">
        <f>IF(OR($A748="",$C748="",$D748="",$E748="",$H748=""),"",SUMIFS(DATA_GOC!$H:$H,DATA_GOC!$A:$A,"BOM",DATA_GOC!$D:$D,$H748,DATA_GOC!$E:$E,$C748,DATA_GOC!$F:$F,"Xuất nội bộ từ téc",DATA_GOC!$B:$B,"&gt;="&amp;$D748,DATA_GOC!$B:$B,"&lt;="&amp;$E748))</f>
        <v>235</v>
      </c>
      <c r="J748" s="59">
        <f t="shared" si="28"/>
        <v>16.727</v>
      </c>
      <c r="K748" s="59">
        <f t="shared" si="29"/>
        <v>0</v>
      </c>
      <c r="L748" s="59">
        <f t="shared" si="30"/>
        <v>251.727</v>
      </c>
      <c r="M748" s="59">
        <f t="shared" si="31"/>
        <v>0.04355885079</v>
      </c>
    </row>
    <row r="749" ht="15.0" hidden="1" customHeight="1">
      <c r="A749" s="59">
        <f t="shared" si="20"/>
        <v>9</v>
      </c>
      <c r="B749" s="59" t="str">
        <f t="shared" si="21"/>
        <v>Đã chốt</v>
      </c>
      <c r="C749" s="59" t="str">
        <f t="shared" si="22"/>
        <v>Téc 3</v>
      </c>
      <c r="D749" s="45">
        <f t="shared" si="23"/>
        <v>46023</v>
      </c>
      <c r="E749" s="45">
        <f t="shared" si="24"/>
        <v>46027</v>
      </c>
      <c r="F749" s="133">
        <f t="shared" si="25"/>
        <v>1</v>
      </c>
      <c r="G749" s="133">
        <f t="shared" si="26"/>
        <v>2026</v>
      </c>
      <c r="H749" s="59" t="str">
        <f t="shared" si="27"/>
        <v>28H00669</v>
      </c>
      <c r="I749" s="59">
        <f>IF(OR($A749="",$C749="",$D749="",$E749="",$H749=""),"",SUMIFS(DATA_GOC!$H:$H,DATA_GOC!$A:$A,"BOM",DATA_GOC!$D:$D,$H749,DATA_GOC!$E:$E,$C749,DATA_GOC!$F:$F,"Xuất nội bộ từ téc",DATA_GOC!$B:$B,"&gt;="&amp;$D749,DATA_GOC!$B:$B,"&lt;="&amp;$E749))</f>
        <v>0</v>
      </c>
      <c r="J749" s="59">
        <f t="shared" si="28"/>
        <v>0</v>
      </c>
      <c r="K749" s="59">
        <f t="shared" si="29"/>
        <v>0</v>
      </c>
      <c r="L749" s="59">
        <f t="shared" si="30"/>
        <v>0</v>
      </c>
      <c r="M749" s="59">
        <f t="shared" si="31"/>
        <v>0</v>
      </c>
    </row>
    <row r="750" ht="15.0" hidden="1" customHeight="1">
      <c r="A750" s="59">
        <f t="shared" si="20"/>
        <v>9</v>
      </c>
      <c r="B750" s="59" t="str">
        <f t="shared" si="21"/>
        <v>Đã chốt</v>
      </c>
      <c r="C750" s="59" t="str">
        <f t="shared" si="22"/>
        <v>Téc 3</v>
      </c>
      <c r="D750" s="45">
        <f t="shared" si="23"/>
        <v>46023</v>
      </c>
      <c r="E750" s="45">
        <f t="shared" si="24"/>
        <v>46027</v>
      </c>
      <c r="F750" s="133">
        <f t="shared" si="25"/>
        <v>1</v>
      </c>
      <c r="G750" s="133">
        <f t="shared" si="26"/>
        <v>2026</v>
      </c>
      <c r="H750" s="59" t="str">
        <f t="shared" si="27"/>
        <v>28H00680</v>
      </c>
      <c r="I750" s="59">
        <f>IF(OR($A750="",$C750="",$D750="",$E750="",$H750=""),"",SUMIFS(DATA_GOC!$H:$H,DATA_GOC!$A:$A,"BOM",DATA_GOC!$D:$D,$H750,DATA_GOC!$E:$E,$C750,DATA_GOC!$F:$F,"Xuất nội bộ từ téc",DATA_GOC!$B:$B,"&gt;="&amp;$D750,DATA_GOC!$B:$B,"&lt;="&amp;$E750))</f>
        <v>305</v>
      </c>
      <c r="J750" s="59">
        <f t="shared" si="28"/>
        <v>21.709</v>
      </c>
      <c r="K750" s="59">
        <f t="shared" si="29"/>
        <v>0</v>
      </c>
      <c r="L750" s="59">
        <f t="shared" si="30"/>
        <v>326.709</v>
      </c>
      <c r="M750" s="59">
        <f t="shared" si="31"/>
        <v>0.05653382762</v>
      </c>
    </row>
    <row r="751" ht="15.0" hidden="1" customHeight="1">
      <c r="A751" s="59">
        <f t="shared" si="20"/>
        <v>9</v>
      </c>
      <c r="B751" s="59" t="str">
        <f t="shared" si="21"/>
        <v>Đã chốt</v>
      </c>
      <c r="C751" s="59" t="str">
        <f t="shared" si="22"/>
        <v>Téc 3</v>
      </c>
      <c r="D751" s="45">
        <f t="shared" si="23"/>
        <v>46023</v>
      </c>
      <c r="E751" s="45">
        <f t="shared" si="24"/>
        <v>46027</v>
      </c>
      <c r="F751" s="133">
        <f t="shared" si="25"/>
        <v>1</v>
      </c>
      <c r="G751" s="133">
        <f t="shared" si="26"/>
        <v>2026</v>
      </c>
      <c r="H751" s="59" t="str">
        <f t="shared" si="27"/>
        <v>28H01070</v>
      </c>
      <c r="I751" s="59">
        <f>IF(OR($A751="",$C751="",$D751="",$E751="",$H751=""),"",SUMIFS(DATA_GOC!$H:$H,DATA_GOC!$A:$A,"BOM",DATA_GOC!$D:$D,$H751,DATA_GOC!$E:$E,$C751,DATA_GOC!$F:$F,"Xuất nội bộ từ téc",DATA_GOC!$B:$B,"&gt;="&amp;$D751,DATA_GOC!$B:$B,"&lt;="&amp;$E751))</f>
        <v>0</v>
      </c>
      <c r="J751" s="59">
        <f t="shared" si="28"/>
        <v>0</v>
      </c>
      <c r="K751" s="59">
        <f t="shared" si="29"/>
        <v>0</v>
      </c>
      <c r="L751" s="59">
        <f t="shared" si="30"/>
        <v>0</v>
      </c>
      <c r="M751" s="59">
        <f t="shared" si="31"/>
        <v>0</v>
      </c>
    </row>
    <row r="752" ht="15.0" hidden="1" customHeight="1">
      <c r="A752" s="59">
        <f t="shared" si="20"/>
        <v>9</v>
      </c>
      <c r="B752" s="59" t="str">
        <f t="shared" si="21"/>
        <v>Đã chốt</v>
      </c>
      <c r="C752" s="59" t="str">
        <f t="shared" si="22"/>
        <v>Téc 3</v>
      </c>
      <c r="D752" s="45">
        <f t="shared" si="23"/>
        <v>46023</v>
      </c>
      <c r="E752" s="45">
        <f t="shared" si="24"/>
        <v>46027</v>
      </c>
      <c r="F752" s="133">
        <f t="shared" si="25"/>
        <v>1</v>
      </c>
      <c r="G752" s="133">
        <f t="shared" si="26"/>
        <v>2026</v>
      </c>
      <c r="H752" s="59" t="str">
        <f t="shared" si="27"/>
        <v>28H01364</v>
      </c>
      <c r="I752" s="59">
        <f>IF(OR($A752="",$C752="",$D752="",$E752="",$H752=""),"",SUMIFS(DATA_GOC!$H:$H,DATA_GOC!$A:$A,"BOM",DATA_GOC!$D:$D,$H752,DATA_GOC!$E:$E,$C752,DATA_GOC!$F:$F,"Xuất nội bộ từ téc",DATA_GOC!$B:$B,"&gt;="&amp;$D752,DATA_GOC!$B:$B,"&lt;="&amp;$E752))</f>
        <v>0</v>
      </c>
      <c r="J752" s="59">
        <f t="shared" si="28"/>
        <v>0</v>
      </c>
      <c r="K752" s="59">
        <f t="shared" si="29"/>
        <v>0</v>
      </c>
      <c r="L752" s="59">
        <f t="shared" si="30"/>
        <v>0</v>
      </c>
      <c r="M752" s="59">
        <f t="shared" si="31"/>
        <v>0</v>
      </c>
    </row>
    <row r="753" ht="15.0" hidden="1" customHeight="1">
      <c r="A753" s="59">
        <f t="shared" si="20"/>
        <v>9</v>
      </c>
      <c r="B753" s="59" t="str">
        <f t="shared" si="21"/>
        <v>Đã chốt</v>
      </c>
      <c r="C753" s="59" t="str">
        <f t="shared" si="22"/>
        <v>Téc 3</v>
      </c>
      <c r="D753" s="45">
        <f t="shared" si="23"/>
        <v>46023</v>
      </c>
      <c r="E753" s="45">
        <f t="shared" si="24"/>
        <v>46027</v>
      </c>
      <c r="F753" s="133">
        <f t="shared" si="25"/>
        <v>1</v>
      </c>
      <c r="G753" s="133">
        <f t="shared" si="26"/>
        <v>2026</v>
      </c>
      <c r="H753" s="59" t="str">
        <f t="shared" si="27"/>
        <v>29E17269</v>
      </c>
      <c r="I753" s="59">
        <f>IF(OR($A753="",$C753="",$D753="",$E753="",$H753=""),"",SUMIFS(DATA_GOC!$H:$H,DATA_GOC!$A:$A,"BOM",DATA_GOC!$D:$D,$H753,DATA_GOC!$E:$E,$C753,DATA_GOC!$F:$F,"Xuất nội bộ từ téc",DATA_GOC!$B:$B,"&gt;="&amp;$D753,DATA_GOC!$B:$B,"&lt;="&amp;$E753))</f>
        <v>0</v>
      </c>
      <c r="J753" s="59">
        <f t="shared" si="28"/>
        <v>0</v>
      </c>
      <c r="K753" s="59">
        <f t="shared" si="29"/>
        <v>0</v>
      </c>
      <c r="L753" s="59">
        <f t="shared" si="30"/>
        <v>0</v>
      </c>
      <c r="M753" s="59">
        <f t="shared" si="31"/>
        <v>0</v>
      </c>
    </row>
    <row r="754" ht="15.0" hidden="1" customHeight="1">
      <c r="A754" s="59">
        <f t="shared" si="20"/>
        <v>9</v>
      </c>
      <c r="B754" s="59" t="str">
        <f t="shared" si="21"/>
        <v>Đã chốt</v>
      </c>
      <c r="C754" s="59" t="str">
        <f t="shared" si="22"/>
        <v>Téc 3</v>
      </c>
      <c r="D754" s="45">
        <f t="shared" si="23"/>
        <v>46023</v>
      </c>
      <c r="E754" s="45">
        <f t="shared" si="24"/>
        <v>46027</v>
      </c>
      <c r="F754" s="133">
        <f t="shared" si="25"/>
        <v>1</v>
      </c>
      <c r="G754" s="133">
        <f t="shared" si="26"/>
        <v>2026</v>
      </c>
      <c r="H754" s="59" t="str">
        <f t="shared" si="27"/>
        <v>29E17273</v>
      </c>
      <c r="I754" s="59">
        <f>IF(OR($A754="",$C754="",$D754="",$E754="",$H754=""),"",SUMIFS(DATA_GOC!$H:$H,DATA_GOC!$A:$A,"BOM",DATA_GOC!$D:$D,$H754,DATA_GOC!$E:$E,$C754,DATA_GOC!$F:$F,"Xuất nội bộ từ téc",DATA_GOC!$B:$B,"&gt;="&amp;$D754,DATA_GOC!$B:$B,"&lt;="&amp;$E754))</f>
        <v>0</v>
      </c>
      <c r="J754" s="59">
        <f t="shared" si="28"/>
        <v>0</v>
      </c>
      <c r="K754" s="59">
        <f t="shared" si="29"/>
        <v>0</v>
      </c>
      <c r="L754" s="59">
        <f t="shared" si="30"/>
        <v>0</v>
      </c>
      <c r="M754" s="59">
        <f t="shared" si="31"/>
        <v>0</v>
      </c>
    </row>
    <row r="755" ht="15.0" hidden="1" customHeight="1">
      <c r="A755" s="59">
        <f t="shared" si="20"/>
        <v>9</v>
      </c>
      <c r="B755" s="59" t="str">
        <f t="shared" si="21"/>
        <v>Đã chốt</v>
      </c>
      <c r="C755" s="59" t="str">
        <f t="shared" si="22"/>
        <v>Téc 3</v>
      </c>
      <c r="D755" s="45">
        <f t="shared" si="23"/>
        <v>46023</v>
      </c>
      <c r="E755" s="45">
        <f t="shared" si="24"/>
        <v>46027</v>
      </c>
      <c r="F755" s="133">
        <f t="shared" si="25"/>
        <v>1</v>
      </c>
      <c r="G755" s="133">
        <f t="shared" si="26"/>
        <v>2026</v>
      </c>
      <c r="H755" s="59" t="str">
        <f t="shared" si="27"/>
        <v>29E17410</v>
      </c>
      <c r="I755" s="59">
        <f>IF(OR($A755="",$C755="",$D755="",$E755="",$H755=""),"",SUMIFS(DATA_GOC!$H:$H,DATA_GOC!$A:$A,"BOM",DATA_GOC!$D:$D,$H755,DATA_GOC!$E:$E,$C755,DATA_GOC!$F:$F,"Xuất nội bộ từ téc",DATA_GOC!$B:$B,"&gt;="&amp;$D755,DATA_GOC!$B:$B,"&lt;="&amp;$E755))</f>
        <v>0</v>
      </c>
      <c r="J755" s="59">
        <f t="shared" si="28"/>
        <v>0</v>
      </c>
      <c r="K755" s="59">
        <f t="shared" si="29"/>
        <v>0</v>
      </c>
      <c r="L755" s="59">
        <f t="shared" si="30"/>
        <v>0</v>
      </c>
      <c r="M755" s="59">
        <f t="shared" si="31"/>
        <v>0</v>
      </c>
    </row>
    <row r="756" ht="15.0" hidden="1" customHeight="1">
      <c r="A756" s="59">
        <f t="shared" si="20"/>
        <v>9</v>
      </c>
      <c r="B756" s="59" t="str">
        <f t="shared" si="21"/>
        <v>Đã chốt</v>
      </c>
      <c r="C756" s="59" t="str">
        <f t="shared" si="22"/>
        <v>Téc 3</v>
      </c>
      <c r="D756" s="45">
        <f t="shared" si="23"/>
        <v>46023</v>
      </c>
      <c r="E756" s="45">
        <f t="shared" si="24"/>
        <v>46027</v>
      </c>
      <c r="F756" s="133">
        <f t="shared" si="25"/>
        <v>1</v>
      </c>
      <c r="G756" s="133">
        <f t="shared" si="26"/>
        <v>2026</v>
      </c>
      <c r="H756" s="59" t="str">
        <f t="shared" si="27"/>
        <v>29E17417</v>
      </c>
      <c r="I756" s="59">
        <f>IF(OR($A756="",$C756="",$D756="",$E756="",$H756=""),"",SUMIFS(DATA_GOC!$H:$H,DATA_GOC!$A:$A,"BOM",DATA_GOC!$D:$D,$H756,DATA_GOC!$E:$E,$C756,DATA_GOC!$F:$F,"Xuất nội bộ từ téc",DATA_GOC!$B:$B,"&gt;="&amp;$D756,DATA_GOC!$B:$B,"&lt;="&amp;$E756))</f>
        <v>0</v>
      </c>
      <c r="J756" s="59">
        <f t="shared" si="28"/>
        <v>0</v>
      </c>
      <c r="K756" s="59">
        <f t="shared" si="29"/>
        <v>0</v>
      </c>
      <c r="L756" s="59">
        <f t="shared" si="30"/>
        <v>0</v>
      </c>
      <c r="M756" s="59">
        <f t="shared" si="31"/>
        <v>0</v>
      </c>
    </row>
    <row r="757" ht="15.0" hidden="1" customHeight="1">
      <c r="A757" s="59">
        <f t="shared" si="20"/>
        <v>9</v>
      </c>
      <c r="B757" s="59" t="str">
        <f t="shared" si="21"/>
        <v>Đã chốt</v>
      </c>
      <c r="C757" s="59" t="str">
        <f t="shared" si="22"/>
        <v>Téc 3</v>
      </c>
      <c r="D757" s="45">
        <f t="shared" si="23"/>
        <v>46023</v>
      </c>
      <c r="E757" s="45">
        <f t="shared" si="24"/>
        <v>46027</v>
      </c>
      <c r="F757" s="133">
        <f t="shared" si="25"/>
        <v>1</v>
      </c>
      <c r="G757" s="133">
        <f t="shared" si="26"/>
        <v>2026</v>
      </c>
      <c r="H757" s="59" t="str">
        <f t="shared" si="27"/>
        <v>29E17539</v>
      </c>
      <c r="I757" s="59">
        <f>IF(OR($A757="",$C757="",$D757="",$E757="",$H757=""),"",SUMIFS(DATA_GOC!$H:$H,DATA_GOC!$A:$A,"BOM",DATA_GOC!$D:$D,$H757,DATA_GOC!$E:$E,$C757,DATA_GOC!$F:$F,"Xuất nội bộ từ téc",DATA_GOC!$B:$B,"&gt;="&amp;$D757,DATA_GOC!$B:$B,"&lt;="&amp;$E757))</f>
        <v>0</v>
      </c>
      <c r="J757" s="59">
        <f t="shared" si="28"/>
        <v>0</v>
      </c>
      <c r="K757" s="59">
        <f t="shared" si="29"/>
        <v>0</v>
      </c>
      <c r="L757" s="59">
        <f t="shared" si="30"/>
        <v>0</v>
      </c>
      <c r="M757" s="59">
        <f t="shared" si="31"/>
        <v>0</v>
      </c>
    </row>
    <row r="758" ht="15.0" hidden="1" customHeight="1">
      <c r="A758" s="59">
        <f t="shared" si="20"/>
        <v>9</v>
      </c>
      <c r="B758" s="59" t="str">
        <f t="shared" si="21"/>
        <v>Đã chốt</v>
      </c>
      <c r="C758" s="59" t="str">
        <f t="shared" si="22"/>
        <v>Téc 3</v>
      </c>
      <c r="D758" s="45">
        <f t="shared" si="23"/>
        <v>46023</v>
      </c>
      <c r="E758" s="45">
        <f t="shared" si="24"/>
        <v>46027</v>
      </c>
      <c r="F758" s="133">
        <f t="shared" si="25"/>
        <v>1</v>
      </c>
      <c r="G758" s="133">
        <f t="shared" si="26"/>
        <v>2026</v>
      </c>
      <c r="H758" s="59" t="str">
        <f t="shared" si="27"/>
        <v>29E18160</v>
      </c>
      <c r="I758" s="59">
        <f>IF(OR($A758="",$C758="",$D758="",$E758="",$H758=""),"",SUMIFS(DATA_GOC!$H:$H,DATA_GOC!$A:$A,"BOM",DATA_GOC!$D:$D,$H758,DATA_GOC!$E:$E,$C758,DATA_GOC!$F:$F,"Xuất nội bộ từ téc",DATA_GOC!$B:$B,"&gt;="&amp;$D758,DATA_GOC!$B:$B,"&lt;="&amp;$E758))</f>
        <v>0</v>
      </c>
      <c r="J758" s="59">
        <f t="shared" si="28"/>
        <v>0</v>
      </c>
      <c r="K758" s="59">
        <f t="shared" si="29"/>
        <v>0</v>
      </c>
      <c r="L758" s="59">
        <f t="shared" si="30"/>
        <v>0</v>
      </c>
      <c r="M758" s="59">
        <f t="shared" si="31"/>
        <v>0</v>
      </c>
    </row>
    <row r="759" ht="15.0" hidden="1" customHeight="1">
      <c r="A759" s="59">
        <f t="shared" si="20"/>
        <v>9</v>
      </c>
      <c r="B759" s="59" t="str">
        <f t="shared" si="21"/>
        <v>Đã chốt</v>
      </c>
      <c r="C759" s="59" t="str">
        <f t="shared" si="22"/>
        <v>Téc 3</v>
      </c>
      <c r="D759" s="45">
        <f t="shared" si="23"/>
        <v>46023</v>
      </c>
      <c r="E759" s="45">
        <f t="shared" si="24"/>
        <v>46027</v>
      </c>
      <c r="F759" s="133">
        <f t="shared" si="25"/>
        <v>1</v>
      </c>
      <c r="G759" s="133">
        <f t="shared" si="26"/>
        <v>2026</v>
      </c>
      <c r="H759" s="59" t="str">
        <f t="shared" si="27"/>
        <v>Công trình Asphalt</v>
      </c>
      <c r="I759" s="59">
        <f>IF(OR($A759="",$C759="",$D759="",$E759="",$H759=""),"",SUMIFS(DATA_GOC!$H:$H,DATA_GOC!$A:$A,"BOM",DATA_GOC!$D:$D,$H759,DATA_GOC!$E:$E,$C759,DATA_GOC!$F:$F,"Xuất nội bộ từ téc",DATA_GOC!$B:$B,"&gt;="&amp;$D759,DATA_GOC!$B:$B,"&lt;="&amp;$E759))</f>
        <v>200</v>
      </c>
      <c r="J759" s="59">
        <f t="shared" si="28"/>
        <v>14.235</v>
      </c>
      <c r="K759" s="59">
        <f t="shared" si="29"/>
        <v>0</v>
      </c>
      <c r="L759" s="59">
        <f t="shared" si="30"/>
        <v>214.235</v>
      </c>
      <c r="M759" s="59">
        <f t="shared" si="31"/>
        <v>0.03707136237</v>
      </c>
    </row>
    <row r="760" ht="15.0" hidden="1" customHeight="1">
      <c r="A760" s="59">
        <f t="shared" si="20"/>
        <v>9</v>
      </c>
      <c r="B760" s="59" t="str">
        <f t="shared" si="21"/>
        <v>Đã chốt</v>
      </c>
      <c r="C760" s="59" t="str">
        <f t="shared" si="22"/>
        <v>Téc 3</v>
      </c>
      <c r="D760" s="45">
        <f t="shared" si="23"/>
        <v>46023</v>
      </c>
      <c r="E760" s="45">
        <f t="shared" si="24"/>
        <v>46027</v>
      </c>
      <c r="F760" s="133">
        <f t="shared" si="25"/>
        <v>1</v>
      </c>
      <c r="G760" s="133">
        <f t="shared" si="26"/>
        <v>2026</v>
      </c>
      <c r="H760" s="59" t="str">
        <f t="shared" si="27"/>
        <v>LG53F</v>
      </c>
      <c r="I760" s="59">
        <f>IF(OR($A760="",$C760="",$D760="",$E760="",$H760=""),"",SUMIFS(DATA_GOC!$H:$H,DATA_GOC!$A:$A,"BOM",DATA_GOC!$D:$D,$H760,DATA_GOC!$E:$E,$C760,DATA_GOC!$F:$F,"Xuất nội bộ từ téc",DATA_GOC!$B:$B,"&gt;="&amp;$D760,DATA_GOC!$B:$B,"&lt;="&amp;$E760))</f>
        <v>0</v>
      </c>
      <c r="J760" s="59">
        <f t="shared" si="28"/>
        <v>0</v>
      </c>
      <c r="K760" s="59">
        <f t="shared" si="29"/>
        <v>0</v>
      </c>
      <c r="L760" s="59">
        <f t="shared" si="30"/>
        <v>0</v>
      </c>
      <c r="M760" s="59">
        <f t="shared" si="31"/>
        <v>0</v>
      </c>
    </row>
    <row r="761" ht="15.0" hidden="1" customHeight="1">
      <c r="A761" s="59">
        <f t="shared" si="20"/>
        <v>9</v>
      </c>
      <c r="B761" s="59" t="str">
        <f t="shared" si="21"/>
        <v>Đã chốt</v>
      </c>
      <c r="C761" s="59" t="str">
        <f t="shared" si="22"/>
        <v>Téc 3</v>
      </c>
      <c r="D761" s="45">
        <f t="shared" si="23"/>
        <v>46023</v>
      </c>
      <c r="E761" s="45">
        <f t="shared" si="24"/>
        <v>46027</v>
      </c>
      <c r="F761" s="133">
        <f t="shared" si="25"/>
        <v>1</v>
      </c>
      <c r="G761" s="133">
        <f t="shared" si="26"/>
        <v>2026</v>
      </c>
      <c r="H761" s="59" t="str">
        <f t="shared" si="27"/>
        <v>Máy phát điện</v>
      </c>
      <c r="I761" s="59">
        <f>IF(OR($A761="",$C761="",$D761="",$E761="",$H761=""),"",SUMIFS(DATA_GOC!$H:$H,DATA_GOC!$A:$A,"BOM",DATA_GOC!$D:$D,$H761,DATA_GOC!$E:$E,$C761,DATA_GOC!$F:$F,"Xuất nội bộ từ téc",DATA_GOC!$B:$B,"&gt;="&amp;$D761,DATA_GOC!$B:$B,"&lt;="&amp;$E761))</f>
        <v>0</v>
      </c>
      <c r="J761" s="59">
        <f t="shared" si="28"/>
        <v>0</v>
      </c>
      <c r="K761" s="59">
        <f t="shared" si="29"/>
        <v>0</v>
      </c>
      <c r="L761" s="59">
        <f t="shared" si="30"/>
        <v>0</v>
      </c>
      <c r="M761" s="59">
        <f t="shared" si="31"/>
        <v>0</v>
      </c>
    </row>
    <row r="762" ht="15.0" hidden="1" customHeight="1">
      <c r="A762" s="59">
        <f t="shared" si="20"/>
        <v>9</v>
      </c>
      <c r="B762" s="59" t="str">
        <f t="shared" si="21"/>
        <v>Đã chốt</v>
      </c>
      <c r="C762" s="59" t="str">
        <f t="shared" si="22"/>
        <v>Téc 3</v>
      </c>
      <c r="D762" s="45">
        <f t="shared" si="23"/>
        <v>46023</v>
      </c>
      <c r="E762" s="45">
        <f t="shared" si="24"/>
        <v>46027</v>
      </c>
      <c r="F762" s="133">
        <f t="shared" si="25"/>
        <v>1</v>
      </c>
      <c r="G762" s="133">
        <f t="shared" si="26"/>
        <v>2026</v>
      </c>
      <c r="H762" s="59" t="str">
        <f t="shared" si="27"/>
        <v>Máy rải thảm</v>
      </c>
      <c r="I762" s="59">
        <f>IF(OR($A762="",$C762="",$D762="",$E762="",$H762=""),"",SUMIFS(DATA_GOC!$H:$H,DATA_GOC!$A:$A,"BOM",DATA_GOC!$D:$D,$H762,DATA_GOC!$E:$E,$C762,DATA_GOC!$F:$F,"Xuất nội bộ từ téc",DATA_GOC!$B:$B,"&gt;="&amp;$D762,DATA_GOC!$B:$B,"&lt;="&amp;$E762))</f>
        <v>0</v>
      </c>
      <c r="J762" s="59">
        <f t="shared" si="28"/>
        <v>0</v>
      </c>
      <c r="K762" s="59">
        <f t="shared" si="29"/>
        <v>0</v>
      </c>
      <c r="L762" s="59">
        <f t="shared" si="30"/>
        <v>0</v>
      </c>
      <c r="M762" s="59">
        <f t="shared" si="31"/>
        <v>0</v>
      </c>
    </row>
    <row r="763" ht="15.0" hidden="1" customHeight="1">
      <c r="A763" s="59">
        <f t="shared" si="20"/>
        <v>9</v>
      </c>
      <c r="B763" s="59" t="str">
        <f t="shared" si="21"/>
        <v>Đã chốt</v>
      </c>
      <c r="C763" s="59" t="str">
        <f t="shared" si="22"/>
        <v>Téc 3</v>
      </c>
      <c r="D763" s="45">
        <f t="shared" si="23"/>
        <v>46023</v>
      </c>
      <c r="E763" s="45">
        <f t="shared" si="24"/>
        <v>46027</v>
      </c>
      <c r="F763" s="133">
        <f t="shared" si="25"/>
        <v>1</v>
      </c>
      <c r="G763" s="133">
        <f t="shared" si="26"/>
        <v>2026</v>
      </c>
      <c r="H763" s="59" t="str">
        <f t="shared" si="27"/>
        <v>Xúc Đào</v>
      </c>
      <c r="I763" s="59">
        <f>IF(OR($A763="",$C763="",$D763="",$E763="",$H763=""),"",SUMIFS(DATA_GOC!$H:$H,DATA_GOC!$A:$A,"BOM",DATA_GOC!$D:$D,$H763,DATA_GOC!$E:$E,$C763,DATA_GOC!$F:$F,"Xuất nội bộ từ téc",DATA_GOC!$B:$B,"&gt;="&amp;$D763,DATA_GOC!$B:$B,"&lt;="&amp;$E763))</f>
        <v>0</v>
      </c>
      <c r="J763" s="59">
        <f t="shared" si="28"/>
        <v>0</v>
      </c>
      <c r="K763" s="59">
        <f t="shared" si="29"/>
        <v>0</v>
      </c>
      <c r="L763" s="59">
        <f t="shared" si="30"/>
        <v>0</v>
      </c>
      <c r="M763" s="59">
        <f t="shared" si="31"/>
        <v>0</v>
      </c>
    </row>
    <row r="764" ht="15.0" hidden="1" customHeight="1">
      <c r="A764" s="59">
        <f t="shared" si="20"/>
        <v>9</v>
      </c>
      <c r="B764" s="59" t="str">
        <f t="shared" si="21"/>
        <v>Đã chốt</v>
      </c>
      <c r="C764" s="59" t="str">
        <f t="shared" si="22"/>
        <v>Téc 3</v>
      </c>
      <c r="D764" s="45">
        <f t="shared" si="23"/>
        <v>46023</v>
      </c>
      <c r="E764" s="45">
        <f t="shared" si="24"/>
        <v>46027</v>
      </c>
      <c r="F764" s="133">
        <f t="shared" si="25"/>
        <v>1</v>
      </c>
      <c r="G764" s="133">
        <f t="shared" si="26"/>
        <v>2026</v>
      </c>
      <c r="H764" s="59" t="str">
        <f t="shared" si="27"/>
        <v>Xúclật asphalt</v>
      </c>
      <c r="I764" s="59">
        <f>IF(OR($A764="",$C764="",$D764="",$E764="",$H764=""),"",SUMIFS(DATA_GOC!$H:$H,DATA_GOC!$A:$A,"BOM",DATA_GOC!$D:$D,$H764,DATA_GOC!$E:$E,$C764,DATA_GOC!$F:$F,"Xuất nội bộ từ téc",DATA_GOC!$B:$B,"&gt;="&amp;$D764,DATA_GOC!$B:$B,"&lt;="&amp;$E764))</f>
        <v>0</v>
      </c>
      <c r="J764" s="59">
        <f t="shared" si="28"/>
        <v>0</v>
      </c>
      <c r="K764" s="59">
        <f t="shared" si="29"/>
        <v>0</v>
      </c>
      <c r="L764" s="59">
        <f t="shared" si="30"/>
        <v>0</v>
      </c>
      <c r="M764" s="59">
        <f t="shared" si="31"/>
        <v>0</v>
      </c>
    </row>
    <row r="765" ht="15.0" hidden="1" customHeight="1">
      <c r="A765" s="59">
        <f t="shared" si="20"/>
        <v>9</v>
      </c>
      <c r="B765" s="59" t="str">
        <f t="shared" si="21"/>
        <v>Đã chốt</v>
      </c>
      <c r="C765" s="59" t="str">
        <f t="shared" si="22"/>
        <v>Téc 3</v>
      </c>
      <c r="D765" s="45">
        <f t="shared" si="23"/>
        <v>46023</v>
      </c>
      <c r="E765" s="45">
        <f t="shared" si="24"/>
        <v>46027</v>
      </c>
      <c r="F765" s="133">
        <f t="shared" si="25"/>
        <v>1</v>
      </c>
      <c r="G765" s="133">
        <f t="shared" si="26"/>
        <v>2026</v>
      </c>
      <c r="H765" s="59" t="str">
        <f t="shared" si="27"/>
        <v>Xúclật855H</v>
      </c>
      <c r="I765" s="59">
        <f>IF(OR($A765="",$C765="",$D765="",$E765="",$H765=""),"",SUMIFS(DATA_GOC!$H:$H,DATA_GOC!$A:$A,"BOM",DATA_GOC!$D:$D,$H765,DATA_GOC!$E:$E,$C765,DATA_GOC!$F:$F,"Xuất nội bộ từ téc",DATA_GOC!$B:$B,"&gt;="&amp;$D765,DATA_GOC!$B:$B,"&lt;="&amp;$E765))</f>
        <v>156</v>
      </c>
      <c r="J765" s="59">
        <f t="shared" si="28"/>
        <v>11.104</v>
      </c>
      <c r="K765" s="59">
        <f t="shared" si="29"/>
        <v>0</v>
      </c>
      <c r="L765" s="59">
        <f t="shared" si="30"/>
        <v>167.104</v>
      </c>
      <c r="M765" s="59">
        <f t="shared" si="31"/>
        <v>0.02891566265</v>
      </c>
    </row>
    <row r="766" ht="15.0" hidden="1" customHeight="1">
      <c r="A766" s="59">
        <f t="shared" si="20"/>
        <v>9</v>
      </c>
      <c r="B766" s="59" t="str">
        <f t="shared" si="21"/>
        <v>Đã chốt</v>
      </c>
      <c r="C766" s="59" t="str">
        <f t="shared" si="22"/>
        <v>Téc 3</v>
      </c>
      <c r="D766" s="45">
        <f t="shared" si="23"/>
        <v>46023</v>
      </c>
      <c r="E766" s="45">
        <f t="shared" si="24"/>
        <v>46027</v>
      </c>
      <c r="F766" s="133">
        <f t="shared" si="25"/>
        <v>1</v>
      </c>
      <c r="G766" s="133">
        <f t="shared" si="26"/>
        <v>2026</v>
      </c>
      <c r="H766" s="59" t="str">
        <f t="shared" si="27"/>
        <v>Xúclật855N</v>
      </c>
      <c r="I766" s="59">
        <f>IF(OR($A766="",$C766="",$D766="",$E766="",$H766=""),"",SUMIFS(DATA_GOC!$H:$H,DATA_GOC!$A:$A,"BOM",DATA_GOC!$D:$D,$H766,DATA_GOC!$E:$E,$C766,DATA_GOC!$F:$F,"Xuất nội bộ từ téc",DATA_GOC!$B:$B,"&gt;="&amp;$D766,DATA_GOC!$B:$B,"&lt;="&amp;$E766))</f>
        <v>0</v>
      </c>
      <c r="J766" s="59">
        <f t="shared" si="28"/>
        <v>0</v>
      </c>
      <c r="K766" s="59">
        <f t="shared" si="29"/>
        <v>0</v>
      </c>
      <c r="L766" s="59">
        <f t="shared" si="30"/>
        <v>0</v>
      </c>
      <c r="M766" s="59">
        <f t="shared" si="31"/>
        <v>0</v>
      </c>
    </row>
    <row r="767" ht="15.0" hidden="1" customHeight="1">
      <c r="A767" s="59">
        <f t="shared" si="20"/>
        <v>9</v>
      </c>
      <c r="B767" s="59" t="str">
        <f t="shared" si="21"/>
        <v>Đã chốt</v>
      </c>
      <c r="C767" s="59" t="str">
        <f t="shared" si="22"/>
        <v>Téc 3</v>
      </c>
      <c r="D767" s="45">
        <f t="shared" si="23"/>
        <v>46023</v>
      </c>
      <c r="E767" s="45">
        <f t="shared" si="24"/>
        <v>46027</v>
      </c>
      <c r="F767" s="133">
        <f t="shared" si="25"/>
        <v>1</v>
      </c>
      <c r="G767" s="133">
        <f t="shared" si="26"/>
        <v>2026</v>
      </c>
      <c r="H767" s="59" t="str">
        <f t="shared" si="27"/>
        <v>Cát nghiền</v>
      </c>
      <c r="I767" s="59">
        <f>IF(OR($A767="",$C767="",$D767="",$E767="",$H767=""),"",SUMIFS(DATA_GOC!$H:$H,DATA_GOC!$A:$A,"BOM",DATA_GOC!$D:$D,$H767,DATA_GOC!$E:$E,$C767,DATA_GOC!$F:$F,"Xuất nội bộ từ téc",DATA_GOC!$B:$B,"&gt;="&amp;$D767,DATA_GOC!$B:$B,"&lt;="&amp;$E767))</f>
        <v>0</v>
      </c>
      <c r="J767" s="59">
        <f t="shared" si="28"/>
        <v>0</v>
      </c>
      <c r="K767" s="59">
        <f t="shared" si="29"/>
        <v>0</v>
      </c>
      <c r="L767" s="59">
        <f t="shared" si="30"/>
        <v>0</v>
      </c>
      <c r="M767" s="59">
        <f t="shared" si="31"/>
        <v>0</v>
      </c>
    </row>
    <row r="768" ht="15.0" hidden="1" customHeight="1">
      <c r="A768" s="59">
        <f t="shared" si="20"/>
        <v>9</v>
      </c>
      <c r="B768" s="59" t="str">
        <f t="shared" si="21"/>
        <v>Đã chốt</v>
      </c>
      <c r="C768" s="59" t="str">
        <f t="shared" si="22"/>
        <v>Téc 3</v>
      </c>
      <c r="D768" s="45">
        <f t="shared" si="23"/>
        <v>46023</v>
      </c>
      <c r="E768" s="45">
        <f t="shared" si="24"/>
        <v>46027</v>
      </c>
      <c r="F768" s="133">
        <f t="shared" si="25"/>
        <v>1</v>
      </c>
      <c r="G768" s="133">
        <f t="shared" si="26"/>
        <v>2026</v>
      </c>
      <c r="H768" s="59" t="str">
        <f t="shared" si="27"/>
        <v>28C02973</v>
      </c>
      <c r="I768" s="59">
        <f>IF(OR($A768="",$C768="",$D768="",$E768="",$H768=""),"",SUMIFS(DATA_GOC!$H:$H,DATA_GOC!$A:$A,"BOM",DATA_GOC!$D:$D,$H768,DATA_GOC!$E:$E,$C768,DATA_GOC!$F:$F,"Xuất nội bộ từ téc",DATA_GOC!$B:$B,"&gt;="&amp;$D768,DATA_GOC!$B:$B,"&lt;="&amp;$E768))</f>
        <v>0</v>
      </c>
      <c r="J768" s="59">
        <f t="shared" si="28"/>
        <v>0</v>
      </c>
      <c r="K768" s="59">
        <f t="shared" si="29"/>
        <v>0</v>
      </c>
      <c r="L768" s="59">
        <f t="shared" si="30"/>
        <v>0</v>
      </c>
      <c r="M768" s="59">
        <f t="shared" si="31"/>
        <v>0</v>
      </c>
    </row>
    <row r="769" ht="15.0" hidden="1" customHeight="1">
      <c r="A769" s="59">
        <f t="shared" si="20"/>
        <v>9</v>
      </c>
      <c r="B769" s="59" t="str">
        <f t="shared" si="21"/>
        <v>Đã chốt</v>
      </c>
      <c r="C769" s="59" t="str">
        <f t="shared" si="22"/>
        <v>Téc 3</v>
      </c>
      <c r="D769" s="45">
        <f t="shared" si="23"/>
        <v>46023</v>
      </c>
      <c r="E769" s="45">
        <f t="shared" si="24"/>
        <v>46027</v>
      </c>
      <c r="F769" s="133">
        <f t="shared" si="25"/>
        <v>1</v>
      </c>
      <c r="G769" s="133">
        <f t="shared" si="26"/>
        <v>2026</v>
      </c>
      <c r="H769" s="59" t="str">
        <f t="shared" si="27"/>
        <v>28C03044</v>
      </c>
      <c r="I769" s="59">
        <f>IF(OR($A769="",$C769="",$D769="",$E769="",$H769=""),"",SUMIFS(DATA_GOC!$H:$H,DATA_GOC!$A:$A,"BOM",DATA_GOC!$D:$D,$H769,DATA_GOC!$E:$E,$C769,DATA_GOC!$F:$F,"Xuất nội bộ từ téc",DATA_GOC!$B:$B,"&gt;="&amp;$D769,DATA_GOC!$B:$B,"&lt;="&amp;$E769))</f>
        <v>0</v>
      </c>
      <c r="J769" s="59">
        <f t="shared" si="28"/>
        <v>0</v>
      </c>
      <c r="K769" s="59">
        <f t="shared" si="29"/>
        <v>0</v>
      </c>
      <c r="L769" s="59">
        <f t="shared" si="30"/>
        <v>0</v>
      </c>
      <c r="M769" s="59">
        <f t="shared" si="31"/>
        <v>0</v>
      </c>
    </row>
    <row r="770" ht="15.0" hidden="1" customHeight="1">
      <c r="A770" s="59">
        <f t="shared" si="20"/>
        <v>9</v>
      </c>
      <c r="B770" s="59" t="str">
        <f t="shared" si="21"/>
        <v>Đã chốt</v>
      </c>
      <c r="C770" s="59" t="str">
        <f t="shared" si="22"/>
        <v>Téc 3</v>
      </c>
      <c r="D770" s="45">
        <f t="shared" si="23"/>
        <v>46023</v>
      </c>
      <c r="E770" s="45">
        <f t="shared" si="24"/>
        <v>46027</v>
      </c>
      <c r="F770" s="133">
        <f t="shared" si="25"/>
        <v>1</v>
      </c>
      <c r="G770" s="133">
        <f t="shared" si="26"/>
        <v>2026</v>
      </c>
      <c r="H770" s="59" t="str">
        <f t="shared" si="27"/>
        <v>Máy lu lốp</v>
      </c>
      <c r="I770" s="59">
        <f>IF(OR($A770="",$C770="",$D770="",$E770="",$H770=""),"",SUMIFS(DATA_GOC!$H:$H,DATA_GOC!$A:$A,"BOM",DATA_GOC!$D:$D,$H770,DATA_GOC!$E:$E,$C770,DATA_GOC!$F:$F,"Xuất nội bộ từ téc",DATA_GOC!$B:$B,"&gt;="&amp;$D770,DATA_GOC!$B:$B,"&lt;="&amp;$E770))</f>
        <v>0</v>
      </c>
      <c r="J770" s="59">
        <f t="shared" si="28"/>
        <v>0</v>
      </c>
      <c r="K770" s="59">
        <f t="shared" si="29"/>
        <v>0</v>
      </c>
      <c r="L770" s="59">
        <f t="shared" si="30"/>
        <v>0</v>
      </c>
      <c r="M770" s="59">
        <f t="shared" si="31"/>
        <v>0</v>
      </c>
    </row>
    <row r="771" ht="15.0" hidden="1" customHeight="1">
      <c r="A771" s="59">
        <f t="shared" si="20"/>
        <v>9</v>
      </c>
      <c r="B771" s="59" t="str">
        <f t="shared" si="21"/>
        <v>Đã chốt</v>
      </c>
      <c r="C771" s="59" t="str">
        <f t="shared" si="22"/>
        <v>Téc 3</v>
      </c>
      <c r="D771" s="45">
        <f t="shared" si="23"/>
        <v>46023</v>
      </c>
      <c r="E771" s="45">
        <f t="shared" si="24"/>
        <v>46027</v>
      </c>
      <c r="F771" s="133">
        <f t="shared" si="25"/>
        <v>1</v>
      </c>
      <c r="G771" s="133">
        <f t="shared" si="26"/>
        <v>2026</v>
      </c>
      <c r="H771" s="59" t="str">
        <f t="shared" si="27"/>
        <v>Xe 600148</v>
      </c>
      <c r="I771" s="59">
        <f>IF(OR($A771="",$C771="",$D771="",$E771="",$H771=""),"",SUMIFS(DATA_GOC!$H:$H,DATA_GOC!$A:$A,"BOM",DATA_GOC!$D:$D,$H771,DATA_GOC!$E:$E,$C771,DATA_GOC!$F:$F,"Xuất nội bộ từ téc",DATA_GOC!$B:$B,"&gt;="&amp;$D771,DATA_GOC!$B:$B,"&lt;="&amp;$E771))</f>
        <v>0</v>
      </c>
      <c r="J771" s="59">
        <f t="shared" si="28"/>
        <v>0</v>
      </c>
      <c r="K771" s="59">
        <f t="shared" si="29"/>
        <v>0</v>
      </c>
      <c r="L771" s="59">
        <f t="shared" si="30"/>
        <v>0</v>
      </c>
      <c r="M771" s="59">
        <f t="shared" si="31"/>
        <v>0</v>
      </c>
    </row>
    <row r="772" ht="15.0" hidden="1" customHeight="1">
      <c r="A772" s="59">
        <f t="shared" si="20"/>
        <v>9</v>
      </c>
      <c r="B772" s="59" t="str">
        <f t="shared" si="21"/>
        <v>Đã chốt</v>
      </c>
      <c r="C772" s="59" t="str">
        <f t="shared" si="22"/>
        <v>Téc 3</v>
      </c>
      <c r="D772" s="45">
        <f t="shared" si="23"/>
        <v>46023</v>
      </c>
      <c r="E772" s="45">
        <f t="shared" si="24"/>
        <v>46027</v>
      </c>
      <c r="F772" s="133">
        <f t="shared" si="25"/>
        <v>1</v>
      </c>
      <c r="G772" s="133">
        <f t="shared" si="26"/>
        <v>2026</v>
      </c>
      <c r="H772" s="59" t="str">
        <f t="shared" si="27"/>
        <v>Xe ben mới</v>
      </c>
      <c r="I772" s="59">
        <f>IF(OR($A772="",$C772="",$D772="",$E772="",$H772=""),"",SUMIFS(DATA_GOC!$H:$H,DATA_GOC!$A:$A,"BOM",DATA_GOC!$D:$D,$H772,DATA_GOC!$E:$E,$C772,DATA_GOC!$F:$F,"Xuất nội bộ từ téc",DATA_GOC!$B:$B,"&gt;="&amp;$D772,DATA_GOC!$B:$B,"&lt;="&amp;$E772))</f>
        <v>0</v>
      </c>
      <c r="J772" s="59">
        <f t="shared" si="28"/>
        <v>0</v>
      </c>
      <c r="K772" s="59">
        <f t="shared" si="29"/>
        <v>0</v>
      </c>
      <c r="L772" s="59">
        <f t="shared" si="30"/>
        <v>0</v>
      </c>
      <c r="M772" s="59">
        <f t="shared" si="31"/>
        <v>0</v>
      </c>
    </row>
    <row r="773" ht="15.0" hidden="1" customHeight="1">
      <c r="A773" s="59">
        <f t="shared" si="20"/>
        <v>10</v>
      </c>
      <c r="B773" s="59" t="str">
        <f t="shared" si="21"/>
        <v>Đã chốt</v>
      </c>
      <c r="C773" s="59" t="str">
        <f t="shared" si="22"/>
        <v>Téc 3</v>
      </c>
      <c r="D773" s="45">
        <f t="shared" si="23"/>
        <v>46028</v>
      </c>
      <c r="E773" s="45">
        <f t="shared" si="24"/>
        <v>46046</v>
      </c>
      <c r="F773" s="133">
        <f t="shared" si="25"/>
        <v>1</v>
      </c>
      <c r="G773" s="133">
        <f t="shared" si="26"/>
        <v>2026</v>
      </c>
      <c r="H773" s="59" t="str">
        <f t="shared" si="27"/>
        <v>19H09482</v>
      </c>
      <c r="I773" s="59">
        <f>IF(OR($A773="",$C773="",$D773="",$E773="",$H773=""),"",SUMIFS(DATA_GOC!$H:$H,DATA_GOC!$A:$A,"BOM",DATA_GOC!$D:$D,$H773,DATA_GOC!$E:$E,$C773,DATA_GOC!$F:$F,"Xuất nội bộ từ téc",DATA_GOC!$B:$B,"&gt;="&amp;$D773,DATA_GOC!$B:$B,"&lt;="&amp;$E773))</f>
        <v>462</v>
      </c>
      <c r="J773" s="59">
        <f t="shared" si="28"/>
        <v>17.742</v>
      </c>
      <c r="K773" s="59">
        <f t="shared" si="29"/>
        <v>0</v>
      </c>
      <c r="L773" s="59">
        <f t="shared" si="30"/>
        <v>479.742</v>
      </c>
      <c r="M773" s="59">
        <f t="shared" si="31"/>
        <v>0.02147938072</v>
      </c>
    </row>
    <row r="774" ht="15.0" hidden="1" customHeight="1">
      <c r="A774" s="59">
        <f t="shared" si="20"/>
        <v>10</v>
      </c>
      <c r="B774" s="59" t="str">
        <f t="shared" si="21"/>
        <v>Đã chốt</v>
      </c>
      <c r="C774" s="59" t="str">
        <f t="shared" si="22"/>
        <v>Téc 3</v>
      </c>
      <c r="D774" s="45">
        <f t="shared" si="23"/>
        <v>46028</v>
      </c>
      <c r="E774" s="45">
        <f t="shared" si="24"/>
        <v>46046</v>
      </c>
      <c r="F774" s="133">
        <f t="shared" si="25"/>
        <v>1</v>
      </c>
      <c r="G774" s="133">
        <f t="shared" si="26"/>
        <v>2026</v>
      </c>
      <c r="H774" s="59" t="str">
        <f t="shared" si="27"/>
        <v>28A30696</v>
      </c>
      <c r="I774" s="59">
        <f>IF(OR($A774="",$C774="",$D774="",$E774="",$H774=""),"",SUMIFS(DATA_GOC!$H:$H,DATA_GOC!$A:$A,"BOM",DATA_GOC!$D:$D,$H774,DATA_GOC!$E:$E,$C774,DATA_GOC!$F:$F,"Xuất nội bộ từ téc",DATA_GOC!$B:$B,"&gt;="&amp;$D774,DATA_GOC!$B:$B,"&lt;="&amp;$E774))</f>
        <v>35</v>
      </c>
      <c r="J774" s="59">
        <f t="shared" si="28"/>
        <v>1.344</v>
      </c>
      <c r="K774" s="59">
        <f t="shared" si="29"/>
        <v>0</v>
      </c>
      <c r="L774" s="59">
        <f t="shared" si="30"/>
        <v>36.344</v>
      </c>
      <c r="M774" s="59">
        <f t="shared" si="31"/>
        <v>0.001627225812</v>
      </c>
    </row>
    <row r="775" ht="15.0" hidden="1" customHeight="1">
      <c r="A775" s="59">
        <f t="shared" si="20"/>
        <v>10</v>
      </c>
      <c r="B775" s="59" t="str">
        <f t="shared" si="21"/>
        <v>Đã chốt</v>
      </c>
      <c r="C775" s="59" t="str">
        <f t="shared" si="22"/>
        <v>Téc 3</v>
      </c>
      <c r="D775" s="45">
        <f t="shared" si="23"/>
        <v>46028</v>
      </c>
      <c r="E775" s="45">
        <f t="shared" si="24"/>
        <v>46046</v>
      </c>
      <c r="F775" s="133">
        <f t="shared" si="25"/>
        <v>1</v>
      </c>
      <c r="G775" s="133">
        <f t="shared" si="26"/>
        <v>2026</v>
      </c>
      <c r="H775" s="59" t="str">
        <f t="shared" si="27"/>
        <v>28C00462</v>
      </c>
      <c r="I775" s="59">
        <f>IF(OR($A775="",$C775="",$D775="",$E775="",$H775=""),"",SUMIFS(DATA_GOC!$H:$H,DATA_GOC!$A:$A,"BOM",DATA_GOC!$D:$D,$H775,DATA_GOC!$E:$E,$C775,DATA_GOC!$F:$F,"Xuất nội bộ từ téc",DATA_GOC!$B:$B,"&gt;="&amp;$D775,DATA_GOC!$B:$B,"&lt;="&amp;$E775))</f>
        <v>630</v>
      </c>
      <c r="J775" s="59">
        <f t="shared" si="28"/>
        <v>24.194</v>
      </c>
      <c r="K775" s="59">
        <f t="shared" si="29"/>
        <v>0</v>
      </c>
      <c r="L775" s="59">
        <f t="shared" si="30"/>
        <v>654.194</v>
      </c>
      <c r="M775" s="59">
        <f t="shared" si="31"/>
        <v>0.02929006462</v>
      </c>
    </row>
    <row r="776" ht="15.0" hidden="1" customHeight="1">
      <c r="A776" s="59">
        <f t="shared" si="20"/>
        <v>10</v>
      </c>
      <c r="B776" s="59" t="str">
        <f t="shared" si="21"/>
        <v>Đã chốt</v>
      </c>
      <c r="C776" s="59" t="str">
        <f t="shared" si="22"/>
        <v>Téc 3</v>
      </c>
      <c r="D776" s="45">
        <f t="shared" si="23"/>
        <v>46028</v>
      </c>
      <c r="E776" s="45">
        <f t="shared" si="24"/>
        <v>46046</v>
      </c>
      <c r="F776" s="133">
        <f t="shared" si="25"/>
        <v>1</v>
      </c>
      <c r="G776" s="133">
        <f t="shared" si="26"/>
        <v>2026</v>
      </c>
      <c r="H776" s="59" t="str">
        <f t="shared" si="27"/>
        <v>28C01165</v>
      </c>
      <c r="I776" s="59">
        <f>IF(OR($A776="",$C776="",$D776="",$E776="",$H776=""),"",SUMIFS(DATA_GOC!$H:$H,DATA_GOC!$A:$A,"BOM",DATA_GOC!$D:$D,$H776,DATA_GOC!$E:$E,$C776,DATA_GOC!$F:$F,"Xuất nội bộ từ téc",DATA_GOC!$B:$B,"&gt;="&amp;$D776,DATA_GOC!$B:$B,"&lt;="&amp;$E776))</f>
        <v>310</v>
      </c>
      <c r="J776" s="59">
        <f t="shared" si="28"/>
        <v>11.905</v>
      </c>
      <c r="K776" s="59">
        <f t="shared" si="29"/>
        <v>0</v>
      </c>
      <c r="L776" s="59">
        <f t="shared" si="30"/>
        <v>321.905</v>
      </c>
      <c r="M776" s="59">
        <f t="shared" si="31"/>
        <v>0.01441257148</v>
      </c>
    </row>
    <row r="777" ht="15.0" hidden="1" customHeight="1">
      <c r="A777" s="59">
        <f t="shared" si="20"/>
        <v>10</v>
      </c>
      <c r="B777" s="59" t="str">
        <f t="shared" si="21"/>
        <v>Đã chốt</v>
      </c>
      <c r="C777" s="59" t="str">
        <f t="shared" si="22"/>
        <v>Téc 3</v>
      </c>
      <c r="D777" s="45">
        <f t="shared" si="23"/>
        <v>46028</v>
      </c>
      <c r="E777" s="45">
        <f t="shared" si="24"/>
        <v>46046</v>
      </c>
      <c r="F777" s="133">
        <f t="shared" si="25"/>
        <v>1</v>
      </c>
      <c r="G777" s="133">
        <f t="shared" si="26"/>
        <v>2026</v>
      </c>
      <c r="H777" s="59" t="str">
        <f t="shared" si="27"/>
        <v>28C01406</v>
      </c>
      <c r="I777" s="59">
        <f>IF(OR($A777="",$C777="",$D777="",$E777="",$H777=""),"",SUMIFS(DATA_GOC!$H:$H,DATA_GOC!$A:$A,"BOM",DATA_GOC!$D:$D,$H777,DATA_GOC!$E:$E,$C777,DATA_GOC!$F:$F,"Xuất nội bộ từ téc",DATA_GOC!$B:$B,"&gt;="&amp;$D777,DATA_GOC!$B:$B,"&lt;="&amp;$E777))</f>
        <v>0</v>
      </c>
      <c r="J777" s="59">
        <f t="shared" si="28"/>
        <v>0</v>
      </c>
      <c r="K777" s="59">
        <f t="shared" si="29"/>
        <v>0</v>
      </c>
      <c r="L777" s="59">
        <f t="shared" si="30"/>
        <v>0</v>
      </c>
      <c r="M777" s="59">
        <f t="shared" si="31"/>
        <v>0</v>
      </c>
    </row>
    <row r="778" ht="15.0" hidden="1" customHeight="1">
      <c r="A778" s="59">
        <f t="shared" si="20"/>
        <v>10</v>
      </c>
      <c r="B778" s="59" t="str">
        <f t="shared" si="21"/>
        <v>Đã chốt</v>
      </c>
      <c r="C778" s="59" t="str">
        <f t="shared" si="22"/>
        <v>Téc 3</v>
      </c>
      <c r="D778" s="45">
        <f t="shared" si="23"/>
        <v>46028</v>
      </c>
      <c r="E778" s="45">
        <f t="shared" si="24"/>
        <v>46046</v>
      </c>
      <c r="F778" s="133">
        <f t="shared" si="25"/>
        <v>1</v>
      </c>
      <c r="G778" s="133">
        <f t="shared" si="26"/>
        <v>2026</v>
      </c>
      <c r="H778" s="59" t="str">
        <f t="shared" si="27"/>
        <v>28C01544</v>
      </c>
      <c r="I778" s="59">
        <f>IF(OR($A778="",$C778="",$D778="",$E778="",$H778=""),"",SUMIFS(DATA_GOC!$H:$H,DATA_GOC!$A:$A,"BOM",DATA_GOC!$D:$D,$H778,DATA_GOC!$E:$E,$C778,DATA_GOC!$F:$F,"Xuất nội bộ từ téc",DATA_GOC!$B:$B,"&gt;="&amp;$D778,DATA_GOC!$B:$B,"&lt;="&amp;$E778))</f>
        <v>55</v>
      </c>
      <c r="J778" s="59">
        <f t="shared" si="28"/>
        <v>2.112</v>
      </c>
      <c r="K778" s="59">
        <f t="shared" si="29"/>
        <v>0</v>
      </c>
      <c r="L778" s="59">
        <f t="shared" si="30"/>
        <v>57.112</v>
      </c>
      <c r="M778" s="59">
        <f t="shared" si="31"/>
        <v>0.002557069134</v>
      </c>
    </row>
    <row r="779" ht="15.0" hidden="1" customHeight="1">
      <c r="A779" s="59">
        <f t="shared" si="20"/>
        <v>10</v>
      </c>
      <c r="B779" s="59" t="str">
        <f t="shared" si="21"/>
        <v>Đã chốt</v>
      </c>
      <c r="C779" s="59" t="str">
        <f t="shared" si="22"/>
        <v>Téc 3</v>
      </c>
      <c r="D779" s="45">
        <f t="shared" si="23"/>
        <v>46028</v>
      </c>
      <c r="E779" s="45">
        <f t="shared" si="24"/>
        <v>46046</v>
      </c>
      <c r="F779" s="133">
        <f t="shared" si="25"/>
        <v>1</v>
      </c>
      <c r="G779" s="133">
        <f t="shared" si="26"/>
        <v>2026</v>
      </c>
      <c r="H779" s="59" t="str">
        <f t="shared" si="27"/>
        <v>28C01622</v>
      </c>
      <c r="I779" s="59">
        <f>IF(OR($A779="",$C779="",$D779="",$E779="",$H779=""),"",SUMIFS(DATA_GOC!$H:$H,DATA_GOC!$A:$A,"BOM",DATA_GOC!$D:$D,$H779,DATA_GOC!$E:$E,$C779,DATA_GOC!$F:$F,"Xuất nội bộ từ téc",DATA_GOC!$B:$B,"&gt;="&amp;$D779,DATA_GOC!$B:$B,"&lt;="&amp;$E779))</f>
        <v>1090</v>
      </c>
      <c r="J779" s="59">
        <f t="shared" si="28"/>
        <v>41.859</v>
      </c>
      <c r="K779" s="59">
        <f t="shared" si="29"/>
        <v>0</v>
      </c>
      <c r="L779" s="59">
        <f t="shared" si="30"/>
        <v>1131.859</v>
      </c>
      <c r="M779" s="59">
        <f t="shared" si="31"/>
        <v>0.05067646102</v>
      </c>
    </row>
    <row r="780" ht="15.0" hidden="1" customHeight="1">
      <c r="A780" s="59">
        <f t="shared" si="20"/>
        <v>10</v>
      </c>
      <c r="B780" s="59" t="str">
        <f t="shared" si="21"/>
        <v>Đã chốt</v>
      </c>
      <c r="C780" s="59" t="str">
        <f t="shared" si="22"/>
        <v>Téc 3</v>
      </c>
      <c r="D780" s="45">
        <f t="shared" si="23"/>
        <v>46028</v>
      </c>
      <c r="E780" s="45">
        <f t="shared" si="24"/>
        <v>46046</v>
      </c>
      <c r="F780" s="133">
        <f t="shared" si="25"/>
        <v>1</v>
      </c>
      <c r="G780" s="133">
        <f t="shared" si="26"/>
        <v>2026</v>
      </c>
      <c r="H780" s="59" t="str">
        <f t="shared" si="27"/>
        <v>28C01647</v>
      </c>
      <c r="I780" s="59">
        <f>IF(OR($A780="",$C780="",$D780="",$E780="",$H780=""),"",SUMIFS(DATA_GOC!$H:$H,DATA_GOC!$A:$A,"BOM",DATA_GOC!$D:$D,$H780,DATA_GOC!$E:$E,$C780,DATA_GOC!$F:$F,"Xuất nội bộ từ téc",DATA_GOC!$B:$B,"&gt;="&amp;$D780,DATA_GOC!$B:$B,"&lt;="&amp;$E780))</f>
        <v>913</v>
      </c>
      <c r="J780" s="59">
        <f t="shared" si="28"/>
        <v>35.062</v>
      </c>
      <c r="K780" s="59">
        <f t="shared" si="29"/>
        <v>0</v>
      </c>
      <c r="L780" s="59">
        <f t="shared" si="30"/>
        <v>948.062</v>
      </c>
      <c r="M780" s="59">
        <f t="shared" si="31"/>
        <v>0.04244734762</v>
      </c>
    </row>
    <row r="781" ht="15.0" hidden="1" customHeight="1">
      <c r="A781" s="59">
        <f t="shared" si="20"/>
        <v>10</v>
      </c>
      <c r="B781" s="59" t="str">
        <f t="shared" si="21"/>
        <v>Đã chốt</v>
      </c>
      <c r="C781" s="59" t="str">
        <f t="shared" si="22"/>
        <v>Téc 3</v>
      </c>
      <c r="D781" s="45">
        <f t="shared" si="23"/>
        <v>46028</v>
      </c>
      <c r="E781" s="45">
        <f t="shared" si="24"/>
        <v>46046</v>
      </c>
      <c r="F781" s="133">
        <f t="shared" si="25"/>
        <v>1</v>
      </c>
      <c r="G781" s="133">
        <f t="shared" si="26"/>
        <v>2026</v>
      </c>
      <c r="H781" s="59" t="str">
        <f t="shared" si="27"/>
        <v>28C01731</v>
      </c>
      <c r="I781" s="59">
        <f>IF(OR($A781="",$C781="",$D781="",$E781="",$H781=""),"",SUMIFS(DATA_GOC!$H:$H,DATA_GOC!$A:$A,"BOM",DATA_GOC!$D:$D,$H781,DATA_GOC!$E:$E,$C781,DATA_GOC!$F:$F,"Xuất nội bộ từ téc",DATA_GOC!$B:$B,"&gt;="&amp;$D781,DATA_GOC!$B:$B,"&lt;="&amp;$E781))</f>
        <v>220</v>
      </c>
      <c r="J781" s="59">
        <f t="shared" si="28"/>
        <v>8.449</v>
      </c>
      <c r="K781" s="59">
        <f t="shared" si="29"/>
        <v>0</v>
      </c>
      <c r="L781" s="59">
        <f t="shared" si="30"/>
        <v>228.449</v>
      </c>
      <c r="M781" s="59">
        <f t="shared" si="31"/>
        <v>0.01022827654</v>
      </c>
    </row>
    <row r="782" ht="15.0" hidden="1" customHeight="1">
      <c r="A782" s="59">
        <f t="shared" si="20"/>
        <v>10</v>
      </c>
      <c r="B782" s="59" t="str">
        <f t="shared" si="21"/>
        <v>Đã chốt</v>
      </c>
      <c r="C782" s="59" t="str">
        <f t="shared" si="22"/>
        <v>Téc 3</v>
      </c>
      <c r="D782" s="45">
        <f t="shared" si="23"/>
        <v>46028</v>
      </c>
      <c r="E782" s="45">
        <f t="shared" si="24"/>
        <v>46046</v>
      </c>
      <c r="F782" s="133">
        <f t="shared" si="25"/>
        <v>1</v>
      </c>
      <c r="G782" s="133">
        <f t="shared" si="26"/>
        <v>2026</v>
      </c>
      <c r="H782" s="59" t="str">
        <f t="shared" si="27"/>
        <v>28C01743</v>
      </c>
      <c r="I782" s="59">
        <f>IF(OR($A782="",$C782="",$D782="",$E782="",$H782=""),"",SUMIFS(DATA_GOC!$H:$H,DATA_GOC!$A:$A,"BOM",DATA_GOC!$D:$D,$H782,DATA_GOC!$E:$E,$C782,DATA_GOC!$F:$F,"Xuất nội bộ từ téc",DATA_GOC!$B:$B,"&gt;="&amp;$D782,DATA_GOC!$B:$B,"&lt;="&amp;$E782))</f>
        <v>0</v>
      </c>
      <c r="J782" s="59">
        <f t="shared" si="28"/>
        <v>0</v>
      </c>
      <c r="K782" s="59">
        <f t="shared" si="29"/>
        <v>0</v>
      </c>
      <c r="L782" s="59">
        <f t="shared" si="30"/>
        <v>0</v>
      </c>
      <c r="M782" s="59">
        <f t="shared" si="31"/>
        <v>0</v>
      </c>
    </row>
    <row r="783" ht="15.0" hidden="1" customHeight="1">
      <c r="A783" s="59">
        <f t="shared" si="20"/>
        <v>10</v>
      </c>
      <c r="B783" s="59" t="str">
        <f t="shared" si="21"/>
        <v>Đã chốt</v>
      </c>
      <c r="C783" s="59" t="str">
        <f t="shared" si="22"/>
        <v>Téc 3</v>
      </c>
      <c r="D783" s="45">
        <f t="shared" si="23"/>
        <v>46028</v>
      </c>
      <c r="E783" s="45">
        <f t="shared" si="24"/>
        <v>46046</v>
      </c>
      <c r="F783" s="133">
        <f t="shared" si="25"/>
        <v>1</v>
      </c>
      <c r="G783" s="133">
        <f t="shared" si="26"/>
        <v>2026</v>
      </c>
      <c r="H783" s="59" t="str">
        <f t="shared" si="27"/>
        <v>28C02106</v>
      </c>
      <c r="I783" s="59">
        <f>IF(OR($A783="",$C783="",$D783="",$E783="",$H783=""),"",SUMIFS(DATA_GOC!$H:$H,DATA_GOC!$A:$A,"BOM",DATA_GOC!$D:$D,$H783,DATA_GOC!$E:$E,$C783,DATA_GOC!$F:$F,"Xuất nội bộ từ téc",DATA_GOC!$B:$B,"&gt;="&amp;$D783,DATA_GOC!$B:$B,"&lt;="&amp;$E783))</f>
        <v>820</v>
      </c>
      <c r="J783" s="59">
        <f t="shared" si="28"/>
        <v>31.49</v>
      </c>
      <c r="K783" s="59">
        <f t="shared" si="29"/>
        <v>0</v>
      </c>
      <c r="L783" s="59">
        <f t="shared" si="30"/>
        <v>851.49</v>
      </c>
      <c r="M783" s="59">
        <f t="shared" si="31"/>
        <v>0.03812357618</v>
      </c>
    </row>
    <row r="784" ht="15.0" hidden="1" customHeight="1">
      <c r="A784" s="59">
        <f t="shared" si="20"/>
        <v>10</v>
      </c>
      <c r="B784" s="59" t="str">
        <f t="shared" si="21"/>
        <v>Đã chốt</v>
      </c>
      <c r="C784" s="59" t="str">
        <f t="shared" si="22"/>
        <v>Téc 3</v>
      </c>
      <c r="D784" s="45">
        <f t="shared" si="23"/>
        <v>46028</v>
      </c>
      <c r="E784" s="45">
        <f t="shared" si="24"/>
        <v>46046</v>
      </c>
      <c r="F784" s="133">
        <f t="shared" si="25"/>
        <v>1</v>
      </c>
      <c r="G784" s="133">
        <f t="shared" si="26"/>
        <v>2026</v>
      </c>
      <c r="H784" s="59" t="str">
        <f t="shared" si="27"/>
        <v>28C02410</v>
      </c>
      <c r="I784" s="59">
        <f>IF(OR($A784="",$C784="",$D784="",$E784="",$H784=""),"",SUMIFS(DATA_GOC!$H:$H,DATA_GOC!$A:$A,"BOM",DATA_GOC!$D:$D,$H784,DATA_GOC!$E:$E,$C784,DATA_GOC!$F:$F,"Xuất nội bộ từ téc",DATA_GOC!$B:$B,"&gt;="&amp;$D784,DATA_GOC!$B:$B,"&lt;="&amp;$E784))</f>
        <v>252</v>
      </c>
      <c r="J784" s="59">
        <f t="shared" si="28"/>
        <v>9.677</v>
      </c>
      <c r="K784" s="59">
        <f t="shared" si="29"/>
        <v>0</v>
      </c>
      <c r="L784" s="59">
        <f t="shared" si="30"/>
        <v>261.677</v>
      </c>
      <c r="M784" s="59">
        <f t="shared" si="31"/>
        <v>0.01171602585</v>
      </c>
    </row>
    <row r="785" ht="15.0" hidden="1" customHeight="1">
      <c r="A785" s="59">
        <f t="shared" si="20"/>
        <v>10</v>
      </c>
      <c r="B785" s="59" t="str">
        <f t="shared" si="21"/>
        <v>Đã chốt</v>
      </c>
      <c r="C785" s="59" t="str">
        <f t="shared" si="22"/>
        <v>Téc 3</v>
      </c>
      <c r="D785" s="45">
        <f t="shared" si="23"/>
        <v>46028</v>
      </c>
      <c r="E785" s="45">
        <f t="shared" si="24"/>
        <v>46046</v>
      </c>
      <c r="F785" s="133">
        <f t="shared" si="25"/>
        <v>1</v>
      </c>
      <c r="G785" s="133">
        <f t="shared" si="26"/>
        <v>2026</v>
      </c>
      <c r="H785" s="59" t="str">
        <f t="shared" si="27"/>
        <v>28C02545</v>
      </c>
      <c r="I785" s="59">
        <f>IF(OR($A785="",$C785="",$D785="",$E785="",$H785=""),"",SUMIFS(DATA_GOC!$H:$H,DATA_GOC!$A:$A,"BOM",DATA_GOC!$D:$D,$H785,DATA_GOC!$E:$E,$C785,DATA_GOC!$F:$F,"Xuất nội bộ từ téc",DATA_GOC!$B:$B,"&gt;="&amp;$D785,DATA_GOC!$B:$B,"&lt;="&amp;$E785))</f>
        <v>314</v>
      </c>
      <c r="J785" s="59">
        <f t="shared" si="28"/>
        <v>12.058</v>
      </c>
      <c r="K785" s="59">
        <f t="shared" si="29"/>
        <v>0</v>
      </c>
      <c r="L785" s="59">
        <f t="shared" si="30"/>
        <v>326.058</v>
      </c>
      <c r="M785" s="59">
        <f t="shared" si="31"/>
        <v>0.01459854015</v>
      </c>
    </row>
    <row r="786" ht="15.0" hidden="1" customHeight="1">
      <c r="A786" s="59">
        <f t="shared" si="20"/>
        <v>10</v>
      </c>
      <c r="B786" s="59" t="str">
        <f t="shared" si="21"/>
        <v>Đã chốt</v>
      </c>
      <c r="C786" s="59" t="str">
        <f t="shared" si="22"/>
        <v>Téc 3</v>
      </c>
      <c r="D786" s="45">
        <f t="shared" si="23"/>
        <v>46028</v>
      </c>
      <c r="E786" s="45">
        <f t="shared" si="24"/>
        <v>46046</v>
      </c>
      <c r="F786" s="133">
        <f t="shared" si="25"/>
        <v>1</v>
      </c>
      <c r="G786" s="133">
        <f t="shared" si="26"/>
        <v>2026</v>
      </c>
      <c r="H786" s="59" t="str">
        <f t="shared" si="27"/>
        <v>28C02574</v>
      </c>
      <c r="I786" s="59">
        <f>IF(OR($A786="",$C786="",$D786="",$E786="",$H786=""),"",SUMIFS(DATA_GOC!$H:$H,DATA_GOC!$A:$A,"BOM",DATA_GOC!$D:$D,$H786,DATA_GOC!$E:$E,$C786,DATA_GOC!$F:$F,"Xuất nội bộ từ téc",DATA_GOC!$B:$B,"&gt;="&amp;$D786,DATA_GOC!$B:$B,"&lt;="&amp;$E786))</f>
        <v>411</v>
      </c>
      <c r="J786" s="59">
        <f t="shared" si="28"/>
        <v>15.783</v>
      </c>
      <c r="K786" s="59">
        <f t="shared" si="29"/>
        <v>0</v>
      </c>
      <c r="L786" s="59">
        <f t="shared" si="30"/>
        <v>426.783</v>
      </c>
      <c r="M786" s="59">
        <f t="shared" si="31"/>
        <v>0.01910828025</v>
      </c>
    </row>
    <row r="787" ht="15.0" hidden="1" customHeight="1">
      <c r="A787" s="59">
        <f t="shared" si="20"/>
        <v>10</v>
      </c>
      <c r="B787" s="59" t="str">
        <f t="shared" si="21"/>
        <v>Đã chốt</v>
      </c>
      <c r="C787" s="59" t="str">
        <f t="shared" si="22"/>
        <v>Téc 3</v>
      </c>
      <c r="D787" s="45">
        <f t="shared" si="23"/>
        <v>46028</v>
      </c>
      <c r="E787" s="45">
        <f t="shared" si="24"/>
        <v>46046</v>
      </c>
      <c r="F787" s="133">
        <f t="shared" si="25"/>
        <v>1</v>
      </c>
      <c r="G787" s="133">
        <f t="shared" si="26"/>
        <v>2026</v>
      </c>
      <c r="H787" s="59" t="str">
        <f t="shared" si="27"/>
        <v>28C02770</v>
      </c>
      <c r="I787" s="59">
        <f>IF(OR($A787="",$C787="",$D787="",$E787="",$H787=""),"",SUMIFS(DATA_GOC!$H:$H,DATA_GOC!$A:$A,"BOM",DATA_GOC!$D:$D,$H787,DATA_GOC!$E:$E,$C787,DATA_GOC!$F:$F,"Xuất nội bộ từ téc",DATA_GOC!$B:$B,"&gt;="&amp;$D787,DATA_GOC!$B:$B,"&lt;="&amp;$E787))</f>
        <v>0</v>
      </c>
      <c r="J787" s="59">
        <f t="shared" si="28"/>
        <v>0</v>
      </c>
      <c r="K787" s="59">
        <f t="shared" si="29"/>
        <v>0</v>
      </c>
      <c r="L787" s="59">
        <f t="shared" si="30"/>
        <v>0</v>
      </c>
      <c r="M787" s="59">
        <f t="shared" si="31"/>
        <v>0</v>
      </c>
    </row>
    <row r="788" ht="15.0" hidden="1" customHeight="1">
      <c r="A788" s="59">
        <f t="shared" si="20"/>
        <v>10</v>
      </c>
      <c r="B788" s="59" t="str">
        <f t="shared" si="21"/>
        <v>Đã chốt</v>
      </c>
      <c r="C788" s="59" t="str">
        <f t="shared" si="22"/>
        <v>Téc 3</v>
      </c>
      <c r="D788" s="45">
        <f t="shared" si="23"/>
        <v>46028</v>
      </c>
      <c r="E788" s="45">
        <f t="shared" si="24"/>
        <v>46046</v>
      </c>
      <c r="F788" s="133">
        <f t="shared" si="25"/>
        <v>1</v>
      </c>
      <c r="G788" s="133">
        <f t="shared" si="26"/>
        <v>2026</v>
      </c>
      <c r="H788" s="59" t="str">
        <f t="shared" si="27"/>
        <v>28C02986</v>
      </c>
      <c r="I788" s="59">
        <f>IF(OR($A788="",$C788="",$D788="",$E788="",$H788=""),"",SUMIFS(DATA_GOC!$H:$H,DATA_GOC!$A:$A,"BOM",DATA_GOC!$D:$D,$H788,DATA_GOC!$E:$E,$C788,DATA_GOC!$F:$F,"Xuất nội bộ từ téc",DATA_GOC!$B:$B,"&gt;="&amp;$D788,DATA_GOC!$B:$B,"&lt;="&amp;$E788))</f>
        <v>1136</v>
      </c>
      <c r="J788" s="59">
        <f t="shared" si="28"/>
        <v>43.625</v>
      </c>
      <c r="K788" s="59">
        <f t="shared" si="29"/>
        <v>0</v>
      </c>
      <c r="L788" s="59">
        <f t="shared" si="30"/>
        <v>1179.625</v>
      </c>
      <c r="M788" s="59">
        <f t="shared" si="31"/>
        <v>0.05281510066</v>
      </c>
    </row>
    <row r="789" ht="15.0" hidden="1" customHeight="1">
      <c r="A789" s="59">
        <f t="shared" si="20"/>
        <v>10</v>
      </c>
      <c r="B789" s="59" t="str">
        <f t="shared" si="21"/>
        <v>Đã chốt</v>
      </c>
      <c r="C789" s="59" t="str">
        <f t="shared" si="22"/>
        <v>Téc 3</v>
      </c>
      <c r="D789" s="45">
        <f t="shared" si="23"/>
        <v>46028</v>
      </c>
      <c r="E789" s="45">
        <f t="shared" si="24"/>
        <v>46046</v>
      </c>
      <c r="F789" s="133">
        <f t="shared" si="25"/>
        <v>1</v>
      </c>
      <c r="G789" s="133">
        <f t="shared" si="26"/>
        <v>2026</v>
      </c>
      <c r="H789" s="59" t="str">
        <f t="shared" si="27"/>
        <v>28C03261</v>
      </c>
      <c r="I789" s="59">
        <f>IF(OR($A789="",$C789="",$D789="",$E789="",$H789=""),"",SUMIFS(DATA_GOC!$H:$H,DATA_GOC!$A:$A,"BOM",DATA_GOC!$D:$D,$H789,DATA_GOC!$E:$E,$C789,DATA_GOC!$F:$F,"Xuất nội bộ từ téc",DATA_GOC!$B:$B,"&gt;="&amp;$D789,DATA_GOC!$B:$B,"&lt;="&amp;$E789))</f>
        <v>0</v>
      </c>
      <c r="J789" s="59">
        <f t="shared" si="28"/>
        <v>0</v>
      </c>
      <c r="K789" s="59">
        <f t="shared" si="29"/>
        <v>0</v>
      </c>
      <c r="L789" s="59">
        <f t="shared" si="30"/>
        <v>0</v>
      </c>
      <c r="M789" s="59">
        <f t="shared" si="31"/>
        <v>0</v>
      </c>
    </row>
    <row r="790" ht="15.0" hidden="1" customHeight="1">
      <c r="A790" s="59">
        <f t="shared" si="20"/>
        <v>10</v>
      </c>
      <c r="B790" s="59" t="str">
        <f t="shared" si="21"/>
        <v>Đã chốt</v>
      </c>
      <c r="C790" s="59" t="str">
        <f t="shared" si="22"/>
        <v>Téc 3</v>
      </c>
      <c r="D790" s="45">
        <f t="shared" si="23"/>
        <v>46028</v>
      </c>
      <c r="E790" s="45">
        <f t="shared" si="24"/>
        <v>46046</v>
      </c>
      <c r="F790" s="133">
        <f t="shared" si="25"/>
        <v>1</v>
      </c>
      <c r="G790" s="133">
        <f t="shared" si="26"/>
        <v>2026</v>
      </c>
      <c r="H790" s="59" t="str">
        <f t="shared" si="27"/>
        <v>28C03323</v>
      </c>
      <c r="I790" s="59">
        <f>IF(OR($A790="",$C790="",$D790="",$E790="",$H790=""),"",SUMIFS(DATA_GOC!$H:$H,DATA_GOC!$A:$A,"BOM",DATA_GOC!$D:$D,$H790,DATA_GOC!$E:$E,$C790,DATA_GOC!$F:$F,"Xuất nội bộ từ téc",DATA_GOC!$B:$B,"&gt;="&amp;$D790,DATA_GOC!$B:$B,"&lt;="&amp;$E790))</f>
        <v>655</v>
      </c>
      <c r="J790" s="59">
        <f t="shared" si="28"/>
        <v>25.154</v>
      </c>
      <c r="K790" s="59">
        <f t="shared" si="29"/>
        <v>0</v>
      </c>
      <c r="L790" s="59">
        <f t="shared" si="30"/>
        <v>680.154</v>
      </c>
      <c r="M790" s="59">
        <f t="shared" si="31"/>
        <v>0.03045236878</v>
      </c>
    </row>
    <row r="791" ht="15.0" hidden="1" customHeight="1">
      <c r="A791" s="59">
        <f t="shared" si="20"/>
        <v>10</v>
      </c>
      <c r="B791" s="59" t="str">
        <f t="shared" si="21"/>
        <v>Đã chốt</v>
      </c>
      <c r="C791" s="59" t="str">
        <f t="shared" si="22"/>
        <v>Téc 3</v>
      </c>
      <c r="D791" s="45">
        <f t="shared" si="23"/>
        <v>46028</v>
      </c>
      <c r="E791" s="45">
        <f t="shared" si="24"/>
        <v>46046</v>
      </c>
      <c r="F791" s="133">
        <f t="shared" si="25"/>
        <v>1</v>
      </c>
      <c r="G791" s="133">
        <f t="shared" si="26"/>
        <v>2026</v>
      </c>
      <c r="H791" s="59" t="str">
        <f t="shared" si="27"/>
        <v>28C03385</v>
      </c>
      <c r="I791" s="59">
        <f>IF(OR($A791="",$C791="",$D791="",$E791="",$H791=""),"",SUMIFS(DATA_GOC!$H:$H,DATA_GOC!$A:$A,"BOM",DATA_GOC!$D:$D,$H791,DATA_GOC!$E:$E,$C791,DATA_GOC!$F:$F,"Xuất nội bộ từ téc",DATA_GOC!$B:$B,"&gt;="&amp;$D791,DATA_GOC!$B:$B,"&lt;="&amp;$E791))</f>
        <v>0</v>
      </c>
      <c r="J791" s="59">
        <f t="shared" si="28"/>
        <v>0</v>
      </c>
      <c r="K791" s="59">
        <f t="shared" si="29"/>
        <v>0</v>
      </c>
      <c r="L791" s="59">
        <f t="shared" si="30"/>
        <v>0</v>
      </c>
      <c r="M791" s="59">
        <f t="shared" si="31"/>
        <v>0</v>
      </c>
    </row>
    <row r="792" ht="15.0" hidden="1" customHeight="1">
      <c r="A792" s="59">
        <f t="shared" si="20"/>
        <v>10</v>
      </c>
      <c r="B792" s="59" t="str">
        <f t="shared" si="21"/>
        <v>Đã chốt</v>
      </c>
      <c r="C792" s="59" t="str">
        <f t="shared" si="22"/>
        <v>Téc 3</v>
      </c>
      <c r="D792" s="45">
        <f t="shared" si="23"/>
        <v>46028</v>
      </c>
      <c r="E792" s="45">
        <f t="shared" si="24"/>
        <v>46046</v>
      </c>
      <c r="F792" s="133">
        <f t="shared" si="25"/>
        <v>1</v>
      </c>
      <c r="G792" s="133">
        <f t="shared" si="26"/>
        <v>2026</v>
      </c>
      <c r="H792" s="59" t="str">
        <f t="shared" si="27"/>
        <v>28C03652</v>
      </c>
      <c r="I792" s="59">
        <f>IF(OR($A792="",$C792="",$D792="",$E792="",$H792=""),"",SUMIFS(DATA_GOC!$H:$H,DATA_GOC!$A:$A,"BOM",DATA_GOC!$D:$D,$H792,DATA_GOC!$E:$E,$C792,DATA_GOC!$F:$F,"Xuất nội bộ từ téc",DATA_GOC!$B:$B,"&gt;="&amp;$D792,DATA_GOC!$B:$B,"&lt;="&amp;$E792))</f>
        <v>721</v>
      </c>
      <c r="J792" s="59">
        <f t="shared" si="28"/>
        <v>27.688</v>
      </c>
      <c r="K792" s="59">
        <f t="shared" si="29"/>
        <v>0</v>
      </c>
      <c r="L792" s="59">
        <f t="shared" si="30"/>
        <v>748.688</v>
      </c>
      <c r="M792" s="59">
        <f t="shared" si="31"/>
        <v>0.03352085174</v>
      </c>
    </row>
    <row r="793" ht="15.0" hidden="1" customHeight="1">
      <c r="A793" s="59">
        <f t="shared" si="20"/>
        <v>10</v>
      </c>
      <c r="B793" s="59" t="str">
        <f t="shared" si="21"/>
        <v>Đã chốt</v>
      </c>
      <c r="C793" s="59" t="str">
        <f t="shared" si="22"/>
        <v>Téc 3</v>
      </c>
      <c r="D793" s="45">
        <f t="shared" si="23"/>
        <v>46028</v>
      </c>
      <c r="E793" s="45">
        <f t="shared" si="24"/>
        <v>46046</v>
      </c>
      <c r="F793" s="133">
        <f t="shared" si="25"/>
        <v>1</v>
      </c>
      <c r="G793" s="133">
        <f t="shared" si="26"/>
        <v>2026</v>
      </c>
      <c r="H793" s="59" t="str">
        <f t="shared" si="27"/>
        <v>28C03695</v>
      </c>
      <c r="I793" s="59">
        <f>IF(OR($A793="",$C793="",$D793="",$E793="",$H793=""),"",SUMIFS(DATA_GOC!$H:$H,DATA_GOC!$A:$A,"BOM",DATA_GOC!$D:$D,$H793,DATA_GOC!$E:$E,$C793,DATA_GOC!$F:$F,"Xuất nội bộ từ téc",DATA_GOC!$B:$B,"&gt;="&amp;$D793,DATA_GOC!$B:$B,"&lt;="&amp;$E793))</f>
        <v>400</v>
      </c>
      <c r="J793" s="59">
        <f t="shared" si="28"/>
        <v>15.361</v>
      </c>
      <c r="K793" s="59">
        <f t="shared" si="29"/>
        <v>0</v>
      </c>
      <c r="L793" s="59">
        <f t="shared" si="30"/>
        <v>415.361</v>
      </c>
      <c r="M793" s="59">
        <f t="shared" si="31"/>
        <v>0.01859686643</v>
      </c>
    </row>
    <row r="794" ht="15.0" hidden="1" customHeight="1">
      <c r="A794" s="59">
        <f t="shared" si="20"/>
        <v>10</v>
      </c>
      <c r="B794" s="59" t="str">
        <f t="shared" si="21"/>
        <v>Đã chốt</v>
      </c>
      <c r="C794" s="59" t="str">
        <f t="shared" si="22"/>
        <v>Téc 3</v>
      </c>
      <c r="D794" s="45">
        <f t="shared" si="23"/>
        <v>46028</v>
      </c>
      <c r="E794" s="45">
        <f t="shared" si="24"/>
        <v>46046</v>
      </c>
      <c r="F794" s="133">
        <f t="shared" si="25"/>
        <v>1</v>
      </c>
      <c r="G794" s="133">
        <f t="shared" si="26"/>
        <v>2026</v>
      </c>
      <c r="H794" s="59" t="str">
        <f t="shared" si="27"/>
        <v>28C03927</v>
      </c>
      <c r="I794" s="59">
        <f>IF(OR($A794="",$C794="",$D794="",$E794="",$H794=""),"",SUMIFS(DATA_GOC!$H:$H,DATA_GOC!$A:$A,"BOM",DATA_GOC!$D:$D,$H794,DATA_GOC!$E:$E,$C794,DATA_GOC!$F:$F,"Xuất nội bộ từ téc",DATA_GOC!$B:$B,"&gt;="&amp;$D794,DATA_GOC!$B:$B,"&lt;="&amp;$E794))</f>
        <v>685</v>
      </c>
      <c r="J794" s="59">
        <f t="shared" si="28"/>
        <v>26.306</v>
      </c>
      <c r="K794" s="59">
        <f t="shared" si="29"/>
        <v>0</v>
      </c>
      <c r="L794" s="59">
        <f t="shared" si="30"/>
        <v>711.306</v>
      </c>
      <c r="M794" s="59">
        <f t="shared" si="31"/>
        <v>0.03184713376</v>
      </c>
    </row>
    <row r="795" ht="15.0" hidden="1" customHeight="1">
      <c r="A795" s="59">
        <f t="shared" si="20"/>
        <v>10</v>
      </c>
      <c r="B795" s="59" t="str">
        <f t="shared" si="21"/>
        <v>Đã chốt</v>
      </c>
      <c r="C795" s="59" t="str">
        <f t="shared" si="22"/>
        <v>Téc 3</v>
      </c>
      <c r="D795" s="45">
        <f t="shared" si="23"/>
        <v>46028</v>
      </c>
      <c r="E795" s="45">
        <f t="shared" si="24"/>
        <v>46046</v>
      </c>
      <c r="F795" s="133">
        <f t="shared" si="25"/>
        <v>1</v>
      </c>
      <c r="G795" s="133">
        <f t="shared" si="26"/>
        <v>2026</v>
      </c>
      <c r="H795" s="59" t="str">
        <f t="shared" si="27"/>
        <v>28C04509</v>
      </c>
      <c r="I795" s="59">
        <f>IF(OR($A795="",$C795="",$D795="",$E795="",$H795=""),"",SUMIFS(DATA_GOC!$H:$H,DATA_GOC!$A:$A,"BOM",DATA_GOC!$D:$D,$H795,DATA_GOC!$E:$E,$C795,DATA_GOC!$F:$F,"Xuất nội bộ từ téc",DATA_GOC!$B:$B,"&gt;="&amp;$D795,DATA_GOC!$B:$B,"&lt;="&amp;$E795))</f>
        <v>116</v>
      </c>
      <c r="J795" s="59">
        <f t="shared" si="28"/>
        <v>4.455</v>
      </c>
      <c r="K795" s="59">
        <f t="shared" si="29"/>
        <v>0</v>
      </c>
      <c r="L795" s="59">
        <f t="shared" si="30"/>
        <v>120.455</v>
      </c>
      <c r="M795" s="59">
        <f t="shared" si="31"/>
        <v>0.005393091264</v>
      </c>
    </row>
    <row r="796" ht="15.0" hidden="1" customHeight="1">
      <c r="A796" s="59">
        <f t="shared" si="20"/>
        <v>10</v>
      </c>
      <c r="B796" s="59" t="str">
        <f t="shared" si="21"/>
        <v>Đã chốt</v>
      </c>
      <c r="C796" s="59" t="str">
        <f t="shared" si="22"/>
        <v>Téc 3</v>
      </c>
      <c r="D796" s="45">
        <f t="shared" si="23"/>
        <v>46028</v>
      </c>
      <c r="E796" s="45">
        <f t="shared" si="24"/>
        <v>46046</v>
      </c>
      <c r="F796" s="133">
        <f t="shared" si="25"/>
        <v>1</v>
      </c>
      <c r="G796" s="133">
        <f t="shared" si="26"/>
        <v>2026</v>
      </c>
      <c r="H796" s="59" t="str">
        <f t="shared" si="27"/>
        <v>28C04536</v>
      </c>
      <c r="I796" s="59">
        <f>IF(OR($A796="",$C796="",$D796="",$E796="",$H796=""),"",SUMIFS(DATA_GOC!$H:$H,DATA_GOC!$A:$A,"BOM",DATA_GOC!$D:$D,$H796,DATA_GOC!$E:$E,$C796,DATA_GOC!$F:$F,"Xuất nội bộ từ téc",DATA_GOC!$B:$B,"&gt;="&amp;$D796,DATA_GOC!$B:$B,"&lt;="&amp;$E796))</f>
        <v>0</v>
      </c>
      <c r="J796" s="59">
        <f t="shared" si="28"/>
        <v>0</v>
      </c>
      <c r="K796" s="59">
        <f t="shared" si="29"/>
        <v>0</v>
      </c>
      <c r="L796" s="59">
        <f t="shared" si="30"/>
        <v>0</v>
      </c>
      <c r="M796" s="59">
        <f t="shared" si="31"/>
        <v>0</v>
      </c>
    </row>
    <row r="797" ht="15.0" hidden="1" customHeight="1">
      <c r="A797" s="59">
        <f t="shared" si="20"/>
        <v>10</v>
      </c>
      <c r="B797" s="59" t="str">
        <f t="shared" si="21"/>
        <v>Đã chốt</v>
      </c>
      <c r="C797" s="59" t="str">
        <f t="shared" si="22"/>
        <v>Téc 3</v>
      </c>
      <c r="D797" s="45">
        <f t="shared" si="23"/>
        <v>46028</v>
      </c>
      <c r="E797" s="45">
        <f t="shared" si="24"/>
        <v>46046</v>
      </c>
      <c r="F797" s="133">
        <f t="shared" si="25"/>
        <v>1</v>
      </c>
      <c r="G797" s="133">
        <f t="shared" si="26"/>
        <v>2026</v>
      </c>
      <c r="H797" s="59" t="str">
        <f t="shared" si="27"/>
        <v>28C04576</v>
      </c>
      <c r="I797" s="59">
        <f>IF(OR($A797="",$C797="",$D797="",$E797="",$H797=""),"",SUMIFS(DATA_GOC!$H:$H,DATA_GOC!$A:$A,"BOM",DATA_GOC!$D:$D,$H797,DATA_GOC!$E:$E,$C797,DATA_GOC!$F:$F,"Xuất nội bộ từ téc",DATA_GOC!$B:$B,"&gt;="&amp;$D797,DATA_GOC!$B:$B,"&lt;="&amp;$E797))</f>
        <v>740</v>
      </c>
      <c r="J797" s="59">
        <f t="shared" si="28"/>
        <v>28.418</v>
      </c>
      <c r="K797" s="59">
        <f t="shared" si="29"/>
        <v>0</v>
      </c>
      <c r="L797" s="59">
        <f t="shared" si="30"/>
        <v>768.418</v>
      </c>
      <c r="M797" s="59">
        <f t="shared" si="31"/>
        <v>0.03440420289</v>
      </c>
    </row>
    <row r="798" ht="15.0" hidden="1" customHeight="1">
      <c r="A798" s="59">
        <f t="shared" si="20"/>
        <v>10</v>
      </c>
      <c r="B798" s="59" t="str">
        <f t="shared" si="21"/>
        <v>Đã chốt</v>
      </c>
      <c r="C798" s="59" t="str">
        <f t="shared" si="22"/>
        <v>Téc 3</v>
      </c>
      <c r="D798" s="45">
        <f t="shared" si="23"/>
        <v>46028</v>
      </c>
      <c r="E798" s="45">
        <f t="shared" si="24"/>
        <v>46046</v>
      </c>
      <c r="F798" s="133">
        <f t="shared" si="25"/>
        <v>1</v>
      </c>
      <c r="G798" s="133">
        <f t="shared" si="26"/>
        <v>2026</v>
      </c>
      <c r="H798" s="59" t="str">
        <f t="shared" si="27"/>
        <v>28C05090</v>
      </c>
      <c r="I798" s="59">
        <f>IF(OR($A798="",$C798="",$D798="",$E798="",$H798=""),"",SUMIFS(DATA_GOC!$H:$H,DATA_GOC!$A:$A,"BOM",DATA_GOC!$D:$D,$H798,DATA_GOC!$E:$E,$C798,DATA_GOC!$F:$F,"Xuất nội bộ từ téc",DATA_GOC!$B:$B,"&gt;="&amp;$D798,DATA_GOC!$B:$B,"&lt;="&amp;$E798))</f>
        <v>232</v>
      </c>
      <c r="J798" s="59">
        <f t="shared" si="28"/>
        <v>8.909</v>
      </c>
      <c r="K798" s="59">
        <f t="shared" si="29"/>
        <v>0</v>
      </c>
      <c r="L798" s="59">
        <f t="shared" si="30"/>
        <v>240.909</v>
      </c>
      <c r="M798" s="59">
        <f t="shared" si="31"/>
        <v>0.01078618253</v>
      </c>
    </row>
    <row r="799" ht="15.0" hidden="1" customHeight="1">
      <c r="A799" s="59">
        <f t="shared" si="20"/>
        <v>10</v>
      </c>
      <c r="B799" s="59" t="str">
        <f t="shared" si="21"/>
        <v>Đã chốt</v>
      </c>
      <c r="C799" s="59" t="str">
        <f t="shared" si="22"/>
        <v>Téc 3</v>
      </c>
      <c r="D799" s="45">
        <f t="shared" si="23"/>
        <v>46028</v>
      </c>
      <c r="E799" s="45">
        <f t="shared" si="24"/>
        <v>46046</v>
      </c>
      <c r="F799" s="133">
        <f t="shared" si="25"/>
        <v>1</v>
      </c>
      <c r="G799" s="133">
        <f t="shared" si="26"/>
        <v>2026</v>
      </c>
      <c r="H799" s="59" t="str">
        <f t="shared" si="27"/>
        <v>28C05345</v>
      </c>
      <c r="I799" s="59">
        <f>IF(OR($A799="",$C799="",$D799="",$E799="",$H799=""),"",SUMIFS(DATA_GOC!$H:$H,DATA_GOC!$A:$A,"BOM",DATA_GOC!$D:$D,$H799,DATA_GOC!$E:$E,$C799,DATA_GOC!$F:$F,"Xuất nội bộ từ téc",DATA_GOC!$B:$B,"&gt;="&amp;$D799,DATA_GOC!$B:$B,"&lt;="&amp;$E799))</f>
        <v>330</v>
      </c>
      <c r="J799" s="59">
        <f t="shared" si="28"/>
        <v>12.673</v>
      </c>
      <c r="K799" s="59">
        <f t="shared" si="29"/>
        <v>0</v>
      </c>
      <c r="L799" s="59">
        <f t="shared" si="30"/>
        <v>342.673</v>
      </c>
      <c r="M799" s="59">
        <f t="shared" si="31"/>
        <v>0.0153424148</v>
      </c>
    </row>
    <row r="800" ht="15.0" hidden="1" customHeight="1">
      <c r="A800" s="59">
        <f t="shared" si="20"/>
        <v>10</v>
      </c>
      <c r="B800" s="59" t="str">
        <f t="shared" si="21"/>
        <v>Đã chốt</v>
      </c>
      <c r="C800" s="59" t="str">
        <f t="shared" si="22"/>
        <v>Téc 3</v>
      </c>
      <c r="D800" s="45">
        <f t="shared" si="23"/>
        <v>46028</v>
      </c>
      <c r="E800" s="45">
        <f t="shared" si="24"/>
        <v>46046</v>
      </c>
      <c r="F800" s="133">
        <f t="shared" si="25"/>
        <v>1</v>
      </c>
      <c r="G800" s="133">
        <f t="shared" si="26"/>
        <v>2026</v>
      </c>
      <c r="H800" s="59" t="str">
        <f t="shared" si="27"/>
        <v>28C05661</v>
      </c>
      <c r="I800" s="59">
        <f>IF(OR($A800="",$C800="",$D800="",$E800="",$H800=""),"",SUMIFS(DATA_GOC!$H:$H,DATA_GOC!$A:$A,"BOM",DATA_GOC!$D:$D,$H800,DATA_GOC!$E:$E,$C800,DATA_GOC!$F:$F,"Xuất nội bộ từ téc",DATA_GOC!$B:$B,"&gt;="&amp;$D800,DATA_GOC!$B:$B,"&lt;="&amp;$E800))</f>
        <v>1020</v>
      </c>
      <c r="J800" s="59">
        <f t="shared" si="28"/>
        <v>39.171</v>
      </c>
      <c r="K800" s="59">
        <f t="shared" si="29"/>
        <v>0</v>
      </c>
      <c r="L800" s="59">
        <f t="shared" si="30"/>
        <v>1059.171</v>
      </c>
      <c r="M800" s="59">
        <f t="shared" si="31"/>
        <v>0.04742200939</v>
      </c>
    </row>
    <row r="801" ht="15.0" hidden="1" customHeight="1">
      <c r="A801" s="59">
        <f t="shared" si="20"/>
        <v>10</v>
      </c>
      <c r="B801" s="59" t="str">
        <f t="shared" si="21"/>
        <v>Đã chốt</v>
      </c>
      <c r="C801" s="59" t="str">
        <f t="shared" si="22"/>
        <v>Téc 3</v>
      </c>
      <c r="D801" s="45">
        <f t="shared" si="23"/>
        <v>46028</v>
      </c>
      <c r="E801" s="45">
        <f t="shared" si="24"/>
        <v>46046</v>
      </c>
      <c r="F801" s="133">
        <f t="shared" si="25"/>
        <v>1</v>
      </c>
      <c r="G801" s="133">
        <f t="shared" si="26"/>
        <v>2026</v>
      </c>
      <c r="H801" s="59" t="str">
        <f t="shared" si="27"/>
        <v>28C05739</v>
      </c>
      <c r="I801" s="59">
        <f>IF(OR($A801="",$C801="",$D801="",$E801="",$H801=""),"",SUMIFS(DATA_GOC!$H:$H,DATA_GOC!$A:$A,"BOM",DATA_GOC!$D:$D,$H801,DATA_GOC!$E:$E,$C801,DATA_GOC!$F:$F,"Xuất nội bộ từ téc",DATA_GOC!$B:$B,"&gt;="&amp;$D801,DATA_GOC!$B:$B,"&lt;="&amp;$E801))</f>
        <v>542</v>
      </c>
      <c r="J801" s="59">
        <f t="shared" si="28"/>
        <v>20.814</v>
      </c>
      <c r="K801" s="59">
        <f t="shared" si="29"/>
        <v>0</v>
      </c>
      <c r="L801" s="59">
        <f t="shared" si="30"/>
        <v>562.814</v>
      </c>
      <c r="M801" s="59">
        <f t="shared" si="31"/>
        <v>0.02519875401</v>
      </c>
    </row>
    <row r="802" ht="15.0" hidden="1" customHeight="1">
      <c r="A802" s="59">
        <f t="shared" si="20"/>
        <v>10</v>
      </c>
      <c r="B802" s="59" t="str">
        <f t="shared" si="21"/>
        <v>Đã chốt</v>
      </c>
      <c r="C802" s="59" t="str">
        <f t="shared" si="22"/>
        <v>Téc 3</v>
      </c>
      <c r="D802" s="45">
        <f t="shared" si="23"/>
        <v>46028</v>
      </c>
      <c r="E802" s="45">
        <f t="shared" si="24"/>
        <v>46046</v>
      </c>
      <c r="F802" s="133">
        <f t="shared" si="25"/>
        <v>1</v>
      </c>
      <c r="G802" s="133">
        <f t="shared" si="26"/>
        <v>2026</v>
      </c>
      <c r="H802" s="59" t="str">
        <f t="shared" si="27"/>
        <v>28C06369</v>
      </c>
      <c r="I802" s="59">
        <f>IF(OR($A802="",$C802="",$D802="",$E802="",$H802=""),"",SUMIFS(DATA_GOC!$H:$H,DATA_GOC!$A:$A,"BOM",DATA_GOC!$D:$D,$H802,DATA_GOC!$E:$E,$C802,DATA_GOC!$F:$F,"Xuất nội bộ từ téc",DATA_GOC!$B:$B,"&gt;="&amp;$D802,DATA_GOC!$B:$B,"&lt;="&amp;$E802))</f>
        <v>645</v>
      </c>
      <c r="J802" s="59">
        <f t="shared" si="28"/>
        <v>24.77</v>
      </c>
      <c r="K802" s="59">
        <f t="shared" si="29"/>
        <v>0</v>
      </c>
      <c r="L802" s="59">
        <f t="shared" si="30"/>
        <v>669.77</v>
      </c>
      <c r="M802" s="59">
        <f t="shared" si="31"/>
        <v>0.02998744712</v>
      </c>
    </row>
    <row r="803" ht="15.0" hidden="1" customHeight="1">
      <c r="A803" s="59">
        <f t="shared" si="20"/>
        <v>10</v>
      </c>
      <c r="B803" s="59" t="str">
        <f t="shared" si="21"/>
        <v>Đã chốt</v>
      </c>
      <c r="C803" s="59" t="str">
        <f t="shared" si="22"/>
        <v>Téc 3</v>
      </c>
      <c r="D803" s="45">
        <f t="shared" si="23"/>
        <v>46028</v>
      </c>
      <c r="E803" s="45">
        <f t="shared" si="24"/>
        <v>46046</v>
      </c>
      <c r="F803" s="133">
        <f t="shared" si="25"/>
        <v>1</v>
      </c>
      <c r="G803" s="133">
        <f t="shared" si="26"/>
        <v>2026</v>
      </c>
      <c r="H803" s="59" t="str">
        <f t="shared" si="27"/>
        <v>28C06447</v>
      </c>
      <c r="I803" s="59">
        <f>IF(OR($A803="",$C803="",$D803="",$E803="",$H803=""),"",SUMIFS(DATA_GOC!$H:$H,DATA_GOC!$A:$A,"BOM",DATA_GOC!$D:$D,$H803,DATA_GOC!$E:$E,$C803,DATA_GOC!$F:$F,"Xuất nội bộ từ téc",DATA_GOC!$B:$B,"&gt;="&amp;$D803,DATA_GOC!$B:$B,"&lt;="&amp;$E803))</f>
        <v>960</v>
      </c>
      <c r="J803" s="59">
        <f t="shared" si="28"/>
        <v>36.866</v>
      </c>
      <c r="K803" s="59">
        <f t="shared" si="29"/>
        <v>0</v>
      </c>
      <c r="L803" s="59">
        <f t="shared" si="30"/>
        <v>996.866</v>
      </c>
      <c r="M803" s="59">
        <f t="shared" si="31"/>
        <v>0.04463247943</v>
      </c>
    </row>
    <row r="804" ht="15.0" hidden="1" customHeight="1">
      <c r="A804" s="59">
        <f t="shared" si="20"/>
        <v>10</v>
      </c>
      <c r="B804" s="59" t="str">
        <f t="shared" si="21"/>
        <v>Đã chốt</v>
      </c>
      <c r="C804" s="59" t="str">
        <f t="shared" si="22"/>
        <v>Téc 3</v>
      </c>
      <c r="D804" s="45">
        <f t="shared" si="23"/>
        <v>46028</v>
      </c>
      <c r="E804" s="45">
        <f t="shared" si="24"/>
        <v>46046</v>
      </c>
      <c r="F804" s="133">
        <f t="shared" si="25"/>
        <v>1</v>
      </c>
      <c r="G804" s="133">
        <f t="shared" si="26"/>
        <v>2026</v>
      </c>
      <c r="H804" s="59" t="str">
        <f t="shared" si="27"/>
        <v>28H00003</v>
      </c>
      <c r="I804" s="59">
        <f>IF(OR($A804="",$C804="",$D804="",$E804="",$H804=""),"",SUMIFS(DATA_GOC!$H:$H,DATA_GOC!$A:$A,"BOM",DATA_GOC!$D:$D,$H804,DATA_GOC!$E:$E,$C804,DATA_GOC!$F:$F,"Xuất nội bộ từ téc",DATA_GOC!$B:$B,"&gt;="&amp;$D804,DATA_GOC!$B:$B,"&lt;="&amp;$E804))</f>
        <v>1115</v>
      </c>
      <c r="J804" s="59">
        <f t="shared" si="28"/>
        <v>42.819</v>
      </c>
      <c r="K804" s="59">
        <f t="shared" si="29"/>
        <v>0</v>
      </c>
      <c r="L804" s="59">
        <f t="shared" si="30"/>
        <v>1157.819</v>
      </c>
      <c r="M804" s="59">
        <f t="shared" si="31"/>
        <v>0.05183876517</v>
      </c>
    </row>
    <row r="805" ht="15.0" hidden="1" customHeight="1">
      <c r="A805" s="59">
        <f t="shared" si="20"/>
        <v>10</v>
      </c>
      <c r="B805" s="59" t="str">
        <f t="shared" si="21"/>
        <v>Đã chốt</v>
      </c>
      <c r="C805" s="59" t="str">
        <f t="shared" si="22"/>
        <v>Téc 3</v>
      </c>
      <c r="D805" s="45">
        <f t="shared" si="23"/>
        <v>46028</v>
      </c>
      <c r="E805" s="45">
        <f t="shared" si="24"/>
        <v>46046</v>
      </c>
      <c r="F805" s="133">
        <f t="shared" si="25"/>
        <v>1</v>
      </c>
      <c r="G805" s="133">
        <f t="shared" si="26"/>
        <v>2026</v>
      </c>
      <c r="H805" s="59" t="str">
        <f t="shared" si="27"/>
        <v>28H00061</v>
      </c>
      <c r="I805" s="59">
        <f>IF(OR($A805="",$C805="",$D805="",$E805="",$H805=""),"",SUMIFS(DATA_GOC!$H:$H,DATA_GOC!$A:$A,"BOM",DATA_GOC!$D:$D,$H805,DATA_GOC!$E:$E,$C805,DATA_GOC!$F:$F,"Xuất nội bộ từ téc",DATA_GOC!$B:$B,"&gt;="&amp;$D805,DATA_GOC!$B:$B,"&lt;="&amp;$E805))</f>
        <v>740</v>
      </c>
      <c r="J805" s="59">
        <f t="shared" si="28"/>
        <v>28.418</v>
      </c>
      <c r="K805" s="59">
        <f t="shared" si="29"/>
        <v>0</v>
      </c>
      <c r="L805" s="59">
        <f t="shared" si="30"/>
        <v>768.418</v>
      </c>
      <c r="M805" s="59">
        <f t="shared" si="31"/>
        <v>0.03440420289</v>
      </c>
    </row>
    <row r="806" ht="15.0" hidden="1" customHeight="1">
      <c r="A806" s="59">
        <f t="shared" si="20"/>
        <v>10</v>
      </c>
      <c r="B806" s="59" t="str">
        <f t="shared" si="21"/>
        <v>Đã chốt</v>
      </c>
      <c r="C806" s="59" t="str">
        <f t="shared" si="22"/>
        <v>Téc 3</v>
      </c>
      <c r="D806" s="45">
        <f t="shared" si="23"/>
        <v>46028</v>
      </c>
      <c r="E806" s="45">
        <f t="shared" si="24"/>
        <v>46046</v>
      </c>
      <c r="F806" s="133">
        <f t="shared" si="25"/>
        <v>1</v>
      </c>
      <c r="G806" s="133">
        <f t="shared" si="26"/>
        <v>2026</v>
      </c>
      <c r="H806" s="59" t="str">
        <f t="shared" si="27"/>
        <v>28H00354</v>
      </c>
      <c r="I806" s="59">
        <f>IF(OR($A806="",$C806="",$D806="",$E806="",$H806=""),"",SUMIFS(DATA_GOC!$H:$H,DATA_GOC!$A:$A,"BOM",DATA_GOC!$D:$D,$H806,DATA_GOC!$E:$E,$C806,DATA_GOC!$F:$F,"Xuất nội bộ từ téc",DATA_GOC!$B:$B,"&gt;="&amp;$D806,DATA_GOC!$B:$B,"&lt;="&amp;$E806))</f>
        <v>702</v>
      </c>
      <c r="J806" s="59">
        <f t="shared" si="28"/>
        <v>26.959</v>
      </c>
      <c r="K806" s="59">
        <f t="shared" si="29"/>
        <v>0</v>
      </c>
      <c r="L806" s="59">
        <f t="shared" si="30"/>
        <v>728.959</v>
      </c>
      <c r="M806" s="59">
        <f t="shared" si="31"/>
        <v>0.03263750058</v>
      </c>
    </row>
    <row r="807" ht="15.0" hidden="1" customHeight="1">
      <c r="A807" s="59">
        <f t="shared" si="20"/>
        <v>10</v>
      </c>
      <c r="B807" s="59" t="str">
        <f t="shared" si="21"/>
        <v>Đã chốt</v>
      </c>
      <c r="C807" s="59" t="str">
        <f t="shared" si="22"/>
        <v>Téc 3</v>
      </c>
      <c r="D807" s="45">
        <f t="shared" si="23"/>
        <v>46028</v>
      </c>
      <c r="E807" s="45">
        <f t="shared" si="24"/>
        <v>46046</v>
      </c>
      <c r="F807" s="133">
        <f t="shared" si="25"/>
        <v>1</v>
      </c>
      <c r="G807" s="133">
        <f t="shared" si="26"/>
        <v>2026</v>
      </c>
      <c r="H807" s="59" t="str">
        <f t="shared" si="27"/>
        <v>28H00603</v>
      </c>
      <c r="I807" s="59">
        <f>IF(OR($A807="",$C807="",$D807="",$E807="",$H807=""),"",SUMIFS(DATA_GOC!$H:$H,DATA_GOC!$A:$A,"BOM",DATA_GOC!$D:$D,$H807,DATA_GOC!$E:$E,$C807,DATA_GOC!$F:$F,"Xuất nội bộ từ téc",DATA_GOC!$B:$B,"&gt;="&amp;$D807,DATA_GOC!$B:$B,"&lt;="&amp;$E807))</f>
        <v>653</v>
      </c>
      <c r="J807" s="59">
        <f t="shared" si="28"/>
        <v>25.077</v>
      </c>
      <c r="K807" s="59">
        <f t="shared" si="29"/>
        <v>0</v>
      </c>
      <c r="L807" s="59">
        <f t="shared" si="30"/>
        <v>678.077</v>
      </c>
      <c r="M807" s="59">
        <f t="shared" si="31"/>
        <v>0.03035938444</v>
      </c>
    </row>
    <row r="808" ht="15.0" hidden="1" customHeight="1">
      <c r="A808" s="59">
        <f t="shared" si="20"/>
        <v>10</v>
      </c>
      <c r="B808" s="59" t="str">
        <f t="shared" si="21"/>
        <v>Đã chốt</v>
      </c>
      <c r="C808" s="59" t="str">
        <f t="shared" si="22"/>
        <v>Téc 3</v>
      </c>
      <c r="D808" s="45">
        <f t="shared" si="23"/>
        <v>46028</v>
      </c>
      <c r="E808" s="45">
        <f t="shared" si="24"/>
        <v>46046</v>
      </c>
      <c r="F808" s="133">
        <f t="shared" si="25"/>
        <v>1</v>
      </c>
      <c r="G808" s="133">
        <f t="shared" si="26"/>
        <v>2026</v>
      </c>
      <c r="H808" s="59" t="str">
        <f t="shared" si="27"/>
        <v>28H00609</v>
      </c>
      <c r="I808" s="59">
        <f>IF(OR($A808="",$C808="",$D808="",$E808="",$H808=""),"",SUMIFS(DATA_GOC!$H:$H,DATA_GOC!$A:$A,"BOM",DATA_GOC!$D:$D,$H808,DATA_GOC!$E:$E,$C808,DATA_GOC!$F:$F,"Xuất nội bộ từ téc",DATA_GOC!$B:$B,"&gt;="&amp;$D808,DATA_GOC!$B:$B,"&lt;="&amp;$E808))</f>
        <v>852</v>
      </c>
      <c r="J808" s="59">
        <f t="shared" si="28"/>
        <v>32.719</v>
      </c>
      <c r="K808" s="59">
        <f t="shared" si="29"/>
        <v>0</v>
      </c>
      <c r="L808" s="59">
        <f t="shared" si="30"/>
        <v>884.719</v>
      </c>
      <c r="M808" s="59">
        <f t="shared" si="31"/>
        <v>0.03961132549</v>
      </c>
    </row>
    <row r="809" ht="15.0" hidden="1" customHeight="1">
      <c r="A809" s="59">
        <f t="shared" si="20"/>
        <v>10</v>
      </c>
      <c r="B809" s="59" t="str">
        <f t="shared" si="21"/>
        <v>Đã chốt</v>
      </c>
      <c r="C809" s="59" t="str">
        <f t="shared" si="22"/>
        <v>Téc 3</v>
      </c>
      <c r="D809" s="45">
        <f t="shared" si="23"/>
        <v>46028</v>
      </c>
      <c r="E809" s="45">
        <f t="shared" si="24"/>
        <v>46046</v>
      </c>
      <c r="F809" s="133">
        <f t="shared" si="25"/>
        <v>1</v>
      </c>
      <c r="G809" s="133">
        <f t="shared" si="26"/>
        <v>2026</v>
      </c>
      <c r="H809" s="59" t="str">
        <f t="shared" si="27"/>
        <v>28H00669</v>
      </c>
      <c r="I809" s="59">
        <f>IF(OR($A809="",$C809="",$D809="",$E809="",$H809=""),"",SUMIFS(DATA_GOC!$H:$H,DATA_GOC!$A:$A,"BOM",DATA_GOC!$D:$D,$H809,DATA_GOC!$E:$E,$C809,DATA_GOC!$F:$F,"Xuất nội bộ từ téc",DATA_GOC!$B:$B,"&gt;="&amp;$D809,DATA_GOC!$B:$B,"&lt;="&amp;$E809))</f>
        <v>1373</v>
      </c>
      <c r="J809" s="59">
        <f t="shared" si="28"/>
        <v>52.727</v>
      </c>
      <c r="K809" s="59">
        <f t="shared" si="29"/>
        <v>0</v>
      </c>
      <c r="L809" s="59">
        <f t="shared" si="30"/>
        <v>1425.727</v>
      </c>
      <c r="M809" s="59">
        <f t="shared" si="31"/>
        <v>0.06383374401</v>
      </c>
    </row>
    <row r="810" ht="15.0" hidden="1" customHeight="1">
      <c r="A810" s="59">
        <f t="shared" si="20"/>
        <v>10</v>
      </c>
      <c r="B810" s="59" t="str">
        <f t="shared" si="21"/>
        <v>Đã chốt</v>
      </c>
      <c r="C810" s="59" t="str">
        <f t="shared" si="22"/>
        <v>Téc 3</v>
      </c>
      <c r="D810" s="45">
        <f t="shared" si="23"/>
        <v>46028</v>
      </c>
      <c r="E810" s="45">
        <f t="shared" si="24"/>
        <v>46046</v>
      </c>
      <c r="F810" s="133">
        <f t="shared" si="25"/>
        <v>1</v>
      </c>
      <c r="G810" s="133">
        <f t="shared" si="26"/>
        <v>2026</v>
      </c>
      <c r="H810" s="59" t="str">
        <f t="shared" si="27"/>
        <v>28H00680</v>
      </c>
      <c r="I810" s="59">
        <f>IF(OR($A810="",$C810="",$D810="",$E810="",$H810=""),"",SUMIFS(DATA_GOC!$H:$H,DATA_GOC!$A:$A,"BOM",DATA_GOC!$D:$D,$H810,DATA_GOC!$E:$E,$C810,DATA_GOC!$F:$F,"Xuất nội bộ từ téc",DATA_GOC!$B:$B,"&gt;="&amp;$D810,DATA_GOC!$B:$B,"&lt;="&amp;$E810))</f>
        <v>913</v>
      </c>
      <c r="J810" s="59">
        <f t="shared" si="28"/>
        <v>35.062</v>
      </c>
      <c r="K810" s="59">
        <f t="shared" si="29"/>
        <v>0</v>
      </c>
      <c r="L810" s="59">
        <f t="shared" si="30"/>
        <v>948.062</v>
      </c>
      <c r="M810" s="59">
        <f t="shared" si="31"/>
        <v>0.04244734762</v>
      </c>
    </row>
    <row r="811" ht="15.0" hidden="1" customHeight="1">
      <c r="A811" s="59">
        <f t="shared" si="20"/>
        <v>10</v>
      </c>
      <c r="B811" s="59" t="str">
        <f t="shared" si="21"/>
        <v>Đã chốt</v>
      </c>
      <c r="C811" s="59" t="str">
        <f t="shared" si="22"/>
        <v>Téc 3</v>
      </c>
      <c r="D811" s="45">
        <f t="shared" si="23"/>
        <v>46028</v>
      </c>
      <c r="E811" s="45">
        <f t="shared" si="24"/>
        <v>46046</v>
      </c>
      <c r="F811" s="133">
        <f t="shared" si="25"/>
        <v>1</v>
      </c>
      <c r="G811" s="133">
        <f t="shared" si="26"/>
        <v>2026</v>
      </c>
      <c r="H811" s="59" t="str">
        <f t="shared" si="27"/>
        <v>28H01070</v>
      </c>
      <c r="I811" s="59">
        <f>IF(OR($A811="",$C811="",$D811="",$E811="",$H811=""),"",SUMIFS(DATA_GOC!$H:$H,DATA_GOC!$A:$A,"BOM",DATA_GOC!$D:$D,$H811,DATA_GOC!$E:$E,$C811,DATA_GOC!$F:$F,"Xuất nội bộ từ téc",DATA_GOC!$B:$B,"&gt;="&amp;$D811,DATA_GOC!$B:$B,"&lt;="&amp;$E811))</f>
        <v>0</v>
      </c>
      <c r="J811" s="59">
        <f t="shared" si="28"/>
        <v>0</v>
      </c>
      <c r="K811" s="59">
        <f t="shared" si="29"/>
        <v>0</v>
      </c>
      <c r="L811" s="59">
        <f t="shared" si="30"/>
        <v>0</v>
      </c>
      <c r="M811" s="59">
        <f t="shared" si="31"/>
        <v>0</v>
      </c>
    </row>
    <row r="812" ht="15.0" hidden="1" customHeight="1">
      <c r="A812" s="59">
        <f t="shared" si="20"/>
        <v>10</v>
      </c>
      <c r="B812" s="59" t="str">
        <f t="shared" si="21"/>
        <v>Đã chốt</v>
      </c>
      <c r="C812" s="59" t="str">
        <f t="shared" si="22"/>
        <v>Téc 3</v>
      </c>
      <c r="D812" s="45">
        <f t="shared" si="23"/>
        <v>46028</v>
      </c>
      <c r="E812" s="45">
        <f t="shared" si="24"/>
        <v>46046</v>
      </c>
      <c r="F812" s="133">
        <f t="shared" si="25"/>
        <v>1</v>
      </c>
      <c r="G812" s="133">
        <f t="shared" si="26"/>
        <v>2026</v>
      </c>
      <c r="H812" s="59" t="str">
        <f t="shared" si="27"/>
        <v>28H01364</v>
      </c>
      <c r="I812" s="59">
        <f>IF(OR($A812="",$C812="",$D812="",$E812="",$H812=""),"",SUMIFS(DATA_GOC!$H:$H,DATA_GOC!$A:$A,"BOM",DATA_GOC!$D:$D,$H812,DATA_GOC!$E:$E,$C812,DATA_GOC!$F:$F,"Xuất nội bộ từ téc",DATA_GOC!$B:$B,"&gt;="&amp;$D812,DATA_GOC!$B:$B,"&lt;="&amp;$E812))</f>
        <v>0</v>
      </c>
      <c r="J812" s="59">
        <f t="shared" si="28"/>
        <v>0</v>
      </c>
      <c r="K812" s="59">
        <f t="shared" si="29"/>
        <v>0</v>
      </c>
      <c r="L812" s="59">
        <f t="shared" si="30"/>
        <v>0</v>
      </c>
      <c r="M812" s="59">
        <f t="shared" si="31"/>
        <v>0</v>
      </c>
    </row>
    <row r="813" ht="15.0" hidden="1" customHeight="1">
      <c r="A813" s="59">
        <f t="shared" si="20"/>
        <v>10</v>
      </c>
      <c r="B813" s="59" t="str">
        <f t="shared" si="21"/>
        <v>Đã chốt</v>
      </c>
      <c r="C813" s="59" t="str">
        <f t="shared" si="22"/>
        <v>Téc 3</v>
      </c>
      <c r="D813" s="45">
        <f t="shared" si="23"/>
        <v>46028</v>
      </c>
      <c r="E813" s="45">
        <f t="shared" si="24"/>
        <v>46046</v>
      </c>
      <c r="F813" s="133">
        <f t="shared" si="25"/>
        <v>1</v>
      </c>
      <c r="G813" s="133">
        <f t="shared" si="26"/>
        <v>2026</v>
      </c>
      <c r="H813" s="59" t="str">
        <f t="shared" si="27"/>
        <v>29E17269</v>
      </c>
      <c r="I813" s="59">
        <f>IF(OR($A813="",$C813="",$D813="",$E813="",$H813=""),"",SUMIFS(DATA_GOC!$H:$H,DATA_GOC!$A:$A,"BOM",DATA_GOC!$D:$D,$H813,DATA_GOC!$E:$E,$C813,DATA_GOC!$F:$F,"Xuất nội bộ từ téc",DATA_GOC!$B:$B,"&gt;="&amp;$D813,DATA_GOC!$B:$B,"&lt;="&amp;$E813))</f>
        <v>0</v>
      </c>
      <c r="J813" s="59">
        <f t="shared" si="28"/>
        <v>0</v>
      </c>
      <c r="K813" s="59">
        <f t="shared" si="29"/>
        <v>0</v>
      </c>
      <c r="L813" s="59">
        <f t="shared" si="30"/>
        <v>0</v>
      </c>
      <c r="M813" s="59">
        <f t="shared" si="31"/>
        <v>0</v>
      </c>
    </row>
    <row r="814" ht="15.0" hidden="1" customHeight="1">
      <c r="A814" s="59">
        <f t="shared" si="20"/>
        <v>10</v>
      </c>
      <c r="B814" s="59" t="str">
        <f t="shared" si="21"/>
        <v>Đã chốt</v>
      </c>
      <c r="C814" s="59" t="str">
        <f t="shared" si="22"/>
        <v>Téc 3</v>
      </c>
      <c r="D814" s="45">
        <f t="shared" si="23"/>
        <v>46028</v>
      </c>
      <c r="E814" s="45">
        <f t="shared" si="24"/>
        <v>46046</v>
      </c>
      <c r="F814" s="133">
        <f t="shared" si="25"/>
        <v>1</v>
      </c>
      <c r="G814" s="133">
        <f t="shared" si="26"/>
        <v>2026</v>
      </c>
      <c r="H814" s="59" t="str">
        <f t="shared" si="27"/>
        <v>29E17273</v>
      </c>
      <c r="I814" s="59">
        <f>IF(OR($A814="",$C814="",$D814="",$E814="",$H814=""),"",SUMIFS(DATA_GOC!$H:$H,DATA_GOC!$A:$A,"BOM",DATA_GOC!$D:$D,$H814,DATA_GOC!$E:$E,$C814,DATA_GOC!$F:$F,"Xuất nội bộ từ téc",DATA_GOC!$B:$B,"&gt;="&amp;$D814,DATA_GOC!$B:$B,"&lt;="&amp;$E814))</f>
        <v>0</v>
      </c>
      <c r="J814" s="59">
        <f t="shared" si="28"/>
        <v>0</v>
      </c>
      <c r="K814" s="59">
        <f t="shared" si="29"/>
        <v>0</v>
      </c>
      <c r="L814" s="59">
        <f t="shared" si="30"/>
        <v>0</v>
      </c>
      <c r="M814" s="59">
        <f t="shared" si="31"/>
        <v>0</v>
      </c>
    </row>
    <row r="815" ht="15.0" hidden="1" customHeight="1">
      <c r="A815" s="59">
        <f t="shared" si="20"/>
        <v>10</v>
      </c>
      <c r="B815" s="59" t="str">
        <f t="shared" si="21"/>
        <v>Đã chốt</v>
      </c>
      <c r="C815" s="59" t="str">
        <f t="shared" si="22"/>
        <v>Téc 3</v>
      </c>
      <c r="D815" s="45">
        <f t="shared" si="23"/>
        <v>46028</v>
      </c>
      <c r="E815" s="45">
        <f t="shared" si="24"/>
        <v>46046</v>
      </c>
      <c r="F815" s="133">
        <f t="shared" si="25"/>
        <v>1</v>
      </c>
      <c r="G815" s="133">
        <f t="shared" si="26"/>
        <v>2026</v>
      </c>
      <c r="H815" s="59" t="str">
        <f t="shared" si="27"/>
        <v>29E17410</v>
      </c>
      <c r="I815" s="59">
        <f>IF(OR($A815="",$C815="",$D815="",$E815="",$H815=""),"",SUMIFS(DATA_GOC!$H:$H,DATA_GOC!$A:$A,"BOM",DATA_GOC!$D:$D,$H815,DATA_GOC!$E:$E,$C815,DATA_GOC!$F:$F,"Xuất nội bộ từ téc",DATA_GOC!$B:$B,"&gt;="&amp;$D815,DATA_GOC!$B:$B,"&lt;="&amp;$E815))</f>
        <v>0</v>
      </c>
      <c r="J815" s="59">
        <f t="shared" si="28"/>
        <v>0</v>
      </c>
      <c r="K815" s="59">
        <f t="shared" si="29"/>
        <v>0</v>
      </c>
      <c r="L815" s="59">
        <f t="shared" si="30"/>
        <v>0</v>
      </c>
      <c r="M815" s="59">
        <f t="shared" si="31"/>
        <v>0</v>
      </c>
    </row>
    <row r="816" ht="15.0" hidden="1" customHeight="1">
      <c r="A816" s="59">
        <f t="shared" si="20"/>
        <v>10</v>
      </c>
      <c r="B816" s="59" t="str">
        <f t="shared" si="21"/>
        <v>Đã chốt</v>
      </c>
      <c r="C816" s="59" t="str">
        <f t="shared" si="22"/>
        <v>Téc 3</v>
      </c>
      <c r="D816" s="45">
        <f t="shared" si="23"/>
        <v>46028</v>
      </c>
      <c r="E816" s="45">
        <f t="shared" si="24"/>
        <v>46046</v>
      </c>
      <c r="F816" s="133">
        <f t="shared" si="25"/>
        <v>1</v>
      </c>
      <c r="G816" s="133">
        <f t="shared" si="26"/>
        <v>2026</v>
      </c>
      <c r="H816" s="59" t="str">
        <f t="shared" si="27"/>
        <v>29E17417</v>
      </c>
      <c r="I816" s="59">
        <f>IF(OR($A816="",$C816="",$D816="",$E816="",$H816=""),"",SUMIFS(DATA_GOC!$H:$H,DATA_GOC!$A:$A,"BOM",DATA_GOC!$D:$D,$H816,DATA_GOC!$E:$E,$C816,DATA_GOC!$F:$F,"Xuất nội bộ từ téc",DATA_GOC!$B:$B,"&gt;="&amp;$D816,DATA_GOC!$B:$B,"&lt;="&amp;$E816))</f>
        <v>0</v>
      </c>
      <c r="J816" s="59">
        <f t="shared" si="28"/>
        <v>0</v>
      </c>
      <c r="K816" s="59">
        <f t="shared" si="29"/>
        <v>0</v>
      </c>
      <c r="L816" s="59">
        <f t="shared" si="30"/>
        <v>0</v>
      </c>
      <c r="M816" s="59">
        <f t="shared" si="31"/>
        <v>0</v>
      </c>
    </row>
    <row r="817" ht="15.0" hidden="1" customHeight="1">
      <c r="A817" s="59">
        <f t="shared" si="20"/>
        <v>10</v>
      </c>
      <c r="B817" s="59" t="str">
        <f t="shared" si="21"/>
        <v>Đã chốt</v>
      </c>
      <c r="C817" s="59" t="str">
        <f t="shared" si="22"/>
        <v>Téc 3</v>
      </c>
      <c r="D817" s="45">
        <f t="shared" si="23"/>
        <v>46028</v>
      </c>
      <c r="E817" s="45">
        <f t="shared" si="24"/>
        <v>46046</v>
      </c>
      <c r="F817" s="133">
        <f t="shared" si="25"/>
        <v>1</v>
      </c>
      <c r="G817" s="133">
        <f t="shared" si="26"/>
        <v>2026</v>
      </c>
      <c r="H817" s="59" t="str">
        <f t="shared" si="27"/>
        <v>29E17539</v>
      </c>
      <c r="I817" s="59">
        <f>IF(OR($A817="",$C817="",$D817="",$E817="",$H817=""),"",SUMIFS(DATA_GOC!$H:$H,DATA_GOC!$A:$A,"BOM",DATA_GOC!$D:$D,$H817,DATA_GOC!$E:$E,$C817,DATA_GOC!$F:$F,"Xuất nội bộ từ téc",DATA_GOC!$B:$B,"&gt;="&amp;$D817,DATA_GOC!$B:$B,"&lt;="&amp;$E817))</f>
        <v>0</v>
      </c>
      <c r="J817" s="59">
        <f t="shared" si="28"/>
        <v>0</v>
      </c>
      <c r="K817" s="59">
        <f t="shared" si="29"/>
        <v>0</v>
      </c>
      <c r="L817" s="59">
        <f t="shared" si="30"/>
        <v>0</v>
      </c>
      <c r="M817" s="59">
        <f t="shared" si="31"/>
        <v>0</v>
      </c>
    </row>
    <row r="818" ht="15.0" hidden="1" customHeight="1">
      <c r="A818" s="59">
        <f t="shared" si="20"/>
        <v>10</v>
      </c>
      <c r="B818" s="59" t="str">
        <f t="shared" si="21"/>
        <v>Đã chốt</v>
      </c>
      <c r="C818" s="59" t="str">
        <f t="shared" si="22"/>
        <v>Téc 3</v>
      </c>
      <c r="D818" s="45">
        <f t="shared" si="23"/>
        <v>46028</v>
      </c>
      <c r="E818" s="45">
        <f t="shared" si="24"/>
        <v>46046</v>
      </c>
      <c r="F818" s="133">
        <f t="shared" si="25"/>
        <v>1</v>
      </c>
      <c r="G818" s="133">
        <f t="shared" si="26"/>
        <v>2026</v>
      </c>
      <c r="H818" s="59" t="str">
        <f t="shared" si="27"/>
        <v>29E18160</v>
      </c>
      <c r="I818" s="59">
        <f>IF(OR($A818="",$C818="",$D818="",$E818="",$H818=""),"",SUMIFS(DATA_GOC!$H:$H,DATA_GOC!$A:$A,"BOM",DATA_GOC!$D:$D,$H818,DATA_GOC!$E:$E,$C818,DATA_GOC!$F:$F,"Xuất nội bộ từ téc",DATA_GOC!$B:$B,"&gt;="&amp;$D818,DATA_GOC!$B:$B,"&lt;="&amp;$E818))</f>
        <v>0</v>
      </c>
      <c r="J818" s="59">
        <f t="shared" si="28"/>
        <v>0</v>
      </c>
      <c r="K818" s="59">
        <f t="shared" si="29"/>
        <v>0</v>
      </c>
      <c r="L818" s="59">
        <f t="shared" si="30"/>
        <v>0</v>
      </c>
      <c r="M818" s="59">
        <f t="shared" si="31"/>
        <v>0</v>
      </c>
    </row>
    <row r="819" ht="15.0" hidden="1" customHeight="1">
      <c r="A819" s="59">
        <f t="shared" si="20"/>
        <v>10</v>
      </c>
      <c r="B819" s="59" t="str">
        <f t="shared" si="21"/>
        <v>Đã chốt</v>
      </c>
      <c r="C819" s="59" t="str">
        <f t="shared" si="22"/>
        <v>Téc 3</v>
      </c>
      <c r="D819" s="45">
        <f t="shared" si="23"/>
        <v>46028</v>
      </c>
      <c r="E819" s="45">
        <f t="shared" si="24"/>
        <v>46046</v>
      </c>
      <c r="F819" s="133">
        <f t="shared" si="25"/>
        <v>1</v>
      </c>
      <c r="G819" s="133">
        <f t="shared" si="26"/>
        <v>2026</v>
      </c>
      <c r="H819" s="59" t="str">
        <f t="shared" si="27"/>
        <v>Công trình Asphalt</v>
      </c>
      <c r="I819" s="59">
        <f>IF(OR($A819="",$C819="",$D819="",$E819="",$H819=""),"",SUMIFS(DATA_GOC!$H:$H,DATA_GOC!$A:$A,"BOM",DATA_GOC!$D:$D,$H819,DATA_GOC!$E:$E,$C819,DATA_GOC!$F:$F,"Xuất nội bộ từ téc",DATA_GOC!$B:$B,"&gt;="&amp;$D819,DATA_GOC!$B:$B,"&lt;="&amp;$E819))</f>
        <v>365</v>
      </c>
      <c r="J819" s="59">
        <f t="shared" si="28"/>
        <v>14.017</v>
      </c>
      <c r="K819" s="59">
        <f t="shared" si="29"/>
        <v>0</v>
      </c>
      <c r="L819" s="59">
        <f t="shared" si="30"/>
        <v>379.017</v>
      </c>
      <c r="M819" s="59">
        <f t="shared" si="31"/>
        <v>0.01696964062</v>
      </c>
    </row>
    <row r="820" ht="15.0" hidden="1" customHeight="1">
      <c r="A820" s="59">
        <f t="shared" si="20"/>
        <v>10</v>
      </c>
      <c r="B820" s="59" t="str">
        <f t="shared" si="21"/>
        <v>Đã chốt</v>
      </c>
      <c r="C820" s="59" t="str">
        <f t="shared" si="22"/>
        <v>Téc 3</v>
      </c>
      <c r="D820" s="45">
        <f t="shared" si="23"/>
        <v>46028</v>
      </c>
      <c r="E820" s="45">
        <f t="shared" si="24"/>
        <v>46046</v>
      </c>
      <c r="F820" s="133">
        <f t="shared" si="25"/>
        <v>1</v>
      </c>
      <c r="G820" s="133">
        <f t="shared" si="26"/>
        <v>2026</v>
      </c>
      <c r="H820" s="59" t="str">
        <f t="shared" si="27"/>
        <v>LG53F</v>
      </c>
      <c r="I820" s="59">
        <f>IF(OR($A820="",$C820="",$D820="",$E820="",$H820=""),"",SUMIFS(DATA_GOC!$H:$H,DATA_GOC!$A:$A,"BOM",DATA_GOC!$D:$D,$H820,DATA_GOC!$E:$E,$C820,DATA_GOC!$F:$F,"Xuất nội bộ từ téc",DATA_GOC!$B:$B,"&gt;="&amp;$D820,DATA_GOC!$B:$B,"&lt;="&amp;$E820))</f>
        <v>0</v>
      </c>
      <c r="J820" s="59">
        <f t="shared" si="28"/>
        <v>0</v>
      </c>
      <c r="K820" s="59">
        <f t="shared" si="29"/>
        <v>0</v>
      </c>
      <c r="L820" s="59">
        <f t="shared" si="30"/>
        <v>0</v>
      </c>
      <c r="M820" s="59">
        <f t="shared" si="31"/>
        <v>0</v>
      </c>
    </row>
    <row r="821" ht="15.0" hidden="1" customHeight="1">
      <c r="A821" s="59">
        <f t="shared" si="20"/>
        <v>10</v>
      </c>
      <c r="B821" s="59" t="str">
        <f t="shared" si="21"/>
        <v>Đã chốt</v>
      </c>
      <c r="C821" s="59" t="str">
        <f t="shared" si="22"/>
        <v>Téc 3</v>
      </c>
      <c r="D821" s="45">
        <f t="shared" si="23"/>
        <v>46028</v>
      </c>
      <c r="E821" s="45">
        <f t="shared" si="24"/>
        <v>46046</v>
      </c>
      <c r="F821" s="133">
        <f t="shared" si="25"/>
        <v>1</v>
      </c>
      <c r="G821" s="133">
        <f t="shared" si="26"/>
        <v>2026</v>
      </c>
      <c r="H821" s="59" t="str">
        <f t="shared" si="27"/>
        <v>Máy phát điện</v>
      </c>
      <c r="I821" s="59">
        <f>IF(OR($A821="",$C821="",$D821="",$E821="",$H821=""),"",SUMIFS(DATA_GOC!$H:$H,DATA_GOC!$A:$A,"BOM",DATA_GOC!$D:$D,$H821,DATA_GOC!$E:$E,$C821,DATA_GOC!$F:$F,"Xuất nội bộ từ téc",DATA_GOC!$B:$B,"&gt;="&amp;$D821,DATA_GOC!$B:$B,"&lt;="&amp;$E821))</f>
        <v>0</v>
      </c>
      <c r="J821" s="59">
        <f t="shared" si="28"/>
        <v>0</v>
      </c>
      <c r="K821" s="59">
        <f t="shared" si="29"/>
        <v>0</v>
      </c>
      <c r="L821" s="59">
        <f t="shared" si="30"/>
        <v>0</v>
      </c>
      <c r="M821" s="59">
        <f t="shared" si="31"/>
        <v>0</v>
      </c>
    </row>
    <row r="822" ht="15.0" hidden="1" customHeight="1">
      <c r="A822" s="59">
        <f t="shared" si="20"/>
        <v>10</v>
      </c>
      <c r="B822" s="59" t="str">
        <f t="shared" si="21"/>
        <v>Đã chốt</v>
      </c>
      <c r="C822" s="59" t="str">
        <f t="shared" si="22"/>
        <v>Téc 3</v>
      </c>
      <c r="D822" s="45">
        <f t="shared" si="23"/>
        <v>46028</v>
      </c>
      <c r="E822" s="45">
        <f t="shared" si="24"/>
        <v>46046</v>
      </c>
      <c r="F822" s="133">
        <f t="shared" si="25"/>
        <v>1</v>
      </c>
      <c r="G822" s="133">
        <f t="shared" si="26"/>
        <v>2026</v>
      </c>
      <c r="H822" s="59" t="str">
        <f t="shared" si="27"/>
        <v>Máy rải thảm</v>
      </c>
      <c r="I822" s="59">
        <f>IF(OR($A822="",$C822="",$D822="",$E822="",$H822=""),"",SUMIFS(DATA_GOC!$H:$H,DATA_GOC!$A:$A,"BOM",DATA_GOC!$D:$D,$H822,DATA_GOC!$E:$E,$C822,DATA_GOC!$F:$F,"Xuất nội bộ từ téc",DATA_GOC!$B:$B,"&gt;="&amp;$D822,DATA_GOC!$B:$B,"&lt;="&amp;$E822))</f>
        <v>0</v>
      </c>
      <c r="J822" s="59">
        <f t="shared" si="28"/>
        <v>0</v>
      </c>
      <c r="K822" s="59">
        <f t="shared" si="29"/>
        <v>0</v>
      </c>
      <c r="L822" s="59">
        <f t="shared" si="30"/>
        <v>0</v>
      </c>
      <c r="M822" s="59">
        <f t="shared" si="31"/>
        <v>0</v>
      </c>
    </row>
    <row r="823" ht="15.0" hidden="1" customHeight="1">
      <c r="A823" s="59">
        <f t="shared" si="20"/>
        <v>10</v>
      </c>
      <c r="B823" s="59" t="str">
        <f t="shared" si="21"/>
        <v>Đã chốt</v>
      </c>
      <c r="C823" s="59" t="str">
        <f t="shared" si="22"/>
        <v>Téc 3</v>
      </c>
      <c r="D823" s="45">
        <f t="shared" si="23"/>
        <v>46028</v>
      </c>
      <c r="E823" s="45">
        <f t="shared" si="24"/>
        <v>46046</v>
      </c>
      <c r="F823" s="133">
        <f t="shared" si="25"/>
        <v>1</v>
      </c>
      <c r="G823" s="133">
        <f t="shared" si="26"/>
        <v>2026</v>
      </c>
      <c r="H823" s="59" t="str">
        <f t="shared" si="27"/>
        <v>Xúc Đào</v>
      </c>
      <c r="I823" s="59">
        <f>IF(OR($A823="",$C823="",$D823="",$E823="",$H823=""),"",SUMIFS(DATA_GOC!$H:$H,DATA_GOC!$A:$A,"BOM",DATA_GOC!$D:$D,$H823,DATA_GOC!$E:$E,$C823,DATA_GOC!$F:$F,"Xuất nội bộ từ téc",DATA_GOC!$B:$B,"&gt;="&amp;$D823,DATA_GOC!$B:$B,"&lt;="&amp;$E823))</f>
        <v>0</v>
      </c>
      <c r="J823" s="59">
        <f t="shared" si="28"/>
        <v>0</v>
      </c>
      <c r="K823" s="59">
        <f t="shared" si="29"/>
        <v>0</v>
      </c>
      <c r="L823" s="59">
        <f t="shared" si="30"/>
        <v>0</v>
      </c>
      <c r="M823" s="59">
        <f t="shared" si="31"/>
        <v>0</v>
      </c>
    </row>
    <row r="824" ht="15.0" hidden="1" customHeight="1">
      <c r="A824" s="59">
        <f t="shared" si="20"/>
        <v>10</v>
      </c>
      <c r="B824" s="59" t="str">
        <f t="shared" si="21"/>
        <v>Đã chốt</v>
      </c>
      <c r="C824" s="59" t="str">
        <f t="shared" si="22"/>
        <v>Téc 3</v>
      </c>
      <c r="D824" s="45">
        <f t="shared" si="23"/>
        <v>46028</v>
      </c>
      <c r="E824" s="45">
        <f t="shared" si="24"/>
        <v>46046</v>
      </c>
      <c r="F824" s="133">
        <f t="shared" si="25"/>
        <v>1</v>
      </c>
      <c r="G824" s="133">
        <f t="shared" si="26"/>
        <v>2026</v>
      </c>
      <c r="H824" s="59" t="str">
        <f t="shared" si="27"/>
        <v>Xúclật asphalt</v>
      </c>
      <c r="I824" s="59">
        <f>IF(OR($A824="",$C824="",$D824="",$E824="",$H824=""),"",SUMIFS(DATA_GOC!$H:$H,DATA_GOC!$A:$A,"BOM",DATA_GOC!$D:$D,$H824,DATA_GOC!$E:$E,$C824,DATA_GOC!$F:$F,"Xuất nội bộ từ téc",DATA_GOC!$B:$B,"&gt;="&amp;$D824,DATA_GOC!$B:$B,"&lt;="&amp;$E824))</f>
        <v>0</v>
      </c>
      <c r="J824" s="59">
        <f t="shared" si="28"/>
        <v>0</v>
      </c>
      <c r="K824" s="59">
        <f t="shared" si="29"/>
        <v>0</v>
      </c>
      <c r="L824" s="59">
        <f t="shared" si="30"/>
        <v>0</v>
      </c>
      <c r="M824" s="59">
        <f t="shared" si="31"/>
        <v>0</v>
      </c>
    </row>
    <row r="825" ht="15.0" hidden="1" customHeight="1">
      <c r="A825" s="59">
        <f t="shared" si="20"/>
        <v>10</v>
      </c>
      <c r="B825" s="59" t="str">
        <f t="shared" si="21"/>
        <v>Đã chốt</v>
      </c>
      <c r="C825" s="59" t="str">
        <f t="shared" si="22"/>
        <v>Téc 3</v>
      </c>
      <c r="D825" s="45">
        <f t="shared" si="23"/>
        <v>46028</v>
      </c>
      <c r="E825" s="45">
        <f t="shared" si="24"/>
        <v>46046</v>
      </c>
      <c r="F825" s="133">
        <f t="shared" si="25"/>
        <v>1</v>
      </c>
      <c r="G825" s="133">
        <f t="shared" si="26"/>
        <v>2026</v>
      </c>
      <c r="H825" s="59" t="str">
        <f t="shared" si="27"/>
        <v>Xúclật855H</v>
      </c>
      <c r="I825" s="59">
        <f>IF(OR($A825="",$C825="",$D825="",$E825="",$H825=""),"",SUMIFS(DATA_GOC!$H:$H,DATA_GOC!$A:$A,"BOM",DATA_GOC!$D:$D,$H825,DATA_GOC!$E:$E,$C825,DATA_GOC!$F:$F,"Xuất nội bộ từ téc",DATA_GOC!$B:$B,"&gt;="&amp;$D825,DATA_GOC!$B:$B,"&lt;="&amp;$E825))</f>
        <v>643</v>
      </c>
      <c r="J825" s="59">
        <f t="shared" si="28"/>
        <v>24.693</v>
      </c>
      <c r="K825" s="59">
        <f t="shared" si="29"/>
        <v>0</v>
      </c>
      <c r="L825" s="59">
        <f t="shared" si="30"/>
        <v>667.693</v>
      </c>
      <c r="M825" s="59">
        <f t="shared" si="31"/>
        <v>0.02989446278</v>
      </c>
    </row>
    <row r="826" ht="15.0" hidden="1" customHeight="1">
      <c r="A826" s="59">
        <f t="shared" si="20"/>
        <v>10</v>
      </c>
      <c r="B826" s="59" t="str">
        <f t="shared" si="21"/>
        <v>Đã chốt</v>
      </c>
      <c r="C826" s="59" t="str">
        <f t="shared" si="22"/>
        <v>Téc 3</v>
      </c>
      <c r="D826" s="45">
        <f t="shared" si="23"/>
        <v>46028</v>
      </c>
      <c r="E826" s="45">
        <f t="shared" si="24"/>
        <v>46046</v>
      </c>
      <c r="F826" s="133">
        <f t="shared" si="25"/>
        <v>1</v>
      </c>
      <c r="G826" s="133">
        <f t="shared" si="26"/>
        <v>2026</v>
      </c>
      <c r="H826" s="59" t="str">
        <f t="shared" si="27"/>
        <v>Xúclật855N</v>
      </c>
      <c r="I826" s="59">
        <f>IF(OR($A826="",$C826="",$D826="",$E826="",$H826=""),"",SUMIFS(DATA_GOC!$H:$H,DATA_GOC!$A:$A,"BOM",DATA_GOC!$D:$D,$H826,DATA_GOC!$E:$E,$C826,DATA_GOC!$F:$F,"Xuất nội bộ từ téc",DATA_GOC!$B:$B,"&gt;="&amp;$D826,DATA_GOC!$B:$B,"&lt;="&amp;$E826))</f>
        <v>459</v>
      </c>
      <c r="J826" s="59">
        <f t="shared" si="28"/>
        <v>17.627</v>
      </c>
      <c r="K826" s="59">
        <f t="shared" si="29"/>
        <v>0</v>
      </c>
      <c r="L826" s="59">
        <f t="shared" si="30"/>
        <v>476.627</v>
      </c>
      <c r="M826" s="59">
        <f t="shared" si="31"/>
        <v>0.02133990423</v>
      </c>
    </row>
    <row r="827" ht="15.0" hidden="1" customHeight="1">
      <c r="A827" s="59">
        <f t="shared" si="20"/>
        <v>10</v>
      </c>
      <c r="B827" s="59" t="str">
        <f t="shared" si="21"/>
        <v>Đã chốt</v>
      </c>
      <c r="C827" s="59" t="str">
        <f t="shared" si="22"/>
        <v>Téc 3</v>
      </c>
      <c r="D827" s="45">
        <f t="shared" si="23"/>
        <v>46028</v>
      </c>
      <c r="E827" s="45">
        <f t="shared" si="24"/>
        <v>46046</v>
      </c>
      <c r="F827" s="133">
        <f t="shared" si="25"/>
        <v>1</v>
      </c>
      <c r="G827" s="133">
        <f t="shared" si="26"/>
        <v>2026</v>
      </c>
      <c r="H827" s="59" t="str">
        <f t="shared" si="27"/>
        <v>Cát nghiền</v>
      </c>
      <c r="I827" s="59">
        <f>IF(OR($A827="",$C827="",$D827="",$E827="",$H827=""),"",SUMIFS(DATA_GOC!$H:$H,DATA_GOC!$A:$A,"BOM",DATA_GOC!$D:$D,$H827,DATA_GOC!$E:$E,$C827,DATA_GOC!$F:$F,"Xuất nội bộ từ téc",DATA_GOC!$B:$B,"&gt;="&amp;$D827,DATA_GOC!$B:$B,"&lt;="&amp;$E827))</f>
        <v>0</v>
      </c>
      <c r="J827" s="59">
        <f t="shared" si="28"/>
        <v>0</v>
      </c>
      <c r="K827" s="59">
        <f t="shared" si="29"/>
        <v>0</v>
      </c>
      <c r="L827" s="59">
        <f t="shared" si="30"/>
        <v>0</v>
      </c>
      <c r="M827" s="59">
        <f t="shared" si="31"/>
        <v>0</v>
      </c>
    </row>
    <row r="828" ht="15.0" hidden="1" customHeight="1">
      <c r="A828" s="59">
        <f t="shared" si="20"/>
        <v>10</v>
      </c>
      <c r="B828" s="59" t="str">
        <f t="shared" si="21"/>
        <v>Đã chốt</v>
      </c>
      <c r="C828" s="59" t="str">
        <f t="shared" si="22"/>
        <v>Téc 3</v>
      </c>
      <c r="D828" s="45">
        <f t="shared" si="23"/>
        <v>46028</v>
      </c>
      <c r="E828" s="45">
        <f t="shared" si="24"/>
        <v>46046</v>
      </c>
      <c r="F828" s="133">
        <f t="shared" si="25"/>
        <v>1</v>
      </c>
      <c r="G828" s="133">
        <f t="shared" si="26"/>
        <v>2026</v>
      </c>
      <c r="H828" s="59" t="str">
        <f t="shared" si="27"/>
        <v>28C02973</v>
      </c>
      <c r="I828" s="59">
        <f>IF(OR($A828="",$C828="",$D828="",$E828="",$H828=""),"",SUMIFS(DATA_GOC!$H:$H,DATA_GOC!$A:$A,"BOM",DATA_GOC!$D:$D,$H828,DATA_GOC!$E:$E,$C828,DATA_GOC!$F:$F,"Xuất nội bộ từ téc",DATA_GOC!$B:$B,"&gt;="&amp;$D828,DATA_GOC!$B:$B,"&lt;="&amp;$E828))</f>
        <v>0</v>
      </c>
      <c r="J828" s="59">
        <f t="shared" si="28"/>
        <v>0</v>
      </c>
      <c r="K828" s="59">
        <f t="shared" si="29"/>
        <v>0</v>
      </c>
      <c r="L828" s="59">
        <f t="shared" si="30"/>
        <v>0</v>
      </c>
      <c r="M828" s="59">
        <f t="shared" si="31"/>
        <v>0</v>
      </c>
    </row>
    <row r="829" ht="15.0" hidden="1" customHeight="1">
      <c r="A829" s="59">
        <f t="shared" si="20"/>
        <v>10</v>
      </c>
      <c r="B829" s="59" t="str">
        <f t="shared" si="21"/>
        <v>Đã chốt</v>
      </c>
      <c r="C829" s="59" t="str">
        <f t="shared" si="22"/>
        <v>Téc 3</v>
      </c>
      <c r="D829" s="45">
        <f t="shared" si="23"/>
        <v>46028</v>
      </c>
      <c r="E829" s="45">
        <f t="shared" si="24"/>
        <v>46046</v>
      </c>
      <c r="F829" s="133">
        <f t="shared" si="25"/>
        <v>1</v>
      </c>
      <c r="G829" s="133">
        <f t="shared" si="26"/>
        <v>2026</v>
      </c>
      <c r="H829" s="59" t="str">
        <f t="shared" si="27"/>
        <v>28C03044</v>
      </c>
      <c r="I829" s="59">
        <f>IF(OR($A829="",$C829="",$D829="",$E829="",$H829=""),"",SUMIFS(DATA_GOC!$H:$H,DATA_GOC!$A:$A,"BOM",DATA_GOC!$D:$D,$H829,DATA_GOC!$E:$E,$C829,DATA_GOC!$F:$F,"Xuất nội bộ từ téc",DATA_GOC!$B:$B,"&gt;="&amp;$D829,DATA_GOC!$B:$B,"&lt;="&amp;$E829))</f>
        <v>0</v>
      </c>
      <c r="J829" s="59">
        <f t="shared" si="28"/>
        <v>0</v>
      </c>
      <c r="K829" s="59">
        <f t="shared" si="29"/>
        <v>0</v>
      </c>
      <c r="L829" s="59">
        <f t="shared" si="30"/>
        <v>0</v>
      </c>
      <c r="M829" s="59">
        <f t="shared" si="31"/>
        <v>0</v>
      </c>
    </row>
    <row r="830" ht="15.0" hidden="1" customHeight="1">
      <c r="A830" s="59">
        <f t="shared" si="20"/>
        <v>10</v>
      </c>
      <c r="B830" s="59" t="str">
        <f t="shared" si="21"/>
        <v>Đã chốt</v>
      </c>
      <c r="C830" s="59" t="str">
        <f t="shared" si="22"/>
        <v>Téc 3</v>
      </c>
      <c r="D830" s="45">
        <f t="shared" si="23"/>
        <v>46028</v>
      </c>
      <c r="E830" s="45">
        <f t="shared" si="24"/>
        <v>46046</v>
      </c>
      <c r="F830" s="133">
        <f t="shared" si="25"/>
        <v>1</v>
      </c>
      <c r="G830" s="133">
        <f t="shared" si="26"/>
        <v>2026</v>
      </c>
      <c r="H830" s="59" t="str">
        <f t="shared" si="27"/>
        <v>Máy lu lốp</v>
      </c>
      <c r="I830" s="59">
        <f>IF(OR($A830="",$C830="",$D830="",$E830="",$H830=""),"",SUMIFS(DATA_GOC!$H:$H,DATA_GOC!$A:$A,"BOM",DATA_GOC!$D:$D,$H830,DATA_GOC!$E:$E,$C830,DATA_GOC!$F:$F,"Xuất nội bộ từ téc",DATA_GOC!$B:$B,"&gt;="&amp;$D830,DATA_GOC!$B:$B,"&lt;="&amp;$E830))</f>
        <v>0</v>
      </c>
      <c r="J830" s="59">
        <f t="shared" si="28"/>
        <v>0</v>
      </c>
      <c r="K830" s="59">
        <f t="shared" si="29"/>
        <v>0</v>
      </c>
      <c r="L830" s="59">
        <f t="shared" si="30"/>
        <v>0</v>
      </c>
      <c r="M830" s="59">
        <f t="shared" si="31"/>
        <v>0</v>
      </c>
    </row>
    <row r="831" ht="15.0" hidden="1" customHeight="1">
      <c r="A831" s="59">
        <f t="shared" si="20"/>
        <v>10</v>
      </c>
      <c r="B831" s="59" t="str">
        <f t="shared" si="21"/>
        <v>Đã chốt</v>
      </c>
      <c r="C831" s="59" t="str">
        <f t="shared" si="22"/>
        <v>Téc 3</v>
      </c>
      <c r="D831" s="45">
        <f t="shared" si="23"/>
        <v>46028</v>
      </c>
      <c r="E831" s="45">
        <f t="shared" si="24"/>
        <v>46046</v>
      </c>
      <c r="F831" s="133">
        <f t="shared" si="25"/>
        <v>1</v>
      </c>
      <c r="G831" s="133">
        <f t="shared" si="26"/>
        <v>2026</v>
      </c>
      <c r="H831" s="59" t="str">
        <f t="shared" si="27"/>
        <v>Xe 600148</v>
      </c>
      <c r="I831" s="59">
        <f>IF(OR($A831="",$C831="",$D831="",$E831="",$H831=""),"",SUMIFS(DATA_GOC!$H:$H,DATA_GOC!$A:$A,"BOM",DATA_GOC!$D:$D,$H831,DATA_GOC!$E:$E,$C831,DATA_GOC!$F:$F,"Xuất nội bộ từ téc",DATA_GOC!$B:$B,"&gt;="&amp;$D831,DATA_GOC!$B:$B,"&lt;="&amp;$E831))</f>
        <v>0</v>
      </c>
      <c r="J831" s="59">
        <f t="shared" si="28"/>
        <v>0</v>
      </c>
      <c r="K831" s="59">
        <f t="shared" si="29"/>
        <v>0</v>
      </c>
      <c r="L831" s="59">
        <f t="shared" si="30"/>
        <v>0</v>
      </c>
      <c r="M831" s="59">
        <f t="shared" si="31"/>
        <v>0</v>
      </c>
    </row>
    <row r="832" ht="15.0" hidden="1" customHeight="1">
      <c r="A832" s="59">
        <f t="shared" si="20"/>
        <v>10</v>
      </c>
      <c r="B832" s="59" t="str">
        <f t="shared" si="21"/>
        <v>Đã chốt</v>
      </c>
      <c r="C832" s="59" t="str">
        <f t="shared" si="22"/>
        <v>Téc 3</v>
      </c>
      <c r="D832" s="45">
        <f t="shared" si="23"/>
        <v>46028</v>
      </c>
      <c r="E832" s="45">
        <f t="shared" si="24"/>
        <v>46046</v>
      </c>
      <c r="F832" s="133">
        <f t="shared" si="25"/>
        <v>1</v>
      </c>
      <c r="G832" s="133">
        <f t="shared" si="26"/>
        <v>2026</v>
      </c>
      <c r="H832" s="59" t="str">
        <f t="shared" si="27"/>
        <v>Xe ben mới</v>
      </c>
      <c r="I832" s="59">
        <f>IF(OR($A832="",$C832="",$D832="",$E832="",$H832=""),"",SUMIFS(DATA_GOC!$H:$H,DATA_GOC!$A:$A,"BOM",DATA_GOC!$D:$D,$H832,DATA_GOC!$E:$E,$C832,DATA_GOC!$F:$F,"Xuất nội bộ từ téc",DATA_GOC!$B:$B,"&gt;="&amp;$D832,DATA_GOC!$B:$B,"&lt;="&amp;$E832))</f>
        <v>0</v>
      </c>
      <c r="J832" s="59">
        <f t="shared" si="28"/>
        <v>0</v>
      </c>
      <c r="K832" s="59">
        <f t="shared" si="29"/>
        <v>0</v>
      </c>
      <c r="L832" s="59">
        <f t="shared" si="30"/>
        <v>0</v>
      </c>
      <c r="M832" s="59">
        <f t="shared" si="31"/>
        <v>0</v>
      </c>
    </row>
    <row r="833" ht="15.0" hidden="1" customHeight="1">
      <c r="A833" s="59">
        <f t="shared" si="20"/>
        <v>11</v>
      </c>
      <c r="B833" s="59" t="str">
        <f t="shared" si="21"/>
        <v>Đã chốt</v>
      </c>
      <c r="C833" s="59" t="str">
        <f t="shared" si="22"/>
        <v>Téc 3</v>
      </c>
      <c r="D833" s="45">
        <f t="shared" si="23"/>
        <v>46065</v>
      </c>
      <c r="E833" s="45">
        <f t="shared" si="24"/>
        <v>46106</v>
      </c>
      <c r="F833" s="133">
        <f t="shared" si="25"/>
        <v>3</v>
      </c>
      <c r="G833" s="133">
        <f t="shared" si="26"/>
        <v>2026</v>
      </c>
      <c r="H833" s="59" t="str">
        <f t="shared" si="27"/>
        <v>19H09482</v>
      </c>
      <c r="I833" s="59">
        <f>IF(OR($A833="",$C833="",$D833="",$E833="",$H833=""),"",SUMIFS(DATA_GOC!$H:$H,DATA_GOC!$A:$A,"BOM",DATA_GOC!$D:$D,$H833,DATA_GOC!$E:$E,$C833,DATA_GOC!$F:$F,"Xuất nội bộ từ téc",DATA_GOC!$B:$B,"&gt;="&amp;$D833,DATA_GOC!$B:$B,"&lt;="&amp;$E833))</f>
        <v>945</v>
      </c>
      <c r="J833" s="59">
        <f t="shared" si="28"/>
        <v>32.609</v>
      </c>
      <c r="K833" s="59">
        <f t="shared" si="29"/>
        <v>0</v>
      </c>
      <c r="L833" s="59">
        <f t="shared" si="30"/>
        <v>977.609</v>
      </c>
      <c r="M833" s="59">
        <f t="shared" si="31"/>
        <v>0.03244635193</v>
      </c>
    </row>
    <row r="834" ht="15.0" hidden="1" customHeight="1">
      <c r="A834" s="59">
        <f t="shared" si="20"/>
        <v>11</v>
      </c>
      <c r="B834" s="59" t="str">
        <f t="shared" si="21"/>
        <v>Đã chốt</v>
      </c>
      <c r="C834" s="59" t="str">
        <f t="shared" si="22"/>
        <v>Téc 3</v>
      </c>
      <c r="D834" s="45">
        <f t="shared" si="23"/>
        <v>46065</v>
      </c>
      <c r="E834" s="45">
        <f t="shared" si="24"/>
        <v>46106</v>
      </c>
      <c r="F834" s="133">
        <f t="shared" si="25"/>
        <v>3</v>
      </c>
      <c r="G834" s="133">
        <f t="shared" si="26"/>
        <v>2026</v>
      </c>
      <c r="H834" s="59" t="str">
        <f t="shared" si="27"/>
        <v>28A30696</v>
      </c>
      <c r="I834" s="59">
        <f>IF(OR($A834="",$C834="",$D834="",$E834="",$H834=""),"",SUMIFS(DATA_GOC!$H:$H,DATA_GOC!$A:$A,"BOM",DATA_GOC!$D:$D,$H834,DATA_GOC!$E:$E,$C834,DATA_GOC!$F:$F,"Xuất nội bộ từ téc",DATA_GOC!$B:$B,"&gt;="&amp;$D834,DATA_GOC!$B:$B,"&lt;="&amp;$E834))</f>
        <v>78</v>
      </c>
      <c r="J834" s="59">
        <f t="shared" si="28"/>
        <v>2.692</v>
      </c>
      <c r="K834" s="59">
        <f t="shared" si="29"/>
        <v>0</v>
      </c>
      <c r="L834" s="59">
        <f t="shared" si="30"/>
        <v>80.692</v>
      </c>
      <c r="M834" s="59">
        <f t="shared" si="31"/>
        <v>0.002678111588</v>
      </c>
    </row>
    <row r="835" ht="15.0" hidden="1" customHeight="1">
      <c r="A835" s="59">
        <f t="shared" si="20"/>
        <v>11</v>
      </c>
      <c r="B835" s="59" t="str">
        <f t="shared" si="21"/>
        <v>Đã chốt</v>
      </c>
      <c r="C835" s="59" t="str">
        <f t="shared" si="22"/>
        <v>Téc 3</v>
      </c>
      <c r="D835" s="45">
        <f t="shared" si="23"/>
        <v>46065</v>
      </c>
      <c r="E835" s="45">
        <f t="shared" si="24"/>
        <v>46106</v>
      </c>
      <c r="F835" s="133">
        <f t="shared" si="25"/>
        <v>3</v>
      </c>
      <c r="G835" s="133">
        <f t="shared" si="26"/>
        <v>2026</v>
      </c>
      <c r="H835" s="59" t="str">
        <f t="shared" si="27"/>
        <v>28C00462</v>
      </c>
      <c r="I835" s="59">
        <f>IF(OR($A835="",$C835="",$D835="",$E835="",$H835=""),"",SUMIFS(DATA_GOC!$H:$H,DATA_GOC!$A:$A,"BOM",DATA_GOC!$D:$D,$H835,DATA_GOC!$E:$E,$C835,DATA_GOC!$F:$F,"Xuất nội bộ từ téc",DATA_GOC!$B:$B,"&gt;="&amp;$D835,DATA_GOC!$B:$B,"&lt;="&amp;$E835))</f>
        <v>813</v>
      </c>
      <c r="J835" s="59">
        <f t="shared" si="28"/>
        <v>28.054</v>
      </c>
      <c r="K835" s="59">
        <f t="shared" si="29"/>
        <v>0</v>
      </c>
      <c r="L835" s="59">
        <f t="shared" si="30"/>
        <v>841.054</v>
      </c>
      <c r="M835" s="59">
        <f t="shared" si="31"/>
        <v>0.02791416309</v>
      </c>
    </row>
    <row r="836" ht="15.0" hidden="1" customHeight="1">
      <c r="A836" s="59">
        <f t="shared" si="20"/>
        <v>11</v>
      </c>
      <c r="B836" s="59" t="str">
        <f t="shared" si="21"/>
        <v>Đã chốt</v>
      </c>
      <c r="C836" s="59" t="str">
        <f t="shared" si="22"/>
        <v>Téc 3</v>
      </c>
      <c r="D836" s="45">
        <f t="shared" si="23"/>
        <v>46065</v>
      </c>
      <c r="E836" s="45">
        <f t="shared" si="24"/>
        <v>46106</v>
      </c>
      <c r="F836" s="133">
        <f t="shared" si="25"/>
        <v>3</v>
      </c>
      <c r="G836" s="133">
        <f t="shared" si="26"/>
        <v>2026</v>
      </c>
      <c r="H836" s="59" t="str">
        <f t="shared" si="27"/>
        <v>28C01165</v>
      </c>
      <c r="I836" s="59">
        <f>IF(OR($A836="",$C836="",$D836="",$E836="",$H836=""),"",SUMIFS(DATA_GOC!$H:$H,DATA_GOC!$A:$A,"BOM",DATA_GOC!$D:$D,$H836,DATA_GOC!$E:$E,$C836,DATA_GOC!$F:$F,"Xuất nội bộ từ téc",DATA_GOC!$B:$B,"&gt;="&amp;$D836,DATA_GOC!$B:$B,"&lt;="&amp;$E836))</f>
        <v>500</v>
      </c>
      <c r="J836" s="59">
        <f t="shared" si="28"/>
        <v>17.253</v>
      </c>
      <c r="K836" s="59">
        <f t="shared" si="29"/>
        <v>0</v>
      </c>
      <c r="L836" s="59">
        <f t="shared" si="30"/>
        <v>517.253</v>
      </c>
      <c r="M836" s="59">
        <f t="shared" si="31"/>
        <v>0.01716738197</v>
      </c>
    </row>
    <row r="837" ht="15.0" hidden="1" customHeight="1">
      <c r="A837" s="59">
        <f t="shared" si="20"/>
        <v>11</v>
      </c>
      <c r="B837" s="59" t="str">
        <f t="shared" si="21"/>
        <v>Đã chốt</v>
      </c>
      <c r="C837" s="59" t="str">
        <f t="shared" si="22"/>
        <v>Téc 3</v>
      </c>
      <c r="D837" s="45">
        <f t="shared" si="23"/>
        <v>46065</v>
      </c>
      <c r="E837" s="45">
        <f t="shared" si="24"/>
        <v>46106</v>
      </c>
      <c r="F837" s="133">
        <f t="shared" si="25"/>
        <v>3</v>
      </c>
      <c r="G837" s="133">
        <f t="shared" si="26"/>
        <v>2026</v>
      </c>
      <c r="H837" s="59" t="str">
        <f t="shared" si="27"/>
        <v>28C01406</v>
      </c>
      <c r="I837" s="59">
        <f>IF(OR($A837="",$C837="",$D837="",$E837="",$H837=""),"",SUMIFS(DATA_GOC!$H:$H,DATA_GOC!$A:$A,"BOM",DATA_GOC!$D:$D,$H837,DATA_GOC!$E:$E,$C837,DATA_GOC!$F:$F,"Xuất nội bộ từ téc",DATA_GOC!$B:$B,"&gt;="&amp;$D837,DATA_GOC!$B:$B,"&lt;="&amp;$E837))</f>
        <v>545</v>
      </c>
      <c r="J837" s="59">
        <f t="shared" si="28"/>
        <v>18.806</v>
      </c>
      <c r="K837" s="59">
        <f t="shared" si="29"/>
        <v>0</v>
      </c>
      <c r="L837" s="59">
        <f t="shared" si="30"/>
        <v>563.806</v>
      </c>
      <c r="M837" s="59">
        <f t="shared" si="31"/>
        <v>0.01871244635</v>
      </c>
    </row>
    <row r="838" ht="15.0" hidden="1" customHeight="1">
      <c r="A838" s="59">
        <f t="shared" si="20"/>
        <v>11</v>
      </c>
      <c r="B838" s="59" t="str">
        <f t="shared" si="21"/>
        <v>Đã chốt</v>
      </c>
      <c r="C838" s="59" t="str">
        <f t="shared" si="22"/>
        <v>Téc 3</v>
      </c>
      <c r="D838" s="45">
        <f t="shared" si="23"/>
        <v>46065</v>
      </c>
      <c r="E838" s="45">
        <f t="shared" si="24"/>
        <v>46106</v>
      </c>
      <c r="F838" s="133">
        <f t="shared" si="25"/>
        <v>3</v>
      </c>
      <c r="G838" s="133">
        <f t="shared" si="26"/>
        <v>2026</v>
      </c>
      <c r="H838" s="59" t="str">
        <f t="shared" si="27"/>
        <v>28C01544</v>
      </c>
      <c r="I838" s="59">
        <f>IF(OR($A838="",$C838="",$D838="",$E838="",$H838=""),"",SUMIFS(DATA_GOC!$H:$H,DATA_GOC!$A:$A,"BOM",DATA_GOC!$D:$D,$H838,DATA_GOC!$E:$E,$C838,DATA_GOC!$F:$F,"Xuất nội bộ từ téc",DATA_GOC!$B:$B,"&gt;="&amp;$D838,DATA_GOC!$B:$B,"&lt;="&amp;$E838))</f>
        <v>56</v>
      </c>
      <c r="J838" s="59">
        <f t="shared" si="28"/>
        <v>1.932</v>
      </c>
      <c r="K838" s="59">
        <f t="shared" si="29"/>
        <v>0</v>
      </c>
      <c r="L838" s="59">
        <f t="shared" si="30"/>
        <v>57.932</v>
      </c>
      <c r="M838" s="59">
        <f t="shared" si="31"/>
        <v>0.001922746781</v>
      </c>
    </row>
    <row r="839" ht="15.0" hidden="1" customHeight="1">
      <c r="A839" s="59">
        <f t="shared" si="20"/>
        <v>11</v>
      </c>
      <c r="B839" s="59" t="str">
        <f t="shared" si="21"/>
        <v>Đã chốt</v>
      </c>
      <c r="C839" s="59" t="str">
        <f t="shared" si="22"/>
        <v>Téc 3</v>
      </c>
      <c r="D839" s="45">
        <f t="shared" si="23"/>
        <v>46065</v>
      </c>
      <c r="E839" s="45">
        <f t="shared" si="24"/>
        <v>46106</v>
      </c>
      <c r="F839" s="133">
        <f t="shared" si="25"/>
        <v>3</v>
      </c>
      <c r="G839" s="133">
        <f t="shared" si="26"/>
        <v>2026</v>
      </c>
      <c r="H839" s="59" t="str">
        <f t="shared" si="27"/>
        <v>28C01622</v>
      </c>
      <c r="I839" s="59">
        <f>IF(OR($A839="",$C839="",$D839="",$E839="",$H839=""),"",SUMIFS(DATA_GOC!$H:$H,DATA_GOC!$A:$A,"BOM",DATA_GOC!$D:$D,$H839,DATA_GOC!$E:$E,$C839,DATA_GOC!$F:$F,"Xuất nội bộ từ téc",DATA_GOC!$B:$B,"&gt;="&amp;$D839,DATA_GOC!$B:$B,"&lt;="&amp;$E839))</f>
        <v>1309</v>
      </c>
      <c r="J839" s="59">
        <f t="shared" si="28"/>
        <v>45.169</v>
      </c>
      <c r="K839" s="59">
        <f t="shared" si="29"/>
        <v>0</v>
      </c>
      <c r="L839" s="59">
        <f t="shared" si="30"/>
        <v>1354.169</v>
      </c>
      <c r="M839" s="59">
        <f t="shared" si="31"/>
        <v>0.04494420601</v>
      </c>
    </row>
    <row r="840" ht="15.0" hidden="1" customHeight="1">
      <c r="A840" s="59">
        <f t="shared" si="20"/>
        <v>11</v>
      </c>
      <c r="B840" s="59" t="str">
        <f t="shared" si="21"/>
        <v>Đã chốt</v>
      </c>
      <c r="C840" s="59" t="str">
        <f t="shared" si="22"/>
        <v>Téc 3</v>
      </c>
      <c r="D840" s="45">
        <f t="shared" si="23"/>
        <v>46065</v>
      </c>
      <c r="E840" s="45">
        <f t="shared" si="24"/>
        <v>46106</v>
      </c>
      <c r="F840" s="133">
        <f t="shared" si="25"/>
        <v>3</v>
      </c>
      <c r="G840" s="133">
        <f t="shared" si="26"/>
        <v>2026</v>
      </c>
      <c r="H840" s="59" t="str">
        <f t="shared" si="27"/>
        <v>28C01647</v>
      </c>
      <c r="I840" s="59">
        <f>IF(OR($A840="",$C840="",$D840="",$E840="",$H840=""),"",SUMIFS(DATA_GOC!$H:$H,DATA_GOC!$A:$A,"BOM",DATA_GOC!$D:$D,$H840,DATA_GOC!$E:$E,$C840,DATA_GOC!$F:$F,"Xuất nội bộ từ téc",DATA_GOC!$B:$B,"&gt;="&amp;$D840,DATA_GOC!$B:$B,"&lt;="&amp;$E840))</f>
        <v>1489</v>
      </c>
      <c r="J840" s="59">
        <f t="shared" si="28"/>
        <v>51.38</v>
      </c>
      <c r="K840" s="59">
        <f t="shared" si="29"/>
        <v>0</v>
      </c>
      <c r="L840" s="59">
        <f t="shared" si="30"/>
        <v>1540.38</v>
      </c>
      <c r="M840" s="59">
        <f t="shared" si="31"/>
        <v>0.05112446352</v>
      </c>
    </row>
    <row r="841" ht="15.0" hidden="1" customHeight="1">
      <c r="A841" s="59">
        <f t="shared" si="20"/>
        <v>11</v>
      </c>
      <c r="B841" s="59" t="str">
        <f t="shared" si="21"/>
        <v>Đã chốt</v>
      </c>
      <c r="C841" s="59" t="str">
        <f t="shared" si="22"/>
        <v>Téc 3</v>
      </c>
      <c r="D841" s="45">
        <f t="shared" si="23"/>
        <v>46065</v>
      </c>
      <c r="E841" s="45">
        <f t="shared" si="24"/>
        <v>46106</v>
      </c>
      <c r="F841" s="133">
        <f t="shared" si="25"/>
        <v>3</v>
      </c>
      <c r="G841" s="133">
        <f t="shared" si="26"/>
        <v>2026</v>
      </c>
      <c r="H841" s="59" t="str">
        <f t="shared" si="27"/>
        <v>28C01731</v>
      </c>
      <c r="I841" s="59">
        <f>IF(OR($A841="",$C841="",$D841="",$E841="",$H841=""),"",SUMIFS(DATA_GOC!$H:$H,DATA_GOC!$A:$A,"BOM",DATA_GOC!$D:$D,$H841,DATA_GOC!$E:$E,$C841,DATA_GOC!$F:$F,"Xuất nội bộ từ téc",DATA_GOC!$B:$B,"&gt;="&amp;$D841,DATA_GOC!$B:$B,"&lt;="&amp;$E841))</f>
        <v>416</v>
      </c>
      <c r="J841" s="59">
        <f t="shared" si="28"/>
        <v>14.355</v>
      </c>
      <c r="K841" s="59">
        <f t="shared" si="29"/>
        <v>0</v>
      </c>
      <c r="L841" s="59">
        <f t="shared" si="30"/>
        <v>430.355</v>
      </c>
      <c r="M841" s="59">
        <f t="shared" si="31"/>
        <v>0.0142832618</v>
      </c>
    </row>
    <row r="842" ht="15.0" hidden="1" customHeight="1">
      <c r="A842" s="59">
        <f t="shared" si="20"/>
        <v>11</v>
      </c>
      <c r="B842" s="59" t="str">
        <f t="shared" si="21"/>
        <v>Đã chốt</v>
      </c>
      <c r="C842" s="59" t="str">
        <f t="shared" si="22"/>
        <v>Téc 3</v>
      </c>
      <c r="D842" s="45">
        <f t="shared" si="23"/>
        <v>46065</v>
      </c>
      <c r="E842" s="45">
        <f t="shared" si="24"/>
        <v>46106</v>
      </c>
      <c r="F842" s="133">
        <f t="shared" si="25"/>
        <v>3</v>
      </c>
      <c r="G842" s="133">
        <f t="shared" si="26"/>
        <v>2026</v>
      </c>
      <c r="H842" s="59" t="str">
        <f t="shared" si="27"/>
        <v>28C01743</v>
      </c>
      <c r="I842" s="59">
        <f>IF(OR($A842="",$C842="",$D842="",$E842="",$H842=""),"",SUMIFS(DATA_GOC!$H:$H,DATA_GOC!$A:$A,"BOM",DATA_GOC!$D:$D,$H842,DATA_GOC!$E:$E,$C842,DATA_GOC!$F:$F,"Xuất nội bộ từ téc",DATA_GOC!$B:$B,"&gt;="&amp;$D842,DATA_GOC!$B:$B,"&lt;="&amp;$E842))</f>
        <v>0</v>
      </c>
      <c r="J842" s="59">
        <f t="shared" si="28"/>
        <v>0</v>
      </c>
      <c r="K842" s="59">
        <f t="shared" si="29"/>
        <v>0</v>
      </c>
      <c r="L842" s="59">
        <f t="shared" si="30"/>
        <v>0</v>
      </c>
      <c r="M842" s="59">
        <f t="shared" si="31"/>
        <v>0</v>
      </c>
    </row>
    <row r="843" ht="15.0" hidden="1" customHeight="1">
      <c r="A843" s="59">
        <f t="shared" si="20"/>
        <v>11</v>
      </c>
      <c r="B843" s="59" t="str">
        <f t="shared" si="21"/>
        <v>Đã chốt</v>
      </c>
      <c r="C843" s="59" t="str">
        <f t="shared" si="22"/>
        <v>Téc 3</v>
      </c>
      <c r="D843" s="45">
        <f t="shared" si="23"/>
        <v>46065</v>
      </c>
      <c r="E843" s="45">
        <f t="shared" si="24"/>
        <v>46106</v>
      </c>
      <c r="F843" s="133">
        <f t="shared" si="25"/>
        <v>3</v>
      </c>
      <c r="G843" s="133">
        <f t="shared" si="26"/>
        <v>2026</v>
      </c>
      <c r="H843" s="59" t="str">
        <f t="shared" si="27"/>
        <v>28C02106</v>
      </c>
      <c r="I843" s="59">
        <f>IF(OR($A843="",$C843="",$D843="",$E843="",$H843=""),"",SUMIFS(DATA_GOC!$H:$H,DATA_GOC!$A:$A,"BOM",DATA_GOC!$D:$D,$H843,DATA_GOC!$E:$E,$C843,DATA_GOC!$F:$F,"Xuất nội bộ từ téc",DATA_GOC!$B:$B,"&gt;="&amp;$D843,DATA_GOC!$B:$B,"&lt;="&amp;$E843))</f>
        <v>746</v>
      </c>
      <c r="J843" s="59">
        <f t="shared" si="28"/>
        <v>25.742</v>
      </c>
      <c r="K843" s="59">
        <f t="shared" si="29"/>
        <v>0</v>
      </c>
      <c r="L843" s="59">
        <f t="shared" si="30"/>
        <v>771.742</v>
      </c>
      <c r="M843" s="59">
        <f t="shared" si="31"/>
        <v>0.02561373391</v>
      </c>
    </row>
    <row r="844" ht="15.0" hidden="1" customHeight="1">
      <c r="A844" s="59">
        <f t="shared" si="20"/>
        <v>11</v>
      </c>
      <c r="B844" s="59" t="str">
        <f t="shared" si="21"/>
        <v>Đã chốt</v>
      </c>
      <c r="C844" s="59" t="str">
        <f t="shared" si="22"/>
        <v>Téc 3</v>
      </c>
      <c r="D844" s="45">
        <f t="shared" si="23"/>
        <v>46065</v>
      </c>
      <c r="E844" s="45">
        <f t="shared" si="24"/>
        <v>46106</v>
      </c>
      <c r="F844" s="133">
        <f t="shared" si="25"/>
        <v>3</v>
      </c>
      <c r="G844" s="133">
        <f t="shared" si="26"/>
        <v>2026</v>
      </c>
      <c r="H844" s="59" t="str">
        <f t="shared" si="27"/>
        <v>28C02410</v>
      </c>
      <c r="I844" s="59">
        <f>IF(OR($A844="",$C844="",$D844="",$E844="",$H844=""),"",SUMIFS(DATA_GOC!$H:$H,DATA_GOC!$A:$A,"BOM",DATA_GOC!$D:$D,$H844,DATA_GOC!$E:$E,$C844,DATA_GOC!$F:$F,"Xuất nội bộ từ téc",DATA_GOC!$B:$B,"&gt;="&amp;$D844,DATA_GOC!$B:$B,"&lt;="&amp;$E844))</f>
        <v>567</v>
      </c>
      <c r="J844" s="59">
        <f t="shared" si="28"/>
        <v>19.565</v>
      </c>
      <c r="K844" s="59">
        <f t="shared" si="29"/>
        <v>0</v>
      </c>
      <c r="L844" s="59">
        <f t="shared" si="30"/>
        <v>586.565</v>
      </c>
      <c r="M844" s="59">
        <f t="shared" si="31"/>
        <v>0.01946781116</v>
      </c>
    </row>
    <row r="845" ht="15.0" hidden="1" customHeight="1">
      <c r="A845" s="59">
        <f t="shared" si="20"/>
        <v>11</v>
      </c>
      <c r="B845" s="59" t="str">
        <f t="shared" si="21"/>
        <v>Đã chốt</v>
      </c>
      <c r="C845" s="59" t="str">
        <f t="shared" si="22"/>
        <v>Téc 3</v>
      </c>
      <c r="D845" s="45">
        <f t="shared" si="23"/>
        <v>46065</v>
      </c>
      <c r="E845" s="45">
        <f t="shared" si="24"/>
        <v>46106</v>
      </c>
      <c r="F845" s="133">
        <f t="shared" si="25"/>
        <v>3</v>
      </c>
      <c r="G845" s="133">
        <f t="shared" si="26"/>
        <v>2026</v>
      </c>
      <c r="H845" s="59" t="str">
        <f t="shared" si="27"/>
        <v>28C02545</v>
      </c>
      <c r="I845" s="59">
        <f>IF(OR($A845="",$C845="",$D845="",$E845="",$H845=""),"",SUMIFS(DATA_GOC!$H:$H,DATA_GOC!$A:$A,"BOM",DATA_GOC!$D:$D,$H845,DATA_GOC!$E:$E,$C845,DATA_GOC!$F:$F,"Xuất nội bộ từ téc",DATA_GOC!$B:$B,"&gt;="&amp;$D845,DATA_GOC!$B:$B,"&lt;="&amp;$E845))</f>
        <v>459</v>
      </c>
      <c r="J845" s="59">
        <f t="shared" si="28"/>
        <v>15.838</v>
      </c>
      <c r="K845" s="59">
        <f t="shared" si="29"/>
        <v>0</v>
      </c>
      <c r="L845" s="59">
        <f t="shared" si="30"/>
        <v>474.838</v>
      </c>
      <c r="M845" s="59">
        <f t="shared" si="31"/>
        <v>0.01575965665</v>
      </c>
    </row>
    <row r="846" ht="15.0" hidden="1" customHeight="1">
      <c r="A846" s="59">
        <f t="shared" si="20"/>
        <v>11</v>
      </c>
      <c r="B846" s="59" t="str">
        <f t="shared" si="21"/>
        <v>Đã chốt</v>
      </c>
      <c r="C846" s="59" t="str">
        <f t="shared" si="22"/>
        <v>Téc 3</v>
      </c>
      <c r="D846" s="45">
        <f t="shared" si="23"/>
        <v>46065</v>
      </c>
      <c r="E846" s="45">
        <f t="shared" si="24"/>
        <v>46106</v>
      </c>
      <c r="F846" s="133">
        <f t="shared" si="25"/>
        <v>3</v>
      </c>
      <c r="G846" s="133">
        <f t="shared" si="26"/>
        <v>2026</v>
      </c>
      <c r="H846" s="59" t="str">
        <f t="shared" si="27"/>
        <v>28C02574</v>
      </c>
      <c r="I846" s="59">
        <f>IF(OR($A846="",$C846="",$D846="",$E846="",$H846=""),"",SUMIFS(DATA_GOC!$H:$H,DATA_GOC!$A:$A,"BOM",DATA_GOC!$D:$D,$H846,DATA_GOC!$E:$E,$C846,DATA_GOC!$F:$F,"Xuất nội bộ từ téc",DATA_GOC!$B:$B,"&gt;="&amp;$D846,DATA_GOC!$B:$B,"&lt;="&amp;$E846))</f>
        <v>492</v>
      </c>
      <c r="J846" s="59">
        <f t="shared" si="28"/>
        <v>16.977</v>
      </c>
      <c r="K846" s="59">
        <f t="shared" si="29"/>
        <v>0</v>
      </c>
      <c r="L846" s="59">
        <f t="shared" si="30"/>
        <v>508.977</v>
      </c>
      <c r="M846" s="59">
        <f t="shared" si="31"/>
        <v>0.01689270386</v>
      </c>
    </row>
    <row r="847" ht="15.0" hidden="1" customHeight="1">
      <c r="A847" s="59">
        <f t="shared" si="20"/>
        <v>11</v>
      </c>
      <c r="B847" s="59" t="str">
        <f t="shared" si="21"/>
        <v>Đã chốt</v>
      </c>
      <c r="C847" s="59" t="str">
        <f t="shared" si="22"/>
        <v>Téc 3</v>
      </c>
      <c r="D847" s="45">
        <f t="shared" si="23"/>
        <v>46065</v>
      </c>
      <c r="E847" s="45">
        <f t="shared" si="24"/>
        <v>46106</v>
      </c>
      <c r="F847" s="133">
        <f t="shared" si="25"/>
        <v>3</v>
      </c>
      <c r="G847" s="133">
        <f t="shared" si="26"/>
        <v>2026</v>
      </c>
      <c r="H847" s="59" t="str">
        <f t="shared" si="27"/>
        <v>28C02770</v>
      </c>
      <c r="I847" s="59">
        <f>IF(OR($A847="",$C847="",$D847="",$E847="",$H847=""),"",SUMIFS(DATA_GOC!$H:$H,DATA_GOC!$A:$A,"BOM",DATA_GOC!$D:$D,$H847,DATA_GOC!$E:$E,$C847,DATA_GOC!$F:$F,"Xuất nội bộ từ téc",DATA_GOC!$B:$B,"&gt;="&amp;$D847,DATA_GOC!$B:$B,"&lt;="&amp;$E847))</f>
        <v>543</v>
      </c>
      <c r="J847" s="59">
        <f t="shared" si="28"/>
        <v>18.737</v>
      </c>
      <c r="K847" s="59">
        <f t="shared" si="29"/>
        <v>0</v>
      </c>
      <c r="L847" s="59">
        <f t="shared" si="30"/>
        <v>561.737</v>
      </c>
      <c r="M847" s="59">
        <f t="shared" si="31"/>
        <v>0.01864377682</v>
      </c>
    </row>
    <row r="848" ht="15.0" hidden="1" customHeight="1">
      <c r="A848" s="59">
        <f t="shared" si="20"/>
        <v>11</v>
      </c>
      <c r="B848" s="59" t="str">
        <f t="shared" si="21"/>
        <v>Đã chốt</v>
      </c>
      <c r="C848" s="59" t="str">
        <f t="shared" si="22"/>
        <v>Téc 3</v>
      </c>
      <c r="D848" s="45">
        <f t="shared" si="23"/>
        <v>46065</v>
      </c>
      <c r="E848" s="45">
        <f t="shared" si="24"/>
        <v>46106</v>
      </c>
      <c r="F848" s="133">
        <f t="shared" si="25"/>
        <v>3</v>
      </c>
      <c r="G848" s="133">
        <f t="shared" si="26"/>
        <v>2026</v>
      </c>
      <c r="H848" s="59" t="str">
        <f t="shared" si="27"/>
        <v>28C02986</v>
      </c>
      <c r="I848" s="59">
        <f>IF(OR($A848="",$C848="",$D848="",$E848="",$H848=""),"",SUMIFS(DATA_GOC!$H:$H,DATA_GOC!$A:$A,"BOM",DATA_GOC!$D:$D,$H848,DATA_GOC!$E:$E,$C848,DATA_GOC!$F:$F,"Xuất nội bộ từ téc",DATA_GOC!$B:$B,"&gt;="&amp;$D848,DATA_GOC!$B:$B,"&lt;="&amp;$E848))</f>
        <v>1589</v>
      </c>
      <c r="J848" s="59">
        <f t="shared" si="28"/>
        <v>54.831</v>
      </c>
      <c r="K848" s="59">
        <f t="shared" si="29"/>
        <v>0</v>
      </c>
      <c r="L848" s="59">
        <f t="shared" si="30"/>
        <v>1643.831</v>
      </c>
      <c r="M848" s="59">
        <f t="shared" si="31"/>
        <v>0.05455793991</v>
      </c>
    </row>
    <row r="849" ht="15.0" hidden="1" customHeight="1">
      <c r="A849" s="59">
        <f t="shared" si="20"/>
        <v>11</v>
      </c>
      <c r="B849" s="59" t="str">
        <f t="shared" si="21"/>
        <v>Đã chốt</v>
      </c>
      <c r="C849" s="59" t="str">
        <f t="shared" si="22"/>
        <v>Téc 3</v>
      </c>
      <c r="D849" s="45">
        <f t="shared" si="23"/>
        <v>46065</v>
      </c>
      <c r="E849" s="45">
        <f t="shared" si="24"/>
        <v>46106</v>
      </c>
      <c r="F849" s="133">
        <f t="shared" si="25"/>
        <v>3</v>
      </c>
      <c r="G849" s="133">
        <f t="shared" si="26"/>
        <v>2026</v>
      </c>
      <c r="H849" s="59" t="str">
        <f t="shared" si="27"/>
        <v>28C03261</v>
      </c>
      <c r="I849" s="59">
        <f>IF(OR($A849="",$C849="",$D849="",$E849="",$H849=""),"",SUMIFS(DATA_GOC!$H:$H,DATA_GOC!$A:$A,"BOM",DATA_GOC!$D:$D,$H849,DATA_GOC!$E:$E,$C849,DATA_GOC!$F:$F,"Xuất nội bộ từ téc",DATA_GOC!$B:$B,"&gt;="&amp;$D849,DATA_GOC!$B:$B,"&lt;="&amp;$E849))</f>
        <v>0</v>
      </c>
      <c r="J849" s="59">
        <f t="shared" si="28"/>
        <v>0</v>
      </c>
      <c r="K849" s="59">
        <f t="shared" si="29"/>
        <v>0</v>
      </c>
      <c r="L849" s="59">
        <f t="shared" si="30"/>
        <v>0</v>
      </c>
      <c r="M849" s="59">
        <f t="shared" si="31"/>
        <v>0</v>
      </c>
    </row>
    <row r="850" ht="15.0" hidden="1" customHeight="1">
      <c r="A850" s="59">
        <f t="shared" si="20"/>
        <v>11</v>
      </c>
      <c r="B850" s="59" t="str">
        <f t="shared" si="21"/>
        <v>Đã chốt</v>
      </c>
      <c r="C850" s="59" t="str">
        <f t="shared" si="22"/>
        <v>Téc 3</v>
      </c>
      <c r="D850" s="45">
        <f t="shared" si="23"/>
        <v>46065</v>
      </c>
      <c r="E850" s="45">
        <f t="shared" si="24"/>
        <v>46106</v>
      </c>
      <c r="F850" s="133">
        <f t="shared" si="25"/>
        <v>3</v>
      </c>
      <c r="G850" s="133">
        <f t="shared" si="26"/>
        <v>2026</v>
      </c>
      <c r="H850" s="59" t="str">
        <f t="shared" si="27"/>
        <v>28C03323</v>
      </c>
      <c r="I850" s="59">
        <f>IF(OR($A850="",$C850="",$D850="",$E850="",$H850=""),"",SUMIFS(DATA_GOC!$H:$H,DATA_GOC!$A:$A,"BOM",DATA_GOC!$D:$D,$H850,DATA_GOC!$E:$E,$C850,DATA_GOC!$F:$F,"Xuất nội bộ từ téc",DATA_GOC!$B:$B,"&gt;="&amp;$D850,DATA_GOC!$B:$B,"&lt;="&amp;$E850))</f>
        <v>345</v>
      </c>
      <c r="J850" s="59">
        <f t="shared" si="28"/>
        <v>11.905</v>
      </c>
      <c r="K850" s="59">
        <f t="shared" si="29"/>
        <v>0</v>
      </c>
      <c r="L850" s="59">
        <f t="shared" si="30"/>
        <v>356.905</v>
      </c>
      <c r="M850" s="59">
        <f t="shared" si="31"/>
        <v>0.01184549356</v>
      </c>
    </row>
    <row r="851" ht="15.0" hidden="1" customHeight="1">
      <c r="A851" s="59">
        <f t="shared" si="20"/>
        <v>11</v>
      </c>
      <c r="B851" s="59" t="str">
        <f t="shared" si="21"/>
        <v>Đã chốt</v>
      </c>
      <c r="C851" s="59" t="str">
        <f t="shared" si="22"/>
        <v>Téc 3</v>
      </c>
      <c r="D851" s="45">
        <f t="shared" si="23"/>
        <v>46065</v>
      </c>
      <c r="E851" s="45">
        <f t="shared" si="24"/>
        <v>46106</v>
      </c>
      <c r="F851" s="133">
        <f t="shared" si="25"/>
        <v>3</v>
      </c>
      <c r="G851" s="133">
        <f t="shared" si="26"/>
        <v>2026</v>
      </c>
      <c r="H851" s="59" t="str">
        <f t="shared" si="27"/>
        <v>28C03385</v>
      </c>
      <c r="I851" s="59">
        <f>IF(OR($A851="",$C851="",$D851="",$E851="",$H851=""),"",SUMIFS(DATA_GOC!$H:$H,DATA_GOC!$A:$A,"BOM",DATA_GOC!$D:$D,$H851,DATA_GOC!$E:$E,$C851,DATA_GOC!$F:$F,"Xuất nội bộ từ téc",DATA_GOC!$B:$B,"&gt;="&amp;$D851,DATA_GOC!$B:$B,"&lt;="&amp;$E851))</f>
        <v>85</v>
      </c>
      <c r="J851" s="59">
        <f t="shared" si="28"/>
        <v>2.933</v>
      </c>
      <c r="K851" s="59">
        <f t="shared" si="29"/>
        <v>0</v>
      </c>
      <c r="L851" s="59">
        <f t="shared" si="30"/>
        <v>87.933</v>
      </c>
      <c r="M851" s="59">
        <f t="shared" si="31"/>
        <v>0.002918454936</v>
      </c>
    </row>
    <row r="852" ht="15.0" hidden="1" customHeight="1">
      <c r="A852" s="59">
        <f t="shared" si="20"/>
        <v>11</v>
      </c>
      <c r="B852" s="59" t="str">
        <f t="shared" si="21"/>
        <v>Đã chốt</v>
      </c>
      <c r="C852" s="59" t="str">
        <f t="shared" si="22"/>
        <v>Téc 3</v>
      </c>
      <c r="D852" s="45">
        <f t="shared" si="23"/>
        <v>46065</v>
      </c>
      <c r="E852" s="45">
        <f t="shared" si="24"/>
        <v>46106</v>
      </c>
      <c r="F852" s="133">
        <f t="shared" si="25"/>
        <v>3</v>
      </c>
      <c r="G852" s="133">
        <f t="shared" si="26"/>
        <v>2026</v>
      </c>
      <c r="H852" s="59" t="str">
        <f t="shared" si="27"/>
        <v>28C03652</v>
      </c>
      <c r="I852" s="59">
        <f>IF(OR($A852="",$C852="",$D852="",$E852="",$H852=""),"",SUMIFS(DATA_GOC!$H:$H,DATA_GOC!$A:$A,"BOM",DATA_GOC!$D:$D,$H852,DATA_GOC!$E:$E,$C852,DATA_GOC!$F:$F,"Xuất nội bộ từ téc",DATA_GOC!$B:$B,"&gt;="&amp;$D852,DATA_GOC!$B:$B,"&lt;="&amp;$E852))</f>
        <v>341</v>
      </c>
      <c r="J852" s="59">
        <f t="shared" si="28"/>
        <v>11.767</v>
      </c>
      <c r="K852" s="59">
        <f t="shared" si="29"/>
        <v>0</v>
      </c>
      <c r="L852" s="59">
        <f t="shared" si="30"/>
        <v>352.767</v>
      </c>
      <c r="M852" s="59">
        <f t="shared" si="31"/>
        <v>0.01170815451</v>
      </c>
    </row>
    <row r="853" ht="15.0" hidden="1" customHeight="1">
      <c r="A853" s="59">
        <f t="shared" si="20"/>
        <v>11</v>
      </c>
      <c r="B853" s="59" t="str">
        <f t="shared" si="21"/>
        <v>Đã chốt</v>
      </c>
      <c r="C853" s="59" t="str">
        <f t="shared" si="22"/>
        <v>Téc 3</v>
      </c>
      <c r="D853" s="45">
        <f t="shared" si="23"/>
        <v>46065</v>
      </c>
      <c r="E853" s="45">
        <f t="shared" si="24"/>
        <v>46106</v>
      </c>
      <c r="F853" s="133">
        <f t="shared" si="25"/>
        <v>3</v>
      </c>
      <c r="G853" s="133">
        <f t="shared" si="26"/>
        <v>2026</v>
      </c>
      <c r="H853" s="59" t="str">
        <f t="shared" si="27"/>
        <v>28C03695</v>
      </c>
      <c r="I853" s="59">
        <f>IF(OR($A853="",$C853="",$D853="",$E853="",$H853=""),"",SUMIFS(DATA_GOC!$H:$H,DATA_GOC!$A:$A,"BOM",DATA_GOC!$D:$D,$H853,DATA_GOC!$E:$E,$C853,DATA_GOC!$F:$F,"Xuất nội bộ từ téc",DATA_GOC!$B:$B,"&gt;="&amp;$D853,DATA_GOC!$B:$B,"&lt;="&amp;$E853))</f>
        <v>351</v>
      </c>
      <c r="J853" s="59">
        <f t="shared" si="28"/>
        <v>12.112</v>
      </c>
      <c r="K853" s="59">
        <f t="shared" si="29"/>
        <v>0</v>
      </c>
      <c r="L853" s="59">
        <f t="shared" si="30"/>
        <v>363.112</v>
      </c>
      <c r="M853" s="59">
        <f t="shared" si="31"/>
        <v>0.01205150215</v>
      </c>
    </row>
    <row r="854" ht="15.0" hidden="1" customHeight="1">
      <c r="A854" s="59">
        <f t="shared" si="20"/>
        <v>11</v>
      </c>
      <c r="B854" s="59" t="str">
        <f t="shared" si="21"/>
        <v>Đã chốt</v>
      </c>
      <c r="C854" s="59" t="str">
        <f t="shared" si="22"/>
        <v>Téc 3</v>
      </c>
      <c r="D854" s="45">
        <f t="shared" si="23"/>
        <v>46065</v>
      </c>
      <c r="E854" s="45">
        <f t="shared" si="24"/>
        <v>46106</v>
      </c>
      <c r="F854" s="133">
        <f t="shared" si="25"/>
        <v>3</v>
      </c>
      <c r="G854" s="133">
        <f t="shared" si="26"/>
        <v>2026</v>
      </c>
      <c r="H854" s="59" t="str">
        <f t="shared" si="27"/>
        <v>28C03927</v>
      </c>
      <c r="I854" s="59">
        <f>IF(OR($A854="",$C854="",$D854="",$E854="",$H854=""),"",SUMIFS(DATA_GOC!$H:$H,DATA_GOC!$A:$A,"BOM",DATA_GOC!$D:$D,$H854,DATA_GOC!$E:$E,$C854,DATA_GOC!$F:$F,"Xuất nội bộ từ téc",DATA_GOC!$B:$B,"&gt;="&amp;$D854,DATA_GOC!$B:$B,"&lt;="&amp;$E854))</f>
        <v>670</v>
      </c>
      <c r="J854" s="59">
        <f t="shared" si="28"/>
        <v>23.119</v>
      </c>
      <c r="K854" s="59">
        <f t="shared" si="29"/>
        <v>0</v>
      </c>
      <c r="L854" s="59">
        <f t="shared" si="30"/>
        <v>693.119</v>
      </c>
      <c r="M854" s="59">
        <f t="shared" si="31"/>
        <v>0.02300429185</v>
      </c>
    </row>
    <row r="855" ht="15.0" hidden="1" customHeight="1">
      <c r="A855" s="59">
        <f t="shared" si="20"/>
        <v>11</v>
      </c>
      <c r="B855" s="59" t="str">
        <f t="shared" si="21"/>
        <v>Đã chốt</v>
      </c>
      <c r="C855" s="59" t="str">
        <f t="shared" si="22"/>
        <v>Téc 3</v>
      </c>
      <c r="D855" s="45">
        <f t="shared" si="23"/>
        <v>46065</v>
      </c>
      <c r="E855" s="45">
        <f t="shared" si="24"/>
        <v>46106</v>
      </c>
      <c r="F855" s="133">
        <f t="shared" si="25"/>
        <v>3</v>
      </c>
      <c r="G855" s="133">
        <f t="shared" si="26"/>
        <v>2026</v>
      </c>
      <c r="H855" s="59" t="str">
        <f t="shared" si="27"/>
        <v>28C04509</v>
      </c>
      <c r="I855" s="59">
        <f>IF(OR($A855="",$C855="",$D855="",$E855="",$H855=""),"",SUMIFS(DATA_GOC!$H:$H,DATA_GOC!$A:$A,"BOM",DATA_GOC!$D:$D,$H855,DATA_GOC!$E:$E,$C855,DATA_GOC!$F:$F,"Xuất nội bộ từ téc",DATA_GOC!$B:$B,"&gt;="&amp;$D855,DATA_GOC!$B:$B,"&lt;="&amp;$E855))</f>
        <v>58</v>
      </c>
      <c r="J855" s="59">
        <f t="shared" si="28"/>
        <v>2.001</v>
      </c>
      <c r="K855" s="59">
        <f t="shared" si="29"/>
        <v>0</v>
      </c>
      <c r="L855" s="59">
        <f t="shared" si="30"/>
        <v>60.001</v>
      </c>
      <c r="M855" s="59">
        <f t="shared" si="31"/>
        <v>0.001991416309</v>
      </c>
    </row>
    <row r="856" ht="15.0" hidden="1" customHeight="1">
      <c r="A856" s="59">
        <f t="shared" si="20"/>
        <v>11</v>
      </c>
      <c r="B856" s="59" t="str">
        <f t="shared" si="21"/>
        <v>Đã chốt</v>
      </c>
      <c r="C856" s="59" t="str">
        <f t="shared" si="22"/>
        <v>Téc 3</v>
      </c>
      <c r="D856" s="45">
        <f t="shared" si="23"/>
        <v>46065</v>
      </c>
      <c r="E856" s="45">
        <f t="shared" si="24"/>
        <v>46106</v>
      </c>
      <c r="F856" s="133">
        <f t="shared" si="25"/>
        <v>3</v>
      </c>
      <c r="G856" s="133">
        <f t="shared" si="26"/>
        <v>2026</v>
      </c>
      <c r="H856" s="59" t="str">
        <f t="shared" si="27"/>
        <v>28C04536</v>
      </c>
      <c r="I856" s="59">
        <f>IF(OR($A856="",$C856="",$D856="",$E856="",$H856=""),"",SUMIFS(DATA_GOC!$H:$H,DATA_GOC!$A:$A,"BOM",DATA_GOC!$D:$D,$H856,DATA_GOC!$E:$E,$C856,DATA_GOC!$F:$F,"Xuất nội bộ từ téc",DATA_GOC!$B:$B,"&gt;="&amp;$D856,DATA_GOC!$B:$B,"&lt;="&amp;$E856))</f>
        <v>0</v>
      </c>
      <c r="J856" s="59">
        <f t="shared" si="28"/>
        <v>0</v>
      </c>
      <c r="K856" s="59">
        <f t="shared" si="29"/>
        <v>0</v>
      </c>
      <c r="L856" s="59">
        <f t="shared" si="30"/>
        <v>0</v>
      </c>
      <c r="M856" s="59">
        <f t="shared" si="31"/>
        <v>0</v>
      </c>
    </row>
    <row r="857" ht="15.0" hidden="1" customHeight="1">
      <c r="A857" s="59">
        <f t="shared" si="20"/>
        <v>11</v>
      </c>
      <c r="B857" s="59" t="str">
        <f t="shared" si="21"/>
        <v>Đã chốt</v>
      </c>
      <c r="C857" s="59" t="str">
        <f t="shared" si="22"/>
        <v>Téc 3</v>
      </c>
      <c r="D857" s="45">
        <f t="shared" si="23"/>
        <v>46065</v>
      </c>
      <c r="E857" s="45">
        <f t="shared" si="24"/>
        <v>46106</v>
      </c>
      <c r="F857" s="133">
        <f t="shared" si="25"/>
        <v>3</v>
      </c>
      <c r="G857" s="133">
        <f t="shared" si="26"/>
        <v>2026</v>
      </c>
      <c r="H857" s="59" t="str">
        <f t="shared" si="27"/>
        <v>28C04576</v>
      </c>
      <c r="I857" s="59">
        <f>IF(OR($A857="",$C857="",$D857="",$E857="",$H857=""),"",SUMIFS(DATA_GOC!$H:$H,DATA_GOC!$A:$A,"BOM",DATA_GOC!$D:$D,$H857,DATA_GOC!$E:$E,$C857,DATA_GOC!$F:$F,"Xuất nội bộ từ téc",DATA_GOC!$B:$B,"&gt;="&amp;$D857,DATA_GOC!$B:$B,"&lt;="&amp;$E857))</f>
        <v>610</v>
      </c>
      <c r="J857" s="59">
        <f t="shared" si="28"/>
        <v>21.049</v>
      </c>
      <c r="K857" s="59">
        <f t="shared" si="29"/>
        <v>0</v>
      </c>
      <c r="L857" s="59">
        <f t="shared" si="30"/>
        <v>631.049</v>
      </c>
      <c r="M857" s="59">
        <f t="shared" si="31"/>
        <v>0.02094420601</v>
      </c>
    </row>
    <row r="858" ht="15.0" hidden="1" customHeight="1">
      <c r="A858" s="59">
        <f t="shared" si="20"/>
        <v>11</v>
      </c>
      <c r="B858" s="59" t="str">
        <f t="shared" si="21"/>
        <v>Đã chốt</v>
      </c>
      <c r="C858" s="59" t="str">
        <f t="shared" si="22"/>
        <v>Téc 3</v>
      </c>
      <c r="D858" s="45">
        <f t="shared" si="23"/>
        <v>46065</v>
      </c>
      <c r="E858" s="45">
        <f t="shared" si="24"/>
        <v>46106</v>
      </c>
      <c r="F858" s="133">
        <f t="shared" si="25"/>
        <v>3</v>
      </c>
      <c r="G858" s="133">
        <f t="shared" si="26"/>
        <v>2026</v>
      </c>
      <c r="H858" s="59" t="str">
        <f t="shared" si="27"/>
        <v>28C05090</v>
      </c>
      <c r="I858" s="59">
        <f>IF(OR($A858="",$C858="",$D858="",$E858="",$H858=""),"",SUMIFS(DATA_GOC!$H:$H,DATA_GOC!$A:$A,"BOM",DATA_GOC!$D:$D,$H858,DATA_GOC!$E:$E,$C858,DATA_GOC!$F:$F,"Xuất nội bộ từ téc",DATA_GOC!$B:$B,"&gt;="&amp;$D858,DATA_GOC!$B:$B,"&lt;="&amp;$E858))</f>
        <v>0</v>
      </c>
      <c r="J858" s="59">
        <f t="shared" si="28"/>
        <v>0</v>
      </c>
      <c r="K858" s="59">
        <f t="shared" si="29"/>
        <v>0</v>
      </c>
      <c r="L858" s="59">
        <f t="shared" si="30"/>
        <v>0</v>
      </c>
      <c r="M858" s="59">
        <f t="shared" si="31"/>
        <v>0</v>
      </c>
    </row>
    <row r="859" ht="15.0" hidden="1" customHeight="1">
      <c r="A859" s="59">
        <f t="shared" si="20"/>
        <v>11</v>
      </c>
      <c r="B859" s="59" t="str">
        <f t="shared" si="21"/>
        <v>Đã chốt</v>
      </c>
      <c r="C859" s="59" t="str">
        <f t="shared" si="22"/>
        <v>Téc 3</v>
      </c>
      <c r="D859" s="45">
        <f t="shared" si="23"/>
        <v>46065</v>
      </c>
      <c r="E859" s="45">
        <f t="shared" si="24"/>
        <v>46106</v>
      </c>
      <c r="F859" s="133">
        <f t="shared" si="25"/>
        <v>3</v>
      </c>
      <c r="G859" s="133">
        <f t="shared" si="26"/>
        <v>2026</v>
      </c>
      <c r="H859" s="59" t="str">
        <f t="shared" si="27"/>
        <v>28C05345</v>
      </c>
      <c r="I859" s="59">
        <f>IF(OR($A859="",$C859="",$D859="",$E859="",$H859=""),"",SUMIFS(DATA_GOC!$H:$H,DATA_GOC!$A:$A,"BOM",DATA_GOC!$D:$D,$H859,DATA_GOC!$E:$E,$C859,DATA_GOC!$F:$F,"Xuất nội bộ từ téc",DATA_GOC!$B:$B,"&gt;="&amp;$D859,DATA_GOC!$B:$B,"&lt;="&amp;$E859))</f>
        <v>591</v>
      </c>
      <c r="J859" s="59">
        <f t="shared" si="28"/>
        <v>20.393</v>
      </c>
      <c r="K859" s="59">
        <f t="shared" si="29"/>
        <v>0</v>
      </c>
      <c r="L859" s="59">
        <f t="shared" si="30"/>
        <v>611.393</v>
      </c>
      <c r="M859" s="59">
        <f t="shared" si="31"/>
        <v>0.02029184549</v>
      </c>
    </row>
    <row r="860" ht="15.0" hidden="1" customHeight="1">
      <c r="A860" s="59">
        <f t="shared" si="20"/>
        <v>11</v>
      </c>
      <c r="B860" s="59" t="str">
        <f t="shared" si="21"/>
        <v>Đã chốt</v>
      </c>
      <c r="C860" s="59" t="str">
        <f t="shared" si="22"/>
        <v>Téc 3</v>
      </c>
      <c r="D860" s="45">
        <f t="shared" si="23"/>
        <v>46065</v>
      </c>
      <c r="E860" s="45">
        <f t="shared" si="24"/>
        <v>46106</v>
      </c>
      <c r="F860" s="133">
        <f t="shared" si="25"/>
        <v>3</v>
      </c>
      <c r="G860" s="133">
        <f t="shared" si="26"/>
        <v>2026</v>
      </c>
      <c r="H860" s="59" t="str">
        <f t="shared" si="27"/>
        <v>28C05661</v>
      </c>
      <c r="I860" s="59">
        <f>IF(OR($A860="",$C860="",$D860="",$E860="",$H860=""),"",SUMIFS(DATA_GOC!$H:$H,DATA_GOC!$A:$A,"BOM",DATA_GOC!$D:$D,$H860,DATA_GOC!$E:$E,$C860,DATA_GOC!$F:$F,"Xuất nội bộ từ téc",DATA_GOC!$B:$B,"&gt;="&amp;$D860,DATA_GOC!$B:$B,"&lt;="&amp;$E860))</f>
        <v>910</v>
      </c>
      <c r="J860" s="59">
        <f t="shared" si="28"/>
        <v>31.401</v>
      </c>
      <c r="K860" s="59">
        <f t="shared" si="29"/>
        <v>0</v>
      </c>
      <c r="L860" s="59">
        <f t="shared" si="30"/>
        <v>941.401</v>
      </c>
      <c r="M860" s="59">
        <f t="shared" si="31"/>
        <v>0.03124463519</v>
      </c>
    </row>
    <row r="861" ht="15.0" hidden="1" customHeight="1">
      <c r="A861" s="59">
        <f t="shared" si="20"/>
        <v>11</v>
      </c>
      <c r="B861" s="59" t="str">
        <f t="shared" si="21"/>
        <v>Đã chốt</v>
      </c>
      <c r="C861" s="59" t="str">
        <f t="shared" si="22"/>
        <v>Téc 3</v>
      </c>
      <c r="D861" s="45">
        <f t="shared" si="23"/>
        <v>46065</v>
      </c>
      <c r="E861" s="45">
        <f t="shared" si="24"/>
        <v>46106</v>
      </c>
      <c r="F861" s="133">
        <f t="shared" si="25"/>
        <v>3</v>
      </c>
      <c r="G861" s="133">
        <f t="shared" si="26"/>
        <v>2026</v>
      </c>
      <c r="H861" s="59" t="str">
        <f t="shared" si="27"/>
        <v>28C05739</v>
      </c>
      <c r="I861" s="59">
        <f>IF(OR($A861="",$C861="",$D861="",$E861="",$H861=""),"",SUMIFS(DATA_GOC!$H:$H,DATA_GOC!$A:$A,"BOM",DATA_GOC!$D:$D,$H861,DATA_GOC!$E:$E,$C861,DATA_GOC!$F:$F,"Xuất nội bộ từ téc",DATA_GOC!$B:$B,"&gt;="&amp;$D861,DATA_GOC!$B:$B,"&lt;="&amp;$E861))</f>
        <v>617</v>
      </c>
      <c r="J861" s="59">
        <f t="shared" si="28"/>
        <v>21.29</v>
      </c>
      <c r="K861" s="59">
        <f t="shared" si="29"/>
        <v>0</v>
      </c>
      <c r="L861" s="59">
        <f t="shared" si="30"/>
        <v>638.29</v>
      </c>
      <c r="M861" s="59">
        <f t="shared" si="31"/>
        <v>0.02118454936</v>
      </c>
    </row>
    <row r="862" ht="15.0" hidden="1" customHeight="1">
      <c r="A862" s="59">
        <f t="shared" si="20"/>
        <v>11</v>
      </c>
      <c r="B862" s="59" t="str">
        <f t="shared" si="21"/>
        <v>Đã chốt</v>
      </c>
      <c r="C862" s="59" t="str">
        <f t="shared" si="22"/>
        <v>Téc 3</v>
      </c>
      <c r="D862" s="45">
        <f t="shared" si="23"/>
        <v>46065</v>
      </c>
      <c r="E862" s="45">
        <f t="shared" si="24"/>
        <v>46106</v>
      </c>
      <c r="F862" s="133">
        <f t="shared" si="25"/>
        <v>3</v>
      </c>
      <c r="G862" s="133">
        <f t="shared" si="26"/>
        <v>2026</v>
      </c>
      <c r="H862" s="59" t="str">
        <f t="shared" si="27"/>
        <v>28C06369</v>
      </c>
      <c r="I862" s="59">
        <f>IF(OR($A862="",$C862="",$D862="",$E862="",$H862=""),"",SUMIFS(DATA_GOC!$H:$H,DATA_GOC!$A:$A,"BOM",DATA_GOC!$D:$D,$H862,DATA_GOC!$E:$E,$C862,DATA_GOC!$F:$F,"Xuất nội bộ từ téc",DATA_GOC!$B:$B,"&gt;="&amp;$D862,DATA_GOC!$B:$B,"&lt;="&amp;$E862))</f>
        <v>380</v>
      </c>
      <c r="J862" s="59">
        <f t="shared" si="28"/>
        <v>13.112</v>
      </c>
      <c r="K862" s="59">
        <f t="shared" si="29"/>
        <v>0</v>
      </c>
      <c r="L862" s="59">
        <f t="shared" si="30"/>
        <v>393.112</v>
      </c>
      <c r="M862" s="59">
        <f t="shared" si="31"/>
        <v>0.0130472103</v>
      </c>
    </row>
    <row r="863" ht="15.0" hidden="1" customHeight="1">
      <c r="A863" s="59">
        <f t="shared" si="20"/>
        <v>11</v>
      </c>
      <c r="B863" s="59" t="str">
        <f t="shared" si="21"/>
        <v>Đã chốt</v>
      </c>
      <c r="C863" s="59" t="str">
        <f t="shared" si="22"/>
        <v>Téc 3</v>
      </c>
      <c r="D863" s="45">
        <f t="shared" si="23"/>
        <v>46065</v>
      </c>
      <c r="E863" s="45">
        <f t="shared" si="24"/>
        <v>46106</v>
      </c>
      <c r="F863" s="133">
        <f t="shared" si="25"/>
        <v>3</v>
      </c>
      <c r="G863" s="133">
        <f t="shared" si="26"/>
        <v>2026</v>
      </c>
      <c r="H863" s="59" t="str">
        <f t="shared" si="27"/>
        <v>28C06447</v>
      </c>
      <c r="I863" s="59">
        <f>IF(OR($A863="",$C863="",$D863="",$E863="",$H863=""),"",SUMIFS(DATA_GOC!$H:$H,DATA_GOC!$A:$A,"BOM",DATA_GOC!$D:$D,$H863,DATA_GOC!$E:$E,$C863,DATA_GOC!$F:$F,"Xuất nội bộ từ téc",DATA_GOC!$B:$B,"&gt;="&amp;$D863,DATA_GOC!$B:$B,"&lt;="&amp;$E863))</f>
        <v>1292</v>
      </c>
      <c r="J863" s="59">
        <f t="shared" si="28"/>
        <v>44.582</v>
      </c>
      <c r="K863" s="59">
        <f t="shared" si="29"/>
        <v>0</v>
      </c>
      <c r="L863" s="59">
        <f t="shared" si="30"/>
        <v>1336.582</v>
      </c>
      <c r="M863" s="59">
        <f t="shared" si="31"/>
        <v>0.04436051502</v>
      </c>
    </row>
    <row r="864" ht="15.0" hidden="1" customHeight="1">
      <c r="A864" s="59">
        <f t="shared" si="20"/>
        <v>11</v>
      </c>
      <c r="B864" s="59" t="str">
        <f t="shared" si="21"/>
        <v>Đã chốt</v>
      </c>
      <c r="C864" s="59" t="str">
        <f t="shared" si="22"/>
        <v>Téc 3</v>
      </c>
      <c r="D864" s="45">
        <f t="shared" si="23"/>
        <v>46065</v>
      </c>
      <c r="E864" s="45">
        <f t="shared" si="24"/>
        <v>46106</v>
      </c>
      <c r="F864" s="133">
        <f t="shared" si="25"/>
        <v>3</v>
      </c>
      <c r="G864" s="133">
        <f t="shared" si="26"/>
        <v>2026</v>
      </c>
      <c r="H864" s="59" t="str">
        <f t="shared" si="27"/>
        <v>28H00003</v>
      </c>
      <c r="I864" s="59">
        <f>IF(OR($A864="",$C864="",$D864="",$E864="",$H864=""),"",SUMIFS(DATA_GOC!$H:$H,DATA_GOC!$A:$A,"BOM",DATA_GOC!$D:$D,$H864,DATA_GOC!$E:$E,$C864,DATA_GOC!$F:$F,"Xuất nội bộ từ téc",DATA_GOC!$B:$B,"&gt;="&amp;$D864,DATA_GOC!$B:$B,"&lt;="&amp;$E864))</f>
        <v>1291</v>
      </c>
      <c r="J864" s="59">
        <f t="shared" si="28"/>
        <v>44.548</v>
      </c>
      <c r="K864" s="59">
        <f t="shared" si="29"/>
        <v>0</v>
      </c>
      <c r="L864" s="59">
        <f t="shared" si="30"/>
        <v>1335.548</v>
      </c>
      <c r="M864" s="59">
        <f t="shared" si="31"/>
        <v>0.04432618026</v>
      </c>
    </row>
    <row r="865" ht="15.0" hidden="1" customHeight="1">
      <c r="A865" s="59">
        <f t="shared" si="20"/>
        <v>11</v>
      </c>
      <c r="B865" s="59" t="str">
        <f t="shared" si="21"/>
        <v>Đã chốt</v>
      </c>
      <c r="C865" s="59" t="str">
        <f t="shared" si="22"/>
        <v>Téc 3</v>
      </c>
      <c r="D865" s="45">
        <f t="shared" si="23"/>
        <v>46065</v>
      </c>
      <c r="E865" s="45">
        <f t="shared" si="24"/>
        <v>46106</v>
      </c>
      <c r="F865" s="133">
        <f t="shared" si="25"/>
        <v>3</v>
      </c>
      <c r="G865" s="133">
        <f t="shared" si="26"/>
        <v>2026</v>
      </c>
      <c r="H865" s="59" t="str">
        <f t="shared" si="27"/>
        <v>28H00061</v>
      </c>
      <c r="I865" s="59">
        <f>IF(OR($A865="",$C865="",$D865="",$E865="",$H865=""),"",SUMIFS(DATA_GOC!$H:$H,DATA_GOC!$A:$A,"BOM",DATA_GOC!$D:$D,$H865,DATA_GOC!$E:$E,$C865,DATA_GOC!$F:$F,"Xuất nội bộ từ téc",DATA_GOC!$B:$B,"&gt;="&amp;$D865,DATA_GOC!$B:$B,"&lt;="&amp;$E865))</f>
        <v>412</v>
      </c>
      <c r="J865" s="59">
        <f t="shared" si="28"/>
        <v>14.217</v>
      </c>
      <c r="K865" s="59">
        <f t="shared" si="29"/>
        <v>0</v>
      </c>
      <c r="L865" s="59">
        <f t="shared" si="30"/>
        <v>426.217</v>
      </c>
      <c r="M865" s="59">
        <f t="shared" si="31"/>
        <v>0.01414592275</v>
      </c>
    </row>
    <row r="866" ht="15.0" hidden="1" customHeight="1">
      <c r="A866" s="59">
        <f t="shared" si="20"/>
        <v>11</v>
      </c>
      <c r="B866" s="59" t="str">
        <f t="shared" si="21"/>
        <v>Đã chốt</v>
      </c>
      <c r="C866" s="59" t="str">
        <f t="shared" si="22"/>
        <v>Téc 3</v>
      </c>
      <c r="D866" s="45">
        <f t="shared" si="23"/>
        <v>46065</v>
      </c>
      <c r="E866" s="45">
        <f t="shared" si="24"/>
        <v>46106</v>
      </c>
      <c r="F866" s="133">
        <f t="shared" si="25"/>
        <v>3</v>
      </c>
      <c r="G866" s="133">
        <f t="shared" si="26"/>
        <v>2026</v>
      </c>
      <c r="H866" s="59" t="str">
        <f t="shared" si="27"/>
        <v>28H00354</v>
      </c>
      <c r="I866" s="59">
        <f>IF(OR($A866="",$C866="",$D866="",$E866="",$H866=""),"",SUMIFS(DATA_GOC!$H:$H,DATA_GOC!$A:$A,"BOM",DATA_GOC!$D:$D,$H866,DATA_GOC!$E:$E,$C866,DATA_GOC!$F:$F,"Xuất nội bộ từ téc",DATA_GOC!$B:$B,"&gt;="&amp;$D866,DATA_GOC!$B:$B,"&lt;="&amp;$E866))</f>
        <v>612</v>
      </c>
      <c r="J866" s="59">
        <f t="shared" si="28"/>
        <v>21.118</v>
      </c>
      <c r="K866" s="59">
        <f t="shared" si="29"/>
        <v>0</v>
      </c>
      <c r="L866" s="59">
        <f t="shared" si="30"/>
        <v>633.118</v>
      </c>
      <c r="M866" s="59">
        <f t="shared" si="31"/>
        <v>0.02101287554</v>
      </c>
    </row>
    <row r="867" ht="15.0" hidden="1" customHeight="1">
      <c r="A867" s="59">
        <f t="shared" si="20"/>
        <v>11</v>
      </c>
      <c r="B867" s="59" t="str">
        <f t="shared" si="21"/>
        <v>Đã chốt</v>
      </c>
      <c r="C867" s="59" t="str">
        <f t="shared" si="22"/>
        <v>Téc 3</v>
      </c>
      <c r="D867" s="45">
        <f t="shared" si="23"/>
        <v>46065</v>
      </c>
      <c r="E867" s="45">
        <f t="shared" si="24"/>
        <v>46106</v>
      </c>
      <c r="F867" s="133">
        <f t="shared" si="25"/>
        <v>3</v>
      </c>
      <c r="G867" s="133">
        <f t="shared" si="26"/>
        <v>2026</v>
      </c>
      <c r="H867" s="59" t="str">
        <f t="shared" si="27"/>
        <v>28H00603</v>
      </c>
      <c r="I867" s="59">
        <f>IF(OR($A867="",$C867="",$D867="",$E867="",$H867=""),"",SUMIFS(DATA_GOC!$H:$H,DATA_GOC!$A:$A,"BOM",DATA_GOC!$D:$D,$H867,DATA_GOC!$E:$E,$C867,DATA_GOC!$F:$F,"Xuất nội bộ từ téc",DATA_GOC!$B:$B,"&gt;="&amp;$D867,DATA_GOC!$B:$B,"&lt;="&amp;$E867))</f>
        <v>535</v>
      </c>
      <c r="J867" s="59">
        <f t="shared" si="28"/>
        <v>18.461</v>
      </c>
      <c r="K867" s="59">
        <f t="shared" si="29"/>
        <v>0</v>
      </c>
      <c r="L867" s="59">
        <f t="shared" si="30"/>
        <v>553.461</v>
      </c>
      <c r="M867" s="59">
        <f t="shared" si="31"/>
        <v>0.01836909871</v>
      </c>
    </row>
    <row r="868" ht="15.0" hidden="1" customHeight="1">
      <c r="A868" s="59">
        <f t="shared" si="20"/>
        <v>11</v>
      </c>
      <c r="B868" s="59" t="str">
        <f t="shared" si="21"/>
        <v>Đã chốt</v>
      </c>
      <c r="C868" s="59" t="str">
        <f t="shared" si="22"/>
        <v>Téc 3</v>
      </c>
      <c r="D868" s="45">
        <f t="shared" si="23"/>
        <v>46065</v>
      </c>
      <c r="E868" s="45">
        <f t="shared" si="24"/>
        <v>46106</v>
      </c>
      <c r="F868" s="133">
        <f t="shared" si="25"/>
        <v>3</v>
      </c>
      <c r="G868" s="133">
        <f t="shared" si="26"/>
        <v>2026</v>
      </c>
      <c r="H868" s="59" t="str">
        <f t="shared" si="27"/>
        <v>28H00609</v>
      </c>
      <c r="I868" s="59">
        <f>IF(OR($A868="",$C868="",$D868="",$E868="",$H868=""),"",SUMIFS(DATA_GOC!$H:$H,DATA_GOC!$A:$A,"BOM",DATA_GOC!$D:$D,$H868,DATA_GOC!$E:$E,$C868,DATA_GOC!$F:$F,"Xuất nội bộ từ téc",DATA_GOC!$B:$B,"&gt;="&amp;$D868,DATA_GOC!$B:$B,"&lt;="&amp;$E868))</f>
        <v>554</v>
      </c>
      <c r="J868" s="59">
        <f t="shared" si="28"/>
        <v>19.117</v>
      </c>
      <c r="K868" s="59">
        <f t="shared" si="29"/>
        <v>0</v>
      </c>
      <c r="L868" s="59">
        <f t="shared" si="30"/>
        <v>573.117</v>
      </c>
      <c r="M868" s="59">
        <f t="shared" si="31"/>
        <v>0.01902145923</v>
      </c>
    </row>
    <row r="869" ht="15.0" hidden="1" customHeight="1">
      <c r="A869" s="59">
        <f t="shared" si="20"/>
        <v>11</v>
      </c>
      <c r="B869" s="59" t="str">
        <f t="shared" si="21"/>
        <v>Đã chốt</v>
      </c>
      <c r="C869" s="59" t="str">
        <f t="shared" si="22"/>
        <v>Téc 3</v>
      </c>
      <c r="D869" s="45">
        <f t="shared" si="23"/>
        <v>46065</v>
      </c>
      <c r="E869" s="45">
        <f t="shared" si="24"/>
        <v>46106</v>
      </c>
      <c r="F869" s="133">
        <f t="shared" si="25"/>
        <v>3</v>
      </c>
      <c r="G869" s="133">
        <f t="shared" si="26"/>
        <v>2026</v>
      </c>
      <c r="H869" s="59" t="str">
        <f t="shared" si="27"/>
        <v>28H00669</v>
      </c>
      <c r="I869" s="59">
        <f>IF(OR($A869="",$C869="",$D869="",$E869="",$H869=""),"",SUMIFS(DATA_GOC!$H:$H,DATA_GOC!$A:$A,"BOM",DATA_GOC!$D:$D,$H869,DATA_GOC!$E:$E,$C869,DATA_GOC!$F:$F,"Xuất nội bộ từ téc",DATA_GOC!$B:$B,"&gt;="&amp;$D869,DATA_GOC!$B:$B,"&lt;="&amp;$E869))</f>
        <v>2764</v>
      </c>
      <c r="J869" s="59">
        <f t="shared" si="28"/>
        <v>95.376</v>
      </c>
      <c r="K869" s="59">
        <f t="shared" si="29"/>
        <v>0</v>
      </c>
      <c r="L869" s="59">
        <f t="shared" si="30"/>
        <v>2859.376</v>
      </c>
      <c r="M869" s="59">
        <f t="shared" si="31"/>
        <v>0.09490128755</v>
      </c>
    </row>
    <row r="870" ht="15.0" hidden="1" customHeight="1">
      <c r="A870" s="59">
        <f t="shared" si="20"/>
        <v>11</v>
      </c>
      <c r="B870" s="59" t="str">
        <f t="shared" si="21"/>
        <v>Đã chốt</v>
      </c>
      <c r="C870" s="59" t="str">
        <f t="shared" si="22"/>
        <v>Téc 3</v>
      </c>
      <c r="D870" s="45">
        <f t="shared" si="23"/>
        <v>46065</v>
      </c>
      <c r="E870" s="45">
        <f t="shared" si="24"/>
        <v>46106</v>
      </c>
      <c r="F870" s="133">
        <f t="shared" si="25"/>
        <v>3</v>
      </c>
      <c r="G870" s="133">
        <f t="shared" si="26"/>
        <v>2026</v>
      </c>
      <c r="H870" s="59" t="str">
        <f t="shared" si="27"/>
        <v>28H00680</v>
      </c>
      <c r="I870" s="59">
        <f>IF(OR($A870="",$C870="",$D870="",$E870="",$H870=""),"",SUMIFS(DATA_GOC!$H:$H,DATA_GOC!$A:$A,"BOM",DATA_GOC!$D:$D,$H870,DATA_GOC!$E:$E,$C870,DATA_GOC!$F:$F,"Xuất nội bộ từ téc",DATA_GOC!$B:$B,"&gt;="&amp;$D870,DATA_GOC!$B:$B,"&lt;="&amp;$E870))</f>
        <v>1447</v>
      </c>
      <c r="J870" s="59">
        <f t="shared" si="28"/>
        <v>49.931</v>
      </c>
      <c r="K870" s="59">
        <f t="shared" si="29"/>
        <v>0</v>
      </c>
      <c r="L870" s="59">
        <f t="shared" si="30"/>
        <v>1496.931</v>
      </c>
      <c r="M870" s="59">
        <f t="shared" si="31"/>
        <v>0.04968240343</v>
      </c>
    </row>
    <row r="871" ht="15.0" hidden="1" customHeight="1">
      <c r="A871" s="59">
        <f t="shared" si="20"/>
        <v>11</v>
      </c>
      <c r="B871" s="59" t="str">
        <f t="shared" si="21"/>
        <v>Đã chốt</v>
      </c>
      <c r="C871" s="59" t="str">
        <f t="shared" si="22"/>
        <v>Téc 3</v>
      </c>
      <c r="D871" s="45">
        <f t="shared" si="23"/>
        <v>46065</v>
      </c>
      <c r="E871" s="45">
        <f t="shared" si="24"/>
        <v>46106</v>
      </c>
      <c r="F871" s="133">
        <f t="shared" si="25"/>
        <v>3</v>
      </c>
      <c r="G871" s="133">
        <f t="shared" si="26"/>
        <v>2026</v>
      </c>
      <c r="H871" s="59" t="str">
        <f t="shared" si="27"/>
        <v>28H01070</v>
      </c>
      <c r="I871" s="59">
        <f>IF(OR($A871="",$C871="",$D871="",$E871="",$H871=""),"",SUMIFS(DATA_GOC!$H:$H,DATA_GOC!$A:$A,"BOM",DATA_GOC!$D:$D,$H871,DATA_GOC!$E:$E,$C871,DATA_GOC!$F:$F,"Xuất nội bộ từ téc",DATA_GOC!$B:$B,"&gt;="&amp;$D871,DATA_GOC!$B:$B,"&lt;="&amp;$E871))</f>
        <v>1781</v>
      </c>
      <c r="J871" s="59">
        <f t="shared" si="28"/>
        <v>61.456</v>
      </c>
      <c r="K871" s="59">
        <f t="shared" si="29"/>
        <v>0</v>
      </c>
      <c r="L871" s="59">
        <f t="shared" si="30"/>
        <v>1842.456</v>
      </c>
      <c r="M871" s="59">
        <f t="shared" si="31"/>
        <v>0.06115021459</v>
      </c>
    </row>
    <row r="872" ht="15.0" hidden="1" customHeight="1">
      <c r="A872" s="59">
        <f t="shared" si="20"/>
        <v>11</v>
      </c>
      <c r="B872" s="59" t="str">
        <f t="shared" si="21"/>
        <v>Đã chốt</v>
      </c>
      <c r="C872" s="59" t="str">
        <f t="shared" si="22"/>
        <v>Téc 3</v>
      </c>
      <c r="D872" s="45">
        <f t="shared" si="23"/>
        <v>46065</v>
      </c>
      <c r="E872" s="45">
        <f t="shared" si="24"/>
        <v>46106</v>
      </c>
      <c r="F872" s="133">
        <f t="shared" si="25"/>
        <v>3</v>
      </c>
      <c r="G872" s="133">
        <f t="shared" si="26"/>
        <v>2026</v>
      </c>
      <c r="H872" s="59" t="str">
        <f t="shared" si="27"/>
        <v>28H01364</v>
      </c>
      <c r="I872" s="59">
        <f>IF(OR($A872="",$C872="",$D872="",$E872="",$H872=""),"",SUMIFS(DATA_GOC!$H:$H,DATA_GOC!$A:$A,"BOM",DATA_GOC!$D:$D,$H872,DATA_GOC!$E:$E,$C872,DATA_GOC!$F:$F,"Xuất nội bộ từ téc",DATA_GOC!$B:$B,"&gt;="&amp;$D872,DATA_GOC!$B:$B,"&lt;="&amp;$E872))</f>
        <v>348</v>
      </c>
      <c r="J872" s="59">
        <f t="shared" si="28"/>
        <v>12.008</v>
      </c>
      <c r="K872" s="59">
        <f t="shared" si="29"/>
        <v>0</v>
      </c>
      <c r="L872" s="59">
        <f t="shared" si="30"/>
        <v>360.008</v>
      </c>
      <c r="M872" s="59">
        <f t="shared" si="31"/>
        <v>0.01194849785</v>
      </c>
    </row>
    <row r="873" ht="15.0" hidden="1" customHeight="1">
      <c r="A873" s="59">
        <f t="shared" si="20"/>
        <v>11</v>
      </c>
      <c r="B873" s="59" t="str">
        <f t="shared" si="21"/>
        <v>Đã chốt</v>
      </c>
      <c r="C873" s="59" t="str">
        <f t="shared" si="22"/>
        <v>Téc 3</v>
      </c>
      <c r="D873" s="45">
        <f t="shared" si="23"/>
        <v>46065</v>
      </c>
      <c r="E873" s="45">
        <f t="shared" si="24"/>
        <v>46106</v>
      </c>
      <c r="F873" s="133">
        <f t="shared" si="25"/>
        <v>3</v>
      </c>
      <c r="G873" s="133">
        <f t="shared" si="26"/>
        <v>2026</v>
      </c>
      <c r="H873" s="59" t="str">
        <f t="shared" si="27"/>
        <v>29E17269</v>
      </c>
      <c r="I873" s="59">
        <f>IF(OR($A873="",$C873="",$D873="",$E873="",$H873=""),"",SUMIFS(DATA_GOC!$H:$H,DATA_GOC!$A:$A,"BOM",DATA_GOC!$D:$D,$H873,DATA_GOC!$E:$E,$C873,DATA_GOC!$F:$F,"Xuất nội bộ từ téc",DATA_GOC!$B:$B,"&gt;="&amp;$D873,DATA_GOC!$B:$B,"&lt;="&amp;$E873))</f>
        <v>345</v>
      </c>
      <c r="J873" s="59">
        <f t="shared" si="28"/>
        <v>11.905</v>
      </c>
      <c r="K873" s="59">
        <f t="shared" si="29"/>
        <v>0</v>
      </c>
      <c r="L873" s="59">
        <f t="shared" si="30"/>
        <v>356.905</v>
      </c>
      <c r="M873" s="59">
        <f t="shared" si="31"/>
        <v>0.01184549356</v>
      </c>
    </row>
    <row r="874" ht="15.0" hidden="1" customHeight="1">
      <c r="A874" s="59">
        <f t="shared" si="20"/>
        <v>11</v>
      </c>
      <c r="B874" s="59" t="str">
        <f t="shared" si="21"/>
        <v>Đã chốt</v>
      </c>
      <c r="C874" s="59" t="str">
        <f t="shared" si="22"/>
        <v>Téc 3</v>
      </c>
      <c r="D874" s="45">
        <f t="shared" si="23"/>
        <v>46065</v>
      </c>
      <c r="E874" s="45">
        <f t="shared" si="24"/>
        <v>46106</v>
      </c>
      <c r="F874" s="133">
        <f t="shared" si="25"/>
        <v>3</v>
      </c>
      <c r="G874" s="133">
        <f t="shared" si="26"/>
        <v>2026</v>
      </c>
      <c r="H874" s="59" t="str">
        <f t="shared" si="27"/>
        <v>29E17273</v>
      </c>
      <c r="I874" s="59">
        <f>IF(OR($A874="",$C874="",$D874="",$E874="",$H874=""),"",SUMIFS(DATA_GOC!$H:$H,DATA_GOC!$A:$A,"BOM",DATA_GOC!$D:$D,$H874,DATA_GOC!$E:$E,$C874,DATA_GOC!$F:$F,"Xuất nội bộ từ téc",DATA_GOC!$B:$B,"&gt;="&amp;$D874,DATA_GOC!$B:$B,"&lt;="&amp;$E874))</f>
        <v>0</v>
      </c>
      <c r="J874" s="59">
        <f t="shared" si="28"/>
        <v>0</v>
      </c>
      <c r="K874" s="59">
        <f t="shared" si="29"/>
        <v>0</v>
      </c>
      <c r="L874" s="59">
        <f t="shared" si="30"/>
        <v>0</v>
      </c>
      <c r="M874" s="59">
        <f t="shared" si="31"/>
        <v>0</v>
      </c>
    </row>
    <row r="875" ht="15.0" hidden="1" customHeight="1">
      <c r="A875" s="59">
        <f t="shared" si="20"/>
        <v>11</v>
      </c>
      <c r="B875" s="59" t="str">
        <f t="shared" si="21"/>
        <v>Đã chốt</v>
      </c>
      <c r="C875" s="59" t="str">
        <f t="shared" si="22"/>
        <v>Téc 3</v>
      </c>
      <c r="D875" s="45">
        <f t="shared" si="23"/>
        <v>46065</v>
      </c>
      <c r="E875" s="45">
        <f t="shared" si="24"/>
        <v>46106</v>
      </c>
      <c r="F875" s="133">
        <f t="shared" si="25"/>
        <v>3</v>
      </c>
      <c r="G875" s="133">
        <f t="shared" si="26"/>
        <v>2026</v>
      </c>
      <c r="H875" s="59" t="str">
        <f t="shared" si="27"/>
        <v>29E17410</v>
      </c>
      <c r="I875" s="59">
        <f>IF(OR($A875="",$C875="",$D875="",$E875="",$H875=""),"",SUMIFS(DATA_GOC!$H:$H,DATA_GOC!$A:$A,"BOM",DATA_GOC!$D:$D,$H875,DATA_GOC!$E:$E,$C875,DATA_GOC!$F:$F,"Xuất nội bộ từ téc",DATA_GOC!$B:$B,"&gt;="&amp;$D875,DATA_GOC!$B:$B,"&lt;="&amp;$E875))</f>
        <v>347</v>
      </c>
      <c r="J875" s="59">
        <f t="shared" si="28"/>
        <v>11.974</v>
      </c>
      <c r="K875" s="59">
        <f t="shared" si="29"/>
        <v>0</v>
      </c>
      <c r="L875" s="59">
        <f t="shared" si="30"/>
        <v>358.974</v>
      </c>
      <c r="M875" s="59">
        <f t="shared" si="31"/>
        <v>0.01191416309</v>
      </c>
    </row>
    <row r="876" ht="15.0" hidden="1" customHeight="1">
      <c r="A876" s="59">
        <f t="shared" si="20"/>
        <v>11</v>
      </c>
      <c r="B876" s="59" t="str">
        <f t="shared" si="21"/>
        <v>Đã chốt</v>
      </c>
      <c r="C876" s="59" t="str">
        <f t="shared" si="22"/>
        <v>Téc 3</v>
      </c>
      <c r="D876" s="45">
        <f t="shared" si="23"/>
        <v>46065</v>
      </c>
      <c r="E876" s="45">
        <f t="shared" si="24"/>
        <v>46106</v>
      </c>
      <c r="F876" s="133">
        <f t="shared" si="25"/>
        <v>3</v>
      </c>
      <c r="G876" s="133">
        <f t="shared" si="26"/>
        <v>2026</v>
      </c>
      <c r="H876" s="59" t="str">
        <f t="shared" si="27"/>
        <v>29E17417</v>
      </c>
      <c r="I876" s="59">
        <f>IF(OR($A876="",$C876="",$D876="",$E876="",$H876=""),"",SUMIFS(DATA_GOC!$H:$H,DATA_GOC!$A:$A,"BOM",DATA_GOC!$D:$D,$H876,DATA_GOC!$E:$E,$C876,DATA_GOC!$F:$F,"Xuất nội bộ từ téc",DATA_GOC!$B:$B,"&gt;="&amp;$D876,DATA_GOC!$B:$B,"&lt;="&amp;$E876))</f>
        <v>0</v>
      </c>
      <c r="J876" s="59">
        <f t="shared" si="28"/>
        <v>0</v>
      </c>
      <c r="K876" s="59">
        <f t="shared" si="29"/>
        <v>0</v>
      </c>
      <c r="L876" s="59">
        <f t="shared" si="30"/>
        <v>0</v>
      </c>
      <c r="M876" s="59">
        <f t="shared" si="31"/>
        <v>0</v>
      </c>
    </row>
    <row r="877" ht="15.0" hidden="1" customHeight="1">
      <c r="A877" s="59">
        <f t="shared" si="20"/>
        <v>11</v>
      </c>
      <c r="B877" s="59" t="str">
        <f t="shared" si="21"/>
        <v>Đã chốt</v>
      </c>
      <c r="C877" s="59" t="str">
        <f t="shared" si="22"/>
        <v>Téc 3</v>
      </c>
      <c r="D877" s="45">
        <f t="shared" si="23"/>
        <v>46065</v>
      </c>
      <c r="E877" s="45">
        <f t="shared" si="24"/>
        <v>46106</v>
      </c>
      <c r="F877" s="133">
        <f t="shared" si="25"/>
        <v>3</v>
      </c>
      <c r="G877" s="133">
        <f t="shared" si="26"/>
        <v>2026</v>
      </c>
      <c r="H877" s="59" t="str">
        <f t="shared" si="27"/>
        <v>29E17539</v>
      </c>
      <c r="I877" s="59">
        <f>IF(OR($A877="",$C877="",$D877="",$E877="",$H877=""),"",SUMIFS(DATA_GOC!$H:$H,DATA_GOC!$A:$A,"BOM",DATA_GOC!$D:$D,$H877,DATA_GOC!$E:$E,$C877,DATA_GOC!$F:$F,"Xuất nội bộ từ téc",DATA_GOC!$B:$B,"&gt;="&amp;$D877,DATA_GOC!$B:$B,"&lt;="&amp;$E877))</f>
        <v>0</v>
      </c>
      <c r="J877" s="59">
        <f t="shared" si="28"/>
        <v>0</v>
      </c>
      <c r="K877" s="59">
        <f t="shared" si="29"/>
        <v>0</v>
      </c>
      <c r="L877" s="59">
        <f t="shared" si="30"/>
        <v>0</v>
      </c>
      <c r="M877" s="59">
        <f t="shared" si="31"/>
        <v>0</v>
      </c>
    </row>
    <row r="878" ht="15.0" hidden="1" customHeight="1">
      <c r="A878" s="59">
        <f t="shared" si="20"/>
        <v>11</v>
      </c>
      <c r="B878" s="59" t="str">
        <f t="shared" si="21"/>
        <v>Đã chốt</v>
      </c>
      <c r="C878" s="59" t="str">
        <f t="shared" si="22"/>
        <v>Téc 3</v>
      </c>
      <c r="D878" s="45">
        <f t="shared" si="23"/>
        <v>46065</v>
      </c>
      <c r="E878" s="45">
        <f t="shared" si="24"/>
        <v>46106</v>
      </c>
      <c r="F878" s="133">
        <f t="shared" si="25"/>
        <v>3</v>
      </c>
      <c r="G878" s="133">
        <f t="shared" si="26"/>
        <v>2026</v>
      </c>
      <c r="H878" s="59" t="str">
        <f t="shared" si="27"/>
        <v>29E18160</v>
      </c>
      <c r="I878" s="59">
        <f>IF(OR($A878="",$C878="",$D878="",$E878="",$H878=""),"",SUMIFS(DATA_GOC!$H:$H,DATA_GOC!$A:$A,"BOM",DATA_GOC!$D:$D,$H878,DATA_GOC!$E:$E,$C878,DATA_GOC!$F:$F,"Xuất nội bộ từ téc",DATA_GOC!$B:$B,"&gt;="&amp;$D878,DATA_GOC!$B:$B,"&lt;="&amp;$E878))</f>
        <v>0</v>
      </c>
      <c r="J878" s="59">
        <f t="shared" si="28"/>
        <v>0</v>
      </c>
      <c r="K878" s="59">
        <f t="shared" si="29"/>
        <v>0</v>
      </c>
      <c r="L878" s="59">
        <f t="shared" si="30"/>
        <v>0</v>
      </c>
      <c r="M878" s="59">
        <f t="shared" si="31"/>
        <v>0</v>
      </c>
    </row>
    <row r="879" ht="15.0" hidden="1" customHeight="1">
      <c r="A879" s="59">
        <f t="shared" si="20"/>
        <v>11</v>
      </c>
      <c r="B879" s="59" t="str">
        <f t="shared" si="21"/>
        <v>Đã chốt</v>
      </c>
      <c r="C879" s="59" t="str">
        <f t="shared" si="22"/>
        <v>Téc 3</v>
      </c>
      <c r="D879" s="45">
        <f t="shared" si="23"/>
        <v>46065</v>
      </c>
      <c r="E879" s="45">
        <f t="shared" si="24"/>
        <v>46106</v>
      </c>
      <c r="F879" s="133">
        <f t="shared" si="25"/>
        <v>3</v>
      </c>
      <c r="G879" s="133">
        <f t="shared" si="26"/>
        <v>2026</v>
      </c>
      <c r="H879" s="59" t="str">
        <f t="shared" si="27"/>
        <v>Công trình Asphalt</v>
      </c>
      <c r="I879" s="59">
        <f>IF(OR($A879="",$C879="",$D879="",$E879="",$H879=""),"",SUMIFS(DATA_GOC!$H:$H,DATA_GOC!$A:$A,"BOM",DATA_GOC!$D:$D,$H879,DATA_GOC!$E:$E,$C879,DATA_GOC!$F:$F,"Xuất nội bộ từ téc",DATA_GOC!$B:$B,"&gt;="&amp;$D879,DATA_GOC!$B:$B,"&lt;="&amp;$E879))</f>
        <v>200</v>
      </c>
      <c r="J879" s="59">
        <f t="shared" si="28"/>
        <v>6.901</v>
      </c>
      <c r="K879" s="59">
        <f t="shared" si="29"/>
        <v>0</v>
      </c>
      <c r="L879" s="59">
        <f t="shared" si="30"/>
        <v>206.901</v>
      </c>
      <c r="M879" s="59">
        <f t="shared" si="31"/>
        <v>0.00686695279</v>
      </c>
    </row>
    <row r="880" ht="15.0" hidden="1" customHeight="1">
      <c r="A880" s="59">
        <f t="shared" si="20"/>
        <v>11</v>
      </c>
      <c r="B880" s="59" t="str">
        <f t="shared" si="21"/>
        <v>Đã chốt</v>
      </c>
      <c r="C880" s="59" t="str">
        <f t="shared" si="22"/>
        <v>Téc 3</v>
      </c>
      <c r="D880" s="45">
        <f t="shared" si="23"/>
        <v>46065</v>
      </c>
      <c r="E880" s="45">
        <f t="shared" si="24"/>
        <v>46106</v>
      </c>
      <c r="F880" s="133">
        <f t="shared" si="25"/>
        <v>3</v>
      </c>
      <c r="G880" s="133">
        <f t="shared" si="26"/>
        <v>2026</v>
      </c>
      <c r="H880" s="59" t="str">
        <f t="shared" si="27"/>
        <v>LG53F</v>
      </c>
      <c r="I880" s="59">
        <f>IF(OR($A880="",$C880="",$D880="",$E880="",$H880=""),"",SUMIFS(DATA_GOC!$H:$H,DATA_GOC!$A:$A,"BOM",DATA_GOC!$D:$D,$H880,DATA_GOC!$E:$E,$C880,DATA_GOC!$F:$F,"Xuất nội bộ từ téc",DATA_GOC!$B:$B,"&gt;="&amp;$D880,DATA_GOC!$B:$B,"&lt;="&amp;$E880))</f>
        <v>0</v>
      </c>
      <c r="J880" s="59">
        <f t="shared" si="28"/>
        <v>0</v>
      </c>
      <c r="K880" s="59">
        <f t="shared" si="29"/>
        <v>0</v>
      </c>
      <c r="L880" s="59">
        <f t="shared" si="30"/>
        <v>0</v>
      </c>
      <c r="M880" s="59">
        <f t="shared" si="31"/>
        <v>0</v>
      </c>
    </row>
    <row r="881" ht="15.0" hidden="1" customHeight="1">
      <c r="A881" s="59">
        <f t="shared" si="20"/>
        <v>11</v>
      </c>
      <c r="B881" s="59" t="str">
        <f t="shared" si="21"/>
        <v>Đã chốt</v>
      </c>
      <c r="C881" s="59" t="str">
        <f t="shared" si="22"/>
        <v>Téc 3</v>
      </c>
      <c r="D881" s="45">
        <f t="shared" si="23"/>
        <v>46065</v>
      </c>
      <c r="E881" s="45">
        <f t="shared" si="24"/>
        <v>46106</v>
      </c>
      <c r="F881" s="133">
        <f t="shared" si="25"/>
        <v>3</v>
      </c>
      <c r="G881" s="133">
        <f t="shared" si="26"/>
        <v>2026</v>
      </c>
      <c r="H881" s="59" t="str">
        <f t="shared" si="27"/>
        <v>Máy phát điện</v>
      </c>
      <c r="I881" s="59">
        <f>IF(OR($A881="",$C881="",$D881="",$E881="",$H881=""),"",SUMIFS(DATA_GOC!$H:$H,DATA_GOC!$A:$A,"BOM",DATA_GOC!$D:$D,$H881,DATA_GOC!$E:$E,$C881,DATA_GOC!$F:$F,"Xuất nội bộ từ téc",DATA_GOC!$B:$B,"&gt;="&amp;$D881,DATA_GOC!$B:$B,"&lt;="&amp;$E881))</f>
        <v>0</v>
      </c>
      <c r="J881" s="59">
        <f t="shared" si="28"/>
        <v>0</v>
      </c>
      <c r="K881" s="59">
        <f t="shared" si="29"/>
        <v>0</v>
      </c>
      <c r="L881" s="59">
        <f t="shared" si="30"/>
        <v>0</v>
      </c>
      <c r="M881" s="59">
        <f t="shared" si="31"/>
        <v>0</v>
      </c>
    </row>
    <row r="882" ht="15.0" hidden="1" customHeight="1">
      <c r="A882" s="59">
        <f t="shared" si="20"/>
        <v>11</v>
      </c>
      <c r="B882" s="59" t="str">
        <f t="shared" si="21"/>
        <v>Đã chốt</v>
      </c>
      <c r="C882" s="59" t="str">
        <f t="shared" si="22"/>
        <v>Téc 3</v>
      </c>
      <c r="D882" s="45">
        <f t="shared" si="23"/>
        <v>46065</v>
      </c>
      <c r="E882" s="45">
        <f t="shared" si="24"/>
        <v>46106</v>
      </c>
      <c r="F882" s="133">
        <f t="shared" si="25"/>
        <v>3</v>
      </c>
      <c r="G882" s="133">
        <f t="shared" si="26"/>
        <v>2026</v>
      </c>
      <c r="H882" s="59" t="str">
        <f t="shared" si="27"/>
        <v>Máy rải thảm</v>
      </c>
      <c r="I882" s="59">
        <f>IF(OR($A882="",$C882="",$D882="",$E882="",$H882=""),"",SUMIFS(DATA_GOC!$H:$H,DATA_GOC!$A:$A,"BOM",DATA_GOC!$D:$D,$H882,DATA_GOC!$E:$E,$C882,DATA_GOC!$F:$F,"Xuất nội bộ từ téc",DATA_GOC!$B:$B,"&gt;="&amp;$D882,DATA_GOC!$B:$B,"&lt;="&amp;$E882))</f>
        <v>0</v>
      </c>
      <c r="J882" s="59">
        <f t="shared" si="28"/>
        <v>0</v>
      </c>
      <c r="K882" s="59">
        <f t="shared" si="29"/>
        <v>0</v>
      </c>
      <c r="L882" s="59">
        <f t="shared" si="30"/>
        <v>0</v>
      </c>
      <c r="M882" s="59">
        <f t="shared" si="31"/>
        <v>0</v>
      </c>
    </row>
    <row r="883" ht="15.0" hidden="1" customHeight="1">
      <c r="A883" s="59">
        <f t="shared" si="20"/>
        <v>11</v>
      </c>
      <c r="B883" s="59" t="str">
        <f t="shared" si="21"/>
        <v>Đã chốt</v>
      </c>
      <c r="C883" s="59" t="str">
        <f t="shared" si="22"/>
        <v>Téc 3</v>
      </c>
      <c r="D883" s="45">
        <f t="shared" si="23"/>
        <v>46065</v>
      </c>
      <c r="E883" s="45">
        <f t="shared" si="24"/>
        <v>46106</v>
      </c>
      <c r="F883" s="133">
        <f t="shared" si="25"/>
        <v>3</v>
      </c>
      <c r="G883" s="133">
        <f t="shared" si="26"/>
        <v>2026</v>
      </c>
      <c r="H883" s="59" t="str">
        <f t="shared" si="27"/>
        <v>Xúc Đào</v>
      </c>
      <c r="I883" s="59">
        <f>IF(OR($A883="",$C883="",$D883="",$E883="",$H883=""),"",SUMIFS(DATA_GOC!$H:$H,DATA_GOC!$A:$A,"BOM",DATA_GOC!$D:$D,$H883,DATA_GOC!$E:$E,$C883,DATA_GOC!$F:$F,"Xuất nội bộ từ téc",DATA_GOC!$B:$B,"&gt;="&amp;$D883,DATA_GOC!$B:$B,"&lt;="&amp;$E883))</f>
        <v>105</v>
      </c>
      <c r="J883" s="59">
        <f t="shared" si="28"/>
        <v>3.623</v>
      </c>
      <c r="K883" s="59">
        <f t="shared" si="29"/>
        <v>0</v>
      </c>
      <c r="L883" s="59">
        <f t="shared" si="30"/>
        <v>108.623</v>
      </c>
      <c r="M883" s="59">
        <f t="shared" si="31"/>
        <v>0.003605150215</v>
      </c>
    </row>
    <row r="884" ht="15.0" hidden="1" customHeight="1">
      <c r="A884" s="59">
        <f t="shared" si="20"/>
        <v>11</v>
      </c>
      <c r="B884" s="59" t="str">
        <f t="shared" si="21"/>
        <v>Đã chốt</v>
      </c>
      <c r="C884" s="59" t="str">
        <f t="shared" si="22"/>
        <v>Téc 3</v>
      </c>
      <c r="D884" s="45">
        <f t="shared" si="23"/>
        <v>46065</v>
      </c>
      <c r="E884" s="45">
        <f t="shared" si="24"/>
        <v>46106</v>
      </c>
      <c r="F884" s="133">
        <f t="shared" si="25"/>
        <v>3</v>
      </c>
      <c r="G884" s="133">
        <f t="shared" si="26"/>
        <v>2026</v>
      </c>
      <c r="H884" s="59" t="str">
        <f t="shared" si="27"/>
        <v>Xúclật asphalt</v>
      </c>
      <c r="I884" s="59">
        <f>IF(OR($A884="",$C884="",$D884="",$E884="",$H884=""),"",SUMIFS(DATA_GOC!$H:$H,DATA_GOC!$A:$A,"BOM",DATA_GOC!$D:$D,$H884,DATA_GOC!$E:$E,$C884,DATA_GOC!$F:$F,"Xuất nội bộ từ téc",DATA_GOC!$B:$B,"&gt;="&amp;$D884,DATA_GOC!$B:$B,"&lt;="&amp;$E884))</f>
        <v>370</v>
      </c>
      <c r="J884" s="59">
        <f t="shared" si="28"/>
        <v>12.767</v>
      </c>
      <c r="K884" s="59">
        <f t="shared" si="29"/>
        <v>0</v>
      </c>
      <c r="L884" s="59">
        <f t="shared" si="30"/>
        <v>382.767</v>
      </c>
      <c r="M884" s="59">
        <f t="shared" si="31"/>
        <v>0.01270386266</v>
      </c>
    </row>
    <row r="885" ht="15.0" hidden="1" customHeight="1">
      <c r="A885" s="59">
        <f t="shared" si="20"/>
        <v>11</v>
      </c>
      <c r="B885" s="59" t="str">
        <f t="shared" si="21"/>
        <v>Đã chốt</v>
      </c>
      <c r="C885" s="59" t="str">
        <f t="shared" si="22"/>
        <v>Téc 3</v>
      </c>
      <c r="D885" s="45">
        <f t="shared" si="23"/>
        <v>46065</v>
      </c>
      <c r="E885" s="45">
        <f t="shared" si="24"/>
        <v>46106</v>
      </c>
      <c r="F885" s="133">
        <f t="shared" si="25"/>
        <v>3</v>
      </c>
      <c r="G885" s="133">
        <f t="shared" si="26"/>
        <v>2026</v>
      </c>
      <c r="H885" s="59" t="str">
        <f t="shared" si="27"/>
        <v>Xúclật855H</v>
      </c>
      <c r="I885" s="59">
        <f>IF(OR($A885="",$C885="",$D885="",$E885="",$H885=""),"",SUMIFS(DATA_GOC!$H:$H,DATA_GOC!$A:$A,"BOM",DATA_GOC!$D:$D,$H885,DATA_GOC!$E:$E,$C885,DATA_GOC!$F:$F,"Xuất nội bộ từ téc",DATA_GOC!$B:$B,"&gt;="&amp;$D885,DATA_GOC!$B:$B,"&lt;="&amp;$E885))</f>
        <v>563</v>
      </c>
      <c r="J885" s="59">
        <f t="shared" si="28"/>
        <v>19.427</v>
      </c>
      <c r="K885" s="59">
        <f t="shared" si="29"/>
        <v>0</v>
      </c>
      <c r="L885" s="59">
        <f t="shared" si="30"/>
        <v>582.427</v>
      </c>
      <c r="M885" s="59">
        <f t="shared" si="31"/>
        <v>0.0193304721</v>
      </c>
    </row>
    <row r="886" ht="15.0" hidden="1" customHeight="1">
      <c r="A886" s="59">
        <f t="shared" si="20"/>
        <v>11</v>
      </c>
      <c r="B886" s="59" t="str">
        <f t="shared" si="21"/>
        <v>Đã chốt</v>
      </c>
      <c r="C886" s="59" t="str">
        <f t="shared" si="22"/>
        <v>Téc 3</v>
      </c>
      <c r="D886" s="45">
        <f t="shared" si="23"/>
        <v>46065</v>
      </c>
      <c r="E886" s="45">
        <f t="shared" si="24"/>
        <v>46106</v>
      </c>
      <c r="F886" s="133">
        <f t="shared" si="25"/>
        <v>3</v>
      </c>
      <c r="G886" s="133">
        <f t="shared" si="26"/>
        <v>2026</v>
      </c>
      <c r="H886" s="59" t="str">
        <f t="shared" si="27"/>
        <v>Xúclật855N</v>
      </c>
      <c r="I886" s="59">
        <f>IF(OR($A886="",$C886="",$D886="",$E886="",$H886=""),"",SUMIFS(DATA_GOC!$H:$H,DATA_GOC!$A:$A,"BOM",DATA_GOC!$D:$D,$H886,DATA_GOC!$E:$E,$C886,DATA_GOC!$F:$F,"Xuất nội bộ từ téc",DATA_GOC!$B:$B,"&gt;="&amp;$D886,DATA_GOC!$B:$B,"&lt;="&amp;$E886))</f>
        <v>654</v>
      </c>
      <c r="J886" s="59">
        <f t="shared" si="28"/>
        <v>22.567</v>
      </c>
      <c r="K886" s="59">
        <f t="shared" si="29"/>
        <v>0</v>
      </c>
      <c r="L886" s="59">
        <f t="shared" si="30"/>
        <v>676.567</v>
      </c>
      <c r="M886" s="59">
        <f t="shared" si="31"/>
        <v>0.02245493562</v>
      </c>
    </row>
    <row r="887" ht="15.0" hidden="1" customHeight="1">
      <c r="A887" s="59">
        <f t="shared" si="20"/>
        <v>11</v>
      </c>
      <c r="B887" s="59" t="str">
        <f t="shared" si="21"/>
        <v>Đã chốt</v>
      </c>
      <c r="C887" s="59" t="str">
        <f t="shared" si="22"/>
        <v>Téc 3</v>
      </c>
      <c r="D887" s="45">
        <f t="shared" si="23"/>
        <v>46065</v>
      </c>
      <c r="E887" s="45">
        <f t="shared" si="24"/>
        <v>46106</v>
      </c>
      <c r="F887" s="133">
        <f t="shared" si="25"/>
        <v>3</v>
      </c>
      <c r="G887" s="133">
        <f t="shared" si="26"/>
        <v>2026</v>
      </c>
      <c r="H887" s="59" t="str">
        <f t="shared" si="27"/>
        <v>Cát nghiền</v>
      </c>
      <c r="I887" s="59">
        <f>IF(OR($A887="",$C887="",$D887="",$E887="",$H887=""),"",SUMIFS(DATA_GOC!$H:$H,DATA_GOC!$A:$A,"BOM",DATA_GOC!$D:$D,$H887,DATA_GOC!$E:$E,$C887,DATA_GOC!$F:$F,"Xuất nội bộ từ téc",DATA_GOC!$B:$B,"&gt;="&amp;$D887,DATA_GOC!$B:$B,"&lt;="&amp;$E887))</f>
        <v>0</v>
      </c>
      <c r="J887" s="59">
        <f t="shared" si="28"/>
        <v>0</v>
      </c>
      <c r="K887" s="59">
        <f t="shared" si="29"/>
        <v>0</v>
      </c>
      <c r="L887" s="59">
        <f t="shared" si="30"/>
        <v>0</v>
      </c>
      <c r="M887" s="59">
        <f t="shared" si="31"/>
        <v>0</v>
      </c>
    </row>
    <row r="888" ht="15.0" hidden="1" customHeight="1">
      <c r="A888" s="59">
        <f t="shared" si="20"/>
        <v>11</v>
      </c>
      <c r="B888" s="59" t="str">
        <f t="shared" si="21"/>
        <v>Đã chốt</v>
      </c>
      <c r="C888" s="59" t="str">
        <f t="shared" si="22"/>
        <v>Téc 3</v>
      </c>
      <c r="D888" s="45">
        <f t="shared" si="23"/>
        <v>46065</v>
      </c>
      <c r="E888" s="45">
        <f t="shared" si="24"/>
        <v>46106</v>
      </c>
      <c r="F888" s="133">
        <f t="shared" si="25"/>
        <v>3</v>
      </c>
      <c r="G888" s="133">
        <f t="shared" si="26"/>
        <v>2026</v>
      </c>
      <c r="H888" s="59" t="str">
        <f t="shared" si="27"/>
        <v>28C02973</v>
      </c>
      <c r="I888" s="59">
        <f>IF(OR($A888="",$C888="",$D888="",$E888="",$H888=""),"",SUMIFS(DATA_GOC!$H:$H,DATA_GOC!$A:$A,"BOM",DATA_GOC!$D:$D,$H888,DATA_GOC!$E:$E,$C888,DATA_GOC!$F:$F,"Xuất nội bộ từ téc",DATA_GOC!$B:$B,"&gt;="&amp;$D888,DATA_GOC!$B:$B,"&lt;="&amp;$E888))</f>
        <v>0</v>
      </c>
      <c r="J888" s="59">
        <f t="shared" si="28"/>
        <v>0</v>
      </c>
      <c r="K888" s="59">
        <f t="shared" si="29"/>
        <v>0</v>
      </c>
      <c r="L888" s="59">
        <f t="shared" si="30"/>
        <v>0</v>
      </c>
      <c r="M888" s="59">
        <f t="shared" si="31"/>
        <v>0</v>
      </c>
    </row>
    <row r="889" ht="15.0" hidden="1" customHeight="1">
      <c r="A889" s="59">
        <f t="shared" si="20"/>
        <v>11</v>
      </c>
      <c r="B889" s="59" t="str">
        <f t="shared" si="21"/>
        <v>Đã chốt</v>
      </c>
      <c r="C889" s="59" t="str">
        <f t="shared" si="22"/>
        <v>Téc 3</v>
      </c>
      <c r="D889" s="45">
        <f t="shared" si="23"/>
        <v>46065</v>
      </c>
      <c r="E889" s="45">
        <f t="shared" si="24"/>
        <v>46106</v>
      </c>
      <c r="F889" s="133">
        <f t="shared" si="25"/>
        <v>3</v>
      </c>
      <c r="G889" s="133">
        <f t="shared" si="26"/>
        <v>2026</v>
      </c>
      <c r="H889" s="59" t="str">
        <f t="shared" si="27"/>
        <v>28C03044</v>
      </c>
      <c r="I889" s="59">
        <f>IF(OR($A889="",$C889="",$D889="",$E889="",$H889=""),"",SUMIFS(DATA_GOC!$H:$H,DATA_GOC!$A:$A,"BOM",DATA_GOC!$D:$D,$H889,DATA_GOC!$E:$E,$C889,DATA_GOC!$F:$F,"Xuất nội bộ từ téc",DATA_GOC!$B:$B,"&gt;="&amp;$D889,DATA_GOC!$B:$B,"&lt;="&amp;$E889))</f>
        <v>0</v>
      </c>
      <c r="J889" s="59">
        <f t="shared" si="28"/>
        <v>0</v>
      </c>
      <c r="K889" s="59">
        <f t="shared" si="29"/>
        <v>0</v>
      </c>
      <c r="L889" s="59">
        <f t="shared" si="30"/>
        <v>0</v>
      </c>
      <c r="M889" s="59">
        <f t="shared" si="31"/>
        <v>0</v>
      </c>
    </row>
    <row r="890" ht="15.0" hidden="1" customHeight="1">
      <c r="A890" s="59">
        <f t="shared" si="20"/>
        <v>11</v>
      </c>
      <c r="B890" s="59" t="str">
        <f t="shared" si="21"/>
        <v>Đã chốt</v>
      </c>
      <c r="C890" s="59" t="str">
        <f t="shared" si="22"/>
        <v>Téc 3</v>
      </c>
      <c r="D890" s="45">
        <f t="shared" si="23"/>
        <v>46065</v>
      </c>
      <c r="E890" s="45">
        <f t="shared" si="24"/>
        <v>46106</v>
      </c>
      <c r="F890" s="133">
        <f t="shared" si="25"/>
        <v>3</v>
      </c>
      <c r="G890" s="133">
        <f t="shared" si="26"/>
        <v>2026</v>
      </c>
      <c r="H890" s="59" t="str">
        <f t="shared" si="27"/>
        <v>Máy lu lốp</v>
      </c>
      <c r="I890" s="59">
        <f>IF(OR($A890="",$C890="",$D890="",$E890="",$H890=""),"",SUMIFS(DATA_GOC!$H:$H,DATA_GOC!$A:$A,"BOM",DATA_GOC!$D:$D,$H890,DATA_GOC!$E:$E,$C890,DATA_GOC!$F:$F,"Xuất nội bộ từ téc",DATA_GOC!$B:$B,"&gt;="&amp;$D890,DATA_GOC!$B:$B,"&lt;="&amp;$E890))</f>
        <v>0</v>
      </c>
      <c r="J890" s="59">
        <f t="shared" si="28"/>
        <v>0</v>
      </c>
      <c r="K890" s="59">
        <f t="shared" si="29"/>
        <v>0</v>
      </c>
      <c r="L890" s="59">
        <f t="shared" si="30"/>
        <v>0</v>
      </c>
      <c r="M890" s="59">
        <f t="shared" si="31"/>
        <v>0</v>
      </c>
    </row>
    <row r="891" ht="15.0" hidden="1" customHeight="1">
      <c r="A891" s="59">
        <f t="shared" si="20"/>
        <v>11</v>
      </c>
      <c r="B891" s="59" t="str">
        <f t="shared" si="21"/>
        <v>Đã chốt</v>
      </c>
      <c r="C891" s="59" t="str">
        <f t="shared" si="22"/>
        <v>Téc 3</v>
      </c>
      <c r="D891" s="45">
        <f t="shared" si="23"/>
        <v>46065</v>
      </c>
      <c r="E891" s="45">
        <f t="shared" si="24"/>
        <v>46106</v>
      </c>
      <c r="F891" s="133">
        <f t="shared" si="25"/>
        <v>3</v>
      </c>
      <c r="G891" s="133">
        <f t="shared" si="26"/>
        <v>2026</v>
      </c>
      <c r="H891" s="59" t="str">
        <f t="shared" si="27"/>
        <v>Xe 600148</v>
      </c>
      <c r="I891" s="59">
        <f>IF(OR($A891="",$C891="",$D891="",$E891="",$H891=""),"",SUMIFS(DATA_GOC!$H:$H,DATA_GOC!$A:$A,"BOM",DATA_GOC!$D:$D,$H891,DATA_GOC!$E:$E,$C891,DATA_GOC!$F:$F,"Xuất nội bộ từ téc",DATA_GOC!$B:$B,"&gt;="&amp;$D891,DATA_GOC!$B:$B,"&lt;="&amp;$E891))</f>
        <v>0</v>
      </c>
      <c r="J891" s="59">
        <f t="shared" si="28"/>
        <v>0</v>
      </c>
      <c r="K891" s="59">
        <f t="shared" si="29"/>
        <v>0</v>
      </c>
      <c r="L891" s="59">
        <f t="shared" si="30"/>
        <v>0</v>
      </c>
      <c r="M891" s="59">
        <f t="shared" si="31"/>
        <v>0</v>
      </c>
    </row>
    <row r="892" ht="15.0" hidden="1" customHeight="1">
      <c r="A892" s="59">
        <f t="shared" si="20"/>
        <v>11</v>
      </c>
      <c r="B892" s="59" t="str">
        <f t="shared" si="21"/>
        <v>Đã chốt</v>
      </c>
      <c r="C892" s="59" t="str">
        <f t="shared" si="22"/>
        <v>Téc 3</v>
      </c>
      <c r="D892" s="45">
        <f t="shared" si="23"/>
        <v>46065</v>
      </c>
      <c r="E892" s="45">
        <f t="shared" si="24"/>
        <v>46106</v>
      </c>
      <c r="F892" s="133">
        <f t="shared" si="25"/>
        <v>3</v>
      </c>
      <c r="G892" s="133">
        <f t="shared" si="26"/>
        <v>2026</v>
      </c>
      <c r="H892" s="59" t="str">
        <f t="shared" si="27"/>
        <v>Xe ben mới</v>
      </c>
      <c r="I892" s="59">
        <f>IF(OR($A892="",$C892="",$D892="",$E892="",$H892=""),"",SUMIFS(DATA_GOC!$H:$H,DATA_GOC!$A:$A,"BOM",DATA_GOC!$D:$D,$H892,DATA_GOC!$E:$E,$C892,DATA_GOC!$F:$F,"Xuất nội bộ từ téc",DATA_GOC!$B:$B,"&gt;="&amp;$D892,DATA_GOC!$B:$B,"&lt;="&amp;$E892))</f>
        <v>0</v>
      </c>
      <c r="J892" s="59">
        <f t="shared" si="28"/>
        <v>0</v>
      </c>
      <c r="K892" s="59">
        <f t="shared" si="29"/>
        <v>0</v>
      </c>
      <c r="L892" s="59">
        <f t="shared" si="30"/>
        <v>0</v>
      </c>
      <c r="M892" s="59">
        <f t="shared" si="31"/>
        <v>0</v>
      </c>
    </row>
    <row r="893" ht="15.0" hidden="1" customHeight="1">
      <c r="A893" s="59">
        <f t="shared" si="20"/>
        <v>12</v>
      </c>
      <c r="B893" s="59" t="str">
        <f t="shared" si="21"/>
        <v>Đã chốt</v>
      </c>
      <c r="C893" s="59" t="str">
        <f t="shared" si="22"/>
        <v>Téc 3</v>
      </c>
      <c r="D893" s="45">
        <f t="shared" si="23"/>
        <v>46111</v>
      </c>
      <c r="E893" s="45">
        <f t="shared" si="24"/>
        <v>46128</v>
      </c>
      <c r="F893" s="133">
        <f t="shared" si="25"/>
        <v>4</v>
      </c>
      <c r="G893" s="133">
        <f t="shared" si="26"/>
        <v>2026</v>
      </c>
      <c r="H893" s="59" t="str">
        <f t="shared" si="27"/>
        <v>19H09482</v>
      </c>
      <c r="I893" s="59">
        <f>IF(OR($A893="",$C893="",$D893="",$E893="",$H893=""),"",SUMIFS(DATA_GOC!$H:$H,DATA_GOC!$A:$A,"BOM",DATA_GOC!$D:$D,$H893,DATA_GOC!$E:$E,$C893,DATA_GOC!$F:$F,"Xuất nội bộ từ téc",DATA_GOC!$B:$B,"&gt;="&amp;$D893,DATA_GOC!$B:$B,"&lt;="&amp;$E893))</f>
        <v>0</v>
      </c>
      <c r="J893" s="59">
        <f t="shared" si="28"/>
        <v>0</v>
      </c>
      <c r="K893" s="59">
        <f t="shared" si="29"/>
        <v>0</v>
      </c>
      <c r="L893" s="59">
        <f t="shared" si="30"/>
        <v>0</v>
      </c>
      <c r="M893" s="59">
        <f t="shared" si="31"/>
        <v>0</v>
      </c>
    </row>
    <row r="894" ht="15.0" hidden="1" customHeight="1">
      <c r="A894" s="59">
        <f t="shared" si="20"/>
        <v>12</v>
      </c>
      <c r="B894" s="59" t="str">
        <f t="shared" si="21"/>
        <v>Đã chốt</v>
      </c>
      <c r="C894" s="59" t="str">
        <f t="shared" si="22"/>
        <v>Téc 3</v>
      </c>
      <c r="D894" s="45">
        <f t="shared" si="23"/>
        <v>46111</v>
      </c>
      <c r="E894" s="45">
        <f t="shared" si="24"/>
        <v>46128</v>
      </c>
      <c r="F894" s="133">
        <f t="shared" si="25"/>
        <v>4</v>
      </c>
      <c r="G894" s="133">
        <f t="shared" si="26"/>
        <v>2026</v>
      </c>
      <c r="H894" s="59" t="str">
        <f t="shared" si="27"/>
        <v>28A30696</v>
      </c>
      <c r="I894" s="59">
        <f>IF(OR($A894="",$C894="",$D894="",$E894="",$H894=""),"",SUMIFS(DATA_GOC!$H:$H,DATA_GOC!$A:$A,"BOM",DATA_GOC!$D:$D,$H894,DATA_GOC!$E:$E,$C894,DATA_GOC!$F:$F,"Xuất nội bộ từ téc",DATA_GOC!$B:$B,"&gt;="&amp;$D894,DATA_GOC!$B:$B,"&lt;="&amp;$E894))</f>
        <v>40</v>
      </c>
      <c r="J894" s="59">
        <f t="shared" si="28"/>
        <v>0.356</v>
      </c>
      <c r="K894" s="59">
        <f t="shared" si="29"/>
        <v>0</v>
      </c>
      <c r="L894" s="59">
        <f t="shared" si="30"/>
        <v>40.356</v>
      </c>
      <c r="M894" s="59">
        <f t="shared" si="31"/>
        <v>0.00254614895</v>
      </c>
    </row>
    <row r="895" ht="15.0" hidden="1" customHeight="1">
      <c r="A895" s="59">
        <f t="shared" si="20"/>
        <v>12</v>
      </c>
      <c r="B895" s="59" t="str">
        <f t="shared" si="21"/>
        <v>Đã chốt</v>
      </c>
      <c r="C895" s="59" t="str">
        <f t="shared" si="22"/>
        <v>Téc 3</v>
      </c>
      <c r="D895" s="45">
        <f t="shared" si="23"/>
        <v>46111</v>
      </c>
      <c r="E895" s="45">
        <f t="shared" si="24"/>
        <v>46128</v>
      </c>
      <c r="F895" s="133">
        <f t="shared" si="25"/>
        <v>4</v>
      </c>
      <c r="G895" s="133">
        <f t="shared" si="26"/>
        <v>2026</v>
      </c>
      <c r="H895" s="59" t="str">
        <f t="shared" si="27"/>
        <v>28C00462</v>
      </c>
      <c r="I895" s="59">
        <f>IF(OR($A895="",$C895="",$D895="",$E895="",$H895=""),"",SUMIFS(DATA_GOC!$H:$H,DATA_GOC!$A:$A,"BOM",DATA_GOC!$D:$D,$H895,DATA_GOC!$E:$E,$C895,DATA_GOC!$F:$F,"Xuất nội bộ từ téc",DATA_GOC!$B:$B,"&gt;="&amp;$D895,DATA_GOC!$B:$B,"&lt;="&amp;$E895))</f>
        <v>129</v>
      </c>
      <c r="J895" s="59">
        <f t="shared" si="28"/>
        <v>1.15</v>
      </c>
      <c r="K895" s="59">
        <f t="shared" si="29"/>
        <v>0</v>
      </c>
      <c r="L895" s="59">
        <f t="shared" si="30"/>
        <v>130.15</v>
      </c>
      <c r="M895" s="59">
        <f t="shared" si="31"/>
        <v>0.008211330363</v>
      </c>
    </row>
    <row r="896" ht="15.0" hidden="1" customHeight="1">
      <c r="A896" s="59">
        <f t="shared" si="20"/>
        <v>12</v>
      </c>
      <c r="B896" s="59" t="str">
        <f t="shared" si="21"/>
        <v>Đã chốt</v>
      </c>
      <c r="C896" s="59" t="str">
        <f t="shared" si="22"/>
        <v>Téc 3</v>
      </c>
      <c r="D896" s="45">
        <f t="shared" si="23"/>
        <v>46111</v>
      </c>
      <c r="E896" s="45">
        <f t="shared" si="24"/>
        <v>46128</v>
      </c>
      <c r="F896" s="133">
        <f t="shared" si="25"/>
        <v>4</v>
      </c>
      <c r="G896" s="133">
        <f t="shared" si="26"/>
        <v>2026</v>
      </c>
      <c r="H896" s="59" t="str">
        <f t="shared" si="27"/>
        <v>28C01165</v>
      </c>
      <c r="I896" s="59">
        <f>IF(OR($A896="",$C896="",$D896="",$E896="",$H896=""),"",SUMIFS(DATA_GOC!$H:$H,DATA_GOC!$A:$A,"BOM",DATA_GOC!$D:$D,$H896,DATA_GOC!$E:$E,$C896,DATA_GOC!$F:$F,"Xuất nội bộ từ téc",DATA_GOC!$B:$B,"&gt;="&amp;$D896,DATA_GOC!$B:$B,"&lt;="&amp;$E896))</f>
        <v>0</v>
      </c>
      <c r="J896" s="59">
        <f t="shared" si="28"/>
        <v>0</v>
      </c>
      <c r="K896" s="59">
        <f t="shared" si="29"/>
        <v>0</v>
      </c>
      <c r="L896" s="59">
        <f t="shared" si="30"/>
        <v>0</v>
      </c>
      <c r="M896" s="59">
        <f t="shared" si="31"/>
        <v>0</v>
      </c>
    </row>
    <row r="897" ht="15.0" hidden="1" customHeight="1">
      <c r="A897" s="59">
        <f t="shared" si="20"/>
        <v>12</v>
      </c>
      <c r="B897" s="59" t="str">
        <f t="shared" si="21"/>
        <v>Đã chốt</v>
      </c>
      <c r="C897" s="59" t="str">
        <f t="shared" si="22"/>
        <v>Téc 3</v>
      </c>
      <c r="D897" s="45">
        <f t="shared" si="23"/>
        <v>46111</v>
      </c>
      <c r="E897" s="45">
        <f t="shared" si="24"/>
        <v>46128</v>
      </c>
      <c r="F897" s="133">
        <f t="shared" si="25"/>
        <v>4</v>
      </c>
      <c r="G897" s="133">
        <f t="shared" si="26"/>
        <v>2026</v>
      </c>
      <c r="H897" s="59" t="str">
        <f t="shared" si="27"/>
        <v>28C01406</v>
      </c>
      <c r="I897" s="59">
        <f>IF(OR($A897="",$C897="",$D897="",$E897="",$H897=""),"",SUMIFS(DATA_GOC!$H:$H,DATA_GOC!$A:$A,"BOM",DATA_GOC!$D:$D,$H897,DATA_GOC!$E:$E,$C897,DATA_GOC!$F:$F,"Xuất nội bộ từ téc",DATA_GOC!$B:$B,"&gt;="&amp;$D897,DATA_GOC!$B:$B,"&lt;="&amp;$E897))</f>
        <v>852</v>
      </c>
      <c r="J897" s="59">
        <f t="shared" si="28"/>
        <v>7.593</v>
      </c>
      <c r="K897" s="59">
        <f t="shared" si="29"/>
        <v>0</v>
      </c>
      <c r="L897" s="59">
        <f t="shared" si="30"/>
        <v>859.593</v>
      </c>
      <c r="M897" s="59">
        <f t="shared" si="31"/>
        <v>0.05423297263</v>
      </c>
    </row>
    <row r="898" ht="15.0" hidden="1" customHeight="1">
      <c r="A898" s="59">
        <f t="shared" si="20"/>
        <v>12</v>
      </c>
      <c r="B898" s="59" t="str">
        <f t="shared" si="21"/>
        <v>Đã chốt</v>
      </c>
      <c r="C898" s="59" t="str">
        <f t="shared" si="22"/>
        <v>Téc 3</v>
      </c>
      <c r="D898" s="45">
        <f t="shared" si="23"/>
        <v>46111</v>
      </c>
      <c r="E898" s="45">
        <f t="shared" si="24"/>
        <v>46128</v>
      </c>
      <c r="F898" s="133">
        <f t="shared" si="25"/>
        <v>4</v>
      </c>
      <c r="G898" s="133">
        <f t="shared" si="26"/>
        <v>2026</v>
      </c>
      <c r="H898" s="59" t="str">
        <f t="shared" si="27"/>
        <v>28C01544</v>
      </c>
      <c r="I898" s="59">
        <f>IF(OR($A898="",$C898="",$D898="",$E898="",$H898=""),"",SUMIFS(DATA_GOC!$H:$H,DATA_GOC!$A:$A,"BOM",DATA_GOC!$D:$D,$H898,DATA_GOC!$E:$E,$C898,DATA_GOC!$F:$F,"Xuất nội bộ từ téc",DATA_GOC!$B:$B,"&gt;="&amp;$D898,DATA_GOC!$B:$B,"&lt;="&amp;$E898))</f>
        <v>0</v>
      </c>
      <c r="J898" s="59">
        <f t="shared" si="28"/>
        <v>0</v>
      </c>
      <c r="K898" s="59">
        <f t="shared" si="29"/>
        <v>0</v>
      </c>
      <c r="L898" s="59">
        <f t="shared" si="30"/>
        <v>0</v>
      </c>
      <c r="M898" s="59">
        <f t="shared" si="31"/>
        <v>0</v>
      </c>
    </row>
    <row r="899" ht="15.0" hidden="1" customHeight="1">
      <c r="A899" s="59">
        <f t="shared" si="20"/>
        <v>12</v>
      </c>
      <c r="B899" s="59" t="str">
        <f t="shared" si="21"/>
        <v>Đã chốt</v>
      </c>
      <c r="C899" s="59" t="str">
        <f t="shared" si="22"/>
        <v>Téc 3</v>
      </c>
      <c r="D899" s="45">
        <f t="shared" si="23"/>
        <v>46111</v>
      </c>
      <c r="E899" s="45">
        <f t="shared" si="24"/>
        <v>46128</v>
      </c>
      <c r="F899" s="133">
        <f t="shared" si="25"/>
        <v>4</v>
      </c>
      <c r="G899" s="133">
        <f t="shared" si="26"/>
        <v>2026</v>
      </c>
      <c r="H899" s="59" t="str">
        <f t="shared" si="27"/>
        <v>28C01622</v>
      </c>
      <c r="I899" s="59">
        <f>IF(OR($A899="",$C899="",$D899="",$E899="",$H899=""),"",SUMIFS(DATA_GOC!$H:$H,DATA_GOC!$A:$A,"BOM",DATA_GOC!$D:$D,$H899,DATA_GOC!$E:$E,$C899,DATA_GOC!$F:$F,"Xuất nội bộ từ téc",DATA_GOC!$B:$B,"&gt;="&amp;$D899,DATA_GOC!$B:$B,"&lt;="&amp;$E899))</f>
        <v>730</v>
      </c>
      <c r="J899" s="59">
        <f t="shared" si="28"/>
        <v>6.505</v>
      </c>
      <c r="K899" s="59">
        <f t="shared" si="29"/>
        <v>0</v>
      </c>
      <c r="L899" s="59">
        <f t="shared" si="30"/>
        <v>736.505</v>
      </c>
      <c r="M899" s="59">
        <f t="shared" si="31"/>
        <v>0.04646721833</v>
      </c>
    </row>
    <row r="900" ht="15.0" hidden="1" customHeight="1">
      <c r="A900" s="59">
        <f t="shared" si="20"/>
        <v>12</v>
      </c>
      <c r="B900" s="59" t="str">
        <f t="shared" si="21"/>
        <v>Đã chốt</v>
      </c>
      <c r="C900" s="59" t="str">
        <f t="shared" si="22"/>
        <v>Téc 3</v>
      </c>
      <c r="D900" s="45">
        <f t="shared" si="23"/>
        <v>46111</v>
      </c>
      <c r="E900" s="45">
        <f t="shared" si="24"/>
        <v>46128</v>
      </c>
      <c r="F900" s="133">
        <f t="shared" si="25"/>
        <v>4</v>
      </c>
      <c r="G900" s="133">
        <f t="shared" si="26"/>
        <v>2026</v>
      </c>
      <c r="H900" s="59" t="str">
        <f t="shared" si="27"/>
        <v>28C01647</v>
      </c>
      <c r="I900" s="59">
        <f>IF(OR($A900="",$C900="",$D900="",$E900="",$H900=""),"",SUMIFS(DATA_GOC!$H:$H,DATA_GOC!$A:$A,"BOM",DATA_GOC!$D:$D,$H900,DATA_GOC!$E:$E,$C900,DATA_GOC!$F:$F,"Xuất nội bộ từ téc",DATA_GOC!$B:$B,"&gt;="&amp;$D900,DATA_GOC!$B:$B,"&lt;="&amp;$E900))</f>
        <v>793</v>
      </c>
      <c r="J900" s="59">
        <f t="shared" si="28"/>
        <v>7.067</v>
      </c>
      <c r="K900" s="59">
        <f t="shared" si="29"/>
        <v>0</v>
      </c>
      <c r="L900" s="59">
        <f t="shared" si="30"/>
        <v>800.067</v>
      </c>
      <c r="M900" s="59">
        <f t="shared" si="31"/>
        <v>0.05047740293</v>
      </c>
    </row>
    <row r="901" ht="15.0" hidden="1" customHeight="1">
      <c r="A901" s="59">
        <f t="shared" si="20"/>
        <v>12</v>
      </c>
      <c r="B901" s="59" t="str">
        <f t="shared" si="21"/>
        <v>Đã chốt</v>
      </c>
      <c r="C901" s="59" t="str">
        <f t="shared" si="22"/>
        <v>Téc 3</v>
      </c>
      <c r="D901" s="45">
        <f t="shared" si="23"/>
        <v>46111</v>
      </c>
      <c r="E901" s="45">
        <f t="shared" si="24"/>
        <v>46128</v>
      </c>
      <c r="F901" s="133">
        <f t="shared" si="25"/>
        <v>4</v>
      </c>
      <c r="G901" s="133">
        <f t="shared" si="26"/>
        <v>2026</v>
      </c>
      <c r="H901" s="59" t="str">
        <f t="shared" si="27"/>
        <v>28C01731</v>
      </c>
      <c r="I901" s="59">
        <f>IF(OR($A901="",$C901="",$D901="",$E901="",$H901=""),"",SUMIFS(DATA_GOC!$H:$H,DATA_GOC!$A:$A,"BOM",DATA_GOC!$D:$D,$H901,DATA_GOC!$E:$E,$C901,DATA_GOC!$F:$F,"Xuất nội bộ từ téc",DATA_GOC!$B:$B,"&gt;="&amp;$D901,DATA_GOC!$B:$B,"&lt;="&amp;$E901))</f>
        <v>223</v>
      </c>
      <c r="J901" s="59">
        <f t="shared" si="28"/>
        <v>1.987</v>
      </c>
      <c r="K901" s="59">
        <f t="shared" si="29"/>
        <v>0</v>
      </c>
      <c r="L901" s="59">
        <f t="shared" si="30"/>
        <v>224.987</v>
      </c>
      <c r="M901" s="59">
        <f t="shared" si="31"/>
        <v>0.01419478039</v>
      </c>
    </row>
    <row r="902" ht="15.0" hidden="1" customHeight="1">
      <c r="A902" s="59">
        <f t="shared" si="20"/>
        <v>12</v>
      </c>
      <c r="B902" s="59" t="str">
        <f t="shared" si="21"/>
        <v>Đã chốt</v>
      </c>
      <c r="C902" s="59" t="str">
        <f t="shared" si="22"/>
        <v>Téc 3</v>
      </c>
      <c r="D902" s="45">
        <f t="shared" si="23"/>
        <v>46111</v>
      </c>
      <c r="E902" s="45">
        <f t="shared" si="24"/>
        <v>46128</v>
      </c>
      <c r="F902" s="133">
        <f t="shared" si="25"/>
        <v>4</v>
      </c>
      <c r="G902" s="133">
        <f t="shared" si="26"/>
        <v>2026</v>
      </c>
      <c r="H902" s="59" t="str">
        <f t="shared" si="27"/>
        <v>28C01743</v>
      </c>
      <c r="I902" s="59">
        <f>IF(OR($A902="",$C902="",$D902="",$E902="",$H902=""),"",SUMIFS(DATA_GOC!$H:$H,DATA_GOC!$A:$A,"BOM",DATA_GOC!$D:$D,$H902,DATA_GOC!$E:$E,$C902,DATA_GOC!$F:$F,"Xuất nội bộ từ téc",DATA_GOC!$B:$B,"&gt;="&amp;$D902,DATA_GOC!$B:$B,"&lt;="&amp;$E902))</f>
        <v>130</v>
      </c>
      <c r="J902" s="59">
        <f t="shared" si="28"/>
        <v>1.158</v>
      </c>
      <c r="K902" s="59">
        <f t="shared" si="29"/>
        <v>0</v>
      </c>
      <c r="L902" s="59">
        <f t="shared" si="30"/>
        <v>131.158</v>
      </c>
      <c r="M902" s="59">
        <f t="shared" si="31"/>
        <v>0.008274984087</v>
      </c>
    </row>
    <row r="903" ht="15.0" hidden="1" customHeight="1">
      <c r="A903" s="59">
        <f t="shared" si="20"/>
        <v>12</v>
      </c>
      <c r="B903" s="59" t="str">
        <f t="shared" si="21"/>
        <v>Đã chốt</v>
      </c>
      <c r="C903" s="59" t="str">
        <f t="shared" si="22"/>
        <v>Téc 3</v>
      </c>
      <c r="D903" s="45">
        <f t="shared" si="23"/>
        <v>46111</v>
      </c>
      <c r="E903" s="45">
        <f t="shared" si="24"/>
        <v>46128</v>
      </c>
      <c r="F903" s="133">
        <f t="shared" si="25"/>
        <v>4</v>
      </c>
      <c r="G903" s="133">
        <f t="shared" si="26"/>
        <v>2026</v>
      </c>
      <c r="H903" s="59" t="str">
        <f t="shared" si="27"/>
        <v>28C02106</v>
      </c>
      <c r="I903" s="59">
        <f>IF(OR($A903="",$C903="",$D903="",$E903="",$H903=""),"",SUMIFS(DATA_GOC!$H:$H,DATA_GOC!$A:$A,"BOM",DATA_GOC!$D:$D,$H903,DATA_GOC!$E:$E,$C903,DATA_GOC!$F:$F,"Xuất nội bộ từ téc",DATA_GOC!$B:$B,"&gt;="&amp;$D903,DATA_GOC!$B:$B,"&lt;="&amp;$E903))</f>
        <v>0</v>
      </c>
      <c r="J903" s="59">
        <f t="shared" si="28"/>
        <v>0</v>
      </c>
      <c r="K903" s="59">
        <f t="shared" si="29"/>
        <v>0</v>
      </c>
      <c r="L903" s="59">
        <f t="shared" si="30"/>
        <v>0</v>
      </c>
      <c r="M903" s="59">
        <f t="shared" si="31"/>
        <v>0</v>
      </c>
    </row>
    <row r="904" ht="15.0" hidden="1" customHeight="1">
      <c r="A904" s="59">
        <f t="shared" si="20"/>
        <v>12</v>
      </c>
      <c r="B904" s="59" t="str">
        <f t="shared" si="21"/>
        <v>Đã chốt</v>
      </c>
      <c r="C904" s="59" t="str">
        <f t="shared" si="22"/>
        <v>Téc 3</v>
      </c>
      <c r="D904" s="45">
        <f t="shared" si="23"/>
        <v>46111</v>
      </c>
      <c r="E904" s="45">
        <f t="shared" si="24"/>
        <v>46128</v>
      </c>
      <c r="F904" s="133">
        <f t="shared" si="25"/>
        <v>4</v>
      </c>
      <c r="G904" s="133">
        <f t="shared" si="26"/>
        <v>2026</v>
      </c>
      <c r="H904" s="59" t="str">
        <f t="shared" si="27"/>
        <v>28C02410</v>
      </c>
      <c r="I904" s="59">
        <f>IF(OR($A904="",$C904="",$D904="",$E904="",$H904=""),"",SUMIFS(DATA_GOC!$H:$H,DATA_GOC!$A:$A,"BOM",DATA_GOC!$D:$D,$H904,DATA_GOC!$E:$E,$C904,DATA_GOC!$F:$F,"Xuất nội bộ từ téc",DATA_GOC!$B:$B,"&gt;="&amp;$D904,DATA_GOC!$B:$B,"&lt;="&amp;$E904))</f>
        <v>280</v>
      </c>
      <c r="J904" s="59">
        <f t="shared" si="28"/>
        <v>2.495</v>
      </c>
      <c r="K904" s="59">
        <f t="shared" si="29"/>
        <v>0</v>
      </c>
      <c r="L904" s="59">
        <f t="shared" si="30"/>
        <v>282.495</v>
      </c>
      <c r="M904" s="59">
        <f t="shared" si="31"/>
        <v>0.01782304265</v>
      </c>
    </row>
    <row r="905" ht="15.0" hidden="1" customHeight="1">
      <c r="A905" s="59">
        <f t="shared" si="20"/>
        <v>12</v>
      </c>
      <c r="B905" s="59" t="str">
        <f t="shared" si="21"/>
        <v>Đã chốt</v>
      </c>
      <c r="C905" s="59" t="str">
        <f t="shared" si="22"/>
        <v>Téc 3</v>
      </c>
      <c r="D905" s="45">
        <f t="shared" si="23"/>
        <v>46111</v>
      </c>
      <c r="E905" s="45">
        <f t="shared" si="24"/>
        <v>46128</v>
      </c>
      <c r="F905" s="133">
        <f t="shared" si="25"/>
        <v>4</v>
      </c>
      <c r="G905" s="133">
        <f t="shared" si="26"/>
        <v>2026</v>
      </c>
      <c r="H905" s="59" t="str">
        <f t="shared" si="27"/>
        <v>28C02545</v>
      </c>
      <c r="I905" s="59">
        <f>IF(OR($A905="",$C905="",$D905="",$E905="",$H905=""),"",SUMIFS(DATA_GOC!$H:$H,DATA_GOC!$A:$A,"BOM",DATA_GOC!$D:$D,$H905,DATA_GOC!$E:$E,$C905,DATA_GOC!$F:$F,"Xuất nội bộ từ téc",DATA_GOC!$B:$B,"&gt;="&amp;$D905,DATA_GOC!$B:$B,"&lt;="&amp;$E905))</f>
        <v>170</v>
      </c>
      <c r="J905" s="59">
        <f t="shared" si="28"/>
        <v>1.515</v>
      </c>
      <c r="K905" s="59">
        <f t="shared" si="29"/>
        <v>0</v>
      </c>
      <c r="L905" s="59">
        <f t="shared" si="30"/>
        <v>171.515</v>
      </c>
      <c r="M905" s="59">
        <f t="shared" si="31"/>
        <v>0.01082113304</v>
      </c>
    </row>
    <row r="906" ht="15.0" hidden="1" customHeight="1">
      <c r="A906" s="59">
        <f t="shared" si="20"/>
        <v>12</v>
      </c>
      <c r="B906" s="59" t="str">
        <f t="shared" si="21"/>
        <v>Đã chốt</v>
      </c>
      <c r="C906" s="59" t="str">
        <f t="shared" si="22"/>
        <v>Téc 3</v>
      </c>
      <c r="D906" s="45">
        <f t="shared" si="23"/>
        <v>46111</v>
      </c>
      <c r="E906" s="45">
        <f t="shared" si="24"/>
        <v>46128</v>
      </c>
      <c r="F906" s="133">
        <f t="shared" si="25"/>
        <v>4</v>
      </c>
      <c r="G906" s="133">
        <f t="shared" si="26"/>
        <v>2026</v>
      </c>
      <c r="H906" s="59" t="str">
        <f t="shared" si="27"/>
        <v>28C02574</v>
      </c>
      <c r="I906" s="59">
        <f>IF(OR($A906="",$C906="",$D906="",$E906="",$H906=""),"",SUMIFS(DATA_GOC!$H:$H,DATA_GOC!$A:$A,"BOM",DATA_GOC!$D:$D,$H906,DATA_GOC!$E:$E,$C906,DATA_GOC!$F:$F,"Xuất nội bộ từ téc",DATA_GOC!$B:$B,"&gt;="&amp;$D906,DATA_GOC!$B:$B,"&lt;="&amp;$E906))</f>
        <v>433</v>
      </c>
      <c r="J906" s="59">
        <f t="shared" si="28"/>
        <v>3.859</v>
      </c>
      <c r="K906" s="59">
        <f t="shared" si="29"/>
        <v>0</v>
      </c>
      <c r="L906" s="59">
        <f t="shared" si="30"/>
        <v>436.859</v>
      </c>
      <c r="M906" s="59">
        <f t="shared" si="31"/>
        <v>0.02756206238</v>
      </c>
    </row>
    <row r="907" ht="15.0" hidden="1" customHeight="1">
      <c r="A907" s="59">
        <f t="shared" si="20"/>
        <v>12</v>
      </c>
      <c r="B907" s="59" t="str">
        <f t="shared" si="21"/>
        <v>Đã chốt</v>
      </c>
      <c r="C907" s="59" t="str">
        <f t="shared" si="22"/>
        <v>Téc 3</v>
      </c>
      <c r="D907" s="45">
        <f t="shared" si="23"/>
        <v>46111</v>
      </c>
      <c r="E907" s="45">
        <f t="shared" si="24"/>
        <v>46128</v>
      </c>
      <c r="F907" s="133">
        <f t="shared" si="25"/>
        <v>4</v>
      </c>
      <c r="G907" s="133">
        <f t="shared" si="26"/>
        <v>2026</v>
      </c>
      <c r="H907" s="59" t="str">
        <f t="shared" si="27"/>
        <v>28C02770</v>
      </c>
      <c r="I907" s="59">
        <f>IF(OR($A907="",$C907="",$D907="",$E907="",$H907=""),"",SUMIFS(DATA_GOC!$H:$H,DATA_GOC!$A:$A,"BOM",DATA_GOC!$D:$D,$H907,DATA_GOC!$E:$E,$C907,DATA_GOC!$F:$F,"Xuất nội bộ từ téc",DATA_GOC!$B:$B,"&gt;="&amp;$D907,DATA_GOC!$B:$B,"&lt;="&amp;$E907))</f>
        <v>188</v>
      </c>
      <c r="J907" s="59">
        <f t="shared" si="28"/>
        <v>1.675</v>
      </c>
      <c r="K907" s="59">
        <f t="shared" si="29"/>
        <v>0</v>
      </c>
      <c r="L907" s="59">
        <f t="shared" si="30"/>
        <v>189.675</v>
      </c>
      <c r="M907" s="59">
        <f t="shared" si="31"/>
        <v>0.01196690006</v>
      </c>
    </row>
    <row r="908" ht="15.0" hidden="1" customHeight="1">
      <c r="A908" s="59">
        <f t="shared" si="20"/>
        <v>12</v>
      </c>
      <c r="B908" s="59" t="str">
        <f t="shared" si="21"/>
        <v>Đã chốt</v>
      </c>
      <c r="C908" s="59" t="str">
        <f t="shared" si="22"/>
        <v>Téc 3</v>
      </c>
      <c r="D908" s="45">
        <f t="shared" si="23"/>
        <v>46111</v>
      </c>
      <c r="E908" s="45">
        <f t="shared" si="24"/>
        <v>46128</v>
      </c>
      <c r="F908" s="133">
        <f t="shared" si="25"/>
        <v>4</v>
      </c>
      <c r="G908" s="133">
        <f t="shared" si="26"/>
        <v>2026</v>
      </c>
      <c r="H908" s="59" t="str">
        <f t="shared" si="27"/>
        <v>28C02986</v>
      </c>
      <c r="I908" s="59">
        <f>IF(OR($A908="",$C908="",$D908="",$E908="",$H908=""),"",SUMIFS(DATA_GOC!$H:$H,DATA_GOC!$A:$A,"BOM",DATA_GOC!$D:$D,$H908,DATA_GOC!$E:$E,$C908,DATA_GOC!$F:$F,"Xuất nội bộ từ téc",DATA_GOC!$B:$B,"&gt;="&amp;$D908,DATA_GOC!$B:$B,"&lt;="&amp;$E908))</f>
        <v>1084</v>
      </c>
      <c r="J908" s="59">
        <f t="shared" si="28"/>
        <v>9.66</v>
      </c>
      <c r="K908" s="59">
        <f t="shared" si="29"/>
        <v>0</v>
      </c>
      <c r="L908" s="59">
        <f t="shared" si="30"/>
        <v>1093.66</v>
      </c>
      <c r="M908" s="59">
        <f t="shared" si="31"/>
        <v>0.06900063654</v>
      </c>
    </row>
    <row r="909" ht="15.0" hidden="1" customHeight="1">
      <c r="A909" s="59">
        <f t="shared" si="20"/>
        <v>12</v>
      </c>
      <c r="B909" s="59" t="str">
        <f t="shared" si="21"/>
        <v>Đã chốt</v>
      </c>
      <c r="C909" s="59" t="str">
        <f t="shared" si="22"/>
        <v>Téc 3</v>
      </c>
      <c r="D909" s="45">
        <f t="shared" si="23"/>
        <v>46111</v>
      </c>
      <c r="E909" s="45">
        <f t="shared" si="24"/>
        <v>46128</v>
      </c>
      <c r="F909" s="133">
        <f t="shared" si="25"/>
        <v>4</v>
      </c>
      <c r="G909" s="133">
        <f t="shared" si="26"/>
        <v>2026</v>
      </c>
      <c r="H909" s="59" t="str">
        <f t="shared" si="27"/>
        <v>28C03261</v>
      </c>
      <c r="I909" s="59">
        <f>IF(OR($A909="",$C909="",$D909="",$E909="",$H909=""),"",SUMIFS(DATA_GOC!$H:$H,DATA_GOC!$A:$A,"BOM",DATA_GOC!$D:$D,$H909,DATA_GOC!$E:$E,$C909,DATA_GOC!$F:$F,"Xuất nội bộ từ téc",DATA_GOC!$B:$B,"&gt;="&amp;$D909,DATA_GOC!$B:$B,"&lt;="&amp;$E909))</f>
        <v>465</v>
      </c>
      <c r="J909" s="59">
        <f t="shared" si="28"/>
        <v>4.144</v>
      </c>
      <c r="K909" s="59">
        <f t="shared" si="29"/>
        <v>0</v>
      </c>
      <c r="L909" s="59">
        <f t="shared" si="30"/>
        <v>469.144</v>
      </c>
      <c r="M909" s="59">
        <f t="shared" si="31"/>
        <v>0.02959898154</v>
      </c>
    </row>
    <row r="910" ht="15.0" hidden="1" customHeight="1">
      <c r="A910" s="59">
        <f t="shared" si="20"/>
        <v>12</v>
      </c>
      <c r="B910" s="59" t="str">
        <f t="shared" si="21"/>
        <v>Đã chốt</v>
      </c>
      <c r="C910" s="59" t="str">
        <f t="shared" si="22"/>
        <v>Téc 3</v>
      </c>
      <c r="D910" s="45">
        <f t="shared" si="23"/>
        <v>46111</v>
      </c>
      <c r="E910" s="45">
        <f t="shared" si="24"/>
        <v>46128</v>
      </c>
      <c r="F910" s="133">
        <f t="shared" si="25"/>
        <v>4</v>
      </c>
      <c r="G910" s="133">
        <f t="shared" si="26"/>
        <v>2026</v>
      </c>
      <c r="H910" s="59" t="str">
        <f t="shared" si="27"/>
        <v>28C03323</v>
      </c>
      <c r="I910" s="59">
        <f>IF(OR($A910="",$C910="",$D910="",$E910="",$H910=""),"",SUMIFS(DATA_GOC!$H:$H,DATA_GOC!$A:$A,"BOM",DATA_GOC!$D:$D,$H910,DATA_GOC!$E:$E,$C910,DATA_GOC!$F:$F,"Xuất nội bộ từ téc",DATA_GOC!$B:$B,"&gt;="&amp;$D910,DATA_GOC!$B:$B,"&lt;="&amp;$E910))</f>
        <v>430</v>
      </c>
      <c r="J910" s="59">
        <f t="shared" si="28"/>
        <v>3.832</v>
      </c>
      <c r="K910" s="59">
        <f t="shared" si="29"/>
        <v>0</v>
      </c>
      <c r="L910" s="59">
        <f t="shared" si="30"/>
        <v>433.832</v>
      </c>
      <c r="M910" s="59">
        <f t="shared" si="31"/>
        <v>0.02737110121</v>
      </c>
    </row>
    <row r="911" ht="15.0" hidden="1" customHeight="1">
      <c r="A911" s="59">
        <f t="shared" si="20"/>
        <v>12</v>
      </c>
      <c r="B911" s="59" t="str">
        <f t="shared" si="21"/>
        <v>Đã chốt</v>
      </c>
      <c r="C911" s="59" t="str">
        <f t="shared" si="22"/>
        <v>Téc 3</v>
      </c>
      <c r="D911" s="45">
        <f t="shared" si="23"/>
        <v>46111</v>
      </c>
      <c r="E911" s="45">
        <f t="shared" si="24"/>
        <v>46128</v>
      </c>
      <c r="F911" s="133">
        <f t="shared" si="25"/>
        <v>4</v>
      </c>
      <c r="G911" s="133">
        <f t="shared" si="26"/>
        <v>2026</v>
      </c>
      <c r="H911" s="59" t="str">
        <f t="shared" si="27"/>
        <v>28C03385</v>
      </c>
      <c r="I911" s="59">
        <f>IF(OR($A911="",$C911="",$D911="",$E911="",$H911=""),"",SUMIFS(DATA_GOC!$H:$H,DATA_GOC!$A:$A,"BOM",DATA_GOC!$D:$D,$H911,DATA_GOC!$E:$E,$C911,DATA_GOC!$F:$F,"Xuất nội bộ từ téc",DATA_GOC!$B:$B,"&gt;="&amp;$D911,DATA_GOC!$B:$B,"&lt;="&amp;$E911))</f>
        <v>265</v>
      </c>
      <c r="J911" s="59">
        <f t="shared" si="28"/>
        <v>2.362</v>
      </c>
      <c r="K911" s="59">
        <f t="shared" si="29"/>
        <v>0</v>
      </c>
      <c r="L911" s="59">
        <f t="shared" si="30"/>
        <v>267.362</v>
      </c>
      <c r="M911" s="59">
        <f t="shared" si="31"/>
        <v>0.01686823679</v>
      </c>
    </row>
    <row r="912" ht="15.0" hidden="1" customHeight="1">
      <c r="A912" s="59">
        <f t="shared" si="20"/>
        <v>12</v>
      </c>
      <c r="B912" s="59" t="str">
        <f t="shared" si="21"/>
        <v>Đã chốt</v>
      </c>
      <c r="C912" s="59" t="str">
        <f t="shared" si="22"/>
        <v>Téc 3</v>
      </c>
      <c r="D912" s="45">
        <f t="shared" si="23"/>
        <v>46111</v>
      </c>
      <c r="E912" s="45">
        <f t="shared" si="24"/>
        <v>46128</v>
      </c>
      <c r="F912" s="133">
        <f t="shared" si="25"/>
        <v>4</v>
      </c>
      <c r="G912" s="133">
        <f t="shared" si="26"/>
        <v>2026</v>
      </c>
      <c r="H912" s="59" t="str">
        <f t="shared" si="27"/>
        <v>28C03652</v>
      </c>
      <c r="I912" s="59">
        <f>IF(OR($A912="",$C912="",$D912="",$E912="",$H912=""),"",SUMIFS(DATA_GOC!$H:$H,DATA_GOC!$A:$A,"BOM",DATA_GOC!$D:$D,$H912,DATA_GOC!$E:$E,$C912,DATA_GOC!$F:$F,"Xuất nội bộ từ téc",DATA_GOC!$B:$B,"&gt;="&amp;$D912,DATA_GOC!$B:$B,"&lt;="&amp;$E912))</f>
        <v>430</v>
      </c>
      <c r="J912" s="59">
        <f t="shared" si="28"/>
        <v>3.832</v>
      </c>
      <c r="K912" s="59">
        <f t="shared" si="29"/>
        <v>0</v>
      </c>
      <c r="L912" s="59">
        <f t="shared" si="30"/>
        <v>433.832</v>
      </c>
      <c r="M912" s="59">
        <f t="shared" si="31"/>
        <v>0.02737110121</v>
      </c>
    </row>
    <row r="913" ht="15.0" hidden="1" customHeight="1">
      <c r="A913" s="59">
        <f t="shared" si="20"/>
        <v>12</v>
      </c>
      <c r="B913" s="59" t="str">
        <f t="shared" si="21"/>
        <v>Đã chốt</v>
      </c>
      <c r="C913" s="59" t="str">
        <f t="shared" si="22"/>
        <v>Téc 3</v>
      </c>
      <c r="D913" s="45">
        <f t="shared" si="23"/>
        <v>46111</v>
      </c>
      <c r="E913" s="45">
        <f t="shared" si="24"/>
        <v>46128</v>
      </c>
      <c r="F913" s="133">
        <f t="shared" si="25"/>
        <v>4</v>
      </c>
      <c r="G913" s="133">
        <f t="shared" si="26"/>
        <v>2026</v>
      </c>
      <c r="H913" s="59" t="str">
        <f t="shared" si="27"/>
        <v>28C03695</v>
      </c>
      <c r="I913" s="59">
        <f>IF(OR($A913="",$C913="",$D913="",$E913="",$H913=""),"",SUMIFS(DATA_GOC!$H:$H,DATA_GOC!$A:$A,"BOM",DATA_GOC!$D:$D,$H913,DATA_GOC!$E:$E,$C913,DATA_GOC!$F:$F,"Xuất nội bộ từ téc",DATA_GOC!$B:$B,"&gt;="&amp;$D913,DATA_GOC!$B:$B,"&lt;="&amp;$E913))</f>
        <v>0</v>
      </c>
      <c r="J913" s="59">
        <f t="shared" si="28"/>
        <v>0</v>
      </c>
      <c r="K913" s="59">
        <f t="shared" si="29"/>
        <v>0</v>
      </c>
      <c r="L913" s="59">
        <f t="shared" si="30"/>
        <v>0</v>
      </c>
      <c r="M913" s="59">
        <f t="shared" si="31"/>
        <v>0</v>
      </c>
    </row>
    <row r="914" ht="15.0" hidden="1" customHeight="1">
      <c r="A914" s="59">
        <f t="shared" si="20"/>
        <v>12</v>
      </c>
      <c r="B914" s="59" t="str">
        <f t="shared" si="21"/>
        <v>Đã chốt</v>
      </c>
      <c r="C914" s="59" t="str">
        <f t="shared" si="22"/>
        <v>Téc 3</v>
      </c>
      <c r="D914" s="45">
        <f t="shared" si="23"/>
        <v>46111</v>
      </c>
      <c r="E914" s="45">
        <f t="shared" si="24"/>
        <v>46128</v>
      </c>
      <c r="F914" s="133">
        <f t="shared" si="25"/>
        <v>4</v>
      </c>
      <c r="G914" s="133">
        <f t="shared" si="26"/>
        <v>2026</v>
      </c>
      <c r="H914" s="59" t="str">
        <f t="shared" si="27"/>
        <v>28C03927</v>
      </c>
      <c r="I914" s="59">
        <f>IF(OR($A914="",$C914="",$D914="",$E914="",$H914=""),"",SUMIFS(DATA_GOC!$H:$H,DATA_GOC!$A:$A,"BOM",DATA_GOC!$D:$D,$H914,DATA_GOC!$E:$E,$C914,DATA_GOC!$F:$F,"Xuất nội bộ từ téc",DATA_GOC!$B:$B,"&gt;="&amp;$D914,DATA_GOC!$B:$B,"&lt;="&amp;$E914))</f>
        <v>722</v>
      </c>
      <c r="J914" s="59">
        <f t="shared" si="28"/>
        <v>6.434</v>
      </c>
      <c r="K914" s="59">
        <f t="shared" si="29"/>
        <v>0</v>
      </c>
      <c r="L914" s="59">
        <f t="shared" si="30"/>
        <v>728.434</v>
      </c>
      <c r="M914" s="59">
        <f t="shared" si="31"/>
        <v>0.04595798854</v>
      </c>
    </row>
    <row r="915" ht="15.0" hidden="1" customHeight="1">
      <c r="A915" s="59">
        <f t="shared" si="20"/>
        <v>12</v>
      </c>
      <c r="B915" s="59" t="str">
        <f t="shared" si="21"/>
        <v>Đã chốt</v>
      </c>
      <c r="C915" s="59" t="str">
        <f t="shared" si="22"/>
        <v>Téc 3</v>
      </c>
      <c r="D915" s="45">
        <f t="shared" si="23"/>
        <v>46111</v>
      </c>
      <c r="E915" s="45">
        <f t="shared" si="24"/>
        <v>46128</v>
      </c>
      <c r="F915" s="133">
        <f t="shared" si="25"/>
        <v>4</v>
      </c>
      <c r="G915" s="133">
        <f t="shared" si="26"/>
        <v>2026</v>
      </c>
      <c r="H915" s="59" t="str">
        <f t="shared" si="27"/>
        <v>28C04509</v>
      </c>
      <c r="I915" s="59">
        <f>IF(OR($A915="",$C915="",$D915="",$E915="",$H915=""),"",SUMIFS(DATA_GOC!$H:$H,DATA_GOC!$A:$A,"BOM",DATA_GOC!$D:$D,$H915,DATA_GOC!$E:$E,$C915,DATA_GOC!$F:$F,"Xuất nội bộ từ téc",DATA_GOC!$B:$B,"&gt;="&amp;$D915,DATA_GOC!$B:$B,"&lt;="&amp;$E915))</f>
        <v>60</v>
      </c>
      <c r="J915" s="59">
        <f t="shared" si="28"/>
        <v>0.535</v>
      </c>
      <c r="K915" s="59">
        <f t="shared" si="29"/>
        <v>0</v>
      </c>
      <c r="L915" s="59">
        <f t="shared" si="30"/>
        <v>60.535</v>
      </c>
      <c r="M915" s="59">
        <f t="shared" si="31"/>
        <v>0.003819223425</v>
      </c>
    </row>
    <row r="916" ht="15.0" hidden="1" customHeight="1">
      <c r="A916" s="59">
        <f t="shared" si="20"/>
        <v>12</v>
      </c>
      <c r="B916" s="59" t="str">
        <f t="shared" si="21"/>
        <v>Đã chốt</v>
      </c>
      <c r="C916" s="59" t="str">
        <f t="shared" si="22"/>
        <v>Téc 3</v>
      </c>
      <c r="D916" s="45">
        <f t="shared" si="23"/>
        <v>46111</v>
      </c>
      <c r="E916" s="45">
        <f t="shared" si="24"/>
        <v>46128</v>
      </c>
      <c r="F916" s="133">
        <f t="shared" si="25"/>
        <v>4</v>
      </c>
      <c r="G916" s="133">
        <f t="shared" si="26"/>
        <v>2026</v>
      </c>
      <c r="H916" s="59" t="str">
        <f t="shared" si="27"/>
        <v>28C04536</v>
      </c>
      <c r="I916" s="59">
        <f>IF(OR($A916="",$C916="",$D916="",$E916="",$H916=""),"",SUMIFS(DATA_GOC!$H:$H,DATA_GOC!$A:$A,"BOM",DATA_GOC!$D:$D,$H916,DATA_GOC!$E:$E,$C916,DATA_GOC!$F:$F,"Xuất nội bộ từ téc",DATA_GOC!$B:$B,"&gt;="&amp;$D916,DATA_GOC!$B:$B,"&lt;="&amp;$E916))</f>
        <v>0</v>
      </c>
      <c r="J916" s="59">
        <f t="shared" si="28"/>
        <v>0</v>
      </c>
      <c r="K916" s="59">
        <f t="shared" si="29"/>
        <v>0</v>
      </c>
      <c r="L916" s="59">
        <f t="shared" si="30"/>
        <v>0</v>
      </c>
      <c r="M916" s="59">
        <f t="shared" si="31"/>
        <v>0</v>
      </c>
    </row>
    <row r="917" ht="15.0" hidden="1" customHeight="1">
      <c r="A917" s="59">
        <f t="shared" si="20"/>
        <v>12</v>
      </c>
      <c r="B917" s="59" t="str">
        <f t="shared" si="21"/>
        <v>Đã chốt</v>
      </c>
      <c r="C917" s="59" t="str">
        <f t="shared" si="22"/>
        <v>Téc 3</v>
      </c>
      <c r="D917" s="45">
        <f t="shared" si="23"/>
        <v>46111</v>
      </c>
      <c r="E917" s="45">
        <f t="shared" si="24"/>
        <v>46128</v>
      </c>
      <c r="F917" s="133">
        <f t="shared" si="25"/>
        <v>4</v>
      </c>
      <c r="G917" s="133">
        <f t="shared" si="26"/>
        <v>2026</v>
      </c>
      <c r="H917" s="59" t="str">
        <f t="shared" si="27"/>
        <v>28C04576</v>
      </c>
      <c r="I917" s="59">
        <f>IF(OR($A917="",$C917="",$D917="",$E917="",$H917=""),"",SUMIFS(DATA_GOC!$H:$H,DATA_GOC!$A:$A,"BOM",DATA_GOC!$D:$D,$H917,DATA_GOC!$E:$E,$C917,DATA_GOC!$F:$F,"Xuất nội bộ từ téc",DATA_GOC!$B:$B,"&gt;="&amp;$D917,DATA_GOC!$B:$B,"&lt;="&amp;$E917))</f>
        <v>0</v>
      </c>
      <c r="J917" s="59">
        <f t="shared" si="28"/>
        <v>0</v>
      </c>
      <c r="K917" s="59">
        <f t="shared" si="29"/>
        <v>0</v>
      </c>
      <c r="L917" s="59">
        <f t="shared" si="30"/>
        <v>0</v>
      </c>
      <c r="M917" s="59">
        <f t="shared" si="31"/>
        <v>0</v>
      </c>
    </row>
    <row r="918" ht="15.0" hidden="1" customHeight="1">
      <c r="A918" s="59">
        <f t="shared" si="20"/>
        <v>12</v>
      </c>
      <c r="B918" s="59" t="str">
        <f t="shared" si="21"/>
        <v>Đã chốt</v>
      </c>
      <c r="C918" s="59" t="str">
        <f t="shared" si="22"/>
        <v>Téc 3</v>
      </c>
      <c r="D918" s="45">
        <f t="shared" si="23"/>
        <v>46111</v>
      </c>
      <c r="E918" s="45">
        <f t="shared" si="24"/>
        <v>46128</v>
      </c>
      <c r="F918" s="133">
        <f t="shared" si="25"/>
        <v>4</v>
      </c>
      <c r="G918" s="133">
        <f t="shared" si="26"/>
        <v>2026</v>
      </c>
      <c r="H918" s="59" t="str">
        <f t="shared" si="27"/>
        <v>28C05090</v>
      </c>
      <c r="I918" s="59">
        <f>IF(OR($A918="",$C918="",$D918="",$E918="",$H918=""),"",SUMIFS(DATA_GOC!$H:$H,DATA_GOC!$A:$A,"BOM",DATA_GOC!$D:$D,$H918,DATA_GOC!$E:$E,$C918,DATA_GOC!$F:$F,"Xuất nội bộ từ téc",DATA_GOC!$B:$B,"&gt;="&amp;$D918,DATA_GOC!$B:$B,"&lt;="&amp;$E918))</f>
        <v>0</v>
      </c>
      <c r="J918" s="59">
        <f t="shared" si="28"/>
        <v>0</v>
      </c>
      <c r="K918" s="59">
        <f t="shared" si="29"/>
        <v>0</v>
      </c>
      <c r="L918" s="59">
        <f t="shared" si="30"/>
        <v>0</v>
      </c>
      <c r="M918" s="59">
        <f t="shared" si="31"/>
        <v>0</v>
      </c>
    </row>
    <row r="919" ht="15.0" hidden="1" customHeight="1">
      <c r="A919" s="59">
        <f t="shared" si="20"/>
        <v>12</v>
      </c>
      <c r="B919" s="59" t="str">
        <f t="shared" si="21"/>
        <v>Đã chốt</v>
      </c>
      <c r="C919" s="59" t="str">
        <f t="shared" si="22"/>
        <v>Téc 3</v>
      </c>
      <c r="D919" s="45">
        <f t="shared" si="23"/>
        <v>46111</v>
      </c>
      <c r="E919" s="45">
        <f t="shared" si="24"/>
        <v>46128</v>
      </c>
      <c r="F919" s="133">
        <f t="shared" si="25"/>
        <v>4</v>
      </c>
      <c r="G919" s="133">
        <f t="shared" si="26"/>
        <v>2026</v>
      </c>
      <c r="H919" s="59" t="str">
        <f t="shared" si="27"/>
        <v>28C05345</v>
      </c>
      <c r="I919" s="59">
        <f>IF(OR($A919="",$C919="",$D919="",$E919="",$H919=""),"",SUMIFS(DATA_GOC!$H:$H,DATA_GOC!$A:$A,"BOM",DATA_GOC!$D:$D,$H919,DATA_GOC!$E:$E,$C919,DATA_GOC!$F:$F,"Xuất nội bộ từ téc",DATA_GOC!$B:$B,"&gt;="&amp;$D919,DATA_GOC!$B:$B,"&lt;="&amp;$E919))</f>
        <v>390</v>
      </c>
      <c r="J919" s="59">
        <f t="shared" si="28"/>
        <v>3.475</v>
      </c>
      <c r="K919" s="59">
        <f t="shared" si="29"/>
        <v>0</v>
      </c>
      <c r="L919" s="59">
        <f t="shared" si="30"/>
        <v>393.475</v>
      </c>
      <c r="M919" s="59">
        <f t="shared" si="31"/>
        <v>0.02482495226</v>
      </c>
    </row>
    <row r="920" ht="15.0" hidden="1" customHeight="1">
      <c r="A920" s="59">
        <f t="shared" si="20"/>
        <v>12</v>
      </c>
      <c r="B920" s="59" t="str">
        <f t="shared" si="21"/>
        <v>Đã chốt</v>
      </c>
      <c r="C920" s="59" t="str">
        <f t="shared" si="22"/>
        <v>Téc 3</v>
      </c>
      <c r="D920" s="45">
        <f t="shared" si="23"/>
        <v>46111</v>
      </c>
      <c r="E920" s="45">
        <f t="shared" si="24"/>
        <v>46128</v>
      </c>
      <c r="F920" s="133">
        <f t="shared" si="25"/>
        <v>4</v>
      </c>
      <c r="G920" s="133">
        <f t="shared" si="26"/>
        <v>2026</v>
      </c>
      <c r="H920" s="59" t="str">
        <f t="shared" si="27"/>
        <v>28C05661</v>
      </c>
      <c r="I920" s="59">
        <f>IF(OR($A920="",$C920="",$D920="",$E920="",$H920=""),"",SUMIFS(DATA_GOC!$H:$H,DATA_GOC!$A:$A,"BOM",DATA_GOC!$D:$D,$H920,DATA_GOC!$E:$E,$C920,DATA_GOC!$F:$F,"Xuất nội bộ từ téc",DATA_GOC!$B:$B,"&gt;="&amp;$D920,DATA_GOC!$B:$B,"&lt;="&amp;$E920))</f>
        <v>0</v>
      </c>
      <c r="J920" s="59">
        <f t="shared" si="28"/>
        <v>0</v>
      </c>
      <c r="K920" s="59">
        <f t="shared" si="29"/>
        <v>0</v>
      </c>
      <c r="L920" s="59">
        <f t="shared" si="30"/>
        <v>0</v>
      </c>
      <c r="M920" s="59">
        <f t="shared" si="31"/>
        <v>0</v>
      </c>
    </row>
    <row r="921" ht="15.0" hidden="1" customHeight="1">
      <c r="A921" s="59">
        <f t="shared" si="20"/>
        <v>12</v>
      </c>
      <c r="B921" s="59" t="str">
        <f t="shared" si="21"/>
        <v>Đã chốt</v>
      </c>
      <c r="C921" s="59" t="str">
        <f t="shared" si="22"/>
        <v>Téc 3</v>
      </c>
      <c r="D921" s="45">
        <f t="shared" si="23"/>
        <v>46111</v>
      </c>
      <c r="E921" s="45">
        <f t="shared" si="24"/>
        <v>46128</v>
      </c>
      <c r="F921" s="133">
        <f t="shared" si="25"/>
        <v>4</v>
      </c>
      <c r="G921" s="133">
        <f t="shared" si="26"/>
        <v>2026</v>
      </c>
      <c r="H921" s="59" t="str">
        <f t="shared" si="27"/>
        <v>28C05739</v>
      </c>
      <c r="I921" s="59">
        <f>IF(OR($A921="",$C921="",$D921="",$E921="",$H921=""),"",SUMIFS(DATA_GOC!$H:$H,DATA_GOC!$A:$A,"BOM",DATA_GOC!$D:$D,$H921,DATA_GOC!$E:$E,$C921,DATA_GOC!$F:$F,"Xuất nội bộ từ téc",DATA_GOC!$B:$B,"&gt;="&amp;$D921,DATA_GOC!$B:$B,"&lt;="&amp;$E921))</f>
        <v>258</v>
      </c>
      <c r="J921" s="59">
        <f t="shared" si="28"/>
        <v>2.299</v>
      </c>
      <c r="K921" s="59">
        <f t="shared" si="29"/>
        <v>0</v>
      </c>
      <c r="L921" s="59">
        <f t="shared" si="30"/>
        <v>260.299</v>
      </c>
      <c r="M921" s="59">
        <f t="shared" si="31"/>
        <v>0.01642266073</v>
      </c>
    </row>
    <row r="922" ht="15.0" hidden="1" customHeight="1">
      <c r="A922" s="59">
        <f t="shared" si="20"/>
        <v>12</v>
      </c>
      <c r="B922" s="59" t="str">
        <f t="shared" si="21"/>
        <v>Đã chốt</v>
      </c>
      <c r="C922" s="59" t="str">
        <f t="shared" si="22"/>
        <v>Téc 3</v>
      </c>
      <c r="D922" s="45">
        <f t="shared" si="23"/>
        <v>46111</v>
      </c>
      <c r="E922" s="45">
        <f t="shared" si="24"/>
        <v>46128</v>
      </c>
      <c r="F922" s="133">
        <f t="shared" si="25"/>
        <v>4</v>
      </c>
      <c r="G922" s="133">
        <f t="shared" si="26"/>
        <v>2026</v>
      </c>
      <c r="H922" s="59" t="str">
        <f t="shared" si="27"/>
        <v>28C06369</v>
      </c>
      <c r="I922" s="59">
        <f>IF(OR($A922="",$C922="",$D922="",$E922="",$H922=""),"",SUMIFS(DATA_GOC!$H:$H,DATA_GOC!$A:$A,"BOM",DATA_GOC!$D:$D,$H922,DATA_GOC!$E:$E,$C922,DATA_GOC!$F:$F,"Xuất nội bộ từ téc",DATA_GOC!$B:$B,"&gt;="&amp;$D922,DATA_GOC!$B:$B,"&lt;="&amp;$E922))</f>
        <v>497</v>
      </c>
      <c r="J922" s="59">
        <f t="shared" si="28"/>
        <v>4.429</v>
      </c>
      <c r="K922" s="59">
        <f t="shared" si="29"/>
        <v>0</v>
      </c>
      <c r="L922" s="59">
        <f t="shared" si="30"/>
        <v>501.429</v>
      </c>
      <c r="M922" s="59">
        <f t="shared" si="31"/>
        <v>0.0316359007</v>
      </c>
    </row>
    <row r="923" ht="15.0" hidden="1" customHeight="1">
      <c r="A923" s="59">
        <f t="shared" si="20"/>
        <v>12</v>
      </c>
      <c r="B923" s="59" t="str">
        <f t="shared" si="21"/>
        <v>Đã chốt</v>
      </c>
      <c r="C923" s="59" t="str">
        <f t="shared" si="22"/>
        <v>Téc 3</v>
      </c>
      <c r="D923" s="45">
        <f t="shared" si="23"/>
        <v>46111</v>
      </c>
      <c r="E923" s="45">
        <f t="shared" si="24"/>
        <v>46128</v>
      </c>
      <c r="F923" s="133">
        <f t="shared" si="25"/>
        <v>4</v>
      </c>
      <c r="G923" s="133">
        <f t="shared" si="26"/>
        <v>2026</v>
      </c>
      <c r="H923" s="59" t="str">
        <f t="shared" si="27"/>
        <v>28C06447</v>
      </c>
      <c r="I923" s="59">
        <f>IF(OR($A923="",$C923="",$D923="",$E923="",$H923=""),"",SUMIFS(DATA_GOC!$H:$H,DATA_GOC!$A:$A,"BOM",DATA_GOC!$D:$D,$H923,DATA_GOC!$E:$E,$C923,DATA_GOC!$F:$F,"Xuất nội bộ từ téc",DATA_GOC!$B:$B,"&gt;="&amp;$D923,DATA_GOC!$B:$B,"&lt;="&amp;$E923))</f>
        <v>604</v>
      </c>
      <c r="J923" s="59">
        <f t="shared" si="28"/>
        <v>5.383</v>
      </c>
      <c r="K923" s="59">
        <f t="shared" si="29"/>
        <v>0</v>
      </c>
      <c r="L923" s="59">
        <f t="shared" si="30"/>
        <v>609.383</v>
      </c>
      <c r="M923" s="59">
        <f t="shared" si="31"/>
        <v>0.03844684914</v>
      </c>
    </row>
    <row r="924" ht="15.0" hidden="1" customHeight="1">
      <c r="A924" s="59">
        <f t="shared" si="20"/>
        <v>12</v>
      </c>
      <c r="B924" s="59" t="str">
        <f t="shared" si="21"/>
        <v>Đã chốt</v>
      </c>
      <c r="C924" s="59" t="str">
        <f t="shared" si="22"/>
        <v>Téc 3</v>
      </c>
      <c r="D924" s="45">
        <f t="shared" si="23"/>
        <v>46111</v>
      </c>
      <c r="E924" s="45">
        <f t="shared" si="24"/>
        <v>46128</v>
      </c>
      <c r="F924" s="133">
        <f t="shared" si="25"/>
        <v>4</v>
      </c>
      <c r="G924" s="133">
        <f t="shared" si="26"/>
        <v>2026</v>
      </c>
      <c r="H924" s="59" t="str">
        <f t="shared" si="27"/>
        <v>28H00003</v>
      </c>
      <c r="I924" s="59">
        <f>IF(OR($A924="",$C924="",$D924="",$E924="",$H924=""),"",SUMIFS(DATA_GOC!$H:$H,DATA_GOC!$A:$A,"BOM",DATA_GOC!$D:$D,$H924,DATA_GOC!$E:$E,$C924,DATA_GOC!$F:$F,"Xuất nội bộ từ téc",DATA_GOC!$B:$B,"&gt;="&amp;$D924,DATA_GOC!$B:$B,"&lt;="&amp;$E924))</f>
        <v>820</v>
      </c>
      <c r="J924" s="59">
        <f t="shared" si="28"/>
        <v>7.307</v>
      </c>
      <c r="K924" s="59">
        <f t="shared" si="29"/>
        <v>0</v>
      </c>
      <c r="L924" s="59">
        <f t="shared" si="30"/>
        <v>827.307</v>
      </c>
      <c r="M924" s="59">
        <f t="shared" si="31"/>
        <v>0.05219605347</v>
      </c>
    </row>
    <row r="925" ht="15.0" hidden="1" customHeight="1">
      <c r="A925" s="59">
        <f t="shared" si="20"/>
        <v>12</v>
      </c>
      <c r="B925" s="59" t="str">
        <f t="shared" si="21"/>
        <v>Đã chốt</v>
      </c>
      <c r="C925" s="59" t="str">
        <f t="shared" si="22"/>
        <v>Téc 3</v>
      </c>
      <c r="D925" s="45">
        <f t="shared" si="23"/>
        <v>46111</v>
      </c>
      <c r="E925" s="45">
        <f t="shared" si="24"/>
        <v>46128</v>
      </c>
      <c r="F925" s="133">
        <f t="shared" si="25"/>
        <v>4</v>
      </c>
      <c r="G925" s="133">
        <f t="shared" si="26"/>
        <v>2026</v>
      </c>
      <c r="H925" s="59" t="str">
        <f t="shared" si="27"/>
        <v>28H00061</v>
      </c>
      <c r="I925" s="59">
        <f>IF(OR($A925="",$C925="",$D925="",$E925="",$H925=""),"",SUMIFS(DATA_GOC!$H:$H,DATA_GOC!$A:$A,"BOM",DATA_GOC!$D:$D,$H925,DATA_GOC!$E:$E,$C925,DATA_GOC!$F:$F,"Xuất nội bộ từ téc",DATA_GOC!$B:$B,"&gt;="&amp;$D925,DATA_GOC!$B:$B,"&lt;="&amp;$E925))</f>
        <v>533</v>
      </c>
      <c r="J925" s="59">
        <f t="shared" si="28"/>
        <v>4.75</v>
      </c>
      <c r="K925" s="59">
        <f t="shared" si="29"/>
        <v>0</v>
      </c>
      <c r="L925" s="59">
        <f t="shared" si="30"/>
        <v>537.75</v>
      </c>
      <c r="M925" s="59">
        <f t="shared" si="31"/>
        <v>0.03392743475</v>
      </c>
    </row>
    <row r="926" ht="15.0" hidden="1" customHeight="1">
      <c r="A926" s="59">
        <f t="shared" si="20"/>
        <v>12</v>
      </c>
      <c r="B926" s="59" t="str">
        <f t="shared" si="21"/>
        <v>Đã chốt</v>
      </c>
      <c r="C926" s="59" t="str">
        <f t="shared" si="22"/>
        <v>Téc 3</v>
      </c>
      <c r="D926" s="45">
        <f t="shared" si="23"/>
        <v>46111</v>
      </c>
      <c r="E926" s="45">
        <f t="shared" si="24"/>
        <v>46128</v>
      </c>
      <c r="F926" s="133">
        <f t="shared" si="25"/>
        <v>4</v>
      </c>
      <c r="G926" s="133">
        <f t="shared" si="26"/>
        <v>2026</v>
      </c>
      <c r="H926" s="59" t="str">
        <f t="shared" si="27"/>
        <v>28H00354</v>
      </c>
      <c r="I926" s="59">
        <f>IF(OR($A926="",$C926="",$D926="",$E926="",$H926=""),"",SUMIFS(DATA_GOC!$H:$H,DATA_GOC!$A:$A,"BOM",DATA_GOC!$D:$D,$H926,DATA_GOC!$E:$E,$C926,DATA_GOC!$F:$F,"Xuất nội bộ từ téc",DATA_GOC!$B:$B,"&gt;="&amp;$D926,DATA_GOC!$B:$B,"&lt;="&amp;$E926))</f>
        <v>513</v>
      </c>
      <c r="J926" s="59">
        <f t="shared" si="28"/>
        <v>4.572</v>
      </c>
      <c r="K926" s="59">
        <f t="shared" si="29"/>
        <v>0</v>
      </c>
      <c r="L926" s="59">
        <f t="shared" si="30"/>
        <v>517.572</v>
      </c>
      <c r="M926" s="59">
        <f t="shared" si="31"/>
        <v>0.03265436028</v>
      </c>
    </row>
    <row r="927" ht="15.0" hidden="1" customHeight="1">
      <c r="A927" s="59">
        <f t="shared" si="20"/>
        <v>12</v>
      </c>
      <c r="B927" s="59" t="str">
        <f t="shared" si="21"/>
        <v>Đã chốt</v>
      </c>
      <c r="C927" s="59" t="str">
        <f t="shared" si="22"/>
        <v>Téc 3</v>
      </c>
      <c r="D927" s="45">
        <f t="shared" si="23"/>
        <v>46111</v>
      </c>
      <c r="E927" s="45">
        <f t="shared" si="24"/>
        <v>46128</v>
      </c>
      <c r="F927" s="133">
        <f t="shared" si="25"/>
        <v>4</v>
      </c>
      <c r="G927" s="133">
        <f t="shared" si="26"/>
        <v>2026</v>
      </c>
      <c r="H927" s="59" t="str">
        <f t="shared" si="27"/>
        <v>28H00603</v>
      </c>
      <c r="I927" s="59">
        <f>IF(OR($A927="",$C927="",$D927="",$E927="",$H927=""),"",SUMIFS(DATA_GOC!$H:$H,DATA_GOC!$A:$A,"BOM",DATA_GOC!$D:$D,$H927,DATA_GOC!$E:$E,$C927,DATA_GOC!$F:$F,"Xuất nội bộ từ téc",DATA_GOC!$B:$B,"&gt;="&amp;$D927,DATA_GOC!$B:$B,"&lt;="&amp;$E927))</f>
        <v>435</v>
      </c>
      <c r="J927" s="59">
        <f t="shared" si="28"/>
        <v>3.877</v>
      </c>
      <c r="K927" s="59">
        <f t="shared" si="29"/>
        <v>0</v>
      </c>
      <c r="L927" s="59">
        <f t="shared" si="30"/>
        <v>438.877</v>
      </c>
      <c r="M927" s="59">
        <f t="shared" si="31"/>
        <v>0.02768936983</v>
      </c>
    </row>
    <row r="928" ht="15.0" hidden="1" customHeight="1">
      <c r="A928" s="59">
        <f t="shared" si="20"/>
        <v>12</v>
      </c>
      <c r="B928" s="59" t="str">
        <f t="shared" si="21"/>
        <v>Đã chốt</v>
      </c>
      <c r="C928" s="59" t="str">
        <f t="shared" si="22"/>
        <v>Téc 3</v>
      </c>
      <c r="D928" s="45">
        <f t="shared" si="23"/>
        <v>46111</v>
      </c>
      <c r="E928" s="45">
        <f t="shared" si="24"/>
        <v>46128</v>
      </c>
      <c r="F928" s="133">
        <f t="shared" si="25"/>
        <v>4</v>
      </c>
      <c r="G928" s="133">
        <f t="shared" si="26"/>
        <v>2026</v>
      </c>
      <c r="H928" s="59" t="str">
        <f t="shared" si="27"/>
        <v>28H00609</v>
      </c>
      <c r="I928" s="59">
        <f>IF(OR($A928="",$C928="",$D928="",$E928="",$H928=""),"",SUMIFS(DATA_GOC!$H:$H,DATA_GOC!$A:$A,"BOM",DATA_GOC!$D:$D,$H928,DATA_GOC!$E:$E,$C928,DATA_GOC!$F:$F,"Xuất nội bộ từ téc",DATA_GOC!$B:$B,"&gt;="&amp;$D928,DATA_GOC!$B:$B,"&lt;="&amp;$E928))</f>
        <v>518</v>
      </c>
      <c r="J928" s="59">
        <f t="shared" si="28"/>
        <v>4.616</v>
      </c>
      <c r="K928" s="59">
        <f t="shared" si="29"/>
        <v>0</v>
      </c>
      <c r="L928" s="59">
        <f t="shared" si="30"/>
        <v>522.616</v>
      </c>
      <c r="M928" s="59">
        <f t="shared" si="31"/>
        <v>0.0329726289</v>
      </c>
    </row>
    <row r="929" ht="15.0" hidden="1" customHeight="1">
      <c r="A929" s="59">
        <f t="shared" si="20"/>
        <v>12</v>
      </c>
      <c r="B929" s="59" t="str">
        <f t="shared" si="21"/>
        <v>Đã chốt</v>
      </c>
      <c r="C929" s="59" t="str">
        <f t="shared" si="22"/>
        <v>Téc 3</v>
      </c>
      <c r="D929" s="45">
        <f t="shared" si="23"/>
        <v>46111</v>
      </c>
      <c r="E929" s="45">
        <f t="shared" si="24"/>
        <v>46128</v>
      </c>
      <c r="F929" s="132">
        <f t="shared" si="25"/>
        <v>4</v>
      </c>
      <c r="G929" s="132">
        <f t="shared" si="26"/>
        <v>2026</v>
      </c>
      <c r="H929" s="59" t="str">
        <f t="shared" si="27"/>
        <v>28H00669</v>
      </c>
      <c r="I929" s="59">
        <f>IF(OR($A929="",$C929="",$D929="",$E929="",$H929=""),"",SUMIFS(DATA_GOC!$H:$H,DATA_GOC!$A:$A,"BOM",DATA_GOC!$D:$D,$H929,DATA_GOC!$E:$E,$C929,DATA_GOC!$F:$F,"Xuất nội bộ từ téc",DATA_GOC!$B:$B,"&gt;="&amp;$D929,DATA_GOC!$B:$B,"&lt;="&amp;$E929))</f>
        <v>1025</v>
      </c>
      <c r="J929" s="59">
        <f t="shared" si="28"/>
        <v>9.134</v>
      </c>
      <c r="K929" s="59">
        <f t="shared" si="29"/>
        <v>0</v>
      </c>
      <c r="L929" s="59">
        <f t="shared" si="30"/>
        <v>1034.134</v>
      </c>
      <c r="M929" s="59">
        <f t="shared" si="31"/>
        <v>0.06524506684</v>
      </c>
    </row>
    <row r="930" ht="15.0" hidden="1" customHeight="1">
      <c r="A930" s="59">
        <f t="shared" si="20"/>
        <v>12</v>
      </c>
      <c r="B930" s="59" t="str">
        <f t="shared" si="21"/>
        <v>Đã chốt</v>
      </c>
      <c r="C930" s="59" t="str">
        <f t="shared" si="22"/>
        <v>Téc 3</v>
      </c>
      <c r="D930" s="45">
        <f t="shared" si="23"/>
        <v>46111</v>
      </c>
      <c r="E930" s="45">
        <f t="shared" si="24"/>
        <v>46128</v>
      </c>
      <c r="F930" s="132">
        <f t="shared" si="25"/>
        <v>4</v>
      </c>
      <c r="G930" s="132">
        <f t="shared" si="26"/>
        <v>2026</v>
      </c>
      <c r="H930" s="59" t="str">
        <f t="shared" si="27"/>
        <v>28H00680</v>
      </c>
      <c r="I930" s="59">
        <f>IF(OR($A930="",$C930="",$D930="",$E930="",$H930=""),"",SUMIFS(DATA_GOC!$H:$H,DATA_GOC!$A:$A,"BOM",DATA_GOC!$D:$D,$H930,DATA_GOC!$E:$E,$C930,DATA_GOC!$F:$F,"Xuất nội bộ từ téc",DATA_GOC!$B:$B,"&gt;="&amp;$D930,DATA_GOC!$B:$B,"&lt;="&amp;$E930))</f>
        <v>532</v>
      </c>
      <c r="J930" s="59">
        <f t="shared" si="28"/>
        <v>4.741</v>
      </c>
      <c r="K930" s="59">
        <f t="shared" si="29"/>
        <v>0</v>
      </c>
      <c r="L930" s="59">
        <f t="shared" si="30"/>
        <v>536.741</v>
      </c>
      <c r="M930" s="59">
        <f t="shared" si="31"/>
        <v>0.03386378103</v>
      </c>
    </row>
    <row r="931" ht="15.0" hidden="1" customHeight="1">
      <c r="A931" s="59">
        <f t="shared" si="20"/>
        <v>12</v>
      </c>
      <c r="B931" s="59" t="str">
        <f t="shared" si="21"/>
        <v>Đã chốt</v>
      </c>
      <c r="C931" s="59" t="str">
        <f t="shared" si="22"/>
        <v>Téc 3</v>
      </c>
      <c r="D931" s="45">
        <f t="shared" si="23"/>
        <v>46111</v>
      </c>
      <c r="E931" s="45">
        <f t="shared" si="24"/>
        <v>46128</v>
      </c>
      <c r="F931" s="132">
        <f t="shared" si="25"/>
        <v>4</v>
      </c>
      <c r="G931" s="132">
        <f t="shared" si="26"/>
        <v>2026</v>
      </c>
      <c r="H931" s="59" t="str">
        <f t="shared" si="27"/>
        <v>28H01070</v>
      </c>
      <c r="I931" s="59">
        <f>IF(OR($A931="",$C931="",$D931="",$E931="",$H931=""),"",SUMIFS(DATA_GOC!$H:$H,DATA_GOC!$A:$A,"BOM",DATA_GOC!$D:$D,$H931,DATA_GOC!$E:$E,$C931,DATA_GOC!$F:$F,"Xuất nội bộ từ téc",DATA_GOC!$B:$B,"&gt;="&amp;$D931,DATA_GOC!$B:$B,"&lt;="&amp;$E931))</f>
        <v>0</v>
      </c>
      <c r="J931" s="59">
        <f t="shared" si="28"/>
        <v>0</v>
      </c>
      <c r="K931" s="59">
        <f t="shared" si="29"/>
        <v>0</v>
      </c>
      <c r="L931" s="59">
        <f t="shared" si="30"/>
        <v>0</v>
      </c>
      <c r="M931" s="59">
        <f t="shared" si="31"/>
        <v>0</v>
      </c>
    </row>
    <row r="932" ht="15.0" hidden="1" customHeight="1">
      <c r="A932" s="59">
        <f t="shared" si="20"/>
        <v>12</v>
      </c>
      <c r="B932" s="59" t="str">
        <f t="shared" si="21"/>
        <v>Đã chốt</v>
      </c>
      <c r="C932" s="59" t="str">
        <f t="shared" si="22"/>
        <v>Téc 3</v>
      </c>
      <c r="D932" s="45">
        <f t="shared" si="23"/>
        <v>46111</v>
      </c>
      <c r="E932" s="45">
        <f t="shared" si="24"/>
        <v>46128</v>
      </c>
      <c r="F932" s="132">
        <f t="shared" si="25"/>
        <v>4</v>
      </c>
      <c r="G932" s="132">
        <f t="shared" si="26"/>
        <v>2026</v>
      </c>
      <c r="H932" s="59" t="str">
        <f t="shared" si="27"/>
        <v>28H01364</v>
      </c>
      <c r="I932" s="59">
        <f>IF(OR($A932="",$C932="",$D932="",$E932="",$H932=""),"",SUMIFS(DATA_GOC!$H:$H,DATA_GOC!$A:$A,"BOM",DATA_GOC!$D:$D,$H932,DATA_GOC!$E:$E,$C932,DATA_GOC!$F:$F,"Xuất nội bộ từ téc",DATA_GOC!$B:$B,"&gt;="&amp;$D932,DATA_GOC!$B:$B,"&lt;="&amp;$E932))</f>
        <v>422</v>
      </c>
      <c r="J932" s="59">
        <f t="shared" si="28"/>
        <v>3.761</v>
      </c>
      <c r="K932" s="59">
        <f t="shared" si="29"/>
        <v>0</v>
      </c>
      <c r="L932" s="59">
        <f t="shared" si="30"/>
        <v>425.761</v>
      </c>
      <c r="M932" s="59">
        <f t="shared" si="31"/>
        <v>0.02686187142</v>
      </c>
    </row>
    <row r="933" ht="15.0" hidden="1" customHeight="1">
      <c r="A933" s="59">
        <f t="shared" si="20"/>
        <v>12</v>
      </c>
      <c r="B933" s="59" t="str">
        <f t="shared" si="21"/>
        <v>Đã chốt</v>
      </c>
      <c r="C933" s="59" t="str">
        <f t="shared" si="22"/>
        <v>Téc 3</v>
      </c>
      <c r="D933" s="45">
        <f t="shared" si="23"/>
        <v>46111</v>
      </c>
      <c r="E933" s="45">
        <f t="shared" si="24"/>
        <v>46128</v>
      </c>
      <c r="F933" s="132">
        <f t="shared" si="25"/>
        <v>4</v>
      </c>
      <c r="G933" s="132">
        <f t="shared" si="26"/>
        <v>2026</v>
      </c>
      <c r="H933" s="59" t="str">
        <f t="shared" si="27"/>
        <v>29E17269</v>
      </c>
      <c r="I933" s="59">
        <f>IF(OR($A933="",$C933="",$D933="",$E933="",$H933=""),"",SUMIFS(DATA_GOC!$H:$H,DATA_GOC!$A:$A,"BOM",DATA_GOC!$D:$D,$H933,DATA_GOC!$E:$E,$C933,DATA_GOC!$F:$F,"Xuất nội bộ từ téc",DATA_GOC!$B:$B,"&gt;="&amp;$D933,DATA_GOC!$B:$B,"&lt;="&amp;$E933))</f>
        <v>336</v>
      </c>
      <c r="J933" s="59">
        <f t="shared" si="28"/>
        <v>2.994</v>
      </c>
      <c r="K933" s="59">
        <f t="shared" si="29"/>
        <v>0</v>
      </c>
      <c r="L933" s="59">
        <f t="shared" si="30"/>
        <v>338.994</v>
      </c>
      <c r="M933" s="59">
        <f t="shared" si="31"/>
        <v>0.02138765118</v>
      </c>
    </row>
    <row r="934" ht="15.0" hidden="1" customHeight="1">
      <c r="A934" s="59">
        <f t="shared" si="20"/>
        <v>12</v>
      </c>
      <c r="B934" s="59" t="str">
        <f t="shared" si="21"/>
        <v>Đã chốt</v>
      </c>
      <c r="C934" s="59" t="str">
        <f t="shared" si="22"/>
        <v>Téc 3</v>
      </c>
      <c r="D934" s="45">
        <f t="shared" si="23"/>
        <v>46111</v>
      </c>
      <c r="E934" s="45">
        <f t="shared" si="24"/>
        <v>46128</v>
      </c>
      <c r="F934" s="132">
        <f t="shared" si="25"/>
        <v>4</v>
      </c>
      <c r="G934" s="132">
        <f t="shared" si="26"/>
        <v>2026</v>
      </c>
      <c r="H934" s="59" t="str">
        <f t="shared" si="27"/>
        <v>29E17273</v>
      </c>
      <c r="I934" s="59">
        <f>IF(OR($A934="",$C934="",$D934="",$E934="",$H934=""),"",SUMIFS(DATA_GOC!$H:$H,DATA_GOC!$A:$A,"BOM",DATA_GOC!$D:$D,$H934,DATA_GOC!$E:$E,$C934,DATA_GOC!$F:$F,"Xuất nội bộ từ téc",DATA_GOC!$B:$B,"&gt;="&amp;$D934,DATA_GOC!$B:$B,"&lt;="&amp;$E934))</f>
        <v>0</v>
      </c>
      <c r="J934" s="59">
        <f t="shared" si="28"/>
        <v>0</v>
      </c>
      <c r="K934" s="59">
        <f t="shared" si="29"/>
        <v>0</v>
      </c>
      <c r="L934" s="59">
        <f t="shared" si="30"/>
        <v>0</v>
      </c>
      <c r="M934" s="59">
        <f t="shared" si="31"/>
        <v>0</v>
      </c>
    </row>
    <row r="935" ht="15.0" hidden="1" customHeight="1">
      <c r="A935" s="59">
        <f t="shared" si="20"/>
        <v>12</v>
      </c>
      <c r="B935" s="59" t="str">
        <f t="shared" si="21"/>
        <v>Đã chốt</v>
      </c>
      <c r="C935" s="59" t="str">
        <f t="shared" si="22"/>
        <v>Téc 3</v>
      </c>
      <c r="D935" s="45">
        <f t="shared" si="23"/>
        <v>46111</v>
      </c>
      <c r="E935" s="45">
        <f t="shared" si="24"/>
        <v>46128</v>
      </c>
      <c r="F935" s="132">
        <f t="shared" si="25"/>
        <v>4</v>
      </c>
      <c r="G935" s="132">
        <f t="shared" si="26"/>
        <v>2026</v>
      </c>
      <c r="H935" s="59" t="str">
        <f t="shared" si="27"/>
        <v>29E17410</v>
      </c>
      <c r="I935" s="59">
        <f>IF(OR($A935="",$C935="",$D935="",$E935="",$H935=""),"",SUMIFS(DATA_GOC!$H:$H,DATA_GOC!$A:$A,"BOM",DATA_GOC!$D:$D,$H935,DATA_GOC!$E:$E,$C935,DATA_GOC!$F:$F,"Xuất nội bộ từ téc",DATA_GOC!$B:$B,"&gt;="&amp;$D935,DATA_GOC!$B:$B,"&lt;="&amp;$E935))</f>
        <v>0</v>
      </c>
      <c r="J935" s="59">
        <f t="shared" si="28"/>
        <v>0</v>
      </c>
      <c r="K935" s="59">
        <f t="shared" si="29"/>
        <v>0</v>
      </c>
      <c r="L935" s="59">
        <f t="shared" si="30"/>
        <v>0</v>
      </c>
      <c r="M935" s="59">
        <f t="shared" si="31"/>
        <v>0</v>
      </c>
    </row>
    <row r="936" ht="15.0" hidden="1" customHeight="1">
      <c r="A936" s="59">
        <f t="shared" si="20"/>
        <v>12</v>
      </c>
      <c r="B936" s="59" t="str">
        <f t="shared" si="21"/>
        <v>Đã chốt</v>
      </c>
      <c r="C936" s="59" t="str">
        <f t="shared" si="22"/>
        <v>Téc 3</v>
      </c>
      <c r="D936" s="45">
        <f t="shared" si="23"/>
        <v>46111</v>
      </c>
      <c r="E936" s="45">
        <f t="shared" si="24"/>
        <v>46128</v>
      </c>
      <c r="F936" s="132">
        <f t="shared" si="25"/>
        <v>4</v>
      </c>
      <c r="G936" s="132">
        <f t="shared" si="26"/>
        <v>2026</v>
      </c>
      <c r="H936" s="59" t="str">
        <f t="shared" si="27"/>
        <v>29E17417</v>
      </c>
      <c r="I936" s="59">
        <f>IF(OR($A936="",$C936="",$D936="",$E936="",$H936=""),"",SUMIFS(DATA_GOC!$H:$H,DATA_GOC!$A:$A,"BOM",DATA_GOC!$D:$D,$H936,DATA_GOC!$E:$E,$C936,DATA_GOC!$F:$F,"Xuất nội bộ từ téc",DATA_GOC!$B:$B,"&gt;="&amp;$D936,DATA_GOC!$B:$B,"&lt;="&amp;$E936))</f>
        <v>298</v>
      </c>
      <c r="J936" s="59">
        <f t="shared" si="28"/>
        <v>2.656</v>
      </c>
      <c r="K936" s="59">
        <f t="shared" si="29"/>
        <v>0</v>
      </c>
      <c r="L936" s="59">
        <f t="shared" si="30"/>
        <v>300.656</v>
      </c>
      <c r="M936" s="59">
        <f t="shared" si="31"/>
        <v>0.01896880968</v>
      </c>
    </row>
    <row r="937" ht="15.0" hidden="1" customHeight="1">
      <c r="A937" s="59">
        <f t="shared" si="20"/>
        <v>12</v>
      </c>
      <c r="B937" s="59" t="str">
        <f t="shared" si="21"/>
        <v>Đã chốt</v>
      </c>
      <c r="C937" s="59" t="str">
        <f t="shared" si="22"/>
        <v>Téc 3</v>
      </c>
      <c r="D937" s="45">
        <f t="shared" si="23"/>
        <v>46111</v>
      </c>
      <c r="E937" s="45">
        <f t="shared" si="24"/>
        <v>46128</v>
      </c>
      <c r="F937" s="132">
        <f t="shared" si="25"/>
        <v>4</v>
      </c>
      <c r="G937" s="132">
        <f t="shared" si="26"/>
        <v>2026</v>
      </c>
      <c r="H937" s="59" t="str">
        <f t="shared" si="27"/>
        <v>29E17539</v>
      </c>
      <c r="I937" s="59">
        <f>IF(OR($A937="",$C937="",$D937="",$E937="",$H937=""),"",SUMIFS(DATA_GOC!$H:$H,DATA_GOC!$A:$A,"BOM",DATA_GOC!$D:$D,$H937,DATA_GOC!$E:$E,$C937,DATA_GOC!$F:$F,"Xuất nội bộ từ téc",DATA_GOC!$B:$B,"&gt;="&amp;$D937,DATA_GOC!$B:$B,"&lt;="&amp;$E937))</f>
        <v>0</v>
      </c>
      <c r="J937" s="59">
        <f t="shared" si="28"/>
        <v>0</v>
      </c>
      <c r="K937" s="59">
        <f t="shared" si="29"/>
        <v>0</v>
      </c>
      <c r="L937" s="59">
        <f t="shared" si="30"/>
        <v>0</v>
      </c>
      <c r="M937" s="59">
        <f t="shared" si="31"/>
        <v>0</v>
      </c>
    </row>
    <row r="938" ht="15.0" hidden="1" customHeight="1">
      <c r="A938" s="59">
        <f t="shared" si="20"/>
        <v>12</v>
      </c>
      <c r="B938" s="59" t="str">
        <f t="shared" si="21"/>
        <v>Đã chốt</v>
      </c>
      <c r="C938" s="59" t="str">
        <f t="shared" si="22"/>
        <v>Téc 3</v>
      </c>
      <c r="D938" s="45">
        <f t="shared" si="23"/>
        <v>46111</v>
      </c>
      <c r="E938" s="45">
        <f t="shared" si="24"/>
        <v>46128</v>
      </c>
      <c r="F938" s="132">
        <f t="shared" si="25"/>
        <v>4</v>
      </c>
      <c r="G938" s="132">
        <f t="shared" si="26"/>
        <v>2026</v>
      </c>
      <c r="H938" s="59" t="str">
        <f t="shared" si="27"/>
        <v>29E18160</v>
      </c>
      <c r="I938" s="59">
        <f>IF(OR($A938="",$C938="",$D938="",$E938="",$H938=""),"",SUMIFS(DATA_GOC!$H:$H,DATA_GOC!$A:$A,"BOM",DATA_GOC!$D:$D,$H938,DATA_GOC!$E:$E,$C938,DATA_GOC!$F:$F,"Xuất nội bộ từ téc",DATA_GOC!$B:$B,"&gt;="&amp;$D938,DATA_GOC!$B:$B,"&lt;="&amp;$E938))</f>
        <v>318</v>
      </c>
      <c r="J938" s="59">
        <f t="shared" si="28"/>
        <v>2.834</v>
      </c>
      <c r="K938" s="59">
        <f t="shared" si="29"/>
        <v>0</v>
      </c>
      <c r="L938" s="59">
        <f t="shared" si="30"/>
        <v>320.834</v>
      </c>
      <c r="M938" s="59">
        <f t="shared" si="31"/>
        <v>0.02024188415</v>
      </c>
    </row>
    <row r="939" ht="15.0" hidden="1" customHeight="1">
      <c r="A939" s="59">
        <f t="shared" si="20"/>
        <v>12</v>
      </c>
      <c r="B939" s="59" t="str">
        <f t="shared" si="21"/>
        <v>Đã chốt</v>
      </c>
      <c r="C939" s="59" t="str">
        <f t="shared" si="22"/>
        <v>Téc 3</v>
      </c>
      <c r="D939" s="45">
        <f t="shared" si="23"/>
        <v>46111</v>
      </c>
      <c r="E939" s="45">
        <f t="shared" si="24"/>
        <v>46128</v>
      </c>
      <c r="F939" s="132">
        <f t="shared" si="25"/>
        <v>4</v>
      </c>
      <c r="G939" s="132">
        <f t="shared" si="26"/>
        <v>2026</v>
      </c>
      <c r="H939" s="59" t="str">
        <f t="shared" si="27"/>
        <v>Công trình Asphalt</v>
      </c>
      <c r="I939" s="59">
        <f>IF(OR($A939="",$C939="",$D939="",$E939="",$H939=""),"",SUMIFS(DATA_GOC!$H:$H,DATA_GOC!$A:$A,"BOM",DATA_GOC!$D:$D,$H939,DATA_GOC!$E:$E,$C939,DATA_GOC!$F:$F,"Xuất nội bộ từ téc",DATA_GOC!$B:$B,"&gt;="&amp;$D939,DATA_GOC!$B:$B,"&lt;="&amp;$E939))</f>
        <v>0</v>
      </c>
      <c r="J939" s="59">
        <f t="shared" si="28"/>
        <v>0</v>
      </c>
      <c r="K939" s="59">
        <f t="shared" si="29"/>
        <v>0</v>
      </c>
      <c r="L939" s="59">
        <f t="shared" si="30"/>
        <v>0</v>
      </c>
      <c r="M939" s="59">
        <f t="shared" si="31"/>
        <v>0</v>
      </c>
    </row>
    <row r="940" ht="15.0" hidden="1" customHeight="1">
      <c r="A940" s="59">
        <f t="shared" si="20"/>
        <v>12</v>
      </c>
      <c r="B940" s="59" t="str">
        <f t="shared" si="21"/>
        <v>Đã chốt</v>
      </c>
      <c r="C940" s="59" t="str">
        <f t="shared" si="22"/>
        <v>Téc 3</v>
      </c>
      <c r="D940" s="45">
        <f t="shared" si="23"/>
        <v>46111</v>
      </c>
      <c r="E940" s="45">
        <f t="shared" si="24"/>
        <v>46128</v>
      </c>
      <c r="F940" s="132">
        <f t="shared" si="25"/>
        <v>4</v>
      </c>
      <c r="G940" s="132">
        <f t="shared" si="26"/>
        <v>2026</v>
      </c>
      <c r="H940" s="59" t="str">
        <f t="shared" si="27"/>
        <v>LG53F</v>
      </c>
      <c r="I940" s="59">
        <f>IF(OR($A940="",$C940="",$D940="",$E940="",$H940=""),"",SUMIFS(DATA_GOC!$H:$H,DATA_GOC!$A:$A,"BOM",DATA_GOC!$D:$D,$H940,DATA_GOC!$E:$E,$C940,DATA_GOC!$F:$F,"Xuất nội bộ từ téc",DATA_GOC!$B:$B,"&gt;="&amp;$D940,DATA_GOC!$B:$B,"&lt;="&amp;$E940))</f>
        <v>0</v>
      </c>
      <c r="J940" s="59">
        <f t="shared" si="28"/>
        <v>0</v>
      </c>
      <c r="K940" s="59">
        <f t="shared" si="29"/>
        <v>0</v>
      </c>
      <c r="L940" s="59">
        <f t="shared" si="30"/>
        <v>0</v>
      </c>
      <c r="M940" s="59">
        <f t="shared" si="31"/>
        <v>0</v>
      </c>
    </row>
    <row r="941" ht="15.0" hidden="1" customHeight="1">
      <c r="A941" s="59">
        <f t="shared" si="20"/>
        <v>12</v>
      </c>
      <c r="B941" s="59" t="str">
        <f t="shared" si="21"/>
        <v>Đã chốt</v>
      </c>
      <c r="C941" s="59" t="str">
        <f t="shared" si="22"/>
        <v>Téc 3</v>
      </c>
      <c r="D941" s="45">
        <f t="shared" si="23"/>
        <v>46111</v>
      </c>
      <c r="E941" s="45">
        <f t="shared" si="24"/>
        <v>46128</v>
      </c>
      <c r="F941" s="132">
        <f t="shared" si="25"/>
        <v>4</v>
      </c>
      <c r="G941" s="132">
        <f t="shared" si="26"/>
        <v>2026</v>
      </c>
      <c r="H941" s="59" t="str">
        <f t="shared" si="27"/>
        <v>Máy phát điện</v>
      </c>
      <c r="I941" s="59">
        <f>IF(OR($A941="",$C941="",$D941="",$E941="",$H941=""),"",SUMIFS(DATA_GOC!$H:$H,DATA_GOC!$A:$A,"BOM",DATA_GOC!$D:$D,$H941,DATA_GOC!$E:$E,$C941,DATA_GOC!$F:$F,"Xuất nội bộ từ téc",DATA_GOC!$B:$B,"&gt;="&amp;$D941,DATA_GOC!$B:$B,"&lt;="&amp;$E941))</f>
        <v>0</v>
      </c>
      <c r="J941" s="59">
        <f t="shared" si="28"/>
        <v>0</v>
      </c>
      <c r="K941" s="59">
        <f t="shared" si="29"/>
        <v>0</v>
      </c>
      <c r="L941" s="59">
        <f t="shared" si="30"/>
        <v>0</v>
      </c>
      <c r="M941" s="59">
        <f t="shared" si="31"/>
        <v>0</v>
      </c>
    </row>
    <row r="942" ht="15.0" hidden="1" customHeight="1">
      <c r="A942" s="59">
        <f t="shared" si="20"/>
        <v>12</v>
      </c>
      <c r="B942" s="59" t="str">
        <f t="shared" si="21"/>
        <v>Đã chốt</v>
      </c>
      <c r="C942" s="59" t="str">
        <f t="shared" si="22"/>
        <v>Téc 3</v>
      </c>
      <c r="D942" s="45">
        <f t="shared" si="23"/>
        <v>46111</v>
      </c>
      <c r="E942" s="45">
        <f t="shared" si="24"/>
        <v>46128</v>
      </c>
      <c r="F942" s="132">
        <f t="shared" si="25"/>
        <v>4</v>
      </c>
      <c r="G942" s="132">
        <f t="shared" si="26"/>
        <v>2026</v>
      </c>
      <c r="H942" s="59" t="str">
        <f t="shared" si="27"/>
        <v>Máy rải thảm</v>
      </c>
      <c r="I942" s="59">
        <f>IF(OR($A942="",$C942="",$D942="",$E942="",$H942=""),"",SUMIFS(DATA_GOC!$H:$H,DATA_GOC!$A:$A,"BOM",DATA_GOC!$D:$D,$H942,DATA_GOC!$E:$E,$C942,DATA_GOC!$F:$F,"Xuất nội bộ từ téc",DATA_GOC!$B:$B,"&gt;="&amp;$D942,DATA_GOC!$B:$B,"&lt;="&amp;$E942))</f>
        <v>0</v>
      </c>
      <c r="J942" s="59">
        <f t="shared" si="28"/>
        <v>0</v>
      </c>
      <c r="K942" s="59">
        <f t="shared" si="29"/>
        <v>0</v>
      </c>
      <c r="L942" s="59">
        <f t="shared" si="30"/>
        <v>0</v>
      </c>
      <c r="M942" s="59">
        <f t="shared" si="31"/>
        <v>0</v>
      </c>
    </row>
    <row r="943" ht="15.0" hidden="1" customHeight="1">
      <c r="A943" s="59">
        <f t="shared" si="20"/>
        <v>12</v>
      </c>
      <c r="B943" s="59" t="str">
        <f t="shared" si="21"/>
        <v>Đã chốt</v>
      </c>
      <c r="C943" s="59" t="str">
        <f t="shared" si="22"/>
        <v>Téc 3</v>
      </c>
      <c r="D943" s="45">
        <f t="shared" si="23"/>
        <v>46111</v>
      </c>
      <c r="E943" s="45">
        <f t="shared" si="24"/>
        <v>46128</v>
      </c>
      <c r="F943" s="132">
        <f t="shared" si="25"/>
        <v>4</v>
      </c>
      <c r="G943" s="132">
        <f t="shared" si="26"/>
        <v>2026</v>
      </c>
      <c r="H943" s="59" t="str">
        <f t="shared" si="27"/>
        <v>Xúc Đào</v>
      </c>
      <c r="I943" s="59">
        <f>IF(OR($A943="",$C943="",$D943="",$E943="",$H943=""),"",SUMIFS(DATA_GOC!$H:$H,DATA_GOC!$A:$A,"BOM",DATA_GOC!$D:$D,$H943,DATA_GOC!$E:$E,$C943,DATA_GOC!$F:$F,"Xuất nội bộ từ téc",DATA_GOC!$B:$B,"&gt;="&amp;$D943,DATA_GOC!$B:$B,"&lt;="&amp;$E943))</f>
        <v>0</v>
      </c>
      <c r="J943" s="59">
        <f t="shared" si="28"/>
        <v>0</v>
      </c>
      <c r="K943" s="59">
        <f t="shared" si="29"/>
        <v>0</v>
      </c>
      <c r="L943" s="59">
        <f t="shared" si="30"/>
        <v>0</v>
      </c>
      <c r="M943" s="59">
        <f t="shared" si="31"/>
        <v>0</v>
      </c>
    </row>
    <row r="944" ht="15.0" hidden="1" customHeight="1">
      <c r="A944" s="59">
        <f t="shared" si="20"/>
        <v>12</v>
      </c>
      <c r="B944" s="59" t="str">
        <f t="shared" si="21"/>
        <v>Đã chốt</v>
      </c>
      <c r="C944" s="59" t="str">
        <f t="shared" si="22"/>
        <v>Téc 3</v>
      </c>
      <c r="D944" s="45">
        <f t="shared" si="23"/>
        <v>46111</v>
      </c>
      <c r="E944" s="45">
        <f t="shared" si="24"/>
        <v>46128</v>
      </c>
      <c r="F944" s="132">
        <f t="shared" si="25"/>
        <v>4</v>
      </c>
      <c r="G944" s="132">
        <f t="shared" si="26"/>
        <v>2026</v>
      </c>
      <c r="H944" s="59" t="str">
        <f t="shared" si="27"/>
        <v>Xúclật asphalt</v>
      </c>
      <c r="I944" s="59">
        <f>IF(OR($A944="",$C944="",$D944="",$E944="",$H944=""),"",SUMIFS(DATA_GOC!$H:$H,DATA_GOC!$A:$A,"BOM",DATA_GOC!$D:$D,$H944,DATA_GOC!$E:$E,$C944,DATA_GOC!$F:$F,"Xuất nội bộ từ téc",DATA_GOC!$B:$B,"&gt;="&amp;$D944,DATA_GOC!$B:$B,"&lt;="&amp;$E944))</f>
        <v>0</v>
      </c>
      <c r="J944" s="59">
        <f t="shared" si="28"/>
        <v>0</v>
      </c>
      <c r="K944" s="59">
        <f t="shared" si="29"/>
        <v>0</v>
      </c>
      <c r="L944" s="59">
        <f t="shared" si="30"/>
        <v>0</v>
      </c>
      <c r="M944" s="59">
        <f t="shared" si="31"/>
        <v>0</v>
      </c>
    </row>
    <row r="945" ht="15.0" hidden="1" customHeight="1">
      <c r="A945" s="59">
        <f t="shared" si="20"/>
        <v>12</v>
      </c>
      <c r="B945" s="59" t="str">
        <f t="shared" si="21"/>
        <v>Đã chốt</v>
      </c>
      <c r="C945" s="59" t="str">
        <f t="shared" si="22"/>
        <v>Téc 3</v>
      </c>
      <c r="D945" s="45">
        <f t="shared" si="23"/>
        <v>46111</v>
      </c>
      <c r="E945" s="45">
        <f t="shared" si="24"/>
        <v>46128</v>
      </c>
      <c r="F945" s="132">
        <f t="shared" si="25"/>
        <v>4</v>
      </c>
      <c r="G945" s="132">
        <f t="shared" si="26"/>
        <v>2026</v>
      </c>
      <c r="H945" s="59" t="str">
        <f t="shared" si="27"/>
        <v>Xúclật855H</v>
      </c>
      <c r="I945" s="59">
        <f>IF(OR($A945="",$C945="",$D945="",$E945="",$H945=""),"",SUMIFS(DATA_GOC!$H:$H,DATA_GOC!$A:$A,"BOM",DATA_GOC!$D:$D,$H945,DATA_GOC!$E:$E,$C945,DATA_GOC!$F:$F,"Xuất nội bộ từ téc",DATA_GOC!$B:$B,"&gt;="&amp;$D945,DATA_GOC!$B:$B,"&lt;="&amp;$E945))</f>
        <v>630</v>
      </c>
      <c r="J945" s="59">
        <f t="shared" si="28"/>
        <v>5.614</v>
      </c>
      <c r="K945" s="59">
        <f t="shared" si="29"/>
        <v>0</v>
      </c>
      <c r="L945" s="59">
        <f t="shared" si="30"/>
        <v>635.614</v>
      </c>
      <c r="M945" s="59">
        <f t="shared" si="31"/>
        <v>0.04010184596</v>
      </c>
    </row>
    <row r="946" ht="15.0" hidden="1" customHeight="1">
      <c r="A946" s="59">
        <f t="shared" si="20"/>
        <v>12</v>
      </c>
      <c r="B946" s="59" t="str">
        <f t="shared" si="21"/>
        <v>Đã chốt</v>
      </c>
      <c r="C946" s="59" t="str">
        <f t="shared" si="22"/>
        <v>Téc 3</v>
      </c>
      <c r="D946" s="45">
        <f t="shared" si="23"/>
        <v>46111</v>
      </c>
      <c r="E946" s="45">
        <f t="shared" si="24"/>
        <v>46128</v>
      </c>
      <c r="F946" s="132">
        <f t="shared" si="25"/>
        <v>4</v>
      </c>
      <c r="G946" s="132">
        <f t="shared" si="26"/>
        <v>2026</v>
      </c>
      <c r="H946" s="59" t="str">
        <f t="shared" si="27"/>
        <v>Xúclật855N</v>
      </c>
      <c r="I946" s="59">
        <f>IF(OR($A946="",$C946="",$D946="",$E946="",$H946=""),"",SUMIFS(DATA_GOC!$H:$H,DATA_GOC!$A:$A,"BOM",DATA_GOC!$D:$D,$H946,DATA_GOC!$E:$E,$C946,DATA_GOC!$F:$F,"Xuất nội bộ từ téc",DATA_GOC!$B:$B,"&gt;="&amp;$D946,DATA_GOC!$B:$B,"&lt;="&amp;$E946))</f>
        <v>157</v>
      </c>
      <c r="J946" s="59">
        <f t="shared" si="28"/>
        <v>1.399</v>
      </c>
      <c r="K946" s="59">
        <f t="shared" si="29"/>
        <v>0</v>
      </c>
      <c r="L946" s="59">
        <f t="shared" si="30"/>
        <v>158.399</v>
      </c>
      <c r="M946" s="59">
        <f t="shared" si="31"/>
        <v>0.009993634628</v>
      </c>
    </row>
    <row r="947" ht="15.0" hidden="1" customHeight="1">
      <c r="A947" s="59">
        <f t="shared" si="20"/>
        <v>12</v>
      </c>
      <c r="B947" s="59" t="str">
        <f t="shared" si="21"/>
        <v>Đã chốt</v>
      </c>
      <c r="C947" s="59" t="str">
        <f t="shared" si="22"/>
        <v>Téc 3</v>
      </c>
      <c r="D947" s="45">
        <f t="shared" si="23"/>
        <v>46111</v>
      </c>
      <c r="E947" s="45">
        <f t="shared" si="24"/>
        <v>46128</v>
      </c>
      <c r="F947" s="132">
        <f t="shared" si="25"/>
        <v>4</v>
      </c>
      <c r="G947" s="132">
        <f t="shared" si="26"/>
        <v>2026</v>
      </c>
      <c r="H947" s="59" t="str">
        <f t="shared" si="27"/>
        <v>Cát nghiền</v>
      </c>
      <c r="I947" s="59">
        <f>IF(OR($A947="",$C947="",$D947="",$E947="",$H947=""),"",SUMIFS(DATA_GOC!$H:$H,DATA_GOC!$A:$A,"BOM",DATA_GOC!$D:$D,$H947,DATA_GOC!$E:$E,$C947,DATA_GOC!$F:$F,"Xuất nội bộ từ téc",DATA_GOC!$B:$B,"&gt;="&amp;$D947,DATA_GOC!$B:$B,"&lt;="&amp;$E947))</f>
        <v>0</v>
      </c>
      <c r="J947" s="59">
        <f t="shared" si="28"/>
        <v>0</v>
      </c>
      <c r="K947" s="59">
        <f t="shared" si="29"/>
        <v>0</v>
      </c>
      <c r="L947" s="59">
        <f t="shared" si="30"/>
        <v>0</v>
      </c>
      <c r="M947" s="59">
        <f t="shared" si="31"/>
        <v>0</v>
      </c>
    </row>
    <row r="948" ht="15.0" hidden="1" customHeight="1">
      <c r="A948" s="59">
        <f t="shared" si="20"/>
        <v>12</v>
      </c>
      <c r="B948" s="59" t="str">
        <f t="shared" si="21"/>
        <v>Đã chốt</v>
      </c>
      <c r="C948" s="59" t="str">
        <f t="shared" si="22"/>
        <v>Téc 3</v>
      </c>
      <c r="D948" s="45">
        <f t="shared" si="23"/>
        <v>46111</v>
      </c>
      <c r="E948" s="45">
        <f t="shared" si="24"/>
        <v>46128</v>
      </c>
      <c r="F948" s="132">
        <f t="shared" si="25"/>
        <v>4</v>
      </c>
      <c r="G948" s="132">
        <f t="shared" si="26"/>
        <v>2026</v>
      </c>
      <c r="H948" s="59" t="str">
        <f t="shared" si="27"/>
        <v>28C02973</v>
      </c>
      <c r="I948" s="59">
        <f>IF(OR($A948="",$C948="",$D948="",$E948="",$H948=""),"",SUMIFS(DATA_GOC!$H:$H,DATA_GOC!$A:$A,"BOM",DATA_GOC!$D:$D,$H948,DATA_GOC!$E:$E,$C948,DATA_GOC!$F:$F,"Xuất nội bộ từ téc",DATA_GOC!$B:$B,"&gt;="&amp;$D948,DATA_GOC!$B:$B,"&lt;="&amp;$E948))</f>
        <v>0</v>
      </c>
      <c r="J948" s="59">
        <f t="shared" si="28"/>
        <v>0</v>
      </c>
      <c r="K948" s="59">
        <f t="shared" si="29"/>
        <v>0</v>
      </c>
      <c r="L948" s="59">
        <f t="shared" si="30"/>
        <v>0</v>
      </c>
      <c r="M948" s="59">
        <f t="shared" si="31"/>
        <v>0</v>
      </c>
    </row>
    <row r="949" ht="15.0" hidden="1" customHeight="1">
      <c r="A949" s="59">
        <f t="shared" si="20"/>
        <v>12</v>
      </c>
      <c r="B949" s="59" t="str">
        <f t="shared" si="21"/>
        <v>Đã chốt</v>
      </c>
      <c r="C949" s="59" t="str">
        <f t="shared" si="22"/>
        <v>Téc 3</v>
      </c>
      <c r="D949" s="45">
        <f t="shared" si="23"/>
        <v>46111</v>
      </c>
      <c r="E949" s="45">
        <f t="shared" si="24"/>
        <v>46128</v>
      </c>
      <c r="F949" s="132">
        <f t="shared" si="25"/>
        <v>4</v>
      </c>
      <c r="G949" s="132">
        <f t="shared" si="26"/>
        <v>2026</v>
      </c>
      <c r="H949" s="59" t="str">
        <f t="shared" si="27"/>
        <v>28C03044</v>
      </c>
      <c r="I949" s="59">
        <f>IF(OR($A949="",$C949="",$D949="",$E949="",$H949=""),"",SUMIFS(DATA_GOC!$H:$H,DATA_GOC!$A:$A,"BOM",DATA_GOC!$D:$D,$H949,DATA_GOC!$E:$E,$C949,DATA_GOC!$F:$F,"Xuất nội bộ từ téc",DATA_GOC!$B:$B,"&gt;="&amp;$D949,DATA_GOC!$B:$B,"&lt;="&amp;$E949))</f>
        <v>0</v>
      </c>
      <c r="J949" s="59">
        <f t="shared" si="28"/>
        <v>0</v>
      </c>
      <c r="K949" s="59">
        <f t="shared" si="29"/>
        <v>0</v>
      </c>
      <c r="L949" s="59">
        <f t="shared" si="30"/>
        <v>0</v>
      </c>
      <c r="M949" s="59">
        <f t="shared" si="31"/>
        <v>0</v>
      </c>
    </row>
    <row r="950" ht="15.0" hidden="1" customHeight="1">
      <c r="A950" s="59">
        <f t="shared" si="20"/>
        <v>12</v>
      </c>
      <c r="B950" s="59" t="str">
        <f t="shared" si="21"/>
        <v>Đã chốt</v>
      </c>
      <c r="C950" s="59" t="str">
        <f t="shared" si="22"/>
        <v>Téc 3</v>
      </c>
      <c r="D950" s="45">
        <f t="shared" si="23"/>
        <v>46111</v>
      </c>
      <c r="E950" s="45">
        <f t="shared" si="24"/>
        <v>46128</v>
      </c>
      <c r="F950" s="132">
        <f t="shared" si="25"/>
        <v>4</v>
      </c>
      <c r="G950" s="132">
        <f t="shared" si="26"/>
        <v>2026</v>
      </c>
      <c r="H950" s="59" t="str">
        <f t="shared" si="27"/>
        <v>Máy lu lốp</v>
      </c>
      <c r="I950" s="59">
        <f>IF(OR($A950="",$C950="",$D950="",$E950="",$H950=""),"",SUMIFS(DATA_GOC!$H:$H,DATA_GOC!$A:$A,"BOM",DATA_GOC!$D:$D,$H950,DATA_GOC!$E:$E,$C950,DATA_GOC!$F:$F,"Xuất nội bộ từ téc",DATA_GOC!$B:$B,"&gt;="&amp;$D950,DATA_GOC!$B:$B,"&lt;="&amp;$E950))</f>
        <v>0</v>
      </c>
      <c r="J950" s="59">
        <f t="shared" si="28"/>
        <v>0</v>
      </c>
      <c r="K950" s="59">
        <f t="shared" si="29"/>
        <v>0</v>
      </c>
      <c r="L950" s="59">
        <f t="shared" si="30"/>
        <v>0</v>
      </c>
      <c r="M950" s="59">
        <f t="shared" si="31"/>
        <v>0</v>
      </c>
    </row>
    <row r="951" ht="15.0" hidden="1" customHeight="1">
      <c r="A951" s="59">
        <f t="shared" si="20"/>
        <v>12</v>
      </c>
      <c r="B951" s="59" t="str">
        <f t="shared" si="21"/>
        <v>Đã chốt</v>
      </c>
      <c r="C951" s="59" t="str">
        <f t="shared" si="22"/>
        <v>Téc 3</v>
      </c>
      <c r="D951" s="45">
        <f t="shared" si="23"/>
        <v>46111</v>
      </c>
      <c r="E951" s="45">
        <f t="shared" si="24"/>
        <v>46128</v>
      </c>
      <c r="F951" s="132">
        <f t="shared" si="25"/>
        <v>4</v>
      </c>
      <c r="G951" s="132">
        <f t="shared" si="26"/>
        <v>2026</v>
      </c>
      <c r="H951" s="59" t="str">
        <f t="shared" si="27"/>
        <v>Xe 600148</v>
      </c>
      <c r="I951" s="59">
        <f>IF(OR($A951="",$C951="",$D951="",$E951="",$H951=""),"",SUMIFS(DATA_GOC!$H:$H,DATA_GOC!$A:$A,"BOM",DATA_GOC!$D:$D,$H951,DATA_GOC!$E:$E,$C951,DATA_GOC!$F:$F,"Xuất nội bộ từ téc",DATA_GOC!$B:$B,"&gt;="&amp;$D951,DATA_GOC!$B:$B,"&lt;="&amp;$E951))</f>
        <v>0</v>
      </c>
      <c r="J951" s="59">
        <f t="shared" si="28"/>
        <v>0</v>
      </c>
      <c r="K951" s="59">
        <f t="shared" si="29"/>
        <v>0</v>
      </c>
      <c r="L951" s="59">
        <f t="shared" si="30"/>
        <v>0</v>
      </c>
      <c r="M951" s="59">
        <f t="shared" si="31"/>
        <v>0</v>
      </c>
    </row>
    <row r="952" ht="15.0" hidden="1" customHeight="1">
      <c r="A952" s="59">
        <f t="shared" si="20"/>
        <v>12</v>
      </c>
      <c r="B952" s="59" t="str">
        <f t="shared" si="21"/>
        <v>Đã chốt</v>
      </c>
      <c r="C952" s="59" t="str">
        <f t="shared" si="22"/>
        <v>Téc 3</v>
      </c>
      <c r="D952" s="45">
        <f t="shared" si="23"/>
        <v>46111</v>
      </c>
      <c r="E952" s="45">
        <f t="shared" si="24"/>
        <v>46128</v>
      </c>
      <c r="F952" s="132">
        <f t="shared" si="25"/>
        <v>4</v>
      </c>
      <c r="G952" s="132">
        <f t="shared" si="26"/>
        <v>2026</v>
      </c>
      <c r="H952" s="59" t="str">
        <f t="shared" si="27"/>
        <v>Xe ben mới</v>
      </c>
      <c r="I952" s="59">
        <f>IF(OR($A952="",$C952="",$D952="",$E952="",$H952=""),"",SUMIFS(DATA_GOC!$H:$H,DATA_GOC!$A:$A,"BOM",DATA_GOC!$D:$D,$H952,DATA_GOC!$E:$E,$C952,DATA_GOC!$F:$F,"Xuất nội bộ từ téc",DATA_GOC!$B:$B,"&gt;="&amp;$D952,DATA_GOC!$B:$B,"&lt;="&amp;$E952))</f>
        <v>0</v>
      </c>
      <c r="J952" s="59">
        <f t="shared" si="28"/>
        <v>0</v>
      </c>
      <c r="K952" s="59">
        <f t="shared" si="29"/>
        <v>0</v>
      </c>
      <c r="L952" s="59">
        <f t="shared" si="30"/>
        <v>0</v>
      </c>
      <c r="M952" s="59">
        <f t="shared" si="31"/>
        <v>0</v>
      </c>
    </row>
    <row r="953" ht="15.0" hidden="1" customHeight="1">
      <c r="A953" s="59">
        <f t="shared" si="20"/>
        <v>13</v>
      </c>
      <c r="B953" s="59" t="str">
        <f t="shared" si="21"/>
        <v>Đã chốt</v>
      </c>
      <c r="C953" s="59" t="str">
        <f t="shared" si="22"/>
        <v>Téc 3</v>
      </c>
      <c r="D953" s="45">
        <f t="shared" si="23"/>
        <v>46131</v>
      </c>
      <c r="E953" s="45">
        <f t="shared" si="24"/>
        <v>46165</v>
      </c>
      <c r="F953" s="132">
        <f t="shared" si="25"/>
        <v>5</v>
      </c>
      <c r="G953" s="132">
        <f t="shared" si="26"/>
        <v>2026</v>
      </c>
      <c r="H953" s="59" t="str">
        <f t="shared" si="27"/>
        <v>19H09482</v>
      </c>
      <c r="I953" s="59">
        <f>IF(OR($A953="",$C953="",$D953="",$E953="",$H953=""),"",SUMIFS(DATA_GOC!$H:$H,DATA_GOC!$A:$A,"BOM",DATA_GOC!$D:$D,$H953,DATA_GOC!$E:$E,$C953,DATA_GOC!$F:$F,"Xuất nội bộ từ téc",DATA_GOC!$B:$B,"&gt;="&amp;$D953,DATA_GOC!$B:$B,"&lt;="&amp;$E953))</f>
        <v>480</v>
      </c>
      <c r="J953" s="59">
        <f t="shared" si="28"/>
        <v>15.484</v>
      </c>
      <c r="K953" s="59">
        <f t="shared" si="29"/>
        <v>0</v>
      </c>
      <c r="L953" s="59">
        <f t="shared" si="30"/>
        <v>495.484</v>
      </c>
      <c r="M953" s="59">
        <f t="shared" si="31"/>
        <v>0.01650789284</v>
      </c>
    </row>
    <row r="954" ht="15.0" hidden="1" customHeight="1">
      <c r="A954" s="59">
        <f t="shared" si="20"/>
        <v>13</v>
      </c>
      <c r="B954" s="59" t="str">
        <f t="shared" si="21"/>
        <v>Đã chốt</v>
      </c>
      <c r="C954" s="59" t="str">
        <f t="shared" si="22"/>
        <v>Téc 3</v>
      </c>
      <c r="D954" s="45">
        <f t="shared" si="23"/>
        <v>46131</v>
      </c>
      <c r="E954" s="45">
        <f t="shared" si="24"/>
        <v>46165</v>
      </c>
      <c r="F954" s="132">
        <f t="shared" si="25"/>
        <v>5</v>
      </c>
      <c r="G954" s="132">
        <f t="shared" si="26"/>
        <v>2026</v>
      </c>
      <c r="H954" s="59" t="str">
        <f t="shared" si="27"/>
        <v>28A30696</v>
      </c>
      <c r="I954" s="59">
        <f>IF(OR($A954="",$C954="",$D954="",$E954="",$H954=""),"",SUMIFS(DATA_GOC!$H:$H,DATA_GOC!$A:$A,"BOM",DATA_GOC!$D:$D,$H954,DATA_GOC!$E:$E,$C954,DATA_GOC!$F:$F,"Xuất nội bộ từ téc",DATA_GOC!$B:$B,"&gt;="&amp;$D954,DATA_GOC!$B:$B,"&lt;="&amp;$E954))</f>
        <v>42</v>
      </c>
      <c r="J954" s="59">
        <f t="shared" si="28"/>
        <v>1.355</v>
      </c>
      <c r="K954" s="59">
        <f t="shared" si="29"/>
        <v>0</v>
      </c>
      <c r="L954" s="59">
        <f t="shared" si="30"/>
        <v>43.355</v>
      </c>
      <c r="M954" s="59">
        <f t="shared" si="31"/>
        <v>0.001444440623</v>
      </c>
    </row>
    <row r="955" ht="15.0" hidden="1" customHeight="1">
      <c r="A955" s="59">
        <f t="shared" si="20"/>
        <v>13</v>
      </c>
      <c r="B955" s="59" t="str">
        <f t="shared" si="21"/>
        <v>Đã chốt</v>
      </c>
      <c r="C955" s="59" t="str">
        <f t="shared" si="22"/>
        <v>Téc 3</v>
      </c>
      <c r="D955" s="45">
        <f t="shared" si="23"/>
        <v>46131</v>
      </c>
      <c r="E955" s="45">
        <f t="shared" si="24"/>
        <v>46165</v>
      </c>
      <c r="F955" s="132">
        <f t="shared" si="25"/>
        <v>5</v>
      </c>
      <c r="G955" s="132">
        <f t="shared" si="26"/>
        <v>2026</v>
      </c>
      <c r="H955" s="59" t="str">
        <f t="shared" si="27"/>
        <v>28C00462</v>
      </c>
      <c r="I955" s="59">
        <f>IF(OR($A955="",$C955="",$D955="",$E955="",$H955=""),"",SUMIFS(DATA_GOC!$H:$H,DATA_GOC!$A:$A,"BOM",DATA_GOC!$D:$D,$H955,DATA_GOC!$E:$E,$C955,DATA_GOC!$F:$F,"Xuất nội bộ từ téc",DATA_GOC!$B:$B,"&gt;="&amp;$D955,DATA_GOC!$B:$B,"&lt;="&amp;$E955))</f>
        <v>665</v>
      </c>
      <c r="J955" s="59">
        <f t="shared" si="28"/>
        <v>21.452</v>
      </c>
      <c r="K955" s="59">
        <f t="shared" si="29"/>
        <v>0</v>
      </c>
      <c r="L955" s="59">
        <f t="shared" si="30"/>
        <v>686.452</v>
      </c>
      <c r="M955" s="59">
        <f t="shared" si="31"/>
        <v>0.02287030987</v>
      </c>
    </row>
    <row r="956" ht="15.0" hidden="1" customHeight="1">
      <c r="A956" s="59">
        <f t="shared" si="20"/>
        <v>13</v>
      </c>
      <c r="B956" s="59" t="str">
        <f t="shared" si="21"/>
        <v>Đã chốt</v>
      </c>
      <c r="C956" s="59" t="str">
        <f t="shared" si="22"/>
        <v>Téc 3</v>
      </c>
      <c r="D956" s="45">
        <f t="shared" si="23"/>
        <v>46131</v>
      </c>
      <c r="E956" s="45">
        <f t="shared" si="24"/>
        <v>46165</v>
      </c>
      <c r="F956" s="132">
        <f t="shared" si="25"/>
        <v>5</v>
      </c>
      <c r="G956" s="132">
        <f t="shared" si="26"/>
        <v>2026</v>
      </c>
      <c r="H956" s="59" t="str">
        <f t="shared" si="27"/>
        <v>28C01165</v>
      </c>
      <c r="I956" s="59">
        <f>IF(OR($A956="",$C956="",$D956="",$E956="",$H956=""),"",SUMIFS(DATA_GOC!$H:$H,DATA_GOC!$A:$A,"BOM",DATA_GOC!$D:$D,$H956,DATA_GOC!$E:$E,$C956,DATA_GOC!$F:$F,"Xuất nội bộ từ téc",DATA_GOC!$B:$B,"&gt;="&amp;$D956,DATA_GOC!$B:$B,"&lt;="&amp;$E956))</f>
        <v>160</v>
      </c>
      <c r="J956" s="59">
        <f t="shared" si="28"/>
        <v>5.161</v>
      </c>
      <c r="K956" s="59">
        <f t="shared" si="29"/>
        <v>0</v>
      </c>
      <c r="L956" s="59">
        <f t="shared" si="30"/>
        <v>165.161</v>
      </c>
      <c r="M956" s="59">
        <f t="shared" si="31"/>
        <v>0.005502630945</v>
      </c>
    </row>
    <row r="957" ht="15.0" hidden="1" customHeight="1">
      <c r="A957" s="59">
        <f t="shared" si="20"/>
        <v>13</v>
      </c>
      <c r="B957" s="59" t="str">
        <f t="shared" si="21"/>
        <v>Đã chốt</v>
      </c>
      <c r="C957" s="59" t="str">
        <f t="shared" si="22"/>
        <v>Téc 3</v>
      </c>
      <c r="D957" s="45">
        <f t="shared" si="23"/>
        <v>46131</v>
      </c>
      <c r="E957" s="45">
        <f t="shared" si="24"/>
        <v>46165</v>
      </c>
      <c r="F957" s="132">
        <f t="shared" si="25"/>
        <v>5</v>
      </c>
      <c r="G957" s="132">
        <f t="shared" si="26"/>
        <v>2026</v>
      </c>
      <c r="H957" s="59" t="str">
        <f t="shared" si="27"/>
        <v>28C01406</v>
      </c>
      <c r="I957" s="59">
        <f>IF(OR($A957="",$C957="",$D957="",$E957="",$H957=""),"",SUMIFS(DATA_GOC!$H:$H,DATA_GOC!$A:$A,"BOM",DATA_GOC!$D:$D,$H957,DATA_GOC!$E:$E,$C957,DATA_GOC!$F:$F,"Xuất nội bộ từ téc",DATA_GOC!$B:$B,"&gt;="&amp;$D957,DATA_GOC!$B:$B,"&lt;="&amp;$E957))</f>
        <v>1243</v>
      </c>
      <c r="J957" s="59">
        <f t="shared" si="28"/>
        <v>40.098</v>
      </c>
      <c r="K957" s="59">
        <f t="shared" si="29"/>
        <v>0</v>
      </c>
      <c r="L957" s="59">
        <f t="shared" si="30"/>
        <v>1283.098</v>
      </c>
      <c r="M957" s="59">
        <f t="shared" si="31"/>
        <v>0.04274856416</v>
      </c>
    </row>
    <row r="958" ht="15.0" hidden="1" customHeight="1">
      <c r="A958" s="59">
        <f t="shared" si="20"/>
        <v>13</v>
      </c>
      <c r="B958" s="59" t="str">
        <f t="shared" si="21"/>
        <v>Đã chốt</v>
      </c>
      <c r="C958" s="59" t="str">
        <f t="shared" si="22"/>
        <v>Téc 3</v>
      </c>
      <c r="D958" s="45">
        <f t="shared" si="23"/>
        <v>46131</v>
      </c>
      <c r="E958" s="45">
        <f t="shared" si="24"/>
        <v>46165</v>
      </c>
      <c r="F958" s="132">
        <f t="shared" si="25"/>
        <v>5</v>
      </c>
      <c r="G958" s="132">
        <f t="shared" si="26"/>
        <v>2026</v>
      </c>
      <c r="H958" s="59" t="str">
        <f t="shared" si="27"/>
        <v>28C01544</v>
      </c>
      <c r="I958" s="59">
        <f>IF(OR($A958="",$C958="",$D958="",$E958="",$H958=""),"",SUMIFS(DATA_GOC!$H:$H,DATA_GOC!$A:$A,"BOM",DATA_GOC!$D:$D,$H958,DATA_GOC!$E:$E,$C958,DATA_GOC!$F:$F,"Xuất nội bộ từ téc",DATA_GOC!$B:$B,"&gt;="&amp;$D958,DATA_GOC!$B:$B,"&lt;="&amp;$E958))</f>
        <v>107</v>
      </c>
      <c r="J958" s="59">
        <f t="shared" si="28"/>
        <v>3.452</v>
      </c>
      <c r="K958" s="59">
        <f t="shared" si="29"/>
        <v>0</v>
      </c>
      <c r="L958" s="59">
        <f t="shared" si="30"/>
        <v>110.452</v>
      </c>
      <c r="M958" s="59">
        <f t="shared" si="31"/>
        <v>0.003679884445</v>
      </c>
    </row>
    <row r="959" ht="15.0" hidden="1" customHeight="1">
      <c r="A959" s="59">
        <f t="shared" si="20"/>
        <v>13</v>
      </c>
      <c r="B959" s="59" t="str">
        <f t="shared" si="21"/>
        <v>Đã chốt</v>
      </c>
      <c r="C959" s="59" t="str">
        <f t="shared" si="22"/>
        <v>Téc 3</v>
      </c>
      <c r="D959" s="45">
        <f t="shared" si="23"/>
        <v>46131</v>
      </c>
      <c r="E959" s="45">
        <f t="shared" si="24"/>
        <v>46165</v>
      </c>
      <c r="F959" s="132">
        <f t="shared" si="25"/>
        <v>5</v>
      </c>
      <c r="G959" s="132">
        <f t="shared" si="26"/>
        <v>2026</v>
      </c>
      <c r="H959" s="59" t="str">
        <f t="shared" si="27"/>
        <v>28C01622</v>
      </c>
      <c r="I959" s="59">
        <f>IF(OR($A959="",$C959="",$D959="",$E959="",$H959=""),"",SUMIFS(DATA_GOC!$H:$H,DATA_GOC!$A:$A,"BOM",DATA_GOC!$D:$D,$H959,DATA_GOC!$E:$E,$C959,DATA_GOC!$F:$F,"Xuất nội bộ từ téc",DATA_GOC!$B:$B,"&gt;="&amp;$D959,DATA_GOC!$B:$B,"&lt;="&amp;$E959))</f>
        <v>1146</v>
      </c>
      <c r="J959" s="59">
        <f t="shared" si="28"/>
        <v>36.969</v>
      </c>
      <c r="K959" s="59">
        <f t="shared" si="29"/>
        <v>0</v>
      </c>
      <c r="L959" s="59">
        <f t="shared" si="30"/>
        <v>1182.969</v>
      </c>
      <c r="M959" s="59">
        <f t="shared" si="31"/>
        <v>0.03941259415</v>
      </c>
    </row>
    <row r="960" ht="15.0" hidden="1" customHeight="1">
      <c r="A960" s="59">
        <f t="shared" si="20"/>
        <v>13</v>
      </c>
      <c r="B960" s="59" t="str">
        <f t="shared" si="21"/>
        <v>Đã chốt</v>
      </c>
      <c r="C960" s="59" t="str">
        <f t="shared" si="22"/>
        <v>Téc 3</v>
      </c>
      <c r="D960" s="45">
        <f t="shared" si="23"/>
        <v>46131</v>
      </c>
      <c r="E960" s="45">
        <f t="shared" si="24"/>
        <v>46165</v>
      </c>
      <c r="F960" s="132">
        <f t="shared" si="25"/>
        <v>5</v>
      </c>
      <c r="G960" s="132">
        <f t="shared" si="26"/>
        <v>2026</v>
      </c>
      <c r="H960" s="59" t="str">
        <f t="shared" si="27"/>
        <v>28C01647</v>
      </c>
      <c r="I960" s="59">
        <f>IF(OR($A960="",$C960="",$D960="",$E960="",$H960=""),"",SUMIFS(DATA_GOC!$H:$H,DATA_GOC!$A:$A,"BOM",DATA_GOC!$D:$D,$H960,DATA_GOC!$E:$E,$C960,DATA_GOC!$F:$F,"Xuất nội bộ từ téc",DATA_GOC!$B:$B,"&gt;="&amp;$D960,DATA_GOC!$B:$B,"&lt;="&amp;$E960))</f>
        <v>1771</v>
      </c>
      <c r="J960" s="59">
        <f t="shared" si="28"/>
        <v>57.131</v>
      </c>
      <c r="K960" s="59">
        <f t="shared" si="29"/>
        <v>0</v>
      </c>
      <c r="L960" s="59">
        <f t="shared" si="30"/>
        <v>1828.131</v>
      </c>
      <c r="M960" s="59">
        <f t="shared" si="31"/>
        <v>0.06090724628</v>
      </c>
    </row>
    <row r="961" ht="15.0" hidden="1" customHeight="1">
      <c r="A961" s="59">
        <f t="shared" si="20"/>
        <v>13</v>
      </c>
      <c r="B961" s="59" t="str">
        <f t="shared" si="21"/>
        <v>Đã chốt</v>
      </c>
      <c r="C961" s="59" t="str">
        <f t="shared" si="22"/>
        <v>Téc 3</v>
      </c>
      <c r="D961" s="45">
        <f t="shared" si="23"/>
        <v>46131</v>
      </c>
      <c r="E961" s="45">
        <f t="shared" si="24"/>
        <v>46165</v>
      </c>
      <c r="F961" s="132">
        <f t="shared" si="25"/>
        <v>5</v>
      </c>
      <c r="G961" s="132">
        <f t="shared" si="26"/>
        <v>2026</v>
      </c>
      <c r="H961" s="59" t="str">
        <f t="shared" si="27"/>
        <v>28C01731</v>
      </c>
      <c r="I961" s="59">
        <f>IF(OR($A961="",$C961="",$D961="",$E961="",$H961=""),"",SUMIFS(DATA_GOC!$H:$H,DATA_GOC!$A:$A,"BOM",DATA_GOC!$D:$D,$H961,DATA_GOC!$E:$E,$C961,DATA_GOC!$F:$F,"Xuất nội bộ từ téc",DATA_GOC!$B:$B,"&gt;="&amp;$D961,DATA_GOC!$B:$B,"&lt;="&amp;$E961))</f>
        <v>125</v>
      </c>
      <c r="J961" s="59">
        <f t="shared" si="28"/>
        <v>4.032</v>
      </c>
      <c r="K961" s="59">
        <f t="shared" si="29"/>
        <v>0</v>
      </c>
      <c r="L961" s="59">
        <f t="shared" si="30"/>
        <v>129.032</v>
      </c>
      <c r="M961" s="59">
        <f t="shared" si="31"/>
        <v>0.004298930426</v>
      </c>
    </row>
    <row r="962" ht="15.0" hidden="1" customHeight="1">
      <c r="A962" s="59">
        <f t="shared" si="20"/>
        <v>13</v>
      </c>
      <c r="B962" s="59" t="str">
        <f t="shared" si="21"/>
        <v>Đã chốt</v>
      </c>
      <c r="C962" s="59" t="str">
        <f t="shared" si="22"/>
        <v>Téc 3</v>
      </c>
      <c r="D962" s="45">
        <f t="shared" si="23"/>
        <v>46131</v>
      </c>
      <c r="E962" s="45">
        <f t="shared" si="24"/>
        <v>46165</v>
      </c>
      <c r="F962" s="132">
        <f t="shared" si="25"/>
        <v>5</v>
      </c>
      <c r="G962" s="132">
        <f t="shared" si="26"/>
        <v>2026</v>
      </c>
      <c r="H962" s="59" t="str">
        <f t="shared" si="27"/>
        <v>28C01743</v>
      </c>
      <c r="I962" s="59">
        <f>IF(OR($A962="",$C962="",$D962="",$E962="",$H962=""),"",SUMIFS(DATA_GOC!$H:$H,DATA_GOC!$A:$A,"BOM",DATA_GOC!$D:$D,$H962,DATA_GOC!$E:$E,$C962,DATA_GOC!$F:$F,"Xuất nội bộ từ téc",DATA_GOC!$B:$B,"&gt;="&amp;$D962,DATA_GOC!$B:$B,"&lt;="&amp;$E962))</f>
        <v>305</v>
      </c>
      <c r="J962" s="59">
        <f t="shared" si="28"/>
        <v>9.839</v>
      </c>
      <c r="K962" s="59">
        <f t="shared" si="29"/>
        <v>0</v>
      </c>
      <c r="L962" s="59">
        <f t="shared" si="30"/>
        <v>314.839</v>
      </c>
      <c r="M962" s="59">
        <f t="shared" si="31"/>
        <v>0.01048939024</v>
      </c>
    </row>
    <row r="963" ht="15.0" hidden="1" customHeight="1">
      <c r="A963" s="59">
        <f t="shared" si="20"/>
        <v>13</v>
      </c>
      <c r="B963" s="59" t="str">
        <f t="shared" si="21"/>
        <v>Đã chốt</v>
      </c>
      <c r="C963" s="59" t="str">
        <f t="shared" si="22"/>
        <v>Téc 3</v>
      </c>
      <c r="D963" s="45">
        <f t="shared" si="23"/>
        <v>46131</v>
      </c>
      <c r="E963" s="45">
        <f t="shared" si="24"/>
        <v>46165</v>
      </c>
      <c r="F963" s="132">
        <f t="shared" si="25"/>
        <v>5</v>
      </c>
      <c r="G963" s="132">
        <f t="shared" si="26"/>
        <v>2026</v>
      </c>
      <c r="H963" s="59" t="str">
        <f t="shared" si="27"/>
        <v>28C02106</v>
      </c>
      <c r="I963" s="59">
        <f>IF(OR($A963="",$C963="",$D963="",$E963="",$H963=""),"",SUMIFS(DATA_GOC!$H:$H,DATA_GOC!$A:$A,"BOM",DATA_GOC!$D:$D,$H963,DATA_GOC!$E:$E,$C963,DATA_GOC!$F:$F,"Xuất nội bộ từ téc",DATA_GOC!$B:$B,"&gt;="&amp;$D963,DATA_GOC!$B:$B,"&lt;="&amp;$E963))</f>
        <v>0</v>
      </c>
      <c r="J963" s="59">
        <f t="shared" si="28"/>
        <v>0</v>
      </c>
      <c r="K963" s="59">
        <f t="shared" si="29"/>
        <v>0</v>
      </c>
      <c r="L963" s="59">
        <f t="shared" si="30"/>
        <v>0</v>
      </c>
      <c r="M963" s="59">
        <f t="shared" si="31"/>
        <v>0</v>
      </c>
    </row>
    <row r="964" ht="15.0" hidden="1" customHeight="1">
      <c r="A964" s="59">
        <f t="shared" si="20"/>
        <v>13</v>
      </c>
      <c r="B964" s="59" t="str">
        <f t="shared" si="21"/>
        <v>Đã chốt</v>
      </c>
      <c r="C964" s="59" t="str">
        <f t="shared" si="22"/>
        <v>Téc 3</v>
      </c>
      <c r="D964" s="45">
        <f t="shared" si="23"/>
        <v>46131</v>
      </c>
      <c r="E964" s="45">
        <f t="shared" si="24"/>
        <v>46165</v>
      </c>
      <c r="F964" s="132">
        <f t="shared" si="25"/>
        <v>5</v>
      </c>
      <c r="G964" s="132">
        <f t="shared" si="26"/>
        <v>2026</v>
      </c>
      <c r="H964" s="59" t="str">
        <f t="shared" si="27"/>
        <v>28C02410</v>
      </c>
      <c r="I964" s="59">
        <f>IF(OR($A964="",$C964="",$D964="",$E964="",$H964=""),"",SUMIFS(DATA_GOC!$H:$H,DATA_GOC!$A:$A,"BOM",DATA_GOC!$D:$D,$H964,DATA_GOC!$E:$E,$C964,DATA_GOC!$F:$F,"Xuất nội bộ từ téc",DATA_GOC!$B:$B,"&gt;="&amp;$D964,DATA_GOC!$B:$B,"&lt;="&amp;$E964))</f>
        <v>135</v>
      </c>
      <c r="J964" s="59">
        <f t="shared" si="28"/>
        <v>4.355</v>
      </c>
      <c r="K964" s="59">
        <f t="shared" si="29"/>
        <v>0</v>
      </c>
      <c r="L964" s="59">
        <f t="shared" si="30"/>
        <v>139.355</v>
      </c>
      <c r="M964" s="59">
        <f t="shared" si="31"/>
        <v>0.00464284486</v>
      </c>
    </row>
    <row r="965" ht="15.0" hidden="1" customHeight="1">
      <c r="A965" s="59">
        <f t="shared" si="20"/>
        <v>13</v>
      </c>
      <c r="B965" s="59" t="str">
        <f t="shared" si="21"/>
        <v>Đã chốt</v>
      </c>
      <c r="C965" s="59" t="str">
        <f t="shared" si="22"/>
        <v>Téc 3</v>
      </c>
      <c r="D965" s="45">
        <f t="shared" si="23"/>
        <v>46131</v>
      </c>
      <c r="E965" s="45">
        <f t="shared" si="24"/>
        <v>46165</v>
      </c>
      <c r="F965" s="132">
        <f t="shared" si="25"/>
        <v>5</v>
      </c>
      <c r="G965" s="132">
        <f t="shared" si="26"/>
        <v>2026</v>
      </c>
      <c r="H965" s="59" t="str">
        <f t="shared" si="27"/>
        <v>28C02545</v>
      </c>
      <c r="I965" s="59">
        <f>IF(OR($A965="",$C965="",$D965="",$E965="",$H965=""),"",SUMIFS(DATA_GOC!$H:$H,DATA_GOC!$A:$A,"BOM",DATA_GOC!$D:$D,$H965,DATA_GOC!$E:$E,$C965,DATA_GOC!$F:$F,"Xuất nội bộ từ téc",DATA_GOC!$B:$B,"&gt;="&amp;$D965,DATA_GOC!$B:$B,"&lt;="&amp;$E965))</f>
        <v>328</v>
      </c>
      <c r="J965" s="59">
        <f t="shared" si="28"/>
        <v>10.581</v>
      </c>
      <c r="K965" s="59">
        <f t="shared" si="29"/>
        <v>0</v>
      </c>
      <c r="L965" s="59">
        <f t="shared" si="30"/>
        <v>338.581</v>
      </c>
      <c r="M965" s="59">
        <f t="shared" si="31"/>
        <v>0.01128039344</v>
      </c>
    </row>
    <row r="966" ht="15.0" hidden="1" customHeight="1">
      <c r="A966" s="59">
        <f t="shared" si="20"/>
        <v>13</v>
      </c>
      <c r="B966" s="59" t="str">
        <f t="shared" si="21"/>
        <v>Đã chốt</v>
      </c>
      <c r="C966" s="59" t="str">
        <f t="shared" si="22"/>
        <v>Téc 3</v>
      </c>
      <c r="D966" s="45">
        <f t="shared" si="23"/>
        <v>46131</v>
      </c>
      <c r="E966" s="45">
        <f t="shared" si="24"/>
        <v>46165</v>
      </c>
      <c r="F966" s="132">
        <f t="shared" si="25"/>
        <v>5</v>
      </c>
      <c r="G966" s="132">
        <f t="shared" si="26"/>
        <v>2026</v>
      </c>
      <c r="H966" s="59" t="str">
        <f t="shared" si="27"/>
        <v>28C02574</v>
      </c>
      <c r="I966" s="59">
        <f>IF(OR($A966="",$C966="",$D966="",$E966="",$H966=""),"",SUMIFS(DATA_GOC!$H:$H,DATA_GOC!$A:$A,"BOM",DATA_GOC!$D:$D,$H966,DATA_GOC!$E:$E,$C966,DATA_GOC!$F:$F,"Xuất nội bộ từ téc",DATA_GOC!$B:$B,"&gt;="&amp;$D966,DATA_GOC!$B:$B,"&lt;="&amp;$E966))</f>
        <v>0</v>
      </c>
      <c r="J966" s="59">
        <f t="shared" si="28"/>
        <v>0</v>
      </c>
      <c r="K966" s="59">
        <f t="shared" si="29"/>
        <v>0</v>
      </c>
      <c r="L966" s="59">
        <f t="shared" si="30"/>
        <v>0</v>
      </c>
      <c r="M966" s="59">
        <f t="shared" si="31"/>
        <v>0</v>
      </c>
    </row>
    <row r="967" ht="15.0" hidden="1" customHeight="1">
      <c r="A967" s="59">
        <f t="shared" si="20"/>
        <v>13</v>
      </c>
      <c r="B967" s="59" t="str">
        <f t="shared" si="21"/>
        <v>Đã chốt</v>
      </c>
      <c r="C967" s="59" t="str">
        <f t="shared" si="22"/>
        <v>Téc 3</v>
      </c>
      <c r="D967" s="45">
        <f t="shared" si="23"/>
        <v>46131</v>
      </c>
      <c r="E967" s="45">
        <f t="shared" si="24"/>
        <v>46165</v>
      </c>
      <c r="F967" s="132">
        <f t="shared" si="25"/>
        <v>5</v>
      </c>
      <c r="G967" s="132">
        <f t="shared" si="26"/>
        <v>2026</v>
      </c>
      <c r="H967" s="59" t="str">
        <f t="shared" si="27"/>
        <v>28C02770</v>
      </c>
      <c r="I967" s="59">
        <f>IF(OR($A967="",$C967="",$D967="",$E967="",$H967=""),"",SUMIFS(DATA_GOC!$H:$H,DATA_GOC!$A:$A,"BOM",DATA_GOC!$D:$D,$H967,DATA_GOC!$E:$E,$C967,DATA_GOC!$F:$F,"Xuất nội bộ từ téc",DATA_GOC!$B:$B,"&gt;="&amp;$D967,DATA_GOC!$B:$B,"&lt;="&amp;$E967))</f>
        <v>700</v>
      </c>
      <c r="J967" s="59">
        <f t="shared" si="28"/>
        <v>22.581</v>
      </c>
      <c r="K967" s="59">
        <f t="shared" si="29"/>
        <v>0</v>
      </c>
      <c r="L967" s="59">
        <f t="shared" si="30"/>
        <v>722.581</v>
      </c>
      <c r="M967" s="59">
        <f t="shared" si="31"/>
        <v>0.02407401039</v>
      </c>
    </row>
    <row r="968" ht="15.0" hidden="1" customHeight="1">
      <c r="A968" s="59">
        <f t="shared" si="20"/>
        <v>13</v>
      </c>
      <c r="B968" s="59" t="str">
        <f t="shared" si="21"/>
        <v>Đã chốt</v>
      </c>
      <c r="C968" s="59" t="str">
        <f t="shared" si="22"/>
        <v>Téc 3</v>
      </c>
      <c r="D968" s="45">
        <f t="shared" si="23"/>
        <v>46131</v>
      </c>
      <c r="E968" s="45">
        <f t="shared" si="24"/>
        <v>46165</v>
      </c>
      <c r="F968" s="132">
        <f t="shared" si="25"/>
        <v>5</v>
      </c>
      <c r="G968" s="132">
        <f t="shared" si="26"/>
        <v>2026</v>
      </c>
      <c r="H968" s="59" t="str">
        <f t="shared" si="27"/>
        <v>28C02986</v>
      </c>
      <c r="I968" s="59">
        <f>IF(OR($A968="",$C968="",$D968="",$E968="",$H968=""),"",SUMIFS(DATA_GOC!$H:$H,DATA_GOC!$A:$A,"BOM",DATA_GOC!$D:$D,$H968,DATA_GOC!$E:$E,$C968,DATA_GOC!$F:$F,"Xuất nội bộ từ téc",DATA_GOC!$B:$B,"&gt;="&amp;$D968,DATA_GOC!$B:$B,"&lt;="&amp;$E968))</f>
        <v>1352</v>
      </c>
      <c r="J968" s="59">
        <f t="shared" si="28"/>
        <v>43.614</v>
      </c>
      <c r="K968" s="59">
        <f t="shared" si="29"/>
        <v>0</v>
      </c>
      <c r="L968" s="59">
        <f t="shared" si="30"/>
        <v>1395.614</v>
      </c>
      <c r="M968" s="59">
        <f t="shared" si="31"/>
        <v>0.04649723149</v>
      </c>
    </row>
    <row r="969" ht="15.0" hidden="1" customHeight="1">
      <c r="A969" s="59">
        <f t="shared" si="20"/>
        <v>13</v>
      </c>
      <c r="B969" s="59" t="str">
        <f t="shared" si="21"/>
        <v>Đã chốt</v>
      </c>
      <c r="C969" s="59" t="str">
        <f t="shared" si="22"/>
        <v>Téc 3</v>
      </c>
      <c r="D969" s="45">
        <f t="shared" si="23"/>
        <v>46131</v>
      </c>
      <c r="E969" s="45">
        <f t="shared" si="24"/>
        <v>46165</v>
      </c>
      <c r="F969" s="132">
        <f t="shared" si="25"/>
        <v>5</v>
      </c>
      <c r="G969" s="132">
        <f t="shared" si="26"/>
        <v>2026</v>
      </c>
      <c r="H969" s="59" t="str">
        <f t="shared" si="27"/>
        <v>28C03261</v>
      </c>
      <c r="I969" s="59">
        <f>IF(OR($A969="",$C969="",$D969="",$E969="",$H969=""),"",SUMIFS(DATA_GOC!$H:$H,DATA_GOC!$A:$A,"BOM",DATA_GOC!$D:$D,$H969,DATA_GOC!$E:$E,$C969,DATA_GOC!$F:$F,"Xuất nội bộ từ téc",DATA_GOC!$B:$B,"&gt;="&amp;$D969,DATA_GOC!$B:$B,"&lt;="&amp;$E969))</f>
        <v>888</v>
      </c>
      <c r="J969" s="59">
        <f t="shared" si="28"/>
        <v>28.646</v>
      </c>
      <c r="K969" s="59">
        <f t="shared" si="29"/>
        <v>0</v>
      </c>
      <c r="L969" s="59">
        <f t="shared" si="30"/>
        <v>916.646</v>
      </c>
      <c r="M969" s="59">
        <f t="shared" si="31"/>
        <v>0.03053960175</v>
      </c>
    </row>
    <row r="970" ht="15.0" hidden="1" customHeight="1">
      <c r="A970" s="59">
        <f t="shared" si="20"/>
        <v>13</v>
      </c>
      <c r="B970" s="59" t="str">
        <f t="shared" si="21"/>
        <v>Đã chốt</v>
      </c>
      <c r="C970" s="59" t="str">
        <f t="shared" si="22"/>
        <v>Téc 3</v>
      </c>
      <c r="D970" s="45">
        <f t="shared" si="23"/>
        <v>46131</v>
      </c>
      <c r="E970" s="45">
        <f t="shared" si="24"/>
        <v>46165</v>
      </c>
      <c r="F970" s="132">
        <f t="shared" si="25"/>
        <v>5</v>
      </c>
      <c r="G970" s="132">
        <f t="shared" si="26"/>
        <v>2026</v>
      </c>
      <c r="H970" s="59" t="str">
        <f t="shared" si="27"/>
        <v>28C03323</v>
      </c>
      <c r="I970" s="59">
        <f>IF(OR($A970="",$C970="",$D970="",$E970="",$H970=""),"",SUMIFS(DATA_GOC!$H:$H,DATA_GOC!$A:$A,"BOM",DATA_GOC!$D:$D,$H970,DATA_GOC!$E:$E,$C970,DATA_GOC!$F:$F,"Xuất nội bộ từ téc",DATA_GOC!$B:$B,"&gt;="&amp;$D970,DATA_GOC!$B:$B,"&lt;="&amp;$E970))</f>
        <v>682</v>
      </c>
      <c r="J970" s="59">
        <f t="shared" si="28"/>
        <v>22.001</v>
      </c>
      <c r="K970" s="59">
        <f t="shared" si="29"/>
        <v>0</v>
      </c>
      <c r="L970" s="59">
        <f t="shared" si="30"/>
        <v>704.001</v>
      </c>
      <c r="M970" s="59">
        <f t="shared" si="31"/>
        <v>0.0234549644</v>
      </c>
    </row>
    <row r="971" ht="15.0" hidden="1" customHeight="1">
      <c r="A971" s="59">
        <f t="shared" si="20"/>
        <v>13</v>
      </c>
      <c r="B971" s="59" t="str">
        <f t="shared" si="21"/>
        <v>Đã chốt</v>
      </c>
      <c r="C971" s="59" t="str">
        <f t="shared" si="22"/>
        <v>Téc 3</v>
      </c>
      <c r="D971" s="45">
        <f t="shared" si="23"/>
        <v>46131</v>
      </c>
      <c r="E971" s="45">
        <f t="shared" si="24"/>
        <v>46165</v>
      </c>
      <c r="F971" s="132">
        <f t="shared" si="25"/>
        <v>5</v>
      </c>
      <c r="G971" s="132">
        <f t="shared" si="26"/>
        <v>2026</v>
      </c>
      <c r="H971" s="59" t="str">
        <f t="shared" si="27"/>
        <v>28C03385</v>
      </c>
      <c r="I971" s="59">
        <f>IF(OR($A971="",$C971="",$D971="",$E971="",$H971=""),"",SUMIFS(DATA_GOC!$H:$H,DATA_GOC!$A:$A,"BOM",DATA_GOC!$D:$D,$H971,DATA_GOC!$E:$E,$C971,DATA_GOC!$F:$F,"Xuất nội bộ từ téc",DATA_GOC!$B:$B,"&gt;="&amp;$D971,DATA_GOC!$B:$B,"&lt;="&amp;$E971))</f>
        <v>790</v>
      </c>
      <c r="J971" s="59">
        <f t="shared" si="28"/>
        <v>25.485</v>
      </c>
      <c r="K971" s="59">
        <f t="shared" si="29"/>
        <v>0</v>
      </c>
      <c r="L971" s="59">
        <f t="shared" si="30"/>
        <v>815.485</v>
      </c>
      <c r="M971" s="59">
        <f t="shared" si="31"/>
        <v>0.02716924029</v>
      </c>
    </row>
    <row r="972" ht="15.0" hidden="1" customHeight="1">
      <c r="A972" s="59">
        <f t="shared" si="20"/>
        <v>13</v>
      </c>
      <c r="B972" s="59" t="str">
        <f t="shared" si="21"/>
        <v>Đã chốt</v>
      </c>
      <c r="C972" s="59" t="str">
        <f t="shared" si="22"/>
        <v>Téc 3</v>
      </c>
      <c r="D972" s="45">
        <f t="shared" si="23"/>
        <v>46131</v>
      </c>
      <c r="E972" s="45">
        <f t="shared" si="24"/>
        <v>46165</v>
      </c>
      <c r="F972" s="132">
        <f t="shared" si="25"/>
        <v>5</v>
      </c>
      <c r="G972" s="132">
        <f t="shared" si="26"/>
        <v>2026</v>
      </c>
      <c r="H972" s="59" t="str">
        <f t="shared" si="27"/>
        <v>28C03652</v>
      </c>
      <c r="I972" s="59">
        <f>IF(OR($A972="",$C972="",$D972="",$E972="",$H972=""),"",SUMIFS(DATA_GOC!$H:$H,DATA_GOC!$A:$A,"BOM",DATA_GOC!$D:$D,$H972,DATA_GOC!$E:$E,$C972,DATA_GOC!$F:$F,"Xuất nội bộ từ téc",DATA_GOC!$B:$B,"&gt;="&amp;$D972,DATA_GOC!$B:$B,"&lt;="&amp;$E972))</f>
        <v>220</v>
      </c>
      <c r="J972" s="59">
        <f t="shared" si="28"/>
        <v>7.097</v>
      </c>
      <c r="K972" s="59">
        <f t="shared" si="29"/>
        <v>0</v>
      </c>
      <c r="L972" s="59">
        <f t="shared" si="30"/>
        <v>227.097</v>
      </c>
      <c r="M972" s="59">
        <f t="shared" si="31"/>
        <v>0.00756611755</v>
      </c>
    </row>
    <row r="973" ht="15.0" hidden="1" customHeight="1">
      <c r="A973" s="59">
        <f t="shared" si="20"/>
        <v>13</v>
      </c>
      <c r="B973" s="59" t="str">
        <f t="shared" si="21"/>
        <v>Đã chốt</v>
      </c>
      <c r="C973" s="59" t="str">
        <f t="shared" si="22"/>
        <v>Téc 3</v>
      </c>
      <c r="D973" s="45">
        <f t="shared" si="23"/>
        <v>46131</v>
      </c>
      <c r="E973" s="45">
        <f t="shared" si="24"/>
        <v>46165</v>
      </c>
      <c r="F973" s="132">
        <f t="shared" si="25"/>
        <v>5</v>
      </c>
      <c r="G973" s="132">
        <f t="shared" si="26"/>
        <v>2026</v>
      </c>
      <c r="H973" s="59" t="str">
        <f t="shared" si="27"/>
        <v>28C03695</v>
      </c>
      <c r="I973" s="59">
        <f>IF(OR($A973="",$C973="",$D973="",$E973="",$H973=""),"",SUMIFS(DATA_GOC!$H:$H,DATA_GOC!$A:$A,"BOM",DATA_GOC!$D:$D,$H973,DATA_GOC!$E:$E,$C973,DATA_GOC!$F:$F,"Xuất nội bộ từ téc",DATA_GOC!$B:$B,"&gt;="&amp;$D973,DATA_GOC!$B:$B,"&lt;="&amp;$E973))</f>
        <v>197</v>
      </c>
      <c r="J973" s="59">
        <f t="shared" si="28"/>
        <v>6.355</v>
      </c>
      <c r="K973" s="59">
        <f t="shared" si="29"/>
        <v>0</v>
      </c>
      <c r="L973" s="59">
        <f t="shared" si="30"/>
        <v>203.355</v>
      </c>
      <c r="M973" s="59">
        <f t="shared" si="31"/>
        <v>0.006775114352</v>
      </c>
    </row>
    <row r="974" ht="15.0" hidden="1" customHeight="1">
      <c r="A974" s="59">
        <f t="shared" si="20"/>
        <v>13</v>
      </c>
      <c r="B974" s="59" t="str">
        <f t="shared" si="21"/>
        <v>Đã chốt</v>
      </c>
      <c r="C974" s="59" t="str">
        <f t="shared" si="22"/>
        <v>Téc 3</v>
      </c>
      <c r="D974" s="45">
        <f t="shared" si="23"/>
        <v>46131</v>
      </c>
      <c r="E974" s="45">
        <f t="shared" si="24"/>
        <v>46165</v>
      </c>
      <c r="F974" s="132">
        <f t="shared" si="25"/>
        <v>5</v>
      </c>
      <c r="G974" s="132">
        <f t="shared" si="26"/>
        <v>2026</v>
      </c>
      <c r="H974" s="59" t="str">
        <f t="shared" si="27"/>
        <v>28C03927</v>
      </c>
      <c r="I974" s="59">
        <f>IF(OR($A974="",$C974="",$D974="",$E974="",$H974=""),"",SUMIFS(DATA_GOC!$H:$H,DATA_GOC!$A:$A,"BOM",DATA_GOC!$D:$D,$H974,DATA_GOC!$E:$E,$C974,DATA_GOC!$F:$F,"Xuất nội bộ từ téc",DATA_GOC!$B:$B,"&gt;="&amp;$D974,DATA_GOC!$B:$B,"&lt;="&amp;$E974))</f>
        <v>905</v>
      </c>
      <c r="J974" s="59">
        <f t="shared" si="28"/>
        <v>29.195</v>
      </c>
      <c r="K974" s="59">
        <f t="shared" si="29"/>
        <v>0</v>
      </c>
      <c r="L974" s="59">
        <f t="shared" si="30"/>
        <v>934.195</v>
      </c>
      <c r="M974" s="59">
        <f t="shared" si="31"/>
        <v>0.03112425629</v>
      </c>
    </row>
    <row r="975" ht="15.0" hidden="1" customHeight="1">
      <c r="A975" s="59">
        <f t="shared" si="20"/>
        <v>13</v>
      </c>
      <c r="B975" s="59" t="str">
        <f t="shared" si="21"/>
        <v>Đã chốt</v>
      </c>
      <c r="C975" s="59" t="str">
        <f t="shared" si="22"/>
        <v>Téc 3</v>
      </c>
      <c r="D975" s="45">
        <f t="shared" si="23"/>
        <v>46131</v>
      </c>
      <c r="E975" s="45">
        <f t="shared" si="24"/>
        <v>46165</v>
      </c>
      <c r="F975" s="132">
        <f t="shared" si="25"/>
        <v>5</v>
      </c>
      <c r="G975" s="132">
        <f t="shared" si="26"/>
        <v>2026</v>
      </c>
      <c r="H975" s="59" t="str">
        <f t="shared" si="27"/>
        <v>28C04509</v>
      </c>
      <c r="I975" s="59">
        <f>IF(OR($A975="",$C975="",$D975="",$E975="",$H975=""),"",SUMIFS(DATA_GOC!$H:$H,DATA_GOC!$A:$A,"BOM",DATA_GOC!$D:$D,$H975,DATA_GOC!$E:$E,$C975,DATA_GOC!$F:$F,"Xuất nội bộ từ téc",DATA_GOC!$B:$B,"&gt;="&amp;$D975,DATA_GOC!$B:$B,"&lt;="&amp;$E975))</f>
        <v>102</v>
      </c>
      <c r="J975" s="59">
        <f t="shared" si="28"/>
        <v>3.29</v>
      </c>
      <c r="K975" s="59">
        <f t="shared" si="29"/>
        <v>0</v>
      </c>
      <c r="L975" s="59">
        <f t="shared" si="30"/>
        <v>105.29</v>
      </c>
      <c r="M975" s="59">
        <f t="shared" si="31"/>
        <v>0.003507927228</v>
      </c>
    </row>
    <row r="976" ht="15.0" hidden="1" customHeight="1">
      <c r="A976" s="59">
        <f t="shared" si="20"/>
        <v>13</v>
      </c>
      <c r="B976" s="59" t="str">
        <f t="shared" si="21"/>
        <v>Đã chốt</v>
      </c>
      <c r="C976" s="59" t="str">
        <f t="shared" si="22"/>
        <v>Téc 3</v>
      </c>
      <c r="D976" s="45">
        <f t="shared" si="23"/>
        <v>46131</v>
      </c>
      <c r="E976" s="45">
        <f t="shared" si="24"/>
        <v>46165</v>
      </c>
      <c r="F976" s="132">
        <f t="shared" si="25"/>
        <v>5</v>
      </c>
      <c r="G976" s="132">
        <f t="shared" si="26"/>
        <v>2026</v>
      </c>
      <c r="H976" s="59" t="str">
        <f t="shared" si="27"/>
        <v>28C04536</v>
      </c>
      <c r="I976" s="59">
        <f>IF(OR($A976="",$C976="",$D976="",$E976="",$H976=""),"",SUMIFS(DATA_GOC!$H:$H,DATA_GOC!$A:$A,"BOM",DATA_GOC!$D:$D,$H976,DATA_GOC!$E:$E,$C976,DATA_GOC!$F:$F,"Xuất nội bộ từ téc",DATA_GOC!$B:$B,"&gt;="&amp;$D976,DATA_GOC!$B:$B,"&lt;="&amp;$E976))</f>
        <v>0</v>
      </c>
      <c r="J976" s="59">
        <f t="shared" si="28"/>
        <v>0</v>
      </c>
      <c r="K976" s="59">
        <f t="shared" si="29"/>
        <v>0</v>
      </c>
      <c r="L976" s="59">
        <f t="shared" si="30"/>
        <v>0</v>
      </c>
      <c r="M976" s="59">
        <f t="shared" si="31"/>
        <v>0</v>
      </c>
    </row>
    <row r="977" ht="15.0" hidden="1" customHeight="1">
      <c r="A977" s="59">
        <f t="shared" si="20"/>
        <v>13</v>
      </c>
      <c r="B977" s="59" t="str">
        <f t="shared" si="21"/>
        <v>Đã chốt</v>
      </c>
      <c r="C977" s="59" t="str">
        <f t="shared" si="22"/>
        <v>Téc 3</v>
      </c>
      <c r="D977" s="45">
        <f t="shared" si="23"/>
        <v>46131</v>
      </c>
      <c r="E977" s="45">
        <f t="shared" si="24"/>
        <v>46165</v>
      </c>
      <c r="F977" s="132">
        <f t="shared" si="25"/>
        <v>5</v>
      </c>
      <c r="G977" s="132">
        <f t="shared" si="26"/>
        <v>2026</v>
      </c>
      <c r="H977" s="59" t="str">
        <f t="shared" si="27"/>
        <v>28C04576</v>
      </c>
      <c r="I977" s="59">
        <f>IF(OR($A977="",$C977="",$D977="",$E977="",$H977=""),"",SUMIFS(DATA_GOC!$H:$H,DATA_GOC!$A:$A,"BOM",DATA_GOC!$D:$D,$H977,DATA_GOC!$E:$E,$C977,DATA_GOC!$F:$F,"Xuất nội bộ từ téc",DATA_GOC!$B:$B,"&gt;="&amp;$D977,DATA_GOC!$B:$B,"&lt;="&amp;$E977))</f>
        <v>800</v>
      </c>
      <c r="J977" s="59">
        <f t="shared" si="28"/>
        <v>25.807</v>
      </c>
      <c r="K977" s="59">
        <f t="shared" si="29"/>
        <v>0</v>
      </c>
      <c r="L977" s="59">
        <f t="shared" si="30"/>
        <v>825.807</v>
      </c>
      <c r="M977" s="59">
        <f t="shared" si="31"/>
        <v>0.02751315473</v>
      </c>
    </row>
    <row r="978" ht="15.0" hidden="1" customHeight="1">
      <c r="A978" s="59">
        <f t="shared" si="20"/>
        <v>13</v>
      </c>
      <c r="B978" s="59" t="str">
        <f t="shared" si="21"/>
        <v>Đã chốt</v>
      </c>
      <c r="C978" s="59" t="str">
        <f t="shared" si="22"/>
        <v>Téc 3</v>
      </c>
      <c r="D978" s="45">
        <f t="shared" si="23"/>
        <v>46131</v>
      </c>
      <c r="E978" s="45">
        <f t="shared" si="24"/>
        <v>46165</v>
      </c>
      <c r="F978" s="132">
        <f t="shared" si="25"/>
        <v>5</v>
      </c>
      <c r="G978" s="132">
        <f t="shared" si="26"/>
        <v>2026</v>
      </c>
      <c r="H978" s="59" t="str">
        <f t="shared" si="27"/>
        <v>28C05090</v>
      </c>
      <c r="I978" s="59">
        <f>IF(OR($A978="",$C978="",$D978="",$E978="",$H978=""),"",SUMIFS(DATA_GOC!$H:$H,DATA_GOC!$A:$A,"BOM",DATA_GOC!$D:$D,$H978,DATA_GOC!$E:$E,$C978,DATA_GOC!$F:$F,"Xuất nội bộ từ téc",DATA_GOC!$B:$B,"&gt;="&amp;$D978,DATA_GOC!$B:$B,"&lt;="&amp;$E978))</f>
        <v>0</v>
      </c>
      <c r="J978" s="59">
        <f t="shared" si="28"/>
        <v>0</v>
      </c>
      <c r="K978" s="59">
        <f t="shared" si="29"/>
        <v>0</v>
      </c>
      <c r="L978" s="59">
        <f t="shared" si="30"/>
        <v>0</v>
      </c>
      <c r="M978" s="59">
        <f t="shared" si="31"/>
        <v>0</v>
      </c>
    </row>
    <row r="979" ht="15.0" hidden="1" customHeight="1">
      <c r="A979" s="59">
        <f t="shared" si="20"/>
        <v>13</v>
      </c>
      <c r="B979" s="59" t="str">
        <f t="shared" si="21"/>
        <v>Đã chốt</v>
      </c>
      <c r="C979" s="59" t="str">
        <f t="shared" si="22"/>
        <v>Téc 3</v>
      </c>
      <c r="D979" s="45">
        <f t="shared" si="23"/>
        <v>46131</v>
      </c>
      <c r="E979" s="45">
        <f t="shared" si="24"/>
        <v>46165</v>
      </c>
      <c r="F979" s="132">
        <f t="shared" si="25"/>
        <v>5</v>
      </c>
      <c r="G979" s="132">
        <f t="shared" si="26"/>
        <v>2026</v>
      </c>
      <c r="H979" s="59" t="str">
        <f t="shared" si="27"/>
        <v>28C05345</v>
      </c>
      <c r="I979" s="59">
        <f>IF(OR($A979="",$C979="",$D979="",$E979="",$H979=""),"",SUMIFS(DATA_GOC!$H:$H,DATA_GOC!$A:$A,"BOM",DATA_GOC!$D:$D,$H979,DATA_GOC!$E:$E,$C979,DATA_GOC!$F:$F,"Xuất nội bộ từ téc",DATA_GOC!$B:$B,"&gt;="&amp;$D979,DATA_GOC!$B:$B,"&lt;="&amp;$E979))</f>
        <v>579</v>
      </c>
      <c r="J979" s="59">
        <f t="shared" si="28"/>
        <v>18.678</v>
      </c>
      <c r="K979" s="59">
        <f t="shared" si="29"/>
        <v>0</v>
      </c>
      <c r="L979" s="59">
        <f t="shared" si="30"/>
        <v>597.678</v>
      </c>
      <c r="M979" s="59">
        <f t="shared" si="31"/>
        <v>0.01991264573</v>
      </c>
    </row>
    <row r="980" ht="15.0" hidden="1" customHeight="1">
      <c r="A980" s="59">
        <f t="shared" si="20"/>
        <v>13</v>
      </c>
      <c r="B980" s="59" t="str">
        <f t="shared" si="21"/>
        <v>Đã chốt</v>
      </c>
      <c r="C980" s="59" t="str">
        <f t="shared" si="22"/>
        <v>Téc 3</v>
      </c>
      <c r="D980" s="45">
        <f t="shared" si="23"/>
        <v>46131</v>
      </c>
      <c r="E980" s="45">
        <f t="shared" si="24"/>
        <v>46165</v>
      </c>
      <c r="F980" s="132">
        <f t="shared" si="25"/>
        <v>5</v>
      </c>
      <c r="G980" s="132">
        <f t="shared" si="26"/>
        <v>2026</v>
      </c>
      <c r="H980" s="59" t="str">
        <f t="shared" si="27"/>
        <v>28C05661</v>
      </c>
      <c r="I980" s="59">
        <f>IF(OR($A980="",$C980="",$D980="",$E980="",$H980=""),"",SUMIFS(DATA_GOC!$H:$H,DATA_GOC!$A:$A,"BOM",DATA_GOC!$D:$D,$H980,DATA_GOC!$E:$E,$C980,DATA_GOC!$F:$F,"Xuất nội bộ từ téc",DATA_GOC!$B:$B,"&gt;="&amp;$D980,DATA_GOC!$B:$B,"&lt;="&amp;$E980))</f>
        <v>0</v>
      </c>
      <c r="J980" s="59">
        <f t="shared" si="28"/>
        <v>0</v>
      </c>
      <c r="K980" s="59">
        <f t="shared" si="29"/>
        <v>0</v>
      </c>
      <c r="L980" s="59">
        <f t="shared" si="30"/>
        <v>0</v>
      </c>
      <c r="M980" s="59">
        <f t="shared" si="31"/>
        <v>0</v>
      </c>
    </row>
    <row r="981" ht="15.0" hidden="1" customHeight="1">
      <c r="A981" s="59">
        <f t="shared" si="20"/>
        <v>13</v>
      </c>
      <c r="B981" s="59" t="str">
        <f t="shared" si="21"/>
        <v>Đã chốt</v>
      </c>
      <c r="C981" s="59" t="str">
        <f t="shared" si="22"/>
        <v>Téc 3</v>
      </c>
      <c r="D981" s="45">
        <f t="shared" si="23"/>
        <v>46131</v>
      </c>
      <c r="E981" s="45">
        <f t="shared" si="24"/>
        <v>46165</v>
      </c>
      <c r="F981" s="132">
        <f t="shared" si="25"/>
        <v>5</v>
      </c>
      <c r="G981" s="132">
        <f t="shared" si="26"/>
        <v>2026</v>
      </c>
      <c r="H981" s="59" t="str">
        <f t="shared" si="27"/>
        <v>28C05739</v>
      </c>
      <c r="I981" s="59">
        <f>IF(OR($A981="",$C981="",$D981="",$E981="",$H981=""),"",SUMIFS(DATA_GOC!$H:$H,DATA_GOC!$A:$A,"BOM",DATA_GOC!$D:$D,$H981,DATA_GOC!$E:$E,$C981,DATA_GOC!$F:$F,"Xuất nội bộ từ téc",DATA_GOC!$B:$B,"&gt;="&amp;$D981,DATA_GOC!$B:$B,"&lt;="&amp;$E981))</f>
        <v>973</v>
      </c>
      <c r="J981" s="59">
        <f t="shared" si="28"/>
        <v>31.388</v>
      </c>
      <c r="K981" s="59">
        <f t="shared" si="29"/>
        <v>0</v>
      </c>
      <c r="L981" s="59">
        <f t="shared" si="30"/>
        <v>1004.388</v>
      </c>
      <c r="M981" s="59">
        <f t="shared" si="31"/>
        <v>0.03346287444</v>
      </c>
    </row>
    <row r="982" ht="15.0" hidden="1" customHeight="1">
      <c r="A982" s="59">
        <f t="shared" si="20"/>
        <v>13</v>
      </c>
      <c r="B982" s="59" t="str">
        <f t="shared" si="21"/>
        <v>Đã chốt</v>
      </c>
      <c r="C982" s="59" t="str">
        <f t="shared" si="22"/>
        <v>Téc 3</v>
      </c>
      <c r="D982" s="45">
        <f t="shared" si="23"/>
        <v>46131</v>
      </c>
      <c r="E982" s="45">
        <f t="shared" si="24"/>
        <v>46165</v>
      </c>
      <c r="F982" s="132">
        <f t="shared" si="25"/>
        <v>5</v>
      </c>
      <c r="G982" s="132">
        <f t="shared" si="26"/>
        <v>2026</v>
      </c>
      <c r="H982" s="59" t="str">
        <f t="shared" si="27"/>
        <v>28C06369</v>
      </c>
      <c r="I982" s="59">
        <f>IF(OR($A982="",$C982="",$D982="",$E982="",$H982=""),"",SUMIFS(DATA_GOC!$H:$H,DATA_GOC!$A:$A,"BOM",DATA_GOC!$D:$D,$H982,DATA_GOC!$E:$E,$C982,DATA_GOC!$F:$F,"Xuất nội bộ từ téc",DATA_GOC!$B:$B,"&gt;="&amp;$D982,DATA_GOC!$B:$B,"&lt;="&amp;$E982))</f>
        <v>685</v>
      </c>
      <c r="J982" s="59">
        <f t="shared" si="28"/>
        <v>22.098</v>
      </c>
      <c r="K982" s="59">
        <f t="shared" si="29"/>
        <v>0</v>
      </c>
      <c r="L982" s="59">
        <f t="shared" si="30"/>
        <v>707.098</v>
      </c>
      <c r="M982" s="59">
        <f t="shared" si="31"/>
        <v>0.02355813874</v>
      </c>
    </row>
    <row r="983" ht="15.0" hidden="1" customHeight="1">
      <c r="A983" s="59">
        <f t="shared" si="20"/>
        <v>13</v>
      </c>
      <c r="B983" s="59" t="str">
        <f t="shared" si="21"/>
        <v>Đã chốt</v>
      </c>
      <c r="C983" s="59" t="str">
        <f t="shared" si="22"/>
        <v>Téc 3</v>
      </c>
      <c r="D983" s="45">
        <f t="shared" si="23"/>
        <v>46131</v>
      </c>
      <c r="E983" s="45">
        <f t="shared" si="24"/>
        <v>46165</v>
      </c>
      <c r="F983" s="132">
        <f t="shared" si="25"/>
        <v>5</v>
      </c>
      <c r="G983" s="132">
        <f t="shared" si="26"/>
        <v>2026</v>
      </c>
      <c r="H983" s="59" t="str">
        <f t="shared" si="27"/>
        <v>28C06447</v>
      </c>
      <c r="I983" s="59">
        <f>IF(OR($A983="",$C983="",$D983="",$E983="",$H983=""),"",SUMIFS(DATA_GOC!$H:$H,DATA_GOC!$A:$A,"BOM",DATA_GOC!$D:$D,$H983,DATA_GOC!$E:$E,$C983,DATA_GOC!$F:$F,"Xuất nội bộ từ téc",DATA_GOC!$B:$B,"&gt;="&amp;$D983,DATA_GOC!$B:$B,"&lt;="&amp;$E983))</f>
        <v>1125</v>
      </c>
      <c r="J983" s="59">
        <f t="shared" si="28"/>
        <v>36.292</v>
      </c>
      <c r="K983" s="59">
        <f t="shared" si="29"/>
        <v>0</v>
      </c>
      <c r="L983" s="59">
        <f t="shared" si="30"/>
        <v>1161.292</v>
      </c>
      <c r="M983" s="59">
        <f t="shared" si="31"/>
        <v>0.03869037383</v>
      </c>
    </row>
    <row r="984" ht="15.0" hidden="1" customHeight="1">
      <c r="A984" s="59">
        <f t="shared" si="20"/>
        <v>13</v>
      </c>
      <c r="B984" s="59" t="str">
        <f t="shared" si="21"/>
        <v>Đã chốt</v>
      </c>
      <c r="C984" s="59" t="str">
        <f t="shared" si="22"/>
        <v>Téc 3</v>
      </c>
      <c r="D984" s="45">
        <f t="shared" si="23"/>
        <v>46131</v>
      </c>
      <c r="E984" s="45">
        <f t="shared" si="24"/>
        <v>46165</v>
      </c>
      <c r="F984" s="132">
        <f t="shared" si="25"/>
        <v>5</v>
      </c>
      <c r="G984" s="132">
        <f t="shared" si="26"/>
        <v>2026</v>
      </c>
      <c r="H984" s="59" t="str">
        <f t="shared" si="27"/>
        <v>28H00003</v>
      </c>
      <c r="I984" s="59">
        <f>IF(OR($A984="",$C984="",$D984="",$E984="",$H984=""),"",SUMIFS(DATA_GOC!$H:$H,DATA_GOC!$A:$A,"BOM",DATA_GOC!$D:$D,$H984,DATA_GOC!$E:$E,$C984,DATA_GOC!$F:$F,"Xuất nội bộ từ téc",DATA_GOC!$B:$B,"&gt;="&amp;$D984,DATA_GOC!$B:$B,"&lt;="&amp;$E984))</f>
        <v>1615</v>
      </c>
      <c r="J984" s="59">
        <f t="shared" si="28"/>
        <v>52.099</v>
      </c>
      <c r="K984" s="59">
        <f t="shared" si="29"/>
        <v>0</v>
      </c>
      <c r="L984" s="59">
        <f t="shared" si="30"/>
        <v>1667.099</v>
      </c>
      <c r="M984" s="59">
        <f t="shared" si="31"/>
        <v>0.05554218111</v>
      </c>
    </row>
    <row r="985" ht="15.0" hidden="1" customHeight="1">
      <c r="A985" s="59">
        <f t="shared" si="20"/>
        <v>13</v>
      </c>
      <c r="B985" s="59" t="str">
        <f t="shared" si="21"/>
        <v>Đã chốt</v>
      </c>
      <c r="C985" s="59" t="str">
        <f t="shared" si="22"/>
        <v>Téc 3</v>
      </c>
      <c r="D985" s="45">
        <f t="shared" si="23"/>
        <v>46131</v>
      </c>
      <c r="E985" s="45">
        <f t="shared" si="24"/>
        <v>46165</v>
      </c>
      <c r="F985" s="132">
        <f t="shared" si="25"/>
        <v>5</v>
      </c>
      <c r="G985" s="132">
        <f t="shared" si="26"/>
        <v>2026</v>
      </c>
      <c r="H985" s="59" t="str">
        <f t="shared" si="27"/>
        <v>28H00061</v>
      </c>
      <c r="I985" s="59">
        <f>IF(OR($A985="",$C985="",$D985="",$E985="",$H985=""),"",SUMIFS(DATA_GOC!$H:$H,DATA_GOC!$A:$A,"BOM",DATA_GOC!$D:$D,$H985,DATA_GOC!$E:$E,$C985,DATA_GOC!$F:$F,"Xuất nội bộ từ téc",DATA_GOC!$B:$B,"&gt;="&amp;$D985,DATA_GOC!$B:$B,"&lt;="&amp;$E985))</f>
        <v>708</v>
      </c>
      <c r="J985" s="59">
        <f t="shared" si="28"/>
        <v>22.839</v>
      </c>
      <c r="K985" s="59">
        <f t="shared" si="29"/>
        <v>0</v>
      </c>
      <c r="L985" s="59">
        <f t="shared" si="30"/>
        <v>730.839</v>
      </c>
      <c r="M985" s="59">
        <f t="shared" si="31"/>
        <v>0.02434914193</v>
      </c>
    </row>
    <row r="986" ht="15.0" hidden="1" customHeight="1">
      <c r="A986" s="59">
        <f t="shared" si="20"/>
        <v>13</v>
      </c>
      <c r="B986" s="59" t="str">
        <f t="shared" si="21"/>
        <v>Đã chốt</v>
      </c>
      <c r="C986" s="59" t="str">
        <f t="shared" si="22"/>
        <v>Téc 3</v>
      </c>
      <c r="D986" s="45">
        <f t="shared" si="23"/>
        <v>46131</v>
      </c>
      <c r="E986" s="45">
        <f t="shared" si="24"/>
        <v>46165</v>
      </c>
      <c r="F986" s="132">
        <f t="shared" si="25"/>
        <v>5</v>
      </c>
      <c r="G986" s="132">
        <f t="shared" si="26"/>
        <v>2026</v>
      </c>
      <c r="H986" s="59" t="str">
        <f t="shared" si="27"/>
        <v>28H00354</v>
      </c>
      <c r="I986" s="59">
        <f>IF(OR($A986="",$C986="",$D986="",$E986="",$H986=""),"",SUMIFS(DATA_GOC!$H:$H,DATA_GOC!$A:$A,"BOM",DATA_GOC!$D:$D,$H986,DATA_GOC!$E:$E,$C986,DATA_GOC!$F:$F,"Xuất nội bộ từ téc",DATA_GOC!$B:$B,"&gt;="&amp;$D986,DATA_GOC!$B:$B,"&lt;="&amp;$E986))</f>
        <v>733</v>
      </c>
      <c r="J986" s="59">
        <f t="shared" si="28"/>
        <v>23.646</v>
      </c>
      <c r="K986" s="59">
        <f t="shared" si="29"/>
        <v>0</v>
      </c>
      <c r="L986" s="59">
        <f t="shared" si="30"/>
        <v>756.646</v>
      </c>
      <c r="M986" s="59">
        <f t="shared" si="31"/>
        <v>0.02520892802</v>
      </c>
    </row>
    <row r="987" ht="15.0" hidden="1" customHeight="1">
      <c r="A987" s="59">
        <f t="shared" si="20"/>
        <v>13</v>
      </c>
      <c r="B987" s="59" t="str">
        <f t="shared" si="21"/>
        <v>Đã chốt</v>
      </c>
      <c r="C987" s="59" t="str">
        <f t="shared" si="22"/>
        <v>Téc 3</v>
      </c>
      <c r="D987" s="45">
        <f t="shared" si="23"/>
        <v>46131</v>
      </c>
      <c r="E987" s="45">
        <f t="shared" si="24"/>
        <v>46165</v>
      </c>
      <c r="F987" s="132">
        <f t="shared" si="25"/>
        <v>5</v>
      </c>
      <c r="G987" s="132">
        <f t="shared" si="26"/>
        <v>2026</v>
      </c>
      <c r="H987" s="59" t="str">
        <f t="shared" si="27"/>
        <v>28H00603</v>
      </c>
      <c r="I987" s="59">
        <f>IF(OR($A987="",$C987="",$D987="",$E987="",$H987=""),"",SUMIFS(DATA_GOC!$H:$H,DATA_GOC!$A:$A,"BOM",DATA_GOC!$D:$D,$H987,DATA_GOC!$E:$E,$C987,DATA_GOC!$F:$F,"Xuất nội bộ từ téc",DATA_GOC!$B:$B,"&gt;="&amp;$D987,DATA_GOC!$B:$B,"&lt;="&amp;$E987))</f>
        <v>450</v>
      </c>
      <c r="J987" s="59">
        <f t="shared" si="28"/>
        <v>14.517</v>
      </c>
      <c r="K987" s="59">
        <f t="shared" si="29"/>
        <v>0</v>
      </c>
      <c r="L987" s="59">
        <f t="shared" si="30"/>
        <v>464.517</v>
      </c>
      <c r="M987" s="59">
        <f t="shared" si="31"/>
        <v>0.01547614953</v>
      </c>
    </row>
    <row r="988" ht="15.0" hidden="1" customHeight="1">
      <c r="A988" s="59">
        <f t="shared" si="20"/>
        <v>13</v>
      </c>
      <c r="B988" s="59" t="str">
        <f t="shared" si="21"/>
        <v>Đã chốt</v>
      </c>
      <c r="C988" s="59" t="str">
        <f t="shared" si="22"/>
        <v>Téc 3</v>
      </c>
      <c r="D988" s="45">
        <f t="shared" si="23"/>
        <v>46131</v>
      </c>
      <c r="E988" s="45">
        <f t="shared" si="24"/>
        <v>46165</v>
      </c>
      <c r="F988" s="132">
        <f t="shared" si="25"/>
        <v>5</v>
      </c>
      <c r="G988" s="132">
        <f t="shared" si="26"/>
        <v>2026</v>
      </c>
      <c r="H988" s="59" t="str">
        <f t="shared" si="27"/>
        <v>28H00609</v>
      </c>
      <c r="I988" s="59">
        <f>IF(OR($A988="",$C988="",$D988="",$E988="",$H988=""),"",SUMIFS(DATA_GOC!$H:$H,DATA_GOC!$A:$A,"BOM",DATA_GOC!$D:$D,$H988,DATA_GOC!$E:$E,$C988,DATA_GOC!$F:$F,"Xuất nội bộ từ téc",DATA_GOC!$B:$B,"&gt;="&amp;$D988,DATA_GOC!$B:$B,"&lt;="&amp;$E988))</f>
        <v>760</v>
      </c>
      <c r="J988" s="59">
        <f t="shared" si="28"/>
        <v>24.517</v>
      </c>
      <c r="K988" s="59">
        <f t="shared" si="29"/>
        <v>0</v>
      </c>
      <c r="L988" s="59">
        <f t="shared" si="30"/>
        <v>784.517</v>
      </c>
      <c r="M988" s="59">
        <f t="shared" si="31"/>
        <v>0.02613749699</v>
      </c>
    </row>
    <row r="989" ht="15.0" hidden="1" customHeight="1">
      <c r="A989" s="59">
        <f t="shared" si="20"/>
        <v>13</v>
      </c>
      <c r="B989" s="59" t="str">
        <f t="shared" si="21"/>
        <v>Đã chốt</v>
      </c>
      <c r="C989" s="59" t="str">
        <f t="shared" si="22"/>
        <v>Téc 3</v>
      </c>
      <c r="D989" s="45">
        <f t="shared" si="23"/>
        <v>46131</v>
      </c>
      <c r="E989" s="45">
        <f t="shared" si="24"/>
        <v>46165</v>
      </c>
      <c r="F989" s="132">
        <f t="shared" si="25"/>
        <v>5</v>
      </c>
      <c r="G989" s="132">
        <f t="shared" si="26"/>
        <v>2026</v>
      </c>
      <c r="H989" s="59" t="str">
        <f t="shared" si="27"/>
        <v>28H00669</v>
      </c>
      <c r="I989" s="59">
        <f>IF(OR($A989="",$C989="",$D989="",$E989="",$H989=""),"",SUMIFS(DATA_GOC!$H:$H,DATA_GOC!$A:$A,"BOM",DATA_GOC!$D:$D,$H989,DATA_GOC!$E:$E,$C989,DATA_GOC!$F:$F,"Xuất nội bộ từ téc",DATA_GOC!$B:$B,"&gt;="&amp;$D989,DATA_GOC!$B:$B,"&lt;="&amp;$E989))</f>
        <v>1375</v>
      </c>
      <c r="J989" s="59">
        <f t="shared" si="28"/>
        <v>44.356</v>
      </c>
      <c r="K989" s="59">
        <f t="shared" si="29"/>
        <v>0</v>
      </c>
      <c r="L989" s="59">
        <f t="shared" si="30"/>
        <v>1419.356</v>
      </c>
      <c r="M989" s="59">
        <f t="shared" si="31"/>
        <v>0.04728823469</v>
      </c>
    </row>
    <row r="990" ht="15.0" hidden="1" customHeight="1">
      <c r="A990" s="59">
        <f t="shared" si="20"/>
        <v>13</v>
      </c>
      <c r="B990" s="59" t="str">
        <f t="shared" si="21"/>
        <v>Đã chốt</v>
      </c>
      <c r="C990" s="59" t="str">
        <f t="shared" si="22"/>
        <v>Téc 3</v>
      </c>
      <c r="D990" s="45">
        <f t="shared" si="23"/>
        <v>46131</v>
      </c>
      <c r="E990" s="45">
        <f t="shared" si="24"/>
        <v>46165</v>
      </c>
      <c r="F990" s="132">
        <f t="shared" si="25"/>
        <v>5</v>
      </c>
      <c r="G990" s="132">
        <f t="shared" si="26"/>
        <v>2026</v>
      </c>
      <c r="H990" s="59" t="str">
        <f t="shared" si="27"/>
        <v>28H00680</v>
      </c>
      <c r="I990" s="59">
        <f>IF(OR($A990="",$C990="",$D990="",$E990="",$H990=""),"",SUMIFS(DATA_GOC!$H:$H,DATA_GOC!$A:$A,"BOM",DATA_GOC!$D:$D,$H990,DATA_GOC!$E:$E,$C990,DATA_GOC!$F:$F,"Xuất nội bộ từ téc",DATA_GOC!$B:$B,"&gt;="&amp;$D990,DATA_GOC!$B:$B,"&lt;="&amp;$E990))</f>
        <v>525</v>
      </c>
      <c r="J990" s="59">
        <f t="shared" si="28"/>
        <v>16.936</v>
      </c>
      <c r="K990" s="59">
        <f t="shared" si="29"/>
        <v>0</v>
      </c>
      <c r="L990" s="59">
        <f t="shared" si="30"/>
        <v>541.936</v>
      </c>
      <c r="M990" s="59">
        <f t="shared" si="31"/>
        <v>0.01805550779</v>
      </c>
    </row>
    <row r="991" ht="15.0" hidden="1" customHeight="1">
      <c r="A991" s="59">
        <f t="shared" si="20"/>
        <v>13</v>
      </c>
      <c r="B991" s="59" t="str">
        <f t="shared" si="21"/>
        <v>Đã chốt</v>
      </c>
      <c r="C991" s="59" t="str">
        <f t="shared" si="22"/>
        <v>Téc 3</v>
      </c>
      <c r="D991" s="45">
        <f t="shared" si="23"/>
        <v>46131</v>
      </c>
      <c r="E991" s="45">
        <f t="shared" si="24"/>
        <v>46165</v>
      </c>
      <c r="F991" s="132">
        <f t="shared" si="25"/>
        <v>5</v>
      </c>
      <c r="G991" s="132">
        <f t="shared" si="26"/>
        <v>2026</v>
      </c>
      <c r="H991" s="59" t="str">
        <f t="shared" si="27"/>
        <v>28H01070</v>
      </c>
      <c r="I991" s="59">
        <f>IF(OR($A991="",$C991="",$D991="",$E991="",$H991=""),"",SUMIFS(DATA_GOC!$H:$H,DATA_GOC!$A:$A,"BOM",DATA_GOC!$D:$D,$H991,DATA_GOC!$E:$E,$C991,DATA_GOC!$F:$F,"Xuất nội bộ từ téc",DATA_GOC!$B:$B,"&gt;="&amp;$D991,DATA_GOC!$B:$B,"&lt;="&amp;$E991))</f>
        <v>1665</v>
      </c>
      <c r="J991" s="59">
        <f t="shared" si="28"/>
        <v>53.712</v>
      </c>
      <c r="K991" s="59">
        <f t="shared" si="29"/>
        <v>0</v>
      </c>
      <c r="L991" s="59">
        <f t="shared" si="30"/>
        <v>1718.712</v>
      </c>
      <c r="M991" s="59">
        <f t="shared" si="31"/>
        <v>0.05726175328</v>
      </c>
    </row>
    <row r="992" ht="15.0" hidden="1" customHeight="1">
      <c r="A992" s="59">
        <f t="shared" si="20"/>
        <v>13</v>
      </c>
      <c r="B992" s="59" t="str">
        <f t="shared" si="21"/>
        <v>Đã chốt</v>
      </c>
      <c r="C992" s="59" t="str">
        <f t="shared" si="22"/>
        <v>Téc 3</v>
      </c>
      <c r="D992" s="45">
        <f t="shared" si="23"/>
        <v>46131</v>
      </c>
      <c r="E992" s="45">
        <f t="shared" si="24"/>
        <v>46165</v>
      </c>
      <c r="F992" s="132">
        <f t="shared" si="25"/>
        <v>5</v>
      </c>
      <c r="G992" s="132">
        <f t="shared" si="26"/>
        <v>2026</v>
      </c>
      <c r="H992" s="59" t="str">
        <f t="shared" si="27"/>
        <v>28H01364</v>
      </c>
      <c r="I992" s="59">
        <f>IF(OR($A992="",$C992="",$D992="",$E992="",$H992=""),"",SUMIFS(DATA_GOC!$H:$H,DATA_GOC!$A:$A,"BOM",DATA_GOC!$D:$D,$H992,DATA_GOC!$E:$E,$C992,DATA_GOC!$F:$F,"Xuất nội bộ từ téc",DATA_GOC!$B:$B,"&gt;="&amp;$D992,DATA_GOC!$B:$B,"&lt;="&amp;$E992))</f>
        <v>663</v>
      </c>
      <c r="J992" s="59">
        <f t="shared" si="28"/>
        <v>21.388</v>
      </c>
      <c r="K992" s="59">
        <f t="shared" si="29"/>
        <v>0</v>
      </c>
      <c r="L992" s="59">
        <f t="shared" si="30"/>
        <v>684.388</v>
      </c>
      <c r="M992" s="59">
        <f t="shared" si="31"/>
        <v>0.02280152698</v>
      </c>
    </row>
    <row r="993" ht="15.0" hidden="1" customHeight="1">
      <c r="A993" s="59">
        <f t="shared" si="20"/>
        <v>13</v>
      </c>
      <c r="B993" s="59" t="str">
        <f t="shared" si="21"/>
        <v>Đã chốt</v>
      </c>
      <c r="C993" s="59" t="str">
        <f t="shared" si="22"/>
        <v>Téc 3</v>
      </c>
      <c r="D993" s="45">
        <f t="shared" si="23"/>
        <v>46131</v>
      </c>
      <c r="E993" s="45">
        <f t="shared" si="24"/>
        <v>46165</v>
      </c>
      <c r="F993" s="132">
        <f t="shared" si="25"/>
        <v>5</v>
      </c>
      <c r="G993" s="132">
        <f t="shared" si="26"/>
        <v>2026</v>
      </c>
      <c r="H993" s="59" t="str">
        <f t="shared" si="27"/>
        <v>29E17269</v>
      </c>
      <c r="I993" s="59">
        <f>IF(OR($A993="",$C993="",$D993="",$E993="",$H993=""),"",SUMIFS(DATA_GOC!$H:$H,DATA_GOC!$A:$A,"BOM",DATA_GOC!$D:$D,$H993,DATA_GOC!$E:$E,$C993,DATA_GOC!$F:$F,"Xuất nội bộ từ téc",DATA_GOC!$B:$B,"&gt;="&amp;$D993,DATA_GOC!$B:$B,"&lt;="&amp;$E993))</f>
        <v>573</v>
      </c>
      <c r="J993" s="59">
        <f t="shared" si="28"/>
        <v>18.485</v>
      </c>
      <c r="K993" s="59">
        <f t="shared" si="29"/>
        <v>0</v>
      </c>
      <c r="L993" s="59">
        <f t="shared" si="30"/>
        <v>591.485</v>
      </c>
      <c r="M993" s="59">
        <f t="shared" si="31"/>
        <v>0.01970629707</v>
      </c>
    </row>
    <row r="994" ht="15.0" hidden="1" customHeight="1">
      <c r="A994" s="59">
        <f t="shared" si="20"/>
        <v>13</v>
      </c>
      <c r="B994" s="59" t="str">
        <f t="shared" si="21"/>
        <v>Đã chốt</v>
      </c>
      <c r="C994" s="59" t="str">
        <f t="shared" si="22"/>
        <v>Téc 3</v>
      </c>
      <c r="D994" s="45">
        <f t="shared" si="23"/>
        <v>46131</v>
      </c>
      <c r="E994" s="45">
        <f t="shared" si="24"/>
        <v>46165</v>
      </c>
      <c r="F994" s="132">
        <f t="shared" si="25"/>
        <v>5</v>
      </c>
      <c r="G994" s="132">
        <f t="shared" si="26"/>
        <v>2026</v>
      </c>
      <c r="H994" s="59" t="str">
        <f t="shared" si="27"/>
        <v>29E17273</v>
      </c>
      <c r="I994" s="59">
        <f>IF(OR($A994="",$C994="",$D994="",$E994="",$H994=""),"",SUMIFS(DATA_GOC!$H:$H,DATA_GOC!$A:$A,"BOM",DATA_GOC!$D:$D,$H994,DATA_GOC!$E:$E,$C994,DATA_GOC!$F:$F,"Xuất nội bộ từ téc",DATA_GOC!$B:$B,"&gt;="&amp;$D994,DATA_GOC!$B:$B,"&lt;="&amp;$E994))</f>
        <v>460</v>
      </c>
      <c r="J994" s="59">
        <f t="shared" si="28"/>
        <v>14.839</v>
      </c>
      <c r="K994" s="59">
        <f t="shared" si="29"/>
        <v>0</v>
      </c>
      <c r="L994" s="59">
        <f t="shared" si="30"/>
        <v>474.839</v>
      </c>
      <c r="M994" s="59">
        <f t="shared" si="31"/>
        <v>0.01582006397</v>
      </c>
    </row>
    <row r="995" ht="15.0" hidden="1" customHeight="1">
      <c r="A995" s="59">
        <f t="shared" si="20"/>
        <v>13</v>
      </c>
      <c r="B995" s="59" t="str">
        <f t="shared" si="21"/>
        <v>Đã chốt</v>
      </c>
      <c r="C995" s="59" t="str">
        <f t="shared" si="22"/>
        <v>Téc 3</v>
      </c>
      <c r="D995" s="45">
        <f t="shared" si="23"/>
        <v>46131</v>
      </c>
      <c r="E995" s="45">
        <f t="shared" si="24"/>
        <v>46165</v>
      </c>
      <c r="F995" s="132">
        <f t="shared" si="25"/>
        <v>5</v>
      </c>
      <c r="G995" s="132">
        <f t="shared" si="26"/>
        <v>2026</v>
      </c>
      <c r="H995" s="59" t="str">
        <f t="shared" si="27"/>
        <v>29E17410</v>
      </c>
      <c r="I995" s="59">
        <f>IF(OR($A995="",$C995="",$D995="",$E995="",$H995=""),"",SUMIFS(DATA_GOC!$H:$H,DATA_GOC!$A:$A,"BOM",DATA_GOC!$D:$D,$H995,DATA_GOC!$E:$E,$C995,DATA_GOC!$F:$F,"Xuất nội bộ từ téc",DATA_GOC!$B:$B,"&gt;="&amp;$D995,DATA_GOC!$B:$B,"&lt;="&amp;$E995))</f>
        <v>324</v>
      </c>
      <c r="J995" s="59">
        <f t="shared" si="28"/>
        <v>10.452</v>
      </c>
      <c r="K995" s="59">
        <f t="shared" si="29"/>
        <v>0</v>
      </c>
      <c r="L995" s="59">
        <f t="shared" si="30"/>
        <v>334.452</v>
      </c>
      <c r="M995" s="59">
        <f t="shared" si="31"/>
        <v>0.01114282766</v>
      </c>
    </row>
    <row r="996" ht="15.0" hidden="1" customHeight="1">
      <c r="A996" s="59">
        <f t="shared" si="20"/>
        <v>13</v>
      </c>
      <c r="B996" s="59" t="str">
        <f t="shared" si="21"/>
        <v>Đã chốt</v>
      </c>
      <c r="C996" s="59" t="str">
        <f t="shared" si="22"/>
        <v>Téc 3</v>
      </c>
      <c r="D996" s="45">
        <f t="shared" si="23"/>
        <v>46131</v>
      </c>
      <c r="E996" s="45">
        <f t="shared" si="24"/>
        <v>46165</v>
      </c>
      <c r="F996" s="132">
        <f t="shared" si="25"/>
        <v>5</v>
      </c>
      <c r="G996" s="132">
        <f t="shared" si="26"/>
        <v>2026</v>
      </c>
      <c r="H996" s="59" t="str">
        <f t="shared" si="27"/>
        <v>29E17417</v>
      </c>
      <c r="I996" s="59">
        <f>IF(OR($A996="",$C996="",$D996="",$E996="",$H996=""),"",SUMIFS(DATA_GOC!$H:$H,DATA_GOC!$A:$A,"BOM",DATA_GOC!$D:$D,$H996,DATA_GOC!$E:$E,$C996,DATA_GOC!$F:$F,"Xuất nội bộ từ téc",DATA_GOC!$B:$B,"&gt;="&amp;$D996,DATA_GOC!$B:$B,"&lt;="&amp;$E996))</f>
        <v>328</v>
      </c>
      <c r="J996" s="59">
        <f t="shared" si="28"/>
        <v>10.581</v>
      </c>
      <c r="K996" s="59">
        <f t="shared" si="29"/>
        <v>0</v>
      </c>
      <c r="L996" s="59">
        <f t="shared" si="30"/>
        <v>338.581</v>
      </c>
      <c r="M996" s="59">
        <f t="shared" si="31"/>
        <v>0.01128039344</v>
      </c>
    </row>
    <row r="997" ht="15.0" hidden="1" customHeight="1">
      <c r="A997" s="59">
        <f t="shared" si="20"/>
        <v>13</v>
      </c>
      <c r="B997" s="59" t="str">
        <f t="shared" si="21"/>
        <v>Đã chốt</v>
      </c>
      <c r="C997" s="59" t="str">
        <f t="shared" si="22"/>
        <v>Téc 3</v>
      </c>
      <c r="D997" s="45">
        <f t="shared" si="23"/>
        <v>46131</v>
      </c>
      <c r="E997" s="45">
        <f t="shared" si="24"/>
        <v>46165</v>
      </c>
      <c r="F997" s="132">
        <f t="shared" si="25"/>
        <v>5</v>
      </c>
      <c r="G997" s="132">
        <f t="shared" si="26"/>
        <v>2026</v>
      </c>
      <c r="H997" s="59" t="str">
        <f t="shared" si="27"/>
        <v>29E17539</v>
      </c>
      <c r="I997" s="59">
        <f>IF(OR($A997="",$C997="",$D997="",$E997="",$H997=""),"",SUMIFS(DATA_GOC!$H:$H,DATA_GOC!$A:$A,"BOM",DATA_GOC!$D:$D,$H997,DATA_GOC!$E:$E,$C997,DATA_GOC!$F:$F,"Xuất nội bộ từ téc",DATA_GOC!$B:$B,"&gt;="&amp;$D997,DATA_GOC!$B:$B,"&lt;="&amp;$E997))</f>
        <v>417</v>
      </c>
      <c r="J997" s="59">
        <f t="shared" si="28"/>
        <v>13.452</v>
      </c>
      <c r="K997" s="59">
        <f t="shared" si="29"/>
        <v>0</v>
      </c>
      <c r="L997" s="59">
        <f t="shared" si="30"/>
        <v>430.452</v>
      </c>
      <c r="M997" s="59">
        <f t="shared" si="31"/>
        <v>0.0143412319</v>
      </c>
    </row>
    <row r="998" ht="15.0" hidden="1" customHeight="1">
      <c r="A998" s="59">
        <f t="shared" si="20"/>
        <v>13</v>
      </c>
      <c r="B998" s="59" t="str">
        <f t="shared" si="21"/>
        <v>Đã chốt</v>
      </c>
      <c r="C998" s="59" t="str">
        <f t="shared" si="22"/>
        <v>Téc 3</v>
      </c>
      <c r="D998" s="45">
        <f t="shared" si="23"/>
        <v>46131</v>
      </c>
      <c r="E998" s="45">
        <f t="shared" si="24"/>
        <v>46165</v>
      </c>
      <c r="F998" s="132">
        <f t="shared" si="25"/>
        <v>5</v>
      </c>
      <c r="G998" s="132">
        <f t="shared" si="26"/>
        <v>2026</v>
      </c>
      <c r="H998" s="59" t="str">
        <f t="shared" si="27"/>
        <v>29E18160</v>
      </c>
      <c r="I998" s="59">
        <f>IF(OR($A998="",$C998="",$D998="",$E998="",$H998=""),"",SUMIFS(DATA_GOC!$H:$H,DATA_GOC!$A:$A,"BOM",DATA_GOC!$D:$D,$H998,DATA_GOC!$E:$E,$C998,DATA_GOC!$F:$F,"Xuất nội bộ từ téc",DATA_GOC!$B:$B,"&gt;="&amp;$D998,DATA_GOC!$B:$B,"&lt;="&amp;$E998))</f>
        <v>636</v>
      </c>
      <c r="J998" s="59">
        <f t="shared" si="28"/>
        <v>20.517</v>
      </c>
      <c r="K998" s="59">
        <f t="shared" si="29"/>
        <v>0</v>
      </c>
      <c r="L998" s="59">
        <f t="shared" si="30"/>
        <v>656.517</v>
      </c>
      <c r="M998" s="59">
        <f t="shared" si="31"/>
        <v>0.02187295801</v>
      </c>
    </row>
    <row r="999" ht="15.0" hidden="1" customHeight="1">
      <c r="A999" s="59">
        <f t="shared" si="20"/>
        <v>13</v>
      </c>
      <c r="B999" s="59" t="str">
        <f t="shared" si="21"/>
        <v>Đã chốt</v>
      </c>
      <c r="C999" s="59" t="str">
        <f t="shared" si="22"/>
        <v>Téc 3</v>
      </c>
      <c r="D999" s="45">
        <f t="shared" si="23"/>
        <v>46131</v>
      </c>
      <c r="E999" s="45">
        <f t="shared" si="24"/>
        <v>46165</v>
      </c>
      <c r="F999" s="132">
        <f t="shared" si="25"/>
        <v>5</v>
      </c>
      <c r="G999" s="132">
        <f t="shared" si="26"/>
        <v>2026</v>
      </c>
      <c r="H999" s="59" t="str">
        <f t="shared" si="27"/>
        <v>Công trình Asphalt</v>
      </c>
      <c r="I999" s="59">
        <f>IF(OR($A999="",$C999="",$D999="",$E999="",$H999=""),"",SUMIFS(DATA_GOC!$H:$H,DATA_GOC!$A:$A,"BOM",DATA_GOC!$D:$D,$H999,DATA_GOC!$E:$E,$C999,DATA_GOC!$F:$F,"Xuất nội bộ từ téc",DATA_GOC!$B:$B,"&gt;="&amp;$D999,DATA_GOC!$B:$B,"&lt;="&amp;$E999))</f>
        <v>200</v>
      </c>
      <c r="J999" s="59">
        <f t="shared" si="28"/>
        <v>6.452</v>
      </c>
      <c r="K999" s="59">
        <f t="shared" si="29"/>
        <v>0</v>
      </c>
      <c r="L999" s="59">
        <f t="shared" si="30"/>
        <v>206.452</v>
      </c>
      <c r="M999" s="59">
        <f t="shared" si="31"/>
        <v>0.006878288682</v>
      </c>
    </row>
    <row r="1000" ht="15.0" hidden="1" customHeight="1">
      <c r="A1000" s="59">
        <f t="shared" si="20"/>
        <v>13</v>
      </c>
      <c r="B1000" s="59" t="str">
        <f t="shared" si="21"/>
        <v>Đã chốt</v>
      </c>
      <c r="C1000" s="59" t="str">
        <f t="shared" si="22"/>
        <v>Téc 3</v>
      </c>
      <c r="D1000" s="45">
        <f t="shared" si="23"/>
        <v>46131</v>
      </c>
      <c r="E1000" s="45">
        <f t="shared" si="24"/>
        <v>46165</v>
      </c>
      <c r="F1000" s="132">
        <f t="shared" si="25"/>
        <v>5</v>
      </c>
      <c r="G1000" s="132">
        <f t="shared" si="26"/>
        <v>2026</v>
      </c>
      <c r="H1000" s="59" t="str">
        <f t="shared" si="27"/>
        <v>LG53F</v>
      </c>
      <c r="I1000" s="59">
        <f>IF(OR($A1000="",$C1000="",$D1000="",$E1000="",$H1000=""),"",SUMIFS(DATA_GOC!$H:$H,DATA_GOC!$A:$A,"BOM",DATA_GOC!$D:$D,$H1000,DATA_GOC!$E:$E,$C1000,DATA_GOC!$F:$F,"Xuất nội bộ từ téc",DATA_GOC!$B:$B,"&gt;="&amp;$D1000,DATA_GOC!$B:$B,"&lt;="&amp;$E1000))</f>
        <v>0</v>
      </c>
      <c r="J1000" s="59">
        <f t="shared" si="28"/>
        <v>0</v>
      </c>
      <c r="K1000" s="59">
        <f t="shared" si="29"/>
        <v>0</v>
      </c>
      <c r="L1000" s="59">
        <f t="shared" si="30"/>
        <v>0</v>
      </c>
      <c r="M1000" s="59">
        <f t="shared" si="31"/>
        <v>0</v>
      </c>
    </row>
    <row r="1001" ht="15.0" hidden="1" customHeight="1">
      <c r="A1001" s="59">
        <f t="shared" si="20"/>
        <v>13</v>
      </c>
      <c r="B1001" s="59" t="str">
        <f t="shared" si="21"/>
        <v>Đã chốt</v>
      </c>
      <c r="C1001" s="59" t="str">
        <f t="shared" si="22"/>
        <v>Téc 3</v>
      </c>
      <c r="D1001" s="45">
        <f t="shared" si="23"/>
        <v>46131</v>
      </c>
      <c r="E1001" s="45">
        <f t="shared" si="24"/>
        <v>46165</v>
      </c>
      <c r="F1001" s="132">
        <f t="shared" si="25"/>
        <v>5</v>
      </c>
      <c r="G1001" s="132">
        <f t="shared" si="26"/>
        <v>2026</v>
      </c>
      <c r="H1001" s="59" t="str">
        <f t="shared" si="27"/>
        <v>Máy phát điện</v>
      </c>
      <c r="I1001" s="59">
        <f>IF(OR($A1001="",$C1001="",$D1001="",$E1001="",$H1001=""),"",SUMIFS(DATA_GOC!$H:$H,DATA_GOC!$A:$A,"BOM",DATA_GOC!$D:$D,$H1001,DATA_GOC!$E:$E,$C1001,DATA_GOC!$F:$F,"Xuất nội bộ từ téc",DATA_GOC!$B:$B,"&gt;="&amp;$D1001,DATA_GOC!$B:$B,"&lt;="&amp;$E1001))</f>
        <v>0</v>
      </c>
      <c r="J1001" s="59">
        <f t="shared" si="28"/>
        <v>0</v>
      </c>
      <c r="K1001" s="59">
        <f t="shared" si="29"/>
        <v>0</v>
      </c>
      <c r="L1001" s="59">
        <f t="shared" si="30"/>
        <v>0</v>
      </c>
      <c r="M1001" s="59">
        <f t="shared" si="31"/>
        <v>0</v>
      </c>
    </row>
    <row r="1002" ht="15.0" hidden="1" customHeight="1">
      <c r="A1002" s="59">
        <f t="shared" si="20"/>
        <v>13</v>
      </c>
      <c r="B1002" s="59" t="str">
        <f t="shared" si="21"/>
        <v>Đã chốt</v>
      </c>
      <c r="C1002" s="59" t="str">
        <f t="shared" si="22"/>
        <v>Téc 3</v>
      </c>
      <c r="D1002" s="45">
        <f t="shared" si="23"/>
        <v>46131</v>
      </c>
      <c r="E1002" s="45">
        <f t="shared" si="24"/>
        <v>46165</v>
      </c>
      <c r="F1002" s="132">
        <f t="shared" si="25"/>
        <v>5</v>
      </c>
      <c r="G1002" s="132">
        <f t="shared" si="26"/>
        <v>2026</v>
      </c>
      <c r="H1002" s="59" t="str">
        <f t="shared" si="27"/>
        <v>Máy rải thảm</v>
      </c>
      <c r="I1002" s="59">
        <f>IF(OR($A1002="",$C1002="",$D1002="",$E1002="",$H1002=""),"",SUMIFS(DATA_GOC!$H:$H,DATA_GOC!$A:$A,"BOM",DATA_GOC!$D:$D,$H1002,DATA_GOC!$E:$E,$C1002,DATA_GOC!$F:$F,"Xuất nội bộ từ téc",DATA_GOC!$B:$B,"&gt;="&amp;$D1002,DATA_GOC!$B:$B,"&lt;="&amp;$E1002))</f>
        <v>0</v>
      </c>
      <c r="J1002" s="59">
        <f t="shared" si="28"/>
        <v>0</v>
      </c>
      <c r="K1002" s="59">
        <f t="shared" si="29"/>
        <v>0</v>
      </c>
      <c r="L1002" s="59">
        <f t="shared" si="30"/>
        <v>0</v>
      </c>
      <c r="M1002" s="59">
        <f t="shared" si="31"/>
        <v>0</v>
      </c>
    </row>
    <row r="1003" ht="15.0" hidden="1" customHeight="1">
      <c r="A1003" s="59">
        <f t="shared" si="20"/>
        <v>13</v>
      </c>
      <c r="B1003" s="59" t="str">
        <f t="shared" si="21"/>
        <v>Đã chốt</v>
      </c>
      <c r="C1003" s="59" t="str">
        <f t="shared" si="22"/>
        <v>Téc 3</v>
      </c>
      <c r="D1003" s="45">
        <f t="shared" si="23"/>
        <v>46131</v>
      </c>
      <c r="E1003" s="45">
        <f t="shared" si="24"/>
        <v>46165</v>
      </c>
      <c r="F1003" s="132">
        <f t="shared" si="25"/>
        <v>5</v>
      </c>
      <c r="G1003" s="132">
        <f t="shared" si="26"/>
        <v>2026</v>
      </c>
      <c r="H1003" s="59" t="str">
        <f t="shared" si="27"/>
        <v>Xúc Đào</v>
      </c>
      <c r="I1003" s="59">
        <f>IF(OR($A1003="",$C1003="",$D1003="",$E1003="",$H1003=""),"",SUMIFS(DATA_GOC!$H:$H,DATA_GOC!$A:$A,"BOM",DATA_GOC!$D:$D,$H1003,DATA_GOC!$E:$E,$C1003,DATA_GOC!$F:$F,"Xuất nội bộ từ téc",DATA_GOC!$B:$B,"&gt;="&amp;$D1003,DATA_GOC!$B:$B,"&lt;="&amp;$E1003))</f>
        <v>0</v>
      </c>
      <c r="J1003" s="59">
        <f t="shared" si="28"/>
        <v>0</v>
      </c>
      <c r="K1003" s="59">
        <f t="shared" si="29"/>
        <v>0</v>
      </c>
      <c r="L1003" s="59">
        <f t="shared" si="30"/>
        <v>0</v>
      </c>
      <c r="M1003" s="59">
        <f t="shared" si="31"/>
        <v>0</v>
      </c>
    </row>
    <row r="1004" ht="15.0" hidden="1" customHeight="1">
      <c r="A1004" s="59">
        <f t="shared" si="20"/>
        <v>13</v>
      </c>
      <c r="B1004" s="59" t="str">
        <f t="shared" si="21"/>
        <v>Đã chốt</v>
      </c>
      <c r="C1004" s="59" t="str">
        <f t="shared" si="22"/>
        <v>Téc 3</v>
      </c>
      <c r="D1004" s="45">
        <f t="shared" si="23"/>
        <v>46131</v>
      </c>
      <c r="E1004" s="45">
        <f t="shared" si="24"/>
        <v>46165</v>
      </c>
      <c r="F1004" s="132">
        <f t="shared" si="25"/>
        <v>5</v>
      </c>
      <c r="G1004" s="132">
        <f t="shared" si="26"/>
        <v>2026</v>
      </c>
      <c r="H1004" s="59" t="str">
        <f t="shared" si="27"/>
        <v>Xúclật asphalt</v>
      </c>
      <c r="I1004" s="59">
        <f>IF(OR($A1004="",$C1004="",$D1004="",$E1004="",$H1004=""),"",SUMIFS(DATA_GOC!$H:$H,DATA_GOC!$A:$A,"BOM",DATA_GOC!$D:$D,$H1004,DATA_GOC!$E:$E,$C1004,DATA_GOC!$F:$F,"Xuất nội bộ từ téc",DATA_GOC!$B:$B,"&gt;="&amp;$D1004,DATA_GOC!$B:$B,"&lt;="&amp;$E1004))</f>
        <v>0</v>
      </c>
      <c r="J1004" s="59">
        <f t="shared" si="28"/>
        <v>0</v>
      </c>
      <c r="K1004" s="59">
        <f t="shared" si="29"/>
        <v>0</v>
      </c>
      <c r="L1004" s="59">
        <f t="shared" si="30"/>
        <v>0</v>
      </c>
      <c r="M1004" s="59">
        <f t="shared" si="31"/>
        <v>0</v>
      </c>
    </row>
    <row r="1005" ht="15.0" hidden="1" customHeight="1">
      <c r="A1005" s="59">
        <f t="shared" si="20"/>
        <v>13</v>
      </c>
      <c r="B1005" s="59" t="str">
        <f t="shared" si="21"/>
        <v>Đã chốt</v>
      </c>
      <c r="C1005" s="59" t="str">
        <f t="shared" si="22"/>
        <v>Téc 3</v>
      </c>
      <c r="D1005" s="45">
        <f t="shared" si="23"/>
        <v>46131</v>
      </c>
      <c r="E1005" s="45">
        <f t="shared" si="24"/>
        <v>46165</v>
      </c>
      <c r="F1005" s="132">
        <f t="shared" si="25"/>
        <v>5</v>
      </c>
      <c r="G1005" s="132">
        <f t="shared" si="26"/>
        <v>2026</v>
      </c>
      <c r="H1005" s="59" t="str">
        <f t="shared" si="27"/>
        <v>Xúclật855H</v>
      </c>
      <c r="I1005" s="59">
        <f>IF(OR($A1005="",$C1005="",$D1005="",$E1005="",$H1005=""),"",SUMIFS(DATA_GOC!$H:$H,DATA_GOC!$A:$A,"BOM",DATA_GOC!$D:$D,$H1005,DATA_GOC!$E:$E,$C1005,DATA_GOC!$F:$F,"Xuất nội bộ từ téc",DATA_GOC!$B:$B,"&gt;="&amp;$D1005,DATA_GOC!$B:$B,"&lt;="&amp;$E1005))</f>
        <v>653</v>
      </c>
      <c r="J1005" s="59">
        <f t="shared" si="28"/>
        <v>21.065</v>
      </c>
      <c r="K1005" s="59">
        <f t="shared" si="29"/>
        <v>0</v>
      </c>
      <c r="L1005" s="59">
        <f t="shared" si="30"/>
        <v>674.065</v>
      </c>
      <c r="M1005" s="59">
        <f t="shared" si="31"/>
        <v>0.02245761255</v>
      </c>
    </row>
    <row r="1006" ht="15.0" hidden="1" customHeight="1">
      <c r="A1006" s="59">
        <f t="shared" si="20"/>
        <v>13</v>
      </c>
      <c r="B1006" s="59" t="str">
        <f t="shared" si="21"/>
        <v>Đã chốt</v>
      </c>
      <c r="C1006" s="59" t="str">
        <f t="shared" si="22"/>
        <v>Téc 3</v>
      </c>
      <c r="D1006" s="45">
        <f t="shared" si="23"/>
        <v>46131</v>
      </c>
      <c r="E1006" s="45">
        <f t="shared" si="24"/>
        <v>46165</v>
      </c>
      <c r="F1006" s="132">
        <f t="shared" si="25"/>
        <v>5</v>
      </c>
      <c r="G1006" s="132">
        <f t="shared" si="26"/>
        <v>2026</v>
      </c>
      <c r="H1006" s="59" t="str">
        <f t="shared" si="27"/>
        <v>Xúclật855N</v>
      </c>
      <c r="I1006" s="59">
        <f>IF(OR($A1006="",$C1006="",$D1006="",$E1006="",$H1006=""),"",SUMIFS(DATA_GOC!$H:$H,DATA_GOC!$A:$A,"BOM",DATA_GOC!$D:$D,$H1006,DATA_GOC!$E:$E,$C1006,DATA_GOC!$F:$F,"Xuất nội bộ từ téc",DATA_GOC!$B:$B,"&gt;="&amp;$D1006,DATA_GOC!$B:$B,"&lt;="&amp;$E1006))</f>
        <v>487</v>
      </c>
      <c r="J1006" s="59">
        <f t="shared" si="28"/>
        <v>15.71</v>
      </c>
      <c r="K1006" s="59">
        <f t="shared" si="29"/>
        <v>0</v>
      </c>
      <c r="L1006" s="59">
        <f t="shared" si="30"/>
        <v>502.71</v>
      </c>
      <c r="M1006" s="59">
        <f t="shared" si="31"/>
        <v>0.01674863294</v>
      </c>
    </row>
    <row r="1007" ht="15.0" hidden="1" customHeight="1">
      <c r="A1007" s="59">
        <f t="shared" si="20"/>
        <v>13</v>
      </c>
      <c r="B1007" s="59" t="str">
        <f t="shared" si="21"/>
        <v>Đã chốt</v>
      </c>
      <c r="C1007" s="59" t="str">
        <f t="shared" si="22"/>
        <v>Téc 3</v>
      </c>
      <c r="D1007" s="45">
        <f t="shared" si="23"/>
        <v>46131</v>
      </c>
      <c r="E1007" s="45">
        <f t="shared" si="24"/>
        <v>46165</v>
      </c>
      <c r="F1007" s="132">
        <f t="shared" si="25"/>
        <v>5</v>
      </c>
      <c r="G1007" s="132">
        <f t="shared" si="26"/>
        <v>2026</v>
      </c>
      <c r="H1007" s="59" t="str">
        <f t="shared" si="27"/>
        <v>Cát nghiền</v>
      </c>
      <c r="I1007" s="59">
        <f>IF(OR($A1007="",$C1007="",$D1007="",$E1007="",$H1007=""),"",SUMIFS(DATA_GOC!$H:$H,DATA_GOC!$A:$A,"BOM",DATA_GOC!$D:$D,$H1007,DATA_GOC!$E:$E,$C1007,DATA_GOC!$F:$F,"Xuất nội bộ từ téc",DATA_GOC!$B:$B,"&gt;="&amp;$D1007,DATA_GOC!$B:$B,"&lt;="&amp;$E1007))</f>
        <v>0</v>
      </c>
      <c r="J1007" s="59">
        <f t="shared" si="28"/>
        <v>0</v>
      </c>
      <c r="K1007" s="59">
        <f t="shared" si="29"/>
        <v>0</v>
      </c>
      <c r="L1007" s="59">
        <f t="shared" si="30"/>
        <v>0</v>
      </c>
      <c r="M1007" s="59">
        <f t="shared" si="31"/>
        <v>0</v>
      </c>
    </row>
    <row r="1008" ht="15.0" hidden="1" customHeight="1">
      <c r="A1008" s="59">
        <f t="shared" si="20"/>
        <v>13</v>
      </c>
      <c r="B1008" s="59" t="str">
        <f t="shared" si="21"/>
        <v>Đã chốt</v>
      </c>
      <c r="C1008" s="59" t="str">
        <f t="shared" si="22"/>
        <v>Téc 3</v>
      </c>
      <c r="D1008" s="45">
        <f t="shared" si="23"/>
        <v>46131</v>
      </c>
      <c r="E1008" s="45">
        <f t="shared" si="24"/>
        <v>46165</v>
      </c>
      <c r="F1008" s="132">
        <f t="shared" si="25"/>
        <v>5</v>
      </c>
      <c r="G1008" s="132">
        <f t="shared" si="26"/>
        <v>2026</v>
      </c>
      <c r="H1008" s="59" t="str">
        <f t="shared" si="27"/>
        <v>28C02973</v>
      </c>
      <c r="I1008" s="59">
        <f>IF(OR($A1008="",$C1008="",$D1008="",$E1008="",$H1008=""),"",SUMIFS(DATA_GOC!$H:$H,DATA_GOC!$A:$A,"BOM",DATA_GOC!$D:$D,$H1008,DATA_GOC!$E:$E,$C1008,DATA_GOC!$F:$F,"Xuất nội bộ từ téc",DATA_GOC!$B:$B,"&gt;="&amp;$D1008,DATA_GOC!$B:$B,"&lt;="&amp;$E1008))</f>
        <v>0</v>
      </c>
      <c r="J1008" s="59">
        <f t="shared" si="28"/>
        <v>0</v>
      </c>
      <c r="K1008" s="59">
        <f t="shared" si="29"/>
        <v>0</v>
      </c>
      <c r="L1008" s="59">
        <f t="shared" si="30"/>
        <v>0</v>
      </c>
      <c r="M1008" s="59">
        <f t="shared" si="31"/>
        <v>0</v>
      </c>
    </row>
    <row r="1009" ht="15.0" hidden="1" customHeight="1">
      <c r="A1009" s="59">
        <f t="shared" si="20"/>
        <v>13</v>
      </c>
      <c r="B1009" s="59" t="str">
        <f t="shared" si="21"/>
        <v>Đã chốt</v>
      </c>
      <c r="C1009" s="59" t="str">
        <f t="shared" si="22"/>
        <v>Téc 3</v>
      </c>
      <c r="D1009" s="45">
        <f t="shared" si="23"/>
        <v>46131</v>
      </c>
      <c r="E1009" s="45">
        <f t="shared" si="24"/>
        <v>46165</v>
      </c>
      <c r="F1009" s="132">
        <f t="shared" si="25"/>
        <v>5</v>
      </c>
      <c r="G1009" s="132">
        <f t="shared" si="26"/>
        <v>2026</v>
      </c>
      <c r="H1009" s="59" t="str">
        <f t="shared" si="27"/>
        <v>28C03044</v>
      </c>
      <c r="I1009" s="59">
        <f>IF(OR($A1009="",$C1009="",$D1009="",$E1009="",$H1009=""),"",SUMIFS(DATA_GOC!$H:$H,DATA_GOC!$A:$A,"BOM",DATA_GOC!$D:$D,$H1009,DATA_GOC!$E:$E,$C1009,DATA_GOC!$F:$F,"Xuất nội bộ từ téc",DATA_GOC!$B:$B,"&gt;="&amp;$D1009,DATA_GOC!$B:$B,"&lt;="&amp;$E1009))</f>
        <v>0</v>
      </c>
      <c r="J1009" s="59">
        <f t="shared" si="28"/>
        <v>0</v>
      </c>
      <c r="K1009" s="59">
        <f t="shared" si="29"/>
        <v>0</v>
      </c>
      <c r="L1009" s="59">
        <f t="shared" si="30"/>
        <v>0</v>
      </c>
      <c r="M1009" s="59">
        <f t="shared" si="31"/>
        <v>0</v>
      </c>
    </row>
    <row r="1010" ht="15.0" hidden="1" customHeight="1">
      <c r="A1010" s="59">
        <f t="shared" si="20"/>
        <v>13</v>
      </c>
      <c r="B1010" s="59" t="str">
        <f t="shared" si="21"/>
        <v>Đã chốt</v>
      </c>
      <c r="C1010" s="59" t="str">
        <f t="shared" si="22"/>
        <v>Téc 3</v>
      </c>
      <c r="D1010" s="45">
        <f t="shared" si="23"/>
        <v>46131</v>
      </c>
      <c r="E1010" s="45">
        <f t="shared" si="24"/>
        <v>46165</v>
      </c>
      <c r="F1010" s="132">
        <f t="shared" si="25"/>
        <v>5</v>
      </c>
      <c r="G1010" s="132">
        <f t="shared" si="26"/>
        <v>2026</v>
      </c>
      <c r="H1010" s="59" t="str">
        <f t="shared" si="27"/>
        <v>Máy lu lốp</v>
      </c>
      <c r="I1010" s="59">
        <f>IF(OR($A1010="",$C1010="",$D1010="",$E1010="",$H1010=""),"",SUMIFS(DATA_GOC!$H:$H,DATA_GOC!$A:$A,"BOM",DATA_GOC!$D:$D,$H1010,DATA_GOC!$E:$E,$C1010,DATA_GOC!$F:$F,"Xuất nội bộ từ téc",DATA_GOC!$B:$B,"&gt;="&amp;$D1010,DATA_GOC!$B:$B,"&lt;="&amp;$E1010))</f>
        <v>0</v>
      </c>
      <c r="J1010" s="59">
        <f t="shared" si="28"/>
        <v>0</v>
      </c>
      <c r="K1010" s="59">
        <f t="shared" si="29"/>
        <v>0</v>
      </c>
      <c r="L1010" s="59">
        <f t="shared" si="30"/>
        <v>0</v>
      </c>
      <c r="M1010" s="59">
        <f t="shared" si="31"/>
        <v>0</v>
      </c>
    </row>
    <row r="1011" ht="15.0" hidden="1" customHeight="1">
      <c r="A1011" s="59">
        <f t="shared" si="20"/>
        <v>13</v>
      </c>
      <c r="B1011" s="59" t="str">
        <f t="shared" si="21"/>
        <v>Đã chốt</v>
      </c>
      <c r="C1011" s="59" t="str">
        <f t="shared" si="22"/>
        <v>Téc 3</v>
      </c>
      <c r="D1011" s="45">
        <f t="shared" si="23"/>
        <v>46131</v>
      </c>
      <c r="E1011" s="45">
        <f t="shared" si="24"/>
        <v>46165</v>
      </c>
      <c r="F1011" s="132">
        <f t="shared" si="25"/>
        <v>5</v>
      </c>
      <c r="G1011" s="132">
        <f t="shared" si="26"/>
        <v>2026</v>
      </c>
      <c r="H1011" s="59" t="str">
        <f t="shared" si="27"/>
        <v>Xe 600148</v>
      </c>
      <c r="I1011" s="59">
        <f>IF(OR($A1011="",$C1011="",$D1011="",$E1011="",$H1011=""),"",SUMIFS(DATA_GOC!$H:$H,DATA_GOC!$A:$A,"BOM",DATA_GOC!$D:$D,$H1011,DATA_GOC!$E:$E,$C1011,DATA_GOC!$F:$F,"Xuất nội bộ từ téc",DATA_GOC!$B:$B,"&gt;="&amp;$D1011,DATA_GOC!$B:$B,"&lt;="&amp;$E1011))</f>
        <v>0</v>
      </c>
      <c r="J1011" s="59">
        <f t="shared" si="28"/>
        <v>0</v>
      </c>
      <c r="K1011" s="59">
        <f t="shared" si="29"/>
        <v>0</v>
      </c>
      <c r="L1011" s="59">
        <f t="shared" si="30"/>
        <v>0</v>
      </c>
      <c r="M1011" s="59">
        <f t="shared" si="31"/>
        <v>0</v>
      </c>
    </row>
    <row r="1012" ht="15.0" hidden="1" customHeight="1">
      <c r="A1012" s="59">
        <f t="shared" si="20"/>
        <v>13</v>
      </c>
      <c r="B1012" s="59" t="str">
        <f t="shared" si="21"/>
        <v>Đã chốt</v>
      </c>
      <c r="C1012" s="59" t="str">
        <f t="shared" si="22"/>
        <v>Téc 3</v>
      </c>
      <c r="D1012" s="45">
        <f t="shared" si="23"/>
        <v>46131</v>
      </c>
      <c r="E1012" s="45">
        <f t="shared" si="24"/>
        <v>46165</v>
      </c>
      <c r="F1012" s="132">
        <f t="shared" si="25"/>
        <v>5</v>
      </c>
      <c r="G1012" s="132">
        <f t="shared" si="26"/>
        <v>2026</v>
      </c>
      <c r="H1012" s="59" t="str">
        <f t="shared" si="27"/>
        <v>Xe ben mới</v>
      </c>
      <c r="I1012" s="59">
        <f>IF(OR($A1012="",$C1012="",$D1012="",$E1012="",$H1012=""),"",SUMIFS(DATA_GOC!$H:$H,DATA_GOC!$A:$A,"BOM",DATA_GOC!$D:$D,$H1012,DATA_GOC!$E:$E,$C1012,DATA_GOC!$F:$F,"Xuất nội bộ từ téc",DATA_GOC!$B:$B,"&gt;="&amp;$D1012,DATA_GOC!$B:$B,"&lt;="&amp;$E1012))</f>
        <v>0</v>
      </c>
      <c r="J1012" s="59">
        <f t="shared" si="28"/>
        <v>0</v>
      </c>
      <c r="K1012" s="59">
        <f t="shared" si="29"/>
        <v>0</v>
      </c>
      <c r="L1012" s="59">
        <f t="shared" si="30"/>
        <v>0</v>
      </c>
      <c r="M1012" s="59">
        <f t="shared" si="31"/>
        <v>0</v>
      </c>
    </row>
    <row r="1013" ht="15.0" hidden="1" customHeight="1">
      <c r="A1013" s="59">
        <f t="shared" si="20"/>
        <v>14</v>
      </c>
      <c r="B1013" s="59" t="str">
        <f t="shared" si="21"/>
        <v>Đã chốt</v>
      </c>
      <c r="C1013" s="59" t="str">
        <f t="shared" si="22"/>
        <v>Téc 1</v>
      </c>
      <c r="D1013" s="45">
        <f t="shared" si="23"/>
        <v>46162</v>
      </c>
      <c r="E1013" s="45">
        <f t="shared" si="24"/>
        <v>46168</v>
      </c>
      <c r="F1013" s="132">
        <f t="shared" si="25"/>
        <v>5</v>
      </c>
      <c r="G1013" s="132">
        <f t="shared" si="26"/>
        <v>2026</v>
      </c>
      <c r="H1013" s="59" t="str">
        <f t="shared" si="27"/>
        <v>19H09482</v>
      </c>
      <c r="I1013" s="59">
        <f>IF(OR($A1013="",$C1013="",$D1013="",$E1013="",$H1013=""),"",SUMIFS(DATA_GOC!$H:$H,DATA_GOC!$A:$A,"BOM",DATA_GOC!$D:$D,$H1013,DATA_GOC!$E:$E,$C1013,DATA_GOC!$F:$F,"Xuất nội bộ từ téc",DATA_GOC!$B:$B,"&gt;="&amp;$D1013,DATA_GOC!$B:$B,"&lt;="&amp;$E1013))</f>
        <v>0</v>
      </c>
      <c r="J1013" s="59">
        <f t="shared" si="28"/>
        <v>0</v>
      </c>
      <c r="K1013" s="59">
        <f t="shared" si="29"/>
        <v>0</v>
      </c>
      <c r="L1013" s="59">
        <f t="shared" si="30"/>
        <v>0</v>
      </c>
      <c r="M1013" s="59">
        <f t="shared" si="31"/>
        <v>0</v>
      </c>
    </row>
    <row r="1014" ht="15.0" hidden="1" customHeight="1">
      <c r="A1014" s="59">
        <f t="shared" si="20"/>
        <v>14</v>
      </c>
      <c r="B1014" s="59" t="str">
        <f t="shared" si="21"/>
        <v>Đã chốt</v>
      </c>
      <c r="C1014" s="59" t="str">
        <f t="shared" si="22"/>
        <v>Téc 1</v>
      </c>
      <c r="D1014" s="45">
        <f t="shared" si="23"/>
        <v>46162</v>
      </c>
      <c r="E1014" s="45">
        <f t="shared" si="24"/>
        <v>46168</v>
      </c>
      <c r="F1014" s="132">
        <f t="shared" si="25"/>
        <v>5</v>
      </c>
      <c r="G1014" s="132">
        <f t="shared" si="26"/>
        <v>2026</v>
      </c>
      <c r="H1014" s="59" t="str">
        <f t="shared" si="27"/>
        <v>28A30696</v>
      </c>
      <c r="I1014" s="59">
        <f>IF(OR($A1014="",$C1014="",$D1014="",$E1014="",$H1014=""),"",SUMIFS(DATA_GOC!$H:$H,DATA_GOC!$A:$A,"BOM",DATA_GOC!$D:$D,$H1014,DATA_GOC!$E:$E,$C1014,DATA_GOC!$F:$F,"Xuất nội bộ từ téc",DATA_GOC!$B:$B,"&gt;="&amp;$D1014,DATA_GOC!$B:$B,"&lt;="&amp;$E1014))</f>
        <v>0</v>
      </c>
      <c r="J1014" s="59">
        <f t="shared" si="28"/>
        <v>0</v>
      </c>
      <c r="K1014" s="59">
        <f t="shared" si="29"/>
        <v>0</v>
      </c>
      <c r="L1014" s="59">
        <f t="shared" si="30"/>
        <v>0</v>
      </c>
      <c r="M1014" s="59">
        <f t="shared" si="31"/>
        <v>0</v>
      </c>
    </row>
    <row r="1015" ht="15.0" hidden="1" customHeight="1">
      <c r="A1015" s="59">
        <f t="shared" si="20"/>
        <v>14</v>
      </c>
      <c r="B1015" s="59" t="str">
        <f t="shared" si="21"/>
        <v>Đã chốt</v>
      </c>
      <c r="C1015" s="59" t="str">
        <f t="shared" si="22"/>
        <v>Téc 1</v>
      </c>
      <c r="D1015" s="45">
        <f t="shared" si="23"/>
        <v>46162</v>
      </c>
      <c r="E1015" s="45">
        <f t="shared" si="24"/>
        <v>46168</v>
      </c>
      <c r="F1015" s="132">
        <f t="shared" si="25"/>
        <v>5</v>
      </c>
      <c r="G1015" s="132">
        <f t="shared" si="26"/>
        <v>2026</v>
      </c>
      <c r="H1015" s="59" t="str">
        <f t="shared" si="27"/>
        <v>28C00462</v>
      </c>
      <c r="I1015" s="59">
        <f>IF(OR($A1015="",$C1015="",$D1015="",$E1015="",$H1015=""),"",SUMIFS(DATA_GOC!$H:$H,DATA_GOC!$A:$A,"BOM",DATA_GOC!$D:$D,$H1015,DATA_GOC!$E:$E,$C1015,DATA_GOC!$F:$F,"Xuất nội bộ từ téc",DATA_GOC!$B:$B,"&gt;="&amp;$D1015,DATA_GOC!$B:$B,"&lt;="&amp;$E1015))</f>
        <v>508</v>
      </c>
      <c r="J1015" s="59">
        <f t="shared" si="28"/>
        <v>24.827</v>
      </c>
      <c r="K1015" s="59">
        <f t="shared" si="29"/>
        <v>0</v>
      </c>
      <c r="L1015" s="59">
        <f t="shared" si="30"/>
        <v>532.827</v>
      </c>
      <c r="M1015" s="59">
        <f t="shared" si="31"/>
        <v>0.06550612508</v>
      </c>
    </row>
    <row r="1016" ht="15.0" hidden="1" customHeight="1">
      <c r="A1016" s="59">
        <f t="shared" si="20"/>
        <v>14</v>
      </c>
      <c r="B1016" s="59" t="str">
        <f t="shared" si="21"/>
        <v>Đã chốt</v>
      </c>
      <c r="C1016" s="59" t="str">
        <f t="shared" si="22"/>
        <v>Téc 1</v>
      </c>
      <c r="D1016" s="45">
        <f t="shared" si="23"/>
        <v>46162</v>
      </c>
      <c r="E1016" s="45">
        <f t="shared" si="24"/>
        <v>46168</v>
      </c>
      <c r="F1016" s="132">
        <f t="shared" si="25"/>
        <v>5</v>
      </c>
      <c r="G1016" s="132">
        <f t="shared" si="26"/>
        <v>2026</v>
      </c>
      <c r="H1016" s="59" t="str">
        <f t="shared" si="27"/>
        <v>28C01165</v>
      </c>
      <c r="I1016" s="59">
        <f>IF(OR($A1016="",$C1016="",$D1016="",$E1016="",$H1016=""),"",SUMIFS(DATA_GOC!$H:$H,DATA_GOC!$A:$A,"BOM",DATA_GOC!$D:$D,$H1016,DATA_GOC!$E:$E,$C1016,DATA_GOC!$F:$F,"Xuất nội bộ từ téc",DATA_GOC!$B:$B,"&gt;="&amp;$D1016,DATA_GOC!$B:$B,"&lt;="&amp;$E1016))</f>
        <v>160</v>
      </c>
      <c r="J1016" s="59">
        <f t="shared" si="28"/>
        <v>7.819</v>
      </c>
      <c r="K1016" s="59">
        <f t="shared" si="29"/>
        <v>0</v>
      </c>
      <c r="L1016" s="59">
        <f t="shared" si="30"/>
        <v>167.819</v>
      </c>
      <c r="M1016" s="59">
        <f t="shared" si="31"/>
        <v>0.02063185042</v>
      </c>
    </row>
    <row r="1017" ht="15.0" hidden="1" customHeight="1">
      <c r="A1017" s="59">
        <f t="shared" si="20"/>
        <v>14</v>
      </c>
      <c r="B1017" s="59" t="str">
        <f t="shared" si="21"/>
        <v>Đã chốt</v>
      </c>
      <c r="C1017" s="59" t="str">
        <f t="shared" si="22"/>
        <v>Téc 1</v>
      </c>
      <c r="D1017" s="45">
        <f t="shared" si="23"/>
        <v>46162</v>
      </c>
      <c r="E1017" s="45">
        <f t="shared" si="24"/>
        <v>46168</v>
      </c>
      <c r="F1017" s="132">
        <f t="shared" si="25"/>
        <v>5</v>
      </c>
      <c r="G1017" s="132">
        <f t="shared" si="26"/>
        <v>2026</v>
      </c>
      <c r="H1017" s="59" t="str">
        <f t="shared" si="27"/>
        <v>28C01406</v>
      </c>
      <c r="I1017" s="59">
        <f>IF(OR($A1017="",$C1017="",$D1017="",$E1017="",$H1017=""),"",SUMIFS(DATA_GOC!$H:$H,DATA_GOC!$A:$A,"BOM",DATA_GOC!$D:$D,$H1017,DATA_GOC!$E:$E,$C1017,DATA_GOC!$F:$F,"Xuất nội bộ từ téc",DATA_GOC!$B:$B,"&gt;="&amp;$D1017,DATA_GOC!$B:$B,"&lt;="&amp;$E1017))</f>
        <v>400</v>
      </c>
      <c r="J1017" s="59">
        <f t="shared" si="28"/>
        <v>19.549</v>
      </c>
      <c r="K1017" s="59">
        <f t="shared" si="29"/>
        <v>0</v>
      </c>
      <c r="L1017" s="59">
        <f t="shared" si="30"/>
        <v>419.549</v>
      </c>
      <c r="M1017" s="59">
        <f t="shared" si="31"/>
        <v>0.05157962605</v>
      </c>
    </row>
    <row r="1018" ht="15.0" hidden="1" customHeight="1">
      <c r="A1018" s="59">
        <f t="shared" si="20"/>
        <v>14</v>
      </c>
      <c r="B1018" s="59" t="str">
        <f t="shared" si="21"/>
        <v>Đã chốt</v>
      </c>
      <c r="C1018" s="59" t="str">
        <f t="shared" si="22"/>
        <v>Téc 1</v>
      </c>
      <c r="D1018" s="45">
        <f t="shared" si="23"/>
        <v>46162</v>
      </c>
      <c r="E1018" s="45">
        <f t="shared" si="24"/>
        <v>46168</v>
      </c>
      <c r="F1018" s="132">
        <f t="shared" si="25"/>
        <v>5</v>
      </c>
      <c r="G1018" s="132">
        <f t="shared" si="26"/>
        <v>2026</v>
      </c>
      <c r="H1018" s="59" t="str">
        <f t="shared" si="27"/>
        <v>28C01544</v>
      </c>
      <c r="I1018" s="59">
        <f>IF(OR($A1018="",$C1018="",$D1018="",$E1018="",$H1018=""),"",SUMIFS(DATA_GOC!$H:$H,DATA_GOC!$A:$A,"BOM",DATA_GOC!$D:$D,$H1018,DATA_GOC!$E:$E,$C1018,DATA_GOC!$F:$F,"Xuất nội bộ từ téc",DATA_GOC!$B:$B,"&gt;="&amp;$D1018,DATA_GOC!$B:$B,"&lt;="&amp;$E1018))</f>
        <v>0</v>
      </c>
      <c r="J1018" s="59">
        <f t="shared" si="28"/>
        <v>0</v>
      </c>
      <c r="K1018" s="59">
        <f t="shared" si="29"/>
        <v>0</v>
      </c>
      <c r="L1018" s="59">
        <f t="shared" si="30"/>
        <v>0</v>
      </c>
      <c r="M1018" s="59">
        <f t="shared" si="31"/>
        <v>0</v>
      </c>
    </row>
    <row r="1019" ht="15.0" hidden="1" customHeight="1">
      <c r="A1019" s="59">
        <f t="shared" si="20"/>
        <v>14</v>
      </c>
      <c r="B1019" s="59" t="str">
        <f t="shared" si="21"/>
        <v>Đã chốt</v>
      </c>
      <c r="C1019" s="59" t="str">
        <f t="shared" si="22"/>
        <v>Téc 1</v>
      </c>
      <c r="D1019" s="45">
        <f t="shared" si="23"/>
        <v>46162</v>
      </c>
      <c r="E1019" s="45">
        <f t="shared" si="24"/>
        <v>46168</v>
      </c>
      <c r="F1019" s="132">
        <f t="shared" si="25"/>
        <v>5</v>
      </c>
      <c r="G1019" s="132">
        <f t="shared" si="26"/>
        <v>2026</v>
      </c>
      <c r="H1019" s="59" t="str">
        <f t="shared" si="27"/>
        <v>28C01622</v>
      </c>
      <c r="I1019" s="59">
        <f>IF(OR($A1019="",$C1019="",$D1019="",$E1019="",$H1019=""),"",SUMIFS(DATA_GOC!$H:$H,DATA_GOC!$A:$A,"BOM",DATA_GOC!$D:$D,$H1019,DATA_GOC!$E:$E,$C1019,DATA_GOC!$F:$F,"Xuất nội bộ từ téc",DATA_GOC!$B:$B,"&gt;="&amp;$D1019,DATA_GOC!$B:$B,"&lt;="&amp;$E1019))</f>
        <v>360</v>
      </c>
      <c r="J1019" s="59">
        <f t="shared" si="28"/>
        <v>17.594</v>
      </c>
      <c r="K1019" s="59">
        <f t="shared" si="29"/>
        <v>0</v>
      </c>
      <c r="L1019" s="59">
        <f t="shared" si="30"/>
        <v>377.594</v>
      </c>
      <c r="M1019" s="59">
        <f t="shared" si="31"/>
        <v>0.04642166344</v>
      </c>
    </row>
    <row r="1020" ht="15.0" hidden="1" customHeight="1">
      <c r="A1020" s="59">
        <f t="shared" si="20"/>
        <v>14</v>
      </c>
      <c r="B1020" s="59" t="str">
        <f t="shared" si="21"/>
        <v>Đã chốt</v>
      </c>
      <c r="C1020" s="59" t="str">
        <f t="shared" si="22"/>
        <v>Téc 1</v>
      </c>
      <c r="D1020" s="45">
        <f t="shared" si="23"/>
        <v>46162</v>
      </c>
      <c r="E1020" s="45">
        <f t="shared" si="24"/>
        <v>46168</v>
      </c>
      <c r="F1020" s="132">
        <f t="shared" si="25"/>
        <v>5</v>
      </c>
      <c r="G1020" s="132">
        <f t="shared" si="26"/>
        <v>2026</v>
      </c>
      <c r="H1020" s="59" t="str">
        <f t="shared" si="27"/>
        <v>28C01647</v>
      </c>
      <c r="I1020" s="59">
        <f>IF(OR($A1020="",$C1020="",$D1020="",$E1020="",$H1020=""),"",SUMIFS(DATA_GOC!$H:$H,DATA_GOC!$A:$A,"BOM",DATA_GOC!$D:$D,$H1020,DATA_GOC!$E:$E,$C1020,DATA_GOC!$F:$F,"Xuất nội bộ từ téc",DATA_GOC!$B:$B,"&gt;="&amp;$D1020,DATA_GOC!$B:$B,"&lt;="&amp;$E1020))</f>
        <v>0</v>
      </c>
      <c r="J1020" s="59">
        <f t="shared" si="28"/>
        <v>0</v>
      </c>
      <c r="K1020" s="59">
        <f t="shared" si="29"/>
        <v>0</v>
      </c>
      <c r="L1020" s="59">
        <f t="shared" si="30"/>
        <v>0</v>
      </c>
      <c r="M1020" s="59">
        <f t="shared" si="31"/>
        <v>0</v>
      </c>
    </row>
    <row r="1021" ht="15.0" hidden="1" customHeight="1">
      <c r="A1021" s="59">
        <f t="shared" si="20"/>
        <v>14</v>
      </c>
      <c r="B1021" s="59" t="str">
        <f t="shared" si="21"/>
        <v>Đã chốt</v>
      </c>
      <c r="C1021" s="59" t="str">
        <f t="shared" si="22"/>
        <v>Téc 1</v>
      </c>
      <c r="D1021" s="45">
        <f t="shared" si="23"/>
        <v>46162</v>
      </c>
      <c r="E1021" s="45">
        <f t="shared" si="24"/>
        <v>46168</v>
      </c>
      <c r="F1021" s="132">
        <f t="shared" si="25"/>
        <v>5</v>
      </c>
      <c r="G1021" s="132">
        <f t="shared" si="26"/>
        <v>2026</v>
      </c>
      <c r="H1021" s="59" t="str">
        <f t="shared" si="27"/>
        <v>28C01731</v>
      </c>
      <c r="I1021" s="59">
        <f>IF(OR($A1021="",$C1021="",$D1021="",$E1021="",$H1021=""),"",SUMIFS(DATA_GOC!$H:$H,DATA_GOC!$A:$A,"BOM",DATA_GOC!$D:$D,$H1021,DATA_GOC!$E:$E,$C1021,DATA_GOC!$F:$F,"Xuất nội bộ từ téc",DATA_GOC!$B:$B,"&gt;="&amp;$D1021,DATA_GOC!$B:$B,"&lt;="&amp;$E1021))</f>
        <v>130</v>
      </c>
      <c r="J1021" s="59">
        <f t="shared" si="28"/>
        <v>6.353</v>
      </c>
      <c r="K1021" s="59">
        <f t="shared" si="29"/>
        <v>0</v>
      </c>
      <c r="L1021" s="59">
        <f t="shared" si="30"/>
        <v>136.353</v>
      </c>
      <c r="M1021" s="59">
        <f t="shared" si="31"/>
        <v>0.01676337847</v>
      </c>
    </row>
    <row r="1022" ht="15.0" hidden="1" customHeight="1">
      <c r="A1022" s="59">
        <f t="shared" si="20"/>
        <v>14</v>
      </c>
      <c r="B1022" s="59" t="str">
        <f t="shared" si="21"/>
        <v>Đã chốt</v>
      </c>
      <c r="C1022" s="59" t="str">
        <f t="shared" si="22"/>
        <v>Téc 1</v>
      </c>
      <c r="D1022" s="45">
        <f t="shared" si="23"/>
        <v>46162</v>
      </c>
      <c r="E1022" s="45">
        <f t="shared" si="24"/>
        <v>46168</v>
      </c>
      <c r="F1022" s="132">
        <f t="shared" si="25"/>
        <v>5</v>
      </c>
      <c r="G1022" s="132">
        <f t="shared" si="26"/>
        <v>2026</v>
      </c>
      <c r="H1022" s="59" t="str">
        <f t="shared" si="27"/>
        <v>28C01743</v>
      </c>
      <c r="I1022" s="59">
        <f>IF(OR($A1022="",$C1022="",$D1022="",$E1022="",$H1022=""),"",SUMIFS(DATA_GOC!$H:$H,DATA_GOC!$A:$A,"BOM",DATA_GOC!$D:$D,$H1022,DATA_GOC!$E:$E,$C1022,DATA_GOC!$F:$F,"Xuất nội bộ từ téc",DATA_GOC!$B:$B,"&gt;="&amp;$D1022,DATA_GOC!$B:$B,"&lt;="&amp;$E1022))</f>
        <v>0</v>
      </c>
      <c r="J1022" s="59">
        <f t="shared" si="28"/>
        <v>0</v>
      </c>
      <c r="K1022" s="59">
        <f t="shared" si="29"/>
        <v>0</v>
      </c>
      <c r="L1022" s="59">
        <f t="shared" si="30"/>
        <v>0</v>
      </c>
      <c r="M1022" s="59">
        <f t="shared" si="31"/>
        <v>0</v>
      </c>
    </row>
    <row r="1023" ht="15.0" hidden="1" customHeight="1">
      <c r="A1023" s="59">
        <f t="shared" si="20"/>
        <v>14</v>
      </c>
      <c r="B1023" s="59" t="str">
        <f t="shared" si="21"/>
        <v>Đã chốt</v>
      </c>
      <c r="C1023" s="59" t="str">
        <f t="shared" si="22"/>
        <v>Téc 1</v>
      </c>
      <c r="D1023" s="45">
        <f t="shared" si="23"/>
        <v>46162</v>
      </c>
      <c r="E1023" s="45">
        <f t="shared" si="24"/>
        <v>46168</v>
      </c>
      <c r="F1023" s="132">
        <f t="shared" si="25"/>
        <v>5</v>
      </c>
      <c r="G1023" s="132">
        <f t="shared" si="26"/>
        <v>2026</v>
      </c>
      <c r="H1023" s="59" t="str">
        <f t="shared" si="27"/>
        <v>28C02106</v>
      </c>
      <c r="I1023" s="59">
        <f>IF(OR($A1023="",$C1023="",$D1023="",$E1023="",$H1023=""),"",SUMIFS(DATA_GOC!$H:$H,DATA_GOC!$A:$A,"BOM",DATA_GOC!$D:$D,$H1023,DATA_GOC!$E:$E,$C1023,DATA_GOC!$F:$F,"Xuất nội bộ từ téc",DATA_GOC!$B:$B,"&gt;="&amp;$D1023,DATA_GOC!$B:$B,"&lt;="&amp;$E1023))</f>
        <v>0</v>
      </c>
      <c r="J1023" s="59">
        <f t="shared" si="28"/>
        <v>0</v>
      </c>
      <c r="K1023" s="59">
        <f t="shared" si="29"/>
        <v>0</v>
      </c>
      <c r="L1023" s="59">
        <f t="shared" si="30"/>
        <v>0</v>
      </c>
      <c r="M1023" s="59">
        <f t="shared" si="31"/>
        <v>0</v>
      </c>
    </row>
    <row r="1024" ht="15.0" hidden="1" customHeight="1">
      <c r="A1024" s="59">
        <f t="shared" si="20"/>
        <v>14</v>
      </c>
      <c r="B1024" s="59" t="str">
        <f t="shared" si="21"/>
        <v>Đã chốt</v>
      </c>
      <c r="C1024" s="59" t="str">
        <f t="shared" si="22"/>
        <v>Téc 1</v>
      </c>
      <c r="D1024" s="45">
        <f t="shared" si="23"/>
        <v>46162</v>
      </c>
      <c r="E1024" s="45">
        <f t="shared" si="24"/>
        <v>46168</v>
      </c>
      <c r="F1024" s="132">
        <f t="shared" si="25"/>
        <v>5</v>
      </c>
      <c r="G1024" s="132">
        <f t="shared" si="26"/>
        <v>2026</v>
      </c>
      <c r="H1024" s="59" t="str">
        <f t="shared" si="27"/>
        <v>28C02410</v>
      </c>
      <c r="I1024" s="59">
        <f>IF(OR($A1024="",$C1024="",$D1024="",$E1024="",$H1024=""),"",SUMIFS(DATA_GOC!$H:$H,DATA_GOC!$A:$A,"BOM",DATA_GOC!$D:$D,$H1024,DATA_GOC!$E:$E,$C1024,DATA_GOC!$F:$F,"Xuất nội bộ từ téc",DATA_GOC!$B:$B,"&gt;="&amp;$D1024,DATA_GOC!$B:$B,"&lt;="&amp;$E1024))</f>
        <v>150</v>
      </c>
      <c r="J1024" s="59">
        <f t="shared" si="28"/>
        <v>7.331</v>
      </c>
      <c r="K1024" s="59">
        <f t="shared" si="29"/>
        <v>0</v>
      </c>
      <c r="L1024" s="59">
        <f t="shared" si="30"/>
        <v>157.331</v>
      </c>
      <c r="M1024" s="59">
        <f t="shared" si="31"/>
        <v>0.01934235977</v>
      </c>
    </row>
    <row r="1025" ht="15.0" hidden="1" customHeight="1">
      <c r="A1025" s="59">
        <f t="shared" si="20"/>
        <v>14</v>
      </c>
      <c r="B1025" s="59" t="str">
        <f t="shared" si="21"/>
        <v>Đã chốt</v>
      </c>
      <c r="C1025" s="59" t="str">
        <f t="shared" si="22"/>
        <v>Téc 1</v>
      </c>
      <c r="D1025" s="45">
        <f t="shared" si="23"/>
        <v>46162</v>
      </c>
      <c r="E1025" s="45">
        <f t="shared" si="24"/>
        <v>46168</v>
      </c>
      <c r="F1025" s="132">
        <f t="shared" si="25"/>
        <v>5</v>
      </c>
      <c r="G1025" s="132">
        <f t="shared" si="26"/>
        <v>2026</v>
      </c>
      <c r="H1025" s="59" t="str">
        <f t="shared" si="27"/>
        <v>28C02545</v>
      </c>
      <c r="I1025" s="59">
        <f>IF(OR($A1025="",$C1025="",$D1025="",$E1025="",$H1025=""),"",SUMIFS(DATA_GOC!$H:$H,DATA_GOC!$A:$A,"BOM",DATA_GOC!$D:$D,$H1025,DATA_GOC!$E:$E,$C1025,DATA_GOC!$F:$F,"Xuất nội bộ từ téc",DATA_GOC!$B:$B,"&gt;="&amp;$D1025,DATA_GOC!$B:$B,"&lt;="&amp;$E1025))</f>
        <v>0</v>
      </c>
      <c r="J1025" s="59">
        <f t="shared" si="28"/>
        <v>0</v>
      </c>
      <c r="K1025" s="59">
        <f t="shared" si="29"/>
        <v>0</v>
      </c>
      <c r="L1025" s="59">
        <f t="shared" si="30"/>
        <v>0</v>
      </c>
      <c r="M1025" s="59">
        <f t="shared" si="31"/>
        <v>0</v>
      </c>
    </row>
    <row r="1026" ht="15.0" hidden="1" customHeight="1">
      <c r="A1026" s="59">
        <f t="shared" si="20"/>
        <v>14</v>
      </c>
      <c r="B1026" s="59" t="str">
        <f t="shared" si="21"/>
        <v>Đã chốt</v>
      </c>
      <c r="C1026" s="59" t="str">
        <f t="shared" si="22"/>
        <v>Téc 1</v>
      </c>
      <c r="D1026" s="45">
        <f t="shared" si="23"/>
        <v>46162</v>
      </c>
      <c r="E1026" s="45">
        <f t="shared" si="24"/>
        <v>46168</v>
      </c>
      <c r="F1026" s="132">
        <f t="shared" si="25"/>
        <v>5</v>
      </c>
      <c r="G1026" s="132">
        <f t="shared" si="26"/>
        <v>2026</v>
      </c>
      <c r="H1026" s="59" t="str">
        <f t="shared" si="27"/>
        <v>28C02574</v>
      </c>
      <c r="I1026" s="59">
        <f>IF(OR($A1026="",$C1026="",$D1026="",$E1026="",$H1026=""),"",SUMIFS(DATA_GOC!$H:$H,DATA_GOC!$A:$A,"BOM",DATA_GOC!$D:$D,$H1026,DATA_GOC!$E:$E,$C1026,DATA_GOC!$F:$F,"Xuất nội bộ từ téc",DATA_GOC!$B:$B,"&gt;="&amp;$D1026,DATA_GOC!$B:$B,"&lt;="&amp;$E1026))</f>
        <v>0</v>
      </c>
      <c r="J1026" s="59">
        <f t="shared" si="28"/>
        <v>0</v>
      </c>
      <c r="K1026" s="59">
        <f t="shared" si="29"/>
        <v>0</v>
      </c>
      <c r="L1026" s="59">
        <f t="shared" si="30"/>
        <v>0</v>
      </c>
      <c r="M1026" s="59">
        <f t="shared" si="31"/>
        <v>0</v>
      </c>
    </row>
    <row r="1027" ht="15.0" hidden="1" customHeight="1">
      <c r="A1027" s="59">
        <f t="shared" si="20"/>
        <v>14</v>
      </c>
      <c r="B1027" s="59" t="str">
        <f t="shared" si="21"/>
        <v>Đã chốt</v>
      </c>
      <c r="C1027" s="59" t="str">
        <f t="shared" si="22"/>
        <v>Téc 1</v>
      </c>
      <c r="D1027" s="45">
        <f t="shared" si="23"/>
        <v>46162</v>
      </c>
      <c r="E1027" s="45">
        <f t="shared" si="24"/>
        <v>46168</v>
      </c>
      <c r="F1027" s="132">
        <f t="shared" si="25"/>
        <v>5</v>
      </c>
      <c r="G1027" s="132">
        <f t="shared" si="26"/>
        <v>2026</v>
      </c>
      <c r="H1027" s="59" t="str">
        <f t="shared" si="27"/>
        <v>28C02770</v>
      </c>
      <c r="I1027" s="59">
        <f>IF(OR($A1027="",$C1027="",$D1027="",$E1027="",$H1027=""),"",SUMIFS(DATA_GOC!$H:$H,DATA_GOC!$A:$A,"BOM",DATA_GOC!$D:$D,$H1027,DATA_GOC!$E:$E,$C1027,DATA_GOC!$F:$F,"Xuất nội bộ từ téc",DATA_GOC!$B:$B,"&gt;="&amp;$D1027,DATA_GOC!$B:$B,"&lt;="&amp;$E1027))</f>
        <v>0</v>
      </c>
      <c r="J1027" s="59">
        <f t="shared" si="28"/>
        <v>0</v>
      </c>
      <c r="K1027" s="59">
        <f t="shared" si="29"/>
        <v>0</v>
      </c>
      <c r="L1027" s="59">
        <f t="shared" si="30"/>
        <v>0</v>
      </c>
      <c r="M1027" s="59">
        <f t="shared" si="31"/>
        <v>0</v>
      </c>
    </row>
    <row r="1028" ht="15.0" hidden="1" customHeight="1">
      <c r="A1028" s="59">
        <f t="shared" si="20"/>
        <v>14</v>
      </c>
      <c r="B1028" s="59" t="str">
        <f t="shared" si="21"/>
        <v>Đã chốt</v>
      </c>
      <c r="C1028" s="59" t="str">
        <f t="shared" si="22"/>
        <v>Téc 1</v>
      </c>
      <c r="D1028" s="45">
        <f t="shared" si="23"/>
        <v>46162</v>
      </c>
      <c r="E1028" s="45">
        <f t="shared" si="24"/>
        <v>46168</v>
      </c>
      <c r="F1028" s="132">
        <f t="shared" si="25"/>
        <v>5</v>
      </c>
      <c r="G1028" s="132">
        <f t="shared" si="26"/>
        <v>2026</v>
      </c>
      <c r="H1028" s="59" t="str">
        <f t="shared" si="27"/>
        <v>28C02986</v>
      </c>
      <c r="I1028" s="59">
        <f>IF(OR($A1028="",$C1028="",$D1028="",$E1028="",$H1028=""),"",SUMIFS(DATA_GOC!$H:$H,DATA_GOC!$A:$A,"BOM",DATA_GOC!$D:$D,$H1028,DATA_GOC!$E:$E,$C1028,DATA_GOC!$F:$F,"Xuất nội bộ từ téc",DATA_GOC!$B:$B,"&gt;="&amp;$D1028,DATA_GOC!$B:$B,"&lt;="&amp;$E1028))</f>
        <v>430</v>
      </c>
      <c r="J1028" s="59">
        <f t="shared" si="28"/>
        <v>21.015</v>
      </c>
      <c r="K1028" s="59">
        <f t="shared" si="29"/>
        <v>0</v>
      </c>
      <c r="L1028" s="59">
        <f t="shared" si="30"/>
        <v>451.015</v>
      </c>
      <c r="M1028" s="59">
        <f t="shared" si="31"/>
        <v>0.055448098</v>
      </c>
    </row>
    <row r="1029" ht="15.0" hidden="1" customHeight="1">
      <c r="A1029" s="59">
        <f t="shared" si="20"/>
        <v>14</v>
      </c>
      <c r="B1029" s="59" t="str">
        <f t="shared" si="21"/>
        <v>Đã chốt</v>
      </c>
      <c r="C1029" s="59" t="str">
        <f t="shared" si="22"/>
        <v>Téc 1</v>
      </c>
      <c r="D1029" s="45">
        <f t="shared" si="23"/>
        <v>46162</v>
      </c>
      <c r="E1029" s="45">
        <f t="shared" si="24"/>
        <v>46168</v>
      </c>
      <c r="F1029" s="132">
        <f t="shared" si="25"/>
        <v>5</v>
      </c>
      <c r="G1029" s="132">
        <f t="shared" si="26"/>
        <v>2026</v>
      </c>
      <c r="H1029" s="59" t="str">
        <f t="shared" si="27"/>
        <v>28C03261</v>
      </c>
      <c r="I1029" s="59">
        <f>IF(OR($A1029="",$C1029="",$D1029="",$E1029="",$H1029=""),"",SUMIFS(DATA_GOC!$H:$H,DATA_GOC!$A:$A,"BOM",DATA_GOC!$D:$D,$H1029,DATA_GOC!$E:$E,$C1029,DATA_GOC!$F:$F,"Xuất nội bộ từ téc",DATA_GOC!$B:$B,"&gt;="&amp;$D1029,DATA_GOC!$B:$B,"&lt;="&amp;$E1029))</f>
        <v>245</v>
      </c>
      <c r="J1029" s="59">
        <f t="shared" si="28"/>
        <v>11.974</v>
      </c>
      <c r="K1029" s="59">
        <f t="shared" si="29"/>
        <v>0</v>
      </c>
      <c r="L1029" s="59">
        <f t="shared" si="30"/>
        <v>256.974</v>
      </c>
      <c r="M1029" s="59">
        <f t="shared" si="31"/>
        <v>0.03159252095</v>
      </c>
    </row>
    <row r="1030" ht="15.0" hidden="1" customHeight="1">
      <c r="A1030" s="59">
        <f t="shared" si="20"/>
        <v>14</v>
      </c>
      <c r="B1030" s="59" t="str">
        <f t="shared" si="21"/>
        <v>Đã chốt</v>
      </c>
      <c r="C1030" s="59" t="str">
        <f t="shared" si="22"/>
        <v>Téc 1</v>
      </c>
      <c r="D1030" s="45">
        <f t="shared" si="23"/>
        <v>46162</v>
      </c>
      <c r="E1030" s="45">
        <f t="shared" si="24"/>
        <v>46168</v>
      </c>
      <c r="F1030" s="132">
        <f t="shared" si="25"/>
        <v>5</v>
      </c>
      <c r="G1030" s="132">
        <f t="shared" si="26"/>
        <v>2026</v>
      </c>
      <c r="H1030" s="59" t="str">
        <f t="shared" si="27"/>
        <v>28C03323</v>
      </c>
      <c r="I1030" s="59">
        <f>IF(OR($A1030="",$C1030="",$D1030="",$E1030="",$H1030=""),"",SUMIFS(DATA_GOC!$H:$H,DATA_GOC!$A:$A,"BOM",DATA_GOC!$D:$D,$H1030,DATA_GOC!$E:$E,$C1030,DATA_GOC!$F:$F,"Xuất nội bộ từ téc",DATA_GOC!$B:$B,"&gt;="&amp;$D1030,DATA_GOC!$B:$B,"&lt;="&amp;$E1030))</f>
        <v>460</v>
      </c>
      <c r="J1030" s="59">
        <f t="shared" si="28"/>
        <v>22.481</v>
      </c>
      <c r="K1030" s="59">
        <f t="shared" si="29"/>
        <v>0</v>
      </c>
      <c r="L1030" s="59">
        <f t="shared" si="30"/>
        <v>482.481</v>
      </c>
      <c r="M1030" s="59">
        <f t="shared" si="31"/>
        <v>0.05931656995</v>
      </c>
    </row>
    <row r="1031" ht="15.0" hidden="1" customHeight="1">
      <c r="A1031" s="59">
        <f t="shared" si="20"/>
        <v>14</v>
      </c>
      <c r="B1031" s="59" t="str">
        <f t="shared" si="21"/>
        <v>Đã chốt</v>
      </c>
      <c r="C1031" s="59" t="str">
        <f t="shared" si="22"/>
        <v>Téc 1</v>
      </c>
      <c r="D1031" s="45">
        <f t="shared" si="23"/>
        <v>46162</v>
      </c>
      <c r="E1031" s="45">
        <f t="shared" si="24"/>
        <v>46168</v>
      </c>
      <c r="F1031" s="132">
        <f t="shared" si="25"/>
        <v>5</v>
      </c>
      <c r="G1031" s="132">
        <f t="shared" si="26"/>
        <v>2026</v>
      </c>
      <c r="H1031" s="59" t="str">
        <f t="shared" si="27"/>
        <v>28C03385</v>
      </c>
      <c r="I1031" s="59">
        <f>IF(OR($A1031="",$C1031="",$D1031="",$E1031="",$H1031=""),"",SUMIFS(DATA_GOC!$H:$H,DATA_GOC!$A:$A,"BOM",DATA_GOC!$D:$D,$H1031,DATA_GOC!$E:$E,$C1031,DATA_GOC!$F:$F,"Xuất nội bộ từ téc",DATA_GOC!$B:$B,"&gt;="&amp;$D1031,DATA_GOC!$B:$B,"&lt;="&amp;$E1031))</f>
        <v>0</v>
      </c>
      <c r="J1031" s="59">
        <f t="shared" si="28"/>
        <v>0</v>
      </c>
      <c r="K1031" s="59">
        <f t="shared" si="29"/>
        <v>0</v>
      </c>
      <c r="L1031" s="59">
        <f t="shared" si="30"/>
        <v>0</v>
      </c>
      <c r="M1031" s="59">
        <f t="shared" si="31"/>
        <v>0</v>
      </c>
    </row>
    <row r="1032" ht="15.0" hidden="1" customHeight="1">
      <c r="A1032" s="59">
        <f t="shared" si="20"/>
        <v>14</v>
      </c>
      <c r="B1032" s="59" t="str">
        <f t="shared" si="21"/>
        <v>Đã chốt</v>
      </c>
      <c r="C1032" s="59" t="str">
        <f t="shared" si="22"/>
        <v>Téc 1</v>
      </c>
      <c r="D1032" s="45">
        <f t="shared" si="23"/>
        <v>46162</v>
      </c>
      <c r="E1032" s="45">
        <f t="shared" si="24"/>
        <v>46168</v>
      </c>
      <c r="F1032" s="132">
        <f t="shared" si="25"/>
        <v>5</v>
      </c>
      <c r="G1032" s="132">
        <f t="shared" si="26"/>
        <v>2026</v>
      </c>
      <c r="H1032" s="59" t="str">
        <f t="shared" si="27"/>
        <v>28C03652</v>
      </c>
      <c r="I1032" s="59">
        <f>IF(OR($A1032="",$C1032="",$D1032="",$E1032="",$H1032=""),"",SUMIFS(DATA_GOC!$H:$H,DATA_GOC!$A:$A,"BOM",DATA_GOC!$D:$D,$H1032,DATA_GOC!$E:$E,$C1032,DATA_GOC!$F:$F,"Xuất nội bộ từ téc",DATA_GOC!$B:$B,"&gt;="&amp;$D1032,DATA_GOC!$B:$B,"&lt;="&amp;$E1032))</f>
        <v>200</v>
      </c>
      <c r="J1032" s="59">
        <f t="shared" si="28"/>
        <v>9.774</v>
      </c>
      <c r="K1032" s="59">
        <f t="shared" si="29"/>
        <v>0</v>
      </c>
      <c r="L1032" s="59">
        <f t="shared" si="30"/>
        <v>209.774</v>
      </c>
      <c r="M1032" s="59">
        <f t="shared" si="31"/>
        <v>0.02578981302</v>
      </c>
    </row>
    <row r="1033" ht="15.0" hidden="1" customHeight="1">
      <c r="A1033" s="59">
        <f t="shared" si="20"/>
        <v>14</v>
      </c>
      <c r="B1033" s="59" t="str">
        <f t="shared" si="21"/>
        <v>Đã chốt</v>
      </c>
      <c r="C1033" s="59" t="str">
        <f t="shared" si="22"/>
        <v>Téc 1</v>
      </c>
      <c r="D1033" s="45">
        <f t="shared" si="23"/>
        <v>46162</v>
      </c>
      <c r="E1033" s="45">
        <f t="shared" si="24"/>
        <v>46168</v>
      </c>
      <c r="F1033" s="132">
        <f t="shared" si="25"/>
        <v>5</v>
      </c>
      <c r="G1033" s="132">
        <f t="shared" si="26"/>
        <v>2026</v>
      </c>
      <c r="H1033" s="59" t="str">
        <f t="shared" si="27"/>
        <v>28C03695</v>
      </c>
      <c r="I1033" s="59">
        <f>IF(OR($A1033="",$C1033="",$D1033="",$E1033="",$H1033=""),"",SUMIFS(DATA_GOC!$H:$H,DATA_GOC!$A:$A,"BOM",DATA_GOC!$D:$D,$H1033,DATA_GOC!$E:$E,$C1033,DATA_GOC!$F:$F,"Xuất nội bộ từ téc",DATA_GOC!$B:$B,"&gt;="&amp;$D1033,DATA_GOC!$B:$B,"&lt;="&amp;$E1033))</f>
        <v>0</v>
      </c>
      <c r="J1033" s="59">
        <f t="shared" si="28"/>
        <v>0</v>
      </c>
      <c r="K1033" s="59">
        <f t="shared" si="29"/>
        <v>0</v>
      </c>
      <c r="L1033" s="59">
        <f t="shared" si="30"/>
        <v>0</v>
      </c>
      <c r="M1033" s="59">
        <f t="shared" si="31"/>
        <v>0</v>
      </c>
    </row>
    <row r="1034" ht="15.0" hidden="1" customHeight="1">
      <c r="A1034" s="59">
        <f t="shared" si="20"/>
        <v>14</v>
      </c>
      <c r="B1034" s="59" t="str">
        <f t="shared" si="21"/>
        <v>Đã chốt</v>
      </c>
      <c r="C1034" s="59" t="str">
        <f t="shared" si="22"/>
        <v>Téc 1</v>
      </c>
      <c r="D1034" s="45">
        <f t="shared" si="23"/>
        <v>46162</v>
      </c>
      <c r="E1034" s="45">
        <f t="shared" si="24"/>
        <v>46168</v>
      </c>
      <c r="F1034" s="132">
        <f t="shared" si="25"/>
        <v>5</v>
      </c>
      <c r="G1034" s="132">
        <f t="shared" si="26"/>
        <v>2026</v>
      </c>
      <c r="H1034" s="59" t="str">
        <f t="shared" si="27"/>
        <v>28C03927</v>
      </c>
      <c r="I1034" s="59">
        <f>IF(OR($A1034="",$C1034="",$D1034="",$E1034="",$H1034=""),"",SUMIFS(DATA_GOC!$H:$H,DATA_GOC!$A:$A,"BOM",DATA_GOC!$D:$D,$H1034,DATA_GOC!$E:$E,$C1034,DATA_GOC!$F:$F,"Xuất nội bộ từ téc",DATA_GOC!$B:$B,"&gt;="&amp;$D1034,DATA_GOC!$B:$B,"&lt;="&amp;$E1034))</f>
        <v>215</v>
      </c>
      <c r="J1034" s="59">
        <f t="shared" si="28"/>
        <v>10.507</v>
      </c>
      <c r="K1034" s="59">
        <f t="shared" si="29"/>
        <v>0</v>
      </c>
      <c r="L1034" s="59">
        <f t="shared" si="30"/>
        <v>225.507</v>
      </c>
      <c r="M1034" s="59">
        <f t="shared" si="31"/>
        <v>0.027724049</v>
      </c>
    </row>
    <row r="1035" ht="15.0" hidden="1" customHeight="1">
      <c r="A1035" s="59">
        <f t="shared" si="20"/>
        <v>14</v>
      </c>
      <c r="B1035" s="59" t="str">
        <f t="shared" si="21"/>
        <v>Đã chốt</v>
      </c>
      <c r="C1035" s="59" t="str">
        <f t="shared" si="22"/>
        <v>Téc 1</v>
      </c>
      <c r="D1035" s="45">
        <f t="shared" si="23"/>
        <v>46162</v>
      </c>
      <c r="E1035" s="45">
        <f t="shared" si="24"/>
        <v>46168</v>
      </c>
      <c r="F1035" s="132">
        <f t="shared" si="25"/>
        <v>5</v>
      </c>
      <c r="G1035" s="132">
        <f t="shared" si="26"/>
        <v>2026</v>
      </c>
      <c r="H1035" s="59" t="str">
        <f t="shared" si="27"/>
        <v>28C04509</v>
      </c>
      <c r="I1035" s="59">
        <f>IF(OR($A1035="",$C1035="",$D1035="",$E1035="",$H1035=""),"",SUMIFS(DATA_GOC!$H:$H,DATA_GOC!$A:$A,"BOM",DATA_GOC!$D:$D,$H1035,DATA_GOC!$E:$E,$C1035,DATA_GOC!$F:$F,"Xuất nội bộ từ téc",DATA_GOC!$B:$B,"&gt;="&amp;$D1035,DATA_GOC!$B:$B,"&lt;="&amp;$E1035))</f>
        <v>0</v>
      </c>
      <c r="J1035" s="59">
        <f t="shared" si="28"/>
        <v>0</v>
      </c>
      <c r="K1035" s="59">
        <f t="shared" si="29"/>
        <v>0</v>
      </c>
      <c r="L1035" s="59">
        <f t="shared" si="30"/>
        <v>0</v>
      </c>
      <c r="M1035" s="59">
        <f t="shared" si="31"/>
        <v>0</v>
      </c>
    </row>
    <row r="1036" ht="15.0" hidden="1" customHeight="1">
      <c r="A1036" s="59">
        <f t="shared" si="20"/>
        <v>14</v>
      </c>
      <c r="B1036" s="59" t="str">
        <f t="shared" si="21"/>
        <v>Đã chốt</v>
      </c>
      <c r="C1036" s="59" t="str">
        <f t="shared" si="22"/>
        <v>Téc 1</v>
      </c>
      <c r="D1036" s="45">
        <f t="shared" si="23"/>
        <v>46162</v>
      </c>
      <c r="E1036" s="45">
        <f t="shared" si="24"/>
        <v>46168</v>
      </c>
      <c r="F1036" s="132">
        <f t="shared" si="25"/>
        <v>5</v>
      </c>
      <c r="G1036" s="132">
        <f t="shared" si="26"/>
        <v>2026</v>
      </c>
      <c r="H1036" s="59" t="str">
        <f t="shared" si="27"/>
        <v>28C04536</v>
      </c>
      <c r="I1036" s="59">
        <f>IF(OR($A1036="",$C1036="",$D1036="",$E1036="",$H1036=""),"",SUMIFS(DATA_GOC!$H:$H,DATA_GOC!$A:$A,"BOM",DATA_GOC!$D:$D,$H1036,DATA_GOC!$E:$E,$C1036,DATA_GOC!$F:$F,"Xuất nội bộ từ téc",DATA_GOC!$B:$B,"&gt;="&amp;$D1036,DATA_GOC!$B:$B,"&lt;="&amp;$E1036))</f>
        <v>0</v>
      </c>
      <c r="J1036" s="59">
        <f t="shared" si="28"/>
        <v>0</v>
      </c>
      <c r="K1036" s="59">
        <f t="shared" si="29"/>
        <v>0</v>
      </c>
      <c r="L1036" s="59">
        <f t="shared" si="30"/>
        <v>0</v>
      </c>
      <c r="M1036" s="59">
        <f t="shared" si="31"/>
        <v>0</v>
      </c>
    </row>
    <row r="1037" ht="15.0" hidden="1" customHeight="1">
      <c r="A1037" s="59">
        <f t="shared" si="20"/>
        <v>14</v>
      </c>
      <c r="B1037" s="59" t="str">
        <f t="shared" si="21"/>
        <v>Đã chốt</v>
      </c>
      <c r="C1037" s="59" t="str">
        <f t="shared" si="22"/>
        <v>Téc 1</v>
      </c>
      <c r="D1037" s="45">
        <f t="shared" si="23"/>
        <v>46162</v>
      </c>
      <c r="E1037" s="45">
        <f t="shared" si="24"/>
        <v>46168</v>
      </c>
      <c r="F1037" s="132">
        <f t="shared" si="25"/>
        <v>5</v>
      </c>
      <c r="G1037" s="132">
        <f t="shared" si="26"/>
        <v>2026</v>
      </c>
      <c r="H1037" s="59" t="str">
        <f t="shared" si="27"/>
        <v>28C04576</v>
      </c>
      <c r="I1037" s="59">
        <f>IF(OR($A1037="",$C1037="",$D1037="",$E1037="",$H1037=""),"",SUMIFS(DATA_GOC!$H:$H,DATA_GOC!$A:$A,"BOM",DATA_GOC!$D:$D,$H1037,DATA_GOC!$E:$E,$C1037,DATA_GOC!$F:$F,"Xuất nội bộ từ téc",DATA_GOC!$B:$B,"&gt;="&amp;$D1037,DATA_GOC!$B:$B,"&lt;="&amp;$E1037))</f>
        <v>200</v>
      </c>
      <c r="J1037" s="59">
        <f t="shared" si="28"/>
        <v>9.774</v>
      </c>
      <c r="K1037" s="59">
        <f t="shared" si="29"/>
        <v>0</v>
      </c>
      <c r="L1037" s="59">
        <f t="shared" si="30"/>
        <v>209.774</v>
      </c>
      <c r="M1037" s="59">
        <f t="shared" si="31"/>
        <v>0.02578981302</v>
      </c>
    </row>
    <row r="1038" ht="15.0" hidden="1" customHeight="1">
      <c r="A1038" s="59">
        <f t="shared" si="20"/>
        <v>14</v>
      </c>
      <c r="B1038" s="59" t="str">
        <f t="shared" si="21"/>
        <v>Đã chốt</v>
      </c>
      <c r="C1038" s="59" t="str">
        <f t="shared" si="22"/>
        <v>Téc 1</v>
      </c>
      <c r="D1038" s="45">
        <f t="shared" si="23"/>
        <v>46162</v>
      </c>
      <c r="E1038" s="45">
        <f t="shared" si="24"/>
        <v>46168</v>
      </c>
      <c r="F1038" s="132">
        <f t="shared" si="25"/>
        <v>5</v>
      </c>
      <c r="G1038" s="132">
        <f t="shared" si="26"/>
        <v>2026</v>
      </c>
      <c r="H1038" s="59" t="str">
        <f t="shared" si="27"/>
        <v>28C05090</v>
      </c>
      <c r="I1038" s="59">
        <f>IF(OR($A1038="",$C1038="",$D1038="",$E1038="",$H1038=""),"",SUMIFS(DATA_GOC!$H:$H,DATA_GOC!$A:$A,"BOM",DATA_GOC!$D:$D,$H1038,DATA_GOC!$E:$E,$C1038,DATA_GOC!$F:$F,"Xuất nội bộ từ téc",DATA_GOC!$B:$B,"&gt;="&amp;$D1038,DATA_GOC!$B:$B,"&lt;="&amp;$E1038))</f>
        <v>0</v>
      </c>
      <c r="J1038" s="59">
        <f t="shared" si="28"/>
        <v>0</v>
      </c>
      <c r="K1038" s="59">
        <f t="shared" si="29"/>
        <v>0</v>
      </c>
      <c r="L1038" s="59">
        <f t="shared" si="30"/>
        <v>0</v>
      </c>
      <c r="M1038" s="59">
        <f t="shared" si="31"/>
        <v>0</v>
      </c>
    </row>
    <row r="1039" ht="15.0" hidden="1" customHeight="1">
      <c r="A1039" s="59">
        <f t="shared" si="20"/>
        <v>14</v>
      </c>
      <c r="B1039" s="59" t="str">
        <f t="shared" si="21"/>
        <v>Đã chốt</v>
      </c>
      <c r="C1039" s="59" t="str">
        <f t="shared" si="22"/>
        <v>Téc 1</v>
      </c>
      <c r="D1039" s="45">
        <f t="shared" si="23"/>
        <v>46162</v>
      </c>
      <c r="E1039" s="45">
        <f t="shared" si="24"/>
        <v>46168</v>
      </c>
      <c r="F1039" s="132">
        <f t="shared" si="25"/>
        <v>5</v>
      </c>
      <c r="G1039" s="132">
        <f t="shared" si="26"/>
        <v>2026</v>
      </c>
      <c r="H1039" s="59" t="str">
        <f t="shared" si="27"/>
        <v>28C05345</v>
      </c>
      <c r="I1039" s="59">
        <f>IF(OR($A1039="",$C1039="",$D1039="",$E1039="",$H1039=""),"",SUMIFS(DATA_GOC!$H:$H,DATA_GOC!$A:$A,"BOM",DATA_GOC!$D:$D,$H1039,DATA_GOC!$E:$E,$C1039,DATA_GOC!$F:$F,"Xuất nội bộ từ téc",DATA_GOC!$B:$B,"&gt;="&amp;$D1039,DATA_GOC!$B:$B,"&lt;="&amp;$E1039))</f>
        <v>249</v>
      </c>
      <c r="J1039" s="59">
        <f t="shared" si="28"/>
        <v>12.169</v>
      </c>
      <c r="K1039" s="59">
        <f t="shared" si="29"/>
        <v>0</v>
      </c>
      <c r="L1039" s="59">
        <f t="shared" si="30"/>
        <v>261.169</v>
      </c>
      <c r="M1039" s="59">
        <f t="shared" si="31"/>
        <v>0.03210831721</v>
      </c>
    </row>
    <row r="1040" ht="15.0" hidden="1" customHeight="1">
      <c r="A1040" s="59">
        <f t="shared" si="20"/>
        <v>14</v>
      </c>
      <c r="B1040" s="59" t="str">
        <f t="shared" si="21"/>
        <v>Đã chốt</v>
      </c>
      <c r="C1040" s="59" t="str">
        <f t="shared" si="22"/>
        <v>Téc 1</v>
      </c>
      <c r="D1040" s="45">
        <f t="shared" si="23"/>
        <v>46162</v>
      </c>
      <c r="E1040" s="45">
        <f t="shared" si="24"/>
        <v>46168</v>
      </c>
      <c r="F1040" s="132">
        <f t="shared" si="25"/>
        <v>5</v>
      </c>
      <c r="G1040" s="132">
        <f t="shared" si="26"/>
        <v>2026</v>
      </c>
      <c r="H1040" s="59" t="str">
        <f t="shared" si="27"/>
        <v>28C05661</v>
      </c>
      <c r="I1040" s="59">
        <f>IF(OR($A1040="",$C1040="",$D1040="",$E1040="",$H1040=""),"",SUMIFS(DATA_GOC!$H:$H,DATA_GOC!$A:$A,"BOM",DATA_GOC!$D:$D,$H1040,DATA_GOC!$E:$E,$C1040,DATA_GOC!$F:$F,"Xuất nội bộ từ téc",DATA_GOC!$B:$B,"&gt;="&amp;$D1040,DATA_GOC!$B:$B,"&lt;="&amp;$E1040))</f>
        <v>0</v>
      </c>
      <c r="J1040" s="59">
        <f t="shared" si="28"/>
        <v>0</v>
      </c>
      <c r="K1040" s="59">
        <f t="shared" si="29"/>
        <v>0</v>
      </c>
      <c r="L1040" s="59">
        <f t="shared" si="30"/>
        <v>0</v>
      </c>
      <c r="M1040" s="59">
        <f t="shared" si="31"/>
        <v>0</v>
      </c>
    </row>
    <row r="1041" ht="15.0" hidden="1" customHeight="1">
      <c r="A1041" s="59">
        <f t="shared" si="20"/>
        <v>14</v>
      </c>
      <c r="B1041" s="59" t="str">
        <f t="shared" si="21"/>
        <v>Đã chốt</v>
      </c>
      <c r="C1041" s="59" t="str">
        <f t="shared" si="22"/>
        <v>Téc 1</v>
      </c>
      <c r="D1041" s="45">
        <f t="shared" si="23"/>
        <v>46162</v>
      </c>
      <c r="E1041" s="45">
        <f t="shared" si="24"/>
        <v>46168</v>
      </c>
      <c r="F1041" s="132">
        <f t="shared" si="25"/>
        <v>5</v>
      </c>
      <c r="G1041" s="132">
        <f t="shared" si="26"/>
        <v>2026</v>
      </c>
      <c r="H1041" s="59" t="str">
        <f t="shared" si="27"/>
        <v>28C05739</v>
      </c>
      <c r="I1041" s="59">
        <f>IF(OR($A1041="",$C1041="",$D1041="",$E1041="",$H1041=""),"",SUMIFS(DATA_GOC!$H:$H,DATA_GOC!$A:$A,"BOM",DATA_GOC!$D:$D,$H1041,DATA_GOC!$E:$E,$C1041,DATA_GOC!$F:$F,"Xuất nội bộ từ téc",DATA_GOC!$B:$B,"&gt;="&amp;$D1041,DATA_GOC!$B:$B,"&lt;="&amp;$E1041))</f>
        <v>236</v>
      </c>
      <c r="J1041" s="59">
        <f t="shared" si="28"/>
        <v>11.534</v>
      </c>
      <c r="K1041" s="59">
        <f t="shared" si="29"/>
        <v>0</v>
      </c>
      <c r="L1041" s="59">
        <f t="shared" si="30"/>
        <v>247.534</v>
      </c>
      <c r="M1041" s="59">
        <f t="shared" si="31"/>
        <v>0.03043197937</v>
      </c>
    </row>
    <row r="1042" ht="15.0" hidden="1" customHeight="1">
      <c r="A1042" s="59">
        <f t="shared" si="20"/>
        <v>14</v>
      </c>
      <c r="B1042" s="59" t="str">
        <f t="shared" si="21"/>
        <v>Đã chốt</v>
      </c>
      <c r="C1042" s="59" t="str">
        <f t="shared" si="22"/>
        <v>Téc 1</v>
      </c>
      <c r="D1042" s="45">
        <f t="shared" si="23"/>
        <v>46162</v>
      </c>
      <c r="E1042" s="45">
        <f t="shared" si="24"/>
        <v>46168</v>
      </c>
      <c r="F1042" s="132">
        <f t="shared" si="25"/>
        <v>5</v>
      </c>
      <c r="G1042" s="132">
        <f t="shared" si="26"/>
        <v>2026</v>
      </c>
      <c r="H1042" s="59" t="str">
        <f t="shared" si="27"/>
        <v>28C06369</v>
      </c>
      <c r="I1042" s="59">
        <f>IF(OR($A1042="",$C1042="",$D1042="",$E1042="",$H1042=""),"",SUMIFS(DATA_GOC!$H:$H,DATA_GOC!$A:$A,"BOM",DATA_GOC!$D:$D,$H1042,DATA_GOC!$E:$E,$C1042,DATA_GOC!$F:$F,"Xuất nội bộ từ téc",DATA_GOC!$B:$B,"&gt;="&amp;$D1042,DATA_GOC!$B:$B,"&lt;="&amp;$E1042))</f>
        <v>240</v>
      </c>
      <c r="J1042" s="59">
        <f t="shared" si="28"/>
        <v>11.729</v>
      </c>
      <c r="K1042" s="59">
        <f t="shared" si="29"/>
        <v>0</v>
      </c>
      <c r="L1042" s="59">
        <f t="shared" si="30"/>
        <v>251.729</v>
      </c>
      <c r="M1042" s="59">
        <f t="shared" si="31"/>
        <v>0.03094777563</v>
      </c>
    </row>
    <row r="1043" ht="15.0" hidden="1" customHeight="1">
      <c r="A1043" s="59">
        <f t="shared" si="20"/>
        <v>14</v>
      </c>
      <c r="B1043" s="59" t="str">
        <f t="shared" si="21"/>
        <v>Đã chốt</v>
      </c>
      <c r="C1043" s="59" t="str">
        <f t="shared" si="22"/>
        <v>Téc 1</v>
      </c>
      <c r="D1043" s="45">
        <f t="shared" si="23"/>
        <v>46162</v>
      </c>
      <c r="E1043" s="45">
        <f t="shared" si="24"/>
        <v>46168</v>
      </c>
      <c r="F1043" s="132">
        <f t="shared" si="25"/>
        <v>5</v>
      </c>
      <c r="G1043" s="132">
        <f t="shared" si="26"/>
        <v>2026</v>
      </c>
      <c r="H1043" s="59" t="str">
        <f t="shared" si="27"/>
        <v>28C06447</v>
      </c>
      <c r="I1043" s="59">
        <f>IF(OR($A1043="",$C1043="",$D1043="",$E1043="",$H1043=""),"",SUMIFS(DATA_GOC!$H:$H,DATA_GOC!$A:$A,"BOM",DATA_GOC!$D:$D,$H1043,DATA_GOC!$E:$E,$C1043,DATA_GOC!$F:$F,"Xuất nội bộ từ téc",DATA_GOC!$B:$B,"&gt;="&amp;$D1043,DATA_GOC!$B:$B,"&lt;="&amp;$E1043))</f>
        <v>529</v>
      </c>
      <c r="J1043" s="59">
        <f t="shared" si="28"/>
        <v>25.853</v>
      </c>
      <c r="K1043" s="59">
        <f t="shared" si="29"/>
        <v>0</v>
      </c>
      <c r="L1043" s="59">
        <f t="shared" si="30"/>
        <v>554.853</v>
      </c>
      <c r="M1043" s="59">
        <f t="shared" si="31"/>
        <v>0.06821405545</v>
      </c>
    </row>
    <row r="1044" ht="15.0" hidden="1" customHeight="1">
      <c r="A1044" s="59">
        <f t="shared" si="20"/>
        <v>14</v>
      </c>
      <c r="B1044" s="59" t="str">
        <f t="shared" si="21"/>
        <v>Đã chốt</v>
      </c>
      <c r="C1044" s="59" t="str">
        <f t="shared" si="22"/>
        <v>Téc 1</v>
      </c>
      <c r="D1044" s="45">
        <f t="shared" si="23"/>
        <v>46162</v>
      </c>
      <c r="E1044" s="45">
        <f t="shared" si="24"/>
        <v>46168</v>
      </c>
      <c r="F1044" s="132">
        <f t="shared" si="25"/>
        <v>5</v>
      </c>
      <c r="G1044" s="132">
        <f t="shared" si="26"/>
        <v>2026</v>
      </c>
      <c r="H1044" s="59" t="str">
        <f t="shared" si="27"/>
        <v>28H00003</v>
      </c>
      <c r="I1044" s="59">
        <f>IF(OR($A1044="",$C1044="",$D1044="",$E1044="",$H1044=""),"",SUMIFS(DATA_GOC!$H:$H,DATA_GOC!$A:$A,"BOM",DATA_GOC!$D:$D,$H1044,DATA_GOC!$E:$E,$C1044,DATA_GOC!$F:$F,"Xuất nội bộ từ téc",DATA_GOC!$B:$B,"&gt;="&amp;$D1044,DATA_GOC!$B:$B,"&lt;="&amp;$E1044))</f>
        <v>254</v>
      </c>
      <c r="J1044" s="59">
        <f t="shared" si="28"/>
        <v>12.413</v>
      </c>
      <c r="K1044" s="59">
        <f t="shared" si="29"/>
        <v>0</v>
      </c>
      <c r="L1044" s="59">
        <f t="shared" si="30"/>
        <v>266.413</v>
      </c>
      <c r="M1044" s="59">
        <f t="shared" si="31"/>
        <v>0.03275306254</v>
      </c>
    </row>
    <row r="1045" ht="15.0" hidden="1" customHeight="1">
      <c r="A1045" s="59">
        <f t="shared" si="20"/>
        <v>14</v>
      </c>
      <c r="B1045" s="59" t="str">
        <f t="shared" si="21"/>
        <v>Đã chốt</v>
      </c>
      <c r="C1045" s="59" t="str">
        <f t="shared" si="22"/>
        <v>Téc 1</v>
      </c>
      <c r="D1045" s="45">
        <f t="shared" si="23"/>
        <v>46162</v>
      </c>
      <c r="E1045" s="45">
        <f t="shared" si="24"/>
        <v>46168</v>
      </c>
      <c r="F1045" s="59">
        <f t="shared" si="25"/>
        <v>5</v>
      </c>
      <c r="G1045" s="59">
        <f t="shared" si="26"/>
        <v>2026</v>
      </c>
      <c r="H1045" s="59" t="str">
        <f t="shared" si="27"/>
        <v>28H00061</v>
      </c>
      <c r="I1045" s="59">
        <f>IF(OR($A1045="",$C1045="",$D1045="",$E1045="",$H1045=""),"",SUMIFS(DATA_GOC!$H:$H,DATA_GOC!$A:$A,"BOM",DATA_GOC!$D:$D,$H1045,DATA_GOC!$E:$E,$C1045,DATA_GOC!$F:$F,"Xuất nội bộ từ téc",DATA_GOC!$B:$B,"&gt;="&amp;$D1045,DATA_GOC!$B:$B,"&lt;="&amp;$E1045))</f>
        <v>329</v>
      </c>
      <c r="J1045" s="59">
        <f t="shared" si="28"/>
        <v>16.079</v>
      </c>
      <c r="K1045" s="59">
        <f t="shared" si="29"/>
        <v>0</v>
      </c>
      <c r="L1045" s="59">
        <f t="shared" si="30"/>
        <v>345.079</v>
      </c>
      <c r="M1045" s="59">
        <f t="shared" si="31"/>
        <v>0.04242424242</v>
      </c>
    </row>
    <row r="1046" ht="15.0" hidden="1" customHeight="1">
      <c r="A1046" s="59">
        <f t="shared" si="20"/>
        <v>14</v>
      </c>
      <c r="B1046" s="59" t="str">
        <f t="shared" si="21"/>
        <v>Đã chốt</v>
      </c>
      <c r="C1046" s="59" t="str">
        <f t="shared" si="22"/>
        <v>Téc 1</v>
      </c>
      <c r="D1046" s="45">
        <f t="shared" si="23"/>
        <v>46162</v>
      </c>
      <c r="E1046" s="45">
        <f t="shared" si="24"/>
        <v>46168</v>
      </c>
      <c r="F1046" s="59">
        <f t="shared" si="25"/>
        <v>5</v>
      </c>
      <c r="G1046" s="59">
        <f t="shared" si="26"/>
        <v>2026</v>
      </c>
      <c r="H1046" s="59" t="str">
        <f t="shared" si="27"/>
        <v>28H00354</v>
      </c>
      <c r="I1046" s="59">
        <f>IF(OR($A1046="",$C1046="",$D1046="",$E1046="",$H1046=""),"",SUMIFS(DATA_GOC!$H:$H,DATA_GOC!$A:$A,"BOM",DATA_GOC!$D:$D,$H1046,DATA_GOC!$E:$E,$C1046,DATA_GOC!$F:$F,"Xuất nội bộ từ téc",DATA_GOC!$B:$B,"&gt;="&amp;$D1046,DATA_GOC!$B:$B,"&lt;="&amp;$E1046))</f>
        <v>237</v>
      </c>
      <c r="J1046" s="59">
        <f t="shared" si="28"/>
        <v>11.583</v>
      </c>
      <c r="K1046" s="59">
        <f t="shared" si="29"/>
        <v>0</v>
      </c>
      <c r="L1046" s="59">
        <f t="shared" si="30"/>
        <v>248.583</v>
      </c>
      <c r="M1046" s="59">
        <f t="shared" si="31"/>
        <v>0.03056092843</v>
      </c>
    </row>
    <row r="1047" ht="15.0" hidden="1" customHeight="1">
      <c r="A1047" s="59">
        <f t="shared" si="20"/>
        <v>14</v>
      </c>
      <c r="B1047" s="59" t="str">
        <f t="shared" si="21"/>
        <v>Đã chốt</v>
      </c>
      <c r="C1047" s="59" t="str">
        <f t="shared" si="22"/>
        <v>Téc 1</v>
      </c>
      <c r="D1047" s="45">
        <f t="shared" si="23"/>
        <v>46162</v>
      </c>
      <c r="E1047" s="45">
        <f t="shared" si="24"/>
        <v>46168</v>
      </c>
      <c r="F1047" s="59">
        <f t="shared" si="25"/>
        <v>5</v>
      </c>
      <c r="G1047" s="59">
        <f t="shared" si="26"/>
        <v>2026</v>
      </c>
      <c r="H1047" s="59" t="str">
        <f t="shared" si="27"/>
        <v>28H00603</v>
      </c>
      <c r="I1047" s="59">
        <f>IF(OR($A1047="",$C1047="",$D1047="",$E1047="",$H1047=""),"",SUMIFS(DATA_GOC!$H:$H,DATA_GOC!$A:$A,"BOM",DATA_GOC!$D:$D,$H1047,DATA_GOC!$E:$E,$C1047,DATA_GOC!$F:$F,"Xuất nội bộ từ téc",DATA_GOC!$B:$B,"&gt;="&amp;$D1047,DATA_GOC!$B:$B,"&lt;="&amp;$E1047))</f>
        <v>410</v>
      </c>
      <c r="J1047" s="59">
        <f t="shared" si="28"/>
        <v>20.037</v>
      </c>
      <c r="K1047" s="59">
        <f t="shared" si="29"/>
        <v>0</v>
      </c>
      <c r="L1047" s="59">
        <f t="shared" si="30"/>
        <v>430.037</v>
      </c>
      <c r="M1047" s="59">
        <f t="shared" si="31"/>
        <v>0.0528691167</v>
      </c>
    </row>
    <row r="1048" ht="15.0" hidden="1" customHeight="1">
      <c r="A1048" s="59">
        <f t="shared" si="20"/>
        <v>14</v>
      </c>
      <c r="B1048" s="59" t="str">
        <f t="shared" si="21"/>
        <v>Đã chốt</v>
      </c>
      <c r="C1048" s="59" t="str">
        <f t="shared" si="22"/>
        <v>Téc 1</v>
      </c>
      <c r="D1048" s="45">
        <f t="shared" si="23"/>
        <v>46162</v>
      </c>
      <c r="E1048" s="45">
        <f t="shared" si="24"/>
        <v>46168</v>
      </c>
      <c r="F1048" s="59">
        <f t="shared" si="25"/>
        <v>5</v>
      </c>
      <c r="G1048" s="59">
        <f t="shared" si="26"/>
        <v>2026</v>
      </c>
      <c r="H1048" s="59" t="str">
        <f t="shared" si="27"/>
        <v>28H00609</v>
      </c>
      <c r="I1048" s="59">
        <f>IF(OR($A1048="",$C1048="",$D1048="",$E1048="",$H1048=""),"",SUMIFS(DATA_GOC!$H:$H,DATA_GOC!$A:$A,"BOM",DATA_GOC!$D:$D,$H1048,DATA_GOC!$E:$E,$C1048,DATA_GOC!$F:$F,"Xuất nội bộ từ téc",DATA_GOC!$B:$B,"&gt;="&amp;$D1048,DATA_GOC!$B:$B,"&lt;="&amp;$E1048))</f>
        <v>248</v>
      </c>
      <c r="J1048" s="59">
        <f t="shared" si="28"/>
        <v>12.12</v>
      </c>
      <c r="K1048" s="59">
        <f t="shared" si="29"/>
        <v>0</v>
      </c>
      <c r="L1048" s="59">
        <f t="shared" si="30"/>
        <v>260.12</v>
      </c>
      <c r="M1048" s="59">
        <f t="shared" si="31"/>
        <v>0.03197936815</v>
      </c>
    </row>
    <row r="1049" ht="15.0" hidden="1" customHeight="1">
      <c r="A1049" s="59">
        <f t="shared" si="20"/>
        <v>14</v>
      </c>
      <c r="B1049" s="59" t="str">
        <f t="shared" si="21"/>
        <v>Đã chốt</v>
      </c>
      <c r="C1049" s="59" t="str">
        <f t="shared" si="22"/>
        <v>Téc 1</v>
      </c>
      <c r="D1049" s="45">
        <f t="shared" si="23"/>
        <v>46162</v>
      </c>
      <c r="E1049" s="45">
        <f t="shared" si="24"/>
        <v>46168</v>
      </c>
      <c r="F1049" s="59">
        <f t="shared" si="25"/>
        <v>5</v>
      </c>
      <c r="G1049" s="59">
        <f t="shared" si="26"/>
        <v>2026</v>
      </c>
      <c r="H1049" s="59" t="str">
        <f t="shared" si="27"/>
        <v>28H00669</v>
      </c>
      <c r="I1049" s="59">
        <f>IF(OR($A1049="",$C1049="",$D1049="",$E1049="",$H1049=""),"",SUMIFS(DATA_GOC!$H:$H,DATA_GOC!$A:$A,"BOM",DATA_GOC!$D:$D,$H1049,DATA_GOC!$E:$E,$C1049,DATA_GOC!$F:$F,"Xuất nội bộ từ téc",DATA_GOC!$B:$B,"&gt;="&amp;$D1049,DATA_GOC!$B:$B,"&lt;="&amp;$E1049))</f>
        <v>372</v>
      </c>
      <c r="J1049" s="59">
        <f t="shared" si="28"/>
        <v>18.18</v>
      </c>
      <c r="K1049" s="59">
        <f t="shared" si="29"/>
        <v>0</v>
      </c>
      <c r="L1049" s="59">
        <f t="shared" si="30"/>
        <v>390.18</v>
      </c>
      <c r="M1049" s="59">
        <f t="shared" si="31"/>
        <v>0.04796905222</v>
      </c>
    </row>
    <row r="1050" ht="15.0" hidden="1" customHeight="1">
      <c r="A1050" s="59">
        <f t="shared" si="20"/>
        <v>14</v>
      </c>
      <c r="B1050" s="59" t="str">
        <f t="shared" si="21"/>
        <v>Đã chốt</v>
      </c>
      <c r="C1050" s="59" t="str">
        <f t="shared" si="22"/>
        <v>Téc 1</v>
      </c>
      <c r="D1050" s="45">
        <f t="shared" si="23"/>
        <v>46162</v>
      </c>
      <c r="E1050" s="45">
        <f t="shared" si="24"/>
        <v>46168</v>
      </c>
      <c r="F1050" s="59">
        <f t="shared" si="25"/>
        <v>5</v>
      </c>
      <c r="G1050" s="59">
        <f t="shared" si="26"/>
        <v>2026</v>
      </c>
      <c r="H1050" s="59" t="str">
        <f t="shared" si="27"/>
        <v>28H00680</v>
      </c>
      <c r="I1050" s="59">
        <f>IF(OR($A1050="",$C1050="",$D1050="",$E1050="",$H1050=""),"",SUMIFS(DATA_GOC!$H:$H,DATA_GOC!$A:$A,"BOM",DATA_GOC!$D:$D,$H1050,DATA_GOC!$E:$E,$C1050,DATA_GOC!$F:$F,"Xuất nội bộ từ téc",DATA_GOC!$B:$B,"&gt;="&amp;$D1050,DATA_GOC!$B:$B,"&lt;="&amp;$E1050))</f>
        <v>0</v>
      </c>
      <c r="J1050" s="59">
        <f t="shared" si="28"/>
        <v>0</v>
      </c>
      <c r="K1050" s="59">
        <f t="shared" si="29"/>
        <v>0</v>
      </c>
      <c r="L1050" s="59">
        <f t="shared" si="30"/>
        <v>0</v>
      </c>
      <c r="M1050" s="59">
        <f t="shared" si="31"/>
        <v>0</v>
      </c>
    </row>
    <row r="1051" ht="15.0" hidden="1" customHeight="1">
      <c r="A1051" s="59">
        <f t="shared" si="20"/>
        <v>14</v>
      </c>
      <c r="B1051" s="59" t="str">
        <f t="shared" si="21"/>
        <v>Đã chốt</v>
      </c>
      <c r="C1051" s="59" t="str">
        <f t="shared" si="22"/>
        <v>Téc 1</v>
      </c>
      <c r="D1051" s="45">
        <f t="shared" si="23"/>
        <v>46162</v>
      </c>
      <c r="E1051" s="45">
        <f t="shared" si="24"/>
        <v>46168</v>
      </c>
      <c r="F1051" s="59">
        <f t="shared" si="25"/>
        <v>5</v>
      </c>
      <c r="G1051" s="59">
        <f t="shared" si="26"/>
        <v>2026</v>
      </c>
      <c r="H1051" s="59" t="str">
        <f t="shared" si="27"/>
        <v>28H01070</v>
      </c>
      <c r="I1051" s="59">
        <f>IF(OR($A1051="",$C1051="",$D1051="",$E1051="",$H1051=""),"",SUMIFS(DATA_GOC!$H:$H,DATA_GOC!$A:$A,"BOM",DATA_GOC!$D:$D,$H1051,DATA_GOC!$E:$E,$C1051,DATA_GOC!$F:$F,"Xuất nội bộ từ téc",DATA_GOC!$B:$B,"&gt;="&amp;$D1051,DATA_GOC!$B:$B,"&lt;="&amp;$E1051))</f>
        <v>32</v>
      </c>
      <c r="J1051" s="59">
        <f t="shared" si="28"/>
        <v>1.564</v>
      </c>
      <c r="K1051" s="59">
        <f t="shared" si="29"/>
        <v>0</v>
      </c>
      <c r="L1051" s="59">
        <f t="shared" si="30"/>
        <v>33.564</v>
      </c>
      <c r="M1051" s="59">
        <f t="shared" si="31"/>
        <v>0.004126370084</v>
      </c>
    </row>
    <row r="1052" ht="15.0" hidden="1" customHeight="1">
      <c r="A1052" s="59">
        <f t="shared" si="20"/>
        <v>14</v>
      </c>
      <c r="B1052" s="59" t="str">
        <f t="shared" si="21"/>
        <v>Đã chốt</v>
      </c>
      <c r="C1052" s="59" t="str">
        <f t="shared" si="22"/>
        <v>Téc 1</v>
      </c>
      <c r="D1052" s="45">
        <f t="shared" si="23"/>
        <v>46162</v>
      </c>
      <c r="E1052" s="45">
        <f t="shared" si="24"/>
        <v>46168</v>
      </c>
      <c r="F1052" s="59">
        <f t="shared" si="25"/>
        <v>5</v>
      </c>
      <c r="G1052" s="59">
        <f t="shared" si="26"/>
        <v>2026</v>
      </c>
      <c r="H1052" s="59" t="str">
        <f t="shared" si="27"/>
        <v>28H01364</v>
      </c>
      <c r="I1052" s="59">
        <f>IF(OR($A1052="",$C1052="",$D1052="",$E1052="",$H1052=""),"",SUMIFS(DATA_GOC!$H:$H,DATA_GOC!$A:$A,"BOM",DATA_GOC!$D:$D,$H1052,DATA_GOC!$E:$E,$C1052,DATA_GOC!$F:$F,"Xuất nội bộ từ téc",DATA_GOC!$B:$B,"&gt;="&amp;$D1052,DATA_GOC!$B:$B,"&lt;="&amp;$E1052))</f>
        <v>0</v>
      </c>
      <c r="J1052" s="59">
        <f t="shared" si="28"/>
        <v>0</v>
      </c>
      <c r="K1052" s="59">
        <f t="shared" si="29"/>
        <v>0</v>
      </c>
      <c r="L1052" s="59">
        <f t="shared" si="30"/>
        <v>0</v>
      </c>
      <c r="M1052" s="59">
        <f t="shared" si="31"/>
        <v>0</v>
      </c>
    </row>
    <row r="1053" ht="15.0" hidden="1" customHeight="1">
      <c r="A1053" s="59">
        <f t="shared" si="20"/>
        <v>14</v>
      </c>
      <c r="B1053" s="59" t="str">
        <f t="shared" si="21"/>
        <v>Đã chốt</v>
      </c>
      <c r="C1053" s="59" t="str">
        <f t="shared" si="22"/>
        <v>Téc 1</v>
      </c>
      <c r="D1053" s="45">
        <f t="shared" si="23"/>
        <v>46162</v>
      </c>
      <c r="E1053" s="45">
        <f t="shared" si="24"/>
        <v>46168</v>
      </c>
      <c r="F1053" s="59">
        <f t="shared" si="25"/>
        <v>5</v>
      </c>
      <c r="G1053" s="59">
        <f t="shared" si="26"/>
        <v>2026</v>
      </c>
      <c r="H1053" s="59" t="str">
        <f t="shared" si="27"/>
        <v>29E17269</v>
      </c>
      <c r="I1053" s="59">
        <f>IF(OR($A1053="",$C1053="",$D1053="",$E1053="",$H1053=""),"",SUMIFS(DATA_GOC!$H:$H,DATA_GOC!$A:$A,"BOM",DATA_GOC!$D:$D,$H1053,DATA_GOC!$E:$E,$C1053,DATA_GOC!$F:$F,"Xuất nội bộ từ téc",DATA_GOC!$B:$B,"&gt;="&amp;$D1053,DATA_GOC!$B:$B,"&lt;="&amp;$E1053))</f>
        <v>0</v>
      </c>
      <c r="J1053" s="59">
        <f t="shared" si="28"/>
        <v>0</v>
      </c>
      <c r="K1053" s="59">
        <f t="shared" si="29"/>
        <v>0</v>
      </c>
      <c r="L1053" s="59">
        <f t="shared" si="30"/>
        <v>0</v>
      </c>
      <c r="M1053" s="59">
        <f t="shared" si="31"/>
        <v>0</v>
      </c>
    </row>
    <row r="1054" ht="15.0" hidden="1" customHeight="1">
      <c r="A1054" s="59">
        <f t="shared" si="20"/>
        <v>14</v>
      </c>
      <c r="B1054" s="59" t="str">
        <f t="shared" si="21"/>
        <v>Đã chốt</v>
      </c>
      <c r="C1054" s="59" t="str">
        <f t="shared" si="22"/>
        <v>Téc 1</v>
      </c>
      <c r="D1054" s="45">
        <f t="shared" si="23"/>
        <v>46162</v>
      </c>
      <c r="E1054" s="45">
        <f t="shared" si="24"/>
        <v>46168</v>
      </c>
      <c r="F1054" s="59">
        <f t="shared" si="25"/>
        <v>5</v>
      </c>
      <c r="G1054" s="59">
        <f t="shared" si="26"/>
        <v>2026</v>
      </c>
      <c r="H1054" s="59" t="str">
        <f t="shared" si="27"/>
        <v>29E17273</v>
      </c>
      <c r="I1054" s="59">
        <f>IF(OR($A1054="",$C1054="",$D1054="",$E1054="",$H1054=""),"",SUMIFS(DATA_GOC!$H:$H,DATA_GOC!$A:$A,"BOM",DATA_GOC!$D:$D,$H1054,DATA_GOC!$E:$E,$C1054,DATA_GOC!$F:$F,"Xuất nội bộ từ téc",DATA_GOC!$B:$B,"&gt;="&amp;$D1054,DATA_GOC!$B:$B,"&lt;="&amp;$E1054))</f>
        <v>0</v>
      </c>
      <c r="J1054" s="59">
        <f t="shared" si="28"/>
        <v>0</v>
      </c>
      <c r="K1054" s="59">
        <f t="shared" si="29"/>
        <v>0</v>
      </c>
      <c r="L1054" s="59">
        <f t="shared" si="30"/>
        <v>0</v>
      </c>
      <c r="M1054" s="59">
        <f t="shared" si="31"/>
        <v>0</v>
      </c>
    </row>
    <row r="1055" ht="15.0" hidden="1" customHeight="1">
      <c r="A1055" s="59">
        <f t="shared" si="20"/>
        <v>14</v>
      </c>
      <c r="B1055" s="59" t="str">
        <f t="shared" si="21"/>
        <v>Đã chốt</v>
      </c>
      <c r="C1055" s="59" t="str">
        <f t="shared" si="22"/>
        <v>Téc 1</v>
      </c>
      <c r="D1055" s="45">
        <f t="shared" si="23"/>
        <v>46162</v>
      </c>
      <c r="E1055" s="45">
        <f t="shared" si="24"/>
        <v>46168</v>
      </c>
      <c r="F1055" s="59">
        <f t="shared" si="25"/>
        <v>5</v>
      </c>
      <c r="G1055" s="59">
        <f t="shared" si="26"/>
        <v>2026</v>
      </c>
      <c r="H1055" s="59" t="str">
        <f t="shared" si="27"/>
        <v>29E17410</v>
      </c>
      <c r="I1055" s="59">
        <f>IF(OR($A1055="",$C1055="",$D1055="",$E1055="",$H1055=""),"",SUMIFS(DATA_GOC!$H:$H,DATA_GOC!$A:$A,"BOM",DATA_GOC!$D:$D,$H1055,DATA_GOC!$E:$E,$C1055,DATA_GOC!$F:$F,"Xuất nội bộ từ téc",DATA_GOC!$B:$B,"&gt;="&amp;$D1055,DATA_GOC!$B:$B,"&lt;="&amp;$E1055))</f>
        <v>298</v>
      </c>
      <c r="J1055" s="59">
        <f t="shared" si="28"/>
        <v>14.564</v>
      </c>
      <c r="K1055" s="59">
        <f t="shared" si="29"/>
        <v>0</v>
      </c>
      <c r="L1055" s="59">
        <f t="shared" si="30"/>
        <v>312.564</v>
      </c>
      <c r="M1055" s="59">
        <f t="shared" si="31"/>
        <v>0.03842682141</v>
      </c>
    </row>
    <row r="1056" ht="15.0" hidden="1" customHeight="1">
      <c r="A1056" s="59">
        <f t="shared" si="20"/>
        <v>14</v>
      </c>
      <c r="B1056" s="59" t="str">
        <f t="shared" si="21"/>
        <v>Đã chốt</v>
      </c>
      <c r="C1056" s="59" t="str">
        <f t="shared" si="22"/>
        <v>Téc 1</v>
      </c>
      <c r="D1056" s="45">
        <f t="shared" si="23"/>
        <v>46162</v>
      </c>
      <c r="E1056" s="45">
        <f t="shared" si="24"/>
        <v>46168</v>
      </c>
      <c r="F1056" s="59">
        <f t="shared" si="25"/>
        <v>5</v>
      </c>
      <c r="G1056" s="59">
        <f t="shared" si="26"/>
        <v>2026</v>
      </c>
      <c r="H1056" s="59" t="str">
        <f t="shared" si="27"/>
        <v>29E17417</v>
      </c>
      <c r="I1056" s="59">
        <f>IF(OR($A1056="",$C1056="",$D1056="",$E1056="",$H1056=""),"",SUMIFS(DATA_GOC!$H:$H,DATA_GOC!$A:$A,"BOM",DATA_GOC!$D:$D,$H1056,DATA_GOC!$E:$E,$C1056,DATA_GOC!$F:$F,"Xuất nội bộ từ téc",DATA_GOC!$B:$B,"&gt;="&amp;$D1056,DATA_GOC!$B:$B,"&lt;="&amp;$E1056))</f>
        <v>0</v>
      </c>
      <c r="J1056" s="59">
        <f t="shared" si="28"/>
        <v>0</v>
      </c>
      <c r="K1056" s="59">
        <f t="shared" si="29"/>
        <v>0</v>
      </c>
      <c r="L1056" s="59">
        <f t="shared" si="30"/>
        <v>0</v>
      </c>
      <c r="M1056" s="59">
        <f t="shared" si="31"/>
        <v>0</v>
      </c>
    </row>
    <row r="1057" ht="15.0" hidden="1" customHeight="1">
      <c r="A1057" s="59">
        <f t="shared" si="20"/>
        <v>14</v>
      </c>
      <c r="B1057" s="59" t="str">
        <f t="shared" si="21"/>
        <v>Đã chốt</v>
      </c>
      <c r="C1057" s="59" t="str">
        <f t="shared" si="22"/>
        <v>Téc 1</v>
      </c>
      <c r="D1057" s="45">
        <f t="shared" si="23"/>
        <v>46162</v>
      </c>
      <c r="E1057" s="45">
        <f t="shared" si="24"/>
        <v>46168</v>
      </c>
      <c r="F1057" s="59">
        <f t="shared" si="25"/>
        <v>5</v>
      </c>
      <c r="G1057" s="59">
        <f t="shared" si="26"/>
        <v>2026</v>
      </c>
      <c r="H1057" s="59" t="str">
        <f t="shared" si="27"/>
        <v>29E17539</v>
      </c>
      <c r="I1057" s="59">
        <f>IF(OR($A1057="",$C1057="",$D1057="",$E1057="",$H1057=""),"",SUMIFS(DATA_GOC!$H:$H,DATA_GOC!$A:$A,"BOM",DATA_GOC!$D:$D,$H1057,DATA_GOC!$E:$E,$C1057,DATA_GOC!$F:$F,"Xuất nội bộ từ téc",DATA_GOC!$B:$B,"&gt;="&amp;$D1057,DATA_GOC!$B:$B,"&lt;="&amp;$E1057))</f>
        <v>205</v>
      </c>
      <c r="J1057" s="59">
        <f t="shared" si="28"/>
        <v>10.019</v>
      </c>
      <c r="K1057" s="59">
        <f t="shared" si="29"/>
        <v>0</v>
      </c>
      <c r="L1057" s="59">
        <f t="shared" si="30"/>
        <v>215.019</v>
      </c>
      <c r="M1057" s="59">
        <f t="shared" si="31"/>
        <v>0.02643455835</v>
      </c>
    </row>
    <row r="1058" ht="15.0" hidden="1" customHeight="1">
      <c r="A1058" s="59">
        <f t="shared" si="20"/>
        <v>14</v>
      </c>
      <c r="B1058" s="59" t="str">
        <f t="shared" si="21"/>
        <v>Đã chốt</v>
      </c>
      <c r="C1058" s="59" t="str">
        <f t="shared" si="22"/>
        <v>Téc 1</v>
      </c>
      <c r="D1058" s="45">
        <f t="shared" si="23"/>
        <v>46162</v>
      </c>
      <c r="E1058" s="45">
        <f t="shared" si="24"/>
        <v>46168</v>
      </c>
      <c r="F1058" s="59">
        <f t="shared" si="25"/>
        <v>5</v>
      </c>
      <c r="G1058" s="59">
        <f t="shared" si="26"/>
        <v>2026</v>
      </c>
      <c r="H1058" s="59" t="str">
        <f t="shared" si="27"/>
        <v>29E18160</v>
      </c>
      <c r="I1058" s="59">
        <f>IF(OR($A1058="",$C1058="",$D1058="",$E1058="",$H1058=""),"",SUMIFS(DATA_GOC!$H:$H,DATA_GOC!$A:$A,"BOM",DATA_GOC!$D:$D,$H1058,DATA_GOC!$E:$E,$C1058,DATA_GOC!$F:$F,"Xuất nội bộ từ téc",DATA_GOC!$B:$B,"&gt;="&amp;$D1058,DATA_GOC!$B:$B,"&lt;="&amp;$E1058))</f>
        <v>0</v>
      </c>
      <c r="J1058" s="59">
        <f t="shared" si="28"/>
        <v>0</v>
      </c>
      <c r="K1058" s="59">
        <f t="shared" si="29"/>
        <v>0</v>
      </c>
      <c r="L1058" s="59">
        <f t="shared" si="30"/>
        <v>0</v>
      </c>
      <c r="M1058" s="59">
        <f t="shared" si="31"/>
        <v>0</v>
      </c>
    </row>
    <row r="1059" ht="15.0" hidden="1" customHeight="1">
      <c r="A1059" s="59">
        <f t="shared" si="20"/>
        <v>14</v>
      </c>
      <c r="B1059" s="59" t="str">
        <f t="shared" si="21"/>
        <v>Đã chốt</v>
      </c>
      <c r="C1059" s="59" t="str">
        <f t="shared" si="22"/>
        <v>Téc 1</v>
      </c>
      <c r="D1059" s="45">
        <f t="shared" si="23"/>
        <v>46162</v>
      </c>
      <c r="E1059" s="45">
        <f t="shared" si="24"/>
        <v>46168</v>
      </c>
      <c r="F1059" s="59">
        <f t="shared" si="25"/>
        <v>5</v>
      </c>
      <c r="G1059" s="59">
        <f t="shared" si="26"/>
        <v>2026</v>
      </c>
      <c r="H1059" s="59" t="str">
        <f t="shared" si="27"/>
        <v>Công trình Asphalt</v>
      </c>
      <c r="I1059" s="59">
        <f>IF(OR($A1059="",$C1059="",$D1059="",$E1059="",$H1059=""),"",SUMIFS(DATA_GOC!$H:$H,DATA_GOC!$A:$A,"BOM",DATA_GOC!$D:$D,$H1059,DATA_GOC!$E:$E,$C1059,DATA_GOC!$F:$F,"Xuất nội bộ từ téc",DATA_GOC!$B:$B,"&gt;="&amp;$D1059,DATA_GOC!$B:$B,"&lt;="&amp;$E1059))</f>
        <v>199</v>
      </c>
      <c r="J1059" s="59">
        <f t="shared" si="28"/>
        <v>9.725</v>
      </c>
      <c r="K1059" s="59">
        <f t="shared" si="29"/>
        <v>0</v>
      </c>
      <c r="L1059" s="59">
        <f t="shared" si="30"/>
        <v>208.725</v>
      </c>
      <c r="M1059" s="59">
        <f t="shared" si="31"/>
        <v>0.02566086396</v>
      </c>
    </row>
    <row r="1060" ht="15.0" hidden="1" customHeight="1">
      <c r="A1060" s="59">
        <f t="shared" si="20"/>
        <v>14</v>
      </c>
      <c r="B1060" s="59" t="str">
        <f t="shared" si="21"/>
        <v>Đã chốt</v>
      </c>
      <c r="C1060" s="59" t="str">
        <f t="shared" si="22"/>
        <v>Téc 1</v>
      </c>
      <c r="D1060" s="45">
        <f t="shared" si="23"/>
        <v>46162</v>
      </c>
      <c r="E1060" s="45">
        <f t="shared" si="24"/>
        <v>46168</v>
      </c>
      <c r="F1060" s="59">
        <f t="shared" si="25"/>
        <v>5</v>
      </c>
      <c r="G1060" s="59">
        <f t="shared" si="26"/>
        <v>2026</v>
      </c>
      <c r="H1060" s="59" t="str">
        <f t="shared" si="27"/>
        <v>LG53F</v>
      </c>
      <c r="I1060" s="59">
        <f>IF(OR($A1060="",$C1060="",$D1060="",$E1060="",$H1060=""),"",SUMIFS(DATA_GOC!$H:$H,DATA_GOC!$A:$A,"BOM",DATA_GOC!$D:$D,$H1060,DATA_GOC!$E:$E,$C1060,DATA_GOC!$F:$F,"Xuất nội bộ từ téc",DATA_GOC!$B:$B,"&gt;="&amp;$D1060,DATA_GOC!$B:$B,"&lt;="&amp;$E1060))</f>
        <v>0</v>
      </c>
      <c r="J1060" s="59">
        <f t="shared" si="28"/>
        <v>0</v>
      </c>
      <c r="K1060" s="59">
        <f t="shared" si="29"/>
        <v>0</v>
      </c>
      <c r="L1060" s="59">
        <f t="shared" si="30"/>
        <v>0</v>
      </c>
      <c r="M1060" s="59">
        <f t="shared" si="31"/>
        <v>0</v>
      </c>
    </row>
    <row r="1061" ht="15.0" hidden="1" customHeight="1">
      <c r="A1061" s="59">
        <f t="shared" si="20"/>
        <v>14</v>
      </c>
      <c r="B1061" s="59" t="str">
        <f t="shared" si="21"/>
        <v>Đã chốt</v>
      </c>
      <c r="C1061" s="59" t="str">
        <f t="shared" si="22"/>
        <v>Téc 1</v>
      </c>
      <c r="D1061" s="45">
        <f t="shared" si="23"/>
        <v>46162</v>
      </c>
      <c r="E1061" s="45">
        <f t="shared" si="24"/>
        <v>46168</v>
      </c>
      <c r="F1061" s="59">
        <f t="shared" si="25"/>
        <v>5</v>
      </c>
      <c r="G1061" s="59">
        <f t="shared" si="26"/>
        <v>2026</v>
      </c>
      <c r="H1061" s="59" t="str">
        <f t="shared" si="27"/>
        <v>Máy phát điện</v>
      </c>
      <c r="I1061" s="59">
        <f>IF(OR($A1061="",$C1061="",$D1061="",$E1061="",$H1061=""),"",SUMIFS(DATA_GOC!$H:$H,DATA_GOC!$A:$A,"BOM",DATA_GOC!$D:$D,$H1061,DATA_GOC!$E:$E,$C1061,DATA_GOC!$F:$F,"Xuất nội bộ từ téc",DATA_GOC!$B:$B,"&gt;="&amp;$D1061,DATA_GOC!$B:$B,"&lt;="&amp;$E1061))</f>
        <v>0</v>
      </c>
      <c r="J1061" s="59">
        <f t="shared" si="28"/>
        <v>0</v>
      </c>
      <c r="K1061" s="59">
        <f t="shared" si="29"/>
        <v>0</v>
      </c>
      <c r="L1061" s="59">
        <f t="shared" si="30"/>
        <v>0</v>
      </c>
      <c r="M1061" s="59">
        <f t="shared" si="31"/>
        <v>0</v>
      </c>
    </row>
    <row r="1062" ht="15.0" hidden="1" customHeight="1">
      <c r="A1062" s="59">
        <f t="shared" si="20"/>
        <v>14</v>
      </c>
      <c r="B1062" s="59" t="str">
        <f t="shared" si="21"/>
        <v>Đã chốt</v>
      </c>
      <c r="C1062" s="59" t="str">
        <f t="shared" si="22"/>
        <v>Téc 1</v>
      </c>
      <c r="D1062" s="45">
        <f t="shared" si="23"/>
        <v>46162</v>
      </c>
      <c r="E1062" s="45">
        <f t="shared" si="24"/>
        <v>46168</v>
      </c>
      <c r="F1062" s="59">
        <f t="shared" si="25"/>
        <v>5</v>
      </c>
      <c r="G1062" s="59">
        <f t="shared" si="26"/>
        <v>2026</v>
      </c>
      <c r="H1062" s="59" t="str">
        <f t="shared" si="27"/>
        <v>Máy rải thảm</v>
      </c>
      <c r="I1062" s="59">
        <f>IF(OR($A1062="",$C1062="",$D1062="",$E1062="",$H1062=""),"",SUMIFS(DATA_GOC!$H:$H,DATA_GOC!$A:$A,"BOM",DATA_GOC!$D:$D,$H1062,DATA_GOC!$E:$E,$C1062,DATA_GOC!$F:$F,"Xuất nội bộ từ téc",DATA_GOC!$B:$B,"&gt;="&amp;$D1062,DATA_GOC!$B:$B,"&lt;="&amp;$E1062))</f>
        <v>0</v>
      </c>
      <c r="J1062" s="59">
        <f t="shared" si="28"/>
        <v>0</v>
      </c>
      <c r="K1062" s="59">
        <f t="shared" si="29"/>
        <v>0</v>
      </c>
      <c r="L1062" s="59">
        <f t="shared" si="30"/>
        <v>0</v>
      </c>
      <c r="M1062" s="59">
        <f t="shared" si="31"/>
        <v>0</v>
      </c>
    </row>
    <row r="1063" ht="15.0" hidden="1" customHeight="1">
      <c r="A1063" s="59">
        <f t="shared" si="20"/>
        <v>14</v>
      </c>
      <c r="B1063" s="59" t="str">
        <f t="shared" si="21"/>
        <v>Đã chốt</v>
      </c>
      <c r="C1063" s="59" t="str">
        <f t="shared" si="22"/>
        <v>Téc 1</v>
      </c>
      <c r="D1063" s="45">
        <f t="shared" si="23"/>
        <v>46162</v>
      </c>
      <c r="E1063" s="45">
        <f t="shared" si="24"/>
        <v>46168</v>
      </c>
      <c r="F1063" s="59">
        <f t="shared" si="25"/>
        <v>5</v>
      </c>
      <c r="G1063" s="59">
        <f t="shared" si="26"/>
        <v>2026</v>
      </c>
      <c r="H1063" s="59" t="str">
        <f t="shared" si="27"/>
        <v>Xúc Đào</v>
      </c>
      <c r="I1063" s="59">
        <f>IF(OR($A1063="",$C1063="",$D1063="",$E1063="",$H1063=""),"",SUMIFS(DATA_GOC!$H:$H,DATA_GOC!$A:$A,"BOM",DATA_GOC!$D:$D,$H1063,DATA_GOC!$E:$E,$C1063,DATA_GOC!$F:$F,"Xuất nội bộ từ téc",DATA_GOC!$B:$B,"&gt;="&amp;$D1063,DATA_GOC!$B:$B,"&lt;="&amp;$E1063))</f>
        <v>0</v>
      </c>
      <c r="J1063" s="59">
        <f t="shared" si="28"/>
        <v>0</v>
      </c>
      <c r="K1063" s="59">
        <f t="shared" si="29"/>
        <v>0</v>
      </c>
      <c r="L1063" s="59">
        <f t="shared" si="30"/>
        <v>0</v>
      </c>
      <c r="M1063" s="59">
        <f t="shared" si="31"/>
        <v>0</v>
      </c>
    </row>
    <row r="1064" ht="15.0" hidden="1" customHeight="1">
      <c r="A1064" s="59">
        <f t="shared" si="20"/>
        <v>14</v>
      </c>
      <c r="B1064" s="59" t="str">
        <f t="shared" si="21"/>
        <v>Đã chốt</v>
      </c>
      <c r="C1064" s="59" t="str">
        <f t="shared" si="22"/>
        <v>Téc 1</v>
      </c>
      <c r="D1064" s="45">
        <f t="shared" si="23"/>
        <v>46162</v>
      </c>
      <c r="E1064" s="45">
        <f t="shared" si="24"/>
        <v>46168</v>
      </c>
      <c r="F1064" s="59">
        <f t="shared" si="25"/>
        <v>5</v>
      </c>
      <c r="G1064" s="59">
        <f t="shared" si="26"/>
        <v>2026</v>
      </c>
      <c r="H1064" s="59" t="str">
        <f t="shared" si="27"/>
        <v>Xúclật asphalt</v>
      </c>
      <c r="I1064" s="59">
        <f>IF(OR($A1064="",$C1064="",$D1064="",$E1064="",$H1064=""),"",SUMIFS(DATA_GOC!$H:$H,DATA_GOC!$A:$A,"BOM",DATA_GOC!$D:$D,$H1064,DATA_GOC!$E:$E,$C1064,DATA_GOC!$F:$F,"Xuất nội bộ từ téc",DATA_GOC!$B:$B,"&gt;="&amp;$D1064,DATA_GOC!$B:$B,"&lt;="&amp;$E1064))</f>
        <v>150</v>
      </c>
      <c r="J1064" s="59">
        <f t="shared" si="28"/>
        <v>7.331</v>
      </c>
      <c r="K1064" s="59">
        <f t="shared" si="29"/>
        <v>0</v>
      </c>
      <c r="L1064" s="59">
        <f t="shared" si="30"/>
        <v>157.331</v>
      </c>
      <c r="M1064" s="59">
        <f t="shared" si="31"/>
        <v>0.01934235977</v>
      </c>
    </row>
    <row r="1065" ht="15.0" hidden="1" customHeight="1">
      <c r="A1065" s="59">
        <f t="shared" si="20"/>
        <v>14</v>
      </c>
      <c r="B1065" s="59" t="str">
        <f t="shared" si="21"/>
        <v>Đã chốt</v>
      </c>
      <c r="C1065" s="59" t="str">
        <f t="shared" si="22"/>
        <v>Téc 1</v>
      </c>
      <c r="D1065" s="45">
        <f t="shared" si="23"/>
        <v>46162</v>
      </c>
      <c r="E1065" s="45">
        <f t="shared" si="24"/>
        <v>46168</v>
      </c>
      <c r="F1065" s="59">
        <f t="shared" si="25"/>
        <v>5</v>
      </c>
      <c r="G1065" s="59">
        <f t="shared" si="26"/>
        <v>2026</v>
      </c>
      <c r="H1065" s="59" t="str">
        <f t="shared" si="27"/>
        <v>Xúclật855H</v>
      </c>
      <c r="I1065" s="59">
        <f>IF(OR($A1065="",$C1065="",$D1065="",$E1065="",$H1065=""),"",SUMIFS(DATA_GOC!$H:$H,DATA_GOC!$A:$A,"BOM",DATA_GOC!$D:$D,$H1065,DATA_GOC!$E:$E,$C1065,DATA_GOC!$F:$F,"Xuất nội bộ từ téc",DATA_GOC!$B:$B,"&gt;="&amp;$D1065,DATA_GOC!$B:$B,"&lt;="&amp;$E1065))</f>
        <v>155</v>
      </c>
      <c r="J1065" s="59">
        <f t="shared" si="28"/>
        <v>7.575</v>
      </c>
      <c r="K1065" s="59">
        <f t="shared" si="29"/>
        <v>0</v>
      </c>
      <c r="L1065" s="59">
        <f t="shared" si="30"/>
        <v>162.575</v>
      </c>
      <c r="M1065" s="59">
        <f t="shared" si="31"/>
        <v>0.01998710509</v>
      </c>
    </row>
    <row r="1066" ht="15.0" hidden="1" customHeight="1">
      <c r="A1066" s="59">
        <f t="shared" si="20"/>
        <v>14</v>
      </c>
      <c r="B1066" s="59" t="str">
        <f t="shared" si="21"/>
        <v>Đã chốt</v>
      </c>
      <c r="C1066" s="59" t="str">
        <f t="shared" si="22"/>
        <v>Téc 1</v>
      </c>
      <c r="D1066" s="45">
        <f t="shared" si="23"/>
        <v>46162</v>
      </c>
      <c r="E1066" s="45">
        <f t="shared" si="24"/>
        <v>46168</v>
      </c>
      <c r="F1066" s="59">
        <f t="shared" si="25"/>
        <v>5</v>
      </c>
      <c r="G1066" s="59">
        <f t="shared" si="26"/>
        <v>2026</v>
      </c>
      <c r="H1066" s="59" t="str">
        <f t="shared" si="27"/>
        <v>Xúclật855N</v>
      </c>
      <c r="I1066" s="59">
        <f>IF(OR($A1066="",$C1066="",$D1066="",$E1066="",$H1066=""),"",SUMIFS(DATA_GOC!$H:$H,DATA_GOC!$A:$A,"BOM",DATA_GOC!$D:$D,$H1066,DATA_GOC!$E:$E,$C1066,DATA_GOC!$F:$F,"Xuất nội bộ từ téc",DATA_GOC!$B:$B,"&gt;="&amp;$D1066,DATA_GOC!$B:$B,"&lt;="&amp;$E1066))</f>
        <v>154</v>
      </c>
      <c r="J1066" s="59">
        <f t="shared" si="28"/>
        <v>7.526</v>
      </c>
      <c r="K1066" s="59">
        <f t="shared" si="29"/>
        <v>0</v>
      </c>
      <c r="L1066" s="59">
        <f t="shared" si="30"/>
        <v>161.526</v>
      </c>
      <c r="M1066" s="59">
        <f t="shared" si="31"/>
        <v>0.01985815603</v>
      </c>
    </row>
    <row r="1067" ht="15.0" hidden="1" customHeight="1">
      <c r="A1067" s="59">
        <f t="shared" si="20"/>
        <v>14</v>
      </c>
      <c r="B1067" s="59" t="str">
        <f t="shared" si="21"/>
        <v>Đã chốt</v>
      </c>
      <c r="C1067" s="59" t="str">
        <f t="shared" si="22"/>
        <v>Téc 1</v>
      </c>
      <c r="D1067" s="45">
        <f t="shared" si="23"/>
        <v>46162</v>
      </c>
      <c r="E1067" s="45">
        <f t="shared" si="24"/>
        <v>46168</v>
      </c>
      <c r="F1067" s="59">
        <f t="shared" si="25"/>
        <v>5</v>
      </c>
      <c r="G1067" s="59">
        <f t="shared" si="26"/>
        <v>2026</v>
      </c>
      <c r="H1067" s="59" t="str">
        <f t="shared" si="27"/>
        <v>Cát nghiền</v>
      </c>
      <c r="I1067" s="59">
        <f>IF(OR($A1067="",$C1067="",$D1067="",$E1067="",$H1067=""),"",SUMIFS(DATA_GOC!$H:$H,DATA_GOC!$A:$A,"BOM",DATA_GOC!$D:$D,$H1067,DATA_GOC!$E:$E,$C1067,DATA_GOC!$F:$F,"Xuất nội bộ từ téc",DATA_GOC!$B:$B,"&gt;="&amp;$D1067,DATA_GOC!$B:$B,"&lt;="&amp;$E1067))</f>
        <v>0</v>
      </c>
      <c r="J1067" s="59">
        <f t="shared" si="28"/>
        <v>0</v>
      </c>
      <c r="K1067" s="59">
        <f t="shared" si="29"/>
        <v>0</v>
      </c>
      <c r="L1067" s="59">
        <f t="shared" si="30"/>
        <v>0</v>
      </c>
      <c r="M1067" s="59">
        <f t="shared" si="31"/>
        <v>0</v>
      </c>
    </row>
    <row r="1068" ht="15.0" hidden="1" customHeight="1">
      <c r="A1068" s="59">
        <f t="shared" si="20"/>
        <v>14</v>
      </c>
      <c r="B1068" s="59" t="str">
        <f t="shared" si="21"/>
        <v>Đã chốt</v>
      </c>
      <c r="C1068" s="59" t="str">
        <f t="shared" si="22"/>
        <v>Téc 1</v>
      </c>
      <c r="D1068" s="45">
        <f t="shared" si="23"/>
        <v>46162</v>
      </c>
      <c r="E1068" s="45">
        <f t="shared" si="24"/>
        <v>46168</v>
      </c>
      <c r="F1068" s="59">
        <f t="shared" si="25"/>
        <v>5</v>
      </c>
      <c r="G1068" s="59">
        <f t="shared" si="26"/>
        <v>2026</v>
      </c>
      <c r="H1068" s="59" t="str">
        <f t="shared" si="27"/>
        <v>28C02973</v>
      </c>
      <c r="I1068" s="59">
        <f>IF(OR($A1068="",$C1068="",$D1068="",$E1068="",$H1068=""),"",SUMIFS(DATA_GOC!$H:$H,DATA_GOC!$A:$A,"BOM",DATA_GOC!$D:$D,$H1068,DATA_GOC!$E:$E,$C1068,DATA_GOC!$F:$F,"Xuất nội bộ từ téc",DATA_GOC!$B:$B,"&gt;="&amp;$D1068,DATA_GOC!$B:$B,"&lt;="&amp;$E1068))</f>
        <v>0</v>
      </c>
      <c r="J1068" s="59">
        <f t="shared" si="28"/>
        <v>0</v>
      </c>
      <c r="K1068" s="59">
        <f t="shared" si="29"/>
        <v>0</v>
      </c>
      <c r="L1068" s="59">
        <f t="shared" si="30"/>
        <v>0</v>
      </c>
      <c r="M1068" s="59">
        <f t="shared" si="31"/>
        <v>0</v>
      </c>
    </row>
    <row r="1069" ht="15.0" hidden="1" customHeight="1">
      <c r="A1069" s="59">
        <f t="shared" si="20"/>
        <v>14</v>
      </c>
      <c r="B1069" s="59" t="str">
        <f t="shared" si="21"/>
        <v>Đã chốt</v>
      </c>
      <c r="C1069" s="59" t="str">
        <f t="shared" si="22"/>
        <v>Téc 1</v>
      </c>
      <c r="D1069" s="45">
        <f t="shared" si="23"/>
        <v>46162</v>
      </c>
      <c r="E1069" s="45">
        <f t="shared" si="24"/>
        <v>46168</v>
      </c>
      <c r="F1069" s="59">
        <f t="shared" si="25"/>
        <v>5</v>
      </c>
      <c r="G1069" s="59">
        <f t="shared" si="26"/>
        <v>2026</v>
      </c>
      <c r="H1069" s="59" t="str">
        <f t="shared" si="27"/>
        <v>28C03044</v>
      </c>
      <c r="I1069" s="59">
        <f>IF(OR($A1069="",$C1069="",$D1069="",$E1069="",$H1069=""),"",SUMIFS(DATA_GOC!$H:$H,DATA_GOC!$A:$A,"BOM",DATA_GOC!$D:$D,$H1069,DATA_GOC!$E:$E,$C1069,DATA_GOC!$F:$F,"Xuất nội bộ từ téc",DATA_GOC!$B:$B,"&gt;="&amp;$D1069,DATA_GOC!$B:$B,"&lt;="&amp;$E1069))</f>
        <v>0</v>
      </c>
      <c r="J1069" s="59">
        <f t="shared" si="28"/>
        <v>0</v>
      </c>
      <c r="K1069" s="59">
        <f t="shared" si="29"/>
        <v>0</v>
      </c>
      <c r="L1069" s="59">
        <f t="shared" si="30"/>
        <v>0</v>
      </c>
      <c r="M1069" s="59">
        <f t="shared" si="31"/>
        <v>0</v>
      </c>
    </row>
    <row r="1070" ht="15.0" hidden="1" customHeight="1">
      <c r="A1070" s="59">
        <f t="shared" si="20"/>
        <v>14</v>
      </c>
      <c r="B1070" s="59" t="str">
        <f t="shared" si="21"/>
        <v>Đã chốt</v>
      </c>
      <c r="C1070" s="59" t="str">
        <f t="shared" si="22"/>
        <v>Téc 1</v>
      </c>
      <c r="D1070" s="45">
        <f t="shared" si="23"/>
        <v>46162</v>
      </c>
      <c r="E1070" s="45">
        <f t="shared" si="24"/>
        <v>46168</v>
      </c>
      <c r="F1070" s="59">
        <f t="shared" si="25"/>
        <v>5</v>
      </c>
      <c r="G1070" s="59">
        <f t="shared" si="26"/>
        <v>2026</v>
      </c>
      <c r="H1070" s="59" t="str">
        <f t="shared" si="27"/>
        <v>Máy lu lốp</v>
      </c>
      <c r="I1070" s="59">
        <f>IF(OR($A1070="",$C1070="",$D1070="",$E1070="",$H1070=""),"",SUMIFS(DATA_GOC!$H:$H,DATA_GOC!$A:$A,"BOM",DATA_GOC!$D:$D,$H1070,DATA_GOC!$E:$E,$C1070,DATA_GOC!$F:$F,"Xuất nội bộ từ téc",DATA_GOC!$B:$B,"&gt;="&amp;$D1070,DATA_GOC!$B:$B,"&lt;="&amp;$E1070))</f>
        <v>0</v>
      </c>
      <c r="J1070" s="59">
        <f t="shared" si="28"/>
        <v>0</v>
      </c>
      <c r="K1070" s="59">
        <f t="shared" si="29"/>
        <v>0</v>
      </c>
      <c r="L1070" s="59">
        <f t="shared" si="30"/>
        <v>0</v>
      </c>
      <c r="M1070" s="59">
        <f t="shared" si="31"/>
        <v>0</v>
      </c>
    </row>
    <row r="1071" ht="15.0" hidden="1" customHeight="1">
      <c r="A1071" s="59">
        <f t="shared" si="20"/>
        <v>14</v>
      </c>
      <c r="B1071" s="59" t="str">
        <f t="shared" si="21"/>
        <v>Đã chốt</v>
      </c>
      <c r="C1071" s="59" t="str">
        <f t="shared" si="22"/>
        <v>Téc 1</v>
      </c>
      <c r="D1071" s="45">
        <f t="shared" si="23"/>
        <v>46162</v>
      </c>
      <c r="E1071" s="45">
        <f t="shared" si="24"/>
        <v>46168</v>
      </c>
      <c r="F1071" s="59">
        <f t="shared" si="25"/>
        <v>5</v>
      </c>
      <c r="G1071" s="59">
        <f t="shared" si="26"/>
        <v>2026</v>
      </c>
      <c r="H1071" s="59" t="str">
        <f t="shared" si="27"/>
        <v>Xe 600148</v>
      </c>
      <c r="I1071" s="59">
        <f>IF(OR($A1071="",$C1071="",$D1071="",$E1071="",$H1071=""),"",SUMIFS(DATA_GOC!$H:$H,DATA_GOC!$A:$A,"BOM",DATA_GOC!$D:$D,$H1071,DATA_GOC!$E:$E,$C1071,DATA_GOC!$F:$F,"Xuất nội bộ từ téc",DATA_GOC!$B:$B,"&gt;="&amp;$D1071,DATA_GOC!$B:$B,"&lt;="&amp;$E1071))</f>
        <v>0</v>
      </c>
      <c r="J1071" s="59">
        <f t="shared" si="28"/>
        <v>0</v>
      </c>
      <c r="K1071" s="59">
        <f t="shared" si="29"/>
        <v>0</v>
      </c>
      <c r="L1071" s="59">
        <f t="shared" si="30"/>
        <v>0</v>
      </c>
      <c r="M1071" s="59">
        <f t="shared" si="31"/>
        <v>0</v>
      </c>
    </row>
    <row r="1072" ht="15.0" hidden="1" customHeight="1">
      <c r="A1072" s="59">
        <f t="shared" si="20"/>
        <v>14</v>
      </c>
      <c r="B1072" s="59" t="str">
        <f t="shared" si="21"/>
        <v>Đã chốt</v>
      </c>
      <c r="C1072" s="59" t="str">
        <f t="shared" si="22"/>
        <v>Téc 1</v>
      </c>
      <c r="D1072" s="45">
        <f t="shared" si="23"/>
        <v>46162</v>
      </c>
      <c r="E1072" s="45">
        <f t="shared" si="24"/>
        <v>46168</v>
      </c>
      <c r="F1072" s="59">
        <f t="shared" si="25"/>
        <v>5</v>
      </c>
      <c r="G1072" s="59">
        <f t="shared" si="26"/>
        <v>2026</v>
      </c>
      <c r="H1072" s="59" t="str">
        <f t="shared" si="27"/>
        <v>Xe ben mới</v>
      </c>
      <c r="I1072" s="59">
        <f>IF(OR($A1072="",$C1072="",$D1072="",$E1072="",$H1072=""),"",SUMIFS(DATA_GOC!$H:$H,DATA_GOC!$A:$A,"BOM",DATA_GOC!$D:$D,$H1072,DATA_GOC!$E:$E,$C1072,DATA_GOC!$F:$F,"Xuất nội bộ từ téc",DATA_GOC!$B:$B,"&gt;="&amp;$D1072,DATA_GOC!$B:$B,"&lt;="&amp;$E1072))</f>
        <v>0</v>
      </c>
      <c r="J1072" s="59">
        <f t="shared" si="28"/>
        <v>0</v>
      </c>
      <c r="K1072" s="59">
        <f t="shared" si="29"/>
        <v>0</v>
      </c>
      <c r="L1072" s="59">
        <f t="shared" si="30"/>
        <v>0</v>
      </c>
      <c r="M1072" s="59">
        <f t="shared" si="31"/>
        <v>0</v>
      </c>
    </row>
    <row r="1073" ht="15.0" hidden="1" customHeight="1">
      <c r="A1073" s="59">
        <f t="shared" si="20"/>
        <v>15</v>
      </c>
      <c r="B1073" s="59" t="str">
        <f t="shared" si="21"/>
        <v>Đã chốt</v>
      </c>
      <c r="C1073" s="59" t="str">
        <f t="shared" si="22"/>
        <v>Téc 2</v>
      </c>
      <c r="D1073" s="45">
        <f t="shared" si="23"/>
        <v>46160</v>
      </c>
      <c r="E1073" s="45">
        <f t="shared" si="24"/>
        <v>46184</v>
      </c>
      <c r="F1073" s="59">
        <f t="shared" si="25"/>
        <v>6</v>
      </c>
      <c r="G1073" s="59">
        <f t="shared" si="26"/>
        <v>2026</v>
      </c>
      <c r="H1073" s="59" t="str">
        <f t="shared" si="27"/>
        <v>19H09482</v>
      </c>
      <c r="I1073" s="59">
        <f>IF(OR($A1073="",$C1073="",$D1073="",$E1073="",$H1073=""),"",SUMIFS(DATA_GOC!$H:$H,DATA_GOC!$A:$A,"BOM",DATA_GOC!$D:$D,$H1073,DATA_GOC!$E:$E,$C1073,DATA_GOC!$F:$F,"Xuất nội bộ từ téc",DATA_GOC!$B:$B,"&gt;="&amp;$D1073,DATA_GOC!$B:$B,"&lt;="&amp;$E1073))</f>
        <v>325</v>
      </c>
      <c r="J1073" s="59">
        <f t="shared" si="28"/>
        <v>15.415</v>
      </c>
      <c r="K1073" s="59">
        <f t="shared" si="29"/>
        <v>0</v>
      </c>
      <c r="L1073" s="59">
        <f t="shared" si="30"/>
        <v>340.415</v>
      </c>
      <c r="M1073" s="59">
        <f t="shared" si="31"/>
        <v>0.009457021475</v>
      </c>
    </row>
    <row r="1074" ht="15.0" hidden="1" customHeight="1">
      <c r="A1074" s="59">
        <f t="shared" si="20"/>
        <v>15</v>
      </c>
      <c r="B1074" s="59" t="str">
        <f t="shared" si="21"/>
        <v>Đã chốt</v>
      </c>
      <c r="C1074" s="59" t="str">
        <f t="shared" si="22"/>
        <v>Téc 2</v>
      </c>
      <c r="D1074" s="45">
        <f t="shared" si="23"/>
        <v>46160</v>
      </c>
      <c r="E1074" s="45">
        <f t="shared" si="24"/>
        <v>46184</v>
      </c>
      <c r="F1074" s="59">
        <f t="shared" si="25"/>
        <v>6</v>
      </c>
      <c r="G1074" s="59">
        <f t="shared" si="26"/>
        <v>2026</v>
      </c>
      <c r="H1074" s="59" t="str">
        <f t="shared" si="27"/>
        <v>28A30696</v>
      </c>
      <c r="I1074" s="59">
        <f>IF(OR($A1074="",$C1074="",$D1074="",$E1074="",$H1074=""),"",SUMIFS(DATA_GOC!$H:$H,DATA_GOC!$A:$A,"BOM",DATA_GOC!$D:$D,$H1074,DATA_GOC!$E:$E,$C1074,DATA_GOC!$F:$F,"Xuất nội bộ từ téc",DATA_GOC!$B:$B,"&gt;="&amp;$D1074,DATA_GOC!$B:$B,"&lt;="&amp;$E1074))</f>
        <v>35</v>
      </c>
      <c r="J1074" s="59">
        <f t="shared" si="28"/>
        <v>1.66</v>
      </c>
      <c r="K1074" s="59">
        <f t="shared" si="29"/>
        <v>0</v>
      </c>
      <c r="L1074" s="59">
        <f t="shared" si="30"/>
        <v>36.66</v>
      </c>
      <c r="M1074" s="59">
        <f t="shared" si="31"/>
        <v>0.001018448467</v>
      </c>
    </row>
    <row r="1075" ht="15.0" hidden="1" customHeight="1">
      <c r="A1075" s="59">
        <f t="shared" si="20"/>
        <v>15</v>
      </c>
      <c r="B1075" s="59" t="str">
        <f t="shared" si="21"/>
        <v>Đã chốt</v>
      </c>
      <c r="C1075" s="59" t="str">
        <f t="shared" si="22"/>
        <v>Téc 2</v>
      </c>
      <c r="D1075" s="45">
        <f t="shared" si="23"/>
        <v>46160</v>
      </c>
      <c r="E1075" s="45">
        <f t="shared" si="24"/>
        <v>46184</v>
      </c>
      <c r="F1075" s="59">
        <f t="shared" si="25"/>
        <v>6</v>
      </c>
      <c r="G1075" s="59">
        <f t="shared" si="26"/>
        <v>2026</v>
      </c>
      <c r="H1075" s="59" t="str">
        <f t="shared" si="27"/>
        <v>28C00462</v>
      </c>
      <c r="I1075" s="59">
        <f>IF(OR($A1075="",$C1075="",$D1075="",$E1075="",$H1075=""),"",SUMIFS(DATA_GOC!$H:$H,DATA_GOC!$A:$A,"BOM",DATA_GOC!$D:$D,$H1075,DATA_GOC!$E:$E,$C1075,DATA_GOC!$F:$F,"Xuất nội bộ từ téc",DATA_GOC!$B:$B,"&gt;="&amp;$D1075,DATA_GOC!$B:$B,"&lt;="&amp;$E1075))</f>
        <v>878</v>
      </c>
      <c r="J1075" s="59">
        <f t="shared" si="28"/>
        <v>41.644</v>
      </c>
      <c r="K1075" s="59">
        <f t="shared" si="29"/>
        <v>0</v>
      </c>
      <c r="L1075" s="59">
        <f t="shared" si="30"/>
        <v>919.644</v>
      </c>
      <c r="M1075" s="59">
        <f t="shared" si="31"/>
        <v>0.02554850725</v>
      </c>
    </row>
    <row r="1076" ht="15.0" hidden="1" customHeight="1">
      <c r="A1076" s="59">
        <f t="shared" si="20"/>
        <v>15</v>
      </c>
      <c r="B1076" s="59" t="str">
        <f t="shared" si="21"/>
        <v>Đã chốt</v>
      </c>
      <c r="C1076" s="59" t="str">
        <f t="shared" si="22"/>
        <v>Téc 2</v>
      </c>
      <c r="D1076" s="45">
        <f t="shared" si="23"/>
        <v>46160</v>
      </c>
      <c r="E1076" s="45">
        <f t="shared" si="24"/>
        <v>46184</v>
      </c>
      <c r="F1076" s="59">
        <f t="shared" si="25"/>
        <v>6</v>
      </c>
      <c r="G1076" s="59">
        <f t="shared" si="26"/>
        <v>2026</v>
      </c>
      <c r="H1076" s="59" t="str">
        <f t="shared" si="27"/>
        <v>28C01165</v>
      </c>
      <c r="I1076" s="59">
        <f>IF(OR($A1076="",$C1076="",$D1076="",$E1076="",$H1076=""),"",SUMIFS(DATA_GOC!$H:$H,DATA_GOC!$A:$A,"BOM",DATA_GOC!$D:$D,$H1076,DATA_GOC!$E:$E,$C1076,DATA_GOC!$F:$F,"Xuất nội bộ từ téc",DATA_GOC!$B:$B,"&gt;="&amp;$D1076,DATA_GOC!$B:$B,"&lt;="&amp;$E1076))</f>
        <v>111</v>
      </c>
      <c r="J1076" s="59">
        <f t="shared" si="28"/>
        <v>5.265</v>
      </c>
      <c r="K1076" s="59">
        <f t="shared" si="29"/>
        <v>0</v>
      </c>
      <c r="L1076" s="59">
        <f t="shared" si="30"/>
        <v>116.265</v>
      </c>
      <c r="M1076" s="59">
        <f t="shared" si="31"/>
        <v>0.003229936565</v>
      </c>
    </row>
    <row r="1077" ht="15.0" hidden="1" customHeight="1">
      <c r="A1077" s="59">
        <f t="shared" si="20"/>
        <v>15</v>
      </c>
      <c r="B1077" s="59" t="str">
        <f t="shared" si="21"/>
        <v>Đã chốt</v>
      </c>
      <c r="C1077" s="59" t="str">
        <f t="shared" si="22"/>
        <v>Téc 2</v>
      </c>
      <c r="D1077" s="45">
        <f t="shared" si="23"/>
        <v>46160</v>
      </c>
      <c r="E1077" s="45">
        <f t="shared" si="24"/>
        <v>46184</v>
      </c>
      <c r="F1077" s="59">
        <f t="shared" si="25"/>
        <v>6</v>
      </c>
      <c r="G1077" s="59">
        <f t="shared" si="26"/>
        <v>2026</v>
      </c>
      <c r="H1077" s="59" t="str">
        <f t="shared" si="27"/>
        <v>28C01406</v>
      </c>
      <c r="I1077" s="59">
        <f>IF(OR($A1077="",$C1077="",$D1077="",$E1077="",$H1077=""),"",SUMIFS(DATA_GOC!$H:$H,DATA_GOC!$A:$A,"BOM",DATA_GOC!$D:$D,$H1077,DATA_GOC!$E:$E,$C1077,DATA_GOC!$F:$F,"Xuất nội bộ từ téc",DATA_GOC!$B:$B,"&gt;="&amp;$D1077,DATA_GOC!$B:$B,"&lt;="&amp;$E1077))</f>
        <v>1073</v>
      </c>
      <c r="J1077" s="59">
        <f t="shared" si="28"/>
        <v>50.893</v>
      </c>
      <c r="K1077" s="59">
        <f t="shared" si="29"/>
        <v>0</v>
      </c>
      <c r="L1077" s="59">
        <f t="shared" si="30"/>
        <v>1123.893</v>
      </c>
      <c r="M1077" s="59">
        <f t="shared" si="31"/>
        <v>0.03122272013</v>
      </c>
    </row>
    <row r="1078" ht="15.0" hidden="1" customHeight="1">
      <c r="A1078" s="59">
        <f t="shared" si="20"/>
        <v>15</v>
      </c>
      <c r="B1078" s="59" t="str">
        <f t="shared" si="21"/>
        <v>Đã chốt</v>
      </c>
      <c r="C1078" s="59" t="str">
        <f t="shared" si="22"/>
        <v>Téc 2</v>
      </c>
      <c r="D1078" s="45">
        <f t="shared" si="23"/>
        <v>46160</v>
      </c>
      <c r="E1078" s="45">
        <f t="shared" si="24"/>
        <v>46184</v>
      </c>
      <c r="F1078" s="59">
        <f t="shared" si="25"/>
        <v>6</v>
      </c>
      <c r="G1078" s="59">
        <f t="shared" si="26"/>
        <v>2026</v>
      </c>
      <c r="H1078" s="59" t="str">
        <f t="shared" si="27"/>
        <v>28C01544</v>
      </c>
      <c r="I1078" s="59">
        <f>IF(OR($A1078="",$C1078="",$D1078="",$E1078="",$H1078=""),"",SUMIFS(DATA_GOC!$H:$H,DATA_GOC!$A:$A,"BOM",DATA_GOC!$D:$D,$H1078,DATA_GOC!$E:$E,$C1078,DATA_GOC!$F:$F,"Xuất nội bộ từ téc",DATA_GOC!$B:$B,"&gt;="&amp;$D1078,DATA_GOC!$B:$B,"&lt;="&amp;$E1078))</f>
        <v>160</v>
      </c>
      <c r="J1078" s="59">
        <f t="shared" si="28"/>
        <v>7.589</v>
      </c>
      <c r="K1078" s="59">
        <f t="shared" si="29"/>
        <v>0</v>
      </c>
      <c r="L1078" s="59">
        <f t="shared" si="30"/>
        <v>167.589</v>
      </c>
      <c r="M1078" s="59">
        <f t="shared" si="31"/>
        <v>0.004655764418</v>
      </c>
    </row>
    <row r="1079" ht="15.0" hidden="1" customHeight="1">
      <c r="A1079" s="59">
        <f t="shared" si="20"/>
        <v>15</v>
      </c>
      <c r="B1079" s="59" t="str">
        <f t="shared" si="21"/>
        <v>Đã chốt</v>
      </c>
      <c r="C1079" s="59" t="str">
        <f t="shared" si="22"/>
        <v>Téc 2</v>
      </c>
      <c r="D1079" s="45">
        <f t="shared" si="23"/>
        <v>46160</v>
      </c>
      <c r="E1079" s="45">
        <f t="shared" si="24"/>
        <v>46184</v>
      </c>
      <c r="F1079" s="59">
        <f t="shared" si="25"/>
        <v>6</v>
      </c>
      <c r="G1079" s="59">
        <f t="shared" si="26"/>
        <v>2026</v>
      </c>
      <c r="H1079" s="59" t="str">
        <f t="shared" si="27"/>
        <v>28C01622</v>
      </c>
      <c r="I1079" s="59">
        <f>IF(OR($A1079="",$C1079="",$D1079="",$E1079="",$H1079=""),"",SUMIFS(DATA_GOC!$H:$H,DATA_GOC!$A:$A,"BOM",DATA_GOC!$D:$D,$H1079,DATA_GOC!$E:$E,$C1079,DATA_GOC!$F:$F,"Xuất nội bộ từ téc",DATA_GOC!$B:$B,"&gt;="&amp;$D1079,DATA_GOC!$B:$B,"&lt;="&amp;$E1079))</f>
        <v>1577</v>
      </c>
      <c r="J1079" s="59">
        <f t="shared" si="28"/>
        <v>74.798</v>
      </c>
      <c r="K1079" s="59">
        <f t="shared" si="29"/>
        <v>0</v>
      </c>
      <c r="L1079" s="59">
        <f t="shared" si="30"/>
        <v>1651.798</v>
      </c>
      <c r="M1079" s="59">
        <f t="shared" si="31"/>
        <v>0.04588837805</v>
      </c>
    </row>
    <row r="1080" ht="15.0" hidden="1" customHeight="1">
      <c r="A1080" s="59">
        <f t="shared" si="20"/>
        <v>15</v>
      </c>
      <c r="B1080" s="59" t="str">
        <f t="shared" si="21"/>
        <v>Đã chốt</v>
      </c>
      <c r="C1080" s="59" t="str">
        <f t="shared" si="22"/>
        <v>Téc 2</v>
      </c>
      <c r="D1080" s="45">
        <f t="shared" si="23"/>
        <v>46160</v>
      </c>
      <c r="E1080" s="45">
        <f t="shared" si="24"/>
        <v>46184</v>
      </c>
      <c r="F1080" s="59">
        <f t="shared" si="25"/>
        <v>6</v>
      </c>
      <c r="G1080" s="59">
        <f t="shared" si="26"/>
        <v>2026</v>
      </c>
      <c r="H1080" s="59" t="str">
        <f t="shared" si="27"/>
        <v>28C01647</v>
      </c>
      <c r="I1080" s="59">
        <f>IF(OR($A1080="",$C1080="",$D1080="",$E1080="",$H1080=""),"",SUMIFS(DATA_GOC!$H:$H,DATA_GOC!$A:$A,"BOM",DATA_GOC!$D:$D,$H1080,DATA_GOC!$E:$E,$C1080,DATA_GOC!$F:$F,"Xuất nội bộ từ téc",DATA_GOC!$B:$B,"&gt;="&amp;$D1080,DATA_GOC!$B:$B,"&lt;="&amp;$E1080))</f>
        <v>1134</v>
      </c>
      <c r="J1080" s="59">
        <f t="shared" si="28"/>
        <v>53.786</v>
      </c>
      <c r="K1080" s="59">
        <f t="shared" si="29"/>
        <v>0</v>
      </c>
      <c r="L1080" s="59">
        <f t="shared" si="30"/>
        <v>1187.786</v>
      </c>
      <c r="M1080" s="59">
        <f t="shared" si="31"/>
        <v>0.03299773031</v>
      </c>
    </row>
    <row r="1081" ht="15.0" hidden="1" customHeight="1">
      <c r="A1081" s="59">
        <f t="shared" si="20"/>
        <v>15</v>
      </c>
      <c r="B1081" s="59" t="str">
        <f t="shared" si="21"/>
        <v>Đã chốt</v>
      </c>
      <c r="C1081" s="59" t="str">
        <f t="shared" si="22"/>
        <v>Téc 2</v>
      </c>
      <c r="D1081" s="45">
        <f t="shared" si="23"/>
        <v>46160</v>
      </c>
      <c r="E1081" s="45">
        <f t="shared" si="24"/>
        <v>46184</v>
      </c>
      <c r="F1081" s="59">
        <f t="shared" si="25"/>
        <v>6</v>
      </c>
      <c r="G1081" s="59">
        <f t="shared" si="26"/>
        <v>2026</v>
      </c>
      <c r="H1081" s="59" t="str">
        <f t="shared" si="27"/>
        <v>28C01731</v>
      </c>
      <c r="I1081" s="59">
        <f>IF(OR($A1081="",$C1081="",$D1081="",$E1081="",$H1081=""),"",SUMIFS(DATA_GOC!$H:$H,DATA_GOC!$A:$A,"BOM",DATA_GOC!$D:$D,$H1081,DATA_GOC!$E:$E,$C1081,DATA_GOC!$F:$F,"Xuất nội bộ từ téc",DATA_GOC!$B:$B,"&gt;="&amp;$D1081,DATA_GOC!$B:$B,"&lt;="&amp;$E1081))</f>
        <v>84</v>
      </c>
      <c r="J1081" s="59">
        <f t="shared" si="28"/>
        <v>3.984</v>
      </c>
      <c r="K1081" s="59">
        <f t="shared" si="29"/>
        <v>0</v>
      </c>
      <c r="L1081" s="59">
        <f t="shared" si="30"/>
        <v>87.984</v>
      </c>
      <c r="M1081" s="59">
        <f t="shared" si="31"/>
        <v>0.00244427632</v>
      </c>
    </row>
    <row r="1082" ht="15.0" hidden="1" customHeight="1">
      <c r="A1082" s="59">
        <f t="shared" si="20"/>
        <v>15</v>
      </c>
      <c r="B1082" s="59" t="str">
        <f t="shared" si="21"/>
        <v>Đã chốt</v>
      </c>
      <c r="C1082" s="59" t="str">
        <f t="shared" si="22"/>
        <v>Téc 2</v>
      </c>
      <c r="D1082" s="45">
        <f t="shared" si="23"/>
        <v>46160</v>
      </c>
      <c r="E1082" s="45">
        <f t="shared" si="24"/>
        <v>46184</v>
      </c>
      <c r="F1082" s="59">
        <f t="shared" si="25"/>
        <v>6</v>
      </c>
      <c r="G1082" s="59">
        <f t="shared" si="26"/>
        <v>2026</v>
      </c>
      <c r="H1082" s="59" t="str">
        <f t="shared" si="27"/>
        <v>28C01743</v>
      </c>
      <c r="I1082" s="59">
        <f>IF(OR($A1082="",$C1082="",$D1082="",$E1082="",$H1082=""),"",SUMIFS(DATA_GOC!$H:$H,DATA_GOC!$A:$A,"BOM",DATA_GOC!$D:$D,$H1082,DATA_GOC!$E:$E,$C1082,DATA_GOC!$F:$F,"Xuất nội bộ từ téc",DATA_GOC!$B:$B,"&gt;="&amp;$D1082,DATA_GOC!$B:$B,"&lt;="&amp;$E1082))</f>
        <v>100</v>
      </c>
      <c r="J1082" s="59">
        <f t="shared" si="28"/>
        <v>4.743</v>
      </c>
      <c r="K1082" s="59">
        <f t="shared" si="29"/>
        <v>0</v>
      </c>
      <c r="L1082" s="59">
        <f t="shared" si="30"/>
        <v>104.743</v>
      </c>
      <c r="M1082" s="59">
        <f t="shared" si="31"/>
        <v>0.002909852761</v>
      </c>
    </row>
    <row r="1083" ht="15.0" hidden="1" customHeight="1">
      <c r="A1083" s="59">
        <f t="shared" si="20"/>
        <v>15</v>
      </c>
      <c r="B1083" s="59" t="str">
        <f t="shared" si="21"/>
        <v>Đã chốt</v>
      </c>
      <c r="C1083" s="59" t="str">
        <f t="shared" si="22"/>
        <v>Téc 2</v>
      </c>
      <c r="D1083" s="45">
        <f t="shared" si="23"/>
        <v>46160</v>
      </c>
      <c r="E1083" s="45">
        <f t="shared" si="24"/>
        <v>46184</v>
      </c>
      <c r="F1083" s="59">
        <f t="shared" si="25"/>
        <v>6</v>
      </c>
      <c r="G1083" s="59">
        <f t="shared" si="26"/>
        <v>2026</v>
      </c>
      <c r="H1083" s="59" t="str">
        <f t="shared" si="27"/>
        <v>28C02106</v>
      </c>
      <c r="I1083" s="59">
        <f>IF(OR($A1083="",$C1083="",$D1083="",$E1083="",$H1083=""),"",SUMIFS(DATA_GOC!$H:$H,DATA_GOC!$A:$A,"BOM",DATA_GOC!$D:$D,$H1083,DATA_GOC!$E:$E,$C1083,DATA_GOC!$F:$F,"Xuất nội bộ từ téc",DATA_GOC!$B:$B,"&gt;="&amp;$D1083,DATA_GOC!$B:$B,"&lt;="&amp;$E1083))</f>
        <v>0</v>
      </c>
      <c r="J1083" s="59">
        <f t="shared" si="28"/>
        <v>0</v>
      </c>
      <c r="K1083" s="59">
        <f t="shared" si="29"/>
        <v>0</v>
      </c>
      <c r="L1083" s="59">
        <f t="shared" si="30"/>
        <v>0</v>
      </c>
      <c r="M1083" s="59">
        <f t="shared" si="31"/>
        <v>0</v>
      </c>
    </row>
    <row r="1084" ht="15.0" hidden="1" customHeight="1">
      <c r="A1084" s="59">
        <f t="shared" si="20"/>
        <v>15</v>
      </c>
      <c r="B1084" s="59" t="str">
        <f t="shared" si="21"/>
        <v>Đã chốt</v>
      </c>
      <c r="C1084" s="59" t="str">
        <f t="shared" si="22"/>
        <v>Téc 2</v>
      </c>
      <c r="D1084" s="45">
        <f t="shared" si="23"/>
        <v>46160</v>
      </c>
      <c r="E1084" s="45">
        <f t="shared" si="24"/>
        <v>46184</v>
      </c>
      <c r="F1084" s="59">
        <f t="shared" si="25"/>
        <v>6</v>
      </c>
      <c r="G1084" s="59">
        <f t="shared" si="26"/>
        <v>2026</v>
      </c>
      <c r="H1084" s="59" t="str">
        <f t="shared" si="27"/>
        <v>28C02410</v>
      </c>
      <c r="I1084" s="59">
        <f>IF(OR($A1084="",$C1084="",$D1084="",$E1084="",$H1084=""),"",SUMIFS(DATA_GOC!$H:$H,DATA_GOC!$A:$A,"BOM",DATA_GOC!$D:$D,$H1084,DATA_GOC!$E:$E,$C1084,DATA_GOC!$F:$F,"Xuất nội bộ từ téc",DATA_GOC!$B:$B,"&gt;="&amp;$D1084,DATA_GOC!$B:$B,"&lt;="&amp;$E1084))</f>
        <v>125</v>
      </c>
      <c r="J1084" s="59">
        <f t="shared" si="28"/>
        <v>5.929</v>
      </c>
      <c r="K1084" s="59">
        <f t="shared" si="29"/>
        <v>0</v>
      </c>
      <c r="L1084" s="59">
        <f t="shared" si="30"/>
        <v>130.929</v>
      </c>
      <c r="M1084" s="59">
        <f t="shared" si="31"/>
        <v>0.003637315952</v>
      </c>
    </row>
    <row r="1085" ht="15.0" hidden="1" customHeight="1">
      <c r="A1085" s="59">
        <f t="shared" si="20"/>
        <v>15</v>
      </c>
      <c r="B1085" s="59" t="str">
        <f t="shared" si="21"/>
        <v>Đã chốt</v>
      </c>
      <c r="C1085" s="59" t="str">
        <f t="shared" si="22"/>
        <v>Téc 2</v>
      </c>
      <c r="D1085" s="45">
        <f t="shared" si="23"/>
        <v>46160</v>
      </c>
      <c r="E1085" s="45">
        <f t="shared" si="24"/>
        <v>46184</v>
      </c>
      <c r="F1085" s="59">
        <f t="shared" si="25"/>
        <v>6</v>
      </c>
      <c r="G1085" s="59">
        <f t="shared" si="26"/>
        <v>2026</v>
      </c>
      <c r="H1085" s="59" t="str">
        <f t="shared" si="27"/>
        <v>28C02545</v>
      </c>
      <c r="I1085" s="59">
        <f>IF(OR($A1085="",$C1085="",$D1085="",$E1085="",$H1085=""),"",SUMIFS(DATA_GOC!$H:$H,DATA_GOC!$A:$A,"BOM",DATA_GOC!$D:$D,$H1085,DATA_GOC!$E:$E,$C1085,DATA_GOC!$F:$F,"Xuất nội bộ từ téc",DATA_GOC!$B:$B,"&gt;="&amp;$D1085,DATA_GOC!$B:$B,"&lt;="&amp;$E1085))</f>
        <v>484</v>
      </c>
      <c r="J1085" s="59">
        <f t="shared" si="28"/>
        <v>22.956</v>
      </c>
      <c r="K1085" s="59">
        <f t="shared" si="29"/>
        <v>0</v>
      </c>
      <c r="L1085" s="59">
        <f t="shared" si="30"/>
        <v>506.956</v>
      </c>
      <c r="M1085" s="59">
        <f t="shared" si="31"/>
        <v>0.01408368737</v>
      </c>
    </row>
    <row r="1086" ht="15.0" hidden="1" customHeight="1">
      <c r="A1086" s="59">
        <f t="shared" si="20"/>
        <v>15</v>
      </c>
      <c r="B1086" s="59" t="str">
        <f t="shared" si="21"/>
        <v>Đã chốt</v>
      </c>
      <c r="C1086" s="59" t="str">
        <f t="shared" si="22"/>
        <v>Téc 2</v>
      </c>
      <c r="D1086" s="45">
        <f t="shared" si="23"/>
        <v>46160</v>
      </c>
      <c r="E1086" s="45">
        <f t="shared" si="24"/>
        <v>46184</v>
      </c>
      <c r="F1086" s="59">
        <f t="shared" si="25"/>
        <v>6</v>
      </c>
      <c r="G1086" s="59">
        <f t="shared" si="26"/>
        <v>2026</v>
      </c>
      <c r="H1086" s="59" t="str">
        <f t="shared" si="27"/>
        <v>28C02574</v>
      </c>
      <c r="I1086" s="59">
        <f>IF(OR($A1086="",$C1086="",$D1086="",$E1086="",$H1086=""),"",SUMIFS(DATA_GOC!$H:$H,DATA_GOC!$A:$A,"BOM",DATA_GOC!$D:$D,$H1086,DATA_GOC!$E:$E,$C1086,DATA_GOC!$F:$F,"Xuất nội bộ từ téc",DATA_GOC!$B:$B,"&gt;="&amp;$D1086,DATA_GOC!$B:$B,"&lt;="&amp;$E1086))</f>
        <v>386</v>
      </c>
      <c r="J1086" s="59">
        <f t="shared" si="28"/>
        <v>18.308</v>
      </c>
      <c r="K1086" s="59">
        <f t="shared" si="29"/>
        <v>0</v>
      </c>
      <c r="L1086" s="59">
        <f t="shared" si="30"/>
        <v>404.308</v>
      </c>
      <c r="M1086" s="59">
        <f t="shared" si="31"/>
        <v>0.01123203166</v>
      </c>
    </row>
    <row r="1087" ht="15.0" hidden="1" customHeight="1">
      <c r="A1087" s="59">
        <f t="shared" si="20"/>
        <v>15</v>
      </c>
      <c r="B1087" s="59" t="str">
        <f t="shared" si="21"/>
        <v>Đã chốt</v>
      </c>
      <c r="C1087" s="59" t="str">
        <f t="shared" si="22"/>
        <v>Téc 2</v>
      </c>
      <c r="D1087" s="45">
        <f t="shared" si="23"/>
        <v>46160</v>
      </c>
      <c r="E1087" s="45">
        <f t="shared" si="24"/>
        <v>46184</v>
      </c>
      <c r="F1087" s="59">
        <f t="shared" si="25"/>
        <v>6</v>
      </c>
      <c r="G1087" s="59">
        <f t="shared" si="26"/>
        <v>2026</v>
      </c>
      <c r="H1087" s="59" t="str">
        <f t="shared" si="27"/>
        <v>28C02770</v>
      </c>
      <c r="I1087" s="59">
        <f>IF(OR($A1087="",$C1087="",$D1087="",$E1087="",$H1087=""),"",SUMIFS(DATA_GOC!$H:$H,DATA_GOC!$A:$A,"BOM",DATA_GOC!$D:$D,$H1087,DATA_GOC!$E:$E,$C1087,DATA_GOC!$F:$F,"Xuất nội bộ từ téc",DATA_GOC!$B:$B,"&gt;="&amp;$D1087,DATA_GOC!$B:$B,"&lt;="&amp;$E1087))</f>
        <v>1293</v>
      </c>
      <c r="J1087" s="59">
        <f t="shared" si="28"/>
        <v>61.328</v>
      </c>
      <c r="K1087" s="59">
        <f t="shared" si="29"/>
        <v>0</v>
      </c>
      <c r="L1087" s="59">
        <f t="shared" si="30"/>
        <v>1354.328</v>
      </c>
      <c r="M1087" s="59">
        <f t="shared" si="31"/>
        <v>0.03762439621</v>
      </c>
    </row>
    <row r="1088" ht="15.0" hidden="1" customHeight="1">
      <c r="A1088" s="59">
        <f t="shared" si="20"/>
        <v>15</v>
      </c>
      <c r="B1088" s="59" t="str">
        <f t="shared" si="21"/>
        <v>Đã chốt</v>
      </c>
      <c r="C1088" s="59" t="str">
        <f t="shared" si="22"/>
        <v>Téc 2</v>
      </c>
      <c r="D1088" s="45">
        <f t="shared" si="23"/>
        <v>46160</v>
      </c>
      <c r="E1088" s="45">
        <f t="shared" si="24"/>
        <v>46184</v>
      </c>
      <c r="F1088" s="59">
        <f t="shared" si="25"/>
        <v>6</v>
      </c>
      <c r="G1088" s="59">
        <f t="shared" si="26"/>
        <v>2026</v>
      </c>
      <c r="H1088" s="59" t="str">
        <f t="shared" si="27"/>
        <v>28C02986</v>
      </c>
      <c r="I1088" s="59">
        <f>IF(OR($A1088="",$C1088="",$D1088="",$E1088="",$H1088=""),"",SUMIFS(DATA_GOC!$H:$H,DATA_GOC!$A:$A,"BOM",DATA_GOC!$D:$D,$H1088,DATA_GOC!$E:$E,$C1088,DATA_GOC!$F:$F,"Xuất nội bộ từ téc",DATA_GOC!$B:$B,"&gt;="&amp;$D1088,DATA_GOC!$B:$B,"&lt;="&amp;$E1088))</f>
        <v>1290</v>
      </c>
      <c r="J1088" s="59">
        <f t="shared" si="28"/>
        <v>61.185</v>
      </c>
      <c r="K1088" s="59">
        <f t="shared" si="29"/>
        <v>0</v>
      </c>
      <c r="L1088" s="59">
        <f t="shared" si="30"/>
        <v>1351.185</v>
      </c>
      <c r="M1088" s="59">
        <f t="shared" si="31"/>
        <v>0.03753710062</v>
      </c>
    </row>
    <row r="1089" ht="15.0" hidden="1" customHeight="1">
      <c r="A1089" s="59">
        <f t="shared" si="20"/>
        <v>15</v>
      </c>
      <c r="B1089" s="59" t="str">
        <f t="shared" si="21"/>
        <v>Đã chốt</v>
      </c>
      <c r="C1089" s="59" t="str">
        <f t="shared" si="22"/>
        <v>Téc 2</v>
      </c>
      <c r="D1089" s="45">
        <f t="shared" si="23"/>
        <v>46160</v>
      </c>
      <c r="E1089" s="45">
        <f t="shared" si="24"/>
        <v>46184</v>
      </c>
      <c r="F1089" s="59">
        <f t="shared" si="25"/>
        <v>6</v>
      </c>
      <c r="G1089" s="59">
        <f t="shared" si="26"/>
        <v>2026</v>
      </c>
      <c r="H1089" s="59" t="str">
        <f t="shared" si="27"/>
        <v>28C03261</v>
      </c>
      <c r="I1089" s="59">
        <f>IF(OR($A1089="",$C1089="",$D1089="",$E1089="",$H1089=""),"",SUMIFS(DATA_GOC!$H:$H,DATA_GOC!$A:$A,"BOM",DATA_GOC!$D:$D,$H1089,DATA_GOC!$E:$E,$C1089,DATA_GOC!$F:$F,"Xuất nội bộ từ téc",DATA_GOC!$B:$B,"&gt;="&amp;$D1089,DATA_GOC!$B:$B,"&lt;="&amp;$E1089))</f>
        <v>907</v>
      </c>
      <c r="J1089" s="59">
        <f t="shared" si="28"/>
        <v>43.02</v>
      </c>
      <c r="K1089" s="59">
        <f t="shared" si="29"/>
        <v>0</v>
      </c>
      <c r="L1089" s="59">
        <f t="shared" si="30"/>
        <v>950.02</v>
      </c>
      <c r="M1089" s="59">
        <f t="shared" si="31"/>
        <v>0.02639236455</v>
      </c>
    </row>
    <row r="1090" ht="15.0" hidden="1" customHeight="1">
      <c r="A1090" s="59">
        <f t="shared" si="20"/>
        <v>15</v>
      </c>
      <c r="B1090" s="59" t="str">
        <f t="shared" si="21"/>
        <v>Đã chốt</v>
      </c>
      <c r="C1090" s="59" t="str">
        <f t="shared" si="22"/>
        <v>Téc 2</v>
      </c>
      <c r="D1090" s="45">
        <f t="shared" si="23"/>
        <v>46160</v>
      </c>
      <c r="E1090" s="45">
        <f t="shared" si="24"/>
        <v>46184</v>
      </c>
      <c r="F1090" s="59">
        <f t="shared" si="25"/>
        <v>6</v>
      </c>
      <c r="G1090" s="59">
        <f t="shared" si="26"/>
        <v>2026</v>
      </c>
      <c r="H1090" s="59" t="str">
        <f t="shared" si="27"/>
        <v>28C03323</v>
      </c>
      <c r="I1090" s="59">
        <f>IF(OR($A1090="",$C1090="",$D1090="",$E1090="",$H1090=""),"",SUMIFS(DATA_GOC!$H:$H,DATA_GOC!$A:$A,"BOM",DATA_GOC!$D:$D,$H1090,DATA_GOC!$E:$E,$C1090,DATA_GOC!$F:$F,"Xuất nội bộ từ téc",DATA_GOC!$B:$B,"&gt;="&amp;$D1090,DATA_GOC!$B:$B,"&lt;="&amp;$E1090))</f>
        <v>455</v>
      </c>
      <c r="J1090" s="59">
        <f t="shared" si="28"/>
        <v>21.581</v>
      </c>
      <c r="K1090" s="59">
        <f t="shared" si="29"/>
        <v>0</v>
      </c>
      <c r="L1090" s="59">
        <f t="shared" si="30"/>
        <v>476.581</v>
      </c>
      <c r="M1090" s="59">
        <f t="shared" si="31"/>
        <v>0.01323983006</v>
      </c>
    </row>
    <row r="1091" ht="15.0" hidden="1" customHeight="1">
      <c r="A1091" s="59">
        <f t="shared" si="20"/>
        <v>15</v>
      </c>
      <c r="B1091" s="59" t="str">
        <f t="shared" si="21"/>
        <v>Đã chốt</v>
      </c>
      <c r="C1091" s="59" t="str">
        <f t="shared" si="22"/>
        <v>Téc 2</v>
      </c>
      <c r="D1091" s="45">
        <f t="shared" si="23"/>
        <v>46160</v>
      </c>
      <c r="E1091" s="45">
        <f t="shared" si="24"/>
        <v>46184</v>
      </c>
      <c r="F1091" s="59">
        <f t="shared" si="25"/>
        <v>6</v>
      </c>
      <c r="G1091" s="59">
        <f t="shared" si="26"/>
        <v>2026</v>
      </c>
      <c r="H1091" s="59" t="str">
        <f t="shared" si="27"/>
        <v>28C03385</v>
      </c>
      <c r="I1091" s="59">
        <f>IF(OR($A1091="",$C1091="",$D1091="",$E1091="",$H1091=""),"",SUMIFS(DATA_GOC!$H:$H,DATA_GOC!$A:$A,"BOM",DATA_GOC!$D:$D,$H1091,DATA_GOC!$E:$E,$C1091,DATA_GOC!$F:$F,"Xuất nội bộ từ téc",DATA_GOC!$B:$B,"&gt;="&amp;$D1091,DATA_GOC!$B:$B,"&lt;="&amp;$E1091))</f>
        <v>630</v>
      </c>
      <c r="J1091" s="59">
        <f t="shared" si="28"/>
        <v>29.881</v>
      </c>
      <c r="K1091" s="59">
        <f t="shared" si="29"/>
        <v>0</v>
      </c>
      <c r="L1091" s="59">
        <f t="shared" si="30"/>
        <v>659.881</v>
      </c>
      <c r="M1091" s="59">
        <f t="shared" si="31"/>
        <v>0.0183320724</v>
      </c>
    </row>
    <row r="1092" ht="15.0" hidden="1" customHeight="1">
      <c r="A1092" s="59">
        <f t="shared" si="20"/>
        <v>15</v>
      </c>
      <c r="B1092" s="59" t="str">
        <f t="shared" si="21"/>
        <v>Đã chốt</v>
      </c>
      <c r="C1092" s="59" t="str">
        <f t="shared" si="22"/>
        <v>Téc 2</v>
      </c>
      <c r="D1092" s="45">
        <f t="shared" si="23"/>
        <v>46160</v>
      </c>
      <c r="E1092" s="45">
        <f t="shared" si="24"/>
        <v>46184</v>
      </c>
      <c r="F1092" s="59">
        <f t="shared" si="25"/>
        <v>6</v>
      </c>
      <c r="G1092" s="59">
        <f t="shared" si="26"/>
        <v>2026</v>
      </c>
      <c r="H1092" s="59" t="str">
        <f t="shared" si="27"/>
        <v>28C03652</v>
      </c>
      <c r="I1092" s="59">
        <f>IF(OR($A1092="",$C1092="",$D1092="",$E1092="",$H1092=""),"",SUMIFS(DATA_GOC!$H:$H,DATA_GOC!$A:$A,"BOM",DATA_GOC!$D:$D,$H1092,DATA_GOC!$E:$E,$C1092,DATA_GOC!$F:$F,"Xuất nội bộ từ téc",DATA_GOC!$B:$B,"&gt;="&amp;$D1092,DATA_GOC!$B:$B,"&lt;="&amp;$E1092))</f>
        <v>695</v>
      </c>
      <c r="J1092" s="59">
        <f t="shared" si="28"/>
        <v>32.964</v>
      </c>
      <c r="K1092" s="59">
        <f t="shared" si="29"/>
        <v>0</v>
      </c>
      <c r="L1092" s="59">
        <f t="shared" si="30"/>
        <v>727.964</v>
      </c>
      <c r="M1092" s="59">
        <f t="shared" si="31"/>
        <v>0.02022347669</v>
      </c>
    </row>
    <row r="1093" ht="15.0" hidden="1" customHeight="1">
      <c r="A1093" s="59">
        <f t="shared" si="20"/>
        <v>15</v>
      </c>
      <c r="B1093" s="59" t="str">
        <f t="shared" si="21"/>
        <v>Đã chốt</v>
      </c>
      <c r="C1093" s="59" t="str">
        <f t="shared" si="22"/>
        <v>Téc 2</v>
      </c>
      <c r="D1093" s="45">
        <f t="shared" si="23"/>
        <v>46160</v>
      </c>
      <c r="E1093" s="45">
        <f t="shared" si="24"/>
        <v>46184</v>
      </c>
      <c r="F1093" s="59">
        <f t="shared" si="25"/>
        <v>6</v>
      </c>
      <c r="G1093" s="59">
        <f t="shared" si="26"/>
        <v>2026</v>
      </c>
      <c r="H1093" s="59" t="str">
        <f t="shared" si="27"/>
        <v>28C03695</v>
      </c>
      <c r="I1093" s="59">
        <f>IF(OR($A1093="",$C1093="",$D1093="",$E1093="",$H1093=""),"",SUMIFS(DATA_GOC!$H:$H,DATA_GOC!$A:$A,"BOM",DATA_GOC!$D:$D,$H1093,DATA_GOC!$E:$E,$C1093,DATA_GOC!$F:$F,"Xuất nội bộ từ téc",DATA_GOC!$B:$B,"&gt;="&amp;$D1093,DATA_GOC!$B:$B,"&lt;="&amp;$E1093))</f>
        <v>176</v>
      </c>
      <c r="J1093" s="59">
        <f t="shared" si="28"/>
        <v>8.348</v>
      </c>
      <c r="K1093" s="59">
        <f t="shared" si="29"/>
        <v>0</v>
      </c>
      <c r="L1093" s="59">
        <f t="shared" si="30"/>
        <v>184.348</v>
      </c>
      <c r="M1093" s="59">
        <f t="shared" si="31"/>
        <v>0.00512134086</v>
      </c>
    </row>
    <row r="1094" ht="15.0" hidden="1" customHeight="1">
      <c r="A1094" s="59">
        <f t="shared" si="20"/>
        <v>15</v>
      </c>
      <c r="B1094" s="59" t="str">
        <f t="shared" si="21"/>
        <v>Đã chốt</v>
      </c>
      <c r="C1094" s="59" t="str">
        <f t="shared" si="22"/>
        <v>Téc 2</v>
      </c>
      <c r="D1094" s="45">
        <f t="shared" si="23"/>
        <v>46160</v>
      </c>
      <c r="E1094" s="45">
        <f t="shared" si="24"/>
        <v>46184</v>
      </c>
      <c r="F1094" s="59">
        <f t="shared" si="25"/>
        <v>6</v>
      </c>
      <c r="G1094" s="59">
        <f t="shared" si="26"/>
        <v>2026</v>
      </c>
      <c r="H1094" s="59" t="str">
        <f t="shared" si="27"/>
        <v>28C03927</v>
      </c>
      <c r="I1094" s="59">
        <f>IF(OR($A1094="",$C1094="",$D1094="",$E1094="",$H1094=""),"",SUMIFS(DATA_GOC!$H:$H,DATA_GOC!$A:$A,"BOM",DATA_GOC!$D:$D,$H1094,DATA_GOC!$E:$E,$C1094,DATA_GOC!$F:$F,"Xuất nội bộ từ téc",DATA_GOC!$B:$B,"&gt;="&amp;$D1094,DATA_GOC!$B:$B,"&lt;="&amp;$E1094))</f>
        <v>805</v>
      </c>
      <c r="J1094" s="59">
        <f t="shared" si="28"/>
        <v>38.182</v>
      </c>
      <c r="K1094" s="59">
        <f t="shared" si="29"/>
        <v>0</v>
      </c>
      <c r="L1094" s="59">
        <f t="shared" si="30"/>
        <v>843.182</v>
      </c>
      <c r="M1094" s="59">
        <f t="shared" si="31"/>
        <v>0.02342431473</v>
      </c>
    </row>
    <row r="1095" ht="15.0" hidden="1" customHeight="1">
      <c r="A1095" s="59">
        <f t="shared" si="20"/>
        <v>15</v>
      </c>
      <c r="B1095" s="59" t="str">
        <f t="shared" si="21"/>
        <v>Đã chốt</v>
      </c>
      <c r="C1095" s="59" t="str">
        <f t="shared" si="22"/>
        <v>Téc 2</v>
      </c>
      <c r="D1095" s="45">
        <f t="shared" si="23"/>
        <v>46160</v>
      </c>
      <c r="E1095" s="45">
        <f t="shared" si="24"/>
        <v>46184</v>
      </c>
      <c r="F1095" s="59">
        <f t="shared" si="25"/>
        <v>6</v>
      </c>
      <c r="G1095" s="59">
        <f t="shared" si="26"/>
        <v>2026</v>
      </c>
      <c r="H1095" s="59" t="str">
        <f t="shared" si="27"/>
        <v>28C04509</v>
      </c>
      <c r="I1095" s="59">
        <f>IF(OR($A1095="",$C1095="",$D1095="",$E1095="",$H1095=""),"",SUMIFS(DATA_GOC!$H:$H,DATA_GOC!$A:$A,"BOM",DATA_GOC!$D:$D,$H1095,DATA_GOC!$E:$E,$C1095,DATA_GOC!$F:$F,"Xuất nội bộ từ téc",DATA_GOC!$B:$B,"&gt;="&amp;$D1095,DATA_GOC!$B:$B,"&lt;="&amp;$E1095))</f>
        <v>195</v>
      </c>
      <c r="J1095" s="59">
        <f t="shared" si="28"/>
        <v>9.249</v>
      </c>
      <c r="K1095" s="59">
        <f t="shared" si="29"/>
        <v>0</v>
      </c>
      <c r="L1095" s="59">
        <f t="shared" si="30"/>
        <v>204.249</v>
      </c>
      <c r="M1095" s="59">
        <f t="shared" si="31"/>
        <v>0.005674212885</v>
      </c>
    </row>
    <row r="1096" ht="15.0" hidden="1" customHeight="1">
      <c r="A1096" s="59">
        <f t="shared" si="20"/>
        <v>15</v>
      </c>
      <c r="B1096" s="59" t="str">
        <f t="shared" si="21"/>
        <v>Đã chốt</v>
      </c>
      <c r="C1096" s="59" t="str">
        <f t="shared" si="22"/>
        <v>Téc 2</v>
      </c>
      <c r="D1096" s="45">
        <f t="shared" si="23"/>
        <v>46160</v>
      </c>
      <c r="E1096" s="45">
        <f t="shared" si="24"/>
        <v>46184</v>
      </c>
      <c r="F1096" s="59">
        <f t="shared" si="25"/>
        <v>6</v>
      </c>
      <c r="G1096" s="59">
        <f t="shared" si="26"/>
        <v>2026</v>
      </c>
      <c r="H1096" s="59" t="str">
        <f t="shared" si="27"/>
        <v>28C04536</v>
      </c>
      <c r="I1096" s="59">
        <f>IF(OR($A1096="",$C1096="",$D1096="",$E1096="",$H1096=""),"",SUMIFS(DATA_GOC!$H:$H,DATA_GOC!$A:$A,"BOM",DATA_GOC!$D:$D,$H1096,DATA_GOC!$E:$E,$C1096,DATA_GOC!$F:$F,"Xuất nội bộ từ téc",DATA_GOC!$B:$B,"&gt;="&amp;$D1096,DATA_GOC!$B:$B,"&lt;="&amp;$E1096))</f>
        <v>0</v>
      </c>
      <c r="J1096" s="59">
        <f t="shared" si="28"/>
        <v>0</v>
      </c>
      <c r="K1096" s="59">
        <f t="shared" si="29"/>
        <v>0</v>
      </c>
      <c r="L1096" s="59">
        <f t="shared" si="30"/>
        <v>0</v>
      </c>
      <c r="M1096" s="59">
        <f t="shared" si="31"/>
        <v>0</v>
      </c>
    </row>
    <row r="1097" ht="15.0" hidden="1" customHeight="1">
      <c r="A1097" s="59">
        <f t="shared" si="20"/>
        <v>15</v>
      </c>
      <c r="B1097" s="59" t="str">
        <f t="shared" si="21"/>
        <v>Đã chốt</v>
      </c>
      <c r="C1097" s="59" t="str">
        <f t="shared" si="22"/>
        <v>Téc 2</v>
      </c>
      <c r="D1097" s="45">
        <f t="shared" si="23"/>
        <v>46160</v>
      </c>
      <c r="E1097" s="45">
        <f t="shared" si="24"/>
        <v>46184</v>
      </c>
      <c r="F1097" s="59">
        <f t="shared" si="25"/>
        <v>6</v>
      </c>
      <c r="G1097" s="59">
        <f t="shared" si="26"/>
        <v>2026</v>
      </c>
      <c r="H1097" s="59" t="str">
        <f t="shared" si="27"/>
        <v>28C04576</v>
      </c>
      <c r="I1097" s="59">
        <f>IF(OR($A1097="",$C1097="",$D1097="",$E1097="",$H1097=""),"",SUMIFS(DATA_GOC!$H:$H,DATA_GOC!$A:$A,"BOM",DATA_GOC!$D:$D,$H1097,DATA_GOC!$E:$E,$C1097,DATA_GOC!$F:$F,"Xuất nội bộ từ téc",DATA_GOC!$B:$B,"&gt;="&amp;$D1097,DATA_GOC!$B:$B,"&lt;="&amp;$E1097))</f>
        <v>430</v>
      </c>
      <c r="J1097" s="59">
        <f t="shared" si="28"/>
        <v>20.395</v>
      </c>
      <c r="K1097" s="59">
        <f t="shared" si="29"/>
        <v>0</v>
      </c>
      <c r="L1097" s="59">
        <f t="shared" si="30"/>
        <v>450.395</v>
      </c>
      <c r="M1097" s="59">
        <f t="shared" si="31"/>
        <v>0.01251236687</v>
      </c>
    </row>
    <row r="1098" ht="15.0" hidden="1" customHeight="1">
      <c r="A1098" s="59">
        <f t="shared" si="20"/>
        <v>15</v>
      </c>
      <c r="B1098" s="59" t="str">
        <f t="shared" si="21"/>
        <v>Đã chốt</v>
      </c>
      <c r="C1098" s="59" t="str">
        <f t="shared" si="22"/>
        <v>Téc 2</v>
      </c>
      <c r="D1098" s="45">
        <f t="shared" si="23"/>
        <v>46160</v>
      </c>
      <c r="E1098" s="45">
        <f t="shared" si="24"/>
        <v>46184</v>
      </c>
      <c r="F1098" s="59">
        <f t="shared" si="25"/>
        <v>6</v>
      </c>
      <c r="G1098" s="59">
        <f t="shared" si="26"/>
        <v>2026</v>
      </c>
      <c r="H1098" s="59" t="str">
        <f t="shared" si="27"/>
        <v>28C05090</v>
      </c>
      <c r="I1098" s="59">
        <f>IF(OR($A1098="",$C1098="",$D1098="",$E1098="",$H1098=""),"",SUMIFS(DATA_GOC!$H:$H,DATA_GOC!$A:$A,"BOM",DATA_GOC!$D:$D,$H1098,DATA_GOC!$E:$E,$C1098,DATA_GOC!$F:$F,"Xuất nội bộ từ téc",DATA_GOC!$B:$B,"&gt;="&amp;$D1098,DATA_GOC!$B:$B,"&lt;="&amp;$E1098))</f>
        <v>0</v>
      </c>
      <c r="J1098" s="59">
        <f t="shared" si="28"/>
        <v>0</v>
      </c>
      <c r="K1098" s="59">
        <f t="shared" si="29"/>
        <v>0</v>
      </c>
      <c r="L1098" s="59">
        <f t="shared" si="30"/>
        <v>0</v>
      </c>
      <c r="M1098" s="59">
        <f t="shared" si="31"/>
        <v>0</v>
      </c>
    </row>
    <row r="1099" ht="15.0" hidden="1" customHeight="1">
      <c r="A1099" s="59">
        <f t="shared" si="20"/>
        <v>15</v>
      </c>
      <c r="B1099" s="59" t="str">
        <f t="shared" si="21"/>
        <v>Đã chốt</v>
      </c>
      <c r="C1099" s="59" t="str">
        <f t="shared" si="22"/>
        <v>Téc 2</v>
      </c>
      <c r="D1099" s="45">
        <f t="shared" si="23"/>
        <v>46160</v>
      </c>
      <c r="E1099" s="45">
        <f t="shared" si="24"/>
        <v>46184</v>
      </c>
      <c r="F1099" s="59">
        <f t="shared" si="25"/>
        <v>6</v>
      </c>
      <c r="G1099" s="59">
        <f t="shared" si="26"/>
        <v>2026</v>
      </c>
      <c r="H1099" s="59" t="str">
        <f t="shared" si="27"/>
        <v>28C05345</v>
      </c>
      <c r="I1099" s="59">
        <f>IF(OR($A1099="",$C1099="",$D1099="",$E1099="",$H1099=""),"",SUMIFS(DATA_GOC!$H:$H,DATA_GOC!$A:$A,"BOM",DATA_GOC!$D:$D,$H1099,DATA_GOC!$E:$E,$C1099,DATA_GOC!$F:$F,"Xuất nội bộ từ téc",DATA_GOC!$B:$B,"&gt;="&amp;$D1099,DATA_GOC!$B:$B,"&lt;="&amp;$E1099))</f>
        <v>1082</v>
      </c>
      <c r="J1099" s="59">
        <f t="shared" si="28"/>
        <v>51.32</v>
      </c>
      <c r="K1099" s="59">
        <f t="shared" si="29"/>
        <v>0</v>
      </c>
      <c r="L1099" s="59">
        <f t="shared" si="30"/>
        <v>1133.32</v>
      </c>
      <c r="M1099" s="59">
        <f t="shared" si="31"/>
        <v>0.03148460688</v>
      </c>
    </row>
    <row r="1100" ht="15.0" hidden="1" customHeight="1">
      <c r="A1100" s="59">
        <f t="shared" si="20"/>
        <v>15</v>
      </c>
      <c r="B1100" s="59" t="str">
        <f t="shared" si="21"/>
        <v>Đã chốt</v>
      </c>
      <c r="C1100" s="59" t="str">
        <f t="shared" si="22"/>
        <v>Téc 2</v>
      </c>
      <c r="D1100" s="45">
        <f t="shared" si="23"/>
        <v>46160</v>
      </c>
      <c r="E1100" s="45">
        <f t="shared" si="24"/>
        <v>46184</v>
      </c>
      <c r="F1100" s="59">
        <f t="shared" si="25"/>
        <v>6</v>
      </c>
      <c r="G1100" s="59">
        <f t="shared" si="26"/>
        <v>2026</v>
      </c>
      <c r="H1100" s="59" t="str">
        <f t="shared" si="27"/>
        <v>28C05661</v>
      </c>
      <c r="I1100" s="59">
        <f>IF(OR($A1100="",$C1100="",$D1100="",$E1100="",$H1100=""),"",SUMIFS(DATA_GOC!$H:$H,DATA_GOC!$A:$A,"BOM",DATA_GOC!$D:$D,$H1100,DATA_GOC!$E:$E,$C1100,DATA_GOC!$F:$F,"Xuất nội bộ từ téc",DATA_GOC!$B:$B,"&gt;="&amp;$D1100,DATA_GOC!$B:$B,"&lt;="&amp;$E1100))</f>
        <v>0</v>
      </c>
      <c r="J1100" s="59">
        <f t="shared" si="28"/>
        <v>0</v>
      </c>
      <c r="K1100" s="59">
        <f t="shared" si="29"/>
        <v>0</v>
      </c>
      <c r="L1100" s="59">
        <f t="shared" si="30"/>
        <v>0</v>
      </c>
      <c r="M1100" s="59">
        <f t="shared" si="31"/>
        <v>0</v>
      </c>
    </row>
    <row r="1101" ht="15.0" hidden="1" customHeight="1">
      <c r="A1101" s="59">
        <f t="shared" si="20"/>
        <v>15</v>
      </c>
      <c r="B1101" s="59" t="str">
        <f t="shared" si="21"/>
        <v>Đã chốt</v>
      </c>
      <c r="C1101" s="59" t="str">
        <f t="shared" si="22"/>
        <v>Téc 2</v>
      </c>
      <c r="D1101" s="45">
        <f t="shared" si="23"/>
        <v>46160</v>
      </c>
      <c r="E1101" s="45">
        <f t="shared" si="24"/>
        <v>46184</v>
      </c>
      <c r="F1101" s="59">
        <f t="shared" si="25"/>
        <v>6</v>
      </c>
      <c r="G1101" s="59">
        <f t="shared" si="26"/>
        <v>2026</v>
      </c>
      <c r="H1101" s="59" t="str">
        <f t="shared" si="27"/>
        <v>28C05739</v>
      </c>
      <c r="I1101" s="59">
        <f>IF(OR($A1101="",$C1101="",$D1101="",$E1101="",$H1101=""),"",SUMIFS(DATA_GOC!$H:$H,DATA_GOC!$A:$A,"BOM",DATA_GOC!$D:$D,$H1101,DATA_GOC!$E:$E,$C1101,DATA_GOC!$F:$F,"Xuất nội bộ từ téc",DATA_GOC!$B:$B,"&gt;="&amp;$D1101,DATA_GOC!$B:$B,"&lt;="&amp;$E1101))</f>
        <v>910</v>
      </c>
      <c r="J1101" s="59">
        <f t="shared" si="28"/>
        <v>43.162</v>
      </c>
      <c r="K1101" s="59">
        <f t="shared" si="29"/>
        <v>0</v>
      </c>
      <c r="L1101" s="59">
        <f t="shared" si="30"/>
        <v>953.162</v>
      </c>
      <c r="M1101" s="59">
        <f t="shared" si="31"/>
        <v>0.02647966013</v>
      </c>
    </row>
    <row r="1102" ht="15.0" hidden="1" customHeight="1">
      <c r="A1102" s="59">
        <f t="shared" si="20"/>
        <v>15</v>
      </c>
      <c r="B1102" s="59" t="str">
        <f t="shared" si="21"/>
        <v>Đã chốt</v>
      </c>
      <c r="C1102" s="59" t="str">
        <f t="shared" si="22"/>
        <v>Téc 2</v>
      </c>
      <c r="D1102" s="45">
        <f t="shared" si="23"/>
        <v>46160</v>
      </c>
      <c r="E1102" s="45">
        <f t="shared" si="24"/>
        <v>46184</v>
      </c>
      <c r="F1102" s="59">
        <f t="shared" si="25"/>
        <v>6</v>
      </c>
      <c r="G1102" s="59">
        <f t="shared" si="26"/>
        <v>2026</v>
      </c>
      <c r="H1102" s="59" t="str">
        <f t="shared" si="27"/>
        <v>28C06369</v>
      </c>
      <c r="I1102" s="59">
        <f>IF(OR($A1102="",$C1102="",$D1102="",$E1102="",$H1102=""),"",SUMIFS(DATA_GOC!$H:$H,DATA_GOC!$A:$A,"BOM",DATA_GOC!$D:$D,$H1102,DATA_GOC!$E:$E,$C1102,DATA_GOC!$F:$F,"Xuất nội bộ từ téc",DATA_GOC!$B:$B,"&gt;="&amp;$D1102,DATA_GOC!$B:$B,"&lt;="&amp;$E1102))</f>
        <v>1053</v>
      </c>
      <c r="J1102" s="59">
        <f t="shared" si="28"/>
        <v>49.944</v>
      </c>
      <c r="K1102" s="59">
        <f t="shared" si="29"/>
        <v>0</v>
      </c>
      <c r="L1102" s="59">
        <f t="shared" si="30"/>
        <v>1102.944</v>
      </c>
      <c r="M1102" s="59">
        <f t="shared" si="31"/>
        <v>0.03064074958</v>
      </c>
    </row>
    <row r="1103" ht="15.0" hidden="1" customHeight="1">
      <c r="A1103" s="59">
        <f t="shared" si="20"/>
        <v>15</v>
      </c>
      <c r="B1103" s="59" t="str">
        <f t="shared" si="21"/>
        <v>Đã chốt</v>
      </c>
      <c r="C1103" s="59" t="str">
        <f t="shared" si="22"/>
        <v>Téc 2</v>
      </c>
      <c r="D1103" s="45">
        <f t="shared" si="23"/>
        <v>46160</v>
      </c>
      <c r="E1103" s="45">
        <f t="shared" si="24"/>
        <v>46184</v>
      </c>
      <c r="F1103" s="59">
        <f t="shared" si="25"/>
        <v>6</v>
      </c>
      <c r="G1103" s="59">
        <f t="shared" si="26"/>
        <v>2026</v>
      </c>
      <c r="H1103" s="59" t="str">
        <f t="shared" si="27"/>
        <v>28C06447</v>
      </c>
      <c r="I1103" s="59">
        <f>IF(OR($A1103="",$C1103="",$D1103="",$E1103="",$H1103=""),"",SUMIFS(DATA_GOC!$H:$H,DATA_GOC!$A:$A,"BOM",DATA_GOC!$D:$D,$H1103,DATA_GOC!$E:$E,$C1103,DATA_GOC!$F:$F,"Xuất nội bộ từ téc",DATA_GOC!$B:$B,"&gt;="&amp;$D1103,DATA_GOC!$B:$B,"&lt;="&amp;$E1103))</f>
        <v>984</v>
      </c>
      <c r="J1103" s="59">
        <f t="shared" si="28"/>
        <v>46.672</v>
      </c>
      <c r="K1103" s="59">
        <f t="shared" si="29"/>
        <v>0</v>
      </c>
      <c r="L1103" s="59">
        <f t="shared" si="30"/>
        <v>1030.672</v>
      </c>
      <c r="M1103" s="59">
        <f t="shared" si="31"/>
        <v>0.02863295117</v>
      </c>
    </row>
    <row r="1104" ht="15.0" hidden="1" customHeight="1">
      <c r="A1104" s="59">
        <f t="shared" si="20"/>
        <v>15</v>
      </c>
      <c r="B1104" s="59" t="str">
        <f t="shared" si="21"/>
        <v>Đã chốt</v>
      </c>
      <c r="C1104" s="59" t="str">
        <f t="shared" si="22"/>
        <v>Téc 2</v>
      </c>
      <c r="D1104" s="45">
        <f t="shared" si="23"/>
        <v>46160</v>
      </c>
      <c r="E1104" s="45">
        <f t="shared" si="24"/>
        <v>46184</v>
      </c>
      <c r="F1104" s="59">
        <f t="shared" si="25"/>
        <v>6</v>
      </c>
      <c r="G1104" s="59">
        <f t="shared" si="26"/>
        <v>2026</v>
      </c>
      <c r="H1104" s="59" t="str">
        <f t="shared" si="27"/>
        <v>28H00003</v>
      </c>
      <c r="I1104" s="59">
        <f>IF(OR($A1104="",$C1104="",$D1104="",$E1104="",$H1104=""),"",SUMIFS(DATA_GOC!$H:$H,DATA_GOC!$A:$A,"BOM",DATA_GOC!$D:$D,$H1104,DATA_GOC!$E:$E,$C1104,DATA_GOC!$F:$F,"Xuất nội bộ từ téc",DATA_GOC!$B:$B,"&gt;="&amp;$D1104,DATA_GOC!$B:$B,"&lt;="&amp;$E1104))</f>
        <v>1351</v>
      </c>
      <c r="J1104" s="59">
        <f t="shared" si="28"/>
        <v>64.079</v>
      </c>
      <c r="K1104" s="59">
        <f t="shared" si="29"/>
        <v>0</v>
      </c>
      <c r="L1104" s="59">
        <f t="shared" si="30"/>
        <v>1415.079</v>
      </c>
      <c r="M1104" s="59">
        <f t="shared" si="31"/>
        <v>0.03931211081</v>
      </c>
    </row>
    <row r="1105" ht="15.0" hidden="1" customHeight="1">
      <c r="A1105" s="59">
        <f t="shared" si="20"/>
        <v>15</v>
      </c>
      <c r="B1105" s="59" t="str">
        <f t="shared" si="21"/>
        <v>Đã chốt</v>
      </c>
      <c r="C1105" s="59" t="str">
        <f t="shared" si="22"/>
        <v>Téc 2</v>
      </c>
      <c r="D1105" s="45">
        <f t="shared" si="23"/>
        <v>46160</v>
      </c>
      <c r="E1105" s="45">
        <f t="shared" si="24"/>
        <v>46184</v>
      </c>
      <c r="F1105" s="59">
        <f t="shared" si="25"/>
        <v>6</v>
      </c>
      <c r="G1105" s="59">
        <f t="shared" si="26"/>
        <v>2026</v>
      </c>
      <c r="H1105" s="59" t="str">
        <f t="shared" si="27"/>
        <v>28H00061</v>
      </c>
      <c r="I1105" s="59">
        <f>IF(OR($A1105="",$C1105="",$D1105="",$E1105="",$H1105=""),"",SUMIFS(DATA_GOC!$H:$H,DATA_GOC!$A:$A,"BOM",DATA_GOC!$D:$D,$H1105,DATA_GOC!$E:$E,$C1105,DATA_GOC!$F:$F,"Xuất nội bộ từ téc",DATA_GOC!$B:$B,"&gt;="&amp;$D1105,DATA_GOC!$B:$B,"&lt;="&amp;$E1105))</f>
        <v>834</v>
      </c>
      <c r="J1105" s="59">
        <f t="shared" si="28"/>
        <v>39.557</v>
      </c>
      <c r="K1105" s="59">
        <f t="shared" si="29"/>
        <v>0</v>
      </c>
      <c r="L1105" s="59">
        <f t="shared" si="30"/>
        <v>873.557</v>
      </c>
      <c r="M1105" s="59">
        <f t="shared" si="31"/>
        <v>0.02426817203</v>
      </c>
    </row>
    <row r="1106" ht="15.0" hidden="1" customHeight="1">
      <c r="A1106" s="59">
        <f t="shared" si="20"/>
        <v>15</v>
      </c>
      <c r="B1106" s="59" t="str">
        <f t="shared" si="21"/>
        <v>Đã chốt</v>
      </c>
      <c r="C1106" s="59" t="str">
        <f t="shared" si="22"/>
        <v>Téc 2</v>
      </c>
      <c r="D1106" s="45">
        <f t="shared" si="23"/>
        <v>46160</v>
      </c>
      <c r="E1106" s="45">
        <f t="shared" si="24"/>
        <v>46184</v>
      </c>
      <c r="F1106" s="59">
        <f t="shared" si="25"/>
        <v>6</v>
      </c>
      <c r="G1106" s="59">
        <f t="shared" si="26"/>
        <v>2026</v>
      </c>
      <c r="H1106" s="59" t="str">
        <f t="shared" si="27"/>
        <v>28H00354</v>
      </c>
      <c r="I1106" s="59">
        <f>IF(OR($A1106="",$C1106="",$D1106="",$E1106="",$H1106=""),"",SUMIFS(DATA_GOC!$H:$H,DATA_GOC!$A:$A,"BOM",DATA_GOC!$D:$D,$H1106,DATA_GOC!$E:$E,$C1106,DATA_GOC!$F:$F,"Xuất nội bộ từ téc",DATA_GOC!$B:$B,"&gt;="&amp;$D1106,DATA_GOC!$B:$B,"&lt;="&amp;$E1106))</f>
        <v>354</v>
      </c>
      <c r="J1106" s="59">
        <f t="shared" si="28"/>
        <v>16.79</v>
      </c>
      <c r="K1106" s="59">
        <f t="shared" si="29"/>
        <v>0</v>
      </c>
      <c r="L1106" s="59">
        <f t="shared" si="30"/>
        <v>370.79</v>
      </c>
      <c r="M1106" s="59">
        <f t="shared" si="31"/>
        <v>0.01030087878</v>
      </c>
    </row>
    <row r="1107" ht="15.0" hidden="1" customHeight="1">
      <c r="A1107" s="59">
        <f t="shared" si="20"/>
        <v>15</v>
      </c>
      <c r="B1107" s="59" t="str">
        <f t="shared" si="21"/>
        <v>Đã chốt</v>
      </c>
      <c r="C1107" s="59" t="str">
        <f t="shared" si="22"/>
        <v>Téc 2</v>
      </c>
      <c r="D1107" s="45">
        <f t="shared" si="23"/>
        <v>46160</v>
      </c>
      <c r="E1107" s="45">
        <f t="shared" si="24"/>
        <v>46184</v>
      </c>
      <c r="F1107" s="59">
        <f t="shared" si="25"/>
        <v>6</v>
      </c>
      <c r="G1107" s="59">
        <f t="shared" si="26"/>
        <v>2026</v>
      </c>
      <c r="H1107" s="59" t="str">
        <f t="shared" si="27"/>
        <v>28H00603</v>
      </c>
      <c r="I1107" s="59">
        <f>IF(OR($A1107="",$C1107="",$D1107="",$E1107="",$H1107=""),"",SUMIFS(DATA_GOC!$H:$H,DATA_GOC!$A:$A,"BOM",DATA_GOC!$D:$D,$H1107,DATA_GOC!$E:$E,$C1107,DATA_GOC!$F:$F,"Xuất nội bộ từ téc",DATA_GOC!$B:$B,"&gt;="&amp;$D1107,DATA_GOC!$B:$B,"&lt;="&amp;$E1107))</f>
        <v>640</v>
      </c>
      <c r="J1107" s="59">
        <f t="shared" si="28"/>
        <v>30.356</v>
      </c>
      <c r="K1107" s="59">
        <f t="shared" si="29"/>
        <v>0</v>
      </c>
      <c r="L1107" s="59">
        <f t="shared" si="30"/>
        <v>670.356</v>
      </c>
      <c r="M1107" s="59">
        <f t="shared" si="31"/>
        <v>0.01862305767</v>
      </c>
    </row>
    <row r="1108" ht="15.0" hidden="1" customHeight="1">
      <c r="A1108" s="59">
        <f t="shared" si="20"/>
        <v>15</v>
      </c>
      <c r="B1108" s="59" t="str">
        <f t="shared" si="21"/>
        <v>Đã chốt</v>
      </c>
      <c r="C1108" s="59" t="str">
        <f t="shared" si="22"/>
        <v>Téc 2</v>
      </c>
      <c r="D1108" s="45">
        <f t="shared" si="23"/>
        <v>46160</v>
      </c>
      <c r="E1108" s="45">
        <f t="shared" si="24"/>
        <v>46184</v>
      </c>
      <c r="F1108" s="59">
        <f t="shared" si="25"/>
        <v>6</v>
      </c>
      <c r="G1108" s="59">
        <f t="shared" si="26"/>
        <v>2026</v>
      </c>
      <c r="H1108" s="59" t="str">
        <f t="shared" si="27"/>
        <v>28H00609</v>
      </c>
      <c r="I1108" s="59">
        <f>IF(OR($A1108="",$C1108="",$D1108="",$E1108="",$H1108=""),"",SUMIFS(DATA_GOC!$H:$H,DATA_GOC!$A:$A,"BOM",DATA_GOC!$D:$D,$H1108,DATA_GOC!$E:$E,$C1108,DATA_GOC!$F:$F,"Xuất nội bộ từ téc",DATA_GOC!$B:$B,"&gt;="&amp;$D1108,DATA_GOC!$B:$B,"&lt;="&amp;$E1108))</f>
        <v>487</v>
      </c>
      <c r="J1108" s="59">
        <f t="shared" si="28"/>
        <v>23.099</v>
      </c>
      <c r="K1108" s="59">
        <f t="shared" si="29"/>
        <v>0</v>
      </c>
      <c r="L1108" s="59">
        <f t="shared" si="30"/>
        <v>510.099</v>
      </c>
      <c r="M1108" s="59">
        <f t="shared" si="31"/>
        <v>0.01417098295</v>
      </c>
    </row>
    <row r="1109" ht="15.0" hidden="1" customHeight="1">
      <c r="A1109" s="59">
        <f t="shared" si="20"/>
        <v>15</v>
      </c>
      <c r="B1109" s="59" t="str">
        <f t="shared" si="21"/>
        <v>Đã chốt</v>
      </c>
      <c r="C1109" s="59" t="str">
        <f t="shared" si="22"/>
        <v>Téc 2</v>
      </c>
      <c r="D1109" s="45">
        <f t="shared" si="23"/>
        <v>46160</v>
      </c>
      <c r="E1109" s="45">
        <f t="shared" si="24"/>
        <v>46184</v>
      </c>
      <c r="F1109" s="59">
        <f t="shared" si="25"/>
        <v>6</v>
      </c>
      <c r="G1109" s="59">
        <f t="shared" si="26"/>
        <v>2026</v>
      </c>
      <c r="H1109" s="59" t="str">
        <f t="shared" si="27"/>
        <v>28H00669</v>
      </c>
      <c r="I1109" s="59">
        <f>IF(OR($A1109="",$C1109="",$D1109="",$E1109="",$H1109=""),"",SUMIFS(DATA_GOC!$H:$H,DATA_GOC!$A:$A,"BOM",DATA_GOC!$D:$D,$H1109,DATA_GOC!$E:$E,$C1109,DATA_GOC!$F:$F,"Xuất nội bộ từ téc",DATA_GOC!$B:$B,"&gt;="&amp;$D1109,DATA_GOC!$B:$B,"&lt;="&amp;$E1109))</f>
        <v>1069</v>
      </c>
      <c r="J1109" s="59">
        <f t="shared" si="28"/>
        <v>50.703</v>
      </c>
      <c r="K1109" s="59">
        <f t="shared" si="29"/>
        <v>0</v>
      </c>
      <c r="L1109" s="59">
        <f t="shared" si="30"/>
        <v>1119.703</v>
      </c>
      <c r="M1109" s="59">
        <f t="shared" si="31"/>
        <v>0.03110632602</v>
      </c>
    </row>
    <row r="1110" ht="15.0" hidden="1" customHeight="1">
      <c r="A1110" s="59">
        <f t="shared" si="20"/>
        <v>15</v>
      </c>
      <c r="B1110" s="59" t="str">
        <f t="shared" si="21"/>
        <v>Đã chốt</v>
      </c>
      <c r="C1110" s="59" t="str">
        <f t="shared" si="22"/>
        <v>Téc 2</v>
      </c>
      <c r="D1110" s="45">
        <f t="shared" si="23"/>
        <v>46160</v>
      </c>
      <c r="E1110" s="45">
        <f t="shared" si="24"/>
        <v>46184</v>
      </c>
      <c r="F1110" s="59">
        <f t="shared" si="25"/>
        <v>6</v>
      </c>
      <c r="G1110" s="59">
        <f t="shared" si="26"/>
        <v>2026</v>
      </c>
      <c r="H1110" s="59" t="str">
        <f t="shared" si="27"/>
        <v>28H00680</v>
      </c>
      <c r="I1110" s="59">
        <f>IF(OR($A1110="",$C1110="",$D1110="",$E1110="",$H1110=""),"",SUMIFS(DATA_GOC!$H:$H,DATA_GOC!$A:$A,"BOM",DATA_GOC!$D:$D,$H1110,DATA_GOC!$E:$E,$C1110,DATA_GOC!$F:$F,"Xuất nội bộ từ téc",DATA_GOC!$B:$B,"&gt;="&amp;$D1110,DATA_GOC!$B:$B,"&lt;="&amp;$E1110))</f>
        <v>1985</v>
      </c>
      <c r="J1110" s="59">
        <f t="shared" si="28"/>
        <v>94.15</v>
      </c>
      <c r="K1110" s="59">
        <f t="shared" si="29"/>
        <v>0</v>
      </c>
      <c r="L1110" s="59">
        <f t="shared" si="30"/>
        <v>2079.15</v>
      </c>
      <c r="M1110" s="59">
        <f t="shared" si="31"/>
        <v>0.05776057731</v>
      </c>
    </row>
    <row r="1111" ht="15.0" hidden="1" customHeight="1">
      <c r="A1111" s="59">
        <f t="shared" si="20"/>
        <v>15</v>
      </c>
      <c r="B1111" s="59" t="str">
        <f t="shared" si="21"/>
        <v>Đã chốt</v>
      </c>
      <c r="C1111" s="59" t="str">
        <f t="shared" si="22"/>
        <v>Téc 2</v>
      </c>
      <c r="D1111" s="45">
        <f t="shared" si="23"/>
        <v>46160</v>
      </c>
      <c r="E1111" s="45">
        <f t="shared" si="24"/>
        <v>46184</v>
      </c>
      <c r="F1111" s="59">
        <f t="shared" si="25"/>
        <v>6</v>
      </c>
      <c r="G1111" s="59">
        <f t="shared" si="26"/>
        <v>2026</v>
      </c>
      <c r="H1111" s="59" t="str">
        <f t="shared" si="27"/>
        <v>28H01070</v>
      </c>
      <c r="I1111" s="59">
        <f>IF(OR($A1111="",$C1111="",$D1111="",$E1111="",$H1111=""),"",SUMIFS(DATA_GOC!$H:$H,DATA_GOC!$A:$A,"BOM",DATA_GOC!$D:$D,$H1111,DATA_GOC!$E:$E,$C1111,DATA_GOC!$F:$F,"Xuất nội bộ từ téc",DATA_GOC!$B:$B,"&gt;="&amp;$D1111,DATA_GOC!$B:$B,"&lt;="&amp;$E1111))</f>
        <v>990</v>
      </c>
      <c r="J1111" s="59">
        <f t="shared" si="28"/>
        <v>46.956</v>
      </c>
      <c r="K1111" s="59">
        <f t="shared" si="29"/>
        <v>0</v>
      </c>
      <c r="L1111" s="59">
        <f t="shared" si="30"/>
        <v>1036.956</v>
      </c>
      <c r="M1111" s="59">
        <f t="shared" si="31"/>
        <v>0.02880754234</v>
      </c>
    </row>
    <row r="1112" ht="15.0" hidden="1" customHeight="1">
      <c r="A1112" s="59">
        <f t="shared" si="20"/>
        <v>15</v>
      </c>
      <c r="B1112" s="59" t="str">
        <f t="shared" si="21"/>
        <v>Đã chốt</v>
      </c>
      <c r="C1112" s="59" t="str">
        <f t="shared" si="22"/>
        <v>Téc 2</v>
      </c>
      <c r="D1112" s="45">
        <f t="shared" si="23"/>
        <v>46160</v>
      </c>
      <c r="E1112" s="45">
        <f t="shared" si="24"/>
        <v>46184</v>
      </c>
      <c r="F1112" s="59">
        <f t="shared" si="25"/>
        <v>6</v>
      </c>
      <c r="G1112" s="59">
        <f t="shared" si="26"/>
        <v>2026</v>
      </c>
      <c r="H1112" s="59" t="str">
        <f t="shared" si="27"/>
        <v>28H01364</v>
      </c>
      <c r="I1112" s="59">
        <f>IF(OR($A1112="",$C1112="",$D1112="",$E1112="",$H1112=""),"",SUMIFS(DATA_GOC!$H:$H,DATA_GOC!$A:$A,"BOM",DATA_GOC!$D:$D,$H1112,DATA_GOC!$E:$E,$C1112,DATA_GOC!$F:$F,"Xuất nội bộ từ téc",DATA_GOC!$B:$B,"&gt;="&amp;$D1112,DATA_GOC!$B:$B,"&lt;="&amp;$E1112))</f>
        <v>980</v>
      </c>
      <c r="J1112" s="59">
        <f t="shared" si="28"/>
        <v>46.482</v>
      </c>
      <c r="K1112" s="59">
        <f t="shared" si="29"/>
        <v>0</v>
      </c>
      <c r="L1112" s="59">
        <f t="shared" si="30"/>
        <v>1026.482</v>
      </c>
      <c r="M1112" s="59">
        <f t="shared" si="31"/>
        <v>0.02851655706</v>
      </c>
    </row>
    <row r="1113" ht="15.0" hidden="1" customHeight="1">
      <c r="A1113" s="59">
        <f t="shared" si="20"/>
        <v>15</v>
      </c>
      <c r="B1113" s="59" t="str">
        <f t="shared" si="21"/>
        <v>Đã chốt</v>
      </c>
      <c r="C1113" s="59" t="str">
        <f t="shared" si="22"/>
        <v>Téc 2</v>
      </c>
      <c r="D1113" s="45">
        <f t="shared" si="23"/>
        <v>46160</v>
      </c>
      <c r="E1113" s="45">
        <f t="shared" si="24"/>
        <v>46184</v>
      </c>
      <c r="F1113" s="59">
        <f t="shared" si="25"/>
        <v>6</v>
      </c>
      <c r="G1113" s="59">
        <f t="shared" si="26"/>
        <v>2026</v>
      </c>
      <c r="H1113" s="59" t="str">
        <f t="shared" si="27"/>
        <v>29E17269</v>
      </c>
      <c r="I1113" s="59">
        <f>IF(OR($A1113="",$C1113="",$D1113="",$E1113="",$H1113=""),"",SUMIFS(DATA_GOC!$H:$H,DATA_GOC!$A:$A,"BOM",DATA_GOC!$D:$D,$H1113,DATA_GOC!$E:$E,$C1113,DATA_GOC!$F:$F,"Xuất nội bộ từ téc",DATA_GOC!$B:$B,"&gt;="&amp;$D1113,DATA_GOC!$B:$B,"&lt;="&amp;$E1113))</f>
        <v>714</v>
      </c>
      <c r="J1113" s="59">
        <f t="shared" si="28"/>
        <v>33.865</v>
      </c>
      <c r="K1113" s="59">
        <f t="shared" si="29"/>
        <v>0</v>
      </c>
      <c r="L1113" s="59">
        <f t="shared" si="30"/>
        <v>747.865</v>
      </c>
      <c r="M1113" s="59">
        <f t="shared" si="31"/>
        <v>0.02077634872</v>
      </c>
    </row>
    <row r="1114" ht="15.0" hidden="1" customHeight="1">
      <c r="A1114" s="59">
        <f t="shared" si="20"/>
        <v>15</v>
      </c>
      <c r="B1114" s="59" t="str">
        <f t="shared" si="21"/>
        <v>Đã chốt</v>
      </c>
      <c r="C1114" s="59" t="str">
        <f t="shared" si="22"/>
        <v>Téc 2</v>
      </c>
      <c r="D1114" s="45">
        <f t="shared" si="23"/>
        <v>46160</v>
      </c>
      <c r="E1114" s="45">
        <f t="shared" si="24"/>
        <v>46184</v>
      </c>
      <c r="F1114" s="59">
        <f t="shared" si="25"/>
        <v>6</v>
      </c>
      <c r="G1114" s="59">
        <f t="shared" si="26"/>
        <v>2026</v>
      </c>
      <c r="H1114" s="59" t="str">
        <f t="shared" si="27"/>
        <v>29E17273</v>
      </c>
      <c r="I1114" s="59">
        <f>IF(OR($A1114="",$C1114="",$D1114="",$E1114="",$H1114=""),"",SUMIFS(DATA_GOC!$H:$H,DATA_GOC!$A:$A,"BOM",DATA_GOC!$D:$D,$H1114,DATA_GOC!$E:$E,$C1114,DATA_GOC!$F:$F,"Xuất nội bộ từ téc",DATA_GOC!$B:$B,"&gt;="&amp;$D1114,DATA_GOC!$B:$B,"&lt;="&amp;$E1114))</f>
        <v>668</v>
      </c>
      <c r="J1114" s="59">
        <f t="shared" si="28"/>
        <v>31.684</v>
      </c>
      <c r="K1114" s="59">
        <f t="shared" si="29"/>
        <v>0</v>
      </c>
      <c r="L1114" s="59">
        <f t="shared" si="30"/>
        <v>699.684</v>
      </c>
      <c r="M1114" s="59">
        <f t="shared" si="31"/>
        <v>0.01943781645</v>
      </c>
    </row>
    <row r="1115" ht="15.0" hidden="1" customHeight="1">
      <c r="A1115" s="59">
        <f t="shared" si="20"/>
        <v>15</v>
      </c>
      <c r="B1115" s="59" t="str">
        <f t="shared" si="21"/>
        <v>Đã chốt</v>
      </c>
      <c r="C1115" s="59" t="str">
        <f t="shared" si="22"/>
        <v>Téc 2</v>
      </c>
      <c r="D1115" s="45">
        <f t="shared" si="23"/>
        <v>46160</v>
      </c>
      <c r="E1115" s="45">
        <f t="shared" si="24"/>
        <v>46184</v>
      </c>
      <c r="F1115" s="59">
        <f t="shared" si="25"/>
        <v>6</v>
      </c>
      <c r="G1115" s="59">
        <f t="shared" si="26"/>
        <v>2026</v>
      </c>
      <c r="H1115" s="59" t="str">
        <f t="shared" si="27"/>
        <v>29E17410</v>
      </c>
      <c r="I1115" s="59">
        <f>IF(OR($A1115="",$C1115="",$D1115="",$E1115="",$H1115=""),"",SUMIFS(DATA_GOC!$H:$H,DATA_GOC!$A:$A,"BOM",DATA_GOC!$D:$D,$H1115,DATA_GOC!$E:$E,$C1115,DATA_GOC!$F:$F,"Xuất nội bộ từ téc",DATA_GOC!$B:$B,"&gt;="&amp;$D1115,DATA_GOC!$B:$B,"&lt;="&amp;$E1115))</f>
        <v>580</v>
      </c>
      <c r="J1115" s="59">
        <f t="shared" si="28"/>
        <v>27.51</v>
      </c>
      <c r="K1115" s="59">
        <f t="shared" si="29"/>
        <v>0</v>
      </c>
      <c r="L1115" s="59">
        <f t="shared" si="30"/>
        <v>607.51</v>
      </c>
      <c r="M1115" s="59">
        <f t="shared" si="31"/>
        <v>0.01687714602</v>
      </c>
    </row>
    <row r="1116" ht="15.0" hidden="1" customHeight="1">
      <c r="A1116" s="59">
        <f t="shared" si="20"/>
        <v>15</v>
      </c>
      <c r="B1116" s="59" t="str">
        <f t="shared" si="21"/>
        <v>Đã chốt</v>
      </c>
      <c r="C1116" s="59" t="str">
        <f t="shared" si="22"/>
        <v>Téc 2</v>
      </c>
      <c r="D1116" s="45">
        <f t="shared" si="23"/>
        <v>46160</v>
      </c>
      <c r="E1116" s="45">
        <f t="shared" si="24"/>
        <v>46184</v>
      </c>
      <c r="F1116" s="59">
        <f t="shared" si="25"/>
        <v>6</v>
      </c>
      <c r="G1116" s="59">
        <f t="shared" si="26"/>
        <v>2026</v>
      </c>
      <c r="H1116" s="59" t="str">
        <f t="shared" si="27"/>
        <v>29E17417</v>
      </c>
      <c r="I1116" s="59">
        <f>IF(OR($A1116="",$C1116="",$D1116="",$E1116="",$H1116=""),"",SUMIFS(DATA_GOC!$H:$H,DATA_GOC!$A:$A,"BOM",DATA_GOC!$D:$D,$H1116,DATA_GOC!$E:$E,$C1116,DATA_GOC!$F:$F,"Xuất nội bộ từ téc",DATA_GOC!$B:$B,"&gt;="&amp;$D1116,DATA_GOC!$B:$B,"&lt;="&amp;$E1116))</f>
        <v>666</v>
      </c>
      <c r="J1116" s="59">
        <f t="shared" si="28"/>
        <v>31.589</v>
      </c>
      <c r="K1116" s="59">
        <f t="shared" si="29"/>
        <v>0</v>
      </c>
      <c r="L1116" s="59">
        <f t="shared" si="30"/>
        <v>697.589</v>
      </c>
      <c r="M1116" s="59">
        <f t="shared" si="31"/>
        <v>0.01937961939</v>
      </c>
    </row>
    <row r="1117" ht="15.0" hidden="1" customHeight="1">
      <c r="A1117" s="59">
        <f t="shared" si="20"/>
        <v>15</v>
      </c>
      <c r="B1117" s="59" t="str">
        <f t="shared" si="21"/>
        <v>Đã chốt</v>
      </c>
      <c r="C1117" s="59" t="str">
        <f t="shared" si="22"/>
        <v>Téc 2</v>
      </c>
      <c r="D1117" s="45">
        <f t="shared" si="23"/>
        <v>46160</v>
      </c>
      <c r="E1117" s="45">
        <f t="shared" si="24"/>
        <v>46184</v>
      </c>
      <c r="F1117" s="59">
        <f t="shared" si="25"/>
        <v>6</v>
      </c>
      <c r="G1117" s="59">
        <f t="shared" si="26"/>
        <v>2026</v>
      </c>
      <c r="H1117" s="59" t="str">
        <f t="shared" si="27"/>
        <v>29E17539</v>
      </c>
      <c r="I1117" s="59">
        <f>IF(OR($A1117="",$C1117="",$D1117="",$E1117="",$H1117=""),"",SUMIFS(DATA_GOC!$H:$H,DATA_GOC!$A:$A,"BOM",DATA_GOC!$D:$D,$H1117,DATA_GOC!$E:$E,$C1117,DATA_GOC!$F:$F,"Xuất nội bộ từ téc",DATA_GOC!$B:$B,"&gt;="&amp;$D1117,DATA_GOC!$B:$B,"&lt;="&amp;$E1117))</f>
        <v>439</v>
      </c>
      <c r="J1117" s="59">
        <f t="shared" si="28"/>
        <v>20.822</v>
      </c>
      <c r="K1117" s="59">
        <f t="shared" si="29"/>
        <v>0</v>
      </c>
      <c r="L1117" s="59">
        <f t="shared" si="30"/>
        <v>459.822</v>
      </c>
      <c r="M1117" s="59">
        <f t="shared" si="31"/>
        <v>0.01277425362</v>
      </c>
    </row>
    <row r="1118" ht="15.0" hidden="1" customHeight="1">
      <c r="A1118" s="59">
        <f t="shared" si="20"/>
        <v>15</v>
      </c>
      <c r="B1118" s="59" t="str">
        <f t="shared" si="21"/>
        <v>Đã chốt</v>
      </c>
      <c r="C1118" s="59" t="str">
        <f t="shared" si="22"/>
        <v>Téc 2</v>
      </c>
      <c r="D1118" s="45">
        <f t="shared" si="23"/>
        <v>46160</v>
      </c>
      <c r="E1118" s="45">
        <f t="shared" si="24"/>
        <v>46184</v>
      </c>
      <c r="F1118" s="59">
        <f t="shared" si="25"/>
        <v>6</v>
      </c>
      <c r="G1118" s="59">
        <f t="shared" si="26"/>
        <v>2026</v>
      </c>
      <c r="H1118" s="59" t="str">
        <f t="shared" si="27"/>
        <v>29E18160</v>
      </c>
      <c r="I1118" s="59">
        <f>IF(OR($A1118="",$C1118="",$D1118="",$E1118="",$H1118=""),"",SUMIFS(DATA_GOC!$H:$H,DATA_GOC!$A:$A,"BOM",DATA_GOC!$D:$D,$H1118,DATA_GOC!$E:$E,$C1118,DATA_GOC!$F:$F,"Xuất nội bộ từ téc",DATA_GOC!$B:$B,"&gt;="&amp;$D1118,DATA_GOC!$B:$B,"&lt;="&amp;$E1118))</f>
        <v>715</v>
      </c>
      <c r="J1118" s="59">
        <f t="shared" si="28"/>
        <v>33.913</v>
      </c>
      <c r="K1118" s="59">
        <f t="shared" si="29"/>
        <v>0</v>
      </c>
      <c r="L1118" s="59">
        <f t="shared" si="30"/>
        <v>748.913</v>
      </c>
      <c r="M1118" s="59">
        <f t="shared" si="31"/>
        <v>0.02080544724</v>
      </c>
    </row>
    <row r="1119" ht="15.0" hidden="1" customHeight="1">
      <c r="A1119" s="59">
        <f t="shared" si="20"/>
        <v>15</v>
      </c>
      <c r="B1119" s="59" t="str">
        <f t="shared" si="21"/>
        <v>Đã chốt</v>
      </c>
      <c r="C1119" s="59" t="str">
        <f t="shared" si="22"/>
        <v>Téc 2</v>
      </c>
      <c r="D1119" s="45">
        <f t="shared" si="23"/>
        <v>46160</v>
      </c>
      <c r="E1119" s="45">
        <f t="shared" si="24"/>
        <v>46184</v>
      </c>
      <c r="F1119" s="59">
        <f t="shared" si="25"/>
        <v>6</v>
      </c>
      <c r="G1119" s="59">
        <f t="shared" si="26"/>
        <v>2026</v>
      </c>
      <c r="H1119" s="59" t="str">
        <f t="shared" si="27"/>
        <v>Công trình Asphalt</v>
      </c>
      <c r="I1119" s="59">
        <f>IF(OR($A1119="",$C1119="",$D1119="",$E1119="",$H1119=""),"",SUMIFS(DATA_GOC!$H:$H,DATA_GOC!$A:$A,"BOM",DATA_GOC!$D:$D,$H1119,DATA_GOC!$E:$E,$C1119,DATA_GOC!$F:$F,"Xuất nội bộ từ téc",DATA_GOC!$B:$B,"&gt;="&amp;$D1119,DATA_GOC!$B:$B,"&lt;="&amp;$E1119))</f>
        <v>1507</v>
      </c>
      <c r="J1119" s="59">
        <f t="shared" si="28"/>
        <v>71.478</v>
      </c>
      <c r="K1119" s="59">
        <f t="shared" si="29"/>
        <v>0</v>
      </c>
      <c r="L1119" s="59">
        <f t="shared" si="30"/>
        <v>1578.478</v>
      </c>
      <c r="M1119" s="59">
        <f t="shared" si="31"/>
        <v>0.04385148112</v>
      </c>
    </row>
    <row r="1120" ht="15.0" hidden="1" customHeight="1">
      <c r="A1120" s="59">
        <f t="shared" si="20"/>
        <v>15</v>
      </c>
      <c r="B1120" s="59" t="str">
        <f t="shared" si="21"/>
        <v>Đã chốt</v>
      </c>
      <c r="C1120" s="59" t="str">
        <f t="shared" si="22"/>
        <v>Téc 2</v>
      </c>
      <c r="D1120" s="45">
        <f t="shared" si="23"/>
        <v>46160</v>
      </c>
      <c r="E1120" s="45">
        <f t="shared" si="24"/>
        <v>46184</v>
      </c>
      <c r="F1120" s="59">
        <f t="shared" si="25"/>
        <v>6</v>
      </c>
      <c r="G1120" s="59">
        <f t="shared" si="26"/>
        <v>2026</v>
      </c>
      <c r="H1120" s="59" t="str">
        <f t="shared" si="27"/>
        <v>LG53F</v>
      </c>
      <c r="I1120" s="59">
        <f>IF(OR($A1120="",$C1120="",$D1120="",$E1120="",$H1120=""),"",SUMIFS(DATA_GOC!$H:$H,DATA_GOC!$A:$A,"BOM",DATA_GOC!$D:$D,$H1120,DATA_GOC!$E:$E,$C1120,DATA_GOC!$F:$F,"Xuất nội bộ từ téc",DATA_GOC!$B:$B,"&gt;="&amp;$D1120,DATA_GOC!$B:$B,"&lt;="&amp;$E1120))</f>
        <v>0</v>
      </c>
      <c r="J1120" s="59">
        <f t="shared" si="28"/>
        <v>0</v>
      </c>
      <c r="K1120" s="59">
        <f t="shared" si="29"/>
        <v>0</v>
      </c>
      <c r="L1120" s="59">
        <f t="shared" si="30"/>
        <v>0</v>
      </c>
      <c r="M1120" s="59">
        <f t="shared" si="31"/>
        <v>0</v>
      </c>
    </row>
    <row r="1121" ht="15.0" hidden="1" customHeight="1">
      <c r="A1121" s="59">
        <f t="shared" si="20"/>
        <v>15</v>
      </c>
      <c r="B1121" s="59" t="str">
        <f t="shared" si="21"/>
        <v>Đã chốt</v>
      </c>
      <c r="C1121" s="59" t="str">
        <f t="shared" si="22"/>
        <v>Téc 2</v>
      </c>
      <c r="D1121" s="45">
        <f t="shared" si="23"/>
        <v>46160</v>
      </c>
      <c r="E1121" s="45">
        <f t="shared" si="24"/>
        <v>46184</v>
      </c>
      <c r="F1121" s="59">
        <f t="shared" si="25"/>
        <v>6</v>
      </c>
      <c r="G1121" s="59">
        <f t="shared" si="26"/>
        <v>2026</v>
      </c>
      <c r="H1121" s="59" t="str">
        <f t="shared" si="27"/>
        <v>Máy phát điện</v>
      </c>
      <c r="I1121" s="59">
        <f>IF(OR($A1121="",$C1121="",$D1121="",$E1121="",$H1121=""),"",SUMIFS(DATA_GOC!$H:$H,DATA_GOC!$A:$A,"BOM",DATA_GOC!$D:$D,$H1121,DATA_GOC!$E:$E,$C1121,DATA_GOC!$F:$F,"Xuất nội bộ từ téc",DATA_GOC!$B:$B,"&gt;="&amp;$D1121,DATA_GOC!$B:$B,"&lt;="&amp;$E1121))</f>
        <v>0</v>
      </c>
      <c r="J1121" s="59">
        <f t="shared" si="28"/>
        <v>0</v>
      </c>
      <c r="K1121" s="59">
        <f t="shared" si="29"/>
        <v>0</v>
      </c>
      <c r="L1121" s="59">
        <f t="shared" si="30"/>
        <v>0</v>
      </c>
      <c r="M1121" s="59">
        <f t="shared" si="31"/>
        <v>0</v>
      </c>
    </row>
    <row r="1122" ht="15.0" hidden="1" customHeight="1">
      <c r="A1122" s="59">
        <f t="shared" si="20"/>
        <v>15</v>
      </c>
      <c r="B1122" s="59" t="str">
        <f t="shared" si="21"/>
        <v>Đã chốt</v>
      </c>
      <c r="C1122" s="59" t="str">
        <f t="shared" si="22"/>
        <v>Téc 2</v>
      </c>
      <c r="D1122" s="45">
        <f t="shared" si="23"/>
        <v>46160</v>
      </c>
      <c r="E1122" s="45">
        <f t="shared" si="24"/>
        <v>46184</v>
      </c>
      <c r="F1122" s="59">
        <f t="shared" si="25"/>
        <v>6</v>
      </c>
      <c r="G1122" s="59">
        <f t="shared" si="26"/>
        <v>2026</v>
      </c>
      <c r="H1122" s="59" t="str">
        <f t="shared" si="27"/>
        <v>Máy rải thảm</v>
      </c>
      <c r="I1122" s="59">
        <f>IF(OR($A1122="",$C1122="",$D1122="",$E1122="",$H1122=""),"",SUMIFS(DATA_GOC!$H:$H,DATA_GOC!$A:$A,"BOM",DATA_GOC!$D:$D,$H1122,DATA_GOC!$E:$E,$C1122,DATA_GOC!$F:$F,"Xuất nội bộ từ téc",DATA_GOC!$B:$B,"&gt;="&amp;$D1122,DATA_GOC!$B:$B,"&lt;="&amp;$E1122))</f>
        <v>0</v>
      </c>
      <c r="J1122" s="59">
        <f t="shared" si="28"/>
        <v>0</v>
      </c>
      <c r="K1122" s="59">
        <f t="shared" si="29"/>
        <v>0</v>
      </c>
      <c r="L1122" s="59">
        <f t="shared" si="30"/>
        <v>0</v>
      </c>
      <c r="M1122" s="59">
        <f t="shared" si="31"/>
        <v>0</v>
      </c>
    </row>
    <row r="1123" ht="15.0" hidden="1" customHeight="1">
      <c r="A1123" s="59">
        <f t="shared" si="20"/>
        <v>15</v>
      </c>
      <c r="B1123" s="59" t="str">
        <f t="shared" si="21"/>
        <v>Đã chốt</v>
      </c>
      <c r="C1123" s="59" t="str">
        <f t="shared" si="22"/>
        <v>Téc 2</v>
      </c>
      <c r="D1123" s="45">
        <f t="shared" si="23"/>
        <v>46160</v>
      </c>
      <c r="E1123" s="45">
        <f t="shared" si="24"/>
        <v>46184</v>
      </c>
      <c r="F1123" s="59">
        <f t="shared" si="25"/>
        <v>6</v>
      </c>
      <c r="G1123" s="59">
        <f t="shared" si="26"/>
        <v>2026</v>
      </c>
      <c r="H1123" s="59" t="str">
        <f t="shared" si="27"/>
        <v>Xúc Đào</v>
      </c>
      <c r="I1123" s="59">
        <f>IF(OR($A1123="",$C1123="",$D1123="",$E1123="",$H1123=""),"",SUMIFS(DATA_GOC!$H:$H,DATA_GOC!$A:$A,"BOM",DATA_GOC!$D:$D,$H1123,DATA_GOC!$E:$E,$C1123,DATA_GOC!$F:$F,"Xuất nội bộ từ téc",DATA_GOC!$B:$B,"&gt;="&amp;$D1123,DATA_GOC!$B:$B,"&lt;="&amp;$E1123))</f>
        <v>212</v>
      </c>
      <c r="J1123" s="59">
        <f t="shared" si="28"/>
        <v>10.055</v>
      </c>
      <c r="K1123" s="59">
        <f t="shared" si="29"/>
        <v>0</v>
      </c>
      <c r="L1123" s="59">
        <f t="shared" si="30"/>
        <v>222.055</v>
      </c>
      <c r="M1123" s="59">
        <f t="shared" si="31"/>
        <v>0.006168887854</v>
      </c>
    </row>
    <row r="1124" ht="15.0" hidden="1" customHeight="1">
      <c r="A1124" s="59">
        <f t="shared" si="20"/>
        <v>15</v>
      </c>
      <c r="B1124" s="59" t="str">
        <f t="shared" si="21"/>
        <v>Đã chốt</v>
      </c>
      <c r="C1124" s="59" t="str">
        <f t="shared" si="22"/>
        <v>Téc 2</v>
      </c>
      <c r="D1124" s="45">
        <f t="shared" si="23"/>
        <v>46160</v>
      </c>
      <c r="E1124" s="45">
        <f t="shared" si="24"/>
        <v>46184</v>
      </c>
      <c r="F1124" s="59">
        <f t="shared" si="25"/>
        <v>6</v>
      </c>
      <c r="G1124" s="59">
        <f t="shared" si="26"/>
        <v>2026</v>
      </c>
      <c r="H1124" s="59" t="str">
        <f t="shared" si="27"/>
        <v>Xúclật asphalt</v>
      </c>
      <c r="I1124" s="59">
        <f>IF(OR($A1124="",$C1124="",$D1124="",$E1124="",$H1124=""),"",SUMIFS(DATA_GOC!$H:$H,DATA_GOC!$A:$A,"BOM",DATA_GOC!$D:$D,$H1124,DATA_GOC!$E:$E,$C1124,DATA_GOC!$F:$F,"Xuất nội bộ từ téc",DATA_GOC!$B:$B,"&gt;="&amp;$D1124,DATA_GOC!$B:$B,"&lt;="&amp;$E1124))</f>
        <v>993</v>
      </c>
      <c r="J1124" s="59">
        <f t="shared" si="28"/>
        <v>47.099</v>
      </c>
      <c r="K1124" s="59">
        <f t="shared" si="29"/>
        <v>0</v>
      </c>
      <c r="L1124" s="59">
        <f t="shared" si="30"/>
        <v>1040.099</v>
      </c>
      <c r="M1124" s="59">
        <f t="shared" si="31"/>
        <v>0.02889483792</v>
      </c>
    </row>
    <row r="1125" ht="15.0" hidden="1" customHeight="1">
      <c r="A1125" s="59">
        <f t="shared" si="20"/>
        <v>15</v>
      </c>
      <c r="B1125" s="59" t="str">
        <f t="shared" si="21"/>
        <v>Đã chốt</v>
      </c>
      <c r="C1125" s="59" t="str">
        <f t="shared" si="22"/>
        <v>Téc 2</v>
      </c>
      <c r="D1125" s="45">
        <f t="shared" si="23"/>
        <v>46160</v>
      </c>
      <c r="E1125" s="45">
        <f t="shared" si="24"/>
        <v>46184</v>
      </c>
      <c r="F1125" s="59">
        <f t="shared" si="25"/>
        <v>6</v>
      </c>
      <c r="G1125" s="59">
        <f t="shared" si="26"/>
        <v>2026</v>
      </c>
      <c r="H1125" s="59" t="str">
        <f t="shared" si="27"/>
        <v>Xúclật855H</v>
      </c>
      <c r="I1125" s="59">
        <f>IF(OR($A1125="",$C1125="",$D1125="",$E1125="",$H1125=""),"",SUMIFS(DATA_GOC!$H:$H,DATA_GOC!$A:$A,"BOM",DATA_GOC!$D:$D,$H1125,DATA_GOC!$E:$E,$C1125,DATA_GOC!$F:$F,"Xuất nội bộ từ téc",DATA_GOC!$B:$B,"&gt;="&amp;$D1125,DATA_GOC!$B:$B,"&lt;="&amp;$E1125))</f>
        <v>659</v>
      </c>
      <c r="J1125" s="59">
        <f t="shared" si="28"/>
        <v>31.257</v>
      </c>
      <c r="K1125" s="59">
        <f t="shared" si="29"/>
        <v>0</v>
      </c>
      <c r="L1125" s="59">
        <f t="shared" si="30"/>
        <v>690.257</v>
      </c>
      <c r="M1125" s="59">
        <f t="shared" si="31"/>
        <v>0.0191759297</v>
      </c>
    </row>
    <row r="1126" ht="15.0" hidden="1" customHeight="1">
      <c r="A1126" s="59">
        <f t="shared" si="20"/>
        <v>15</v>
      </c>
      <c r="B1126" s="59" t="str">
        <f t="shared" si="21"/>
        <v>Đã chốt</v>
      </c>
      <c r="C1126" s="59" t="str">
        <f t="shared" si="22"/>
        <v>Téc 2</v>
      </c>
      <c r="D1126" s="45">
        <f t="shared" si="23"/>
        <v>46160</v>
      </c>
      <c r="E1126" s="45">
        <f t="shared" si="24"/>
        <v>46184</v>
      </c>
      <c r="F1126" s="59">
        <f t="shared" si="25"/>
        <v>6</v>
      </c>
      <c r="G1126" s="59">
        <f t="shared" si="26"/>
        <v>2026</v>
      </c>
      <c r="H1126" s="59" t="str">
        <f t="shared" si="27"/>
        <v>Xúclật855N</v>
      </c>
      <c r="I1126" s="59">
        <f>IF(OR($A1126="",$C1126="",$D1126="",$E1126="",$H1126=""),"",SUMIFS(DATA_GOC!$H:$H,DATA_GOC!$A:$A,"BOM",DATA_GOC!$D:$D,$H1126,DATA_GOC!$E:$E,$C1126,DATA_GOC!$F:$F,"Xuất nội bộ từ téc",DATA_GOC!$B:$B,"&gt;="&amp;$D1126,DATA_GOC!$B:$B,"&lt;="&amp;$E1126))</f>
        <v>591</v>
      </c>
      <c r="J1126" s="59">
        <f t="shared" si="28"/>
        <v>28.031</v>
      </c>
      <c r="K1126" s="59">
        <f t="shared" si="29"/>
        <v>0</v>
      </c>
      <c r="L1126" s="59">
        <f t="shared" si="30"/>
        <v>619.031</v>
      </c>
      <c r="M1126" s="59">
        <f t="shared" si="31"/>
        <v>0.01719722982</v>
      </c>
    </row>
    <row r="1127" ht="15.0" hidden="1" customHeight="1">
      <c r="A1127" s="59">
        <f t="shared" si="20"/>
        <v>15</v>
      </c>
      <c r="B1127" s="59" t="str">
        <f t="shared" si="21"/>
        <v>Đã chốt</v>
      </c>
      <c r="C1127" s="59" t="str">
        <f t="shared" si="22"/>
        <v>Téc 2</v>
      </c>
      <c r="D1127" s="45">
        <f t="shared" si="23"/>
        <v>46160</v>
      </c>
      <c r="E1127" s="45">
        <f t="shared" si="24"/>
        <v>46184</v>
      </c>
      <c r="F1127" s="59">
        <f t="shared" si="25"/>
        <v>6</v>
      </c>
      <c r="G1127" s="59">
        <f t="shared" si="26"/>
        <v>2026</v>
      </c>
      <c r="H1127" s="59" t="str">
        <f t="shared" si="27"/>
        <v>Cát nghiền</v>
      </c>
      <c r="I1127" s="59">
        <f>IF(OR($A1127="",$C1127="",$D1127="",$E1127="",$H1127=""),"",SUMIFS(DATA_GOC!$H:$H,DATA_GOC!$A:$A,"BOM",DATA_GOC!$D:$D,$H1127,DATA_GOC!$E:$E,$C1127,DATA_GOC!$F:$F,"Xuất nội bộ từ téc",DATA_GOC!$B:$B,"&gt;="&amp;$D1127,DATA_GOC!$B:$B,"&lt;="&amp;$E1127))</f>
        <v>0</v>
      </c>
      <c r="J1127" s="59">
        <f t="shared" si="28"/>
        <v>0</v>
      </c>
      <c r="K1127" s="59">
        <f t="shared" si="29"/>
        <v>0</v>
      </c>
      <c r="L1127" s="59">
        <f t="shared" si="30"/>
        <v>0</v>
      </c>
      <c r="M1127" s="59">
        <f t="shared" si="31"/>
        <v>0</v>
      </c>
    </row>
    <row r="1128" ht="15.0" hidden="1" customHeight="1">
      <c r="A1128" s="59">
        <f t="shared" si="20"/>
        <v>15</v>
      </c>
      <c r="B1128" s="59" t="str">
        <f t="shared" si="21"/>
        <v>Đã chốt</v>
      </c>
      <c r="C1128" s="59" t="str">
        <f t="shared" si="22"/>
        <v>Téc 2</v>
      </c>
      <c r="D1128" s="45">
        <f t="shared" si="23"/>
        <v>46160</v>
      </c>
      <c r="E1128" s="45">
        <f t="shared" si="24"/>
        <v>46184</v>
      </c>
      <c r="F1128" s="59">
        <f t="shared" si="25"/>
        <v>6</v>
      </c>
      <c r="G1128" s="59">
        <f t="shared" si="26"/>
        <v>2026</v>
      </c>
      <c r="H1128" s="59" t="str">
        <f t="shared" si="27"/>
        <v>28C02973</v>
      </c>
      <c r="I1128" s="59">
        <f>IF(OR($A1128="",$C1128="",$D1128="",$E1128="",$H1128=""),"",SUMIFS(DATA_GOC!$H:$H,DATA_GOC!$A:$A,"BOM",DATA_GOC!$D:$D,$H1128,DATA_GOC!$E:$E,$C1128,DATA_GOC!$F:$F,"Xuất nội bộ từ téc",DATA_GOC!$B:$B,"&gt;="&amp;$D1128,DATA_GOC!$B:$B,"&lt;="&amp;$E1128))</f>
        <v>555</v>
      </c>
      <c r="J1128" s="59">
        <f t="shared" si="28"/>
        <v>26.324</v>
      </c>
      <c r="K1128" s="59">
        <f t="shared" si="29"/>
        <v>0</v>
      </c>
      <c r="L1128" s="59">
        <f t="shared" si="30"/>
        <v>581.324</v>
      </c>
      <c r="M1128" s="59">
        <f t="shared" si="31"/>
        <v>0.01614968283</v>
      </c>
    </row>
    <row r="1129" ht="15.0" hidden="1" customHeight="1">
      <c r="A1129" s="59">
        <f t="shared" si="20"/>
        <v>15</v>
      </c>
      <c r="B1129" s="59" t="str">
        <f t="shared" si="21"/>
        <v>Đã chốt</v>
      </c>
      <c r="C1129" s="59" t="str">
        <f t="shared" si="22"/>
        <v>Téc 2</v>
      </c>
      <c r="D1129" s="45">
        <f t="shared" si="23"/>
        <v>46160</v>
      </c>
      <c r="E1129" s="45">
        <f t="shared" si="24"/>
        <v>46184</v>
      </c>
      <c r="F1129" s="59">
        <f t="shared" si="25"/>
        <v>6</v>
      </c>
      <c r="G1129" s="59">
        <f t="shared" si="26"/>
        <v>2026</v>
      </c>
      <c r="H1129" s="59" t="str">
        <f t="shared" si="27"/>
        <v>28C03044</v>
      </c>
      <c r="I1129" s="59">
        <f>IF(OR($A1129="",$C1129="",$D1129="",$E1129="",$H1129=""),"",SUMIFS(DATA_GOC!$H:$H,DATA_GOC!$A:$A,"BOM",DATA_GOC!$D:$D,$H1129,DATA_GOC!$E:$E,$C1129,DATA_GOC!$F:$F,"Xuất nội bộ từ téc",DATA_GOC!$B:$B,"&gt;="&amp;$D1129,DATA_GOC!$B:$B,"&lt;="&amp;$E1129))</f>
        <v>0</v>
      </c>
      <c r="J1129" s="59">
        <f t="shared" si="28"/>
        <v>0</v>
      </c>
      <c r="K1129" s="59">
        <f t="shared" si="29"/>
        <v>0</v>
      </c>
      <c r="L1129" s="59">
        <f t="shared" si="30"/>
        <v>0</v>
      </c>
      <c r="M1129" s="59">
        <f t="shared" si="31"/>
        <v>0</v>
      </c>
    </row>
    <row r="1130" ht="15.0" hidden="1" customHeight="1">
      <c r="A1130" s="59">
        <f t="shared" si="20"/>
        <v>15</v>
      </c>
      <c r="B1130" s="59" t="str">
        <f t="shared" si="21"/>
        <v>Đã chốt</v>
      </c>
      <c r="C1130" s="59" t="str">
        <f t="shared" si="22"/>
        <v>Téc 2</v>
      </c>
      <c r="D1130" s="45">
        <f t="shared" si="23"/>
        <v>46160</v>
      </c>
      <c r="E1130" s="45">
        <f t="shared" si="24"/>
        <v>46184</v>
      </c>
      <c r="F1130" s="59">
        <f t="shared" si="25"/>
        <v>6</v>
      </c>
      <c r="G1130" s="59">
        <f t="shared" si="26"/>
        <v>2026</v>
      </c>
      <c r="H1130" s="59" t="str">
        <f t="shared" si="27"/>
        <v>Máy lu lốp</v>
      </c>
      <c r="I1130" s="59">
        <f>IF(OR($A1130="",$C1130="",$D1130="",$E1130="",$H1130=""),"",SUMIFS(DATA_GOC!$H:$H,DATA_GOC!$A:$A,"BOM",DATA_GOC!$D:$D,$H1130,DATA_GOC!$E:$E,$C1130,DATA_GOC!$F:$F,"Xuất nội bộ từ téc",DATA_GOC!$B:$B,"&gt;="&amp;$D1130,DATA_GOC!$B:$B,"&lt;="&amp;$E1130))</f>
        <v>0</v>
      </c>
      <c r="J1130" s="59">
        <f t="shared" si="28"/>
        <v>0</v>
      </c>
      <c r="K1130" s="59">
        <f t="shared" si="29"/>
        <v>0</v>
      </c>
      <c r="L1130" s="59">
        <f t="shared" si="30"/>
        <v>0</v>
      </c>
      <c r="M1130" s="59">
        <f t="shared" si="31"/>
        <v>0</v>
      </c>
    </row>
    <row r="1131" ht="15.0" hidden="1" customHeight="1">
      <c r="A1131" s="59">
        <f t="shared" si="20"/>
        <v>15</v>
      </c>
      <c r="B1131" s="59" t="str">
        <f t="shared" si="21"/>
        <v>Đã chốt</v>
      </c>
      <c r="C1131" s="59" t="str">
        <f t="shared" si="22"/>
        <v>Téc 2</v>
      </c>
      <c r="D1131" s="45">
        <f t="shared" si="23"/>
        <v>46160</v>
      </c>
      <c r="E1131" s="45">
        <f t="shared" si="24"/>
        <v>46184</v>
      </c>
      <c r="F1131" s="59">
        <f t="shared" si="25"/>
        <v>6</v>
      </c>
      <c r="G1131" s="59">
        <f t="shared" si="26"/>
        <v>2026</v>
      </c>
      <c r="H1131" s="59" t="str">
        <f t="shared" si="27"/>
        <v>Xe 600148</v>
      </c>
      <c r="I1131" s="59">
        <f>IF(OR($A1131="",$C1131="",$D1131="",$E1131="",$H1131=""),"",SUMIFS(DATA_GOC!$H:$H,DATA_GOC!$A:$A,"BOM",DATA_GOC!$D:$D,$H1131,DATA_GOC!$E:$E,$C1131,DATA_GOC!$F:$F,"Xuất nội bộ từ téc",DATA_GOC!$B:$B,"&gt;="&amp;$D1131,DATA_GOC!$B:$B,"&lt;="&amp;$E1131))</f>
        <v>0</v>
      </c>
      <c r="J1131" s="59">
        <f t="shared" si="28"/>
        <v>0</v>
      </c>
      <c r="K1131" s="59">
        <f t="shared" si="29"/>
        <v>0</v>
      </c>
      <c r="L1131" s="59">
        <f t="shared" si="30"/>
        <v>0</v>
      </c>
      <c r="M1131" s="59">
        <f t="shared" si="31"/>
        <v>0</v>
      </c>
    </row>
    <row r="1132" ht="15.0" hidden="1" customHeight="1">
      <c r="A1132" s="59">
        <f t="shared" si="20"/>
        <v>15</v>
      </c>
      <c r="B1132" s="59" t="str">
        <f t="shared" si="21"/>
        <v>Đã chốt</v>
      </c>
      <c r="C1132" s="59" t="str">
        <f t="shared" si="22"/>
        <v>Téc 2</v>
      </c>
      <c r="D1132" s="45">
        <f t="shared" si="23"/>
        <v>46160</v>
      </c>
      <c r="E1132" s="45">
        <f t="shared" si="24"/>
        <v>46184</v>
      </c>
      <c r="F1132" s="59">
        <f t="shared" si="25"/>
        <v>6</v>
      </c>
      <c r="G1132" s="59">
        <f t="shared" si="26"/>
        <v>2026</v>
      </c>
      <c r="H1132" s="59" t="str">
        <f t="shared" si="27"/>
        <v>Xe ben mới</v>
      </c>
      <c r="I1132" s="59">
        <f>IF(OR($A1132="",$C1132="",$D1132="",$E1132="",$H1132=""),"",SUMIFS(DATA_GOC!$H:$H,DATA_GOC!$A:$A,"BOM",DATA_GOC!$D:$D,$H1132,DATA_GOC!$E:$E,$C1132,DATA_GOC!$F:$F,"Xuất nội bộ từ téc",DATA_GOC!$B:$B,"&gt;="&amp;$D1132,DATA_GOC!$B:$B,"&lt;="&amp;$E1132))</f>
        <v>0</v>
      </c>
      <c r="J1132" s="59">
        <f t="shared" si="28"/>
        <v>0</v>
      </c>
      <c r="K1132" s="59">
        <f t="shared" si="29"/>
        <v>0</v>
      </c>
      <c r="L1132" s="59">
        <f t="shared" si="30"/>
        <v>0</v>
      </c>
      <c r="M1132" s="59">
        <f t="shared" si="31"/>
        <v>0</v>
      </c>
    </row>
    <row r="1133" ht="15.0" hidden="1" customHeight="1">
      <c r="A1133" s="59">
        <f t="shared" si="20"/>
        <v>16</v>
      </c>
      <c r="B1133" s="59" t="str">
        <f t="shared" si="21"/>
        <v>Đã chốt</v>
      </c>
      <c r="C1133" s="59" t="str">
        <f t="shared" si="22"/>
        <v>Téc 1</v>
      </c>
      <c r="D1133" s="45">
        <f t="shared" si="23"/>
        <v>46178</v>
      </c>
      <c r="E1133" s="45">
        <f t="shared" si="24"/>
        <v>46188</v>
      </c>
      <c r="F1133" s="59">
        <f t="shared" si="25"/>
        <v>6</v>
      </c>
      <c r="G1133" s="59">
        <f t="shared" si="26"/>
        <v>2026</v>
      </c>
      <c r="H1133" s="59" t="str">
        <f t="shared" si="27"/>
        <v>19H09482</v>
      </c>
      <c r="I1133" s="59">
        <f>IF(OR($A1133="",$C1133="",$D1133="",$E1133="",$H1133=""),"",SUMIFS(DATA_GOC!$H:$H,DATA_GOC!$A:$A,"BOM",DATA_GOC!$D:$D,$H1133,DATA_GOC!$E:$E,$C1133,DATA_GOC!$F:$F,"Xuất nội bộ từ téc",DATA_GOC!$B:$B,"&gt;="&amp;$D1133,DATA_GOC!$B:$B,"&lt;="&amp;$E1133))</f>
        <v>0</v>
      </c>
      <c r="J1133" s="59">
        <f t="shared" si="28"/>
        <v>0</v>
      </c>
      <c r="K1133" s="59">
        <f t="shared" si="29"/>
        <v>0</v>
      </c>
      <c r="L1133" s="59">
        <f t="shared" si="30"/>
        <v>0</v>
      </c>
      <c r="M1133" s="59">
        <f t="shared" si="31"/>
        <v>0</v>
      </c>
    </row>
    <row r="1134" ht="15.0" hidden="1" customHeight="1">
      <c r="A1134" s="59">
        <f t="shared" si="20"/>
        <v>16</v>
      </c>
      <c r="B1134" s="59" t="str">
        <f t="shared" si="21"/>
        <v>Đã chốt</v>
      </c>
      <c r="C1134" s="59" t="str">
        <f t="shared" si="22"/>
        <v>Téc 1</v>
      </c>
      <c r="D1134" s="45">
        <f t="shared" si="23"/>
        <v>46178</v>
      </c>
      <c r="E1134" s="45">
        <f t="shared" si="24"/>
        <v>46188</v>
      </c>
      <c r="F1134" s="59">
        <f t="shared" si="25"/>
        <v>6</v>
      </c>
      <c r="G1134" s="59">
        <f t="shared" si="26"/>
        <v>2026</v>
      </c>
      <c r="H1134" s="59" t="str">
        <f t="shared" si="27"/>
        <v>28A30696</v>
      </c>
      <c r="I1134" s="59">
        <f>IF(OR($A1134="",$C1134="",$D1134="",$E1134="",$H1134=""),"",SUMIFS(DATA_GOC!$H:$H,DATA_GOC!$A:$A,"BOM",DATA_GOC!$D:$D,$H1134,DATA_GOC!$E:$E,$C1134,DATA_GOC!$F:$F,"Xuất nội bộ từ téc",DATA_GOC!$B:$B,"&gt;="&amp;$D1134,DATA_GOC!$B:$B,"&lt;="&amp;$E1134))</f>
        <v>40</v>
      </c>
      <c r="J1134" s="59">
        <f t="shared" si="28"/>
        <v>1.757</v>
      </c>
      <c r="K1134" s="59">
        <f t="shared" si="29"/>
        <v>0</v>
      </c>
      <c r="L1134" s="59">
        <f t="shared" si="30"/>
        <v>41.757</v>
      </c>
      <c r="M1134" s="59">
        <f t="shared" si="31"/>
        <v>0.004774979109</v>
      </c>
    </row>
    <row r="1135" ht="15.0" hidden="1" customHeight="1">
      <c r="A1135" s="59">
        <f t="shared" si="20"/>
        <v>16</v>
      </c>
      <c r="B1135" s="59" t="str">
        <f t="shared" si="21"/>
        <v>Đã chốt</v>
      </c>
      <c r="C1135" s="59" t="str">
        <f t="shared" si="22"/>
        <v>Téc 1</v>
      </c>
      <c r="D1135" s="45">
        <f t="shared" si="23"/>
        <v>46178</v>
      </c>
      <c r="E1135" s="45">
        <f t="shared" si="24"/>
        <v>46188</v>
      </c>
      <c r="F1135" s="59">
        <f t="shared" si="25"/>
        <v>6</v>
      </c>
      <c r="G1135" s="59">
        <f t="shared" si="26"/>
        <v>2026</v>
      </c>
      <c r="H1135" s="59" t="str">
        <f t="shared" si="27"/>
        <v>28C00462</v>
      </c>
      <c r="I1135" s="59">
        <f>IF(OR($A1135="",$C1135="",$D1135="",$E1135="",$H1135=""),"",SUMIFS(DATA_GOC!$H:$H,DATA_GOC!$A:$A,"BOM",DATA_GOC!$D:$D,$H1135,DATA_GOC!$E:$E,$C1135,DATA_GOC!$F:$F,"Xuất nội bộ từ téc",DATA_GOC!$B:$B,"&gt;="&amp;$D1135,DATA_GOC!$B:$B,"&lt;="&amp;$E1135))</f>
        <v>470</v>
      </c>
      <c r="J1135" s="59">
        <f t="shared" si="28"/>
        <v>20.647</v>
      </c>
      <c r="K1135" s="59">
        <f t="shared" si="29"/>
        <v>0</v>
      </c>
      <c r="L1135" s="59">
        <f t="shared" si="30"/>
        <v>490.647</v>
      </c>
      <c r="M1135" s="59">
        <f t="shared" si="31"/>
        <v>0.05610600454</v>
      </c>
    </row>
    <row r="1136" ht="15.0" hidden="1" customHeight="1">
      <c r="A1136" s="59">
        <f t="shared" si="20"/>
        <v>16</v>
      </c>
      <c r="B1136" s="59" t="str">
        <f t="shared" si="21"/>
        <v>Đã chốt</v>
      </c>
      <c r="C1136" s="59" t="str">
        <f t="shared" si="22"/>
        <v>Téc 1</v>
      </c>
      <c r="D1136" s="45">
        <f t="shared" si="23"/>
        <v>46178</v>
      </c>
      <c r="E1136" s="45">
        <f t="shared" si="24"/>
        <v>46188</v>
      </c>
      <c r="F1136" s="59">
        <f t="shared" si="25"/>
        <v>6</v>
      </c>
      <c r="G1136" s="59">
        <f t="shared" si="26"/>
        <v>2026</v>
      </c>
      <c r="H1136" s="59" t="str">
        <f t="shared" si="27"/>
        <v>28C01165</v>
      </c>
      <c r="I1136" s="59">
        <f>IF(OR($A1136="",$C1136="",$D1136="",$E1136="",$H1136=""),"",SUMIFS(DATA_GOC!$H:$H,DATA_GOC!$A:$A,"BOM",DATA_GOC!$D:$D,$H1136,DATA_GOC!$E:$E,$C1136,DATA_GOC!$F:$F,"Xuất nội bộ từ téc",DATA_GOC!$B:$B,"&gt;="&amp;$D1136,DATA_GOC!$B:$B,"&lt;="&amp;$E1136))</f>
        <v>0</v>
      </c>
      <c r="J1136" s="59">
        <f t="shared" si="28"/>
        <v>0</v>
      </c>
      <c r="K1136" s="59">
        <f t="shared" si="29"/>
        <v>0</v>
      </c>
      <c r="L1136" s="59">
        <f t="shared" si="30"/>
        <v>0</v>
      </c>
      <c r="M1136" s="59">
        <f t="shared" si="31"/>
        <v>0</v>
      </c>
    </row>
    <row r="1137" ht="15.0" hidden="1" customHeight="1">
      <c r="A1137" s="59">
        <f t="shared" si="20"/>
        <v>16</v>
      </c>
      <c r="B1137" s="59" t="str">
        <f t="shared" si="21"/>
        <v>Đã chốt</v>
      </c>
      <c r="C1137" s="59" t="str">
        <f t="shared" si="22"/>
        <v>Téc 1</v>
      </c>
      <c r="D1137" s="45">
        <f t="shared" si="23"/>
        <v>46178</v>
      </c>
      <c r="E1137" s="45">
        <f t="shared" si="24"/>
        <v>46188</v>
      </c>
      <c r="F1137" s="59">
        <f t="shared" si="25"/>
        <v>6</v>
      </c>
      <c r="G1137" s="59">
        <f t="shared" si="26"/>
        <v>2026</v>
      </c>
      <c r="H1137" s="59" t="str">
        <f t="shared" si="27"/>
        <v>28C01406</v>
      </c>
      <c r="I1137" s="59">
        <f>IF(OR($A1137="",$C1137="",$D1137="",$E1137="",$H1137=""),"",SUMIFS(DATA_GOC!$H:$H,DATA_GOC!$A:$A,"BOM",DATA_GOC!$D:$D,$H1137,DATA_GOC!$E:$E,$C1137,DATA_GOC!$F:$F,"Xuất nội bộ từ téc",DATA_GOC!$B:$B,"&gt;="&amp;$D1137,DATA_GOC!$B:$B,"&lt;="&amp;$E1137))</f>
        <v>404</v>
      </c>
      <c r="J1137" s="59">
        <f t="shared" si="28"/>
        <v>17.748</v>
      </c>
      <c r="K1137" s="59">
        <f t="shared" si="29"/>
        <v>0</v>
      </c>
      <c r="L1137" s="59">
        <f t="shared" si="30"/>
        <v>421.748</v>
      </c>
      <c r="M1137" s="59">
        <f t="shared" si="31"/>
        <v>0.04822728901</v>
      </c>
    </row>
    <row r="1138" ht="15.0" hidden="1" customHeight="1">
      <c r="A1138" s="59">
        <f t="shared" si="20"/>
        <v>16</v>
      </c>
      <c r="B1138" s="59" t="str">
        <f t="shared" si="21"/>
        <v>Đã chốt</v>
      </c>
      <c r="C1138" s="59" t="str">
        <f t="shared" si="22"/>
        <v>Téc 1</v>
      </c>
      <c r="D1138" s="45">
        <f t="shared" si="23"/>
        <v>46178</v>
      </c>
      <c r="E1138" s="45">
        <f t="shared" si="24"/>
        <v>46188</v>
      </c>
      <c r="F1138" s="59">
        <f t="shared" si="25"/>
        <v>6</v>
      </c>
      <c r="G1138" s="59">
        <f t="shared" si="26"/>
        <v>2026</v>
      </c>
      <c r="H1138" s="59" t="str">
        <f t="shared" si="27"/>
        <v>28C01544</v>
      </c>
      <c r="I1138" s="59">
        <f>IF(OR($A1138="",$C1138="",$D1138="",$E1138="",$H1138=""),"",SUMIFS(DATA_GOC!$H:$H,DATA_GOC!$A:$A,"BOM",DATA_GOC!$D:$D,$H1138,DATA_GOC!$E:$E,$C1138,DATA_GOC!$F:$F,"Xuất nội bộ từ téc",DATA_GOC!$B:$B,"&gt;="&amp;$D1138,DATA_GOC!$B:$B,"&lt;="&amp;$E1138))</f>
        <v>0</v>
      </c>
      <c r="J1138" s="59">
        <f t="shared" si="28"/>
        <v>0</v>
      </c>
      <c r="K1138" s="59">
        <f t="shared" si="29"/>
        <v>0</v>
      </c>
      <c r="L1138" s="59">
        <f t="shared" si="30"/>
        <v>0</v>
      </c>
      <c r="M1138" s="59">
        <f t="shared" si="31"/>
        <v>0</v>
      </c>
    </row>
    <row r="1139" ht="15.0" hidden="1" customHeight="1">
      <c r="A1139" s="59">
        <f t="shared" si="20"/>
        <v>16</v>
      </c>
      <c r="B1139" s="59" t="str">
        <f t="shared" si="21"/>
        <v>Đã chốt</v>
      </c>
      <c r="C1139" s="59" t="str">
        <f t="shared" si="22"/>
        <v>Téc 1</v>
      </c>
      <c r="D1139" s="45">
        <f t="shared" si="23"/>
        <v>46178</v>
      </c>
      <c r="E1139" s="45">
        <f t="shared" si="24"/>
        <v>46188</v>
      </c>
      <c r="F1139" s="59">
        <f t="shared" si="25"/>
        <v>6</v>
      </c>
      <c r="G1139" s="59">
        <f t="shared" si="26"/>
        <v>2026</v>
      </c>
      <c r="H1139" s="59" t="str">
        <f t="shared" si="27"/>
        <v>28C01622</v>
      </c>
      <c r="I1139" s="59">
        <f>IF(OR($A1139="",$C1139="",$D1139="",$E1139="",$H1139=""),"",SUMIFS(DATA_GOC!$H:$H,DATA_GOC!$A:$A,"BOM",DATA_GOC!$D:$D,$H1139,DATA_GOC!$E:$E,$C1139,DATA_GOC!$F:$F,"Xuất nội bộ từ téc",DATA_GOC!$B:$B,"&gt;="&amp;$D1139,DATA_GOC!$B:$B,"&lt;="&amp;$E1139))</f>
        <v>325</v>
      </c>
      <c r="J1139" s="59">
        <f t="shared" si="28"/>
        <v>14.277</v>
      </c>
      <c r="K1139" s="59">
        <f t="shared" si="29"/>
        <v>0</v>
      </c>
      <c r="L1139" s="59">
        <f t="shared" si="30"/>
        <v>339.277</v>
      </c>
      <c r="M1139" s="59">
        <f t="shared" si="31"/>
        <v>0.03879670526</v>
      </c>
    </row>
    <row r="1140" ht="15.0" hidden="1" customHeight="1">
      <c r="A1140" s="59">
        <f t="shared" si="20"/>
        <v>16</v>
      </c>
      <c r="B1140" s="59" t="str">
        <f t="shared" si="21"/>
        <v>Đã chốt</v>
      </c>
      <c r="C1140" s="59" t="str">
        <f t="shared" si="22"/>
        <v>Téc 1</v>
      </c>
      <c r="D1140" s="45">
        <f t="shared" si="23"/>
        <v>46178</v>
      </c>
      <c r="E1140" s="45">
        <f t="shared" si="24"/>
        <v>46188</v>
      </c>
      <c r="F1140" s="59">
        <f t="shared" si="25"/>
        <v>6</v>
      </c>
      <c r="G1140" s="59">
        <f t="shared" si="26"/>
        <v>2026</v>
      </c>
      <c r="H1140" s="59" t="str">
        <f t="shared" si="27"/>
        <v>28C01647</v>
      </c>
      <c r="I1140" s="59">
        <f>IF(OR($A1140="",$C1140="",$D1140="",$E1140="",$H1140=""),"",SUMIFS(DATA_GOC!$H:$H,DATA_GOC!$A:$A,"BOM",DATA_GOC!$D:$D,$H1140,DATA_GOC!$E:$E,$C1140,DATA_GOC!$F:$F,"Xuất nội bộ từ téc",DATA_GOC!$B:$B,"&gt;="&amp;$D1140,DATA_GOC!$B:$B,"&lt;="&amp;$E1140))</f>
        <v>435</v>
      </c>
      <c r="J1140" s="59">
        <f t="shared" si="28"/>
        <v>19.109</v>
      </c>
      <c r="K1140" s="59">
        <f t="shared" si="29"/>
        <v>0</v>
      </c>
      <c r="L1140" s="59">
        <f t="shared" si="30"/>
        <v>454.109</v>
      </c>
      <c r="M1140" s="59">
        <f t="shared" si="31"/>
        <v>0.05192789782</v>
      </c>
    </row>
    <row r="1141" ht="15.0" hidden="1" customHeight="1">
      <c r="A1141" s="59">
        <f t="shared" si="20"/>
        <v>16</v>
      </c>
      <c r="B1141" s="59" t="str">
        <f t="shared" si="21"/>
        <v>Đã chốt</v>
      </c>
      <c r="C1141" s="59" t="str">
        <f t="shared" si="22"/>
        <v>Téc 1</v>
      </c>
      <c r="D1141" s="45">
        <f t="shared" si="23"/>
        <v>46178</v>
      </c>
      <c r="E1141" s="45">
        <f t="shared" si="24"/>
        <v>46188</v>
      </c>
      <c r="F1141" s="59">
        <f t="shared" si="25"/>
        <v>6</v>
      </c>
      <c r="G1141" s="59">
        <f t="shared" si="26"/>
        <v>2026</v>
      </c>
      <c r="H1141" s="59" t="str">
        <f t="shared" si="27"/>
        <v>28C01731</v>
      </c>
      <c r="I1141" s="59">
        <f>IF(OR($A1141="",$C1141="",$D1141="",$E1141="",$H1141=""),"",SUMIFS(DATA_GOC!$H:$H,DATA_GOC!$A:$A,"BOM",DATA_GOC!$D:$D,$H1141,DATA_GOC!$E:$E,$C1141,DATA_GOC!$F:$F,"Xuất nội bộ từ téc",DATA_GOC!$B:$B,"&gt;="&amp;$D1141,DATA_GOC!$B:$B,"&lt;="&amp;$E1141))</f>
        <v>130</v>
      </c>
      <c r="J1141" s="59">
        <f t="shared" si="28"/>
        <v>5.711</v>
      </c>
      <c r="K1141" s="59">
        <f t="shared" si="29"/>
        <v>0</v>
      </c>
      <c r="L1141" s="59">
        <f t="shared" si="30"/>
        <v>135.711</v>
      </c>
      <c r="M1141" s="59">
        <f t="shared" si="31"/>
        <v>0.01551868211</v>
      </c>
    </row>
    <row r="1142" ht="15.0" hidden="1" customHeight="1">
      <c r="A1142" s="59">
        <f t="shared" si="20"/>
        <v>16</v>
      </c>
      <c r="B1142" s="59" t="str">
        <f t="shared" si="21"/>
        <v>Đã chốt</v>
      </c>
      <c r="C1142" s="59" t="str">
        <f t="shared" si="22"/>
        <v>Téc 1</v>
      </c>
      <c r="D1142" s="45">
        <f t="shared" si="23"/>
        <v>46178</v>
      </c>
      <c r="E1142" s="45">
        <f t="shared" si="24"/>
        <v>46188</v>
      </c>
      <c r="F1142" s="59">
        <f t="shared" si="25"/>
        <v>6</v>
      </c>
      <c r="G1142" s="59">
        <f t="shared" si="26"/>
        <v>2026</v>
      </c>
      <c r="H1142" s="59" t="str">
        <f t="shared" si="27"/>
        <v>28C01743</v>
      </c>
      <c r="I1142" s="59">
        <f>IF(OR($A1142="",$C1142="",$D1142="",$E1142="",$H1142=""),"",SUMIFS(DATA_GOC!$H:$H,DATA_GOC!$A:$A,"BOM",DATA_GOC!$D:$D,$H1142,DATA_GOC!$E:$E,$C1142,DATA_GOC!$F:$F,"Xuất nội bộ từ téc",DATA_GOC!$B:$B,"&gt;="&amp;$D1142,DATA_GOC!$B:$B,"&lt;="&amp;$E1142))</f>
        <v>106</v>
      </c>
      <c r="J1142" s="59">
        <f t="shared" si="28"/>
        <v>4.657</v>
      </c>
      <c r="K1142" s="59">
        <f t="shared" si="29"/>
        <v>0</v>
      </c>
      <c r="L1142" s="59">
        <f t="shared" si="30"/>
        <v>110.657</v>
      </c>
      <c r="M1142" s="59">
        <f t="shared" si="31"/>
        <v>0.01265369464</v>
      </c>
    </row>
    <row r="1143" ht="15.0" hidden="1" customHeight="1">
      <c r="A1143" s="59">
        <f t="shared" si="20"/>
        <v>16</v>
      </c>
      <c r="B1143" s="59" t="str">
        <f t="shared" si="21"/>
        <v>Đã chốt</v>
      </c>
      <c r="C1143" s="59" t="str">
        <f t="shared" si="22"/>
        <v>Téc 1</v>
      </c>
      <c r="D1143" s="45">
        <f t="shared" si="23"/>
        <v>46178</v>
      </c>
      <c r="E1143" s="45">
        <f t="shared" si="24"/>
        <v>46188</v>
      </c>
      <c r="F1143" s="59">
        <f t="shared" si="25"/>
        <v>6</v>
      </c>
      <c r="G1143" s="59">
        <f t="shared" si="26"/>
        <v>2026</v>
      </c>
      <c r="H1143" s="59" t="str">
        <f t="shared" si="27"/>
        <v>28C02106</v>
      </c>
      <c r="I1143" s="59">
        <f>IF(OR($A1143="",$C1143="",$D1143="",$E1143="",$H1143=""),"",SUMIFS(DATA_GOC!$H:$H,DATA_GOC!$A:$A,"BOM",DATA_GOC!$D:$D,$H1143,DATA_GOC!$E:$E,$C1143,DATA_GOC!$F:$F,"Xuất nội bộ từ téc",DATA_GOC!$B:$B,"&gt;="&amp;$D1143,DATA_GOC!$B:$B,"&lt;="&amp;$E1143))</f>
        <v>0</v>
      </c>
      <c r="J1143" s="59">
        <f t="shared" si="28"/>
        <v>0</v>
      </c>
      <c r="K1143" s="59">
        <f t="shared" si="29"/>
        <v>0</v>
      </c>
      <c r="L1143" s="59">
        <f t="shared" si="30"/>
        <v>0</v>
      </c>
      <c r="M1143" s="59">
        <f t="shared" si="31"/>
        <v>0</v>
      </c>
    </row>
    <row r="1144" ht="15.0" hidden="1" customHeight="1">
      <c r="A1144" s="59">
        <f t="shared" si="20"/>
        <v>16</v>
      </c>
      <c r="B1144" s="59" t="str">
        <f t="shared" si="21"/>
        <v>Đã chốt</v>
      </c>
      <c r="C1144" s="59" t="str">
        <f t="shared" si="22"/>
        <v>Téc 1</v>
      </c>
      <c r="D1144" s="45">
        <f t="shared" si="23"/>
        <v>46178</v>
      </c>
      <c r="E1144" s="45">
        <f t="shared" si="24"/>
        <v>46188</v>
      </c>
      <c r="F1144" s="59">
        <f t="shared" si="25"/>
        <v>6</v>
      </c>
      <c r="G1144" s="59">
        <f t="shared" si="26"/>
        <v>2026</v>
      </c>
      <c r="H1144" s="59" t="str">
        <f t="shared" si="27"/>
        <v>28C02410</v>
      </c>
      <c r="I1144" s="59">
        <f>IF(OR($A1144="",$C1144="",$D1144="",$E1144="",$H1144=""),"",SUMIFS(DATA_GOC!$H:$H,DATA_GOC!$A:$A,"BOM",DATA_GOC!$D:$D,$H1144,DATA_GOC!$E:$E,$C1144,DATA_GOC!$F:$F,"Xuất nội bộ từ téc",DATA_GOC!$B:$B,"&gt;="&amp;$D1144,DATA_GOC!$B:$B,"&lt;="&amp;$E1144))</f>
        <v>140</v>
      </c>
      <c r="J1144" s="59">
        <f t="shared" si="28"/>
        <v>6.15</v>
      </c>
      <c r="K1144" s="59">
        <f t="shared" si="29"/>
        <v>0</v>
      </c>
      <c r="L1144" s="59">
        <f t="shared" si="30"/>
        <v>146.15</v>
      </c>
      <c r="M1144" s="59">
        <f t="shared" si="31"/>
        <v>0.01671242688</v>
      </c>
    </row>
    <row r="1145" ht="15.0" hidden="1" customHeight="1">
      <c r="A1145" s="59">
        <f t="shared" si="20"/>
        <v>16</v>
      </c>
      <c r="B1145" s="59" t="str">
        <f t="shared" si="21"/>
        <v>Đã chốt</v>
      </c>
      <c r="C1145" s="59" t="str">
        <f t="shared" si="22"/>
        <v>Téc 1</v>
      </c>
      <c r="D1145" s="45">
        <f t="shared" si="23"/>
        <v>46178</v>
      </c>
      <c r="E1145" s="45">
        <f t="shared" si="24"/>
        <v>46188</v>
      </c>
      <c r="F1145" s="59">
        <f t="shared" si="25"/>
        <v>6</v>
      </c>
      <c r="G1145" s="59">
        <f t="shared" si="26"/>
        <v>2026</v>
      </c>
      <c r="H1145" s="59" t="str">
        <f t="shared" si="27"/>
        <v>28C02545</v>
      </c>
      <c r="I1145" s="59">
        <f>IF(OR($A1145="",$C1145="",$D1145="",$E1145="",$H1145=""),"",SUMIFS(DATA_GOC!$H:$H,DATA_GOC!$A:$A,"BOM",DATA_GOC!$D:$D,$H1145,DATA_GOC!$E:$E,$C1145,DATA_GOC!$F:$F,"Xuất nội bộ từ téc",DATA_GOC!$B:$B,"&gt;="&amp;$D1145,DATA_GOC!$B:$B,"&lt;="&amp;$E1145))</f>
        <v>0</v>
      </c>
      <c r="J1145" s="59">
        <f t="shared" si="28"/>
        <v>0</v>
      </c>
      <c r="K1145" s="59">
        <f t="shared" si="29"/>
        <v>0</v>
      </c>
      <c r="L1145" s="59">
        <f t="shared" si="30"/>
        <v>0</v>
      </c>
      <c r="M1145" s="59">
        <f t="shared" si="31"/>
        <v>0</v>
      </c>
    </row>
    <row r="1146" ht="15.0" hidden="1" customHeight="1">
      <c r="A1146" s="59">
        <f t="shared" si="20"/>
        <v>16</v>
      </c>
      <c r="B1146" s="59" t="str">
        <f t="shared" si="21"/>
        <v>Đã chốt</v>
      </c>
      <c r="C1146" s="59" t="str">
        <f t="shared" si="22"/>
        <v>Téc 1</v>
      </c>
      <c r="D1146" s="45">
        <f t="shared" si="23"/>
        <v>46178</v>
      </c>
      <c r="E1146" s="45">
        <f t="shared" si="24"/>
        <v>46188</v>
      </c>
      <c r="F1146" s="59">
        <f t="shared" si="25"/>
        <v>6</v>
      </c>
      <c r="G1146" s="59">
        <f t="shared" si="26"/>
        <v>2026</v>
      </c>
      <c r="H1146" s="59" t="str">
        <f t="shared" si="27"/>
        <v>28C02574</v>
      </c>
      <c r="I1146" s="59">
        <f>IF(OR($A1146="",$C1146="",$D1146="",$E1146="",$H1146=""),"",SUMIFS(DATA_GOC!$H:$H,DATA_GOC!$A:$A,"BOM",DATA_GOC!$D:$D,$H1146,DATA_GOC!$E:$E,$C1146,DATA_GOC!$F:$F,"Xuất nội bộ từ téc",DATA_GOC!$B:$B,"&gt;="&amp;$D1146,DATA_GOC!$B:$B,"&lt;="&amp;$E1146))</f>
        <v>200</v>
      </c>
      <c r="J1146" s="59">
        <f t="shared" si="28"/>
        <v>8.786</v>
      </c>
      <c r="K1146" s="59">
        <f t="shared" si="29"/>
        <v>0</v>
      </c>
      <c r="L1146" s="59">
        <f t="shared" si="30"/>
        <v>208.786</v>
      </c>
      <c r="M1146" s="59">
        <f t="shared" si="31"/>
        <v>0.02387489555</v>
      </c>
    </row>
    <row r="1147" ht="15.0" hidden="1" customHeight="1">
      <c r="A1147" s="59">
        <f t="shared" si="20"/>
        <v>16</v>
      </c>
      <c r="B1147" s="59" t="str">
        <f t="shared" si="21"/>
        <v>Đã chốt</v>
      </c>
      <c r="C1147" s="59" t="str">
        <f t="shared" si="22"/>
        <v>Téc 1</v>
      </c>
      <c r="D1147" s="45">
        <f t="shared" si="23"/>
        <v>46178</v>
      </c>
      <c r="E1147" s="45">
        <f t="shared" si="24"/>
        <v>46188</v>
      </c>
      <c r="F1147" s="59">
        <f t="shared" si="25"/>
        <v>6</v>
      </c>
      <c r="G1147" s="59">
        <f t="shared" si="26"/>
        <v>2026</v>
      </c>
      <c r="H1147" s="59" t="str">
        <f t="shared" si="27"/>
        <v>28C02770</v>
      </c>
      <c r="I1147" s="59">
        <f>IF(OR($A1147="",$C1147="",$D1147="",$E1147="",$H1147=""),"",SUMIFS(DATA_GOC!$H:$H,DATA_GOC!$A:$A,"BOM",DATA_GOC!$D:$D,$H1147,DATA_GOC!$E:$E,$C1147,DATA_GOC!$F:$F,"Xuất nội bộ từ téc",DATA_GOC!$B:$B,"&gt;="&amp;$D1147,DATA_GOC!$B:$B,"&lt;="&amp;$E1147))</f>
        <v>100</v>
      </c>
      <c r="J1147" s="59">
        <f t="shared" si="28"/>
        <v>4.393</v>
      </c>
      <c r="K1147" s="59">
        <f t="shared" si="29"/>
        <v>0</v>
      </c>
      <c r="L1147" s="59">
        <f t="shared" si="30"/>
        <v>104.393</v>
      </c>
      <c r="M1147" s="59">
        <f t="shared" si="31"/>
        <v>0.01193744777</v>
      </c>
    </row>
    <row r="1148" ht="15.0" hidden="1" customHeight="1">
      <c r="A1148" s="59">
        <f t="shared" si="20"/>
        <v>16</v>
      </c>
      <c r="B1148" s="59" t="str">
        <f t="shared" si="21"/>
        <v>Đã chốt</v>
      </c>
      <c r="C1148" s="59" t="str">
        <f t="shared" si="22"/>
        <v>Téc 1</v>
      </c>
      <c r="D1148" s="45">
        <f t="shared" si="23"/>
        <v>46178</v>
      </c>
      <c r="E1148" s="45">
        <f t="shared" si="24"/>
        <v>46188</v>
      </c>
      <c r="F1148" s="59">
        <f t="shared" si="25"/>
        <v>6</v>
      </c>
      <c r="G1148" s="59">
        <f t="shared" si="26"/>
        <v>2026</v>
      </c>
      <c r="H1148" s="59" t="str">
        <f t="shared" si="27"/>
        <v>28C02986</v>
      </c>
      <c r="I1148" s="59">
        <f>IF(OR($A1148="",$C1148="",$D1148="",$E1148="",$H1148=""),"",SUMIFS(DATA_GOC!$H:$H,DATA_GOC!$A:$A,"BOM",DATA_GOC!$D:$D,$H1148,DATA_GOC!$E:$E,$C1148,DATA_GOC!$F:$F,"Xuất nội bộ từ téc",DATA_GOC!$B:$B,"&gt;="&amp;$D1148,DATA_GOC!$B:$B,"&lt;="&amp;$E1148))</f>
        <v>0</v>
      </c>
      <c r="J1148" s="59">
        <f t="shared" si="28"/>
        <v>0</v>
      </c>
      <c r="K1148" s="59">
        <f t="shared" si="29"/>
        <v>0</v>
      </c>
      <c r="L1148" s="59">
        <f t="shared" si="30"/>
        <v>0</v>
      </c>
      <c r="M1148" s="59">
        <f t="shared" si="31"/>
        <v>0</v>
      </c>
    </row>
    <row r="1149" ht="15.0" hidden="1" customHeight="1">
      <c r="A1149" s="59">
        <f t="shared" si="20"/>
        <v>16</v>
      </c>
      <c r="B1149" s="59" t="str">
        <f t="shared" si="21"/>
        <v>Đã chốt</v>
      </c>
      <c r="C1149" s="59" t="str">
        <f t="shared" si="22"/>
        <v>Téc 1</v>
      </c>
      <c r="D1149" s="45">
        <f t="shared" si="23"/>
        <v>46178</v>
      </c>
      <c r="E1149" s="45">
        <f t="shared" si="24"/>
        <v>46188</v>
      </c>
      <c r="F1149" s="59">
        <f t="shared" si="25"/>
        <v>6</v>
      </c>
      <c r="G1149" s="59">
        <f t="shared" si="26"/>
        <v>2026</v>
      </c>
      <c r="H1149" s="59" t="str">
        <f t="shared" si="27"/>
        <v>28C03261</v>
      </c>
      <c r="I1149" s="59">
        <f>IF(OR($A1149="",$C1149="",$D1149="",$E1149="",$H1149=""),"",SUMIFS(DATA_GOC!$H:$H,DATA_GOC!$A:$A,"BOM",DATA_GOC!$D:$D,$H1149,DATA_GOC!$E:$E,$C1149,DATA_GOC!$F:$F,"Xuất nội bộ từ téc",DATA_GOC!$B:$B,"&gt;="&amp;$D1149,DATA_GOC!$B:$B,"&lt;="&amp;$E1149))</f>
        <v>260</v>
      </c>
      <c r="J1149" s="59">
        <f t="shared" si="28"/>
        <v>11.422</v>
      </c>
      <c r="K1149" s="59">
        <f t="shared" si="29"/>
        <v>0</v>
      </c>
      <c r="L1149" s="59">
        <f t="shared" si="30"/>
        <v>271.422</v>
      </c>
      <c r="M1149" s="59">
        <f t="shared" si="31"/>
        <v>0.03103736421</v>
      </c>
    </row>
    <row r="1150" ht="15.0" hidden="1" customHeight="1">
      <c r="A1150" s="59">
        <f t="shared" si="20"/>
        <v>16</v>
      </c>
      <c r="B1150" s="59" t="str">
        <f t="shared" si="21"/>
        <v>Đã chốt</v>
      </c>
      <c r="C1150" s="59" t="str">
        <f t="shared" si="22"/>
        <v>Téc 1</v>
      </c>
      <c r="D1150" s="45">
        <f t="shared" si="23"/>
        <v>46178</v>
      </c>
      <c r="E1150" s="45">
        <f t="shared" si="24"/>
        <v>46188</v>
      </c>
      <c r="F1150" s="59">
        <f t="shared" si="25"/>
        <v>6</v>
      </c>
      <c r="G1150" s="59">
        <f t="shared" si="26"/>
        <v>2026</v>
      </c>
      <c r="H1150" s="59" t="str">
        <f t="shared" si="27"/>
        <v>28C03323</v>
      </c>
      <c r="I1150" s="59">
        <f>IF(OR($A1150="",$C1150="",$D1150="",$E1150="",$H1150=""),"",SUMIFS(DATA_GOC!$H:$H,DATA_GOC!$A:$A,"BOM",DATA_GOC!$D:$D,$H1150,DATA_GOC!$E:$E,$C1150,DATA_GOC!$F:$F,"Xuất nội bộ từ téc",DATA_GOC!$B:$B,"&gt;="&amp;$D1150,DATA_GOC!$B:$B,"&lt;="&amp;$E1150))</f>
        <v>0</v>
      </c>
      <c r="J1150" s="59">
        <f t="shared" si="28"/>
        <v>0</v>
      </c>
      <c r="K1150" s="59">
        <f t="shared" si="29"/>
        <v>0</v>
      </c>
      <c r="L1150" s="59">
        <f t="shared" si="30"/>
        <v>0</v>
      </c>
      <c r="M1150" s="59">
        <f t="shared" si="31"/>
        <v>0</v>
      </c>
    </row>
    <row r="1151" ht="15.0" hidden="1" customHeight="1">
      <c r="A1151" s="59">
        <f t="shared" si="20"/>
        <v>16</v>
      </c>
      <c r="B1151" s="59" t="str">
        <f t="shared" si="21"/>
        <v>Đã chốt</v>
      </c>
      <c r="C1151" s="59" t="str">
        <f t="shared" si="22"/>
        <v>Téc 1</v>
      </c>
      <c r="D1151" s="45">
        <f t="shared" si="23"/>
        <v>46178</v>
      </c>
      <c r="E1151" s="45">
        <f t="shared" si="24"/>
        <v>46188</v>
      </c>
      <c r="F1151" s="59">
        <f t="shared" si="25"/>
        <v>6</v>
      </c>
      <c r="G1151" s="59">
        <f t="shared" si="26"/>
        <v>2026</v>
      </c>
      <c r="H1151" s="59" t="str">
        <f t="shared" si="27"/>
        <v>28C03385</v>
      </c>
      <c r="I1151" s="59">
        <f>IF(OR($A1151="",$C1151="",$D1151="",$E1151="",$H1151=""),"",SUMIFS(DATA_GOC!$H:$H,DATA_GOC!$A:$A,"BOM",DATA_GOC!$D:$D,$H1151,DATA_GOC!$E:$E,$C1151,DATA_GOC!$F:$F,"Xuất nội bộ từ téc",DATA_GOC!$B:$B,"&gt;="&amp;$D1151,DATA_GOC!$B:$B,"&lt;="&amp;$E1151))</f>
        <v>0</v>
      </c>
      <c r="J1151" s="59">
        <f t="shared" si="28"/>
        <v>0</v>
      </c>
      <c r="K1151" s="59">
        <f t="shared" si="29"/>
        <v>0</v>
      </c>
      <c r="L1151" s="59">
        <f t="shared" si="30"/>
        <v>0</v>
      </c>
      <c r="M1151" s="59">
        <f t="shared" si="31"/>
        <v>0</v>
      </c>
    </row>
    <row r="1152" ht="15.0" hidden="1" customHeight="1">
      <c r="A1152" s="59">
        <f t="shared" si="20"/>
        <v>16</v>
      </c>
      <c r="B1152" s="59" t="str">
        <f t="shared" si="21"/>
        <v>Đã chốt</v>
      </c>
      <c r="C1152" s="59" t="str">
        <f t="shared" si="22"/>
        <v>Téc 1</v>
      </c>
      <c r="D1152" s="45">
        <f t="shared" si="23"/>
        <v>46178</v>
      </c>
      <c r="E1152" s="45">
        <f t="shared" si="24"/>
        <v>46188</v>
      </c>
      <c r="F1152" s="59">
        <f t="shared" si="25"/>
        <v>6</v>
      </c>
      <c r="G1152" s="59">
        <f t="shared" si="26"/>
        <v>2026</v>
      </c>
      <c r="H1152" s="59" t="str">
        <f t="shared" si="27"/>
        <v>28C03652</v>
      </c>
      <c r="I1152" s="59">
        <f>IF(OR($A1152="",$C1152="",$D1152="",$E1152="",$H1152=""),"",SUMIFS(DATA_GOC!$H:$H,DATA_GOC!$A:$A,"BOM",DATA_GOC!$D:$D,$H1152,DATA_GOC!$E:$E,$C1152,DATA_GOC!$F:$F,"Xuất nội bộ từ téc",DATA_GOC!$B:$B,"&gt;="&amp;$D1152,DATA_GOC!$B:$B,"&lt;="&amp;$E1152))</f>
        <v>194</v>
      </c>
      <c r="J1152" s="59">
        <f t="shared" si="28"/>
        <v>8.522</v>
      </c>
      <c r="K1152" s="59">
        <f t="shared" si="29"/>
        <v>0</v>
      </c>
      <c r="L1152" s="59">
        <f t="shared" si="30"/>
        <v>202.522</v>
      </c>
      <c r="M1152" s="59">
        <f t="shared" si="31"/>
        <v>0.02315864868</v>
      </c>
    </row>
    <row r="1153" ht="15.0" hidden="1" customHeight="1">
      <c r="A1153" s="59">
        <f t="shared" si="20"/>
        <v>16</v>
      </c>
      <c r="B1153" s="59" t="str">
        <f t="shared" si="21"/>
        <v>Đã chốt</v>
      </c>
      <c r="C1153" s="59" t="str">
        <f t="shared" si="22"/>
        <v>Téc 1</v>
      </c>
      <c r="D1153" s="45">
        <f t="shared" si="23"/>
        <v>46178</v>
      </c>
      <c r="E1153" s="45">
        <f t="shared" si="24"/>
        <v>46188</v>
      </c>
      <c r="F1153" s="59">
        <f t="shared" si="25"/>
        <v>6</v>
      </c>
      <c r="G1153" s="59">
        <f t="shared" si="26"/>
        <v>2026</v>
      </c>
      <c r="H1153" s="59" t="str">
        <f t="shared" si="27"/>
        <v>28C03695</v>
      </c>
      <c r="I1153" s="59">
        <f>IF(OR($A1153="",$C1153="",$D1153="",$E1153="",$H1153=""),"",SUMIFS(DATA_GOC!$H:$H,DATA_GOC!$A:$A,"BOM",DATA_GOC!$D:$D,$H1153,DATA_GOC!$E:$E,$C1153,DATA_GOC!$F:$F,"Xuất nội bộ từ téc",DATA_GOC!$B:$B,"&gt;="&amp;$D1153,DATA_GOC!$B:$B,"&lt;="&amp;$E1153))</f>
        <v>203</v>
      </c>
      <c r="J1153" s="59">
        <f t="shared" si="28"/>
        <v>8.918</v>
      </c>
      <c r="K1153" s="59">
        <f t="shared" si="29"/>
        <v>0</v>
      </c>
      <c r="L1153" s="59">
        <f t="shared" si="30"/>
        <v>211.918</v>
      </c>
      <c r="M1153" s="59">
        <f t="shared" si="31"/>
        <v>0.02423301898</v>
      </c>
    </row>
    <row r="1154" ht="15.0" hidden="1" customHeight="1">
      <c r="A1154" s="59">
        <f t="shared" si="20"/>
        <v>16</v>
      </c>
      <c r="B1154" s="59" t="str">
        <f t="shared" si="21"/>
        <v>Đã chốt</v>
      </c>
      <c r="C1154" s="59" t="str">
        <f t="shared" si="22"/>
        <v>Téc 1</v>
      </c>
      <c r="D1154" s="45">
        <f t="shared" si="23"/>
        <v>46178</v>
      </c>
      <c r="E1154" s="45">
        <f t="shared" si="24"/>
        <v>46188</v>
      </c>
      <c r="F1154" s="59">
        <f t="shared" si="25"/>
        <v>6</v>
      </c>
      <c r="G1154" s="59">
        <f t="shared" si="26"/>
        <v>2026</v>
      </c>
      <c r="H1154" s="59" t="str">
        <f t="shared" si="27"/>
        <v>28C03927</v>
      </c>
      <c r="I1154" s="59">
        <f>IF(OR($A1154="",$C1154="",$D1154="",$E1154="",$H1154=""),"",SUMIFS(DATA_GOC!$H:$H,DATA_GOC!$A:$A,"BOM",DATA_GOC!$D:$D,$H1154,DATA_GOC!$E:$E,$C1154,DATA_GOC!$F:$F,"Xuất nội bộ từ téc",DATA_GOC!$B:$B,"&gt;="&amp;$D1154,DATA_GOC!$B:$B,"&lt;="&amp;$E1154))</f>
        <v>0</v>
      </c>
      <c r="J1154" s="59">
        <f t="shared" si="28"/>
        <v>0</v>
      </c>
      <c r="K1154" s="59">
        <f t="shared" si="29"/>
        <v>0</v>
      </c>
      <c r="L1154" s="59">
        <f t="shared" si="30"/>
        <v>0</v>
      </c>
      <c r="M1154" s="59">
        <f t="shared" si="31"/>
        <v>0</v>
      </c>
    </row>
    <row r="1155" ht="15.0" hidden="1" customHeight="1">
      <c r="A1155" s="59">
        <f t="shared" si="20"/>
        <v>16</v>
      </c>
      <c r="B1155" s="59" t="str">
        <f t="shared" si="21"/>
        <v>Đã chốt</v>
      </c>
      <c r="C1155" s="59" t="str">
        <f t="shared" si="22"/>
        <v>Téc 1</v>
      </c>
      <c r="D1155" s="45">
        <f t="shared" si="23"/>
        <v>46178</v>
      </c>
      <c r="E1155" s="45">
        <f t="shared" si="24"/>
        <v>46188</v>
      </c>
      <c r="F1155" s="59">
        <f t="shared" si="25"/>
        <v>6</v>
      </c>
      <c r="G1155" s="59">
        <f t="shared" si="26"/>
        <v>2026</v>
      </c>
      <c r="H1155" s="59" t="str">
        <f t="shared" si="27"/>
        <v>28C04509</v>
      </c>
      <c r="I1155" s="59">
        <f>IF(OR($A1155="",$C1155="",$D1155="",$E1155="",$H1155=""),"",SUMIFS(DATA_GOC!$H:$H,DATA_GOC!$A:$A,"BOM",DATA_GOC!$D:$D,$H1155,DATA_GOC!$E:$E,$C1155,DATA_GOC!$F:$F,"Xuất nội bộ từ téc",DATA_GOC!$B:$B,"&gt;="&amp;$D1155,DATA_GOC!$B:$B,"&lt;="&amp;$E1155))</f>
        <v>64</v>
      </c>
      <c r="J1155" s="59">
        <f t="shared" si="28"/>
        <v>2.812</v>
      </c>
      <c r="K1155" s="59">
        <f t="shared" si="29"/>
        <v>0</v>
      </c>
      <c r="L1155" s="59">
        <f t="shared" si="30"/>
        <v>66.812</v>
      </c>
      <c r="M1155" s="59">
        <f t="shared" si="31"/>
        <v>0.007639966575</v>
      </c>
    </row>
    <row r="1156" ht="15.0" hidden="1" customHeight="1">
      <c r="A1156" s="59">
        <f t="shared" si="20"/>
        <v>16</v>
      </c>
      <c r="B1156" s="59" t="str">
        <f t="shared" si="21"/>
        <v>Đã chốt</v>
      </c>
      <c r="C1156" s="59" t="str">
        <f t="shared" si="22"/>
        <v>Téc 1</v>
      </c>
      <c r="D1156" s="45">
        <f t="shared" si="23"/>
        <v>46178</v>
      </c>
      <c r="E1156" s="45">
        <f t="shared" si="24"/>
        <v>46188</v>
      </c>
      <c r="F1156" s="59">
        <f t="shared" si="25"/>
        <v>6</v>
      </c>
      <c r="G1156" s="59">
        <f t="shared" si="26"/>
        <v>2026</v>
      </c>
      <c r="H1156" s="59" t="str">
        <f t="shared" si="27"/>
        <v>28C04536</v>
      </c>
      <c r="I1156" s="59">
        <f>IF(OR($A1156="",$C1156="",$D1156="",$E1156="",$H1156=""),"",SUMIFS(DATA_GOC!$H:$H,DATA_GOC!$A:$A,"BOM",DATA_GOC!$D:$D,$H1156,DATA_GOC!$E:$E,$C1156,DATA_GOC!$F:$F,"Xuất nội bộ từ téc",DATA_GOC!$B:$B,"&gt;="&amp;$D1156,DATA_GOC!$B:$B,"&lt;="&amp;$E1156))</f>
        <v>0</v>
      </c>
      <c r="J1156" s="59">
        <f t="shared" si="28"/>
        <v>0</v>
      </c>
      <c r="K1156" s="59">
        <f t="shared" si="29"/>
        <v>0</v>
      </c>
      <c r="L1156" s="59">
        <f t="shared" si="30"/>
        <v>0</v>
      </c>
      <c r="M1156" s="59">
        <f t="shared" si="31"/>
        <v>0</v>
      </c>
    </row>
    <row r="1157" ht="15.0" hidden="1" customHeight="1">
      <c r="A1157" s="59">
        <f t="shared" si="20"/>
        <v>16</v>
      </c>
      <c r="B1157" s="59" t="str">
        <f t="shared" si="21"/>
        <v>Đã chốt</v>
      </c>
      <c r="C1157" s="59" t="str">
        <f t="shared" si="22"/>
        <v>Téc 1</v>
      </c>
      <c r="D1157" s="45">
        <f t="shared" si="23"/>
        <v>46178</v>
      </c>
      <c r="E1157" s="45">
        <f t="shared" si="24"/>
        <v>46188</v>
      </c>
      <c r="F1157" s="59">
        <f t="shared" si="25"/>
        <v>6</v>
      </c>
      <c r="G1157" s="59">
        <f t="shared" si="26"/>
        <v>2026</v>
      </c>
      <c r="H1157" s="59" t="str">
        <f t="shared" si="27"/>
        <v>28C04576</v>
      </c>
      <c r="I1157" s="59">
        <f>IF(OR($A1157="",$C1157="",$D1157="",$E1157="",$H1157=""),"",SUMIFS(DATA_GOC!$H:$H,DATA_GOC!$A:$A,"BOM",DATA_GOC!$D:$D,$H1157,DATA_GOC!$E:$E,$C1157,DATA_GOC!$F:$F,"Xuất nội bộ từ téc",DATA_GOC!$B:$B,"&gt;="&amp;$D1157,DATA_GOC!$B:$B,"&lt;="&amp;$E1157))</f>
        <v>210</v>
      </c>
      <c r="J1157" s="59">
        <f t="shared" si="28"/>
        <v>9.225</v>
      </c>
      <c r="K1157" s="59">
        <f t="shared" si="29"/>
        <v>0</v>
      </c>
      <c r="L1157" s="59">
        <f t="shared" si="30"/>
        <v>219.225</v>
      </c>
      <c r="M1157" s="59">
        <f t="shared" si="31"/>
        <v>0.02506864032</v>
      </c>
    </row>
    <row r="1158" ht="15.0" hidden="1" customHeight="1">
      <c r="A1158" s="59">
        <f t="shared" si="20"/>
        <v>16</v>
      </c>
      <c r="B1158" s="59" t="str">
        <f t="shared" si="21"/>
        <v>Đã chốt</v>
      </c>
      <c r="C1158" s="59" t="str">
        <f t="shared" si="22"/>
        <v>Téc 1</v>
      </c>
      <c r="D1158" s="45">
        <f t="shared" si="23"/>
        <v>46178</v>
      </c>
      <c r="E1158" s="45">
        <f t="shared" si="24"/>
        <v>46188</v>
      </c>
      <c r="F1158" s="59">
        <f t="shared" si="25"/>
        <v>6</v>
      </c>
      <c r="G1158" s="59">
        <f t="shared" si="26"/>
        <v>2026</v>
      </c>
      <c r="H1158" s="59" t="str">
        <f t="shared" si="27"/>
        <v>28C05090</v>
      </c>
      <c r="I1158" s="59">
        <f>IF(OR($A1158="",$C1158="",$D1158="",$E1158="",$H1158=""),"",SUMIFS(DATA_GOC!$H:$H,DATA_GOC!$A:$A,"BOM",DATA_GOC!$D:$D,$H1158,DATA_GOC!$E:$E,$C1158,DATA_GOC!$F:$F,"Xuất nội bộ từ téc",DATA_GOC!$B:$B,"&gt;="&amp;$D1158,DATA_GOC!$B:$B,"&lt;="&amp;$E1158))</f>
        <v>0</v>
      </c>
      <c r="J1158" s="59">
        <f t="shared" si="28"/>
        <v>0</v>
      </c>
      <c r="K1158" s="59">
        <f t="shared" si="29"/>
        <v>0</v>
      </c>
      <c r="L1158" s="59">
        <f t="shared" si="30"/>
        <v>0</v>
      </c>
      <c r="M1158" s="59">
        <f t="shared" si="31"/>
        <v>0</v>
      </c>
    </row>
    <row r="1159" ht="15.0" hidden="1" customHeight="1">
      <c r="A1159" s="59">
        <f t="shared" si="20"/>
        <v>16</v>
      </c>
      <c r="B1159" s="59" t="str">
        <f t="shared" si="21"/>
        <v>Đã chốt</v>
      </c>
      <c r="C1159" s="59" t="str">
        <f t="shared" si="22"/>
        <v>Téc 1</v>
      </c>
      <c r="D1159" s="45">
        <f t="shared" si="23"/>
        <v>46178</v>
      </c>
      <c r="E1159" s="45">
        <f t="shared" si="24"/>
        <v>46188</v>
      </c>
      <c r="F1159" s="59">
        <f t="shared" si="25"/>
        <v>6</v>
      </c>
      <c r="G1159" s="59">
        <f t="shared" si="26"/>
        <v>2026</v>
      </c>
      <c r="H1159" s="59" t="str">
        <f t="shared" si="27"/>
        <v>28C05345</v>
      </c>
      <c r="I1159" s="59">
        <f>IF(OR($A1159="",$C1159="",$D1159="",$E1159="",$H1159=""),"",SUMIFS(DATA_GOC!$H:$H,DATA_GOC!$A:$A,"BOM",DATA_GOC!$D:$D,$H1159,DATA_GOC!$E:$E,$C1159,DATA_GOC!$F:$F,"Xuất nội bộ từ téc",DATA_GOC!$B:$B,"&gt;="&amp;$D1159,DATA_GOC!$B:$B,"&lt;="&amp;$E1159))</f>
        <v>176</v>
      </c>
      <c r="J1159" s="59">
        <f t="shared" si="28"/>
        <v>7.732</v>
      </c>
      <c r="K1159" s="59">
        <f t="shared" si="29"/>
        <v>0</v>
      </c>
      <c r="L1159" s="59">
        <f t="shared" si="30"/>
        <v>183.732</v>
      </c>
      <c r="M1159" s="59">
        <f t="shared" si="31"/>
        <v>0.02100990808</v>
      </c>
    </row>
    <row r="1160" ht="15.0" hidden="1" customHeight="1">
      <c r="A1160" s="59">
        <f t="shared" si="20"/>
        <v>16</v>
      </c>
      <c r="B1160" s="59" t="str">
        <f t="shared" si="21"/>
        <v>Đã chốt</v>
      </c>
      <c r="C1160" s="59" t="str">
        <f t="shared" si="22"/>
        <v>Téc 1</v>
      </c>
      <c r="D1160" s="45">
        <f t="shared" si="23"/>
        <v>46178</v>
      </c>
      <c r="E1160" s="45">
        <f t="shared" si="24"/>
        <v>46188</v>
      </c>
      <c r="F1160" s="59">
        <f t="shared" si="25"/>
        <v>6</v>
      </c>
      <c r="G1160" s="59">
        <f t="shared" si="26"/>
        <v>2026</v>
      </c>
      <c r="H1160" s="59" t="str">
        <f t="shared" si="27"/>
        <v>28C05661</v>
      </c>
      <c r="I1160" s="59">
        <f>IF(OR($A1160="",$C1160="",$D1160="",$E1160="",$H1160=""),"",SUMIFS(DATA_GOC!$H:$H,DATA_GOC!$A:$A,"BOM",DATA_GOC!$D:$D,$H1160,DATA_GOC!$E:$E,$C1160,DATA_GOC!$F:$F,"Xuất nội bộ từ téc",DATA_GOC!$B:$B,"&gt;="&amp;$D1160,DATA_GOC!$B:$B,"&lt;="&amp;$E1160))</f>
        <v>0</v>
      </c>
      <c r="J1160" s="59">
        <f t="shared" si="28"/>
        <v>0</v>
      </c>
      <c r="K1160" s="59">
        <f t="shared" si="29"/>
        <v>0</v>
      </c>
      <c r="L1160" s="59">
        <f t="shared" si="30"/>
        <v>0</v>
      </c>
      <c r="M1160" s="59">
        <f t="shared" si="31"/>
        <v>0</v>
      </c>
    </row>
    <row r="1161" ht="15.0" hidden="1" customHeight="1">
      <c r="A1161" s="59">
        <f t="shared" si="20"/>
        <v>16</v>
      </c>
      <c r="B1161" s="59" t="str">
        <f t="shared" si="21"/>
        <v>Đã chốt</v>
      </c>
      <c r="C1161" s="59" t="str">
        <f t="shared" si="22"/>
        <v>Téc 1</v>
      </c>
      <c r="D1161" s="45">
        <f t="shared" si="23"/>
        <v>46178</v>
      </c>
      <c r="E1161" s="45">
        <f t="shared" si="24"/>
        <v>46188</v>
      </c>
      <c r="F1161" s="59">
        <f t="shared" si="25"/>
        <v>6</v>
      </c>
      <c r="G1161" s="59">
        <f t="shared" si="26"/>
        <v>2026</v>
      </c>
      <c r="H1161" s="59" t="str">
        <f t="shared" si="27"/>
        <v>28C05739</v>
      </c>
      <c r="I1161" s="59">
        <f>IF(OR($A1161="",$C1161="",$D1161="",$E1161="",$H1161=""),"",SUMIFS(DATA_GOC!$H:$H,DATA_GOC!$A:$A,"BOM",DATA_GOC!$D:$D,$H1161,DATA_GOC!$E:$E,$C1161,DATA_GOC!$F:$F,"Xuất nội bộ từ téc",DATA_GOC!$B:$B,"&gt;="&amp;$D1161,DATA_GOC!$B:$B,"&lt;="&amp;$E1161))</f>
        <v>238</v>
      </c>
      <c r="J1161" s="59">
        <f t="shared" si="28"/>
        <v>10.455</v>
      </c>
      <c r="K1161" s="59">
        <f t="shared" si="29"/>
        <v>0</v>
      </c>
      <c r="L1161" s="59">
        <f t="shared" si="30"/>
        <v>248.455</v>
      </c>
      <c r="M1161" s="59">
        <f t="shared" si="31"/>
        <v>0.0284111257</v>
      </c>
    </row>
    <row r="1162" ht="15.0" hidden="1" customHeight="1">
      <c r="A1162" s="59">
        <f t="shared" si="20"/>
        <v>16</v>
      </c>
      <c r="B1162" s="59" t="str">
        <f t="shared" si="21"/>
        <v>Đã chốt</v>
      </c>
      <c r="C1162" s="59" t="str">
        <f t="shared" si="22"/>
        <v>Téc 1</v>
      </c>
      <c r="D1162" s="45">
        <f t="shared" si="23"/>
        <v>46178</v>
      </c>
      <c r="E1162" s="45">
        <f t="shared" si="24"/>
        <v>46188</v>
      </c>
      <c r="F1162" s="59">
        <f t="shared" si="25"/>
        <v>6</v>
      </c>
      <c r="G1162" s="59">
        <f t="shared" si="26"/>
        <v>2026</v>
      </c>
      <c r="H1162" s="59" t="str">
        <f t="shared" si="27"/>
        <v>28C06369</v>
      </c>
      <c r="I1162" s="59">
        <f>IF(OR($A1162="",$C1162="",$D1162="",$E1162="",$H1162=""),"",SUMIFS(DATA_GOC!$H:$H,DATA_GOC!$A:$A,"BOM",DATA_GOC!$D:$D,$H1162,DATA_GOC!$E:$E,$C1162,DATA_GOC!$F:$F,"Xuất nội bộ từ téc",DATA_GOC!$B:$B,"&gt;="&amp;$D1162,DATA_GOC!$B:$B,"&lt;="&amp;$E1162))</f>
        <v>0</v>
      </c>
      <c r="J1162" s="59">
        <f t="shared" si="28"/>
        <v>0</v>
      </c>
      <c r="K1162" s="59">
        <f t="shared" si="29"/>
        <v>0</v>
      </c>
      <c r="L1162" s="59">
        <f t="shared" si="30"/>
        <v>0</v>
      </c>
      <c r="M1162" s="59">
        <f t="shared" si="31"/>
        <v>0</v>
      </c>
    </row>
    <row r="1163" ht="15.0" hidden="1" customHeight="1">
      <c r="A1163" s="59">
        <f t="shared" si="20"/>
        <v>16</v>
      </c>
      <c r="B1163" s="59" t="str">
        <f t="shared" si="21"/>
        <v>Đã chốt</v>
      </c>
      <c r="C1163" s="59" t="str">
        <f t="shared" si="22"/>
        <v>Téc 1</v>
      </c>
      <c r="D1163" s="45">
        <f t="shared" si="23"/>
        <v>46178</v>
      </c>
      <c r="E1163" s="45">
        <f t="shared" si="24"/>
        <v>46188</v>
      </c>
      <c r="F1163" s="59">
        <f t="shared" si="25"/>
        <v>6</v>
      </c>
      <c r="G1163" s="59">
        <f t="shared" si="26"/>
        <v>2026</v>
      </c>
      <c r="H1163" s="59" t="str">
        <f t="shared" si="27"/>
        <v>28C06447</v>
      </c>
      <c r="I1163" s="59">
        <f>IF(OR($A1163="",$C1163="",$D1163="",$E1163="",$H1163=""),"",SUMIFS(DATA_GOC!$H:$H,DATA_GOC!$A:$A,"BOM",DATA_GOC!$D:$D,$H1163,DATA_GOC!$E:$E,$C1163,DATA_GOC!$F:$F,"Xuất nội bộ từ téc",DATA_GOC!$B:$B,"&gt;="&amp;$D1163,DATA_GOC!$B:$B,"&lt;="&amp;$E1163))</f>
        <v>300</v>
      </c>
      <c r="J1163" s="59">
        <f t="shared" si="28"/>
        <v>13.179</v>
      </c>
      <c r="K1163" s="59">
        <f t="shared" si="29"/>
        <v>0</v>
      </c>
      <c r="L1163" s="59">
        <f t="shared" si="30"/>
        <v>313.179</v>
      </c>
      <c r="M1163" s="59">
        <f t="shared" si="31"/>
        <v>0.03581234332</v>
      </c>
    </row>
    <row r="1164" ht="15.0" hidden="1" customHeight="1">
      <c r="A1164" s="59">
        <f t="shared" si="20"/>
        <v>16</v>
      </c>
      <c r="B1164" s="59" t="str">
        <f t="shared" si="21"/>
        <v>Đã chốt</v>
      </c>
      <c r="C1164" s="59" t="str">
        <f t="shared" si="22"/>
        <v>Téc 1</v>
      </c>
      <c r="D1164" s="45">
        <f t="shared" si="23"/>
        <v>46178</v>
      </c>
      <c r="E1164" s="45">
        <f t="shared" si="24"/>
        <v>46188</v>
      </c>
      <c r="F1164" s="59">
        <f t="shared" si="25"/>
        <v>6</v>
      </c>
      <c r="G1164" s="59">
        <f t="shared" si="26"/>
        <v>2026</v>
      </c>
      <c r="H1164" s="59" t="str">
        <f t="shared" si="27"/>
        <v>28H00003</v>
      </c>
      <c r="I1164" s="59">
        <f>IF(OR($A1164="",$C1164="",$D1164="",$E1164="",$H1164=""),"",SUMIFS(DATA_GOC!$H:$H,DATA_GOC!$A:$A,"BOM",DATA_GOC!$D:$D,$H1164,DATA_GOC!$E:$E,$C1164,DATA_GOC!$F:$F,"Xuất nội bộ từ téc",DATA_GOC!$B:$B,"&gt;="&amp;$D1164,DATA_GOC!$B:$B,"&lt;="&amp;$E1164))</f>
        <v>270</v>
      </c>
      <c r="J1164" s="59">
        <f t="shared" si="28"/>
        <v>11.861</v>
      </c>
      <c r="K1164" s="59">
        <f t="shared" si="29"/>
        <v>0</v>
      </c>
      <c r="L1164" s="59">
        <f t="shared" si="30"/>
        <v>281.861</v>
      </c>
      <c r="M1164" s="59">
        <f t="shared" si="31"/>
        <v>0.03223110899</v>
      </c>
    </row>
    <row r="1165" ht="15.0" hidden="1" customHeight="1">
      <c r="A1165" s="59">
        <f t="shared" si="20"/>
        <v>16</v>
      </c>
      <c r="B1165" s="59" t="str">
        <f t="shared" si="21"/>
        <v>Đã chốt</v>
      </c>
      <c r="C1165" s="59" t="str">
        <f t="shared" si="22"/>
        <v>Téc 1</v>
      </c>
      <c r="D1165" s="45">
        <f t="shared" si="23"/>
        <v>46178</v>
      </c>
      <c r="E1165" s="45">
        <f t="shared" si="24"/>
        <v>46188</v>
      </c>
      <c r="F1165" s="59">
        <f t="shared" si="25"/>
        <v>6</v>
      </c>
      <c r="G1165" s="59">
        <f t="shared" si="26"/>
        <v>2026</v>
      </c>
      <c r="H1165" s="59" t="str">
        <f t="shared" si="27"/>
        <v>28H00061</v>
      </c>
      <c r="I1165" s="59">
        <f>IF(OR($A1165="",$C1165="",$D1165="",$E1165="",$H1165=""),"",SUMIFS(DATA_GOC!$H:$H,DATA_GOC!$A:$A,"BOM",DATA_GOC!$D:$D,$H1165,DATA_GOC!$E:$E,$C1165,DATA_GOC!$F:$F,"Xuất nội bộ từ téc",DATA_GOC!$B:$B,"&gt;="&amp;$D1165,DATA_GOC!$B:$B,"&lt;="&amp;$E1165))</f>
        <v>330</v>
      </c>
      <c r="J1165" s="59">
        <f t="shared" si="28"/>
        <v>14.497</v>
      </c>
      <c r="K1165" s="59">
        <f t="shared" si="29"/>
        <v>0</v>
      </c>
      <c r="L1165" s="59">
        <f t="shared" si="30"/>
        <v>344.497</v>
      </c>
      <c r="M1165" s="59">
        <f t="shared" si="31"/>
        <v>0.03939357765</v>
      </c>
    </row>
    <row r="1166" ht="15.0" hidden="1" customHeight="1">
      <c r="A1166" s="59">
        <f t="shared" si="20"/>
        <v>16</v>
      </c>
      <c r="B1166" s="59" t="str">
        <f t="shared" si="21"/>
        <v>Đã chốt</v>
      </c>
      <c r="C1166" s="59" t="str">
        <f t="shared" si="22"/>
        <v>Téc 1</v>
      </c>
      <c r="D1166" s="45">
        <f t="shared" si="23"/>
        <v>46178</v>
      </c>
      <c r="E1166" s="45">
        <f t="shared" si="24"/>
        <v>46188</v>
      </c>
      <c r="F1166" s="59">
        <f t="shared" si="25"/>
        <v>6</v>
      </c>
      <c r="G1166" s="59">
        <f t="shared" si="26"/>
        <v>2026</v>
      </c>
      <c r="H1166" s="59" t="str">
        <f t="shared" si="27"/>
        <v>28H00354</v>
      </c>
      <c r="I1166" s="59">
        <f>IF(OR($A1166="",$C1166="",$D1166="",$E1166="",$H1166=""),"",SUMIFS(DATA_GOC!$H:$H,DATA_GOC!$A:$A,"BOM",DATA_GOC!$D:$D,$H1166,DATA_GOC!$E:$E,$C1166,DATA_GOC!$F:$F,"Xuất nội bộ từ téc",DATA_GOC!$B:$B,"&gt;="&amp;$D1166,DATA_GOC!$B:$B,"&lt;="&amp;$E1166))</f>
        <v>0</v>
      </c>
      <c r="J1166" s="59">
        <f t="shared" si="28"/>
        <v>0</v>
      </c>
      <c r="K1166" s="59">
        <f t="shared" si="29"/>
        <v>0</v>
      </c>
      <c r="L1166" s="59">
        <f t="shared" si="30"/>
        <v>0</v>
      </c>
      <c r="M1166" s="59">
        <f t="shared" si="31"/>
        <v>0</v>
      </c>
    </row>
    <row r="1167" ht="15.0" hidden="1" customHeight="1">
      <c r="A1167" s="59">
        <f t="shared" si="20"/>
        <v>16</v>
      </c>
      <c r="B1167" s="59" t="str">
        <f t="shared" si="21"/>
        <v>Đã chốt</v>
      </c>
      <c r="C1167" s="59" t="str">
        <f t="shared" si="22"/>
        <v>Téc 1</v>
      </c>
      <c r="D1167" s="45">
        <f t="shared" si="23"/>
        <v>46178</v>
      </c>
      <c r="E1167" s="45">
        <f t="shared" si="24"/>
        <v>46188</v>
      </c>
      <c r="F1167" s="59">
        <f t="shared" si="25"/>
        <v>6</v>
      </c>
      <c r="G1167" s="59">
        <f t="shared" si="26"/>
        <v>2026</v>
      </c>
      <c r="H1167" s="59" t="str">
        <f t="shared" si="27"/>
        <v>28H00603</v>
      </c>
      <c r="I1167" s="59">
        <f>IF(OR($A1167="",$C1167="",$D1167="",$E1167="",$H1167=""),"",SUMIFS(DATA_GOC!$H:$H,DATA_GOC!$A:$A,"BOM",DATA_GOC!$D:$D,$H1167,DATA_GOC!$E:$E,$C1167,DATA_GOC!$F:$F,"Xuất nội bộ từ téc",DATA_GOC!$B:$B,"&gt;="&amp;$D1167,DATA_GOC!$B:$B,"&lt;="&amp;$E1167))</f>
        <v>230</v>
      </c>
      <c r="J1167" s="59">
        <f t="shared" si="28"/>
        <v>10.104</v>
      </c>
      <c r="K1167" s="59">
        <f t="shared" si="29"/>
        <v>0</v>
      </c>
      <c r="L1167" s="59">
        <f t="shared" si="30"/>
        <v>240.104</v>
      </c>
      <c r="M1167" s="59">
        <f t="shared" si="31"/>
        <v>0.02745612988</v>
      </c>
    </row>
    <row r="1168" ht="15.0" hidden="1" customHeight="1">
      <c r="A1168" s="59">
        <f t="shared" si="20"/>
        <v>16</v>
      </c>
      <c r="B1168" s="59" t="str">
        <f t="shared" si="21"/>
        <v>Đã chốt</v>
      </c>
      <c r="C1168" s="59" t="str">
        <f t="shared" si="22"/>
        <v>Téc 1</v>
      </c>
      <c r="D1168" s="45">
        <f t="shared" si="23"/>
        <v>46178</v>
      </c>
      <c r="E1168" s="45">
        <f t="shared" si="24"/>
        <v>46188</v>
      </c>
      <c r="F1168" s="59">
        <f t="shared" si="25"/>
        <v>6</v>
      </c>
      <c r="G1168" s="59">
        <f t="shared" si="26"/>
        <v>2026</v>
      </c>
      <c r="H1168" s="59" t="str">
        <f t="shared" si="27"/>
        <v>28H00609</v>
      </c>
      <c r="I1168" s="59">
        <f>IF(OR($A1168="",$C1168="",$D1168="",$E1168="",$H1168=""),"",SUMIFS(DATA_GOC!$H:$H,DATA_GOC!$A:$A,"BOM",DATA_GOC!$D:$D,$H1168,DATA_GOC!$E:$E,$C1168,DATA_GOC!$F:$F,"Xuất nội bộ từ téc",DATA_GOC!$B:$B,"&gt;="&amp;$D1168,DATA_GOC!$B:$B,"&lt;="&amp;$E1168))</f>
        <v>0</v>
      </c>
      <c r="J1168" s="59">
        <f t="shared" si="28"/>
        <v>0</v>
      </c>
      <c r="K1168" s="59">
        <f t="shared" si="29"/>
        <v>0</v>
      </c>
      <c r="L1168" s="59">
        <f t="shared" si="30"/>
        <v>0</v>
      </c>
      <c r="M1168" s="59">
        <f t="shared" si="31"/>
        <v>0</v>
      </c>
    </row>
    <row r="1169" ht="15.0" hidden="1" customHeight="1">
      <c r="A1169" s="59">
        <f t="shared" si="20"/>
        <v>16</v>
      </c>
      <c r="B1169" s="59" t="str">
        <f t="shared" si="21"/>
        <v>Đã chốt</v>
      </c>
      <c r="C1169" s="59" t="str">
        <f t="shared" si="22"/>
        <v>Téc 1</v>
      </c>
      <c r="D1169" s="45">
        <f t="shared" si="23"/>
        <v>46178</v>
      </c>
      <c r="E1169" s="45">
        <f t="shared" si="24"/>
        <v>46188</v>
      </c>
      <c r="F1169" s="59">
        <f t="shared" si="25"/>
        <v>6</v>
      </c>
      <c r="G1169" s="59">
        <f t="shared" si="26"/>
        <v>2026</v>
      </c>
      <c r="H1169" s="59" t="str">
        <f t="shared" si="27"/>
        <v>28H00669</v>
      </c>
      <c r="I1169" s="59">
        <f>IF(OR($A1169="",$C1169="",$D1169="",$E1169="",$H1169=""),"",SUMIFS(DATA_GOC!$H:$H,DATA_GOC!$A:$A,"BOM",DATA_GOC!$D:$D,$H1169,DATA_GOC!$E:$E,$C1169,DATA_GOC!$F:$F,"Xuất nội bộ từ téc",DATA_GOC!$B:$B,"&gt;="&amp;$D1169,DATA_GOC!$B:$B,"&lt;="&amp;$E1169))</f>
        <v>500</v>
      </c>
      <c r="J1169" s="59">
        <f t="shared" si="28"/>
        <v>21.965</v>
      </c>
      <c r="K1169" s="59">
        <f t="shared" si="29"/>
        <v>0</v>
      </c>
      <c r="L1169" s="59">
        <f t="shared" si="30"/>
        <v>521.965</v>
      </c>
      <c r="M1169" s="59">
        <f t="shared" si="31"/>
        <v>0.05968723887</v>
      </c>
    </row>
    <row r="1170" ht="15.0" hidden="1" customHeight="1">
      <c r="A1170" s="59">
        <f t="shared" si="20"/>
        <v>16</v>
      </c>
      <c r="B1170" s="59" t="str">
        <f t="shared" si="21"/>
        <v>Đã chốt</v>
      </c>
      <c r="C1170" s="59" t="str">
        <f t="shared" si="22"/>
        <v>Téc 1</v>
      </c>
      <c r="D1170" s="45">
        <f t="shared" si="23"/>
        <v>46178</v>
      </c>
      <c r="E1170" s="45">
        <f t="shared" si="24"/>
        <v>46188</v>
      </c>
      <c r="F1170" s="59">
        <f t="shared" si="25"/>
        <v>6</v>
      </c>
      <c r="G1170" s="59">
        <f t="shared" si="26"/>
        <v>2026</v>
      </c>
      <c r="H1170" s="59" t="str">
        <f t="shared" si="27"/>
        <v>28H00680</v>
      </c>
      <c r="I1170" s="59">
        <f>IF(OR($A1170="",$C1170="",$D1170="",$E1170="",$H1170=""),"",SUMIFS(DATA_GOC!$H:$H,DATA_GOC!$A:$A,"BOM",DATA_GOC!$D:$D,$H1170,DATA_GOC!$E:$E,$C1170,DATA_GOC!$F:$F,"Xuất nội bộ từ téc",DATA_GOC!$B:$B,"&gt;="&amp;$D1170,DATA_GOC!$B:$B,"&lt;="&amp;$E1170))</f>
        <v>484</v>
      </c>
      <c r="J1170" s="59">
        <f t="shared" si="28"/>
        <v>21.262</v>
      </c>
      <c r="K1170" s="59">
        <f t="shared" si="29"/>
        <v>0</v>
      </c>
      <c r="L1170" s="59">
        <f t="shared" si="30"/>
        <v>505.262</v>
      </c>
      <c r="M1170" s="59">
        <f t="shared" si="31"/>
        <v>0.05777724722</v>
      </c>
    </row>
    <row r="1171" ht="15.0" hidden="1" customHeight="1">
      <c r="A1171" s="59">
        <f t="shared" si="20"/>
        <v>16</v>
      </c>
      <c r="B1171" s="59" t="str">
        <f t="shared" si="21"/>
        <v>Đã chốt</v>
      </c>
      <c r="C1171" s="59" t="str">
        <f t="shared" si="22"/>
        <v>Téc 1</v>
      </c>
      <c r="D1171" s="45">
        <f t="shared" si="23"/>
        <v>46178</v>
      </c>
      <c r="E1171" s="45">
        <f t="shared" si="24"/>
        <v>46188</v>
      </c>
      <c r="F1171" s="59">
        <f t="shared" si="25"/>
        <v>6</v>
      </c>
      <c r="G1171" s="59">
        <f t="shared" si="26"/>
        <v>2026</v>
      </c>
      <c r="H1171" s="59" t="str">
        <f t="shared" si="27"/>
        <v>28H01070</v>
      </c>
      <c r="I1171" s="59">
        <f>IF(OR($A1171="",$C1171="",$D1171="",$E1171="",$H1171=""),"",SUMIFS(DATA_GOC!$H:$H,DATA_GOC!$A:$A,"BOM",DATA_GOC!$D:$D,$H1171,DATA_GOC!$E:$E,$C1171,DATA_GOC!$F:$F,"Xuất nội bộ từ téc",DATA_GOC!$B:$B,"&gt;="&amp;$D1171,DATA_GOC!$B:$B,"&lt;="&amp;$E1171))</f>
        <v>610</v>
      </c>
      <c r="J1171" s="59">
        <f t="shared" si="28"/>
        <v>26.797</v>
      </c>
      <c r="K1171" s="59">
        <f t="shared" si="29"/>
        <v>0</v>
      </c>
      <c r="L1171" s="59">
        <f t="shared" si="30"/>
        <v>636.797</v>
      </c>
      <c r="M1171" s="59">
        <f t="shared" si="31"/>
        <v>0.07281843142</v>
      </c>
    </row>
    <row r="1172" ht="15.0" hidden="1" customHeight="1">
      <c r="A1172" s="59">
        <f t="shared" si="20"/>
        <v>16</v>
      </c>
      <c r="B1172" s="59" t="str">
        <f t="shared" si="21"/>
        <v>Đã chốt</v>
      </c>
      <c r="C1172" s="59" t="str">
        <f t="shared" si="22"/>
        <v>Téc 1</v>
      </c>
      <c r="D1172" s="45">
        <f t="shared" si="23"/>
        <v>46178</v>
      </c>
      <c r="E1172" s="45">
        <f t="shared" si="24"/>
        <v>46188</v>
      </c>
      <c r="F1172" s="59">
        <f t="shared" si="25"/>
        <v>6</v>
      </c>
      <c r="G1172" s="59">
        <f t="shared" si="26"/>
        <v>2026</v>
      </c>
      <c r="H1172" s="59" t="str">
        <f t="shared" si="27"/>
        <v>28H01364</v>
      </c>
      <c r="I1172" s="59">
        <f>IF(OR($A1172="",$C1172="",$D1172="",$E1172="",$H1172=""),"",SUMIFS(DATA_GOC!$H:$H,DATA_GOC!$A:$A,"BOM",DATA_GOC!$D:$D,$H1172,DATA_GOC!$E:$E,$C1172,DATA_GOC!$F:$F,"Xuất nội bộ từ téc",DATA_GOC!$B:$B,"&gt;="&amp;$D1172,DATA_GOC!$B:$B,"&lt;="&amp;$E1172))</f>
        <v>644</v>
      </c>
      <c r="J1172" s="59">
        <f t="shared" si="28"/>
        <v>28.291</v>
      </c>
      <c r="K1172" s="59">
        <f t="shared" si="29"/>
        <v>0</v>
      </c>
      <c r="L1172" s="59">
        <f t="shared" si="30"/>
        <v>672.291</v>
      </c>
      <c r="M1172" s="59">
        <f t="shared" si="31"/>
        <v>0.07687716366</v>
      </c>
    </row>
    <row r="1173" ht="15.0" hidden="1" customHeight="1">
      <c r="A1173" s="59">
        <f t="shared" si="20"/>
        <v>16</v>
      </c>
      <c r="B1173" s="59" t="str">
        <f t="shared" si="21"/>
        <v>Đã chốt</v>
      </c>
      <c r="C1173" s="59" t="str">
        <f t="shared" si="22"/>
        <v>Téc 1</v>
      </c>
      <c r="D1173" s="45">
        <f t="shared" si="23"/>
        <v>46178</v>
      </c>
      <c r="E1173" s="45">
        <f t="shared" si="24"/>
        <v>46188</v>
      </c>
      <c r="F1173" s="59">
        <f t="shared" si="25"/>
        <v>6</v>
      </c>
      <c r="G1173" s="59">
        <f t="shared" si="26"/>
        <v>2026</v>
      </c>
      <c r="H1173" s="59" t="str">
        <f t="shared" si="27"/>
        <v>29E17269</v>
      </c>
      <c r="I1173" s="59">
        <f>IF(OR($A1173="",$C1173="",$D1173="",$E1173="",$H1173=""),"",SUMIFS(DATA_GOC!$H:$H,DATA_GOC!$A:$A,"BOM",DATA_GOC!$D:$D,$H1173,DATA_GOC!$E:$E,$C1173,DATA_GOC!$F:$F,"Xuất nội bộ từ téc",DATA_GOC!$B:$B,"&gt;="&amp;$D1173,DATA_GOC!$B:$B,"&lt;="&amp;$E1173))</f>
        <v>268</v>
      </c>
      <c r="J1173" s="59">
        <f t="shared" si="28"/>
        <v>11.773</v>
      </c>
      <c r="K1173" s="59">
        <f t="shared" si="29"/>
        <v>0</v>
      </c>
      <c r="L1173" s="59">
        <f t="shared" si="30"/>
        <v>279.773</v>
      </c>
      <c r="M1173" s="59">
        <f t="shared" si="31"/>
        <v>0.03199236003</v>
      </c>
    </row>
    <row r="1174" ht="15.0" hidden="1" customHeight="1">
      <c r="A1174" s="59">
        <f t="shared" si="20"/>
        <v>16</v>
      </c>
      <c r="B1174" s="59" t="str">
        <f t="shared" si="21"/>
        <v>Đã chốt</v>
      </c>
      <c r="C1174" s="59" t="str">
        <f t="shared" si="22"/>
        <v>Téc 1</v>
      </c>
      <c r="D1174" s="45">
        <f t="shared" si="23"/>
        <v>46178</v>
      </c>
      <c r="E1174" s="45">
        <f t="shared" si="24"/>
        <v>46188</v>
      </c>
      <c r="F1174" s="59">
        <f t="shared" si="25"/>
        <v>6</v>
      </c>
      <c r="G1174" s="59">
        <f t="shared" si="26"/>
        <v>2026</v>
      </c>
      <c r="H1174" s="59" t="str">
        <f t="shared" si="27"/>
        <v>29E17273</v>
      </c>
      <c r="I1174" s="59">
        <f>IF(OR($A1174="",$C1174="",$D1174="",$E1174="",$H1174=""),"",SUMIFS(DATA_GOC!$H:$H,DATA_GOC!$A:$A,"BOM",DATA_GOC!$D:$D,$H1174,DATA_GOC!$E:$E,$C1174,DATA_GOC!$F:$F,"Xuất nội bộ từ téc",DATA_GOC!$B:$B,"&gt;="&amp;$D1174,DATA_GOC!$B:$B,"&lt;="&amp;$E1174))</f>
        <v>222</v>
      </c>
      <c r="J1174" s="59">
        <f t="shared" si="28"/>
        <v>9.752</v>
      </c>
      <c r="K1174" s="59">
        <f t="shared" si="29"/>
        <v>0</v>
      </c>
      <c r="L1174" s="59">
        <f t="shared" si="30"/>
        <v>231.752</v>
      </c>
      <c r="M1174" s="59">
        <f t="shared" si="31"/>
        <v>0.02650113406</v>
      </c>
    </row>
    <row r="1175" ht="15.0" hidden="1" customHeight="1">
      <c r="A1175" s="59">
        <f t="shared" si="20"/>
        <v>16</v>
      </c>
      <c r="B1175" s="59" t="str">
        <f t="shared" si="21"/>
        <v>Đã chốt</v>
      </c>
      <c r="C1175" s="59" t="str">
        <f t="shared" si="22"/>
        <v>Téc 1</v>
      </c>
      <c r="D1175" s="45">
        <f t="shared" si="23"/>
        <v>46178</v>
      </c>
      <c r="E1175" s="45">
        <f t="shared" si="24"/>
        <v>46188</v>
      </c>
      <c r="F1175" s="59">
        <f t="shared" si="25"/>
        <v>6</v>
      </c>
      <c r="G1175" s="59">
        <f t="shared" si="26"/>
        <v>2026</v>
      </c>
      <c r="H1175" s="59" t="str">
        <f t="shared" si="27"/>
        <v>29E17410</v>
      </c>
      <c r="I1175" s="59">
        <f>IF(OR($A1175="",$C1175="",$D1175="",$E1175="",$H1175=""),"",SUMIFS(DATA_GOC!$H:$H,DATA_GOC!$A:$A,"BOM",DATA_GOC!$D:$D,$H1175,DATA_GOC!$E:$E,$C1175,DATA_GOC!$F:$F,"Xuất nội bộ từ téc",DATA_GOC!$B:$B,"&gt;="&amp;$D1175,DATA_GOC!$B:$B,"&lt;="&amp;$E1175))</f>
        <v>0</v>
      </c>
      <c r="J1175" s="59">
        <f t="shared" si="28"/>
        <v>0</v>
      </c>
      <c r="K1175" s="59">
        <f t="shared" si="29"/>
        <v>0</v>
      </c>
      <c r="L1175" s="59">
        <f t="shared" si="30"/>
        <v>0</v>
      </c>
      <c r="M1175" s="59">
        <f t="shared" si="31"/>
        <v>0</v>
      </c>
    </row>
    <row r="1176" ht="15.0" hidden="1" customHeight="1">
      <c r="A1176" s="59">
        <f t="shared" si="20"/>
        <v>16</v>
      </c>
      <c r="B1176" s="59" t="str">
        <f t="shared" si="21"/>
        <v>Đã chốt</v>
      </c>
      <c r="C1176" s="59" t="str">
        <f t="shared" si="22"/>
        <v>Téc 1</v>
      </c>
      <c r="D1176" s="45">
        <f t="shared" si="23"/>
        <v>46178</v>
      </c>
      <c r="E1176" s="45">
        <f t="shared" si="24"/>
        <v>46188</v>
      </c>
      <c r="F1176" s="59">
        <f t="shared" si="25"/>
        <v>6</v>
      </c>
      <c r="G1176" s="59">
        <f t="shared" si="26"/>
        <v>2026</v>
      </c>
      <c r="H1176" s="59" t="str">
        <f t="shared" si="27"/>
        <v>29E17417</v>
      </c>
      <c r="I1176" s="59">
        <f>IF(OR($A1176="",$C1176="",$D1176="",$E1176="",$H1176=""),"",SUMIFS(DATA_GOC!$H:$H,DATA_GOC!$A:$A,"BOM",DATA_GOC!$D:$D,$H1176,DATA_GOC!$E:$E,$C1176,DATA_GOC!$F:$F,"Xuất nội bộ từ téc",DATA_GOC!$B:$B,"&gt;="&amp;$D1176,DATA_GOC!$B:$B,"&lt;="&amp;$E1176))</f>
        <v>0</v>
      </c>
      <c r="J1176" s="59">
        <f t="shared" si="28"/>
        <v>0</v>
      </c>
      <c r="K1176" s="59">
        <f t="shared" si="29"/>
        <v>0</v>
      </c>
      <c r="L1176" s="59">
        <f t="shared" si="30"/>
        <v>0</v>
      </c>
      <c r="M1176" s="59">
        <f t="shared" si="31"/>
        <v>0</v>
      </c>
    </row>
    <row r="1177" ht="15.0" hidden="1" customHeight="1">
      <c r="A1177" s="59">
        <f t="shared" si="20"/>
        <v>16</v>
      </c>
      <c r="B1177" s="59" t="str">
        <f t="shared" si="21"/>
        <v>Đã chốt</v>
      </c>
      <c r="C1177" s="59" t="str">
        <f t="shared" si="22"/>
        <v>Téc 1</v>
      </c>
      <c r="D1177" s="45">
        <f t="shared" si="23"/>
        <v>46178</v>
      </c>
      <c r="E1177" s="45">
        <f t="shared" si="24"/>
        <v>46188</v>
      </c>
      <c r="F1177" s="59">
        <f t="shared" si="25"/>
        <v>6</v>
      </c>
      <c r="G1177" s="59">
        <f t="shared" si="26"/>
        <v>2026</v>
      </c>
      <c r="H1177" s="59" t="str">
        <f t="shared" si="27"/>
        <v>29E17539</v>
      </c>
      <c r="I1177" s="59">
        <f>IF(OR($A1177="",$C1177="",$D1177="",$E1177="",$H1177=""),"",SUMIFS(DATA_GOC!$H:$H,DATA_GOC!$A:$A,"BOM",DATA_GOC!$D:$D,$H1177,DATA_GOC!$E:$E,$C1177,DATA_GOC!$F:$F,"Xuất nội bộ từ téc",DATA_GOC!$B:$B,"&gt;="&amp;$D1177,DATA_GOC!$B:$B,"&lt;="&amp;$E1177))</f>
        <v>222</v>
      </c>
      <c r="J1177" s="59">
        <f t="shared" si="28"/>
        <v>9.752</v>
      </c>
      <c r="K1177" s="59">
        <f t="shared" si="29"/>
        <v>0</v>
      </c>
      <c r="L1177" s="59">
        <f t="shared" si="30"/>
        <v>231.752</v>
      </c>
      <c r="M1177" s="59">
        <f t="shared" si="31"/>
        <v>0.02650113406</v>
      </c>
    </row>
    <row r="1178" ht="15.0" hidden="1" customHeight="1">
      <c r="A1178" s="59">
        <f t="shared" si="20"/>
        <v>16</v>
      </c>
      <c r="B1178" s="59" t="str">
        <f t="shared" si="21"/>
        <v>Đã chốt</v>
      </c>
      <c r="C1178" s="59" t="str">
        <f t="shared" si="22"/>
        <v>Téc 1</v>
      </c>
      <c r="D1178" s="45">
        <f t="shared" si="23"/>
        <v>46178</v>
      </c>
      <c r="E1178" s="45">
        <f t="shared" si="24"/>
        <v>46188</v>
      </c>
      <c r="F1178" s="59">
        <f t="shared" si="25"/>
        <v>6</v>
      </c>
      <c r="G1178" s="59">
        <f t="shared" si="26"/>
        <v>2026</v>
      </c>
      <c r="H1178" s="59" t="str">
        <f t="shared" si="27"/>
        <v>29E18160</v>
      </c>
      <c r="I1178" s="59">
        <f>IF(OR($A1178="",$C1178="",$D1178="",$E1178="",$H1178=""),"",SUMIFS(DATA_GOC!$H:$H,DATA_GOC!$A:$A,"BOM",DATA_GOC!$D:$D,$H1178,DATA_GOC!$E:$E,$C1178,DATA_GOC!$F:$F,"Xuất nội bộ từ téc",DATA_GOC!$B:$B,"&gt;="&amp;$D1178,DATA_GOC!$B:$B,"&lt;="&amp;$E1178))</f>
        <v>0</v>
      </c>
      <c r="J1178" s="59">
        <f t="shared" si="28"/>
        <v>0</v>
      </c>
      <c r="K1178" s="59">
        <f t="shared" si="29"/>
        <v>0</v>
      </c>
      <c r="L1178" s="59">
        <f t="shared" si="30"/>
        <v>0</v>
      </c>
      <c r="M1178" s="59">
        <f t="shared" si="31"/>
        <v>0</v>
      </c>
    </row>
    <row r="1179" ht="15.0" hidden="1" customHeight="1">
      <c r="A1179" s="59">
        <f t="shared" si="20"/>
        <v>16</v>
      </c>
      <c r="B1179" s="59" t="str">
        <f t="shared" si="21"/>
        <v>Đã chốt</v>
      </c>
      <c r="C1179" s="59" t="str">
        <f t="shared" si="22"/>
        <v>Téc 1</v>
      </c>
      <c r="D1179" s="45">
        <f t="shared" si="23"/>
        <v>46178</v>
      </c>
      <c r="E1179" s="45">
        <f t="shared" si="24"/>
        <v>46188</v>
      </c>
      <c r="F1179" s="59">
        <f t="shared" si="25"/>
        <v>6</v>
      </c>
      <c r="G1179" s="59">
        <f t="shared" si="26"/>
        <v>2026</v>
      </c>
      <c r="H1179" s="59" t="str">
        <f t="shared" si="27"/>
        <v>Công trình Asphalt</v>
      </c>
      <c r="I1179" s="59">
        <f>IF(OR($A1179="",$C1179="",$D1179="",$E1179="",$H1179=""),"",SUMIFS(DATA_GOC!$H:$H,DATA_GOC!$A:$A,"BOM",DATA_GOC!$D:$D,$H1179,DATA_GOC!$E:$E,$C1179,DATA_GOC!$F:$F,"Xuất nội bộ từ téc",DATA_GOC!$B:$B,"&gt;="&amp;$D1179,DATA_GOC!$B:$B,"&lt;="&amp;$E1179))</f>
        <v>0</v>
      </c>
      <c r="J1179" s="59">
        <f t="shared" si="28"/>
        <v>0</v>
      </c>
      <c r="K1179" s="59">
        <f t="shared" si="29"/>
        <v>0</v>
      </c>
      <c r="L1179" s="59">
        <f t="shared" si="30"/>
        <v>0</v>
      </c>
      <c r="M1179" s="59">
        <f t="shared" si="31"/>
        <v>0</v>
      </c>
    </row>
    <row r="1180" ht="15.0" hidden="1" customHeight="1">
      <c r="A1180" s="59">
        <f t="shared" si="20"/>
        <v>16</v>
      </c>
      <c r="B1180" s="59" t="str">
        <f t="shared" si="21"/>
        <v>Đã chốt</v>
      </c>
      <c r="C1180" s="59" t="str">
        <f t="shared" si="22"/>
        <v>Téc 1</v>
      </c>
      <c r="D1180" s="45">
        <f t="shared" si="23"/>
        <v>46178</v>
      </c>
      <c r="E1180" s="45">
        <f t="shared" si="24"/>
        <v>46188</v>
      </c>
      <c r="F1180" s="59">
        <f t="shared" si="25"/>
        <v>6</v>
      </c>
      <c r="G1180" s="59">
        <f t="shared" si="26"/>
        <v>2026</v>
      </c>
      <c r="H1180" s="59" t="str">
        <f t="shared" si="27"/>
        <v>LG53F</v>
      </c>
      <c r="I1180" s="59">
        <f>IF(OR($A1180="",$C1180="",$D1180="",$E1180="",$H1180=""),"",SUMIFS(DATA_GOC!$H:$H,DATA_GOC!$A:$A,"BOM",DATA_GOC!$D:$D,$H1180,DATA_GOC!$E:$E,$C1180,DATA_GOC!$F:$F,"Xuất nội bộ từ téc",DATA_GOC!$B:$B,"&gt;="&amp;$D1180,DATA_GOC!$B:$B,"&lt;="&amp;$E1180))</f>
        <v>0</v>
      </c>
      <c r="J1180" s="59">
        <f t="shared" si="28"/>
        <v>0</v>
      </c>
      <c r="K1180" s="59">
        <f t="shared" si="29"/>
        <v>0</v>
      </c>
      <c r="L1180" s="59">
        <f t="shared" si="30"/>
        <v>0</v>
      </c>
      <c r="M1180" s="59">
        <f t="shared" si="31"/>
        <v>0</v>
      </c>
    </row>
    <row r="1181" ht="15.0" hidden="1" customHeight="1">
      <c r="A1181" s="59">
        <f t="shared" si="20"/>
        <v>16</v>
      </c>
      <c r="B1181" s="59" t="str">
        <f t="shared" si="21"/>
        <v>Đã chốt</v>
      </c>
      <c r="C1181" s="59" t="str">
        <f t="shared" si="22"/>
        <v>Téc 1</v>
      </c>
      <c r="D1181" s="45">
        <f t="shared" si="23"/>
        <v>46178</v>
      </c>
      <c r="E1181" s="45">
        <f t="shared" si="24"/>
        <v>46188</v>
      </c>
      <c r="F1181" s="59">
        <f t="shared" si="25"/>
        <v>6</v>
      </c>
      <c r="G1181" s="59">
        <f t="shared" si="26"/>
        <v>2026</v>
      </c>
      <c r="H1181" s="59" t="str">
        <f t="shared" si="27"/>
        <v>Máy phát điện</v>
      </c>
      <c r="I1181" s="59">
        <f>IF(OR($A1181="",$C1181="",$D1181="",$E1181="",$H1181=""),"",SUMIFS(DATA_GOC!$H:$H,DATA_GOC!$A:$A,"BOM",DATA_GOC!$D:$D,$H1181,DATA_GOC!$E:$E,$C1181,DATA_GOC!$F:$F,"Xuất nội bộ từ téc",DATA_GOC!$B:$B,"&gt;="&amp;$D1181,DATA_GOC!$B:$B,"&lt;="&amp;$E1181))</f>
        <v>0</v>
      </c>
      <c r="J1181" s="59">
        <f t="shared" si="28"/>
        <v>0</v>
      </c>
      <c r="K1181" s="59">
        <f t="shared" si="29"/>
        <v>0</v>
      </c>
      <c r="L1181" s="59">
        <f t="shared" si="30"/>
        <v>0</v>
      </c>
      <c r="M1181" s="59">
        <f t="shared" si="31"/>
        <v>0</v>
      </c>
    </row>
    <row r="1182" ht="15.0" hidden="1" customHeight="1">
      <c r="A1182" s="59">
        <f t="shared" si="20"/>
        <v>16</v>
      </c>
      <c r="B1182" s="59" t="str">
        <f t="shared" si="21"/>
        <v>Đã chốt</v>
      </c>
      <c r="C1182" s="59" t="str">
        <f t="shared" si="22"/>
        <v>Téc 1</v>
      </c>
      <c r="D1182" s="45">
        <f t="shared" si="23"/>
        <v>46178</v>
      </c>
      <c r="E1182" s="45">
        <f t="shared" si="24"/>
        <v>46188</v>
      </c>
      <c r="F1182" s="59">
        <f t="shared" si="25"/>
        <v>6</v>
      </c>
      <c r="G1182" s="59">
        <f t="shared" si="26"/>
        <v>2026</v>
      </c>
      <c r="H1182" s="59" t="str">
        <f t="shared" si="27"/>
        <v>Máy rải thảm</v>
      </c>
      <c r="I1182" s="59">
        <f>IF(OR($A1182="",$C1182="",$D1182="",$E1182="",$H1182=""),"",SUMIFS(DATA_GOC!$H:$H,DATA_GOC!$A:$A,"BOM",DATA_GOC!$D:$D,$H1182,DATA_GOC!$E:$E,$C1182,DATA_GOC!$F:$F,"Xuất nội bộ từ téc",DATA_GOC!$B:$B,"&gt;="&amp;$D1182,DATA_GOC!$B:$B,"&lt;="&amp;$E1182))</f>
        <v>0</v>
      </c>
      <c r="J1182" s="59">
        <f t="shared" si="28"/>
        <v>0</v>
      </c>
      <c r="K1182" s="59">
        <f t="shared" si="29"/>
        <v>0</v>
      </c>
      <c r="L1182" s="59">
        <f t="shared" si="30"/>
        <v>0</v>
      </c>
      <c r="M1182" s="59">
        <f t="shared" si="31"/>
        <v>0</v>
      </c>
    </row>
    <row r="1183" ht="15.0" hidden="1" customHeight="1">
      <c r="A1183" s="59">
        <f t="shared" si="20"/>
        <v>16</v>
      </c>
      <c r="B1183" s="59" t="str">
        <f t="shared" si="21"/>
        <v>Đã chốt</v>
      </c>
      <c r="C1183" s="59" t="str">
        <f t="shared" si="22"/>
        <v>Téc 1</v>
      </c>
      <c r="D1183" s="45">
        <f t="shared" si="23"/>
        <v>46178</v>
      </c>
      <c r="E1183" s="45">
        <f t="shared" si="24"/>
        <v>46188</v>
      </c>
      <c r="F1183" s="59">
        <f t="shared" si="25"/>
        <v>6</v>
      </c>
      <c r="G1183" s="59">
        <f t="shared" si="26"/>
        <v>2026</v>
      </c>
      <c r="H1183" s="59" t="str">
        <f t="shared" si="27"/>
        <v>Xúc Đào</v>
      </c>
      <c r="I1183" s="59">
        <f>IF(OR($A1183="",$C1183="",$D1183="",$E1183="",$H1183=""),"",SUMIFS(DATA_GOC!$H:$H,DATA_GOC!$A:$A,"BOM",DATA_GOC!$D:$D,$H1183,DATA_GOC!$E:$E,$C1183,DATA_GOC!$F:$F,"Xuất nội bộ từ téc",DATA_GOC!$B:$B,"&gt;="&amp;$D1183,DATA_GOC!$B:$B,"&lt;="&amp;$E1183))</f>
        <v>0</v>
      </c>
      <c r="J1183" s="59">
        <f t="shared" si="28"/>
        <v>0</v>
      </c>
      <c r="K1183" s="59">
        <f t="shared" si="29"/>
        <v>0</v>
      </c>
      <c r="L1183" s="59">
        <f t="shared" si="30"/>
        <v>0</v>
      </c>
      <c r="M1183" s="59">
        <f t="shared" si="31"/>
        <v>0</v>
      </c>
    </row>
    <row r="1184" ht="15.0" hidden="1" customHeight="1">
      <c r="A1184" s="59">
        <f t="shared" si="20"/>
        <v>16</v>
      </c>
      <c r="B1184" s="59" t="str">
        <f t="shared" si="21"/>
        <v>Đã chốt</v>
      </c>
      <c r="C1184" s="59" t="str">
        <f t="shared" si="22"/>
        <v>Téc 1</v>
      </c>
      <c r="D1184" s="45">
        <f t="shared" si="23"/>
        <v>46178</v>
      </c>
      <c r="E1184" s="45">
        <f t="shared" si="24"/>
        <v>46188</v>
      </c>
      <c r="F1184" s="59">
        <f t="shared" si="25"/>
        <v>6</v>
      </c>
      <c r="G1184" s="59">
        <f t="shared" si="26"/>
        <v>2026</v>
      </c>
      <c r="H1184" s="59" t="str">
        <f t="shared" si="27"/>
        <v>Xúclật asphalt</v>
      </c>
      <c r="I1184" s="59">
        <f>IF(OR($A1184="",$C1184="",$D1184="",$E1184="",$H1184=""),"",SUMIFS(DATA_GOC!$H:$H,DATA_GOC!$A:$A,"BOM",DATA_GOC!$D:$D,$H1184,DATA_GOC!$E:$E,$C1184,DATA_GOC!$F:$F,"Xuất nội bộ từ téc",DATA_GOC!$B:$B,"&gt;="&amp;$D1184,DATA_GOC!$B:$B,"&lt;="&amp;$E1184))</f>
        <v>0</v>
      </c>
      <c r="J1184" s="59">
        <f t="shared" si="28"/>
        <v>0</v>
      </c>
      <c r="K1184" s="59">
        <f t="shared" si="29"/>
        <v>0</v>
      </c>
      <c r="L1184" s="59">
        <f t="shared" si="30"/>
        <v>0</v>
      </c>
      <c r="M1184" s="59">
        <f t="shared" si="31"/>
        <v>0</v>
      </c>
    </row>
    <row r="1185" ht="15.0" hidden="1" customHeight="1">
      <c r="A1185" s="59">
        <f t="shared" si="20"/>
        <v>16</v>
      </c>
      <c r="B1185" s="59" t="str">
        <f t="shared" si="21"/>
        <v>Đã chốt</v>
      </c>
      <c r="C1185" s="59" t="str">
        <f t="shared" si="22"/>
        <v>Téc 1</v>
      </c>
      <c r="D1185" s="45">
        <f t="shared" si="23"/>
        <v>46178</v>
      </c>
      <c r="E1185" s="45">
        <f t="shared" si="24"/>
        <v>46188</v>
      </c>
      <c r="F1185" s="59">
        <f t="shared" si="25"/>
        <v>6</v>
      </c>
      <c r="G1185" s="59">
        <f t="shared" si="26"/>
        <v>2026</v>
      </c>
      <c r="H1185" s="59" t="str">
        <f t="shared" si="27"/>
        <v>Xúclật855H</v>
      </c>
      <c r="I1185" s="59">
        <f>IF(OR($A1185="",$C1185="",$D1185="",$E1185="",$H1185=""),"",SUMIFS(DATA_GOC!$H:$H,DATA_GOC!$A:$A,"BOM",DATA_GOC!$D:$D,$H1185,DATA_GOC!$E:$E,$C1185,DATA_GOC!$F:$F,"Xuất nội bộ từ téc",DATA_GOC!$B:$B,"&gt;="&amp;$D1185,DATA_GOC!$B:$B,"&lt;="&amp;$E1185))</f>
        <v>164</v>
      </c>
      <c r="J1185" s="59">
        <f t="shared" si="28"/>
        <v>7.204</v>
      </c>
      <c r="K1185" s="59">
        <f t="shared" si="29"/>
        <v>0</v>
      </c>
      <c r="L1185" s="59">
        <f t="shared" si="30"/>
        <v>171.204</v>
      </c>
      <c r="M1185" s="59">
        <f t="shared" si="31"/>
        <v>0.01957741435</v>
      </c>
    </row>
    <row r="1186" ht="15.0" hidden="1" customHeight="1">
      <c r="A1186" s="59">
        <f t="shared" si="20"/>
        <v>16</v>
      </c>
      <c r="B1186" s="59" t="str">
        <f t="shared" si="21"/>
        <v>Đã chốt</v>
      </c>
      <c r="C1186" s="59" t="str">
        <f t="shared" si="22"/>
        <v>Téc 1</v>
      </c>
      <c r="D1186" s="45">
        <f t="shared" si="23"/>
        <v>46178</v>
      </c>
      <c r="E1186" s="45">
        <f t="shared" si="24"/>
        <v>46188</v>
      </c>
      <c r="F1186" s="59">
        <f t="shared" si="25"/>
        <v>6</v>
      </c>
      <c r="G1186" s="59">
        <f t="shared" si="26"/>
        <v>2026</v>
      </c>
      <c r="H1186" s="59" t="str">
        <f t="shared" si="27"/>
        <v>Xúclật855N</v>
      </c>
      <c r="I1186" s="59">
        <f>IF(OR($A1186="",$C1186="",$D1186="",$E1186="",$H1186=""),"",SUMIFS(DATA_GOC!$H:$H,DATA_GOC!$A:$A,"BOM",DATA_GOC!$D:$D,$H1186,DATA_GOC!$E:$E,$C1186,DATA_GOC!$F:$F,"Xuất nội bộ từ téc",DATA_GOC!$B:$B,"&gt;="&amp;$D1186,DATA_GOC!$B:$B,"&lt;="&amp;$E1186))</f>
        <v>171</v>
      </c>
      <c r="J1186" s="59">
        <f t="shared" si="28"/>
        <v>7.512</v>
      </c>
      <c r="K1186" s="59">
        <f t="shared" si="29"/>
        <v>0</v>
      </c>
      <c r="L1186" s="59">
        <f t="shared" si="30"/>
        <v>178.512</v>
      </c>
      <c r="M1186" s="59">
        <f t="shared" si="31"/>
        <v>0.02041303569</v>
      </c>
    </row>
    <row r="1187" ht="15.0" hidden="1" customHeight="1">
      <c r="A1187" s="59">
        <f t="shared" si="20"/>
        <v>16</v>
      </c>
      <c r="B1187" s="59" t="str">
        <f t="shared" si="21"/>
        <v>Đã chốt</v>
      </c>
      <c r="C1187" s="59" t="str">
        <f t="shared" si="22"/>
        <v>Téc 1</v>
      </c>
      <c r="D1187" s="45">
        <f t="shared" si="23"/>
        <v>46178</v>
      </c>
      <c r="E1187" s="45">
        <f t="shared" si="24"/>
        <v>46188</v>
      </c>
      <c r="F1187" s="59">
        <f t="shared" si="25"/>
        <v>6</v>
      </c>
      <c r="G1187" s="59">
        <f t="shared" si="26"/>
        <v>2026</v>
      </c>
      <c r="H1187" s="59" t="str">
        <f t="shared" si="27"/>
        <v>Cát nghiền</v>
      </c>
      <c r="I1187" s="59">
        <f>IF(OR($A1187="",$C1187="",$D1187="",$E1187="",$H1187=""),"",SUMIFS(DATA_GOC!$H:$H,DATA_GOC!$A:$A,"BOM",DATA_GOC!$D:$D,$H1187,DATA_GOC!$E:$E,$C1187,DATA_GOC!$F:$F,"Xuất nội bộ từ téc",DATA_GOC!$B:$B,"&gt;="&amp;$D1187,DATA_GOC!$B:$B,"&lt;="&amp;$E1187))</f>
        <v>0</v>
      </c>
      <c r="J1187" s="59">
        <f t="shared" si="28"/>
        <v>0</v>
      </c>
      <c r="K1187" s="59">
        <f t="shared" si="29"/>
        <v>0</v>
      </c>
      <c r="L1187" s="59">
        <f t="shared" si="30"/>
        <v>0</v>
      </c>
      <c r="M1187" s="59">
        <f t="shared" si="31"/>
        <v>0</v>
      </c>
    </row>
    <row r="1188" ht="15.0" hidden="1" customHeight="1">
      <c r="A1188" s="59">
        <f t="shared" si="20"/>
        <v>16</v>
      </c>
      <c r="B1188" s="59" t="str">
        <f t="shared" si="21"/>
        <v>Đã chốt</v>
      </c>
      <c r="C1188" s="59" t="str">
        <f t="shared" si="22"/>
        <v>Téc 1</v>
      </c>
      <c r="D1188" s="45">
        <f t="shared" si="23"/>
        <v>46178</v>
      </c>
      <c r="E1188" s="45">
        <f t="shared" si="24"/>
        <v>46188</v>
      </c>
      <c r="F1188" s="59">
        <f t="shared" si="25"/>
        <v>6</v>
      </c>
      <c r="G1188" s="59">
        <f t="shared" si="26"/>
        <v>2026</v>
      </c>
      <c r="H1188" s="59" t="str">
        <f t="shared" si="27"/>
        <v>28C02973</v>
      </c>
      <c r="I1188" s="59">
        <f>IF(OR($A1188="",$C1188="",$D1188="",$E1188="",$H1188=""),"",SUMIFS(DATA_GOC!$H:$H,DATA_GOC!$A:$A,"BOM",DATA_GOC!$D:$D,$H1188,DATA_GOC!$E:$E,$C1188,DATA_GOC!$F:$F,"Xuất nội bộ từ téc",DATA_GOC!$B:$B,"&gt;="&amp;$D1188,DATA_GOC!$B:$B,"&lt;="&amp;$E1188))</f>
        <v>267</v>
      </c>
      <c r="J1188" s="59">
        <f t="shared" si="28"/>
        <v>11.729</v>
      </c>
      <c r="K1188" s="59">
        <f t="shared" si="29"/>
        <v>0</v>
      </c>
      <c r="L1188" s="59">
        <f t="shared" si="30"/>
        <v>278.729</v>
      </c>
      <c r="M1188" s="59">
        <f t="shared" si="31"/>
        <v>0.03187298556</v>
      </c>
    </row>
    <row r="1189" ht="15.0" hidden="1" customHeight="1">
      <c r="A1189" s="59">
        <f t="shared" si="20"/>
        <v>16</v>
      </c>
      <c r="B1189" s="59" t="str">
        <f t="shared" si="21"/>
        <v>Đã chốt</v>
      </c>
      <c r="C1189" s="59" t="str">
        <f t="shared" si="22"/>
        <v>Téc 1</v>
      </c>
      <c r="D1189" s="45">
        <f t="shared" si="23"/>
        <v>46178</v>
      </c>
      <c r="E1189" s="45">
        <f t="shared" si="24"/>
        <v>46188</v>
      </c>
      <c r="F1189" s="59">
        <f t="shared" si="25"/>
        <v>6</v>
      </c>
      <c r="G1189" s="59">
        <f t="shared" si="26"/>
        <v>2026</v>
      </c>
      <c r="H1189" s="59" t="str">
        <f t="shared" si="27"/>
        <v>28C03044</v>
      </c>
      <c r="I1189" s="59">
        <f>IF(OR($A1189="",$C1189="",$D1189="",$E1189="",$H1189=""),"",SUMIFS(DATA_GOC!$H:$H,DATA_GOC!$A:$A,"BOM",DATA_GOC!$D:$D,$H1189,DATA_GOC!$E:$E,$C1189,DATA_GOC!$F:$F,"Xuất nội bộ từ téc",DATA_GOC!$B:$B,"&gt;="&amp;$D1189,DATA_GOC!$B:$B,"&lt;="&amp;$E1189))</f>
        <v>0</v>
      </c>
      <c r="J1189" s="59">
        <f t="shared" si="28"/>
        <v>0</v>
      </c>
      <c r="K1189" s="59">
        <f t="shared" si="29"/>
        <v>0</v>
      </c>
      <c r="L1189" s="59">
        <f t="shared" si="30"/>
        <v>0</v>
      </c>
      <c r="M1189" s="59">
        <f t="shared" si="31"/>
        <v>0</v>
      </c>
    </row>
    <row r="1190" ht="15.0" hidden="1" customHeight="1">
      <c r="A1190" s="59">
        <f t="shared" si="20"/>
        <v>16</v>
      </c>
      <c r="B1190" s="59" t="str">
        <f t="shared" si="21"/>
        <v>Đã chốt</v>
      </c>
      <c r="C1190" s="59" t="str">
        <f t="shared" si="22"/>
        <v>Téc 1</v>
      </c>
      <c r="D1190" s="45">
        <f t="shared" si="23"/>
        <v>46178</v>
      </c>
      <c r="E1190" s="45">
        <f t="shared" si="24"/>
        <v>46188</v>
      </c>
      <c r="F1190" s="59">
        <f t="shared" si="25"/>
        <v>6</v>
      </c>
      <c r="G1190" s="59">
        <f t="shared" si="26"/>
        <v>2026</v>
      </c>
      <c r="H1190" s="59" t="str">
        <f t="shared" si="27"/>
        <v>Máy lu lốp</v>
      </c>
      <c r="I1190" s="59">
        <f>IF(OR($A1190="",$C1190="",$D1190="",$E1190="",$H1190=""),"",SUMIFS(DATA_GOC!$H:$H,DATA_GOC!$A:$A,"BOM",DATA_GOC!$D:$D,$H1190,DATA_GOC!$E:$E,$C1190,DATA_GOC!$F:$F,"Xuất nội bộ từ téc",DATA_GOC!$B:$B,"&gt;="&amp;$D1190,DATA_GOC!$B:$B,"&lt;="&amp;$E1190))</f>
        <v>0</v>
      </c>
      <c r="J1190" s="59">
        <f t="shared" si="28"/>
        <v>0</v>
      </c>
      <c r="K1190" s="59">
        <f t="shared" si="29"/>
        <v>0</v>
      </c>
      <c r="L1190" s="59">
        <f t="shared" si="30"/>
        <v>0</v>
      </c>
      <c r="M1190" s="59">
        <f t="shared" si="31"/>
        <v>0</v>
      </c>
    </row>
    <row r="1191" ht="15.0" hidden="1" customHeight="1">
      <c r="A1191" s="59">
        <f t="shared" si="20"/>
        <v>16</v>
      </c>
      <c r="B1191" s="59" t="str">
        <f t="shared" si="21"/>
        <v>Đã chốt</v>
      </c>
      <c r="C1191" s="59" t="str">
        <f t="shared" si="22"/>
        <v>Téc 1</v>
      </c>
      <c r="D1191" s="45">
        <f t="shared" si="23"/>
        <v>46178</v>
      </c>
      <c r="E1191" s="45">
        <f t="shared" si="24"/>
        <v>46188</v>
      </c>
      <c r="F1191" s="59">
        <f t="shared" si="25"/>
        <v>6</v>
      </c>
      <c r="G1191" s="59">
        <f t="shared" si="26"/>
        <v>2026</v>
      </c>
      <c r="H1191" s="59" t="str">
        <f t="shared" si="27"/>
        <v>Xe 600148</v>
      </c>
      <c r="I1191" s="59">
        <f>IF(OR($A1191="",$C1191="",$D1191="",$E1191="",$H1191=""),"",SUMIFS(DATA_GOC!$H:$H,DATA_GOC!$A:$A,"BOM",DATA_GOC!$D:$D,$H1191,DATA_GOC!$E:$E,$C1191,DATA_GOC!$F:$F,"Xuất nội bộ từ téc",DATA_GOC!$B:$B,"&gt;="&amp;$D1191,DATA_GOC!$B:$B,"&lt;="&amp;$E1191))</f>
        <v>0</v>
      </c>
      <c r="J1191" s="59">
        <f t="shared" si="28"/>
        <v>0</v>
      </c>
      <c r="K1191" s="59">
        <f t="shared" si="29"/>
        <v>0</v>
      </c>
      <c r="L1191" s="59">
        <f t="shared" si="30"/>
        <v>0</v>
      </c>
      <c r="M1191" s="59">
        <f t="shared" si="31"/>
        <v>0</v>
      </c>
    </row>
    <row r="1192" ht="15.0" hidden="1" customHeight="1">
      <c r="A1192" s="59">
        <f t="shared" si="20"/>
        <v>16</v>
      </c>
      <c r="B1192" s="59" t="str">
        <f t="shared" si="21"/>
        <v>Đã chốt</v>
      </c>
      <c r="C1192" s="59" t="str">
        <f t="shared" si="22"/>
        <v>Téc 1</v>
      </c>
      <c r="D1192" s="45">
        <f t="shared" si="23"/>
        <v>46178</v>
      </c>
      <c r="E1192" s="45">
        <f t="shared" si="24"/>
        <v>46188</v>
      </c>
      <c r="F1192" s="59">
        <f t="shared" si="25"/>
        <v>6</v>
      </c>
      <c r="G1192" s="59">
        <f t="shared" si="26"/>
        <v>2026</v>
      </c>
      <c r="H1192" s="59" t="str">
        <f t="shared" si="27"/>
        <v>Xe ben mới</v>
      </c>
      <c r="I1192" s="59">
        <f>IF(OR($A1192="",$C1192="",$D1192="",$E1192="",$H1192=""),"",SUMIFS(DATA_GOC!$H:$H,DATA_GOC!$A:$A,"BOM",DATA_GOC!$D:$D,$H1192,DATA_GOC!$E:$E,$C1192,DATA_GOC!$F:$F,"Xuất nội bộ từ téc",DATA_GOC!$B:$B,"&gt;="&amp;$D1192,DATA_GOC!$B:$B,"&lt;="&amp;$E1192))</f>
        <v>0</v>
      </c>
      <c r="J1192" s="59">
        <f t="shared" si="28"/>
        <v>0</v>
      </c>
      <c r="K1192" s="59">
        <f t="shared" si="29"/>
        <v>0</v>
      </c>
      <c r="L1192" s="59">
        <f t="shared" si="30"/>
        <v>0</v>
      </c>
      <c r="M1192" s="59">
        <f t="shared" si="31"/>
        <v>0</v>
      </c>
    </row>
    <row r="1193" ht="15.0" hidden="1" customHeight="1">
      <c r="A1193" s="59">
        <f t="shared" si="20"/>
        <v>17</v>
      </c>
      <c r="B1193" s="59" t="str">
        <f t="shared" si="21"/>
        <v>Đã chốt</v>
      </c>
      <c r="C1193" s="59" t="str">
        <f t="shared" si="22"/>
        <v>Téc 3</v>
      </c>
      <c r="D1193" s="45">
        <f t="shared" si="23"/>
        <v>46178</v>
      </c>
      <c r="E1193" s="45">
        <f t="shared" si="24"/>
        <v>46199</v>
      </c>
      <c r="F1193" s="59">
        <f t="shared" si="25"/>
        <v>6</v>
      </c>
      <c r="G1193" s="59">
        <f t="shared" si="26"/>
        <v>2026</v>
      </c>
      <c r="H1193" s="59" t="str">
        <f t="shared" si="27"/>
        <v>19H09482</v>
      </c>
      <c r="I1193" s="59">
        <f>IF(OR($A1193="",$C1193="",$D1193="",$E1193="",$H1193=""),"",SUMIFS(DATA_GOC!$H:$H,DATA_GOC!$A:$A,"BOM",DATA_GOC!$D:$D,$H1193,DATA_GOC!$E:$E,$C1193,DATA_GOC!$F:$F,"Xuất nội bộ từ téc",DATA_GOC!$B:$B,"&gt;="&amp;$D1193,DATA_GOC!$B:$B,"&lt;="&amp;$E1193))</f>
        <v>535</v>
      </c>
      <c r="J1193" s="59">
        <f t="shared" si="28"/>
        <v>27.298</v>
      </c>
      <c r="K1193" s="59">
        <f t="shared" si="29"/>
        <v>0</v>
      </c>
      <c r="L1193" s="59">
        <f t="shared" si="30"/>
        <v>562.298</v>
      </c>
      <c r="M1193" s="59">
        <f t="shared" si="31"/>
        <v>0.01911601815</v>
      </c>
    </row>
    <row r="1194" ht="15.0" hidden="1" customHeight="1">
      <c r="A1194" s="59">
        <f t="shared" si="20"/>
        <v>17</v>
      </c>
      <c r="B1194" s="59" t="str">
        <f t="shared" si="21"/>
        <v>Đã chốt</v>
      </c>
      <c r="C1194" s="59" t="str">
        <f t="shared" si="22"/>
        <v>Téc 3</v>
      </c>
      <c r="D1194" s="45">
        <f t="shared" si="23"/>
        <v>46178</v>
      </c>
      <c r="E1194" s="45">
        <f t="shared" si="24"/>
        <v>46199</v>
      </c>
      <c r="F1194" s="59">
        <f t="shared" si="25"/>
        <v>6</v>
      </c>
      <c r="G1194" s="59">
        <f t="shared" si="26"/>
        <v>2026</v>
      </c>
      <c r="H1194" s="59" t="str">
        <f t="shared" si="27"/>
        <v>28A30696</v>
      </c>
      <c r="I1194" s="59">
        <f>IF(OR($A1194="",$C1194="",$D1194="",$E1194="",$H1194=""),"",SUMIFS(DATA_GOC!$H:$H,DATA_GOC!$A:$A,"BOM",DATA_GOC!$D:$D,$H1194,DATA_GOC!$E:$E,$C1194,DATA_GOC!$F:$F,"Xuất nội bộ từ téc",DATA_GOC!$B:$B,"&gt;="&amp;$D1194,DATA_GOC!$B:$B,"&lt;="&amp;$E1194))</f>
        <v>69</v>
      </c>
      <c r="J1194" s="59">
        <f t="shared" si="28"/>
        <v>3.521</v>
      </c>
      <c r="K1194" s="59">
        <f t="shared" si="29"/>
        <v>0</v>
      </c>
      <c r="L1194" s="59">
        <f t="shared" si="30"/>
        <v>72.521</v>
      </c>
      <c r="M1194" s="59">
        <f t="shared" si="31"/>
        <v>0.002465430378</v>
      </c>
    </row>
    <row r="1195" ht="15.0" hidden="1" customHeight="1">
      <c r="A1195" s="59">
        <f t="shared" si="20"/>
        <v>17</v>
      </c>
      <c r="B1195" s="59" t="str">
        <f t="shared" si="21"/>
        <v>Đã chốt</v>
      </c>
      <c r="C1195" s="59" t="str">
        <f t="shared" si="22"/>
        <v>Téc 3</v>
      </c>
      <c r="D1195" s="45">
        <f t="shared" si="23"/>
        <v>46178</v>
      </c>
      <c r="E1195" s="45">
        <f t="shared" si="24"/>
        <v>46199</v>
      </c>
      <c r="F1195" s="59">
        <f t="shared" si="25"/>
        <v>6</v>
      </c>
      <c r="G1195" s="59">
        <f t="shared" si="26"/>
        <v>2026</v>
      </c>
      <c r="H1195" s="59" t="str">
        <f t="shared" si="27"/>
        <v>28C00462</v>
      </c>
      <c r="I1195" s="59">
        <f>IF(OR($A1195="",$C1195="",$D1195="",$E1195="",$H1195=""),"",SUMIFS(DATA_GOC!$H:$H,DATA_GOC!$A:$A,"BOM",DATA_GOC!$D:$D,$H1195,DATA_GOC!$E:$E,$C1195,DATA_GOC!$F:$F,"Xuất nội bộ từ téc",DATA_GOC!$B:$B,"&gt;="&amp;$D1195,DATA_GOC!$B:$B,"&lt;="&amp;$E1195))</f>
        <v>988</v>
      </c>
      <c r="J1195" s="59">
        <f t="shared" si="28"/>
        <v>50.411</v>
      </c>
      <c r="K1195" s="59">
        <f t="shared" si="29"/>
        <v>0</v>
      </c>
      <c r="L1195" s="59">
        <f t="shared" si="30"/>
        <v>1038.411</v>
      </c>
      <c r="M1195" s="59">
        <f t="shared" si="31"/>
        <v>0.03530210455</v>
      </c>
    </row>
    <row r="1196" ht="15.0" hidden="1" customHeight="1">
      <c r="A1196" s="59">
        <f t="shared" si="20"/>
        <v>17</v>
      </c>
      <c r="B1196" s="59" t="str">
        <f t="shared" si="21"/>
        <v>Đã chốt</v>
      </c>
      <c r="C1196" s="59" t="str">
        <f t="shared" si="22"/>
        <v>Téc 3</v>
      </c>
      <c r="D1196" s="45">
        <f t="shared" si="23"/>
        <v>46178</v>
      </c>
      <c r="E1196" s="45">
        <f t="shared" si="24"/>
        <v>46199</v>
      </c>
      <c r="F1196" s="59">
        <f t="shared" si="25"/>
        <v>6</v>
      </c>
      <c r="G1196" s="59">
        <f t="shared" si="26"/>
        <v>2026</v>
      </c>
      <c r="H1196" s="59" t="str">
        <f t="shared" si="27"/>
        <v>28C01165</v>
      </c>
      <c r="I1196" s="59">
        <f>IF(OR($A1196="",$C1196="",$D1196="",$E1196="",$H1196=""),"",SUMIFS(DATA_GOC!$H:$H,DATA_GOC!$A:$A,"BOM",DATA_GOC!$D:$D,$H1196,DATA_GOC!$E:$E,$C1196,DATA_GOC!$F:$F,"Xuất nội bộ từ téc",DATA_GOC!$B:$B,"&gt;="&amp;$D1196,DATA_GOC!$B:$B,"&lt;="&amp;$E1196))</f>
        <v>0</v>
      </c>
      <c r="J1196" s="59">
        <f t="shared" si="28"/>
        <v>0</v>
      </c>
      <c r="K1196" s="59">
        <f t="shared" si="29"/>
        <v>0</v>
      </c>
      <c r="L1196" s="59">
        <f t="shared" si="30"/>
        <v>0</v>
      </c>
      <c r="M1196" s="59">
        <f t="shared" si="31"/>
        <v>0</v>
      </c>
    </row>
    <row r="1197" ht="15.0" hidden="1" customHeight="1">
      <c r="A1197" s="59">
        <f t="shared" si="20"/>
        <v>17</v>
      </c>
      <c r="B1197" s="59" t="str">
        <f t="shared" si="21"/>
        <v>Đã chốt</v>
      </c>
      <c r="C1197" s="59" t="str">
        <f t="shared" si="22"/>
        <v>Téc 3</v>
      </c>
      <c r="D1197" s="45">
        <f t="shared" si="23"/>
        <v>46178</v>
      </c>
      <c r="E1197" s="45">
        <f t="shared" si="24"/>
        <v>46199</v>
      </c>
      <c r="F1197" s="59">
        <f t="shared" si="25"/>
        <v>6</v>
      </c>
      <c r="G1197" s="59">
        <f t="shared" si="26"/>
        <v>2026</v>
      </c>
      <c r="H1197" s="59" t="str">
        <f t="shared" si="27"/>
        <v>28C01406</v>
      </c>
      <c r="I1197" s="59">
        <f>IF(OR($A1197="",$C1197="",$D1197="",$E1197="",$H1197=""),"",SUMIFS(DATA_GOC!$H:$H,DATA_GOC!$A:$A,"BOM",DATA_GOC!$D:$D,$H1197,DATA_GOC!$E:$E,$C1197,DATA_GOC!$F:$F,"Xuất nội bộ từ téc",DATA_GOC!$B:$B,"&gt;="&amp;$D1197,DATA_GOC!$B:$B,"&lt;="&amp;$E1197))</f>
        <v>820</v>
      </c>
      <c r="J1197" s="59">
        <f t="shared" si="28"/>
        <v>41.839</v>
      </c>
      <c r="K1197" s="59">
        <f t="shared" si="29"/>
        <v>0</v>
      </c>
      <c r="L1197" s="59">
        <f t="shared" si="30"/>
        <v>861.839</v>
      </c>
      <c r="M1197" s="59">
        <f t="shared" si="31"/>
        <v>0.02929931754</v>
      </c>
    </row>
    <row r="1198" ht="15.0" hidden="1" customHeight="1">
      <c r="A1198" s="59">
        <f t="shared" si="20"/>
        <v>17</v>
      </c>
      <c r="B1198" s="59" t="str">
        <f t="shared" si="21"/>
        <v>Đã chốt</v>
      </c>
      <c r="C1198" s="59" t="str">
        <f t="shared" si="22"/>
        <v>Téc 3</v>
      </c>
      <c r="D1198" s="45">
        <f t="shared" si="23"/>
        <v>46178</v>
      </c>
      <c r="E1198" s="45">
        <f t="shared" si="24"/>
        <v>46199</v>
      </c>
      <c r="F1198" s="59">
        <f t="shared" si="25"/>
        <v>6</v>
      </c>
      <c r="G1198" s="59">
        <f t="shared" si="26"/>
        <v>2026</v>
      </c>
      <c r="H1198" s="59" t="str">
        <f t="shared" si="27"/>
        <v>28C01544</v>
      </c>
      <c r="I1198" s="59">
        <f>IF(OR($A1198="",$C1198="",$D1198="",$E1198="",$H1198=""),"",SUMIFS(DATA_GOC!$H:$H,DATA_GOC!$A:$A,"BOM",DATA_GOC!$D:$D,$H1198,DATA_GOC!$E:$E,$C1198,DATA_GOC!$F:$F,"Xuất nội bộ từ téc",DATA_GOC!$B:$B,"&gt;="&amp;$D1198,DATA_GOC!$B:$B,"&lt;="&amp;$E1198))</f>
        <v>56</v>
      </c>
      <c r="J1198" s="59">
        <f t="shared" si="28"/>
        <v>2.857</v>
      </c>
      <c r="K1198" s="59">
        <f t="shared" si="29"/>
        <v>0</v>
      </c>
      <c r="L1198" s="59">
        <f t="shared" si="30"/>
        <v>58.857</v>
      </c>
      <c r="M1198" s="59">
        <f t="shared" si="31"/>
        <v>0.002000929003</v>
      </c>
    </row>
    <row r="1199" ht="15.0" hidden="1" customHeight="1">
      <c r="A1199" s="59">
        <f t="shared" si="20"/>
        <v>17</v>
      </c>
      <c r="B1199" s="59" t="str">
        <f t="shared" si="21"/>
        <v>Đã chốt</v>
      </c>
      <c r="C1199" s="59" t="str">
        <f t="shared" si="22"/>
        <v>Téc 3</v>
      </c>
      <c r="D1199" s="45">
        <f t="shared" si="23"/>
        <v>46178</v>
      </c>
      <c r="E1199" s="45">
        <f t="shared" si="24"/>
        <v>46199</v>
      </c>
      <c r="F1199" s="59">
        <f t="shared" si="25"/>
        <v>6</v>
      </c>
      <c r="G1199" s="59">
        <f t="shared" si="26"/>
        <v>2026</v>
      </c>
      <c r="H1199" s="59" t="str">
        <f t="shared" si="27"/>
        <v>28C01622</v>
      </c>
      <c r="I1199" s="59">
        <f>IF(OR($A1199="",$C1199="",$D1199="",$E1199="",$H1199=""),"",SUMIFS(DATA_GOC!$H:$H,DATA_GOC!$A:$A,"BOM",DATA_GOC!$D:$D,$H1199,DATA_GOC!$E:$E,$C1199,DATA_GOC!$F:$F,"Xuất nội bộ từ téc",DATA_GOC!$B:$B,"&gt;="&amp;$D1199,DATA_GOC!$B:$B,"&lt;="&amp;$E1199))</f>
        <v>920</v>
      </c>
      <c r="J1199" s="59">
        <f t="shared" si="28"/>
        <v>46.942</v>
      </c>
      <c r="K1199" s="59">
        <f t="shared" si="29"/>
        <v>0</v>
      </c>
      <c r="L1199" s="59">
        <f t="shared" si="30"/>
        <v>966.942</v>
      </c>
      <c r="M1199" s="59">
        <f t="shared" si="31"/>
        <v>0.03287240505</v>
      </c>
    </row>
    <row r="1200" ht="15.0" hidden="1" customHeight="1">
      <c r="A1200" s="59">
        <f t="shared" si="20"/>
        <v>17</v>
      </c>
      <c r="B1200" s="59" t="str">
        <f t="shared" si="21"/>
        <v>Đã chốt</v>
      </c>
      <c r="C1200" s="59" t="str">
        <f t="shared" si="22"/>
        <v>Téc 3</v>
      </c>
      <c r="D1200" s="45">
        <f t="shared" si="23"/>
        <v>46178</v>
      </c>
      <c r="E1200" s="45">
        <f t="shared" si="24"/>
        <v>46199</v>
      </c>
      <c r="F1200" s="59">
        <f t="shared" si="25"/>
        <v>6</v>
      </c>
      <c r="G1200" s="59">
        <f t="shared" si="26"/>
        <v>2026</v>
      </c>
      <c r="H1200" s="59" t="str">
        <f t="shared" si="27"/>
        <v>28C01647</v>
      </c>
      <c r="I1200" s="59">
        <f>IF(OR($A1200="",$C1200="",$D1200="",$E1200="",$H1200=""),"",SUMIFS(DATA_GOC!$H:$H,DATA_GOC!$A:$A,"BOM",DATA_GOC!$D:$D,$H1200,DATA_GOC!$E:$E,$C1200,DATA_GOC!$F:$F,"Xuất nội bộ từ téc",DATA_GOC!$B:$B,"&gt;="&amp;$D1200,DATA_GOC!$B:$B,"&lt;="&amp;$E1200))</f>
        <v>1238</v>
      </c>
      <c r="J1200" s="59">
        <f t="shared" si="28"/>
        <v>63.167</v>
      </c>
      <c r="K1200" s="59">
        <f t="shared" si="29"/>
        <v>0</v>
      </c>
      <c r="L1200" s="59">
        <f t="shared" si="30"/>
        <v>1301.167</v>
      </c>
      <c r="M1200" s="59">
        <f t="shared" si="31"/>
        <v>0.04423482331</v>
      </c>
    </row>
    <row r="1201" ht="15.0" hidden="1" customHeight="1">
      <c r="A1201" s="59">
        <f t="shared" si="20"/>
        <v>17</v>
      </c>
      <c r="B1201" s="59" t="str">
        <f t="shared" si="21"/>
        <v>Đã chốt</v>
      </c>
      <c r="C1201" s="59" t="str">
        <f t="shared" si="22"/>
        <v>Téc 3</v>
      </c>
      <c r="D1201" s="45">
        <f t="shared" si="23"/>
        <v>46178</v>
      </c>
      <c r="E1201" s="45">
        <f t="shared" si="24"/>
        <v>46199</v>
      </c>
      <c r="F1201" s="59">
        <f t="shared" si="25"/>
        <v>6</v>
      </c>
      <c r="G1201" s="59">
        <f t="shared" si="26"/>
        <v>2026</v>
      </c>
      <c r="H1201" s="59" t="str">
        <f t="shared" si="27"/>
        <v>28C01731</v>
      </c>
      <c r="I1201" s="59">
        <f>IF(OR($A1201="",$C1201="",$D1201="",$E1201="",$H1201=""),"",SUMIFS(DATA_GOC!$H:$H,DATA_GOC!$A:$A,"BOM",DATA_GOC!$D:$D,$H1201,DATA_GOC!$E:$E,$C1201,DATA_GOC!$F:$F,"Xuất nội bộ từ téc",DATA_GOC!$B:$B,"&gt;="&amp;$D1201,DATA_GOC!$B:$B,"&lt;="&amp;$E1201))</f>
        <v>0</v>
      </c>
      <c r="J1201" s="59">
        <f t="shared" si="28"/>
        <v>0</v>
      </c>
      <c r="K1201" s="59">
        <f t="shared" si="29"/>
        <v>0</v>
      </c>
      <c r="L1201" s="59">
        <f t="shared" si="30"/>
        <v>0</v>
      </c>
      <c r="M1201" s="59">
        <f t="shared" si="31"/>
        <v>0</v>
      </c>
    </row>
    <row r="1202" ht="15.0" hidden="1" customHeight="1">
      <c r="A1202" s="59">
        <f t="shared" si="20"/>
        <v>17</v>
      </c>
      <c r="B1202" s="59" t="str">
        <f t="shared" si="21"/>
        <v>Đã chốt</v>
      </c>
      <c r="C1202" s="59" t="str">
        <f t="shared" si="22"/>
        <v>Téc 3</v>
      </c>
      <c r="D1202" s="45">
        <f t="shared" si="23"/>
        <v>46178</v>
      </c>
      <c r="E1202" s="45">
        <f t="shared" si="24"/>
        <v>46199</v>
      </c>
      <c r="F1202" s="59">
        <f t="shared" si="25"/>
        <v>6</v>
      </c>
      <c r="G1202" s="59">
        <f t="shared" si="26"/>
        <v>2026</v>
      </c>
      <c r="H1202" s="59" t="str">
        <f t="shared" si="27"/>
        <v>28C01743</v>
      </c>
      <c r="I1202" s="59">
        <f>IF(OR($A1202="",$C1202="",$D1202="",$E1202="",$H1202=""),"",SUMIFS(DATA_GOC!$H:$H,DATA_GOC!$A:$A,"BOM",DATA_GOC!$D:$D,$H1202,DATA_GOC!$E:$E,$C1202,DATA_GOC!$F:$F,"Xuất nội bộ từ téc",DATA_GOC!$B:$B,"&gt;="&amp;$D1202,DATA_GOC!$B:$B,"&lt;="&amp;$E1202))</f>
        <v>40</v>
      </c>
      <c r="J1202" s="59">
        <f t="shared" si="28"/>
        <v>2.041</v>
      </c>
      <c r="K1202" s="59">
        <f t="shared" si="29"/>
        <v>0</v>
      </c>
      <c r="L1202" s="59">
        <f t="shared" si="30"/>
        <v>42.041</v>
      </c>
      <c r="M1202" s="59">
        <f t="shared" si="31"/>
        <v>0.001429235002</v>
      </c>
    </row>
    <row r="1203" ht="15.0" hidden="1" customHeight="1">
      <c r="A1203" s="59">
        <f t="shared" si="20"/>
        <v>17</v>
      </c>
      <c r="B1203" s="59" t="str">
        <f t="shared" si="21"/>
        <v>Đã chốt</v>
      </c>
      <c r="C1203" s="59" t="str">
        <f t="shared" si="22"/>
        <v>Téc 3</v>
      </c>
      <c r="D1203" s="45">
        <f t="shared" si="23"/>
        <v>46178</v>
      </c>
      <c r="E1203" s="45">
        <f t="shared" si="24"/>
        <v>46199</v>
      </c>
      <c r="F1203" s="59">
        <f t="shared" si="25"/>
        <v>6</v>
      </c>
      <c r="G1203" s="59">
        <f t="shared" si="26"/>
        <v>2026</v>
      </c>
      <c r="H1203" s="59" t="str">
        <f t="shared" si="27"/>
        <v>28C02106</v>
      </c>
      <c r="I1203" s="59">
        <f>IF(OR($A1203="",$C1203="",$D1203="",$E1203="",$H1203=""),"",SUMIFS(DATA_GOC!$H:$H,DATA_GOC!$A:$A,"BOM",DATA_GOC!$D:$D,$H1203,DATA_GOC!$E:$E,$C1203,DATA_GOC!$F:$F,"Xuất nội bộ từ téc",DATA_GOC!$B:$B,"&gt;="&amp;$D1203,DATA_GOC!$B:$B,"&lt;="&amp;$E1203))</f>
        <v>0</v>
      </c>
      <c r="J1203" s="59">
        <f t="shared" si="28"/>
        <v>0</v>
      </c>
      <c r="K1203" s="59">
        <f t="shared" si="29"/>
        <v>0</v>
      </c>
      <c r="L1203" s="59">
        <f t="shared" si="30"/>
        <v>0</v>
      </c>
      <c r="M1203" s="59">
        <f t="shared" si="31"/>
        <v>0</v>
      </c>
    </row>
    <row r="1204" ht="15.0" hidden="1" customHeight="1">
      <c r="A1204" s="59">
        <f t="shared" si="20"/>
        <v>17</v>
      </c>
      <c r="B1204" s="59" t="str">
        <f t="shared" si="21"/>
        <v>Đã chốt</v>
      </c>
      <c r="C1204" s="59" t="str">
        <f t="shared" si="22"/>
        <v>Téc 3</v>
      </c>
      <c r="D1204" s="45">
        <f t="shared" si="23"/>
        <v>46178</v>
      </c>
      <c r="E1204" s="45">
        <f t="shared" si="24"/>
        <v>46199</v>
      </c>
      <c r="F1204" s="59">
        <f t="shared" si="25"/>
        <v>6</v>
      </c>
      <c r="G1204" s="59">
        <f t="shared" si="26"/>
        <v>2026</v>
      </c>
      <c r="H1204" s="59" t="str">
        <f t="shared" si="27"/>
        <v>28C02410</v>
      </c>
      <c r="I1204" s="59">
        <f>IF(OR($A1204="",$C1204="",$D1204="",$E1204="",$H1204=""),"",SUMIFS(DATA_GOC!$H:$H,DATA_GOC!$A:$A,"BOM",DATA_GOC!$D:$D,$H1204,DATA_GOC!$E:$E,$C1204,DATA_GOC!$F:$F,"Xuất nội bộ từ téc",DATA_GOC!$B:$B,"&gt;="&amp;$D1204,DATA_GOC!$B:$B,"&lt;="&amp;$E1204))</f>
        <v>0</v>
      </c>
      <c r="J1204" s="59">
        <f t="shared" si="28"/>
        <v>0</v>
      </c>
      <c r="K1204" s="59">
        <f t="shared" si="29"/>
        <v>0</v>
      </c>
      <c r="L1204" s="59">
        <f t="shared" si="30"/>
        <v>0</v>
      </c>
      <c r="M1204" s="59">
        <f t="shared" si="31"/>
        <v>0</v>
      </c>
    </row>
    <row r="1205" ht="15.0" hidden="1" customHeight="1">
      <c r="A1205" s="59">
        <f t="shared" si="20"/>
        <v>17</v>
      </c>
      <c r="B1205" s="59" t="str">
        <f t="shared" si="21"/>
        <v>Đã chốt</v>
      </c>
      <c r="C1205" s="59" t="str">
        <f t="shared" si="22"/>
        <v>Téc 3</v>
      </c>
      <c r="D1205" s="45">
        <f t="shared" si="23"/>
        <v>46178</v>
      </c>
      <c r="E1205" s="45">
        <f t="shared" si="24"/>
        <v>46199</v>
      </c>
      <c r="F1205" s="59">
        <f t="shared" si="25"/>
        <v>6</v>
      </c>
      <c r="G1205" s="59">
        <f t="shared" si="26"/>
        <v>2026</v>
      </c>
      <c r="H1205" s="59" t="str">
        <f t="shared" si="27"/>
        <v>28C02545</v>
      </c>
      <c r="I1205" s="59">
        <f>IF(OR($A1205="",$C1205="",$D1205="",$E1205="",$H1205=""),"",SUMIFS(DATA_GOC!$H:$H,DATA_GOC!$A:$A,"BOM",DATA_GOC!$D:$D,$H1205,DATA_GOC!$E:$E,$C1205,DATA_GOC!$F:$F,"Xuất nội bộ từ téc",DATA_GOC!$B:$B,"&gt;="&amp;$D1205,DATA_GOC!$B:$B,"&lt;="&amp;$E1205))</f>
        <v>507</v>
      </c>
      <c r="J1205" s="59">
        <f t="shared" si="28"/>
        <v>25.869</v>
      </c>
      <c r="K1205" s="59">
        <f t="shared" si="29"/>
        <v>0</v>
      </c>
      <c r="L1205" s="59">
        <f t="shared" si="30"/>
        <v>532.869</v>
      </c>
      <c r="M1205" s="59">
        <f t="shared" si="31"/>
        <v>0.01811555365</v>
      </c>
    </row>
    <row r="1206" ht="15.0" hidden="1" customHeight="1">
      <c r="A1206" s="59">
        <f t="shared" si="20"/>
        <v>17</v>
      </c>
      <c r="B1206" s="59" t="str">
        <f t="shared" si="21"/>
        <v>Đã chốt</v>
      </c>
      <c r="C1206" s="59" t="str">
        <f t="shared" si="22"/>
        <v>Téc 3</v>
      </c>
      <c r="D1206" s="45">
        <f t="shared" si="23"/>
        <v>46178</v>
      </c>
      <c r="E1206" s="45">
        <f t="shared" si="24"/>
        <v>46199</v>
      </c>
      <c r="F1206" s="59">
        <f t="shared" si="25"/>
        <v>6</v>
      </c>
      <c r="G1206" s="59">
        <f t="shared" si="26"/>
        <v>2026</v>
      </c>
      <c r="H1206" s="59" t="str">
        <f t="shared" si="27"/>
        <v>28C02574</v>
      </c>
      <c r="I1206" s="59">
        <f>IF(OR($A1206="",$C1206="",$D1206="",$E1206="",$H1206=""),"",SUMIFS(DATA_GOC!$H:$H,DATA_GOC!$A:$A,"BOM",DATA_GOC!$D:$D,$H1206,DATA_GOC!$E:$E,$C1206,DATA_GOC!$F:$F,"Xuất nội bộ từ téc",DATA_GOC!$B:$B,"&gt;="&amp;$D1206,DATA_GOC!$B:$B,"&lt;="&amp;$E1206))</f>
        <v>339</v>
      </c>
      <c r="J1206" s="59">
        <f t="shared" si="28"/>
        <v>17.297</v>
      </c>
      <c r="K1206" s="59">
        <f t="shared" si="29"/>
        <v>0</v>
      </c>
      <c r="L1206" s="59">
        <f t="shared" si="30"/>
        <v>356.297</v>
      </c>
      <c r="M1206" s="59">
        <f t="shared" si="31"/>
        <v>0.01211276664</v>
      </c>
    </row>
    <row r="1207" ht="15.0" hidden="1" customHeight="1">
      <c r="A1207" s="59">
        <f t="shared" si="20"/>
        <v>17</v>
      </c>
      <c r="B1207" s="59" t="str">
        <f t="shared" si="21"/>
        <v>Đã chốt</v>
      </c>
      <c r="C1207" s="59" t="str">
        <f t="shared" si="22"/>
        <v>Téc 3</v>
      </c>
      <c r="D1207" s="45">
        <f t="shared" si="23"/>
        <v>46178</v>
      </c>
      <c r="E1207" s="45">
        <f t="shared" si="24"/>
        <v>46199</v>
      </c>
      <c r="F1207" s="59">
        <f t="shared" si="25"/>
        <v>6</v>
      </c>
      <c r="G1207" s="59">
        <f t="shared" si="26"/>
        <v>2026</v>
      </c>
      <c r="H1207" s="59" t="str">
        <f t="shared" si="27"/>
        <v>28C02770</v>
      </c>
      <c r="I1207" s="59">
        <f>IF(OR($A1207="",$C1207="",$D1207="",$E1207="",$H1207=""),"",SUMIFS(DATA_GOC!$H:$H,DATA_GOC!$A:$A,"BOM",DATA_GOC!$D:$D,$H1207,DATA_GOC!$E:$E,$C1207,DATA_GOC!$F:$F,"Xuất nội bộ từ téc",DATA_GOC!$B:$B,"&gt;="&amp;$D1207,DATA_GOC!$B:$B,"&lt;="&amp;$E1207))</f>
        <v>616</v>
      </c>
      <c r="J1207" s="59">
        <f t="shared" si="28"/>
        <v>31.431</v>
      </c>
      <c r="K1207" s="59">
        <f t="shared" si="29"/>
        <v>0</v>
      </c>
      <c r="L1207" s="59">
        <f t="shared" si="30"/>
        <v>647.431</v>
      </c>
      <c r="M1207" s="59">
        <f t="shared" si="31"/>
        <v>0.02201021903</v>
      </c>
    </row>
    <row r="1208" ht="15.0" hidden="1" customHeight="1">
      <c r="A1208" s="59">
        <f t="shared" si="20"/>
        <v>17</v>
      </c>
      <c r="B1208" s="59" t="str">
        <f t="shared" si="21"/>
        <v>Đã chốt</v>
      </c>
      <c r="C1208" s="59" t="str">
        <f t="shared" si="22"/>
        <v>Téc 3</v>
      </c>
      <c r="D1208" s="45">
        <f t="shared" si="23"/>
        <v>46178</v>
      </c>
      <c r="E1208" s="45">
        <f t="shared" si="24"/>
        <v>46199</v>
      </c>
      <c r="F1208" s="59">
        <f t="shared" si="25"/>
        <v>6</v>
      </c>
      <c r="G1208" s="59">
        <f t="shared" si="26"/>
        <v>2026</v>
      </c>
      <c r="H1208" s="59" t="str">
        <f t="shared" si="27"/>
        <v>28C02986</v>
      </c>
      <c r="I1208" s="59">
        <f>IF(OR($A1208="",$C1208="",$D1208="",$E1208="",$H1208=""),"",SUMIFS(DATA_GOC!$H:$H,DATA_GOC!$A:$A,"BOM",DATA_GOC!$D:$D,$H1208,DATA_GOC!$E:$E,$C1208,DATA_GOC!$F:$F,"Xuất nội bộ từ téc",DATA_GOC!$B:$B,"&gt;="&amp;$D1208,DATA_GOC!$B:$B,"&lt;="&amp;$E1208))</f>
        <v>1573</v>
      </c>
      <c r="J1208" s="59">
        <f t="shared" si="28"/>
        <v>80.26</v>
      </c>
      <c r="K1208" s="59">
        <f t="shared" si="29"/>
        <v>0</v>
      </c>
      <c r="L1208" s="59">
        <f t="shared" si="30"/>
        <v>1653.26</v>
      </c>
      <c r="M1208" s="59">
        <f t="shared" si="31"/>
        <v>0.05620466645</v>
      </c>
    </row>
    <row r="1209" ht="15.0" hidden="1" customHeight="1">
      <c r="A1209" s="59">
        <f t="shared" si="20"/>
        <v>17</v>
      </c>
      <c r="B1209" s="59" t="str">
        <f t="shared" si="21"/>
        <v>Đã chốt</v>
      </c>
      <c r="C1209" s="59" t="str">
        <f t="shared" si="22"/>
        <v>Téc 3</v>
      </c>
      <c r="D1209" s="45">
        <f t="shared" si="23"/>
        <v>46178</v>
      </c>
      <c r="E1209" s="45">
        <f t="shared" si="24"/>
        <v>46199</v>
      </c>
      <c r="F1209" s="59">
        <f t="shared" si="25"/>
        <v>6</v>
      </c>
      <c r="G1209" s="59">
        <f t="shared" si="26"/>
        <v>2026</v>
      </c>
      <c r="H1209" s="59" t="str">
        <f t="shared" si="27"/>
        <v>28C03261</v>
      </c>
      <c r="I1209" s="59">
        <f>IF(OR($A1209="",$C1209="",$D1209="",$E1209="",$H1209=""),"",SUMIFS(DATA_GOC!$H:$H,DATA_GOC!$A:$A,"BOM",DATA_GOC!$D:$D,$H1209,DATA_GOC!$E:$E,$C1209,DATA_GOC!$F:$F,"Xuất nội bộ từ téc",DATA_GOC!$B:$B,"&gt;="&amp;$D1209,DATA_GOC!$B:$B,"&lt;="&amp;$E1209))</f>
        <v>670</v>
      </c>
      <c r="J1209" s="59">
        <f t="shared" si="28"/>
        <v>34.186</v>
      </c>
      <c r="K1209" s="59">
        <f t="shared" si="29"/>
        <v>0</v>
      </c>
      <c r="L1209" s="59">
        <f t="shared" si="30"/>
        <v>704.186</v>
      </c>
      <c r="M1209" s="59">
        <f t="shared" si="31"/>
        <v>0.02393968628</v>
      </c>
    </row>
    <row r="1210" ht="15.0" hidden="1" customHeight="1">
      <c r="A1210" s="59">
        <f t="shared" si="20"/>
        <v>17</v>
      </c>
      <c r="B1210" s="59" t="str">
        <f t="shared" si="21"/>
        <v>Đã chốt</v>
      </c>
      <c r="C1210" s="59" t="str">
        <f t="shared" si="22"/>
        <v>Téc 3</v>
      </c>
      <c r="D1210" s="45">
        <f t="shared" si="23"/>
        <v>46178</v>
      </c>
      <c r="E1210" s="45">
        <f t="shared" si="24"/>
        <v>46199</v>
      </c>
      <c r="F1210" s="59">
        <f t="shared" si="25"/>
        <v>6</v>
      </c>
      <c r="G1210" s="59">
        <f t="shared" si="26"/>
        <v>2026</v>
      </c>
      <c r="H1210" s="59" t="str">
        <f t="shared" si="27"/>
        <v>28C03323</v>
      </c>
      <c r="I1210" s="59">
        <f>IF(OR($A1210="",$C1210="",$D1210="",$E1210="",$H1210=""),"",SUMIFS(DATA_GOC!$H:$H,DATA_GOC!$A:$A,"BOM",DATA_GOC!$D:$D,$H1210,DATA_GOC!$E:$E,$C1210,DATA_GOC!$F:$F,"Xuất nội bộ từ téc",DATA_GOC!$B:$B,"&gt;="&amp;$D1210,DATA_GOC!$B:$B,"&lt;="&amp;$E1210))</f>
        <v>465</v>
      </c>
      <c r="J1210" s="59">
        <f t="shared" si="28"/>
        <v>23.726</v>
      </c>
      <c r="K1210" s="59">
        <f t="shared" si="29"/>
        <v>0</v>
      </c>
      <c r="L1210" s="59">
        <f t="shared" si="30"/>
        <v>488.726</v>
      </c>
      <c r="M1210" s="59">
        <f t="shared" si="31"/>
        <v>0.0166148569</v>
      </c>
    </row>
    <row r="1211" ht="15.0" hidden="1" customHeight="1">
      <c r="A1211" s="59">
        <f t="shared" si="20"/>
        <v>17</v>
      </c>
      <c r="B1211" s="59" t="str">
        <f t="shared" si="21"/>
        <v>Đã chốt</v>
      </c>
      <c r="C1211" s="59" t="str">
        <f t="shared" si="22"/>
        <v>Téc 3</v>
      </c>
      <c r="D1211" s="45">
        <f t="shared" si="23"/>
        <v>46178</v>
      </c>
      <c r="E1211" s="45">
        <f t="shared" si="24"/>
        <v>46199</v>
      </c>
      <c r="F1211" s="59">
        <f t="shared" si="25"/>
        <v>6</v>
      </c>
      <c r="G1211" s="59">
        <f t="shared" si="26"/>
        <v>2026</v>
      </c>
      <c r="H1211" s="59" t="str">
        <f t="shared" si="27"/>
        <v>28C03385</v>
      </c>
      <c r="I1211" s="59">
        <f>IF(OR($A1211="",$C1211="",$D1211="",$E1211="",$H1211=""),"",SUMIFS(DATA_GOC!$H:$H,DATA_GOC!$A:$A,"BOM",DATA_GOC!$D:$D,$H1211,DATA_GOC!$E:$E,$C1211,DATA_GOC!$F:$F,"Xuất nội bộ từ téc",DATA_GOC!$B:$B,"&gt;="&amp;$D1211,DATA_GOC!$B:$B,"&lt;="&amp;$E1211))</f>
        <v>30</v>
      </c>
      <c r="J1211" s="59">
        <f t="shared" si="28"/>
        <v>1.531</v>
      </c>
      <c r="K1211" s="59">
        <f t="shared" si="29"/>
        <v>0</v>
      </c>
      <c r="L1211" s="59">
        <f t="shared" si="30"/>
        <v>31.531</v>
      </c>
      <c r="M1211" s="59">
        <f t="shared" si="31"/>
        <v>0.001071926251</v>
      </c>
    </row>
    <row r="1212" ht="15.0" hidden="1" customHeight="1">
      <c r="A1212" s="59">
        <f t="shared" si="20"/>
        <v>17</v>
      </c>
      <c r="B1212" s="59" t="str">
        <f t="shared" si="21"/>
        <v>Đã chốt</v>
      </c>
      <c r="C1212" s="59" t="str">
        <f t="shared" si="22"/>
        <v>Téc 3</v>
      </c>
      <c r="D1212" s="45">
        <f t="shared" si="23"/>
        <v>46178</v>
      </c>
      <c r="E1212" s="45">
        <f t="shared" si="24"/>
        <v>46199</v>
      </c>
      <c r="F1212" s="59">
        <f t="shared" si="25"/>
        <v>6</v>
      </c>
      <c r="G1212" s="59">
        <f t="shared" si="26"/>
        <v>2026</v>
      </c>
      <c r="H1212" s="59" t="str">
        <f t="shared" si="27"/>
        <v>28C03652</v>
      </c>
      <c r="I1212" s="59">
        <f>IF(OR($A1212="",$C1212="",$D1212="",$E1212="",$H1212=""),"",SUMIFS(DATA_GOC!$H:$H,DATA_GOC!$A:$A,"BOM",DATA_GOC!$D:$D,$H1212,DATA_GOC!$E:$E,$C1212,DATA_GOC!$F:$F,"Xuất nội bộ từ téc",DATA_GOC!$B:$B,"&gt;="&amp;$D1212,DATA_GOC!$B:$B,"&lt;="&amp;$E1212))</f>
        <v>484</v>
      </c>
      <c r="J1212" s="59">
        <f t="shared" si="28"/>
        <v>24.695</v>
      </c>
      <c r="K1212" s="59">
        <f t="shared" si="29"/>
        <v>0</v>
      </c>
      <c r="L1212" s="59">
        <f t="shared" si="30"/>
        <v>508.695</v>
      </c>
      <c r="M1212" s="59">
        <f t="shared" si="31"/>
        <v>0.01729374352</v>
      </c>
    </row>
    <row r="1213" ht="15.0" hidden="1" customHeight="1">
      <c r="A1213" s="59">
        <f t="shared" si="20"/>
        <v>17</v>
      </c>
      <c r="B1213" s="59" t="str">
        <f t="shared" si="21"/>
        <v>Đã chốt</v>
      </c>
      <c r="C1213" s="59" t="str">
        <f t="shared" si="22"/>
        <v>Téc 3</v>
      </c>
      <c r="D1213" s="45">
        <f t="shared" si="23"/>
        <v>46178</v>
      </c>
      <c r="E1213" s="45">
        <f t="shared" si="24"/>
        <v>46199</v>
      </c>
      <c r="F1213" s="59">
        <f t="shared" si="25"/>
        <v>6</v>
      </c>
      <c r="G1213" s="59">
        <f t="shared" si="26"/>
        <v>2026</v>
      </c>
      <c r="H1213" s="59" t="str">
        <f t="shared" si="27"/>
        <v>28C03695</v>
      </c>
      <c r="I1213" s="59">
        <f>IF(OR($A1213="",$C1213="",$D1213="",$E1213="",$H1213=""),"",SUMIFS(DATA_GOC!$H:$H,DATA_GOC!$A:$A,"BOM",DATA_GOC!$D:$D,$H1213,DATA_GOC!$E:$E,$C1213,DATA_GOC!$F:$F,"Xuất nội bộ từ téc",DATA_GOC!$B:$B,"&gt;="&amp;$D1213,DATA_GOC!$B:$B,"&lt;="&amp;$E1213))</f>
        <v>0</v>
      </c>
      <c r="J1213" s="59">
        <f t="shared" si="28"/>
        <v>0</v>
      </c>
      <c r="K1213" s="59">
        <f t="shared" si="29"/>
        <v>0</v>
      </c>
      <c r="L1213" s="59">
        <f t="shared" si="30"/>
        <v>0</v>
      </c>
      <c r="M1213" s="59">
        <f t="shared" si="31"/>
        <v>0</v>
      </c>
    </row>
    <row r="1214" ht="15.0" hidden="1" customHeight="1">
      <c r="A1214" s="59">
        <f t="shared" si="20"/>
        <v>17</v>
      </c>
      <c r="B1214" s="59" t="str">
        <f t="shared" si="21"/>
        <v>Đã chốt</v>
      </c>
      <c r="C1214" s="59" t="str">
        <f t="shared" si="22"/>
        <v>Téc 3</v>
      </c>
      <c r="D1214" s="45">
        <f t="shared" si="23"/>
        <v>46178</v>
      </c>
      <c r="E1214" s="45">
        <f t="shared" si="24"/>
        <v>46199</v>
      </c>
      <c r="F1214" s="59">
        <f t="shared" si="25"/>
        <v>6</v>
      </c>
      <c r="G1214" s="59">
        <f t="shared" si="26"/>
        <v>2026</v>
      </c>
      <c r="H1214" s="59" t="str">
        <f t="shared" si="27"/>
        <v>28C03927</v>
      </c>
      <c r="I1214" s="59">
        <f>IF(OR($A1214="",$C1214="",$D1214="",$E1214="",$H1214=""),"",SUMIFS(DATA_GOC!$H:$H,DATA_GOC!$A:$A,"BOM",DATA_GOC!$D:$D,$H1214,DATA_GOC!$E:$E,$C1214,DATA_GOC!$F:$F,"Xuất nội bộ từ téc",DATA_GOC!$B:$B,"&gt;="&amp;$D1214,DATA_GOC!$B:$B,"&lt;="&amp;$E1214))</f>
        <v>0</v>
      </c>
      <c r="J1214" s="59">
        <f t="shared" si="28"/>
        <v>0</v>
      </c>
      <c r="K1214" s="59">
        <f t="shared" si="29"/>
        <v>0</v>
      </c>
      <c r="L1214" s="59">
        <f t="shared" si="30"/>
        <v>0</v>
      </c>
      <c r="M1214" s="59">
        <f t="shared" si="31"/>
        <v>0</v>
      </c>
    </row>
    <row r="1215" ht="15.0" hidden="1" customHeight="1">
      <c r="A1215" s="59">
        <f t="shared" si="20"/>
        <v>17</v>
      </c>
      <c r="B1215" s="59" t="str">
        <f t="shared" si="21"/>
        <v>Đã chốt</v>
      </c>
      <c r="C1215" s="59" t="str">
        <f t="shared" si="22"/>
        <v>Téc 3</v>
      </c>
      <c r="D1215" s="45">
        <f t="shared" si="23"/>
        <v>46178</v>
      </c>
      <c r="E1215" s="45">
        <f t="shared" si="24"/>
        <v>46199</v>
      </c>
      <c r="F1215" s="59">
        <f t="shared" si="25"/>
        <v>6</v>
      </c>
      <c r="G1215" s="59">
        <f t="shared" si="26"/>
        <v>2026</v>
      </c>
      <c r="H1215" s="59" t="str">
        <f t="shared" si="27"/>
        <v>28C04509</v>
      </c>
      <c r="I1215" s="59">
        <f>IF(OR($A1215="",$C1215="",$D1215="",$E1215="",$H1215=""),"",SUMIFS(DATA_GOC!$H:$H,DATA_GOC!$A:$A,"BOM",DATA_GOC!$D:$D,$H1215,DATA_GOC!$E:$E,$C1215,DATA_GOC!$F:$F,"Xuất nội bộ từ téc",DATA_GOC!$B:$B,"&gt;="&amp;$D1215,DATA_GOC!$B:$B,"&lt;="&amp;$E1215))</f>
        <v>124</v>
      </c>
      <c r="J1215" s="59">
        <f t="shared" si="28"/>
        <v>6.327</v>
      </c>
      <c r="K1215" s="59">
        <f t="shared" si="29"/>
        <v>0</v>
      </c>
      <c r="L1215" s="59">
        <f t="shared" si="30"/>
        <v>130.327</v>
      </c>
      <c r="M1215" s="59">
        <f t="shared" si="31"/>
        <v>0.004430628506</v>
      </c>
    </row>
    <row r="1216" ht="15.0" hidden="1" customHeight="1">
      <c r="A1216" s="59">
        <f t="shared" si="20"/>
        <v>17</v>
      </c>
      <c r="B1216" s="59" t="str">
        <f t="shared" si="21"/>
        <v>Đã chốt</v>
      </c>
      <c r="C1216" s="59" t="str">
        <f t="shared" si="22"/>
        <v>Téc 3</v>
      </c>
      <c r="D1216" s="45">
        <f t="shared" si="23"/>
        <v>46178</v>
      </c>
      <c r="E1216" s="45">
        <f t="shared" si="24"/>
        <v>46199</v>
      </c>
      <c r="F1216" s="59">
        <f t="shared" si="25"/>
        <v>6</v>
      </c>
      <c r="G1216" s="59">
        <f t="shared" si="26"/>
        <v>2026</v>
      </c>
      <c r="H1216" s="59" t="str">
        <f t="shared" si="27"/>
        <v>28C04536</v>
      </c>
      <c r="I1216" s="59">
        <f>IF(OR($A1216="",$C1216="",$D1216="",$E1216="",$H1216=""),"",SUMIFS(DATA_GOC!$H:$H,DATA_GOC!$A:$A,"BOM",DATA_GOC!$D:$D,$H1216,DATA_GOC!$E:$E,$C1216,DATA_GOC!$F:$F,"Xuất nội bộ từ téc",DATA_GOC!$B:$B,"&gt;="&amp;$D1216,DATA_GOC!$B:$B,"&lt;="&amp;$E1216))</f>
        <v>0</v>
      </c>
      <c r="J1216" s="59">
        <f t="shared" si="28"/>
        <v>0</v>
      </c>
      <c r="K1216" s="59">
        <f t="shared" si="29"/>
        <v>0</v>
      </c>
      <c r="L1216" s="59">
        <f t="shared" si="30"/>
        <v>0</v>
      </c>
      <c r="M1216" s="59">
        <f t="shared" si="31"/>
        <v>0</v>
      </c>
    </row>
    <row r="1217" ht="15.0" hidden="1" customHeight="1">
      <c r="A1217" s="59">
        <f t="shared" si="20"/>
        <v>17</v>
      </c>
      <c r="B1217" s="59" t="str">
        <f t="shared" si="21"/>
        <v>Đã chốt</v>
      </c>
      <c r="C1217" s="59" t="str">
        <f t="shared" si="22"/>
        <v>Téc 3</v>
      </c>
      <c r="D1217" s="45">
        <f t="shared" si="23"/>
        <v>46178</v>
      </c>
      <c r="E1217" s="45">
        <f t="shared" si="24"/>
        <v>46199</v>
      </c>
      <c r="F1217" s="59">
        <f t="shared" si="25"/>
        <v>6</v>
      </c>
      <c r="G1217" s="59">
        <f t="shared" si="26"/>
        <v>2026</v>
      </c>
      <c r="H1217" s="59" t="str">
        <f t="shared" si="27"/>
        <v>28C04576</v>
      </c>
      <c r="I1217" s="59">
        <f>IF(OR($A1217="",$C1217="",$D1217="",$E1217="",$H1217=""),"",SUMIFS(DATA_GOC!$H:$H,DATA_GOC!$A:$A,"BOM",DATA_GOC!$D:$D,$H1217,DATA_GOC!$E:$E,$C1217,DATA_GOC!$F:$F,"Xuất nội bộ từ téc",DATA_GOC!$B:$B,"&gt;="&amp;$D1217,DATA_GOC!$B:$B,"&lt;="&amp;$E1217))</f>
        <v>692</v>
      </c>
      <c r="J1217" s="59">
        <f t="shared" si="28"/>
        <v>35.308</v>
      </c>
      <c r="K1217" s="59">
        <f t="shared" si="29"/>
        <v>0</v>
      </c>
      <c r="L1217" s="59">
        <f t="shared" si="30"/>
        <v>727.308</v>
      </c>
      <c r="M1217" s="59">
        <f t="shared" si="31"/>
        <v>0.02472576553</v>
      </c>
    </row>
    <row r="1218" ht="15.0" hidden="1" customHeight="1">
      <c r="A1218" s="59">
        <f t="shared" si="20"/>
        <v>17</v>
      </c>
      <c r="B1218" s="59" t="str">
        <f t="shared" si="21"/>
        <v>Đã chốt</v>
      </c>
      <c r="C1218" s="59" t="str">
        <f t="shared" si="22"/>
        <v>Téc 3</v>
      </c>
      <c r="D1218" s="45">
        <f t="shared" si="23"/>
        <v>46178</v>
      </c>
      <c r="E1218" s="45">
        <f t="shared" si="24"/>
        <v>46199</v>
      </c>
      <c r="F1218" s="59">
        <f t="shared" si="25"/>
        <v>6</v>
      </c>
      <c r="G1218" s="59">
        <f t="shared" si="26"/>
        <v>2026</v>
      </c>
      <c r="H1218" s="59" t="str">
        <f t="shared" si="27"/>
        <v>28C05090</v>
      </c>
      <c r="I1218" s="59">
        <f>IF(OR($A1218="",$C1218="",$D1218="",$E1218="",$H1218=""),"",SUMIFS(DATA_GOC!$H:$H,DATA_GOC!$A:$A,"BOM",DATA_GOC!$D:$D,$H1218,DATA_GOC!$E:$E,$C1218,DATA_GOC!$F:$F,"Xuất nội bộ từ téc",DATA_GOC!$B:$B,"&gt;="&amp;$D1218,DATA_GOC!$B:$B,"&lt;="&amp;$E1218))</f>
        <v>0</v>
      </c>
      <c r="J1218" s="59">
        <f t="shared" si="28"/>
        <v>0</v>
      </c>
      <c r="K1218" s="59">
        <f t="shared" si="29"/>
        <v>0</v>
      </c>
      <c r="L1218" s="59">
        <f t="shared" si="30"/>
        <v>0</v>
      </c>
      <c r="M1218" s="59">
        <f t="shared" si="31"/>
        <v>0</v>
      </c>
    </row>
    <row r="1219" ht="15.0" hidden="1" customHeight="1">
      <c r="A1219" s="59">
        <f t="shared" si="20"/>
        <v>17</v>
      </c>
      <c r="B1219" s="59" t="str">
        <f t="shared" si="21"/>
        <v>Đã chốt</v>
      </c>
      <c r="C1219" s="59" t="str">
        <f t="shared" si="22"/>
        <v>Téc 3</v>
      </c>
      <c r="D1219" s="45">
        <f t="shared" si="23"/>
        <v>46178</v>
      </c>
      <c r="E1219" s="45">
        <f t="shared" si="24"/>
        <v>46199</v>
      </c>
      <c r="F1219" s="59">
        <f t="shared" si="25"/>
        <v>6</v>
      </c>
      <c r="G1219" s="59">
        <f t="shared" si="26"/>
        <v>2026</v>
      </c>
      <c r="H1219" s="59" t="str">
        <f t="shared" si="27"/>
        <v>28C05345</v>
      </c>
      <c r="I1219" s="59">
        <f>IF(OR($A1219="",$C1219="",$D1219="",$E1219="",$H1219=""),"",SUMIFS(DATA_GOC!$H:$H,DATA_GOC!$A:$A,"BOM",DATA_GOC!$D:$D,$H1219,DATA_GOC!$E:$E,$C1219,DATA_GOC!$F:$F,"Xuất nội bộ từ téc",DATA_GOC!$B:$B,"&gt;="&amp;$D1219,DATA_GOC!$B:$B,"&lt;="&amp;$E1219))</f>
        <v>1063</v>
      </c>
      <c r="J1219" s="59">
        <f t="shared" si="28"/>
        <v>54.238</v>
      </c>
      <c r="K1219" s="59">
        <f t="shared" si="29"/>
        <v>0</v>
      </c>
      <c r="L1219" s="59">
        <f t="shared" si="30"/>
        <v>1117.238</v>
      </c>
      <c r="M1219" s="59">
        <f t="shared" si="31"/>
        <v>0.03798192018</v>
      </c>
    </row>
    <row r="1220" ht="15.0" hidden="1" customHeight="1">
      <c r="A1220" s="59">
        <f t="shared" si="20"/>
        <v>17</v>
      </c>
      <c r="B1220" s="59" t="str">
        <f t="shared" si="21"/>
        <v>Đã chốt</v>
      </c>
      <c r="C1220" s="59" t="str">
        <f t="shared" si="22"/>
        <v>Téc 3</v>
      </c>
      <c r="D1220" s="45">
        <f t="shared" si="23"/>
        <v>46178</v>
      </c>
      <c r="E1220" s="45">
        <f t="shared" si="24"/>
        <v>46199</v>
      </c>
      <c r="F1220" s="59">
        <f t="shared" si="25"/>
        <v>6</v>
      </c>
      <c r="G1220" s="59">
        <f t="shared" si="26"/>
        <v>2026</v>
      </c>
      <c r="H1220" s="59" t="str">
        <f t="shared" si="27"/>
        <v>28C05661</v>
      </c>
      <c r="I1220" s="59">
        <f>IF(OR($A1220="",$C1220="",$D1220="",$E1220="",$H1220=""),"",SUMIFS(DATA_GOC!$H:$H,DATA_GOC!$A:$A,"BOM",DATA_GOC!$D:$D,$H1220,DATA_GOC!$E:$E,$C1220,DATA_GOC!$F:$F,"Xuất nội bộ từ téc",DATA_GOC!$B:$B,"&gt;="&amp;$D1220,DATA_GOC!$B:$B,"&lt;="&amp;$E1220))</f>
        <v>0</v>
      </c>
      <c r="J1220" s="59">
        <f t="shared" si="28"/>
        <v>0</v>
      </c>
      <c r="K1220" s="59">
        <f t="shared" si="29"/>
        <v>0</v>
      </c>
      <c r="L1220" s="59">
        <f t="shared" si="30"/>
        <v>0</v>
      </c>
      <c r="M1220" s="59">
        <f t="shared" si="31"/>
        <v>0</v>
      </c>
    </row>
    <row r="1221" ht="15.0" hidden="1" customHeight="1">
      <c r="A1221" s="59">
        <f t="shared" si="20"/>
        <v>17</v>
      </c>
      <c r="B1221" s="59" t="str">
        <f t="shared" si="21"/>
        <v>Đã chốt</v>
      </c>
      <c r="C1221" s="59" t="str">
        <f t="shared" si="22"/>
        <v>Téc 3</v>
      </c>
      <c r="D1221" s="45">
        <f t="shared" si="23"/>
        <v>46178</v>
      </c>
      <c r="E1221" s="45">
        <f t="shared" si="24"/>
        <v>46199</v>
      </c>
      <c r="F1221" s="59">
        <f t="shared" si="25"/>
        <v>6</v>
      </c>
      <c r="G1221" s="59">
        <f t="shared" si="26"/>
        <v>2026</v>
      </c>
      <c r="H1221" s="59" t="str">
        <f t="shared" si="27"/>
        <v>28C05739</v>
      </c>
      <c r="I1221" s="59">
        <f>IF(OR($A1221="",$C1221="",$D1221="",$E1221="",$H1221=""),"",SUMIFS(DATA_GOC!$H:$H,DATA_GOC!$A:$A,"BOM",DATA_GOC!$D:$D,$H1221,DATA_GOC!$E:$E,$C1221,DATA_GOC!$F:$F,"Xuất nội bộ từ téc",DATA_GOC!$B:$B,"&gt;="&amp;$D1221,DATA_GOC!$B:$B,"&lt;="&amp;$E1221))</f>
        <v>953</v>
      </c>
      <c r="J1221" s="59">
        <f t="shared" si="28"/>
        <v>48.626</v>
      </c>
      <c r="K1221" s="59">
        <f t="shared" si="29"/>
        <v>0</v>
      </c>
      <c r="L1221" s="59">
        <f t="shared" si="30"/>
        <v>1001.626</v>
      </c>
      <c r="M1221" s="59">
        <f t="shared" si="31"/>
        <v>0.03405152392</v>
      </c>
    </row>
    <row r="1222" ht="15.0" hidden="1" customHeight="1">
      <c r="A1222" s="59">
        <f t="shared" si="20"/>
        <v>17</v>
      </c>
      <c r="B1222" s="59" t="str">
        <f t="shared" si="21"/>
        <v>Đã chốt</v>
      </c>
      <c r="C1222" s="59" t="str">
        <f t="shared" si="22"/>
        <v>Téc 3</v>
      </c>
      <c r="D1222" s="45">
        <f t="shared" si="23"/>
        <v>46178</v>
      </c>
      <c r="E1222" s="45">
        <f t="shared" si="24"/>
        <v>46199</v>
      </c>
      <c r="F1222" s="59">
        <f t="shared" si="25"/>
        <v>6</v>
      </c>
      <c r="G1222" s="59">
        <f t="shared" si="26"/>
        <v>2026</v>
      </c>
      <c r="H1222" s="59" t="str">
        <f t="shared" si="27"/>
        <v>28C06369</v>
      </c>
      <c r="I1222" s="59">
        <f>IF(OR($A1222="",$C1222="",$D1222="",$E1222="",$H1222=""),"",SUMIFS(DATA_GOC!$H:$H,DATA_GOC!$A:$A,"BOM",DATA_GOC!$D:$D,$H1222,DATA_GOC!$E:$E,$C1222,DATA_GOC!$F:$F,"Xuất nội bộ từ téc",DATA_GOC!$B:$B,"&gt;="&amp;$D1222,DATA_GOC!$B:$B,"&lt;="&amp;$E1222))</f>
        <v>877</v>
      </c>
      <c r="J1222" s="59">
        <f t="shared" si="28"/>
        <v>44.748</v>
      </c>
      <c r="K1222" s="59">
        <f t="shared" si="29"/>
        <v>0</v>
      </c>
      <c r="L1222" s="59">
        <f t="shared" si="30"/>
        <v>921.748</v>
      </c>
      <c r="M1222" s="59">
        <f t="shared" si="31"/>
        <v>0.03133597742</v>
      </c>
    </row>
    <row r="1223" ht="15.0" hidden="1" customHeight="1">
      <c r="A1223" s="59">
        <f t="shared" si="20"/>
        <v>17</v>
      </c>
      <c r="B1223" s="59" t="str">
        <f t="shared" si="21"/>
        <v>Đã chốt</v>
      </c>
      <c r="C1223" s="59" t="str">
        <f t="shared" si="22"/>
        <v>Téc 3</v>
      </c>
      <c r="D1223" s="45">
        <f t="shared" si="23"/>
        <v>46178</v>
      </c>
      <c r="E1223" s="45">
        <f t="shared" si="24"/>
        <v>46199</v>
      </c>
      <c r="F1223" s="59">
        <f t="shared" si="25"/>
        <v>6</v>
      </c>
      <c r="G1223" s="59">
        <f t="shared" si="26"/>
        <v>2026</v>
      </c>
      <c r="H1223" s="59" t="str">
        <f t="shared" si="27"/>
        <v>28C06447</v>
      </c>
      <c r="I1223" s="59">
        <f>IF(OR($A1223="",$C1223="",$D1223="",$E1223="",$H1223=""),"",SUMIFS(DATA_GOC!$H:$H,DATA_GOC!$A:$A,"BOM",DATA_GOC!$D:$D,$H1223,DATA_GOC!$E:$E,$C1223,DATA_GOC!$F:$F,"Xuất nội bộ từ téc",DATA_GOC!$B:$B,"&gt;="&amp;$D1223,DATA_GOC!$B:$B,"&lt;="&amp;$E1223))</f>
        <v>1042</v>
      </c>
      <c r="J1223" s="59">
        <f t="shared" si="28"/>
        <v>53.167</v>
      </c>
      <c r="K1223" s="59">
        <f t="shared" si="29"/>
        <v>0</v>
      </c>
      <c r="L1223" s="59">
        <f t="shared" si="30"/>
        <v>1095.167</v>
      </c>
      <c r="M1223" s="59">
        <f t="shared" si="31"/>
        <v>0.0372315718</v>
      </c>
    </row>
    <row r="1224" ht="15.0" hidden="1" customHeight="1">
      <c r="A1224" s="59">
        <f t="shared" si="20"/>
        <v>17</v>
      </c>
      <c r="B1224" s="59" t="str">
        <f t="shared" si="21"/>
        <v>Đã chốt</v>
      </c>
      <c r="C1224" s="59" t="str">
        <f t="shared" si="22"/>
        <v>Téc 3</v>
      </c>
      <c r="D1224" s="45">
        <f t="shared" si="23"/>
        <v>46178</v>
      </c>
      <c r="E1224" s="45">
        <f t="shared" si="24"/>
        <v>46199</v>
      </c>
      <c r="F1224" s="59">
        <f t="shared" si="25"/>
        <v>6</v>
      </c>
      <c r="G1224" s="59">
        <f t="shared" si="26"/>
        <v>2026</v>
      </c>
      <c r="H1224" s="59" t="str">
        <f t="shared" si="27"/>
        <v>28H00003</v>
      </c>
      <c r="I1224" s="59">
        <f>IF(OR($A1224="",$C1224="",$D1224="",$E1224="",$H1224=""),"",SUMIFS(DATA_GOC!$H:$H,DATA_GOC!$A:$A,"BOM",DATA_GOC!$D:$D,$H1224,DATA_GOC!$E:$E,$C1224,DATA_GOC!$F:$F,"Xuất nội bộ từ téc",DATA_GOC!$B:$B,"&gt;="&amp;$D1224,DATA_GOC!$B:$B,"&lt;="&amp;$E1224))</f>
        <v>1132</v>
      </c>
      <c r="J1224" s="59">
        <f t="shared" si="28"/>
        <v>57.759</v>
      </c>
      <c r="K1224" s="59">
        <f t="shared" si="29"/>
        <v>0</v>
      </c>
      <c r="L1224" s="59">
        <f t="shared" si="30"/>
        <v>1189.759</v>
      </c>
      <c r="M1224" s="59">
        <f t="shared" si="31"/>
        <v>0.04044735056</v>
      </c>
    </row>
    <row r="1225" ht="15.0" hidden="1" customHeight="1">
      <c r="A1225" s="59">
        <f t="shared" si="20"/>
        <v>17</v>
      </c>
      <c r="B1225" s="59" t="str">
        <f t="shared" si="21"/>
        <v>Đã chốt</v>
      </c>
      <c r="C1225" s="59" t="str">
        <f t="shared" si="22"/>
        <v>Téc 3</v>
      </c>
      <c r="D1225" s="45">
        <f t="shared" si="23"/>
        <v>46178</v>
      </c>
      <c r="E1225" s="45">
        <f t="shared" si="24"/>
        <v>46199</v>
      </c>
      <c r="F1225" s="59">
        <f t="shared" si="25"/>
        <v>6</v>
      </c>
      <c r="G1225" s="59">
        <f t="shared" si="26"/>
        <v>2026</v>
      </c>
      <c r="H1225" s="59" t="str">
        <f t="shared" si="27"/>
        <v>28H00061</v>
      </c>
      <c r="I1225" s="59">
        <f>IF(OR($A1225="",$C1225="",$D1225="",$E1225="",$H1225=""),"",SUMIFS(DATA_GOC!$H:$H,DATA_GOC!$A:$A,"BOM",DATA_GOC!$D:$D,$H1225,DATA_GOC!$E:$E,$C1225,DATA_GOC!$F:$F,"Xuất nội bộ từ téc",DATA_GOC!$B:$B,"&gt;="&amp;$D1225,DATA_GOC!$B:$B,"&lt;="&amp;$E1225))</f>
        <v>783</v>
      </c>
      <c r="J1225" s="59">
        <f t="shared" si="28"/>
        <v>39.952</v>
      </c>
      <c r="K1225" s="59">
        <f t="shared" si="29"/>
        <v>0</v>
      </c>
      <c r="L1225" s="59">
        <f t="shared" si="30"/>
        <v>822.952</v>
      </c>
      <c r="M1225" s="59">
        <f t="shared" si="31"/>
        <v>0.02797727516</v>
      </c>
    </row>
    <row r="1226" ht="15.0" hidden="1" customHeight="1">
      <c r="A1226" s="59">
        <f t="shared" si="20"/>
        <v>17</v>
      </c>
      <c r="B1226" s="59" t="str">
        <f t="shared" si="21"/>
        <v>Đã chốt</v>
      </c>
      <c r="C1226" s="59" t="str">
        <f t="shared" si="22"/>
        <v>Téc 3</v>
      </c>
      <c r="D1226" s="45">
        <f t="shared" si="23"/>
        <v>46178</v>
      </c>
      <c r="E1226" s="45">
        <f t="shared" si="24"/>
        <v>46199</v>
      </c>
      <c r="F1226" s="59">
        <f t="shared" si="25"/>
        <v>6</v>
      </c>
      <c r="G1226" s="59">
        <f t="shared" si="26"/>
        <v>2026</v>
      </c>
      <c r="H1226" s="59" t="str">
        <f t="shared" si="27"/>
        <v>28H00354</v>
      </c>
      <c r="I1226" s="59">
        <f>IF(OR($A1226="",$C1226="",$D1226="",$E1226="",$H1226=""),"",SUMIFS(DATA_GOC!$H:$H,DATA_GOC!$A:$A,"BOM",DATA_GOC!$D:$D,$H1226,DATA_GOC!$E:$E,$C1226,DATA_GOC!$F:$F,"Xuất nội bộ từ téc",DATA_GOC!$B:$B,"&gt;="&amp;$D1226,DATA_GOC!$B:$B,"&lt;="&amp;$E1226))</f>
        <v>970</v>
      </c>
      <c r="J1226" s="59">
        <f t="shared" si="28"/>
        <v>49.493</v>
      </c>
      <c r="K1226" s="59">
        <f t="shared" si="29"/>
        <v>0</v>
      </c>
      <c r="L1226" s="59">
        <f t="shared" si="30"/>
        <v>1019.493</v>
      </c>
      <c r="M1226" s="59">
        <f t="shared" si="31"/>
        <v>0.0346589488</v>
      </c>
    </row>
    <row r="1227" ht="15.0" hidden="1" customHeight="1">
      <c r="A1227" s="59">
        <f t="shared" si="20"/>
        <v>17</v>
      </c>
      <c r="B1227" s="59" t="str">
        <f t="shared" si="21"/>
        <v>Đã chốt</v>
      </c>
      <c r="C1227" s="59" t="str">
        <f t="shared" si="22"/>
        <v>Téc 3</v>
      </c>
      <c r="D1227" s="45">
        <f t="shared" si="23"/>
        <v>46178</v>
      </c>
      <c r="E1227" s="45">
        <f t="shared" si="24"/>
        <v>46199</v>
      </c>
      <c r="F1227" s="59">
        <f t="shared" si="25"/>
        <v>6</v>
      </c>
      <c r="G1227" s="59">
        <f t="shared" si="26"/>
        <v>2026</v>
      </c>
      <c r="H1227" s="59" t="str">
        <f t="shared" si="27"/>
        <v>28H00603</v>
      </c>
      <c r="I1227" s="59">
        <f>IF(OR($A1227="",$C1227="",$D1227="",$E1227="",$H1227=""),"",SUMIFS(DATA_GOC!$H:$H,DATA_GOC!$A:$A,"BOM",DATA_GOC!$D:$D,$H1227,DATA_GOC!$E:$E,$C1227,DATA_GOC!$F:$F,"Xuất nội bộ từ téc",DATA_GOC!$B:$B,"&gt;="&amp;$D1227,DATA_GOC!$B:$B,"&lt;="&amp;$E1227))</f>
        <v>929</v>
      </c>
      <c r="J1227" s="59">
        <f t="shared" si="28"/>
        <v>47.401</v>
      </c>
      <c r="K1227" s="59">
        <f t="shared" si="29"/>
        <v>0</v>
      </c>
      <c r="L1227" s="59">
        <f t="shared" si="30"/>
        <v>976.401</v>
      </c>
      <c r="M1227" s="59">
        <f t="shared" si="31"/>
        <v>0.03319398292</v>
      </c>
    </row>
    <row r="1228" ht="15.0" hidden="1" customHeight="1">
      <c r="A1228" s="59">
        <f t="shared" si="20"/>
        <v>17</v>
      </c>
      <c r="B1228" s="59" t="str">
        <f t="shared" si="21"/>
        <v>Đã chốt</v>
      </c>
      <c r="C1228" s="59" t="str">
        <f t="shared" si="22"/>
        <v>Téc 3</v>
      </c>
      <c r="D1228" s="45">
        <f t="shared" si="23"/>
        <v>46178</v>
      </c>
      <c r="E1228" s="45">
        <f t="shared" si="24"/>
        <v>46199</v>
      </c>
      <c r="F1228" s="59">
        <f t="shared" si="25"/>
        <v>6</v>
      </c>
      <c r="G1228" s="59">
        <f t="shared" si="26"/>
        <v>2026</v>
      </c>
      <c r="H1228" s="59" t="str">
        <f t="shared" si="27"/>
        <v>28H00609</v>
      </c>
      <c r="I1228" s="59">
        <f>IF(OR($A1228="",$C1228="",$D1228="",$E1228="",$H1228=""),"",SUMIFS(DATA_GOC!$H:$H,DATA_GOC!$A:$A,"BOM",DATA_GOC!$D:$D,$H1228,DATA_GOC!$E:$E,$C1228,DATA_GOC!$F:$F,"Xuất nội bộ từ téc",DATA_GOC!$B:$B,"&gt;="&amp;$D1228,DATA_GOC!$B:$B,"&lt;="&amp;$E1228))</f>
        <v>460</v>
      </c>
      <c r="J1228" s="59">
        <f t="shared" si="28"/>
        <v>23.471</v>
      </c>
      <c r="K1228" s="59">
        <f t="shared" si="29"/>
        <v>0</v>
      </c>
      <c r="L1228" s="59">
        <f t="shared" si="30"/>
        <v>483.471</v>
      </c>
      <c r="M1228" s="59">
        <f t="shared" si="31"/>
        <v>0.01643620252</v>
      </c>
    </row>
    <row r="1229" ht="15.0" hidden="1" customHeight="1">
      <c r="A1229" s="59">
        <f t="shared" si="20"/>
        <v>17</v>
      </c>
      <c r="B1229" s="59" t="str">
        <f t="shared" si="21"/>
        <v>Đã chốt</v>
      </c>
      <c r="C1229" s="59" t="str">
        <f t="shared" si="22"/>
        <v>Téc 3</v>
      </c>
      <c r="D1229" s="45">
        <f t="shared" si="23"/>
        <v>46178</v>
      </c>
      <c r="E1229" s="45">
        <f t="shared" si="24"/>
        <v>46199</v>
      </c>
      <c r="F1229" s="59">
        <f t="shared" si="25"/>
        <v>6</v>
      </c>
      <c r="G1229" s="59">
        <f t="shared" si="26"/>
        <v>2026</v>
      </c>
      <c r="H1229" s="59" t="str">
        <f t="shared" si="27"/>
        <v>28H00669</v>
      </c>
      <c r="I1229" s="59">
        <f>IF(OR($A1229="",$C1229="",$D1229="",$E1229="",$H1229=""),"",SUMIFS(DATA_GOC!$H:$H,DATA_GOC!$A:$A,"BOM",DATA_GOC!$D:$D,$H1229,DATA_GOC!$E:$E,$C1229,DATA_GOC!$F:$F,"Xuất nội bộ từ téc",DATA_GOC!$B:$B,"&gt;="&amp;$D1229,DATA_GOC!$B:$B,"&lt;="&amp;$E1229))</f>
        <v>1331</v>
      </c>
      <c r="J1229" s="59">
        <f t="shared" si="28"/>
        <v>67.913</v>
      </c>
      <c r="K1229" s="59">
        <f t="shared" si="29"/>
        <v>0</v>
      </c>
      <c r="L1229" s="59">
        <f t="shared" si="30"/>
        <v>1398.913</v>
      </c>
      <c r="M1229" s="59">
        <f t="shared" si="31"/>
        <v>0.04755779469</v>
      </c>
    </row>
    <row r="1230" ht="15.0" hidden="1" customHeight="1">
      <c r="A1230" s="59">
        <f t="shared" si="20"/>
        <v>17</v>
      </c>
      <c r="B1230" s="59" t="str">
        <f t="shared" si="21"/>
        <v>Đã chốt</v>
      </c>
      <c r="C1230" s="59" t="str">
        <f t="shared" si="22"/>
        <v>Téc 3</v>
      </c>
      <c r="D1230" s="45">
        <f t="shared" si="23"/>
        <v>46178</v>
      </c>
      <c r="E1230" s="45">
        <f t="shared" si="24"/>
        <v>46199</v>
      </c>
      <c r="F1230" s="59">
        <f t="shared" si="25"/>
        <v>6</v>
      </c>
      <c r="G1230" s="59">
        <f t="shared" si="26"/>
        <v>2026</v>
      </c>
      <c r="H1230" s="59" t="str">
        <f t="shared" si="27"/>
        <v>28H00680</v>
      </c>
      <c r="I1230" s="59">
        <f>IF(OR($A1230="",$C1230="",$D1230="",$E1230="",$H1230=""),"",SUMIFS(DATA_GOC!$H:$H,DATA_GOC!$A:$A,"BOM",DATA_GOC!$D:$D,$H1230,DATA_GOC!$E:$E,$C1230,DATA_GOC!$F:$F,"Xuất nội bộ từ téc",DATA_GOC!$B:$B,"&gt;="&amp;$D1230,DATA_GOC!$B:$B,"&lt;="&amp;$E1230))</f>
        <v>1942</v>
      </c>
      <c r="J1230" s="59">
        <f t="shared" si="28"/>
        <v>99.088</v>
      </c>
      <c r="K1230" s="59">
        <f t="shared" si="29"/>
        <v>0</v>
      </c>
      <c r="L1230" s="59">
        <f t="shared" si="30"/>
        <v>2041.088</v>
      </c>
      <c r="M1230" s="59">
        <f t="shared" si="31"/>
        <v>0.06938935935</v>
      </c>
    </row>
    <row r="1231" ht="15.0" hidden="1" customHeight="1">
      <c r="A1231" s="59">
        <f t="shared" si="20"/>
        <v>17</v>
      </c>
      <c r="B1231" s="59" t="str">
        <f t="shared" si="21"/>
        <v>Đã chốt</v>
      </c>
      <c r="C1231" s="59" t="str">
        <f t="shared" si="22"/>
        <v>Téc 3</v>
      </c>
      <c r="D1231" s="45">
        <f t="shared" si="23"/>
        <v>46178</v>
      </c>
      <c r="E1231" s="45">
        <f t="shared" si="24"/>
        <v>46199</v>
      </c>
      <c r="F1231" s="59">
        <f t="shared" si="25"/>
        <v>6</v>
      </c>
      <c r="G1231" s="59">
        <f t="shared" si="26"/>
        <v>2026</v>
      </c>
      <c r="H1231" s="59" t="str">
        <f t="shared" si="27"/>
        <v>28H01070</v>
      </c>
      <c r="I1231" s="59">
        <f>IF(OR($A1231="",$C1231="",$D1231="",$E1231="",$H1231=""),"",SUMIFS(DATA_GOC!$H:$H,DATA_GOC!$A:$A,"BOM",DATA_GOC!$D:$D,$H1231,DATA_GOC!$E:$E,$C1231,DATA_GOC!$F:$F,"Xuất nội bộ từ téc",DATA_GOC!$B:$B,"&gt;="&amp;$D1231,DATA_GOC!$B:$B,"&lt;="&amp;$E1231))</f>
        <v>990</v>
      </c>
      <c r="J1231" s="59">
        <f t="shared" si="28"/>
        <v>50.513</v>
      </c>
      <c r="K1231" s="59">
        <f t="shared" si="29"/>
        <v>0</v>
      </c>
      <c r="L1231" s="59">
        <f t="shared" si="30"/>
        <v>1040.513</v>
      </c>
      <c r="M1231" s="59">
        <f t="shared" si="31"/>
        <v>0.0353735663</v>
      </c>
    </row>
    <row r="1232" ht="15.0" hidden="1" customHeight="1">
      <c r="A1232" s="59">
        <f t="shared" si="20"/>
        <v>17</v>
      </c>
      <c r="B1232" s="59" t="str">
        <f t="shared" si="21"/>
        <v>Đã chốt</v>
      </c>
      <c r="C1232" s="59" t="str">
        <f t="shared" si="22"/>
        <v>Téc 3</v>
      </c>
      <c r="D1232" s="45">
        <f t="shared" si="23"/>
        <v>46178</v>
      </c>
      <c r="E1232" s="45">
        <f t="shared" si="24"/>
        <v>46199</v>
      </c>
      <c r="F1232" s="59">
        <f t="shared" si="25"/>
        <v>6</v>
      </c>
      <c r="G1232" s="59">
        <f t="shared" si="26"/>
        <v>2026</v>
      </c>
      <c r="H1232" s="59" t="str">
        <f t="shared" si="27"/>
        <v>28H01364</v>
      </c>
      <c r="I1232" s="59">
        <f>IF(OR($A1232="",$C1232="",$D1232="",$E1232="",$H1232=""),"",SUMIFS(DATA_GOC!$H:$H,DATA_GOC!$A:$A,"BOM",DATA_GOC!$D:$D,$H1232,DATA_GOC!$E:$E,$C1232,DATA_GOC!$F:$F,"Xuất nội bộ từ téc",DATA_GOC!$B:$B,"&gt;="&amp;$D1232,DATA_GOC!$B:$B,"&lt;="&amp;$E1232))</f>
        <v>1526</v>
      </c>
      <c r="J1232" s="59">
        <f t="shared" si="28"/>
        <v>77.862</v>
      </c>
      <c r="K1232" s="59">
        <f t="shared" si="29"/>
        <v>0</v>
      </c>
      <c r="L1232" s="59">
        <f t="shared" si="30"/>
        <v>1603.862</v>
      </c>
      <c r="M1232" s="59">
        <f t="shared" si="31"/>
        <v>0.05452531532</v>
      </c>
    </row>
    <row r="1233" ht="15.0" hidden="1" customHeight="1">
      <c r="A1233" s="59">
        <f t="shared" si="20"/>
        <v>17</v>
      </c>
      <c r="B1233" s="59" t="str">
        <f t="shared" si="21"/>
        <v>Đã chốt</v>
      </c>
      <c r="C1233" s="59" t="str">
        <f t="shared" si="22"/>
        <v>Téc 3</v>
      </c>
      <c r="D1233" s="45">
        <f t="shared" si="23"/>
        <v>46178</v>
      </c>
      <c r="E1233" s="45">
        <f t="shared" si="24"/>
        <v>46199</v>
      </c>
      <c r="F1233" s="59">
        <f t="shared" si="25"/>
        <v>6</v>
      </c>
      <c r="G1233" s="59">
        <f t="shared" si="26"/>
        <v>2026</v>
      </c>
      <c r="H1233" s="59" t="str">
        <f t="shared" si="27"/>
        <v>29E17269</v>
      </c>
      <c r="I1233" s="59">
        <f>IF(OR($A1233="",$C1233="",$D1233="",$E1233="",$H1233=""),"",SUMIFS(DATA_GOC!$H:$H,DATA_GOC!$A:$A,"BOM",DATA_GOC!$D:$D,$H1233,DATA_GOC!$E:$E,$C1233,DATA_GOC!$F:$F,"Xuất nội bộ từ téc",DATA_GOC!$B:$B,"&gt;="&amp;$D1233,DATA_GOC!$B:$B,"&lt;="&amp;$E1233))</f>
        <v>283</v>
      </c>
      <c r="J1233" s="59">
        <f t="shared" si="28"/>
        <v>14.44</v>
      </c>
      <c r="K1233" s="59">
        <f t="shared" si="29"/>
        <v>0</v>
      </c>
      <c r="L1233" s="59">
        <f t="shared" si="30"/>
        <v>297.44</v>
      </c>
      <c r="M1233" s="59">
        <f t="shared" si="31"/>
        <v>0.01011183764</v>
      </c>
    </row>
    <row r="1234" ht="15.0" hidden="1" customHeight="1">
      <c r="A1234" s="59">
        <f t="shared" si="20"/>
        <v>17</v>
      </c>
      <c r="B1234" s="59" t="str">
        <f t="shared" si="21"/>
        <v>Đã chốt</v>
      </c>
      <c r="C1234" s="59" t="str">
        <f t="shared" si="22"/>
        <v>Téc 3</v>
      </c>
      <c r="D1234" s="45">
        <f t="shared" si="23"/>
        <v>46178</v>
      </c>
      <c r="E1234" s="45">
        <f t="shared" si="24"/>
        <v>46199</v>
      </c>
      <c r="F1234" s="59">
        <f t="shared" si="25"/>
        <v>6</v>
      </c>
      <c r="G1234" s="59">
        <f t="shared" si="26"/>
        <v>2026</v>
      </c>
      <c r="H1234" s="59" t="str">
        <f t="shared" si="27"/>
        <v>29E17273</v>
      </c>
      <c r="I1234" s="59">
        <f>IF(OR($A1234="",$C1234="",$D1234="",$E1234="",$H1234=""),"",SUMIFS(DATA_GOC!$H:$H,DATA_GOC!$A:$A,"BOM",DATA_GOC!$D:$D,$H1234,DATA_GOC!$E:$E,$C1234,DATA_GOC!$F:$F,"Xuất nội bộ từ téc",DATA_GOC!$B:$B,"&gt;="&amp;$D1234,DATA_GOC!$B:$B,"&lt;="&amp;$E1234))</f>
        <v>226</v>
      </c>
      <c r="J1234" s="59">
        <f t="shared" si="28"/>
        <v>11.531</v>
      </c>
      <c r="K1234" s="59">
        <f t="shared" si="29"/>
        <v>0</v>
      </c>
      <c r="L1234" s="59">
        <f t="shared" si="30"/>
        <v>237.531</v>
      </c>
      <c r="M1234" s="59">
        <f t="shared" si="31"/>
        <v>0.008075177761</v>
      </c>
    </row>
    <row r="1235" ht="15.0" hidden="1" customHeight="1">
      <c r="A1235" s="59">
        <f t="shared" si="20"/>
        <v>17</v>
      </c>
      <c r="B1235" s="59" t="str">
        <f t="shared" si="21"/>
        <v>Đã chốt</v>
      </c>
      <c r="C1235" s="59" t="str">
        <f t="shared" si="22"/>
        <v>Téc 3</v>
      </c>
      <c r="D1235" s="45">
        <f t="shared" si="23"/>
        <v>46178</v>
      </c>
      <c r="E1235" s="45">
        <f t="shared" si="24"/>
        <v>46199</v>
      </c>
      <c r="F1235" s="59">
        <f t="shared" si="25"/>
        <v>6</v>
      </c>
      <c r="G1235" s="59">
        <f t="shared" si="26"/>
        <v>2026</v>
      </c>
      <c r="H1235" s="59" t="str">
        <f t="shared" si="27"/>
        <v>29E17410</v>
      </c>
      <c r="I1235" s="59">
        <f>IF(OR($A1235="",$C1235="",$D1235="",$E1235="",$H1235=""),"",SUMIFS(DATA_GOC!$H:$H,DATA_GOC!$A:$A,"BOM",DATA_GOC!$D:$D,$H1235,DATA_GOC!$E:$E,$C1235,DATA_GOC!$F:$F,"Xuất nội bộ từ téc",DATA_GOC!$B:$B,"&gt;="&amp;$D1235,DATA_GOC!$B:$B,"&lt;="&amp;$E1235))</f>
        <v>309</v>
      </c>
      <c r="J1235" s="59">
        <f t="shared" si="28"/>
        <v>15.766</v>
      </c>
      <c r="K1235" s="59">
        <f t="shared" si="29"/>
        <v>0</v>
      </c>
      <c r="L1235" s="59">
        <f t="shared" si="30"/>
        <v>324.766</v>
      </c>
      <c r="M1235" s="59">
        <f t="shared" si="31"/>
        <v>0.01104084039</v>
      </c>
    </row>
    <row r="1236" ht="15.0" hidden="1" customHeight="1">
      <c r="A1236" s="59">
        <f t="shared" si="20"/>
        <v>17</v>
      </c>
      <c r="B1236" s="59" t="str">
        <f t="shared" si="21"/>
        <v>Đã chốt</v>
      </c>
      <c r="C1236" s="59" t="str">
        <f t="shared" si="22"/>
        <v>Téc 3</v>
      </c>
      <c r="D1236" s="45">
        <f t="shared" si="23"/>
        <v>46178</v>
      </c>
      <c r="E1236" s="45">
        <f t="shared" si="24"/>
        <v>46199</v>
      </c>
      <c r="F1236" s="59">
        <f t="shared" si="25"/>
        <v>6</v>
      </c>
      <c r="G1236" s="59">
        <f t="shared" si="26"/>
        <v>2026</v>
      </c>
      <c r="H1236" s="59" t="str">
        <f t="shared" si="27"/>
        <v>29E17417</v>
      </c>
      <c r="I1236" s="59">
        <f>IF(OR($A1236="",$C1236="",$D1236="",$E1236="",$H1236=""),"",SUMIFS(DATA_GOC!$H:$H,DATA_GOC!$A:$A,"BOM",DATA_GOC!$D:$D,$H1236,DATA_GOC!$E:$E,$C1236,DATA_GOC!$F:$F,"Xuất nội bộ từ téc",DATA_GOC!$B:$B,"&gt;="&amp;$D1236,DATA_GOC!$B:$B,"&lt;="&amp;$E1236))</f>
        <v>300</v>
      </c>
      <c r="J1236" s="59">
        <f t="shared" si="28"/>
        <v>15.307</v>
      </c>
      <c r="K1236" s="59">
        <f t="shared" si="29"/>
        <v>0</v>
      </c>
      <c r="L1236" s="59">
        <f t="shared" si="30"/>
        <v>315.307</v>
      </c>
      <c r="M1236" s="59">
        <f t="shared" si="31"/>
        <v>0.01071926251</v>
      </c>
    </row>
    <row r="1237" ht="15.0" hidden="1" customHeight="1">
      <c r="A1237" s="59">
        <f t="shared" si="20"/>
        <v>17</v>
      </c>
      <c r="B1237" s="59" t="str">
        <f t="shared" si="21"/>
        <v>Đã chốt</v>
      </c>
      <c r="C1237" s="59" t="str">
        <f t="shared" si="22"/>
        <v>Téc 3</v>
      </c>
      <c r="D1237" s="45">
        <f t="shared" si="23"/>
        <v>46178</v>
      </c>
      <c r="E1237" s="45">
        <f t="shared" si="24"/>
        <v>46199</v>
      </c>
      <c r="F1237" s="59">
        <f t="shared" si="25"/>
        <v>6</v>
      </c>
      <c r="G1237" s="59">
        <f t="shared" si="26"/>
        <v>2026</v>
      </c>
      <c r="H1237" s="59" t="str">
        <f t="shared" si="27"/>
        <v>29E17539</v>
      </c>
      <c r="I1237" s="59">
        <f>IF(OR($A1237="",$C1237="",$D1237="",$E1237="",$H1237=""),"",SUMIFS(DATA_GOC!$H:$H,DATA_GOC!$A:$A,"BOM",DATA_GOC!$D:$D,$H1237,DATA_GOC!$E:$E,$C1237,DATA_GOC!$F:$F,"Xuất nội bộ từ téc",DATA_GOC!$B:$B,"&gt;="&amp;$D1237,DATA_GOC!$B:$B,"&lt;="&amp;$E1237))</f>
        <v>213</v>
      </c>
      <c r="J1237" s="59">
        <f t="shared" si="28"/>
        <v>10.868</v>
      </c>
      <c r="K1237" s="59">
        <f t="shared" si="29"/>
        <v>0</v>
      </c>
      <c r="L1237" s="59">
        <f t="shared" si="30"/>
        <v>223.868</v>
      </c>
      <c r="M1237" s="59">
        <f t="shared" si="31"/>
        <v>0.007610676385</v>
      </c>
    </row>
    <row r="1238" ht="15.0" hidden="1" customHeight="1">
      <c r="A1238" s="59">
        <f t="shared" si="20"/>
        <v>17</v>
      </c>
      <c r="B1238" s="59" t="str">
        <f t="shared" si="21"/>
        <v>Đã chốt</v>
      </c>
      <c r="C1238" s="59" t="str">
        <f t="shared" si="22"/>
        <v>Téc 3</v>
      </c>
      <c r="D1238" s="45">
        <f t="shared" si="23"/>
        <v>46178</v>
      </c>
      <c r="E1238" s="45">
        <f t="shared" si="24"/>
        <v>46199</v>
      </c>
      <c r="F1238" s="59">
        <f t="shared" si="25"/>
        <v>6</v>
      </c>
      <c r="G1238" s="59">
        <f t="shared" si="26"/>
        <v>2026</v>
      </c>
      <c r="H1238" s="59" t="str">
        <f t="shared" si="27"/>
        <v>29E18160</v>
      </c>
      <c r="I1238" s="59">
        <f>IF(OR($A1238="",$C1238="",$D1238="",$E1238="",$H1238=""),"",SUMIFS(DATA_GOC!$H:$H,DATA_GOC!$A:$A,"BOM",DATA_GOC!$D:$D,$H1238,DATA_GOC!$E:$E,$C1238,DATA_GOC!$F:$F,"Xuất nội bộ từ téc",DATA_GOC!$B:$B,"&gt;="&amp;$D1238,DATA_GOC!$B:$B,"&lt;="&amp;$E1238))</f>
        <v>595</v>
      </c>
      <c r="J1238" s="59">
        <f t="shared" si="28"/>
        <v>30.359</v>
      </c>
      <c r="K1238" s="59">
        <f t="shared" si="29"/>
        <v>0</v>
      </c>
      <c r="L1238" s="59">
        <f t="shared" si="30"/>
        <v>625.359</v>
      </c>
      <c r="M1238" s="59">
        <f t="shared" si="31"/>
        <v>0.02125987065</v>
      </c>
    </row>
    <row r="1239" ht="15.0" hidden="1" customHeight="1">
      <c r="A1239" s="59">
        <f t="shared" si="20"/>
        <v>17</v>
      </c>
      <c r="B1239" s="59" t="str">
        <f t="shared" si="21"/>
        <v>Đã chốt</v>
      </c>
      <c r="C1239" s="59" t="str">
        <f t="shared" si="22"/>
        <v>Téc 3</v>
      </c>
      <c r="D1239" s="45">
        <f t="shared" si="23"/>
        <v>46178</v>
      </c>
      <c r="E1239" s="45">
        <f t="shared" si="24"/>
        <v>46199</v>
      </c>
      <c r="F1239" s="59">
        <f t="shared" si="25"/>
        <v>6</v>
      </c>
      <c r="G1239" s="59">
        <f t="shared" si="26"/>
        <v>2026</v>
      </c>
      <c r="H1239" s="59" t="str">
        <f t="shared" si="27"/>
        <v>Công trình Asphalt</v>
      </c>
      <c r="I1239" s="59">
        <f>IF(OR($A1239="",$C1239="",$D1239="",$E1239="",$H1239=""),"",SUMIFS(DATA_GOC!$H:$H,DATA_GOC!$A:$A,"BOM",DATA_GOC!$D:$D,$H1239,DATA_GOC!$E:$E,$C1239,DATA_GOC!$F:$F,"Xuất nội bộ từ téc",DATA_GOC!$B:$B,"&gt;="&amp;$D1239,DATA_GOC!$B:$B,"&lt;="&amp;$E1239))</f>
        <v>341</v>
      </c>
      <c r="J1239" s="59">
        <f t="shared" si="28"/>
        <v>17.399</v>
      </c>
      <c r="K1239" s="59">
        <f t="shared" si="29"/>
        <v>0</v>
      </c>
      <c r="L1239" s="59">
        <f t="shared" si="30"/>
        <v>358.399</v>
      </c>
      <c r="M1239" s="59">
        <f t="shared" si="31"/>
        <v>0.01218422839</v>
      </c>
    </row>
    <row r="1240" ht="15.0" hidden="1" customHeight="1">
      <c r="A1240" s="59">
        <f t="shared" si="20"/>
        <v>17</v>
      </c>
      <c r="B1240" s="59" t="str">
        <f t="shared" si="21"/>
        <v>Đã chốt</v>
      </c>
      <c r="C1240" s="59" t="str">
        <f t="shared" si="22"/>
        <v>Téc 3</v>
      </c>
      <c r="D1240" s="45">
        <f t="shared" si="23"/>
        <v>46178</v>
      </c>
      <c r="E1240" s="45">
        <f t="shared" si="24"/>
        <v>46199</v>
      </c>
      <c r="F1240" s="59">
        <f t="shared" si="25"/>
        <v>6</v>
      </c>
      <c r="G1240" s="59">
        <f t="shared" si="26"/>
        <v>2026</v>
      </c>
      <c r="H1240" s="59" t="str">
        <f t="shared" si="27"/>
        <v>LG53F</v>
      </c>
      <c r="I1240" s="59">
        <f>IF(OR($A1240="",$C1240="",$D1240="",$E1240="",$H1240=""),"",SUMIFS(DATA_GOC!$H:$H,DATA_GOC!$A:$A,"BOM",DATA_GOC!$D:$D,$H1240,DATA_GOC!$E:$E,$C1240,DATA_GOC!$F:$F,"Xuất nội bộ từ téc",DATA_GOC!$B:$B,"&gt;="&amp;$D1240,DATA_GOC!$B:$B,"&lt;="&amp;$E1240))</f>
        <v>0</v>
      </c>
      <c r="J1240" s="59">
        <f t="shared" si="28"/>
        <v>0</v>
      </c>
      <c r="K1240" s="59">
        <f t="shared" si="29"/>
        <v>0</v>
      </c>
      <c r="L1240" s="59">
        <f t="shared" si="30"/>
        <v>0</v>
      </c>
      <c r="M1240" s="59">
        <f t="shared" si="31"/>
        <v>0</v>
      </c>
    </row>
    <row r="1241" ht="15.0" hidden="1" customHeight="1">
      <c r="A1241" s="59">
        <f t="shared" si="20"/>
        <v>17</v>
      </c>
      <c r="B1241" s="59" t="str">
        <f t="shared" si="21"/>
        <v>Đã chốt</v>
      </c>
      <c r="C1241" s="59" t="str">
        <f t="shared" si="22"/>
        <v>Téc 3</v>
      </c>
      <c r="D1241" s="45">
        <f t="shared" si="23"/>
        <v>46178</v>
      </c>
      <c r="E1241" s="45">
        <f t="shared" si="24"/>
        <v>46199</v>
      </c>
      <c r="F1241" s="59">
        <f t="shared" si="25"/>
        <v>6</v>
      </c>
      <c r="G1241" s="59">
        <f t="shared" si="26"/>
        <v>2026</v>
      </c>
      <c r="H1241" s="59" t="str">
        <f t="shared" si="27"/>
        <v>Máy phát điện</v>
      </c>
      <c r="I1241" s="59">
        <f>IF(OR($A1241="",$C1241="",$D1241="",$E1241="",$H1241=""),"",SUMIFS(DATA_GOC!$H:$H,DATA_GOC!$A:$A,"BOM",DATA_GOC!$D:$D,$H1241,DATA_GOC!$E:$E,$C1241,DATA_GOC!$F:$F,"Xuất nội bộ từ téc",DATA_GOC!$B:$B,"&gt;="&amp;$D1241,DATA_GOC!$B:$B,"&lt;="&amp;$E1241))</f>
        <v>0</v>
      </c>
      <c r="J1241" s="59">
        <f t="shared" si="28"/>
        <v>0</v>
      </c>
      <c r="K1241" s="59">
        <f t="shared" si="29"/>
        <v>0</v>
      </c>
      <c r="L1241" s="59">
        <f t="shared" si="30"/>
        <v>0</v>
      </c>
      <c r="M1241" s="59">
        <f t="shared" si="31"/>
        <v>0</v>
      </c>
    </row>
    <row r="1242" ht="15.0" hidden="1" customHeight="1">
      <c r="A1242" s="59">
        <f t="shared" si="20"/>
        <v>17</v>
      </c>
      <c r="B1242" s="59" t="str">
        <f t="shared" si="21"/>
        <v>Đã chốt</v>
      </c>
      <c r="C1242" s="59" t="str">
        <f t="shared" si="22"/>
        <v>Téc 3</v>
      </c>
      <c r="D1242" s="45">
        <f t="shared" si="23"/>
        <v>46178</v>
      </c>
      <c r="E1242" s="45">
        <f t="shared" si="24"/>
        <v>46199</v>
      </c>
      <c r="F1242" s="59">
        <f t="shared" si="25"/>
        <v>6</v>
      </c>
      <c r="G1242" s="59">
        <f t="shared" si="26"/>
        <v>2026</v>
      </c>
      <c r="H1242" s="59" t="str">
        <f t="shared" si="27"/>
        <v>Máy rải thảm</v>
      </c>
      <c r="I1242" s="59">
        <f>IF(OR($A1242="",$C1242="",$D1242="",$E1242="",$H1242=""),"",SUMIFS(DATA_GOC!$H:$H,DATA_GOC!$A:$A,"BOM",DATA_GOC!$D:$D,$H1242,DATA_GOC!$E:$E,$C1242,DATA_GOC!$F:$F,"Xuất nội bộ từ téc",DATA_GOC!$B:$B,"&gt;="&amp;$D1242,DATA_GOC!$B:$B,"&lt;="&amp;$E1242))</f>
        <v>0</v>
      </c>
      <c r="J1242" s="59">
        <f t="shared" si="28"/>
        <v>0</v>
      </c>
      <c r="K1242" s="59">
        <f t="shared" si="29"/>
        <v>0</v>
      </c>
      <c r="L1242" s="59">
        <f t="shared" si="30"/>
        <v>0</v>
      </c>
      <c r="M1242" s="59">
        <f t="shared" si="31"/>
        <v>0</v>
      </c>
    </row>
    <row r="1243" ht="15.0" hidden="1" customHeight="1">
      <c r="A1243" s="59">
        <f t="shared" si="20"/>
        <v>17</v>
      </c>
      <c r="B1243" s="59" t="str">
        <f t="shared" si="21"/>
        <v>Đã chốt</v>
      </c>
      <c r="C1243" s="59" t="str">
        <f t="shared" si="22"/>
        <v>Téc 3</v>
      </c>
      <c r="D1243" s="45">
        <f t="shared" si="23"/>
        <v>46178</v>
      </c>
      <c r="E1243" s="45">
        <f t="shared" si="24"/>
        <v>46199</v>
      </c>
      <c r="F1243" s="59">
        <f t="shared" si="25"/>
        <v>6</v>
      </c>
      <c r="G1243" s="59">
        <f t="shared" si="26"/>
        <v>2026</v>
      </c>
      <c r="H1243" s="59" t="str">
        <f t="shared" si="27"/>
        <v>Xúc Đào</v>
      </c>
      <c r="I1243" s="59">
        <f>IF(OR($A1243="",$C1243="",$D1243="",$E1243="",$H1243=""),"",SUMIFS(DATA_GOC!$H:$H,DATA_GOC!$A:$A,"BOM",DATA_GOC!$D:$D,$H1243,DATA_GOC!$E:$E,$C1243,DATA_GOC!$F:$F,"Xuất nội bộ từ téc",DATA_GOC!$B:$B,"&gt;="&amp;$D1243,DATA_GOC!$B:$B,"&lt;="&amp;$E1243))</f>
        <v>0</v>
      </c>
      <c r="J1243" s="59">
        <f t="shared" si="28"/>
        <v>0</v>
      </c>
      <c r="K1243" s="59">
        <f t="shared" si="29"/>
        <v>0</v>
      </c>
      <c r="L1243" s="59">
        <f t="shared" si="30"/>
        <v>0</v>
      </c>
      <c r="M1243" s="59">
        <f t="shared" si="31"/>
        <v>0</v>
      </c>
    </row>
    <row r="1244" ht="15.0" hidden="1" customHeight="1">
      <c r="A1244" s="59">
        <f t="shared" si="20"/>
        <v>17</v>
      </c>
      <c r="B1244" s="59" t="str">
        <f t="shared" si="21"/>
        <v>Đã chốt</v>
      </c>
      <c r="C1244" s="59" t="str">
        <f t="shared" si="22"/>
        <v>Téc 3</v>
      </c>
      <c r="D1244" s="45">
        <f t="shared" si="23"/>
        <v>46178</v>
      </c>
      <c r="E1244" s="45">
        <f t="shared" si="24"/>
        <v>46199</v>
      </c>
      <c r="F1244" s="59">
        <f t="shared" si="25"/>
        <v>6</v>
      </c>
      <c r="G1244" s="59">
        <f t="shared" si="26"/>
        <v>2026</v>
      </c>
      <c r="H1244" s="59" t="str">
        <f t="shared" si="27"/>
        <v>Xúclật asphalt</v>
      </c>
      <c r="I1244" s="59">
        <f>IF(OR($A1244="",$C1244="",$D1244="",$E1244="",$H1244=""),"",SUMIFS(DATA_GOC!$H:$H,DATA_GOC!$A:$A,"BOM",DATA_GOC!$D:$D,$H1244,DATA_GOC!$E:$E,$C1244,DATA_GOC!$F:$F,"Xuất nội bộ từ téc",DATA_GOC!$B:$B,"&gt;="&amp;$D1244,DATA_GOC!$B:$B,"&lt;="&amp;$E1244))</f>
        <v>0</v>
      </c>
      <c r="J1244" s="59">
        <f t="shared" si="28"/>
        <v>0</v>
      </c>
      <c r="K1244" s="59">
        <f t="shared" si="29"/>
        <v>0</v>
      </c>
      <c r="L1244" s="59">
        <f t="shared" si="30"/>
        <v>0</v>
      </c>
      <c r="M1244" s="59">
        <f t="shared" si="31"/>
        <v>0</v>
      </c>
    </row>
    <row r="1245" ht="15.0" hidden="1" customHeight="1">
      <c r="A1245" s="59">
        <f t="shared" si="20"/>
        <v>17</v>
      </c>
      <c r="B1245" s="59" t="str">
        <f t="shared" si="21"/>
        <v>Đã chốt</v>
      </c>
      <c r="C1245" s="59" t="str">
        <f t="shared" si="22"/>
        <v>Téc 3</v>
      </c>
      <c r="D1245" s="45">
        <f t="shared" si="23"/>
        <v>46178</v>
      </c>
      <c r="E1245" s="45">
        <f t="shared" si="24"/>
        <v>46199</v>
      </c>
      <c r="F1245" s="59">
        <f t="shared" si="25"/>
        <v>6</v>
      </c>
      <c r="G1245" s="59">
        <f t="shared" si="26"/>
        <v>2026</v>
      </c>
      <c r="H1245" s="59" t="str">
        <f t="shared" si="27"/>
        <v>Xúclật855H</v>
      </c>
      <c r="I1245" s="59">
        <f>IF(OR($A1245="",$C1245="",$D1245="",$E1245="",$H1245=""),"",SUMIFS(DATA_GOC!$H:$H,DATA_GOC!$A:$A,"BOM",DATA_GOC!$D:$D,$H1245,DATA_GOC!$E:$E,$C1245,DATA_GOC!$F:$F,"Xuất nội bộ từ téc",DATA_GOC!$B:$B,"&gt;="&amp;$D1245,DATA_GOC!$B:$B,"&lt;="&amp;$E1245))</f>
        <v>497</v>
      </c>
      <c r="J1245" s="59">
        <f t="shared" si="28"/>
        <v>25.359</v>
      </c>
      <c r="K1245" s="59">
        <f t="shared" si="29"/>
        <v>0</v>
      </c>
      <c r="L1245" s="59">
        <f t="shared" si="30"/>
        <v>522.359</v>
      </c>
      <c r="M1245" s="59">
        <f t="shared" si="31"/>
        <v>0.0177582449</v>
      </c>
    </row>
    <row r="1246" ht="15.0" hidden="1" customHeight="1">
      <c r="A1246" s="59">
        <f t="shared" si="20"/>
        <v>17</v>
      </c>
      <c r="B1246" s="59" t="str">
        <f t="shared" si="21"/>
        <v>Đã chốt</v>
      </c>
      <c r="C1246" s="59" t="str">
        <f t="shared" si="22"/>
        <v>Téc 3</v>
      </c>
      <c r="D1246" s="45">
        <f t="shared" si="23"/>
        <v>46178</v>
      </c>
      <c r="E1246" s="45">
        <f t="shared" si="24"/>
        <v>46199</v>
      </c>
      <c r="F1246" s="59">
        <f t="shared" si="25"/>
        <v>6</v>
      </c>
      <c r="G1246" s="59">
        <f t="shared" si="26"/>
        <v>2026</v>
      </c>
      <c r="H1246" s="59" t="str">
        <f t="shared" si="27"/>
        <v>Xúclật855N</v>
      </c>
      <c r="I1246" s="59">
        <f>IF(OR($A1246="",$C1246="",$D1246="",$E1246="",$H1246=""),"",SUMIFS(DATA_GOC!$H:$H,DATA_GOC!$A:$A,"BOM",DATA_GOC!$D:$D,$H1246,DATA_GOC!$E:$E,$C1246,DATA_GOC!$F:$F,"Xuất nội bộ từ téc",DATA_GOC!$B:$B,"&gt;="&amp;$D1246,DATA_GOC!$B:$B,"&lt;="&amp;$E1246))</f>
        <v>339</v>
      </c>
      <c r="J1246" s="59">
        <f t="shared" si="28"/>
        <v>17.297</v>
      </c>
      <c r="K1246" s="59">
        <f t="shared" si="29"/>
        <v>0</v>
      </c>
      <c r="L1246" s="59">
        <f t="shared" si="30"/>
        <v>356.297</v>
      </c>
      <c r="M1246" s="59">
        <f t="shared" si="31"/>
        <v>0.01211276664</v>
      </c>
    </row>
    <row r="1247" ht="15.0" hidden="1" customHeight="1">
      <c r="A1247" s="59">
        <f t="shared" si="20"/>
        <v>17</v>
      </c>
      <c r="B1247" s="59" t="str">
        <f t="shared" si="21"/>
        <v>Đã chốt</v>
      </c>
      <c r="C1247" s="59" t="str">
        <f t="shared" si="22"/>
        <v>Téc 3</v>
      </c>
      <c r="D1247" s="45">
        <f t="shared" si="23"/>
        <v>46178</v>
      </c>
      <c r="E1247" s="45">
        <f t="shared" si="24"/>
        <v>46199</v>
      </c>
      <c r="F1247" s="59">
        <f t="shared" si="25"/>
        <v>6</v>
      </c>
      <c r="G1247" s="59">
        <f t="shared" si="26"/>
        <v>2026</v>
      </c>
      <c r="H1247" s="59" t="str">
        <f t="shared" si="27"/>
        <v>Cát nghiền</v>
      </c>
      <c r="I1247" s="59">
        <f>IF(OR($A1247="",$C1247="",$D1247="",$E1247="",$H1247=""),"",SUMIFS(DATA_GOC!$H:$H,DATA_GOC!$A:$A,"BOM",DATA_GOC!$D:$D,$H1247,DATA_GOC!$E:$E,$C1247,DATA_GOC!$F:$F,"Xuất nội bộ từ téc",DATA_GOC!$B:$B,"&gt;="&amp;$D1247,DATA_GOC!$B:$B,"&lt;="&amp;$E1247))</f>
        <v>0</v>
      </c>
      <c r="J1247" s="59">
        <f t="shared" si="28"/>
        <v>0</v>
      </c>
      <c r="K1247" s="59">
        <f t="shared" si="29"/>
        <v>0</v>
      </c>
      <c r="L1247" s="59">
        <f t="shared" si="30"/>
        <v>0</v>
      </c>
      <c r="M1247" s="59">
        <f t="shared" si="31"/>
        <v>0</v>
      </c>
    </row>
    <row r="1248" ht="15.0" hidden="1" customHeight="1">
      <c r="A1248" s="59">
        <f t="shared" si="20"/>
        <v>17</v>
      </c>
      <c r="B1248" s="59" t="str">
        <f t="shared" si="21"/>
        <v>Đã chốt</v>
      </c>
      <c r="C1248" s="59" t="str">
        <f t="shared" si="22"/>
        <v>Téc 3</v>
      </c>
      <c r="D1248" s="45">
        <f t="shared" si="23"/>
        <v>46178</v>
      </c>
      <c r="E1248" s="45">
        <f t="shared" si="24"/>
        <v>46199</v>
      </c>
      <c r="F1248" s="59">
        <f t="shared" si="25"/>
        <v>6</v>
      </c>
      <c r="G1248" s="59">
        <f t="shared" si="26"/>
        <v>2026</v>
      </c>
      <c r="H1248" s="59" t="str">
        <f t="shared" si="27"/>
        <v>28C02973</v>
      </c>
      <c r="I1248" s="59">
        <f>IF(OR($A1248="",$C1248="",$D1248="",$E1248="",$H1248=""),"",SUMIFS(DATA_GOC!$H:$H,DATA_GOC!$A:$A,"BOM",DATA_GOC!$D:$D,$H1248,DATA_GOC!$E:$E,$C1248,DATA_GOC!$F:$F,"Xuất nội bộ từ téc",DATA_GOC!$B:$B,"&gt;="&amp;$D1248,DATA_GOC!$B:$B,"&lt;="&amp;$E1248))</f>
        <v>700</v>
      </c>
      <c r="J1248" s="59">
        <f t="shared" si="28"/>
        <v>35.717</v>
      </c>
      <c r="K1248" s="59">
        <f t="shared" si="29"/>
        <v>0</v>
      </c>
      <c r="L1248" s="59">
        <f t="shared" si="30"/>
        <v>735.717</v>
      </c>
      <c r="M1248" s="59">
        <f t="shared" si="31"/>
        <v>0.02501161253</v>
      </c>
    </row>
    <row r="1249" ht="15.0" hidden="1" customHeight="1">
      <c r="A1249" s="59">
        <f t="shared" si="20"/>
        <v>17</v>
      </c>
      <c r="B1249" s="59" t="str">
        <f t="shared" si="21"/>
        <v>Đã chốt</v>
      </c>
      <c r="C1249" s="59" t="str">
        <f t="shared" si="22"/>
        <v>Téc 3</v>
      </c>
      <c r="D1249" s="45">
        <f t="shared" si="23"/>
        <v>46178</v>
      </c>
      <c r="E1249" s="45">
        <f t="shared" si="24"/>
        <v>46199</v>
      </c>
      <c r="F1249" s="59">
        <f t="shared" si="25"/>
        <v>6</v>
      </c>
      <c r="G1249" s="59">
        <f t="shared" si="26"/>
        <v>2026</v>
      </c>
      <c r="H1249" s="59" t="str">
        <f t="shared" si="27"/>
        <v>28C03044</v>
      </c>
      <c r="I1249" s="59">
        <f>IF(OR($A1249="",$C1249="",$D1249="",$E1249="",$H1249=""),"",SUMIFS(DATA_GOC!$H:$H,DATA_GOC!$A:$A,"BOM",DATA_GOC!$D:$D,$H1249,DATA_GOC!$E:$E,$C1249,DATA_GOC!$F:$F,"Xuất nội bộ từ téc",DATA_GOC!$B:$B,"&gt;="&amp;$D1249,DATA_GOC!$B:$B,"&lt;="&amp;$E1249))</f>
        <v>0</v>
      </c>
      <c r="J1249" s="59">
        <f t="shared" si="28"/>
        <v>0</v>
      </c>
      <c r="K1249" s="59">
        <f t="shared" si="29"/>
        <v>0</v>
      </c>
      <c r="L1249" s="59">
        <f t="shared" si="30"/>
        <v>0</v>
      </c>
      <c r="M1249" s="59">
        <f t="shared" si="31"/>
        <v>0</v>
      </c>
    </row>
    <row r="1250" ht="15.0" hidden="1" customHeight="1">
      <c r="A1250" s="59">
        <f t="shared" si="20"/>
        <v>17</v>
      </c>
      <c r="B1250" s="59" t="str">
        <f t="shared" si="21"/>
        <v>Đã chốt</v>
      </c>
      <c r="C1250" s="59" t="str">
        <f t="shared" si="22"/>
        <v>Téc 3</v>
      </c>
      <c r="D1250" s="45">
        <f t="shared" si="23"/>
        <v>46178</v>
      </c>
      <c r="E1250" s="45">
        <f t="shared" si="24"/>
        <v>46199</v>
      </c>
      <c r="F1250" s="59">
        <f t="shared" si="25"/>
        <v>6</v>
      </c>
      <c r="G1250" s="59">
        <f t="shared" si="26"/>
        <v>2026</v>
      </c>
      <c r="H1250" s="59" t="str">
        <f t="shared" si="27"/>
        <v>Máy lu lốp</v>
      </c>
      <c r="I1250" s="59">
        <f>IF(OR($A1250="",$C1250="",$D1250="",$E1250="",$H1250=""),"",SUMIFS(DATA_GOC!$H:$H,DATA_GOC!$A:$A,"BOM",DATA_GOC!$D:$D,$H1250,DATA_GOC!$E:$E,$C1250,DATA_GOC!$F:$F,"Xuất nội bộ từ téc",DATA_GOC!$B:$B,"&gt;="&amp;$D1250,DATA_GOC!$B:$B,"&lt;="&amp;$E1250))</f>
        <v>0</v>
      </c>
      <c r="J1250" s="59">
        <f t="shared" si="28"/>
        <v>0</v>
      </c>
      <c r="K1250" s="59">
        <f t="shared" si="29"/>
        <v>0</v>
      </c>
      <c r="L1250" s="59">
        <f t="shared" si="30"/>
        <v>0</v>
      </c>
      <c r="M1250" s="59">
        <f t="shared" si="31"/>
        <v>0</v>
      </c>
    </row>
    <row r="1251" ht="15.0" hidden="1" customHeight="1">
      <c r="A1251" s="59">
        <f t="shared" si="20"/>
        <v>17</v>
      </c>
      <c r="B1251" s="59" t="str">
        <f t="shared" si="21"/>
        <v>Đã chốt</v>
      </c>
      <c r="C1251" s="59" t="str">
        <f t="shared" si="22"/>
        <v>Téc 3</v>
      </c>
      <c r="D1251" s="45">
        <f t="shared" si="23"/>
        <v>46178</v>
      </c>
      <c r="E1251" s="45">
        <f t="shared" si="24"/>
        <v>46199</v>
      </c>
      <c r="F1251" s="59">
        <f t="shared" si="25"/>
        <v>6</v>
      </c>
      <c r="G1251" s="59">
        <f t="shared" si="26"/>
        <v>2026</v>
      </c>
      <c r="H1251" s="59" t="str">
        <f t="shared" si="27"/>
        <v>Xe 600148</v>
      </c>
      <c r="I1251" s="59">
        <f>IF(OR($A1251="",$C1251="",$D1251="",$E1251="",$H1251=""),"",SUMIFS(DATA_GOC!$H:$H,DATA_GOC!$A:$A,"BOM",DATA_GOC!$D:$D,$H1251,DATA_GOC!$E:$E,$C1251,DATA_GOC!$F:$F,"Xuất nội bộ từ téc",DATA_GOC!$B:$B,"&gt;="&amp;$D1251,DATA_GOC!$B:$B,"&lt;="&amp;$E1251))</f>
        <v>20</v>
      </c>
      <c r="J1251" s="59">
        <f t="shared" si="28"/>
        <v>1.02</v>
      </c>
      <c r="K1251" s="59">
        <f t="shared" si="29"/>
        <v>0</v>
      </c>
      <c r="L1251" s="59">
        <f t="shared" si="30"/>
        <v>21.02</v>
      </c>
      <c r="M1251" s="59">
        <f t="shared" si="31"/>
        <v>0.000714617501</v>
      </c>
    </row>
    <row r="1252" ht="15.0" hidden="1" customHeight="1">
      <c r="A1252" s="59">
        <f t="shared" si="20"/>
        <v>17</v>
      </c>
      <c r="B1252" s="59" t="str">
        <f t="shared" si="21"/>
        <v>Đã chốt</v>
      </c>
      <c r="C1252" s="59" t="str">
        <f t="shared" si="22"/>
        <v>Téc 3</v>
      </c>
      <c r="D1252" s="45">
        <f t="shared" si="23"/>
        <v>46178</v>
      </c>
      <c r="E1252" s="45">
        <f t="shared" si="24"/>
        <v>46199</v>
      </c>
      <c r="F1252" s="59">
        <f t="shared" si="25"/>
        <v>6</v>
      </c>
      <c r="G1252" s="59">
        <f t="shared" si="26"/>
        <v>2026</v>
      </c>
      <c r="H1252" s="59" t="str">
        <f t="shared" si="27"/>
        <v>Xe ben mới</v>
      </c>
      <c r="I1252" s="59">
        <f>IF(OR($A1252="",$C1252="",$D1252="",$E1252="",$H1252=""),"",SUMIFS(DATA_GOC!$H:$H,DATA_GOC!$A:$A,"BOM",DATA_GOC!$D:$D,$H1252,DATA_GOC!$E:$E,$C1252,DATA_GOC!$F:$F,"Xuất nội bộ từ téc",DATA_GOC!$B:$B,"&gt;="&amp;$D1252,DATA_GOC!$B:$B,"&lt;="&amp;$E1252))</f>
        <v>0</v>
      </c>
      <c r="J1252" s="59">
        <f t="shared" si="28"/>
        <v>0</v>
      </c>
      <c r="K1252" s="59">
        <f t="shared" si="29"/>
        <v>0</v>
      </c>
      <c r="L1252" s="59">
        <f t="shared" si="30"/>
        <v>0</v>
      </c>
      <c r="M1252" s="59">
        <f t="shared" si="31"/>
        <v>0</v>
      </c>
    </row>
    <row r="1253" ht="15.0" hidden="1" customHeight="1">
      <c r="A1253" s="59">
        <f t="shared" si="20"/>
        <v>18</v>
      </c>
      <c r="B1253" s="59" t="str">
        <f t="shared" si="21"/>
        <v>Đã chốt</v>
      </c>
      <c r="C1253" s="59" t="str">
        <f t="shared" si="22"/>
        <v>Téc 2</v>
      </c>
      <c r="D1253" s="45">
        <f t="shared" si="23"/>
        <v>46196</v>
      </c>
      <c r="E1253" s="45">
        <f t="shared" si="24"/>
        <v>46207</v>
      </c>
      <c r="F1253" s="59">
        <f t="shared" si="25"/>
        <v>7</v>
      </c>
      <c r="G1253" s="59">
        <f t="shared" si="26"/>
        <v>2026</v>
      </c>
      <c r="H1253" s="59" t="str">
        <f t="shared" si="27"/>
        <v>19H09482</v>
      </c>
      <c r="I1253" s="59">
        <f>IF(OR($A1253="",$C1253="",$D1253="",$E1253="",$H1253=""),"",SUMIFS(DATA_GOC!$H:$H,DATA_GOC!$A:$A,"BOM",DATA_GOC!$D:$D,$H1253,DATA_GOC!$E:$E,$C1253,DATA_GOC!$F:$F,"Xuất nội bộ từ téc",DATA_GOC!$B:$B,"&gt;="&amp;$D1253,DATA_GOC!$B:$B,"&lt;="&amp;$E1253))</f>
        <v>560</v>
      </c>
      <c r="J1253" s="59">
        <f t="shared" si="28"/>
        <v>32.616</v>
      </c>
      <c r="K1253" s="59">
        <f t="shared" si="29"/>
        <v>0</v>
      </c>
      <c r="L1253" s="59">
        <f t="shared" si="30"/>
        <v>592.616</v>
      </c>
      <c r="M1253" s="59">
        <f t="shared" si="31"/>
        <v>0.02584456341</v>
      </c>
    </row>
    <row r="1254" ht="15.0" hidden="1" customHeight="1">
      <c r="A1254" s="59">
        <f t="shared" si="20"/>
        <v>18</v>
      </c>
      <c r="B1254" s="59" t="str">
        <f t="shared" si="21"/>
        <v>Đã chốt</v>
      </c>
      <c r="C1254" s="59" t="str">
        <f t="shared" si="22"/>
        <v>Téc 2</v>
      </c>
      <c r="D1254" s="45">
        <f t="shared" si="23"/>
        <v>46196</v>
      </c>
      <c r="E1254" s="45">
        <f t="shared" si="24"/>
        <v>46207</v>
      </c>
      <c r="F1254" s="59">
        <f t="shared" si="25"/>
        <v>7</v>
      </c>
      <c r="G1254" s="59">
        <f t="shared" si="26"/>
        <v>2026</v>
      </c>
      <c r="H1254" s="59" t="str">
        <f t="shared" si="27"/>
        <v>28A30696</v>
      </c>
      <c r="I1254" s="59">
        <f>IF(OR($A1254="",$C1254="",$D1254="",$E1254="",$H1254=""),"",SUMIFS(DATA_GOC!$H:$H,DATA_GOC!$A:$A,"BOM",DATA_GOC!$D:$D,$H1254,DATA_GOC!$E:$E,$C1254,DATA_GOC!$F:$F,"Xuất nội bộ từ téc",DATA_GOC!$B:$B,"&gt;="&amp;$D1254,DATA_GOC!$B:$B,"&lt;="&amp;$E1254))</f>
        <v>37</v>
      </c>
      <c r="J1254" s="59">
        <f t="shared" si="28"/>
        <v>2.155</v>
      </c>
      <c r="K1254" s="59">
        <f t="shared" si="29"/>
        <v>0</v>
      </c>
      <c r="L1254" s="59">
        <f t="shared" si="30"/>
        <v>39.155</v>
      </c>
      <c r="M1254" s="59">
        <f t="shared" si="31"/>
        <v>0.001707587225</v>
      </c>
    </row>
    <row r="1255" ht="15.0" hidden="1" customHeight="1">
      <c r="A1255" s="59">
        <f t="shared" si="20"/>
        <v>18</v>
      </c>
      <c r="B1255" s="59" t="str">
        <f t="shared" si="21"/>
        <v>Đã chốt</v>
      </c>
      <c r="C1255" s="59" t="str">
        <f t="shared" si="22"/>
        <v>Téc 2</v>
      </c>
      <c r="D1255" s="45">
        <f t="shared" si="23"/>
        <v>46196</v>
      </c>
      <c r="E1255" s="45">
        <f t="shared" si="24"/>
        <v>46207</v>
      </c>
      <c r="F1255" s="59">
        <f t="shared" si="25"/>
        <v>7</v>
      </c>
      <c r="G1255" s="59">
        <f t="shared" si="26"/>
        <v>2026</v>
      </c>
      <c r="H1255" s="59" t="str">
        <f t="shared" si="27"/>
        <v>28C00462</v>
      </c>
      <c r="I1255" s="59">
        <f>IF(OR($A1255="",$C1255="",$D1255="",$E1255="",$H1255=""),"",SUMIFS(DATA_GOC!$H:$H,DATA_GOC!$A:$A,"BOM",DATA_GOC!$D:$D,$H1255,DATA_GOC!$E:$E,$C1255,DATA_GOC!$F:$F,"Xuất nội bộ từ téc",DATA_GOC!$B:$B,"&gt;="&amp;$D1255,DATA_GOC!$B:$B,"&lt;="&amp;$E1255))</f>
        <v>156</v>
      </c>
      <c r="J1255" s="59">
        <f t="shared" si="28"/>
        <v>9.086</v>
      </c>
      <c r="K1255" s="59">
        <f t="shared" si="29"/>
        <v>0</v>
      </c>
      <c r="L1255" s="59">
        <f t="shared" si="30"/>
        <v>165.086</v>
      </c>
      <c r="M1255" s="59">
        <f t="shared" si="31"/>
        <v>0.00719955695</v>
      </c>
    </row>
    <row r="1256" ht="15.0" hidden="1" customHeight="1">
      <c r="A1256" s="59">
        <f t="shared" si="20"/>
        <v>18</v>
      </c>
      <c r="B1256" s="59" t="str">
        <f t="shared" si="21"/>
        <v>Đã chốt</v>
      </c>
      <c r="C1256" s="59" t="str">
        <f t="shared" si="22"/>
        <v>Téc 2</v>
      </c>
      <c r="D1256" s="45">
        <f t="shared" si="23"/>
        <v>46196</v>
      </c>
      <c r="E1256" s="45">
        <f t="shared" si="24"/>
        <v>46207</v>
      </c>
      <c r="F1256" s="59">
        <f t="shared" si="25"/>
        <v>7</v>
      </c>
      <c r="G1256" s="59">
        <f t="shared" si="26"/>
        <v>2026</v>
      </c>
      <c r="H1256" s="59" t="str">
        <f t="shared" si="27"/>
        <v>28C01165</v>
      </c>
      <c r="I1256" s="59">
        <f>IF(OR($A1256="",$C1256="",$D1256="",$E1256="",$H1256=""),"",SUMIFS(DATA_GOC!$H:$H,DATA_GOC!$A:$A,"BOM",DATA_GOC!$D:$D,$H1256,DATA_GOC!$E:$E,$C1256,DATA_GOC!$F:$F,"Xuất nội bộ từ téc",DATA_GOC!$B:$B,"&gt;="&amp;$D1256,DATA_GOC!$B:$B,"&lt;="&amp;$E1256))</f>
        <v>210</v>
      </c>
      <c r="J1256" s="59">
        <f t="shared" si="28"/>
        <v>12.231</v>
      </c>
      <c r="K1256" s="59">
        <f t="shared" si="29"/>
        <v>0</v>
      </c>
      <c r="L1256" s="59">
        <f t="shared" si="30"/>
        <v>222.231</v>
      </c>
      <c r="M1256" s="59">
        <f t="shared" si="31"/>
        <v>0.009691711279</v>
      </c>
    </row>
    <row r="1257" ht="15.0" hidden="1" customHeight="1">
      <c r="A1257" s="59">
        <f t="shared" si="20"/>
        <v>18</v>
      </c>
      <c r="B1257" s="59" t="str">
        <f t="shared" si="21"/>
        <v>Đã chốt</v>
      </c>
      <c r="C1257" s="59" t="str">
        <f t="shared" si="22"/>
        <v>Téc 2</v>
      </c>
      <c r="D1257" s="45">
        <f t="shared" si="23"/>
        <v>46196</v>
      </c>
      <c r="E1257" s="45">
        <f t="shared" si="24"/>
        <v>46207</v>
      </c>
      <c r="F1257" s="59">
        <f t="shared" si="25"/>
        <v>7</v>
      </c>
      <c r="G1257" s="59">
        <f t="shared" si="26"/>
        <v>2026</v>
      </c>
      <c r="H1257" s="59" t="str">
        <f t="shared" si="27"/>
        <v>28C01406</v>
      </c>
      <c r="I1257" s="59">
        <f>IF(OR($A1257="",$C1257="",$D1257="",$E1257="",$H1257=""),"",SUMIFS(DATA_GOC!$H:$H,DATA_GOC!$A:$A,"BOM",DATA_GOC!$D:$D,$H1257,DATA_GOC!$E:$E,$C1257,DATA_GOC!$F:$F,"Xuất nội bộ từ téc",DATA_GOC!$B:$B,"&gt;="&amp;$D1257,DATA_GOC!$B:$B,"&lt;="&amp;$E1257))</f>
        <v>1200</v>
      </c>
      <c r="J1257" s="59">
        <f t="shared" si="28"/>
        <v>69.891</v>
      </c>
      <c r="K1257" s="59">
        <f t="shared" si="29"/>
        <v>0</v>
      </c>
      <c r="L1257" s="59">
        <f t="shared" si="30"/>
        <v>1269.891</v>
      </c>
      <c r="M1257" s="59">
        <f t="shared" si="31"/>
        <v>0.05538120731</v>
      </c>
    </row>
    <row r="1258" ht="15.0" hidden="1" customHeight="1">
      <c r="A1258" s="59">
        <f t="shared" si="20"/>
        <v>18</v>
      </c>
      <c r="B1258" s="59" t="str">
        <f t="shared" si="21"/>
        <v>Đã chốt</v>
      </c>
      <c r="C1258" s="59" t="str">
        <f t="shared" si="22"/>
        <v>Téc 2</v>
      </c>
      <c r="D1258" s="45">
        <f t="shared" si="23"/>
        <v>46196</v>
      </c>
      <c r="E1258" s="45">
        <f t="shared" si="24"/>
        <v>46207</v>
      </c>
      <c r="F1258" s="59">
        <f t="shared" si="25"/>
        <v>7</v>
      </c>
      <c r="G1258" s="59">
        <f t="shared" si="26"/>
        <v>2026</v>
      </c>
      <c r="H1258" s="59" t="str">
        <f t="shared" si="27"/>
        <v>28C01544</v>
      </c>
      <c r="I1258" s="59">
        <f>IF(OR($A1258="",$C1258="",$D1258="",$E1258="",$H1258=""),"",SUMIFS(DATA_GOC!$H:$H,DATA_GOC!$A:$A,"BOM",DATA_GOC!$D:$D,$H1258,DATA_GOC!$E:$E,$C1258,DATA_GOC!$F:$F,"Xuất nội bộ từ téc",DATA_GOC!$B:$B,"&gt;="&amp;$D1258,DATA_GOC!$B:$B,"&lt;="&amp;$E1258))</f>
        <v>43</v>
      </c>
      <c r="J1258" s="59">
        <f t="shared" si="28"/>
        <v>2.504</v>
      </c>
      <c r="K1258" s="59">
        <f t="shared" si="29"/>
        <v>0</v>
      </c>
      <c r="L1258" s="59">
        <f t="shared" si="30"/>
        <v>45.504</v>
      </c>
      <c r="M1258" s="59">
        <f t="shared" si="31"/>
        <v>0.001984493262</v>
      </c>
    </row>
    <row r="1259" ht="15.0" hidden="1" customHeight="1">
      <c r="A1259" s="59">
        <f t="shared" si="20"/>
        <v>18</v>
      </c>
      <c r="B1259" s="59" t="str">
        <f t="shared" si="21"/>
        <v>Đã chốt</v>
      </c>
      <c r="C1259" s="59" t="str">
        <f t="shared" si="22"/>
        <v>Téc 2</v>
      </c>
      <c r="D1259" s="45">
        <f t="shared" si="23"/>
        <v>46196</v>
      </c>
      <c r="E1259" s="45">
        <f t="shared" si="24"/>
        <v>46207</v>
      </c>
      <c r="F1259" s="59">
        <f t="shared" si="25"/>
        <v>7</v>
      </c>
      <c r="G1259" s="59">
        <f t="shared" si="26"/>
        <v>2026</v>
      </c>
      <c r="H1259" s="59" t="str">
        <f t="shared" si="27"/>
        <v>28C01622</v>
      </c>
      <c r="I1259" s="59">
        <f>IF(OR($A1259="",$C1259="",$D1259="",$E1259="",$H1259=""),"",SUMIFS(DATA_GOC!$H:$H,DATA_GOC!$A:$A,"BOM",DATA_GOC!$D:$D,$H1259,DATA_GOC!$E:$E,$C1259,DATA_GOC!$F:$F,"Xuất nội bộ từ téc",DATA_GOC!$B:$B,"&gt;="&amp;$D1259,DATA_GOC!$B:$B,"&lt;="&amp;$E1259))</f>
        <v>1030</v>
      </c>
      <c r="J1259" s="59">
        <f t="shared" si="28"/>
        <v>59.99</v>
      </c>
      <c r="K1259" s="59">
        <f t="shared" si="29"/>
        <v>0</v>
      </c>
      <c r="L1259" s="59">
        <f t="shared" si="30"/>
        <v>1089.99</v>
      </c>
      <c r="M1259" s="59">
        <f t="shared" si="31"/>
        <v>0.04753553627</v>
      </c>
    </row>
    <row r="1260" ht="15.0" hidden="1" customHeight="1">
      <c r="A1260" s="59">
        <f t="shared" si="20"/>
        <v>18</v>
      </c>
      <c r="B1260" s="59" t="str">
        <f t="shared" si="21"/>
        <v>Đã chốt</v>
      </c>
      <c r="C1260" s="59" t="str">
        <f t="shared" si="22"/>
        <v>Téc 2</v>
      </c>
      <c r="D1260" s="45">
        <f t="shared" si="23"/>
        <v>46196</v>
      </c>
      <c r="E1260" s="45">
        <f t="shared" si="24"/>
        <v>46207</v>
      </c>
      <c r="F1260" s="59">
        <f t="shared" si="25"/>
        <v>7</v>
      </c>
      <c r="G1260" s="59">
        <f t="shared" si="26"/>
        <v>2026</v>
      </c>
      <c r="H1260" s="59" t="str">
        <f t="shared" si="27"/>
        <v>28C01647</v>
      </c>
      <c r="I1260" s="59">
        <f>IF(OR($A1260="",$C1260="",$D1260="",$E1260="",$H1260=""),"",SUMIFS(DATA_GOC!$H:$H,DATA_GOC!$A:$A,"BOM",DATA_GOC!$D:$D,$H1260,DATA_GOC!$E:$E,$C1260,DATA_GOC!$F:$F,"Xuất nội bộ từ téc",DATA_GOC!$B:$B,"&gt;="&amp;$D1260,DATA_GOC!$B:$B,"&lt;="&amp;$E1260))</f>
        <v>610</v>
      </c>
      <c r="J1260" s="59">
        <f t="shared" si="28"/>
        <v>35.528</v>
      </c>
      <c r="K1260" s="59">
        <f t="shared" si="29"/>
        <v>0</v>
      </c>
      <c r="L1260" s="59">
        <f t="shared" si="30"/>
        <v>645.528</v>
      </c>
      <c r="M1260" s="59">
        <f t="shared" si="31"/>
        <v>0.02815211372</v>
      </c>
    </row>
    <row r="1261" ht="15.0" hidden="1" customHeight="1">
      <c r="A1261" s="59">
        <f t="shared" si="20"/>
        <v>18</v>
      </c>
      <c r="B1261" s="59" t="str">
        <f t="shared" si="21"/>
        <v>Đã chốt</v>
      </c>
      <c r="C1261" s="59" t="str">
        <f t="shared" si="22"/>
        <v>Téc 2</v>
      </c>
      <c r="D1261" s="45">
        <f t="shared" si="23"/>
        <v>46196</v>
      </c>
      <c r="E1261" s="45">
        <f t="shared" si="24"/>
        <v>46207</v>
      </c>
      <c r="F1261" s="59">
        <f t="shared" si="25"/>
        <v>7</v>
      </c>
      <c r="G1261" s="59">
        <f t="shared" si="26"/>
        <v>2026</v>
      </c>
      <c r="H1261" s="59" t="str">
        <f t="shared" si="27"/>
        <v>28C01731</v>
      </c>
      <c r="I1261" s="59">
        <f>IF(OR($A1261="",$C1261="",$D1261="",$E1261="",$H1261=""),"",SUMIFS(DATA_GOC!$H:$H,DATA_GOC!$A:$A,"BOM",DATA_GOC!$D:$D,$H1261,DATA_GOC!$E:$E,$C1261,DATA_GOC!$F:$F,"Xuất nội bộ từ téc",DATA_GOC!$B:$B,"&gt;="&amp;$D1261,DATA_GOC!$B:$B,"&lt;="&amp;$E1261))</f>
        <v>195</v>
      </c>
      <c r="J1261" s="59">
        <f t="shared" si="28"/>
        <v>11.357</v>
      </c>
      <c r="K1261" s="59">
        <f t="shared" si="29"/>
        <v>0</v>
      </c>
      <c r="L1261" s="59">
        <f t="shared" si="30"/>
        <v>206.357</v>
      </c>
      <c r="M1261" s="59">
        <f t="shared" si="31"/>
        <v>0.008999446188</v>
      </c>
    </row>
    <row r="1262" ht="15.0" hidden="1" customHeight="1">
      <c r="A1262" s="59">
        <f t="shared" si="20"/>
        <v>18</v>
      </c>
      <c r="B1262" s="59" t="str">
        <f t="shared" si="21"/>
        <v>Đã chốt</v>
      </c>
      <c r="C1262" s="59" t="str">
        <f t="shared" si="22"/>
        <v>Téc 2</v>
      </c>
      <c r="D1262" s="45">
        <f t="shared" si="23"/>
        <v>46196</v>
      </c>
      <c r="E1262" s="45">
        <f t="shared" si="24"/>
        <v>46207</v>
      </c>
      <c r="F1262" s="59">
        <f t="shared" si="25"/>
        <v>7</v>
      </c>
      <c r="G1262" s="59">
        <f t="shared" si="26"/>
        <v>2026</v>
      </c>
      <c r="H1262" s="59" t="str">
        <f t="shared" si="27"/>
        <v>28C01743</v>
      </c>
      <c r="I1262" s="59">
        <f>IF(OR($A1262="",$C1262="",$D1262="",$E1262="",$H1262=""),"",SUMIFS(DATA_GOC!$H:$H,DATA_GOC!$A:$A,"BOM",DATA_GOC!$D:$D,$H1262,DATA_GOC!$E:$E,$C1262,DATA_GOC!$F:$F,"Xuất nội bộ từ téc",DATA_GOC!$B:$B,"&gt;="&amp;$D1262,DATA_GOC!$B:$B,"&lt;="&amp;$E1262))</f>
        <v>94</v>
      </c>
      <c r="J1262" s="59">
        <f t="shared" si="28"/>
        <v>5.475</v>
      </c>
      <c r="K1262" s="59">
        <f t="shared" si="29"/>
        <v>0</v>
      </c>
      <c r="L1262" s="59">
        <f t="shared" si="30"/>
        <v>99.475</v>
      </c>
      <c r="M1262" s="59">
        <f t="shared" si="31"/>
        <v>0.004338194573</v>
      </c>
    </row>
    <row r="1263" ht="15.0" hidden="1" customHeight="1">
      <c r="A1263" s="59">
        <f t="shared" si="20"/>
        <v>18</v>
      </c>
      <c r="B1263" s="59" t="str">
        <f t="shared" si="21"/>
        <v>Đã chốt</v>
      </c>
      <c r="C1263" s="59" t="str">
        <f t="shared" si="22"/>
        <v>Téc 2</v>
      </c>
      <c r="D1263" s="45">
        <f t="shared" si="23"/>
        <v>46196</v>
      </c>
      <c r="E1263" s="45">
        <f t="shared" si="24"/>
        <v>46207</v>
      </c>
      <c r="F1263" s="59">
        <f t="shared" si="25"/>
        <v>7</v>
      </c>
      <c r="G1263" s="59">
        <f t="shared" si="26"/>
        <v>2026</v>
      </c>
      <c r="H1263" s="59" t="str">
        <f t="shared" si="27"/>
        <v>28C02106</v>
      </c>
      <c r="I1263" s="59">
        <f>IF(OR($A1263="",$C1263="",$D1263="",$E1263="",$H1263=""),"",SUMIFS(DATA_GOC!$H:$H,DATA_GOC!$A:$A,"BOM",DATA_GOC!$D:$D,$H1263,DATA_GOC!$E:$E,$C1263,DATA_GOC!$F:$F,"Xuất nội bộ từ téc",DATA_GOC!$B:$B,"&gt;="&amp;$D1263,DATA_GOC!$B:$B,"&lt;="&amp;$E1263))</f>
        <v>0</v>
      </c>
      <c r="J1263" s="59">
        <f t="shared" si="28"/>
        <v>0</v>
      </c>
      <c r="K1263" s="59">
        <f t="shared" si="29"/>
        <v>0</v>
      </c>
      <c r="L1263" s="59">
        <f t="shared" si="30"/>
        <v>0</v>
      </c>
      <c r="M1263" s="59">
        <f t="shared" si="31"/>
        <v>0</v>
      </c>
    </row>
    <row r="1264" ht="15.0" hidden="1" customHeight="1">
      <c r="A1264" s="59">
        <f t="shared" si="20"/>
        <v>18</v>
      </c>
      <c r="B1264" s="59" t="str">
        <f t="shared" si="21"/>
        <v>Đã chốt</v>
      </c>
      <c r="C1264" s="59" t="str">
        <f t="shared" si="22"/>
        <v>Téc 2</v>
      </c>
      <c r="D1264" s="45">
        <f t="shared" si="23"/>
        <v>46196</v>
      </c>
      <c r="E1264" s="45">
        <f t="shared" si="24"/>
        <v>46207</v>
      </c>
      <c r="F1264" s="59">
        <f t="shared" si="25"/>
        <v>7</v>
      </c>
      <c r="G1264" s="59">
        <f t="shared" si="26"/>
        <v>2026</v>
      </c>
      <c r="H1264" s="59" t="str">
        <f t="shared" si="27"/>
        <v>28C02410</v>
      </c>
      <c r="I1264" s="59">
        <f>IF(OR($A1264="",$C1264="",$D1264="",$E1264="",$H1264=""),"",SUMIFS(DATA_GOC!$H:$H,DATA_GOC!$A:$A,"BOM",DATA_GOC!$D:$D,$H1264,DATA_GOC!$E:$E,$C1264,DATA_GOC!$F:$F,"Xuất nội bộ từ téc",DATA_GOC!$B:$B,"&gt;="&amp;$D1264,DATA_GOC!$B:$B,"&lt;="&amp;$E1264))</f>
        <v>140</v>
      </c>
      <c r="J1264" s="59">
        <f t="shared" si="28"/>
        <v>8.154</v>
      </c>
      <c r="K1264" s="59">
        <f t="shared" si="29"/>
        <v>0</v>
      </c>
      <c r="L1264" s="59">
        <f t="shared" si="30"/>
        <v>148.154</v>
      </c>
      <c r="M1264" s="59">
        <f t="shared" si="31"/>
        <v>0.006461140853</v>
      </c>
    </row>
    <row r="1265" ht="15.0" hidden="1" customHeight="1">
      <c r="A1265" s="59">
        <f t="shared" si="20"/>
        <v>18</v>
      </c>
      <c r="B1265" s="59" t="str">
        <f t="shared" si="21"/>
        <v>Đã chốt</v>
      </c>
      <c r="C1265" s="59" t="str">
        <f t="shared" si="22"/>
        <v>Téc 2</v>
      </c>
      <c r="D1265" s="45">
        <f t="shared" si="23"/>
        <v>46196</v>
      </c>
      <c r="E1265" s="45">
        <f t="shared" si="24"/>
        <v>46207</v>
      </c>
      <c r="F1265" s="59">
        <f t="shared" si="25"/>
        <v>7</v>
      </c>
      <c r="G1265" s="59">
        <f t="shared" si="26"/>
        <v>2026</v>
      </c>
      <c r="H1265" s="59" t="str">
        <f t="shared" si="27"/>
        <v>28C02545</v>
      </c>
      <c r="I1265" s="59">
        <f>IF(OR($A1265="",$C1265="",$D1265="",$E1265="",$H1265=""),"",SUMIFS(DATA_GOC!$H:$H,DATA_GOC!$A:$A,"BOM",DATA_GOC!$D:$D,$H1265,DATA_GOC!$E:$E,$C1265,DATA_GOC!$F:$F,"Xuất nội bộ từ téc",DATA_GOC!$B:$B,"&gt;="&amp;$D1265,DATA_GOC!$B:$B,"&lt;="&amp;$E1265))</f>
        <v>272</v>
      </c>
      <c r="J1265" s="59">
        <f t="shared" si="28"/>
        <v>15.842</v>
      </c>
      <c r="K1265" s="59">
        <f t="shared" si="29"/>
        <v>0</v>
      </c>
      <c r="L1265" s="59">
        <f t="shared" si="30"/>
        <v>287.842</v>
      </c>
      <c r="M1265" s="59">
        <f t="shared" si="31"/>
        <v>0.01255307366</v>
      </c>
    </row>
    <row r="1266" ht="15.0" hidden="1" customHeight="1">
      <c r="A1266" s="59">
        <f t="shared" si="20"/>
        <v>18</v>
      </c>
      <c r="B1266" s="59" t="str">
        <f t="shared" si="21"/>
        <v>Đã chốt</v>
      </c>
      <c r="C1266" s="59" t="str">
        <f t="shared" si="22"/>
        <v>Téc 2</v>
      </c>
      <c r="D1266" s="45">
        <f t="shared" si="23"/>
        <v>46196</v>
      </c>
      <c r="E1266" s="45">
        <f t="shared" si="24"/>
        <v>46207</v>
      </c>
      <c r="F1266" s="59">
        <f t="shared" si="25"/>
        <v>7</v>
      </c>
      <c r="G1266" s="59">
        <f t="shared" si="26"/>
        <v>2026</v>
      </c>
      <c r="H1266" s="59" t="str">
        <f t="shared" si="27"/>
        <v>28C02574</v>
      </c>
      <c r="I1266" s="59">
        <f>IF(OR($A1266="",$C1266="",$D1266="",$E1266="",$H1266=""),"",SUMIFS(DATA_GOC!$H:$H,DATA_GOC!$A:$A,"BOM",DATA_GOC!$D:$D,$H1266,DATA_GOC!$E:$E,$C1266,DATA_GOC!$F:$F,"Xuất nội bộ từ téc",DATA_GOC!$B:$B,"&gt;="&amp;$D1266,DATA_GOC!$B:$B,"&lt;="&amp;$E1266))</f>
        <v>183</v>
      </c>
      <c r="J1266" s="59">
        <f t="shared" si="28"/>
        <v>10.658</v>
      </c>
      <c r="K1266" s="59">
        <f t="shared" si="29"/>
        <v>0</v>
      </c>
      <c r="L1266" s="59">
        <f t="shared" si="30"/>
        <v>193.658</v>
      </c>
      <c r="M1266" s="59">
        <f t="shared" si="31"/>
        <v>0.008445634115</v>
      </c>
    </row>
    <row r="1267" ht="15.0" hidden="1" customHeight="1">
      <c r="A1267" s="59">
        <f t="shared" si="20"/>
        <v>18</v>
      </c>
      <c r="B1267" s="59" t="str">
        <f t="shared" si="21"/>
        <v>Đã chốt</v>
      </c>
      <c r="C1267" s="59" t="str">
        <f t="shared" si="22"/>
        <v>Téc 2</v>
      </c>
      <c r="D1267" s="45">
        <f t="shared" si="23"/>
        <v>46196</v>
      </c>
      <c r="E1267" s="45">
        <f t="shared" si="24"/>
        <v>46207</v>
      </c>
      <c r="F1267" s="59">
        <f t="shared" si="25"/>
        <v>7</v>
      </c>
      <c r="G1267" s="59">
        <f t="shared" si="26"/>
        <v>2026</v>
      </c>
      <c r="H1267" s="59" t="str">
        <f t="shared" si="27"/>
        <v>28C02770</v>
      </c>
      <c r="I1267" s="59">
        <f>IF(OR($A1267="",$C1267="",$D1267="",$E1267="",$H1267=""),"",SUMIFS(DATA_GOC!$H:$H,DATA_GOC!$A:$A,"BOM",DATA_GOC!$D:$D,$H1267,DATA_GOC!$E:$E,$C1267,DATA_GOC!$F:$F,"Xuất nội bộ từ téc",DATA_GOC!$B:$B,"&gt;="&amp;$D1267,DATA_GOC!$B:$B,"&lt;="&amp;$E1267))</f>
        <v>810</v>
      </c>
      <c r="J1267" s="59">
        <f t="shared" si="28"/>
        <v>47.176</v>
      </c>
      <c r="K1267" s="59">
        <f t="shared" si="29"/>
        <v>0</v>
      </c>
      <c r="L1267" s="59">
        <f t="shared" si="30"/>
        <v>857.176</v>
      </c>
      <c r="M1267" s="59">
        <f t="shared" si="31"/>
        <v>0.03738231493</v>
      </c>
    </row>
    <row r="1268" ht="15.0" hidden="1" customHeight="1">
      <c r="A1268" s="59">
        <f t="shared" si="20"/>
        <v>18</v>
      </c>
      <c r="B1268" s="59" t="str">
        <f t="shared" si="21"/>
        <v>Đã chốt</v>
      </c>
      <c r="C1268" s="59" t="str">
        <f t="shared" si="22"/>
        <v>Téc 2</v>
      </c>
      <c r="D1268" s="45">
        <f t="shared" si="23"/>
        <v>46196</v>
      </c>
      <c r="E1268" s="45">
        <f t="shared" si="24"/>
        <v>46207</v>
      </c>
      <c r="F1268" s="59">
        <f t="shared" si="25"/>
        <v>7</v>
      </c>
      <c r="G1268" s="59">
        <f t="shared" si="26"/>
        <v>2026</v>
      </c>
      <c r="H1268" s="59" t="str">
        <f t="shared" si="27"/>
        <v>28C02986</v>
      </c>
      <c r="I1268" s="59">
        <f>IF(OR($A1268="",$C1268="",$D1268="",$E1268="",$H1268=""),"",SUMIFS(DATA_GOC!$H:$H,DATA_GOC!$A:$A,"BOM",DATA_GOC!$D:$D,$H1268,DATA_GOC!$E:$E,$C1268,DATA_GOC!$F:$F,"Xuất nội bộ từ téc",DATA_GOC!$B:$B,"&gt;="&amp;$D1268,DATA_GOC!$B:$B,"&lt;="&amp;$E1268))</f>
        <v>603</v>
      </c>
      <c r="J1268" s="59">
        <f t="shared" si="28"/>
        <v>35.12</v>
      </c>
      <c r="K1268" s="59">
        <f t="shared" si="29"/>
        <v>0</v>
      </c>
      <c r="L1268" s="59">
        <f t="shared" si="30"/>
        <v>638.12</v>
      </c>
      <c r="M1268" s="59">
        <f t="shared" si="31"/>
        <v>0.02782905667</v>
      </c>
    </row>
    <row r="1269" ht="15.0" hidden="1" customHeight="1">
      <c r="A1269" s="59">
        <f t="shared" si="20"/>
        <v>18</v>
      </c>
      <c r="B1269" s="59" t="str">
        <f t="shared" si="21"/>
        <v>Đã chốt</v>
      </c>
      <c r="C1269" s="59" t="str">
        <f t="shared" si="22"/>
        <v>Téc 2</v>
      </c>
      <c r="D1269" s="45">
        <f t="shared" si="23"/>
        <v>46196</v>
      </c>
      <c r="E1269" s="45">
        <f t="shared" si="24"/>
        <v>46207</v>
      </c>
      <c r="F1269" s="59">
        <f t="shared" si="25"/>
        <v>7</v>
      </c>
      <c r="G1269" s="59">
        <f t="shared" si="26"/>
        <v>2026</v>
      </c>
      <c r="H1269" s="59" t="str">
        <f t="shared" si="27"/>
        <v>28C03261</v>
      </c>
      <c r="I1269" s="59">
        <f>IF(OR($A1269="",$C1269="",$D1269="",$E1269="",$H1269=""),"",SUMIFS(DATA_GOC!$H:$H,DATA_GOC!$A:$A,"BOM",DATA_GOC!$D:$D,$H1269,DATA_GOC!$E:$E,$C1269,DATA_GOC!$F:$F,"Xuất nội bộ từ téc",DATA_GOC!$B:$B,"&gt;="&amp;$D1269,DATA_GOC!$B:$B,"&lt;="&amp;$E1269))</f>
        <v>540</v>
      </c>
      <c r="J1269" s="59">
        <f t="shared" si="28"/>
        <v>31.451</v>
      </c>
      <c r="K1269" s="59">
        <f t="shared" si="29"/>
        <v>0</v>
      </c>
      <c r="L1269" s="59">
        <f t="shared" si="30"/>
        <v>571.451</v>
      </c>
      <c r="M1269" s="59">
        <f t="shared" si="31"/>
        <v>0.02492154329</v>
      </c>
    </row>
    <row r="1270" ht="15.0" hidden="1" customHeight="1">
      <c r="A1270" s="59">
        <f t="shared" si="20"/>
        <v>18</v>
      </c>
      <c r="B1270" s="59" t="str">
        <f t="shared" si="21"/>
        <v>Đã chốt</v>
      </c>
      <c r="C1270" s="59" t="str">
        <f t="shared" si="22"/>
        <v>Téc 2</v>
      </c>
      <c r="D1270" s="45">
        <f t="shared" si="23"/>
        <v>46196</v>
      </c>
      <c r="E1270" s="45">
        <f t="shared" si="24"/>
        <v>46207</v>
      </c>
      <c r="F1270" s="59">
        <f t="shared" si="25"/>
        <v>7</v>
      </c>
      <c r="G1270" s="59">
        <f t="shared" si="26"/>
        <v>2026</v>
      </c>
      <c r="H1270" s="59" t="str">
        <f t="shared" si="27"/>
        <v>28C03323</v>
      </c>
      <c r="I1270" s="59">
        <f>IF(OR($A1270="",$C1270="",$D1270="",$E1270="",$H1270=""),"",SUMIFS(DATA_GOC!$H:$H,DATA_GOC!$A:$A,"BOM",DATA_GOC!$D:$D,$H1270,DATA_GOC!$E:$E,$C1270,DATA_GOC!$F:$F,"Xuất nội bộ từ téc",DATA_GOC!$B:$B,"&gt;="&amp;$D1270,DATA_GOC!$B:$B,"&lt;="&amp;$E1270))</f>
        <v>376</v>
      </c>
      <c r="J1270" s="59">
        <f t="shared" si="28"/>
        <v>21.899</v>
      </c>
      <c r="K1270" s="59">
        <f t="shared" si="29"/>
        <v>0</v>
      </c>
      <c r="L1270" s="59">
        <f t="shared" si="30"/>
        <v>397.899</v>
      </c>
      <c r="M1270" s="59">
        <f t="shared" si="31"/>
        <v>0.01735277829</v>
      </c>
    </row>
    <row r="1271" ht="15.0" hidden="1" customHeight="1">
      <c r="A1271" s="59">
        <f t="shared" si="20"/>
        <v>18</v>
      </c>
      <c r="B1271" s="59" t="str">
        <f t="shared" si="21"/>
        <v>Đã chốt</v>
      </c>
      <c r="C1271" s="59" t="str">
        <f t="shared" si="22"/>
        <v>Téc 2</v>
      </c>
      <c r="D1271" s="45">
        <f t="shared" si="23"/>
        <v>46196</v>
      </c>
      <c r="E1271" s="45">
        <f t="shared" si="24"/>
        <v>46207</v>
      </c>
      <c r="F1271" s="59">
        <f t="shared" si="25"/>
        <v>7</v>
      </c>
      <c r="G1271" s="59">
        <f t="shared" si="26"/>
        <v>2026</v>
      </c>
      <c r="H1271" s="59" t="str">
        <f t="shared" si="27"/>
        <v>28C03385</v>
      </c>
      <c r="I1271" s="59">
        <f>IF(OR($A1271="",$C1271="",$D1271="",$E1271="",$H1271=""),"",SUMIFS(DATA_GOC!$H:$H,DATA_GOC!$A:$A,"BOM",DATA_GOC!$D:$D,$H1271,DATA_GOC!$E:$E,$C1271,DATA_GOC!$F:$F,"Xuất nội bộ từ téc",DATA_GOC!$B:$B,"&gt;="&amp;$D1271,DATA_GOC!$B:$B,"&lt;="&amp;$E1271))</f>
        <v>0</v>
      </c>
      <c r="J1271" s="59">
        <f t="shared" si="28"/>
        <v>0</v>
      </c>
      <c r="K1271" s="59">
        <f t="shared" si="29"/>
        <v>0</v>
      </c>
      <c r="L1271" s="59">
        <f t="shared" si="30"/>
        <v>0</v>
      </c>
      <c r="M1271" s="59">
        <f t="shared" si="31"/>
        <v>0</v>
      </c>
    </row>
    <row r="1272" ht="15.0" hidden="1" customHeight="1">
      <c r="A1272" s="59">
        <f t="shared" si="20"/>
        <v>18</v>
      </c>
      <c r="B1272" s="59" t="str">
        <f t="shared" si="21"/>
        <v>Đã chốt</v>
      </c>
      <c r="C1272" s="59" t="str">
        <f t="shared" si="22"/>
        <v>Téc 2</v>
      </c>
      <c r="D1272" s="45">
        <f t="shared" si="23"/>
        <v>46196</v>
      </c>
      <c r="E1272" s="45">
        <f t="shared" si="24"/>
        <v>46207</v>
      </c>
      <c r="F1272" s="59">
        <f t="shared" si="25"/>
        <v>7</v>
      </c>
      <c r="G1272" s="59">
        <f t="shared" si="26"/>
        <v>2026</v>
      </c>
      <c r="H1272" s="59" t="str">
        <f t="shared" si="27"/>
        <v>28C03652</v>
      </c>
      <c r="I1272" s="59">
        <f>IF(OR($A1272="",$C1272="",$D1272="",$E1272="",$H1272=""),"",SUMIFS(DATA_GOC!$H:$H,DATA_GOC!$A:$A,"BOM",DATA_GOC!$D:$D,$H1272,DATA_GOC!$E:$E,$C1272,DATA_GOC!$F:$F,"Xuất nội bộ từ téc",DATA_GOC!$B:$B,"&gt;="&amp;$D1272,DATA_GOC!$B:$B,"&lt;="&amp;$E1272))</f>
        <v>220</v>
      </c>
      <c r="J1272" s="59">
        <f t="shared" si="28"/>
        <v>12.813</v>
      </c>
      <c r="K1272" s="59">
        <f t="shared" si="29"/>
        <v>0</v>
      </c>
      <c r="L1272" s="59">
        <f t="shared" si="30"/>
        <v>232.813</v>
      </c>
      <c r="M1272" s="59">
        <f t="shared" si="31"/>
        <v>0.01015322134</v>
      </c>
    </row>
    <row r="1273" ht="15.0" hidden="1" customHeight="1">
      <c r="A1273" s="59">
        <f t="shared" si="20"/>
        <v>18</v>
      </c>
      <c r="B1273" s="59" t="str">
        <f t="shared" si="21"/>
        <v>Đã chốt</v>
      </c>
      <c r="C1273" s="59" t="str">
        <f t="shared" si="22"/>
        <v>Téc 2</v>
      </c>
      <c r="D1273" s="45">
        <f t="shared" si="23"/>
        <v>46196</v>
      </c>
      <c r="E1273" s="45">
        <f t="shared" si="24"/>
        <v>46207</v>
      </c>
      <c r="F1273" s="59">
        <f t="shared" si="25"/>
        <v>7</v>
      </c>
      <c r="G1273" s="59">
        <f t="shared" si="26"/>
        <v>2026</v>
      </c>
      <c r="H1273" s="59" t="str">
        <f t="shared" si="27"/>
        <v>28C03695</v>
      </c>
      <c r="I1273" s="59">
        <f>IF(OR($A1273="",$C1273="",$D1273="",$E1273="",$H1273=""),"",SUMIFS(DATA_GOC!$H:$H,DATA_GOC!$A:$A,"BOM",DATA_GOC!$D:$D,$H1273,DATA_GOC!$E:$E,$C1273,DATA_GOC!$F:$F,"Xuất nội bộ từ téc",DATA_GOC!$B:$B,"&gt;="&amp;$D1273,DATA_GOC!$B:$B,"&lt;="&amp;$E1273))</f>
        <v>127</v>
      </c>
      <c r="J1273" s="59">
        <f t="shared" si="28"/>
        <v>7.397</v>
      </c>
      <c r="K1273" s="59">
        <f t="shared" si="29"/>
        <v>0</v>
      </c>
      <c r="L1273" s="59">
        <f t="shared" si="30"/>
        <v>134.397</v>
      </c>
      <c r="M1273" s="59">
        <f t="shared" si="31"/>
        <v>0.005861177774</v>
      </c>
    </row>
    <row r="1274" ht="15.0" hidden="1" customHeight="1">
      <c r="A1274" s="59">
        <f t="shared" si="20"/>
        <v>18</v>
      </c>
      <c r="B1274" s="59" t="str">
        <f t="shared" si="21"/>
        <v>Đã chốt</v>
      </c>
      <c r="C1274" s="59" t="str">
        <f t="shared" si="22"/>
        <v>Téc 2</v>
      </c>
      <c r="D1274" s="45">
        <f t="shared" si="23"/>
        <v>46196</v>
      </c>
      <c r="E1274" s="45">
        <f t="shared" si="24"/>
        <v>46207</v>
      </c>
      <c r="F1274" s="59">
        <f t="shared" si="25"/>
        <v>7</v>
      </c>
      <c r="G1274" s="59">
        <f t="shared" si="26"/>
        <v>2026</v>
      </c>
      <c r="H1274" s="59" t="str">
        <f t="shared" si="27"/>
        <v>28C03927</v>
      </c>
      <c r="I1274" s="59">
        <f>IF(OR($A1274="",$C1274="",$D1274="",$E1274="",$H1274=""),"",SUMIFS(DATA_GOC!$H:$H,DATA_GOC!$A:$A,"BOM",DATA_GOC!$D:$D,$H1274,DATA_GOC!$E:$E,$C1274,DATA_GOC!$F:$F,"Xuất nội bộ từ téc",DATA_GOC!$B:$B,"&gt;="&amp;$D1274,DATA_GOC!$B:$B,"&lt;="&amp;$E1274))</f>
        <v>0</v>
      </c>
      <c r="J1274" s="59">
        <f t="shared" si="28"/>
        <v>0</v>
      </c>
      <c r="K1274" s="59">
        <f t="shared" si="29"/>
        <v>0</v>
      </c>
      <c r="L1274" s="59">
        <f t="shared" si="30"/>
        <v>0</v>
      </c>
      <c r="M1274" s="59">
        <f t="shared" si="31"/>
        <v>0</v>
      </c>
    </row>
    <row r="1275" ht="15.0" hidden="1" customHeight="1">
      <c r="A1275" s="59">
        <f t="shared" si="20"/>
        <v>18</v>
      </c>
      <c r="B1275" s="59" t="str">
        <f t="shared" si="21"/>
        <v>Đã chốt</v>
      </c>
      <c r="C1275" s="59" t="str">
        <f t="shared" si="22"/>
        <v>Téc 2</v>
      </c>
      <c r="D1275" s="45">
        <f t="shared" si="23"/>
        <v>46196</v>
      </c>
      <c r="E1275" s="45">
        <f t="shared" si="24"/>
        <v>46207</v>
      </c>
      <c r="F1275" s="59">
        <f t="shared" si="25"/>
        <v>7</v>
      </c>
      <c r="G1275" s="59">
        <f t="shared" si="26"/>
        <v>2026</v>
      </c>
      <c r="H1275" s="59" t="str">
        <f t="shared" si="27"/>
        <v>28C04509</v>
      </c>
      <c r="I1275" s="59">
        <f>IF(OR($A1275="",$C1275="",$D1275="",$E1275="",$H1275=""),"",SUMIFS(DATA_GOC!$H:$H,DATA_GOC!$A:$A,"BOM",DATA_GOC!$D:$D,$H1275,DATA_GOC!$E:$E,$C1275,DATA_GOC!$F:$F,"Xuất nội bộ từ téc",DATA_GOC!$B:$B,"&gt;="&amp;$D1275,DATA_GOC!$B:$B,"&lt;="&amp;$E1275))</f>
        <v>119</v>
      </c>
      <c r="J1275" s="59">
        <f t="shared" si="28"/>
        <v>6.931</v>
      </c>
      <c r="K1275" s="59">
        <f t="shared" si="29"/>
        <v>0</v>
      </c>
      <c r="L1275" s="59">
        <f t="shared" si="30"/>
        <v>125.931</v>
      </c>
      <c r="M1275" s="59">
        <f t="shared" si="31"/>
        <v>0.005491969725</v>
      </c>
    </row>
    <row r="1276" ht="15.0" hidden="1" customHeight="1">
      <c r="A1276" s="59">
        <f t="shared" si="20"/>
        <v>18</v>
      </c>
      <c r="B1276" s="59" t="str">
        <f t="shared" si="21"/>
        <v>Đã chốt</v>
      </c>
      <c r="C1276" s="59" t="str">
        <f t="shared" si="22"/>
        <v>Téc 2</v>
      </c>
      <c r="D1276" s="45">
        <f t="shared" si="23"/>
        <v>46196</v>
      </c>
      <c r="E1276" s="45">
        <f t="shared" si="24"/>
        <v>46207</v>
      </c>
      <c r="F1276" s="59">
        <f t="shared" si="25"/>
        <v>7</v>
      </c>
      <c r="G1276" s="59">
        <f t="shared" si="26"/>
        <v>2026</v>
      </c>
      <c r="H1276" s="59" t="str">
        <f t="shared" si="27"/>
        <v>28C04536</v>
      </c>
      <c r="I1276" s="59">
        <f>IF(OR($A1276="",$C1276="",$D1276="",$E1276="",$H1276=""),"",SUMIFS(DATA_GOC!$H:$H,DATA_GOC!$A:$A,"BOM",DATA_GOC!$D:$D,$H1276,DATA_GOC!$E:$E,$C1276,DATA_GOC!$F:$F,"Xuất nội bộ từ téc",DATA_GOC!$B:$B,"&gt;="&amp;$D1276,DATA_GOC!$B:$B,"&lt;="&amp;$E1276))</f>
        <v>0</v>
      </c>
      <c r="J1276" s="59">
        <f t="shared" si="28"/>
        <v>0</v>
      </c>
      <c r="K1276" s="59">
        <f t="shared" si="29"/>
        <v>0</v>
      </c>
      <c r="L1276" s="59">
        <f t="shared" si="30"/>
        <v>0</v>
      </c>
      <c r="M1276" s="59">
        <f t="shared" si="31"/>
        <v>0</v>
      </c>
    </row>
    <row r="1277" ht="15.0" hidden="1" customHeight="1">
      <c r="A1277" s="59">
        <f t="shared" si="20"/>
        <v>18</v>
      </c>
      <c r="B1277" s="59" t="str">
        <f t="shared" si="21"/>
        <v>Đã chốt</v>
      </c>
      <c r="C1277" s="59" t="str">
        <f t="shared" si="22"/>
        <v>Téc 2</v>
      </c>
      <c r="D1277" s="45">
        <f t="shared" si="23"/>
        <v>46196</v>
      </c>
      <c r="E1277" s="45">
        <f t="shared" si="24"/>
        <v>46207</v>
      </c>
      <c r="F1277" s="59">
        <f t="shared" si="25"/>
        <v>7</v>
      </c>
      <c r="G1277" s="59">
        <f t="shared" si="26"/>
        <v>2026</v>
      </c>
      <c r="H1277" s="59" t="str">
        <f t="shared" si="27"/>
        <v>28C04576</v>
      </c>
      <c r="I1277" s="59">
        <f>IF(OR($A1277="",$C1277="",$D1277="",$E1277="",$H1277=""),"",SUMIFS(DATA_GOC!$H:$H,DATA_GOC!$A:$A,"BOM",DATA_GOC!$D:$D,$H1277,DATA_GOC!$E:$E,$C1277,DATA_GOC!$F:$F,"Xuất nội bộ từ téc",DATA_GOC!$B:$B,"&gt;="&amp;$D1277,DATA_GOC!$B:$B,"&lt;="&amp;$E1277))</f>
        <v>665</v>
      </c>
      <c r="J1277" s="59">
        <f t="shared" si="28"/>
        <v>38.731</v>
      </c>
      <c r="K1277" s="59">
        <f t="shared" si="29"/>
        <v>0</v>
      </c>
      <c r="L1277" s="59">
        <f t="shared" si="30"/>
        <v>703.731</v>
      </c>
      <c r="M1277" s="59">
        <f t="shared" si="31"/>
        <v>0.03069041905</v>
      </c>
    </row>
    <row r="1278" ht="15.0" hidden="1" customHeight="1">
      <c r="A1278" s="59">
        <f t="shared" si="20"/>
        <v>18</v>
      </c>
      <c r="B1278" s="59" t="str">
        <f t="shared" si="21"/>
        <v>Đã chốt</v>
      </c>
      <c r="C1278" s="59" t="str">
        <f t="shared" si="22"/>
        <v>Téc 2</v>
      </c>
      <c r="D1278" s="45">
        <f t="shared" si="23"/>
        <v>46196</v>
      </c>
      <c r="E1278" s="45">
        <f t="shared" si="24"/>
        <v>46207</v>
      </c>
      <c r="F1278" s="59">
        <f t="shared" si="25"/>
        <v>7</v>
      </c>
      <c r="G1278" s="59">
        <f t="shared" si="26"/>
        <v>2026</v>
      </c>
      <c r="H1278" s="59" t="str">
        <f t="shared" si="27"/>
        <v>28C05090</v>
      </c>
      <c r="I1278" s="59">
        <f>IF(OR($A1278="",$C1278="",$D1278="",$E1278="",$H1278=""),"",SUMIFS(DATA_GOC!$H:$H,DATA_GOC!$A:$A,"BOM",DATA_GOC!$D:$D,$H1278,DATA_GOC!$E:$E,$C1278,DATA_GOC!$F:$F,"Xuất nội bộ từ téc",DATA_GOC!$B:$B,"&gt;="&amp;$D1278,DATA_GOC!$B:$B,"&lt;="&amp;$E1278))</f>
        <v>0</v>
      </c>
      <c r="J1278" s="59">
        <f t="shared" si="28"/>
        <v>0</v>
      </c>
      <c r="K1278" s="59">
        <f t="shared" si="29"/>
        <v>0</v>
      </c>
      <c r="L1278" s="59">
        <f t="shared" si="30"/>
        <v>0</v>
      </c>
      <c r="M1278" s="59">
        <f t="shared" si="31"/>
        <v>0</v>
      </c>
    </row>
    <row r="1279" ht="15.0" hidden="1" customHeight="1">
      <c r="A1279" s="59">
        <f t="shared" si="20"/>
        <v>18</v>
      </c>
      <c r="B1279" s="59" t="str">
        <f t="shared" si="21"/>
        <v>Đã chốt</v>
      </c>
      <c r="C1279" s="59" t="str">
        <f t="shared" si="22"/>
        <v>Téc 2</v>
      </c>
      <c r="D1279" s="45">
        <f t="shared" si="23"/>
        <v>46196</v>
      </c>
      <c r="E1279" s="45">
        <f t="shared" si="24"/>
        <v>46207</v>
      </c>
      <c r="F1279" s="59">
        <f t="shared" si="25"/>
        <v>7</v>
      </c>
      <c r="G1279" s="59">
        <f t="shared" si="26"/>
        <v>2026</v>
      </c>
      <c r="H1279" s="59" t="str">
        <f t="shared" si="27"/>
        <v>28C05345</v>
      </c>
      <c r="I1279" s="59">
        <f>IF(OR($A1279="",$C1279="",$D1279="",$E1279="",$H1279=""),"",SUMIFS(DATA_GOC!$H:$H,DATA_GOC!$A:$A,"BOM",DATA_GOC!$D:$D,$H1279,DATA_GOC!$E:$E,$C1279,DATA_GOC!$F:$F,"Xuất nội bộ từ téc",DATA_GOC!$B:$B,"&gt;="&amp;$D1279,DATA_GOC!$B:$B,"&lt;="&amp;$E1279))</f>
        <v>501</v>
      </c>
      <c r="J1279" s="59">
        <f t="shared" si="28"/>
        <v>29.18</v>
      </c>
      <c r="K1279" s="59">
        <f t="shared" si="29"/>
        <v>0</v>
      </c>
      <c r="L1279" s="59">
        <f t="shared" si="30"/>
        <v>530.18</v>
      </c>
      <c r="M1279" s="59">
        <f t="shared" si="31"/>
        <v>0.02312165405</v>
      </c>
    </row>
    <row r="1280" ht="15.0" hidden="1" customHeight="1">
      <c r="A1280" s="59">
        <f t="shared" si="20"/>
        <v>18</v>
      </c>
      <c r="B1280" s="59" t="str">
        <f t="shared" si="21"/>
        <v>Đã chốt</v>
      </c>
      <c r="C1280" s="59" t="str">
        <f t="shared" si="22"/>
        <v>Téc 2</v>
      </c>
      <c r="D1280" s="45">
        <f t="shared" si="23"/>
        <v>46196</v>
      </c>
      <c r="E1280" s="45">
        <f t="shared" si="24"/>
        <v>46207</v>
      </c>
      <c r="F1280" s="59">
        <f t="shared" si="25"/>
        <v>7</v>
      </c>
      <c r="G1280" s="59">
        <f t="shared" si="26"/>
        <v>2026</v>
      </c>
      <c r="H1280" s="59" t="str">
        <f t="shared" si="27"/>
        <v>28C05661</v>
      </c>
      <c r="I1280" s="59">
        <f>IF(OR($A1280="",$C1280="",$D1280="",$E1280="",$H1280=""),"",SUMIFS(DATA_GOC!$H:$H,DATA_GOC!$A:$A,"BOM",DATA_GOC!$D:$D,$H1280,DATA_GOC!$E:$E,$C1280,DATA_GOC!$F:$F,"Xuất nội bộ từ téc",DATA_GOC!$B:$B,"&gt;="&amp;$D1280,DATA_GOC!$B:$B,"&lt;="&amp;$E1280))</f>
        <v>0</v>
      </c>
      <c r="J1280" s="59">
        <f t="shared" si="28"/>
        <v>0</v>
      </c>
      <c r="K1280" s="59">
        <f t="shared" si="29"/>
        <v>0</v>
      </c>
      <c r="L1280" s="59">
        <f t="shared" si="30"/>
        <v>0</v>
      </c>
      <c r="M1280" s="59">
        <f t="shared" si="31"/>
        <v>0</v>
      </c>
    </row>
    <row r="1281" ht="15.0" hidden="1" customHeight="1">
      <c r="A1281" s="59">
        <f t="shared" si="20"/>
        <v>18</v>
      </c>
      <c r="B1281" s="59" t="str">
        <f t="shared" si="21"/>
        <v>Đã chốt</v>
      </c>
      <c r="C1281" s="59" t="str">
        <f t="shared" si="22"/>
        <v>Téc 2</v>
      </c>
      <c r="D1281" s="45">
        <f t="shared" si="23"/>
        <v>46196</v>
      </c>
      <c r="E1281" s="45">
        <f t="shared" si="24"/>
        <v>46207</v>
      </c>
      <c r="F1281" s="59">
        <f t="shared" si="25"/>
        <v>7</v>
      </c>
      <c r="G1281" s="59">
        <f t="shared" si="26"/>
        <v>2026</v>
      </c>
      <c r="H1281" s="59" t="str">
        <f t="shared" si="27"/>
        <v>28C05739</v>
      </c>
      <c r="I1281" s="59">
        <f>IF(OR($A1281="",$C1281="",$D1281="",$E1281="",$H1281=""),"",SUMIFS(DATA_GOC!$H:$H,DATA_GOC!$A:$A,"BOM",DATA_GOC!$D:$D,$H1281,DATA_GOC!$E:$E,$C1281,DATA_GOC!$F:$F,"Xuất nội bộ từ téc",DATA_GOC!$B:$B,"&gt;="&amp;$D1281,DATA_GOC!$B:$B,"&lt;="&amp;$E1281))</f>
        <v>683</v>
      </c>
      <c r="J1281" s="59">
        <f t="shared" si="28"/>
        <v>39.78</v>
      </c>
      <c r="K1281" s="59">
        <f t="shared" si="29"/>
        <v>0</v>
      </c>
      <c r="L1281" s="59">
        <f t="shared" si="30"/>
        <v>722.78</v>
      </c>
      <c r="M1281" s="59">
        <f t="shared" si="31"/>
        <v>0.03152113716</v>
      </c>
    </row>
    <row r="1282" ht="15.0" hidden="1" customHeight="1">
      <c r="A1282" s="59">
        <f t="shared" si="20"/>
        <v>18</v>
      </c>
      <c r="B1282" s="59" t="str">
        <f t="shared" si="21"/>
        <v>Đã chốt</v>
      </c>
      <c r="C1282" s="59" t="str">
        <f t="shared" si="22"/>
        <v>Téc 2</v>
      </c>
      <c r="D1282" s="45">
        <f t="shared" si="23"/>
        <v>46196</v>
      </c>
      <c r="E1282" s="45">
        <f t="shared" si="24"/>
        <v>46207</v>
      </c>
      <c r="F1282" s="59">
        <f t="shared" si="25"/>
        <v>7</v>
      </c>
      <c r="G1282" s="59">
        <f t="shared" si="26"/>
        <v>2026</v>
      </c>
      <c r="H1282" s="59" t="str">
        <f t="shared" si="27"/>
        <v>28C06369</v>
      </c>
      <c r="I1282" s="59">
        <f>IF(OR($A1282="",$C1282="",$D1282="",$E1282="",$H1282=""),"",SUMIFS(DATA_GOC!$H:$H,DATA_GOC!$A:$A,"BOM",DATA_GOC!$D:$D,$H1282,DATA_GOC!$E:$E,$C1282,DATA_GOC!$F:$F,"Xuất nội bộ từ téc",DATA_GOC!$B:$B,"&gt;="&amp;$D1282,DATA_GOC!$B:$B,"&lt;="&amp;$E1282))</f>
        <v>612</v>
      </c>
      <c r="J1282" s="59">
        <f t="shared" si="28"/>
        <v>35.644</v>
      </c>
      <c r="K1282" s="59">
        <f t="shared" si="29"/>
        <v>0</v>
      </c>
      <c r="L1282" s="59">
        <f t="shared" si="30"/>
        <v>647.644</v>
      </c>
      <c r="M1282" s="59">
        <f t="shared" si="31"/>
        <v>0.02824441573</v>
      </c>
    </row>
    <row r="1283" ht="15.0" hidden="1" customHeight="1">
      <c r="A1283" s="59">
        <f t="shared" si="20"/>
        <v>18</v>
      </c>
      <c r="B1283" s="59" t="str">
        <f t="shared" si="21"/>
        <v>Đã chốt</v>
      </c>
      <c r="C1283" s="59" t="str">
        <f t="shared" si="22"/>
        <v>Téc 2</v>
      </c>
      <c r="D1283" s="45">
        <f t="shared" si="23"/>
        <v>46196</v>
      </c>
      <c r="E1283" s="45">
        <f t="shared" si="24"/>
        <v>46207</v>
      </c>
      <c r="F1283" s="59">
        <f t="shared" si="25"/>
        <v>7</v>
      </c>
      <c r="G1283" s="59">
        <f t="shared" si="26"/>
        <v>2026</v>
      </c>
      <c r="H1283" s="59" t="str">
        <f t="shared" si="27"/>
        <v>28C06447</v>
      </c>
      <c r="I1283" s="59">
        <f>IF(OR($A1283="",$C1283="",$D1283="",$E1283="",$H1283=""),"",SUMIFS(DATA_GOC!$H:$H,DATA_GOC!$A:$A,"BOM",DATA_GOC!$D:$D,$H1283,DATA_GOC!$E:$E,$C1283,DATA_GOC!$F:$F,"Xuất nội bộ từ téc",DATA_GOC!$B:$B,"&gt;="&amp;$D1283,DATA_GOC!$B:$B,"&lt;="&amp;$E1283))</f>
        <v>975</v>
      </c>
      <c r="J1283" s="59">
        <f t="shared" si="28"/>
        <v>56.787</v>
      </c>
      <c r="K1283" s="59">
        <f t="shared" si="29"/>
        <v>0</v>
      </c>
      <c r="L1283" s="59">
        <f t="shared" si="30"/>
        <v>1031.787</v>
      </c>
      <c r="M1283" s="59">
        <f t="shared" si="31"/>
        <v>0.04499723094</v>
      </c>
    </row>
    <row r="1284" ht="15.0" hidden="1" customHeight="1">
      <c r="A1284" s="59">
        <f t="shared" si="20"/>
        <v>18</v>
      </c>
      <c r="B1284" s="59" t="str">
        <f t="shared" si="21"/>
        <v>Đã chốt</v>
      </c>
      <c r="C1284" s="59" t="str">
        <f t="shared" si="22"/>
        <v>Téc 2</v>
      </c>
      <c r="D1284" s="45">
        <f t="shared" si="23"/>
        <v>46196</v>
      </c>
      <c r="E1284" s="45">
        <f t="shared" si="24"/>
        <v>46207</v>
      </c>
      <c r="F1284" s="59">
        <f t="shared" si="25"/>
        <v>7</v>
      </c>
      <c r="G1284" s="59">
        <f t="shared" si="26"/>
        <v>2026</v>
      </c>
      <c r="H1284" s="59" t="str">
        <f t="shared" si="27"/>
        <v>28H00003</v>
      </c>
      <c r="I1284" s="59">
        <f>IF(OR($A1284="",$C1284="",$D1284="",$E1284="",$H1284=""),"",SUMIFS(DATA_GOC!$H:$H,DATA_GOC!$A:$A,"BOM",DATA_GOC!$D:$D,$H1284,DATA_GOC!$E:$E,$C1284,DATA_GOC!$F:$F,"Xuất nội bộ từ téc",DATA_GOC!$B:$B,"&gt;="&amp;$D1284,DATA_GOC!$B:$B,"&lt;="&amp;$E1284))</f>
        <v>1292</v>
      </c>
      <c r="J1284" s="59">
        <f t="shared" si="28"/>
        <v>75.249</v>
      </c>
      <c r="K1284" s="59">
        <f t="shared" si="29"/>
        <v>0</v>
      </c>
      <c r="L1284" s="59">
        <f t="shared" si="30"/>
        <v>1367.249</v>
      </c>
      <c r="M1284" s="59">
        <f t="shared" si="31"/>
        <v>0.05962709987</v>
      </c>
    </row>
    <row r="1285" ht="15.0" hidden="1" customHeight="1">
      <c r="A1285" s="59">
        <f t="shared" si="20"/>
        <v>18</v>
      </c>
      <c r="B1285" s="59" t="str">
        <f t="shared" si="21"/>
        <v>Đã chốt</v>
      </c>
      <c r="C1285" s="59" t="str">
        <f t="shared" si="22"/>
        <v>Téc 2</v>
      </c>
      <c r="D1285" s="45">
        <f t="shared" si="23"/>
        <v>46196</v>
      </c>
      <c r="E1285" s="45">
        <f t="shared" si="24"/>
        <v>46207</v>
      </c>
      <c r="F1285" s="59">
        <f t="shared" si="25"/>
        <v>7</v>
      </c>
      <c r="G1285" s="59">
        <f t="shared" si="26"/>
        <v>2026</v>
      </c>
      <c r="H1285" s="59" t="str">
        <f t="shared" si="27"/>
        <v>28H00061</v>
      </c>
      <c r="I1285" s="59">
        <f>IF(OR($A1285="",$C1285="",$D1285="",$E1285="",$H1285=""),"",SUMIFS(DATA_GOC!$H:$H,DATA_GOC!$A:$A,"BOM",DATA_GOC!$D:$D,$H1285,DATA_GOC!$E:$E,$C1285,DATA_GOC!$F:$F,"Xuất nội bộ từ téc",DATA_GOC!$B:$B,"&gt;="&amp;$D1285,DATA_GOC!$B:$B,"&lt;="&amp;$E1285))</f>
        <v>637</v>
      </c>
      <c r="J1285" s="59">
        <f t="shared" si="28"/>
        <v>37.101</v>
      </c>
      <c r="K1285" s="59">
        <f t="shared" si="29"/>
        <v>0</v>
      </c>
      <c r="L1285" s="59">
        <f t="shared" si="30"/>
        <v>674.101</v>
      </c>
      <c r="M1285" s="59">
        <f t="shared" si="31"/>
        <v>0.02939819088</v>
      </c>
    </row>
    <row r="1286" ht="15.0" hidden="1" customHeight="1">
      <c r="A1286" s="59">
        <f t="shared" si="20"/>
        <v>18</v>
      </c>
      <c r="B1286" s="59" t="str">
        <f t="shared" si="21"/>
        <v>Đã chốt</v>
      </c>
      <c r="C1286" s="59" t="str">
        <f t="shared" si="22"/>
        <v>Téc 2</v>
      </c>
      <c r="D1286" s="45">
        <f t="shared" si="23"/>
        <v>46196</v>
      </c>
      <c r="E1286" s="45">
        <f t="shared" si="24"/>
        <v>46207</v>
      </c>
      <c r="F1286" s="59">
        <f t="shared" si="25"/>
        <v>7</v>
      </c>
      <c r="G1286" s="59">
        <f t="shared" si="26"/>
        <v>2026</v>
      </c>
      <c r="H1286" s="59" t="str">
        <f t="shared" si="27"/>
        <v>28H00354</v>
      </c>
      <c r="I1286" s="59">
        <f>IF(OR($A1286="",$C1286="",$D1286="",$E1286="",$H1286=""),"",SUMIFS(DATA_GOC!$H:$H,DATA_GOC!$A:$A,"BOM",DATA_GOC!$D:$D,$H1286,DATA_GOC!$E:$E,$C1286,DATA_GOC!$F:$F,"Xuất nội bộ từ téc",DATA_GOC!$B:$B,"&gt;="&amp;$D1286,DATA_GOC!$B:$B,"&lt;="&amp;$E1286))</f>
        <v>441</v>
      </c>
      <c r="J1286" s="59">
        <f t="shared" si="28"/>
        <v>25.685</v>
      </c>
      <c r="K1286" s="59">
        <f t="shared" si="29"/>
        <v>0</v>
      </c>
      <c r="L1286" s="59">
        <f t="shared" si="30"/>
        <v>466.685</v>
      </c>
      <c r="M1286" s="59">
        <f t="shared" si="31"/>
        <v>0.02035259369</v>
      </c>
    </row>
    <row r="1287" ht="15.0" hidden="1" customHeight="1">
      <c r="A1287" s="59">
        <f t="shared" si="20"/>
        <v>18</v>
      </c>
      <c r="B1287" s="59" t="str">
        <f t="shared" si="21"/>
        <v>Đã chốt</v>
      </c>
      <c r="C1287" s="59" t="str">
        <f t="shared" si="22"/>
        <v>Téc 2</v>
      </c>
      <c r="D1287" s="45">
        <f t="shared" si="23"/>
        <v>46196</v>
      </c>
      <c r="E1287" s="45">
        <f t="shared" si="24"/>
        <v>46207</v>
      </c>
      <c r="F1287" s="59">
        <f t="shared" si="25"/>
        <v>7</v>
      </c>
      <c r="G1287" s="59">
        <f t="shared" si="26"/>
        <v>2026</v>
      </c>
      <c r="H1287" s="59" t="str">
        <f t="shared" si="27"/>
        <v>28H00603</v>
      </c>
      <c r="I1287" s="59">
        <f>IF(OR($A1287="",$C1287="",$D1287="",$E1287="",$H1287=""),"",SUMIFS(DATA_GOC!$H:$H,DATA_GOC!$A:$A,"BOM",DATA_GOC!$D:$D,$H1287,DATA_GOC!$E:$E,$C1287,DATA_GOC!$F:$F,"Xuất nội bộ từ téc",DATA_GOC!$B:$B,"&gt;="&amp;$D1287,DATA_GOC!$B:$B,"&lt;="&amp;$E1287))</f>
        <v>575</v>
      </c>
      <c r="J1287" s="59">
        <f t="shared" si="28"/>
        <v>33.489</v>
      </c>
      <c r="K1287" s="59">
        <f t="shared" si="29"/>
        <v>0</v>
      </c>
      <c r="L1287" s="59">
        <f t="shared" si="30"/>
        <v>608.489</v>
      </c>
      <c r="M1287" s="59">
        <f t="shared" si="31"/>
        <v>0.0265368285</v>
      </c>
    </row>
    <row r="1288" ht="15.0" hidden="1" customHeight="1">
      <c r="A1288" s="59">
        <f t="shared" si="20"/>
        <v>18</v>
      </c>
      <c r="B1288" s="59" t="str">
        <f t="shared" si="21"/>
        <v>Đã chốt</v>
      </c>
      <c r="C1288" s="59" t="str">
        <f t="shared" si="22"/>
        <v>Téc 2</v>
      </c>
      <c r="D1288" s="45">
        <f t="shared" si="23"/>
        <v>46196</v>
      </c>
      <c r="E1288" s="45">
        <f t="shared" si="24"/>
        <v>46207</v>
      </c>
      <c r="F1288" s="59">
        <f t="shared" si="25"/>
        <v>7</v>
      </c>
      <c r="G1288" s="59">
        <f t="shared" si="26"/>
        <v>2026</v>
      </c>
      <c r="H1288" s="59" t="str">
        <f t="shared" si="27"/>
        <v>28H00609</v>
      </c>
      <c r="I1288" s="59">
        <f>IF(OR($A1288="",$C1288="",$D1288="",$E1288="",$H1288=""),"",SUMIFS(DATA_GOC!$H:$H,DATA_GOC!$A:$A,"BOM",DATA_GOC!$D:$D,$H1288,DATA_GOC!$E:$E,$C1288,DATA_GOC!$F:$F,"Xuất nội bộ từ téc",DATA_GOC!$B:$B,"&gt;="&amp;$D1288,DATA_GOC!$B:$B,"&lt;="&amp;$E1288))</f>
        <v>430</v>
      </c>
      <c r="J1288" s="59">
        <f t="shared" si="28"/>
        <v>25.044</v>
      </c>
      <c r="K1288" s="59">
        <f t="shared" si="29"/>
        <v>0</v>
      </c>
      <c r="L1288" s="59">
        <f t="shared" si="30"/>
        <v>455.044</v>
      </c>
      <c r="M1288" s="59">
        <f t="shared" si="31"/>
        <v>0.01984493262</v>
      </c>
    </row>
    <row r="1289" ht="15.0" hidden="1" customHeight="1">
      <c r="A1289" s="59">
        <f t="shared" si="20"/>
        <v>18</v>
      </c>
      <c r="B1289" s="59" t="str">
        <f t="shared" si="21"/>
        <v>Đã chốt</v>
      </c>
      <c r="C1289" s="59" t="str">
        <f t="shared" si="22"/>
        <v>Téc 2</v>
      </c>
      <c r="D1289" s="45">
        <f t="shared" si="23"/>
        <v>46196</v>
      </c>
      <c r="E1289" s="45">
        <f t="shared" si="24"/>
        <v>46207</v>
      </c>
      <c r="F1289" s="59">
        <f t="shared" si="25"/>
        <v>7</v>
      </c>
      <c r="G1289" s="59">
        <f t="shared" si="26"/>
        <v>2026</v>
      </c>
      <c r="H1289" s="59" t="str">
        <f t="shared" si="27"/>
        <v>28H00669</v>
      </c>
      <c r="I1289" s="59">
        <f>IF(OR($A1289="",$C1289="",$D1289="",$E1289="",$H1289=""),"",SUMIFS(DATA_GOC!$H:$H,DATA_GOC!$A:$A,"BOM",DATA_GOC!$D:$D,$H1289,DATA_GOC!$E:$E,$C1289,DATA_GOC!$F:$F,"Xuất nội bộ từ téc",DATA_GOC!$B:$B,"&gt;="&amp;$D1289,DATA_GOC!$B:$B,"&lt;="&amp;$E1289))</f>
        <v>1079</v>
      </c>
      <c r="J1289" s="59">
        <f t="shared" si="28"/>
        <v>62.844</v>
      </c>
      <c r="K1289" s="59">
        <f t="shared" si="29"/>
        <v>0</v>
      </c>
      <c r="L1289" s="59">
        <f t="shared" si="30"/>
        <v>1141.844</v>
      </c>
      <c r="M1289" s="59">
        <f t="shared" si="31"/>
        <v>0.04979693557</v>
      </c>
    </row>
    <row r="1290" ht="15.0" hidden="1" customHeight="1">
      <c r="A1290" s="59">
        <f t="shared" si="20"/>
        <v>18</v>
      </c>
      <c r="B1290" s="59" t="str">
        <f t="shared" si="21"/>
        <v>Đã chốt</v>
      </c>
      <c r="C1290" s="59" t="str">
        <f t="shared" si="22"/>
        <v>Téc 2</v>
      </c>
      <c r="D1290" s="45">
        <f t="shared" si="23"/>
        <v>46196</v>
      </c>
      <c r="E1290" s="45">
        <f t="shared" si="24"/>
        <v>46207</v>
      </c>
      <c r="F1290" s="59">
        <f t="shared" si="25"/>
        <v>7</v>
      </c>
      <c r="G1290" s="59">
        <f t="shared" si="26"/>
        <v>2026</v>
      </c>
      <c r="H1290" s="59" t="str">
        <f t="shared" si="27"/>
        <v>28H00680</v>
      </c>
      <c r="I1290" s="59">
        <f>IF(OR($A1290="",$C1290="",$D1290="",$E1290="",$H1290=""),"",SUMIFS(DATA_GOC!$H:$H,DATA_GOC!$A:$A,"BOM",DATA_GOC!$D:$D,$H1290,DATA_GOC!$E:$E,$C1290,DATA_GOC!$F:$F,"Xuất nội bộ từ téc",DATA_GOC!$B:$B,"&gt;="&amp;$D1290,DATA_GOC!$B:$B,"&lt;="&amp;$E1290))</f>
        <v>1450</v>
      </c>
      <c r="J1290" s="59">
        <f t="shared" si="28"/>
        <v>84.452</v>
      </c>
      <c r="K1290" s="59">
        <f t="shared" si="29"/>
        <v>0</v>
      </c>
      <c r="L1290" s="59">
        <f t="shared" si="30"/>
        <v>1534.452</v>
      </c>
      <c r="M1290" s="59">
        <f t="shared" si="31"/>
        <v>0.06691895883</v>
      </c>
    </row>
    <row r="1291" ht="15.0" hidden="1" customHeight="1">
      <c r="A1291" s="59">
        <f t="shared" si="20"/>
        <v>18</v>
      </c>
      <c r="B1291" s="59" t="str">
        <f t="shared" si="21"/>
        <v>Đã chốt</v>
      </c>
      <c r="C1291" s="59" t="str">
        <f t="shared" si="22"/>
        <v>Téc 2</v>
      </c>
      <c r="D1291" s="45">
        <f t="shared" si="23"/>
        <v>46196</v>
      </c>
      <c r="E1291" s="45">
        <f t="shared" si="24"/>
        <v>46207</v>
      </c>
      <c r="F1291" s="59">
        <f t="shared" si="25"/>
        <v>7</v>
      </c>
      <c r="G1291" s="59">
        <f t="shared" si="26"/>
        <v>2026</v>
      </c>
      <c r="H1291" s="59" t="str">
        <f t="shared" si="27"/>
        <v>28H01070</v>
      </c>
      <c r="I1291" s="59">
        <f>IF(OR($A1291="",$C1291="",$D1291="",$E1291="",$H1291=""),"",SUMIFS(DATA_GOC!$H:$H,DATA_GOC!$A:$A,"BOM",DATA_GOC!$D:$D,$H1291,DATA_GOC!$E:$E,$C1291,DATA_GOC!$F:$F,"Xuất nội bộ từ téc",DATA_GOC!$B:$B,"&gt;="&amp;$D1291,DATA_GOC!$B:$B,"&lt;="&amp;$E1291))</f>
        <v>455</v>
      </c>
      <c r="J1291" s="59">
        <f t="shared" si="28"/>
        <v>26.5</v>
      </c>
      <c r="K1291" s="59">
        <f t="shared" si="29"/>
        <v>0</v>
      </c>
      <c r="L1291" s="59">
        <f t="shared" si="30"/>
        <v>481.5</v>
      </c>
      <c r="M1291" s="59">
        <f t="shared" si="31"/>
        <v>0.02099870777</v>
      </c>
    </row>
    <row r="1292" ht="15.0" hidden="1" customHeight="1">
      <c r="A1292" s="59">
        <f t="shared" si="20"/>
        <v>18</v>
      </c>
      <c r="B1292" s="59" t="str">
        <f t="shared" si="21"/>
        <v>Đã chốt</v>
      </c>
      <c r="C1292" s="59" t="str">
        <f t="shared" si="22"/>
        <v>Téc 2</v>
      </c>
      <c r="D1292" s="45">
        <f t="shared" si="23"/>
        <v>46196</v>
      </c>
      <c r="E1292" s="45">
        <f t="shared" si="24"/>
        <v>46207</v>
      </c>
      <c r="F1292" s="59">
        <f t="shared" si="25"/>
        <v>7</v>
      </c>
      <c r="G1292" s="59">
        <f t="shared" si="26"/>
        <v>2026</v>
      </c>
      <c r="H1292" s="59" t="str">
        <f t="shared" si="27"/>
        <v>28H01364</v>
      </c>
      <c r="I1292" s="59">
        <f>IF(OR($A1292="",$C1292="",$D1292="",$E1292="",$H1292=""),"",SUMIFS(DATA_GOC!$H:$H,DATA_GOC!$A:$A,"BOM",DATA_GOC!$D:$D,$H1292,DATA_GOC!$E:$E,$C1292,DATA_GOC!$F:$F,"Xuất nội bộ từ téc",DATA_GOC!$B:$B,"&gt;="&amp;$D1292,DATA_GOC!$B:$B,"&lt;="&amp;$E1292))</f>
        <v>440</v>
      </c>
      <c r="J1292" s="59">
        <f t="shared" si="28"/>
        <v>25.627</v>
      </c>
      <c r="K1292" s="59">
        <f t="shared" si="29"/>
        <v>0</v>
      </c>
      <c r="L1292" s="59">
        <f t="shared" si="30"/>
        <v>465.627</v>
      </c>
      <c r="M1292" s="59">
        <f t="shared" si="31"/>
        <v>0.02030644268</v>
      </c>
    </row>
    <row r="1293" ht="15.0" hidden="1" customHeight="1">
      <c r="A1293" s="59">
        <f t="shared" si="20"/>
        <v>18</v>
      </c>
      <c r="B1293" s="59" t="str">
        <f t="shared" si="21"/>
        <v>Đã chốt</v>
      </c>
      <c r="C1293" s="59" t="str">
        <f t="shared" si="22"/>
        <v>Téc 2</v>
      </c>
      <c r="D1293" s="45">
        <f t="shared" si="23"/>
        <v>46196</v>
      </c>
      <c r="E1293" s="45">
        <f t="shared" si="24"/>
        <v>46207</v>
      </c>
      <c r="F1293" s="59">
        <f t="shared" si="25"/>
        <v>7</v>
      </c>
      <c r="G1293" s="59">
        <f t="shared" si="26"/>
        <v>2026</v>
      </c>
      <c r="H1293" s="59" t="str">
        <f t="shared" si="27"/>
        <v>29E17269</v>
      </c>
      <c r="I1293" s="59">
        <f>IF(OR($A1293="",$C1293="",$D1293="",$E1293="",$H1293=""),"",SUMIFS(DATA_GOC!$H:$H,DATA_GOC!$A:$A,"BOM",DATA_GOC!$D:$D,$H1293,DATA_GOC!$E:$E,$C1293,DATA_GOC!$F:$F,"Xuất nội bộ từ téc",DATA_GOC!$B:$B,"&gt;="&amp;$D1293,DATA_GOC!$B:$B,"&lt;="&amp;$E1293))</f>
        <v>353</v>
      </c>
      <c r="J1293" s="59">
        <f t="shared" si="28"/>
        <v>20.56</v>
      </c>
      <c r="K1293" s="59">
        <f t="shared" si="29"/>
        <v>0</v>
      </c>
      <c r="L1293" s="59">
        <f t="shared" si="30"/>
        <v>373.56</v>
      </c>
      <c r="M1293" s="59">
        <f t="shared" si="31"/>
        <v>0.01629130515</v>
      </c>
    </row>
    <row r="1294" ht="15.0" hidden="1" customHeight="1">
      <c r="A1294" s="59">
        <f t="shared" si="20"/>
        <v>18</v>
      </c>
      <c r="B1294" s="59" t="str">
        <f t="shared" si="21"/>
        <v>Đã chốt</v>
      </c>
      <c r="C1294" s="59" t="str">
        <f t="shared" si="22"/>
        <v>Téc 2</v>
      </c>
      <c r="D1294" s="45">
        <f t="shared" si="23"/>
        <v>46196</v>
      </c>
      <c r="E1294" s="45">
        <f t="shared" si="24"/>
        <v>46207</v>
      </c>
      <c r="F1294" s="59">
        <f t="shared" si="25"/>
        <v>7</v>
      </c>
      <c r="G1294" s="59">
        <f t="shared" si="26"/>
        <v>2026</v>
      </c>
      <c r="H1294" s="59" t="str">
        <f t="shared" si="27"/>
        <v>29E17273</v>
      </c>
      <c r="I1294" s="59">
        <f>IF(OR($A1294="",$C1294="",$D1294="",$E1294="",$H1294=""),"",SUMIFS(DATA_GOC!$H:$H,DATA_GOC!$A:$A,"BOM",DATA_GOC!$D:$D,$H1294,DATA_GOC!$E:$E,$C1294,DATA_GOC!$F:$F,"Xuất nội bộ từ téc",DATA_GOC!$B:$B,"&gt;="&amp;$D1294,DATA_GOC!$B:$B,"&lt;="&amp;$E1294))</f>
        <v>290</v>
      </c>
      <c r="J1294" s="59">
        <f t="shared" si="28"/>
        <v>16.89</v>
      </c>
      <c r="K1294" s="59">
        <f t="shared" si="29"/>
        <v>0</v>
      </c>
      <c r="L1294" s="59">
        <f t="shared" si="30"/>
        <v>306.89</v>
      </c>
      <c r="M1294" s="59">
        <f t="shared" si="31"/>
        <v>0.01338379177</v>
      </c>
    </row>
    <row r="1295" ht="15.0" hidden="1" customHeight="1">
      <c r="A1295" s="59">
        <f t="shared" si="20"/>
        <v>18</v>
      </c>
      <c r="B1295" s="59" t="str">
        <f t="shared" si="21"/>
        <v>Đã chốt</v>
      </c>
      <c r="C1295" s="59" t="str">
        <f t="shared" si="22"/>
        <v>Téc 2</v>
      </c>
      <c r="D1295" s="45">
        <f t="shared" si="23"/>
        <v>46196</v>
      </c>
      <c r="E1295" s="45">
        <f t="shared" si="24"/>
        <v>46207</v>
      </c>
      <c r="F1295" s="59">
        <f t="shared" si="25"/>
        <v>7</v>
      </c>
      <c r="G1295" s="59">
        <f t="shared" si="26"/>
        <v>2026</v>
      </c>
      <c r="H1295" s="59" t="str">
        <f t="shared" si="27"/>
        <v>29E17410</v>
      </c>
      <c r="I1295" s="59">
        <f>IF(OR($A1295="",$C1295="",$D1295="",$E1295="",$H1295=""),"",SUMIFS(DATA_GOC!$H:$H,DATA_GOC!$A:$A,"BOM",DATA_GOC!$D:$D,$H1295,DATA_GOC!$E:$E,$C1295,DATA_GOC!$F:$F,"Xuất nội bộ từ téc",DATA_GOC!$B:$B,"&gt;="&amp;$D1295,DATA_GOC!$B:$B,"&lt;="&amp;$E1295))</f>
        <v>388</v>
      </c>
      <c r="J1295" s="59">
        <f t="shared" si="28"/>
        <v>22.598</v>
      </c>
      <c r="K1295" s="59">
        <f t="shared" si="29"/>
        <v>0</v>
      </c>
      <c r="L1295" s="59">
        <f t="shared" si="30"/>
        <v>410.598</v>
      </c>
      <c r="M1295" s="59">
        <f t="shared" si="31"/>
        <v>0.01790659036</v>
      </c>
    </row>
    <row r="1296" ht="15.0" hidden="1" customHeight="1">
      <c r="A1296" s="59">
        <f t="shared" si="20"/>
        <v>18</v>
      </c>
      <c r="B1296" s="59" t="str">
        <f t="shared" si="21"/>
        <v>Đã chốt</v>
      </c>
      <c r="C1296" s="59" t="str">
        <f t="shared" si="22"/>
        <v>Téc 2</v>
      </c>
      <c r="D1296" s="45">
        <f t="shared" si="23"/>
        <v>46196</v>
      </c>
      <c r="E1296" s="45">
        <f t="shared" si="24"/>
        <v>46207</v>
      </c>
      <c r="F1296" s="59">
        <f t="shared" si="25"/>
        <v>7</v>
      </c>
      <c r="G1296" s="59">
        <f t="shared" si="26"/>
        <v>2026</v>
      </c>
      <c r="H1296" s="59" t="str">
        <f t="shared" si="27"/>
        <v>29E17417</v>
      </c>
      <c r="I1296" s="59">
        <f>IF(OR($A1296="",$C1296="",$D1296="",$E1296="",$H1296=""),"",SUMIFS(DATA_GOC!$H:$H,DATA_GOC!$A:$A,"BOM",DATA_GOC!$D:$D,$H1296,DATA_GOC!$E:$E,$C1296,DATA_GOC!$F:$F,"Xuất nội bộ từ téc",DATA_GOC!$B:$B,"&gt;="&amp;$D1296,DATA_GOC!$B:$B,"&lt;="&amp;$E1296))</f>
        <v>338</v>
      </c>
      <c r="J1296" s="59">
        <f t="shared" si="28"/>
        <v>19.686</v>
      </c>
      <c r="K1296" s="59">
        <f t="shared" si="29"/>
        <v>0</v>
      </c>
      <c r="L1296" s="59">
        <f t="shared" si="30"/>
        <v>357.686</v>
      </c>
      <c r="M1296" s="59">
        <f t="shared" si="31"/>
        <v>0.01559904006</v>
      </c>
    </row>
    <row r="1297" ht="15.0" hidden="1" customHeight="1">
      <c r="A1297" s="59">
        <f t="shared" si="20"/>
        <v>18</v>
      </c>
      <c r="B1297" s="59" t="str">
        <f t="shared" si="21"/>
        <v>Đã chốt</v>
      </c>
      <c r="C1297" s="59" t="str">
        <f t="shared" si="22"/>
        <v>Téc 2</v>
      </c>
      <c r="D1297" s="45">
        <f t="shared" si="23"/>
        <v>46196</v>
      </c>
      <c r="E1297" s="45">
        <f t="shared" si="24"/>
        <v>46207</v>
      </c>
      <c r="F1297" s="59">
        <f t="shared" si="25"/>
        <v>7</v>
      </c>
      <c r="G1297" s="59">
        <f t="shared" si="26"/>
        <v>2026</v>
      </c>
      <c r="H1297" s="59" t="str">
        <f t="shared" si="27"/>
        <v>29E17539</v>
      </c>
      <c r="I1297" s="59">
        <f>IF(OR($A1297="",$C1297="",$D1297="",$E1297="",$H1297=""),"",SUMIFS(DATA_GOC!$H:$H,DATA_GOC!$A:$A,"BOM",DATA_GOC!$D:$D,$H1297,DATA_GOC!$E:$E,$C1297,DATA_GOC!$F:$F,"Xuất nội bộ từ téc",DATA_GOC!$B:$B,"&gt;="&amp;$D1297,DATA_GOC!$B:$B,"&lt;="&amp;$E1297))</f>
        <v>260</v>
      </c>
      <c r="J1297" s="59">
        <f t="shared" si="28"/>
        <v>15.143</v>
      </c>
      <c r="K1297" s="59">
        <f t="shared" si="29"/>
        <v>0</v>
      </c>
      <c r="L1297" s="59">
        <f t="shared" si="30"/>
        <v>275.143</v>
      </c>
      <c r="M1297" s="59">
        <f t="shared" si="31"/>
        <v>0.01199926158</v>
      </c>
    </row>
    <row r="1298" ht="15.0" hidden="1" customHeight="1">
      <c r="A1298" s="59">
        <f t="shared" si="20"/>
        <v>18</v>
      </c>
      <c r="B1298" s="59" t="str">
        <f t="shared" si="21"/>
        <v>Đã chốt</v>
      </c>
      <c r="C1298" s="59" t="str">
        <f t="shared" si="22"/>
        <v>Téc 2</v>
      </c>
      <c r="D1298" s="45">
        <f t="shared" si="23"/>
        <v>46196</v>
      </c>
      <c r="E1298" s="45">
        <f t="shared" si="24"/>
        <v>46207</v>
      </c>
      <c r="F1298" s="59">
        <f t="shared" si="25"/>
        <v>7</v>
      </c>
      <c r="G1298" s="59">
        <f t="shared" si="26"/>
        <v>2026</v>
      </c>
      <c r="H1298" s="59" t="str">
        <f t="shared" si="27"/>
        <v>29E18160</v>
      </c>
      <c r="I1298" s="59">
        <f>IF(OR($A1298="",$C1298="",$D1298="",$E1298="",$H1298=""),"",SUMIFS(DATA_GOC!$H:$H,DATA_GOC!$A:$A,"BOM",DATA_GOC!$D:$D,$H1298,DATA_GOC!$E:$E,$C1298,DATA_GOC!$F:$F,"Xuất nội bộ từ téc",DATA_GOC!$B:$B,"&gt;="&amp;$D1298,DATA_GOC!$B:$B,"&lt;="&amp;$E1298))</f>
        <v>135</v>
      </c>
      <c r="J1298" s="59">
        <f t="shared" si="28"/>
        <v>7.863</v>
      </c>
      <c r="K1298" s="59">
        <f t="shared" si="29"/>
        <v>0</v>
      </c>
      <c r="L1298" s="59">
        <f t="shared" si="30"/>
        <v>142.863</v>
      </c>
      <c r="M1298" s="59">
        <f t="shared" si="31"/>
        <v>0.006230385822</v>
      </c>
    </row>
    <row r="1299" ht="15.0" hidden="1" customHeight="1">
      <c r="A1299" s="59">
        <f t="shared" si="20"/>
        <v>18</v>
      </c>
      <c r="B1299" s="59" t="str">
        <f t="shared" si="21"/>
        <v>Đã chốt</v>
      </c>
      <c r="C1299" s="59" t="str">
        <f t="shared" si="22"/>
        <v>Téc 2</v>
      </c>
      <c r="D1299" s="45">
        <f t="shared" si="23"/>
        <v>46196</v>
      </c>
      <c r="E1299" s="45">
        <f t="shared" si="24"/>
        <v>46207</v>
      </c>
      <c r="F1299" s="59">
        <f t="shared" si="25"/>
        <v>7</v>
      </c>
      <c r="G1299" s="59">
        <f t="shared" si="26"/>
        <v>2026</v>
      </c>
      <c r="H1299" s="59" t="str">
        <f t="shared" si="27"/>
        <v>Công trình Asphalt</v>
      </c>
      <c r="I1299" s="59">
        <f>IF(OR($A1299="",$C1299="",$D1299="",$E1299="",$H1299=""),"",SUMIFS(DATA_GOC!$H:$H,DATA_GOC!$A:$A,"BOM",DATA_GOC!$D:$D,$H1299,DATA_GOC!$E:$E,$C1299,DATA_GOC!$F:$F,"Xuất nội bộ từ téc",DATA_GOC!$B:$B,"&gt;="&amp;$D1299,DATA_GOC!$B:$B,"&lt;="&amp;$E1299))</f>
        <v>187</v>
      </c>
      <c r="J1299" s="59">
        <f t="shared" si="28"/>
        <v>10.891</v>
      </c>
      <c r="K1299" s="59">
        <f t="shared" si="29"/>
        <v>0</v>
      </c>
      <c r="L1299" s="59">
        <f t="shared" si="30"/>
        <v>197.891</v>
      </c>
      <c r="M1299" s="59">
        <f t="shared" si="31"/>
        <v>0.008630238139</v>
      </c>
    </row>
    <row r="1300" ht="15.0" hidden="1" customHeight="1">
      <c r="A1300" s="59">
        <f t="shared" si="20"/>
        <v>18</v>
      </c>
      <c r="B1300" s="59" t="str">
        <f t="shared" si="21"/>
        <v>Đã chốt</v>
      </c>
      <c r="C1300" s="59" t="str">
        <f t="shared" si="22"/>
        <v>Téc 2</v>
      </c>
      <c r="D1300" s="45">
        <f t="shared" si="23"/>
        <v>46196</v>
      </c>
      <c r="E1300" s="45">
        <f t="shared" si="24"/>
        <v>46207</v>
      </c>
      <c r="F1300" s="59">
        <f t="shared" si="25"/>
        <v>7</v>
      </c>
      <c r="G1300" s="59">
        <f t="shared" si="26"/>
        <v>2026</v>
      </c>
      <c r="H1300" s="59" t="str">
        <f t="shared" si="27"/>
        <v>LG53F</v>
      </c>
      <c r="I1300" s="59">
        <f>IF(OR($A1300="",$C1300="",$D1300="",$E1300="",$H1300=""),"",SUMIFS(DATA_GOC!$H:$H,DATA_GOC!$A:$A,"BOM",DATA_GOC!$D:$D,$H1300,DATA_GOC!$E:$E,$C1300,DATA_GOC!$F:$F,"Xuất nội bộ từ téc",DATA_GOC!$B:$B,"&gt;="&amp;$D1300,DATA_GOC!$B:$B,"&lt;="&amp;$E1300))</f>
        <v>0</v>
      </c>
      <c r="J1300" s="59">
        <f t="shared" si="28"/>
        <v>0</v>
      </c>
      <c r="K1300" s="59">
        <f t="shared" si="29"/>
        <v>0</v>
      </c>
      <c r="L1300" s="59">
        <f t="shared" si="30"/>
        <v>0</v>
      </c>
      <c r="M1300" s="59">
        <f t="shared" si="31"/>
        <v>0</v>
      </c>
    </row>
    <row r="1301" ht="15.0" hidden="1" customHeight="1">
      <c r="A1301" s="59">
        <f t="shared" si="20"/>
        <v>18</v>
      </c>
      <c r="B1301" s="59" t="str">
        <f t="shared" si="21"/>
        <v>Đã chốt</v>
      </c>
      <c r="C1301" s="59" t="str">
        <f t="shared" si="22"/>
        <v>Téc 2</v>
      </c>
      <c r="D1301" s="45">
        <f t="shared" si="23"/>
        <v>46196</v>
      </c>
      <c r="E1301" s="45">
        <f t="shared" si="24"/>
        <v>46207</v>
      </c>
      <c r="F1301" s="59">
        <f t="shared" si="25"/>
        <v>7</v>
      </c>
      <c r="G1301" s="59">
        <f t="shared" si="26"/>
        <v>2026</v>
      </c>
      <c r="H1301" s="59" t="str">
        <f t="shared" si="27"/>
        <v>Máy phát điện</v>
      </c>
      <c r="I1301" s="59">
        <f>IF(OR($A1301="",$C1301="",$D1301="",$E1301="",$H1301=""),"",SUMIFS(DATA_GOC!$H:$H,DATA_GOC!$A:$A,"BOM",DATA_GOC!$D:$D,$H1301,DATA_GOC!$E:$E,$C1301,DATA_GOC!$F:$F,"Xuất nội bộ từ téc",DATA_GOC!$B:$B,"&gt;="&amp;$D1301,DATA_GOC!$B:$B,"&lt;="&amp;$E1301))</f>
        <v>0</v>
      </c>
      <c r="J1301" s="59">
        <f t="shared" si="28"/>
        <v>0</v>
      </c>
      <c r="K1301" s="59">
        <f t="shared" si="29"/>
        <v>0</v>
      </c>
      <c r="L1301" s="59">
        <f t="shared" si="30"/>
        <v>0</v>
      </c>
      <c r="M1301" s="59">
        <f t="shared" si="31"/>
        <v>0</v>
      </c>
    </row>
    <row r="1302" ht="15.0" hidden="1" customHeight="1">
      <c r="A1302" s="59">
        <f t="shared" si="20"/>
        <v>18</v>
      </c>
      <c r="B1302" s="59" t="str">
        <f t="shared" si="21"/>
        <v>Đã chốt</v>
      </c>
      <c r="C1302" s="59" t="str">
        <f t="shared" si="22"/>
        <v>Téc 2</v>
      </c>
      <c r="D1302" s="45">
        <f t="shared" si="23"/>
        <v>46196</v>
      </c>
      <c r="E1302" s="45">
        <f t="shared" si="24"/>
        <v>46207</v>
      </c>
      <c r="F1302" s="59">
        <f t="shared" si="25"/>
        <v>7</v>
      </c>
      <c r="G1302" s="59">
        <f t="shared" si="26"/>
        <v>2026</v>
      </c>
      <c r="H1302" s="59" t="str">
        <f t="shared" si="27"/>
        <v>Máy rải thảm</v>
      </c>
      <c r="I1302" s="59">
        <f>IF(OR($A1302="",$C1302="",$D1302="",$E1302="",$H1302=""),"",SUMIFS(DATA_GOC!$H:$H,DATA_GOC!$A:$A,"BOM",DATA_GOC!$D:$D,$H1302,DATA_GOC!$E:$E,$C1302,DATA_GOC!$F:$F,"Xuất nội bộ từ téc",DATA_GOC!$B:$B,"&gt;="&amp;$D1302,DATA_GOC!$B:$B,"&lt;="&amp;$E1302))</f>
        <v>0</v>
      </c>
      <c r="J1302" s="59">
        <f t="shared" si="28"/>
        <v>0</v>
      </c>
      <c r="K1302" s="59">
        <f t="shared" si="29"/>
        <v>0</v>
      </c>
      <c r="L1302" s="59">
        <f t="shared" si="30"/>
        <v>0</v>
      </c>
      <c r="M1302" s="59">
        <f t="shared" si="31"/>
        <v>0</v>
      </c>
    </row>
    <row r="1303" ht="15.0" hidden="1" customHeight="1">
      <c r="A1303" s="59">
        <f t="shared" si="20"/>
        <v>18</v>
      </c>
      <c r="B1303" s="59" t="str">
        <f t="shared" si="21"/>
        <v>Đã chốt</v>
      </c>
      <c r="C1303" s="59" t="str">
        <f t="shared" si="22"/>
        <v>Téc 2</v>
      </c>
      <c r="D1303" s="45">
        <f t="shared" si="23"/>
        <v>46196</v>
      </c>
      <c r="E1303" s="45">
        <f t="shared" si="24"/>
        <v>46207</v>
      </c>
      <c r="F1303" s="59">
        <f t="shared" si="25"/>
        <v>7</v>
      </c>
      <c r="G1303" s="59">
        <f t="shared" si="26"/>
        <v>2026</v>
      </c>
      <c r="H1303" s="59" t="str">
        <f t="shared" si="27"/>
        <v>Xúc Đào</v>
      </c>
      <c r="I1303" s="59">
        <f>IF(OR($A1303="",$C1303="",$D1303="",$E1303="",$H1303=""),"",SUMIFS(DATA_GOC!$H:$H,DATA_GOC!$A:$A,"BOM",DATA_GOC!$D:$D,$H1303,DATA_GOC!$E:$E,$C1303,DATA_GOC!$F:$F,"Xuất nội bộ từ téc",DATA_GOC!$B:$B,"&gt;="&amp;$D1303,DATA_GOC!$B:$B,"&lt;="&amp;$E1303))</f>
        <v>0</v>
      </c>
      <c r="J1303" s="59">
        <f t="shared" si="28"/>
        <v>0</v>
      </c>
      <c r="K1303" s="59">
        <f t="shared" si="29"/>
        <v>0</v>
      </c>
      <c r="L1303" s="59">
        <f t="shared" si="30"/>
        <v>0</v>
      </c>
      <c r="M1303" s="59">
        <f t="shared" si="31"/>
        <v>0</v>
      </c>
    </row>
    <row r="1304" ht="15.0" hidden="1" customHeight="1">
      <c r="A1304" s="59">
        <f t="shared" si="20"/>
        <v>18</v>
      </c>
      <c r="B1304" s="59" t="str">
        <f t="shared" si="21"/>
        <v>Đã chốt</v>
      </c>
      <c r="C1304" s="59" t="str">
        <f t="shared" si="22"/>
        <v>Téc 2</v>
      </c>
      <c r="D1304" s="45">
        <f t="shared" si="23"/>
        <v>46196</v>
      </c>
      <c r="E1304" s="45">
        <f t="shared" si="24"/>
        <v>46207</v>
      </c>
      <c r="F1304" s="59">
        <f t="shared" si="25"/>
        <v>7</v>
      </c>
      <c r="G1304" s="59">
        <f t="shared" si="26"/>
        <v>2026</v>
      </c>
      <c r="H1304" s="59" t="str">
        <f t="shared" si="27"/>
        <v>Xúclật asphalt</v>
      </c>
      <c r="I1304" s="59">
        <f>IF(OR($A1304="",$C1304="",$D1304="",$E1304="",$H1304=""),"",SUMIFS(DATA_GOC!$H:$H,DATA_GOC!$A:$A,"BOM",DATA_GOC!$D:$D,$H1304,DATA_GOC!$E:$E,$C1304,DATA_GOC!$F:$F,"Xuất nội bộ từ téc",DATA_GOC!$B:$B,"&gt;="&amp;$D1304,DATA_GOC!$B:$B,"&lt;="&amp;$E1304))</f>
        <v>0</v>
      </c>
      <c r="J1304" s="59">
        <f t="shared" si="28"/>
        <v>0</v>
      </c>
      <c r="K1304" s="59">
        <f t="shared" si="29"/>
        <v>0</v>
      </c>
      <c r="L1304" s="59">
        <f t="shared" si="30"/>
        <v>0</v>
      </c>
      <c r="M1304" s="59">
        <f t="shared" si="31"/>
        <v>0</v>
      </c>
    </row>
    <row r="1305" ht="15.0" hidden="1" customHeight="1">
      <c r="A1305" s="59">
        <f t="shared" si="20"/>
        <v>18</v>
      </c>
      <c r="B1305" s="59" t="str">
        <f t="shared" si="21"/>
        <v>Đã chốt</v>
      </c>
      <c r="C1305" s="59" t="str">
        <f t="shared" si="22"/>
        <v>Téc 2</v>
      </c>
      <c r="D1305" s="45">
        <f t="shared" si="23"/>
        <v>46196</v>
      </c>
      <c r="E1305" s="45">
        <f t="shared" si="24"/>
        <v>46207</v>
      </c>
      <c r="F1305" s="59">
        <f t="shared" si="25"/>
        <v>7</v>
      </c>
      <c r="G1305" s="59">
        <f t="shared" si="26"/>
        <v>2026</v>
      </c>
      <c r="H1305" s="59" t="str">
        <f t="shared" si="27"/>
        <v>Xúclật855H</v>
      </c>
      <c r="I1305" s="59">
        <f>IF(OR($A1305="",$C1305="",$D1305="",$E1305="",$H1305=""),"",SUMIFS(DATA_GOC!$H:$H,DATA_GOC!$A:$A,"BOM",DATA_GOC!$D:$D,$H1305,DATA_GOC!$E:$E,$C1305,DATA_GOC!$F:$F,"Xuất nội bộ từ téc",DATA_GOC!$B:$B,"&gt;="&amp;$D1305,DATA_GOC!$B:$B,"&lt;="&amp;$E1305))</f>
        <v>498</v>
      </c>
      <c r="J1305" s="59">
        <f t="shared" si="28"/>
        <v>29.005</v>
      </c>
      <c r="K1305" s="59">
        <f t="shared" si="29"/>
        <v>0</v>
      </c>
      <c r="L1305" s="59">
        <f t="shared" si="30"/>
        <v>527.005</v>
      </c>
      <c r="M1305" s="59">
        <f t="shared" si="31"/>
        <v>0.02298320103</v>
      </c>
    </row>
    <row r="1306" ht="15.0" hidden="1" customHeight="1">
      <c r="A1306" s="59">
        <f t="shared" si="20"/>
        <v>18</v>
      </c>
      <c r="B1306" s="59" t="str">
        <f t="shared" si="21"/>
        <v>Đã chốt</v>
      </c>
      <c r="C1306" s="59" t="str">
        <f t="shared" si="22"/>
        <v>Téc 2</v>
      </c>
      <c r="D1306" s="45">
        <f t="shared" si="23"/>
        <v>46196</v>
      </c>
      <c r="E1306" s="45">
        <f t="shared" si="24"/>
        <v>46207</v>
      </c>
      <c r="F1306" s="59">
        <f t="shared" si="25"/>
        <v>7</v>
      </c>
      <c r="G1306" s="59">
        <f t="shared" si="26"/>
        <v>2026</v>
      </c>
      <c r="H1306" s="59" t="str">
        <f t="shared" si="27"/>
        <v>Xúclật855N</v>
      </c>
      <c r="I1306" s="59">
        <f>IF(OR($A1306="",$C1306="",$D1306="",$E1306="",$H1306=""),"",SUMIFS(DATA_GOC!$H:$H,DATA_GOC!$A:$A,"BOM",DATA_GOC!$D:$D,$H1306,DATA_GOC!$E:$E,$C1306,DATA_GOC!$F:$F,"Xuất nội bộ từ téc",DATA_GOC!$B:$B,"&gt;="&amp;$D1306,DATA_GOC!$B:$B,"&lt;="&amp;$E1306))</f>
        <v>449</v>
      </c>
      <c r="J1306" s="59">
        <f t="shared" si="28"/>
        <v>26.151</v>
      </c>
      <c r="K1306" s="59">
        <f t="shared" si="29"/>
        <v>0</v>
      </c>
      <c r="L1306" s="59">
        <f t="shared" si="30"/>
        <v>475.151</v>
      </c>
      <c r="M1306" s="59">
        <f t="shared" si="31"/>
        <v>0.02072180174</v>
      </c>
    </row>
    <row r="1307" ht="15.0" hidden="1" customHeight="1">
      <c r="A1307" s="59">
        <f t="shared" si="20"/>
        <v>18</v>
      </c>
      <c r="B1307" s="59" t="str">
        <f t="shared" si="21"/>
        <v>Đã chốt</v>
      </c>
      <c r="C1307" s="59" t="str">
        <f t="shared" si="22"/>
        <v>Téc 2</v>
      </c>
      <c r="D1307" s="45">
        <f t="shared" si="23"/>
        <v>46196</v>
      </c>
      <c r="E1307" s="45">
        <f t="shared" si="24"/>
        <v>46207</v>
      </c>
      <c r="F1307" s="59">
        <f t="shared" si="25"/>
        <v>7</v>
      </c>
      <c r="G1307" s="59">
        <f t="shared" si="26"/>
        <v>2026</v>
      </c>
      <c r="H1307" s="59" t="str">
        <f t="shared" si="27"/>
        <v>Cát nghiền</v>
      </c>
      <c r="I1307" s="59">
        <f>IF(OR($A1307="",$C1307="",$D1307="",$E1307="",$H1307=""),"",SUMIFS(DATA_GOC!$H:$H,DATA_GOC!$A:$A,"BOM",DATA_GOC!$D:$D,$H1307,DATA_GOC!$E:$E,$C1307,DATA_GOC!$F:$F,"Xuất nội bộ từ téc",DATA_GOC!$B:$B,"&gt;="&amp;$D1307,DATA_GOC!$B:$B,"&lt;="&amp;$E1307))</f>
        <v>0</v>
      </c>
      <c r="J1307" s="59">
        <f t="shared" si="28"/>
        <v>0</v>
      </c>
      <c r="K1307" s="59">
        <f t="shared" si="29"/>
        <v>0</v>
      </c>
      <c r="L1307" s="59">
        <f t="shared" si="30"/>
        <v>0</v>
      </c>
      <c r="M1307" s="59">
        <f t="shared" si="31"/>
        <v>0</v>
      </c>
    </row>
    <row r="1308" ht="15.0" hidden="1" customHeight="1">
      <c r="A1308" s="59">
        <f t="shared" si="20"/>
        <v>18</v>
      </c>
      <c r="B1308" s="59" t="str">
        <f t="shared" si="21"/>
        <v>Đã chốt</v>
      </c>
      <c r="C1308" s="59" t="str">
        <f t="shared" si="22"/>
        <v>Téc 2</v>
      </c>
      <c r="D1308" s="45">
        <f t="shared" si="23"/>
        <v>46196</v>
      </c>
      <c r="E1308" s="45">
        <f t="shared" si="24"/>
        <v>46207</v>
      </c>
      <c r="F1308" s="59">
        <f t="shared" si="25"/>
        <v>7</v>
      </c>
      <c r="G1308" s="59">
        <f t="shared" si="26"/>
        <v>2026</v>
      </c>
      <c r="H1308" s="59" t="str">
        <f t="shared" si="27"/>
        <v>28C02973</v>
      </c>
      <c r="I1308" s="59">
        <f>IF(OR($A1308="",$C1308="",$D1308="",$E1308="",$H1308=""),"",SUMIFS(DATA_GOC!$H:$H,DATA_GOC!$A:$A,"BOM",DATA_GOC!$D:$D,$H1308,DATA_GOC!$E:$E,$C1308,DATA_GOC!$F:$F,"Xuất nội bộ từ téc",DATA_GOC!$B:$B,"&gt;="&amp;$D1308,DATA_GOC!$B:$B,"&lt;="&amp;$E1308))</f>
        <v>620</v>
      </c>
      <c r="J1308" s="59">
        <f t="shared" si="28"/>
        <v>36.11</v>
      </c>
      <c r="K1308" s="59">
        <f t="shared" si="29"/>
        <v>0</v>
      </c>
      <c r="L1308" s="59">
        <f t="shared" si="30"/>
        <v>656.11</v>
      </c>
      <c r="M1308" s="59">
        <f t="shared" si="31"/>
        <v>0.02861362378</v>
      </c>
    </row>
    <row r="1309" ht="15.0" hidden="1" customHeight="1">
      <c r="A1309" s="59">
        <f t="shared" si="20"/>
        <v>18</v>
      </c>
      <c r="B1309" s="59" t="str">
        <f t="shared" si="21"/>
        <v>Đã chốt</v>
      </c>
      <c r="C1309" s="59" t="str">
        <f t="shared" si="22"/>
        <v>Téc 2</v>
      </c>
      <c r="D1309" s="45">
        <f t="shared" si="23"/>
        <v>46196</v>
      </c>
      <c r="E1309" s="45">
        <f t="shared" si="24"/>
        <v>46207</v>
      </c>
      <c r="F1309" s="59">
        <f t="shared" si="25"/>
        <v>7</v>
      </c>
      <c r="G1309" s="59">
        <f t="shared" si="26"/>
        <v>2026</v>
      </c>
      <c r="H1309" s="59" t="str">
        <f t="shared" si="27"/>
        <v>28C03044</v>
      </c>
      <c r="I1309" s="59">
        <f>IF(OR($A1309="",$C1309="",$D1309="",$E1309="",$H1309=""),"",SUMIFS(DATA_GOC!$H:$H,DATA_GOC!$A:$A,"BOM",DATA_GOC!$D:$D,$H1309,DATA_GOC!$E:$E,$C1309,DATA_GOC!$F:$F,"Xuất nội bộ từ téc",DATA_GOC!$B:$B,"&gt;="&amp;$D1309,DATA_GOC!$B:$B,"&lt;="&amp;$E1309))</f>
        <v>350</v>
      </c>
      <c r="J1309" s="59">
        <f t="shared" si="28"/>
        <v>20.385</v>
      </c>
      <c r="K1309" s="59">
        <f t="shared" si="29"/>
        <v>0</v>
      </c>
      <c r="L1309" s="59">
        <f t="shared" si="30"/>
        <v>370.385</v>
      </c>
      <c r="M1309" s="59">
        <f t="shared" si="31"/>
        <v>0.01615285213</v>
      </c>
    </row>
    <row r="1310" ht="15.0" hidden="1" customHeight="1">
      <c r="A1310" s="59">
        <f t="shared" si="20"/>
        <v>18</v>
      </c>
      <c r="B1310" s="59" t="str">
        <f t="shared" si="21"/>
        <v>Đã chốt</v>
      </c>
      <c r="C1310" s="59" t="str">
        <f t="shared" si="22"/>
        <v>Téc 2</v>
      </c>
      <c r="D1310" s="45">
        <f t="shared" si="23"/>
        <v>46196</v>
      </c>
      <c r="E1310" s="45">
        <f t="shared" si="24"/>
        <v>46207</v>
      </c>
      <c r="F1310" s="59">
        <f t="shared" si="25"/>
        <v>7</v>
      </c>
      <c r="G1310" s="59">
        <f t="shared" si="26"/>
        <v>2026</v>
      </c>
      <c r="H1310" s="59" t="str">
        <f t="shared" si="27"/>
        <v>Máy lu lốp</v>
      </c>
      <c r="I1310" s="59">
        <f>IF(OR($A1310="",$C1310="",$D1310="",$E1310="",$H1310=""),"",SUMIFS(DATA_GOC!$H:$H,DATA_GOC!$A:$A,"BOM",DATA_GOC!$D:$D,$H1310,DATA_GOC!$E:$E,$C1310,DATA_GOC!$F:$F,"Xuất nội bộ từ téc",DATA_GOC!$B:$B,"&gt;="&amp;$D1310,DATA_GOC!$B:$B,"&lt;="&amp;$E1310))</f>
        <v>0</v>
      </c>
      <c r="J1310" s="59">
        <f t="shared" si="28"/>
        <v>0</v>
      </c>
      <c r="K1310" s="59">
        <f t="shared" si="29"/>
        <v>0</v>
      </c>
      <c r="L1310" s="59">
        <f t="shared" si="30"/>
        <v>0</v>
      </c>
      <c r="M1310" s="59">
        <f t="shared" si="31"/>
        <v>0</v>
      </c>
    </row>
    <row r="1311" ht="15.0" hidden="1" customHeight="1">
      <c r="A1311" s="59">
        <f t="shared" si="20"/>
        <v>18</v>
      </c>
      <c r="B1311" s="59" t="str">
        <f t="shared" si="21"/>
        <v>Đã chốt</v>
      </c>
      <c r="C1311" s="59" t="str">
        <f t="shared" si="22"/>
        <v>Téc 2</v>
      </c>
      <c r="D1311" s="45">
        <f t="shared" si="23"/>
        <v>46196</v>
      </c>
      <c r="E1311" s="45">
        <f t="shared" si="24"/>
        <v>46207</v>
      </c>
      <c r="F1311" s="59">
        <f t="shared" si="25"/>
        <v>7</v>
      </c>
      <c r="G1311" s="59">
        <f t="shared" si="26"/>
        <v>2026</v>
      </c>
      <c r="H1311" s="59" t="str">
        <f t="shared" si="27"/>
        <v>Xe 600148</v>
      </c>
      <c r="I1311" s="59">
        <f>IF(OR($A1311="",$C1311="",$D1311="",$E1311="",$H1311=""),"",SUMIFS(DATA_GOC!$H:$H,DATA_GOC!$A:$A,"BOM",DATA_GOC!$D:$D,$H1311,DATA_GOC!$E:$E,$C1311,DATA_GOC!$F:$F,"Xuất nội bộ từ téc",DATA_GOC!$B:$B,"&gt;="&amp;$D1311,DATA_GOC!$B:$B,"&lt;="&amp;$E1311))</f>
        <v>0</v>
      </c>
      <c r="J1311" s="59">
        <f t="shared" si="28"/>
        <v>0</v>
      </c>
      <c r="K1311" s="59">
        <f t="shared" si="29"/>
        <v>0</v>
      </c>
      <c r="L1311" s="59">
        <f t="shared" si="30"/>
        <v>0</v>
      </c>
      <c r="M1311" s="59">
        <f t="shared" si="31"/>
        <v>0</v>
      </c>
    </row>
    <row r="1312" ht="15.0" hidden="1" customHeight="1">
      <c r="A1312" s="59">
        <f t="shared" si="20"/>
        <v>18</v>
      </c>
      <c r="B1312" s="59" t="str">
        <f t="shared" si="21"/>
        <v>Đã chốt</v>
      </c>
      <c r="C1312" s="59" t="str">
        <f t="shared" si="22"/>
        <v>Téc 2</v>
      </c>
      <c r="D1312" s="45">
        <f t="shared" si="23"/>
        <v>46196</v>
      </c>
      <c r="E1312" s="45">
        <f t="shared" si="24"/>
        <v>46207</v>
      </c>
      <c r="F1312" s="59">
        <f t="shared" si="25"/>
        <v>7</v>
      </c>
      <c r="G1312" s="59">
        <f t="shared" si="26"/>
        <v>2026</v>
      </c>
      <c r="H1312" s="59" t="str">
        <f t="shared" si="27"/>
        <v>Xe ben mới</v>
      </c>
      <c r="I1312" s="59">
        <f>IF(OR($A1312="",$C1312="",$D1312="",$E1312="",$H1312=""),"",SUMIFS(DATA_GOC!$H:$H,DATA_GOC!$A:$A,"BOM",DATA_GOC!$D:$D,$H1312,DATA_GOC!$E:$E,$C1312,DATA_GOC!$F:$F,"Xuất nội bộ từ téc",DATA_GOC!$B:$B,"&gt;="&amp;$D1312,DATA_GOC!$B:$B,"&lt;="&amp;$E1312))</f>
        <v>40</v>
      </c>
      <c r="J1312" s="59">
        <f t="shared" si="28"/>
        <v>2.33</v>
      </c>
      <c r="K1312" s="59">
        <f t="shared" si="29"/>
        <v>0</v>
      </c>
      <c r="L1312" s="59">
        <f t="shared" si="30"/>
        <v>42.33</v>
      </c>
      <c r="M1312" s="59">
        <f t="shared" si="31"/>
        <v>0.001846040244</v>
      </c>
    </row>
    <row r="1313" ht="15.0" hidden="1" customHeight="1">
      <c r="A1313" s="59">
        <f t="shared" si="20"/>
        <v>19</v>
      </c>
      <c r="B1313" s="59" t="str">
        <f t="shared" si="21"/>
        <v/>
      </c>
      <c r="C1313" s="59" t="str">
        <f t="shared" si="22"/>
        <v/>
      </c>
      <c r="D1313" s="45" t="str">
        <f t="shared" si="23"/>
        <v/>
      </c>
      <c r="E1313" s="45" t="str">
        <f t="shared" si="24"/>
        <v/>
      </c>
      <c r="F1313" s="59" t="str">
        <f t="shared" si="25"/>
        <v/>
      </c>
      <c r="G1313" s="59" t="str">
        <f t="shared" si="26"/>
        <v/>
      </c>
      <c r="H1313" s="59" t="str">
        <f t="shared" si="27"/>
        <v>19H09482</v>
      </c>
      <c r="I1313" s="59" t="str">
        <f>IF(OR($A1313="",$C1313="",$D1313="",$E1313="",$H1313=""),"",SUMIFS(DATA_GOC!$H:$H,DATA_GOC!$A:$A,"BOM",DATA_GOC!$D:$D,$H1313,DATA_GOC!$E:$E,$C1313,DATA_GOC!$F:$F,"Xuất nội bộ từ téc",DATA_GOC!$B:$B,"&gt;="&amp;$D1313,DATA_GOC!$B:$B,"&lt;="&amp;$E1313))</f>
        <v/>
      </c>
      <c r="J1313" s="59">
        <f t="shared" si="28"/>
        <v>0</v>
      </c>
      <c r="K1313" s="59">
        <f t="shared" si="29"/>
        <v>0</v>
      </c>
      <c r="L1313" s="59">
        <f t="shared" si="30"/>
        <v>0</v>
      </c>
      <c r="M1313" s="59">
        <f t="shared" si="31"/>
        <v>0</v>
      </c>
    </row>
    <row r="1314" ht="15.0" hidden="1" customHeight="1">
      <c r="A1314" s="59">
        <f t="shared" si="20"/>
        <v>19</v>
      </c>
      <c r="B1314" s="59" t="str">
        <f t="shared" si="21"/>
        <v/>
      </c>
      <c r="C1314" s="59" t="str">
        <f t="shared" si="22"/>
        <v/>
      </c>
      <c r="D1314" s="45" t="str">
        <f t="shared" si="23"/>
        <v/>
      </c>
      <c r="E1314" s="45" t="str">
        <f t="shared" si="24"/>
        <v/>
      </c>
      <c r="F1314" s="59" t="str">
        <f t="shared" si="25"/>
        <v/>
      </c>
      <c r="G1314" s="59" t="str">
        <f t="shared" si="26"/>
        <v/>
      </c>
      <c r="H1314" s="59" t="str">
        <f t="shared" si="27"/>
        <v>28A30696</v>
      </c>
      <c r="I1314" s="59" t="str">
        <f>IF(OR($A1314="",$C1314="",$D1314="",$E1314="",$H1314=""),"",SUMIFS(DATA_GOC!$H:$H,DATA_GOC!$A:$A,"BOM",DATA_GOC!$D:$D,$H1314,DATA_GOC!$E:$E,$C1314,DATA_GOC!$F:$F,"Xuất nội bộ từ téc",DATA_GOC!$B:$B,"&gt;="&amp;$D1314,DATA_GOC!$B:$B,"&lt;="&amp;$E1314))</f>
        <v/>
      </c>
      <c r="J1314" s="59">
        <f t="shared" si="28"/>
        <v>0</v>
      </c>
      <c r="K1314" s="59">
        <f t="shared" si="29"/>
        <v>0</v>
      </c>
      <c r="L1314" s="59">
        <f t="shared" si="30"/>
        <v>0</v>
      </c>
      <c r="M1314" s="59">
        <f t="shared" si="31"/>
        <v>0</v>
      </c>
    </row>
    <row r="1315" ht="15.0" hidden="1" customHeight="1">
      <c r="A1315" s="59">
        <f t="shared" si="20"/>
        <v>19</v>
      </c>
      <c r="B1315" s="59" t="str">
        <f t="shared" si="21"/>
        <v/>
      </c>
      <c r="C1315" s="59" t="str">
        <f t="shared" si="22"/>
        <v/>
      </c>
      <c r="D1315" s="45" t="str">
        <f t="shared" si="23"/>
        <v/>
      </c>
      <c r="E1315" s="45" t="str">
        <f t="shared" si="24"/>
        <v/>
      </c>
      <c r="F1315" s="59" t="str">
        <f t="shared" si="25"/>
        <v/>
      </c>
      <c r="G1315" s="59" t="str">
        <f t="shared" si="26"/>
        <v/>
      </c>
      <c r="H1315" s="59" t="str">
        <f t="shared" si="27"/>
        <v>28C00462</v>
      </c>
      <c r="I1315" s="59" t="str">
        <f>IF(OR($A1315="",$C1315="",$D1315="",$E1315="",$H1315=""),"",SUMIFS(DATA_GOC!$H:$H,DATA_GOC!$A:$A,"BOM",DATA_GOC!$D:$D,$H1315,DATA_GOC!$E:$E,$C1315,DATA_GOC!$F:$F,"Xuất nội bộ từ téc",DATA_GOC!$B:$B,"&gt;="&amp;$D1315,DATA_GOC!$B:$B,"&lt;="&amp;$E1315))</f>
        <v/>
      </c>
      <c r="J1315" s="59">
        <f t="shared" si="28"/>
        <v>0</v>
      </c>
      <c r="K1315" s="59">
        <f t="shared" si="29"/>
        <v>0</v>
      </c>
      <c r="L1315" s="59">
        <f t="shared" si="30"/>
        <v>0</v>
      </c>
      <c r="M1315" s="59">
        <f t="shared" si="31"/>
        <v>0</v>
      </c>
    </row>
    <row r="1316" ht="15.0" hidden="1" customHeight="1">
      <c r="A1316" s="59">
        <f t="shared" si="20"/>
        <v>19</v>
      </c>
      <c r="B1316" s="59" t="str">
        <f t="shared" si="21"/>
        <v/>
      </c>
      <c r="C1316" s="59" t="str">
        <f t="shared" si="22"/>
        <v/>
      </c>
      <c r="D1316" s="45" t="str">
        <f t="shared" si="23"/>
        <v/>
      </c>
      <c r="E1316" s="45" t="str">
        <f t="shared" si="24"/>
        <v/>
      </c>
      <c r="F1316" s="59" t="str">
        <f t="shared" si="25"/>
        <v/>
      </c>
      <c r="G1316" s="59" t="str">
        <f t="shared" si="26"/>
        <v/>
      </c>
      <c r="H1316" s="59" t="str">
        <f t="shared" si="27"/>
        <v>28C01165</v>
      </c>
      <c r="I1316" s="59" t="str">
        <f>IF(OR($A1316="",$C1316="",$D1316="",$E1316="",$H1316=""),"",SUMIFS(DATA_GOC!$H:$H,DATA_GOC!$A:$A,"BOM",DATA_GOC!$D:$D,$H1316,DATA_GOC!$E:$E,$C1316,DATA_GOC!$F:$F,"Xuất nội bộ từ téc",DATA_GOC!$B:$B,"&gt;="&amp;$D1316,DATA_GOC!$B:$B,"&lt;="&amp;$E1316))</f>
        <v/>
      </c>
      <c r="J1316" s="59">
        <f t="shared" si="28"/>
        <v>0</v>
      </c>
      <c r="K1316" s="59">
        <f t="shared" si="29"/>
        <v>0</v>
      </c>
      <c r="L1316" s="59">
        <f t="shared" si="30"/>
        <v>0</v>
      </c>
      <c r="M1316" s="59">
        <f t="shared" si="31"/>
        <v>0</v>
      </c>
    </row>
    <row r="1317" ht="15.0" hidden="1" customHeight="1">
      <c r="A1317" s="59">
        <f t="shared" si="20"/>
        <v>19</v>
      </c>
      <c r="B1317" s="59" t="str">
        <f t="shared" si="21"/>
        <v/>
      </c>
      <c r="C1317" s="59" t="str">
        <f t="shared" si="22"/>
        <v/>
      </c>
      <c r="D1317" s="45" t="str">
        <f t="shared" si="23"/>
        <v/>
      </c>
      <c r="E1317" s="45" t="str">
        <f t="shared" si="24"/>
        <v/>
      </c>
      <c r="F1317" s="59" t="str">
        <f t="shared" si="25"/>
        <v/>
      </c>
      <c r="G1317" s="59" t="str">
        <f t="shared" si="26"/>
        <v/>
      </c>
      <c r="H1317" s="59" t="str">
        <f t="shared" si="27"/>
        <v>28C01406</v>
      </c>
      <c r="I1317" s="59" t="str">
        <f>IF(OR($A1317="",$C1317="",$D1317="",$E1317="",$H1317=""),"",SUMIFS(DATA_GOC!$H:$H,DATA_GOC!$A:$A,"BOM",DATA_GOC!$D:$D,$H1317,DATA_GOC!$E:$E,$C1317,DATA_GOC!$F:$F,"Xuất nội bộ từ téc",DATA_GOC!$B:$B,"&gt;="&amp;$D1317,DATA_GOC!$B:$B,"&lt;="&amp;$E1317))</f>
        <v/>
      </c>
      <c r="J1317" s="59">
        <f t="shared" si="28"/>
        <v>0</v>
      </c>
      <c r="K1317" s="59">
        <f t="shared" si="29"/>
        <v>0</v>
      </c>
      <c r="L1317" s="59">
        <f t="shared" si="30"/>
        <v>0</v>
      </c>
      <c r="M1317" s="59">
        <f t="shared" si="31"/>
        <v>0</v>
      </c>
    </row>
    <row r="1318" ht="15.0" hidden="1" customHeight="1">
      <c r="A1318" s="59">
        <f t="shared" si="20"/>
        <v>19</v>
      </c>
      <c r="B1318" s="59" t="str">
        <f t="shared" si="21"/>
        <v/>
      </c>
      <c r="C1318" s="59" t="str">
        <f t="shared" si="22"/>
        <v/>
      </c>
      <c r="D1318" s="45" t="str">
        <f t="shared" si="23"/>
        <v/>
      </c>
      <c r="E1318" s="45" t="str">
        <f t="shared" si="24"/>
        <v/>
      </c>
      <c r="F1318" s="59" t="str">
        <f t="shared" si="25"/>
        <v/>
      </c>
      <c r="G1318" s="59" t="str">
        <f t="shared" si="26"/>
        <v/>
      </c>
      <c r="H1318" s="59" t="str">
        <f t="shared" si="27"/>
        <v>28C01544</v>
      </c>
      <c r="I1318" s="59" t="str">
        <f>IF(OR($A1318="",$C1318="",$D1318="",$E1318="",$H1318=""),"",SUMIFS(DATA_GOC!$H:$H,DATA_GOC!$A:$A,"BOM",DATA_GOC!$D:$D,$H1318,DATA_GOC!$E:$E,$C1318,DATA_GOC!$F:$F,"Xuất nội bộ từ téc",DATA_GOC!$B:$B,"&gt;="&amp;$D1318,DATA_GOC!$B:$B,"&lt;="&amp;$E1318))</f>
        <v/>
      </c>
      <c r="J1318" s="59">
        <f t="shared" si="28"/>
        <v>0</v>
      </c>
      <c r="K1318" s="59">
        <f t="shared" si="29"/>
        <v>0</v>
      </c>
      <c r="L1318" s="59">
        <f t="shared" si="30"/>
        <v>0</v>
      </c>
      <c r="M1318" s="59">
        <f t="shared" si="31"/>
        <v>0</v>
      </c>
    </row>
    <row r="1319" ht="15.0" hidden="1" customHeight="1">
      <c r="A1319" s="59">
        <f t="shared" si="20"/>
        <v>19</v>
      </c>
      <c r="B1319" s="59" t="str">
        <f t="shared" si="21"/>
        <v/>
      </c>
      <c r="C1319" s="59" t="str">
        <f t="shared" si="22"/>
        <v/>
      </c>
      <c r="D1319" s="45" t="str">
        <f t="shared" si="23"/>
        <v/>
      </c>
      <c r="E1319" s="45" t="str">
        <f t="shared" si="24"/>
        <v/>
      </c>
      <c r="F1319" s="59" t="str">
        <f t="shared" si="25"/>
        <v/>
      </c>
      <c r="G1319" s="59" t="str">
        <f t="shared" si="26"/>
        <v/>
      </c>
      <c r="H1319" s="59" t="str">
        <f t="shared" si="27"/>
        <v>28C01622</v>
      </c>
      <c r="I1319" s="59" t="str">
        <f>IF(OR($A1319="",$C1319="",$D1319="",$E1319="",$H1319=""),"",SUMIFS(DATA_GOC!$H:$H,DATA_GOC!$A:$A,"BOM",DATA_GOC!$D:$D,$H1319,DATA_GOC!$E:$E,$C1319,DATA_GOC!$F:$F,"Xuất nội bộ từ téc",DATA_GOC!$B:$B,"&gt;="&amp;$D1319,DATA_GOC!$B:$B,"&lt;="&amp;$E1319))</f>
        <v/>
      </c>
      <c r="J1319" s="59">
        <f t="shared" si="28"/>
        <v>0</v>
      </c>
      <c r="K1319" s="59">
        <f t="shared" si="29"/>
        <v>0</v>
      </c>
      <c r="L1319" s="59">
        <f t="shared" si="30"/>
        <v>0</v>
      </c>
      <c r="M1319" s="59">
        <f t="shared" si="31"/>
        <v>0</v>
      </c>
    </row>
    <row r="1320" ht="15.0" hidden="1" customHeight="1">
      <c r="A1320" s="59">
        <f t="shared" si="20"/>
        <v>19</v>
      </c>
      <c r="B1320" s="59" t="str">
        <f t="shared" si="21"/>
        <v/>
      </c>
      <c r="C1320" s="59" t="str">
        <f t="shared" si="22"/>
        <v/>
      </c>
      <c r="D1320" s="45" t="str">
        <f t="shared" si="23"/>
        <v/>
      </c>
      <c r="E1320" s="45" t="str">
        <f t="shared" si="24"/>
        <v/>
      </c>
      <c r="F1320" s="59" t="str">
        <f t="shared" si="25"/>
        <v/>
      </c>
      <c r="G1320" s="59" t="str">
        <f t="shared" si="26"/>
        <v/>
      </c>
      <c r="H1320" s="59" t="str">
        <f t="shared" si="27"/>
        <v>28C01647</v>
      </c>
      <c r="I1320" s="59" t="str">
        <f>IF(OR($A1320="",$C1320="",$D1320="",$E1320="",$H1320=""),"",SUMIFS(DATA_GOC!$H:$H,DATA_GOC!$A:$A,"BOM",DATA_GOC!$D:$D,$H1320,DATA_GOC!$E:$E,$C1320,DATA_GOC!$F:$F,"Xuất nội bộ từ téc",DATA_GOC!$B:$B,"&gt;="&amp;$D1320,DATA_GOC!$B:$B,"&lt;="&amp;$E1320))</f>
        <v/>
      </c>
      <c r="J1320" s="59">
        <f t="shared" si="28"/>
        <v>0</v>
      </c>
      <c r="K1320" s="59">
        <f t="shared" si="29"/>
        <v>0</v>
      </c>
      <c r="L1320" s="59">
        <f t="shared" si="30"/>
        <v>0</v>
      </c>
      <c r="M1320" s="59">
        <f t="shared" si="31"/>
        <v>0</v>
      </c>
    </row>
    <row r="1321" ht="15.0" hidden="1" customHeight="1">
      <c r="A1321" s="59">
        <f t="shared" si="20"/>
        <v>19</v>
      </c>
      <c r="B1321" s="59" t="str">
        <f t="shared" si="21"/>
        <v/>
      </c>
      <c r="C1321" s="59" t="str">
        <f t="shared" si="22"/>
        <v/>
      </c>
      <c r="D1321" s="45" t="str">
        <f t="shared" si="23"/>
        <v/>
      </c>
      <c r="E1321" s="45" t="str">
        <f t="shared" si="24"/>
        <v/>
      </c>
      <c r="F1321" s="59" t="str">
        <f t="shared" si="25"/>
        <v/>
      </c>
      <c r="G1321" s="59" t="str">
        <f t="shared" si="26"/>
        <v/>
      </c>
      <c r="H1321" s="59" t="str">
        <f t="shared" si="27"/>
        <v>28C01731</v>
      </c>
      <c r="I1321" s="59" t="str">
        <f>IF(OR($A1321="",$C1321="",$D1321="",$E1321="",$H1321=""),"",SUMIFS(DATA_GOC!$H:$H,DATA_GOC!$A:$A,"BOM",DATA_GOC!$D:$D,$H1321,DATA_GOC!$E:$E,$C1321,DATA_GOC!$F:$F,"Xuất nội bộ từ téc",DATA_GOC!$B:$B,"&gt;="&amp;$D1321,DATA_GOC!$B:$B,"&lt;="&amp;$E1321))</f>
        <v/>
      </c>
      <c r="J1321" s="59">
        <f t="shared" si="28"/>
        <v>0</v>
      </c>
      <c r="K1321" s="59">
        <f t="shared" si="29"/>
        <v>0</v>
      </c>
      <c r="L1321" s="59">
        <f t="shared" si="30"/>
        <v>0</v>
      </c>
      <c r="M1321" s="59">
        <f t="shared" si="31"/>
        <v>0</v>
      </c>
    </row>
    <row r="1322" ht="15.0" hidden="1" customHeight="1">
      <c r="A1322" s="59">
        <f t="shared" si="20"/>
        <v>19</v>
      </c>
      <c r="B1322" s="59" t="str">
        <f t="shared" si="21"/>
        <v/>
      </c>
      <c r="C1322" s="59" t="str">
        <f t="shared" si="22"/>
        <v/>
      </c>
      <c r="D1322" s="45" t="str">
        <f t="shared" si="23"/>
        <v/>
      </c>
      <c r="E1322" s="45" t="str">
        <f t="shared" si="24"/>
        <v/>
      </c>
      <c r="F1322" s="59" t="str">
        <f t="shared" si="25"/>
        <v/>
      </c>
      <c r="G1322" s="59" t="str">
        <f t="shared" si="26"/>
        <v/>
      </c>
      <c r="H1322" s="59" t="str">
        <f t="shared" si="27"/>
        <v>28C01743</v>
      </c>
      <c r="I1322" s="59" t="str">
        <f>IF(OR($A1322="",$C1322="",$D1322="",$E1322="",$H1322=""),"",SUMIFS(DATA_GOC!$H:$H,DATA_GOC!$A:$A,"BOM",DATA_GOC!$D:$D,$H1322,DATA_GOC!$E:$E,$C1322,DATA_GOC!$F:$F,"Xuất nội bộ từ téc",DATA_GOC!$B:$B,"&gt;="&amp;$D1322,DATA_GOC!$B:$B,"&lt;="&amp;$E1322))</f>
        <v/>
      </c>
      <c r="J1322" s="59">
        <f t="shared" si="28"/>
        <v>0</v>
      </c>
      <c r="K1322" s="59">
        <f t="shared" si="29"/>
        <v>0</v>
      </c>
      <c r="L1322" s="59">
        <f t="shared" si="30"/>
        <v>0</v>
      </c>
      <c r="M1322" s="59">
        <f t="shared" si="31"/>
        <v>0</v>
      </c>
    </row>
    <row r="1323" ht="15.0" hidden="1" customHeight="1">
      <c r="A1323" s="59">
        <f t="shared" si="20"/>
        <v>19</v>
      </c>
      <c r="B1323" s="59" t="str">
        <f t="shared" si="21"/>
        <v/>
      </c>
      <c r="C1323" s="59" t="str">
        <f t="shared" si="22"/>
        <v/>
      </c>
      <c r="D1323" s="45" t="str">
        <f t="shared" si="23"/>
        <v/>
      </c>
      <c r="E1323" s="45" t="str">
        <f t="shared" si="24"/>
        <v/>
      </c>
      <c r="F1323" s="59" t="str">
        <f t="shared" si="25"/>
        <v/>
      </c>
      <c r="G1323" s="59" t="str">
        <f t="shared" si="26"/>
        <v/>
      </c>
      <c r="H1323" s="59" t="str">
        <f t="shared" si="27"/>
        <v>28C02106</v>
      </c>
      <c r="I1323" s="59" t="str">
        <f>IF(OR($A1323="",$C1323="",$D1323="",$E1323="",$H1323=""),"",SUMIFS(DATA_GOC!$H:$H,DATA_GOC!$A:$A,"BOM",DATA_GOC!$D:$D,$H1323,DATA_GOC!$E:$E,$C1323,DATA_GOC!$F:$F,"Xuất nội bộ từ téc",DATA_GOC!$B:$B,"&gt;="&amp;$D1323,DATA_GOC!$B:$B,"&lt;="&amp;$E1323))</f>
        <v/>
      </c>
      <c r="J1323" s="59">
        <f t="shared" si="28"/>
        <v>0</v>
      </c>
      <c r="K1323" s="59">
        <f t="shared" si="29"/>
        <v>0</v>
      </c>
      <c r="L1323" s="59">
        <f t="shared" si="30"/>
        <v>0</v>
      </c>
      <c r="M1323" s="59">
        <f t="shared" si="31"/>
        <v>0</v>
      </c>
    </row>
    <row r="1324" ht="15.0" hidden="1" customHeight="1">
      <c r="A1324" s="59">
        <f t="shared" si="20"/>
        <v>19</v>
      </c>
      <c r="B1324" s="59" t="str">
        <f t="shared" si="21"/>
        <v/>
      </c>
      <c r="C1324" s="59" t="str">
        <f t="shared" si="22"/>
        <v/>
      </c>
      <c r="D1324" s="45" t="str">
        <f t="shared" si="23"/>
        <v/>
      </c>
      <c r="E1324" s="45" t="str">
        <f t="shared" si="24"/>
        <v/>
      </c>
      <c r="F1324" s="59" t="str">
        <f t="shared" si="25"/>
        <v/>
      </c>
      <c r="G1324" s="59" t="str">
        <f t="shared" si="26"/>
        <v/>
      </c>
      <c r="H1324" s="59" t="str">
        <f t="shared" si="27"/>
        <v>28C02410</v>
      </c>
      <c r="I1324" s="59" t="str">
        <f>IF(OR($A1324="",$C1324="",$D1324="",$E1324="",$H1324=""),"",SUMIFS(DATA_GOC!$H:$H,DATA_GOC!$A:$A,"BOM",DATA_GOC!$D:$D,$H1324,DATA_GOC!$E:$E,$C1324,DATA_GOC!$F:$F,"Xuất nội bộ từ téc",DATA_GOC!$B:$B,"&gt;="&amp;$D1324,DATA_GOC!$B:$B,"&lt;="&amp;$E1324))</f>
        <v/>
      </c>
      <c r="J1324" s="59">
        <f t="shared" si="28"/>
        <v>0</v>
      </c>
      <c r="K1324" s="59">
        <f t="shared" si="29"/>
        <v>0</v>
      </c>
      <c r="L1324" s="59">
        <f t="shared" si="30"/>
        <v>0</v>
      </c>
      <c r="M1324" s="59">
        <f t="shared" si="31"/>
        <v>0</v>
      </c>
    </row>
    <row r="1325" ht="15.0" hidden="1" customHeight="1">
      <c r="A1325" s="59">
        <f t="shared" si="20"/>
        <v>19</v>
      </c>
      <c r="B1325" s="59" t="str">
        <f t="shared" si="21"/>
        <v/>
      </c>
      <c r="C1325" s="59" t="str">
        <f t="shared" si="22"/>
        <v/>
      </c>
      <c r="D1325" s="45" t="str">
        <f t="shared" si="23"/>
        <v/>
      </c>
      <c r="E1325" s="45" t="str">
        <f t="shared" si="24"/>
        <v/>
      </c>
      <c r="F1325" s="59" t="str">
        <f t="shared" si="25"/>
        <v/>
      </c>
      <c r="G1325" s="59" t="str">
        <f t="shared" si="26"/>
        <v/>
      </c>
      <c r="H1325" s="59" t="str">
        <f t="shared" si="27"/>
        <v>28C02545</v>
      </c>
      <c r="I1325" s="59" t="str">
        <f>IF(OR($A1325="",$C1325="",$D1325="",$E1325="",$H1325=""),"",SUMIFS(DATA_GOC!$H:$H,DATA_GOC!$A:$A,"BOM",DATA_GOC!$D:$D,$H1325,DATA_GOC!$E:$E,$C1325,DATA_GOC!$F:$F,"Xuất nội bộ từ téc",DATA_GOC!$B:$B,"&gt;="&amp;$D1325,DATA_GOC!$B:$B,"&lt;="&amp;$E1325))</f>
        <v/>
      </c>
      <c r="J1325" s="59">
        <f t="shared" si="28"/>
        <v>0</v>
      </c>
      <c r="K1325" s="59">
        <f t="shared" si="29"/>
        <v>0</v>
      </c>
      <c r="L1325" s="59">
        <f t="shared" si="30"/>
        <v>0</v>
      </c>
      <c r="M1325" s="59">
        <f t="shared" si="31"/>
        <v>0</v>
      </c>
    </row>
    <row r="1326" ht="15.0" hidden="1" customHeight="1">
      <c r="A1326" s="59">
        <f t="shared" si="20"/>
        <v>19</v>
      </c>
      <c r="B1326" s="59" t="str">
        <f t="shared" si="21"/>
        <v/>
      </c>
      <c r="C1326" s="59" t="str">
        <f t="shared" si="22"/>
        <v/>
      </c>
      <c r="D1326" s="45" t="str">
        <f t="shared" si="23"/>
        <v/>
      </c>
      <c r="E1326" s="45" t="str">
        <f t="shared" si="24"/>
        <v/>
      </c>
      <c r="F1326" s="59" t="str">
        <f t="shared" si="25"/>
        <v/>
      </c>
      <c r="G1326" s="59" t="str">
        <f t="shared" si="26"/>
        <v/>
      </c>
      <c r="H1326" s="59" t="str">
        <f t="shared" si="27"/>
        <v>28C02574</v>
      </c>
      <c r="I1326" s="59" t="str">
        <f>IF(OR($A1326="",$C1326="",$D1326="",$E1326="",$H1326=""),"",SUMIFS(DATA_GOC!$H:$H,DATA_GOC!$A:$A,"BOM",DATA_GOC!$D:$D,$H1326,DATA_GOC!$E:$E,$C1326,DATA_GOC!$F:$F,"Xuất nội bộ từ téc",DATA_GOC!$B:$B,"&gt;="&amp;$D1326,DATA_GOC!$B:$B,"&lt;="&amp;$E1326))</f>
        <v/>
      </c>
      <c r="J1326" s="59">
        <f t="shared" si="28"/>
        <v>0</v>
      </c>
      <c r="K1326" s="59">
        <f t="shared" si="29"/>
        <v>0</v>
      </c>
      <c r="L1326" s="59">
        <f t="shared" si="30"/>
        <v>0</v>
      </c>
      <c r="M1326" s="59">
        <f t="shared" si="31"/>
        <v>0</v>
      </c>
    </row>
    <row r="1327" ht="15.0" hidden="1" customHeight="1">
      <c r="A1327" s="59">
        <f t="shared" si="20"/>
        <v>19</v>
      </c>
      <c r="B1327" s="59" t="str">
        <f t="shared" si="21"/>
        <v/>
      </c>
      <c r="C1327" s="59" t="str">
        <f t="shared" si="22"/>
        <v/>
      </c>
      <c r="D1327" s="45" t="str">
        <f t="shared" si="23"/>
        <v/>
      </c>
      <c r="E1327" s="45" t="str">
        <f t="shared" si="24"/>
        <v/>
      </c>
      <c r="F1327" s="59" t="str">
        <f t="shared" si="25"/>
        <v/>
      </c>
      <c r="G1327" s="59" t="str">
        <f t="shared" si="26"/>
        <v/>
      </c>
      <c r="H1327" s="59" t="str">
        <f t="shared" si="27"/>
        <v>28C02770</v>
      </c>
      <c r="I1327" s="59" t="str">
        <f>IF(OR($A1327="",$C1327="",$D1327="",$E1327="",$H1327=""),"",SUMIFS(DATA_GOC!$H:$H,DATA_GOC!$A:$A,"BOM",DATA_GOC!$D:$D,$H1327,DATA_GOC!$E:$E,$C1327,DATA_GOC!$F:$F,"Xuất nội bộ từ téc",DATA_GOC!$B:$B,"&gt;="&amp;$D1327,DATA_GOC!$B:$B,"&lt;="&amp;$E1327))</f>
        <v/>
      </c>
      <c r="J1327" s="59">
        <f t="shared" si="28"/>
        <v>0</v>
      </c>
      <c r="K1327" s="59">
        <f t="shared" si="29"/>
        <v>0</v>
      </c>
      <c r="L1327" s="59">
        <f t="shared" si="30"/>
        <v>0</v>
      </c>
      <c r="M1327" s="59">
        <f t="shared" si="31"/>
        <v>0</v>
      </c>
    </row>
    <row r="1328" ht="15.0" hidden="1" customHeight="1">
      <c r="A1328" s="59">
        <f t="shared" si="20"/>
        <v>19</v>
      </c>
      <c r="B1328" s="59" t="str">
        <f t="shared" si="21"/>
        <v/>
      </c>
      <c r="C1328" s="59" t="str">
        <f t="shared" si="22"/>
        <v/>
      </c>
      <c r="D1328" s="45" t="str">
        <f t="shared" si="23"/>
        <v/>
      </c>
      <c r="E1328" s="45" t="str">
        <f t="shared" si="24"/>
        <v/>
      </c>
      <c r="F1328" s="59" t="str">
        <f t="shared" si="25"/>
        <v/>
      </c>
      <c r="G1328" s="59" t="str">
        <f t="shared" si="26"/>
        <v/>
      </c>
      <c r="H1328" s="59" t="str">
        <f t="shared" si="27"/>
        <v>28C02986</v>
      </c>
      <c r="I1328" s="59" t="str">
        <f>IF(OR($A1328="",$C1328="",$D1328="",$E1328="",$H1328=""),"",SUMIFS(DATA_GOC!$H:$H,DATA_GOC!$A:$A,"BOM",DATA_GOC!$D:$D,$H1328,DATA_GOC!$E:$E,$C1328,DATA_GOC!$F:$F,"Xuất nội bộ từ téc",DATA_GOC!$B:$B,"&gt;="&amp;$D1328,DATA_GOC!$B:$B,"&lt;="&amp;$E1328))</f>
        <v/>
      </c>
      <c r="J1328" s="59">
        <f t="shared" si="28"/>
        <v>0</v>
      </c>
      <c r="K1328" s="59">
        <f t="shared" si="29"/>
        <v>0</v>
      </c>
      <c r="L1328" s="59">
        <f t="shared" si="30"/>
        <v>0</v>
      </c>
      <c r="M1328" s="59">
        <f t="shared" si="31"/>
        <v>0</v>
      </c>
    </row>
    <row r="1329" ht="15.0" hidden="1" customHeight="1">
      <c r="A1329" s="59">
        <f t="shared" si="20"/>
        <v>19</v>
      </c>
      <c r="B1329" s="59" t="str">
        <f t="shared" si="21"/>
        <v/>
      </c>
      <c r="C1329" s="59" t="str">
        <f t="shared" si="22"/>
        <v/>
      </c>
      <c r="D1329" s="45" t="str">
        <f t="shared" si="23"/>
        <v/>
      </c>
      <c r="E1329" s="45" t="str">
        <f t="shared" si="24"/>
        <v/>
      </c>
      <c r="F1329" s="59" t="str">
        <f t="shared" si="25"/>
        <v/>
      </c>
      <c r="G1329" s="59" t="str">
        <f t="shared" si="26"/>
        <v/>
      </c>
      <c r="H1329" s="59" t="str">
        <f t="shared" si="27"/>
        <v>28C03261</v>
      </c>
      <c r="I1329" s="59" t="str">
        <f>IF(OR($A1329="",$C1329="",$D1329="",$E1329="",$H1329=""),"",SUMIFS(DATA_GOC!$H:$H,DATA_GOC!$A:$A,"BOM",DATA_GOC!$D:$D,$H1329,DATA_GOC!$E:$E,$C1329,DATA_GOC!$F:$F,"Xuất nội bộ từ téc",DATA_GOC!$B:$B,"&gt;="&amp;$D1329,DATA_GOC!$B:$B,"&lt;="&amp;$E1329))</f>
        <v/>
      </c>
      <c r="J1329" s="59">
        <f t="shared" si="28"/>
        <v>0</v>
      </c>
      <c r="K1329" s="59">
        <f t="shared" si="29"/>
        <v>0</v>
      </c>
      <c r="L1329" s="59">
        <f t="shared" si="30"/>
        <v>0</v>
      </c>
      <c r="M1329" s="59">
        <f t="shared" si="31"/>
        <v>0</v>
      </c>
    </row>
    <row r="1330" ht="15.0" hidden="1" customHeight="1">
      <c r="A1330" s="59">
        <f t="shared" si="20"/>
        <v>19</v>
      </c>
      <c r="B1330" s="59" t="str">
        <f t="shared" si="21"/>
        <v/>
      </c>
      <c r="C1330" s="59" t="str">
        <f t="shared" si="22"/>
        <v/>
      </c>
      <c r="D1330" s="45" t="str">
        <f t="shared" si="23"/>
        <v/>
      </c>
      <c r="E1330" s="45" t="str">
        <f t="shared" si="24"/>
        <v/>
      </c>
      <c r="F1330" s="59" t="str">
        <f t="shared" si="25"/>
        <v/>
      </c>
      <c r="G1330" s="59" t="str">
        <f t="shared" si="26"/>
        <v/>
      </c>
      <c r="H1330" s="59" t="str">
        <f t="shared" si="27"/>
        <v>28C03323</v>
      </c>
      <c r="I1330" s="59" t="str">
        <f>IF(OR($A1330="",$C1330="",$D1330="",$E1330="",$H1330=""),"",SUMIFS(DATA_GOC!$H:$H,DATA_GOC!$A:$A,"BOM",DATA_GOC!$D:$D,$H1330,DATA_GOC!$E:$E,$C1330,DATA_GOC!$F:$F,"Xuất nội bộ từ téc",DATA_GOC!$B:$B,"&gt;="&amp;$D1330,DATA_GOC!$B:$B,"&lt;="&amp;$E1330))</f>
        <v/>
      </c>
      <c r="J1330" s="59">
        <f t="shared" si="28"/>
        <v>0</v>
      </c>
      <c r="K1330" s="59">
        <f t="shared" si="29"/>
        <v>0</v>
      </c>
      <c r="L1330" s="59">
        <f t="shared" si="30"/>
        <v>0</v>
      </c>
      <c r="M1330" s="59">
        <f t="shared" si="31"/>
        <v>0</v>
      </c>
    </row>
    <row r="1331" ht="15.0" hidden="1" customHeight="1">
      <c r="A1331" s="59">
        <f t="shared" si="20"/>
        <v>19</v>
      </c>
      <c r="B1331" s="59" t="str">
        <f t="shared" si="21"/>
        <v/>
      </c>
      <c r="C1331" s="59" t="str">
        <f t="shared" si="22"/>
        <v/>
      </c>
      <c r="D1331" s="45" t="str">
        <f t="shared" si="23"/>
        <v/>
      </c>
      <c r="E1331" s="45" t="str">
        <f t="shared" si="24"/>
        <v/>
      </c>
      <c r="F1331" s="59" t="str">
        <f t="shared" si="25"/>
        <v/>
      </c>
      <c r="G1331" s="59" t="str">
        <f t="shared" si="26"/>
        <v/>
      </c>
      <c r="H1331" s="59" t="str">
        <f t="shared" si="27"/>
        <v>28C03385</v>
      </c>
      <c r="I1331" s="59" t="str">
        <f>IF(OR($A1331="",$C1331="",$D1331="",$E1331="",$H1331=""),"",SUMIFS(DATA_GOC!$H:$H,DATA_GOC!$A:$A,"BOM",DATA_GOC!$D:$D,$H1331,DATA_GOC!$E:$E,$C1331,DATA_GOC!$F:$F,"Xuất nội bộ từ téc",DATA_GOC!$B:$B,"&gt;="&amp;$D1331,DATA_GOC!$B:$B,"&lt;="&amp;$E1331))</f>
        <v/>
      </c>
      <c r="J1331" s="59">
        <f t="shared" si="28"/>
        <v>0</v>
      </c>
      <c r="K1331" s="59">
        <f t="shared" si="29"/>
        <v>0</v>
      </c>
      <c r="L1331" s="59">
        <f t="shared" si="30"/>
        <v>0</v>
      </c>
      <c r="M1331" s="59">
        <f t="shared" si="31"/>
        <v>0</v>
      </c>
    </row>
    <row r="1332" ht="15.0" hidden="1" customHeight="1">
      <c r="A1332" s="59">
        <f t="shared" si="20"/>
        <v>19</v>
      </c>
      <c r="B1332" s="59" t="str">
        <f t="shared" si="21"/>
        <v/>
      </c>
      <c r="C1332" s="59" t="str">
        <f t="shared" si="22"/>
        <v/>
      </c>
      <c r="D1332" s="45" t="str">
        <f t="shared" si="23"/>
        <v/>
      </c>
      <c r="E1332" s="45" t="str">
        <f t="shared" si="24"/>
        <v/>
      </c>
      <c r="F1332" s="59" t="str">
        <f t="shared" si="25"/>
        <v/>
      </c>
      <c r="G1332" s="59" t="str">
        <f t="shared" si="26"/>
        <v/>
      </c>
      <c r="H1332" s="59" t="str">
        <f t="shared" si="27"/>
        <v>28C03652</v>
      </c>
      <c r="I1332" s="59" t="str">
        <f>IF(OR($A1332="",$C1332="",$D1332="",$E1332="",$H1332=""),"",SUMIFS(DATA_GOC!$H:$H,DATA_GOC!$A:$A,"BOM",DATA_GOC!$D:$D,$H1332,DATA_GOC!$E:$E,$C1332,DATA_GOC!$F:$F,"Xuất nội bộ từ téc",DATA_GOC!$B:$B,"&gt;="&amp;$D1332,DATA_GOC!$B:$B,"&lt;="&amp;$E1332))</f>
        <v/>
      </c>
      <c r="J1332" s="59">
        <f t="shared" si="28"/>
        <v>0</v>
      </c>
      <c r="K1332" s="59">
        <f t="shared" si="29"/>
        <v>0</v>
      </c>
      <c r="L1332" s="59">
        <f t="shared" si="30"/>
        <v>0</v>
      </c>
      <c r="M1332" s="59">
        <f t="shared" si="31"/>
        <v>0</v>
      </c>
    </row>
    <row r="1333" ht="15.0" hidden="1" customHeight="1">
      <c r="A1333" s="59">
        <f t="shared" si="20"/>
        <v>19</v>
      </c>
      <c r="B1333" s="59" t="str">
        <f t="shared" si="21"/>
        <v/>
      </c>
      <c r="C1333" s="59" t="str">
        <f t="shared" si="22"/>
        <v/>
      </c>
      <c r="D1333" s="45" t="str">
        <f t="shared" si="23"/>
        <v/>
      </c>
      <c r="E1333" s="45" t="str">
        <f t="shared" si="24"/>
        <v/>
      </c>
      <c r="F1333" s="59" t="str">
        <f t="shared" si="25"/>
        <v/>
      </c>
      <c r="G1333" s="59" t="str">
        <f t="shared" si="26"/>
        <v/>
      </c>
      <c r="H1333" s="59" t="str">
        <f t="shared" si="27"/>
        <v>28C03695</v>
      </c>
      <c r="I1333" s="59" t="str">
        <f>IF(OR($A1333="",$C1333="",$D1333="",$E1333="",$H1333=""),"",SUMIFS(DATA_GOC!$H:$H,DATA_GOC!$A:$A,"BOM",DATA_GOC!$D:$D,$H1333,DATA_GOC!$E:$E,$C1333,DATA_GOC!$F:$F,"Xuất nội bộ từ téc",DATA_GOC!$B:$B,"&gt;="&amp;$D1333,DATA_GOC!$B:$B,"&lt;="&amp;$E1333))</f>
        <v/>
      </c>
      <c r="J1333" s="59">
        <f t="shared" si="28"/>
        <v>0</v>
      </c>
      <c r="K1333" s="59">
        <f t="shared" si="29"/>
        <v>0</v>
      </c>
      <c r="L1333" s="59">
        <f t="shared" si="30"/>
        <v>0</v>
      </c>
      <c r="M1333" s="59">
        <f t="shared" si="31"/>
        <v>0</v>
      </c>
    </row>
    <row r="1334" ht="15.0" hidden="1" customHeight="1">
      <c r="A1334" s="59">
        <f t="shared" si="20"/>
        <v>19</v>
      </c>
      <c r="B1334" s="59" t="str">
        <f t="shared" si="21"/>
        <v/>
      </c>
      <c r="C1334" s="59" t="str">
        <f t="shared" si="22"/>
        <v/>
      </c>
      <c r="D1334" s="45" t="str">
        <f t="shared" si="23"/>
        <v/>
      </c>
      <c r="E1334" s="45" t="str">
        <f t="shared" si="24"/>
        <v/>
      </c>
      <c r="F1334" s="59" t="str">
        <f t="shared" si="25"/>
        <v/>
      </c>
      <c r="G1334" s="59" t="str">
        <f t="shared" si="26"/>
        <v/>
      </c>
      <c r="H1334" s="59" t="str">
        <f t="shared" si="27"/>
        <v>28C03927</v>
      </c>
      <c r="I1334" s="59" t="str">
        <f>IF(OR($A1334="",$C1334="",$D1334="",$E1334="",$H1334=""),"",SUMIFS(DATA_GOC!$H:$H,DATA_GOC!$A:$A,"BOM",DATA_GOC!$D:$D,$H1334,DATA_GOC!$E:$E,$C1334,DATA_GOC!$F:$F,"Xuất nội bộ từ téc",DATA_GOC!$B:$B,"&gt;="&amp;$D1334,DATA_GOC!$B:$B,"&lt;="&amp;$E1334))</f>
        <v/>
      </c>
      <c r="J1334" s="59">
        <f t="shared" si="28"/>
        <v>0</v>
      </c>
      <c r="K1334" s="59">
        <f t="shared" si="29"/>
        <v>0</v>
      </c>
      <c r="L1334" s="59">
        <f t="shared" si="30"/>
        <v>0</v>
      </c>
      <c r="M1334" s="59">
        <f t="shared" si="31"/>
        <v>0</v>
      </c>
    </row>
    <row r="1335" ht="15.0" hidden="1" customHeight="1">
      <c r="A1335" s="59">
        <f t="shared" si="20"/>
        <v>19</v>
      </c>
      <c r="B1335" s="59" t="str">
        <f t="shared" si="21"/>
        <v/>
      </c>
      <c r="C1335" s="59" t="str">
        <f t="shared" si="22"/>
        <v/>
      </c>
      <c r="D1335" s="45" t="str">
        <f t="shared" si="23"/>
        <v/>
      </c>
      <c r="E1335" s="45" t="str">
        <f t="shared" si="24"/>
        <v/>
      </c>
      <c r="F1335" s="59" t="str">
        <f t="shared" si="25"/>
        <v/>
      </c>
      <c r="G1335" s="59" t="str">
        <f t="shared" si="26"/>
        <v/>
      </c>
      <c r="H1335" s="59" t="str">
        <f t="shared" si="27"/>
        <v>28C04509</v>
      </c>
      <c r="I1335" s="59" t="str">
        <f>IF(OR($A1335="",$C1335="",$D1335="",$E1335="",$H1335=""),"",SUMIFS(DATA_GOC!$H:$H,DATA_GOC!$A:$A,"BOM",DATA_GOC!$D:$D,$H1335,DATA_GOC!$E:$E,$C1335,DATA_GOC!$F:$F,"Xuất nội bộ từ téc",DATA_GOC!$B:$B,"&gt;="&amp;$D1335,DATA_GOC!$B:$B,"&lt;="&amp;$E1335))</f>
        <v/>
      </c>
      <c r="J1335" s="59">
        <f t="shared" si="28"/>
        <v>0</v>
      </c>
      <c r="K1335" s="59">
        <f t="shared" si="29"/>
        <v>0</v>
      </c>
      <c r="L1335" s="59">
        <f t="shared" si="30"/>
        <v>0</v>
      </c>
      <c r="M1335" s="59">
        <f t="shared" si="31"/>
        <v>0</v>
      </c>
    </row>
    <row r="1336" ht="15.0" hidden="1" customHeight="1">
      <c r="A1336" s="59">
        <f t="shared" si="20"/>
        <v>19</v>
      </c>
      <c r="B1336" s="59" t="str">
        <f t="shared" si="21"/>
        <v/>
      </c>
      <c r="C1336" s="59" t="str">
        <f t="shared" si="22"/>
        <v/>
      </c>
      <c r="D1336" s="45" t="str">
        <f t="shared" si="23"/>
        <v/>
      </c>
      <c r="E1336" s="45" t="str">
        <f t="shared" si="24"/>
        <v/>
      </c>
      <c r="F1336" s="59" t="str">
        <f t="shared" si="25"/>
        <v/>
      </c>
      <c r="G1336" s="59" t="str">
        <f t="shared" si="26"/>
        <v/>
      </c>
      <c r="H1336" s="59" t="str">
        <f t="shared" si="27"/>
        <v>28C04536</v>
      </c>
      <c r="I1336" s="59" t="str">
        <f>IF(OR($A1336="",$C1336="",$D1336="",$E1336="",$H1336=""),"",SUMIFS(DATA_GOC!$H:$H,DATA_GOC!$A:$A,"BOM",DATA_GOC!$D:$D,$H1336,DATA_GOC!$E:$E,$C1336,DATA_GOC!$F:$F,"Xuất nội bộ từ téc",DATA_GOC!$B:$B,"&gt;="&amp;$D1336,DATA_GOC!$B:$B,"&lt;="&amp;$E1336))</f>
        <v/>
      </c>
      <c r="J1336" s="59">
        <f t="shared" si="28"/>
        <v>0</v>
      </c>
      <c r="K1336" s="59">
        <f t="shared" si="29"/>
        <v>0</v>
      </c>
      <c r="L1336" s="59">
        <f t="shared" si="30"/>
        <v>0</v>
      </c>
      <c r="M1336" s="59">
        <f t="shared" si="31"/>
        <v>0</v>
      </c>
    </row>
    <row r="1337" ht="15.0" hidden="1" customHeight="1">
      <c r="A1337" s="59">
        <f t="shared" si="20"/>
        <v>19</v>
      </c>
      <c r="B1337" s="59" t="str">
        <f t="shared" si="21"/>
        <v/>
      </c>
      <c r="C1337" s="59" t="str">
        <f t="shared" si="22"/>
        <v/>
      </c>
      <c r="D1337" s="45" t="str">
        <f t="shared" si="23"/>
        <v/>
      </c>
      <c r="E1337" s="45" t="str">
        <f t="shared" si="24"/>
        <v/>
      </c>
      <c r="F1337" s="59" t="str">
        <f t="shared" si="25"/>
        <v/>
      </c>
      <c r="G1337" s="59" t="str">
        <f t="shared" si="26"/>
        <v/>
      </c>
      <c r="H1337" s="59" t="str">
        <f t="shared" si="27"/>
        <v>28C04576</v>
      </c>
      <c r="I1337" s="59" t="str">
        <f>IF(OR($A1337="",$C1337="",$D1337="",$E1337="",$H1337=""),"",SUMIFS(DATA_GOC!$H:$H,DATA_GOC!$A:$A,"BOM",DATA_GOC!$D:$D,$H1337,DATA_GOC!$E:$E,$C1337,DATA_GOC!$F:$F,"Xuất nội bộ từ téc",DATA_GOC!$B:$B,"&gt;="&amp;$D1337,DATA_GOC!$B:$B,"&lt;="&amp;$E1337))</f>
        <v/>
      </c>
      <c r="J1337" s="59">
        <f t="shared" si="28"/>
        <v>0</v>
      </c>
      <c r="K1337" s="59">
        <f t="shared" si="29"/>
        <v>0</v>
      </c>
      <c r="L1337" s="59">
        <f t="shared" si="30"/>
        <v>0</v>
      </c>
      <c r="M1337" s="59">
        <f t="shared" si="31"/>
        <v>0</v>
      </c>
    </row>
    <row r="1338" ht="15.0" hidden="1" customHeight="1">
      <c r="A1338" s="59">
        <f t="shared" si="20"/>
        <v>19</v>
      </c>
      <c r="B1338" s="59" t="str">
        <f t="shared" si="21"/>
        <v/>
      </c>
      <c r="C1338" s="59" t="str">
        <f t="shared" si="22"/>
        <v/>
      </c>
      <c r="D1338" s="45" t="str">
        <f t="shared" si="23"/>
        <v/>
      </c>
      <c r="E1338" s="45" t="str">
        <f t="shared" si="24"/>
        <v/>
      </c>
      <c r="F1338" s="59" t="str">
        <f t="shared" si="25"/>
        <v/>
      </c>
      <c r="G1338" s="59" t="str">
        <f t="shared" si="26"/>
        <v/>
      </c>
      <c r="H1338" s="59" t="str">
        <f t="shared" si="27"/>
        <v>28C05090</v>
      </c>
      <c r="I1338" s="59" t="str">
        <f>IF(OR($A1338="",$C1338="",$D1338="",$E1338="",$H1338=""),"",SUMIFS(DATA_GOC!$H:$H,DATA_GOC!$A:$A,"BOM",DATA_GOC!$D:$D,$H1338,DATA_GOC!$E:$E,$C1338,DATA_GOC!$F:$F,"Xuất nội bộ từ téc",DATA_GOC!$B:$B,"&gt;="&amp;$D1338,DATA_GOC!$B:$B,"&lt;="&amp;$E1338))</f>
        <v/>
      </c>
      <c r="J1338" s="59">
        <f t="shared" si="28"/>
        <v>0</v>
      </c>
      <c r="K1338" s="59">
        <f t="shared" si="29"/>
        <v>0</v>
      </c>
      <c r="L1338" s="59">
        <f t="shared" si="30"/>
        <v>0</v>
      </c>
      <c r="M1338" s="59">
        <f t="shared" si="31"/>
        <v>0</v>
      </c>
    </row>
    <row r="1339" ht="15.0" hidden="1" customHeight="1">
      <c r="A1339" s="59">
        <f t="shared" si="20"/>
        <v>19</v>
      </c>
      <c r="B1339" s="59" t="str">
        <f t="shared" si="21"/>
        <v/>
      </c>
      <c r="C1339" s="59" t="str">
        <f t="shared" si="22"/>
        <v/>
      </c>
      <c r="D1339" s="45" t="str">
        <f t="shared" si="23"/>
        <v/>
      </c>
      <c r="E1339" s="45" t="str">
        <f t="shared" si="24"/>
        <v/>
      </c>
      <c r="F1339" s="59" t="str">
        <f t="shared" si="25"/>
        <v/>
      </c>
      <c r="G1339" s="59" t="str">
        <f t="shared" si="26"/>
        <v/>
      </c>
      <c r="H1339" s="59" t="str">
        <f t="shared" si="27"/>
        <v>28C05345</v>
      </c>
      <c r="I1339" s="59" t="str">
        <f>IF(OR($A1339="",$C1339="",$D1339="",$E1339="",$H1339=""),"",SUMIFS(DATA_GOC!$H:$H,DATA_GOC!$A:$A,"BOM",DATA_GOC!$D:$D,$H1339,DATA_GOC!$E:$E,$C1339,DATA_GOC!$F:$F,"Xuất nội bộ từ téc",DATA_GOC!$B:$B,"&gt;="&amp;$D1339,DATA_GOC!$B:$B,"&lt;="&amp;$E1339))</f>
        <v/>
      </c>
      <c r="J1339" s="59">
        <f t="shared" si="28"/>
        <v>0</v>
      </c>
      <c r="K1339" s="59">
        <f t="shared" si="29"/>
        <v>0</v>
      </c>
      <c r="L1339" s="59">
        <f t="shared" si="30"/>
        <v>0</v>
      </c>
      <c r="M1339" s="59">
        <f t="shared" si="31"/>
        <v>0</v>
      </c>
    </row>
    <row r="1340" ht="15.0" hidden="1" customHeight="1">
      <c r="A1340" s="59">
        <f t="shared" si="20"/>
        <v>19</v>
      </c>
      <c r="B1340" s="59" t="str">
        <f t="shared" si="21"/>
        <v/>
      </c>
      <c r="C1340" s="59" t="str">
        <f t="shared" si="22"/>
        <v/>
      </c>
      <c r="D1340" s="45" t="str">
        <f t="shared" si="23"/>
        <v/>
      </c>
      <c r="E1340" s="45" t="str">
        <f t="shared" si="24"/>
        <v/>
      </c>
      <c r="F1340" s="59" t="str">
        <f t="shared" si="25"/>
        <v/>
      </c>
      <c r="G1340" s="59" t="str">
        <f t="shared" si="26"/>
        <v/>
      </c>
      <c r="H1340" s="59" t="str">
        <f t="shared" si="27"/>
        <v>28C05661</v>
      </c>
      <c r="I1340" s="59" t="str">
        <f>IF(OR($A1340="",$C1340="",$D1340="",$E1340="",$H1340=""),"",SUMIFS(DATA_GOC!$H:$H,DATA_GOC!$A:$A,"BOM",DATA_GOC!$D:$D,$H1340,DATA_GOC!$E:$E,$C1340,DATA_GOC!$F:$F,"Xuất nội bộ từ téc",DATA_GOC!$B:$B,"&gt;="&amp;$D1340,DATA_GOC!$B:$B,"&lt;="&amp;$E1340))</f>
        <v/>
      </c>
      <c r="J1340" s="59">
        <f t="shared" si="28"/>
        <v>0</v>
      </c>
      <c r="K1340" s="59">
        <f t="shared" si="29"/>
        <v>0</v>
      </c>
      <c r="L1340" s="59">
        <f t="shared" si="30"/>
        <v>0</v>
      </c>
      <c r="M1340" s="59">
        <f t="shared" si="31"/>
        <v>0</v>
      </c>
    </row>
    <row r="1341" ht="15.0" hidden="1" customHeight="1">
      <c r="A1341" s="59">
        <f t="shared" si="20"/>
        <v>19</v>
      </c>
      <c r="B1341" s="59" t="str">
        <f t="shared" si="21"/>
        <v/>
      </c>
      <c r="C1341" s="59" t="str">
        <f t="shared" si="22"/>
        <v/>
      </c>
      <c r="D1341" s="45" t="str">
        <f t="shared" si="23"/>
        <v/>
      </c>
      <c r="E1341" s="45" t="str">
        <f t="shared" si="24"/>
        <v/>
      </c>
      <c r="F1341" s="59" t="str">
        <f t="shared" si="25"/>
        <v/>
      </c>
      <c r="G1341" s="59" t="str">
        <f t="shared" si="26"/>
        <v/>
      </c>
      <c r="H1341" s="59" t="str">
        <f t="shared" si="27"/>
        <v>28C05739</v>
      </c>
      <c r="I1341" s="59" t="str">
        <f>IF(OR($A1341="",$C1341="",$D1341="",$E1341="",$H1341=""),"",SUMIFS(DATA_GOC!$H:$H,DATA_GOC!$A:$A,"BOM",DATA_GOC!$D:$D,$H1341,DATA_GOC!$E:$E,$C1341,DATA_GOC!$F:$F,"Xuất nội bộ từ téc",DATA_GOC!$B:$B,"&gt;="&amp;$D1341,DATA_GOC!$B:$B,"&lt;="&amp;$E1341))</f>
        <v/>
      </c>
      <c r="J1341" s="59">
        <f t="shared" si="28"/>
        <v>0</v>
      </c>
      <c r="K1341" s="59">
        <f t="shared" si="29"/>
        <v>0</v>
      </c>
      <c r="L1341" s="59">
        <f t="shared" si="30"/>
        <v>0</v>
      </c>
      <c r="M1341" s="59">
        <f t="shared" si="31"/>
        <v>0</v>
      </c>
    </row>
    <row r="1342" ht="15.0" hidden="1" customHeight="1">
      <c r="A1342" s="59">
        <f t="shared" si="20"/>
        <v>19</v>
      </c>
      <c r="B1342" s="59" t="str">
        <f t="shared" si="21"/>
        <v/>
      </c>
      <c r="C1342" s="59" t="str">
        <f t="shared" si="22"/>
        <v/>
      </c>
      <c r="D1342" s="45" t="str">
        <f t="shared" si="23"/>
        <v/>
      </c>
      <c r="E1342" s="45" t="str">
        <f t="shared" si="24"/>
        <v/>
      </c>
      <c r="F1342" s="59" t="str">
        <f t="shared" si="25"/>
        <v/>
      </c>
      <c r="G1342" s="59" t="str">
        <f t="shared" si="26"/>
        <v/>
      </c>
      <c r="H1342" s="59" t="str">
        <f t="shared" si="27"/>
        <v>28C06369</v>
      </c>
      <c r="I1342" s="59" t="str">
        <f>IF(OR($A1342="",$C1342="",$D1342="",$E1342="",$H1342=""),"",SUMIFS(DATA_GOC!$H:$H,DATA_GOC!$A:$A,"BOM",DATA_GOC!$D:$D,$H1342,DATA_GOC!$E:$E,$C1342,DATA_GOC!$F:$F,"Xuất nội bộ từ téc",DATA_GOC!$B:$B,"&gt;="&amp;$D1342,DATA_GOC!$B:$B,"&lt;="&amp;$E1342))</f>
        <v/>
      </c>
      <c r="J1342" s="59">
        <f t="shared" si="28"/>
        <v>0</v>
      </c>
      <c r="K1342" s="59">
        <f t="shared" si="29"/>
        <v>0</v>
      </c>
      <c r="L1342" s="59">
        <f t="shared" si="30"/>
        <v>0</v>
      </c>
      <c r="M1342" s="59">
        <f t="shared" si="31"/>
        <v>0</v>
      </c>
    </row>
    <row r="1343" ht="15.0" hidden="1" customHeight="1">
      <c r="A1343" s="59">
        <f t="shared" si="20"/>
        <v>19</v>
      </c>
      <c r="B1343" s="59" t="str">
        <f t="shared" si="21"/>
        <v/>
      </c>
      <c r="C1343" s="59" t="str">
        <f t="shared" si="22"/>
        <v/>
      </c>
      <c r="D1343" s="45" t="str">
        <f t="shared" si="23"/>
        <v/>
      </c>
      <c r="E1343" s="45" t="str">
        <f t="shared" si="24"/>
        <v/>
      </c>
      <c r="F1343" s="59" t="str">
        <f t="shared" si="25"/>
        <v/>
      </c>
      <c r="G1343" s="59" t="str">
        <f t="shared" si="26"/>
        <v/>
      </c>
      <c r="H1343" s="59" t="str">
        <f t="shared" si="27"/>
        <v>28C06447</v>
      </c>
      <c r="I1343" s="59" t="str">
        <f>IF(OR($A1343="",$C1343="",$D1343="",$E1343="",$H1343=""),"",SUMIFS(DATA_GOC!$H:$H,DATA_GOC!$A:$A,"BOM",DATA_GOC!$D:$D,$H1343,DATA_GOC!$E:$E,$C1343,DATA_GOC!$F:$F,"Xuất nội bộ từ téc",DATA_GOC!$B:$B,"&gt;="&amp;$D1343,DATA_GOC!$B:$B,"&lt;="&amp;$E1343))</f>
        <v/>
      </c>
      <c r="J1343" s="59">
        <f t="shared" si="28"/>
        <v>0</v>
      </c>
      <c r="K1343" s="59">
        <f t="shared" si="29"/>
        <v>0</v>
      </c>
      <c r="L1343" s="59">
        <f t="shared" si="30"/>
        <v>0</v>
      </c>
      <c r="M1343" s="59">
        <f t="shared" si="31"/>
        <v>0</v>
      </c>
    </row>
    <row r="1344" ht="15.0" hidden="1" customHeight="1">
      <c r="A1344" s="59">
        <f t="shared" si="20"/>
        <v>19</v>
      </c>
      <c r="B1344" s="59" t="str">
        <f t="shared" si="21"/>
        <v/>
      </c>
      <c r="C1344" s="59" t="str">
        <f t="shared" si="22"/>
        <v/>
      </c>
      <c r="D1344" s="45" t="str">
        <f t="shared" si="23"/>
        <v/>
      </c>
      <c r="E1344" s="45" t="str">
        <f t="shared" si="24"/>
        <v/>
      </c>
      <c r="F1344" s="59" t="str">
        <f t="shared" si="25"/>
        <v/>
      </c>
      <c r="G1344" s="59" t="str">
        <f t="shared" si="26"/>
        <v/>
      </c>
      <c r="H1344" s="59" t="str">
        <f t="shared" si="27"/>
        <v>28H00003</v>
      </c>
      <c r="I1344" s="59" t="str">
        <f>IF(OR($A1344="",$C1344="",$D1344="",$E1344="",$H1344=""),"",SUMIFS(DATA_GOC!$H:$H,DATA_GOC!$A:$A,"BOM",DATA_GOC!$D:$D,$H1344,DATA_GOC!$E:$E,$C1344,DATA_GOC!$F:$F,"Xuất nội bộ từ téc",DATA_GOC!$B:$B,"&gt;="&amp;$D1344,DATA_GOC!$B:$B,"&lt;="&amp;$E1344))</f>
        <v/>
      </c>
      <c r="J1344" s="59">
        <f t="shared" si="28"/>
        <v>0</v>
      </c>
      <c r="K1344" s="59">
        <f t="shared" si="29"/>
        <v>0</v>
      </c>
      <c r="L1344" s="59">
        <f t="shared" si="30"/>
        <v>0</v>
      </c>
      <c r="M1344" s="59">
        <f t="shared" si="31"/>
        <v>0</v>
      </c>
    </row>
    <row r="1345" ht="15.0" hidden="1" customHeight="1">
      <c r="A1345" s="59">
        <f t="shared" si="20"/>
        <v>19</v>
      </c>
      <c r="B1345" s="59" t="str">
        <f t="shared" si="21"/>
        <v/>
      </c>
      <c r="C1345" s="59" t="str">
        <f t="shared" si="22"/>
        <v/>
      </c>
      <c r="D1345" s="45" t="str">
        <f t="shared" si="23"/>
        <v/>
      </c>
      <c r="E1345" s="45" t="str">
        <f t="shared" si="24"/>
        <v/>
      </c>
      <c r="F1345" s="59" t="str">
        <f t="shared" si="25"/>
        <v/>
      </c>
      <c r="G1345" s="59" t="str">
        <f t="shared" si="26"/>
        <v/>
      </c>
      <c r="H1345" s="59" t="str">
        <f t="shared" si="27"/>
        <v>28H00061</v>
      </c>
      <c r="I1345" s="59" t="str">
        <f>IF(OR($A1345="",$C1345="",$D1345="",$E1345="",$H1345=""),"",SUMIFS(DATA_GOC!$H:$H,DATA_GOC!$A:$A,"BOM",DATA_GOC!$D:$D,$H1345,DATA_GOC!$E:$E,$C1345,DATA_GOC!$F:$F,"Xuất nội bộ từ téc",DATA_GOC!$B:$B,"&gt;="&amp;$D1345,DATA_GOC!$B:$B,"&lt;="&amp;$E1345))</f>
        <v/>
      </c>
      <c r="J1345" s="59">
        <f t="shared" si="28"/>
        <v>0</v>
      </c>
      <c r="K1345" s="59">
        <f t="shared" si="29"/>
        <v>0</v>
      </c>
      <c r="L1345" s="59">
        <f t="shared" si="30"/>
        <v>0</v>
      </c>
      <c r="M1345" s="59">
        <f t="shared" si="31"/>
        <v>0</v>
      </c>
    </row>
    <row r="1346" ht="15.0" hidden="1" customHeight="1">
      <c r="A1346" s="59">
        <f t="shared" si="20"/>
        <v>19</v>
      </c>
      <c r="B1346" s="59" t="str">
        <f t="shared" si="21"/>
        <v/>
      </c>
      <c r="C1346" s="59" t="str">
        <f t="shared" si="22"/>
        <v/>
      </c>
      <c r="D1346" s="45" t="str">
        <f t="shared" si="23"/>
        <v/>
      </c>
      <c r="E1346" s="45" t="str">
        <f t="shared" si="24"/>
        <v/>
      </c>
      <c r="F1346" s="59" t="str">
        <f t="shared" si="25"/>
        <v/>
      </c>
      <c r="G1346" s="59" t="str">
        <f t="shared" si="26"/>
        <v/>
      </c>
      <c r="H1346" s="59" t="str">
        <f t="shared" si="27"/>
        <v>28H00354</v>
      </c>
      <c r="I1346" s="59" t="str">
        <f>IF(OR($A1346="",$C1346="",$D1346="",$E1346="",$H1346=""),"",SUMIFS(DATA_GOC!$H:$H,DATA_GOC!$A:$A,"BOM",DATA_GOC!$D:$D,$H1346,DATA_GOC!$E:$E,$C1346,DATA_GOC!$F:$F,"Xuất nội bộ từ téc",DATA_GOC!$B:$B,"&gt;="&amp;$D1346,DATA_GOC!$B:$B,"&lt;="&amp;$E1346))</f>
        <v/>
      </c>
      <c r="J1346" s="59">
        <f t="shared" si="28"/>
        <v>0</v>
      </c>
      <c r="K1346" s="59">
        <f t="shared" si="29"/>
        <v>0</v>
      </c>
      <c r="L1346" s="59">
        <f t="shared" si="30"/>
        <v>0</v>
      </c>
      <c r="M1346" s="59">
        <f t="shared" si="31"/>
        <v>0</v>
      </c>
    </row>
    <row r="1347" ht="15.0" hidden="1" customHeight="1">
      <c r="A1347" s="59">
        <f t="shared" si="20"/>
        <v>19</v>
      </c>
      <c r="B1347" s="59" t="str">
        <f t="shared" si="21"/>
        <v/>
      </c>
      <c r="C1347" s="59" t="str">
        <f t="shared" si="22"/>
        <v/>
      </c>
      <c r="D1347" s="45" t="str">
        <f t="shared" si="23"/>
        <v/>
      </c>
      <c r="E1347" s="45" t="str">
        <f t="shared" si="24"/>
        <v/>
      </c>
      <c r="F1347" s="59" t="str">
        <f t="shared" si="25"/>
        <v/>
      </c>
      <c r="G1347" s="59" t="str">
        <f t="shared" si="26"/>
        <v/>
      </c>
      <c r="H1347" s="59" t="str">
        <f t="shared" si="27"/>
        <v>28H00603</v>
      </c>
      <c r="I1347" s="59" t="str">
        <f>IF(OR($A1347="",$C1347="",$D1347="",$E1347="",$H1347=""),"",SUMIFS(DATA_GOC!$H:$H,DATA_GOC!$A:$A,"BOM",DATA_GOC!$D:$D,$H1347,DATA_GOC!$E:$E,$C1347,DATA_GOC!$F:$F,"Xuất nội bộ từ téc",DATA_GOC!$B:$B,"&gt;="&amp;$D1347,DATA_GOC!$B:$B,"&lt;="&amp;$E1347))</f>
        <v/>
      </c>
      <c r="J1347" s="59">
        <f t="shared" si="28"/>
        <v>0</v>
      </c>
      <c r="K1347" s="59">
        <f t="shared" si="29"/>
        <v>0</v>
      </c>
      <c r="L1347" s="59">
        <f t="shared" si="30"/>
        <v>0</v>
      </c>
      <c r="M1347" s="59">
        <f t="shared" si="31"/>
        <v>0</v>
      </c>
    </row>
    <row r="1348" ht="15.0" hidden="1" customHeight="1">
      <c r="A1348" s="59">
        <f t="shared" si="20"/>
        <v>19</v>
      </c>
      <c r="B1348" s="59" t="str">
        <f t="shared" si="21"/>
        <v/>
      </c>
      <c r="C1348" s="59" t="str">
        <f t="shared" si="22"/>
        <v/>
      </c>
      <c r="D1348" s="45" t="str">
        <f t="shared" si="23"/>
        <v/>
      </c>
      <c r="E1348" s="45" t="str">
        <f t="shared" si="24"/>
        <v/>
      </c>
      <c r="F1348" s="59" t="str">
        <f t="shared" si="25"/>
        <v/>
      </c>
      <c r="G1348" s="59" t="str">
        <f t="shared" si="26"/>
        <v/>
      </c>
      <c r="H1348" s="59" t="str">
        <f t="shared" si="27"/>
        <v>28H00609</v>
      </c>
      <c r="I1348" s="59" t="str">
        <f>IF(OR($A1348="",$C1348="",$D1348="",$E1348="",$H1348=""),"",SUMIFS(DATA_GOC!$H:$H,DATA_GOC!$A:$A,"BOM",DATA_GOC!$D:$D,$H1348,DATA_GOC!$E:$E,$C1348,DATA_GOC!$F:$F,"Xuất nội bộ từ téc",DATA_GOC!$B:$B,"&gt;="&amp;$D1348,DATA_GOC!$B:$B,"&lt;="&amp;$E1348))</f>
        <v/>
      </c>
      <c r="J1348" s="59">
        <f t="shared" si="28"/>
        <v>0</v>
      </c>
      <c r="K1348" s="59">
        <f t="shared" si="29"/>
        <v>0</v>
      </c>
      <c r="L1348" s="59">
        <f t="shared" si="30"/>
        <v>0</v>
      </c>
      <c r="M1348" s="59">
        <f t="shared" si="31"/>
        <v>0</v>
      </c>
    </row>
    <row r="1349" ht="15.0" hidden="1" customHeight="1">
      <c r="A1349" s="59">
        <f t="shared" si="20"/>
        <v>19</v>
      </c>
      <c r="B1349" s="59" t="str">
        <f t="shared" si="21"/>
        <v/>
      </c>
      <c r="C1349" s="59" t="str">
        <f t="shared" si="22"/>
        <v/>
      </c>
      <c r="D1349" s="45" t="str">
        <f t="shared" si="23"/>
        <v/>
      </c>
      <c r="E1349" s="45" t="str">
        <f t="shared" si="24"/>
        <v/>
      </c>
      <c r="F1349" s="59" t="str">
        <f t="shared" si="25"/>
        <v/>
      </c>
      <c r="G1349" s="59" t="str">
        <f t="shared" si="26"/>
        <v/>
      </c>
      <c r="H1349" s="59" t="str">
        <f t="shared" si="27"/>
        <v>28H00669</v>
      </c>
      <c r="I1349" s="59" t="str">
        <f>IF(OR($A1349="",$C1349="",$D1349="",$E1349="",$H1349=""),"",SUMIFS(DATA_GOC!$H:$H,DATA_GOC!$A:$A,"BOM",DATA_GOC!$D:$D,$H1349,DATA_GOC!$E:$E,$C1349,DATA_GOC!$F:$F,"Xuất nội bộ từ téc",DATA_GOC!$B:$B,"&gt;="&amp;$D1349,DATA_GOC!$B:$B,"&lt;="&amp;$E1349))</f>
        <v/>
      </c>
      <c r="J1349" s="59">
        <f t="shared" si="28"/>
        <v>0</v>
      </c>
      <c r="K1349" s="59">
        <f t="shared" si="29"/>
        <v>0</v>
      </c>
      <c r="L1349" s="59">
        <f t="shared" si="30"/>
        <v>0</v>
      </c>
      <c r="M1349" s="59">
        <f t="shared" si="31"/>
        <v>0</v>
      </c>
    </row>
    <row r="1350" ht="15.0" hidden="1" customHeight="1">
      <c r="A1350" s="59">
        <f t="shared" si="20"/>
        <v>19</v>
      </c>
      <c r="B1350" s="59" t="str">
        <f t="shared" si="21"/>
        <v/>
      </c>
      <c r="C1350" s="59" t="str">
        <f t="shared" si="22"/>
        <v/>
      </c>
      <c r="D1350" s="45" t="str">
        <f t="shared" si="23"/>
        <v/>
      </c>
      <c r="E1350" s="45" t="str">
        <f t="shared" si="24"/>
        <v/>
      </c>
      <c r="F1350" s="59" t="str">
        <f t="shared" si="25"/>
        <v/>
      </c>
      <c r="G1350" s="59" t="str">
        <f t="shared" si="26"/>
        <v/>
      </c>
      <c r="H1350" s="59" t="str">
        <f t="shared" si="27"/>
        <v>28H00680</v>
      </c>
      <c r="I1350" s="59" t="str">
        <f>IF(OR($A1350="",$C1350="",$D1350="",$E1350="",$H1350=""),"",SUMIFS(DATA_GOC!$H:$H,DATA_GOC!$A:$A,"BOM",DATA_GOC!$D:$D,$H1350,DATA_GOC!$E:$E,$C1350,DATA_GOC!$F:$F,"Xuất nội bộ từ téc",DATA_GOC!$B:$B,"&gt;="&amp;$D1350,DATA_GOC!$B:$B,"&lt;="&amp;$E1350))</f>
        <v/>
      </c>
      <c r="J1350" s="59">
        <f t="shared" si="28"/>
        <v>0</v>
      </c>
      <c r="K1350" s="59">
        <f t="shared" si="29"/>
        <v>0</v>
      </c>
      <c r="L1350" s="59">
        <f t="shared" si="30"/>
        <v>0</v>
      </c>
      <c r="M1350" s="59">
        <f t="shared" si="31"/>
        <v>0</v>
      </c>
    </row>
    <row r="1351" ht="15.0" hidden="1" customHeight="1">
      <c r="A1351" s="59">
        <f t="shared" si="20"/>
        <v>19</v>
      </c>
      <c r="B1351" s="59" t="str">
        <f t="shared" si="21"/>
        <v/>
      </c>
      <c r="C1351" s="59" t="str">
        <f t="shared" si="22"/>
        <v/>
      </c>
      <c r="D1351" s="45" t="str">
        <f t="shared" si="23"/>
        <v/>
      </c>
      <c r="E1351" s="45" t="str">
        <f t="shared" si="24"/>
        <v/>
      </c>
      <c r="F1351" s="59" t="str">
        <f t="shared" si="25"/>
        <v/>
      </c>
      <c r="G1351" s="59" t="str">
        <f t="shared" si="26"/>
        <v/>
      </c>
      <c r="H1351" s="59" t="str">
        <f t="shared" si="27"/>
        <v>28H01070</v>
      </c>
      <c r="I1351" s="59" t="str">
        <f>IF(OR($A1351="",$C1351="",$D1351="",$E1351="",$H1351=""),"",SUMIFS(DATA_GOC!$H:$H,DATA_GOC!$A:$A,"BOM",DATA_GOC!$D:$D,$H1351,DATA_GOC!$E:$E,$C1351,DATA_GOC!$F:$F,"Xuất nội bộ từ téc",DATA_GOC!$B:$B,"&gt;="&amp;$D1351,DATA_GOC!$B:$B,"&lt;="&amp;$E1351))</f>
        <v/>
      </c>
      <c r="J1351" s="59">
        <f t="shared" si="28"/>
        <v>0</v>
      </c>
      <c r="K1351" s="59">
        <f t="shared" si="29"/>
        <v>0</v>
      </c>
      <c r="L1351" s="59">
        <f t="shared" si="30"/>
        <v>0</v>
      </c>
      <c r="M1351" s="59">
        <f t="shared" si="31"/>
        <v>0</v>
      </c>
    </row>
    <row r="1352" ht="15.0" hidden="1" customHeight="1">
      <c r="A1352" s="59">
        <f t="shared" si="20"/>
        <v>19</v>
      </c>
      <c r="B1352" s="59" t="str">
        <f t="shared" si="21"/>
        <v/>
      </c>
      <c r="C1352" s="59" t="str">
        <f t="shared" si="22"/>
        <v/>
      </c>
      <c r="D1352" s="45" t="str">
        <f t="shared" si="23"/>
        <v/>
      </c>
      <c r="E1352" s="45" t="str">
        <f t="shared" si="24"/>
        <v/>
      </c>
      <c r="F1352" s="59" t="str">
        <f t="shared" si="25"/>
        <v/>
      </c>
      <c r="G1352" s="59" t="str">
        <f t="shared" si="26"/>
        <v/>
      </c>
      <c r="H1352" s="59" t="str">
        <f t="shared" si="27"/>
        <v>28H01364</v>
      </c>
      <c r="I1352" s="59" t="str">
        <f>IF(OR($A1352="",$C1352="",$D1352="",$E1352="",$H1352=""),"",SUMIFS(DATA_GOC!$H:$H,DATA_GOC!$A:$A,"BOM",DATA_GOC!$D:$D,$H1352,DATA_GOC!$E:$E,$C1352,DATA_GOC!$F:$F,"Xuất nội bộ từ téc",DATA_GOC!$B:$B,"&gt;="&amp;$D1352,DATA_GOC!$B:$B,"&lt;="&amp;$E1352))</f>
        <v/>
      </c>
      <c r="J1352" s="59">
        <f t="shared" si="28"/>
        <v>0</v>
      </c>
      <c r="K1352" s="59">
        <f t="shared" si="29"/>
        <v>0</v>
      </c>
      <c r="L1352" s="59">
        <f t="shared" si="30"/>
        <v>0</v>
      </c>
      <c r="M1352" s="59">
        <f t="shared" si="31"/>
        <v>0</v>
      </c>
    </row>
    <row r="1353" ht="15.0" hidden="1" customHeight="1">
      <c r="A1353" s="59">
        <f t="shared" si="20"/>
        <v>19</v>
      </c>
      <c r="B1353" s="59" t="str">
        <f t="shared" si="21"/>
        <v/>
      </c>
      <c r="C1353" s="59" t="str">
        <f t="shared" si="22"/>
        <v/>
      </c>
      <c r="D1353" s="45" t="str">
        <f t="shared" si="23"/>
        <v/>
      </c>
      <c r="E1353" s="45" t="str">
        <f t="shared" si="24"/>
        <v/>
      </c>
      <c r="F1353" s="59" t="str">
        <f t="shared" si="25"/>
        <v/>
      </c>
      <c r="G1353" s="59" t="str">
        <f t="shared" si="26"/>
        <v/>
      </c>
      <c r="H1353" s="59" t="str">
        <f t="shared" si="27"/>
        <v>29E17269</v>
      </c>
      <c r="I1353" s="59" t="str">
        <f>IF(OR($A1353="",$C1353="",$D1353="",$E1353="",$H1353=""),"",SUMIFS(DATA_GOC!$H:$H,DATA_GOC!$A:$A,"BOM",DATA_GOC!$D:$D,$H1353,DATA_GOC!$E:$E,$C1353,DATA_GOC!$F:$F,"Xuất nội bộ từ téc",DATA_GOC!$B:$B,"&gt;="&amp;$D1353,DATA_GOC!$B:$B,"&lt;="&amp;$E1353))</f>
        <v/>
      </c>
      <c r="J1353" s="59">
        <f t="shared" si="28"/>
        <v>0</v>
      </c>
      <c r="K1353" s="59">
        <f t="shared" si="29"/>
        <v>0</v>
      </c>
      <c r="L1353" s="59">
        <f t="shared" si="30"/>
        <v>0</v>
      </c>
      <c r="M1353" s="59">
        <f t="shared" si="31"/>
        <v>0</v>
      </c>
    </row>
    <row r="1354" ht="15.0" hidden="1" customHeight="1">
      <c r="A1354" s="59">
        <f t="shared" si="20"/>
        <v>19</v>
      </c>
      <c r="B1354" s="59" t="str">
        <f t="shared" si="21"/>
        <v/>
      </c>
      <c r="C1354" s="59" t="str">
        <f t="shared" si="22"/>
        <v/>
      </c>
      <c r="D1354" s="45" t="str">
        <f t="shared" si="23"/>
        <v/>
      </c>
      <c r="E1354" s="45" t="str">
        <f t="shared" si="24"/>
        <v/>
      </c>
      <c r="F1354" s="59" t="str">
        <f t="shared" si="25"/>
        <v/>
      </c>
      <c r="G1354" s="59" t="str">
        <f t="shared" si="26"/>
        <v/>
      </c>
      <c r="H1354" s="59" t="str">
        <f t="shared" si="27"/>
        <v>29E17273</v>
      </c>
      <c r="I1354" s="59" t="str">
        <f>IF(OR($A1354="",$C1354="",$D1354="",$E1354="",$H1354=""),"",SUMIFS(DATA_GOC!$H:$H,DATA_GOC!$A:$A,"BOM",DATA_GOC!$D:$D,$H1354,DATA_GOC!$E:$E,$C1354,DATA_GOC!$F:$F,"Xuất nội bộ từ téc",DATA_GOC!$B:$B,"&gt;="&amp;$D1354,DATA_GOC!$B:$B,"&lt;="&amp;$E1354))</f>
        <v/>
      </c>
      <c r="J1354" s="59">
        <f t="shared" si="28"/>
        <v>0</v>
      </c>
      <c r="K1354" s="59">
        <f t="shared" si="29"/>
        <v>0</v>
      </c>
      <c r="L1354" s="59">
        <f t="shared" si="30"/>
        <v>0</v>
      </c>
      <c r="M1354" s="59">
        <f t="shared" si="31"/>
        <v>0</v>
      </c>
    </row>
    <row r="1355" ht="15.0" hidden="1" customHeight="1">
      <c r="A1355" s="59">
        <f t="shared" si="20"/>
        <v>19</v>
      </c>
      <c r="B1355" s="59" t="str">
        <f t="shared" si="21"/>
        <v/>
      </c>
      <c r="C1355" s="59" t="str">
        <f t="shared" si="22"/>
        <v/>
      </c>
      <c r="D1355" s="45" t="str">
        <f t="shared" si="23"/>
        <v/>
      </c>
      <c r="E1355" s="45" t="str">
        <f t="shared" si="24"/>
        <v/>
      </c>
      <c r="F1355" s="59" t="str">
        <f t="shared" si="25"/>
        <v/>
      </c>
      <c r="G1355" s="59" t="str">
        <f t="shared" si="26"/>
        <v/>
      </c>
      <c r="H1355" s="59" t="str">
        <f t="shared" si="27"/>
        <v>29E17410</v>
      </c>
      <c r="I1355" s="59" t="str">
        <f>IF(OR($A1355="",$C1355="",$D1355="",$E1355="",$H1355=""),"",SUMIFS(DATA_GOC!$H:$H,DATA_GOC!$A:$A,"BOM",DATA_GOC!$D:$D,$H1355,DATA_GOC!$E:$E,$C1355,DATA_GOC!$F:$F,"Xuất nội bộ từ téc",DATA_GOC!$B:$B,"&gt;="&amp;$D1355,DATA_GOC!$B:$B,"&lt;="&amp;$E1355))</f>
        <v/>
      </c>
      <c r="J1355" s="59">
        <f t="shared" si="28"/>
        <v>0</v>
      </c>
      <c r="K1355" s="59">
        <f t="shared" si="29"/>
        <v>0</v>
      </c>
      <c r="L1355" s="59">
        <f t="shared" si="30"/>
        <v>0</v>
      </c>
      <c r="M1355" s="59">
        <f t="shared" si="31"/>
        <v>0</v>
      </c>
    </row>
    <row r="1356" ht="15.0" hidden="1" customHeight="1">
      <c r="A1356" s="59">
        <f t="shared" si="20"/>
        <v>19</v>
      </c>
      <c r="B1356" s="59" t="str">
        <f t="shared" si="21"/>
        <v/>
      </c>
      <c r="C1356" s="59" t="str">
        <f t="shared" si="22"/>
        <v/>
      </c>
      <c r="D1356" s="45" t="str">
        <f t="shared" si="23"/>
        <v/>
      </c>
      <c r="E1356" s="45" t="str">
        <f t="shared" si="24"/>
        <v/>
      </c>
      <c r="F1356" s="59" t="str">
        <f t="shared" si="25"/>
        <v/>
      </c>
      <c r="G1356" s="59" t="str">
        <f t="shared" si="26"/>
        <v/>
      </c>
      <c r="H1356" s="59" t="str">
        <f t="shared" si="27"/>
        <v>29E17417</v>
      </c>
      <c r="I1356" s="59" t="str">
        <f>IF(OR($A1356="",$C1356="",$D1356="",$E1356="",$H1356=""),"",SUMIFS(DATA_GOC!$H:$H,DATA_GOC!$A:$A,"BOM",DATA_GOC!$D:$D,$H1356,DATA_GOC!$E:$E,$C1356,DATA_GOC!$F:$F,"Xuất nội bộ từ téc",DATA_GOC!$B:$B,"&gt;="&amp;$D1356,DATA_GOC!$B:$B,"&lt;="&amp;$E1356))</f>
        <v/>
      </c>
      <c r="J1356" s="59">
        <f t="shared" si="28"/>
        <v>0</v>
      </c>
      <c r="K1356" s="59">
        <f t="shared" si="29"/>
        <v>0</v>
      </c>
      <c r="L1356" s="59">
        <f t="shared" si="30"/>
        <v>0</v>
      </c>
      <c r="M1356" s="59">
        <f t="shared" si="31"/>
        <v>0</v>
      </c>
    </row>
    <row r="1357" ht="15.0" hidden="1" customHeight="1">
      <c r="A1357" s="59">
        <f t="shared" si="20"/>
        <v>19</v>
      </c>
      <c r="B1357" s="59" t="str">
        <f t="shared" si="21"/>
        <v/>
      </c>
      <c r="C1357" s="59" t="str">
        <f t="shared" si="22"/>
        <v/>
      </c>
      <c r="D1357" s="45" t="str">
        <f t="shared" si="23"/>
        <v/>
      </c>
      <c r="E1357" s="45" t="str">
        <f t="shared" si="24"/>
        <v/>
      </c>
      <c r="F1357" s="59" t="str">
        <f t="shared" si="25"/>
        <v/>
      </c>
      <c r="G1357" s="59" t="str">
        <f t="shared" si="26"/>
        <v/>
      </c>
      <c r="H1357" s="59" t="str">
        <f t="shared" si="27"/>
        <v>29E17539</v>
      </c>
      <c r="I1357" s="59" t="str">
        <f>IF(OR($A1357="",$C1357="",$D1357="",$E1357="",$H1357=""),"",SUMIFS(DATA_GOC!$H:$H,DATA_GOC!$A:$A,"BOM",DATA_GOC!$D:$D,$H1357,DATA_GOC!$E:$E,$C1357,DATA_GOC!$F:$F,"Xuất nội bộ từ téc",DATA_GOC!$B:$B,"&gt;="&amp;$D1357,DATA_GOC!$B:$B,"&lt;="&amp;$E1357))</f>
        <v/>
      </c>
      <c r="J1357" s="59">
        <f t="shared" si="28"/>
        <v>0</v>
      </c>
      <c r="K1357" s="59">
        <f t="shared" si="29"/>
        <v>0</v>
      </c>
      <c r="L1357" s="59">
        <f t="shared" si="30"/>
        <v>0</v>
      </c>
      <c r="M1357" s="59">
        <f t="shared" si="31"/>
        <v>0</v>
      </c>
    </row>
    <row r="1358" ht="15.0" hidden="1" customHeight="1">
      <c r="A1358" s="59">
        <f t="shared" si="20"/>
        <v>19</v>
      </c>
      <c r="B1358" s="59" t="str">
        <f t="shared" si="21"/>
        <v/>
      </c>
      <c r="C1358" s="59" t="str">
        <f t="shared" si="22"/>
        <v/>
      </c>
      <c r="D1358" s="45" t="str">
        <f t="shared" si="23"/>
        <v/>
      </c>
      <c r="E1358" s="45" t="str">
        <f t="shared" si="24"/>
        <v/>
      </c>
      <c r="F1358" s="59" t="str">
        <f t="shared" si="25"/>
        <v/>
      </c>
      <c r="G1358" s="59" t="str">
        <f t="shared" si="26"/>
        <v/>
      </c>
      <c r="H1358" s="59" t="str">
        <f t="shared" si="27"/>
        <v>29E18160</v>
      </c>
      <c r="I1358" s="59" t="str">
        <f>IF(OR($A1358="",$C1358="",$D1358="",$E1358="",$H1358=""),"",SUMIFS(DATA_GOC!$H:$H,DATA_GOC!$A:$A,"BOM",DATA_GOC!$D:$D,$H1358,DATA_GOC!$E:$E,$C1358,DATA_GOC!$F:$F,"Xuất nội bộ từ téc",DATA_GOC!$B:$B,"&gt;="&amp;$D1358,DATA_GOC!$B:$B,"&lt;="&amp;$E1358))</f>
        <v/>
      </c>
      <c r="J1358" s="59">
        <f t="shared" si="28"/>
        <v>0</v>
      </c>
      <c r="K1358" s="59">
        <f t="shared" si="29"/>
        <v>0</v>
      </c>
      <c r="L1358" s="59">
        <f t="shared" si="30"/>
        <v>0</v>
      </c>
      <c r="M1358" s="59">
        <f t="shared" si="31"/>
        <v>0</v>
      </c>
    </row>
    <row r="1359" ht="15.0" hidden="1" customHeight="1">
      <c r="A1359" s="59">
        <f t="shared" si="20"/>
        <v>19</v>
      </c>
      <c r="B1359" s="59" t="str">
        <f t="shared" si="21"/>
        <v/>
      </c>
      <c r="C1359" s="59" t="str">
        <f t="shared" si="22"/>
        <v/>
      </c>
      <c r="D1359" s="45" t="str">
        <f t="shared" si="23"/>
        <v/>
      </c>
      <c r="E1359" s="45" t="str">
        <f t="shared" si="24"/>
        <v/>
      </c>
      <c r="F1359" s="59" t="str">
        <f t="shared" si="25"/>
        <v/>
      </c>
      <c r="G1359" s="59" t="str">
        <f t="shared" si="26"/>
        <v/>
      </c>
      <c r="H1359" s="59" t="str">
        <f t="shared" si="27"/>
        <v>Công trình Asphalt</v>
      </c>
      <c r="I1359" s="59" t="str">
        <f>IF(OR($A1359="",$C1359="",$D1359="",$E1359="",$H1359=""),"",SUMIFS(DATA_GOC!$H:$H,DATA_GOC!$A:$A,"BOM",DATA_GOC!$D:$D,$H1359,DATA_GOC!$E:$E,$C1359,DATA_GOC!$F:$F,"Xuất nội bộ từ téc",DATA_GOC!$B:$B,"&gt;="&amp;$D1359,DATA_GOC!$B:$B,"&lt;="&amp;$E1359))</f>
        <v/>
      </c>
      <c r="J1359" s="59">
        <f t="shared" si="28"/>
        <v>0</v>
      </c>
      <c r="K1359" s="59">
        <f t="shared" si="29"/>
        <v>0</v>
      </c>
      <c r="L1359" s="59">
        <f t="shared" si="30"/>
        <v>0</v>
      </c>
      <c r="M1359" s="59">
        <f t="shared" si="31"/>
        <v>0</v>
      </c>
    </row>
    <row r="1360" ht="15.0" hidden="1" customHeight="1">
      <c r="A1360" s="59">
        <f t="shared" si="20"/>
        <v>19</v>
      </c>
      <c r="B1360" s="59" t="str">
        <f t="shared" si="21"/>
        <v/>
      </c>
      <c r="C1360" s="59" t="str">
        <f t="shared" si="22"/>
        <v/>
      </c>
      <c r="D1360" s="45" t="str">
        <f t="shared" si="23"/>
        <v/>
      </c>
      <c r="E1360" s="45" t="str">
        <f t="shared" si="24"/>
        <v/>
      </c>
      <c r="F1360" s="59" t="str">
        <f t="shared" si="25"/>
        <v/>
      </c>
      <c r="G1360" s="59" t="str">
        <f t="shared" si="26"/>
        <v/>
      </c>
      <c r="H1360" s="59" t="str">
        <f t="shared" si="27"/>
        <v>LG53F</v>
      </c>
      <c r="I1360" s="59" t="str">
        <f>IF(OR($A1360="",$C1360="",$D1360="",$E1360="",$H1360=""),"",SUMIFS(DATA_GOC!$H:$H,DATA_GOC!$A:$A,"BOM",DATA_GOC!$D:$D,$H1360,DATA_GOC!$E:$E,$C1360,DATA_GOC!$F:$F,"Xuất nội bộ từ téc",DATA_GOC!$B:$B,"&gt;="&amp;$D1360,DATA_GOC!$B:$B,"&lt;="&amp;$E1360))</f>
        <v/>
      </c>
      <c r="J1360" s="59">
        <f t="shared" si="28"/>
        <v>0</v>
      </c>
      <c r="K1360" s="59">
        <f t="shared" si="29"/>
        <v>0</v>
      </c>
      <c r="L1360" s="59">
        <f t="shared" si="30"/>
        <v>0</v>
      </c>
      <c r="M1360" s="59">
        <f t="shared" si="31"/>
        <v>0</v>
      </c>
    </row>
    <row r="1361" ht="15.0" hidden="1" customHeight="1">
      <c r="A1361" s="59">
        <f t="shared" si="20"/>
        <v>19</v>
      </c>
      <c r="B1361" s="59" t="str">
        <f t="shared" si="21"/>
        <v/>
      </c>
      <c r="C1361" s="59" t="str">
        <f t="shared" si="22"/>
        <v/>
      </c>
      <c r="D1361" s="45" t="str">
        <f t="shared" si="23"/>
        <v/>
      </c>
      <c r="E1361" s="45" t="str">
        <f t="shared" si="24"/>
        <v/>
      </c>
      <c r="F1361" s="59" t="str">
        <f t="shared" si="25"/>
        <v/>
      </c>
      <c r="G1361" s="59" t="str">
        <f t="shared" si="26"/>
        <v/>
      </c>
      <c r="H1361" s="59" t="str">
        <f t="shared" si="27"/>
        <v>Máy phát điện</v>
      </c>
      <c r="I1361" s="59" t="str">
        <f>IF(OR($A1361="",$C1361="",$D1361="",$E1361="",$H1361=""),"",SUMIFS(DATA_GOC!$H:$H,DATA_GOC!$A:$A,"BOM",DATA_GOC!$D:$D,$H1361,DATA_GOC!$E:$E,$C1361,DATA_GOC!$F:$F,"Xuất nội bộ từ téc",DATA_GOC!$B:$B,"&gt;="&amp;$D1361,DATA_GOC!$B:$B,"&lt;="&amp;$E1361))</f>
        <v/>
      </c>
      <c r="J1361" s="59">
        <f t="shared" si="28"/>
        <v>0</v>
      </c>
      <c r="K1361" s="59">
        <f t="shared" si="29"/>
        <v>0</v>
      </c>
      <c r="L1361" s="59">
        <f t="shared" si="30"/>
        <v>0</v>
      </c>
      <c r="M1361" s="59">
        <f t="shared" si="31"/>
        <v>0</v>
      </c>
    </row>
    <row r="1362" ht="15.0" hidden="1" customHeight="1">
      <c r="A1362" s="59">
        <f t="shared" si="20"/>
        <v>19</v>
      </c>
      <c r="B1362" s="59" t="str">
        <f t="shared" si="21"/>
        <v/>
      </c>
      <c r="C1362" s="59" t="str">
        <f t="shared" si="22"/>
        <v/>
      </c>
      <c r="D1362" s="45" t="str">
        <f t="shared" si="23"/>
        <v/>
      </c>
      <c r="E1362" s="45" t="str">
        <f t="shared" si="24"/>
        <v/>
      </c>
      <c r="F1362" s="59" t="str">
        <f t="shared" si="25"/>
        <v/>
      </c>
      <c r="G1362" s="59" t="str">
        <f t="shared" si="26"/>
        <v/>
      </c>
      <c r="H1362" s="59" t="str">
        <f t="shared" si="27"/>
        <v>Máy rải thảm</v>
      </c>
      <c r="I1362" s="59" t="str">
        <f>IF(OR($A1362="",$C1362="",$D1362="",$E1362="",$H1362=""),"",SUMIFS(DATA_GOC!$H:$H,DATA_GOC!$A:$A,"BOM",DATA_GOC!$D:$D,$H1362,DATA_GOC!$E:$E,$C1362,DATA_GOC!$F:$F,"Xuất nội bộ từ téc",DATA_GOC!$B:$B,"&gt;="&amp;$D1362,DATA_GOC!$B:$B,"&lt;="&amp;$E1362))</f>
        <v/>
      </c>
      <c r="J1362" s="59">
        <f t="shared" si="28"/>
        <v>0</v>
      </c>
      <c r="K1362" s="59">
        <f t="shared" si="29"/>
        <v>0</v>
      </c>
      <c r="L1362" s="59">
        <f t="shared" si="30"/>
        <v>0</v>
      </c>
      <c r="M1362" s="59">
        <f t="shared" si="31"/>
        <v>0</v>
      </c>
    </row>
    <row r="1363" ht="15.0" hidden="1" customHeight="1">
      <c r="A1363" s="59">
        <f t="shared" si="20"/>
        <v>19</v>
      </c>
      <c r="B1363" s="59" t="str">
        <f t="shared" si="21"/>
        <v/>
      </c>
      <c r="C1363" s="59" t="str">
        <f t="shared" si="22"/>
        <v/>
      </c>
      <c r="D1363" s="45" t="str">
        <f t="shared" si="23"/>
        <v/>
      </c>
      <c r="E1363" s="45" t="str">
        <f t="shared" si="24"/>
        <v/>
      </c>
      <c r="F1363" s="59" t="str">
        <f t="shared" si="25"/>
        <v/>
      </c>
      <c r="G1363" s="59" t="str">
        <f t="shared" si="26"/>
        <v/>
      </c>
      <c r="H1363" s="59" t="str">
        <f t="shared" si="27"/>
        <v>Xúc Đào</v>
      </c>
      <c r="I1363" s="59" t="str">
        <f>IF(OR($A1363="",$C1363="",$D1363="",$E1363="",$H1363=""),"",SUMIFS(DATA_GOC!$H:$H,DATA_GOC!$A:$A,"BOM",DATA_GOC!$D:$D,$H1363,DATA_GOC!$E:$E,$C1363,DATA_GOC!$F:$F,"Xuất nội bộ từ téc",DATA_GOC!$B:$B,"&gt;="&amp;$D1363,DATA_GOC!$B:$B,"&lt;="&amp;$E1363))</f>
        <v/>
      </c>
      <c r="J1363" s="59">
        <f t="shared" si="28"/>
        <v>0</v>
      </c>
      <c r="K1363" s="59">
        <f t="shared" si="29"/>
        <v>0</v>
      </c>
      <c r="L1363" s="59">
        <f t="shared" si="30"/>
        <v>0</v>
      </c>
      <c r="M1363" s="59">
        <f t="shared" si="31"/>
        <v>0</v>
      </c>
    </row>
    <row r="1364" ht="15.0" hidden="1" customHeight="1">
      <c r="A1364" s="59">
        <f t="shared" si="20"/>
        <v>19</v>
      </c>
      <c r="B1364" s="59" t="str">
        <f t="shared" si="21"/>
        <v/>
      </c>
      <c r="C1364" s="59" t="str">
        <f t="shared" si="22"/>
        <v/>
      </c>
      <c r="D1364" s="45" t="str">
        <f t="shared" si="23"/>
        <v/>
      </c>
      <c r="E1364" s="45" t="str">
        <f t="shared" si="24"/>
        <v/>
      </c>
      <c r="F1364" s="59" t="str">
        <f t="shared" si="25"/>
        <v/>
      </c>
      <c r="G1364" s="59" t="str">
        <f t="shared" si="26"/>
        <v/>
      </c>
      <c r="H1364" s="59" t="str">
        <f t="shared" si="27"/>
        <v>Xúclật asphalt</v>
      </c>
      <c r="I1364" s="59" t="str">
        <f>IF(OR($A1364="",$C1364="",$D1364="",$E1364="",$H1364=""),"",SUMIFS(DATA_GOC!$H:$H,DATA_GOC!$A:$A,"BOM",DATA_GOC!$D:$D,$H1364,DATA_GOC!$E:$E,$C1364,DATA_GOC!$F:$F,"Xuất nội bộ từ téc",DATA_GOC!$B:$B,"&gt;="&amp;$D1364,DATA_GOC!$B:$B,"&lt;="&amp;$E1364))</f>
        <v/>
      </c>
      <c r="J1364" s="59">
        <f t="shared" si="28"/>
        <v>0</v>
      </c>
      <c r="K1364" s="59">
        <f t="shared" si="29"/>
        <v>0</v>
      </c>
      <c r="L1364" s="59">
        <f t="shared" si="30"/>
        <v>0</v>
      </c>
      <c r="M1364" s="59">
        <f t="shared" si="31"/>
        <v>0</v>
      </c>
    </row>
    <row r="1365" ht="15.0" hidden="1" customHeight="1">
      <c r="A1365" s="59">
        <f t="shared" si="20"/>
        <v>19</v>
      </c>
      <c r="B1365" s="59" t="str">
        <f t="shared" si="21"/>
        <v/>
      </c>
      <c r="C1365" s="59" t="str">
        <f t="shared" si="22"/>
        <v/>
      </c>
      <c r="D1365" s="45" t="str">
        <f t="shared" si="23"/>
        <v/>
      </c>
      <c r="E1365" s="45" t="str">
        <f t="shared" si="24"/>
        <v/>
      </c>
      <c r="F1365" s="59" t="str">
        <f t="shared" si="25"/>
        <v/>
      </c>
      <c r="G1365" s="59" t="str">
        <f t="shared" si="26"/>
        <v/>
      </c>
      <c r="H1365" s="59" t="str">
        <f t="shared" si="27"/>
        <v>Xúclật855H</v>
      </c>
      <c r="I1365" s="59" t="str">
        <f>IF(OR($A1365="",$C1365="",$D1365="",$E1365="",$H1365=""),"",SUMIFS(DATA_GOC!$H:$H,DATA_GOC!$A:$A,"BOM",DATA_GOC!$D:$D,$H1365,DATA_GOC!$E:$E,$C1365,DATA_GOC!$F:$F,"Xuất nội bộ từ téc",DATA_GOC!$B:$B,"&gt;="&amp;$D1365,DATA_GOC!$B:$B,"&lt;="&amp;$E1365))</f>
        <v/>
      </c>
      <c r="J1365" s="59">
        <f t="shared" si="28"/>
        <v>0</v>
      </c>
      <c r="K1365" s="59">
        <f t="shared" si="29"/>
        <v>0</v>
      </c>
      <c r="L1365" s="59">
        <f t="shared" si="30"/>
        <v>0</v>
      </c>
      <c r="M1365" s="59">
        <f t="shared" si="31"/>
        <v>0</v>
      </c>
    </row>
    <row r="1366" ht="15.0" hidden="1" customHeight="1">
      <c r="A1366" s="59">
        <f t="shared" si="20"/>
        <v>19</v>
      </c>
      <c r="B1366" s="59" t="str">
        <f t="shared" si="21"/>
        <v/>
      </c>
      <c r="C1366" s="59" t="str">
        <f t="shared" si="22"/>
        <v/>
      </c>
      <c r="D1366" s="45" t="str">
        <f t="shared" si="23"/>
        <v/>
      </c>
      <c r="E1366" s="45" t="str">
        <f t="shared" si="24"/>
        <v/>
      </c>
      <c r="F1366" s="59" t="str">
        <f t="shared" si="25"/>
        <v/>
      </c>
      <c r="G1366" s="59" t="str">
        <f t="shared" si="26"/>
        <v/>
      </c>
      <c r="H1366" s="59" t="str">
        <f t="shared" si="27"/>
        <v>Xúclật855N</v>
      </c>
      <c r="I1366" s="59" t="str">
        <f>IF(OR($A1366="",$C1366="",$D1366="",$E1366="",$H1366=""),"",SUMIFS(DATA_GOC!$H:$H,DATA_GOC!$A:$A,"BOM",DATA_GOC!$D:$D,$H1366,DATA_GOC!$E:$E,$C1366,DATA_GOC!$F:$F,"Xuất nội bộ từ téc",DATA_GOC!$B:$B,"&gt;="&amp;$D1366,DATA_GOC!$B:$B,"&lt;="&amp;$E1366))</f>
        <v/>
      </c>
      <c r="J1366" s="59">
        <f t="shared" si="28"/>
        <v>0</v>
      </c>
      <c r="K1366" s="59">
        <f t="shared" si="29"/>
        <v>0</v>
      </c>
      <c r="L1366" s="59">
        <f t="shared" si="30"/>
        <v>0</v>
      </c>
      <c r="M1366" s="59">
        <f t="shared" si="31"/>
        <v>0</v>
      </c>
    </row>
    <row r="1367" ht="15.0" hidden="1" customHeight="1">
      <c r="A1367" s="59">
        <f t="shared" si="20"/>
        <v>19</v>
      </c>
      <c r="B1367" s="59" t="str">
        <f t="shared" si="21"/>
        <v/>
      </c>
      <c r="C1367" s="59" t="str">
        <f t="shared" si="22"/>
        <v/>
      </c>
      <c r="D1367" s="45" t="str">
        <f t="shared" si="23"/>
        <v/>
      </c>
      <c r="E1367" s="45" t="str">
        <f t="shared" si="24"/>
        <v/>
      </c>
      <c r="F1367" s="59" t="str">
        <f t="shared" si="25"/>
        <v/>
      </c>
      <c r="G1367" s="59" t="str">
        <f t="shared" si="26"/>
        <v/>
      </c>
      <c r="H1367" s="59" t="str">
        <f t="shared" si="27"/>
        <v>Cát nghiền</v>
      </c>
      <c r="I1367" s="59" t="str">
        <f>IF(OR($A1367="",$C1367="",$D1367="",$E1367="",$H1367=""),"",SUMIFS(DATA_GOC!$H:$H,DATA_GOC!$A:$A,"BOM",DATA_GOC!$D:$D,$H1367,DATA_GOC!$E:$E,$C1367,DATA_GOC!$F:$F,"Xuất nội bộ từ téc",DATA_GOC!$B:$B,"&gt;="&amp;$D1367,DATA_GOC!$B:$B,"&lt;="&amp;$E1367))</f>
        <v/>
      </c>
      <c r="J1367" s="59">
        <f t="shared" si="28"/>
        <v>0</v>
      </c>
      <c r="K1367" s="59">
        <f t="shared" si="29"/>
        <v>0</v>
      </c>
      <c r="L1367" s="59">
        <f t="shared" si="30"/>
        <v>0</v>
      </c>
      <c r="M1367" s="59">
        <f t="shared" si="31"/>
        <v>0</v>
      </c>
    </row>
    <row r="1368" ht="15.0" hidden="1" customHeight="1">
      <c r="A1368" s="59">
        <f t="shared" si="20"/>
        <v>19</v>
      </c>
      <c r="B1368" s="59" t="str">
        <f t="shared" si="21"/>
        <v/>
      </c>
      <c r="C1368" s="59" t="str">
        <f t="shared" si="22"/>
        <v/>
      </c>
      <c r="D1368" s="45" t="str">
        <f t="shared" si="23"/>
        <v/>
      </c>
      <c r="E1368" s="45" t="str">
        <f t="shared" si="24"/>
        <v/>
      </c>
      <c r="F1368" s="59" t="str">
        <f t="shared" si="25"/>
        <v/>
      </c>
      <c r="G1368" s="59" t="str">
        <f t="shared" si="26"/>
        <v/>
      </c>
      <c r="H1368" s="59" t="str">
        <f t="shared" si="27"/>
        <v>28C02973</v>
      </c>
      <c r="I1368" s="59" t="str">
        <f>IF(OR($A1368="",$C1368="",$D1368="",$E1368="",$H1368=""),"",SUMIFS(DATA_GOC!$H:$H,DATA_GOC!$A:$A,"BOM",DATA_GOC!$D:$D,$H1368,DATA_GOC!$E:$E,$C1368,DATA_GOC!$F:$F,"Xuất nội bộ từ téc",DATA_GOC!$B:$B,"&gt;="&amp;$D1368,DATA_GOC!$B:$B,"&lt;="&amp;$E1368))</f>
        <v/>
      </c>
      <c r="J1368" s="59">
        <f t="shared" si="28"/>
        <v>0</v>
      </c>
      <c r="K1368" s="59">
        <f t="shared" si="29"/>
        <v>0</v>
      </c>
      <c r="L1368" s="59">
        <f t="shared" si="30"/>
        <v>0</v>
      </c>
      <c r="M1368" s="59">
        <f t="shared" si="31"/>
        <v>0</v>
      </c>
    </row>
    <row r="1369" ht="15.0" hidden="1" customHeight="1">
      <c r="A1369" s="59">
        <f t="shared" si="20"/>
        <v>19</v>
      </c>
      <c r="B1369" s="59" t="str">
        <f t="shared" si="21"/>
        <v/>
      </c>
      <c r="C1369" s="59" t="str">
        <f t="shared" si="22"/>
        <v/>
      </c>
      <c r="D1369" s="45" t="str">
        <f t="shared" si="23"/>
        <v/>
      </c>
      <c r="E1369" s="45" t="str">
        <f t="shared" si="24"/>
        <v/>
      </c>
      <c r="F1369" s="59" t="str">
        <f t="shared" si="25"/>
        <v/>
      </c>
      <c r="G1369" s="59" t="str">
        <f t="shared" si="26"/>
        <v/>
      </c>
      <c r="H1369" s="59" t="str">
        <f t="shared" si="27"/>
        <v>28C03044</v>
      </c>
      <c r="I1369" s="59" t="str">
        <f>IF(OR($A1369="",$C1369="",$D1369="",$E1369="",$H1369=""),"",SUMIFS(DATA_GOC!$H:$H,DATA_GOC!$A:$A,"BOM",DATA_GOC!$D:$D,$H1369,DATA_GOC!$E:$E,$C1369,DATA_GOC!$F:$F,"Xuất nội bộ từ téc",DATA_GOC!$B:$B,"&gt;="&amp;$D1369,DATA_GOC!$B:$B,"&lt;="&amp;$E1369))</f>
        <v/>
      </c>
      <c r="J1369" s="59">
        <f t="shared" si="28"/>
        <v>0</v>
      </c>
      <c r="K1369" s="59">
        <f t="shared" si="29"/>
        <v>0</v>
      </c>
      <c r="L1369" s="59">
        <f t="shared" si="30"/>
        <v>0</v>
      </c>
      <c r="M1369" s="59">
        <f t="shared" si="31"/>
        <v>0</v>
      </c>
    </row>
    <row r="1370" ht="15.0" hidden="1" customHeight="1">
      <c r="A1370" s="59">
        <f t="shared" si="20"/>
        <v>19</v>
      </c>
      <c r="B1370" s="59" t="str">
        <f t="shared" si="21"/>
        <v/>
      </c>
      <c r="C1370" s="59" t="str">
        <f t="shared" si="22"/>
        <v/>
      </c>
      <c r="D1370" s="45" t="str">
        <f t="shared" si="23"/>
        <v/>
      </c>
      <c r="E1370" s="45" t="str">
        <f t="shared" si="24"/>
        <v/>
      </c>
      <c r="F1370" s="59" t="str">
        <f t="shared" si="25"/>
        <v/>
      </c>
      <c r="G1370" s="59" t="str">
        <f t="shared" si="26"/>
        <v/>
      </c>
      <c r="H1370" s="59" t="str">
        <f t="shared" si="27"/>
        <v>Máy lu lốp</v>
      </c>
      <c r="I1370" s="59" t="str">
        <f>IF(OR($A1370="",$C1370="",$D1370="",$E1370="",$H1370=""),"",SUMIFS(DATA_GOC!$H:$H,DATA_GOC!$A:$A,"BOM",DATA_GOC!$D:$D,$H1370,DATA_GOC!$E:$E,$C1370,DATA_GOC!$F:$F,"Xuất nội bộ từ téc",DATA_GOC!$B:$B,"&gt;="&amp;$D1370,DATA_GOC!$B:$B,"&lt;="&amp;$E1370))</f>
        <v/>
      </c>
      <c r="J1370" s="59">
        <f t="shared" si="28"/>
        <v>0</v>
      </c>
      <c r="K1370" s="59">
        <f t="shared" si="29"/>
        <v>0</v>
      </c>
      <c r="L1370" s="59">
        <f t="shared" si="30"/>
        <v>0</v>
      </c>
      <c r="M1370" s="59">
        <f t="shared" si="31"/>
        <v>0</v>
      </c>
    </row>
    <row r="1371" ht="15.0" hidden="1" customHeight="1">
      <c r="A1371" s="59">
        <f t="shared" si="20"/>
        <v>19</v>
      </c>
      <c r="B1371" s="59" t="str">
        <f t="shared" si="21"/>
        <v/>
      </c>
      <c r="C1371" s="59" t="str">
        <f t="shared" si="22"/>
        <v/>
      </c>
      <c r="D1371" s="45" t="str">
        <f t="shared" si="23"/>
        <v/>
      </c>
      <c r="E1371" s="45" t="str">
        <f t="shared" si="24"/>
        <v/>
      </c>
      <c r="F1371" s="59" t="str">
        <f t="shared" si="25"/>
        <v/>
      </c>
      <c r="G1371" s="59" t="str">
        <f t="shared" si="26"/>
        <v/>
      </c>
      <c r="H1371" s="59" t="str">
        <f t="shared" si="27"/>
        <v>Xe 600148</v>
      </c>
      <c r="I1371" s="59" t="str">
        <f>IF(OR($A1371="",$C1371="",$D1371="",$E1371="",$H1371=""),"",SUMIFS(DATA_GOC!$H:$H,DATA_GOC!$A:$A,"BOM",DATA_GOC!$D:$D,$H1371,DATA_GOC!$E:$E,$C1371,DATA_GOC!$F:$F,"Xuất nội bộ từ téc",DATA_GOC!$B:$B,"&gt;="&amp;$D1371,DATA_GOC!$B:$B,"&lt;="&amp;$E1371))</f>
        <v/>
      </c>
      <c r="J1371" s="59">
        <f t="shared" si="28"/>
        <v>0</v>
      </c>
      <c r="K1371" s="59">
        <f t="shared" si="29"/>
        <v>0</v>
      </c>
      <c r="L1371" s="59">
        <f t="shared" si="30"/>
        <v>0</v>
      </c>
      <c r="M1371" s="59">
        <f t="shared" si="31"/>
        <v>0</v>
      </c>
    </row>
    <row r="1372" ht="15.0" hidden="1" customHeight="1">
      <c r="A1372" s="59">
        <f t="shared" si="20"/>
        <v>19</v>
      </c>
      <c r="B1372" s="59" t="str">
        <f t="shared" si="21"/>
        <v/>
      </c>
      <c r="C1372" s="59" t="str">
        <f t="shared" si="22"/>
        <v/>
      </c>
      <c r="D1372" s="45" t="str">
        <f t="shared" si="23"/>
        <v/>
      </c>
      <c r="E1372" s="45" t="str">
        <f t="shared" si="24"/>
        <v/>
      </c>
      <c r="F1372" s="59" t="str">
        <f t="shared" si="25"/>
        <v/>
      </c>
      <c r="G1372" s="59" t="str">
        <f t="shared" si="26"/>
        <v/>
      </c>
      <c r="H1372" s="59" t="str">
        <f t="shared" si="27"/>
        <v>Xe ben mới</v>
      </c>
      <c r="I1372" s="59" t="str">
        <f>IF(OR($A1372="",$C1372="",$D1372="",$E1372="",$H1372=""),"",SUMIFS(DATA_GOC!$H:$H,DATA_GOC!$A:$A,"BOM",DATA_GOC!$D:$D,$H1372,DATA_GOC!$E:$E,$C1372,DATA_GOC!$F:$F,"Xuất nội bộ từ téc",DATA_GOC!$B:$B,"&gt;="&amp;$D1372,DATA_GOC!$B:$B,"&lt;="&amp;$E1372))</f>
        <v/>
      </c>
      <c r="J1372" s="59">
        <f t="shared" si="28"/>
        <v>0</v>
      </c>
      <c r="K1372" s="59">
        <f t="shared" si="29"/>
        <v>0</v>
      </c>
      <c r="L1372" s="59">
        <f t="shared" si="30"/>
        <v>0</v>
      </c>
      <c r="M1372" s="59">
        <f t="shared" si="31"/>
        <v>0</v>
      </c>
    </row>
    <row r="1373" ht="15.0" hidden="1" customHeight="1">
      <c r="A1373" s="59">
        <f t="shared" si="20"/>
        <v>20</v>
      </c>
      <c r="B1373" s="59" t="str">
        <f t="shared" si="21"/>
        <v/>
      </c>
      <c r="C1373" s="59" t="str">
        <f t="shared" si="22"/>
        <v/>
      </c>
      <c r="D1373" s="45" t="str">
        <f t="shared" si="23"/>
        <v/>
      </c>
      <c r="E1373" s="45" t="str">
        <f t="shared" si="24"/>
        <v/>
      </c>
      <c r="F1373" s="59" t="str">
        <f t="shared" si="25"/>
        <v/>
      </c>
      <c r="G1373" s="59" t="str">
        <f t="shared" si="26"/>
        <v/>
      </c>
      <c r="H1373" s="59" t="str">
        <f t="shared" si="27"/>
        <v>19H09482</v>
      </c>
      <c r="I1373" s="59" t="str">
        <f>IF(OR($A1373="",$C1373="",$D1373="",$E1373="",$H1373=""),"",SUMIFS(DATA_GOC!$H:$H,DATA_GOC!$A:$A,"BOM",DATA_GOC!$D:$D,$H1373,DATA_GOC!$E:$E,$C1373,DATA_GOC!$F:$F,"Xuất nội bộ từ téc",DATA_GOC!$B:$B,"&gt;="&amp;$D1373,DATA_GOC!$B:$B,"&lt;="&amp;$E1373))</f>
        <v/>
      </c>
      <c r="J1373" s="59">
        <f t="shared" si="28"/>
        <v>0</v>
      </c>
      <c r="K1373" s="59">
        <f t="shared" si="29"/>
        <v>0</v>
      </c>
      <c r="L1373" s="59">
        <f t="shared" si="30"/>
        <v>0</v>
      </c>
      <c r="M1373" s="59">
        <f t="shared" si="31"/>
        <v>0</v>
      </c>
    </row>
    <row r="1374" ht="15.0" hidden="1" customHeight="1">
      <c r="A1374" s="59">
        <f t="shared" si="20"/>
        <v>20</v>
      </c>
      <c r="B1374" s="59" t="str">
        <f t="shared" si="21"/>
        <v/>
      </c>
      <c r="C1374" s="59" t="str">
        <f t="shared" si="22"/>
        <v/>
      </c>
      <c r="D1374" s="45" t="str">
        <f t="shared" si="23"/>
        <v/>
      </c>
      <c r="E1374" s="45" t="str">
        <f t="shared" si="24"/>
        <v/>
      </c>
      <c r="F1374" s="59" t="str">
        <f t="shared" si="25"/>
        <v/>
      </c>
      <c r="G1374" s="59" t="str">
        <f t="shared" si="26"/>
        <v/>
      </c>
      <c r="H1374" s="59" t="str">
        <f t="shared" si="27"/>
        <v>28A30696</v>
      </c>
      <c r="I1374" s="59" t="str">
        <f>IF(OR($A1374="",$C1374="",$D1374="",$E1374="",$H1374=""),"",SUMIFS(DATA_GOC!$H:$H,DATA_GOC!$A:$A,"BOM",DATA_GOC!$D:$D,$H1374,DATA_GOC!$E:$E,$C1374,DATA_GOC!$F:$F,"Xuất nội bộ từ téc",DATA_GOC!$B:$B,"&gt;="&amp;$D1374,DATA_GOC!$B:$B,"&lt;="&amp;$E1374))</f>
        <v/>
      </c>
      <c r="J1374" s="59">
        <f t="shared" si="28"/>
        <v>0</v>
      </c>
      <c r="K1374" s="59">
        <f t="shared" si="29"/>
        <v>0</v>
      </c>
      <c r="L1374" s="59">
        <f t="shared" si="30"/>
        <v>0</v>
      </c>
      <c r="M1374" s="59">
        <f t="shared" si="31"/>
        <v>0</v>
      </c>
    </row>
    <row r="1375" ht="15.0" hidden="1" customHeight="1">
      <c r="A1375" s="59">
        <f t="shared" si="20"/>
        <v>20</v>
      </c>
      <c r="B1375" s="59" t="str">
        <f t="shared" si="21"/>
        <v/>
      </c>
      <c r="C1375" s="59" t="str">
        <f t="shared" si="22"/>
        <v/>
      </c>
      <c r="D1375" s="45" t="str">
        <f t="shared" si="23"/>
        <v/>
      </c>
      <c r="E1375" s="45" t="str">
        <f t="shared" si="24"/>
        <v/>
      </c>
      <c r="F1375" s="59" t="str">
        <f t="shared" si="25"/>
        <v/>
      </c>
      <c r="G1375" s="59" t="str">
        <f t="shared" si="26"/>
        <v/>
      </c>
      <c r="H1375" s="59" t="str">
        <f t="shared" si="27"/>
        <v>28C00462</v>
      </c>
      <c r="I1375" s="59" t="str">
        <f>IF(OR($A1375="",$C1375="",$D1375="",$E1375="",$H1375=""),"",SUMIFS(DATA_GOC!$H:$H,DATA_GOC!$A:$A,"BOM",DATA_GOC!$D:$D,$H1375,DATA_GOC!$E:$E,$C1375,DATA_GOC!$F:$F,"Xuất nội bộ từ téc",DATA_GOC!$B:$B,"&gt;="&amp;$D1375,DATA_GOC!$B:$B,"&lt;="&amp;$E1375))</f>
        <v/>
      </c>
      <c r="J1375" s="59">
        <f t="shared" si="28"/>
        <v>0</v>
      </c>
      <c r="K1375" s="59">
        <f t="shared" si="29"/>
        <v>0</v>
      </c>
      <c r="L1375" s="59">
        <f t="shared" si="30"/>
        <v>0</v>
      </c>
      <c r="M1375" s="59">
        <f t="shared" si="31"/>
        <v>0</v>
      </c>
    </row>
    <row r="1376" ht="15.0" hidden="1" customHeight="1">
      <c r="A1376" s="59">
        <f t="shared" si="20"/>
        <v>20</v>
      </c>
      <c r="B1376" s="59" t="str">
        <f t="shared" si="21"/>
        <v/>
      </c>
      <c r="C1376" s="59" t="str">
        <f t="shared" si="22"/>
        <v/>
      </c>
      <c r="D1376" s="45" t="str">
        <f t="shared" si="23"/>
        <v/>
      </c>
      <c r="E1376" s="45" t="str">
        <f t="shared" si="24"/>
        <v/>
      </c>
      <c r="F1376" s="59" t="str">
        <f t="shared" si="25"/>
        <v/>
      </c>
      <c r="G1376" s="59" t="str">
        <f t="shared" si="26"/>
        <v/>
      </c>
      <c r="H1376" s="59" t="str">
        <f t="shared" si="27"/>
        <v>28C01165</v>
      </c>
      <c r="I1376" s="59" t="str">
        <f>IF(OR($A1376="",$C1376="",$D1376="",$E1376="",$H1376=""),"",SUMIFS(DATA_GOC!$H:$H,DATA_GOC!$A:$A,"BOM",DATA_GOC!$D:$D,$H1376,DATA_GOC!$E:$E,$C1376,DATA_GOC!$F:$F,"Xuất nội bộ từ téc",DATA_GOC!$B:$B,"&gt;="&amp;$D1376,DATA_GOC!$B:$B,"&lt;="&amp;$E1376))</f>
        <v/>
      </c>
      <c r="J1376" s="59">
        <f t="shared" si="28"/>
        <v>0</v>
      </c>
      <c r="K1376" s="59">
        <f t="shared" si="29"/>
        <v>0</v>
      </c>
      <c r="L1376" s="59">
        <f t="shared" si="30"/>
        <v>0</v>
      </c>
      <c r="M1376" s="59">
        <f t="shared" si="31"/>
        <v>0</v>
      </c>
    </row>
    <row r="1377" ht="15.0" hidden="1" customHeight="1">
      <c r="A1377" s="59">
        <f t="shared" si="20"/>
        <v>20</v>
      </c>
      <c r="B1377" s="59" t="str">
        <f t="shared" si="21"/>
        <v/>
      </c>
      <c r="C1377" s="59" t="str">
        <f t="shared" si="22"/>
        <v/>
      </c>
      <c r="D1377" s="45" t="str">
        <f t="shared" si="23"/>
        <v/>
      </c>
      <c r="E1377" s="45" t="str">
        <f t="shared" si="24"/>
        <v/>
      </c>
      <c r="F1377" s="59" t="str">
        <f t="shared" si="25"/>
        <v/>
      </c>
      <c r="G1377" s="59" t="str">
        <f t="shared" si="26"/>
        <v/>
      </c>
      <c r="H1377" s="59" t="str">
        <f t="shared" si="27"/>
        <v>28C01406</v>
      </c>
      <c r="I1377" s="59" t="str">
        <f>IF(OR($A1377="",$C1377="",$D1377="",$E1377="",$H1377=""),"",SUMIFS(DATA_GOC!$H:$H,DATA_GOC!$A:$A,"BOM",DATA_GOC!$D:$D,$H1377,DATA_GOC!$E:$E,$C1377,DATA_GOC!$F:$F,"Xuất nội bộ từ téc",DATA_GOC!$B:$B,"&gt;="&amp;$D1377,DATA_GOC!$B:$B,"&lt;="&amp;$E1377))</f>
        <v/>
      </c>
      <c r="J1377" s="59">
        <f t="shared" si="28"/>
        <v>0</v>
      </c>
      <c r="K1377" s="59">
        <f t="shared" si="29"/>
        <v>0</v>
      </c>
      <c r="L1377" s="59">
        <f t="shared" si="30"/>
        <v>0</v>
      </c>
      <c r="M1377" s="59">
        <f t="shared" si="31"/>
        <v>0</v>
      </c>
    </row>
    <row r="1378" ht="15.0" hidden="1" customHeight="1">
      <c r="A1378" s="59">
        <f t="shared" si="20"/>
        <v>20</v>
      </c>
      <c r="B1378" s="59" t="str">
        <f t="shared" si="21"/>
        <v/>
      </c>
      <c r="C1378" s="59" t="str">
        <f t="shared" si="22"/>
        <v/>
      </c>
      <c r="D1378" s="45" t="str">
        <f t="shared" si="23"/>
        <v/>
      </c>
      <c r="E1378" s="45" t="str">
        <f t="shared" si="24"/>
        <v/>
      </c>
      <c r="F1378" s="59" t="str">
        <f t="shared" si="25"/>
        <v/>
      </c>
      <c r="G1378" s="59" t="str">
        <f t="shared" si="26"/>
        <v/>
      </c>
      <c r="H1378" s="59" t="str">
        <f t="shared" si="27"/>
        <v>28C01544</v>
      </c>
      <c r="I1378" s="59" t="str">
        <f>IF(OR($A1378="",$C1378="",$D1378="",$E1378="",$H1378=""),"",SUMIFS(DATA_GOC!$H:$H,DATA_GOC!$A:$A,"BOM",DATA_GOC!$D:$D,$H1378,DATA_GOC!$E:$E,$C1378,DATA_GOC!$F:$F,"Xuất nội bộ từ téc",DATA_GOC!$B:$B,"&gt;="&amp;$D1378,DATA_GOC!$B:$B,"&lt;="&amp;$E1378))</f>
        <v/>
      </c>
      <c r="J1378" s="59">
        <f t="shared" si="28"/>
        <v>0</v>
      </c>
      <c r="K1378" s="59">
        <f t="shared" si="29"/>
        <v>0</v>
      </c>
      <c r="L1378" s="59">
        <f t="shared" si="30"/>
        <v>0</v>
      </c>
      <c r="M1378" s="59">
        <f t="shared" si="31"/>
        <v>0</v>
      </c>
    </row>
    <row r="1379" ht="15.0" hidden="1" customHeight="1">
      <c r="A1379" s="59">
        <f t="shared" si="20"/>
        <v>20</v>
      </c>
      <c r="B1379" s="59" t="str">
        <f t="shared" si="21"/>
        <v/>
      </c>
      <c r="C1379" s="59" t="str">
        <f t="shared" si="22"/>
        <v/>
      </c>
      <c r="D1379" s="45" t="str">
        <f t="shared" si="23"/>
        <v/>
      </c>
      <c r="E1379" s="45" t="str">
        <f t="shared" si="24"/>
        <v/>
      </c>
      <c r="F1379" s="59" t="str">
        <f t="shared" si="25"/>
        <v/>
      </c>
      <c r="G1379" s="59" t="str">
        <f t="shared" si="26"/>
        <v/>
      </c>
      <c r="H1379" s="59" t="str">
        <f t="shared" si="27"/>
        <v>28C01622</v>
      </c>
      <c r="I1379" s="59" t="str">
        <f>IF(OR($A1379="",$C1379="",$D1379="",$E1379="",$H1379=""),"",SUMIFS(DATA_GOC!$H:$H,DATA_GOC!$A:$A,"BOM",DATA_GOC!$D:$D,$H1379,DATA_GOC!$E:$E,$C1379,DATA_GOC!$F:$F,"Xuất nội bộ từ téc",DATA_GOC!$B:$B,"&gt;="&amp;$D1379,DATA_GOC!$B:$B,"&lt;="&amp;$E1379))</f>
        <v/>
      </c>
      <c r="J1379" s="59">
        <f t="shared" si="28"/>
        <v>0</v>
      </c>
      <c r="K1379" s="59">
        <f t="shared" si="29"/>
        <v>0</v>
      </c>
      <c r="L1379" s="59">
        <f t="shared" si="30"/>
        <v>0</v>
      </c>
      <c r="M1379" s="59">
        <f t="shared" si="31"/>
        <v>0</v>
      </c>
    </row>
    <row r="1380" ht="15.0" hidden="1" customHeight="1">
      <c r="A1380" s="59">
        <f t="shared" si="20"/>
        <v>20</v>
      </c>
      <c r="B1380" s="59" t="str">
        <f t="shared" si="21"/>
        <v/>
      </c>
      <c r="C1380" s="59" t="str">
        <f t="shared" si="22"/>
        <v/>
      </c>
      <c r="D1380" s="45" t="str">
        <f t="shared" si="23"/>
        <v/>
      </c>
      <c r="E1380" s="45" t="str">
        <f t="shared" si="24"/>
        <v/>
      </c>
      <c r="F1380" s="59" t="str">
        <f t="shared" si="25"/>
        <v/>
      </c>
      <c r="G1380" s="59" t="str">
        <f t="shared" si="26"/>
        <v/>
      </c>
      <c r="H1380" s="59" t="str">
        <f t="shared" si="27"/>
        <v>28C01647</v>
      </c>
      <c r="I1380" s="59" t="str">
        <f>IF(OR($A1380="",$C1380="",$D1380="",$E1380="",$H1380=""),"",SUMIFS(DATA_GOC!$H:$H,DATA_GOC!$A:$A,"BOM",DATA_GOC!$D:$D,$H1380,DATA_GOC!$E:$E,$C1380,DATA_GOC!$F:$F,"Xuất nội bộ từ téc",DATA_GOC!$B:$B,"&gt;="&amp;$D1380,DATA_GOC!$B:$B,"&lt;="&amp;$E1380))</f>
        <v/>
      </c>
      <c r="J1380" s="59">
        <f t="shared" si="28"/>
        <v>0</v>
      </c>
      <c r="K1380" s="59">
        <f t="shared" si="29"/>
        <v>0</v>
      </c>
      <c r="L1380" s="59">
        <f t="shared" si="30"/>
        <v>0</v>
      </c>
      <c r="M1380" s="59">
        <f t="shared" si="31"/>
        <v>0</v>
      </c>
    </row>
    <row r="1381" ht="15.0" hidden="1" customHeight="1">
      <c r="A1381" s="59">
        <f t="shared" si="20"/>
        <v>20</v>
      </c>
      <c r="B1381" s="59" t="str">
        <f t="shared" si="21"/>
        <v/>
      </c>
      <c r="C1381" s="59" t="str">
        <f t="shared" si="22"/>
        <v/>
      </c>
      <c r="D1381" s="45" t="str">
        <f t="shared" si="23"/>
        <v/>
      </c>
      <c r="E1381" s="45" t="str">
        <f t="shared" si="24"/>
        <v/>
      </c>
      <c r="F1381" s="59" t="str">
        <f t="shared" si="25"/>
        <v/>
      </c>
      <c r="G1381" s="59" t="str">
        <f t="shared" si="26"/>
        <v/>
      </c>
      <c r="H1381" s="59" t="str">
        <f t="shared" si="27"/>
        <v>28C01731</v>
      </c>
      <c r="I1381" s="59" t="str">
        <f>IF(OR($A1381="",$C1381="",$D1381="",$E1381="",$H1381=""),"",SUMIFS(DATA_GOC!$H:$H,DATA_GOC!$A:$A,"BOM",DATA_GOC!$D:$D,$H1381,DATA_GOC!$E:$E,$C1381,DATA_GOC!$F:$F,"Xuất nội bộ từ téc",DATA_GOC!$B:$B,"&gt;="&amp;$D1381,DATA_GOC!$B:$B,"&lt;="&amp;$E1381))</f>
        <v/>
      </c>
      <c r="J1381" s="59">
        <f t="shared" si="28"/>
        <v>0</v>
      </c>
      <c r="K1381" s="59">
        <f t="shared" si="29"/>
        <v>0</v>
      </c>
      <c r="L1381" s="59">
        <f t="shared" si="30"/>
        <v>0</v>
      </c>
      <c r="M1381" s="59">
        <f t="shared" si="31"/>
        <v>0</v>
      </c>
    </row>
    <row r="1382" ht="15.0" hidden="1" customHeight="1">
      <c r="A1382" s="59">
        <f t="shared" si="20"/>
        <v>20</v>
      </c>
      <c r="B1382" s="59" t="str">
        <f t="shared" si="21"/>
        <v/>
      </c>
      <c r="C1382" s="59" t="str">
        <f t="shared" si="22"/>
        <v/>
      </c>
      <c r="D1382" s="45" t="str">
        <f t="shared" si="23"/>
        <v/>
      </c>
      <c r="E1382" s="45" t="str">
        <f t="shared" si="24"/>
        <v/>
      </c>
      <c r="F1382" s="59" t="str">
        <f t="shared" si="25"/>
        <v/>
      </c>
      <c r="G1382" s="59" t="str">
        <f t="shared" si="26"/>
        <v/>
      </c>
      <c r="H1382" s="59" t="str">
        <f t="shared" si="27"/>
        <v>28C01743</v>
      </c>
      <c r="I1382" s="59" t="str">
        <f>IF(OR($A1382="",$C1382="",$D1382="",$E1382="",$H1382=""),"",SUMIFS(DATA_GOC!$H:$H,DATA_GOC!$A:$A,"BOM",DATA_GOC!$D:$D,$H1382,DATA_GOC!$E:$E,$C1382,DATA_GOC!$F:$F,"Xuất nội bộ từ téc",DATA_GOC!$B:$B,"&gt;="&amp;$D1382,DATA_GOC!$B:$B,"&lt;="&amp;$E1382))</f>
        <v/>
      </c>
      <c r="J1382" s="59">
        <f t="shared" si="28"/>
        <v>0</v>
      </c>
      <c r="K1382" s="59">
        <f t="shared" si="29"/>
        <v>0</v>
      </c>
      <c r="L1382" s="59">
        <f t="shared" si="30"/>
        <v>0</v>
      </c>
      <c r="M1382" s="59">
        <f t="shared" si="31"/>
        <v>0</v>
      </c>
    </row>
    <row r="1383" ht="15.0" hidden="1" customHeight="1">
      <c r="A1383" s="59">
        <f t="shared" si="20"/>
        <v>20</v>
      </c>
      <c r="B1383" s="59" t="str">
        <f t="shared" si="21"/>
        <v/>
      </c>
      <c r="C1383" s="59" t="str">
        <f t="shared" si="22"/>
        <v/>
      </c>
      <c r="D1383" s="45" t="str">
        <f t="shared" si="23"/>
        <v/>
      </c>
      <c r="E1383" s="45" t="str">
        <f t="shared" si="24"/>
        <v/>
      </c>
      <c r="F1383" s="59" t="str">
        <f t="shared" si="25"/>
        <v/>
      </c>
      <c r="G1383" s="59" t="str">
        <f t="shared" si="26"/>
        <v/>
      </c>
      <c r="H1383" s="59" t="str">
        <f t="shared" si="27"/>
        <v>28C02106</v>
      </c>
      <c r="I1383" s="59" t="str">
        <f>IF(OR($A1383="",$C1383="",$D1383="",$E1383="",$H1383=""),"",SUMIFS(DATA_GOC!$H:$H,DATA_GOC!$A:$A,"BOM",DATA_GOC!$D:$D,$H1383,DATA_GOC!$E:$E,$C1383,DATA_GOC!$F:$F,"Xuất nội bộ từ téc",DATA_GOC!$B:$B,"&gt;="&amp;$D1383,DATA_GOC!$B:$B,"&lt;="&amp;$E1383))</f>
        <v/>
      </c>
      <c r="J1383" s="59">
        <f t="shared" si="28"/>
        <v>0</v>
      </c>
      <c r="K1383" s="59">
        <f t="shared" si="29"/>
        <v>0</v>
      </c>
      <c r="L1383" s="59">
        <f t="shared" si="30"/>
        <v>0</v>
      </c>
      <c r="M1383" s="59">
        <f t="shared" si="31"/>
        <v>0</v>
      </c>
    </row>
    <row r="1384" ht="15.0" hidden="1" customHeight="1">
      <c r="A1384" s="59">
        <f t="shared" si="20"/>
        <v>20</v>
      </c>
      <c r="B1384" s="59" t="str">
        <f t="shared" si="21"/>
        <v/>
      </c>
      <c r="C1384" s="59" t="str">
        <f t="shared" si="22"/>
        <v/>
      </c>
      <c r="D1384" s="45" t="str">
        <f t="shared" si="23"/>
        <v/>
      </c>
      <c r="E1384" s="45" t="str">
        <f t="shared" si="24"/>
        <v/>
      </c>
      <c r="F1384" s="59" t="str">
        <f t="shared" si="25"/>
        <v/>
      </c>
      <c r="G1384" s="59" t="str">
        <f t="shared" si="26"/>
        <v/>
      </c>
      <c r="H1384" s="59" t="str">
        <f t="shared" si="27"/>
        <v>28C02410</v>
      </c>
      <c r="I1384" s="59" t="str">
        <f>IF(OR($A1384="",$C1384="",$D1384="",$E1384="",$H1384=""),"",SUMIFS(DATA_GOC!$H:$H,DATA_GOC!$A:$A,"BOM",DATA_GOC!$D:$D,$H1384,DATA_GOC!$E:$E,$C1384,DATA_GOC!$F:$F,"Xuất nội bộ từ téc",DATA_GOC!$B:$B,"&gt;="&amp;$D1384,DATA_GOC!$B:$B,"&lt;="&amp;$E1384))</f>
        <v/>
      </c>
      <c r="J1384" s="59">
        <f t="shared" si="28"/>
        <v>0</v>
      </c>
      <c r="K1384" s="59">
        <f t="shared" si="29"/>
        <v>0</v>
      </c>
      <c r="L1384" s="59">
        <f t="shared" si="30"/>
        <v>0</v>
      </c>
      <c r="M1384" s="59">
        <f t="shared" si="31"/>
        <v>0</v>
      </c>
    </row>
    <row r="1385" ht="15.0" hidden="1" customHeight="1">
      <c r="A1385" s="59">
        <f t="shared" si="20"/>
        <v>20</v>
      </c>
      <c r="B1385" s="59" t="str">
        <f t="shared" si="21"/>
        <v/>
      </c>
      <c r="C1385" s="59" t="str">
        <f t="shared" si="22"/>
        <v/>
      </c>
      <c r="D1385" s="45" t="str">
        <f t="shared" si="23"/>
        <v/>
      </c>
      <c r="E1385" s="45" t="str">
        <f t="shared" si="24"/>
        <v/>
      </c>
      <c r="F1385" s="59" t="str">
        <f t="shared" si="25"/>
        <v/>
      </c>
      <c r="G1385" s="59" t="str">
        <f t="shared" si="26"/>
        <v/>
      </c>
      <c r="H1385" s="59" t="str">
        <f t="shared" si="27"/>
        <v>28C02545</v>
      </c>
      <c r="I1385" s="59" t="str">
        <f>IF(OR($A1385="",$C1385="",$D1385="",$E1385="",$H1385=""),"",SUMIFS(DATA_GOC!$H:$H,DATA_GOC!$A:$A,"BOM",DATA_GOC!$D:$D,$H1385,DATA_GOC!$E:$E,$C1385,DATA_GOC!$F:$F,"Xuất nội bộ từ téc",DATA_GOC!$B:$B,"&gt;="&amp;$D1385,DATA_GOC!$B:$B,"&lt;="&amp;$E1385))</f>
        <v/>
      </c>
      <c r="J1385" s="59">
        <f t="shared" si="28"/>
        <v>0</v>
      </c>
      <c r="K1385" s="59">
        <f t="shared" si="29"/>
        <v>0</v>
      </c>
      <c r="L1385" s="59">
        <f t="shared" si="30"/>
        <v>0</v>
      </c>
      <c r="M1385" s="59">
        <f t="shared" si="31"/>
        <v>0</v>
      </c>
    </row>
    <row r="1386" ht="15.0" hidden="1" customHeight="1">
      <c r="A1386" s="59">
        <f t="shared" si="20"/>
        <v>20</v>
      </c>
      <c r="B1386" s="59" t="str">
        <f t="shared" si="21"/>
        <v/>
      </c>
      <c r="C1386" s="59" t="str">
        <f t="shared" si="22"/>
        <v/>
      </c>
      <c r="D1386" s="45" t="str">
        <f t="shared" si="23"/>
        <v/>
      </c>
      <c r="E1386" s="45" t="str">
        <f t="shared" si="24"/>
        <v/>
      </c>
      <c r="F1386" s="59" t="str">
        <f t="shared" si="25"/>
        <v/>
      </c>
      <c r="G1386" s="59" t="str">
        <f t="shared" si="26"/>
        <v/>
      </c>
      <c r="H1386" s="59" t="str">
        <f t="shared" si="27"/>
        <v>28C02574</v>
      </c>
      <c r="I1386" s="59" t="str">
        <f>IF(OR($A1386="",$C1386="",$D1386="",$E1386="",$H1386=""),"",SUMIFS(DATA_GOC!$H:$H,DATA_GOC!$A:$A,"BOM",DATA_GOC!$D:$D,$H1386,DATA_GOC!$E:$E,$C1386,DATA_GOC!$F:$F,"Xuất nội bộ từ téc",DATA_GOC!$B:$B,"&gt;="&amp;$D1386,DATA_GOC!$B:$B,"&lt;="&amp;$E1386))</f>
        <v/>
      </c>
      <c r="J1386" s="59">
        <f t="shared" si="28"/>
        <v>0</v>
      </c>
      <c r="K1386" s="59">
        <f t="shared" si="29"/>
        <v>0</v>
      </c>
      <c r="L1386" s="59">
        <f t="shared" si="30"/>
        <v>0</v>
      </c>
      <c r="M1386" s="59">
        <f t="shared" si="31"/>
        <v>0</v>
      </c>
    </row>
    <row r="1387" ht="15.0" hidden="1" customHeight="1">
      <c r="A1387" s="59">
        <f t="shared" si="20"/>
        <v>20</v>
      </c>
      <c r="B1387" s="59" t="str">
        <f t="shared" si="21"/>
        <v/>
      </c>
      <c r="C1387" s="59" t="str">
        <f t="shared" si="22"/>
        <v/>
      </c>
      <c r="D1387" s="45" t="str">
        <f t="shared" si="23"/>
        <v/>
      </c>
      <c r="E1387" s="45" t="str">
        <f t="shared" si="24"/>
        <v/>
      </c>
      <c r="F1387" s="59" t="str">
        <f t="shared" si="25"/>
        <v/>
      </c>
      <c r="G1387" s="59" t="str">
        <f t="shared" si="26"/>
        <v/>
      </c>
      <c r="H1387" s="59" t="str">
        <f t="shared" si="27"/>
        <v>28C02770</v>
      </c>
      <c r="I1387" s="59" t="str">
        <f>IF(OR($A1387="",$C1387="",$D1387="",$E1387="",$H1387=""),"",SUMIFS(DATA_GOC!$H:$H,DATA_GOC!$A:$A,"BOM",DATA_GOC!$D:$D,$H1387,DATA_GOC!$E:$E,$C1387,DATA_GOC!$F:$F,"Xuất nội bộ từ téc",DATA_GOC!$B:$B,"&gt;="&amp;$D1387,DATA_GOC!$B:$B,"&lt;="&amp;$E1387))</f>
        <v/>
      </c>
      <c r="J1387" s="59">
        <f t="shared" si="28"/>
        <v>0</v>
      </c>
      <c r="K1387" s="59">
        <f t="shared" si="29"/>
        <v>0</v>
      </c>
      <c r="L1387" s="59">
        <f t="shared" si="30"/>
        <v>0</v>
      </c>
      <c r="M1387" s="59">
        <f t="shared" si="31"/>
        <v>0</v>
      </c>
    </row>
    <row r="1388" ht="15.0" hidden="1" customHeight="1">
      <c r="A1388" s="59">
        <f t="shared" si="20"/>
        <v>20</v>
      </c>
      <c r="B1388" s="59" t="str">
        <f t="shared" si="21"/>
        <v/>
      </c>
      <c r="C1388" s="59" t="str">
        <f t="shared" si="22"/>
        <v/>
      </c>
      <c r="D1388" s="45" t="str">
        <f t="shared" si="23"/>
        <v/>
      </c>
      <c r="E1388" s="45" t="str">
        <f t="shared" si="24"/>
        <v/>
      </c>
      <c r="F1388" s="59" t="str">
        <f t="shared" si="25"/>
        <v/>
      </c>
      <c r="G1388" s="59" t="str">
        <f t="shared" si="26"/>
        <v/>
      </c>
      <c r="H1388" s="59" t="str">
        <f t="shared" si="27"/>
        <v>28C02986</v>
      </c>
      <c r="I1388" s="59" t="str">
        <f>IF(OR($A1388="",$C1388="",$D1388="",$E1388="",$H1388=""),"",SUMIFS(DATA_GOC!$H:$H,DATA_GOC!$A:$A,"BOM",DATA_GOC!$D:$D,$H1388,DATA_GOC!$E:$E,$C1388,DATA_GOC!$F:$F,"Xuất nội bộ từ téc",DATA_GOC!$B:$B,"&gt;="&amp;$D1388,DATA_GOC!$B:$B,"&lt;="&amp;$E1388))</f>
        <v/>
      </c>
      <c r="J1388" s="59">
        <f t="shared" si="28"/>
        <v>0</v>
      </c>
      <c r="K1388" s="59">
        <f t="shared" si="29"/>
        <v>0</v>
      </c>
      <c r="L1388" s="59">
        <f t="shared" si="30"/>
        <v>0</v>
      </c>
      <c r="M1388" s="59">
        <f t="shared" si="31"/>
        <v>0</v>
      </c>
    </row>
    <row r="1389" ht="15.0" hidden="1" customHeight="1">
      <c r="A1389" s="59">
        <f t="shared" si="20"/>
        <v>20</v>
      </c>
      <c r="B1389" s="59" t="str">
        <f t="shared" si="21"/>
        <v/>
      </c>
      <c r="C1389" s="59" t="str">
        <f t="shared" si="22"/>
        <v/>
      </c>
      <c r="D1389" s="45" t="str">
        <f t="shared" si="23"/>
        <v/>
      </c>
      <c r="E1389" s="45" t="str">
        <f t="shared" si="24"/>
        <v/>
      </c>
      <c r="F1389" s="59" t="str">
        <f t="shared" si="25"/>
        <v/>
      </c>
      <c r="G1389" s="59" t="str">
        <f t="shared" si="26"/>
        <v/>
      </c>
      <c r="H1389" s="59" t="str">
        <f t="shared" si="27"/>
        <v>28C03261</v>
      </c>
      <c r="I1389" s="59" t="str">
        <f>IF(OR($A1389="",$C1389="",$D1389="",$E1389="",$H1389=""),"",SUMIFS(DATA_GOC!$H:$H,DATA_GOC!$A:$A,"BOM",DATA_GOC!$D:$D,$H1389,DATA_GOC!$E:$E,$C1389,DATA_GOC!$F:$F,"Xuất nội bộ từ téc",DATA_GOC!$B:$B,"&gt;="&amp;$D1389,DATA_GOC!$B:$B,"&lt;="&amp;$E1389))</f>
        <v/>
      </c>
      <c r="J1389" s="59">
        <f t="shared" si="28"/>
        <v>0</v>
      </c>
      <c r="K1389" s="59">
        <f t="shared" si="29"/>
        <v>0</v>
      </c>
      <c r="L1389" s="59">
        <f t="shared" si="30"/>
        <v>0</v>
      </c>
      <c r="M1389" s="59">
        <f t="shared" si="31"/>
        <v>0</v>
      </c>
    </row>
    <row r="1390" ht="15.0" hidden="1" customHeight="1">
      <c r="A1390" s="59">
        <f t="shared" si="20"/>
        <v>20</v>
      </c>
      <c r="B1390" s="59" t="str">
        <f t="shared" si="21"/>
        <v/>
      </c>
      <c r="C1390" s="59" t="str">
        <f t="shared" si="22"/>
        <v/>
      </c>
      <c r="D1390" s="45" t="str">
        <f t="shared" si="23"/>
        <v/>
      </c>
      <c r="E1390" s="45" t="str">
        <f t="shared" si="24"/>
        <v/>
      </c>
      <c r="F1390" s="59" t="str">
        <f t="shared" si="25"/>
        <v/>
      </c>
      <c r="G1390" s="59" t="str">
        <f t="shared" si="26"/>
        <v/>
      </c>
      <c r="H1390" s="59" t="str">
        <f t="shared" si="27"/>
        <v>28C03323</v>
      </c>
      <c r="I1390" s="59" t="str">
        <f>IF(OR($A1390="",$C1390="",$D1390="",$E1390="",$H1390=""),"",SUMIFS(DATA_GOC!$H:$H,DATA_GOC!$A:$A,"BOM",DATA_GOC!$D:$D,$H1390,DATA_GOC!$E:$E,$C1390,DATA_GOC!$F:$F,"Xuất nội bộ từ téc",DATA_GOC!$B:$B,"&gt;="&amp;$D1390,DATA_GOC!$B:$B,"&lt;="&amp;$E1390))</f>
        <v/>
      </c>
      <c r="J1390" s="59">
        <f t="shared" si="28"/>
        <v>0</v>
      </c>
      <c r="K1390" s="59">
        <f t="shared" si="29"/>
        <v>0</v>
      </c>
      <c r="L1390" s="59">
        <f t="shared" si="30"/>
        <v>0</v>
      </c>
      <c r="M1390" s="59">
        <f t="shared" si="31"/>
        <v>0</v>
      </c>
    </row>
    <row r="1391" ht="15.0" hidden="1" customHeight="1">
      <c r="A1391" s="59">
        <f t="shared" si="20"/>
        <v>20</v>
      </c>
      <c r="B1391" s="59" t="str">
        <f t="shared" si="21"/>
        <v/>
      </c>
      <c r="C1391" s="59" t="str">
        <f t="shared" si="22"/>
        <v/>
      </c>
      <c r="D1391" s="45" t="str">
        <f t="shared" si="23"/>
        <v/>
      </c>
      <c r="E1391" s="45" t="str">
        <f t="shared" si="24"/>
        <v/>
      </c>
      <c r="F1391" s="59" t="str">
        <f t="shared" si="25"/>
        <v/>
      </c>
      <c r="G1391" s="59" t="str">
        <f t="shared" si="26"/>
        <v/>
      </c>
      <c r="H1391" s="59" t="str">
        <f t="shared" si="27"/>
        <v>28C03385</v>
      </c>
      <c r="I1391" s="59" t="str">
        <f>IF(OR($A1391="",$C1391="",$D1391="",$E1391="",$H1391=""),"",SUMIFS(DATA_GOC!$H:$H,DATA_GOC!$A:$A,"BOM",DATA_GOC!$D:$D,$H1391,DATA_GOC!$E:$E,$C1391,DATA_GOC!$F:$F,"Xuất nội bộ từ téc",DATA_GOC!$B:$B,"&gt;="&amp;$D1391,DATA_GOC!$B:$B,"&lt;="&amp;$E1391))</f>
        <v/>
      </c>
      <c r="J1391" s="59">
        <f t="shared" si="28"/>
        <v>0</v>
      </c>
      <c r="K1391" s="59">
        <f t="shared" si="29"/>
        <v>0</v>
      </c>
      <c r="L1391" s="59">
        <f t="shared" si="30"/>
        <v>0</v>
      </c>
      <c r="M1391" s="59">
        <f t="shared" si="31"/>
        <v>0</v>
      </c>
    </row>
    <row r="1392" ht="15.0" hidden="1" customHeight="1">
      <c r="A1392" s="59">
        <f t="shared" si="20"/>
        <v>20</v>
      </c>
      <c r="B1392" s="59" t="str">
        <f t="shared" si="21"/>
        <v/>
      </c>
      <c r="C1392" s="59" t="str">
        <f t="shared" si="22"/>
        <v/>
      </c>
      <c r="D1392" s="45" t="str">
        <f t="shared" si="23"/>
        <v/>
      </c>
      <c r="E1392" s="45" t="str">
        <f t="shared" si="24"/>
        <v/>
      </c>
      <c r="F1392" s="59" t="str">
        <f t="shared" si="25"/>
        <v/>
      </c>
      <c r="G1392" s="59" t="str">
        <f t="shared" si="26"/>
        <v/>
      </c>
      <c r="H1392" s="59" t="str">
        <f t="shared" si="27"/>
        <v>28C03652</v>
      </c>
      <c r="I1392" s="59" t="str">
        <f>IF(OR($A1392="",$C1392="",$D1392="",$E1392="",$H1392=""),"",SUMIFS(DATA_GOC!$H:$H,DATA_GOC!$A:$A,"BOM",DATA_GOC!$D:$D,$H1392,DATA_GOC!$E:$E,$C1392,DATA_GOC!$F:$F,"Xuất nội bộ từ téc",DATA_GOC!$B:$B,"&gt;="&amp;$D1392,DATA_GOC!$B:$B,"&lt;="&amp;$E1392))</f>
        <v/>
      </c>
      <c r="J1392" s="59">
        <f t="shared" si="28"/>
        <v>0</v>
      </c>
      <c r="K1392" s="59">
        <f t="shared" si="29"/>
        <v>0</v>
      </c>
      <c r="L1392" s="59">
        <f t="shared" si="30"/>
        <v>0</v>
      </c>
      <c r="M1392" s="59">
        <f t="shared" si="31"/>
        <v>0</v>
      </c>
    </row>
    <row r="1393" ht="15.0" hidden="1" customHeight="1">
      <c r="A1393" s="59">
        <f t="shared" si="20"/>
        <v>20</v>
      </c>
      <c r="B1393" s="59" t="str">
        <f t="shared" si="21"/>
        <v/>
      </c>
      <c r="C1393" s="59" t="str">
        <f t="shared" si="22"/>
        <v/>
      </c>
      <c r="D1393" s="45" t="str">
        <f t="shared" si="23"/>
        <v/>
      </c>
      <c r="E1393" s="45" t="str">
        <f t="shared" si="24"/>
        <v/>
      </c>
      <c r="F1393" s="59" t="str">
        <f t="shared" si="25"/>
        <v/>
      </c>
      <c r="G1393" s="59" t="str">
        <f t="shared" si="26"/>
        <v/>
      </c>
      <c r="H1393" s="59" t="str">
        <f t="shared" si="27"/>
        <v>28C03695</v>
      </c>
      <c r="I1393" s="59" t="str">
        <f>IF(OR($A1393="",$C1393="",$D1393="",$E1393="",$H1393=""),"",SUMIFS(DATA_GOC!$H:$H,DATA_GOC!$A:$A,"BOM",DATA_GOC!$D:$D,$H1393,DATA_GOC!$E:$E,$C1393,DATA_GOC!$F:$F,"Xuất nội bộ từ téc",DATA_GOC!$B:$B,"&gt;="&amp;$D1393,DATA_GOC!$B:$B,"&lt;="&amp;$E1393))</f>
        <v/>
      </c>
      <c r="J1393" s="59">
        <f t="shared" si="28"/>
        <v>0</v>
      </c>
      <c r="K1393" s="59">
        <f t="shared" si="29"/>
        <v>0</v>
      </c>
      <c r="L1393" s="59">
        <f t="shared" si="30"/>
        <v>0</v>
      </c>
      <c r="M1393" s="59">
        <f t="shared" si="31"/>
        <v>0</v>
      </c>
    </row>
    <row r="1394" ht="15.0" hidden="1" customHeight="1">
      <c r="A1394" s="59">
        <f t="shared" si="20"/>
        <v>20</v>
      </c>
      <c r="B1394" s="59" t="str">
        <f t="shared" si="21"/>
        <v/>
      </c>
      <c r="C1394" s="59" t="str">
        <f t="shared" si="22"/>
        <v/>
      </c>
      <c r="D1394" s="45" t="str">
        <f t="shared" si="23"/>
        <v/>
      </c>
      <c r="E1394" s="45" t="str">
        <f t="shared" si="24"/>
        <v/>
      </c>
      <c r="F1394" s="59" t="str">
        <f t="shared" si="25"/>
        <v/>
      </c>
      <c r="G1394" s="59" t="str">
        <f t="shared" si="26"/>
        <v/>
      </c>
      <c r="H1394" s="59" t="str">
        <f t="shared" si="27"/>
        <v>28C03927</v>
      </c>
      <c r="I1394" s="59" t="str">
        <f>IF(OR($A1394="",$C1394="",$D1394="",$E1394="",$H1394=""),"",SUMIFS(DATA_GOC!$H:$H,DATA_GOC!$A:$A,"BOM",DATA_GOC!$D:$D,$H1394,DATA_GOC!$E:$E,$C1394,DATA_GOC!$F:$F,"Xuất nội bộ từ téc",DATA_GOC!$B:$B,"&gt;="&amp;$D1394,DATA_GOC!$B:$B,"&lt;="&amp;$E1394))</f>
        <v/>
      </c>
      <c r="J1394" s="59">
        <f t="shared" si="28"/>
        <v>0</v>
      </c>
      <c r="K1394" s="59">
        <f t="shared" si="29"/>
        <v>0</v>
      </c>
      <c r="L1394" s="59">
        <f t="shared" si="30"/>
        <v>0</v>
      </c>
      <c r="M1394" s="59">
        <f t="shared" si="31"/>
        <v>0</v>
      </c>
    </row>
    <row r="1395" ht="15.0" hidden="1" customHeight="1">
      <c r="A1395" s="59">
        <f t="shared" si="20"/>
        <v>20</v>
      </c>
      <c r="B1395" s="59" t="str">
        <f t="shared" si="21"/>
        <v/>
      </c>
      <c r="C1395" s="59" t="str">
        <f t="shared" si="22"/>
        <v/>
      </c>
      <c r="D1395" s="45" t="str">
        <f t="shared" si="23"/>
        <v/>
      </c>
      <c r="E1395" s="45" t="str">
        <f t="shared" si="24"/>
        <v/>
      </c>
      <c r="F1395" s="59" t="str">
        <f t="shared" si="25"/>
        <v/>
      </c>
      <c r="G1395" s="59" t="str">
        <f t="shared" si="26"/>
        <v/>
      </c>
      <c r="H1395" s="59" t="str">
        <f t="shared" si="27"/>
        <v>28C04509</v>
      </c>
      <c r="I1395" s="59" t="str">
        <f>IF(OR($A1395="",$C1395="",$D1395="",$E1395="",$H1395=""),"",SUMIFS(DATA_GOC!$H:$H,DATA_GOC!$A:$A,"BOM",DATA_GOC!$D:$D,$H1395,DATA_GOC!$E:$E,$C1395,DATA_GOC!$F:$F,"Xuất nội bộ từ téc",DATA_GOC!$B:$B,"&gt;="&amp;$D1395,DATA_GOC!$B:$B,"&lt;="&amp;$E1395))</f>
        <v/>
      </c>
      <c r="J1395" s="59">
        <f t="shared" si="28"/>
        <v>0</v>
      </c>
      <c r="K1395" s="59">
        <f t="shared" si="29"/>
        <v>0</v>
      </c>
      <c r="L1395" s="59">
        <f t="shared" si="30"/>
        <v>0</v>
      </c>
      <c r="M1395" s="59">
        <f t="shared" si="31"/>
        <v>0</v>
      </c>
    </row>
    <row r="1396" ht="15.0" hidden="1" customHeight="1">
      <c r="A1396" s="59">
        <f t="shared" si="20"/>
        <v>20</v>
      </c>
      <c r="B1396" s="59" t="str">
        <f t="shared" si="21"/>
        <v/>
      </c>
      <c r="C1396" s="59" t="str">
        <f t="shared" si="22"/>
        <v/>
      </c>
      <c r="D1396" s="45" t="str">
        <f t="shared" si="23"/>
        <v/>
      </c>
      <c r="E1396" s="45" t="str">
        <f t="shared" si="24"/>
        <v/>
      </c>
      <c r="F1396" s="59" t="str">
        <f t="shared" si="25"/>
        <v/>
      </c>
      <c r="G1396" s="59" t="str">
        <f t="shared" si="26"/>
        <v/>
      </c>
      <c r="H1396" s="59" t="str">
        <f t="shared" si="27"/>
        <v>28C04536</v>
      </c>
      <c r="I1396" s="59" t="str">
        <f>IF(OR($A1396="",$C1396="",$D1396="",$E1396="",$H1396=""),"",SUMIFS(DATA_GOC!$H:$H,DATA_GOC!$A:$A,"BOM",DATA_GOC!$D:$D,$H1396,DATA_GOC!$E:$E,$C1396,DATA_GOC!$F:$F,"Xuất nội bộ từ téc",DATA_GOC!$B:$B,"&gt;="&amp;$D1396,DATA_GOC!$B:$B,"&lt;="&amp;$E1396))</f>
        <v/>
      </c>
      <c r="J1396" s="59">
        <f t="shared" si="28"/>
        <v>0</v>
      </c>
      <c r="K1396" s="59">
        <f t="shared" si="29"/>
        <v>0</v>
      </c>
      <c r="L1396" s="59">
        <f t="shared" si="30"/>
        <v>0</v>
      </c>
      <c r="M1396" s="59">
        <f t="shared" si="31"/>
        <v>0</v>
      </c>
    </row>
    <row r="1397" ht="15.0" hidden="1" customHeight="1">
      <c r="A1397" s="59">
        <f t="shared" si="20"/>
        <v>20</v>
      </c>
      <c r="B1397" s="59" t="str">
        <f t="shared" si="21"/>
        <v/>
      </c>
      <c r="C1397" s="59" t="str">
        <f t="shared" si="22"/>
        <v/>
      </c>
      <c r="D1397" s="45" t="str">
        <f t="shared" si="23"/>
        <v/>
      </c>
      <c r="E1397" s="45" t="str">
        <f t="shared" si="24"/>
        <v/>
      </c>
      <c r="F1397" s="59" t="str">
        <f t="shared" si="25"/>
        <v/>
      </c>
      <c r="G1397" s="59" t="str">
        <f t="shared" si="26"/>
        <v/>
      </c>
      <c r="H1397" s="59" t="str">
        <f t="shared" si="27"/>
        <v>28C04576</v>
      </c>
      <c r="I1397" s="59" t="str">
        <f>IF(OR($A1397="",$C1397="",$D1397="",$E1397="",$H1397=""),"",SUMIFS(DATA_GOC!$H:$H,DATA_GOC!$A:$A,"BOM",DATA_GOC!$D:$D,$H1397,DATA_GOC!$E:$E,$C1397,DATA_GOC!$F:$F,"Xuất nội bộ từ téc",DATA_GOC!$B:$B,"&gt;="&amp;$D1397,DATA_GOC!$B:$B,"&lt;="&amp;$E1397))</f>
        <v/>
      </c>
      <c r="J1397" s="59">
        <f t="shared" si="28"/>
        <v>0</v>
      </c>
      <c r="K1397" s="59">
        <f t="shared" si="29"/>
        <v>0</v>
      </c>
      <c r="L1397" s="59">
        <f t="shared" si="30"/>
        <v>0</v>
      </c>
      <c r="M1397" s="59">
        <f t="shared" si="31"/>
        <v>0</v>
      </c>
    </row>
    <row r="1398" ht="15.0" hidden="1" customHeight="1">
      <c r="A1398" s="59">
        <f t="shared" si="20"/>
        <v>20</v>
      </c>
      <c r="B1398" s="59" t="str">
        <f t="shared" si="21"/>
        <v/>
      </c>
      <c r="C1398" s="59" t="str">
        <f t="shared" si="22"/>
        <v/>
      </c>
      <c r="D1398" s="45" t="str">
        <f t="shared" si="23"/>
        <v/>
      </c>
      <c r="E1398" s="45" t="str">
        <f t="shared" si="24"/>
        <v/>
      </c>
      <c r="F1398" s="59" t="str">
        <f t="shared" si="25"/>
        <v/>
      </c>
      <c r="G1398" s="59" t="str">
        <f t="shared" si="26"/>
        <v/>
      </c>
      <c r="H1398" s="59" t="str">
        <f t="shared" si="27"/>
        <v>28C05090</v>
      </c>
      <c r="I1398" s="59" t="str">
        <f>IF(OR($A1398="",$C1398="",$D1398="",$E1398="",$H1398=""),"",SUMIFS(DATA_GOC!$H:$H,DATA_GOC!$A:$A,"BOM",DATA_GOC!$D:$D,$H1398,DATA_GOC!$E:$E,$C1398,DATA_GOC!$F:$F,"Xuất nội bộ từ téc",DATA_GOC!$B:$B,"&gt;="&amp;$D1398,DATA_GOC!$B:$B,"&lt;="&amp;$E1398))</f>
        <v/>
      </c>
      <c r="J1398" s="59">
        <f t="shared" si="28"/>
        <v>0</v>
      </c>
      <c r="K1398" s="59">
        <f t="shared" si="29"/>
        <v>0</v>
      </c>
      <c r="L1398" s="59">
        <f t="shared" si="30"/>
        <v>0</v>
      </c>
      <c r="M1398" s="59">
        <f t="shared" si="31"/>
        <v>0</v>
      </c>
    </row>
    <row r="1399" ht="15.0" hidden="1" customHeight="1">
      <c r="A1399" s="59">
        <f t="shared" si="20"/>
        <v>20</v>
      </c>
      <c r="B1399" s="59" t="str">
        <f t="shared" si="21"/>
        <v/>
      </c>
      <c r="C1399" s="59" t="str">
        <f t="shared" si="22"/>
        <v/>
      </c>
      <c r="D1399" s="45" t="str">
        <f t="shared" si="23"/>
        <v/>
      </c>
      <c r="E1399" s="45" t="str">
        <f t="shared" si="24"/>
        <v/>
      </c>
      <c r="F1399" s="59" t="str">
        <f t="shared" si="25"/>
        <v/>
      </c>
      <c r="G1399" s="59" t="str">
        <f t="shared" si="26"/>
        <v/>
      </c>
      <c r="H1399" s="59" t="str">
        <f t="shared" si="27"/>
        <v>28C05345</v>
      </c>
      <c r="I1399" s="59" t="str">
        <f>IF(OR($A1399="",$C1399="",$D1399="",$E1399="",$H1399=""),"",SUMIFS(DATA_GOC!$H:$H,DATA_GOC!$A:$A,"BOM",DATA_GOC!$D:$D,$H1399,DATA_GOC!$E:$E,$C1399,DATA_GOC!$F:$F,"Xuất nội bộ từ téc",DATA_GOC!$B:$B,"&gt;="&amp;$D1399,DATA_GOC!$B:$B,"&lt;="&amp;$E1399))</f>
        <v/>
      </c>
      <c r="J1399" s="59">
        <f t="shared" si="28"/>
        <v>0</v>
      </c>
      <c r="K1399" s="59">
        <f t="shared" si="29"/>
        <v>0</v>
      </c>
      <c r="L1399" s="59">
        <f t="shared" si="30"/>
        <v>0</v>
      </c>
      <c r="M1399" s="59">
        <f t="shared" si="31"/>
        <v>0</v>
      </c>
    </row>
    <row r="1400" ht="15.0" hidden="1" customHeight="1">
      <c r="A1400" s="59">
        <f t="shared" si="20"/>
        <v>20</v>
      </c>
      <c r="B1400" s="59" t="str">
        <f t="shared" si="21"/>
        <v/>
      </c>
      <c r="C1400" s="59" t="str">
        <f t="shared" si="22"/>
        <v/>
      </c>
      <c r="D1400" s="45" t="str">
        <f t="shared" si="23"/>
        <v/>
      </c>
      <c r="E1400" s="45" t="str">
        <f t="shared" si="24"/>
        <v/>
      </c>
      <c r="F1400" s="59" t="str">
        <f t="shared" si="25"/>
        <v/>
      </c>
      <c r="G1400" s="59" t="str">
        <f t="shared" si="26"/>
        <v/>
      </c>
      <c r="H1400" s="59" t="str">
        <f t="shared" si="27"/>
        <v>28C05661</v>
      </c>
      <c r="I1400" s="59" t="str">
        <f>IF(OR($A1400="",$C1400="",$D1400="",$E1400="",$H1400=""),"",SUMIFS(DATA_GOC!$H:$H,DATA_GOC!$A:$A,"BOM",DATA_GOC!$D:$D,$H1400,DATA_GOC!$E:$E,$C1400,DATA_GOC!$F:$F,"Xuất nội bộ từ téc",DATA_GOC!$B:$B,"&gt;="&amp;$D1400,DATA_GOC!$B:$B,"&lt;="&amp;$E1400))</f>
        <v/>
      </c>
      <c r="J1400" s="59">
        <f t="shared" si="28"/>
        <v>0</v>
      </c>
      <c r="K1400" s="59">
        <f t="shared" si="29"/>
        <v>0</v>
      </c>
      <c r="L1400" s="59">
        <f t="shared" si="30"/>
        <v>0</v>
      </c>
      <c r="M1400" s="59">
        <f t="shared" si="31"/>
        <v>0</v>
      </c>
    </row>
    <row r="1401" ht="15.0" hidden="1" customHeight="1">
      <c r="A1401" s="59">
        <f t="shared" si="20"/>
        <v>20</v>
      </c>
      <c r="B1401" s="59" t="str">
        <f t="shared" si="21"/>
        <v/>
      </c>
      <c r="C1401" s="59" t="str">
        <f t="shared" si="22"/>
        <v/>
      </c>
      <c r="D1401" s="45" t="str">
        <f t="shared" si="23"/>
        <v/>
      </c>
      <c r="E1401" s="45" t="str">
        <f t="shared" si="24"/>
        <v/>
      </c>
      <c r="F1401" s="59" t="str">
        <f t="shared" si="25"/>
        <v/>
      </c>
      <c r="G1401" s="59" t="str">
        <f t="shared" si="26"/>
        <v/>
      </c>
      <c r="H1401" s="59" t="str">
        <f t="shared" si="27"/>
        <v>28C05739</v>
      </c>
      <c r="I1401" s="59" t="str">
        <f>IF(OR($A1401="",$C1401="",$D1401="",$E1401="",$H1401=""),"",SUMIFS(DATA_GOC!$H:$H,DATA_GOC!$A:$A,"BOM",DATA_GOC!$D:$D,$H1401,DATA_GOC!$E:$E,$C1401,DATA_GOC!$F:$F,"Xuất nội bộ từ téc",DATA_GOC!$B:$B,"&gt;="&amp;$D1401,DATA_GOC!$B:$B,"&lt;="&amp;$E1401))</f>
        <v/>
      </c>
      <c r="J1401" s="59">
        <f t="shared" si="28"/>
        <v>0</v>
      </c>
      <c r="K1401" s="59">
        <f t="shared" si="29"/>
        <v>0</v>
      </c>
      <c r="L1401" s="59">
        <f t="shared" si="30"/>
        <v>0</v>
      </c>
      <c r="M1401" s="59">
        <f t="shared" si="31"/>
        <v>0</v>
      </c>
    </row>
    <row r="1402" ht="15.0" hidden="1" customHeight="1">
      <c r="A1402" s="59">
        <f t="shared" si="20"/>
        <v>20</v>
      </c>
      <c r="B1402" s="59" t="str">
        <f t="shared" si="21"/>
        <v/>
      </c>
      <c r="C1402" s="59" t="str">
        <f t="shared" si="22"/>
        <v/>
      </c>
      <c r="D1402" s="45" t="str">
        <f t="shared" si="23"/>
        <v/>
      </c>
      <c r="E1402" s="45" t="str">
        <f t="shared" si="24"/>
        <v/>
      </c>
      <c r="F1402" s="59" t="str">
        <f t="shared" si="25"/>
        <v/>
      </c>
      <c r="G1402" s="59" t="str">
        <f t="shared" si="26"/>
        <v/>
      </c>
      <c r="H1402" s="59" t="str">
        <f t="shared" si="27"/>
        <v>28C06369</v>
      </c>
      <c r="I1402" s="59" t="str">
        <f>IF(OR($A1402="",$C1402="",$D1402="",$E1402="",$H1402=""),"",SUMIFS(DATA_GOC!$H:$H,DATA_GOC!$A:$A,"BOM",DATA_GOC!$D:$D,$H1402,DATA_GOC!$E:$E,$C1402,DATA_GOC!$F:$F,"Xuất nội bộ từ téc",DATA_GOC!$B:$B,"&gt;="&amp;$D1402,DATA_GOC!$B:$B,"&lt;="&amp;$E1402))</f>
        <v/>
      </c>
      <c r="J1402" s="59">
        <f t="shared" si="28"/>
        <v>0</v>
      </c>
      <c r="K1402" s="59">
        <f t="shared" si="29"/>
        <v>0</v>
      </c>
      <c r="L1402" s="59">
        <f t="shared" si="30"/>
        <v>0</v>
      </c>
      <c r="M1402" s="59">
        <f t="shared" si="31"/>
        <v>0</v>
      </c>
    </row>
    <row r="1403" ht="15.0" hidden="1" customHeight="1">
      <c r="A1403" s="59">
        <f t="shared" si="20"/>
        <v>20</v>
      </c>
      <c r="B1403" s="59" t="str">
        <f t="shared" si="21"/>
        <v/>
      </c>
      <c r="C1403" s="59" t="str">
        <f t="shared" si="22"/>
        <v/>
      </c>
      <c r="D1403" s="45" t="str">
        <f t="shared" si="23"/>
        <v/>
      </c>
      <c r="E1403" s="45" t="str">
        <f t="shared" si="24"/>
        <v/>
      </c>
      <c r="F1403" s="59" t="str">
        <f t="shared" si="25"/>
        <v/>
      </c>
      <c r="G1403" s="59" t="str">
        <f t="shared" si="26"/>
        <v/>
      </c>
      <c r="H1403" s="59" t="str">
        <f t="shared" si="27"/>
        <v>28C06447</v>
      </c>
      <c r="I1403" s="59" t="str">
        <f>IF(OR($A1403="",$C1403="",$D1403="",$E1403="",$H1403=""),"",SUMIFS(DATA_GOC!$H:$H,DATA_GOC!$A:$A,"BOM",DATA_GOC!$D:$D,$H1403,DATA_GOC!$E:$E,$C1403,DATA_GOC!$F:$F,"Xuất nội bộ từ téc",DATA_GOC!$B:$B,"&gt;="&amp;$D1403,DATA_GOC!$B:$B,"&lt;="&amp;$E1403))</f>
        <v/>
      </c>
      <c r="J1403" s="59">
        <f t="shared" si="28"/>
        <v>0</v>
      </c>
      <c r="K1403" s="59">
        <f t="shared" si="29"/>
        <v>0</v>
      </c>
      <c r="L1403" s="59">
        <f t="shared" si="30"/>
        <v>0</v>
      </c>
      <c r="M1403" s="59">
        <f t="shared" si="31"/>
        <v>0</v>
      </c>
    </row>
    <row r="1404" ht="15.0" hidden="1" customHeight="1">
      <c r="A1404" s="59">
        <f t="shared" si="20"/>
        <v>20</v>
      </c>
      <c r="B1404" s="59" t="str">
        <f t="shared" si="21"/>
        <v/>
      </c>
      <c r="C1404" s="59" t="str">
        <f t="shared" si="22"/>
        <v/>
      </c>
      <c r="D1404" s="45" t="str">
        <f t="shared" si="23"/>
        <v/>
      </c>
      <c r="E1404" s="45" t="str">
        <f t="shared" si="24"/>
        <v/>
      </c>
      <c r="F1404" s="59" t="str">
        <f t="shared" si="25"/>
        <v/>
      </c>
      <c r="G1404" s="59" t="str">
        <f t="shared" si="26"/>
        <v/>
      </c>
      <c r="H1404" s="59" t="str">
        <f t="shared" si="27"/>
        <v>28H00003</v>
      </c>
      <c r="I1404" s="59" t="str">
        <f>IF(OR($A1404="",$C1404="",$D1404="",$E1404="",$H1404=""),"",SUMIFS(DATA_GOC!$H:$H,DATA_GOC!$A:$A,"BOM",DATA_GOC!$D:$D,$H1404,DATA_GOC!$E:$E,$C1404,DATA_GOC!$F:$F,"Xuất nội bộ từ téc",DATA_GOC!$B:$B,"&gt;="&amp;$D1404,DATA_GOC!$B:$B,"&lt;="&amp;$E1404))</f>
        <v/>
      </c>
      <c r="J1404" s="59">
        <f t="shared" si="28"/>
        <v>0</v>
      </c>
      <c r="K1404" s="59">
        <f t="shared" si="29"/>
        <v>0</v>
      </c>
      <c r="L1404" s="59">
        <f t="shared" si="30"/>
        <v>0</v>
      </c>
      <c r="M1404" s="59">
        <f t="shared" si="31"/>
        <v>0</v>
      </c>
    </row>
    <row r="1405" ht="15.0" hidden="1" customHeight="1">
      <c r="A1405" s="59">
        <f t="shared" si="20"/>
        <v>20</v>
      </c>
      <c r="B1405" s="59" t="str">
        <f t="shared" si="21"/>
        <v/>
      </c>
      <c r="C1405" s="59" t="str">
        <f t="shared" si="22"/>
        <v/>
      </c>
      <c r="D1405" s="45" t="str">
        <f t="shared" si="23"/>
        <v/>
      </c>
      <c r="E1405" s="45" t="str">
        <f t="shared" si="24"/>
        <v/>
      </c>
      <c r="F1405" s="59" t="str">
        <f t="shared" si="25"/>
        <v/>
      </c>
      <c r="G1405" s="59" t="str">
        <f t="shared" si="26"/>
        <v/>
      </c>
      <c r="H1405" s="59" t="str">
        <f t="shared" si="27"/>
        <v>28H00061</v>
      </c>
      <c r="I1405" s="59" t="str">
        <f>IF(OR($A1405="",$C1405="",$D1405="",$E1405="",$H1405=""),"",SUMIFS(DATA_GOC!$H:$H,DATA_GOC!$A:$A,"BOM",DATA_GOC!$D:$D,$H1405,DATA_GOC!$E:$E,$C1405,DATA_GOC!$F:$F,"Xuất nội bộ từ téc",DATA_GOC!$B:$B,"&gt;="&amp;$D1405,DATA_GOC!$B:$B,"&lt;="&amp;$E1405))</f>
        <v/>
      </c>
      <c r="J1405" s="59">
        <f t="shared" si="28"/>
        <v>0</v>
      </c>
      <c r="K1405" s="59">
        <f t="shared" si="29"/>
        <v>0</v>
      </c>
      <c r="L1405" s="59">
        <f t="shared" si="30"/>
        <v>0</v>
      </c>
      <c r="M1405" s="59">
        <f t="shared" si="31"/>
        <v>0</v>
      </c>
    </row>
    <row r="1406" ht="15.0" hidden="1" customHeight="1">
      <c r="A1406" s="59">
        <f t="shared" si="20"/>
        <v>20</v>
      </c>
      <c r="B1406" s="59" t="str">
        <f t="shared" si="21"/>
        <v/>
      </c>
      <c r="C1406" s="59" t="str">
        <f t="shared" si="22"/>
        <v/>
      </c>
      <c r="D1406" s="45" t="str">
        <f t="shared" si="23"/>
        <v/>
      </c>
      <c r="E1406" s="45" t="str">
        <f t="shared" si="24"/>
        <v/>
      </c>
      <c r="F1406" s="59" t="str">
        <f t="shared" si="25"/>
        <v/>
      </c>
      <c r="G1406" s="59" t="str">
        <f t="shared" si="26"/>
        <v/>
      </c>
      <c r="H1406" s="59" t="str">
        <f t="shared" si="27"/>
        <v>28H00354</v>
      </c>
      <c r="I1406" s="59" t="str">
        <f>IF(OR($A1406="",$C1406="",$D1406="",$E1406="",$H1406=""),"",SUMIFS(DATA_GOC!$H:$H,DATA_GOC!$A:$A,"BOM",DATA_GOC!$D:$D,$H1406,DATA_GOC!$E:$E,$C1406,DATA_GOC!$F:$F,"Xuất nội bộ từ téc",DATA_GOC!$B:$B,"&gt;="&amp;$D1406,DATA_GOC!$B:$B,"&lt;="&amp;$E1406))</f>
        <v/>
      </c>
      <c r="J1406" s="59">
        <f t="shared" si="28"/>
        <v>0</v>
      </c>
      <c r="K1406" s="59">
        <f t="shared" si="29"/>
        <v>0</v>
      </c>
      <c r="L1406" s="59">
        <f t="shared" si="30"/>
        <v>0</v>
      </c>
      <c r="M1406" s="59">
        <f t="shared" si="31"/>
        <v>0</v>
      </c>
    </row>
    <row r="1407" ht="15.0" hidden="1" customHeight="1">
      <c r="A1407" s="59">
        <f t="shared" si="20"/>
        <v>20</v>
      </c>
      <c r="B1407" s="59" t="str">
        <f t="shared" si="21"/>
        <v/>
      </c>
      <c r="C1407" s="59" t="str">
        <f t="shared" si="22"/>
        <v/>
      </c>
      <c r="D1407" s="45" t="str">
        <f t="shared" si="23"/>
        <v/>
      </c>
      <c r="E1407" s="45" t="str">
        <f t="shared" si="24"/>
        <v/>
      </c>
      <c r="F1407" s="59" t="str">
        <f t="shared" si="25"/>
        <v/>
      </c>
      <c r="G1407" s="59" t="str">
        <f t="shared" si="26"/>
        <v/>
      </c>
      <c r="H1407" s="59" t="str">
        <f t="shared" si="27"/>
        <v>28H00603</v>
      </c>
      <c r="I1407" s="59" t="str">
        <f>IF(OR($A1407="",$C1407="",$D1407="",$E1407="",$H1407=""),"",SUMIFS(DATA_GOC!$H:$H,DATA_GOC!$A:$A,"BOM",DATA_GOC!$D:$D,$H1407,DATA_GOC!$E:$E,$C1407,DATA_GOC!$F:$F,"Xuất nội bộ từ téc",DATA_GOC!$B:$B,"&gt;="&amp;$D1407,DATA_GOC!$B:$B,"&lt;="&amp;$E1407))</f>
        <v/>
      </c>
      <c r="J1407" s="59">
        <f t="shared" si="28"/>
        <v>0</v>
      </c>
      <c r="K1407" s="59">
        <f t="shared" si="29"/>
        <v>0</v>
      </c>
      <c r="L1407" s="59">
        <f t="shared" si="30"/>
        <v>0</v>
      </c>
      <c r="M1407" s="59">
        <f t="shared" si="31"/>
        <v>0</v>
      </c>
    </row>
    <row r="1408" ht="15.0" hidden="1" customHeight="1">
      <c r="A1408" s="59">
        <f t="shared" si="20"/>
        <v>20</v>
      </c>
      <c r="B1408" s="59" t="str">
        <f t="shared" si="21"/>
        <v/>
      </c>
      <c r="C1408" s="59" t="str">
        <f t="shared" si="22"/>
        <v/>
      </c>
      <c r="D1408" s="45" t="str">
        <f t="shared" si="23"/>
        <v/>
      </c>
      <c r="E1408" s="45" t="str">
        <f t="shared" si="24"/>
        <v/>
      </c>
      <c r="F1408" s="59" t="str">
        <f t="shared" si="25"/>
        <v/>
      </c>
      <c r="G1408" s="59" t="str">
        <f t="shared" si="26"/>
        <v/>
      </c>
      <c r="H1408" s="59" t="str">
        <f t="shared" si="27"/>
        <v>28H00609</v>
      </c>
      <c r="I1408" s="59" t="str">
        <f>IF(OR($A1408="",$C1408="",$D1408="",$E1408="",$H1408=""),"",SUMIFS(DATA_GOC!$H:$H,DATA_GOC!$A:$A,"BOM",DATA_GOC!$D:$D,$H1408,DATA_GOC!$E:$E,$C1408,DATA_GOC!$F:$F,"Xuất nội bộ từ téc",DATA_GOC!$B:$B,"&gt;="&amp;$D1408,DATA_GOC!$B:$B,"&lt;="&amp;$E1408))</f>
        <v/>
      </c>
      <c r="J1408" s="59">
        <f t="shared" si="28"/>
        <v>0</v>
      </c>
      <c r="K1408" s="59">
        <f t="shared" si="29"/>
        <v>0</v>
      </c>
      <c r="L1408" s="59">
        <f t="shared" si="30"/>
        <v>0</v>
      </c>
      <c r="M1408" s="59">
        <f t="shared" si="31"/>
        <v>0</v>
      </c>
    </row>
    <row r="1409" ht="15.0" hidden="1" customHeight="1">
      <c r="A1409" s="59">
        <f t="shared" si="20"/>
        <v>20</v>
      </c>
      <c r="B1409" s="59" t="str">
        <f t="shared" si="21"/>
        <v/>
      </c>
      <c r="C1409" s="59" t="str">
        <f t="shared" si="22"/>
        <v/>
      </c>
      <c r="D1409" s="45" t="str">
        <f t="shared" si="23"/>
        <v/>
      </c>
      <c r="E1409" s="45" t="str">
        <f t="shared" si="24"/>
        <v/>
      </c>
      <c r="F1409" s="59" t="str">
        <f t="shared" si="25"/>
        <v/>
      </c>
      <c r="G1409" s="59" t="str">
        <f t="shared" si="26"/>
        <v/>
      </c>
      <c r="H1409" s="59" t="str">
        <f t="shared" si="27"/>
        <v>28H00669</v>
      </c>
      <c r="I1409" s="59" t="str">
        <f>IF(OR($A1409="",$C1409="",$D1409="",$E1409="",$H1409=""),"",SUMIFS(DATA_GOC!$H:$H,DATA_GOC!$A:$A,"BOM",DATA_GOC!$D:$D,$H1409,DATA_GOC!$E:$E,$C1409,DATA_GOC!$F:$F,"Xuất nội bộ từ téc",DATA_GOC!$B:$B,"&gt;="&amp;$D1409,DATA_GOC!$B:$B,"&lt;="&amp;$E1409))</f>
        <v/>
      </c>
      <c r="J1409" s="59">
        <f t="shared" si="28"/>
        <v>0</v>
      </c>
      <c r="K1409" s="59">
        <f t="shared" si="29"/>
        <v>0</v>
      </c>
      <c r="L1409" s="59">
        <f t="shared" si="30"/>
        <v>0</v>
      </c>
      <c r="M1409" s="59">
        <f t="shared" si="31"/>
        <v>0</v>
      </c>
    </row>
    <row r="1410" ht="15.0" hidden="1" customHeight="1">
      <c r="A1410" s="59">
        <f t="shared" si="20"/>
        <v>20</v>
      </c>
      <c r="B1410" s="59" t="str">
        <f t="shared" si="21"/>
        <v/>
      </c>
      <c r="C1410" s="59" t="str">
        <f t="shared" si="22"/>
        <v/>
      </c>
      <c r="D1410" s="45" t="str">
        <f t="shared" si="23"/>
        <v/>
      </c>
      <c r="E1410" s="45" t="str">
        <f t="shared" si="24"/>
        <v/>
      </c>
      <c r="F1410" s="59" t="str">
        <f t="shared" si="25"/>
        <v/>
      </c>
      <c r="G1410" s="59" t="str">
        <f t="shared" si="26"/>
        <v/>
      </c>
      <c r="H1410" s="59" t="str">
        <f t="shared" si="27"/>
        <v>28H00680</v>
      </c>
      <c r="I1410" s="59" t="str">
        <f>IF(OR($A1410="",$C1410="",$D1410="",$E1410="",$H1410=""),"",SUMIFS(DATA_GOC!$H:$H,DATA_GOC!$A:$A,"BOM",DATA_GOC!$D:$D,$H1410,DATA_GOC!$E:$E,$C1410,DATA_GOC!$F:$F,"Xuất nội bộ từ téc",DATA_GOC!$B:$B,"&gt;="&amp;$D1410,DATA_GOC!$B:$B,"&lt;="&amp;$E1410))</f>
        <v/>
      </c>
      <c r="J1410" s="59">
        <f t="shared" si="28"/>
        <v>0</v>
      </c>
      <c r="K1410" s="59">
        <f t="shared" si="29"/>
        <v>0</v>
      </c>
      <c r="L1410" s="59">
        <f t="shared" si="30"/>
        <v>0</v>
      </c>
      <c r="M1410" s="59">
        <f t="shared" si="31"/>
        <v>0</v>
      </c>
    </row>
    <row r="1411" ht="15.0" hidden="1" customHeight="1">
      <c r="A1411" s="59">
        <f t="shared" si="20"/>
        <v>20</v>
      </c>
      <c r="B1411" s="59" t="str">
        <f t="shared" si="21"/>
        <v/>
      </c>
      <c r="C1411" s="59" t="str">
        <f t="shared" si="22"/>
        <v/>
      </c>
      <c r="D1411" s="45" t="str">
        <f t="shared" si="23"/>
        <v/>
      </c>
      <c r="E1411" s="45" t="str">
        <f t="shared" si="24"/>
        <v/>
      </c>
      <c r="F1411" s="59" t="str">
        <f t="shared" si="25"/>
        <v/>
      </c>
      <c r="G1411" s="59" t="str">
        <f t="shared" si="26"/>
        <v/>
      </c>
      <c r="H1411" s="59" t="str">
        <f t="shared" si="27"/>
        <v>28H01070</v>
      </c>
      <c r="I1411" s="59" t="str">
        <f>IF(OR($A1411="",$C1411="",$D1411="",$E1411="",$H1411=""),"",SUMIFS(DATA_GOC!$H:$H,DATA_GOC!$A:$A,"BOM",DATA_GOC!$D:$D,$H1411,DATA_GOC!$E:$E,$C1411,DATA_GOC!$F:$F,"Xuất nội bộ từ téc",DATA_GOC!$B:$B,"&gt;="&amp;$D1411,DATA_GOC!$B:$B,"&lt;="&amp;$E1411))</f>
        <v/>
      </c>
      <c r="J1411" s="59">
        <f t="shared" si="28"/>
        <v>0</v>
      </c>
      <c r="K1411" s="59">
        <f t="shared" si="29"/>
        <v>0</v>
      </c>
      <c r="L1411" s="59">
        <f t="shared" si="30"/>
        <v>0</v>
      </c>
      <c r="M1411" s="59">
        <f t="shared" si="31"/>
        <v>0</v>
      </c>
    </row>
    <row r="1412" ht="15.0" hidden="1" customHeight="1">
      <c r="A1412" s="59">
        <f t="shared" si="20"/>
        <v>20</v>
      </c>
      <c r="B1412" s="59" t="str">
        <f t="shared" si="21"/>
        <v/>
      </c>
      <c r="C1412" s="59" t="str">
        <f t="shared" si="22"/>
        <v/>
      </c>
      <c r="D1412" s="45" t="str">
        <f t="shared" si="23"/>
        <v/>
      </c>
      <c r="E1412" s="45" t="str">
        <f t="shared" si="24"/>
        <v/>
      </c>
      <c r="F1412" s="59" t="str">
        <f t="shared" si="25"/>
        <v/>
      </c>
      <c r="G1412" s="59" t="str">
        <f t="shared" si="26"/>
        <v/>
      </c>
      <c r="H1412" s="59" t="str">
        <f t="shared" si="27"/>
        <v>28H01364</v>
      </c>
      <c r="I1412" s="59" t="str">
        <f>IF(OR($A1412="",$C1412="",$D1412="",$E1412="",$H1412=""),"",SUMIFS(DATA_GOC!$H:$H,DATA_GOC!$A:$A,"BOM",DATA_GOC!$D:$D,$H1412,DATA_GOC!$E:$E,$C1412,DATA_GOC!$F:$F,"Xuất nội bộ từ téc",DATA_GOC!$B:$B,"&gt;="&amp;$D1412,DATA_GOC!$B:$B,"&lt;="&amp;$E1412))</f>
        <v/>
      </c>
      <c r="J1412" s="59">
        <f t="shared" si="28"/>
        <v>0</v>
      </c>
      <c r="K1412" s="59">
        <f t="shared" si="29"/>
        <v>0</v>
      </c>
      <c r="L1412" s="59">
        <f t="shared" si="30"/>
        <v>0</v>
      </c>
      <c r="M1412" s="59">
        <f t="shared" si="31"/>
        <v>0</v>
      </c>
    </row>
    <row r="1413" ht="15.0" hidden="1" customHeight="1">
      <c r="A1413" s="59">
        <f t="shared" si="20"/>
        <v>20</v>
      </c>
      <c r="B1413" s="59" t="str">
        <f t="shared" si="21"/>
        <v/>
      </c>
      <c r="C1413" s="59" t="str">
        <f t="shared" si="22"/>
        <v/>
      </c>
      <c r="D1413" s="45" t="str">
        <f t="shared" si="23"/>
        <v/>
      </c>
      <c r="E1413" s="45" t="str">
        <f t="shared" si="24"/>
        <v/>
      </c>
      <c r="F1413" s="59" t="str">
        <f t="shared" si="25"/>
        <v/>
      </c>
      <c r="G1413" s="59" t="str">
        <f t="shared" si="26"/>
        <v/>
      </c>
      <c r="H1413" s="59" t="str">
        <f t="shared" si="27"/>
        <v>29E17269</v>
      </c>
      <c r="I1413" s="59" t="str">
        <f>IF(OR($A1413="",$C1413="",$D1413="",$E1413="",$H1413=""),"",SUMIFS(DATA_GOC!$H:$H,DATA_GOC!$A:$A,"BOM",DATA_GOC!$D:$D,$H1413,DATA_GOC!$E:$E,$C1413,DATA_GOC!$F:$F,"Xuất nội bộ từ téc",DATA_GOC!$B:$B,"&gt;="&amp;$D1413,DATA_GOC!$B:$B,"&lt;="&amp;$E1413))</f>
        <v/>
      </c>
      <c r="J1413" s="59">
        <f t="shared" si="28"/>
        <v>0</v>
      </c>
      <c r="K1413" s="59">
        <f t="shared" si="29"/>
        <v>0</v>
      </c>
      <c r="L1413" s="59">
        <f t="shared" si="30"/>
        <v>0</v>
      </c>
      <c r="M1413" s="59">
        <f t="shared" si="31"/>
        <v>0</v>
      </c>
    </row>
    <row r="1414" ht="15.0" hidden="1" customHeight="1">
      <c r="A1414" s="59">
        <f t="shared" si="20"/>
        <v>20</v>
      </c>
      <c r="B1414" s="59" t="str">
        <f t="shared" si="21"/>
        <v/>
      </c>
      <c r="C1414" s="59" t="str">
        <f t="shared" si="22"/>
        <v/>
      </c>
      <c r="D1414" s="45" t="str">
        <f t="shared" si="23"/>
        <v/>
      </c>
      <c r="E1414" s="45" t="str">
        <f t="shared" si="24"/>
        <v/>
      </c>
      <c r="F1414" s="59" t="str">
        <f t="shared" si="25"/>
        <v/>
      </c>
      <c r="G1414" s="59" t="str">
        <f t="shared" si="26"/>
        <v/>
      </c>
      <c r="H1414" s="59" t="str">
        <f t="shared" si="27"/>
        <v>29E17273</v>
      </c>
      <c r="I1414" s="59" t="str">
        <f>IF(OR($A1414="",$C1414="",$D1414="",$E1414="",$H1414=""),"",SUMIFS(DATA_GOC!$H:$H,DATA_GOC!$A:$A,"BOM",DATA_GOC!$D:$D,$H1414,DATA_GOC!$E:$E,$C1414,DATA_GOC!$F:$F,"Xuất nội bộ từ téc",DATA_GOC!$B:$B,"&gt;="&amp;$D1414,DATA_GOC!$B:$B,"&lt;="&amp;$E1414))</f>
        <v/>
      </c>
      <c r="J1414" s="59">
        <f t="shared" si="28"/>
        <v>0</v>
      </c>
      <c r="K1414" s="59">
        <f t="shared" si="29"/>
        <v>0</v>
      </c>
      <c r="L1414" s="59">
        <f t="shared" si="30"/>
        <v>0</v>
      </c>
      <c r="M1414" s="59">
        <f t="shared" si="31"/>
        <v>0</v>
      </c>
    </row>
    <row r="1415" ht="15.0" hidden="1" customHeight="1">
      <c r="A1415" s="59">
        <f t="shared" si="20"/>
        <v>20</v>
      </c>
      <c r="B1415" s="59" t="str">
        <f t="shared" si="21"/>
        <v/>
      </c>
      <c r="C1415" s="59" t="str">
        <f t="shared" si="22"/>
        <v/>
      </c>
      <c r="D1415" s="45" t="str">
        <f t="shared" si="23"/>
        <v/>
      </c>
      <c r="E1415" s="45" t="str">
        <f t="shared" si="24"/>
        <v/>
      </c>
      <c r="F1415" s="59" t="str">
        <f t="shared" si="25"/>
        <v/>
      </c>
      <c r="G1415" s="59" t="str">
        <f t="shared" si="26"/>
        <v/>
      </c>
      <c r="H1415" s="59" t="str">
        <f t="shared" si="27"/>
        <v>29E17410</v>
      </c>
      <c r="I1415" s="59" t="str">
        <f>IF(OR($A1415="",$C1415="",$D1415="",$E1415="",$H1415=""),"",SUMIFS(DATA_GOC!$H:$H,DATA_GOC!$A:$A,"BOM",DATA_GOC!$D:$D,$H1415,DATA_GOC!$E:$E,$C1415,DATA_GOC!$F:$F,"Xuất nội bộ từ téc",DATA_GOC!$B:$B,"&gt;="&amp;$D1415,DATA_GOC!$B:$B,"&lt;="&amp;$E1415))</f>
        <v/>
      </c>
      <c r="J1415" s="59">
        <f t="shared" si="28"/>
        <v>0</v>
      </c>
      <c r="K1415" s="59">
        <f t="shared" si="29"/>
        <v>0</v>
      </c>
      <c r="L1415" s="59">
        <f t="shared" si="30"/>
        <v>0</v>
      </c>
      <c r="M1415" s="59">
        <f t="shared" si="31"/>
        <v>0</v>
      </c>
    </row>
    <row r="1416" ht="15.0" hidden="1" customHeight="1">
      <c r="A1416" s="59">
        <f t="shared" si="20"/>
        <v>20</v>
      </c>
      <c r="B1416" s="59" t="str">
        <f t="shared" si="21"/>
        <v/>
      </c>
      <c r="C1416" s="59" t="str">
        <f t="shared" si="22"/>
        <v/>
      </c>
      <c r="D1416" s="45" t="str">
        <f t="shared" si="23"/>
        <v/>
      </c>
      <c r="E1416" s="45" t="str">
        <f t="shared" si="24"/>
        <v/>
      </c>
      <c r="F1416" s="59" t="str">
        <f t="shared" si="25"/>
        <v/>
      </c>
      <c r="G1416" s="59" t="str">
        <f t="shared" si="26"/>
        <v/>
      </c>
      <c r="H1416" s="59" t="str">
        <f t="shared" si="27"/>
        <v>29E17417</v>
      </c>
      <c r="I1416" s="59" t="str">
        <f>IF(OR($A1416="",$C1416="",$D1416="",$E1416="",$H1416=""),"",SUMIFS(DATA_GOC!$H:$H,DATA_GOC!$A:$A,"BOM",DATA_GOC!$D:$D,$H1416,DATA_GOC!$E:$E,$C1416,DATA_GOC!$F:$F,"Xuất nội bộ từ téc",DATA_GOC!$B:$B,"&gt;="&amp;$D1416,DATA_GOC!$B:$B,"&lt;="&amp;$E1416))</f>
        <v/>
      </c>
      <c r="J1416" s="59">
        <f t="shared" si="28"/>
        <v>0</v>
      </c>
      <c r="K1416" s="59">
        <f t="shared" si="29"/>
        <v>0</v>
      </c>
      <c r="L1416" s="59">
        <f t="shared" si="30"/>
        <v>0</v>
      </c>
      <c r="M1416" s="59">
        <f t="shared" si="31"/>
        <v>0</v>
      </c>
    </row>
    <row r="1417" ht="15.0" hidden="1" customHeight="1">
      <c r="A1417" s="59">
        <f t="shared" si="20"/>
        <v>20</v>
      </c>
      <c r="B1417" s="59" t="str">
        <f t="shared" si="21"/>
        <v/>
      </c>
      <c r="C1417" s="59" t="str">
        <f t="shared" si="22"/>
        <v/>
      </c>
      <c r="D1417" s="45" t="str">
        <f t="shared" si="23"/>
        <v/>
      </c>
      <c r="E1417" s="45" t="str">
        <f t="shared" si="24"/>
        <v/>
      </c>
      <c r="F1417" s="59" t="str">
        <f t="shared" si="25"/>
        <v/>
      </c>
      <c r="G1417" s="59" t="str">
        <f t="shared" si="26"/>
        <v/>
      </c>
      <c r="H1417" s="59" t="str">
        <f t="shared" si="27"/>
        <v>29E17539</v>
      </c>
      <c r="I1417" s="59" t="str">
        <f>IF(OR($A1417="",$C1417="",$D1417="",$E1417="",$H1417=""),"",SUMIFS(DATA_GOC!$H:$H,DATA_GOC!$A:$A,"BOM",DATA_GOC!$D:$D,$H1417,DATA_GOC!$E:$E,$C1417,DATA_GOC!$F:$F,"Xuất nội bộ từ téc",DATA_GOC!$B:$B,"&gt;="&amp;$D1417,DATA_GOC!$B:$B,"&lt;="&amp;$E1417))</f>
        <v/>
      </c>
      <c r="J1417" s="59">
        <f t="shared" si="28"/>
        <v>0</v>
      </c>
      <c r="K1417" s="59">
        <f t="shared" si="29"/>
        <v>0</v>
      </c>
      <c r="L1417" s="59">
        <f t="shared" si="30"/>
        <v>0</v>
      </c>
      <c r="M1417" s="59">
        <f t="shared" si="31"/>
        <v>0</v>
      </c>
    </row>
    <row r="1418" ht="15.0" hidden="1" customHeight="1">
      <c r="A1418" s="59">
        <f t="shared" si="20"/>
        <v>20</v>
      </c>
      <c r="B1418" s="59" t="str">
        <f t="shared" si="21"/>
        <v/>
      </c>
      <c r="C1418" s="59" t="str">
        <f t="shared" si="22"/>
        <v/>
      </c>
      <c r="D1418" s="45" t="str">
        <f t="shared" si="23"/>
        <v/>
      </c>
      <c r="E1418" s="45" t="str">
        <f t="shared" si="24"/>
        <v/>
      </c>
      <c r="F1418" s="59" t="str">
        <f t="shared" si="25"/>
        <v/>
      </c>
      <c r="G1418" s="59" t="str">
        <f t="shared" si="26"/>
        <v/>
      </c>
      <c r="H1418" s="59" t="str">
        <f t="shared" si="27"/>
        <v>29E18160</v>
      </c>
      <c r="I1418" s="59" t="str">
        <f>IF(OR($A1418="",$C1418="",$D1418="",$E1418="",$H1418=""),"",SUMIFS(DATA_GOC!$H:$H,DATA_GOC!$A:$A,"BOM",DATA_GOC!$D:$D,$H1418,DATA_GOC!$E:$E,$C1418,DATA_GOC!$F:$F,"Xuất nội bộ từ téc",DATA_GOC!$B:$B,"&gt;="&amp;$D1418,DATA_GOC!$B:$B,"&lt;="&amp;$E1418))</f>
        <v/>
      </c>
      <c r="J1418" s="59">
        <f t="shared" si="28"/>
        <v>0</v>
      </c>
      <c r="K1418" s="59">
        <f t="shared" si="29"/>
        <v>0</v>
      </c>
      <c r="L1418" s="59">
        <f t="shared" si="30"/>
        <v>0</v>
      </c>
      <c r="M1418" s="59">
        <f t="shared" si="31"/>
        <v>0</v>
      </c>
    </row>
    <row r="1419" ht="15.0" hidden="1" customHeight="1">
      <c r="A1419" s="59">
        <f t="shared" si="20"/>
        <v>20</v>
      </c>
      <c r="B1419" s="59" t="str">
        <f t="shared" si="21"/>
        <v/>
      </c>
      <c r="C1419" s="59" t="str">
        <f t="shared" si="22"/>
        <v/>
      </c>
      <c r="D1419" s="45" t="str">
        <f t="shared" si="23"/>
        <v/>
      </c>
      <c r="E1419" s="45" t="str">
        <f t="shared" si="24"/>
        <v/>
      </c>
      <c r="F1419" s="59" t="str">
        <f t="shared" si="25"/>
        <v/>
      </c>
      <c r="G1419" s="59" t="str">
        <f t="shared" si="26"/>
        <v/>
      </c>
      <c r="H1419" s="59" t="str">
        <f t="shared" si="27"/>
        <v>Công trình Asphalt</v>
      </c>
      <c r="I1419" s="59" t="str">
        <f>IF(OR($A1419="",$C1419="",$D1419="",$E1419="",$H1419=""),"",SUMIFS(DATA_GOC!$H:$H,DATA_GOC!$A:$A,"BOM",DATA_GOC!$D:$D,$H1419,DATA_GOC!$E:$E,$C1419,DATA_GOC!$F:$F,"Xuất nội bộ từ téc",DATA_GOC!$B:$B,"&gt;="&amp;$D1419,DATA_GOC!$B:$B,"&lt;="&amp;$E1419))</f>
        <v/>
      </c>
      <c r="J1419" s="59">
        <f t="shared" si="28"/>
        <v>0</v>
      </c>
      <c r="K1419" s="59">
        <f t="shared" si="29"/>
        <v>0</v>
      </c>
      <c r="L1419" s="59">
        <f t="shared" si="30"/>
        <v>0</v>
      </c>
      <c r="M1419" s="59">
        <f t="shared" si="31"/>
        <v>0</v>
      </c>
    </row>
    <row r="1420" ht="15.0" hidden="1" customHeight="1">
      <c r="A1420" s="59">
        <f t="shared" si="20"/>
        <v>20</v>
      </c>
      <c r="B1420" s="59" t="str">
        <f t="shared" si="21"/>
        <v/>
      </c>
      <c r="C1420" s="59" t="str">
        <f t="shared" si="22"/>
        <v/>
      </c>
      <c r="D1420" s="45" t="str">
        <f t="shared" si="23"/>
        <v/>
      </c>
      <c r="E1420" s="45" t="str">
        <f t="shared" si="24"/>
        <v/>
      </c>
      <c r="F1420" s="59" t="str">
        <f t="shared" si="25"/>
        <v/>
      </c>
      <c r="G1420" s="59" t="str">
        <f t="shared" si="26"/>
        <v/>
      </c>
      <c r="H1420" s="59" t="str">
        <f t="shared" si="27"/>
        <v>LG53F</v>
      </c>
      <c r="I1420" s="59" t="str">
        <f>IF(OR($A1420="",$C1420="",$D1420="",$E1420="",$H1420=""),"",SUMIFS(DATA_GOC!$H:$H,DATA_GOC!$A:$A,"BOM",DATA_GOC!$D:$D,$H1420,DATA_GOC!$E:$E,$C1420,DATA_GOC!$F:$F,"Xuất nội bộ từ téc",DATA_GOC!$B:$B,"&gt;="&amp;$D1420,DATA_GOC!$B:$B,"&lt;="&amp;$E1420))</f>
        <v/>
      </c>
      <c r="J1420" s="59">
        <f t="shared" si="28"/>
        <v>0</v>
      </c>
      <c r="K1420" s="59">
        <f t="shared" si="29"/>
        <v>0</v>
      </c>
      <c r="L1420" s="59">
        <f t="shared" si="30"/>
        <v>0</v>
      </c>
      <c r="M1420" s="59">
        <f t="shared" si="31"/>
        <v>0</v>
      </c>
    </row>
    <row r="1421" ht="15.0" hidden="1" customHeight="1">
      <c r="A1421" s="59">
        <f t="shared" si="20"/>
        <v>20</v>
      </c>
      <c r="B1421" s="59" t="str">
        <f t="shared" si="21"/>
        <v/>
      </c>
      <c r="C1421" s="59" t="str">
        <f t="shared" si="22"/>
        <v/>
      </c>
      <c r="D1421" s="45" t="str">
        <f t="shared" si="23"/>
        <v/>
      </c>
      <c r="E1421" s="45" t="str">
        <f t="shared" si="24"/>
        <v/>
      </c>
      <c r="F1421" s="59" t="str">
        <f t="shared" si="25"/>
        <v/>
      </c>
      <c r="G1421" s="59" t="str">
        <f t="shared" si="26"/>
        <v/>
      </c>
      <c r="H1421" s="59" t="str">
        <f t="shared" si="27"/>
        <v>Máy phát điện</v>
      </c>
      <c r="I1421" s="59" t="str">
        <f>IF(OR($A1421="",$C1421="",$D1421="",$E1421="",$H1421=""),"",SUMIFS(DATA_GOC!$H:$H,DATA_GOC!$A:$A,"BOM",DATA_GOC!$D:$D,$H1421,DATA_GOC!$E:$E,$C1421,DATA_GOC!$F:$F,"Xuất nội bộ từ téc",DATA_GOC!$B:$B,"&gt;="&amp;$D1421,DATA_GOC!$B:$B,"&lt;="&amp;$E1421))</f>
        <v/>
      </c>
      <c r="J1421" s="59">
        <f t="shared" si="28"/>
        <v>0</v>
      </c>
      <c r="K1421" s="59">
        <f t="shared" si="29"/>
        <v>0</v>
      </c>
      <c r="L1421" s="59">
        <f t="shared" si="30"/>
        <v>0</v>
      </c>
      <c r="M1421" s="59">
        <f t="shared" si="31"/>
        <v>0</v>
      </c>
    </row>
    <row r="1422" ht="15.0" hidden="1" customHeight="1">
      <c r="A1422" s="59">
        <f t="shared" si="20"/>
        <v>20</v>
      </c>
      <c r="B1422" s="59" t="str">
        <f t="shared" si="21"/>
        <v/>
      </c>
      <c r="C1422" s="59" t="str">
        <f t="shared" si="22"/>
        <v/>
      </c>
      <c r="D1422" s="45" t="str">
        <f t="shared" si="23"/>
        <v/>
      </c>
      <c r="E1422" s="45" t="str">
        <f t="shared" si="24"/>
        <v/>
      </c>
      <c r="F1422" s="59" t="str">
        <f t="shared" si="25"/>
        <v/>
      </c>
      <c r="G1422" s="59" t="str">
        <f t="shared" si="26"/>
        <v/>
      </c>
      <c r="H1422" s="59" t="str">
        <f t="shared" si="27"/>
        <v>Máy rải thảm</v>
      </c>
      <c r="I1422" s="59" t="str">
        <f>IF(OR($A1422="",$C1422="",$D1422="",$E1422="",$H1422=""),"",SUMIFS(DATA_GOC!$H:$H,DATA_GOC!$A:$A,"BOM",DATA_GOC!$D:$D,$H1422,DATA_GOC!$E:$E,$C1422,DATA_GOC!$F:$F,"Xuất nội bộ từ téc",DATA_GOC!$B:$B,"&gt;="&amp;$D1422,DATA_GOC!$B:$B,"&lt;="&amp;$E1422))</f>
        <v/>
      </c>
      <c r="J1422" s="59">
        <f t="shared" si="28"/>
        <v>0</v>
      </c>
      <c r="K1422" s="59">
        <f t="shared" si="29"/>
        <v>0</v>
      </c>
      <c r="L1422" s="59">
        <f t="shared" si="30"/>
        <v>0</v>
      </c>
      <c r="M1422" s="59">
        <f t="shared" si="31"/>
        <v>0</v>
      </c>
    </row>
    <row r="1423" ht="15.0" hidden="1" customHeight="1">
      <c r="A1423" s="59">
        <f t="shared" si="20"/>
        <v>20</v>
      </c>
      <c r="B1423" s="59" t="str">
        <f t="shared" si="21"/>
        <v/>
      </c>
      <c r="C1423" s="59" t="str">
        <f t="shared" si="22"/>
        <v/>
      </c>
      <c r="D1423" s="45" t="str">
        <f t="shared" si="23"/>
        <v/>
      </c>
      <c r="E1423" s="45" t="str">
        <f t="shared" si="24"/>
        <v/>
      </c>
      <c r="F1423" s="59" t="str">
        <f t="shared" si="25"/>
        <v/>
      </c>
      <c r="G1423" s="59" t="str">
        <f t="shared" si="26"/>
        <v/>
      </c>
      <c r="H1423" s="59" t="str">
        <f t="shared" si="27"/>
        <v>Xúc Đào</v>
      </c>
      <c r="I1423" s="59" t="str">
        <f>IF(OR($A1423="",$C1423="",$D1423="",$E1423="",$H1423=""),"",SUMIFS(DATA_GOC!$H:$H,DATA_GOC!$A:$A,"BOM",DATA_GOC!$D:$D,$H1423,DATA_GOC!$E:$E,$C1423,DATA_GOC!$F:$F,"Xuất nội bộ từ téc",DATA_GOC!$B:$B,"&gt;="&amp;$D1423,DATA_GOC!$B:$B,"&lt;="&amp;$E1423))</f>
        <v/>
      </c>
      <c r="J1423" s="59">
        <f t="shared" si="28"/>
        <v>0</v>
      </c>
      <c r="K1423" s="59">
        <f t="shared" si="29"/>
        <v>0</v>
      </c>
      <c r="L1423" s="59">
        <f t="shared" si="30"/>
        <v>0</v>
      </c>
      <c r="M1423" s="59">
        <f t="shared" si="31"/>
        <v>0</v>
      </c>
    </row>
    <row r="1424" ht="15.0" hidden="1" customHeight="1">
      <c r="A1424" s="59">
        <f t="shared" si="20"/>
        <v>20</v>
      </c>
      <c r="B1424" s="59" t="str">
        <f t="shared" si="21"/>
        <v/>
      </c>
      <c r="C1424" s="59" t="str">
        <f t="shared" si="22"/>
        <v/>
      </c>
      <c r="D1424" s="45" t="str">
        <f t="shared" si="23"/>
        <v/>
      </c>
      <c r="E1424" s="45" t="str">
        <f t="shared" si="24"/>
        <v/>
      </c>
      <c r="F1424" s="59" t="str">
        <f t="shared" si="25"/>
        <v/>
      </c>
      <c r="G1424" s="59" t="str">
        <f t="shared" si="26"/>
        <v/>
      </c>
      <c r="H1424" s="59" t="str">
        <f t="shared" si="27"/>
        <v>Xúclật asphalt</v>
      </c>
      <c r="I1424" s="59" t="str">
        <f>IF(OR($A1424="",$C1424="",$D1424="",$E1424="",$H1424=""),"",SUMIFS(DATA_GOC!$H:$H,DATA_GOC!$A:$A,"BOM",DATA_GOC!$D:$D,$H1424,DATA_GOC!$E:$E,$C1424,DATA_GOC!$F:$F,"Xuất nội bộ từ téc",DATA_GOC!$B:$B,"&gt;="&amp;$D1424,DATA_GOC!$B:$B,"&lt;="&amp;$E1424))</f>
        <v/>
      </c>
      <c r="J1424" s="59">
        <f t="shared" si="28"/>
        <v>0</v>
      </c>
      <c r="K1424" s="59">
        <f t="shared" si="29"/>
        <v>0</v>
      </c>
      <c r="L1424" s="59">
        <f t="shared" si="30"/>
        <v>0</v>
      </c>
      <c r="M1424" s="59">
        <f t="shared" si="31"/>
        <v>0</v>
      </c>
    </row>
    <row r="1425" ht="15.0" hidden="1" customHeight="1">
      <c r="A1425" s="59">
        <f t="shared" si="20"/>
        <v>20</v>
      </c>
      <c r="B1425" s="59" t="str">
        <f t="shared" si="21"/>
        <v/>
      </c>
      <c r="C1425" s="59" t="str">
        <f t="shared" si="22"/>
        <v/>
      </c>
      <c r="D1425" s="45" t="str">
        <f t="shared" si="23"/>
        <v/>
      </c>
      <c r="E1425" s="45" t="str">
        <f t="shared" si="24"/>
        <v/>
      </c>
      <c r="F1425" s="59" t="str">
        <f t="shared" si="25"/>
        <v/>
      </c>
      <c r="G1425" s="59" t="str">
        <f t="shared" si="26"/>
        <v/>
      </c>
      <c r="H1425" s="59" t="str">
        <f t="shared" si="27"/>
        <v>Xúclật855H</v>
      </c>
      <c r="I1425" s="59" t="str">
        <f>IF(OR($A1425="",$C1425="",$D1425="",$E1425="",$H1425=""),"",SUMIFS(DATA_GOC!$H:$H,DATA_GOC!$A:$A,"BOM",DATA_GOC!$D:$D,$H1425,DATA_GOC!$E:$E,$C1425,DATA_GOC!$F:$F,"Xuất nội bộ từ téc",DATA_GOC!$B:$B,"&gt;="&amp;$D1425,DATA_GOC!$B:$B,"&lt;="&amp;$E1425))</f>
        <v/>
      </c>
      <c r="J1425" s="59">
        <f t="shared" si="28"/>
        <v>0</v>
      </c>
      <c r="K1425" s="59">
        <f t="shared" si="29"/>
        <v>0</v>
      </c>
      <c r="L1425" s="59">
        <f t="shared" si="30"/>
        <v>0</v>
      </c>
      <c r="M1425" s="59">
        <f t="shared" si="31"/>
        <v>0</v>
      </c>
    </row>
    <row r="1426" ht="15.0" hidden="1" customHeight="1">
      <c r="A1426" s="59">
        <f t="shared" si="20"/>
        <v>20</v>
      </c>
      <c r="B1426" s="59" t="str">
        <f t="shared" si="21"/>
        <v/>
      </c>
      <c r="C1426" s="59" t="str">
        <f t="shared" si="22"/>
        <v/>
      </c>
      <c r="D1426" s="45" t="str">
        <f t="shared" si="23"/>
        <v/>
      </c>
      <c r="E1426" s="45" t="str">
        <f t="shared" si="24"/>
        <v/>
      </c>
      <c r="F1426" s="59" t="str">
        <f t="shared" si="25"/>
        <v/>
      </c>
      <c r="G1426" s="59" t="str">
        <f t="shared" si="26"/>
        <v/>
      </c>
      <c r="H1426" s="59" t="str">
        <f t="shared" si="27"/>
        <v>Xúclật855N</v>
      </c>
      <c r="I1426" s="59" t="str">
        <f>IF(OR($A1426="",$C1426="",$D1426="",$E1426="",$H1426=""),"",SUMIFS(DATA_GOC!$H:$H,DATA_GOC!$A:$A,"BOM",DATA_GOC!$D:$D,$H1426,DATA_GOC!$E:$E,$C1426,DATA_GOC!$F:$F,"Xuất nội bộ từ téc",DATA_GOC!$B:$B,"&gt;="&amp;$D1426,DATA_GOC!$B:$B,"&lt;="&amp;$E1426))</f>
        <v/>
      </c>
      <c r="J1426" s="59">
        <f t="shared" si="28"/>
        <v>0</v>
      </c>
      <c r="K1426" s="59">
        <f t="shared" si="29"/>
        <v>0</v>
      </c>
      <c r="L1426" s="59">
        <f t="shared" si="30"/>
        <v>0</v>
      </c>
      <c r="M1426" s="59">
        <f t="shared" si="31"/>
        <v>0</v>
      </c>
    </row>
    <row r="1427" ht="15.0" hidden="1" customHeight="1">
      <c r="A1427" s="59">
        <f t="shared" si="20"/>
        <v>20</v>
      </c>
      <c r="B1427" s="59" t="str">
        <f t="shared" si="21"/>
        <v/>
      </c>
      <c r="C1427" s="59" t="str">
        <f t="shared" si="22"/>
        <v/>
      </c>
      <c r="D1427" s="45" t="str">
        <f t="shared" si="23"/>
        <v/>
      </c>
      <c r="E1427" s="45" t="str">
        <f t="shared" si="24"/>
        <v/>
      </c>
      <c r="F1427" s="59" t="str">
        <f t="shared" si="25"/>
        <v/>
      </c>
      <c r="G1427" s="59" t="str">
        <f t="shared" si="26"/>
        <v/>
      </c>
      <c r="H1427" s="59" t="str">
        <f t="shared" si="27"/>
        <v>Cát nghiền</v>
      </c>
      <c r="I1427" s="59" t="str">
        <f>IF(OR($A1427="",$C1427="",$D1427="",$E1427="",$H1427=""),"",SUMIFS(DATA_GOC!$H:$H,DATA_GOC!$A:$A,"BOM",DATA_GOC!$D:$D,$H1427,DATA_GOC!$E:$E,$C1427,DATA_GOC!$F:$F,"Xuất nội bộ từ téc",DATA_GOC!$B:$B,"&gt;="&amp;$D1427,DATA_GOC!$B:$B,"&lt;="&amp;$E1427))</f>
        <v/>
      </c>
      <c r="J1427" s="59">
        <f t="shared" si="28"/>
        <v>0</v>
      </c>
      <c r="K1427" s="59">
        <f t="shared" si="29"/>
        <v>0</v>
      </c>
      <c r="L1427" s="59">
        <f t="shared" si="30"/>
        <v>0</v>
      </c>
      <c r="M1427" s="59">
        <f t="shared" si="31"/>
        <v>0</v>
      </c>
    </row>
    <row r="1428" ht="15.0" hidden="1" customHeight="1">
      <c r="A1428" s="59">
        <f t="shared" si="20"/>
        <v>20</v>
      </c>
      <c r="B1428" s="59" t="str">
        <f t="shared" si="21"/>
        <v/>
      </c>
      <c r="C1428" s="59" t="str">
        <f t="shared" si="22"/>
        <v/>
      </c>
      <c r="D1428" s="45" t="str">
        <f t="shared" si="23"/>
        <v/>
      </c>
      <c r="E1428" s="45" t="str">
        <f t="shared" si="24"/>
        <v/>
      </c>
      <c r="F1428" s="59" t="str">
        <f t="shared" si="25"/>
        <v/>
      </c>
      <c r="G1428" s="59" t="str">
        <f t="shared" si="26"/>
        <v/>
      </c>
      <c r="H1428" s="59" t="str">
        <f t="shared" si="27"/>
        <v>28C02973</v>
      </c>
      <c r="I1428" s="59" t="str">
        <f>IF(OR($A1428="",$C1428="",$D1428="",$E1428="",$H1428=""),"",SUMIFS(DATA_GOC!$H:$H,DATA_GOC!$A:$A,"BOM",DATA_GOC!$D:$D,$H1428,DATA_GOC!$E:$E,$C1428,DATA_GOC!$F:$F,"Xuất nội bộ từ téc",DATA_GOC!$B:$B,"&gt;="&amp;$D1428,DATA_GOC!$B:$B,"&lt;="&amp;$E1428))</f>
        <v/>
      </c>
      <c r="J1428" s="59">
        <f t="shared" si="28"/>
        <v>0</v>
      </c>
      <c r="K1428" s="59">
        <f t="shared" si="29"/>
        <v>0</v>
      </c>
      <c r="L1428" s="59">
        <f t="shared" si="30"/>
        <v>0</v>
      </c>
      <c r="M1428" s="59">
        <f t="shared" si="31"/>
        <v>0</v>
      </c>
    </row>
    <row r="1429" ht="15.0" hidden="1" customHeight="1">
      <c r="A1429" s="59">
        <f t="shared" si="20"/>
        <v>20</v>
      </c>
      <c r="B1429" s="59" t="str">
        <f t="shared" si="21"/>
        <v/>
      </c>
      <c r="C1429" s="59" t="str">
        <f t="shared" si="22"/>
        <v/>
      </c>
      <c r="D1429" s="45" t="str">
        <f t="shared" si="23"/>
        <v/>
      </c>
      <c r="E1429" s="45" t="str">
        <f t="shared" si="24"/>
        <v/>
      </c>
      <c r="F1429" s="59" t="str">
        <f t="shared" si="25"/>
        <v/>
      </c>
      <c r="G1429" s="59" t="str">
        <f t="shared" si="26"/>
        <v/>
      </c>
      <c r="H1429" s="59" t="str">
        <f t="shared" si="27"/>
        <v>28C03044</v>
      </c>
      <c r="I1429" s="59" t="str">
        <f>IF(OR($A1429="",$C1429="",$D1429="",$E1429="",$H1429=""),"",SUMIFS(DATA_GOC!$H:$H,DATA_GOC!$A:$A,"BOM",DATA_GOC!$D:$D,$H1429,DATA_GOC!$E:$E,$C1429,DATA_GOC!$F:$F,"Xuất nội bộ từ téc",DATA_GOC!$B:$B,"&gt;="&amp;$D1429,DATA_GOC!$B:$B,"&lt;="&amp;$E1429))</f>
        <v/>
      </c>
      <c r="J1429" s="59">
        <f t="shared" si="28"/>
        <v>0</v>
      </c>
      <c r="K1429" s="59">
        <f t="shared" si="29"/>
        <v>0</v>
      </c>
      <c r="L1429" s="59">
        <f t="shared" si="30"/>
        <v>0</v>
      </c>
      <c r="M1429" s="59">
        <f t="shared" si="31"/>
        <v>0</v>
      </c>
    </row>
    <row r="1430" ht="15.0" hidden="1" customHeight="1">
      <c r="A1430" s="59">
        <f t="shared" si="20"/>
        <v>20</v>
      </c>
      <c r="B1430" s="59" t="str">
        <f t="shared" si="21"/>
        <v/>
      </c>
      <c r="C1430" s="59" t="str">
        <f t="shared" si="22"/>
        <v/>
      </c>
      <c r="D1430" s="45" t="str">
        <f t="shared" si="23"/>
        <v/>
      </c>
      <c r="E1430" s="45" t="str">
        <f t="shared" si="24"/>
        <v/>
      </c>
      <c r="F1430" s="59" t="str">
        <f t="shared" si="25"/>
        <v/>
      </c>
      <c r="G1430" s="59" t="str">
        <f t="shared" si="26"/>
        <v/>
      </c>
      <c r="H1430" s="59" t="str">
        <f t="shared" si="27"/>
        <v>Máy lu lốp</v>
      </c>
      <c r="I1430" s="59" t="str">
        <f>IF(OR($A1430="",$C1430="",$D1430="",$E1430="",$H1430=""),"",SUMIFS(DATA_GOC!$H:$H,DATA_GOC!$A:$A,"BOM",DATA_GOC!$D:$D,$H1430,DATA_GOC!$E:$E,$C1430,DATA_GOC!$F:$F,"Xuất nội bộ từ téc",DATA_GOC!$B:$B,"&gt;="&amp;$D1430,DATA_GOC!$B:$B,"&lt;="&amp;$E1430))</f>
        <v/>
      </c>
      <c r="J1430" s="59">
        <f t="shared" si="28"/>
        <v>0</v>
      </c>
      <c r="K1430" s="59">
        <f t="shared" si="29"/>
        <v>0</v>
      </c>
      <c r="L1430" s="59">
        <f t="shared" si="30"/>
        <v>0</v>
      </c>
      <c r="M1430" s="59">
        <f t="shared" si="31"/>
        <v>0</v>
      </c>
    </row>
    <row r="1431" ht="15.0" hidden="1" customHeight="1">
      <c r="A1431" s="59">
        <f t="shared" si="20"/>
        <v>20</v>
      </c>
      <c r="B1431" s="59" t="str">
        <f t="shared" si="21"/>
        <v/>
      </c>
      <c r="C1431" s="59" t="str">
        <f t="shared" si="22"/>
        <v/>
      </c>
      <c r="D1431" s="45" t="str">
        <f t="shared" si="23"/>
        <v/>
      </c>
      <c r="E1431" s="45" t="str">
        <f t="shared" si="24"/>
        <v/>
      </c>
      <c r="F1431" s="59" t="str">
        <f t="shared" si="25"/>
        <v/>
      </c>
      <c r="G1431" s="59" t="str">
        <f t="shared" si="26"/>
        <v/>
      </c>
      <c r="H1431" s="59" t="str">
        <f t="shared" si="27"/>
        <v>Xe 600148</v>
      </c>
      <c r="I1431" s="59" t="str">
        <f>IF(OR($A1431="",$C1431="",$D1431="",$E1431="",$H1431=""),"",SUMIFS(DATA_GOC!$H:$H,DATA_GOC!$A:$A,"BOM",DATA_GOC!$D:$D,$H1431,DATA_GOC!$E:$E,$C1431,DATA_GOC!$F:$F,"Xuất nội bộ từ téc",DATA_GOC!$B:$B,"&gt;="&amp;$D1431,DATA_GOC!$B:$B,"&lt;="&amp;$E1431))</f>
        <v/>
      </c>
      <c r="J1431" s="59">
        <f t="shared" si="28"/>
        <v>0</v>
      </c>
      <c r="K1431" s="59">
        <f t="shared" si="29"/>
        <v>0</v>
      </c>
      <c r="L1431" s="59">
        <f t="shared" si="30"/>
        <v>0</v>
      </c>
      <c r="M1431" s="59">
        <f t="shared" si="31"/>
        <v>0</v>
      </c>
    </row>
    <row r="1432" ht="15.0" hidden="1" customHeight="1">
      <c r="A1432" s="59">
        <f t="shared" si="20"/>
        <v>20</v>
      </c>
      <c r="B1432" s="59" t="str">
        <f t="shared" si="21"/>
        <v/>
      </c>
      <c r="C1432" s="59" t="str">
        <f t="shared" si="22"/>
        <v/>
      </c>
      <c r="D1432" s="45" t="str">
        <f t="shared" si="23"/>
        <v/>
      </c>
      <c r="E1432" s="45" t="str">
        <f t="shared" si="24"/>
        <v/>
      </c>
      <c r="F1432" s="59" t="str">
        <f t="shared" si="25"/>
        <v/>
      </c>
      <c r="G1432" s="59" t="str">
        <f t="shared" si="26"/>
        <v/>
      </c>
      <c r="H1432" s="59" t="str">
        <f t="shared" si="27"/>
        <v>Xe ben mới</v>
      </c>
      <c r="I1432" s="59" t="str">
        <f>IF(OR($A1432="",$C1432="",$D1432="",$E1432="",$H1432=""),"",SUMIFS(DATA_GOC!$H:$H,DATA_GOC!$A:$A,"BOM",DATA_GOC!$D:$D,$H1432,DATA_GOC!$E:$E,$C1432,DATA_GOC!$F:$F,"Xuất nội bộ từ téc",DATA_GOC!$B:$B,"&gt;="&amp;$D1432,DATA_GOC!$B:$B,"&lt;="&amp;$E1432))</f>
        <v/>
      </c>
      <c r="J1432" s="59">
        <f t="shared" si="28"/>
        <v>0</v>
      </c>
      <c r="K1432" s="59">
        <f t="shared" si="29"/>
        <v>0</v>
      </c>
      <c r="L1432" s="59">
        <f t="shared" si="30"/>
        <v>0</v>
      </c>
      <c r="M1432" s="59">
        <f t="shared" si="31"/>
        <v>0</v>
      </c>
    </row>
    <row r="1433" ht="15.0" hidden="1" customHeight="1">
      <c r="A1433" s="59">
        <f t="shared" si="20"/>
        <v>21</v>
      </c>
      <c r="B1433" s="59" t="str">
        <f t="shared" si="21"/>
        <v/>
      </c>
      <c r="C1433" s="59" t="str">
        <f t="shared" si="22"/>
        <v/>
      </c>
      <c r="D1433" s="45" t="str">
        <f t="shared" si="23"/>
        <v/>
      </c>
      <c r="E1433" s="45" t="str">
        <f t="shared" si="24"/>
        <v/>
      </c>
      <c r="F1433" s="59" t="str">
        <f t="shared" si="25"/>
        <v/>
      </c>
      <c r="G1433" s="59" t="str">
        <f t="shared" si="26"/>
        <v/>
      </c>
      <c r="H1433" s="59" t="str">
        <f t="shared" si="27"/>
        <v>19H09482</v>
      </c>
      <c r="I1433" s="59" t="str">
        <f>IF(OR($A1433="",$C1433="",$D1433="",$E1433="",$H1433=""),"",SUMIFS(DATA_GOC!$H:$H,DATA_GOC!$A:$A,"BOM",DATA_GOC!$D:$D,$H1433,DATA_GOC!$E:$E,$C1433,DATA_GOC!$F:$F,"Xuất nội bộ từ téc",DATA_GOC!$B:$B,"&gt;="&amp;$D1433,DATA_GOC!$B:$B,"&lt;="&amp;$E1433))</f>
        <v/>
      </c>
      <c r="J1433" s="59">
        <f t="shared" si="28"/>
        <v>0</v>
      </c>
      <c r="K1433" s="59">
        <f t="shared" si="29"/>
        <v>0</v>
      </c>
      <c r="L1433" s="59">
        <f t="shared" si="30"/>
        <v>0</v>
      </c>
      <c r="M1433" s="59">
        <f t="shared" si="31"/>
        <v>0</v>
      </c>
    </row>
    <row r="1434" ht="15.0" hidden="1" customHeight="1">
      <c r="A1434" s="59">
        <f t="shared" si="20"/>
        <v>21</v>
      </c>
      <c r="B1434" s="59" t="str">
        <f t="shared" si="21"/>
        <v/>
      </c>
      <c r="C1434" s="59" t="str">
        <f t="shared" si="22"/>
        <v/>
      </c>
      <c r="D1434" s="45" t="str">
        <f t="shared" si="23"/>
        <v/>
      </c>
      <c r="E1434" s="45" t="str">
        <f t="shared" si="24"/>
        <v/>
      </c>
      <c r="F1434" s="59" t="str">
        <f t="shared" si="25"/>
        <v/>
      </c>
      <c r="G1434" s="59" t="str">
        <f t="shared" si="26"/>
        <v/>
      </c>
      <c r="H1434" s="59" t="str">
        <f t="shared" si="27"/>
        <v>28A30696</v>
      </c>
      <c r="I1434" s="59" t="str">
        <f>IF(OR($A1434="",$C1434="",$D1434="",$E1434="",$H1434=""),"",SUMIFS(DATA_GOC!$H:$H,DATA_GOC!$A:$A,"BOM",DATA_GOC!$D:$D,$H1434,DATA_GOC!$E:$E,$C1434,DATA_GOC!$F:$F,"Xuất nội bộ từ téc",DATA_GOC!$B:$B,"&gt;="&amp;$D1434,DATA_GOC!$B:$B,"&lt;="&amp;$E1434))</f>
        <v/>
      </c>
      <c r="J1434" s="59">
        <f t="shared" si="28"/>
        <v>0</v>
      </c>
      <c r="K1434" s="59">
        <f t="shared" si="29"/>
        <v>0</v>
      </c>
      <c r="L1434" s="59">
        <f t="shared" si="30"/>
        <v>0</v>
      </c>
      <c r="M1434" s="59">
        <f t="shared" si="31"/>
        <v>0</v>
      </c>
    </row>
    <row r="1435" ht="15.0" hidden="1" customHeight="1">
      <c r="A1435" s="59">
        <f t="shared" si="20"/>
        <v>21</v>
      </c>
      <c r="B1435" s="59" t="str">
        <f t="shared" si="21"/>
        <v/>
      </c>
      <c r="C1435" s="59" t="str">
        <f t="shared" si="22"/>
        <v/>
      </c>
      <c r="D1435" s="45" t="str">
        <f t="shared" si="23"/>
        <v/>
      </c>
      <c r="E1435" s="45" t="str">
        <f t="shared" si="24"/>
        <v/>
      </c>
      <c r="F1435" s="59" t="str">
        <f t="shared" si="25"/>
        <v/>
      </c>
      <c r="G1435" s="59" t="str">
        <f t="shared" si="26"/>
        <v/>
      </c>
      <c r="H1435" s="59" t="str">
        <f t="shared" si="27"/>
        <v>28C00462</v>
      </c>
      <c r="I1435" s="59" t="str">
        <f>IF(OR($A1435="",$C1435="",$D1435="",$E1435="",$H1435=""),"",SUMIFS(DATA_GOC!$H:$H,DATA_GOC!$A:$A,"BOM",DATA_GOC!$D:$D,$H1435,DATA_GOC!$E:$E,$C1435,DATA_GOC!$F:$F,"Xuất nội bộ từ téc",DATA_GOC!$B:$B,"&gt;="&amp;$D1435,DATA_GOC!$B:$B,"&lt;="&amp;$E1435))</f>
        <v/>
      </c>
      <c r="J1435" s="59">
        <f t="shared" si="28"/>
        <v>0</v>
      </c>
      <c r="K1435" s="59">
        <f t="shared" si="29"/>
        <v>0</v>
      </c>
      <c r="L1435" s="59">
        <f t="shared" si="30"/>
        <v>0</v>
      </c>
      <c r="M1435" s="59">
        <f t="shared" si="31"/>
        <v>0</v>
      </c>
    </row>
    <row r="1436" ht="15.0" hidden="1" customHeight="1">
      <c r="A1436" s="59">
        <f t="shared" si="20"/>
        <v>21</v>
      </c>
      <c r="B1436" s="59" t="str">
        <f t="shared" si="21"/>
        <v/>
      </c>
      <c r="C1436" s="59" t="str">
        <f t="shared" si="22"/>
        <v/>
      </c>
      <c r="D1436" s="45" t="str">
        <f t="shared" si="23"/>
        <v/>
      </c>
      <c r="E1436" s="45" t="str">
        <f t="shared" si="24"/>
        <v/>
      </c>
      <c r="F1436" s="59" t="str">
        <f t="shared" si="25"/>
        <v/>
      </c>
      <c r="G1436" s="59" t="str">
        <f t="shared" si="26"/>
        <v/>
      </c>
      <c r="H1436" s="59" t="str">
        <f t="shared" si="27"/>
        <v>28C01165</v>
      </c>
      <c r="I1436" s="59" t="str">
        <f>IF(OR($A1436="",$C1436="",$D1436="",$E1436="",$H1436=""),"",SUMIFS(DATA_GOC!$H:$H,DATA_GOC!$A:$A,"BOM",DATA_GOC!$D:$D,$H1436,DATA_GOC!$E:$E,$C1436,DATA_GOC!$F:$F,"Xuất nội bộ từ téc",DATA_GOC!$B:$B,"&gt;="&amp;$D1436,DATA_GOC!$B:$B,"&lt;="&amp;$E1436))</f>
        <v/>
      </c>
      <c r="J1436" s="59">
        <f t="shared" si="28"/>
        <v>0</v>
      </c>
      <c r="K1436" s="59">
        <f t="shared" si="29"/>
        <v>0</v>
      </c>
      <c r="L1436" s="59">
        <f t="shared" si="30"/>
        <v>0</v>
      </c>
      <c r="M1436" s="59">
        <f t="shared" si="31"/>
        <v>0</v>
      </c>
    </row>
    <row r="1437" ht="15.0" hidden="1" customHeight="1">
      <c r="A1437" s="59">
        <f t="shared" si="20"/>
        <v>21</v>
      </c>
      <c r="B1437" s="59" t="str">
        <f t="shared" si="21"/>
        <v/>
      </c>
      <c r="C1437" s="59" t="str">
        <f t="shared" si="22"/>
        <v/>
      </c>
      <c r="D1437" s="45" t="str">
        <f t="shared" si="23"/>
        <v/>
      </c>
      <c r="E1437" s="45" t="str">
        <f t="shared" si="24"/>
        <v/>
      </c>
      <c r="F1437" s="59" t="str">
        <f t="shared" si="25"/>
        <v/>
      </c>
      <c r="G1437" s="59" t="str">
        <f t="shared" si="26"/>
        <v/>
      </c>
      <c r="H1437" s="59" t="str">
        <f t="shared" si="27"/>
        <v>28C01406</v>
      </c>
      <c r="I1437" s="59" t="str">
        <f>IF(OR($A1437="",$C1437="",$D1437="",$E1437="",$H1437=""),"",SUMIFS(DATA_GOC!$H:$H,DATA_GOC!$A:$A,"BOM",DATA_GOC!$D:$D,$H1437,DATA_GOC!$E:$E,$C1437,DATA_GOC!$F:$F,"Xuất nội bộ từ téc",DATA_GOC!$B:$B,"&gt;="&amp;$D1437,DATA_GOC!$B:$B,"&lt;="&amp;$E1437))</f>
        <v/>
      </c>
      <c r="J1437" s="59">
        <f t="shared" si="28"/>
        <v>0</v>
      </c>
      <c r="K1437" s="59">
        <f t="shared" si="29"/>
        <v>0</v>
      </c>
      <c r="L1437" s="59">
        <f t="shared" si="30"/>
        <v>0</v>
      </c>
      <c r="M1437" s="59">
        <f t="shared" si="31"/>
        <v>0</v>
      </c>
    </row>
    <row r="1438" ht="15.0" hidden="1" customHeight="1">
      <c r="A1438" s="59">
        <f t="shared" si="20"/>
        <v>21</v>
      </c>
      <c r="B1438" s="59" t="str">
        <f t="shared" si="21"/>
        <v/>
      </c>
      <c r="C1438" s="59" t="str">
        <f t="shared" si="22"/>
        <v/>
      </c>
      <c r="D1438" s="45" t="str">
        <f t="shared" si="23"/>
        <v/>
      </c>
      <c r="E1438" s="45" t="str">
        <f t="shared" si="24"/>
        <v/>
      </c>
      <c r="F1438" s="59" t="str">
        <f t="shared" si="25"/>
        <v/>
      </c>
      <c r="G1438" s="59" t="str">
        <f t="shared" si="26"/>
        <v/>
      </c>
      <c r="H1438" s="59" t="str">
        <f t="shared" si="27"/>
        <v>28C01544</v>
      </c>
      <c r="I1438" s="59" t="str">
        <f>IF(OR($A1438="",$C1438="",$D1438="",$E1438="",$H1438=""),"",SUMIFS(DATA_GOC!$H:$H,DATA_GOC!$A:$A,"BOM",DATA_GOC!$D:$D,$H1438,DATA_GOC!$E:$E,$C1438,DATA_GOC!$F:$F,"Xuất nội bộ từ téc",DATA_GOC!$B:$B,"&gt;="&amp;$D1438,DATA_GOC!$B:$B,"&lt;="&amp;$E1438))</f>
        <v/>
      </c>
      <c r="J1438" s="59">
        <f t="shared" si="28"/>
        <v>0</v>
      </c>
      <c r="K1438" s="59">
        <f t="shared" si="29"/>
        <v>0</v>
      </c>
      <c r="L1438" s="59">
        <f t="shared" si="30"/>
        <v>0</v>
      </c>
      <c r="M1438" s="59">
        <f t="shared" si="31"/>
        <v>0</v>
      </c>
    </row>
    <row r="1439" ht="15.0" hidden="1" customHeight="1">
      <c r="A1439" s="59">
        <f t="shared" si="20"/>
        <v>21</v>
      </c>
      <c r="B1439" s="59" t="str">
        <f t="shared" si="21"/>
        <v/>
      </c>
      <c r="C1439" s="59" t="str">
        <f t="shared" si="22"/>
        <v/>
      </c>
      <c r="D1439" s="45" t="str">
        <f t="shared" si="23"/>
        <v/>
      </c>
      <c r="E1439" s="45" t="str">
        <f t="shared" si="24"/>
        <v/>
      </c>
      <c r="F1439" s="59" t="str">
        <f t="shared" si="25"/>
        <v/>
      </c>
      <c r="G1439" s="59" t="str">
        <f t="shared" si="26"/>
        <v/>
      </c>
      <c r="H1439" s="59" t="str">
        <f t="shared" si="27"/>
        <v>28C01622</v>
      </c>
      <c r="I1439" s="59" t="str">
        <f>IF(OR($A1439="",$C1439="",$D1439="",$E1439="",$H1439=""),"",SUMIFS(DATA_GOC!$H:$H,DATA_GOC!$A:$A,"BOM",DATA_GOC!$D:$D,$H1439,DATA_GOC!$E:$E,$C1439,DATA_GOC!$F:$F,"Xuất nội bộ từ téc",DATA_GOC!$B:$B,"&gt;="&amp;$D1439,DATA_GOC!$B:$B,"&lt;="&amp;$E1439))</f>
        <v/>
      </c>
      <c r="J1439" s="59">
        <f t="shared" si="28"/>
        <v>0</v>
      </c>
      <c r="K1439" s="59">
        <f t="shared" si="29"/>
        <v>0</v>
      </c>
      <c r="L1439" s="59">
        <f t="shared" si="30"/>
        <v>0</v>
      </c>
      <c r="M1439" s="59">
        <f t="shared" si="31"/>
        <v>0</v>
      </c>
    </row>
    <row r="1440" ht="15.0" hidden="1" customHeight="1">
      <c r="A1440" s="59">
        <f t="shared" si="20"/>
        <v>21</v>
      </c>
      <c r="B1440" s="59" t="str">
        <f t="shared" si="21"/>
        <v/>
      </c>
      <c r="C1440" s="59" t="str">
        <f t="shared" si="22"/>
        <v/>
      </c>
      <c r="D1440" s="45" t="str">
        <f t="shared" si="23"/>
        <v/>
      </c>
      <c r="E1440" s="45" t="str">
        <f t="shared" si="24"/>
        <v/>
      </c>
      <c r="F1440" s="59" t="str">
        <f t="shared" si="25"/>
        <v/>
      </c>
      <c r="G1440" s="59" t="str">
        <f t="shared" si="26"/>
        <v/>
      </c>
      <c r="H1440" s="59" t="str">
        <f t="shared" si="27"/>
        <v>28C01647</v>
      </c>
      <c r="I1440" s="59" t="str">
        <f>IF(OR($A1440="",$C1440="",$D1440="",$E1440="",$H1440=""),"",SUMIFS(DATA_GOC!$H:$H,DATA_GOC!$A:$A,"BOM",DATA_GOC!$D:$D,$H1440,DATA_GOC!$E:$E,$C1440,DATA_GOC!$F:$F,"Xuất nội bộ từ téc",DATA_GOC!$B:$B,"&gt;="&amp;$D1440,DATA_GOC!$B:$B,"&lt;="&amp;$E1440))</f>
        <v/>
      </c>
      <c r="J1440" s="59">
        <f t="shared" si="28"/>
        <v>0</v>
      </c>
      <c r="K1440" s="59">
        <f t="shared" si="29"/>
        <v>0</v>
      </c>
      <c r="L1440" s="59">
        <f t="shared" si="30"/>
        <v>0</v>
      </c>
      <c r="M1440" s="59">
        <f t="shared" si="31"/>
        <v>0</v>
      </c>
    </row>
    <row r="1441" ht="15.0" hidden="1" customHeight="1">
      <c r="A1441" s="59">
        <f t="shared" si="20"/>
        <v>21</v>
      </c>
      <c r="B1441" s="59" t="str">
        <f t="shared" si="21"/>
        <v/>
      </c>
      <c r="C1441" s="59" t="str">
        <f t="shared" si="22"/>
        <v/>
      </c>
      <c r="D1441" s="45" t="str">
        <f t="shared" si="23"/>
        <v/>
      </c>
      <c r="E1441" s="45" t="str">
        <f t="shared" si="24"/>
        <v/>
      </c>
      <c r="F1441" s="59" t="str">
        <f t="shared" si="25"/>
        <v/>
      </c>
      <c r="G1441" s="59" t="str">
        <f t="shared" si="26"/>
        <v/>
      </c>
      <c r="H1441" s="59" t="str">
        <f t="shared" si="27"/>
        <v>28C01731</v>
      </c>
      <c r="I1441" s="59" t="str">
        <f>IF(OR($A1441="",$C1441="",$D1441="",$E1441="",$H1441=""),"",SUMIFS(DATA_GOC!$H:$H,DATA_GOC!$A:$A,"BOM",DATA_GOC!$D:$D,$H1441,DATA_GOC!$E:$E,$C1441,DATA_GOC!$F:$F,"Xuất nội bộ từ téc",DATA_GOC!$B:$B,"&gt;="&amp;$D1441,DATA_GOC!$B:$B,"&lt;="&amp;$E1441))</f>
        <v/>
      </c>
      <c r="J1441" s="59">
        <f t="shared" si="28"/>
        <v>0</v>
      </c>
      <c r="K1441" s="59">
        <f t="shared" si="29"/>
        <v>0</v>
      </c>
      <c r="L1441" s="59">
        <f t="shared" si="30"/>
        <v>0</v>
      </c>
      <c r="M1441" s="59">
        <f t="shared" si="31"/>
        <v>0</v>
      </c>
    </row>
    <row r="1442" ht="15.0" hidden="1" customHeight="1">
      <c r="A1442" s="59">
        <f t="shared" si="20"/>
        <v>21</v>
      </c>
      <c r="B1442" s="59" t="str">
        <f t="shared" si="21"/>
        <v/>
      </c>
      <c r="C1442" s="59" t="str">
        <f t="shared" si="22"/>
        <v/>
      </c>
      <c r="D1442" s="45" t="str">
        <f t="shared" si="23"/>
        <v/>
      </c>
      <c r="E1442" s="45" t="str">
        <f t="shared" si="24"/>
        <v/>
      </c>
      <c r="F1442" s="59" t="str">
        <f t="shared" si="25"/>
        <v/>
      </c>
      <c r="G1442" s="59" t="str">
        <f t="shared" si="26"/>
        <v/>
      </c>
      <c r="H1442" s="59" t="str">
        <f t="shared" si="27"/>
        <v>28C01743</v>
      </c>
      <c r="I1442" s="59" t="str">
        <f>IF(OR($A1442="",$C1442="",$D1442="",$E1442="",$H1442=""),"",SUMIFS(DATA_GOC!$H:$H,DATA_GOC!$A:$A,"BOM",DATA_GOC!$D:$D,$H1442,DATA_GOC!$E:$E,$C1442,DATA_GOC!$F:$F,"Xuất nội bộ từ téc",DATA_GOC!$B:$B,"&gt;="&amp;$D1442,DATA_GOC!$B:$B,"&lt;="&amp;$E1442))</f>
        <v/>
      </c>
      <c r="J1442" s="59">
        <f t="shared" si="28"/>
        <v>0</v>
      </c>
      <c r="K1442" s="59">
        <f t="shared" si="29"/>
        <v>0</v>
      </c>
      <c r="L1442" s="59">
        <f t="shared" si="30"/>
        <v>0</v>
      </c>
      <c r="M1442" s="59">
        <f t="shared" si="31"/>
        <v>0</v>
      </c>
    </row>
    <row r="1443" ht="15.0" hidden="1" customHeight="1">
      <c r="A1443" s="59">
        <f t="shared" si="20"/>
        <v>21</v>
      </c>
      <c r="B1443" s="59" t="str">
        <f t="shared" si="21"/>
        <v/>
      </c>
      <c r="C1443" s="59" t="str">
        <f t="shared" si="22"/>
        <v/>
      </c>
      <c r="D1443" s="45" t="str">
        <f t="shared" si="23"/>
        <v/>
      </c>
      <c r="E1443" s="45" t="str">
        <f t="shared" si="24"/>
        <v/>
      </c>
      <c r="F1443" s="59" t="str">
        <f t="shared" si="25"/>
        <v/>
      </c>
      <c r="G1443" s="59" t="str">
        <f t="shared" si="26"/>
        <v/>
      </c>
      <c r="H1443" s="59" t="str">
        <f t="shared" si="27"/>
        <v>28C02106</v>
      </c>
      <c r="I1443" s="59" t="str">
        <f>IF(OR($A1443="",$C1443="",$D1443="",$E1443="",$H1443=""),"",SUMIFS(DATA_GOC!$H:$H,DATA_GOC!$A:$A,"BOM",DATA_GOC!$D:$D,$H1443,DATA_GOC!$E:$E,$C1443,DATA_GOC!$F:$F,"Xuất nội bộ từ téc",DATA_GOC!$B:$B,"&gt;="&amp;$D1443,DATA_GOC!$B:$B,"&lt;="&amp;$E1443))</f>
        <v/>
      </c>
      <c r="J1443" s="59">
        <f t="shared" si="28"/>
        <v>0</v>
      </c>
      <c r="K1443" s="59">
        <f t="shared" si="29"/>
        <v>0</v>
      </c>
      <c r="L1443" s="59">
        <f t="shared" si="30"/>
        <v>0</v>
      </c>
      <c r="M1443" s="59">
        <f t="shared" si="31"/>
        <v>0</v>
      </c>
    </row>
    <row r="1444" ht="15.0" hidden="1" customHeight="1">
      <c r="A1444" s="59">
        <f t="shared" si="20"/>
        <v>21</v>
      </c>
      <c r="B1444" s="59" t="str">
        <f t="shared" si="21"/>
        <v/>
      </c>
      <c r="C1444" s="59" t="str">
        <f t="shared" si="22"/>
        <v/>
      </c>
      <c r="D1444" s="45" t="str">
        <f t="shared" si="23"/>
        <v/>
      </c>
      <c r="E1444" s="45" t="str">
        <f t="shared" si="24"/>
        <v/>
      </c>
      <c r="F1444" s="59" t="str">
        <f t="shared" si="25"/>
        <v/>
      </c>
      <c r="G1444" s="59" t="str">
        <f t="shared" si="26"/>
        <v/>
      </c>
      <c r="H1444" s="59" t="str">
        <f t="shared" si="27"/>
        <v>28C02410</v>
      </c>
      <c r="I1444" s="59" t="str">
        <f>IF(OR($A1444="",$C1444="",$D1444="",$E1444="",$H1444=""),"",SUMIFS(DATA_GOC!$H:$H,DATA_GOC!$A:$A,"BOM",DATA_GOC!$D:$D,$H1444,DATA_GOC!$E:$E,$C1444,DATA_GOC!$F:$F,"Xuất nội bộ từ téc",DATA_GOC!$B:$B,"&gt;="&amp;$D1444,DATA_GOC!$B:$B,"&lt;="&amp;$E1444))</f>
        <v/>
      </c>
      <c r="J1444" s="59">
        <f t="shared" si="28"/>
        <v>0</v>
      </c>
      <c r="K1444" s="59">
        <f t="shared" si="29"/>
        <v>0</v>
      </c>
      <c r="L1444" s="59">
        <f t="shared" si="30"/>
        <v>0</v>
      </c>
      <c r="M1444" s="59">
        <f t="shared" si="31"/>
        <v>0</v>
      </c>
    </row>
    <row r="1445" ht="15.0" hidden="1" customHeight="1">
      <c r="A1445" s="59">
        <f t="shared" si="20"/>
        <v>21</v>
      </c>
      <c r="B1445" s="59" t="str">
        <f t="shared" si="21"/>
        <v/>
      </c>
      <c r="C1445" s="59" t="str">
        <f t="shared" si="22"/>
        <v/>
      </c>
      <c r="D1445" s="45" t="str">
        <f t="shared" si="23"/>
        <v/>
      </c>
      <c r="E1445" s="45" t="str">
        <f t="shared" si="24"/>
        <v/>
      </c>
      <c r="F1445" s="59" t="str">
        <f t="shared" si="25"/>
        <v/>
      </c>
      <c r="G1445" s="59" t="str">
        <f t="shared" si="26"/>
        <v/>
      </c>
      <c r="H1445" s="59" t="str">
        <f t="shared" si="27"/>
        <v>28C02545</v>
      </c>
      <c r="I1445" s="59" t="str">
        <f>IF(OR($A1445="",$C1445="",$D1445="",$E1445="",$H1445=""),"",SUMIFS(DATA_GOC!$H:$H,DATA_GOC!$A:$A,"BOM",DATA_GOC!$D:$D,$H1445,DATA_GOC!$E:$E,$C1445,DATA_GOC!$F:$F,"Xuất nội bộ từ téc",DATA_GOC!$B:$B,"&gt;="&amp;$D1445,DATA_GOC!$B:$B,"&lt;="&amp;$E1445))</f>
        <v/>
      </c>
      <c r="J1445" s="59">
        <f t="shared" si="28"/>
        <v>0</v>
      </c>
      <c r="K1445" s="59">
        <f t="shared" si="29"/>
        <v>0</v>
      </c>
      <c r="L1445" s="59">
        <f t="shared" si="30"/>
        <v>0</v>
      </c>
      <c r="M1445" s="59">
        <f t="shared" si="31"/>
        <v>0</v>
      </c>
    </row>
    <row r="1446" ht="15.0" hidden="1" customHeight="1">
      <c r="A1446" s="59">
        <f t="shared" si="20"/>
        <v>21</v>
      </c>
      <c r="B1446" s="59" t="str">
        <f t="shared" si="21"/>
        <v/>
      </c>
      <c r="C1446" s="59" t="str">
        <f t="shared" si="22"/>
        <v/>
      </c>
      <c r="D1446" s="45" t="str">
        <f t="shared" si="23"/>
        <v/>
      </c>
      <c r="E1446" s="45" t="str">
        <f t="shared" si="24"/>
        <v/>
      </c>
      <c r="F1446" s="59" t="str">
        <f t="shared" si="25"/>
        <v/>
      </c>
      <c r="G1446" s="59" t="str">
        <f t="shared" si="26"/>
        <v/>
      </c>
      <c r="H1446" s="59" t="str">
        <f t="shared" si="27"/>
        <v>28C02574</v>
      </c>
      <c r="I1446" s="59" t="str">
        <f>IF(OR($A1446="",$C1446="",$D1446="",$E1446="",$H1446=""),"",SUMIFS(DATA_GOC!$H:$H,DATA_GOC!$A:$A,"BOM",DATA_GOC!$D:$D,$H1446,DATA_GOC!$E:$E,$C1446,DATA_GOC!$F:$F,"Xuất nội bộ từ téc",DATA_GOC!$B:$B,"&gt;="&amp;$D1446,DATA_GOC!$B:$B,"&lt;="&amp;$E1446))</f>
        <v/>
      </c>
      <c r="J1446" s="59">
        <f t="shared" si="28"/>
        <v>0</v>
      </c>
      <c r="K1446" s="59">
        <f t="shared" si="29"/>
        <v>0</v>
      </c>
      <c r="L1446" s="59">
        <f t="shared" si="30"/>
        <v>0</v>
      </c>
      <c r="M1446" s="59">
        <f t="shared" si="31"/>
        <v>0</v>
      </c>
    </row>
    <row r="1447" ht="15.0" hidden="1" customHeight="1">
      <c r="A1447" s="59">
        <f t="shared" si="20"/>
        <v>21</v>
      </c>
      <c r="B1447" s="59" t="str">
        <f t="shared" si="21"/>
        <v/>
      </c>
      <c r="C1447" s="59" t="str">
        <f t="shared" si="22"/>
        <v/>
      </c>
      <c r="D1447" s="45" t="str">
        <f t="shared" si="23"/>
        <v/>
      </c>
      <c r="E1447" s="45" t="str">
        <f t="shared" si="24"/>
        <v/>
      </c>
      <c r="F1447" s="59" t="str">
        <f t="shared" si="25"/>
        <v/>
      </c>
      <c r="G1447" s="59" t="str">
        <f t="shared" si="26"/>
        <v/>
      </c>
      <c r="H1447" s="59" t="str">
        <f t="shared" si="27"/>
        <v>28C02770</v>
      </c>
      <c r="I1447" s="59" t="str">
        <f>IF(OR($A1447="",$C1447="",$D1447="",$E1447="",$H1447=""),"",SUMIFS(DATA_GOC!$H:$H,DATA_GOC!$A:$A,"BOM",DATA_GOC!$D:$D,$H1447,DATA_GOC!$E:$E,$C1447,DATA_GOC!$F:$F,"Xuất nội bộ từ téc",DATA_GOC!$B:$B,"&gt;="&amp;$D1447,DATA_GOC!$B:$B,"&lt;="&amp;$E1447))</f>
        <v/>
      </c>
      <c r="J1447" s="59">
        <f t="shared" si="28"/>
        <v>0</v>
      </c>
      <c r="K1447" s="59">
        <f t="shared" si="29"/>
        <v>0</v>
      </c>
      <c r="L1447" s="59">
        <f t="shared" si="30"/>
        <v>0</v>
      </c>
      <c r="M1447" s="59">
        <f t="shared" si="31"/>
        <v>0</v>
      </c>
    </row>
    <row r="1448" ht="15.0" hidden="1" customHeight="1">
      <c r="A1448" s="59">
        <f t="shared" si="20"/>
        <v>21</v>
      </c>
      <c r="B1448" s="59" t="str">
        <f t="shared" si="21"/>
        <v/>
      </c>
      <c r="C1448" s="59" t="str">
        <f t="shared" si="22"/>
        <v/>
      </c>
      <c r="D1448" s="45" t="str">
        <f t="shared" si="23"/>
        <v/>
      </c>
      <c r="E1448" s="45" t="str">
        <f t="shared" si="24"/>
        <v/>
      </c>
      <c r="F1448" s="59" t="str">
        <f t="shared" si="25"/>
        <v/>
      </c>
      <c r="G1448" s="59" t="str">
        <f t="shared" si="26"/>
        <v/>
      </c>
      <c r="H1448" s="59" t="str">
        <f t="shared" si="27"/>
        <v>28C02986</v>
      </c>
      <c r="I1448" s="59" t="str">
        <f>IF(OR($A1448="",$C1448="",$D1448="",$E1448="",$H1448=""),"",SUMIFS(DATA_GOC!$H:$H,DATA_GOC!$A:$A,"BOM",DATA_GOC!$D:$D,$H1448,DATA_GOC!$E:$E,$C1448,DATA_GOC!$F:$F,"Xuất nội bộ từ téc",DATA_GOC!$B:$B,"&gt;="&amp;$D1448,DATA_GOC!$B:$B,"&lt;="&amp;$E1448))</f>
        <v/>
      </c>
      <c r="J1448" s="59">
        <f t="shared" si="28"/>
        <v>0</v>
      </c>
      <c r="K1448" s="59">
        <f t="shared" si="29"/>
        <v>0</v>
      </c>
      <c r="L1448" s="59">
        <f t="shared" si="30"/>
        <v>0</v>
      </c>
      <c r="M1448" s="59">
        <f t="shared" si="31"/>
        <v>0</v>
      </c>
    </row>
    <row r="1449" ht="15.0" hidden="1" customHeight="1">
      <c r="A1449" s="59">
        <f t="shared" si="20"/>
        <v>21</v>
      </c>
      <c r="B1449" s="59" t="str">
        <f t="shared" si="21"/>
        <v/>
      </c>
      <c r="C1449" s="59" t="str">
        <f t="shared" si="22"/>
        <v/>
      </c>
      <c r="D1449" s="45" t="str">
        <f t="shared" si="23"/>
        <v/>
      </c>
      <c r="E1449" s="45" t="str">
        <f t="shared" si="24"/>
        <v/>
      </c>
      <c r="F1449" s="59" t="str">
        <f t="shared" si="25"/>
        <v/>
      </c>
      <c r="G1449" s="59" t="str">
        <f t="shared" si="26"/>
        <v/>
      </c>
      <c r="H1449" s="59" t="str">
        <f t="shared" si="27"/>
        <v>28C03261</v>
      </c>
      <c r="I1449" s="59" t="str">
        <f>IF(OR($A1449="",$C1449="",$D1449="",$E1449="",$H1449=""),"",SUMIFS(DATA_GOC!$H:$H,DATA_GOC!$A:$A,"BOM",DATA_GOC!$D:$D,$H1449,DATA_GOC!$E:$E,$C1449,DATA_GOC!$F:$F,"Xuất nội bộ từ téc",DATA_GOC!$B:$B,"&gt;="&amp;$D1449,DATA_GOC!$B:$B,"&lt;="&amp;$E1449))</f>
        <v/>
      </c>
      <c r="J1449" s="59">
        <f t="shared" si="28"/>
        <v>0</v>
      </c>
      <c r="K1449" s="59">
        <f t="shared" si="29"/>
        <v>0</v>
      </c>
      <c r="L1449" s="59">
        <f t="shared" si="30"/>
        <v>0</v>
      </c>
      <c r="M1449" s="59">
        <f t="shared" si="31"/>
        <v>0</v>
      </c>
    </row>
    <row r="1450" ht="15.0" hidden="1" customHeight="1">
      <c r="A1450" s="59">
        <f t="shared" si="20"/>
        <v>21</v>
      </c>
      <c r="B1450" s="59" t="str">
        <f t="shared" si="21"/>
        <v/>
      </c>
      <c r="C1450" s="59" t="str">
        <f t="shared" si="22"/>
        <v/>
      </c>
      <c r="D1450" s="45" t="str">
        <f t="shared" si="23"/>
        <v/>
      </c>
      <c r="E1450" s="45" t="str">
        <f t="shared" si="24"/>
        <v/>
      </c>
      <c r="F1450" s="59" t="str">
        <f t="shared" si="25"/>
        <v/>
      </c>
      <c r="G1450" s="59" t="str">
        <f t="shared" si="26"/>
        <v/>
      </c>
      <c r="H1450" s="59" t="str">
        <f t="shared" si="27"/>
        <v>28C03323</v>
      </c>
      <c r="I1450" s="59" t="str">
        <f>IF(OR($A1450="",$C1450="",$D1450="",$E1450="",$H1450=""),"",SUMIFS(DATA_GOC!$H:$H,DATA_GOC!$A:$A,"BOM",DATA_GOC!$D:$D,$H1450,DATA_GOC!$E:$E,$C1450,DATA_GOC!$F:$F,"Xuất nội bộ từ téc",DATA_GOC!$B:$B,"&gt;="&amp;$D1450,DATA_GOC!$B:$B,"&lt;="&amp;$E1450))</f>
        <v/>
      </c>
      <c r="J1450" s="59">
        <f t="shared" si="28"/>
        <v>0</v>
      </c>
      <c r="K1450" s="59">
        <f t="shared" si="29"/>
        <v>0</v>
      </c>
      <c r="L1450" s="59">
        <f t="shared" si="30"/>
        <v>0</v>
      </c>
      <c r="M1450" s="59">
        <f t="shared" si="31"/>
        <v>0</v>
      </c>
    </row>
    <row r="1451" ht="15.0" hidden="1" customHeight="1">
      <c r="A1451" s="59">
        <f t="shared" si="20"/>
        <v>21</v>
      </c>
      <c r="B1451" s="59" t="str">
        <f t="shared" si="21"/>
        <v/>
      </c>
      <c r="C1451" s="59" t="str">
        <f t="shared" si="22"/>
        <v/>
      </c>
      <c r="D1451" s="45" t="str">
        <f t="shared" si="23"/>
        <v/>
      </c>
      <c r="E1451" s="45" t="str">
        <f t="shared" si="24"/>
        <v/>
      </c>
      <c r="F1451" s="59" t="str">
        <f t="shared" si="25"/>
        <v/>
      </c>
      <c r="G1451" s="59" t="str">
        <f t="shared" si="26"/>
        <v/>
      </c>
      <c r="H1451" s="59" t="str">
        <f t="shared" si="27"/>
        <v>28C03385</v>
      </c>
      <c r="I1451" s="59" t="str">
        <f>IF(OR($A1451="",$C1451="",$D1451="",$E1451="",$H1451=""),"",SUMIFS(DATA_GOC!$H:$H,DATA_GOC!$A:$A,"BOM",DATA_GOC!$D:$D,$H1451,DATA_GOC!$E:$E,$C1451,DATA_GOC!$F:$F,"Xuất nội bộ từ téc",DATA_GOC!$B:$B,"&gt;="&amp;$D1451,DATA_GOC!$B:$B,"&lt;="&amp;$E1451))</f>
        <v/>
      </c>
      <c r="J1451" s="59">
        <f t="shared" si="28"/>
        <v>0</v>
      </c>
      <c r="K1451" s="59">
        <f t="shared" si="29"/>
        <v>0</v>
      </c>
      <c r="L1451" s="59">
        <f t="shared" si="30"/>
        <v>0</v>
      </c>
      <c r="M1451" s="59">
        <f t="shared" si="31"/>
        <v>0</v>
      </c>
    </row>
    <row r="1452" ht="15.0" hidden="1" customHeight="1">
      <c r="A1452" s="59">
        <f t="shared" si="20"/>
        <v>21</v>
      </c>
      <c r="B1452" s="59" t="str">
        <f t="shared" si="21"/>
        <v/>
      </c>
      <c r="C1452" s="59" t="str">
        <f t="shared" si="22"/>
        <v/>
      </c>
      <c r="D1452" s="45" t="str">
        <f t="shared" si="23"/>
        <v/>
      </c>
      <c r="E1452" s="45" t="str">
        <f t="shared" si="24"/>
        <v/>
      </c>
      <c r="F1452" s="59" t="str">
        <f t="shared" si="25"/>
        <v/>
      </c>
      <c r="G1452" s="59" t="str">
        <f t="shared" si="26"/>
        <v/>
      </c>
      <c r="H1452" s="59" t="str">
        <f t="shared" si="27"/>
        <v>28C03652</v>
      </c>
      <c r="I1452" s="59" t="str">
        <f>IF(OR($A1452="",$C1452="",$D1452="",$E1452="",$H1452=""),"",SUMIFS(DATA_GOC!$H:$H,DATA_GOC!$A:$A,"BOM",DATA_GOC!$D:$D,$H1452,DATA_GOC!$E:$E,$C1452,DATA_GOC!$F:$F,"Xuất nội bộ từ téc",DATA_GOC!$B:$B,"&gt;="&amp;$D1452,DATA_GOC!$B:$B,"&lt;="&amp;$E1452))</f>
        <v/>
      </c>
      <c r="J1452" s="59">
        <f t="shared" si="28"/>
        <v>0</v>
      </c>
      <c r="K1452" s="59">
        <f t="shared" si="29"/>
        <v>0</v>
      </c>
      <c r="L1452" s="59">
        <f t="shared" si="30"/>
        <v>0</v>
      </c>
      <c r="M1452" s="59">
        <f t="shared" si="31"/>
        <v>0</v>
      </c>
    </row>
    <row r="1453" ht="15.0" hidden="1" customHeight="1">
      <c r="A1453" s="59">
        <f t="shared" si="20"/>
        <v>21</v>
      </c>
      <c r="B1453" s="59" t="str">
        <f t="shared" si="21"/>
        <v/>
      </c>
      <c r="C1453" s="59" t="str">
        <f t="shared" si="22"/>
        <v/>
      </c>
      <c r="D1453" s="45" t="str">
        <f t="shared" si="23"/>
        <v/>
      </c>
      <c r="E1453" s="45" t="str">
        <f t="shared" si="24"/>
        <v/>
      </c>
      <c r="F1453" s="59" t="str">
        <f t="shared" si="25"/>
        <v/>
      </c>
      <c r="G1453" s="59" t="str">
        <f t="shared" si="26"/>
        <v/>
      </c>
      <c r="H1453" s="59" t="str">
        <f t="shared" si="27"/>
        <v>28C03695</v>
      </c>
      <c r="I1453" s="59" t="str">
        <f>IF(OR($A1453="",$C1453="",$D1453="",$E1453="",$H1453=""),"",SUMIFS(DATA_GOC!$H:$H,DATA_GOC!$A:$A,"BOM",DATA_GOC!$D:$D,$H1453,DATA_GOC!$E:$E,$C1453,DATA_GOC!$F:$F,"Xuất nội bộ từ téc",DATA_GOC!$B:$B,"&gt;="&amp;$D1453,DATA_GOC!$B:$B,"&lt;="&amp;$E1453))</f>
        <v/>
      </c>
      <c r="J1453" s="59">
        <f t="shared" si="28"/>
        <v>0</v>
      </c>
      <c r="K1453" s="59">
        <f t="shared" si="29"/>
        <v>0</v>
      </c>
      <c r="L1453" s="59">
        <f t="shared" si="30"/>
        <v>0</v>
      </c>
      <c r="M1453" s="59">
        <f t="shared" si="31"/>
        <v>0</v>
      </c>
    </row>
    <row r="1454" ht="15.0" hidden="1" customHeight="1">
      <c r="A1454" s="59">
        <f t="shared" si="20"/>
        <v>21</v>
      </c>
      <c r="B1454" s="59" t="str">
        <f t="shared" si="21"/>
        <v/>
      </c>
      <c r="C1454" s="59" t="str">
        <f t="shared" si="22"/>
        <v/>
      </c>
      <c r="D1454" s="45" t="str">
        <f t="shared" si="23"/>
        <v/>
      </c>
      <c r="E1454" s="45" t="str">
        <f t="shared" si="24"/>
        <v/>
      </c>
      <c r="F1454" s="59" t="str">
        <f t="shared" si="25"/>
        <v/>
      </c>
      <c r="G1454" s="59" t="str">
        <f t="shared" si="26"/>
        <v/>
      </c>
      <c r="H1454" s="59" t="str">
        <f t="shared" si="27"/>
        <v>28C03927</v>
      </c>
      <c r="I1454" s="59" t="str">
        <f>IF(OR($A1454="",$C1454="",$D1454="",$E1454="",$H1454=""),"",SUMIFS(DATA_GOC!$H:$H,DATA_GOC!$A:$A,"BOM",DATA_GOC!$D:$D,$H1454,DATA_GOC!$E:$E,$C1454,DATA_GOC!$F:$F,"Xuất nội bộ từ téc",DATA_GOC!$B:$B,"&gt;="&amp;$D1454,DATA_GOC!$B:$B,"&lt;="&amp;$E1454))</f>
        <v/>
      </c>
      <c r="J1454" s="59">
        <f t="shared" si="28"/>
        <v>0</v>
      </c>
      <c r="K1454" s="59">
        <f t="shared" si="29"/>
        <v>0</v>
      </c>
      <c r="L1454" s="59">
        <f t="shared" si="30"/>
        <v>0</v>
      </c>
      <c r="M1454" s="59">
        <f t="shared" si="31"/>
        <v>0</v>
      </c>
    </row>
    <row r="1455" ht="15.0" hidden="1" customHeight="1">
      <c r="A1455" s="59">
        <f t="shared" si="20"/>
        <v>21</v>
      </c>
      <c r="B1455" s="59" t="str">
        <f t="shared" si="21"/>
        <v/>
      </c>
      <c r="C1455" s="59" t="str">
        <f t="shared" si="22"/>
        <v/>
      </c>
      <c r="D1455" s="45" t="str">
        <f t="shared" si="23"/>
        <v/>
      </c>
      <c r="E1455" s="45" t="str">
        <f t="shared" si="24"/>
        <v/>
      </c>
      <c r="F1455" s="59" t="str">
        <f t="shared" si="25"/>
        <v/>
      </c>
      <c r="G1455" s="59" t="str">
        <f t="shared" si="26"/>
        <v/>
      </c>
      <c r="H1455" s="59" t="str">
        <f t="shared" si="27"/>
        <v>28C04509</v>
      </c>
      <c r="I1455" s="59" t="str">
        <f>IF(OR($A1455="",$C1455="",$D1455="",$E1455="",$H1455=""),"",SUMIFS(DATA_GOC!$H:$H,DATA_GOC!$A:$A,"BOM",DATA_GOC!$D:$D,$H1455,DATA_GOC!$E:$E,$C1455,DATA_GOC!$F:$F,"Xuất nội bộ từ téc",DATA_GOC!$B:$B,"&gt;="&amp;$D1455,DATA_GOC!$B:$B,"&lt;="&amp;$E1455))</f>
        <v/>
      </c>
      <c r="J1455" s="59">
        <f t="shared" si="28"/>
        <v>0</v>
      </c>
      <c r="K1455" s="59">
        <f t="shared" si="29"/>
        <v>0</v>
      </c>
      <c r="L1455" s="59">
        <f t="shared" si="30"/>
        <v>0</v>
      </c>
      <c r="M1455" s="59">
        <f t="shared" si="31"/>
        <v>0</v>
      </c>
    </row>
    <row r="1456" ht="15.0" hidden="1" customHeight="1">
      <c r="A1456" s="59">
        <f t="shared" si="20"/>
        <v>21</v>
      </c>
      <c r="B1456" s="59" t="str">
        <f t="shared" si="21"/>
        <v/>
      </c>
      <c r="C1456" s="59" t="str">
        <f t="shared" si="22"/>
        <v/>
      </c>
      <c r="D1456" s="45" t="str">
        <f t="shared" si="23"/>
        <v/>
      </c>
      <c r="E1456" s="45" t="str">
        <f t="shared" si="24"/>
        <v/>
      </c>
      <c r="F1456" s="59" t="str">
        <f t="shared" si="25"/>
        <v/>
      </c>
      <c r="G1456" s="59" t="str">
        <f t="shared" si="26"/>
        <v/>
      </c>
      <c r="H1456" s="59" t="str">
        <f t="shared" si="27"/>
        <v>28C04536</v>
      </c>
      <c r="I1456" s="59" t="str">
        <f>IF(OR($A1456="",$C1456="",$D1456="",$E1456="",$H1456=""),"",SUMIFS(DATA_GOC!$H:$H,DATA_GOC!$A:$A,"BOM",DATA_GOC!$D:$D,$H1456,DATA_GOC!$E:$E,$C1456,DATA_GOC!$F:$F,"Xuất nội bộ từ téc",DATA_GOC!$B:$B,"&gt;="&amp;$D1456,DATA_GOC!$B:$B,"&lt;="&amp;$E1456))</f>
        <v/>
      </c>
      <c r="J1456" s="59">
        <f t="shared" si="28"/>
        <v>0</v>
      </c>
      <c r="K1456" s="59">
        <f t="shared" si="29"/>
        <v>0</v>
      </c>
      <c r="L1456" s="59">
        <f t="shared" si="30"/>
        <v>0</v>
      </c>
      <c r="M1456" s="59">
        <f t="shared" si="31"/>
        <v>0</v>
      </c>
    </row>
    <row r="1457" ht="15.0" hidden="1" customHeight="1">
      <c r="A1457" s="59">
        <f t="shared" si="20"/>
        <v>21</v>
      </c>
      <c r="B1457" s="59" t="str">
        <f t="shared" si="21"/>
        <v/>
      </c>
      <c r="C1457" s="59" t="str">
        <f t="shared" si="22"/>
        <v/>
      </c>
      <c r="D1457" s="45" t="str">
        <f t="shared" si="23"/>
        <v/>
      </c>
      <c r="E1457" s="45" t="str">
        <f t="shared" si="24"/>
        <v/>
      </c>
      <c r="F1457" s="59" t="str">
        <f t="shared" si="25"/>
        <v/>
      </c>
      <c r="G1457" s="59" t="str">
        <f t="shared" si="26"/>
        <v/>
      </c>
      <c r="H1457" s="59" t="str">
        <f t="shared" si="27"/>
        <v>28C04576</v>
      </c>
      <c r="I1457" s="59" t="str">
        <f>IF(OR($A1457="",$C1457="",$D1457="",$E1457="",$H1457=""),"",SUMIFS(DATA_GOC!$H:$H,DATA_GOC!$A:$A,"BOM",DATA_GOC!$D:$D,$H1457,DATA_GOC!$E:$E,$C1457,DATA_GOC!$F:$F,"Xuất nội bộ từ téc",DATA_GOC!$B:$B,"&gt;="&amp;$D1457,DATA_GOC!$B:$B,"&lt;="&amp;$E1457))</f>
        <v/>
      </c>
      <c r="J1457" s="59">
        <f t="shared" si="28"/>
        <v>0</v>
      </c>
      <c r="K1457" s="59">
        <f t="shared" si="29"/>
        <v>0</v>
      </c>
      <c r="L1457" s="59">
        <f t="shared" si="30"/>
        <v>0</v>
      </c>
      <c r="M1457" s="59">
        <f t="shared" si="31"/>
        <v>0</v>
      </c>
    </row>
    <row r="1458" ht="15.0" hidden="1" customHeight="1">
      <c r="A1458" s="59">
        <f t="shared" si="20"/>
        <v>21</v>
      </c>
      <c r="B1458" s="59" t="str">
        <f t="shared" si="21"/>
        <v/>
      </c>
      <c r="C1458" s="59" t="str">
        <f t="shared" si="22"/>
        <v/>
      </c>
      <c r="D1458" s="45" t="str">
        <f t="shared" si="23"/>
        <v/>
      </c>
      <c r="E1458" s="45" t="str">
        <f t="shared" si="24"/>
        <v/>
      </c>
      <c r="F1458" s="59" t="str">
        <f t="shared" si="25"/>
        <v/>
      </c>
      <c r="G1458" s="59" t="str">
        <f t="shared" si="26"/>
        <v/>
      </c>
      <c r="H1458" s="59" t="str">
        <f t="shared" si="27"/>
        <v>28C05090</v>
      </c>
      <c r="I1458" s="59" t="str">
        <f>IF(OR($A1458="",$C1458="",$D1458="",$E1458="",$H1458=""),"",SUMIFS(DATA_GOC!$H:$H,DATA_GOC!$A:$A,"BOM",DATA_GOC!$D:$D,$H1458,DATA_GOC!$E:$E,$C1458,DATA_GOC!$F:$F,"Xuất nội bộ từ téc",DATA_GOC!$B:$B,"&gt;="&amp;$D1458,DATA_GOC!$B:$B,"&lt;="&amp;$E1458))</f>
        <v/>
      </c>
      <c r="J1458" s="59">
        <f t="shared" si="28"/>
        <v>0</v>
      </c>
      <c r="K1458" s="59">
        <f t="shared" si="29"/>
        <v>0</v>
      </c>
      <c r="L1458" s="59">
        <f t="shared" si="30"/>
        <v>0</v>
      </c>
      <c r="M1458" s="59">
        <f t="shared" si="31"/>
        <v>0</v>
      </c>
    </row>
    <row r="1459" ht="15.0" hidden="1" customHeight="1">
      <c r="A1459" s="59">
        <f t="shared" si="20"/>
        <v>21</v>
      </c>
      <c r="B1459" s="59" t="str">
        <f t="shared" si="21"/>
        <v/>
      </c>
      <c r="C1459" s="59" t="str">
        <f t="shared" si="22"/>
        <v/>
      </c>
      <c r="D1459" s="45" t="str">
        <f t="shared" si="23"/>
        <v/>
      </c>
      <c r="E1459" s="45" t="str">
        <f t="shared" si="24"/>
        <v/>
      </c>
      <c r="F1459" s="59" t="str">
        <f t="shared" si="25"/>
        <v/>
      </c>
      <c r="G1459" s="59" t="str">
        <f t="shared" si="26"/>
        <v/>
      </c>
      <c r="H1459" s="59" t="str">
        <f t="shared" si="27"/>
        <v>28C05345</v>
      </c>
      <c r="I1459" s="59" t="str">
        <f>IF(OR($A1459="",$C1459="",$D1459="",$E1459="",$H1459=""),"",SUMIFS(DATA_GOC!$H:$H,DATA_GOC!$A:$A,"BOM",DATA_GOC!$D:$D,$H1459,DATA_GOC!$E:$E,$C1459,DATA_GOC!$F:$F,"Xuất nội bộ từ téc",DATA_GOC!$B:$B,"&gt;="&amp;$D1459,DATA_GOC!$B:$B,"&lt;="&amp;$E1459))</f>
        <v/>
      </c>
      <c r="J1459" s="59">
        <f t="shared" si="28"/>
        <v>0</v>
      </c>
      <c r="K1459" s="59">
        <f t="shared" si="29"/>
        <v>0</v>
      </c>
      <c r="L1459" s="59">
        <f t="shared" si="30"/>
        <v>0</v>
      </c>
      <c r="M1459" s="59">
        <f t="shared" si="31"/>
        <v>0</v>
      </c>
    </row>
    <row r="1460" ht="15.0" hidden="1" customHeight="1">
      <c r="A1460" s="59">
        <f t="shared" si="20"/>
        <v>21</v>
      </c>
      <c r="B1460" s="59" t="str">
        <f t="shared" si="21"/>
        <v/>
      </c>
      <c r="C1460" s="59" t="str">
        <f t="shared" si="22"/>
        <v/>
      </c>
      <c r="D1460" s="45" t="str">
        <f t="shared" si="23"/>
        <v/>
      </c>
      <c r="E1460" s="45" t="str">
        <f t="shared" si="24"/>
        <v/>
      </c>
      <c r="F1460" s="59" t="str">
        <f t="shared" si="25"/>
        <v/>
      </c>
      <c r="G1460" s="59" t="str">
        <f t="shared" si="26"/>
        <v/>
      </c>
      <c r="H1460" s="59" t="str">
        <f t="shared" si="27"/>
        <v>28C05661</v>
      </c>
      <c r="I1460" s="59" t="str">
        <f>IF(OR($A1460="",$C1460="",$D1460="",$E1460="",$H1460=""),"",SUMIFS(DATA_GOC!$H:$H,DATA_GOC!$A:$A,"BOM",DATA_GOC!$D:$D,$H1460,DATA_GOC!$E:$E,$C1460,DATA_GOC!$F:$F,"Xuất nội bộ từ téc",DATA_GOC!$B:$B,"&gt;="&amp;$D1460,DATA_GOC!$B:$B,"&lt;="&amp;$E1460))</f>
        <v/>
      </c>
      <c r="J1460" s="59">
        <f t="shared" si="28"/>
        <v>0</v>
      </c>
      <c r="K1460" s="59">
        <f t="shared" si="29"/>
        <v>0</v>
      </c>
      <c r="L1460" s="59">
        <f t="shared" si="30"/>
        <v>0</v>
      </c>
      <c r="M1460" s="59">
        <f t="shared" si="31"/>
        <v>0</v>
      </c>
    </row>
    <row r="1461" ht="15.0" hidden="1" customHeight="1">
      <c r="A1461" s="59">
        <f t="shared" si="20"/>
        <v>21</v>
      </c>
      <c r="B1461" s="59" t="str">
        <f t="shared" si="21"/>
        <v/>
      </c>
      <c r="C1461" s="59" t="str">
        <f t="shared" si="22"/>
        <v/>
      </c>
      <c r="D1461" s="45" t="str">
        <f t="shared" si="23"/>
        <v/>
      </c>
      <c r="E1461" s="45" t="str">
        <f t="shared" si="24"/>
        <v/>
      </c>
      <c r="F1461" s="59" t="str">
        <f t="shared" si="25"/>
        <v/>
      </c>
      <c r="G1461" s="59" t="str">
        <f t="shared" si="26"/>
        <v/>
      </c>
      <c r="H1461" s="59" t="str">
        <f t="shared" si="27"/>
        <v>28C05739</v>
      </c>
      <c r="I1461" s="59" t="str">
        <f>IF(OR($A1461="",$C1461="",$D1461="",$E1461="",$H1461=""),"",SUMIFS(DATA_GOC!$H:$H,DATA_GOC!$A:$A,"BOM",DATA_GOC!$D:$D,$H1461,DATA_GOC!$E:$E,$C1461,DATA_GOC!$F:$F,"Xuất nội bộ từ téc",DATA_GOC!$B:$B,"&gt;="&amp;$D1461,DATA_GOC!$B:$B,"&lt;="&amp;$E1461))</f>
        <v/>
      </c>
      <c r="J1461" s="59">
        <f t="shared" si="28"/>
        <v>0</v>
      </c>
      <c r="K1461" s="59">
        <f t="shared" si="29"/>
        <v>0</v>
      </c>
      <c r="L1461" s="59">
        <f t="shared" si="30"/>
        <v>0</v>
      </c>
      <c r="M1461" s="59">
        <f t="shared" si="31"/>
        <v>0</v>
      </c>
    </row>
    <row r="1462" ht="15.0" hidden="1" customHeight="1">
      <c r="A1462" s="59">
        <f t="shared" si="20"/>
        <v>21</v>
      </c>
      <c r="B1462" s="59" t="str">
        <f t="shared" si="21"/>
        <v/>
      </c>
      <c r="C1462" s="59" t="str">
        <f t="shared" si="22"/>
        <v/>
      </c>
      <c r="D1462" s="45" t="str">
        <f t="shared" si="23"/>
        <v/>
      </c>
      <c r="E1462" s="45" t="str">
        <f t="shared" si="24"/>
        <v/>
      </c>
      <c r="F1462" s="59" t="str">
        <f t="shared" si="25"/>
        <v/>
      </c>
      <c r="G1462" s="59" t="str">
        <f t="shared" si="26"/>
        <v/>
      </c>
      <c r="H1462" s="59" t="str">
        <f t="shared" si="27"/>
        <v>28C06369</v>
      </c>
      <c r="I1462" s="59" t="str">
        <f>IF(OR($A1462="",$C1462="",$D1462="",$E1462="",$H1462=""),"",SUMIFS(DATA_GOC!$H:$H,DATA_GOC!$A:$A,"BOM",DATA_GOC!$D:$D,$H1462,DATA_GOC!$E:$E,$C1462,DATA_GOC!$F:$F,"Xuất nội bộ từ téc",DATA_GOC!$B:$B,"&gt;="&amp;$D1462,DATA_GOC!$B:$B,"&lt;="&amp;$E1462))</f>
        <v/>
      </c>
      <c r="J1462" s="59">
        <f t="shared" si="28"/>
        <v>0</v>
      </c>
      <c r="K1462" s="59">
        <f t="shared" si="29"/>
        <v>0</v>
      </c>
      <c r="L1462" s="59">
        <f t="shared" si="30"/>
        <v>0</v>
      </c>
      <c r="M1462" s="59">
        <f t="shared" si="31"/>
        <v>0</v>
      </c>
    </row>
    <row r="1463" ht="15.0" hidden="1" customHeight="1">
      <c r="A1463" s="59">
        <f t="shared" si="20"/>
        <v>21</v>
      </c>
      <c r="B1463" s="59" t="str">
        <f t="shared" si="21"/>
        <v/>
      </c>
      <c r="C1463" s="59" t="str">
        <f t="shared" si="22"/>
        <v/>
      </c>
      <c r="D1463" s="45" t="str">
        <f t="shared" si="23"/>
        <v/>
      </c>
      <c r="E1463" s="45" t="str">
        <f t="shared" si="24"/>
        <v/>
      </c>
      <c r="F1463" s="59" t="str">
        <f t="shared" si="25"/>
        <v/>
      </c>
      <c r="G1463" s="59" t="str">
        <f t="shared" si="26"/>
        <v/>
      </c>
      <c r="H1463" s="59" t="str">
        <f t="shared" si="27"/>
        <v>28C06447</v>
      </c>
      <c r="I1463" s="59" t="str">
        <f>IF(OR($A1463="",$C1463="",$D1463="",$E1463="",$H1463=""),"",SUMIFS(DATA_GOC!$H:$H,DATA_GOC!$A:$A,"BOM",DATA_GOC!$D:$D,$H1463,DATA_GOC!$E:$E,$C1463,DATA_GOC!$F:$F,"Xuất nội bộ từ téc",DATA_GOC!$B:$B,"&gt;="&amp;$D1463,DATA_GOC!$B:$B,"&lt;="&amp;$E1463))</f>
        <v/>
      </c>
      <c r="J1463" s="59">
        <f t="shared" si="28"/>
        <v>0</v>
      </c>
      <c r="K1463" s="59">
        <f t="shared" si="29"/>
        <v>0</v>
      </c>
      <c r="L1463" s="59">
        <f t="shared" si="30"/>
        <v>0</v>
      </c>
      <c r="M1463" s="59">
        <f t="shared" si="31"/>
        <v>0</v>
      </c>
    </row>
    <row r="1464" ht="15.0" hidden="1" customHeight="1">
      <c r="A1464" s="59">
        <f t="shared" si="20"/>
        <v>21</v>
      </c>
      <c r="B1464" s="59" t="str">
        <f t="shared" si="21"/>
        <v/>
      </c>
      <c r="C1464" s="59" t="str">
        <f t="shared" si="22"/>
        <v/>
      </c>
      <c r="D1464" s="45" t="str">
        <f t="shared" si="23"/>
        <v/>
      </c>
      <c r="E1464" s="45" t="str">
        <f t="shared" si="24"/>
        <v/>
      </c>
      <c r="F1464" s="59" t="str">
        <f t="shared" si="25"/>
        <v/>
      </c>
      <c r="G1464" s="59" t="str">
        <f t="shared" si="26"/>
        <v/>
      </c>
      <c r="H1464" s="59" t="str">
        <f t="shared" si="27"/>
        <v>28H00003</v>
      </c>
      <c r="I1464" s="59" t="str">
        <f>IF(OR($A1464="",$C1464="",$D1464="",$E1464="",$H1464=""),"",SUMIFS(DATA_GOC!$H:$H,DATA_GOC!$A:$A,"BOM",DATA_GOC!$D:$D,$H1464,DATA_GOC!$E:$E,$C1464,DATA_GOC!$F:$F,"Xuất nội bộ từ téc",DATA_GOC!$B:$B,"&gt;="&amp;$D1464,DATA_GOC!$B:$B,"&lt;="&amp;$E1464))</f>
        <v/>
      </c>
      <c r="J1464" s="59">
        <f t="shared" si="28"/>
        <v>0</v>
      </c>
      <c r="K1464" s="59">
        <f t="shared" si="29"/>
        <v>0</v>
      </c>
      <c r="L1464" s="59">
        <f t="shared" si="30"/>
        <v>0</v>
      </c>
      <c r="M1464" s="59">
        <f t="shared" si="31"/>
        <v>0</v>
      </c>
    </row>
    <row r="1465" ht="15.0" hidden="1" customHeight="1">
      <c r="A1465" s="59">
        <f t="shared" si="20"/>
        <v>21</v>
      </c>
      <c r="B1465" s="59" t="str">
        <f t="shared" si="21"/>
        <v/>
      </c>
      <c r="C1465" s="59" t="str">
        <f t="shared" si="22"/>
        <v/>
      </c>
      <c r="D1465" s="45" t="str">
        <f t="shared" si="23"/>
        <v/>
      </c>
      <c r="E1465" s="45" t="str">
        <f t="shared" si="24"/>
        <v/>
      </c>
      <c r="F1465" s="59" t="str">
        <f t="shared" si="25"/>
        <v/>
      </c>
      <c r="G1465" s="59" t="str">
        <f t="shared" si="26"/>
        <v/>
      </c>
      <c r="H1465" s="59" t="str">
        <f t="shared" si="27"/>
        <v>28H00061</v>
      </c>
      <c r="I1465" s="59" t="str">
        <f>IF(OR($A1465="",$C1465="",$D1465="",$E1465="",$H1465=""),"",SUMIFS(DATA_GOC!$H:$H,DATA_GOC!$A:$A,"BOM",DATA_GOC!$D:$D,$H1465,DATA_GOC!$E:$E,$C1465,DATA_GOC!$F:$F,"Xuất nội bộ từ téc",DATA_GOC!$B:$B,"&gt;="&amp;$D1465,DATA_GOC!$B:$B,"&lt;="&amp;$E1465))</f>
        <v/>
      </c>
      <c r="J1465" s="59">
        <f t="shared" si="28"/>
        <v>0</v>
      </c>
      <c r="K1465" s="59">
        <f t="shared" si="29"/>
        <v>0</v>
      </c>
      <c r="L1465" s="59">
        <f t="shared" si="30"/>
        <v>0</v>
      </c>
      <c r="M1465" s="59">
        <f t="shared" si="31"/>
        <v>0</v>
      </c>
    </row>
    <row r="1466" ht="15.0" hidden="1" customHeight="1">
      <c r="A1466" s="59">
        <f t="shared" si="20"/>
        <v>21</v>
      </c>
      <c r="B1466" s="59" t="str">
        <f t="shared" si="21"/>
        <v/>
      </c>
      <c r="C1466" s="59" t="str">
        <f t="shared" si="22"/>
        <v/>
      </c>
      <c r="D1466" s="45" t="str">
        <f t="shared" si="23"/>
        <v/>
      </c>
      <c r="E1466" s="45" t="str">
        <f t="shared" si="24"/>
        <v/>
      </c>
      <c r="F1466" s="59" t="str">
        <f t="shared" si="25"/>
        <v/>
      </c>
      <c r="G1466" s="59" t="str">
        <f t="shared" si="26"/>
        <v/>
      </c>
      <c r="H1466" s="59" t="str">
        <f t="shared" si="27"/>
        <v>28H00354</v>
      </c>
      <c r="I1466" s="59" t="str">
        <f>IF(OR($A1466="",$C1466="",$D1466="",$E1466="",$H1466=""),"",SUMIFS(DATA_GOC!$H:$H,DATA_GOC!$A:$A,"BOM",DATA_GOC!$D:$D,$H1466,DATA_GOC!$E:$E,$C1466,DATA_GOC!$F:$F,"Xuất nội bộ từ téc",DATA_GOC!$B:$B,"&gt;="&amp;$D1466,DATA_GOC!$B:$B,"&lt;="&amp;$E1466))</f>
        <v/>
      </c>
      <c r="J1466" s="59">
        <f t="shared" si="28"/>
        <v>0</v>
      </c>
      <c r="K1466" s="59">
        <f t="shared" si="29"/>
        <v>0</v>
      </c>
      <c r="L1466" s="59">
        <f t="shared" si="30"/>
        <v>0</v>
      </c>
      <c r="M1466" s="59">
        <f t="shared" si="31"/>
        <v>0</v>
      </c>
    </row>
    <row r="1467" ht="15.0" hidden="1" customHeight="1">
      <c r="A1467" s="59">
        <f t="shared" si="20"/>
        <v>21</v>
      </c>
      <c r="B1467" s="59" t="str">
        <f t="shared" si="21"/>
        <v/>
      </c>
      <c r="C1467" s="59" t="str">
        <f t="shared" si="22"/>
        <v/>
      </c>
      <c r="D1467" s="45" t="str">
        <f t="shared" si="23"/>
        <v/>
      </c>
      <c r="E1467" s="45" t="str">
        <f t="shared" si="24"/>
        <v/>
      </c>
      <c r="F1467" s="59" t="str">
        <f t="shared" si="25"/>
        <v/>
      </c>
      <c r="G1467" s="59" t="str">
        <f t="shared" si="26"/>
        <v/>
      </c>
      <c r="H1467" s="59" t="str">
        <f t="shared" si="27"/>
        <v>28H00603</v>
      </c>
      <c r="I1467" s="59" t="str">
        <f>IF(OR($A1467="",$C1467="",$D1467="",$E1467="",$H1467=""),"",SUMIFS(DATA_GOC!$H:$H,DATA_GOC!$A:$A,"BOM",DATA_GOC!$D:$D,$H1467,DATA_GOC!$E:$E,$C1467,DATA_GOC!$F:$F,"Xuất nội bộ từ téc",DATA_GOC!$B:$B,"&gt;="&amp;$D1467,DATA_GOC!$B:$B,"&lt;="&amp;$E1467))</f>
        <v/>
      </c>
      <c r="J1467" s="59">
        <f t="shared" si="28"/>
        <v>0</v>
      </c>
      <c r="K1467" s="59">
        <f t="shared" si="29"/>
        <v>0</v>
      </c>
      <c r="L1467" s="59">
        <f t="shared" si="30"/>
        <v>0</v>
      </c>
      <c r="M1467" s="59">
        <f t="shared" si="31"/>
        <v>0</v>
      </c>
    </row>
    <row r="1468" ht="15.0" hidden="1" customHeight="1">
      <c r="A1468" s="59">
        <f t="shared" si="20"/>
        <v>21</v>
      </c>
      <c r="B1468" s="59" t="str">
        <f t="shared" si="21"/>
        <v/>
      </c>
      <c r="C1468" s="59" t="str">
        <f t="shared" si="22"/>
        <v/>
      </c>
      <c r="D1468" s="45" t="str">
        <f t="shared" si="23"/>
        <v/>
      </c>
      <c r="E1468" s="45" t="str">
        <f t="shared" si="24"/>
        <v/>
      </c>
      <c r="F1468" s="59" t="str">
        <f t="shared" si="25"/>
        <v/>
      </c>
      <c r="G1468" s="59" t="str">
        <f t="shared" si="26"/>
        <v/>
      </c>
      <c r="H1468" s="59" t="str">
        <f t="shared" si="27"/>
        <v>28H00609</v>
      </c>
      <c r="I1468" s="59" t="str">
        <f>IF(OR($A1468="",$C1468="",$D1468="",$E1468="",$H1468=""),"",SUMIFS(DATA_GOC!$H:$H,DATA_GOC!$A:$A,"BOM",DATA_GOC!$D:$D,$H1468,DATA_GOC!$E:$E,$C1468,DATA_GOC!$F:$F,"Xuất nội bộ từ téc",DATA_GOC!$B:$B,"&gt;="&amp;$D1468,DATA_GOC!$B:$B,"&lt;="&amp;$E1468))</f>
        <v/>
      </c>
      <c r="J1468" s="59">
        <f t="shared" si="28"/>
        <v>0</v>
      </c>
      <c r="K1468" s="59">
        <f t="shared" si="29"/>
        <v>0</v>
      </c>
      <c r="L1468" s="59">
        <f t="shared" si="30"/>
        <v>0</v>
      </c>
      <c r="M1468" s="59">
        <f t="shared" si="31"/>
        <v>0</v>
      </c>
    </row>
    <row r="1469" ht="15.0" hidden="1" customHeight="1">
      <c r="A1469" s="59">
        <f t="shared" si="20"/>
        <v>21</v>
      </c>
      <c r="B1469" s="59" t="str">
        <f t="shared" si="21"/>
        <v/>
      </c>
      <c r="C1469" s="59" t="str">
        <f t="shared" si="22"/>
        <v/>
      </c>
      <c r="D1469" s="45" t="str">
        <f t="shared" si="23"/>
        <v/>
      </c>
      <c r="E1469" s="45" t="str">
        <f t="shared" si="24"/>
        <v/>
      </c>
      <c r="F1469" s="59" t="str">
        <f t="shared" si="25"/>
        <v/>
      </c>
      <c r="G1469" s="59" t="str">
        <f t="shared" si="26"/>
        <v/>
      </c>
      <c r="H1469" s="59" t="str">
        <f t="shared" si="27"/>
        <v>28H00669</v>
      </c>
      <c r="I1469" s="59" t="str">
        <f>IF(OR($A1469="",$C1469="",$D1469="",$E1469="",$H1469=""),"",SUMIFS(DATA_GOC!$H:$H,DATA_GOC!$A:$A,"BOM",DATA_GOC!$D:$D,$H1469,DATA_GOC!$E:$E,$C1469,DATA_GOC!$F:$F,"Xuất nội bộ từ téc",DATA_GOC!$B:$B,"&gt;="&amp;$D1469,DATA_GOC!$B:$B,"&lt;="&amp;$E1469))</f>
        <v/>
      </c>
      <c r="J1469" s="59">
        <f t="shared" si="28"/>
        <v>0</v>
      </c>
      <c r="K1469" s="59">
        <f t="shared" si="29"/>
        <v>0</v>
      </c>
      <c r="L1469" s="59">
        <f t="shared" si="30"/>
        <v>0</v>
      </c>
      <c r="M1469" s="59">
        <f t="shared" si="31"/>
        <v>0</v>
      </c>
    </row>
    <row r="1470" ht="15.0" hidden="1" customHeight="1">
      <c r="A1470" s="59">
        <f t="shared" si="20"/>
        <v>21</v>
      </c>
      <c r="B1470" s="59" t="str">
        <f t="shared" si="21"/>
        <v/>
      </c>
      <c r="C1470" s="59" t="str">
        <f t="shared" si="22"/>
        <v/>
      </c>
      <c r="D1470" s="45" t="str">
        <f t="shared" si="23"/>
        <v/>
      </c>
      <c r="E1470" s="45" t="str">
        <f t="shared" si="24"/>
        <v/>
      </c>
      <c r="F1470" s="59" t="str">
        <f t="shared" si="25"/>
        <v/>
      </c>
      <c r="G1470" s="59" t="str">
        <f t="shared" si="26"/>
        <v/>
      </c>
      <c r="H1470" s="59" t="str">
        <f t="shared" si="27"/>
        <v>28H00680</v>
      </c>
      <c r="I1470" s="59" t="str">
        <f>IF(OR($A1470="",$C1470="",$D1470="",$E1470="",$H1470=""),"",SUMIFS(DATA_GOC!$H:$H,DATA_GOC!$A:$A,"BOM",DATA_GOC!$D:$D,$H1470,DATA_GOC!$E:$E,$C1470,DATA_GOC!$F:$F,"Xuất nội bộ từ téc",DATA_GOC!$B:$B,"&gt;="&amp;$D1470,DATA_GOC!$B:$B,"&lt;="&amp;$E1470))</f>
        <v/>
      </c>
      <c r="J1470" s="59">
        <f t="shared" si="28"/>
        <v>0</v>
      </c>
      <c r="K1470" s="59">
        <f t="shared" si="29"/>
        <v>0</v>
      </c>
      <c r="L1470" s="59">
        <f t="shared" si="30"/>
        <v>0</v>
      </c>
      <c r="M1470" s="59">
        <f t="shared" si="31"/>
        <v>0</v>
      </c>
    </row>
    <row r="1471" ht="15.0" hidden="1" customHeight="1">
      <c r="A1471" s="59">
        <f t="shared" si="20"/>
        <v>21</v>
      </c>
      <c r="B1471" s="59" t="str">
        <f t="shared" si="21"/>
        <v/>
      </c>
      <c r="C1471" s="59" t="str">
        <f t="shared" si="22"/>
        <v/>
      </c>
      <c r="D1471" s="45" t="str">
        <f t="shared" si="23"/>
        <v/>
      </c>
      <c r="E1471" s="45" t="str">
        <f t="shared" si="24"/>
        <v/>
      </c>
      <c r="F1471" s="59" t="str">
        <f t="shared" si="25"/>
        <v/>
      </c>
      <c r="G1471" s="59" t="str">
        <f t="shared" si="26"/>
        <v/>
      </c>
      <c r="H1471" s="59" t="str">
        <f t="shared" si="27"/>
        <v>28H01070</v>
      </c>
      <c r="I1471" s="59" t="str">
        <f>IF(OR($A1471="",$C1471="",$D1471="",$E1471="",$H1471=""),"",SUMIFS(DATA_GOC!$H:$H,DATA_GOC!$A:$A,"BOM",DATA_GOC!$D:$D,$H1471,DATA_GOC!$E:$E,$C1471,DATA_GOC!$F:$F,"Xuất nội bộ từ téc",DATA_GOC!$B:$B,"&gt;="&amp;$D1471,DATA_GOC!$B:$B,"&lt;="&amp;$E1471))</f>
        <v/>
      </c>
      <c r="J1471" s="59">
        <f t="shared" si="28"/>
        <v>0</v>
      </c>
      <c r="K1471" s="59">
        <f t="shared" si="29"/>
        <v>0</v>
      </c>
      <c r="L1471" s="59">
        <f t="shared" si="30"/>
        <v>0</v>
      </c>
      <c r="M1471" s="59">
        <f t="shared" si="31"/>
        <v>0</v>
      </c>
    </row>
    <row r="1472" ht="15.0" hidden="1" customHeight="1">
      <c r="A1472" s="59">
        <f t="shared" si="20"/>
        <v>21</v>
      </c>
      <c r="B1472" s="59" t="str">
        <f t="shared" si="21"/>
        <v/>
      </c>
      <c r="C1472" s="59" t="str">
        <f t="shared" si="22"/>
        <v/>
      </c>
      <c r="D1472" s="45" t="str">
        <f t="shared" si="23"/>
        <v/>
      </c>
      <c r="E1472" s="45" t="str">
        <f t="shared" si="24"/>
        <v/>
      </c>
      <c r="F1472" s="59" t="str">
        <f t="shared" si="25"/>
        <v/>
      </c>
      <c r="G1472" s="59" t="str">
        <f t="shared" si="26"/>
        <v/>
      </c>
      <c r="H1472" s="59" t="str">
        <f t="shared" si="27"/>
        <v>28H01364</v>
      </c>
      <c r="I1472" s="59" t="str">
        <f>IF(OR($A1472="",$C1472="",$D1472="",$E1472="",$H1472=""),"",SUMIFS(DATA_GOC!$H:$H,DATA_GOC!$A:$A,"BOM",DATA_GOC!$D:$D,$H1472,DATA_GOC!$E:$E,$C1472,DATA_GOC!$F:$F,"Xuất nội bộ từ téc",DATA_GOC!$B:$B,"&gt;="&amp;$D1472,DATA_GOC!$B:$B,"&lt;="&amp;$E1472))</f>
        <v/>
      </c>
      <c r="J1472" s="59">
        <f t="shared" si="28"/>
        <v>0</v>
      </c>
      <c r="K1472" s="59">
        <f t="shared" si="29"/>
        <v>0</v>
      </c>
      <c r="L1472" s="59">
        <f t="shared" si="30"/>
        <v>0</v>
      </c>
      <c r="M1472" s="59">
        <f t="shared" si="31"/>
        <v>0</v>
      </c>
    </row>
    <row r="1473" ht="15.0" hidden="1" customHeight="1">
      <c r="A1473" s="59">
        <f t="shared" si="20"/>
        <v>21</v>
      </c>
      <c r="B1473" s="59" t="str">
        <f t="shared" si="21"/>
        <v/>
      </c>
      <c r="C1473" s="59" t="str">
        <f t="shared" si="22"/>
        <v/>
      </c>
      <c r="D1473" s="45" t="str">
        <f t="shared" si="23"/>
        <v/>
      </c>
      <c r="E1473" s="45" t="str">
        <f t="shared" si="24"/>
        <v/>
      </c>
      <c r="F1473" s="59" t="str">
        <f t="shared" si="25"/>
        <v/>
      </c>
      <c r="G1473" s="59" t="str">
        <f t="shared" si="26"/>
        <v/>
      </c>
      <c r="H1473" s="59" t="str">
        <f t="shared" si="27"/>
        <v>29E17269</v>
      </c>
      <c r="I1473" s="59" t="str">
        <f>IF(OR($A1473="",$C1473="",$D1473="",$E1473="",$H1473=""),"",SUMIFS(DATA_GOC!$H:$H,DATA_GOC!$A:$A,"BOM",DATA_GOC!$D:$D,$H1473,DATA_GOC!$E:$E,$C1473,DATA_GOC!$F:$F,"Xuất nội bộ từ téc",DATA_GOC!$B:$B,"&gt;="&amp;$D1473,DATA_GOC!$B:$B,"&lt;="&amp;$E1473))</f>
        <v/>
      </c>
      <c r="J1473" s="59">
        <f t="shared" si="28"/>
        <v>0</v>
      </c>
      <c r="K1473" s="59">
        <f t="shared" si="29"/>
        <v>0</v>
      </c>
      <c r="L1473" s="59">
        <f t="shared" si="30"/>
        <v>0</v>
      </c>
      <c r="M1473" s="59">
        <f t="shared" si="31"/>
        <v>0</v>
      </c>
    </row>
    <row r="1474" ht="15.0" hidden="1" customHeight="1">
      <c r="A1474" s="59">
        <f t="shared" si="20"/>
        <v>21</v>
      </c>
      <c r="B1474" s="59" t="str">
        <f t="shared" si="21"/>
        <v/>
      </c>
      <c r="C1474" s="59" t="str">
        <f t="shared" si="22"/>
        <v/>
      </c>
      <c r="D1474" s="45" t="str">
        <f t="shared" si="23"/>
        <v/>
      </c>
      <c r="E1474" s="45" t="str">
        <f t="shared" si="24"/>
        <v/>
      </c>
      <c r="F1474" s="59" t="str">
        <f t="shared" si="25"/>
        <v/>
      </c>
      <c r="G1474" s="59" t="str">
        <f t="shared" si="26"/>
        <v/>
      </c>
      <c r="H1474" s="59" t="str">
        <f t="shared" si="27"/>
        <v>29E17273</v>
      </c>
      <c r="I1474" s="59" t="str">
        <f>IF(OR($A1474="",$C1474="",$D1474="",$E1474="",$H1474=""),"",SUMIFS(DATA_GOC!$H:$H,DATA_GOC!$A:$A,"BOM",DATA_GOC!$D:$D,$H1474,DATA_GOC!$E:$E,$C1474,DATA_GOC!$F:$F,"Xuất nội bộ từ téc",DATA_GOC!$B:$B,"&gt;="&amp;$D1474,DATA_GOC!$B:$B,"&lt;="&amp;$E1474))</f>
        <v/>
      </c>
      <c r="J1474" s="59">
        <f t="shared" si="28"/>
        <v>0</v>
      </c>
      <c r="K1474" s="59">
        <f t="shared" si="29"/>
        <v>0</v>
      </c>
      <c r="L1474" s="59">
        <f t="shared" si="30"/>
        <v>0</v>
      </c>
      <c r="M1474" s="59">
        <f t="shared" si="31"/>
        <v>0</v>
      </c>
    </row>
    <row r="1475" ht="15.0" hidden="1" customHeight="1">
      <c r="A1475" s="59">
        <f t="shared" si="20"/>
        <v>21</v>
      </c>
      <c r="B1475" s="59" t="str">
        <f t="shared" si="21"/>
        <v/>
      </c>
      <c r="C1475" s="59" t="str">
        <f t="shared" si="22"/>
        <v/>
      </c>
      <c r="D1475" s="45" t="str">
        <f t="shared" si="23"/>
        <v/>
      </c>
      <c r="E1475" s="45" t="str">
        <f t="shared" si="24"/>
        <v/>
      </c>
      <c r="F1475" s="59" t="str">
        <f t="shared" si="25"/>
        <v/>
      </c>
      <c r="G1475" s="59" t="str">
        <f t="shared" si="26"/>
        <v/>
      </c>
      <c r="H1475" s="59" t="str">
        <f t="shared" si="27"/>
        <v>29E17410</v>
      </c>
      <c r="I1475" s="59" t="str">
        <f>IF(OR($A1475="",$C1475="",$D1475="",$E1475="",$H1475=""),"",SUMIFS(DATA_GOC!$H:$H,DATA_GOC!$A:$A,"BOM",DATA_GOC!$D:$D,$H1475,DATA_GOC!$E:$E,$C1475,DATA_GOC!$F:$F,"Xuất nội bộ từ téc",DATA_GOC!$B:$B,"&gt;="&amp;$D1475,DATA_GOC!$B:$B,"&lt;="&amp;$E1475))</f>
        <v/>
      </c>
      <c r="J1475" s="59">
        <f t="shared" si="28"/>
        <v>0</v>
      </c>
      <c r="K1475" s="59">
        <f t="shared" si="29"/>
        <v>0</v>
      </c>
      <c r="L1475" s="59">
        <f t="shared" si="30"/>
        <v>0</v>
      </c>
      <c r="M1475" s="59">
        <f t="shared" si="31"/>
        <v>0</v>
      </c>
    </row>
    <row r="1476" ht="15.0" hidden="1" customHeight="1">
      <c r="A1476" s="59">
        <f t="shared" si="20"/>
        <v>21</v>
      </c>
      <c r="B1476" s="59" t="str">
        <f t="shared" si="21"/>
        <v/>
      </c>
      <c r="C1476" s="59" t="str">
        <f t="shared" si="22"/>
        <v/>
      </c>
      <c r="D1476" s="45" t="str">
        <f t="shared" si="23"/>
        <v/>
      </c>
      <c r="E1476" s="45" t="str">
        <f t="shared" si="24"/>
        <v/>
      </c>
      <c r="F1476" s="59" t="str">
        <f t="shared" si="25"/>
        <v/>
      </c>
      <c r="G1476" s="59" t="str">
        <f t="shared" si="26"/>
        <v/>
      </c>
      <c r="H1476" s="59" t="str">
        <f t="shared" si="27"/>
        <v>29E17417</v>
      </c>
      <c r="I1476" s="59" t="str">
        <f>IF(OR($A1476="",$C1476="",$D1476="",$E1476="",$H1476=""),"",SUMIFS(DATA_GOC!$H:$H,DATA_GOC!$A:$A,"BOM",DATA_GOC!$D:$D,$H1476,DATA_GOC!$E:$E,$C1476,DATA_GOC!$F:$F,"Xuất nội bộ từ téc",DATA_GOC!$B:$B,"&gt;="&amp;$D1476,DATA_GOC!$B:$B,"&lt;="&amp;$E1476))</f>
        <v/>
      </c>
      <c r="J1476" s="59">
        <f t="shared" si="28"/>
        <v>0</v>
      </c>
      <c r="K1476" s="59">
        <f t="shared" si="29"/>
        <v>0</v>
      </c>
      <c r="L1476" s="59">
        <f t="shared" si="30"/>
        <v>0</v>
      </c>
      <c r="M1476" s="59">
        <f t="shared" si="31"/>
        <v>0</v>
      </c>
    </row>
    <row r="1477" ht="15.0" hidden="1" customHeight="1">
      <c r="A1477" s="59">
        <f t="shared" si="20"/>
        <v>21</v>
      </c>
      <c r="B1477" s="59" t="str">
        <f t="shared" si="21"/>
        <v/>
      </c>
      <c r="C1477" s="59" t="str">
        <f t="shared" si="22"/>
        <v/>
      </c>
      <c r="D1477" s="45" t="str">
        <f t="shared" si="23"/>
        <v/>
      </c>
      <c r="E1477" s="45" t="str">
        <f t="shared" si="24"/>
        <v/>
      </c>
      <c r="F1477" s="59" t="str">
        <f t="shared" si="25"/>
        <v/>
      </c>
      <c r="G1477" s="59" t="str">
        <f t="shared" si="26"/>
        <v/>
      </c>
      <c r="H1477" s="59" t="str">
        <f t="shared" si="27"/>
        <v>29E17539</v>
      </c>
      <c r="I1477" s="59" t="str">
        <f>IF(OR($A1477="",$C1477="",$D1477="",$E1477="",$H1477=""),"",SUMIFS(DATA_GOC!$H:$H,DATA_GOC!$A:$A,"BOM",DATA_GOC!$D:$D,$H1477,DATA_GOC!$E:$E,$C1477,DATA_GOC!$F:$F,"Xuất nội bộ từ téc",DATA_GOC!$B:$B,"&gt;="&amp;$D1477,DATA_GOC!$B:$B,"&lt;="&amp;$E1477))</f>
        <v/>
      </c>
      <c r="J1477" s="59">
        <f t="shared" si="28"/>
        <v>0</v>
      </c>
      <c r="K1477" s="59">
        <f t="shared" si="29"/>
        <v>0</v>
      </c>
      <c r="L1477" s="59">
        <f t="shared" si="30"/>
        <v>0</v>
      </c>
      <c r="M1477" s="59">
        <f t="shared" si="31"/>
        <v>0</v>
      </c>
    </row>
    <row r="1478" ht="15.0" hidden="1" customHeight="1">
      <c r="A1478" s="59">
        <f t="shared" si="20"/>
        <v>21</v>
      </c>
      <c r="B1478" s="59" t="str">
        <f t="shared" si="21"/>
        <v/>
      </c>
      <c r="C1478" s="59" t="str">
        <f t="shared" si="22"/>
        <v/>
      </c>
      <c r="D1478" s="45" t="str">
        <f t="shared" si="23"/>
        <v/>
      </c>
      <c r="E1478" s="45" t="str">
        <f t="shared" si="24"/>
        <v/>
      </c>
      <c r="F1478" s="59" t="str">
        <f t="shared" si="25"/>
        <v/>
      </c>
      <c r="G1478" s="59" t="str">
        <f t="shared" si="26"/>
        <v/>
      </c>
      <c r="H1478" s="59" t="str">
        <f t="shared" si="27"/>
        <v>29E18160</v>
      </c>
      <c r="I1478" s="59" t="str">
        <f>IF(OR($A1478="",$C1478="",$D1478="",$E1478="",$H1478=""),"",SUMIFS(DATA_GOC!$H:$H,DATA_GOC!$A:$A,"BOM",DATA_GOC!$D:$D,$H1478,DATA_GOC!$E:$E,$C1478,DATA_GOC!$F:$F,"Xuất nội bộ từ téc",DATA_GOC!$B:$B,"&gt;="&amp;$D1478,DATA_GOC!$B:$B,"&lt;="&amp;$E1478))</f>
        <v/>
      </c>
      <c r="J1478" s="59">
        <f t="shared" si="28"/>
        <v>0</v>
      </c>
      <c r="K1478" s="59">
        <f t="shared" si="29"/>
        <v>0</v>
      </c>
      <c r="L1478" s="59">
        <f t="shared" si="30"/>
        <v>0</v>
      </c>
      <c r="M1478" s="59">
        <f t="shared" si="31"/>
        <v>0</v>
      </c>
    </row>
    <row r="1479" ht="15.0" hidden="1" customHeight="1">
      <c r="A1479" s="59">
        <f t="shared" si="20"/>
        <v>21</v>
      </c>
      <c r="B1479" s="59" t="str">
        <f t="shared" si="21"/>
        <v/>
      </c>
      <c r="C1479" s="59" t="str">
        <f t="shared" si="22"/>
        <v/>
      </c>
      <c r="D1479" s="45" t="str">
        <f t="shared" si="23"/>
        <v/>
      </c>
      <c r="E1479" s="45" t="str">
        <f t="shared" si="24"/>
        <v/>
      </c>
      <c r="F1479" s="59" t="str">
        <f t="shared" si="25"/>
        <v/>
      </c>
      <c r="G1479" s="59" t="str">
        <f t="shared" si="26"/>
        <v/>
      </c>
      <c r="H1479" s="59" t="str">
        <f t="shared" si="27"/>
        <v>Công trình Asphalt</v>
      </c>
      <c r="I1479" s="59" t="str">
        <f>IF(OR($A1479="",$C1479="",$D1479="",$E1479="",$H1479=""),"",SUMIFS(DATA_GOC!$H:$H,DATA_GOC!$A:$A,"BOM",DATA_GOC!$D:$D,$H1479,DATA_GOC!$E:$E,$C1479,DATA_GOC!$F:$F,"Xuất nội bộ từ téc",DATA_GOC!$B:$B,"&gt;="&amp;$D1479,DATA_GOC!$B:$B,"&lt;="&amp;$E1479))</f>
        <v/>
      </c>
      <c r="J1479" s="59">
        <f t="shared" si="28"/>
        <v>0</v>
      </c>
      <c r="K1479" s="59">
        <f t="shared" si="29"/>
        <v>0</v>
      </c>
      <c r="L1479" s="59">
        <f t="shared" si="30"/>
        <v>0</v>
      </c>
      <c r="M1479" s="59">
        <f t="shared" si="31"/>
        <v>0</v>
      </c>
    </row>
    <row r="1480" ht="15.0" hidden="1" customHeight="1">
      <c r="A1480" s="59">
        <f t="shared" si="20"/>
        <v>21</v>
      </c>
      <c r="B1480" s="59" t="str">
        <f t="shared" si="21"/>
        <v/>
      </c>
      <c r="C1480" s="59" t="str">
        <f t="shared" si="22"/>
        <v/>
      </c>
      <c r="D1480" s="45" t="str">
        <f t="shared" si="23"/>
        <v/>
      </c>
      <c r="E1480" s="45" t="str">
        <f t="shared" si="24"/>
        <v/>
      </c>
      <c r="F1480" s="59" t="str">
        <f t="shared" si="25"/>
        <v/>
      </c>
      <c r="G1480" s="59" t="str">
        <f t="shared" si="26"/>
        <v/>
      </c>
      <c r="H1480" s="59" t="str">
        <f t="shared" si="27"/>
        <v>LG53F</v>
      </c>
      <c r="I1480" s="59" t="str">
        <f>IF(OR($A1480="",$C1480="",$D1480="",$E1480="",$H1480=""),"",SUMIFS(DATA_GOC!$H:$H,DATA_GOC!$A:$A,"BOM",DATA_GOC!$D:$D,$H1480,DATA_GOC!$E:$E,$C1480,DATA_GOC!$F:$F,"Xuất nội bộ từ téc",DATA_GOC!$B:$B,"&gt;="&amp;$D1480,DATA_GOC!$B:$B,"&lt;="&amp;$E1480))</f>
        <v/>
      </c>
      <c r="J1480" s="59">
        <f t="shared" si="28"/>
        <v>0</v>
      </c>
      <c r="K1480" s="59">
        <f t="shared" si="29"/>
        <v>0</v>
      </c>
      <c r="L1480" s="59">
        <f t="shared" si="30"/>
        <v>0</v>
      </c>
      <c r="M1480" s="59">
        <f t="shared" si="31"/>
        <v>0</v>
      </c>
    </row>
    <row r="1481" ht="15.0" hidden="1" customHeight="1">
      <c r="A1481" s="59">
        <f t="shared" si="20"/>
        <v>21</v>
      </c>
      <c r="B1481" s="59" t="str">
        <f t="shared" si="21"/>
        <v/>
      </c>
      <c r="C1481" s="59" t="str">
        <f t="shared" si="22"/>
        <v/>
      </c>
      <c r="D1481" s="45" t="str">
        <f t="shared" si="23"/>
        <v/>
      </c>
      <c r="E1481" s="45" t="str">
        <f t="shared" si="24"/>
        <v/>
      </c>
      <c r="F1481" s="59" t="str">
        <f t="shared" si="25"/>
        <v/>
      </c>
      <c r="G1481" s="59" t="str">
        <f t="shared" si="26"/>
        <v/>
      </c>
      <c r="H1481" s="59" t="str">
        <f t="shared" si="27"/>
        <v>Máy phát điện</v>
      </c>
      <c r="I1481" s="59" t="str">
        <f>IF(OR($A1481="",$C1481="",$D1481="",$E1481="",$H1481=""),"",SUMIFS(DATA_GOC!$H:$H,DATA_GOC!$A:$A,"BOM",DATA_GOC!$D:$D,$H1481,DATA_GOC!$E:$E,$C1481,DATA_GOC!$F:$F,"Xuất nội bộ từ téc",DATA_GOC!$B:$B,"&gt;="&amp;$D1481,DATA_GOC!$B:$B,"&lt;="&amp;$E1481))</f>
        <v/>
      </c>
      <c r="J1481" s="59">
        <f t="shared" si="28"/>
        <v>0</v>
      </c>
      <c r="K1481" s="59">
        <f t="shared" si="29"/>
        <v>0</v>
      </c>
      <c r="L1481" s="59">
        <f t="shared" si="30"/>
        <v>0</v>
      </c>
      <c r="M1481" s="59">
        <f t="shared" si="31"/>
        <v>0</v>
      </c>
    </row>
    <row r="1482" ht="15.0" hidden="1" customHeight="1">
      <c r="A1482" s="59">
        <f t="shared" si="20"/>
        <v>21</v>
      </c>
      <c r="B1482" s="59" t="str">
        <f t="shared" si="21"/>
        <v/>
      </c>
      <c r="C1482" s="59" t="str">
        <f t="shared" si="22"/>
        <v/>
      </c>
      <c r="D1482" s="45" t="str">
        <f t="shared" si="23"/>
        <v/>
      </c>
      <c r="E1482" s="45" t="str">
        <f t="shared" si="24"/>
        <v/>
      </c>
      <c r="F1482" s="59" t="str">
        <f t="shared" si="25"/>
        <v/>
      </c>
      <c r="G1482" s="59" t="str">
        <f t="shared" si="26"/>
        <v/>
      </c>
      <c r="H1482" s="59" t="str">
        <f t="shared" si="27"/>
        <v>Máy rải thảm</v>
      </c>
      <c r="I1482" s="59" t="str">
        <f>IF(OR($A1482="",$C1482="",$D1482="",$E1482="",$H1482=""),"",SUMIFS(DATA_GOC!$H:$H,DATA_GOC!$A:$A,"BOM",DATA_GOC!$D:$D,$H1482,DATA_GOC!$E:$E,$C1482,DATA_GOC!$F:$F,"Xuất nội bộ từ téc",DATA_GOC!$B:$B,"&gt;="&amp;$D1482,DATA_GOC!$B:$B,"&lt;="&amp;$E1482))</f>
        <v/>
      </c>
      <c r="J1482" s="59">
        <f t="shared" si="28"/>
        <v>0</v>
      </c>
      <c r="K1482" s="59">
        <f t="shared" si="29"/>
        <v>0</v>
      </c>
      <c r="L1482" s="59">
        <f t="shared" si="30"/>
        <v>0</v>
      </c>
      <c r="M1482" s="59">
        <f t="shared" si="31"/>
        <v>0</v>
      </c>
    </row>
    <row r="1483" ht="15.0" hidden="1" customHeight="1">
      <c r="A1483" s="59">
        <f t="shared" si="20"/>
        <v>21</v>
      </c>
      <c r="B1483" s="59" t="str">
        <f t="shared" si="21"/>
        <v/>
      </c>
      <c r="C1483" s="59" t="str">
        <f t="shared" si="22"/>
        <v/>
      </c>
      <c r="D1483" s="45" t="str">
        <f t="shared" si="23"/>
        <v/>
      </c>
      <c r="E1483" s="45" t="str">
        <f t="shared" si="24"/>
        <v/>
      </c>
      <c r="F1483" s="59" t="str">
        <f t="shared" si="25"/>
        <v/>
      </c>
      <c r="G1483" s="59" t="str">
        <f t="shared" si="26"/>
        <v/>
      </c>
      <c r="H1483" s="59" t="str">
        <f t="shared" si="27"/>
        <v>Xúc Đào</v>
      </c>
      <c r="I1483" s="59" t="str">
        <f>IF(OR($A1483="",$C1483="",$D1483="",$E1483="",$H1483=""),"",SUMIFS(DATA_GOC!$H:$H,DATA_GOC!$A:$A,"BOM",DATA_GOC!$D:$D,$H1483,DATA_GOC!$E:$E,$C1483,DATA_GOC!$F:$F,"Xuất nội bộ từ téc",DATA_GOC!$B:$B,"&gt;="&amp;$D1483,DATA_GOC!$B:$B,"&lt;="&amp;$E1483))</f>
        <v/>
      </c>
      <c r="J1483" s="59">
        <f t="shared" si="28"/>
        <v>0</v>
      </c>
      <c r="K1483" s="59">
        <f t="shared" si="29"/>
        <v>0</v>
      </c>
      <c r="L1483" s="59">
        <f t="shared" si="30"/>
        <v>0</v>
      </c>
      <c r="M1483" s="59">
        <f t="shared" si="31"/>
        <v>0</v>
      </c>
    </row>
    <row r="1484" ht="15.0" hidden="1" customHeight="1">
      <c r="A1484" s="59">
        <f t="shared" si="20"/>
        <v>21</v>
      </c>
      <c r="B1484" s="59" t="str">
        <f t="shared" si="21"/>
        <v/>
      </c>
      <c r="C1484" s="59" t="str">
        <f t="shared" si="22"/>
        <v/>
      </c>
      <c r="D1484" s="45" t="str">
        <f t="shared" si="23"/>
        <v/>
      </c>
      <c r="E1484" s="45" t="str">
        <f t="shared" si="24"/>
        <v/>
      </c>
      <c r="F1484" s="59" t="str">
        <f t="shared" si="25"/>
        <v/>
      </c>
      <c r="G1484" s="59" t="str">
        <f t="shared" si="26"/>
        <v/>
      </c>
      <c r="H1484" s="59" t="str">
        <f t="shared" si="27"/>
        <v>Xúclật asphalt</v>
      </c>
      <c r="I1484" s="59" t="str">
        <f>IF(OR($A1484="",$C1484="",$D1484="",$E1484="",$H1484=""),"",SUMIFS(DATA_GOC!$H:$H,DATA_GOC!$A:$A,"BOM",DATA_GOC!$D:$D,$H1484,DATA_GOC!$E:$E,$C1484,DATA_GOC!$F:$F,"Xuất nội bộ từ téc",DATA_GOC!$B:$B,"&gt;="&amp;$D1484,DATA_GOC!$B:$B,"&lt;="&amp;$E1484))</f>
        <v/>
      </c>
      <c r="J1484" s="59">
        <f t="shared" si="28"/>
        <v>0</v>
      </c>
      <c r="K1484" s="59">
        <f t="shared" si="29"/>
        <v>0</v>
      </c>
      <c r="L1484" s="59">
        <f t="shared" si="30"/>
        <v>0</v>
      </c>
      <c r="M1484" s="59">
        <f t="shared" si="31"/>
        <v>0</v>
      </c>
    </row>
    <row r="1485" ht="15.0" hidden="1" customHeight="1">
      <c r="A1485" s="59">
        <f t="shared" si="20"/>
        <v>21</v>
      </c>
      <c r="B1485" s="59" t="str">
        <f t="shared" si="21"/>
        <v/>
      </c>
      <c r="C1485" s="59" t="str">
        <f t="shared" si="22"/>
        <v/>
      </c>
      <c r="D1485" s="45" t="str">
        <f t="shared" si="23"/>
        <v/>
      </c>
      <c r="E1485" s="45" t="str">
        <f t="shared" si="24"/>
        <v/>
      </c>
      <c r="F1485" s="59" t="str">
        <f t="shared" si="25"/>
        <v/>
      </c>
      <c r="G1485" s="59" t="str">
        <f t="shared" si="26"/>
        <v/>
      </c>
      <c r="H1485" s="59" t="str">
        <f t="shared" si="27"/>
        <v>Xúclật855H</v>
      </c>
      <c r="I1485" s="59" t="str">
        <f>IF(OR($A1485="",$C1485="",$D1485="",$E1485="",$H1485=""),"",SUMIFS(DATA_GOC!$H:$H,DATA_GOC!$A:$A,"BOM",DATA_GOC!$D:$D,$H1485,DATA_GOC!$E:$E,$C1485,DATA_GOC!$F:$F,"Xuất nội bộ từ téc",DATA_GOC!$B:$B,"&gt;="&amp;$D1485,DATA_GOC!$B:$B,"&lt;="&amp;$E1485))</f>
        <v/>
      </c>
      <c r="J1485" s="59">
        <f t="shared" si="28"/>
        <v>0</v>
      </c>
      <c r="K1485" s="59">
        <f t="shared" si="29"/>
        <v>0</v>
      </c>
      <c r="L1485" s="59">
        <f t="shared" si="30"/>
        <v>0</v>
      </c>
      <c r="M1485" s="59">
        <f t="shared" si="31"/>
        <v>0</v>
      </c>
    </row>
    <row r="1486" ht="15.0" hidden="1" customHeight="1">
      <c r="A1486" s="59">
        <f t="shared" si="20"/>
        <v>21</v>
      </c>
      <c r="B1486" s="59" t="str">
        <f t="shared" si="21"/>
        <v/>
      </c>
      <c r="C1486" s="59" t="str">
        <f t="shared" si="22"/>
        <v/>
      </c>
      <c r="D1486" s="45" t="str">
        <f t="shared" si="23"/>
        <v/>
      </c>
      <c r="E1486" s="45" t="str">
        <f t="shared" si="24"/>
        <v/>
      </c>
      <c r="F1486" s="59" t="str">
        <f t="shared" si="25"/>
        <v/>
      </c>
      <c r="G1486" s="59" t="str">
        <f t="shared" si="26"/>
        <v/>
      </c>
      <c r="H1486" s="59" t="str">
        <f t="shared" si="27"/>
        <v>Xúclật855N</v>
      </c>
      <c r="I1486" s="59" t="str">
        <f>IF(OR($A1486="",$C1486="",$D1486="",$E1486="",$H1486=""),"",SUMIFS(DATA_GOC!$H:$H,DATA_GOC!$A:$A,"BOM",DATA_GOC!$D:$D,$H1486,DATA_GOC!$E:$E,$C1486,DATA_GOC!$F:$F,"Xuất nội bộ từ téc",DATA_GOC!$B:$B,"&gt;="&amp;$D1486,DATA_GOC!$B:$B,"&lt;="&amp;$E1486))</f>
        <v/>
      </c>
      <c r="J1486" s="59">
        <f t="shared" si="28"/>
        <v>0</v>
      </c>
      <c r="K1486" s="59">
        <f t="shared" si="29"/>
        <v>0</v>
      </c>
      <c r="L1486" s="59">
        <f t="shared" si="30"/>
        <v>0</v>
      </c>
      <c r="M1486" s="59">
        <f t="shared" si="31"/>
        <v>0</v>
      </c>
    </row>
    <row r="1487" ht="15.0" hidden="1" customHeight="1">
      <c r="A1487" s="59">
        <f t="shared" si="20"/>
        <v>21</v>
      </c>
      <c r="B1487" s="59" t="str">
        <f t="shared" si="21"/>
        <v/>
      </c>
      <c r="C1487" s="59" t="str">
        <f t="shared" si="22"/>
        <v/>
      </c>
      <c r="D1487" s="45" t="str">
        <f t="shared" si="23"/>
        <v/>
      </c>
      <c r="E1487" s="45" t="str">
        <f t="shared" si="24"/>
        <v/>
      </c>
      <c r="F1487" s="59" t="str">
        <f t="shared" si="25"/>
        <v/>
      </c>
      <c r="G1487" s="59" t="str">
        <f t="shared" si="26"/>
        <v/>
      </c>
      <c r="H1487" s="59" t="str">
        <f t="shared" si="27"/>
        <v>Cát nghiền</v>
      </c>
      <c r="I1487" s="59" t="str">
        <f>IF(OR($A1487="",$C1487="",$D1487="",$E1487="",$H1487=""),"",SUMIFS(DATA_GOC!$H:$H,DATA_GOC!$A:$A,"BOM",DATA_GOC!$D:$D,$H1487,DATA_GOC!$E:$E,$C1487,DATA_GOC!$F:$F,"Xuất nội bộ từ téc",DATA_GOC!$B:$B,"&gt;="&amp;$D1487,DATA_GOC!$B:$B,"&lt;="&amp;$E1487))</f>
        <v/>
      </c>
      <c r="J1487" s="59">
        <f t="shared" si="28"/>
        <v>0</v>
      </c>
      <c r="K1487" s="59">
        <f t="shared" si="29"/>
        <v>0</v>
      </c>
      <c r="L1487" s="59">
        <f t="shared" si="30"/>
        <v>0</v>
      </c>
      <c r="M1487" s="59">
        <f t="shared" si="31"/>
        <v>0</v>
      </c>
    </row>
    <row r="1488" ht="15.0" hidden="1" customHeight="1">
      <c r="A1488" s="59">
        <f t="shared" si="20"/>
        <v>21</v>
      </c>
      <c r="B1488" s="59" t="str">
        <f t="shared" si="21"/>
        <v/>
      </c>
      <c r="C1488" s="59" t="str">
        <f t="shared" si="22"/>
        <v/>
      </c>
      <c r="D1488" s="45" t="str">
        <f t="shared" si="23"/>
        <v/>
      </c>
      <c r="E1488" s="45" t="str">
        <f t="shared" si="24"/>
        <v/>
      </c>
      <c r="F1488" s="59" t="str">
        <f t="shared" si="25"/>
        <v/>
      </c>
      <c r="G1488" s="59" t="str">
        <f t="shared" si="26"/>
        <v/>
      </c>
      <c r="H1488" s="59" t="str">
        <f t="shared" si="27"/>
        <v>28C02973</v>
      </c>
      <c r="I1488" s="59" t="str">
        <f>IF(OR($A1488="",$C1488="",$D1488="",$E1488="",$H1488=""),"",SUMIFS(DATA_GOC!$H:$H,DATA_GOC!$A:$A,"BOM",DATA_GOC!$D:$D,$H1488,DATA_GOC!$E:$E,$C1488,DATA_GOC!$F:$F,"Xuất nội bộ từ téc",DATA_GOC!$B:$B,"&gt;="&amp;$D1488,DATA_GOC!$B:$B,"&lt;="&amp;$E1488))</f>
        <v/>
      </c>
      <c r="J1488" s="59">
        <f t="shared" si="28"/>
        <v>0</v>
      </c>
      <c r="K1488" s="59">
        <f t="shared" si="29"/>
        <v>0</v>
      </c>
      <c r="L1488" s="59">
        <f t="shared" si="30"/>
        <v>0</v>
      </c>
      <c r="M1488" s="59">
        <f t="shared" si="31"/>
        <v>0</v>
      </c>
    </row>
    <row r="1489" ht="15.0" hidden="1" customHeight="1">
      <c r="A1489" s="59">
        <f t="shared" si="20"/>
        <v>21</v>
      </c>
      <c r="B1489" s="59" t="str">
        <f t="shared" si="21"/>
        <v/>
      </c>
      <c r="C1489" s="59" t="str">
        <f t="shared" si="22"/>
        <v/>
      </c>
      <c r="D1489" s="45" t="str">
        <f t="shared" si="23"/>
        <v/>
      </c>
      <c r="E1489" s="45" t="str">
        <f t="shared" si="24"/>
        <v/>
      </c>
      <c r="F1489" s="59" t="str">
        <f t="shared" si="25"/>
        <v/>
      </c>
      <c r="G1489" s="59" t="str">
        <f t="shared" si="26"/>
        <v/>
      </c>
      <c r="H1489" s="59" t="str">
        <f t="shared" si="27"/>
        <v>28C03044</v>
      </c>
      <c r="I1489" s="59" t="str">
        <f>IF(OR($A1489="",$C1489="",$D1489="",$E1489="",$H1489=""),"",SUMIFS(DATA_GOC!$H:$H,DATA_GOC!$A:$A,"BOM",DATA_GOC!$D:$D,$H1489,DATA_GOC!$E:$E,$C1489,DATA_GOC!$F:$F,"Xuất nội bộ từ téc",DATA_GOC!$B:$B,"&gt;="&amp;$D1489,DATA_GOC!$B:$B,"&lt;="&amp;$E1489))</f>
        <v/>
      </c>
      <c r="J1489" s="59">
        <f t="shared" si="28"/>
        <v>0</v>
      </c>
      <c r="K1489" s="59">
        <f t="shared" si="29"/>
        <v>0</v>
      </c>
      <c r="L1489" s="59">
        <f t="shared" si="30"/>
        <v>0</v>
      </c>
      <c r="M1489" s="59">
        <f t="shared" si="31"/>
        <v>0</v>
      </c>
    </row>
    <row r="1490" ht="15.0" hidden="1" customHeight="1">
      <c r="A1490" s="59">
        <f t="shared" si="20"/>
        <v>21</v>
      </c>
      <c r="B1490" s="59" t="str">
        <f t="shared" si="21"/>
        <v/>
      </c>
      <c r="C1490" s="59" t="str">
        <f t="shared" si="22"/>
        <v/>
      </c>
      <c r="D1490" s="45" t="str">
        <f t="shared" si="23"/>
        <v/>
      </c>
      <c r="E1490" s="45" t="str">
        <f t="shared" si="24"/>
        <v/>
      </c>
      <c r="F1490" s="59" t="str">
        <f t="shared" si="25"/>
        <v/>
      </c>
      <c r="G1490" s="59" t="str">
        <f t="shared" si="26"/>
        <v/>
      </c>
      <c r="H1490" s="59" t="str">
        <f t="shared" si="27"/>
        <v>Máy lu lốp</v>
      </c>
      <c r="I1490" s="59" t="str">
        <f>IF(OR($A1490="",$C1490="",$D1490="",$E1490="",$H1490=""),"",SUMIFS(DATA_GOC!$H:$H,DATA_GOC!$A:$A,"BOM",DATA_GOC!$D:$D,$H1490,DATA_GOC!$E:$E,$C1490,DATA_GOC!$F:$F,"Xuất nội bộ từ téc",DATA_GOC!$B:$B,"&gt;="&amp;$D1490,DATA_GOC!$B:$B,"&lt;="&amp;$E1490))</f>
        <v/>
      </c>
      <c r="J1490" s="59">
        <f t="shared" si="28"/>
        <v>0</v>
      </c>
      <c r="K1490" s="59">
        <f t="shared" si="29"/>
        <v>0</v>
      </c>
      <c r="L1490" s="59">
        <f t="shared" si="30"/>
        <v>0</v>
      </c>
      <c r="M1490" s="59">
        <f t="shared" si="31"/>
        <v>0</v>
      </c>
    </row>
    <row r="1491" ht="15.0" hidden="1" customHeight="1">
      <c r="A1491" s="59">
        <f t="shared" si="20"/>
        <v>21</v>
      </c>
      <c r="B1491" s="59" t="str">
        <f t="shared" si="21"/>
        <v/>
      </c>
      <c r="C1491" s="59" t="str">
        <f t="shared" si="22"/>
        <v/>
      </c>
      <c r="D1491" s="45" t="str">
        <f t="shared" si="23"/>
        <v/>
      </c>
      <c r="E1491" s="45" t="str">
        <f t="shared" si="24"/>
        <v/>
      </c>
      <c r="F1491" s="59" t="str">
        <f t="shared" si="25"/>
        <v/>
      </c>
      <c r="G1491" s="59" t="str">
        <f t="shared" si="26"/>
        <v/>
      </c>
      <c r="H1491" s="59" t="str">
        <f t="shared" si="27"/>
        <v>Xe 600148</v>
      </c>
      <c r="I1491" s="59" t="str">
        <f>IF(OR($A1491="",$C1491="",$D1491="",$E1491="",$H1491=""),"",SUMIFS(DATA_GOC!$H:$H,DATA_GOC!$A:$A,"BOM",DATA_GOC!$D:$D,$H1491,DATA_GOC!$E:$E,$C1491,DATA_GOC!$F:$F,"Xuất nội bộ từ téc",DATA_GOC!$B:$B,"&gt;="&amp;$D1491,DATA_GOC!$B:$B,"&lt;="&amp;$E1491))</f>
        <v/>
      </c>
      <c r="J1491" s="59">
        <f t="shared" si="28"/>
        <v>0</v>
      </c>
      <c r="K1491" s="59">
        <f t="shared" si="29"/>
        <v>0</v>
      </c>
      <c r="L1491" s="59">
        <f t="shared" si="30"/>
        <v>0</v>
      </c>
      <c r="M1491" s="59">
        <f t="shared" si="31"/>
        <v>0</v>
      </c>
    </row>
    <row r="1492" ht="15.0" hidden="1" customHeight="1">
      <c r="A1492" s="59">
        <f t="shared" si="20"/>
        <v>21</v>
      </c>
      <c r="B1492" s="59" t="str">
        <f t="shared" si="21"/>
        <v/>
      </c>
      <c r="C1492" s="59" t="str">
        <f t="shared" si="22"/>
        <v/>
      </c>
      <c r="D1492" s="45" t="str">
        <f t="shared" si="23"/>
        <v/>
      </c>
      <c r="E1492" s="45" t="str">
        <f t="shared" si="24"/>
        <v/>
      </c>
      <c r="F1492" s="59" t="str">
        <f t="shared" si="25"/>
        <v/>
      </c>
      <c r="G1492" s="59" t="str">
        <f t="shared" si="26"/>
        <v/>
      </c>
      <c r="H1492" s="59" t="str">
        <f t="shared" si="27"/>
        <v>Xe ben mới</v>
      </c>
      <c r="I1492" s="59" t="str">
        <f>IF(OR($A1492="",$C1492="",$D1492="",$E1492="",$H1492=""),"",SUMIFS(DATA_GOC!$H:$H,DATA_GOC!$A:$A,"BOM",DATA_GOC!$D:$D,$H1492,DATA_GOC!$E:$E,$C1492,DATA_GOC!$F:$F,"Xuất nội bộ từ téc",DATA_GOC!$B:$B,"&gt;="&amp;$D1492,DATA_GOC!$B:$B,"&lt;="&amp;$E1492))</f>
        <v/>
      </c>
      <c r="J1492" s="59">
        <f t="shared" si="28"/>
        <v>0</v>
      </c>
      <c r="K1492" s="59">
        <f t="shared" si="29"/>
        <v>0</v>
      </c>
      <c r="L1492" s="59">
        <f t="shared" si="30"/>
        <v>0</v>
      </c>
      <c r="M1492" s="59">
        <f t="shared" si="31"/>
        <v>0</v>
      </c>
    </row>
    <row r="1493" ht="15.0" hidden="1" customHeight="1">
      <c r="A1493" s="59">
        <f t="shared" si="20"/>
        <v>22</v>
      </c>
      <c r="B1493" s="59" t="str">
        <f t="shared" si="21"/>
        <v/>
      </c>
      <c r="C1493" s="59" t="str">
        <f t="shared" si="22"/>
        <v/>
      </c>
      <c r="D1493" s="45" t="str">
        <f t="shared" si="23"/>
        <v/>
      </c>
      <c r="E1493" s="45" t="str">
        <f t="shared" si="24"/>
        <v/>
      </c>
      <c r="F1493" s="59" t="str">
        <f t="shared" si="25"/>
        <v/>
      </c>
      <c r="G1493" s="59" t="str">
        <f t="shared" si="26"/>
        <v/>
      </c>
      <c r="H1493" s="59" t="str">
        <f t="shared" si="27"/>
        <v>19H09482</v>
      </c>
      <c r="I1493" s="59" t="str">
        <f>IF(OR($A1493="",$C1493="",$D1493="",$E1493="",$H1493=""),"",SUMIFS(DATA_GOC!$H:$H,DATA_GOC!$A:$A,"BOM",DATA_GOC!$D:$D,$H1493,DATA_GOC!$E:$E,$C1493,DATA_GOC!$F:$F,"Xuất nội bộ từ téc",DATA_GOC!$B:$B,"&gt;="&amp;$D1493,DATA_GOC!$B:$B,"&lt;="&amp;$E1493))</f>
        <v/>
      </c>
      <c r="J1493" s="59">
        <f t="shared" si="28"/>
        <v>0</v>
      </c>
      <c r="K1493" s="59">
        <f t="shared" si="29"/>
        <v>0</v>
      </c>
      <c r="L1493" s="59">
        <f t="shared" si="30"/>
        <v>0</v>
      </c>
      <c r="M1493" s="59">
        <f t="shared" si="31"/>
        <v>0</v>
      </c>
    </row>
    <row r="1494" ht="15.0" hidden="1" customHeight="1">
      <c r="A1494" s="59">
        <f t="shared" si="20"/>
        <v>22</v>
      </c>
      <c r="B1494" s="59" t="str">
        <f t="shared" si="21"/>
        <v/>
      </c>
      <c r="C1494" s="59" t="str">
        <f t="shared" si="22"/>
        <v/>
      </c>
      <c r="D1494" s="45" t="str">
        <f t="shared" si="23"/>
        <v/>
      </c>
      <c r="E1494" s="45" t="str">
        <f t="shared" si="24"/>
        <v/>
      </c>
      <c r="F1494" s="59" t="str">
        <f t="shared" si="25"/>
        <v/>
      </c>
      <c r="G1494" s="59" t="str">
        <f t="shared" si="26"/>
        <v/>
      </c>
      <c r="H1494" s="59" t="str">
        <f t="shared" si="27"/>
        <v>28A30696</v>
      </c>
      <c r="I1494" s="59" t="str">
        <f>IF(OR($A1494="",$C1494="",$D1494="",$E1494="",$H1494=""),"",SUMIFS(DATA_GOC!$H:$H,DATA_GOC!$A:$A,"BOM",DATA_GOC!$D:$D,$H1494,DATA_GOC!$E:$E,$C1494,DATA_GOC!$F:$F,"Xuất nội bộ từ téc",DATA_GOC!$B:$B,"&gt;="&amp;$D1494,DATA_GOC!$B:$B,"&lt;="&amp;$E1494))</f>
        <v/>
      </c>
      <c r="J1494" s="59">
        <f t="shared" si="28"/>
        <v>0</v>
      </c>
      <c r="K1494" s="59">
        <f t="shared" si="29"/>
        <v>0</v>
      </c>
      <c r="L1494" s="59">
        <f t="shared" si="30"/>
        <v>0</v>
      </c>
      <c r="M1494" s="59">
        <f t="shared" si="31"/>
        <v>0</v>
      </c>
    </row>
    <row r="1495" ht="15.0" hidden="1" customHeight="1">
      <c r="A1495" s="59">
        <f t="shared" si="20"/>
        <v>22</v>
      </c>
      <c r="B1495" s="59" t="str">
        <f t="shared" si="21"/>
        <v/>
      </c>
      <c r="C1495" s="59" t="str">
        <f t="shared" si="22"/>
        <v/>
      </c>
      <c r="D1495" s="45" t="str">
        <f t="shared" si="23"/>
        <v/>
      </c>
      <c r="E1495" s="45" t="str">
        <f t="shared" si="24"/>
        <v/>
      </c>
      <c r="F1495" s="59" t="str">
        <f t="shared" si="25"/>
        <v/>
      </c>
      <c r="G1495" s="59" t="str">
        <f t="shared" si="26"/>
        <v/>
      </c>
      <c r="H1495" s="59" t="str">
        <f t="shared" si="27"/>
        <v>28C00462</v>
      </c>
      <c r="I1495" s="59" t="str">
        <f>IF(OR($A1495="",$C1495="",$D1495="",$E1495="",$H1495=""),"",SUMIFS(DATA_GOC!$H:$H,DATA_GOC!$A:$A,"BOM",DATA_GOC!$D:$D,$H1495,DATA_GOC!$E:$E,$C1495,DATA_GOC!$F:$F,"Xuất nội bộ từ téc",DATA_GOC!$B:$B,"&gt;="&amp;$D1495,DATA_GOC!$B:$B,"&lt;="&amp;$E1495))</f>
        <v/>
      </c>
      <c r="J1495" s="59">
        <f t="shared" si="28"/>
        <v>0</v>
      </c>
      <c r="K1495" s="59">
        <f t="shared" si="29"/>
        <v>0</v>
      </c>
      <c r="L1495" s="59">
        <f t="shared" si="30"/>
        <v>0</v>
      </c>
      <c r="M1495" s="59">
        <f t="shared" si="31"/>
        <v>0</v>
      </c>
    </row>
    <row r="1496" ht="15.0" hidden="1" customHeight="1">
      <c r="A1496" s="59">
        <f t="shared" si="20"/>
        <v>22</v>
      </c>
      <c r="B1496" s="59" t="str">
        <f t="shared" si="21"/>
        <v/>
      </c>
      <c r="C1496" s="59" t="str">
        <f t="shared" si="22"/>
        <v/>
      </c>
      <c r="D1496" s="45" t="str">
        <f t="shared" si="23"/>
        <v/>
      </c>
      <c r="E1496" s="45" t="str">
        <f t="shared" si="24"/>
        <v/>
      </c>
      <c r="F1496" s="59" t="str">
        <f t="shared" si="25"/>
        <v/>
      </c>
      <c r="G1496" s="59" t="str">
        <f t="shared" si="26"/>
        <v/>
      </c>
      <c r="H1496" s="59" t="str">
        <f t="shared" si="27"/>
        <v>28C01165</v>
      </c>
      <c r="I1496" s="59" t="str">
        <f>IF(OR($A1496="",$C1496="",$D1496="",$E1496="",$H1496=""),"",SUMIFS(DATA_GOC!$H:$H,DATA_GOC!$A:$A,"BOM",DATA_GOC!$D:$D,$H1496,DATA_GOC!$E:$E,$C1496,DATA_GOC!$F:$F,"Xuất nội bộ từ téc",DATA_GOC!$B:$B,"&gt;="&amp;$D1496,DATA_GOC!$B:$B,"&lt;="&amp;$E1496))</f>
        <v/>
      </c>
      <c r="J1496" s="59">
        <f t="shared" si="28"/>
        <v>0</v>
      </c>
      <c r="K1496" s="59">
        <f t="shared" si="29"/>
        <v>0</v>
      </c>
      <c r="L1496" s="59">
        <f t="shared" si="30"/>
        <v>0</v>
      </c>
      <c r="M1496" s="59">
        <f t="shared" si="31"/>
        <v>0</v>
      </c>
    </row>
    <row r="1497" ht="15.0" hidden="1" customHeight="1">
      <c r="A1497" s="59">
        <f t="shared" si="20"/>
        <v>22</v>
      </c>
      <c r="B1497" s="59" t="str">
        <f t="shared" si="21"/>
        <v/>
      </c>
      <c r="C1497" s="59" t="str">
        <f t="shared" si="22"/>
        <v/>
      </c>
      <c r="D1497" s="45" t="str">
        <f t="shared" si="23"/>
        <v/>
      </c>
      <c r="E1497" s="45" t="str">
        <f t="shared" si="24"/>
        <v/>
      </c>
      <c r="F1497" s="59" t="str">
        <f t="shared" si="25"/>
        <v/>
      </c>
      <c r="G1497" s="59" t="str">
        <f t="shared" si="26"/>
        <v/>
      </c>
      <c r="H1497" s="59" t="str">
        <f t="shared" si="27"/>
        <v>28C01406</v>
      </c>
      <c r="I1497" s="59" t="str">
        <f>IF(OR($A1497="",$C1497="",$D1497="",$E1497="",$H1497=""),"",SUMIFS(DATA_GOC!$H:$H,DATA_GOC!$A:$A,"BOM",DATA_GOC!$D:$D,$H1497,DATA_GOC!$E:$E,$C1497,DATA_GOC!$F:$F,"Xuất nội bộ từ téc",DATA_GOC!$B:$B,"&gt;="&amp;$D1497,DATA_GOC!$B:$B,"&lt;="&amp;$E1497))</f>
        <v/>
      </c>
      <c r="J1497" s="59">
        <f t="shared" si="28"/>
        <v>0</v>
      </c>
      <c r="K1497" s="59">
        <f t="shared" si="29"/>
        <v>0</v>
      </c>
      <c r="L1497" s="59">
        <f t="shared" si="30"/>
        <v>0</v>
      </c>
      <c r="M1497" s="59">
        <f t="shared" si="31"/>
        <v>0</v>
      </c>
    </row>
    <row r="1498" ht="15.0" hidden="1" customHeight="1">
      <c r="A1498" s="59">
        <f t="shared" si="20"/>
        <v>22</v>
      </c>
      <c r="B1498" s="59" t="str">
        <f t="shared" si="21"/>
        <v/>
      </c>
      <c r="C1498" s="59" t="str">
        <f t="shared" si="22"/>
        <v/>
      </c>
      <c r="D1498" s="45" t="str">
        <f t="shared" si="23"/>
        <v/>
      </c>
      <c r="E1498" s="45" t="str">
        <f t="shared" si="24"/>
        <v/>
      </c>
      <c r="F1498" s="59" t="str">
        <f t="shared" si="25"/>
        <v/>
      </c>
      <c r="G1498" s="59" t="str">
        <f t="shared" si="26"/>
        <v/>
      </c>
      <c r="H1498" s="59" t="str">
        <f t="shared" si="27"/>
        <v>28C01544</v>
      </c>
      <c r="I1498" s="59" t="str">
        <f>IF(OR($A1498="",$C1498="",$D1498="",$E1498="",$H1498=""),"",SUMIFS(DATA_GOC!$H:$H,DATA_GOC!$A:$A,"BOM",DATA_GOC!$D:$D,$H1498,DATA_GOC!$E:$E,$C1498,DATA_GOC!$F:$F,"Xuất nội bộ từ téc",DATA_GOC!$B:$B,"&gt;="&amp;$D1498,DATA_GOC!$B:$B,"&lt;="&amp;$E1498))</f>
        <v/>
      </c>
      <c r="J1498" s="59">
        <f t="shared" si="28"/>
        <v>0</v>
      </c>
      <c r="K1498" s="59">
        <f t="shared" si="29"/>
        <v>0</v>
      </c>
      <c r="L1498" s="59">
        <f t="shared" si="30"/>
        <v>0</v>
      </c>
      <c r="M1498" s="59">
        <f t="shared" si="31"/>
        <v>0</v>
      </c>
    </row>
    <row r="1499" ht="15.0" hidden="1" customHeight="1">
      <c r="A1499" s="59">
        <f t="shared" si="20"/>
        <v>22</v>
      </c>
      <c r="B1499" s="59" t="str">
        <f t="shared" si="21"/>
        <v/>
      </c>
      <c r="C1499" s="59" t="str">
        <f t="shared" si="22"/>
        <v/>
      </c>
      <c r="D1499" s="45" t="str">
        <f t="shared" si="23"/>
        <v/>
      </c>
      <c r="E1499" s="45" t="str">
        <f t="shared" si="24"/>
        <v/>
      </c>
      <c r="F1499" s="59" t="str">
        <f t="shared" si="25"/>
        <v/>
      </c>
      <c r="G1499" s="59" t="str">
        <f t="shared" si="26"/>
        <v/>
      </c>
      <c r="H1499" s="59" t="str">
        <f t="shared" si="27"/>
        <v>28C01622</v>
      </c>
      <c r="I1499" s="59" t="str">
        <f>IF(OR($A1499="",$C1499="",$D1499="",$E1499="",$H1499=""),"",SUMIFS(DATA_GOC!$H:$H,DATA_GOC!$A:$A,"BOM",DATA_GOC!$D:$D,$H1499,DATA_GOC!$E:$E,$C1499,DATA_GOC!$F:$F,"Xuất nội bộ từ téc",DATA_GOC!$B:$B,"&gt;="&amp;$D1499,DATA_GOC!$B:$B,"&lt;="&amp;$E1499))</f>
        <v/>
      </c>
      <c r="J1499" s="59">
        <f t="shared" si="28"/>
        <v>0</v>
      </c>
      <c r="K1499" s="59">
        <f t="shared" si="29"/>
        <v>0</v>
      </c>
      <c r="L1499" s="59">
        <f t="shared" si="30"/>
        <v>0</v>
      </c>
      <c r="M1499" s="59">
        <f t="shared" si="31"/>
        <v>0</v>
      </c>
    </row>
    <row r="1500" ht="15.0" hidden="1" customHeight="1">
      <c r="A1500" s="59">
        <f t="shared" si="20"/>
        <v>22</v>
      </c>
      <c r="B1500" s="59" t="str">
        <f t="shared" si="21"/>
        <v/>
      </c>
      <c r="C1500" s="59" t="str">
        <f t="shared" si="22"/>
        <v/>
      </c>
      <c r="D1500" s="45" t="str">
        <f t="shared" si="23"/>
        <v/>
      </c>
      <c r="E1500" s="45" t="str">
        <f t="shared" si="24"/>
        <v/>
      </c>
      <c r="F1500" s="59" t="str">
        <f t="shared" si="25"/>
        <v/>
      </c>
      <c r="G1500" s="59" t="str">
        <f t="shared" si="26"/>
        <v/>
      </c>
      <c r="H1500" s="59" t="str">
        <f t="shared" si="27"/>
        <v>28C01647</v>
      </c>
      <c r="I1500" s="59" t="str">
        <f>IF(OR($A1500="",$C1500="",$D1500="",$E1500="",$H1500=""),"",SUMIFS(DATA_GOC!$H:$H,DATA_GOC!$A:$A,"BOM",DATA_GOC!$D:$D,$H1500,DATA_GOC!$E:$E,$C1500,DATA_GOC!$F:$F,"Xuất nội bộ từ téc",DATA_GOC!$B:$B,"&gt;="&amp;$D1500,DATA_GOC!$B:$B,"&lt;="&amp;$E1500))</f>
        <v/>
      </c>
      <c r="J1500" s="59">
        <f t="shared" si="28"/>
        <v>0</v>
      </c>
      <c r="K1500" s="59">
        <f t="shared" si="29"/>
        <v>0</v>
      </c>
      <c r="L1500" s="59">
        <f t="shared" si="30"/>
        <v>0</v>
      </c>
      <c r="M1500" s="59">
        <f t="shared" si="31"/>
        <v>0</v>
      </c>
    </row>
    <row r="1501" ht="15.0" hidden="1" customHeight="1">
      <c r="A1501" s="59">
        <f t="shared" si="20"/>
        <v>22</v>
      </c>
      <c r="B1501" s="59" t="str">
        <f t="shared" si="21"/>
        <v/>
      </c>
      <c r="C1501" s="59" t="str">
        <f t="shared" si="22"/>
        <v/>
      </c>
      <c r="D1501" s="45" t="str">
        <f t="shared" si="23"/>
        <v/>
      </c>
      <c r="E1501" s="45" t="str">
        <f t="shared" si="24"/>
        <v/>
      </c>
      <c r="F1501" s="59" t="str">
        <f t="shared" si="25"/>
        <v/>
      </c>
      <c r="G1501" s="59" t="str">
        <f t="shared" si="26"/>
        <v/>
      </c>
      <c r="H1501" s="59" t="str">
        <f t="shared" si="27"/>
        <v>28C01731</v>
      </c>
      <c r="I1501" s="59" t="str">
        <f>IF(OR($A1501="",$C1501="",$D1501="",$E1501="",$H1501=""),"",SUMIFS(DATA_GOC!$H:$H,DATA_GOC!$A:$A,"BOM",DATA_GOC!$D:$D,$H1501,DATA_GOC!$E:$E,$C1501,DATA_GOC!$F:$F,"Xuất nội bộ từ téc",DATA_GOC!$B:$B,"&gt;="&amp;$D1501,DATA_GOC!$B:$B,"&lt;="&amp;$E1501))</f>
        <v/>
      </c>
      <c r="J1501" s="59">
        <f t="shared" si="28"/>
        <v>0</v>
      </c>
      <c r="K1501" s="59">
        <f t="shared" si="29"/>
        <v>0</v>
      </c>
      <c r="L1501" s="59">
        <f t="shared" si="30"/>
        <v>0</v>
      </c>
      <c r="M1501" s="59">
        <f t="shared" si="31"/>
        <v>0</v>
      </c>
    </row>
    <row r="1502" ht="15.0" hidden="1" customHeight="1">
      <c r="A1502" s="59">
        <f t="shared" si="20"/>
        <v>22</v>
      </c>
      <c r="B1502" s="59" t="str">
        <f t="shared" si="21"/>
        <v/>
      </c>
      <c r="C1502" s="59" t="str">
        <f t="shared" si="22"/>
        <v/>
      </c>
      <c r="D1502" s="45" t="str">
        <f t="shared" si="23"/>
        <v/>
      </c>
      <c r="E1502" s="45" t="str">
        <f t="shared" si="24"/>
        <v/>
      </c>
      <c r="F1502" s="59" t="str">
        <f t="shared" si="25"/>
        <v/>
      </c>
      <c r="G1502" s="59" t="str">
        <f t="shared" si="26"/>
        <v/>
      </c>
      <c r="H1502" s="59" t="str">
        <f t="shared" si="27"/>
        <v>28C01743</v>
      </c>
      <c r="I1502" s="59" t="str">
        <f>IF(OR($A1502="",$C1502="",$D1502="",$E1502="",$H1502=""),"",SUMIFS(DATA_GOC!$H:$H,DATA_GOC!$A:$A,"BOM",DATA_GOC!$D:$D,$H1502,DATA_GOC!$E:$E,$C1502,DATA_GOC!$F:$F,"Xuất nội bộ từ téc",DATA_GOC!$B:$B,"&gt;="&amp;$D1502,DATA_GOC!$B:$B,"&lt;="&amp;$E1502))</f>
        <v/>
      </c>
      <c r="J1502" s="59">
        <f t="shared" si="28"/>
        <v>0</v>
      </c>
      <c r="K1502" s="59">
        <f t="shared" si="29"/>
        <v>0</v>
      </c>
      <c r="L1502" s="59">
        <f t="shared" si="30"/>
        <v>0</v>
      </c>
      <c r="M1502" s="59">
        <f t="shared" si="31"/>
        <v>0</v>
      </c>
    </row>
    <row r="1503" ht="15.0" hidden="1" customHeight="1">
      <c r="A1503" s="59">
        <f t="shared" si="20"/>
        <v>22</v>
      </c>
      <c r="B1503" s="59" t="str">
        <f t="shared" si="21"/>
        <v/>
      </c>
      <c r="C1503" s="59" t="str">
        <f t="shared" si="22"/>
        <v/>
      </c>
      <c r="D1503" s="45" t="str">
        <f t="shared" si="23"/>
        <v/>
      </c>
      <c r="E1503" s="45" t="str">
        <f t="shared" si="24"/>
        <v/>
      </c>
      <c r="F1503" s="59" t="str">
        <f t="shared" si="25"/>
        <v/>
      </c>
      <c r="G1503" s="59" t="str">
        <f t="shared" si="26"/>
        <v/>
      </c>
      <c r="H1503" s="59" t="str">
        <f t="shared" si="27"/>
        <v>28C02106</v>
      </c>
      <c r="I1503" s="59" t="str">
        <f>IF(OR($A1503="",$C1503="",$D1503="",$E1503="",$H1503=""),"",SUMIFS(DATA_GOC!$H:$H,DATA_GOC!$A:$A,"BOM",DATA_GOC!$D:$D,$H1503,DATA_GOC!$E:$E,$C1503,DATA_GOC!$F:$F,"Xuất nội bộ từ téc",DATA_GOC!$B:$B,"&gt;="&amp;$D1503,DATA_GOC!$B:$B,"&lt;="&amp;$E1503))</f>
        <v/>
      </c>
      <c r="J1503" s="59">
        <f t="shared" si="28"/>
        <v>0</v>
      </c>
      <c r="K1503" s="59">
        <f t="shared" si="29"/>
        <v>0</v>
      </c>
      <c r="L1503" s="59">
        <f t="shared" si="30"/>
        <v>0</v>
      </c>
      <c r="M1503" s="59">
        <f t="shared" si="31"/>
        <v>0</v>
      </c>
    </row>
    <row r="1504" ht="15.0" hidden="1" customHeight="1">
      <c r="A1504" s="59">
        <f t="shared" si="20"/>
        <v>22</v>
      </c>
      <c r="B1504" s="59" t="str">
        <f t="shared" si="21"/>
        <v/>
      </c>
      <c r="C1504" s="59" t="str">
        <f t="shared" si="22"/>
        <v/>
      </c>
      <c r="D1504" s="45" t="str">
        <f t="shared" si="23"/>
        <v/>
      </c>
      <c r="E1504" s="45" t="str">
        <f t="shared" si="24"/>
        <v/>
      </c>
      <c r="F1504" s="59" t="str">
        <f t="shared" si="25"/>
        <v/>
      </c>
      <c r="G1504" s="59" t="str">
        <f t="shared" si="26"/>
        <v/>
      </c>
      <c r="H1504" s="59" t="str">
        <f t="shared" si="27"/>
        <v>28C02410</v>
      </c>
      <c r="I1504" s="59" t="str">
        <f>IF(OR($A1504="",$C1504="",$D1504="",$E1504="",$H1504=""),"",SUMIFS(DATA_GOC!$H:$H,DATA_GOC!$A:$A,"BOM",DATA_GOC!$D:$D,$H1504,DATA_GOC!$E:$E,$C1504,DATA_GOC!$F:$F,"Xuất nội bộ từ téc",DATA_GOC!$B:$B,"&gt;="&amp;$D1504,DATA_GOC!$B:$B,"&lt;="&amp;$E1504))</f>
        <v/>
      </c>
      <c r="J1504" s="59">
        <f t="shared" si="28"/>
        <v>0</v>
      </c>
      <c r="K1504" s="59">
        <f t="shared" si="29"/>
        <v>0</v>
      </c>
      <c r="L1504" s="59">
        <f t="shared" si="30"/>
        <v>0</v>
      </c>
      <c r="M1504" s="59">
        <f t="shared" si="31"/>
        <v>0</v>
      </c>
    </row>
    <row r="1505" ht="15.0" hidden="1" customHeight="1">
      <c r="A1505" s="59">
        <f t="shared" si="20"/>
        <v>22</v>
      </c>
      <c r="B1505" s="59" t="str">
        <f t="shared" si="21"/>
        <v/>
      </c>
      <c r="C1505" s="59" t="str">
        <f t="shared" si="22"/>
        <v/>
      </c>
      <c r="D1505" s="45" t="str">
        <f t="shared" si="23"/>
        <v/>
      </c>
      <c r="E1505" s="45" t="str">
        <f t="shared" si="24"/>
        <v/>
      </c>
      <c r="F1505" s="59" t="str">
        <f t="shared" si="25"/>
        <v/>
      </c>
      <c r="G1505" s="59" t="str">
        <f t="shared" si="26"/>
        <v/>
      </c>
      <c r="H1505" s="59" t="str">
        <f t="shared" si="27"/>
        <v>28C02545</v>
      </c>
      <c r="I1505" s="59" t="str">
        <f>IF(OR($A1505="",$C1505="",$D1505="",$E1505="",$H1505=""),"",SUMIFS(DATA_GOC!$H:$H,DATA_GOC!$A:$A,"BOM",DATA_GOC!$D:$D,$H1505,DATA_GOC!$E:$E,$C1505,DATA_GOC!$F:$F,"Xuất nội bộ từ téc",DATA_GOC!$B:$B,"&gt;="&amp;$D1505,DATA_GOC!$B:$B,"&lt;="&amp;$E1505))</f>
        <v/>
      </c>
      <c r="J1505" s="59">
        <f t="shared" si="28"/>
        <v>0</v>
      </c>
      <c r="K1505" s="59">
        <f t="shared" si="29"/>
        <v>0</v>
      </c>
      <c r="L1505" s="59">
        <f t="shared" si="30"/>
        <v>0</v>
      </c>
      <c r="M1505" s="59">
        <f t="shared" si="31"/>
        <v>0</v>
      </c>
    </row>
    <row r="1506" ht="15.0" hidden="1" customHeight="1">
      <c r="A1506" s="59">
        <f t="shared" si="20"/>
        <v>22</v>
      </c>
      <c r="B1506" s="59" t="str">
        <f t="shared" si="21"/>
        <v/>
      </c>
      <c r="C1506" s="59" t="str">
        <f t="shared" si="22"/>
        <v/>
      </c>
      <c r="D1506" s="45" t="str">
        <f t="shared" si="23"/>
        <v/>
      </c>
      <c r="E1506" s="45" t="str">
        <f t="shared" si="24"/>
        <v/>
      </c>
      <c r="F1506" s="59" t="str">
        <f t="shared" si="25"/>
        <v/>
      </c>
      <c r="G1506" s="59" t="str">
        <f t="shared" si="26"/>
        <v/>
      </c>
      <c r="H1506" s="59" t="str">
        <f t="shared" si="27"/>
        <v>28C02574</v>
      </c>
      <c r="I1506" s="59" t="str">
        <f>IF(OR($A1506="",$C1506="",$D1506="",$E1506="",$H1506=""),"",SUMIFS(DATA_GOC!$H:$H,DATA_GOC!$A:$A,"BOM",DATA_GOC!$D:$D,$H1506,DATA_GOC!$E:$E,$C1506,DATA_GOC!$F:$F,"Xuất nội bộ từ téc",DATA_GOC!$B:$B,"&gt;="&amp;$D1506,DATA_GOC!$B:$B,"&lt;="&amp;$E1506))</f>
        <v/>
      </c>
      <c r="J1506" s="59">
        <f t="shared" si="28"/>
        <v>0</v>
      </c>
      <c r="K1506" s="59">
        <f t="shared" si="29"/>
        <v>0</v>
      </c>
      <c r="L1506" s="59">
        <f t="shared" si="30"/>
        <v>0</v>
      </c>
      <c r="M1506" s="59">
        <f t="shared" si="31"/>
        <v>0</v>
      </c>
    </row>
    <row r="1507" ht="15.0" hidden="1" customHeight="1">
      <c r="A1507" s="59">
        <f t="shared" si="20"/>
        <v>22</v>
      </c>
      <c r="B1507" s="59" t="str">
        <f t="shared" si="21"/>
        <v/>
      </c>
      <c r="C1507" s="59" t="str">
        <f t="shared" si="22"/>
        <v/>
      </c>
      <c r="D1507" s="45" t="str">
        <f t="shared" si="23"/>
        <v/>
      </c>
      <c r="E1507" s="45" t="str">
        <f t="shared" si="24"/>
        <v/>
      </c>
      <c r="F1507" s="59" t="str">
        <f t="shared" si="25"/>
        <v/>
      </c>
      <c r="G1507" s="59" t="str">
        <f t="shared" si="26"/>
        <v/>
      </c>
      <c r="H1507" s="59" t="str">
        <f t="shared" si="27"/>
        <v>28C02770</v>
      </c>
      <c r="I1507" s="59" t="str">
        <f>IF(OR($A1507="",$C1507="",$D1507="",$E1507="",$H1507=""),"",SUMIFS(DATA_GOC!$H:$H,DATA_GOC!$A:$A,"BOM",DATA_GOC!$D:$D,$H1507,DATA_GOC!$E:$E,$C1507,DATA_GOC!$F:$F,"Xuất nội bộ từ téc",DATA_GOC!$B:$B,"&gt;="&amp;$D1507,DATA_GOC!$B:$B,"&lt;="&amp;$E1507))</f>
        <v/>
      </c>
      <c r="J1507" s="59">
        <f t="shared" si="28"/>
        <v>0</v>
      </c>
      <c r="K1507" s="59">
        <f t="shared" si="29"/>
        <v>0</v>
      </c>
      <c r="L1507" s="59">
        <f t="shared" si="30"/>
        <v>0</v>
      </c>
      <c r="M1507" s="59">
        <f t="shared" si="31"/>
        <v>0</v>
      </c>
    </row>
    <row r="1508" ht="15.0" hidden="1" customHeight="1">
      <c r="A1508" s="59">
        <f t="shared" si="20"/>
        <v>22</v>
      </c>
      <c r="B1508" s="59" t="str">
        <f t="shared" si="21"/>
        <v/>
      </c>
      <c r="C1508" s="59" t="str">
        <f t="shared" si="22"/>
        <v/>
      </c>
      <c r="D1508" s="45" t="str">
        <f t="shared" si="23"/>
        <v/>
      </c>
      <c r="E1508" s="45" t="str">
        <f t="shared" si="24"/>
        <v/>
      </c>
      <c r="F1508" s="59" t="str">
        <f t="shared" si="25"/>
        <v/>
      </c>
      <c r="G1508" s="59" t="str">
        <f t="shared" si="26"/>
        <v/>
      </c>
      <c r="H1508" s="59" t="str">
        <f t="shared" si="27"/>
        <v>28C02986</v>
      </c>
      <c r="I1508" s="59" t="str">
        <f>IF(OR($A1508="",$C1508="",$D1508="",$E1508="",$H1508=""),"",SUMIFS(DATA_GOC!$H:$H,DATA_GOC!$A:$A,"BOM",DATA_GOC!$D:$D,$H1508,DATA_GOC!$E:$E,$C1508,DATA_GOC!$F:$F,"Xuất nội bộ từ téc",DATA_GOC!$B:$B,"&gt;="&amp;$D1508,DATA_GOC!$B:$B,"&lt;="&amp;$E1508))</f>
        <v/>
      </c>
      <c r="J1508" s="59">
        <f t="shared" si="28"/>
        <v>0</v>
      </c>
      <c r="K1508" s="59">
        <f t="shared" si="29"/>
        <v>0</v>
      </c>
      <c r="L1508" s="59">
        <f t="shared" si="30"/>
        <v>0</v>
      </c>
      <c r="M1508" s="59">
        <f t="shared" si="31"/>
        <v>0</v>
      </c>
    </row>
    <row r="1509" ht="15.0" hidden="1" customHeight="1">
      <c r="A1509" s="59">
        <f t="shared" si="20"/>
        <v>22</v>
      </c>
      <c r="B1509" s="59" t="str">
        <f t="shared" si="21"/>
        <v/>
      </c>
      <c r="C1509" s="59" t="str">
        <f t="shared" si="22"/>
        <v/>
      </c>
      <c r="D1509" s="45" t="str">
        <f t="shared" si="23"/>
        <v/>
      </c>
      <c r="E1509" s="45" t="str">
        <f t="shared" si="24"/>
        <v/>
      </c>
      <c r="F1509" s="59" t="str">
        <f t="shared" si="25"/>
        <v/>
      </c>
      <c r="G1509" s="59" t="str">
        <f t="shared" si="26"/>
        <v/>
      </c>
      <c r="H1509" s="59" t="str">
        <f t="shared" si="27"/>
        <v>28C03261</v>
      </c>
      <c r="I1509" s="59" t="str">
        <f>IF(OR($A1509="",$C1509="",$D1509="",$E1509="",$H1509=""),"",SUMIFS(DATA_GOC!$H:$H,DATA_GOC!$A:$A,"BOM",DATA_GOC!$D:$D,$H1509,DATA_GOC!$E:$E,$C1509,DATA_GOC!$F:$F,"Xuất nội bộ từ téc",DATA_GOC!$B:$B,"&gt;="&amp;$D1509,DATA_GOC!$B:$B,"&lt;="&amp;$E1509))</f>
        <v/>
      </c>
      <c r="J1509" s="59">
        <f t="shared" si="28"/>
        <v>0</v>
      </c>
      <c r="K1509" s="59">
        <f t="shared" si="29"/>
        <v>0</v>
      </c>
      <c r="L1509" s="59">
        <f t="shared" si="30"/>
        <v>0</v>
      </c>
      <c r="M1509" s="59">
        <f t="shared" si="31"/>
        <v>0</v>
      </c>
    </row>
    <row r="1510" ht="15.0" hidden="1" customHeight="1">
      <c r="A1510" s="59">
        <f t="shared" si="20"/>
        <v>22</v>
      </c>
      <c r="B1510" s="59" t="str">
        <f t="shared" si="21"/>
        <v/>
      </c>
      <c r="C1510" s="59" t="str">
        <f t="shared" si="22"/>
        <v/>
      </c>
      <c r="D1510" s="45" t="str">
        <f t="shared" si="23"/>
        <v/>
      </c>
      <c r="E1510" s="45" t="str">
        <f t="shared" si="24"/>
        <v/>
      </c>
      <c r="F1510" s="59" t="str">
        <f t="shared" si="25"/>
        <v/>
      </c>
      <c r="G1510" s="59" t="str">
        <f t="shared" si="26"/>
        <v/>
      </c>
      <c r="H1510" s="59" t="str">
        <f t="shared" si="27"/>
        <v>28C03323</v>
      </c>
      <c r="I1510" s="59" t="str">
        <f>IF(OR($A1510="",$C1510="",$D1510="",$E1510="",$H1510=""),"",SUMIFS(DATA_GOC!$H:$H,DATA_GOC!$A:$A,"BOM",DATA_GOC!$D:$D,$H1510,DATA_GOC!$E:$E,$C1510,DATA_GOC!$F:$F,"Xuất nội bộ từ téc",DATA_GOC!$B:$B,"&gt;="&amp;$D1510,DATA_GOC!$B:$B,"&lt;="&amp;$E1510))</f>
        <v/>
      </c>
      <c r="J1510" s="59">
        <f t="shared" si="28"/>
        <v>0</v>
      </c>
      <c r="K1510" s="59">
        <f t="shared" si="29"/>
        <v>0</v>
      </c>
      <c r="L1510" s="59">
        <f t="shared" si="30"/>
        <v>0</v>
      </c>
      <c r="M1510" s="59">
        <f t="shared" si="31"/>
        <v>0</v>
      </c>
    </row>
    <row r="1511" ht="15.0" hidden="1" customHeight="1">
      <c r="A1511" s="59">
        <f t="shared" si="20"/>
        <v>22</v>
      </c>
      <c r="B1511" s="59" t="str">
        <f t="shared" si="21"/>
        <v/>
      </c>
      <c r="C1511" s="59" t="str">
        <f t="shared" si="22"/>
        <v/>
      </c>
      <c r="D1511" s="45" t="str">
        <f t="shared" si="23"/>
        <v/>
      </c>
      <c r="E1511" s="45" t="str">
        <f t="shared" si="24"/>
        <v/>
      </c>
      <c r="F1511" s="59" t="str">
        <f t="shared" si="25"/>
        <v/>
      </c>
      <c r="G1511" s="59" t="str">
        <f t="shared" si="26"/>
        <v/>
      </c>
      <c r="H1511" s="59" t="str">
        <f t="shared" si="27"/>
        <v>28C03385</v>
      </c>
      <c r="I1511" s="59" t="str">
        <f>IF(OR($A1511="",$C1511="",$D1511="",$E1511="",$H1511=""),"",SUMIFS(DATA_GOC!$H:$H,DATA_GOC!$A:$A,"BOM",DATA_GOC!$D:$D,$H1511,DATA_GOC!$E:$E,$C1511,DATA_GOC!$F:$F,"Xuất nội bộ từ téc",DATA_GOC!$B:$B,"&gt;="&amp;$D1511,DATA_GOC!$B:$B,"&lt;="&amp;$E1511))</f>
        <v/>
      </c>
      <c r="J1511" s="59">
        <f t="shared" si="28"/>
        <v>0</v>
      </c>
      <c r="K1511" s="59">
        <f t="shared" si="29"/>
        <v>0</v>
      </c>
      <c r="L1511" s="59">
        <f t="shared" si="30"/>
        <v>0</v>
      </c>
      <c r="M1511" s="59">
        <f t="shared" si="31"/>
        <v>0</v>
      </c>
    </row>
    <row r="1512" ht="15.0" hidden="1" customHeight="1">
      <c r="A1512" s="59">
        <f t="shared" si="20"/>
        <v>22</v>
      </c>
      <c r="B1512" s="59" t="str">
        <f t="shared" si="21"/>
        <v/>
      </c>
      <c r="C1512" s="59" t="str">
        <f t="shared" si="22"/>
        <v/>
      </c>
      <c r="D1512" s="45" t="str">
        <f t="shared" si="23"/>
        <v/>
      </c>
      <c r="E1512" s="45" t="str">
        <f t="shared" si="24"/>
        <v/>
      </c>
      <c r="F1512" s="59" t="str">
        <f t="shared" si="25"/>
        <v/>
      </c>
      <c r="G1512" s="59" t="str">
        <f t="shared" si="26"/>
        <v/>
      </c>
      <c r="H1512" s="59" t="str">
        <f t="shared" si="27"/>
        <v>28C03652</v>
      </c>
      <c r="I1512" s="59" t="str">
        <f>IF(OR($A1512="",$C1512="",$D1512="",$E1512="",$H1512=""),"",SUMIFS(DATA_GOC!$H:$H,DATA_GOC!$A:$A,"BOM",DATA_GOC!$D:$D,$H1512,DATA_GOC!$E:$E,$C1512,DATA_GOC!$F:$F,"Xuất nội bộ từ téc",DATA_GOC!$B:$B,"&gt;="&amp;$D1512,DATA_GOC!$B:$B,"&lt;="&amp;$E1512))</f>
        <v/>
      </c>
      <c r="J1512" s="59">
        <f t="shared" si="28"/>
        <v>0</v>
      </c>
      <c r="K1512" s="59">
        <f t="shared" si="29"/>
        <v>0</v>
      </c>
      <c r="L1512" s="59">
        <f t="shared" si="30"/>
        <v>0</v>
      </c>
      <c r="M1512" s="59">
        <f t="shared" si="31"/>
        <v>0</v>
      </c>
    </row>
    <row r="1513" ht="15.0" hidden="1" customHeight="1">
      <c r="A1513" s="59">
        <f t="shared" si="20"/>
        <v>22</v>
      </c>
      <c r="B1513" s="59" t="str">
        <f t="shared" si="21"/>
        <v/>
      </c>
      <c r="C1513" s="59" t="str">
        <f t="shared" si="22"/>
        <v/>
      </c>
      <c r="D1513" s="45" t="str">
        <f t="shared" si="23"/>
        <v/>
      </c>
      <c r="E1513" s="45" t="str">
        <f t="shared" si="24"/>
        <v/>
      </c>
      <c r="F1513" s="59" t="str">
        <f t="shared" si="25"/>
        <v/>
      </c>
      <c r="G1513" s="59" t="str">
        <f t="shared" si="26"/>
        <v/>
      </c>
      <c r="H1513" s="59" t="str">
        <f t="shared" si="27"/>
        <v>28C03695</v>
      </c>
      <c r="I1513" s="59" t="str">
        <f>IF(OR($A1513="",$C1513="",$D1513="",$E1513="",$H1513=""),"",SUMIFS(DATA_GOC!$H:$H,DATA_GOC!$A:$A,"BOM",DATA_GOC!$D:$D,$H1513,DATA_GOC!$E:$E,$C1513,DATA_GOC!$F:$F,"Xuất nội bộ từ téc",DATA_GOC!$B:$B,"&gt;="&amp;$D1513,DATA_GOC!$B:$B,"&lt;="&amp;$E1513))</f>
        <v/>
      </c>
      <c r="J1513" s="59">
        <f t="shared" si="28"/>
        <v>0</v>
      </c>
      <c r="K1513" s="59">
        <f t="shared" si="29"/>
        <v>0</v>
      </c>
      <c r="L1513" s="59">
        <f t="shared" si="30"/>
        <v>0</v>
      </c>
      <c r="M1513" s="59">
        <f t="shared" si="31"/>
        <v>0</v>
      </c>
    </row>
    <row r="1514" ht="15.0" hidden="1" customHeight="1">
      <c r="A1514" s="59">
        <f t="shared" si="20"/>
        <v>22</v>
      </c>
      <c r="B1514" s="59" t="str">
        <f t="shared" si="21"/>
        <v/>
      </c>
      <c r="C1514" s="59" t="str">
        <f t="shared" si="22"/>
        <v/>
      </c>
      <c r="D1514" s="45" t="str">
        <f t="shared" si="23"/>
        <v/>
      </c>
      <c r="E1514" s="45" t="str">
        <f t="shared" si="24"/>
        <v/>
      </c>
      <c r="F1514" s="59" t="str">
        <f t="shared" si="25"/>
        <v/>
      </c>
      <c r="G1514" s="59" t="str">
        <f t="shared" si="26"/>
        <v/>
      </c>
      <c r="H1514" s="59" t="str">
        <f t="shared" si="27"/>
        <v>28C03927</v>
      </c>
      <c r="I1514" s="59" t="str">
        <f>IF(OR($A1514="",$C1514="",$D1514="",$E1514="",$H1514=""),"",SUMIFS(DATA_GOC!$H:$H,DATA_GOC!$A:$A,"BOM",DATA_GOC!$D:$D,$H1514,DATA_GOC!$E:$E,$C1514,DATA_GOC!$F:$F,"Xuất nội bộ từ téc",DATA_GOC!$B:$B,"&gt;="&amp;$D1514,DATA_GOC!$B:$B,"&lt;="&amp;$E1514))</f>
        <v/>
      </c>
      <c r="J1514" s="59">
        <f t="shared" si="28"/>
        <v>0</v>
      </c>
      <c r="K1514" s="59">
        <f t="shared" si="29"/>
        <v>0</v>
      </c>
      <c r="L1514" s="59">
        <f t="shared" si="30"/>
        <v>0</v>
      </c>
      <c r="M1514" s="59">
        <f t="shared" si="31"/>
        <v>0</v>
      </c>
    </row>
    <row r="1515" ht="15.0" hidden="1" customHeight="1">
      <c r="A1515" s="59">
        <f t="shared" si="20"/>
        <v>22</v>
      </c>
      <c r="B1515" s="59" t="str">
        <f t="shared" si="21"/>
        <v/>
      </c>
      <c r="C1515" s="59" t="str">
        <f t="shared" si="22"/>
        <v/>
      </c>
      <c r="D1515" s="45" t="str">
        <f t="shared" si="23"/>
        <v/>
      </c>
      <c r="E1515" s="45" t="str">
        <f t="shared" si="24"/>
        <v/>
      </c>
      <c r="F1515" s="59" t="str">
        <f t="shared" si="25"/>
        <v/>
      </c>
      <c r="G1515" s="59" t="str">
        <f t="shared" si="26"/>
        <v/>
      </c>
      <c r="H1515" s="59" t="str">
        <f t="shared" si="27"/>
        <v>28C04509</v>
      </c>
      <c r="I1515" s="59" t="str">
        <f>IF(OR($A1515="",$C1515="",$D1515="",$E1515="",$H1515=""),"",SUMIFS(DATA_GOC!$H:$H,DATA_GOC!$A:$A,"BOM",DATA_GOC!$D:$D,$H1515,DATA_GOC!$E:$E,$C1515,DATA_GOC!$F:$F,"Xuất nội bộ từ téc",DATA_GOC!$B:$B,"&gt;="&amp;$D1515,DATA_GOC!$B:$B,"&lt;="&amp;$E1515))</f>
        <v/>
      </c>
      <c r="J1515" s="59">
        <f t="shared" si="28"/>
        <v>0</v>
      </c>
      <c r="K1515" s="59">
        <f t="shared" si="29"/>
        <v>0</v>
      </c>
      <c r="L1515" s="59">
        <f t="shared" si="30"/>
        <v>0</v>
      </c>
      <c r="M1515" s="59">
        <f t="shared" si="31"/>
        <v>0</v>
      </c>
    </row>
    <row r="1516" ht="15.0" hidden="1" customHeight="1">
      <c r="A1516" s="59">
        <f t="shared" si="20"/>
        <v>22</v>
      </c>
      <c r="B1516" s="59" t="str">
        <f t="shared" si="21"/>
        <v/>
      </c>
      <c r="C1516" s="59" t="str">
        <f t="shared" si="22"/>
        <v/>
      </c>
      <c r="D1516" s="45" t="str">
        <f t="shared" si="23"/>
        <v/>
      </c>
      <c r="E1516" s="45" t="str">
        <f t="shared" si="24"/>
        <v/>
      </c>
      <c r="F1516" s="59" t="str">
        <f t="shared" si="25"/>
        <v/>
      </c>
      <c r="G1516" s="59" t="str">
        <f t="shared" si="26"/>
        <v/>
      </c>
      <c r="H1516" s="59" t="str">
        <f t="shared" si="27"/>
        <v>28C04536</v>
      </c>
      <c r="I1516" s="59" t="str">
        <f>IF(OR($A1516="",$C1516="",$D1516="",$E1516="",$H1516=""),"",SUMIFS(DATA_GOC!$H:$H,DATA_GOC!$A:$A,"BOM",DATA_GOC!$D:$D,$H1516,DATA_GOC!$E:$E,$C1516,DATA_GOC!$F:$F,"Xuất nội bộ từ téc",DATA_GOC!$B:$B,"&gt;="&amp;$D1516,DATA_GOC!$B:$B,"&lt;="&amp;$E1516))</f>
        <v/>
      </c>
      <c r="J1516" s="59">
        <f t="shared" si="28"/>
        <v>0</v>
      </c>
      <c r="K1516" s="59">
        <f t="shared" si="29"/>
        <v>0</v>
      </c>
      <c r="L1516" s="59">
        <f t="shared" si="30"/>
        <v>0</v>
      </c>
      <c r="M1516" s="59">
        <f t="shared" si="31"/>
        <v>0</v>
      </c>
    </row>
    <row r="1517" ht="15.0" hidden="1" customHeight="1">
      <c r="A1517" s="59">
        <f t="shared" si="20"/>
        <v>22</v>
      </c>
      <c r="B1517" s="59" t="str">
        <f t="shared" si="21"/>
        <v/>
      </c>
      <c r="C1517" s="59" t="str">
        <f t="shared" si="22"/>
        <v/>
      </c>
      <c r="D1517" s="45" t="str">
        <f t="shared" si="23"/>
        <v/>
      </c>
      <c r="E1517" s="45" t="str">
        <f t="shared" si="24"/>
        <v/>
      </c>
      <c r="F1517" s="59" t="str">
        <f t="shared" si="25"/>
        <v/>
      </c>
      <c r="G1517" s="59" t="str">
        <f t="shared" si="26"/>
        <v/>
      </c>
      <c r="H1517" s="59" t="str">
        <f t="shared" si="27"/>
        <v>28C04576</v>
      </c>
      <c r="I1517" s="59" t="str">
        <f>IF(OR($A1517="",$C1517="",$D1517="",$E1517="",$H1517=""),"",SUMIFS(DATA_GOC!$H:$H,DATA_GOC!$A:$A,"BOM",DATA_GOC!$D:$D,$H1517,DATA_GOC!$E:$E,$C1517,DATA_GOC!$F:$F,"Xuất nội bộ từ téc",DATA_GOC!$B:$B,"&gt;="&amp;$D1517,DATA_GOC!$B:$B,"&lt;="&amp;$E1517))</f>
        <v/>
      </c>
      <c r="J1517" s="59">
        <f t="shared" si="28"/>
        <v>0</v>
      </c>
      <c r="K1517" s="59">
        <f t="shared" si="29"/>
        <v>0</v>
      </c>
      <c r="L1517" s="59">
        <f t="shared" si="30"/>
        <v>0</v>
      </c>
      <c r="M1517" s="59">
        <f t="shared" si="31"/>
        <v>0</v>
      </c>
    </row>
    <row r="1518" ht="15.0" hidden="1" customHeight="1">
      <c r="A1518" s="59">
        <f t="shared" si="20"/>
        <v>22</v>
      </c>
      <c r="B1518" s="59" t="str">
        <f t="shared" si="21"/>
        <v/>
      </c>
      <c r="C1518" s="59" t="str">
        <f t="shared" si="22"/>
        <v/>
      </c>
      <c r="D1518" s="45" t="str">
        <f t="shared" si="23"/>
        <v/>
      </c>
      <c r="E1518" s="45" t="str">
        <f t="shared" si="24"/>
        <v/>
      </c>
      <c r="F1518" s="59" t="str">
        <f t="shared" si="25"/>
        <v/>
      </c>
      <c r="G1518" s="59" t="str">
        <f t="shared" si="26"/>
        <v/>
      </c>
      <c r="H1518" s="59" t="str">
        <f t="shared" si="27"/>
        <v>28C05090</v>
      </c>
      <c r="I1518" s="59" t="str">
        <f>IF(OR($A1518="",$C1518="",$D1518="",$E1518="",$H1518=""),"",SUMIFS(DATA_GOC!$H:$H,DATA_GOC!$A:$A,"BOM",DATA_GOC!$D:$D,$H1518,DATA_GOC!$E:$E,$C1518,DATA_GOC!$F:$F,"Xuất nội bộ từ téc",DATA_GOC!$B:$B,"&gt;="&amp;$D1518,DATA_GOC!$B:$B,"&lt;="&amp;$E1518))</f>
        <v/>
      </c>
      <c r="J1518" s="59">
        <f t="shared" si="28"/>
        <v>0</v>
      </c>
      <c r="K1518" s="59">
        <f t="shared" si="29"/>
        <v>0</v>
      </c>
      <c r="L1518" s="59">
        <f t="shared" si="30"/>
        <v>0</v>
      </c>
      <c r="M1518" s="59">
        <f t="shared" si="31"/>
        <v>0</v>
      </c>
    </row>
    <row r="1519" ht="15.0" hidden="1" customHeight="1">
      <c r="A1519" s="59">
        <f t="shared" si="20"/>
        <v>22</v>
      </c>
      <c r="B1519" s="59" t="str">
        <f t="shared" si="21"/>
        <v/>
      </c>
      <c r="C1519" s="59" t="str">
        <f t="shared" si="22"/>
        <v/>
      </c>
      <c r="D1519" s="45" t="str">
        <f t="shared" si="23"/>
        <v/>
      </c>
      <c r="E1519" s="45" t="str">
        <f t="shared" si="24"/>
        <v/>
      </c>
      <c r="F1519" s="59" t="str">
        <f t="shared" si="25"/>
        <v/>
      </c>
      <c r="G1519" s="59" t="str">
        <f t="shared" si="26"/>
        <v/>
      </c>
      <c r="H1519" s="59" t="str">
        <f t="shared" si="27"/>
        <v>28C05345</v>
      </c>
      <c r="I1519" s="59" t="str">
        <f>IF(OR($A1519="",$C1519="",$D1519="",$E1519="",$H1519=""),"",SUMIFS(DATA_GOC!$H:$H,DATA_GOC!$A:$A,"BOM",DATA_GOC!$D:$D,$H1519,DATA_GOC!$E:$E,$C1519,DATA_GOC!$F:$F,"Xuất nội bộ từ téc",DATA_GOC!$B:$B,"&gt;="&amp;$D1519,DATA_GOC!$B:$B,"&lt;="&amp;$E1519))</f>
        <v/>
      </c>
      <c r="J1519" s="59">
        <f t="shared" si="28"/>
        <v>0</v>
      </c>
      <c r="K1519" s="59">
        <f t="shared" si="29"/>
        <v>0</v>
      </c>
      <c r="L1519" s="59">
        <f t="shared" si="30"/>
        <v>0</v>
      </c>
      <c r="M1519" s="59">
        <f t="shared" si="31"/>
        <v>0</v>
      </c>
    </row>
    <row r="1520" ht="15.0" hidden="1" customHeight="1">
      <c r="A1520" s="59">
        <f t="shared" si="20"/>
        <v>22</v>
      </c>
      <c r="B1520" s="59" t="str">
        <f t="shared" si="21"/>
        <v/>
      </c>
      <c r="C1520" s="59" t="str">
        <f t="shared" si="22"/>
        <v/>
      </c>
      <c r="D1520" s="45" t="str">
        <f t="shared" si="23"/>
        <v/>
      </c>
      <c r="E1520" s="45" t="str">
        <f t="shared" si="24"/>
        <v/>
      </c>
      <c r="F1520" s="59" t="str">
        <f t="shared" si="25"/>
        <v/>
      </c>
      <c r="G1520" s="59" t="str">
        <f t="shared" si="26"/>
        <v/>
      </c>
      <c r="H1520" s="59" t="str">
        <f t="shared" si="27"/>
        <v>28C05661</v>
      </c>
      <c r="I1520" s="59" t="str">
        <f>IF(OR($A1520="",$C1520="",$D1520="",$E1520="",$H1520=""),"",SUMIFS(DATA_GOC!$H:$H,DATA_GOC!$A:$A,"BOM",DATA_GOC!$D:$D,$H1520,DATA_GOC!$E:$E,$C1520,DATA_GOC!$F:$F,"Xuất nội bộ từ téc",DATA_GOC!$B:$B,"&gt;="&amp;$D1520,DATA_GOC!$B:$B,"&lt;="&amp;$E1520))</f>
        <v/>
      </c>
      <c r="J1520" s="59">
        <f t="shared" si="28"/>
        <v>0</v>
      </c>
      <c r="K1520" s="59">
        <f t="shared" si="29"/>
        <v>0</v>
      </c>
      <c r="L1520" s="59">
        <f t="shared" si="30"/>
        <v>0</v>
      </c>
      <c r="M1520" s="59">
        <f t="shared" si="31"/>
        <v>0</v>
      </c>
    </row>
    <row r="1521" ht="15.0" hidden="1" customHeight="1">
      <c r="A1521" s="59">
        <f t="shared" si="20"/>
        <v>22</v>
      </c>
      <c r="B1521" s="59" t="str">
        <f t="shared" si="21"/>
        <v/>
      </c>
      <c r="C1521" s="59" t="str">
        <f t="shared" si="22"/>
        <v/>
      </c>
      <c r="D1521" s="45" t="str">
        <f t="shared" si="23"/>
        <v/>
      </c>
      <c r="E1521" s="45" t="str">
        <f t="shared" si="24"/>
        <v/>
      </c>
      <c r="F1521" s="59" t="str">
        <f t="shared" si="25"/>
        <v/>
      </c>
      <c r="G1521" s="59" t="str">
        <f t="shared" si="26"/>
        <v/>
      </c>
      <c r="H1521" s="59" t="str">
        <f t="shared" si="27"/>
        <v>28C05739</v>
      </c>
      <c r="I1521" s="59" t="str">
        <f>IF(OR($A1521="",$C1521="",$D1521="",$E1521="",$H1521=""),"",SUMIFS(DATA_GOC!$H:$H,DATA_GOC!$A:$A,"BOM",DATA_GOC!$D:$D,$H1521,DATA_GOC!$E:$E,$C1521,DATA_GOC!$F:$F,"Xuất nội bộ từ téc",DATA_GOC!$B:$B,"&gt;="&amp;$D1521,DATA_GOC!$B:$B,"&lt;="&amp;$E1521))</f>
        <v/>
      </c>
      <c r="J1521" s="59">
        <f t="shared" si="28"/>
        <v>0</v>
      </c>
      <c r="K1521" s="59">
        <f t="shared" si="29"/>
        <v>0</v>
      </c>
      <c r="L1521" s="59">
        <f t="shared" si="30"/>
        <v>0</v>
      </c>
      <c r="M1521" s="59">
        <f t="shared" si="31"/>
        <v>0</v>
      </c>
    </row>
    <row r="1522" ht="15.0" hidden="1" customHeight="1">
      <c r="A1522" s="59">
        <f t="shared" si="20"/>
        <v>22</v>
      </c>
      <c r="B1522" s="59" t="str">
        <f t="shared" si="21"/>
        <v/>
      </c>
      <c r="C1522" s="59" t="str">
        <f t="shared" si="22"/>
        <v/>
      </c>
      <c r="D1522" s="45" t="str">
        <f t="shared" si="23"/>
        <v/>
      </c>
      <c r="E1522" s="45" t="str">
        <f t="shared" si="24"/>
        <v/>
      </c>
      <c r="F1522" s="59" t="str">
        <f t="shared" si="25"/>
        <v/>
      </c>
      <c r="G1522" s="59" t="str">
        <f t="shared" si="26"/>
        <v/>
      </c>
      <c r="H1522" s="59" t="str">
        <f t="shared" si="27"/>
        <v>28C06369</v>
      </c>
      <c r="I1522" s="59" t="str">
        <f>IF(OR($A1522="",$C1522="",$D1522="",$E1522="",$H1522=""),"",SUMIFS(DATA_GOC!$H:$H,DATA_GOC!$A:$A,"BOM",DATA_GOC!$D:$D,$H1522,DATA_GOC!$E:$E,$C1522,DATA_GOC!$F:$F,"Xuất nội bộ từ téc",DATA_GOC!$B:$B,"&gt;="&amp;$D1522,DATA_GOC!$B:$B,"&lt;="&amp;$E1522))</f>
        <v/>
      </c>
      <c r="J1522" s="59">
        <f t="shared" si="28"/>
        <v>0</v>
      </c>
      <c r="K1522" s="59">
        <f t="shared" si="29"/>
        <v>0</v>
      </c>
      <c r="L1522" s="59">
        <f t="shared" si="30"/>
        <v>0</v>
      </c>
      <c r="M1522" s="59">
        <f t="shared" si="31"/>
        <v>0</v>
      </c>
    </row>
    <row r="1523" ht="15.0" hidden="1" customHeight="1">
      <c r="A1523" s="59">
        <f t="shared" si="20"/>
        <v>22</v>
      </c>
      <c r="B1523" s="59" t="str">
        <f t="shared" si="21"/>
        <v/>
      </c>
      <c r="C1523" s="59" t="str">
        <f t="shared" si="22"/>
        <v/>
      </c>
      <c r="D1523" s="45" t="str">
        <f t="shared" si="23"/>
        <v/>
      </c>
      <c r="E1523" s="45" t="str">
        <f t="shared" si="24"/>
        <v/>
      </c>
      <c r="F1523" s="59" t="str">
        <f t="shared" si="25"/>
        <v/>
      </c>
      <c r="G1523" s="59" t="str">
        <f t="shared" si="26"/>
        <v/>
      </c>
      <c r="H1523" s="59" t="str">
        <f t="shared" si="27"/>
        <v>28C06447</v>
      </c>
      <c r="I1523" s="59" t="str">
        <f>IF(OR($A1523="",$C1523="",$D1523="",$E1523="",$H1523=""),"",SUMIFS(DATA_GOC!$H:$H,DATA_GOC!$A:$A,"BOM",DATA_GOC!$D:$D,$H1523,DATA_GOC!$E:$E,$C1523,DATA_GOC!$F:$F,"Xuất nội bộ từ téc",DATA_GOC!$B:$B,"&gt;="&amp;$D1523,DATA_GOC!$B:$B,"&lt;="&amp;$E1523))</f>
        <v/>
      </c>
      <c r="J1523" s="59">
        <f t="shared" si="28"/>
        <v>0</v>
      </c>
      <c r="K1523" s="59">
        <f t="shared" si="29"/>
        <v>0</v>
      </c>
      <c r="L1523" s="59">
        <f t="shared" si="30"/>
        <v>0</v>
      </c>
      <c r="M1523" s="59">
        <f t="shared" si="31"/>
        <v>0</v>
      </c>
    </row>
    <row r="1524" ht="15.0" hidden="1" customHeight="1">
      <c r="A1524" s="59">
        <f t="shared" si="20"/>
        <v>22</v>
      </c>
      <c r="B1524" s="59" t="str">
        <f t="shared" si="21"/>
        <v/>
      </c>
      <c r="C1524" s="59" t="str">
        <f t="shared" si="22"/>
        <v/>
      </c>
      <c r="D1524" s="45" t="str">
        <f t="shared" si="23"/>
        <v/>
      </c>
      <c r="E1524" s="45" t="str">
        <f t="shared" si="24"/>
        <v/>
      </c>
      <c r="F1524" s="59" t="str">
        <f t="shared" si="25"/>
        <v/>
      </c>
      <c r="G1524" s="59" t="str">
        <f t="shared" si="26"/>
        <v/>
      </c>
      <c r="H1524" s="59" t="str">
        <f t="shared" si="27"/>
        <v>28H00003</v>
      </c>
      <c r="I1524" s="59" t="str">
        <f>IF(OR($A1524="",$C1524="",$D1524="",$E1524="",$H1524=""),"",SUMIFS(DATA_GOC!$H:$H,DATA_GOC!$A:$A,"BOM",DATA_GOC!$D:$D,$H1524,DATA_GOC!$E:$E,$C1524,DATA_GOC!$F:$F,"Xuất nội bộ từ téc",DATA_GOC!$B:$B,"&gt;="&amp;$D1524,DATA_GOC!$B:$B,"&lt;="&amp;$E1524))</f>
        <v/>
      </c>
      <c r="J1524" s="59">
        <f t="shared" si="28"/>
        <v>0</v>
      </c>
      <c r="K1524" s="59">
        <f t="shared" si="29"/>
        <v>0</v>
      </c>
      <c r="L1524" s="59">
        <f t="shared" si="30"/>
        <v>0</v>
      </c>
      <c r="M1524" s="59">
        <f t="shared" si="31"/>
        <v>0</v>
      </c>
    </row>
    <row r="1525" ht="15.0" hidden="1" customHeight="1">
      <c r="A1525" s="59">
        <f t="shared" si="20"/>
        <v>22</v>
      </c>
      <c r="B1525" s="59" t="str">
        <f t="shared" si="21"/>
        <v/>
      </c>
      <c r="C1525" s="59" t="str">
        <f t="shared" si="22"/>
        <v/>
      </c>
      <c r="D1525" s="45" t="str">
        <f t="shared" si="23"/>
        <v/>
      </c>
      <c r="E1525" s="45" t="str">
        <f t="shared" si="24"/>
        <v/>
      </c>
      <c r="F1525" s="59" t="str">
        <f t="shared" si="25"/>
        <v/>
      </c>
      <c r="G1525" s="59" t="str">
        <f t="shared" si="26"/>
        <v/>
      </c>
      <c r="H1525" s="59" t="str">
        <f t="shared" si="27"/>
        <v>28H00061</v>
      </c>
      <c r="I1525" s="59" t="str">
        <f>IF(OR($A1525="",$C1525="",$D1525="",$E1525="",$H1525=""),"",SUMIFS(DATA_GOC!$H:$H,DATA_GOC!$A:$A,"BOM",DATA_GOC!$D:$D,$H1525,DATA_GOC!$E:$E,$C1525,DATA_GOC!$F:$F,"Xuất nội bộ từ téc",DATA_GOC!$B:$B,"&gt;="&amp;$D1525,DATA_GOC!$B:$B,"&lt;="&amp;$E1525))</f>
        <v/>
      </c>
      <c r="J1525" s="59">
        <f t="shared" si="28"/>
        <v>0</v>
      </c>
      <c r="K1525" s="59">
        <f t="shared" si="29"/>
        <v>0</v>
      </c>
      <c r="L1525" s="59">
        <f t="shared" si="30"/>
        <v>0</v>
      </c>
      <c r="M1525" s="59">
        <f t="shared" si="31"/>
        <v>0</v>
      </c>
    </row>
    <row r="1526" ht="15.0" hidden="1" customHeight="1">
      <c r="A1526" s="59">
        <f t="shared" si="20"/>
        <v>22</v>
      </c>
      <c r="B1526" s="59" t="str">
        <f t="shared" si="21"/>
        <v/>
      </c>
      <c r="C1526" s="59" t="str">
        <f t="shared" si="22"/>
        <v/>
      </c>
      <c r="D1526" s="45" t="str">
        <f t="shared" si="23"/>
        <v/>
      </c>
      <c r="E1526" s="45" t="str">
        <f t="shared" si="24"/>
        <v/>
      </c>
      <c r="F1526" s="59" t="str">
        <f t="shared" si="25"/>
        <v/>
      </c>
      <c r="G1526" s="59" t="str">
        <f t="shared" si="26"/>
        <v/>
      </c>
      <c r="H1526" s="59" t="str">
        <f t="shared" si="27"/>
        <v>28H00354</v>
      </c>
      <c r="I1526" s="59" t="str">
        <f>IF(OR($A1526="",$C1526="",$D1526="",$E1526="",$H1526=""),"",SUMIFS(DATA_GOC!$H:$H,DATA_GOC!$A:$A,"BOM",DATA_GOC!$D:$D,$H1526,DATA_GOC!$E:$E,$C1526,DATA_GOC!$F:$F,"Xuất nội bộ từ téc",DATA_GOC!$B:$B,"&gt;="&amp;$D1526,DATA_GOC!$B:$B,"&lt;="&amp;$E1526))</f>
        <v/>
      </c>
      <c r="J1526" s="59">
        <f t="shared" si="28"/>
        <v>0</v>
      </c>
      <c r="K1526" s="59">
        <f t="shared" si="29"/>
        <v>0</v>
      </c>
      <c r="L1526" s="59">
        <f t="shared" si="30"/>
        <v>0</v>
      </c>
      <c r="M1526" s="59">
        <f t="shared" si="31"/>
        <v>0</v>
      </c>
    </row>
    <row r="1527" ht="15.0" hidden="1" customHeight="1">
      <c r="A1527" s="59">
        <f t="shared" si="20"/>
        <v>22</v>
      </c>
      <c r="B1527" s="59" t="str">
        <f t="shared" si="21"/>
        <v/>
      </c>
      <c r="C1527" s="59" t="str">
        <f t="shared" si="22"/>
        <v/>
      </c>
      <c r="D1527" s="45" t="str">
        <f t="shared" si="23"/>
        <v/>
      </c>
      <c r="E1527" s="45" t="str">
        <f t="shared" si="24"/>
        <v/>
      </c>
      <c r="F1527" s="59" t="str">
        <f t="shared" si="25"/>
        <v/>
      </c>
      <c r="G1527" s="59" t="str">
        <f t="shared" si="26"/>
        <v/>
      </c>
      <c r="H1527" s="59" t="str">
        <f t="shared" si="27"/>
        <v>28H00603</v>
      </c>
      <c r="I1527" s="59" t="str">
        <f>IF(OR($A1527="",$C1527="",$D1527="",$E1527="",$H1527=""),"",SUMIFS(DATA_GOC!$H:$H,DATA_GOC!$A:$A,"BOM",DATA_GOC!$D:$D,$H1527,DATA_GOC!$E:$E,$C1527,DATA_GOC!$F:$F,"Xuất nội bộ từ téc",DATA_GOC!$B:$B,"&gt;="&amp;$D1527,DATA_GOC!$B:$B,"&lt;="&amp;$E1527))</f>
        <v/>
      </c>
      <c r="J1527" s="59">
        <f t="shared" si="28"/>
        <v>0</v>
      </c>
      <c r="K1527" s="59">
        <f t="shared" si="29"/>
        <v>0</v>
      </c>
      <c r="L1527" s="59">
        <f t="shared" si="30"/>
        <v>0</v>
      </c>
      <c r="M1527" s="59">
        <f t="shared" si="31"/>
        <v>0</v>
      </c>
    </row>
    <row r="1528" ht="15.0" hidden="1" customHeight="1">
      <c r="A1528" s="59">
        <f t="shared" si="20"/>
        <v>22</v>
      </c>
      <c r="B1528" s="59" t="str">
        <f t="shared" si="21"/>
        <v/>
      </c>
      <c r="C1528" s="59" t="str">
        <f t="shared" si="22"/>
        <v/>
      </c>
      <c r="D1528" s="45" t="str">
        <f t="shared" si="23"/>
        <v/>
      </c>
      <c r="E1528" s="45" t="str">
        <f t="shared" si="24"/>
        <v/>
      </c>
      <c r="F1528" s="59" t="str">
        <f t="shared" si="25"/>
        <v/>
      </c>
      <c r="G1528" s="59" t="str">
        <f t="shared" si="26"/>
        <v/>
      </c>
      <c r="H1528" s="59" t="str">
        <f t="shared" si="27"/>
        <v>28H00609</v>
      </c>
      <c r="I1528" s="59" t="str">
        <f>IF(OR($A1528="",$C1528="",$D1528="",$E1528="",$H1528=""),"",SUMIFS(DATA_GOC!$H:$H,DATA_GOC!$A:$A,"BOM",DATA_GOC!$D:$D,$H1528,DATA_GOC!$E:$E,$C1528,DATA_GOC!$F:$F,"Xuất nội bộ từ téc",DATA_GOC!$B:$B,"&gt;="&amp;$D1528,DATA_GOC!$B:$B,"&lt;="&amp;$E1528))</f>
        <v/>
      </c>
      <c r="J1528" s="59">
        <f t="shared" si="28"/>
        <v>0</v>
      </c>
      <c r="K1528" s="59">
        <f t="shared" si="29"/>
        <v>0</v>
      </c>
      <c r="L1528" s="59">
        <f t="shared" si="30"/>
        <v>0</v>
      </c>
      <c r="M1528" s="59">
        <f t="shared" si="31"/>
        <v>0</v>
      </c>
    </row>
    <row r="1529" ht="15.0" hidden="1" customHeight="1">
      <c r="A1529" s="59">
        <f t="shared" si="20"/>
        <v>22</v>
      </c>
      <c r="B1529" s="59" t="str">
        <f t="shared" si="21"/>
        <v/>
      </c>
      <c r="C1529" s="59" t="str">
        <f t="shared" si="22"/>
        <v/>
      </c>
      <c r="D1529" s="45" t="str">
        <f t="shared" si="23"/>
        <v/>
      </c>
      <c r="E1529" s="45" t="str">
        <f t="shared" si="24"/>
        <v/>
      </c>
      <c r="F1529" s="59" t="str">
        <f t="shared" si="25"/>
        <v/>
      </c>
      <c r="G1529" s="59" t="str">
        <f t="shared" si="26"/>
        <v/>
      </c>
      <c r="H1529" s="59" t="str">
        <f t="shared" si="27"/>
        <v>28H00669</v>
      </c>
      <c r="I1529" s="59" t="str">
        <f>IF(OR($A1529="",$C1529="",$D1529="",$E1529="",$H1529=""),"",SUMIFS(DATA_GOC!$H:$H,DATA_GOC!$A:$A,"BOM",DATA_GOC!$D:$D,$H1529,DATA_GOC!$E:$E,$C1529,DATA_GOC!$F:$F,"Xuất nội bộ từ téc",DATA_GOC!$B:$B,"&gt;="&amp;$D1529,DATA_GOC!$B:$B,"&lt;="&amp;$E1529))</f>
        <v/>
      </c>
      <c r="J1529" s="59">
        <f t="shared" si="28"/>
        <v>0</v>
      </c>
      <c r="K1529" s="59">
        <f t="shared" si="29"/>
        <v>0</v>
      </c>
      <c r="L1529" s="59">
        <f t="shared" si="30"/>
        <v>0</v>
      </c>
      <c r="M1529" s="59">
        <f t="shared" si="31"/>
        <v>0</v>
      </c>
    </row>
    <row r="1530" ht="15.0" hidden="1" customHeight="1">
      <c r="A1530" s="59">
        <f t="shared" si="20"/>
        <v>22</v>
      </c>
      <c r="B1530" s="59" t="str">
        <f t="shared" si="21"/>
        <v/>
      </c>
      <c r="C1530" s="59" t="str">
        <f t="shared" si="22"/>
        <v/>
      </c>
      <c r="D1530" s="45" t="str">
        <f t="shared" si="23"/>
        <v/>
      </c>
      <c r="E1530" s="45" t="str">
        <f t="shared" si="24"/>
        <v/>
      </c>
      <c r="F1530" s="59" t="str">
        <f t="shared" si="25"/>
        <v/>
      </c>
      <c r="G1530" s="59" t="str">
        <f t="shared" si="26"/>
        <v/>
      </c>
      <c r="H1530" s="59" t="str">
        <f t="shared" si="27"/>
        <v>28H00680</v>
      </c>
      <c r="I1530" s="59" t="str">
        <f>IF(OR($A1530="",$C1530="",$D1530="",$E1530="",$H1530=""),"",SUMIFS(DATA_GOC!$H:$H,DATA_GOC!$A:$A,"BOM",DATA_GOC!$D:$D,$H1530,DATA_GOC!$E:$E,$C1530,DATA_GOC!$F:$F,"Xuất nội bộ từ téc",DATA_GOC!$B:$B,"&gt;="&amp;$D1530,DATA_GOC!$B:$B,"&lt;="&amp;$E1530))</f>
        <v/>
      </c>
      <c r="J1530" s="59">
        <f t="shared" si="28"/>
        <v>0</v>
      </c>
      <c r="K1530" s="59">
        <f t="shared" si="29"/>
        <v>0</v>
      </c>
      <c r="L1530" s="59">
        <f t="shared" si="30"/>
        <v>0</v>
      </c>
      <c r="M1530" s="59">
        <f t="shared" si="31"/>
        <v>0</v>
      </c>
    </row>
    <row r="1531" ht="15.0" hidden="1" customHeight="1">
      <c r="A1531" s="59">
        <f t="shared" si="20"/>
        <v>22</v>
      </c>
      <c r="B1531" s="59" t="str">
        <f t="shared" si="21"/>
        <v/>
      </c>
      <c r="C1531" s="59" t="str">
        <f t="shared" si="22"/>
        <v/>
      </c>
      <c r="D1531" s="45" t="str">
        <f t="shared" si="23"/>
        <v/>
      </c>
      <c r="E1531" s="45" t="str">
        <f t="shared" si="24"/>
        <v/>
      </c>
      <c r="F1531" s="59" t="str">
        <f t="shared" si="25"/>
        <v/>
      </c>
      <c r="G1531" s="59" t="str">
        <f t="shared" si="26"/>
        <v/>
      </c>
      <c r="H1531" s="59" t="str">
        <f t="shared" si="27"/>
        <v>28H01070</v>
      </c>
      <c r="I1531" s="59" t="str">
        <f>IF(OR($A1531="",$C1531="",$D1531="",$E1531="",$H1531=""),"",SUMIFS(DATA_GOC!$H:$H,DATA_GOC!$A:$A,"BOM",DATA_GOC!$D:$D,$H1531,DATA_GOC!$E:$E,$C1531,DATA_GOC!$F:$F,"Xuất nội bộ từ téc",DATA_GOC!$B:$B,"&gt;="&amp;$D1531,DATA_GOC!$B:$B,"&lt;="&amp;$E1531))</f>
        <v/>
      </c>
      <c r="J1531" s="59">
        <f t="shared" si="28"/>
        <v>0</v>
      </c>
      <c r="K1531" s="59">
        <f t="shared" si="29"/>
        <v>0</v>
      </c>
      <c r="L1531" s="59">
        <f t="shared" si="30"/>
        <v>0</v>
      </c>
      <c r="M1531" s="59">
        <f t="shared" si="31"/>
        <v>0</v>
      </c>
    </row>
    <row r="1532" ht="15.0" hidden="1" customHeight="1">
      <c r="A1532" s="59">
        <f t="shared" si="20"/>
        <v>22</v>
      </c>
      <c r="B1532" s="59" t="str">
        <f t="shared" si="21"/>
        <v/>
      </c>
      <c r="C1532" s="59" t="str">
        <f t="shared" si="22"/>
        <v/>
      </c>
      <c r="D1532" s="45" t="str">
        <f t="shared" si="23"/>
        <v/>
      </c>
      <c r="E1532" s="45" t="str">
        <f t="shared" si="24"/>
        <v/>
      </c>
      <c r="F1532" s="59" t="str">
        <f t="shared" si="25"/>
        <v/>
      </c>
      <c r="G1532" s="59" t="str">
        <f t="shared" si="26"/>
        <v/>
      </c>
      <c r="H1532" s="59" t="str">
        <f t="shared" si="27"/>
        <v>28H01364</v>
      </c>
      <c r="I1532" s="59" t="str">
        <f>IF(OR($A1532="",$C1532="",$D1532="",$E1532="",$H1532=""),"",SUMIFS(DATA_GOC!$H:$H,DATA_GOC!$A:$A,"BOM",DATA_GOC!$D:$D,$H1532,DATA_GOC!$E:$E,$C1532,DATA_GOC!$F:$F,"Xuất nội bộ từ téc",DATA_GOC!$B:$B,"&gt;="&amp;$D1532,DATA_GOC!$B:$B,"&lt;="&amp;$E1532))</f>
        <v/>
      </c>
      <c r="J1532" s="59">
        <f t="shared" si="28"/>
        <v>0</v>
      </c>
      <c r="K1532" s="59">
        <f t="shared" si="29"/>
        <v>0</v>
      </c>
      <c r="L1532" s="59">
        <f t="shared" si="30"/>
        <v>0</v>
      </c>
      <c r="M1532" s="59">
        <f t="shared" si="31"/>
        <v>0</v>
      </c>
    </row>
    <row r="1533" ht="15.0" hidden="1" customHeight="1">
      <c r="A1533" s="59">
        <f t="shared" si="20"/>
        <v>22</v>
      </c>
      <c r="B1533" s="59" t="str">
        <f t="shared" si="21"/>
        <v/>
      </c>
      <c r="C1533" s="59" t="str">
        <f t="shared" si="22"/>
        <v/>
      </c>
      <c r="D1533" s="45" t="str">
        <f t="shared" si="23"/>
        <v/>
      </c>
      <c r="E1533" s="45" t="str">
        <f t="shared" si="24"/>
        <v/>
      </c>
      <c r="F1533" s="59" t="str">
        <f t="shared" si="25"/>
        <v/>
      </c>
      <c r="G1533" s="59" t="str">
        <f t="shared" si="26"/>
        <v/>
      </c>
      <c r="H1533" s="59" t="str">
        <f t="shared" si="27"/>
        <v>29E17269</v>
      </c>
      <c r="I1533" s="59" t="str">
        <f>IF(OR($A1533="",$C1533="",$D1533="",$E1533="",$H1533=""),"",SUMIFS(DATA_GOC!$H:$H,DATA_GOC!$A:$A,"BOM",DATA_GOC!$D:$D,$H1533,DATA_GOC!$E:$E,$C1533,DATA_GOC!$F:$F,"Xuất nội bộ từ téc",DATA_GOC!$B:$B,"&gt;="&amp;$D1533,DATA_GOC!$B:$B,"&lt;="&amp;$E1533))</f>
        <v/>
      </c>
      <c r="J1533" s="59">
        <f t="shared" si="28"/>
        <v>0</v>
      </c>
      <c r="K1533" s="59">
        <f t="shared" si="29"/>
        <v>0</v>
      </c>
      <c r="L1533" s="59">
        <f t="shared" si="30"/>
        <v>0</v>
      </c>
      <c r="M1533" s="59">
        <f t="shared" si="31"/>
        <v>0</v>
      </c>
    </row>
    <row r="1534" ht="15.0" hidden="1" customHeight="1">
      <c r="A1534" s="59">
        <f t="shared" si="20"/>
        <v>22</v>
      </c>
      <c r="B1534" s="59" t="str">
        <f t="shared" si="21"/>
        <v/>
      </c>
      <c r="C1534" s="59" t="str">
        <f t="shared" si="22"/>
        <v/>
      </c>
      <c r="D1534" s="45" t="str">
        <f t="shared" si="23"/>
        <v/>
      </c>
      <c r="E1534" s="45" t="str">
        <f t="shared" si="24"/>
        <v/>
      </c>
      <c r="F1534" s="59" t="str">
        <f t="shared" si="25"/>
        <v/>
      </c>
      <c r="G1534" s="59" t="str">
        <f t="shared" si="26"/>
        <v/>
      </c>
      <c r="H1534" s="59" t="str">
        <f t="shared" si="27"/>
        <v>29E17273</v>
      </c>
      <c r="I1534" s="59" t="str">
        <f>IF(OR($A1534="",$C1534="",$D1534="",$E1534="",$H1534=""),"",SUMIFS(DATA_GOC!$H:$H,DATA_GOC!$A:$A,"BOM",DATA_GOC!$D:$D,$H1534,DATA_GOC!$E:$E,$C1534,DATA_GOC!$F:$F,"Xuất nội bộ từ téc",DATA_GOC!$B:$B,"&gt;="&amp;$D1534,DATA_GOC!$B:$B,"&lt;="&amp;$E1534))</f>
        <v/>
      </c>
      <c r="J1534" s="59">
        <f t="shared" si="28"/>
        <v>0</v>
      </c>
      <c r="K1534" s="59">
        <f t="shared" si="29"/>
        <v>0</v>
      </c>
      <c r="L1534" s="59">
        <f t="shared" si="30"/>
        <v>0</v>
      </c>
      <c r="M1534" s="59">
        <f t="shared" si="31"/>
        <v>0</v>
      </c>
    </row>
    <row r="1535" ht="15.0" hidden="1" customHeight="1">
      <c r="A1535" s="59">
        <f t="shared" si="20"/>
        <v>22</v>
      </c>
      <c r="B1535" s="59" t="str">
        <f t="shared" si="21"/>
        <v/>
      </c>
      <c r="C1535" s="59" t="str">
        <f t="shared" si="22"/>
        <v/>
      </c>
      <c r="D1535" s="45" t="str">
        <f t="shared" si="23"/>
        <v/>
      </c>
      <c r="E1535" s="45" t="str">
        <f t="shared" si="24"/>
        <v/>
      </c>
      <c r="F1535" s="59" t="str">
        <f t="shared" si="25"/>
        <v/>
      </c>
      <c r="G1535" s="59" t="str">
        <f t="shared" si="26"/>
        <v/>
      </c>
      <c r="H1535" s="59" t="str">
        <f t="shared" si="27"/>
        <v>29E17410</v>
      </c>
      <c r="I1535" s="59" t="str">
        <f>IF(OR($A1535="",$C1535="",$D1535="",$E1535="",$H1535=""),"",SUMIFS(DATA_GOC!$H:$H,DATA_GOC!$A:$A,"BOM",DATA_GOC!$D:$D,$H1535,DATA_GOC!$E:$E,$C1535,DATA_GOC!$F:$F,"Xuất nội bộ từ téc",DATA_GOC!$B:$B,"&gt;="&amp;$D1535,DATA_GOC!$B:$B,"&lt;="&amp;$E1535))</f>
        <v/>
      </c>
      <c r="J1535" s="59">
        <f t="shared" si="28"/>
        <v>0</v>
      </c>
      <c r="K1535" s="59">
        <f t="shared" si="29"/>
        <v>0</v>
      </c>
      <c r="L1535" s="59">
        <f t="shared" si="30"/>
        <v>0</v>
      </c>
      <c r="M1535" s="59">
        <f t="shared" si="31"/>
        <v>0</v>
      </c>
    </row>
    <row r="1536" ht="15.0" hidden="1" customHeight="1">
      <c r="A1536" s="59">
        <f t="shared" si="20"/>
        <v>22</v>
      </c>
      <c r="B1536" s="59" t="str">
        <f t="shared" si="21"/>
        <v/>
      </c>
      <c r="C1536" s="59" t="str">
        <f t="shared" si="22"/>
        <v/>
      </c>
      <c r="D1536" s="45" t="str">
        <f t="shared" si="23"/>
        <v/>
      </c>
      <c r="E1536" s="45" t="str">
        <f t="shared" si="24"/>
        <v/>
      </c>
      <c r="F1536" s="59" t="str">
        <f t="shared" si="25"/>
        <v/>
      </c>
      <c r="G1536" s="59" t="str">
        <f t="shared" si="26"/>
        <v/>
      </c>
      <c r="H1536" s="59" t="str">
        <f t="shared" si="27"/>
        <v>29E17417</v>
      </c>
      <c r="I1536" s="59" t="str">
        <f>IF(OR($A1536="",$C1536="",$D1536="",$E1536="",$H1536=""),"",SUMIFS(DATA_GOC!$H:$H,DATA_GOC!$A:$A,"BOM",DATA_GOC!$D:$D,$H1536,DATA_GOC!$E:$E,$C1536,DATA_GOC!$F:$F,"Xuất nội bộ từ téc",DATA_GOC!$B:$B,"&gt;="&amp;$D1536,DATA_GOC!$B:$B,"&lt;="&amp;$E1536))</f>
        <v/>
      </c>
      <c r="J1536" s="59">
        <f t="shared" si="28"/>
        <v>0</v>
      </c>
      <c r="K1536" s="59">
        <f t="shared" si="29"/>
        <v>0</v>
      </c>
      <c r="L1536" s="59">
        <f t="shared" si="30"/>
        <v>0</v>
      </c>
      <c r="M1536" s="59">
        <f t="shared" si="31"/>
        <v>0</v>
      </c>
    </row>
    <row r="1537" ht="15.0" hidden="1" customHeight="1">
      <c r="A1537" s="59">
        <f t="shared" si="20"/>
        <v>22</v>
      </c>
      <c r="B1537" s="59" t="str">
        <f t="shared" si="21"/>
        <v/>
      </c>
      <c r="C1537" s="59" t="str">
        <f t="shared" si="22"/>
        <v/>
      </c>
      <c r="D1537" s="45" t="str">
        <f t="shared" si="23"/>
        <v/>
      </c>
      <c r="E1537" s="45" t="str">
        <f t="shared" si="24"/>
        <v/>
      </c>
      <c r="F1537" s="59" t="str">
        <f t="shared" si="25"/>
        <v/>
      </c>
      <c r="G1537" s="59" t="str">
        <f t="shared" si="26"/>
        <v/>
      </c>
      <c r="H1537" s="59" t="str">
        <f t="shared" si="27"/>
        <v>29E17539</v>
      </c>
      <c r="I1537" s="59" t="str">
        <f>IF(OR($A1537="",$C1537="",$D1537="",$E1537="",$H1537=""),"",SUMIFS(DATA_GOC!$H:$H,DATA_GOC!$A:$A,"BOM",DATA_GOC!$D:$D,$H1537,DATA_GOC!$E:$E,$C1537,DATA_GOC!$F:$F,"Xuất nội bộ từ téc",DATA_GOC!$B:$B,"&gt;="&amp;$D1537,DATA_GOC!$B:$B,"&lt;="&amp;$E1537))</f>
        <v/>
      </c>
      <c r="J1537" s="59">
        <f t="shared" si="28"/>
        <v>0</v>
      </c>
      <c r="K1537" s="59">
        <f t="shared" si="29"/>
        <v>0</v>
      </c>
      <c r="L1537" s="59">
        <f t="shared" si="30"/>
        <v>0</v>
      </c>
      <c r="M1537" s="59">
        <f t="shared" si="31"/>
        <v>0</v>
      </c>
    </row>
    <row r="1538" ht="15.0" hidden="1" customHeight="1">
      <c r="A1538" s="59">
        <f t="shared" si="20"/>
        <v>22</v>
      </c>
      <c r="B1538" s="59" t="str">
        <f t="shared" si="21"/>
        <v/>
      </c>
      <c r="C1538" s="59" t="str">
        <f t="shared" si="22"/>
        <v/>
      </c>
      <c r="D1538" s="45" t="str">
        <f t="shared" si="23"/>
        <v/>
      </c>
      <c r="E1538" s="45" t="str">
        <f t="shared" si="24"/>
        <v/>
      </c>
      <c r="F1538" s="59" t="str">
        <f t="shared" si="25"/>
        <v/>
      </c>
      <c r="G1538" s="59" t="str">
        <f t="shared" si="26"/>
        <v/>
      </c>
      <c r="H1538" s="59" t="str">
        <f t="shared" si="27"/>
        <v>29E18160</v>
      </c>
      <c r="I1538" s="59" t="str">
        <f>IF(OR($A1538="",$C1538="",$D1538="",$E1538="",$H1538=""),"",SUMIFS(DATA_GOC!$H:$H,DATA_GOC!$A:$A,"BOM",DATA_GOC!$D:$D,$H1538,DATA_GOC!$E:$E,$C1538,DATA_GOC!$F:$F,"Xuất nội bộ từ téc",DATA_GOC!$B:$B,"&gt;="&amp;$D1538,DATA_GOC!$B:$B,"&lt;="&amp;$E1538))</f>
        <v/>
      </c>
      <c r="J1538" s="59">
        <f t="shared" si="28"/>
        <v>0</v>
      </c>
      <c r="K1538" s="59">
        <f t="shared" si="29"/>
        <v>0</v>
      </c>
      <c r="L1538" s="59">
        <f t="shared" si="30"/>
        <v>0</v>
      </c>
      <c r="M1538" s="59">
        <f t="shared" si="31"/>
        <v>0</v>
      </c>
    </row>
    <row r="1539" ht="15.0" hidden="1" customHeight="1">
      <c r="A1539" s="59">
        <f t="shared" si="20"/>
        <v>22</v>
      </c>
      <c r="B1539" s="59" t="str">
        <f t="shared" si="21"/>
        <v/>
      </c>
      <c r="C1539" s="59" t="str">
        <f t="shared" si="22"/>
        <v/>
      </c>
      <c r="D1539" s="45" t="str">
        <f t="shared" si="23"/>
        <v/>
      </c>
      <c r="E1539" s="45" t="str">
        <f t="shared" si="24"/>
        <v/>
      </c>
      <c r="F1539" s="59" t="str">
        <f t="shared" si="25"/>
        <v/>
      </c>
      <c r="G1539" s="59" t="str">
        <f t="shared" si="26"/>
        <v/>
      </c>
      <c r="H1539" s="59" t="str">
        <f t="shared" si="27"/>
        <v>Công trình Asphalt</v>
      </c>
      <c r="I1539" s="59" t="str">
        <f>IF(OR($A1539="",$C1539="",$D1539="",$E1539="",$H1539=""),"",SUMIFS(DATA_GOC!$H:$H,DATA_GOC!$A:$A,"BOM",DATA_GOC!$D:$D,$H1539,DATA_GOC!$E:$E,$C1539,DATA_GOC!$F:$F,"Xuất nội bộ từ téc",DATA_GOC!$B:$B,"&gt;="&amp;$D1539,DATA_GOC!$B:$B,"&lt;="&amp;$E1539))</f>
        <v/>
      </c>
      <c r="J1539" s="59">
        <f t="shared" si="28"/>
        <v>0</v>
      </c>
      <c r="K1539" s="59">
        <f t="shared" si="29"/>
        <v>0</v>
      </c>
      <c r="L1539" s="59">
        <f t="shared" si="30"/>
        <v>0</v>
      </c>
      <c r="M1539" s="59">
        <f t="shared" si="31"/>
        <v>0</v>
      </c>
    </row>
    <row r="1540" ht="15.0" hidden="1" customHeight="1">
      <c r="A1540" s="59">
        <f t="shared" si="20"/>
        <v>22</v>
      </c>
      <c r="B1540" s="59" t="str">
        <f t="shared" si="21"/>
        <v/>
      </c>
      <c r="C1540" s="59" t="str">
        <f t="shared" si="22"/>
        <v/>
      </c>
      <c r="D1540" s="45" t="str">
        <f t="shared" si="23"/>
        <v/>
      </c>
      <c r="E1540" s="45" t="str">
        <f t="shared" si="24"/>
        <v/>
      </c>
      <c r="F1540" s="59" t="str">
        <f t="shared" si="25"/>
        <v/>
      </c>
      <c r="G1540" s="59" t="str">
        <f t="shared" si="26"/>
        <v/>
      </c>
      <c r="H1540" s="59" t="str">
        <f t="shared" si="27"/>
        <v>LG53F</v>
      </c>
      <c r="I1540" s="59" t="str">
        <f>IF(OR($A1540="",$C1540="",$D1540="",$E1540="",$H1540=""),"",SUMIFS(DATA_GOC!$H:$H,DATA_GOC!$A:$A,"BOM",DATA_GOC!$D:$D,$H1540,DATA_GOC!$E:$E,$C1540,DATA_GOC!$F:$F,"Xuất nội bộ từ téc",DATA_GOC!$B:$B,"&gt;="&amp;$D1540,DATA_GOC!$B:$B,"&lt;="&amp;$E1540))</f>
        <v/>
      </c>
      <c r="J1540" s="59">
        <f t="shared" si="28"/>
        <v>0</v>
      </c>
      <c r="K1540" s="59">
        <f t="shared" si="29"/>
        <v>0</v>
      </c>
      <c r="L1540" s="59">
        <f t="shared" si="30"/>
        <v>0</v>
      </c>
      <c r="M1540" s="59">
        <f t="shared" si="31"/>
        <v>0</v>
      </c>
    </row>
    <row r="1541" ht="15.0" hidden="1" customHeight="1">
      <c r="A1541" s="59">
        <f t="shared" si="20"/>
        <v>22</v>
      </c>
      <c r="B1541" s="59" t="str">
        <f t="shared" si="21"/>
        <v/>
      </c>
      <c r="C1541" s="59" t="str">
        <f t="shared" si="22"/>
        <v/>
      </c>
      <c r="D1541" s="45" t="str">
        <f t="shared" si="23"/>
        <v/>
      </c>
      <c r="E1541" s="45" t="str">
        <f t="shared" si="24"/>
        <v/>
      </c>
      <c r="F1541" s="59" t="str">
        <f t="shared" si="25"/>
        <v/>
      </c>
      <c r="G1541" s="59" t="str">
        <f t="shared" si="26"/>
        <v/>
      </c>
      <c r="H1541" s="59" t="str">
        <f t="shared" si="27"/>
        <v>Máy phát điện</v>
      </c>
      <c r="I1541" s="59" t="str">
        <f>IF(OR($A1541="",$C1541="",$D1541="",$E1541="",$H1541=""),"",SUMIFS(DATA_GOC!$H:$H,DATA_GOC!$A:$A,"BOM",DATA_GOC!$D:$D,$H1541,DATA_GOC!$E:$E,$C1541,DATA_GOC!$F:$F,"Xuất nội bộ từ téc",DATA_GOC!$B:$B,"&gt;="&amp;$D1541,DATA_GOC!$B:$B,"&lt;="&amp;$E1541))</f>
        <v/>
      </c>
      <c r="J1541" s="59">
        <f t="shared" si="28"/>
        <v>0</v>
      </c>
      <c r="K1541" s="59">
        <f t="shared" si="29"/>
        <v>0</v>
      </c>
      <c r="L1541" s="59">
        <f t="shared" si="30"/>
        <v>0</v>
      </c>
      <c r="M1541" s="59">
        <f t="shared" si="31"/>
        <v>0</v>
      </c>
    </row>
    <row r="1542" ht="15.0" hidden="1" customHeight="1">
      <c r="A1542" s="59">
        <f t="shared" si="20"/>
        <v>22</v>
      </c>
      <c r="B1542" s="59" t="str">
        <f t="shared" si="21"/>
        <v/>
      </c>
      <c r="C1542" s="59" t="str">
        <f t="shared" si="22"/>
        <v/>
      </c>
      <c r="D1542" s="45" t="str">
        <f t="shared" si="23"/>
        <v/>
      </c>
      <c r="E1542" s="45" t="str">
        <f t="shared" si="24"/>
        <v/>
      </c>
      <c r="F1542" s="59" t="str">
        <f t="shared" si="25"/>
        <v/>
      </c>
      <c r="G1542" s="59" t="str">
        <f t="shared" si="26"/>
        <v/>
      </c>
      <c r="H1542" s="59" t="str">
        <f t="shared" si="27"/>
        <v>Máy rải thảm</v>
      </c>
      <c r="I1542" s="59" t="str">
        <f>IF(OR($A1542="",$C1542="",$D1542="",$E1542="",$H1542=""),"",SUMIFS(DATA_GOC!$H:$H,DATA_GOC!$A:$A,"BOM",DATA_GOC!$D:$D,$H1542,DATA_GOC!$E:$E,$C1542,DATA_GOC!$F:$F,"Xuất nội bộ từ téc",DATA_GOC!$B:$B,"&gt;="&amp;$D1542,DATA_GOC!$B:$B,"&lt;="&amp;$E1542))</f>
        <v/>
      </c>
      <c r="J1542" s="59">
        <f t="shared" si="28"/>
        <v>0</v>
      </c>
      <c r="K1542" s="59">
        <f t="shared" si="29"/>
        <v>0</v>
      </c>
      <c r="L1542" s="59">
        <f t="shared" si="30"/>
        <v>0</v>
      </c>
      <c r="M1542" s="59">
        <f t="shared" si="31"/>
        <v>0</v>
      </c>
    </row>
    <row r="1543" ht="15.0" hidden="1" customHeight="1">
      <c r="A1543" s="59">
        <f t="shared" si="20"/>
        <v>22</v>
      </c>
      <c r="B1543" s="59" t="str">
        <f t="shared" si="21"/>
        <v/>
      </c>
      <c r="C1543" s="59" t="str">
        <f t="shared" si="22"/>
        <v/>
      </c>
      <c r="D1543" s="45" t="str">
        <f t="shared" si="23"/>
        <v/>
      </c>
      <c r="E1543" s="45" t="str">
        <f t="shared" si="24"/>
        <v/>
      </c>
      <c r="F1543" s="59" t="str">
        <f t="shared" si="25"/>
        <v/>
      </c>
      <c r="G1543" s="59" t="str">
        <f t="shared" si="26"/>
        <v/>
      </c>
      <c r="H1543" s="59" t="str">
        <f t="shared" si="27"/>
        <v>Xúc Đào</v>
      </c>
      <c r="I1543" s="59" t="str">
        <f>IF(OR($A1543="",$C1543="",$D1543="",$E1543="",$H1543=""),"",SUMIFS(DATA_GOC!$H:$H,DATA_GOC!$A:$A,"BOM",DATA_GOC!$D:$D,$H1543,DATA_GOC!$E:$E,$C1543,DATA_GOC!$F:$F,"Xuất nội bộ từ téc",DATA_GOC!$B:$B,"&gt;="&amp;$D1543,DATA_GOC!$B:$B,"&lt;="&amp;$E1543))</f>
        <v/>
      </c>
      <c r="J1543" s="59">
        <f t="shared" si="28"/>
        <v>0</v>
      </c>
      <c r="K1543" s="59">
        <f t="shared" si="29"/>
        <v>0</v>
      </c>
      <c r="L1543" s="59">
        <f t="shared" si="30"/>
        <v>0</v>
      </c>
      <c r="M1543" s="59">
        <f t="shared" si="31"/>
        <v>0</v>
      </c>
    </row>
    <row r="1544" ht="15.0" hidden="1" customHeight="1">
      <c r="A1544" s="59">
        <f t="shared" si="20"/>
        <v>22</v>
      </c>
      <c r="B1544" s="59" t="str">
        <f t="shared" si="21"/>
        <v/>
      </c>
      <c r="C1544" s="59" t="str">
        <f t="shared" si="22"/>
        <v/>
      </c>
      <c r="D1544" s="45" t="str">
        <f t="shared" si="23"/>
        <v/>
      </c>
      <c r="E1544" s="45" t="str">
        <f t="shared" si="24"/>
        <v/>
      </c>
      <c r="F1544" s="59" t="str">
        <f t="shared" si="25"/>
        <v/>
      </c>
      <c r="G1544" s="59" t="str">
        <f t="shared" si="26"/>
        <v/>
      </c>
      <c r="H1544" s="59" t="str">
        <f t="shared" si="27"/>
        <v>Xúclật asphalt</v>
      </c>
      <c r="I1544" s="59" t="str">
        <f>IF(OR($A1544="",$C1544="",$D1544="",$E1544="",$H1544=""),"",SUMIFS(DATA_GOC!$H:$H,DATA_GOC!$A:$A,"BOM",DATA_GOC!$D:$D,$H1544,DATA_GOC!$E:$E,$C1544,DATA_GOC!$F:$F,"Xuất nội bộ từ téc",DATA_GOC!$B:$B,"&gt;="&amp;$D1544,DATA_GOC!$B:$B,"&lt;="&amp;$E1544))</f>
        <v/>
      </c>
      <c r="J1544" s="59">
        <f t="shared" si="28"/>
        <v>0</v>
      </c>
      <c r="K1544" s="59">
        <f t="shared" si="29"/>
        <v>0</v>
      </c>
      <c r="L1544" s="59">
        <f t="shared" si="30"/>
        <v>0</v>
      </c>
      <c r="M1544" s="59">
        <f t="shared" si="31"/>
        <v>0</v>
      </c>
    </row>
    <row r="1545" ht="15.0" hidden="1" customHeight="1">
      <c r="A1545" s="59">
        <f t="shared" si="20"/>
        <v>22</v>
      </c>
      <c r="B1545" s="59" t="str">
        <f t="shared" si="21"/>
        <v/>
      </c>
      <c r="C1545" s="59" t="str">
        <f t="shared" si="22"/>
        <v/>
      </c>
      <c r="D1545" s="45" t="str">
        <f t="shared" si="23"/>
        <v/>
      </c>
      <c r="E1545" s="45" t="str">
        <f t="shared" si="24"/>
        <v/>
      </c>
      <c r="F1545" s="59" t="str">
        <f t="shared" si="25"/>
        <v/>
      </c>
      <c r="G1545" s="59" t="str">
        <f t="shared" si="26"/>
        <v/>
      </c>
      <c r="H1545" s="59" t="str">
        <f t="shared" si="27"/>
        <v>Xúclật855H</v>
      </c>
      <c r="I1545" s="59" t="str">
        <f>IF(OR($A1545="",$C1545="",$D1545="",$E1545="",$H1545=""),"",SUMIFS(DATA_GOC!$H:$H,DATA_GOC!$A:$A,"BOM",DATA_GOC!$D:$D,$H1545,DATA_GOC!$E:$E,$C1545,DATA_GOC!$F:$F,"Xuất nội bộ từ téc",DATA_GOC!$B:$B,"&gt;="&amp;$D1545,DATA_GOC!$B:$B,"&lt;="&amp;$E1545))</f>
        <v/>
      </c>
      <c r="J1545" s="59">
        <f t="shared" si="28"/>
        <v>0</v>
      </c>
      <c r="K1545" s="59">
        <f t="shared" si="29"/>
        <v>0</v>
      </c>
      <c r="L1545" s="59">
        <f t="shared" si="30"/>
        <v>0</v>
      </c>
      <c r="M1545" s="59">
        <f t="shared" si="31"/>
        <v>0</v>
      </c>
    </row>
    <row r="1546" ht="15.0" hidden="1" customHeight="1">
      <c r="A1546" s="59">
        <f t="shared" si="20"/>
        <v>22</v>
      </c>
      <c r="B1546" s="59" t="str">
        <f t="shared" si="21"/>
        <v/>
      </c>
      <c r="C1546" s="59" t="str">
        <f t="shared" si="22"/>
        <v/>
      </c>
      <c r="D1546" s="45" t="str">
        <f t="shared" si="23"/>
        <v/>
      </c>
      <c r="E1546" s="45" t="str">
        <f t="shared" si="24"/>
        <v/>
      </c>
      <c r="F1546" s="59" t="str">
        <f t="shared" si="25"/>
        <v/>
      </c>
      <c r="G1546" s="59" t="str">
        <f t="shared" si="26"/>
        <v/>
      </c>
      <c r="H1546" s="59" t="str">
        <f t="shared" si="27"/>
        <v>Xúclật855N</v>
      </c>
      <c r="I1546" s="59" t="str">
        <f>IF(OR($A1546="",$C1546="",$D1546="",$E1546="",$H1546=""),"",SUMIFS(DATA_GOC!$H:$H,DATA_GOC!$A:$A,"BOM",DATA_GOC!$D:$D,$H1546,DATA_GOC!$E:$E,$C1546,DATA_GOC!$F:$F,"Xuất nội bộ từ téc",DATA_GOC!$B:$B,"&gt;="&amp;$D1546,DATA_GOC!$B:$B,"&lt;="&amp;$E1546))</f>
        <v/>
      </c>
      <c r="J1546" s="59">
        <f t="shared" si="28"/>
        <v>0</v>
      </c>
      <c r="K1546" s="59">
        <f t="shared" si="29"/>
        <v>0</v>
      </c>
      <c r="L1546" s="59">
        <f t="shared" si="30"/>
        <v>0</v>
      </c>
      <c r="M1546" s="59">
        <f t="shared" si="31"/>
        <v>0</v>
      </c>
    </row>
    <row r="1547" ht="15.0" hidden="1" customHeight="1">
      <c r="A1547" s="59">
        <f t="shared" si="20"/>
        <v>22</v>
      </c>
      <c r="B1547" s="59" t="str">
        <f t="shared" si="21"/>
        <v/>
      </c>
      <c r="C1547" s="59" t="str">
        <f t="shared" si="22"/>
        <v/>
      </c>
      <c r="D1547" s="45" t="str">
        <f t="shared" si="23"/>
        <v/>
      </c>
      <c r="E1547" s="45" t="str">
        <f t="shared" si="24"/>
        <v/>
      </c>
      <c r="F1547" s="59" t="str">
        <f t="shared" si="25"/>
        <v/>
      </c>
      <c r="G1547" s="59" t="str">
        <f t="shared" si="26"/>
        <v/>
      </c>
      <c r="H1547" s="59" t="str">
        <f t="shared" si="27"/>
        <v>Cát nghiền</v>
      </c>
      <c r="I1547" s="59" t="str">
        <f>IF(OR($A1547="",$C1547="",$D1547="",$E1547="",$H1547=""),"",SUMIFS(DATA_GOC!$H:$H,DATA_GOC!$A:$A,"BOM",DATA_GOC!$D:$D,$H1547,DATA_GOC!$E:$E,$C1547,DATA_GOC!$F:$F,"Xuất nội bộ từ téc",DATA_GOC!$B:$B,"&gt;="&amp;$D1547,DATA_GOC!$B:$B,"&lt;="&amp;$E1547))</f>
        <v/>
      </c>
      <c r="J1547" s="59">
        <f t="shared" si="28"/>
        <v>0</v>
      </c>
      <c r="K1547" s="59">
        <f t="shared" si="29"/>
        <v>0</v>
      </c>
      <c r="L1547" s="59">
        <f t="shared" si="30"/>
        <v>0</v>
      </c>
      <c r="M1547" s="59">
        <f t="shared" si="31"/>
        <v>0</v>
      </c>
    </row>
    <row r="1548" ht="15.0" hidden="1" customHeight="1">
      <c r="A1548" s="59">
        <f t="shared" si="20"/>
        <v>22</v>
      </c>
      <c r="B1548" s="59" t="str">
        <f t="shared" si="21"/>
        <v/>
      </c>
      <c r="C1548" s="59" t="str">
        <f t="shared" si="22"/>
        <v/>
      </c>
      <c r="D1548" s="45" t="str">
        <f t="shared" si="23"/>
        <v/>
      </c>
      <c r="E1548" s="45" t="str">
        <f t="shared" si="24"/>
        <v/>
      </c>
      <c r="F1548" s="59" t="str">
        <f t="shared" si="25"/>
        <v/>
      </c>
      <c r="G1548" s="59" t="str">
        <f t="shared" si="26"/>
        <v/>
      </c>
      <c r="H1548" s="59" t="str">
        <f t="shared" si="27"/>
        <v>28C02973</v>
      </c>
      <c r="I1548" s="59" t="str">
        <f>IF(OR($A1548="",$C1548="",$D1548="",$E1548="",$H1548=""),"",SUMIFS(DATA_GOC!$H:$H,DATA_GOC!$A:$A,"BOM",DATA_GOC!$D:$D,$H1548,DATA_GOC!$E:$E,$C1548,DATA_GOC!$F:$F,"Xuất nội bộ từ téc",DATA_GOC!$B:$B,"&gt;="&amp;$D1548,DATA_GOC!$B:$B,"&lt;="&amp;$E1548))</f>
        <v/>
      </c>
      <c r="J1548" s="59">
        <f t="shared" si="28"/>
        <v>0</v>
      </c>
      <c r="K1548" s="59">
        <f t="shared" si="29"/>
        <v>0</v>
      </c>
      <c r="L1548" s="59">
        <f t="shared" si="30"/>
        <v>0</v>
      </c>
      <c r="M1548" s="59">
        <f t="shared" si="31"/>
        <v>0</v>
      </c>
    </row>
    <row r="1549" ht="15.0" hidden="1" customHeight="1">
      <c r="A1549" s="59">
        <f t="shared" si="20"/>
        <v>22</v>
      </c>
      <c r="B1549" s="59" t="str">
        <f t="shared" si="21"/>
        <v/>
      </c>
      <c r="C1549" s="59" t="str">
        <f t="shared" si="22"/>
        <v/>
      </c>
      <c r="D1549" s="45" t="str">
        <f t="shared" si="23"/>
        <v/>
      </c>
      <c r="E1549" s="45" t="str">
        <f t="shared" si="24"/>
        <v/>
      </c>
      <c r="F1549" s="59" t="str">
        <f t="shared" si="25"/>
        <v/>
      </c>
      <c r="G1549" s="59" t="str">
        <f t="shared" si="26"/>
        <v/>
      </c>
      <c r="H1549" s="59" t="str">
        <f t="shared" si="27"/>
        <v>28C03044</v>
      </c>
      <c r="I1549" s="59" t="str">
        <f>IF(OR($A1549="",$C1549="",$D1549="",$E1549="",$H1549=""),"",SUMIFS(DATA_GOC!$H:$H,DATA_GOC!$A:$A,"BOM",DATA_GOC!$D:$D,$H1549,DATA_GOC!$E:$E,$C1549,DATA_GOC!$F:$F,"Xuất nội bộ từ téc",DATA_GOC!$B:$B,"&gt;="&amp;$D1549,DATA_GOC!$B:$B,"&lt;="&amp;$E1549))</f>
        <v/>
      </c>
      <c r="J1549" s="59">
        <f t="shared" si="28"/>
        <v>0</v>
      </c>
      <c r="K1549" s="59">
        <f t="shared" si="29"/>
        <v>0</v>
      </c>
      <c r="L1549" s="59">
        <f t="shared" si="30"/>
        <v>0</v>
      </c>
      <c r="M1549" s="59">
        <f t="shared" si="31"/>
        <v>0</v>
      </c>
    </row>
    <row r="1550" ht="15.0" hidden="1" customHeight="1">
      <c r="A1550" s="59">
        <f t="shared" si="20"/>
        <v>22</v>
      </c>
      <c r="B1550" s="59" t="str">
        <f t="shared" si="21"/>
        <v/>
      </c>
      <c r="C1550" s="59" t="str">
        <f t="shared" si="22"/>
        <v/>
      </c>
      <c r="D1550" s="45" t="str">
        <f t="shared" si="23"/>
        <v/>
      </c>
      <c r="E1550" s="45" t="str">
        <f t="shared" si="24"/>
        <v/>
      </c>
      <c r="F1550" s="59" t="str">
        <f t="shared" si="25"/>
        <v/>
      </c>
      <c r="G1550" s="59" t="str">
        <f t="shared" si="26"/>
        <v/>
      </c>
      <c r="H1550" s="59" t="str">
        <f t="shared" si="27"/>
        <v>Máy lu lốp</v>
      </c>
      <c r="I1550" s="59" t="str">
        <f>IF(OR($A1550="",$C1550="",$D1550="",$E1550="",$H1550=""),"",SUMIFS(DATA_GOC!$H:$H,DATA_GOC!$A:$A,"BOM",DATA_GOC!$D:$D,$H1550,DATA_GOC!$E:$E,$C1550,DATA_GOC!$F:$F,"Xuất nội bộ từ téc",DATA_GOC!$B:$B,"&gt;="&amp;$D1550,DATA_GOC!$B:$B,"&lt;="&amp;$E1550))</f>
        <v/>
      </c>
      <c r="J1550" s="59">
        <f t="shared" si="28"/>
        <v>0</v>
      </c>
      <c r="K1550" s="59">
        <f t="shared" si="29"/>
        <v>0</v>
      </c>
      <c r="L1550" s="59">
        <f t="shared" si="30"/>
        <v>0</v>
      </c>
      <c r="M1550" s="59">
        <f t="shared" si="31"/>
        <v>0</v>
      </c>
    </row>
    <row r="1551" ht="15.0" hidden="1" customHeight="1">
      <c r="A1551" s="59">
        <f t="shared" si="20"/>
        <v>22</v>
      </c>
      <c r="B1551" s="59" t="str">
        <f t="shared" si="21"/>
        <v/>
      </c>
      <c r="C1551" s="59" t="str">
        <f t="shared" si="22"/>
        <v/>
      </c>
      <c r="D1551" s="45" t="str">
        <f t="shared" si="23"/>
        <v/>
      </c>
      <c r="E1551" s="45" t="str">
        <f t="shared" si="24"/>
        <v/>
      </c>
      <c r="F1551" s="59" t="str">
        <f t="shared" si="25"/>
        <v/>
      </c>
      <c r="G1551" s="59" t="str">
        <f t="shared" si="26"/>
        <v/>
      </c>
      <c r="H1551" s="59" t="str">
        <f t="shared" si="27"/>
        <v>Xe 600148</v>
      </c>
      <c r="I1551" s="59" t="str">
        <f>IF(OR($A1551="",$C1551="",$D1551="",$E1551="",$H1551=""),"",SUMIFS(DATA_GOC!$H:$H,DATA_GOC!$A:$A,"BOM",DATA_GOC!$D:$D,$H1551,DATA_GOC!$E:$E,$C1551,DATA_GOC!$F:$F,"Xuất nội bộ từ téc",DATA_GOC!$B:$B,"&gt;="&amp;$D1551,DATA_GOC!$B:$B,"&lt;="&amp;$E1551))</f>
        <v/>
      </c>
      <c r="J1551" s="59">
        <f t="shared" si="28"/>
        <v>0</v>
      </c>
      <c r="K1551" s="59">
        <f t="shared" si="29"/>
        <v>0</v>
      </c>
      <c r="L1551" s="59">
        <f t="shared" si="30"/>
        <v>0</v>
      </c>
      <c r="M1551" s="59">
        <f t="shared" si="31"/>
        <v>0</v>
      </c>
    </row>
    <row r="1552" ht="15.0" hidden="1" customHeight="1">
      <c r="A1552" s="59">
        <f t="shared" si="20"/>
        <v>22</v>
      </c>
      <c r="B1552" s="59" t="str">
        <f t="shared" si="21"/>
        <v/>
      </c>
      <c r="C1552" s="59" t="str">
        <f t="shared" si="22"/>
        <v/>
      </c>
      <c r="D1552" s="45" t="str">
        <f t="shared" si="23"/>
        <v/>
      </c>
      <c r="E1552" s="45" t="str">
        <f t="shared" si="24"/>
        <v/>
      </c>
      <c r="F1552" s="59" t="str">
        <f t="shared" si="25"/>
        <v/>
      </c>
      <c r="G1552" s="59" t="str">
        <f t="shared" si="26"/>
        <v/>
      </c>
      <c r="H1552" s="59" t="str">
        <f t="shared" si="27"/>
        <v>Xe ben mới</v>
      </c>
      <c r="I1552" s="59" t="str">
        <f>IF(OR($A1552="",$C1552="",$D1552="",$E1552="",$H1552=""),"",SUMIFS(DATA_GOC!$H:$H,DATA_GOC!$A:$A,"BOM",DATA_GOC!$D:$D,$H1552,DATA_GOC!$E:$E,$C1552,DATA_GOC!$F:$F,"Xuất nội bộ từ téc",DATA_GOC!$B:$B,"&gt;="&amp;$D1552,DATA_GOC!$B:$B,"&lt;="&amp;$E1552))</f>
        <v/>
      </c>
      <c r="J1552" s="59">
        <f t="shared" si="28"/>
        <v>0</v>
      </c>
      <c r="K1552" s="59">
        <f t="shared" si="29"/>
        <v>0</v>
      </c>
      <c r="L1552" s="59">
        <f t="shared" si="30"/>
        <v>0</v>
      </c>
      <c r="M1552" s="59">
        <f t="shared" si="31"/>
        <v>0</v>
      </c>
    </row>
    <row r="1553" ht="15.0" hidden="1" customHeight="1">
      <c r="A1553" s="59">
        <f t="shared" si="20"/>
        <v>23</v>
      </c>
      <c r="B1553" s="59" t="str">
        <f t="shared" si="21"/>
        <v/>
      </c>
      <c r="C1553" s="59" t="str">
        <f t="shared" si="22"/>
        <v/>
      </c>
      <c r="D1553" s="45" t="str">
        <f t="shared" si="23"/>
        <v/>
      </c>
      <c r="E1553" s="45" t="str">
        <f t="shared" si="24"/>
        <v/>
      </c>
      <c r="F1553" s="59" t="str">
        <f t="shared" si="25"/>
        <v/>
      </c>
      <c r="G1553" s="59" t="str">
        <f t="shared" si="26"/>
        <v/>
      </c>
      <c r="H1553" s="59" t="str">
        <f t="shared" si="27"/>
        <v>19H09482</v>
      </c>
      <c r="I1553" s="59" t="str">
        <f>IF(OR($A1553="",$C1553="",$D1553="",$E1553="",$H1553=""),"",SUMIFS(DATA_GOC!$H:$H,DATA_GOC!$A:$A,"BOM",DATA_GOC!$D:$D,$H1553,DATA_GOC!$E:$E,$C1553,DATA_GOC!$F:$F,"Xuất nội bộ từ téc",DATA_GOC!$B:$B,"&gt;="&amp;$D1553,DATA_GOC!$B:$B,"&lt;="&amp;$E1553))</f>
        <v/>
      </c>
      <c r="J1553" s="59">
        <f t="shared" si="28"/>
        <v>0</v>
      </c>
      <c r="K1553" s="59">
        <f t="shared" si="29"/>
        <v>0</v>
      </c>
      <c r="L1553" s="59">
        <f t="shared" si="30"/>
        <v>0</v>
      </c>
      <c r="M1553" s="59">
        <f t="shared" si="31"/>
        <v>0</v>
      </c>
    </row>
    <row r="1554" ht="15.0" hidden="1" customHeight="1">
      <c r="A1554" s="59">
        <f t="shared" si="20"/>
        <v>23</v>
      </c>
      <c r="B1554" s="59" t="str">
        <f t="shared" si="21"/>
        <v/>
      </c>
      <c r="C1554" s="59" t="str">
        <f t="shared" si="22"/>
        <v/>
      </c>
      <c r="D1554" s="45" t="str">
        <f t="shared" si="23"/>
        <v/>
      </c>
      <c r="E1554" s="45" t="str">
        <f t="shared" si="24"/>
        <v/>
      </c>
      <c r="F1554" s="59" t="str">
        <f t="shared" si="25"/>
        <v/>
      </c>
      <c r="G1554" s="59" t="str">
        <f t="shared" si="26"/>
        <v/>
      </c>
      <c r="H1554" s="59" t="str">
        <f t="shared" si="27"/>
        <v>28A30696</v>
      </c>
      <c r="I1554" s="59" t="str">
        <f>IF(OR($A1554="",$C1554="",$D1554="",$E1554="",$H1554=""),"",SUMIFS(DATA_GOC!$H:$H,DATA_GOC!$A:$A,"BOM",DATA_GOC!$D:$D,$H1554,DATA_GOC!$E:$E,$C1554,DATA_GOC!$F:$F,"Xuất nội bộ từ téc",DATA_GOC!$B:$B,"&gt;="&amp;$D1554,DATA_GOC!$B:$B,"&lt;="&amp;$E1554))</f>
        <v/>
      </c>
      <c r="J1554" s="59">
        <f t="shared" si="28"/>
        <v>0</v>
      </c>
      <c r="K1554" s="59">
        <f t="shared" si="29"/>
        <v>0</v>
      </c>
      <c r="L1554" s="59">
        <f t="shared" si="30"/>
        <v>0</v>
      </c>
      <c r="M1554" s="59">
        <f t="shared" si="31"/>
        <v>0</v>
      </c>
    </row>
    <row r="1555" ht="15.0" hidden="1" customHeight="1">
      <c r="A1555" s="59">
        <f t="shared" si="20"/>
        <v>23</v>
      </c>
      <c r="B1555" s="59" t="str">
        <f t="shared" si="21"/>
        <v/>
      </c>
      <c r="C1555" s="59" t="str">
        <f t="shared" si="22"/>
        <v/>
      </c>
      <c r="D1555" s="45" t="str">
        <f t="shared" si="23"/>
        <v/>
      </c>
      <c r="E1555" s="45" t="str">
        <f t="shared" si="24"/>
        <v/>
      </c>
      <c r="F1555" s="59" t="str">
        <f t="shared" si="25"/>
        <v/>
      </c>
      <c r="G1555" s="59" t="str">
        <f t="shared" si="26"/>
        <v/>
      </c>
      <c r="H1555" s="59" t="str">
        <f t="shared" si="27"/>
        <v>28C00462</v>
      </c>
      <c r="I1555" s="59" t="str">
        <f>IF(OR($A1555="",$C1555="",$D1555="",$E1555="",$H1555=""),"",SUMIFS(DATA_GOC!$H:$H,DATA_GOC!$A:$A,"BOM",DATA_GOC!$D:$D,$H1555,DATA_GOC!$E:$E,$C1555,DATA_GOC!$F:$F,"Xuất nội bộ từ téc",DATA_GOC!$B:$B,"&gt;="&amp;$D1555,DATA_GOC!$B:$B,"&lt;="&amp;$E1555))</f>
        <v/>
      </c>
      <c r="J1555" s="59">
        <f t="shared" si="28"/>
        <v>0</v>
      </c>
      <c r="K1555" s="59">
        <f t="shared" si="29"/>
        <v>0</v>
      </c>
      <c r="L1555" s="59">
        <f t="shared" si="30"/>
        <v>0</v>
      </c>
      <c r="M1555" s="59">
        <f t="shared" si="31"/>
        <v>0</v>
      </c>
    </row>
    <row r="1556" ht="15.0" hidden="1" customHeight="1">
      <c r="A1556" s="59">
        <f t="shared" si="20"/>
        <v>23</v>
      </c>
      <c r="B1556" s="59" t="str">
        <f t="shared" si="21"/>
        <v/>
      </c>
      <c r="C1556" s="59" t="str">
        <f t="shared" si="22"/>
        <v/>
      </c>
      <c r="D1556" s="45" t="str">
        <f t="shared" si="23"/>
        <v/>
      </c>
      <c r="E1556" s="45" t="str">
        <f t="shared" si="24"/>
        <v/>
      </c>
      <c r="F1556" s="59" t="str">
        <f t="shared" si="25"/>
        <v/>
      </c>
      <c r="G1556" s="59" t="str">
        <f t="shared" si="26"/>
        <v/>
      </c>
      <c r="H1556" s="59" t="str">
        <f t="shared" si="27"/>
        <v>28C01165</v>
      </c>
      <c r="I1556" s="59" t="str">
        <f>IF(OR($A1556="",$C1556="",$D1556="",$E1556="",$H1556=""),"",SUMIFS(DATA_GOC!$H:$H,DATA_GOC!$A:$A,"BOM",DATA_GOC!$D:$D,$H1556,DATA_GOC!$E:$E,$C1556,DATA_GOC!$F:$F,"Xuất nội bộ từ téc",DATA_GOC!$B:$B,"&gt;="&amp;$D1556,DATA_GOC!$B:$B,"&lt;="&amp;$E1556))</f>
        <v/>
      </c>
      <c r="J1556" s="59">
        <f t="shared" si="28"/>
        <v>0</v>
      </c>
      <c r="K1556" s="59">
        <f t="shared" si="29"/>
        <v>0</v>
      </c>
      <c r="L1556" s="59">
        <f t="shared" si="30"/>
        <v>0</v>
      </c>
      <c r="M1556" s="59">
        <f t="shared" si="31"/>
        <v>0</v>
      </c>
    </row>
    <row r="1557" ht="15.0" hidden="1" customHeight="1">
      <c r="A1557" s="59">
        <f t="shared" si="20"/>
        <v>23</v>
      </c>
      <c r="B1557" s="59" t="str">
        <f t="shared" si="21"/>
        <v/>
      </c>
      <c r="C1557" s="59" t="str">
        <f t="shared" si="22"/>
        <v/>
      </c>
      <c r="D1557" s="45" t="str">
        <f t="shared" si="23"/>
        <v/>
      </c>
      <c r="E1557" s="45" t="str">
        <f t="shared" si="24"/>
        <v/>
      </c>
      <c r="F1557" s="59" t="str">
        <f t="shared" si="25"/>
        <v/>
      </c>
      <c r="G1557" s="59" t="str">
        <f t="shared" si="26"/>
        <v/>
      </c>
      <c r="H1557" s="59" t="str">
        <f t="shared" si="27"/>
        <v>28C01406</v>
      </c>
      <c r="I1557" s="59" t="str">
        <f>IF(OR($A1557="",$C1557="",$D1557="",$E1557="",$H1557=""),"",SUMIFS(DATA_GOC!$H:$H,DATA_GOC!$A:$A,"BOM",DATA_GOC!$D:$D,$H1557,DATA_GOC!$E:$E,$C1557,DATA_GOC!$F:$F,"Xuất nội bộ từ téc",DATA_GOC!$B:$B,"&gt;="&amp;$D1557,DATA_GOC!$B:$B,"&lt;="&amp;$E1557))</f>
        <v/>
      </c>
      <c r="J1557" s="59">
        <f t="shared" si="28"/>
        <v>0</v>
      </c>
      <c r="K1557" s="59">
        <f t="shared" si="29"/>
        <v>0</v>
      </c>
      <c r="L1557" s="59">
        <f t="shared" si="30"/>
        <v>0</v>
      </c>
      <c r="M1557" s="59">
        <f t="shared" si="31"/>
        <v>0</v>
      </c>
    </row>
    <row r="1558" ht="15.0" hidden="1" customHeight="1">
      <c r="A1558" s="59">
        <f t="shared" si="20"/>
        <v>23</v>
      </c>
      <c r="B1558" s="59" t="str">
        <f t="shared" si="21"/>
        <v/>
      </c>
      <c r="C1558" s="59" t="str">
        <f t="shared" si="22"/>
        <v/>
      </c>
      <c r="D1558" s="45" t="str">
        <f t="shared" si="23"/>
        <v/>
      </c>
      <c r="E1558" s="45" t="str">
        <f t="shared" si="24"/>
        <v/>
      </c>
      <c r="F1558" s="59" t="str">
        <f t="shared" si="25"/>
        <v/>
      </c>
      <c r="G1558" s="59" t="str">
        <f t="shared" si="26"/>
        <v/>
      </c>
      <c r="H1558" s="59" t="str">
        <f t="shared" si="27"/>
        <v>28C01544</v>
      </c>
      <c r="I1558" s="59" t="str">
        <f>IF(OR($A1558="",$C1558="",$D1558="",$E1558="",$H1558=""),"",SUMIFS(DATA_GOC!$H:$H,DATA_GOC!$A:$A,"BOM",DATA_GOC!$D:$D,$H1558,DATA_GOC!$E:$E,$C1558,DATA_GOC!$F:$F,"Xuất nội bộ từ téc",DATA_GOC!$B:$B,"&gt;="&amp;$D1558,DATA_GOC!$B:$B,"&lt;="&amp;$E1558))</f>
        <v/>
      </c>
      <c r="J1558" s="59">
        <f t="shared" si="28"/>
        <v>0</v>
      </c>
      <c r="K1558" s="59">
        <f t="shared" si="29"/>
        <v>0</v>
      </c>
      <c r="L1558" s="59">
        <f t="shared" si="30"/>
        <v>0</v>
      </c>
      <c r="M1558" s="59">
        <f t="shared" si="31"/>
        <v>0</v>
      </c>
    </row>
    <row r="1559" ht="15.0" hidden="1" customHeight="1">
      <c r="A1559" s="59">
        <f t="shared" si="20"/>
        <v>23</v>
      </c>
      <c r="B1559" s="59" t="str">
        <f t="shared" si="21"/>
        <v/>
      </c>
      <c r="C1559" s="59" t="str">
        <f t="shared" si="22"/>
        <v/>
      </c>
      <c r="D1559" s="45" t="str">
        <f t="shared" si="23"/>
        <v/>
      </c>
      <c r="E1559" s="45" t="str">
        <f t="shared" si="24"/>
        <v/>
      </c>
      <c r="F1559" s="59" t="str">
        <f t="shared" si="25"/>
        <v/>
      </c>
      <c r="G1559" s="59" t="str">
        <f t="shared" si="26"/>
        <v/>
      </c>
      <c r="H1559" s="59" t="str">
        <f t="shared" si="27"/>
        <v>28C01622</v>
      </c>
      <c r="I1559" s="59" t="str">
        <f>IF(OR($A1559="",$C1559="",$D1559="",$E1559="",$H1559=""),"",SUMIFS(DATA_GOC!$H:$H,DATA_GOC!$A:$A,"BOM",DATA_GOC!$D:$D,$H1559,DATA_GOC!$E:$E,$C1559,DATA_GOC!$F:$F,"Xuất nội bộ từ téc",DATA_GOC!$B:$B,"&gt;="&amp;$D1559,DATA_GOC!$B:$B,"&lt;="&amp;$E1559))</f>
        <v/>
      </c>
      <c r="J1559" s="59">
        <f t="shared" si="28"/>
        <v>0</v>
      </c>
      <c r="K1559" s="59">
        <f t="shared" si="29"/>
        <v>0</v>
      </c>
      <c r="L1559" s="59">
        <f t="shared" si="30"/>
        <v>0</v>
      </c>
      <c r="M1559" s="59">
        <f t="shared" si="31"/>
        <v>0</v>
      </c>
    </row>
    <row r="1560" ht="15.0" hidden="1" customHeight="1">
      <c r="A1560" s="59">
        <f t="shared" si="20"/>
        <v>23</v>
      </c>
      <c r="B1560" s="59" t="str">
        <f t="shared" si="21"/>
        <v/>
      </c>
      <c r="C1560" s="59" t="str">
        <f t="shared" si="22"/>
        <v/>
      </c>
      <c r="D1560" s="45" t="str">
        <f t="shared" si="23"/>
        <v/>
      </c>
      <c r="E1560" s="45" t="str">
        <f t="shared" si="24"/>
        <v/>
      </c>
      <c r="F1560" s="59" t="str">
        <f t="shared" si="25"/>
        <v/>
      </c>
      <c r="G1560" s="59" t="str">
        <f t="shared" si="26"/>
        <v/>
      </c>
      <c r="H1560" s="59" t="str">
        <f t="shared" si="27"/>
        <v>28C01647</v>
      </c>
      <c r="I1560" s="59" t="str">
        <f>IF(OR($A1560="",$C1560="",$D1560="",$E1560="",$H1560=""),"",SUMIFS(DATA_GOC!$H:$H,DATA_GOC!$A:$A,"BOM",DATA_GOC!$D:$D,$H1560,DATA_GOC!$E:$E,$C1560,DATA_GOC!$F:$F,"Xuất nội bộ từ téc",DATA_GOC!$B:$B,"&gt;="&amp;$D1560,DATA_GOC!$B:$B,"&lt;="&amp;$E1560))</f>
        <v/>
      </c>
      <c r="J1560" s="59">
        <f t="shared" si="28"/>
        <v>0</v>
      </c>
      <c r="K1560" s="59">
        <f t="shared" si="29"/>
        <v>0</v>
      </c>
      <c r="L1560" s="59">
        <f t="shared" si="30"/>
        <v>0</v>
      </c>
      <c r="M1560" s="59">
        <f t="shared" si="31"/>
        <v>0</v>
      </c>
    </row>
    <row r="1561" ht="15.0" hidden="1" customHeight="1">
      <c r="A1561" s="59">
        <f t="shared" si="20"/>
        <v>23</v>
      </c>
      <c r="B1561" s="59" t="str">
        <f t="shared" si="21"/>
        <v/>
      </c>
      <c r="C1561" s="59" t="str">
        <f t="shared" si="22"/>
        <v/>
      </c>
      <c r="D1561" s="45" t="str">
        <f t="shared" si="23"/>
        <v/>
      </c>
      <c r="E1561" s="45" t="str">
        <f t="shared" si="24"/>
        <v/>
      </c>
      <c r="F1561" s="59" t="str">
        <f t="shared" si="25"/>
        <v/>
      </c>
      <c r="G1561" s="59" t="str">
        <f t="shared" si="26"/>
        <v/>
      </c>
      <c r="H1561" s="59" t="str">
        <f t="shared" si="27"/>
        <v>28C01731</v>
      </c>
      <c r="I1561" s="59" t="str">
        <f>IF(OR($A1561="",$C1561="",$D1561="",$E1561="",$H1561=""),"",SUMIFS(DATA_GOC!$H:$H,DATA_GOC!$A:$A,"BOM",DATA_GOC!$D:$D,$H1561,DATA_GOC!$E:$E,$C1561,DATA_GOC!$F:$F,"Xuất nội bộ từ téc",DATA_GOC!$B:$B,"&gt;="&amp;$D1561,DATA_GOC!$B:$B,"&lt;="&amp;$E1561))</f>
        <v/>
      </c>
      <c r="J1561" s="59">
        <f t="shared" si="28"/>
        <v>0</v>
      </c>
      <c r="K1561" s="59">
        <f t="shared" si="29"/>
        <v>0</v>
      </c>
      <c r="L1561" s="59">
        <f t="shared" si="30"/>
        <v>0</v>
      </c>
      <c r="M1561" s="59">
        <f t="shared" si="31"/>
        <v>0</v>
      </c>
    </row>
    <row r="1562" ht="15.0" hidden="1" customHeight="1">
      <c r="A1562" s="59">
        <f t="shared" si="20"/>
        <v>23</v>
      </c>
      <c r="B1562" s="59" t="str">
        <f t="shared" si="21"/>
        <v/>
      </c>
      <c r="C1562" s="59" t="str">
        <f t="shared" si="22"/>
        <v/>
      </c>
      <c r="D1562" s="45" t="str">
        <f t="shared" si="23"/>
        <v/>
      </c>
      <c r="E1562" s="45" t="str">
        <f t="shared" si="24"/>
        <v/>
      </c>
      <c r="F1562" s="59" t="str">
        <f t="shared" si="25"/>
        <v/>
      </c>
      <c r="G1562" s="59" t="str">
        <f t="shared" si="26"/>
        <v/>
      </c>
      <c r="H1562" s="59" t="str">
        <f t="shared" si="27"/>
        <v>28C01743</v>
      </c>
      <c r="I1562" s="59" t="str">
        <f>IF(OR($A1562="",$C1562="",$D1562="",$E1562="",$H1562=""),"",SUMIFS(DATA_GOC!$H:$H,DATA_GOC!$A:$A,"BOM",DATA_GOC!$D:$D,$H1562,DATA_GOC!$E:$E,$C1562,DATA_GOC!$F:$F,"Xuất nội bộ từ téc",DATA_GOC!$B:$B,"&gt;="&amp;$D1562,DATA_GOC!$B:$B,"&lt;="&amp;$E1562))</f>
        <v/>
      </c>
      <c r="J1562" s="59">
        <f t="shared" si="28"/>
        <v>0</v>
      </c>
      <c r="K1562" s="59">
        <f t="shared" si="29"/>
        <v>0</v>
      </c>
      <c r="L1562" s="59">
        <f t="shared" si="30"/>
        <v>0</v>
      </c>
      <c r="M1562" s="59">
        <f t="shared" si="31"/>
        <v>0</v>
      </c>
    </row>
    <row r="1563" ht="15.0" hidden="1" customHeight="1">
      <c r="A1563" s="59">
        <f t="shared" si="20"/>
        <v>23</v>
      </c>
      <c r="B1563" s="59" t="str">
        <f t="shared" si="21"/>
        <v/>
      </c>
      <c r="C1563" s="59" t="str">
        <f t="shared" si="22"/>
        <v/>
      </c>
      <c r="D1563" s="45" t="str">
        <f t="shared" si="23"/>
        <v/>
      </c>
      <c r="E1563" s="45" t="str">
        <f t="shared" si="24"/>
        <v/>
      </c>
      <c r="F1563" s="59" t="str">
        <f t="shared" si="25"/>
        <v/>
      </c>
      <c r="G1563" s="59" t="str">
        <f t="shared" si="26"/>
        <v/>
      </c>
      <c r="H1563" s="59" t="str">
        <f t="shared" si="27"/>
        <v>28C02106</v>
      </c>
      <c r="I1563" s="59" t="str">
        <f>IF(OR($A1563="",$C1563="",$D1563="",$E1563="",$H1563=""),"",SUMIFS(DATA_GOC!$H:$H,DATA_GOC!$A:$A,"BOM",DATA_GOC!$D:$D,$H1563,DATA_GOC!$E:$E,$C1563,DATA_GOC!$F:$F,"Xuất nội bộ từ téc",DATA_GOC!$B:$B,"&gt;="&amp;$D1563,DATA_GOC!$B:$B,"&lt;="&amp;$E1563))</f>
        <v/>
      </c>
      <c r="J1563" s="59">
        <f t="shared" si="28"/>
        <v>0</v>
      </c>
      <c r="K1563" s="59">
        <f t="shared" si="29"/>
        <v>0</v>
      </c>
      <c r="L1563" s="59">
        <f t="shared" si="30"/>
        <v>0</v>
      </c>
      <c r="M1563" s="59">
        <f t="shared" si="31"/>
        <v>0</v>
      </c>
    </row>
    <row r="1564" ht="15.0" hidden="1" customHeight="1">
      <c r="A1564" s="59">
        <f t="shared" si="20"/>
        <v>23</v>
      </c>
      <c r="B1564" s="59" t="str">
        <f t="shared" si="21"/>
        <v/>
      </c>
      <c r="C1564" s="59" t="str">
        <f t="shared" si="22"/>
        <v/>
      </c>
      <c r="D1564" s="45" t="str">
        <f t="shared" si="23"/>
        <v/>
      </c>
      <c r="E1564" s="45" t="str">
        <f t="shared" si="24"/>
        <v/>
      </c>
      <c r="F1564" s="59" t="str">
        <f t="shared" si="25"/>
        <v/>
      </c>
      <c r="G1564" s="59" t="str">
        <f t="shared" si="26"/>
        <v/>
      </c>
      <c r="H1564" s="59" t="str">
        <f t="shared" si="27"/>
        <v>28C02410</v>
      </c>
      <c r="I1564" s="59" t="str">
        <f>IF(OR($A1564="",$C1564="",$D1564="",$E1564="",$H1564=""),"",SUMIFS(DATA_GOC!$H:$H,DATA_GOC!$A:$A,"BOM",DATA_GOC!$D:$D,$H1564,DATA_GOC!$E:$E,$C1564,DATA_GOC!$F:$F,"Xuất nội bộ từ téc",DATA_GOC!$B:$B,"&gt;="&amp;$D1564,DATA_GOC!$B:$B,"&lt;="&amp;$E1564))</f>
        <v/>
      </c>
      <c r="J1564" s="59">
        <f t="shared" si="28"/>
        <v>0</v>
      </c>
      <c r="K1564" s="59">
        <f t="shared" si="29"/>
        <v>0</v>
      </c>
      <c r="L1564" s="59">
        <f t="shared" si="30"/>
        <v>0</v>
      </c>
      <c r="M1564" s="59">
        <f t="shared" si="31"/>
        <v>0</v>
      </c>
    </row>
    <row r="1565" ht="15.0" hidden="1" customHeight="1">
      <c r="A1565" s="59">
        <f t="shared" si="20"/>
        <v>23</v>
      </c>
      <c r="B1565" s="59" t="str">
        <f t="shared" si="21"/>
        <v/>
      </c>
      <c r="C1565" s="59" t="str">
        <f t="shared" si="22"/>
        <v/>
      </c>
      <c r="D1565" s="45" t="str">
        <f t="shared" si="23"/>
        <v/>
      </c>
      <c r="E1565" s="45" t="str">
        <f t="shared" si="24"/>
        <v/>
      </c>
      <c r="F1565" s="59" t="str">
        <f t="shared" si="25"/>
        <v/>
      </c>
      <c r="G1565" s="59" t="str">
        <f t="shared" si="26"/>
        <v/>
      </c>
      <c r="H1565" s="59" t="str">
        <f t="shared" si="27"/>
        <v>28C02545</v>
      </c>
      <c r="I1565" s="59" t="str">
        <f>IF(OR($A1565="",$C1565="",$D1565="",$E1565="",$H1565=""),"",SUMIFS(DATA_GOC!$H:$H,DATA_GOC!$A:$A,"BOM",DATA_GOC!$D:$D,$H1565,DATA_GOC!$E:$E,$C1565,DATA_GOC!$F:$F,"Xuất nội bộ từ téc",DATA_GOC!$B:$B,"&gt;="&amp;$D1565,DATA_GOC!$B:$B,"&lt;="&amp;$E1565))</f>
        <v/>
      </c>
      <c r="J1565" s="59">
        <f t="shared" si="28"/>
        <v>0</v>
      </c>
      <c r="K1565" s="59">
        <f t="shared" si="29"/>
        <v>0</v>
      </c>
      <c r="L1565" s="59">
        <f t="shared" si="30"/>
        <v>0</v>
      </c>
      <c r="M1565" s="59">
        <f t="shared" si="31"/>
        <v>0</v>
      </c>
    </row>
    <row r="1566" ht="15.0" hidden="1" customHeight="1">
      <c r="A1566" s="59">
        <f t="shared" si="20"/>
        <v>23</v>
      </c>
      <c r="B1566" s="59" t="str">
        <f t="shared" si="21"/>
        <v/>
      </c>
      <c r="C1566" s="59" t="str">
        <f t="shared" si="22"/>
        <v/>
      </c>
      <c r="D1566" s="45" t="str">
        <f t="shared" si="23"/>
        <v/>
      </c>
      <c r="E1566" s="45" t="str">
        <f t="shared" si="24"/>
        <v/>
      </c>
      <c r="F1566" s="59" t="str">
        <f t="shared" si="25"/>
        <v/>
      </c>
      <c r="G1566" s="59" t="str">
        <f t="shared" si="26"/>
        <v/>
      </c>
      <c r="H1566" s="59" t="str">
        <f t="shared" si="27"/>
        <v>28C02574</v>
      </c>
      <c r="I1566" s="59" t="str">
        <f>IF(OR($A1566="",$C1566="",$D1566="",$E1566="",$H1566=""),"",SUMIFS(DATA_GOC!$H:$H,DATA_GOC!$A:$A,"BOM",DATA_GOC!$D:$D,$H1566,DATA_GOC!$E:$E,$C1566,DATA_GOC!$F:$F,"Xuất nội bộ từ téc",DATA_GOC!$B:$B,"&gt;="&amp;$D1566,DATA_GOC!$B:$B,"&lt;="&amp;$E1566))</f>
        <v/>
      </c>
      <c r="J1566" s="59">
        <f t="shared" si="28"/>
        <v>0</v>
      </c>
      <c r="K1566" s="59">
        <f t="shared" si="29"/>
        <v>0</v>
      </c>
      <c r="L1566" s="59">
        <f t="shared" si="30"/>
        <v>0</v>
      </c>
      <c r="M1566" s="59">
        <f t="shared" si="31"/>
        <v>0</v>
      </c>
    </row>
    <row r="1567" ht="15.0" hidden="1" customHeight="1">
      <c r="A1567" s="59">
        <f t="shared" si="20"/>
        <v>23</v>
      </c>
      <c r="B1567" s="59" t="str">
        <f t="shared" si="21"/>
        <v/>
      </c>
      <c r="C1567" s="59" t="str">
        <f t="shared" si="22"/>
        <v/>
      </c>
      <c r="D1567" s="45" t="str">
        <f t="shared" si="23"/>
        <v/>
      </c>
      <c r="E1567" s="45" t="str">
        <f t="shared" si="24"/>
        <v/>
      </c>
      <c r="F1567" s="59" t="str">
        <f t="shared" si="25"/>
        <v/>
      </c>
      <c r="G1567" s="59" t="str">
        <f t="shared" si="26"/>
        <v/>
      </c>
      <c r="H1567" s="59" t="str">
        <f t="shared" si="27"/>
        <v>28C02770</v>
      </c>
      <c r="I1567" s="59" t="str">
        <f>IF(OR($A1567="",$C1567="",$D1567="",$E1567="",$H1567=""),"",SUMIFS(DATA_GOC!$H:$H,DATA_GOC!$A:$A,"BOM",DATA_GOC!$D:$D,$H1567,DATA_GOC!$E:$E,$C1567,DATA_GOC!$F:$F,"Xuất nội bộ từ téc",DATA_GOC!$B:$B,"&gt;="&amp;$D1567,DATA_GOC!$B:$B,"&lt;="&amp;$E1567))</f>
        <v/>
      </c>
      <c r="J1567" s="59">
        <f t="shared" si="28"/>
        <v>0</v>
      </c>
      <c r="K1567" s="59">
        <f t="shared" si="29"/>
        <v>0</v>
      </c>
      <c r="L1567" s="59">
        <f t="shared" si="30"/>
        <v>0</v>
      </c>
      <c r="M1567" s="59">
        <f t="shared" si="31"/>
        <v>0</v>
      </c>
    </row>
    <row r="1568" ht="15.0" hidden="1" customHeight="1">
      <c r="A1568" s="59">
        <f t="shared" si="20"/>
        <v>23</v>
      </c>
      <c r="B1568" s="59" t="str">
        <f t="shared" si="21"/>
        <v/>
      </c>
      <c r="C1568" s="59" t="str">
        <f t="shared" si="22"/>
        <v/>
      </c>
      <c r="D1568" s="45" t="str">
        <f t="shared" si="23"/>
        <v/>
      </c>
      <c r="E1568" s="45" t="str">
        <f t="shared" si="24"/>
        <v/>
      </c>
      <c r="F1568" s="59" t="str">
        <f t="shared" si="25"/>
        <v/>
      </c>
      <c r="G1568" s="59" t="str">
        <f t="shared" si="26"/>
        <v/>
      </c>
      <c r="H1568" s="59" t="str">
        <f t="shared" si="27"/>
        <v>28C02986</v>
      </c>
      <c r="I1568" s="59" t="str">
        <f>IF(OR($A1568="",$C1568="",$D1568="",$E1568="",$H1568=""),"",SUMIFS(DATA_GOC!$H:$H,DATA_GOC!$A:$A,"BOM",DATA_GOC!$D:$D,$H1568,DATA_GOC!$E:$E,$C1568,DATA_GOC!$F:$F,"Xuất nội bộ từ téc",DATA_GOC!$B:$B,"&gt;="&amp;$D1568,DATA_GOC!$B:$B,"&lt;="&amp;$E1568))</f>
        <v/>
      </c>
      <c r="J1568" s="59">
        <f t="shared" si="28"/>
        <v>0</v>
      </c>
      <c r="K1568" s="59">
        <f t="shared" si="29"/>
        <v>0</v>
      </c>
      <c r="L1568" s="59">
        <f t="shared" si="30"/>
        <v>0</v>
      </c>
      <c r="M1568" s="59">
        <f t="shared" si="31"/>
        <v>0</v>
      </c>
    </row>
    <row r="1569" ht="15.0" hidden="1" customHeight="1">
      <c r="A1569" s="59">
        <f t="shared" si="20"/>
        <v>23</v>
      </c>
      <c r="B1569" s="59" t="str">
        <f t="shared" si="21"/>
        <v/>
      </c>
      <c r="C1569" s="59" t="str">
        <f t="shared" si="22"/>
        <v/>
      </c>
      <c r="D1569" s="45" t="str">
        <f t="shared" si="23"/>
        <v/>
      </c>
      <c r="E1569" s="45" t="str">
        <f t="shared" si="24"/>
        <v/>
      </c>
      <c r="F1569" s="59" t="str">
        <f t="shared" si="25"/>
        <v/>
      </c>
      <c r="G1569" s="59" t="str">
        <f t="shared" si="26"/>
        <v/>
      </c>
      <c r="H1569" s="59" t="str">
        <f t="shared" si="27"/>
        <v>28C03261</v>
      </c>
      <c r="I1569" s="59" t="str">
        <f>IF(OR($A1569="",$C1569="",$D1569="",$E1569="",$H1569=""),"",SUMIFS(DATA_GOC!$H:$H,DATA_GOC!$A:$A,"BOM",DATA_GOC!$D:$D,$H1569,DATA_GOC!$E:$E,$C1569,DATA_GOC!$F:$F,"Xuất nội bộ từ téc",DATA_GOC!$B:$B,"&gt;="&amp;$D1569,DATA_GOC!$B:$B,"&lt;="&amp;$E1569))</f>
        <v/>
      </c>
      <c r="J1569" s="59">
        <f t="shared" si="28"/>
        <v>0</v>
      </c>
      <c r="K1569" s="59">
        <f t="shared" si="29"/>
        <v>0</v>
      </c>
      <c r="L1569" s="59">
        <f t="shared" si="30"/>
        <v>0</v>
      </c>
      <c r="M1569" s="59">
        <f t="shared" si="31"/>
        <v>0</v>
      </c>
    </row>
    <row r="1570" ht="15.0" hidden="1" customHeight="1">
      <c r="A1570" s="59">
        <f t="shared" si="20"/>
        <v>23</v>
      </c>
      <c r="B1570" s="59" t="str">
        <f t="shared" si="21"/>
        <v/>
      </c>
      <c r="C1570" s="59" t="str">
        <f t="shared" si="22"/>
        <v/>
      </c>
      <c r="D1570" s="45" t="str">
        <f t="shared" si="23"/>
        <v/>
      </c>
      <c r="E1570" s="45" t="str">
        <f t="shared" si="24"/>
        <v/>
      </c>
      <c r="F1570" s="59" t="str">
        <f t="shared" si="25"/>
        <v/>
      </c>
      <c r="G1570" s="59" t="str">
        <f t="shared" si="26"/>
        <v/>
      </c>
      <c r="H1570" s="59" t="str">
        <f t="shared" si="27"/>
        <v>28C03323</v>
      </c>
      <c r="I1570" s="59" t="str">
        <f>IF(OR($A1570="",$C1570="",$D1570="",$E1570="",$H1570=""),"",SUMIFS(DATA_GOC!$H:$H,DATA_GOC!$A:$A,"BOM",DATA_GOC!$D:$D,$H1570,DATA_GOC!$E:$E,$C1570,DATA_GOC!$F:$F,"Xuất nội bộ từ téc",DATA_GOC!$B:$B,"&gt;="&amp;$D1570,DATA_GOC!$B:$B,"&lt;="&amp;$E1570))</f>
        <v/>
      </c>
      <c r="J1570" s="59">
        <f t="shared" si="28"/>
        <v>0</v>
      </c>
      <c r="K1570" s="59">
        <f t="shared" si="29"/>
        <v>0</v>
      </c>
      <c r="L1570" s="59">
        <f t="shared" si="30"/>
        <v>0</v>
      </c>
      <c r="M1570" s="59">
        <f t="shared" si="31"/>
        <v>0</v>
      </c>
    </row>
    <row r="1571" ht="15.0" hidden="1" customHeight="1">
      <c r="A1571" s="59">
        <f t="shared" si="20"/>
        <v>23</v>
      </c>
      <c r="B1571" s="59" t="str">
        <f t="shared" si="21"/>
        <v/>
      </c>
      <c r="C1571" s="59" t="str">
        <f t="shared" si="22"/>
        <v/>
      </c>
      <c r="D1571" s="45" t="str">
        <f t="shared" si="23"/>
        <v/>
      </c>
      <c r="E1571" s="45" t="str">
        <f t="shared" si="24"/>
        <v/>
      </c>
      <c r="F1571" s="59" t="str">
        <f t="shared" si="25"/>
        <v/>
      </c>
      <c r="G1571" s="59" t="str">
        <f t="shared" si="26"/>
        <v/>
      </c>
      <c r="H1571" s="59" t="str">
        <f t="shared" si="27"/>
        <v>28C03385</v>
      </c>
      <c r="I1571" s="59" t="str">
        <f>IF(OR($A1571="",$C1571="",$D1571="",$E1571="",$H1571=""),"",SUMIFS(DATA_GOC!$H:$H,DATA_GOC!$A:$A,"BOM",DATA_GOC!$D:$D,$H1571,DATA_GOC!$E:$E,$C1571,DATA_GOC!$F:$F,"Xuất nội bộ từ téc",DATA_GOC!$B:$B,"&gt;="&amp;$D1571,DATA_GOC!$B:$B,"&lt;="&amp;$E1571))</f>
        <v/>
      </c>
      <c r="J1571" s="59">
        <f t="shared" si="28"/>
        <v>0</v>
      </c>
      <c r="K1571" s="59">
        <f t="shared" si="29"/>
        <v>0</v>
      </c>
      <c r="L1571" s="59">
        <f t="shared" si="30"/>
        <v>0</v>
      </c>
      <c r="M1571" s="59">
        <f t="shared" si="31"/>
        <v>0</v>
      </c>
    </row>
    <row r="1572" ht="15.0" hidden="1" customHeight="1">
      <c r="A1572" s="59">
        <f t="shared" si="20"/>
        <v>23</v>
      </c>
      <c r="B1572" s="59" t="str">
        <f t="shared" si="21"/>
        <v/>
      </c>
      <c r="C1572" s="59" t="str">
        <f t="shared" si="22"/>
        <v/>
      </c>
      <c r="D1572" s="45" t="str">
        <f t="shared" si="23"/>
        <v/>
      </c>
      <c r="E1572" s="45" t="str">
        <f t="shared" si="24"/>
        <v/>
      </c>
      <c r="F1572" s="59" t="str">
        <f t="shared" si="25"/>
        <v/>
      </c>
      <c r="G1572" s="59" t="str">
        <f t="shared" si="26"/>
        <v/>
      </c>
      <c r="H1572" s="59" t="str">
        <f t="shared" si="27"/>
        <v>28C03652</v>
      </c>
      <c r="I1572" s="59" t="str">
        <f>IF(OR($A1572="",$C1572="",$D1572="",$E1572="",$H1572=""),"",SUMIFS(DATA_GOC!$H:$H,DATA_GOC!$A:$A,"BOM",DATA_GOC!$D:$D,$H1572,DATA_GOC!$E:$E,$C1572,DATA_GOC!$F:$F,"Xuất nội bộ từ téc",DATA_GOC!$B:$B,"&gt;="&amp;$D1572,DATA_GOC!$B:$B,"&lt;="&amp;$E1572))</f>
        <v/>
      </c>
      <c r="J1572" s="59">
        <f t="shared" si="28"/>
        <v>0</v>
      </c>
      <c r="K1572" s="59">
        <f t="shared" si="29"/>
        <v>0</v>
      </c>
      <c r="L1572" s="59">
        <f t="shared" si="30"/>
        <v>0</v>
      </c>
      <c r="M1572" s="59">
        <f t="shared" si="31"/>
        <v>0</v>
      </c>
    </row>
    <row r="1573" ht="15.0" hidden="1" customHeight="1">
      <c r="A1573" s="59">
        <f t="shared" si="20"/>
        <v>23</v>
      </c>
      <c r="B1573" s="59" t="str">
        <f t="shared" si="21"/>
        <v/>
      </c>
      <c r="C1573" s="59" t="str">
        <f t="shared" si="22"/>
        <v/>
      </c>
      <c r="D1573" s="45" t="str">
        <f t="shared" si="23"/>
        <v/>
      </c>
      <c r="E1573" s="45" t="str">
        <f t="shared" si="24"/>
        <v/>
      </c>
      <c r="F1573" s="59" t="str">
        <f t="shared" si="25"/>
        <v/>
      </c>
      <c r="G1573" s="59" t="str">
        <f t="shared" si="26"/>
        <v/>
      </c>
      <c r="H1573" s="59" t="str">
        <f t="shared" si="27"/>
        <v>28C03695</v>
      </c>
      <c r="I1573" s="59" t="str">
        <f>IF(OR($A1573="",$C1573="",$D1573="",$E1573="",$H1573=""),"",SUMIFS(DATA_GOC!$H:$H,DATA_GOC!$A:$A,"BOM",DATA_GOC!$D:$D,$H1573,DATA_GOC!$E:$E,$C1573,DATA_GOC!$F:$F,"Xuất nội bộ từ téc",DATA_GOC!$B:$B,"&gt;="&amp;$D1573,DATA_GOC!$B:$B,"&lt;="&amp;$E1573))</f>
        <v/>
      </c>
      <c r="J1573" s="59">
        <f t="shared" si="28"/>
        <v>0</v>
      </c>
      <c r="K1573" s="59">
        <f t="shared" si="29"/>
        <v>0</v>
      </c>
      <c r="L1573" s="59">
        <f t="shared" si="30"/>
        <v>0</v>
      </c>
      <c r="M1573" s="59">
        <f t="shared" si="31"/>
        <v>0</v>
      </c>
    </row>
    <row r="1574" ht="15.0" hidden="1" customHeight="1">
      <c r="A1574" s="59">
        <f t="shared" si="20"/>
        <v>23</v>
      </c>
      <c r="B1574" s="59" t="str">
        <f t="shared" si="21"/>
        <v/>
      </c>
      <c r="C1574" s="59" t="str">
        <f t="shared" si="22"/>
        <v/>
      </c>
      <c r="D1574" s="45" t="str">
        <f t="shared" si="23"/>
        <v/>
      </c>
      <c r="E1574" s="45" t="str">
        <f t="shared" si="24"/>
        <v/>
      </c>
      <c r="F1574" s="59" t="str">
        <f t="shared" si="25"/>
        <v/>
      </c>
      <c r="G1574" s="59" t="str">
        <f t="shared" si="26"/>
        <v/>
      </c>
      <c r="H1574" s="59" t="str">
        <f t="shared" si="27"/>
        <v>28C03927</v>
      </c>
      <c r="I1574" s="59" t="str">
        <f>IF(OR($A1574="",$C1574="",$D1574="",$E1574="",$H1574=""),"",SUMIFS(DATA_GOC!$H:$H,DATA_GOC!$A:$A,"BOM",DATA_GOC!$D:$D,$H1574,DATA_GOC!$E:$E,$C1574,DATA_GOC!$F:$F,"Xuất nội bộ từ téc",DATA_GOC!$B:$B,"&gt;="&amp;$D1574,DATA_GOC!$B:$B,"&lt;="&amp;$E1574))</f>
        <v/>
      </c>
      <c r="J1574" s="59">
        <f t="shared" si="28"/>
        <v>0</v>
      </c>
      <c r="K1574" s="59">
        <f t="shared" si="29"/>
        <v>0</v>
      </c>
      <c r="L1574" s="59">
        <f t="shared" si="30"/>
        <v>0</v>
      </c>
      <c r="M1574" s="59">
        <f t="shared" si="31"/>
        <v>0</v>
      </c>
    </row>
    <row r="1575" ht="15.0" hidden="1" customHeight="1">
      <c r="A1575" s="59">
        <f t="shared" si="20"/>
        <v>23</v>
      </c>
      <c r="B1575" s="59" t="str">
        <f t="shared" si="21"/>
        <v/>
      </c>
      <c r="C1575" s="59" t="str">
        <f t="shared" si="22"/>
        <v/>
      </c>
      <c r="D1575" s="45" t="str">
        <f t="shared" si="23"/>
        <v/>
      </c>
      <c r="E1575" s="45" t="str">
        <f t="shared" si="24"/>
        <v/>
      </c>
      <c r="F1575" s="59" t="str">
        <f t="shared" si="25"/>
        <v/>
      </c>
      <c r="G1575" s="59" t="str">
        <f t="shared" si="26"/>
        <v/>
      </c>
      <c r="H1575" s="59" t="str">
        <f t="shared" si="27"/>
        <v>28C04509</v>
      </c>
      <c r="I1575" s="59" t="str">
        <f>IF(OR($A1575="",$C1575="",$D1575="",$E1575="",$H1575=""),"",SUMIFS(DATA_GOC!$H:$H,DATA_GOC!$A:$A,"BOM",DATA_GOC!$D:$D,$H1575,DATA_GOC!$E:$E,$C1575,DATA_GOC!$F:$F,"Xuất nội bộ từ téc",DATA_GOC!$B:$B,"&gt;="&amp;$D1575,DATA_GOC!$B:$B,"&lt;="&amp;$E1575))</f>
        <v/>
      </c>
      <c r="J1575" s="59">
        <f t="shared" si="28"/>
        <v>0</v>
      </c>
      <c r="K1575" s="59">
        <f t="shared" si="29"/>
        <v>0</v>
      </c>
      <c r="L1575" s="59">
        <f t="shared" si="30"/>
        <v>0</v>
      </c>
      <c r="M1575" s="59">
        <f t="shared" si="31"/>
        <v>0</v>
      </c>
    </row>
    <row r="1576" ht="15.0" hidden="1" customHeight="1">
      <c r="A1576" s="59">
        <f t="shared" si="20"/>
        <v>23</v>
      </c>
      <c r="B1576" s="59" t="str">
        <f t="shared" si="21"/>
        <v/>
      </c>
      <c r="C1576" s="59" t="str">
        <f t="shared" si="22"/>
        <v/>
      </c>
      <c r="D1576" s="45" t="str">
        <f t="shared" si="23"/>
        <v/>
      </c>
      <c r="E1576" s="45" t="str">
        <f t="shared" si="24"/>
        <v/>
      </c>
      <c r="F1576" s="59" t="str">
        <f t="shared" si="25"/>
        <v/>
      </c>
      <c r="G1576" s="59" t="str">
        <f t="shared" si="26"/>
        <v/>
      </c>
      <c r="H1576" s="59" t="str">
        <f t="shared" si="27"/>
        <v>28C04536</v>
      </c>
      <c r="I1576" s="59" t="str">
        <f>IF(OR($A1576="",$C1576="",$D1576="",$E1576="",$H1576=""),"",SUMIFS(DATA_GOC!$H:$H,DATA_GOC!$A:$A,"BOM",DATA_GOC!$D:$D,$H1576,DATA_GOC!$E:$E,$C1576,DATA_GOC!$F:$F,"Xuất nội bộ từ téc",DATA_GOC!$B:$B,"&gt;="&amp;$D1576,DATA_GOC!$B:$B,"&lt;="&amp;$E1576))</f>
        <v/>
      </c>
      <c r="J1576" s="59">
        <f t="shared" si="28"/>
        <v>0</v>
      </c>
      <c r="K1576" s="59">
        <f t="shared" si="29"/>
        <v>0</v>
      </c>
      <c r="L1576" s="59">
        <f t="shared" si="30"/>
        <v>0</v>
      </c>
      <c r="M1576" s="59">
        <f t="shared" si="31"/>
        <v>0</v>
      </c>
    </row>
    <row r="1577" ht="15.0" hidden="1" customHeight="1">
      <c r="A1577" s="59">
        <f t="shared" si="20"/>
        <v>23</v>
      </c>
      <c r="B1577" s="59" t="str">
        <f t="shared" si="21"/>
        <v/>
      </c>
      <c r="C1577" s="59" t="str">
        <f t="shared" si="22"/>
        <v/>
      </c>
      <c r="D1577" s="45" t="str">
        <f t="shared" si="23"/>
        <v/>
      </c>
      <c r="E1577" s="45" t="str">
        <f t="shared" si="24"/>
        <v/>
      </c>
      <c r="F1577" s="59" t="str">
        <f t="shared" si="25"/>
        <v/>
      </c>
      <c r="G1577" s="59" t="str">
        <f t="shared" si="26"/>
        <v/>
      </c>
      <c r="H1577" s="59" t="str">
        <f t="shared" si="27"/>
        <v>28C04576</v>
      </c>
      <c r="I1577" s="59" t="str">
        <f>IF(OR($A1577="",$C1577="",$D1577="",$E1577="",$H1577=""),"",SUMIFS(DATA_GOC!$H:$H,DATA_GOC!$A:$A,"BOM",DATA_GOC!$D:$D,$H1577,DATA_GOC!$E:$E,$C1577,DATA_GOC!$F:$F,"Xuất nội bộ từ téc",DATA_GOC!$B:$B,"&gt;="&amp;$D1577,DATA_GOC!$B:$B,"&lt;="&amp;$E1577))</f>
        <v/>
      </c>
      <c r="J1577" s="59">
        <f t="shared" si="28"/>
        <v>0</v>
      </c>
      <c r="K1577" s="59">
        <f t="shared" si="29"/>
        <v>0</v>
      </c>
      <c r="L1577" s="59">
        <f t="shared" si="30"/>
        <v>0</v>
      </c>
      <c r="M1577" s="59">
        <f t="shared" si="31"/>
        <v>0</v>
      </c>
    </row>
    <row r="1578" ht="15.0" hidden="1" customHeight="1">
      <c r="A1578" s="59">
        <f t="shared" si="20"/>
        <v>23</v>
      </c>
      <c r="B1578" s="59" t="str">
        <f t="shared" si="21"/>
        <v/>
      </c>
      <c r="C1578" s="59" t="str">
        <f t="shared" si="22"/>
        <v/>
      </c>
      <c r="D1578" s="45" t="str">
        <f t="shared" si="23"/>
        <v/>
      </c>
      <c r="E1578" s="45" t="str">
        <f t="shared" si="24"/>
        <v/>
      </c>
      <c r="F1578" s="59" t="str">
        <f t="shared" si="25"/>
        <v/>
      </c>
      <c r="G1578" s="59" t="str">
        <f t="shared" si="26"/>
        <v/>
      </c>
      <c r="H1578" s="59" t="str">
        <f t="shared" si="27"/>
        <v>28C05090</v>
      </c>
      <c r="I1578" s="59" t="str">
        <f>IF(OR($A1578="",$C1578="",$D1578="",$E1578="",$H1578=""),"",SUMIFS(DATA_GOC!$H:$H,DATA_GOC!$A:$A,"BOM",DATA_GOC!$D:$D,$H1578,DATA_GOC!$E:$E,$C1578,DATA_GOC!$F:$F,"Xuất nội bộ từ téc",DATA_GOC!$B:$B,"&gt;="&amp;$D1578,DATA_GOC!$B:$B,"&lt;="&amp;$E1578))</f>
        <v/>
      </c>
      <c r="J1578" s="59">
        <f t="shared" si="28"/>
        <v>0</v>
      </c>
      <c r="K1578" s="59">
        <f t="shared" si="29"/>
        <v>0</v>
      </c>
      <c r="L1578" s="59">
        <f t="shared" si="30"/>
        <v>0</v>
      </c>
      <c r="M1578" s="59">
        <f t="shared" si="31"/>
        <v>0</v>
      </c>
    </row>
    <row r="1579" ht="15.0" hidden="1" customHeight="1">
      <c r="A1579" s="59">
        <f t="shared" si="20"/>
        <v>23</v>
      </c>
      <c r="B1579" s="59" t="str">
        <f t="shared" si="21"/>
        <v/>
      </c>
      <c r="C1579" s="59" t="str">
        <f t="shared" si="22"/>
        <v/>
      </c>
      <c r="D1579" s="45" t="str">
        <f t="shared" si="23"/>
        <v/>
      </c>
      <c r="E1579" s="45" t="str">
        <f t="shared" si="24"/>
        <v/>
      </c>
      <c r="F1579" s="59" t="str">
        <f t="shared" si="25"/>
        <v/>
      </c>
      <c r="G1579" s="59" t="str">
        <f t="shared" si="26"/>
        <v/>
      </c>
      <c r="H1579" s="59" t="str">
        <f t="shared" si="27"/>
        <v>28C05345</v>
      </c>
      <c r="I1579" s="59" t="str">
        <f>IF(OR($A1579="",$C1579="",$D1579="",$E1579="",$H1579=""),"",SUMIFS(DATA_GOC!$H:$H,DATA_GOC!$A:$A,"BOM",DATA_GOC!$D:$D,$H1579,DATA_GOC!$E:$E,$C1579,DATA_GOC!$F:$F,"Xuất nội bộ từ téc",DATA_GOC!$B:$B,"&gt;="&amp;$D1579,DATA_GOC!$B:$B,"&lt;="&amp;$E1579))</f>
        <v/>
      </c>
      <c r="J1579" s="59">
        <f t="shared" si="28"/>
        <v>0</v>
      </c>
      <c r="K1579" s="59">
        <f t="shared" si="29"/>
        <v>0</v>
      </c>
      <c r="L1579" s="59">
        <f t="shared" si="30"/>
        <v>0</v>
      </c>
      <c r="M1579" s="59">
        <f t="shared" si="31"/>
        <v>0</v>
      </c>
    </row>
    <row r="1580" ht="15.0" hidden="1" customHeight="1">
      <c r="A1580" s="59">
        <f t="shared" si="20"/>
        <v>23</v>
      </c>
      <c r="B1580" s="59" t="str">
        <f t="shared" si="21"/>
        <v/>
      </c>
      <c r="C1580" s="59" t="str">
        <f t="shared" si="22"/>
        <v/>
      </c>
      <c r="D1580" s="45" t="str">
        <f t="shared" si="23"/>
        <v/>
      </c>
      <c r="E1580" s="45" t="str">
        <f t="shared" si="24"/>
        <v/>
      </c>
      <c r="F1580" s="59" t="str">
        <f t="shared" si="25"/>
        <v/>
      </c>
      <c r="G1580" s="59" t="str">
        <f t="shared" si="26"/>
        <v/>
      </c>
      <c r="H1580" s="59" t="str">
        <f t="shared" si="27"/>
        <v>28C05661</v>
      </c>
      <c r="I1580" s="59" t="str">
        <f>IF(OR($A1580="",$C1580="",$D1580="",$E1580="",$H1580=""),"",SUMIFS(DATA_GOC!$H:$H,DATA_GOC!$A:$A,"BOM",DATA_GOC!$D:$D,$H1580,DATA_GOC!$E:$E,$C1580,DATA_GOC!$F:$F,"Xuất nội bộ từ téc",DATA_GOC!$B:$B,"&gt;="&amp;$D1580,DATA_GOC!$B:$B,"&lt;="&amp;$E1580))</f>
        <v/>
      </c>
      <c r="J1580" s="59">
        <f t="shared" si="28"/>
        <v>0</v>
      </c>
      <c r="K1580" s="59">
        <f t="shared" si="29"/>
        <v>0</v>
      </c>
      <c r="L1580" s="59">
        <f t="shared" si="30"/>
        <v>0</v>
      </c>
      <c r="M1580" s="59">
        <f t="shared" si="31"/>
        <v>0</v>
      </c>
    </row>
    <row r="1581" ht="15.0" hidden="1" customHeight="1">
      <c r="A1581" s="59">
        <f t="shared" si="20"/>
        <v>23</v>
      </c>
      <c r="B1581" s="59" t="str">
        <f t="shared" si="21"/>
        <v/>
      </c>
      <c r="C1581" s="59" t="str">
        <f t="shared" si="22"/>
        <v/>
      </c>
      <c r="D1581" s="45" t="str">
        <f t="shared" si="23"/>
        <v/>
      </c>
      <c r="E1581" s="45" t="str">
        <f t="shared" si="24"/>
        <v/>
      </c>
      <c r="F1581" s="59" t="str">
        <f t="shared" si="25"/>
        <v/>
      </c>
      <c r="G1581" s="59" t="str">
        <f t="shared" si="26"/>
        <v/>
      </c>
      <c r="H1581" s="59" t="str">
        <f t="shared" si="27"/>
        <v>28C05739</v>
      </c>
      <c r="I1581" s="59" t="str">
        <f>IF(OR($A1581="",$C1581="",$D1581="",$E1581="",$H1581=""),"",SUMIFS(DATA_GOC!$H:$H,DATA_GOC!$A:$A,"BOM",DATA_GOC!$D:$D,$H1581,DATA_GOC!$E:$E,$C1581,DATA_GOC!$F:$F,"Xuất nội bộ từ téc",DATA_GOC!$B:$B,"&gt;="&amp;$D1581,DATA_GOC!$B:$B,"&lt;="&amp;$E1581))</f>
        <v/>
      </c>
      <c r="J1581" s="59">
        <f t="shared" si="28"/>
        <v>0</v>
      </c>
      <c r="K1581" s="59">
        <f t="shared" si="29"/>
        <v>0</v>
      </c>
      <c r="L1581" s="59">
        <f t="shared" si="30"/>
        <v>0</v>
      </c>
      <c r="M1581" s="59">
        <f t="shared" si="31"/>
        <v>0</v>
      </c>
    </row>
    <row r="1582" ht="15.0" hidden="1" customHeight="1">
      <c r="A1582" s="59">
        <f t="shared" si="20"/>
        <v>23</v>
      </c>
      <c r="B1582" s="59" t="str">
        <f t="shared" si="21"/>
        <v/>
      </c>
      <c r="C1582" s="59" t="str">
        <f t="shared" si="22"/>
        <v/>
      </c>
      <c r="D1582" s="45" t="str">
        <f t="shared" si="23"/>
        <v/>
      </c>
      <c r="E1582" s="45" t="str">
        <f t="shared" si="24"/>
        <v/>
      </c>
      <c r="F1582" s="59" t="str">
        <f t="shared" si="25"/>
        <v/>
      </c>
      <c r="G1582" s="59" t="str">
        <f t="shared" si="26"/>
        <v/>
      </c>
      <c r="H1582" s="59" t="str">
        <f t="shared" si="27"/>
        <v>28C06369</v>
      </c>
      <c r="I1582" s="59" t="str">
        <f>IF(OR($A1582="",$C1582="",$D1582="",$E1582="",$H1582=""),"",SUMIFS(DATA_GOC!$H:$H,DATA_GOC!$A:$A,"BOM",DATA_GOC!$D:$D,$H1582,DATA_GOC!$E:$E,$C1582,DATA_GOC!$F:$F,"Xuất nội bộ từ téc",DATA_GOC!$B:$B,"&gt;="&amp;$D1582,DATA_GOC!$B:$B,"&lt;="&amp;$E1582))</f>
        <v/>
      </c>
      <c r="J1582" s="59">
        <f t="shared" si="28"/>
        <v>0</v>
      </c>
      <c r="K1582" s="59">
        <f t="shared" si="29"/>
        <v>0</v>
      </c>
      <c r="L1582" s="59">
        <f t="shared" si="30"/>
        <v>0</v>
      </c>
      <c r="M1582" s="59">
        <f t="shared" si="31"/>
        <v>0</v>
      </c>
    </row>
    <row r="1583" ht="15.0" hidden="1" customHeight="1">
      <c r="A1583" s="59">
        <f t="shared" si="20"/>
        <v>23</v>
      </c>
      <c r="B1583" s="59" t="str">
        <f t="shared" si="21"/>
        <v/>
      </c>
      <c r="C1583" s="59" t="str">
        <f t="shared" si="22"/>
        <v/>
      </c>
      <c r="D1583" s="45" t="str">
        <f t="shared" si="23"/>
        <v/>
      </c>
      <c r="E1583" s="45" t="str">
        <f t="shared" si="24"/>
        <v/>
      </c>
      <c r="F1583" s="59" t="str">
        <f t="shared" si="25"/>
        <v/>
      </c>
      <c r="G1583" s="59" t="str">
        <f t="shared" si="26"/>
        <v/>
      </c>
      <c r="H1583" s="59" t="str">
        <f t="shared" si="27"/>
        <v>28C06447</v>
      </c>
      <c r="I1583" s="59" t="str">
        <f>IF(OR($A1583="",$C1583="",$D1583="",$E1583="",$H1583=""),"",SUMIFS(DATA_GOC!$H:$H,DATA_GOC!$A:$A,"BOM",DATA_GOC!$D:$D,$H1583,DATA_GOC!$E:$E,$C1583,DATA_GOC!$F:$F,"Xuất nội bộ từ téc",DATA_GOC!$B:$B,"&gt;="&amp;$D1583,DATA_GOC!$B:$B,"&lt;="&amp;$E1583))</f>
        <v/>
      </c>
      <c r="J1583" s="59">
        <f t="shared" si="28"/>
        <v>0</v>
      </c>
      <c r="K1583" s="59">
        <f t="shared" si="29"/>
        <v>0</v>
      </c>
      <c r="L1583" s="59">
        <f t="shared" si="30"/>
        <v>0</v>
      </c>
      <c r="M1583" s="59">
        <f t="shared" si="31"/>
        <v>0</v>
      </c>
    </row>
    <row r="1584" ht="15.0" hidden="1" customHeight="1">
      <c r="A1584" s="59">
        <f t="shared" si="20"/>
        <v>23</v>
      </c>
      <c r="B1584" s="59" t="str">
        <f t="shared" si="21"/>
        <v/>
      </c>
      <c r="C1584" s="59" t="str">
        <f t="shared" si="22"/>
        <v/>
      </c>
      <c r="D1584" s="45" t="str">
        <f t="shared" si="23"/>
        <v/>
      </c>
      <c r="E1584" s="45" t="str">
        <f t="shared" si="24"/>
        <v/>
      </c>
      <c r="F1584" s="59" t="str">
        <f t="shared" si="25"/>
        <v/>
      </c>
      <c r="G1584" s="59" t="str">
        <f t="shared" si="26"/>
        <v/>
      </c>
      <c r="H1584" s="59" t="str">
        <f t="shared" si="27"/>
        <v>28H00003</v>
      </c>
      <c r="I1584" s="59" t="str">
        <f>IF(OR($A1584="",$C1584="",$D1584="",$E1584="",$H1584=""),"",SUMIFS(DATA_GOC!$H:$H,DATA_GOC!$A:$A,"BOM",DATA_GOC!$D:$D,$H1584,DATA_GOC!$E:$E,$C1584,DATA_GOC!$F:$F,"Xuất nội bộ từ téc",DATA_GOC!$B:$B,"&gt;="&amp;$D1584,DATA_GOC!$B:$B,"&lt;="&amp;$E1584))</f>
        <v/>
      </c>
      <c r="J1584" s="59">
        <f t="shared" si="28"/>
        <v>0</v>
      </c>
      <c r="K1584" s="59">
        <f t="shared" si="29"/>
        <v>0</v>
      </c>
      <c r="L1584" s="59">
        <f t="shared" si="30"/>
        <v>0</v>
      </c>
      <c r="M1584" s="59">
        <f t="shared" si="31"/>
        <v>0</v>
      </c>
    </row>
    <row r="1585" ht="15.0" hidden="1" customHeight="1">
      <c r="A1585" s="59">
        <f t="shared" si="20"/>
        <v>23</v>
      </c>
      <c r="B1585" s="59" t="str">
        <f t="shared" si="21"/>
        <v/>
      </c>
      <c r="C1585" s="59" t="str">
        <f t="shared" si="22"/>
        <v/>
      </c>
      <c r="D1585" s="45" t="str">
        <f t="shared" si="23"/>
        <v/>
      </c>
      <c r="E1585" s="45" t="str">
        <f t="shared" si="24"/>
        <v/>
      </c>
      <c r="F1585" s="59" t="str">
        <f t="shared" si="25"/>
        <v/>
      </c>
      <c r="G1585" s="59" t="str">
        <f t="shared" si="26"/>
        <v/>
      </c>
      <c r="H1585" s="59" t="str">
        <f t="shared" si="27"/>
        <v>28H00061</v>
      </c>
      <c r="I1585" s="59" t="str">
        <f>IF(OR($A1585="",$C1585="",$D1585="",$E1585="",$H1585=""),"",SUMIFS(DATA_GOC!$H:$H,DATA_GOC!$A:$A,"BOM",DATA_GOC!$D:$D,$H1585,DATA_GOC!$E:$E,$C1585,DATA_GOC!$F:$F,"Xuất nội bộ từ téc",DATA_GOC!$B:$B,"&gt;="&amp;$D1585,DATA_GOC!$B:$B,"&lt;="&amp;$E1585))</f>
        <v/>
      </c>
      <c r="J1585" s="59">
        <f t="shared" si="28"/>
        <v>0</v>
      </c>
      <c r="K1585" s="59">
        <f t="shared" si="29"/>
        <v>0</v>
      </c>
      <c r="L1585" s="59">
        <f t="shared" si="30"/>
        <v>0</v>
      </c>
      <c r="M1585" s="59">
        <f t="shared" si="31"/>
        <v>0</v>
      </c>
    </row>
    <row r="1586" ht="15.0" hidden="1" customHeight="1">
      <c r="A1586" s="59">
        <f t="shared" si="20"/>
        <v>23</v>
      </c>
      <c r="B1586" s="59" t="str">
        <f t="shared" si="21"/>
        <v/>
      </c>
      <c r="C1586" s="59" t="str">
        <f t="shared" si="22"/>
        <v/>
      </c>
      <c r="D1586" s="45" t="str">
        <f t="shared" si="23"/>
        <v/>
      </c>
      <c r="E1586" s="45" t="str">
        <f t="shared" si="24"/>
        <v/>
      </c>
      <c r="F1586" s="59" t="str">
        <f t="shared" si="25"/>
        <v/>
      </c>
      <c r="G1586" s="59" t="str">
        <f t="shared" si="26"/>
        <v/>
      </c>
      <c r="H1586" s="59" t="str">
        <f t="shared" si="27"/>
        <v>28H00354</v>
      </c>
      <c r="I1586" s="59" t="str">
        <f>IF(OR($A1586="",$C1586="",$D1586="",$E1586="",$H1586=""),"",SUMIFS(DATA_GOC!$H:$H,DATA_GOC!$A:$A,"BOM",DATA_GOC!$D:$D,$H1586,DATA_GOC!$E:$E,$C1586,DATA_GOC!$F:$F,"Xuất nội bộ từ téc",DATA_GOC!$B:$B,"&gt;="&amp;$D1586,DATA_GOC!$B:$B,"&lt;="&amp;$E1586))</f>
        <v/>
      </c>
      <c r="J1586" s="59">
        <f t="shared" si="28"/>
        <v>0</v>
      </c>
      <c r="K1586" s="59">
        <f t="shared" si="29"/>
        <v>0</v>
      </c>
      <c r="L1586" s="59">
        <f t="shared" si="30"/>
        <v>0</v>
      </c>
      <c r="M1586" s="59">
        <f t="shared" si="31"/>
        <v>0</v>
      </c>
    </row>
    <row r="1587" ht="15.0" hidden="1" customHeight="1">
      <c r="A1587" s="59">
        <f t="shared" si="20"/>
        <v>23</v>
      </c>
      <c r="B1587" s="59" t="str">
        <f t="shared" si="21"/>
        <v/>
      </c>
      <c r="C1587" s="59" t="str">
        <f t="shared" si="22"/>
        <v/>
      </c>
      <c r="D1587" s="45" t="str">
        <f t="shared" si="23"/>
        <v/>
      </c>
      <c r="E1587" s="45" t="str">
        <f t="shared" si="24"/>
        <v/>
      </c>
      <c r="F1587" s="59" t="str">
        <f t="shared" si="25"/>
        <v/>
      </c>
      <c r="G1587" s="59" t="str">
        <f t="shared" si="26"/>
        <v/>
      </c>
      <c r="H1587" s="59" t="str">
        <f t="shared" si="27"/>
        <v>28H00603</v>
      </c>
      <c r="I1587" s="59" t="str">
        <f>IF(OR($A1587="",$C1587="",$D1587="",$E1587="",$H1587=""),"",SUMIFS(DATA_GOC!$H:$H,DATA_GOC!$A:$A,"BOM",DATA_GOC!$D:$D,$H1587,DATA_GOC!$E:$E,$C1587,DATA_GOC!$F:$F,"Xuất nội bộ từ téc",DATA_GOC!$B:$B,"&gt;="&amp;$D1587,DATA_GOC!$B:$B,"&lt;="&amp;$E1587))</f>
        <v/>
      </c>
      <c r="J1587" s="59">
        <f t="shared" si="28"/>
        <v>0</v>
      </c>
      <c r="K1587" s="59">
        <f t="shared" si="29"/>
        <v>0</v>
      </c>
      <c r="L1587" s="59">
        <f t="shared" si="30"/>
        <v>0</v>
      </c>
      <c r="M1587" s="59">
        <f t="shared" si="31"/>
        <v>0</v>
      </c>
    </row>
    <row r="1588" ht="15.0" hidden="1" customHeight="1">
      <c r="A1588" s="59">
        <f t="shared" si="20"/>
        <v>23</v>
      </c>
      <c r="B1588" s="59" t="str">
        <f t="shared" si="21"/>
        <v/>
      </c>
      <c r="C1588" s="59" t="str">
        <f t="shared" si="22"/>
        <v/>
      </c>
      <c r="D1588" s="45" t="str">
        <f t="shared" si="23"/>
        <v/>
      </c>
      <c r="E1588" s="45" t="str">
        <f t="shared" si="24"/>
        <v/>
      </c>
      <c r="F1588" s="59" t="str">
        <f t="shared" si="25"/>
        <v/>
      </c>
      <c r="G1588" s="59" t="str">
        <f t="shared" si="26"/>
        <v/>
      </c>
      <c r="H1588" s="59" t="str">
        <f t="shared" si="27"/>
        <v>28H00609</v>
      </c>
      <c r="I1588" s="59" t="str">
        <f>IF(OR($A1588="",$C1588="",$D1588="",$E1588="",$H1588=""),"",SUMIFS(DATA_GOC!$H:$H,DATA_GOC!$A:$A,"BOM",DATA_GOC!$D:$D,$H1588,DATA_GOC!$E:$E,$C1588,DATA_GOC!$F:$F,"Xuất nội bộ từ téc",DATA_GOC!$B:$B,"&gt;="&amp;$D1588,DATA_GOC!$B:$B,"&lt;="&amp;$E1588))</f>
        <v/>
      </c>
      <c r="J1588" s="59">
        <f t="shared" si="28"/>
        <v>0</v>
      </c>
      <c r="K1588" s="59">
        <f t="shared" si="29"/>
        <v>0</v>
      </c>
      <c r="L1588" s="59">
        <f t="shared" si="30"/>
        <v>0</v>
      </c>
      <c r="M1588" s="59">
        <f t="shared" si="31"/>
        <v>0</v>
      </c>
    </row>
    <row r="1589" ht="15.0" hidden="1" customHeight="1">
      <c r="A1589" s="59">
        <f t="shared" si="20"/>
        <v>23</v>
      </c>
      <c r="B1589" s="59" t="str">
        <f t="shared" si="21"/>
        <v/>
      </c>
      <c r="C1589" s="59" t="str">
        <f t="shared" si="22"/>
        <v/>
      </c>
      <c r="D1589" s="45" t="str">
        <f t="shared" si="23"/>
        <v/>
      </c>
      <c r="E1589" s="45" t="str">
        <f t="shared" si="24"/>
        <v/>
      </c>
      <c r="F1589" s="59" t="str">
        <f t="shared" si="25"/>
        <v/>
      </c>
      <c r="G1589" s="59" t="str">
        <f t="shared" si="26"/>
        <v/>
      </c>
      <c r="H1589" s="59" t="str">
        <f t="shared" si="27"/>
        <v>28H00669</v>
      </c>
      <c r="I1589" s="59" t="str">
        <f>IF(OR($A1589="",$C1589="",$D1589="",$E1589="",$H1589=""),"",SUMIFS(DATA_GOC!$H:$H,DATA_GOC!$A:$A,"BOM",DATA_GOC!$D:$D,$H1589,DATA_GOC!$E:$E,$C1589,DATA_GOC!$F:$F,"Xuất nội bộ từ téc",DATA_GOC!$B:$B,"&gt;="&amp;$D1589,DATA_GOC!$B:$B,"&lt;="&amp;$E1589))</f>
        <v/>
      </c>
      <c r="J1589" s="59">
        <f t="shared" si="28"/>
        <v>0</v>
      </c>
      <c r="K1589" s="59">
        <f t="shared" si="29"/>
        <v>0</v>
      </c>
      <c r="L1589" s="59">
        <f t="shared" si="30"/>
        <v>0</v>
      </c>
      <c r="M1589" s="59">
        <f t="shared" si="31"/>
        <v>0</v>
      </c>
    </row>
    <row r="1590" ht="15.0" hidden="1" customHeight="1">
      <c r="A1590" s="59">
        <f t="shared" si="20"/>
        <v>23</v>
      </c>
      <c r="B1590" s="59" t="str">
        <f t="shared" si="21"/>
        <v/>
      </c>
      <c r="C1590" s="59" t="str">
        <f t="shared" si="22"/>
        <v/>
      </c>
      <c r="D1590" s="45" t="str">
        <f t="shared" si="23"/>
        <v/>
      </c>
      <c r="E1590" s="45" t="str">
        <f t="shared" si="24"/>
        <v/>
      </c>
      <c r="F1590" s="59" t="str">
        <f t="shared" si="25"/>
        <v/>
      </c>
      <c r="G1590" s="59" t="str">
        <f t="shared" si="26"/>
        <v/>
      </c>
      <c r="H1590" s="59" t="str">
        <f t="shared" si="27"/>
        <v>28H00680</v>
      </c>
      <c r="I1590" s="59" t="str">
        <f>IF(OR($A1590="",$C1590="",$D1590="",$E1590="",$H1590=""),"",SUMIFS(DATA_GOC!$H:$H,DATA_GOC!$A:$A,"BOM",DATA_GOC!$D:$D,$H1590,DATA_GOC!$E:$E,$C1590,DATA_GOC!$F:$F,"Xuất nội bộ từ téc",DATA_GOC!$B:$B,"&gt;="&amp;$D1590,DATA_GOC!$B:$B,"&lt;="&amp;$E1590))</f>
        <v/>
      </c>
      <c r="J1590" s="59">
        <f t="shared" si="28"/>
        <v>0</v>
      </c>
      <c r="K1590" s="59">
        <f t="shared" si="29"/>
        <v>0</v>
      </c>
      <c r="L1590" s="59">
        <f t="shared" si="30"/>
        <v>0</v>
      </c>
      <c r="M1590" s="59">
        <f t="shared" si="31"/>
        <v>0</v>
      </c>
    </row>
    <row r="1591" ht="15.0" hidden="1" customHeight="1">
      <c r="A1591" s="59">
        <f t="shared" si="20"/>
        <v>23</v>
      </c>
      <c r="B1591" s="59" t="str">
        <f t="shared" si="21"/>
        <v/>
      </c>
      <c r="C1591" s="59" t="str">
        <f t="shared" si="22"/>
        <v/>
      </c>
      <c r="D1591" s="45" t="str">
        <f t="shared" si="23"/>
        <v/>
      </c>
      <c r="E1591" s="45" t="str">
        <f t="shared" si="24"/>
        <v/>
      </c>
      <c r="F1591" s="59" t="str">
        <f t="shared" si="25"/>
        <v/>
      </c>
      <c r="G1591" s="59" t="str">
        <f t="shared" si="26"/>
        <v/>
      </c>
      <c r="H1591" s="59" t="str">
        <f t="shared" si="27"/>
        <v>28H01070</v>
      </c>
      <c r="I1591" s="59" t="str">
        <f>IF(OR($A1591="",$C1591="",$D1591="",$E1591="",$H1591=""),"",SUMIFS(DATA_GOC!$H:$H,DATA_GOC!$A:$A,"BOM",DATA_GOC!$D:$D,$H1591,DATA_GOC!$E:$E,$C1591,DATA_GOC!$F:$F,"Xuất nội bộ từ téc",DATA_GOC!$B:$B,"&gt;="&amp;$D1591,DATA_GOC!$B:$B,"&lt;="&amp;$E1591))</f>
        <v/>
      </c>
      <c r="J1591" s="59">
        <f t="shared" si="28"/>
        <v>0</v>
      </c>
      <c r="K1591" s="59">
        <f t="shared" si="29"/>
        <v>0</v>
      </c>
      <c r="L1591" s="59">
        <f t="shared" si="30"/>
        <v>0</v>
      </c>
      <c r="M1591" s="59">
        <f t="shared" si="31"/>
        <v>0</v>
      </c>
    </row>
    <row r="1592" ht="15.0" hidden="1" customHeight="1">
      <c r="A1592" s="59">
        <f t="shared" si="20"/>
        <v>23</v>
      </c>
      <c r="B1592" s="59" t="str">
        <f t="shared" si="21"/>
        <v/>
      </c>
      <c r="C1592" s="59" t="str">
        <f t="shared" si="22"/>
        <v/>
      </c>
      <c r="D1592" s="45" t="str">
        <f t="shared" si="23"/>
        <v/>
      </c>
      <c r="E1592" s="45" t="str">
        <f t="shared" si="24"/>
        <v/>
      </c>
      <c r="F1592" s="59" t="str">
        <f t="shared" si="25"/>
        <v/>
      </c>
      <c r="G1592" s="59" t="str">
        <f t="shared" si="26"/>
        <v/>
      </c>
      <c r="H1592" s="59" t="str">
        <f t="shared" si="27"/>
        <v>28H01364</v>
      </c>
      <c r="I1592" s="59" t="str">
        <f>IF(OR($A1592="",$C1592="",$D1592="",$E1592="",$H1592=""),"",SUMIFS(DATA_GOC!$H:$H,DATA_GOC!$A:$A,"BOM",DATA_GOC!$D:$D,$H1592,DATA_GOC!$E:$E,$C1592,DATA_GOC!$F:$F,"Xuất nội bộ từ téc",DATA_GOC!$B:$B,"&gt;="&amp;$D1592,DATA_GOC!$B:$B,"&lt;="&amp;$E1592))</f>
        <v/>
      </c>
      <c r="J1592" s="59">
        <f t="shared" si="28"/>
        <v>0</v>
      </c>
      <c r="K1592" s="59">
        <f t="shared" si="29"/>
        <v>0</v>
      </c>
      <c r="L1592" s="59">
        <f t="shared" si="30"/>
        <v>0</v>
      </c>
      <c r="M1592" s="59">
        <f t="shared" si="31"/>
        <v>0</v>
      </c>
    </row>
    <row r="1593" ht="15.0" hidden="1" customHeight="1">
      <c r="A1593" s="59">
        <f t="shared" si="20"/>
        <v>23</v>
      </c>
      <c r="B1593" s="59" t="str">
        <f t="shared" si="21"/>
        <v/>
      </c>
      <c r="C1593" s="59" t="str">
        <f t="shared" si="22"/>
        <v/>
      </c>
      <c r="D1593" s="45" t="str">
        <f t="shared" si="23"/>
        <v/>
      </c>
      <c r="E1593" s="45" t="str">
        <f t="shared" si="24"/>
        <v/>
      </c>
      <c r="F1593" s="59" t="str">
        <f t="shared" si="25"/>
        <v/>
      </c>
      <c r="G1593" s="59" t="str">
        <f t="shared" si="26"/>
        <v/>
      </c>
      <c r="H1593" s="59" t="str">
        <f t="shared" si="27"/>
        <v>29E17269</v>
      </c>
      <c r="I1593" s="59" t="str">
        <f>IF(OR($A1593="",$C1593="",$D1593="",$E1593="",$H1593=""),"",SUMIFS(DATA_GOC!$H:$H,DATA_GOC!$A:$A,"BOM",DATA_GOC!$D:$D,$H1593,DATA_GOC!$E:$E,$C1593,DATA_GOC!$F:$F,"Xuất nội bộ từ téc",DATA_GOC!$B:$B,"&gt;="&amp;$D1593,DATA_GOC!$B:$B,"&lt;="&amp;$E1593))</f>
        <v/>
      </c>
      <c r="J1593" s="59">
        <f t="shared" si="28"/>
        <v>0</v>
      </c>
      <c r="K1593" s="59">
        <f t="shared" si="29"/>
        <v>0</v>
      </c>
      <c r="L1593" s="59">
        <f t="shared" si="30"/>
        <v>0</v>
      </c>
      <c r="M1593" s="59">
        <f t="shared" si="31"/>
        <v>0</v>
      </c>
    </row>
    <row r="1594" ht="15.0" hidden="1" customHeight="1">
      <c r="A1594" s="59">
        <f t="shared" si="20"/>
        <v>23</v>
      </c>
      <c r="B1594" s="59" t="str">
        <f t="shared" si="21"/>
        <v/>
      </c>
      <c r="C1594" s="59" t="str">
        <f t="shared" si="22"/>
        <v/>
      </c>
      <c r="D1594" s="45" t="str">
        <f t="shared" si="23"/>
        <v/>
      </c>
      <c r="E1594" s="45" t="str">
        <f t="shared" si="24"/>
        <v/>
      </c>
      <c r="F1594" s="59" t="str">
        <f t="shared" si="25"/>
        <v/>
      </c>
      <c r="G1594" s="59" t="str">
        <f t="shared" si="26"/>
        <v/>
      </c>
      <c r="H1594" s="59" t="str">
        <f t="shared" si="27"/>
        <v>29E17273</v>
      </c>
      <c r="I1594" s="59" t="str">
        <f>IF(OR($A1594="",$C1594="",$D1594="",$E1594="",$H1594=""),"",SUMIFS(DATA_GOC!$H:$H,DATA_GOC!$A:$A,"BOM",DATA_GOC!$D:$D,$H1594,DATA_GOC!$E:$E,$C1594,DATA_GOC!$F:$F,"Xuất nội bộ từ téc",DATA_GOC!$B:$B,"&gt;="&amp;$D1594,DATA_GOC!$B:$B,"&lt;="&amp;$E1594))</f>
        <v/>
      </c>
      <c r="J1594" s="59">
        <f t="shared" si="28"/>
        <v>0</v>
      </c>
      <c r="K1594" s="59">
        <f t="shared" si="29"/>
        <v>0</v>
      </c>
      <c r="L1594" s="59">
        <f t="shared" si="30"/>
        <v>0</v>
      </c>
      <c r="M1594" s="59">
        <f t="shared" si="31"/>
        <v>0</v>
      </c>
    </row>
    <row r="1595" ht="15.0" hidden="1" customHeight="1">
      <c r="A1595" s="59">
        <f t="shared" si="20"/>
        <v>23</v>
      </c>
      <c r="B1595" s="59" t="str">
        <f t="shared" si="21"/>
        <v/>
      </c>
      <c r="C1595" s="59" t="str">
        <f t="shared" si="22"/>
        <v/>
      </c>
      <c r="D1595" s="45" t="str">
        <f t="shared" si="23"/>
        <v/>
      </c>
      <c r="E1595" s="45" t="str">
        <f t="shared" si="24"/>
        <v/>
      </c>
      <c r="F1595" s="59" t="str">
        <f t="shared" si="25"/>
        <v/>
      </c>
      <c r="G1595" s="59" t="str">
        <f t="shared" si="26"/>
        <v/>
      </c>
      <c r="H1595" s="59" t="str">
        <f t="shared" si="27"/>
        <v>29E17410</v>
      </c>
      <c r="I1595" s="59" t="str">
        <f>IF(OR($A1595="",$C1595="",$D1595="",$E1595="",$H1595=""),"",SUMIFS(DATA_GOC!$H:$H,DATA_GOC!$A:$A,"BOM",DATA_GOC!$D:$D,$H1595,DATA_GOC!$E:$E,$C1595,DATA_GOC!$F:$F,"Xuất nội bộ từ téc",DATA_GOC!$B:$B,"&gt;="&amp;$D1595,DATA_GOC!$B:$B,"&lt;="&amp;$E1595))</f>
        <v/>
      </c>
      <c r="J1595" s="59">
        <f t="shared" si="28"/>
        <v>0</v>
      </c>
      <c r="K1595" s="59">
        <f t="shared" si="29"/>
        <v>0</v>
      </c>
      <c r="L1595" s="59">
        <f t="shared" si="30"/>
        <v>0</v>
      </c>
      <c r="M1595" s="59">
        <f t="shared" si="31"/>
        <v>0</v>
      </c>
    </row>
    <row r="1596" ht="15.0" hidden="1" customHeight="1">
      <c r="A1596" s="59">
        <f t="shared" si="20"/>
        <v>23</v>
      </c>
      <c r="B1596" s="59" t="str">
        <f t="shared" si="21"/>
        <v/>
      </c>
      <c r="C1596" s="59" t="str">
        <f t="shared" si="22"/>
        <v/>
      </c>
      <c r="D1596" s="45" t="str">
        <f t="shared" si="23"/>
        <v/>
      </c>
      <c r="E1596" s="45" t="str">
        <f t="shared" si="24"/>
        <v/>
      </c>
      <c r="F1596" s="59" t="str">
        <f t="shared" si="25"/>
        <v/>
      </c>
      <c r="G1596" s="59" t="str">
        <f t="shared" si="26"/>
        <v/>
      </c>
      <c r="H1596" s="59" t="str">
        <f t="shared" si="27"/>
        <v>29E17417</v>
      </c>
      <c r="I1596" s="59" t="str">
        <f>IF(OR($A1596="",$C1596="",$D1596="",$E1596="",$H1596=""),"",SUMIFS(DATA_GOC!$H:$H,DATA_GOC!$A:$A,"BOM",DATA_GOC!$D:$D,$H1596,DATA_GOC!$E:$E,$C1596,DATA_GOC!$F:$F,"Xuất nội bộ từ téc",DATA_GOC!$B:$B,"&gt;="&amp;$D1596,DATA_GOC!$B:$B,"&lt;="&amp;$E1596))</f>
        <v/>
      </c>
      <c r="J1596" s="59">
        <f t="shared" si="28"/>
        <v>0</v>
      </c>
      <c r="K1596" s="59">
        <f t="shared" si="29"/>
        <v>0</v>
      </c>
      <c r="L1596" s="59">
        <f t="shared" si="30"/>
        <v>0</v>
      </c>
      <c r="M1596" s="59">
        <f t="shared" si="31"/>
        <v>0</v>
      </c>
    </row>
    <row r="1597" ht="15.0" hidden="1" customHeight="1">
      <c r="A1597" s="59">
        <f t="shared" si="20"/>
        <v>23</v>
      </c>
      <c r="B1597" s="59" t="str">
        <f t="shared" si="21"/>
        <v/>
      </c>
      <c r="C1597" s="59" t="str">
        <f t="shared" si="22"/>
        <v/>
      </c>
      <c r="D1597" s="45" t="str">
        <f t="shared" si="23"/>
        <v/>
      </c>
      <c r="E1597" s="45" t="str">
        <f t="shared" si="24"/>
        <v/>
      </c>
      <c r="F1597" s="59" t="str">
        <f t="shared" si="25"/>
        <v/>
      </c>
      <c r="G1597" s="59" t="str">
        <f t="shared" si="26"/>
        <v/>
      </c>
      <c r="H1597" s="59" t="str">
        <f t="shared" si="27"/>
        <v>29E17539</v>
      </c>
      <c r="I1597" s="59" t="str">
        <f>IF(OR($A1597="",$C1597="",$D1597="",$E1597="",$H1597=""),"",SUMIFS(DATA_GOC!$H:$H,DATA_GOC!$A:$A,"BOM",DATA_GOC!$D:$D,$H1597,DATA_GOC!$E:$E,$C1597,DATA_GOC!$F:$F,"Xuất nội bộ từ téc",DATA_GOC!$B:$B,"&gt;="&amp;$D1597,DATA_GOC!$B:$B,"&lt;="&amp;$E1597))</f>
        <v/>
      </c>
      <c r="J1597" s="59">
        <f t="shared" si="28"/>
        <v>0</v>
      </c>
      <c r="K1597" s="59">
        <f t="shared" si="29"/>
        <v>0</v>
      </c>
      <c r="L1597" s="59">
        <f t="shared" si="30"/>
        <v>0</v>
      </c>
      <c r="M1597" s="59">
        <f t="shared" si="31"/>
        <v>0</v>
      </c>
    </row>
    <row r="1598" ht="15.0" hidden="1" customHeight="1">
      <c r="A1598" s="59">
        <f t="shared" si="20"/>
        <v>23</v>
      </c>
      <c r="B1598" s="59" t="str">
        <f t="shared" si="21"/>
        <v/>
      </c>
      <c r="C1598" s="59" t="str">
        <f t="shared" si="22"/>
        <v/>
      </c>
      <c r="D1598" s="45" t="str">
        <f t="shared" si="23"/>
        <v/>
      </c>
      <c r="E1598" s="45" t="str">
        <f t="shared" si="24"/>
        <v/>
      </c>
      <c r="F1598" s="59" t="str">
        <f t="shared" si="25"/>
        <v/>
      </c>
      <c r="G1598" s="59" t="str">
        <f t="shared" si="26"/>
        <v/>
      </c>
      <c r="H1598" s="59" t="str">
        <f t="shared" si="27"/>
        <v>29E18160</v>
      </c>
      <c r="I1598" s="59" t="str">
        <f>IF(OR($A1598="",$C1598="",$D1598="",$E1598="",$H1598=""),"",SUMIFS(DATA_GOC!$H:$H,DATA_GOC!$A:$A,"BOM",DATA_GOC!$D:$D,$H1598,DATA_GOC!$E:$E,$C1598,DATA_GOC!$F:$F,"Xuất nội bộ từ téc",DATA_GOC!$B:$B,"&gt;="&amp;$D1598,DATA_GOC!$B:$B,"&lt;="&amp;$E1598))</f>
        <v/>
      </c>
      <c r="J1598" s="59">
        <f t="shared" si="28"/>
        <v>0</v>
      </c>
      <c r="K1598" s="59">
        <f t="shared" si="29"/>
        <v>0</v>
      </c>
      <c r="L1598" s="59">
        <f t="shared" si="30"/>
        <v>0</v>
      </c>
      <c r="M1598" s="59">
        <f t="shared" si="31"/>
        <v>0</v>
      </c>
    </row>
    <row r="1599" ht="15.0" hidden="1" customHeight="1">
      <c r="A1599" s="59">
        <f t="shared" si="20"/>
        <v>23</v>
      </c>
      <c r="B1599" s="59" t="str">
        <f t="shared" si="21"/>
        <v/>
      </c>
      <c r="C1599" s="59" t="str">
        <f t="shared" si="22"/>
        <v/>
      </c>
      <c r="D1599" s="45" t="str">
        <f t="shared" si="23"/>
        <v/>
      </c>
      <c r="E1599" s="45" t="str">
        <f t="shared" si="24"/>
        <v/>
      </c>
      <c r="F1599" s="59" t="str">
        <f t="shared" si="25"/>
        <v/>
      </c>
      <c r="G1599" s="59" t="str">
        <f t="shared" si="26"/>
        <v/>
      </c>
      <c r="H1599" s="59" t="str">
        <f t="shared" si="27"/>
        <v>Công trình Asphalt</v>
      </c>
      <c r="I1599" s="59" t="str">
        <f>IF(OR($A1599="",$C1599="",$D1599="",$E1599="",$H1599=""),"",SUMIFS(DATA_GOC!$H:$H,DATA_GOC!$A:$A,"BOM",DATA_GOC!$D:$D,$H1599,DATA_GOC!$E:$E,$C1599,DATA_GOC!$F:$F,"Xuất nội bộ từ téc",DATA_GOC!$B:$B,"&gt;="&amp;$D1599,DATA_GOC!$B:$B,"&lt;="&amp;$E1599))</f>
        <v/>
      </c>
      <c r="J1599" s="59">
        <f t="shared" si="28"/>
        <v>0</v>
      </c>
      <c r="K1599" s="59">
        <f t="shared" si="29"/>
        <v>0</v>
      </c>
      <c r="L1599" s="59">
        <f t="shared" si="30"/>
        <v>0</v>
      </c>
      <c r="M1599" s="59">
        <f t="shared" si="31"/>
        <v>0</v>
      </c>
    </row>
    <row r="1600" ht="15.0" hidden="1" customHeight="1">
      <c r="A1600" s="59">
        <f t="shared" si="20"/>
        <v>23</v>
      </c>
      <c r="B1600" s="59" t="str">
        <f t="shared" si="21"/>
        <v/>
      </c>
      <c r="C1600" s="59" t="str">
        <f t="shared" si="22"/>
        <v/>
      </c>
      <c r="D1600" s="45" t="str">
        <f t="shared" si="23"/>
        <v/>
      </c>
      <c r="E1600" s="45" t="str">
        <f t="shared" si="24"/>
        <v/>
      </c>
      <c r="F1600" s="59" t="str">
        <f t="shared" si="25"/>
        <v/>
      </c>
      <c r="G1600" s="59" t="str">
        <f t="shared" si="26"/>
        <v/>
      </c>
      <c r="H1600" s="59" t="str">
        <f t="shared" si="27"/>
        <v>LG53F</v>
      </c>
      <c r="I1600" s="59" t="str">
        <f>IF(OR($A1600="",$C1600="",$D1600="",$E1600="",$H1600=""),"",SUMIFS(DATA_GOC!$H:$H,DATA_GOC!$A:$A,"BOM",DATA_GOC!$D:$D,$H1600,DATA_GOC!$E:$E,$C1600,DATA_GOC!$F:$F,"Xuất nội bộ từ téc",DATA_GOC!$B:$B,"&gt;="&amp;$D1600,DATA_GOC!$B:$B,"&lt;="&amp;$E1600))</f>
        <v/>
      </c>
      <c r="J1600" s="59">
        <f t="shared" si="28"/>
        <v>0</v>
      </c>
      <c r="K1600" s="59">
        <f t="shared" si="29"/>
        <v>0</v>
      </c>
      <c r="L1600" s="59">
        <f t="shared" si="30"/>
        <v>0</v>
      </c>
      <c r="M1600" s="59">
        <f t="shared" si="31"/>
        <v>0</v>
      </c>
    </row>
    <row r="1601" ht="15.0" hidden="1" customHeight="1">
      <c r="A1601" s="59">
        <f t="shared" si="20"/>
        <v>23</v>
      </c>
      <c r="B1601" s="59" t="str">
        <f t="shared" si="21"/>
        <v/>
      </c>
      <c r="C1601" s="59" t="str">
        <f t="shared" si="22"/>
        <v/>
      </c>
      <c r="D1601" s="45" t="str">
        <f t="shared" si="23"/>
        <v/>
      </c>
      <c r="E1601" s="45" t="str">
        <f t="shared" si="24"/>
        <v/>
      </c>
      <c r="F1601" s="59" t="str">
        <f t="shared" si="25"/>
        <v/>
      </c>
      <c r="G1601" s="59" t="str">
        <f t="shared" si="26"/>
        <v/>
      </c>
      <c r="H1601" s="59" t="str">
        <f t="shared" si="27"/>
        <v>Máy phát điện</v>
      </c>
      <c r="I1601" s="59" t="str">
        <f>IF(OR($A1601="",$C1601="",$D1601="",$E1601="",$H1601=""),"",SUMIFS(DATA_GOC!$H:$H,DATA_GOC!$A:$A,"BOM",DATA_GOC!$D:$D,$H1601,DATA_GOC!$E:$E,$C1601,DATA_GOC!$F:$F,"Xuất nội bộ từ téc",DATA_GOC!$B:$B,"&gt;="&amp;$D1601,DATA_GOC!$B:$B,"&lt;="&amp;$E1601))</f>
        <v/>
      </c>
      <c r="J1601" s="59">
        <f t="shared" si="28"/>
        <v>0</v>
      </c>
      <c r="K1601" s="59">
        <f t="shared" si="29"/>
        <v>0</v>
      </c>
      <c r="L1601" s="59">
        <f t="shared" si="30"/>
        <v>0</v>
      </c>
      <c r="M1601" s="59">
        <f t="shared" si="31"/>
        <v>0</v>
      </c>
    </row>
    <row r="1602" ht="15.0" hidden="1" customHeight="1">
      <c r="A1602" s="59">
        <f t="shared" si="20"/>
        <v>23</v>
      </c>
      <c r="B1602" s="59" t="str">
        <f t="shared" si="21"/>
        <v/>
      </c>
      <c r="C1602" s="59" t="str">
        <f t="shared" si="22"/>
        <v/>
      </c>
      <c r="D1602" s="45" t="str">
        <f t="shared" si="23"/>
        <v/>
      </c>
      <c r="E1602" s="45" t="str">
        <f t="shared" si="24"/>
        <v/>
      </c>
      <c r="F1602" s="59" t="str">
        <f t="shared" si="25"/>
        <v/>
      </c>
      <c r="G1602" s="59" t="str">
        <f t="shared" si="26"/>
        <v/>
      </c>
      <c r="H1602" s="59" t="str">
        <f t="shared" si="27"/>
        <v>Máy rải thảm</v>
      </c>
      <c r="I1602" s="59" t="str">
        <f>IF(OR($A1602="",$C1602="",$D1602="",$E1602="",$H1602=""),"",SUMIFS(DATA_GOC!$H:$H,DATA_GOC!$A:$A,"BOM",DATA_GOC!$D:$D,$H1602,DATA_GOC!$E:$E,$C1602,DATA_GOC!$F:$F,"Xuất nội bộ từ téc",DATA_GOC!$B:$B,"&gt;="&amp;$D1602,DATA_GOC!$B:$B,"&lt;="&amp;$E1602))</f>
        <v/>
      </c>
      <c r="J1602" s="59">
        <f t="shared" si="28"/>
        <v>0</v>
      </c>
      <c r="K1602" s="59">
        <f t="shared" si="29"/>
        <v>0</v>
      </c>
      <c r="L1602" s="59">
        <f t="shared" si="30"/>
        <v>0</v>
      </c>
      <c r="M1602" s="59">
        <f t="shared" si="31"/>
        <v>0</v>
      </c>
    </row>
    <row r="1603" ht="15.0" hidden="1" customHeight="1">
      <c r="A1603" s="59">
        <f t="shared" si="20"/>
        <v>23</v>
      </c>
      <c r="B1603" s="59" t="str">
        <f t="shared" si="21"/>
        <v/>
      </c>
      <c r="C1603" s="59" t="str">
        <f t="shared" si="22"/>
        <v/>
      </c>
      <c r="D1603" s="45" t="str">
        <f t="shared" si="23"/>
        <v/>
      </c>
      <c r="E1603" s="45" t="str">
        <f t="shared" si="24"/>
        <v/>
      </c>
      <c r="F1603" s="59" t="str">
        <f t="shared" si="25"/>
        <v/>
      </c>
      <c r="G1603" s="59" t="str">
        <f t="shared" si="26"/>
        <v/>
      </c>
      <c r="H1603" s="59" t="str">
        <f t="shared" si="27"/>
        <v>Xúc Đào</v>
      </c>
      <c r="I1603" s="59" t="str">
        <f>IF(OR($A1603="",$C1603="",$D1603="",$E1603="",$H1603=""),"",SUMIFS(DATA_GOC!$H:$H,DATA_GOC!$A:$A,"BOM",DATA_GOC!$D:$D,$H1603,DATA_GOC!$E:$E,$C1603,DATA_GOC!$F:$F,"Xuất nội bộ từ téc",DATA_GOC!$B:$B,"&gt;="&amp;$D1603,DATA_GOC!$B:$B,"&lt;="&amp;$E1603))</f>
        <v/>
      </c>
      <c r="J1603" s="59">
        <f t="shared" si="28"/>
        <v>0</v>
      </c>
      <c r="K1603" s="59">
        <f t="shared" si="29"/>
        <v>0</v>
      </c>
      <c r="L1603" s="59">
        <f t="shared" si="30"/>
        <v>0</v>
      </c>
      <c r="M1603" s="59">
        <f t="shared" si="31"/>
        <v>0</v>
      </c>
    </row>
    <row r="1604" ht="15.0" hidden="1" customHeight="1">
      <c r="A1604" s="59">
        <f t="shared" si="20"/>
        <v>23</v>
      </c>
      <c r="B1604" s="59" t="str">
        <f t="shared" si="21"/>
        <v/>
      </c>
      <c r="C1604" s="59" t="str">
        <f t="shared" si="22"/>
        <v/>
      </c>
      <c r="D1604" s="45" t="str">
        <f t="shared" si="23"/>
        <v/>
      </c>
      <c r="E1604" s="45" t="str">
        <f t="shared" si="24"/>
        <v/>
      </c>
      <c r="F1604" s="59" t="str">
        <f t="shared" si="25"/>
        <v/>
      </c>
      <c r="G1604" s="59" t="str">
        <f t="shared" si="26"/>
        <v/>
      </c>
      <c r="H1604" s="59" t="str">
        <f t="shared" si="27"/>
        <v>Xúclật asphalt</v>
      </c>
      <c r="I1604" s="59" t="str">
        <f>IF(OR($A1604="",$C1604="",$D1604="",$E1604="",$H1604=""),"",SUMIFS(DATA_GOC!$H:$H,DATA_GOC!$A:$A,"BOM",DATA_GOC!$D:$D,$H1604,DATA_GOC!$E:$E,$C1604,DATA_GOC!$F:$F,"Xuất nội bộ từ téc",DATA_GOC!$B:$B,"&gt;="&amp;$D1604,DATA_GOC!$B:$B,"&lt;="&amp;$E1604))</f>
        <v/>
      </c>
      <c r="J1604" s="59">
        <f t="shared" si="28"/>
        <v>0</v>
      </c>
      <c r="K1604" s="59">
        <f t="shared" si="29"/>
        <v>0</v>
      </c>
      <c r="L1604" s="59">
        <f t="shared" si="30"/>
        <v>0</v>
      </c>
      <c r="M1604" s="59">
        <f t="shared" si="31"/>
        <v>0</v>
      </c>
    </row>
    <row r="1605" ht="15.0" hidden="1" customHeight="1">
      <c r="A1605" s="59">
        <f t="shared" si="20"/>
        <v>23</v>
      </c>
      <c r="B1605" s="59" t="str">
        <f t="shared" si="21"/>
        <v/>
      </c>
      <c r="C1605" s="59" t="str">
        <f t="shared" si="22"/>
        <v/>
      </c>
      <c r="D1605" s="45" t="str">
        <f t="shared" si="23"/>
        <v/>
      </c>
      <c r="E1605" s="45" t="str">
        <f t="shared" si="24"/>
        <v/>
      </c>
      <c r="F1605" s="59" t="str">
        <f t="shared" si="25"/>
        <v/>
      </c>
      <c r="G1605" s="59" t="str">
        <f t="shared" si="26"/>
        <v/>
      </c>
      <c r="H1605" s="59" t="str">
        <f t="shared" si="27"/>
        <v>Xúclật855H</v>
      </c>
      <c r="I1605" s="59" t="str">
        <f>IF(OR($A1605="",$C1605="",$D1605="",$E1605="",$H1605=""),"",SUMIFS(DATA_GOC!$H:$H,DATA_GOC!$A:$A,"BOM",DATA_GOC!$D:$D,$H1605,DATA_GOC!$E:$E,$C1605,DATA_GOC!$F:$F,"Xuất nội bộ từ téc",DATA_GOC!$B:$B,"&gt;="&amp;$D1605,DATA_GOC!$B:$B,"&lt;="&amp;$E1605))</f>
        <v/>
      </c>
      <c r="J1605" s="59">
        <f t="shared" si="28"/>
        <v>0</v>
      </c>
      <c r="K1605" s="59">
        <f t="shared" si="29"/>
        <v>0</v>
      </c>
      <c r="L1605" s="59">
        <f t="shared" si="30"/>
        <v>0</v>
      </c>
      <c r="M1605" s="59">
        <f t="shared" si="31"/>
        <v>0</v>
      </c>
    </row>
    <row r="1606" ht="15.0" hidden="1" customHeight="1">
      <c r="A1606" s="59">
        <f t="shared" si="20"/>
        <v>23</v>
      </c>
      <c r="B1606" s="59" t="str">
        <f t="shared" si="21"/>
        <v/>
      </c>
      <c r="C1606" s="59" t="str">
        <f t="shared" si="22"/>
        <v/>
      </c>
      <c r="D1606" s="45" t="str">
        <f t="shared" si="23"/>
        <v/>
      </c>
      <c r="E1606" s="45" t="str">
        <f t="shared" si="24"/>
        <v/>
      </c>
      <c r="F1606" s="59" t="str">
        <f t="shared" si="25"/>
        <v/>
      </c>
      <c r="G1606" s="59" t="str">
        <f t="shared" si="26"/>
        <v/>
      </c>
      <c r="H1606" s="59" t="str">
        <f t="shared" si="27"/>
        <v>Xúclật855N</v>
      </c>
      <c r="I1606" s="59" t="str">
        <f>IF(OR($A1606="",$C1606="",$D1606="",$E1606="",$H1606=""),"",SUMIFS(DATA_GOC!$H:$H,DATA_GOC!$A:$A,"BOM",DATA_GOC!$D:$D,$H1606,DATA_GOC!$E:$E,$C1606,DATA_GOC!$F:$F,"Xuất nội bộ từ téc",DATA_GOC!$B:$B,"&gt;="&amp;$D1606,DATA_GOC!$B:$B,"&lt;="&amp;$E1606))</f>
        <v/>
      </c>
      <c r="J1606" s="59">
        <f t="shared" si="28"/>
        <v>0</v>
      </c>
      <c r="K1606" s="59">
        <f t="shared" si="29"/>
        <v>0</v>
      </c>
      <c r="L1606" s="59">
        <f t="shared" si="30"/>
        <v>0</v>
      </c>
      <c r="M1606" s="59">
        <f t="shared" si="31"/>
        <v>0</v>
      </c>
    </row>
    <row r="1607" ht="15.0" hidden="1" customHeight="1">
      <c r="A1607" s="59">
        <f t="shared" si="20"/>
        <v>23</v>
      </c>
      <c r="B1607" s="59" t="str">
        <f t="shared" si="21"/>
        <v/>
      </c>
      <c r="C1607" s="59" t="str">
        <f t="shared" si="22"/>
        <v/>
      </c>
      <c r="D1607" s="45" t="str">
        <f t="shared" si="23"/>
        <v/>
      </c>
      <c r="E1607" s="45" t="str">
        <f t="shared" si="24"/>
        <v/>
      </c>
      <c r="F1607" s="59" t="str">
        <f t="shared" si="25"/>
        <v/>
      </c>
      <c r="G1607" s="59" t="str">
        <f t="shared" si="26"/>
        <v/>
      </c>
      <c r="H1607" s="59" t="str">
        <f t="shared" si="27"/>
        <v>Cát nghiền</v>
      </c>
      <c r="I1607" s="59" t="str">
        <f>IF(OR($A1607="",$C1607="",$D1607="",$E1607="",$H1607=""),"",SUMIFS(DATA_GOC!$H:$H,DATA_GOC!$A:$A,"BOM",DATA_GOC!$D:$D,$H1607,DATA_GOC!$E:$E,$C1607,DATA_GOC!$F:$F,"Xuất nội bộ từ téc",DATA_GOC!$B:$B,"&gt;="&amp;$D1607,DATA_GOC!$B:$B,"&lt;="&amp;$E1607))</f>
        <v/>
      </c>
      <c r="J1607" s="59">
        <f t="shared" si="28"/>
        <v>0</v>
      </c>
      <c r="K1607" s="59">
        <f t="shared" si="29"/>
        <v>0</v>
      </c>
      <c r="L1607" s="59">
        <f t="shared" si="30"/>
        <v>0</v>
      </c>
      <c r="M1607" s="59">
        <f t="shared" si="31"/>
        <v>0</v>
      </c>
    </row>
    <row r="1608" ht="15.0" hidden="1" customHeight="1">
      <c r="A1608" s="59">
        <f t="shared" si="20"/>
        <v>23</v>
      </c>
      <c r="B1608" s="59" t="str">
        <f t="shared" si="21"/>
        <v/>
      </c>
      <c r="C1608" s="59" t="str">
        <f t="shared" si="22"/>
        <v/>
      </c>
      <c r="D1608" s="45" t="str">
        <f t="shared" si="23"/>
        <v/>
      </c>
      <c r="E1608" s="45" t="str">
        <f t="shared" si="24"/>
        <v/>
      </c>
      <c r="F1608" s="59" t="str">
        <f t="shared" si="25"/>
        <v/>
      </c>
      <c r="G1608" s="59" t="str">
        <f t="shared" si="26"/>
        <v/>
      </c>
      <c r="H1608" s="59" t="str">
        <f t="shared" si="27"/>
        <v>28C02973</v>
      </c>
      <c r="I1608" s="59" t="str">
        <f>IF(OR($A1608="",$C1608="",$D1608="",$E1608="",$H1608=""),"",SUMIFS(DATA_GOC!$H:$H,DATA_GOC!$A:$A,"BOM",DATA_GOC!$D:$D,$H1608,DATA_GOC!$E:$E,$C1608,DATA_GOC!$F:$F,"Xuất nội bộ từ téc",DATA_GOC!$B:$B,"&gt;="&amp;$D1608,DATA_GOC!$B:$B,"&lt;="&amp;$E1608))</f>
        <v/>
      </c>
      <c r="J1608" s="59">
        <f t="shared" si="28"/>
        <v>0</v>
      </c>
      <c r="K1608" s="59">
        <f t="shared" si="29"/>
        <v>0</v>
      </c>
      <c r="L1608" s="59">
        <f t="shared" si="30"/>
        <v>0</v>
      </c>
      <c r="M1608" s="59">
        <f t="shared" si="31"/>
        <v>0</v>
      </c>
    </row>
    <row r="1609" ht="15.0" hidden="1" customHeight="1">
      <c r="A1609" s="59">
        <f t="shared" si="20"/>
        <v>23</v>
      </c>
      <c r="B1609" s="59" t="str">
        <f t="shared" si="21"/>
        <v/>
      </c>
      <c r="C1609" s="59" t="str">
        <f t="shared" si="22"/>
        <v/>
      </c>
      <c r="D1609" s="45" t="str">
        <f t="shared" si="23"/>
        <v/>
      </c>
      <c r="E1609" s="45" t="str">
        <f t="shared" si="24"/>
        <v/>
      </c>
      <c r="F1609" s="59" t="str">
        <f t="shared" si="25"/>
        <v/>
      </c>
      <c r="G1609" s="59" t="str">
        <f t="shared" si="26"/>
        <v/>
      </c>
      <c r="H1609" s="59" t="str">
        <f t="shared" si="27"/>
        <v>28C03044</v>
      </c>
      <c r="I1609" s="59" t="str">
        <f>IF(OR($A1609="",$C1609="",$D1609="",$E1609="",$H1609=""),"",SUMIFS(DATA_GOC!$H:$H,DATA_GOC!$A:$A,"BOM",DATA_GOC!$D:$D,$H1609,DATA_GOC!$E:$E,$C1609,DATA_GOC!$F:$F,"Xuất nội bộ từ téc",DATA_GOC!$B:$B,"&gt;="&amp;$D1609,DATA_GOC!$B:$B,"&lt;="&amp;$E1609))</f>
        <v/>
      </c>
      <c r="J1609" s="59">
        <f t="shared" si="28"/>
        <v>0</v>
      </c>
      <c r="K1609" s="59">
        <f t="shared" si="29"/>
        <v>0</v>
      </c>
      <c r="L1609" s="59">
        <f t="shared" si="30"/>
        <v>0</v>
      </c>
      <c r="M1609" s="59">
        <f t="shared" si="31"/>
        <v>0</v>
      </c>
    </row>
    <row r="1610" ht="15.0" hidden="1" customHeight="1">
      <c r="A1610" s="59">
        <f t="shared" si="20"/>
        <v>23</v>
      </c>
      <c r="B1610" s="59" t="str">
        <f t="shared" si="21"/>
        <v/>
      </c>
      <c r="C1610" s="59" t="str">
        <f t="shared" si="22"/>
        <v/>
      </c>
      <c r="D1610" s="45" t="str">
        <f t="shared" si="23"/>
        <v/>
      </c>
      <c r="E1610" s="45" t="str">
        <f t="shared" si="24"/>
        <v/>
      </c>
      <c r="F1610" s="59" t="str">
        <f t="shared" si="25"/>
        <v/>
      </c>
      <c r="G1610" s="59" t="str">
        <f t="shared" si="26"/>
        <v/>
      </c>
      <c r="H1610" s="59" t="str">
        <f t="shared" si="27"/>
        <v>Máy lu lốp</v>
      </c>
      <c r="I1610" s="59" t="str">
        <f>IF(OR($A1610="",$C1610="",$D1610="",$E1610="",$H1610=""),"",SUMIFS(DATA_GOC!$H:$H,DATA_GOC!$A:$A,"BOM",DATA_GOC!$D:$D,$H1610,DATA_GOC!$E:$E,$C1610,DATA_GOC!$F:$F,"Xuất nội bộ từ téc",DATA_GOC!$B:$B,"&gt;="&amp;$D1610,DATA_GOC!$B:$B,"&lt;="&amp;$E1610))</f>
        <v/>
      </c>
      <c r="J1610" s="59">
        <f t="shared" si="28"/>
        <v>0</v>
      </c>
      <c r="K1610" s="59">
        <f t="shared" si="29"/>
        <v>0</v>
      </c>
      <c r="L1610" s="59">
        <f t="shared" si="30"/>
        <v>0</v>
      </c>
      <c r="M1610" s="59">
        <f t="shared" si="31"/>
        <v>0</v>
      </c>
    </row>
    <row r="1611" ht="15.0" hidden="1" customHeight="1">
      <c r="A1611" s="59">
        <f t="shared" si="20"/>
        <v>23</v>
      </c>
      <c r="B1611" s="59" t="str">
        <f t="shared" si="21"/>
        <v/>
      </c>
      <c r="C1611" s="59" t="str">
        <f t="shared" si="22"/>
        <v/>
      </c>
      <c r="D1611" s="45" t="str">
        <f t="shared" si="23"/>
        <v/>
      </c>
      <c r="E1611" s="45" t="str">
        <f t="shared" si="24"/>
        <v/>
      </c>
      <c r="F1611" s="59" t="str">
        <f t="shared" si="25"/>
        <v/>
      </c>
      <c r="G1611" s="59" t="str">
        <f t="shared" si="26"/>
        <v/>
      </c>
      <c r="H1611" s="59" t="str">
        <f t="shared" si="27"/>
        <v>Xe 600148</v>
      </c>
      <c r="I1611" s="59" t="str">
        <f>IF(OR($A1611="",$C1611="",$D1611="",$E1611="",$H1611=""),"",SUMIFS(DATA_GOC!$H:$H,DATA_GOC!$A:$A,"BOM",DATA_GOC!$D:$D,$H1611,DATA_GOC!$E:$E,$C1611,DATA_GOC!$F:$F,"Xuất nội bộ từ téc",DATA_GOC!$B:$B,"&gt;="&amp;$D1611,DATA_GOC!$B:$B,"&lt;="&amp;$E1611))</f>
        <v/>
      </c>
      <c r="J1611" s="59">
        <f t="shared" si="28"/>
        <v>0</v>
      </c>
      <c r="K1611" s="59">
        <f t="shared" si="29"/>
        <v>0</v>
      </c>
      <c r="L1611" s="59">
        <f t="shared" si="30"/>
        <v>0</v>
      </c>
      <c r="M1611" s="59">
        <f t="shared" si="31"/>
        <v>0</v>
      </c>
    </row>
    <row r="1612" ht="15.0" hidden="1" customHeight="1">
      <c r="A1612" s="59">
        <f t="shared" si="20"/>
        <v>23</v>
      </c>
      <c r="B1612" s="59" t="str">
        <f t="shared" si="21"/>
        <v/>
      </c>
      <c r="C1612" s="59" t="str">
        <f t="shared" si="22"/>
        <v/>
      </c>
      <c r="D1612" s="45" t="str">
        <f t="shared" si="23"/>
        <v/>
      </c>
      <c r="E1612" s="45" t="str">
        <f t="shared" si="24"/>
        <v/>
      </c>
      <c r="F1612" s="59" t="str">
        <f t="shared" si="25"/>
        <v/>
      </c>
      <c r="G1612" s="59" t="str">
        <f t="shared" si="26"/>
        <v/>
      </c>
      <c r="H1612" s="59" t="str">
        <f t="shared" si="27"/>
        <v>Xe ben mới</v>
      </c>
      <c r="I1612" s="59" t="str">
        <f>IF(OR($A1612="",$C1612="",$D1612="",$E1612="",$H1612=""),"",SUMIFS(DATA_GOC!$H:$H,DATA_GOC!$A:$A,"BOM",DATA_GOC!$D:$D,$H1612,DATA_GOC!$E:$E,$C1612,DATA_GOC!$F:$F,"Xuất nội bộ từ téc",DATA_GOC!$B:$B,"&gt;="&amp;$D1612,DATA_GOC!$B:$B,"&lt;="&amp;$E1612))</f>
        <v/>
      </c>
      <c r="J1612" s="59">
        <f t="shared" si="28"/>
        <v>0</v>
      </c>
      <c r="K1612" s="59">
        <f t="shared" si="29"/>
        <v>0</v>
      </c>
      <c r="L1612" s="59">
        <f t="shared" si="30"/>
        <v>0</v>
      </c>
      <c r="M1612" s="59">
        <f t="shared" si="31"/>
        <v>0</v>
      </c>
    </row>
    <row r="1613" ht="15.0" hidden="1" customHeight="1">
      <c r="A1613" s="59">
        <f t="shared" si="20"/>
        <v>24</v>
      </c>
      <c r="B1613" s="59" t="str">
        <f t="shared" si="21"/>
        <v/>
      </c>
      <c r="C1613" s="59" t="str">
        <f t="shared" si="22"/>
        <v/>
      </c>
      <c r="D1613" s="45" t="str">
        <f t="shared" si="23"/>
        <v/>
      </c>
      <c r="E1613" s="45" t="str">
        <f t="shared" si="24"/>
        <v/>
      </c>
      <c r="F1613" s="59" t="str">
        <f t="shared" si="25"/>
        <v/>
      </c>
      <c r="G1613" s="59" t="str">
        <f t="shared" si="26"/>
        <v/>
      </c>
      <c r="H1613" s="59" t="str">
        <f t="shared" si="27"/>
        <v>19H09482</v>
      </c>
      <c r="I1613" s="59" t="str">
        <f>IF(OR($A1613="",$C1613="",$D1613="",$E1613="",$H1613=""),"",SUMIFS(DATA_GOC!$H:$H,DATA_GOC!$A:$A,"BOM",DATA_GOC!$D:$D,$H1613,DATA_GOC!$E:$E,$C1613,DATA_GOC!$F:$F,"Xuất nội bộ từ téc",DATA_GOC!$B:$B,"&gt;="&amp;$D1613,DATA_GOC!$B:$B,"&lt;="&amp;$E1613))</f>
        <v/>
      </c>
      <c r="J1613" s="59">
        <f t="shared" si="28"/>
        <v>0</v>
      </c>
      <c r="K1613" s="59">
        <f t="shared" si="29"/>
        <v>0</v>
      </c>
      <c r="L1613" s="59">
        <f t="shared" si="30"/>
        <v>0</v>
      </c>
      <c r="M1613" s="59">
        <f t="shared" si="31"/>
        <v>0</v>
      </c>
    </row>
    <row r="1614" ht="15.0" hidden="1" customHeight="1">
      <c r="A1614" s="59">
        <f t="shared" si="20"/>
        <v>24</v>
      </c>
      <c r="B1614" s="59" t="str">
        <f t="shared" si="21"/>
        <v/>
      </c>
      <c r="C1614" s="59" t="str">
        <f t="shared" si="22"/>
        <v/>
      </c>
      <c r="D1614" s="45" t="str">
        <f t="shared" si="23"/>
        <v/>
      </c>
      <c r="E1614" s="45" t="str">
        <f t="shared" si="24"/>
        <v/>
      </c>
      <c r="F1614" s="59" t="str">
        <f t="shared" si="25"/>
        <v/>
      </c>
      <c r="G1614" s="59" t="str">
        <f t="shared" si="26"/>
        <v/>
      </c>
      <c r="H1614" s="59" t="str">
        <f t="shared" si="27"/>
        <v>28A30696</v>
      </c>
      <c r="I1614" s="59" t="str">
        <f>IF(OR($A1614="",$C1614="",$D1614="",$E1614="",$H1614=""),"",SUMIFS(DATA_GOC!$H:$H,DATA_GOC!$A:$A,"BOM",DATA_GOC!$D:$D,$H1614,DATA_GOC!$E:$E,$C1614,DATA_GOC!$F:$F,"Xuất nội bộ từ téc",DATA_GOC!$B:$B,"&gt;="&amp;$D1614,DATA_GOC!$B:$B,"&lt;="&amp;$E1614))</f>
        <v/>
      </c>
      <c r="J1614" s="59">
        <f t="shared" si="28"/>
        <v>0</v>
      </c>
      <c r="K1614" s="59">
        <f t="shared" si="29"/>
        <v>0</v>
      </c>
      <c r="L1614" s="59">
        <f t="shared" si="30"/>
        <v>0</v>
      </c>
      <c r="M1614" s="59">
        <f t="shared" si="31"/>
        <v>0</v>
      </c>
    </row>
    <row r="1615" ht="15.0" hidden="1" customHeight="1">
      <c r="A1615" s="59">
        <f t="shared" si="20"/>
        <v>24</v>
      </c>
      <c r="B1615" s="59" t="str">
        <f t="shared" si="21"/>
        <v/>
      </c>
      <c r="C1615" s="59" t="str">
        <f t="shared" si="22"/>
        <v/>
      </c>
      <c r="D1615" s="45" t="str">
        <f t="shared" si="23"/>
        <v/>
      </c>
      <c r="E1615" s="45" t="str">
        <f t="shared" si="24"/>
        <v/>
      </c>
      <c r="F1615" s="59" t="str">
        <f t="shared" si="25"/>
        <v/>
      </c>
      <c r="G1615" s="59" t="str">
        <f t="shared" si="26"/>
        <v/>
      </c>
      <c r="H1615" s="59" t="str">
        <f t="shared" si="27"/>
        <v>28C00462</v>
      </c>
      <c r="I1615" s="59" t="str">
        <f>IF(OR($A1615="",$C1615="",$D1615="",$E1615="",$H1615=""),"",SUMIFS(DATA_GOC!$H:$H,DATA_GOC!$A:$A,"BOM",DATA_GOC!$D:$D,$H1615,DATA_GOC!$E:$E,$C1615,DATA_GOC!$F:$F,"Xuất nội bộ từ téc",DATA_GOC!$B:$B,"&gt;="&amp;$D1615,DATA_GOC!$B:$B,"&lt;="&amp;$E1615))</f>
        <v/>
      </c>
      <c r="J1615" s="59">
        <f t="shared" si="28"/>
        <v>0</v>
      </c>
      <c r="K1615" s="59">
        <f t="shared" si="29"/>
        <v>0</v>
      </c>
      <c r="L1615" s="59">
        <f t="shared" si="30"/>
        <v>0</v>
      </c>
      <c r="M1615" s="59">
        <f t="shared" si="31"/>
        <v>0</v>
      </c>
    </row>
    <row r="1616" ht="15.0" hidden="1" customHeight="1">
      <c r="A1616" s="59">
        <f t="shared" si="20"/>
        <v>24</v>
      </c>
      <c r="B1616" s="59" t="str">
        <f t="shared" si="21"/>
        <v/>
      </c>
      <c r="C1616" s="59" t="str">
        <f t="shared" si="22"/>
        <v/>
      </c>
      <c r="D1616" s="45" t="str">
        <f t="shared" si="23"/>
        <v/>
      </c>
      <c r="E1616" s="45" t="str">
        <f t="shared" si="24"/>
        <v/>
      </c>
      <c r="F1616" s="59" t="str">
        <f t="shared" si="25"/>
        <v/>
      </c>
      <c r="G1616" s="59" t="str">
        <f t="shared" si="26"/>
        <v/>
      </c>
      <c r="H1616" s="59" t="str">
        <f t="shared" si="27"/>
        <v>28C01165</v>
      </c>
      <c r="I1616" s="59" t="str">
        <f>IF(OR($A1616="",$C1616="",$D1616="",$E1616="",$H1616=""),"",SUMIFS(DATA_GOC!$H:$H,DATA_GOC!$A:$A,"BOM",DATA_GOC!$D:$D,$H1616,DATA_GOC!$E:$E,$C1616,DATA_GOC!$F:$F,"Xuất nội bộ từ téc",DATA_GOC!$B:$B,"&gt;="&amp;$D1616,DATA_GOC!$B:$B,"&lt;="&amp;$E1616))</f>
        <v/>
      </c>
      <c r="J1616" s="59">
        <f t="shared" si="28"/>
        <v>0</v>
      </c>
      <c r="K1616" s="59">
        <f t="shared" si="29"/>
        <v>0</v>
      </c>
      <c r="L1616" s="59">
        <f t="shared" si="30"/>
        <v>0</v>
      </c>
      <c r="M1616" s="59">
        <f t="shared" si="31"/>
        <v>0</v>
      </c>
    </row>
    <row r="1617" ht="15.0" hidden="1" customHeight="1">
      <c r="A1617" s="59">
        <f t="shared" si="20"/>
        <v>24</v>
      </c>
      <c r="B1617" s="59" t="str">
        <f t="shared" si="21"/>
        <v/>
      </c>
      <c r="C1617" s="59" t="str">
        <f t="shared" si="22"/>
        <v/>
      </c>
      <c r="D1617" s="45" t="str">
        <f t="shared" si="23"/>
        <v/>
      </c>
      <c r="E1617" s="45" t="str">
        <f t="shared" si="24"/>
        <v/>
      </c>
      <c r="F1617" s="59" t="str">
        <f t="shared" si="25"/>
        <v/>
      </c>
      <c r="G1617" s="59" t="str">
        <f t="shared" si="26"/>
        <v/>
      </c>
      <c r="H1617" s="59" t="str">
        <f t="shared" si="27"/>
        <v>28C01406</v>
      </c>
      <c r="I1617" s="59" t="str">
        <f>IF(OR($A1617="",$C1617="",$D1617="",$E1617="",$H1617=""),"",SUMIFS(DATA_GOC!$H:$H,DATA_GOC!$A:$A,"BOM",DATA_GOC!$D:$D,$H1617,DATA_GOC!$E:$E,$C1617,DATA_GOC!$F:$F,"Xuất nội bộ từ téc",DATA_GOC!$B:$B,"&gt;="&amp;$D1617,DATA_GOC!$B:$B,"&lt;="&amp;$E1617))</f>
        <v/>
      </c>
      <c r="J1617" s="59">
        <f t="shared" si="28"/>
        <v>0</v>
      </c>
      <c r="K1617" s="59">
        <f t="shared" si="29"/>
        <v>0</v>
      </c>
      <c r="L1617" s="59">
        <f t="shared" si="30"/>
        <v>0</v>
      </c>
      <c r="M1617" s="59">
        <f t="shared" si="31"/>
        <v>0</v>
      </c>
    </row>
    <row r="1618" ht="15.0" hidden="1" customHeight="1">
      <c r="A1618" s="59">
        <f t="shared" si="20"/>
        <v>24</v>
      </c>
      <c r="B1618" s="59" t="str">
        <f t="shared" si="21"/>
        <v/>
      </c>
      <c r="C1618" s="59" t="str">
        <f t="shared" si="22"/>
        <v/>
      </c>
      <c r="D1618" s="45" t="str">
        <f t="shared" si="23"/>
        <v/>
      </c>
      <c r="E1618" s="45" t="str">
        <f t="shared" si="24"/>
        <v/>
      </c>
      <c r="F1618" s="59" t="str">
        <f t="shared" si="25"/>
        <v/>
      </c>
      <c r="G1618" s="59" t="str">
        <f t="shared" si="26"/>
        <v/>
      </c>
      <c r="H1618" s="59" t="str">
        <f t="shared" si="27"/>
        <v>28C01544</v>
      </c>
      <c r="I1618" s="59" t="str">
        <f>IF(OR($A1618="",$C1618="",$D1618="",$E1618="",$H1618=""),"",SUMIFS(DATA_GOC!$H:$H,DATA_GOC!$A:$A,"BOM",DATA_GOC!$D:$D,$H1618,DATA_GOC!$E:$E,$C1618,DATA_GOC!$F:$F,"Xuất nội bộ từ téc",DATA_GOC!$B:$B,"&gt;="&amp;$D1618,DATA_GOC!$B:$B,"&lt;="&amp;$E1618))</f>
        <v/>
      </c>
      <c r="J1618" s="59">
        <f t="shared" si="28"/>
        <v>0</v>
      </c>
      <c r="K1618" s="59">
        <f t="shared" si="29"/>
        <v>0</v>
      </c>
      <c r="L1618" s="59">
        <f t="shared" si="30"/>
        <v>0</v>
      </c>
      <c r="M1618" s="59">
        <f t="shared" si="31"/>
        <v>0</v>
      </c>
    </row>
    <row r="1619" ht="15.0" hidden="1" customHeight="1">
      <c r="A1619" s="59">
        <f t="shared" si="20"/>
        <v>24</v>
      </c>
      <c r="B1619" s="59" t="str">
        <f t="shared" si="21"/>
        <v/>
      </c>
      <c r="C1619" s="59" t="str">
        <f t="shared" si="22"/>
        <v/>
      </c>
      <c r="D1619" s="45" t="str">
        <f t="shared" si="23"/>
        <v/>
      </c>
      <c r="E1619" s="45" t="str">
        <f t="shared" si="24"/>
        <v/>
      </c>
      <c r="F1619" s="59" t="str">
        <f t="shared" si="25"/>
        <v/>
      </c>
      <c r="G1619" s="59" t="str">
        <f t="shared" si="26"/>
        <v/>
      </c>
      <c r="H1619" s="59" t="str">
        <f t="shared" si="27"/>
        <v>28C01622</v>
      </c>
      <c r="I1619" s="59" t="str">
        <f>IF(OR($A1619="",$C1619="",$D1619="",$E1619="",$H1619=""),"",SUMIFS(DATA_GOC!$H:$H,DATA_GOC!$A:$A,"BOM",DATA_GOC!$D:$D,$H1619,DATA_GOC!$E:$E,$C1619,DATA_GOC!$F:$F,"Xuất nội bộ từ téc",DATA_GOC!$B:$B,"&gt;="&amp;$D1619,DATA_GOC!$B:$B,"&lt;="&amp;$E1619))</f>
        <v/>
      </c>
      <c r="J1619" s="59">
        <f t="shared" si="28"/>
        <v>0</v>
      </c>
      <c r="K1619" s="59">
        <f t="shared" si="29"/>
        <v>0</v>
      </c>
      <c r="L1619" s="59">
        <f t="shared" si="30"/>
        <v>0</v>
      </c>
      <c r="M1619" s="59">
        <f t="shared" si="31"/>
        <v>0</v>
      </c>
    </row>
    <row r="1620" ht="15.0" hidden="1" customHeight="1">
      <c r="A1620" s="59">
        <f t="shared" si="20"/>
        <v>24</v>
      </c>
      <c r="B1620" s="59" t="str">
        <f t="shared" si="21"/>
        <v/>
      </c>
      <c r="C1620" s="59" t="str">
        <f t="shared" si="22"/>
        <v/>
      </c>
      <c r="D1620" s="45" t="str">
        <f t="shared" si="23"/>
        <v/>
      </c>
      <c r="E1620" s="45" t="str">
        <f t="shared" si="24"/>
        <v/>
      </c>
      <c r="F1620" s="59" t="str">
        <f t="shared" si="25"/>
        <v/>
      </c>
      <c r="G1620" s="59" t="str">
        <f t="shared" si="26"/>
        <v/>
      </c>
      <c r="H1620" s="59" t="str">
        <f t="shared" si="27"/>
        <v>28C01647</v>
      </c>
      <c r="I1620" s="59" t="str">
        <f>IF(OR($A1620="",$C1620="",$D1620="",$E1620="",$H1620=""),"",SUMIFS(DATA_GOC!$H:$H,DATA_GOC!$A:$A,"BOM",DATA_GOC!$D:$D,$H1620,DATA_GOC!$E:$E,$C1620,DATA_GOC!$F:$F,"Xuất nội bộ từ téc",DATA_GOC!$B:$B,"&gt;="&amp;$D1620,DATA_GOC!$B:$B,"&lt;="&amp;$E1620))</f>
        <v/>
      </c>
      <c r="J1620" s="59">
        <f t="shared" si="28"/>
        <v>0</v>
      </c>
      <c r="K1620" s="59">
        <f t="shared" si="29"/>
        <v>0</v>
      </c>
      <c r="L1620" s="59">
        <f t="shared" si="30"/>
        <v>0</v>
      </c>
      <c r="M1620" s="59">
        <f t="shared" si="31"/>
        <v>0</v>
      </c>
    </row>
    <row r="1621" ht="15.0" hidden="1" customHeight="1">
      <c r="A1621" s="59">
        <f t="shared" si="20"/>
        <v>24</v>
      </c>
      <c r="B1621" s="59" t="str">
        <f t="shared" si="21"/>
        <v/>
      </c>
      <c r="C1621" s="59" t="str">
        <f t="shared" si="22"/>
        <v/>
      </c>
      <c r="D1621" s="45" t="str">
        <f t="shared" si="23"/>
        <v/>
      </c>
      <c r="E1621" s="45" t="str">
        <f t="shared" si="24"/>
        <v/>
      </c>
      <c r="F1621" s="59" t="str">
        <f t="shared" si="25"/>
        <v/>
      </c>
      <c r="G1621" s="59" t="str">
        <f t="shared" si="26"/>
        <v/>
      </c>
      <c r="H1621" s="59" t="str">
        <f t="shared" si="27"/>
        <v>28C01731</v>
      </c>
      <c r="I1621" s="59" t="str">
        <f>IF(OR($A1621="",$C1621="",$D1621="",$E1621="",$H1621=""),"",SUMIFS(DATA_GOC!$H:$H,DATA_GOC!$A:$A,"BOM",DATA_GOC!$D:$D,$H1621,DATA_GOC!$E:$E,$C1621,DATA_GOC!$F:$F,"Xuất nội bộ từ téc",DATA_GOC!$B:$B,"&gt;="&amp;$D1621,DATA_GOC!$B:$B,"&lt;="&amp;$E1621))</f>
        <v/>
      </c>
      <c r="J1621" s="59">
        <f t="shared" si="28"/>
        <v>0</v>
      </c>
      <c r="K1621" s="59">
        <f t="shared" si="29"/>
        <v>0</v>
      </c>
      <c r="L1621" s="59">
        <f t="shared" si="30"/>
        <v>0</v>
      </c>
      <c r="M1621" s="59">
        <f t="shared" si="31"/>
        <v>0</v>
      </c>
    </row>
    <row r="1622" ht="15.0" hidden="1" customHeight="1">
      <c r="A1622" s="59">
        <f t="shared" si="20"/>
        <v>24</v>
      </c>
      <c r="B1622" s="59" t="str">
        <f t="shared" si="21"/>
        <v/>
      </c>
      <c r="C1622" s="59" t="str">
        <f t="shared" si="22"/>
        <v/>
      </c>
      <c r="D1622" s="45" t="str">
        <f t="shared" si="23"/>
        <v/>
      </c>
      <c r="E1622" s="45" t="str">
        <f t="shared" si="24"/>
        <v/>
      </c>
      <c r="F1622" s="59" t="str">
        <f t="shared" si="25"/>
        <v/>
      </c>
      <c r="G1622" s="59" t="str">
        <f t="shared" si="26"/>
        <v/>
      </c>
      <c r="H1622" s="59" t="str">
        <f t="shared" si="27"/>
        <v>28C01743</v>
      </c>
      <c r="I1622" s="59" t="str">
        <f>IF(OR($A1622="",$C1622="",$D1622="",$E1622="",$H1622=""),"",SUMIFS(DATA_GOC!$H:$H,DATA_GOC!$A:$A,"BOM",DATA_GOC!$D:$D,$H1622,DATA_GOC!$E:$E,$C1622,DATA_GOC!$F:$F,"Xuất nội bộ từ téc",DATA_GOC!$B:$B,"&gt;="&amp;$D1622,DATA_GOC!$B:$B,"&lt;="&amp;$E1622))</f>
        <v/>
      </c>
      <c r="J1622" s="59">
        <f t="shared" si="28"/>
        <v>0</v>
      </c>
      <c r="K1622" s="59">
        <f t="shared" si="29"/>
        <v>0</v>
      </c>
      <c r="L1622" s="59">
        <f t="shared" si="30"/>
        <v>0</v>
      </c>
      <c r="M1622" s="59">
        <f t="shared" si="31"/>
        <v>0</v>
      </c>
    </row>
    <row r="1623" ht="15.0" hidden="1" customHeight="1">
      <c r="A1623" s="59">
        <f t="shared" si="20"/>
        <v>24</v>
      </c>
      <c r="B1623" s="59" t="str">
        <f t="shared" si="21"/>
        <v/>
      </c>
      <c r="C1623" s="59" t="str">
        <f t="shared" si="22"/>
        <v/>
      </c>
      <c r="D1623" s="45" t="str">
        <f t="shared" si="23"/>
        <v/>
      </c>
      <c r="E1623" s="45" t="str">
        <f t="shared" si="24"/>
        <v/>
      </c>
      <c r="F1623" s="59" t="str">
        <f t="shared" si="25"/>
        <v/>
      </c>
      <c r="G1623" s="59" t="str">
        <f t="shared" si="26"/>
        <v/>
      </c>
      <c r="H1623" s="59" t="str">
        <f t="shared" si="27"/>
        <v>28C02106</v>
      </c>
      <c r="I1623" s="59" t="str">
        <f>IF(OR($A1623="",$C1623="",$D1623="",$E1623="",$H1623=""),"",SUMIFS(DATA_GOC!$H:$H,DATA_GOC!$A:$A,"BOM",DATA_GOC!$D:$D,$H1623,DATA_GOC!$E:$E,$C1623,DATA_GOC!$F:$F,"Xuất nội bộ từ téc",DATA_GOC!$B:$B,"&gt;="&amp;$D1623,DATA_GOC!$B:$B,"&lt;="&amp;$E1623))</f>
        <v/>
      </c>
      <c r="J1623" s="59">
        <f t="shared" si="28"/>
        <v>0</v>
      </c>
      <c r="K1623" s="59">
        <f t="shared" si="29"/>
        <v>0</v>
      </c>
      <c r="L1623" s="59">
        <f t="shared" si="30"/>
        <v>0</v>
      </c>
      <c r="M1623" s="59">
        <f t="shared" si="31"/>
        <v>0</v>
      </c>
    </row>
    <row r="1624" ht="15.0" hidden="1" customHeight="1">
      <c r="A1624" s="59">
        <f t="shared" si="20"/>
        <v>24</v>
      </c>
      <c r="B1624" s="59" t="str">
        <f t="shared" si="21"/>
        <v/>
      </c>
      <c r="C1624" s="59" t="str">
        <f t="shared" si="22"/>
        <v/>
      </c>
      <c r="D1624" s="45" t="str">
        <f t="shared" si="23"/>
        <v/>
      </c>
      <c r="E1624" s="45" t="str">
        <f t="shared" si="24"/>
        <v/>
      </c>
      <c r="F1624" s="59" t="str">
        <f t="shared" si="25"/>
        <v/>
      </c>
      <c r="G1624" s="59" t="str">
        <f t="shared" si="26"/>
        <v/>
      </c>
      <c r="H1624" s="59" t="str">
        <f t="shared" si="27"/>
        <v>28C02410</v>
      </c>
      <c r="I1624" s="59" t="str">
        <f>IF(OR($A1624="",$C1624="",$D1624="",$E1624="",$H1624=""),"",SUMIFS(DATA_GOC!$H:$H,DATA_GOC!$A:$A,"BOM",DATA_GOC!$D:$D,$H1624,DATA_GOC!$E:$E,$C1624,DATA_GOC!$F:$F,"Xuất nội bộ từ téc",DATA_GOC!$B:$B,"&gt;="&amp;$D1624,DATA_GOC!$B:$B,"&lt;="&amp;$E1624))</f>
        <v/>
      </c>
      <c r="J1624" s="59">
        <f t="shared" si="28"/>
        <v>0</v>
      </c>
      <c r="K1624" s="59">
        <f t="shared" si="29"/>
        <v>0</v>
      </c>
      <c r="L1624" s="59">
        <f t="shared" si="30"/>
        <v>0</v>
      </c>
      <c r="M1624" s="59">
        <f t="shared" si="31"/>
        <v>0</v>
      </c>
    </row>
    <row r="1625" ht="15.0" hidden="1" customHeight="1">
      <c r="A1625" s="59">
        <f t="shared" si="20"/>
        <v>24</v>
      </c>
      <c r="B1625" s="59" t="str">
        <f t="shared" si="21"/>
        <v/>
      </c>
      <c r="C1625" s="59" t="str">
        <f t="shared" si="22"/>
        <v/>
      </c>
      <c r="D1625" s="45" t="str">
        <f t="shared" si="23"/>
        <v/>
      </c>
      <c r="E1625" s="45" t="str">
        <f t="shared" si="24"/>
        <v/>
      </c>
      <c r="F1625" s="59" t="str">
        <f t="shared" si="25"/>
        <v/>
      </c>
      <c r="G1625" s="59" t="str">
        <f t="shared" si="26"/>
        <v/>
      </c>
      <c r="H1625" s="59" t="str">
        <f t="shared" si="27"/>
        <v>28C02545</v>
      </c>
      <c r="I1625" s="59" t="str">
        <f>IF(OR($A1625="",$C1625="",$D1625="",$E1625="",$H1625=""),"",SUMIFS(DATA_GOC!$H:$H,DATA_GOC!$A:$A,"BOM",DATA_GOC!$D:$D,$H1625,DATA_GOC!$E:$E,$C1625,DATA_GOC!$F:$F,"Xuất nội bộ từ téc",DATA_GOC!$B:$B,"&gt;="&amp;$D1625,DATA_GOC!$B:$B,"&lt;="&amp;$E1625))</f>
        <v/>
      </c>
      <c r="J1625" s="59">
        <f t="shared" si="28"/>
        <v>0</v>
      </c>
      <c r="K1625" s="59">
        <f t="shared" si="29"/>
        <v>0</v>
      </c>
      <c r="L1625" s="59">
        <f t="shared" si="30"/>
        <v>0</v>
      </c>
      <c r="M1625" s="59">
        <f t="shared" si="31"/>
        <v>0</v>
      </c>
    </row>
    <row r="1626" ht="15.0" hidden="1" customHeight="1">
      <c r="A1626" s="59">
        <f t="shared" si="20"/>
        <v>24</v>
      </c>
      <c r="B1626" s="59" t="str">
        <f t="shared" si="21"/>
        <v/>
      </c>
      <c r="C1626" s="59" t="str">
        <f t="shared" si="22"/>
        <v/>
      </c>
      <c r="D1626" s="45" t="str">
        <f t="shared" si="23"/>
        <v/>
      </c>
      <c r="E1626" s="45" t="str">
        <f t="shared" si="24"/>
        <v/>
      </c>
      <c r="F1626" s="59" t="str">
        <f t="shared" si="25"/>
        <v/>
      </c>
      <c r="G1626" s="59" t="str">
        <f t="shared" si="26"/>
        <v/>
      </c>
      <c r="H1626" s="59" t="str">
        <f t="shared" si="27"/>
        <v>28C02574</v>
      </c>
      <c r="I1626" s="59" t="str">
        <f>IF(OR($A1626="",$C1626="",$D1626="",$E1626="",$H1626=""),"",SUMIFS(DATA_GOC!$H:$H,DATA_GOC!$A:$A,"BOM",DATA_GOC!$D:$D,$H1626,DATA_GOC!$E:$E,$C1626,DATA_GOC!$F:$F,"Xuất nội bộ từ téc",DATA_GOC!$B:$B,"&gt;="&amp;$D1626,DATA_GOC!$B:$B,"&lt;="&amp;$E1626))</f>
        <v/>
      </c>
      <c r="J1626" s="59">
        <f t="shared" si="28"/>
        <v>0</v>
      </c>
      <c r="K1626" s="59">
        <f t="shared" si="29"/>
        <v>0</v>
      </c>
      <c r="L1626" s="59">
        <f t="shared" si="30"/>
        <v>0</v>
      </c>
      <c r="M1626" s="59">
        <f t="shared" si="31"/>
        <v>0</v>
      </c>
    </row>
    <row r="1627" ht="15.0" hidden="1" customHeight="1">
      <c r="A1627" s="59">
        <f t="shared" si="20"/>
        <v>24</v>
      </c>
      <c r="B1627" s="59" t="str">
        <f t="shared" si="21"/>
        <v/>
      </c>
      <c r="C1627" s="59" t="str">
        <f t="shared" si="22"/>
        <v/>
      </c>
      <c r="D1627" s="45" t="str">
        <f t="shared" si="23"/>
        <v/>
      </c>
      <c r="E1627" s="45" t="str">
        <f t="shared" si="24"/>
        <v/>
      </c>
      <c r="F1627" s="59" t="str">
        <f t="shared" si="25"/>
        <v/>
      </c>
      <c r="G1627" s="59" t="str">
        <f t="shared" si="26"/>
        <v/>
      </c>
      <c r="H1627" s="59" t="str">
        <f t="shared" si="27"/>
        <v>28C02770</v>
      </c>
      <c r="I1627" s="59" t="str">
        <f>IF(OR($A1627="",$C1627="",$D1627="",$E1627="",$H1627=""),"",SUMIFS(DATA_GOC!$H:$H,DATA_GOC!$A:$A,"BOM",DATA_GOC!$D:$D,$H1627,DATA_GOC!$E:$E,$C1627,DATA_GOC!$F:$F,"Xuất nội bộ từ téc",DATA_GOC!$B:$B,"&gt;="&amp;$D1627,DATA_GOC!$B:$B,"&lt;="&amp;$E1627))</f>
        <v/>
      </c>
      <c r="J1627" s="59">
        <f t="shared" si="28"/>
        <v>0</v>
      </c>
      <c r="K1627" s="59">
        <f t="shared" si="29"/>
        <v>0</v>
      </c>
      <c r="L1627" s="59">
        <f t="shared" si="30"/>
        <v>0</v>
      </c>
      <c r="M1627" s="59">
        <f t="shared" si="31"/>
        <v>0</v>
      </c>
    </row>
    <row r="1628" ht="15.0" hidden="1" customHeight="1">
      <c r="A1628" s="59">
        <f t="shared" si="20"/>
        <v>24</v>
      </c>
      <c r="B1628" s="59" t="str">
        <f t="shared" si="21"/>
        <v/>
      </c>
      <c r="C1628" s="59" t="str">
        <f t="shared" si="22"/>
        <v/>
      </c>
      <c r="D1628" s="45" t="str">
        <f t="shared" si="23"/>
        <v/>
      </c>
      <c r="E1628" s="45" t="str">
        <f t="shared" si="24"/>
        <v/>
      </c>
      <c r="F1628" s="59" t="str">
        <f t="shared" si="25"/>
        <v/>
      </c>
      <c r="G1628" s="59" t="str">
        <f t="shared" si="26"/>
        <v/>
      </c>
      <c r="H1628" s="59" t="str">
        <f t="shared" si="27"/>
        <v>28C02986</v>
      </c>
      <c r="I1628" s="59" t="str">
        <f>IF(OR($A1628="",$C1628="",$D1628="",$E1628="",$H1628=""),"",SUMIFS(DATA_GOC!$H:$H,DATA_GOC!$A:$A,"BOM",DATA_GOC!$D:$D,$H1628,DATA_GOC!$E:$E,$C1628,DATA_GOC!$F:$F,"Xuất nội bộ từ téc",DATA_GOC!$B:$B,"&gt;="&amp;$D1628,DATA_GOC!$B:$B,"&lt;="&amp;$E1628))</f>
        <v/>
      </c>
      <c r="J1628" s="59">
        <f t="shared" si="28"/>
        <v>0</v>
      </c>
      <c r="K1628" s="59">
        <f t="shared" si="29"/>
        <v>0</v>
      </c>
      <c r="L1628" s="59">
        <f t="shared" si="30"/>
        <v>0</v>
      </c>
      <c r="M1628" s="59">
        <f t="shared" si="31"/>
        <v>0</v>
      </c>
    </row>
    <row r="1629" ht="15.0" hidden="1" customHeight="1">
      <c r="A1629" s="59">
        <f t="shared" si="20"/>
        <v>24</v>
      </c>
      <c r="B1629" s="59" t="str">
        <f t="shared" si="21"/>
        <v/>
      </c>
      <c r="C1629" s="59" t="str">
        <f t="shared" si="22"/>
        <v/>
      </c>
      <c r="D1629" s="45" t="str">
        <f t="shared" si="23"/>
        <v/>
      </c>
      <c r="E1629" s="45" t="str">
        <f t="shared" si="24"/>
        <v/>
      </c>
      <c r="F1629" s="59" t="str">
        <f t="shared" si="25"/>
        <v/>
      </c>
      <c r="G1629" s="59" t="str">
        <f t="shared" si="26"/>
        <v/>
      </c>
      <c r="H1629" s="59" t="str">
        <f t="shared" si="27"/>
        <v>28C03261</v>
      </c>
      <c r="I1629" s="59" t="str">
        <f>IF(OR($A1629="",$C1629="",$D1629="",$E1629="",$H1629=""),"",SUMIFS(DATA_GOC!$H:$H,DATA_GOC!$A:$A,"BOM",DATA_GOC!$D:$D,$H1629,DATA_GOC!$E:$E,$C1629,DATA_GOC!$F:$F,"Xuất nội bộ từ téc",DATA_GOC!$B:$B,"&gt;="&amp;$D1629,DATA_GOC!$B:$B,"&lt;="&amp;$E1629))</f>
        <v/>
      </c>
      <c r="J1629" s="59">
        <f t="shared" si="28"/>
        <v>0</v>
      </c>
      <c r="K1629" s="59">
        <f t="shared" si="29"/>
        <v>0</v>
      </c>
      <c r="L1629" s="59">
        <f t="shared" si="30"/>
        <v>0</v>
      </c>
      <c r="M1629" s="59">
        <f t="shared" si="31"/>
        <v>0</v>
      </c>
    </row>
    <row r="1630" ht="15.0" hidden="1" customHeight="1">
      <c r="A1630" s="59">
        <f t="shared" si="20"/>
        <v>24</v>
      </c>
      <c r="B1630" s="59" t="str">
        <f t="shared" si="21"/>
        <v/>
      </c>
      <c r="C1630" s="59" t="str">
        <f t="shared" si="22"/>
        <v/>
      </c>
      <c r="D1630" s="45" t="str">
        <f t="shared" si="23"/>
        <v/>
      </c>
      <c r="E1630" s="45" t="str">
        <f t="shared" si="24"/>
        <v/>
      </c>
      <c r="F1630" s="59" t="str">
        <f t="shared" si="25"/>
        <v/>
      </c>
      <c r="G1630" s="59" t="str">
        <f t="shared" si="26"/>
        <v/>
      </c>
      <c r="H1630" s="59" t="str">
        <f t="shared" si="27"/>
        <v>28C03323</v>
      </c>
      <c r="I1630" s="59" t="str">
        <f>IF(OR($A1630="",$C1630="",$D1630="",$E1630="",$H1630=""),"",SUMIFS(DATA_GOC!$H:$H,DATA_GOC!$A:$A,"BOM",DATA_GOC!$D:$D,$H1630,DATA_GOC!$E:$E,$C1630,DATA_GOC!$F:$F,"Xuất nội bộ từ téc",DATA_GOC!$B:$B,"&gt;="&amp;$D1630,DATA_GOC!$B:$B,"&lt;="&amp;$E1630))</f>
        <v/>
      </c>
      <c r="J1630" s="59">
        <f t="shared" si="28"/>
        <v>0</v>
      </c>
      <c r="K1630" s="59">
        <f t="shared" si="29"/>
        <v>0</v>
      </c>
      <c r="L1630" s="59">
        <f t="shared" si="30"/>
        <v>0</v>
      </c>
      <c r="M1630" s="59">
        <f t="shared" si="31"/>
        <v>0</v>
      </c>
    </row>
    <row r="1631" ht="15.0" hidden="1" customHeight="1">
      <c r="A1631" s="59">
        <f t="shared" si="20"/>
        <v>24</v>
      </c>
      <c r="B1631" s="59" t="str">
        <f t="shared" si="21"/>
        <v/>
      </c>
      <c r="C1631" s="59" t="str">
        <f t="shared" si="22"/>
        <v/>
      </c>
      <c r="D1631" s="45" t="str">
        <f t="shared" si="23"/>
        <v/>
      </c>
      <c r="E1631" s="45" t="str">
        <f t="shared" si="24"/>
        <v/>
      </c>
      <c r="F1631" s="59" t="str">
        <f t="shared" si="25"/>
        <v/>
      </c>
      <c r="G1631" s="59" t="str">
        <f t="shared" si="26"/>
        <v/>
      </c>
      <c r="H1631" s="59" t="str">
        <f t="shared" si="27"/>
        <v>28C03385</v>
      </c>
      <c r="I1631" s="59" t="str">
        <f>IF(OR($A1631="",$C1631="",$D1631="",$E1631="",$H1631=""),"",SUMIFS(DATA_GOC!$H:$H,DATA_GOC!$A:$A,"BOM",DATA_GOC!$D:$D,$H1631,DATA_GOC!$E:$E,$C1631,DATA_GOC!$F:$F,"Xuất nội bộ từ téc",DATA_GOC!$B:$B,"&gt;="&amp;$D1631,DATA_GOC!$B:$B,"&lt;="&amp;$E1631))</f>
        <v/>
      </c>
      <c r="J1631" s="59">
        <f t="shared" si="28"/>
        <v>0</v>
      </c>
      <c r="K1631" s="59">
        <f t="shared" si="29"/>
        <v>0</v>
      </c>
      <c r="L1631" s="59">
        <f t="shared" si="30"/>
        <v>0</v>
      </c>
      <c r="M1631" s="59">
        <f t="shared" si="31"/>
        <v>0</v>
      </c>
    </row>
    <row r="1632" ht="15.0" hidden="1" customHeight="1">
      <c r="A1632" s="59">
        <f t="shared" si="20"/>
        <v>24</v>
      </c>
      <c r="B1632" s="59" t="str">
        <f t="shared" si="21"/>
        <v/>
      </c>
      <c r="C1632" s="59" t="str">
        <f t="shared" si="22"/>
        <v/>
      </c>
      <c r="D1632" s="45" t="str">
        <f t="shared" si="23"/>
        <v/>
      </c>
      <c r="E1632" s="45" t="str">
        <f t="shared" si="24"/>
        <v/>
      </c>
      <c r="F1632" s="59" t="str">
        <f t="shared" si="25"/>
        <v/>
      </c>
      <c r="G1632" s="59" t="str">
        <f t="shared" si="26"/>
        <v/>
      </c>
      <c r="H1632" s="59" t="str">
        <f t="shared" si="27"/>
        <v>28C03652</v>
      </c>
      <c r="I1632" s="59" t="str">
        <f>IF(OR($A1632="",$C1632="",$D1632="",$E1632="",$H1632=""),"",SUMIFS(DATA_GOC!$H:$H,DATA_GOC!$A:$A,"BOM",DATA_GOC!$D:$D,$H1632,DATA_GOC!$E:$E,$C1632,DATA_GOC!$F:$F,"Xuất nội bộ từ téc",DATA_GOC!$B:$B,"&gt;="&amp;$D1632,DATA_GOC!$B:$B,"&lt;="&amp;$E1632))</f>
        <v/>
      </c>
      <c r="J1632" s="59">
        <f t="shared" si="28"/>
        <v>0</v>
      </c>
      <c r="K1632" s="59">
        <f t="shared" si="29"/>
        <v>0</v>
      </c>
      <c r="L1632" s="59">
        <f t="shared" si="30"/>
        <v>0</v>
      </c>
      <c r="M1632" s="59">
        <f t="shared" si="31"/>
        <v>0</v>
      </c>
    </row>
    <row r="1633" ht="15.0" hidden="1" customHeight="1">
      <c r="A1633" s="59">
        <f t="shared" si="20"/>
        <v>24</v>
      </c>
      <c r="B1633" s="59" t="str">
        <f t="shared" si="21"/>
        <v/>
      </c>
      <c r="C1633" s="59" t="str">
        <f t="shared" si="22"/>
        <v/>
      </c>
      <c r="D1633" s="45" t="str">
        <f t="shared" si="23"/>
        <v/>
      </c>
      <c r="E1633" s="45" t="str">
        <f t="shared" si="24"/>
        <v/>
      </c>
      <c r="F1633" s="59" t="str">
        <f t="shared" si="25"/>
        <v/>
      </c>
      <c r="G1633" s="59" t="str">
        <f t="shared" si="26"/>
        <v/>
      </c>
      <c r="H1633" s="59" t="str">
        <f t="shared" si="27"/>
        <v>28C03695</v>
      </c>
      <c r="I1633" s="59" t="str">
        <f>IF(OR($A1633="",$C1633="",$D1633="",$E1633="",$H1633=""),"",SUMIFS(DATA_GOC!$H:$H,DATA_GOC!$A:$A,"BOM",DATA_GOC!$D:$D,$H1633,DATA_GOC!$E:$E,$C1633,DATA_GOC!$F:$F,"Xuất nội bộ từ téc",DATA_GOC!$B:$B,"&gt;="&amp;$D1633,DATA_GOC!$B:$B,"&lt;="&amp;$E1633))</f>
        <v/>
      </c>
      <c r="J1633" s="59">
        <f t="shared" si="28"/>
        <v>0</v>
      </c>
      <c r="K1633" s="59">
        <f t="shared" si="29"/>
        <v>0</v>
      </c>
      <c r="L1633" s="59">
        <f t="shared" si="30"/>
        <v>0</v>
      </c>
      <c r="M1633" s="59">
        <f t="shared" si="31"/>
        <v>0</v>
      </c>
    </row>
    <row r="1634" ht="15.0" hidden="1" customHeight="1">
      <c r="A1634" s="59">
        <f t="shared" si="20"/>
        <v>24</v>
      </c>
      <c r="B1634" s="59" t="str">
        <f t="shared" si="21"/>
        <v/>
      </c>
      <c r="C1634" s="59" t="str">
        <f t="shared" si="22"/>
        <v/>
      </c>
      <c r="D1634" s="45" t="str">
        <f t="shared" si="23"/>
        <v/>
      </c>
      <c r="E1634" s="45" t="str">
        <f t="shared" si="24"/>
        <v/>
      </c>
      <c r="F1634" s="59" t="str">
        <f t="shared" si="25"/>
        <v/>
      </c>
      <c r="G1634" s="59" t="str">
        <f t="shared" si="26"/>
        <v/>
      </c>
      <c r="H1634" s="59" t="str">
        <f t="shared" si="27"/>
        <v>28C03927</v>
      </c>
      <c r="I1634" s="59" t="str">
        <f>IF(OR($A1634="",$C1634="",$D1634="",$E1634="",$H1634=""),"",SUMIFS(DATA_GOC!$H:$H,DATA_GOC!$A:$A,"BOM",DATA_GOC!$D:$D,$H1634,DATA_GOC!$E:$E,$C1634,DATA_GOC!$F:$F,"Xuất nội bộ từ téc",DATA_GOC!$B:$B,"&gt;="&amp;$D1634,DATA_GOC!$B:$B,"&lt;="&amp;$E1634))</f>
        <v/>
      </c>
      <c r="J1634" s="59">
        <f t="shared" si="28"/>
        <v>0</v>
      </c>
      <c r="K1634" s="59">
        <f t="shared" si="29"/>
        <v>0</v>
      </c>
      <c r="L1634" s="59">
        <f t="shared" si="30"/>
        <v>0</v>
      </c>
      <c r="M1634" s="59">
        <f t="shared" si="31"/>
        <v>0</v>
      </c>
    </row>
    <row r="1635" ht="15.0" hidden="1" customHeight="1">
      <c r="A1635" s="59">
        <f t="shared" si="20"/>
        <v>24</v>
      </c>
      <c r="B1635" s="59" t="str">
        <f t="shared" si="21"/>
        <v/>
      </c>
      <c r="C1635" s="59" t="str">
        <f t="shared" si="22"/>
        <v/>
      </c>
      <c r="D1635" s="45" t="str">
        <f t="shared" si="23"/>
        <v/>
      </c>
      <c r="E1635" s="45" t="str">
        <f t="shared" si="24"/>
        <v/>
      </c>
      <c r="F1635" s="59" t="str">
        <f t="shared" si="25"/>
        <v/>
      </c>
      <c r="G1635" s="59" t="str">
        <f t="shared" si="26"/>
        <v/>
      </c>
      <c r="H1635" s="59" t="str">
        <f t="shared" si="27"/>
        <v>28C04509</v>
      </c>
      <c r="I1635" s="59" t="str">
        <f>IF(OR($A1635="",$C1635="",$D1635="",$E1635="",$H1635=""),"",SUMIFS(DATA_GOC!$H:$H,DATA_GOC!$A:$A,"BOM",DATA_GOC!$D:$D,$H1635,DATA_GOC!$E:$E,$C1635,DATA_GOC!$F:$F,"Xuất nội bộ từ téc",DATA_GOC!$B:$B,"&gt;="&amp;$D1635,DATA_GOC!$B:$B,"&lt;="&amp;$E1635))</f>
        <v/>
      </c>
      <c r="J1635" s="59">
        <f t="shared" si="28"/>
        <v>0</v>
      </c>
      <c r="K1635" s="59">
        <f t="shared" si="29"/>
        <v>0</v>
      </c>
      <c r="L1635" s="59">
        <f t="shared" si="30"/>
        <v>0</v>
      </c>
      <c r="M1635" s="59">
        <f t="shared" si="31"/>
        <v>0</v>
      </c>
    </row>
    <row r="1636" ht="15.0" hidden="1" customHeight="1">
      <c r="A1636" s="59">
        <f t="shared" si="20"/>
        <v>24</v>
      </c>
      <c r="B1636" s="59" t="str">
        <f t="shared" si="21"/>
        <v/>
      </c>
      <c r="C1636" s="59" t="str">
        <f t="shared" si="22"/>
        <v/>
      </c>
      <c r="D1636" s="45" t="str">
        <f t="shared" si="23"/>
        <v/>
      </c>
      <c r="E1636" s="45" t="str">
        <f t="shared" si="24"/>
        <v/>
      </c>
      <c r="F1636" s="59" t="str">
        <f t="shared" si="25"/>
        <v/>
      </c>
      <c r="G1636" s="59" t="str">
        <f t="shared" si="26"/>
        <v/>
      </c>
      <c r="H1636" s="59" t="str">
        <f t="shared" si="27"/>
        <v>28C04536</v>
      </c>
      <c r="I1636" s="59" t="str">
        <f>IF(OR($A1636="",$C1636="",$D1636="",$E1636="",$H1636=""),"",SUMIFS(DATA_GOC!$H:$H,DATA_GOC!$A:$A,"BOM",DATA_GOC!$D:$D,$H1636,DATA_GOC!$E:$E,$C1636,DATA_GOC!$F:$F,"Xuất nội bộ từ téc",DATA_GOC!$B:$B,"&gt;="&amp;$D1636,DATA_GOC!$B:$B,"&lt;="&amp;$E1636))</f>
        <v/>
      </c>
      <c r="J1636" s="59">
        <f t="shared" si="28"/>
        <v>0</v>
      </c>
      <c r="K1636" s="59">
        <f t="shared" si="29"/>
        <v>0</v>
      </c>
      <c r="L1636" s="59">
        <f t="shared" si="30"/>
        <v>0</v>
      </c>
      <c r="M1636" s="59">
        <f t="shared" si="31"/>
        <v>0</v>
      </c>
    </row>
    <row r="1637" ht="15.0" hidden="1" customHeight="1">
      <c r="A1637" s="59">
        <f t="shared" si="20"/>
        <v>24</v>
      </c>
      <c r="B1637" s="59" t="str">
        <f t="shared" si="21"/>
        <v/>
      </c>
      <c r="C1637" s="59" t="str">
        <f t="shared" si="22"/>
        <v/>
      </c>
      <c r="D1637" s="45" t="str">
        <f t="shared" si="23"/>
        <v/>
      </c>
      <c r="E1637" s="45" t="str">
        <f t="shared" si="24"/>
        <v/>
      </c>
      <c r="F1637" s="59" t="str">
        <f t="shared" si="25"/>
        <v/>
      </c>
      <c r="G1637" s="59" t="str">
        <f t="shared" si="26"/>
        <v/>
      </c>
      <c r="H1637" s="59" t="str">
        <f t="shared" si="27"/>
        <v>28C04576</v>
      </c>
      <c r="I1637" s="59" t="str">
        <f>IF(OR($A1637="",$C1637="",$D1637="",$E1637="",$H1637=""),"",SUMIFS(DATA_GOC!$H:$H,DATA_GOC!$A:$A,"BOM",DATA_GOC!$D:$D,$H1637,DATA_GOC!$E:$E,$C1637,DATA_GOC!$F:$F,"Xuất nội bộ từ téc",DATA_GOC!$B:$B,"&gt;="&amp;$D1637,DATA_GOC!$B:$B,"&lt;="&amp;$E1637))</f>
        <v/>
      </c>
      <c r="J1637" s="59">
        <f t="shared" si="28"/>
        <v>0</v>
      </c>
      <c r="K1637" s="59">
        <f t="shared" si="29"/>
        <v>0</v>
      </c>
      <c r="L1637" s="59">
        <f t="shared" si="30"/>
        <v>0</v>
      </c>
      <c r="M1637" s="59">
        <f t="shared" si="31"/>
        <v>0</v>
      </c>
    </row>
    <row r="1638" ht="15.0" hidden="1" customHeight="1">
      <c r="A1638" s="59">
        <f t="shared" si="20"/>
        <v>24</v>
      </c>
      <c r="B1638" s="59" t="str">
        <f t="shared" si="21"/>
        <v/>
      </c>
      <c r="C1638" s="59" t="str">
        <f t="shared" si="22"/>
        <v/>
      </c>
      <c r="D1638" s="45" t="str">
        <f t="shared" si="23"/>
        <v/>
      </c>
      <c r="E1638" s="45" t="str">
        <f t="shared" si="24"/>
        <v/>
      </c>
      <c r="F1638" s="59" t="str">
        <f t="shared" si="25"/>
        <v/>
      </c>
      <c r="G1638" s="59" t="str">
        <f t="shared" si="26"/>
        <v/>
      </c>
      <c r="H1638" s="59" t="str">
        <f t="shared" si="27"/>
        <v>28C05090</v>
      </c>
      <c r="I1638" s="59" t="str">
        <f>IF(OR($A1638="",$C1638="",$D1638="",$E1638="",$H1638=""),"",SUMIFS(DATA_GOC!$H:$H,DATA_GOC!$A:$A,"BOM",DATA_GOC!$D:$D,$H1638,DATA_GOC!$E:$E,$C1638,DATA_GOC!$F:$F,"Xuất nội bộ từ téc",DATA_GOC!$B:$B,"&gt;="&amp;$D1638,DATA_GOC!$B:$B,"&lt;="&amp;$E1638))</f>
        <v/>
      </c>
      <c r="J1638" s="59">
        <f t="shared" si="28"/>
        <v>0</v>
      </c>
      <c r="K1638" s="59">
        <f t="shared" si="29"/>
        <v>0</v>
      </c>
      <c r="L1638" s="59">
        <f t="shared" si="30"/>
        <v>0</v>
      </c>
      <c r="M1638" s="59">
        <f t="shared" si="31"/>
        <v>0</v>
      </c>
    </row>
    <row r="1639" ht="15.0" hidden="1" customHeight="1">
      <c r="A1639" s="59">
        <f t="shared" si="20"/>
        <v>24</v>
      </c>
      <c r="B1639" s="59" t="str">
        <f t="shared" si="21"/>
        <v/>
      </c>
      <c r="C1639" s="59" t="str">
        <f t="shared" si="22"/>
        <v/>
      </c>
      <c r="D1639" s="45" t="str">
        <f t="shared" si="23"/>
        <v/>
      </c>
      <c r="E1639" s="45" t="str">
        <f t="shared" si="24"/>
        <v/>
      </c>
      <c r="F1639" s="59" t="str">
        <f t="shared" si="25"/>
        <v/>
      </c>
      <c r="G1639" s="59" t="str">
        <f t="shared" si="26"/>
        <v/>
      </c>
      <c r="H1639" s="59" t="str">
        <f t="shared" si="27"/>
        <v>28C05345</v>
      </c>
      <c r="I1639" s="59" t="str">
        <f>IF(OR($A1639="",$C1639="",$D1639="",$E1639="",$H1639=""),"",SUMIFS(DATA_GOC!$H:$H,DATA_GOC!$A:$A,"BOM",DATA_GOC!$D:$D,$H1639,DATA_GOC!$E:$E,$C1639,DATA_GOC!$F:$F,"Xuất nội bộ từ téc",DATA_GOC!$B:$B,"&gt;="&amp;$D1639,DATA_GOC!$B:$B,"&lt;="&amp;$E1639))</f>
        <v/>
      </c>
      <c r="J1639" s="59">
        <f t="shared" si="28"/>
        <v>0</v>
      </c>
      <c r="K1639" s="59">
        <f t="shared" si="29"/>
        <v>0</v>
      </c>
      <c r="L1639" s="59">
        <f t="shared" si="30"/>
        <v>0</v>
      </c>
      <c r="M1639" s="59">
        <f t="shared" si="31"/>
        <v>0</v>
      </c>
    </row>
    <row r="1640" ht="15.0" hidden="1" customHeight="1">
      <c r="A1640" s="59">
        <f t="shared" si="20"/>
        <v>24</v>
      </c>
      <c r="B1640" s="59" t="str">
        <f t="shared" si="21"/>
        <v/>
      </c>
      <c r="C1640" s="59" t="str">
        <f t="shared" si="22"/>
        <v/>
      </c>
      <c r="D1640" s="45" t="str">
        <f t="shared" si="23"/>
        <v/>
      </c>
      <c r="E1640" s="45" t="str">
        <f t="shared" si="24"/>
        <v/>
      </c>
      <c r="F1640" s="59" t="str">
        <f t="shared" si="25"/>
        <v/>
      </c>
      <c r="G1640" s="59" t="str">
        <f t="shared" si="26"/>
        <v/>
      </c>
      <c r="H1640" s="59" t="str">
        <f t="shared" si="27"/>
        <v>28C05661</v>
      </c>
      <c r="I1640" s="59" t="str">
        <f>IF(OR($A1640="",$C1640="",$D1640="",$E1640="",$H1640=""),"",SUMIFS(DATA_GOC!$H:$H,DATA_GOC!$A:$A,"BOM",DATA_GOC!$D:$D,$H1640,DATA_GOC!$E:$E,$C1640,DATA_GOC!$F:$F,"Xuất nội bộ từ téc",DATA_GOC!$B:$B,"&gt;="&amp;$D1640,DATA_GOC!$B:$B,"&lt;="&amp;$E1640))</f>
        <v/>
      </c>
      <c r="J1640" s="59">
        <f t="shared" si="28"/>
        <v>0</v>
      </c>
      <c r="K1640" s="59">
        <f t="shared" si="29"/>
        <v>0</v>
      </c>
      <c r="L1640" s="59">
        <f t="shared" si="30"/>
        <v>0</v>
      </c>
      <c r="M1640" s="59">
        <f t="shared" si="31"/>
        <v>0</v>
      </c>
    </row>
    <row r="1641" ht="15.0" hidden="1" customHeight="1">
      <c r="A1641" s="59">
        <f t="shared" si="20"/>
        <v>24</v>
      </c>
      <c r="B1641" s="59" t="str">
        <f t="shared" si="21"/>
        <v/>
      </c>
      <c r="C1641" s="59" t="str">
        <f t="shared" si="22"/>
        <v/>
      </c>
      <c r="D1641" s="45" t="str">
        <f t="shared" si="23"/>
        <v/>
      </c>
      <c r="E1641" s="45" t="str">
        <f t="shared" si="24"/>
        <v/>
      </c>
      <c r="F1641" s="59" t="str">
        <f t="shared" si="25"/>
        <v/>
      </c>
      <c r="G1641" s="59" t="str">
        <f t="shared" si="26"/>
        <v/>
      </c>
      <c r="H1641" s="59" t="str">
        <f t="shared" si="27"/>
        <v>28C05739</v>
      </c>
      <c r="I1641" s="59" t="str">
        <f>IF(OR($A1641="",$C1641="",$D1641="",$E1641="",$H1641=""),"",SUMIFS(DATA_GOC!$H:$H,DATA_GOC!$A:$A,"BOM",DATA_GOC!$D:$D,$H1641,DATA_GOC!$E:$E,$C1641,DATA_GOC!$F:$F,"Xuất nội bộ từ téc",DATA_GOC!$B:$B,"&gt;="&amp;$D1641,DATA_GOC!$B:$B,"&lt;="&amp;$E1641))</f>
        <v/>
      </c>
      <c r="J1641" s="59">
        <f t="shared" si="28"/>
        <v>0</v>
      </c>
      <c r="K1641" s="59">
        <f t="shared" si="29"/>
        <v>0</v>
      </c>
      <c r="L1641" s="59">
        <f t="shared" si="30"/>
        <v>0</v>
      </c>
      <c r="M1641" s="59">
        <f t="shared" si="31"/>
        <v>0</v>
      </c>
    </row>
    <row r="1642" ht="15.0" hidden="1" customHeight="1">
      <c r="A1642" s="59">
        <f t="shared" si="20"/>
        <v>24</v>
      </c>
      <c r="B1642" s="59" t="str">
        <f t="shared" si="21"/>
        <v/>
      </c>
      <c r="C1642" s="59" t="str">
        <f t="shared" si="22"/>
        <v/>
      </c>
      <c r="D1642" s="45" t="str">
        <f t="shared" si="23"/>
        <v/>
      </c>
      <c r="E1642" s="45" t="str">
        <f t="shared" si="24"/>
        <v/>
      </c>
      <c r="F1642" s="59" t="str">
        <f t="shared" si="25"/>
        <v/>
      </c>
      <c r="G1642" s="59" t="str">
        <f t="shared" si="26"/>
        <v/>
      </c>
      <c r="H1642" s="59" t="str">
        <f t="shared" si="27"/>
        <v>28C06369</v>
      </c>
      <c r="I1642" s="59" t="str">
        <f>IF(OR($A1642="",$C1642="",$D1642="",$E1642="",$H1642=""),"",SUMIFS(DATA_GOC!$H:$H,DATA_GOC!$A:$A,"BOM",DATA_GOC!$D:$D,$H1642,DATA_GOC!$E:$E,$C1642,DATA_GOC!$F:$F,"Xuất nội bộ từ téc",DATA_GOC!$B:$B,"&gt;="&amp;$D1642,DATA_GOC!$B:$B,"&lt;="&amp;$E1642))</f>
        <v/>
      </c>
      <c r="J1642" s="59">
        <f t="shared" si="28"/>
        <v>0</v>
      </c>
      <c r="K1642" s="59">
        <f t="shared" si="29"/>
        <v>0</v>
      </c>
      <c r="L1642" s="59">
        <f t="shared" si="30"/>
        <v>0</v>
      </c>
      <c r="M1642" s="59">
        <f t="shared" si="31"/>
        <v>0</v>
      </c>
    </row>
    <row r="1643" ht="15.0" hidden="1" customHeight="1">
      <c r="A1643" s="59">
        <f t="shared" si="20"/>
        <v>24</v>
      </c>
      <c r="B1643" s="59" t="str">
        <f t="shared" si="21"/>
        <v/>
      </c>
      <c r="C1643" s="59" t="str">
        <f t="shared" si="22"/>
        <v/>
      </c>
      <c r="D1643" s="45" t="str">
        <f t="shared" si="23"/>
        <v/>
      </c>
      <c r="E1643" s="45" t="str">
        <f t="shared" si="24"/>
        <v/>
      </c>
      <c r="F1643" s="59" t="str">
        <f t="shared" si="25"/>
        <v/>
      </c>
      <c r="G1643" s="59" t="str">
        <f t="shared" si="26"/>
        <v/>
      </c>
      <c r="H1643" s="59" t="str">
        <f t="shared" si="27"/>
        <v>28C06447</v>
      </c>
      <c r="I1643" s="59" t="str">
        <f>IF(OR($A1643="",$C1643="",$D1643="",$E1643="",$H1643=""),"",SUMIFS(DATA_GOC!$H:$H,DATA_GOC!$A:$A,"BOM",DATA_GOC!$D:$D,$H1643,DATA_GOC!$E:$E,$C1643,DATA_GOC!$F:$F,"Xuất nội bộ từ téc",DATA_GOC!$B:$B,"&gt;="&amp;$D1643,DATA_GOC!$B:$B,"&lt;="&amp;$E1643))</f>
        <v/>
      </c>
      <c r="J1643" s="59">
        <f t="shared" si="28"/>
        <v>0</v>
      </c>
      <c r="K1643" s="59">
        <f t="shared" si="29"/>
        <v>0</v>
      </c>
      <c r="L1643" s="59">
        <f t="shared" si="30"/>
        <v>0</v>
      </c>
      <c r="M1643" s="59">
        <f t="shared" si="31"/>
        <v>0</v>
      </c>
    </row>
    <row r="1644" ht="15.0" hidden="1" customHeight="1">
      <c r="A1644" s="59">
        <f t="shared" si="20"/>
        <v>24</v>
      </c>
      <c r="B1644" s="59" t="str">
        <f t="shared" si="21"/>
        <v/>
      </c>
      <c r="C1644" s="59" t="str">
        <f t="shared" si="22"/>
        <v/>
      </c>
      <c r="D1644" s="45" t="str">
        <f t="shared" si="23"/>
        <v/>
      </c>
      <c r="E1644" s="45" t="str">
        <f t="shared" si="24"/>
        <v/>
      </c>
      <c r="F1644" s="59" t="str">
        <f t="shared" si="25"/>
        <v/>
      </c>
      <c r="G1644" s="59" t="str">
        <f t="shared" si="26"/>
        <v/>
      </c>
      <c r="H1644" s="59" t="str">
        <f t="shared" si="27"/>
        <v>28H00003</v>
      </c>
      <c r="I1644" s="59" t="str">
        <f>IF(OR($A1644="",$C1644="",$D1644="",$E1644="",$H1644=""),"",SUMIFS(DATA_GOC!$H:$H,DATA_GOC!$A:$A,"BOM",DATA_GOC!$D:$D,$H1644,DATA_GOC!$E:$E,$C1644,DATA_GOC!$F:$F,"Xuất nội bộ từ téc",DATA_GOC!$B:$B,"&gt;="&amp;$D1644,DATA_GOC!$B:$B,"&lt;="&amp;$E1644))</f>
        <v/>
      </c>
      <c r="J1644" s="59">
        <f t="shared" si="28"/>
        <v>0</v>
      </c>
      <c r="K1644" s="59">
        <f t="shared" si="29"/>
        <v>0</v>
      </c>
      <c r="L1644" s="59">
        <f t="shared" si="30"/>
        <v>0</v>
      </c>
      <c r="M1644" s="59">
        <f t="shared" si="31"/>
        <v>0</v>
      </c>
    </row>
    <row r="1645" ht="15.0" hidden="1" customHeight="1">
      <c r="A1645" s="59">
        <f t="shared" si="20"/>
        <v>24</v>
      </c>
      <c r="B1645" s="59" t="str">
        <f t="shared" si="21"/>
        <v/>
      </c>
      <c r="C1645" s="59" t="str">
        <f t="shared" si="22"/>
        <v/>
      </c>
      <c r="D1645" s="45" t="str">
        <f t="shared" si="23"/>
        <v/>
      </c>
      <c r="E1645" s="45" t="str">
        <f t="shared" si="24"/>
        <v/>
      </c>
      <c r="F1645" s="59" t="str">
        <f t="shared" si="25"/>
        <v/>
      </c>
      <c r="G1645" s="59" t="str">
        <f t="shared" si="26"/>
        <v/>
      </c>
      <c r="H1645" s="59" t="str">
        <f t="shared" si="27"/>
        <v>28H00061</v>
      </c>
      <c r="I1645" s="59" t="str">
        <f>IF(OR($A1645="",$C1645="",$D1645="",$E1645="",$H1645=""),"",SUMIFS(DATA_GOC!$H:$H,DATA_GOC!$A:$A,"BOM",DATA_GOC!$D:$D,$H1645,DATA_GOC!$E:$E,$C1645,DATA_GOC!$F:$F,"Xuất nội bộ từ téc",DATA_GOC!$B:$B,"&gt;="&amp;$D1645,DATA_GOC!$B:$B,"&lt;="&amp;$E1645))</f>
        <v/>
      </c>
      <c r="J1645" s="59">
        <f t="shared" si="28"/>
        <v>0</v>
      </c>
      <c r="K1645" s="59">
        <f t="shared" si="29"/>
        <v>0</v>
      </c>
      <c r="L1645" s="59">
        <f t="shared" si="30"/>
        <v>0</v>
      </c>
      <c r="M1645" s="59">
        <f t="shared" si="31"/>
        <v>0</v>
      </c>
    </row>
    <row r="1646" ht="15.0" hidden="1" customHeight="1">
      <c r="A1646" s="59">
        <f t="shared" si="20"/>
        <v>24</v>
      </c>
      <c r="B1646" s="59" t="str">
        <f t="shared" si="21"/>
        <v/>
      </c>
      <c r="C1646" s="59" t="str">
        <f t="shared" si="22"/>
        <v/>
      </c>
      <c r="D1646" s="45" t="str">
        <f t="shared" si="23"/>
        <v/>
      </c>
      <c r="E1646" s="45" t="str">
        <f t="shared" si="24"/>
        <v/>
      </c>
      <c r="F1646" s="59" t="str">
        <f t="shared" si="25"/>
        <v/>
      </c>
      <c r="G1646" s="59" t="str">
        <f t="shared" si="26"/>
        <v/>
      </c>
      <c r="H1646" s="59" t="str">
        <f t="shared" si="27"/>
        <v>28H00354</v>
      </c>
      <c r="I1646" s="59" t="str">
        <f>IF(OR($A1646="",$C1646="",$D1646="",$E1646="",$H1646=""),"",SUMIFS(DATA_GOC!$H:$H,DATA_GOC!$A:$A,"BOM",DATA_GOC!$D:$D,$H1646,DATA_GOC!$E:$E,$C1646,DATA_GOC!$F:$F,"Xuất nội bộ từ téc",DATA_GOC!$B:$B,"&gt;="&amp;$D1646,DATA_GOC!$B:$B,"&lt;="&amp;$E1646))</f>
        <v/>
      </c>
      <c r="J1646" s="59">
        <f t="shared" si="28"/>
        <v>0</v>
      </c>
      <c r="K1646" s="59">
        <f t="shared" si="29"/>
        <v>0</v>
      </c>
      <c r="L1646" s="59">
        <f t="shared" si="30"/>
        <v>0</v>
      </c>
      <c r="M1646" s="59">
        <f t="shared" si="31"/>
        <v>0</v>
      </c>
    </row>
    <row r="1647" ht="15.0" hidden="1" customHeight="1">
      <c r="A1647" s="59">
        <f t="shared" si="20"/>
        <v>24</v>
      </c>
      <c r="B1647" s="59" t="str">
        <f t="shared" si="21"/>
        <v/>
      </c>
      <c r="C1647" s="59" t="str">
        <f t="shared" si="22"/>
        <v/>
      </c>
      <c r="D1647" s="45" t="str">
        <f t="shared" si="23"/>
        <v/>
      </c>
      <c r="E1647" s="45" t="str">
        <f t="shared" si="24"/>
        <v/>
      </c>
      <c r="F1647" s="59" t="str">
        <f t="shared" si="25"/>
        <v/>
      </c>
      <c r="G1647" s="59" t="str">
        <f t="shared" si="26"/>
        <v/>
      </c>
      <c r="H1647" s="59" t="str">
        <f t="shared" si="27"/>
        <v>28H00603</v>
      </c>
      <c r="I1647" s="59" t="str">
        <f>IF(OR($A1647="",$C1647="",$D1647="",$E1647="",$H1647=""),"",SUMIFS(DATA_GOC!$H:$H,DATA_GOC!$A:$A,"BOM",DATA_GOC!$D:$D,$H1647,DATA_GOC!$E:$E,$C1647,DATA_GOC!$F:$F,"Xuất nội bộ từ téc",DATA_GOC!$B:$B,"&gt;="&amp;$D1647,DATA_GOC!$B:$B,"&lt;="&amp;$E1647))</f>
        <v/>
      </c>
      <c r="J1647" s="59">
        <f t="shared" si="28"/>
        <v>0</v>
      </c>
      <c r="K1647" s="59">
        <f t="shared" si="29"/>
        <v>0</v>
      </c>
      <c r="L1647" s="59">
        <f t="shared" si="30"/>
        <v>0</v>
      </c>
      <c r="M1647" s="59">
        <f t="shared" si="31"/>
        <v>0</v>
      </c>
    </row>
    <row r="1648" ht="15.0" hidden="1" customHeight="1">
      <c r="A1648" s="59">
        <f t="shared" si="20"/>
        <v>24</v>
      </c>
      <c r="B1648" s="59" t="str">
        <f t="shared" si="21"/>
        <v/>
      </c>
      <c r="C1648" s="59" t="str">
        <f t="shared" si="22"/>
        <v/>
      </c>
      <c r="D1648" s="45" t="str">
        <f t="shared" si="23"/>
        <v/>
      </c>
      <c r="E1648" s="45" t="str">
        <f t="shared" si="24"/>
        <v/>
      </c>
      <c r="F1648" s="59" t="str">
        <f t="shared" si="25"/>
        <v/>
      </c>
      <c r="G1648" s="59" t="str">
        <f t="shared" si="26"/>
        <v/>
      </c>
      <c r="H1648" s="59" t="str">
        <f t="shared" si="27"/>
        <v>28H00609</v>
      </c>
      <c r="I1648" s="59" t="str">
        <f>IF(OR($A1648="",$C1648="",$D1648="",$E1648="",$H1648=""),"",SUMIFS(DATA_GOC!$H:$H,DATA_GOC!$A:$A,"BOM",DATA_GOC!$D:$D,$H1648,DATA_GOC!$E:$E,$C1648,DATA_GOC!$F:$F,"Xuất nội bộ từ téc",DATA_GOC!$B:$B,"&gt;="&amp;$D1648,DATA_GOC!$B:$B,"&lt;="&amp;$E1648))</f>
        <v/>
      </c>
      <c r="J1648" s="59">
        <f t="shared" si="28"/>
        <v>0</v>
      </c>
      <c r="K1648" s="59">
        <f t="shared" si="29"/>
        <v>0</v>
      </c>
      <c r="L1648" s="59">
        <f t="shared" si="30"/>
        <v>0</v>
      </c>
      <c r="M1648" s="59">
        <f t="shared" si="31"/>
        <v>0</v>
      </c>
    </row>
    <row r="1649" ht="15.0" hidden="1" customHeight="1">
      <c r="A1649" s="59">
        <f t="shared" si="20"/>
        <v>24</v>
      </c>
      <c r="B1649" s="59" t="str">
        <f t="shared" si="21"/>
        <v/>
      </c>
      <c r="C1649" s="59" t="str">
        <f t="shared" si="22"/>
        <v/>
      </c>
      <c r="D1649" s="45" t="str">
        <f t="shared" si="23"/>
        <v/>
      </c>
      <c r="E1649" s="45" t="str">
        <f t="shared" si="24"/>
        <v/>
      </c>
      <c r="F1649" s="59" t="str">
        <f t="shared" si="25"/>
        <v/>
      </c>
      <c r="G1649" s="59" t="str">
        <f t="shared" si="26"/>
        <v/>
      </c>
      <c r="H1649" s="59" t="str">
        <f t="shared" si="27"/>
        <v>28H00669</v>
      </c>
      <c r="I1649" s="59" t="str">
        <f>IF(OR($A1649="",$C1649="",$D1649="",$E1649="",$H1649=""),"",SUMIFS(DATA_GOC!$H:$H,DATA_GOC!$A:$A,"BOM",DATA_GOC!$D:$D,$H1649,DATA_GOC!$E:$E,$C1649,DATA_GOC!$F:$F,"Xuất nội bộ từ téc",DATA_GOC!$B:$B,"&gt;="&amp;$D1649,DATA_GOC!$B:$B,"&lt;="&amp;$E1649))</f>
        <v/>
      </c>
      <c r="J1649" s="59">
        <f t="shared" si="28"/>
        <v>0</v>
      </c>
      <c r="K1649" s="59">
        <f t="shared" si="29"/>
        <v>0</v>
      </c>
      <c r="L1649" s="59">
        <f t="shared" si="30"/>
        <v>0</v>
      </c>
      <c r="M1649" s="59">
        <f t="shared" si="31"/>
        <v>0</v>
      </c>
    </row>
    <row r="1650" ht="15.0" hidden="1" customHeight="1">
      <c r="A1650" s="59">
        <f t="shared" si="20"/>
        <v>24</v>
      </c>
      <c r="B1650" s="59" t="str">
        <f t="shared" si="21"/>
        <v/>
      </c>
      <c r="C1650" s="59" t="str">
        <f t="shared" si="22"/>
        <v/>
      </c>
      <c r="D1650" s="45" t="str">
        <f t="shared" si="23"/>
        <v/>
      </c>
      <c r="E1650" s="45" t="str">
        <f t="shared" si="24"/>
        <v/>
      </c>
      <c r="F1650" s="59" t="str">
        <f t="shared" si="25"/>
        <v/>
      </c>
      <c r="G1650" s="59" t="str">
        <f t="shared" si="26"/>
        <v/>
      </c>
      <c r="H1650" s="59" t="str">
        <f t="shared" si="27"/>
        <v>28H00680</v>
      </c>
      <c r="I1650" s="59" t="str">
        <f>IF(OR($A1650="",$C1650="",$D1650="",$E1650="",$H1650=""),"",SUMIFS(DATA_GOC!$H:$H,DATA_GOC!$A:$A,"BOM",DATA_GOC!$D:$D,$H1650,DATA_GOC!$E:$E,$C1650,DATA_GOC!$F:$F,"Xuất nội bộ từ téc",DATA_GOC!$B:$B,"&gt;="&amp;$D1650,DATA_GOC!$B:$B,"&lt;="&amp;$E1650))</f>
        <v/>
      </c>
      <c r="J1650" s="59">
        <f t="shared" si="28"/>
        <v>0</v>
      </c>
      <c r="K1650" s="59">
        <f t="shared" si="29"/>
        <v>0</v>
      </c>
      <c r="L1650" s="59">
        <f t="shared" si="30"/>
        <v>0</v>
      </c>
      <c r="M1650" s="59">
        <f t="shared" si="31"/>
        <v>0</v>
      </c>
    </row>
    <row r="1651" ht="15.0" hidden="1" customHeight="1">
      <c r="A1651" s="59">
        <f t="shared" si="20"/>
        <v>24</v>
      </c>
      <c r="B1651" s="59" t="str">
        <f t="shared" si="21"/>
        <v/>
      </c>
      <c r="C1651" s="59" t="str">
        <f t="shared" si="22"/>
        <v/>
      </c>
      <c r="D1651" s="45" t="str">
        <f t="shared" si="23"/>
        <v/>
      </c>
      <c r="E1651" s="45" t="str">
        <f t="shared" si="24"/>
        <v/>
      </c>
      <c r="F1651" s="59" t="str">
        <f t="shared" si="25"/>
        <v/>
      </c>
      <c r="G1651" s="59" t="str">
        <f t="shared" si="26"/>
        <v/>
      </c>
      <c r="H1651" s="59" t="str">
        <f t="shared" si="27"/>
        <v>28H01070</v>
      </c>
      <c r="I1651" s="59" t="str">
        <f>IF(OR($A1651="",$C1651="",$D1651="",$E1651="",$H1651=""),"",SUMIFS(DATA_GOC!$H:$H,DATA_GOC!$A:$A,"BOM",DATA_GOC!$D:$D,$H1651,DATA_GOC!$E:$E,$C1651,DATA_GOC!$F:$F,"Xuất nội bộ từ téc",DATA_GOC!$B:$B,"&gt;="&amp;$D1651,DATA_GOC!$B:$B,"&lt;="&amp;$E1651))</f>
        <v/>
      </c>
      <c r="J1651" s="59">
        <f t="shared" si="28"/>
        <v>0</v>
      </c>
      <c r="K1651" s="59">
        <f t="shared" si="29"/>
        <v>0</v>
      </c>
      <c r="L1651" s="59">
        <f t="shared" si="30"/>
        <v>0</v>
      </c>
      <c r="M1651" s="59">
        <f t="shared" si="31"/>
        <v>0</v>
      </c>
    </row>
    <row r="1652" ht="15.0" hidden="1" customHeight="1">
      <c r="A1652" s="59">
        <f t="shared" si="20"/>
        <v>24</v>
      </c>
      <c r="B1652" s="59" t="str">
        <f t="shared" si="21"/>
        <v/>
      </c>
      <c r="C1652" s="59" t="str">
        <f t="shared" si="22"/>
        <v/>
      </c>
      <c r="D1652" s="45" t="str">
        <f t="shared" si="23"/>
        <v/>
      </c>
      <c r="E1652" s="45" t="str">
        <f t="shared" si="24"/>
        <v/>
      </c>
      <c r="F1652" s="59" t="str">
        <f t="shared" si="25"/>
        <v/>
      </c>
      <c r="G1652" s="59" t="str">
        <f t="shared" si="26"/>
        <v/>
      </c>
      <c r="H1652" s="59" t="str">
        <f t="shared" si="27"/>
        <v>28H01364</v>
      </c>
      <c r="I1652" s="59" t="str">
        <f>IF(OR($A1652="",$C1652="",$D1652="",$E1652="",$H1652=""),"",SUMIFS(DATA_GOC!$H:$H,DATA_GOC!$A:$A,"BOM",DATA_GOC!$D:$D,$H1652,DATA_GOC!$E:$E,$C1652,DATA_GOC!$F:$F,"Xuất nội bộ từ téc",DATA_GOC!$B:$B,"&gt;="&amp;$D1652,DATA_GOC!$B:$B,"&lt;="&amp;$E1652))</f>
        <v/>
      </c>
      <c r="J1652" s="59">
        <f t="shared" si="28"/>
        <v>0</v>
      </c>
      <c r="K1652" s="59">
        <f t="shared" si="29"/>
        <v>0</v>
      </c>
      <c r="L1652" s="59">
        <f t="shared" si="30"/>
        <v>0</v>
      </c>
      <c r="M1652" s="59">
        <f t="shared" si="31"/>
        <v>0</v>
      </c>
    </row>
    <row r="1653" ht="15.0" hidden="1" customHeight="1">
      <c r="A1653" s="59">
        <f t="shared" si="20"/>
        <v>24</v>
      </c>
      <c r="B1653" s="59" t="str">
        <f t="shared" si="21"/>
        <v/>
      </c>
      <c r="C1653" s="59" t="str">
        <f t="shared" si="22"/>
        <v/>
      </c>
      <c r="D1653" s="45" t="str">
        <f t="shared" si="23"/>
        <v/>
      </c>
      <c r="E1653" s="45" t="str">
        <f t="shared" si="24"/>
        <v/>
      </c>
      <c r="F1653" s="59" t="str">
        <f t="shared" si="25"/>
        <v/>
      </c>
      <c r="G1653" s="59" t="str">
        <f t="shared" si="26"/>
        <v/>
      </c>
      <c r="H1653" s="59" t="str">
        <f t="shared" si="27"/>
        <v>29E17269</v>
      </c>
      <c r="I1653" s="59" t="str">
        <f>IF(OR($A1653="",$C1653="",$D1653="",$E1653="",$H1653=""),"",SUMIFS(DATA_GOC!$H:$H,DATA_GOC!$A:$A,"BOM",DATA_GOC!$D:$D,$H1653,DATA_GOC!$E:$E,$C1653,DATA_GOC!$F:$F,"Xuất nội bộ từ téc",DATA_GOC!$B:$B,"&gt;="&amp;$D1653,DATA_GOC!$B:$B,"&lt;="&amp;$E1653))</f>
        <v/>
      </c>
      <c r="J1653" s="59">
        <f t="shared" si="28"/>
        <v>0</v>
      </c>
      <c r="K1653" s="59">
        <f t="shared" si="29"/>
        <v>0</v>
      </c>
      <c r="L1653" s="59">
        <f t="shared" si="30"/>
        <v>0</v>
      </c>
      <c r="M1653" s="59">
        <f t="shared" si="31"/>
        <v>0</v>
      </c>
    </row>
    <row r="1654" ht="15.0" hidden="1" customHeight="1">
      <c r="A1654" s="59">
        <f t="shared" si="20"/>
        <v>24</v>
      </c>
      <c r="B1654" s="59" t="str">
        <f t="shared" si="21"/>
        <v/>
      </c>
      <c r="C1654" s="59" t="str">
        <f t="shared" si="22"/>
        <v/>
      </c>
      <c r="D1654" s="45" t="str">
        <f t="shared" si="23"/>
        <v/>
      </c>
      <c r="E1654" s="45" t="str">
        <f t="shared" si="24"/>
        <v/>
      </c>
      <c r="F1654" s="59" t="str">
        <f t="shared" si="25"/>
        <v/>
      </c>
      <c r="G1654" s="59" t="str">
        <f t="shared" si="26"/>
        <v/>
      </c>
      <c r="H1654" s="59" t="str">
        <f t="shared" si="27"/>
        <v>29E17273</v>
      </c>
      <c r="I1654" s="59" t="str">
        <f>IF(OR($A1654="",$C1654="",$D1654="",$E1654="",$H1654=""),"",SUMIFS(DATA_GOC!$H:$H,DATA_GOC!$A:$A,"BOM",DATA_GOC!$D:$D,$H1654,DATA_GOC!$E:$E,$C1654,DATA_GOC!$F:$F,"Xuất nội bộ từ téc",DATA_GOC!$B:$B,"&gt;="&amp;$D1654,DATA_GOC!$B:$B,"&lt;="&amp;$E1654))</f>
        <v/>
      </c>
      <c r="J1654" s="59">
        <f t="shared" si="28"/>
        <v>0</v>
      </c>
      <c r="K1654" s="59">
        <f t="shared" si="29"/>
        <v>0</v>
      </c>
      <c r="L1654" s="59">
        <f t="shared" si="30"/>
        <v>0</v>
      </c>
      <c r="M1654" s="59">
        <f t="shared" si="31"/>
        <v>0</v>
      </c>
    </row>
    <row r="1655" ht="15.0" hidden="1" customHeight="1">
      <c r="A1655" s="59">
        <f t="shared" si="20"/>
        <v>24</v>
      </c>
      <c r="B1655" s="59" t="str">
        <f t="shared" si="21"/>
        <v/>
      </c>
      <c r="C1655" s="59" t="str">
        <f t="shared" si="22"/>
        <v/>
      </c>
      <c r="D1655" s="45" t="str">
        <f t="shared" si="23"/>
        <v/>
      </c>
      <c r="E1655" s="45" t="str">
        <f t="shared" si="24"/>
        <v/>
      </c>
      <c r="F1655" s="59" t="str">
        <f t="shared" si="25"/>
        <v/>
      </c>
      <c r="G1655" s="59" t="str">
        <f t="shared" si="26"/>
        <v/>
      </c>
      <c r="H1655" s="59" t="str">
        <f t="shared" si="27"/>
        <v>29E17410</v>
      </c>
      <c r="I1655" s="59" t="str">
        <f>IF(OR($A1655="",$C1655="",$D1655="",$E1655="",$H1655=""),"",SUMIFS(DATA_GOC!$H:$H,DATA_GOC!$A:$A,"BOM",DATA_GOC!$D:$D,$H1655,DATA_GOC!$E:$E,$C1655,DATA_GOC!$F:$F,"Xuất nội bộ từ téc",DATA_GOC!$B:$B,"&gt;="&amp;$D1655,DATA_GOC!$B:$B,"&lt;="&amp;$E1655))</f>
        <v/>
      </c>
      <c r="J1655" s="59">
        <f t="shared" si="28"/>
        <v>0</v>
      </c>
      <c r="K1655" s="59">
        <f t="shared" si="29"/>
        <v>0</v>
      </c>
      <c r="L1655" s="59">
        <f t="shared" si="30"/>
        <v>0</v>
      </c>
      <c r="M1655" s="59">
        <f t="shared" si="31"/>
        <v>0</v>
      </c>
    </row>
    <row r="1656" ht="15.0" hidden="1" customHeight="1">
      <c r="A1656" s="59">
        <f t="shared" si="20"/>
        <v>24</v>
      </c>
      <c r="B1656" s="59" t="str">
        <f t="shared" si="21"/>
        <v/>
      </c>
      <c r="C1656" s="59" t="str">
        <f t="shared" si="22"/>
        <v/>
      </c>
      <c r="D1656" s="45" t="str">
        <f t="shared" si="23"/>
        <v/>
      </c>
      <c r="E1656" s="45" t="str">
        <f t="shared" si="24"/>
        <v/>
      </c>
      <c r="F1656" s="59" t="str">
        <f t="shared" si="25"/>
        <v/>
      </c>
      <c r="G1656" s="59" t="str">
        <f t="shared" si="26"/>
        <v/>
      </c>
      <c r="H1656" s="59" t="str">
        <f t="shared" si="27"/>
        <v>29E17417</v>
      </c>
      <c r="I1656" s="59" t="str">
        <f>IF(OR($A1656="",$C1656="",$D1656="",$E1656="",$H1656=""),"",SUMIFS(DATA_GOC!$H:$H,DATA_GOC!$A:$A,"BOM",DATA_GOC!$D:$D,$H1656,DATA_GOC!$E:$E,$C1656,DATA_GOC!$F:$F,"Xuất nội bộ từ téc",DATA_GOC!$B:$B,"&gt;="&amp;$D1656,DATA_GOC!$B:$B,"&lt;="&amp;$E1656))</f>
        <v/>
      </c>
      <c r="J1656" s="59">
        <f t="shared" si="28"/>
        <v>0</v>
      </c>
      <c r="K1656" s="59">
        <f t="shared" si="29"/>
        <v>0</v>
      </c>
      <c r="L1656" s="59">
        <f t="shared" si="30"/>
        <v>0</v>
      </c>
      <c r="M1656" s="59">
        <f t="shared" si="31"/>
        <v>0</v>
      </c>
    </row>
    <row r="1657" ht="15.0" hidden="1" customHeight="1">
      <c r="A1657" s="59">
        <f t="shared" si="20"/>
        <v>24</v>
      </c>
      <c r="B1657" s="59" t="str">
        <f t="shared" si="21"/>
        <v/>
      </c>
      <c r="C1657" s="59" t="str">
        <f t="shared" si="22"/>
        <v/>
      </c>
      <c r="D1657" s="45" t="str">
        <f t="shared" si="23"/>
        <v/>
      </c>
      <c r="E1657" s="45" t="str">
        <f t="shared" si="24"/>
        <v/>
      </c>
      <c r="F1657" s="59" t="str">
        <f t="shared" si="25"/>
        <v/>
      </c>
      <c r="G1657" s="59" t="str">
        <f t="shared" si="26"/>
        <v/>
      </c>
      <c r="H1657" s="59" t="str">
        <f t="shared" si="27"/>
        <v>29E17539</v>
      </c>
      <c r="I1657" s="59" t="str">
        <f>IF(OR($A1657="",$C1657="",$D1657="",$E1657="",$H1657=""),"",SUMIFS(DATA_GOC!$H:$H,DATA_GOC!$A:$A,"BOM",DATA_GOC!$D:$D,$H1657,DATA_GOC!$E:$E,$C1657,DATA_GOC!$F:$F,"Xuất nội bộ từ téc",DATA_GOC!$B:$B,"&gt;="&amp;$D1657,DATA_GOC!$B:$B,"&lt;="&amp;$E1657))</f>
        <v/>
      </c>
      <c r="J1657" s="59">
        <f t="shared" si="28"/>
        <v>0</v>
      </c>
      <c r="K1657" s="59">
        <f t="shared" si="29"/>
        <v>0</v>
      </c>
      <c r="L1657" s="59">
        <f t="shared" si="30"/>
        <v>0</v>
      </c>
      <c r="M1657" s="59">
        <f t="shared" si="31"/>
        <v>0</v>
      </c>
    </row>
    <row r="1658" ht="15.0" hidden="1" customHeight="1">
      <c r="A1658" s="59">
        <f t="shared" si="20"/>
        <v>24</v>
      </c>
      <c r="B1658" s="59" t="str">
        <f t="shared" si="21"/>
        <v/>
      </c>
      <c r="C1658" s="59" t="str">
        <f t="shared" si="22"/>
        <v/>
      </c>
      <c r="D1658" s="45" t="str">
        <f t="shared" si="23"/>
        <v/>
      </c>
      <c r="E1658" s="45" t="str">
        <f t="shared" si="24"/>
        <v/>
      </c>
      <c r="F1658" s="59" t="str">
        <f t="shared" si="25"/>
        <v/>
      </c>
      <c r="G1658" s="59" t="str">
        <f t="shared" si="26"/>
        <v/>
      </c>
      <c r="H1658" s="59" t="str">
        <f t="shared" si="27"/>
        <v>29E18160</v>
      </c>
      <c r="I1658" s="59" t="str">
        <f>IF(OR($A1658="",$C1658="",$D1658="",$E1658="",$H1658=""),"",SUMIFS(DATA_GOC!$H:$H,DATA_GOC!$A:$A,"BOM",DATA_GOC!$D:$D,$H1658,DATA_GOC!$E:$E,$C1658,DATA_GOC!$F:$F,"Xuất nội bộ từ téc",DATA_GOC!$B:$B,"&gt;="&amp;$D1658,DATA_GOC!$B:$B,"&lt;="&amp;$E1658))</f>
        <v/>
      </c>
      <c r="J1658" s="59">
        <f t="shared" si="28"/>
        <v>0</v>
      </c>
      <c r="K1658" s="59">
        <f t="shared" si="29"/>
        <v>0</v>
      </c>
      <c r="L1658" s="59">
        <f t="shared" si="30"/>
        <v>0</v>
      </c>
      <c r="M1658" s="59">
        <f t="shared" si="31"/>
        <v>0</v>
      </c>
    </row>
    <row r="1659" ht="15.0" hidden="1" customHeight="1">
      <c r="A1659" s="59">
        <f t="shared" si="20"/>
        <v>24</v>
      </c>
      <c r="B1659" s="59" t="str">
        <f t="shared" si="21"/>
        <v/>
      </c>
      <c r="C1659" s="59" t="str">
        <f t="shared" si="22"/>
        <v/>
      </c>
      <c r="D1659" s="45" t="str">
        <f t="shared" si="23"/>
        <v/>
      </c>
      <c r="E1659" s="45" t="str">
        <f t="shared" si="24"/>
        <v/>
      </c>
      <c r="F1659" s="59" t="str">
        <f t="shared" si="25"/>
        <v/>
      </c>
      <c r="G1659" s="59" t="str">
        <f t="shared" si="26"/>
        <v/>
      </c>
      <c r="H1659" s="59" t="str">
        <f t="shared" si="27"/>
        <v>Công trình Asphalt</v>
      </c>
      <c r="I1659" s="59" t="str">
        <f>IF(OR($A1659="",$C1659="",$D1659="",$E1659="",$H1659=""),"",SUMIFS(DATA_GOC!$H:$H,DATA_GOC!$A:$A,"BOM",DATA_GOC!$D:$D,$H1659,DATA_GOC!$E:$E,$C1659,DATA_GOC!$F:$F,"Xuất nội bộ từ téc",DATA_GOC!$B:$B,"&gt;="&amp;$D1659,DATA_GOC!$B:$B,"&lt;="&amp;$E1659))</f>
        <v/>
      </c>
      <c r="J1659" s="59">
        <f t="shared" si="28"/>
        <v>0</v>
      </c>
      <c r="K1659" s="59">
        <f t="shared" si="29"/>
        <v>0</v>
      </c>
      <c r="L1659" s="59">
        <f t="shared" si="30"/>
        <v>0</v>
      </c>
      <c r="M1659" s="59">
        <f t="shared" si="31"/>
        <v>0</v>
      </c>
    </row>
    <row r="1660" ht="15.0" hidden="1" customHeight="1">
      <c r="A1660" s="59">
        <f t="shared" si="20"/>
        <v>24</v>
      </c>
      <c r="B1660" s="59" t="str">
        <f t="shared" si="21"/>
        <v/>
      </c>
      <c r="C1660" s="59" t="str">
        <f t="shared" si="22"/>
        <v/>
      </c>
      <c r="D1660" s="45" t="str">
        <f t="shared" si="23"/>
        <v/>
      </c>
      <c r="E1660" s="45" t="str">
        <f t="shared" si="24"/>
        <v/>
      </c>
      <c r="F1660" s="59" t="str">
        <f t="shared" si="25"/>
        <v/>
      </c>
      <c r="G1660" s="59" t="str">
        <f t="shared" si="26"/>
        <v/>
      </c>
      <c r="H1660" s="59" t="str">
        <f t="shared" si="27"/>
        <v>LG53F</v>
      </c>
      <c r="I1660" s="59" t="str">
        <f>IF(OR($A1660="",$C1660="",$D1660="",$E1660="",$H1660=""),"",SUMIFS(DATA_GOC!$H:$H,DATA_GOC!$A:$A,"BOM",DATA_GOC!$D:$D,$H1660,DATA_GOC!$E:$E,$C1660,DATA_GOC!$F:$F,"Xuất nội bộ từ téc",DATA_GOC!$B:$B,"&gt;="&amp;$D1660,DATA_GOC!$B:$B,"&lt;="&amp;$E1660))</f>
        <v/>
      </c>
      <c r="J1660" s="59">
        <f t="shared" si="28"/>
        <v>0</v>
      </c>
      <c r="K1660" s="59">
        <f t="shared" si="29"/>
        <v>0</v>
      </c>
      <c r="L1660" s="59">
        <f t="shared" si="30"/>
        <v>0</v>
      </c>
      <c r="M1660" s="59">
        <f t="shared" si="31"/>
        <v>0</v>
      </c>
    </row>
    <row r="1661" ht="15.0" hidden="1" customHeight="1">
      <c r="A1661" s="59">
        <f t="shared" si="20"/>
        <v>24</v>
      </c>
      <c r="B1661" s="59" t="str">
        <f t="shared" si="21"/>
        <v/>
      </c>
      <c r="C1661" s="59" t="str">
        <f t="shared" si="22"/>
        <v/>
      </c>
      <c r="D1661" s="45" t="str">
        <f t="shared" si="23"/>
        <v/>
      </c>
      <c r="E1661" s="45" t="str">
        <f t="shared" si="24"/>
        <v/>
      </c>
      <c r="F1661" s="59" t="str">
        <f t="shared" si="25"/>
        <v/>
      </c>
      <c r="G1661" s="59" t="str">
        <f t="shared" si="26"/>
        <v/>
      </c>
      <c r="H1661" s="59" t="str">
        <f t="shared" si="27"/>
        <v>Máy phát điện</v>
      </c>
      <c r="I1661" s="59" t="str">
        <f>IF(OR($A1661="",$C1661="",$D1661="",$E1661="",$H1661=""),"",SUMIFS(DATA_GOC!$H:$H,DATA_GOC!$A:$A,"BOM",DATA_GOC!$D:$D,$H1661,DATA_GOC!$E:$E,$C1661,DATA_GOC!$F:$F,"Xuất nội bộ từ téc",DATA_GOC!$B:$B,"&gt;="&amp;$D1661,DATA_GOC!$B:$B,"&lt;="&amp;$E1661))</f>
        <v/>
      </c>
      <c r="J1661" s="59">
        <f t="shared" si="28"/>
        <v>0</v>
      </c>
      <c r="K1661" s="59">
        <f t="shared" si="29"/>
        <v>0</v>
      </c>
      <c r="L1661" s="59">
        <f t="shared" si="30"/>
        <v>0</v>
      </c>
      <c r="M1661" s="59">
        <f t="shared" si="31"/>
        <v>0</v>
      </c>
    </row>
    <row r="1662" ht="15.0" hidden="1" customHeight="1">
      <c r="A1662" s="59">
        <f t="shared" si="20"/>
        <v>24</v>
      </c>
      <c r="B1662" s="59" t="str">
        <f t="shared" si="21"/>
        <v/>
      </c>
      <c r="C1662" s="59" t="str">
        <f t="shared" si="22"/>
        <v/>
      </c>
      <c r="D1662" s="45" t="str">
        <f t="shared" si="23"/>
        <v/>
      </c>
      <c r="E1662" s="45" t="str">
        <f t="shared" si="24"/>
        <v/>
      </c>
      <c r="F1662" s="59" t="str">
        <f t="shared" si="25"/>
        <v/>
      </c>
      <c r="G1662" s="59" t="str">
        <f t="shared" si="26"/>
        <v/>
      </c>
      <c r="H1662" s="59" t="str">
        <f t="shared" si="27"/>
        <v>Máy rải thảm</v>
      </c>
      <c r="I1662" s="59" t="str">
        <f>IF(OR($A1662="",$C1662="",$D1662="",$E1662="",$H1662=""),"",SUMIFS(DATA_GOC!$H:$H,DATA_GOC!$A:$A,"BOM",DATA_GOC!$D:$D,$H1662,DATA_GOC!$E:$E,$C1662,DATA_GOC!$F:$F,"Xuất nội bộ từ téc",DATA_GOC!$B:$B,"&gt;="&amp;$D1662,DATA_GOC!$B:$B,"&lt;="&amp;$E1662))</f>
        <v/>
      </c>
      <c r="J1662" s="59">
        <f t="shared" si="28"/>
        <v>0</v>
      </c>
      <c r="K1662" s="59">
        <f t="shared" si="29"/>
        <v>0</v>
      </c>
      <c r="L1662" s="59">
        <f t="shared" si="30"/>
        <v>0</v>
      </c>
      <c r="M1662" s="59">
        <f t="shared" si="31"/>
        <v>0</v>
      </c>
    </row>
    <row r="1663" ht="15.0" hidden="1" customHeight="1">
      <c r="A1663" s="59">
        <f t="shared" si="20"/>
        <v>24</v>
      </c>
      <c r="B1663" s="59" t="str">
        <f t="shared" si="21"/>
        <v/>
      </c>
      <c r="C1663" s="59" t="str">
        <f t="shared" si="22"/>
        <v/>
      </c>
      <c r="D1663" s="45" t="str">
        <f t="shared" si="23"/>
        <v/>
      </c>
      <c r="E1663" s="45" t="str">
        <f t="shared" si="24"/>
        <v/>
      </c>
      <c r="F1663" s="59" t="str">
        <f t="shared" si="25"/>
        <v/>
      </c>
      <c r="G1663" s="59" t="str">
        <f t="shared" si="26"/>
        <v/>
      </c>
      <c r="H1663" s="59" t="str">
        <f t="shared" si="27"/>
        <v>Xúc Đào</v>
      </c>
      <c r="I1663" s="59" t="str">
        <f>IF(OR($A1663="",$C1663="",$D1663="",$E1663="",$H1663=""),"",SUMIFS(DATA_GOC!$H:$H,DATA_GOC!$A:$A,"BOM",DATA_GOC!$D:$D,$H1663,DATA_GOC!$E:$E,$C1663,DATA_GOC!$F:$F,"Xuất nội bộ từ téc",DATA_GOC!$B:$B,"&gt;="&amp;$D1663,DATA_GOC!$B:$B,"&lt;="&amp;$E1663))</f>
        <v/>
      </c>
      <c r="J1663" s="59">
        <f t="shared" si="28"/>
        <v>0</v>
      </c>
      <c r="K1663" s="59">
        <f t="shared" si="29"/>
        <v>0</v>
      </c>
      <c r="L1663" s="59">
        <f t="shared" si="30"/>
        <v>0</v>
      </c>
      <c r="M1663" s="59">
        <f t="shared" si="31"/>
        <v>0</v>
      </c>
    </row>
    <row r="1664" ht="15.0" hidden="1" customHeight="1">
      <c r="A1664" s="59">
        <f t="shared" si="20"/>
        <v>24</v>
      </c>
      <c r="B1664" s="59" t="str">
        <f t="shared" si="21"/>
        <v/>
      </c>
      <c r="C1664" s="59" t="str">
        <f t="shared" si="22"/>
        <v/>
      </c>
      <c r="D1664" s="45" t="str">
        <f t="shared" si="23"/>
        <v/>
      </c>
      <c r="E1664" s="45" t="str">
        <f t="shared" si="24"/>
        <v/>
      </c>
      <c r="F1664" s="59" t="str">
        <f t="shared" si="25"/>
        <v/>
      </c>
      <c r="G1664" s="59" t="str">
        <f t="shared" si="26"/>
        <v/>
      </c>
      <c r="H1664" s="59" t="str">
        <f t="shared" si="27"/>
        <v>Xúclật asphalt</v>
      </c>
      <c r="I1664" s="59" t="str">
        <f>IF(OR($A1664="",$C1664="",$D1664="",$E1664="",$H1664=""),"",SUMIFS(DATA_GOC!$H:$H,DATA_GOC!$A:$A,"BOM",DATA_GOC!$D:$D,$H1664,DATA_GOC!$E:$E,$C1664,DATA_GOC!$F:$F,"Xuất nội bộ từ téc",DATA_GOC!$B:$B,"&gt;="&amp;$D1664,DATA_GOC!$B:$B,"&lt;="&amp;$E1664))</f>
        <v/>
      </c>
      <c r="J1664" s="59">
        <f t="shared" si="28"/>
        <v>0</v>
      </c>
      <c r="K1664" s="59">
        <f t="shared" si="29"/>
        <v>0</v>
      </c>
      <c r="L1664" s="59">
        <f t="shared" si="30"/>
        <v>0</v>
      </c>
      <c r="M1664" s="59">
        <f t="shared" si="31"/>
        <v>0</v>
      </c>
    </row>
    <row r="1665" ht="15.0" hidden="1" customHeight="1">
      <c r="A1665" s="59">
        <f t="shared" si="20"/>
        <v>24</v>
      </c>
      <c r="B1665" s="59" t="str">
        <f t="shared" si="21"/>
        <v/>
      </c>
      <c r="C1665" s="59" t="str">
        <f t="shared" si="22"/>
        <v/>
      </c>
      <c r="D1665" s="45" t="str">
        <f t="shared" si="23"/>
        <v/>
      </c>
      <c r="E1665" s="45" t="str">
        <f t="shared" si="24"/>
        <v/>
      </c>
      <c r="F1665" s="59" t="str">
        <f t="shared" si="25"/>
        <v/>
      </c>
      <c r="G1665" s="59" t="str">
        <f t="shared" si="26"/>
        <v/>
      </c>
      <c r="H1665" s="59" t="str">
        <f t="shared" si="27"/>
        <v>Xúclật855H</v>
      </c>
      <c r="I1665" s="59" t="str">
        <f>IF(OR($A1665="",$C1665="",$D1665="",$E1665="",$H1665=""),"",SUMIFS(DATA_GOC!$H:$H,DATA_GOC!$A:$A,"BOM",DATA_GOC!$D:$D,$H1665,DATA_GOC!$E:$E,$C1665,DATA_GOC!$F:$F,"Xuất nội bộ từ téc",DATA_GOC!$B:$B,"&gt;="&amp;$D1665,DATA_GOC!$B:$B,"&lt;="&amp;$E1665))</f>
        <v/>
      </c>
      <c r="J1665" s="59">
        <f t="shared" si="28"/>
        <v>0</v>
      </c>
      <c r="K1665" s="59">
        <f t="shared" si="29"/>
        <v>0</v>
      </c>
      <c r="L1665" s="59">
        <f t="shared" si="30"/>
        <v>0</v>
      </c>
      <c r="M1665" s="59">
        <f t="shared" si="31"/>
        <v>0</v>
      </c>
    </row>
    <row r="1666" ht="15.0" hidden="1" customHeight="1">
      <c r="A1666" s="59">
        <f t="shared" si="20"/>
        <v>24</v>
      </c>
      <c r="B1666" s="59" t="str">
        <f t="shared" si="21"/>
        <v/>
      </c>
      <c r="C1666" s="59" t="str">
        <f t="shared" si="22"/>
        <v/>
      </c>
      <c r="D1666" s="45" t="str">
        <f t="shared" si="23"/>
        <v/>
      </c>
      <c r="E1666" s="45" t="str">
        <f t="shared" si="24"/>
        <v/>
      </c>
      <c r="F1666" s="59" t="str">
        <f t="shared" si="25"/>
        <v/>
      </c>
      <c r="G1666" s="59" t="str">
        <f t="shared" si="26"/>
        <v/>
      </c>
      <c r="H1666" s="59" t="str">
        <f t="shared" si="27"/>
        <v>Xúclật855N</v>
      </c>
      <c r="I1666" s="59" t="str">
        <f>IF(OR($A1666="",$C1666="",$D1666="",$E1666="",$H1666=""),"",SUMIFS(DATA_GOC!$H:$H,DATA_GOC!$A:$A,"BOM",DATA_GOC!$D:$D,$H1666,DATA_GOC!$E:$E,$C1666,DATA_GOC!$F:$F,"Xuất nội bộ từ téc",DATA_GOC!$B:$B,"&gt;="&amp;$D1666,DATA_GOC!$B:$B,"&lt;="&amp;$E1666))</f>
        <v/>
      </c>
      <c r="J1666" s="59">
        <f t="shared" si="28"/>
        <v>0</v>
      </c>
      <c r="K1666" s="59">
        <f t="shared" si="29"/>
        <v>0</v>
      </c>
      <c r="L1666" s="59">
        <f t="shared" si="30"/>
        <v>0</v>
      </c>
      <c r="M1666" s="59">
        <f t="shared" si="31"/>
        <v>0</v>
      </c>
    </row>
    <row r="1667" ht="15.0" hidden="1" customHeight="1">
      <c r="A1667" s="59">
        <f t="shared" si="20"/>
        <v>24</v>
      </c>
      <c r="B1667" s="59" t="str">
        <f t="shared" si="21"/>
        <v/>
      </c>
      <c r="C1667" s="59" t="str">
        <f t="shared" si="22"/>
        <v/>
      </c>
      <c r="D1667" s="45" t="str">
        <f t="shared" si="23"/>
        <v/>
      </c>
      <c r="E1667" s="45" t="str">
        <f t="shared" si="24"/>
        <v/>
      </c>
      <c r="F1667" s="59" t="str">
        <f t="shared" si="25"/>
        <v/>
      </c>
      <c r="G1667" s="59" t="str">
        <f t="shared" si="26"/>
        <v/>
      </c>
      <c r="H1667" s="59" t="str">
        <f t="shared" si="27"/>
        <v>Cát nghiền</v>
      </c>
      <c r="I1667" s="59" t="str">
        <f>IF(OR($A1667="",$C1667="",$D1667="",$E1667="",$H1667=""),"",SUMIFS(DATA_GOC!$H:$H,DATA_GOC!$A:$A,"BOM",DATA_GOC!$D:$D,$H1667,DATA_GOC!$E:$E,$C1667,DATA_GOC!$F:$F,"Xuất nội bộ từ téc",DATA_GOC!$B:$B,"&gt;="&amp;$D1667,DATA_GOC!$B:$B,"&lt;="&amp;$E1667))</f>
        <v/>
      </c>
      <c r="J1667" s="59">
        <f t="shared" si="28"/>
        <v>0</v>
      </c>
      <c r="K1667" s="59">
        <f t="shared" si="29"/>
        <v>0</v>
      </c>
      <c r="L1667" s="59">
        <f t="shared" si="30"/>
        <v>0</v>
      </c>
      <c r="M1667" s="59">
        <f t="shared" si="31"/>
        <v>0</v>
      </c>
    </row>
    <row r="1668" ht="15.0" hidden="1" customHeight="1">
      <c r="A1668" s="59">
        <f t="shared" si="20"/>
        <v>24</v>
      </c>
      <c r="B1668" s="59" t="str">
        <f t="shared" si="21"/>
        <v/>
      </c>
      <c r="C1668" s="59" t="str">
        <f t="shared" si="22"/>
        <v/>
      </c>
      <c r="D1668" s="45" t="str">
        <f t="shared" si="23"/>
        <v/>
      </c>
      <c r="E1668" s="45" t="str">
        <f t="shared" si="24"/>
        <v/>
      </c>
      <c r="F1668" s="59" t="str">
        <f t="shared" si="25"/>
        <v/>
      </c>
      <c r="G1668" s="59" t="str">
        <f t="shared" si="26"/>
        <v/>
      </c>
      <c r="H1668" s="59" t="str">
        <f t="shared" si="27"/>
        <v>28C02973</v>
      </c>
      <c r="I1668" s="59" t="str">
        <f>IF(OR($A1668="",$C1668="",$D1668="",$E1668="",$H1668=""),"",SUMIFS(DATA_GOC!$H:$H,DATA_GOC!$A:$A,"BOM",DATA_GOC!$D:$D,$H1668,DATA_GOC!$E:$E,$C1668,DATA_GOC!$F:$F,"Xuất nội bộ từ téc",DATA_GOC!$B:$B,"&gt;="&amp;$D1668,DATA_GOC!$B:$B,"&lt;="&amp;$E1668))</f>
        <v/>
      </c>
      <c r="J1668" s="59">
        <f t="shared" si="28"/>
        <v>0</v>
      </c>
      <c r="K1668" s="59">
        <f t="shared" si="29"/>
        <v>0</v>
      </c>
      <c r="L1668" s="59">
        <f t="shared" si="30"/>
        <v>0</v>
      </c>
      <c r="M1668" s="59">
        <f t="shared" si="31"/>
        <v>0</v>
      </c>
    </row>
    <row r="1669" ht="15.0" hidden="1" customHeight="1">
      <c r="A1669" s="59">
        <f t="shared" si="20"/>
        <v>24</v>
      </c>
      <c r="B1669" s="59" t="str">
        <f t="shared" si="21"/>
        <v/>
      </c>
      <c r="C1669" s="59" t="str">
        <f t="shared" si="22"/>
        <v/>
      </c>
      <c r="D1669" s="45" t="str">
        <f t="shared" si="23"/>
        <v/>
      </c>
      <c r="E1669" s="45" t="str">
        <f t="shared" si="24"/>
        <v/>
      </c>
      <c r="F1669" s="59" t="str">
        <f t="shared" si="25"/>
        <v/>
      </c>
      <c r="G1669" s="59" t="str">
        <f t="shared" si="26"/>
        <v/>
      </c>
      <c r="H1669" s="59" t="str">
        <f t="shared" si="27"/>
        <v>28C03044</v>
      </c>
      <c r="I1669" s="59" t="str">
        <f>IF(OR($A1669="",$C1669="",$D1669="",$E1669="",$H1669=""),"",SUMIFS(DATA_GOC!$H:$H,DATA_GOC!$A:$A,"BOM",DATA_GOC!$D:$D,$H1669,DATA_GOC!$E:$E,$C1669,DATA_GOC!$F:$F,"Xuất nội bộ từ téc",DATA_GOC!$B:$B,"&gt;="&amp;$D1669,DATA_GOC!$B:$B,"&lt;="&amp;$E1669))</f>
        <v/>
      </c>
      <c r="J1669" s="59">
        <f t="shared" si="28"/>
        <v>0</v>
      </c>
      <c r="K1669" s="59">
        <f t="shared" si="29"/>
        <v>0</v>
      </c>
      <c r="L1669" s="59">
        <f t="shared" si="30"/>
        <v>0</v>
      </c>
      <c r="M1669" s="59">
        <f t="shared" si="31"/>
        <v>0</v>
      </c>
    </row>
    <row r="1670" ht="15.0" hidden="1" customHeight="1">
      <c r="A1670" s="59">
        <f t="shared" si="20"/>
        <v>24</v>
      </c>
      <c r="B1670" s="59" t="str">
        <f t="shared" si="21"/>
        <v/>
      </c>
      <c r="C1670" s="59" t="str">
        <f t="shared" si="22"/>
        <v/>
      </c>
      <c r="D1670" s="45" t="str">
        <f t="shared" si="23"/>
        <v/>
      </c>
      <c r="E1670" s="45" t="str">
        <f t="shared" si="24"/>
        <v/>
      </c>
      <c r="F1670" s="59" t="str">
        <f t="shared" si="25"/>
        <v/>
      </c>
      <c r="G1670" s="59" t="str">
        <f t="shared" si="26"/>
        <v/>
      </c>
      <c r="H1670" s="59" t="str">
        <f t="shared" si="27"/>
        <v>Máy lu lốp</v>
      </c>
      <c r="I1670" s="59" t="str">
        <f>IF(OR($A1670="",$C1670="",$D1670="",$E1670="",$H1670=""),"",SUMIFS(DATA_GOC!$H:$H,DATA_GOC!$A:$A,"BOM",DATA_GOC!$D:$D,$H1670,DATA_GOC!$E:$E,$C1670,DATA_GOC!$F:$F,"Xuất nội bộ từ téc",DATA_GOC!$B:$B,"&gt;="&amp;$D1670,DATA_GOC!$B:$B,"&lt;="&amp;$E1670))</f>
        <v/>
      </c>
      <c r="J1670" s="59">
        <f t="shared" si="28"/>
        <v>0</v>
      </c>
      <c r="K1670" s="59">
        <f t="shared" si="29"/>
        <v>0</v>
      </c>
      <c r="L1670" s="59">
        <f t="shared" si="30"/>
        <v>0</v>
      </c>
      <c r="M1670" s="59">
        <f t="shared" si="31"/>
        <v>0</v>
      </c>
    </row>
    <row r="1671" ht="15.0" hidden="1" customHeight="1">
      <c r="A1671" s="59">
        <f t="shared" si="20"/>
        <v>24</v>
      </c>
      <c r="B1671" s="59" t="str">
        <f t="shared" si="21"/>
        <v/>
      </c>
      <c r="C1671" s="59" t="str">
        <f t="shared" si="22"/>
        <v/>
      </c>
      <c r="D1671" s="45" t="str">
        <f t="shared" si="23"/>
        <v/>
      </c>
      <c r="E1671" s="45" t="str">
        <f t="shared" si="24"/>
        <v/>
      </c>
      <c r="F1671" s="59" t="str">
        <f t="shared" si="25"/>
        <v/>
      </c>
      <c r="G1671" s="59" t="str">
        <f t="shared" si="26"/>
        <v/>
      </c>
      <c r="H1671" s="59" t="str">
        <f t="shared" si="27"/>
        <v>Xe 600148</v>
      </c>
      <c r="I1671" s="59" t="str">
        <f>IF(OR($A1671="",$C1671="",$D1671="",$E1671="",$H1671=""),"",SUMIFS(DATA_GOC!$H:$H,DATA_GOC!$A:$A,"BOM",DATA_GOC!$D:$D,$H1671,DATA_GOC!$E:$E,$C1671,DATA_GOC!$F:$F,"Xuất nội bộ từ téc",DATA_GOC!$B:$B,"&gt;="&amp;$D1671,DATA_GOC!$B:$B,"&lt;="&amp;$E1671))</f>
        <v/>
      </c>
      <c r="J1671" s="59">
        <f t="shared" si="28"/>
        <v>0</v>
      </c>
      <c r="K1671" s="59">
        <f t="shared" si="29"/>
        <v>0</v>
      </c>
      <c r="L1671" s="59">
        <f t="shared" si="30"/>
        <v>0</v>
      </c>
      <c r="M1671" s="59">
        <f t="shared" si="31"/>
        <v>0</v>
      </c>
    </row>
    <row r="1672" ht="15.0" hidden="1" customHeight="1">
      <c r="A1672" s="59">
        <f t="shared" si="20"/>
        <v>24</v>
      </c>
      <c r="B1672" s="59" t="str">
        <f t="shared" si="21"/>
        <v/>
      </c>
      <c r="C1672" s="59" t="str">
        <f t="shared" si="22"/>
        <v/>
      </c>
      <c r="D1672" s="45" t="str">
        <f t="shared" si="23"/>
        <v/>
      </c>
      <c r="E1672" s="45" t="str">
        <f t="shared" si="24"/>
        <v/>
      </c>
      <c r="F1672" s="59" t="str">
        <f t="shared" si="25"/>
        <v/>
      </c>
      <c r="G1672" s="59" t="str">
        <f t="shared" si="26"/>
        <v/>
      </c>
      <c r="H1672" s="59" t="str">
        <f t="shared" si="27"/>
        <v>Xe ben mới</v>
      </c>
      <c r="I1672" s="59" t="str">
        <f>IF(OR($A1672="",$C1672="",$D1672="",$E1672="",$H1672=""),"",SUMIFS(DATA_GOC!$H:$H,DATA_GOC!$A:$A,"BOM",DATA_GOC!$D:$D,$H1672,DATA_GOC!$E:$E,$C1672,DATA_GOC!$F:$F,"Xuất nội bộ từ téc",DATA_GOC!$B:$B,"&gt;="&amp;$D1672,DATA_GOC!$B:$B,"&lt;="&amp;$E1672))</f>
        <v/>
      </c>
      <c r="J1672" s="59">
        <f t="shared" si="28"/>
        <v>0</v>
      </c>
      <c r="K1672" s="59">
        <f t="shared" si="29"/>
        <v>0</v>
      </c>
      <c r="L1672" s="59">
        <f t="shared" si="30"/>
        <v>0</v>
      </c>
      <c r="M1672" s="59">
        <f t="shared" si="31"/>
        <v>0</v>
      </c>
    </row>
    <row r="1673" ht="15.0" hidden="1" customHeight="1">
      <c r="A1673" s="59">
        <f t="shared" si="20"/>
        <v>25</v>
      </c>
      <c r="B1673" s="59" t="str">
        <f t="shared" si="21"/>
        <v/>
      </c>
      <c r="C1673" s="59" t="str">
        <f t="shared" si="22"/>
        <v/>
      </c>
      <c r="D1673" s="45" t="str">
        <f t="shared" si="23"/>
        <v/>
      </c>
      <c r="E1673" s="45" t="str">
        <f t="shared" si="24"/>
        <v/>
      </c>
      <c r="F1673" s="59" t="str">
        <f t="shared" si="25"/>
        <v/>
      </c>
      <c r="G1673" s="59" t="str">
        <f t="shared" si="26"/>
        <v/>
      </c>
      <c r="H1673" s="59" t="str">
        <f t="shared" si="27"/>
        <v>19H09482</v>
      </c>
      <c r="I1673" s="59" t="str">
        <f>IF(OR($A1673="",$C1673="",$D1673="",$E1673="",$H1673=""),"",SUMIFS(DATA_GOC!$H:$H,DATA_GOC!$A:$A,"BOM",DATA_GOC!$D:$D,$H1673,DATA_GOC!$E:$E,$C1673,DATA_GOC!$F:$F,"Xuất nội bộ từ téc",DATA_GOC!$B:$B,"&gt;="&amp;$D1673,DATA_GOC!$B:$B,"&lt;="&amp;$E1673))</f>
        <v/>
      </c>
      <c r="J1673" s="59">
        <f t="shared" si="28"/>
        <v>0</v>
      </c>
      <c r="K1673" s="59">
        <f t="shared" si="29"/>
        <v>0</v>
      </c>
      <c r="L1673" s="59">
        <f t="shared" si="30"/>
        <v>0</v>
      </c>
      <c r="M1673" s="59">
        <f t="shared" si="31"/>
        <v>0</v>
      </c>
    </row>
    <row r="1674" ht="15.0" hidden="1" customHeight="1">
      <c r="A1674" s="59">
        <f t="shared" si="20"/>
        <v>25</v>
      </c>
      <c r="B1674" s="59" t="str">
        <f t="shared" si="21"/>
        <v/>
      </c>
      <c r="C1674" s="59" t="str">
        <f t="shared" si="22"/>
        <v/>
      </c>
      <c r="D1674" s="45" t="str">
        <f t="shared" si="23"/>
        <v/>
      </c>
      <c r="E1674" s="45" t="str">
        <f t="shared" si="24"/>
        <v/>
      </c>
      <c r="F1674" s="59" t="str">
        <f t="shared" si="25"/>
        <v/>
      </c>
      <c r="G1674" s="59" t="str">
        <f t="shared" si="26"/>
        <v/>
      </c>
      <c r="H1674" s="59" t="str">
        <f t="shared" si="27"/>
        <v>28A30696</v>
      </c>
      <c r="I1674" s="59" t="str">
        <f>IF(OR($A1674="",$C1674="",$D1674="",$E1674="",$H1674=""),"",SUMIFS(DATA_GOC!$H:$H,DATA_GOC!$A:$A,"BOM",DATA_GOC!$D:$D,$H1674,DATA_GOC!$E:$E,$C1674,DATA_GOC!$F:$F,"Xuất nội bộ từ téc",DATA_GOC!$B:$B,"&gt;="&amp;$D1674,DATA_GOC!$B:$B,"&lt;="&amp;$E1674))</f>
        <v/>
      </c>
      <c r="J1674" s="59">
        <f t="shared" si="28"/>
        <v>0</v>
      </c>
      <c r="K1674" s="59">
        <f t="shared" si="29"/>
        <v>0</v>
      </c>
      <c r="L1674" s="59">
        <f t="shared" si="30"/>
        <v>0</v>
      </c>
      <c r="M1674" s="59">
        <f t="shared" si="31"/>
        <v>0</v>
      </c>
    </row>
    <row r="1675" ht="15.0" hidden="1" customHeight="1">
      <c r="A1675" s="59">
        <f t="shared" si="20"/>
        <v>25</v>
      </c>
      <c r="B1675" s="59" t="str">
        <f t="shared" si="21"/>
        <v/>
      </c>
      <c r="C1675" s="59" t="str">
        <f t="shared" si="22"/>
        <v/>
      </c>
      <c r="D1675" s="45" t="str">
        <f t="shared" si="23"/>
        <v/>
      </c>
      <c r="E1675" s="45" t="str">
        <f t="shared" si="24"/>
        <v/>
      </c>
      <c r="F1675" s="59" t="str">
        <f t="shared" si="25"/>
        <v/>
      </c>
      <c r="G1675" s="59" t="str">
        <f t="shared" si="26"/>
        <v/>
      </c>
      <c r="H1675" s="59" t="str">
        <f t="shared" si="27"/>
        <v>28C00462</v>
      </c>
      <c r="I1675" s="59" t="str">
        <f>IF(OR($A1675="",$C1675="",$D1675="",$E1675="",$H1675=""),"",SUMIFS(DATA_GOC!$H:$H,DATA_GOC!$A:$A,"BOM",DATA_GOC!$D:$D,$H1675,DATA_GOC!$E:$E,$C1675,DATA_GOC!$F:$F,"Xuất nội bộ từ téc",DATA_GOC!$B:$B,"&gt;="&amp;$D1675,DATA_GOC!$B:$B,"&lt;="&amp;$E1675))</f>
        <v/>
      </c>
      <c r="J1675" s="59">
        <f t="shared" si="28"/>
        <v>0</v>
      </c>
      <c r="K1675" s="59">
        <f t="shared" si="29"/>
        <v>0</v>
      </c>
      <c r="L1675" s="59">
        <f t="shared" si="30"/>
        <v>0</v>
      </c>
      <c r="M1675" s="59">
        <f t="shared" si="31"/>
        <v>0</v>
      </c>
    </row>
    <row r="1676" ht="15.0" hidden="1" customHeight="1">
      <c r="A1676" s="59">
        <f t="shared" si="20"/>
        <v>25</v>
      </c>
      <c r="B1676" s="59" t="str">
        <f t="shared" si="21"/>
        <v/>
      </c>
      <c r="C1676" s="59" t="str">
        <f t="shared" si="22"/>
        <v/>
      </c>
      <c r="D1676" s="45" t="str">
        <f t="shared" si="23"/>
        <v/>
      </c>
      <c r="E1676" s="45" t="str">
        <f t="shared" si="24"/>
        <v/>
      </c>
      <c r="F1676" s="59" t="str">
        <f t="shared" si="25"/>
        <v/>
      </c>
      <c r="G1676" s="59" t="str">
        <f t="shared" si="26"/>
        <v/>
      </c>
      <c r="H1676" s="59" t="str">
        <f t="shared" si="27"/>
        <v>28C01165</v>
      </c>
      <c r="I1676" s="59" t="str">
        <f>IF(OR($A1676="",$C1676="",$D1676="",$E1676="",$H1676=""),"",SUMIFS(DATA_GOC!$H:$H,DATA_GOC!$A:$A,"BOM",DATA_GOC!$D:$D,$H1676,DATA_GOC!$E:$E,$C1676,DATA_GOC!$F:$F,"Xuất nội bộ từ téc",DATA_GOC!$B:$B,"&gt;="&amp;$D1676,DATA_GOC!$B:$B,"&lt;="&amp;$E1676))</f>
        <v/>
      </c>
      <c r="J1676" s="59">
        <f t="shared" si="28"/>
        <v>0</v>
      </c>
      <c r="K1676" s="59">
        <f t="shared" si="29"/>
        <v>0</v>
      </c>
      <c r="L1676" s="59">
        <f t="shared" si="30"/>
        <v>0</v>
      </c>
      <c r="M1676" s="59">
        <f t="shared" si="31"/>
        <v>0</v>
      </c>
    </row>
    <row r="1677" ht="15.0" hidden="1" customHeight="1">
      <c r="A1677" s="59">
        <f t="shared" si="20"/>
        <v>25</v>
      </c>
      <c r="B1677" s="59" t="str">
        <f t="shared" si="21"/>
        <v/>
      </c>
      <c r="C1677" s="59" t="str">
        <f t="shared" si="22"/>
        <v/>
      </c>
      <c r="D1677" s="45" t="str">
        <f t="shared" si="23"/>
        <v/>
      </c>
      <c r="E1677" s="45" t="str">
        <f t="shared" si="24"/>
        <v/>
      </c>
      <c r="F1677" s="59" t="str">
        <f t="shared" si="25"/>
        <v/>
      </c>
      <c r="G1677" s="59" t="str">
        <f t="shared" si="26"/>
        <v/>
      </c>
      <c r="H1677" s="59" t="str">
        <f t="shared" si="27"/>
        <v>28C01406</v>
      </c>
      <c r="I1677" s="59" t="str">
        <f>IF(OR($A1677="",$C1677="",$D1677="",$E1677="",$H1677=""),"",SUMIFS(DATA_GOC!$H:$H,DATA_GOC!$A:$A,"BOM",DATA_GOC!$D:$D,$H1677,DATA_GOC!$E:$E,$C1677,DATA_GOC!$F:$F,"Xuất nội bộ từ téc",DATA_GOC!$B:$B,"&gt;="&amp;$D1677,DATA_GOC!$B:$B,"&lt;="&amp;$E1677))</f>
        <v/>
      </c>
      <c r="J1677" s="59">
        <f t="shared" si="28"/>
        <v>0</v>
      </c>
      <c r="K1677" s="59">
        <f t="shared" si="29"/>
        <v>0</v>
      </c>
      <c r="L1677" s="59">
        <f t="shared" si="30"/>
        <v>0</v>
      </c>
      <c r="M1677" s="59">
        <f t="shared" si="31"/>
        <v>0</v>
      </c>
    </row>
    <row r="1678" ht="15.0" hidden="1" customHeight="1">
      <c r="A1678" s="59">
        <f t="shared" si="20"/>
        <v>25</v>
      </c>
      <c r="B1678" s="59" t="str">
        <f t="shared" si="21"/>
        <v/>
      </c>
      <c r="C1678" s="59" t="str">
        <f t="shared" si="22"/>
        <v/>
      </c>
      <c r="D1678" s="45" t="str">
        <f t="shared" si="23"/>
        <v/>
      </c>
      <c r="E1678" s="45" t="str">
        <f t="shared" si="24"/>
        <v/>
      </c>
      <c r="F1678" s="59" t="str">
        <f t="shared" si="25"/>
        <v/>
      </c>
      <c r="G1678" s="59" t="str">
        <f t="shared" si="26"/>
        <v/>
      </c>
      <c r="H1678" s="59" t="str">
        <f t="shared" si="27"/>
        <v>28C01544</v>
      </c>
      <c r="I1678" s="59" t="str">
        <f>IF(OR($A1678="",$C1678="",$D1678="",$E1678="",$H1678=""),"",SUMIFS(DATA_GOC!$H:$H,DATA_GOC!$A:$A,"BOM",DATA_GOC!$D:$D,$H1678,DATA_GOC!$E:$E,$C1678,DATA_GOC!$F:$F,"Xuất nội bộ từ téc",DATA_GOC!$B:$B,"&gt;="&amp;$D1678,DATA_GOC!$B:$B,"&lt;="&amp;$E1678))</f>
        <v/>
      </c>
      <c r="J1678" s="59">
        <f t="shared" si="28"/>
        <v>0</v>
      </c>
      <c r="K1678" s="59">
        <f t="shared" si="29"/>
        <v>0</v>
      </c>
      <c r="L1678" s="59">
        <f t="shared" si="30"/>
        <v>0</v>
      </c>
      <c r="M1678" s="59">
        <f t="shared" si="31"/>
        <v>0</v>
      </c>
    </row>
    <row r="1679" ht="15.0" hidden="1" customHeight="1">
      <c r="A1679" s="59">
        <f t="shared" si="20"/>
        <v>25</v>
      </c>
      <c r="B1679" s="59" t="str">
        <f t="shared" si="21"/>
        <v/>
      </c>
      <c r="C1679" s="59" t="str">
        <f t="shared" si="22"/>
        <v/>
      </c>
      <c r="D1679" s="45" t="str">
        <f t="shared" si="23"/>
        <v/>
      </c>
      <c r="E1679" s="45" t="str">
        <f t="shared" si="24"/>
        <v/>
      </c>
      <c r="F1679" s="59" t="str">
        <f t="shared" si="25"/>
        <v/>
      </c>
      <c r="G1679" s="59" t="str">
        <f t="shared" si="26"/>
        <v/>
      </c>
      <c r="H1679" s="59" t="str">
        <f t="shared" si="27"/>
        <v>28C01622</v>
      </c>
      <c r="I1679" s="59" t="str">
        <f>IF(OR($A1679="",$C1679="",$D1679="",$E1679="",$H1679=""),"",SUMIFS(DATA_GOC!$H:$H,DATA_GOC!$A:$A,"BOM",DATA_GOC!$D:$D,$H1679,DATA_GOC!$E:$E,$C1679,DATA_GOC!$F:$F,"Xuất nội bộ từ téc",DATA_GOC!$B:$B,"&gt;="&amp;$D1679,DATA_GOC!$B:$B,"&lt;="&amp;$E1679))</f>
        <v/>
      </c>
      <c r="J1679" s="59">
        <f t="shared" si="28"/>
        <v>0</v>
      </c>
      <c r="K1679" s="59">
        <f t="shared" si="29"/>
        <v>0</v>
      </c>
      <c r="L1679" s="59">
        <f t="shared" si="30"/>
        <v>0</v>
      </c>
      <c r="M1679" s="59">
        <f t="shared" si="31"/>
        <v>0</v>
      </c>
    </row>
    <row r="1680" ht="15.0" hidden="1" customHeight="1">
      <c r="A1680" s="59">
        <f t="shared" si="20"/>
        <v>25</v>
      </c>
      <c r="B1680" s="59" t="str">
        <f t="shared" si="21"/>
        <v/>
      </c>
      <c r="C1680" s="59" t="str">
        <f t="shared" si="22"/>
        <v/>
      </c>
      <c r="D1680" s="45" t="str">
        <f t="shared" si="23"/>
        <v/>
      </c>
      <c r="E1680" s="45" t="str">
        <f t="shared" si="24"/>
        <v/>
      </c>
      <c r="F1680" s="59" t="str">
        <f t="shared" si="25"/>
        <v/>
      </c>
      <c r="G1680" s="59" t="str">
        <f t="shared" si="26"/>
        <v/>
      </c>
      <c r="H1680" s="59" t="str">
        <f t="shared" si="27"/>
        <v>28C01647</v>
      </c>
      <c r="I1680" s="59" t="str">
        <f>IF(OR($A1680="",$C1680="",$D1680="",$E1680="",$H1680=""),"",SUMIFS(DATA_GOC!$H:$H,DATA_GOC!$A:$A,"BOM",DATA_GOC!$D:$D,$H1680,DATA_GOC!$E:$E,$C1680,DATA_GOC!$F:$F,"Xuất nội bộ từ téc",DATA_GOC!$B:$B,"&gt;="&amp;$D1680,DATA_GOC!$B:$B,"&lt;="&amp;$E1680))</f>
        <v/>
      </c>
      <c r="J1680" s="59">
        <f t="shared" si="28"/>
        <v>0</v>
      </c>
      <c r="K1680" s="59">
        <f t="shared" si="29"/>
        <v>0</v>
      </c>
      <c r="L1680" s="59">
        <f t="shared" si="30"/>
        <v>0</v>
      </c>
      <c r="M1680" s="59">
        <f t="shared" si="31"/>
        <v>0</v>
      </c>
    </row>
    <row r="1681" ht="15.0" hidden="1" customHeight="1">
      <c r="A1681" s="59">
        <f t="shared" si="20"/>
        <v>25</v>
      </c>
      <c r="B1681" s="59" t="str">
        <f t="shared" si="21"/>
        <v/>
      </c>
      <c r="C1681" s="59" t="str">
        <f t="shared" si="22"/>
        <v/>
      </c>
      <c r="D1681" s="45" t="str">
        <f t="shared" si="23"/>
        <v/>
      </c>
      <c r="E1681" s="45" t="str">
        <f t="shared" si="24"/>
        <v/>
      </c>
      <c r="F1681" s="59" t="str">
        <f t="shared" si="25"/>
        <v/>
      </c>
      <c r="G1681" s="59" t="str">
        <f t="shared" si="26"/>
        <v/>
      </c>
      <c r="H1681" s="59" t="str">
        <f t="shared" si="27"/>
        <v>28C01731</v>
      </c>
      <c r="I1681" s="59" t="str">
        <f>IF(OR($A1681="",$C1681="",$D1681="",$E1681="",$H1681=""),"",SUMIFS(DATA_GOC!$H:$H,DATA_GOC!$A:$A,"BOM",DATA_GOC!$D:$D,$H1681,DATA_GOC!$E:$E,$C1681,DATA_GOC!$F:$F,"Xuất nội bộ từ téc",DATA_GOC!$B:$B,"&gt;="&amp;$D1681,DATA_GOC!$B:$B,"&lt;="&amp;$E1681))</f>
        <v/>
      </c>
      <c r="J1681" s="59">
        <f t="shared" si="28"/>
        <v>0</v>
      </c>
      <c r="K1681" s="59">
        <f t="shared" si="29"/>
        <v>0</v>
      </c>
      <c r="L1681" s="59">
        <f t="shared" si="30"/>
        <v>0</v>
      </c>
      <c r="M1681" s="59">
        <f t="shared" si="31"/>
        <v>0</v>
      </c>
    </row>
    <row r="1682" ht="15.0" hidden="1" customHeight="1">
      <c r="A1682" s="59">
        <f t="shared" si="20"/>
        <v>25</v>
      </c>
      <c r="B1682" s="59" t="str">
        <f t="shared" si="21"/>
        <v/>
      </c>
      <c r="C1682" s="59" t="str">
        <f t="shared" si="22"/>
        <v/>
      </c>
      <c r="D1682" s="45" t="str">
        <f t="shared" si="23"/>
        <v/>
      </c>
      <c r="E1682" s="45" t="str">
        <f t="shared" si="24"/>
        <v/>
      </c>
      <c r="F1682" s="59" t="str">
        <f t="shared" si="25"/>
        <v/>
      </c>
      <c r="G1682" s="59" t="str">
        <f t="shared" si="26"/>
        <v/>
      </c>
      <c r="H1682" s="59" t="str">
        <f t="shared" si="27"/>
        <v>28C01743</v>
      </c>
      <c r="I1682" s="59" t="str">
        <f>IF(OR($A1682="",$C1682="",$D1682="",$E1682="",$H1682=""),"",SUMIFS(DATA_GOC!$H:$H,DATA_GOC!$A:$A,"BOM",DATA_GOC!$D:$D,$H1682,DATA_GOC!$E:$E,$C1682,DATA_GOC!$F:$F,"Xuất nội bộ từ téc",DATA_GOC!$B:$B,"&gt;="&amp;$D1682,DATA_GOC!$B:$B,"&lt;="&amp;$E1682))</f>
        <v/>
      </c>
      <c r="J1682" s="59">
        <f t="shared" si="28"/>
        <v>0</v>
      </c>
      <c r="K1682" s="59">
        <f t="shared" si="29"/>
        <v>0</v>
      </c>
      <c r="L1682" s="59">
        <f t="shared" si="30"/>
        <v>0</v>
      </c>
      <c r="M1682" s="59">
        <f t="shared" si="31"/>
        <v>0</v>
      </c>
    </row>
    <row r="1683" ht="15.0" hidden="1" customHeight="1">
      <c r="A1683" s="59">
        <f t="shared" si="20"/>
        <v>25</v>
      </c>
      <c r="B1683" s="59" t="str">
        <f t="shared" si="21"/>
        <v/>
      </c>
      <c r="C1683" s="59" t="str">
        <f t="shared" si="22"/>
        <v/>
      </c>
      <c r="D1683" s="45" t="str">
        <f t="shared" si="23"/>
        <v/>
      </c>
      <c r="E1683" s="45" t="str">
        <f t="shared" si="24"/>
        <v/>
      </c>
      <c r="F1683" s="59" t="str">
        <f t="shared" si="25"/>
        <v/>
      </c>
      <c r="G1683" s="59" t="str">
        <f t="shared" si="26"/>
        <v/>
      </c>
      <c r="H1683" s="59" t="str">
        <f t="shared" si="27"/>
        <v>28C02106</v>
      </c>
      <c r="I1683" s="59" t="str">
        <f>IF(OR($A1683="",$C1683="",$D1683="",$E1683="",$H1683=""),"",SUMIFS(DATA_GOC!$H:$H,DATA_GOC!$A:$A,"BOM",DATA_GOC!$D:$D,$H1683,DATA_GOC!$E:$E,$C1683,DATA_GOC!$F:$F,"Xuất nội bộ từ téc",DATA_GOC!$B:$B,"&gt;="&amp;$D1683,DATA_GOC!$B:$B,"&lt;="&amp;$E1683))</f>
        <v/>
      </c>
      <c r="J1683" s="59">
        <f t="shared" si="28"/>
        <v>0</v>
      </c>
      <c r="K1683" s="59">
        <f t="shared" si="29"/>
        <v>0</v>
      </c>
      <c r="L1683" s="59">
        <f t="shared" si="30"/>
        <v>0</v>
      </c>
      <c r="M1683" s="59">
        <f t="shared" si="31"/>
        <v>0</v>
      </c>
    </row>
    <row r="1684" ht="15.0" hidden="1" customHeight="1">
      <c r="A1684" s="59">
        <f t="shared" si="20"/>
        <v>25</v>
      </c>
      <c r="B1684" s="59" t="str">
        <f t="shared" si="21"/>
        <v/>
      </c>
      <c r="C1684" s="59" t="str">
        <f t="shared" si="22"/>
        <v/>
      </c>
      <c r="D1684" s="45" t="str">
        <f t="shared" si="23"/>
        <v/>
      </c>
      <c r="E1684" s="45" t="str">
        <f t="shared" si="24"/>
        <v/>
      </c>
      <c r="F1684" s="59" t="str">
        <f t="shared" si="25"/>
        <v/>
      </c>
      <c r="G1684" s="59" t="str">
        <f t="shared" si="26"/>
        <v/>
      </c>
      <c r="H1684" s="59" t="str">
        <f t="shared" si="27"/>
        <v>28C02410</v>
      </c>
      <c r="I1684" s="59" t="str">
        <f>IF(OR($A1684="",$C1684="",$D1684="",$E1684="",$H1684=""),"",SUMIFS(DATA_GOC!$H:$H,DATA_GOC!$A:$A,"BOM",DATA_GOC!$D:$D,$H1684,DATA_GOC!$E:$E,$C1684,DATA_GOC!$F:$F,"Xuất nội bộ từ téc",DATA_GOC!$B:$B,"&gt;="&amp;$D1684,DATA_GOC!$B:$B,"&lt;="&amp;$E1684))</f>
        <v/>
      </c>
      <c r="J1684" s="59">
        <f t="shared" si="28"/>
        <v>0</v>
      </c>
      <c r="K1684" s="59">
        <f t="shared" si="29"/>
        <v>0</v>
      </c>
      <c r="L1684" s="59">
        <f t="shared" si="30"/>
        <v>0</v>
      </c>
      <c r="M1684" s="59">
        <f t="shared" si="31"/>
        <v>0</v>
      </c>
    </row>
    <row r="1685" ht="15.0" hidden="1" customHeight="1">
      <c r="A1685" s="59">
        <f t="shared" si="20"/>
        <v>25</v>
      </c>
      <c r="B1685" s="59" t="str">
        <f t="shared" si="21"/>
        <v/>
      </c>
      <c r="C1685" s="59" t="str">
        <f t="shared" si="22"/>
        <v/>
      </c>
      <c r="D1685" s="45" t="str">
        <f t="shared" si="23"/>
        <v/>
      </c>
      <c r="E1685" s="45" t="str">
        <f t="shared" si="24"/>
        <v/>
      </c>
      <c r="F1685" s="59" t="str">
        <f t="shared" si="25"/>
        <v/>
      </c>
      <c r="G1685" s="59" t="str">
        <f t="shared" si="26"/>
        <v/>
      </c>
      <c r="H1685" s="59" t="str">
        <f t="shared" si="27"/>
        <v>28C02545</v>
      </c>
      <c r="I1685" s="59" t="str">
        <f>IF(OR($A1685="",$C1685="",$D1685="",$E1685="",$H1685=""),"",SUMIFS(DATA_GOC!$H:$H,DATA_GOC!$A:$A,"BOM",DATA_GOC!$D:$D,$H1685,DATA_GOC!$E:$E,$C1685,DATA_GOC!$F:$F,"Xuất nội bộ từ téc",DATA_GOC!$B:$B,"&gt;="&amp;$D1685,DATA_GOC!$B:$B,"&lt;="&amp;$E1685))</f>
        <v/>
      </c>
      <c r="J1685" s="59">
        <f t="shared" si="28"/>
        <v>0</v>
      </c>
      <c r="K1685" s="59">
        <f t="shared" si="29"/>
        <v>0</v>
      </c>
      <c r="L1685" s="59">
        <f t="shared" si="30"/>
        <v>0</v>
      </c>
      <c r="M1685" s="59">
        <f t="shared" si="31"/>
        <v>0</v>
      </c>
    </row>
    <row r="1686" ht="15.0" hidden="1" customHeight="1">
      <c r="A1686" s="59">
        <f t="shared" si="20"/>
        <v>25</v>
      </c>
      <c r="B1686" s="59" t="str">
        <f t="shared" si="21"/>
        <v/>
      </c>
      <c r="C1686" s="59" t="str">
        <f t="shared" si="22"/>
        <v/>
      </c>
      <c r="D1686" s="45" t="str">
        <f t="shared" si="23"/>
        <v/>
      </c>
      <c r="E1686" s="45" t="str">
        <f t="shared" si="24"/>
        <v/>
      </c>
      <c r="F1686" s="59" t="str">
        <f t="shared" si="25"/>
        <v/>
      </c>
      <c r="G1686" s="59" t="str">
        <f t="shared" si="26"/>
        <v/>
      </c>
      <c r="H1686" s="59" t="str">
        <f t="shared" si="27"/>
        <v>28C02574</v>
      </c>
      <c r="I1686" s="59" t="str">
        <f>IF(OR($A1686="",$C1686="",$D1686="",$E1686="",$H1686=""),"",SUMIFS(DATA_GOC!$H:$H,DATA_GOC!$A:$A,"BOM",DATA_GOC!$D:$D,$H1686,DATA_GOC!$E:$E,$C1686,DATA_GOC!$F:$F,"Xuất nội bộ từ téc",DATA_GOC!$B:$B,"&gt;="&amp;$D1686,DATA_GOC!$B:$B,"&lt;="&amp;$E1686))</f>
        <v/>
      </c>
      <c r="J1686" s="59">
        <f t="shared" si="28"/>
        <v>0</v>
      </c>
      <c r="K1686" s="59">
        <f t="shared" si="29"/>
        <v>0</v>
      </c>
      <c r="L1686" s="59">
        <f t="shared" si="30"/>
        <v>0</v>
      </c>
      <c r="M1686" s="59">
        <f t="shared" si="31"/>
        <v>0</v>
      </c>
    </row>
    <row r="1687" ht="15.0" hidden="1" customHeight="1">
      <c r="A1687" s="59">
        <f t="shared" si="20"/>
        <v>25</v>
      </c>
      <c r="B1687" s="59" t="str">
        <f t="shared" si="21"/>
        <v/>
      </c>
      <c r="C1687" s="59" t="str">
        <f t="shared" si="22"/>
        <v/>
      </c>
      <c r="D1687" s="45" t="str">
        <f t="shared" si="23"/>
        <v/>
      </c>
      <c r="E1687" s="45" t="str">
        <f t="shared" si="24"/>
        <v/>
      </c>
      <c r="F1687" s="59" t="str">
        <f t="shared" si="25"/>
        <v/>
      </c>
      <c r="G1687" s="59" t="str">
        <f t="shared" si="26"/>
        <v/>
      </c>
      <c r="H1687" s="59" t="str">
        <f t="shared" si="27"/>
        <v>28C02770</v>
      </c>
      <c r="I1687" s="59" t="str">
        <f>IF(OR($A1687="",$C1687="",$D1687="",$E1687="",$H1687=""),"",SUMIFS(DATA_GOC!$H:$H,DATA_GOC!$A:$A,"BOM",DATA_GOC!$D:$D,$H1687,DATA_GOC!$E:$E,$C1687,DATA_GOC!$F:$F,"Xuất nội bộ từ téc",DATA_GOC!$B:$B,"&gt;="&amp;$D1687,DATA_GOC!$B:$B,"&lt;="&amp;$E1687))</f>
        <v/>
      </c>
      <c r="J1687" s="59">
        <f t="shared" si="28"/>
        <v>0</v>
      </c>
      <c r="K1687" s="59">
        <f t="shared" si="29"/>
        <v>0</v>
      </c>
      <c r="L1687" s="59">
        <f t="shared" si="30"/>
        <v>0</v>
      </c>
      <c r="M1687" s="59">
        <f t="shared" si="31"/>
        <v>0</v>
      </c>
    </row>
    <row r="1688" ht="15.0" hidden="1" customHeight="1">
      <c r="A1688" s="59">
        <f t="shared" si="20"/>
        <v>25</v>
      </c>
      <c r="B1688" s="59" t="str">
        <f t="shared" si="21"/>
        <v/>
      </c>
      <c r="C1688" s="59" t="str">
        <f t="shared" si="22"/>
        <v/>
      </c>
      <c r="D1688" s="45" t="str">
        <f t="shared" si="23"/>
        <v/>
      </c>
      <c r="E1688" s="45" t="str">
        <f t="shared" si="24"/>
        <v/>
      </c>
      <c r="F1688" s="59" t="str">
        <f t="shared" si="25"/>
        <v/>
      </c>
      <c r="G1688" s="59" t="str">
        <f t="shared" si="26"/>
        <v/>
      </c>
      <c r="H1688" s="59" t="str">
        <f t="shared" si="27"/>
        <v>28C02986</v>
      </c>
      <c r="I1688" s="59" t="str">
        <f>IF(OR($A1688="",$C1688="",$D1688="",$E1688="",$H1688=""),"",SUMIFS(DATA_GOC!$H:$H,DATA_GOC!$A:$A,"BOM",DATA_GOC!$D:$D,$H1688,DATA_GOC!$E:$E,$C1688,DATA_GOC!$F:$F,"Xuất nội bộ từ téc",DATA_GOC!$B:$B,"&gt;="&amp;$D1688,DATA_GOC!$B:$B,"&lt;="&amp;$E1688))</f>
        <v/>
      </c>
      <c r="J1688" s="59">
        <f t="shared" si="28"/>
        <v>0</v>
      </c>
      <c r="K1688" s="59">
        <f t="shared" si="29"/>
        <v>0</v>
      </c>
      <c r="L1688" s="59">
        <f t="shared" si="30"/>
        <v>0</v>
      </c>
      <c r="M1688" s="59">
        <f t="shared" si="31"/>
        <v>0</v>
      </c>
    </row>
    <row r="1689" ht="15.0" hidden="1" customHeight="1">
      <c r="A1689" s="59">
        <f t="shared" si="20"/>
        <v>25</v>
      </c>
      <c r="B1689" s="59" t="str">
        <f t="shared" si="21"/>
        <v/>
      </c>
      <c r="C1689" s="59" t="str">
        <f t="shared" si="22"/>
        <v/>
      </c>
      <c r="D1689" s="45" t="str">
        <f t="shared" si="23"/>
        <v/>
      </c>
      <c r="E1689" s="45" t="str">
        <f t="shared" si="24"/>
        <v/>
      </c>
      <c r="F1689" s="59" t="str">
        <f t="shared" si="25"/>
        <v/>
      </c>
      <c r="G1689" s="59" t="str">
        <f t="shared" si="26"/>
        <v/>
      </c>
      <c r="H1689" s="59" t="str">
        <f t="shared" si="27"/>
        <v>28C03261</v>
      </c>
      <c r="I1689" s="59" t="str">
        <f>IF(OR($A1689="",$C1689="",$D1689="",$E1689="",$H1689=""),"",SUMIFS(DATA_GOC!$H:$H,DATA_GOC!$A:$A,"BOM",DATA_GOC!$D:$D,$H1689,DATA_GOC!$E:$E,$C1689,DATA_GOC!$F:$F,"Xuất nội bộ từ téc",DATA_GOC!$B:$B,"&gt;="&amp;$D1689,DATA_GOC!$B:$B,"&lt;="&amp;$E1689))</f>
        <v/>
      </c>
      <c r="J1689" s="59">
        <f t="shared" si="28"/>
        <v>0</v>
      </c>
      <c r="K1689" s="59">
        <f t="shared" si="29"/>
        <v>0</v>
      </c>
      <c r="L1689" s="59">
        <f t="shared" si="30"/>
        <v>0</v>
      </c>
      <c r="M1689" s="59">
        <f t="shared" si="31"/>
        <v>0</v>
      </c>
    </row>
    <row r="1690" ht="15.0" hidden="1" customHeight="1">
      <c r="A1690" s="59">
        <f t="shared" si="20"/>
        <v>25</v>
      </c>
      <c r="B1690" s="59" t="str">
        <f t="shared" si="21"/>
        <v/>
      </c>
      <c r="C1690" s="59" t="str">
        <f t="shared" si="22"/>
        <v/>
      </c>
      <c r="D1690" s="45" t="str">
        <f t="shared" si="23"/>
        <v/>
      </c>
      <c r="E1690" s="45" t="str">
        <f t="shared" si="24"/>
        <v/>
      </c>
      <c r="F1690" s="59" t="str">
        <f t="shared" si="25"/>
        <v/>
      </c>
      <c r="G1690" s="59" t="str">
        <f t="shared" si="26"/>
        <v/>
      </c>
      <c r="H1690" s="59" t="str">
        <f t="shared" si="27"/>
        <v>28C03323</v>
      </c>
      <c r="I1690" s="59" t="str">
        <f>IF(OR($A1690="",$C1690="",$D1690="",$E1690="",$H1690=""),"",SUMIFS(DATA_GOC!$H:$H,DATA_GOC!$A:$A,"BOM",DATA_GOC!$D:$D,$H1690,DATA_GOC!$E:$E,$C1690,DATA_GOC!$F:$F,"Xuất nội bộ từ téc",DATA_GOC!$B:$B,"&gt;="&amp;$D1690,DATA_GOC!$B:$B,"&lt;="&amp;$E1690))</f>
        <v/>
      </c>
      <c r="J1690" s="59">
        <f t="shared" si="28"/>
        <v>0</v>
      </c>
      <c r="K1690" s="59">
        <f t="shared" si="29"/>
        <v>0</v>
      </c>
      <c r="L1690" s="59">
        <f t="shared" si="30"/>
        <v>0</v>
      </c>
      <c r="M1690" s="59">
        <f t="shared" si="31"/>
        <v>0</v>
      </c>
    </row>
    <row r="1691" ht="15.0" hidden="1" customHeight="1">
      <c r="A1691" s="59">
        <f t="shared" si="20"/>
        <v>25</v>
      </c>
      <c r="B1691" s="59" t="str">
        <f t="shared" si="21"/>
        <v/>
      </c>
      <c r="C1691" s="59" t="str">
        <f t="shared" si="22"/>
        <v/>
      </c>
      <c r="D1691" s="45" t="str">
        <f t="shared" si="23"/>
        <v/>
      </c>
      <c r="E1691" s="45" t="str">
        <f t="shared" si="24"/>
        <v/>
      </c>
      <c r="F1691" s="59" t="str">
        <f t="shared" si="25"/>
        <v/>
      </c>
      <c r="G1691" s="59" t="str">
        <f t="shared" si="26"/>
        <v/>
      </c>
      <c r="H1691" s="59" t="str">
        <f t="shared" si="27"/>
        <v>28C03385</v>
      </c>
      <c r="I1691" s="59" t="str">
        <f>IF(OR($A1691="",$C1691="",$D1691="",$E1691="",$H1691=""),"",SUMIFS(DATA_GOC!$H:$H,DATA_GOC!$A:$A,"BOM",DATA_GOC!$D:$D,$H1691,DATA_GOC!$E:$E,$C1691,DATA_GOC!$F:$F,"Xuất nội bộ từ téc",DATA_GOC!$B:$B,"&gt;="&amp;$D1691,DATA_GOC!$B:$B,"&lt;="&amp;$E1691))</f>
        <v/>
      </c>
      <c r="J1691" s="59">
        <f t="shared" si="28"/>
        <v>0</v>
      </c>
      <c r="K1691" s="59">
        <f t="shared" si="29"/>
        <v>0</v>
      </c>
      <c r="L1691" s="59">
        <f t="shared" si="30"/>
        <v>0</v>
      </c>
      <c r="M1691" s="59">
        <f t="shared" si="31"/>
        <v>0</v>
      </c>
    </row>
    <row r="1692" ht="15.0" hidden="1" customHeight="1">
      <c r="A1692" s="59">
        <f t="shared" si="20"/>
        <v>25</v>
      </c>
      <c r="B1692" s="59" t="str">
        <f t="shared" si="21"/>
        <v/>
      </c>
      <c r="C1692" s="59" t="str">
        <f t="shared" si="22"/>
        <v/>
      </c>
      <c r="D1692" s="45" t="str">
        <f t="shared" si="23"/>
        <v/>
      </c>
      <c r="E1692" s="45" t="str">
        <f t="shared" si="24"/>
        <v/>
      </c>
      <c r="F1692" s="59" t="str">
        <f t="shared" si="25"/>
        <v/>
      </c>
      <c r="G1692" s="59" t="str">
        <f t="shared" si="26"/>
        <v/>
      </c>
      <c r="H1692" s="59" t="str">
        <f t="shared" si="27"/>
        <v>28C03652</v>
      </c>
      <c r="I1692" s="59" t="str">
        <f>IF(OR($A1692="",$C1692="",$D1692="",$E1692="",$H1692=""),"",SUMIFS(DATA_GOC!$H:$H,DATA_GOC!$A:$A,"BOM",DATA_GOC!$D:$D,$H1692,DATA_GOC!$E:$E,$C1692,DATA_GOC!$F:$F,"Xuất nội bộ từ téc",DATA_GOC!$B:$B,"&gt;="&amp;$D1692,DATA_GOC!$B:$B,"&lt;="&amp;$E1692))</f>
        <v/>
      </c>
      <c r="J1692" s="59">
        <f t="shared" si="28"/>
        <v>0</v>
      </c>
      <c r="K1692" s="59">
        <f t="shared" si="29"/>
        <v>0</v>
      </c>
      <c r="L1692" s="59">
        <f t="shared" si="30"/>
        <v>0</v>
      </c>
      <c r="M1692" s="59">
        <f t="shared" si="31"/>
        <v>0</v>
      </c>
    </row>
    <row r="1693" ht="15.0" hidden="1" customHeight="1">
      <c r="A1693" s="59">
        <f t="shared" si="20"/>
        <v>25</v>
      </c>
      <c r="B1693" s="59" t="str">
        <f t="shared" si="21"/>
        <v/>
      </c>
      <c r="C1693" s="59" t="str">
        <f t="shared" si="22"/>
        <v/>
      </c>
      <c r="D1693" s="45" t="str">
        <f t="shared" si="23"/>
        <v/>
      </c>
      <c r="E1693" s="45" t="str">
        <f t="shared" si="24"/>
        <v/>
      </c>
      <c r="F1693" s="59" t="str">
        <f t="shared" si="25"/>
        <v/>
      </c>
      <c r="G1693" s="59" t="str">
        <f t="shared" si="26"/>
        <v/>
      </c>
      <c r="H1693" s="59" t="str">
        <f t="shared" si="27"/>
        <v>28C03695</v>
      </c>
      <c r="I1693" s="59" t="str">
        <f>IF(OR($A1693="",$C1693="",$D1693="",$E1693="",$H1693=""),"",SUMIFS(DATA_GOC!$H:$H,DATA_GOC!$A:$A,"BOM",DATA_GOC!$D:$D,$H1693,DATA_GOC!$E:$E,$C1693,DATA_GOC!$F:$F,"Xuất nội bộ từ téc",DATA_GOC!$B:$B,"&gt;="&amp;$D1693,DATA_GOC!$B:$B,"&lt;="&amp;$E1693))</f>
        <v/>
      </c>
      <c r="J1693" s="59">
        <f t="shared" si="28"/>
        <v>0</v>
      </c>
      <c r="K1693" s="59">
        <f t="shared" si="29"/>
        <v>0</v>
      </c>
      <c r="L1693" s="59">
        <f t="shared" si="30"/>
        <v>0</v>
      </c>
      <c r="M1693" s="59">
        <f t="shared" si="31"/>
        <v>0</v>
      </c>
    </row>
    <row r="1694" ht="15.0" hidden="1" customHeight="1">
      <c r="A1694" s="59">
        <f t="shared" si="20"/>
        <v>25</v>
      </c>
      <c r="B1694" s="59" t="str">
        <f t="shared" si="21"/>
        <v/>
      </c>
      <c r="C1694" s="59" t="str">
        <f t="shared" si="22"/>
        <v/>
      </c>
      <c r="D1694" s="45" t="str">
        <f t="shared" si="23"/>
        <v/>
      </c>
      <c r="E1694" s="45" t="str">
        <f t="shared" si="24"/>
        <v/>
      </c>
      <c r="F1694" s="59" t="str">
        <f t="shared" si="25"/>
        <v/>
      </c>
      <c r="G1694" s="59" t="str">
        <f t="shared" si="26"/>
        <v/>
      </c>
      <c r="H1694" s="59" t="str">
        <f t="shared" si="27"/>
        <v>28C03927</v>
      </c>
      <c r="I1694" s="59" t="str">
        <f>IF(OR($A1694="",$C1694="",$D1694="",$E1694="",$H1694=""),"",SUMIFS(DATA_GOC!$H:$H,DATA_GOC!$A:$A,"BOM",DATA_GOC!$D:$D,$H1694,DATA_GOC!$E:$E,$C1694,DATA_GOC!$F:$F,"Xuất nội bộ từ téc",DATA_GOC!$B:$B,"&gt;="&amp;$D1694,DATA_GOC!$B:$B,"&lt;="&amp;$E1694))</f>
        <v/>
      </c>
      <c r="J1694" s="59">
        <f t="shared" si="28"/>
        <v>0</v>
      </c>
      <c r="K1694" s="59">
        <f t="shared" si="29"/>
        <v>0</v>
      </c>
      <c r="L1694" s="59">
        <f t="shared" si="30"/>
        <v>0</v>
      </c>
      <c r="M1694" s="59">
        <f t="shared" si="31"/>
        <v>0</v>
      </c>
    </row>
    <row r="1695" ht="15.0" hidden="1" customHeight="1">
      <c r="A1695" s="59">
        <f t="shared" si="20"/>
        <v>25</v>
      </c>
      <c r="B1695" s="59" t="str">
        <f t="shared" si="21"/>
        <v/>
      </c>
      <c r="C1695" s="59" t="str">
        <f t="shared" si="22"/>
        <v/>
      </c>
      <c r="D1695" s="45" t="str">
        <f t="shared" si="23"/>
        <v/>
      </c>
      <c r="E1695" s="45" t="str">
        <f t="shared" si="24"/>
        <v/>
      </c>
      <c r="F1695" s="59" t="str">
        <f t="shared" si="25"/>
        <v/>
      </c>
      <c r="G1695" s="59" t="str">
        <f t="shared" si="26"/>
        <v/>
      </c>
      <c r="H1695" s="59" t="str">
        <f t="shared" si="27"/>
        <v>28C04509</v>
      </c>
      <c r="I1695" s="59" t="str">
        <f>IF(OR($A1695="",$C1695="",$D1695="",$E1695="",$H1695=""),"",SUMIFS(DATA_GOC!$H:$H,DATA_GOC!$A:$A,"BOM",DATA_GOC!$D:$D,$H1695,DATA_GOC!$E:$E,$C1695,DATA_GOC!$F:$F,"Xuất nội bộ từ téc",DATA_GOC!$B:$B,"&gt;="&amp;$D1695,DATA_GOC!$B:$B,"&lt;="&amp;$E1695))</f>
        <v/>
      </c>
      <c r="J1695" s="59">
        <f t="shared" si="28"/>
        <v>0</v>
      </c>
      <c r="K1695" s="59">
        <f t="shared" si="29"/>
        <v>0</v>
      </c>
      <c r="L1695" s="59">
        <f t="shared" si="30"/>
        <v>0</v>
      </c>
      <c r="M1695" s="59">
        <f t="shared" si="31"/>
        <v>0</v>
      </c>
    </row>
    <row r="1696" ht="15.0" hidden="1" customHeight="1">
      <c r="A1696" s="59">
        <f t="shared" si="20"/>
        <v>25</v>
      </c>
      <c r="B1696" s="59" t="str">
        <f t="shared" si="21"/>
        <v/>
      </c>
      <c r="C1696" s="59" t="str">
        <f t="shared" si="22"/>
        <v/>
      </c>
      <c r="D1696" s="45" t="str">
        <f t="shared" si="23"/>
        <v/>
      </c>
      <c r="E1696" s="45" t="str">
        <f t="shared" si="24"/>
        <v/>
      </c>
      <c r="F1696" s="59" t="str">
        <f t="shared" si="25"/>
        <v/>
      </c>
      <c r="G1696" s="59" t="str">
        <f t="shared" si="26"/>
        <v/>
      </c>
      <c r="H1696" s="59" t="str">
        <f t="shared" si="27"/>
        <v>28C04536</v>
      </c>
      <c r="I1696" s="59" t="str">
        <f>IF(OR($A1696="",$C1696="",$D1696="",$E1696="",$H1696=""),"",SUMIFS(DATA_GOC!$H:$H,DATA_GOC!$A:$A,"BOM",DATA_GOC!$D:$D,$H1696,DATA_GOC!$E:$E,$C1696,DATA_GOC!$F:$F,"Xuất nội bộ từ téc",DATA_GOC!$B:$B,"&gt;="&amp;$D1696,DATA_GOC!$B:$B,"&lt;="&amp;$E1696))</f>
        <v/>
      </c>
      <c r="J1696" s="59">
        <f t="shared" si="28"/>
        <v>0</v>
      </c>
      <c r="K1696" s="59">
        <f t="shared" si="29"/>
        <v>0</v>
      </c>
      <c r="L1696" s="59">
        <f t="shared" si="30"/>
        <v>0</v>
      </c>
      <c r="M1696" s="59">
        <f t="shared" si="31"/>
        <v>0</v>
      </c>
    </row>
    <row r="1697" ht="15.0" hidden="1" customHeight="1">
      <c r="A1697" s="59">
        <f t="shared" si="20"/>
        <v>25</v>
      </c>
      <c r="B1697" s="59" t="str">
        <f t="shared" si="21"/>
        <v/>
      </c>
      <c r="C1697" s="59" t="str">
        <f t="shared" si="22"/>
        <v/>
      </c>
      <c r="D1697" s="45" t="str">
        <f t="shared" si="23"/>
        <v/>
      </c>
      <c r="E1697" s="45" t="str">
        <f t="shared" si="24"/>
        <v/>
      </c>
      <c r="F1697" s="59" t="str">
        <f t="shared" si="25"/>
        <v/>
      </c>
      <c r="G1697" s="59" t="str">
        <f t="shared" si="26"/>
        <v/>
      </c>
      <c r="H1697" s="59" t="str">
        <f t="shared" si="27"/>
        <v>28C04576</v>
      </c>
      <c r="I1697" s="59" t="str">
        <f>IF(OR($A1697="",$C1697="",$D1697="",$E1697="",$H1697=""),"",SUMIFS(DATA_GOC!$H:$H,DATA_GOC!$A:$A,"BOM",DATA_GOC!$D:$D,$H1697,DATA_GOC!$E:$E,$C1697,DATA_GOC!$F:$F,"Xuất nội bộ từ téc",DATA_GOC!$B:$B,"&gt;="&amp;$D1697,DATA_GOC!$B:$B,"&lt;="&amp;$E1697))</f>
        <v/>
      </c>
      <c r="J1697" s="59">
        <f t="shared" si="28"/>
        <v>0</v>
      </c>
      <c r="K1697" s="59">
        <f t="shared" si="29"/>
        <v>0</v>
      </c>
      <c r="L1697" s="59">
        <f t="shared" si="30"/>
        <v>0</v>
      </c>
      <c r="M1697" s="59">
        <f t="shared" si="31"/>
        <v>0</v>
      </c>
    </row>
    <row r="1698" ht="15.0" hidden="1" customHeight="1">
      <c r="A1698" s="59">
        <f t="shared" si="20"/>
        <v>25</v>
      </c>
      <c r="B1698" s="59" t="str">
        <f t="shared" si="21"/>
        <v/>
      </c>
      <c r="C1698" s="59" t="str">
        <f t="shared" si="22"/>
        <v/>
      </c>
      <c r="D1698" s="45" t="str">
        <f t="shared" si="23"/>
        <v/>
      </c>
      <c r="E1698" s="45" t="str">
        <f t="shared" si="24"/>
        <v/>
      </c>
      <c r="F1698" s="59" t="str">
        <f t="shared" si="25"/>
        <v/>
      </c>
      <c r="G1698" s="59" t="str">
        <f t="shared" si="26"/>
        <v/>
      </c>
      <c r="H1698" s="59" t="str">
        <f t="shared" si="27"/>
        <v>28C05090</v>
      </c>
      <c r="I1698" s="59" t="str">
        <f>IF(OR($A1698="",$C1698="",$D1698="",$E1698="",$H1698=""),"",SUMIFS(DATA_GOC!$H:$H,DATA_GOC!$A:$A,"BOM",DATA_GOC!$D:$D,$H1698,DATA_GOC!$E:$E,$C1698,DATA_GOC!$F:$F,"Xuất nội bộ từ téc",DATA_GOC!$B:$B,"&gt;="&amp;$D1698,DATA_GOC!$B:$B,"&lt;="&amp;$E1698))</f>
        <v/>
      </c>
      <c r="J1698" s="59">
        <f t="shared" si="28"/>
        <v>0</v>
      </c>
      <c r="K1698" s="59">
        <f t="shared" si="29"/>
        <v>0</v>
      </c>
      <c r="L1698" s="59">
        <f t="shared" si="30"/>
        <v>0</v>
      </c>
      <c r="M1698" s="59">
        <f t="shared" si="31"/>
        <v>0</v>
      </c>
    </row>
    <row r="1699" ht="15.0" hidden="1" customHeight="1">
      <c r="A1699" s="59">
        <f t="shared" si="20"/>
        <v>25</v>
      </c>
      <c r="B1699" s="59" t="str">
        <f t="shared" si="21"/>
        <v/>
      </c>
      <c r="C1699" s="59" t="str">
        <f t="shared" si="22"/>
        <v/>
      </c>
      <c r="D1699" s="45" t="str">
        <f t="shared" si="23"/>
        <v/>
      </c>
      <c r="E1699" s="45" t="str">
        <f t="shared" si="24"/>
        <v/>
      </c>
      <c r="F1699" s="59" t="str">
        <f t="shared" si="25"/>
        <v/>
      </c>
      <c r="G1699" s="59" t="str">
        <f t="shared" si="26"/>
        <v/>
      </c>
      <c r="H1699" s="59" t="str">
        <f t="shared" si="27"/>
        <v>28C05345</v>
      </c>
      <c r="I1699" s="59" t="str">
        <f>IF(OR($A1699="",$C1699="",$D1699="",$E1699="",$H1699=""),"",SUMIFS(DATA_GOC!$H:$H,DATA_GOC!$A:$A,"BOM",DATA_GOC!$D:$D,$H1699,DATA_GOC!$E:$E,$C1699,DATA_GOC!$F:$F,"Xuất nội bộ từ téc",DATA_GOC!$B:$B,"&gt;="&amp;$D1699,DATA_GOC!$B:$B,"&lt;="&amp;$E1699))</f>
        <v/>
      </c>
      <c r="J1699" s="59">
        <f t="shared" si="28"/>
        <v>0</v>
      </c>
      <c r="K1699" s="59">
        <f t="shared" si="29"/>
        <v>0</v>
      </c>
      <c r="L1699" s="59">
        <f t="shared" si="30"/>
        <v>0</v>
      </c>
      <c r="M1699" s="59">
        <f t="shared" si="31"/>
        <v>0</v>
      </c>
    </row>
    <row r="1700" ht="15.0" hidden="1" customHeight="1">
      <c r="A1700" s="59">
        <f t="shared" si="20"/>
        <v>25</v>
      </c>
      <c r="B1700" s="59" t="str">
        <f t="shared" si="21"/>
        <v/>
      </c>
      <c r="C1700" s="59" t="str">
        <f t="shared" si="22"/>
        <v/>
      </c>
      <c r="D1700" s="45" t="str">
        <f t="shared" si="23"/>
        <v/>
      </c>
      <c r="E1700" s="45" t="str">
        <f t="shared" si="24"/>
        <v/>
      </c>
      <c r="F1700" s="59" t="str">
        <f t="shared" si="25"/>
        <v/>
      </c>
      <c r="G1700" s="59" t="str">
        <f t="shared" si="26"/>
        <v/>
      </c>
      <c r="H1700" s="59" t="str">
        <f t="shared" si="27"/>
        <v>28C05661</v>
      </c>
      <c r="I1700" s="59" t="str">
        <f>IF(OR($A1700="",$C1700="",$D1700="",$E1700="",$H1700=""),"",SUMIFS(DATA_GOC!$H:$H,DATA_GOC!$A:$A,"BOM",DATA_GOC!$D:$D,$H1700,DATA_GOC!$E:$E,$C1700,DATA_GOC!$F:$F,"Xuất nội bộ từ téc",DATA_GOC!$B:$B,"&gt;="&amp;$D1700,DATA_GOC!$B:$B,"&lt;="&amp;$E1700))</f>
        <v/>
      </c>
      <c r="J1700" s="59">
        <f t="shared" si="28"/>
        <v>0</v>
      </c>
      <c r="K1700" s="59">
        <f t="shared" si="29"/>
        <v>0</v>
      </c>
      <c r="L1700" s="59">
        <f t="shared" si="30"/>
        <v>0</v>
      </c>
      <c r="M1700" s="59">
        <f t="shared" si="31"/>
        <v>0</v>
      </c>
    </row>
    <row r="1701" ht="15.0" hidden="1" customHeight="1">
      <c r="A1701" s="59">
        <f t="shared" si="20"/>
        <v>25</v>
      </c>
      <c r="B1701" s="59" t="str">
        <f t="shared" si="21"/>
        <v/>
      </c>
      <c r="C1701" s="59" t="str">
        <f t="shared" si="22"/>
        <v/>
      </c>
      <c r="D1701" s="45" t="str">
        <f t="shared" si="23"/>
        <v/>
      </c>
      <c r="E1701" s="45" t="str">
        <f t="shared" si="24"/>
        <v/>
      </c>
      <c r="F1701" s="59" t="str">
        <f t="shared" si="25"/>
        <v/>
      </c>
      <c r="G1701" s="59" t="str">
        <f t="shared" si="26"/>
        <v/>
      </c>
      <c r="H1701" s="59" t="str">
        <f t="shared" si="27"/>
        <v>28C05739</v>
      </c>
      <c r="I1701" s="59" t="str">
        <f>IF(OR($A1701="",$C1701="",$D1701="",$E1701="",$H1701=""),"",SUMIFS(DATA_GOC!$H:$H,DATA_GOC!$A:$A,"BOM",DATA_GOC!$D:$D,$H1701,DATA_GOC!$E:$E,$C1701,DATA_GOC!$F:$F,"Xuất nội bộ từ téc",DATA_GOC!$B:$B,"&gt;="&amp;$D1701,DATA_GOC!$B:$B,"&lt;="&amp;$E1701))</f>
        <v/>
      </c>
      <c r="J1701" s="59">
        <f t="shared" si="28"/>
        <v>0</v>
      </c>
      <c r="K1701" s="59">
        <f t="shared" si="29"/>
        <v>0</v>
      </c>
      <c r="L1701" s="59">
        <f t="shared" si="30"/>
        <v>0</v>
      </c>
      <c r="M1701" s="59">
        <f t="shared" si="31"/>
        <v>0</v>
      </c>
    </row>
    <row r="1702" ht="15.0" hidden="1" customHeight="1">
      <c r="A1702" s="59">
        <f t="shared" si="20"/>
        <v>25</v>
      </c>
      <c r="B1702" s="59" t="str">
        <f t="shared" si="21"/>
        <v/>
      </c>
      <c r="C1702" s="59" t="str">
        <f t="shared" si="22"/>
        <v/>
      </c>
      <c r="D1702" s="45" t="str">
        <f t="shared" si="23"/>
        <v/>
      </c>
      <c r="E1702" s="45" t="str">
        <f t="shared" si="24"/>
        <v/>
      </c>
      <c r="F1702" s="59" t="str">
        <f t="shared" si="25"/>
        <v/>
      </c>
      <c r="G1702" s="59" t="str">
        <f t="shared" si="26"/>
        <v/>
      </c>
      <c r="H1702" s="59" t="str">
        <f t="shared" si="27"/>
        <v>28C06369</v>
      </c>
      <c r="I1702" s="59" t="str">
        <f>IF(OR($A1702="",$C1702="",$D1702="",$E1702="",$H1702=""),"",SUMIFS(DATA_GOC!$H:$H,DATA_GOC!$A:$A,"BOM",DATA_GOC!$D:$D,$H1702,DATA_GOC!$E:$E,$C1702,DATA_GOC!$F:$F,"Xuất nội bộ từ téc",DATA_GOC!$B:$B,"&gt;="&amp;$D1702,DATA_GOC!$B:$B,"&lt;="&amp;$E1702))</f>
        <v/>
      </c>
      <c r="J1702" s="59">
        <f t="shared" si="28"/>
        <v>0</v>
      </c>
      <c r="K1702" s="59">
        <f t="shared" si="29"/>
        <v>0</v>
      </c>
      <c r="L1702" s="59">
        <f t="shared" si="30"/>
        <v>0</v>
      </c>
      <c r="M1702" s="59">
        <f t="shared" si="31"/>
        <v>0</v>
      </c>
    </row>
    <row r="1703" ht="15.0" hidden="1" customHeight="1">
      <c r="A1703" s="59">
        <f t="shared" si="20"/>
        <v>25</v>
      </c>
      <c r="B1703" s="59" t="str">
        <f t="shared" si="21"/>
        <v/>
      </c>
      <c r="C1703" s="59" t="str">
        <f t="shared" si="22"/>
        <v/>
      </c>
      <c r="D1703" s="45" t="str">
        <f t="shared" si="23"/>
        <v/>
      </c>
      <c r="E1703" s="45" t="str">
        <f t="shared" si="24"/>
        <v/>
      </c>
      <c r="F1703" s="59" t="str">
        <f t="shared" si="25"/>
        <v/>
      </c>
      <c r="G1703" s="59" t="str">
        <f t="shared" si="26"/>
        <v/>
      </c>
      <c r="H1703" s="59" t="str">
        <f t="shared" si="27"/>
        <v>28C06447</v>
      </c>
      <c r="I1703" s="59" t="str">
        <f>IF(OR($A1703="",$C1703="",$D1703="",$E1703="",$H1703=""),"",SUMIFS(DATA_GOC!$H:$H,DATA_GOC!$A:$A,"BOM",DATA_GOC!$D:$D,$H1703,DATA_GOC!$E:$E,$C1703,DATA_GOC!$F:$F,"Xuất nội bộ từ téc",DATA_GOC!$B:$B,"&gt;="&amp;$D1703,DATA_GOC!$B:$B,"&lt;="&amp;$E1703))</f>
        <v/>
      </c>
      <c r="J1703" s="59">
        <f t="shared" si="28"/>
        <v>0</v>
      </c>
      <c r="K1703" s="59">
        <f t="shared" si="29"/>
        <v>0</v>
      </c>
      <c r="L1703" s="59">
        <f t="shared" si="30"/>
        <v>0</v>
      </c>
      <c r="M1703" s="59">
        <f t="shared" si="31"/>
        <v>0</v>
      </c>
    </row>
    <row r="1704" ht="15.0" hidden="1" customHeight="1">
      <c r="A1704" s="59">
        <f t="shared" si="20"/>
        <v>25</v>
      </c>
      <c r="B1704" s="59" t="str">
        <f t="shared" si="21"/>
        <v/>
      </c>
      <c r="C1704" s="59" t="str">
        <f t="shared" si="22"/>
        <v/>
      </c>
      <c r="D1704" s="45" t="str">
        <f t="shared" si="23"/>
        <v/>
      </c>
      <c r="E1704" s="45" t="str">
        <f t="shared" si="24"/>
        <v/>
      </c>
      <c r="F1704" s="59" t="str">
        <f t="shared" si="25"/>
        <v/>
      </c>
      <c r="G1704" s="59" t="str">
        <f t="shared" si="26"/>
        <v/>
      </c>
      <c r="H1704" s="59" t="str">
        <f t="shared" si="27"/>
        <v>28H00003</v>
      </c>
      <c r="I1704" s="59" t="str">
        <f>IF(OR($A1704="",$C1704="",$D1704="",$E1704="",$H1704=""),"",SUMIFS(DATA_GOC!$H:$H,DATA_GOC!$A:$A,"BOM",DATA_GOC!$D:$D,$H1704,DATA_GOC!$E:$E,$C1704,DATA_GOC!$F:$F,"Xuất nội bộ từ téc",DATA_GOC!$B:$B,"&gt;="&amp;$D1704,DATA_GOC!$B:$B,"&lt;="&amp;$E1704))</f>
        <v/>
      </c>
      <c r="J1704" s="59">
        <f t="shared" si="28"/>
        <v>0</v>
      </c>
      <c r="K1704" s="59">
        <f t="shared" si="29"/>
        <v>0</v>
      </c>
      <c r="L1704" s="59">
        <f t="shared" si="30"/>
        <v>0</v>
      </c>
      <c r="M1704" s="59">
        <f t="shared" si="31"/>
        <v>0</v>
      </c>
    </row>
    <row r="1705" ht="15.0" hidden="1" customHeight="1">
      <c r="A1705" s="59">
        <f t="shared" si="20"/>
        <v>25</v>
      </c>
      <c r="B1705" s="59" t="str">
        <f t="shared" si="21"/>
        <v/>
      </c>
      <c r="C1705" s="59" t="str">
        <f t="shared" si="22"/>
        <v/>
      </c>
      <c r="D1705" s="45" t="str">
        <f t="shared" si="23"/>
        <v/>
      </c>
      <c r="E1705" s="45" t="str">
        <f t="shared" si="24"/>
        <v/>
      </c>
      <c r="F1705" s="59" t="str">
        <f t="shared" si="25"/>
        <v/>
      </c>
      <c r="G1705" s="59" t="str">
        <f t="shared" si="26"/>
        <v/>
      </c>
      <c r="H1705" s="59" t="str">
        <f t="shared" si="27"/>
        <v>28H00061</v>
      </c>
      <c r="I1705" s="59" t="str">
        <f>IF(OR($A1705="",$C1705="",$D1705="",$E1705="",$H1705=""),"",SUMIFS(DATA_GOC!$H:$H,DATA_GOC!$A:$A,"BOM",DATA_GOC!$D:$D,$H1705,DATA_GOC!$E:$E,$C1705,DATA_GOC!$F:$F,"Xuất nội bộ từ téc",DATA_GOC!$B:$B,"&gt;="&amp;$D1705,DATA_GOC!$B:$B,"&lt;="&amp;$E1705))</f>
        <v/>
      </c>
      <c r="J1705" s="59">
        <f t="shared" si="28"/>
        <v>0</v>
      </c>
      <c r="K1705" s="59">
        <f t="shared" si="29"/>
        <v>0</v>
      </c>
      <c r="L1705" s="59">
        <f t="shared" si="30"/>
        <v>0</v>
      </c>
      <c r="M1705" s="59">
        <f t="shared" si="31"/>
        <v>0</v>
      </c>
    </row>
    <row r="1706" ht="15.0" hidden="1" customHeight="1">
      <c r="A1706" s="59">
        <f t="shared" si="20"/>
        <v>25</v>
      </c>
      <c r="B1706" s="59" t="str">
        <f t="shared" si="21"/>
        <v/>
      </c>
      <c r="C1706" s="59" t="str">
        <f t="shared" si="22"/>
        <v/>
      </c>
      <c r="D1706" s="45" t="str">
        <f t="shared" si="23"/>
        <v/>
      </c>
      <c r="E1706" s="45" t="str">
        <f t="shared" si="24"/>
        <v/>
      </c>
      <c r="F1706" s="59" t="str">
        <f t="shared" si="25"/>
        <v/>
      </c>
      <c r="G1706" s="59" t="str">
        <f t="shared" si="26"/>
        <v/>
      </c>
      <c r="H1706" s="59" t="str">
        <f t="shared" si="27"/>
        <v>28H00354</v>
      </c>
      <c r="I1706" s="59" t="str">
        <f>IF(OR($A1706="",$C1706="",$D1706="",$E1706="",$H1706=""),"",SUMIFS(DATA_GOC!$H:$H,DATA_GOC!$A:$A,"BOM",DATA_GOC!$D:$D,$H1706,DATA_GOC!$E:$E,$C1706,DATA_GOC!$F:$F,"Xuất nội bộ từ téc",DATA_GOC!$B:$B,"&gt;="&amp;$D1706,DATA_GOC!$B:$B,"&lt;="&amp;$E1706))</f>
        <v/>
      </c>
      <c r="J1706" s="59">
        <f t="shared" si="28"/>
        <v>0</v>
      </c>
      <c r="K1706" s="59">
        <f t="shared" si="29"/>
        <v>0</v>
      </c>
      <c r="L1706" s="59">
        <f t="shared" si="30"/>
        <v>0</v>
      </c>
      <c r="M1706" s="59">
        <f t="shared" si="31"/>
        <v>0</v>
      </c>
    </row>
    <row r="1707" ht="15.0" hidden="1" customHeight="1">
      <c r="A1707" s="59">
        <f t="shared" si="20"/>
        <v>25</v>
      </c>
      <c r="B1707" s="59" t="str">
        <f t="shared" si="21"/>
        <v/>
      </c>
      <c r="C1707" s="59" t="str">
        <f t="shared" si="22"/>
        <v/>
      </c>
      <c r="D1707" s="45" t="str">
        <f t="shared" si="23"/>
        <v/>
      </c>
      <c r="E1707" s="45" t="str">
        <f t="shared" si="24"/>
        <v/>
      </c>
      <c r="F1707" s="59" t="str">
        <f t="shared" si="25"/>
        <v/>
      </c>
      <c r="G1707" s="59" t="str">
        <f t="shared" si="26"/>
        <v/>
      </c>
      <c r="H1707" s="59" t="str">
        <f t="shared" si="27"/>
        <v>28H00603</v>
      </c>
      <c r="I1707" s="59" t="str">
        <f>IF(OR($A1707="",$C1707="",$D1707="",$E1707="",$H1707=""),"",SUMIFS(DATA_GOC!$H:$H,DATA_GOC!$A:$A,"BOM",DATA_GOC!$D:$D,$H1707,DATA_GOC!$E:$E,$C1707,DATA_GOC!$F:$F,"Xuất nội bộ từ téc",DATA_GOC!$B:$B,"&gt;="&amp;$D1707,DATA_GOC!$B:$B,"&lt;="&amp;$E1707))</f>
        <v/>
      </c>
      <c r="J1707" s="59">
        <f t="shared" si="28"/>
        <v>0</v>
      </c>
      <c r="K1707" s="59">
        <f t="shared" si="29"/>
        <v>0</v>
      </c>
      <c r="L1707" s="59">
        <f t="shared" si="30"/>
        <v>0</v>
      </c>
      <c r="M1707" s="59">
        <f t="shared" si="31"/>
        <v>0</v>
      </c>
    </row>
    <row r="1708" ht="15.0" hidden="1" customHeight="1">
      <c r="A1708" s="59">
        <f t="shared" si="20"/>
        <v>25</v>
      </c>
      <c r="B1708" s="59" t="str">
        <f t="shared" si="21"/>
        <v/>
      </c>
      <c r="C1708" s="59" t="str">
        <f t="shared" si="22"/>
        <v/>
      </c>
      <c r="D1708" s="45" t="str">
        <f t="shared" si="23"/>
        <v/>
      </c>
      <c r="E1708" s="45" t="str">
        <f t="shared" si="24"/>
        <v/>
      </c>
      <c r="F1708" s="59" t="str">
        <f t="shared" si="25"/>
        <v/>
      </c>
      <c r="G1708" s="59" t="str">
        <f t="shared" si="26"/>
        <v/>
      </c>
      <c r="H1708" s="59" t="str">
        <f t="shared" si="27"/>
        <v>28H00609</v>
      </c>
      <c r="I1708" s="59" t="str">
        <f>IF(OR($A1708="",$C1708="",$D1708="",$E1708="",$H1708=""),"",SUMIFS(DATA_GOC!$H:$H,DATA_GOC!$A:$A,"BOM",DATA_GOC!$D:$D,$H1708,DATA_GOC!$E:$E,$C1708,DATA_GOC!$F:$F,"Xuất nội bộ từ téc",DATA_GOC!$B:$B,"&gt;="&amp;$D1708,DATA_GOC!$B:$B,"&lt;="&amp;$E1708))</f>
        <v/>
      </c>
      <c r="J1708" s="59">
        <f t="shared" si="28"/>
        <v>0</v>
      </c>
      <c r="K1708" s="59">
        <f t="shared" si="29"/>
        <v>0</v>
      </c>
      <c r="L1708" s="59">
        <f t="shared" si="30"/>
        <v>0</v>
      </c>
      <c r="M1708" s="59">
        <f t="shared" si="31"/>
        <v>0</v>
      </c>
    </row>
    <row r="1709" ht="15.0" hidden="1" customHeight="1">
      <c r="A1709" s="59">
        <f t="shared" si="20"/>
        <v>25</v>
      </c>
      <c r="B1709" s="59" t="str">
        <f t="shared" si="21"/>
        <v/>
      </c>
      <c r="C1709" s="59" t="str">
        <f t="shared" si="22"/>
        <v/>
      </c>
      <c r="D1709" s="45" t="str">
        <f t="shared" si="23"/>
        <v/>
      </c>
      <c r="E1709" s="45" t="str">
        <f t="shared" si="24"/>
        <v/>
      </c>
      <c r="F1709" s="59" t="str">
        <f t="shared" si="25"/>
        <v/>
      </c>
      <c r="G1709" s="59" t="str">
        <f t="shared" si="26"/>
        <v/>
      </c>
      <c r="H1709" s="59" t="str">
        <f t="shared" si="27"/>
        <v>28H00669</v>
      </c>
      <c r="I1709" s="59" t="str">
        <f>IF(OR($A1709="",$C1709="",$D1709="",$E1709="",$H1709=""),"",SUMIFS(DATA_GOC!$H:$H,DATA_GOC!$A:$A,"BOM",DATA_GOC!$D:$D,$H1709,DATA_GOC!$E:$E,$C1709,DATA_GOC!$F:$F,"Xuất nội bộ từ téc",DATA_GOC!$B:$B,"&gt;="&amp;$D1709,DATA_GOC!$B:$B,"&lt;="&amp;$E1709))</f>
        <v/>
      </c>
      <c r="J1709" s="59">
        <f t="shared" si="28"/>
        <v>0</v>
      </c>
      <c r="K1709" s="59">
        <f t="shared" si="29"/>
        <v>0</v>
      </c>
      <c r="L1709" s="59">
        <f t="shared" si="30"/>
        <v>0</v>
      </c>
      <c r="M1709" s="59">
        <f t="shared" si="31"/>
        <v>0</v>
      </c>
    </row>
    <row r="1710" ht="15.0" hidden="1" customHeight="1">
      <c r="A1710" s="59">
        <f t="shared" si="20"/>
        <v>25</v>
      </c>
      <c r="B1710" s="59" t="str">
        <f t="shared" si="21"/>
        <v/>
      </c>
      <c r="C1710" s="59" t="str">
        <f t="shared" si="22"/>
        <v/>
      </c>
      <c r="D1710" s="45" t="str">
        <f t="shared" si="23"/>
        <v/>
      </c>
      <c r="E1710" s="45" t="str">
        <f t="shared" si="24"/>
        <v/>
      </c>
      <c r="F1710" s="59" t="str">
        <f t="shared" si="25"/>
        <v/>
      </c>
      <c r="G1710" s="59" t="str">
        <f t="shared" si="26"/>
        <v/>
      </c>
      <c r="H1710" s="59" t="str">
        <f t="shared" si="27"/>
        <v>28H00680</v>
      </c>
      <c r="I1710" s="59" t="str">
        <f>IF(OR($A1710="",$C1710="",$D1710="",$E1710="",$H1710=""),"",SUMIFS(DATA_GOC!$H:$H,DATA_GOC!$A:$A,"BOM",DATA_GOC!$D:$D,$H1710,DATA_GOC!$E:$E,$C1710,DATA_GOC!$F:$F,"Xuất nội bộ từ téc",DATA_GOC!$B:$B,"&gt;="&amp;$D1710,DATA_GOC!$B:$B,"&lt;="&amp;$E1710))</f>
        <v/>
      </c>
      <c r="J1710" s="59">
        <f t="shared" si="28"/>
        <v>0</v>
      </c>
      <c r="K1710" s="59">
        <f t="shared" si="29"/>
        <v>0</v>
      </c>
      <c r="L1710" s="59">
        <f t="shared" si="30"/>
        <v>0</v>
      </c>
      <c r="M1710" s="59">
        <f t="shared" si="31"/>
        <v>0</v>
      </c>
    </row>
    <row r="1711" ht="15.0" hidden="1" customHeight="1">
      <c r="A1711" s="59">
        <f t="shared" si="20"/>
        <v>25</v>
      </c>
      <c r="B1711" s="59" t="str">
        <f t="shared" si="21"/>
        <v/>
      </c>
      <c r="C1711" s="59" t="str">
        <f t="shared" si="22"/>
        <v/>
      </c>
      <c r="D1711" s="45" t="str">
        <f t="shared" si="23"/>
        <v/>
      </c>
      <c r="E1711" s="45" t="str">
        <f t="shared" si="24"/>
        <v/>
      </c>
      <c r="F1711" s="59" t="str">
        <f t="shared" si="25"/>
        <v/>
      </c>
      <c r="G1711" s="59" t="str">
        <f t="shared" si="26"/>
        <v/>
      </c>
      <c r="H1711" s="59" t="str">
        <f t="shared" si="27"/>
        <v>28H01070</v>
      </c>
      <c r="I1711" s="59" t="str">
        <f>IF(OR($A1711="",$C1711="",$D1711="",$E1711="",$H1711=""),"",SUMIFS(DATA_GOC!$H:$H,DATA_GOC!$A:$A,"BOM",DATA_GOC!$D:$D,$H1711,DATA_GOC!$E:$E,$C1711,DATA_GOC!$F:$F,"Xuất nội bộ từ téc",DATA_GOC!$B:$B,"&gt;="&amp;$D1711,DATA_GOC!$B:$B,"&lt;="&amp;$E1711))</f>
        <v/>
      </c>
      <c r="J1711" s="59">
        <f t="shared" si="28"/>
        <v>0</v>
      </c>
      <c r="K1711" s="59">
        <f t="shared" si="29"/>
        <v>0</v>
      </c>
      <c r="L1711" s="59">
        <f t="shared" si="30"/>
        <v>0</v>
      </c>
      <c r="M1711" s="59">
        <f t="shared" si="31"/>
        <v>0</v>
      </c>
    </row>
    <row r="1712" ht="15.0" hidden="1" customHeight="1">
      <c r="A1712" s="59">
        <f t="shared" si="20"/>
        <v>25</v>
      </c>
      <c r="B1712" s="59" t="str">
        <f t="shared" si="21"/>
        <v/>
      </c>
      <c r="C1712" s="59" t="str">
        <f t="shared" si="22"/>
        <v/>
      </c>
      <c r="D1712" s="45" t="str">
        <f t="shared" si="23"/>
        <v/>
      </c>
      <c r="E1712" s="45" t="str">
        <f t="shared" si="24"/>
        <v/>
      </c>
      <c r="F1712" s="59" t="str">
        <f t="shared" si="25"/>
        <v/>
      </c>
      <c r="G1712" s="59" t="str">
        <f t="shared" si="26"/>
        <v/>
      </c>
      <c r="H1712" s="59" t="str">
        <f t="shared" si="27"/>
        <v>28H01364</v>
      </c>
      <c r="I1712" s="59" t="str">
        <f>IF(OR($A1712="",$C1712="",$D1712="",$E1712="",$H1712=""),"",SUMIFS(DATA_GOC!$H:$H,DATA_GOC!$A:$A,"BOM",DATA_GOC!$D:$D,$H1712,DATA_GOC!$E:$E,$C1712,DATA_GOC!$F:$F,"Xuất nội bộ từ téc",DATA_GOC!$B:$B,"&gt;="&amp;$D1712,DATA_GOC!$B:$B,"&lt;="&amp;$E1712))</f>
        <v/>
      </c>
      <c r="J1712" s="59">
        <f t="shared" si="28"/>
        <v>0</v>
      </c>
      <c r="K1712" s="59">
        <f t="shared" si="29"/>
        <v>0</v>
      </c>
      <c r="L1712" s="59">
        <f t="shared" si="30"/>
        <v>0</v>
      </c>
      <c r="M1712" s="59">
        <f t="shared" si="31"/>
        <v>0</v>
      </c>
    </row>
    <row r="1713" ht="15.0" hidden="1" customHeight="1">
      <c r="A1713" s="59">
        <f t="shared" si="20"/>
        <v>25</v>
      </c>
      <c r="B1713" s="59" t="str">
        <f t="shared" si="21"/>
        <v/>
      </c>
      <c r="C1713" s="59" t="str">
        <f t="shared" si="22"/>
        <v/>
      </c>
      <c r="D1713" s="45" t="str">
        <f t="shared" si="23"/>
        <v/>
      </c>
      <c r="E1713" s="45" t="str">
        <f t="shared" si="24"/>
        <v/>
      </c>
      <c r="F1713" s="59" t="str">
        <f t="shared" si="25"/>
        <v/>
      </c>
      <c r="G1713" s="59" t="str">
        <f t="shared" si="26"/>
        <v/>
      </c>
      <c r="H1713" s="59" t="str">
        <f t="shared" si="27"/>
        <v>29E17269</v>
      </c>
      <c r="I1713" s="59" t="str">
        <f>IF(OR($A1713="",$C1713="",$D1713="",$E1713="",$H1713=""),"",SUMIFS(DATA_GOC!$H:$H,DATA_GOC!$A:$A,"BOM",DATA_GOC!$D:$D,$H1713,DATA_GOC!$E:$E,$C1713,DATA_GOC!$F:$F,"Xuất nội bộ từ téc",DATA_GOC!$B:$B,"&gt;="&amp;$D1713,DATA_GOC!$B:$B,"&lt;="&amp;$E1713))</f>
        <v/>
      </c>
      <c r="J1713" s="59">
        <f t="shared" si="28"/>
        <v>0</v>
      </c>
      <c r="K1713" s="59">
        <f t="shared" si="29"/>
        <v>0</v>
      </c>
      <c r="L1713" s="59">
        <f t="shared" si="30"/>
        <v>0</v>
      </c>
      <c r="M1713" s="59">
        <f t="shared" si="31"/>
        <v>0</v>
      </c>
    </row>
    <row r="1714" ht="15.0" hidden="1" customHeight="1">
      <c r="A1714" s="59">
        <f t="shared" si="20"/>
        <v>25</v>
      </c>
      <c r="B1714" s="59" t="str">
        <f t="shared" si="21"/>
        <v/>
      </c>
      <c r="C1714" s="59" t="str">
        <f t="shared" si="22"/>
        <v/>
      </c>
      <c r="D1714" s="45" t="str">
        <f t="shared" si="23"/>
        <v/>
      </c>
      <c r="E1714" s="45" t="str">
        <f t="shared" si="24"/>
        <v/>
      </c>
      <c r="F1714" s="59" t="str">
        <f t="shared" si="25"/>
        <v/>
      </c>
      <c r="G1714" s="59" t="str">
        <f t="shared" si="26"/>
        <v/>
      </c>
      <c r="H1714" s="59" t="str">
        <f t="shared" si="27"/>
        <v>29E17273</v>
      </c>
      <c r="I1714" s="59" t="str">
        <f>IF(OR($A1714="",$C1714="",$D1714="",$E1714="",$H1714=""),"",SUMIFS(DATA_GOC!$H:$H,DATA_GOC!$A:$A,"BOM",DATA_GOC!$D:$D,$H1714,DATA_GOC!$E:$E,$C1714,DATA_GOC!$F:$F,"Xuất nội bộ từ téc",DATA_GOC!$B:$B,"&gt;="&amp;$D1714,DATA_GOC!$B:$B,"&lt;="&amp;$E1714))</f>
        <v/>
      </c>
      <c r="J1714" s="59">
        <f t="shared" si="28"/>
        <v>0</v>
      </c>
      <c r="K1714" s="59">
        <f t="shared" si="29"/>
        <v>0</v>
      </c>
      <c r="L1714" s="59">
        <f t="shared" si="30"/>
        <v>0</v>
      </c>
      <c r="M1714" s="59">
        <f t="shared" si="31"/>
        <v>0</v>
      </c>
    </row>
    <row r="1715" ht="15.0" hidden="1" customHeight="1">
      <c r="A1715" s="59">
        <f t="shared" si="20"/>
        <v>25</v>
      </c>
      <c r="B1715" s="59" t="str">
        <f t="shared" si="21"/>
        <v/>
      </c>
      <c r="C1715" s="59" t="str">
        <f t="shared" si="22"/>
        <v/>
      </c>
      <c r="D1715" s="45" t="str">
        <f t="shared" si="23"/>
        <v/>
      </c>
      <c r="E1715" s="45" t="str">
        <f t="shared" si="24"/>
        <v/>
      </c>
      <c r="F1715" s="59" t="str">
        <f t="shared" si="25"/>
        <v/>
      </c>
      <c r="G1715" s="59" t="str">
        <f t="shared" si="26"/>
        <v/>
      </c>
      <c r="H1715" s="59" t="str">
        <f t="shared" si="27"/>
        <v>29E17410</v>
      </c>
      <c r="I1715" s="59" t="str">
        <f>IF(OR($A1715="",$C1715="",$D1715="",$E1715="",$H1715=""),"",SUMIFS(DATA_GOC!$H:$H,DATA_GOC!$A:$A,"BOM",DATA_GOC!$D:$D,$H1715,DATA_GOC!$E:$E,$C1715,DATA_GOC!$F:$F,"Xuất nội bộ từ téc",DATA_GOC!$B:$B,"&gt;="&amp;$D1715,DATA_GOC!$B:$B,"&lt;="&amp;$E1715))</f>
        <v/>
      </c>
      <c r="J1715" s="59">
        <f t="shared" si="28"/>
        <v>0</v>
      </c>
      <c r="K1715" s="59">
        <f t="shared" si="29"/>
        <v>0</v>
      </c>
      <c r="L1715" s="59">
        <f t="shared" si="30"/>
        <v>0</v>
      </c>
      <c r="M1715" s="59">
        <f t="shared" si="31"/>
        <v>0</v>
      </c>
    </row>
    <row r="1716" ht="15.0" hidden="1" customHeight="1">
      <c r="A1716" s="59">
        <f t="shared" si="20"/>
        <v>25</v>
      </c>
      <c r="B1716" s="59" t="str">
        <f t="shared" si="21"/>
        <v/>
      </c>
      <c r="C1716" s="59" t="str">
        <f t="shared" si="22"/>
        <v/>
      </c>
      <c r="D1716" s="45" t="str">
        <f t="shared" si="23"/>
        <v/>
      </c>
      <c r="E1716" s="45" t="str">
        <f t="shared" si="24"/>
        <v/>
      </c>
      <c r="F1716" s="59" t="str">
        <f t="shared" si="25"/>
        <v/>
      </c>
      <c r="G1716" s="59" t="str">
        <f t="shared" si="26"/>
        <v/>
      </c>
      <c r="H1716" s="59" t="str">
        <f t="shared" si="27"/>
        <v>29E17417</v>
      </c>
      <c r="I1716" s="59" t="str">
        <f>IF(OR($A1716="",$C1716="",$D1716="",$E1716="",$H1716=""),"",SUMIFS(DATA_GOC!$H:$H,DATA_GOC!$A:$A,"BOM",DATA_GOC!$D:$D,$H1716,DATA_GOC!$E:$E,$C1716,DATA_GOC!$F:$F,"Xuất nội bộ từ téc",DATA_GOC!$B:$B,"&gt;="&amp;$D1716,DATA_GOC!$B:$B,"&lt;="&amp;$E1716))</f>
        <v/>
      </c>
      <c r="J1716" s="59">
        <f t="shared" si="28"/>
        <v>0</v>
      </c>
      <c r="K1716" s="59">
        <f t="shared" si="29"/>
        <v>0</v>
      </c>
      <c r="L1716" s="59">
        <f t="shared" si="30"/>
        <v>0</v>
      </c>
      <c r="M1716" s="59">
        <f t="shared" si="31"/>
        <v>0</v>
      </c>
    </row>
    <row r="1717" ht="15.0" hidden="1" customHeight="1">
      <c r="A1717" s="59">
        <f t="shared" si="20"/>
        <v>25</v>
      </c>
      <c r="B1717" s="59" t="str">
        <f t="shared" si="21"/>
        <v/>
      </c>
      <c r="C1717" s="59" t="str">
        <f t="shared" si="22"/>
        <v/>
      </c>
      <c r="D1717" s="45" t="str">
        <f t="shared" si="23"/>
        <v/>
      </c>
      <c r="E1717" s="45" t="str">
        <f t="shared" si="24"/>
        <v/>
      </c>
      <c r="F1717" s="59" t="str">
        <f t="shared" si="25"/>
        <v/>
      </c>
      <c r="G1717" s="59" t="str">
        <f t="shared" si="26"/>
        <v/>
      </c>
      <c r="H1717" s="59" t="str">
        <f t="shared" si="27"/>
        <v>29E17539</v>
      </c>
      <c r="I1717" s="59" t="str">
        <f>IF(OR($A1717="",$C1717="",$D1717="",$E1717="",$H1717=""),"",SUMIFS(DATA_GOC!$H:$H,DATA_GOC!$A:$A,"BOM",DATA_GOC!$D:$D,$H1717,DATA_GOC!$E:$E,$C1717,DATA_GOC!$F:$F,"Xuất nội bộ từ téc",DATA_GOC!$B:$B,"&gt;="&amp;$D1717,DATA_GOC!$B:$B,"&lt;="&amp;$E1717))</f>
        <v/>
      </c>
      <c r="J1717" s="59">
        <f t="shared" si="28"/>
        <v>0</v>
      </c>
      <c r="K1717" s="59">
        <f t="shared" si="29"/>
        <v>0</v>
      </c>
      <c r="L1717" s="59">
        <f t="shared" si="30"/>
        <v>0</v>
      </c>
      <c r="M1717" s="59">
        <f t="shared" si="31"/>
        <v>0</v>
      </c>
    </row>
    <row r="1718" ht="15.0" hidden="1" customHeight="1">
      <c r="A1718" s="59">
        <f t="shared" si="20"/>
        <v>25</v>
      </c>
      <c r="B1718" s="59" t="str">
        <f t="shared" si="21"/>
        <v/>
      </c>
      <c r="C1718" s="59" t="str">
        <f t="shared" si="22"/>
        <v/>
      </c>
      <c r="D1718" s="45" t="str">
        <f t="shared" si="23"/>
        <v/>
      </c>
      <c r="E1718" s="45" t="str">
        <f t="shared" si="24"/>
        <v/>
      </c>
      <c r="F1718" s="59" t="str">
        <f t="shared" si="25"/>
        <v/>
      </c>
      <c r="G1718" s="59" t="str">
        <f t="shared" si="26"/>
        <v/>
      </c>
      <c r="H1718" s="59" t="str">
        <f t="shared" si="27"/>
        <v>29E18160</v>
      </c>
      <c r="I1718" s="59" t="str">
        <f>IF(OR($A1718="",$C1718="",$D1718="",$E1718="",$H1718=""),"",SUMIFS(DATA_GOC!$H:$H,DATA_GOC!$A:$A,"BOM",DATA_GOC!$D:$D,$H1718,DATA_GOC!$E:$E,$C1718,DATA_GOC!$F:$F,"Xuất nội bộ từ téc",DATA_GOC!$B:$B,"&gt;="&amp;$D1718,DATA_GOC!$B:$B,"&lt;="&amp;$E1718))</f>
        <v/>
      </c>
      <c r="J1718" s="59">
        <f t="shared" si="28"/>
        <v>0</v>
      </c>
      <c r="K1718" s="59">
        <f t="shared" si="29"/>
        <v>0</v>
      </c>
      <c r="L1718" s="59">
        <f t="shared" si="30"/>
        <v>0</v>
      </c>
      <c r="M1718" s="59">
        <f t="shared" si="31"/>
        <v>0</v>
      </c>
    </row>
    <row r="1719" ht="15.0" hidden="1" customHeight="1">
      <c r="A1719" s="59">
        <f t="shared" si="20"/>
        <v>25</v>
      </c>
      <c r="B1719" s="59" t="str">
        <f t="shared" si="21"/>
        <v/>
      </c>
      <c r="C1719" s="59" t="str">
        <f t="shared" si="22"/>
        <v/>
      </c>
      <c r="D1719" s="45" t="str">
        <f t="shared" si="23"/>
        <v/>
      </c>
      <c r="E1719" s="45" t="str">
        <f t="shared" si="24"/>
        <v/>
      </c>
      <c r="F1719" s="59" t="str">
        <f t="shared" si="25"/>
        <v/>
      </c>
      <c r="G1719" s="59" t="str">
        <f t="shared" si="26"/>
        <v/>
      </c>
      <c r="H1719" s="59" t="str">
        <f t="shared" si="27"/>
        <v>Công trình Asphalt</v>
      </c>
      <c r="I1719" s="59" t="str">
        <f>IF(OR($A1719="",$C1719="",$D1719="",$E1719="",$H1719=""),"",SUMIFS(DATA_GOC!$H:$H,DATA_GOC!$A:$A,"BOM",DATA_GOC!$D:$D,$H1719,DATA_GOC!$E:$E,$C1719,DATA_GOC!$F:$F,"Xuất nội bộ từ téc",DATA_GOC!$B:$B,"&gt;="&amp;$D1719,DATA_GOC!$B:$B,"&lt;="&amp;$E1719))</f>
        <v/>
      </c>
      <c r="J1719" s="59">
        <f t="shared" si="28"/>
        <v>0</v>
      </c>
      <c r="K1719" s="59">
        <f t="shared" si="29"/>
        <v>0</v>
      </c>
      <c r="L1719" s="59">
        <f t="shared" si="30"/>
        <v>0</v>
      </c>
      <c r="M1719" s="59">
        <f t="shared" si="31"/>
        <v>0</v>
      </c>
    </row>
    <row r="1720" ht="15.0" hidden="1" customHeight="1">
      <c r="A1720" s="59">
        <f t="shared" si="20"/>
        <v>25</v>
      </c>
      <c r="B1720" s="59" t="str">
        <f t="shared" si="21"/>
        <v/>
      </c>
      <c r="C1720" s="59" t="str">
        <f t="shared" si="22"/>
        <v/>
      </c>
      <c r="D1720" s="45" t="str">
        <f t="shared" si="23"/>
        <v/>
      </c>
      <c r="E1720" s="45" t="str">
        <f t="shared" si="24"/>
        <v/>
      </c>
      <c r="F1720" s="59" t="str">
        <f t="shared" si="25"/>
        <v/>
      </c>
      <c r="G1720" s="59" t="str">
        <f t="shared" si="26"/>
        <v/>
      </c>
      <c r="H1720" s="59" t="str">
        <f t="shared" si="27"/>
        <v>LG53F</v>
      </c>
      <c r="I1720" s="59" t="str">
        <f>IF(OR($A1720="",$C1720="",$D1720="",$E1720="",$H1720=""),"",SUMIFS(DATA_GOC!$H:$H,DATA_GOC!$A:$A,"BOM",DATA_GOC!$D:$D,$H1720,DATA_GOC!$E:$E,$C1720,DATA_GOC!$F:$F,"Xuất nội bộ từ téc",DATA_GOC!$B:$B,"&gt;="&amp;$D1720,DATA_GOC!$B:$B,"&lt;="&amp;$E1720))</f>
        <v/>
      </c>
      <c r="J1720" s="59">
        <f t="shared" si="28"/>
        <v>0</v>
      </c>
      <c r="K1720" s="59">
        <f t="shared" si="29"/>
        <v>0</v>
      </c>
      <c r="L1720" s="59">
        <f t="shared" si="30"/>
        <v>0</v>
      </c>
      <c r="M1720" s="59">
        <f t="shared" si="31"/>
        <v>0</v>
      </c>
    </row>
    <row r="1721" ht="15.0" hidden="1" customHeight="1">
      <c r="A1721" s="59">
        <f t="shared" si="20"/>
        <v>25</v>
      </c>
      <c r="B1721" s="59" t="str">
        <f t="shared" si="21"/>
        <v/>
      </c>
      <c r="C1721" s="59" t="str">
        <f t="shared" si="22"/>
        <v/>
      </c>
      <c r="D1721" s="45" t="str">
        <f t="shared" si="23"/>
        <v/>
      </c>
      <c r="E1721" s="45" t="str">
        <f t="shared" si="24"/>
        <v/>
      </c>
      <c r="F1721" s="59" t="str">
        <f t="shared" si="25"/>
        <v/>
      </c>
      <c r="G1721" s="59" t="str">
        <f t="shared" si="26"/>
        <v/>
      </c>
      <c r="H1721" s="59" t="str">
        <f t="shared" si="27"/>
        <v>Máy phát điện</v>
      </c>
      <c r="I1721" s="59" t="str">
        <f>IF(OR($A1721="",$C1721="",$D1721="",$E1721="",$H1721=""),"",SUMIFS(DATA_GOC!$H:$H,DATA_GOC!$A:$A,"BOM",DATA_GOC!$D:$D,$H1721,DATA_GOC!$E:$E,$C1721,DATA_GOC!$F:$F,"Xuất nội bộ từ téc",DATA_GOC!$B:$B,"&gt;="&amp;$D1721,DATA_GOC!$B:$B,"&lt;="&amp;$E1721))</f>
        <v/>
      </c>
      <c r="J1721" s="59">
        <f t="shared" si="28"/>
        <v>0</v>
      </c>
      <c r="K1721" s="59">
        <f t="shared" si="29"/>
        <v>0</v>
      </c>
      <c r="L1721" s="59">
        <f t="shared" si="30"/>
        <v>0</v>
      </c>
      <c r="M1721" s="59">
        <f t="shared" si="31"/>
        <v>0</v>
      </c>
    </row>
    <row r="1722" ht="15.0" hidden="1" customHeight="1">
      <c r="A1722" s="59">
        <f t="shared" si="20"/>
        <v>25</v>
      </c>
      <c r="B1722" s="59" t="str">
        <f t="shared" si="21"/>
        <v/>
      </c>
      <c r="C1722" s="59" t="str">
        <f t="shared" si="22"/>
        <v/>
      </c>
      <c r="D1722" s="45" t="str">
        <f t="shared" si="23"/>
        <v/>
      </c>
      <c r="E1722" s="45" t="str">
        <f t="shared" si="24"/>
        <v/>
      </c>
      <c r="F1722" s="59" t="str">
        <f t="shared" si="25"/>
        <v/>
      </c>
      <c r="G1722" s="59" t="str">
        <f t="shared" si="26"/>
        <v/>
      </c>
      <c r="H1722" s="59" t="str">
        <f t="shared" si="27"/>
        <v>Máy rải thảm</v>
      </c>
      <c r="I1722" s="59" t="str">
        <f>IF(OR($A1722="",$C1722="",$D1722="",$E1722="",$H1722=""),"",SUMIFS(DATA_GOC!$H:$H,DATA_GOC!$A:$A,"BOM",DATA_GOC!$D:$D,$H1722,DATA_GOC!$E:$E,$C1722,DATA_GOC!$F:$F,"Xuất nội bộ từ téc",DATA_GOC!$B:$B,"&gt;="&amp;$D1722,DATA_GOC!$B:$B,"&lt;="&amp;$E1722))</f>
        <v/>
      </c>
      <c r="J1722" s="59">
        <f t="shared" si="28"/>
        <v>0</v>
      </c>
      <c r="K1722" s="59">
        <f t="shared" si="29"/>
        <v>0</v>
      </c>
      <c r="L1722" s="59">
        <f t="shared" si="30"/>
        <v>0</v>
      </c>
      <c r="M1722" s="59">
        <f t="shared" si="31"/>
        <v>0</v>
      </c>
    </row>
    <row r="1723" ht="15.0" hidden="1" customHeight="1">
      <c r="A1723" s="59">
        <f t="shared" si="20"/>
        <v>25</v>
      </c>
      <c r="B1723" s="59" t="str">
        <f t="shared" si="21"/>
        <v/>
      </c>
      <c r="C1723" s="59" t="str">
        <f t="shared" si="22"/>
        <v/>
      </c>
      <c r="D1723" s="45" t="str">
        <f t="shared" si="23"/>
        <v/>
      </c>
      <c r="E1723" s="45" t="str">
        <f t="shared" si="24"/>
        <v/>
      </c>
      <c r="F1723" s="59" t="str">
        <f t="shared" si="25"/>
        <v/>
      </c>
      <c r="G1723" s="59" t="str">
        <f t="shared" si="26"/>
        <v/>
      </c>
      <c r="H1723" s="59" t="str">
        <f t="shared" si="27"/>
        <v>Xúc Đào</v>
      </c>
      <c r="I1723" s="59" t="str">
        <f>IF(OR($A1723="",$C1723="",$D1723="",$E1723="",$H1723=""),"",SUMIFS(DATA_GOC!$H:$H,DATA_GOC!$A:$A,"BOM",DATA_GOC!$D:$D,$H1723,DATA_GOC!$E:$E,$C1723,DATA_GOC!$F:$F,"Xuất nội bộ từ téc",DATA_GOC!$B:$B,"&gt;="&amp;$D1723,DATA_GOC!$B:$B,"&lt;="&amp;$E1723))</f>
        <v/>
      </c>
      <c r="J1723" s="59">
        <f t="shared" si="28"/>
        <v>0</v>
      </c>
      <c r="K1723" s="59">
        <f t="shared" si="29"/>
        <v>0</v>
      </c>
      <c r="L1723" s="59">
        <f t="shared" si="30"/>
        <v>0</v>
      </c>
      <c r="M1723" s="59">
        <f t="shared" si="31"/>
        <v>0</v>
      </c>
    </row>
    <row r="1724" ht="15.0" hidden="1" customHeight="1">
      <c r="A1724" s="59">
        <f t="shared" si="20"/>
        <v>25</v>
      </c>
      <c r="B1724" s="59" t="str">
        <f t="shared" si="21"/>
        <v/>
      </c>
      <c r="C1724" s="59" t="str">
        <f t="shared" si="22"/>
        <v/>
      </c>
      <c r="D1724" s="45" t="str">
        <f t="shared" si="23"/>
        <v/>
      </c>
      <c r="E1724" s="45" t="str">
        <f t="shared" si="24"/>
        <v/>
      </c>
      <c r="F1724" s="59" t="str">
        <f t="shared" si="25"/>
        <v/>
      </c>
      <c r="G1724" s="59" t="str">
        <f t="shared" si="26"/>
        <v/>
      </c>
      <c r="H1724" s="59" t="str">
        <f t="shared" si="27"/>
        <v>Xúclật asphalt</v>
      </c>
      <c r="I1724" s="59" t="str">
        <f>IF(OR($A1724="",$C1724="",$D1724="",$E1724="",$H1724=""),"",SUMIFS(DATA_GOC!$H:$H,DATA_GOC!$A:$A,"BOM",DATA_GOC!$D:$D,$H1724,DATA_GOC!$E:$E,$C1724,DATA_GOC!$F:$F,"Xuất nội bộ từ téc",DATA_GOC!$B:$B,"&gt;="&amp;$D1724,DATA_GOC!$B:$B,"&lt;="&amp;$E1724))</f>
        <v/>
      </c>
      <c r="J1724" s="59">
        <f t="shared" si="28"/>
        <v>0</v>
      </c>
      <c r="K1724" s="59">
        <f t="shared" si="29"/>
        <v>0</v>
      </c>
      <c r="L1724" s="59">
        <f t="shared" si="30"/>
        <v>0</v>
      </c>
      <c r="M1724" s="59">
        <f t="shared" si="31"/>
        <v>0</v>
      </c>
    </row>
    <row r="1725" ht="15.0" hidden="1" customHeight="1">
      <c r="A1725" s="59">
        <f t="shared" si="20"/>
        <v>25</v>
      </c>
      <c r="B1725" s="59" t="str">
        <f t="shared" si="21"/>
        <v/>
      </c>
      <c r="C1725" s="59" t="str">
        <f t="shared" si="22"/>
        <v/>
      </c>
      <c r="D1725" s="45" t="str">
        <f t="shared" si="23"/>
        <v/>
      </c>
      <c r="E1725" s="45" t="str">
        <f t="shared" si="24"/>
        <v/>
      </c>
      <c r="F1725" s="59" t="str">
        <f t="shared" si="25"/>
        <v/>
      </c>
      <c r="G1725" s="59" t="str">
        <f t="shared" si="26"/>
        <v/>
      </c>
      <c r="H1725" s="59" t="str">
        <f t="shared" si="27"/>
        <v>Xúclật855H</v>
      </c>
      <c r="I1725" s="59" t="str">
        <f>IF(OR($A1725="",$C1725="",$D1725="",$E1725="",$H1725=""),"",SUMIFS(DATA_GOC!$H:$H,DATA_GOC!$A:$A,"BOM",DATA_GOC!$D:$D,$H1725,DATA_GOC!$E:$E,$C1725,DATA_GOC!$F:$F,"Xuất nội bộ từ téc",DATA_GOC!$B:$B,"&gt;="&amp;$D1725,DATA_GOC!$B:$B,"&lt;="&amp;$E1725))</f>
        <v/>
      </c>
      <c r="J1725" s="59">
        <f t="shared" si="28"/>
        <v>0</v>
      </c>
      <c r="K1725" s="59">
        <f t="shared" si="29"/>
        <v>0</v>
      </c>
      <c r="L1725" s="59">
        <f t="shared" si="30"/>
        <v>0</v>
      </c>
      <c r="M1725" s="59">
        <f t="shared" si="31"/>
        <v>0</v>
      </c>
    </row>
    <row r="1726" ht="15.0" hidden="1" customHeight="1">
      <c r="A1726" s="59">
        <f t="shared" si="20"/>
        <v>25</v>
      </c>
      <c r="B1726" s="59" t="str">
        <f t="shared" si="21"/>
        <v/>
      </c>
      <c r="C1726" s="59" t="str">
        <f t="shared" si="22"/>
        <v/>
      </c>
      <c r="D1726" s="45" t="str">
        <f t="shared" si="23"/>
        <v/>
      </c>
      <c r="E1726" s="45" t="str">
        <f t="shared" si="24"/>
        <v/>
      </c>
      <c r="F1726" s="59" t="str">
        <f t="shared" si="25"/>
        <v/>
      </c>
      <c r="G1726" s="59" t="str">
        <f t="shared" si="26"/>
        <v/>
      </c>
      <c r="H1726" s="59" t="str">
        <f t="shared" si="27"/>
        <v>Xúclật855N</v>
      </c>
      <c r="I1726" s="59" t="str">
        <f>IF(OR($A1726="",$C1726="",$D1726="",$E1726="",$H1726=""),"",SUMIFS(DATA_GOC!$H:$H,DATA_GOC!$A:$A,"BOM",DATA_GOC!$D:$D,$H1726,DATA_GOC!$E:$E,$C1726,DATA_GOC!$F:$F,"Xuất nội bộ từ téc",DATA_GOC!$B:$B,"&gt;="&amp;$D1726,DATA_GOC!$B:$B,"&lt;="&amp;$E1726))</f>
        <v/>
      </c>
      <c r="J1726" s="59">
        <f t="shared" si="28"/>
        <v>0</v>
      </c>
      <c r="K1726" s="59">
        <f t="shared" si="29"/>
        <v>0</v>
      </c>
      <c r="L1726" s="59">
        <f t="shared" si="30"/>
        <v>0</v>
      </c>
      <c r="M1726" s="59">
        <f t="shared" si="31"/>
        <v>0</v>
      </c>
    </row>
    <row r="1727" ht="15.0" hidden="1" customHeight="1">
      <c r="A1727" s="59">
        <f t="shared" si="20"/>
        <v>25</v>
      </c>
      <c r="B1727" s="59" t="str">
        <f t="shared" si="21"/>
        <v/>
      </c>
      <c r="C1727" s="59" t="str">
        <f t="shared" si="22"/>
        <v/>
      </c>
      <c r="D1727" s="45" t="str">
        <f t="shared" si="23"/>
        <v/>
      </c>
      <c r="E1727" s="45" t="str">
        <f t="shared" si="24"/>
        <v/>
      </c>
      <c r="F1727" s="59" t="str">
        <f t="shared" si="25"/>
        <v/>
      </c>
      <c r="G1727" s="59" t="str">
        <f t="shared" si="26"/>
        <v/>
      </c>
      <c r="H1727" s="59" t="str">
        <f t="shared" si="27"/>
        <v>Cát nghiền</v>
      </c>
      <c r="I1727" s="59" t="str">
        <f>IF(OR($A1727="",$C1727="",$D1727="",$E1727="",$H1727=""),"",SUMIFS(DATA_GOC!$H:$H,DATA_GOC!$A:$A,"BOM",DATA_GOC!$D:$D,$H1727,DATA_GOC!$E:$E,$C1727,DATA_GOC!$F:$F,"Xuất nội bộ từ téc",DATA_GOC!$B:$B,"&gt;="&amp;$D1727,DATA_GOC!$B:$B,"&lt;="&amp;$E1727))</f>
        <v/>
      </c>
      <c r="J1727" s="59">
        <f t="shared" si="28"/>
        <v>0</v>
      </c>
      <c r="K1727" s="59">
        <f t="shared" si="29"/>
        <v>0</v>
      </c>
      <c r="L1727" s="59">
        <f t="shared" si="30"/>
        <v>0</v>
      </c>
      <c r="M1727" s="59">
        <f t="shared" si="31"/>
        <v>0</v>
      </c>
    </row>
    <row r="1728" ht="15.0" hidden="1" customHeight="1">
      <c r="A1728" s="59">
        <f t="shared" si="20"/>
        <v>25</v>
      </c>
      <c r="B1728" s="59" t="str">
        <f t="shared" si="21"/>
        <v/>
      </c>
      <c r="C1728" s="59" t="str">
        <f t="shared" si="22"/>
        <v/>
      </c>
      <c r="D1728" s="45" t="str">
        <f t="shared" si="23"/>
        <v/>
      </c>
      <c r="E1728" s="45" t="str">
        <f t="shared" si="24"/>
        <v/>
      </c>
      <c r="F1728" s="59" t="str">
        <f t="shared" si="25"/>
        <v/>
      </c>
      <c r="G1728" s="59" t="str">
        <f t="shared" si="26"/>
        <v/>
      </c>
      <c r="H1728" s="59" t="str">
        <f t="shared" si="27"/>
        <v>28C02973</v>
      </c>
      <c r="I1728" s="59" t="str">
        <f>IF(OR($A1728="",$C1728="",$D1728="",$E1728="",$H1728=""),"",SUMIFS(DATA_GOC!$H:$H,DATA_GOC!$A:$A,"BOM",DATA_GOC!$D:$D,$H1728,DATA_GOC!$E:$E,$C1728,DATA_GOC!$F:$F,"Xuất nội bộ từ téc",DATA_GOC!$B:$B,"&gt;="&amp;$D1728,DATA_GOC!$B:$B,"&lt;="&amp;$E1728))</f>
        <v/>
      </c>
      <c r="J1728" s="59">
        <f t="shared" si="28"/>
        <v>0</v>
      </c>
      <c r="K1728" s="59">
        <f t="shared" si="29"/>
        <v>0</v>
      </c>
      <c r="L1728" s="59">
        <f t="shared" si="30"/>
        <v>0</v>
      </c>
      <c r="M1728" s="59">
        <f t="shared" si="31"/>
        <v>0</v>
      </c>
    </row>
    <row r="1729" ht="15.0" hidden="1" customHeight="1">
      <c r="A1729" s="59">
        <f t="shared" si="20"/>
        <v>25</v>
      </c>
      <c r="B1729" s="59" t="str">
        <f t="shared" si="21"/>
        <v/>
      </c>
      <c r="C1729" s="59" t="str">
        <f t="shared" si="22"/>
        <v/>
      </c>
      <c r="D1729" s="45" t="str">
        <f t="shared" si="23"/>
        <v/>
      </c>
      <c r="E1729" s="45" t="str">
        <f t="shared" si="24"/>
        <v/>
      </c>
      <c r="F1729" s="59" t="str">
        <f t="shared" si="25"/>
        <v/>
      </c>
      <c r="G1729" s="59" t="str">
        <f t="shared" si="26"/>
        <v/>
      </c>
      <c r="H1729" s="59" t="str">
        <f t="shared" si="27"/>
        <v>28C03044</v>
      </c>
      <c r="I1729" s="59" t="str">
        <f>IF(OR($A1729="",$C1729="",$D1729="",$E1729="",$H1729=""),"",SUMIFS(DATA_GOC!$H:$H,DATA_GOC!$A:$A,"BOM",DATA_GOC!$D:$D,$H1729,DATA_GOC!$E:$E,$C1729,DATA_GOC!$F:$F,"Xuất nội bộ từ téc",DATA_GOC!$B:$B,"&gt;="&amp;$D1729,DATA_GOC!$B:$B,"&lt;="&amp;$E1729))</f>
        <v/>
      </c>
      <c r="J1729" s="59">
        <f t="shared" si="28"/>
        <v>0</v>
      </c>
      <c r="K1729" s="59">
        <f t="shared" si="29"/>
        <v>0</v>
      </c>
      <c r="L1729" s="59">
        <f t="shared" si="30"/>
        <v>0</v>
      </c>
      <c r="M1729" s="59">
        <f t="shared" si="31"/>
        <v>0</v>
      </c>
    </row>
    <row r="1730" ht="15.0" hidden="1" customHeight="1">
      <c r="A1730" s="59">
        <f t="shared" si="20"/>
        <v>25</v>
      </c>
      <c r="B1730" s="59" t="str">
        <f t="shared" si="21"/>
        <v/>
      </c>
      <c r="C1730" s="59" t="str">
        <f t="shared" si="22"/>
        <v/>
      </c>
      <c r="D1730" s="45" t="str">
        <f t="shared" si="23"/>
        <v/>
      </c>
      <c r="E1730" s="45" t="str">
        <f t="shared" si="24"/>
        <v/>
      </c>
      <c r="F1730" s="59" t="str">
        <f t="shared" si="25"/>
        <v/>
      </c>
      <c r="G1730" s="59" t="str">
        <f t="shared" si="26"/>
        <v/>
      </c>
      <c r="H1730" s="59" t="str">
        <f t="shared" si="27"/>
        <v>Máy lu lốp</v>
      </c>
      <c r="I1730" s="59" t="str">
        <f>IF(OR($A1730="",$C1730="",$D1730="",$E1730="",$H1730=""),"",SUMIFS(DATA_GOC!$H:$H,DATA_GOC!$A:$A,"BOM",DATA_GOC!$D:$D,$H1730,DATA_GOC!$E:$E,$C1730,DATA_GOC!$F:$F,"Xuất nội bộ từ téc",DATA_GOC!$B:$B,"&gt;="&amp;$D1730,DATA_GOC!$B:$B,"&lt;="&amp;$E1730))</f>
        <v/>
      </c>
      <c r="J1730" s="59">
        <f t="shared" si="28"/>
        <v>0</v>
      </c>
      <c r="K1730" s="59">
        <f t="shared" si="29"/>
        <v>0</v>
      </c>
      <c r="L1730" s="59">
        <f t="shared" si="30"/>
        <v>0</v>
      </c>
      <c r="M1730" s="59">
        <f t="shared" si="31"/>
        <v>0</v>
      </c>
    </row>
    <row r="1731" ht="15.0" hidden="1" customHeight="1">
      <c r="A1731" s="59">
        <f t="shared" si="20"/>
        <v>25</v>
      </c>
      <c r="B1731" s="59" t="str">
        <f t="shared" si="21"/>
        <v/>
      </c>
      <c r="C1731" s="59" t="str">
        <f t="shared" si="22"/>
        <v/>
      </c>
      <c r="D1731" s="45" t="str">
        <f t="shared" si="23"/>
        <v/>
      </c>
      <c r="E1731" s="45" t="str">
        <f t="shared" si="24"/>
        <v/>
      </c>
      <c r="F1731" s="59" t="str">
        <f t="shared" si="25"/>
        <v/>
      </c>
      <c r="G1731" s="59" t="str">
        <f t="shared" si="26"/>
        <v/>
      </c>
      <c r="H1731" s="59" t="str">
        <f t="shared" si="27"/>
        <v>Xe 600148</v>
      </c>
      <c r="I1731" s="59" t="str">
        <f>IF(OR($A1731="",$C1731="",$D1731="",$E1731="",$H1731=""),"",SUMIFS(DATA_GOC!$H:$H,DATA_GOC!$A:$A,"BOM",DATA_GOC!$D:$D,$H1731,DATA_GOC!$E:$E,$C1731,DATA_GOC!$F:$F,"Xuất nội bộ từ téc",DATA_GOC!$B:$B,"&gt;="&amp;$D1731,DATA_GOC!$B:$B,"&lt;="&amp;$E1731))</f>
        <v/>
      </c>
      <c r="J1731" s="59">
        <f t="shared" si="28"/>
        <v>0</v>
      </c>
      <c r="K1731" s="59">
        <f t="shared" si="29"/>
        <v>0</v>
      </c>
      <c r="L1731" s="59">
        <f t="shared" si="30"/>
        <v>0</v>
      </c>
      <c r="M1731" s="59">
        <f t="shared" si="31"/>
        <v>0</v>
      </c>
    </row>
    <row r="1732" ht="15.0" hidden="1" customHeight="1">
      <c r="A1732" s="59">
        <f t="shared" si="20"/>
        <v>25</v>
      </c>
      <c r="B1732" s="59" t="str">
        <f t="shared" si="21"/>
        <v/>
      </c>
      <c r="C1732" s="59" t="str">
        <f t="shared" si="22"/>
        <v/>
      </c>
      <c r="D1732" s="45" t="str">
        <f t="shared" si="23"/>
        <v/>
      </c>
      <c r="E1732" s="45" t="str">
        <f t="shared" si="24"/>
        <v/>
      </c>
      <c r="F1732" s="59" t="str">
        <f t="shared" si="25"/>
        <v/>
      </c>
      <c r="G1732" s="59" t="str">
        <f t="shared" si="26"/>
        <v/>
      </c>
      <c r="H1732" s="59" t="str">
        <f t="shared" si="27"/>
        <v>Xe ben mới</v>
      </c>
      <c r="I1732" s="59" t="str">
        <f>IF(OR($A1732="",$C1732="",$D1732="",$E1732="",$H1732=""),"",SUMIFS(DATA_GOC!$H:$H,DATA_GOC!$A:$A,"BOM",DATA_GOC!$D:$D,$H1732,DATA_GOC!$E:$E,$C1732,DATA_GOC!$F:$F,"Xuất nội bộ từ téc",DATA_GOC!$B:$B,"&gt;="&amp;$D1732,DATA_GOC!$B:$B,"&lt;="&amp;$E1732))</f>
        <v/>
      </c>
      <c r="J1732" s="59">
        <f t="shared" si="28"/>
        <v>0</v>
      </c>
      <c r="K1732" s="59">
        <f t="shared" si="29"/>
        <v>0</v>
      </c>
      <c r="L1732" s="59">
        <f t="shared" si="30"/>
        <v>0</v>
      </c>
      <c r="M1732" s="59">
        <f t="shared" si="31"/>
        <v>0</v>
      </c>
    </row>
    <row r="1733" ht="15.0" hidden="1" customHeight="1">
      <c r="A1733" s="59">
        <f t="shared" si="20"/>
        <v>26</v>
      </c>
      <c r="B1733" s="59" t="str">
        <f t="shared" si="21"/>
        <v/>
      </c>
      <c r="C1733" s="59" t="str">
        <f t="shared" si="22"/>
        <v/>
      </c>
      <c r="D1733" s="45" t="str">
        <f t="shared" si="23"/>
        <v/>
      </c>
      <c r="E1733" s="45" t="str">
        <f t="shared" si="24"/>
        <v/>
      </c>
      <c r="F1733" s="59" t="str">
        <f t="shared" si="25"/>
        <v/>
      </c>
      <c r="G1733" s="59" t="str">
        <f t="shared" si="26"/>
        <v/>
      </c>
      <c r="H1733" s="59" t="str">
        <f t="shared" si="27"/>
        <v>19H09482</v>
      </c>
      <c r="I1733" s="59" t="str">
        <f>IF(OR($A1733="",$C1733="",$D1733="",$E1733="",$H1733=""),"",SUMIFS(DATA_GOC!$H:$H,DATA_GOC!$A:$A,"BOM",DATA_GOC!$D:$D,$H1733,DATA_GOC!$E:$E,$C1733,DATA_GOC!$F:$F,"Xuất nội bộ từ téc",DATA_GOC!$B:$B,"&gt;="&amp;$D1733,DATA_GOC!$B:$B,"&lt;="&amp;$E1733))</f>
        <v/>
      </c>
      <c r="J1733" s="59">
        <f t="shared" si="28"/>
        <v>0</v>
      </c>
      <c r="K1733" s="59">
        <f t="shared" si="29"/>
        <v>0</v>
      </c>
      <c r="L1733" s="59">
        <f t="shared" si="30"/>
        <v>0</v>
      </c>
      <c r="M1733" s="59">
        <f t="shared" si="31"/>
        <v>0</v>
      </c>
    </row>
    <row r="1734" ht="15.0" hidden="1" customHeight="1">
      <c r="A1734" s="59">
        <f t="shared" si="20"/>
        <v>26</v>
      </c>
      <c r="B1734" s="59" t="str">
        <f t="shared" si="21"/>
        <v/>
      </c>
      <c r="C1734" s="59" t="str">
        <f t="shared" si="22"/>
        <v/>
      </c>
      <c r="D1734" s="45" t="str">
        <f t="shared" si="23"/>
        <v/>
      </c>
      <c r="E1734" s="45" t="str">
        <f t="shared" si="24"/>
        <v/>
      </c>
      <c r="F1734" s="59" t="str">
        <f t="shared" si="25"/>
        <v/>
      </c>
      <c r="G1734" s="59" t="str">
        <f t="shared" si="26"/>
        <v/>
      </c>
      <c r="H1734" s="59" t="str">
        <f t="shared" si="27"/>
        <v>28A30696</v>
      </c>
      <c r="I1734" s="59" t="str">
        <f>IF(OR($A1734="",$C1734="",$D1734="",$E1734="",$H1734=""),"",SUMIFS(DATA_GOC!$H:$H,DATA_GOC!$A:$A,"BOM",DATA_GOC!$D:$D,$H1734,DATA_GOC!$E:$E,$C1734,DATA_GOC!$F:$F,"Xuất nội bộ từ téc",DATA_GOC!$B:$B,"&gt;="&amp;$D1734,DATA_GOC!$B:$B,"&lt;="&amp;$E1734))</f>
        <v/>
      </c>
      <c r="J1734" s="59">
        <f t="shared" si="28"/>
        <v>0</v>
      </c>
      <c r="K1734" s="59">
        <f t="shared" si="29"/>
        <v>0</v>
      </c>
      <c r="L1734" s="59">
        <f t="shared" si="30"/>
        <v>0</v>
      </c>
      <c r="M1734" s="59">
        <f t="shared" si="31"/>
        <v>0</v>
      </c>
    </row>
    <row r="1735" ht="15.0" hidden="1" customHeight="1">
      <c r="A1735" s="59">
        <f t="shared" si="20"/>
        <v>26</v>
      </c>
      <c r="B1735" s="59" t="str">
        <f t="shared" si="21"/>
        <v/>
      </c>
      <c r="C1735" s="59" t="str">
        <f t="shared" si="22"/>
        <v/>
      </c>
      <c r="D1735" s="45" t="str">
        <f t="shared" si="23"/>
        <v/>
      </c>
      <c r="E1735" s="45" t="str">
        <f t="shared" si="24"/>
        <v/>
      </c>
      <c r="F1735" s="59" t="str">
        <f t="shared" si="25"/>
        <v/>
      </c>
      <c r="G1735" s="59" t="str">
        <f t="shared" si="26"/>
        <v/>
      </c>
      <c r="H1735" s="59" t="str">
        <f t="shared" si="27"/>
        <v>28C00462</v>
      </c>
      <c r="I1735" s="59" t="str">
        <f>IF(OR($A1735="",$C1735="",$D1735="",$E1735="",$H1735=""),"",SUMIFS(DATA_GOC!$H:$H,DATA_GOC!$A:$A,"BOM",DATA_GOC!$D:$D,$H1735,DATA_GOC!$E:$E,$C1735,DATA_GOC!$F:$F,"Xuất nội bộ từ téc",DATA_GOC!$B:$B,"&gt;="&amp;$D1735,DATA_GOC!$B:$B,"&lt;="&amp;$E1735))</f>
        <v/>
      </c>
      <c r="J1735" s="59">
        <f t="shared" si="28"/>
        <v>0</v>
      </c>
      <c r="K1735" s="59">
        <f t="shared" si="29"/>
        <v>0</v>
      </c>
      <c r="L1735" s="59">
        <f t="shared" si="30"/>
        <v>0</v>
      </c>
      <c r="M1735" s="59">
        <f t="shared" si="31"/>
        <v>0</v>
      </c>
    </row>
    <row r="1736" ht="15.0" hidden="1" customHeight="1">
      <c r="A1736" s="59">
        <f t="shared" si="20"/>
        <v>26</v>
      </c>
      <c r="B1736" s="59" t="str">
        <f t="shared" si="21"/>
        <v/>
      </c>
      <c r="C1736" s="59" t="str">
        <f t="shared" si="22"/>
        <v/>
      </c>
      <c r="D1736" s="45" t="str">
        <f t="shared" si="23"/>
        <v/>
      </c>
      <c r="E1736" s="45" t="str">
        <f t="shared" si="24"/>
        <v/>
      </c>
      <c r="F1736" s="59" t="str">
        <f t="shared" si="25"/>
        <v/>
      </c>
      <c r="G1736" s="59" t="str">
        <f t="shared" si="26"/>
        <v/>
      </c>
      <c r="H1736" s="59" t="str">
        <f t="shared" si="27"/>
        <v>28C01165</v>
      </c>
      <c r="I1736" s="59" t="str">
        <f>IF(OR($A1736="",$C1736="",$D1736="",$E1736="",$H1736=""),"",SUMIFS(DATA_GOC!$H:$H,DATA_GOC!$A:$A,"BOM",DATA_GOC!$D:$D,$H1736,DATA_GOC!$E:$E,$C1736,DATA_GOC!$F:$F,"Xuất nội bộ từ téc",DATA_GOC!$B:$B,"&gt;="&amp;$D1736,DATA_GOC!$B:$B,"&lt;="&amp;$E1736))</f>
        <v/>
      </c>
      <c r="J1736" s="59">
        <f t="shared" si="28"/>
        <v>0</v>
      </c>
      <c r="K1736" s="59">
        <f t="shared" si="29"/>
        <v>0</v>
      </c>
      <c r="L1736" s="59">
        <f t="shared" si="30"/>
        <v>0</v>
      </c>
      <c r="M1736" s="59">
        <f t="shared" si="31"/>
        <v>0</v>
      </c>
    </row>
    <row r="1737" ht="15.0" hidden="1" customHeight="1">
      <c r="A1737" s="59">
        <f t="shared" si="20"/>
        <v>26</v>
      </c>
      <c r="B1737" s="59" t="str">
        <f t="shared" si="21"/>
        <v/>
      </c>
      <c r="C1737" s="59" t="str">
        <f t="shared" si="22"/>
        <v/>
      </c>
      <c r="D1737" s="45" t="str">
        <f t="shared" si="23"/>
        <v/>
      </c>
      <c r="E1737" s="45" t="str">
        <f t="shared" si="24"/>
        <v/>
      </c>
      <c r="F1737" s="59" t="str">
        <f t="shared" si="25"/>
        <v/>
      </c>
      <c r="G1737" s="59" t="str">
        <f t="shared" si="26"/>
        <v/>
      </c>
      <c r="H1737" s="59" t="str">
        <f t="shared" si="27"/>
        <v>28C01406</v>
      </c>
      <c r="I1737" s="59" t="str">
        <f>IF(OR($A1737="",$C1737="",$D1737="",$E1737="",$H1737=""),"",SUMIFS(DATA_GOC!$H:$H,DATA_GOC!$A:$A,"BOM",DATA_GOC!$D:$D,$H1737,DATA_GOC!$E:$E,$C1737,DATA_GOC!$F:$F,"Xuất nội bộ từ téc",DATA_GOC!$B:$B,"&gt;="&amp;$D1737,DATA_GOC!$B:$B,"&lt;="&amp;$E1737))</f>
        <v/>
      </c>
      <c r="J1737" s="59">
        <f t="shared" si="28"/>
        <v>0</v>
      </c>
      <c r="K1737" s="59">
        <f t="shared" si="29"/>
        <v>0</v>
      </c>
      <c r="L1737" s="59">
        <f t="shared" si="30"/>
        <v>0</v>
      </c>
      <c r="M1737" s="59">
        <f t="shared" si="31"/>
        <v>0</v>
      </c>
    </row>
    <row r="1738" ht="15.0" hidden="1" customHeight="1">
      <c r="A1738" s="59">
        <f t="shared" si="20"/>
        <v>26</v>
      </c>
      <c r="B1738" s="59" t="str">
        <f t="shared" si="21"/>
        <v/>
      </c>
      <c r="C1738" s="59" t="str">
        <f t="shared" si="22"/>
        <v/>
      </c>
      <c r="D1738" s="45" t="str">
        <f t="shared" si="23"/>
        <v/>
      </c>
      <c r="E1738" s="45" t="str">
        <f t="shared" si="24"/>
        <v/>
      </c>
      <c r="F1738" s="59" t="str">
        <f t="shared" si="25"/>
        <v/>
      </c>
      <c r="G1738" s="59" t="str">
        <f t="shared" si="26"/>
        <v/>
      </c>
      <c r="H1738" s="59" t="str">
        <f t="shared" si="27"/>
        <v>28C01544</v>
      </c>
      <c r="I1738" s="59" t="str">
        <f>IF(OR($A1738="",$C1738="",$D1738="",$E1738="",$H1738=""),"",SUMIFS(DATA_GOC!$H:$H,DATA_GOC!$A:$A,"BOM",DATA_GOC!$D:$D,$H1738,DATA_GOC!$E:$E,$C1738,DATA_GOC!$F:$F,"Xuất nội bộ từ téc",DATA_GOC!$B:$B,"&gt;="&amp;$D1738,DATA_GOC!$B:$B,"&lt;="&amp;$E1738))</f>
        <v/>
      </c>
      <c r="J1738" s="59">
        <f t="shared" si="28"/>
        <v>0</v>
      </c>
      <c r="K1738" s="59">
        <f t="shared" si="29"/>
        <v>0</v>
      </c>
      <c r="L1738" s="59">
        <f t="shared" si="30"/>
        <v>0</v>
      </c>
      <c r="M1738" s="59">
        <f t="shared" si="31"/>
        <v>0</v>
      </c>
    </row>
    <row r="1739" ht="15.0" hidden="1" customHeight="1">
      <c r="A1739" s="59">
        <f t="shared" si="20"/>
        <v>26</v>
      </c>
      <c r="B1739" s="59" t="str">
        <f t="shared" si="21"/>
        <v/>
      </c>
      <c r="C1739" s="59" t="str">
        <f t="shared" si="22"/>
        <v/>
      </c>
      <c r="D1739" s="45" t="str">
        <f t="shared" si="23"/>
        <v/>
      </c>
      <c r="E1739" s="45" t="str">
        <f t="shared" si="24"/>
        <v/>
      </c>
      <c r="F1739" s="59" t="str">
        <f t="shared" si="25"/>
        <v/>
      </c>
      <c r="G1739" s="59" t="str">
        <f t="shared" si="26"/>
        <v/>
      </c>
      <c r="H1739" s="59" t="str">
        <f t="shared" si="27"/>
        <v>28C01622</v>
      </c>
      <c r="I1739" s="59" t="str">
        <f>IF(OR($A1739="",$C1739="",$D1739="",$E1739="",$H1739=""),"",SUMIFS(DATA_GOC!$H:$H,DATA_GOC!$A:$A,"BOM",DATA_GOC!$D:$D,$H1739,DATA_GOC!$E:$E,$C1739,DATA_GOC!$F:$F,"Xuất nội bộ từ téc",DATA_GOC!$B:$B,"&gt;="&amp;$D1739,DATA_GOC!$B:$B,"&lt;="&amp;$E1739))</f>
        <v/>
      </c>
      <c r="J1739" s="59">
        <f t="shared" si="28"/>
        <v>0</v>
      </c>
      <c r="K1739" s="59">
        <f t="shared" si="29"/>
        <v>0</v>
      </c>
      <c r="L1739" s="59">
        <f t="shared" si="30"/>
        <v>0</v>
      </c>
      <c r="M1739" s="59">
        <f t="shared" si="31"/>
        <v>0</v>
      </c>
    </row>
    <row r="1740" ht="15.0" hidden="1" customHeight="1">
      <c r="A1740" s="59">
        <f t="shared" si="20"/>
        <v>26</v>
      </c>
      <c r="B1740" s="59" t="str">
        <f t="shared" si="21"/>
        <v/>
      </c>
      <c r="C1740" s="59" t="str">
        <f t="shared" si="22"/>
        <v/>
      </c>
      <c r="D1740" s="45" t="str">
        <f t="shared" si="23"/>
        <v/>
      </c>
      <c r="E1740" s="45" t="str">
        <f t="shared" si="24"/>
        <v/>
      </c>
      <c r="F1740" s="59" t="str">
        <f t="shared" si="25"/>
        <v/>
      </c>
      <c r="G1740" s="59" t="str">
        <f t="shared" si="26"/>
        <v/>
      </c>
      <c r="H1740" s="59" t="str">
        <f t="shared" si="27"/>
        <v>28C01647</v>
      </c>
      <c r="I1740" s="59" t="str">
        <f>IF(OR($A1740="",$C1740="",$D1740="",$E1740="",$H1740=""),"",SUMIFS(DATA_GOC!$H:$H,DATA_GOC!$A:$A,"BOM",DATA_GOC!$D:$D,$H1740,DATA_GOC!$E:$E,$C1740,DATA_GOC!$F:$F,"Xuất nội bộ từ téc",DATA_GOC!$B:$B,"&gt;="&amp;$D1740,DATA_GOC!$B:$B,"&lt;="&amp;$E1740))</f>
        <v/>
      </c>
      <c r="J1740" s="59">
        <f t="shared" si="28"/>
        <v>0</v>
      </c>
      <c r="K1740" s="59">
        <f t="shared" si="29"/>
        <v>0</v>
      </c>
      <c r="L1740" s="59">
        <f t="shared" si="30"/>
        <v>0</v>
      </c>
      <c r="M1740" s="59">
        <f t="shared" si="31"/>
        <v>0</v>
      </c>
    </row>
    <row r="1741" ht="15.0" hidden="1" customHeight="1">
      <c r="A1741" s="59">
        <f t="shared" si="20"/>
        <v>26</v>
      </c>
      <c r="B1741" s="59" t="str">
        <f t="shared" si="21"/>
        <v/>
      </c>
      <c r="C1741" s="59" t="str">
        <f t="shared" si="22"/>
        <v/>
      </c>
      <c r="D1741" s="45" t="str">
        <f t="shared" si="23"/>
        <v/>
      </c>
      <c r="E1741" s="45" t="str">
        <f t="shared" si="24"/>
        <v/>
      </c>
      <c r="F1741" s="59" t="str">
        <f t="shared" si="25"/>
        <v/>
      </c>
      <c r="G1741" s="59" t="str">
        <f t="shared" si="26"/>
        <v/>
      </c>
      <c r="H1741" s="59" t="str">
        <f t="shared" si="27"/>
        <v>28C01731</v>
      </c>
      <c r="I1741" s="59" t="str">
        <f>IF(OR($A1741="",$C1741="",$D1741="",$E1741="",$H1741=""),"",SUMIFS(DATA_GOC!$H:$H,DATA_GOC!$A:$A,"BOM",DATA_GOC!$D:$D,$H1741,DATA_GOC!$E:$E,$C1741,DATA_GOC!$F:$F,"Xuất nội bộ từ téc",DATA_GOC!$B:$B,"&gt;="&amp;$D1741,DATA_GOC!$B:$B,"&lt;="&amp;$E1741))</f>
        <v/>
      </c>
      <c r="J1741" s="59">
        <f t="shared" si="28"/>
        <v>0</v>
      </c>
      <c r="K1741" s="59">
        <f t="shared" si="29"/>
        <v>0</v>
      </c>
      <c r="L1741" s="59">
        <f t="shared" si="30"/>
        <v>0</v>
      </c>
      <c r="M1741" s="59">
        <f t="shared" si="31"/>
        <v>0</v>
      </c>
    </row>
    <row r="1742" ht="15.0" hidden="1" customHeight="1">
      <c r="A1742" s="59">
        <f t="shared" si="20"/>
        <v>26</v>
      </c>
      <c r="B1742" s="59" t="str">
        <f t="shared" si="21"/>
        <v/>
      </c>
      <c r="C1742" s="59" t="str">
        <f t="shared" si="22"/>
        <v/>
      </c>
      <c r="D1742" s="45" t="str">
        <f t="shared" si="23"/>
        <v/>
      </c>
      <c r="E1742" s="45" t="str">
        <f t="shared" si="24"/>
        <v/>
      </c>
      <c r="F1742" s="59" t="str">
        <f t="shared" si="25"/>
        <v/>
      </c>
      <c r="G1742" s="59" t="str">
        <f t="shared" si="26"/>
        <v/>
      </c>
      <c r="H1742" s="59" t="str">
        <f t="shared" si="27"/>
        <v>28C01743</v>
      </c>
      <c r="I1742" s="59" t="str">
        <f>IF(OR($A1742="",$C1742="",$D1742="",$E1742="",$H1742=""),"",SUMIFS(DATA_GOC!$H:$H,DATA_GOC!$A:$A,"BOM",DATA_GOC!$D:$D,$H1742,DATA_GOC!$E:$E,$C1742,DATA_GOC!$F:$F,"Xuất nội bộ từ téc",DATA_GOC!$B:$B,"&gt;="&amp;$D1742,DATA_GOC!$B:$B,"&lt;="&amp;$E1742))</f>
        <v/>
      </c>
      <c r="J1742" s="59">
        <f t="shared" si="28"/>
        <v>0</v>
      </c>
      <c r="K1742" s="59">
        <f t="shared" si="29"/>
        <v>0</v>
      </c>
      <c r="L1742" s="59">
        <f t="shared" si="30"/>
        <v>0</v>
      </c>
      <c r="M1742" s="59">
        <f t="shared" si="31"/>
        <v>0</v>
      </c>
    </row>
    <row r="1743" ht="15.0" hidden="1" customHeight="1">
      <c r="A1743" s="59">
        <f t="shared" si="20"/>
        <v>26</v>
      </c>
      <c r="B1743" s="59" t="str">
        <f t="shared" si="21"/>
        <v/>
      </c>
      <c r="C1743" s="59" t="str">
        <f t="shared" si="22"/>
        <v/>
      </c>
      <c r="D1743" s="45" t="str">
        <f t="shared" si="23"/>
        <v/>
      </c>
      <c r="E1743" s="45" t="str">
        <f t="shared" si="24"/>
        <v/>
      </c>
      <c r="F1743" s="59" t="str">
        <f t="shared" si="25"/>
        <v/>
      </c>
      <c r="G1743" s="59" t="str">
        <f t="shared" si="26"/>
        <v/>
      </c>
      <c r="H1743" s="59" t="str">
        <f t="shared" si="27"/>
        <v>28C02106</v>
      </c>
      <c r="I1743" s="59" t="str">
        <f>IF(OR($A1743="",$C1743="",$D1743="",$E1743="",$H1743=""),"",SUMIFS(DATA_GOC!$H:$H,DATA_GOC!$A:$A,"BOM",DATA_GOC!$D:$D,$H1743,DATA_GOC!$E:$E,$C1743,DATA_GOC!$F:$F,"Xuất nội bộ từ téc",DATA_GOC!$B:$B,"&gt;="&amp;$D1743,DATA_GOC!$B:$B,"&lt;="&amp;$E1743))</f>
        <v/>
      </c>
      <c r="J1743" s="59">
        <f t="shared" si="28"/>
        <v>0</v>
      </c>
      <c r="K1743" s="59">
        <f t="shared" si="29"/>
        <v>0</v>
      </c>
      <c r="L1743" s="59">
        <f t="shared" si="30"/>
        <v>0</v>
      </c>
      <c r="M1743" s="59">
        <f t="shared" si="31"/>
        <v>0</v>
      </c>
    </row>
    <row r="1744" ht="15.0" hidden="1" customHeight="1">
      <c r="A1744" s="59">
        <f t="shared" si="20"/>
        <v>26</v>
      </c>
      <c r="B1744" s="59" t="str">
        <f t="shared" si="21"/>
        <v/>
      </c>
      <c r="C1744" s="59" t="str">
        <f t="shared" si="22"/>
        <v/>
      </c>
      <c r="D1744" s="45" t="str">
        <f t="shared" si="23"/>
        <v/>
      </c>
      <c r="E1744" s="45" t="str">
        <f t="shared" si="24"/>
        <v/>
      </c>
      <c r="F1744" s="59" t="str">
        <f t="shared" si="25"/>
        <v/>
      </c>
      <c r="G1744" s="59" t="str">
        <f t="shared" si="26"/>
        <v/>
      </c>
      <c r="H1744" s="59" t="str">
        <f t="shared" si="27"/>
        <v>28C02410</v>
      </c>
      <c r="I1744" s="59" t="str">
        <f>IF(OR($A1744="",$C1744="",$D1744="",$E1744="",$H1744=""),"",SUMIFS(DATA_GOC!$H:$H,DATA_GOC!$A:$A,"BOM",DATA_GOC!$D:$D,$H1744,DATA_GOC!$E:$E,$C1744,DATA_GOC!$F:$F,"Xuất nội bộ từ téc",DATA_GOC!$B:$B,"&gt;="&amp;$D1744,DATA_GOC!$B:$B,"&lt;="&amp;$E1744))</f>
        <v/>
      </c>
      <c r="J1744" s="59">
        <f t="shared" si="28"/>
        <v>0</v>
      </c>
      <c r="K1744" s="59">
        <f t="shared" si="29"/>
        <v>0</v>
      </c>
      <c r="L1744" s="59">
        <f t="shared" si="30"/>
        <v>0</v>
      </c>
      <c r="M1744" s="59">
        <f t="shared" si="31"/>
        <v>0</v>
      </c>
    </row>
    <row r="1745" ht="15.0" hidden="1" customHeight="1">
      <c r="A1745" s="59">
        <f t="shared" si="20"/>
        <v>26</v>
      </c>
      <c r="B1745" s="59" t="str">
        <f t="shared" si="21"/>
        <v/>
      </c>
      <c r="C1745" s="59" t="str">
        <f t="shared" si="22"/>
        <v/>
      </c>
      <c r="D1745" s="45" t="str">
        <f t="shared" si="23"/>
        <v/>
      </c>
      <c r="E1745" s="45" t="str">
        <f t="shared" si="24"/>
        <v/>
      </c>
      <c r="F1745" s="59" t="str">
        <f t="shared" si="25"/>
        <v/>
      </c>
      <c r="G1745" s="59" t="str">
        <f t="shared" si="26"/>
        <v/>
      </c>
      <c r="H1745" s="59" t="str">
        <f t="shared" si="27"/>
        <v>28C02545</v>
      </c>
      <c r="I1745" s="59" t="str">
        <f>IF(OR($A1745="",$C1745="",$D1745="",$E1745="",$H1745=""),"",SUMIFS(DATA_GOC!$H:$H,DATA_GOC!$A:$A,"BOM",DATA_GOC!$D:$D,$H1745,DATA_GOC!$E:$E,$C1745,DATA_GOC!$F:$F,"Xuất nội bộ từ téc",DATA_GOC!$B:$B,"&gt;="&amp;$D1745,DATA_GOC!$B:$B,"&lt;="&amp;$E1745))</f>
        <v/>
      </c>
      <c r="J1745" s="59">
        <f t="shared" si="28"/>
        <v>0</v>
      </c>
      <c r="K1745" s="59">
        <f t="shared" si="29"/>
        <v>0</v>
      </c>
      <c r="L1745" s="59">
        <f t="shared" si="30"/>
        <v>0</v>
      </c>
      <c r="M1745" s="59">
        <f t="shared" si="31"/>
        <v>0</v>
      </c>
    </row>
    <row r="1746" ht="15.0" hidden="1" customHeight="1">
      <c r="A1746" s="59">
        <f t="shared" si="20"/>
        <v>26</v>
      </c>
      <c r="B1746" s="59" t="str">
        <f t="shared" si="21"/>
        <v/>
      </c>
      <c r="C1746" s="59" t="str">
        <f t="shared" si="22"/>
        <v/>
      </c>
      <c r="D1746" s="45" t="str">
        <f t="shared" si="23"/>
        <v/>
      </c>
      <c r="E1746" s="45" t="str">
        <f t="shared" si="24"/>
        <v/>
      </c>
      <c r="F1746" s="59" t="str">
        <f t="shared" si="25"/>
        <v/>
      </c>
      <c r="G1746" s="59" t="str">
        <f t="shared" si="26"/>
        <v/>
      </c>
      <c r="H1746" s="59" t="str">
        <f t="shared" si="27"/>
        <v>28C02574</v>
      </c>
      <c r="I1746" s="59" t="str">
        <f>IF(OR($A1746="",$C1746="",$D1746="",$E1746="",$H1746=""),"",SUMIFS(DATA_GOC!$H:$H,DATA_GOC!$A:$A,"BOM",DATA_GOC!$D:$D,$H1746,DATA_GOC!$E:$E,$C1746,DATA_GOC!$F:$F,"Xuất nội bộ từ téc",DATA_GOC!$B:$B,"&gt;="&amp;$D1746,DATA_GOC!$B:$B,"&lt;="&amp;$E1746))</f>
        <v/>
      </c>
      <c r="J1746" s="59">
        <f t="shared" si="28"/>
        <v>0</v>
      </c>
      <c r="K1746" s="59">
        <f t="shared" si="29"/>
        <v>0</v>
      </c>
      <c r="L1746" s="59">
        <f t="shared" si="30"/>
        <v>0</v>
      </c>
      <c r="M1746" s="59">
        <f t="shared" si="31"/>
        <v>0</v>
      </c>
    </row>
    <row r="1747" ht="15.0" hidden="1" customHeight="1">
      <c r="A1747" s="59">
        <f t="shared" si="20"/>
        <v>26</v>
      </c>
      <c r="B1747" s="59" t="str">
        <f t="shared" si="21"/>
        <v/>
      </c>
      <c r="C1747" s="59" t="str">
        <f t="shared" si="22"/>
        <v/>
      </c>
      <c r="D1747" s="45" t="str">
        <f t="shared" si="23"/>
        <v/>
      </c>
      <c r="E1747" s="45" t="str">
        <f t="shared" si="24"/>
        <v/>
      </c>
      <c r="F1747" s="59" t="str">
        <f t="shared" si="25"/>
        <v/>
      </c>
      <c r="G1747" s="59" t="str">
        <f t="shared" si="26"/>
        <v/>
      </c>
      <c r="H1747" s="59" t="str">
        <f t="shared" si="27"/>
        <v>28C02770</v>
      </c>
      <c r="I1747" s="59" t="str">
        <f>IF(OR($A1747="",$C1747="",$D1747="",$E1747="",$H1747=""),"",SUMIFS(DATA_GOC!$H:$H,DATA_GOC!$A:$A,"BOM",DATA_GOC!$D:$D,$H1747,DATA_GOC!$E:$E,$C1747,DATA_GOC!$F:$F,"Xuất nội bộ từ téc",DATA_GOC!$B:$B,"&gt;="&amp;$D1747,DATA_GOC!$B:$B,"&lt;="&amp;$E1747))</f>
        <v/>
      </c>
      <c r="J1747" s="59">
        <f t="shared" si="28"/>
        <v>0</v>
      </c>
      <c r="K1747" s="59">
        <f t="shared" si="29"/>
        <v>0</v>
      </c>
      <c r="L1747" s="59">
        <f t="shared" si="30"/>
        <v>0</v>
      </c>
      <c r="M1747" s="59">
        <f t="shared" si="31"/>
        <v>0</v>
      </c>
    </row>
    <row r="1748" ht="15.0" hidden="1" customHeight="1">
      <c r="A1748" s="59">
        <f t="shared" si="20"/>
        <v>26</v>
      </c>
      <c r="B1748" s="59" t="str">
        <f t="shared" si="21"/>
        <v/>
      </c>
      <c r="C1748" s="59" t="str">
        <f t="shared" si="22"/>
        <v/>
      </c>
      <c r="D1748" s="45" t="str">
        <f t="shared" si="23"/>
        <v/>
      </c>
      <c r="E1748" s="45" t="str">
        <f t="shared" si="24"/>
        <v/>
      </c>
      <c r="F1748" s="59" t="str">
        <f t="shared" si="25"/>
        <v/>
      </c>
      <c r="G1748" s="59" t="str">
        <f t="shared" si="26"/>
        <v/>
      </c>
      <c r="H1748" s="59" t="str">
        <f t="shared" si="27"/>
        <v>28C02986</v>
      </c>
      <c r="I1748" s="59" t="str">
        <f>IF(OR($A1748="",$C1748="",$D1748="",$E1748="",$H1748=""),"",SUMIFS(DATA_GOC!$H:$H,DATA_GOC!$A:$A,"BOM",DATA_GOC!$D:$D,$H1748,DATA_GOC!$E:$E,$C1748,DATA_GOC!$F:$F,"Xuất nội bộ từ téc",DATA_GOC!$B:$B,"&gt;="&amp;$D1748,DATA_GOC!$B:$B,"&lt;="&amp;$E1748))</f>
        <v/>
      </c>
      <c r="J1748" s="59">
        <f t="shared" si="28"/>
        <v>0</v>
      </c>
      <c r="K1748" s="59">
        <f t="shared" si="29"/>
        <v>0</v>
      </c>
      <c r="L1748" s="59">
        <f t="shared" si="30"/>
        <v>0</v>
      </c>
      <c r="M1748" s="59">
        <f t="shared" si="31"/>
        <v>0</v>
      </c>
    </row>
    <row r="1749" ht="15.0" hidden="1" customHeight="1">
      <c r="A1749" s="59">
        <f t="shared" si="20"/>
        <v>26</v>
      </c>
      <c r="B1749" s="59" t="str">
        <f t="shared" si="21"/>
        <v/>
      </c>
      <c r="C1749" s="59" t="str">
        <f t="shared" si="22"/>
        <v/>
      </c>
      <c r="D1749" s="45" t="str">
        <f t="shared" si="23"/>
        <v/>
      </c>
      <c r="E1749" s="45" t="str">
        <f t="shared" si="24"/>
        <v/>
      </c>
      <c r="F1749" s="59" t="str">
        <f t="shared" si="25"/>
        <v/>
      </c>
      <c r="G1749" s="59" t="str">
        <f t="shared" si="26"/>
        <v/>
      </c>
      <c r="H1749" s="59" t="str">
        <f t="shared" si="27"/>
        <v>28C03261</v>
      </c>
      <c r="I1749" s="59" t="str">
        <f>IF(OR($A1749="",$C1749="",$D1749="",$E1749="",$H1749=""),"",SUMIFS(DATA_GOC!$H:$H,DATA_GOC!$A:$A,"BOM",DATA_GOC!$D:$D,$H1749,DATA_GOC!$E:$E,$C1749,DATA_GOC!$F:$F,"Xuất nội bộ từ téc",DATA_GOC!$B:$B,"&gt;="&amp;$D1749,DATA_GOC!$B:$B,"&lt;="&amp;$E1749))</f>
        <v/>
      </c>
      <c r="J1749" s="59">
        <f t="shared" si="28"/>
        <v>0</v>
      </c>
      <c r="K1749" s="59">
        <f t="shared" si="29"/>
        <v>0</v>
      </c>
      <c r="L1749" s="59">
        <f t="shared" si="30"/>
        <v>0</v>
      </c>
      <c r="M1749" s="59">
        <f t="shared" si="31"/>
        <v>0</v>
      </c>
    </row>
    <row r="1750" ht="15.0" hidden="1" customHeight="1">
      <c r="A1750" s="59">
        <f t="shared" si="20"/>
        <v>26</v>
      </c>
      <c r="B1750" s="59" t="str">
        <f t="shared" si="21"/>
        <v/>
      </c>
      <c r="C1750" s="59" t="str">
        <f t="shared" si="22"/>
        <v/>
      </c>
      <c r="D1750" s="45" t="str">
        <f t="shared" si="23"/>
        <v/>
      </c>
      <c r="E1750" s="45" t="str">
        <f t="shared" si="24"/>
        <v/>
      </c>
      <c r="F1750" s="59" t="str">
        <f t="shared" si="25"/>
        <v/>
      </c>
      <c r="G1750" s="59" t="str">
        <f t="shared" si="26"/>
        <v/>
      </c>
      <c r="H1750" s="59" t="str">
        <f t="shared" si="27"/>
        <v>28C03323</v>
      </c>
      <c r="I1750" s="59" t="str">
        <f>IF(OR($A1750="",$C1750="",$D1750="",$E1750="",$H1750=""),"",SUMIFS(DATA_GOC!$H:$H,DATA_GOC!$A:$A,"BOM",DATA_GOC!$D:$D,$H1750,DATA_GOC!$E:$E,$C1750,DATA_GOC!$F:$F,"Xuất nội bộ từ téc",DATA_GOC!$B:$B,"&gt;="&amp;$D1750,DATA_GOC!$B:$B,"&lt;="&amp;$E1750))</f>
        <v/>
      </c>
      <c r="J1750" s="59">
        <f t="shared" si="28"/>
        <v>0</v>
      </c>
      <c r="K1750" s="59">
        <f t="shared" si="29"/>
        <v>0</v>
      </c>
      <c r="L1750" s="59">
        <f t="shared" si="30"/>
        <v>0</v>
      </c>
      <c r="M1750" s="59">
        <f t="shared" si="31"/>
        <v>0</v>
      </c>
    </row>
    <row r="1751" ht="15.0" hidden="1" customHeight="1">
      <c r="A1751" s="59">
        <f t="shared" si="20"/>
        <v>26</v>
      </c>
      <c r="B1751" s="59" t="str">
        <f t="shared" si="21"/>
        <v/>
      </c>
      <c r="C1751" s="59" t="str">
        <f t="shared" si="22"/>
        <v/>
      </c>
      <c r="D1751" s="45" t="str">
        <f t="shared" si="23"/>
        <v/>
      </c>
      <c r="E1751" s="45" t="str">
        <f t="shared" si="24"/>
        <v/>
      </c>
      <c r="F1751" s="59" t="str">
        <f t="shared" si="25"/>
        <v/>
      </c>
      <c r="G1751" s="59" t="str">
        <f t="shared" si="26"/>
        <v/>
      </c>
      <c r="H1751" s="59" t="str">
        <f t="shared" si="27"/>
        <v>28C03385</v>
      </c>
      <c r="I1751" s="59" t="str">
        <f>IF(OR($A1751="",$C1751="",$D1751="",$E1751="",$H1751=""),"",SUMIFS(DATA_GOC!$H:$H,DATA_GOC!$A:$A,"BOM",DATA_GOC!$D:$D,$H1751,DATA_GOC!$E:$E,$C1751,DATA_GOC!$F:$F,"Xuất nội bộ từ téc",DATA_GOC!$B:$B,"&gt;="&amp;$D1751,DATA_GOC!$B:$B,"&lt;="&amp;$E1751))</f>
        <v/>
      </c>
      <c r="J1751" s="59">
        <f t="shared" si="28"/>
        <v>0</v>
      </c>
      <c r="K1751" s="59">
        <f t="shared" si="29"/>
        <v>0</v>
      </c>
      <c r="L1751" s="59">
        <f t="shared" si="30"/>
        <v>0</v>
      </c>
      <c r="M1751" s="59">
        <f t="shared" si="31"/>
        <v>0</v>
      </c>
    </row>
    <row r="1752" ht="15.0" hidden="1" customHeight="1">
      <c r="A1752" s="59">
        <f t="shared" si="20"/>
        <v>26</v>
      </c>
      <c r="B1752" s="59" t="str">
        <f t="shared" si="21"/>
        <v/>
      </c>
      <c r="C1752" s="59" t="str">
        <f t="shared" si="22"/>
        <v/>
      </c>
      <c r="D1752" s="45" t="str">
        <f t="shared" si="23"/>
        <v/>
      </c>
      <c r="E1752" s="45" t="str">
        <f t="shared" si="24"/>
        <v/>
      </c>
      <c r="F1752" s="59" t="str">
        <f t="shared" si="25"/>
        <v/>
      </c>
      <c r="G1752" s="59" t="str">
        <f t="shared" si="26"/>
        <v/>
      </c>
      <c r="H1752" s="59" t="str">
        <f t="shared" si="27"/>
        <v>28C03652</v>
      </c>
      <c r="I1752" s="59" t="str">
        <f>IF(OR($A1752="",$C1752="",$D1752="",$E1752="",$H1752=""),"",SUMIFS(DATA_GOC!$H:$H,DATA_GOC!$A:$A,"BOM",DATA_GOC!$D:$D,$H1752,DATA_GOC!$E:$E,$C1752,DATA_GOC!$F:$F,"Xuất nội bộ từ téc",DATA_GOC!$B:$B,"&gt;="&amp;$D1752,DATA_GOC!$B:$B,"&lt;="&amp;$E1752))</f>
        <v/>
      </c>
      <c r="J1752" s="59">
        <f t="shared" si="28"/>
        <v>0</v>
      </c>
      <c r="K1752" s="59">
        <f t="shared" si="29"/>
        <v>0</v>
      </c>
      <c r="L1752" s="59">
        <f t="shared" si="30"/>
        <v>0</v>
      </c>
      <c r="M1752" s="59">
        <f t="shared" si="31"/>
        <v>0</v>
      </c>
    </row>
    <row r="1753" ht="15.0" hidden="1" customHeight="1">
      <c r="A1753" s="59">
        <f t="shared" si="20"/>
        <v>26</v>
      </c>
      <c r="B1753" s="59" t="str">
        <f t="shared" si="21"/>
        <v/>
      </c>
      <c r="C1753" s="59" t="str">
        <f t="shared" si="22"/>
        <v/>
      </c>
      <c r="D1753" s="45" t="str">
        <f t="shared" si="23"/>
        <v/>
      </c>
      <c r="E1753" s="45" t="str">
        <f t="shared" si="24"/>
        <v/>
      </c>
      <c r="F1753" s="59" t="str">
        <f t="shared" si="25"/>
        <v/>
      </c>
      <c r="G1753" s="59" t="str">
        <f t="shared" si="26"/>
        <v/>
      </c>
      <c r="H1753" s="59" t="str">
        <f t="shared" si="27"/>
        <v>28C03695</v>
      </c>
      <c r="I1753" s="59" t="str">
        <f>IF(OR($A1753="",$C1753="",$D1753="",$E1753="",$H1753=""),"",SUMIFS(DATA_GOC!$H:$H,DATA_GOC!$A:$A,"BOM",DATA_GOC!$D:$D,$H1753,DATA_GOC!$E:$E,$C1753,DATA_GOC!$F:$F,"Xuất nội bộ từ téc",DATA_GOC!$B:$B,"&gt;="&amp;$D1753,DATA_GOC!$B:$B,"&lt;="&amp;$E1753))</f>
        <v/>
      </c>
      <c r="J1753" s="59">
        <f t="shared" si="28"/>
        <v>0</v>
      </c>
      <c r="K1753" s="59">
        <f t="shared" si="29"/>
        <v>0</v>
      </c>
      <c r="L1753" s="59">
        <f t="shared" si="30"/>
        <v>0</v>
      </c>
      <c r="M1753" s="59">
        <f t="shared" si="31"/>
        <v>0</v>
      </c>
    </row>
    <row r="1754" ht="15.0" hidden="1" customHeight="1">
      <c r="A1754" s="59">
        <f t="shared" si="20"/>
        <v>26</v>
      </c>
      <c r="B1754" s="59" t="str">
        <f t="shared" si="21"/>
        <v/>
      </c>
      <c r="C1754" s="59" t="str">
        <f t="shared" si="22"/>
        <v/>
      </c>
      <c r="D1754" s="45" t="str">
        <f t="shared" si="23"/>
        <v/>
      </c>
      <c r="E1754" s="45" t="str">
        <f t="shared" si="24"/>
        <v/>
      </c>
      <c r="F1754" s="59" t="str">
        <f t="shared" si="25"/>
        <v/>
      </c>
      <c r="G1754" s="59" t="str">
        <f t="shared" si="26"/>
        <v/>
      </c>
      <c r="H1754" s="59" t="str">
        <f t="shared" si="27"/>
        <v>28C03927</v>
      </c>
      <c r="I1754" s="59" t="str">
        <f>IF(OR($A1754="",$C1754="",$D1754="",$E1754="",$H1754=""),"",SUMIFS(DATA_GOC!$H:$H,DATA_GOC!$A:$A,"BOM",DATA_GOC!$D:$D,$H1754,DATA_GOC!$E:$E,$C1754,DATA_GOC!$F:$F,"Xuất nội bộ từ téc",DATA_GOC!$B:$B,"&gt;="&amp;$D1754,DATA_GOC!$B:$B,"&lt;="&amp;$E1754))</f>
        <v/>
      </c>
      <c r="J1754" s="59">
        <f t="shared" si="28"/>
        <v>0</v>
      </c>
      <c r="K1754" s="59">
        <f t="shared" si="29"/>
        <v>0</v>
      </c>
      <c r="L1754" s="59">
        <f t="shared" si="30"/>
        <v>0</v>
      </c>
      <c r="M1754" s="59">
        <f t="shared" si="31"/>
        <v>0</v>
      </c>
    </row>
    <row r="1755" ht="15.0" hidden="1" customHeight="1">
      <c r="A1755" s="59">
        <f t="shared" si="20"/>
        <v>26</v>
      </c>
      <c r="B1755" s="59" t="str">
        <f t="shared" si="21"/>
        <v/>
      </c>
      <c r="C1755" s="59" t="str">
        <f t="shared" si="22"/>
        <v/>
      </c>
      <c r="D1755" s="45" t="str">
        <f t="shared" si="23"/>
        <v/>
      </c>
      <c r="E1755" s="45" t="str">
        <f t="shared" si="24"/>
        <v/>
      </c>
      <c r="F1755" s="59" t="str">
        <f t="shared" si="25"/>
        <v/>
      </c>
      <c r="G1755" s="59" t="str">
        <f t="shared" si="26"/>
        <v/>
      </c>
      <c r="H1755" s="59" t="str">
        <f t="shared" si="27"/>
        <v>28C04509</v>
      </c>
      <c r="I1755" s="59" t="str">
        <f>IF(OR($A1755="",$C1755="",$D1755="",$E1755="",$H1755=""),"",SUMIFS(DATA_GOC!$H:$H,DATA_GOC!$A:$A,"BOM",DATA_GOC!$D:$D,$H1755,DATA_GOC!$E:$E,$C1755,DATA_GOC!$F:$F,"Xuất nội bộ từ téc",DATA_GOC!$B:$B,"&gt;="&amp;$D1755,DATA_GOC!$B:$B,"&lt;="&amp;$E1755))</f>
        <v/>
      </c>
      <c r="J1755" s="59">
        <f t="shared" si="28"/>
        <v>0</v>
      </c>
      <c r="K1755" s="59">
        <f t="shared" si="29"/>
        <v>0</v>
      </c>
      <c r="L1755" s="59">
        <f t="shared" si="30"/>
        <v>0</v>
      </c>
      <c r="M1755" s="59">
        <f t="shared" si="31"/>
        <v>0</v>
      </c>
    </row>
    <row r="1756" ht="15.0" hidden="1" customHeight="1">
      <c r="A1756" s="59">
        <f t="shared" si="20"/>
        <v>26</v>
      </c>
      <c r="B1756" s="59" t="str">
        <f t="shared" si="21"/>
        <v/>
      </c>
      <c r="C1756" s="59" t="str">
        <f t="shared" si="22"/>
        <v/>
      </c>
      <c r="D1756" s="45" t="str">
        <f t="shared" si="23"/>
        <v/>
      </c>
      <c r="E1756" s="45" t="str">
        <f t="shared" si="24"/>
        <v/>
      </c>
      <c r="F1756" s="59" t="str">
        <f t="shared" si="25"/>
        <v/>
      </c>
      <c r="G1756" s="59" t="str">
        <f t="shared" si="26"/>
        <v/>
      </c>
      <c r="H1756" s="59" t="str">
        <f t="shared" si="27"/>
        <v>28C04536</v>
      </c>
      <c r="I1756" s="59" t="str">
        <f>IF(OR($A1756="",$C1756="",$D1756="",$E1756="",$H1756=""),"",SUMIFS(DATA_GOC!$H:$H,DATA_GOC!$A:$A,"BOM",DATA_GOC!$D:$D,$H1756,DATA_GOC!$E:$E,$C1756,DATA_GOC!$F:$F,"Xuất nội bộ từ téc",DATA_GOC!$B:$B,"&gt;="&amp;$D1756,DATA_GOC!$B:$B,"&lt;="&amp;$E1756))</f>
        <v/>
      </c>
      <c r="J1756" s="59">
        <f t="shared" si="28"/>
        <v>0</v>
      </c>
      <c r="K1756" s="59">
        <f t="shared" si="29"/>
        <v>0</v>
      </c>
      <c r="L1756" s="59">
        <f t="shared" si="30"/>
        <v>0</v>
      </c>
      <c r="M1756" s="59">
        <f t="shared" si="31"/>
        <v>0</v>
      </c>
    </row>
    <row r="1757" ht="15.0" hidden="1" customHeight="1">
      <c r="A1757" s="59">
        <f t="shared" si="20"/>
        <v>26</v>
      </c>
      <c r="B1757" s="59" t="str">
        <f t="shared" si="21"/>
        <v/>
      </c>
      <c r="C1757" s="59" t="str">
        <f t="shared" si="22"/>
        <v/>
      </c>
      <c r="D1757" s="45" t="str">
        <f t="shared" si="23"/>
        <v/>
      </c>
      <c r="E1757" s="45" t="str">
        <f t="shared" si="24"/>
        <v/>
      </c>
      <c r="F1757" s="59" t="str">
        <f t="shared" si="25"/>
        <v/>
      </c>
      <c r="G1757" s="59" t="str">
        <f t="shared" si="26"/>
        <v/>
      </c>
      <c r="H1757" s="59" t="str">
        <f t="shared" si="27"/>
        <v>28C04576</v>
      </c>
      <c r="I1757" s="59" t="str">
        <f>IF(OR($A1757="",$C1757="",$D1757="",$E1757="",$H1757=""),"",SUMIFS(DATA_GOC!$H:$H,DATA_GOC!$A:$A,"BOM",DATA_GOC!$D:$D,$H1757,DATA_GOC!$E:$E,$C1757,DATA_GOC!$F:$F,"Xuất nội bộ từ téc",DATA_GOC!$B:$B,"&gt;="&amp;$D1757,DATA_GOC!$B:$B,"&lt;="&amp;$E1757))</f>
        <v/>
      </c>
      <c r="J1757" s="59">
        <f t="shared" si="28"/>
        <v>0</v>
      </c>
      <c r="K1757" s="59">
        <f t="shared" si="29"/>
        <v>0</v>
      </c>
      <c r="L1757" s="59">
        <f t="shared" si="30"/>
        <v>0</v>
      </c>
      <c r="M1757" s="59">
        <f t="shared" si="31"/>
        <v>0</v>
      </c>
    </row>
    <row r="1758" ht="15.0" hidden="1" customHeight="1">
      <c r="A1758" s="59">
        <f t="shared" si="20"/>
        <v>26</v>
      </c>
      <c r="B1758" s="59" t="str">
        <f t="shared" si="21"/>
        <v/>
      </c>
      <c r="C1758" s="59" t="str">
        <f t="shared" si="22"/>
        <v/>
      </c>
      <c r="D1758" s="45" t="str">
        <f t="shared" si="23"/>
        <v/>
      </c>
      <c r="E1758" s="45" t="str">
        <f t="shared" si="24"/>
        <v/>
      </c>
      <c r="F1758" s="59" t="str">
        <f t="shared" si="25"/>
        <v/>
      </c>
      <c r="G1758" s="59" t="str">
        <f t="shared" si="26"/>
        <v/>
      </c>
      <c r="H1758" s="59" t="str">
        <f t="shared" si="27"/>
        <v>28C05090</v>
      </c>
      <c r="I1758" s="59" t="str">
        <f>IF(OR($A1758="",$C1758="",$D1758="",$E1758="",$H1758=""),"",SUMIFS(DATA_GOC!$H:$H,DATA_GOC!$A:$A,"BOM",DATA_GOC!$D:$D,$H1758,DATA_GOC!$E:$E,$C1758,DATA_GOC!$F:$F,"Xuất nội bộ từ téc",DATA_GOC!$B:$B,"&gt;="&amp;$D1758,DATA_GOC!$B:$B,"&lt;="&amp;$E1758))</f>
        <v/>
      </c>
      <c r="J1758" s="59">
        <f t="shared" si="28"/>
        <v>0</v>
      </c>
      <c r="K1758" s="59">
        <f t="shared" si="29"/>
        <v>0</v>
      </c>
      <c r="L1758" s="59">
        <f t="shared" si="30"/>
        <v>0</v>
      </c>
      <c r="M1758" s="59">
        <f t="shared" si="31"/>
        <v>0</v>
      </c>
    </row>
    <row r="1759" ht="15.0" hidden="1" customHeight="1">
      <c r="A1759" s="59">
        <f t="shared" si="20"/>
        <v>26</v>
      </c>
      <c r="B1759" s="59" t="str">
        <f t="shared" si="21"/>
        <v/>
      </c>
      <c r="C1759" s="59" t="str">
        <f t="shared" si="22"/>
        <v/>
      </c>
      <c r="D1759" s="45" t="str">
        <f t="shared" si="23"/>
        <v/>
      </c>
      <c r="E1759" s="45" t="str">
        <f t="shared" si="24"/>
        <v/>
      </c>
      <c r="F1759" s="59" t="str">
        <f t="shared" si="25"/>
        <v/>
      </c>
      <c r="G1759" s="59" t="str">
        <f t="shared" si="26"/>
        <v/>
      </c>
      <c r="H1759" s="59" t="str">
        <f t="shared" si="27"/>
        <v>28C05345</v>
      </c>
      <c r="I1759" s="59" t="str">
        <f>IF(OR($A1759="",$C1759="",$D1759="",$E1759="",$H1759=""),"",SUMIFS(DATA_GOC!$H:$H,DATA_GOC!$A:$A,"BOM",DATA_GOC!$D:$D,$H1759,DATA_GOC!$E:$E,$C1759,DATA_GOC!$F:$F,"Xuất nội bộ từ téc",DATA_GOC!$B:$B,"&gt;="&amp;$D1759,DATA_GOC!$B:$B,"&lt;="&amp;$E1759))</f>
        <v/>
      </c>
      <c r="J1759" s="59">
        <f t="shared" si="28"/>
        <v>0</v>
      </c>
      <c r="K1759" s="59">
        <f t="shared" si="29"/>
        <v>0</v>
      </c>
      <c r="L1759" s="59">
        <f t="shared" si="30"/>
        <v>0</v>
      </c>
      <c r="M1759" s="59">
        <f t="shared" si="31"/>
        <v>0</v>
      </c>
    </row>
    <row r="1760" ht="15.0" hidden="1" customHeight="1">
      <c r="A1760" s="59">
        <f t="shared" si="20"/>
        <v>26</v>
      </c>
      <c r="B1760" s="59" t="str">
        <f t="shared" si="21"/>
        <v/>
      </c>
      <c r="C1760" s="59" t="str">
        <f t="shared" si="22"/>
        <v/>
      </c>
      <c r="D1760" s="45" t="str">
        <f t="shared" si="23"/>
        <v/>
      </c>
      <c r="E1760" s="45" t="str">
        <f t="shared" si="24"/>
        <v/>
      </c>
      <c r="F1760" s="59" t="str">
        <f t="shared" si="25"/>
        <v/>
      </c>
      <c r="G1760" s="59" t="str">
        <f t="shared" si="26"/>
        <v/>
      </c>
      <c r="H1760" s="59" t="str">
        <f t="shared" si="27"/>
        <v>28C05661</v>
      </c>
      <c r="I1760" s="59" t="str">
        <f>IF(OR($A1760="",$C1760="",$D1760="",$E1760="",$H1760=""),"",SUMIFS(DATA_GOC!$H:$H,DATA_GOC!$A:$A,"BOM",DATA_GOC!$D:$D,$H1760,DATA_GOC!$E:$E,$C1760,DATA_GOC!$F:$F,"Xuất nội bộ từ téc",DATA_GOC!$B:$B,"&gt;="&amp;$D1760,DATA_GOC!$B:$B,"&lt;="&amp;$E1760))</f>
        <v/>
      </c>
      <c r="J1760" s="59">
        <f t="shared" si="28"/>
        <v>0</v>
      </c>
      <c r="K1760" s="59">
        <f t="shared" si="29"/>
        <v>0</v>
      </c>
      <c r="L1760" s="59">
        <f t="shared" si="30"/>
        <v>0</v>
      </c>
      <c r="M1760" s="59">
        <f t="shared" si="31"/>
        <v>0</v>
      </c>
    </row>
    <row r="1761" ht="15.0" hidden="1" customHeight="1">
      <c r="A1761" s="59">
        <f t="shared" si="20"/>
        <v>26</v>
      </c>
      <c r="B1761" s="59" t="str">
        <f t="shared" si="21"/>
        <v/>
      </c>
      <c r="C1761" s="59" t="str">
        <f t="shared" si="22"/>
        <v/>
      </c>
      <c r="D1761" s="45" t="str">
        <f t="shared" si="23"/>
        <v/>
      </c>
      <c r="E1761" s="45" t="str">
        <f t="shared" si="24"/>
        <v/>
      </c>
      <c r="F1761" s="59" t="str">
        <f t="shared" si="25"/>
        <v/>
      </c>
      <c r="G1761" s="59" t="str">
        <f t="shared" si="26"/>
        <v/>
      </c>
      <c r="H1761" s="59" t="str">
        <f t="shared" si="27"/>
        <v>28C05739</v>
      </c>
      <c r="I1761" s="59" t="str">
        <f>IF(OR($A1761="",$C1761="",$D1761="",$E1761="",$H1761=""),"",SUMIFS(DATA_GOC!$H:$H,DATA_GOC!$A:$A,"BOM",DATA_GOC!$D:$D,$H1761,DATA_GOC!$E:$E,$C1761,DATA_GOC!$F:$F,"Xuất nội bộ từ téc",DATA_GOC!$B:$B,"&gt;="&amp;$D1761,DATA_GOC!$B:$B,"&lt;="&amp;$E1761))</f>
        <v/>
      </c>
      <c r="J1761" s="59">
        <f t="shared" si="28"/>
        <v>0</v>
      </c>
      <c r="K1761" s="59">
        <f t="shared" si="29"/>
        <v>0</v>
      </c>
      <c r="L1761" s="59">
        <f t="shared" si="30"/>
        <v>0</v>
      </c>
      <c r="M1761" s="59">
        <f t="shared" si="31"/>
        <v>0</v>
      </c>
    </row>
    <row r="1762" ht="15.0" hidden="1" customHeight="1">
      <c r="A1762" s="59">
        <f t="shared" si="20"/>
        <v>26</v>
      </c>
      <c r="B1762" s="59" t="str">
        <f t="shared" si="21"/>
        <v/>
      </c>
      <c r="C1762" s="59" t="str">
        <f t="shared" si="22"/>
        <v/>
      </c>
      <c r="D1762" s="45" t="str">
        <f t="shared" si="23"/>
        <v/>
      </c>
      <c r="E1762" s="45" t="str">
        <f t="shared" si="24"/>
        <v/>
      </c>
      <c r="F1762" s="59" t="str">
        <f t="shared" si="25"/>
        <v/>
      </c>
      <c r="G1762" s="59" t="str">
        <f t="shared" si="26"/>
        <v/>
      </c>
      <c r="H1762" s="59" t="str">
        <f t="shared" si="27"/>
        <v>28C06369</v>
      </c>
      <c r="I1762" s="59" t="str">
        <f>IF(OR($A1762="",$C1762="",$D1762="",$E1762="",$H1762=""),"",SUMIFS(DATA_GOC!$H:$H,DATA_GOC!$A:$A,"BOM",DATA_GOC!$D:$D,$H1762,DATA_GOC!$E:$E,$C1762,DATA_GOC!$F:$F,"Xuất nội bộ từ téc",DATA_GOC!$B:$B,"&gt;="&amp;$D1762,DATA_GOC!$B:$B,"&lt;="&amp;$E1762))</f>
        <v/>
      </c>
      <c r="J1762" s="59">
        <f t="shared" si="28"/>
        <v>0</v>
      </c>
      <c r="K1762" s="59">
        <f t="shared" si="29"/>
        <v>0</v>
      </c>
      <c r="L1762" s="59">
        <f t="shared" si="30"/>
        <v>0</v>
      </c>
      <c r="M1762" s="59">
        <f t="shared" si="31"/>
        <v>0</v>
      </c>
    </row>
    <row r="1763" ht="15.0" hidden="1" customHeight="1">
      <c r="A1763" s="59">
        <f t="shared" si="20"/>
        <v>26</v>
      </c>
      <c r="B1763" s="59" t="str">
        <f t="shared" si="21"/>
        <v/>
      </c>
      <c r="C1763" s="59" t="str">
        <f t="shared" si="22"/>
        <v/>
      </c>
      <c r="D1763" s="45" t="str">
        <f t="shared" si="23"/>
        <v/>
      </c>
      <c r="E1763" s="45" t="str">
        <f t="shared" si="24"/>
        <v/>
      </c>
      <c r="F1763" s="59" t="str">
        <f t="shared" si="25"/>
        <v/>
      </c>
      <c r="G1763" s="59" t="str">
        <f t="shared" si="26"/>
        <v/>
      </c>
      <c r="H1763" s="59" t="str">
        <f t="shared" si="27"/>
        <v>28C06447</v>
      </c>
      <c r="I1763" s="59" t="str">
        <f>IF(OR($A1763="",$C1763="",$D1763="",$E1763="",$H1763=""),"",SUMIFS(DATA_GOC!$H:$H,DATA_GOC!$A:$A,"BOM",DATA_GOC!$D:$D,$H1763,DATA_GOC!$E:$E,$C1763,DATA_GOC!$F:$F,"Xuất nội bộ từ téc",DATA_GOC!$B:$B,"&gt;="&amp;$D1763,DATA_GOC!$B:$B,"&lt;="&amp;$E1763))</f>
        <v/>
      </c>
      <c r="J1763" s="59">
        <f t="shared" si="28"/>
        <v>0</v>
      </c>
      <c r="K1763" s="59">
        <f t="shared" si="29"/>
        <v>0</v>
      </c>
      <c r="L1763" s="59">
        <f t="shared" si="30"/>
        <v>0</v>
      </c>
      <c r="M1763" s="59">
        <f t="shared" si="31"/>
        <v>0</v>
      </c>
    </row>
    <row r="1764" ht="15.0" hidden="1" customHeight="1">
      <c r="A1764" s="59">
        <f t="shared" si="20"/>
        <v>26</v>
      </c>
      <c r="B1764" s="59" t="str">
        <f t="shared" si="21"/>
        <v/>
      </c>
      <c r="C1764" s="59" t="str">
        <f t="shared" si="22"/>
        <v/>
      </c>
      <c r="D1764" s="45" t="str">
        <f t="shared" si="23"/>
        <v/>
      </c>
      <c r="E1764" s="45" t="str">
        <f t="shared" si="24"/>
        <v/>
      </c>
      <c r="F1764" s="59" t="str">
        <f t="shared" si="25"/>
        <v/>
      </c>
      <c r="G1764" s="59" t="str">
        <f t="shared" si="26"/>
        <v/>
      </c>
      <c r="H1764" s="59" t="str">
        <f t="shared" si="27"/>
        <v>28H00003</v>
      </c>
      <c r="I1764" s="59" t="str">
        <f>IF(OR($A1764="",$C1764="",$D1764="",$E1764="",$H1764=""),"",SUMIFS(DATA_GOC!$H:$H,DATA_GOC!$A:$A,"BOM",DATA_GOC!$D:$D,$H1764,DATA_GOC!$E:$E,$C1764,DATA_GOC!$F:$F,"Xuất nội bộ từ téc",DATA_GOC!$B:$B,"&gt;="&amp;$D1764,DATA_GOC!$B:$B,"&lt;="&amp;$E1764))</f>
        <v/>
      </c>
      <c r="J1764" s="59">
        <f t="shared" si="28"/>
        <v>0</v>
      </c>
      <c r="K1764" s="59">
        <f t="shared" si="29"/>
        <v>0</v>
      </c>
      <c r="L1764" s="59">
        <f t="shared" si="30"/>
        <v>0</v>
      </c>
      <c r="M1764" s="59">
        <f t="shared" si="31"/>
        <v>0</v>
      </c>
    </row>
    <row r="1765" ht="15.0" hidden="1" customHeight="1">
      <c r="A1765" s="59">
        <f t="shared" si="20"/>
        <v>26</v>
      </c>
      <c r="B1765" s="59" t="str">
        <f t="shared" si="21"/>
        <v/>
      </c>
      <c r="C1765" s="59" t="str">
        <f t="shared" si="22"/>
        <v/>
      </c>
      <c r="D1765" s="45" t="str">
        <f t="shared" si="23"/>
        <v/>
      </c>
      <c r="E1765" s="45" t="str">
        <f t="shared" si="24"/>
        <v/>
      </c>
      <c r="F1765" s="59" t="str">
        <f t="shared" si="25"/>
        <v/>
      </c>
      <c r="G1765" s="59" t="str">
        <f t="shared" si="26"/>
        <v/>
      </c>
      <c r="H1765" s="59" t="str">
        <f t="shared" si="27"/>
        <v>28H00061</v>
      </c>
      <c r="I1765" s="59" t="str">
        <f>IF(OR($A1765="",$C1765="",$D1765="",$E1765="",$H1765=""),"",SUMIFS(DATA_GOC!$H:$H,DATA_GOC!$A:$A,"BOM",DATA_GOC!$D:$D,$H1765,DATA_GOC!$E:$E,$C1765,DATA_GOC!$F:$F,"Xuất nội bộ từ téc",DATA_GOC!$B:$B,"&gt;="&amp;$D1765,DATA_GOC!$B:$B,"&lt;="&amp;$E1765))</f>
        <v/>
      </c>
      <c r="J1765" s="59">
        <f t="shared" si="28"/>
        <v>0</v>
      </c>
      <c r="K1765" s="59">
        <f t="shared" si="29"/>
        <v>0</v>
      </c>
      <c r="L1765" s="59">
        <f t="shared" si="30"/>
        <v>0</v>
      </c>
      <c r="M1765" s="59">
        <f t="shared" si="31"/>
        <v>0</v>
      </c>
    </row>
    <row r="1766" ht="15.0" hidden="1" customHeight="1">
      <c r="A1766" s="59">
        <f t="shared" si="20"/>
        <v>26</v>
      </c>
      <c r="B1766" s="59" t="str">
        <f t="shared" si="21"/>
        <v/>
      </c>
      <c r="C1766" s="59" t="str">
        <f t="shared" si="22"/>
        <v/>
      </c>
      <c r="D1766" s="45" t="str">
        <f t="shared" si="23"/>
        <v/>
      </c>
      <c r="E1766" s="45" t="str">
        <f t="shared" si="24"/>
        <v/>
      </c>
      <c r="F1766" s="59" t="str">
        <f t="shared" si="25"/>
        <v/>
      </c>
      <c r="G1766" s="59" t="str">
        <f t="shared" si="26"/>
        <v/>
      </c>
      <c r="H1766" s="59" t="str">
        <f t="shared" si="27"/>
        <v>28H00354</v>
      </c>
      <c r="I1766" s="59" t="str">
        <f>IF(OR($A1766="",$C1766="",$D1766="",$E1766="",$H1766=""),"",SUMIFS(DATA_GOC!$H:$H,DATA_GOC!$A:$A,"BOM",DATA_GOC!$D:$D,$H1766,DATA_GOC!$E:$E,$C1766,DATA_GOC!$F:$F,"Xuất nội bộ từ téc",DATA_GOC!$B:$B,"&gt;="&amp;$D1766,DATA_GOC!$B:$B,"&lt;="&amp;$E1766))</f>
        <v/>
      </c>
      <c r="J1766" s="59">
        <f t="shared" si="28"/>
        <v>0</v>
      </c>
      <c r="K1766" s="59">
        <f t="shared" si="29"/>
        <v>0</v>
      </c>
      <c r="L1766" s="59">
        <f t="shared" si="30"/>
        <v>0</v>
      </c>
      <c r="M1766" s="59">
        <f t="shared" si="31"/>
        <v>0</v>
      </c>
    </row>
    <row r="1767" ht="15.0" hidden="1" customHeight="1">
      <c r="A1767" s="59">
        <f t="shared" si="20"/>
        <v>26</v>
      </c>
      <c r="B1767" s="59" t="str">
        <f t="shared" si="21"/>
        <v/>
      </c>
      <c r="C1767" s="59" t="str">
        <f t="shared" si="22"/>
        <v/>
      </c>
      <c r="D1767" s="45" t="str">
        <f t="shared" si="23"/>
        <v/>
      </c>
      <c r="E1767" s="45" t="str">
        <f t="shared" si="24"/>
        <v/>
      </c>
      <c r="F1767" s="59" t="str">
        <f t="shared" si="25"/>
        <v/>
      </c>
      <c r="G1767" s="59" t="str">
        <f t="shared" si="26"/>
        <v/>
      </c>
      <c r="H1767" s="59" t="str">
        <f t="shared" si="27"/>
        <v>28H00603</v>
      </c>
      <c r="I1767" s="59" t="str">
        <f>IF(OR($A1767="",$C1767="",$D1767="",$E1767="",$H1767=""),"",SUMIFS(DATA_GOC!$H:$H,DATA_GOC!$A:$A,"BOM",DATA_GOC!$D:$D,$H1767,DATA_GOC!$E:$E,$C1767,DATA_GOC!$F:$F,"Xuất nội bộ từ téc",DATA_GOC!$B:$B,"&gt;="&amp;$D1767,DATA_GOC!$B:$B,"&lt;="&amp;$E1767))</f>
        <v/>
      </c>
      <c r="J1767" s="59">
        <f t="shared" si="28"/>
        <v>0</v>
      </c>
      <c r="K1767" s="59">
        <f t="shared" si="29"/>
        <v>0</v>
      </c>
      <c r="L1767" s="59">
        <f t="shared" si="30"/>
        <v>0</v>
      </c>
      <c r="M1767" s="59">
        <f t="shared" si="31"/>
        <v>0</v>
      </c>
    </row>
    <row r="1768" ht="15.0" hidden="1" customHeight="1">
      <c r="A1768" s="59">
        <f t="shared" si="20"/>
        <v>26</v>
      </c>
      <c r="B1768" s="59" t="str">
        <f t="shared" si="21"/>
        <v/>
      </c>
      <c r="C1768" s="59" t="str">
        <f t="shared" si="22"/>
        <v/>
      </c>
      <c r="D1768" s="45" t="str">
        <f t="shared" si="23"/>
        <v/>
      </c>
      <c r="E1768" s="45" t="str">
        <f t="shared" si="24"/>
        <v/>
      </c>
      <c r="F1768" s="59" t="str">
        <f t="shared" si="25"/>
        <v/>
      </c>
      <c r="G1768" s="59" t="str">
        <f t="shared" si="26"/>
        <v/>
      </c>
      <c r="H1768" s="59" t="str">
        <f t="shared" si="27"/>
        <v>28H00609</v>
      </c>
      <c r="I1768" s="59" t="str">
        <f>IF(OR($A1768="",$C1768="",$D1768="",$E1768="",$H1768=""),"",SUMIFS(DATA_GOC!$H:$H,DATA_GOC!$A:$A,"BOM",DATA_GOC!$D:$D,$H1768,DATA_GOC!$E:$E,$C1768,DATA_GOC!$F:$F,"Xuất nội bộ từ téc",DATA_GOC!$B:$B,"&gt;="&amp;$D1768,DATA_GOC!$B:$B,"&lt;="&amp;$E1768))</f>
        <v/>
      </c>
      <c r="J1768" s="59">
        <f t="shared" si="28"/>
        <v>0</v>
      </c>
      <c r="K1768" s="59">
        <f t="shared" si="29"/>
        <v>0</v>
      </c>
      <c r="L1768" s="59">
        <f t="shared" si="30"/>
        <v>0</v>
      </c>
      <c r="M1768" s="59">
        <f t="shared" si="31"/>
        <v>0</v>
      </c>
    </row>
    <row r="1769" ht="15.0" hidden="1" customHeight="1">
      <c r="A1769" s="59">
        <f t="shared" si="20"/>
        <v>26</v>
      </c>
      <c r="B1769" s="59" t="str">
        <f t="shared" si="21"/>
        <v/>
      </c>
      <c r="C1769" s="59" t="str">
        <f t="shared" si="22"/>
        <v/>
      </c>
      <c r="D1769" s="45" t="str">
        <f t="shared" si="23"/>
        <v/>
      </c>
      <c r="E1769" s="45" t="str">
        <f t="shared" si="24"/>
        <v/>
      </c>
      <c r="F1769" s="59" t="str">
        <f t="shared" si="25"/>
        <v/>
      </c>
      <c r="G1769" s="59" t="str">
        <f t="shared" si="26"/>
        <v/>
      </c>
      <c r="H1769" s="59" t="str">
        <f t="shared" si="27"/>
        <v>28H00669</v>
      </c>
      <c r="I1769" s="59" t="str">
        <f>IF(OR($A1769="",$C1769="",$D1769="",$E1769="",$H1769=""),"",SUMIFS(DATA_GOC!$H:$H,DATA_GOC!$A:$A,"BOM",DATA_GOC!$D:$D,$H1769,DATA_GOC!$E:$E,$C1769,DATA_GOC!$F:$F,"Xuất nội bộ từ téc",DATA_GOC!$B:$B,"&gt;="&amp;$D1769,DATA_GOC!$B:$B,"&lt;="&amp;$E1769))</f>
        <v/>
      </c>
      <c r="J1769" s="59">
        <f t="shared" si="28"/>
        <v>0</v>
      </c>
      <c r="K1769" s="59">
        <f t="shared" si="29"/>
        <v>0</v>
      </c>
      <c r="L1769" s="59">
        <f t="shared" si="30"/>
        <v>0</v>
      </c>
      <c r="M1769" s="59">
        <f t="shared" si="31"/>
        <v>0</v>
      </c>
    </row>
    <row r="1770" ht="15.0" hidden="1" customHeight="1">
      <c r="A1770" s="59">
        <f t="shared" si="20"/>
        <v>26</v>
      </c>
      <c r="B1770" s="59" t="str">
        <f t="shared" si="21"/>
        <v/>
      </c>
      <c r="C1770" s="59" t="str">
        <f t="shared" si="22"/>
        <v/>
      </c>
      <c r="D1770" s="45" t="str">
        <f t="shared" si="23"/>
        <v/>
      </c>
      <c r="E1770" s="45" t="str">
        <f t="shared" si="24"/>
        <v/>
      </c>
      <c r="F1770" s="59" t="str">
        <f t="shared" si="25"/>
        <v/>
      </c>
      <c r="G1770" s="59" t="str">
        <f t="shared" si="26"/>
        <v/>
      </c>
      <c r="H1770" s="59" t="str">
        <f t="shared" si="27"/>
        <v>28H00680</v>
      </c>
      <c r="I1770" s="59" t="str">
        <f>IF(OR($A1770="",$C1770="",$D1770="",$E1770="",$H1770=""),"",SUMIFS(DATA_GOC!$H:$H,DATA_GOC!$A:$A,"BOM",DATA_GOC!$D:$D,$H1770,DATA_GOC!$E:$E,$C1770,DATA_GOC!$F:$F,"Xuất nội bộ từ téc",DATA_GOC!$B:$B,"&gt;="&amp;$D1770,DATA_GOC!$B:$B,"&lt;="&amp;$E1770))</f>
        <v/>
      </c>
      <c r="J1770" s="59">
        <f t="shared" si="28"/>
        <v>0</v>
      </c>
      <c r="K1770" s="59">
        <f t="shared" si="29"/>
        <v>0</v>
      </c>
      <c r="L1770" s="59">
        <f t="shared" si="30"/>
        <v>0</v>
      </c>
      <c r="M1770" s="59">
        <f t="shared" si="31"/>
        <v>0</v>
      </c>
    </row>
    <row r="1771" ht="15.0" hidden="1" customHeight="1">
      <c r="A1771" s="59">
        <f t="shared" si="20"/>
        <v>26</v>
      </c>
      <c r="B1771" s="59" t="str">
        <f t="shared" si="21"/>
        <v/>
      </c>
      <c r="C1771" s="59" t="str">
        <f t="shared" si="22"/>
        <v/>
      </c>
      <c r="D1771" s="45" t="str">
        <f t="shared" si="23"/>
        <v/>
      </c>
      <c r="E1771" s="45" t="str">
        <f t="shared" si="24"/>
        <v/>
      </c>
      <c r="F1771" s="59" t="str">
        <f t="shared" si="25"/>
        <v/>
      </c>
      <c r="G1771" s="59" t="str">
        <f t="shared" si="26"/>
        <v/>
      </c>
      <c r="H1771" s="59" t="str">
        <f t="shared" si="27"/>
        <v>28H01070</v>
      </c>
      <c r="I1771" s="59" t="str">
        <f>IF(OR($A1771="",$C1771="",$D1771="",$E1771="",$H1771=""),"",SUMIFS(DATA_GOC!$H:$H,DATA_GOC!$A:$A,"BOM",DATA_GOC!$D:$D,$H1771,DATA_GOC!$E:$E,$C1771,DATA_GOC!$F:$F,"Xuất nội bộ từ téc",DATA_GOC!$B:$B,"&gt;="&amp;$D1771,DATA_GOC!$B:$B,"&lt;="&amp;$E1771))</f>
        <v/>
      </c>
      <c r="J1771" s="59">
        <f t="shared" si="28"/>
        <v>0</v>
      </c>
      <c r="K1771" s="59">
        <f t="shared" si="29"/>
        <v>0</v>
      </c>
      <c r="L1771" s="59">
        <f t="shared" si="30"/>
        <v>0</v>
      </c>
      <c r="M1771" s="59">
        <f t="shared" si="31"/>
        <v>0</v>
      </c>
    </row>
    <row r="1772" ht="15.0" hidden="1" customHeight="1">
      <c r="A1772" s="59">
        <f t="shared" si="20"/>
        <v>26</v>
      </c>
      <c r="B1772" s="59" t="str">
        <f t="shared" si="21"/>
        <v/>
      </c>
      <c r="C1772" s="59" t="str">
        <f t="shared" si="22"/>
        <v/>
      </c>
      <c r="D1772" s="45" t="str">
        <f t="shared" si="23"/>
        <v/>
      </c>
      <c r="E1772" s="45" t="str">
        <f t="shared" si="24"/>
        <v/>
      </c>
      <c r="F1772" s="59" t="str">
        <f t="shared" si="25"/>
        <v/>
      </c>
      <c r="G1772" s="59" t="str">
        <f t="shared" si="26"/>
        <v/>
      </c>
      <c r="H1772" s="59" t="str">
        <f t="shared" si="27"/>
        <v>28H01364</v>
      </c>
      <c r="I1772" s="59" t="str">
        <f>IF(OR($A1772="",$C1772="",$D1772="",$E1772="",$H1772=""),"",SUMIFS(DATA_GOC!$H:$H,DATA_GOC!$A:$A,"BOM",DATA_GOC!$D:$D,$H1772,DATA_GOC!$E:$E,$C1772,DATA_GOC!$F:$F,"Xuất nội bộ từ téc",DATA_GOC!$B:$B,"&gt;="&amp;$D1772,DATA_GOC!$B:$B,"&lt;="&amp;$E1772))</f>
        <v/>
      </c>
      <c r="J1772" s="59">
        <f t="shared" si="28"/>
        <v>0</v>
      </c>
      <c r="K1772" s="59">
        <f t="shared" si="29"/>
        <v>0</v>
      </c>
      <c r="L1772" s="59">
        <f t="shared" si="30"/>
        <v>0</v>
      </c>
      <c r="M1772" s="59">
        <f t="shared" si="31"/>
        <v>0</v>
      </c>
    </row>
    <row r="1773" ht="15.0" hidden="1" customHeight="1">
      <c r="A1773" s="59">
        <f t="shared" si="20"/>
        <v>26</v>
      </c>
      <c r="B1773" s="59" t="str">
        <f t="shared" si="21"/>
        <v/>
      </c>
      <c r="C1773" s="59" t="str">
        <f t="shared" si="22"/>
        <v/>
      </c>
      <c r="D1773" s="45" t="str">
        <f t="shared" si="23"/>
        <v/>
      </c>
      <c r="E1773" s="45" t="str">
        <f t="shared" si="24"/>
        <v/>
      </c>
      <c r="F1773" s="59" t="str">
        <f t="shared" si="25"/>
        <v/>
      </c>
      <c r="G1773" s="59" t="str">
        <f t="shared" si="26"/>
        <v/>
      </c>
      <c r="H1773" s="59" t="str">
        <f t="shared" si="27"/>
        <v>29E17269</v>
      </c>
      <c r="I1773" s="59" t="str">
        <f>IF(OR($A1773="",$C1773="",$D1773="",$E1773="",$H1773=""),"",SUMIFS(DATA_GOC!$H:$H,DATA_GOC!$A:$A,"BOM",DATA_GOC!$D:$D,$H1773,DATA_GOC!$E:$E,$C1773,DATA_GOC!$F:$F,"Xuất nội bộ từ téc",DATA_GOC!$B:$B,"&gt;="&amp;$D1773,DATA_GOC!$B:$B,"&lt;="&amp;$E1773))</f>
        <v/>
      </c>
      <c r="J1773" s="59">
        <f t="shared" si="28"/>
        <v>0</v>
      </c>
      <c r="K1773" s="59">
        <f t="shared" si="29"/>
        <v>0</v>
      </c>
      <c r="L1773" s="59">
        <f t="shared" si="30"/>
        <v>0</v>
      </c>
      <c r="M1773" s="59">
        <f t="shared" si="31"/>
        <v>0</v>
      </c>
    </row>
    <row r="1774" ht="15.0" hidden="1" customHeight="1">
      <c r="A1774" s="59">
        <f t="shared" si="20"/>
        <v>26</v>
      </c>
      <c r="B1774" s="59" t="str">
        <f t="shared" si="21"/>
        <v/>
      </c>
      <c r="C1774" s="59" t="str">
        <f t="shared" si="22"/>
        <v/>
      </c>
      <c r="D1774" s="45" t="str">
        <f t="shared" si="23"/>
        <v/>
      </c>
      <c r="E1774" s="45" t="str">
        <f t="shared" si="24"/>
        <v/>
      </c>
      <c r="F1774" s="59" t="str">
        <f t="shared" si="25"/>
        <v/>
      </c>
      <c r="G1774" s="59" t="str">
        <f t="shared" si="26"/>
        <v/>
      </c>
      <c r="H1774" s="59" t="str">
        <f t="shared" si="27"/>
        <v>29E17273</v>
      </c>
      <c r="I1774" s="59" t="str">
        <f>IF(OR($A1774="",$C1774="",$D1774="",$E1774="",$H1774=""),"",SUMIFS(DATA_GOC!$H:$H,DATA_GOC!$A:$A,"BOM",DATA_GOC!$D:$D,$H1774,DATA_GOC!$E:$E,$C1774,DATA_GOC!$F:$F,"Xuất nội bộ từ téc",DATA_GOC!$B:$B,"&gt;="&amp;$D1774,DATA_GOC!$B:$B,"&lt;="&amp;$E1774))</f>
        <v/>
      </c>
      <c r="J1774" s="59">
        <f t="shared" si="28"/>
        <v>0</v>
      </c>
      <c r="K1774" s="59">
        <f t="shared" si="29"/>
        <v>0</v>
      </c>
      <c r="L1774" s="59">
        <f t="shared" si="30"/>
        <v>0</v>
      </c>
      <c r="M1774" s="59">
        <f t="shared" si="31"/>
        <v>0</v>
      </c>
    </row>
    <row r="1775" ht="15.0" hidden="1" customHeight="1">
      <c r="A1775" s="59">
        <f t="shared" si="20"/>
        <v>26</v>
      </c>
      <c r="B1775" s="59" t="str">
        <f t="shared" si="21"/>
        <v/>
      </c>
      <c r="C1775" s="59" t="str">
        <f t="shared" si="22"/>
        <v/>
      </c>
      <c r="D1775" s="45" t="str">
        <f t="shared" si="23"/>
        <v/>
      </c>
      <c r="E1775" s="45" t="str">
        <f t="shared" si="24"/>
        <v/>
      </c>
      <c r="F1775" s="59" t="str">
        <f t="shared" si="25"/>
        <v/>
      </c>
      <c r="G1775" s="59" t="str">
        <f t="shared" si="26"/>
        <v/>
      </c>
      <c r="H1775" s="59" t="str">
        <f t="shared" si="27"/>
        <v>29E17410</v>
      </c>
      <c r="I1775" s="59" t="str">
        <f>IF(OR($A1775="",$C1775="",$D1775="",$E1775="",$H1775=""),"",SUMIFS(DATA_GOC!$H:$H,DATA_GOC!$A:$A,"BOM",DATA_GOC!$D:$D,$H1775,DATA_GOC!$E:$E,$C1775,DATA_GOC!$F:$F,"Xuất nội bộ từ téc",DATA_GOC!$B:$B,"&gt;="&amp;$D1775,DATA_GOC!$B:$B,"&lt;="&amp;$E1775))</f>
        <v/>
      </c>
      <c r="J1775" s="59">
        <f t="shared" si="28"/>
        <v>0</v>
      </c>
      <c r="K1775" s="59">
        <f t="shared" si="29"/>
        <v>0</v>
      </c>
      <c r="L1775" s="59">
        <f t="shared" si="30"/>
        <v>0</v>
      </c>
      <c r="M1775" s="59">
        <f t="shared" si="31"/>
        <v>0</v>
      </c>
    </row>
    <row r="1776" ht="15.0" hidden="1" customHeight="1">
      <c r="A1776" s="59">
        <f t="shared" si="20"/>
        <v>26</v>
      </c>
      <c r="B1776" s="59" t="str">
        <f t="shared" si="21"/>
        <v/>
      </c>
      <c r="C1776" s="59" t="str">
        <f t="shared" si="22"/>
        <v/>
      </c>
      <c r="D1776" s="45" t="str">
        <f t="shared" si="23"/>
        <v/>
      </c>
      <c r="E1776" s="45" t="str">
        <f t="shared" si="24"/>
        <v/>
      </c>
      <c r="F1776" s="59" t="str">
        <f t="shared" si="25"/>
        <v/>
      </c>
      <c r="G1776" s="59" t="str">
        <f t="shared" si="26"/>
        <v/>
      </c>
      <c r="H1776" s="59" t="str">
        <f t="shared" si="27"/>
        <v>29E17417</v>
      </c>
      <c r="I1776" s="59" t="str">
        <f>IF(OR($A1776="",$C1776="",$D1776="",$E1776="",$H1776=""),"",SUMIFS(DATA_GOC!$H:$H,DATA_GOC!$A:$A,"BOM",DATA_GOC!$D:$D,$H1776,DATA_GOC!$E:$E,$C1776,DATA_GOC!$F:$F,"Xuất nội bộ từ téc",DATA_GOC!$B:$B,"&gt;="&amp;$D1776,DATA_GOC!$B:$B,"&lt;="&amp;$E1776))</f>
        <v/>
      </c>
      <c r="J1776" s="59">
        <f t="shared" si="28"/>
        <v>0</v>
      </c>
      <c r="K1776" s="59">
        <f t="shared" si="29"/>
        <v>0</v>
      </c>
      <c r="L1776" s="59">
        <f t="shared" si="30"/>
        <v>0</v>
      </c>
      <c r="M1776" s="59">
        <f t="shared" si="31"/>
        <v>0</v>
      </c>
    </row>
    <row r="1777" ht="15.0" hidden="1" customHeight="1">
      <c r="A1777" s="59">
        <f t="shared" si="20"/>
        <v>26</v>
      </c>
      <c r="B1777" s="59" t="str">
        <f t="shared" si="21"/>
        <v/>
      </c>
      <c r="C1777" s="59" t="str">
        <f t="shared" si="22"/>
        <v/>
      </c>
      <c r="D1777" s="45" t="str">
        <f t="shared" si="23"/>
        <v/>
      </c>
      <c r="E1777" s="45" t="str">
        <f t="shared" si="24"/>
        <v/>
      </c>
      <c r="F1777" s="59" t="str">
        <f t="shared" si="25"/>
        <v/>
      </c>
      <c r="G1777" s="59" t="str">
        <f t="shared" si="26"/>
        <v/>
      </c>
      <c r="H1777" s="59" t="str">
        <f t="shared" si="27"/>
        <v>29E17539</v>
      </c>
      <c r="I1777" s="59" t="str">
        <f>IF(OR($A1777="",$C1777="",$D1777="",$E1777="",$H1777=""),"",SUMIFS(DATA_GOC!$H:$H,DATA_GOC!$A:$A,"BOM",DATA_GOC!$D:$D,$H1777,DATA_GOC!$E:$E,$C1777,DATA_GOC!$F:$F,"Xuất nội bộ từ téc",DATA_GOC!$B:$B,"&gt;="&amp;$D1777,DATA_GOC!$B:$B,"&lt;="&amp;$E1777))</f>
        <v/>
      </c>
      <c r="J1777" s="59">
        <f t="shared" si="28"/>
        <v>0</v>
      </c>
      <c r="K1777" s="59">
        <f t="shared" si="29"/>
        <v>0</v>
      </c>
      <c r="L1777" s="59">
        <f t="shared" si="30"/>
        <v>0</v>
      </c>
      <c r="M1777" s="59">
        <f t="shared" si="31"/>
        <v>0</v>
      </c>
    </row>
    <row r="1778" ht="15.0" hidden="1" customHeight="1">
      <c r="A1778" s="59">
        <f t="shared" si="20"/>
        <v>26</v>
      </c>
      <c r="B1778" s="59" t="str">
        <f t="shared" si="21"/>
        <v/>
      </c>
      <c r="C1778" s="59" t="str">
        <f t="shared" si="22"/>
        <v/>
      </c>
      <c r="D1778" s="45" t="str">
        <f t="shared" si="23"/>
        <v/>
      </c>
      <c r="E1778" s="45" t="str">
        <f t="shared" si="24"/>
        <v/>
      </c>
      <c r="F1778" s="59" t="str">
        <f t="shared" si="25"/>
        <v/>
      </c>
      <c r="G1778" s="59" t="str">
        <f t="shared" si="26"/>
        <v/>
      </c>
      <c r="H1778" s="59" t="str">
        <f t="shared" si="27"/>
        <v>29E18160</v>
      </c>
      <c r="I1778" s="59" t="str">
        <f>IF(OR($A1778="",$C1778="",$D1778="",$E1778="",$H1778=""),"",SUMIFS(DATA_GOC!$H:$H,DATA_GOC!$A:$A,"BOM",DATA_GOC!$D:$D,$H1778,DATA_GOC!$E:$E,$C1778,DATA_GOC!$F:$F,"Xuất nội bộ từ téc",DATA_GOC!$B:$B,"&gt;="&amp;$D1778,DATA_GOC!$B:$B,"&lt;="&amp;$E1778))</f>
        <v/>
      </c>
      <c r="J1778" s="59">
        <f t="shared" si="28"/>
        <v>0</v>
      </c>
      <c r="K1778" s="59">
        <f t="shared" si="29"/>
        <v>0</v>
      </c>
      <c r="L1778" s="59">
        <f t="shared" si="30"/>
        <v>0</v>
      </c>
      <c r="M1778" s="59">
        <f t="shared" si="31"/>
        <v>0</v>
      </c>
    </row>
    <row r="1779" ht="15.0" hidden="1" customHeight="1">
      <c r="A1779" s="59">
        <f t="shared" si="20"/>
        <v>26</v>
      </c>
      <c r="B1779" s="59" t="str">
        <f t="shared" si="21"/>
        <v/>
      </c>
      <c r="C1779" s="59" t="str">
        <f t="shared" si="22"/>
        <v/>
      </c>
      <c r="D1779" s="45" t="str">
        <f t="shared" si="23"/>
        <v/>
      </c>
      <c r="E1779" s="45" t="str">
        <f t="shared" si="24"/>
        <v/>
      </c>
      <c r="F1779" s="59" t="str">
        <f t="shared" si="25"/>
        <v/>
      </c>
      <c r="G1779" s="59" t="str">
        <f t="shared" si="26"/>
        <v/>
      </c>
      <c r="H1779" s="59" t="str">
        <f t="shared" si="27"/>
        <v>Công trình Asphalt</v>
      </c>
      <c r="I1779" s="59" t="str">
        <f>IF(OR($A1779="",$C1779="",$D1779="",$E1779="",$H1779=""),"",SUMIFS(DATA_GOC!$H:$H,DATA_GOC!$A:$A,"BOM",DATA_GOC!$D:$D,$H1779,DATA_GOC!$E:$E,$C1779,DATA_GOC!$F:$F,"Xuất nội bộ từ téc",DATA_GOC!$B:$B,"&gt;="&amp;$D1779,DATA_GOC!$B:$B,"&lt;="&amp;$E1779))</f>
        <v/>
      </c>
      <c r="J1779" s="59">
        <f t="shared" si="28"/>
        <v>0</v>
      </c>
      <c r="K1779" s="59">
        <f t="shared" si="29"/>
        <v>0</v>
      </c>
      <c r="L1779" s="59">
        <f t="shared" si="30"/>
        <v>0</v>
      </c>
      <c r="M1779" s="59">
        <f t="shared" si="31"/>
        <v>0</v>
      </c>
    </row>
    <row r="1780" ht="15.0" hidden="1" customHeight="1">
      <c r="A1780" s="59">
        <f t="shared" si="20"/>
        <v>26</v>
      </c>
      <c r="B1780" s="59" t="str">
        <f t="shared" si="21"/>
        <v/>
      </c>
      <c r="C1780" s="59" t="str">
        <f t="shared" si="22"/>
        <v/>
      </c>
      <c r="D1780" s="45" t="str">
        <f t="shared" si="23"/>
        <v/>
      </c>
      <c r="E1780" s="45" t="str">
        <f t="shared" si="24"/>
        <v/>
      </c>
      <c r="F1780" s="59" t="str">
        <f t="shared" si="25"/>
        <v/>
      </c>
      <c r="G1780" s="59" t="str">
        <f t="shared" si="26"/>
        <v/>
      </c>
      <c r="H1780" s="59" t="str">
        <f t="shared" si="27"/>
        <v>LG53F</v>
      </c>
      <c r="I1780" s="59" t="str">
        <f>IF(OR($A1780="",$C1780="",$D1780="",$E1780="",$H1780=""),"",SUMIFS(DATA_GOC!$H:$H,DATA_GOC!$A:$A,"BOM",DATA_GOC!$D:$D,$H1780,DATA_GOC!$E:$E,$C1780,DATA_GOC!$F:$F,"Xuất nội bộ từ téc",DATA_GOC!$B:$B,"&gt;="&amp;$D1780,DATA_GOC!$B:$B,"&lt;="&amp;$E1780))</f>
        <v/>
      </c>
      <c r="J1780" s="59">
        <f t="shared" si="28"/>
        <v>0</v>
      </c>
      <c r="K1780" s="59">
        <f t="shared" si="29"/>
        <v>0</v>
      </c>
      <c r="L1780" s="59">
        <f t="shared" si="30"/>
        <v>0</v>
      </c>
      <c r="M1780" s="59">
        <f t="shared" si="31"/>
        <v>0</v>
      </c>
    </row>
    <row r="1781" ht="15.0" hidden="1" customHeight="1">
      <c r="A1781" s="59">
        <f t="shared" si="20"/>
        <v>26</v>
      </c>
      <c r="B1781" s="59" t="str">
        <f t="shared" si="21"/>
        <v/>
      </c>
      <c r="C1781" s="59" t="str">
        <f t="shared" si="22"/>
        <v/>
      </c>
      <c r="D1781" s="45" t="str">
        <f t="shared" si="23"/>
        <v/>
      </c>
      <c r="E1781" s="45" t="str">
        <f t="shared" si="24"/>
        <v/>
      </c>
      <c r="F1781" s="59" t="str">
        <f t="shared" si="25"/>
        <v/>
      </c>
      <c r="G1781" s="59" t="str">
        <f t="shared" si="26"/>
        <v/>
      </c>
      <c r="H1781" s="59" t="str">
        <f t="shared" si="27"/>
        <v>Máy phát điện</v>
      </c>
      <c r="I1781" s="59" t="str">
        <f>IF(OR($A1781="",$C1781="",$D1781="",$E1781="",$H1781=""),"",SUMIFS(DATA_GOC!$H:$H,DATA_GOC!$A:$A,"BOM",DATA_GOC!$D:$D,$H1781,DATA_GOC!$E:$E,$C1781,DATA_GOC!$F:$F,"Xuất nội bộ từ téc",DATA_GOC!$B:$B,"&gt;="&amp;$D1781,DATA_GOC!$B:$B,"&lt;="&amp;$E1781))</f>
        <v/>
      </c>
      <c r="J1781" s="59">
        <f t="shared" si="28"/>
        <v>0</v>
      </c>
      <c r="K1781" s="59">
        <f t="shared" si="29"/>
        <v>0</v>
      </c>
      <c r="L1781" s="59">
        <f t="shared" si="30"/>
        <v>0</v>
      </c>
      <c r="M1781" s="59">
        <f t="shared" si="31"/>
        <v>0</v>
      </c>
    </row>
    <row r="1782" ht="15.0" hidden="1" customHeight="1">
      <c r="A1782" s="59">
        <f t="shared" si="20"/>
        <v>26</v>
      </c>
      <c r="B1782" s="59" t="str">
        <f t="shared" si="21"/>
        <v/>
      </c>
      <c r="C1782" s="59" t="str">
        <f t="shared" si="22"/>
        <v/>
      </c>
      <c r="D1782" s="45" t="str">
        <f t="shared" si="23"/>
        <v/>
      </c>
      <c r="E1782" s="45" t="str">
        <f t="shared" si="24"/>
        <v/>
      </c>
      <c r="F1782" s="59" t="str">
        <f t="shared" si="25"/>
        <v/>
      </c>
      <c r="G1782" s="59" t="str">
        <f t="shared" si="26"/>
        <v/>
      </c>
      <c r="H1782" s="59" t="str">
        <f t="shared" si="27"/>
        <v>Máy rải thảm</v>
      </c>
      <c r="I1782" s="59" t="str">
        <f>IF(OR($A1782="",$C1782="",$D1782="",$E1782="",$H1782=""),"",SUMIFS(DATA_GOC!$H:$H,DATA_GOC!$A:$A,"BOM",DATA_GOC!$D:$D,$H1782,DATA_GOC!$E:$E,$C1782,DATA_GOC!$F:$F,"Xuất nội bộ từ téc",DATA_GOC!$B:$B,"&gt;="&amp;$D1782,DATA_GOC!$B:$B,"&lt;="&amp;$E1782))</f>
        <v/>
      </c>
      <c r="J1782" s="59">
        <f t="shared" si="28"/>
        <v>0</v>
      </c>
      <c r="K1782" s="59">
        <f t="shared" si="29"/>
        <v>0</v>
      </c>
      <c r="L1782" s="59">
        <f t="shared" si="30"/>
        <v>0</v>
      </c>
      <c r="M1782" s="59">
        <f t="shared" si="31"/>
        <v>0</v>
      </c>
    </row>
    <row r="1783" ht="15.0" hidden="1" customHeight="1">
      <c r="A1783" s="59">
        <f t="shared" si="20"/>
        <v>26</v>
      </c>
      <c r="B1783" s="59" t="str">
        <f t="shared" si="21"/>
        <v/>
      </c>
      <c r="C1783" s="59" t="str">
        <f t="shared" si="22"/>
        <v/>
      </c>
      <c r="D1783" s="45" t="str">
        <f t="shared" si="23"/>
        <v/>
      </c>
      <c r="E1783" s="45" t="str">
        <f t="shared" si="24"/>
        <v/>
      </c>
      <c r="F1783" s="59" t="str">
        <f t="shared" si="25"/>
        <v/>
      </c>
      <c r="G1783" s="59" t="str">
        <f t="shared" si="26"/>
        <v/>
      </c>
      <c r="H1783" s="59" t="str">
        <f t="shared" si="27"/>
        <v>Xúc Đào</v>
      </c>
      <c r="I1783" s="59" t="str">
        <f>IF(OR($A1783="",$C1783="",$D1783="",$E1783="",$H1783=""),"",SUMIFS(DATA_GOC!$H:$H,DATA_GOC!$A:$A,"BOM",DATA_GOC!$D:$D,$H1783,DATA_GOC!$E:$E,$C1783,DATA_GOC!$F:$F,"Xuất nội bộ từ téc",DATA_GOC!$B:$B,"&gt;="&amp;$D1783,DATA_GOC!$B:$B,"&lt;="&amp;$E1783))</f>
        <v/>
      </c>
      <c r="J1783" s="59">
        <f t="shared" si="28"/>
        <v>0</v>
      </c>
      <c r="K1783" s="59">
        <f t="shared" si="29"/>
        <v>0</v>
      </c>
      <c r="L1783" s="59">
        <f t="shared" si="30"/>
        <v>0</v>
      </c>
      <c r="M1783" s="59">
        <f t="shared" si="31"/>
        <v>0</v>
      </c>
    </row>
    <row r="1784" ht="15.0" hidden="1" customHeight="1">
      <c r="A1784" s="59">
        <f t="shared" si="20"/>
        <v>26</v>
      </c>
      <c r="B1784" s="59" t="str">
        <f t="shared" si="21"/>
        <v/>
      </c>
      <c r="C1784" s="59" t="str">
        <f t="shared" si="22"/>
        <v/>
      </c>
      <c r="D1784" s="45" t="str">
        <f t="shared" si="23"/>
        <v/>
      </c>
      <c r="E1784" s="45" t="str">
        <f t="shared" si="24"/>
        <v/>
      </c>
      <c r="F1784" s="59" t="str">
        <f t="shared" si="25"/>
        <v/>
      </c>
      <c r="G1784" s="59" t="str">
        <f t="shared" si="26"/>
        <v/>
      </c>
      <c r="H1784" s="59" t="str">
        <f t="shared" si="27"/>
        <v>Xúclật asphalt</v>
      </c>
      <c r="I1784" s="59" t="str">
        <f>IF(OR($A1784="",$C1784="",$D1784="",$E1784="",$H1784=""),"",SUMIFS(DATA_GOC!$H:$H,DATA_GOC!$A:$A,"BOM",DATA_GOC!$D:$D,$H1784,DATA_GOC!$E:$E,$C1784,DATA_GOC!$F:$F,"Xuất nội bộ từ téc",DATA_GOC!$B:$B,"&gt;="&amp;$D1784,DATA_GOC!$B:$B,"&lt;="&amp;$E1784))</f>
        <v/>
      </c>
      <c r="J1784" s="59">
        <f t="shared" si="28"/>
        <v>0</v>
      </c>
      <c r="K1784" s="59">
        <f t="shared" si="29"/>
        <v>0</v>
      </c>
      <c r="L1784" s="59">
        <f t="shared" si="30"/>
        <v>0</v>
      </c>
      <c r="M1784" s="59">
        <f t="shared" si="31"/>
        <v>0</v>
      </c>
    </row>
    <row r="1785" ht="15.0" hidden="1" customHeight="1">
      <c r="A1785" s="59">
        <f t="shared" si="20"/>
        <v>26</v>
      </c>
      <c r="B1785" s="59" t="str">
        <f t="shared" si="21"/>
        <v/>
      </c>
      <c r="C1785" s="59" t="str">
        <f t="shared" si="22"/>
        <v/>
      </c>
      <c r="D1785" s="45" t="str">
        <f t="shared" si="23"/>
        <v/>
      </c>
      <c r="E1785" s="45" t="str">
        <f t="shared" si="24"/>
        <v/>
      </c>
      <c r="F1785" s="59" t="str">
        <f t="shared" si="25"/>
        <v/>
      </c>
      <c r="G1785" s="59" t="str">
        <f t="shared" si="26"/>
        <v/>
      </c>
      <c r="H1785" s="59" t="str">
        <f t="shared" si="27"/>
        <v>Xúclật855H</v>
      </c>
      <c r="I1785" s="59" t="str">
        <f>IF(OR($A1785="",$C1785="",$D1785="",$E1785="",$H1785=""),"",SUMIFS(DATA_GOC!$H:$H,DATA_GOC!$A:$A,"BOM",DATA_GOC!$D:$D,$H1785,DATA_GOC!$E:$E,$C1785,DATA_GOC!$F:$F,"Xuất nội bộ từ téc",DATA_GOC!$B:$B,"&gt;="&amp;$D1785,DATA_GOC!$B:$B,"&lt;="&amp;$E1785))</f>
        <v/>
      </c>
      <c r="J1785" s="59">
        <f t="shared" si="28"/>
        <v>0</v>
      </c>
      <c r="K1785" s="59">
        <f t="shared" si="29"/>
        <v>0</v>
      </c>
      <c r="L1785" s="59">
        <f t="shared" si="30"/>
        <v>0</v>
      </c>
      <c r="M1785" s="59">
        <f t="shared" si="31"/>
        <v>0</v>
      </c>
    </row>
    <row r="1786" ht="15.0" hidden="1" customHeight="1">
      <c r="A1786" s="59">
        <f t="shared" si="20"/>
        <v>26</v>
      </c>
      <c r="B1786" s="59" t="str">
        <f t="shared" si="21"/>
        <v/>
      </c>
      <c r="C1786" s="59" t="str">
        <f t="shared" si="22"/>
        <v/>
      </c>
      <c r="D1786" s="45" t="str">
        <f t="shared" si="23"/>
        <v/>
      </c>
      <c r="E1786" s="45" t="str">
        <f t="shared" si="24"/>
        <v/>
      </c>
      <c r="F1786" s="59" t="str">
        <f t="shared" si="25"/>
        <v/>
      </c>
      <c r="G1786" s="59" t="str">
        <f t="shared" si="26"/>
        <v/>
      </c>
      <c r="H1786" s="59" t="str">
        <f t="shared" si="27"/>
        <v>Xúclật855N</v>
      </c>
      <c r="I1786" s="59" t="str">
        <f>IF(OR($A1786="",$C1786="",$D1786="",$E1786="",$H1786=""),"",SUMIFS(DATA_GOC!$H:$H,DATA_GOC!$A:$A,"BOM",DATA_GOC!$D:$D,$H1786,DATA_GOC!$E:$E,$C1786,DATA_GOC!$F:$F,"Xuất nội bộ từ téc",DATA_GOC!$B:$B,"&gt;="&amp;$D1786,DATA_GOC!$B:$B,"&lt;="&amp;$E1786))</f>
        <v/>
      </c>
      <c r="J1786" s="59">
        <f t="shared" si="28"/>
        <v>0</v>
      </c>
      <c r="K1786" s="59">
        <f t="shared" si="29"/>
        <v>0</v>
      </c>
      <c r="L1786" s="59">
        <f t="shared" si="30"/>
        <v>0</v>
      </c>
      <c r="M1786" s="59">
        <f t="shared" si="31"/>
        <v>0</v>
      </c>
    </row>
    <row r="1787" ht="15.0" hidden="1" customHeight="1">
      <c r="A1787" s="59">
        <f t="shared" si="20"/>
        <v>26</v>
      </c>
      <c r="B1787" s="59" t="str">
        <f t="shared" si="21"/>
        <v/>
      </c>
      <c r="C1787" s="59" t="str">
        <f t="shared" si="22"/>
        <v/>
      </c>
      <c r="D1787" s="45" t="str">
        <f t="shared" si="23"/>
        <v/>
      </c>
      <c r="E1787" s="45" t="str">
        <f t="shared" si="24"/>
        <v/>
      </c>
      <c r="F1787" s="59" t="str">
        <f t="shared" si="25"/>
        <v/>
      </c>
      <c r="G1787" s="59" t="str">
        <f t="shared" si="26"/>
        <v/>
      </c>
      <c r="H1787" s="59" t="str">
        <f t="shared" si="27"/>
        <v>Cát nghiền</v>
      </c>
      <c r="I1787" s="59" t="str">
        <f>IF(OR($A1787="",$C1787="",$D1787="",$E1787="",$H1787=""),"",SUMIFS(DATA_GOC!$H:$H,DATA_GOC!$A:$A,"BOM",DATA_GOC!$D:$D,$H1787,DATA_GOC!$E:$E,$C1787,DATA_GOC!$F:$F,"Xuất nội bộ từ téc",DATA_GOC!$B:$B,"&gt;="&amp;$D1787,DATA_GOC!$B:$B,"&lt;="&amp;$E1787))</f>
        <v/>
      </c>
      <c r="J1787" s="59">
        <f t="shared" si="28"/>
        <v>0</v>
      </c>
      <c r="K1787" s="59">
        <f t="shared" si="29"/>
        <v>0</v>
      </c>
      <c r="L1787" s="59">
        <f t="shared" si="30"/>
        <v>0</v>
      </c>
      <c r="M1787" s="59">
        <f t="shared" si="31"/>
        <v>0</v>
      </c>
    </row>
    <row r="1788" ht="15.0" hidden="1" customHeight="1">
      <c r="A1788" s="59">
        <f t="shared" si="20"/>
        <v>26</v>
      </c>
      <c r="B1788" s="59" t="str">
        <f t="shared" si="21"/>
        <v/>
      </c>
      <c r="C1788" s="59" t="str">
        <f t="shared" si="22"/>
        <v/>
      </c>
      <c r="D1788" s="45" t="str">
        <f t="shared" si="23"/>
        <v/>
      </c>
      <c r="E1788" s="45" t="str">
        <f t="shared" si="24"/>
        <v/>
      </c>
      <c r="F1788" s="59" t="str">
        <f t="shared" si="25"/>
        <v/>
      </c>
      <c r="G1788" s="59" t="str">
        <f t="shared" si="26"/>
        <v/>
      </c>
      <c r="H1788" s="59" t="str">
        <f t="shared" si="27"/>
        <v>28C02973</v>
      </c>
      <c r="I1788" s="59" t="str">
        <f>IF(OR($A1788="",$C1788="",$D1788="",$E1788="",$H1788=""),"",SUMIFS(DATA_GOC!$H:$H,DATA_GOC!$A:$A,"BOM",DATA_GOC!$D:$D,$H1788,DATA_GOC!$E:$E,$C1788,DATA_GOC!$F:$F,"Xuất nội bộ từ téc",DATA_GOC!$B:$B,"&gt;="&amp;$D1788,DATA_GOC!$B:$B,"&lt;="&amp;$E1788))</f>
        <v/>
      </c>
      <c r="J1788" s="59">
        <f t="shared" si="28"/>
        <v>0</v>
      </c>
      <c r="K1788" s="59">
        <f t="shared" si="29"/>
        <v>0</v>
      </c>
      <c r="L1788" s="59">
        <f t="shared" si="30"/>
        <v>0</v>
      </c>
      <c r="M1788" s="59">
        <f t="shared" si="31"/>
        <v>0</v>
      </c>
    </row>
    <row r="1789" ht="15.0" hidden="1" customHeight="1">
      <c r="A1789" s="59">
        <f t="shared" si="20"/>
        <v>26</v>
      </c>
      <c r="B1789" s="59" t="str">
        <f t="shared" si="21"/>
        <v/>
      </c>
      <c r="C1789" s="59" t="str">
        <f t="shared" si="22"/>
        <v/>
      </c>
      <c r="D1789" s="45" t="str">
        <f t="shared" si="23"/>
        <v/>
      </c>
      <c r="E1789" s="45" t="str">
        <f t="shared" si="24"/>
        <v/>
      </c>
      <c r="F1789" s="59" t="str">
        <f t="shared" si="25"/>
        <v/>
      </c>
      <c r="G1789" s="59" t="str">
        <f t="shared" si="26"/>
        <v/>
      </c>
      <c r="H1789" s="59" t="str">
        <f t="shared" si="27"/>
        <v>28C03044</v>
      </c>
      <c r="I1789" s="59" t="str">
        <f>IF(OR($A1789="",$C1789="",$D1789="",$E1789="",$H1789=""),"",SUMIFS(DATA_GOC!$H:$H,DATA_GOC!$A:$A,"BOM",DATA_GOC!$D:$D,$H1789,DATA_GOC!$E:$E,$C1789,DATA_GOC!$F:$F,"Xuất nội bộ từ téc",DATA_GOC!$B:$B,"&gt;="&amp;$D1789,DATA_GOC!$B:$B,"&lt;="&amp;$E1789))</f>
        <v/>
      </c>
      <c r="J1789" s="59">
        <f t="shared" si="28"/>
        <v>0</v>
      </c>
      <c r="K1789" s="59">
        <f t="shared" si="29"/>
        <v>0</v>
      </c>
      <c r="L1789" s="59">
        <f t="shared" si="30"/>
        <v>0</v>
      </c>
      <c r="M1789" s="59">
        <f t="shared" si="31"/>
        <v>0</v>
      </c>
    </row>
    <row r="1790" ht="15.0" hidden="1" customHeight="1">
      <c r="A1790" s="59">
        <f t="shared" si="20"/>
        <v>26</v>
      </c>
      <c r="B1790" s="59" t="str">
        <f t="shared" si="21"/>
        <v/>
      </c>
      <c r="C1790" s="59" t="str">
        <f t="shared" si="22"/>
        <v/>
      </c>
      <c r="D1790" s="45" t="str">
        <f t="shared" si="23"/>
        <v/>
      </c>
      <c r="E1790" s="45" t="str">
        <f t="shared" si="24"/>
        <v/>
      </c>
      <c r="F1790" s="59" t="str">
        <f t="shared" si="25"/>
        <v/>
      </c>
      <c r="G1790" s="59" t="str">
        <f t="shared" si="26"/>
        <v/>
      </c>
      <c r="H1790" s="59" t="str">
        <f t="shared" si="27"/>
        <v>Máy lu lốp</v>
      </c>
      <c r="I1790" s="59" t="str">
        <f>IF(OR($A1790="",$C1790="",$D1790="",$E1790="",$H1790=""),"",SUMIFS(DATA_GOC!$H:$H,DATA_GOC!$A:$A,"BOM",DATA_GOC!$D:$D,$H1790,DATA_GOC!$E:$E,$C1790,DATA_GOC!$F:$F,"Xuất nội bộ từ téc",DATA_GOC!$B:$B,"&gt;="&amp;$D1790,DATA_GOC!$B:$B,"&lt;="&amp;$E1790))</f>
        <v/>
      </c>
      <c r="J1790" s="59">
        <f t="shared" si="28"/>
        <v>0</v>
      </c>
      <c r="K1790" s="59">
        <f t="shared" si="29"/>
        <v>0</v>
      </c>
      <c r="L1790" s="59">
        <f t="shared" si="30"/>
        <v>0</v>
      </c>
      <c r="M1790" s="59">
        <f t="shared" si="31"/>
        <v>0</v>
      </c>
    </row>
    <row r="1791" ht="15.0" hidden="1" customHeight="1">
      <c r="A1791" s="59">
        <f t="shared" si="20"/>
        <v>26</v>
      </c>
      <c r="B1791" s="59" t="str">
        <f t="shared" si="21"/>
        <v/>
      </c>
      <c r="C1791" s="59" t="str">
        <f t="shared" si="22"/>
        <v/>
      </c>
      <c r="D1791" s="45" t="str">
        <f t="shared" si="23"/>
        <v/>
      </c>
      <c r="E1791" s="45" t="str">
        <f t="shared" si="24"/>
        <v/>
      </c>
      <c r="F1791" s="59" t="str">
        <f t="shared" si="25"/>
        <v/>
      </c>
      <c r="G1791" s="59" t="str">
        <f t="shared" si="26"/>
        <v/>
      </c>
      <c r="H1791" s="59" t="str">
        <f t="shared" si="27"/>
        <v>Xe 600148</v>
      </c>
      <c r="I1791" s="59" t="str">
        <f>IF(OR($A1791="",$C1791="",$D1791="",$E1791="",$H1791=""),"",SUMIFS(DATA_GOC!$H:$H,DATA_GOC!$A:$A,"BOM",DATA_GOC!$D:$D,$H1791,DATA_GOC!$E:$E,$C1791,DATA_GOC!$F:$F,"Xuất nội bộ từ téc",DATA_GOC!$B:$B,"&gt;="&amp;$D1791,DATA_GOC!$B:$B,"&lt;="&amp;$E1791))</f>
        <v/>
      </c>
      <c r="J1791" s="59">
        <f t="shared" si="28"/>
        <v>0</v>
      </c>
      <c r="K1791" s="59">
        <f t="shared" si="29"/>
        <v>0</v>
      </c>
      <c r="L1791" s="59">
        <f t="shared" si="30"/>
        <v>0</v>
      </c>
      <c r="M1791" s="59">
        <f t="shared" si="31"/>
        <v>0</v>
      </c>
    </row>
    <row r="1792" ht="15.0" hidden="1" customHeight="1">
      <c r="A1792" s="59">
        <f t="shared" si="20"/>
        <v>26</v>
      </c>
      <c r="B1792" s="59" t="str">
        <f t="shared" si="21"/>
        <v/>
      </c>
      <c r="C1792" s="59" t="str">
        <f t="shared" si="22"/>
        <v/>
      </c>
      <c r="D1792" s="45" t="str">
        <f t="shared" si="23"/>
        <v/>
      </c>
      <c r="E1792" s="45" t="str">
        <f t="shared" si="24"/>
        <v/>
      </c>
      <c r="F1792" s="59" t="str">
        <f t="shared" si="25"/>
        <v/>
      </c>
      <c r="G1792" s="59" t="str">
        <f t="shared" si="26"/>
        <v/>
      </c>
      <c r="H1792" s="59" t="str">
        <f t="shared" si="27"/>
        <v>Xe ben mới</v>
      </c>
      <c r="I1792" s="59" t="str">
        <f>IF(OR($A1792="",$C1792="",$D1792="",$E1792="",$H1792=""),"",SUMIFS(DATA_GOC!$H:$H,DATA_GOC!$A:$A,"BOM",DATA_GOC!$D:$D,$H1792,DATA_GOC!$E:$E,$C1792,DATA_GOC!$F:$F,"Xuất nội bộ từ téc",DATA_GOC!$B:$B,"&gt;="&amp;$D1792,DATA_GOC!$B:$B,"&lt;="&amp;$E1792))</f>
        <v/>
      </c>
      <c r="J1792" s="59">
        <f t="shared" si="28"/>
        <v>0</v>
      </c>
      <c r="K1792" s="59">
        <f t="shared" si="29"/>
        <v>0</v>
      </c>
      <c r="L1792" s="59">
        <f t="shared" si="30"/>
        <v>0</v>
      </c>
      <c r="M1792" s="59">
        <f t="shared" si="31"/>
        <v>0</v>
      </c>
    </row>
    <row r="1793" ht="15.0" hidden="1" customHeight="1">
      <c r="A1793" s="59">
        <f t="shared" si="20"/>
        <v>27</v>
      </c>
      <c r="B1793" s="59" t="str">
        <f t="shared" si="21"/>
        <v/>
      </c>
      <c r="C1793" s="59" t="str">
        <f t="shared" si="22"/>
        <v/>
      </c>
      <c r="D1793" s="45" t="str">
        <f t="shared" si="23"/>
        <v/>
      </c>
      <c r="E1793" s="45" t="str">
        <f t="shared" si="24"/>
        <v/>
      </c>
      <c r="F1793" s="59" t="str">
        <f t="shared" si="25"/>
        <v/>
      </c>
      <c r="G1793" s="59" t="str">
        <f t="shared" si="26"/>
        <v/>
      </c>
      <c r="H1793" s="59" t="str">
        <f t="shared" si="27"/>
        <v>19H09482</v>
      </c>
      <c r="I1793" s="59" t="str">
        <f>IF(OR($A1793="",$C1793="",$D1793="",$E1793="",$H1793=""),"",SUMIFS(DATA_GOC!$H:$H,DATA_GOC!$A:$A,"BOM",DATA_GOC!$D:$D,$H1793,DATA_GOC!$E:$E,$C1793,DATA_GOC!$F:$F,"Xuất nội bộ từ téc",DATA_GOC!$B:$B,"&gt;="&amp;$D1793,DATA_GOC!$B:$B,"&lt;="&amp;$E1793))</f>
        <v/>
      </c>
      <c r="J1793" s="59">
        <f t="shared" si="28"/>
        <v>0</v>
      </c>
      <c r="K1793" s="59">
        <f t="shared" si="29"/>
        <v>0</v>
      </c>
      <c r="L1793" s="59">
        <f t="shared" si="30"/>
        <v>0</v>
      </c>
      <c r="M1793" s="59">
        <f t="shared" si="31"/>
        <v>0</v>
      </c>
    </row>
    <row r="1794" ht="15.0" hidden="1" customHeight="1">
      <c r="A1794" s="59">
        <f t="shared" si="20"/>
        <v>27</v>
      </c>
      <c r="B1794" s="59" t="str">
        <f t="shared" si="21"/>
        <v/>
      </c>
      <c r="C1794" s="59" t="str">
        <f t="shared" si="22"/>
        <v/>
      </c>
      <c r="D1794" s="45" t="str">
        <f t="shared" si="23"/>
        <v/>
      </c>
      <c r="E1794" s="45" t="str">
        <f t="shared" si="24"/>
        <v/>
      </c>
      <c r="F1794" s="59" t="str">
        <f t="shared" si="25"/>
        <v/>
      </c>
      <c r="G1794" s="59" t="str">
        <f t="shared" si="26"/>
        <v/>
      </c>
      <c r="H1794" s="59" t="str">
        <f t="shared" si="27"/>
        <v>28A30696</v>
      </c>
      <c r="I1794" s="59" t="str">
        <f>IF(OR($A1794="",$C1794="",$D1794="",$E1794="",$H1794=""),"",SUMIFS(DATA_GOC!$H:$H,DATA_GOC!$A:$A,"BOM",DATA_GOC!$D:$D,$H1794,DATA_GOC!$E:$E,$C1794,DATA_GOC!$F:$F,"Xuất nội bộ từ téc",DATA_GOC!$B:$B,"&gt;="&amp;$D1794,DATA_GOC!$B:$B,"&lt;="&amp;$E1794))</f>
        <v/>
      </c>
      <c r="J1794" s="59">
        <f t="shared" si="28"/>
        <v>0</v>
      </c>
      <c r="K1794" s="59">
        <f t="shared" si="29"/>
        <v>0</v>
      </c>
      <c r="L1794" s="59">
        <f t="shared" si="30"/>
        <v>0</v>
      </c>
      <c r="M1794" s="59">
        <f t="shared" si="31"/>
        <v>0</v>
      </c>
    </row>
    <row r="1795" ht="15.0" hidden="1" customHeight="1">
      <c r="A1795" s="59">
        <f t="shared" si="20"/>
        <v>27</v>
      </c>
      <c r="B1795" s="59" t="str">
        <f t="shared" si="21"/>
        <v/>
      </c>
      <c r="C1795" s="59" t="str">
        <f t="shared" si="22"/>
        <v/>
      </c>
      <c r="D1795" s="45" t="str">
        <f t="shared" si="23"/>
        <v/>
      </c>
      <c r="E1795" s="45" t="str">
        <f t="shared" si="24"/>
        <v/>
      </c>
      <c r="F1795" s="59" t="str">
        <f t="shared" si="25"/>
        <v/>
      </c>
      <c r="G1795" s="59" t="str">
        <f t="shared" si="26"/>
        <v/>
      </c>
      <c r="H1795" s="59" t="str">
        <f t="shared" si="27"/>
        <v>28C00462</v>
      </c>
      <c r="I1795" s="59" t="str">
        <f>IF(OR($A1795="",$C1795="",$D1795="",$E1795="",$H1795=""),"",SUMIFS(DATA_GOC!$H:$H,DATA_GOC!$A:$A,"BOM",DATA_GOC!$D:$D,$H1795,DATA_GOC!$E:$E,$C1795,DATA_GOC!$F:$F,"Xuất nội bộ từ téc",DATA_GOC!$B:$B,"&gt;="&amp;$D1795,DATA_GOC!$B:$B,"&lt;="&amp;$E1795))</f>
        <v/>
      </c>
      <c r="J1795" s="59">
        <f t="shared" si="28"/>
        <v>0</v>
      </c>
      <c r="K1795" s="59">
        <f t="shared" si="29"/>
        <v>0</v>
      </c>
      <c r="L1795" s="59">
        <f t="shared" si="30"/>
        <v>0</v>
      </c>
      <c r="M1795" s="59">
        <f t="shared" si="31"/>
        <v>0</v>
      </c>
    </row>
    <row r="1796" ht="15.0" hidden="1" customHeight="1">
      <c r="A1796" s="59">
        <f t="shared" si="20"/>
        <v>27</v>
      </c>
      <c r="B1796" s="59" t="str">
        <f t="shared" si="21"/>
        <v/>
      </c>
      <c r="C1796" s="59" t="str">
        <f t="shared" si="22"/>
        <v/>
      </c>
      <c r="D1796" s="45" t="str">
        <f t="shared" si="23"/>
        <v/>
      </c>
      <c r="E1796" s="45" t="str">
        <f t="shared" si="24"/>
        <v/>
      </c>
      <c r="F1796" s="59" t="str">
        <f t="shared" si="25"/>
        <v/>
      </c>
      <c r="G1796" s="59" t="str">
        <f t="shared" si="26"/>
        <v/>
      </c>
      <c r="H1796" s="59" t="str">
        <f t="shared" si="27"/>
        <v>28C01165</v>
      </c>
      <c r="I1796" s="59" t="str">
        <f>IF(OR($A1796="",$C1796="",$D1796="",$E1796="",$H1796=""),"",SUMIFS(DATA_GOC!$H:$H,DATA_GOC!$A:$A,"BOM",DATA_GOC!$D:$D,$H1796,DATA_GOC!$E:$E,$C1796,DATA_GOC!$F:$F,"Xuất nội bộ từ téc",DATA_GOC!$B:$B,"&gt;="&amp;$D1796,DATA_GOC!$B:$B,"&lt;="&amp;$E1796))</f>
        <v/>
      </c>
      <c r="J1796" s="59">
        <f t="shared" si="28"/>
        <v>0</v>
      </c>
      <c r="K1796" s="59">
        <f t="shared" si="29"/>
        <v>0</v>
      </c>
      <c r="L1796" s="59">
        <f t="shared" si="30"/>
        <v>0</v>
      </c>
      <c r="M1796" s="59">
        <f t="shared" si="31"/>
        <v>0</v>
      </c>
    </row>
    <row r="1797" ht="15.0" hidden="1" customHeight="1">
      <c r="A1797" s="59">
        <f t="shared" si="20"/>
        <v>27</v>
      </c>
      <c r="B1797" s="59" t="str">
        <f t="shared" si="21"/>
        <v/>
      </c>
      <c r="C1797" s="59" t="str">
        <f t="shared" si="22"/>
        <v/>
      </c>
      <c r="D1797" s="45" t="str">
        <f t="shared" si="23"/>
        <v/>
      </c>
      <c r="E1797" s="45" t="str">
        <f t="shared" si="24"/>
        <v/>
      </c>
      <c r="F1797" s="59" t="str">
        <f t="shared" si="25"/>
        <v/>
      </c>
      <c r="G1797" s="59" t="str">
        <f t="shared" si="26"/>
        <v/>
      </c>
      <c r="H1797" s="59" t="str">
        <f t="shared" si="27"/>
        <v>28C01406</v>
      </c>
      <c r="I1797" s="59" t="str">
        <f>IF(OR($A1797="",$C1797="",$D1797="",$E1797="",$H1797=""),"",SUMIFS(DATA_GOC!$H:$H,DATA_GOC!$A:$A,"BOM",DATA_GOC!$D:$D,$H1797,DATA_GOC!$E:$E,$C1797,DATA_GOC!$F:$F,"Xuất nội bộ từ téc",DATA_GOC!$B:$B,"&gt;="&amp;$D1797,DATA_GOC!$B:$B,"&lt;="&amp;$E1797))</f>
        <v/>
      </c>
      <c r="J1797" s="59">
        <f t="shared" si="28"/>
        <v>0</v>
      </c>
      <c r="K1797" s="59">
        <f t="shared" si="29"/>
        <v>0</v>
      </c>
      <c r="L1797" s="59">
        <f t="shared" si="30"/>
        <v>0</v>
      </c>
      <c r="M1797" s="59">
        <f t="shared" si="31"/>
        <v>0</v>
      </c>
    </row>
    <row r="1798" ht="15.0" hidden="1" customHeight="1">
      <c r="A1798" s="59">
        <f t="shared" si="20"/>
        <v>27</v>
      </c>
      <c r="B1798" s="59" t="str">
        <f t="shared" si="21"/>
        <v/>
      </c>
      <c r="C1798" s="59" t="str">
        <f t="shared" si="22"/>
        <v/>
      </c>
      <c r="D1798" s="45" t="str">
        <f t="shared" si="23"/>
        <v/>
      </c>
      <c r="E1798" s="45" t="str">
        <f t="shared" si="24"/>
        <v/>
      </c>
      <c r="F1798" s="59" t="str">
        <f t="shared" si="25"/>
        <v/>
      </c>
      <c r="G1798" s="59" t="str">
        <f t="shared" si="26"/>
        <v/>
      </c>
      <c r="H1798" s="59" t="str">
        <f t="shared" si="27"/>
        <v>28C01544</v>
      </c>
      <c r="I1798" s="59" t="str">
        <f>IF(OR($A1798="",$C1798="",$D1798="",$E1798="",$H1798=""),"",SUMIFS(DATA_GOC!$H:$H,DATA_GOC!$A:$A,"BOM",DATA_GOC!$D:$D,$H1798,DATA_GOC!$E:$E,$C1798,DATA_GOC!$F:$F,"Xuất nội bộ từ téc",DATA_GOC!$B:$B,"&gt;="&amp;$D1798,DATA_GOC!$B:$B,"&lt;="&amp;$E1798))</f>
        <v/>
      </c>
      <c r="J1798" s="59">
        <f t="shared" si="28"/>
        <v>0</v>
      </c>
      <c r="K1798" s="59">
        <f t="shared" si="29"/>
        <v>0</v>
      </c>
      <c r="L1798" s="59">
        <f t="shared" si="30"/>
        <v>0</v>
      </c>
      <c r="M1798" s="59">
        <f t="shared" si="31"/>
        <v>0</v>
      </c>
    </row>
    <row r="1799" ht="15.0" hidden="1" customHeight="1">
      <c r="A1799" s="59">
        <f t="shared" si="20"/>
        <v>27</v>
      </c>
      <c r="B1799" s="59" t="str">
        <f t="shared" si="21"/>
        <v/>
      </c>
      <c r="C1799" s="59" t="str">
        <f t="shared" si="22"/>
        <v/>
      </c>
      <c r="D1799" s="45" t="str">
        <f t="shared" si="23"/>
        <v/>
      </c>
      <c r="E1799" s="45" t="str">
        <f t="shared" si="24"/>
        <v/>
      </c>
      <c r="F1799" s="59" t="str">
        <f t="shared" si="25"/>
        <v/>
      </c>
      <c r="G1799" s="59" t="str">
        <f t="shared" si="26"/>
        <v/>
      </c>
      <c r="H1799" s="59" t="str">
        <f t="shared" si="27"/>
        <v>28C01622</v>
      </c>
      <c r="I1799" s="59" t="str">
        <f>IF(OR($A1799="",$C1799="",$D1799="",$E1799="",$H1799=""),"",SUMIFS(DATA_GOC!$H:$H,DATA_GOC!$A:$A,"BOM",DATA_GOC!$D:$D,$H1799,DATA_GOC!$E:$E,$C1799,DATA_GOC!$F:$F,"Xuất nội bộ từ téc",DATA_GOC!$B:$B,"&gt;="&amp;$D1799,DATA_GOC!$B:$B,"&lt;="&amp;$E1799))</f>
        <v/>
      </c>
      <c r="J1799" s="59">
        <f t="shared" si="28"/>
        <v>0</v>
      </c>
      <c r="K1799" s="59">
        <f t="shared" si="29"/>
        <v>0</v>
      </c>
      <c r="L1799" s="59">
        <f t="shared" si="30"/>
        <v>0</v>
      </c>
      <c r="M1799" s="59">
        <f t="shared" si="31"/>
        <v>0</v>
      </c>
    </row>
    <row r="1800" ht="15.0" hidden="1" customHeight="1">
      <c r="A1800" s="59">
        <f t="shared" si="20"/>
        <v>27</v>
      </c>
      <c r="B1800" s="59" t="str">
        <f t="shared" si="21"/>
        <v/>
      </c>
      <c r="C1800" s="59" t="str">
        <f t="shared" si="22"/>
        <v/>
      </c>
      <c r="D1800" s="45" t="str">
        <f t="shared" si="23"/>
        <v/>
      </c>
      <c r="E1800" s="45" t="str">
        <f t="shared" si="24"/>
        <v/>
      </c>
      <c r="F1800" s="59" t="str">
        <f t="shared" si="25"/>
        <v/>
      </c>
      <c r="G1800" s="59" t="str">
        <f t="shared" si="26"/>
        <v/>
      </c>
      <c r="H1800" s="59" t="str">
        <f t="shared" si="27"/>
        <v>28C01647</v>
      </c>
      <c r="I1800" s="59" t="str">
        <f>IF(OR($A1800="",$C1800="",$D1800="",$E1800="",$H1800=""),"",SUMIFS(DATA_GOC!$H:$H,DATA_GOC!$A:$A,"BOM",DATA_GOC!$D:$D,$H1800,DATA_GOC!$E:$E,$C1800,DATA_GOC!$F:$F,"Xuất nội bộ từ téc",DATA_GOC!$B:$B,"&gt;="&amp;$D1800,DATA_GOC!$B:$B,"&lt;="&amp;$E1800))</f>
        <v/>
      </c>
      <c r="J1800" s="59">
        <f t="shared" si="28"/>
        <v>0</v>
      </c>
      <c r="K1800" s="59">
        <f t="shared" si="29"/>
        <v>0</v>
      </c>
      <c r="L1800" s="59">
        <f t="shared" si="30"/>
        <v>0</v>
      </c>
      <c r="M1800" s="59">
        <f t="shared" si="31"/>
        <v>0</v>
      </c>
    </row>
    <row r="1801" ht="15.0" hidden="1" customHeight="1">
      <c r="A1801" s="59">
        <f t="shared" si="20"/>
        <v>27</v>
      </c>
      <c r="B1801" s="59" t="str">
        <f t="shared" si="21"/>
        <v/>
      </c>
      <c r="C1801" s="59" t="str">
        <f t="shared" si="22"/>
        <v/>
      </c>
      <c r="D1801" s="45" t="str">
        <f t="shared" si="23"/>
        <v/>
      </c>
      <c r="E1801" s="45" t="str">
        <f t="shared" si="24"/>
        <v/>
      </c>
      <c r="F1801" s="59" t="str">
        <f t="shared" si="25"/>
        <v/>
      </c>
      <c r="G1801" s="59" t="str">
        <f t="shared" si="26"/>
        <v/>
      </c>
      <c r="H1801" s="59" t="str">
        <f t="shared" si="27"/>
        <v>28C01731</v>
      </c>
      <c r="I1801" s="59" t="str">
        <f>IF(OR($A1801="",$C1801="",$D1801="",$E1801="",$H1801=""),"",SUMIFS(DATA_GOC!$H:$H,DATA_GOC!$A:$A,"BOM",DATA_GOC!$D:$D,$H1801,DATA_GOC!$E:$E,$C1801,DATA_GOC!$F:$F,"Xuất nội bộ từ téc",DATA_GOC!$B:$B,"&gt;="&amp;$D1801,DATA_GOC!$B:$B,"&lt;="&amp;$E1801))</f>
        <v/>
      </c>
      <c r="J1801" s="59">
        <f t="shared" si="28"/>
        <v>0</v>
      </c>
      <c r="K1801" s="59">
        <f t="shared" si="29"/>
        <v>0</v>
      </c>
      <c r="L1801" s="59">
        <f t="shared" si="30"/>
        <v>0</v>
      </c>
      <c r="M1801" s="59">
        <f t="shared" si="31"/>
        <v>0</v>
      </c>
    </row>
    <row r="1802" ht="15.0" hidden="1" customHeight="1">
      <c r="A1802" s="59">
        <f t="shared" si="20"/>
        <v>27</v>
      </c>
      <c r="B1802" s="59" t="str">
        <f t="shared" si="21"/>
        <v/>
      </c>
      <c r="C1802" s="59" t="str">
        <f t="shared" si="22"/>
        <v/>
      </c>
      <c r="D1802" s="45" t="str">
        <f t="shared" si="23"/>
        <v/>
      </c>
      <c r="E1802" s="45" t="str">
        <f t="shared" si="24"/>
        <v/>
      </c>
      <c r="F1802" s="59" t="str">
        <f t="shared" si="25"/>
        <v/>
      </c>
      <c r="G1802" s="59" t="str">
        <f t="shared" si="26"/>
        <v/>
      </c>
      <c r="H1802" s="59" t="str">
        <f t="shared" si="27"/>
        <v>28C01743</v>
      </c>
      <c r="I1802" s="59" t="str">
        <f>IF(OR($A1802="",$C1802="",$D1802="",$E1802="",$H1802=""),"",SUMIFS(DATA_GOC!$H:$H,DATA_GOC!$A:$A,"BOM",DATA_GOC!$D:$D,$H1802,DATA_GOC!$E:$E,$C1802,DATA_GOC!$F:$F,"Xuất nội bộ từ téc",DATA_GOC!$B:$B,"&gt;="&amp;$D1802,DATA_GOC!$B:$B,"&lt;="&amp;$E1802))</f>
        <v/>
      </c>
      <c r="J1802" s="59">
        <f t="shared" si="28"/>
        <v>0</v>
      </c>
      <c r="K1802" s="59">
        <f t="shared" si="29"/>
        <v>0</v>
      </c>
      <c r="L1802" s="59">
        <f t="shared" si="30"/>
        <v>0</v>
      </c>
      <c r="M1802" s="59">
        <f t="shared" si="31"/>
        <v>0</v>
      </c>
    </row>
    <row r="1803" ht="15.0" hidden="1" customHeight="1">
      <c r="A1803" s="59">
        <f t="shared" si="20"/>
        <v>27</v>
      </c>
      <c r="B1803" s="59" t="str">
        <f t="shared" si="21"/>
        <v/>
      </c>
      <c r="C1803" s="59" t="str">
        <f t="shared" si="22"/>
        <v/>
      </c>
      <c r="D1803" s="45" t="str">
        <f t="shared" si="23"/>
        <v/>
      </c>
      <c r="E1803" s="45" t="str">
        <f t="shared" si="24"/>
        <v/>
      </c>
      <c r="F1803" s="59" t="str">
        <f t="shared" si="25"/>
        <v/>
      </c>
      <c r="G1803" s="59" t="str">
        <f t="shared" si="26"/>
        <v/>
      </c>
      <c r="H1803" s="59" t="str">
        <f t="shared" si="27"/>
        <v>28C02106</v>
      </c>
      <c r="I1803" s="59" t="str">
        <f>IF(OR($A1803="",$C1803="",$D1803="",$E1803="",$H1803=""),"",SUMIFS(DATA_GOC!$H:$H,DATA_GOC!$A:$A,"BOM",DATA_GOC!$D:$D,$H1803,DATA_GOC!$E:$E,$C1803,DATA_GOC!$F:$F,"Xuất nội bộ từ téc",DATA_GOC!$B:$B,"&gt;="&amp;$D1803,DATA_GOC!$B:$B,"&lt;="&amp;$E1803))</f>
        <v/>
      </c>
      <c r="J1803" s="59">
        <f t="shared" si="28"/>
        <v>0</v>
      </c>
      <c r="K1803" s="59">
        <f t="shared" si="29"/>
        <v>0</v>
      </c>
      <c r="L1803" s="59">
        <f t="shared" si="30"/>
        <v>0</v>
      </c>
      <c r="M1803" s="59">
        <f t="shared" si="31"/>
        <v>0</v>
      </c>
    </row>
    <row r="1804" ht="15.0" hidden="1" customHeight="1">
      <c r="A1804" s="59">
        <f t="shared" si="20"/>
        <v>27</v>
      </c>
      <c r="B1804" s="59" t="str">
        <f t="shared" si="21"/>
        <v/>
      </c>
      <c r="C1804" s="59" t="str">
        <f t="shared" si="22"/>
        <v/>
      </c>
      <c r="D1804" s="45" t="str">
        <f t="shared" si="23"/>
        <v/>
      </c>
      <c r="E1804" s="45" t="str">
        <f t="shared" si="24"/>
        <v/>
      </c>
      <c r="F1804" s="59" t="str">
        <f t="shared" si="25"/>
        <v/>
      </c>
      <c r="G1804" s="59" t="str">
        <f t="shared" si="26"/>
        <v/>
      </c>
      <c r="H1804" s="59" t="str">
        <f t="shared" si="27"/>
        <v>28C02410</v>
      </c>
      <c r="I1804" s="59" t="str">
        <f>IF(OR($A1804="",$C1804="",$D1804="",$E1804="",$H1804=""),"",SUMIFS(DATA_GOC!$H:$H,DATA_GOC!$A:$A,"BOM",DATA_GOC!$D:$D,$H1804,DATA_GOC!$E:$E,$C1804,DATA_GOC!$F:$F,"Xuất nội bộ từ téc",DATA_GOC!$B:$B,"&gt;="&amp;$D1804,DATA_GOC!$B:$B,"&lt;="&amp;$E1804))</f>
        <v/>
      </c>
      <c r="J1804" s="59">
        <f t="shared" si="28"/>
        <v>0</v>
      </c>
      <c r="K1804" s="59">
        <f t="shared" si="29"/>
        <v>0</v>
      </c>
      <c r="L1804" s="59">
        <f t="shared" si="30"/>
        <v>0</v>
      </c>
      <c r="M1804" s="59">
        <f t="shared" si="31"/>
        <v>0</v>
      </c>
    </row>
    <row r="1805" ht="15.0" hidden="1" customHeight="1">
      <c r="A1805" s="59">
        <f t="shared" si="20"/>
        <v>27</v>
      </c>
      <c r="B1805" s="59" t="str">
        <f t="shared" si="21"/>
        <v/>
      </c>
      <c r="C1805" s="59" t="str">
        <f t="shared" si="22"/>
        <v/>
      </c>
      <c r="D1805" s="45" t="str">
        <f t="shared" si="23"/>
        <v/>
      </c>
      <c r="E1805" s="45" t="str">
        <f t="shared" si="24"/>
        <v/>
      </c>
      <c r="F1805" s="59" t="str">
        <f t="shared" si="25"/>
        <v/>
      </c>
      <c r="G1805" s="59" t="str">
        <f t="shared" si="26"/>
        <v/>
      </c>
      <c r="H1805" s="59" t="str">
        <f t="shared" si="27"/>
        <v>28C02545</v>
      </c>
      <c r="I1805" s="59" t="str">
        <f>IF(OR($A1805="",$C1805="",$D1805="",$E1805="",$H1805=""),"",SUMIFS(DATA_GOC!$H:$H,DATA_GOC!$A:$A,"BOM",DATA_GOC!$D:$D,$H1805,DATA_GOC!$E:$E,$C1805,DATA_GOC!$F:$F,"Xuất nội bộ từ téc",DATA_GOC!$B:$B,"&gt;="&amp;$D1805,DATA_GOC!$B:$B,"&lt;="&amp;$E1805))</f>
        <v/>
      </c>
      <c r="J1805" s="59">
        <f t="shared" si="28"/>
        <v>0</v>
      </c>
      <c r="K1805" s="59">
        <f t="shared" si="29"/>
        <v>0</v>
      </c>
      <c r="L1805" s="59">
        <f t="shared" si="30"/>
        <v>0</v>
      </c>
      <c r="M1805" s="59">
        <f t="shared" si="31"/>
        <v>0</v>
      </c>
    </row>
    <row r="1806" ht="15.0" hidden="1" customHeight="1">
      <c r="A1806" s="59">
        <f t="shared" si="20"/>
        <v>27</v>
      </c>
      <c r="B1806" s="59" t="str">
        <f t="shared" si="21"/>
        <v/>
      </c>
      <c r="C1806" s="59" t="str">
        <f t="shared" si="22"/>
        <v/>
      </c>
      <c r="D1806" s="45" t="str">
        <f t="shared" si="23"/>
        <v/>
      </c>
      <c r="E1806" s="45" t="str">
        <f t="shared" si="24"/>
        <v/>
      </c>
      <c r="F1806" s="59" t="str">
        <f t="shared" si="25"/>
        <v/>
      </c>
      <c r="G1806" s="59" t="str">
        <f t="shared" si="26"/>
        <v/>
      </c>
      <c r="H1806" s="59" t="str">
        <f t="shared" si="27"/>
        <v>28C02574</v>
      </c>
      <c r="I1806" s="59" t="str">
        <f>IF(OR($A1806="",$C1806="",$D1806="",$E1806="",$H1806=""),"",SUMIFS(DATA_GOC!$H:$H,DATA_GOC!$A:$A,"BOM",DATA_GOC!$D:$D,$H1806,DATA_GOC!$E:$E,$C1806,DATA_GOC!$F:$F,"Xuất nội bộ từ téc",DATA_GOC!$B:$B,"&gt;="&amp;$D1806,DATA_GOC!$B:$B,"&lt;="&amp;$E1806))</f>
        <v/>
      </c>
      <c r="J1806" s="59">
        <f t="shared" si="28"/>
        <v>0</v>
      </c>
      <c r="K1806" s="59">
        <f t="shared" si="29"/>
        <v>0</v>
      </c>
      <c r="L1806" s="59">
        <f t="shared" si="30"/>
        <v>0</v>
      </c>
      <c r="M1806" s="59">
        <f t="shared" si="31"/>
        <v>0</v>
      </c>
    </row>
    <row r="1807" ht="15.0" hidden="1" customHeight="1">
      <c r="A1807" s="59">
        <f t="shared" si="20"/>
        <v>27</v>
      </c>
      <c r="B1807" s="59" t="str">
        <f t="shared" si="21"/>
        <v/>
      </c>
      <c r="C1807" s="59" t="str">
        <f t="shared" si="22"/>
        <v/>
      </c>
      <c r="D1807" s="45" t="str">
        <f t="shared" si="23"/>
        <v/>
      </c>
      <c r="E1807" s="45" t="str">
        <f t="shared" si="24"/>
        <v/>
      </c>
      <c r="F1807" s="59" t="str">
        <f t="shared" si="25"/>
        <v/>
      </c>
      <c r="G1807" s="59" t="str">
        <f t="shared" si="26"/>
        <v/>
      </c>
      <c r="H1807" s="59" t="str">
        <f t="shared" si="27"/>
        <v>28C02770</v>
      </c>
      <c r="I1807" s="59" t="str">
        <f>IF(OR($A1807="",$C1807="",$D1807="",$E1807="",$H1807=""),"",SUMIFS(DATA_GOC!$H:$H,DATA_GOC!$A:$A,"BOM",DATA_GOC!$D:$D,$H1807,DATA_GOC!$E:$E,$C1807,DATA_GOC!$F:$F,"Xuất nội bộ từ téc",DATA_GOC!$B:$B,"&gt;="&amp;$D1807,DATA_GOC!$B:$B,"&lt;="&amp;$E1807))</f>
        <v/>
      </c>
      <c r="J1807" s="59">
        <f t="shared" si="28"/>
        <v>0</v>
      </c>
      <c r="K1807" s="59">
        <f t="shared" si="29"/>
        <v>0</v>
      </c>
      <c r="L1807" s="59">
        <f t="shared" si="30"/>
        <v>0</v>
      </c>
      <c r="M1807" s="59">
        <f t="shared" si="31"/>
        <v>0</v>
      </c>
    </row>
    <row r="1808" ht="15.0" hidden="1" customHeight="1">
      <c r="A1808" s="59">
        <f t="shared" si="20"/>
        <v>27</v>
      </c>
      <c r="B1808" s="59" t="str">
        <f t="shared" si="21"/>
        <v/>
      </c>
      <c r="C1808" s="59" t="str">
        <f t="shared" si="22"/>
        <v/>
      </c>
      <c r="D1808" s="45" t="str">
        <f t="shared" si="23"/>
        <v/>
      </c>
      <c r="E1808" s="45" t="str">
        <f t="shared" si="24"/>
        <v/>
      </c>
      <c r="F1808" s="59" t="str">
        <f t="shared" si="25"/>
        <v/>
      </c>
      <c r="G1808" s="59" t="str">
        <f t="shared" si="26"/>
        <v/>
      </c>
      <c r="H1808" s="59" t="str">
        <f t="shared" si="27"/>
        <v>28C02986</v>
      </c>
      <c r="I1808" s="59" t="str">
        <f>IF(OR($A1808="",$C1808="",$D1808="",$E1808="",$H1808=""),"",SUMIFS(DATA_GOC!$H:$H,DATA_GOC!$A:$A,"BOM",DATA_GOC!$D:$D,$H1808,DATA_GOC!$E:$E,$C1808,DATA_GOC!$F:$F,"Xuất nội bộ từ téc",DATA_GOC!$B:$B,"&gt;="&amp;$D1808,DATA_GOC!$B:$B,"&lt;="&amp;$E1808))</f>
        <v/>
      </c>
      <c r="J1808" s="59">
        <f t="shared" si="28"/>
        <v>0</v>
      </c>
      <c r="K1808" s="59">
        <f t="shared" si="29"/>
        <v>0</v>
      </c>
      <c r="L1808" s="59">
        <f t="shared" si="30"/>
        <v>0</v>
      </c>
      <c r="M1808" s="59">
        <f t="shared" si="31"/>
        <v>0</v>
      </c>
    </row>
    <row r="1809" ht="15.0" hidden="1" customHeight="1">
      <c r="A1809" s="59">
        <f t="shared" si="20"/>
        <v>27</v>
      </c>
      <c r="B1809" s="59" t="str">
        <f t="shared" si="21"/>
        <v/>
      </c>
      <c r="C1809" s="59" t="str">
        <f t="shared" si="22"/>
        <v/>
      </c>
      <c r="D1809" s="45" t="str">
        <f t="shared" si="23"/>
        <v/>
      </c>
      <c r="E1809" s="45" t="str">
        <f t="shared" si="24"/>
        <v/>
      </c>
      <c r="F1809" s="59" t="str">
        <f t="shared" si="25"/>
        <v/>
      </c>
      <c r="G1809" s="59" t="str">
        <f t="shared" si="26"/>
        <v/>
      </c>
      <c r="H1809" s="59" t="str">
        <f t="shared" si="27"/>
        <v>28C03261</v>
      </c>
      <c r="I1809" s="59" t="str">
        <f>IF(OR($A1809="",$C1809="",$D1809="",$E1809="",$H1809=""),"",SUMIFS(DATA_GOC!$H:$H,DATA_GOC!$A:$A,"BOM",DATA_GOC!$D:$D,$H1809,DATA_GOC!$E:$E,$C1809,DATA_GOC!$F:$F,"Xuất nội bộ từ téc",DATA_GOC!$B:$B,"&gt;="&amp;$D1809,DATA_GOC!$B:$B,"&lt;="&amp;$E1809))</f>
        <v/>
      </c>
      <c r="J1809" s="59">
        <f t="shared" si="28"/>
        <v>0</v>
      </c>
      <c r="K1809" s="59">
        <f t="shared" si="29"/>
        <v>0</v>
      </c>
      <c r="L1809" s="59">
        <f t="shared" si="30"/>
        <v>0</v>
      </c>
      <c r="M1809" s="59">
        <f t="shared" si="31"/>
        <v>0</v>
      </c>
    </row>
    <row r="1810" ht="15.0" hidden="1" customHeight="1">
      <c r="A1810" s="59">
        <f t="shared" si="20"/>
        <v>27</v>
      </c>
      <c r="B1810" s="59" t="str">
        <f t="shared" si="21"/>
        <v/>
      </c>
      <c r="C1810" s="59" t="str">
        <f t="shared" si="22"/>
        <v/>
      </c>
      <c r="D1810" s="45" t="str">
        <f t="shared" si="23"/>
        <v/>
      </c>
      <c r="E1810" s="45" t="str">
        <f t="shared" si="24"/>
        <v/>
      </c>
      <c r="F1810" s="59" t="str">
        <f t="shared" si="25"/>
        <v/>
      </c>
      <c r="G1810" s="59" t="str">
        <f t="shared" si="26"/>
        <v/>
      </c>
      <c r="H1810" s="59" t="str">
        <f t="shared" si="27"/>
        <v>28C03323</v>
      </c>
      <c r="I1810" s="59" t="str">
        <f>IF(OR($A1810="",$C1810="",$D1810="",$E1810="",$H1810=""),"",SUMIFS(DATA_GOC!$H:$H,DATA_GOC!$A:$A,"BOM",DATA_GOC!$D:$D,$H1810,DATA_GOC!$E:$E,$C1810,DATA_GOC!$F:$F,"Xuất nội bộ từ téc",DATA_GOC!$B:$B,"&gt;="&amp;$D1810,DATA_GOC!$B:$B,"&lt;="&amp;$E1810))</f>
        <v/>
      </c>
      <c r="J1810" s="59">
        <f t="shared" si="28"/>
        <v>0</v>
      </c>
      <c r="K1810" s="59">
        <f t="shared" si="29"/>
        <v>0</v>
      </c>
      <c r="L1810" s="59">
        <f t="shared" si="30"/>
        <v>0</v>
      </c>
      <c r="M1810" s="59">
        <f t="shared" si="31"/>
        <v>0</v>
      </c>
    </row>
    <row r="1811" ht="15.0" hidden="1" customHeight="1">
      <c r="A1811" s="59">
        <f t="shared" si="20"/>
        <v>27</v>
      </c>
      <c r="B1811" s="59" t="str">
        <f t="shared" si="21"/>
        <v/>
      </c>
      <c r="C1811" s="59" t="str">
        <f t="shared" si="22"/>
        <v/>
      </c>
      <c r="D1811" s="45" t="str">
        <f t="shared" si="23"/>
        <v/>
      </c>
      <c r="E1811" s="45" t="str">
        <f t="shared" si="24"/>
        <v/>
      </c>
      <c r="F1811" s="59" t="str">
        <f t="shared" si="25"/>
        <v/>
      </c>
      <c r="G1811" s="59" t="str">
        <f t="shared" si="26"/>
        <v/>
      </c>
      <c r="H1811" s="59" t="str">
        <f t="shared" si="27"/>
        <v>28C03385</v>
      </c>
      <c r="I1811" s="59" t="str">
        <f>IF(OR($A1811="",$C1811="",$D1811="",$E1811="",$H1811=""),"",SUMIFS(DATA_GOC!$H:$H,DATA_GOC!$A:$A,"BOM",DATA_GOC!$D:$D,$H1811,DATA_GOC!$E:$E,$C1811,DATA_GOC!$F:$F,"Xuất nội bộ từ téc",DATA_GOC!$B:$B,"&gt;="&amp;$D1811,DATA_GOC!$B:$B,"&lt;="&amp;$E1811))</f>
        <v/>
      </c>
      <c r="J1811" s="59">
        <f t="shared" si="28"/>
        <v>0</v>
      </c>
      <c r="K1811" s="59">
        <f t="shared" si="29"/>
        <v>0</v>
      </c>
      <c r="L1811" s="59">
        <f t="shared" si="30"/>
        <v>0</v>
      </c>
      <c r="M1811" s="59">
        <f t="shared" si="31"/>
        <v>0</v>
      </c>
    </row>
    <row r="1812" ht="15.0" hidden="1" customHeight="1">
      <c r="A1812" s="59">
        <f t="shared" si="20"/>
        <v>27</v>
      </c>
      <c r="B1812" s="59" t="str">
        <f t="shared" si="21"/>
        <v/>
      </c>
      <c r="C1812" s="59" t="str">
        <f t="shared" si="22"/>
        <v/>
      </c>
      <c r="D1812" s="45" t="str">
        <f t="shared" si="23"/>
        <v/>
      </c>
      <c r="E1812" s="45" t="str">
        <f t="shared" si="24"/>
        <v/>
      </c>
      <c r="F1812" s="59" t="str">
        <f t="shared" si="25"/>
        <v/>
      </c>
      <c r="G1812" s="59" t="str">
        <f t="shared" si="26"/>
        <v/>
      </c>
      <c r="H1812" s="59" t="str">
        <f t="shared" si="27"/>
        <v>28C03652</v>
      </c>
      <c r="I1812" s="59" t="str">
        <f>IF(OR($A1812="",$C1812="",$D1812="",$E1812="",$H1812=""),"",SUMIFS(DATA_GOC!$H:$H,DATA_GOC!$A:$A,"BOM",DATA_GOC!$D:$D,$H1812,DATA_GOC!$E:$E,$C1812,DATA_GOC!$F:$F,"Xuất nội bộ từ téc",DATA_GOC!$B:$B,"&gt;="&amp;$D1812,DATA_GOC!$B:$B,"&lt;="&amp;$E1812))</f>
        <v/>
      </c>
      <c r="J1812" s="59">
        <f t="shared" si="28"/>
        <v>0</v>
      </c>
      <c r="K1812" s="59">
        <f t="shared" si="29"/>
        <v>0</v>
      </c>
      <c r="L1812" s="59">
        <f t="shared" si="30"/>
        <v>0</v>
      </c>
      <c r="M1812" s="59">
        <f t="shared" si="31"/>
        <v>0</v>
      </c>
    </row>
    <row r="1813" ht="15.0" hidden="1" customHeight="1">
      <c r="A1813" s="59">
        <f t="shared" si="20"/>
        <v>27</v>
      </c>
      <c r="B1813" s="59" t="str">
        <f t="shared" si="21"/>
        <v/>
      </c>
      <c r="C1813" s="59" t="str">
        <f t="shared" si="22"/>
        <v/>
      </c>
      <c r="D1813" s="45" t="str">
        <f t="shared" si="23"/>
        <v/>
      </c>
      <c r="E1813" s="45" t="str">
        <f t="shared" si="24"/>
        <v/>
      </c>
      <c r="F1813" s="59" t="str">
        <f t="shared" si="25"/>
        <v/>
      </c>
      <c r="G1813" s="59" t="str">
        <f t="shared" si="26"/>
        <v/>
      </c>
      <c r="H1813" s="59" t="str">
        <f t="shared" si="27"/>
        <v>28C03695</v>
      </c>
      <c r="I1813" s="59" t="str">
        <f>IF(OR($A1813="",$C1813="",$D1813="",$E1813="",$H1813=""),"",SUMIFS(DATA_GOC!$H:$H,DATA_GOC!$A:$A,"BOM",DATA_GOC!$D:$D,$H1813,DATA_GOC!$E:$E,$C1813,DATA_GOC!$F:$F,"Xuất nội bộ từ téc",DATA_GOC!$B:$B,"&gt;="&amp;$D1813,DATA_GOC!$B:$B,"&lt;="&amp;$E1813))</f>
        <v/>
      </c>
      <c r="J1813" s="59">
        <f t="shared" si="28"/>
        <v>0</v>
      </c>
      <c r="K1813" s="59">
        <f t="shared" si="29"/>
        <v>0</v>
      </c>
      <c r="L1813" s="59">
        <f t="shared" si="30"/>
        <v>0</v>
      </c>
      <c r="M1813" s="59">
        <f t="shared" si="31"/>
        <v>0</v>
      </c>
    </row>
    <row r="1814" ht="15.0" hidden="1" customHeight="1">
      <c r="A1814" s="59">
        <f t="shared" si="20"/>
        <v>27</v>
      </c>
      <c r="B1814" s="59" t="str">
        <f t="shared" si="21"/>
        <v/>
      </c>
      <c r="C1814" s="59" t="str">
        <f t="shared" si="22"/>
        <v/>
      </c>
      <c r="D1814" s="45" t="str">
        <f t="shared" si="23"/>
        <v/>
      </c>
      <c r="E1814" s="45" t="str">
        <f t="shared" si="24"/>
        <v/>
      </c>
      <c r="F1814" s="59" t="str">
        <f t="shared" si="25"/>
        <v/>
      </c>
      <c r="G1814" s="59" t="str">
        <f t="shared" si="26"/>
        <v/>
      </c>
      <c r="H1814" s="59" t="str">
        <f t="shared" si="27"/>
        <v>28C03927</v>
      </c>
      <c r="I1814" s="59" t="str">
        <f>IF(OR($A1814="",$C1814="",$D1814="",$E1814="",$H1814=""),"",SUMIFS(DATA_GOC!$H:$H,DATA_GOC!$A:$A,"BOM",DATA_GOC!$D:$D,$H1814,DATA_GOC!$E:$E,$C1814,DATA_GOC!$F:$F,"Xuất nội bộ từ téc",DATA_GOC!$B:$B,"&gt;="&amp;$D1814,DATA_GOC!$B:$B,"&lt;="&amp;$E1814))</f>
        <v/>
      </c>
      <c r="J1814" s="59">
        <f t="shared" si="28"/>
        <v>0</v>
      </c>
      <c r="K1814" s="59">
        <f t="shared" si="29"/>
        <v>0</v>
      </c>
      <c r="L1814" s="59">
        <f t="shared" si="30"/>
        <v>0</v>
      </c>
      <c r="M1814" s="59">
        <f t="shared" si="31"/>
        <v>0</v>
      </c>
    </row>
    <row r="1815" ht="15.0" hidden="1" customHeight="1">
      <c r="A1815" s="59">
        <f t="shared" si="20"/>
        <v>27</v>
      </c>
      <c r="B1815" s="59" t="str">
        <f t="shared" si="21"/>
        <v/>
      </c>
      <c r="C1815" s="59" t="str">
        <f t="shared" si="22"/>
        <v/>
      </c>
      <c r="D1815" s="45" t="str">
        <f t="shared" si="23"/>
        <v/>
      </c>
      <c r="E1815" s="45" t="str">
        <f t="shared" si="24"/>
        <v/>
      </c>
      <c r="F1815" s="59" t="str">
        <f t="shared" si="25"/>
        <v/>
      </c>
      <c r="G1815" s="59" t="str">
        <f t="shared" si="26"/>
        <v/>
      </c>
      <c r="H1815" s="59" t="str">
        <f t="shared" si="27"/>
        <v>28C04509</v>
      </c>
      <c r="I1815" s="59" t="str">
        <f>IF(OR($A1815="",$C1815="",$D1815="",$E1815="",$H1815=""),"",SUMIFS(DATA_GOC!$H:$H,DATA_GOC!$A:$A,"BOM",DATA_GOC!$D:$D,$H1815,DATA_GOC!$E:$E,$C1815,DATA_GOC!$F:$F,"Xuất nội bộ từ téc",DATA_GOC!$B:$B,"&gt;="&amp;$D1815,DATA_GOC!$B:$B,"&lt;="&amp;$E1815))</f>
        <v/>
      </c>
      <c r="J1815" s="59">
        <f t="shared" si="28"/>
        <v>0</v>
      </c>
      <c r="K1815" s="59">
        <f t="shared" si="29"/>
        <v>0</v>
      </c>
      <c r="L1815" s="59">
        <f t="shared" si="30"/>
        <v>0</v>
      </c>
      <c r="M1815" s="59">
        <f t="shared" si="31"/>
        <v>0</v>
      </c>
    </row>
    <row r="1816" ht="15.0" hidden="1" customHeight="1">
      <c r="A1816" s="59">
        <f t="shared" si="20"/>
        <v>27</v>
      </c>
      <c r="B1816" s="59" t="str">
        <f t="shared" si="21"/>
        <v/>
      </c>
      <c r="C1816" s="59" t="str">
        <f t="shared" si="22"/>
        <v/>
      </c>
      <c r="D1816" s="45" t="str">
        <f t="shared" si="23"/>
        <v/>
      </c>
      <c r="E1816" s="45" t="str">
        <f t="shared" si="24"/>
        <v/>
      </c>
      <c r="F1816" s="59" t="str">
        <f t="shared" si="25"/>
        <v/>
      </c>
      <c r="G1816" s="59" t="str">
        <f t="shared" si="26"/>
        <v/>
      </c>
      <c r="H1816" s="59" t="str">
        <f t="shared" si="27"/>
        <v>28C04536</v>
      </c>
      <c r="I1816" s="59" t="str">
        <f>IF(OR($A1816="",$C1816="",$D1816="",$E1816="",$H1816=""),"",SUMIFS(DATA_GOC!$H:$H,DATA_GOC!$A:$A,"BOM",DATA_GOC!$D:$D,$H1816,DATA_GOC!$E:$E,$C1816,DATA_GOC!$F:$F,"Xuất nội bộ từ téc",DATA_GOC!$B:$B,"&gt;="&amp;$D1816,DATA_GOC!$B:$B,"&lt;="&amp;$E1816))</f>
        <v/>
      </c>
      <c r="J1816" s="59">
        <f t="shared" si="28"/>
        <v>0</v>
      </c>
      <c r="K1816" s="59">
        <f t="shared" si="29"/>
        <v>0</v>
      </c>
      <c r="L1816" s="59">
        <f t="shared" si="30"/>
        <v>0</v>
      </c>
      <c r="M1816" s="59">
        <f t="shared" si="31"/>
        <v>0</v>
      </c>
    </row>
    <row r="1817" ht="15.0" hidden="1" customHeight="1">
      <c r="A1817" s="59">
        <f t="shared" si="20"/>
        <v>27</v>
      </c>
      <c r="B1817" s="59" t="str">
        <f t="shared" si="21"/>
        <v/>
      </c>
      <c r="C1817" s="59" t="str">
        <f t="shared" si="22"/>
        <v/>
      </c>
      <c r="D1817" s="45" t="str">
        <f t="shared" si="23"/>
        <v/>
      </c>
      <c r="E1817" s="45" t="str">
        <f t="shared" si="24"/>
        <v/>
      </c>
      <c r="F1817" s="59" t="str">
        <f t="shared" si="25"/>
        <v/>
      </c>
      <c r="G1817" s="59" t="str">
        <f t="shared" si="26"/>
        <v/>
      </c>
      <c r="H1817" s="59" t="str">
        <f t="shared" si="27"/>
        <v>28C04576</v>
      </c>
      <c r="I1817" s="59" t="str">
        <f>IF(OR($A1817="",$C1817="",$D1817="",$E1817="",$H1817=""),"",SUMIFS(DATA_GOC!$H:$H,DATA_GOC!$A:$A,"BOM",DATA_GOC!$D:$D,$H1817,DATA_GOC!$E:$E,$C1817,DATA_GOC!$F:$F,"Xuất nội bộ từ téc",DATA_GOC!$B:$B,"&gt;="&amp;$D1817,DATA_GOC!$B:$B,"&lt;="&amp;$E1817))</f>
        <v/>
      </c>
      <c r="J1817" s="59">
        <f t="shared" si="28"/>
        <v>0</v>
      </c>
      <c r="K1817" s="59">
        <f t="shared" si="29"/>
        <v>0</v>
      </c>
      <c r="L1817" s="59">
        <f t="shared" si="30"/>
        <v>0</v>
      </c>
      <c r="M1817" s="59">
        <f t="shared" si="31"/>
        <v>0</v>
      </c>
    </row>
    <row r="1818" ht="15.0" hidden="1" customHeight="1">
      <c r="A1818" s="59">
        <f t="shared" si="20"/>
        <v>27</v>
      </c>
      <c r="B1818" s="59" t="str">
        <f t="shared" si="21"/>
        <v/>
      </c>
      <c r="C1818" s="59" t="str">
        <f t="shared" si="22"/>
        <v/>
      </c>
      <c r="D1818" s="45" t="str">
        <f t="shared" si="23"/>
        <v/>
      </c>
      <c r="E1818" s="45" t="str">
        <f t="shared" si="24"/>
        <v/>
      </c>
      <c r="F1818" s="59" t="str">
        <f t="shared" si="25"/>
        <v/>
      </c>
      <c r="G1818" s="59" t="str">
        <f t="shared" si="26"/>
        <v/>
      </c>
      <c r="H1818" s="59" t="str">
        <f t="shared" si="27"/>
        <v>28C05090</v>
      </c>
      <c r="I1818" s="59" t="str">
        <f>IF(OR($A1818="",$C1818="",$D1818="",$E1818="",$H1818=""),"",SUMIFS(DATA_GOC!$H:$H,DATA_GOC!$A:$A,"BOM",DATA_GOC!$D:$D,$H1818,DATA_GOC!$E:$E,$C1818,DATA_GOC!$F:$F,"Xuất nội bộ từ téc",DATA_GOC!$B:$B,"&gt;="&amp;$D1818,DATA_GOC!$B:$B,"&lt;="&amp;$E1818))</f>
        <v/>
      </c>
      <c r="J1818" s="59">
        <f t="shared" si="28"/>
        <v>0</v>
      </c>
      <c r="K1818" s="59">
        <f t="shared" si="29"/>
        <v>0</v>
      </c>
      <c r="L1818" s="59">
        <f t="shared" si="30"/>
        <v>0</v>
      </c>
      <c r="M1818" s="59">
        <f t="shared" si="31"/>
        <v>0</v>
      </c>
    </row>
    <row r="1819" ht="15.0" hidden="1" customHeight="1">
      <c r="A1819" s="59">
        <f t="shared" si="20"/>
        <v>27</v>
      </c>
      <c r="B1819" s="59" t="str">
        <f t="shared" si="21"/>
        <v/>
      </c>
      <c r="C1819" s="59" t="str">
        <f t="shared" si="22"/>
        <v/>
      </c>
      <c r="D1819" s="45" t="str">
        <f t="shared" si="23"/>
        <v/>
      </c>
      <c r="E1819" s="45" t="str">
        <f t="shared" si="24"/>
        <v/>
      </c>
      <c r="F1819" s="59" t="str">
        <f t="shared" si="25"/>
        <v/>
      </c>
      <c r="G1819" s="59" t="str">
        <f t="shared" si="26"/>
        <v/>
      </c>
      <c r="H1819" s="59" t="str">
        <f t="shared" si="27"/>
        <v>28C05345</v>
      </c>
      <c r="I1819" s="59" t="str">
        <f>IF(OR($A1819="",$C1819="",$D1819="",$E1819="",$H1819=""),"",SUMIFS(DATA_GOC!$H:$H,DATA_GOC!$A:$A,"BOM",DATA_GOC!$D:$D,$H1819,DATA_GOC!$E:$E,$C1819,DATA_GOC!$F:$F,"Xuất nội bộ từ téc",DATA_GOC!$B:$B,"&gt;="&amp;$D1819,DATA_GOC!$B:$B,"&lt;="&amp;$E1819))</f>
        <v/>
      </c>
      <c r="J1819" s="59">
        <f t="shared" si="28"/>
        <v>0</v>
      </c>
      <c r="K1819" s="59">
        <f t="shared" si="29"/>
        <v>0</v>
      </c>
      <c r="L1819" s="59">
        <f t="shared" si="30"/>
        <v>0</v>
      </c>
      <c r="M1819" s="59">
        <f t="shared" si="31"/>
        <v>0</v>
      </c>
    </row>
    <row r="1820" ht="15.0" hidden="1" customHeight="1">
      <c r="A1820" s="59">
        <f t="shared" si="20"/>
        <v>27</v>
      </c>
      <c r="B1820" s="59" t="str">
        <f t="shared" si="21"/>
        <v/>
      </c>
      <c r="C1820" s="59" t="str">
        <f t="shared" si="22"/>
        <v/>
      </c>
      <c r="D1820" s="45" t="str">
        <f t="shared" si="23"/>
        <v/>
      </c>
      <c r="E1820" s="45" t="str">
        <f t="shared" si="24"/>
        <v/>
      </c>
      <c r="F1820" s="59" t="str">
        <f t="shared" si="25"/>
        <v/>
      </c>
      <c r="G1820" s="59" t="str">
        <f t="shared" si="26"/>
        <v/>
      </c>
      <c r="H1820" s="59" t="str">
        <f t="shared" si="27"/>
        <v>28C05661</v>
      </c>
      <c r="I1820" s="59" t="str">
        <f>IF(OR($A1820="",$C1820="",$D1820="",$E1820="",$H1820=""),"",SUMIFS(DATA_GOC!$H:$H,DATA_GOC!$A:$A,"BOM",DATA_GOC!$D:$D,$H1820,DATA_GOC!$E:$E,$C1820,DATA_GOC!$F:$F,"Xuất nội bộ từ téc",DATA_GOC!$B:$B,"&gt;="&amp;$D1820,DATA_GOC!$B:$B,"&lt;="&amp;$E1820))</f>
        <v/>
      </c>
      <c r="J1820" s="59">
        <f t="shared" si="28"/>
        <v>0</v>
      </c>
      <c r="K1820" s="59">
        <f t="shared" si="29"/>
        <v>0</v>
      </c>
      <c r="L1820" s="59">
        <f t="shared" si="30"/>
        <v>0</v>
      </c>
      <c r="M1820" s="59">
        <f t="shared" si="31"/>
        <v>0</v>
      </c>
    </row>
    <row r="1821" ht="15.0" hidden="1" customHeight="1">
      <c r="A1821" s="59">
        <f t="shared" si="20"/>
        <v>27</v>
      </c>
      <c r="B1821" s="59" t="str">
        <f t="shared" si="21"/>
        <v/>
      </c>
      <c r="C1821" s="59" t="str">
        <f t="shared" si="22"/>
        <v/>
      </c>
      <c r="D1821" s="45" t="str">
        <f t="shared" si="23"/>
        <v/>
      </c>
      <c r="E1821" s="45" t="str">
        <f t="shared" si="24"/>
        <v/>
      </c>
      <c r="F1821" s="59" t="str">
        <f t="shared" si="25"/>
        <v/>
      </c>
      <c r="G1821" s="59" t="str">
        <f t="shared" si="26"/>
        <v/>
      </c>
      <c r="H1821" s="59" t="str">
        <f t="shared" si="27"/>
        <v>28C05739</v>
      </c>
      <c r="I1821" s="59" t="str">
        <f>IF(OR($A1821="",$C1821="",$D1821="",$E1821="",$H1821=""),"",SUMIFS(DATA_GOC!$H:$H,DATA_GOC!$A:$A,"BOM",DATA_GOC!$D:$D,$H1821,DATA_GOC!$E:$E,$C1821,DATA_GOC!$F:$F,"Xuất nội bộ từ téc",DATA_GOC!$B:$B,"&gt;="&amp;$D1821,DATA_GOC!$B:$B,"&lt;="&amp;$E1821))</f>
        <v/>
      </c>
      <c r="J1821" s="59">
        <f t="shared" si="28"/>
        <v>0</v>
      </c>
      <c r="K1821" s="59">
        <f t="shared" si="29"/>
        <v>0</v>
      </c>
      <c r="L1821" s="59">
        <f t="shared" si="30"/>
        <v>0</v>
      </c>
      <c r="M1821" s="59">
        <f t="shared" si="31"/>
        <v>0</v>
      </c>
    </row>
    <row r="1822" ht="15.0" hidden="1" customHeight="1">
      <c r="A1822" s="59">
        <f t="shared" si="20"/>
        <v>27</v>
      </c>
      <c r="B1822" s="59" t="str">
        <f t="shared" si="21"/>
        <v/>
      </c>
      <c r="C1822" s="59" t="str">
        <f t="shared" si="22"/>
        <v/>
      </c>
      <c r="D1822" s="45" t="str">
        <f t="shared" si="23"/>
        <v/>
      </c>
      <c r="E1822" s="45" t="str">
        <f t="shared" si="24"/>
        <v/>
      </c>
      <c r="F1822" s="59" t="str">
        <f t="shared" si="25"/>
        <v/>
      </c>
      <c r="G1822" s="59" t="str">
        <f t="shared" si="26"/>
        <v/>
      </c>
      <c r="H1822" s="59" t="str">
        <f t="shared" si="27"/>
        <v>28C06369</v>
      </c>
      <c r="I1822" s="59" t="str">
        <f>IF(OR($A1822="",$C1822="",$D1822="",$E1822="",$H1822=""),"",SUMIFS(DATA_GOC!$H:$H,DATA_GOC!$A:$A,"BOM",DATA_GOC!$D:$D,$H1822,DATA_GOC!$E:$E,$C1822,DATA_GOC!$F:$F,"Xuất nội bộ từ téc",DATA_GOC!$B:$B,"&gt;="&amp;$D1822,DATA_GOC!$B:$B,"&lt;="&amp;$E1822))</f>
        <v/>
      </c>
      <c r="J1822" s="59">
        <f t="shared" si="28"/>
        <v>0</v>
      </c>
      <c r="K1822" s="59">
        <f t="shared" si="29"/>
        <v>0</v>
      </c>
      <c r="L1822" s="59">
        <f t="shared" si="30"/>
        <v>0</v>
      </c>
      <c r="M1822" s="59">
        <f t="shared" si="31"/>
        <v>0</v>
      </c>
    </row>
    <row r="1823" ht="15.0" hidden="1" customHeight="1">
      <c r="A1823" s="59">
        <f t="shared" si="20"/>
        <v>27</v>
      </c>
      <c r="B1823" s="59" t="str">
        <f t="shared" si="21"/>
        <v/>
      </c>
      <c r="C1823" s="59" t="str">
        <f t="shared" si="22"/>
        <v/>
      </c>
      <c r="D1823" s="45" t="str">
        <f t="shared" si="23"/>
        <v/>
      </c>
      <c r="E1823" s="45" t="str">
        <f t="shared" si="24"/>
        <v/>
      </c>
      <c r="F1823" s="59" t="str">
        <f t="shared" si="25"/>
        <v/>
      </c>
      <c r="G1823" s="59" t="str">
        <f t="shared" si="26"/>
        <v/>
      </c>
      <c r="H1823" s="59" t="str">
        <f t="shared" si="27"/>
        <v>28C06447</v>
      </c>
      <c r="I1823" s="59" t="str">
        <f>IF(OR($A1823="",$C1823="",$D1823="",$E1823="",$H1823=""),"",SUMIFS(DATA_GOC!$H:$H,DATA_GOC!$A:$A,"BOM",DATA_GOC!$D:$D,$H1823,DATA_GOC!$E:$E,$C1823,DATA_GOC!$F:$F,"Xuất nội bộ từ téc",DATA_GOC!$B:$B,"&gt;="&amp;$D1823,DATA_GOC!$B:$B,"&lt;="&amp;$E1823))</f>
        <v/>
      </c>
      <c r="J1823" s="59">
        <f t="shared" si="28"/>
        <v>0</v>
      </c>
      <c r="K1823" s="59">
        <f t="shared" si="29"/>
        <v>0</v>
      </c>
      <c r="L1823" s="59">
        <f t="shared" si="30"/>
        <v>0</v>
      </c>
      <c r="M1823" s="59">
        <f t="shared" si="31"/>
        <v>0</v>
      </c>
    </row>
    <row r="1824" ht="15.0" hidden="1" customHeight="1">
      <c r="A1824" s="59">
        <f t="shared" si="20"/>
        <v>27</v>
      </c>
      <c r="B1824" s="59" t="str">
        <f t="shared" si="21"/>
        <v/>
      </c>
      <c r="C1824" s="59" t="str">
        <f t="shared" si="22"/>
        <v/>
      </c>
      <c r="D1824" s="45" t="str">
        <f t="shared" si="23"/>
        <v/>
      </c>
      <c r="E1824" s="45" t="str">
        <f t="shared" si="24"/>
        <v/>
      </c>
      <c r="F1824" s="59" t="str">
        <f t="shared" si="25"/>
        <v/>
      </c>
      <c r="G1824" s="59" t="str">
        <f t="shared" si="26"/>
        <v/>
      </c>
      <c r="H1824" s="59" t="str">
        <f t="shared" si="27"/>
        <v>28H00003</v>
      </c>
      <c r="I1824" s="59" t="str">
        <f>IF(OR($A1824="",$C1824="",$D1824="",$E1824="",$H1824=""),"",SUMIFS(DATA_GOC!$H:$H,DATA_GOC!$A:$A,"BOM",DATA_GOC!$D:$D,$H1824,DATA_GOC!$E:$E,$C1824,DATA_GOC!$F:$F,"Xuất nội bộ từ téc",DATA_GOC!$B:$B,"&gt;="&amp;$D1824,DATA_GOC!$B:$B,"&lt;="&amp;$E1824))</f>
        <v/>
      </c>
      <c r="J1824" s="59">
        <f t="shared" si="28"/>
        <v>0</v>
      </c>
      <c r="K1824" s="59">
        <f t="shared" si="29"/>
        <v>0</v>
      </c>
      <c r="L1824" s="59">
        <f t="shared" si="30"/>
        <v>0</v>
      </c>
      <c r="M1824" s="59">
        <f t="shared" si="31"/>
        <v>0</v>
      </c>
    </row>
    <row r="1825" ht="15.0" hidden="1" customHeight="1">
      <c r="A1825" s="59">
        <f t="shared" si="20"/>
        <v>27</v>
      </c>
      <c r="B1825" s="59" t="str">
        <f t="shared" si="21"/>
        <v/>
      </c>
      <c r="C1825" s="59" t="str">
        <f t="shared" si="22"/>
        <v/>
      </c>
      <c r="D1825" s="45" t="str">
        <f t="shared" si="23"/>
        <v/>
      </c>
      <c r="E1825" s="45" t="str">
        <f t="shared" si="24"/>
        <v/>
      </c>
      <c r="F1825" s="59" t="str">
        <f t="shared" si="25"/>
        <v/>
      </c>
      <c r="G1825" s="59" t="str">
        <f t="shared" si="26"/>
        <v/>
      </c>
      <c r="H1825" s="59" t="str">
        <f t="shared" si="27"/>
        <v>28H00061</v>
      </c>
      <c r="I1825" s="59" t="str">
        <f>IF(OR($A1825="",$C1825="",$D1825="",$E1825="",$H1825=""),"",SUMIFS(DATA_GOC!$H:$H,DATA_GOC!$A:$A,"BOM",DATA_GOC!$D:$D,$H1825,DATA_GOC!$E:$E,$C1825,DATA_GOC!$F:$F,"Xuất nội bộ từ téc",DATA_GOC!$B:$B,"&gt;="&amp;$D1825,DATA_GOC!$B:$B,"&lt;="&amp;$E1825))</f>
        <v/>
      </c>
      <c r="J1825" s="59">
        <f t="shared" si="28"/>
        <v>0</v>
      </c>
      <c r="K1825" s="59">
        <f t="shared" si="29"/>
        <v>0</v>
      </c>
      <c r="L1825" s="59">
        <f t="shared" si="30"/>
        <v>0</v>
      </c>
      <c r="M1825" s="59">
        <f t="shared" si="31"/>
        <v>0</v>
      </c>
    </row>
    <row r="1826" ht="15.0" hidden="1" customHeight="1">
      <c r="A1826" s="59">
        <f t="shared" si="20"/>
        <v>27</v>
      </c>
      <c r="B1826" s="59" t="str">
        <f t="shared" si="21"/>
        <v/>
      </c>
      <c r="C1826" s="59" t="str">
        <f t="shared" si="22"/>
        <v/>
      </c>
      <c r="D1826" s="45" t="str">
        <f t="shared" si="23"/>
        <v/>
      </c>
      <c r="E1826" s="45" t="str">
        <f t="shared" si="24"/>
        <v/>
      </c>
      <c r="F1826" s="59" t="str">
        <f t="shared" si="25"/>
        <v/>
      </c>
      <c r="G1826" s="59" t="str">
        <f t="shared" si="26"/>
        <v/>
      </c>
      <c r="H1826" s="59" t="str">
        <f t="shared" si="27"/>
        <v>28H00354</v>
      </c>
      <c r="I1826" s="59" t="str">
        <f>IF(OR($A1826="",$C1826="",$D1826="",$E1826="",$H1826=""),"",SUMIFS(DATA_GOC!$H:$H,DATA_GOC!$A:$A,"BOM",DATA_GOC!$D:$D,$H1826,DATA_GOC!$E:$E,$C1826,DATA_GOC!$F:$F,"Xuất nội bộ từ téc",DATA_GOC!$B:$B,"&gt;="&amp;$D1826,DATA_GOC!$B:$B,"&lt;="&amp;$E1826))</f>
        <v/>
      </c>
      <c r="J1826" s="59">
        <f t="shared" si="28"/>
        <v>0</v>
      </c>
      <c r="K1826" s="59">
        <f t="shared" si="29"/>
        <v>0</v>
      </c>
      <c r="L1826" s="59">
        <f t="shared" si="30"/>
        <v>0</v>
      </c>
      <c r="M1826" s="59">
        <f t="shared" si="31"/>
        <v>0</v>
      </c>
    </row>
    <row r="1827" ht="15.0" hidden="1" customHeight="1">
      <c r="A1827" s="59">
        <f t="shared" si="20"/>
        <v>27</v>
      </c>
      <c r="B1827" s="59" t="str">
        <f t="shared" si="21"/>
        <v/>
      </c>
      <c r="C1827" s="59" t="str">
        <f t="shared" si="22"/>
        <v/>
      </c>
      <c r="D1827" s="45" t="str">
        <f t="shared" si="23"/>
        <v/>
      </c>
      <c r="E1827" s="45" t="str">
        <f t="shared" si="24"/>
        <v/>
      </c>
      <c r="F1827" s="59" t="str">
        <f t="shared" si="25"/>
        <v/>
      </c>
      <c r="G1827" s="59" t="str">
        <f t="shared" si="26"/>
        <v/>
      </c>
      <c r="H1827" s="59" t="str">
        <f t="shared" si="27"/>
        <v>28H00603</v>
      </c>
      <c r="I1827" s="59" t="str">
        <f>IF(OR($A1827="",$C1827="",$D1827="",$E1827="",$H1827=""),"",SUMIFS(DATA_GOC!$H:$H,DATA_GOC!$A:$A,"BOM",DATA_GOC!$D:$D,$H1827,DATA_GOC!$E:$E,$C1827,DATA_GOC!$F:$F,"Xuất nội bộ từ téc",DATA_GOC!$B:$B,"&gt;="&amp;$D1827,DATA_GOC!$B:$B,"&lt;="&amp;$E1827))</f>
        <v/>
      </c>
      <c r="J1827" s="59">
        <f t="shared" si="28"/>
        <v>0</v>
      </c>
      <c r="K1827" s="59">
        <f t="shared" si="29"/>
        <v>0</v>
      </c>
      <c r="L1827" s="59">
        <f t="shared" si="30"/>
        <v>0</v>
      </c>
      <c r="M1827" s="59">
        <f t="shared" si="31"/>
        <v>0</v>
      </c>
    </row>
    <row r="1828" ht="15.0" hidden="1" customHeight="1">
      <c r="A1828" s="59">
        <f t="shared" si="20"/>
        <v>27</v>
      </c>
      <c r="B1828" s="59" t="str">
        <f t="shared" si="21"/>
        <v/>
      </c>
      <c r="C1828" s="59" t="str">
        <f t="shared" si="22"/>
        <v/>
      </c>
      <c r="D1828" s="45" t="str">
        <f t="shared" si="23"/>
        <v/>
      </c>
      <c r="E1828" s="45" t="str">
        <f t="shared" si="24"/>
        <v/>
      </c>
      <c r="F1828" s="59" t="str">
        <f t="shared" si="25"/>
        <v/>
      </c>
      <c r="G1828" s="59" t="str">
        <f t="shared" si="26"/>
        <v/>
      </c>
      <c r="H1828" s="59" t="str">
        <f t="shared" si="27"/>
        <v>28H00609</v>
      </c>
      <c r="I1828" s="59" t="str">
        <f>IF(OR($A1828="",$C1828="",$D1828="",$E1828="",$H1828=""),"",SUMIFS(DATA_GOC!$H:$H,DATA_GOC!$A:$A,"BOM",DATA_GOC!$D:$D,$H1828,DATA_GOC!$E:$E,$C1828,DATA_GOC!$F:$F,"Xuất nội bộ từ téc",DATA_GOC!$B:$B,"&gt;="&amp;$D1828,DATA_GOC!$B:$B,"&lt;="&amp;$E1828))</f>
        <v/>
      </c>
      <c r="J1828" s="59">
        <f t="shared" si="28"/>
        <v>0</v>
      </c>
      <c r="K1828" s="59">
        <f t="shared" si="29"/>
        <v>0</v>
      </c>
      <c r="L1828" s="59">
        <f t="shared" si="30"/>
        <v>0</v>
      </c>
      <c r="M1828" s="59">
        <f t="shared" si="31"/>
        <v>0</v>
      </c>
    </row>
    <row r="1829" ht="15.0" hidden="1" customHeight="1">
      <c r="A1829" s="59">
        <f t="shared" si="20"/>
        <v>27</v>
      </c>
      <c r="B1829" s="59" t="str">
        <f t="shared" si="21"/>
        <v/>
      </c>
      <c r="C1829" s="59" t="str">
        <f t="shared" si="22"/>
        <v/>
      </c>
      <c r="D1829" s="45" t="str">
        <f t="shared" si="23"/>
        <v/>
      </c>
      <c r="E1829" s="45" t="str">
        <f t="shared" si="24"/>
        <v/>
      </c>
      <c r="F1829" s="59" t="str">
        <f t="shared" si="25"/>
        <v/>
      </c>
      <c r="G1829" s="59" t="str">
        <f t="shared" si="26"/>
        <v/>
      </c>
      <c r="H1829" s="59" t="str">
        <f t="shared" si="27"/>
        <v>28H00669</v>
      </c>
      <c r="I1829" s="59" t="str">
        <f>IF(OR($A1829="",$C1829="",$D1829="",$E1829="",$H1829=""),"",SUMIFS(DATA_GOC!$H:$H,DATA_GOC!$A:$A,"BOM",DATA_GOC!$D:$D,$H1829,DATA_GOC!$E:$E,$C1829,DATA_GOC!$F:$F,"Xuất nội bộ từ téc",DATA_GOC!$B:$B,"&gt;="&amp;$D1829,DATA_GOC!$B:$B,"&lt;="&amp;$E1829))</f>
        <v/>
      </c>
      <c r="J1829" s="59">
        <f t="shared" si="28"/>
        <v>0</v>
      </c>
      <c r="K1829" s="59">
        <f t="shared" si="29"/>
        <v>0</v>
      </c>
      <c r="L1829" s="59">
        <f t="shared" si="30"/>
        <v>0</v>
      </c>
      <c r="M1829" s="59">
        <f t="shared" si="31"/>
        <v>0</v>
      </c>
    </row>
    <row r="1830" ht="15.0" hidden="1" customHeight="1">
      <c r="A1830" s="59">
        <f t="shared" si="20"/>
        <v>27</v>
      </c>
      <c r="B1830" s="59" t="str">
        <f t="shared" si="21"/>
        <v/>
      </c>
      <c r="C1830" s="59" t="str">
        <f t="shared" si="22"/>
        <v/>
      </c>
      <c r="D1830" s="45" t="str">
        <f t="shared" si="23"/>
        <v/>
      </c>
      <c r="E1830" s="45" t="str">
        <f t="shared" si="24"/>
        <v/>
      </c>
      <c r="F1830" s="59" t="str">
        <f t="shared" si="25"/>
        <v/>
      </c>
      <c r="G1830" s="59" t="str">
        <f t="shared" si="26"/>
        <v/>
      </c>
      <c r="H1830" s="59" t="str">
        <f t="shared" si="27"/>
        <v>28H00680</v>
      </c>
      <c r="I1830" s="59" t="str">
        <f>IF(OR($A1830="",$C1830="",$D1830="",$E1830="",$H1830=""),"",SUMIFS(DATA_GOC!$H:$H,DATA_GOC!$A:$A,"BOM",DATA_GOC!$D:$D,$H1830,DATA_GOC!$E:$E,$C1830,DATA_GOC!$F:$F,"Xuất nội bộ từ téc",DATA_GOC!$B:$B,"&gt;="&amp;$D1830,DATA_GOC!$B:$B,"&lt;="&amp;$E1830))</f>
        <v/>
      </c>
      <c r="J1830" s="59">
        <f t="shared" si="28"/>
        <v>0</v>
      </c>
      <c r="K1830" s="59">
        <f t="shared" si="29"/>
        <v>0</v>
      </c>
      <c r="L1830" s="59">
        <f t="shared" si="30"/>
        <v>0</v>
      </c>
      <c r="M1830" s="59">
        <f t="shared" si="31"/>
        <v>0</v>
      </c>
    </row>
    <row r="1831" ht="15.0" hidden="1" customHeight="1">
      <c r="A1831" s="59">
        <f t="shared" si="20"/>
        <v>27</v>
      </c>
      <c r="B1831" s="59" t="str">
        <f t="shared" si="21"/>
        <v/>
      </c>
      <c r="C1831" s="59" t="str">
        <f t="shared" si="22"/>
        <v/>
      </c>
      <c r="D1831" s="45" t="str">
        <f t="shared" si="23"/>
        <v/>
      </c>
      <c r="E1831" s="45" t="str">
        <f t="shared" si="24"/>
        <v/>
      </c>
      <c r="F1831" s="59" t="str">
        <f t="shared" si="25"/>
        <v/>
      </c>
      <c r="G1831" s="59" t="str">
        <f t="shared" si="26"/>
        <v/>
      </c>
      <c r="H1831" s="59" t="str">
        <f t="shared" si="27"/>
        <v>28H01070</v>
      </c>
      <c r="I1831" s="59" t="str">
        <f>IF(OR($A1831="",$C1831="",$D1831="",$E1831="",$H1831=""),"",SUMIFS(DATA_GOC!$H:$H,DATA_GOC!$A:$A,"BOM",DATA_GOC!$D:$D,$H1831,DATA_GOC!$E:$E,$C1831,DATA_GOC!$F:$F,"Xuất nội bộ từ téc",DATA_GOC!$B:$B,"&gt;="&amp;$D1831,DATA_GOC!$B:$B,"&lt;="&amp;$E1831))</f>
        <v/>
      </c>
      <c r="J1831" s="59">
        <f t="shared" si="28"/>
        <v>0</v>
      </c>
      <c r="K1831" s="59">
        <f t="shared" si="29"/>
        <v>0</v>
      </c>
      <c r="L1831" s="59">
        <f t="shared" si="30"/>
        <v>0</v>
      </c>
      <c r="M1831" s="59">
        <f t="shared" si="31"/>
        <v>0</v>
      </c>
    </row>
    <row r="1832" ht="15.0" hidden="1" customHeight="1">
      <c r="A1832" s="59">
        <f t="shared" si="20"/>
        <v>27</v>
      </c>
      <c r="B1832" s="59" t="str">
        <f t="shared" si="21"/>
        <v/>
      </c>
      <c r="C1832" s="59" t="str">
        <f t="shared" si="22"/>
        <v/>
      </c>
      <c r="D1832" s="45" t="str">
        <f t="shared" si="23"/>
        <v/>
      </c>
      <c r="E1832" s="45" t="str">
        <f t="shared" si="24"/>
        <v/>
      </c>
      <c r="F1832" s="59" t="str">
        <f t="shared" si="25"/>
        <v/>
      </c>
      <c r="G1832" s="59" t="str">
        <f t="shared" si="26"/>
        <v/>
      </c>
      <c r="H1832" s="59" t="str">
        <f t="shared" si="27"/>
        <v>28H01364</v>
      </c>
      <c r="I1832" s="59" t="str">
        <f>IF(OR($A1832="",$C1832="",$D1832="",$E1832="",$H1832=""),"",SUMIFS(DATA_GOC!$H:$H,DATA_GOC!$A:$A,"BOM",DATA_GOC!$D:$D,$H1832,DATA_GOC!$E:$E,$C1832,DATA_GOC!$F:$F,"Xuất nội bộ từ téc",DATA_GOC!$B:$B,"&gt;="&amp;$D1832,DATA_GOC!$B:$B,"&lt;="&amp;$E1832))</f>
        <v/>
      </c>
      <c r="J1832" s="59">
        <f t="shared" si="28"/>
        <v>0</v>
      </c>
      <c r="K1832" s="59">
        <f t="shared" si="29"/>
        <v>0</v>
      </c>
      <c r="L1832" s="59">
        <f t="shared" si="30"/>
        <v>0</v>
      </c>
      <c r="M1832" s="59">
        <f t="shared" si="31"/>
        <v>0</v>
      </c>
    </row>
    <row r="1833" ht="15.0" hidden="1" customHeight="1">
      <c r="A1833" s="59">
        <f t="shared" si="20"/>
        <v>27</v>
      </c>
      <c r="B1833" s="59" t="str">
        <f t="shared" si="21"/>
        <v/>
      </c>
      <c r="C1833" s="59" t="str">
        <f t="shared" si="22"/>
        <v/>
      </c>
      <c r="D1833" s="45" t="str">
        <f t="shared" si="23"/>
        <v/>
      </c>
      <c r="E1833" s="45" t="str">
        <f t="shared" si="24"/>
        <v/>
      </c>
      <c r="F1833" s="59" t="str">
        <f t="shared" si="25"/>
        <v/>
      </c>
      <c r="G1833" s="59" t="str">
        <f t="shared" si="26"/>
        <v/>
      </c>
      <c r="H1833" s="59" t="str">
        <f t="shared" si="27"/>
        <v>29E17269</v>
      </c>
      <c r="I1833" s="59" t="str">
        <f>IF(OR($A1833="",$C1833="",$D1833="",$E1833="",$H1833=""),"",SUMIFS(DATA_GOC!$H:$H,DATA_GOC!$A:$A,"BOM",DATA_GOC!$D:$D,$H1833,DATA_GOC!$E:$E,$C1833,DATA_GOC!$F:$F,"Xuất nội bộ từ téc",DATA_GOC!$B:$B,"&gt;="&amp;$D1833,DATA_GOC!$B:$B,"&lt;="&amp;$E1833))</f>
        <v/>
      </c>
      <c r="J1833" s="59">
        <f t="shared" si="28"/>
        <v>0</v>
      </c>
      <c r="K1833" s="59">
        <f t="shared" si="29"/>
        <v>0</v>
      </c>
      <c r="L1833" s="59">
        <f t="shared" si="30"/>
        <v>0</v>
      </c>
      <c r="M1833" s="59">
        <f t="shared" si="31"/>
        <v>0</v>
      </c>
    </row>
    <row r="1834" ht="15.0" hidden="1" customHeight="1">
      <c r="A1834" s="59">
        <f t="shared" si="20"/>
        <v>27</v>
      </c>
      <c r="B1834" s="59" t="str">
        <f t="shared" si="21"/>
        <v/>
      </c>
      <c r="C1834" s="59" t="str">
        <f t="shared" si="22"/>
        <v/>
      </c>
      <c r="D1834" s="45" t="str">
        <f t="shared" si="23"/>
        <v/>
      </c>
      <c r="E1834" s="45" t="str">
        <f t="shared" si="24"/>
        <v/>
      </c>
      <c r="F1834" s="59" t="str">
        <f t="shared" si="25"/>
        <v/>
      </c>
      <c r="G1834" s="59" t="str">
        <f t="shared" si="26"/>
        <v/>
      </c>
      <c r="H1834" s="59" t="str">
        <f t="shared" si="27"/>
        <v>29E17273</v>
      </c>
      <c r="I1834" s="59" t="str">
        <f>IF(OR($A1834="",$C1834="",$D1834="",$E1834="",$H1834=""),"",SUMIFS(DATA_GOC!$H:$H,DATA_GOC!$A:$A,"BOM",DATA_GOC!$D:$D,$H1834,DATA_GOC!$E:$E,$C1834,DATA_GOC!$F:$F,"Xuất nội bộ từ téc",DATA_GOC!$B:$B,"&gt;="&amp;$D1834,DATA_GOC!$B:$B,"&lt;="&amp;$E1834))</f>
        <v/>
      </c>
      <c r="J1834" s="59">
        <f t="shared" si="28"/>
        <v>0</v>
      </c>
      <c r="K1834" s="59">
        <f t="shared" si="29"/>
        <v>0</v>
      </c>
      <c r="L1834" s="59">
        <f t="shared" si="30"/>
        <v>0</v>
      </c>
      <c r="M1834" s="59">
        <f t="shared" si="31"/>
        <v>0</v>
      </c>
    </row>
    <row r="1835" ht="15.0" hidden="1" customHeight="1">
      <c r="A1835" s="59">
        <f t="shared" si="20"/>
        <v>27</v>
      </c>
      <c r="B1835" s="59" t="str">
        <f t="shared" si="21"/>
        <v/>
      </c>
      <c r="C1835" s="59" t="str">
        <f t="shared" si="22"/>
        <v/>
      </c>
      <c r="D1835" s="45" t="str">
        <f t="shared" si="23"/>
        <v/>
      </c>
      <c r="E1835" s="45" t="str">
        <f t="shared" si="24"/>
        <v/>
      </c>
      <c r="F1835" s="59" t="str">
        <f t="shared" si="25"/>
        <v/>
      </c>
      <c r="G1835" s="59" t="str">
        <f t="shared" si="26"/>
        <v/>
      </c>
      <c r="H1835" s="59" t="str">
        <f t="shared" si="27"/>
        <v>29E17410</v>
      </c>
      <c r="I1835" s="59" t="str">
        <f>IF(OR($A1835="",$C1835="",$D1835="",$E1835="",$H1835=""),"",SUMIFS(DATA_GOC!$H:$H,DATA_GOC!$A:$A,"BOM",DATA_GOC!$D:$D,$H1835,DATA_GOC!$E:$E,$C1835,DATA_GOC!$F:$F,"Xuất nội bộ từ téc",DATA_GOC!$B:$B,"&gt;="&amp;$D1835,DATA_GOC!$B:$B,"&lt;="&amp;$E1835))</f>
        <v/>
      </c>
      <c r="J1835" s="59">
        <f t="shared" si="28"/>
        <v>0</v>
      </c>
      <c r="K1835" s="59">
        <f t="shared" si="29"/>
        <v>0</v>
      </c>
      <c r="L1835" s="59">
        <f t="shared" si="30"/>
        <v>0</v>
      </c>
      <c r="M1835" s="59">
        <f t="shared" si="31"/>
        <v>0</v>
      </c>
    </row>
    <row r="1836" ht="15.0" hidden="1" customHeight="1">
      <c r="A1836" s="59">
        <f t="shared" si="20"/>
        <v>27</v>
      </c>
      <c r="B1836" s="59" t="str">
        <f t="shared" si="21"/>
        <v/>
      </c>
      <c r="C1836" s="59" t="str">
        <f t="shared" si="22"/>
        <v/>
      </c>
      <c r="D1836" s="45" t="str">
        <f t="shared" si="23"/>
        <v/>
      </c>
      <c r="E1836" s="45" t="str">
        <f t="shared" si="24"/>
        <v/>
      </c>
      <c r="F1836" s="59" t="str">
        <f t="shared" si="25"/>
        <v/>
      </c>
      <c r="G1836" s="59" t="str">
        <f t="shared" si="26"/>
        <v/>
      </c>
      <c r="H1836" s="59" t="str">
        <f t="shared" si="27"/>
        <v>29E17417</v>
      </c>
      <c r="I1836" s="59" t="str">
        <f>IF(OR($A1836="",$C1836="",$D1836="",$E1836="",$H1836=""),"",SUMIFS(DATA_GOC!$H:$H,DATA_GOC!$A:$A,"BOM",DATA_GOC!$D:$D,$H1836,DATA_GOC!$E:$E,$C1836,DATA_GOC!$F:$F,"Xuất nội bộ từ téc",DATA_GOC!$B:$B,"&gt;="&amp;$D1836,DATA_GOC!$B:$B,"&lt;="&amp;$E1836))</f>
        <v/>
      </c>
      <c r="J1836" s="59">
        <f t="shared" si="28"/>
        <v>0</v>
      </c>
      <c r="K1836" s="59">
        <f t="shared" si="29"/>
        <v>0</v>
      </c>
      <c r="L1836" s="59">
        <f t="shared" si="30"/>
        <v>0</v>
      </c>
      <c r="M1836" s="59">
        <f t="shared" si="31"/>
        <v>0</v>
      </c>
    </row>
    <row r="1837" ht="15.0" hidden="1" customHeight="1">
      <c r="A1837" s="59">
        <f t="shared" si="20"/>
        <v>27</v>
      </c>
      <c r="B1837" s="59" t="str">
        <f t="shared" si="21"/>
        <v/>
      </c>
      <c r="C1837" s="59" t="str">
        <f t="shared" si="22"/>
        <v/>
      </c>
      <c r="D1837" s="45" t="str">
        <f t="shared" si="23"/>
        <v/>
      </c>
      <c r="E1837" s="45" t="str">
        <f t="shared" si="24"/>
        <v/>
      </c>
      <c r="F1837" s="59" t="str">
        <f t="shared" si="25"/>
        <v/>
      </c>
      <c r="G1837" s="59" t="str">
        <f t="shared" si="26"/>
        <v/>
      </c>
      <c r="H1837" s="59" t="str">
        <f t="shared" si="27"/>
        <v>29E17539</v>
      </c>
      <c r="I1837" s="59" t="str">
        <f>IF(OR($A1837="",$C1837="",$D1837="",$E1837="",$H1837=""),"",SUMIFS(DATA_GOC!$H:$H,DATA_GOC!$A:$A,"BOM",DATA_GOC!$D:$D,$H1837,DATA_GOC!$E:$E,$C1837,DATA_GOC!$F:$F,"Xuất nội bộ từ téc",DATA_GOC!$B:$B,"&gt;="&amp;$D1837,DATA_GOC!$B:$B,"&lt;="&amp;$E1837))</f>
        <v/>
      </c>
      <c r="J1837" s="59">
        <f t="shared" si="28"/>
        <v>0</v>
      </c>
      <c r="K1837" s="59">
        <f t="shared" si="29"/>
        <v>0</v>
      </c>
      <c r="L1837" s="59">
        <f t="shared" si="30"/>
        <v>0</v>
      </c>
      <c r="M1837" s="59">
        <f t="shared" si="31"/>
        <v>0</v>
      </c>
    </row>
    <row r="1838" ht="15.0" hidden="1" customHeight="1">
      <c r="A1838" s="59">
        <f t="shared" si="20"/>
        <v>27</v>
      </c>
      <c r="B1838" s="59" t="str">
        <f t="shared" si="21"/>
        <v/>
      </c>
      <c r="C1838" s="59" t="str">
        <f t="shared" si="22"/>
        <v/>
      </c>
      <c r="D1838" s="45" t="str">
        <f t="shared" si="23"/>
        <v/>
      </c>
      <c r="E1838" s="45" t="str">
        <f t="shared" si="24"/>
        <v/>
      </c>
      <c r="F1838" s="59" t="str">
        <f t="shared" si="25"/>
        <v/>
      </c>
      <c r="G1838" s="59" t="str">
        <f t="shared" si="26"/>
        <v/>
      </c>
      <c r="H1838" s="59" t="str">
        <f t="shared" si="27"/>
        <v>29E18160</v>
      </c>
      <c r="I1838" s="59" t="str">
        <f>IF(OR($A1838="",$C1838="",$D1838="",$E1838="",$H1838=""),"",SUMIFS(DATA_GOC!$H:$H,DATA_GOC!$A:$A,"BOM",DATA_GOC!$D:$D,$H1838,DATA_GOC!$E:$E,$C1838,DATA_GOC!$F:$F,"Xuất nội bộ từ téc",DATA_GOC!$B:$B,"&gt;="&amp;$D1838,DATA_GOC!$B:$B,"&lt;="&amp;$E1838))</f>
        <v/>
      </c>
      <c r="J1838" s="59">
        <f t="shared" si="28"/>
        <v>0</v>
      </c>
      <c r="K1838" s="59">
        <f t="shared" si="29"/>
        <v>0</v>
      </c>
      <c r="L1838" s="59">
        <f t="shared" si="30"/>
        <v>0</v>
      </c>
      <c r="M1838" s="59">
        <f t="shared" si="31"/>
        <v>0</v>
      </c>
    </row>
    <row r="1839" ht="15.0" hidden="1" customHeight="1">
      <c r="A1839" s="59">
        <f t="shared" si="20"/>
        <v>27</v>
      </c>
      <c r="B1839" s="59" t="str">
        <f t="shared" si="21"/>
        <v/>
      </c>
      <c r="C1839" s="59" t="str">
        <f t="shared" si="22"/>
        <v/>
      </c>
      <c r="D1839" s="45" t="str">
        <f t="shared" si="23"/>
        <v/>
      </c>
      <c r="E1839" s="45" t="str">
        <f t="shared" si="24"/>
        <v/>
      </c>
      <c r="F1839" s="59" t="str">
        <f t="shared" si="25"/>
        <v/>
      </c>
      <c r="G1839" s="59" t="str">
        <f t="shared" si="26"/>
        <v/>
      </c>
      <c r="H1839" s="59" t="str">
        <f t="shared" si="27"/>
        <v>Công trình Asphalt</v>
      </c>
      <c r="I1839" s="59" t="str">
        <f>IF(OR($A1839="",$C1839="",$D1839="",$E1839="",$H1839=""),"",SUMIFS(DATA_GOC!$H:$H,DATA_GOC!$A:$A,"BOM",DATA_GOC!$D:$D,$H1839,DATA_GOC!$E:$E,$C1839,DATA_GOC!$F:$F,"Xuất nội bộ từ téc",DATA_GOC!$B:$B,"&gt;="&amp;$D1839,DATA_GOC!$B:$B,"&lt;="&amp;$E1839))</f>
        <v/>
      </c>
      <c r="J1839" s="59">
        <f t="shared" si="28"/>
        <v>0</v>
      </c>
      <c r="K1839" s="59">
        <f t="shared" si="29"/>
        <v>0</v>
      </c>
      <c r="L1839" s="59">
        <f t="shared" si="30"/>
        <v>0</v>
      </c>
      <c r="M1839" s="59">
        <f t="shared" si="31"/>
        <v>0</v>
      </c>
    </row>
    <row r="1840" ht="15.0" hidden="1" customHeight="1">
      <c r="A1840" s="59">
        <f t="shared" si="20"/>
        <v>27</v>
      </c>
      <c r="B1840" s="59" t="str">
        <f t="shared" si="21"/>
        <v/>
      </c>
      <c r="C1840" s="59" t="str">
        <f t="shared" si="22"/>
        <v/>
      </c>
      <c r="D1840" s="45" t="str">
        <f t="shared" si="23"/>
        <v/>
      </c>
      <c r="E1840" s="45" t="str">
        <f t="shared" si="24"/>
        <v/>
      </c>
      <c r="F1840" s="59" t="str">
        <f t="shared" si="25"/>
        <v/>
      </c>
      <c r="G1840" s="59" t="str">
        <f t="shared" si="26"/>
        <v/>
      </c>
      <c r="H1840" s="59" t="str">
        <f t="shared" si="27"/>
        <v>LG53F</v>
      </c>
      <c r="I1840" s="59" t="str">
        <f>IF(OR($A1840="",$C1840="",$D1840="",$E1840="",$H1840=""),"",SUMIFS(DATA_GOC!$H:$H,DATA_GOC!$A:$A,"BOM",DATA_GOC!$D:$D,$H1840,DATA_GOC!$E:$E,$C1840,DATA_GOC!$F:$F,"Xuất nội bộ từ téc",DATA_GOC!$B:$B,"&gt;="&amp;$D1840,DATA_GOC!$B:$B,"&lt;="&amp;$E1840))</f>
        <v/>
      </c>
      <c r="J1840" s="59">
        <f t="shared" si="28"/>
        <v>0</v>
      </c>
      <c r="K1840" s="59">
        <f t="shared" si="29"/>
        <v>0</v>
      </c>
      <c r="L1840" s="59">
        <f t="shared" si="30"/>
        <v>0</v>
      </c>
      <c r="M1840" s="59">
        <f t="shared" si="31"/>
        <v>0</v>
      </c>
    </row>
    <row r="1841" ht="15.0" hidden="1" customHeight="1">
      <c r="A1841" s="59">
        <f t="shared" si="20"/>
        <v>27</v>
      </c>
      <c r="B1841" s="59" t="str">
        <f t="shared" si="21"/>
        <v/>
      </c>
      <c r="C1841" s="59" t="str">
        <f t="shared" si="22"/>
        <v/>
      </c>
      <c r="D1841" s="45" t="str">
        <f t="shared" si="23"/>
        <v/>
      </c>
      <c r="E1841" s="45" t="str">
        <f t="shared" si="24"/>
        <v/>
      </c>
      <c r="F1841" s="59" t="str">
        <f t="shared" si="25"/>
        <v/>
      </c>
      <c r="G1841" s="59" t="str">
        <f t="shared" si="26"/>
        <v/>
      </c>
      <c r="H1841" s="59" t="str">
        <f t="shared" si="27"/>
        <v>Máy phát điện</v>
      </c>
      <c r="I1841" s="59" t="str">
        <f>IF(OR($A1841="",$C1841="",$D1841="",$E1841="",$H1841=""),"",SUMIFS(DATA_GOC!$H:$H,DATA_GOC!$A:$A,"BOM",DATA_GOC!$D:$D,$H1841,DATA_GOC!$E:$E,$C1841,DATA_GOC!$F:$F,"Xuất nội bộ từ téc",DATA_GOC!$B:$B,"&gt;="&amp;$D1841,DATA_GOC!$B:$B,"&lt;="&amp;$E1841))</f>
        <v/>
      </c>
      <c r="J1841" s="59">
        <f t="shared" si="28"/>
        <v>0</v>
      </c>
      <c r="K1841" s="59">
        <f t="shared" si="29"/>
        <v>0</v>
      </c>
      <c r="L1841" s="59">
        <f t="shared" si="30"/>
        <v>0</v>
      </c>
      <c r="M1841" s="59">
        <f t="shared" si="31"/>
        <v>0</v>
      </c>
    </row>
    <row r="1842" ht="15.0" hidden="1" customHeight="1">
      <c r="A1842" s="59">
        <f t="shared" si="20"/>
        <v>27</v>
      </c>
      <c r="B1842" s="59" t="str">
        <f t="shared" si="21"/>
        <v/>
      </c>
      <c r="C1842" s="59" t="str">
        <f t="shared" si="22"/>
        <v/>
      </c>
      <c r="D1842" s="45" t="str">
        <f t="shared" si="23"/>
        <v/>
      </c>
      <c r="E1842" s="45" t="str">
        <f t="shared" si="24"/>
        <v/>
      </c>
      <c r="F1842" s="59" t="str">
        <f t="shared" si="25"/>
        <v/>
      </c>
      <c r="G1842" s="59" t="str">
        <f t="shared" si="26"/>
        <v/>
      </c>
      <c r="H1842" s="59" t="str">
        <f t="shared" si="27"/>
        <v>Máy rải thảm</v>
      </c>
      <c r="I1842" s="59" t="str">
        <f>IF(OR($A1842="",$C1842="",$D1842="",$E1842="",$H1842=""),"",SUMIFS(DATA_GOC!$H:$H,DATA_GOC!$A:$A,"BOM",DATA_GOC!$D:$D,$H1842,DATA_GOC!$E:$E,$C1842,DATA_GOC!$F:$F,"Xuất nội bộ từ téc",DATA_GOC!$B:$B,"&gt;="&amp;$D1842,DATA_GOC!$B:$B,"&lt;="&amp;$E1842))</f>
        <v/>
      </c>
      <c r="J1842" s="59">
        <f t="shared" si="28"/>
        <v>0</v>
      </c>
      <c r="K1842" s="59">
        <f t="shared" si="29"/>
        <v>0</v>
      </c>
      <c r="L1842" s="59">
        <f t="shared" si="30"/>
        <v>0</v>
      </c>
      <c r="M1842" s="59">
        <f t="shared" si="31"/>
        <v>0</v>
      </c>
    </row>
    <row r="1843" ht="15.0" hidden="1" customHeight="1">
      <c r="A1843" s="59">
        <f t="shared" si="20"/>
        <v>27</v>
      </c>
      <c r="B1843" s="59" t="str">
        <f t="shared" si="21"/>
        <v/>
      </c>
      <c r="C1843" s="59" t="str">
        <f t="shared" si="22"/>
        <v/>
      </c>
      <c r="D1843" s="45" t="str">
        <f t="shared" si="23"/>
        <v/>
      </c>
      <c r="E1843" s="45" t="str">
        <f t="shared" si="24"/>
        <v/>
      </c>
      <c r="F1843" s="59" t="str">
        <f t="shared" si="25"/>
        <v/>
      </c>
      <c r="G1843" s="59" t="str">
        <f t="shared" si="26"/>
        <v/>
      </c>
      <c r="H1843" s="59" t="str">
        <f t="shared" si="27"/>
        <v>Xúc Đào</v>
      </c>
      <c r="I1843" s="59" t="str">
        <f>IF(OR($A1843="",$C1843="",$D1843="",$E1843="",$H1843=""),"",SUMIFS(DATA_GOC!$H:$H,DATA_GOC!$A:$A,"BOM",DATA_GOC!$D:$D,$H1843,DATA_GOC!$E:$E,$C1843,DATA_GOC!$F:$F,"Xuất nội bộ từ téc",DATA_GOC!$B:$B,"&gt;="&amp;$D1843,DATA_GOC!$B:$B,"&lt;="&amp;$E1843))</f>
        <v/>
      </c>
      <c r="J1843" s="59">
        <f t="shared" si="28"/>
        <v>0</v>
      </c>
      <c r="K1843" s="59">
        <f t="shared" si="29"/>
        <v>0</v>
      </c>
      <c r="L1843" s="59">
        <f t="shared" si="30"/>
        <v>0</v>
      </c>
      <c r="M1843" s="59">
        <f t="shared" si="31"/>
        <v>0</v>
      </c>
    </row>
    <row r="1844" ht="15.0" hidden="1" customHeight="1">
      <c r="A1844" s="59">
        <f t="shared" si="20"/>
        <v>27</v>
      </c>
      <c r="B1844" s="59" t="str">
        <f t="shared" si="21"/>
        <v/>
      </c>
      <c r="C1844" s="59" t="str">
        <f t="shared" si="22"/>
        <v/>
      </c>
      <c r="D1844" s="45" t="str">
        <f t="shared" si="23"/>
        <v/>
      </c>
      <c r="E1844" s="45" t="str">
        <f t="shared" si="24"/>
        <v/>
      </c>
      <c r="F1844" s="59" t="str">
        <f t="shared" si="25"/>
        <v/>
      </c>
      <c r="G1844" s="59" t="str">
        <f t="shared" si="26"/>
        <v/>
      </c>
      <c r="H1844" s="59" t="str">
        <f t="shared" si="27"/>
        <v>Xúclật asphalt</v>
      </c>
      <c r="I1844" s="59" t="str">
        <f>IF(OR($A1844="",$C1844="",$D1844="",$E1844="",$H1844=""),"",SUMIFS(DATA_GOC!$H:$H,DATA_GOC!$A:$A,"BOM",DATA_GOC!$D:$D,$H1844,DATA_GOC!$E:$E,$C1844,DATA_GOC!$F:$F,"Xuất nội bộ từ téc",DATA_GOC!$B:$B,"&gt;="&amp;$D1844,DATA_GOC!$B:$B,"&lt;="&amp;$E1844))</f>
        <v/>
      </c>
      <c r="J1844" s="59">
        <f t="shared" si="28"/>
        <v>0</v>
      </c>
      <c r="K1844" s="59">
        <f t="shared" si="29"/>
        <v>0</v>
      </c>
      <c r="L1844" s="59">
        <f t="shared" si="30"/>
        <v>0</v>
      </c>
      <c r="M1844" s="59">
        <f t="shared" si="31"/>
        <v>0</v>
      </c>
    </row>
    <row r="1845" ht="15.0" hidden="1" customHeight="1">
      <c r="A1845" s="59">
        <f t="shared" si="20"/>
        <v>27</v>
      </c>
      <c r="B1845" s="59" t="str">
        <f t="shared" si="21"/>
        <v/>
      </c>
      <c r="C1845" s="59" t="str">
        <f t="shared" si="22"/>
        <v/>
      </c>
      <c r="D1845" s="45" t="str">
        <f t="shared" si="23"/>
        <v/>
      </c>
      <c r="E1845" s="45" t="str">
        <f t="shared" si="24"/>
        <v/>
      </c>
      <c r="F1845" s="59" t="str">
        <f t="shared" si="25"/>
        <v/>
      </c>
      <c r="G1845" s="59" t="str">
        <f t="shared" si="26"/>
        <v/>
      </c>
      <c r="H1845" s="59" t="str">
        <f t="shared" si="27"/>
        <v>Xúclật855H</v>
      </c>
      <c r="I1845" s="59" t="str">
        <f>IF(OR($A1845="",$C1845="",$D1845="",$E1845="",$H1845=""),"",SUMIFS(DATA_GOC!$H:$H,DATA_GOC!$A:$A,"BOM",DATA_GOC!$D:$D,$H1845,DATA_GOC!$E:$E,$C1845,DATA_GOC!$F:$F,"Xuất nội bộ từ téc",DATA_GOC!$B:$B,"&gt;="&amp;$D1845,DATA_GOC!$B:$B,"&lt;="&amp;$E1845))</f>
        <v/>
      </c>
      <c r="J1845" s="59">
        <f t="shared" si="28"/>
        <v>0</v>
      </c>
      <c r="K1845" s="59">
        <f t="shared" si="29"/>
        <v>0</v>
      </c>
      <c r="L1845" s="59">
        <f t="shared" si="30"/>
        <v>0</v>
      </c>
      <c r="M1845" s="59">
        <f t="shared" si="31"/>
        <v>0</v>
      </c>
    </row>
    <row r="1846" ht="15.0" hidden="1" customHeight="1">
      <c r="A1846" s="59">
        <f t="shared" si="20"/>
        <v>27</v>
      </c>
      <c r="B1846" s="59" t="str">
        <f t="shared" si="21"/>
        <v/>
      </c>
      <c r="C1846" s="59" t="str">
        <f t="shared" si="22"/>
        <v/>
      </c>
      <c r="D1846" s="45" t="str">
        <f t="shared" si="23"/>
        <v/>
      </c>
      <c r="E1846" s="45" t="str">
        <f t="shared" si="24"/>
        <v/>
      </c>
      <c r="F1846" s="59" t="str">
        <f t="shared" si="25"/>
        <v/>
      </c>
      <c r="G1846" s="59" t="str">
        <f t="shared" si="26"/>
        <v/>
      </c>
      <c r="H1846" s="59" t="str">
        <f t="shared" si="27"/>
        <v>Xúclật855N</v>
      </c>
      <c r="I1846" s="59" t="str">
        <f>IF(OR($A1846="",$C1846="",$D1846="",$E1846="",$H1846=""),"",SUMIFS(DATA_GOC!$H:$H,DATA_GOC!$A:$A,"BOM",DATA_GOC!$D:$D,$H1846,DATA_GOC!$E:$E,$C1846,DATA_GOC!$F:$F,"Xuất nội bộ từ téc",DATA_GOC!$B:$B,"&gt;="&amp;$D1846,DATA_GOC!$B:$B,"&lt;="&amp;$E1846))</f>
        <v/>
      </c>
      <c r="J1846" s="59">
        <f t="shared" si="28"/>
        <v>0</v>
      </c>
      <c r="K1846" s="59">
        <f t="shared" si="29"/>
        <v>0</v>
      </c>
      <c r="L1846" s="59">
        <f t="shared" si="30"/>
        <v>0</v>
      </c>
      <c r="M1846" s="59">
        <f t="shared" si="31"/>
        <v>0</v>
      </c>
    </row>
    <row r="1847" ht="15.0" hidden="1" customHeight="1">
      <c r="A1847" s="59">
        <f t="shared" si="20"/>
        <v>27</v>
      </c>
      <c r="B1847" s="59" t="str">
        <f t="shared" si="21"/>
        <v/>
      </c>
      <c r="C1847" s="59" t="str">
        <f t="shared" si="22"/>
        <v/>
      </c>
      <c r="D1847" s="45" t="str">
        <f t="shared" si="23"/>
        <v/>
      </c>
      <c r="E1847" s="45" t="str">
        <f t="shared" si="24"/>
        <v/>
      </c>
      <c r="F1847" s="59" t="str">
        <f t="shared" si="25"/>
        <v/>
      </c>
      <c r="G1847" s="59" t="str">
        <f t="shared" si="26"/>
        <v/>
      </c>
      <c r="H1847" s="59" t="str">
        <f t="shared" si="27"/>
        <v>Cát nghiền</v>
      </c>
      <c r="I1847" s="59" t="str">
        <f>IF(OR($A1847="",$C1847="",$D1847="",$E1847="",$H1847=""),"",SUMIFS(DATA_GOC!$H:$H,DATA_GOC!$A:$A,"BOM",DATA_GOC!$D:$D,$H1847,DATA_GOC!$E:$E,$C1847,DATA_GOC!$F:$F,"Xuất nội bộ từ téc",DATA_GOC!$B:$B,"&gt;="&amp;$D1847,DATA_GOC!$B:$B,"&lt;="&amp;$E1847))</f>
        <v/>
      </c>
      <c r="J1847" s="59">
        <f t="shared" si="28"/>
        <v>0</v>
      </c>
      <c r="K1847" s="59">
        <f t="shared" si="29"/>
        <v>0</v>
      </c>
      <c r="L1847" s="59">
        <f t="shared" si="30"/>
        <v>0</v>
      </c>
      <c r="M1847" s="59">
        <f t="shared" si="31"/>
        <v>0</v>
      </c>
    </row>
    <row r="1848" ht="15.0" hidden="1" customHeight="1">
      <c r="A1848" s="59">
        <f t="shared" si="20"/>
        <v>27</v>
      </c>
      <c r="B1848" s="59" t="str">
        <f t="shared" si="21"/>
        <v/>
      </c>
      <c r="C1848" s="59" t="str">
        <f t="shared" si="22"/>
        <v/>
      </c>
      <c r="D1848" s="45" t="str">
        <f t="shared" si="23"/>
        <v/>
      </c>
      <c r="E1848" s="45" t="str">
        <f t="shared" si="24"/>
        <v/>
      </c>
      <c r="F1848" s="59" t="str">
        <f t="shared" si="25"/>
        <v/>
      </c>
      <c r="G1848" s="59" t="str">
        <f t="shared" si="26"/>
        <v/>
      </c>
      <c r="H1848" s="59" t="str">
        <f t="shared" si="27"/>
        <v>28C02973</v>
      </c>
      <c r="I1848" s="59" t="str">
        <f>IF(OR($A1848="",$C1848="",$D1848="",$E1848="",$H1848=""),"",SUMIFS(DATA_GOC!$H:$H,DATA_GOC!$A:$A,"BOM",DATA_GOC!$D:$D,$H1848,DATA_GOC!$E:$E,$C1848,DATA_GOC!$F:$F,"Xuất nội bộ từ téc",DATA_GOC!$B:$B,"&gt;="&amp;$D1848,DATA_GOC!$B:$B,"&lt;="&amp;$E1848))</f>
        <v/>
      </c>
      <c r="J1848" s="59">
        <f t="shared" si="28"/>
        <v>0</v>
      </c>
      <c r="K1848" s="59">
        <f t="shared" si="29"/>
        <v>0</v>
      </c>
      <c r="L1848" s="59">
        <f t="shared" si="30"/>
        <v>0</v>
      </c>
      <c r="M1848" s="59">
        <f t="shared" si="31"/>
        <v>0</v>
      </c>
    </row>
    <row r="1849" ht="15.0" hidden="1" customHeight="1">
      <c r="A1849" s="59">
        <f t="shared" si="20"/>
        <v>27</v>
      </c>
      <c r="B1849" s="59" t="str">
        <f t="shared" si="21"/>
        <v/>
      </c>
      <c r="C1849" s="59" t="str">
        <f t="shared" si="22"/>
        <v/>
      </c>
      <c r="D1849" s="45" t="str">
        <f t="shared" si="23"/>
        <v/>
      </c>
      <c r="E1849" s="45" t="str">
        <f t="shared" si="24"/>
        <v/>
      </c>
      <c r="F1849" s="59" t="str">
        <f t="shared" si="25"/>
        <v/>
      </c>
      <c r="G1849" s="59" t="str">
        <f t="shared" si="26"/>
        <v/>
      </c>
      <c r="H1849" s="59" t="str">
        <f t="shared" si="27"/>
        <v>28C03044</v>
      </c>
      <c r="I1849" s="59" t="str">
        <f>IF(OR($A1849="",$C1849="",$D1849="",$E1849="",$H1849=""),"",SUMIFS(DATA_GOC!$H:$H,DATA_GOC!$A:$A,"BOM",DATA_GOC!$D:$D,$H1849,DATA_GOC!$E:$E,$C1849,DATA_GOC!$F:$F,"Xuất nội bộ từ téc",DATA_GOC!$B:$B,"&gt;="&amp;$D1849,DATA_GOC!$B:$B,"&lt;="&amp;$E1849))</f>
        <v/>
      </c>
      <c r="J1849" s="59">
        <f t="shared" si="28"/>
        <v>0</v>
      </c>
      <c r="K1849" s="59">
        <f t="shared" si="29"/>
        <v>0</v>
      </c>
      <c r="L1849" s="59">
        <f t="shared" si="30"/>
        <v>0</v>
      </c>
      <c r="M1849" s="59">
        <f t="shared" si="31"/>
        <v>0</v>
      </c>
    </row>
    <row r="1850" ht="15.0" hidden="1" customHeight="1">
      <c r="A1850" s="59">
        <f t="shared" si="20"/>
        <v>27</v>
      </c>
      <c r="B1850" s="59" t="str">
        <f t="shared" si="21"/>
        <v/>
      </c>
      <c r="C1850" s="59" t="str">
        <f t="shared" si="22"/>
        <v/>
      </c>
      <c r="D1850" s="45" t="str">
        <f t="shared" si="23"/>
        <v/>
      </c>
      <c r="E1850" s="45" t="str">
        <f t="shared" si="24"/>
        <v/>
      </c>
      <c r="F1850" s="59" t="str">
        <f t="shared" si="25"/>
        <v/>
      </c>
      <c r="G1850" s="59" t="str">
        <f t="shared" si="26"/>
        <v/>
      </c>
      <c r="H1850" s="59" t="str">
        <f t="shared" si="27"/>
        <v>Máy lu lốp</v>
      </c>
      <c r="I1850" s="59" t="str">
        <f>IF(OR($A1850="",$C1850="",$D1850="",$E1850="",$H1850=""),"",SUMIFS(DATA_GOC!$H:$H,DATA_GOC!$A:$A,"BOM",DATA_GOC!$D:$D,$H1850,DATA_GOC!$E:$E,$C1850,DATA_GOC!$F:$F,"Xuất nội bộ từ téc",DATA_GOC!$B:$B,"&gt;="&amp;$D1850,DATA_GOC!$B:$B,"&lt;="&amp;$E1850))</f>
        <v/>
      </c>
      <c r="J1850" s="59">
        <f t="shared" si="28"/>
        <v>0</v>
      </c>
      <c r="K1850" s="59">
        <f t="shared" si="29"/>
        <v>0</v>
      </c>
      <c r="L1850" s="59">
        <f t="shared" si="30"/>
        <v>0</v>
      </c>
      <c r="M1850" s="59">
        <f t="shared" si="31"/>
        <v>0</v>
      </c>
    </row>
    <row r="1851" ht="15.0" hidden="1" customHeight="1">
      <c r="A1851" s="59">
        <f t="shared" si="20"/>
        <v>27</v>
      </c>
      <c r="B1851" s="59" t="str">
        <f t="shared" si="21"/>
        <v/>
      </c>
      <c r="C1851" s="59" t="str">
        <f t="shared" si="22"/>
        <v/>
      </c>
      <c r="D1851" s="45" t="str">
        <f t="shared" si="23"/>
        <v/>
      </c>
      <c r="E1851" s="45" t="str">
        <f t="shared" si="24"/>
        <v/>
      </c>
      <c r="F1851" s="59" t="str">
        <f t="shared" si="25"/>
        <v/>
      </c>
      <c r="G1851" s="59" t="str">
        <f t="shared" si="26"/>
        <v/>
      </c>
      <c r="H1851" s="59" t="str">
        <f t="shared" si="27"/>
        <v>Xe 600148</v>
      </c>
      <c r="I1851" s="59" t="str">
        <f>IF(OR($A1851="",$C1851="",$D1851="",$E1851="",$H1851=""),"",SUMIFS(DATA_GOC!$H:$H,DATA_GOC!$A:$A,"BOM",DATA_GOC!$D:$D,$H1851,DATA_GOC!$E:$E,$C1851,DATA_GOC!$F:$F,"Xuất nội bộ từ téc",DATA_GOC!$B:$B,"&gt;="&amp;$D1851,DATA_GOC!$B:$B,"&lt;="&amp;$E1851))</f>
        <v/>
      </c>
      <c r="J1851" s="59">
        <f t="shared" si="28"/>
        <v>0</v>
      </c>
      <c r="K1851" s="59">
        <f t="shared" si="29"/>
        <v>0</v>
      </c>
      <c r="L1851" s="59">
        <f t="shared" si="30"/>
        <v>0</v>
      </c>
      <c r="M1851" s="59">
        <f t="shared" si="31"/>
        <v>0</v>
      </c>
    </row>
    <row r="1852" ht="15.0" hidden="1" customHeight="1">
      <c r="A1852" s="59">
        <f t="shared" si="20"/>
        <v>27</v>
      </c>
      <c r="B1852" s="59" t="str">
        <f t="shared" si="21"/>
        <v/>
      </c>
      <c r="C1852" s="59" t="str">
        <f t="shared" si="22"/>
        <v/>
      </c>
      <c r="D1852" s="45" t="str">
        <f t="shared" si="23"/>
        <v/>
      </c>
      <c r="E1852" s="45" t="str">
        <f t="shared" si="24"/>
        <v/>
      </c>
      <c r="F1852" s="59" t="str">
        <f t="shared" si="25"/>
        <v/>
      </c>
      <c r="G1852" s="59" t="str">
        <f t="shared" si="26"/>
        <v/>
      </c>
      <c r="H1852" s="59" t="str">
        <f t="shared" si="27"/>
        <v>Xe ben mới</v>
      </c>
      <c r="I1852" s="59" t="str">
        <f>IF(OR($A1852="",$C1852="",$D1852="",$E1852="",$H1852=""),"",SUMIFS(DATA_GOC!$H:$H,DATA_GOC!$A:$A,"BOM",DATA_GOC!$D:$D,$H1852,DATA_GOC!$E:$E,$C1852,DATA_GOC!$F:$F,"Xuất nội bộ từ téc",DATA_GOC!$B:$B,"&gt;="&amp;$D1852,DATA_GOC!$B:$B,"&lt;="&amp;$E1852))</f>
        <v/>
      </c>
      <c r="J1852" s="59">
        <f t="shared" si="28"/>
        <v>0</v>
      </c>
      <c r="K1852" s="59">
        <f t="shared" si="29"/>
        <v>0</v>
      </c>
      <c r="L1852" s="59">
        <f t="shared" si="30"/>
        <v>0</v>
      </c>
      <c r="M1852" s="59">
        <f t="shared" si="31"/>
        <v>0</v>
      </c>
    </row>
    <row r="1853" ht="15.0" hidden="1" customHeight="1">
      <c r="A1853" s="59">
        <f t="shared" si="20"/>
        <v>28</v>
      </c>
      <c r="B1853" s="59" t="str">
        <f t="shared" si="21"/>
        <v/>
      </c>
      <c r="C1853" s="59" t="str">
        <f t="shared" si="22"/>
        <v/>
      </c>
      <c r="D1853" s="45" t="str">
        <f t="shared" si="23"/>
        <v/>
      </c>
      <c r="E1853" s="45" t="str">
        <f t="shared" si="24"/>
        <v/>
      </c>
      <c r="F1853" s="59" t="str">
        <f t="shared" si="25"/>
        <v/>
      </c>
      <c r="G1853" s="59" t="str">
        <f t="shared" si="26"/>
        <v/>
      </c>
      <c r="H1853" s="59" t="str">
        <f t="shared" si="27"/>
        <v>19H09482</v>
      </c>
      <c r="I1853" s="59" t="str">
        <f>IF(OR($A1853="",$C1853="",$D1853="",$E1853="",$H1853=""),"",SUMIFS(DATA_GOC!$H:$H,DATA_GOC!$A:$A,"BOM",DATA_GOC!$D:$D,$H1853,DATA_GOC!$E:$E,$C1853,DATA_GOC!$F:$F,"Xuất nội bộ từ téc",DATA_GOC!$B:$B,"&gt;="&amp;$D1853,DATA_GOC!$B:$B,"&lt;="&amp;$E1853))</f>
        <v/>
      </c>
      <c r="J1853" s="59">
        <f t="shared" si="28"/>
        <v>0</v>
      </c>
      <c r="K1853" s="59">
        <f t="shared" si="29"/>
        <v>0</v>
      </c>
      <c r="L1853" s="59">
        <f t="shared" si="30"/>
        <v>0</v>
      </c>
      <c r="M1853" s="59">
        <f t="shared" si="31"/>
        <v>0</v>
      </c>
    </row>
    <row r="1854" ht="15.0" hidden="1" customHeight="1">
      <c r="A1854" s="59">
        <f t="shared" si="20"/>
        <v>28</v>
      </c>
      <c r="B1854" s="59" t="str">
        <f t="shared" si="21"/>
        <v/>
      </c>
      <c r="C1854" s="59" t="str">
        <f t="shared" si="22"/>
        <v/>
      </c>
      <c r="D1854" s="45" t="str">
        <f t="shared" si="23"/>
        <v/>
      </c>
      <c r="E1854" s="45" t="str">
        <f t="shared" si="24"/>
        <v/>
      </c>
      <c r="F1854" s="59" t="str">
        <f t="shared" si="25"/>
        <v/>
      </c>
      <c r="G1854" s="59" t="str">
        <f t="shared" si="26"/>
        <v/>
      </c>
      <c r="H1854" s="59" t="str">
        <f t="shared" si="27"/>
        <v>28A30696</v>
      </c>
      <c r="I1854" s="59" t="str">
        <f>IF(OR($A1854="",$C1854="",$D1854="",$E1854="",$H1854=""),"",SUMIFS(DATA_GOC!$H:$H,DATA_GOC!$A:$A,"BOM",DATA_GOC!$D:$D,$H1854,DATA_GOC!$E:$E,$C1854,DATA_GOC!$F:$F,"Xuất nội bộ từ téc",DATA_GOC!$B:$B,"&gt;="&amp;$D1854,DATA_GOC!$B:$B,"&lt;="&amp;$E1854))</f>
        <v/>
      </c>
      <c r="J1854" s="59">
        <f t="shared" si="28"/>
        <v>0</v>
      </c>
      <c r="K1854" s="59">
        <f t="shared" si="29"/>
        <v>0</v>
      </c>
      <c r="L1854" s="59">
        <f t="shared" si="30"/>
        <v>0</v>
      </c>
      <c r="M1854" s="59">
        <f t="shared" si="31"/>
        <v>0</v>
      </c>
    </row>
    <row r="1855" ht="15.0" hidden="1" customHeight="1">
      <c r="A1855" s="59">
        <f t="shared" si="20"/>
        <v>28</v>
      </c>
      <c r="B1855" s="59" t="str">
        <f t="shared" si="21"/>
        <v/>
      </c>
      <c r="C1855" s="59" t="str">
        <f t="shared" si="22"/>
        <v/>
      </c>
      <c r="D1855" s="45" t="str">
        <f t="shared" si="23"/>
        <v/>
      </c>
      <c r="E1855" s="45" t="str">
        <f t="shared" si="24"/>
        <v/>
      </c>
      <c r="F1855" s="59" t="str">
        <f t="shared" si="25"/>
        <v/>
      </c>
      <c r="G1855" s="59" t="str">
        <f t="shared" si="26"/>
        <v/>
      </c>
      <c r="H1855" s="59" t="str">
        <f t="shared" si="27"/>
        <v>28C00462</v>
      </c>
      <c r="I1855" s="59" t="str">
        <f>IF(OR($A1855="",$C1855="",$D1855="",$E1855="",$H1855=""),"",SUMIFS(DATA_GOC!$H:$H,DATA_GOC!$A:$A,"BOM",DATA_GOC!$D:$D,$H1855,DATA_GOC!$E:$E,$C1855,DATA_GOC!$F:$F,"Xuất nội bộ từ téc",DATA_GOC!$B:$B,"&gt;="&amp;$D1855,DATA_GOC!$B:$B,"&lt;="&amp;$E1855))</f>
        <v/>
      </c>
      <c r="J1855" s="59">
        <f t="shared" si="28"/>
        <v>0</v>
      </c>
      <c r="K1855" s="59">
        <f t="shared" si="29"/>
        <v>0</v>
      </c>
      <c r="L1855" s="59">
        <f t="shared" si="30"/>
        <v>0</v>
      </c>
      <c r="M1855" s="59">
        <f t="shared" si="31"/>
        <v>0</v>
      </c>
    </row>
    <row r="1856" ht="15.0" hidden="1" customHeight="1">
      <c r="A1856" s="59">
        <f t="shared" si="20"/>
        <v>28</v>
      </c>
      <c r="B1856" s="59" t="str">
        <f t="shared" si="21"/>
        <v/>
      </c>
      <c r="C1856" s="59" t="str">
        <f t="shared" si="22"/>
        <v/>
      </c>
      <c r="D1856" s="45" t="str">
        <f t="shared" si="23"/>
        <v/>
      </c>
      <c r="E1856" s="45" t="str">
        <f t="shared" si="24"/>
        <v/>
      </c>
      <c r="F1856" s="59" t="str">
        <f t="shared" si="25"/>
        <v/>
      </c>
      <c r="G1856" s="59" t="str">
        <f t="shared" si="26"/>
        <v/>
      </c>
      <c r="H1856" s="59" t="str">
        <f t="shared" si="27"/>
        <v>28C01165</v>
      </c>
      <c r="I1856" s="59" t="str">
        <f>IF(OR($A1856="",$C1856="",$D1856="",$E1856="",$H1856=""),"",SUMIFS(DATA_GOC!$H:$H,DATA_GOC!$A:$A,"BOM",DATA_GOC!$D:$D,$H1856,DATA_GOC!$E:$E,$C1856,DATA_GOC!$F:$F,"Xuất nội bộ từ téc",DATA_GOC!$B:$B,"&gt;="&amp;$D1856,DATA_GOC!$B:$B,"&lt;="&amp;$E1856))</f>
        <v/>
      </c>
      <c r="J1856" s="59">
        <f t="shared" si="28"/>
        <v>0</v>
      </c>
      <c r="K1856" s="59">
        <f t="shared" si="29"/>
        <v>0</v>
      </c>
      <c r="L1856" s="59">
        <f t="shared" si="30"/>
        <v>0</v>
      </c>
      <c r="M1856" s="59">
        <f t="shared" si="31"/>
        <v>0</v>
      </c>
    </row>
    <row r="1857" ht="15.0" hidden="1" customHeight="1">
      <c r="A1857" s="59">
        <f t="shared" si="20"/>
        <v>28</v>
      </c>
      <c r="B1857" s="59" t="str">
        <f t="shared" si="21"/>
        <v/>
      </c>
      <c r="C1857" s="59" t="str">
        <f t="shared" si="22"/>
        <v/>
      </c>
      <c r="D1857" s="45" t="str">
        <f t="shared" si="23"/>
        <v/>
      </c>
      <c r="E1857" s="45" t="str">
        <f t="shared" si="24"/>
        <v/>
      </c>
      <c r="F1857" s="59" t="str">
        <f t="shared" si="25"/>
        <v/>
      </c>
      <c r="G1857" s="59" t="str">
        <f t="shared" si="26"/>
        <v/>
      </c>
      <c r="H1857" s="59" t="str">
        <f t="shared" si="27"/>
        <v>28C01406</v>
      </c>
      <c r="I1857" s="59" t="str">
        <f>IF(OR($A1857="",$C1857="",$D1857="",$E1857="",$H1857=""),"",SUMIFS(DATA_GOC!$H:$H,DATA_GOC!$A:$A,"BOM",DATA_GOC!$D:$D,$H1857,DATA_GOC!$E:$E,$C1857,DATA_GOC!$F:$F,"Xuất nội bộ từ téc",DATA_GOC!$B:$B,"&gt;="&amp;$D1857,DATA_GOC!$B:$B,"&lt;="&amp;$E1857))</f>
        <v/>
      </c>
      <c r="J1857" s="59">
        <f t="shared" si="28"/>
        <v>0</v>
      </c>
      <c r="K1857" s="59">
        <f t="shared" si="29"/>
        <v>0</v>
      </c>
      <c r="L1857" s="59">
        <f t="shared" si="30"/>
        <v>0</v>
      </c>
      <c r="M1857" s="59">
        <f t="shared" si="31"/>
        <v>0</v>
      </c>
    </row>
    <row r="1858" ht="15.0" hidden="1" customHeight="1">
      <c r="A1858" s="59">
        <f t="shared" si="20"/>
        <v>28</v>
      </c>
      <c r="B1858" s="59" t="str">
        <f t="shared" si="21"/>
        <v/>
      </c>
      <c r="C1858" s="59" t="str">
        <f t="shared" si="22"/>
        <v/>
      </c>
      <c r="D1858" s="45" t="str">
        <f t="shared" si="23"/>
        <v/>
      </c>
      <c r="E1858" s="45" t="str">
        <f t="shared" si="24"/>
        <v/>
      </c>
      <c r="F1858" s="59" t="str">
        <f t="shared" si="25"/>
        <v/>
      </c>
      <c r="G1858" s="59" t="str">
        <f t="shared" si="26"/>
        <v/>
      </c>
      <c r="H1858" s="59" t="str">
        <f t="shared" si="27"/>
        <v>28C01544</v>
      </c>
      <c r="I1858" s="59" t="str">
        <f>IF(OR($A1858="",$C1858="",$D1858="",$E1858="",$H1858=""),"",SUMIFS(DATA_GOC!$H:$H,DATA_GOC!$A:$A,"BOM",DATA_GOC!$D:$D,$H1858,DATA_GOC!$E:$E,$C1858,DATA_GOC!$F:$F,"Xuất nội bộ từ téc",DATA_GOC!$B:$B,"&gt;="&amp;$D1858,DATA_GOC!$B:$B,"&lt;="&amp;$E1858))</f>
        <v/>
      </c>
      <c r="J1858" s="59">
        <f t="shared" si="28"/>
        <v>0</v>
      </c>
      <c r="K1858" s="59">
        <f t="shared" si="29"/>
        <v>0</v>
      </c>
      <c r="L1858" s="59">
        <f t="shared" si="30"/>
        <v>0</v>
      </c>
      <c r="M1858" s="59">
        <f t="shared" si="31"/>
        <v>0</v>
      </c>
    </row>
    <row r="1859" ht="15.0" hidden="1" customHeight="1">
      <c r="A1859" s="59">
        <f t="shared" si="20"/>
        <v>28</v>
      </c>
      <c r="B1859" s="59" t="str">
        <f t="shared" si="21"/>
        <v/>
      </c>
      <c r="C1859" s="59" t="str">
        <f t="shared" si="22"/>
        <v/>
      </c>
      <c r="D1859" s="45" t="str">
        <f t="shared" si="23"/>
        <v/>
      </c>
      <c r="E1859" s="45" t="str">
        <f t="shared" si="24"/>
        <v/>
      </c>
      <c r="F1859" s="59" t="str">
        <f t="shared" si="25"/>
        <v/>
      </c>
      <c r="G1859" s="59" t="str">
        <f t="shared" si="26"/>
        <v/>
      </c>
      <c r="H1859" s="59" t="str">
        <f t="shared" si="27"/>
        <v>28C01622</v>
      </c>
      <c r="I1859" s="59" t="str">
        <f>IF(OR($A1859="",$C1859="",$D1859="",$E1859="",$H1859=""),"",SUMIFS(DATA_GOC!$H:$H,DATA_GOC!$A:$A,"BOM",DATA_GOC!$D:$D,$H1859,DATA_GOC!$E:$E,$C1859,DATA_GOC!$F:$F,"Xuất nội bộ từ téc",DATA_GOC!$B:$B,"&gt;="&amp;$D1859,DATA_GOC!$B:$B,"&lt;="&amp;$E1859))</f>
        <v/>
      </c>
      <c r="J1859" s="59">
        <f t="shared" si="28"/>
        <v>0</v>
      </c>
      <c r="K1859" s="59">
        <f t="shared" si="29"/>
        <v>0</v>
      </c>
      <c r="L1859" s="59">
        <f t="shared" si="30"/>
        <v>0</v>
      </c>
      <c r="M1859" s="59">
        <f t="shared" si="31"/>
        <v>0</v>
      </c>
    </row>
    <row r="1860" ht="15.0" hidden="1" customHeight="1">
      <c r="A1860" s="59">
        <f t="shared" si="20"/>
        <v>28</v>
      </c>
      <c r="B1860" s="59" t="str">
        <f t="shared" si="21"/>
        <v/>
      </c>
      <c r="C1860" s="59" t="str">
        <f t="shared" si="22"/>
        <v/>
      </c>
      <c r="D1860" s="45" t="str">
        <f t="shared" si="23"/>
        <v/>
      </c>
      <c r="E1860" s="45" t="str">
        <f t="shared" si="24"/>
        <v/>
      </c>
      <c r="F1860" s="59" t="str">
        <f t="shared" si="25"/>
        <v/>
      </c>
      <c r="G1860" s="59" t="str">
        <f t="shared" si="26"/>
        <v/>
      </c>
      <c r="H1860" s="59" t="str">
        <f t="shared" si="27"/>
        <v>28C01647</v>
      </c>
      <c r="I1860" s="59" t="str">
        <f>IF(OR($A1860="",$C1860="",$D1860="",$E1860="",$H1860=""),"",SUMIFS(DATA_GOC!$H:$H,DATA_GOC!$A:$A,"BOM",DATA_GOC!$D:$D,$H1860,DATA_GOC!$E:$E,$C1860,DATA_GOC!$F:$F,"Xuất nội bộ từ téc",DATA_GOC!$B:$B,"&gt;="&amp;$D1860,DATA_GOC!$B:$B,"&lt;="&amp;$E1860))</f>
        <v/>
      </c>
      <c r="J1860" s="59">
        <f t="shared" si="28"/>
        <v>0</v>
      </c>
      <c r="K1860" s="59">
        <f t="shared" si="29"/>
        <v>0</v>
      </c>
      <c r="L1860" s="59">
        <f t="shared" si="30"/>
        <v>0</v>
      </c>
      <c r="M1860" s="59">
        <f t="shared" si="31"/>
        <v>0</v>
      </c>
    </row>
    <row r="1861" ht="15.0" hidden="1" customHeight="1">
      <c r="A1861" s="59">
        <f t="shared" si="20"/>
        <v>28</v>
      </c>
      <c r="B1861" s="59" t="str">
        <f t="shared" si="21"/>
        <v/>
      </c>
      <c r="C1861" s="59" t="str">
        <f t="shared" si="22"/>
        <v/>
      </c>
      <c r="D1861" s="45" t="str">
        <f t="shared" si="23"/>
        <v/>
      </c>
      <c r="E1861" s="45" t="str">
        <f t="shared" si="24"/>
        <v/>
      </c>
      <c r="F1861" s="59" t="str">
        <f t="shared" si="25"/>
        <v/>
      </c>
      <c r="G1861" s="59" t="str">
        <f t="shared" si="26"/>
        <v/>
      </c>
      <c r="H1861" s="59" t="str">
        <f t="shared" si="27"/>
        <v>28C01731</v>
      </c>
      <c r="I1861" s="59" t="str">
        <f>IF(OR($A1861="",$C1861="",$D1861="",$E1861="",$H1861=""),"",SUMIFS(DATA_GOC!$H:$H,DATA_GOC!$A:$A,"BOM",DATA_GOC!$D:$D,$H1861,DATA_GOC!$E:$E,$C1861,DATA_GOC!$F:$F,"Xuất nội bộ từ téc",DATA_GOC!$B:$B,"&gt;="&amp;$D1861,DATA_GOC!$B:$B,"&lt;="&amp;$E1861))</f>
        <v/>
      </c>
      <c r="J1861" s="59">
        <f t="shared" si="28"/>
        <v>0</v>
      </c>
      <c r="K1861" s="59">
        <f t="shared" si="29"/>
        <v>0</v>
      </c>
      <c r="L1861" s="59">
        <f t="shared" si="30"/>
        <v>0</v>
      </c>
      <c r="M1861" s="59">
        <f t="shared" si="31"/>
        <v>0</v>
      </c>
    </row>
    <row r="1862" ht="15.0" hidden="1" customHeight="1">
      <c r="A1862" s="59">
        <f t="shared" si="20"/>
        <v>28</v>
      </c>
      <c r="B1862" s="59" t="str">
        <f t="shared" si="21"/>
        <v/>
      </c>
      <c r="C1862" s="59" t="str">
        <f t="shared" si="22"/>
        <v/>
      </c>
      <c r="D1862" s="45" t="str">
        <f t="shared" si="23"/>
        <v/>
      </c>
      <c r="E1862" s="45" t="str">
        <f t="shared" si="24"/>
        <v/>
      </c>
      <c r="F1862" s="59" t="str">
        <f t="shared" si="25"/>
        <v/>
      </c>
      <c r="G1862" s="59" t="str">
        <f t="shared" si="26"/>
        <v/>
      </c>
      <c r="H1862" s="59" t="str">
        <f t="shared" si="27"/>
        <v>28C01743</v>
      </c>
      <c r="I1862" s="59" t="str">
        <f>IF(OR($A1862="",$C1862="",$D1862="",$E1862="",$H1862=""),"",SUMIFS(DATA_GOC!$H:$H,DATA_GOC!$A:$A,"BOM",DATA_GOC!$D:$D,$H1862,DATA_GOC!$E:$E,$C1862,DATA_GOC!$F:$F,"Xuất nội bộ từ téc",DATA_GOC!$B:$B,"&gt;="&amp;$D1862,DATA_GOC!$B:$B,"&lt;="&amp;$E1862))</f>
        <v/>
      </c>
      <c r="J1862" s="59">
        <f t="shared" si="28"/>
        <v>0</v>
      </c>
      <c r="K1862" s="59">
        <f t="shared" si="29"/>
        <v>0</v>
      </c>
      <c r="L1862" s="59">
        <f t="shared" si="30"/>
        <v>0</v>
      </c>
      <c r="M1862" s="59">
        <f t="shared" si="31"/>
        <v>0</v>
      </c>
    </row>
    <row r="1863" ht="15.0" hidden="1" customHeight="1">
      <c r="A1863" s="59">
        <f t="shared" si="20"/>
        <v>28</v>
      </c>
      <c r="B1863" s="59" t="str">
        <f t="shared" si="21"/>
        <v/>
      </c>
      <c r="C1863" s="59" t="str">
        <f t="shared" si="22"/>
        <v/>
      </c>
      <c r="D1863" s="45" t="str">
        <f t="shared" si="23"/>
        <v/>
      </c>
      <c r="E1863" s="45" t="str">
        <f t="shared" si="24"/>
        <v/>
      </c>
      <c r="F1863" s="59" t="str">
        <f t="shared" si="25"/>
        <v/>
      </c>
      <c r="G1863" s="59" t="str">
        <f t="shared" si="26"/>
        <v/>
      </c>
      <c r="H1863" s="59" t="str">
        <f t="shared" si="27"/>
        <v>28C02106</v>
      </c>
      <c r="I1863" s="59" t="str">
        <f>IF(OR($A1863="",$C1863="",$D1863="",$E1863="",$H1863=""),"",SUMIFS(DATA_GOC!$H:$H,DATA_GOC!$A:$A,"BOM",DATA_GOC!$D:$D,$H1863,DATA_GOC!$E:$E,$C1863,DATA_GOC!$F:$F,"Xuất nội bộ từ téc",DATA_GOC!$B:$B,"&gt;="&amp;$D1863,DATA_GOC!$B:$B,"&lt;="&amp;$E1863))</f>
        <v/>
      </c>
      <c r="J1863" s="59">
        <f t="shared" si="28"/>
        <v>0</v>
      </c>
      <c r="K1863" s="59">
        <f t="shared" si="29"/>
        <v>0</v>
      </c>
      <c r="L1863" s="59">
        <f t="shared" si="30"/>
        <v>0</v>
      </c>
      <c r="M1863" s="59">
        <f t="shared" si="31"/>
        <v>0</v>
      </c>
    </row>
    <row r="1864" ht="15.0" hidden="1" customHeight="1">
      <c r="A1864" s="59">
        <f t="shared" si="20"/>
        <v>28</v>
      </c>
      <c r="B1864" s="59" t="str">
        <f t="shared" si="21"/>
        <v/>
      </c>
      <c r="C1864" s="59" t="str">
        <f t="shared" si="22"/>
        <v/>
      </c>
      <c r="D1864" s="45" t="str">
        <f t="shared" si="23"/>
        <v/>
      </c>
      <c r="E1864" s="45" t="str">
        <f t="shared" si="24"/>
        <v/>
      </c>
      <c r="F1864" s="59" t="str">
        <f t="shared" si="25"/>
        <v/>
      </c>
      <c r="G1864" s="59" t="str">
        <f t="shared" si="26"/>
        <v/>
      </c>
      <c r="H1864" s="59" t="str">
        <f t="shared" si="27"/>
        <v>28C02410</v>
      </c>
      <c r="I1864" s="59" t="str">
        <f>IF(OR($A1864="",$C1864="",$D1864="",$E1864="",$H1864=""),"",SUMIFS(DATA_GOC!$H:$H,DATA_GOC!$A:$A,"BOM",DATA_GOC!$D:$D,$H1864,DATA_GOC!$E:$E,$C1864,DATA_GOC!$F:$F,"Xuất nội bộ từ téc",DATA_GOC!$B:$B,"&gt;="&amp;$D1864,DATA_GOC!$B:$B,"&lt;="&amp;$E1864))</f>
        <v/>
      </c>
      <c r="J1864" s="59">
        <f t="shared" si="28"/>
        <v>0</v>
      </c>
      <c r="K1864" s="59">
        <f t="shared" si="29"/>
        <v>0</v>
      </c>
      <c r="L1864" s="59">
        <f t="shared" si="30"/>
        <v>0</v>
      </c>
      <c r="M1864" s="59">
        <f t="shared" si="31"/>
        <v>0</v>
      </c>
    </row>
    <row r="1865" ht="15.0" hidden="1" customHeight="1">
      <c r="A1865" s="59">
        <f t="shared" si="20"/>
        <v>28</v>
      </c>
      <c r="B1865" s="59" t="str">
        <f t="shared" si="21"/>
        <v/>
      </c>
      <c r="C1865" s="59" t="str">
        <f t="shared" si="22"/>
        <v/>
      </c>
      <c r="D1865" s="45" t="str">
        <f t="shared" si="23"/>
        <v/>
      </c>
      <c r="E1865" s="45" t="str">
        <f t="shared" si="24"/>
        <v/>
      </c>
      <c r="F1865" s="59" t="str">
        <f t="shared" si="25"/>
        <v/>
      </c>
      <c r="G1865" s="59" t="str">
        <f t="shared" si="26"/>
        <v/>
      </c>
      <c r="H1865" s="59" t="str">
        <f t="shared" si="27"/>
        <v>28C02545</v>
      </c>
      <c r="I1865" s="59" t="str">
        <f>IF(OR($A1865="",$C1865="",$D1865="",$E1865="",$H1865=""),"",SUMIFS(DATA_GOC!$H:$H,DATA_GOC!$A:$A,"BOM",DATA_GOC!$D:$D,$H1865,DATA_GOC!$E:$E,$C1865,DATA_GOC!$F:$F,"Xuất nội bộ từ téc",DATA_GOC!$B:$B,"&gt;="&amp;$D1865,DATA_GOC!$B:$B,"&lt;="&amp;$E1865))</f>
        <v/>
      </c>
      <c r="J1865" s="59">
        <f t="shared" si="28"/>
        <v>0</v>
      </c>
      <c r="K1865" s="59">
        <f t="shared" si="29"/>
        <v>0</v>
      </c>
      <c r="L1865" s="59">
        <f t="shared" si="30"/>
        <v>0</v>
      </c>
      <c r="M1865" s="59">
        <f t="shared" si="31"/>
        <v>0</v>
      </c>
    </row>
    <row r="1866" ht="15.0" hidden="1" customHeight="1">
      <c r="A1866" s="59">
        <f t="shared" si="20"/>
        <v>28</v>
      </c>
      <c r="B1866" s="59" t="str">
        <f t="shared" si="21"/>
        <v/>
      </c>
      <c r="C1866" s="59" t="str">
        <f t="shared" si="22"/>
        <v/>
      </c>
      <c r="D1866" s="45" t="str">
        <f t="shared" si="23"/>
        <v/>
      </c>
      <c r="E1866" s="45" t="str">
        <f t="shared" si="24"/>
        <v/>
      </c>
      <c r="F1866" s="59" t="str">
        <f t="shared" si="25"/>
        <v/>
      </c>
      <c r="G1866" s="59" t="str">
        <f t="shared" si="26"/>
        <v/>
      </c>
      <c r="H1866" s="59" t="str">
        <f t="shared" si="27"/>
        <v>28C02574</v>
      </c>
      <c r="I1866" s="59" t="str">
        <f>IF(OR($A1866="",$C1866="",$D1866="",$E1866="",$H1866=""),"",SUMIFS(DATA_GOC!$H:$H,DATA_GOC!$A:$A,"BOM",DATA_GOC!$D:$D,$H1866,DATA_GOC!$E:$E,$C1866,DATA_GOC!$F:$F,"Xuất nội bộ từ téc",DATA_GOC!$B:$B,"&gt;="&amp;$D1866,DATA_GOC!$B:$B,"&lt;="&amp;$E1866))</f>
        <v/>
      </c>
      <c r="J1866" s="59">
        <f t="shared" si="28"/>
        <v>0</v>
      </c>
      <c r="K1866" s="59">
        <f t="shared" si="29"/>
        <v>0</v>
      </c>
      <c r="L1866" s="59">
        <f t="shared" si="30"/>
        <v>0</v>
      </c>
      <c r="M1866" s="59">
        <f t="shared" si="31"/>
        <v>0</v>
      </c>
    </row>
    <row r="1867" ht="15.0" hidden="1" customHeight="1">
      <c r="A1867" s="59">
        <f t="shared" si="20"/>
        <v>28</v>
      </c>
      <c r="B1867" s="59" t="str">
        <f t="shared" si="21"/>
        <v/>
      </c>
      <c r="C1867" s="59" t="str">
        <f t="shared" si="22"/>
        <v/>
      </c>
      <c r="D1867" s="45" t="str">
        <f t="shared" si="23"/>
        <v/>
      </c>
      <c r="E1867" s="45" t="str">
        <f t="shared" si="24"/>
        <v/>
      </c>
      <c r="F1867" s="59" t="str">
        <f t="shared" si="25"/>
        <v/>
      </c>
      <c r="G1867" s="59" t="str">
        <f t="shared" si="26"/>
        <v/>
      </c>
      <c r="H1867" s="59" t="str">
        <f t="shared" si="27"/>
        <v>28C02770</v>
      </c>
      <c r="I1867" s="59" t="str">
        <f>IF(OR($A1867="",$C1867="",$D1867="",$E1867="",$H1867=""),"",SUMIFS(DATA_GOC!$H:$H,DATA_GOC!$A:$A,"BOM",DATA_GOC!$D:$D,$H1867,DATA_GOC!$E:$E,$C1867,DATA_GOC!$F:$F,"Xuất nội bộ từ téc",DATA_GOC!$B:$B,"&gt;="&amp;$D1867,DATA_GOC!$B:$B,"&lt;="&amp;$E1867))</f>
        <v/>
      </c>
      <c r="J1867" s="59">
        <f t="shared" si="28"/>
        <v>0</v>
      </c>
      <c r="K1867" s="59">
        <f t="shared" si="29"/>
        <v>0</v>
      </c>
      <c r="L1867" s="59">
        <f t="shared" si="30"/>
        <v>0</v>
      </c>
      <c r="M1867" s="59">
        <f t="shared" si="31"/>
        <v>0</v>
      </c>
    </row>
    <row r="1868" ht="15.0" hidden="1" customHeight="1">
      <c r="A1868" s="59">
        <f t="shared" si="20"/>
        <v>28</v>
      </c>
      <c r="B1868" s="59" t="str">
        <f t="shared" si="21"/>
        <v/>
      </c>
      <c r="C1868" s="59" t="str">
        <f t="shared" si="22"/>
        <v/>
      </c>
      <c r="D1868" s="45" t="str">
        <f t="shared" si="23"/>
        <v/>
      </c>
      <c r="E1868" s="45" t="str">
        <f t="shared" si="24"/>
        <v/>
      </c>
      <c r="F1868" s="59" t="str">
        <f t="shared" si="25"/>
        <v/>
      </c>
      <c r="G1868" s="59" t="str">
        <f t="shared" si="26"/>
        <v/>
      </c>
      <c r="H1868" s="59" t="str">
        <f t="shared" si="27"/>
        <v>28C02986</v>
      </c>
      <c r="I1868" s="59" t="str">
        <f>IF(OR($A1868="",$C1868="",$D1868="",$E1868="",$H1868=""),"",SUMIFS(DATA_GOC!$H:$H,DATA_GOC!$A:$A,"BOM",DATA_GOC!$D:$D,$H1868,DATA_GOC!$E:$E,$C1868,DATA_GOC!$F:$F,"Xuất nội bộ từ téc",DATA_GOC!$B:$B,"&gt;="&amp;$D1868,DATA_GOC!$B:$B,"&lt;="&amp;$E1868))</f>
        <v/>
      </c>
      <c r="J1868" s="59">
        <f t="shared" si="28"/>
        <v>0</v>
      </c>
      <c r="K1868" s="59">
        <f t="shared" si="29"/>
        <v>0</v>
      </c>
      <c r="L1868" s="59">
        <f t="shared" si="30"/>
        <v>0</v>
      </c>
      <c r="M1868" s="59">
        <f t="shared" si="31"/>
        <v>0</v>
      </c>
    </row>
    <row r="1869" ht="15.0" hidden="1" customHeight="1">
      <c r="A1869" s="59">
        <f t="shared" si="20"/>
        <v>28</v>
      </c>
      <c r="B1869" s="59" t="str">
        <f t="shared" si="21"/>
        <v/>
      </c>
      <c r="C1869" s="59" t="str">
        <f t="shared" si="22"/>
        <v/>
      </c>
      <c r="D1869" s="45" t="str">
        <f t="shared" si="23"/>
        <v/>
      </c>
      <c r="E1869" s="45" t="str">
        <f t="shared" si="24"/>
        <v/>
      </c>
      <c r="F1869" s="59" t="str">
        <f t="shared" si="25"/>
        <v/>
      </c>
      <c r="G1869" s="59" t="str">
        <f t="shared" si="26"/>
        <v/>
      </c>
      <c r="H1869" s="59" t="str">
        <f t="shared" si="27"/>
        <v>28C03261</v>
      </c>
      <c r="I1869" s="59" t="str">
        <f>IF(OR($A1869="",$C1869="",$D1869="",$E1869="",$H1869=""),"",SUMIFS(DATA_GOC!$H:$H,DATA_GOC!$A:$A,"BOM",DATA_GOC!$D:$D,$H1869,DATA_GOC!$E:$E,$C1869,DATA_GOC!$F:$F,"Xuất nội bộ từ téc",DATA_GOC!$B:$B,"&gt;="&amp;$D1869,DATA_GOC!$B:$B,"&lt;="&amp;$E1869))</f>
        <v/>
      </c>
      <c r="J1869" s="59">
        <f t="shared" si="28"/>
        <v>0</v>
      </c>
      <c r="K1869" s="59">
        <f t="shared" si="29"/>
        <v>0</v>
      </c>
      <c r="L1869" s="59">
        <f t="shared" si="30"/>
        <v>0</v>
      </c>
      <c r="M1869" s="59">
        <f t="shared" si="31"/>
        <v>0</v>
      </c>
    </row>
    <row r="1870" ht="15.0" hidden="1" customHeight="1">
      <c r="A1870" s="59">
        <f t="shared" si="20"/>
        <v>28</v>
      </c>
      <c r="B1870" s="59" t="str">
        <f t="shared" si="21"/>
        <v/>
      </c>
      <c r="C1870" s="59" t="str">
        <f t="shared" si="22"/>
        <v/>
      </c>
      <c r="D1870" s="45" t="str">
        <f t="shared" si="23"/>
        <v/>
      </c>
      <c r="E1870" s="45" t="str">
        <f t="shared" si="24"/>
        <v/>
      </c>
      <c r="F1870" s="59" t="str">
        <f t="shared" si="25"/>
        <v/>
      </c>
      <c r="G1870" s="59" t="str">
        <f t="shared" si="26"/>
        <v/>
      </c>
      <c r="H1870" s="59" t="str">
        <f t="shared" si="27"/>
        <v>28C03323</v>
      </c>
      <c r="I1870" s="59" t="str">
        <f>IF(OR($A1870="",$C1870="",$D1870="",$E1870="",$H1870=""),"",SUMIFS(DATA_GOC!$H:$H,DATA_GOC!$A:$A,"BOM",DATA_GOC!$D:$D,$H1870,DATA_GOC!$E:$E,$C1870,DATA_GOC!$F:$F,"Xuất nội bộ từ téc",DATA_GOC!$B:$B,"&gt;="&amp;$D1870,DATA_GOC!$B:$B,"&lt;="&amp;$E1870))</f>
        <v/>
      </c>
      <c r="J1870" s="59">
        <f t="shared" si="28"/>
        <v>0</v>
      </c>
      <c r="K1870" s="59">
        <f t="shared" si="29"/>
        <v>0</v>
      </c>
      <c r="L1870" s="59">
        <f t="shared" si="30"/>
        <v>0</v>
      </c>
      <c r="M1870" s="59">
        <f t="shared" si="31"/>
        <v>0</v>
      </c>
    </row>
    <row r="1871" ht="15.0" hidden="1" customHeight="1">
      <c r="A1871" s="59">
        <f t="shared" si="20"/>
        <v>28</v>
      </c>
      <c r="B1871" s="59" t="str">
        <f t="shared" si="21"/>
        <v/>
      </c>
      <c r="C1871" s="59" t="str">
        <f t="shared" si="22"/>
        <v/>
      </c>
      <c r="D1871" s="45" t="str">
        <f t="shared" si="23"/>
        <v/>
      </c>
      <c r="E1871" s="45" t="str">
        <f t="shared" si="24"/>
        <v/>
      </c>
      <c r="F1871" s="59" t="str">
        <f t="shared" si="25"/>
        <v/>
      </c>
      <c r="G1871" s="59" t="str">
        <f t="shared" si="26"/>
        <v/>
      </c>
      <c r="H1871" s="59" t="str">
        <f t="shared" si="27"/>
        <v>28C03385</v>
      </c>
      <c r="I1871" s="59" t="str">
        <f>IF(OR($A1871="",$C1871="",$D1871="",$E1871="",$H1871=""),"",SUMIFS(DATA_GOC!$H:$H,DATA_GOC!$A:$A,"BOM",DATA_GOC!$D:$D,$H1871,DATA_GOC!$E:$E,$C1871,DATA_GOC!$F:$F,"Xuất nội bộ từ téc",DATA_GOC!$B:$B,"&gt;="&amp;$D1871,DATA_GOC!$B:$B,"&lt;="&amp;$E1871))</f>
        <v/>
      </c>
      <c r="J1871" s="59">
        <f t="shared" si="28"/>
        <v>0</v>
      </c>
      <c r="K1871" s="59">
        <f t="shared" si="29"/>
        <v>0</v>
      </c>
      <c r="L1871" s="59">
        <f t="shared" si="30"/>
        <v>0</v>
      </c>
      <c r="M1871" s="59">
        <f t="shared" si="31"/>
        <v>0</v>
      </c>
    </row>
    <row r="1872" ht="15.0" hidden="1" customHeight="1">
      <c r="A1872" s="59">
        <f t="shared" si="20"/>
        <v>28</v>
      </c>
      <c r="B1872" s="59" t="str">
        <f t="shared" si="21"/>
        <v/>
      </c>
      <c r="C1872" s="59" t="str">
        <f t="shared" si="22"/>
        <v/>
      </c>
      <c r="D1872" s="45" t="str">
        <f t="shared" si="23"/>
        <v/>
      </c>
      <c r="E1872" s="45" t="str">
        <f t="shared" si="24"/>
        <v/>
      </c>
      <c r="F1872" s="59" t="str">
        <f t="shared" si="25"/>
        <v/>
      </c>
      <c r="G1872" s="59" t="str">
        <f t="shared" si="26"/>
        <v/>
      </c>
      <c r="H1872" s="59" t="str">
        <f t="shared" si="27"/>
        <v>28C03652</v>
      </c>
      <c r="I1872" s="59" t="str">
        <f>IF(OR($A1872="",$C1872="",$D1872="",$E1872="",$H1872=""),"",SUMIFS(DATA_GOC!$H:$H,DATA_GOC!$A:$A,"BOM",DATA_GOC!$D:$D,$H1872,DATA_GOC!$E:$E,$C1872,DATA_GOC!$F:$F,"Xuất nội bộ từ téc",DATA_GOC!$B:$B,"&gt;="&amp;$D1872,DATA_GOC!$B:$B,"&lt;="&amp;$E1872))</f>
        <v/>
      </c>
      <c r="J1872" s="59">
        <f t="shared" si="28"/>
        <v>0</v>
      </c>
      <c r="K1872" s="59">
        <f t="shared" si="29"/>
        <v>0</v>
      </c>
      <c r="L1872" s="59">
        <f t="shared" si="30"/>
        <v>0</v>
      </c>
      <c r="M1872" s="59">
        <f t="shared" si="31"/>
        <v>0</v>
      </c>
    </row>
    <row r="1873" ht="15.0" hidden="1" customHeight="1">
      <c r="A1873" s="59">
        <f t="shared" si="20"/>
        <v>28</v>
      </c>
      <c r="B1873" s="59" t="str">
        <f t="shared" si="21"/>
        <v/>
      </c>
      <c r="C1873" s="59" t="str">
        <f t="shared" si="22"/>
        <v/>
      </c>
      <c r="D1873" s="45" t="str">
        <f t="shared" si="23"/>
        <v/>
      </c>
      <c r="E1873" s="45" t="str">
        <f t="shared" si="24"/>
        <v/>
      </c>
      <c r="F1873" s="59" t="str">
        <f t="shared" si="25"/>
        <v/>
      </c>
      <c r="G1873" s="59" t="str">
        <f t="shared" si="26"/>
        <v/>
      </c>
      <c r="H1873" s="59" t="str">
        <f t="shared" si="27"/>
        <v>28C03695</v>
      </c>
      <c r="I1873" s="59" t="str">
        <f>IF(OR($A1873="",$C1873="",$D1873="",$E1873="",$H1873=""),"",SUMIFS(DATA_GOC!$H:$H,DATA_GOC!$A:$A,"BOM",DATA_GOC!$D:$D,$H1873,DATA_GOC!$E:$E,$C1873,DATA_GOC!$F:$F,"Xuất nội bộ từ téc",DATA_GOC!$B:$B,"&gt;="&amp;$D1873,DATA_GOC!$B:$B,"&lt;="&amp;$E1873))</f>
        <v/>
      </c>
      <c r="J1873" s="59">
        <f t="shared" si="28"/>
        <v>0</v>
      </c>
      <c r="K1873" s="59">
        <f t="shared" si="29"/>
        <v>0</v>
      </c>
      <c r="L1873" s="59">
        <f t="shared" si="30"/>
        <v>0</v>
      </c>
      <c r="M1873" s="59">
        <f t="shared" si="31"/>
        <v>0</v>
      </c>
    </row>
    <row r="1874" ht="15.0" hidden="1" customHeight="1">
      <c r="A1874" s="59">
        <f t="shared" si="20"/>
        <v>28</v>
      </c>
      <c r="B1874" s="59" t="str">
        <f t="shared" si="21"/>
        <v/>
      </c>
      <c r="C1874" s="59" t="str">
        <f t="shared" si="22"/>
        <v/>
      </c>
      <c r="D1874" s="45" t="str">
        <f t="shared" si="23"/>
        <v/>
      </c>
      <c r="E1874" s="45" t="str">
        <f t="shared" si="24"/>
        <v/>
      </c>
      <c r="F1874" s="59" t="str">
        <f t="shared" si="25"/>
        <v/>
      </c>
      <c r="G1874" s="59" t="str">
        <f t="shared" si="26"/>
        <v/>
      </c>
      <c r="H1874" s="59" t="str">
        <f t="shared" si="27"/>
        <v>28C03927</v>
      </c>
      <c r="I1874" s="59" t="str">
        <f>IF(OR($A1874="",$C1874="",$D1874="",$E1874="",$H1874=""),"",SUMIFS(DATA_GOC!$H:$H,DATA_GOC!$A:$A,"BOM",DATA_GOC!$D:$D,$H1874,DATA_GOC!$E:$E,$C1874,DATA_GOC!$F:$F,"Xuất nội bộ từ téc",DATA_GOC!$B:$B,"&gt;="&amp;$D1874,DATA_GOC!$B:$B,"&lt;="&amp;$E1874))</f>
        <v/>
      </c>
      <c r="J1874" s="59">
        <f t="shared" si="28"/>
        <v>0</v>
      </c>
      <c r="K1874" s="59">
        <f t="shared" si="29"/>
        <v>0</v>
      </c>
      <c r="L1874" s="59">
        <f t="shared" si="30"/>
        <v>0</v>
      </c>
      <c r="M1874" s="59">
        <f t="shared" si="31"/>
        <v>0</v>
      </c>
    </row>
    <row r="1875" ht="15.0" hidden="1" customHeight="1">
      <c r="A1875" s="59">
        <f t="shared" si="20"/>
        <v>28</v>
      </c>
      <c r="B1875" s="59" t="str">
        <f t="shared" si="21"/>
        <v/>
      </c>
      <c r="C1875" s="59" t="str">
        <f t="shared" si="22"/>
        <v/>
      </c>
      <c r="D1875" s="45" t="str">
        <f t="shared" si="23"/>
        <v/>
      </c>
      <c r="E1875" s="45" t="str">
        <f t="shared" si="24"/>
        <v/>
      </c>
      <c r="F1875" s="59" t="str">
        <f t="shared" si="25"/>
        <v/>
      </c>
      <c r="G1875" s="59" t="str">
        <f t="shared" si="26"/>
        <v/>
      </c>
      <c r="H1875" s="59" t="str">
        <f t="shared" si="27"/>
        <v>28C04509</v>
      </c>
      <c r="I1875" s="59" t="str">
        <f>IF(OR($A1875="",$C1875="",$D1875="",$E1875="",$H1875=""),"",SUMIFS(DATA_GOC!$H:$H,DATA_GOC!$A:$A,"BOM",DATA_GOC!$D:$D,$H1875,DATA_GOC!$E:$E,$C1875,DATA_GOC!$F:$F,"Xuất nội bộ từ téc",DATA_GOC!$B:$B,"&gt;="&amp;$D1875,DATA_GOC!$B:$B,"&lt;="&amp;$E1875))</f>
        <v/>
      </c>
      <c r="J1875" s="59">
        <f t="shared" si="28"/>
        <v>0</v>
      </c>
      <c r="K1875" s="59">
        <f t="shared" si="29"/>
        <v>0</v>
      </c>
      <c r="L1875" s="59">
        <f t="shared" si="30"/>
        <v>0</v>
      </c>
      <c r="M1875" s="59">
        <f t="shared" si="31"/>
        <v>0</v>
      </c>
    </row>
    <row r="1876" ht="15.0" hidden="1" customHeight="1">
      <c r="A1876" s="59">
        <f t="shared" si="20"/>
        <v>28</v>
      </c>
      <c r="B1876" s="59" t="str">
        <f t="shared" si="21"/>
        <v/>
      </c>
      <c r="C1876" s="59" t="str">
        <f t="shared" si="22"/>
        <v/>
      </c>
      <c r="D1876" s="45" t="str">
        <f t="shared" si="23"/>
        <v/>
      </c>
      <c r="E1876" s="45" t="str">
        <f t="shared" si="24"/>
        <v/>
      </c>
      <c r="F1876" s="59" t="str">
        <f t="shared" si="25"/>
        <v/>
      </c>
      <c r="G1876" s="59" t="str">
        <f t="shared" si="26"/>
        <v/>
      </c>
      <c r="H1876" s="59" t="str">
        <f t="shared" si="27"/>
        <v>28C04536</v>
      </c>
      <c r="I1876" s="59" t="str">
        <f>IF(OR($A1876="",$C1876="",$D1876="",$E1876="",$H1876=""),"",SUMIFS(DATA_GOC!$H:$H,DATA_GOC!$A:$A,"BOM",DATA_GOC!$D:$D,$H1876,DATA_GOC!$E:$E,$C1876,DATA_GOC!$F:$F,"Xuất nội bộ từ téc",DATA_GOC!$B:$B,"&gt;="&amp;$D1876,DATA_GOC!$B:$B,"&lt;="&amp;$E1876))</f>
        <v/>
      </c>
      <c r="J1876" s="59">
        <f t="shared" si="28"/>
        <v>0</v>
      </c>
      <c r="K1876" s="59">
        <f t="shared" si="29"/>
        <v>0</v>
      </c>
      <c r="L1876" s="59">
        <f t="shared" si="30"/>
        <v>0</v>
      </c>
      <c r="M1876" s="59">
        <f t="shared" si="31"/>
        <v>0</v>
      </c>
    </row>
    <row r="1877" ht="15.0" hidden="1" customHeight="1">
      <c r="A1877" s="59">
        <f t="shared" si="20"/>
        <v>28</v>
      </c>
      <c r="B1877" s="59" t="str">
        <f t="shared" si="21"/>
        <v/>
      </c>
      <c r="C1877" s="59" t="str">
        <f t="shared" si="22"/>
        <v/>
      </c>
      <c r="D1877" s="45" t="str">
        <f t="shared" si="23"/>
        <v/>
      </c>
      <c r="E1877" s="45" t="str">
        <f t="shared" si="24"/>
        <v/>
      </c>
      <c r="F1877" s="59" t="str">
        <f t="shared" si="25"/>
        <v/>
      </c>
      <c r="G1877" s="59" t="str">
        <f t="shared" si="26"/>
        <v/>
      </c>
      <c r="H1877" s="59" t="str">
        <f t="shared" si="27"/>
        <v>28C04576</v>
      </c>
      <c r="I1877" s="59" t="str">
        <f>IF(OR($A1877="",$C1877="",$D1877="",$E1877="",$H1877=""),"",SUMIFS(DATA_GOC!$H:$H,DATA_GOC!$A:$A,"BOM",DATA_GOC!$D:$D,$H1877,DATA_GOC!$E:$E,$C1877,DATA_GOC!$F:$F,"Xuất nội bộ từ téc",DATA_GOC!$B:$B,"&gt;="&amp;$D1877,DATA_GOC!$B:$B,"&lt;="&amp;$E1877))</f>
        <v/>
      </c>
      <c r="J1877" s="59">
        <f t="shared" si="28"/>
        <v>0</v>
      </c>
      <c r="K1877" s="59">
        <f t="shared" si="29"/>
        <v>0</v>
      </c>
      <c r="L1877" s="59">
        <f t="shared" si="30"/>
        <v>0</v>
      </c>
      <c r="M1877" s="59">
        <f t="shared" si="31"/>
        <v>0</v>
      </c>
    </row>
    <row r="1878" ht="15.0" hidden="1" customHeight="1">
      <c r="A1878" s="59">
        <f t="shared" si="20"/>
        <v>28</v>
      </c>
      <c r="B1878" s="59" t="str">
        <f t="shared" si="21"/>
        <v/>
      </c>
      <c r="C1878" s="59" t="str">
        <f t="shared" si="22"/>
        <v/>
      </c>
      <c r="D1878" s="45" t="str">
        <f t="shared" si="23"/>
        <v/>
      </c>
      <c r="E1878" s="45" t="str">
        <f t="shared" si="24"/>
        <v/>
      </c>
      <c r="F1878" s="59" t="str">
        <f t="shared" si="25"/>
        <v/>
      </c>
      <c r="G1878" s="59" t="str">
        <f t="shared" si="26"/>
        <v/>
      </c>
      <c r="H1878" s="59" t="str">
        <f t="shared" si="27"/>
        <v>28C05090</v>
      </c>
      <c r="I1878" s="59" t="str">
        <f>IF(OR($A1878="",$C1878="",$D1878="",$E1878="",$H1878=""),"",SUMIFS(DATA_GOC!$H:$H,DATA_GOC!$A:$A,"BOM",DATA_GOC!$D:$D,$H1878,DATA_GOC!$E:$E,$C1878,DATA_GOC!$F:$F,"Xuất nội bộ từ téc",DATA_GOC!$B:$B,"&gt;="&amp;$D1878,DATA_GOC!$B:$B,"&lt;="&amp;$E1878))</f>
        <v/>
      </c>
      <c r="J1878" s="59">
        <f t="shared" si="28"/>
        <v>0</v>
      </c>
      <c r="K1878" s="59">
        <f t="shared" si="29"/>
        <v>0</v>
      </c>
      <c r="L1878" s="59">
        <f t="shared" si="30"/>
        <v>0</v>
      </c>
      <c r="M1878" s="59">
        <f t="shared" si="31"/>
        <v>0</v>
      </c>
    </row>
    <row r="1879" ht="15.0" hidden="1" customHeight="1">
      <c r="A1879" s="59">
        <f t="shared" si="20"/>
        <v>28</v>
      </c>
      <c r="B1879" s="59" t="str">
        <f t="shared" si="21"/>
        <v/>
      </c>
      <c r="C1879" s="59" t="str">
        <f t="shared" si="22"/>
        <v/>
      </c>
      <c r="D1879" s="45" t="str">
        <f t="shared" si="23"/>
        <v/>
      </c>
      <c r="E1879" s="45" t="str">
        <f t="shared" si="24"/>
        <v/>
      </c>
      <c r="F1879" s="59" t="str">
        <f t="shared" si="25"/>
        <v/>
      </c>
      <c r="G1879" s="59" t="str">
        <f t="shared" si="26"/>
        <v/>
      </c>
      <c r="H1879" s="59" t="str">
        <f t="shared" si="27"/>
        <v>28C05345</v>
      </c>
      <c r="I1879" s="59" t="str">
        <f>IF(OR($A1879="",$C1879="",$D1879="",$E1879="",$H1879=""),"",SUMIFS(DATA_GOC!$H:$H,DATA_GOC!$A:$A,"BOM",DATA_GOC!$D:$D,$H1879,DATA_GOC!$E:$E,$C1879,DATA_GOC!$F:$F,"Xuất nội bộ từ téc",DATA_GOC!$B:$B,"&gt;="&amp;$D1879,DATA_GOC!$B:$B,"&lt;="&amp;$E1879))</f>
        <v/>
      </c>
      <c r="J1879" s="59">
        <f t="shared" si="28"/>
        <v>0</v>
      </c>
      <c r="K1879" s="59">
        <f t="shared" si="29"/>
        <v>0</v>
      </c>
      <c r="L1879" s="59">
        <f t="shared" si="30"/>
        <v>0</v>
      </c>
      <c r="M1879" s="59">
        <f t="shared" si="31"/>
        <v>0</v>
      </c>
    </row>
    <row r="1880" ht="15.0" hidden="1" customHeight="1">
      <c r="A1880" s="59">
        <f t="shared" si="20"/>
        <v>28</v>
      </c>
      <c r="B1880" s="59" t="str">
        <f t="shared" si="21"/>
        <v/>
      </c>
      <c r="C1880" s="59" t="str">
        <f t="shared" si="22"/>
        <v/>
      </c>
      <c r="D1880" s="45" t="str">
        <f t="shared" si="23"/>
        <v/>
      </c>
      <c r="E1880" s="45" t="str">
        <f t="shared" si="24"/>
        <v/>
      </c>
      <c r="F1880" s="59" t="str">
        <f t="shared" si="25"/>
        <v/>
      </c>
      <c r="G1880" s="59" t="str">
        <f t="shared" si="26"/>
        <v/>
      </c>
      <c r="H1880" s="59" t="str">
        <f t="shared" si="27"/>
        <v>28C05661</v>
      </c>
      <c r="I1880" s="59" t="str">
        <f>IF(OR($A1880="",$C1880="",$D1880="",$E1880="",$H1880=""),"",SUMIFS(DATA_GOC!$H:$H,DATA_GOC!$A:$A,"BOM",DATA_GOC!$D:$D,$H1880,DATA_GOC!$E:$E,$C1880,DATA_GOC!$F:$F,"Xuất nội bộ từ téc",DATA_GOC!$B:$B,"&gt;="&amp;$D1880,DATA_GOC!$B:$B,"&lt;="&amp;$E1880))</f>
        <v/>
      </c>
      <c r="J1880" s="59">
        <f t="shared" si="28"/>
        <v>0</v>
      </c>
      <c r="K1880" s="59">
        <f t="shared" si="29"/>
        <v>0</v>
      </c>
      <c r="L1880" s="59">
        <f t="shared" si="30"/>
        <v>0</v>
      </c>
      <c r="M1880" s="59">
        <f t="shared" si="31"/>
        <v>0</v>
      </c>
    </row>
    <row r="1881" ht="15.0" hidden="1" customHeight="1">
      <c r="A1881" s="59">
        <f t="shared" si="20"/>
        <v>28</v>
      </c>
      <c r="B1881" s="59" t="str">
        <f t="shared" si="21"/>
        <v/>
      </c>
      <c r="C1881" s="59" t="str">
        <f t="shared" si="22"/>
        <v/>
      </c>
      <c r="D1881" s="45" t="str">
        <f t="shared" si="23"/>
        <v/>
      </c>
      <c r="E1881" s="45" t="str">
        <f t="shared" si="24"/>
        <v/>
      </c>
      <c r="F1881" s="59" t="str">
        <f t="shared" si="25"/>
        <v/>
      </c>
      <c r="G1881" s="59" t="str">
        <f t="shared" si="26"/>
        <v/>
      </c>
      <c r="H1881" s="59" t="str">
        <f t="shared" si="27"/>
        <v>28C05739</v>
      </c>
      <c r="I1881" s="59" t="str">
        <f>IF(OR($A1881="",$C1881="",$D1881="",$E1881="",$H1881=""),"",SUMIFS(DATA_GOC!$H:$H,DATA_GOC!$A:$A,"BOM",DATA_GOC!$D:$D,$H1881,DATA_GOC!$E:$E,$C1881,DATA_GOC!$F:$F,"Xuất nội bộ từ téc",DATA_GOC!$B:$B,"&gt;="&amp;$D1881,DATA_GOC!$B:$B,"&lt;="&amp;$E1881))</f>
        <v/>
      </c>
      <c r="J1881" s="59">
        <f t="shared" si="28"/>
        <v>0</v>
      </c>
      <c r="K1881" s="59">
        <f t="shared" si="29"/>
        <v>0</v>
      </c>
      <c r="L1881" s="59">
        <f t="shared" si="30"/>
        <v>0</v>
      </c>
      <c r="M1881" s="59">
        <f t="shared" si="31"/>
        <v>0</v>
      </c>
    </row>
    <row r="1882" ht="15.0" hidden="1" customHeight="1">
      <c r="A1882" s="59">
        <f t="shared" si="20"/>
        <v>28</v>
      </c>
      <c r="B1882" s="59" t="str">
        <f t="shared" si="21"/>
        <v/>
      </c>
      <c r="C1882" s="59" t="str">
        <f t="shared" si="22"/>
        <v/>
      </c>
      <c r="D1882" s="45" t="str">
        <f t="shared" si="23"/>
        <v/>
      </c>
      <c r="E1882" s="45" t="str">
        <f t="shared" si="24"/>
        <v/>
      </c>
      <c r="F1882" s="59" t="str">
        <f t="shared" si="25"/>
        <v/>
      </c>
      <c r="G1882" s="59" t="str">
        <f t="shared" si="26"/>
        <v/>
      </c>
      <c r="H1882" s="59" t="str">
        <f t="shared" si="27"/>
        <v>28C06369</v>
      </c>
      <c r="I1882" s="59" t="str">
        <f>IF(OR($A1882="",$C1882="",$D1882="",$E1882="",$H1882=""),"",SUMIFS(DATA_GOC!$H:$H,DATA_GOC!$A:$A,"BOM",DATA_GOC!$D:$D,$H1882,DATA_GOC!$E:$E,$C1882,DATA_GOC!$F:$F,"Xuất nội bộ từ téc",DATA_GOC!$B:$B,"&gt;="&amp;$D1882,DATA_GOC!$B:$B,"&lt;="&amp;$E1882))</f>
        <v/>
      </c>
      <c r="J1882" s="59">
        <f t="shared" si="28"/>
        <v>0</v>
      </c>
      <c r="K1882" s="59">
        <f t="shared" si="29"/>
        <v>0</v>
      </c>
      <c r="L1882" s="59">
        <f t="shared" si="30"/>
        <v>0</v>
      </c>
      <c r="M1882" s="59">
        <f t="shared" si="31"/>
        <v>0</v>
      </c>
    </row>
    <row r="1883" ht="15.0" hidden="1" customHeight="1">
      <c r="A1883" s="59">
        <f t="shared" si="20"/>
        <v>28</v>
      </c>
      <c r="B1883" s="59" t="str">
        <f t="shared" si="21"/>
        <v/>
      </c>
      <c r="C1883" s="59" t="str">
        <f t="shared" si="22"/>
        <v/>
      </c>
      <c r="D1883" s="45" t="str">
        <f t="shared" si="23"/>
        <v/>
      </c>
      <c r="E1883" s="45" t="str">
        <f t="shared" si="24"/>
        <v/>
      </c>
      <c r="F1883" s="59" t="str">
        <f t="shared" si="25"/>
        <v/>
      </c>
      <c r="G1883" s="59" t="str">
        <f t="shared" si="26"/>
        <v/>
      </c>
      <c r="H1883" s="59" t="str">
        <f t="shared" si="27"/>
        <v>28C06447</v>
      </c>
      <c r="I1883" s="59" t="str">
        <f>IF(OR($A1883="",$C1883="",$D1883="",$E1883="",$H1883=""),"",SUMIFS(DATA_GOC!$H:$H,DATA_GOC!$A:$A,"BOM",DATA_GOC!$D:$D,$H1883,DATA_GOC!$E:$E,$C1883,DATA_GOC!$F:$F,"Xuất nội bộ từ téc",DATA_GOC!$B:$B,"&gt;="&amp;$D1883,DATA_GOC!$B:$B,"&lt;="&amp;$E1883))</f>
        <v/>
      </c>
      <c r="J1883" s="59">
        <f t="shared" si="28"/>
        <v>0</v>
      </c>
      <c r="K1883" s="59">
        <f t="shared" si="29"/>
        <v>0</v>
      </c>
      <c r="L1883" s="59">
        <f t="shared" si="30"/>
        <v>0</v>
      </c>
      <c r="M1883" s="59">
        <f t="shared" si="31"/>
        <v>0</v>
      </c>
    </row>
    <row r="1884" ht="15.0" hidden="1" customHeight="1">
      <c r="A1884" s="59">
        <f t="shared" si="20"/>
        <v>28</v>
      </c>
      <c r="B1884" s="59" t="str">
        <f t="shared" si="21"/>
        <v/>
      </c>
      <c r="C1884" s="59" t="str">
        <f t="shared" si="22"/>
        <v/>
      </c>
      <c r="D1884" s="45" t="str">
        <f t="shared" si="23"/>
        <v/>
      </c>
      <c r="E1884" s="45" t="str">
        <f t="shared" si="24"/>
        <v/>
      </c>
      <c r="F1884" s="59" t="str">
        <f t="shared" si="25"/>
        <v/>
      </c>
      <c r="G1884" s="59" t="str">
        <f t="shared" si="26"/>
        <v/>
      </c>
      <c r="H1884" s="59" t="str">
        <f t="shared" si="27"/>
        <v>28H00003</v>
      </c>
      <c r="I1884" s="59" t="str">
        <f>IF(OR($A1884="",$C1884="",$D1884="",$E1884="",$H1884=""),"",SUMIFS(DATA_GOC!$H:$H,DATA_GOC!$A:$A,"BOM",DATA_GOC!$D:$D,$H1884,DATA_GOC!$E:$E,$C1884,DATA_GOC!$F:$F,"Xuất nội bộ từ téc",DATA_GOC!$B:$B,"&gt;="&amp;$D1884,DATA_GOC!$B:$B,"&lt;="&amp;$E1884))</f>
        <v/>
      </c>
      <c r="J1884" s="59">
        <f t="shared" si="28"/>
        <v>0</v>
      </c>
      <c r="K1884" s="59">
        <f t="shared" si="29"/>
        <v>0</v>
      </c>
      <c r="L1884" s="59">
        <f t="shared" si="30"/>
        <v>0</v>
      </c>
      <c r="M1884" s="59">
        <f t="shared" si="31"/>
        <v>0</v>
      </c>
    </row>
    <row r="1885" ht="15.0" hidden="1" customHeight="1">
      <c r="A1885" s="59">
        <f t="shared" si="20"/>
        <v>28</v>
      </c>
      <c r="B1885" s="59" t="str">
        <f t="shared" si="21"/>
        <v/>
      </c>
      <c r="C1885" s="59" t="str">
        <f t="shared" si="22"/>
        <v/>
      </c>
      <c r="D1885" s="45" t="str">
        <f t="shared" si="23"/>
        <v/>
      </c>
      <c r="E1885" s="45" t="str">
        <f t="shared" si="24"/>
        <v/>
      </c>
      <c r="F1885" s="59" t="str">
        <f t="shared" si="25"/>
        <v/>
      </c>
      <c r="G1885" s="59" t="str">
        <f t="shared" si="26"/>
        <v/>
      </c>
      <c r="H1885" s="59" t="str">
        <f t="shared" si="27"/>
        <v>28H00061</v>
      </c>
      <c r="I1885" s="59" t="str">
        <f>IF(OR($A1885="",$C1885="",$D1885="",$E1885="",$H1885=""),"",SUMIFS(DATA_GOC!$H:$H,DATA_GOC!$A:$A,"BOM",DATA_GOC!$D:$D,$H1885,DATA_GOC!$E:$E,$C1885,DATA_GOC!$F:$F,"Xuất nội bộ từ téc",DATA_GOC!$B:$B,"&gt;="&amp;$D1885,DATA_GOC!$B:$B,"&lt;="&amp;$E1885))</f>
        <v/>
      </c>
      <c r="J1885" s="59">
        <f t="shared" si="28"/>
        <v>0</v>
      </c>
      <c r="K1885" s="59">
        <f t="shared" si="29"/>
        <v>0</v>
      </c>
      <c r="L1885" s="59">
        <f t="shared" si="30"/>
        <v>0</v>
      </c>
      <c r="M1885" s="59">
        <f t="shared" si="31"/>
        <v>0</v>
      </c>
    </row>
    <row r="1886" ht="15.0" hidden="1" customHeight="1">
      <c r="A1886" s="59">
        <f t="shared" si="20"/>
        <v>28</v>
      </c>
      <c r="B1886" s="59" t="str">
        <f t="shared" si="21"/>
        <v/>
      </c>
      <c r="C1886" s="59" t="str">
        <f t="shared" si="22"/>
        <v/>
      </c>
      <c r="D1886" s="45" t="str">
        <f t="shared" si="23"/>
        <v/>
      </c>
      <c r="E1886" s="45" t="str">
        <f t="shared" si="24"/>
        <v/>
      </c>
      <c r="F1886" s="59" t="str">
        <f t="shared" si="25"/>
        <v/>
      </c>
      <c r="G1886" s="59" t="str">
        <f t="shared" si="26"/>
        <v/>
      </c>
      <c r="H1886" s="59" t="str">
        <f t="shared" si="27"/>
        <v>28H00354</v>
      </c>
      <c r="I1886" s="59" t="str">
        <f>IF(OR($A1886="",$C1886="",$D1886="",$E1886="",$H1886=""),"",SUMIFS(DATA_GOC!$H:$H,DATA_GOC!$A:$A,"BOM",DATA_GOC!$D:$D,$H1886,DATA_GOC!$E:$E,$C1886,DATA_GOC!$F:$F,"Xuất nội bộ từ téc",DATA_GOC!$B:$B,"&gt;="&amp;$D1886,DATA_GOC!$B:$B,"&lt;="&amp;$E1886))</f>
        <v/>
      </c>
      <c r="J1886" s="59">
        <f t="shared" si="28"/>
        <v>0</v>
      </c>
      <c r="K1886" s="59">
        <f t="shared" si="29"/>
        <v>0</v>
      </c>
      <c r="L1886" s="59">
        <f t="shared" si="30"/>
        <v>0</v>
      </c>
      <c r="M1886" s="59">
        <f t="shared" si="31"/>
        <v>0</v>
      </c>
    </row>
    <row r="1887" ht="15.0" hidden="1" customHeight="1">
      <c r="A1887" s="59">
        <f t="shared" si="20"/>
        <v>28</v>
      </c>
      <c r="B1887" s="59" t="str">
        <f t="shared" si="21"/>
        <v/>
      </c>
      <c r="C1887" s="59" t="str">
        <f t="shared" si="22"/>
        <v/>
      </c>
      <c r="D1887" s="45" t="str">
        <f t="shared" si="23"/>
        <v/>
      </c>
      <c r="E1887" s="45" t="str">
        <f t="shared" si="24"/>
        <v/>
      </c>
      <c r="F1887" s="59" t="str">
        <f t="shared" si="25"/>
        <v/>
      </c>
      <c r="G1887" s="59" t="str">
        <f t="shared" si="26"/>
        <v/>
      </c>
      <c r="H1887" s="59" t="str">
        <f t="shared" si="27"/>
        <v>28H00603</v>
      </c>
      <c r="I1887" s="59" t="str">
        <f>IF(OR($A1887="",$C1887="",$D1887="",$E1887="",$H1887=""),"",SUMIFS(DATA_GOC!$H:$H,DATA_GOC!$A:$A,"BOM",DATA_GOC!$D:$D,$H1887,DATA_GOC!$E:$E,$C1887,DATA_GOC!$F:$F,"Xuất nội bộ từ téc",DATA_GOC!$B:$B,"&gt;="&amp;$D1887,DATA_GOC!$B:$B,"&lt;="&amp;$E1887))</f>
        <v/>
      </c>
      <c r="J1887" s="59">
        <f t="shared" si="28"/>
        <v>0</v>
      </c>
      <c r="K1887" s="59">
        <f t="shared" si="29"/>
        <v>0</v>
      </c>
      <c r="L1887" s="59">
        <f t="shared" si="30"/>
        <v>0</v>
      </c>
      <c r="M1887" s="59">
        <f t="shared" si="31"/>
        <v>0</v>
      </c>
    </row>
    <row r="1888" ht="15.0" hidden="1" customHeight="1">
      <c r="A1888" s="59">
        <f t="shared" si="20"/>
        <v>28</v>
      </c>
      <c r="B1888" s="59" t="str">
        <f t="shared" si="21"/>
        <v/>
      </c>
      <c r="C1888" s="59" t="str">
        <f t="shared" si="22"/>
        <v/>
      </c>
      <c r="D1888" s="45" t="str">
        <f t="shared" si="23"/>
        <v/>
      </c>
      <c r="E1888" s="45" t="str">
        <f t="shared" si="24"/>
        <v/>
      </c>
      <c r="F1888" s="59" t="str">
        <f t="shared" si="25"/>
        <v/>
      </c>
      <c r="G1888" s="59" t="str">
        <f t="shared" si="26"/>
        <v/>
      </c>
      <c r="H1888" s="59" t="str">
        <f t="shared" si="27"/>
        <v>28H00609</v>
      </c>
      <c r="I1888" s="59" t="str">
        <f>IF(OR($A1888="",$C1888="",$D1888="",$E1888="",$H1888=""),"",SUMIFS(DATA_GOC!$H:$H,DATA_GOC!$A:$A,"BOM",DATA_GOC!$D:$D,$H1888,DATA_GOC!$E:$E,$C1888,DATA_GOC!$F:$F,"Xuất nội bộ từ téc",DATA_GOC!$B:$B,"&gt;="&amp;$D1888,DATA_GOC!$B:$B,"&lt;="&amp;$E1888))</f>
        <v/>
      </c>
      <c r="J1888" s="59">
        <f t="shared" si="28"/>
        <v>0</v>
      </c>
      <c r="K1888" s="59">
        <f t="shared" si="29"/>
        <v>0</v>
      </c>
      <c r="L1888" s="59">
        <f t="shared" si="30"/>
        <v>0</v>
      </c>
      <c r="M1888" s="59">
        <f t="shared" si="31"/>
        <v>0</v>
      </c>
    </row>
    <row r="1889" ht="15.0" hidden="1" customHeight="1">
      <c r="A1889" s="59">
        <f t="shared" si="20"/>
        <v>28</v>
      </c>
      <c r="B1889" s="59" t="str">
        <f t="shared" si="21"/>
        <v/>
      </c>
      <c r="C1889" s="59" t="str">
        <f t="shared" si="22"/>
        <v/>
      </c>
      <c r="D1889" s="45" t="str">
        <f t="shared" si="23"/>
        <v/>
      </c>
      <c r="E1889" s="45" t="str">
        <f t="shared" si="24"/>
        <v/>
      </c>
      <c r="F1889" s="59" t="str">
        <f t="shared" si="25"/>
        <v/>
      </c>
      <c r="G1889" s="59" t="str">
        <f t="shared" si="26"/>
        <v/>
      </c>
      <c r="H1889" s="59" t="str">
        <f t="shared" si="27"/>
        <v>28H00669</v>
      </c>
      <c r="I1889" s="59" t="str">
        <f>IF(OR($A1889="",$C1889="",$D1889="",$E1889="",$H1889=""),"",SUMIFS(DATA_GOC!$H:$H,DATA_GOC!$A:$A,"BOM",DATA_GOC!$D:$D,$H1889,DATA_GOC!$E:$E,$C1889,DATA_GOC!$F:$F,"Xuất nội bộ từ téc",DATA_GOC!$B:$B,"&gt;="&amp;$D1889,DATA_GOC!$B:$B,"&lt;="&amp;$E1889))</f>
        <v/>
      </c>
      <c r="J1889" s="59">
        <f t="shared" si="28"/>
        <v>0</v>
      </c>
      <c r="K1889" s="59">
        <f t="shared" si="29"/>
        <v>0</v>
      </c>
      <c r="L1889" s="59">
        <f t="shared" si="30"/>
        <v>0</v>
      </c>
      <c r="M1889" s="59">
        <f t="shared" si="31"/>
        <v>0</v>
      </c>
    </row>
    <row r="1890" ht="15.0" hidden="1" customHeight="1">
      <c r="A1890" s="59">
        <f t="shared" si="20"/>
        <v>28</v>
      </c>
      <c r="B1890" s="59" t="str">
        <f t="shared" si="21"/>
        <v/>
      </c>
      <c r="C1890" s="59" t="str">
        <f t="shared" si="22"/>
        <v/>
      </c>
      <c r="D1890" s="45" t="str">
        <f t="shared" si="23"/>
        <v/>
      </c>
      <c r="E1890" s="45" t="str">
        <f t="shared" si="24"/>
        <v/>
      </c>
      <c r="F1890" s="59" t="str">
        <f t="shared" si="25"/>
        <v/>
      </c>
      <c r="G1890" s="59" t="str">
        <f t="shared" si="26"/>
        <v/>
      </c>
      <c r="H1890" s="59" t="str">
        <f t="shared" si="27"/>
        <v>28H00680</v>
      </c>
      <c r="I1890" s="59" t="str">
        <f>IF(OR($A1890="",$C1890="",$D1890="",$E1890="",$H1890=""),"",SUMIFS(DATA_GOC!$H:$H,DATA_GOC!$A:$A,"BOM",DATA_GOC!$D:$D,$H1890,DATA_GOC!$E:$E,$C1890,DATA_GOC!$F:$F,"Xuất nội bộ từ téc",DATA_GOC!$B:$B,"&gt;="&amp;$D1890,DATA_GOC!$B:$B,"&lt;="&amp;$E1890))</f>
        <v/>
      </c>
      <c r="J1890" s="59">
        <f t="shared" si="28"/>
        <v>0</v>
      </c>
      <c r="K1890" s="59">
        <f t="shared" si="29"/>
        <v>0</v>
      </c>
      <c r="L1890" s="59">
        <f t="shared" si="30"/>
        <v>0</v>
      </c>
      <c r="M1890" s="59">
        <f t="shared" si="31"/>
        <v>0</v>
      </c>
    </row>
    <row r="1891" ht="15.0" hidden="1" customHeight="1">
      <c r="A1891" s="59">
        <f t="shared" si="20"/>
        <v>28</v>
      </c>
      <c r="B1891" s="59" t="str">
        <f t="shared" si="21"/>
        <v/>
      </c>
      <c r="C1891" s="59" t="str">
        <f t="shared" si="22"/>
        <v/>
      </c>
      <c r="D1891" s="45" t="str">
        <f t="shared" si="23"/>
        <v/>
      </c>
      <c r="E1891" s="45" t="str">
        <f t="shared" si="24"/>
        <v/>
      </c>
      <c r="F1891" s="59" t="str">
        <f t="shared" si="25"/>
        <v/>
      </c>
      <c r="G1891" s="59" t="str">
        <f t="shared" si="26"/>
        <v/>
      </c>
      <c r="H1891" s="59" t="str">
        <f t="shared" si="27"/>
        <v>28H01070</v>
      </c>
      <c r="I1891" s="59" t="str">
        <f>IF(OR($A1891="",$C1891="",$D1891="",$E1891="",$H1891=""),"",SUMIFS(DATA_GOC!$H:$H,DATA_GOC!$A:$A,"BOM",DATA_GOC!$D:$D,$H1891,DATA_GOC!$E:$E,$C1891,DATA_GOC!$F:$F,"Xuất nội bộ từ téc",DATA_GOC!$B:$B,"&gt;="&amp;$D1891,DATA_GOC!$B:$B,"&lt;="&amp;$E1891))</f>
        <v/>
      </c>
      <c r="J1891" s="59">
        <f t="shared" si="28"/>
        <v>0</v>
      </c>
      <c r="K1891" s="59">
        <f t="shared" si="29"/>
        <v>0</v>
      </c>
      <c r="L1891" s="59">
        <f t="shared" si="30"/>
        <v>0</v>
      </c>
      <c r="M1891" s="59">
        <f t="shared" si="31"/>
        <v>0</v>
      </c>
    </row>
    <row r="1892" ht="15.0" hidden="1" customHeight="1">
      <c r="A1892" s="59">
        <f t="shared" si="20"/>
        <v>28</v>
      </c>
      <c r="B1892" s="59" t="str">
        <f t="shared" si="21"/>
        <v/>
      </c>
      <c r="C1892" s="59" t="str">
        <f t="shared" si="22"/>
        <v/>
      </c>
      <c r="D1892" s="45" t="str">
        <f t="shared" si="23"/>
        <v/>
      </c>
      <c r="E1892" s="45" t="str">
        <f t="shared" si="24"/>
        <v/>
      </c>
      <c r="F1892" s="59" t="str">
        <f t="shared" si="25"/>
        <v/>
      </c>
      <c r="G1892" s="59" t="str">
        <f t="shared" si="26"/>
        <v/>
      </c>
      <c r="H1892" s="59" t="str">
        <f t="shared" si="27"/>
        <v>28H01364</v>
      </c>
      <c r="I1892" s="59" t="str">
        <f>IF(OR($A1892="",$C1892="",$D1892="",$E1892="",$H1892=""),"",SUMIFS(DATA_GOC!$H:$H,DATA_GOC!$A:$A,"BOM",DATA_GOC!$D:$D,$H1892,DATA_GOC!$E:$E,$C1892,DATA_GOC!$F:$F,"Xuất nội bộ từ téc",DATA_GOC!$B:$B,"&gt;="&amp;$D1892,DATA_GOC!$B:$B,"&lt;="&amp;$E1892))</f>
        <v/>
      </c>
      <c r="J1892" s="59">
        <f t="shared" si="28"/>
        <v>0</v>
      </c>
      <c r="K1892" s="59">
        <f t="shared" si="29"/>
        <v>0</v>
      </c>
      <c r="L1892" s="59">
        <f t="shared" si="30"/>
        <v>0</v>
      </c>
      <c r="M1892" s="59">
        <f t="shared" si="31"/>
        <v>0</v>
      </c>
    </row>
    <row r="1893" ht="15.0" hidden="1" customHeight="1">
      <c r="A1893" s="59">
        <f t="shared" si="20"/>
        <v>28</v>
      </c>
      <c r="B1893" s="59" t="str">
        <f t="shared" si="21"/>
        <v/>
      </c>
      <c r="C1893" s="59" t="str">
        <f t="shared" si="22"/>
        <v/>
      </c>
      <c r="D1893" s="45" t="str">
        <f t="shared" si="23"/>
        <v/>
      </c>
      <c r="E1893" s="45" t="str">
        <f t="shared" si="24"/>
        <v/>
      </c>
      <c r="F1893" s="59" t="str">
        <f t="shared" si="25"/>
        <v/>
      </c>
      <c r="G1893" s="59" t="str">
        <f t="shared" si="26"/>
        <v/>
      </c>
      <c r="H1893" s="59" t="str">
        <f t="shared" si="27"/>
        <v>29E17269</v>
      </c>
      <c r="I1893" s="59" t="str">
        <f>IF(OR($A1893="",$C1893="",$D1893="",$E1893="",$H1893=""),"",SUMIFS(DATA_GOC!$H:$H,DATA_GOC!$A:$A,"BOM",DATA_GOC!$D:$D,$H1893,DATA_GOC!$E:$E,$C1893,DATA_GOC!$F:$F,"Xuất nội bộ từ téc",DATA_GOC!$B:$B,"&gt;="&amp;$D1893,DATA_GOC!$B:$B,"&lt;="&amp;$E1893))</f>
        <v/>
      </c>
      <c r="J1893" s="59">
        <f t="shared" si="28"/>
        <v>0</v>
      </c>
      <c r="K1893" s="59">
        <f t="shared" si="29"/>
        <v>0</v>
      </c>
      <c r="L1893" s="59">
        <f t="shared" si="30"/>
        <v>0</v>
      </c>
      <c r="M1893" s="59">
        <f t="shared" si="31"/>
        <v>0</v>
      </c>
    </row>
    <row r="1894" ht="15.0" hidden="1" customHeight="1">
      <c r="A1894" s="59">
        <f t="shared" si="20"/>
        <v>28</v>
      </c>
      <c r="B1894" s="59" t="str">
        <f t="shared" si="21"/>
        <v/>
      </c>
      <c r="C1894" s="59" t="str">
        <f t="shared" si="22"/>
        <v/>
      </c>
      <c r="D1894" s="45" t="str">
        <f t="shared" si="23"/>
        <v/>
      </c>
      <c r="E1894" s="45" t="str">
        <f t="shared" si="24"/>
        <v/>
      </c>
      <c r="F1894" s="59" t="str">
        <f t="shared" si="25"/>
        <v/>
      </c>
      <c r="G1894" s="59" t="str">
        <f t="shared" si="26"/>
        <v/>
      </c>
      <c r="H1894" s="59" t="str">
        <f t="shared" si="27"/>
        <v>29E17273</v>
      </c>
      <c r="I1894" s="59" t="str">
        <f>IF(OR($A1894="",$C1894="",$D1894="",$E1894="",$H1894=""),"",SUMIFS(DATA_GOC!$H:$H,DATA_GOC!$A:$A,"BOM",DATA_GOC!$D:$D,$H1894,DATA_GOC!$E:$E,$C1894,DATA_GOC!$F:$F,"Xuất nội bộ từ téc",DATA_GOC!$B:$B,"&gt;="&amp;$D1894,DATA_GOC!$B:$B,"&lt;="&amp;$E1894))</f>
        <v/>
      </c>
      <c r="J1894" s="59">
        <f t="shared" si="28"/>
        <v>0</v>
      </c>
      <c r="K1894" s="59">
        <f t="shared" si="29"/>
        <v>0</v>
      </c>
      <c r="L1894" s="59">
        <f t="shared" si="30"/>
        <v>0</v>
      </c>
      <c r="M1894" s="59">
        <f t="shared" si="31"/>
        <v>0</v>
      </c>
    </row>
    <row r="1895" ht="15.0" hidden="1" customHeight="1">
      <c r="A1895" s="59">
        <f t="shared" si="20"/>
        <v>28</v>
      </c>
      <c r="B1895" s="59" t="str">
        <f t="shared" si="21"/>
        <v/>
      </c>
      <c r="C1895" s="59" t="str">
        <f t="shared" si="22"/>
        <v/>
      </c>
      <c r="D1895" s="45" t="str">
        <f t="shared" si="23"/>
        <v/>
      </c>
      <c r="E1895" s="45" t="str">
        <f t="shared" si="24"/>
        <v/>
      </c>
      <c r="F1895" s="59" t="str">
        <f t="shared" si="25"/>
        <v/>
      </c>
      <c r="G1895" s="59" t="str">
        <f t="shared" si="26"/>
        <v/>
      </c>
      <c r="H1895" s="59" t="str">
        <f t="shared" si="27"/>
        <v>29E17410</v>
      </c>
      <c r="I1895" s="59" t="str">
        <f>IF(OR($A1895="",$C1895="",$D1895="",$E1895="",$H1895=""),"",SUMIFS(DATA_GOC!$H:$H,DATA_GOC!$A:$A,"BOM",DATA_GOC!$D:$D,$H1895,DATA_GOC!$E:$E,$C1895,DATA_GOC!$F:$F,"Xuất nội bộ từ téc",DATA_GOC!$B:$B,"&gt;="&amp;$D1895,DATA_GOC!$B:$B,"&lt;="&amp;$E1895))</f>
        <v/>
      </c>
      <c r="J1895" s="59">
        <f t="shared" si="28"/>
        <v>0</v>
      </c>
      <c r="K1895" s="59">
        <f t="shared" si="29"/>
        <v>0</v>
      </c>
      <c r="L1895" s="59">
        <f t="shared" si="30"/>
        <v>0</v>
      </c>
      <c r="M1895" s="59">
        <f t="shared" si="31"/>
        <v>0</v>
      </c>
    </row>
    <row r="1896" ht="15.0" hidden="1" customHeight="1">
      <c r="A1896" s="59">
        <f t="shared" si="20"/>
        <v>28</v>
      </c>
      <c r="B1896" s="59" t="str">
        <f t="shared" si="21"/>
        <v/>
      </c>
      <c r="C1896" s="59" t="str">
        <f t="shared" si="22"/>
        <v/>
      </c>
      <c r="D1896" s="45" t="str">
        <f t="shared" si="23"/>
        <v/>
      </c>
      <c r="E1896" s="45" t="str">
        <f t="shared" si="24"/>
        <v/>
      </c>
      <c r="F1896" s="59" t="str">
        <f t="shared" si="25"/>
        <v/>
      </c>
      <c r="G1896" s="59" t="str">
        <f t="shared" si="26"/>
        <v/>
      </c>
      <c r="H1896" s="59" t="str">
        <f t="shared" si="27"/>
        <v>29E17417</v>
      </c>
      <c r="I1896" s="59" t="str">
        <f>IF(OR($A1896="",$C1896="",$D1896="",$E1896="",$H1896=""),"",SUMIFS(DATA_GOC!$H:$H,DATA_GOC!$A:$A,"BOM",DATA_GOC!$D:$D,$H1896,DATA_GOC!$E:$E,$C1896,DATA_GOC!$F:$F,"Xuất nội bộ từ téc",DATA_GOC!$B:$B,"&gt;="&amp;$D1896,DATA_GOC!$B:$B,"&lt;="&amp;$E1896))</f>
        <v/>
      </c>
      <c r="J1896" s="59">
        <f t="shared" si="28"/>
        <v>0</v>
      </c>
      <c r="K1896" s="59">
        <f t="shared" si="29"/>
        <v>0</v>
      </c>
      <c r="L1896" s="59">
        <f t="shared" si="30"/>
        <v>0</v>
      </c>
      <c r="M1896" s="59">
        <f t="shared" si="31"/>
        <v>0</v>
      </c>
    </row>
    <row r="1897" ht="15.0" hidden="1" customHeight="1">
      <c r="A1897" s="59">
        <f t="shared" si="20"/>
        <v>28</v>
      </c>
      <c r="B1897" s="59" t="str">
        <f t="shared" si="21"/>
        <v/>
      </c>
      <c r="C1897" s="59" t="str">
        <f t="shared" si="22"/>
        <v/>
      </c>
      <c r="D1897" s="45" t="str">
        <f t="shared" si="23"/>
        <v/>
      </c>
      <c r="E1897" s="45" t="str">
        <f t="shared" si="24"/>
        <v/>
      </c>
      <c r="F1897" s="59" t="str">
        <f t="shared" si="25"/>
        <v/>
      </c>
      <c r="G1897" s="59" t="str">
        <f t="shared" si="26"/>
        <v/>
      </c>
      <c r="H1897" s="59" t="str">
        <f t="shared" si="27"/>
        <v>29E17539</v>
      </c>
      <c r="I1897" s="59" t="str">
        <f>IF(OR($A1897="",$C1897="",$D1897="",$E1897="",$H1897=""),"",SUMIFS(DATA_GOC!$H:$H,DATA_GOC!$A:$A,"BOM",DATA_GOC!$D:$D,$H1897,DATA_GOC!$E:$E,$C1897,DATA_GOC!$F:$F,"Xuất nội bộ từ téc",DATA_GOC!$B:$B,"&gt;="&amp;$D1897,DATA_GOC!$B:$B,"&lt;="&amp;$E1897))</f>
        <v/>
      </c>
      <c r="J1897" s="59">
        <f t="shared" si="28"/>
        <v>0</v>
      </c>
      <c r="K1897" s="59">
        <f t="shared" si="29"/>
        <v>0</v>
      </c>
      <c r="L1897" s="59">
        <f t="shared" si="30"/>
        <v>0</v>
      </c>
      <c r="M1897" s="59">
        <f t="shared" si="31"/>
        <v>0</v>
      </c>
    </row>
    <row r="1898" ht="15.0" hidden="1" customHeight="1">
      <c r="A1898" s="59">
        <f t="shared" si="20"/>
        <v>28</v>
      </c>
      <c r="B1898" s="59" t="str">
        <f t="shared" si="21"/>
        <v/>
      </c>
      <c r="C1898" s="59" t="str">
        <f t="shared" si="22"/>
        <v/>
      </c>
      <c r="D1898" s="45" t="str">
        <f t="shared" si="23"/>
        <v/>
      </c>
      <c r="E1898" s="45" t="str">
        <f t="shared" si="24"/>
        <v/>
      </c>
      <c r="F1898" s="59" t="str">
        <f t="shared" si="25"/>
        <v/>
      </c>
      <c r="G1898" s="59" t="str">
        <f t="shared" si="26"/>
        <v/>
      </c>
      <c r="H1898" s="59" t="str">
        <f t="shared" si="27"/>
        <v>29E18160</v>
      </c>
      <c r="I1898" s="59" t="str">
        <f>IF(OR($A1898="",$C1898="",$D1898="",$E1898="",$H1898=""),"",SUMIFS(DATA_GOC!$H:$H,DATA_GOC!$A:$A,"BOM",DATA_GOC!$D:$D,$H1898,DATA_GOC!$E:$E,$C1898,DATA_GOC!$F:$F,"Xuất nội bộ từ téc",DATA_GOC!$B:$B,"&gt;="&amp;$D1898,DATA_GOC!$B:$B,"&lt;="&amp;$E1898))</f>
        <v/>
      </c>
      <c r="J1898" s="59">
        <f t="shared" si="28"/>
        <v>0</v>
      </c>
      <c r="K1898" s="59">
        <f t="shared" si="29"/>
        <v>0</v>
      </c>
      <c r="L1898" s="59">
        <f t="shared" si="30"/>
        <v>0</v>
      </c>
      <c r="M1898" s="59">
        <f t="shared" si="31"/>
        <v>0</v>
      </c>
    </row>
    <row r="1899" ht="15.0" hidden="1" customHeight="1">
      <c r="A1899" s="59">
        <f t="shared" si="20"/>
        <v>28</v>
      </c>
      <c r="B1899" s="59" t="str">
        <f t="shared" si="21"/>
        <v/>
      </c>
      <c r="C1899" s="59" t="str">
        <f t="shared" si="22"/>
        <v/>
      </c>
      <c r="D1899" s="45" t="str">
        <f t="shared" si="23"/>
        <v/>
      </c>
      <c r="E1899" s="45" t="str">
        <f t="shared" si="24"/>
        <v/>
      </c>
      <c r="F1899" s="59" t="str">
        <f t="shared" si="25"/>
        <v/>
      </c>
      <c r="G1899" s="59" t="str">
        <f t="shared" si="26"/>
        <v/>
      </c>
      <c r="H1899" s="59" t="str">
        <f t="shared" si="27"/>
        <v>Công trình Asphalt</v>
      </c>
      <c r="I1899" s="59" t="str">
        <f>IF(OR($A1899="",$C1899="",$D1899="",$E1899="",$H1899=""),"",SUMIFS(DATA_GOC!$H:$H,DATA_GOC!$A:$A,"BOM",DATA_GOC!$D:$D,$H1899,DATA_GOC!$E:$E,$C1899,DATA_GOC!$F:$F,"Xuất nội bộ từ téc",DATA_GOC!$B:$B,"&gt;="&amp;$D1899,DATA_GOC!$B:$B,"&lt;="&amp;$E1899))</f>
        <v/>
      </c>
      <c r="J1899" s="59">
        <f t="shared" si="28"/>
        <v>0</v>
      </c>
      <c r="K1899" s="59">
        <f t="shared" si="29"/>
        <v>0</v>
      </c>
      <c r="L1899" s="59">
        <f t="shared" si="30"/>
        <v>0</v>
      </c>
      <c r="M1899" s="59">
        <f t="shared" si="31"/>
        <v>0</v>
      </c>
    </row>
    <row r="1900" ht="15.0" hidden="1" customHeight="1">
      <c r="A1900" s="59">
        <f t="shared" si="20"/>
        <v>28</v>
      </c>
      <c r="B1900" s="59" t="str">
        <f t="shared" si="21"/>
        <v/>
      </c>
      <c r="C1900" s="59" t="str">
        <f t="shared" si="22"/>
        <v/>
      </c>
      <c r="D1900" s="45" t="str">
        <f t="shared" si="23"/>
        <v/>
      </c>
      <c r="E1900" s="45" t="str">
        <f t="shared" si="24"/>
        <v/>
      </c>
      <c r="F1900" s="59" t="str">
        <f t="shared" si="25"/>
        <v/>
      </c>
      <c r="G1900" s="59" t="str">
        <f t="shared" si="26"/>
        <v/>
      </c>
      <c r="H1900" s="59" t="str">
        <f t="shared" si="27"/>
        <v>LG53F</v>
      </c>
      <c r="I1900" s="59" t="str">
        <f>IF(OR($A1900="",$C1900="",$D1900="",$E1900="",$H1900=""),"",SUMIFS(DATA_GOC!$H:$H,DATA_GOC!$A:$A,"BOM",DATA_GOC!$D:$D,$H1900,DATA_GOC!$E:$E,$C1900,DATA_GOC!$F:$F,"Xuất nội bộ từ téc",DATA_GOC!$B:$B,"&gt;="&amp;$D1900,DATA_GOC!$B:$B,"&lt;="&amp;$E1900))</f>
        <v/>
      </c>
      <c r="J1900" s="59">
        <f t="shared" si="28"/>
        <v>0</v>
      </c>
      <c r="K1900" s="59">
        <f t="shared" si="29"/>
        <v>0</v>
      </c>
      <c r="L1900" s="59">
        <f t="shared" si="30"/>
        <v>0</v>
      </c>
      <c r="M1900" s="59">
        <f t="shared" si="31"/>
        <v>0</v>
      </c>
    </row>
    <row r="1901" ht="15.0" hidden="1" customHeight="1">
      <c r="A1901" s="59">
        <f t="shared" si="20"/>
        <v>28</v>
      </c>
      <c r="B1901" s="59" t="str">
        <f t="shared" si="21"/>
        <v/>
      </c>
      <c r="C1901" s="59" t="str">
        <f t="shared" si="22"/>
        <v/>
      </c>
      <c r="D1901" s="45" t="str">
        <f t="shared" si="23"/>
        <v/>
      </c>
      <c r="E1901" s="45" t="str">
        <f t="shared" si="24"/>
        <v/>
      </c>
      <c r="F1901" s="59" t="str">
        <f t="shared" si="25"/>
        <v/>
      </c>
      <c r="G1901" s="59" t="str">
        <f t="shared" si="26"/>
        <v/>
      </c>
      <c r="H1901" s="59" t="str">
        <f t="shared" si="27"/>
        <v>Máy phát điện</v>
      </c>
      <c r="I1901" s="59" t="str">
        <f>IF(OR($A1901="",$C1901="",$D1901="",$E1901="",$H1901=""),"",SUMIFS(DATA_GOC!$H:$H,DATA_GOC!$A:$A,"BOM",DATA_GOC!$D:$D,$H1901,DATA_GOC!$E:$E,$C1901,DATA_GOC!$F:$F,"Xuất nội bộ từ téc",DATA_GOC!$B:$B,"&gt;="&amp;$D1901,DATA_GOC!$B:$B,"&lt;="&amp;$E1901))</f>
        <v/>
      </c>
      <c r="J1901" s="59">
        <f t="shared" si="28"/>
        <v>0</v>
      </c>
      <c r="K1901" s="59">
        <f t="shared" si="29"/>
        <v>0</v>
      </c>
      <c r="L1901" s="59">
        <f t="shared" si="30"/>
        <v>0</v>
      </c>
      <c r="M1901" s="59">
        <f t="shared" si="31"/>
        <v>0</v>
      </c>
    </row>
    <row r="1902" ht="15.0" hidden="1" customHeight="1">
      <c r="A1902" s="59">
        <f t="shared" si="20"/>
        <v>28</v>
      </c>
      <c r="B1902" s="59" t="str">
        <f t="shared" si="21"/>
        <v/>
      </c>
      <c r="C1902" s="59" t="str">
        <f t="shared" si="22"/>
        <v/>
      </c>
      <c r="D1902" s="45" t="str">
        <f t="shared" si="23"/>
        <v/>
      </c>
      <c r="E1902" s="45" t="str">
        <f t="shared" si="24"/>
        <v/>
      </c>
      <c r="F1902" s="59" t="str">
        <f t="shared" si="25"/>
        <v/>
      </c>
      <c r="G1902" s="59" t="str">
        <f t="shared" si="26"/>
        <v/>
      </c>
      <c r="H1902" s="59" t="str">
        <f t="shared" si="27"/>
        <v>Máy rải thảm</v>
      </c>
      <c r="I1902" s="59" t="str">
        <f>IF(OR($A1902="",$C1902="",$D1902="",$E1902="",$H1902=""),"",SUMIFS(DATA_GOC!$H:$H,DATA_GOC!$A:$A,"BOM",DATA_GOC!$D:$D,$H1902,DATA_GOC!$E:$E,$C1902,DATA_GOC!$F:$F,"Xuất nội bộ từ téc",DATA_GOC!$B:$B,"&gt;="&amp;$D1902,DATA_GOC!$B:$B,"&lt;="&amp;$E1902))</f>
        <v/>
      </c>
      <c r="J1902" s="59">
        <f t="shared" si="28"/>
        <v>0</v>
      </c>
      <c r="K1902" s="59">
        <f t="shared" si="29"/>
        <v>0</v>
      </c>
      <c r="L1902" s="59">
        <f t="shared" si="30"/>
        <v>0</v>
      </c>
      <c r="M1902" s="59">
        <f t="shared" si="31"/>
        <v>0</v>
      </c>
    </row>
    <row r="1903" ht="15.0" hidden="1" customHeight="1">
      <c r="A1903" s="59">
        <f t="shared" si="20"/>
        <v>28</v>
      </c>
      <c r="B1903" s="59" t="str">
        <f t="shared" si="21"/>
        <v/>
      </c>
      <c r="C1903" s="59" t="str">
        <f t="shared" si="22"/>
        <v/>
      </c>
      <c r="D1903" s="45" t="str">
        <f t="shared" si="23"/>
        <v/>
      </c>
      <c r="E1903" s="45" t="str">
        <f t="shared" si="24"/>
        <v/>
      </c>
      <c r="F1903" s="59" t="str">
        <f t="shared" si="25"/>
        <v/>
      </c>
      <c r="G1903" s="59" t="str">
        <f t="shared" si="26"/>
        <v/>
      </c>
      <c r="H1903" s="59" t="str">
        <f t="shared" si="27"/>
        <v>Xúc Đào</v>
      </c>
      <c r="I1903" s="59" t="str">
        <f>IF(OR($A1903="",$C1903="",$D1903="",$E1903="",$H1903=""),"",SUMIFS(DATA_GOC!$H:$H,DATA_GOC!$A:$A,"BOM",DATA_GOC!$D:$D,$H1903,DATA_GOC!$E:$E,$C1903,DATA_GOC!$F:$F,"Xuất nội bộ từ téc",DATA_GOC!$B:$B,"&gt;="&amp;$D1903,DATA_GOC!$B:$B,"&lt;="&amp;$E1903))</f>
        <v/>
      </c>
      <c r="J1903" s="59">
        <f t="shared" si="28"/>
        <v>0</v>
      </c>
      <c r="K1903" s="59">
        <f t="shared" si="29"/>
        <v>0</v>
      </c>
      <c r="L1903" s="59">
        <f t="shared" si="30"/>
        <v>0</v>
      </c>
      <c r="M1903" s="59">
        <f t="shared" si="31"/>
        <v>0</v>
      </c>
    </row>
    <row r="1904" ht="15.0" hidden="1" customHeight="1">
      <c r="A1904" s="59">
        <f t="shared" si="20"/>
        <v>28</v>
      </c>
      <c r="B1904" s="59" t="str">
        <f t="shared" si="21"/>
        <v/>
      </c>
      <c r="C1904" s="59" t="str">
        <f t="shared" si="22"/>
        <v/>
      </c>
      <c r="D1904" s="45" t="str">
        <f t="shared" si="23"/>
        <v/>
      </c>
      <c r="E1904" s="45" t="str">
        <f t="shared" si="24"/>
        <v/>
      </c>
      <c r="F1904" s="59" t="str">
        <f t="shared" si="25"/>
        <v/>
      </c>
      <c r="G1904" s="59" t="str">
        <f t="shared" si="26"/>
        <v/>
      </c>
      <c r="H1904" s="59" t="str">
        <f t="shared" si="27"/>
        <v>Xúclật asphalt</v>
      </c>
      <c r="I1904" s="59" t="str">
        <f>IF(OR($A1904="",$C1904="",$D1904="",$E1904="",$H1904=""),"",SUMIFS(DATA_GOC!$H:$H,DATA_GOC!$A:$A,"BOM",DATA_GOC!$D:$D,$H1904,DATA_GOC!$E:$E,$C1904,DATA_GOC!$F:$F,"Xuất nội bộ từ téc",DATA_GOC!$B:$B,"&gt;="&amp;$D1904,DATA_GOC!$B:$B,"&lt;="&amp;$E1904))</f>
        <v/>
      </c>
      <c r="J1904" s="59">
        <f t="shared" si="28"/>
        <v>0</v>
      </c>
      <c r="K1904" s="59">
        <f t="shared" si="29"/>
        <v>0</v>
      </c>
      <c r="L1904" s="59">
        <f t="shared" si="30"/>
        <v>0</v>
      </c>
      <c r="M1904" s="59">
        <f t="shared" si="31"/>
        <v>0</v>
      </c>
    </row>
    <row r="1905" ht="15.0" hidden="1" customHeight="1">
      <c r="A1905" s="59">
        <f t="shared" si="20"/>
        <v>28</v>
      </c>
      <c r="B1905" s="59" t="str">
        <f t="shared" si="21"/>
        <v/>
      </c>
      <c r="C1905" s="59" t="str">
        <f t="shared" si="22"/>
        <v/>
      </c>
      <c r="D1905" s="45" t="str">
        <f t="shared" si="23"/>
        <v/>
      </c>
      <c r="E1905" s="45" t="str">
        <f t="shared" si="24"/>
        <v/>
      </c>
      <c r="F1905" s="59" t="str">
        <f t="shared" si="25"/>
        <v/>
      </c>
      <c r="G1905" s="59" t="str">
        <f t="shared" si="26"/>
        <v/>
      </c>
      <c r="H1905" s="59" t="str">
        <f t="shared" si="27"/>
        <v>Xúclật855H</v>
      </c>
      <c r="I1905" s="59" t="str">
        <f>IF(OR($A1905="",$C1905="",$D1905="",$E1905="",$H1905=""),"",SUMIFS(DATA_GOC!$H:$H,DATA_GOC!$A:$A,"BOM",DATA_GOC!$D:$D,$H1905,DATA_GOC!$E:$E,$C1905,DATA_GOC!$F:$F,"Xuất nội bộ từ téc",DATA_GOC!$B:$B,"&gt;="&amp;$D1905,DATA_GOC!$B:$B,"&lt;="&amp;$E1905))</f>
        <v/>
      </c>
      <c r="J1905" s="59">
        <f t="shared" si="28"/>
        <v>0</v>
      </c>
      <c r="K1905" s="59">
        <f t="shared" si="29"/>
        <v>0</v>
      </c>
      <c r="L1905" s="59">
        <f t="shared" si="30"/>
        <v>0</v>
      </c>
      <c r="M1905" s="59">
        <f t="shared" si="31"/>
        <v>0</v>
      </c>
    </row>
    <row r="1906" ht="15.0" hidden="1" customHeight="1">
      <c r="A1906" s="59">
        <f t="shared" si="20"/>
        <v>28</v>
      </c>
      <c r="B1906" s="59" t="str">
        <f t="shared" si="21"/>
        <v/>
      </c>
      <c r="C1906" s="59" t="str">
        <f t="shared" si="22"/>
        <v/>
      </c>
      <c r="D1906" s="45" t="str">
        <f t="shared" si="23"/>
        <v/>
      </c>
      <c r="E1906" s="45" t="str">
        <f t="shared" si="24"/>
        <v/>
      </c>
      <c r="F1906" s="59" t="str">
        <f t="shared" si="25"/>
        <v/>
      </c>
      <c r="G1906" s="59" t="str">
        <f t="shared" si="26"/>
        <v/>
      </c>
      <c r="H1906" s="59" t="str">
        <f t="shared" si="27"/>
        <v>Xúclật855N</v>
      </c>
      <c r="I1906" s="59" t="str">
        <f>IF(OR($A1906="",$C1906="",$D1906="",$E1906="",$H1906=""),"",SUMIFS(DATA_GOC!$H:$H,DATA_GOC!$A:$A,"BOM",DATA_GOC!$D:$D,$H1906,DATA_GOC!$E:$E,$C1906,DATA_GOC!$F:$F,"Xuất nội bộ từ téc",DATA_GOC!$B:$B,"&gt;="&amp;$D1906,DATA_GOC!$B:$B,"&lt;="&amp;$E1906))</f>
        <v/>
      </c>
      <c r="J1906" s="59">
        <f t="shared" si="28"/>
        <v>0</v>
      </c>
      <c r="K1906" s="59">
        <f t="shared" si="29"/>
        <v>0</v>
      </c>
      <c r="L1906" s="59">
        <f t="shared" si="30"/>
        <v>0</v>
      </c>
      <c r="M1906" s="59">
        <f t="shared" si="31"/>
        <v>0</v>
      </c>
    </row>
    <row r="1907" ht="15.0" hidden="1" customHeight="1">
      <c r="A1907" s="59">
        <f t="shared" si="20"/>
        <v>28</v>
      </c>
      <c r="B1907" s="59" t="str">
        <f t="shared" si="21"/>
        <v/>
      </c>
      <c r="C1907" s="59" t="str">
        <f t="shared" si="22"/>
        <v/>
      </c>
      <c r="D1907" s="45" t="str">
        <f t="shared" si="23"/>
        <v/>
      </c>
      <c r="E1907" s="45" t="str">
        <f t="shared" si="24"/>
        <v/>
      </c>
      <c r="F1907" s="59" t="str">
        <f t="shared" si="25"/>
        <v/>
      </c>
      <c r="G1907" s="59" t="str">
        <f t="shared" si="26"/>
        <v/>
      </c>
      <c r="H1907" s="59" t="str">
        <f t="shared" si="27"/>
        <v>Cát nghiền</v>
      </c>
      <c r="I1907" s="59" t="str">
        <f>IF(OR($A1907="",$C1907="",$D1907="",$E1907="",$H1907=""),"",SUMIFS(DATA_GOC!$H:$H,DATA_GOC!$A:$A,"BOM",DATA_GOC!$D:$D,$H1907,DATA_GOC!$E:$E,$C1907,DATA_GOC!$F:$F,"Xuất nội bộ từ téc",DATA_GOC!$B:$B,"&gt;="&amp;$D1907,DATA_GOC!$B:$B,"&lt;="&amp;$E1907))</f>
        <v/>
      </c>
      <c r="J1907" s="59">
        <f t="shared" si="28"/>
        <v>0</v>
      </c>
      <c r="K1907" s="59">
        <f t="shared" si="29"/>
        <v>0</v>
      </c>
      <c r="L1907" s="59">
        <f t="shared" si="30"/>
        <v>0</v>
      </c>
      <c r="M1907" s="59">
        <f t="shared" si="31"/>
        <v>0</v>
      </c>
    </row>
    <row r="1908" ht="15.0" hidden="1" customHeight="1">
      <c r="A1908" s="59">
        <f t="shared" si="20"/>
        <v>28</v>
      </c>
      <c r="B1908" s="59" t="str">
        <f t="shared" si="21"/>
        <v/>
      </c>
      <c r="C1908" s="59" t="str">
        <f t="shared" si="22"/>
        <v/>
      </c>
      <c r="D1908" s="45" t="str">
        <f t="shared" si="23"/>
        <v/>
      </c>
      <c r="E1908" s="45" t="str">
        <f t="shared" si="24"/>
        <v/>
      </c>
      <c r="F1908" s="59" t="str">
        <f t="shared" si="25"/>
        <v/>
      </c>
      <c r="G1908" s="59" t="str">
        <f t="shared" si="26"/>
        <v/>
      </c>
      <c r="H1908" s="59" t="str">
        <f t="shared" si="27"/>
        <v>28C02973</v>
      </c>
      <c r="I1908" s="59" t="str">
        <f>IF(OR($A1908="",$C1908="",$D1908="",$E1908="",$H1908=""),"",SUMIFS(DATA_GOC!$H:$H,DATA_GOC!$A:$A,"BOM",DATA_GOC!$D:$D,$H1908,DATA_GOC!$E:$E,$C1908,DATA_GOC!$F:$F,"Xuất nội bộ từ téc",DATA_GOC!$B:$B,"&gt;="&amp;$D1908,DATA_GOC!$B:$B,"&lt;="&amp;$E1908))</f>
        <v/>
      </c>
      <c r="J1908" s="59">
        <f t="shared" si="28"/>
        <v>0</v>
      </c>
      <c r="K1908" s="59">
        <f t="shared" si="29"/>
        <v>0</v>
      </c>
      <c r="L1908" s="59">
        <f t="shared" si="30"/>
        <v>0</v>
      </c>
      <c r="M1908" s="59">
        <f t="shared" si="31"/>
        <v>0</v>
      </c>
    </row>
    <row r="1909" ht="15.0" hidden="1" customHeight="1">
      <c r="A1909" s="59">
        <f t="shared" si="20"/>
        <v>28</v>
      </c>
      <c r="B1909" s="59" t="str">
        <f t="shared" si="21"/>
        <v/>
      </c>
      <c r="C1909" s="59" t="str">
        <f t="shared" si="22"/>
        <v/>
      </c>
      <c r="D1909" s="45" t="str">
        <f t="shared" si="23"/>
        <v/>
      </c>
      <c r="E1909" s="45" t="str">
        <f t="shared" si="24"/>
        <v/>
      </c>
      <c r="F1909" s="59" t="str">
        <f t="shared" si="25"/>
        <v/>
      </c>
      <c r="G1909" s="59" t="str">
        <f t="shared" si="26"/>
        <v/>
      </c>
      <c r="H1909" s="59" t="str">
        <f t="shared" si="27"/>
        <v>28C03044</v>
      </c>
      <c r="I1909" s="59" t="str">
        <f>IF(OR($A1909="",$C1909="",$D1909="",$E1909="",$H1909=""),"",SUMIFS(DATA_GOC!$H:$H,DATA_GOC!$A:$A,"BOM",DATA_GOC!$D:$D,$H1909,DATA_GOC!$E:$E,$C1909,DATA_GOC!$F:$F,"Xuất nội bộ từ téc",DATA_GOC!$B:$B,"&gt;="&amp;$D1909,DATA_GOC!$B:$B,"&lt;="&amp;$E1909))</f>
        <v/>
      </c>
      <c r="J1909" s="59">
        <f t="shared" si="28"/>
        <v>0</v>
      </c>
      <c r="K1909" s="59">
        <f t="shared" si="29"/>
        <v>0</v>
      </c>
      <c r="L1909" s="59">
        <f t="shared" si="30"/>
        <v>0</v>
      </c>
      <c r="M1909" s="59">
        <f t="shared" si="31"/>
        <v>0</v>
      </c>
    </row>
    <row r="1910" ht="15.0" hidden="1" customHeight="1">
      <c r="A1910" s="59">
        <f t="shared" si="20"/>
        <v>28</v>
      </c>
      <c r="B1910" s="59" t="str">
        <f t="shared" si="21"/>
        <v/>
      </c>
      <c r="C1910" s="59" t="str">
        <f t="shared" si="22"/>
        <v/>
      </c>
      <c r="D1910" s="45" t="str">
        <f t="shared" si="23"/>
        <v/>
      </c>
      <c r="E1910" s="45" t="str">
        <f t="shared" si="24"/>
        <v/>
      </c>
      <c r="F1910" s="59" t="str">
        <f t="shared" si="25"/>
        <v/>
      </c>
      <c r="G1910" s="59" t="str">
        <f t="shared" si="26"/>
        <v/>
      </c>
      <c r="H1910" s="59" t="str">
        <f t="shared" si="27"/>
        <v>Máy lu lốp</v>
      </c>
      <c r="I1910" s="59" t="str">
        <f>IF(OR($A1910="",$C1910="",$D1910="",$E1910="",$H1910=""),"",SUMIFS(DATA_GOC!$H:$H,DATA_GOC!$A:$A,"BOM",DATA_GOC!$D:$D,$H1910,DATA_GOC!$E:$E,$C1910,DATA_GOC!$F:$F,"Xuất nội bộ từ téc",DATA_GOC!$B:$B,"&gt;="&amp;$D1910,DATA_GOC!$B:$B,"&lt;="&amp;$E1910))</f>
        <v/>
      </c>
      <c r="J1910" s="59">
        <f t="shared" si="28"/>
        <v>0</v>
      </c>
      <c r="K1910" s="59">
        <f t="shared" si="29"/>
        <v>0</v>
      </c>
      <c r="L1910" s="59">
        <f t="shared" si="30"/>
        <v>0</v>
      </c>
      <c r="M1910" s="59">
        <f t="shared" si="31"/>
        <v>0</v>
      </c>
    </row>
    <row r="1911" ht="15.0" hidden="1" customHeight="1">
      <c r="A1911" s="59">
        <f t="shared" si="20"/>
        <v>28</v>
      </c>
      <c r="B1911" s="59" t="str">
        <f t="shared" si="21"/>
        <v/>
      </c>
      <c r="C1911" s="59" t="str">
        <f t="shared" si="22"/>
        <v/>
      </c>
      <c r="D1911" s="45" t="str">
        <f t="shared" si="23"/>
        <v/>
      </c>
      <c r="E1911" s="45" t="str">
        <f t="shared" si="24"/>
        <v/>
      </c>
      <c r="F1911" s="59" t="str">
        <f t="shared" si="25"/>
        <v/>
      </c>
      <c r="G1911" s="59" t="str">
        <f t="shared" si="26"/>
        <v/>
      </c>
      <c r="H1911" s="59" t="str">
        <f t="shared" si="27"/>
        <v>Xe 600148</v>
      </c>
      <c r="I1911" s="59" t="str">
        <f>IF(OR($A1911="",$C1911="",$D1911="",$E1911="",$H1911=""),"",SUMIFS(DATA_GOC!$H:$H,DATA_GOC!$A:$A,"BOM",DATA_GOC!$D:$D,$H1911,DATA_GOC!$E:$E,$C1911,DATA_GOC!$F:$F,"Xuất nội bộ từ téc",DATA_GOC!$B:$B,"&gt;="&amp;$D1911,DATA_GOC!$B:$B,"&lt;="&amp;$E1911))</f>
        <v/>
      </c>
      <c r="J1911" s="59">
        <f t="shared" si="28"/>
        <v>0</v>
      </c>
      <c r="K1911" s="59">
        <f t="shared" si="29"/>
        <v>0</v>
      </c>
      <c r="L1911" s="59">
        <f t="shared" si="30"/>
        <v>0</v>
      </c>
      <c r="M1911" s="59">
        <f t="shared" si="31"/>
        <v>0</v>
      </c>
    </row>
    <row r="1912" ht="15.0" hidden="1" customHeight="1">
      <c r="A1912" s="59">
        <f t="shared" si="20"/>
        <v>28</v>
      </c>
      <c r="B1912" s="59" t="str">
        <f t="shared" si="21"/>
        <v/>
      </c>
      <c r="C1912" s="59" t="str">
        <f t="shared" si="22"/>
        <v/>
      </c>
      <c r="D1912" s="45" t="str">
        <f t="shared" si="23"/>
        <v/>
      </c>
      <c r="E1912" s="45" t="str">
        <f t="shared" si="24"/>
        <v/>
      </c>
      <c r="F1912" s="59" t="str">
        <f t="shared" si="25"/>
        <v/>
      </c>
      <c r="G1912" s="59" t="str">
        <f t="shared" si="26"/>
        <v/>
      </c>
      <c r="H1912" s="59" t="str">
        <f t="shared" si="27"/>
        <v>Xe ben mới</v>
      </c>
      <c r="I1912" s="59" t="str">
        <f>IF(OR($A1912="",$C1912="",$D1912="",$E1912="",$H1912=""),"",SUMIFS(DATA_GOC!$H:$H,DATA_GOC!$A:$A,"BOM",DATA_GOC!$D:$D,$H1912,DATA_GOC!$E:$E,$C1912,DATA_GOC!$F:$F,"Xuất nội bộ từ téc",DATA_GOC!$B:$B,"&gt;="&amp;$D1912,DATA_GOC!$B:$B,"&lt;="&amp;$E1912))</f>
        <v/>
      </c>
      <c r="J1912" s="59">
        <f t="shared" si="28"/>
        <v>0</v>
      </c>
      <c r="K1912" s="59">
        <f t="shared" si="29"/>
        <v>0</v>
      </c>
      <c r="L1912" s="59">
        <f t="shared" si="30"/>
        <v>0</v>
      </c>
      <c r="M1912" s="59">
        <f t="shared" si="31"/>
        <v>0</v>
      </c>
    </row>
    <row r="1913" ht="15.0" hidden="1" customHeight="1">
      <c r="A1913" s="59">
        <f t="shared" si="20"/>
        <v>29</v>
      </c>
      <c r="B1913" s="59" t="str">
        <f t="shared" si="21"/>
        <v/>
      </c>
      <c r="C1913" s="59" t="str">
        <f t="shared" si="22"/>
        <v/>
      </c>
      <c r="D1913" s="45" t="str">
        <f t="shared" si="23"/>
        <v/>
      </c>
      <c r="E1913" s="45" t="str">
        <f t="shared" si="24"/>
        <v/>
      </c>
      <c r="F1913" s="59" t="str">
        <f t="shared" si="25"/>
        <v/>
      </c>
      <c r="G1913" s="59" t="str">
        <f t="shared" si="26"/>
        <v/>
      </c>
      <c r="H1913" s="59" t="str">
        <f t="shared" si="27"/>
        <v>19H09482</v>
      </c>
      <c r="I1913" s="59" t="str">
        <f>IF(OR($A1913="",$C1913="",$D1913="",$E1913="",$H1913=""),"",SUMIFS(DATA_GOC!$H:$H,DATA_GOC!$A:$A,"BOM",DATA_GOC!$D:$D,$H1913,DATA_GOC!$E:$E,$C1913,DATA_GOC!$F:$F,"Xuất nội bộ từ téc",DATA_GOC!$B:$B,"&gt;="&amp;$D1913,DATA_GOC!$B:$B,"&lt;="&amp;$E1913))</f>
        <v/>
      </c>
      <c r="J1913" s="59">
        <f t="shared" si="28"/>
        <v>0</v>
      </c>
      <c r="K1913" s="59">
        <f t="shared" si="29"/>
        <v>0</v>
      </c>
      <c r="L1913" s="59">
        <f t="shared" si="30"/>
        <v>0</v>
      </c>
      <c r="M1913" s="59">
        <f t="shared" si="31"/>
        <v>0</v>
      </c>
    </row>
    <row r="1914" ht="15.0" hidden="1" customHeight="1">
      <c r="A1914" s="59">
        <f t="shared" si="20"/>
        <v>29</v>
      </c>
      <c r="B1914" s="59" t="str">
        <f t="shared" si="21"/>
        <v/>
      </c>
      <c r="C1914" s="59" t="str">
        <f t="shared" si="22"/>
        <v/>
      </c>
      <c r="D1914" s="45" t="str">
        <f t="shared" si="23"/>
        <v/>
      </c>
      <c r="E1914" s="45" t="str">
        <f t="shared" si="24"/>
        <v/>
      </c>
      <c r="F1914" s="59" t="str">
        <f t="shared" si="25"/>
        <v/>
      </c>
      <c r="G1914" s="59" t="str">
        <f t="shared" si="26"/>
        <v/>
      </c>
      <c r="H1914" s="59" t="str">
        <f t="shared" si="27"/>
        <v>28A30696</v>
      </c>
      <c r="I1914" s="59" t="str">
        <f>IF(OR($A1914="",$C1914="",$D1914="",$E1914="",$H1914=""),"",SUMIFS(DATA_GOC!$H:$H,DATA_GOC!$A:$A,"BOM",DATA_GOC!$D:$D,$H1914,DATA_GOC!$E:$E,$C1914,DATA_GOC!$F:$F,"Xuất nội bộ từ téc",DATA_GOC!$B:$B,"&gt;="&amp;$D1914,DATA_GOC!$B:$B,"&lt;="&amp;$E1914))</f>
        <v/>
      </c>
      <c r="J1914" s="59">
        <f t="shared" si="28"/>
        <v>0</v>
      </c>
      <c r="K1914" s="59">
        <f t="shared" si="29"/>
        <v>0</v>
      </c>
      <c r="L1914" s="59">
        <f t="shared" si="30"/>
        <v>0</v>
      </c>
      <c r="M1914" s="59">
        <f t="shared" si="31"/>
        <v>0</v>
      </c>
    </row>
    <row r="1915" ht="15.0" hidden="1" customHeight="1">
      <c r="A1915" s="59">
        <f t="shared" si="20"/>
        <v>29</v>
      </c>
      <c r="B1915" s="59" t="str">
        <f t="shared" si="21"/>
        <v/>
      </c>
      <c r="C1915" s="59" t="str">
        <f t="shared" si="22"/>
        <v/>
      </c>
      <c r="D1915" s="45" t="str">
        <f t="shared" si="23"/>
        <v/>
      </c>
      <c r="E1915" s="45" t="str">
        <f t="shared" si="24"/>
        <v/>
      </c>
      <c r="F1915" s="59" t="str">
        <f t="shared" si="25"/>
        <v/>
      </c>
      <c r="G1915" s="59" t="str">
        <f t="shared" si="26"/>
        <v/>
      </c>
      <c r="H1915" s="59" t="str">
        <f t="shared" si="27"/>
        <v>28C00462</v>
      </c>
      <c r="I1915" s="59" t="str">
        <f>IF(OR($A1915="",$C1915="",$D1915="",$E1915="",$H1915=""),"",SUMIFS(DATA_GOC!$H:$H,DATA_GOC!$A:$A,"BOM",DATA_GOC!$D:$D,$H1915,DATA_GOC!$E:$E,$C1915,DATA_GOC!$F:$F,"Xuất nội bộ từ téc",DATA_GOC!$B:$B,"&gt;="&amp;$D1915,DATA_GOC!$B:$B,"&lt;="&amp;$E1915))</f>
        <v/>
      </c>
      <c r="J1915" s="59">
        <f t="shared" si="28"/>
        <v>0</v>
      </c>
      <c r="K1915" s="59">
        <f t="shared" si="29"/>
        <v>0</v>
      </c>
      <c r="L1915" s="59">
        <f t="shared" si="30"/>
        <v>0</v>
      </c>
      <c r="M1915" s="59">
        <f t="shared" si="31"/>
        <v>0</v>
      </c>
    </row>
    <row r="1916" ht="15.0" hidden="1" customHeight="1">
      <c r="A1916" s="59">
        <f t="shared" si="20"/>
        <v>29</v>
      </c>
      <c r="B1916" s="59" t="str">
        <f t="shared" si="21"/>
        <v/>
      </c>
      <c r="C1916" s="59" t="str">
        <f t="shared" si="22"/>
        <v/>
      </c>
      <c r="D1916" s="45" t="str">
        <f t="shared" si="23"/>
        <v/>
      </c>
      <c r="E1916" s="45" t="str">
        <f t="shared" si="24"/>
        <v/>
      </c>
      <c r="F1916" s="59" t="str">
        <f t="shared" si="25"/>
        <v/>
      </c>
      <c r="G1916" s="59" t="str">
        <f t="shared" si="26"/>
        <v/>
      </c>
      <c r="H1916" s="59" t="str">
        <f t="shared" si="27"/>
        <v>28C01165</v>
      </c>
      <c r="I1916" s="59" t="str">
        <f>IF(OR($A1916="",$C1916="",$D1916="",$E1916="",$H1916=""),"",SUMIFS(DATA_GOC!$H:$H,DATA_GOC!$A:$A,"BOM",DATA_GOC!$D:$D,$H1916,DATA_GOC!$E:$E,$C1916,DATA_GOC!$F:$F,"Xuất nội bộ từ téc",DATA_GOC!$B:$B,"&gt;="&amp;$D1916,DATA_GOC!$B:$B,"&lt;="&amp;$E1916))</f>
        <v/>
      </c>
      <c r="J1916" s="59">
        <f t="shared" si="28"/>
        <v>0</v>
      </c>
      <c r="K1916" s="59">
        <f t="shared" si="29"/>
        <v>0</v>
      </c>
      <c r="L1916" s="59">
        <f t="shared" si="30"/>
        <v>0</v>
      </c>
      <c r="M1916" s="59">
        <f t="shared" si="31"/>
        <v>0</v>
      </c>
    </row>
    <row r="1917" ht="15.0" hidden="1" customHeight="1">
      <c r="A1917" s="59">
        <f t="shared" si="20"/>
        <v>29</v>
      </c>
      <c r="B1917" s="59" t="str">
        <f t="shared" si="21"/>
        <v/>
      </c>
      <c r="C1917" s="59" t="str">
        <f t="shared" si="22"/>
        <v/>
      </c>
      <c r="D1917" s="45" t="str">
        <f t="shared" si="23"/>
        <v/>
      </c>
      <c r="E1917" s="45" t="str">
        <f t="shared" si="24"/>
        <v/>
      </c>
      <c r="F1917" s="59" t="str">
        <f t="shared" si="25"/>
        <v/>
      </c>
      <c r="G1917" s="59" t="str">
        <f t="shared" si="26"/>
        <v/>
      </c>
      <c r="H1917" s="59" t="str">
        <f t="shared" si="27"/>
        <v>28C01406</v>
      </c>
      <c r="I1917" s="59" t="str">
        <f>IF(OR($A1917="",$C1917="",$D1917="",$E1917="",$H1917=""),"",SUMIFS(DATA_GOC!$H:$H,DATA_GOC!$A:$A,"BOM",DATA_GOC!$D:$D,$H1917,DATA_GOC!$E:$E,$C1917,DATA_GOC!$F:$F,"Xuất nội bộ từ téc",DATA_GOC!$B:$B,"&gt;="&amp;$D1917,DATA_GOC!$B:$B,"&lt;="&amp;$E1917))</f>
        <v/>
      </c>
      <c r="J1917" s="59">
        <f t="shared" si="28"/>
        <v>0</v>
      </c>
      <c r="K1917" s="59">
        <f t="shared" si="29"/>
        <v>0</v>
      </c>
      <c r="L1917" s="59">
        <f t="shared" si="30"/>
        <v>0</v>
      </c>
      <c r="M1917" s="59">
        <f t="shared" si="31"/>
        <v>0</v>
      </c>
    </row>
    <row r="1918" ht="15.0" hidden="1" customHeight="1">
      <c r="A1918" s="59">
        <f t="shared" si="20"/>
        <v>29</v>
      </c>
      <c r="B1918" s="59" t="str">
        <f t="shared" si="21"/>
        <v/>
      </c>
      <c r="C1918" s="59" t="str">
        <f t="shared" si="22"/>
        <v/>
      </c>
      <c r="D1918" s="45" t="str">
        <f t="shared" si="23"/>
        <v/>
      </c>
      <c r="E1918" s="45" t="str">
        <f t="shared" si="24"/>
        <v/>
      </c>
      <c r="F1918" s="59" t="str">
        <f t="shared" si="25"/>
        <v/>
      </c>
      <c r="G1918" s="59" t="str">
        <f t="shared" si="26"/>
        <v/>
      </c>
      <c r="H1918" s="59" t="str">
        <f t="shared" si="27"/>
        <v>28C01544</v>
      </c>
      <c r="I1918" s="59" t="str">
        <f>IF(OR($A1918="",$C1918="",$D1918="",$E1918="",$H1918=""),"",SUMIFS(DATA_GOC!$H:$H,DATA_GOC!$A:$A,"BOM",DATA_GOC!$D:$D,$H1918,DATA_GOC!$E:$E,$C1918,DATA_GOC!$F:$F,"Xuất nội bộ từ téc",DATA_GOC!$B:$B,"&gt;="&amp;$D1918,DATA_GOC!$B:$B,"&lt;="&amp;$E1918))</f>
        <v/>
      </c>
      <c r="J1918" s="59">
        <f t="shared" si="28"/>
        <v>0</v>
      </c>
      <c r="K1918" s="59">
        <f t="shared" si="29"/>
        <v>0</v>
      </c>
      <c r="L1918" s="59">
        <f t="shared" si="30"/>
        <v>0</v>
      </c>
      <c r="M1918" s="59">
        <f t="shared" si="31"/>
        <v>0</v>
      </c>
    </row>
    <row r="1919" ht="15.0" hidden="1" customHeight="1">
      <c r="A1919" s="59">
        <f t="shared" si="20"/>
        <v>29</v>
      </c>
      <c r="B1919" s="59" t="str">
        <f t="shared" si="21"/>
        <v/>
      </c>
      <c r="C1919" s="59" t="str">
        <f t="shared" si="22"/>
        <v/>
      </c>
      <c r="D1919" s="45" t="str">
        <f t="shared" si="23"/>
        <v/>
      </c>
      <c r="E1919" s="45" t="str">
        <f t="shared" si="24"/>
        <v/>
      </c>
      <c r="F1919" s="59" t="str">
        <f t="shared" si="25"/>
        <v/>
      </c>
      <c r="G1919" s="59" t="str">
        <f t="shared" si="26"/>
        <v/>
      </c>
      <c r="H1919" s="59" t="str">
        <f t="shared" si="27"/>
        <v>28C01622</v>
      </c>
      <c r="I1919" s="59" t="str">
        <f>IF(OR($A1919="",$C1919="",$D1919="",$E1919="",$H1919=""),"",SUMIFS(DATA_GOC!$H:$H,DATA_GOC!$A:$A,"BOM",DATA_GOC!$D:$D,$H1919,DATA_GOC!$E:$E,$C1919,DATA_GOC!$F:$F,"Xuất nội bộ từ téc",DATA_GOC!$B:$B,"&gt;="&amp;$D1919,DATA_GOC!$B:$B,"&lt;="&amp;$E1919))</f>
        <v/>
      </c>
      <c r="J1919" s="59">
        <f t="shared" si="28"/>
        <v>0</v>
      </c>
      <c r="K1919" s="59">
        <f t="shared" si="29"/>
        <v>0</v>
      </c>
      <c r="L1919" s="59">
        <f t="shared" si="30"/>
        <v>0</v>
      </c>
      <c r="M1919" s="59">
        <f t="shared" si="31"/>
        <v>0</v>
      </c>
    </row>
    <row r="1920" ht="15.0" hidden="1" customHeight="1">
      <c r="A1920" s="59">
        <f t="shared" si="20"/>
        <v>29</v>
      </c>
      <c r="B1920" s="59" t="str">
        <f t="shared" si="21"/>
        <v/>
      </c>
      <c r="C1920" s="59" t="str">
        <f t="shared" si="22"/>
        <v/>
      </c>
      <c r="D1920" s="45" t="str">
        <f t="shared" si="23"/>
        <v/>
      </c>
      <c r="E1920" s="45" t="str">
        <f t="shared" si="24"/>
        <v/>
      </c>
      <c r="F1920" s="59" t="str">
        <f t="shared" si="25"/>
        <v/>
      </c>
      <c r="G1920" s="59" t="str">
        <f t="shared" si="26"/>
        <v/>
      </c>
      <c r="H1920" s="59" t="str">
        <f t="shared" si="27"/>
        <v>28C01647</v>
      </c>
      <c r="I1920" s="59" t="str">
        <f>IF(OR($A1920="",$C1920="",$D1920="",$E1920="",$H1920=""),"",SUMIFS(DATA_GOC!$H:$H,DATA_GOC!$A:$A,"BOM",DATA_GOC!$D:$D,$H1920,DATA_GOC!$E:$E,$C1920,DATA_GOC!$F:$F,"Xuất nội bộ từ téc",DATA_GOC!$B:$B,"&gt;="&amp;$D1920,DATA_GOC!$B:$B,"&lt;="&amp;$E1920))</f>
        <v/>
      </c>
      <c r="J1920" s="59">
        <f t="shared" si="28"/>
        <v>0</v>
      </c>
      <c r="K1920" s="59">
        <f t="shared" si="29"/>
        <v>0</v>
      </c>
      <c r="L1920" s="59">
        <f t="shared" si="30"/>
        <v>0</v>
      </c>
      <c r="M1920" s="59">
        <f t="shared" si="31"/>
        <v>0</v>
      </c>
    </row>
    <row r="1921" ht="15.0" hidden="1" customHeight="1">
      <c r="A1921" s="59">
        <f t="shared" si="20"/>
        <v>29</v>
      </c>
      <c r="B1921" s="59" t="str">
        <f t="shared" si="21"/>
        <v/>
      </c>
      <c r="C1921" s="59" t="str">
        <f t="shared" si="22"/>
        <v/>
      </c>
      <c r="D1921" s="45" t="str">
        <f t="shared" si="23"/>
        <v/>
      </c>
      <c r="E1921" s="45" t="str">
        <f t="shared" si="24"/>
        <v/>
      </c>
      <c r="F1921" s="59" t="str">
        <f t="shared" si="25"/>
        <v/>
      </c>
      <c r="G1921" s="59" t="str">
        <f t="shared" si="26"/>
        <v/>
      </c>
      <c r="H1921" s="59" t="str">
        <f t="shared" si="27"/>
        <v>28C01731</v>
      </c>
      <c r="I1921" s="59" t="str">
        <f>IF(OR($A1921="",$C1921="",$D1921="",$E1921="",$H1921=""),"",SUMIFS(DATA_GOC!$H:$H,DATA_GOC!$A:$A,"BOM",DATA_GOC!$D:$D,$H1921,DATA_GOC!$E:$E,$C1921,DATA_GOC!$F:$F,"Xuất nội bộ từ téc",DATA_GOC!$B:$B,"&gt;="&amp;$D1921,DATA_GOC!$B:$B,"&lt;="&amp;$E1921))</f>
        <v/>
      </c>
      <c r="J1921" s="59">
        <f t="shared" si="28"/>
        <v>0</v>
      </c>
      <c r="K1921" s="59">
        <f t="shared" si="29"/>
        <v>0</v>
      </c>
      <c r="L1921" s="59">
        <f t="shared" si="30"/>
        <v>0</v>
      </c>
      <c r="M1921" s="59">
        <f t="shared" si="31"/>
        <v>0</v>
      </c>
    </row>
    <row r="1922" ht="15.0" hidden="1" customHeight="1">
      <c r="A1922" s="59">
        <f t="shared" si="20"/>
        <v>29</v>
      </c>
      <c r="B1922" s="59" t="str">
        <f t="shared" si="21"/>
        <v/>
      </c>
      <c r="C1922" s="59" t="str">
        <f t="shared" si="22"/>
        <v/>
      </c>
      <c r="D1922" s="45" t="str">
        <f t="shared" si="23"/>
        <v/>
      </c>
      <c r="E1922" s="45" t="str">
        <f t="shared" si="24"/>
        <v/>
      </c>
      <c r="F1922" s="59" t="str">
        <f t="shared" si="25"/>
        <v/>
      </c>
      <c r="G1922" s="59" t="str">
        <f t="shared" si="26"/>
        <v/>
      </c>
      <c r="H1922" s="59" t="str">
        <f t="shared" si="27"/>
        <v>28C01743</v>
      </c>
      <c r="I1922" s="59" t="str">
        <f>IF(OR($A1922="",$C1922="",$D1922="",$E1922="",$H1922=""),"",SUMIFS(DATA_GOC!$H:$H,DATA_GOC!$A:$A,"BOM",DATA_GOC!$D:$D,$H1922,DATA_GOC!$E:$E,$C1922,DATA_GOC!$F:$F,"Xuất nội bộ từ téc",DATA_GOC!$B:$B,"&gt;="&amp;$D1922,DATA_GOC!$B:$B,"&lt;="&amp;$E1922))</f>
        <v/>
      </c>
      <c r="J1922" s="59">
        <f t="shared" si="28"/>
        <v>0</v>
      </c>
      <c r="K1922" s="59">
        <f t="shared" si="29"/>
        <v>0</v>
      </c>
      <c r="L1922" s="59">
        <f t="shared" si="30"/>
        <v>0</v>
      </c>
      <c r="M1922" s="59">
        <f t="shared" si="31"/>
        <v>0</v>
      </c>
    </row>
    <row r="1923" ht="15.0" hidden="1" customHeight="1">
      <c r="A1923" s="59">
        <f t="shared" si="20"/>
        <v>29</v>
      </c>
      <c r="B1923" s="59" t="str">
        <f t="shared" si="21"/>
        <v/>
      </c>
      <c r="C1923" s="59" t="str">
        <f t="shared" si="22"/>
        <v/>
      </c>
      <c r="D1923" s="45" t="str">
        <f t="shared" si="23"/>
        <v/>
      </c>
      <c r="E1923" s="45" t="str">
        <f t="shared" si="24"/>
        <v/>
      </c>
      <c r="F1923" s="59" t="str">
        <f t="shared" si="25"/>
        <v/>
      </c>
      <c r="G1923" s="59" t="str">
        <f t="shared" si="26"/>
        <v/>
      </c>
      <c r="H1923" s="59" t="str">
        <f t="shared" si="27"/>
        <v>28C02106</v>
      </c>
      <c r="I1923" s="59" t="str">
        <f>IF(OR($A1923="",$C1923="",$D1923="",$E1923="",$H1923=""),"",SUMIFS(DATA_GOC!$H:$H,DATA_GOC!$A:$A,"BOM",DATA_GOC!$D:$D,$H1923,DATA_GOC!$E:$E,$C1923,DATA_GOC!$F:$F,"Xuất nội bộ từ téc",DATA_GOC!$B:$B,"&gt;="&amp;$D1923,DATA_GOC!$B:$B,"&lt;="&amp;$E1923))</f>
        <v/>
      </c>
      <c r="J1923" s="59">
        <f t="shared" si="28"/>
        <v>0</v>
      </c>
      <c r="K1923" s="59">
        <f t="shared" si="29"/>
        <v>0</v>
      </c>
      <c r="L1923" s="59">
        <f t="shared" si="30"/>
        <v>0</v>
      </c>
      <c r="M1923" s="59">
        <f t="shared" si="31"/>
        <v>0</v>
      </c>
    </row>
    <row r="1924" ht="15.0" hidden="1" customHeight="1">
      <c r="A1924" s="59">
        <f t="shared" si="20"/>
        <v>29</v>
      </c>
      <c r="B1924" s="59" t="str">
        <f t="shared" si="21"/>
        <v/>
      </c>
      <c r="C1924" s="59" t="str">
        <f t="shared" si="22"/>
        <v/>
      </c>
      <c r="D1924" s="45" t="str">
        <f t="shared" si="23"/>
        <v/>
      </c>
      <c r="E1924" s="45" t="str">
        <f t="shared" si="24"/>
        <v/>
      </c>
      <c r="F1924" s="59" t="str">
        <f t="shared" si="25"/>
        <v/>
      </c>
      <c r="G1924" s="59" t="str">
        <f t="shared" si="26"/>
        <v/>
      </c>
      <c r="H1924" s="59" t="str">
        <f t="shared" si="27"/>
        <v>28C02410</v>
      </c>
      <c r="I1924" s="59" t="str">
        <f>IF(OR($A1924="",$C1924="",$D1924="",$E1924="",$H1924=""),"",SUMIFS(DATA_GOC!$H:$H,DATA_GOC!$A:$A,"BOM",DATA_GOC!$D:$D,$H1924,DATA_GOC!$E:$E,$C1924,DATA_GOC!$F:$F,"Xuất nội bộ từ téc",DATA_GOC!$B:$B,"&gt;="&amp;$D1924,DATA_GOC!$B:$B,"&lt;="&amp;$E1924))</f>
        <v/>
      </c>
      <c r="J1924" s="59">
        <f t="shared" si="28"/>
        <v>0</v>
      </c>
      <c r="K1924" s="59">
        <f t="shared" si="29"/>
        <v>0</v>
      </c>
      <c r="L1924" s="59">
        <f t="shared" si="30"/>
        <v>0</v>
      </c>
      <c r="M1924" s="59">
        <f t="shared" si="31"/>
        <v>0</v>
      </c>
    </row>
    <row r="1925" ht="15.0" hidden="1" customHeight="1">
      <c r="A1925" s="59">
        <f t="shared" si="20"/>
        <v>29</v>
      </c>
      <c r="B1925" s="59" t="str">
        <f t="shared" si="21"/>
        <v/>
      </c>
      <c r="C1925" s="59" t="str">
        <f t="shared" si="22"/>
        <v/>
      </c>
      <c r="D1925" s="45" t="str">
        <f t="shared" si="23"/>
        <v/>
      </c>
      <c r="E1925" s="45" t="str">
        <f t="shared" si="24"/>
        <v/>
      </c>
      <c r="F1925" s="59" t="str">
        <f t="shared" si="25"/>
        <v/>
      </c>
      <c r="G1925" s="59" t="str">
        <f t="shared" si="26"/>
        <v/>
      </c>
      <c r="H1925" s="59" t="str">
        <f t="shared" si="27"/>
        <v>28C02545</v>
      </c>
      <c r="I1925" s="59" t="str">
        <f>IF(OR($A1925="",$C1925="",$D1925="",$E1925="",$H1925=""),"",SUMIFS(DATA_GOC!$H:$H,DATA_GOC!$A:$A,"BOM",DATA_GOC!$D:$D,$H1925,DATA_GOC!$E:$E,$C1925,DATA_GOC!$F:$F,"Xuất nội bộ từ téc",DATA_GOC!$B:$B,"&gt;="&amp;$D1925,DATA_GOC!$B:$B,"&lt;="&amp;$E1925))</f>
        <v/>
      </c>
      <c r="J1925" s="59">
        <f t="shared" si="28"/>
        <v>0</v>
      </c>
      <c r="K1925" s="59">
        <f t="shared" si="29"/>
        <v>0</v>
      </c>
      <c r="L1925" s="59">
        <f t="shared" si="30"/>
        <v>0</v>
      </c>
      <c r="M1925" s="59">
        <f t="shared" si="31"/>
        <v>0</v>
      </c>
    </row>
    <row r="1926" ht="15.0" hidden="1" customHeight="1">
      <c r="A1926" s="59">
        <f t="shared" si="20"/>
        <v>29</v>
      </c>
      <c r="B1926" s="59" t="str">
        <f t="shared" si="21"/>
        <v/>
      </c>
      <c r="C1926" s="59" t="str">
        <f t="shared" si="22"/>
        <v/>
      </c>
      <c r="D1926" s="45" t="str">
        <f t="shared" si="23"/>
        <v/>
      </c>
      <c r="E1926" s="45" t="str">
        <f t="shared" si="24"/>
        <v/>
      </c>
      <c r="F1926" s="59" t="str">
        <f t="shared" si="25"/>
        <v/>
      </c>
      <c r="G1926" s="59" t="str">
        <f t="shared" si="26"/>
        <v/>
      </c>
      <c r="H1926" s="59" t="str">
        <f t="shared" si="27"/>
        <v>28C02574</v>
      </c>
      <c r="I1926" s="59" t="str">
        <f>IF(OR($A1926="",$C1926="",$D1926="",$E1926="",$H1926=""),"",SUMIFS(DATA_GOC!$H:$H,DATA_GOC!$A:$A,"BOM",DATA_GOC!$D:$D,$H1926,DATA_GOC!$E:$E,$C1926,DATA_GOC!$F:$F,"Xuất nội bộ từ téc",DATA_GOC!$B:$B,"&gt;="&amp;$D1926,DATA_GOC!$B:$B,"&lt;="&amp;$E1926))</f>
        <v/>
      </c>
      <c r="J1926" s="59">
        <f t="shared" si="28"/>
        <v>0</v>
      </c>
      <c r="K1926" s="59">
        <f t="shared" si="29"/>
        <v>0</v>
      </c>
      <c r="L1926" s="59">
        <f t="shared" si="30"/>
        <v>0</v>
      </c>
      <c r="M1926" s="59">
        <f t="shared" si="31"/>
        <v>0</v>
      </c>
    </row>
    <row r="1927" ht="15.0" hidden="1" customHeight="1">
      <c r="A1927" s="59">
        <f t="shared" si="20"/>
        <v>29</v>
      </c>
      <c r="B1927" s="59" t="str">
        <f t="shared" si="21"/>
        <v/>
      </c>
      <c r="C1927" s="59" t="str">
        <f t="shared" si="22"/>
        <v/>
      </c>
      <c r="D1927" s="45" t="str">
        <f t="shared" si="23"/>
        <v/>
      </c>
      <c r="E1927" s="45" t="str">
        <f t="shared" si="24"/>
        <v/>
      </c>
      <c r="F1927" s="59" t="str">
        <f t="shared" si="25"/>
        <v/>
      </c>
      <c r="G1927" s="59" t="str">
        <f t="shared" si="26"/>
        <v/>
      </c>
      <c r="H1927" s="59" t="str">
        <f t="shared" si="27"/>
        <v>28C02770</v>
      </c>
      <c r="I1927" s="59" t="str">
        <f>IF(OR($A1927="",$C1927="",$D1927="",$E1927="",$H1927=""),"",SUMIFS(DATA_GOC!$H:$H,DATA_GOC!$A:$A,"BOM",DATA_GOC!$D:$D,$H1927,DATA_GOC!$E:$E,$C1927,DATA_GOC!$F:$F,"Xuất nội bộ từ téc",DATA_GOC!$B:$B,"&gt;="&amp;$D1927,DATA_GOC!$B:$B,"&lt;="&amp;$E1927))</f>
        <v/>
      </c>
      <c r="J1927" s="59">
        <f t="shared" si="28"/>
        <v>0</v>
      </c>
      <c r="K1927" s="59">
        <f t="shared" si="29"/>
        <v>0</v>
      </c>
      <c r="L1927" s="59">
        <f t="shared" si="30"/>
        <v>0</v>
      </c>
      <c r="M1927" s="59">
        <f t="shared" si="31"/>
        <v>0</v>
      </c>
    </row>
    <row r="1928" ht="15.0" hidden="1" customHeight="1">
      <c r="A1928" s="59">
        <f t="shared" si="20"/>
        <v>29</v>
      </c>
      <c r="B1928" s="59" t="str">
        <f t="shared" si="21"/>
        <v/>
      </c>
      <c r="C1928" s="59" t="str">
        <f t="shared" si="22"/>
        <v/>
      </c>
      <c r="D1928" s="45" t="str">
        <f t="shared" si="23"/>
        <v/>
      </c>
      <c r="E1928" s="45" t="str">
        <f t="shared" si="24"/>
        <v/>
      </c>
      <c r="F1928" s="59" t="str">
        <f t="shared" si="25"/>
        <v/>
      </c>
      <c r="G1928" s="59" t="str">
        <f t="shared" si="26"/>
        <v/>
      </c>
      <c r="H1928" s="59" t="str">
        <f t="shared" si="27"/>
        <v>28C02986</v>
      </c>
      <c r="I1928" s="59" t="str">
        <f>IF(OR($A1928="",$C1928="",$D1928="",$E1928="",$H1928=""),"",SUMIFS(DATA_GOC!$H:$H,DATA_GOC!$A:$A,"BOM",DATA_GOC!$D:$D,$H1928,DATA_GOC!$E:$E,$C1928,DATA_GOC!$F:$F,"Xuất nội bộ từ téc",DATA_GOC!$B:$B,"&gt;="&amp;$D1928,DATA_GOC!$B:$B,"&lt;="&amp;$E1928))</f>
        <v/>
      </c>
      <c r="J1928" s="59">
        <f t="shared" si="28"/>
        <v>0</v>
      </c>
      <c r="K1928" s="59">
        <f t="shared" si="29"/>
        <v>0</v>
      </c>
      <c r="L1928" s="59">
        <f t="shared" si="30"/>
        <v>0</v>
      </c>
      <c r="M1928" s="59">
        <f t="shared" si="31"/>
        <v>0</v>
      </c>
    </row>
    <row r="1929" ht="15.0" hidden="1" customHeight="1">
      <c r="A1929" s="59">
        <f t="shared" si="20"/>
        <v>29</v>
      </c>
      <c r="B1929" s="59" t="str">
        <f t="shared" si="21"/>
        <v/>
      </c>
      <c r="C1929" s="59" t="str">
        <f t="shared" si="22"/>
        <v/>
      </c>
      <c r="D1929" s="45" t="str">
        <f t="shared" si="23"/>
        <v/>
      </c>
      <c r="E1929" s="45" t="str">
        <f t="shared" si="24"/>
        <v/>
      </c>
      <c r="F1929" s="59" t="str">
        <f t="shared" si="25"/>
        <v/>
      </c>
      <c r="G1929" s="59" t="str">
        <f t="shared" si="26"/>
        <v/>
      </c>
      <c r="H1929" s="59" t="str">
        <f t="shared" si="27"/>
        <v>28C03261</v>
      </c>
      <c r="I1929" s="59" t="str">
        <f>IF(OR($A1929="",$C1929="",$D1929="",$E1929="",$H1929=""),"",SUMIFS(DATA_GOC!$H:$H,DATA_GOC!$A:$A,"BOM",DATA_GOC!$D:$D,$H1929,DATA_GOC!$E:$E,$C1929,DATA_GOC!$F:$F,"Xuất nội bộ từ téc",DATA_GOC!$B:$B,"&gt;="&amp;$D1929,DATA_GOC!$B:$B,"&lt;="&amp;$E1929))</f>
        <v/>
      </c>
      <c r="J1929" s="59">
        <f t="shared" si="28"/>
        <v>0</v>
      </c>
      <c r="K1929" s="59">
        <f t="shared" si="29"/>
        <v>0</v>
      </c>
      <c r="L1929" s="59">
        <f t="shared" si="30"/>
        <v>0</v>
      </c>
      <c r="M1929" s="59">
        <f t="shared" si="31"/>
        <v>0</v>
      </c>
    </row>
    <row r="1930" ht="15.0" hidden="1" customHeight="1">
      <c r="A1930" s="59">
        <f t="shared" si="20"/>
        <v>29</v>
      </c>
      <c r="B1930" s="59" t="str">
        <f t="shared" si="21"/>
        <v/>
      </c>
      <c r="C1930" s="59" t="str">
        <f t="shared" si="22"/>
        <v/>
      </c>
      <c r="D1930" s="45" t="str">
        <f t="shared" si="23"/>
        <v/>
      </c>
      <c r="E1930" s="45" t="str">
        <f t="shared" si="24"/>
        <v/>
      </c>
      <c r="F1930" s="59" t="str">
        <f t="shared" si="25"/>
        <v/>
      </c>
      <c r="G1930" s="59" t="str">
        <f t="shared" si="26"/>
        <v/>
      </c>
      <c r="H1930" s="59" t="str">
        <f t="shared" si="27"/>
        <v>28C03323</v>
      </c>
      <c r="I1930" s="59" t="str">
        <f>IF(OR($A1930="",$C1930="",$D1930="",$E1930="",$H1930=""),"",SUMIFS(DATA_GOC!$H:$H,DATA_GOC!$A:$A,"BOM",DATA_GOC!$D:$D,$H1930,DATA_GOC!$E:$E,$C1930,DATA_GOC!$F:$F,"Xuất nội bộ từ téc",DATA_GOC!$B:$B,"&gt;="&amp;$D1930,DATA_GOC!$B:$B,"&lt;="&amp;$E1930))</f>
        <v/>
      </c>
      <c r="J1930" s="59">
        <f t="shared" si="28"/>
        <v>0</v>
      </c>
      <c r="K1930" s="59">
        <f t="shared" si="29"/>
        <v>0</v>
      </c>
      <c r="L1930" s="59">
        <f t="shared" si="30"/>
        <v>0</v>
      </c>
      <c r="M1930" s="59">
        <f t="shared" si="31"/>
        <v>0</v>
      </c>
    </row>
    <row r="1931" ht="15.0" hidden="1" customHeight="1">
      <c r="A1931" s="59">
        <f t="shared" si="20"/>
        <v>29</v>
      </c>
      <c r="B1931" s="59" t="str">
        <f t="shared" si="21"/>
        <v/>
      </c>
      <c r="C1931" s="59" t="str">
        <f t="shared" si="22"/>
        <v/>
      </c>
      <c r="D1931" s="45" t="str">
        <f t="shared" si="23"/>
        <v/>
      </c>
      <c r="E1931" s="45" t="str">
        <f t="shared" si="24"/>
        <v/>
      </c>
      <c r="F1931" s="59" t="str">
        <f t="shared" si="25"/>
        <v/>
      </c>
      <c r="G1931" s="59" t="str">
        <f t="shared" si="26"/>
        <v/>
      </c>
      <c r="H1931" s="59" t="str">
        <f t="shared" si="27"/>
        <v>28C03385</v>
      </c>
      <c r="I1931" s="59" t="str">
        <f>IF(OR($A1931="",$C1931="",$D1931="",$E1931="",$H1931=""),"",SUMIFS(DATA_GOC!$H:$H,DATA_GOC!$A:$A,"BOM",DATA_GOC!$D:$D,$H1931,DATA_GOC!$E:$E,$C1931,DATA_GOC!$F:$F,"Xuất nội bộ từ téc",DATA_GOC!$B:$B,"&gt;="&amp;$D1931,DATA_GOC!$B:$B,"&lt;="&amp;$E1931))</f>
        <v/>
      </c>
      <c r="J1931" s="59">
        <f t="shared" si="28"/>
        <v>0</v>
      </c>
      <c r="K1931" s="59">
        <f t="shared" si="29"/>
        <v>0</v>
      </c>
      <c r="L1931" s="59">
        <f t="shared" si="30"/>
        <v>0</v>
      </c>
      <c r="M1931" s="59">
        <f t="shared" si="31"/>
        <v>0</v>
      </c>
    </row>
    <row r="1932" ht="15.0" hidden="1" customHeight="1">
      <c r="A1932" s="59">
        <f t="shared" si="20"/>
        <v>29</v>
      </c>
      <c r="B1932" s="59" t="str">
        <f t="shared" si="21"/>
        <v/>
      </c>
      <c r="C1932" s="59" t="str">
        <f t="shared" si="22"/>
        <v/>
      </c>
      <c r="D1932" s="45" t="str">
        <f t="shared" si="23"/>
        <v/>
      </c>
      <c r="E1932" s="45" t="str">
        <f t="shared" si="24"/>
        <v/>
      </c>
      <c r="F1932" s="59" t="str">
        <f t="shared" si="25"/>
        <v/>
      </c>
      <c r="G1932" s="59" t="str">
        <f t="shared" si="26"/>
        <v/>
      </c>
      <c r="H1932" s="59" t="str">
        <f t="shared" si="27"/>
        <v>28C03652</v>
      </c>
      <c r="I1932" s="59" t="str">
        <f>IF(OR($A1932="",$C1932="",$D1932="",$E1932="",$H1932=""),"",SUMIFS(DATA_GOC!$H:$H,DATA_GOC!$A:$A,"BOM",DATA_GOC!$D:$D,$H1932,DATA_GOC!$E:$E,$C1932,DATA_GOC!$F:$F,"Xuất nội bộ từ téc",DATA_GOC!$B:$B,"&gt;="&amp;$D1932,DATA_GOC!$B:$B,"&lt;="&amp;$E1932))</f>
        <v/>
      </c>
      <c r="J1932" s="59">
        <f t="shared" si="28"/>
        <v>0</v>
      </c>
      <c r="K1932" s="59">
        <f t="shared" si="29"/>
        <v>0</v>
      </c>
      <c r="L1932" s="59">
        <f t="shared" si="30"/>
        <v>0</v>
      </c>
      <c r="M1932" s="59">
        <f t="shared" si="31"/>
        <v>0</v>
      </c>
    </row>
    <row r="1933" ht="15.0" hidden="1" customHeight="1">
      <c r="A1933" s="59">
        <f t="shared" si="20"/>
        <v>29</v>
      </c>
      <c r="B1933" s="59" t="str">
        <f t="shared" si="21"/>
        <v/>
      </c>
      <c r="C1933" s="59" t="str">
        <f t="shared" si="22"/>
        <v/>
      </c>
      <c r="D1933" s="45" t="str">
        <f t="shared" si="23"/>
        <v/>
      </c>
      <c r="E1933" s="45" t="str">
        <f t="shared" si="24"/>
        <v/>
      </c>
      <c r="F1933" s="59" t="str">
        <f t="shared" si="25"/>
        <v/>
      </c>
      <c r="G1933" s="59" t="str">
        <f t="shared" si="26"/>
        <v/>
      </c>
      <c r="H1933" s="59" t="str">
        <f t="shared" si="27"/>
        <v>28C03695</v>
      </c>
      <c r="I1933" s="59" t="str">
        <f>IF(OR($A1933="",$C1933="",$D1933="",$E1933="",$H1933=""),"",SUMIFS(DATA_GOC!$H:$H,DATA_GOC!$A:$A,"BOM",DATA_GOC!$D:$D,$H1933,DATA_GOC!$E:$E,$C1933,DATA_GOC!$F:$F,"Xuất nội bộ từ téc",DATA_GOC!$B:$B,"&gt;="&amp;$D1933,DATA_GOC!$B:$B,"&lt;="&amp;$E1933))</f>
        <v/>
      </c>
      <c r="J1933" s="59">
        <f t="shared" si="28"/>
        <v>0</v>
      </c>
      <c r="K1933" s="59">
        <f t="shared" si="29"/>
        <v>0</v>
      </c>
      <c r="L1933" s="59">
        <f t="shared" si="30"/>
        <v>0</v>
      </c>
      <c r="M1933" s="59">
        <f t="shared" si="31"/>
        <v>0</v>
      </c>
    </row>
    <row r="1934" ht="15.0" hidden="1" customHeight="1">
      <c r="A1934" s="59">
        <f t="shared" si="20"/>
        <v>29</v>
      </c>
      <c r="B1934" s="59" t="str">
        <f t="shared" si="21"/>
        <v/>
      </c>
      <c r="C1934" s="59" t="str">
        <f t="shared" si="22"/>
        <v/>
      </c>
      <c r="D1934" s="45" t="str">
        <f t="shared" si="23"/>
        <v/>
      </c>
      <c r="E1934" s="45" t="str">
        <f t="shared" si="24"/>
        <v/>
      </c>
      <c r="F1934" s="59" t="str">
        <f t="shared" si="25"/>
        <v/>
      </c>
      <c r="G1934" s="59" t="str">
        <f t="shared" si="26"/>
        <v/>
      </c>
      <c r="H1934" s="59" t="str">
        <f t="shared" si="27"/>
        <v>28C03927</v>
      </c>
      <c r="I1934" s="59" t="str">
        <f>IF(OR($A1934="",$C1934="",$D1934="",$E1934="",$H1934=""),"",SUMIFS(DATA_GOC!$H:$H,DATA_GOC!$A:$A,"BOM",DATA_GOC!$D:$D,$H1934,DATA_GOC!$E:$E,$C1934,DATA_GOC!$F:$F,"Xuất nội bộ từ téc",DATA_GOC!$B:$B,"&gt;="&amp;$D1934,DATA_GOC!$B:$B,"&lt;="&amp;$E1934))</f>
        <v/>
      </c>
      <c r="J1934" s="59">
        <f t="shared" si="28"/>
        <v>0</v>
      </c>
      <c r="K1934" s="59">
        <f t="shared" si="29"/>
        <v>0</v>
      </c>
      <c r="L1934" s="59">
        <f t="shared" si="30"/>
        <v>0</v>
      </c>
      <c r="M1934" s="59">
        <f t="shared" si="31"/>
        <v>0</v>
      </c>
    </row>
    <row r="1935" ht="15.0" hidden="1" customHeight="1">
      <c r="A1935" s="59">
        <f t="shared" si="20"/>
        <v>29</v>
      </c>
      <c r="B1935" s="59" t="str">
        <f t="shared" si="21"/>
        <v/>
      </c>
      <c r="C1935" s="59" t="str">
        <f t="shared" si="22"/>
        <v/>
      </c>
      <c r="D1935" s="45" t="str">
        <f t="shared" si="23"/>
        <v/>
      </c>
      <c r="E1935" s="45" t="str">
        <f t="shared" si="24"/>
        <v/>
      </c>
      <c r="F1935" s="59" t="str">
        <f t="shared" si="25"/>
        <v/>
      </c>
      <c r="G1935" s="59" t="str">
        <f t="shared" si="26"/>
        <v/>
      </c>
      <c r="H1935" s="59" t="str">
        <f t="shared" si="27"/>
        <v>28C04509</v>
      </c>
      <c r="I1935" s="59" t="str">
        <f>IF(OR($A1935="",$C1935="",$D1935="",$E1935="",$H1935=""),"",SUMIFS(DATA_GOC!$H:$H,DATA_GOC!$A:$A,"BOM",DATA_GOC!$D:$D,$H1935,DATA_GOC!$E:$E,$C1935,DATA_GOC!$F:$F,"Xuất nội bộ từ téc",DATA_GOC!$B:$B,"&gt;="&amp;$D1935,DATA_GOC!$B:$B,"&lt;="&amp;$E1935))</f>
        <v/>
      </c>
      <c r="J1935" s="59">
        <f t="shared" si="28"/>
        <v>0</v>
      </c>
      <c r="K1935" s="59">
        <f t="shared" si="29"/>
        <v>0</v>
      </c>
      <c r="L1935" s="59">
        <f t="shared" si="30"/>
        <v>0</v>
      </c>
      <c r="M1935" s="59">
        <f t="shared" si="31"/>
        <v>0</v>
      </c>
    </row>
    <row r="1936" ht="15.0" hidden="1" customHeight="1">
      <c r="A1936" s="59">
        <f t="shared" si="20"/>
        <v>29</v>
      </c>
      <c r="B1936" s="59" t="str">
        <f t="shared" si="21"/>
        <v/>
      </c>
      <c r="C1936" s="59" t="str">
        <f t="shared" si="22"/>
        <v/>
      </c>
      <c r="D1936" s="45" t="str">
        <f t="shared" si="23"/>
        <v/>
      </c>
      <c r="E1936" s="45" t="str">
        <f t="shared" si="24"/>
        <v/>
      </c>
      <c r="F1936" s="59" t="str">
        <f t="shared" si="25"/>
        <v/>
      </c>
      <c r="G1936" s="59" t="str">
        <f t="shared" si="26"/>
        <v/>
      </c>
      <c r="H1936" s="59" t="str">
        <f t="shared" si="27"/>
        <v>28C04536</v>
      </c>
      <c r="I1936" s="59" t="str">
        <f>IF(OR($A1936="",$C1936="",$D1936="",$E1936="",$H1936=""),"",SUMIFS(DATA_GOC!$H:$H,DATA_GOC!$A:$A,"BOM",DATA_GOC!$D:$D,$H1936,DATA_GOC!$E:$E,$C1936,DATA_GOC!$F:$F,"Xuất nội bộ từ téc",DATA_GOC!$B:$B,"&gt;="&amp;$D1936,DATA_GOC!$B:$B,"&lt;="&amp;$E1936))</f>
        <v/>
      </c>
      <c r="J1936" s="59">
        <f t="shared" si="28"/>
        <v>0</v>
      </c>
      <c r="K1936" s="59">
        <f t="shared" si="29"/>
        <v>0</v>
      </c>
      <c r="L1936" s="59">
        <f t="shared" si="30"/>
        <v>0</v>
      </c>
      <c r="M1936" s="59">
        <f t="shared" si="31"/>
        <v>0</v>
      </c>
    </row>
    <row r="1937" ht="15.0" hidden="1" customHeight="1">
      <c r="A1937" s="59">
        <f t="shared" si="20"/>
        <v>29</v>
      </c>
      <c r="B1937" s="59" t="str">
        <f t="shared" si="21"/>
        <v/>
      </c>
      <c r="C1937" s="59" t="str">
        <f t="shared" si="22"/>
        <v/>
      </c>
      <c r="D1937" s="45" t="str">
        <f t="shared" si="23"/>
        <v/>
      </c>
      <c r="E1937" s="45" t="str">
        <f t="shared" si="24"/>
        <v/>
      </c>
      <c r="F1937" s="59" t="str">
        <f t="shared" si="25"/>
        <v/>
      </c>
      <c r="G1937" s="59" t="str">
        <f t="shared" si="26"/>
        <v/>
      </c>
      <c r="H1937" s="59" t="str">
        <f t="shared" si="27"/>
        <v>28C04576</v>
      </c>
      <c r="I1937" s="59" t="str">
        <f>IF(OR($A1937="",$C1937="",$D1937="",$E1937="",$H1937=""),"",SUMIFS(DATA_GOC!$H:$H,DATA_GOC!$A:$A,"BOM",DATA_GOC!$D:$D,$H1937,DATA_GOC!$E:$E,$C1937,DATA_GOC!$F:$F,"Xuất nội bộ từ téc",DATA_GOC!$B:$B,"&gt;="&amp;$D1937,DATA_GOC!$B:$B,"&lt;="&amp;$E1937))</f>
        <v/>
      </c>
      <c r="J1937" s="59">
        <f t="shared" si="28"/>
        <v>0</v>
      </c>
      <c r="K1937" s="59">
        <f t="shared" si="29"/>
        <v>0</v>
      </c>
      <c r="L1937" s="59">
        <f t="shared" si="30"/>
        <v>0</v>
      </c>
      <c r="M1937" s="59">
        <f t="shared" si="31"/>
        <v>0</v>
      </c>
    </row>
    <row r="1938" ht="15.0" hidden="1" customHeight="1">
      <c r="A1938" s="59">
        <f t="shared" si="20"/>
        <v>29</v>
      </c>
      <c r="B1938" s="59" t="str">
        <f t="shared" si="21"/>
        <v/>
      </c>
      <c r="C1938" s="59" t="str">
        <f t="shared" si="22"/>
        <v/>
      </c>
      <c r="D1938" s="45" t="str">
        <f t="shared" si="23"/>
        <v/>
      </c>
      <c r="E1938" s="45" t="str">
        <f t="shared" si="24"/>
        <v/>
      </c>
      <c r="F1938" s="59" t="str">
        <f t="shared" si="25"/>
        <v/>
      </c>
      <c r="G1938" s="59" t="str">
        <f t="shared" si="26"/>
        <v/>
      </c>
      <c r="H1938" s="59" t="str">
        <f t="shared" si="27"/>
        <v>28C05090</v>
      </c>
      <c r="I1938" s="59" t="str">
        <f>IF(OR($A1938="",$C1938="",$D1938="",$E1938="",$H1938=""),"",SUMIFS(DATA_GOC!$H:$H,DATA_GOC!$A:$A,"BOM",DATA_GOC!$D:$D,$H1938,DATA_GOC!$E:$E,$C1938,DATA_GOC!$F:$F,"Xuất nội bộ từ téc",DATA_GOC!$B:$B,"&gt;="&amp;$D1938,DATA_GOC!$B:$B,"&lt;="&amp;$E1938))</f>
        <v/>
      </c>
      <c r="J1938" s="59">
        <f t="shared" si="28"/>
        <v>0</v>
      </c>
      <c r="K1938" s="59">
        <f t="shared" si="29"/>
        <v>0</v>
      </c>
      <c r="L1938" s="59">
        <f t="shared" si="30"/>
        <v>0</v>
      </c>
      <c r="M1938" s="59">
        <f t="shared" si="31"/>
        <v>0</v>
      </c>
    </row>
    <row r="1939" ht="15.0" hidden="1" customHeight="1">
      <c r="A1939" s="59">
        <f t="shared" si="20"/>
        <v>29</v>
      </c>
      <c r="B1939" s="59" t="str">
        <f t="shared" si="21"/>
        <v/>
      </c>
      <c r="C1939" s="59" t="str">
        <f t="shared" si="22"/>
        <v/>
      </c>
      <c r="D1939" s="45" t="str">
        <f t="shared" si="23"/>
        <v/>
      </c>
      <c r="E1939" s="45" t="str">
        <f t="shared" si="24"/>
        <v/>
      </c>
      <c r="F1939" s="59" t="str">
        <f t="shared" si="25"/>
        <v/>
      </c>
      <c r="G1939" s="59" t="str">
        <f t="shared" si="26"/>
        <v/>
      </c>
      <c r="H1939" s="59" t="str">
        <f t="shared" si="27"/>
        <v>28C05345</v>
      </c>
      <c r="I1939" s="59" t="str">
        <f>IF(OR($A1939="",$C1939="",$D1939="",$E1939="",$H1939=""),"",SUMIFS(DATA_GOC!$H:$H,DATA_GOC!$A:$A,"BOM",DATA_GOC!$D:$D,$H1939,DATA_GOC!$E:$E,$C1939,DATA_GOC!$F:$F,"Xuất nội bộ từ téc",DATA_GOC!$B:$B,"&gt;="&amp;$D1939,DATA_GOC!$B:$B,"&lt;="&amp;$E1939))</f>
        <v/>
      </c>
      <c r="J1939" s="59">
        <f t="shared" si="28"/>
        <v>0</v>
      </c>
      <c r="K1939" s="59">
        <f t="shared" si="29"/>
        <v>0</v>
      </c>
      <c r="L1939" s="59">
        <f t="shared" si="30"/>
        <v>0</v>
      </c>
      <c r="M1939" s="59">
        <f t="shared" si="31"/>
        <v>0</v>
      </c>
    </row>
    <row r="1940" ht="15.0" hidden="1" customHeight="1">
      <c r="A1940" s="59">
        <f t="shared" si="20"/>
        <v>29</v>
      </c>
      <c r="B1940" s="59" t="str">
        <f t="shared" si="21"/>
        <v/>
      </c>
      <c r="C1940" s="59" t="str">
        <f t="shared" si="22"/>
        <v/>
      </c>
      <c r="D1940" s="45" t="str">
        <f t="shared" si="23"/>
        <v/>
      </c>
      <c r="E1940" s="45" t="str">
        <f t="shared" si="24"/>
        <v/>
      </c>
      <c r="F1940" s="59" t="str">
        <f t="shared" si="25"/>
        <v/>
      </c>
      <c r="G1940" s="59" t="str">
        <f t="shared" si="26"/>
        <v/>
      </c>
      <c r="H1940" s="59" t="str">
        <f t="shared" si="27"/>
        <v>28C05661</v>
      </c>
      <c r="I1940" s="59" t="str">
        <f>IF(OR($A1940="",$C1940="",$D1940="",$E1940="",$H1940=""),"",SUMIFS(DATA_GOC!$H:$H,DATA_GOC!$A:$A,"BOM",DATA_GOC!$D:$D,$H1940,DATA_GOC!$E:$E,$C1940,DATA_GOC!$F:$F,"Xuất nội bộ từ téc",DATA_GOC!$B:$B,"&gt;="&amp;$D1940,DATA_GOC!$B:$B,"&lt;="&amp;$E1940))</f>
        <v/>
      </c>
      <c r="J1940" s="59">
        <f t="shared" si="28"/>
        <v>0</v>
      </c>
      <c r="K1940" s="59">
        <f t="shared" si="29"/>
        <v>0</v>
      </c>
      <c r="L1940" s="59">
        <f t="shared" si="30"/>
        <v>0</v>
      </c>
      <c r="M1940" s="59">
        <f t="shared" si="31"/>
        <v>0</v>
      </c>
    </row>
    <row r="1941" ht="15.0" hidden="1" customHeight="1">
      <c r="A1941" s="59">
        <f t="shared" si="20"/>
        <v>29</v>
      </c>
      <c r="B1941" s="59" t="str">
        <f t="shared" si="21"/>
        <v/>
      </c>
      <c r="C1941" s="59" t="str">
        <f t="shared" si="22"/>
        <v/>
      </c>
      <c r="D1941" s="45" t="str">
        <f t="shared" si="23"/>
        <v/>
      </c>
      <c r="E1941" s="45" t="str">
        <f t="shared" si="24"/>
        <v/>
      </c>
      <c r="F1941" s="59" t="str">
        <f t="shared" si="25"/>
        <v/>
      </c>
      <c r="G1941" s="59" t="str">
        <f t="shared" si="26"/>
        <v/>
      </c>
      <c r="H1941" s="59" t="str">
        <f t="shared" si="27"/>
        <v>28C05739</v>
      </c>
      <c r="I1941" s="59" t="str">
        <f>IF(OR($A1941="",$C1941="",$D1941="",$E1941="",$H1941=""),"",SUMIFS(DATA_GOC!$H:$H,DATA_GOC!$A:$A,"BOM",DATA_GOC!$D:$D,$H1941,DATA_GOC!$E:$E,$C1941,DATA_GOC!$F:$F,"Xuất nội bộ từ téc",DATA_GOC!$B:$B,"&gt;="&amp;$D1941,DATA_GOC!$B:$B,"&lt;="&amp;$E1941))</f>
        <v/>
      </c>
      <c r="J1941" s="59">
        <f t="shared" si="28"/>
        <v>0</v>
      </c>
      <c r="K1941" s="59">
        <f t="shared" si="29"/>
        <v>0</v>
      </c>
      <c r="L1941" s="59">
        <f t="shared" si="30"/>
        <v>0</v>
      </c>
      <c r="M1941" s="59">
        <f t="shared" si="31"/>
        <v>0</v>
      </c>
    </row>
    <row r="1942" ht="15.0" hidden="1" customHeight="1">
      <c r="A1942" s="59">
        <f t="shared" si="20"/>
        <v>29</v>
      </c>
      <c r="B1942" s="59" t="str">
        <f t="shared" si="21"/>
        <v/>
      </c>
      <c r="C1942" s="59" t="str">
        <f t="shared" si="22"/>
        <v/>
      </c>
      <c r="D1942" s="45" t="str">
        <f t="shared" si="23"/>
        <v/>
      </c>
      <c r="E1942" s="45" t="str">
        <f t="shared" si="24"/>
        <v/>
      </c>
      <c r="F1942" s="59" t="str">
        <f t="shared" si="25"/>
        <v/>
      </c>
      <c r="G1942" s="59" t="str">
        <f t="shared" si="26"/>
        <v/>
      </c>
      <c r="H1942" s="59" t="str">
        <f t="shared" si="27"/>
        <v>28C06369</v>
      </c>
      <c r="I1942" s="59" t="str">
        <f>IF(OR($A1942="",$C1942="",$D1942="",$E1942="",$H1942=""),"",SUMIFS(DATA_GOC!$H:$H,DATA_GOC!$A:$A,"BOM",DATA_GOC!$D:$D,$H1942,DATA_GOC!$E:$E,$C1942,DATA_GOC!$F:$F,"Xuất nội bộ từ téc",DATA_GOC!$B:$B,"&gt;="&amp;$D1942,DATA_GOC!$B:$B,"&lt;="&amp;$E1942))</f>
        <v/>
      </c>
      <c r="J1942" s="59">
        <f t="shared" si="28"/>
        <v>0</v>
      </c>
      <c r="K1942" s="59">
        <f t="shared" si="29"/>
        <v>0</v>
      </c>
      <c r="L1942" s="59">
        <f t="shared" si="30"/>
        <v>0</v>
      </c>
      <c r="M1942" s="59">
        <f t="shared" si="31"/>
        <v>0</v>
      </c>
    </row>
    <row r="1943" ht="15.0" hidden="1" customHeight="1">
      <c r="A1943" s="59">
        <f t="shared" si="20"/>
        <v>29</v>
      </c>
      <c r="B1943" s="59" t="str">
        <f t="shared" si="21"/>
        <v/>
      </c>
      <c r="C1943" s="59" t="str">
        <f t="shared" si="22"/>
        <v/>
      </c>
      <c r="D1943" s="45" t="str">
        <f t="shared" si="23"/>
        <v/>
      </c>
      <c r="E1943" s="45" t="str">
        <f t="shared" si="24"/>
        <v/>
      </c>
      <c r="F1943" s="59" t="str">
        <f t="shared" si="25"/>
        <v/>
      </c>
      <c r="G1943" s="59" t="str">
        <f t="shared" si="26"/>
        <v/>
      </c>
      <c r="H1943" s="59" t="str">
        <f t="shared" si="27"/>
        <v>28C06447</v>
      </c>
      <c r="I1943" s="59" t="str">
        <f>IF(OR($A1943="",$C1943="",$D1943="",$E1943="",$H1943=""),"",SUMIFS(DATA_GOC!$H:$H,DATA_GOC!$A:$A,"BOM",DATA_GOC!$D:$D,$H1943,DATA_GOC!$E:$E,$C1943,DATA_GOC!$F:$F,"Xuất nội bộ từ téc",DATA_GOC!$B:$B,"&gt;="&amp;$D1943,DATA_GOC!$B:$B,"&lt;="&amp;$E1943))</f>
        <v/>
      </c>
      <c r="J1943" s="59">
        <f t="shared" si="28"/>
        <v>0</v>
      </c>
      <c r="K1943" s="59">
        <f t="shared" si="29"/>
        <v>0</v>
      </c>
      <c r="L1943" s="59">
        <f t="shared" si="30"/>
        <v>0</v>
      </c>
      <c r="M1943" s="59">
        <f t="shared" si="31"/>
        <v>0</v>
      </c>
    </row>
    <row r="1944" ht="15.0" hidden="1" customHeight="1">
      <c r="A1944" s="59">
        <f t="shared" si="20"/>
        <v>29</v>
      </c>
      <c r="B1944" s="59" t="str">
        <f t="shared" si="21"/>
        <v/>
      </c>
      <c r="C1944" s="59" t="str">
        <f t="shared" si="22"/>
        <v/>
      </c>
      <c r="D1944" s="45" t="str">
        <f t="shared" si="23"/>
        <v/>
      </c>
      <c r="E1944" s="45" t="str">
        <f t="shared" si="24"/>
        <v/>
      </c>
      <c r="F1944" s="59" t="str">
        <f t="shared" si="25"/>
        <v/>
      </c>
      <c r="G1944" s="59" t="str">
        <f t="shared" si="26"/>
        <v/>
      </c>
      <c r="H1944" s="59" t="str">
        <f t="shared" si="27"/>
        <v>28H00003</v>
      </c>
      <c r="I1944" s="59" t="str">
        <f>IF(OR($A1944="",$C1944="",$D1944="",$E1944="",$H1944=""),"",SUMIFS(DATA_GOC!$H:$H,DATA_GOC!$A:$A,"BOM",DATA_GOC!$D:$D,$H1944,DATA_GOC!$E:$E,$C1944,DATA_GOC!$F:$F,"Xuất nội bộ từ téc",DATA_GOC!$B:$B,"&gt;="&amp;$D1944,DATA_GOC!$B:$B,"&lt;="&amp;$E1944))</f>
        <v/>
      </c>
      <c r="J1944" s="59">
        <f t="shared" si="28"/>
        <v>0</v>
      </c>
      <c r="K1944" s="59">
        <f t="shared" si="29"/>
        <v>0</v>
      </c>
      <c r="L1944" s="59">
        <f t="shared" si="30"/>
        <v>0</v>
      </c>
      <c r="M1944" s="59">
        <f t="shared" si="31"/>
        <v>0</v>
      </c>
    </row>
    <row r="1945" ht="15.0" hidden="1" customHeight="1">
      <c r="A1945" s="59">
        <f t="shared" si="20"/>
        <v>29</v>
      </c>
      <c r="B1945" s="59" t="str">
        <f t="shared" si="21"/>
        <v/>
      </c>
      <c r="C1945" s="59" t="str">
        <f t="shared" si="22"/>
        <v/>
      </c>
      <c r="D1945" s="45" t="str">
        <f t="shared" si="23"/>
        <v/>
      </c>
      <c r="E1945" s="45" t="str">
        <f t="shared" si="24"/>
        <v/>
      </c>
      <c r="F1945" s="59" t="str">
        <f t="shared" si="25"/>
        <v/>
      </c>
      <c r="G1945" s="59" t="str">
        <f t="shared" si="26"/>
        <v/>
      </c>
      <c r="H1945" s="59" t="str">
        <f t="shared" si="27"/>
        <v>28H00061</v>
      </c>
      <c r="I1945" s="59" t="str">
        <f>IF(OR($A1945="",$C1945="",$D1945="",$E1945="",$H1945=""),"",SUMIFS(DATA_GOC!$H:$H,DATA_GOC!$A:$A,"BOM",DATA_GOC!$D:$D,$H1945,DATA_GOC!$E:$E,$C1945,DATA_GOC!$F:$F,"Xuất nội bộ từ téc",DATA_GOC!$B:$B,"&gt;="&amp;$D1945,DATA_GOC!$B:$B,"&lt;="&amp;$E1945))</f>
        <v/>
      </c>
      <c r="J1945" s="59">
        <f t="shared" si="28"/>
        <v>0</v>
      </c>
      <c r="K1945" s="59">
        <f t="shared" si="29"/>
        <v>0</v>
      </c>
      <c r="L1945" s="59">
        <f t="shared" si="30"/>
        <v>0</v>
      </c>
      <c r="M1945" s="59">
        <f t="shared" si="31"/>
        <v>0</v>
      </c>
    </row>
    <row r="1946" ht="15.0" hidden="1" customHeight="1">
      <c r="A1946" s="59">
        <f t="shared" si="20"/>
        <v>29</v>
      </c>
      <c r="B1946" s="59" t="str">
        <f t="shared" si="21"/>
        <v/>
      </c>
      <c r="C1946" s="59" t="str">
        <f t="shared" si="22"/>
        <v/>
      </c>
      <c r="D1946" s="45" t="str">
        <f t="shared" si="23"/>
        <v/>
      </c>
      <c r="E1946" s="45" t="str">
        <f t="shared" si="24"/>
        <v/>
      </c>
      <c r="F1946" s="59" t="str">
        <f t="shared" si="25"/>
        <v/>
      </c>
      <c r="G1946" s="59" t="str">
        <f t="shared" si="26"/>
        <v/>
      </c>
      <c r="H1946" s="59" t="str">
        <f t="shared" si="27"/>
        <v>28H00354</v>
      </c>
      <c r="I1946" s="59" t="str">
        <f>IF(OR($A1946="",$C1946="",$D1946="",$E1946="",$H1946=""),"",SUMIFS(DATA_GOC!$H:$H,DATA_GOC!$A:$A,"BOM",DATA_GOC!$D:$D,$H1946,DATA_GOC!$E:$E,$C1946,DATA_GOC!$F:$F,"Xuất nội bộ từ téc",DATA_GOC!$B:$B,"&gt;="&amp;$D1946,DATA_GOC!$B:$B,"&lt;="&amp;$E1946))</f>
        <v/>
      </c>
      <c r="J1946" s="59">
        <f t="shared" si="28"/>
        <v>0</v>
      </c>
      <c r="K1946" s="59">
        <f t="shared" si="29"/>
        <v>0</v>
      </c>
      <c r="L1946" s="59">
        <f t="shared" si="30"/>
        <v>0</v>
      </c>
      <c r="M1946" s="59">
        <f t="shared" si="31"/>
        <v>0</v>
      </c>
    </row>
    <row r="1947" ht="15.0" hidden="1" customHeight="1">
      <c r="A1947" s="59">
        <f t="shared" si="20"/>
        <v>29</v>
      </c>
      <c r="B1947" s="59" t="str">
        <f t="shared" si="21"/>
        <v/>
      </c>
      <c r="C1947" s="59" t="str">
        <f t="shared" si="22"/>
        <v/>
      </c>
      <c r="D1947" s="45" t="str">
        <f t="shared" si="23"/>
        <v/>
      </c>
      <c r="E1947" s="45" t="str">
        <f t="shared" si="24"/>
        <v/>
      </c>
      <c r="F1947" s="59" t="str">
        <f t="shared" si="25"/>
        <v/>
      </c>
      <c r="G1947" s="59" t="str">
        <f t="shared" si="26"/>
        <v/>
      </c>
      <c r="H1947" s="59" t="str">
        <f t="shared" si="27"/>
        <v>28H00603</v>
      </c>
      <c r="I1947" s="59" t="str">
        <f>IF(OR($A1947="",$C1947="",$D1947="",$E1947="",$H1947=""),"",SUMIFS(DATA_GOC!$H:$H,DATA_GOC!$A:$A,"BOM",DATA_GOC!$D:$D,$H1947,DATA_GOC!$E:$E,$C1947,DATA_GOC!$F:$F,"Xuất nội bộ từ téc",DATA_GOC!$B:$B,"&gt;="&amp;$D1947,DATA_GOC!$B:$B,"&lt;="&amp;$E1947))</f>
        <v/>
      </c>
      <c r="J1947" s="59">
        <f t="shared" si="28"/>
        <v>0</v>
      </c>
      <c r="K1947" s="59">
        <f t="shared" si="29"/>
        <v>0</v>
      </c>
      <c r="L1947" s="59">
        <f t="shared" si="30"/>
        <v>0</v>
      </c>
      <c r="M1947" s="59">
        <f t="shared" si="31"/>
        <v>0</v>
      </c>
    </row>
    <row r="1948" ht="15.0" hidden="1" customHeight="1">
      <c r="A1948" s="59">
        <f t="shared" si="20"/>
        <v>29</v>
      </c>
      <c r="B1948" s="59" t="str">
        <f t="shared" si="21"/>
        <v/>
      </c>
      <c r="C1948" s="59" t="str">
        <f t="shared" si="22"/>
        <v/>
      </c>
      <c r="D1948" s="45" t="str">
        <f t="shared" si="23"/>
        <v/>
      </c>
      <c r="E1948" s="45" t="str">
        <f t="shared" si="24"/>
        <v/>
      </c>
      <c r="F1948" s="59" t="str">
        <f t="shared" si="25"/>
        <v/>
      </c>
      <c r="G1948" s="59" t="str">
        <f t="shared" si="26"/>
        <v/>
      </c>
      <c r="H1948" s="59" t="str">
        <f t="shared" si="27"/>
        <v>28H00609</v>
      </c>
      <c r="I1948" s="59" t="str">
        <f>IF(OR($A1948="",$C1948="",$D1948="",$E1948="",$H1948=""),"",SUMIFS(DATA_GOC!$H:$H,DATA_GOC!$A:$A,"BOM",DATA_GOC!$D:$D,$H1948,DATA_GOC!$E:$E,$C1948,DATA_GOC!$F:$F,"Xuất nội bộ từ téc",DATA_GOC!$B:$B,"&gt;="&amp;$D1948,DATA_GOC!$B:$B,"&lt;="&amp;$E1948))</f>
        <v/>
      </c>
      <c r="J1948" s="59">
        <f t="shared" si="28"/>
        <v>0</v>
      </c>
      <c r="K1948" s="59">
        <f t="shared" si="29"/>
        <v>0</v>
      </c>
      <c r="L1948" s="59">
        <f t="shared" si="30"/>
        <v>0</v>
      </c>
      <c r="M1948" s="59">
        <f t="shared" si="31"/>
        <v>0</v>
      </c>
    </row>
    <row r="1949" ht="15.0" hidden="1" customHeight="1">
      <c r="A1949" s="59">
        <f t="shared" si="20"/>
        <v>29</v>
      </c>
      <c r="B1949" s="59" t="str">
        <f t="shared" si="21"/>
        <v/>
      </c>
      <c r="C1949" s="59" t="str">
        <f t="shared" si="22"/>
        <v/>
      </c>
      <c r="D1949" s="45" t="str">
        <f t="shared" si="23"/>
        <v/>
      </c>
      <c r="E1949" s="45" t="str">
        <f t="shared" si="24"/>
        <v/>
      </c>
      <c r="F1949" s="59" t="str">
        <f t="shared" si="25"/>
        <v/>
      </c>
      <c r="G1949" s="59" t="str">
        <f t="shared" si="26"/>
        <v/>
      </c>
      <c r="H1949" s="59" t="str">
        <f t="shared" si="27"/>
        <v>28H00669</v>
      </c>
      <c r="I1949" s="59" t="str">
        <f>IF(OR($A1949="",$C1949="",$D1949="",$E1949="",$H1949=""),"",SUMIFS(DATA_GOC!$H:$H,DATA_GOC!$A:$A,"BOM",DATA_GOC!$D:$D,$H1949,DATA_GOC!$E:$E,$C1949,DATA_GOC!$F:$F,"Xuất nội bộ từ téc",DATA_GOC!$B:$B,"&gt;="&amp;$D1949,DATA_GOC!$B:$B,"&lt;="&amp;$E1949))</f>
        <v/>
      </c>
      <c r="J1949" s="59">
        <f t="shared" si="28"/>
        <v>0</v>
      </c>
      <c r="K1949" s="59">
        <f t="shared" si="29"/>
        <v>0</v>
      </c>
      <c r="L1949" s="59">
        <f t="shared" si="30"/>
        <v>0</v>
      </c>
      <c r="M1949" s="59">
        <f t="shared" si="31"/>
        <v>0</v>
      </c>
    </row>
    <row r="1950" ht="15.0" hidden="1" customHeight="1">
      <c r="A1950" s="59">
        <f t="shared" si="20"/>
        <v>29</v>
      </c>
      <c r="B1950" s="59" t="str">
        <f t="shared" si="21"/>
        <v/>
      </c>
      <c r="C1950" s="59" t="str">
        <f t="shared" si="22"/>
        <v/>
      </c>
      <c r="D1950" s="45" t="str">
        <f t="shared" si="23"/>
        <v/>
      </c>
      <c r="E1950" s="45" t="str">
        <f t="shared" si="24"/>
        <v/>
      </c>
      <c r="F1950" s="59" t="str">
        <f t="shared" si="25"/>
        <v/>
      </c>
      <c r="G1950" s="59" t="str">
        <f t="shared" si="26"/>
        <v/>
      </c>
      <c r="H1950" s="59" t="str">
        <f t="shared" si="27"/>
        <v>28H00680</v>
      </c>
      <c r="I1950" s="59" t="str">
        <f>IF(OR($A1950="",$C1950="",$D1950="",$E1950="",$H1950=""),"",SUMIFS(DATA_GOC!$H:$H,DATA_GOC!$A:$A,"BOM",DATA_GOC!$D:$D,$H1950,DATA_GOC!$E:$E,$C1950,DATA_GOC!$F:$F,"Xuất nội bộ từ téc",DATA_GOC!$B:$B,"&gt;="&amp;$D1950,DATA_GOC!$B:$B,"&lt;="&amp;$E1950))</f>
        <v/>
      </c>
      <c r="J1950" s="59">
        <f t="shared" si="28"/>
        <v>0</v>
      </c>
      <c r="K1950" s="59">
        <f t="shared" si="29"/>
        <v>0</v>
      </c>
      <c r="L1950" s="59">
        <f t="shared" si="30"/>
        <v>0</v>
      </c>
      <c r="M1950" s="59">
        <f t="shared" si="31"/>
        <v>0</v>
      </c>
    </row>
    <row r="1951" ht="15.0" hidden="1" customHeight="1">
      <c r="A1951" s="59">
        <f t="shared" si="20"/>
        <v>29</v>
      </c>
      <c r="B1951" s="59" t="str">
        <f t="shared" si="21"/>
        <v/>
      </c>
      <c r="C1951" s="59" t="str">
        <f t="shared" si="22"/>
        <v/>
      </c>
      <c r="D1951" s="45" t="str">
        <f t="shared" si="23"/>
        <v/>
      </c>
      <c r="E1951" s="45" t="str">
        <f t="shared" si="24"/>
        <v/>
      </c>
      <c r="F1951" s="59" t="str">
        <f t="shared" si="25"/>
        <v/>
      </c>
      <c r="G1951" s="59" t="str">
        <f t="shared" si="26"/>
        <v/>
      </c>
      <c r="H1951" s="59" t="str">
        <f t="shared" si="27"/>
        <v>28H01070</v>
      </c>
      <c r="I1951" s="59" t="str">
        <f>IF(OR($A1951="",$C1951="",$D1951="",$E1951="",$H1951=""),"",SUMIFS(DATA_GOC!$H:$H,DATA_GOC!$A:$A,"BOM",DATA_GOC!$D:$D,$H1951,DATA_GOC!$E:$E,$C1951,DATA_GOC!$F:$F,"Xuất nội bộ từ téc",DATA_GOC!$B:$B,"&gt;="&amp;$D1951,DATA_GOC!$B:$B,"&lt;="&amp;$E1951))</f>
        <v/>
      </c>
      <c r="J1951" s="59">
        <f t="shared" si="28"/>
        <v>0</v>
      </c>
      <c r="K1951" s="59">
        <f t="shared" si="29"/>
        <v>0</v>
      </c>
      <c r="L1951" s="59">
        <f t="shared" si="30"/>
        <v>0</v>
      </c>
      <c r="M1951" s="59">
        <f t="shared" si="31"/>
        <v>0</v>
      </c>
    </row>
    <row r="1952" ht="15.0" hidden="1" customHeight="1">
      <c r="A1952" s="59">
        <f t="shared" si="20"/>
        <v>29</v>
      </c>
      <c r="B1952" s="59" t="str">
        <f t="shared" si="21"/>
        <v/>
      </c>
      <c r="C1952" s="59" t="str">
        <f t="shared" si="22"/>
        <v/>
      </c>
      <c r="D1952" s="45" t="str">
        <f t="shared" si="23"/>
        <v/>
      </c>
      <c r="E1952" s="45" t="str">
        <f t="shared" si="24"/>
        <v/>
      </c>
      <c r="F1952" s="59" t="str">
        <f t="shared" si="25"/>
        <v/>
      </c>
      <c r="G1952" s="59" t="str">
        <f t="shared" si="26"/>
        <v/>
      </c>
      <c r="H1952" s="59" t="str">
        <f t="shared" si="27"/>
        <v>28H01364</v>
      </c>
      <c r="I1952" s="59" t="str">
        <f>IF(OR($A1952="",$C1952="",$D1952="",$E1952="",$H1952=""),"",SUMIFS(DATA_GOC!$H:$H,DATA_GOC!$A:$A,"BOM",DATA_GOC!$D:$D,$H1952,DATA_GOC!$E:$E,$C1952,DATA_GOC!$F:$F,"Xuất nội bộ từ téc",DATA_GOC!$B:$B,"&gt;="&amp;$D1952,DATA_GOC!$B:$B,"&lt;="&amp;$E1952))</f>
        <v/>
      </c>
      <c r="J1952" s="59">
        <f t="shared" si="28"/>
        <v>0</v>
      </c>
      <c r="K1952" s="59">
        <f t="shared" si="29"/>
        <v>0</v>
      </c>
      <c r="L1952" s="59">
        <f t="shared" si="30"/>
        <v>0</v>
      </c>
      <c r="M1952" s="59">
        <f t="shared" si="31"/>
        <v>0</v>
      </c>
    </row>
    <row r="1953" ht="15.0" hidden="1" customHeight="1">
      <c r="A1953" s="59">
        <f t="shared" si="20"/>
        <v>29</v>
      </c>
      <c r="B1953" s="59" t="str">
        <f t="shared" si="21"/>
        <v/>
      </c>
      <c r="C1953" s="59" t="str">
        <f t="shared" si="22"/>
        <v/>
      </c>
      <c r="D1953" s="45" t="str">
        <f t="shared" si="23"/>
        <v/>
      </c>
      <c r="E1953" s="45" t="str">
        <f t="shared" si="24"/>
        <v/>
      </c>
      <c r="F1953" s="59" t="str">
        <f t="shared" si="25"/>
        <v/>
      </c>
      <c r="G1953" s="59" t="str">
        <f t="shared" si="26"/>
        <v/>
      </c>
      <c r="H1953" s="59" t="str">
        <f t="shared" si="27"/>
        <v>29E17269</v>
      </c>
      <c r="I1953" s="59" t="str">
        <f>IF(OR($A1953="",$C1953="",$D1953="",$E1953="",$H1953=""),"",SUMIFS(DATA_GOC!$H:$H,DATA_GOC!$A:$A,"BOM",DATA_GOC!$D:$D,$H1953,DATA_GOC!$E:$E,$C1953,DATA_GOC!$F:$F,"Xuất nội bộ từ téc",DATA_GOC!$B:$B,"&gt;="&amp;$D1953,DATA_GOC!$B:$B,"&lt;="&amp;$E1953))</f>
        <v/>
      </c>
      <c r="J1953" s="59">
        <f t="shared" si="28"/>
        <v>0</v>
      </c>
      <c r="K1953" s="59">
        <f t="shared" si="29"/>
        <v>0</v>
      </c>
      <c r="L1953" s="59">
        <f t="shared" si="30"/>
        <v>0</v>
      </c>
      <c r="M1953" s="59">
        <f t="shared" si="31"/>
        <v>0</v>
      </c>
    </row>
    <row r="1954" ht="15.0" hidden="1" customHeight="1">
      <c r="A1954" s="59">
        <f t="shared" si="20"/>
        <v>29</v>
      </c>
      <c r="B1954" s="59" t="str">
        <f t="shared" si="21"/>
        <v/>
      </c>
      <c r="C1954" s="59" t="str">
        <f t="shared" si="22"/>
        <v/>
      </c>
      <c r="D1954" s="45" t="str">
        <f t="shared" si="23"/>
        <v/>
      </c>
      <c r="E1954" s="45" t="str">
        <f t="shared" si="24"/>
        <v/>
      </c>
      <c r="F1954" s="59" t="str">
        <f t="shared" si="25"/>
        <v/>
      </c>
      <c r="G1954" s="59" t="str">
        <f t="shared" si="26"/>
        <v/>
      </c>
      <c r="H1954" s="59" t="str">
        <f t="shared" si="27"/>
        <v>29E17273</v>
      </c>
      <c r="I1954" s="59" t="str">
        <f>IF(OR($A1954="",$C1954="",$D1954="",$E1954="",$H1954=""),"",SUMIFS(DATA_GOC!$H:$H,DATA_GOC!$A:$A,"BOM",DATA_GOC!$D:$D,$H1954,DATA_GOC!$E:$E,$C1954,DATA_GOC!$F:$F,"Xuất nội bộ từ téc",DATA_GOC!$B:$B,"&gt;="&amp;$D1954,DATA_GOC!$B:$B,"&lt;="&amp;$E1954))</f>
        <v/>
      </c>
      <c r="J1954" s="59">
        <f t="shared" si="28"/>
        <v>0</v>
      </c>
      <c r="K1954" s="59">
        <f t="shared" si="29"/>
        <v>0</v>
      </c>
      <c r="L1954" s="59">
        <f t="shared" si="30"/>
        <v>0</v>
      </c>
      <c r="M1954" s="59">
        <f t="shared" si="31"/>
        <v>0</v>
      </c>
    </row>
    <row r="1955" ht="15.0" hidden="1" customHeight="1">
      <c r="A1955" s="59">
        <f t="shared" si="20"/>
        <v>29</v>
      </c>
      <c r="B1955" s="59" t="str">
        <f t="shared" si="21"/>
        <v/>
      </c>
      <c r="C1955" s="59" t="str">
        <f t="shared" si="22"/>
        <v/>
      </c>
      <c r="D1955" s="45" t="str">
        <f t="shared" si="23"/>
        <v/>
      </c>
      <c r="E1955" s="45" t="str">
        <f t="shared" si="24"/>
        <v/>
      </c>
      <c r="F1955" s="59" t="str">
        <f t="shared" si="25"/>
        <v/>
      </c>
      <c r="G1955" s="59" t="str">
        <f t="shared" si="26"/>
        <v/>
      </c>
      <c r="H1955" s="59" t="str">
        <f t="shared" si="27"/>
        <v>29E17410</v>
      </c>
      <c r="I1955" s="59" t="str">
        <f>IF(OR($A1955="",$C1955="",$D1955="",$E1955="",$H1955=""),"",SUMIFS(DATA_GOC!$H:$H,DATA_GOC!$A:$A,"BOM",DATA_GOC!$D:$D,$H1955,DATA_GOC!$E:$E,$C1955,DATA_GOC!$F:$F,"Xuất nội bộ từ téc",DATA_GOC!$B:$B,"&gt;="&amp;$D1955,DATA_GOC!$B:$B,"&lt;="&amp;$E1955))</f>
        <v/>
      </c>
      <c r="J1955" s="59">
        <f t="shared" si="28"/>
        <v>0</v>
      </c>
      <c r="K1955" s="59">
        <f t="shared" si="29"/>
        <v>0</v>
      </c>
      <c r="L1955" s="59">
        <f t="shared" si="30"/>
        <v>0</v>
      </c>
      <c r="M1955" s="59">
        <f t="shared" si="31"/>
        <v>0</v>
      </c>
    </row>
    <row r="1956" ht="15.0" hidden="1" customHeight="1">
      <c r="A1956" s="59">
        <f t="shared" si="20"/>
        <v>29</v>
      </c>
      <c r="B1956" s="59" t="str">
        <f t="shared" si="21"/>
        <v/>
      </c>
      <c r="C1956" s="59" t="str">
        <f t="shared" si="22"/>
        <v/>
      </c>
      <c r="D1956" s="45" t="str">
        <f t="shared" si="23"/>
        <v/>
      </c>
      <c r="E1956" s="45" t="str">
        <f t="shared" si="24"/>
        <v/>
      </c>
      <c r="F1956" s="59" t="str">
        <f t="shared" si="25"/>
        <v/>
      </c>
      <c r="G1956" s="59" t="str">
        <f t="shared" si="26"/>
        <v/>
      </c>
      <c r="H1956" s="59" t="str">
        <f t="shared" si="27"/>
        <v>29E17417</v>
      </c>
      <c r="I1956" s="59" t="str">
        <f>IF(OR($A1956="",$C1956="",$D1956="",$E1956="",$H1956=""),"",SUMIFS(DATA_GOC!$H:$H,DATA_GOC!$A:$A,"BOM",DATA_GOC!$D:$D,$H1956,DATA_GOC!$E:$E,$C1956,DATA_GOC!$F:$F,"Xuất nội bộ từ téc",DATA_GOC!$B:$B,"&gt;="&amp;$D1956,DATA_GOC!$B:$B,"&lt;="&amp;$E1956))</f>
        <v/>
      </c>
      <c r="J1956" s="59">
        <f t="shared" si="28"/>
        <v>0</v>
      </c>
      <c r="K1956" s="59">
        <f t="shared" si="29"/>
        <v>0</v>
      </c>
      <c r="L1956" s="59">
        <f t="shared" si="30"/>
        <v>0</v>
      </c>
      <c r="M1956" s="59">
        <f t="shared" si="31"/>
        <v>0</v>
      </c>
    </row>
    <row r="1957" ht="15.0" hidden="1" customHeight="1">
      <c r="A1957" s="59">
        <f t="shared" si="20"/>
        <v>29</v>
      </c>
      <c r="B1957" s="59" t="str">
        <f t="shared" si="21"/>
        <v/>
      </c>
      <c r="C1957" s="59" t="str">
        <f t="shared" si="22"/>
        <v/>
      </c>
      <c r="D1957" s="45" t="str">
        <f t="shared" si="23"/>
        <v/>
      </c>
      <c r="E1957" s="45" t="str">
        <f t="shared" si="24"/>
        <v/>
      </c>
      <c r="F1957" s="59" t="str">
        <f t="shared" si="25"/>
        <v/>
      </c>
      <c r="G1957" s="59" t="str">
        <f t="shared" si="26"/>
        <v/>
      </c>
      <c r="H1957" s="59" t="str">
        <f t="shared" si="27"/>
        <v>29E17539</v>
      </c>
      <c r="I1957" s="59" t="str">
        <f>IF(OR($A1957="",$C1957="",$D1957="",$E1957="",$H1957=""),"",SUMIFS(DATA_GOC!$H:$H,DATA_GOC!$A:$A,"BOM",DATA_GOC!$D:$D,$H1957,DATA_GOC!$E:$E,$C1957,DATA_GOC!$F:$F,"Xuất nội bộ từ téc",DATA_GOC!$B:$B,"&gt;="&amp;$D1957,DATA_GOC!$B:$B,"&lt;="&amp;$E1957))</f>
        <v/>
      </c>
      <c r="J1957" s="59">
        <f t="shared" si="28"/>
        <v>0</v>
      </c>
      <c r="K1957" s="59">
        <f t="shared" si="29"/>
        <v>0</v>
      </c>
      <c r="L1957" s="59">
        <f t="shared" si="30"/>
        <v>0</v>
      </c>
      <c r="M1957" s="59">
        <f t="shared" si="31"/>
        <v>0</v>
      </c>
    </row>
    <row r="1958" ht="15.0" hidden="1" customHeight="1">
      <c r="A1958" s="59">
        <f t="shared" si="20"/>
        <v>29</v>
      </c>
      <c r="B1958" s="59" t="str">
        <f t="shared" si="21"/>
        <v/>
      </c>
      <c r="C1958" s="59" t="str">
        <f t="shared" si="22"/>
        <v/>
      </c>
      <c r="D1958" s="45" t="str">
        <f t="shared" si="23"/>
        <v/>
      </c>
      <c r="E1958" s="45" t="str">
        <f t="shared" si="24"/>
        <v/>
      </c>
      <c r="F1958" s="59" t="str">
        <f t="shared" si="25"/>
        <v/>
      </c>
      <c r="G1958" s="59" t="str">
        <f t="shared" si="26"/>
        <v/>
      </c>
      <c r="H1958" s="59" t="str">
        <f t="shared" si="27"/>
        <v>29E18160</v>
      </c>
      <c r="I1958" s="59" t="str">
        <f>IF(OR($A1958="",$C1958="",$D1958="",$E1958="",$H1958=""),"",SUMIFS(DATA_GOC!$H:$H,DATA_GOC!$A:$A,"BOM",DATA_GOC!$D:$D,$H1958,DATA_GOC!$E:$E,$C1958,DATA_GOC!$F:$F,"Xuất nội bộ từ téc",DATA_GOC!$B:$B,"&gt;="&amp;$D1958,DATA_GOC!$B:$B,"&lt;="&amp;$E1958))</f>
        <v/>
      </c>
      <c r="J1958" s="59">
        <f t="shared" si="28"/>
        <v>0</v>
      </c>
      <c r="K1958" s="59">
        <f t="shared" si="29"/>
        <v>0</v>
      </c>
      <c r="L1958" s="59">
        <f t="shared" si="30"/>
        <v>0</v>
      </c>
      <c r="M1958" s="59">
        <f t="shared" si="31"/>
        <v>0</v>
      </c>
    </row>
    <row r="1959" ht="15.0" hidden="1" customHeight="1">
      <c r="A1959" s="59">
        <f t="shared" si="20"/>
        <v>29</v>
      </c>
      <c r="B1959" s="59" t="str">
        <f t="shared" si="21"/>
        <v/>
      </c>
      <c r="C1959" s="59" t="str">
        <f t="shared" si="22"/>
        <v/>
      </c>
      <c r="D1959" s="45" t="str">
        <f t="shared" si="23"/>
        <v/>
      </c>
      <c r="E1959" s="45" t="str">
        <f t="shared" si="24"/>
        <v/>
      </c>
      <c r="F1959" s="59" t="str">
        <f t="shared" si="25"/>
        <v/>
      </c>
      <c r="G1959" s="59" t="str">
        <f t="shared" si="26"/>
        <v/>
      </c>
      <c r="H1959" s="59" t="str">
        <f t="shared" si="27"/>
        <v>Công trình Asphalt</v>
      </c>
      <c r="I1959" s="59" t="str">
        <f>IF(OR($A1959="",$C1959="",$D1959="",$E1959="",$H1959=""),"",SUMIFS(DATA_GOC!$H:$H,DATA_GOC!$A:$A,"BOM",DATA_GOC!$D:$D,$H1959,DATA_GOC!$E:$E,$C1959,DATA_GOC!$F:$F,"Xuất nội bộ từ téc",DATA_GOC!$B:$B,"&gt;="&amp;$D1959,DATA_GOC!$B:$B,"&lt;="&amp;$E1959))</f>
        <v/>
      </c>
      <c r="J1959" s="59">
        <f t="shared" si="28"/>
        <v>0</v>
      </c>
      <c r="K1959" s="59">
        <f t="shared" si="29"/>
        <v>0</v>
      </c>
      <c r="L1959" s="59">
        <f t="shared" si="30"/>
        <v>0</v>
      </c>
      <c r="M1959" s="59">
        <f t="shared" si="31"/>
        <v>0</v>
      </c>
    </row>
    <row r="1960" ht="15.0" hidden="1" customHeight="1">
      <c r="A1960" s="59">
        <f t="shared" si="20"/>
        <v>29</v>
      </c>
      <c r="B1960" s="59" t="str">
        <f t="shared" si="21"/>
        <v/>
      </c>
      <c r="C1960" s="59" t="str">
        <f t="shared" si="22"/>
        <v/>
      </c>
      <c r="D1960" s="45" t="str">
        <f t="shared" si="23"/>
        <v/>
      </c>
      <c r="E1960" s="45" t="str">
        <f t="shared" si="24"/>
        <v/>
      </c>
      <c r="F1960" s="59" t="str">
        <f t="shared" si="25"/>
        <v/>
      </c>
      <c r="G1960" s="59" t="str">
        <f t="shared" si="26"/>
        <v/>
      </c>
      <c r="H1960" s="59" t="str">
        <f t="shared" si="27"/>
        <v>LG53F</v>
      </c>
      <c r="I1960" s="59" t="str">
        <f>IF(OR($A1960="",$C1960="",$D1960="",$E1960="",$H1960=""),"",SUMIFS(DATA_GOC!$H:$H,DATA_GOC!$A:$A,"BOM",DATA_GOC!$D:$D,$H1960,DATA_GOC!$E:$E,$C1960,DATA_GOC!$F:$F,"Xuất nội bộ từ téc",DATA_GOC!$B:$B,"&gt;="&amp;$D1960,DATA_GOC!$B:$B,"&lt;="&amp;$E1960))</f>
        <v/>
      </c>
      <c r="J1960" s="59">
        <f t="shared" si="28"/>
        <v>0</v>
      </c>
      <c r="K1960" s="59">
        <f t="shared" si="29"/>
        <v>0</v>
      </c>
      <c r="L1960" s="59">
        <f t="shared" si="30"/>
        <v>0</v>
      </c>
      <c r="M1960" s="59">
        <f t="shared" si="31"/>
        <v>0</v>
      </c>
    </row>
    <row r="1961" ht="15.0" hidden="1" customHeight="1">
      <c r="A1961" s="59">
        <f t="shared" si="20"/>
        <v>29</v>
      </c>
      <c r="B1961" s="59" t="str">
        <f t="shared" si="21"/>
        <v/>
      </c>
      <c r="C1961" s="59" t="str">
        <f t="shared" si="22"/>
        <v/>
      </c>
      <c r="D1961" s="45" t="str">
        <f t="shared" si="23"/>
        <v/>
      </c>
      <c r="E1961" s="45" t="str">
        <f t="shared" si="24"/>
        <v/>
      </c>
      <c r="F1961" s="59" t="str">
        <f t="shared" si="25"/>
        <v/>
      </c>
      <c r="G1961" s="59" t="str">
        <f t="shared" si="26"/>
        <v/>
      </c>
      <c r="H1961" s="59" t="str">
        <f t="shared" si="27"/>
        <v>Máy phát điện</v>
      </c>
      <c r="I1961" s="59" t="str">
        <f>IF(OR($A1961="",$C1961="",$D1961="",$E1961="",$H1961=""),"",SUMIFS(DATA_GOC!$H:$H,DATA_GOC!$A:$A,"BOM",DATA_GOC!$D:$D,$H1961,DATA_GOC!$E:$E,$C1961,DATA_GOC!$F:$F,"Xuất nội bộ từ téc",DATA_GOC!$B:$B,"&gt;="&amp;$D1961,DATA_GOC!$B:$B,"&lt;="&amp;$E1961))</f>
        <v/>
      </c>
      <c r="J1961" s="59">
        <f t="shared" si="28"/>
        <v>0</v>
      </c>
      <c r="K1961" s="59">
        <f t="shared" si="29"/>
        <v>0</v>
      </c>
      <c r="L1961" s="59">
        <f t="shared" si="30"/>
        <v>0</v>
      </c>
      <c r="M1961" s="59">
        <f t="shared" si="31"/>
        <v>0</v>
      </c>
    </row>
    <row r="1962" ht="15.0" hidden="1" customHeight="1">
      <c r="A1962" s="59">
        <f t="shared" si="20"/>
        <v>29</v>
      </c>
      <c r="B1962" s="59" t="str">
        <f t="shared" si="21"/>
        <v/>
      </c>
      <c r="C1962" s="59" t="str">
        <f t="shared" si="22"/>
        <v/>
      </c>
      <c r="D1962" s="45" t="str">
        <f t="shared" si="23"/>
        <v/>
      </c>
      <c r="E1962" s="45" t="str">
        <f t="shared" si="24"/>
        <v/>
      </c>
      <c r="F1962" s="59" t="str">
        <f t="shared" si="25"/>
        <v/>
      </c>
      <c r="G1962" s="59" t="str">
        <f t="shared" si="26"/>
        <v/>
      </c>
      <c r="H1962" s="59" t="str">
        <f t="shared" si="27"/>
        <v>Máy rải thảm</v>
      </c>
      <c r="I1962" s="59" t="str">
        <f>IF(OR($A1962="",$C1962="",$D1962="",$E1962="",$H1962=""),"",SUMIFS(DATA_GOC!$H:$H,DATA_GOC!$A:$A,"BOM",DATA_GOC!$D:$D,$H1962,DATA_GOC!$E:$E,$C1962,DATA_GOC!$F:$F,"Xuất nội bộ từ téc",DATA_GOC!$B:$B,"&gt;="&amp;$D1962,DATA_GOC!$B:$B,"&lt;="&amp;$E1962))</f>
        <v/>
      </c>
      <c r="J1962" s="59">
        <f t="shared" si="28"/>
        <v>0</v>
      </c>
      <c r="K1962" s="59">
        <f t="shared" si="29"/>
        <v>0</v>
      </c>
      <c r="L1962" s="59">
        <f t="shared" si="30"/>
        <v>0</v>
      </c>
      <c r="M1962" s="59">
        <f t="shared" si="31"/>
        <v>0</v>
      </c>
    </row>
    <row r="1963" ht="15.0" hidden="1" customHeight="1">
      <c r="A1963" s="59">
        <f t="shared" si="20"/>
        <v>29</v>
      </c>
      <c r="B1963" s="59" t="str">
        <f t="shared" si="21"/>
        <v/>
      </c>
      <c r="C1963" s="59" t="str">
        <f t="shared" si="22"/>
        <v/>
      </c>
      <c r="D1963" s="45" t="str">
        <f t="shared" si="23"/>
        <v/>
      </c>
      <c r="E1963" s="45" t="str">
        <f t="shared" si="24"/>
        <v/>
      </c>
      <c r="F1963" s="59" t="str">
        <f t="shared" si="25"/>
        <v/>
      </c>
      <c r="G1963" s="59" t="str">
        <f t="shared" si="26"/>
        <v/>
      </c>
      <c r="H1963" s="59" t="str">
        <f t="shared" si="27"/>
        <v>Xúc Đào</v>
      </c>
      <c r="I1963" s="59" t="str">
        <f>IF(OR($A1963="",$C1963="",$D1963="",$E1963="",$H1963=""),"",SUMIFS(DATA_GOC!$H:$H,DATA_GOC!$A:$A,"BOM",DATA_GOC!$D:$D,$H1963,DATA_GOC!$E:$E,$C1963,DATA_GOC!$F:$F,"Xuất nội bộ từ téc",DATA_GOC!$B:$B,"&gt;="&amp;$D1963,DATA_GOC!$B:$B,"&lt;="&amp;$E1963))</f>
        <v/>
      </c>
      <c r="J1963" s="59">
        <f t="shared" si="28"/>
        <v>0</v>
      </c>
      <c r="K1963" s="59">
        <f t="shared" si="29"/>
        <v>0</v>
      </c>
      <c r="L1963" s="59">
        <f t="shared" si="30"/>
        <v>0</v>
      </c>
      <c r="M1963" s="59">
        <f t="shared" si="31"/>
        <v>0</v>
      </c>
    </row>
    <row r="1964" ht="15.0" hidden="1" customHeight="1">
      <c r="A1964" s="59">
        <f t="shared" si="20"/>
        <v>29</v>
      </c>
      <c r="B1964" s="59" t="str">
        <f t="shared" si="21"/>
        <v/>
      </c>
      <c r="C1964" s="59" t="str">
        <f t="shared" si="22"/>
        <v/>
      </c>
      <c r="D1964" s="45" t="str">
        <f t="shared" si="23"/>
        <v/>
      </c>
      <c r="E1964" s="45" t="str">
        <f t="shared" si="24"/>
        <v/>
      </c>
      <c r="F1964" s="59" t="str">
        <f t="shared" si="25"/>
        <v/>
      </c>
      <c r="G1964" s="59" t="str">
        <f t="shared" si="26"/>
        <v/>
      </c>
      <c r="H1964" s="59" t="str">
        <f t="shared" si="27"/>
        <v>Xúclật asphalt</v>
      </c>
      <c r="I1964" s="59" t="str">
        <f>IF(OR($A1964="",$C1964="",$D1964="",$E1964="",$H1964=""),"",SUMIFS(DATA_GOC!$H:$H,DATA_GOC!$A:$A,"BOM",DATA_GOC!$D:$D,$H1964,DATA_GOC!$E:$E,$C1964,DATA_GOC!$F:$F,"Xuất nội bộ từ téc",DATA_GOC!$B:$B,"&gt;="&amp;$D1964,DATA_GOC!$B:$B,"&lt;="&amp;$E1964))</f>
        <v/>
      </c>
      <c r="J1964" s="59">
        <f t="shared" si="28"/>
        <v>0</v>
      </c>
      <c r="K1964" s="59">
        <f t="shared" si="29"/>
        <v>0</v>
      </c>
      <c r="L1964" s="59">
        <f t="shared" si="30"/>
        <v>0</v>
      </c>
      <c r="M1964" s="59">
        <f t="shared" si="31"/>
        <v>0</v>
      </c>
    </row>
    <row r="1965" ht="15.0" hidden="1" customHeight="1">
      <c r="A1965" s="59">
        <f t="shared" si="20"/>
        <v>29</v>
      </c>
      <c r="B1965" s="59" t="str">
        <f t="shared" si="21"/>
        <v/>
      </c>
      <c r="C1965" s="59" t="str">
        <f t="shared" si="22"/>
        <v/>
      </c>
      <c r="D1965" s="45" t="str">
        <f t="shared" si="23"/>
        <v/>
      </c>
      <c r="E1965" s="45" t="str">
        <f t="shared" si="24"/>
        <v/>
      </c>
      <c r="F1965" s="59" t="str">
        <f t="shared" si="25"/>
        <v/>
      </c>
      <c r="G1965" s="59" t="str">
        <f t="shared" si="26"/>
        <v/>
      </c>
      <c r="H1965" s="59" t="str">
        <f t="shared" si="27"/>
        <v>Xúclật855H</v>
      </c>
      <c r="I1965" s="59" t="str">
        <f>IF(OR($A1965="",$C1965="",$D1965="",$E1965="",$H1965=""),"",SUMIFS(DATA_GOC!$H:$H,DATA_GOC!$A:$A,"BOM",DATA_GOC!$D:$D,$H1965,DATA_GOC!$E:$E,$C1965,DATA_GOC!$F:$F,"Xuất nội bộ từ téc",DATA_GOC!$B:$B,"&gt;="&amp;$D1965,DATA_GOC!$B:$B,"&lt;="&amp;$E1965))</f>
        <v/>
      </c>
      <c r="J1965" s="59">
        <f t="shared" si="28"/>
        <v>0</v>
      </c>
      <c r="K1965" s="59">
        <f t="shared" si="29"/>
        <v>0</v>
      </c>
      <c r="L1965" s="59">
        <f t="shared" si="30"/>
        <v>0</v>
      </c>
      <c r="M1965" s="59">
        <f t="shared" si="31"/>
        <v>0</v>
      </c>
    </row>
    <row r="1966" ht="15.0" hidden="1" customHeight="1">
      <c r="A1966" s="59">
        <f t="shared" si="20"/>
        <v>29</v>
      </c>
      <c r="B1966" s="59" t="str">
        <f t="shared" si="21"/>
        <v/>
      </c>
      <c r="C1966" s="59" t="str">
        <f t="shared" si="22"/>
        <v/>
      </c>
      <c r="D1966" s="45" t="str">
        <f t="shared" si="23"/>
        <v/>
      </c>
      <c r="E1966" s="45" t="str">
        <f t="shared" si="24"/>
        <v/>
      </c>
      <c r="F1966" s="59" t="str">
        <f t="shared" si="25"/>
        <v/>
      </c>
      <c r="G1966" s="59" t="str">
        <f t="shared" si="26"/>
        <v/>
      </c>
      <c r="H1966" s="59" t="str">
        <f t="shared" si="27"/>
        <v>Xúclật855N</v>
      </c>
      <c r="I1966" s="59" t="str">
        <f>IF(OR($A1966="",$C1966="",$D1966="",$E1966="",$H1966=""),"",SUMIFS(DATA_GOC!$H:$H,DATA_GOC!$A:$A,"BOM",DATA_GOC!$D:$D,$H1966,DATA_GOC!$E:$E,$C1966,DATA_GOC!$F:$F,"Xuất nội bộ từ téc",DATA_GOC!$B:$B,"&gt;="&amp;$D1966,DATA_GOC!$B:$B,"&lt;="&amp;$E1966))</f>
        <v/>
      </c>
      <c r="J1966" s="59">
        <f t="shared" si="28"/>
        <v>0</v>
      </c>
      <c r="K1966" s="59">
        <f t="shared" si="29"/>
        <v>0</v>
      </c>
      <c r="L1966" s="59">
        <f t="shared" si="30"/>
        <v>0</v>
      </c>
      <c r="M1966" s="59">
        <f t="shared" si="31"/>
        <v>0</v>
      </c>
    </row>
    <row r="1967" ht="15.0" hidden="1" customHeight="1">
      <c r="A1967" s="59">
        <f t="shared" si="20"/>
        <v>29</v>
      </c>
      <c r="B1967" s="59" t="str">
        <f t="shared" si="21"/>
        <v/>
      </c>
      <c r="C1967" s="59" t="str">
        <f t="shared" si="22"/>
        <v/>
      </c>
      <c r="D1967" s="45" t="str">
        <f t="shared" si="23"/>
        <v/>
      </c>
      <c r="E1967" s="45" t="str">
        <f t="shared" si="24"/>
        <v/>
      </c>
      <c r="F1967" s="59" t="str">
        <f t="shared" si="25"/>
        <v/>
      </c>
      <c r="G1967" s="59" t="str">
        <f t="shared" si="26"/>
        <v/>
      </c>
      <c r="H1967" s="59" t="str">
        <f t="shared" si="27"/>
        <v>Cát nghiền</v>
      </c>
      <c r="I1967" s="59" t="str">
        <f>IF(OR($A1967="",$C1967="",$D1967="",$E1967="",$H1967=""),"",SUMIFS(DATA_GOC!$H:$H,DATA_GOC!$A:$A,"BOM",DATA_GOC!$D:$D,$H1967,DATA_GOC!$E:$E,$C1967,DATA_GOC!$F:$F,"Xuất nội bộ từ téc",DATA_GOC!$B:$B,"&gt;="&amp;$D1967,DATA_GOC!$B:$B,"&lt;="&amp;$E1967))</f>
        <v/>
      </c>
      <c r="J1967" s="59">
        <f t="shared" si="28"/>
        <v>0</v>
      </c>
      <c r="K1967" s="59">
        <f t="shared" si="29"/>
        <v>0</v>
      </c>
      <c r="L1967" s="59">
        <f t="shared" si="30"/>
        <v>0</v>
      </c>
      <c r="M1967" s="59">
        <f t="shared" si="31"/>
        <v>0</v>
      </c>
    </row>
    <row r="1968" ht="15.0" hidden="1" customHeight="1">
      <c r="A1968" s="59">
        <f t="shared" si="20"/>
        <v>29</v>
      </c>
      <c r="B1968" s="59" t="str">
        <f t="shared" si="21"/>
        <v/>
      </c>
      <c r="C1968" s="59" t="str">
        <f t="shared" si="22"/>
        <v/>
      </c>
      <c r="D1968" s="45" t="str">
        <f t="shared" si="23"/>
        <v/>
      </c>
      <c r="E1968" s="45" t="str">
        <f t="shared" si="24"/>
        <v/>
      </c>
      <c r="F1968" s="59" t="str">
        <f t="shared" si="25"/>
        <v/>
      </c>
      <c r="G1968" s="59" t="str">
        <f t="shared" si="26"/>
        <v/>
      </c>
      <c r="H1968" s="59" t="str">
        <f t="shared" si="27"/>
        <v>28C02973</v>
      </c>
      <c r="I1968" s="59" t="str">
        <f>IF(OR($A1968="",$C1968="",$D1968="",$E1968="",$H1968=""),"",SUMIFS(DATA_GOC!$H:$H,DATA_GOC!$A:$A,"BOM",DATA_GOC!$D:$D,$H1968,DATA_GOC!$E:$E,$C1968,DATA_GOC!$F:$F,"Xuất nội bộ từ téc",DATA_GOC!$B:$B,"&gt;="&amp;$D1968,DATA_GOC!$B:$B,"&lt;="&amp;$E1968))</f>
        <v/>
      </c>
      <c r="J1968" s="59">
        <f t="shared" si="28"/>
        <v>0</v>
      </c>
      <c r="K1968" s="59">
        <f t="shared" si="29"/>
        <v>0</v>
      </c>
      <c r="L1968" s="59">
        <f t="shared" si="30"/>
        <v>0</v>
      </c>
      <c r="M1968" s="59">
        <f t="shared" si="31"/>
        <v>0</v>
      </c>
    </row>
    <row r="1969" ht="15.0" hidden="1" customHeight="1">
      <c r="A1969" s="59">
        <f t="shared" si="20"/>
        <v>29</v>
      </c>
      <c r="B1969" s="59" t="str">
        <f t="shared" si="21"/>
        <v/>
      </c>
      <c r="C1969" s="59" t="str">
        <f t="shared" si="22"/>
        <v/>
      </c>
      <c r="D1969" s="45" t="str">
        <f t="shared" si="23"/>
        <v/>
      </c>
      <c r="E1969" s="45" t="str">
        <f t="shared" si="24"/>
        <v/>
      </c>
      <c r="F1969" s="59" t="str">
        <f t="shared" si="25"/>
        <v/>
      </c>
      <c r="G1969" s="59" t="str">
        <f t="shared" si="26"/>
        <v/>
      </c>
      <c r="H1969" s="59" t="str">
        <f t="shared" si="27"/>
        <v>28C03044</v>
      </c>
      <c r="I1969" s="59" t="str">
        <f>IF(OR($A1969="",$C1969="",$D1969="",$E1969="",$H1969=""),"",SUMIFS(DATA_GOC!$H:$H,DATA_GOC!$A:$A,"BOM",DATA_GOC!$D:$D,$H1969,DATA_GOC!$E:$E,$C1969,DATA_GOC!$F:$F,"Xuất nội bộ từ téc",DATA_GOC!$B:$B,"&gt;="&amp;$D1969,DATA_GOC!$B:$B,"&lt;="&amp;$E1969))</f>
        <v/>
      </c>
      <c r="J1969" s="59">
        <f t="shared" si="28"/>
        <v>0</v>
      </c>
      <c r="K1969" s="59">
        <f t="shared" si="29"/>
        <v>0</v>
      </c>
      <c r="L1969" s="59">
        <f t="shared" si="30"/>
        <v>0</v>
      </c>
      <c r="M1969" s="59">
        <f t="shared" si="31"/>
        <v>0</v>
      </c>
    </row>
    <row r="1970" ht="15.0" hidden="1" customHeight="1">
      <c r="A1970" s="59">
        <f t="shared" si="20"/>
        <v>29</v>
      </c>
      <c r="B1970" s="59" t="str">
        <f t="shared" si="21"/>
        <v/>
      </c>
      <c r="C1970" s="59" t="str">
        <f t="shared" si="22"/>
        <v/>
      </c>
      <c r="D1970" s="45" t="str">
        <f t="shared" si="23"/>
        <v/>
      </c>
      <c r="E1970" s="45" t="str">
        <f t="shared" si="24"/>
        <v/>
      </c>
      <c r="F1970" s="59" t="str">
        <f t="shared" si="25"/>
        <v/>
      </c>
      <c r="G1970" s="59" t="str">
        <f t="shared" si="26"/>
        <v/>
      </c>
      <c r="H1970" s="59" t="str">
        <f t="shared" si="27"/>
        <v>Máy lu lốp</v>
      </c>
      <c r="I1970" s="59" t="str">
        <f>IF(OR($A1970="",$C1970="",$D1970="",$E1970="",$H1970=""),"",SUMIFS(DATA_GOC!$H:$H,DATA_GOC!$A:$A,"BOM",DATA_GOC!$D:$D,$H1970,DATA_GOC!$E:$E,$C1970,DATA_GOC!$F:$F,"Xuất nội bộ từ téc",DATA_GOC!$B:$B,"&gt;="&amp;$D1970,DATA_GOC!$B:$B,"&lt;="&amp;$E1970))</f>
        <v/>
      </c>
      <c r="J1970" s="59">
        <f t="shared" si="28"/>
        <v>0</v>
      </c>
      <c r="K1970" s="59">
        <f t="shared" si="29"/>
        <v>0</v>
      </c>
      <c r="L1970" s="59">
        <f t="shared" si="30"/>
        <v>0</v>
      </c>
      <c r="M1970" s="59">
        <f t="shared" si="31"/>
        <v>0</v>
      </c>
    </row>
    <row r="1971" ht="15.0" hidden="1" customHeight="1">
      <c r="A1971" s="59">
        <f t="shared" si="20"/>
        <v>29</v>
      </c>
      <c r="B1971" s="59" t="str">
        <f t="shared" si="21"/>
        <v/>
      </c>
      <c r="C1971" s="59" t="str">
        <f t="shared" si="22"/>
        <v/>
      </c>
      <c r="D1971" s="45" t="str">
        <f t="shared" si="23"/>
        <v/>
      </c>
      <c r="E1971" s="45" t="str">
        <f t="shared" si="24"/>
        <v/>
      </c>
      <c r="F1971" s="59" t="str">
        <f t="shared" si="25"/>
        <v/>
      </c>
      <c r="G1971" s="59" t="str">
        <f t="shared" si="26"/>
        <v/>
      </c>
      <c r="H1971" s="59" t="str">
        <f t="shared" si="27"/>
        <v>Xe 600148</v>
      </c>
      <c r="I1971" s="59" t="str">
        <f>IF(OR($A1971="",$C1971="",$D1971="",$E1971="",$H1971=""),"",SUMIFS(DATA_GOC!$H:$H,DATA_GOC!$A:$A,"BOM",DATA_GOC!$D:$D,$H1971,DATA_GOC!$E:$E,$C1971,DATA_GOC!$F:$F,"Xuất nội bộ từ téc",DATA_GOC!$B:$B,"&gt;="&amp;$D1971,DATA_GOC!$B:$B,"&lt;="&amp;$E1971))</f>
        <v/>
      </c>
      <c r="J1971" s="59">
        <f t="shared" si="28"/>
        <v>0</v>
      </c>
      <c r="K1971" s="59">
        <f t="shared" si="29"/>
        <v>0</v>
      </c>
      <c r="L1971" s="59">
        <f t="shared" si="30"/>
        <v>0</v>
      </c>
      <c r="M1971" s="59">
        <f t="shared" si="31"/>
        <v>0</v>
      </c>
    </row>
    <row r="1972" ht="15.0" hidden="1" customHeight="1">
      <c r="A1972" s="59">
        <f t="shared" si="20"/>
        <v>29</v>
      </c>
      <c r="B1972" s="59" t="str">
        <f t="shared" si="21"/>
        <v/>
      </c>
      <c r="C1972" s="59" t="str">
        <f t="shared" si="22"/>
        <v/>
      </c>
      <c r="D1972" s="45" t="str">
        <f t="shared" si="23"/>
        <v/>
      </c>
      <c r="E1972" s="45" t="str">
        <f t="shared" si="24"/>
        <v/>
      </c>
      <c r="F1972" s="59" t="str">
        <f t="shared" si="25"/>
        <v/>
      </c>
      <c r="G1972" s="59" t="str">
        <f t="shared" si="26"/>
        <v/>
      </c>
      <c r="H1972" s="59" t="str">
        <f t="shared" si="27"/>
        <v>Xe ben mới</v>
      </c>
      <c r="I1972" s="59" t="str">
        <f>IF(OR($A1972="",$C1972="",$D1972="",$E1972="",$H1972=""),"",SUMIFS(DATA_GOC!$H:$H,DATA_GOC!$A:$A,"BOM",DATA_GOC!$D:$D,$H1972,DATA_GOC!$E:$E,$C1972,DATA_GOC!$F:$F,"Xuất nội bộ từ téc",DATA_GOC!$B:$B,"&gt;="&amp;$D1972,DATA_GOC!$B:$B,"&lt;="&amp;$E1972))</f>
        <v/>
      </c>
      <c r="J1972" s="59">
        <f t="shared" si="28"/>
        <v>0</v>
      </c>
      <c r="K1972" s="59">
        <f t="shared" si="29"/>
        <v>0</v>
      </c>
      <c r="L1972" s="59">
        <f t="shared" si="30"/>
        <v>0</v>
      </c>
      <c r="M1972" s="59">
        <f t="shared" si="31"/>
        <v>0</v>
      </c>
    </row>
    <row r="1973" ht="15.0" hidden="1" customHeight="1">
      <c r="A1973" s="59">
        <f t="shared" si="20"/>
        <v>30</v>
      </c>
      <c r="B1973" s="59" t="str">
        <f t="shared" si="21"/>
        <v/>
      </c>
      <c r="C1973" s="59" t="str">
        <f t="shared" si="22"/>
        <v/>
      </c>
      <c r="D1973" s="45" t="str">
        <f t="shared" si="23"/>
        <v/>
      </c>
      <c r="E1973" s="45" t="str">
        <f t="shared" si="24"/>
        <v/>
      </c>
      <c r="F1973" s="59" t="str">
        <f t="shared" si="25"/>
        <v/>
      </c>
      <c r="G1973" s="59" t="str">
        <f t="shared" si="26"/>
        <v/>
      </c>
      <c r="H1973" s="59" t="str">
        <f t="shared" si="27"/>
        <v>19H09482</v>
      </c>
      <c r="I1973" s="59" t="str">
        <f>IF(OR($A1973="",$C1973="",$D1973="",$E1973="",$H1973=""),"",SUMIFS(DATA_GOC!$H:$H,DATA_GOC!$A:$A,"BOM",DATA_GOC!$D:$D,$H1973,DATA_GOC!$E:$E,$C1973,DATA_GOC!$F:$F,"Xuất nội bộ từ téc",DATA_GOC!$B:$B,"&gt;="&amp;$D1973,DATA_GOC!$B:$B,"&lt;="&amp;$E1973))</f>
        <v/>
      </c>
      <c r="J1973" s="59">
        <f t="shared" si="28"/>
        <v>0</v>
      </c>
      <c r="K1973" s="59">
        <f t="shared" si="29"/>
        <v>0</v>
      </c>
      <c r="L1973" s="59">
        <f t="shared" si="30"/>
        <v>0</v>
      </c>
      <c r="M1973" s="59">
        <f t="shared" si="31"/>
        <v>0</v>
      </c>
    </row>
    <row r="1974" ht="15.0" hidden="1" customHeight="1">
      <c r="A1974" s="59">
        <f t="shared" si="20"/>
        <v>30</v>
      </c>
      <c r="B1974" s="59" t="str">
        <f t="shared" si="21"/>
        <v/>
      </c>
      <c r="C1974" s="59" t="str">
        <f t="shared" si="22"/>
        <v/>
      </c>
      <c r="D1974" s="45" t="str">
        <f t="shared" si="23"/>
        <v/>
      </c>
      <c r="E1974" s="45" t="str">
        <f t="shared" si="24"/>
        <v/>
      </c>
      <c r="F1974" s="59" t="str">
        <f t="shared" si="25"/>
        <v/>
      </c>
      <c r="G1974" s="59" t="str">
        <f t="shared" si="26"/>
        <v/>
      </c>
      <c r="H1974" s="59" t="str">
        <f t="shared" si="27"/>
        <v>28A30696</v>
      </c>
      <c r="I1974" s="59" t="str">
        <f>IF(OR($A1974="",$C1974="",$D1974="",$E1974="",$H1974=""),"",SUMIFS(DATA_GOC!$H:$H,DATA_GOC!$A:$A,"BOM",DATA_GOC!$D:$D,$H1974,DATA_GOC!$E:$E,$C1974,DATA_GOC!$F:$F,"Xuất nội bộ từ téc",DATA_GOC!$B:$B,"&gt;="&amp;$D1974,DATA_GOC!$B:$B,"&lt;="&amp;$E1974))</f>
        <v/>
      </c>
      <c r="J1974" s="59">
        <f t="shared" si="28"/>
        <v>0</v>
      </c>
      <c r="K1974" s="59">
        <f t="shared" si="29"/>
        <v>0</v>
      </c>
      <c r="L1974" s="59">
        <f t="shared" si="30"/>
        <v>0</v>
      </c>
      <c r="M1974" s="59">
        <f t="shared" si="31"/>
        <v>0</v>
      </c>
    </row>
    <row r="1975" ht="15.0" hidden="1" customHeight="1">
      <c r="A1975" s="59">
        <f t="shared" si="20"/>
        <v>30</v>
      </c>
      <c r="B1975" s="59" t="str">
        <f t="shared" si="21"/>
        <v/>
      </c>
      <c r="C1975" s="59" t="str">
        <f t="shared" si="22"/>
        <v/>
      </c>
      <c r="D1975" s="45" t="str">
        <f t="shared" si="23"/>
        <v/>
      </c>
      <c r="E1975" s="45" t="str">
        <f t="shared" si="24"/>
        <v/>
      </c>
      <c r="F1975" s="59" t="str">
        <f t="shared" si="25"/>
        <v/>
      </c>
      <c r="G1975" s="59" t="str">
        <f t="shared" si="26"/>
        <v/>
      </c>
      <c r="H1975" s="59" t="str">
        <f t="shared" si="27"/>
        <v>28C00462</v>
      </c>
      <c r="I1975" s="59" t="str">
        <f>IF(OR($A1975="",$C1975="",$D1975="",$E1975="",$H1975=""),"",SUMIFS(DATA_GOC!$H:$H,DATA_GOC!$A:$A,"BOM",DATA_GOC!$D:$D,$H1975,DATA_GOC!$E:$E,$C1975,DATA_GOC!$F:$F,"Xuất nội bộ từ téc",DATA_GOC!$B:$B,"&gt;="&amp;$D1975,DATA_GOC!$B:$B,"&lt;="&amp;$E1975))</f>
        <v/>
      </c>
      <c r="J1975" s="59">
        <f t="shared" si="28"/>
        <v>0</v>
      </c>
      <c r="K1975" s="59">
        <f t="shared" si="29"/>
        <v>0</v>
      </c>
      <c r="L1975" s="59">
        <f t="shared" si="30"/>
        <v>0</v>
      </c>
      <c r="M1975" s="59">
        <f t="shared" si="31"/>
        <v>0</v>
      </c>
    </row>
    <row r="1976" ht="15.0" hidden="1" customHeight="1">
      <c r="A1976" s="59">
        <f t="shared" si="20"/>
        <v>30</v>
      </c>
      <c r="B1976" s="59" t="str">
        <f t="shared" si="21"/>
        <v/>
      </c>
      <c r="C1976" s="59" t="str">
        <f t="shared" si="22"/>
        <v/>
      </c>
      <c r="D1976" s="45" t="str">
        <f t="shared" si="23"/>
        <v/>
      </c>
      <c r="E1976" s="45" t="str">
        <f t="shared" si="24"/>
        <v/>
      </c>
      <c r="F1976" s="59" t="str">
        <f t="shared" si="25"/>
        <v/>
      </c>
      <c r="G1976" s="59" t="str">
        <f t="shared" si="26"/>
        <v/>
      </c>
      <c r="H1976" s="59" t="str">
        <f t="shared" si="27"/>
        <v>28C01165</v>
      </c>
      <c r="I1976" s="59" t="str">
        <f>IF(OR($A1976="",$C1976="",$D1976="",$E1976="",$H1976=""),"",SUMIFS(DATA_GOC!$H:$H,DATA_GOC!$A:$A,"BOM",DATA_GOC!$D:$D,$H1976,DATA_GOC!$E:$E,$C1976,DATA_GOC!$F:$F,"Xuất nội bộ từ téc",DATA_GOC!$B:$B,"&gt;="&amp;$D1976,DATA_GOC!$B:$B,"&lt;="&amp;$E1976))</f>
        <v/>
      </c>
      <c r="J1976" s="59">
        <f t="shared" si="28"/>
        <v>0</v>
      </c>
      <c r="K1976" s="59">
        <f t="shared" si="29"/>
        <v>0</v>
      </c>
      <c r="L1976" s="59">
        <f t="shared" si="30"/>
        <v>0</v>
      </c>
      <c r="M1976" s="59">
        <f t="shared" si="31"/>
        <v>0</v>
      </c>
    </row>
    <row r="1977" ht="15.0" hidden="1" customHeight="1">
      <c r="A1977" s="59">
        <f t="shared" si="20"/>
        <v>30</v>
      </c>
      <c r="B1977" s="59" t="str">
        <f t="shared" si="21"/>
        <v/>
      </c>
      <c r="C1977" s="59" t="str">
        <f t="shared" si="22"/>
        <v/>
      </c>
      <c r="D1977" s="45" t="str">
        <f t="shared" si="23"/>
        <v/>
      </c>
      <c r="E1977" s="45" t="str">
        <f t="shared" si="24"/>
        <v/>
      </c>
      <c r="F1977" s="59" t="str">
        <f t="shared" si="25"/>
        <v/>
      </c>
      <c r="G1977" s="59" t="str">
        <f t="shared" si="26"/>
        <v/>
      </c>
      <c r="H1977" s="59" t="str">
        <f t="shared" si="27"/>
        <v>28C01406</v>
      </c>
      <c r="I1977" s="59" t="str">
        <f>IF(OR($A1977="",$C1977="",$D1977="",$E1977="",$H1977=""),"",SUMIFS(DATA_GOC!$H:$H,DATA_GOC!$A:$A,"BOM",DATA_GOC!$D:$D,$H1977,DATA_GOC!$E:$E,$C1977,DATA_GOC!$F:$F,"Xuất nội bộ từ téc",DATA_GOC!$B:$B,"&gt;="&amp;$D1977,DATA_GOC!$B:$B,"&lt;="&amp;$E1977))</f>
        <v/>
      </c>
      <c r="J1977" s="59">
        <f t="shared" si="28"/>
        <v>0</v>
      </c>
      <c r="K1977" s="59">
        <f t="shared" si="29"/>
        <v>0</v>
      </c>
      <c r="L1977" s="59">
        <f t="shared" si="30"/>
        <v>0</v>
      </c>
      <c r="M1977" s="59">
        <f t="shared" si="31"/>
        <v>0</v>
      </c>
    </row>
    <row r="1978" ht="15.0" hidden="1" customHeight="1">
      <c r="A1978" s="59">
        <f t="shared" si="20"/>
        <v>30</v>
      </c>
      <c r="B1978" s="59" t="str">
        <f t="shared" si="21"/>
        <v/>
      </c>
      <c r="C1978" s="59" t="str">
        <f t="shared" si="22"/>
        <v/>
      </c>
      <c r="D1978" s="45" t="str">
        <f t="shared" si="23"/>
        <v/>
      </c>
      <c r="E1978" s="45" t="str">
        <f t="shared" si="24"/>
        <v/>
      </c>
      <c r="F1978" s="59" t="str">
        <f t="shared" si="25"/>
        <v/>
      </c>
      <c r="G1978" s="59" t="str">
        <f t="shared" si="26"/>
        <v/>
      </c>
      <c r="H1978" s="59" t="str">
        <f t="shared" si="27"/>
        <v>28C01544</v>
      </c>
      <c r="I1978" s="59" t="str">
        <f>IF(OR($A1978="",$C1978="",$D1978="",$E1978="",$H1978=""),"",SUMIFS(DATA_GOC!$H:$H,DATA_GOC!$A:$A,"BOM",DATA_GOC!$D:$D,$H1978,DATA_GOC!$E:$E,$C1978,DATA_GOC!$F:$F,"Xuất nội bộ từ téc",DATA_GOC!$B:$B,"&gt;="&amp;$D1978,DATA_GOC!$B:$B,"&lt;="&amp;$E1978))</f>
        <v/>
      </c>
      <c r="J1978" s="59">
        <f t="shared" si="28"/>
        <v>0</v>
      </c>
      <c r="K1978" s="59">
        <f t="shared" si="29"/>
        <v>0</v>
      </c>
      <c r="L1978" s="59">
        <f t="shared" si="30"/>
        <v>0</v>
      </c>
      <c r="M1978" s="59">
        <f t="shared" si="31"/>
        <v>0</v>
      </c>
    </row>
    <row r="1979" ht="15.0" hidden="1" customHeight="1">
      <c r="A1979" s="59">
        <f t="shared" si="20"/>
        <v>30</v>
      </c>
      <c r="B1979" s="59" t="str">
        <f t="shared" si="21"/>
        <v/>
      </c>
      <c r="C1979" s="59" t="str">
        <f t="shared" si="22"/>
        <v/>
      </c>
      <c r="D1979" s="45" t="str">
        <f t="shared" si="23"/>
        <v/>
      </c>
      <c r="E1979" s="45" t="str">
        <f t="shared" si="24"/>
        <v/>
      </c>
      <c r="F1979" s="59" t="str">
        <f t="shared" si="25"/>
        <v/>
      </c>
      <c r="G1979" s="59" t="str">
        <f t="shared" si="26"/>
        <v/>
      </c>
      <c r="H1979" s="59" t="str">
        <f t="shared" si="27"/>
        <v>28C01622</v>
      </c>
      <c r="I1979" s="59" t="str">
        <f>IF(OR($A1979="",$C1979="",$D1979="",$E1979="",$H1979=""),"",SUMIFS(DATA_GOC!$H:$H,DATA_GOC!$A:$A,"BOM",DATA_GOC!$D:$D,$H1979,DATA_GOC!$E:$E,$C1979,DATA_GOC!$F:$F,"Xuất nội bộ từ téc",DATA_GOC!$B:$B,"&gt;="&amp;$D1979,DATA_GOC!$B:$B,"&lt;="&amp;$E1979))</f>
        <v/>
      </c>
      <c r="J1979" s="59">
        <f t="shared" si="28"/>
        <v>0</v>
      </c>
      <c r="K1979" s="59">
        <f t="shared" si="29"/>
        <v>0</v>
      </c>
      <c r="L1979" s="59">
        <f t="shared" si="30"/>
        <v>0</v>
      </c>
      <c r="M1979" s="59">
        <f t="shared" si="31"/>
        <v>0</v>
      </c>
    </row>
    <row r="1980" ht="15.0" hidden="1" customHeight="1">
      <c r="A1980" s="59">
        <f t="shared" si="20"/>
        <v>30</v>
      </c>
      <c r="B1980" s="59" t="str">
        <f t="shared" si="21"/>
        <v/>
      </c>
      <c r="C1980" s="59" t="str">
        <f t="shared" si="22"/>
        <v/>
      </c>
      <c r="D1980" s="45" t="str">
        <f t="shared" si="23"/>
        <v/>
      </c>
      <c r="E1980" s="45" t="str">
        <f t="shared" si="24"/>
        <v/>
      </c>
      <c r="F1980" s="59" t="str">
        <f t="shared" si="25"/>
        <v/>
      </c>
      <c r="G1980" s="59" t="str">
        <f t="shared" si="26"/>
        <v/>
      </c>
      <c r="H1980" s="59" t="str">
        <f t="shared" si="27"/>
        <v>28C01647</v>
      </c>
      <c r="I1980" s="59" t="str">
        <f>IF(OR($A1980="",$C1980="",$D1980="",$E1980="",$H1980=""),"",SUMIFS(DATA_GOC!$H:$H,DATA_GOC!$A:$A,"BOM",DATA_GOC!$D:$D,$H1980,DATA_GOC!$E:$E,$C1980,DATA_GOC!$F:$F,"Xuất nội bộ từ téc",DATA_GOC!$B:$B,"&gt;="&amp;$D1980,DATA_GOC!$B:$B,"&lt;="&amp;$E1980))</f>
        <v/>
      </c>
      <c r="J1980" s="59">
        <f t="shared" si="28"/>
        <v>0</v>
      </c>
      <c r="K1980" s="59">
        <f t="shared" si="29"/>
        <v>0</v>
      </c>
      <c r="L1980" s="59">
        <f t="shared" si="30"/>
        <v>0</v>
      </c>
      <c r="M1980" s="59">
        <f t="shared" si="31"/>
        <v>0</v>
      </c>
    </row>
    <row r="1981" ht="15.0" hidden="1" customHeight="1">
      <c r="A1981" s="59">
        <f t="shared" si="20"/>
        <v>30</v>
      </c>
      <c r="B1981" s="59" t="str">
        <f t="shared" si="21"/>
        <v/>
      </c>
      <c r="C1981" s="59" t="str">
        <f t="shared" si="22"/>
        <v/>
      </c>
      <c r="D1981" s="45" t="str">
        <f t="shared" si="23"/>
        <v/>
      </c>
      <c r="E1981" s="45" t="str">
        <f t="shared" si="24"/>
        <v/>
      </c>
      <c r="F1981" s="59" t="str">
        <f t="shared" si="25"/>
        <v/>
      </c>
      <c r="G1981" s="59" t="str">
        <f t="shared" si="26"/>
        <v/>
      </c>
      <c r="H1981" s="59" t="str">
        <f t="shared" si="27"/>
        <v>28C01731</v>
      </c>
      <c r="I1981" s="59" t="str">
        <f>IF(OR($A1981="",$C1981="",$D1981="",$E1981="",$H1981=""),"",SUMIFS(DATA_GOC!$H:$H,DATA_GOC!$A:$A,"BOM",DATA_GOC!$D:$D,$H1981,DATA_GOC!$E:$E,$C1981,DATA_GOC!$F:$F,"Xuất nội bộ từ téc",DATA_GOC!$B:$B,"&gt;="&amp;$D1981,DATA_GOC!$B:$B,"&lt;="&amp;$E1981))</f>
        <v/>
      </c>
      <c r="J1981" s="59">
        <f t="shared" si="28"/>
        <v>0</v>
      </c>
      <c r="K1981" s="59">
        <f t="shared" si="29"/>
        <v>0</v>
      </c>
      <c r="L1981" s="59">
        <f t="shared" si="30"/>
        <v>0</v>
      </c>
      <c r="M1981" s="59">
        <f t="shared" si="31"/>
        <v>0</v>
      </c>
    </row>
    <row r="1982" ht="15.0" hidden="1" customHeight="1">
      <c r="A1982" s="59">
        <f t="shared" si="20"/>
        <v>30</v>
      </c>
      <c r="B1982" s="59" t="str">
        <f t="shared" si="21"/>
        <v/>
      </c>
      <c r="C1982" s="59" t="str">
        <f t="shared" si="22"/>
        <v/>
      </c>
      <c r="D1982" s="45" t="str">
        <f t="shared" si="23"/>
        <v/>
      </c>
      <c r="E1982" s="45" t="str">
        <f t="shared" si="24"/>
        <v/>
      </c>
      <c r="F1982" s="59" t="str">
        <f t="shared" si="25"/>
        <v/>
      </c>
      <c r="G1982" s="59" t="str">
        <f t="shared" si="26"/>
        <v/>
      </c>
      <c r="H1982" s="59" t="str">
        <f t="shared" si="27"/>
        <v>28C01743</v>
      </c>
      <c r="I1982" s="59" t="str">
        <f>IF(OR($A1982="",$C1982="",$D1982="",$E1982="",$H1982=""),"",SUMIFS(DATA_GOC!$H:$H,DATA_GOC!$A:$A,"BOM",DATA_GOC!$D:$D,$H1982,DATA_GOC!$E:$E,$C1982,DATA_GOC!$F:$F,"Xuất nội bộ từ téc",DATA_GOC!$B:$B,"&gt;="&amp;$D1982,DATA_GOC!$B:$B,"&lt;="&amp;$E1982))</f>
        <v/>
      </c>
      <c r="J1982" s="59">
        <f t="shared" si="28"/>
        <v>0</v>
      </c>
      <c r="K1982" s="59">
        <f t="shared" si="29"/>
        <v>0</v>
      </c>
      <c r="L1982" s="59">
        <f t="shared" si="30"/>
        <v>0</v>
      </c>
      <c r="M1982" s="59">
        <f t="shared" si="31"/>
        <v>0</v>
      </c>
    </row>
    <row r="1983" ht="15.0" hidden="1" customHeight="1">
      <c r="A1983" s="59">
        <f t="shared" si="20"/>
        <v>30</v>
      </c>
      <c r="B1983" s="59" t="str">
        <f t="shared" si="21"/>
        <v/>
      </c>
      <c r="C1983" s="59" t="str">
        <f t="shared" si="22"/>
        <v/>
      </c>
      <c r="D1983" s="45" t="str">
        <f t="shared" si="23"/>
        <v/>
      </c>
      <c r="E1983" s="45" t="str">
        <f t="shared" si="24"/>
        <v/>
      </c>
      <c r="F1983" s="59" t="str">
        <f t="shared" si="25"/>
        <v/>
      </c>
      <c r="G1983" s="59" t="str">
        <f t="shared" si="26"/>
        <v/>
      </c>
      <c r="H1983" s="59" t="str">
        <f t="shared" si="27"/>
        <v>28C02106</v>
      </c>
      <c r="I1983" s="59" t="str">
        <f>IF(OR($A1983="",$C1983="",$D1983="",$E1983="",$H1983=""),"",SUMIFS(DATA_GOC!$H:$H,DATA_GOC!$A:$A,"BOM",DATA_GOC!$D:$D,$H1983,DATA_GOC!$E:$E,$C1983,DATA_GOC!$F:$F,"Xuất nội bộ từ téc",DATA_GOC!$B:$B,"&gt;="&amp;$D1983,DATA_GOC!$B:$B,"&lt;="&amp;$E1983))</f>
        <v/>
      </c>
      <c r="J1983" s="59">
        <f t="shared" si="28"/>
        <v>0</v>
      </c>
      <c r="K1983" s="59">
        <f t="shared" si="29"/>
        <v>0</v>
      </c>
      <c r="L1983" s="59">
        <f t="shared" si="30"/>
        <v>0</v>
      </c>
      <c r="M1983" s="59">
        <f t="shared" si="31"/>
        <v>0</v>
      </c>
    </row>
    <row r="1984" ht="15.0" hidden="1" customHeight="1">
      <c r="A1984" s="59">
        <f t="shared" si="20"/>
        <v>30</v>
      </c>
      <c r="B1984" s="59" t="str">
        <f t="shared" si="21"/>
        <v/>
      </c>
      <c r="C1984" s="59" t="str">
        <f t="shared" si="22"/>
        <v/>
      </c>
      <c r="D1984" s="45" t="str">
        <f t="shared" si="23"/>
        <v/>
      </c>
      <c r="E1984" s="45" t="str">
        <f t="shared" si="24"/>
        <v/>
      </c>
      <c r="F1984" s="59" t="str">
        <f t="shared" si="25"/>
        <v/>
      </c>
      <c r="G1984" s="59" t="str">
        <f t="shared" si="26"/>
        <v/>
      </c>
      <c r="H1984" s="59" t="str">
        <f t="shared" si="27"/>
        <v>28C02410</v>
      </c>
      <c r="I1984" s="59" t="str">
        <f>IF(OR($A1984="",$C1984="",$D1984="",$E1984="",$H1984=""),"",SUMIFS(DATA_GOC!$H:$H,DATA_GOC!$A:$A,"BOM",DATA_GOC!$D:$D,$H1984,DATA_GOC!$E:$E,$C1984,DATA_GOC!$F:$F,"Xuất nội bộ từ téc",DATA_GOC!$B:$B,"&gt;="&amp;$D1984,DATA_GOC!$B:$B,"&lt;="&amp;$E1984))</f>
        <v/>
      </c>
      <c r="J1984" s="59">
        <f t="shared" si="28"/>
        <v>0</v>
      </c>
      <c r="K1984" s="59">
        <f t="shared" si="29"/>
        <v>0</v>
      </c>
      <c r="L1984" s="59">
        <f t="shared" si="30"/>
        <v>0</v>
      </c>
      <c r="M1984" s="59">
        <f t="shared" si="31"/>
        <v>0</v>
      </c>
    </row>
    <row r="1985" ht="15.0" hidden="1" customHeight="1">
      <c r="A1985" s="59">
        <f t="shared" si="20"/>
        <v>30</v>
      </c>
      <c r="B1985" s="59" t="str">
        <f t="shared" si="21"/>
        <v/>
      </c>
      <c r="C1985" s="59" t="str">
        <f t="shared" si="22"/>
        <v/>
      </c>
      <c r="D1985" s="45" t="str">
        <f t="shared" si="23"/>
        <v/>
      </c>
      <c r="E1985" s="45" t="str">
        <f t="shared" si="24"/>
        <v/>
      </c>
      <c r="F1985" s="59" t="str">
        <f t="shared" si="25"/>
        <v/>
      </c>
      <c r="G1985" s="59" t="str">
        <f t="shared" si="26"/>
        <v/>
      </c>
      <c r="H1985" s="59" t="str">
        <f t="shared" si="27"/>
        <v>28C02545</v>
      </c>
      <c r="I1985" s="59" t="str">
        <f>IF(OR($A1985="",$C1985="",$D1985="",$E1985="",$H1985=""),"",SUMIFS(DATA_GOC!$H:$H,DATA_GOC!$A:$A,"BOM",DATA_GOC!$D:$D,$H1985,DATA_GOC!$E:$E,$C1985,DATA_GOC!$F:$F,"Xuất nội bộ từ téc",DATA_GOC!$B:$B,"&gt;="&amp;$D1985,DATA_GOC!$B:$B,"&lt;="&amp;$E1985))</f>
        <v/>
      </c>
      <c r="J1985" s="59">
        <f t="shared" si="28"/>
        <v>0</v>
      </c>
      <c r="K1985" s="59">
        <f t="shared" si="29"/>
        <v>0</v>
      </c>
      <c r="L1985" s="59">
        <f t="shared" si="30"/>
        <v>0</v>
      </c>
      <c r="M1985" s="59">
        <f t="shared" si="31"/>
        <v>0</v>
      </c>
    </row>
    <row r="1986" ht="15.0" hidden="1" customHeight="1">
      <c r="A1986" s="59">
        <f t="shared" si="20"/>
        <v>30</v>
      </c>
      <c r="B1986" s="59" t="str">
        <f t="shared" si="21"/>
        <v/>
      </c>
      <c r="C1986" s="59" t="str">
        <f t="shared" si="22"/>
        <v/>
      </c>
      <c r="D1986" s="45" t="str">
        <f t="shared" si="23"/>
        <v/>
      </c>
      <c r="E1986" s="45" t="str">
        <f t="shared" si="24"/>
        <v/>
      </c>
      <c r="F1986" s="59" t="str">
        <f t="shared" si="25"/>
        <v/>
      </c>
      <c r="G1986" s="59" t="str">
        <f t="shared" si="26"/>
        <v/>
      </c>
      <c r="H1986" s="59" t="str">
        <f t="shared" si="27"/>
        <v>28C02574</v>
      </c>
      <c r="I1986" s="59" t="str">
        <f>IF(OR($A1986="",$C1986="",$D1986="",$E1986="",$H1986=""),"",SUMIFS(DATA_GOC!$H:$H,DATA_GOC!$A:$A,"BOM",DATA_GOC!$D:$D,$H1986,DATA_GOC!$E:$E,$C1986,DATA_GOC!$F:$F,"Xuất nội bộ từ téc",DATA_GOC!$B:$B,"&gt;="&amp;$D1986,DATA_GOC!$B:$B,"&lt;="&amp;$E1986))</f>
        <v/>
      </c>
      <c r="J1986" s="59">
        <f t="shared" si="28"/>
        <v>0</v>
      </c>
      <c r="K1986" s="59">
        <f t="shared" si="29"/>
        <v>0</v>
      </c>
      <c r="L1986" s="59">
        <f t="shared" si="30"/>
        <v>0</v>
      </c>
      <c r="M1986" s="59">
        <f t="shared" si="31"/>
        <v>0</v>
      </c>
    </row>
    <row r="1987" ht="15.0" hidden="1" customHeight="1">
      <c r="A1987" s="59">
        <f t="shared" si="20"/>
        <v>30</v>
      </c>
      <c r="B1987" s="59" t="str">
        <f t="shared" si="21"/>
        <v/>
      </c>
      <c r="C1987" s="59" t="str">
        <f t="shared" si="22"/>
        <v/>
      </c>
      <c r="D1987" s="45" t="str">
        <f t="shared" si="23"/>
        <v/>
      </c>
      <c r="E1987" s="45" t="str">
        <f t="shared" si="24"/>
        <v/>
      </c>
      <c r="F1987" s="59" t="str">
        <f t="shared" si="25"/>
        <v/>
      </c>
      <c r="G1987" s="59" t="str">
        <f t="shared" si="26"/>
        <v/>
      </c>
      <c r="H1987" s="59" t="str">
        <f t="shared" si="27"/>
        <v>28C02770</v>
      </c>
      <c r="I1987" s="59" t="str">
        <f>IF(OR($A1987="",$C1987="",$D1987="",$E1987="",$H1987=""),"",SUMIFS(DATA_GOC!$H:$H,DATA_GOC!$A:$A,"BOM",DATA_GOC!$D:$D,$H1987,DATA_GOC!$E:$E,$C1987,DATA_GOC!$F:$F,"Xuất nội bộ từ téc",DATA_GOC!$B:$B,"&gt;="&amp;$D1987,DATA_GOC!$B:$B,"&lt;="&amp;$E1987))</f>
        <v/>
      </c>
      <c r="J1987" s="59">
        <f t="shared" si="28"/>
        <v>0</v>
      </c>
      <c r="K1987" s="59">
        <f t="shared" si="29"/>
        <v>0</v>
      </c>
      <c r="L1987" s="59">
        <f t="shared" si="30"/>
        <v>0</v>
      </c>
      <c r="M1987" s="59">
        <f t="shared" si="31"/>
        <v>0</v>
      </c>
    </row>
    <row r="1988" ht="15.0" hidden="1" customHeight="1">
      <c r="A1988" s="59">
        <f t="shared" si="20"/>
        <v>30</v>
      </c>
      <c r="B1988" s="59" t="str">
        <f t="shared" si="21"/>
        <v/>
      </c>
      <c r="C1988" s="59" t="str">
        <f t="shared" si="22"/>
        <v/>
      </c>
      <c r="D1988" s="45" t="str">
        <f t="shared" si="23"/>
        <v/>
      </c>
      <c r="E1988" s="45" t="str">
        <f t="shared" si="24"/>
        <v/>
      </c>
      <c r="F1988" s="59" t="str">
        <f t="shared" si="25"/>
        <v/>
      </c>
      <c r="G1988" s="59" t="str">
        <f t="shared" si="26"/>
        <v/>
      </c>
      <c r="H1988" s="59" t="str">
        <f t="shared" si="27"/>
        <v>28C02986</v>
      </c>
      <c r="I1988" s="59" t="str">
        <f>IF(OR($A1988="",$C1988="",$D1988="",$E1988="",$H1988=""),"",SUMIFS(DATA_GOC!$H:$H,DATA_GOC!$A:$A,"BOM",DATA_GOC!$D:$D,$H1988,DATA_GOC!$E:$E,$C1988,DATA_GOC!$F:$F,"Xuất nội bộ từ téc",DATA_GOC!$B:$B,"&gt;="&amp;$D1988,DATA_GOC!$B:$B,"&lt;="&amp;$E1988))</f>
        <v/>
      </c>
      <c r="J1988" s="59">
        <f t="shared" si="28"/>
        <v>0</v>
      </c>
      <c r="K1988" s="59">
        <f t="shared" si="29"/>
        <v>0</v>
      </c>
      <c r="L1988" s="59">
        <f t="shared" si="30"/>
        <v>0</v>
      </c>
      <c r="M1988" s="59">
        <f t="shared" si="31"/>
        <v>0</v>
      </c>
    </row>
    <row r="1989" ht="15.0" hidden="1" customHeight="1">
      <c r="A1989" s="59">
        <f t="shared" si="20"/>
        <v>30</v>
      </c>
      <c r="B1989" s="59" t="str">
        <f t="shared" si="21"/>
        <v/>
      </c>
      <c r="C1989" s="59" t="str">
        <f t="shared" si="22"/>
        <v/>
      </c>
      <c r="D1989" s="45" t="str">
        <f t="shared" si="23"/>
        <v/>
      </c>
      <c r="E1989" s="45" t="str">
        <f t="shared" si="24"/>
        <v/>
      </c>
      <c r="F1989" s="59" t="str">
        <f t="shared" si="25"/>
        <v/>
      </c>
      <c r="G1989" s="59" t="str">
        <f t="shared" si="26"/>
        <v/>
      </c>
      <c r="H1989" s="59" t="str">
        <f t="shared" si="27"/>
        <v>28C03261</v>
      </c>
      <c r="I1989" s="59" t="str">
        <f>IF(OR($A1989="",$C1989="",$D1989="",$E1989="",$H1989=""),"",SUMIFS(DATA_GOC!$H:$H,DATA_GOC!$A:$A,"BOM",DATA_GOC!$D:$D,$H1989,DATA_GOC!$E:$E,$C1989,DATA_GOC!$F:$F,"Xuất nội bộ từ téc",DATA_GOC!$B:$B,"&gt;="&amp;$D1989,DATA_GOC!$B:$B,"&lt;="&amp;$E1989))</f>
        <v/>
      </c>
      <c r="J1989" s="59">
        <f t="shared" si="28"/>
        <v>0</v>
      </c>
      <c r="K1989" s="59">
        <f t="shared" si="29"/>
        <v>0</v>
      </c>
      <c r="L1989" s="59">
        <f t="shared" si="30"/>
        <v>0</v>
      </c>
      <c r="M1989" s="59">
        <f t="shared" si="31"/>
        <v>0</v>
      </c>
    </row>
    <row r="1990" ht="15.0" hidden="1" customHeight="1">
      <c r="A1990" s="59">
        <f t="shared" si="20"/>
        <v>30</v>
      </c>
      <c r="B1990" s="59" t="str">
        <f t="shared" si="21"/>
        <v/>
      </c>
      <c r="C1990" s="59" t="str">
        <f t="shared" si="22"/>
        <v/>
      </c>
      <c r="D1990" s="45" t="str">
        <f t="shared" si="23"/>
        <v/>
      </c>
      <c r="E1990" s="45" t="str">
        <f t="shared" si="24"/>
        <v/>
      </c>
      <c r="F1990" s="59" t="str">
        <f t="shared" si="25"/>
        <v/>
      </c>
      <c r="G1990" s="59" t="str">
        <f t="shared" si="26"/>
        <v/>
      </c>
      <c r="H1990" s="59" t="str">
        <f t="shared" si="27"/>
        <v>28C03323</v>
      </c>
      <c r="I1990" s="59" t="str">
        <f>IF(OR($A1990="",$C1990="",$D1990="",$E1990="",$H1990=""),"",SUMIFS(DATA_GOC!$H:$H,DATA_GOC!$A:$A,"BOM",DATA_GOC!$D:$D,$H1990,DATA_GOC!$E:$E,$C1990,DATA_GOC!$F:$F,"Xuất nội bộ từ téc",DATA_GOC!$B:$B,"&gt;="&amp;$D1990,DATA_GOC!$B:$B,"&lt;="&amp;$E1990))</f>
        <v/>
      </c>
      <c r="J1990" s="59">
        <f t="shared" si="28"/>
        <v>0</v>
      </c>
      <c r="K1990" s="59">
        <f t="shared" si="29"/>
        <v>0</v>
      </c>
      <c r="L1990" s="59">
        <f t="shared" si="30"/>
        <v>0</v>
      </c>
      <c r="M1990" s="59">
        <f t="shared" si="31"/>
        <v>0</v>
      </c>
    </row>
    <row r="1991" ht="15.0" hidden="1" customHeight="1">
      <c r="A1991" s="59">
        <f t="shared" si="20"/>
        <v>30</v>
      </c>
      <c r="B1991" s="59" t="str">
        <f t="shared" si="21"/>
        <v/>
      </c>
      <c r="C1991" s="59" t="str">
        <f t="shared" si="22"/>
        <v/>
      </c>
      <c r="D1991" s="45" t="str">
        <f t="shared" si="23"/>
        <v/>
      </c>
      <c r="E1991" s="45" t="str">
        <f t="shared" si="24"/>
        <v/>
      </c>
      <c r="F1991" s="59" t="str">
        <f t="shared" si="25"/>
        <v/>
      </c>
      <c r="G1991" s="59" t="str">
        <f t="shared" si="26"/>
        <v/>
      </c>
      <c r="H1991" s="59" t="str">
        <f t="shared" si="27"/>
        <v>28C03385</v>
      </c>
      <c r="I1991" s="59" t="str">
        <f>IF(OR($A1991="",$C1991="",$D1991="",$E1991="",$H1991=""),"",SUMIFS(DATA_GOC!$H:$H,DATA_GOC!$A:$A,"BOM",DATA_GOC!$D:$D,$H1991,DATA_GOC!$E:$E,$C1991,DATA_GOC!$F:$F,"Xuất nội bộ từ téc",DATA_GOC!$B:$B,"&gt;="&amp;$D1991,DATA_GOC!$B:$B,"&lt;="&amp;$E1991))</f>
        <v/>
      </c>
      <c r="J1991" s="59">
        <f t="shared" si="28"/>
        <v>0</v>
      </c>
      <c r="K1991" s="59">
        <f t="shared" si="29"/>
        <v>0</v>
      </c>
      <c r="L1991" s="59">
        <f t="shared" si="30"/>
        <v>0</v>
      </c>
      <c r="M1991" s="59">
        <f t="shared" si="31"/>
        <v>0</v>
      </c>
    </row>
    <row r="1992" ht="15.0" hidden="1" customHeight="1">
      <c r="A1992" s="59">
        <f t="shared" si="20"/>
        <v>30</v>
      </c>
      <c r="B1992" s="59" t="str">
        <f t="shared" si="21"/>
        <v/>
      </c>
      <c r="C1992" s="59" t="str">
        <f t="shared" si="22"/>
        <v/>
      </c>
      <c r="D1992" s="45" t="str">
        <f t="shared" si="23"/>
        <v/>
      </c>
      <c r="E1992" s="45" t="str">
        <f t="shared" si="24"/>
        <v/>
      </c>
      <c r="F1992" s="59" t="str">
        <f t="shared" si="25"/>
        <v/>
      </c>
      <c r="G1992" s="59" t="str">
        <f t="shared" si="26"/>
        <v/>
      </c>
      <c r="H1992" s="59" t="str">
        <f t="shared" si="27"/>
        <v>28C03652</v>
      </c>
      <c r="I1992" s="59" t="str">
        <f>IF(OR($A1992="",$C1992="",$D1992="",$E1992="",$H1992=""),"",SUMIFS(DATA_GOC!$H:$H,DATA_GOC!$A:$A,"BOM",DATA_GOC!$D:$D,$H1992,DATA_GOC!$E:$E,$C1992,DATA_GOC!$F:$F,"Xuất nội bộ từ téc",DATA_GOC!$B:$B,"&gt;="&amp;$D1992,DATA_GOC!$B:$B,"&lt;="&amp;$E1992))</f>
        <v/>
      </c>
      <c r="J1992" s="59">
        <f t="shared" si="28"/>
        <v>0</v>
      </c>
      <c r="K1992" s="59">
        <f t="shared" si="29"/>
        <v>0</v>
      </c>
      <c r="L1992" s="59">
        <f t="shared" si="30"/>
        <v>0</v>
      </c>
      <c r="M1992" s="59">
        <f t="shared" si="31"/>
        <v>0</v>
      </c>
    </row>
    <row r="1993" ht="15.0" hidden="1" customHeight="1">
      <c r="A1993" s="59">
        <f t="shared" si="20"/>
        <v>30</v>
      </c>
      <c r="B1993" s="59" t="str">
        <f t="shared" si="21"/>
        <v/>
      </c>
      <c r="C1993" s="59" t="str">
        <f t="shared" si="22"/>
        <v/>
      </c>
      <c r="D1993" s="45" t="str">
        <f t="shared" si="23"/>
        <v/>
      </c>
      <c r="E1993" s="45" t="str">
        <f t="shared" si="24"/>
        <v/>
      </c>
      <c r="F1993" s="59" t="str">
        <f t="shared" si="25"/>
        <v/>
      </c>
      <c r="G1993" s="59" t="str">
        <f t="shared" si="26"/>
        <v/>
      </c>
      <c r="H1993" s="59" t="str">
        <f t="shared" si="27"/>
        <v>28C03695</v>
      </c>
      <c r="I1993" s="59" t="str">
        <f>IF(OR($A1993="",$C1993="",$D1993="",$E1993="",$H1993=""),"",SUMIFS(DATA_GOC!$H:$H,DATA_GOC!$A:$A,"BOM",DATA_GOC!$D:$D,$H1993,DATA_GOC!$E:$E,$C1993,DATA_GOC!$F:$F,"Xuất nội bộ từ téc",DATA_GOC!$B:$B,"&gt;="&amp;$D1993,DATA_GOC!$B:$B,"&lt;="&amp;$E1993))</f>
        <v/>
      </c>
      <c r="J1993" s="59">
        <f t="shared" si="28"/>
        <v>0</v>
      </c>
      <c r="K1993" s="59">
        <f t="shared" si="29"/>
        <v>0</v>
      </c>
      <c r="L1993" s="59">
        <f t="shared" si="30"/>
        <v>0</v>
      </c>
      <c r="M1993" s="59">
        <f t="shared" si="31"/>
        <v>0</v>
      </c>
    </row>
    <row r="1994" ht="15.0" hidden="1" customHeight="1">
      <c r="A1994" s="59">
        <f t="shared" si="20"/>
        <v>30</v>
      </c>
      <c r="B1994" s="59" t="str">
        <f t="shared" si="21"/>
        <v/>
      </c>
      <c r="C1994" s="59" t="str">
        <f t="shared" si="22"/>
        <v/>
      </c>
      <c r="D1994" s="45" t="str">
        <f t="shared" si="23"/>
        <v/>
      </c>
      <c r="E1994" s="45" t="str">
        <f t="shared" si="24"/>
        <v/>
      </c>
      <c r="F1994" s="59" t="str">
        <f t="shared" si="25"/>
        <v/>
      </c>
      <c r="G1994" s="59" t="str">
        <f t="shared" si="26"/>
        <v/>
      </c>
      <c r="H1994" s="59" t="str">
        <f t="shared" si="27"/>
        <v>28C03927</v>
      </c>
      <c r="I1994" s="59" t="str">
        <f>IF(OR($A1994="",$C1994="",$D1994="",$E1994="",$H1994=""),"",SUMIFS(DATA_GOC!$H:$H,DATA_GOC!$A:$A,"BOM",DATA_GOC!$D:$D,$H1994,DATA_GOC!$E:$E,$C1994,DATA_GOC!$F:$F,"Xuất nội bộ từ téc",DATA_GOC!$B:$B,"&gt;="&amp;$D1994,DATA_GOC!$B:$B,"&lt;="&amp;$E1994))</f>
        <v/>
      </c>
      <c r="J1994" s="59">
        <f t="shared" si="28"/>
        <v>0</v>
      </c>
      <c r="K1994" s="59">
        <f t="shared" si="29"/>
        <v>0</v>
      </c>
      <c r="L1994" s="59">
        <f t="shared" si="30"/>
        <v>0</v>
      </c>
      <c r="M1994" s="59">
        <f t="shared" si="31"/>
        <v>0</v>
      </c>
    </row>
    <row r="1995" ht="15.0" hidden="1" customHeight="1">
      <c r="A1995" s="59">
        <f t="shared" si="20"/>
        <v>30</v>
      </c>
      <c r="B1995" s="59" t="str">
        <f t="shared" si="21"/>
        <v/>
      </c>
      <c r="C1995" s="59" t="str">
        <f t="shared" si="22"/>
        <v/>
      </c>
      <c r="D1995" s="45" t="str">
        <f t="shared" si="23"/>
        <v/>
      </c>
      <c r="E1995" s="45" t="str">
        <f t="shared" si="24"/>
        <v/>
      </c>
      <c r="F1995" s="59" t="str">
        <f t="shared" si="25"/>
        <v/>
      </c>
      <c r="G1995" s="59" t="str">
        <f t="shared" si="26"/>
        <v/>
      </c>
      <c r="H1995" s="59" t="str">
        <f t="shared" si="27"/>
        <v>28C04509</v>
      </c>
      <c r="I1995" s="59" t="str">
        <f>IF(OR($A1995="",$C1995="",$D1995="",$E1995="",$H1995=""),"",SUMIFS(DATA_GOC!$H:$H,DATA_GOC!$A:$A,"BOM",DATA_GOC!$D:$D,$H1995,DATA_GOC!$E:$E,$C1995,DATA_GOC!$F:$F,"Xuất nội bộ từ téc",DATA_GOC!$B:$B,"&gt;="&amp;$D1995,DATA_GOC!$B:$B,"&lt;="&amp;$E1995))</f>
        <v/>
      </c>
      <c r="J1995" s="59">
        <f t="shared" si="28"/>
        <v>0</v>
      </c>
      <c r="K1995" s="59">
        <f t="shared" si="29"/>
        <v>0</v>
      </c>
      <c r="L1995" s="59">
        <f t="shared" si="30"/>
        <v>0</v>
      </c>
      <c r="M1995" s="59">
        <f t="shared" si="31"/>
        <v>0</v>
      </c>
    </row>
    <row r="1996" ht="15.0" hidden="1" customHeight="1">
      <c r="A1996" s="59">
        <f t="shared" si="20"/>
        <v>30</v>
      </c>
      <c r="B1996" s="59" t="str">
        <f t="shared" si="21"/>
        <v/>
      </c>
      <c r="C1996" s="59" t="str">
        <f t="shared" si="22"/>
        <v/>
      </c>
      <c r="D1996" s="45" t="str">
        <f t="shared" si="23"/>
        <v/>
      </c>
      <c r="E1996" s="45" t="str">
        <f t="shared" si="24"/>
        <v/>
      </c>
      <c r="F1996" s="59" t="str">
        <f t="shared" si="25"/>
        <v/>
      </c>
      <c r="G1996" s="59" t="str">
        <f t="shared" si="26"/>
        <v/>
      </c>
      <c r="H1996" s="59" t="str">
        <f t="shared" si="27"/>
        <v>28C04536</v>
      </c>
      <c r="I1996" s="59" t="str">
        <f>IF(OR($A1996="",$C1996="",$D1996="",$E1996="",$H1996=""),"",SUMIFS(DATA_GOC!$H:$H,DATA_GOC!$A:$A,"BOM",DATA_GOC!$D:$D,$H1996,DATA_GOC!$E:$E,$C1996,DATA_GOC!$F:$F,"Xuất nội bộ từ téc",DATA_GOC!$B:$B,"&gt;="&amp;$D1996,DATA_GOC!$B:$B,"&lt;="&amp;$E1996))</f>
        <v/>
      </c>
      <c r="J1996" s="59">
        <f t="shared" si="28"/>
        <v>0</v>
      </c>
      <c r="K1996" s="59">
        <f t="shared" si="29"/>
        <v>0</v>
      </c>
      <c r="L1996" s="59">
        <f t="shared" si="30"/>
        <v>0</v>
      </c>
      <c r="M1996" s="59">
        <f t="shared" si="31"/>
        <v>0</v>
      </c>
    </row>
    <row r="1997" ht="15.0" hidden="1" customHeight="1">
      <c r="A1997" s="59">
        <f t="shared" si="20"/>
        <v>30</v>
      </c>
      <c r="B1997" s="59" t="str">
        <f t="shared" si="21"/>
        <v/>
      </c>
      <c r="C1997" s="59" t="str">
        <f t="shared" si="22"/>
        <v/>
      </c>
      <c r="D1997" s="45" t="str">
        <f t="shared" si="23"/>
        <v/>
      </c>
      <c r="E1997" s="45" t="str">
        <f t="shared" si="24"/>
        <v/>
      </c>
      <c r="F1997" s="59" t="str">
        <f t="shared" si="25"/>
        <v/>
      </c>
      <c r="G1997" s="59" t="str">
        <f t="shared" si="26"/>
        <v/>
      </c>
      <c r="H1997" s="59" t="str">
        <f t="shared" si="27"/>
        <v>28C04576</v>
      </c>
      <c r="I1997" s="59" t="str">
        <f>IF(OR($A1997="",$C1997="",$D1997="",$E1997="",$H1997=""),"",SUMIFS(DATA_GOC!$H:$H,DATA_GOC!$A:$A,"BOM",DATA_GOC!$D:$D,$H1997,DATA_GOC!$E:$E,$C1997,DATA_GOC!$F:$F,"Xuất nội bộ từ téc",DATA_GOC!$B:$B,"&gt;="&amp;$D1997,DATA_GOC!$B:$B,"&lt;="&amp;$E1997))</f>
        <v/>
      </c>
      <c r="J1997" s="59">
        <f t="shared" si="28"/>
        <v>0</v>
      </c>
      <c r="K1997" s="59">
        <f t="shared" si="29"/>
        <v>0</v>
      </c>
      <c r="L1997" s="59">
        <f t="shared" si="30"/>
        <v>0</v>
      </c>
      <c r="M1997" s="59">
        <f t="shared" si="31"/>
        <v>0</v>
      </c>
    </row>
    <row r="1998" ht="15.0" hidden="1" customHeight="1">
      <c r="A1998" s="59">
        <f t="shared" si="20"/>
        <v>30</v>
      </c>
      <c r="B1998" s="59" t="str">
        <f t="shared" si="21"/>
        <v/>
      </c>
      <c r="C1998" s="59" t="str">
        <f t="shared" si="22"/>
        <v/>
      </c>
      <c r="D1998" s="45" t="str">
        <f t="shared" si="23"/>
        <v/>
      </c>
      <c r="E1998" s="45" t="str">
        <f t="shared" si="24"/>
        <v/>
      </c>
      <c r="F1998" s="59" t="str">
        <f t="shared" si="25"/>
        <v/>
      </c>
      <c r="G1998" s="59" t="str">
        <f t="shared" si="26"/>
        <v/>
      </c>
      <c r="H1998" s="59" t="str">
        <f t="shared" si="27"/>
        <v>28C05090</v>
      </c>
      <c r="I1998" s="59" t="str">
        <f>IF(OR($A1998="",$C1998="",$D1998="",$E1998="",$H1998=""),"",SUMIFS(DATA_GOC!$H:$H,DATA_GOC!$A:$A,"BOM",DATA_GOC!$D:$D,$H1998,DATA_GOC!$E:$E,$C1998,DATA_GOC!$F:$F,"Xuất nội bộ từ téc",DATA_GOC!$B:$B,"&gt;="&amp;$D1998,DATA_GOC!$B:$B,"&lt;="&amp;$E1998))</f>
        <v/>
      </c>
      <c r="J1998" s="59">
        <f t="shared" si="28"/>
        <v>0</v>
      </c>
      <c r="K1998" s="59">
        <f t="shared" si="29"/>
        <v>0</v>
      </c>
      <c r="L1998" s="59">
        <f t="shared" si="30"/>
        <v>0</v>
      </c>
      <c r="M1998" s="59">
        <f t="shared" si="31"/>
        <v>0</v>
      </c>
    </row>
    <row r="1999" ht="15.0" hidden="1" customHeight="1">
      <c r="A1999" s="59">
        <f t="shared" si="20"/>
        <v>30</v>
      </c>
      <c r="B1999" s="59" t="str">
        <f t="shared" si="21"/>
        <v/>
      </c>
      <c r="C1999" s="59" t="str">
        <f t="shared" si="22"/>
        <v/>
      </c>
      <c r="D1999" s="45" t="str">
        <f t="shared" si="23"/>
        <v/>
      </c>
      <c r="E1999" s="45" t="str">
        <f t="shared" si="24"/>
        <v/>
      </c>
      <c r="F1999" s="59" t="str">
        <f t="shared" si="25"/>
        <v/>
      </c>
      <c r="G1999" s="59" t="str">
        <f t="shared" si="26"/>
        <v/>
      </c>
      <c r="H1999" s="59" t="str">
        <f t="shared" si="27"/>
        <v>28C05345</v>
      </c>
      <c r="I1999" s="59" t="str">
        <f>IF(OR($A1999="",$C1999="",$D1999="",$E1999="",$H1999=""),"",SUMIFS(DATA_GOC!$H:$H,DATA_GOC!$A:$A,"BOM",DATA_GOC!$D:$D,$H1999,DATA_GOC!$E:$E,$C1999,DATA_GOC!$F:$F,"Xuất nội bộ từ téc",DATA_GOC!$B:$B,"&gt;="&amp;$D1999,DATA_GOC!$B:$B,"&lt;="&amp;$E1999))</f>
        <v/>
      </c>
      <c r="J1999" s="59">
        <f t="shared" si="28"/>
        <v>0</v>
      </c>
      <c r="K1999" s="59">
        <f t="shared" si="29"/>
        <v>0</v>
      </c>
      <c r="L1999" s="59">
        <f t="shared" si="30"/>
        <v>0</v>
      </c>
      <c r="M1999" s="59">
        <f t="shared" si="31"/>
        <v>0</v>
      </c>
    </row>
    <row r="2000" ht="15.0" hidden="1" customHeight="1">
      <c r="A2000" s="59">
        <f t="shared" si="20"/>
        <v>30</v>
      </c>
      <c r="B2000" s="59" t="str">
        <f t="shared" si="21"/>
        <v/>
      </c>
      <c r="C2000" s="59" t="str">
        <f t="shared" si="22"/>
        <v/>
      </c>
      <c r="D2000" s="45" t="str">
        <f t="shared" si="23"/>
        <v/>
      </c>
      <c r="E2000" s="45" t="str">
        <f t="shared" si="24"/>
        <v/>
      </c>
      <c r="F2000" s="59" t="str">
        <f t="shared" si="25"/>
        <v/>
      </c>
      <c r="G2000" s="59" t="str">
        <f t="shared" si="26"/>
        <v/>
      </c>
      <c r="H2000" s="59" t="str">
        <f t="shared" si="27"/>
        <v>28C05661</v>
      </c>
      <c r="I2000" s="59" t="str">
        <f>IF(OR($A2000="",$C2000="",$D2000="",$E2000="",$H2000=""),"",SUMIFS(DATA_GOC!$H:$H,DATA_GOC!$A:$A,"BOM",DATA_GOC!$D:$D,$H2000,DATA_GOC!$E:$E,$C2000,DATA_GOC!$F:$F,"Xuất nội bộ từ téc",DATA_GOC!$B:$B,"&gt;="&amp;$D2000,DATA_GOC!$B:$B,"&lt;="&amp;$E2000))</f>
        <v/>
      </c>
      <c r="J2000" s="59">
        <f t="shared" si="28"/>
        <v>0</v>
      </c>
      <c r="K2000" s="59">
        <f t="shared" si="29"/>
        <v>0</v>
      </c>
      <c r="L2000" s="59">
        <f t="shared" si="30"/>
        <v>0</v>
      </c>
      <c r="M2000" s="59">
        <f t="shared" si="31"/>
        <v>0</v>
      </c>
    </row>
    <row r="2001" ht="15.0" hidden="1" customHeight="1">
      <c r="A2001" s="59">
        <f t="shared" si="20"/>
        <v>30</v>
      </c>
      <c r="B2001" s="59" t="str">
        <f t="shared" si="21"/>
        <v/>
      </c>
      <c r="C2001" s="59" t="str">
        <f t="shared" si="22"/>
        <v/>
      </c>
      <c r="D2001" s="45" t="str">
        <f t="shared" si="23"/>
        <v/>
      </c>
      <c r="E2001" s="45" t="str">
        <f t="shared" si="24"/>
        <v/>
      </c>
      <c r="F2001" s="59" t="str">
        <f t="shared" si="25"/>
        <v/>
      </c>
      <c r="G2001" s="59" t="str">
        <f t="shared" si="26"/>
        <v/>
      </c>
      <c r="H2001" s="59" t="str">
        <f t="shared" si="27"/>
        <v>28C05739</v>
      </c>
      <c r="I2001" s="59" t="str">
        <f>IF(OR($A2001="",$C2001="",$D2001="",$E2001="",$H2001=""),"",SUMIFS(DATA_GOC!$H:$H,DATA_GOC!$A:$A,"BOM",DATA_GOC!$D:$D,$H2001,DATA_GOC!$E:$E,$C2001,DATA_GOC!$F:$F,"Xuất nội bộ từ téc",DATA_GOC!$B:$B,"&gt;="&amp;$D2001,DATA_GOC!$B:$B,"&lt;="&amp;$E2001))</f>
        <v/>
      </c>
      <c r="J2001" s="59">
        <f t="shared" si="28"/>
        <v>0</v>
      </c>
      <c r="K2001" s="59">
        <f t="shared" si="29"/>
        <v>0</v>
      </c>
      <c r="L2001" s="59">
        <f t="shared" si="30"/>
        <v>0</v>
      </c>
      <c r="M2001" s="59">
        <f t="shared" si="31"/>
        <v>0</v>
      </c>
    </row>
    <row r="2002" ht="15.0" hidden="1" customHeight="1">
      <c r="A2002" s="59">
        <f t="shared" si="20"/>
        <v>30</v>
      </c>
      <c r="B2002" s="59" t="str">
        <f t="shared" si="21"/>
        <v/>
      </c>
      <c r="C2002" s="59" t="str">
        <f t="shared" si="22"/>
        <v/>
      </c>
      <c r="D2002" s="45" t="str">
        <f t="shared" si="23"/>
        <v/>
      </c>
      <c r="E2002" s="45" t="str">
        <f t="shared" si="24"/>
        <v/>
      </c>
      <c r="F2002" s="59" t="str">
        <f t="shared" si="25"/>
        <v/>
      </c>
      <c r="G2002" s="59" t="str">
        <f t="shared" si="26"/>
        <v/>
      </c>
      <c r="H2002" s="59" t="str">
        <f t="shared" si="27"/>
        <v>28C06369</v>
      </c>
      <c r="I2002" s="59" t="str">
        <f>IF(OR($A2002="",$C2002="",$D2002="",$E2002="",$H2002=""),"",SUMIFS(DATA_GOC!$H:$H,DATA_GOC!$A:$A,"BOM",DATA_GOC!$D:$D,$H2002,DATA_GOC!$E:$E,$C2002,DATA_GOC!$F:$F,"Xuất nội bộ từ téc",DATA_GOC!$B:$B,"&gt;="&amp;$D2002,DATA_GOC!$B:$B,"&lt;="&amp;$E2002))</f>
        <v/>
      </c>
      <c r="J2002" s="59">
        <f t="shared" si="28"/>
        <v>0</v>
      </c>
      <c r="K2002" s="59">
        <f t="shared" si="29"/>
        <v>0</v>
      </c>
      <c r="L2002" s="59">
        <f t="shared" si="30"/>
        <v>0</v>
      </c>
      <c r="M2002" s="59">
        <f t="shared" si="31"/>
        <v>0</v>
      </c>
    </row>
    <row r="2003" ht="15.0" hidden="1" customHeight="1">
      <c r="A2003" s="59">
        <f t="shared" si="20"/>
        <v>30</v>
      </c>
      <c r="B2003" s="59" t="str">
        <f t="shared" si="21"/>
        <v/>
      </c>
      <c r="C2003" s="59" t="str">
        <f t="shared" si="22"/>
        <v/>
      </c>
      <c r="D2003" s="45" t="str">
        <f t="shared" si="23"/>
        <v/>
      </c>
      <c r="E2003" s="45" t="str">
        <f t="shared" si="24"/>
        <v/>
      </c>
      <c r="F2003" s="59" t="str">
        <f t="shared" si="25"/>
        <v/>
      </c>
      <c r="G2003" s="59" t="str">
        <f t="shared" si="26"/>
        <v/>
      </c>
      <c r="H2003" s="59" t="str">
        <f t="shared" si="27"/>
        <v>28C06447</v>
      </c>
      <c r="I2003" s="59" t="str">
        <f>IF(OR($A2003="",$C2003="",$D2003="",$E2003="",$H2003=""),"",SUMIFS(DATA_GOC!$H:$H,DATA_GOC!$A:$A,"BOM",DATA_GOC!$D:$D,$H2003,DATA_GOC!$E:$E,$C2003,DATA_GOC!$F:$F,"Xuất nội bộ từ téc",DATA_GOC!$B:$B,"&gt;="&amp;$D2003,DATA_GOC!$B:$B,"&lt;="&amp;$E2003))</f>
        <v/>
      </c>
      <c r="J2003" s="59">
        <f t="shared" si="28"/>
        <v>0</v>
      </c>
      <c r="K2003" s="59">
        <f t="shared" si="29"/>
        <v>0</v>
      </c>
      <c r="L2003" s="59">
        <f t="shared" si="30"/>
        <v>0</v>
      </c>
      <c r="M2003" s="59">
        <f t="shared" si="31"/>
        <v>0</v>
      </c>
    </row>
    <row r="2004" ht="15.0" hidden="1" customHeight="1">
      <c r="A2004" s="59">
        <f t="shared" si="20"/>
        <v>30</v>
      </c>
      <c r="B2004" s="59" t="str">
        <f t="shared" si="21"/>
        <v/>
      </c>
      <c r="C2004" s="59" t="str">
        <f t="shared" si="22"/>
        <v/>
      </c>
      <c r="D2004" s="45" t="str">
        <f t="shared" si="23"/>
        <v/>
      </c>
      <c r="E2004" s="45" t="str">
        <f t="shared" si="24"/>
        <v/>
      </c>
      <c r="F2004" s="59" t="str">
        <f t="shared" si="25"/>
        <v/>
      </c>
      <c r="G2004" s="59" t="str">
        <f t="shared" si="26"/>
        <v/>
      </c>
      <c r="H2004" s="59" t="str">
        <f t="shared" si="27"/>
        <v>28H00003</v>
      </c>
      <c r="I2004" s="59" t="str">
        <f>IF(OR($A2004="",$C2004="",$D2004="",$E2004="",$H2004=""),"",SUMIFS(DATA_GOC!$H:$H,DATA_GOC!$A:$A,"BOM",DATA_GOC!$D:$D,$H2004,DATA_GOC!$E:$E,$C2004,DATA_GOC!$F:$F,"Xuất nội bộ từ téc",DATA_GOC!$B:$B,"&gt;="&amp;$D2004,DATA_GOC!$B:$B,"&lt;="&amp;$E2004))</f>
        <v/>
      </c>
      <c r="J2004" s="59">
        <f t="shared" si="28"/>
        <v>0</v>
      </c>
      <c r="K2004" s="59">
        <f t="shared" si="29"/>
        <v>0</v>
      </c>
      <c r="L2004" s="59">
        <f t="shared" si="30"/>
        <v>0</v>
      </c>
      <c r="M2004" s="59">
        <f t="shared" si="31"/>
        <v>0</v>
      </c>
    </row>
    <row r="2005" ht="15.0" hidden="1" customHeight="1">
      <c r="A2005" s="59">
        <f t="shared" si="20"/>
        <v>30</v>
      </c>
      <c r="B2005" s="59" t="str">
        <f t="shared" si="21"/>
        <v/>
      </c>
      <c r="C2005" s="59" t="str">
        <f t="shared" si="22"/>
        <v/>
      </c>
      <c r="D2005" s="45" t="str">
        <f t="shared" si="23"/>
        <v/>
      </c>
      <c r="E2005" s="45" t="str">
        <f t="shared" si="24"/>
        <v/>
      </c>
      <c r="F2005" s="59" t="str">
        <f t="shared" si="25"/>
        <v/>
      </c>
      <c r="G2005" s="59" t="str">
        <f t="shared" si="26"/>
        <v/>
      </c>
      <c r="H2005" s="59" t="str">
        <f t="shared" si="27"/>
        <v>28H00061</v>
      </c>
      <c r="I2005" s="59" t="str">
        <f>IF(OR($A2005="",$C2005="",$D2005="",$E2005="",$H2005=""),"",SUMIFS(DATA_GOC!$H:$H,DATA_GOC!$A:$A,"BOM",DATA_GOC!$D:$D,$H2005,DATA_GOC!$E:$E,$C2005,DATA_GOC!$F:$F,"Xuất nội bộ từ téc",DATA_GOC!$B:$B,"&gt;="&amp;$D2005,DATA_GOC!$B:$B,"&lt;="&amp;$E2005))</f>
        <v/>
      </c>
      <c r="J2005" s="59">
        <f t="shared" si="28"/>
        <v>0</v>
      </c>
      <c r="K2005" s="59">
        <f t="shared" si="29"/>
        <v>0</v>
      </c>
      <c r="L2005" s="59">
        <f t="shared" si="30"/>
        <v>0</v>
      </c>
      <c r="M2005" s="59">
        <f t="shared" si="31"/>
        <v>0</v>
      </c>
    </row>
    <row r="2006" ht="15.0" hidden="1" customHeight="1">
      <c r="A2006" s="59">
        <f t="shared" si="20"/>
        <v>30</v>
      </c>
      <c r="B2006" s="59" t="str">
        <f t="shared" si="21"/>
        <v/>
      </c>
      <c r="C2006" s="59" t="str">
        <f t="shared" si="22"/>
        <v/>
      </c>
      <c r="D2006" s="45" t="str">
        <f t="shared" si="23"/>
        <v/>
      </c>
      <c r="E2006" s="45" t="str">
        <f t="shared" si="24"/>
        <v/>
      </c>
      <c r="F2006" s="59" t="str">
        <f t="shared" si="25"/>
        <v/>
      </c>
      <c r="G2006" s="59" t="str">
        <f t="shared" si="26"/>
        <v/>
      </c>
      <c r="H2006" s="59" t="str">
        <f t="shared" si="27"/>
        <v>28H00354</v>
      </c>
      <c r="I2006" s="59" t="str">
        <f>IF(OR($A2006="",$C2006="",$D2006="",$E2006="",$H2006=""),"",SUMIFS(DATA_GOC!$H:$H,DATA_GOC!$A:$A,"BOM",DATA_GOC!$D:$D,$H2006,DATA_GOC!$E:$E,$C2006,DATA_GOC!$F:$F,"Xuất nội bộ từ téc",DATA_GOC!$B:$B,"&gt;="&amp;$D2006,DATA_GOC!$B:$B,"&lt;="&amp;$E2006))</f>
        <v/>
      </c>
      <c r="J2006" s="59">
        <f t="shared" si="28"/>
        <v>0</v>
      </c>
      <c r="K2006" s="59">
        <f t="shared" si="29"/>
        <v>0</v>
      </c>
      <c r="L2006" s="59">
        <f t="shared" si="30"/>
        <v>0</v>
      </c>
      <c r="M2006" s="59">
        <f t="shared" si="31"/>
        <v>0</v>
      </c>
    </row>
    <row r="2007" ht="15.0" hidden="1" customHeight="1">
      <c r="A2007" s="59">
        <f t="shared" si="20"/>
        <v>30</v>
      </c>
      <c r="B2007" s="59" t="str">
        <f t="shared" si="21"/>
        <v/>
      </c>
      <c r="C2007" s="59" t="str">
        <f t="shared" si="22"/>
        <v/>
      </c>
      <c r="D2007" s="45" t="str">
        <f t="shared" si="23"/>
        <v/>
      </c>
      <c r="E2007" s="45" t="str">
        <f t="shared" si="24"/>
        <v/>
      </c>
      <c r="F2007" s="59" t="str">
        <f t="shared" si="25"/>
        <v/>
      </c>
      <c r="G2007" s="59" t="str">
        <f t="shared" si="26"/>
        <v/>
      </c>
      <c r="H2007" s="59" t="str">
        <f t="shared" si="27"/>
        <v>28H00603</v>
      </c>
      <c r="I2007" s="59" t="str">
        <f>IF(OR($A2007="",$C2007="",$D2007="",$E2007="",$H2007=""),"",SUMIFS(DATA_GOC!$H:$H,DATA_GOC!$A:$A,"BOM",DATA_GOC!$D:$D,$H2007,DATA_GOC!$E:$E,$C2007,DATA_GOC!$F:$F,"Xuất nội bộ từ téc",DATA_GOC!$B:$B,"&gt;="&amp;$D2007,DATA_GOC!$B:$B,"&lt;="&amp;$E2007))</f>
        <v/>
      </c>
      <c r="J2007" s="59">
        <f t="shared" si="28"/>
        <v>0</v>
      </c>
      <c r="K2007" s="59">
        <f t="shared" si="29"/>
        <v>0</v>
      </c>
      <c r="L2007" s="59">
        <f t="shared" si="30"/>
        <v>0</v>
      </c>
      <c r="M2007" s="59">
        <f t="shared" si="31"/>
        <v>0</v>
      </c>
    </row>
    <row r="2008" ht="15.0" hidden="1" customHeight="1">
      <c r="A2008" s="59">
        <f t="shared" si="20"/>
        <v>30</v>
      </c>
      <c r="B2008" s="59" t="str">
        <f t="shared" si="21"/>
        <v/>
      </c>
      <c r="C2008" s="59" t="str">
        <f t="shared" si="22"/>
        <v/>
      </c>
      <c r="D2008" s="45" t="str">
        <f t="shared" si="23"/>
        <v/>
      </c>
      <c r="E2008" s="45" t="str">
        <f t="shared" si="24"/>
        <v/>
      </c>
      <c r="F2008" s="59" t="str">
        <f t="shared" si="25"/>
        <v/>
      </c>
      <c r="G2008" s="59" t="str">
        <f t="shared" si="26"/>
        <v/>
      </c>
      <c r="H2008" s="59" t="str">
        <f t="shared" si="27"/>
        <v>28H00609</v>
      </c>
      <c r="I2008" s="59" t="str">
        <f>IF(OR($A2008="",$C2008="",$D2008="",$E2008="",$H2008=""),"",SUMIFS(DATA_GOC!$H:$H,DATA_GOC!$A:$A,"BOM",DATA_GOC!$D:$D,$H2008,DATA_GOC!$E:$E,$C2008,DATA_GOC!$F:$F,"Xuất nội bộ từ téc",DATA_GOC!$B:$B,"&gt;="&amp;$D2008,DATA_GOC!$B:$B,"&lt;="&amp;$E2008))</f>
        <v/>
      </c>
      <c r="J2008" s="59">
        <f t="shared" si="28"/>
        <v>0</v>
      </c>
      <c r="K2008" s="59">
        <f t="shared" si="29"/>
        <v>0</v>
      </c>
      <c r="L2008" s="59">
        <f t="shared" si="30"/>
        <v>0</v>
      </c>
      <c r="M2008" s="59">
        <f t="shared" si="31"/>
        <v>0</v>
      </c>
    </row>
    <row r="2009" ht="15.0" hidden="1" customHeight="1">
      <c r="A2009" s="59">
        <f t="shared" si="20"/>
        <v>30</v>
      </c>
      <c r="B2009" s="59" t="str">
        <f t="shared" si="21"/>
        <v/>
      </c>
      <c r="C2009" s="59" t="str">
        <f t="shared" si="22"/>
        <v/>
      </c>
      <c r="D2009" s="45" t="str">
        <f t="shared" si="23"/>
        <v/>
      </c>
      <c r="E2009" s="45" t="str">
        <f t="shared" si="24"/>
        <v/>
      </c>
      <c r="F2009" s="59" t="str">
        <f t="shared" si="25"/>
        <v/>
      </c>
      <c r="G2009" s="59" t="str">
        <f t="shared" si="26"/>
        <v/>
      </c>
      <c r="H2009" s="59" t="str">
        <f t="shared" si="27"/>
        <v>28H00669</v>
      </c>
      <c r="I2009" s="59" t="str">
        <f>IF(OR($A2009="",$C2009="",$D2009="",$E2009="",$H2009=""),"",SUMIFS(DATA_GOC!$H:$H,DATA_GOC!$A:$A,"BOM",DATA_GOC!$D:$D,$H2009,DATA_GOC!$E:$E,$C2009,DATA_GOC!$F:$F,"Xuất nội bộ từ téc",DATA_GOC!$B:$B,"&gt;="&amp;$D2009,DATA_GOC!$B:$B,"&lt;="&amp;$E2009))</f>
        <v/>
      </c>
      <c r="J2009" s="59">
        <f t="shared" si="28"/>
        <v>0</v>
      </c>
      <c r="K2009" s="59">
        <f t="shared" si="29"/>
        <v>0</v>
      </c>
      <c r="L2009" s="59">
        <f t="shared" si="30"/>
        <v>0</v>
      </c>
      <c r="M2009" s="59">
        <f t="shared" si="31"/>
        <v>0</v>
      </c>
    </row>
    <row r="2010" ht="15.0" hidden="1" customHeight="1">
      <c r="A2010" s="59">
        <f t="shared" si="20"/>
        <v>30</v>
      </c>
      <c r="B2010" s="59" t="str">
        <f t="shared" si="21"/>
        <v/>
      </c>
      <c r="C2010" s="59" t="str">
        <f t="shared" si="22"/>
        <v/>
      </c>
      <c r="D2010" s="45" t="str">
        <f t="shared" si="23"/>
        <v/>
      </c>
      <c r="E2010" s="45" t="str">
        <f t="shared" si="24"/>
        <v/>
      </c>
      <c r="F2010" s="59" t="str">
        <f t="shared" si="25"/>
        <v/>
      </c>
      <c r="G2010" s="59" t="str">
        <f t="shared" si="26"/>
        <v/>
      </c>
      <c r="H2010" s="59" t="str">
        <f t="shared" si="27"/>
        <v>28H00680</v>
      </c>
      <c r="I2010" s="59" t="str">
        <f>IF(OR($A2010="",$C2010="",$D2010="",$E2010="",$H2010=""),"",SUMIFS(DATA_GOC!$H:$H,DATA_GOC!$A:$A,"BOM",DATA_GOC!$D:$D,$H2010,DATA_GOC!$E:$E,$C2010,DATA_GOC!$F:$F,"Xuất nội bộ từ téc",DATA_GOC!$B:$B,"&gt;="&amp;$D2010,DATA_GOC!$B:$B,"&lt;="&amp;$E2010))</f>
        <v/>
      </c>
      <c r="J2010" s="59">
        <f t="shared" si="28"/>
        <v>0</v>
      </c>
      <c r="K2010" s="59">
        <f t="shared" si="29"/>
        <v>0</v>
      </c>
      <c r="L2010" s="59">
        <f t="shared" si="30"/>
        <v>0</v>
      </c>
      <c r="M2010" s="59">
        <f t="shared" si="31"/>
        <v>0</v>
      </c>
    </row>
    <row r="2011" ht="15.0" hidden="1" customHeight="1">
      <c r="A2011" s="59">
        <f t="shared" si="20"/>
        <v>30</v>
      </c>
      <c r="B2011" s="59" t="str">
        <f t="shared" si="21"/>
        <v/>
      </c>
      <c r="C2011" s="59" t="str">
        <f t="shared" si="22"/>
        <v/>
      </c>
      <c r="D2011" s="45" t="str">
        <f t="shared" si="23"/>
        <v/>
      </c>
      <c r="E2011" s="45" t="str">
        <f t="shared" si="24"/>
        <v/>
      </c>
      <c r="F2011" s="59" t="str">
        <f t="shared" si="25"/>
        <v/>
      </c>
      <c r="G2011" s="59" t="str">
        <f t="shared" si="26"/>
        <v/>
      </c>
      <c r="H2011" s="59" t="str">
        <f t="shared" si="27"/>
        <v>28H01070</v>
      </c>
      <c r="I2011" s="59" t="str">
        <f>IF(OR($A2011="",$C2011="",$D2011="",$E2011="",$H2011=""),"",SUMIFS(DATA_GOC!$H:$H,DATA_GOC!$A:$A,"BOM",DATA_GOC!$D:$D,$H2011,DATA_GOC!$E:$E,$C2011,DATA_GOC!$F:$F,"Xuất nội bộ từ téc",DATA_GOC!$B:$B,"&gt;="&amp;$D2011,DATA_GOC!$B:$B,"&lt;="&amp;$E2011))</f>
        <v/>
      </c>
      <c r="J2011" s="59">
        <f t="shared" si="28"/>
        <v>0</v>
      </c>
      <c r="K2011" s="59">
        <f t="shared" si="29"/>
        <v>0</v>
      </c>
      <c r="L2011" s="59">
        <f t="shared" si="30"/>
        <v>0</v>
      </c>
      <c r="M2011" s="59">
        <f t="shared" si="31"/>
        <v>0</v>
      </c>
    </row>
    <row r="2012" ht="15.0" hidden="1" customHeight="1">
      <c r="A2012" s="59">
        <f t="shared" si="20"/>
        <v>30</v>
      </c>
      <c r="B2012" s="59" t="str">
        <f t="shared" si="21"/>
        <v/>
      </c>
      <c r="C2012" s="59" t="str">
        <f t="shared" si="22"/>
        <v/>
      </c>
      <c r="D2012" s="45" t="str">
        <f t="shared" si="23"/>
        <v/>
      </c>
      <c r="E2012" s="45" t="str">
        <f t="shared" si="24"/>
        <v/>
      </c>
      <c r="F2012" s="59" t="str">
        <f t="shared" si="25"/>
        <v/>
      </c>
      <c r="G2012" s="59" t="str">
        <f t="shared" si="26"/>
        <v/>
      </c>
      <c r="H2012" s="59" t="str">
        <f t="shared" si="27"/>
        <v>28H01364</v>
      </c>
      <c r="I2012" s="59" t="str">
        <f>IF(OR($A2012="",$C2012="",$D2012="",$E2012="",$H2012=""),"",SUMIFS(DATA_GOC!$H:$H,DATA_GOC!$A:$A,"BOM",DATA_GOC!$D:$D,$H2012,DATA_GOC!$E:$E,$C2012,DATA_GOC!$F:$F,"Xuất nội bộ từ téc",DATA_GOC!$B:$B,"&gt;="&amp;$D2012,DATA_GOC!$B:$B,"&lt;="&amp;$E2012))</f>
        <v/>
      </c>
      <c r="J2012" s="59">
        <f t="shared" si="28"/>
        <v>0</v>
      </c>
      <c r="K2012" s="59">
        <f t="shared" si="29"/>
        <v>0</v>
      </c>
      <c r="L2012" s="59">
        <f t="shared" si="30"/>
        <v>0</v>
      </c>
      <c r="M2012" s="59">
        <f t="shared" si="31"/>
        <v>0</v>
      </c>
    </row>
    <row r="2013" ht="15.0" hidden="1" customHeight="1">
      <c r="A2013" s="59">
        <f t="shared" si="20"/>
        <v>30</v>
      </c>
      <c r="B2013" s="59" t="str">
        <f t="shared" si="21"/>
        <v/>
      </c>
      <c r="C2013" s="59" t="str">
        <f t="shared" si="22"/>
        <v/>
      </c>
      <c r="D2013" s="45" t="str">
        <f t="shared" si="23"/>
        <v/>
      </c>
      <c r="E2013" s="45" t="str">
        <f t="shared" si="24"/>
        <v/>
      </c>
      <c r="F2013" s="59" t="str">
        <f t="shared" si="25"/>
        <v/>
      </c>
      <c r="G2013" s="59" t="str">
        <f t="shared" si="26"/>
        <v/>
      </c>
      <c r="H2013" s="59" t="str">
        <f t="shared" si="27"/>
        <v>29E17269</v>
      </c>
      <c r="I2013" s="59" t="str">
        <f>IF(OR($A2013="",$C2013="",$D2013="",$E2013="",$H2013=""),"",SUMIFS(DATA_GOC!$H:$H,DATA_GOC!$A:$A,"BOM",DATA_GOC!$D:$D,$H2013,DATA_GOC!$E:$E,$C2013,DATA_GOC!$F:$F,"Xuất nội bộ từ téc",DATA_GOC!$B:$B,"&gt;="&amp;$D2013,DATA_GOC!$B:$B,"&lt;="&amp;$E2013))</f>
        <v/>
      </c>
      <c r="J2013" s="59">
        <f t="shared" si="28"/>
        <v>0</v>
      </c>
      <c r="K2013" s="59">
        <f t="shared" si="29"/>
        <v>0</v>
      </c>
      <c r="L2013" s="59">
        <f t="shared" si="30"/>
        <v>0</v>
      </c>
      <c r="M2013" s="59">
        <f t="shared" si="31"/>
        <v>0</v>
      </c>
    </row>
    <row r="2014" ht="15.0" hidden="1" customHeight="1">
      <c r="A2014" s="59">
        <f t="shared" si="20"/>
        <v>30</v>
      </c>
      <c r="B2014" s="59" t="str">
        <f t="shared" si="21"/>
        <v/>
      </c>
      <c r="C2014" s="59" t="str">
        <f t="shared" si="22"/>
        <v/>
      </c>
      <c r="D2014" s="45" t="str">
        <f t="shared" si="23"/>
        <v/>
      </c>
      <c r="E2014" s="45" t="str">
        <f t="shared" si="24"/>
        <v/>
      </c>
      <c r="F2014" s="59" t="str">
        <f t="shared" si="25"/>
        <v/>
      </c>
      <c r="G2014" s="59" t="str">
        <f t="shared" si="26"/>
        <v/>
      </c>
      <c r="H2014" s="59" t="str">
        <f t="shared" si="27"/>
        <v>29E17273</v>
      </c>
      <c r="I2014" s="59" t="str">
        <f>IF(OR($A2014="",$C2014="",$D2014="",$E2014="",$H2014=""),"",SUMIFS(DATA_GOC!$H:$H,DATA_GOC!$A:$A,"BOM",DATA_GOC!$D:$D,$H2014,DATA_GOC!$E:$E,$C2014,DATA_GOC!$F:$F,"Xuất nội bộ từ téc",DATA_GOC!$B:$B,"&gt;="&amp;$D2014,DATA_GOC!$B:$B,"&lt;="&amp;$E2014))</f>
        <v/>
      </c>
      <c r="J2014" s="59">
        <f t="shared" si="28"/>
        <v>0</v>
      </c>
      <c r="K2014" s="59">
        <f t="shared" si="29"/>
        <v>0</v>
      </c>
      <c r="L2014" s="59">
        <f t="shared" si="30"/>
        <v>0</v>
      </c>
      <c r="M2014" s="59">
        <f t="shared" si="31"/>
        <v>0</v>
      </c>
    </row>
    <row r="2015" ht="15.0" hidden="1" customHeight="1">
      <c r="A2015" s="59">
        <f t="shared" si="20"/>
        <v>30</v>
      </c>
      <c r="B2015" s="59" t="str">
        <f t="shared" si="21"/>
        <v/>
      </c>
      <c r="C2015" s="59" t="str">
        <f t="shared" si="22"/>
        <v/>
      </c>
      <c r="D2015" s="45" t="str">
        <f t="shared" si="23"/>
        <v/>
      </c>
      <c r="E2015" s="45" t="str">
        <f t="shared" si="24"/>
        <v/>
      </c>
      <c r="F2015" s="59" t="str">
        <f t="shared" si="25"/>
        <v/>
      </c>
      <c r="G2015" s="59" t="str">
        <f t="shared" si="26"/>
        <v/>
      </c>
      <c r="H2015" s="59" t="str">
        <f t="shared" si="27"/>
        <v>29E17410</v>
      </c>
      <c r="I2015" s="59" t="str">
        <f>IF(OR($A2015="",$C2015="",$D2015="",$E2015="",$H2015=""),"",SUMIFS(DATA_GOC!$H:$H,DATA_GOC!$A:$A,"BOM",DATA_GOC!$D:$D,$H2015,DATA_GOC!$E:$E,$C2015,DATA_GOC!$F:$F,"Xuất nội bộ từ téc",DATA_GOC!$B:$B,"&gt;="&amp;$D2015,DATA_GOC!$B:$B,"&lt;="&amp;$E2015))</f>
        <v/>
      </c>
      <c r="J2015" s="59">
        <f t="shared" si="28"/>
        <v>0</v>
      </c>
      <c r="K2015" s="59">
        <f t="shared" si="29"/>
        <v>0</v>
      </c>
      <c r="L2015" s="59">
        <f t="shared" si="30"/>
        <v>0</v>
      </c>
      <c r="M2015" s="59">
        <f t="shared" si="31"/>
        <v>0</v>
      </c>
    </row>
    <row r="2016" ht="15.0" hidden="1" customHeight="1">
      <c r="A2016" s="59">
        <f t="shared" si="20"/>
        <v>30</v>
      </c>
      <c r="B2016" s="59" t="str">
        <f t="shared" si="21"/>
        <v/>
      </c>
      <c r="C2016" s="59" t="str">
        <f t="shared" si="22"/>
        <v/>
      </c>
      <c r="D2016" s="45" t="str">
        <f t="shared" si="23"/>
        <v/>
      </c>
      <c r="E2016" s="45" t="str">
        <f t="shared" si="24"/>
        <v/>
      </c>
      <c r="F2016" s="59" t="str">
        <f t="shared" si="25"/>
        <v/>
      </c>
      <c r="G2016" s="59" t="str">
        <f t="shared" si="26"/>
        <v/>
      </c>
      <c r="H2016" s="59" t="str">
        <f t="shared" si="27"/>
        <v>29E17417</v>
      </c>
      <c r="I2016" s="59" t="str">
        <f>IF(OR($A2016="",$C2016="",$D2016="",$E2016="",$H2016=""),"",SUMIFS(DATA_GOC!$H:$H,DATA_GOC!$A:$A,"BOM",DATA_GOC!$D:$D,$H2016,DATA_GOC!$E:$E,$C2016,DATA_GOC!$F:$F,"Xuất nội bộ từ téc",DATA_GOC!$B:$B,"&gt;="&amp;$D2016,DATA_GOC!$B:$B,"&lt;="&amp;$E2016))</f>
        <v/>
      </c>
      <c r="J2016" s="59">
        <f t="shared" si="28"/>
        <v>0</v>
      </c>
      <c r="K2016" s="59">
        <f t="shared" si="29"/>
        <v>0</v>
      </c>
      <c r="L2016" s="59">
        <f t="shared" si="30"/>
        <v>0</v>
      </c>
      <c r="M2016" s="59">
        <f t="shared" si="31"/>
        <v>0</v>
      </c>
    </row>
    <row r="2017" ht="15.0" hidden="1" customHeight="1">
      <c r="A2017" s="59">
        <f t="shared" si="20"/>
        <v>30</v>
      </c>
      <c r="B2017" s="59" t="str">
        <f t="shared" si="21"/>
        <v/>
      </c>
      <c r="C2017" s="59" t="str">
        <f t="shared" si="22"/>
        <v/>
      </c>
      <c r="D2017" s="45" t="str">
        <f t="shared" si="23"/>
        <v/>
      </c>
      <c r="E2017" s="45" t="str">
        <f t="shared" si="24"/>
        <v/>
      </c>
      <c r="F2017" s="59" t="str">
        <f t="shared" si="25"/>
        <v/>
      </c>
      <c r="G2017" s="59" t="str">
        <f t="shared" si="26"/>
        <v/>
      </c>
      <c r="H2017" s="59" t="str">
        <f t="shared" si="27"/>
        <v>29E17539</v>
      </c>
      <c r="I2017" s="59" t="str">
        <f>IF(OR($A2017="",$C2017="",$D2017="",$E2017="",$H2017=""),"",SUMIFS(DATA_GOC!$H:$H,DATA_GOC!$A:$A,"BOM",DATA_GOC!$D:$D,$H2017,DATA_GOC!$E:$E,$C2017,DATA_GOC!$F:$F,"Xuất nội bộ từ téc",DATA_GOC!$B:$B,"&gt;="&amp;$D2017,DATA_GOC!$B:$B,"&lt;="&amp;$E2017))</f>
        <v/>
      </c>
      <c r="J2017" s="59">
        <f t="shared" si="28"/>
        <v>0</v>
      </c>
      <c r="K2017" s="59">
        <f t="shared" si="29"/>
        <v>0</v>
      </c>
      <c r="L2017" s="59">
        <f t="shared" si="30"/>
        <v>0</v>
      </c>
      <c r="M2017" s="59">
        <f t="shared" si="31"/>
        <v>0</v>
      </c>
    </row>
    <row r="2018" ht="15.0" hidden="1" customHeight="1">
      <c r="A2018" s="59">
        <f t="shared" si="20"/>
        <v>30</v>
      </c>
      <c r="B2018" s="59" t="str">
        <f t="shared" si="21"/>
        <v/>
      </c>
      <c r="C2018" s="59" t="str">
        <f t="shared" si="22"/>
        <v/>
      </c>
      <c r="D2018" s="45" t="str">
        <f t="shared" si="23"/>
        <v/>
      </c>
      <c r="E2018" s="45" t="str">
        <f t="shared" si="24"/>
        <v/>
      </c>
      <c r="F2018" s="59" t="str">
        <f t="shared" si="25"/>
        <v/>
      </c>
      <c r="G2018" s="59" t="str">
        <f t="shared" si="26"/>
        <v/>
      </c>
      <c r="H2018" s="59" t="str">
        <f t="shared" si="27"/>
        <v>29E18160</v>
      </c>
      <c r="I2018" s="59" t="str">
        <f>IF(OR($A2018="",$C2018="",$D2018="",$E2018="",$H2018=""),"",SUMIFS(DATA_GOC!$H:$H,DATA_GOC!$A:$A,"BOM",DATA_GOC!$D:$D,$H2018,DATA_GOC!$E:$E,$C2018,DATA_GOC!$F:$F,"Xuất nội bộ từ téc",DATA_GOC!$B:$B,"&gt;="&amp;$D2018,DATA_GOC!$B:$B,"&lt;="&amp;$E2018))</f>
        <v/>
      </c>
      <c r="J2018" s="59">
        <f t="shared" si="28"/>
        <v>0</v>
      </c>
      <c r="K2018" s="59">
        <f t="shared" si="29"/>
        <v>0</v>
      </c>
      <c r="L2018" s="59">
        <f t="shared" si="30"/>
        <v>0</v>
      </c>
      <c r="M2018" s="59">
        <f t="shared" si="31"/>
        <v>0</v>
      </c>
    </row>
    <row r="2019" ht="15.0" hidden="1" customHeight="1">
      <c r="A2019" s="59">
        <f t="shared" si="20"/>
        <v>30</v>
      </c>
      <c r="B2019" s="59" t="str">
        <f t="shared" si="21"/>
        <v/>
      </c>
      <c r="C2019" s="59" t="str">
        <f t="shared" si="22"/>
        <v/>
      </c>
      <c r="D2019" s="45" t="str">
        <f t="shared" si="23"/>
        <v/>
      </c>
      <c r="E2019" s="45" t="str">
        <f t="shared" si="24"/>
        <v/>
      </c>
      <c r="F2019" s="59" t="str">
        <f t="shared" si="25"/>
        <v/>
      </c>
      <c r="G2019" s="59" t="str">
        <f t="shared" si="26"/>
        <v/>
      </c>
      <c r="H2019" s="59" t="str">
        <f t="shared" si="27"/>
        <v>Công trình Asphalt</v>
      </c>
      <c r="I2019" s="59" t="str">
        <f>IF(OR($A2019="",$C2019="",$D2019="",$E2019="",$H2019=""),"",SUMIFS(DATA_GOC!$H:$H,DATA_GOC!$A:$A,"BOM",DATA_GOC!$D:$D,$H2019,DATA_GOC!$E:$E,$C2019,DATA_GOC!$F:$F,"Xuất nội bộ từ téc",DATA_GOC!$B:$B,"&gt;="&amp;$D2019,DATA_GOC!$B:$B,"&lt;="&amp;$E2019))</f>
        <v/>
      </c>
      <c r="J2019" s="59">
        <f t="shared" si="28"/>
        <v>0</v>
      </c>
      <c r="K2019" s="59">
        <f t="shared" si="29"/>
        <v>0</v>
      </c>
      <c r="L2019" s="59">
        <f t="shared" si="30"/>
        <v>0</v>
      </c>
      <c r="M2019" s="59">
        <f t="shared" si="31"/>
        <v>0</v>
      </c>
    </row>
    <row r="2020" ht="15.0" hidden="1" customHeight="1">
      <c r="A2020" s="59">
        <f t="shared" si="20"/>
        <v>30</v>
      </c>
      <c r="B2020" s="59" t="str">
        <f t="shared" si="21"/>
        <v/>
      </c>
      <c r="C2020" s="59" t="str">
        <f t="shared" si="22"/>
        <v/>
      </c>
      <c r="D2020" s="45" t="str">
        <f t="shared" si="23"/>
        <v/>
      </c>
      <c r="E2020" s="45" t="str">
        <f t="shared" si="24"/>
        <v/>
      </c>
      <c r="F2020" s="59" t="str">
        <f t="shared" si="25"/>
        <v/>
      </c>
      <c r="G2020" s="59" t="str">
        <f t="shared" si="26"/>
        <v/>
      </c>
      <c r="H2020" s="59" t="str">
        <f t="shared" si="27"/>
        <v>LG53F</v>
      </c>
      <c r="I2020" s="59" t="str">
        <f>IF(OR($A2020="",$C2020="",$D2020="",$E2020="",$H2020=""),"",SUMIFS(DATA_GOC!$H:$H,DATA_GOC!$A:$A,"BOM",DATA_GOC!$D:$D,$H2020,DATA_GOC!$E:$E,$C2020,DATA_GOC!$F:$F,"Xuất nội bộ từ téc",DATA_GOC!$B:$B,"&gt;="&amp;$D2020,DATA_GOC!$B:$B,"&lt;="&amp;$E2020))</f>
        <v/>
      </c>
      <c r="J2020" s="59">
        <f t="shared" si="28"/>
        <v>0</v>
      </c>
      <c r="K2020" s="59">
        <f t="shared" si="29"/>
        <v>0</v>
      </c>
      <c r="L2020" s="59">
        <f t="shared" si="30"/>
        <v>0</v>
      </c>
      <c r="M2020" s="59">
        <f t="shared" si="31"/>
        <v>0</v>
      </c>
    </row>
    <row r="2021" ht="15.0" hidden="1" customHeight="1">
      <c r="A2021" s="59">
        <f t="shared" si="20"/>
        <v>30</v>
      </c>
      <c r="B2021" s="59" t="str">
        <f t="shared" si="21"/>
        <v/>
      </c>
      <c r="C2021" s="59" t="str">
        <f t="shared" si="22"/>
        <v/>
      </c>
      <c r="D2021" s="45" t="str">
        <f t="shared" si="23"/>
        <v/>
      </c>
      <c r="E2021" s="45" t="str">
        <f t="shared" si="24"/>
        <v/>
      </c>
      <c r="F2021" s="59" t="str">
        <f t="shared" si="25"/>
        <v/>
      </c>
      <c r="G2021" s="59" t="str">
        <f t="shared" si="26"/>
        <v/>
      </c>
      <c r="H2021" s="59" t="str">
        <f t="shared" si="27"/>
        <v>Máy phát điện</v>
      </c>
      <c r="I2021" s="59" t="str">
        <f>IF(OR($A2021="",$C2021="",$D2021="",$E2021="",$H2021=""),"",SUMIFS(DATA_GOC!$H:$H,DATA_GOC!$A:$A,"BOM",DATA_GOC!$D:$D,$H2021,DATA_GOC!$E:$E,$C2021,DATA_GOC!$F:$F,"Xuất nội bộ từ téc",DATA_GOC!$B:$B,"&gt;="&amp;$D2021,DATA_GOC!$B:$B,"&lt;="&amp;$E2021))</f>
        <v/>
      </c>
      <c r="J2021" s="59">
        <f t="shared" si="28"/>
        <v>0</v>
      </c>
      <c r="K2021" s="59">
        <f t="shared" si="29"/>
        <v>0</v>
      </c>
      <c r="L2021" s="59">
        <f t="shared" si="30"/>
        <v>0</v>
      </c>
      <c r="M2021" s="59">
        <f t="shared" si="31"/>
        <v>0</v>
      </c>
    </row>
    <row r="2022" ht="15.0" hidden="1" customHeight="1">
      <c r="A2022" s="59">
        <f t="shared" si="20"/>
        <v>30</v>
      </c>
      <c r="B2022" s="59" t="str">
        <f t="shared" si="21"/>
        <v/>
      </c>
      <c r="C2022" s="59" t="str">
        <f t="shared" si="22"/>
        <v/>
      </c>
      <c r="D2022" s="45" t="str">
        <f t="shared" si="23"/>
        <v/>
      </c>
      <c r="E2022" s="45" t="str">
        <f t="shared" si="24"/>
        <v/>
      </c>
      <c r="F2022" s="59" t="str">
        <f t="shared" si="25"/>
        <v/>
      </c>
      <c r="G2022" s="59" t="str">
        <f t="shared" si="26"/>
        <v/>
      </c>
      <c r="H2022" s="59" t="str">
        <f t="shared" si="27"/>
        <v>Máy rải thảm</v>
      </c>
      <c r="I2022" s="59" t="str">
        <f>IF(OR($A2022="",$C2022="",$D2022="",$E2022="",$H2022=""),"",SUMIFS(DATA_GOC!$H:$H,DATA_GOC!$A:$A,"BOM",DATA_GOC!$D:$D,$H2022,DATA_GOC!$E:$E,$C2022,DATA_GOC!$F:$F,"Xuất nội bộ từ téc",DATA_GOC!$B:$B,"&gt;="&amp;$D2022,DATA_GOC!$B:$B,"&lt;="&amp;$E2022))</f>
        <v/>
      </c>
      <c r="J2022" s="59">
        <f t="shared" si="28"/>
        <v>0</v>
      </c>
      <c r="K2022" s="59">
        <f t="shared" si="29"/>
        <v>0</v>
      </c>
      <c r="L2022" s="59">
        <f t="shared" si="30"/>
        <v>0</v>
      </c>
      <c r="M2022" s="59">
        <f t="shared" si="31"/>
        <v>0</v>
      </c>
    </row>
    <row r="2023" ht="15.0" hidden="1" customHeight="1">
      <c r="A2023" s="59">
        <f t="shared" si="20"/>
        <v>30</v>
      </c>
      <c r="B2023" s="59" t="str">
        <f t="shared" si="21"/>
        <v/>
      </c>
      <c r="C2023" s="59" t="str">
        <f t="shared" si="22"/>
        <v/>
      </c>
      <c r="D2023" s="45" t="str">
        <f t="shared" si="23"/>
        <v/>
      </c>
      <c r="E2023" s="45" t="str">
        <f t="shared" si="24"/>
        <v/>
      </c>
      <c r="F2023" s="59" t="str">
        <f t="shared" si="25"/>
        <v/>
      </c>
      <c r="G2023" s="59" t="str">
        <f t="shared" si="26"/>
        <v/>
      </c>
      <c r="H2023" s="59" t="str">
        <f t="shared" si="27"/>
        <v>Xúc Đào</v>
      </c>
      <c r="I2023" s="59" t="str">
        <f>IF(OR($A2023="",$C2023="",$D2023="",$E2023="",$H2023=""),"",SUMIFS(DATA_GOC!$H:$H,DATA_GOC!$A:$A,"BOM",DATA_GOC!$D:$D,$H2023,DATA_GOC!$E:$E,$C2023,DATA_GOC!$F:$F,"Xuất nội bộ từ téc",DATA_GOC!$B:$B,"&gt;="&amp;$D2023,DATA_GOC!$B:$B,"&lt;="&amp;$E2023))</f>
        <v/>
      </c>
      <c r="J2023" s="59">
        <f t="shared" si="28"/>
        <v>0</v>
      </c>
      <c r="K2023" s="59">
        <f t="shared" si="29"/>
        <v>0</v>
      </c>
      <c r="L2023" s="59">
        <f t="shared" si="30"/>
        <v>0</v>
      </c>
      <c r="M2023" s="59">
        <f t="shared" si="31"/>
        <v>0</v>
      </c>
    </row>
    <row r="2024" ht="15.0" hidden="1" customHeight="1">
      <c r="A2024" s="59">
        <f t="shared" si="20"/>
        <v>30</v>
      </c>
      <c r="B2024" s="59" t="str">
        <f t="shared" si="21"/>
        <v/>
      </c>
      <c r="C2024" s="59" t="str">
        <f t="shared" si="22"/>
        <v/>
      </c>
      <c r="D2024" s="45" t="str">
        <f t="shared" si="23"/>
        <v/>
      </c>
      <c r="E2024" s="45" t="str">
        <f t="shared" si="24"/>
        <v/>
      </c>
      <c r="F2024" s="59" t="str">
        <f t="shared" si="25"/>
        <v/>
      </c>
      <c r="G2024" s="59" t="str">
        <f t="shared" si="26"/>
        <v/>
      </c>
      <c r="H2024" s="59" t="str">
        <f t="shared" si="27"/>
        <v>Xúclật asphalt</v>
      </c>
      <c r="I2024" s="59" t="str">
        <f>IF(OR($A2024="",$C2024="",$D2024="",$E2024="",$H2024=""),"",SUMIFS(DATA_GOC!$H:$H,DATA_GOC!$A:$A,"BOM",DATA_GOC!$D:$D,$H2024,DATA_GOC!$E:$E,$C2024,DATA_GOC!$F:$F,"Xuất nội bộ từ téc",DATA_GOC!$B:$B,"&gt;="&amp;$D2024,DATA_GOC!$B:$B,"&lt;="&amp;$E2024))</f>
        <v/>
      </c>
      <c r="J2024" s="59">
        <f t="shared" si="28"/>
        <v>0</v>
      </c>
      <c r="K2024" s="59">
        <f t="shared" si="29"/>
        <v>0</v>
      </c>
      <c r="L2024" s="59">
        <f t="shared" si="30"/>
        <v>0</v>
      </c>
      <c r="M2024" s="59">
        <f t="shared" si="31"/>
        <v>0</v>
      </c>
    </row>
    <row r="2025" ht="15.0" hidden="1" customHeight="1">
      <c r="A2025" s="59">
        <f t="shared" si="20"/>
        <v>30</v>
      </c>
      <c r="B2025" s="59" t="str">
        <f t="shared" si="21"/>
        <v/>
      </c>
      <c r="C2025" s="59" t="str">
        <f t="shared" si="22"/>
        <v/>
      </c>
      <c r="D2025" s="45" t="str">
        <f t="shared" si="23"/>
        <v/>
      </c>
      <c r="E2025" s="45" t="str">
        <f t="shared" si="24"/>
        <v/>
      </c>
      <c r="F2025" s="59" t="str">
        <f t="shared" si="25"/>
        <v/>
      </c>
      <c r="G2025" s="59" t="str">
        <f t="shared" si="26"/>
        <v/>
      </c>
      <c r="H2025" s="59" t="str">
        <f t="shared" si="27"/>
        <v>Xúclật855H</v>
      </c>
      <c r="I2025" s="59" t="str">
        <f>IF(OR($A2025="",$C2025="",$D2025="",$E2025="",$H2025=""),"",SUMIFS(DATA_GOC!$H:$H,DATA_GOC!$A:$A,"BOM",DATA_GOC!$D:$D,$H2025,DATA_GOC!$E:$E,$C2025,DATA_GOC!$F:$F,"Xuất nội bộ từ téc",DATA_GOC!$B:$B,"&gt;="&amp;$D2025,DATA_GOC!$B:$B,"&lt;="&amp;$E2025))</f>
        <v/>
      </c>
      <c r="J2025" s="59">
        <f t="shared" si="28"/>
        <v>0</v>
      </c>
      <c r="K2025" s="59">
        <f t="shared" si="29"/>
        <v>0</v>
      </c>
      <c r="L2025" s="59">
        <f t="shared" si="30"/>
        <v>0</v>
      </c>
      <c r="M2025" s="59">
        <f t="shared" si="31"/>
        <v>0</v>
      </c>
    </row>
    <row r="2026" ht="15.0" hidden="1" customHeight="1">
      <c r="A2026" s="59">
        <f t="shared" si="20"/>
        <v>30</v>
      </c>
      <c r="B2026" s="59" t="str">
        <f t="shared" si="21"/>
        <v/>
      </c>
      <c r="C2026" s="59" t="str">
        <f t="shared" si="22"/>
        <v/>
      </c>
      <c r="D2026" s="45" t="str">
        <f t="shared" si="23"/>
        <v/>
      </c>
      <c r="E2026" s="45" t="str">
        <f t="shared" si="24"/>
        <v/>
      </c>
      <c r="F2026" s="59" t="str">
        <f t="shared" si="25"/>
        <v/>
      </c>
      <c r="G2026" s="59" t="str">
        <f t="shared" si="26"/>
        <v/>
      </c>
      <c r="H2026" s="59" t="str">
        <f t="shared" si="27"/>
        <v>Xúclật855N</v>
      </c>
      <c r="I2026" s="59" t="str">
        <f>IF(OR($A2026="",$C2026="",$D2026="",$E2026="",$H2026=""),"",SUMIFS(DATA_GOC!$H:$H,DATA_GOC!$A:$A,"BOM",DATA_GOC!$D:$D,$H2026,DATA_GOC!$E:$E,$C2026,DATA_GOC!$F:$F,"Xuất nội bộ từ téc",DATA_GOC!$B:$B,"&gt;="&amp;$D2026,DATA_GOC!$B:$B,"&lt;="&amp;$E2026))</f>
        <v/>
      </c>
      <c r="J2026" s="59">
        <f t="shared" si="28"/>
        <v>0</v>
      </c>
      <c r="K2026" s="59">
        <f t="shared" si="29"/>
        <v>0</v>
      </c>
      <c r="L2026" s="59">
        <f t="shared" si="30"/>
        <v>0</v>
      </c>
      <c r="M2026" s="59">
        <f t="shared" si="31"/>
        <v>0</v>
      </c>
    </row>
    <row r="2027" ht="15.0" hidden="1" customHeight="1">
      <c r="A2027" s="59">
        <f t="shared" si="20"/>
        <v>30</v>
      </c>
      <c r="B2027" s="59" t="str">
        <f t="shared" si="21"/>
        <v/>
      </c>
      <c r="C2027" s="59" t="str">
        <f t="shared" si="22"/>
        <v/>
      </c>
      <c r="D2027" s="45" t="str">
        <f t="shared" si="23"/>
        <v/>
      </c>
      <c r="E2027" s="45" t="str">
        <f t="shared" si="24"/>
        <v/>
      </c>
      <c r="F2027" s="59" t="str">
        <f t="shared" si="25"/>
        <v/>
      </c>
      <c r="G2027" s="59" t="str">
        <f t="shared" si="26"/>
        <v/>
      </c>
      <c r="H2027" s="59" t="str">
        <f t="shared" si="27"/>
        <v>Cát nghiền</v>
      </c>
      <c r="I2027" s="59" t="str">
        <f>IF(OR($A2027="",$C2027="",$D2027="",$E2027="",$H2027=""),"",SUMIFS(DATA_GOC!$H:$H,DATA_GOC!$A:$A,"BOM",DATA_GOC!$D:$D,$H2027,DATA_GOC!$E:$E,$C2027,DATA_GOC!$F:$F,"Xuất nội bộ từ téc",DATA_GOC!$B:$B,"&gt;="&amp;$D2027,DATA_GOC!$B:$B,"&lt;="&amp;$E2027))</f>
        <v/>
      </c>
      <c r="J2027" s="59">
        <f t="shared" si="28"/>
        <v>0</v>
      </c>
      <c r="K2027" s="59">
        <f t="shared" si="29"/>
        <v>0</v>
      </c>
      <c r="L2027" s="59">
        <f t="shared" si="30"/>
        <v>0</v>
      </c>
      <c r="M2027" s="59">
        <f t="shared" si="31"/>
        <v>0</v>
      </c>
    </row>
    <row r="2028" ht="15.0" hidden="1" customHeight="1">
      <c r="A2028" s="59">
        <f t="shared" si="20"/>
        <v>30</v>
      </c>
      <c r="B2028" s="59" t="str">
        <f t="shared" si="21"/>
        <v/>
      </c>
      <c r="C2028" s="59" t="str">
        <f t="shared" si="22"/>
        <v/>
      </c>
      <c r="D2028" s="45" t="str">
        <f t="shared" si="23"/>
        <v/>
      </c>
      <c r="E2028" s="45" t="str">
        <f t="shared" si="24"/>
        <v/>
      </c>
      <c r="F2028" s="59" t="str">
        <f t="shared" si="25"/>
        <v/>
      </c>
      <c r="G2028" s="59" t="str">
        <f t="shared" si="26"/>
        <v/>
      </c>
      <c r="H2028" s="59" t="str">
        <f t="shared" si="27"/>
        <v>28C02973</v>
      </c>
      <c r="I2028" s="59" t="str">
        <f>IF(OR($A2028="",$C2028="",$D2028="",$E2028="",$H2028=""),"",SUMIFS(DATA_GOC!$H:$H,DATA_GOC!$A:$A,"BOM",DATA_GOC!$D:$D,$H2028,DATA_GOC!$E:$E,$C2028,DATA_GOC!$F:$F,"Xuất nội bộ từ téc",DATA_GOC!$B:$B,"&gt;="&amp;$D2028,DATA_GOC!$B:$B,"&lt;="&amp;$E2028))</f>
        <v/>
      </c>
      <c r="J2028" s="59">
        <f t="shared" si="28"/>
        <v>0</v>
      </c>
      <c r="K2028" s="59">
        <f t="shared" si="29"/>
        <v>0</v>
      </c>
      <c r="L2028" s="59">
        <f t="shared" si="30"/>
        <v>0</v>
      </c>
      <c r="M2028" s="59">
        <f t="shared" si="31"/>
        <v>0</v>
      </c>
    </row>
    <row r="2029" ht="15.0" hidden="1" customHeight="1">
      <c r="A2029" s="59">
        <f t="shared" si="20"/>
        <v>30</v>
      </c>
      <c r="B2029" s="59" t="str">
        <f t="shared" si="21"/>
        <v/>
      </c>
      <c r="C2029" s="59" t="str">
        <f t="shared" si="22"/>
        <v/>
      </c>
      <c r="D2029" s="45" t="str">
        <f t="shared" si="23"/>
        <v/>
      </c>
      <c r="E2029" s="45" t="str">
        <f t="shared" si="24"/>
        <v/>
      </c>
      <c r="F2029" s="59" t="str">
        <f t="shared" si="25"/>
        <v/>
      </c>
      <c r="G2029" s="59" t="str">
        <f t="shared" si="26"/>
        <v/>
      </c>
      <c r="H2029" s="59" t="str">
        <f t="shared" si="27"/>
        <v>28C03044</v>
      </c>
      <c r="I2029" s="59" t="str">
        <f>IF(OR($A2029="",$C2029="",$D2029="",$E2029="",$H2029=""),"",SUMIFS(DATA_GOC!$H:$H,DATA_GOC!$A:$A,"BOM",DATA_GOC!$D:$D,$H2029,DATA_GOC!$E:$E,$C2029,DATA_GOC!$F:$F,"Xuất nội bộ từ téc",DATA_GOC!$B:$B,"&gt;="&amp;$D2029,DATA_GOC!$B:$B,"&lt;="&amp;$E2029))</f>
        <v/>
      </c>
      <c r="J2029" s="59">
        <f t="shared" si="28"/>
        <v>0</v>
      </c>
      <c r="K2029" s="59">
        <f t="shared" si="29"/>
        <v>0</v>
      </c>
      <c r="L2029" s="59">
        <f t="shared" si="30"/>
        <v>0</v>
      </c>
      <c r="M2029" s="59">
        <f t="shared" si="31"/>
        <v>0</v>
      </c>
    </row>
    <row r="2030" ht="15.0" hidden="1" customHeight="1">
      <c r="A2030" s="59">
        <f t="shared" si="20"/>
        <v>30</v>
      </c>
      <c r="B2030" s="59" t="str">
        <f t="shared" si="21"/>
        <v/>
      </c>
      <c r="C2030" s="59" t="str">
        <f t="shared" si="22"/>
        <v/>
      </c>
      <c r="D2030" s="45" t="str">
        <f t="shared" si="23"/>
        <v/>
      </c>
      <c r="E2030" s="45" t="str">
        <f t="shared" si="24"/>
        <v/>
      </c>
      <c r="F2030" s="59" t="str">
        <f t="shared" si="25"/>
        <v/>
      </c>
      <c r="G2030" s="59" t="str">
        <f t="shared" si="26"/>
        <v/>
      </c>
      <c r="H2030" s="59" t="str">
        <f t="shared" si="27"/>
        <v>Máy lu lốp</v>
      </c>
      <c r="I2030" s="59" t="str">
        <f>IF(OR($A2030="",$C2030="",$D2030="",$E2030="",$H2030=""),"",SUMIFS(DATA_GOC!$H:$H,DATA_GOC!$A:$A,"BOM",DATA_GOC!$D:$D,$H2030,DATA_GOC!$E:$E,$C2030,DATA_GOC!$F:$F,"Xuất nội bộ từ téc",DATA_GOC!$B:$B,"&gt;="&amp;$D2030,DATA_GOC!$B:$B,"&lt;="&amp;$E2030))</f>
        <v/>
      </c>
      <c r="J2030" s="59">
        <f t="shared" si="28"/>
        <v>0</v>
      </c>
      <c r="K2030" s="59">
        <f t="shared" si="29"/>
        <v>0</v>
      </c>
      <c r="L2030" s="59">
        <f t="shared" si="30"/>
        <v>0</v>
      </c>
      <c r="M2030" s="59">
        <f t="shared" si="31"/>
        <v>0</v>
      </c>
    </row>
    <row r="2031" ht="15.0" hidden="1" customHeight="1">
      <c r="A2031" s="59">
        <f t="shared" si="20"/>
        <v>30</v>
      </c>
      <c r="B2031" s="59" t="str">
        <f t="shared" si="21"/>
        <v/>
      </c>
      <c r="C2031" s="59" t="str">
        <f t="shared" si="22"/>
        <v/>
      </c>
      <c r="D2031" s="45" t="str">
        <f t="shared" si="23"/>
        <v/>
      </c>
      <c r="E2031" s="45" t="str">
        <f t="shared" si="24"/>
        <v/>
      </c>
      <c r="F2031" s="59" t="str">
        <f t="shared" si="25"/>
        <v/>
      </c>
      <c r="G2031" s="59" t="str">
        <f t="shared" si="26"/>
        <v/>
      </c>
      <c r="H2031" s="59" t="str">
        <f t="shared" si="27"/>
        <v>Xe 600148</v>
      </c>
      <c r="I2031" s="59" t="str">
        <f>IF(OR($A2031="",$C2031="",$D2031="",$E2031="",$H2031=""),"",SUMIFS(DATA_GOC!$H:$H,DATA_GOC!$A:$A,"BOM",DATA_GOC!$D:$D,$H2031,DATA_GOC!$E:$E,$C2031,DATA_GOC!$F:$F,"Xuất nội bộ từ téc",DATA_GOC!$B:$B,"&gt;="&amp;$D2031,DATA_GOC!$B:$B,"&lt;="&amp;$E2031))</f>
        <v/>
      </c>
      <c r="J2031" s="59">
        <f t="shared" si="28"/>
        <v>0</v>
      </c>
      <c r="K2031" s="59">
        <f t="shared" si="29"/>
        <v>0</v>
      </c>
      <c r="L2031" s="59">
        <f t="shared" si="30"/>
        <v>0</v>
      </c>
      <c r="M2031" s="59">
        <f t="shared" si="31"/>
        <v>0</v>
      </c>
    </row>
    <row r="2032" ht="15.0" hidden="1" customHeight="1">
      <c r="A2032" s="59">
        <f t="shared" si="20"/>
        <v>30</v>
      </c>
      <c r="B2032" s="59" t="str">
        <f t="shared" si="21"/>
        <v/>
      </c>
      <c r="C2032" s="59" t="str">
        <f t="shared" si="22"/>
        <v/>
      </c>
      <c r="D2032" s="45" t="str">
        <f t="shared" si="23"/>
        <v/>
      </c>
      <c r="E2032" s="45" t="str">
        <f t="shared" si="24"/>
        <v/>
      </c>
      <c r="F2032" s="59" t="str">
        <f t="shared" si="25"/>
        <v/>
      </c>
      <c r="G2032" s="59" t="str">
        <f t="shared" si="26"/>
        <v/>
      </c>
      <c r="H2032" s="59" t="str">
        <f t="shared" si="27"/>
        <v>Xe ben mới</v>
      </c>
      <c r="I2032" s="59" t="str">
        <f>IF(OR($A2032="",$C2032="",$D2032="",$E2032="",$H2032=""),"",SUMIFS(DATA_GOC!$H:$H,DATA_GOC!$A:$A,"BOM",DATA_GOC!$D:$D,$H2032,DATA_GOC!$E:$E,$C2032,DATA_GOC!$F:$F,"Xuất nội bộ từ téc",DATA_GOC!$B:$B,"&gt;="&amp;$D2032,DATA_GOC!$B:$B,"&lt;="&amp;$E2032))</f>
        <v/>
      </c>
      <c r="J2032" s="59">
        <f t="shared" si="28"/>
        <v>0</v>
      </c>
      <c r="K2032" s="59">
        <f t="shared" si="29"/>
        <v>0</v>
      </c>
      <c r="L2032" s="59">
        <f t="shared" si="30"/>
        <v>0</v>
      </c>
      <c r="M2032" s="59">
        <f t="shared" si="31"/>
        <v>0</v>
      </c>
    </row>
    <row r="2033" ht="15.0" hidden="1" customHeight="1">
      <c r="A2033" s="59">
        <f t="shared" si="20"/>
        <v>31</v>
      </c>
      <c r="B2033" s="59" t="str">
        <f t="shared" si="21"/>
        <v/>
      </c>
      <c r="C2033" s="59" t="str">
        <f t="shared" si="22"/>
        <v/>
      </c>
      <c r="D2033" s="45" t="str">
        <f t="shared" si="23"/>
        <v/>
      </c>
      <c r="E2033" s="45" t="str">
        <f t="shared" si="24"/>
        <v/>
      </c>
      <c r="F2033" s="59" t="str">
        <f t="shared" si="25"/>
        <v/>
      </c>
      <c r="G2033" s="59" t="str">
        <f t="shared" si="26"/>
        <v/>
      </c>
      <c r="H2033" s="59" t="str">
        <f t="shared" si="27"/>
        <v>19H09482</v>
      </c>
      <c r="I2033" s="59" t="str">
        <f>IF(OR($A2033="",$C2033="",$D2033="",$E2033="",$H2033=""),"",SUMIFS(DATA_GOC!$H:$H,DATA_GOC!$A:$A,"BOM",DATA_GOC!$D:$D,$H2033,DATA_GOC!$E:$E,$C2033,DATA_GOC!$F:$F,"Xuất nội bộ từ téc",DATA_GOC!$B:$B,"&gt;="&amp;$D2033,DATA_GOC!$B:$B,"&lt;="&amp;$E2033))</f>
        <v/>
      </c>
      <c r="J2033" s="59">
        <f t="shared" si="28"/>
        <v>0</v>
      </c>
      <c r="K2033" s="59">
        <f t="shared" si="29"/>
        <v>0</v>
      </c>
      <c r="L2033" s="59">
        <f t="shared" si="30"/>
        <v>0</v>
      </c>
      <c r="M2033" s="59">
        <f t="shared" si="31"/>
        <v>0</v>
      </c>
    </row>
    <row r="2034" ht="15.0" hidden="1" customHeight="1">
      <c r="A2034" s="59">
        <f t="shared" si="20"/>
        <v>31</v>
      </c>
      <c r="B2034" s="59" t="str">
        <f t="shared" si="21"/>
        <v/>
      </c>
      <c r="C2034" s="59" t="str">
        <f t="shared" si="22"/>
        <v/>
      </c>
      <c r="D2034" s="45" t="str">
        <f t="shared" si="23"/>
        <v/>
      </c>
      <c r="E2034" s="45" t="str">
        <f t="shared" si="24"/>
        <v/>
      </c>
      <c r="F2034" s="59" t="str">
        <f t="shared" si="25"/>
        <v/>
      </c>
      <c r="G2034" s="59" t="str">
        <f t="shared" si="26"/>
        <v/>
      </c>
      <c r="H2034" s="59" t="str">
        <f t="shared" si="27"/>
        <v>28A30696</v>
      </c>
      <c r="I2034" s="59" t="str">
        <f>IF(OR($A2034="",$C2034="",$D2034="",$E2034="",$H2034=""),"",SUMIFS(DATA_GOC!$H:$H,DATA_GOC!$A:$A,"BOM",DATA_GOC!$D:$D,$H2034,DATA_GOC!$E:$E,$C2034,DATA_GOC!$F:$F,"Xuất nội bộ từ téc",DATA_GOC!$B:$B,"&gt;="&amp;$D2034,DATA_GOC!$B:$B,"&lt;="&amp;$E2034))</f>
        <v/>
      </c>
      <c r="J2034" s="59">
        <f t="shared" si="28"/>
        <v>0</v>
      </c>
      <c r="K2034" s="59">
        <f t="shared" si="29"/>
        <v>0</v>
      </c>
      <c r="L2034" s="59">
        <f t="shared" si="30"/>
        <v>0</v>
      </c>
      <c r="M2034" s="59">
        <f t="shared" si="31"/>
        <v>0</v>
      </c>
    </row>
    <row r="2035" ht="15.0" hidden="1" customHeight="1">
      <c r="A2035" s="59">
        <f t="shared" si="20"/>
        <v>31</v>
      </c>
      <c r="B2035" s="59" t="str">
        <f t="shared" si="21"/>
        <v/>
      </c>
      <c r="C2035" s="59" t="str">
        <f t="shared" si="22"/>
        <v/>
      </c>
      <c r="D2035" s="45" t="str">
        <f t="shared" si="23"/>
        <v/>
      </c>
      <c r="E2035" s="45" t="str">
        <f t="shared" si="24"/>
        <v/>
      </c>
      <c r="F2035" s="59" t="str">
        <f t="shared" si="25"/>
        <v/>
      </c>
      <c r="G2035" s="59" t="str">
        <f t="shared" si="26"/>
        <v/>
      </c>
      <c r="H2035" s="59" t="str">
        <f t="shared" si="27"/>
        <v>28C00462</v>
      </c>
      <c r="I2035" s="59" t="str">
        <f>IF(OR($A2035="",$C2035="",$D2035="",$E2035="",$H2035=""),"",SUMIFS(DATA_GOC!$H:$H,DATA_GOC!$A:$A,"BOM",DATA_GOC!$D:$D,$H2035,DATA_GOC!$E:$E,$C2035,DATA_GOC!$F:$F,"Xuất nội bộ từ téc",DATA_GOC!$B:$B,"&gt;="&amp;$D2035,DATA_GOC!$B:$B,"&lt;="&amp;$E2035))</f>
        <v/>
      </c>
      <c r="J2035" s="59">
        <f t="shared" si="28"/>
        <v>0</v>
      </c>
      <c r="K2035" s="59">
        <f t="shared" si="29"/>
        <v>0</v>
      </c>
      <c r="L2035" s="59">
        <f t="shared" si="30"/>
        <v>0</v>
      </c>
      <c r="M2035" s="59">
        <f t="shared" si="31"/>
        <v>0</v>
      </c>
    </row>
    <row r="2036" ht="15.0" hidden="1" customHeight="1">
      <c r="A2036" s="59">
        <f t="shared" si="20"/>
        <v>31</v>
      </c>
      <c r="B2036" s="59" t="str">
        <f t="shared" si="21"/>
        <v/>
      </c>
      <c r="C2036" s="59" t="str">
        <f t="shared" si="22"/>
        <v/>
      </c>
      <c r="D2036" s="45" t="str">
        <f t="shared" si="23"/>
        <v/>
      </c>
      <c r="E2036" s="45" t="str">
        <f t="shared" si="24"/>
        <v/>
      </c>
      <c r="F2036" s="59" t="str">
        <f t="shared" si="25"/>
        <v/>
      </c>
      <c r="G2036" s="59" t="str">
        <f t="shared" si="26"/>
        <v/>
      </c>
      <c r="H2036" s="59" t="str">
        <f t="shared" si="27"/>
        <v>28C01165</v>
      </c>
      <c r="I2036" s="59" t="str">
        <f>IF(OR($A2036="",$C2036="",$D2036="",$E2036="",$H2036=""),"",SUMIFS(DATA_GOC!$H:$H,DATA_GOC!$A:$A,"BOM",DATA_GOC!$D:$D,$H2036,DATA_GOC!$E:$E,$C2036,DATA_GOC!$F:$F,"Xuất nội bộ từ téc",DATA_GOC!$B:$B,"&gt;="&amp;$D2036,DATA_GOC!$B:$B,"&lt;="&amp;$E2036))</f>
        <v/>
      </c>
      <c r="J2036" s="59">
        <f t="shared" si="28"/>
        <v>0</v>
      </c>
      <c r="K2036" s="59">
        <f t="shared" si="29"/>
        <v>0</v>
      </c>
      <c r="L2036" s="59">
        <f t="shared" si="30"/>
        <v>0</v>
      </c>
      <c r="M2036" s="59">
        <f t="shared" si="31"/>
        <v>0</v>
      </c>
    </row>
    <row r="2037" ht="15.0" hidden="1" customHeight="1">
      <c r="A2037" s="59">
        <f t="shared" si="20"/>
        <v>31</v>
      </c>
      <c r="B2037" s="59" t="str">
        <f t="shared" si="21"/>
        <v/>
      </c>
      <c r="C2037" s="59" t="str">
        <f t="shared" si="22"/>
        <v/>
      </c>
      <c r="D2037" s="45" t="str">
        <f t="shared" si="23"/>
        <v/>
      </c>
      <c r="E2037" s="45" t="str">
        <f t="shared" si="24"/>
        <v/>
      </c>
      <c r="F2037" s="59" t="str">
        <f t="shared" si="25"/>
        <v/>
      </c>
      <c r="G2037" s="59" t="str">
        <f t="shared" si="26"/>
        <v/>
      </c>
      <c r="H2037" s="59" t="str">
        <f t="shared" si="27"/>
        <v>28C01406</v>
      </c>
      <c r="I2037" s="59" t="str">
        <f>IF(OR($A2037="",$C2037="",$D2037="",$E2037="",$H2037=""),"",SUMIFS(DATA_GOC!$H:$H,DATA_GOC!$A:$A,"BOM",DATA_GOC!$D:$D,$H2037,DATA_GOC!$E:$E,$C2037,DATA_GOC!$F:$F,"Xuất nội bộ từ téc",DATA_GOC!$B:$B,"&gt;="&amp;$D2037,DATA_GOC!$B:$B,"&lt;="&amp;$E2037))</f>
        <v/>
      </c>
      <c r="J2037" s="59">
        <f t="shared" si="28"/>
        <v>0</v>
      </c>
      <c r="K2037" s="59">
        <f t="shared" si="29"/>
        <v>0</v>
      </c>
      <c r="L2037" s="59">
        <f t="shared" si="30"/>
        <v>0</v>
      </c>
      <c r="M2037" s="59">
        <f t="shared" si="31"/>
        <v>0</v>
      </c>
    </row>
    <row r="2038" ht="15.0" hidden="1" customHeight="1">
      <c r="A2038" s="59">
        <f t="shared" si="20"/>
        <v>31</v>
      </c>
      <c r="B2038" s="59" t="str">
        <f t="shared" si="21"/>
        <v/>
      </c>
      <c r="C2038" s="59" t="str">
        <f t="shared" si="22"/>
        <v/>
      </c>
      <c r="D2038" s="45" t="str">
        <f t="shared" si="23"/>
        <v/>
      </c>
      <c r="E2038" s="45" t="str">
        <f t="shared" si="24"/>
        <v/>
      </c>
      <c r="F2038" s="59" t="str">
        <f t="shared" si="25"/>
        <v/>
      </c>
      <c r="G2038" s="59" t="str">
        <f t="shared" si="26"/>
        <v/>
      </c>
      <c r="H2038" s="59" t="str">
        <f t="shared" si="27"/>
        <v>28C01544</v>
      </c>
      <c r="I2038" s="59" t="str">
        <f>IF(OR($A2038="",$C2038="",$D2038="",$E2038="",$H2038=""),"",SUMIFS(DATA_GOC!$H:$H,DATA_GOC!$A:$A,"BOM",DATA_GOC!$D:$D,$H2038,DATA_GOC!$E:$E,$C2038,DATA_GOC!$F:$F,"Xuất nội bộ từ téc",DATA_GOC!$B:$B,"&gt;="&amp;$D2038,DATA_GOC!$B:$B,"&lt;="&amp;$E2038))</f>
        <v/>
      </c>
      <c r="J2038" s="59">
        <f t="shared" si="28"/>
        <v>0</v>
      </c>
      <c r="K2038" s="59">
        <f t="shared" si="29"/>
        <v>0</v>
      </c>
      <c r="L2038" s="59">
        <f t="shared" si="30"/>
        <v>0</v>
      </c>
      <c r="M2038" s="59">
        <f t="shared" si="31"/>
        <v>0</v>
      </c>
    </row>
    <row r="2039" ht="15.0" hidden="1" customHeight="1">
      <c r="A2039" s="59">
        <f t="shared" si="20"/>
        <v>31</v>
      </c>
      <c r="B2039" s="59" t="str">
        <f t="shared" si="21"/>
        <v/>
      </c>
      <c r="C2039" s="59" t="str">
        <f t="shared" si="22"/>
        <v/>
      </c>
      <c r="D2039" s="45" t="str">
        <f t="shared" si="23"/>
        <v/>
      </c>
      <c r="E2039" s="45" t="str">
        <f t="shared" si="24"/>
        <v/>
      </c>
      <c r="F2039" s="59" t="str">
        <f t="shared" si="25"/>
        <v/>
      </c>
      <c r="G2039" s="59" t="str">
        <f t="shared" si="26"/>
        <v/>
      </c>
      <c r="H2039" s="59" t="str">
        <f t="shared" si="27"/>
        <v>28C01622</v>
      </c>
      <c r="I2039" s="59" t="str">
        <f>IF(OR($A2039="",$C2039="",$D2039="",$E2039="",$H2039=""),"",SUMIFS(DATA_GOC!$H:$H,DATA_GOC!$A:$A,"BOM",DATA_GOC!$D:$D,$H2039,DATA_GOC!$E:$E,$C2039,DATA_GOC!$F:$F,"Xuất nội bộ từ téc",DATA_GOC!$B:$B,"&gt;="&amp;$D2039,DATA_GOC!$B:$B,"&lt;="&amp;$E2039))</f>
        <v/>
      </c>
      <c r="J2039" s="59">
        <f t="shared" si="28"/>
        <v>0</v>
      </c>
      <c r="K2039" s="59">
        <f t="shared" si="29"/>
        <v>0</v>
      </c>
      <c r="L2039" s="59">
        <f t="shared" si="30"/>
        <v>0</v>
      </c>
      <c r="M2039" s="59">
        <f t="shared" si="31"/>
        <v>0</v>
      </c>
    </row>
    <row r="2040" ht="15.0" hidden="1" customHeight="1">
      <c r="A2040" s="59">
        <f t="shared" si="20"/>
        <v>31</v>
      </c>
      <c r="B2040" s="59" t="str">
        <f t="shared" si="21"/>
        <v/>
      </c>
      <c r="C2040" s="59" t="str">
        <f t="shared" si="22"/>
        <v/>
      </c>
      <c r="D2040" s="45" t="str">
        <f t="shared" si="23"/>
        <v/>
      </c>
      <c r="E2040" s="45" t="str">
        <f t="shared" si="24"/>
        <v/>
      </c>
      <c r="F2040" s="59" t="str">
        <f t="shared" si="25"/>
        <v/>
      </c>
      <c r="G2040" s="59" t="str">
        <f t="shared" si="26"/>
        <v/>
      </c>
      <c r="H2040" s="59" t="str">
        <f t="shared" si="27"/>
        <v>28C01647</v>
      </c>
      <c r="I2040" s="59" t="str">
        <f>IF(OR($A2040="",$C2040="",$D2040="",$E2040="",$H2040=""),"",SUMIFS(DATA_GOC!$H:$H,DATA_GOC!$A:$A,"BOM",DATA_GOC!$D:$D,$H2040,DATA_GOC!$E:$E,$C2040,DATA_GOC!$F:$F,"Xuất nội bộ từ téc",DATA_GOC!$B:$B,"&gt;="&amp;$D2040,DATA_GOC!$B:$B,"&lt;="&amp;$E2040))</f>
        <v/>
      </c>
      <c r="J2040" s="59">
        <f t="shared" si="28"/>
        <v>0</v>
      </c>
      <c r="K2040" s="59">
        <f t="shared" si="29"/>
        <v>0</v>
      </c>
      <c r="L2040" s="59">
        <f t="shared" si="30"/>
        <v>0</v>
      </c>
      <c r="M2040" s="59">
        <f t="shared" si="31"/>
        <v>0</v>
      </c>
    </row>
    <row r="2041" ht="15.0" hidden="1" customHeight="1">
      <c r="A2041" s="59">
        <f t="shared" si="20"/>
        <v>31</v>
      </c>
      <c r="B2041" s="59" t="str">
        <f t="shared" si="21"/>
        <v/>
      </c>
      <c r="C2041" s="59" t="str">
        <f t="shared" si="22"/>
        <v/>
      </c>
      <c r="D2041" s="45" t="str">
        <f t="shared" si="23"/>
        <v/>
      </c>
      <c r="E2041" s="45" t="str">
        <f t="shared" si="24"/>
        <v/>
      </c>
      <c r="F2041" s="59" t="str">
        <f t="shared" si="25"/>
        <v/>
      </c>
      <c r="G2041" s="59" t="str">
        <f t="shared" si="26"/>
        <v/>
      </c>
      <c r="H2041" s="59" t="str">
        <f t="shared" si="27"/>
        <v>28C01731</v>
      </c>
      <c r="I2041" s="59" t="str">
        <f>IF(OR($A2041="",$C2041="",$D2041="",$E2041="",$H2041=""),"",SUMIFS(DATA_GOC!$H:$H,DATA_GOC!$A:$A,"BOM",DATA_GOC!$D:$D,$H2041,DATA_GOC!$E:$E,$C2041,DATA_GOC!$F:$F,"Xuất nội bộ từ téc",DATA_GOC!$B:$B,"&gt;="&amp;$D2041,DATA_GOC!$B:$B,"&lt;="&amp;$E2041))</f>
        <v/>
      </c>
      <c r="J2041" s="59">
        <f t="shared" si="28"/>
        <v>0</v>
      </c>
      <c r="K2041" s="59">
        <f t="shared" si="29"/>
        <v>0</v>
      </c>
      <c r="L2041" s="59">
        <f t="shared" si="30"/>
        <v>0</v>
      </c>
      <c r="M2041" s="59">
        <f t="shared" si="31"/>
        <v>0</v>
      </c>
    </row>
    <row r="2042" ht="15.0" hidden="1" customHeight="1">
      <c r="A2042" s="59">
        <f t="shared" si="20"/>
        <v>31</v>
      </c>
      <c r="B2042" s="59" t="str">
        <f t="shared" si="21"/>
        <v/>
      </c>
      <c r="C2042" s="59" t="str">
        <f t="shared" si="22"/>
        <v/>
      </c>
      <c r="D2042" s="45" t="str">
        <f t="shared" si="23"/>
        <v/>
      </c>
      <c r="E2042" s="45" t="str">
        <f t="shared" si="24"/>
        <v/>
      </c>
      <c r="F2042" s="59" t="str">
        <f t="shared" si="25"/>
        <v/>
      </c>
      <c r="G2042" s="59" t="str">
        <f t="shared" si="26"/>
        <v/>
      </c>
      <c r="H2042" s="59" t="str">
        <f t="shared" si="27"/>
        <v>28C01743</v>
      </c>
      <c r="I2042" s="59" t="str">
        <f>IF(OR($A2042="",$C2042="",$D2042="",$E2042="",$H2042=""),"",SUMIFS(DATA_GOC!$H:$H,DATA_GOC!$A:$A,"BOM",DATA_GOC!$D:$D,$H2042,DATA_GOC!$E:$E,$C2042,DATA_GOC!$F:$F,"Xuất nội bộ từ téc",DATA_GOC!$B:$B,"&gt;="&amp;$D2042,DATA_GOC!$B:$B,"&lt;="&amp;$E2042))</f>
        <v/>
      </c>
      <c r="J2042" s="59">
        <f t="shared" si="28"/>
        <v>0</v>
      </c>
      <c r="K2042" s="59">
        <f t="shared" si="29"/>
        <v>0</v>
      </c>
      <c r="L2042" s="59">
        <f t="shared" si="30"/>
        <v>0</v>
      </c>
      <c r="M2042" s="59">
        <f t="shared" si="31"/>
        <v>0</v>
      </c>
    </row>
    <row r="2043" ht="15.0" hidden="1" customHeight="1">
      <c r="A2043" s="59">
        <f t="shared" si="20"/>
        <v>31</v>
      </c>
      <c r="B2043" s="59" t="str">
        <f t="shared" si="21"/>
        <v/>
      </c>
      <c r="C2043" s="59" t="str">
        <f t="shared" si="22"/>
        <v/>
      </c>
      <c r="D2043" s="45" t="str">
        <f t="shared" si="23"/>
        <v/>
      </c>
      <c r="E2043" s="45" t="str">
        <f t="shared" si="24"/>
        <v/>
      </c>
      <c r="F2043" s="59" t="str">
        <f t="shared" si="25"/>
        <v/>
      </c>
      <c r="G2043" s="59" t="str">
        <f t="shared" si="26"/>
        <v/>
      </c>
      <c r="H2043" s="59" t="str">
        <f t="shared" si="27"/>
        <v>28C02106</v>
      </c>
      <c r="I2043" s="59" t="str">
        <f>IF(OR($A2043="",$C2043="",$D2043="",$E2043="",$H2043=""),"",SUMIFS(DATA_GOC!$H:$H,DATA_GOC!$A:$A,"BOM",DATA_GOC!$D:$D,$H2043,DATA_GOC!$E:$E,$C2043,DATA_GOC!$F:$F,"Xuất nội bộ từ téc",DATA_GOC!$B:$B,"&gt;="&amp;$D2043,DATA_GOC!$B:$B,"&lt;="&amp;$E2043))</f>
        <v/>
      </c>
      <c r="J2043" s="59">
        <f t="shared" si="28"/>
        <v>0</v>
      </c>
      <c r="K2043" s="59">
        <f t="shared" si="29"/>
        <v>0</v>
      </c>
      <c r="L2043" s="59">
        <f t="shared" si="30"/>
        <v>0</v>
      </c>
      <c r="M2043" s="59">
        <f t="shared" si="31"/>
        <v>0</v>
      </c>
    </row>
    <row r="2044" ht="15.0" hidden="1" customHeight="1">
      <c r="A2044" s="59">
        <f t="shared" si="20"/>
        <v>31</v>
      </c>
      <c r="B2044" s="59" t="str">
        <f t="shared" si="21"/>
        <v/>
      </c>
      <c r="C2044" s="59" t="str">
        <f t="shared" si="22"/>
        <v/>
      </c>
      <c r="D2044" s="45" t="str">
        <f t="shared" si="23"/>
        <v/>
      </c>
      <c r="E2044" s="45" t="str">
        <f t="shared" si="24"/>
        <v/>
      </c>
      <c r="F2044" s="59" t="str">
        <f t="shared" si="25"/>
        <v/>
      </c>
      <c r="G2044" s="59" t="str">
        <f t="shared" si="26"/>
        <v/>
      </c>
      <c r="H2044" s="59" t="str">
        <f t="shared" si="27"/>
        <v>28C02410</v>
      </c>
      <c r="I2044" s="59" t="str">
        <f>IF(OR($A2044="",$C2044="",$D2044="",$E2044="",$H2044=""),"",SUMIFS(DATA_GOC!$H:$H,DATA_GOC!$A:$A,"BOM",DATA_GOC!$D:$D,$H2044,DATA_GOC!$E:$E,$C2044,DATA_GOC!$F:$F,"Xuất nội bộ từ téc",DATA_GOC!$B:$B,"&gt;="&amp;$D2044,DATA_GOC!$B:$B,"&lt;="&amp;$E2044))</f>
        <v/>
      </c>
      <c r="J2044" s="59">
        <f t="shared" si="28"/>
        <v>0</v>
      </c>
      <c r="K2044" s="59">
        <f t="shared" si="29"/>
        <v>0</v>
      </c>
      <c r="L2044" s="59">
        <f t="shared" si="30"/>
        <v>0</v>
      </c>
      <c r="M2044" s="59">
        <f t="shared" si="31"/>
        <v>0</v>
      </c>
    </row>
    <row r="2045" ht="15.0" hidden="1" customHeight="1">
      <c r="A2045" s="59">
        <f t="shared" si="20"/>
        <v>31</v>
      </c>
      <c r="B2045" s="59" t="str">
        <f t="shared" si="21"/>
        <v/>
      </c>
      <c r="C2045" s="59" t="str">
        <f t="shared" si="22"/>
        <v/>
      </c>
      <c r="D2045" s="45" t="str">
        <f t="shared" si="23"/>
        <v/>
      </c>
      <c r="E2045" s="45" t="str">
        <f t="shared" si="24"/>
        <v/>
      </c>
      <c r="F2045" s="59" t="str">
        <f t="shared" si="25"/>
        <v/>
      </c>
      <c r="G2045" s="59" t="str">
        <f t="shared" si="26"/>
        <v/>
      </c>
      <c r="H2045" s="59" t="str">
        <f t="shared" si="27"/>
        <v>28C02545</v>
      </c>
      <c r="I2045" s="59" t="str">
        <f>IF(OR($A2045="",$C2045="",$D2045="",$E2045="",$H2045=""),"",SUMIFS(DATA_GOC!$H:$H,DATA_GOC!$A:$A,"BOM",DATA_GOC!$D:$D,$H2045,DATA_GOC!$E:$E,$C2045,DATA_GOC!$F:$F,"Xuất nội bộ từ téc",DATA_GOC!$B:$B,"&gt;="&amp;$D2045,DATA_GOC!$B:$B,"&lt;="&amp;$E2045))</f>
        <v/>
      </c>
      <c r="J2045" s="59">
        <f t="shared" si="28"/>
        <v>0</v>
      </c>
      <c r="K2045" s="59">
        <f t="shared" si="29"/>
        <v>0</v>
      </c>
      <c r="L2045" s="59">
        <f t="shared" si="30"/>
        <v>0</v>
      </c>
      <c r="M2045" s="59">
        <f t="shared" si="31"/>
        <v>0</v>
      </c>
    </row>
    <row r="2046" ht="15.0" hidden="1" customHeight="1">
      <c r="A2046" s="59">
        <f t="shared" si="20"/>
        <v>31</v>
      </c>
      <c r="B2046" s="59" t="str">
        <f t="shared" si="21"/>
        <v/>
      </c>
      <c r="C2046" s="59" t="str">
        <f t="shared" si="22"/>
        <v/>
      </c>
      <c r="D2046" s="45" t="str">
        <f t="shared" si="23"/>
        <v/>
      </c>
      <c r="E2046" s="45" t="str">
        <f t="shared" si="24"/>
        <v/>
      </c>
      <c r="F2046" s="59" t="str">
        <f t="shared" si="25"/>
        <v/>
      </c>
      <c r="G2046" s="59" t="str">
        <f t="shared" si="26"/>
        <v/>
      </c>
      <c r="H2046" s="59" t="str">
        <f t="shared" si="27"/>
        <v>28C02574</v>
      </c>
      <c r="I2046" s="59" t="str">
        <f>IF(OR($A2046="",$C2046="",$D2046="",$E2046="",$H2046=""),"",SUMIFS(DATA_GOC!$H:$H,DATA_GOC!$A:$A,"BOM",DATA_GOC!$D:$D,$H2046,DATA_GOC!$E:$E,$C2046,DATA_GOC!$F:$F,"Xuất nội bộ từ téc",DATA_GOC!$B:$B,"&gt;="&amp;$D2046,DATA_GOC!$B:$B,"&lt;="&amp;$E2046))</f>
        <v/>
      </c>
      <c r="J2046" s="59">
        <f t="shared" si="28"/>
        <v>0</v>
      </c>
      <c r="K2046" s="59">
        <f t="shared" si="29"/>
        <v>0</v>
      </c>
      <c r="L2046" s="59">
        <f t="shared" si="30"/>
        <v>0</v>
      </c>
      <c r="M2046" s="59">
        <f t="shared" si="31"/>
        <v>0</v>
      </c>
    </row>
    <row r="2047" ht="15.0" hidden="1" customHeight="1">
      <c r="A2047" s="59">
        <f t="shared" si="20"/>
        <v>31</v>
      </c>
      <c r="B2047" s="59" t="str">
        <f t="shared" si="21"/>
        <v/>
      </c>
      <c r="C2047" s="59" t="str">
        <f t="shared" si="22"/>
        <v/>
      </c>
      <c r="D2047" s="45" t="str">
        <f t="shared" si="23"/>
        <v/>
      </c>
      <c r="E2047" s="45" t="str">
        <f t="shared" si="24"/>
        <v/>
      </c>
      <c r="F2047" s="59" t="str">
        <f t="shared" si="25"/>
        <v/>
      </c>
      <c r="G2047" s="59" t="str">
        <f t="shared" si="26"/>
        <v/>
      </c>
      <c r="H2047" s="59" t="str">
        <f t="shared" si="27"/>
        <v>28C02770</v>
      </c>
      <c r="I2047" s="59" t="str">
        <f>IF(OR($A2047="",$C2047="",$D2047="",$E2047="",$H2047=""),"",SUMIFS(DATA_GOC!$H:$H,DATA_GOC!$A:$A,"BOM",DATA_GOC!$D:$D,$H2047,DATA_GOC!$E:$E,$C2047,DATA_GOC!$F:$F,"Xuất nội bộ từ téc",DATA_GOC!$B:$B,"&gt;="&amp;$D2047,DATA_GOC!$B:$B,"&lt;="&amp;$E2047))</f>
        <v/>
      </c>
      <c r="J2047" s="59">
        <f t="shared" si="28"/>
        <v>0</v>
      </c>
      <c r="K2047" s="59">
        <f t="shared" si="29"/>
        <v>0</v>
      </c>
      <c r="L2047" s="59">
        <f t="shared" si="30"/>
        <v>0</v>
      </c>
      <c r="M2047" s="59">
        <f t="shared" si="31"/>
        <v>0</v>
      </c>
    </row>
    <row r="2048" ht="15.0" hidden="1" customHeight="1">
      <c r="A2048" s="59">
        <f t="shared" si="20"/>
        <v>31</v>
      </c>
      <c r="B2048" s="59" t="str">
        <f t="shared" si="21"/>
        <v/>
      </c>
      <c r="C2048" s="59" t="str">
        <f t="shared" si="22"/>
        <v/>
      </c>
      <c r="D2048" s="45" t="str">
        <f t="shared" si="23"/>
        <v/>
      </c>
      <c r="E2048" s="45" t="str">
        <f t="shared" si="24"/>
        <v/>
      </c>
      <c r="F2048" s="59" t="str">
        <f t="shared" si="25"/>
        <v/>
      </c>
      <c r="G2048" s="59" t="str">
        <f t="shared" si="26"/>
        <v/>
      </c>
      <c r="H2048" s="59" t="str">
        <f t="shared" si="27"/>
        <v>28C02986</v>
      </c>
      <c r="I2048" s="59" t="str">
        <f>IF(OR($A2048="",$C2048="",$D2048="",$E2048="",$H2048=""),"",SUMIFS(DATA_GOC!$H:$H,DATA_GOC!$A:$A,"BOM",DATA_GOC!$D:$D,$H2048,DATA_GOC!$E:$E,$C2048,DATA_GOC!$F:$F,"Xuất nội bộ từ téc",DATA_GOC!$B:$B,"&gt;="&amp;$D2048,DATA_GOC!$B:$B,"&lt;="&amp;$E2048))</f>
        <v/>
      </c>
      <c r="J2048" s="59">
        <f t="shared" si="28"/>
        <v>0</v>
      </c>
      <c r="K2048" s="59">
        <f t="shared" si="29"/>
        <v>0</v>
      </c>
      <c r="L2048" s="59">
        <f t="shared" si="30"/>
        <v>0</v>
      </c>
      <c r="M2048" s="59">
        <f t="shared" si="31"/>
        <v>0</v>
      </c>
    </row>
    <row r="2049" ht="15.0" hidden="1" customHeight="1">
      <c r="A2049" s="59">
        <f t="shared" si="20"/>
        <v>31</v>
      </c>
      <c r="B2049" s="59" t="str">
        <f t="shared" si="21"/>
        <v/>
      </c>
      <c r="C2049" s="59" t="str">
        <f t="shared" si="22"/>
        <v/>
      </c>
      <c r="D2049" s="45" t="str">
        <f t="shared" si="23"/>
        <v/>
      </c>
      <c r="E2049" s="45" t="str">
        <f t="shared" si="24"/>
        <v/>
      </c>
      <c r="F2049" s="59" t="str">
        <f t="shared" si="25"/>
        <v/>
      </c>
      <c r="G2049" s="59" t="str">
        <f t="shared" si="26"/>
        <v/>
      </c>
      <c r="H2049" s="59" t="str">
        <f t="shared" si="27"/>
        <v>28C03261</v>
      </c>
      <c r="I2049" s="59" t="str">
        <f>IF(OR($A2049="",$C2049="",$D2049="",$E2049="",$H2049=""),"",SUMIFS(DATA_GOC!$H:$H,DATA_GOC!$A:$A,"BOM",DATA_GOC!$D:$D,$H2049,DATA_GOC!$E:$E,$C2049,DATA_GOC!$F:$F,"Xuất nội bộ từ téc",DATA_GOC!$B:$B,"&gt;="&amp;$D2049,DATA_GOC!$B:$B,"&lt;="&amp;$E2049))</f>
        <v/>
      </c>
      <c r="J2049" s="59">
        <f t="shared" si="28"/>
        <v>0</v>
      </c>
      <c r="K2049" s="59">
        <f t="shared" si="29"/>
        <v>0</v>
      </c>
      <c r="L2049" s="59">
        <f t="shared" si="30"/>
        <v>0</v>
      </c>
      <c r="M2049" s="59">
        <f t="shared" si="31"/>
        <v>0</v>
      </c>
    </row>
    <row r="2050" ht="15.0" hidden="1" customHeight="1">
      <c r="A2050" s="59">
        <f t="shared" si="20"/>
        <v>31</v>
      </c>
      <c r="B2050" s="59" t="str">
        <f t="shared" si="21"/>
        <v/>
      </c>
      <c r="C2050" s="59" t="str">
        <f t="shared" si="22"/>
        <v/>
      </c>
      <c r="D2050" s="45" t="str">
        <f t="shared" si="23"/>
        <v/>
      </c>
      <c r="E2050" s="45" t="str">
        <f t="shared" si="24"/>
        <v/>
      </c>
      <c r="F2050" s="59" t="str">
        <f t="shared" si="25"/>
        <v/>
      </c>
      <c r="G2050" s="59" t="str">
        <f t="shared" si="26"/>
        <v/>
      </c>
      <c r="H2050" s="59" t="str">
        <f t="shared" si="27"/>
        <v>28C03323</v>
      </c>
      <c r="I2050" s="59" t="str">
        <f>IF(OR($A2050="",$C2050="",$D2050="",$E2050="",$H2050=""),"",SUMIFS(DATA_GOC!$H:$H,DATA_GOC!$A:$A,"BOM",DATA_GOC!$D:$D,$H2050,DATA_GOC!$E:$E,$C2050,DATA_GOC!$F:$F,"Xuất nội bộ từ téc",DATA_GOC!$B:$B,"&gt;="&amp;$D2050,DATA_GOC!$B:$B,"&lt;="&amp;$E2050))</f>
        <v/>
      </c>
      <c r="J2050" s="59">
        <f t="shared" si="28"/>
        <v>0</v>
      </c>
      <c r="K2050" s="59">
        <f t="shared" si="29"/>
        <v>0</v>
      </c>
      <c r="L2050" s="59">
        <f t="shared" si="30"/>
        <v>0</v>
      </c>
      <c r="M2050" s="59">
        <f t="shared" si="31"/>
        <v>0</v>
      </c>
    </row>
    <row r="2051" ht="15.0" hidden="1" customHeight="1">
      <c r="A2051" s="59">
        <f t="shared" si="20"/>
        <v>31</v>
      </c>
      <c r="B2051" s="59" t="str">
        <f t="shared" si="21"/>
        <v/>
      </c>
      <c r="C2051" s="59" t="str">
        <f t="shared" si="22"/>
        <v/>
      </c>
      <c r="D2051" s="45" t="str">
        <f t="shared" si="23"/>
        <v/>
      </c>
      <c r="E2051" s="45" t="str">
        <f t="shared" si="24"/>
        <v/>
      </c>
      <c r="F2051" s="59" t="str">
        <f t="shared" si="25"/>
        <v/>
      </c>
      <c r="G2051" s="59" t="str">
        <f t="shared" si="26"/>
        <v/>
      </c>
      <c r="H2051" s="59" t="str">
        <f t="shared" si="27"/>
        <v>28C03385</v>
      </c>
      <c r="I2051" s="59" t="str">
        <f>IF(OR($A2051="",$C2051="",$D2051="",$E2051="",$H2051=""),"",SUMIFS(DATA_GOC!$H:$H,DATA_GOC!$A:$A,"BOM",DATA_GOC!$D:$D,$H2051,DATA_GOC!$E:$E,$C2051,DATA_GOC!$F:$F,"Xuất nội bộ từ téc",DATA_GOC!$B:$B,"&gt;="&amp;$D2051,DATA_GOC!$B:$B,"&lt;="&amp;$E2051))</f>
        <v/>
      </c>
      <c r="J2051" s="59">
        <f t="shared" si="28"/>
        <v>0</v>
      </c>
      <c r="K2051" s="59">
        <f t="shared" si="29"/>
        <v>0</v>
      </c>
      <c r="L2051" s="59">
        <f t="shared" si="30"/>
        <v>0</v>
      </c>
      <c r="M2051" s="59">
        <f t="shared" si="31"/>
        <v>0</v>
      </c>
    </row>
    <row r="2052" ht="15.0" hidden="1" customHeight="1">
      <c r="A2052" s="59">
        <f t="shared" si="20"/>
        <v>31</v>
      </c>
      <c r="B2052" s="59" t="str">
        <f t="shared" si="21"/>
        <v/>
      </c>
      <c r="C2052" s="59" t="str">
        <f t="shared" si="22"/>
        <v/>
      </c>
      <c r="D2052" s="45" t="str">
        <f t="shared" si="23"/>
        <v/>
      </c>
      <c r="E2052" s="45" t="str">
        <f t="shared" si="24"/>
        <v/>
      </c>
      <c r="F2052" s="59" t="str">
        <f t="shared" si="25"/>
        <v/>
      </c>
      <c r="G2052" s="59" t="str">
        <f t="shared" si="26"/>
        <v/>
      </c>
      <c r="H2052" s="59" t="str">
        <f t="shared" si="27"/>
        <v>28C03652</v>
      </c>
      <c r="I2052" s="59" t="str">
        <f>IF(OR($A2052="",$C2052="",$D2052="",$E2052="",$H2052=""),"",SUMIFS(DATA_GOC!$H:$H,DATA_GOC!$A:$A,"BOM",DATA_GOC!$D:$D,$H2052,DATA_GOC!$E:$E,$C2052,DATA_GOC!$F:$F,"Xuất nội bộ từ téc",DATA_GOC!$B:$B,"&gt;="&amp;$D2052,DATA_GOC!$B:$B,"&lt;="&amp;$E2052))</f>
        <v/>
      </c>
      <c r="J2052" s="59">
        <f t="shared" si="28"/>
        <v>0</v>
      </c>
      <c r="K2052" s="59">
        <f t="shared" si="29"/>
        <v>0</v>
      </c>
      <c r="L2052" s="59">
        <f t="shared" si="30"/>
        <v>0</v>
      </c>
      <c r="M2052" s="59">
        <f t="shared" si="31"/>
        <v>0</v>
      </c>
    </row>
    <row r="2053" ht="15.0" hidden="1" customHeight="1">
      <c r="A2053" s="59">
        <f t="shared" si="20"/>
        <v>31</v>
      </c>
      <c r="B2053" s="59" t="str">
        <f t="shared" si="21"/>
        <v/>
      </c>
      <c r="C2053" s="59" t="str">
        <f t="shared" si="22"/>
        <v/>
      </c>
      <c r="D2053" s="45" t="str">
        <f t="shared" si="23"/>
        <v/>
      </c>
      <c r="E2053" s="45" t="str">
        <f t="shared" si="24"/>
        <v/>
      </c>
      <c r="F2053" s="59" t="str">
        <f t="shared" si="25"/>
        <v/>
      </c>
      <c r="G2053" s="59" t="str">
        <f t="shared" si="26"/>
        <v/>
      </c>
      <c r="H2053" s="59" t="str">
        <f t="shared" si="27"/>
        <v>28C03695</v>
      </c>
      <c r="I2053" s="59" t="str">
        <f>IF(OR($A2053="",$C2053="",$D2053="",$E2053="",$H2053=""),"",SUMIFS(DATA_GOC!$H:$H,DATA_GOC!$A:$A,"BOM",DATA_GOC!$D:$D,$H2053,DATA_GOC!$E:$E,$C2053,DATA_GOC!$F:$F,"Xuất nội bộ từ téc",DATA_GOC!$B:$B,"&gt;="&amp;$D2053,DATA_GOC!$B:$B,"&lt;="&amp;$E2053))</f>
        <v/>
      </c>
      <c r="J2053" s="59">
        <f t="shared" si="28"/>
        <v>0</v>
      </c>
      <c r="K2053" s="59">
        <f t="shared" si="29"/>
        <v>0</v>
      </c>
      <c r="L2053" s="59">
        <f t="shared" si="30"/>
        <v>0</v>
      </c>
      <c r="M2053" s="59">
        <f t="shared" si="31"/>
        <v>0</v>
      </c>
    </row>
    <row r="2054" ht="15.0" hidden="1" customHeight="1">
      <c r="A2054" s="59">
        <f t="shared" si="20"/>
        <v>31</v>
      </c>
      <c r="B2054" s="59" t="str">
        <f t="shared" si="21"/>
        <v/>
      </c>
      <c r="C2054" s="59" t="str">
        <f t="shared" si="22"/>
        <v/>
      </c>
      <c r="D2054" s="45" t="str">
        <f t="shared" si="23"/>
        <v/>
      </c>
      <c r="E2054" s="45" t="str">
        <f t="shared" si="24"/>
        <v/>
      </c>
      <c r="F2054" s="59" t="str">
        <f t="shared" si="25"/>
        <v/>
      </c>
      <c r="G2054" s="59" t="str">
        <f t="shared" si="26"/>
        <v/>
      </c>
      <c r="H2054" s="59" t="str">
        <f t="shared" si="27"/>
        <v>28C03927</v>
      </c>
      <c r="I2054" s="59" t="str">
        <f>IF(OR($A2054="",$C2054="",$D2054="",$E2054="",$H2054=""),"",SUMIFS(DATA_GOC!$H:$H,DATA_GOC!$A:$A,"BOM",DATA_GOC!$D:$D,$H2054,DATA_GOC!$E:$E,$C2054,DATA_GOC!$F:$F,"Xuất nội bộ từ téc",DATA_GOC!$B:$B,"&gt;="&amp;$D2054,DATA_GOC!$B:$B,"&lt;="&amp;$E2054))</f>
        <v/>
      </c>
      <c r="J2054" s="59">
        <f t="shared" si="28"/>
        <v>0</v>
      </c>
      <c r="K2054" s="59">
        <f t="shared" si="29"/>
        <v>0</v>
      </c>
      <c r="L2054" s="59">
        <f t="shared" si="30"/>
        <v>0</v>
      </c>
      <c r="M2054" s="59">
        <f t="shared" si="31"/>
        <v>0</v>
      </c>
    </row>
    <row r="2055" ht="15.0" hidden="1" customHeight="1">
      <c r="A2055" s="59">
        <f t="shared" si="20"/>
        <v>31</v>
      </c>
      <c r="B2055" s="59" t="str">
        <f t="shared" si="21"/>
        <v/>
      </c>
      <c r="C2055" s="59" t="str">
        <f t="shared" si="22"/>
        <v/>
      </c>
      <c r="D2055" s="45" t="str">
        <f t="shared" si="23"/>
        <v/>
      </c>
      <c r="E2055" s="45" t="str">
        <f t="shared" si="24"/>
        <v/>
      </c>
      <c r="F2055" s="59" t="str">
        <f t="shared" si="25"/>
        <v/>
      </c>
      <c r="G2055" s="59" t="str">
        <f t="shared" si="26"/>
        <v/>
      </c>
      <c r="H2055" s="59" t="str">
        <f t="shared" si="27"/>
        <v>28C04509</v>
      </c>
      <c r="I2055" s="59" t="str">
        <f>IF(OR($A2055="",$C2055="",$D2055="",$E2055="",$H2055=""),"",SUMIFS(DATA_GOC!$H:$H,DATA_GOC!$A:$A,"BOM",DATA_GOC!$D:$D,$H2055,DATA_GOC!$E:$E,$C2055,DATA_GOC!$F:$F,"Xuất nội bộ từ téc",DATA_GOC!$B:$B,"&gt;="&amp;$D2055,DATA_GOC!$B:$B,"&lt;="&amp;$E2055))</f>
        <v/>
      </c>
      <c r="J2055" s="59">
        <f t="shared" si="28"/>
        <v>0</v>
      </c>
      <c r="K2055" s="59">
        <f t="shared" si="29"/>
        <v>0</v>
      </c>
      <c r="L2055" s="59">
        <f t="shared" si="30"/>
        <v>0</v>
      </c>
      <c r="M2055" s="59">
        <f t="shared" si="31"/>
        <v>0</v>
      </c>
    </row>
    <row r="2056" ht="15.0" hidden="1" customHeight="1">
      <c r="A2056" s="59">
        <f t="shared" si="20"/>
        <v>31</v>
      </c>
      <c r="B2056" s="59" t="str">
        <f t="shared" si="21"/>
        <v/>
      </c>
      <c r="C2056" s="59" t="str">
        <f t="shared" si="22"/>
        <v/>
      </c>
      <c r="D2056" s="45" t="str">
        <f t="shared" si="23"/>
        <v/>
      </c>
      <c r="E2056" s="45" t="str">
        <f t="shared" si="24"/>
        <v/>
      </c>
      <c r="F2056" s="59" t="str">
        <f t="shared" si="25"/>
        <v/>
      </c>
      <c r="G2056" s="59" t="str">
        <f t="shared" si="26"/>
        <v/>
      </c>
      <c r="H2056" s="59" t="str">
        <f t="shared" si="27"/>
        <v>28C04536</v>
      </c>
      <c r="I2056" s="59" t="str">
        <f>IF(OR($A2056="",$C2056="",$D2056="",$E2056="",$H2056=""),"",SUMIFS(DATA_GOC!$H:$H,DATA_GOC!$A:$A,"BOM",DATA_GOC!$D:$D,$H2056,DATA_GOC!$E:$E,$C2056,DATA_GOC!$F:$F,"Xuất nội bộ từ téc",DATA_GOC!$B:$B,"&gt;="&amp;$D2056,DATA_GOC!$B:$B,"&lt;="&amp;$E2056))</f>
        <v/>
      </c>
      <c r="J2056" s="59">
        <f t="shared" si="28"/>
        <v>0</v>
      </c>
      <c r="K2056" s="59">
        <f t="shared" si="29"/>
        <v>0</v>
      </c>
      <c r="L2056" s="59">
        <f t="shared" si="30"/>
        <v>0</v>
      </c>
      <c r="M2056" s="59">
        <f t="shared" si="31"/>
        <v>0</v>
      </c>
    </row>
    <row r="2057" ht="15.0" hidden="1" customHeight="1">
      <c r="A2057" s="59">
        <f t="shared" si="20"/>
        <v>31</v>
      </c>
      <c r="B2057" s="59" t="str">
        <f t="shared" si="21"/>
        <v/>
      </c>
      <c r="C2057" s="59" t="str">
        <f t="shared" si="22"/>
        <v/>
      </c>
      <c r="D2057" s="45" t="str">
        <f t="shared" si="23"/>
        <v/>
      </c>
      <c r="E2057" s="45" t="str">
        <f t="shared" si="24"/>
        <v/>
      </c>
      <c r="F2057" s="59" t="str">
        <f t="shared" si="25"/>
        <v/>
      </c>
      <c r="G2057" s="59" t="str">
        <f t="shared" si="26"/>
        <v/>
      </c>
      <c r="H2057" s="59" t="str">
        <f t="shared" si="27"/>
        <v>28C04576</v>
      </c>
      <c r="I2057" s="59" t="str">
        <f>IF(OR($A2057="",$C2057="",$D2057="",$E2057="",$H2057=""),"",SUMIFS(DATA_GOC!$H:$H,DATA_GOC!$A:$A,"BOM",DATA_GOC!$D:$D,$H2057,DATA_GOC!$E:$E,$C2057,DATA_GOC!$F:$F,"Xuất nội bộ từ téc",DATA_GOC!$B:$B,"&gt;="&amp;$D2057,DATA_GOC!$B:$B,"&lt;="&amp;$E2057))</f>
        <v/>
      </c>
      <c r="J2057" s="59">
        <f t="shared" si="28"/>
        <v>0</v>
      </c>
      <c r="K2057" s="59">
        <f t="shared" si="29"/>
        <v>0</v>
      </c>
      <c r="L2057" s="59">
        <f t="shared" si="30"/>
        <v>0</v>
      </c>
      <c r="M2057" s="59">
        <f t="shared" si="31"/>
        <v>0</v>
      </c>
    </row>
    <row r="2058" ht="15.0" hidden="1" customHeight="1">
      <c r="A2058" s="59">
        <f t="shared" si="20"/>
        <v>31</v>
      </c>
      <c r="B2058" s="59" t="str">
        <f t="shared" si="21"/>
        <v/>
      </c>
      <c r="C2058" s="59" t="str">
        <f t="shared" si="22"/>
        <v/>
      </c>
      <c r="D2058" s="45" t="str">
        <f t="shared" si="23"/>
        <v/>
      </c>
      <c r="E2058" s="45" t="str">
        <f t="shared" si="24"/>
        <v/>
      </c>
      <c r="F2058" s="59" t="str">
        <f t="shared" si="25"/>
        <v/>
      </c>
      <c r="G2058" s="59" t="str">
        <f t="shared" si="26"/>
        <v/>
      </c>
      <c r="H2058" s="59" t="str">
        <f t="shared" si="27"/>
        <v>28C05090</v>
      </c>
      <c r="I2058" s="59" t="str">
        <f>IF(OR($A2058="",$C2058="",$D2058="",$E2058="",$H2058=""),"",SUMIFS(DATA_GOC!$H:$H,DATA_GOC!$A:$A,"BOM",DATA_GOC!$D:$D,$H2058,DATA_GOC!$E:$E,$C2058,DATA_GOC!$F:$F,"Xuất nội bộ từ téc",DATA_GOC!$B:$B,"&gt;="&amp;$D2058,DATA_GOC!$B:$B,"&lt;="&amp;$E2058))</f>
        <v/>
      </c>
      <c r="J2058" s="59">
        <f t="shared" si="28"/>
        <v>0</v>
      </c>
      <c r="K2058" s="59">
        <f t="shared" si="29"/>
        <v>0</v>
      </c>
      <c r="L2058" s="59">
        <f t="shared" si="30"/>
        <v>0</v>
      </c>
      <c r="M2058" s="59">
        <f t="shared" si="31"/>
        <v>0</v>
      </c>
    </row>
    <row r="2059" ht="15.0" hidden="1" customHeight="1">
      <c r="A2059" s="59">
        <f t="shared" si="20"/>
        <v>31</v>
      </c>
      <c r="B2059" s="59" t="str">
        <f t="shared" si="21"/>
        <v/>
      </c>
      <c r="C2059" s="59" t="str">
        <f t="shared" si="22"/>
        <v/>
      </c>
      <c r="D2059" s="45" t="str">
        <f t="shared" si="23"/>
        <v/>
      </c>
      <c r="E2059" s="45" t="str">
        <f t="shared" si="24"/>
        <v/>
      </c>
      <c r="F2059" s="59" t="str">
        <f t="shared" si="25"/>
        <v/>
      </c>
      <c r="G2059" s="59" t="str">
        <f t="shared" si="26"/>
        <v/>
      </c>
      <c r="H2059" s="59" t="str">
        <f t="shared" si="27"/>
        <v>28C05345</v>
      </c>
      <c r="I2059" s="59" t="str">
        <f>IF(OR($A2059="",$C2059="",$D2059="",$E2059="",$H2059=""),"",SUMIFS(DATA_GOC!$H:$H,DATA_GOC!$A:$A,"BOM",DATA_GOC!$D:$D,$H2059,DATA_GOC!$E:$E,$C2059,DATA_GOC!$F:$F,"Xuất nội bộ từ téc",DATA_GOC!$B:$B,"&gt;="&amp;$D2059,DATA_GOC!$B:$B,"&lt;="&amp;$E2059))</f>
        <v/>
      </c>
      <c r="J2059" s="59">
        <f t="shared" si="28"/>
        <v>0</v>
      </c>
      <c r="K2059" s="59">
        <f t="shared" si="29"/>
        <v>0</v>
      </c>
      <c r="L2059" s="59">
        <f t="shared" si="30"/>
        <v>0</v>
      </c>
      <c r="M2059" s="59">
        <f t="shared" si="31"/>
        <v>0</v>
      </c>
    </row>
    <row r="2060" ht="15.0" hidden="1" customHeight="1">
      <c r="A2060" s="59">
        <f t="shared" si="20"/>
        <v>31</v>
      </c>
      <c r="B2060" s="59" t="str">
        <f t="shared" si="21"/>
        <v/>
      </c>
      <c r="C2060" s="59" t="str">
        <f t="shared" si="22"/>
        <v/>
      </c>
      <c r="D2060" s="45" t="str">
        <f t="shared" si="23"/>
        <v/>
      </c>
      <c r="E2060" s="45" t="str">
        <f t="shared" si="24"/>
        <v/>
      </c>
      <c r="F2060" s="59" t="str">
        <f t="shared" si="25"/>
        <v/>
      </c>
      <c r="G2060" s="59" t="str">
        <f t="shared" si="26"/>
        <v/>
      </c>
      <c r="H2060" s="59" t="str">
        <f t="shared" si="27"/>
        <v>28C05661</v>
      </c>
      <c r="I2060" s="59" t="str">
        <f>IF(OR($A2060="",$C2060="",$D2060="",$E2060="",$H2060=""),"",SUMIFS(DATA_GOC!$H:$H,DATA_GOC!$A:$A,"BOM",DATA_GOC!$D:$D,$H2060,DATA_GOC!$E:$E,$C2060,DATA_GOC!$F:$F,"Xuất nội bộ từ téc",DATA_GOC!$B:$B,"&gt;="&amp;$D2060,DATA_GOC!$B:$B,"&lt;="&amp;$E2060))</f>
        <v/>
      </c>
      <c r="J2060" s="59">
        <f t="shared" si="28"/>
        <v>0</v>
      </c>
      <c r="K2060" s="59">
        <f t="shared" si="29"/>
        <v>0</v>
      </c>
      <c r="L2060" s="59">
        <f t="shared" si="30"/>
        <v>0</v>
      </c>
      <c r="M2060" s="59">
        <f t="shared" si="31"/>
        <v>0</v>
      </c>
    </row>
    <row r="2061" ht="15.0" hidden="1" customHeight="1">
      <c r="A2061" s="59">
        <f t="shared" si="20"/>
        <v>31</v>
      </c>
      <c r="B2061" s="59" t="str">
        <f t="shared" si="21"/>
        <v/>
      </c>
      <c r="C2061" s="59" t="str">
        <f t="shared" si="22"/>
        <v/>
      </c>
      <c r="D2061" s="45" t="str">
        <f t="shared" si="23"/>
        <v/>
      </c>
      <c r="E2061" s="45" t="str">
        <f t="shared" si="24"/>
        <v/>
      </c>
      <c r="F2061" s="59" t="str">
        <f t="shared" si="25"/>
        <v/>
      </c>
      <c r="G2061" s="59" t="str">
        <f t="shared" si="26"/>
        <v/>
      </c>
      <c r="H2061" s="59" t="str">
        <f t="shared" si="27"/>
        <v>28C05739</v>
      </c>
      <c r="I2061" s="59" t="str">
        <f>IF(OR($A2061="",$C2061="",$D2061="",$E2061="",$H2061=""),"",SUMIFS(DATA_GOC!$H:$H,DATA_GOC!$A:$A,"BOM",DATA_GOC!$D:$D,$H2061,DATA_GOC!$E:$E,$C2061,DATA_GOC!$F:$F,"Xuất nội bộ từ téc",DATA_GOC!$B:$B,"&gt;="&amp;$D2061,DATA_GOC!$B:$B,"&lt;="&amp;$E2061))</f>
        <v/>
      </c>
      <c r="J2061" s="59">
        <f t="shared" si="28"/>
        <v>0</v>
      </c>
      <c r="K2061" s="59">
        <f t="shared" si="29"/>
        <v>0</v>
      </c>
      <c r="L2061" s="59">
        <f t="shared" si="30"/>
        <v>0</v>
      </c>
      <c r="M2061" s="59">
        <f t="shared" si="31"/>
        <v>0</v>
      </c>
    </row>
    <row r="2062" ht="15.0" hidden="1" customHeight="1">
      <c r="A2062" s="59">
        <f t="shared" si="20"/>
        <v>31</v>
      </c>
      <c r="B2062" s="59" t="str">
        <f t="shared" si="21"/>
        <v/>
      </c>
      <c r="C2062" s="59" t="str">
        <f t="shared" si="22"/>
        <v/>
      </c>
      <c r="D2062" s="45" t="str">
        <f t="shared" si="23"/>
        <v/>
      </c>
      <c r="E2062" s="45" t="str">
        <f t="shared" si="24"/>
        <v/>
      </c>
      <c r="F2062" s="59" t="str">
        <f t="shared" si="25"/>
        <v/>
      </c>
      <c r="G2062" s="59" t="str">
        <f t="shared" si="26"/>
        <v/>
      </c>
      <c r="H2062" s="59" t="str">
        <f t="shared" si="27"/>
        <v>28C06369</v>
      </c>
      <c r="I2062" s="59" t="str">
        <f>IF(OR($A2062="",$C2062="",$D2062="",$E2062="",$H2062=""),"",SUMIFS(DATA_GOC!$H:$H,DATA_GOC!$A:$A,"BOM",DATA_GOC!$D:$D,$H2062,DATA_GOC!$E:$E,$C2062,DATA_GOC!$F:$F,"Xuất nội bộ từ téc",DATA_GOC!$B:$B,"&gt;="&amp;$D2062,DATA_GOC!$B:$B,"&lt;="&amp;$E2062))</f>
        <v/>
      </c>
      <c r="J2062" s="59">
        <f t="shared" si="28"/>
        <v>0</v>
      </c>
      <c r="K2062" s="59">
        <f t="shared" si="29"/>
        <v>0</v>
      </c>
      <c r="L2062" s="59">
        <f t="shared" si="30"/>
        <v>0</v>
      </c>
      <c r="M2062" s="59">
        <f t="shared" si="31"/>
        <v>0</v>
      </c>
    </row>
    <row r="2063" ht="15.0" hidden="1" customHeight="1">
      <c r="A2063" s="59">
        <f t="shared" si="20"/>
        <v>31</v>
      </c>
      <c r="B2063" s="59" t="str">
        <f t="shared" si="21"/>
        <v/>
      </c>
      <c r="C2063" s="59" t="str">
        <f t="shared" si="22"/>
        <v/>
      </c>
      <c r="D2063" s="45" t="str">
        <f t="shared" si="23"/>
        <v/>
      </c>
      <c r="E2063" s="45" t="str">
        <f t="shared" si="24"/>
        <v/>
      </c>
      <c r="F2063" s="59" t="str">
        <f t="shared" si="25"/>
        <v/>
      </c>
      <c r="G2063" s="59" t="str">
        <f t="shared" si="26"/>
        <v/>
      </c>
      <c r="H2063" s="59" t="str">
        <f t="shared" si="27"/>
        <v>28C06447</v>
      </c>
      <c r="I2063" s="59" t="str">
        <f>IF(OR($A2063="",$C2063="",$D2063="",$E2063="",$H2063=""),"",SUMIFS(DATA_GOC!$H:$H,DATA_GOC!$A:$A,"BOM",DATA_GOC!$D:$D,$H2063,DATA_GOC!$E:$E,$C2063,DATA_GOC!$F:$F,"Xuất nội bộ từ téc",DATA_GOC!$B:$B,"&gt;="&amp;$D2063,DATA_GOC!$B:$B,"&lt;="&amp;$E2063))</f>
        <v/>
      </c>
      <c r="J2063" s="59">
        <f t="shared" si="28"/>
        <v>0</v>
      </c>
      <c r="K2063" s="59">
        <f t="shared" si="29"/>
        <v>0</v>
      </c>
      <c r="L2063" s="59">
        <f t="shared" si="30"/>
        <v>0</v>
      </c>
      <c r="M2063" s="59">
        <f t="shared" si="31"/>
        <v>0</v>
      </c>
    </row>
    <row r="2064" ht="15.0" hidden="1" customHeight="1">
      <c r="A2064" s="59">
        <f t="shared" si="20"/>
        <v>31</v>
      </c>
      <c r="B2064" s="59" t="str">
        <f t="shared" si="21"/>
        <v/>
      </c>
      <c r="C2064" s="59" t="str">
        <f t="shared" si="22"/>
        <v/>
      </c>
      <c r="D2064" s="45" t="str">
        <f t="shared" si="23"/>
        <v/>
      </c>
      <c r="E2064" s="45" t="str">
        <f t="shared" si="24"/>
        <v/>
      </c>
      <c r="F2064" s="59" t="str">
        <f t="shared" si="25"/>
        <v/>
      </c>
      <c r="G2064" s="59" t="str">
        <f t="shared" si="26"/>
        <v/>
      </c>
      <c r="H2064" s="59" t="str">
        <f t="shared" si="27"/>
        <v>28H00003</v>
      </c>
      <c r="I2064" s="59" t="str">
        <f>IF(OR($A2064="",$C2064="",$D2064="",$E2064="",$H2064=""),"",SUMIFS(DATA_GOC!$H:$H,DATA_GOC!$A:$A,"BOM",DATA_GOC!$D:$D,$H2064,DATA_GOC!$E:$E,$C2064,DATA_GOC!$F:$F,"Xuất nội bộ từ téc",DATA_GOC!$B:$B,"&gt;="&amp;$D2064,DATA_GOC!$B:$B,"&lt;="&amp;$E2064))</f>
        <v/>
      </c>
      <c r="J2064" s="59">
        <f t="shared" si="28"/>
        <v>0</v>
      </c>
      <c r="K2064" s="59">
        <f t="shared" si="29"/>
        <v>0</v>
      </c>
      <c r="L2064" s="59">
        <f t="shared" si="30"/>
        <v>0</v>
      </c>
      <c r="M2064" s="59">
        <f t="shared" si="31"/>
        <v>0</v>
      </c>
    </row>
    <row r="2065" ht="15.0" hidden="1" customHeight="1">
      <c r="A2065" s="59">
        <f t="shared" si="20"/>
        <v>31</v>
      </c>
      <c r="B2065" s="59" t="str">
        <f t="shared" si="21"/>
        <v/>
      </c>
      <c r="C2065" s="59" t="str">
        <f t="shared" si="22"/>
        <v/>
      </c>
      <c r="D2065" s="45" t="str">
        <f t="shared" si="23"/>
        <v/>
      </c>
      <c r="E2065" s="45" t="str">
        <f t="shared" si="24"/>
        <v/>
      </c>
      <c r="F2065" s="59" t="str">
        <f t="shared" si="25"/>
        <v/>
      </c>
      <c r="G2065" s="59" t="str">
        <f t="shared" si="26"/>
        <v/>
      </c>
      <c r="H2065" s="59" t="str">
        <f t="shared" si="27"/>
        <v>28H00061</v>
      </c>
      <c r="I2065" s="59" t="str">
        <f>IF(OR($A2065="",$C2065="",$D2065="",$E2065="",$H2065=""),"",SUMIFS(DATA_GOC!$H:$H,DATA_GOC!$A:$A,"BOM",DATA_GOC!$D:$D,$H2065,DATA_GOC!$E:$E,$C2065,DATA_GOC!$F:$F,"Xuất nội bộ từ téc",DATA_GOC!$B:$B,"&gt;="&amp;$D2065,DATA_GOC!$B:$B,"&lt;="&amp;$E2065))</f>
        <v/>
      </c>
      <c r="J2065" s="59">
        <f t="shared" si="28"/>
        <v>0</v>
      </c>
      <c r="K2065" s="59">
        <f t="shared" si="29"/>
        <v>0</v>
      </c>
      <c r="L2065" s="59">
        <f t="shared" si="30"/>
        <v>0</v>
      </c>
      <c r="M2065" s="59">
        <f t="shared" si="31"/>
        <v>0</v>
      </c>
    </row>
    <row r="2066" ht="15.0" hidden="1" customHeight="1">
      <c r="A2066" s="59">
        <f t="shared" si="20"/>
        <v>31</v>
      </c>
      <c r="B2066" s="59" t="str">
        <f t="shared" si="21"/>
        <v/>
      </c>
      <c r="C2066" s="59" t="str">
        <f t="shared" si="22"/>
        <v/>
      </c>
      <c r="D2066" s="45" t="str">
        <f t="shared" si="23"/>
        <v/>
      </c>
      <c r="E2066" s="45" t="str">
        <f t="shared" si="24"/>
        <v/>
      </c>
      <c r="F2066" s="59" t="str">
        <f t="shared" si="25"/>
        <v/>
      </c>
      <c r="G2066" s="59" t="str">
        <f t="shared" si="26"/>
        <v/>
      </c>
      <c r="H2066" s="59" t="str">
        <f t="shared" si="27"/>
        <v>28H00354</v>
      </c>
      <c r="I2066" s="59" t="str">
        <f>IF(OR($A2066="",$C2066="",$D2066="",$E2066="",$H2066=""),"",SUMIFS(DATA_GOC!$H:$H,DATA_GOC!$A:$A,"BOM",DATA_GOC!$D:$D,$H2066,DATA_GOC!$E:$E,$C2066,DATA_GOC!$F:$F,"Xuất nội bộ từ téc",DATA_GOC!$B:$B,"&gt;="&amp;$D2066,DATA_GOC!$B:$B,"&lt;="&amp;$E2066))</f>
        <v/>
      </c>
      <c r="J2066" s="59">
        <f t="shared" si="28"/>
        <v>0</v>
      </c>
      <c r="K2066" s="59">
        <f t="shared" si="29"/>
        <v>0</v>
      </c>
      <c r="L2066" s="59">
        <f t="shared" si="30"/>
        <v>0</v>
      </c>
      <c r="M2066" s="59">
        <f t="shared" si="31"/>
        <v>0</v>
      </c>
    </row>
    <row r="2067" ht="15.0" hidden="1" customHeight="1">
      <c r="A2067" s="59">
        <f t="shared" si="20"/>
        <v>31</v>
      </c>
      <c r="B2067" s="59" t="str">
        <f t="shared" si="21"/>
        <v/>
      </c>
      <c r="C2067" s="59" t="str">
        <f t="shared" si="22"/>
        <v/>
      </c>
      <c r="D2067" s="45" t="str">
        <f t="shared" si="23"/>
        <v/>
      </c>
      <c r="E2067" s="45" t="str">
        <f t="shared" si="24"/>
        <v/>
      </c>
      <c r="F2067" s="59" t="str">
        <f t="shared" si="25"/>
        <v/>
      </c>
      <c r="G2067" s="59" t="str">
        <f t="shared" si="26"/>
        <v/>
      </c>
      <c r="H2067" s="59" t="str">
        <f t="shared" si="27"/>
        <v>28H00603</v>
      </c>
      <c r="I2067" s="59" t="str">
        <f>IF(OR($A2067="",$C2067="",$D2067="",$E2067="",$H2067=""),"",SUMIFS(DATA_GOC!$H:$H,DATA_GOC!$A:$A,"BOM",DATA_GOC!$D:$D,$H2067,DATA_GOC!$E:$E,$C2067,DATA_GOC!$F:$F,"Xuất nội bộ từ téc",DATA_GOC!$B:$B,"&gt;="&amp;$D2067,DATA_GOC!$B:$B,"&lt;="&amp;$E2067))</f>
        <v/>
      </c>
      <c r="J2067" s="59">
        <f t="shared" si="28"/>
        <v>0</v>
      </c>
      <c r="K2067" s="59">
        <f t="shared" si="29"/>
        <v>0</v>
      </c>
      <c r="L2067" s="59">
        <f t="shared" si="30"/>
        <v>0</v>
      </c>
      <c r="M2067" s="59">
        <f t="shared" si="31"/>
        <v>0</v>
      </c>
    </row>
    <row r="2068" ht="15.0" hidden="1" customHeight="1">
      <c r="A2068" s="59">
        <f t="shared" si="20"/>
        <v>31</v>
      </c>
      <c r="B2068" s="59" t="str">
        <f t="shared" si="21"/>
        <v/>
      </c>
      <c r="C2068" s="59" t="str">
        <f t="shared" si="22"/>
        <v/>
      </c>
      <c r="D2068" s="45" t="str">
        <f t="shared" si="23"/>
        <v/>
      </c>
      <c r="E2068" s="45" t="str">
        <f t="shared" si="24"/>
        <v/>
      </c>
      <c r="F2068" s="59" t="str">
        <f t="shared" si="25"/>
        <v/>
      </c>
      <c r="G2068" s="59" t="str">
        <f t="shared" si="26"/>
        <v/>
      </c>
      <c r="H2068" s="59" t="str">
        <f t="shared" si="27"/>
        <v>28H00609</v>
      </c>
      <c r="I2068" s="59" t="str">
        <f>IF(OR($A2068="",$C2068="",$D2068="",$E2068="",$H2068=""),"",SUMIFS(DATA_GOC!$H:$H,DATA_GOC!$A:$A,"BOM",DATA_GOC!$D:$D,$H2068,DATA_GOC!$E:$E,$C2068,DATA_GOC!$F:$F,"Xuất nội bộ từ téc",DATA_GOC!$B:$B,"&gt;="&amp;$D2068,DATA_GOC!$B:$B,"&lt;="&amp;$E2068))</f>
        <v/>
      </c>
      <c r="J2068" s="59">
        <f t="shared" si="28"/>
        <v>0</v>
      </c>
      <c r="K2068" s="59">
        <f t="shared" si="29"/>
        <v>0</v>
      </c>
      <c r="L2068" s="59">
        <f t="shared" si="30"/>
        <v>0</v>
      </c>
      <c r="M2068" s="59">
        <f t="shared" si="31"/>
        <v>0</v>
      </c>
    </row>
    <row r="2069" ht="15.0" hidden="1" customHeight="1">
      <c r="A2069" s="59">
        <f t="shared" si="20"/>
        <v>31</v>
      </c>
      <c r="B2069" s="59" t="str">
        <f t="shared" si="21"/>
        <v/>
      </c>
      <c r="C2069" s="59" t="str">
        <f t="shared" si="22"/>
        <v/>
      </c>
      <c r="D2069" s="45" t="str">
        <f t="shared" si="23"/>
        <v/>
      </c>
      <c r="E2069" s="45" t="str">
        <f t="shared" si="24"/>
        <v/>
      </c>
      <c r="F2069" s="59" t="str">
        <f t="shared" si="25"/>
        <v/>
      </c>
      <c r="G2069" s="59" t="str">
        <f t="shared" si="26"/>
        <v/>
      </c>
      <c r="H2069" s="59" t="str">
        <f t="shared" si="27"/>
        <v>28H00669</v>
      </c>
      <c r="I2069" s="59" t="str">
        <f>IF(OR($A2069="",$C2069="",$D2069="",$E2069="",$H2069=""),"",SUMIFS(DATA_GOC!$H:$H,DATA_GOC!$A:$A,"BOM",DATA_GOC!$D:$D,$H2069,DATA_GOC!$E:$E,$C2069,DATA_GOC!$F:$F,"Xuất nội bộ từ téc",DATA_GOC!$B:$B,"&gt;="&amp;$D2069,DATA_GOC!$B:$B,"&lt;="&amp;$E2069))</f>
        <v/>
      </c>
      <c r="J2069" s="59">
        <f t="shared" si="28"/>
        <v>0</v>
      </c>
      <c r="K2069" s="59">
        <f t="shared" si="29"/>
        <v>0</v>
      </c>
      <c r="L2069" s="59">
        <f t="shared" si="30"/>
        <v>0</v>
      </c>
      <c r="M2069" s="59">
        <f t="shared" si="31"/>
        <v>0</v>
      </c>
    </row>
    <row r="2070" ht="15.0" hidden="1" customHeight="1">
      <c r="A2070" s="59">
        <f t="shared" si="20"/>
        <v>31</v>
      </c>
      <c r="B2070" s="59" t="str">
        <f t="shared" si="21"/>
        <v/>
      </c>
      <c r="C2070" s="59" t="str">
        <f t="shared" si="22"/>
        <v/>
      </c>
      <c r="D2070" s="45" t="str">
        <f t="shared" si="23"/>
        <v/>
      </c>
      <c r="E2070" s="45" t="str">
        <f t="shared" si="24"/>
        <v/>
      </c>
      <c r="F2070" s="59" t="str">
        <f t="shared" si="25"/>
        <v/>
      </c>
      <c r="G2070" s="59" t="str">
        <f t="shared" si="26"/>
        <v/>
      </c>
      <c r="H2070" s="59" t="str">
        <f t="shared" si="27"/>
        <v>28H00680</v>
      </c>
      <c r="I2070" s="59" t="str">
        <f>IF(OR($A2070="",$C2070="",$D2070="",$E2070="",$H2070=""),"",SUMIFS(DATA_GOC!$H:$H,DATA_GOC!$A:$A,"BOM",DATA_GOC!$D:$D,$H2070,DATA_GOC!$E:$E,$C2070,DATA_GOC!$F:$F,"Xuất nội bộ từ téc",DATA_GOC!$B:$B,"&gt;="&amp;$D2070,DATA_GOC!$B:$B,"&lt;="&amp;$E2070))</f>
        <v/>
      </c>
      <c r="J2070" s="59">
        <f t="shared" si="28"/>
        <v>0</v>
      </c>
      <c r="K2070" s="59">
        <f t="shared" si="29"/>
        <v>0</v>
      </c>
      <c r="L2070" s="59">
        <f t="shared" si="30"/>
        <v>0</v>
      </c>
      <c r="M2070" s="59">
        <f t="shared" si="31"/>
        <v>0</v>
      </c>
    </row>
    <row r="2071" ht="15.0" hidden="1" customHeight="1">
      <c r="A2071" s="59">
        <f t="shared" si="20"/>
        <v>31</v>
      </c>
      <c r="B2071" s="59" t="str">
        <f t="shared" si="21"/>
        <v/>
      </c>
      <c r="C2071" s="59" t="str">
        <f t="shared" si="22"/>
        <v/>
      </c>
      <c r="D2071" s="45" t="str">
        <f t="shared" si="23"/>
        <v/>
      </c>
      <c r="E2071" s="45" t="str">
        <f t="shared" si="24"/>
        <v/>
      </c>
      <c r="F2071" s="59" t="str">
        <f t="shared" si="25"/>
        <v/>
      </c>
      <c r="G2071" s="59" t="str">
        <f t="shared" si="26"/>
        <v/>
      </c>
      <c r="H2071" s="59" t="str">
        <f t="shared" si="27"/>
        <v>28H01070</v>
      </c>
      <c r="I2071" s="59" t="str">
        <f>IF(OR($A2071="",$C2071="",$D2071="",$E2071="",$H2071=""),"",SUMIFS(DATA_GOC!$H:$H,DATA_GOC!$A:$A,"BOM",DATA_GOC!$D:$D,$H2071,DATA_GOC!$E:$E,$C2071,DATA_GOC!$F:$F,"Xuất nội bộ từ téc",DATA_GOC!$B:$B,"&gt;="&amp;$D2071,DATA_GOC!$B:$B,"&lt;="&amp;$E2071))</f>
        <v/>
      </c>
      <c r="J2071" s="59">
        <f t="shared" si="28"/>
        <v>0</v>
      </c>
      <c r="K2071" s="59">
        <f t="shared" si="29"/>
        <v>0</v>
      </c>
      <c r="L2071" s="59">
        <f t="shared" si="30"/>
        <v>0</v>
      </c>
      <c r="M2071" s="59">
        <f t="shared" si="31"/>
        <v>0</v>
      </c>
    </row>
    <row r="2072" ht="15.0" hidden="1" customHeight="1">
      <c r="A2072" s="59">
        <f t="shared" si="20"/>
        <v>31</v>
      </c>
      <c r="B2072" s="59" t="str">
        <f t="shared" si="21"/>
        <v/>
      </c>
      <c r="C2072" s="59" t="str">
        <f t="shared" si="22"/>
        <v/>
      </c>
      <c r="D2072" s="45" t="str">
        <f t="shared" si="23"/>
        <v/>
      </c>
      <c r="E2072" s="45" t="str">
        <f t="shared" si="24"/>
        <v/>
      </c>
      <c r="F2072" s="59" t="str">
        <f t="shared" si="25"/>
        <v/>
      </c>
      <c r="G2072" s="59" t="str">
        <f t="shared" si="26"/>
        <v/>
      </c>
      <c r="H2072" s="59" t="str">
        <f t="shared" si="27"/>
        <v>28H01364</v>
      </c>
      <c r="I2072" s="59" t="str">
        <f>IF(OR($A2072="",$C2072="",$D2072="",$E2072="",$H2072=""),"",SUMIFS(DATA_GOC!$H:$H,DATA_GOC!$A:$A,"BOM",DATA_GOC!$D:$D,$H2072,DATA_GOC!$E:$E,$C2072,DATA_GOC!$F:$F,"Xuất nội bộ từ téc",DATA_GOC!$B:$B,"&gt;="&amp;$D2072,DATA_GOC!$B:$B,"&lt;="&amp;$E2072))</f>
        <v/>
      </c>
      <c r="J2072" s="59">
        <f t="shared" si="28"/>
        <v>0</v>
      </c>
      <c r="K2072" s="59">
        <f t="shared" si="29"/>
        <v>0</v>
      </c>
      <c r="L2072" s="59">
        <f t="shared" si="30"/>
        <v>0</v>
      </c>
      <c r="M2072" s="59">
        <f t="shared" si="31"/>
        <v>0</v>
      </c>
    </row>
    <row r="2073" ht="15.0" hidden="1" customHeight="1">
      <c r="A2073" s="59">
        <f t="shared" si="20"/>
        <v>31</v>
      </c>
      <c r="B2073" s="59" t="str">
        <f t="shared" si="21"/>
        <v/>
      </c>
      <c r="C2073" s="59" t="str">
        <f t="shared" si="22"/>
        <v/>
      </c>
      <c r="D2073" s="45" t="str">
        <f t="shared" si="23"/>
        <v/>
      </c>
      <c r="E2073" s="45" t="str">
        <f t="shared" si="24"/>
        <v/>
      </c>
      <c r="F2073" s="59" t="str">
        <f t="shared" si="25"/>
        <v/>
      </c>
      <c r="G2073" s="59" t="str">
        <f t="shared" si="26"/>
        <v/>
      </c>
      <c r="H2073" s="59" t="str">
        <f t="shared" si="27"/>
        <v>29E17269</v>
      </c>
      <c r="I2073" s="59" t="str">
        <f>IF(OR($A2073="",$C2073="",$D2073="",$E2073="",$H2073=""),"",SUMIFS(DATA_GOC!$H:$H,DATA_GOC!$A:$A,"BOM",DATA_GOC!$D:$D,$H2073,DATA_GOC!$E:$E,$C2073,DATA_GOC!$F:$F,"Xuất nội bộ từ téc",DATA_GOC!$B:$B,"&gt;="&amp;$D2073,DATA_GOC!$B:$B,"&lt;="&amp;$E2073))</f>
        <v/>
      </c>
      <c r="J2073" s="59">
        <f t="shared" si="28"/>
        <v>0</v>
      </c>
      <c r="K2073" s="59">
        <f t="shared" si="29"/>
        <v>0</v>
      </c>
      <c r="L2073" s="59">
        <f t="shared" si="30"/>
        <v>0</v>
      </c>
      <c r="M2073" s="59">
        <f t="shared" si="31"/>
        <v>0</v>
      </c>
    </row>
    <row r="2074" ht="15.0" hidden="1" customHeight="1">
      <c r="A2074" s="59">
        <f t="shared" si="20"/>
        <v>31</v>
      </c>
      <c r="B2074" s="59" t="str">
        <f t="shared" si="21"/>
        <v/>
      </c>
      <c r="C2074" s="59" t="str">
        <f t="shared" si="22"/>
        <v/>
      </c>
      <c r="D2074" s="45" t="str">
        <f t="shared" si="23"/>
        <v/>
      </c>
      <c r="E2074" s="45" t="str">
        <f t="shared" si="24"/>
        <v/>
      </c>
      <c r="F2074" s="59" t="str">
        <f t="shared" si="25"/>
        <v/>
      </c>
      <c r="G2074" s="59" t="str">
        <f t="shared" si="26"/>
        <v/>
      </c>
      <c r="H2074" s="59" t="str">
        <f t="shared" si="27"/>
        <v>29E17273</v>
      </c>
      <c r="I2074" s="59" t="str">
        <f>IF(OR($A2074="",$C2074="",$D2074="",$E2074="",$H2074=""),"",SUMIFS(DATA_GOC!$H:$H,DATA_GOC!$A:$A,"BOM",DATA_GOC!$D:$D,$H2074,DATA_GOC!$E:$E,$C2074,DATA_GOC!$F:$F,"Xuất nội bộ từ téc",DATA_GOC!$B:$B,"&gt;="&amp;$D2074,DATA_GOC!$B:$B,"&lt;="&amp;$E2074))</f>
        <v/>
      </c>
      <c r="J2074" s="59">
        <f t="shared" si="28"/>
        <v>0</v>
      </c>
      <c r="K2074" s="59">
        <f t="shared" si="29"/>
        <v>0</v>
      </c>
      <c r="L2074" s="59">
        <f t="shared" si="30"/>
        <v>0</v>
      </c>
      <c r="M2074" s="59">
        <f t="shared" si="31"/>
        <v>0</v>
      </c>
    </row>
    <row r="2075" ht="15.0" hidden="1" customHeight="1">
      <c r="A2075" s="59">
        <f t="shared" si="20"/>
        <v>31</v>
      </c>
      <c r="B2075" s="59" t="str">
        <f t="shared" si="21"/>
        <v/>
      </c>
      <c r="C2075" s="59" t="str">
        <f t="shared" si="22"/>
        <v/>
      </c>
      <c r="D2075" s="45" t="str">
        <f t="shared" si="23"/>
        <v/>
      </c>
      <c r="E2075" s="45" t="str">
        <f t="shared" si="24"/>
        <v/>
      </c>
      <c r="F2075" s="59" t="str">
        <f t="shared" si="25"/>
        <v/>
      </c>
      <c r="G2075" s="59" t="str">
        <f t="shared" si="26"/>
        <v/>
      </c>
      <c r="H2075" s="59" t="str">
        <f t="shared" si="27"/>
        <v>29E17410</v>
      </c>
      <c r="I2075" s="59" t="str">
        <f>IF(OR($A2075="",$C2075="",$D2075="",$E2075="",$H2075=""),"",SUMIFS(DATA_GOC!$H:$H,DATA_GOC!$A:$A,"BOM",DATA_GOC!$D:$D,$H2075,DATA_GOC!$E:$E,$C2075,DATA_GOC!$F:$F,"Xuất nội bộ từ téc",DATA_GOC!$B:$B,"&gt;="&amp;$D2075,DATA_GOC!$B:$B,"&lt;="&amp;$E2075))</f>
        <v/>
      </c>
      <c r="J2075" s="59">
        <f t="shared" si="28"/>
        <v>0</v>
      </c>
      <c r="K2075" s="59">
        <f t="shared" si="29"/>
        <v>0</v>
      </c>
      <c r="L2075" s="59">
        <f t="shared" si="30"/>
        <v>0</v>
      </c>
      <c r="M2075" s="59">
        <f t="shared" si="31"/>
        <v>0</v>
      </c>
    </row>
    <row r="2076" ht="15.0" hidden="1" customHeight="1">
      <c r="A2076" s="59">
        <f t="shared" si="20"/>
        <v>31</v>
      </c>
      <c r="B2076" s="59" t="str">
        <f t="shared" si="21"/>
        <v/>
      </c>
      <c r="C2076" s="59" t="str">
        <f t="shared" si="22"/>
        <v/>
      </c>
      <c r="D2076" s="45" t="str">
        <f t="shared" si="23"/>
        <v/>
      </c>
      <c r="E2076" s="45" t="str">
        <f t="shared" si="24"/>
        <v/>
      </c>
      <c r="F2076" s="59" t="str">
        <f t="shared" si="25"/>
        <v/>
      </c>
      <c r="G2076" s="59" t="str">
        <f t="shared" si="26"/>
        <v/>
      </c>
      <c r="H2076" s="59" t="str">
        <f t="shared" si="27"/>
        <v>29E17417</v>
      </c>
      <c r="I2076" s="59" t="str">
        <f>IF(OR($A2076="",$C2076="",$D2076="",$E2076="",$H2076=""),"",SUMIFS(DATA_GOC!$H:$H,DATA_GOC!$A:$A,"BOM",DATA_GOC!$D:$D,$H2076,DATA_GOC!$E:$E,$C2076,DATA_GOC!$F:$F,"Xuất nội bộ từ téc",DATA_GOC!$B:$B,"&gt;="&amp;$D2076,DATA_GOC!$B:$B,"&lt;="&amp;$E2076))</f>
        <v/>
      </c>
      <c r="J2076" s="59">
        <f t="shared" si="28"/>
        <v>0</v>
      </c>
      <c r="K2076" s="59">
        <f t="shared" si="29"/>
        <v>0</v>
      </c>
      <c r="L2076" s="59">
        <f t="shared" si="30"/>
        <v>0</v>
      </c>
      <c r="M2076" s="59">
        <f t="shared" si="31"/>
        <v>0</v>
      </c>
    </row>
    <row r="2077" ht="15.0" hidden="1" customHeight="1">
      <c r="A2077" s="59">
        <f t="shared" si="20"/>
        <v>31</v>
      </c>
      <c r="B2077" s="59" t="str">
        <f t="shared" si="21"/>
        <v/>
      </c>
      <c r="C2077" s="59" t="str">
        <f t="shared" si="22"/>
        <v/>
      </c>
      <c r="D2077" s="45" t="str">
        <f t="shared" si="23"/>
        <v/>
      </c>
      <c r="E2077" s="45" t="str">
        <f t="shared" si="24"/>
        <v/>
      </c>
      <c r="F2077" s="59" t="str">
        <f t="shared" si="25"/>
        <v/>
      </c>
      <c r="G2077" s="59" t="str">
        <f t="shared" si="26"/>
        <v/>
      </c>
      <c r="H2077" s="59" t="str">
        <f t="shared" si="27"/>
        <v>29E17539</v>
      </c>
      <c r="I2077" s="59" t="str">
        <f>IF(OR($A2077="",$C2077="",$D2077="",$E2077="",$H2077=""),"",SUMIFS(DATA_GOC!$H:$H,DATA_GOC!$A:$A,"BOM",DATA_GOC!$D:$D,$H2077,DATA_GOC!$E:$E,$C2077,DATA_GOC!$F:$F,"Xuất nội bộ từ téc",DATA_GOC!$B:$B,"&gt;="&amp;$D2077,DATA_GOC!$B:$B,"&lt;="&amp;$E2077))</f>
        <v/>
      </c>
      <c r="J2077" s="59">
        <f t="shared" si="28"/>
        <v>0</v>
      </c>
      <c r="K2077" s="59">
        <f t="shared" si="29"/>
        <v>0</v>
      </c>
      <c r="L2077" s="59">
        <f t="shared" si="30"/>
        <v>0</v>
      </c>
      <c r="M2077" s="59">
        <f t="shared" si="31"/>
        <v>0</v>
      </c>
    </row>
    <row r="2078" ht="15.0" hidden="1" customHeight="1">
      <c r="A2078" s="59">
        <f t="shared" si="20"/>
        <v>31</v>
      </c>
      <c r="B2078" s="59" t="str">
        <f t="shared" si="21"/>
        <v/>
      </c>
      <c r="C2078" s="59" t="str">
        <f t="shared" si="22"/>
        <v/>
      </c>
      <c r="D2078" s="45" t="str">
        <f t="shared" si="23"/>
        <v/>
      </c>
      <c r="E2078" s="45" t="str">
        <f t="shared" si="24"/>
        <v/>
      </c>
      <c r="F2078" s="59" t="str">
        <f t="shared" si="25"/>
        <v/>
      </c>
      <c r="G2078" s="59" t="str">
        <f t="shared" si="26"/>
        <v/>
      </c>
      <c r="H2078" s="59" t="str">
        <f t="shared" si="27"/>
        <v>29E18160</v>
      </c>
      <c r="I2078" s="59" t="str">
        <f>IF(OR($A2078="",$C2078="",$D2078="",$E2078="",$H2078=""),"",SUMIFS(DATA_GOC!$H:$H,DATA_GOC!$A:$A,"BOM",DATA_GOC!$D:$D,$H2078,DATA_GOC!$E:$E,$C2078,DATA_GOC!$F:$F,"Xuất nội bộ từ téc",DATA_GOC!$B:$B,"&gt;="&amp;$D2078,DATA_GOC!$B:$B,"&lt;="&amp;$E2078))</f>
        <v/>
      </c>
      <c r="J2078" s="59">
        <f t="shared" si="28"/>
        <v>0</v>
      </c>
      <c r="K2078" s="59">
        <f t="shared" si="29"/>
        <v>0</v>
      </c>
      <c r="L2078" s="59">
        <f t="shared" si="30"/>
        <v>0</v>
      </c>
      <c r="M2078" s="59">
        <f t="shared" si="31"/>
        <v>0</v>
      </c>
    </row>
    <row r="2079" ht="15.0" hidden="1" customHeight="1">
      <c r="A2079" s="59">
        <f t="shared" si="20"/>
        <v>31</v>
      </c>
      <c r="B2079" s="59" t="str">
        <f t="shared" si="21"/>
        <v/>
      </c>
      <c r="C2079" s="59" t="str">
        <f t="shared" si="22"/>
        <v/>
      </c>
      <c r="D2079" s="45" t="str">
        <f t="shared" si="23"/>
        <v/>
      </c>
      <c r="E2079" s="45" t="str">
        <f t="shared" si="24"/>
        <v/>
      </c>
      <c r="F2079" s="59" t="str">
        <f t="shared" si="25"/>
        <v/>
      </c>
      <c r="G2079" s="59" t="str">
        <f t="shared" si="26"/>
        <v/>
      </c>
      <c r="H2079" s="59" t="str">
        <f t="shared" si="27"/>
        <v>Công trình Asphalt</v>
      </c>
      <c r="I2079" s="59" t="str">
        <f>IF(OR($A2079="",$C2079="",$D2079="",$E2079="",$H2079=""),"",SUMIFS(DATA_GOC!$H:$H,DATA_GOC!$A:$A,"BOM",DATA_GOC!$D:$D,$H2079,DATA_GOC!$E:$E,$C2079,DATA_GOC!$F:$F,"Xuất nội bộ từ téc",DATA_GOC!$B:$B,"&gt;="&amp;$D2079,DATA_GOC!$B:$B,"&lt;="&amp;$E2079))</f>
        <v/>
      </c>
      <c r="J2079" s="59">
        <f t="shared" si="28"/>
        <v>0</v>
      </c>
      <c r="K2079" s="59">
        <f t="shared" si="29"/>
        <v>0</v>
      </c>
      <c r="L2079" s="59">
        <f t="shared" si="30"/>
        <v>0</v>
      </c>
      <c r="M2079" s="59">
        <f t="shared" si="31"/>
        <v>0</v>
      </c>
    </row>
    <row r="2080" ht="15.0" hidden="1" customHeight="1">
      <c r="A2080" s="59">
        <f t="shared" si="20"/>
        <v>31</v>
      </c>
      <c r="B2080" s="59" t="str">
        <f t="shared" si="21"/>
        <v/>
      </c>
      <c r="C2080" s="59" t="str">
        <f t="shared" si="22"/>
        <v/>
      </c>
      <c r="D2080" s="45" t="str">
        <f t="shared" si="23"/>
        <v/>
      </c>
      <c r="E2080" s="45" t="str">
        <f t="shared" si="24"/>
        <v/>
      </c>
      <c r="F2080" s="59" t="str">
        <f t="shared" si="25"/>
        <v/>
      </c>
      <c r="G2080" s="59" t="str">
        <f t="shared" si="26"/>
        <v/>
      </c>
      <c r="H2080" s="59" t="str">
        <f t="shared" si="27"/>
        <v>LG53F</v>
      </c>
      <c r="I2080" s="59" t="str">
        <f>IF(OR($A2080="",$C2080="",$D2080="",$E2080="",$H2080=""),"",SUMIFS(DATA_GOC!$H:$H,DATA_GOC!$A:$A,"BOM",DATA_GOC!$D:$D,$H2080,DATA_GOC!$E:$E,$C2080,DATA_GOC!$F:$F,"Xuất nội bộ từ téc",DATA_GOC!$B:$B,"&gt;="&amp;$D2080,DATA_GOC!$B:$B,"&lt;="&amp;$E2080))</f>
        <v/>
      </c>
      <c r="J2080" s="59">
        <f t="shared" si="28"/>
        <v>0</v>
      </c>
      <c r="K2080" s="59">
        <f t="shared" si="29"/>
        <v>0</v>
      </c>
      <c r="L2080" s="59">
        <f t="shared" si="30"/>
        <v>0</v>
      </c>
      <c r="M2080" s="59">
        <f t="shared" si="31"/>
        <v>0</v>
      </c>
    </row>
    <row r="2081" ht="15.0" hidden="1" customHeight="1">
      <c r="A2081" s="59">
        <f t="shared" si="20"/>
        <v>31</v>
      </c>
      <c r="B2081" s="59" t="str">
        <f t="shared" si="21"/>
        <v/>
      </c>
      <c r="C2081" s="59" t="str">
        <f t="shared" si="22"/>
        <v/>
      </c>
      <c r="D2081" s="45" t="str">
        <f t="shared" si="23"/>
        <v/>
      </c>
      <c r="E2081" s="45" t="str">
        <f t="shared" si="24"/>
        <v/>
      </c>
      <c r="F2081" s="59" t="str">
        <f t="shared" si="25"/>
        <v/>
      </c>
      <c r="G2081" s="59" t="str">
        <f t="shared" si="26"/>
        <v/>
      </c>
      <c r="H2081" s="59" t="str">
        <f t="shared" si="27"/>
        <v>Máy phát điện</v>
      </c>
      <c r="I2081" s="59" t="str">
        <f>IF(OR($A2081="",$C2081="",$D2081="",$E2081="",$H2081=""),"",SUMIFS(DATA_GOC!$H:$H,DATA_GOC!$A:$A,"BOM",DATA_GOC!$D:$D,$H2081,DATA_GOC!$E:$E,$C2081,DATA_GOC!$F:$F,"Xuất nội bộ từ téc",DATA_GOC!$B:$B,"&gt;="&amp;$D2081,DATA_GOC!$B:$B,"&lt;="&amp;$E2081))</f>
        <v/>
      </c>
      <c r="J2081" s="59">
        <f t="shared" si="28"/>
        <v>0</v>
      </c>
      <c r="K2081" s="59">
        <f t="shared" si="29"/>
        <v>0</v>
      </c>
      <c r="L2081" s="59">
        <f t="shared" si="30"/>
        <v>0</v>
      </c>
      <c r="M2081" s="59">
        <f t="shared" si="31"/>
        <v>0</v>
      </c>
    </row>
    <row r="2082" ht="15.0" hidden="1" customHeight="1">
      <c r="A2082" s="59">
        <f t="shared" si="20"/>
        <v>31</v>
      </c>
      <c r="B2082" s="59" t="str">
        <f t="shared" si="21"/>
        <v/>
      </c>
      <c r="C2082" s="59" t="str">
        <f t="shared" si="22"/>
        <v/>
      </c>
      <c r="D2082" s="45" t="str">
        <f t="shared" si="23"/>
        <v/>
      </c>
      <c r="E2082" s="45" t="str">
        <f t="shared" si="24"/>
        <v/>
      </c>
      <c r="F2082" s="59" t="str">
        <f t="shared" si="25"/>
        <v/>
      </c>
      <c r="G2082" s="59" t="str">
        <f t="shared" si="26"/>
        <v/>
      </c>
      <c r="H2082" s="59" t="str">
        <f t="shared" si="27"/>
        <v>Máy rải thảm</v>
      </c>
      <c r="I2082" s="59" t="str">
        <f>IF(OR($A2082="",$C2082="",$D2082="",$E2082="",$H2082=""),"",SUMIFS(DATA_GOC!$H:$H,DATA_GOC!$A:$A,"BOM",DATA_GOC!$D:$D,$H2082,DATA_GOC!$E:$E,$C2082,DATA_GOC!$F:$F,"Xuất nội bộ từ téc",DATA_GOC!$B:$B,"&gt;="&amp;$D2082,DATA_GOC!$B:$B,"&lt;="&amp;$E2082))</f>
        <v/>
      </c>
      <c r="J2082" s="59">
        <f t="shared" si="28"/>
        <v>0</v>
      </c>
      <c r="K2082" s="59">
        <f t="shared" si="29"/>
        <v>0</v>
      </c>
      <c r="L2082" s="59">
        <f t="shared" si="30"/>
        <v>0</v>
      </c>
      <c r="M2082" s="59">
        <f t="shared" si="31"/>
        <v>0</v>
      </c>
    </row>
    <row r="2083" ht="15.0" hidden="1" customHeight="1">
      <c r="A2083" s="59">
        <f t="shared" si="20"/>
        <v>31</v>
      </c>
      <c r="B2083" s="59" t="str">
        <f t="shared" si="21"/>
        <v/>
      </c>
      <c r="C2083" s="59" t="str">
        <f t="shared" si="22"/>
        <v/>
      </c>
      <c r="D2083" s="45" t="str">
        <f t="shared" si="23"/>
        <v/>
      </c>
      <c r="E2083" s="45" t="str">
        <f t="shared" si="24"/>
        <v/>
      </c>
      <c r="F2083" s="59" t="str">
        <f t="shared" si="25"/>
        <v/>
      </c>
      <c r="G2083" s="59" t="str">
        <f t="shared" si="26"/>
        <v/>
      </c>
      <c r="H2083" s="59" t="str">
        <f t="shared" si="27"/>
        <v>Xúc Đào</v>
      </c>
      <c r="I2083" s="59" t="str">
        <f>IF(OR($A2083="",$C2083="",$D2083="",$E2083="",$H2083=""),"",SUMIFS(DATA_GOC!$H:$H,DATA_GOC!$A:$A,"BOM",DATA_GOC!$D:$D,$H2083,DATA_GOC!$E:$E,$C2083,DATA_GOC!$F:$F,"Xuất nội bộ từ téc",DATA_GOC!$B:$B,"&gt;="&amp;$D2083,DATA_GOC!$B:$B,"&lt;="&amp;$E2083))</f>
        <v/>
      </c>
      <c r="J2083" s="59">
        <f t="shared" si="28"/>
        <v>0</v>
      </c>
      <c r="K2083" s="59">
        <f t="shared" si="29"/>
        <v>0</v>
      </c>
      <c r="L2083" s="59">
        <f t="shared" si="30"/>
        <v>0</v>
      </c>
      <c r="M2083" s="59">
        <f t="shared" si="31"/>
        <v>0</v>
      </c>
    </row>
    <row r="2084" ht="15.0" hidden="1" customHeight="1">
      <c r="A2084" s="59">
        <f t="shared" si="20"/>
        <v>31</v>
      </c>
      <c r="B2084" s="59" t="str">
        <f t="shared" si="21"/>
        <v/>
      </c>
      <c r="C2084" s="59" t="str">
        <f t="shared" si="22"/>
        <v/>
      </c>
      <c r="D2084" s="45" t="str">
        <f t="shared" si="23"/>
        <v/>
      </c>
      <c r="E2084" s="45" t="str">
        <f t="shared" si="24"/>
        <v/>
      </c>
      <c r="F2084" s="59" t="str">
        <f t="shared" si="25"/>
        <v/>
      </c>
      <c r="G2084" s="59" t="str">
        <f t="shared" si="26"/>
        <v/>
      </c>
      <c r="H2084" s="59" t="str">
        <f t="shared" si="27"/>
        <v>Xúclật asphalt</v>
      </c>
      <c r="I2084" s="59" t="str">
        <f>IF(OR($A2084="",$C2084="",$D2084="",$E2084="",$H2084=""),"",SUMIFS(DATA_GOC!$H:$H,DATA_GOC!$A:$A,"BOM",DATA_GOC!$D:$D,$H2084,DATA_GOC!$E:$E,$C2084,DATA_GOC!$F:$F,"Xuất nội bộ từ téc",DATA_GOC!$B:$B,"&gt;="&amp;$D2084,DATA_GOC!$B:$B,"&lt;="&amp;$E2084))</f>
        <v/>
      </c>
      <c r="J2084" s="59">
        <f t="shared" si="28"/>
        <v>0</v>
      </c>
      <c r="K2084" s="59">
        <f t="shared" si="29"/>
        <v>0</v>
      </c>
      <c r="L2084" s="59">
        <f t="shared" si="30"/>
        <v>0</v>
      </c>
      <c r="M2084" s="59">
        <f t="shared" si="31"/>
        <v>0</v>
      </c>
    </row>
    <row r="2085" ht="15.0" hidden="1" customHeight="1">
      <c r="A2085" s="59">
        <f t="shared" si="20"/>
        <v>31</v>
      </c>
      <c r="B2085" s="59" t="str">
        <f t="shared" si="21"/>
        <v/>
      </c>
      <c r="C2085" s="59" t="str">
        <f t="shared" si="22"/>
        <v/>
      </c>
      <c r="D2085" s="45" t="str">
        <f t="shared" si="23"/>
        <v/>
      </c>
      <c r="E2085" s="45" t="str">
        <f t="shared" si="24"/>
        <v/>
      </c>
      <c r="F2085" s="59" t="str">
        <f t="shared" si="25"/>
        <v/>
      </c>
      <c r="G2085" s="59" t="str">
        <f t="shared" si="26"/>
        <v/>
      </c>
      <c r="H2085" s="59" t="str">
        <f t="shared" si="27"/>
        <v>Xúclật855H</v>
      </c>
      <c r="I2085" s="59" t="str">
        <f>IF(OR($A2085="",$C2085="",$D2085="",$E2085="",$H2085=""),"",SUMIFS(DATA_GOC!$H:$H,DATA_GOC!$A:$A,"BOM",DATA_GOC!$D:$D,$H2085,DATA_GOC!$E:$E,$C2085,DATA_GOC!$F:$F,"Xuất nội bộ từ téc",DATA_GOC!$B:$B,"&gt;="&amp;$D2085,DATA_GOC!$B:$B,"&lt;="&amp;$E2085))</f>
        <v/>
      </c>
      <c r="J2085" s="59">
        <f t="shared" si="28"/>
        <v>0</v>
      </c>
      <c r="K2085" s="59">
        <f t="shared" si="29"/>
        <v>0</v>
      </c>
      <c r="L2085" s="59">
        <f t="shared" si="30"/>
        <v>0</v>
      </c>
      <c r="M2085" s="59">
        <f t="shared" si="31"/>
        <v>0</v>
      </c>
    </row>
    <row r="2086" ht="15.0" hidden="1" customHeight="1">
      <c r="A2086" s="59">
        <f t="shared" si="20"/>
        <v>31</v>
      </c>
      <c r="B2086" s="59" t="str">
        <f t="shared" si="21"/>
        <v/>
      </c>
      <c r="C2086" s="59" t="str">
        <f t="shared" si="22"/>
        <v/>
      </c>
      <c r="D2086" s="45" t="str">
        <f t="shared" si="23"/>
        <v/>
      </c>
      <c r="E2086" s="45" t="str">
        <f t="shared" si="24"/>
        <v/>
      </c>
      <c r="F2086" s="59" t="str">
        <f t="shared" si="25"/>
        <v/>
      </c>
      <c r="G2086" s="59" t="str">
        <f t="shared" si="26"/>
        <v/>
      </c>
      <c r="H2086" s="59" t="str">
        <f t="shared" si="27"/>
        <v>Xúclật855N</v>
      </c>
      <c r="I2086" s="59" t="str">
        <f>IF(OR($A2086="",$C2086="",$D2086="",$E2086="",$H2086=""),"",SUMIFS(DATA_GOC!$H:$H,DATA_GOC!$A:$A,"BOM",DATA_GOC!$D:$D,$H2086,DATA_GOC!$E:$E,$C2086,DATA_GOC!$F:$F,"Xuất nội bộ từ téc",DATA_GOC!$B:$B,"&gt;="&amp;$D2086,DATA_GOC!$B:$B,"&lt;="&amp;$E2086))</f>
        <v/>
      </c>
      <c r="J2086" s="59">
        <f t="shared" si="28"/>
        <v>0</v>
      </c>
      <c r="K2086" s="59">
        <f t="shared" si="29"/>
        <v>0</v>
      </c>
      <c r="L2086" s="59">
        <f t="shared" si="30"/>
        <v>0</v>
      </c>
      <c r="M2086" s="59">
        <f t="shared" si="31"/>
        <v>0</v>
      </c>
    </row>
    <row r="2087" ht="15.0" hidden="1" customHeight="1">
      <c r="A2087" s="59">
        <f t="shared" si="20"/>
        <v>31</v>
      </c>
      <c r="B2087" s="59" t="str">
        <f t="shared" si="21"/>
        <v/>
      </c>
      <c r="C2087" s="59" t="str">
        <f t="shared" si="22"/>
        <v/>
      </c>
      <c r="D2087" s="45" t="str">
        <f t="shared" si="23"/>
        <v/>
      </c>
      <c r="E2087" s="45" t="str">
        <f t="shared" si="24"/>
        <v/>
      </c>
      <c r="F2087" s="59" t="str">
        <f t="shared" si="25"/>
        <v/>
      </c>
      <c r="G2087" s="59" t="str">
        <f t="shared" si="26"/>
        <v/>
      </c>
      <c r="H2087" s="59" t="str">
        <f t="shared" si="27"/>
        <v>Cát nghiền</v>
      </c>
      <c r="I2087" s="59" t="str">
        <f>IF(OR($A2087="",$C2087="",$D2087="",$E2087="",$H2087=""),"",SUMIFS(DATA_GOC!$H:$H,DATA_GOC!$A:$A,"BOM",DATA_GOC!$D:$D,$H2087,DATA_GOC!$E:$E,$C2087,DATA_GOC!$F:$F,"Xuất nội bộ từ téc",DATA_GOC!$B:$B,"&gt;="&amp;$D2087,DATA_GOC!$B:$B,"&lt;="&amp;$E2087))</f>
        <v/>
      </c>
      <c r="J2087" s="59">
        <f t="shared" si="28"/>
        <v>0</v>
      </c>
      <c r="K2087" s="59">
        <f t="shared" si="29"/>
        <v>0</v>
      </c>
      <c r="L2087" s="59">
        <f t="shared" si="30"/>
        <v>0</v>
      </c>
      <c r="M2087" s="59">
        <f t="shared" si="31"/>
        <v>0</v>
      </c>
    </row>
    <row r="2088" ht="15.0" hidden="1" customHeight="1">
      <c r="A2088" s="59">
        <f t="shared" si="20"/>
        <v>31</v>
      </c>
      <c r="B2088" s="59" t="str">
        <f t="shared" si="21"/>
        <v/>
      </c>
      <c r="C2088" s="59" t="str">
        <f t="shared" si="22"/>
        <v/>
      </c>
      <c r="D2088" s="45" t="str">
        <f t="shared" si="23"/>
        <v/>
      </c>
      <c r="E2088" s="45" t="str">
        <f t="shared" si="24"/>
        <v/>
      </c>
      <c r="F2088" s="59" t="str">
        <f t="shared" si="25"/>
        <v/>
      </c>
      <c r="G2088" s="59" t="str">
        <f t="shared" si="26"/>
        <v/>
      </c>
      <c r="H2088" s="59" t="str">
        <f t="shared" si="27"/>
        <v>28C02973</v>
      </c>
      <c r="I2088" s="59" t="str">
        <f>IF(OR($A2088="",$C2088="",$D2088="",$E2088="",$H2088=""),"",SUMIFS(DATA_GOC!$H:$H,DATA_GOC!$A:$A,"BOM",DATA_GOC!$D:$D,$H2088,DATA_GOC!$E:$E,$C2088,DATA_GOC!$F:$F,"Xuất nội bộ từ téc",DATA_GOC!$B:$B,"&gt;="&amp;$D2088,DATA_GOC!$B:$B,"&lt;="&amp;$E2088))</f>
        <v/>
      </c>
      <c r="J2088" s="59">
        <f t="shared" si="28"/>
        <v>0</v>
      </c>
      <c r="K2088" s="59">
        <f t="shared" si="29"/>
        <v>0</v>
      </c>
      <c r="L2088" s="59">
        <f t="shared" si="30"/>
        <v>0</v>
      </c>
      <c r="M2088" s="59">
        <f t="shared" si="31"/>
        <v>0</v>
      </c>
    </row>
    <row r="2089" ht="15.0" hidden="1" customHeight="1">
      <c r="A2089" s="59">
        <f t="shared" si="20"/>
        <v>31</v>
      </c>
      <c r="B2089" s="59" t="str">
        <f t="shared" si="21"/>
        <v/>
      </c>
      <c r="C2089" s="59" t="str">
        <f t="shared" si="22"/>
        <v/>
      </c>
      <c r="D2089" s="45" t="str">
        <f t="shared" si="23"/>
        <v/>
      </c>
      <c r="E2089" s="45" t="str">
        <f t="shared" si="24"/>
        <v/>
      </c>
      <c r="F2089" s="59" t="str">
        <f t="shared" si="25"/>
        <v/>
      </c>
      <c r="G2089" s="59" t="str">
        <f t="shared" si="26"/>
        <v/>
      </c>
      <c r="H2089" s="59" t="str">
        <f t="shared" si="27"/>
        <v>28C03044</v>
      </c>
      <c r="I2089" s="59" t="str">
        <f>IF(OR($A2089="",$C2089="",$D2089="",$E2089="",$H2089=""),"",SUMIFS(DATA_GOC!$H:$H,DATA_GOC!$A:$A,"BOM",DATA_GOC!$D:$D,$H2089,DATA_GOC!$E:$E,$C2089,DATA_GOC!$F:$F,"Xuất nội bộ từ téc",DATA_GOC!$B:$B,"&gt;="&amp;$D2089,DATA_GOC!$B:$B,"&lt;="&amp;$E2089))</f>
        <v/>
      </c>
      <c r="J2089" s="59">
        <f t="shared" si="28"/>
        <v>0</v>
      </c>
      <c r="K2089" s="59">
        <f t="shared" si="29"/>
        <v>0</v>
      </c>
      <c r="L2089" s="59">
        <f t="shared" si="30"/>
        <v>0</v>
      </c>
      <c r="M2089" s="59">
        <f t="shared" si="31"/>
        <v>0</v>
      </c>
    </row>
    <row r="2090" ht="15.0" hidden="1" customHeight="1">
      <c r="A2090" s="59">
        <f t="shared" si="20"/>
        <v>31</v>
      </c>
      <c r="B2090" s="59" t="str">
        <f t="shared" si="21"/>
        <v/>
      </c>
      <c r="C2090" s="59" t="str">
        <f t="shared" si="22"/>
        <v/>
      </c>
      <c r="D2090" s="45" t="str">
        <f t="shared" si="23"/>
        <v/>
      </c>
      <c r="E2090" s="45" t="str">
        <f t="shared" si="24"/>
        <v/>
      </c>
      <c r="F2090" s="59" t="str">
        <f t="shared" si="25"/>
        <v/>
      </c>
      <c r="G2090" s="59" t="str">
        <f t="shared" si="26"/>
        <v/>
      </c>
      <c r="H2090" s="59" t="str">
        <f t="shared" si="27"/>
        <v>Máy lu lốp</v>
      </c>
      <c r="I2090" s="59" t="str">
        <f>IF(OR($A2090="",$C2090="",$D2090="",$E2090="",$H2090=""),"",SUMIFS(DATA_GOC!$H:$H,DATA_GOC!$A:$A,"BOM",DATA_GOC!$D:$D,$H2090,DATA_GOC!$E:$E,$C2090,DATA_GOC!$F:$F,"Xuất nội bộ từ téc",DATA_GOC!$B:$B,"&gt;="&amp;$D2090,DATA_GOC!$B:$B,"&lt;="&amp;$E2090))</f>
        <v/>
      </c>
      <c r="J2090" s="59">
        <f t="shared" si="28"/>
        <v>0</v>
      </c>
      <c r="K2090" s="59">
        <f t="shared" si="29"/>
        <v>0</v>
      </c>
      <c r="L2090" s="59">
        <f t="shared" si="30"/>
        <v>0</v>
      </c>
      <c r="M2090" s="59">
        <f t="shared" si="31"/>
        <v>0</v>
      </c>
    </row>
    <row r="2091" ht="15.0" hidden="1" customHeight="1">
      <c r="A2091" s="59">
        <f t="shared" si="20"/>
        <v>31</v>
      </c>
      <c r="B2091" s="59" t="str">
        <f t="shared" si="21"/>
        <v/>
      </c>
      <c r="C2091" s="59" t="str">
        <f t="shared" si="22"/>
        <v/>
      </c>
      <c r="D2091" s="45" t="str">
        <f t="shared" si="23"/>
        <v/>
      </c>
      <c r="E2091" s="45" t="str">
        <f t="shared" si="24"/>
        <v/>
      </c>
      <c r="F2091" s="59" t="str">
        <f t="shared" si="25"/>
        <v/>
      </c>
      <c r="G2091" s="59" t="str">
        <f t="shared" si="26"/>
        <v/>
      </c>
      <c r="H2091" s="59" t="str">
        <f t="shared" si="27"/>
        <v>Xe 600148</v>
      </c>
      <c r="I2091" s="59" t="str">
        <f>IF(OR($A2091="",$C2091="",$D2091="",$E2091="",$H2091=""),"",SUMIFS(DATA_GOC!$H:$H,DATA_GOC!$A:$A,"BOM",DATA_GOC!$D:$D,$H2091,DATA_GOC!$E:$E,$C2091,DATA_GOC!$F:$F,"Xuất nội bộ từ téc",DATA_GOC!$B:$B,"&gt;="&amp;$D2091,DATA_GOC!$B:$B,"&lt;="&amp;$E2091))</f>
        <v/>
      </c>
      <c r="J2091" s="59">
        <f t="shared" si="28"/>
        <v>0</v>
      </c>
      <c r="K2091" s="59">
        <f t="shared" si="29"/>
        <v>0</v>
      </c>
      <c r="L2091" s="59">
        <f t="shared" si="30"/>
        <v>0</v>
      </c>
      <c r="M2091" s="59">
        <f t="shared" si="31"/>
        <v>0</v>
      </c>
    </row>
    <row r="2092" ht="15.0" hidden="1" customHeight="1">
      <c r="A2092" s="59">
        <f t="shared" si="20"/>
        <v>31</v>
      </c>
      <c r="B2092" s="59" t="str">
        <f t="shared" si="21"/>
        <v/>
      </c>
      <c r="C2092" s="59" t="str">
        <f t="shared" si="22"/>
        <v/>
      </c>
      <c r="D2092" s="45" t="str">
        <f t="shared" si="23"/>
        <v/>
      </c>
      <c r="E2092" s="45" t="str">
        <f t="shared" si="24"/>
        <v/>
      </c>
      <c r="F2092" s="59" t="str">
        <f t="shared" si="25"/>
        <v/>
      </c>
      <c r="G2092" s="59" t="str">
        <f t="shared" si="26"/>
        <v/>
      </c>
      <c r="H2092" s="59" t="str">
        <f t="shared" si="27"/>
        <v>Xe ben mới</v>
      </c>
      <c r="I2092" s="59" t="str">
        <f>IF(OR($A2092="",$C2092="",$D2092="",$E2092="",$H2092=""),"",SUMIFS(DATA_GOC!$H:$H,DATA_GOC!$A:$A,"BOM",DATA_GOC!$D:$D,$H2092,DATA_GOC!$E:$E,$C2092,DATA_GOC!$F:$F,"Xuất nội bộ từ téc",DATA_GOC!$B:$B,"&gt;="&amp;$D2092,DATA_GOC!$B:$B,"&lt;="&amp;$E2092))</f>
        <v/>
      </c>
      <c r="J2092" s="59">
        <f t="shared" si="28"/>
        <v>0</v>
      </c>
      <c r="K2092" s="59">
        <f t="shared" si="29"/>
        <v>0</v>
      </c>
      <c r="L2092" s="59">
        <f t="shared" si="30"/>
        <v>0</v>
      </c>
      <c r="M2092" s="59">
        <f t="shared" si="31"/>
        <v>0</v>
      </c>
    </row>
    <row r="2093" ht="15.0" hidden="1" customHeight="1">
      <c r="A2093" s="59">
        <f t="shared" si="20"/>
        <v>32</v>
      </c>
      <c r="B2093" s="59" t="str">
        <f t="shared" si="21"/>
        <v/>
      </c>
      <c r="C2093" s="59" t="str">
        <f t="shared" si="22"/>
        <v/>
      </c>
      <c r="D2093" s="45" t="str">
        <f t="shared" si="23"/>
        <v/>
      </c>
      <c r="E2093" s="45" t="str">
        <f t="shared" si="24"/>
        <v/>
      </c>
      <c r="F2093" s="59" t="str">
        <f t="shared" si="25"/>
        <v/>
      </c>
      <c r="G2093" s="59" t="str">
        <f t="shared" si="26"/>
        <v/>
      </c>
      <c r="H2093" s="59" t="str">
        <f t="shared" si="27"/>
        <v>19H09482</v>
      </c>
      <c r="I2093" s="59" t="str">
        <f>IF(OR($A2093="",$C2093="",$D2093="",$E2093="",$H2093=""),"",SUMIFS(DATA_GOC!$H:$H,DATA_GOC!$A:$A,"BOM",DATA_GOC!$D:$D,$H2093,DATA_GOC!$E:$E,$C2093,DATA_GOC!$F:$F,"Xuất nội bộ từ téc",DATA_GOC!$B:$B,"&gt;="&amp;$D2093,DATA_GOC!$B:$B,"&lt;="&amp;$E2093))</f>
        <v/>
      </c>
      <c r="J2093" s="59">
        <f t="shared" si="28"/>
        <v>0</v>
      </c>
      <c r="K2093" s="59">
        <f t="shared" si="29"/>
        <v>0</v>
      </c>
      <c r="L2093" s="59">
        <f t="shared" si="30"/>
        <v>0</v>
      </c>
      <c r="M2093" s="59">
        <f t="shared" si="31"/>
        <v>0</v>
      </c>
    </row>
    <row r="2094" ht="15.0" hidden="1" customHeight="1">
      <c r="A2094" s="59">
        <f t="shared" si="20"/>
        <v>32</v>
      </c>
      <c r="B2094" s="59" t="str">
        <f t="shared" si="21"/>
        <v/>
      </c>
      <c r="C2094" s="59" t="str">
        <f t="shared" si="22"/>
        <v/>
      </c>
      <c r="D2094" s="45" t="str">
        <f t="shared" si="23"/>
        <v/>
      </c>
      <c r="E2094" s="45" t="str">
        <f t="shared" si="24"/>
        <v/>
      </c>
      <c r="F2094" s="59" t="str">
        <f t="shared" si="25"/>
        <v/>
      </c>
      <c r="G2094" s="59" t="str">
        <f t="shared" si="26"/>
        <v/>
      </c>
      <c r="H2094" s="59" t="str">
        <f t="shared" si="27"/>
        <v>28A30696</v>
      </c>
      <c r="I2094" s="59" t="str">
        <f>IF(OR($A2094="",$C2094="",$D2094="",$E2094="",$H2094=""),"",SUMIFS(DATA_GOC!$H:$H,DATA_GOC!$A:$A,"BOM",DATA_GOC!$D:$D,$H2094,DATA_GOC!$E:$E,$C2094,DATA_GOC!$F:$F,"Xuất nội bộ từ téc",DATA_GOC!$B:$B,"&gt;="&amp;$D2094,DATA_GOC!$B:$B,"&lt;="&amp;$E2094))</f>
        <v/>
      </c>
      <c r="J2094" s="59">
        <f t="shared" si="28"/>
        <v>0</v>
      </c>
      <c r="K2094" s="59">
        <f t="shared" si="29"/>
        <v>0</v>
      </c>
      <c r="L2094" s="59">
        <f t="shared" si="30"/>
        <v>0</v>
      </c>
      <c r="M2094" s="59">
        <f t="shared" si="31"/>
        <v>0</v>
      </c>
    </row>
    <row r="2095" ht="15.0" hidden="1" customHeight="1">
      <c r="A2095" s="59">
        <f t="shared" si="20"/>
        <v>32</v>
      </c>
      <c r="B2095" s="59" t="str">
        <f t="shared" si="21"/>
        <v/>
      </c>
      <c r="C2095" s="59" t="str">
        <f t="shared" si="22"/>
        <v/>
      </c>
      <c r="D2095" s="45" t="str">
        <f t="shared" si="23"/>
        <v/>
      </c>
      <c r="E2095" s="45" t="str">
        <f t="shared" si="24"/>
        <v/>
      </c>
      <c r="F2095" s="59" t="str">
        <f t="shared" si="25"/>
        <v/>
      </c>
      <c r="G2095" s="59" t="str">
        <f t="shared" si="26"/>
        <v/>
      </c>
      <c r="H2095" s="59" t="str">
        <f t="shared" si="27"/>
        <v>28C00462</v>
      </c>
      <c r="I2095" s="59" t="str">
        <f>IF(OR($A2095="",$C2095="",$D2095="",$E2095="",$H2095=""),"",SUMIFS(DATA_GOC!$H:$H,DATA_GOC!$A:$A,"BOM",DATA_GOC!$D:$D,$H2095,DATA_GOC!$E:$E,$C2095,DATA_GOC!$F:$F,"Xuất nội bộ từ téc",DATA_GOC!$B:$B,"&gt;="&amp;$D2095,DATA_GOC!$B:$B,"&lt;="&amp;$E2095))</f>
        <v/>
      </c>
      <c r="J2095" s="59">
        <f t="shared" si="28"/>
        <v>0</v>
      </c>
      <c r="K2095" s="59">
        <f t="shared" si="29"/>
        <v>0</v>
      </c>
      <c r="L2095" s="59">
        <f t="shared" si="30"/>
        <v>0</v>
      </c>
      <c r="M2095" s="59">
        <f t="shared" si="31"/>
        <v>0</v>
      </c>
    </row>
    <row r="2096" ht="15.0" hidden="1" customHeight="1">
      <c r="A2096" s="59">
        <f t="shared" si="20"/>
        <v>32</v>
      </c>
      <c r="B2096" s="59" t="str">
        <f t="shared" si="21"/>
        <v/>
      </c>
      <c r="C2096" s="59" t="str">
        <f t="shared" si="22"/>
        <v/>
      </c>
      <c r="D2096" s="45" t="str">
        <f t="shared" si="23"/>
        <v/>
      </c>
      <c r="E2096" s="45" t="str">
        <f t="shared" si="24"/>
        <v/>
      </c>
      <c r="F2096" s="59" t="str">
        <f t="shared" si="25"/>
        <v/>
      </c>
      <c r="G2096" s="59" t="str">
        <f t="shared" si="26"/>
        <v/>
      </c>
      <c r="H2096" s="59" t="str">
        <f t="shared" si="27"/>
        <v>28C01165</v>
      </c>
      <c r="I2096" s="59" t="str">
        <f>IF(OR($A2096="",$C2096="",$D2096="",$E2096="",$H2096=""),"",SUMIFS(DATA_GOC!$H:$H,DATA_GOC!$A:$A,"BOM",DATA_GOC!$D:$D,$H2096,DATA_GOC!$E:$E,$C2096,DATA_GOC!$F:$F,"Xuất nội bộ từ téc",DATA_GOC!$B:$B,"&gt;="&amp;$D2096,DATA_GOC!$B:$B,"&lt;="&amp;$E2096))</f>
        <v/>
      </c>
      <c r="J2096" s="59">
        <f t="shared" si="28"/>
        <v>0</v>
      </c>
      <c r="K2096" s="59">
        <f t="shared" si="29"/>
        <v>0</v>
      </c>
      <c r="L2096" s="59">
        <f t="shared" si="30"/>
        <v>0</v>
      </c>
      <c r="M2096" s="59">
        <f t="shared" si="31"/>
        <v>0</v>
      </c>
    </row>
    <row r="2097" ht="15.0" hidden="1" customHeight="1">
      <c r="A2097" s="59">
        <f t="shared" si="20"/>
        <v>32</v>
      </c>
      <c r="B2097" s="59" t="str">
        <f t="shared" si="21"/>
        <v/>
      </c>
      <c r="C2097" s="59" t="str">
        <f t="shared" si="22"/>
        <v/>
      </c>
      <c r="D2097" s="45" t="str">
        <f t="shared" si="23"/>
        <v/>
      </c>
      <c r="E2097" s="45" t="str">
        <f t="shared" si="24"/>
        <v/>
      </c>
      <c r="F2097" s="59" t="str">
        <f t="shared" si="25"/>
        <v/>
      </c>
      <c r="G2097" s="59" t="str">
        <f t="shared" si="26"/>
        <v/>
      </c>
      <c r="H2097" s="59" t="str">
        <f t="shared" si="27"/>
        <v>28C01406</v>
      </c>
      <c r="I2097" s="59" t="str">
        <f>IF(OR($A2097="",$C2097="",$D2097="",$E2097="",$H2097=""),"",SUMIFS(DATA_GOC!$H:$H,DATA_GOC!$A:$A,"BOM",DATA_GOC!$D:$D,$H2097,DATA_GOC!$E:$E,$C2097,DATA_GOC!$F:$F,"Xuất nội bộ từ téc",DATA_GOC!$B:$B,"&gt;="&amp;$D2097,DATA_GOC!$B:$B,"&lt;="&amp;$E2097))</f>
        <v/>
      </c>
      <c r="J2097" s="59">
        <f t="shared" si="28"/>
        <v>0</v>
      </c>
      <c r="K2097" s="59">
        <f t="shared" si="29"/>
        <v>0</v>
      </c>
      <c r="L2097" s="59">
        <f t="shared" si="30"/>
        <v>0</v>
      </c>
      <c r="M2097" s="59">
        <f t="shared" si="31"/>
        <v>0</v>
      </c>
    </row>
    <row r="2098" ht="15.0" hidden="1" customHeight="1">
      <c r="A2098" s="59">
        <f t="shared" si="20"/>
        <v>32</v>
      </c>
      <c r="B2098" s="59" t="str">
        <f t="shared" si="21"/>
        <v/>
      </c>
      <c r="C2098" s="59" t="str">
        <f t="shared" si="22"/>
        <v/>
      </c>
      <c r="D2098" s="45" t="str">
        <f t="shared" si="23"/>
        <v/>
      </c>
      <c r="E2098" s="45" t="str">
        <f t="shared" si="24"/>
        <v/>
      </c>
      <c r="F2098" s="59" t="str">
        <f t="shared" si="25"/>
        <v/>
      </c>
      <c r="G2098" s="59" t="str">
        <f t="shared" si="26"/>
        <v/>
      </c>
      <c r="H2098" s="59" t="str">
        <f t="shared" si="27"/>
        <v>28C01544</v>
      </c>
      <c r="I2098" s="59" t="str">
        <f>IF(OR($A2098="",$C2098="",$D2098="",$E2098="",$H2098=""),"",SUMIFS(DATA_GOC!$H:$H,DATA_GOC!$A:$A,"BOM",DATA_GOC!$D:$D,$H2098,DATA_GOC!$E:$E,$C2098,DATA_GOC!$F:$F,"Xuất nội bộ từ téc",DATA_GOC!$B:$B,"&gt;="&amp;$D2098,DATA_GOC!$B:$B,"&lt;="&amp;$E2098))</f>
        <v/>
      </c>
      <c r="J2098" s="59">
        <f t="shared" si="28"/>
        <v>0</v>
      </c>
      <c r="K2098" s="59">
        <f t="shared" si="29"/>
        <v>0</v>
      </c>
      <c r="L2098" s="59">
        <f t="shared" si="30"/>
        <v>0</v>
      </c>
      <c r="M2098" s="59">
        <f t="shared" si="31"/>
        <v>0</v>
      </c>
    </row>
    <row r="2099" ht="15.0" hidden="1" customHeight="1">
      <c r="A2099" s="59">
        <f t="shared" si="20"/>
        <v>32</v>
      </c>
      <c r="B2099" s="59" t="str">
        <f t="shared" si="21"/>
        <v/>
      </c>
      <c r="C2099" s="59" t="str">
        <f t="shared" si="22"/>
        <v/>
      </c>
      <c r="D2099" s="45" t="str">
        <f t="shared" si="23"/>
        <v/>
      </c>
      <c r="E2099" s="45" t="str">
        <f t="shared" si="24"/>
        <v/>
      </c>
      <c r="F2099" s="59" t="str">
        <f t="shared" si="25"/>
        <v/>
      </c>
      <c r="G2099" s="59" t="str">
        <f t="shared" si="26"/>
        <v/>
      </c>
      <c r="H2099" s="59" t="str">
        <f t="shared" si="27"/>
        <v>28C01622</v>
      </c>
      <c r="I2099" s="59" t="str">
        <f>IF(OR($A2099="",$C2099="",$D2099="",$E2099="",$H2099=""),"",SUMIFS(DATA_GOC!$H:$H,DATA_GOC!$A:$A,"BOM",DATA_GOC!$D:$D,$H2099,DATA_GOC!$E:$E,$C2099,DATA_GOC!$F:$F,"Xuất nội bộ từ téc",DATA_GOC!$B:$B,"&gt;="&amp;$D2099,DATA_GOC!$B:$B,"&lt;="&amp;$E2099))</f>
        <v/>
      </c>
      <c r="J2099" s="59">
        <f t="shared" si="28"/>
        <v>0</v>
      </c>
      <c r="K2099" s="59">
        <f t="shared" si="29"/>
        <v>0</v>
      </c>
      <c r="L2099" s="59">
        <f t="shared" si="30"/>
        <v>0</v>
      </c>
      <c r="M2099" s="59">
        <f t="shared" si="31"/>
        <v>0</v>
      </c>
    </row>
    <row r="2100" ht="15.0" hidden="1" customHeight="1">
      <c r="A2100" s="59">
        <f t="shared" si="20"/>
        <v>32</v>
      </c>
      <c r="B2100" s="59" t="str">
        <f t="shared" si="21"/>
        <v/>
      </c>
      <c r="C2100" s="59" t="str">
        <f t="shared" si="22"/>
        <v/>
      </c>
      <c r="D2100" s="45" t="str">
        <f t="shared" si="23"/>
        <v/>
      </c>
      <c r="E2100" s="45" t="str">
        <f t="shared" si="24"/>
        <v/>
      </c>
      <c r="F2100" s="59" t="str">
        <f t="shared" si="25"/>
        <v/>
      </c>
      <c r="G2100" s="59" t="str">
        <f t="shared" si="26"/>
        <v/>
      </c>
      <c r="H2100" s="59" t="str">
        <f t="shared" si="27"/>
        <v>28C01647</v>
      </c>
      <c r="I2100" s="59" t="str">
        <f>IF(OR($A2100="",$C2100="",$D2100="",$E2100="",$H2100=""),"",SUMIFS(DATA_GOC!$H:$H,DATA_GOC!$A:$A,"BOM",DATA_GOC!$D:$D,$H2100,DATA_GOC!$E:$E,$C2100,DATA_GOC!$F:$F,"Xuất nội bộ từ téc",DATA_GOC!$B:$B,"&gt;="&amp;$D2100,DATA_GOC!$B:$B,"&lt;="&amp;$E2100))</f>
        <v/>
      </c>
      <c r="J2100" s="59">
        <f t="shared" si="28"/>
        <v>0</v>
      </c>
      <c r="K2100" s="59">
        <f t="shared" si="29"/>
        <v>0</v>
      </c>
      <c r="L2100" s="59">
        <f t="shared" si="30"/>
        <v>0</v>
      </c>
      <c r="M2100" s="59">
        <f t="shared" si="31"/>
        <v>0</v>
      </c>
    </row>
    <row r="2101" ht="15.0" hidden="1" customHeight="1">
      <c r="A2101" s="59">
        <f t="shared" si="20"/>
        <v>32</v>
      </c>
      <c r="B2101" s="59" t="str">
        <f t="shared" si="21"/>
        <v/>
      </c>
      <c r="C2101" s="59" t="str">
        <f t="shared" si="22"/>
        <v/>
      </c>
      <c r="D2101" s="45" t="str">
        <f t="shared" si="23"/>
        <v/>
      </c>
      <c r="E2101" s="45" t="str">
        <f t="shared" si="24"/>
        <v/>
      </c>
      <c r="F2101" s="59" t="str">
        <f t="shared" si="25"/>
        <v/>
      </c>
      <c r="G2101" s="59" t="str">
        <f t="shared" si="26"/>
        <v/>
      </c>
      <c r="H2101" s="59" t="str">
        <f t="shared" si="27"/>
        <v>28C01731</v>
      </c>
      <c r="I2101" s="59" t="str">
        <f>IF(OR($A2101="",$C2101="",$D2101="",$E2101="",$H2101=""),"",SUMIFS(DATA_GOC!$H:$H,DATA_GOC!$A:$A,"BOM",DATA_GOC!$D:$D,$H2101,DATA_GOC!$E:$E,$C2101,DATA_GOC!$F:$F,"Xuất nội bộ từ téc",DATA_GOC!$B:$B,"&gt;="&amp;$D2101,DATA_GOC!$B:$B,"&lt;="&amp;$E2101))</f>
        <v/>
      </c>
      <c r="J2101" s="59">
        <f t="shared" si="28"/>
        <v>0</v>
      </c>
      <c r="K2101" s="59">
        <f t="shared" si="29"/>
        <v>0</v>
      </c>
      <c r="L2101" s="59">
        <f t="shared" si="30"/>
        <v>0</v>
      </c>
      <c r="M2101" s="59">
        <f t="shared" si="31"/>
        <v>0</v>
      </c>
    </row>
    <row r="2102" ht="15.0" hidden="1" customHeight="1">
      <c r="A2102" s="59">
        <f t="shared" si="20"/>
        <v>32</v>
      </c>
      <c r="B2102" s="59" t="str">
        <f t="shared" si="21"/>
        <v/>
      </c>
      <c r="C2102" s="59" t="str">
        <f t="shared" si="22"/>
        <v/>
      </c>
      <c r="D2102" s="45" t="str">
        <f t="shared" si="23"/>
        <v/>
      </c>
      <c r="E2102" s="45" t="str">
        <f t="shared" si="24"/>
        <v/>
      </c>
      <c r="F2102" s="59" t="str">
        <f t="shared" si="25"/>
        <v/>
      </c>
      <c r="G2102" s="59" t="str">
        <f t="shared" si="26"/>
        <v/>
      </c>
      <c r="H2102" s="59" t="str">
        <f t="shared" si="27"/>
        <v>28C01743</v>
      </c>
      <c r="I2102" s="59" t="str">
        <f>IF(OR($A2102="",$C2102="",$D2102="",$E2102="",$H2102=""),"",SUMIFS(DATA_GOC!$H:$H,DATA_GOC!$A:$A,"BOM",DATA_GOC!$D:$D,$H2102,DATA_GOC!$E:$E,$C2102,DATA_GOC!$F:$F,"Xuất nội bộ từ téc",DATA_GOC!$B:$B,"&gt;="&amp;$D2102,DATA_GOC!$B:$B,"&lt;="&amp;$E2102))</f>
        <v/>
      </c>
      <c r="J2102" s="59">
        <f t="shared" si="28"/>
        <v>0</v>
      </c>
      <c r="K2102" s="59">
        <f t="shared" si="29"/>
        <v>0</v>
      </c>
      <c r="L2102" s="59">
        <f t="shared" si="30"/>
        <v>0</v>
      </c>
      <c r="M2102" s="59">
        <f t="shared" si="31"/>
        <v>0</v>
      </c>
    </row>
    <row r="2103" ht="15.0" hidden="1" customHeight="1">
      <c r="A2103" s="59">
        <f t="shared" si="20"/>
        <v>32</v>
      </c>
      <c r="B2103" s="59" t="str">
        <f t="shared" si="21"/>
        <v/>
      </c>
      <c r="C2103" s="59" t="str">
        <f t="shared" si="22"/>
        <v/>
      </c>
      <c r="D2103" s="45" t="str">
        <f t="shared" si="23"/>
        <v/>
      </c>
      <c r="E2103" s="45" t="str">
        <f t="shared" si="24"/>
        <v/>
      </c>
      <c r="F2103" s="59" t="str">
        <f t="shared" si="25"/>
        <v/>
      </c>
      <c r="G2103" s="59" t="str">
        <f t="shared" si="26"/>
        <v/>
      </c>
      <c r="H2103" s="59" t="str">
        <f t="shared" si="27"/>
        <v>28C02106</v>
      </c>
      <c r="I2103" s="59" t="str">
        <f>IF(OR($A2103="",$C2103="",$D2103="",$E2103="",$H2103=""),"",SUMIFS(DATA_GOC!$H:$H,DATA_GOC!$A:$A,"BOM",DATA_GOC!$D:$D,$H2103,DATA_GOC!$E:$E,$C2103,DATA_GOC!$F:$F,"Xuất nội bộ từ téc",DATA_GOC!$B:$B,"&gt;="&amp;$D2103,DATA_GOC!$B:$B,"&lt;="&amp;$E2103))</f>
        <v/>
      </c>
      <c r="J2103" s="59">
        <f t="shared" si="28"/>
        <v>0</v>
      </c>
      <c r="K2103" s="59">
        <f t="shared" si="29"/>
        <v>0</v>
      </c>
      <c r="L2103" s="59">
        <f t="shared" si="30"/>
        <v>0</v>
      </c>
      <c r="M2103" s="59">
        <f t="shared" si="31"/>
        <v>0</v>
      </c>
    </row>
    <row r="2104" ht="15.0" hidden="1" customHeight="1">
      <c r="A2104" s="59">
        <f t="shared" si="20"/>
        <v>32</v>
      </c>
      <c r="B2104" s="59" t="str">
        <f t="shared" si="21"/>
        <v/>
      </c>
      <c r="C2104" s="59" t="str">
        <f t="shared" si="22"/>
        <v/>
      </c>
      <c r="D2104" s="45" t="str">
        <f t="shared" si="23"/>
        <v/>
      </c>
      <c r="E2104" s="45" t="str">
        <f t="shared" si="24"/>
        <v/>
      </c>
      <c r="F2104" s="59" t="str">
        <f t="shared" si="25"/>
        <v/>
      </c>
      <c r="G2104" s="59" t="str">
        <f t="shared" si="26"/>
        <v/>
      </c>
      <c r="H2104" s="59" t="str">
        <f t="shared" si="27"/>
        <v>28C02410</v>
      </c>
      <c r="I2104" s="59" t="str">
        <f>IF(OR($A2104="",$C2104="",$D2104="",$E2104="",$H2104=""),"",SUMIFS(DATA_GOC!$H:$H,DATA_GOC!$A:$A,"BOM",DATA_GOC!$D:$D,$H2104,DATA_GOC!$E:$E,$C2104,DATA_GOC!$F:$F,"Xuất nội bộ từ téc",DATA_GOC!$B:$B,"&gt;="&amp;$D2104,DATA_GOC!$B:$B,"&lt;="&amp;$E2104))</f>
        <v/>
      </c>
      <c r="J2104" s="59">
        <f t="shared" si="28"/>
        <v>0</v>
      </c>
      <c r="K2104" s="59">
        <f t="shared" si="29"/>
        <v>0</v>
      </c>
      <c r="L2104" s="59">
        <f t="shared" si="30"/>
        <v>0</v>
      </c>
      <c r="M2104" s="59">
        <f t="shared" si="31"/>
        <v>0</v>
      </c>
    </row>
    <row r="2105" ht="15.0" hidden="1" customHeight="1">
      <c r="A2105" s="59">
        <f t="shared" si="20"/>
        <v>32</v>
      </c>
      <c r="B2105" s="59" t="str">
        <f t="shared" si="21"/>
        <v/>
      </c>
      <c r="C2105" s="59" t="str">
        <f t="shared" si="22"/>
        <v/>
      </c>
      <c r="D2105" s="45" t="str">
        <f t="shared" si="23"/>
        <v/>
      </c>
      <c r="E2105" s="45" t="str">
        <f t="shared" si="24"/>
        <v/>
      </c>
      <c r="F2105" s="59" t="str">
        <f t="shared" si="25"/>
        <v/>
      </c>
      <c r="G2105" s="59" t="str">
        <f t="shared" si="26"/>
        <v/>
      </c>
      <c r="H2105" s="59" t="str">
        <f t="shared" si="27"/>
        <v>28C02545</v>
      </c>
      <c r="I2105" s="59" t="str">
        <f>IF(OR($A2105="",$C2105="",$D2105="",$E2105="",$H2105=""),"",SUMIFS(DATA_GOC!$H:$H,DATA_GOC!$A:$A,"BOM",DATA_GOC!$D:$D,$H2105,DATA_GOC!$E:$E,$C2105,DATA_GOC!$F:$F,"Xuất nội bộ từ téc",DATA_GOC!$B:$B,"&gt;="&amp;$D2105,DATA_GOC!$B:$B,"&lt;="&amp;$E2105))</f>
        <v/>
      </c>
      <c r="J2105" s="59">
        <f t="shared" si="28"/>
        <v>0</v>
      </c>
      <c r="K2105" s="59">
        <f t="shared" si="29"/>
        <v>0</v>
      </c>
      <c r="L2105" s="59">
        <f t="shared" si="30"/>
        <v>0</v>
      </c>
      <c r="M2105" s="59">
        <f t="shared" si="31"/>
        <v>0</v>
      </c>
    </row>
    <row r="2106" ht="15.0" hidden="1" customHeight="1">
      <c r="A2106" s="59">
        <f t="shared" si="20"/>
        <v>32</v>
      </c>
      <c r="B2106" s="59" t="str">
        <f t="shared" si="21"/>
        <v/>
      </c>
      <c r="C2106" s="59" t="str">
        <f t="shared" si="22"/>
        <v/>
      </c>
      <c r="D2106" s="45" t="str">
        <f t="shared" si="23"/>
        <v/>
      </c>
      <c r="E2106" s="45" t="str">
        <f t="shared" si="24"/>
        <v/>
      </c>
      <c r="F2106" s="59" t="str">
        <f t="shared" si="25"/>
        <v/>
      </c>
      <c r="G2106" s="59" t="str">
        <f t="shared" si="26"/>
        <v/>
      </c>
      <c r="H2106" s="59" t="str">
        <f t="shared" si="27"/>
        <v>28C02574</v>
      </c>
      <c r="I2106" s="59" t="str">
        <f>IF(OR($A2106="",$C2106="",$D2106="",$E2106="",$H2106=""),"",SUMIFS(DATA_GOC!$H:$H,DATA_GOC!$A:$A,"BOM",DATA_GOC!$D:$D,$H2106,DATA_GOC!$E:$E,$C2106,DATA_GOC!$F:$F,"Xuất nội bộ từ téc",DATA_GOC!$B:$B,"&gt;="&amp;$D2106,DATA_GOC!$B:$B,"&lt;="&amp;$E2106))</f>
        <v/>
      </c>
      <c r="J2106" s="59">
        <f t="shared" si="28"/>
        <v>0</v>
      </c>
      <c r="K2106" s="59">
        <f t="shared" si="29"/>
        <v>0</v>
      </c>
      <c r="L2106" s="59">
        <f t="shared" si="30"/>
        <v>0</v>
      </c>
      <c r="M2106" s="59">
        <f t="shared" si="31"/>
        <v>0</v>
      </c>
    </row>
    <row r="2107" ht="15.0" hidden="1" customHeight="1">
      <c r="A2107" s="59">
        <f t="shared" si="20"/>
        <v>32</v>
      </c>
      <c r="B2107" s="59" t="str">
        <f t="shared" si="21"/>
        <v/>
      </c>
      <c r="C2107" s="59" t="str">
        <f t="shared" si="22"/>
        <v/>
      </c>
      <c r="D2107" s="45" t="str">
        <f t="shared" si="23"/>
        <v/>
      </c>
      <c r="E2107" s="45" t="str">
        <f t="shared" si="24"/>
        <v/>
      </c>
      <c r="F2107" s="59" t="str">
        <f t="shared" si="25"/>
        <v/>
      </c>
      <c r="G2107" s="59" t="str">
        <f t="shared" si="26"/>
        <v/>
      </c>
      <c r="H2107" s="59" t="str">
        <f t="shared" si="27"/>
        <v>28C02770</v>
      </c>
      <c r="I2107" s="59" t="str">
        <f>IF(OR($A2107="",$C2107="",$D2107="",$E2107="",$H2107=""),"",SUMIFS(DATA_GOC!$H:$H,DATA_GOC!$A:$A,"BOM",DATA_GOC!$D:$D,$H2107,DATA_GOC!$E:$E,$C2107,DATA_GOC!$F:$F,"Xuất nội bộ từ téc",DATA_GOC!$B:$B,"&gt;="&amp;$D2107,DATA_GOC!$B:$B,"&lt;="&amp;$E2107))</f>
        <v/>
      </c>
      <c r="J2107" s="59">
        <f t="shared" si="28"/>
        <v>0</v>
      </c>
      <c r="K2107" s="59">
        <f t="shared" si="29"/>
        <v>0</v>
      </c>
      <c r="L2107" s="59">
        <f t="shared" si="30"/>
        <v>0</v>
      </c>
      <c r="M2107" s="59">
        <f t="shared" si="31"/>
        <v>0</v>
      </c>
    </row>
    <row r="2108" ht="15.0" hidden="1" customHeight="1">
      <c r="A2108" s="59">
        <f t="shared" si="20"/>
        <v>32</v>
      </c>
      <c r="B2108" s="59" t="str">
        <f t="shared" si="21"/>
        <v/>
      </c>
      <c r="C2108" s="59" t="str">
        <f t="shared" si="22"/>
        <v/>
      </c>
      <c r="D2108" s="45" t="str">
        <f t="shared" si="23"/>
        <v/>
      </c>
      <c r="E2108" s="45" t="str">
        <f t="shared" si="24"/>
        <v/>
      </c>
      <c r="F2108" s="59" t="str">
        <f t="shared" si="25"/>
        <v/>
      </c>
      <c r="G2108" s="59" t="str">
        <f t="shared" si="26"/>
        <v/>
      </c>
      <c r="H2108" s="59" t="str">
        <f t="shared" si="27"/>
        <v>28C02986</v>
      </c>
      <c r="I2108" s="59" t="str">
        <f>IF(OR($A2108="",$C2108="",$D2108="",$E2108="",$H2108=""),"",SUMIFS(DATA_GOC!$H:$H,DATA_GOC!$A:$A,"BOM",DATA_GOC!$D:$D,$H2108,DATA_GOC!$E:$E,$C2108,DATA_GOC!$F:$F,"Xuất nội bộ từ téc",DATA_GOC!$B:$B,"&gt;="&amp;$D2108,DATA_GOC!$B:$B,"&lt;="&amp;$E2108))</f>
        <v/>
      </c>
      <c r="J2108" s="59">
        <f t="shared" si="28"/>
        <v>0</v>
      </c>
      <c r="K2108" s="59">
        <f t="shared" si="29"/>
        <v>0</v>
      </c>
      <c r="L2108" s="59">
        <f t="shared" si="30"/>
        <v>0</v>
      </c>
      <c r="M2108" s="59">
        <f t="shared" si="31"/>
        <v>0</v>
      </c>
    </row>
    <row r="2109" ht="15.0" hidden="1" customHeight="1">
      <c r="A2109" s="59">
        <f t="shared" si="20"/>
        <v>32</v>
      </c>
      <c r="B2109" s="59" t="str">
        <f t="shared" si="21"/>
        <v/>
      </c>
      <c r="C2109" s="59" t="str">
        <f t="shared" si="22"/>
        <v/>
      </c>
      <c r="D2109" s="45" t="str">
        <f t="shared" si="23"/>
        <v/>
      </c>
      <c r="E2109" s="45" t="str">
        <f t="shared" si="24"/>
        <v/>
      </c>
      <c r="F2109" s="59" t="str">
        <f t="shared" si="25"/>
        <v/>
      </c>
      <c r="G2109" s="59" t="str">
        <f t="shared" si="26"/>
        <v/>
      </c>
      <c r="H2109" s="59" t="str">
        <f t="shared" si="27"/>
        <v>28C03261</v>
      </c>
      <c r="I2109" s="59" t="str">
        <f>IF(OR($A2109="",$C2109="",$D2109="",$E2109="",$H2109=""),"",SUMIFS(DATA_GOC!$H:$H,DATA_GOC!$A:$A,"BOM",DATA_GOC!$D:$D,$H2109,DATA_GOC!$E:$E,$C2109,DATA_GOC!$F:$F,"Xuất nội bộ từ téc",DATA_GOC!$B:$B,"&gt;="&amp;$D2109,DATA_GOC!$B:$B,"&lt;="&amp;$E2109))</f>
        <v/>
      </c>
      <c r="J2109" s="59">
        <f t="shared" si="28"/>
        <v>0</v>
      </c>
      <c r="K2109" s="59">
        <f t="shared" si="29"/>
        <v>0</v>
      </c>
      <c r="L2109" s="59">
        <f t="shared" si="30"/>
        <v>0</v>
      </c>
      <c r="M2109" s="59">
        <f t="shared" si="31"/>
        <v>0</v>
      </c>
    </row>
    <row r="2110" ht="15.0" hidden="1" customHeight="1">
      <c r="A2110" s="59">
        <f t="shared" si="20"/>
        <v>32</v>
      </c>
      <c r="B2110" s="59" t="str">
        <f t="shared" si="21"/>
        <v/>
      </c>
      <c r="C2110" s="59" t="str">
        <f t="shared" si="22"/>
        <v/>
      </c>
      <c r="D2110" s="45" t="str">
        <f t="shared" si="23"/>
        <v/>
      </c>
      <c r="E2110" s="45" t="str">
        <f t="shared" si="24"/>
        <v/>
      </c>
      <c r="F2110" s="59" t="str">
        <f t="shared" si="25"/>
        <v/>
      </c>
      <c r="G2110" s="59" t="str">
        <f t="shared" si="26"/>
        <v/>
      </c>
      <c r="H2110" s="59" t="str">
        <f t="shared" si="27"/>
        <v>28C03323</v>
      </c>
      <c r="I2110" s="59" t="str">
        <f>IF(OR($A2110="",$C2110="",$D2110="",$E2110="",$H2110=""),"",SUMIFS(DATA_GOC!$H:$H,DATA_GOC!$A:$A,"BOM",DATA_GOC!$D:$D,$H2110,DATA_GOC!$E:$E,$C2110,DATA_GOC!$F:$F,"Xuất nội bộ từ téc",DATA_GOC!$B:$B,"&gt;="&amp;$D2110,DATA_GOC!$B:$B,"&lt;="&amp;$E2110))</f>
        <v/>
      </c>
      <c r="J2110" s="59">
        <f t="shared" si="28"/>
        <v>0</v>
      </c>
      <c r="K2110" s="59">
        <f t="shared" si="29"/>
        <v>0</v>
      </c>
      <c r="L2110" s="59">
        <f t="shared" si="30"/>
        <v>0</v>
      </c>
      <c r="M2110" s="59">
        <f t="shared" si="31"/>
        <v>0</v>
      </c>
    </row>
    <row r="2111" ht="15.0" hidden="1" customHeight="1">
      <c r="A2111" s="59">
        <f t="shared" si="20"/>
        <v>32</v>
      </c>
      <c r="B2111" s="59" t="str">
        <f t="shared" si="21"/>
        <v/>
      </c>
      <c r="C2111" s="59" t="str">
        <f t="shared" si="22"/>
        <v/>
      </c>
      <c r="D2111" s="45" t="str">
        <f t="shared" si="23"/>
        <v/>
      </c>
      <c r="E2111" s="45" t="str">
        <f t="shared" si="24"/>
        <v/>
      </c>
      <c r="F2111" s="59" t="str">
        <f t="shared" si="25"/>
        <v/>
      </c>
      <c r="G2111" s="59" t="str">
        <f t="shared" si="26"/>
        <v/>
      </c>
      <c r="H2111" s="59" t="str">
        <f t="shared" si="27"/>
        <v>28C03385</v>
      </c>
      <c r="I2111" s="59" t="str">
        <f>IF(OR($A2111="",$C2111="",$D2111="",$E2111="",$H2111=""),"",SUMIFS(DATA_GOC!$H:$H,DATA_GOC!$A:$A,"BOM",DATA_GOC!$D:$D,$H2111,DATA_GOC!$E:$E,$C2111,DATA_GOC!$F:$F,"Xuất nội bộ từ téc",DATA_GOC!$B:$B,"&gt;="&amp;$D2111,DATA_GOC!$B:$B,"&lt;="&amp;$E2111))</f>
        <v/>
      </c>
      <c r="J2111" s="59">
        <f t="shared" si="28"/>
        <v>0</v>
      </c>
      <c r="K2111" s="59">
        <f t="shared" si="29"/>
        <v>0</v>
      </c>
      <c r="L2111" s="59">
        <f t="shared" si="30"/>
        <v>0</v>
      </c>
      <c r="M2111" s="59">
        <f t="shared" si="31"/>
        <v>0</v>
      </c>
    </row>
    <row r="2112" ht="15.0" hidden="1" customHeight="1">
      <c r="A2112" s="59">
        <f t="shared" si="20"/>
        <v>32</v>
      </c>
      <c r="B2112" s="59" t="str">
        <f t="shared" si="21"/>
        <v/>
      </c>
      <c r="C2112" s="59" t="str">
        <f t="shared" si="22"/>
        <v/>
      </c>
      <c r="D2112" s="45" t="str">
        <f t="shared" si="23"/>
        <v/>
      </c>
      <c r="E2112" s="45" t="str">
        <f t="shared" si="24"/>
        <v/>
      </c>
      <c r="F2112" s="59" t="str">
        <f t="shared" si="25"/>
        <v/>
      </c>
      <c r="G2112" s="59" t="str">
        <f t="shared" si="26"/>
        <v/>
      </c>
      <c r="H2112" s="59" t="str">
        <f t="shared" si="27"/>
        <v>28C03652</v>
      </c>
      <c r="I2112" s="59" t="str">
        <f>IF(OR($A2112="",$C2112="",$D2112="",$E2112="",$H2112=""),"",SUMIFS(DATA_GOC!$H:$H,DATA_GOC!$A:$A,"BOM",DATA_GOC!$D:$D,$H2112,DATA_GOC!$E:$E,$C2112,DATA_GOC!$F:$F,"Xuất nội bộ từ téc",DATA_GOC!$B:$B,"&gt;="&amp;$D2112,DATA_GOC!$B:$B,"&lt;="&amp;$E2112))</f>
        <v/>
      </c>
      <c r="J2112" s="59">
        <f t="shared" si="28"/>
        <v>0</v>
      </c>
      <c r="K2112" s="59">
        <f t="shared" si="29"/>
        <v>0</v>
      </c>
      <c r="L2112" s="59">
        <f t="shared" si="30"/>
        <v>0</v>
      </c>
      <c r="M2112" s="59">
        <f t="shared" si="31"/>
        <v>0</v>
      </c>
    </row>
    <row r="2113" ht="15.0" hidden="1" customHeight="1">
      <c r="A2113" s="59">
        <f t="shared" si="20"/>
        <v>32</v>
      </c>
      <c r="B2113" s="59" t="str">
        <f t="shared" si="21"/>
        <v/>
      </c>
      <c r="C2113" s="59" t="str">
        <f t="shared" si="22"/>
        <v/>
      </c>
      <c r="D2113" s="45" t="str">
        <f t="shared" si="23"/>
        <v/>
      </c>
      <c r="E2113" s="45" t="str">
        <f t="shared" si="24"/>
        <v/>
      </c>
      <c r="F2113" s="59" t="str">
        <f t="shared" si="25"/>
        <v/>
      </c>
      <c r="G2113" s="59" t="str">
        <f t="shared" si="26"/>
        <v/>
      </c>
      <c r="H2113" s="59" t="str">
        <f t="shared" si="27"/>
        <v>28C03695</v>
      </c>
      <c r="I2113" s="59" t="str">
        <f>IF(OR($A2113="",$C2113="",$D2113="",$E2113="",$H2113=""),"",SUMIFS(DATA_GOC!$H:$H,DATA_GOC!$A:$A,"BOM",DATA_GOC!$D:$D,$H2113,DATA_GOC!$E:$E,$C2113,DATA_GOC!$F:$F,"Xuất nội bộ từ téc",DATA_GOC!$B:$B,"&gt;="&amp;$D2113,DATA_GOC!$B:$B,"&lt;="&amp;$E2113))</f>
        <v/>
      </c>
      <c r="J2113" s="59">
        <f t="shared" si="28"/>
        <v>0</v>
      </c>
      <c r="K2113" s="59">
        <f t="shared" si="29"/>
        <v>0</v>
      </c>
      <c r="L2113" s="59">
        <f t="shared" si="30"/>
        <v>0</v>
      </c>
      <c r="M2113" s="59">
        <f t="shared" si="31"/>
        <v>0</v>
      </c>
    </row>
    <row r="2114" ht="15.0" hidden="1" customHeight="1">
      <c r="A2114" s="59">
        <f t="shared" si="20"/>
        <v>32</v>
      </c>
      <c r="B2114" s="59" t="str">
        <f t="shared" si="21"/>
        <v/>
      </c>
      <c r="C2114" s="59" t="str">
        <f t="shared" si="22"/>
        <v/>
      </c>
      <c r="D2114" s="45" t="str">
        <f t="shared" si="23"/>
        <v/>
      </c>
      <c r="E2114" s="45" t="str">
        <f t="shared" si="24"/>
        <v/>
      </c>
      <c r="F2114" s="59" t="str">
        <f t="shared" si="25"/>
        <v/>
      </c>
      <c r="G2114" s="59" t="str">
        <f t="shared" si="26"/>
        <v/>
      </c>
      <c r="H2114" s="59" t="str">
        <f t="shared" si="27"/>
        <v>28C03927</v>
      </c>
      <c r="I2114" s="59" t="str">
        <f>IF(OR($A2114="",$C2114="",$D2114="",$E2114="",$H2114=""),"",SUMIFS(DATA_GOC!$H:$H,DATA_GOC!$A:$A,"BOM",DATA_GOC!$D:$D,$H2114,DATA_GOC!$E:$E,$C2114,DATA_GOC!$F:$F,"Xuất nội bộ từ téc",DATA_GOC!$B:$B,"&gt;="&amp;$D2114,DATA_GOC!$B:$B,"&lt;="&amp;$E2114))</f>
        <v/>
      </c>
      <c r="J2114" s="59">
        <f t="shared" si="28"/>
        <v>0</v>
      </c>
      <c r="K2114" s="59">
        <f t="shared" si="29"/>
        <v>0</v>
      </c>
      <c r="L2114" s="59">
        <f t="shared" si="30"/>
        <v>0</v>
      </c>
      <c r="M2114" s="59">
        <f t="shared" si="31"/>
        <v>0</v>
      </c>
    </row>
    <row r="2115" ht="15.0" hidden="1" customHeight="1">
      <c r="A2115" s="59">
        <f t="shared" si="20"/>
        <v>32</v>
      </c>
      <c r="B2115" s="59" t="str">
        <f t="shared" si="21"/>
        <v/>
      </c>
      <c r="C2115" s="59" t="str">
        <f t="shared" si="22"/>
        <v/>
      </c>
      <c r="D2115" s="45" t="str">
        <f t="shared" si="23"/>
        <v/>
      </c>
      <c r="E2115" s="45" t="str">
        <f t="shared" si="24"/>
        <v/>
      </c>
      <c r="F2115" s="59" t="str">
        <f t="shared" si="25"/>
        <v/>
      </c>
      <c r="G2115" s="59" t="str">
        <f t="shared" si="26"/>
        <v/>
      </c>
      <c r="H2115" s="59" t="str">
        <f t="shared" si="27"/>
        <v>28C04509</v>
      </c>
      <c r="I2115" s="59" t="str">
        <f>IF(OR($A2115="",$C2115="",$D2115="",$E2115="",$H2115=""),"",SUMIFS(DATA_GOC!$H:$H,DATA_GOC!$A:$A,"BOM",DATA_GOC!$D:$D,$H2115,DATA_GOC!$E:$E,$C2115,DATA_GOC!$F:$F,"Xuất nội bộ từ téc",DATA_GOC!$B:$B,"&gt;="&amp;$D2115,DATA_GOC!$B:$B,"&lt;="&amp;$E2115))</f>
        <v/>
      </c>
      <c r="J2115" s="59">
        <f t="shared" si="28"/>
        <v>0</v>
      </c>
      <c r="K2115" s="59">
        <f t="shared" si="29"/>
        <v>0</v>
      </c>
      <c r="L2115" s="59">
        <f t="shared" si="30"/>
        <v>0</v>
      </c>
      <c r="M2115" s="59">
        <f t="shared" si="31"/>
        <v>0</v>
      </c>
    </row>
    <row r="2116" ht="15.0" hidden="1" customHeight="1">
      <c r="A2116" s="59">
        <f t="shared" si="20"/>
        <v>32</v>
      </c>
      <c r="B2116" s="59" t="str">
        <f t="shared" si="21"/>
        <v/>
      </c>
      <c r="C2116" s="59" t="str">
        <f t="shared" si="22"/>
        <v/>
      </c>
      <c r="D2116" s="45" t="str">
        <f t="shared" si="23"/>
        <v/>
      </c>
      <c r="E2116" s="45" t="str">
        <f t="shared" si="24"/>
        <v/>
      </c>
      <c r="F2116" s="59" t="str">
        <f t="shared" si="25"/>
        <v/>
      </c>
      <c r="G2116" s="59" t="str">
        <f t="shared" si="26"/>
        <v/>
      </c>
      <c r="H2116" s="59" t="str">
        <f t="shared" si="27"/>
        <v>28C04536</v>
      </c>
      <c r="I2116" s="59" t="str">
        <f>IF(OR($A2116="",$C2116="",$D2116="",$E2116="",$H2116=""),"",SUMIFS(DATA_GOC!$H:$H,DATA_GOC!$A:$A,"BOM",DATA_GOC!$D:$D,$H2116,DATA_GOC!$E:$E,$C2116,DATA_GOC!$F:$F,"Xuất nội bộ từ téc",DATA_GOC!$B:$B,"&gt;="&amp;$D2116,DATA_GOC!$B:$B,"&lt;="&amp;$E2116))</f>
        <v/>
      </c>
      <c r="J2116" s="59">
        <f t="shared" si="28"/>
        <v>0</v>
      </c>
      <c r="K2116" s="59">
        <f t="shared" si="29"/>
        <v>0</v>
      </c>
      <c r="L2116" s="59">
        <f t="shared" si="30"/>
        <v>0</v>
      </c>
      <c r="M2116" s="59">
        <f t="shared" si="31"/>
        <v>0</v>
      </c>
    </row>
    <row r="2117" ht="15.0" hidden="1" customHeight="1">
      <c r="A2117" s="59">
        <f t="shared" si="20"/>
        <v>32</v>
      </c>
      <c r="B2117" s="59" t="str">
        <f t="shared" si="21"/>
        <v/>
      </c>
      <c r="C2117" s="59" t="str">
        <f t="shared" si="22"/>
        <v/>
      </c>
      <c r="D2117" s="45" t="str">
        <f t="shared" si="23"/>
        <v/>
      </c>
      <c r="E2117" s="45" t="str">
        <f t="shared" si="24"/>
        <v/>
      </c>
      <c r="F2117" s="59" t="str">
        <f t="shared" si="25"/>
        <v/>
      </c>
      <c r="G2117" s="59" t="str">
        <f t="shared" si="26"/>
        <v/>
      </c>
      <c r="H2117" s="59" t="str">
        <f t="shared" si="27"/>
        <v>28C04576</v>
      </c>
      <c r="I2117" s="59" t="str">
        <f>IF(OR($A2117="",$C2117="",$D2117="",$E2117="",$H2117=""),"",SUMIFS(DATA_GOC!$H:$H,DATA_GOC!$A:$A,"BOM",DATA_GOC!$D:$D,$H2117,DATA_GOC!$E:$E,$C2117,DATA_GOC!$F:$F,"Xuất nội bộ từ téc",DATA_GOC!$B:$B,"&gt;="&amp;$D2117,DATA_GOC!$B:$B,"&lt;="&amp;$E2117))</f>
        <v/>
      </c>
      <c r="J2117" s="59">
        <f t="shared" si="28"/>
        <v>0</v>
      </c>
      <c r="K2117" s="59">
        <f t="shared" si="29"/>
        <v>0</v>
      </c>
      <c r="L2117" s="59">
        <f t="shared" si="30"/>
        <v>0</v>
      </c>
      <c r="M2117" s="59">
        <f t="shared" si="31"/>
        <v>0</v>
      </c>
    </row>
    <row r="2118" ht="15.0" hidden="1" customHeight="1">
      <c r="A2118" s="59">
        <f t="shared" si="20"/>
        <v>32</v>
      </c>
      <c r="B2118" s="59" t="str">
        <f t="shared" si="21"/>
        <v/>
      </c>
      <c r="C2118" s="59" t="str">
        <f t="shared" si="22"/>
        <v/>
      </c>
      <c r="D2118" s="45" t="str">
        <f t="shared" si="23"/>
        <v/>
      </c>
      <c r="E2118" s="45" t="str">
        <f t="shared" si="24"/>
        <v/>
      </c>
      <c r="F2118" s="59" t="str">
        <f t="shared" si="25"/>
        <v/>
      </c>
      <c r="G2118" s="59" t="str">
        <f t="shared" si="26"/>
        <v/>
      </c>
      <c r="H2118" s="59" t="str">
        <f t="shared" si="27"/>
        <v>28C05090</v>
      </c>
      <c r="I2118" s="59" t="str">
        <f>IF(OR($A2118="",$C2118="",$D2118="",$E2118="",$H2118=""),"",SUMIFS(DATA_GOC!$H:$H,DATA_GOC!$A:$A,"BOM",DATA_GOC!$D:$D,$H2118,DATA_GOC!$E:$E,$C2118,DATA_GOC!$F:$F,"Xuất nội bộ từ téc",DATA_GOC!$B:$B,"&gt;="&amp;$D2118,DATA_GOC!$B:$B,"&lt;="&amp;$E2118))</f>
        <v/>
      </c>
      <c r="J2118" s="59">
        <f t="shared" si="28"/>
        <v>0</v>
      </c>
      <c r="K2118" s="59">
        <f t="shared" si="29"/>
        <v>0</v>
      </c>
      <c r="L2118" s="59">
        <f t="shared" si="30"/>
        <v>0</v>
      </c>
      <c r="M2118" s="59">
        <f t="shared" si="31"/>
        <v>0</v>
      </c>
    </row>
    <row r="2119" ht="15.0" hidden="1" customHeight="1">
      <c r="A2119" s="59">
        <f t="shared" si="20"/>
        <v>32</v>
      </c>
      <c r="B2119" s="59" t="str">
        <f t="shared" si="21"/>
        <v/>
      </c>
      <c r="C2119" s="59" t="str">
        <f t="shared" si="22"/>
        <v/>
      </c>
      <c r="D2119" s="45" t="str">
        <f t="shared" si="23"/>
        <v/>
      </c>
      <c r="E2119" s="45" t="str">
        <f t="shared" si="24"/>
        <v/>
      </c>
      <c r="F2119" s="59" t="str">
        <f t="shared" si="25"/>
        <v/>
      </c>
      <c r="G2119" s="59" t="str">
        <f t="shared" si="26"/>
        <v/>
      </c>
      <c r="H2119" s="59" t="str">
        <f t="shared" si="27"/>
        <v>28C05345</v>
      </c>
      <c r="I2119" s="59" t="str">
        <f>IF(OR($A2119="",$C2119="",$D2119="",$E2119="",$H2119=""),"",SUMIFS(DATA_GOC!$H:$H,DATA_GOC!$A:$A,"BOM",DATA_GOC!$D:$D,$H2119,DATA_GOC!$E:$E,$C2119,DATA_GOC!$F:$F,"Xuất nội bộ từ téc",DATA_GOC!$B:$B,"&gt;="&amp;$D2119,DATA_GOC!$B:$B,"&lt;="&amp;$E2119))</f>
        <v/>
      </c>
      <c r="J2119" s="59">
        <f t="shared" si="28"/>
        <v>0</v>
      </c>
      <c r="K2119" s="59">
        <f t="shared" si="29"/>
        <v>0</v>
      </c>
      <c r="L2119" s="59">
        <f t="shared" si="30"/>
        <v>0</v>
      </c>
      <c r="M2119" s="59">
        <f t="shared" si="31"/>
        <v>0</v>
      </c>
    </row>
    <row r="2120" ht="15.0" hidden="1" customHeight="1">
      <c r="A2120" s="59">
        <f t="shared" si="20"/>
        <v>32</v>
      </c>
      <c r="B2120" s="59" t="str">
        <f t="shared" si="21"/>
        <v/>
      </c>
      <c r="C2120" s="59" t="str">
        <f t="shared" si="22"/>
        <v/>
      </c>
      <c r="D2120" s="45" t="str">
        <f t="shared" si="23"/>
        <v/>
      </c>
      <c r="E2120" s="45" t="str">
        <f t="shared" si="24"/>
        <v/>
      </c>
      <c r="F2120" s="59" t="str">
        <f t="shared" si="25"/>
        <v/>
      </c>
      <c r="G2120" s="59" t="str">
        <f t="shared" si="26"/>
        <v/>
      </c>
      <c r="H2120" s="59" t="str">
        <f t="shared" si="27"/>
        <v>28C05661</v>
      </c>
      <c r="I2120" s="59" t="str">
        <f>IF(OR($A2120="",$C2120="",$D2120="",$E2120="",$H2120=""),"",SUMIFS(DATA_GOC!$H:$H,DATA_GOC!$A:$A,"BOM",DATA_GOC!$D:$D,$H2120,DATA_GOC!$E:$E,$C2120,DATA_GOC!$F:$F,"Xuất nội bộ từ téc",DATA_GOC!$B:$B,"&gt;="&amp;$D2120,DATA_GOC!$B:$B,"&lt;="&amp;$E2120))</f>
        <v/>
      </c>
      <c r="J2120" s="59">
        <f t="shared" si="28"/>
        <v>0</v>
      </c>
      <c r="K2120" s="59">
        <f t="shared" si="29"/>
        <v>0</v>
      </c>
      <c r="L2120" s="59">
        <f t="shared" si="30"/>
        <v>0</v>
      </c>
      <c r="M2120" s="59">
        <f t="shared" si="31"/>
        <v>0</v>
      </c>
    </row>
    <row r="2121" ht="15.0" hidden="1" customHeight="1">
      <c r="A2121" s="59">
        <f t="shared" si="20"/>
        <v>32</v>
      </c>
      <c r="B2121" s="59" t="str">
        <f t="shared" si="21"/>
        <v/>
      </c>
      <c r="C2121" s="59" t="str">
        <f t="shared" si="22"/>
        <v/>
      </c>
      <c r="D2121" s="45" t="str">
        <f t="shared" si="23"/>
        <v/>
      </c>
      <c r="E2121" s="45" t="str">
        <f t="shared" si="24"/>
        <v/>
      </c>
      <c r="F2121" s="59" t="str">
        <f t="shared" si="25"/>
        <v/>
      </c>
      <c r="G2121" s="59" t="str">
        <f t="shared" si="26"/>
        <v/>
      </c>
      <c r="H2121" s="59" t="str">
        <f t="shared" si="27"/>
        <v>28C05739</v>
      </c>
      <c r="I2121" s="59" t="str">
        <f>IF(OR($A2121="",$C2121="",$D2121="",$E2121="",$H2121=""),"",SUMIFS(DATA_GOC!$H:$H,DATA_GOC!$A:$A,"BOM",DATA_GOC!$D:$D,$H2121,DATA_GOC!$E:$E,$C2121,DATA_GOC!$F:$F,"Xuất nội bộ từ téc",DATA_GOC!$B:$B,"&gt;="&amp;$D2121,DATA_GOC!$B:$B,"&lt;="&amp;$E2121))</f>
        <v/>
      </c>
      <c r="J2121" s="59">
        <f t="shared" si="28"/>
        <v>0</v>
      </c>
      <c r="K2121" s="59">
        <f t="shared" si="29"/>
        <v>0</v>
      </c>
      <c r="L2121" s="59">
        <f t="shared" si="30"/>
        <v>0</v>
      </c>
      <c r="M2121" s="59">
        <f t="shared" si="31"/>
        <v>0</v>
      </c>
    </row>
    <row r="2122" ht="15.0" hidden="1" customHeight="1">
      <c r="A2122" s="59">
        <f t="shared" si="20"/>
        <v>32</v>
      </c>
      <c r="B2122" s="59" t="str">
        <f t="shared" si="21"/>
        <v/>
      </c>
      <c r="C2122" s="59" t="str">
        <f t="shared" si="22"/>
        <v/>
      </c>
      <c r="D2122" s="45" t="str">
        <f t="shared" si="23"/>
        <v/>
      </c>
      <c r="E2122" s="45" t="str">
        <f t="shared" si="24"/>
        <v/>
      </c>
      <c r="F2122" s="59" t="str">
        <f t="shared" si="25"/>
        <v/>
      </c>
      <c r="G2122" s="59" t="str">
        <f t="shared" si="26"/>
        <v/>
      </c>
      <c r="H2122" s="59" t="str">
        <f t="shared" si="27"/>
        <v>28C06369</v>
      </c>
      <c r="I2122" s="59" t="str">
        <f>IF(OR($A2122="",$C2122="",$D2122="",$E2122="",$H2122=""),"",SUMIFS(DATA_GOC!$H:$H,DATA_GOC!$A:$A,"BOM",DATA_GOC!$D:$D,$H2122,DATA_GOC!$E:$E,$C2122,DATA_GOC!$F:$F,"Xuất nội bộ từ téc",DATA_GOC!$B:$B,"&gt;="&amp;$D2122,DATA_GOC!$B:$B,"&lt;="&amp;$E2122))</f>
        <v/>
      </c>
      <c r="J2122" s="59">
        <f t="shared" si="28"/>
        <v>0</v>
      </c>
      <c r="K2122" s="59">
        <f t="shared" si="29"/>
        <v>0</v>
      </c>
      <c r="L2122" s="59">
        <f t="shared" si="30"/>
        <v>0</v>
      </c>
      <c r="M2122" s="59">
        <f t="shared" si="31"/>
        <v>0</v>
      </c>
    </row>
    <row r="2123" ht="15.0" hidden="1" customHeight="1">
      <c r="A2123" s="59">
        <f t="shared" si="20"/>
        <v>32</v>
      </c>
      <c r="B2123" s="59" t="str">
        <f t="shared" si="21"/>
        <v/>
      </c>
      <c r="C2123" s="59" t="str">
        <f t="shared" si="22"/>
        <v/>
      </c>
      <c r="D2123" s="45" t="str">
        <f t="shared" si="23"/>
        <v/>
      </c>
      <c r="E2123" s="45" t="str">
        <f t="shared" si="24"/>
        <v/>
      </c>
      <c r="F2123" s="59" t="str">
        <f t="shared" si="25"/>
        <v/>
      </c>
      <c r="G2123" s="59" t="str">
        <f t="shared" si="26"/>
        <v/>
      </c>
      <c r="H2123" s="59" t="str">
        <f t="shared" si="27"/>
        <v>28C06447</v>
      </c>
      <c r="I2123" s="59" t="str">
        <f>IF(OR($A2123="",$C2123="",$D2123="",$E2123="",$H2123=""),"",SUMIFS(DATA_GOC!$H:$H,DATA_GOC!$A:$A,"BOM",DATA_GOC!$D:$D,$H2123,DATA_GOC!$E:$E,$C2123,DATA_GOC!$F:$F,"Xuất nội bộ từ téc",DATA_GOC!$B:$B,"&gt;="&amp;$D2123,DATA_GOC!$B:$B,"&lt;="&amp;$E2123))</f>
        <v/>
      </c>
      <c r="J2123" s="59">
        <f t="shared" si="28"/>
        <v>0</v>
      </c>
      <c r="K2123" s="59">
        <f t="shared" si="29"/>
        <v>0</v>
      </c>
      <c r="L2123" s="59">
        <f t="shared" si="30"/>
        <v>0</v>
      </c>
      <c r="M2123" s="59">
        <f t="shared" si="31"/>
        <v>0</v>
      </c>
    </row>
    <row r="2124" ht="15.0" hidden="1" customHeight="1">
      <c r="A2124" s="59">
        <f t="shared" si="20"/>
        <v>32</v>
      </c>
      <c r="B2124" s="59" t="str">
        <f t="shared" si="21"/>
        <v/>
      </c>
      <c r="C2124" s="59" t="str">
        <f t="shared" si="22"/>
        <v/>
      </c>
      <c r="D2124" s="45" t="str">
        <f t="shared" si="23"/>
        <v/>
      </c>
      <c r="E2124" s="45" t="str">
        <f t="shared" si="24"/>
        <v/>
      </c>
      <c r="F2124" s="59" t="str">
        <f t="shared" si="25"/>
        <v/>
      </c>
      <c r="G2124" s="59" t="str">
        <f t="shared" si="26"/>
        <v/>
      </c>
      <c r="H2124" s="59" t="str">
        <f t="shared" si="27"/>
        <v>28H00003</v>
      </c>
      <c r="I2124" s="59" t="str">
        <f>IF(OR($A2124="",$C2124="",$D2124="",$E2124="",$H2124=""),"",SUMIFS(DATA_GOC!$H:$H,DATA_GOC!$A:$A,"BOM",DATA_GOC!$D:$D,$H2124,DATA_GOC!$E:$E,$C2124,DATA_GOC!$F:$F,"Xuất nội bộ từ téc",DATA_GOC!$B:$B,"&gt;="&amp;$D2124,DATA_GOC!$B:$B,"&lt;="&amp;$E2124))</f>
        <v/>
      </c>
      <c r="J2124" s="59">
        <f t="shared" si="28"/>
        <v>0</v>
      </c>
      <c r="K2124" s="59">
        <f t="shared" si="29"/>
        <v>0</v>
      </c>
      <c r="L2124" s="59">
        <f t="shared" si="30"/>
        <v>0</v>
      </c>
      <c r="M2124" s="59">
        <f t="shared" si="31"/>
        <v>0</v>
      </c>
    </row>
    <row r="2125" ht="15.0" hidden="1" customHeight="1">
      <c r="A2125" s="59">
        <f t="shared" si="20"/>
        <v>32</v>
      </c>
      <c r="B2125" s="59" t="str">
        <f t="shared" si="21"/>
        <v/>
      </c>
      <c r="C2125" s="59" t="str">
        <f t="shared" si="22"/>
        <v/>
      </c>
      <c r="D2125" s="45" t="str">
        <f t="shared" si="23"/>
        <v/>
      </c>
      <c r="E2125" s="45" t="str">
        <f t="shared" si="24"/>
        <v/>
      </c>
      <c r="F2125" s="59" t="str">
        <f t="shared" si="25"/>
        <v/>
      </c>
      <c r="G2125" s="59" t="str">
        <f t="shared" si="26"/>
        <v/>
      </c>
      <c r="H2125" s="59" t="str">
        <f t="shared" si="27"/>
        <v>28H00061</v>
      </c>
      <c r="I2125" s="59" t="str">
        <f>IF(OR($A2125="",$C2125="",$D2125="",$E2125="",$H2125=""),"",SUMIFS(DATA_GOC!$H:$H,DATA_GOC!$A:$A,"BOM",DATA_GOC!$D:$D,$H2125,DATA_GOC!$E:$E,$C2125,DATA_GOC!$F:$F,"Xuất nội bộ từ téc",DATA_GOC!$B:$B,"&gt;="&amp;$D2125,DATA_GOC!$B:$B,"&lt;="&amp;$E2125))</f>
        <v/>
      </c>
      <c r="J2125" s="59">
        <f t="shared" si="28"/>
        <v>0</v>
      </c>
      <c r="K2125" s="59">
        <f t="shared" si="29"/>
        <v>0</v>
      </c>
      <c r="L2125" s="59">
        <f t="shared" si="30"/>
        <v>0</v>
      </c>
      <c r="M2125" s="59">
        <f t="shared" si="31"/>
        <v>0</v>
      </c>
    </row>
    <row r="2126" ht="15.0" hidden="1" customHeight="1">
      <c r="A2126" s="59">
        <f t="shared" si="20"/>
        <v>32</v>
      </c>
      <c r="B2126" s="59" t="str">
        <f t="shared" si="21"/>
        <v/>
      </c>
      <c r="C2126" s="59" t="str">
        <f t="shared" si="22"/>
        <v/>
      </c>
      <c r="D2126" s="45" t="str">
        <f t="shared" si="23"/>
        <v/>
      </c>
      <c r="E2126" s="45" t="str">
        <f t="shared" si="24"/>
        <v/>
      </c>
      <c r="F2126" s="59" t="str">
        <f t="shared" si="25"/>
        <v/>
      </c>
      <c r="G2126" s="59" t="str">
        <f t="shared" si="26"/>
        <v/>
      </c>
      <c r="H2126" s="59" t="str">
        <f t="shared" si="27"/>
        <v>28H00354</v>
      </c>
      <c r="I2126" s="59" t="str">
        <f>IF(OR($A2126="",$C2126="",$D2126="",$E2126="",$H2126=""),"",SUMIFS(DATA_GOC!$H:$H,DATA_GOC!$A:$A,"BOM",DATA_GOC!$D:$D,$H2126,DATA_GOC!$E:$E,$C2126,DATA_GOC!$F:$F,"Xuất nội bộ từ téc",DATA_GOC!$B:$B,"&gt;="&amp;$D2126,DATA_GOC!$B:$B,"&lt;="&amp;$E2126))</f>
        <v/>
      </c>
      <c r="J2126" s="59">
        <f t="shared" si="28"/>
        <v>0</v>
      </c>
      <c r="K2126" s="59">
        <f t="shared" si="29"/>
        <v>0</v>
      </c>
      <c r="L2126" s="59">
        <f t="shared" si="30"/>
        <v>0</v>
      </c>
      <c r="M2126" s="59">
        <f t="shared" si="31"/>
        <v>0</v>
      </c>
    </row>
    <row r="2127" ht="15.0" hidden="1" customHeight="1">
      <c r="A2127" s="59">
        <f t="shared" si="20"/>
        <v>32</v>
      </c>
      <c r="B2127" s="59" t="str">
        <f t="shared" si="21"/>
        <v/>
      </c>
      <c r="C2127" s="59" t="str">
        <f t="shared" si="22"/>
        <v/>
      </c>
      <c r="D2127" s="45" t="str">
        <f t="shared" si="23"/>
        <v/>
      </c>
      <c r="E2127" s="45" t="str">
        <f t="shared" si="24"/>
        <v/>
      </c>
      <c r="F2127" s="59" t="str">
        <f t="shared" si="25"/>
        <v/>
      </c>
      <c r="G2127" s="59" t="str">
        <f t="shared" si="26"/>
        <v/>
      </c>
      <c r="H2127" s="59" t="str">
        <f t="shared" si="27"/>
        <v>28H00603</v>
      </c>
      <c r="I2127" s="59" t="str">
        <f>IF(OR($A2127="",$C2127="",$D2127="",$E2127="",$H2127=""),"",SUMIFS(DATA_GOC!$H:$H,DATA_GOC!$A:$A,"BOM",DATA_GOC!$D:$D,$H2127,DATA_GOC!$E:$E,$C2127,DATA_GOC!$F:$F,"Xuất nội bộ từ téc",DATA_GOC!$B:$B,"&gt;="&amp;$D2127,DATA_GOC!$B:$B,"&lt;="&amp;$E2127))</f>
        <v/>
      </c>
      <c r="J2127" s="59">
        <f t="shared" si="28"/>
        <v>0</v>
      </c>
      <c r="K2127" s="59">
        <f t="shared" si="29"/>
        <v>0</v>
      </c>
      <c r="L2127" s="59">
        <f t="shared" si="30"/>
        <v>0</v>
      </c>
      <c r="M2127" s="59">
        <f t="shared" si="31"/>
        <v>0</v>
      </c>
    </row>
    <row r="2128" ht="15.0" hidden="1" customHeight="1">
      <c r="A2128" s="59">
        <f t="shared" si="20"/>
        <v>32</v>
      </c>
      <c r="B2128" s="59" t="str">
        <f t="shared" si="21"/>
        <v/>
      </c>
      <c r="C2128" s="59" t="str">
        <f t="shared" si="22"/>
        <v/>
      </c>
      <c r="D2128" s="45" t="str">
        <f t="shared" si="23"/>
        <v/>
      </c>
      <c r="E2128" s="45" t="str">
        <f t="shared" si="24"/>
        <v/>
      </c>
      <c r="F2128" s="59" t="str">
        <f t="shared" si="25"/>
        <v/>
      </c>
      <c r="G2128" s="59" t="str">
        <f t="shared" si="26"/>
        <v/>
      </c>
      <c r="H2128" s="59" t="str">
        <f t="shared" si="27"/>
        <v>28H00609</v>
      </c>
      <c r="I2128" s="59" t="str">
        <f>IF(OR($A2128="",$C2128="",$D2128="",$E2128="",$H2128=""),"",SUMIFS(DATA_GOC!$H:$H,DATA_GOC!$A:$A,"BOM",DATA_GOC!$D:$D,$H2128,DATA_GOC!$E:$E,$C2128,DATA_GOC!$F:$F,"Xuất nội bộ từ téc",DATA_GOC!$B:$B,"&gt;="&amp;$D2128,DATA_GOC!$B:$B,"&lt;="&amp;$E2128))</f>
        <v/>
      </c>
      <c r="J2128" s="59">
        <f t="shared" si="28"/>
        <v>0</v>
      </c>
      <c r="K2128" s="59">
        <f t="shared" si="29"/>
        <v>0</v>
      </c>
      <c r="L2128" s="59">
        <f t="shared" si="30"/>
        <v>0</v>
      </c>
      <c r="M2128" s="59">
        <f t="shared" si="31"/>
        <v>0</v>
      </c>
    </row>
    <row r="2129" ht="15.0" hidden="1" customHeight="1">
      <c r="A2129" s="59">
        <f t="shared" si="20"/>
        <v>32</v>
      </c>
      <c r="B2129" s="59" t="str">
        <f t="shared" si="21"/>
        <v/>
      </c>
      <c r="C2129" s="59" t="str">
        <f t="shared" si="22"/>
        <v/>
      </c>
      <c r="D2129" s="45" t="str">
        <f t="shared" si="23"/>
        <v/>
      </c>
      <c r="E2129" s="45" t="str">
        <f t="shared" si="24"/>
        <v/>
      </c>
      <c r="F2129" s="59" t="str">
        <f t="shared" si="25"/>
        <v/>
      </c>
      <c r="G2129" s="59" t="str">
        <f t="shared" si="26"/>
        <v/>
      </c>
      <c r="H2129" s="59" t="str">
        <f t="shared" si="27"/>
        <v>28H00669</v>
      </c>
      <c r="I2129" s="59" t="str">
        <f>IF(OR($A2129="",$C2129="",$D2129="",$E2129="",$H2129=""),"",SUMIFS(DATA_GOC!$H:$H,DATA_GOC!$A:$A,"BOM",DATA_GOC!$D:$D,$H2129,DATA_GOC!$E:$E,$C2129,DATA_GOC!$F:$F,"Xuất nội bộ từ téc",DATA_GOC!$B:$B,"&gt;="&amp;$D2129,DATA_GOC!$B:$B,"&lt;="&amp;$E2129))</f>
        <v/>
      </c>
      <c r="J2129" s="59">
        <f t="shared" si="28"/>
        <v>0</v>
      </c>
      <c r="K2129" s="59">
        <f t="shared" si="29"/>
        <v>0</v>
      </c>
      <c r="L2129" s="59">
        <f t="shared" si="30"/>
        <v>0</v>
      </c>
      <c r="M2129" s="59">
        <f t="shared" si="31"/>
        <v>0</v>
      </c>
    </row>
    <row r="2130" ht="15.0" hidden="1" customHeight="1">
      <c r="A2130" s="59">
        <f t="shared" si="20"/>
        <v>32</v>
      </c>
      <c r="B2130" s="59" t="str">
        <f t="shared" si="21"/>
        <v/>
      </c>
      <c r="C2130" s="59" t="str">
        <f t="shared" si="22"/>
        <v/>
      </c>
      <c r="D2130" s="45" t="str">
        <f t="shared" si="23"/>
        <v/>
      </c>
      <c r="E2130" s="45" t="str">
        <f t="shared" si="24"/>
        <v/>
      </c>
      <c r="F2130" s="59" t="str">
        <f t="shared" si="25"/>
        <v/>
      </c>
      <c r="G2130" s="59" t="str">
        <f t="shared" si="26"/>
        <v/>
      </c>
      <c r="H2130" s="59" t="str">
        <f t="shared" si="27"/>
        <v>28H00680</v>
      </c>
      <c r="I2130" s="59" t="str">
        <f>IF(OR($A2130="",$C2130="",$D2130="",$E2130="",$H2130=""),"",SUMIFS(DATA_GOC!$H:$H,DATA_GOC!$A:$A,"BOM",DATA_GOC!$D:$D,$H2130,DATA_GOC!$E:$E,$C2130,DATA_GOC!$F:$F,"Xuất nội bộ từ téc",DATA_GOC!$B:$B,"&gt;="&amp;$D2130,DATA_GOC!$B:$B,"&lt;="&amp;$E2130))</f>
        <v/>
      </c>
      <c r="J2130" s="59">
        <f t="shared" si="28"/>
        <v>0</v>
      </c>
      <c r="K2130" s="59">
        <f t="shared" si="29"/>
        <v>0</v>
      </c>
      <c r="L2130" s="59">
        <f t="shared" si="30"/>
        <v>0</v>
      </c>
      <c r="M2130" s="59">
        <f t="shared" si="31"/>
        <v>0</v>
      </c>
    </row>
    <row r="2131" ht="15.0" hidden="1" customHeight="1">
      <c r="A2131" s="59">
        <f t="shared" si="20"/>
        <v>32</v>
      </c>
      <c r="B2131" s="59" t="str">
        <f t="shared" si="21"/>
        <v/>
      </c>
      <c r="C2131" s="59" t="str">
        <f t="shared" si="22"/>
        <v/>
      </c>
      <c r="D2131" s="45" t="str">
        <f t="shared" si="23"/>
        <v/>
      </c>
      <c r="E2131" s="45" t="str">
        <f t="shared" si="24"/>
        <v/>
      </c>
      <c r="F2131" s="59" t="str">
        <f t="shared" si="25"/>
        <v/>
      </c>
      <c r="G2131" s="59" t="str">
        <f t="shared" si="26"/>
        <v/>
      </c>
      <c r="H2131" s="59" t="str">
        <f t="shared" si="27"/>
        <v>28H01070</v>
      </c>
      <c r="I2131" s="59" t="str">
        <f>IF(OR($A2131="",$C2131="",$D2131="",$E2131="",$H2131=""),"",SUMIFS(DATA_GOC!$H:$H,DATA_GOC!$A:$A,"BOM",DATA_GOC!$D:$D,$H2131,DATA_GOC!$E:$E,$C2131,DATA_GOC!$F:$F,"Xuất nội bộ từ téc",DATA_GOC!$B:$B,"&gt;="&amp;$D2131,DATA_GOC!$B:$B,"&lt;="&amp;$E2131))</f>
        <v/>
      </c>
      <c r="J2131" s="59">
        <f t="shared" si="28"/>
        <v>0</v>
      </c>
      <c r="K2131" s="59">
        <f t="shared" si="29"/>
        <v>0</v>
      </c>
      <c r="L2131" s="59">
        <f t="shared" si="30"/>
        <v>0</v>
      </c>
      <c r="M2131" s="59">
        <f t="shared" si="31"/>
        <v>0</v>
      </c>
    </row>
    <row r="2132" ht="15.0" hidden="1" customHeight="1">
      <c r="A2132" s="59">
        <f t="shared" si="20"/>
        <v>32</v>
      </c>
      <c r="B2132" s="59" t="str">
        <f t="shared" si="21"/>
        <v/>
      </c>
      <c r="C2132" s="59" t="str">
        <f t="shared" si="22"/>
        <v/>
      </c>
      <c r="D2132" s="45" t="str">
        <f t="shared" si="23"/>
        <v/>
      </c>
      <c r="E2132" s="45" t="str">
        <f t="shared" si="24"/>
        <v/>
      </c>
      <c r="F2132" s="59" t="str">
        <f t="shared" si="25"/>
        <v/>
      </c>
      <c r="G2132" s="59" t="str">
        <f t="shared" si="26"/>
        <v/>
      </c>
      <c r="H2132" s="59" t="str">
        <f t="shared" si="27"/>
        <v>28H01364</v>
      </c>
      <c r="I2132" s="59" t="str">
        <f>IF(OR($A2132="",$C2132="",$D2132="",$E2132="",$H2132=""),"",SUMIFS(DATA_GOC!$H:$H,DATA_GOC!$A:$A,"BOM",DATA_GOC!$D:$D,$H2132,DATA_GOC!$E:$E,$C2132,DATA_GOC!$F:$F,"Xuất nội bộ từ téc",DATA_GOC!$B:$B,"&gt;="&amp;$D2132,DATA_GOC!$B:$B,"&lt;="&amp;$E2132))</f>
        <v/>
      </c>
      <c r="J2132" s="59">
        <f t="shared" si="28"/>
        <v>0</v>
      </c>
      <c r="K2132" s="59">
        <f t="shared" si="29"/>
        <v>0</v>
      </c>
      <c r="L2132" s="59">
        <f t="shared" si="30"/>
        <v>0</v>
      </c>
      <c r="M2132" s="59">
        <f t="shared" si="31"/>
        <v>0</v>
      </c>
    </row>
    <row r="2133" ht="15.0" hidden="1" customHeight="1">
      <c r="A2133" s="59">
        <f t="shared" si="20"/>
        <v>32</v>
      </c>
      <c r="B2133" s="59" t="str">
        <f t="shared" si="21"/>
        <v/>
      </c>
      <c r="C2133" s="59" t="str">
        <f t="shared" si="22"/>
        <v/>
      </c>
      <c r="D2133" s="45" t="str">
        <f t="shared" si="23"/>
        <v/>
      </c>
      <c r="E2133" s="45" t="str">
        <f t="shared" si="24"/>
        <v/>
      </c>
      <c r="F2133" s="59" t="str">
        <f t="shared" si="25"/>
        <v/>
      </c>
      <c r="G2133" s="59" t="str">
        <f t="shared" si="26"/>
        <v/>
      </c>
      <c r="H2133" s="59" t="str">
        <f t="shared" si="27"/>
        <v>29E17269</v>
      </c>
      <c r="I2133" s="59" t="str">
        <f>IF(OR($A2133="",$C2133="",$D2133="",$E2133="",$H2133=""),"",SUMIFS(DATA_GOC!$H:$H,DATA_GOC!$A:$A,"BOM",DATA_GOC!$D:$D,$H2133,DATA_GOC!$E:$E,$C2133,DATA_GOC!$F:$F,"Xuất nội bộ từ téc",DATA_GOC!$B:$B,"&gt;="&amp;$D2133,DATA_GOC!$B:$B,"&lt;="&amp;$E2133))</f>
        <v/>
      </c>
      <c r="J2133" s="59">
        <f t="shared" si="28"/>
        <v>0</v>
      </c>
      <c r="K2133" s="59">
        <f t="shared" si="29"/>
        <v>0</v>
      </c>
      <c r="L2133" s="59">
        <f t="shared" si="30"/>
        <v>0</v>
      </c>
      <c r="M2133" s="59">
        <f t="shared" si="31"/>
        <v>0</v>
      </c>
    </row>
    <row r="2134" ht="15.0" hidden="1" customHeight="1">
      <c r="A2134" s="59">
        <f t="shared" si="20"/>
        <v>32</v>
      </c>
      <c r="B2134" s="59" t="str">
        <f t="shared" si="21"/>
        <v/>
      </c>
      <c r="C2134" s="59" t="str">
        <f t="shared" si="22"/>
        <v/>
      </c>
      <c r="D2134" s="45" t="str">
        <f t="shared" si="23"/>
        <v/>
      </c>
      <c r="E2134" s="45" t="str">
        <f t="shared" si="24"/>
        <v/>
      </c>
      <c r="F2134" s="59" t="str">
        <f t="shared" si="25"/>
        <v/>
      </c>
      <c r="G2134" s="59" t="str">
        <f t="shared" si="26"/>
        <v/>
      </c>
      <c r="H2134" s="59" t="str">
        <f t="shared" si="27"/>
        <v>29E17273</v>
      </c>
      <c r="I2134" s="59" t="str">
        <f>IF(OR($A2134="",$C2134="",$D2134="",$E2134="",$H2134=""),"",SUMIFS(DATA_GOC!$H:$H,DATA_GOC!$A:$A,"BOM",DATA_GOC!$D:$D,$H2134,DATA_GOC!$E:$E,$C2134,DATA_GOC!$F:$F,"Xuất nội bộ từ téc",DATA_GOC!$B:$B,"&gt;="&amp;$D2134,DATA_GOC!$B:$B,"&lt;="&amp;$E2134))</f>
        <v/>
      </c>
      <c r="J2134" s="59">
        <f t="shared" si="28"/>
        <v>0</v>
      </c>
      <c r="K2134" s="59">
        <f t="shared" si="29"/>
        <v>0</v>
      </c>
      <c r="L2134" s="59">
        <f t="shared" si="30"/>
        <v>0</v>
      </c>
      <c r="M2134" s="59">
        <f t="shared" si="31"/>
        <v>0</v>
      </c>
    </row>
    <row r="2135" ht="15.0" hidden="1" customHeight="1">
      <c r="A2135" s="59">
        <f t="shared" si="20"/>
        <v>32</v>
      </c>
      <c r="B2135" s="59" t="str">
        <f t="shared" si="21"/>
        <v/>
      </c>
      <c r="C2135" s="59" t="str">
        <f t="shared" si="22"/>
        <v/>
      </c>
      <c r="D2135" s="45" t="str">
        <f t="shared" si="23"/>
        <v/>
      </c>
      <c r="E2135" s="45" t="str">
        <f t="shared" si="24"/>
        <v/>
      </c>
      <c r="F2135" s="59" t="str">
        <f t="shared" si="25"/>
        <v/>
      </c>
      <c r="G2135" s="59" t="str">
        <f t="shared" si="26"/>
        <v/>
      </c>
      <c r="H2135" s="59" t="str">
        <f t="shared" si="27"/>
        <v>29E17410</v>
      </c>
      <c r="I2135" s="59" t="str">
        <f>IF(OR($A2135="",$C2135="",$D2135="",$E2135="",$H2135=""),"",SUMIFS(DATA_GOC!$H:$H,DATA_GOC!$A:$A,"BOM",DATA_GOC!$D:$D,$H2135,DATA_GOC!$E:$E,$C2135,DATA_GOC!$F:$F,"Xuất nội bộ từ téc",DATA_GOC!$B:$B,"&gt;="&amp;$D2135,DATA_GOC!$B:$B,"&lt;="&amp;$E2135))</f>
        <v/>
      </c>
      <c r="J2135" s="59">
        <f t="shared" si="28"/>
        <v>0</v>
      </c>
      <c r="K2135" s="59">
        <f t="shared" si="29"/>
        <v>0</v>
      </c>
      <c r="L2135" s="59">
        <f t="shared" si="30"/>
        <v>0</v>
      </c>
      <c r="M2135" s="59">
        <f t="shared" si="31"/>
        <v>0</v>
      </c>
    </row>
    <row r="2136" ht="15.0" hidden="1" customHeight="1">
      <c r="A2136" s="59">
        <f t="shared" si="20"/>
        <v>32</v>
      </c>
      <c r="B2136" s="59" t="str">
        <f t="shared" si="21"/>
        <v/>
      </c>
      <c r="C2136" s="59" t="str">
        <f t="shared" si="22"/>
        <v/>
      </c>
      <c r="D2136" s="45" t="str">
        <f t="shared" si="23"/>
        <v/>
      </c>
      <c r="E2136" s="45" t="str">
        <f t="shared" si="24"/>
        <v/>
      </c>
      <c r="F2136" s="59" t="str">
        <f t="shared" si="25"/>
        <v/>
      </c>
      <c r="G2136" s="59" t="str">
        <f t="shared" si="26"/>
        <v/>
      </c>
      <c r="H2136" s="59" t="str">
        <f t="shared" si="27"/>
        <v>29E17417</v>
      </c>
      <c r="I2136" s="59" t="str">
        <f>IF(OR($A2136="",$C2136="",$D2136="",$E2136="",$H2136=""),"",SUMIFS(DATA_GOC!$H:$H,DATA_GOC!$A:$A,"BOM",DATA_GOC!$D:$D,$H2136,DATA_GOC!$E:$E,$C2136,DATA_GOC!$F:$F,"Xuất nội bộ từ téc",DATA_GOC!$B:$B,"&gt;="&amp;$D2136,DATA_GOC!$B:$B,"&lt;="&amp;$E2136))</f>
        <v/>
      </c>
      <c r="J2136" s="59">
        <f t="shared" si="28"/>
        <v>0</v>
      </c>
      <c r="K2136" s="59">
        <f t="shared" si="29"/>
        <v>0</v>
      </c>
      <c r="L2136" s="59">
        <f t="shared" si="30"/>
        <v>0</v>
      </c>
      <c r="M2136" s="59">
        <f t="shared" si="31"/>
        <v>0</v>
      </c>
    </row>
    <row r="2137" ht="15.0" hidden="1" customHeight="1">
      <c r="A2137" s="59">
        <f t="shared" si="20"/>
        <v>32</v>
      </c>
      <c r="B2137" s="59" t="str">
        <f t="shared" si="21"/>
        <v/>
      </c>
      <c r="C2137" s="59" t="str">
        <f t="shared" si="22"/>
        <v/>
      </c>
      <c r="D2137" s="45" t="str">
        <f t="shared" si="23"/>
        <v/>
      </c>
      <c r="E2137" s="45" t="str">
        <f t="shared" si="24"/>
        <v/>
      </c>
      <c r="F2137" s="59" t="str">
        <f t="shared" si="25"/>
        <v/>
      </c>
      <c r="G2137" s="59" t="str">
        <f t="shared" si="26"/>
        <v/>
      </c>
      <c r="H2137" s="59" t="str">
        <f t="shared" si="27"/>
        <v>29E17539</v>
      </c>
      <c r="I2137" s="59" t="str">
        <f>IF(OR($A2137="",$C2137="",$D2137="",$E2137="",$H2137=""),"",SUMIFS(DATA_GOC!$H:$H,DATA_GOC!$A:$A,"BOM",DATA_GOC!$D:$D,$H2137,DATA_GOC!$E:$E,$C2137,DATA_GOC!$F:$F,"Xuất nội bộ từ téc",DATA_GOC!$B:$B,"&gt;="&amp;$D2137,DATA_GOC!$B:$B,"&lt;="&amp;$E2137))</f>
        <v/>
      </c>
      <c r="J2137" s="59">
        <f t="shared" si="28"/>
        <v>0</v>
      </c>
      <c r="K2137" s="59">
        <f t="shared" si="29"/>
        <v>0</v>
      </c>
      <c r="L2137" s="59">
        <f t="shared" si="30"/>
        <v>0</v>
      </c>
      <c r="M2137" s="59">
        <f t="shared" si="31"/>
        <v>0</v>
      </c>
    </row>
    <row r="2138" ht="15.0" hidden="1" customHeight="1">
      <c r="A2138" s="59">
        <f t="shared" si="20"/>
        <v>32</v>
      </c>
      <c r="B2138" s="59" t="str">
        <f t="shared" si="21"/>
        <v/>
      </c>
      <c r="C2138" s="59" t="str">
        <f t="shared" si="22"/>
        <v/>
      </c>
      <c r="D2138" s="45" t="str">
        <f t="shared" si="23"/>
        <v/>
      </c>
      <c r="E2138" s="45" t="str">
        <f t="shared" si="24"/>
        <v/>
      </c>
      <c r="F2138" s="59" t="str">
        <f t="shared" si="25"/>
        <v/>
      </c>
      <c r="G2138" s="59" t="str">
        <f t="shared" si="26"/>
        <v/>
      </c>
      <c r="H2138" s="59" t="str">
        <f t="shared" si="27"/>
        <v>29E18160</v>
      </c>
      <c r="I2138" s="59" t="str">
        <f>IF(OR($A2138="",$C2138="",$D2138="",$E2138="",$H2138=""),"",SUMIFS(DATA_GOC!$H:$H,DATA_GOC!$A:$A,"BOM",DATA_GOC!$D:$D,$H2138,DATA_GOC!$E:$E,$C2138,DATA_GOC!$F:$F,"Xuất nội bộ từ téc",DATA_GOC!$B:$B,"&gt;="&amp;$D2138,DATA_GOC!$B:$B,"&lt;="&amp;$E2138))</f>
        <v/>
      </c>
      <c r="J2138" s="59">
        <f t="shared" si="28"/>
        <v>0</v>
      </c>
      <c r="K2138" s="59">
        <f t="shared" si="29"/>
        <v>0</v>
      </c>
      <c r="L2138" s="59">
        <f t="shared" si="30"/>
        <v>0</v>
      </c>
      <c r="M2138" s="59">
        <f t="shared" si="31"/>
        <v>0</v>
      </c>
    </row>
    <row r="2139" ht="15.0" hidden="1" customHeight="1">
      <c r="A2139" s="59">
        <f t="shared" si="20"/>
        <v>32</v>
      </c>
      <c r="B2139" s="59" t="str">
        <f t="shared" si="21"/>
        <v/>
      </c>
      <c r="C2139" s="59" t="str">
        <f t="shared" si="22"/>
        <v/>
      </c>
      <c r="D2139" s="45" t="str">
        <f t="shared" si="23"/>
        <v/>
      </c>
      <c r="E2139" s="45" t="str">
        <f t="shared" si="24"/>
        <v/>
      </c>
      <c r="F2139" s="59" t="str">
        <f t="shared" si="25"/>
        <v/>
      </c>
      <c r="G2139" s="59" t="str">
        <f t="shared" si="26"/>
        <v/>
      </c>
      <c r="H2139" s="59" t="str">
        <f t="shared" si="27"/>
        <v>Công trình Asphalt</v>
      </c>
      <c r="I2139" s="59" t="str">
        <f>IF(OR($A2139="",$C2139="",$D2139="",$E2139="",$H2139=""),"",SUMIFS(DATA_GOC!$H:$H,DATA_GOC!$A:$A,"BOM",DATA_GOC!$D:$D,$H2139,DATA_GOC!$E:$E,$C2139,DATA_GOC!$F:$F,"Xuất nội bộ từ téc",DATA_GOC!$B:$B,"&gt;="&amp;$D2139,DATA_GOC!$B:$B,"&lt;="&amp;$E2139))</f>
        <v/>
      </c>
      <c r="J2139" s="59">
        <f t="shared" si="28"/>
        <v>0</v>
      </c>
      <c r="K2139" s="59">
        <f t="shared" si="29"/>
        <v>0</v>
      </c>
      <c r="L2139" s="59">
        <f t="shared" si="30"/>
        <v>0</v>
      </c>
      <c r="M2139" s="59">
        <f t="shared" si="31"/>
        <v>0</v>
      </c>
    </row>
    <row r="2140" ht="15.0" hidden="1" customHeight="1">
      <c r="A2140" s="59">
        <f t="shared" si="20"/>
        <v>32</v>
      </c>
      <c r="B2140" s="59" t="str">
        <f t="shared" si="21"/>
        <v/>
      </c>
      <c r="C2140" s="59" t="str">
        <f t="shared" si="22"/>
        <v/>
      </c>
      <c r="D2140" s="45" t="str">
        <f t="shared" si="23"/>
        <v/>
      </c>
      <c r="E2140" s="45" t="str">
        <f t="shared" si="24"/>
        <v/>
      </c>
      <c r="F2140" s="59" t="str">
        <f t="shared" si="25"/>
        <v/>
      </c>
      <c r="G2140" s="59" t="str">
        <f t="shared" si="26"/>
        <v/>
      </c>
      <c r="H2140" s="59" t="str">
        <f t="shared" si="27"/>
        <v>LG53F</v>
      </c>
      <c r="I2140" s="59" t="str">
        <f>IF(OR($A2140="",$C2140="",$D2140="",$E2140="",$H2140=""),"",SUMIFS(DATA_GOC!$H:$H,DATA_GOC!$A:$A,"BOM",DATA_GOC!$D:$D,$H2140,DATA_GOC!$E:$E,$C2140,DATA_GOC!$F:$F,"Xuất nội bộ từ téc",DATA_GOC!$B:$B,"&gt;="&amp;$D2140,DATA_GOC!$B:$B,"&lt;="&amp;$E2140))</f>
        <v/>
      </c>
      <c r="J2140" s="59">
        <f t="shared" si="28"/>
        <v>0</v>
      </c>
      <c r="K2140" s="59">
        <f t="shared" si="29"/>
        <v>0</v>
      </c>
      <c r="L2140" s="59">
        <f t="shared" si="30"/>
        <v>0</v>
      </c>
      <c r="M2140" s="59">
        <f t="shared" si="31"/>
        <v>0</v>
      </c>
    </row>
    <row r="2141" ht="15.0" hidden="1" customHeight="1">
      <c r="A2141" s="59">
        <f t="shared" si="20"/>
        <v>32</v>
      </c>
      <c r="B2141" s="59" t="str">
        <f t="shared" si="21"/>
        <v/>
      </c>
      <c r="C2141" s="59" t="str">
        <f t="shared" si="22"/>
        <v/>
      </c>
      <c r="D2141" s="45" t="str">
        <f t="shared" si="23"/>
        <v/>
      </c>
      <c r="E2141" s="45" t="str">
        <f t="shared" si="24"/>
        <v/>
      </c>
      <c r="F2141" s="59" t="str">
        <f t="shared" si="25"/>
        <v/>
      </c>
      <c r="G2141" s="59" t="str">
        <f t="shared" si="26"/>
        <v/>
      </c>
      <c r="H2141" s="59" t="str">
        <f t="shared" si="27"/>
        <v>Máy phát điện</v>
      </c>
      <c r="I2141" s="59" t="str">
        <f>IF(OR($A2141="",$C2141="",$D2141="",$E2141="",$H2141=""),"",SUMIFS(DATA_GOC!$H:$H,DATA_GOC!$A:$A,"BOM",DATA_GOC!$D:$D,$H2141,DATA_GOC!$E:$E,$C2141,DATA_GOC!$F:$F,"Xuất nội bộ từ téc",DATA_GOC!$B:$B,"&gt;="&amp;$D2141,DATA_GOC!$B:$B,"&lt;="&amp;$E2141))</f>
        <v/>
      </c>
      <c r="J2141" s="59">
        <f t="shared" si="28"/>
        <v>0</v>
      </c>
      <c r="K2141" s="59">
        <f t="shared" si="29"/>
        <v>0</v>
      </c>
      <c r="L2141" s="59">
        <f t="shared" si="30"/>
        <v>0</v>
      </c>
      <c r="M2141" s="59">
        <f t="shared" si="31"/>
        <v>0</v>
      </c>
    </row>
    <row r="2142" ht="15.0" hidden="1" customHeight="1">
      <c r="A2142" s="59">
        <f t="shared" si="20"/>
        <v>32</v>
      </c>
      <c r="B2142" s="59" t="str">
        <f t="shared" si="21"/>
        <v/>
      </c>
      <c r="C2142" s="59" t="str">
        <f t="shared" si="22"/>
        <v/>
      </c>
      <c r="D2142" s="45" t="str">
        <f t="shared" si="23"/>
        <v/>
      </c>
      <c r="E2142" s="45" t="str">
        <f t="shared" si="24"/>
        <v/>
      </c>
      <c r="F2142" s="59" t="str">
        <f t="shared" si="25"/>
        <v/>
      </c>
      <c r="G2142" s="59" t="str">
        <f t="shared" si="26"/>
        <v/>
      </c>
      <c r="H2142" s="59" t="str">
        <f t="shared" si="27"/>
        <v>Máy rải thảm</v>
      </c>
      <c r="I2142" s="59" t="str">
        <f>IF(OR($A2142="",$C2142="",$D2142="",$E2142="",$H2142=""),"",SUMIFS(DATA_GOC!$H:$H,DATA_GOC!$A:$A,"BOM",DATA_GOC!$D:$D,$H2142,DATA_GOC!$E:$E,$C2142,DATA_GOC!$F:$F,"Xuất nội bộ từ téc",DATA_GOC!$B:$B,"&gt;="&amp;$D2142,DATA_GOC!$B:$B,"&lt;="&amp;$E2142))</f>
        <v/>
      </c>
      <c r="J2142" s="59">
        <f t="shared" si="28"/>
        <v>0</v>
      </c>
      <c r="K2142" s="59">
        <f t="shared" si="29"/>
        <v>0</v>
      </c>
      <c r="L2142" s="59">
        <f t="shared" si="30"/>
        <v>0</v>
      </c>
      <c r="M2142" s="59">
        <f t="shared" si="31"/>
        <v>0</v>
      </c>
    </row>
    <row r="2143" ht="15.0" hidden="1" customHeight="1">
      <c r="A2143" s="59">
        <f t="shared" si="20"/>
        <v>32</v>
      </c>
      <c r="B2143" s="59" t="str">
        <f t="shared" si="21"/>
        <v/>
      </c>
      <c r="C2143" s="59" t="str">
        <f t="shared" si="22"/>
        <v/>
      </c>
      <c r="D2143" s="45" t="str">
        <f t="shared" si="23"/>
        <v/>
      </c>
      <c r="E2143" s="45" t="str">
        <f t="shared" si="24"/>
        <v/>
      </c>
      <c r="F2143" s="59" t="str">
        <f t="shared" si="25"/>
        <v/>
      </c>
      <c r="G2143" s="59" t="str">
        <f t="shared" si="26"/>
        <v/>
      </c>
      <c r="H2143" s="59" t="str">
        <f t="shared" si="27"/>
        <v>Xúc Đào</v>
      </c>
      <c r="I2143" s="59" t="str">
        <f>IF(OR($A2143="",$C2143="",$D2143="",$E2143="",$H2143=""),"",SUMIFS(DATA_GOC!$H:$H,DATA_GOC!$A:$A,"BOM",DATA_GOC!$D:$D,$H2143,DATA_GOC!$E:$E,$C2143,DATA_GOC!$F:$F,"Xuất nội bộ từ téc",DATA_GOC!$B:$B,"&gt;="&amp;$D2143,DATA_GOC!$B:$B,"&lt;="&amp;$E2143))</f>
        <v/>
      </c>
      <c r="J2143" s="59">
        <f t="shared" si="28"/>
        <v>0</v>
      </c>
      <c r="K2143" s="59">
        <f t="shared" si="29"/>
        <v>0</v>
      </c>
      <c r="L2143" s="59">
        <f t="shared" si="30"/>
        <v>0</v>
      </c>
      <c r="M2143" s="59">
        <f t="shared" si="31"/>
        <v>0</v>
      </c>
    </row>
    <row r="2144" ht="15.0" hidden="1" customHeight="1">
      <c r="A2144" s="59">
        <f t="shared" si="20"/>
        <v>32</v>
      </c>
      <c r="B2144" s="59" t="str">
        <f t="shared" si="21"/>
        <v/>
      </c>
      <c r="C2144" s="59" t="str">
        <f t="shared" si="22"/>
        <v/>
      </c>
      <c r="D2144" s="45" t="str">
        <f t="shared" si="23"/>
        <v/>
      </c>
      <c r="E2144" s="45" t="str">
        <f t="shared" si="24"/>
        <v/>
      </c>
      <c r="F2144" s="59" t="str">
        <f t="shared" si="25"/>
        <v/>
      </c>
      <c r="G2144" s="59" t="str">
        <f t="shared" si="26"/>
        <v/>
      </c>
      <c r="H2144" s="59" t="str">
        <f t="shared" si="27"/>
        <v>Xúclật asphalt</v>
      </c>
      <c r="I2144" s="59" t="str">
        <f>IF(OR($A2144="",$C2144="",$D2144="",$E2144="",$H2144=""),"",SUMIFS(DATA_GOC!$H:$H,DATA_GOC!$A:$A,"BOM",DATA_GOC!$D:$D,$H2144,DATA_GOC!$E:$E,$C2144,DATA_GOC!$F:$F,"Xuất nội bộ từ téc",DATA_GOC!$B:$B,"&gt;="&amp;$D2144,DATA_GOC!$B:$B,"&lt;="&amp;$E2144))</f>
        <v/>
      </c>
      <c r="J2144" s="59">
        <f t="shared" si="28"/>
        <v>0</v>
      </c>
      <c r="K2144" s="59">
        <f t="shared" si="29"/>
        <v>0</v>
      </c>
      <c r="L2144" s="59">
        <f t="shared" si="30"/>
        <v>0</v>
      </c>
      <c r="M2144" s="59">
        <f t="shared" si="31"/>
        <v>0</v>
      </c>
    </row>
    <row r="2145" ht="15.0" hidden="1" customHeight="1">
      <c r="A2145" s="59">
        <f t="shared" si="20"/>
        <v>32</v>
      </c>
      <c r="B2145" s="59" t="str">
        <f t="shared" si="21"/>
        <v/>
      </c>
      <c r="C2145" s="59" t="str">
        <f t="shared" si="22"/>
        <v/>
      </c>
      <c r="D2145" s="45" t="str">
        <f t="shared" si="23"/>
        <v/>
      </c>
      <c r="E2145" s="45" t="str">
        <f t="shared" si="24"/>
        <v/>
      </c>
      <c r="F2145" s="59" t="str">
        <f t="shared" si="25"/>
        <v/>
      </c>
      <c r="G2145" s="59" t="str">
        <f t="shared" si="26"/>
        <v/>
      </c>
      <c r="H2145" s="59" t="str">
        <f t="shared" si="27"/>
        <v>Xúclật855H</v>
      </c>
      <c r="I2145" s="59" t="str">
        <f>IF(OR($A2145="",$C2145="",$D2145="",$E2145="",$H2145=""),"",SUMIFS(DATA_GOC!$H:$H,DATA_GOC!$A:$A,"BOM",DATA_GOC!$D:$D,$H2145,DATA_GOC!$E:$E,$C2145,DATA_GOC!$F:$F,"Xuất nội bộ từ téc",DATA_GOC!$B:$B,"&gt;="&amp;$D2145,DATA_GOC!$B:$B,"&lt;="&amp;$E2145))</f>
        <v/>
      </c>
      <c r="J2145" s="59">
        <f t="shared" si="28"/>
        <v>0</v>
      </c>
      <c r="K2145" s="59">
        <f t="shared" si="29"/>
        <v>0</v>
      </c>
      <c r="L2145" s="59">
        <f t="shared" si="30"/>
        <v>0</v>
      </c>
      <c r="M2145" s="59">
        <f t="shared" si="31"/>
        <v>0</v>
      </c>
    </row>
    <row r="2146" ht="15.0" hidden="1" customHeight="1">
      <c r="A2146" s="59">
        <f t="shared" si="20"/>
        <v>32</v>
      </c>
      <c r="B2146" s="59" t="str">
        <f t="shared" si="21"/>
        <v/>
      </c>
      <c r="C2146" s="59" t="str">
        <f t="shared" si="22"/>
        <v/>
      </c>
      <c r="D2146" s="45" t="str">
        <f t="shared" si="23"/>
        <v/>
      </c>
      <c r="E2146" s="45" t="str">
        <f t="shared" si="24"/>
        <v/>
      </c>
      <c r="F2146" s="59" t="str">
        <f t="shared" si="25"/>
        <v/>
      </c>
      <c r="G2146" s="59" t="str">
        <f t="shared" si="26"/>
        <v/>
      </c>
      <c r="H2146" s="59" t="str">
        <f t="shared" si="27"/>
        <v>Xúclật855N</v>
      </c>
      <c r="I2146" s="59" t="str">
        <f>IF(OR($A2146="",$C2146="",$D2146="",$E2146="",$H2146=""),"",SUMIFS(DATA_GOC!$H:$H,DATA_GOC!$A:$A,"BOM",DATA_GOC!$D:$D,$H2146,DATA_GOC!$E:$E,$C2146,DATA_GOC!$F:$F,"Xuất nội bộ từ téc",DATA_GOC!$B:$B,"&gt;="&amp;$D2146,DATA_GOC!$B:$B,"&lt;="&amp;$E2146))</f>
        <v/>
      </c>
      <c r="J2146" s="59">
        <f t="shared" si="28"/>
        <v>0</v>
      </c>
      <c r="K2146" s="59">
        <f t="shared" si="29"/>
        <v>0</v>
      </c>
      <c r="L2146" s="59">
        <f t="shared" si="30"/>
        <v>0</v>
      </c>
      <c r="M2146" s="59">
        <f t="shared" si="31"/>
        <v>0</v>
      </c>
    </row>
    <row r="2147" ht="15.0" hidden="1" customHeight="1">
      <c r="A2147" s="59">
        <f t="shared" si="20"/>
        <v>32</v>
      </c>
      <c r="B2147" s="59" t="str">
        <f t="shared" si="21"/>
        <v/>
      </c>
      <c r="C2147" s="59" t="str">
        <f t="shared" si="22"/>
        <v/>
      </c>
      <c r="D2147" s="45" t="str">
        <f t="shared" si="23"/>
        <v/>
      </c>
      <c r="E2147" s="45" t="str">
        <f t="shared" si="24"/>
        <v/>
      </c>
      <c r="F2147" s="59" t="str">
        <f t="shared" si="25"/>
        <v/>
      </c>
      <c r="G2147" s="59" t="str">
        <f t="shared" si="26"/>
        <v/>
      </c>
      <c r="H2147" s="59" t="str">
        <f t="shared" si="27"/>
        <v>Cát nghiền</v>
      </c>
      <c r="I2147" s="59" t="str">
        <f>IF(OR($A2147="",$C2147="",$D2147="",$E2147="",$H2147=""),"",SUMIFS(DATA_GOC!$H:$H,DATA_GOC!$A:$A,"BOM",DATA_GOC!$D:$D,$H2147,DATA_GOC!$E:$E,$C2147,DATA_GOC!$F:$F,"Xuất nội bộ từ téc",DATA_GOC!$B:$B,"&gt;="&amp;$D2147,DATA_GOC!$B:$B,"&lt;="&amp;$E2147))</f>
        <v/>
      </c>
      <c r="J2147" s="59">
        <f t="shared" si="28"/>
        <v>0</v>
      </c>
      <c r="K2147" s="59">
        <f t="shared" si="29"/>
        <v>0</v>
      </c>
      <c r="L2147" s="59">
        <f t="shared" si="30"/>
        <v>0</v>
      </c>
      <c r="M2147" s="59">
        <f t="shared" si="31"/>
        <v>0</v>
      </c>
    </row>
    <row r="2148" ht="15.0" hidden="1" customHeight="1">
      <c r="A2148" s="59">
        <f t="shared" si="20"/>
        <v>32</v>
      </c>
      <c r="B2148" s="59" t="str">
        <f t="shared" si="21"/>
        <v/>
      </c>
      <c r="C2148" s="59" t="str">
        <f t="shared" si="22"/>
        <v/>
      </c>
      <c r="D2148" s="45" t="str">
        <f t="shared" si="23"/>
        <v/>
      </c>
      <c r="E2148" s="45" t="str">
        <f t="shared" si="24"/>
        <v/>
      </c>
      <c r="F2148" s="59" t="str">
        <f t="shared" si="25"/>
        <v/>
      </c>
      <c r="G2148" s="59" t="str">
        <f t="shared" si="26"/>
        <v/>
      </c>
      <c r="H2148" s="59" t="str">
        <f t="shared" si="27"/>
        <v>28C02973</v>
      </c>
      <c r="I2148" s="59" t="str">
        <f>IF(OR($A2148="",$C2148="",$D2148="",$E2148="",$H2148=""),"",SUMIFS(DATA_GOC!$H:$H,DATA_GOC!$A:$A,"BOM",DATA_GOC!$D:$D,$H2148,DATA_GOC!$E:$E,$C2148,DATA_GOC!$F:$F,"Xuất nội bộ từ téc",DATA_GOC!$B:$B,"&gt;="&amp;$D2148,DATA_GOC!$B:$B,"&lt;="&amp;$E2148))</f>
        <v/>
      </c>
      <c r="J2148" s="59">
        <f t="shared" si="28"/>
        <v>0</v>
      </c>
      <c r="K2148" s="59">
        <f t="shared" si="29"/>
        <v>0</v>
      </c>
      <c r="L2148" s="59">
        <f t="shared" si="30"/>
        <v>0</v>
      </c>
      <c r="M2148" s="59">
        <f t="shared" si="31"/>
        <v>0</v>
      </c>
    </row>
    <row r="2149" ht="15.0" hidden="1" customHeight="1">
      <c r="A2149" s="59">
        <f t="shared" si="20"/>
        <v>32</v>
      </c>
      <c r="B2149" s="59" t="str">
        <f t="shared" si="21"/>
        <v/>
      </c>
      <c r="C2149" s="59" t="str">
        <f t="shared" si="22"/>
        <v/>
      </c>
      <c r="D2149" s="45" t="str">
        <f t="shared" si="23"/>
        <v/>
      </c>
      <c r="E2149" s="45" t="str">
        <f t="shared" si="24"/>
        <v/>
      </c>
      <c r="F2149" s="59" t="str">
        <f t="shared" si="25"/>
        <v/>
      </c>
      <c r="G2149" s="59" t="str">
        <f t="shared" si="26"/>
        <v/>
      </c>
      <c r="H2149" s="59" t="str">
        <f t="shared" si="27"/>
        <v>28C03044</v>
      </c>
      <c r="I2149" s="59" t="str">
        <f>IF(OR($A2149="",$C2149="",$D2149="",$E2149="",$H2149=""),"",SUMIFS(DATA_GOC!$H:$H,DATA_GOC!$A:$A,"BOM",DATA_GOC!$D:$D,$H2149,DATA_GOC!$E:$E,$C2149,DATA_GOC!$F:$F,"Xuất nội bộ từ téc",DATA_GOC!$B:$B,"&gt;="&amp;$D2149,DATA_GOC!$B:$B,"&lt;="&amp;$E2149))</f>
        <v/>
      </c>
      <c r="J2149" s="59">
        <f t="shared" si="28"/>
        <v>0</v>
      </c>
      <c r="K2149" s="59">
        <f t="shared" si="29"/>
        <v>0</v>
      </c>
      <c r="L2149" s="59">
        <f t="shared" si="30"/>
        <v>0</v>
      </c>
      <c r="M2149" s="59">
        <f t="shared" si="31"/>
        <v>0</v>
      </c>
    </row>
    <row r="2150" ht="15.0" hidden="1" customHeight="1">
      <c r="A2150" s="59">
        <f t="shared" si="20"/>
        <v>32</v>
      </c>
      <c r="B2150" s="59" t="str">
        <f t="shared" si="21"/>
        <v/>
      </c>
      <c r="C2150" s="59" t="str">
        <f t="shared" si="22"/>
        <v/>
      </c>
      <c r="D2150" s="45" t="str">
        <f t="shared" si="23"/>
        <v/>
      </c>
      <c r="E2150" s="45" t="str">
        <f t="shared" si="24"/>
        <v/>
      </c>
      <c r="F2150" s="59" t="str">
        <f t="shared" si="25"/>
        <v/>
      </c>
      <c r="G2150" s="59" t="str">
        <f t="shared" si="26"/>
        <v/>
      </c>
      <c r="H2150" s="59" t="str">
        <f t="shared" si="27"/>
        <v>Máy lu lốp</v>
      </c>
      <c r="I2150" s="59" t="str">
        <f>IF(OR($A2150="",$C2150="",$D2150="",$E2150="",$H2150=""),"",SUMIFS(DATA_GOC!$H:$H,DATA_GOC!$A:$A,"BOM",DATA_GOC!$D:$D,$H2150,DATA_GOC!$E:$E,$C2150,DATA_GOC!$F:$F,"Xuất nội bộ từ téc",DATA_GOC!$B:$B,"&gt;="&amp;$D2150,DATA_GOC!$B:$B,"&lt;="&amp;$E2150))</f>
        <v/>
      </c>
      <c r="J2150" s="59">
        <f t="shared" si="28"/>
        <v>0</v>
      </c>
      <c r="K2150" s="59">
        <f t="shared" si="29"/>
        <v>0</v>
      </c>
      <c r="L2150" s="59">
        <f t="shared" si="30"/>
        <v>0</v>
      </c>
      <c r="M2150" s="59">
        <f t="shared" si="31"/>
        <v>0</v>
      </c>
    </row>
    <row r="2151" ht="15.0" hidden="1" customHeight="1">
      <c r="A2151" s="59">
        <f t="shared" si="20"/>
        <v>32</v>
      </c>
      <c r="B2151" s="59" t="str">
        <f t="shared" si="21"/>
        <v/>
      </c>
      <c r="C2151" s="59" t="str">
        <f t="shared" si="22"/>
        <v/>
      </c>
      <c r="D2151" s="45" t="str">
        <f t="shared" si="23"/>
        <v/>
      </c>
      <c r="E2151" s="45" t="str">
        <f t="shared" si="24"/>
        <v/>
      </c>
      <c r="F2151" s="59" t="str">
        <f t="shared" si="25"/>
        <v/>
      </c>
      <c r="G2151" s="59" t="str">
        <f t="shared" si="26"/>
        <v/>
      </c>
      <c r="H2151" s="59" t="str">
        <f t="shared" si="27"/>
        <v>Xe 600148</v>
      </c>
      <c r="I2151" s="59" t="str">
        <f>IF(OR($A2151="",$C2151="",$D2151="",$E2151="",$H2151=""),"",SUMIFS(DATA_GOC!$H:$H,DATA_GOC!$A:$A,"BOM",DATA_GOC!$D:$D,$H2151,DATA_GOC!$E:$E,$C2151,DATA_GOC!$F:$F,"Xuất nội bộ từ téc",DATA_GOC!$B:$B,"&gt;="&amp;$D2151,DATA_GOC!$B:$B,"&lt;="&amp;$E2151))</f>
        <v/>
      </c>
      <c r="J2151" s="59">
        <f t="shared" si="28"/>
        <v>0</v>
      </c>
      <c r="K2151" s="59">
        <f t="shared" si="29"/>
        <v>0</v>
      </c>
      <c r="L2151" s="59">
        <f t="shared" si="30"/>
        <v>0</v>
      </c>
      <c r="M2151" s="59">
        <f t="shared" si="31"/>
        <v>0</v>
      </c>
    </row>
    <row r="2152" ht="15.0" hidden="1" customHeight="1">
      <c r="A2152" s="59">
        <f t="shared" si="20"/>
        <v>32</v>
      </c>
      <c r="B2152" s="59" t="str">
        <f t="shared" si="21"/>
        <v/>
      </c>
      <c r="C2152" s="59" t="str">
        <f t="shared" si="22"/>
        <v/>
      </c>
      <c r="D2152" s="45" t="str">
        <f t="shared" si="23"/>
        <v/>
      </c>
      <c r="E2152" s="45" t="str">
        <f t="shared" si="24"/>
        <v/>
      </c>
      <c r="F2152" s="59" t="str">
        <f t="shared" si="25"/>
        <v/>
      </c>
      <c r="G2152" s="59" t="str">
        <f t="shared" si="26"/>
        <v/>
      </c>
      <c r="H2152" s="59" t="str">
        <f t="shared" si="27"/>
        <v>Xe ben mới</v>
      </c>
      <c r="I2152" s="59" t="str">
        <f>IF(OR($A2152="",$C2152="",$D2152="",$E2152="",$H2152=""),"",SUMIFS(DATA_GOC!$H:$H,DATA_GOC!$A:$A,"BOM",DATA_GOC!$D:$D,$H2152,DATA_GOC!$E:$E,$C2152,DATA_GOC!$F:$F,"Xuất nội bộ từ téc",DATA_GOC!$B:$B,"&gt;="&amp;$D2152,DATA_GOC!$B:$B,"&lt;="&amp;$E2152))</f>
        <v/>
      </c>
      <c r="J2152" s="59">
        <f t="shared" si="28"/>
        <v>0</v>
      </c>
      <c r="K2152" s="59">
        <f t="shared" si="29"/>
        <v>0</v>
      </c>
      <c r="L2152" s="59">
        <f t="shared" si="30"/>
        <v>0</v>
      </c>
      <c r="M2152" s="59">
        <f t="shared" si="31"/>
        <v>0</v>
      </c>
    </row>
    <row r="2153" ht="15.0" hidden="1" customHeight="1">
      <c r="A2153" s="59">
        <f t="shared" si="20"/>
        <v>33</v>
      </c>
      <c r="B2153" s="59" t="str">
        <f t="shared" si="21"/>
        <v/>
      </c>
      <c r="C2153" s="59" t="str">
        <f t="shared" si="22"/>
        <v/>
      </c>
      <c r="D2153" s="45" t="str">
        <f t="shared" si="23"/>
        <v/>
      </c>
      <c r="E2153" s="45" t="str">
        <f t="shared" si="24"/>
        <v/>
      </c>
      <c r="F2153" s="59" t="str">
        <f t="shared" si="25"/>
        <v/>
      </c>
      <c r="G2153" s="59" t="str">
        <f t="shared" si="26"/>
        <v/>
      </c>
      <c r="H2153" s="59" t="str">
        <f t="shared" si="27"/>
        <v>19H09482</v>
      </c>
      <c r="I2153" s="59" t="str">
        <f>IF(OR($A2153="",$C2153="",$D2153="",$E2153="",$H2153=""),"",SUMIFS(DATA_GOC!$H:$H,DATA_GOC!$A:$A,"BOM",DATA_GOC!$D:$D,$H2153,DATA_GOC!$E:$E,$C2153,DATA_GOC!$F:$F,"Xuất nội bộ từ téc",DATA_GOC!$B:$B,"&gt;="&amp;$D2153,DATA_GOC!$B:$B,"&lt;="&amp;$E2153))</f>
        <v/>
      </c>
      <c r="J2153" s="59">
        <f t="shared" si="28"/>
        <v>0</v>
      </c>
      <c r="K2153" s="59">
        <f t="shared" si="29"/>
        <v>0</v>
      </c>
      <c r="L2153" s="59">
        <f t="shared" si="30"/>
        <v>0</v>
      </c>
      <c r="M2153" s="59">
        <f t="shared" si="31"/>
        <v>0</v>
      </c>
    </row>
    <row r="2154" ht="15.0" hidden="1" customHeight="1">
      <c r="A2154" s="59">
        <f t="shared" si="20"/>
        <v>33</v>
      </c>
      <c r="B2154" s="59" t="str">
        <f t="shared" si="21"/>
        <v/>
      </c>
      <c r="C2154" s="59" t="str">
        <f t="shared" si="22"/>
        <v/>
      </c>
      <c r="D2154" s="45" t="str">
        <f t="shared" si="23"/>
        <v/>
      </c>
      <c r="E2154" s="45" t="str">
        <f t="shared" si="24"/>
        <v/>
      </c>
      <c r="F2154" s="59" t="str">
        <f t="shared" si="25"/>
        <v/>
      </c>
      <c r="G2154" s="59" t="str">
        <f t="shared" si="26"/>
        <v/>
      </c>
      <c r="H2154" s="59" t="str">
        <f t="shared" si="27"/>
        <v>28A30696</v>
      </c>
      <c r="I2154" s="59" t="str">
        <f>IF(OR($A2154="",$C2154="",$D2154="",$E2154="",$H2154=""),"",SUMIFS(DATA_GOC!$H:$H,DATA_GOC!$A:$A,"BOM",DATA_GOC!$D:$D,$H2154,DATA_GOC!$E:$E,$C2154,DATA_GOC!$F:$F,"Xuất nội bộ từ téc",DATA_GOC!$B:$B,"&gt;="&amp;$D2154,DATA_GOC!$B:$B,"&lt;="&amp;$E2154))</f>
        <v/>
      </c>
      <c r="J2154" s="59">
        <f t="shared" si="28"/>
        <v>0</v>
      </c>
      <c r="K2154" s="59">
        <f t="shared" si="29"/>
        <v>0</v>
      </c>
      <c r="L2154" s="59">
        <f t="shared" si="30"/>
        <v>0</v>
      </c>
      <c r="M2154" s="59">
        <f t="shared" si="31"/>
        <v>0</v>
      </c>
    </row>
    <row r="2155" ht="15.0" hidden="1" customHeight="1">
      <c r="A2155" s="59">
        <f t="shared" si="20"/>
        <v>33</v>
      </c>
      <c r="B2155" s="59" t="str">
        <f t="shared" si="21"/>
        <v/>
      </c>
      <c r="C2155" s="59" t="str">
        <f t="shared" si="22"/>
        <v/>
      </c>
      <c r="D2155" s="45" t="str">
        <f t="shared" si="23"/>
        <v/>
      </c>
      <c r="E2155" s="45" t="str">
        <f t="shared" si="24"/>
        <v/>
      </c>
      <c r="F2155" s="59" t="str">
        <f t="shared" si="25"/>
        <v/>
      </c>
      <c r="G2155" s="59" t="str">
        <f t="shared" si="26"/>
        <v/>
      </c>
      <c r="H2155" s="59" t="str">
        <f t="shared" si="27"/>
        <v>28C00462</v>
      </c>
      <c r="I2155" s="59" t="str">
        <f>IF(OR($A2155="",$C2155="",$D2155="",$E2155="",$H2155=""),"",SUMIFS(DATA_GOC!$H:$H,DATA_GOC!$A:$A,"BOM",DATA_GOC!$D:$D,$H2155,DATA_GOC!$E:$E,$C2155,DATA_GOC!$F:$F,"Xuất nội bộ từ téc",DATA_GOC!$B:$B,"&gt;="&amp;$D2155,DATA_GOC!$B:$B,"&lt;="&amp;$E2155))</f>
        <v/>
      </c>
      <c r="J2155" s="59">
        <f t="shared" si="28"/>
        <v>0</v>
      </c>
      <c r="K2155" s="59">
        <f t="shared" si="29"/>
        <v>0</v>
      </c>
      <c r="L2155" s="59">
        <f t="shared" si="30"/>
        <v>0</v>
      </c>
      <c r="M2155" s="59">
        <f t="shared" si="31"/>
        <v>0</v>
      </c>
    </row>
    <row r="2156" ht="15.0" hidden="1" customHeight="1">
      <c r="A2156" s="59">
        <f t="shared" si="20"/>
        <v>33</v>
      </c>
      <c r="B2156" s="59" t="str">
        <f t="shared" si="21"/>
        <v/>
      </c>
      <c r="C2156" s="59" t="str">
        <f t="shared" si="22"/>
        <v/>
      </c>
      <c r="D2156" s="45" t="str">
        <f t="shared" si="23"/>
        <v/>
      </c>
      <c r="E2156" s="45" t="str">
        <f t="shared" si="24"/>
        <v/>
      </c>
      <c r="F2156" s="59" t="str">
        <f t="shared" si="25"/>
        <v/>
      </c>
      <c r="G2156" s="59" t="str">
        <f t="shared" si="26"/>
        <v/>
      </c>
      <c r="H2156" s="59" t="str">
        <f t="shared" si="27"/>
        <v>28C01165</v>
      </c>
      <c r="I2156" s="59" t="str">
        <f>IF(OR($A2156="",$C2156="",$D2156="",$E2156="",$H2156=""),"",SUMIFS(DATA_GOC!$H:$H,DATA_GOC!$A:$A,"BOM",DATA_GOC!$D:$D,$H2156,DATA_GOC!$E:$E,$C2156,DATA_GOC!$F:$F,"Xuất nội bộ từ téc",DATA_GOC!$B:$B,"&gt;="&amp;$D2156,DATA_GOC!$B:$B,"&lt;="&amp;$E2156))</f>
        <v/>
      </c>
      <c r="J2156" s="59">
        <f t="shared" si="28"/>
        <v>0</v>
      </c>
      <c r="K2156" s="59">
        <f t="shared" si="29"/>
        <v>0</v>
      </c>
      <c r="L2156" s="59">
        <f t="shared" si="30"/>
        <v>0</v>
      </c>
      <c r="M2156" s="59">
        <f t="shared" si="31"/>
        <v>0</v>
      </c>
    </row>
    <row r="2157" ht="15.0" hidden="1" customHeight="1">
      <c r="A2157" s="59">
        <f t="shared" si="20"/>
        <v>33</v>
      </c>
      <c r="B2157" s="59" t="str">
        <f t="shared" si="21"/>
        <v/>
      </c>
      <c r="C2157" s="59" t="str">
        <f t="shared" si="22"/>
        <v/>
      </c>
      <c r="D2157" s="45" t="str">
        <f t="shared" si="23"/>
        <v/>
      </c>
      <c r="E2157" s="45" t="str">
        <f t="shared" si="24"/>
        <v/>
      </c>
      <c r="F2157" s="59" t="str">
        <f t="shared" si="25"/>
        <v/>
      </c>
      <c r="G2157" s="59" t="str">
        <f t="shared" si="26"/>
        <v/>
      </c>
      <c r="H2157" s="59" t="str">
        <f t="shared" si="27"/>
        <v>28C01406</v>
      </c>
      <c r="I2157" s="59" t="str">
        <f>IF(OR($A2157="",$C2157="",$D2157="",$E2157="",$H2157=""),"",SUMIFS(DATA_GOC!$H:$H,DATA_GOC!$A:$A,"BOM",DATA_GOC!$D:$D,$H2157,DATA_GOC!$E:$E,$C2157,DATA_GOC!$F:$F,"Xuất nội bộ từ téc",DATA_GOC!$B:$B,"&gt;="&amp;$D2157,DATA_GOC!$B:$B,"&lt;="&amp;$E2157))</f>
        <v/>
      </c>
      <c r="J2157" s="59">
        <f t="shared" si="28"/>
        <v>0</v>
      </c>
      <c r="K2157" s="59">
        <f t="shared" si="29"/>
        <v>0</v>
      </c>
      <c r="L2157" s="59">
        <f t="shared" si="30"/>
        <v>0</v>
      </c>
      <c r="M2157" s="59">
        <f t="shared" si="31"/>
        <v>0</v>
      </c>
    </row>
    <row r="2158" ht="15.0" hidden="1" customHeight="1">
      <c r="A2158" s="59">
        <f t="shared" si="20"/>
        <v>33</v>
      </c>
      <c r="B2158" s="59" t="str">
        <f t="shared" si="21"/>
        <v/>
      </c>
      <c r="C2158" s="59" t="str">
        <f t="shared" si="22"/>
        <v/>
      </c>
      <c r="D2158" s="45" t="str">
        <f t="shared" si="23"/>
        <v/>
      </c>
      <c r="E2158" s="45" t="str">
        <f t="shared" si="24"/>
        <v/>
      </c>
      <c r="F2158" s="59" t="str">
        <f t="shared" si="25"/>
        <v/>
      </c>
      <c r="G2158" s="59" t="str">
        <f t="shared" si="26"/>
        <v/>
      </c>
      <c r="H2158" s="59" t="str">
        <f t="shared" si="27"/>
        <v>28C01544</v>
      </c>
      <c r="I2158" s="59" t="str">
        <f>IF(OR($A2158="",$C2158="",$D2158="",$E2158="",$H2158=""),"",SUMIFS(DATA_GOC!$H:$H,DATA_GOC!$A:$A,"BOM",DATA_GOC!$D:$D,$H2158,DATA_GOC!$E:$E,$C2158,DATA_GOC!$F:$F,"Xuất nội bộ từ téc",DATA_GOC!$B:$B,"&gt;="&amp;$D2158,DATA_GOC!$B:$B,"&lt;="&amp;$E2158))</f>
        <v/>
      </c>
      <c r="J2158" s="59">
        <f t="shared" si="28"/>
        <v>0</v>
      </c>
      <c r="K2158" s="59">
        <f t="shared" si="29"/>
        <v>0</v>
      </c>
      <c r="L2158" s="59">
        <f t="shared" si="30"/>
        <v>0</v>
      </c>
      <c r="M2158" s="59">
        <f t="shared" si="31"/>
        <v>0</v>
      </c>
    </row>
    <row r="2159" ht="15.0" hidden="1" customHeight="1">
      <c r="A2159" s="59">
        <f t="shared" si="20"/>
        <v>33</v>
      </c>
      <c r="B2159" s="59" t="str">
        <f t="shared" si="21"/>
        <v/>
      </c>
      <c r="C2159" s="59" t="str">
        <f t="shared" si="22"/>
        <v/>
      </c>
      <c r="D2159" s="45" t="str">
        <f t="shared" si="23"/>
        <v/>
      </c>
      <c r="E2159" s="45" t="str">
        <f t="shared" si="24"/>
        <v/>
      </c>
      <c r="F2159" s="59" t="str">
        <f t="shared" si="25"/>
        <v/>
      </c>
      <c r="G2159" s="59" t="str">
        <f t="shared" si="26"/>
        <v/>
      </c>
      <c r="H2159" s="59" t="str">
        <f t="shared" si="27"/>
        <v>28C01622</v>
      </c>
      <c r="I2159" s="59" t="str">
        <f>IF(OR($A2159="",$C2159="",$D2159="",$E2159="",$H2159=""),"",SUMIFS(DATA_GOC!$H:$H,DATA_GOC!$A:$A,"BOM",DATA_GOC!$D:$D,$H2159,DATA_GOC!$E:$E,$C2159,DATA_GOC!$F:$F,"Xuất nội bộ từ téc",DATA_GOC!$B:$B,"&gt;="&amp;$D2159,DATA_GOC!$B:$B,"&lt;="&amp;$E2159))</f>
        <v/>
      </c>
      <c r="J2159" s="59">
        <f t="shared" si="28"/>
        <v>0</v>
      </c>
      <c r="K2159" s="59">
        <f t="shared" si="29"/>
        <v>0</v>
      </c>
      <c r="L2159" s="59">
        <f t="shared" si="30"/>
        <v>0</v>
      </c>
      <c r="M2159" s="59">
        <f t="shared" si="31"/>
        <v>0</v>
      </c>
    </row>
    <row r="2160" ht="15.0" hidden="1" customHeight="1">
      <c r="A2160" s="59">
        <f t="shared" si="20"/>
        <v>33</v>
      </c>
      <c r="B2160" s="59" t="str">
        <f t="shared" si="21"/>
        <v/>
      </c>
      <c r="C2160" s="59" t="str">
        <f t="shared" si="22"/>
        <v/>
      </c>
      <c r="D2160" s="45" t="str">
        <f t="shared" si="23"/>
        <v/>
      </c>
      <c r="E2160" s="45" t="str">
        <f t="shared" si="24"/>
        <v/>
      </c>
      <c r="F2160" s="59" t="str">
        <f t="shared" si="25"/>
        <v/>
      </c>
      <c r="G2160" s="59" t="str">
        <f t="shared" si="26"/>
        <v/>
      </c>
      <c r="H2160" s="59" t="str">
        <f t="shared" si="27"/>
        <v>28C01647</v>
      </c>
      <c r="I2160" s="59" t="str">
        <f>IF(OR($A2160="",$C2160="",$D2160="",$E2160="",$H2160=""),"",SUMIFS(DATA_GOC!$H:$H,DATA_GOC!$A:$A,"BOM",DATA_GOC!$D:$D,$H2160,DATA_GOC!$E:$E,$C2160,DATA_GOC!$F:$F,"Xuất nội bộ từ téc",DATA_GOC!$B:$B,"&gt;="&amp;$D2160,DATA_GOC!$B:$B,"&lt;="&amp;$E2160))</f>
        <v/>
      </c>
      <c r="J2160" s="59">
        <f t="shared" si="28"/>
        <v>0</v>
      </c>
      <c r="K2160" s="59">
        <f t="shared" si="29"/>
        <v>0</v>
      </c>
      <c r="L2160" s="59">
        <f t="shared" si="30"/>
        <v>0</v>
      </c>
      <c r="M2160" s="59">
        <f t="shared" si="31"/>
        <v>0</v>
      </c>
    </row>
    <row r="2161" ht="15.0" hidden="1" customHeight="1">
      <c r="A2161" s="59">
        <f t="shared" si="20"/>
        <v>33</v>
      </c>
      <c r="B2161" s="59" t="str">
        <f t="shared" si="21"/>
        <v/>
      </c>
      <c r="C2161" s="59" t="str">
        <f t="shared" si="22"/>
        <v/>
      </c>
      <c r="D2161" s="45" t="str">
        <f t="shared" si="23"/>
        <v/>
      </c>
      <c r="E2161" s="45" t="str">
        <f t="shared" si="24"/>
        <v/>
      </c>
      <c r="F2161" s="59" t="str">
        <f t="shared" si="25"/>
        <v/>
      </c>
      <c r="G2161" s="59" t="str">
        <f t="shared" si="26"/>
        <v/>
      </c>
      <c r="H2161" s="59" t="str">
        <f t="shared" si="27"/>
        <v>28C01731</v>
      </c>
      <c r="I2161" s="59" t="str">
        <f>IF(OR($A2161="",$C2161="",$D2161="",$E2161="",$H2161=""),"",SUMIFS(DATA_GOC!$H:$H,DATA_GOC!$A:$A,"BOM",DATA_GOC!$D:$D,$H2161,DATA_GOC!$E:$E,$C2161,DATA_GOC!$F:$F,"Xuất nội bộ từ téc",DATA_GOC!$B:$B,"&gt;="&amp;$D2161,DATA_GOC!$B:$B,"&lt;="&amp;$E2161))</f>
        <v/>
      </c>
      <c r="J2161" s="59">
        <f t="shared" si="28"/>
        <v>0</v>
      </c>
      <c r="K2161" s="59">
        <f t="shared" si="29"/>
        <v>0</v>
      </c>
      <c r="L2161" s="59">
        <f t="shared" si="30"/>
        <v>0</v>
      </c>
      <c r="M2161" s="59">
        <f t="shared" si="31"/>
        <v>0</v>
      </c>
    </row>
    <row r="2162" ht="15.0" hidden="1" customHeight="1">
      <c r="A2162" s="59">
        <f t="shared" si="20"/>
        <v>33</v>
      </c>
      <c r="B2162" s="59" t="str">
        <f t="shared" si="21"/>
        <v/>
      </c>
      <c r="C2162" s="59" t="str">
        <f t="shared" si="22"/>
        <v/>
      </c>
      <c r="D2162" s="45" t="str">
        <f t="shared" si="23"/>
        <v/>
      </c>
      <c r="E2162" s="45" t="str">
        <f t="shared" si="24"/>
        <v/>
      </c>
      <c r="F2162" s="59" t="str">
        <f t="shared" si="25"/>
        <v/>
      </c>
      <c r="G2162" s="59" t="str">
        <f t="shared" si="26"/>
        <v/>
      </c>
      <c r="H2162" s="59" t="str">
        <f t="shared" si="27"/>
        <v>28C01743</v>
      </c>
      <c r="I2162" s="59" t="str">
        <f>IF(OR($A2162="",$C2162="",$D2162="",$E2162="",$H2162=""),"",SUMIFS(DATA_GOC!$H:$H,DATA_GOC!$A:$A,"BOM",DATA_GOC!$D:$D,$H2162,DATA_GOC!$E:$E,$C2162,DATA_GOC!$F:$F,"Xuất nội bộ từ téc",DATA_GOC!$B:$B,"&gt;="&amp;$D2162,DATA_GOC!$B:$B,"&lt;="&amp;$E2162))</f>
        <v/>
      </c>
      <c r="J2162" s="59">
        <f t="shared" si="28"/>
        <v>0</v>
      </c>
      <c r="K2162" s="59">
        <f t="shared" si="29"/>
        <v>0</v>
      </c>
      <c r="L2162" s="59">
        <f t="shared" si="30"/>
        <v>0</v>
      </c>
      <c r="M2162" s="59">
        <f t="shared" si="31"/>
        <v>0</v>
      </c>
    </row>
    <row r="2163" ht="15.0" hidden="1" customHeight="1">
      <c r="A2163" s="59">
        <f t="shared" si="20"/>
        <v>33</v>
      </c>
      <c r="B2163" s="59" t="str">
        <f t="shared" si="21"/>
        <v/>
      </c>
      <c r="C2163" s="59" t="str">
        <f t="shared" si="22"/>
        <v/>
      </c>
      <c r="D2163" s="45" t="str">
        <f t="shared" si="23"/>
        <v/>
      </c>
      <c r="E2163" s="45" t="str">
        <f t="shared" si="24"/>
        <v/>
      </c>
      <c r="F2163" s="59" t="str">
        <f t="shared" si="25"/>
        <v/>
      </c>
      <c r="G2163" s="59" t="str">
        <f t="shared" si="26"/>
        <v/>
      </c>
      <c r="H2163" s="59" t="str">
        <f t="shared" si="27"/>
        <v>28C02106</v>
      </c>
      <c r="I2163" s="59" t="str">
        <f>IF(OR($A2163="",$C2163="",$D2163="",$E2163="",$H2163=""),"",SUMIFS(DATA_GOC!$H:$H,DATA_GOC!$A:$A,"BOM",DATA_GOC!$D:$D,$H2163,DATA_GOC!$E:$E,$C2163,DATA_GOC!$F:$F,"Xuất nội bộ từ téc",DATA_GOC!$B:$B,"&gt;="&amp;$D2163,DATA_GOC!$B:$B,"&lt;="&amp;$E2163))</f>
        <v/>
      </c>
      <c r="J2163" s="59">
        <f t="shared" si="28"/>
        <v>0</v>
      </c>
      <c r="K2163" s="59">
        <f t="shared" si="29"/>
        <v>0</v>
      </c>
      <c r="L2163" s="59">
        <f t="shared" si="30"/>
        <v>0</v>
      </c>
      <c r="M2163" s="59">
        <f t="shared" si="31"/>
        <v>0</v>
      </c>
    </row>
    <row r="2164" ht="15.0" hidden="1" customHeight="1">
      <c r="A2164" s="59">
        <f t="shared" si="20"/>
        <v>33</v>
      </c>
      <c r="B2164" s="59" t="str">
        <f t="shared" si="21"/>
        <v/>
      </c>
      <c r="C2164" s="59" t="str">
        <f t="shared" si="22"/>
        <v/>
      </c>
      <c r="D2164" s="45" t="str">
        <f t="shared" si="23"/>
        <v/>
      </c>
      <c r="E2164" s="45" t="str">
        <f t="shared" si="24"/>
        <v/>
      </c>
      <c r="F2164" s="59" t="str">
        <f t="shared" si="25"/>
        <v/>
      </c>
      <c r="G2164" s="59" t="str">
        <f t="shared" si="26"/>
        <v/>
      </c>
      <c r="H2164" s="59" t="str">
        <f t="shared" si="27"/>
        <v>28C02410</v>
      </c>
      <c r="I2164" s="59" t="str">
        <f>IF(OR($A2164="",$C2164="",$D2164="",$E2164="",$H2164=""),"",SUMIFS(DATA_GOC!$H:$H,DATA_GOC!$A:$A,"BOM",DATA_GOC!$D:$D,$H2164,DATA_GOC!$E:$E,$C2164,DATA_GOC!$F:$F,"Xuất nội bộ từ téc",DATA_GOC!$B:$B,"&gt;="&amp;$D2164,DATA_GOC!$B:$B,"&lt;="&amp;$E2164))</f>
        <v/>
      </c>
      <c r="J2164" s="59">
        <f t="shared" si="28"/>
        <v>0</v>
      </c>
      <c r="K2164" s="59">
        <f t="shared" si="29"/>
        <v>0</v>
      </c>
      <c r="L2164" s="59">
        <f t="shared" si="30"/>
        <v>0</v>
      </c>
      <c r="M2164" s="59">
        <f t="shared" si="31"/>
        <v>0</v>
      </c>
    </row>
    <row r="2165" ht="15.0" hidden="1" customHeight="1">
      <c r="A2165" s="59">
        <f t="shared" si="20"/>
        <v>33</v>
      </c>
      <c r="B2165" s="59" t="str">
        <f t="shared" si="21"/>
        <v/>
      </c>
      <c r="C2165" s="59" t="str">
        <f t="shared" si="22"/>
        <v/>
      </c>
      <c r="D2165" s="45" t="str">
        <f t="shared" si="23"/>
        <v/>
      </c>
      <c r="E2165" s="45" t="str">
        <f t="shared" si="24"/>
        <v/>
      </c>
      <c r="F2165" s="59" t="str">
        <f t="shared" si="25"/>
        <v/>
      </c>
      <c r="G2165" s="59" t="str">
        <f t="shared" si="26"/>
        <v/>
      </c>
      <c r="H2165" s="59" t="str">
        <f t="shared" si="27"/>
        <v>28C02545</v>
      </c>
      <c r="I2165" s="59" t="str">
        <f>IF(OR($A2165="",$C2165="",$D2165="",$E2165="",$H2165=""),"",SUMIFS(DATA_GOC!$H:$H,DATA_GOC!$A:$A,"BOM",DATA_GOC!$D:$D,$H2165,DATA_GOC!$E:$E,$C2165,DATA_GOC!$F:$F,"Xuất nội bộ từ téc",DATA_GOC!$B:$B,"&gt;="&amp;$D2165,DATA_GOC!$B:$B,"&lt;="&amp;$E2165))</f>
        <v/>
      </c>
      <c r="J2165" s="59">
        <f t="shared" si="28"/>
        <v>0</v>
      </c>
      <c r="K2165" s="59">
        <f t="shared" si="29"/>
        <v>0</v>
      </c>
      <c r="L2165" s="59">
        <f t="shared" si="30"/>
        <v>0</v>
      </c>
      <c r="M2165" s="59">
        <f t="shared" si="31"/>
        <v>0</v>
      </c>
    </row>
    <row r="2166" ht="15.0" hidden="1" customHeight="1">
      <c r="A2166" s="59">
        <f t="shared" si="20"/>
        <v>33</v>
      </c>
      <c r="B2166" s="59" t="str">
        <f t="shared" si="21"/>
        <v/>
      </c>
      <c r="C2166" s="59" t="str">
        <f t="shared" si="22"/>
        <v/>
      </c>
      <c r="D2166" s="45" t="str">
        <f t="shared" si="23"/>
        <v/>
      </c>
      <c r="E2166" s="45" t="str">
        <f t="shared" si="24"/>
        <v/>
      </c>
      <c r="F2166" s="59" t="str">
        <f t="shared" si="25"/>
        <v/>
      </c>
      <c r="G2166" s="59" t="str">
        <f t="shared" si="26"/>
        <v/>
      </c>
      <c r="H2166" s="59" t="str">
        <f t="shared" si="27"/>
        <v>28C02574</v>
      </c>
      <c r="I2166" s="59" t="str">
        <f>IF(OR($A2166="",$C2166="",$D2166="",$E2166="",$H2166=""),"",SUMIFS(DATA_GOC!$H:$H,DATA_GOC!$A:$A,"BOM",DATA_GOC!$D:$D,$H2166,DATA_GOC!$E:$E,$C2166,DATA_GOC!$F:$F,"Xuất nội bộ từ téc",DATA_GOC!$B:$B,"&gt;="&amp;$D2166,DATA_GOC!$B:$B,"&lt;="&amp;$E2166))</f>
        <v/>
      </c>
      <c r="J2166" s="59">
        <f t="shared" si="28"/>
        <v>0</v>
      </c>
      <c r="K2166" s="59">
        <f t="shared" si="29"/>
        <v>0</v>
      </c>
      <c r="L2166" s="59">
        <f t="shared" si="30"/>
        <v>0</v>
      </c>
      <c r="M2166" s="59">
        <f t="shared" si="31"/>
        <v>0</v>
      </c>
    </row>
    <row r="2167" ht="15.0" hidden="1" customHeight="1">
      <c r="A2167" s="59">
        <f t="shared" si="20"/>
        <v>33</v>
      </c>
      <c r="B2167" s="59" t="str">
        <f t="shared" si="21"/>
        <v/>
      </c>
      <c r="C2167" s="59" t="str">
        <f t="shared" si="22"/>
        <v/>
      </c>
      <c r="D2167" s="45" t="str">
        <f t="shared" si="23"/>
        <v/>
      </c>
      <c r="E2167" s="45" t="str">
        <f t="shared" si="24"/>
        <v/>
      </c>
      <c r="F2167" s="59" t="str">
        <f t="shared" si="25"/>
        <v/>
      </c>
      <c r="G2167" s="59" t="str">
        <f t="shared" si="26"/>
        <v/>
      </c>
      <c r="H2167" s="59" t="str">
        <f t="shared" si="27"/>
        <v>28C02770</v>
      </c>
      <c r="I2167" s="59" t="str">
        <f>IF(OR($A2167="",$C2167="",$D2167="",$E2167="",$H2167=""),"",SUMIFS(DATA_GOC!$H:$H,DATA_GOC!$A:$A,"BOM",DATA_GOC!$D:$D,$H2167,DATA_GOC!$E:$E,$C2167,DATA_GOC!$F:$F,"Xuất nội bộ từ téc",DATA_GOC!$B:$B,"&gt;="&amp;$D2167,DATA_GOC!$B:$B,"&lt;="&amp;$E2167))</f>
        <v/>
      </c>
      <c r="J2167" s="59">
        <f t="shared" si="28"/>
        <v>0</v>
      </c>
      <c r="K2167" s="59">
        <f t="shared" si="29"/>
        <v>0</v>
      </c>
      <c r="L2167" s="59">
        <f t="shared" si="30"/>
        <v>0</v>
      </c>
      <c r="M2167" s="59">
        <f t="shared" si="31"/>
        <v>0</v>
      </c>
    </row>
    <row r="2168" ht="15.0" hidden="1" customHeight="1">
      <c r="A2168" s="59">
        <f t="shared" si="20"/>
        <v>33</v>
      </c>
      <c r="B2168" s="59" t="str">
        <f t="shared" si="21"/>
        <v/>
      </c>
      <c r="C2168" s="59" t="str">
        <f t="shared" si="22"/>
        <v/>
      </c>
      <c r="D2168" s="45" t="str">
        <f t="shared" si="23"/>
        <v/>
      </c>
      <c r="E2168" s="45" t="str">
        <f t="shared" si="24"/>
        <v/>
      </c>
      <c r="F2168" s="59" t="str">
        <f t="shared" si="25"/>
        <v/>
      </c>
      <c r="G2168" s="59" t="str">
        <f t="shared" si="26"/>
        <v/>
      </c>
      <c r="H2168" s="59" t="str">
        <f t="shared" si="27"/>
        <v>28C02986</v>
      </c>
      <c r="I2168" s="59" t="str">
        <f>IF(OR($A2168="",$C2168="",$D2168="",$E2168="",$H2168=""),"",SUMIFS(DATA_GOC!$H:$H,DATA_GOC!$A:$A,"BOM",DATA_GOC!$D:$D,$H2168,DATA_GOC!$E:$E,$C2168,DATA_GOC!$F:$F,"Xuất nội bộ từ téc",DATA_GOC!$B:$B,"&gt;="&amp;$D2168,DATA_GOC!$B:$B,"&lt;="&amp;$E2168))</f>
        <v/>
      </c>
      <c r="J2168" s="59">
        <f t="shared" si="28"/>
        <v>0</v>
      </c>
      <c r="K2168" s="59">
        <f t="shared" si="29"/>
        <v>0</v>
      </c>
      <c r="L2168" s="59">
        <f t="shared" si="30"/>
        <v>0</v>
      </c>
      <c r="M2168" s="59">
        <f t="shared" si="31"/>
        <v>0</v>
      </c>
    </row>
    <row r="2169" ht="15.0" hidden="1" customHeight="1">
      <c r="A2169" s="59">
        <f t="shared" si="20"/>
        <v>33</v>
      </c>
      <c r="B2169" s="59" t="str">
        <f t="shared" si="21"/>
        <v/>
      </c>
      <c r="C2169" s="59" t="str">
        <f t="shared" si="22"/>
        <v/>
      </c>
      <c r="D2169" s="45" t="str">
        <f t="shared" si="23"/>
        <v/>
      </c>
      <c r="E2169" s="45" t="str">
        <f t="shared" si="24"/>
        <v/>
      </c>
      <c r="F2169" s="59" t="str">
        <f t="shared" si="25"/>
        <v/>
      </c>
      <c r="G2169" s="59" t="str">
        <f t="shared" si="26"/>
        <v/>
      </c>
      <c r="H2169" s="59" t="str">
        <f t="shared" si="27"/>
        <v>28C03261</v>
      </c>
      <c r="I2169" s="59" t="str">
        <f>IF(OR($A2169="",$C2169="",$D2169="",$E2169="",$H2169=""),"",SUMIFS(DATA_GOC!$H:$H,DATA_GOC!$A:$A,"BOM",DATA_GOC!$D:$D,$H2169,DATA_GOC!$E:$E,$C2169,DATA_GOC!$F:$F,"Xuất nội bộ từ téc",DATA_GOC!$B:$B,"&gt;="&amp;$D2169,DATA_GOC!$B:$B,"&lt;="&amp;$E2169))</f>
        <v/>
      </c>
      <c r="J2169" s="59">
        <f t="shared" si="28"/>
        <v>0</v>
      </c>
      <c r="K2169" s="59">
        <f t="shared" si="29"/>
        <v>0</v>
      </c>
      <c r="L2169" s="59">
        <f t="shared" si="30"/>
        <v>0</v>
      </c>
      <c r="M2169" s="59">
        <f t="shared" si="31"/>
        <v>0</v>
      </c>
    </row>
    <row r="2170" ht="15.0" hidden="1" customHeight="1">
      <c r="A2170" s="59">
        <f t="shared" si="20"/>
        <v>33</v>
      </c>
      <c r="B2170" s="59" t="str">
        <f t="shared" si="21"/>
        <v/>
      </c>
      <c r="C2170" s="59" t="str">
        <f t="shared" si="22"/>
        <v/>
      </c>
      <c r="D2170" s="45" t="str">
        <f t="shared" si="23"/>
        <v/>
      </c>
      <c r="E2170" s="45" t="str">
        <f t="shared" si="24"/>
        <v/>
      </c>
      <c r="F2170" s="59" t="str">
        <f t="shared" si="25"/>
        <v/>
      </c>
      <c r="G2170" s="59" t="str">
        <f t="shared" si="26"/>
        <v/>
      </c>
      <c r="H2170" s="59" t="str">
        <f t="shared" si="27"/>
        <v>28C03323</v>
      </c>
      <c r="I2170" s="59" t="str">
        <f>IF(OR($A2170="",$C2170="",$D2170="",$E2170="",$H2170=""),"",SUMIFS(DATA_GOC!$H:$H,DATA_GOC!$A:$A,"BOM",DATA_GOC!$D:$D,$H2170,DATA_GOC!$E:$E,$C2170,DATA_GOC!$F:$F,"Xuất nội bộ từ téc",DATA_GOC!$B:$B,"&gt;="&amp;$D2170,DATA_GOC!$B:$B,"&lt;="&amp;$E2170))</f>
        <v/>
      </c>
      <c r="J2170" s="59">
        <f t="shared" si="28"/>
        <v>0</v>
      </c>
      <c r="K2170" s="59">
        <f t="shared" si="29"/>
        <v>0</v>
      </c>
      <c r="L2170" s="59">
        <f t="shared" si="30"/>
        <v>0</v>
      </c>
      <c r="M2170" s="59">
        <f t="shared" si="31"/>
        <v>0</v>
      </c>
    </row>
    <row r="2171" ht="15.0" hidden="1" customHeight="1">
      <c r="A2171" s="59">
        <f t="shared" si="20"/>
        <v>33</v>
      </c>
      <c r="B2171" s="59" t="str">
        <f t="shared" si="21"/>
        <v/>
      </c>
      <c r="C2171" s="59" t="str">
        <f t="shared" si="22"/>
        <v/>
      </c>
      <c r="D2171" s="45" t="str">
        <f t="shared" si="23"/>
        <v/>
      </c>
      <c r="E2171" s="45" t="str">
        <f t="shared" si="24"/>
        <v/>
      </c>
      <c r="F2171" s="59" t="str">
        <f t="shared" si="25"/>
        <v/>
      </c>
      <c r="G2171" s="59" t="str">
        <f t="shared" si="26"/>
        <v/>
      </c>
      <c r="H2171" s="59" t="str">
        <f t="shared" si="27"/>
        <v>28C03385</v>
      </c>
      <c r="I2171" s="59" t="str">
        <f>IF(OR($A2171="",$C2171="",$D2171="",$E2171="",$H2171=""),"",SUMIFS(DATA_GOC!$H:$H,DATA_GOC!$A:$A,"BOM",DATA_GOC!$D:$D,$H2171,DATA_GOC!$E:$E,$C2171,DATA_GOC!$F:$F,"Xuất nội bộ từ téc",DATA_GOC!$B:$B,"&gt;="&amp;$D2171,DATA_GOC!$B:$B,"&lt;="&amp;$E2171))</f>
        <v/>
      </c>
      <c r="J2171" s="59">
        <f t="shared" si="28"/>
        <v>0</v>
      </c>
      <c r="K2171" s="59">
        <f t="shared" si="29"/>
        <v>0</v>
      </c>
      <c r="L2171" s="59">
        <f t="shared" si="30"/>
        <v>0</v>
      </c>
      <c r="M2171" s="59">
        <f t="shared" si="31"/>
        <v>0</v>
      </c>
    </row>
    <row r="2172" ht="15.0" hidden="1" customHeight="1">
      <c r="A2172" s="59">
        <f t="shared" si="20"/>
        <v>33</v>
      </c>
      <c r="B2172" s="59" t="str">
        <f t="shared" si="21"/>
        <v/>
      </c>
      <c r="C2172" s="59" t="str">
        <f t="shared" si="22"/>
        <v/>
      </c>
      <c r="D2172" s="45" t="str">
        <f t="shared" si="23"/>
        <v/>
      </c>
      <c r="E2172" s="45" t="str">
        <f t="shared" si="24"/>
        <v/>
      </c>
      <c r="F2172" s="59" t="str">
        <f t="shared" si="25"/>
        <v/>
      </c>
      <c r="G2172" s="59" t="str">
        <f t="shared" si="26"/>
        <v/>
      </c>
      <c r="H2172" s="59" t="str">
        <f t="shared" si="27"/>
        <v>28C03652</v>
      </c>
      <c r="I2172" s="59" t="str">
        <f>IF(OR($A2172="",$C2172="",$D2172="",$E2172="",$H2172=""),"",SUMIFS(DATA_GOC!$H:$H,DATA_GOC!$A:$A,"BOM",DATA_GOC!$D:$D,$H2172,DATA_GOC!$E:$E,$C2172,DATA_GOC!$F:$F,"Xuất nội bộ từ téc",DATA_GOC!$B:$B,"&gt;="&amp;$D2172,DATA_GOC!$B:$B,"&lt;="&amp;$E2172))</f>
        <v/>
      </c>
      <c r="J2172" s="59">
        <f t="shared" si="28"/>
        <v>0</v>
      </c>
      <c r="K2172" s="59">
        <f t="shared" si="29"/>
        <v>0</v>
      </c>
      <c r="L2172" s="59">
        <f t="shared" si="30"/>
        <v>0</v>
      </c>
      <c r="M2172" s="59">
        <f t="shared" si="31"/>
        <v>0</v>
      </c>
    </row>
    <row r="2173" ht="15.0" hidden="1" customHeight="1">
      <c r="A2173" s="59">
        <f t="shared" si="20"/>
        <v>33</v>
      </c>
      <c r="B2173" s="59" t="str">
        <f t="shared" si="21"/>
        <v/>
      </c>
      <c r="C2173" s="59" t="str">
        <f t="shared" si="22"/>
        <v/>
      </c>
      <c r="D2173" s="45" t="str">
        <f t="shared" si="23"/>
        <v/>
      </c>
      <c r="E2173" s="45" t="str">
        <f t="shared" si="24"/>
        <v/>
      </c>
      <c r="F2173" s="59" t="str">
        <f t="shared" si="25"/>
        <v/>
      </c>
      <c r="G2173" s="59" t="str">
        <f t="shared" si="26"/>
        <v/>
      </c>
      <c r="H2173" s="59" t="str">
        <f t="shared" si="27"/>
        <v>28C03695</v>
      </c>
      <c r="I2173" s="59" t="str">
        <f>IF(OR($A2173="",$C2173="",$D2173="",$E2173="",$H2173=""),"",SUMIFS(DATA_GOC!$H:$H,DATA_GOC!$A:$A,"BOM",DATA_GOC!$D:$D,$H2173,DATA_GOC!$E:$E,$C2173,DATA_GOC!$F:$F,"Xuất nội bộ từ téc",DATA_GOC!$B:$B,"&gt;="&amp;$D2173,DATA_GOC!$B:$B,"&lt;="&amp;$E2173))</f>
        <v/>
      </c>
      <c r="J2173" s="59">
        <f t="shared" si="28"/>
        <v>0</v>
      </c>
      <c r="K2173" s="59">
        <f t="shared" si="29"/>
        <v>0</v>
      </c>
      <c r="L2173" s="59">
        <f t="shared" si="30"/>
        <v>0</v>
      </c>
      <c r="M2173" s="59">
        <f t="shared" si="31"/>
        <v>0</v>
      </c>
    </row>
    <row r="2174" ht="15.0" hidden="1" customHeight="1">
      <c r="A2174" s="59">
        <f t="shared" si="20"/>
        <v>33</v>
      </c>
      <c r="B2174" s="59" t="str">
        <f t="shared" si="21"/>
        <v/>
      </c>
      <c r="C2174" s="59" t="str">
        <f t="shared" si="22"/>
        <v/>
      </c>
      <c r="D2174" s="45" t="str">
        <f t="shared" si="23"/>
        <v/>
      </c>
      <c r="E2174" s="45" t="str">
        <f t="shared" si="24"/>
        <v/>
      </c>
      <c r="F2174" s="59" t="str">
        <f t="shared" si="25"/>
        <v/>
      </c>
      <c r="G2174" s="59" t="str">
        <f t="shared" si="26"/>
        <v/>
      </c>
      <c r="H2174" s="59" t="str">
        <f t="shared" si="27"/>
        <v>28C03927</v>
      </c>
      <c r="I2174" s="59" t="str">
        <f>IF(OR($A2174="",$C2174="",$D2174="",$E2174="",$H2174=""),"",SUMIFS(DATA_GOC!$H:$H,DATA_GOC!$A:$A,"BOM",DATA_GOC!$D:$D,$H2174,DATA_GOC!$E:$E,$C2174,DATA_GOC!$F:$F,"Xuất nội bộ từ téc",DATA_GOC!$B:$B,"&gt;="&amp;$D2174,DATA_GOC!$B:$B,"&lt;="&amp;$E2174))</f>
        <v/>
      </c>
      <c r="J2174" s="59">
        <f t="shared" si="28"/>
        <v>0</v>
      </c>
      <c r="K2174" s="59">
        <f t="shared" si="29"/>
        <v>0</v>
      </c>
      <c r="L2174" s="59">
        <f t="shared" si="30"/>
        <v>0</v>
      </c>
      <c r="M2174" s="59">
        <f t="shared" si="31"/>
        <v>0</v>
      </c>
    </row>
    <row r="2175" ht="15.0" hidden="1" customHeight="1">
      <c r="A2175" s="59">
        <f t="shared" si="20"/>
        <v>33</v>
      </c>
      <c r="B2175" s="59" t="str">
        <f t="shared" si="21"/>
        <v/>
      </c>
      <c r="C2175" s="59" t="str">
        <f t="shared" si="22"/>
        <v/>
      </c>
      <c r="D2175" s="45" t="str">
        <f t="shared" si="23"/>
        <v/>
      </c>
      <c r="E2175" s="45" t="str">
        <f t="shared" si="24"/>
        <v/>
      </c>
      <c r="F2175" s="59" t="str">
        <f t="shared" si="25"/>
        <v/>
      </c>
      <c r="G2175" s="59" t="str">
        <f t="shared" si="26"/>
        <v/>
      </c>
      <c r="H2175" s="59" t="str">
        <f t="shared" si="27"/>
        <v>28C04509</v>
      </c>
      <c r="I2175" s="59" t="str">
        <f>IF(OR($A2175="",$C2175="",$D2175="",$E2175="",$H2175=""),"",SUMIFS(DATA_GOC!$H:$H,DATA_GOC!$A:$A,"BOM",DATA_GOC!$D:$D,$H2175,DATA_GOC!$E:$E,$C2175,DATA_GOC!$F:$F,"Xuất nội bộ từ téc",DATA_GOC!$B:$B,"&gt;="&amp;$D2175,DATA_GOC!$B:$B,"&lt;="&amp;$E2175))</f>
        <v/>
      </c>
      <c r="J2175" s="59">
        <f t="shared" si="28"/>
        <v>0</v>
      </c>
      <c r="K2175" s="59">
        <f t="shared" si="29"/>
        <v>0</v>
      </c>
      <c r="L2175" s="59">
        <f t="shared" si="30"/>
        <v>0</v>
      </c>
      <c r="M2175" s="59">
        <f t="shared" si="31"/>
        <v>0</v>
      </c>
    </row>
    <row r="2176" ht="15.0" hidden="1" customHeight="1">
      <c r="A2176" s="59">
        <f t="shared" si="20"/>
        <v>33</v>
      </c>
      <c r="B2176" s="59" t="str">
        <f t="shared" si="21"/>
        <v/>
      </c>
      <c r="C2176" s="59" t="str">
        <f t="shared" si="22"/>
        <v/>
      </c>
      <c r="D2176" s="45" t="str">
        <f t="shared" si="23"/>
        <v/>
      </c>
      <c r="E2176" s="45" t="str">
        <f t="shared" si="24"/>
        <v/>
      </c>
      <c r="F2176" s="59" t="str">
        <f t="shared" si="25"/>
        <v/>
      </c>
      <c r="G2176" s="59" t="str">
        <f t="shared" si="26"/>
        <v/>
      </c>
      <c r="H2176" s="59" t="str">
        <f t="shared" si="27"/>
        <v>28C04536</v>
      </c>
      <c r="I2176" s="59" t="str">
        <f>IF(OR($A2176="",$C2176="",$D2176="",$E2176="",$H2176=""),"",SUMIFS(DATA_GOC!$H:$H,DATA_GOC!$A:$A,"BOM",DATA_GOC!$D:$D,$H2176,DATA_GOC!$E:$E,$C2176,DATA_GOC!$F:$F,"Xuất nội bộ từ téc",DATA_GOC!$B:$B,"&gt;="&amp;$D2176,DATA_GOC!$B:$B,"&lt;="&amp;$E2176))</f>
        <v/>
      </c>
      <c r="J2176" s="59">
        <f t="shared" si="28"/>
        <v>0</v>
      </c>
      <c r="K2176" s="59">
        <f t="shared" si="29"/>
        <v>0</v>
      </c>
      <c r="L2176" s="59">
        <f t="shared" si="30"/>
        <v>0</v>
      </c>
      <c r="M2176" s="59">
        <f t="shared" si="31"/>
        <v>0</v>
      </c>
    </row>
    <row r="2177" ht="15.0" hidden="1" customHeight="1">
      <c r="A2177" s="59">
        <f t="shared" si="20"/>
        <v>33</v>
      </c>
      <c r="B2177" s="59" t="str">
        <f t="shared" si="21"/>
        <v/>
      </c>
      <c r="C2177" s="59" t="str">
        <f t="shared" si="22"/>
        <v/>
      </c>
      <c r="D2177" s="45" t="str">
        <f t="shared" si="23"/>
        <v/>
      </c>
      <c r="E2177" s="45" t="str">
        <f t="shared" si="24"/>
        <v/>
      </c>
      <c r="F2177" s="59" t="str">
        <f t="shared" si="25"/>
        <v/>
      </c>
      <c r="G2177" s="59" t="str">
        <f t="shared" si="26"/>
        <v/>
      </c>
      <c r="H2177" s="59" t="str">
        <f t="shared" si="27"/>
        <v>28C04576</v>
      </c>
      <c r="I2177" s="59" t="str">
        <f>IF(OR($A2177="",$C2177="",$D2177="",$E2177="",$H2177=""),"",SUMIFS(DATA_GOC!$H:$H,DATA_GOC!$A:$A,"BOM",DATA_GOC!$D:$D,$H2177,DATA_GOC!$E:$E,$C2177,DATA_GOC!$F:$F,"Xuất nội bộ từ téc",DATA_GOC!$B:$B,"&gt;="&amp;$D2177,DATA_GOC!$B:$B,"&lt;="&amp;$E2177))</f>
        <v/>
      </c>
      <c r="J2177" s="59">
        <f t="shared" si="28"/>
        <v>0</v>
      </c>
      <c r="K2177" s="59">
        <f t="shared" si="29"/>
        <v>0</v>
      </c>
      <c r="L2177" s="59">
        <f t="shared" si="30"/>
        <v>0</v>
      </c>
      <c r="M2177" s="59">
        <f t="shared" si="31"/>
        <v>0</v>
      </c>
    </row>
    <row r="2178" ht="15.0" hidden="1" customHeight="1">
      <c r="A2178" s="59">
        <f t="shared" si="20"/>
        <v>33</v>
      </c>
      <c r="B2178" s="59" t="str">
        <f t="shared" si="21"/>
        <v/>
      </c>
      <c r="C2178" s="59" t="str">
        <f t="shared" si="22"/>
        <v/>
      </c>
      <c r="D2178" s="45" t="str">
        <f t="shared" si="23"/>
        <v/>
      </c>
      <c r="E2178" s="45" t="str">
        <f t="shared" si="24"/>
        <v/>
      </c>
      <c r="F2178" s="59" t="str">
        <f t="shared" si="25"/>
        <v/>
      </c>
      <c r="G2178" s="59" t="str">
        <f t="shared" si="26"/>
        <v/>
      </c>
      <c r="H2178" s="59" t="str">
        <f t="shared" si="27"/>
        <v>28C05090</v>
      </c>
      <c r="I2178" s="59" t="str">
        <f>IF(OR($A2178="",$C2178="",$D2178="",$E2178="",$H2178=""),"",SUMIFS(DATA_GOC!$H:$H,DATA_GOC!$A:$A,"BOM",DATA_GOC!$D:$D,$H2178,DATA_GOC!$E:$E,$C2178,DATA_GOC!$F:$F,"Xuất nội bộ từ téc",DATA_GOC!$B:$B,"&gt;="&amp;$D2178,DATA_GOC!$B:$B,"&lt;="&amp;$E2178))</f>
        <v/>
      </c>
      <c r="J2178" s="59">
        <f t="shared" si="28"/>
        <v>0</v>
      </c>
      <c r="K2178" s="59">
        <f t="shared" si="29"/>
        <v>0</v>
      </c>
      <c r="L2178" s="59">
        <f t="shared" si="30"/>
        <v>0</v>
      </c>
      <c r="M2178" s="59">
        <f t="shared" si="31"/>
        <v>0</v>
      </c>
    </row>
    <row r="2179" ht="15.0" hidden="1" customHeight="1">
      <c r="A2179" s="59">
        <f t="shared" si="20"/>
        <v>33</v>
      </c>
      <c r="B2179" s="59" t="str">
        <f t="shared" si="21"/>
        <v/>
      </c>
      <c r="C2179" s="59" t="str">
        <f t="shared" si="22"/>
        <v/>
      </c>
      <c r="D2179" s="45" t="str">
        <f t="shared" si="23"/>
        <v/>
      </c>
      <c r="E2179" s="45" t="str">
        <f t="shared" si="24"/>
        <v/>
      </c>
      <c r="F2179" s="59" t="str">
        <f t="shared" si="25"/>
        <v/>
      </c>
      <c r="G2179" s="59" t="str">
        <f t="shared" si="26"/>
        <v/>
      </c>
      <c r="H2179" s="59" t="str">
        <f t="shared" si="27"/>
        <v>28C05345</v>
      </c>
      <c r="I2179" s="59" t="str">
        <f>IF(OR($A2179="",$C2179="",$D2179="",$E2179="",$H2179=""),"",SUMIFS(DATA_GOC!$H:$H,DATA_GOC!$A:$A,"BOM",DATA_GOC!$D:$D,$H2179,DATA_GOC!$E:$E,$C2179,DATA_GOC!$F:$F,"Xuất nội bộ từ téc",DATA_GOC!$B:$B,"&gt;="&amp;$D2179,DATA_GOC!$B:$B,"&lt;="&amp;$E2179))</f>
        <v/>
      </c>
      <c r="J2179" s="59">
        <f t="shared" si="28"/>
        <v>0</v>
      </c>
      <c r="K2179" s="59">
        <f t="shared" si="29"/>
        <v>0</v>
      </c>
      <c r="L2179" s="59">
        <f t="shared" si="30"/>
        <v>0</v>
      </c>
      <c r="M2179" s="59">
        <f t="shared" si="31"/>
        <v>0</v>
      </c>
    </row>
    <row r="2180" ht="15.0" hidden="1" customHeight="1">
      <c r="A2180" s="59">
        <f t="shared" si="20"/>
        <v>33</v>
      </c>
      <c r="B2180" s="59" t="str">
        <f t="shared" si="21"/>
        <v/>
      </c>
      <c r="C2180" s="59" t="str">
        <f t="shared" si="22"/>
        <v/>
      </c>
      <c r="D2180" s="45" t="str">
        <f t="shared" si="23"/>
        <v/>
      </c>
      <c r="E2180" s="45" t="str">
        <f t="shared" si="24"/>
        <v/>
      </c>
      <c r="F2180" s="59" t="str">
        <f t="shared" si="25"/>
        <v/>
      </c>
      <c r="G2180" s="59" t="str">
        <f t="shared" si="26"/>
        <v/>
      </c>
      <c r="H2180" s="59" t="str">
        <f t="shared" si="27"/>
        <v>28C05661</v>
      </c>
      <c r="I2180" s="59" t="str">
        <f>IF(OR($A2180="",$C2180="",$D2180="",$E2180="",$H2180=""),"",SUMIFS(DATA_GOC!$H:$H,DATA_GOC!$A:$A,"BOM",DATA_GOC!$D:$D,$H2180,DATA_GOC!$E:$E,$C2180,DATA_GOC!$F:$F,"Xuất nội bộ từ téc",DATA_GOC!$B:$B,"&gt;="&amp;$D2180,DATA_GOC!$B:$B,"&lt;="&amp;$E2180))</f>
        <v/>
      </c>
      <c r="J2180" s="59">
        <f t="shared" si="28"/>
        <v>0</v>
      </c>
      <c r="K2180" s="59">
        <f t="shared" si="29"/>
        <v>0</v>
      </c>
      <c r="L2180" s="59">
        <f t="shared" si="30"/>
        <v>0</v>
      </c>
      <c r="M2180" s="59">
        <f t="shared" si="31"/>
        <v>0</v>
      </c>
    </row>
    <row r="2181" ht="15.0" hidden="1" customHeight="1">
      <c r="A2181" s="59">
        <f t="shared" si="20"/>
        <v>33</v>
      </c>
      <c r="B2181" s="59" t="str">
        <f t="shared" si="21"/>
        <v/>
      </c>
      <c r="C2181" s="59" t="str">
        <f t="shared" si="22"/>
        <v/>
      </c>
      <c r="D2181" s="45" t="str">
        <f t="shared" si="23"/>
        <v/>
      </c>
      <c r="E2181" s="45" t="str">
        <f t="shared" si="24"/>
        <v/>
      </c>
      <c r="F2181" s="59" t="str">
        <f t="shared" si="25"/>
        <v/>
      </c>
      <c r="G2181" s="59" t="str">
        <f t="shared" si="26"/>
        <v/>
      </c>
      <c r="H2181" s="59" t="str">
        <f t="shared" si="27"/>
        <v>28C05739</v>
      </c>
      <c r="I2181" s="59" t="str">
        <f>IF(OR($A2181="",$C2181="",$D2181="",$E2181="",$H2181=""),"",SUMIFS(DATA_GOC!$H:$H,DATA_GOC!$A:$A,"BOM",DATA_GOC!$D:$D,$H2181,DATA_GOC!$E:$E,$C2181,DATA_GOC!$F:$F,"Xuất nội bộ từ téc",DATA_GOC!$B:$B,"&gt;="&amp;$D2181,DATA_GOC!$B:$B,"&lt;="&amp;$E2181))</f>
        <v/>
      </c>
      <c r="J2181" s="59">
        <f t="shared" si="28"/>
        <v>0</v>
      </c>
      <c r="K2181" s="59">
        <f t="shared" si="29"/>
        <v>0</v>
      </c>
      <c r="L2181" s="59">
        <f t="shared" si="30"/>
        <v>0</v>
      </c>
      <c r="M2181" s="59">
        <f t="shared" si="31"/>
        <v>0</v>
      </c>
    </row>
    <row r="2182" ht="15.0" hidden="1" customHeight="1">
      <c r="A2182" s="59">
        <f t="shared" si="20"/>
        <v>33</v>
      </c>
      <c r="B2182" s="59" t="str">
        <f t="shared" si="21"/>
        <v/>
      </c>
      <c r="C2182" s="59" t="str">
        <f t="shared" si="22"/>
        <v/>
      </c>
      <c r="D2182" s="45" t="str">
        <f t="shared" si="23"/>
        <v/>
      </c>
      <c r="E2182" s="45" t="str">
        <f t="shared" si="24"/>
        <v/>
      </c>
      <c r="F2182" s="59" t="str">
        <f t="shared" si="25"/>
        <v/>
      </c>
      <c r="G2182" s="59" t="str">
        <f t="shared" si="26"/>
        <v/>
      </c>
      <c r="H2182" s="59" t="str">
        <f t="shared" si="27"/>
        <v>28C06369</v>
      </c>
      <c r="I2182" s="59" t="str">
        <f>IF(OR($A2182="",$C2182="",$D2182="",$E2182="",$H2182=""),"",SUMIFS(DATA_GOC!$H:$H,DATA_GOC!$A:$A,"BOM",DATA_GOC!$D:$D,$H2182,DATA_GOC!$E:$E,$C2182,DATA_GOC!$F:$F,"Xuất nội bộ từ téc",DATA_GOC!$B:$B,"&gt;="&amp;$D2182,DATA_GOC!$B:$B,"&lt;="&amp;$E2182))</f>
        <v/>
      </c>
      <c r="J2182" s="59">
        <f t="shared" si="28"/>
        <v>0</v>
      </c>
      <c r="K2182" s="59">
        <f t="shared" si="29"/>
        <v>0</v>
      </c>
      <c r="L2182" s="59">
        <f t="shared" si="30"/>
        <v>0</v>
      </c>
      <c r="M2182" s="59">
        <f t="shared" si="31"/>
        <v>0</v>
      </c>
    </row>
    <row r="2183" ht="15.0" hidden="1" customHeight="1">
      <c r="A2183" s="59">
        <f t="shared" si="20"/>
        <v>33</v>
      </c>
      <c r="B2183" s="59" t="str">
        <f t="shared" si="21"/>
        <v/>
      </c>
      <c r="C2183" s="59" t="str">
        <f t="shared" si="22"/>
        <v/>
      </c>
      <c r="D2183" s="45" t="str">
        <f t="shared" si="23"/>
        <v/>
      </c>
      <c r="E2183" s="45" t="str">
        <f t="shared" si="24"/>
        <v/>
      </c>
      <c r="F2183" s="59" t="str">
        <f t="shared" si="25"/>
        <v/>
      </c>
      <c r="G2183" s="59" t="str">
        <f t="shared" si="26"/>
        <v/>
      </c>
      <c r="H2183" s="59" t="str">
        <f t="shared" si="27"/>
        <v>28C06447</v>
      </c>
      <c r="I2183" s="59" t="str">
        <f>IF(OR($A2183="",$C2183="",$D2183="",$E2183="",$H2183=""),"",SUMIFS(DATA_GOC!$H:$H,DATA_GOC!$A:$A,"BOM",DATA_GOC!$D:$D,$H2183,DATA_GOC!$E:$E,$C2183,DATA_GOC!$F:$F,"Xuất nội bộ từ téc",DATA_GOC!$B:$B,"&gt;="&amp;$D2183,DATA_GOC!$B:$B,"&lt;="&amp;$E2183))</f>
        <v/>
      </c>
      <c r="J2183" s="59">
        <f t="shared" si="28"/>
        <v>0</v>
      </c>
      <c r="K2183" s="59">
        <f t="shared" si="29"/>
        <v>0</v>
      </c>
      <c r="L2183" s="59">
        <f t="shared" si="30"/>
        <v>0</v>
      </c>
      <c r="M2183" s="59">
        <f t="shared" si="31"/>
        <v>0</v>
      </c>
    </row>
    <row r="2184" ht="15.0" hidden="1" customHeight="1">
      <c r="A2184" s="59">
        <f t="shared" si="20"/>
        <v>33</v>
      </c>
      <c r="B2184" s="59" t="str">
        <f t="shared" si="21"/>
        <v/>
      </c>
      <c r="C2184" s="59" t="str">
        <f t="shared" si="22"/>
        <v/>
      </c>
      <c r="D2184" s="45" t="str">
        <f t="shared" si="23"/>
        <v/>
      </c>
      <c r="E2184" s="45" t="str">
        <f t="shared" si="24"/>
        <v/>
      </c>
      <c r="F2184" s="59" t="str">
        <f t="shared" si="25"/>
        <v/>
      </c>
      <c r="G2184" s="59" t="str">
        <f t="shared" si="26"/>
        <v/>
      </c>
      <c r="H2184" s="59" t="str">
        <f t="shared" si="27"/>
        <v>28H00003</v>
      </c>
      <c r="I2184" s="59" t="str">
        <f>IF(OR($A2184="",$C2184="",$D2184="",$E2184="",$H2184=""),"",SUMIFS(DATA_GOC!$H:$H,DATA_GOC!$A:$A,"BOM",DATA_GOC!$D:$D,$H2184,DATA_GOC!$E:$E,$C2184,DATA_GOC!$F:$F,"Xuất nội bộ từ téc",DATA_GOC!$B:$B,"&gt;="&amp;$D2184,DATA_GOC!$B:$B,"&lt;="&amp;$E2184))</f>
        <v/>
      </c>
      <c r="J2184" s="59">
        <f t="shared" si="28"/>
        <v>0</v>
      </c>
      <c r="K2184" s="59">
        <f t="shared" si="29"/>
        <v>0</v>
      </c>
      <c r="L2184" s="59">
        <f t="shared" si="30"/>
        <v>0</v>
      </c>
      <c r="M2184" s="59">
        <f t="shared" si="31"/>
        <v>0</v>
      </c>
    </row>
    <row r="2185" ht="15.0" hidden="1" customHeight="1">
      <c r="A2185" s="59">
        <f t="shared" si="20"/>
        <v>33</v>
      </c>
      <c r="B2185" s="59" t="str">
        <f t="shared" si="21"/>
        <v/>
      </c>
      <c r="C2185" s="59" t="str">
        <f t="shared" si="22"/>
        <v/>
      </c>
      <c r="D2185" s="45" t="str">
        <f t="shared" si="23"/>
        <v/>
      </c>
      <c r="E2185" s="45" t="str">
        <f t="shared" si="24"/>
        <v/>
      </c>
      <c r="F2185" s="59" t="str">
        <f t="shared" si="25"/>
        <v/>
      </c>
      <c r="G2185" s="59" t="str">
        <f t="shared" si="26"/>
        <v/>
      </c>
      <c r="H2185" s="59" t="str">
        <f t="shared" si="27"/>
        <v>28H00061</v>
      </c>
      <c r="I2185" s="59" t="str">
        <f>IF(OR($A2185="",$C2185="",$D2185="",$E2185="",$H2185=""),"",SUMIFS(DATA_GOC!$H:$H,DATA_GOC!$A:$A,"BOM",DATA_GOC!$D:$D,$H2185,DATA_GOC!$E:$E,$C2185,DATA_GOC!$F:$F,"Xuất nội bộ từ téc",DATA_GOC!$B:$B,"&gt;="&amp;$D2185,DATA_GOC!$B:$B,"&lt;="&amp;$E2185))</f>
        <v/>
      </c>
      <c r="J2185" s="59">
        <f t="shared" si="28"/>
        <v>0</v>
      </c>
      <c r="K2185" s="59">
        <f t="shared" si="29"/>
        <v>0</v>
      </c>
      <c r="L2185" s="59">
        <f t="shared" si="30"/>
        <v>0</v>
      </c>
      <c r="M2185" s="59">
        <f t="shared" si="31"/>
        <v>0</v>
      </c>
    </row>
    <row r="2186" ht="15.0" hidden="1" customHeight="1">
      <c r="A2186" s="59">
        <f t="shared" si="20"/>
        <v>33</v>
      </c>
      <c r="B2186" s="59" t="str">
        <f t="shared" si="21"/>
        <v/>
      </c>
      <c r="C2186" s="59" t="str">
        <f t="shared" si="22"/>
        <v/>
      </c>
      <c r="D2186" s="45" t="str">
        <f t="shared" si="23"/>
        <v/>
      </c>
      <c r="E2186" s="45" t="str">
        <f t="shared" si="24"/>
        <v/>
      </c>
      <c r="F2186" s="59" t="str">
        <f t="shared" si="25"/>
        <v/>
      </c>
      <c r="G2186" s="59" t="str">
        <f t="shared" si="26"/>
        <v/>
      </c>
      <c r="H2186" s="59" t="str">
        <f t="shared" si="27"/>
        <v>28H00354</v>
      </c>
      <c r="I2186" s="59" t="str">
        <f>IF(OR($A2186="",$C2186="",$D2186="",$E2186="",$H2186=""),"",SUMIFS(DATA_GOC!$H:$H,DATA_GOC!$A:$A,"BOM",DATA_GOC!$D:$D,$H2186,DATA_GOC!$E:$E,$C2186,DATA_GOC!$F:$F,"Xuất nội bộ từ téc",DATA_GOC!$B:$B,"&gt;="&amp;$D2186,DATA_GOC!$B:$B,"&lt;="&amp;$E2186))</f>
        <v/>
      </c>
      <c r="J2186" s="59">
        <f t="shared" si="28"/>
        <v>0</v>
      </c>
      <c r="K2186" s="59">
        <f t="shared" si="29"/>
        <v>0</v>
      </c>
      <c r="L2186" s="59">
        <f t="shared" si="30"/>
        <v>0</v>
      </c>
      <c r="M2186" s="59">
        <f t="shared" si="31"/>
        <v>0</v>
      </c>
    </row>
    <row r="2187" ht="15.0" hidden="1" customHeight="1">
      <c r="A2187" s="59">
        <f t="shared" si="20"/>
        <v>33</v>
      </c>
      <c r="B2187" s="59" t="str">
        <f t="shared" si="21"/>
        <v/>
      </c>
      <c r="C2187" s="59" t="str">
        <f t="shared" si="22"/>
        <v/>
      </c>
      <c r="D2187" s="45" t="str">
        <f t="shared" si="23"/>
        <v/>
      </c>
      <c r="E2187" s="45" t="str">
        <f t="shared" si="24"/>
        <v/>
      </c>
      <c r="F2187" s="59" t="str">
        <f t="shared" si="25"/>
        <v/>
      </c>
      <c r="G2187" s="59" t="str">
        <f t="shared" si="26"/>
        <v/>
      </c>
      <c r="H2187" s="59" t="str">
        <f t="shared" si="27"/>
        <v>28H00603</v>
      </c>
      <c r="I2187" s="59" t="str">
        <f>IF(OR($A2187="",$C2187="",$D2187="",$E2187="",$H2187=""),"",SUMIFS(DATA_GOC!$H:$H,DATA_GOC!$A:$A,"BOM",DATA_GOC!$D:$D,$H2187,DATA_GOC!$E:$E,$C2187,DATA_GOC!$F:$F,"Xuất nội bộ từ téc",DATA_GOC!$B:$B,"&gt;="&amp;$D2187,DATA_GOC!$B:$B,"&lt;="&amp;$E2187))</f>
        <v/>
      </c>
      <c r="J2187" s="59">
        <f t="shared" si="28"/>
        <v>0</v>
      </c>
      <c r="K2187" s="59">
        <f t="shared" si="29"/>
        <v>0</v>
      </c>
      <c r="L2187" s="59">
        <f t="shared" si="30"/>
        <v>0</v>
      </c>
      <c r="M2187" s="59">
        <f t="shared" si="31"/>
        <v>0</v>
      </c>
    </row>
    <row r="2188" ht="15.0" hidden="1" customHeight="1">
      <c r="A2188" s="59">
        <f t="shared" si="20"/>
        <v>33</v>
      </c>
      <c r="B2188" s="59" t="str">
        <f t="shared" si="21"/>
        <v/>
      </c>
      <c r="C2188" s="59" t="str">
        <f t="shared" si="22"/>
        <v/>
      </c>
      <c r="D2188" s="45" t="str">
        <f t="shared" si="23"/>
        <v/>
      </c>
      <c r="E2188" s="45" t="str">
        <f t="shared" si="24"/>
        <v/>
      </c>
      <c r="F2188" s="59" t="str">
        <f t="shared" si="25"/>
        <v/>
      </c>
      <c r="G2188" s="59" t="str">
        <f t="shared" si="26"/>
        <v/>
      </c>
      <c r="H2188" s="59" t="str">
        <f t="shared" si="27"/>
        <v>28H00609</v>
      </c>
      <c r="I2188" s="59" t="str">
        <f>IF(OR($A2188="",$C2188="",$D2188="",$E2188="",$H2188=""),"",SUMIFS(DATA_GOC!$H:$H,DATA_GOC!$A:$A,"BOM",DATA_GOC!$D:$D,$H2188,DATA_GOC!$E:$E,$C2188,DATA_GOC!$F:$F,"Xuất nội bộ từ téc",DATA_GOC!$B:$B,"&gt;="&amp;$D2188,DATA_GOC!$B:$B,"&lt;="&amp;$E2188))</f>
        <v/>
      </c>
      <c r="J2188" s="59">
        <f t="shared" si="28"/>
        <v>0</v>
      </c>
      <c r="K2188" s="59">
        <f t="shared" si="29"/>
        <v>0</v>
      </c>
      <c r="L2188" s="59">
        <f t="shared" si="30"/>
        <v>0</v>
      </c>
      <c r="M2188" s="59">
        <f t="shared" si="31"/>
        <v>0</v>
      </c>
    </row>
    <row r="2189" ht="15.0" hidden="1" customHeight="1">
      <c r="A2189" s="59">
        <f t="shared" si="20"/>
        <v>33</v>
      </c>
      <c r="B2189" s="59" t="str">
        <f t="shared" si="21"/>
        <v/>
      </c>
      <c r="C2189" s="59" t="str">
        <f t="shared" si="22"/>
        <v/>
      </c>
      <c r="D2189" s="45" t="str">
        <f t="shared" si="23"/>
        <v/>
      </c>
      <c r="E2189" s="45" t="str">
        <f t="shared" si="24"/>
        <v/>
      </c>
      <c r="F2189" s="59" t="str">
        <f t="shared" si="25"/>
        <v/>
      </c>
      <c r="G2189" s="59" t="str">
        <f t="shared" si="26"/>
        <v/>
      </c>
      <c r="H2189" s="59" t="str">
        <f t="shared" si="27"/>
        <v>28H00669</v>
      </c>
      <c r="I2189" s="59" t="str">
        <f>IF(OR($A2189="",$C2189="",$D2189="",$E2189="",$H2189=""),"",SUMIFS(DATA_GOC!$H:$H,DATA_GOC!$A:$A,"BOM",DATA_GOC!$D:$D,$H2189,DATA_GOC!$E:$E,$C2189,DATA_GOC!$F:$F,"Xuất nội bộ từ téc",DATA_GOC!$B:$B,"&gt;="&amp;$D2189,DATA_GOC!$B:$B,"&lt;="&amp;$E2189))</f>
        <v/>
      </c>
      <c r="J2189" s="59">
        <f t="shared" si="28"/>
        <v>0</v>
      </c>
      <c r="K2189" s="59">
        <f t="shared" si="29"/>
        <v>0</v>
      </c>
      <c r="L2189" s="59">
        <f t="shared" si="30"/>
        <v>0</v>
      </c>
      <c r="M2189" s="59">
        <f t="shared" si="31"/>
        <v>0</v>
      </c>
    </row>
    <row r="2190" ht="15.0" hidden="1" customHeight="1">
      <c r="A2190" s="59">
        <f t="shared" si="20"/>
        <v>33</v>
      </c>
      <c r="B2190" s="59" t="str">
        <f t="shared" si="21"/>
        <v/>
      </c>
      <c r="C2190" s="59" t="str">
        <f t="shared" si="22"/>
        <v/>
      </c>
      <c r="D2190" s="45" t="str">
        <f t="shared" si="23"/>
        <v/>
      </c>
      <c r="E2190" s="45" t="str">
        <f t="shared" si="24"/>
        <v/>
      </c>
      <c r="F2190" s="59" t="str">
        <f t="shared" si="25"/>
        <v/>
      </c>
      <c r="G2190" s="59" t="str">
        <f t="shared" si="26"/>
        <v/>
      </c>
      <c r="H2190" s="59" t="str">
        <f t="shared" si="27"/>
        <v>28H00680</v>
      </c>
      <c r="I2190" s="59" t="str">
        <f>IF(OR($A2190="",$C2190="",$D2190="",$E2190="",$H2190=""),"",SUMIFS(DATA_GOC!$H:$H,DATA_GOC!$A:$A,"BOM",DATA_GOC!$D:$D,$H2190,DATA_GOC!$E:$E,$C2190,DATA_GOC!$F:$F,"Xuất nội bộ từ téc",DATA_GOC!$B:$B,"&gt;="&amp;$D2190,DATA_GOC!$B:$B,"&lt;="&amp;$E2190))</f>
        <v/>
      </c>
      <c r="J2190" s="59">
        <f t="shared" si="28"/>
        <v>0</v>
      </c>
      <c r="K2190" s="59">
        <f t="shared" si="29"/>
        <v>0</v>
      </c>
      <c r="L2190" s="59">
        <f t="shared" si="30"/>
        <v>0</v>
      </c>
      <c r="M2190" s="59">
        <f t="shared" si="31"/>
        <v>0</v>
      </c>
    </row>
    <row r="2191" ht="15.0" hidden="1" customHeight="1">
      <c r="A2191" s="59">
        <f t="shared" si="20"/>
        <v>33</v>
      </c>
      <c r="B2191" s="59" t="str">
        <f t="shared" si="21"/>
        <v/>
      </c>
      <c r="C2191" s="59" t="str">
        <f t="shared" si="22"/>
        <v/>
      </c>
      <c r="D2191" s="45" t="str">
        <f t="shared" si="23"/>
        <v/>
      </c>
      <c r="E2191" s="45" t="str">
        <f t="shared" si="24"/>
        <v/>
      </c>
      <c r="F2191" s="59" t="str">
        <f t="shared" si="25"/>
        <v/>
      </c>
      <c r="G2191" s="59" t="str">
        <f t="shared" si="26"/>
        <v/>
      </c>
      <c r="H2191" s="59" t="str">
        <f t="shared" si="27"/>
        <v>28H01070</v>
      </c>
      <c r="I2191" s="59" t="str">
        <f>IF(OR($A2191="",$C2191="",$D2191="",$E2191="",$H2191=""),"",SUMIFS(DATA_GOC!$H:$H,DATA_GOC!$A:$A,"BOM",DATA_GOC!$D:$D,$H2191,DATA_GOC!$E:$E,$C2191,DATA_GOC!$F:$F,"Xuất nội bộ từ téc",DATA_GOC!$B:$B,"&gt;="&amp;$D2191,DATA_GOC!$B:$B,"&lt;="&amp;$E2191))</f>
        <v/>
      </c>
      <c r="J2191" s="59">
        <f t="shared" si="28"/>
        <v>0</v>
      </c>
      <c r="K2191" s="59">
        <f t="shared" si="29"/>
        <v>0</v>
      </c>
      <c r="L2191" s="59">
        <f t="shared" si="30"/>
        <v>0</v>
      </c>
      <c r="M2191" s="59">
        <f t="shared" si="31"/>
        <v>0</v>
      </c>
    </row>
    <row r="2192" ht="15.0" hidden="1" customHeight="1">
      <c r="A2192" s="59">
        <f t="shared" si="20"/>
        <v>33</v>
      </c>
      <c r="B2192" s="59" t="str">
        <f t="shared" si="21"/>
        <v/>
      </c>
      <c r="C2192" s="59" t="str">
        <f t="shared" si="22"/>
        <v/>
      </c>
      <c r="D2192" s="45" t="str">
        <f t="shared" si="23"/>
        <v/>
      </c>
      <c r="E2192" s="45" t="str">
        <f t="shared" si="24"/>
        <v/>
      </c>
      <c r="F2192" s="59" t="str">
        <f t="shared" si="25"/>
        <v/>
      </c>
      <c r="G2192" s="59" t="str">
        <f t="shared" si="26"/>
        <v/>
      </c>
      <c r="H2192" s="59" t="str">
        <f t="shared" si="27"/>
        <v>28H01364</v>
      </c>
      <c r="I2192" s="59" t="str">
        <f>IF(OR($A2192="",$C2192="",$D2192="",$E2192="",$H2192=""),"",SUMIFS(DATA_GOC!$H:$H,DATA_GOC!$A:$A,"BOM",DATA_GOC!$D:$D,$H2192,DATA_GOC!$E:$E,$C2192,DATA_GOC!$F:$F,"Xuất nội bộ từ téc",DATA_GOC!$B:$B,"&gt;="&amp;$D2192,DATA_GOC!$B:$B,"&lt;="&amp;$E2192))</f>
        <v/>
      </c>
      <c r="J2192" s="59">
        <f t="shared" si="28"/>
        <v>0</v>
      </c>
      <c r="K2192" s="59">
        <f t="shared" si="29"/>
        <v>0</v>
      </c>
      <c r="L2192" s="59">
        <f t="shared" si="30"/>
        <v>0</v>
      </c>
      <c r="M2192" s="59">
        <f t="shared" si="31"/>
        <v>0</v>
      </c>
    </row>
    <row r="2193" ht="15.0" hidden="1" customHeight="1">
      <c r="A2193" s="59">
        <f t="shared" si="20"/>
        <v>33</v>
      </c>
      <c r="B2193" s="59" t="str">
        <f t="shared" si="21"/>
        <v/>
      </c>
      <c r="C2193" s="59" t="str">
        <f t="shared" si="22"/>
        <v/>
      </c>
      <c r="D2193" s="45" t="str">
        <f t="shared" si="23"/>
        <v/>
      </c>
      <c r="E2193" s="45" t="str">
        <f t="shared" si="24"/>
        <v/>
      </c>
      <c r="F2193" s="59" t="str">
        <f t="shared" si="25"/>
        <v/>
      </c>
      <c r="G2193" s="59" t="str">
        <f t="shared" si="26"/>
        <v/>
      </c>
      <c r="H2193" s="59" t="str">
        <f t="shared" si="27"/>
        <v>29E17269</v>
      </c>
      <c r="I2193" s="59" t="str">
        <f>IF(OR($A2193="",$C2193="",$D2193="",$E2193="",$H2193=""),"",SUMIFS(DATA_GOC!$H:$H,DATA_GOC!$A:$A,"BOM",DATA_GOC!$D:$D,$H2193,DATA_GOC!$E:$E,$C2193,DATA_GOC!$F:$F,"Xuất nội bộ từ téc",DATA_GOC!$B:$B,"&gt;="&amp;$D2193,DATA_GOC!$B:$B,"&lt;="&amp;$E2193))</f>
        <v/>
      </c>
      <c r="J2193" s="59">
        <f t="shared" si="28"/>
        <v>0</v>
      </c>
      <c r="K2193" s="59">
        <f t="shared" si="29"/>
        <v>0</v>
      </c>
      <c r="L2193" s="59">
        <f t="shared" si="30"/>
        <v>0</v>
      </c>
      <c r="M2193" s="59">
        <f t="shared" si="31"/>
        <v>0</v>
      </c>
    </row>
    <row r="2194" ht="15.0" hidden="1" customHeight="1">
      <c r="A2194" s="59">
        <f t="shared" si="20"/>
        <v>33</v>
      </c>
      <c r="B2194" s="59" t="str">
        <f t="shared" si="21"/>
        <v/>
      </c>
      <c r="C2194" s="59" t="str">
        <f t="shared" si="22"/>
        <v/>
      </c>
      <c r="D2194" s="45" t="str">
        <f t="shared" si="23"/>
        <v/>
      </c>
      <c r="E2194" s="45" t="str">
        <f t="shared" si="24"/>
        <v/>
      </c>
      <c r="F2194" s="59" t="str">
        <f t="shared" si="25"/>
        <v/>
      </c>
      <c r="G2194" s="59" t="str">
        <f t="shared" si="26"/>
        <v/>
      </c>
      <c r="H2194" s="59" t="str">
        <f t="shared" si="27"/>
        <v>29E17273</v>
      </c>
      <c r="I2194" s="59" t="str">
        <f>IF(OR($A2194="",$C2194="",$D2194="",$E2194="",$H2194=""),"",SUMIFS(DATA_GOC!$H:$H,DATA_GOC!$A:$A,"BOM",DATA_GOC!$D:$D,$H2194,DATA_GOC!$E:$E,$C2194,DATA_GOC!$F:$F,"Xuất nội bộ từ téc",DATA_GOC!$B:$B,"&gt;="&amp;$D2194,DATA_GOC!$B:$B,"&lt;="&amp;$E2194))</f>
        <v/>
      </c>
      <c r="J2194" s="59">
        <f t="shared" si="28"/>
        <v>0</v>
      </c>
      <c r="K2194" s="59">
        <f t="shared" si="29"/>
        <v>0</v>
      </c>
      <c r="L2194" s="59">
        <f t="shared" si="30"/>
        <v>0</v>
      </c>
      <c r="M2194" s="59">
        <f t="shared" si="31"/>
        <v>0</v>
      </c>
    </row>
    <row r="2195" ht="15.0" hidden="1" customHeight="1">
      <c r="A2195" s="59">
        <f t="shared" si="20"/>
        <v>33</v>
      </c>
      <c r="B2195" s="59" t="str">
        <f t="shared" si="21"/>
        <v/>
      </c>
      <c r="C2195" s="59" t="str">
        <f t="shared" si="22"/>
        <v/>
      </c>
      <c r="D2195" s="45" t="str">
        <f t="shared" si="23"/>
        <v/>
      </c>
      <c r="E2195" s="45" t="str">
        <f t="shared" si="24"/>
        <v/>
      </c>
      <c r="F2195" s="59" t="str">
        <f t="shared" si="25"/>
        <v/>
      </c>
      <c r="G2195" s="59" t="str">
        <f t="shared" si="26"/>
        <v/>
      </c>
      <c r="H2195" s="59" t="str">
        <f t="shared" si="27"/>
        <v>29E17410</v>
      </c>
      <c r="I2195" s="59" t="str">
        <f>IF(OR($A2195="",$C2195="",$D2195="",$E2195="",$H2195=""),"",SUMIFS(DATA_GOC!$H:$H,DATA_GOC!$A:$A,"BOM",DATA_GOC!$D:$D,$H2195,DATA_GOC!$E:$E,$C2195,DATA_GOC!$F:$F,"Xuất nội bộ từ téc",DATA_GOC!$B:$B,"&gt;="&amp;$D2195,DATA_GOC!$B:$B,"&lt;="&amp;$E2195))</f>
        <v/>
      </c>
      <c r="J2195" s="59">
        <f t="shared" si="28"/>
        <v>0</v>
      </c>
      <c r="K2195" s="59">
        <f t="shared" si="29"/>
        <v>0</v>
      </c>
      <c r="L2195" s="59">
        <f t="shared" si="30"/>
        <v>0</v>
      </c>
      <c r="M2195" s="59">
        <f t="shared" si="31"/>
        <v>0</v>
      </c>
    </row>
    <row r="2196" ht="15.0" hidden="1" customHeight="1">
      <c r="A2196" s="59">
        <f t="shared" si="20"/>
        <v>33</v>
      </c>
      <c r="B2196" s="59" t="str">
        <f t="shared" si="21"/>
        <v/>
      </c>
      <c r="C2196" s="59" t="str">
        <f t="shared" si="22"/>
        <v/>
      </c>
      <c r="D2196" s="45" t="str">
        <f t="shared" si="23"/>
        <v/>
      </c>
      <c r="E2196" s="45" t="str">
        <f t="shared" si="24"/>
        <v/>
      </c>
      <c r="F2196" s="59" t="str">
        <f t="shared" si="25"/>
        <v/>
      </c>
      <c r="G2196" s="59" t="str">
        <f t="shared" si="26"/>
        <v/>
      </c>
      <c r="H2196" s="59" t="str">
        <f t="shared" si="27"/>
        <v>29E17417</v>
      </c>
      <c r="I2196" s="59" t="str">
        <f>IF(OR($A2196="",$C2196="",$D2196="",$E2196="",$H2196=""),"",SUMIFS(DATA_GOC!$H:$H,DATA_GOC!$A:$A,"BOM",DATA_GOC!$D:$D,$H2196,DATA_GOC!$E:$E,$C2196,DATA_GOC!$F:$F,"Xuất nội bộ từ téc",DATA_GOC!$B:$B,"&gt;="&amp;$D2196,DATA_GOC!$B:$B,"&lt;="&amp;$E2196))</f>
        <v/>
      </c>
      <c r="J2196" s="59">
        <f t="shared" si="28"/>
        <v>0</v>
      </c>
      <c r="K2196" s="59">
        <f t="shared" si="29"/>
        <v>0</v>
      </c>
      <c r="L2196" s="59">
        <f t="shared" si="30"/>
        <v>0</v>
      </c>
      <c r="M2196" s="59">
        <f t="shared" si="31"/>
        <v>0</v>
      </c>
    </row>
    <row r="2197" ht="15.0" hidden="1" customHeight="1">
      <c r="A2197" s="59">
        <f t="shared" si="20"/>
        <v>33</v>
      </c>
      <c r="B2197" s="59" t="str">
        <f t="shared" si="21"/>
        <v/>
      </c>
      <c r="C2197" s="59" t="str">
        <f t="shared" si="22"/>
        <v/>
      </c>
      <c r="D2197" s="45" t="str">
        <f t="shared" si="23"/>
        <v/>
      </c>
      <c r="E2197" s="45" t="str">
        <f t="shared" si="24"/>
        <v/>
      </c>
      <c r="F2197" s="59" t="str">
        <f t="shared" si="25"/>
        <v/>
      </c>
      <c r="G2197" s="59" t="str">
        <f t="shared" si="26"/>
        <v/>
      </c>
      <c r="H2197" s="59" t="str">
        <f t="shared" si="27"/>
        <v>29E17539</v>
      </c>
      <c r="I2197" s="59" t="str">
        <f>IF(OR($A2197="",$C2197="",$D2197="",$E2197="",$H2197=""),"",SUMIFS(DATA_GOC!$H:$H,DATA_GOC!$A:$A,"BOM",DATA_GOC!$D:$D,$H2197,DATA_GOC!$E:$E,$C2197,DATA_GOC!$F:$F,"Xuất nội bộ từ téc",DATA_GOC!$B:$B,"&gt;="&amp;$D2197,DATA_GOC!$B:$B,"&lt;="&amp;$E2197))</f>
        <v/>
      </c>
      <c r="J2197" s="59">
        <f t="shared" si="28"/>
        <v>0</v>
      </c>
      <c r="K2197" s="59">
        <f t="shared" si="29"/>
        <v>0</v>
      </c>
      <c r="L2197" s="59">
        <f t="shared" si="30"/>
        <v>0</v>
      </c>
      <c r="M2197" s="59">
        <f t="shared" si="31"/>
        <v>0</v>
      </c>
    </row>
    <row r="2198" ht="15.0" hidden="1" customHeight="1">
      <c r="A2198" s="59">
        <f t="shared" si="20"/>
        <v>33</v>
      </c>
      <c r="B2198" s="59" t="str">
        <f t="shared" si="21"/>
        <v/>
      </c>
      <c r="C2198" s="59" t="str">
        <f t="shared" si="22"/>
        <v/>
      </c>
      <c r="D2198" s="45" t="str">
        <f t="shared" si="23"/>
        <v/>
      </c>
      <c r="E2198" s="45" t="str">
        <f t="shared" si="24"/>
        <v/>
      </c>
      <c r="F2198" s="59" t="str">
        <f t="shared" si="25"/>
        <v/>
      </c>
      <c r="G2198" s="59" t="str">
        <f t="shared" si="26"/>
        <v/>
      </c>
      <c r="H2198" s="59" t="str">
        <f t="shared" si="27"/>
        <v>29E18160</v>
      </c>
      <c r="I2198" s="59" t="str">
        <f>IF(OR($A2198="",$C2198="",$D2198="",$E2198="",$H2198=""),"",SUMIFS(DATA_GOC!$H:$H,DATA_GOC!$A:$A,"BOM",DATA_GOC!$D:$D,$H2198,DATA_GOC!$E:$E,$C2198,DATA_GOC!$F:$F,"Xuất nội bộ từ téc",DATA_GOC!$B:$B,"&gt;="&amp;$D2198,DATA_GOC!$B:$B,"&lt;="&amp;$E2198))</f>
        <v/>
      </c>
      <c r="J2198" s="59">
        <f t="shared" si="28"/>
        <v>0</v>
      </c>
      <c r="K2198" s="59">
        <f t="shared" si="29"/>
        <v>0</v>
      </c>
      <c r="L2198" s="59">
        <f t="shared" si="30"/>
        <v>0</v>
      </c>
      <c r="M2198" s="59">
        <f t="shared" si="31"/>
        <v>0</v>
      </c>
    </row>
    <row r="2199" ht="15.0" hidden="1" customHeight="1">
      <c r="A2199" s="59">
        <f t="shared" si="20"/>
        <v>33</v>
      </c>
      <c r="B2199" s="59" t="str">
        <f t="shared" si="21"/>
        <v/>
      </c>
      <c r="C2199" s="59" t="str">
        <f t="shared" si="22"/>
        <v/>
      </c>
      <c r="D2199" s="45" t="str">
        <f t="shared" si="23"/>
        <v/>
      </c>
      <c r="E2199" s="45" t="str">
        <f t="shared" si="24"/>
        <v/>
      </c>
      <c r="F2199" s="59" t="str">
        <f t="shared" si="25"/>
        <v/>
      </c>
      <c r="G2199" s="59" t="str">
        <f t="shared" si="26"/>
        <v/>
      </c>
      <c r="H2199" s="59" t="str">
        <f t="shared" si="27"/>
        <v>Công trình Asphalt</v>
      </c>
      <c r="I2199" s="59" t="str">
        <f>IF(OR($A2199="",$C2199="",$D2199="",$E2199="",$H2199=""),"",SUMIFS(DATA_GOC!$H:$H,DATA_GOC!$A:$A,"BOM",DATA_GOC!$D:$D,$H2199,DATA_GOC!$E:$E,$C2199,DATA_GOC!$F:$F,"Xuất nội bộ từ téc",DATA_GOC!$B:$B,"&gt;="&amp;$D2199,DATA_GOC!$B:$B,"&lt;="&amp;$E2199))</f>
        <v/>
      </c>
      <c r="J2199" s="59">
        <f t="shared" si="28"/>
        <v>0</v>
      </c>
      <c r="K2199" s="59">
        <f t="shared" si="29"/>
        <v>0</v>
      </c>
      <c r="L2199" s="59">
        <f t="shared" si="30"/>
        <v>0</v>
      </c>
      <c r="M2199" s="59">
        <f t="shared" si="31"/>
        <v>0</v>
      </c>
    </row>
    <row r="2200" ht="15.0" hidden="1" customHeight="1">
      <c r="A2200" s="59">
        <f t="shared" si="20"/>
        <v>33</v>
      </c>
      <c r="B2200" s="59" t="str">
        <f t="shared" si="21"/>
        <v/>
      </c>
      <c r="C2200" s="59" t="str">
        <f t="shared" si="22"/>
        <v/>
      </c>
      <c r="D2200" s="45" t="str">
        <f t="shared" si="23"/>
        <v/>
      </c>
      <c r="E2200" s="45" t="str">
        <f t="shared" si="24"/>
        <v/>
      </c>
      <c r="F2200" s="59" t="str">
        <f t="shared" si="25"/>
        <v/>
      </c>
      <c r="G2200" s="59" t="str">
        <f t="shared" si="26"/>
        <v/>
      </c>
      <c r="H2200" s="59" t="str">
        <f t="shared" si="27"/>
        <v>LG53F</v>
      </c>
      <c r="I2200" s="59" t="str">
        <f>IF(OR($A2200="",$C2200="",$D2200="",$E2200="",$H2200=""),"",SUMIFS(DATA_GOC!$H:$H,DATA_GOC!$A:$A,"BOM",DATA_GOC!$D:$D,$H2200,DATA_GOC!$E:$E,$C2200,DATA_GOC!$F:$F,"Xuất nội bộ từ téc",DATA_GOC!$B:$B,"&gt;="&amp;$D2200,DATA_GOC!$B:$B,"&lt;="&amp;$E2200))</f>
        <v/>
      </c>
      <c r="J2200" s="59">
        <f t="shared" si="28"/>
        <v>0</v>
      </c>
      <c r="K2200" s="59">
        <f t="shared" si="29"/>
        <v>0</v>
      </c>
      <c r="L2200" s="59">
        <f t="shared" si="30"/>
        <v>0</v>
      </c>
      <c r="M2200" s="59">
        <f t="shared" si="31"/>
        <v>0</v>
      </c>
    </row>
    <row r="2201" ht="15.0" hidden="1" customHeight="1">
      <c r="A2201" s="59">
        <f t="shared" si="20"/>
        <v>33</v>
      </c>
      <c r="B2201" s="59" t="str">
        <f t="shared" si="21"/>
        <v/>
      </c>
      <c r="C2201" s="59" t="str">
        <f t="shared" si="22"/>
        <v/>
      </c>
      <c r="D2201" s="45" t="str">
        <f t="shared" si="23"/>
        <v/>
      </c>
      <c r="E2201" s="45" t="str">
        <f t="shared" si="24"/>
        <v/>
      </c>
      <c r="F2201" s="59" t="str">
        <f t="shared" si="25"/>
        <v/>
      </c>
      <c r="G2201" s="59" t="str">
        <f t="shared" si="26"/>
        <v/>
      </c>
      <c r="H2201" s="59" t="str">
        <f t="shared" si="27"/>
        <v>Máy phát điện</v>
      </c>
      <c r="I2201" s="59" t="str">
        <f>IF(OR($A2201="",$C2201="",$D2201="",$E2201="",$H2201=""),"",SUMIFS(DATA_GOC!$H:$H,DATA_GOC!$A:$A,"BOM",DATA_GOC!$D:$D,$H2201,DATA_GOC!$E:$E,$C2201,DATA_GOC!$F:$F,"Xuất nội bộ từ téc",DATA_GOC!$B:$B,"&gt;="&amp;$D2201,DATA_GOC!$B:$B,"&lt;="&amp;$E2201))</f>
        <v/>
      </c>
      <c r="J2201" s="59">
        <f t="shared" si="28"/>
        <v>0</v>
      </c>
      <c r="K2201" s="59">
        <f t="shared" si="29"/>
        <v>0</v>
      </c>
      <c r="L2201" s="59">
        <f t="shared" si="30"/>
        <v>0</v>
      </c>
      <c r="M2201" s="59">
        <f t="shared" si="31"/>
        <v>0</v>
      </c>
    </row>
    <row r="2202" ht="15.0" hidden="1" customHeight="1">
      <c r="A2202" s="59">
        <f t="shared" si="20"/>
        <v>33</v>
      </c>
      <c r="B2202" s="59" t="str">
        <f t="shared" si="21"/>
        <v/>
      </c>
      <c r="C2202" s="59" t="str">
        <f t="shared" si="22"/>
        <v/>
      </c>
      <c r="D2202" s="45" t="str">
        <f t="shared" si="23"/>
        <v/>
      </c>
      <c r="E2202" s="45" t="str">
        <f t="shared" si="24"/>
        <v/>
      </c>
      <c r="F2202" s="59" t="str">
        <f t="shared" si="25"/>
        <v/>
      </c>
      <c r="G2202" s="59" t="str">
        <f t="shared" si="26"/>
        <v/>
      </c>
      <c r="H2202" s="59" t="str">
        <f t="shared" si="27"/>
        <v>Máy rải thảm</v>
      </c>
      <c r="I2202" s="59" t="str">
        <f>IF(OR($A2202="",$C2202="",$D2202="",$E2202="",$H2202=""),"",SUMIFS(DATA_GOC!$H:$H,DATA_GOC!$A:$A,"BOM",DATA_GOC!$D:$D,$H2202,DATA_GOC!$E:$E,$C2202,DATA_GOC!$F:$F,"Xuất nội bộ từ téc",DATA_GOC!$B:$B,"&gt;="&amp;$D2202,DATA_GOC!$B:$B,"&lt;="&amp;$E2202))</f>
        <v/>
      </c>
      <c r="J2202" s="59">
        <f t="shared" si="28"/>
        <v>0</v>
      </c>
      <c r="K2202" s="59">
        <f t="shared" si="29"/>
        <v>0</v>
      </c>
      <c r="L2202" s="59">
        <f t="shared" si="30"/>
        <v>0</v>
      </c>
      <c r="M2202" s="59">
        <f t="shared" si="31"/>
        <v>0</v>
      </c>
    </row>
    <row r="2203" ht="15.0" hidden="1" customHeight="1">
      <c r="A2203" s="59">
        <f t="shared" si="20"/>
        <v>33</v>
      </c>
      <c r="B2203" s="59" t="str">
        <f t="shared" si="21"/>
        <v/>
      </c>
      <c r="C2203" s="59" t="str">
        <f t="shared" si="22"/>
        <v/>
      </c>
      <c r="D2203" s="45" t="str">
        <f t="shared" si="23"/>
        <v/>
      </c>
      <c r="E2203" s="45" t="str">
        <f t="shared" si="24"/>
        <v/>
      </c>
      <c r="F2203" s="59" t="str">
        <f t="shared" si="25"/>
        <v/>
      </c>
      <c r="G2203" s="59" t="str">
        <f t="shared" si="26"/>
        <v/>
      </c>
      <c r="H2203" s="59" t="str">
        <f t="shared" si="27"/>
        <v>Xúc Đào</v>
      </c>
      <c r="I2203" s="59" t="str">
        <f>IF(OR($A2203="",$C2203="",$D2203="",$E2203="",$H2203=""),"",SUMIFS(DATA_GOC!$H:$H,DATA_GOC!$A:$A,"BOM",DATA_GOC!$D:$D,$H2203,DATA_GOC!$E:$E,$C2203,DATA_GOC!$F:$F,"Xuất nội bộ từ téc",DATA_GOC!$B:$B,"&gt;="&amp;$D2203,DATA_GOC!$B:$B,"&lt;="&amp;$E2203))</f>
        <v/>
      </c>
      <c r="J2203" s="59">
        <f t="shared" si="28"/>
        <v>0</v>
      </c>
      <c r="K2203" s="59">
        <f t="shared" si="29"/>
        <v>0</v>
      </c>
      <c r="L2203" s="59">
        <f t="shared" si="30"/>
        <v>0</v>
      </c>
      <c r="M2203" s="59">
        <f t="shared" si="31"/>
        <v>0</v>
      </c>
    </row>
    <row r="2204" ht="15.0" hidden="1" customHeight="1">
      <c r="A2204" s="59">
        <f t="shared" si="20"/>
        <v>33</v>
      </c>
      <c r="B2204" s="59" t="str">
        <f t="shared" si="21"/>
        <v/>
      </c>
      <c r="C2204" s="59" t="str">
        <f t="shared" si="22"/>
        <v/>
      </c>
      <c r="D2204" s="45" t="str">
        <f t="shared" si="23"/>
        <v/>
      </c>
      <c r="E2204" s="45" t="str">
        <f t="shared" si="24"/>
        <v/>
      </c>
      <c r="F2204" s="59" t="str">
        <f t="shared" si="25"/>
        <v/>
      </c>
      <c r="G2204" s="59" t="str">
        <f t="shared" si="26"/>
        <v/>
      </c>
      <c r="H2204" s="59" t="str">
        <f t="shared" si="27"/>
        <v>Xúclật asphalt</v>
      </c>
      <c r="I2204" s="59" t="str">
        <f>IF(OR($A2204="",$C2204="",$D2204="",$E2204="",$H2204=""),"",SUMIFS(DATA_GOC!$H:$H,DATA_GOC!$A:$A,"BOM",DATA_GOC!$D:$D,$H2204,DATA_GOC!$E:$E,$C2204,DATA_GOC!$F:$F,"Xuất nội bộ từ téc",DATA_GOC!$B:$B,"&gt;="&amp;$D2204,DATA_GOC!$B:$B,"&lt;="&amp;$E2204))</f>
        <v/>
      </c>
      <c r="J2204" s="59">
        <f t="shared" si="28"/>
        <v>0</v>
      </c>
      <c r="K2204" s="59">
        <f t="shared" si="29"/>
        <v>0</v>
      </c>
      <c r="L2204" s="59">
        <f t="shared" si="30"/>
        <v>0</v>
      </c>
      <c r="M2204" s="59">
        <f t="shared" si="31"/>
        <v>0</v>
      </c>
    </row>
    <row r="2205" ht="15.0" hidden="1" customHeight="1">
      <c r="A2205" s="59">
        <f t="shared" si="20"/>
        <v>33</v>
      </c>
      <c r="B2205" s="59" t="str">
        <f t="shared" si="21"/>
        <v/>
      </c>
      <c r="C2205" s="59" t="str">
        <f t="shared" si="22"/>
        <v/>
      </c>
      <c r="D2205" s="45" t="str">
        <f t="shared" si="23"/>
        <v/>
      </c>
      <c r="E2205" s="45" t="str">
        <f t="shared" si="24"/>
        <v/>
      </c>
      <c r="F2205" s="59" t="str">
        <f t="shared" si="25"/>
        <v/>
      </c>
      <c r="G2205" s="59" t="str">
        <f t="shared" si="26"/>
        <v/>
      </c>
      <c r="H2205" s="59" t="str">
        <f t="shared" si="27"/>
        <v>Xúclật855H</v>
      </c>
      <c r="I2205" s="59" t="str">
        <f>IF(OR($A2205="",$C2205="",$D2205="",$E2205="",$H2205=""),"",SUMIFS(DATA_GOC!$H:$H,DATA_GOC!$A:$A,"BOM",DATA_GOC!$D:$D,$H2205,DATA_GOC!$E:$E,$C2205,DATA_GOC!$F:$F,"Xuất nội bộ từ téc",DATA_GOC!$B:$B,"&gt;="&amp;$D2205,DATA_GOC!$B:$B,"&lt;="&amp;$E2205))</f>
        <v/>
      </c>
      <c r="J2205" s="59">
        <f t="shared" si="28"/>
        <v>0</v>
      </c>
      <c r="K2205" s="59">
        <f t="shared" si="29"/>
        <v>0</v>
      </c>
      <c r="L2205" s="59">
        <f t="shared" si="30"/>
        <v>0</v>
      </c>
      <c r="M2205" s="59">
        <f t="shared" si="31"/>
        <v>0</v>
      </c>
    </row>
    <row r="2206" ht="15.0" hidden="1" customHeight="1">
      <c r="A2206" s="59">
        <f t="shared" si="20"/>
        <v>33</v>
      </c>
      <c r="B2206" s="59" t="str">
        <f t="shared" si="21"/>
        <v/>
      </c>
      <c r="C2206" s="59" t="str">
        <f t="shared" si="22"/>
        <v/>
      </c>
      <c r="D2206" s="45" t="str">
        <f t="shared" si="23"/>
        <v/>
      </c>
      <c r="E2206" s="45" t="str">
        <f t="shared" si="24"/>
        <v/>
      </c>
      <c r="F2206" s="59" t="str">
        <f t="shared" si="25"/>
        <v/>
      </c>
      <c r="G2206" s="59" t="str">
        <f t="shared" si="26"/>
        <v/>
      </c>
      <c r="H2206" s="59" t="str">
        <f t="shared" si="27"/>
        <v>Xúclật855N</v>
      </c>
      <c r="I2206" s="59" t="str">
        <f>IF(OR($A2206="",$C2206="",$D2206="",$E2206="",$H2206=""),"",SUMIFS(DATA_GOC!$H:$H,DATA_GOC!$A:$A,"BOM",DATA_GOC!$D:$D,$H2206,DATA_GOC!$E:$E,$C2206,DATA_GOC!$F:$F,"Xuất nội bộ từ téc",DATA_GOC!$B:$B,"&gt;="&amp;$D2206,DATA_GOC!$B:$B,"&lt;="&amp;$E2206))</f>
        <v/>
      </c>
      <c r="J2206" s="59">
        <f t="shared" si="28"/>
        <v>0</v>
      </c>
      <c r="K2206" s="59">
        <f t="shared" si="29"/>
        <v>0</v>
      </c>
      <c r="L2206" s="59">
        <f t="shared" si="30"/>
        <v>0</v>
      </c>
      <c r="M2206" s="59">
        <f t="shared" si="31"/>
        <v>0</v>
      </c>
    </row>
    <row r="2207" ht="15.0" hidden="1" customHeight="1">
      <c r="A2207" s="59">
        <f t="shared" si="20"/>
        <v>33</v>
      </c>
      <c r="B2207" s="59" t="str">
        <f t="shared" si="21"/>
        <v/>
      </c>
      <c r="C2207" s="59" t="str">
        <f t="shared" si="22"/>
        <v/>
      </c>
      <c r="D2207" s="45" t="str">
        <f t="shared" si="23"/>
        <v/>
      </c>
      <c r="E2207" s="45" t="str">
        <f t="shared" si="24"/>
        <v/>
      </c>
      <c r="F2207" s="59" t="str">
        <f t="shared" si="25"/>
        <v/>
      </c>
      <c r="G2207" s="59" t="str">
        <f t="shared" si="26"/>
        <v/>
      </c>
      <c r="H2207" s="59" t="str">
        <f t="shared" si="27"/>
        <v>Cát nghiền</v>
      </c>
      <c r="I2207" s="59" t="str">
        <f>IF(OR($A2207="",$C2207="",$D2207="",$E2207="",$H2207=""),"",SUMIFS(DATA_GOC!$H:$H,DATA_GOC!$A:$A,"BOM",DATA_GOC!$D:$D,$H2207,DATA_GOC!$E:$E,$C2207,DATA_GOC!$F:$F,"Xuất nội bộ từ téc",DATA_GOC!$B:$B,"&gt;="&amp;$D2207,DATA_GOC!$B:$B,"&lt;="&amp;$E2207))</f>
        <v/>
      </c>
      <c r="J2207" s="59">
        <f t="shared" si="28"/>
        <v>0</v>
      </c>
      <c r="K2207" s="59">
        <f t="shared" si="29"/>
        <v>0</v>
      </c>
      <c r="L2207" s="59">
        <f t="shared" si="30"/>
        <v>0</v>
      </c>
      <c r="M2207" s="59">
        <f t="shared" si="31"/>
        <v>0</v>
      </c>
    </row>
    <row r="2208" ht="15.0" hidden="1" customHeight="1">
      <c r="A2208" s="59">
        <f t="shared" si="20"/>
        <v>33</v>
      </c>
      <c r="B2208" s="59" t="str">
        <f t="shared" si="21"/>
        <v/>
      </c>
      <c r="C2208" s="59" t="str">
        <f t="shared" si="22"/>
        <v/>
      </c>
      <c r="D2208" s="45" t="str">
        <f t="shared" si="23"/>
        <v/>
      </c>
      <c r="E2208" s="45" t="str">
        <f t="shared" si="24"/>
        <v/>
      </c>
      <c r="F2208" s="59" t="str">
        <f t="shared" si="25"/>
        <v/>
      </c>
      <c r="G2208" s="59" t="str">
        <f t="shared" si="26"/>
        <v/>
      </c>
      <c r="H2208" s="59" t="str">
        <f t="shared" si="27"/>
        <v>28C02973</v>
      </c>
      <c r="I2208" s="59" t="str">
        <f>IF(OR($A2208="",$C2208="",$D2208="",$E2208="",$H2208=""),"",SUMIFS(DATA_GOC!$H:$H,DATA_GOC!$A:$A,"BOM",DATA_GOC!$D:$D,$H2208,DATA_GOC!$E:$E,$C2208,DATA_GOC!$F:$F,"Xuất nội bộ từ téc",DATA_GOC!$B:$B,"&gt;="&amp;$D2208,DATA_GOC!$B:$B,"&lt;="&amp;$E2208))</f>
        <v/>
      </c>
      <c r="J2208" s="59">
        <f t="shared" si="28"/>
        <v>0</v>
      </c>
      <c r="K2208" s="59">
        <f t="shared" si="29"/>
        <v>0</v>
      </c>
      <c r="L2208" s="59">
        <f t="shared" si="30"/>
        <v>0</v>
      </c>
      <c r="M2208" s="59">
        <f t="shared" si="31"/>
        <v>0</v>
      </c>
    </row>
    <row r="2209" ht="15.0" hidden="1" customHeight="1">
      <c r="A2209" s="59">
        <f t="shared" si="20"/>
        <v>33</v>
      </c>
      <c r="B2209" s="59" t="str">
        <f t="shared" si="21"/>
        <v/>
      </c>
      <c r="C2209" s="59" t="str">
        <f t="shared" si="22"/>
        <v/>
      </c>
      <c r="D2209" s="45" t="str">
        <f t="shared" si="23"/>
        <v/>
      </c>
      <c r="E2209" s="45" t="str">
        <f t="shared" si="24"/>
        <v/>
      </c>
      <c r="F2209" s="59" t="str">
        <f t="shared" si="25"/>
        <v/>
      </c>
      <c r="G2209" s="59" t="str">
        <f t="shared" si="26"/>
        <v/>
      </c>
      <c r="H2209" s="59" t="str">
        <f t="shared" si="27"/>
        <v>28C03044</v>
      </c>
      <c r="I2209" s="59" t="str">
        <f>IF(OR($A2209="",$C2209="",$D2209="",$E2209="",$H2209=""),"",SUMIFS(DATA_GOC!$H:$H,DATA_GOC!$A:$A,"BOM",DATA_GOC!$D:$D,$H2209,DATA_GOC!$E:$E,$C2209,DATA_GOC!$F:$F,"Xuất nội bộ từ téc",DATA_GOC!$B:$B,"&gt;="&amp;$D2209,DATA_GOC!$B:$B,"&lt;="&amp;$E2209))</f>
        <v/>
      </c>
      <c r="J2209" s="59">
        <f t="shared" si="28"/>
        <v>0</v>
      </c>
      <c r="K2209" s="59">
        <f t="shared" si="29"/>
        <v>0</v>
      </c>
      <c r="L2209" s="59">
        <f t="shared" si="30"/>
        <v>0</v>
      </c>
      <c r="M2209" s="59">
        <f t="shared" si="31"/>
        <v>0</v>
      </c>
    </row>
    <row r="2210" ht="15.0" hidden="1" customHeight="1">
      <c r="A2210" s="59">
        <f t="shared" si="20"/>
        <v>33</v>
      </c>
      <c r="B2210" s="59" t="str">
        <f t="shared" si="21"/>
        <v/>
      </c>
      <c r="C2210" s="59" t="str">
        <f t="shared" si="22"/>
        <v/>
      </c>
      <c r="D2210" s="45" t="str">
        <f t="shared" si="23"/>
        <v/>
      </c>
      <c r="E2210" s="45" t="str">
        <f t="shared" si="24"/>
        <v/>
      </c>
      <c r="F2210" s="59" t="str">
        <f t="shared" si="25"/>
        <v/>
      </c>
      <c r="G2210" s="59" t="str">
        <f t="shared" si="26"/>
        <v/>
      </c>
      <c r="H2210" s="59" t="str">
        <f t="shared" si="27"/>
        <v>Máy lu lốp</v>
      </c>
      <c r="I2210" s="59" t="str">
        <f>IF(OR($A2210="",$C2210="",$D2210="",$E2210="",$H2210=""),"",SUMIFS(DATA_GOC!$H:$H,DATA_GOC!$A:$A,"BOM",DATA_GOC!$D:$D,$H2210,DATA_GOC!$E:$E,$C2210,DATA_GOC!$F:$F,"Xuất nội bộ từ téc",DATA_GOC!$B:$B,"&gt;="&amp;$D2210,DATA_GOC!$B:$B,"&lt;="&amp;$E2210))</f>
        <v/>
      </c>
      <c r="J2210" s="59">
        <f t="shared" si="28"/>
        <v>0</v>
      </c>
      <c r="K2210" s="59">
        <f t="shared" si="29"/>
        <v>0</v>
      </c>
      <c r="L2210" s="59">
        <f t="shared" si="30"/>
        <v>0</v>
      </c>
      <c r="M2210" s="59">
        <f t="shared" si="31"/>
        <v>0</v>
      </c>
    </row>
    <row r="2211" ht="15.0" hidden="1" customHeight="1">
      <c r="A2211" s="59">
        <f t="shared" si="20"/>
        <v>33</v>
      </c>
      <c r="B2211" s="59" t="str">
        <f t="shared" si="21"/>
        <v/>
      </c>
      <c r="C2211" s="59" t="str">
        <f t="shared" si="22"/>
        <v/>
      </c>
      <c r="D2211" s="45" t="str">
        <f t="shared" si="23"/>
        <v/>
      </c>
      <c r="E2211" s="45" t="str">
        <f t="shared" si="24"/>
        <v/>
      </c>
      <c r="F2211" s="59" t="str">
        <f t="shared" si="25"/>
        <v/>
      </c>
      <c r="G2211" s="59" t="str">
        <f t="shared" si="26"/>
        <v/>
      </c>
      <c r="H2211" s="59" t="str">
        <f t="shared" si="27"/>
        <v>Xe 600148</v>
      </c>
      <c r="I2211" s="59" t="str">
        <f>IF(OR($A2211="",$C2211="",$D2211="",$E2211="",$H2211=""),"",SUMIFS(DATA_GOC!$H:$H,DATA_GOC!$A:$A,"BOM",DATA_GOC!$D:$D,$H2211,DATA_GOC!$E:$E,$C2211,DATA_GOC!$F:$F,"Xuất nội bộ từ téc",DATA_GOC!$B:$B,"&gt;="&amp;$D2211,DATA_GOC!$B:$B,"&lt;="&amp;$E2211))</f>
        <v/>
      </c>
      <c r="J2211" s="59">
        <f t="shared" si="28"/>
        <v>0</v>
      </c>
      <c r="K2211" s="59">
        <f t="shared" si="29"/>
        <v>0</v>
      </c>
      <c r="L2211" s="59">
        <f t="shared" si="30"/>
        <v>0</v>
      </c>
      <c r="M2211" s="59">
        <f t="shared" si="31"/>
        <v>0</v>
      </c>
    </row>
    <row r="2212" ht="15.0" hidden="1" customHeight="1">
      <c r="A2212" s="59">
        <f t="shared" si="20"/>
        <v>33</v>
      </c>
      <c r="B2212" s="59" t="str">
        <f t="shared" si="21"/>
        <v/>
      </c>
      <c r="C2212" s="59" t="str">
        <f t="shared" si="22"/>
        <v/>
      </c>
      <c r="D2212" s="45" t="str">
        <f t="shared" si="23"/>
        <v/>
      </c>
      <c r="E2212" s="45" t="str">
        <f t="shared" si="24"/>
        <v/>
      </c>
      <c r="F2212" s="59" t="str">
        <f t="shared" si="25"/>
        <v/>
      </c>
      <c r="G2212" s="59" t="str">
        <f t="shared" si="26"/>
        <v/>
      </c>
      <c r="H2212" s="59" t="str">
        <f t="shared" si="27"/>
        <v>Xe ben mới</v>
      </c>
      <c r="I2212" s="59" t="str">
        <f>IF(OR($A2212="",$C2212="",$D2212="",$E2212="",$H2212=""),"",SUMIFS(DATA_GOC!$H:$H,DATA_GOC!$A:$A,"BOM",DATA_GOC!$D:$D,$H2212,DATA_GOC!$E:$E,$C2212,DATA_GOC!$F:$F,"Xuất nội bộ từ téc",DATA_GOC!$B:$B,"&gt;="&amp;$D2212,DATA_GOC!$B:$B,"&lt;="&amp;$E2212))</f>
        <v/>
      </c>
      <c r="J2212" s="59">
        <f t="shared" si="28"/>
        <v>0</v>
      </c>
      <c r="K2212" s="59">
        <f t="shared" si="29"/>
        <v>0</v>
      </c>
      <c r="L2212" s="59">
        <f t="shared" si="30"/>
        <v>0</v>
      </c>
      <c r="M2212" s="59">
        <f t="shared" si="31"/>
        <v>0</v>
      </c>
    </row>
    <row r="2213" ht="15.0" hidden="1" customHeight="1">
      <c r="A2213" s="59">
        <f t="shared" si="20"/>
        <v>34</v>
      </c>
      <c r="B2213" s="59" t="str">
        <f t="shared" si="21"/>
        <v/>
      </c>
      <c r="C2213" s="59" t="str">
        <f t="shared" si="22"/>
        <v/>
      </c>
      <c r="D2213" s="45" t="str">
        <f t="shared" si="23"/>
        <v/>
      </c>
      <c r="E2213" s="45" t="str">
        <f t="shared" si="24"/>
        <v/>
      </c>
      <c r="F2213" s="59" t="str">
        <f t="shared" si="25"/>
        <v/>
      </c>
      <c r="G2213" s="59" t="str">
        <f t="shared" si="26"/>
        <v/>
      </c>
      <c r="H2213" s="59" t="str">
        <f t="shared" si="27"/>
        <v>19H09482</v>
      </c>
      <c r="I2213" s="59" t="str">
        <f>IF(OR($A2213="",$C2213="",$D2213="",$E2213="",$H2213=""),"",SUMIFS(DATA_GOC!$H:$H,DATA_GOC!$A:$A,"BOM",DATA_GOC!$D:$D,$H2213,DATA_GOC!$E:$E,$C2213,DATA_GOC!$F:$F,"Xuất nội bộ từ téc",DATA_GOC!$B:$B,"&gt;="&amp;$D2213,DATA_GOC!$B:$B,"&lt;="&amp;$E2213))</f>
        <v/>
      </c>
      <c r="J2213" s="59">
        <f t="shared" si="28"/>
        <v>0</v>
      </c>
      <c r="K2213" s="59">
        <f t="shared" si="29"/>
        <v>0</v>
      </c>
      <c r="L2213" s="59">
        <f t="shared" si="30"/>
        <v>0</v>
      </c>
      <c r="M2213" s="59">
        <f t="shared" si="31"/>
        <v>0</v>
      </c>
    </row>
    <row r="2214" ht="15.0" hidden="1" customHeight="1">
      <c r="A2214" s="59">
        <f t="shared" si="20"/>
        <v>34</v>
      </c>
      <c r="B2214" s="59" t="str">
        <f t="shared" si="21"/>
        <v/>
      </c>
      <c r="C2214" s="59" t="str">
        <f t="shared" si="22"/>
        <v/>
      </c>
      <c r="D2214" s="45" t="str">
        <f t="shared" si="23"/>
        <v/>
      </c>
      <c r="E2214" s="45" t="str">
        <f t="shared" si="24"/>
        <v/>
      </c>
      <c r="F2214" s="59" t="str">
        <f t="shared" si="25"/>
        <v/>
      </c>
      <c r="G2214" s="59" t="str">
        <f t="shared" si="26"/>
        <v/>
      </c>
      <c r="H2214" s="59" t="str">
        <f t="shared" si="27"/>
        <v>28A30696</v>
      </c>
      <c r="I2214" s="59" t="str">
        <f>IF(OR($A2214="",$C2214="",$D2214="",$E2214="",$H2214=""),"",SUMIFS(DATA_GOC!$H:$H,DATA_GOC!$A:$A,"BOM",DATA_GOC!$D:$D,$H2214,DATA_GOC!$E:$E,$C2214,DATA_GOC!$F:$F,"Xuất nội bộ từ téc",DATA_GOC!$B:$B,"&gt;="&amp;$D2214,DATA_GOC!$B:$B,"&lt;="&amp;$E2214))</f>
        <v/>
      </c>
      <c r="J2214" s="59">
        <f t="shared" si="28"/>
        <v>0</v>
      </c>
      <c r="K2214" s="59">
        <f t="shared" si="29"/>
        <v>0</v>
      </c>
      <c r="L2214" s="59">
        <f t="shared" si="30"/>
        <v>0</v>
      </c>
      <c r="M2214" s="59">
        <f t="shared" si="31"/>
        <v>0</v>
      </c>
    </row>
    <row r="2215" ht="15.0" hidden="1" customHeight="1">
      <c r="A2215" s="59">
        <f t="shared" si="20"/>
        <v>34</v>
      </c>
      <c r="B2215" s="59" t="str">
        <f t="shared" si="21"/>
        <v/>
      </c>
      <c r="C2215" s="59" t="str">
        <f t="shared" si="22"/>
        <v/>
      </c>
      <c r="D2215" s="45" t="str">
        <f t="shared" si="23"/>
        <v/>
      </c>
      <c r="E2215" s="45" t="str">
        <f t="shared" si="24"/>
        <v/>
      </c>
      <c r="F2215" s="59" t="str">
        <f t="shared" si="25"/>
        <v/>
      </c>
      <c r="G2215" s="59" t="str">
        <f t="shared" si="26"/>
        <v/>
      </c>
      <c r="H2215" s="59" t="str">
        <f t="shared" si="27"/>
        <v>28C00462</v>
      </c>
      <c r="I2215" s="59" t="str">
        <f>IF(OR($A2215="",$C2215="",$D2215="",$E2215="",$H2215=""),"",SUMIFS(DATA_GOC!$H:$H,DATA_GOC!$A:$A,"BOM",DATA_GOC!$D:$D,$H2215,DATA_GOC!$E:$E,$C2215,DATA_GOC!$F:$F,"Xuất nội bộ từ téc",DATA_GOC!$B:$B,"&gt;="&amp;$D2215,DATA_GOC!$B:$B,"&lt;="&amp;$E2215))</f>
        <v/>
      </c>
      <c r="J2215" s="59">
        <f t="shared" si="28"/>
        <v>0</v>
      </c>
      <c r="K2215" s="59">
        <f t="shared" si="29"/>
        <v>0</v>
      </c>
      <c r="L2215" s="59">
        <f t="shared" si="30"/>
        <v>0</v>
      </c>
      <c r="M2215" s="59">
        <f t="shared" si="31"/>
        <v>0</v>
      </c>
    </row>
    <row r="2216" ht="15.0" hidden="1" customHeight="1">
      <c r="A2216" s="59">
        <f t="shared" si="20"/>
        <v>34</v>
      </c>
      <c r="B2216" s="59" t="str">
        <f t="shared" si="21"/>
        <v/>
      </c>
      <c r="C2216" s="59" t="str">
        <f t="shared" si="22"/>
        <v/>
      </c>
      <c r="D2216" s="45" t="str">
        <f t="shared" si="23"/>
        <v/>
      </c>
      <c r="E2216" s="45" t="str">
        <f t="shared" si="24"/>
        <v/>
      </c>
      <c r="F2216" s="59" t="str">
        <f t="shared" si="25"/>
        <v/>
      </c>
      <c r="G2216" s="59" t="str">
        <f t="shared" si="26"/>
        <v/>
      </c>
      <c r="H2216" s="59" t="str">
        <f t="shared" si="27"/>
        <v>28C01165</v>
      </c>
      <c r="I2216" s="59" t="str">
        <f>IF(OR($A2216="",$C2216="",$D2216="",$E2216="",$H2216=""),"",SUMIFS(DATA_GOC!$H:$H,DATA_GOC!$A:$A,"BOM",DATA_GOC!$D:$D,$H2216,DATA_GOC!$E:$E,$C2216,DATA_GOC!$F:$F,"Xuất nội bộ từ téc",DATA_GOC!$B:$B,"&gt;="&amp;$D2216,DATA_GOC!$B:$B,"&lt;="&amp;$E2216))</f>
        <v/>
      </c>
      <c r="J2216" s="59">
        <f t="shared" si="28"/>
        <v>0</v>
      </c>
      <c r="K2216" s="59">
        <f t="shared" si="29"/>
        <v>0</v>
      </c>
      <c r="L2216" s="59">
        <f t="shared" si="30"/>
        <v>0</v>
      </c>
      <c r="M2216" s="59">
        <f t="shared" si="31"/>
        <v>0</v>
      </c>
    </row>
    <row r="2217" ht="15.0" hidden="1" customHeight="1">
      <c r="A2217" s="59">
        <f t="shared" si="20"/>
        <v>34</v>
      </c>
      <c r="B2217" s="59" t="str">
        <f t="shared" si="21"/>
        <v/>
      </c>
      <c r="C2217" s="59" t="str">
        <f t="shared" si="22"/>
        <v/>
      </c>
      <c r="D2217" s="45" t="str">
        <f t="shared" si="23"/>
        <v/>
      </c>
      <c r="E2217" s="45" t="str">
        <f t="shared" si="24"/>
        <v/>
      </c>
      <c r="F2217" s="59" t="str">
        <f t="shared" si="25"/>
        <v/>
      </c>
      <c r="G2217" s="59" t="str">
        <f t="shared" si="26"/>
        <v/>
      </c>
      <c r="H2217" s="59" t="str">
        <f t="shared" si="27"/>
        <v>28C01406</v>
      </c>
      <c r="I2217" s="59" t="str">
        <f>IF(OR($A2217="",$C2217="",$D2217="",$E2217="",$H2217=""),"",SUMIFS(DATA_GOC!$H:$H,DATA_GOC!$A:$A,"BOM",DATA_GOC!$D:$D,$H2217,DATA_GOC!$E:$E,$C2217,DATA_GOC!$F:$F,"Xuất nội bộ từ téc",DATA_GOC!$B:$B,"&gt;="&amp;$D2217,DATA_GOC!$B:$B,"&lt;="&amp;$E2217))</f>
        <v/>
      </c>
      <c r="J2217" s="59">
        <f t="shared" si="28"/>
        <v>0</v>
      </c>
      <c r="K2217" s="59">
        <f t="shared" si="29"/>
        <v>0</v>
      </c>
      <c r="L2217" s="59">
        <f t="shared" si="30"/>
        <v>0</v>
      </c>
      <c r="M2217" s="59">
        <f t="shared" si="31"/>
        <v>0</v>
      </c>
    </row>
    <row r="2218" ht="15.0" hidden="1" customHeight="1">
      <c r="A2218" s="59">
        <f t="shared" si="20"/>
        <v>34</v>
      </c>
      <c r="B2218" s="59" t="str">
        <f t="shared" si="21"/>
        <v/>
      </c>
      <c r="C2218" s="59" t="str">
        <f t="shared" si="22"/>
        <v/>
      </c>
      <c r="D2218" s="45" t="str">
        <f t="shared" si="23"/>
        <v/>
      </c>
      <c r="E2218" s="45" t="str">
        <f t="shared" si="24"/>
        <v/>
      </c>
      <c r="F2218" s="59" t="str">
        <f t="shared" si="25"/>
        <v/>
      </c>
      <c r="G2218" s="59" t="str">
        <f t="shared" si="26"/>
        <v/>
      </c>
      <c r="H2218" s="59" t="str">
        <f t="shared" si="27"/>
        <v>28C01544</v>
      </c>
      <c r="I2218" s="59" t="str">
        <f>IF(OR($A2218="",$C2218="",$D2218="",$E2218="",$H2218=""),"",SUMIFS(DATA_GOC!$H:$H,DATA_GOC!$A:$A,"BOM",DATA_GOC!$D:$D,$H2218,DATA_GOC!$E:$E,$C2218,DATA_GOC!$F:$F,"Xuất nội bộ từ téc",DATA_GOC!$B:$B,"&gt;="&amp;$D2218,DATA_GOC!$B:$B,"&lt;="&amp;$E2218))</f>
        <v/>
      </c>
      <c r="J2218" s="59">
        <f t="shared" si="28"/>
        <v>0</v>
      </c>
      <c r="K2218" s="59">
        <f t="shared" si="29"/>
        <v>0</v>
      </c>
      <c r="L2218" s="59">
        <f t="shared" si="30"/>
        <v>0</v>
      </c>
      <c r="M2218" s="59">
        <f t="shared" si="31"/>
        <v>0</v>
      </c>
    </row>
    <row r="2219" ht="15.0" hidden="1" customHeight="1">
      <c r="A2219" s="59">
        <f t="shared" si="20"/>
        <v>34</v>
      </c>
      <c r="B2219" s="59" t="str">
        <f t="shared" si="21"/>
        <v/>
      </c>
      <c r="C2219" s="59" t="str">
        <f t="shared" si="22"/>
        <v/>
      </c>
      <c r="D2219" s="45" t="str">
        <f t="shared" si="23"/>
        <v/>
      </c>
      <c r="E2219" s="45" t="str">
        <f t="shared" si="24"/>
        <v/>
      </c>
      <c r="F2219" s="59" t="str">
        <f t="shared" si="25"/>
        <v/>
      </c>
      <c r="G2219" s="59" t="str">
        <f t="shared" si="26"/>
        <v/>
      </c>
      <c r="H2219" s="59" t="str">
        <f t="shared" si="27"/>
        <v>28C01622</v>
      </c>
      <c r="I2219" s="59" t="str">
        <f>IF(OR($A2219="",$C2219="",$D2219="",$E2219="",$H2219=""),"",SUMIFS(DATA_GOC!$H:$H,DATA_GOC!$A:$A,"BOM",DATA_GOC!$D:$D,$H2219,DATA_GOC!$E:$E,$C2219,DATA_GOC!$F:$F,"Xuất nội bộ từ téc",DATA_GOC!$B:$B,"&gt;="&amp;$D2219,DATA_GOC!$B:$B,"&lt;="&amp;$E2219))</f>
        <v/>
      </c>
      <c r="J2219" s="59">
        <f t="shared" si="28"/>
        <v>0</v>
      </c>
      <c r="K2219" s="59">
        <f t="shared" si="29"/>
        <v>0</v>
      </c>
      <c r="L2219" s="59">
        <f t="shared" si="30"/>
        <v>0</v>
      </c>
      <c r="M2219" s="59">
        <f t="shared" si="31"/>
        <v>0</v>
      </c>
    </row>
    <row r="2220" ht="15.0" hidden="1" customHeight="1">
      <c r="A2220" s="59">
        <f t="shared" si="20"/>
        <v>34</v>
      </c>
      <c r="B2220" s="59" t="str">
        <f t="shared" si="21"/>
        <v/>
      </c>
      <c r="C2220" s="59" t="str">
        <f t="shared" si="22"/>
        <v/>
      </c>
      <c r="D2220" s="45" t="str">
        <f t="shared" si="23"/>
        <v/>
      </c>
      <c r="E2220" s="45" t="str">
        <f t="shared" si="24"/>
        <v/>
      </c>
      <c r="F2220" s="59" t="str">
        <f t="shared" si="25"/>
        <v/>
      </c>
      <c r="G2220" s="59" t="str">
        <f t="shared" si="26"/>
        <v/>
      </c>
      <c r="H2220" s="59" t="str">
        <f t="shared" si="27"/>
        <v>28C01647</v>
      </c>
      <c r="I2220" s="59" t="str">
        <f>IF(OR($A2220="",$C2220="",$D2220="",$E2220="",$H2220=""),"",SUMIFS(DATA_GOC!$H:$H,DATA_GOC!$A:$A,"BOM",DATA_GOC!$D:$D,$H2220,DATA_GOC!$E:$E,$C2220,DATA_GOC!$F:$F,"Xuất nội bộ từ téc",DATA_GOC!$B:$B,"&gt;="&amp;$D2220,DATA_GOC!$B:$B,"&lt;="&amp;$E2220))</f>
        <v/>
      </c>
      <c r="J2220" s="59">
        <f t="shared" si="28"/>
        <v>0</v>
      </c>
      <c r="K2220" s="59">
        <f t="shared" si="29"/>
        <v>0</v>
      </c>
      <c r="L2220" s="59">
        <f t="shared" si="30"/>
        <v>0</v>
      </c>
      <c r="M2220" s="59">
        <f t="shared" si="31"/>
        <v>0</v>
      </c>
    </row>
    <row r="2221" ht="15.0" hidden="1" customHeight="1">
      <c r="A2221" s="59">
        <f t="shared" si="20"/>
        <v>34</v>
      </c>
      <c r="B2221" s="59" t="str">
        <f t="shared" si="21"/>
        <v/>
      </c>
      <c r="C2221" s="59" t="str">
        <f t="shared" si="22"/>
        <v/>
      </c>
      <c r="D2221" s="45" t="str">
        <f t="shared" si="23"/>
        <v/>
      </c>
      <c r="E2221" s="45" t="str">
        <f t="shared" si="24"/>
        <v/>
      </c>
      <c r="F2221" s="59" t="str">
        <f t="shared" si="25"/>
        <v/>
      </c>
      <c r="G2221" s="59" t="str">
        <f t="shared" si="26"/>
        <v/>
      </c>
      <c r="H2221" s="59" t="str">
        <f t="shared" si="27"/>
        <v>28C01731</v>
      </c>
      <c r="I2221" s="59" t="str">
        <f>IF(OR($A2221="",$C2221="",$D2221="",$E2221="",$H2221=""),"",SUMIFS(DATA_GOC!$H:$H,DATA_GOC!$A:$A,"BOM",DATA_GOC!$D:$D,$H2221,DATA_GOC!$E:$E,$C2221,DATA_GOC!$F:$F,"Xuất nội bộ từ téc",DATA_GOC!$B:$B,"&gt;="&amp;$D2221,DATA_GOC!$B:$B,"&lt;="&amp;$E2221))</f>
        <v/>
      </c>
      <c r="J2221" s="59">
        <f t="shared" si="28"/>
        <v>0</v>
      </c>
      <c r="K2221" s="59">
        <f t="shared" si="29"/>
        <v>0</v>
      </c>
      <c r="L2221" s="59">
        <f t="shared" si="30"/>
        <v>0</v>
      </c>
      <c r="M2221" s="59">
        <f t="shared" si="31"/>
        <v>0</v>
      </c>
    </row>
    <row r="2222" ht="15.0" hidden="1" customHeight="1">
      <c r="A2222" s="59">
        <f t="shared" si="20"/>
        <v>34</v>
      </c>
      <c r="B2222" s="59" t="str">
        <f t="shared" si="21"/>
        <v/>
      </c>
      <c r="C2222" s="59" t="str">
        <f t="shared" si="22"/>
        <v/>
      </c>
      <c r="D2222" s="45" t="str">
        <f t="shared" si="23"/>
        <v/>
      </c>
      <c r="E2222" s="45" t="str">
        <f t="shared" si="24"/>
        <v/>
      </c>
      <c r="F2222" s="59" t="str">
        <f t="shared" si="25"/>
        <v/>
      </c>
      <c r="G2222" s="59" t="str">
        <f t="shared" si="26"/>
        <v/>
      </c>
      <c r="H2222" s="59" t="str">
        <f t="shared" si="27"/>
        <v>28C01743</v>
      </c>
      <c r="I2222" s="59" t="str">
        <f>IF(OR($A2222="",$C2222="",$D2222="",$E2222="",$H2222=""),"",SUMIFS(DATA_GOC!$H:$H,DATA_GOC!$A:$A,"BOM",DATA_GOC!$D:$D,$H2222,DATA_GOC!$E:$E,$C2222,DATA_GOC!$F:$F,"Xuất nội bộ từ téc",DATA_GOC!$B:$B,"&gt;="&amp;$D2222,DATA_GOC!$B:$B,"&lt;="&amp;$E2222))</f>
        <v/>
      </c>
      <c r="J2222" s="59">
        <f t="shared" si="28"/>
        <v>0</v>
      </c>
      <c r="K2222" s="59">
        <f t="shared" si="29"/>
        <v>0</v>
      </c>
      <c r="L2222" s="59">
        <f t="shared" si="30"/>
        <v>0</v>
      </c>
      <c r="M2222" s="59">
        <f t="shared" si="31"/>
        <v>0</v>
      </c>
    </row>
    <row r="2223" ht="15.0" hidden="1" customHeight="1">
      <c r="A2223" s="59">
        <f t="shared" si="20"/>
        <v>34</v>
      </c>
      <c r="B2223" s="59" t="str">
        <f t="shared" si="21"/>
        <v/>
      </c>
      <c r="C2223" s="59" t="str">
        <f t="shared" si="22"/>
        <v/>
      </c>
      <c r="D2223" s="45" t="str">
        <f t="shared" si="23"/>
        <v/>
      </c>
      <c r="E2223" s="45" t="str">
        <f t="shared" si="24"/>
        <v/>
      </c>
      <c r="F2223" s="59" t="str">
        <f t="shared" si="25"/>
        <v/>
      </c>
      <c r="G2223" s="59" t="str">
        <f t="shared" si="26"/>
        <v/>
      </c>
      <c r="H2223" s="59" t="str">
        <f t="shared" si="27"/>
        <v>28C02106</v>
      </c>
      <c r="I2223" s="59" t="str">
        <f>IF(OR($A2223="",$C2223="",$D2223="",$E2223="",$H2223=""),"",SUMIFS(DATA_GOC!$H:$H,DATA_GOC!$A:$A,"BOM",DATA_GOC!$D:$D,$H2223,DATA_GOC!$E:$E,$C2223,DATA_GOC!$F:$F,"Xuất nội bộ từ téc",DATA_GOC!$B:$B,"&gt;="&amp;$D2223,DATA_GOC!$B:$B,"&lt;="&amp;$E2223))</f>
        <v/>
      </c>
      <c r="J2223" s="59">
        <f t="shared" si="28"/>
        <v>0</v>
      </c>
      <c r="K2223" s="59">
        <f t="shared" si="29"/>
        <v>0</v>
      </c>
      <c r="L2223" s="59">
        <f t="shared" si="30"/>
        <v>0</v>
      </c>
      <c r="M2223" s="59">
        <f t="shared" si="31"/>
        <v>0</v>
      </c>
    </row>
    <row r="2224" ht="15.0" hidden="1" customHeight="1">
      <c r="A2224" s="59">
        <f t="shared" si="20"/>
        <v>34</v>
      </c>
      <c r="B2224" s="59" t="str">
        <f t="shared" si="21"/>
        <v/>
      </c>
      <c r="C2224" s="59" t="str">
        <f t="shared" si="22"/>
        <v/>
      </c>
      <c r="D2224" s="45" t="str">
        <f t="shared" si="23"/>
        <v/>
      </c>
      <c r="E2224" s="45" t="str">
        <f t="shared" si="24"/>
        <v/>
      </c>
      <c r="F2224" s="59" t="str">
        <f t="shared" si="25"/>
        <v/>
      </c>
      <c r="G2224" s="59" t="str">
        <f t="shared" si="26"/>
        <v/>
      </c>
      <c r="H2224" s="59" t="str">
        <f t="shared" si="27"/>
        <v>28C02410</v>
      </c>
      <c r="I2224" s="59" t="str">
        <f>IF(OR($A2224="",$C2224="",$D2224="",$E2224="",$H2224=""),"",SUMIFS(DATA_GOC!$H:$H,DATA_GOC!$A:$A,"BOM",DATA_GOC!$D:$D,$H2224,DATA_GOC!$E:$E,$C2224,DATA_GOC!$F:$F,"Xuất nội bộ từ téc",DATA_GOC!$B:$B,"&gt;="&amp;$D2224,DATA_GOC!$B:$B,"&lt;="&amp;$E2224))</f>
        <v/>
      </c>
      <c r="J2224" s="59">
        <f t="shared" si="28"/>
        <v>0</v>
      </c>
      <c r="K2224" s="59">
        <f t="shared" si="29"/>
        <v>0</v>
      </c>
      <c r="L2224" s="59">
        <f t="shared" si="30"/>
        <v>0</v>
      </c>
      <c r="M2224" s="59">
        <f t="shared" si="31"/>
        <v>0</v>
      </c>
    </row>
    <row r="2225" ht="15.0" hidden="1" customHeight="1">
      <c r="A2225" s="59">
        <f t="shared" si="20"/>
        <v>34</v>
      </c>
      <c r="B2225" s="59" t="str">
        <f t="shared" si="21"/>
        <v/>
      </c>
      <c r="C2225" s="59" t="str">
        <f t="shared" si="22"/>
        <v/>
      </c>
      <c r="D2225" s="45" t="str">
        <f t="shared" si="23"/>
        <v/>
      </c>
      <c r="E2225" s="45" t="str">
        <f t="shared" si="24"/>
        <v/>
      </c>
      <c r="F2225" s="59" t="str">
        <f t="shared" si="25"/>
        <v/>
      </c>
      <c r="G2225" s="59" t="str">
        <f t="shared" si="26"/>
        <v/>
      </c>
      <c r="H2225" s="59" t="str">
        <f t="shared" si="27"/>
        <v>28C02545</v>
      </c>
      <c r="I2225" s="59" t="str">
        <f>IF(OR($A2225="",$C2225="",$D2225="",$E2225="",$H2225=""),"",SUMIFS(DATA_GOC!$H:$H,DATA_GOC!$A:$A,"BOM",DATA_GOC!$D:$D,$H2225,DATA_GOC!$E:$E,$C2225,DATA_GOC!$F:$F,"Xuất nội bộ từ téc",DATA_GOC!$B:$B,"&gt;="&amp;$D2225,DATA_GOC!$B:$B,"&lt;="&amp;$E2225))</f>
        <v/>
      </c>
      <c r="J2225" s="59">
        <f t="shared" si="28"/>
        <v>0</v>
      </c>
      <c r="K2225" s="59">
        <f t="shared" si="29"/>
        <v>0</v>
      </c>
      <c r="L2225" s="59">
        <f t="shared" si="30"/>
        <v>0</v>
      </c>
      <c r="M2225" s="59">
        <f t="shared" si="31"/>
        <v>0</v>
      </c>
    </row>
    <row r="2226" ht="15.0" hidden="1" customHeight="1">
      <c r="A2226" s="59">
        <f t="shared" si="20"/>
        <v>34</v>
      </c>
      <c r="B2226" s="59" t="str">
        <f t="shared" si="21"/>
        <v/>
      </c>
      <c r="C2226" s="59" t="str">
        <f t="shared" si="22"/>
        <v/>
      </c>
      <c r="D2226" s="45" t="str">
        <f t="shared" si="23"/>
        <v/>
      </c>
      <c r="E2226" s="45" t="str">
        <f t="shared" si="24"/>
        <v/>
      </c>
      <c r="F2226" s="59" t="str">
        <f t="shared" si="25"/>
        <v/>
      </c>
      <c r="G2226" s="59" t="str">
        <f t="shared" si="26"/>
        <v/>
      </c>
      <c r="H2226" s="59" t="str">
        <f t="shared" si="27"/>
        <v>28C02574</v>
      </c>
      <c r="I2226" s="59" t="str">
        <f>IF(OR($A2226="",$C2226="",$D2226="",$E2226="",$H2226=""),"",SUMIFS(DATA_GOC!$H:$H,DATA_GOC!$A:$A,"BOM",DATA_GOC!$D:$D,$H2226,DATA_GOC!$E:$E,$C2226,DATA_GOC!$F:$F,"Xuất nội bộ từ téc",DATA_GOC!$B:$B,"&gt;="&amp;$D2226,DATA_GOC!$B:$B,"&lt;="&amp;$E2226))</f>
        <v/>
      </c>
      <c r="J2226" s="59">
        <f t="shared" si="28"/>
        <v>0</v>
      </c>
      <c r="K2226" s="59">
        <f t="shared" si="29"/>
        <v>0</v>
      </c>
      <c r="L2226" s="59">
        <f t="shared" si="30"/>
        <v>0</v>
      </c>
      <c r="M2226" s="59">
        <f t="shared" si="31"/>
        <v>0</v>
      </c>
    </row>
    <row r="2227" ht="15.0" hidden="1" customHeight="1">
      <c r="A2227" s="59">
        <f t="shared" si="20"/>
        <v>34</v>
      </c>
      <c r="B2227" s="59" t="str">
        <f t="shared" si="21"/>
        <v/>
      </c>
      <c r="C2227" s="59" t="str">
        <f t="shared" si="22"/>
        <v/>
      </c>
      <c r="D2227" s="45" t="str">
        <f t="shared" si="23"/>
        <v/>
      </c>
      <c r="E2227" s="45" t="str">
        <f t="shared" si="24"/>
        <v/>
      </c>
      <c r="F2227" s="59" t="str">
        <f t="shared" si="25"/>
        <v/>
      </c>
      <c r="G2227" s="59" t="str">
        <f t="shared" si="26"/>
        <v/>
      </c>
      <c r="H2227" s="59" t="str">
        <f t="shared" si="27"/>
        <v>28C02770</v>
      </c>
      <c r="I2227" s="59" t="str">
        <f>IF(OR($A2227="",$C2227="",$D2227="",$E2227="",$H2227=""),"",SUMIFS(DATA_GOC!$H:$H,DATA_GOC!$A:$A,"BOM",DATA_GOC!$D:$D,$H2227,DATA_GOC!$E:$E,$C2227,DATA_GOC!$F:$F,"Xuất nội bộ từ téc",DATA_GOC!$B:$B,"&gt;="&amp;$D2227,DATA_GOC!$B:$B,"&lt;="&amp;$E2227))</f>
        <v/>
      </c>
      <c r="J2227" s="59">
        <f t="shared" si="28"/>
        <v>0</v>
      </c>
      <c r="K2227" s="59">
        <f t="shared" si="29"/>
        <v>0</v>
      </c>
      <c r="L2227" s="59">
        <f t="shared" si="30"/>
        <v>0</v>
      </c>
      <c r="M2227" s="59">
        <f t="shared" si="31"/>
        <v>0</v>
      </c>
    </row>
    <row r="2228" ht="15.0" hidden="1" customHeight="1">
      <c r="A2228" s="59">
        <f t="shared" si="20"/>
        <v>34</v>
      </c>
      <c r="B2228" s="59" t="str">
        <f t="shared" si="21"/>
        <v/>
      </c>
      <c r="C2228" s="59" t="str">
        <f t="shared" si="22"/>
        <v/>
      </c>
      <c r="D2228" s="45" t="str">
        <f t="shared" si="23"/>
        <v/>
      </c>
      <c r="E2228" s="45" t="str">
        <f t="shared" si="24"/>
        <v/>
      </c>
      <c r="F2228" s="59" t="str">
        <f t="shared" si="25"/>
        <v/>
      </c>
      <c r="G2228" s="59" t="str">
        <f t="shared" si="26"/>
        <v/>
      </c>
      <c r="H2228" s="59" t="str">
        <f t="shared" si="27"/>
        <v>28C02986</v>
      </c>
      <c r="I2228" s="59" t="str">
        <f>IF(OR($A2228="",$C2228="",$D2228="",$E2228="",$H2228=""),"",SUMIFS(DATA_GOC!$H:$H,DATA_GOC!$A:$A,"BOM",DATA_GOC!$D:$D,$H2228,DATA_GOC!$E:$E,$C2228,DATA_GOC!$F:$F,"Xuất nội bộ từ téc",DATA_GOC!$B:$B,"&gt;="&amp;$D2228,DATA_GOC!$B:$B,"&lt;="&amp;$E2228))</f>
        <v/>
      </c>
      <c r="J2228" s="59">
        <f t="shared" si="28"/>
        <v>0</v>
      </c>
      <c r="K2228" s="59">
        <f t="shared" si="29"/>
        <v>0</v>
      </c>
      <c r="L2228" s="59">
        <f t="shared" si="30"/>
        <v>0</v>
      </c>
      <c r="M2228" s="59">
        <f t="shared" si="31"/>
        <v>0</v>
      </c>
    </row>
    <row r="2229" ht="15.0" hidden="1" customHeight="1">
      <c r="A2229" s="59">
        <f t="shared" si="20"/>
        <v>34</v>
      </c>
      <c r="B2229" s="59" t="str">
        <f t="shared" si="21"/>
        <v/>
      </c>
      <c r="C2229" s="59" t="str">
        <f t="shared" si="22"/>
        <v/>
      </c>
      <c r="D2229" s="45" t="str">
        <f t="shared" si="23"/>
        <v/>
      </c>
      <c r="E2229" s="45" t="str">
        <f t="shared" si="24"/>
        <v/>
      </c>
      <c r="F2229" s="59" t="str">
        <f t="shared" si="25"/>
        <v/>
      </c>
      <c r="G2229" s="59" t="str">
        <f t="shared" si="26"/>
        <v/>
      </c>
      <c r="H2229" s="59" t="str">
        <f t="shared" si="27"/>
        <v>28C03261</v>
      </c>
      <c r="I2229" s="59" t="str">
        <f>IF(OR($A2229="",$C2229="",$D2229="",$E2229="",$H2229=""),"",SUMIFS(DATA_GOC!$H:$H,DATA_GOC!$A:$A,"BOM",DATA_GOC!$D:$D,$H2229,DATA_GOC!$E:$E,$C2229,DATA_GOC!$F:$F,"Xuất nội bộ từ téc",DATA_GOC!$B:$B,"&gt;="&amp;$D2229,DATA_GOC!$B:$B,"&lt;="&amp;$E2229))</f>
        <v/>
      </c>
      <c r="J2229" s="59">
        <f t="shared" si="28"/>
        <v>0</v>
      </c>
      <c r="K2229" s="59">
        <f t="shared" si="29"/>
        <v>0</v>
      </c>
      <c r="L2229" s="59">
        <f t="shared" si="30"/>
        <v>0</v>
      </c>
      <c r="M2229" s="59">
        <f t="shared" si="31"/>
        <v>0</v>
      </c>
    </row>
    <row r="2230" ht="15.0" hidden="1" customHeight="1">
      <c r="A2230" s="59">
        <f t="shared" si="20"/>
        <v>34</v>
      </c>
      <c r="B2230" s="59" t="str">
        <f t="shared" si="21"/>
        <v/>
      </c>
      <c r="C2230" s="59" t="str">
        <f t="shared" si="22"/>
        <v/>
      </c>
      <c r="D2230" s="45" t="str">
        <f t="shared" si="23"/>
        <v/>
      </c>
      <c r="E2230" s="45" t="str">
        <f t="shared" si="24"/>
        <v/>
      </c>
      <c r="F2230" s="59" t="str">
        <f t="shared" si="25"/>
        <v/>
      </c>
      <c r="G2230" s="59" t="str">
        <f t="shared" si="26"/>
        <v/>
      </c>
      <c r="H2230" s="59" t="str">
        <f t="shared" si="27"/>
        <v>28C03323</v>
      </c>
      <c r="I2230" s="59" t="str">
        <f>IF(OR($A2230="",$C2230="",$D2230="",$E2230="",$H2230=""),"",SUMIFS(DATA_GOC!$H:$H,DATA_GOC!$A:$A,"BOM",DATA_GOC!$D:$D,$H2230,DATA_GOC!$E:$E,$C2230,DATA_GOC!$F:$F,"Xuất nội bộ từ téc",DATA_GOC!$B:$B,"&gt;="&amp;$D2230,DATA_GOC!$B:$B,"&lt;="&amp;$E2230))</f>
        <v/>
      </c>
      <c r="J2230" s="59">
        <f t="shared" si="28"/>
        <v>0</v>
      </c>
      <c r="K2230" s="59">
        <f t="shared" si="29"/>
        <v>0</v>
      </c>
      <c r="L2230" s="59">
        <f t="shared" si="30"/>
        <v>0</v>
      </c>
      <c r="M2230" s="59">
        <f t="shared" si="31"/>
        <v>0</v>
      </c>
    </row>
    <row r="2231" ht="15.0" hidden="1" customHeight="1">
      <c r="A2231" s="59">
        <f t="shared" si="20"/>
        <v>34</v>
      </c>
      <c r="B2231" s="59" t="str">
        <f t="shared" si="21"/>
        <v/>
      </c>
      <c r="C2231" s="59" t="str">
        <f t="shared" si="22"/>
        <v/>
      </c>
      <c r="D2231" s="45" t="str">
        <f t="shared" si="23"/>
        <v/>
      </c>
      <c r="E2231" s="45" t="str">
        <f t="shared" si="24"/>
        <v/>
      </c>
      <c r="F2231" s="59" t="str">
        <f t="shared" si="25"/>
        <v/>
      </c>
      <c r="G2231" s="59" t="str">
        <f t="shared" si="26"/>
        <v/>
      </c>
      <c r="H2231" s="59" t="str">
        <f t="shared" si="27"/>
        <v>28C03385</v>
      </c>
      <c r="I2231" s="59" t="str">
        <f>IF(OR($A2231="",$C2231="",$D2231="",$E2231="",$H2231=""),"",SUMIFS(DATA_GOC!$H:$H,DATA_GOC!$A:$A,"BOM",DATA_GOC!$D:$D,$H2231,DATA_GOC!$E:$E,$C2231,DATA_GOC!$F:$F,"Xuất nội bộ từ téc",DATA_GOC!$B:$B,"&gt;="&amp;$D2231,DATA_GOC!$B:$B,"&lt;="&amp;$E2231))</f>
        <v/>
      </c>
      <c r="J2231" s="59">
        <f t="shared" si="28"/>
        <v>0</v>
      </c>
      <c r="K2231" s="59">
        <f t="shared" si="29"/>
        <v>0</v>
      </c>
      <c r="L2231" s="59">
        <f t="shared" si="30"/>
        <v>0</v>
      </c>
      <c r="M2231" s="59">
        <f t="shared" si="31"/>
        <v>0</v>
      </c>
    </row>
    <row r="2232" ht="15.0" hidden="1" customHeight="1">
      <c r="A2232" s="59">
        <f t="shared" si="20"/>
        <v>34</v>
      </c>
      <c r="B2232" s="59" t="str">
        <f t="shared" si="21"/>
        <v/>
      </c>
      <c r="C2232" s="59" t="str">
        <f t="shared" si="22"/>
        <v/>
      </c>
      <c r="D2232" s="45" t="str">
        <f t="shared" si="23"/>
        <v/>
      </c>
      <c r="E2232" s="45" t="str">
        <f t="shared" si="24"/>
        <v/>
      </c>
      <c r="F2232" s="59" t="str">
        <f t="shared" si="25"/>
        <v/>
      </c>
      <c r="G2232" s="59" t="str">
        <f t="shared" si="26"/>
        <v/>
      </c>
      <c r="H2232" s="59" t="str">
        <f t="shared" si="27"/>
        <v>28C03652</v>
      </c>
      <c r="I2232" s="59" t="str">
        <f>IF(OR($A2232="",$C2232="",$D2232="",$E2232="",$H2232=""),"",SUMIFS(DATA_GOC!$H:$H,DATA_GOC!$A:$A,"BOM",DATA_GOC!$D:$D,$H2232,DATA_GOC!$E:$E,$C2232,DATA_GOC!$F:$F,"Xuất nội bộ từ téc",DATA_GOC!$B:$B,"&gt;="&amp;$D2232,DATA_GOC!$B:$B,"&lt;="&amp;$E2232))</f>
        <v/>
      </c>
      <c r="J2232" s="59">
        <f t="shared" si="28"/>
        <v>0</v>
      </c>
      <c r="K2232" s="59">
        <f t="shared" si="29"/>
        <v>0</v>
      </c>
      <c r="L2232" s="59">
        <f t="shared" si="30"/>
        <v>0</v>
      </c>
      <c r="M2232" s="59">
        <f t="shared" si="31"/>
        <v>0</v>
      </c>
    </row>
    <row r="2233" ht="15.0" hidden="1" customHeight="1">
      <c r="A2233" s="59">
        <f t="shared" si="20"/>
        <v>34</v>
      </c>
      <c r="B2233" s="59" t="str">
        <f t="shared" si="21"/>
        <v/>
      </c>
      <c r="C2233" s="59" t="str">
        <f t="shared" si="22"/>
        <v/>
      </c>
      <c r="D2233" s="45" t="str">
        <f t="shared" si="23"/>
        <v/>
      </c>
      <c r="E2233" s="45" t="str">
        <f t="shared" si="24"/>
        <v/>
      </c>
      <c r="F2233" s="59" t="str">
        <f t="shared" si="25"/>
        <v/>
      </c>
      <c r="G2233" s="59" t="str">
        <f t="shared" si="26"/>
        <v/>
      </c>
      <c r="H2233" s="59" t="str">
        <f t="shared" si="27"/>
        <v>28C03695</v>
      </c>
      <c r="I2233" s="59" t="str">
        <f>IF(OR($A2233="",$C2233="",$D2233="",$E2233="",$H2233=""),"",SUMIFS(DATA_GOC!$H:$H,DATA_GOC!$A:$A,"BOM",DATA_GOC!$D:$D,$H2233,DATA_GOC!$E:$E,$C2233,DATA_GOC!$F:$F,"Xuất nội bộ từ téc",DATA_GOC!$B:$B,"&gt;="&amp;$D2233,DATA_GOC!$B:$B,"&lt;="&amp;$E2233))</f>
        <v/>
      </c>
      <c r="J2233" s="59">
        <f t="shared" si="28"/>
        <v>0</v>
      </c>
      <c r="K2233" s="59">
        <f t="shared" si="29"/>
        <v>0</v>
      </c>
      <c r="L2233" s="59">
        <f t="shared" si="30"/>
        <v>0</v>
      </c>
      <c r="M2233" s="59">
        <f t="shared" si="31"/>
        <v>0</v>
      </c>
    </row>
    <row r="2234" ht="15.0" hidden="1" customHeight="1">
      <c r="A2234" s="59">
        <f t="shared" si="20"/>
        <v>34</v>
      </c>
      <c r="B2234" s="59" t="str">
        <f t="shared" si="21"/>
        <v/>
      </c>
      <c r="C2234" s="59" t="str">
        <f t="shared" si="22"/>
        <v/>
      </c>
      <c r="D2234" s="45" t="str">
        <f t="shared" si="23"/>
        <v/>
      </c>
      <c r="E2234" s="45" t="str">
        <f t="shared" si="24"/>
        <v/>
      </c>
      <c r="F2234" s="59" t="str">
        <f t="shared" si="25"/>
        <v/>
      </c>
      <c r="G2234" s="59" t="str">
        <f t="shared" si="26"/>
        <v/>
      </c>
      <c r="H2234" s="59" t="str">
        <f t="shared" si="27"/>
        <v>28C03927</v>
      </c>
      <c r="I2234" s="59" t="str">
        <f>IF(OR($A2234="",$C2234="",$D2234="",$E2234="",$H2234=""),"",SUMIFS(DATA_GOC!$H:$H,DATA_GOC!$A:$A,"BOM",DATA_GOC!$D:$D,$H2234,DATA_GOC!$E:$E,$C2234,DATA_GOC!$F:$F,"Xuất nội bộ từ téc",DATA_GOC!$B:$B,"&gt;="&amp;$D2234,DATA_GOC!$B:$B,"&lt;="&amp;$E2234))</f>
        <v/>
      </c>
      <c r="J2234" s="59">
        <f t="shared" si="28"/>
        <v>0</v>
      </c>
      <c r="K2234" s="59">
        <f t="shared" si="29"/>
        <v>0</v>
      </c>
      <c r="L2234" s="59">
        <f t="shared" si="30"/>
        <v>0</v>
      </c>
      <c r="M2234" s="59">
        <f t="shared" si="31"/>
        <v>0</v>
      </c>
    </row>
    <row r="2235" ht="15.0" hidden="1" customHeight="1">
      <c r="A2235" s="59">
        <f t="shared" si="20"/>
        <v>34</v>
      </c>
      <c r="B2235" s="59" t="str">
        <f t="shared" si="21"/>
        <v/>
      </c>
      <c r="C2235" s="59" t="str">
        <f t="shared" si="22"/>
        <v/>
      </c>
      <c r="D2235" s="45" t="str">
        <f t="shared" si="23"/>
        <v/>
      </c>
      <c r="E2235" s="45" t="str">
        <f t="shared" si="24"/>
        <v/>
      </c>
      <c r="F2235" s="59" t="str">
        <f t="shared" si="25"/>
        <v/>
      </c>
      <c r="G2235" s="59" t="str">
        <f t="shared" si="26"/>
        <v/>
      </c>
      <c r="H2235" s="59" t="str">
        <f t="shared" si="27"/>
        <v>28C04509</v>
      </c>
      <c r="I2235" s="59" t="str">
        <f>IF(OR($A2235="",$C2235="",$D2235="",$E2235="",$H2235=""),"",SUMIFS(DATA_GOC!$H:$H,DATA_GOC!$A:$A,"BOM",DATA_GOC!$D:$D,$H2235,DATA_GOC!$E:$E,$C2235,DATA_GOC!$F:$F,"Xuất nội bộ từ téc",DATA_GOC!$B:$B,"&gt;="&amp;$D2235,DATA_GOC!$B:$B,"&lt;="&amp;$E2235))</f>
        <v/>
      </c>
      <c r="J2235" s="59">
        <f t="shared" si="28"/>
        <v>0</v>
      </c>
      <c r="K2235" s="59">
        <f t="shared" si="29"/>
        <v>0</v>
      </c>
      <c r="L2235" s="59">
        <f t="shared" si="30"/>
        <v>0</v>
      </c>
      <c r="M2235" s="59">
        <f t="shared" si="31"/>
        <v>0</v>
      </c>
    </row>
    <row r="2236" ht="15.0" hidden="1" customHeight="1">
      <c r="A2236" s="59">
        <f t="shared" si="20"/>
        <v>34</v>
      </c>
      <c r="B2236" s="59" t="str">
        <f t="shared" si="21"/>
        <v/>
      </c>
      <c r="C2236" s="59" t="str">
        <f t="shared" si="22"/>
        <v/>
      </c>
      <c r="D2236" s="45" t="str">
        <f t="shared" si="23"/>
        <v/>
      </c>
      <c r="E2236" s="45" t="str">
        <f t="shared" si="24"/>
        <v/>
      </c>
      <c r="F2236" s="59" t="str">
        <f t="shared" si="25"/>
        <v/>
      </c>
      <c r="G2236" s="59" t="str">
        <f t="shared" si="26"/>
        <v/>
      </c>
      <c r="H2236" s="59" t="str">
        <f t="shared" si="27"/>
        <v>28C04536</v>
      </c>
      <c r="I2236" s="59" t="str">
        <f>IF(OR($A2236="",$C2236="",$D2236="",$E2236="",$H2236=""),"",SUMIFS(DATA_GOC!$H:$H,DATA_GOC!$A:$A,"BOM",DATA_GOC!$D:$D,$H2236,DATA_GOC!$E:$E,$C2236,DATA_GOC!$F:$F,"Xuất nội bộ từ téc",DATA_GOC!$B:$B,"&gt;="&amp;$D2236,DATA_GOC!$B:$B,"&lt;="&amp;$E2236))</f>
        <v/>
      </c>
      <c r="J2236" s="59">
        <f t="shared" si="28"/>
        <v>0</v>
      </c>
      <c r="K2236" s="59">
        <f t="shared" si="29"/>
        <v>0</v>
      </c>
      <c r="L2236" s="59">
        <f t="shared" si="30"/>
        <v>0</v>
      </c>
      <c r="M2236" s="59">
        <f t="shared" si="31"/>
        <v>0</v>
      </c>
    </row>
    <row r="2237" ht="15.0" hidden="1" customHeight="1">
      <c r="A2237" s="59">
        <f t="shared" si="20"/>
        <v>34</v>
      </c>
      <c r="B2237" s="59" t="str">
        <f t="shared" si="21"/>
        <v/>
      </c>
      <c r="C2237" s="59" t="str">
        <f t="shared" si="22"/>
        <v/>
      </c>
      <c r="D2237" s="45" t="str">
        <f t="shared" si="23"/>
        <v/>
      </c>
      <c r="E2237" s="45" t="str">
        <f t="shared" si="24"/>
        <v/>
      </c>
      <c r="F2237" s="59" t="str">
        <f t="shared" si="25"/>
        <v/>
      </c>
      <c r="G2237" s="59" t="str">
        <f t="shared" si="26"/>
        <v/>
      </c>
      <c r="H2237" s="59" t="str">
        <f t="shared" si="27"/>
        <v>28C04576</v>
      </c>
      <c r="I2237" s="59" t="str">
        <f>IF(OR($A2237="",$C2237="",$D2237="",$E2237="",$H2237=""),"",SUMIFS(DATA_GOC!$H:$H,DATA_GOC!$A:$A,"BOM",DATA_GOC!$D:$D,$H2237,DATA_GOC!$E:$E,$C2237,DATA_GOC!$F:$F,"Xuất nội bộ từ téc",DATA_GOC!$B:$B,"&gt;="&amp;$D2237,DATA_GOC!$B:$B,"&lt;="&amp;$E2237))</f>
        <v/>
      </c>
      <c r="J2237" s="59">
        <f t="shared" si="28"/>
        <v>0</v>
      </c>
      <c r="K2237" s="59">
        <f t="shared" si="29"/>
        <v>0</v>
      </c>
      <c r="L2237" s="59">
        <f t="shared" si="30"/>
        <v>0</v>
      </c>
      <c r="M2237" s="59">
        <f t="shared" si="31"/>
        <v>0</v>
      </c>
    </row>
    <row r="2238" ht="15.0" hidden="1" customHeight="1">
      <c r="A2238" s="59">
        <f t="shared" si="20"/>
        <v>34</v>
      </c>
      <c r="B2238" s="59" t="str">
        <f t="shared" si="21"/>
        <v/>
      </c>
      <c r="C2238" s="59" t="str">
        <f t="shared" si="22"/>
        <v/>
      </c>
      <c r="D2238" s="45" t="str">
        <f t="shared" si="23"/>
        <v/>
      </c>
      <c r="E2238" s="45" t="str">
        <f t="shared" si="24"/>
        <v/>
      </c>
      <c r="F2238" s="59" t="str">
        <f t="shared" si="25"/>
        <v/>
      </c>
      <c r="G2238" s="59" t="str">
        <f t="shared" si="26"/>
        <v/>
      </c>
      <c r="H2238" s="59" t="str">
        <f t="shared" si="27"/>
        <v>28C05090</v>
      </c>
      <c r="I2238" s="59" t="str">
        <f>IF(OR($A2238="",$C2238="",$D2238="",$E2238="",$H2238=""),"",SUMIFS(DATA_GOC!$H:$H,DATA_GOC!$A:$A,"BOM",DATA_GOC!$D:$D,$H2238,DATA_GOC!$E:$E,$C2238,DATA_GOC!$F:$F,"Xuất nội bộ từ téc",DATA_GOC!$B:$B,"&gt;="&amp;$D2238,DATA_GOC!$B:$B,"&lt;="&amp;$E2238))</f>
        <v/>
      </c>
      <c r="J2238" s="59">
        <f t="shared" si="28"/>
        <v>0</v>
      </c>
      <c r="K2238" s="59">
        <f t="shared" si="29"/>
        <v>0</v>
      </c>
      <c r="L2238" s="59">
        <f t="shared" si="30"/>
        <v>0</v>
      </c>
      <c r="M2238" s="59">
        <f t="shared" si="31"/>
        <v>0</v>
      </c>
    </row>
    <row r="2239" ht="15.0" hidden="1" customHeight="1">
      <c r="A2239" s="59">
        <f t="shared" si="20"/>
        <v>34</v>
      </c>
      <c r="B2239" s="59" t="str">
        <f t="shared" si="21"/>
        <v/>
      </c>
      <c r="C2239" s="59" t="str">
        <f t="shared" si="22"/>
        <v/>
      </c>
      <c r="D2239" s="45" t="str">
        <f t="shared" si="23"/>
        <v/>
      </c>
      <c r="E2239" s="45" t="str">
        <f t="shared" si="24"/>
        <v/>
      </c>
      <c r="F2239" s="59" t="str">
        <f t="shared" si="25"/>
        <v/>
      </c>
      <c r="G2239" s="59" t="str">
        <f t="shared" si="26"/>
        <v/>
      </c>
      <c r="H2239" s="59" t="str">
        <f t="shared" si="27"/>
        <v>28C05345</v>
      </c>
      <c r="I2239" s="59" t="str">
        <f>IF(OR($A2239="",$C2239="",$D2239="",$E2239="",$H2239=""),"",SUMIFS(DATA_GOC!$H:$H,DATA_GOC!$A:$A,"BOM",DATA_GOC!$D:$D,$H2239,DATA_GOC!$E:$E,$C2239,DATA_GOC!$F:$F,"Xuất nội bộ từ téc",DATA_GOC!$B:$B,"&gt;="&amp;$D2239,DATA_GOC!$B:$B,"&lt;="&amp;$E2239))</f>
        <v/>
      </c>
      <c r="J2239" s="59">
        <f t="shared" si="28"/>
        <v>0</v>
      </c>
      <c r="K2239" s="59">
        <f t="shared" si="29"/>
        <v>0</v>
      </c>
      <c r="L2239" s="59">
        <f t="shared" si="30"/>
        <v>0</v>
      </c>
      <c r="M2239" s="59">
        <f t="shared" si="31"/>
        <v>0</v>
      </c>
    </row>
    <row r="2240" ht="15.0" hidden="1" customHeight="1">
      <c r="A2240" s="59">
        <f t="shared" si="20"/>
        <v>34</v>
      </c>
      <c r="B2240" s="59" t="str">
        <f t="shared" si="21"/>
        <v/>
      </c>
      <c r="C2240" s="59" t="str">
        <f t="shared" si="22"/>
        <v/>
      </c>
      <c r="D2240" s="45" t="str">
        <f t="shared" si="23"/>
        <v/>
      </c>
      <c r="E2240" s="45" t="str">
        <f t="shared" si="24"/>
        <v/>
      </c>
      <c r="F2240" s="59" t="str">
        <f t="shared" si="25"/>
        <v/>
      </c>
      <c r="G2240" s="59" t="str">
        <f t="shared" si="26"/>
        <v/>
      </c>
      <c r="H2240" s="59" t="str">
        <f t="shared" si="27"/>
        <v>28C05661</v>
      </c>
      <c r="I2240" s="59" t="str">
        <f>IF(OR($A2240="",$C2240="",$D2240="",$E2240="",$H2240=""),"",SUMIFS(DATA_GOC!$H:$H,DATA_GOC!$A:$A,"BOM",DATA_GOC!$D:$D,$H2240,DATA_GOC!$E:$E,$C2240,DATA_GOC!$F:$F,"Xuất nội bộ từ téc",DATA_GOC!$B:$B,"&gt;="&amp;$D2240,DATA_GOC!$B:$B,"&lt;="&amp;$E2240))</f>
        <v/>
      </c>
      <c r="J2240" s="59">
        <f t="shared" si="28"/>
        <v>0</v>
      </c>
      <c r="K2240" s="59">
        <f t="shared" si="29"/>
        <v>0</v>
      </c>
      <c r="L2240" s="59">
        <f t="shared" si="30"/>
        <v>0</v>
      </c>
      <c r="M2240" s="59">
        <f t="shared" si="31"/>
        <v>0</v>
      </c>
    </row>
    <row r="2241" ht="15.0" hidden="1" customHeight="1">
      <c r="A2241" s="59">
        <f t="shared" si="20"/>
        <v>34</v>
      </c>
      <c r="B2241" s="59" t="str">
        <f t="shared" si="21"/>
        <v/>
      </c>
      <c r="C2241" s="59" t="str">
        <f t="shared" si="22"/>
        <v/>
      </c>
      <c r="D2241" s="45" t="str">
        <f t="shared" si="23"/>
        <v/>
      </c>
      <c r="E2241" s="45" t="str">
        <f t="shared" si="24"/>
        <v/>
      </c>
      <c r="F2241" s="59" t="str">
        <f t="shared" si="25"/>
        <v/>
      </c>
      <c r="G2241" s="59" t="str">
        <f t="shared" si="26"/>
        <v/>
      </c>
      <c r="H2241" s="59" t="str">
        <f t="shared" si="27"/>
        <v>28C05739</v>
      </c>
      <c r="I2241" s="59" t="str">
        <f>IF(OR($A2241="",$C2241="",$D2241="",$E2241="",$H2241=""),"",SUMIFS(DATA_GOC!$H:$H,DATA_GOC!$A:$A,"BOM",DATA_GOC!$D:$D,$H2241,DATA_GOC!$E:$E,$C2241,DATA_GOC!$F:$F,"Xuất nội bộ từ téc",DATA_GOC!$B:$B,"&gt;="&amp;$D2241,DATA_GOC!$B:$B,"&lt;="&amp;$E2241))</f>
        <v/>
      </c>
      <c r="J2241" s="59">
        <f t="shared" si="28"/>
        <v>0</v>
      </c>
      <c r="K2241" s="59">
        <f t="shared" si="29"/>
        <v>0</v>
      </c>
      <c r="L2241" s="59">
        <f t="shared" si="30"/>
        <v>0</v>
      </c>
      <c r="M2241" s="59">
        <f t="shared" si="31"/>
        <v>0</v>
      </c>
    </row>
    <row r="2242" ht="15.0" hidden="1" customHeight="1">
      <c r="A2242" s="59">
        <f t="shared" si="20"/>
        <v>34</v>
      </c>
      <c r="B2242" s="59" t="str">
        <f t="shared" si="21"/>
        <v/>
      </c>
      <c r="C2242" s="59" t="str">
        <f t="shared" si="22"/>
        <v/>
      </c>
      <c r="D2242" s="45" t="str">
        <f t="shared" si="23"/>
        <v/>
      </c>
      <c r="E2242" s="45" t="str">
        <f t="shared" si="24"/>
        <v/>
      </c>
      <c r="F2242" s="59" t="str">
        <f t="shared" si="25"/>
        <v/>
      </c>
      <c r="G2242" s="59" t="str">
        <f t="shared" si="26"/>
        <v/>
      </c>
      <c r="H2242" s="59" t="str">
        <f t="shared" si="27"/>
        <v>28C06369</v>
      </c>
      <c r="I2242" s="59" t="str">
        <f>IF(OR($A2242="",$C2242="",$D2242="",$E2242="",$H2242=""),"",SUMIFS(DATA_GOC!$H:$H,DATA_GOC!$A:$A,"BOM",DATA_GOC!$D:$D,$H2242,DATA_GOC!$E:$E,$C2242,DATA_GOC!$F:$F,"Xuất nội bộ từ téc",DATA_GOC!$B:$B,"&gt;="&amp;$D2242,DATA_GOC!$B:$B,"&lt;="&amp;$E2242))</f>
        <v/>
      </c>
      <c r="J2242" s="59">
        <f t="shared" si="28"/>
        <v>0</v>
      </c>
      <c r="K2242" s="59">
        <f t="shared" si="29"/>
        <v>0</v>
      </c>
      <c r="L2242" s="59">
        <f t="shared" si="30"/>
        <v>0</v>
      </c>
      <c r="M2242" s="59">
        <f t="shared" si="31"/>
        <v>0</v>
      </c>
    </row>
    <row r="2243" ht="15.0" hidden="1" customHeight="1">
      <c r="A2243" s="59">
        <f t="shared" si="20"/>
        <v>34</v>
      </c>
      <c r="B2243" s="59" t="str">
        <f t="shared" si="21"/>
        <v/>
      </c>
      <c r="C2243" s="59" t="str">
        <f t="shared" si="22"/>
        <v/>
      </c>
      <c r="D2243" s="45" t="str">
        <f t="shared" si="23"/>
        <v/>
      </c>
      <c r="E2243" s="45" t="str">
        <f t="shared" si="24"/>
        <v/>
      </c>
      <c r="F2243" s="59" t="str">
        <f t="shared" si="25"/>
        <v/>
      </c>
      <c r="G2243" s="59" t="str">
        <f t="shared" si="26"/>
        <v/>
      </c>
      <c r="H2243" s="59" t="str">
        <f t="shared" si="27"/>
        <v>28C06447</v>
      </c>
      <c r="I2243" s="59" t="str">
        <f>IF(OR($A2243="",$C2243="",$D2243="",$E2243="",$H2243=""),"",SUMIFS(DATA_GOC!$H:$H,DATA_GOC!$A:$A,"BOM",DATA_GOC!$D:$D,$H2243,DATA_GOC!$E:$E,$C2243,DATA_GOC!$F:$F,"Xuất nội bộ từ téc",DATA_GOC!$B:$B,"&gt;="&amp;$D2243,DATA_GOC!$B:$B,"&lt;="&amp;$E2243))</f>
        <v/>
      </c>
      <c r="J2243" s="59">
        <f t="shared" si="28"/>
        <v>0</v>
      </c>
      <c r="K2243" s="59">
        <f t="shared" si="29"/>
        <v>0</v>
      </c>
      <c r="L2243" s="59">
        <f t="shared" si="30"/>
        <v>0</v>
      </c>
      <c r="M2243" s="59">
        <f t="shared" si="31"/>
        <v>0</v>
      </c>
    </row>
    <row r="2244" ht="15.0" hidden="1" customHeight="1">
      <c r="A2244" s="59">
        <f t="shared" si="20"/>
        <v>34</v>
      </c>
      <c r="B2244" s="59" t="str">
        <f t="shared" si="21"/>
        <v/>
      </c>
      <c r="C2244" s="59" t="str">
        <f t="shared" si="22"/>
        <v/>
      </c>
      <c r="D2244" s="45" t="str">
        <f t="shared" si="23"/>
        <v/>
      </c>
      <c r="E2244" s="45" t="str">
        <f t="shared" si="24"/>
        <v/>
      </c>
      <c r="F2244" s="59" t="str">
        <f t="shared" si="25"/>
        <v/>
      </c>
      <c r="G2244" s="59" t="str">
        <f t="shared" si="26"/>
        <v/>
      </c>
      <c r="H2244" s="59" t="str">
        <f t="shared" si="27"/>
        <v>28H00003</v>
      </c>
      <c r="I2244" s="59" t="str">
        <f>IF(OR($A2244="",$C2244="",$D2244="",$E2244="",$H2244=""),"",SUMIFS(DATA_GOC!$H:$H,DATA_GOC!$A:$A,"BOM",DATA_GOC!$D:$D,$H2244,DATA_GOC!$E:$E,$C2244,DATA_GOC!$F:$F,"Xuất nội bộ từ téc",DATA_GOC!$B:$B,"&gt;="&amp;$D2244,DATA_GOC!$B:$B,"&lt;="&amp;$E2244))</f>
        <v/>
      </c>
      <c r="J2244" s="59">
        <f t="shared" si="28"/>
        <v>0</v>
      </c>
      <c r="K2244" s="59">
        <f t="shared" si="29"/>
        <v>0</v>
      </c>
      <c r="L2244" s="59">
        <f t="shared" si="30"/>
        <v>0</v>
      </c>
      <c r="M2244" s="59">
        <f t="shared" si="31"/>
        <v>0</v>
      </c>
    </row>
    <row r="2245" ht="15.0" hidden="1" customHeight="1">
      <c r="A2245" s="59">
        <f t="shared" si="20"/>
        <v>34</v>
      </c>
      <c r="B2245" s="59" t="str">
        <f t="shared" si="21"/>
        <v/>
      </c>
      <c r="C2245" s="59" t="str">
        <f t="shared" si="22"/>
        <v/>
      </c>
      <c r="D2245" s="45" t="str">
        <f t="shared" si="23"/>
        <v/>
      </c>
      <c r="E2245" s="45" t="str">
        <f t="shared" si="24"/>
        <v/>
      </c>
      <c r="F2245" s="59" t="str">
        <f t="shared" si="25"/>
        <v/>
      </c>
      <c r="G2245" s="59" t="str">
        <f t="shared" si="26"/>
        <v/>
      </c>
      <c r="H2245" s="59" t="str">
        <f t="shared" si="27"/>
        <v>28H00061</v>
      </c>
      <c r="I2245" s="59" t="str">
        <f>IF(OR($A2245="",$C2245="",$D2245="",$E2245="",$H2245=""),"",SUMIFS(DATA_GOC!$H:$H,DATA_GOC!$A:$A,"BOM",DATA_GOC!$D:$D,$H2245,DATA_GOC!$E:$E,$C2245,DATA_GOC!$F:$F,"Xuất nội bộ từ téc",DATA_GOC!$B:$B,"&gt;="&amp;$D2245,DATA_GOC!$B:$B,"&lt;="&amp;$E2245))</f>
        <v/>
      </c>
      <c r="J2245" s="59">
        <f t="shared" si="28"/>
        <v>0</v>
      </c>
      <c r="K2245" s="59">
        <f t="shared" si="29"/>
        <v>0</v>
      </c>
      <c r="L2245" s="59">
        <f t="shared" si="30"/>
        <v>0</v>
      </c>
      <c r="M2245" s="59">
        <f t="shared" si="31"/>
        <v>0</v>
      </c>
    </row>
    <row r="2246" ht="15.0" hidden="1" customHeight="1">
      <c r="A2246" s="59">
        <f t="shared" si="20"/>
        <v>34</v>
      </c>
      <c r="B2246" s="59" t="str">
        <f t="shared" si="21"/>
        <v/>
      </c>
      <c r="C2246" s="59" t="str">
        <f t="shared" si="22"/>
        <v/>
      </c>
      <c r="D2246" s="45" t="str">
        <f t="shared" si="23"/>
        <v/>
      </c>
      <c r="E2246" s="45" t="str">
        <f t="shared" si="24"/>
        <v/>
      </c>
      <c r="F2246" s="59" t="str">
        <f t="shared" si="25"/>
        <v/>
      </c>
      <c r="G2246" s="59" t="str">
        <f t="shared" si="26"/>
        <v/>
      </c>
      <c r="H2246" s="59" t="str">
        <f t="shared" si="27"/>
        <v>28H00354</v>
      </c>
      <c r="I2246" s="59" t="str">
        <f>IF(OR($A2246="",$C2246="",$D2246="",$E2246="",$H2246=""),"",SUMIFS(DATA_GOC!$H:$H,DATA_GOC!$A:$A,"BOM",DATA_GOC!$D:$D,$H2246,DATA_GOC!$E:$E,$C2246,DATA_GOC!$F:$F,"Xuất nội bộ từ téc",DATA_GOC!$B:$B,"&gt;="&amp;$D2246,DATA_GOC!$B:$B,"&lt;="&amp;$E2246))</f>
        <v/>
      </c>
      <c r="J2246" s="59">
        <f t="shared" si="28"/>
        <v>0</v>
      </c>
      <c r="K2246" s="59">
        <f t="shared" si="29"/>
        <v>0</v>
      </c>
      <c r="L2246" s="59">
        <f t="shared" si="30"/>
        <v>0</v>
      </c>
      <c r="M2246" s="59">
        <f t="shared" si="31"/>
        <v>0</v>
      </c>
    </row>
    <row r="2247" ht="15.0" hidden="1" customHeight="1">
      <c r="A2247" s="59">
        <f t="shared" si="20"/>
        <v>34</v>
      </c>
      <c r="B2247" s="59" t="str">
        <f t="shared" si="21"/>
        <v/>
      </c>
      <c r="C2247" s="59" t="str">
        <f t="shared" si="22"/>
        <v/>
      </c>
      <c r="D2247" s="45" t="str">
        <f t="shared" si="23"/>
        <v/>
      </c>
      <c r="E2247" s="45" t="str">
        <f t="shared" si="24"/>
        <v/>
      </c>
      <c r="F2247" s="59" t="str">
        <f t="shared" si="25"/>
        <v/>
      </c>
      <c r="G2247" s="59" t="str">
        <f t="shared" si="26"/>
        <v/>
      </c>
      <c r="H2247" s="59" t="str">
        <f t="shared" si="27"/>
        <v>28H00603</v>
      </c>
      <c r="I2247" s="59" t="str">
        <f>IF(OR($A2247="",$C2247="",$D2247="",$E2247="",$H2247=""),"",SUMIFS(DATA_GOC!$H:$H,DATA_GOC!$A:$A,"BOM",DATA_GOC!$D:$D,$H2247,DATA_GOC!$E:$E,$C2247,DATA_GOC!$F:$F,"Xuất nội bộ từ téc",DATA_GOC!$B:$B,"&gt;="&amp;$D2247,DATA_GOC!$B:$B,"&lt;="&amp;$E2247))</f>
        <v/>
      </c>
      <c r="J2247" s="59">
        <f t="shared" si="28"/>
        <v>0</v>
      </c>
      <c r="K2247" s="59">
        <f t="shared" si="29"/>
        <v>0</v>
      </c>
      <c r="L2247" s="59">
        <f t="shared" si="30"/>
        <v>0</v>
      </c>
      <c r="M2247" s="59">
        <f t="shared" si="31"/>
        <v>0</v>
      </c>
    </row>
    <row r="2248" ht="15.0" hidden="1" customHeight="1">
      <c r="A2248" s="59">
        <f t="shared" si="20"/>
        <v>34</v>
      </c>
      <c r="B2248" s="59" t="str">
        <f t="shared" si="21"/>
        <v/>
      </c>
      <c r="C2248" s="59" t="str">
        <f t="shared" si="22"/>
        <v/>
      </c>
      <c r="D2248" s="45" t="str">
        <f t="shared" si="23"/>
        <v/>
      </c>
      <c r="E2248" s="45" t="str">
        <f t="shared" si="24"/>
        <v/>
      </c>
      <c r="F2248" s="59" t="str">
        <f t="shared" si="25"/>
        <v/>
      </c>
      <c r="G2248" s="59" t="str">
        <f t="shared" si="26"/>
        <v/>
      </c>
      <c r="H2248" s="59" t="str">
        <f t="shared" si="27"/>
        <v>28H00609</v>
      </c>
      <c r="I2248" s="59" t="str">
        <f>IF(OR($A2248="",$C2248="",$D2248="",$E2248="",$H2248=""),"",SUMIFS(DATA_GOC!$H:$H,DATA_GOC!$A:$A,"BOM",DATA_GOC!$D:$D,$H2248,DATA_GOC!$E:$E,$C2248,DATA_GOC!$F:$F,"Xuất nội bộ từ téc",DATA_GOC!$B:$B,"&gt;="&amp;$D2248,DATA_GOC!$B:$B,"&lt;="&amp;$E2248))</f>
        <v/>
      </c>
      <c r="J2248" s="59">
        <f t="shared" si="28"/>
        <v>0</v>
      </c>
      <c r="K2248" s="59">
        <f t="shared" si="29"/>
        <v>0</v>
      </c>
      <c r="L2248" s="59">
        <f t="shared" si="30"/>
        <v>0</v>
      </c>
      <c r="M2248" s="59">
        <f t="shared" si="31"/>
        <v>0</v>
      </c>
    </row>
    <row r="2249" ht="15.0" hidden="1" customHeight="1">
      <c r="A2249" s="59">
        <f t="shared" si="20"/>
        <v>34</v>
      </c>
      <c r="B2249" s="59" t="str">
        <f t="shared" si="21"/>
        <v/>
      </c>
      <c r="C2249" s="59" t="str">
        <f t="shared" si="22"/>
        <v/>
      </c>
      <c r="D2249" s="45" t="str">
        <f t="shared" si="23"/>
        <v/>
      </c>
      <c r="E2249" s="45" t="str">
        <f t="shared" si="24"/>
        <v/>
      </c>
      <c r="F2249" s="59" t="str">
        <f t="shared" si="25"/>
        <v/>
      </c>
      <c r="G2249" s="59" t="str">
        <f t="shared" si="26"/>
        <v/>
      </c>
      <c r="H2249" s="59" t="str">
        <f t="shared" si="27"/>
        <v>28H00669</v>
      </c>
      <c r="I2249" s="59" t="str">
        <f>IF(OR($A2249="",$C2249="",$D2249="",$E2249="",$H2249=""),"",SUMIFS(DATA_GOC!$H:$H,DATA_GOC!$A:$A,"BOM",DATA_GOC!$D:$D,$H2249,DATA_GOC!$E:$E,$C2249,DATA_GOC!$F:$F,"Xuất nội bộ từ téc",DATA_GOC!$B:$B,"&gt;="&amp;$D2249,DATA_GOC!$B:$B,"&lt;="&amp;$E2249))</f>
        <v/>
      </c>
      <c r="J2249" s="59">
        <f t="shared" si="28"/>
        <v>0</v>
      </c>
      <c r="K2249" s="59">
        <f t="shared" si="29"/>
        <v>0</v>
      </c>
      <c r="L2249" s="59">
        <f t="shared" si="30"/>
        <v>0</v>
      </c>
      <c r="M2249" s="59">
        <f t="shared" si="31"/>
        <v>0</v>
      </c>
    </row>
    <row r="2250" ht="15.0" hidden="1" customHeight="1">
      <c r="A2250" s="59">
        <f t="shared" si="20"/>
        <v>34</v>
      </c>
      <c r="B2250" s="59" t="str">
        <f t="shared" si="21"/>
        <v/>
      </c>
      <c r="C2250" s="59" t="str">
        <f t="shared" si="22"/>
        <v/>
      </c>
      <c r="D2250" s="45" t="str">
        <f t="shared" si="23"/>
        <v/>
      </c>
      <c r="E2250" s="45" t="str">
        <f t="shared" si="24"/>
        <v/>
      </c>
      <c r="F2250" s="59" t="str">
        <f t="shared" si="25"/>
        <v/>
      </c>
      <c r="G2250" s="59" t="str">
        <f t="shared" si="26"/>
        <v/>
      </c>
      <c r="H2250" s="59" t="str">
        <f t="shared" si="27"/>
        <v>28H00680</v>
      </c>
      <c r="I2250" s="59" t="str">
        <f>IF(OR($A2250="",$C2250="",$D2250="",$E2250="",$H2250=""),"",SUMIFS(DATA_GOC!$H:$H,DATA_GOC!$A:$A,"BOM",DATA_GOC!$D:$D,$H2250,DATA_GOC!$E:$E,$C2250,DATA_GOC!$F:$F,"Xuất nội bộ từ téc",DATA_GOC!$B:$B,"&gt;="&amp;$D2250,DATA_GOC!$B:$B,"&lt;="&amp;$E2250))</f>
        <v/>
      </c>
      <c r="J2250" s="59">
        <f t="shared" si="28"/>
        <v>0</v>
      </c>
      <c r="K2250" s="59">
        <f t="shared" si="29"/>
        <v>0</v>
      </c>
      <c r="L2250" s="59">
        <f t="shared" si="30"/>
        <v>0</v>
      </c>
      <c r="M2250" s="59">
        <f t="shared" si="31"/>
        <v>0</v>
      </c>
    </row>
    <row r="2251" ht="15.0" hidden="1" customHeight="1">
      <c r="A2251" s="59">
        <f t="shared" si="20"/>
        <v>34</v>
      </c>
      <c r="B2251" s="59" t="str">
        <f t="shared" si="21"/>
        <v/>
      </c>
      <c r="C2251" s="59" t="str">
        <f t="shared" si="22"/>
        <v/>
      </c>
      <c r="D2251" s="45" t="str">
        <f t="shared" si="23"/>
        <v/>
      </c>
      <c r="E2251" s="45" t="str">
        <f t="shared" si="24"/>
        <v/>
      </c>
      <c r="F2251" s="59" t="str">
        <f t="shared" si="25"/>
        <v/>
      </c>
      <c r="G2251" s="59" t="str">
        <f t="shared" si="26"/>
        <v/>
      </c>
      <c r="H2251" s="59" t="str">
        <f t="shared" si="27"/>
        <v>28H01070</v>
      </c>
      <c r="I2251" s="59" t="str">
        <f>IF(OR($A2251="",$C2251="",$D2251="",$E2251="",$H2251=""),"",SUMIFS(DATA_GOC!$H:$H,DATA_GOC!$A:$A,"BOM",DATA_GOC!$D:$D,$H2251,DATA_GOC!$E:$E,$C2251,DATA_GOC!$F:$F,"Xuất nội bộ từ téc",DATA_GOC!$B:$B,"&gt;="&amp;$D2251,DATA_GOC!$B:$B,"&lt;="&amp;$E2251))</f>
        <v/>
      </c>
      <c r="J2251" s="59">
        <f t="shared" si="28"/>
        <v>0</v>
      </c>
      <c r="K2251" s="59">
        <f t="shared" si="29"/>
        <v>0</v>
      </c>
      <c r="L2251" s="59">
        <f t="shared" si="30"/>
        <v>0</v>
      </c>
      <c r="M2251" s="59">
        <f t="shared" si="31"/>
        <v>0</v>
      </c>
    </row>
    <row r="2252" ht="15.0" hidden="1" customHeight="1">
      <c r="A2252" s="59">
        <f t="shared" si="20"/>
        <v>34</v>
      </c>
      <c r="B2252" s="59" t="str">
        <f t="shared" si="21"/>
        <v/>
      </c>
      <c r="C2252" s="59" t="str">
        <f t="shared" si="22"/>
        <v/>
      </c>
      <c r="D2252" s="45" t="str">
        <f t="shared" si="23"/>
        <v/>
      </c>
      <c r="E2252" s="45" t="str">
        <f t="shared" si="24"/>
        <v/>
      </c>
      <c r="F2252" s="59" t="str">
        <f t="shared" si="25"/>
        <v/>
      </c>
      <c r="G2252" s="59" t="str">
        <f t="shared" si="26"/>
        <v/>
      </c>
      <c r="H2252" s="59" t="str">
        <f t="shared" si="27"/>
        <v>28H01364</v>
      </c>
      <c r="I2252" s="59" t="str">
        <f>IF(OR($A2252="",$C2252="",$D2252="",$E2252="",$H2252=""),"",SUMIFS(DATA_GOC!$H:$H,DATA_GOC!$A:$A,"BOM",DATA_GOC!$D:$D,$H2252,DATA_GOC!$E:$E,$C2252,DATA_GOC!$F:$F,"Xuất nội bộ từ téc",DATA_GOC!$B:$B,"&gt;="&amp;$D2252,DATA_GOC!$B:$B,"&lt;="&amp;$E2252))</f>
        <v/>
      </c>
      <c r="J2252" s="59">
        <f t="shared" si="28"/>
        <v>0</v>
      </c>
      <c r="K2252" s="59">
        <f t="shared" si="29"/>
        <v>0</v>
      </c>
      <c r="L2252" s="59">
        <f t="shared" si="30"/>
        <v>0</v>
      </c>
      <c r="M2252" s="59">
        <f t="shared" si="31"/>
        <v>0</v>
      </c>
    </row>
    <row r="2253" ht="15.0" hidden="1" customHeight="1">
      <c r="A2253" s="59">
        <f t="shared" si="20"/>
        <v>34</v>
      </c>
      <c r="B2253" s="59" t="str">
        <f t="shared" si="21"/>
        <v/>
      </c>
      <c r="C2253" s="59" t="str">
        <f t="shared" si="22"/>
        <v/>
      </c>
      <c r="D2253" s="45" t="str">
        <f t="shared" si="23"/>
        <v/>
      </c>
      <c r="E2253" s="45" t="str">
        <f t="shared" si="24"/>
        <v/>
      </c>
      <c r="F2253" s="59" t="str">
        <f t="shared" si="25"/>
        <v/>
      </c>
      <c r="G2253" s="59" t="str">
        <f t="shared" si="26"/>
        <v/>
      </c>
      <c r="H2253" s="59" t="str">
        <f t="shared" si="27"/>
        <v>29E17269</v>
      </c>
      <c r="I2253" s="59" t="str">
        <f>IF(OR($A2253="",$C2253="",$D2253="",$E2253="",$H2253=""),"",SUMIFS(DATA_GOC!$H:$H,DATA_GOC!$A:$A,"BOM",DATA_GOC!$D:$D,$H2253,DATA_GOC!$E:$E,$C2253,DATA_GOC!$F:$F,"Xuất nội bộ từ téc",DATA_GOC!$B:$B,"&gt;="&amp;$D2253,DATA_GOC!$B:$B,"&lt;="&amp;$E2253))</f>
        <v/>
      </c>
      <c r="J2253" s="59">
        <f t="shared" si="28"/>
        <v>0</v>
      </c>
      <c r="K2253" s="59">
        <f t="shared" si="29"/>
        <v>0</v>
      </c>
      <c r="L2253" s="59">
        <f t="shared" si="30"/>
        <v>0</v>
      </c>
      <c r="M2253" s="59">
        <f t="shared" si="31"/>
        <v>0</v>
      </c>
    </row>
    <row r="2254" ht="15.0" hidden="1" customHeight="1">
      <c r="A2254" s="59">
        <f t="shared" si="20"/>
        <v>34</v>
      </c>
      <c r="B2254" s="59" t="str">
        <f t="shared" si="21"/>
        <v/>
      </c>
      <c r="C2254" s="59" t="str">
        <f t="shared" si="22"/>
        <v/>
      </c>
      <c r="D2254" s="45" t="str">
        <f t="shared" si="23"/>
        <v/>
      </c>
      <c r="E2254" s="45" t="str">
        <f t="shared" si="24"/>
        <v/>
      </c>
      <c r="F2254" s="59" t="str">
        <f t="shared" si="25"/>
        <v/>
      </c>
      <c r="G2254" s="59" t="str">
        <f t="shared" si="26"/>
        <v/>
      </c>
      <c r="H2254" s="59" t="str">
        <f t="shared" si="27"/>
        <v>29E17273</v>
      </c>
      <c r="I2254" s="59" t="str">
        <f>IF(OR($A2254="",$C2254="",$D2254="",$E2254="",$H2254=""),"",SUMIFS(DATA_GOC!$H:$H,DATA_GOC!$A:$A,"BOM",DATA_GOC!$D:$D,$H2254,DATA_GOC!$E:$E,$C2254,DATA_GOC!$F:$F,"Xuất nội bộ từ téc",DATA_GOC!$B:$B,"&gt;="&amp;$D2254,DATA_GOC!$B:$B,"&lt;="&amp;$E2254))</f>
        <v/>
      </c>
      <c r="J2254" s="59">
        <f t="shared" si="28"/>
        <v>0</v>
      </c>
      <c r="K2254" s="59">
        <f t="shared" si="29"/>
        <v>0</v>
      </c>
      <c r="L2254" s="59">
        <f t="shared" si="30"/>
        <v>0</v>
      </c>
      <c r="M2254" s="59">
        <f t="shared" si="31"/>
        <v>0</v>
      </c>
    </row>
    <row r="2255" ht="15.0" hidden="1" customHeight="1">
      <c r="A2255" s="59">
        <f t="shared" si="20"/>
        <v>34</v>
      </c>
      <c r="B2255" s="59" t="str">
        <f t="shared" si="21"/>
        <v/>
      </c>
      <c r="C2255" s="59" t="str">
        <f t="shared" si="22"/>
        <v/>
      </c>
      <c r="D2255" s="45" t="str">
        <f t="shared" si="23"/>
        <v/>
      </c>
      <c r="E2255" s="45" t="str">
        <f t="shared" si="24"/>
        <v/>
      </c>
      <c r="F2255" s="59" t="str">
        <f t="shared" si="25"/>
        <v/>
      </c>
      <c r="G2255" s="59" t="str">
        <f t="shared" si="26"/>
        <v/>
      </c>
      <c r="H2255" s="59" t="str">
        <f t="shared" si="27"/>
        <v>29E17410</v>
      </c>
      <c r="I2255" s="59" t="str">
        <f>IF(OR($A2255="",$C2255="",$D2255="",$E2255="",$H2255=""),"",SUMIFS(DATA_GOC!$H:$H,DATA_GOC!$A:$A,"BOM",DATA_GOC!$D:$D,$H2255,DATA_GOC!$E:$E,$C2255,DATA_GOC!$F:$F,"Xuất nội bộ từ téc",DATA_GOC!$B:$B,"&gt;="&amp;$D2255,DATA_GOC!$B:$B,"&lt;="&amp;$E2255))</f>
        <v/>
      </c>
      <c r="J2255" s="59">
        <f t="shared" si="28"/>
        <v>0</v>
      </c>
      <c r="K2255" s="59">
        <f t="shared" si="29"/>
        <v>0</v>
      </c>
      <c r="L2255" s="59">
        <f t="shared" si="30"/>
        <v>0</v>
      </c>
      <c r="M2255" s="59">
        <f t="shared" si="31"/>
        <v>0</v>
      </c>
    </row>
    <row r="2256" ht="15.0" hidden="1" customHeight="1">
      <c r="A2256" s="59">
        <f t="shared" si="20"/>
        <v>34</v>
      </c>
      <c r="B2256" s="59" t="str">
        <f t="shared" si="21"/>
        <v/>
      </c>
      <c r="C2256" s="59" t="str">
        <f t="shared" si="22"/>
        <v/>
      </c>
      <c r="D2256" s="45" t="str">
        <f t="shared" si="23"/>
        <v/>
      </c>
      <c r="E2256" s="45" t="str">
        <f t="shared" si="24"/>
        <v/>
      </c>
      <c r="F2256" s="59" t="str">
        <f t="shared" si="25"/>
        <v/>
      </c>
      <c r="G2256" s="59" t="str">
        <f t="shared" si="26"/>
        <v/>
      </c>
      <c r="H2256" s="59" t="str">
        <f t="shared" si="27"/>
        <v>29E17417</v>
      </c>
      <c r="I2256" s="59" t="str">
        <f>IF(OR($A2256="",$C2256="",$D2256="",$E2256="",$H2256=""),"",SUMIFS(DATA_GOC!$H:$H,DATA_GOC!$A:$A,"BOM",DATA_GOC!$D:$D,$H2256,DATA_GOC!$E:$E,$C2256,DATA_GOC!$F:$F,"Xuất nội bộ từ téc",DATA_GOC!$B:$B,"&gt;="&amp;$D2256,DATA_GOC!$B:$B,"&lt;="&amp;$E2256))</f>
        <v/>
      </c>
      <c r="J2256" s="59">
        <f t="shared" si="28"/>
        <v>0</v>
      </c>
      <c r="K2256" s="59">
        <f t="shared" si="29"/>
        <v>0</v>
      </c>
      <c r="L2256" s="59">
        <f t="shared" si="30"/>
        <v>0</v>
      </c>
      <c r="M2256" s="59">
        <f t="shared" si="31"/>
        <v>0</v>
      </c>
    </row>
    <row r="2257" ht="15.0" hidden="1" customHeight="1">
      <c r="A2257" s="59">
        <f t="shared" si="20"/>
        <v>34</v>
      </c>
      <c r="B2257" s="59" t="str">
        <f t="shared" si="21"/>
        <v/>
      </c>
      <c r="C2257" s="59" t="str">
        <f t="shared" si="22"/>
        <v/>
      </c>
      <c r="D2257" s="45" t="str">
        <f t="shared" si="23"/>
        <v/>
      </c>
      <c r="E2257" s="45" t="str">
        <f t="shared" si="24"/>
        <v/>
      </c>
      <c r="F2257" s="59" t="str">
        <f t="shared" si="25"/>
        <v/>
      </c>
      <c r="G2257" s="59" t="str">
        <f t="shared" si="26"/>
        <v/>
      </c>
      <c r="H2257" s="59" t="str">
        <f t="shared" si="27"/>
        <v>29E17539</v>
      </c>
      <c r="I2257" s="59" t="str">
        <f>IF(OR($A2257="",$C2257="",$D2257="",$E2257="",$H2257=""),"",SUMIFS(DATA_GOC!$H:$H,DATA_GOC!$A:$A,"BOM",DATA_GOC!$D:$D,$H2257,DATA_GOC!$E:$E,$C2257,DATA_GOC!$F:$F,"Xuất nội bộ từ téc",DATA_GOC!$B:$B,"&gt;="&amp;$D2257,DATA_GOC!$B:$B,"&lt;="&amp;$E2257))</f>
        <v/>
      </c>
      <c r="J2257" s="59">
        <f t="shared" si="28"/>
        <v>0</v>
      </c>
      <c r="K2257" s="59">
        <f t="shared" si="29"/>
        <v>0</v>
      </c>
      <c r="L2257" s="59">
        <f t="shared" si="30"/>
        <v>0</v>
      </c>
      <c r="M2257" s="59">
        <f t="shared" si="31"/>
        <v>0</v>
      </c>
    </row>
    <row r="2258" ht="15.0" hidden="1" customHeight="1">
      <c r="A2258" s="59">
        <f t="shared" si="20"/>
        <v>34</v>
      </c>
      <c r="B2258" s="59" t="str">
        <f t="shared" si="21"/>
        <v/>
      </c>
      <c r="C2258" s="59" t="str">
        <f t="shared" si="22"/>
        <v/>
      </c>
      <c r="D2258" s="45" t="str">
        <f t="shared" si="23"/>
        <v/>
      </c>
      <c r="E2258" s="45" t="str">
        <f t="shared" si="24"/>
        <v/>
      </c>
      <c r="F2258" s="59" t="str">
        <f t="shared" si="25"/>
        <v/>
      </c>
      <c r="G2258" s="59" t="str">
        <f t="shared" si="26"/>
        <v/>
      </c>
      <c r="H2258" s="59" t="str">
        <f t="shared" si="27"/>
        <v>29E18160</v>
      </c>
      <c r="I2258" s="59" t="str">
        <f>IF(OR($A2258="",$C2258="",$D2258="",$E2258="",$H2258=""),"",SUMIFS(DATA_GOC!$H:$H,DATA_GOC!$A:$A,"BOM",DATA_GOC!$D:$D,$H2258,DATA_GOC!$E:$E,$C2258,DATA_GOC!$F:$F,"Xuất nội bộ từ téc",DATA_GOC!$B:$B,"&gt;="&amp;$D2258,DATA_GOC!$B:$B,"&lt;="&amp;$E2258))</f>
        <v/>
      </c>
      <c r="J2258" s="59">
        <f t="shared" si="28"/>
        <v>0</v>
      </c>
      <c r="K2258" s="59">
        <f t="shared" si="29"/>
        <v>0</v>
      </c>
      <c r="L2258" s="59">
        <f t="shared" si="30"/>
        <v>0</v>
      </c>
      <c r="M2258" s="59">
        <f t="shared" si="31"/>
        <v>0</v>
      </c>
    </row>
    <row r="2259" ht="15.0" hidden="1" customHeight="1">
      <c r="A2259" s="59">
        <f t="shared" si="20"/>
        <v>34</v>
      </c>
      <c r="B2259" s="59" t="str">
        <f t="shared" si="21"/>
        <v/>
      </c>
      <c r="C2259" s="59" t="str">
        <f t="shared" si="22"/>
        <v/>
      </c>
      <c r="D2259" s="45" t="str">
        <f t="shared" si="23"/>
        <v/>
      </c>
      <c r="E2259" s="45" t="str">
        <f t="shared" si="24"/>
        <v/>
      </c>
      <c r="F2259" s="59" t="str">
        <f t="shared" si="25"/>
        <v/>
      </c>
      <c r="G2259" s="59" t="str">
        <f t="shared" si="26"/>
        <v/>
      </c>
      <c r="H2259" s="59" t="str">
        <f t="shared" si="27"/>
        <v>Công trình Asphalt</v>
      </c>
      <c r="I2259" s="59" t="str">
        <f>IF(OR($A2259="",$C2259="",$D2259="",$E2259="",$H2259=""),"",SUMIFS(DATA_GOC!$H:$H,DATA_GOC!$A:$A,"BOM",DATA_GOC!$D:$D,$H2259,DATA_GOC!$E:$E,$C2259,DATA_GOC!$F:$F,"Xuất nội bộ từ téc",DATA_GOC!$B:$B,"&gt;="&amp;$D2259,DATA_GOC!$B:$B,"&lt;="&amp;$E2259))</f>
        <v/>
      </c>
      <c r="J2259" s="59">
        <f t="shared" si="28"/>
        <v>0</v>
      </c>
      <c r="K2259" s="59">
        <f t="shared" si="29"/>
        <v>0</v>
      </c>
      <c r="L2259" s="59">
        <f t="shared" si="30"/>
        <v>0</v>
      </c>
      <c r="M2259" s="59">
        <f t="shared" si="31"/>
        <v>0</v>
      </c>
    </row>
    <row r="2260" ht="15.0" hidden="1" customHeight="1">
      <c r="A2260" s="59">
        <f t="shared" si="20"/>
        <v>34</v>
      </c>
      <c r="B2260" s="59" t="str">
        <f t="shared" si="21"/>
        <v/>
      </c>
      <c r="C2260" s="59" t="str">
        <f t="shared" si="22"/>
        <v/>
      </c>
      <c r="D2260" s="45" t="str">
        <f t="shared" si="23"/>
        <v/>
      </c>
      <c r="E2260" s="45" t="str">
        <f t="shared" si="24"/>
        <v/>
      </c>
      <c r="F2260" s="59" t="str">
        <f t="shared" si="25"/>
        <v/>
      </c>
      <c r="G2260" s="59" t="str">
        <f t="shared" si="26"/>
        <v/>
      </c>
      <c r="H2260" s="59" t="str">
        <f t="shared" si="27"/>
        <v>LG53F</v>
      </c>
      <c r="I2260" s="59" t="str">
        <f>IF(OR($A2260="",$C2260="",$D2260="",$E2260="",$H2260=""),"",SUMIFS(DATA_GOC!$H:$H,DATA_GOC!$A:$A,"BOM",DATA_GOC!$D:$D,$H2260,DATA_GOC!$E:$E,$C2260,DATA_GOC!$F:$F,"Xuất nội bộ từ téc",DATA_GOC!$B:$B,"&gt;="&amp;$D2260,DATA_GOC!$B:$B,"&lt;="&amp;$E2260))</f>
        <v/>
      </c>
      <c r="J2260" s="59">
        <f t="shared" si="28"/>
        <v>0</v>
      </c>
      <c r="K2260" s="59">
        <f t="shared" si="29"/>
        <v>0</v>
      </c>
      <c r="L2260" s="59">
        <f t="shared" si="30"/>
        <v>0</v>
      </c>
      <c r="M2260" s="59">
        <f t="shared" si="31"/>
        <v>0</v>
      </c>
    </row>
    <row r="2261" ht="15.0" hidden="1" customHeight="1">
      <c r="A2261" s="59">
        <f t="shared" si="20"/>
        <v>34</v>
      </c>
      <c r="B2261" s="59" t="str">
        <f t="shared" si="21"/>
        <v/>
      </c>
      <c r="C2261" s="59" t="str">
        <f t="shared" si="22"/>
        <v/>
      </c>
      <c r="D2261" s="45" t="str">
        <f t="shared" si="23"/>
        <v/>
      </c>
      <c r="E2261" s="45" t="str">
        <f t="shared" si="24"/>
        <v/>
      </c>
      <c r="F2261" s="59" t="str">
        <f t="shared" si="25"/>
        <v/>
      </c>
      <c r="G2261" s="59" t="str">
        <f t="shared" si="26"/>
        <v/>
      </c>
      <c r="H2261" s="59" t="str">
        <f t="shared" si="27"/>
        <v>Máy phát điện</v>
      </c>
      <c r="I2261" s="59" t="str">
        <f>IF(OR($A2261="",$C2261="",$D2261="",$E2261="",$H2261=""),"",SUMIFS(DATA_GOC!$H:$H,DATA_GOC!$A:$A,"BOM",DATA_GOC!$D:$D,$H2261,DATA_GOC!$E:$E,$C2261,DATA_GOC!$F:$F,"Xuất nội bộ từ téc",DATA_GOC!$B:$B,"&gt;="&amp;$D2261,DATA_GOC!$B:$B,"&lt;="&amp;$E2261))</f>
        <v/>
      </c>
      <c r="J2261" s="59">
        <f t="shared" si="28"/>
        <v>0</v>
      </c>
      <c r="K2261" s="59">
        <f t="shared" si="29"/>
        <v>0</v>
      </c>
      <c r="L2261" s="59">
        <f t="shared" si="30"/>
        <v>0</v>
      </c>
      <c r="M2261" s="59">
        <f t="shared" si="31"/>
        <v>0</v>
      </c>
    </row>
    <row r="2262" ht="15.0" hidden="1" customHeight="1">
      <c r="A2262" s="59">
        <f t="shared" si="20"/>
        <v>34</v>
      </c>
      <c r="B2262" s="59" t="str">
        <f t="shared" si="21"/>
        <v/>
      </c>
      <c r="C2262" s="59" t="str">
        <f t="shared" si="22"/>
        <v/>
      </c>
      <c r="D2262" s="45" t="str">
        <f t="shared" si="23"/>
        <v/>
      </c>
      <c r="E2262" s="45" t="str">
        <f t="shared" si="24"/>
        <v/>
      </c>
      <c r="F2262" s="59" t="str">
        <f t="shared" si="25"/>
        <v/>
      </c>
      <c r="G2262" s="59" t="str">
        <f t="shared" si="26"/>
        <v/>
      </c>
      <c r="H2262" s="59" t="str">
        <f t="shared" si="27"/>
        <v>Máy rải thảm</v>
      </c>
      <c r="I2262" s="59" t="str">
        <f>IF(OR($A2262="",$C2262="",$D2262="",$E2262="",$H2262=""),"",SUMIFS(DATA_GOC!$H:$H,DATA_GOC!$A:$A,"BOM",DATA_GOC!$D:$D,$H2262,DATA_GOC!$E:$E,$C2262,DATA_GOC!$F:$F,"Xuất nội bộ từ téc",DATA_GOC!$B:$B,"&gt;="&amp;$D2262,DATA_GOC!$B:$B,"&lt;="&amp;$E2262))</f>
        <v/>
      </c>
      <c r="J2262" s="59">
        <f t="shared" si="28"/>
        <v>0</v>
      </c>
      <c r="K2262" s="59">
        <f t="shared" si="29"/>
        <v>0</v>
      </c>
      <c r="L2262" s="59">
        <f t="shared" si="30"/>
        <v>0</v>
      </c>
      <c r="M2262" s="59">
        <f t="shared" si="31"/>
        <v>0</v>
      </c>
    </row>
    <row r="2263" ht="15.0" hidden="1" customHeight="1">
      <c r="A2263" s="59">
        <f t="shared" si="20"/>
        <v>34</v>
      </c>
      <c r="B2263" s="59" t="str">
        <f t="shared" si="21"/>
        <v/>
      </c>
      <c r="C2263" s="59" t="str">
        <f t="shared" si="22"/>
        <v/>
      </c>
      <c r="D2263" s="45" t="str">
        <f t="shared" si="23"/>
        <v/>
      </c>
      <c r="E2263" s="45" t="str">
        <f t="shared" si="24"/>
        <v/>
      </c>
      <c r="F2263" s="59" t="str">
        <f t="shared" si="25"/>
        <v/>
      </c>
      <c r="G2263" s="59" t="str">
        <f t="shared" si="26"/>
        <v/>
      </c>
      <c r="H2263" s="59" t="str">
        <f t="shared" si="27"/>
        <v>Xúc Đào</v>
      </c>
      <c r="I2263" s="59" t="str">
        <f>IF(OR($A2263="",$C2263="",$D2263="",$E2263="",$H2263=""),"",SUMIFS(DATA_GOC!$H:$H,DATA_GOC!$A:$A,"BOM",DATA_GOC!$D:$D,$H2263,DATA_GOC!$E:$E,$C2263,DATA_GOC!$F:$F,"Xuất nội bộ từ téc",DATA_GOC!$B:$B,"&gt;="&amp;$D2263,DATA_GOC!$B:$B,"&lt;="&amp;$E2263))</f>
        <v/>
      </c>
      <c r="J2263" s="59">
        <f t="shared" si="28"/>
        <v>0</v>
      </c>
      <c r="K2263" s="59">
        <f t="shared" si="29"/>
        <v>0</v>
      </c>
      <c r="L2263" s="59">
        <f t="shared" si="30"/>
        <v>0</v>
      </c>
      <c r="M2263" s="59">
        <f t="shared" si="31"/>
        <v>0</v>
      </c>
    </row>
    <row r="2264" ht="15.0" hidden="1" customHeight="1">
      <c r="A2264" s="59">
        <f t="shared" si="20"/>
        <v>34</v>
      </c>
      <c r="B2264" s="59" t="str">
        <f t="shared" si="21"/>
        <v/>
      </c>
      <c r="C2264" s="59" t="str">
        <f t="shared" si="22"/>
        <v/>
      </c>
      <c r="D2264" s="45" t="str">
        <f t="shared" si="23"/>
        <v/>
      </c>
      <c r="E2264" s="45" t="str">
        <f t="shared" si="24"/>
        <v/>
      </c>
      <c r="F2264" s="59" t="str">
        <f t="shared" si="25"/>
        <v/>
      </c>
      <c r="G2264" s="59" t="str">
        <f t="shared" si="26"/>
        <v/>
      </c>
      <c r="H2264" s="59" t="str">
        <f t="shared" si="27"/>
        <v>Xúclật asphalt</v>
      </c>
      <c r="I2264" s="59" t="str">
        <f>IF(OR($A2264="",$C2264="",$D2264="",$E2264="",$H2264=""),"",SUMIFS(DATA_GOC!$H:$H,DATA_GOC!$A:$A,"BOM",DATA_GOC!$D:$D,$H2264,DATA_GOC!$E:$E,$C2264,DATA_GOC!$F:$F,"Xuất nội bộ từ téc",DATA_GOC!$B:$B,"&gt;="&amp;$D2264,DATA_GOC!$B:$B,"&lt;="&amp;$E2264))</f>
        <v/>
      </c>
      <c r="J2264" s="59">
        <f t="shared" si="28"/>
        <v>0</v>
      </c>
      <c r="K2264" s="59">
        <f t="shared" si="29"/>
        <v>0</v>
      </c>
      <c r="L2264" s="59">
        <f t="shared" si="30"/>
        <v>0</v>
      </c>
      <c r="M2264" s="59">
        <f t="shared" si="31"/>
        <v>0</v>
      </c>
    </row>
    <row r="2265" ht="15.0" hidden="1" customHeight="1">
      <c r="A2265" s="59">
        <f t="shared" si="20"/>
        <v>34</v>
      </c>
      <c r="B2265" s="59" t="str">
        <f t="shared" si="21"/>
        <v/>
      </c>
      <c r="C2265" s="59" t="str">
        <f t="shared" si="22"/>
        <v/>
      </c>
      <c r="D2265" s="45" t="str">
        <f t="shared" si="23"/>
        <v/>
      </c>
      <c r="E2265" s="45" t="str">
        <f t="shared" si="24"/>
        <v/>
      </c>
      <c r="F2265" s="59" t="str">
        <f t="shared" si="25"/>
        <v/>
      </c>
      <c r="G2265" s="59" t="str">
        <f t="shared" si="26"/>
        <v/>
      </c>
      <c r="H2265" s="59" t="str">
        <f t="shared" si="27"/>
        <v>Xúclật855H</v>
      </c>
      <c r="I2265" s="59" t="str">
        <f>IF(OR($A2265="",$C2265="",$D2265="",$E2265="",$H2265=""),"",SUMIFS(DATA_GOC!$H:$H,DATA_GOC!$A:$A,"BOM",DATA_GOC!$D:$D,$H2265,DATA_GOC!$E:$E,$C2265,DATA_GOC!$F:$F,"Xuất nội bộ từ téc",DATA_GOC!$B:$B,"&gt;="&amp;$D2265,DATA_GOC!$B:$B,"&lt;="&amp;$E2265))</f>
        <v/>
      </c>
      <c r="J2265" s="59">
        <f t="shared" si="28"/>
        <v>0</v>
      </c>
      <c r="K2265" s="59">
        <f t="shared" si="29"/>
        <v>0</v>
      </c>
      <c r="L2265" s="59">
        <f t="shared" si="30"/>
        <v>0</v>
      </c>
      <c r="M2265" s="59">
        <f t="shared" si="31"/>
        <v>0</v>
      </c>
    </row>
    <row r="2266" ht="15.0" hidden="1" customHeight="1">
      <c r="A2266" s="59">
        <f t="shared" si="20"/>
        <v>34</v>
      </c>
      <c r="B2266" s="59" t="str">
        <f t="shared" si="21"/>
        <v/>
      </c>
      <c r="C2266" s="59" t="str">
        <f t="shared" si="22"/>
        <v/>
      </c>
      <c r="D2266" s="45" t="str">
        <f t="shared" si="23"/>
        <v/>
      </c>
      <c r="E2266" s="45" t="str">
        <f t="shared" si="24"/>
        <v/>
      </c>
      <c r="F2266" s="59" t="str">
        <f t="shared" si="25"/>
        <v/>
      </c>
      <c r="G2266" s="59" t="str">
        <f t="shared" si="26"/>
        <v/>
      </c>
      <c r="H2266" s="59" t="str">
        <f t="shared" si="27"/>
        <v>Xúclật855N</v>
      </c>
      <c r="I2266" s="59" t="str">
        <f>IF(OR($A2266="",$C2266="",$D2266="",$E2266="",$H2266=""),"",SUMIFS(DATA_GOC!$H:$H,DATA_GOC!$A:$A,"BOM",DATA_GOC!$D:$D,$H2266,DATA_GOC!$E:$E,$C2266,DATA_GOC!$F:$F,"Xuất nội bộ từ téc",DATA_GOC!$B:$B,"&gt;="&amp;$D2266,DATA_GOC!$B:$B,"&lt;="&amp;$E2266))</f>
        <v/>
      </c>
      <c r="J2266" s="59">
        <f t="shared" si="28"/>
        <v>0</v>
      </c>
      <c r="K2266" s="59">
        <f t="shared" si="29"/>
        <v>0</v>
      </c>
      <c r="L2266" s="59">
        <f t="shared" si="30"/>
        <v>0</v>
      </c>
      <c r="M2266" s="59">
        <f t="shared" si="31"/>
        <v>0</v>
      </c>
    </row>
    <row r="2267" ht="15.0" hidden="1" customHeight="1">
      <c r="A2267" s="59">
        <f t="shared" si="20"/>
        <v>34</v>
      </c>
      <c r="B2267" s="59" t="str">
        <f t="shared" si="21"/>
        <v/>
      </c>
      <c r="C2267" s="59" t="str">
        <f t="shared" si="22"/>
        <v/>
      </c>
      <c r="D2267" s="45" t="str">
        <f t="shared" si="23"/>
        <v/>
      </c>
      <c r="E2267" s="45" t="str">
        <f t="shared" si="24"/>
        <v/>
      </c>
      <c r="F2267" s="59" t="str">
        <f t="shared" si="25"/>
        <v/>
      </c>
      <c r="G2267" s="59" t="str">
        <f t="shared" si="26"/>
        <v/>
      </c>
      <c r="H2267" s="59" t="str">
        <f t="shared" si="27"/>
        <v>Cát nghiền</v>
      </c>
      <c r="I2267" s="59" t="str">
        <f>IF(OR($A2267="",$C2267="",$D2267="",$E2267="",$H2267=""),"",SUMIFS(DATA_GOC!$H:$H,DATA_GOC!$A:$A,"BOM",DATA_GOC!$D:$D,$H2267,DATA_GOC!$E:$E,$C2267,DATA_GOC!$F:$F,"Xuất nội bộ từ téc",DATA_GOC!$B:$B,"&gt;="&amp;$D2267,DATA_GOC!$B:$B,"&lt;="&amp;$E2267))</f>
        <v/>
      </c>
      <c r="J2267" s="59">
        <f t="shared" si="28"/>
        <v>0</v>
      </c>
      <c r="K2267" s="59">
        <f t="shared" si="29"/>
        <v>0</v>
      </c>
      <c r="L2267" s="59">
        <f t="shared" si="30"/>
        <v>0</v>
      </c>
      <c r="M2267" s="59">
        <f t="shared" si="31"/>
        <v>0</v>
      </c>
    </row>
    <row r="2268" ht="15.0" hidden="1" customHeight="1">
      <c r="A2268" s="59">
        <f t="shared" si="20"/>
        <v>34</v>
      </c>
      <c r="B2268" s="59" t="str">
        <f t="shared" si="21"/>
        <v/>
      </c>
      <c r="C2268" s="59" t="str">
        <f t="shared" si="22"/>
        <v/>
      </c>
      <c r="D2268" s="45" t="str">
        <f t="shared" si="23"/>
        <v/>
      </c>
      <c r="E2268" s="45" t="str">
        <f t="shared" si="24"/>
        <v/>
      </c>
      <c r="F2268" s="59" t="str">
        <f t="shared" si="25"/>
        <v/>
      </c>
      <c r="G2268" s="59" t="str">
        <f t="shared" si="26"/>
        <v/>
      </c>
      <c r="H2268" s="59" t="str">
        <f t="shared" si="27"/>
        <v>28C02973</v>
      </c>
      <c r="I2268" s="59" t="str">
        <f>IF(OR($A2268="",$C2268="",$D2268="",$E2268="",$H2268=""),"",SUMIFS(DATA_GOC!$H:$H,DATA_GOC!$A:$A,"BOM",DATA_GOC!$D:$D,$H2268,DATA_GOC!$E:$E,$C2268,DATA_GOC!$F:$F,"Xuất nội bộ từ téc",DATA_GOC!$B:$B,"&gt;="&amp;$D2268,DATA_GOC!$B:$B,"&lt;="&amp;$E2268))</f>
        <v/>
      </c>
      <c r="J2268" s="59">
        <f t="shared" si="28"/>
        <v>0</v>
      </c>
      <c r="K2268" s="59">
        <f t="shared" si="29"/>
        <v>0</v>
      </c>
      <c r="L2268" s="59">
        <f t="shared" si="30"/>
        <v>0</v>
      </c>
      <c r="M2268" s="59">
        <f t="shared" si="31"/>
        <v>0</v>
      </c>
    </row>
    <row r="2269" ht="15.0" hidden="1" customHeight="1">
      <c r="A2269" s="59">
        <f t="shared" si="20"/>
        <v>34</v>
      </c>
      <c r="B2269" s="59" t="str">
        <f t="shared" si="21"/>
        <v/>
      </c>
      <c r="C2269" s="59" t="str">
        <f t="shared" si="22"/>
        <v/>
      </c>
      <c r="D2269" s="45" t="str">
        <f t="shared" si="23"/>
        <v/>
      </c>
      <c r="E2269" s="45" t="str">
        <f t="shared" si="24"/>
        <v/>
      </c>
      <c r="F2269" s="59" t="str">
        <f t="shared" si="25"/>
        <v/>
      </c>
      <c r="G2269" s="59" t="str">
        <f t="shared" si="26"/>
        <v/>
      </c>
      <c r="H2269" s="59" t="str">
        <f t="shared" si="27"/>
        <v>28C03044</v>
      </c>
      <c r="I2269" s="59" t="str">
        <f>IF(OR($A2269="",$C2269="",$D2269="",$E2269="",$H2269=""),"",SUMIFS(DATA_GOC!$H:$H,DATA_GOC!$A:$A,"BOM",DATA_GOC!$D:$D,$H2269,DATA_GOC!$E:$E,$C2269,DATA_GOC!$F:$F,"Xuất nội bộ từ téc",DATA_GOC!$B:$B,"&gt;="&amp;$D2269,DATA_GOC!$B:$B,"&lt;="&amp;$E2269))</f>
        <v/>
      </c>
      <c r="J2269" s="59">
        <f t="shared" si="28"/>
        <v>0</v>
      </c>
      <c r="K2269" s="59">
        <f t="shared" si="29"/>
        <v>0</v>
      </c>
      <c r="L2269" s="59">
        <f t="shared" si="30"/>
        <v>0</v>
      </c>
      <c r="M2269" s="59">
        <f t="shared" si="31"/>
        <v>0</v>
      </c>
    </row>
    <row r="2270" ht="15.0" hidden="1" customHeight="1">
      <c r="A2270" s="59">
        <f t="shared" si="20"/>
        <v>34</v>
      </c>
      <c r="B2270" s="59" t="str">
        <f t="shared" si="21"/>
        <v/>
      </c>
      <c r="C2270" s="59" t="str">
        <f t="shared" si="22"/>
        <v/>
      </c>
      <c r="D2270" s="45" t="str">
        <f t="shared" si="23"/>
        <v/>
      </c>
      <c r="E2270" s="45" t="str">
        <f t="shared" si="24"/>
        <v/>
      </c>
      <c r="F2270" s="59" t="str">
        <f t="shared" si="25"/>
        <v/>
      </c>
      <c r="G2270" s="59" t="str">
        <f t="shared" si="26"/>
        <v/>
      </c>
      <c r="H2270" s="59" t="str">
        <f t="shared" si="27"/>
        <v>Máy lu lốp</v>
      </c>
      <c r="I2270" s="59" t="str">
        <f>IF(OR($A2270="",$C2270="",$D2270="",$E2270="",$H2270=""),"",SUMIFS(DATA_GOC!$H:$H,DATA_GOC!$A:$A,"BOM",DATA_GOC!$D:$D,$H2270,DATA_GOC!$E:$E,$C2270,DATA_GOC!$F:$F,"Xuất nội bộ từ téc",DATA_GOC!$B:$B,"&gt;="&amp;$D2270,DATA_GOC!$B:$B,"&lt;="&amp;$E2270))</f>
        <v/>
      </c>
      <c r="J2270" s="59">
        <f t="shared" si="28"/>
        <v>0</v>
      </c>
      <c r="K2270" s="59">
        <f t="shared" si="29"/>
        <v>0</v>
      </c>
      <c r="L2270" s="59">
        <f t="shared" si="30"/>
        <v>0</v>
      </c>
      <c r="M2270" s="59">
        <f t="shared" si="31"/>
        <v>0</v>
      </c>
    </row>
    <row r="2271" ht="15.0" hidden="1" customHeight="1">
      <c r="A2271" s="59">
        <f t="shared" si="20"/>
        <v>34</v>
      </c>
      <c r="B2271" s="59" t="str">
        <f t="shared" si="21"/>
        <v/>
      </c>
      <c r="C2271" s="59" t="str">
        <f t="shared" si="22"/>
        <v/>
      </c>
      <c r="D2271" s="45" t="str">
        <f t="shared" si="23"/>
        <v/>
      </c>
      <c r="E2271" s="45" t="str">
        <f t="shared" si="24"/>
        <v/>
      </c>
      <c r="F2271" s="59" t="str">
        <f t="shared" si="25"/>
        <v/>
      </c>
      <c r="G2271" s="59" t="str">
        <f t="shared" si="26"/>
        <v/>
      </c>
      <c r="H2271" s="59" t="str">
        <f t="shared" si="27"/>
        <v>Xe 600148</v>
      </c>
      <c r="I2271" s="59" t="str">
        <f>IF(OR($A2271="",$C2271="",$D2271="",$E2271="",$H2271=""),"",SUMIFS(DATA_GOC!$H:$H,DATA_GOC!$A:$A,"BOM",DATA_GOC!$D:$D,$H2271,DATA_GOC!$E:$E,$C2271,DATA_GOC!$F:$F,"Xuất nội bộ từ téc",DATA_GOC!$B:$B,"&gt;="&amp;$D2271,DATA_GOC!$B:$B,"&lt;="&amp;$E2271))</f>
        <v/>
      </c>
      <c r="J2271" s="59">
        <f t="shared" si="28"/>
        <v>0</v>
      </c>
      <c r="K2271" s="59">
        <f t="shared" si="29"/>
        <v>0</v>
      </c>
      <c r="L2271" s="59">
        <f t="shared" si="30"/>
        <v>0</v>
      </c>
      <c r="M2271" s="59">
        <f t="shared" si="31"/>
        <v>0</v>
      </c>
    </row>
    <row r="2272" ht="15.0" hidden="1" customHeight="1">
      <c r="A2272" s="59">
        <f t="shared" si="20"/>
        <v>34</v>
      </c>
      <c r="B2272" s="59" t="str">
        <f t="shared" si="21"/>
        <v/>
      </c>
      <c r="C2272" s="59" t="str">
        <f t="shared" si="22"/>
        <v/>
      </c>
      <c r="D2272" s="45" t="str">
        <f t="shared" si="23"/>
        <v/>
      </c>
      <c r="E2272" s="45" t="str">
        <f t="shared" si="24"/>
        <v/>
      </c>
      <c r="F2272" s="59" t="str">
        <f t="shared" si="25"/>
        <v/>
      </c>
      <c r="G2272" s="59" t="str">
        <f t="shared" si="26"/>
        <v/>
      </c>
      <c r="H2272" s="59" t="str">
        <f t="shared" si="27"/>
        <v>Xe ben mới</v>
      </c>
      <c r="I2272" s="59" t="str">
        <f>IF(OR($A2272="",$C2272="",$D2272="",$E2272="",$H2272=""),"",SUMIFS(DATA_GOC!$H:$H,DATA_GOC!$A:$A,"BOM",DATA_GOC!$D:$D,$H2272,DATA_GOC!$E:$E,$C2272,DATA_GOC!$F:$F,"Xuất nội bộ từ téc",DATA_GOC!$B:$B,"&gt;="&amp;$D2272,DATA_GOC!$B:$B,"&lt;="&amp;$E2272))</f>
        <v/>
      </c>
      <c r="J2272" s="59">
        <f t="shared" si="28"/>
        <v>0</v>
      </c>
      <c r="K2272" s="59">
        <f t="shared" si="29"/>
        <v>0</v>
      </c>
      <c r="L2272" s="59">
        <f t="shared" si="30"/>
        <v>0</v>
      </c>
      <c r="M2272" s="59">
        <f t="shared" si="31"/>
        <v>0</v>
      </c>
    </row>
    <row r="2273" ht="15.0" hidden="1" customHeight="1">
      <c r="A2273" s="59">
        <f t="shared" si="20"/>
        <v>35</v>
      </c>
      <c r="B2273" s="59" t="str">
        <f t="shared" si="21"/>
        <v/>
      </c>
      <c r="C2273" s="59" t="str">
        <f t="shared" si="22"/>
        <v/>
      </c>
      <c r="D2273" s="45" t="str">
        <f t="shared" si="23"/>
        <v/>
      </c>
      <c r="E2273" s="45" t="str">
        <f t="shared" si="24"/>
        <v/>
      </c>
      <c r="F2273" s="59" t="str">
        <f t="shared" si="25"/>
        <v/>
      </c>
      <c r="G2273" s="59" t="str">
        <f t="shared" si="26"/>
        <v/>
      </c>
      <c r="H2273" s="59" t="str">
        <f t="shared" si="27"/>
        <v>19H09482</v>
      </c>
      <c r="I2273" s="59" t="str">
        <f>IF(OR($A2273="",$C2273="",$D2273="",$E2273="",$H2273=""),"",SUMIFS(DATA_GOC!$H:$H,DATA_GOC!$A:$A,"BOM",DATA_GOC!$D:$D,$H2273,DATA_GOC!$E:$E,$C2273,DATA_GOC!$F:$F,"Xuất nội bộ từ téc",DATA_GOC!$B:$B,"&gt;="&amp;$D2273,DATA_GOC!$B:$B,"&lt;="&amp;$E2273))</f>
        <v/>
      </c>
      <c r="J2273" s="59">
        <f t="shared" si="28"/>
        <v>0</v>
      </c>
      <c r="K2273" s="59">
        <f t="shared" si="29"/>
        <v>0</v>
      </c>
      <c r="L2273" s="59">
        <f t="shared" si="30"/>
        <v>0</v>
      </c>
      <c r="M2273" s="59">
        <f t="shared" si="31"/>
        <v>0</v>
      </c>
    </row>
    <row r="2274" ht="15.0" hidden="1" customHeight="1">
      <c r="A2274" s="59">
        <f t="shared" si="20"/>
        <v>35</v>
      </c>
      <c r="B2274" s="59" t="str">
        <f t="shared" si="21"/>
        <v/>
      </c>
      <c r="C2274" s="59" t="str">
        <f t="shared" si="22"/>
        <v/>
      </c>
      <c r="D2274" s="45" t="str">
        <f t="shared" si="23"/>
        <v/>
      </c>
      <c r="E2274" s="45" t="str">
        <f t="shared" si="24"/>
        <v/>
      </c>
      <c r="F2274" s="59" t="str">
        <f t="shared" si="25"/>
        <v/>
      </c>
      <c r="G2274" s="59" t="str">
        <f t="shared" si="26"/>
        <v/>
      </c>
      <c r="H2274" s="59" t="str">
        <f t="shared" si="27"/>
        <v>28A30696</v>
      </c>
      <c r="I2274" s="59" t="str">
        <f>IF(OR($A2274="",$C2274="",$D2274="",$E2274="",$H2274=""),"",SUMIFS(DATA_GOC!$H:$H,DATA_GOC!$A:$A,"BOM",DATA_GOC!$D:$D,$H2274,DATA_GOC!$E:$E,$C2274,DATA_GOC!$F:$F,"Xuất nội bộ từ téc",DATA_GOC!$B:$B,"&gt;="&amp;$D2274,DATA_GOC!$B:$B,"&lt;="&amp;$E2274))</f>
        <v/>
      </c>
      <c r="J2274" s="59">
        <f t="shared" si="28"/>
        <v>0</v>
      </c>
      <c r="K2274" s="59">
        <f t="shared" si="29"/>
        <v>0</v>
      </c>
      <c r="L2274" s="59">
        <f t="shared" si="30"/>
        <v>0</v>
      </c>
      <c r="M2274" s="59">
        <f t="shared" si="31"/>
        <v>0</v>
      </c>
    </row>
    <row r="2275" ht="15.0" hidden="1" customHeight="1">
      <c r="A2275" s="59">
        <f t="shared" si="20"/>
        <v>35</v>
      </c>
      <c r="B2275" s="59" t="str">
        <f t="shared" si="21"/>
        <v/>
      </c>
      <c r="C2275" s="59" t="str">
        <f t="shared" si="22"/>
        <v/>
      </c>
      <c r="D2275" s="45" t="str">
        <f t="shared" si="23"/>
        <v/>
      </c>
      <c r="E2275" s="45" t="str">
        <f t="shared" si="24"/>
        <v/>
      </c>
      <c r="F2275" s="59" t="str">
        <f t="shared" si="25"/>
        <v/>
      </c>
      <c r="G2275" s="59" t="str">
        <f t="shared" si="26"/>
        <v/>
      </c>
      <c r="H2275" s="59" t="str">
        <f t="shared" si="27"/>
        <v>28C00462</v>
      </c>
      <c r="I2275" s="59" t="str">
        <f>IF(OR($A2275="",$C2275="",$D2275="",$E2275="",$H2275=""),"",SUMIFS(DATA_GOC!$H:$H,DATA_GOC!$A:$A,"BOM",DATA_GOC!$D:$D,$H2275,DATA_GOC!$E:$E,$C2275,DATA_GOC!$F:$F,"Xuất nội bộ từ téc",DATA_GOC!$B:$B,"&gt;="&amp;$D2275,DATA_GOC!$B:$B,"&lt;="&amp;$E2275))</f>
        <v/>
      </c>
      <c r="J2275" s="59">
        <f t="shared" si="28"/>
        <v>0</v>
      </c>
      <c r="K2275" s="59">
        <f t="shared" si="29"/>
        <v>0</v>
      </c>
      <c r="L2275" s="59">
        <f t="shared" si="30"/>
        <v>0</v>
      </c>
      <c r="M2275" s="59">
        <f t="shared" si="31"/>
        <v>0</v>
      </c>
    </row>
    <row r="2276" ht="15.0" hidden="1" customHeight="1">
      <c r="A2276" s="59">
        <f t="shared" si="20"/>
        <v>35</v>
      </c>
      <c r="B2276" s="59" t="str">
        <f t="shared" si="21"/>
        <v/>
      </c>
      <c r="C2276" s="59" t="str">
        <f t="shared" si="22"/>
        <v/>
      </c>
      <c r="D2276" s="45" t="str">
        <f t="shared" si="23"/>
        <v/>
      </c>
      <c r="E2276" s="45" t="str">
        <f t="shared" si="24"/>
        <v/>
      </c>
      <c r="F2276" s="59" t="str">
        <f t="shared" si="25"/>
        <v/>
      </c>
      <c r="G2276" s="59" t="str">
        <f t="shared" si="26"/>
        <v/>
      </c>
      <c r="H2276" s="59" t="str">
        <f t="shared" si="27"/>
        <v>28C01165</v>
      </c>
      <c r="I2276" s="59" t="str">
        <f>IF(OR($A2276="",$C2276="",$D2276="",$E2276="",$H2276=""),"",SUMIFS(DATA_GOC!$H:$H,DATA_GOC!$A:$A,"BOM",DATA_GOC!$D:$D,$H2276,DATA_GOC!$E:$E,$C2276,DATA_GOC!$F:$F,"Xuất nội bộ từ téc",DATA_GOC!$B:$B,"&gt;="&amp;$D2276,DATA_GOC!$B:$B,"&lt;="&amp;$E2276))</f>
        <v/>
      </c>
      <c r="J2276" s="59">
        <f t="shared" si="28"/>
        <v>0</v>
      </c>
      <c r="K2276" s="59">
        <f t="shared" si="29"/>
        <v>0</v>
      </c>
      <c r="L2276" s="59">
        <f t="shared" si="30"/>
        <v>0</v>
      </c>
      <c r="M2276" s="59">
        <f t="shared" si="31"/>
        <v>0</v>
      </c>
    </row>
    <row r="2277" ht="15.0" hidden="1" customHeight="1">
      <c r="A2277" s="59">
        <f t="shared" si="20"/>
        <v>35</v>
      </c>
      <c r="B2277" s="59" t="str">
        <f t="shared" si="21"/>
        <v/>
      </c>
      <c r="C2277" s="59" t="str">
        <f t="shared" si="22"/>
        <v/>
      </c>
      <c r="D2277" s="45" t="str">
        <f t="shared" si="23"/>
        <v/>
      </c>
      <c r="E2277" s="45" t="str">
        <f t="shared" si="24"/>
        <v/>
      </c>
      <c r="F2277" s="59" t="str">
        <f t="shared" si="25"/>
        <v/>
      </c>
      <c r="G2277" s="59" t="str">
        <f t="shared" si="26"/>
        <v/>
      </c>
      <c r="H2277" s="59" t="str">
        <f t="shared" si="27"/>
        <v>28C01406</v>
      </c>
      <c r="I2277" s="59" t="str">
        <f>IF(OR($A2277="",$C2277="",$D2277="",$E2277="",$H2277=""),"",SUMIFS(DATA_GOC!$H:$H,DATA_GOC!$A:$A,"BOM",DATA_GOC!$D:$D,$H2277,DATA_GOC!$E:$E,$C2277,DATA_GOC!$F:$F,"Xuất nội bộ từ téc",DATA_GOC!$B:$B,"&gt;="&amp;$D2277,DATA_GOC!$B:$B,"&lt;="&amp;$E2277))</f>
        <v/>
      </c>
      <c r="J2277" s="59">
        <f t="shared" si="28"/>
        <v>0</v>
      </c>
      <c r="K2277" s="59">
        <f t="shared" si="29"/>
        <v>0</v>
      </c>
      <c r="L2277" s="59">
        <f t="shared" si="30"/>
        <v>0</v>
      </c>
      <c r="M2277" s="59">
        <f t="shared" si="31"/>
        <v>0</v>
      </c>
    </row>
    <row r="2278" ht="15.0" hidden="1" customHeight="1">
      <c r="A2278" s="59">
        <f t="shared" si="20"/>
        <v>35</v>
      </c>
      <c r="B2278" s="59" t="str">
        <f t="shared" si="21"/>
        <v/>
      </c>
      <c r="C2278" s="59" t="str">
        <f t="shared" si="22"/>
        <v/>
      </c>
      <c r="D2278" s="45" t="str">
        <f t="shared" si="23"/>
        <v/>
      </c>
      <c r="E2278" s="45" t="str">
        <f t="shared" si="24"/>
        <v/>
      </c>
      <c r="F2278" s="59" t="str">
        <f t="shared" si="25"/>
        <v/>
      </c>
      <c r="G2278" s="59" t="str">
        <f t="shared" si="26"/>
        <v/>
      </c>
      <c r="H2278" s="59" t="str">
        <f t="shared" si="27"/>
        <v>28C01544</v>
      </c>
      <c r="I2278" s="59" t="str">
        <f>IF(OR($A2278="",$C2278="",$D2278="",$E2278="",$H2278=""),"",SUMIFS(DATA_GOC!$H:$H,DATA_GOC!$A:$A,"BOM",DATA_GOC!$D:$D,$H2278,DATA_GOC!$E:$E,$C2278,DATA_GOC!$F:$F,"Xuất nội bộ từ téc",DATA_GOC!$B:$B,"&gt;="&amp;$D2278,DATA_GOC!$B:$B,"&lt;="&amp;$E2278))</f>
        <v/>
      </c>
      <c r="J2278" s="59">
        <f t="shared" si="28"/>
        <v>0</v>
      </c>
      <c r="K2278" s="59">
        <f t="shared" si="29"/>
        <v>0</v>
      </c>
      <c r="L2278" s="59">
        <f t="shared" si="30"/>
        <v>0</v>
      </c>
      <c r="M2278" s="59">
        <f t="shared" si="31"/>
        <v>0</v>
      </c>
    </row>
    <row r="2279" ht="15.0" hidden="1" customHeight="1">
      <c r="A2279" s="59">
        <f t="shared" si="20"/>
        <v>35</v>
      </c>
      <c r="B2279" s="59" t="str">
        <f t="shared" si="21"/>
        <v/>
      </c>
      <c r="C2279" s="59" t="str">
        <f t="shared" si="22"/>
        <v/>
      </c>
      <c r="D2279" s="45" t="str">
        <f t="shared" si="23"/>
        <v/>
      </c>
      <c r="E2279" s="45" t="str">
        <f t="shared" si="24"/>
        <v/>
      </c>
      <c r="F2279" s="59" t="str">
        <f t="shared" si="25"/>
        <v/>
      </c>
      <c r="G2279" s="59" t="str">
        <f t="shared" si="26"/>
        <v/>
      </c>
      <c r="H2279" s="59" t="str">
        <f t="shared" si="27"/>
        <v>28C01622</v>
      </c>
      <c r="I2279" s="59" t="str">
        <f>IF(OR($A2279="",$C2279="",$D2279="",$E2279="",$H2279=""),"",SUMIFS(DATA_GOC!$H:$H,DATA_GOC!$A:$A,"BOM",DATA_GOC!$D:$D,$H2279,DATA_GOC!$E:$E,$C2279,DATA_GOC!$F:$F,"Xuất nội bộ từ téc",DATA_GOC!$B:$B,"&gt;="&amp;$D2279,DATA_GOC!$B:$B,"&lt;="&amp;$E2279))</f>
        <v/>
      </c>
      <c r="J2279" s="59">
        <f t="shared" si="28"/>
        <v>0</v>
      </c>
      <c r="K2279" s="59">
        <f t="shared" si="29"/>
        <v>0</v>
      </c>
      <c r="L2279" s="59">
        <f t="shared" si="30"/>
        <v>0</v>
      </c>
      <c r="M2279" s="59">
        <f t="shared" si="31"/>
        <v>0</v>
      </c>
    </row>
    <row r="2280" ht="15.0" hidden="1" customHeight="1">
      <c r="A2280" s="59">
        <f t="shared" si="20"/>
        <v>35</v>
      </c>
      <c r="B2280" s="59" t="str">
        <f t="shared" si="21"/>
        <v/>
      </c>
      <c r="C2280" s="59" t="str">
        <f t="shared" si="22"/>
        <v/>
      </c>
      <c r="D2280" s="45" t="str">
        <f t="shared" si="23"/>
        <v/>
      </c>
      <c r="E2280" s="45" t="str">
        <f t="shared" si="24"/>
        <v/>
      </c>
      <c r="F2280" s="59" t="str">
        <f t="shared" si="25"/>
        <v/>
      </c>
      <c r="G2280" s="59" t="str">
        <f t="shared" si="26"/>
        <v/>
      </c>
      <c r="H2280" s="59" t="str">
        <f t="shared" si="27"/>
        <v>28C01647</v>
      </c>
      <c r="I2280" s="59" t="str">
        <f>IF(OR($A2280="",$C2280="",$D2280="",$E2280="",$H2280=""),"",SUMIFS(DATA_GOC!$H:$H,DATA_GOC!$A:$A,"BOM",DATA_GOC!$D:$D,$H2280,DATA_GOC!$E:$E,$C2280,DATA_GOC!$F:$F,"Xuất nội bộ từ téc",DATA_GOC!$B:$B,"&gt;="&amp;$D2280,DATA_GOC!$B:$B,"&lt;="&amp;$E2280))</f>
        <v/>
      </c>
      <c r="J2280" s="59">
        <f t="shared" si="28"/>
        <v>0</v>
      </c>
      <c r="K2280" s="59">
        <f t="shared" si="29"/>
        <v>0</v>
      </c>
      <c r="L2280" s="59">
        <f t="shared" si="30"/>
        <v>0</v>
      </c>
      <c r="M2280" s="59">
        <f t="shared" si="31"/>
        <v>0</v>
      </c>
    </row>
    <row r="2281" ht="15.0" hidden="1" customHeight="1">
      <c r="A2281" s="59">
        <f t="shared" si="20"/>
        <v>35</v>
      </c>
      <c r="B2281" s="59" t="str">
        <f t="shared" si="21"/>
        <v/>
      </c>
      <c r="C2281" s="59" t="str">
        <f t="shared" si="22"/>
        <v/>
      </c>
      <c r="D2281" s="45" t="str">
        <f t="shared" si="23"/>
        <v/>
      </c>
      <c r="E2281" s="45" t="str">
        <f t="shared" si="24"/>
        <v/>
      </c>
      <c r="F2281" s="59" t="str">
        <f t="shared" si="25"/>
        <v/>
      </c>
      <c r="G2281" s="59" t="str">
        <f t="shared" si="26"/>
        <v/>
      </c>
      <c r="H2281" s="59" t="str">
        <f t="shared" si="27"/>
        <v>28C01731</v>
      </c>
      <c r="I2281" s="59" t="str">
        <f>IF(OR($A2281="",$C2281="",$D2281="",$E2281="",$H2281=""),"",SUMIFS(DATA_GOC!$H:$H,DATA_GOC!$A:$A,"BOM",DATA_GOC!$D:$D,$H2281,DATA_GOC!$E:$E,$C2281,DATA_GOC!$F:$F,"Xuất nội bộ từ téc",DATA_GOC!$B:$B,"&gt;="&amp;$D2281,DATA_GOC!$B:$B,"&lt;="&amp;$E2281))</f>
        <v/>
      </c>
      <c r="J2281" s="59">
        <f t="shared" si="28"/>
        <v>0</v>
      </c>
      <c r="K2281" s="59">
        <f t="shared" si="29"/>
        <v>0</v>
      </c>
      <c r="L2281" s="59">
        <f t="shared" si="30"/>
        <v>0</v>
      </c>
      <c r="M2281" s="59">
        <f t="shared" si="31"/>
        <v>0</v>
      </c>
    </row>
    <row r="2282" ht="15.0" hidden="1" customHeight="1">
      <c r="A2282" s="59">
        <f t="shared" si="20"/>
        <v>35</v>
      </c>
      <c r="B2282" s="59" t="str">
        <f t="shared" si="21"/>
        <v/>
      </c>
      <c r="C2282" s="59" t="str">
        <f t="shared" si="22"/>
        <v/>
      </c>
      <c r="D2282" s="45" t="str">
        <f t="shared" si="23"/>
        <v/>
      </c>
      <c r="E2282" s="45" t="str">
        <f t="shared" si="24"/>
        <v/>
      </c>
      <c r="F2282" s="59" t="str">
        <f t="shared" si="25"/>
        <v/>
      </c>
      <c r="G2282" s="59" t="str">
        <f t="shared" si="26"/>
        <v/>
      </c>
      <c r="H2282" s="59" t="str">
        <f t="shared" si="27"/>
        <v>28C01743</v>
      </c>
      <c r="I2282" s="59" t="str">
        <f>IF(OR($A2282="",$C2282="",$D2282="",$E2282="",$H2282=""),"",SUMIFS(DATA_GOC!$H:$H,DATA_GOC!$A:$A,"BOM",DATA_GOC!$D:$D,$H2282,DATA_GOC!$E:$E,$C2282,DATA_GOC!$F:$F,"Xuất nội bộ từ téc",DATA_GOC!$B:$B,"&gt;="&amp;$D2282,DATA_GOC!$B:$B,"&lt;="&amp;$E2282))</f>
        <v/>
      </c>
      <c r="J2282" s="59">
        <f t="shared" si="28"/>
        <v>0</v>
      </c>
      <c r="K2282" s="59">
        <f t="shared" si="29"/>
        <v>0</v>
      </c>
      <c r="L2282" s="59">
        <f t="shared" si="30"/>
        <v>0</v>
      </c>
      <c r="M2282" s="59">
        <f t="shared" si="31"/>
        <v>0</v>
      </c>
    </row>
    <row r="2283" ht="15.0" hidden="1" customHeight="1">
      <c r="A2283" s="59">
        <f t="shared" si="20"/>
        <v>35</v>
      </c>
      <c r="B2283" s="59" t="str">
        <f t="shared" si="21"/>
        <v/>
      </c>
      <c r="C2283" s="59" t="str">
        <f t="shared" si="22"/>
        <v/>
      </c>
      <c r="D2283" s="45" t="str">
        <f t="shared" si="23"/>
        <v/>
      </c>
      <c r="E2283" s="45" t="str">
        <f t="shared" si="24"/>
        <v/>
      </c>
      <c r="F2283" s="59" t="str">
        <f t="shared" si="25"/>
        <v/>
      </c>
      <c r="G2283" s="59" t="str">
        <f t="shared" si="26"/>
        <v/>
      </c>
      <c r="H2283" s="59" t="str">
        <f t="shared" si="27"/>
        <v>28C02106</v>
      </c>
      <c r="I2283" s="59" t="str">
        <f>IF(OR($A2283="",$C2283="",$D2283="",$E2283="",$H2283=""),"",SUMIFS(DATA_GOC!$H:$H,DATA_GOC!$A:$A,"BOM",DATA_GOC!$D:$D,$H2283,DATA_GOC!$E:$E,$C2283,DATA_GOC!$F:$F,"Xuất nội bộ từ téc",DATA_GOC!$B:$B,"&gt;="&amp;$D2283,DATA_GOC!$B:$B,"&lt;="&amp;$E2283))</f>
        <v/>
      </c>
      <c r="J2283" s="59">
        <f t="shared" si="28"/>
        <v>0</v>
      </c>
      <c r="K2283" s="59">
        <f t="shared" si="29"/>
        <v>0</v>
      </c>
      <c r="L2283" s="59">
        <f t="shared" si="30"/>
        <v>0</v>
      </c>
      <c r="M2283" s="59">
        <f t="shared" si="31"/>
        <v>0</v>
      </c>
    </row>
    <row r="2284" ht="15.0" hidden="1" customHeight="1">
      <c r="A2284" s="59">
        <f t="shared" si="20"/>
        <v>35</v>
      </c>
      <c r="B2284" s="59" t="str">
        <f t="shared" si="21"/>
        <v/>
      </c>
      <c r="C2284" s="59" t="str">
        <f t="shared" si="22"/>
        <v/>
      </c>
      <c r="D2284" s="45" t="str">
        <f t="shared" si="23"/>
        <v/>
      </c>
      <c r="E2284" s="45" t="str">
        <f t="shared" si="24"/>
        <v/>
      </c>
      <c r="F2284" s="59" t="str">
        <f t="shared" si="25"/>
        <v/>
      </c>
      <c r="G2284" s="59" t="str">
        <f t="shared" si="26"/>
        <v/>
      </c>
      <c r="H2284" s="59" t="str">
        <f t="shared" si="27"/>
        <v>28C02410</v>
      </c>
      <c r="I2284" s="59" t="str">
        <f>IF(OR($A2284="",$C2284="",$D2284="",$E2284="",$H2284=""),"",SUMIFS(DATA_GOC!$H:$H,DATA_GOC!$A:$A,"BOM",DATA_GOC!$D:$D,$H2284,DATA_GOC!$E:$E,$C2284,DATA_GOC!$F:$F,"Xuất nội bộ từ téc",DATA_GOC!$B:$B,"&gt;="&amp;$D2284,DATA_GOC!$B:$B,"&lt;="&amp;$E2284))</f>
        <v/>
      </c>
      <c r="J2284" s="59">
        <f t="shared" si="28"/>
        <v>0</v>
      </c>
      <c r="K2284" s="59">
        <f t="shared" si="29"/>
        <v>0</v>
      </c>
      <c r="L2284" s="59">
        <f t="shared" si="30"/>
        <v>0</v>
      </c>
      <c r="M2284" s="59">
        <f t="shared" si="31"/>
        <v>0</v>
      </c>
    </row>
    <row r="2285" ht="15.0" hidden="1" customHeight="1">
      <c r="A2285" s="59">
        <f t="shared" si="20"/>
        <v>35</v>
      </c>
      <c r="B2285" s="59" t="str">
        <f t="shared" si="21"/>
        <v/>
      </c>
      <c r="C2285" s="59" t="str">
        <f t="shared" si="22"/>
        <v/>
      </c>
      <c r="D2285" s="45" t="str">
        <f t="shared" si="23"/>
        <v/>
      </c>
      <c r="E2285" s="45" t="str">
        <f t="shared" si="24"/>
        <v/>
      </c>
      <c r="F2285" s="59" t="str">
        <f t="shared" si="25"/>
        <v/>
      </c>
      <c r="G2285" s="59" t="str">
        <f t="shared" si="26"/>
        <v/>
      </c>
      <c r="H2285" s="59" t="str">
        <f t="shared" si="27"/>
        <v>28C02545</v>
      </c>
      <c r="I2285" s="59" t="str">
        <f>IF(OR($A2285="",$C2285="",$D2285="",$E2285="",$H2285=""),"",SUMIFS(DATA_GOC!$H:$H,DATA_GOC!$A:$A,"BOM",DATA_GOC!$D:$D,$H2285,DATA_GOC!$E:$E,$C2285,DATA_GOC!$F:$F,"Xuất nội bộ từ téc",DATA_GOC!$B:$B,"&gt;="&amp;$D2285,DATA_GOC!$B:$B,"&lt;="&amp;$E2285))</f>
        <v/>
      </c>
      <c r="J2285" s="59">
        <f t="shared" si="28"/>
        <v>0</v>
      </c>
      <c r="K2285" s="59">
        <f t="shared" si="29"/>
        <v>0</v>
      </c>
      <c r="L2285" s="59">
        <f t="shared" si="30"/>
        <v>0</v>
      </c>
      <c r="M2285" s="59">
        <f t="shared" si="31"/>
        <v>0</v>
      </c>
    </row>
    <row r="2286" ht="15.0" hidden="1" customHeight="1">
      <c r="A2286" s="59">
        <f t="shared" si="20"/>
        <v>35</v>
      </c>
      <c r="B2286" s="59" t="str">
        <f t="shared" si="21"/>
        <v/>
      </c>
      <c r="C2286" s="59" t="str">
        <f t="shared" si="22"/>
        <v/>
      </c>
      <c r="D2286" s="45" t="str">
        <f t="shared" si="23"/>
        <v/>
      </c>
      <c r="E2286" s="45" t="str">
        <f t="shared" si="24"/>
        <v/>
      </c>
      <c r="F2286" s="59" t="str">
        <f t="shared" si="25"/>
        <v/>
      </c>
      <c r="G2286" s="59" t="str">
        <f t="shared" si="26"/>
        <v/>
      </c>
      <c r="H2286" s="59" t="str">
        <f t="shared" si="27"/>
        <v>28C02574</v>
      </c>
      <c r="I2286" s="59" t="str">
        <f>IF(OR($A2286="",$C2286="",$D2286="",$E2286="",$H2286=""),"",SUMIFS(DATA_GOC!$H:$H,DATA_GOC!$A:$A,"BOM",DATA_GOC!$D:$D,$H2286,DATA_GOC!$E:$E,$C2286,DATA_GOC!$F:$F,"Xuất nội bộ từ téc",DATA_GOC!$B:$B,"&gt;="&amp;$D2286,DATA_GOC!$B:$B,"&lt;="&amp;$E2286))</f>
        <v/>
      </c>
      <c r="J2286" s="59">
        <f t="shared" si="28"/>
        <v>0</v>
      </c>
      <c r="K2286" s="59">
        <f t="shared" si="29"/>
        <v>0</v>
      </c>
      <c r="L2286" s="59">
        <f t="shared" si="30"/>
        <v>0</v>
      </c>
      <c r="M2286" s="59">
        <f t="shared" si="31"/>
        <v>0</v>
      </c>
    </row>
    <row r="2287" ht="15.0" hidden="1" customHeight="1">
      <c r="A2287" s="59">
        <f t="shared" si="20"/>
        <v>35</v>
      </c>
      <c r="B2287" s="59" t="str">
        <f t="shared" si="21"/>
        <v/>
      </c>
      <c r="C2287" s="59" t="str">
        <f t="shared" si="22"/>
        <v/>
      </c>
      <c r="D2287" s="45" t="str">
        <f t="shared" si="23"/>
        <v/>
      </c>
      <c r="E2287" s="45" t="str">
        <f t="shared" si="24"/>
        <v/>
      </c>
      <c r="F2287" s="59" t="str">
        <f t="shared" si="25"/>
        <v/>
      </c>
      <c r="G2287" s="59" t="str">
        <f t="shared" si="26"/>
        <v/>
      </c>
      <c r="H2287" s="59" t="str">
        <f t="shared" si="27"/>
        <v>28C02770</v>
      </c>
      <c r="I2287" s="59" t="str">
        <f>IF(OR($A2287="",$C2287="",$D2287="",$E2287="",$H2287=""),"",SUMIFS(DATA_GOC!$H:$H,DATA_GOC!$A:$A,"BOM",DATA_GOC!$D:$D,$H2287,DATA_GOC!$E:$E,$C2287,DATA_GOC!$F:$F,"Xuất nội bộ từ téc",DATA_GOC!$B:$B,"&gt;="&amp;$D2287,DATA_GOC!$B:$B,"&lt;="&amp;$E2287))</f>
        <v/>
      </c>
      <c r="J2287" s="59">
        <f t="shared" si="28"/>
        <v>0</v>
      </c>
      <c r="K2287" s="59">
        <f t="shared" si="29"/>
        <v>0</v>
      </c>
      <c r="L2287" s="59">
        <f t="shared" si="30"/>
        <v>0</v>
      </c>
      <c r="M2287" s="59">
        <f t="shared" si="31"/>
        <v>0</v>
      </c>
    </row>
    <row r="2288" ht="15.0" hidden="1" customHeight="1">
      <c r="A2288" s="59">
        <f t="shared" si="20"/>
        <v>35</v>
      </c>
      <c r="B2288" s="59" t="str">
        <f t="shared" si="21"/>
        <v/>
      </c>
      <c r="C2288" s="59" t="str">
        <f t="shared" si="22"/>
        <v/>
      </c>
      <c r="D2288" s="45" t="str">
        <f t="shared" si="23"/>
        <v/>
      </c>
      <c r="E2288" s="45" t="str">
        <f t="shared" si="24"/>
        <v/>
      </c>
      <c r="F2288" s="59" t="str">
        <f t="shared" si="25"/>
        <v/>
      </c>
      <c r="G2288" s="59" t="str">
        <f t="shared" si="26"/>
        <v/>
      </c>
      <c r="H2288" s="59" t="str">
        <f t="shared" si="27"/>
        <v>28C02986</v>
      </c>
      <c r="I2288" s="59" t="str">
        <f>IF(OR($A2288="",$C2288="",$D2288="",$E2288="",$H2288=""),"",SUMIFS(DATA_GOC!$H:$H,DATA_GOC!$A:$A,"BOM",DATA_GOC!$D:$D,$H2288,DATA_GOC!$E:$E,$C2288,DATA_GOC!$F:$F,"Xuất nội bộ từ téc",DATA_GOC!$B:$B,"&gt;="&amp;$D2288,DATA_GOC!$B:$B,"&lt;="&amp;$E2288))</f>
        <v/>
      </c>
      <c r="J2288" s="59">
        <f t="shared" si="28"/>
        <v>0</v>
      </c>
      <c r="K2288" s="59">
        <f t="shared" si="29"/>
        <v>0</v>
      </c>
      <c r="L2288" s="59">
        <f t="shared" si="30"/>
        <v>0</v>
      </c>
      <c r="M2288" s="59">
        <f t="shared" si="31"/>
        <v>0</v>
      </c>
    </row>
    <row r="2289" ht="15.0" hidden="1" customHeight="1">
      <c r="A2289" s="59">
        <f t="shared" si="20"/>
        <v>35</v>
      </c>
      <c r="B2289" s="59" t="str">
        <f t="shared" si="21"/>
        <v/>
      </c>
      <c r="C2289" s="59" t="str">
        <f t="shared" si="22"/>
        <v/>
      </c>
      <c r="D2289" s="45" t="str">
        <f t="shared" si="23"/>
        <v/>
      </c>
      <c r="E2289" s="45" t="str">
        <f t="shared" si="24"/>
        <v/>
      </c>
      <c r="F2289" s="59" t="str">
        <f t="shared" si="25"/>
        <v/>
      </c>
      <c r="G2289" s="59" t="str">
        <f t="shared" si="26"/>
        <v/>
      </c>
      <c r="H2289" s="59" t="str">
        <f t="shared" si="27"/>
        <v>28C03261</v>
      </c>
      <c r="I2289" s="59" t="str">
        <f>IF(OR($A2289="",$C2289="",$D2289="",$E2289="",$H2289=""),"",SUMIFS(DATA_GOC!$H:$H,DATA_GOC!$A:$A,"BOM",DATA_GOC!$D:$D,$H2289,DATA_GOC!$E:$E,$C2289,DATA_GOC!$F:$F,"Xuất nội bộ từ téc",DATA_GOC!$B:$B,"&gt;="&amp;$D2289,DATA_GOC!$B:$B,"&lt;="&amp;$E2289))</f>
        <v/>
      </c>
      <c r="J2289" s="59">
        <f t="shared" si="28"/>
        <v>0</v>
      </c>
      <c r="K2289" s="59">
        <f t="shared" si="29"/>
        <v>0</v>
      </c>
      <c r="L2289" s="59">
        <f t="shared" si="30"/>
        <v>0</v>
      </c>
      <c r="M2289" s="59">
        <f t="shared" si="31"/>
        <v>0</v>
      </c>
    </row>
    <row r="2290" ht="15.0" hidden="1" customHeight="1">
      <c r="A2290" s="59">
        <f t="shared" si="20"/>
        <v>35</v>
      </c>
      <c r="B2290" s="59" t="str">
        <f t="shared" si="21"/>
        <v/>
      </c>
      <c r="C2290" s="59" t="str">
        <f t="shared" si="22"/>
        <v/>
      </c>
      <c r="D2290" s="45" t="str">
        <f t="shared" si="23"/>
        <v/>
      </c>
      <c r="E2290" s="45" t="str">
        <f t="shared" si="24"/>
        <v/>
      </c>
      <c r="F2290" s="59" t="str">
        <f t="shared" si="25"/>
        <v/>
      </c>
      <c r="G2290" s="59" t="str">
        <f t="shared" si="26"/>
        <v/>
      </c>
      <c r="H2290" s="59" t="str">
        <f t="shared" si="27"/>
        <v>28C03323</v>
      </c>
      <c r="I2290" s="59" t="str">
        <f>IF(OR($A2290="",$C2290="",$D2290="",$E2290="",$H2290=""),"",SUMIFS(DATA_GOC!$H:$H,DATA_GOC!$A:$A,"BOM",DATA_GOC!$D:$D,$H2290,DATA_GOC!$E:$E,$C2290,DATA_GOC!$F:$F,"Xuất nội bộ từ téc",DATA_GOC!$B:$B,"&gt;="&amp;$D2290,DATA_GOC!$B:$B,"&lt;="&amp;$E2290))</f>
        <v/>
      </c>
      <c r="J2290" s="59">
        <f t="shared" si="28"/>
        <v>0</v>
      </c>
      <c r="K2290" s="59">
        <f t="shared" si="29"/>
        <v>0</v>
      </c>
      <c r="L2290" s="59">
        <f t="shared" si="30"/>
        <v>0</v>
      </c>
      <c r="M2290" s="59">
        <f t="shared" si="31"/>
        <v>0</v>
      </c>
    </row>
    <row r="2291" ht="15.0" hidden="1" customHeight="1">
      <c r="A2291" s="59">
        <f t="shared" si="20"/>
        <v>35</v>
      </c>
      <c r="B2291" s="59" t="str">
        <f t="shared" si="21"/>
        <v/>
      </c>
      <c r="C2291" s="59" t="str">
        <f t="shared" si="22"/>
        <v/>
      </c>
      <c r="D2291" s="45" t="str">
        <f t="shared" si="23"/>
        <v/>
      </c>
      <c r="E2291" s="45" t="str">
        <f t="shared" si="24"/>
        <v/>
      </c>
      <c r="F2291" s="59" t="str">
        <f t="shared" si="25"/>
        <v/>
      </c>
      <c r="G2291" s="59" t="str">
        <f t="shared" si="26"/>
        <v/>
      </c>
      <c r="H2291" s="59" t="str">
        <f t="shared" si="27"/>
        <v>28C03385</v>
      </c>
      <c r="I2291" s="59" t="str">
        <f>IF(OR($A2291="",$C2291="",$D2291="",$E2291="",$H2291=""),"",SUMIFS(DATA_GOC!$H:$H,DATA_GOC!$A:$A,"BOM",DATA_GOC!$D:$D,$H2291,DATA_GOC!$E:$E,$C2291,DATA_GOC!$F:$F,"Xuất nội bộ từ téc",DATA_GOC!$B:$B,"&gt;="&amp;$D2291,DATA_GOC!$B:$B,"&lt;="&amp;$E2291))</f>
        <v/>
      </c>
      <c r="J2291" s="59">
        <f t="shared" si="28"/>
        <v>0</v>
      </c>
      <c r="K2291" s="59">
        <f t="shared" si="29"/>
        <v>0</v>
      </c>
      <c r="L2291" s="59">
        <f t="shared" si="30"/>
        <v>0</v>
      </c>
      <c r="M2291" s="59">
        <f t="shared" si="31"/>
        <v>0</v>
      </c>
    </row>
    <row r="2292" ht="15.0" hidden="1" customHeight="1">
      <c r="A2292" s="59">
        <f t="shared" si="20"/>
        <v>35</v>
      </c>
      <c r="B2292" s="59" t="str">
        <f t="shared" si="21"/>
        <v/>
      </c>
      <c r="C2292" s="59" t="str">
        <f t="shared" si="22"/>
        <v/>
      </c>
      <c r="D2292" s="45" t="str">
        <f t="shared" si="23"/>
        <v/>
      </c>
      <c r="E2292" s="45" t="str">
        <f t="shared" si="24"/>
        <v/>
      </c>
      <c r="F2292" s="59" t="str">
        <f t="shared" si="25"/>
        <v/>
      </c>
      <c r="G2292" s="59" t="str">
        <f t="shared" si="26"/>
        <v/>
      </c>
      <c r="H2292" s="59" t="str">
        <f t="shared" si="27"/>
        <v>28C03652</v>
      </c>
      <c r="I2292" s="59" t="str">
        <f>IF(OR($A2292="",$C2292="",$D2292="",$E2292="",$H2292=""),"",SUMIFS(DATA_GOC!$H:$H,DATA_GOC!$A:$A,"BOM",DATA_GOC!$D:$D,$H2292,DATA_GOC!$E:$E,$C2292,DATA_GOC!$F:$F,"Xuất nội bộ từ téc",DATA_GOC!$B:$B,"&gt;="&amp;$D2292,DATA_GOC!$B:$B,"&lt;="&amp;$E2292))</f>
        <v/>
      </c>
      <c r="J2292" s="59">
        <f t="shared" si="28"/>
        <v>0</v>
      </c>
      <c r="K2292" s="59">
        <f t="shared" si="29"/>
        <v>0</v>
      </c>
      <c r="L2292" s="59">
        <f t="shared" si="30"/>
        <v>0</v>
      </c>
      <c r="M2292" s="59">
        <f t="shared" si="31"/>
        <v>0</v>
      </c>
    </row>
    <row r="2293" ht="15.0" hidden="1" customHeight="1">
      <c r="A2293" s="59">
        <f t="shared" si="20"/>
        <v>35</v>
      </c>
      <c r="B2293" s="59" t="str">
        <f t="shared" si="21"/>
        <v/>
      </c>
      <c r="C2293" s="59" t="str">
        <f t="shared" si="22"/>
        <v/>
      </c>
      <c r="D2293" s="45" t="str">
        <f t="shared" si="23"/>
        <v/>
      </c>
      <c r="E2293" s="45" t="str">
        <f t="shared" si="24"/>
        <v/>
      </c>
      <c r="F2293" s="59" t="str">
        <f t="shared" si="25"/>
        <v/>
      </c>
      <c r="G2293" s="59" t="str">
        <f t="shared" si="26"/>
        <v/>
      </c>
      <c r="H2293" s="59" t="str">
        <f t="shared" si="27"/>
        <v>28C03695</v>
      </c>
      <c r="I2293" s="59" t="str">
        <f>IF(OR($A2293="",$C2293="",$D2293="",$E2293="",$H2293=""),"",SUMIFS(DATA_GOC!$H:$H,DATA_GOC!$A:$A,"BOM",DATA_GOC!$D:$D,$H2293,DATA_GOC!$E:$E,$C2293,DATA_GOC!$F:$F,"Xuất nội bộ từ téc",DATA_GOC!$B:$B,"&gt;="&amp;$D2293,DATA_GOC!$B:$B,"&lt;="&amp;$E2293))</f>
        <v/>
      </c>
      <c r="J2293" s="59">
        <f t="shared" si="28"/>
        <v>0</v>
      </c>
      <c r="K2293" s="59">
        <f t="shared" si="29"/>
        <v>0</v>
      </c>
      <c r="L2293" s="59">
        <f t="shared" si="30"/>
        <v>0</v>
      </c>
      <c r="M2293" s="59">
        <f t="shared" si="31"/>
        <v>0</v>
      </c>
    </row>
    <row r="2294" ht="15.0" hidden="1" customHeight="1">
      <c r="A2294" s="59">
        <f t="shared" si="20"/>
        <v>35</v>
      </c>
      <c r="B2294" s="59" t="str">
        <f t="shared" si="21"/>
        <v/>
      </c>
      <c r="C2294" s="59" t="str">
        <f t="shared" si="22"/>
        <v/>
      </c>
      <c r="D2294" s="45" t="str">
        <f t="shared" si="23"/>
        <v/>
      </c>
      <c r="E2294" s="45" t="str">
        <f t="shared" si="24"/>
        <v/>
      </c>
      <c r="F2294" s="59" t="str">
        <f t="shared" si="25"/>
        <v/>
      </c>
      <c r="G2294" s="59" t="str">
        <f t="shared" si="26"/>
        <v/>
      </c>
      <c r="H2294" s="59" t="str">
        <f t="shared" si="27"/>
        <v>28C03927</v>
      </c>
      <c r="I2294" s="59" t="str">
        <f>IF(OR($A2294="",$C2294="",$D2294="",$E2294="",$H2294=""),"",SUMIFS(DATA_GOC!$H:$H,DATA_GOC!$A:$A,"BOM",DATA_GOC!$D:$D,$H2294,DATA_GOC!$E:$E,$C2294,DATA_GOC!$F:$F,"Xuất nội bộ từ téc",DATA_GOC!$B:$B,"&gt;="&amp;$D2294,DATA_GOC!$B:$B,"&lt;="&amp;$E2294))</f>
        <v/>
      </c>
      <c r="J2294" s="59">
        <f t="shared" si="28"/>
        <v>0</v>
      </c>
      <c r="K2294" s="59">
        <f t="shared" si="29"/>
        <v>0</v>
      </c>
      <c r="L2294" s="59">
        <f t="shared" si="30"/>
        <v>0</v>
      </c>
      <c r="M2294" s="59">
        <f t="shared" si="31"/>
        <v>0</v>
      </c>
    </row>
    <row r="2295" ht="15.0" hidden="1" customHeight="1">
      <c r="A2295" s="59">
        <f t="shared" si="20"/>
        <v>35</v>
      </c>
      <c r="B2295" s="59" t="str">
        <f t="shared" si="21"/>
        <v/>
      </c>
      <c r="C2295" s="59" t="str">
        <f t="shared" si="22"/>
        <v/>
      </c>
      <c r="D2295" s="45" t="str">
        <f t="shared" si="23"/>
        <v/>
      </c>
      <c r="E2295" s="45" t="str">
        <f t="shared" si="24"/>
        <v/>
      </c>
      <c r="F2295" s="59" t="str">
        <f t="shared" si="25"/>
        <v/>
      </c>
      <c r="G2295" s="59" t="str">
        <f t="shared" si="26"/>
        <v/>
      </c>
      <c r="H2295" s="59" t="str">
        <f t="shared" si="27"/>
        <v>28C04509</v>
      </c>
      <c r="I2295" s="59" t="str">
        <f>IF(OR($A2295="",$C2295="",$D2295="",$E2295="",$H2295=""),"",SUMIFS(DATA_GOC!$H:$H,DATA_GOC!$A:$A,"BOM",DATA_GOC!$D:$D,$H2295,DATA_GOC!$E:$E,$C2295,DATA_GOC!$F:$F,"Xuất nội bộ từ téc",DATA_GOC!$B:$B,"&gt;="&amp;$D2295,DATA_GOC!$B:$B,"&lt;="&amp;$E2295))</f>
        <v/>
      </c>
      <c r="J2295" s="59">
        <f t="shared" si="28"/>
        <v>0</v>
      </c>
      <c r="K2295" s="59">
        <f t="shared" si="29"/>
        <v>0</v>
      </c>
      <c r="L2295" s="59">
        <f t="shared" si="30"/>
        <v>0</v>
      </c>
      <c r="M2295" s="59">
        <f t="shared" si="31"/>
        <v>0</v>
      </c>
    </row>
    <row r="2296" ht="15.0" hidden="1" customHeight="1">
      <c r="A2296" s="59">
        <f t="shared" si="20"/>
        <v>35</v>
      </c>
      <c r="B2296" s="59" t="str">
        <f t="shared" si="21"/>
        <v/>
      </c>
      <c r="C2296" s="59" t="str">
        <f t="shared" si="22"/>
        <v/>
      </c>
      <c r="D2296" s="45" t="str">
        <f t="shared" si="23"/>
        <v/>
      </c>
      <c r="E2296" s="45" t="str">
        <f t="shared" si="24"/>
        <v/>
      </c>
      <c r="F2296" s="59" t="str">
        <f t="shared" si="25"/>
        <v/>
      </c>
      <c r="G2296" s="59" t="str">
        <f t="shared" si="26"/>
        <v/>
      </c>
      <c r="H2296" s="59" t="str">
        <f t="shared" si="27"/>
        <v>28C04536</v>
      </c>
      <c r="I2296" s="59" t="str">
        <f>IF(OR($A2296="",$C2296="",$D2296="",$E2296="",$H2296=""),"",SUMIFS(DATA_GOC!$H:$H,DATA_GOC!$A:$A,"BOM",DATA_GOC!$D:$D,$H2296,DATA_GOC!$E:$E,$C2296,DATA_GOC!$F:$F,"Xuất nội bộ từ téc",DATA_GOC!$B:$B,"&gt;="&amp;$D2296,DATA_GOC!$B:$B,"&lt;="&amp;$E2296))</f>
        <v/>
      </c>
      <c r="J2296" s="59">
        <f t="shared" si="28"/>
        <v>0</v>
      </c>
      <c r="K2296" s="59">
        <f t="shared" si="29"/>
        <v>0</v>
      </c>
      <c r="L2296" s="59">
        <f t="shared" si="30"/>
        <v>0</v>
      </c>
      <c r="M2296" s="59">
        <f t="shared" si="31"/>
        <v>0</v>
      </c>
    </row>
    <row r="2297" ht="15.0" hidden="1" customHeight="1">
      <c r="A2297" s="59">
        <f t="shared" si="20"/>
        <v>35</v>
      </c>
      <c r="B2297" s="59" t="str">
        <f t="shared" si="21"/>
        <v/>
      </c>
      <c r="C2297" s="59" t="str">
        <f t="shared" si="22"/>
        <v/>
      </c>
      <c r="D2297" s="45" t="str">
        <f t="shared" si="23"/>
        <v/>
      </c>
      <c r="E2297" s="45" t="str">
        <f t="shared" si="24"/>
        <v/>
      </c>
      <c r="F2297" s="59" t="str">
        <f t="shared" si="25"/>
        <v/>
      </c>
      <c r="G2297" s="59" t="str">
        <f t="shared" si="26"/>
        <v/>
      </c>
      <c r="H2297" s="59" t="str">
        <f t="shared" si="27"/>
        <v>28C04576</v>
      </c>
      <c r="I2297" s="59" t="str">
        <f>IF(OR($A2297="",$C2297="",$D2297="",$E2297="",$H2297=""),"",SUMIFS(DATA_GOC!$H:$H,DATA_GOC!$A:$A,"BOM",DATA_GOC!$D:$D,$H2297,DATA_GOC!$E:$E,$C2297,DATA_GOC!$F:$F,"Xuất nội bộ từ téc",DATA_GOC!$B:$B,"&gt;="&amp;$D2297,DATA_GOC!$B:$B,"&lt;="&amp;$E2297))</f>
        <v/>
      </c>
      <c r="J2297" s="59">
        <f t="shared" si="28"/>
        <v>0</v>
      </c>
      <c r="K2297" s="59">
        <f t="shared" si="29"/>
        <v>0</v>
      </c>
      <c r="L2297" s="59">
        <f t="shared" si="30"/>
        <v>0</v>
      </c>
      <c r="M2297" s="59">
        <f t="shared" si="31"/>
        <v>0</v>
      </c>
    </row>
    <row r="2298" ht="15.0" hidden="1" customHeight="1">
      <c r="A2298" s="59">
        <f t="shared" si="20"/>
        <v>35</v>
      </c>
      <c r="B2298" s="59" t="str">
        <f t="shared" si="21"/>
        <v/>
      </c>
      <c r="C2298" s="59" t="str">
        <f t="shared" si="22"/>
        <v/>
      </c>
      <c r="D2298" s="45" t="str">
        <f t="shared" si="23"/>
        <v/>
      </c>
      <c r="E2298" s="45" t="str">
        <f t="shared" si="24"/>
        <v/>
      </c>
      <c r="F2298" s="59" t="str">
        <f t="shared" si="25"/>
        <v/>
      </c>
      <c r="G2298" s="59" t="str">
        <f t="shared" si="26"/>
        <v/>
      </c>
      <c r="H2298" s="59" t="str">
        <f t="shared" si="27"/>
        <v>28C05090</v>
      </c>
      <c r="I2298" s="59" t="str">
        <f>IF(OR($A2298="",$C2298="",$D2298="",$E2298="",$H2298=""),"",SUMIFS(DATA_GOC!$H:$H,DATA_GOC!$A:$A,"BOM",DATA_GOC!$D:$D,$H2298,DATA_GOC!$E:$E,$C2298,DATA_GOC!$F:$F,"Xuất nội bộ từ téc",DATA_GOC!$B:$B,"&gt;="&amp;$D2298,DATA_GOC!$B:$B,"&lt;="&amp;$E2298))</f>
        <v/>
      </c>
      <c r="J2298" s="59">
        <f t="shared" si="28"/>
        <v>0</v>
      </c>
      <c r="K2298" s="59">
        <f t="shared" si="29"/>
        <v>0</v>
      </c>
      <c r="L2298" s="59">
        <f t="shared" si="30"/>
        <v>0</v>
      </c>
      <c r="M2298" s="59">
        <f t="shared" si="31"/>
        <v>0</v>
      </c>
    </row>
    <row r="2299" ht="15.0" hidden="1" customHeight="1">
      <c r="A2299" s="59">
        <f t="shared" si="20"/>
        <v>35</v>
      </c>
      <c r="B2299" s="59" t="str">
        <f t="shared" si="21"/>
        <v/>
      </c>
      <c r="C2299" s="59" t="str">
        <f t="shared" si="22"/>
        <v/>
      </c>
      <c r="D2299" s="45" t="str">
        <f t="shared" si="23"/>
        <v/>
      </c>
      <c r="E2299" s="45" t="str">
        <f t="shared" si="24"/>
        <v/>
      </c>
      <c r="F2299" s="59" t="str">
        <f t="shared" si="25"/>
        <v/>
      </c>
      <c r="G2299" s="59" t="str">
        <f t="shared" si="26"/>
        <v/>
      </c>
      <c r="H2299" s="59" t="str">
        <f t="shared" si="27"/>
        <v>28C05345</v>
      </c>
      <c r="I2299" s="59" t="str">
        <f>IF(OR($A2299="",$C2299="",$D2299="",$E2299="",$H2299=""),"",SUMIFS(DATA_GOC!$H:$H,DATA_GOC!$A:$A,"BOM",DATA_GOC!$D:$D,$H2299,DATA_GOC!$E:$E,$C2299,DATA_GOC!$F:$F,"Xuất nội bộ từ téc",DATA_GOC!$B:$B,"&gt;="&amp;$D2299,DATA_GOC!$B:$B,"&lt;="&amp;$E2299))</f>
        <v/>
      </c>
      <c r="J2299" s="59">
        <f t="shared" si="28"/>
        <v>0</v>
      </c>
      <c r="K2299" s="59">
        <f t="shared" si="29"/>
        <v>0</v>
      </c>
      <c r="L2299" s="59">
        <f t="shared" si="30"/>
        <v>0</v>
      </c>
      <c r="M2299" s="59">
        <f t="shared" si="31"/>
        <v>0</v>
      </c>
    </row>
    <row r="2300" ht="15.0" hidden="1" customHeight="1">
      <c r="A2300" s="59">
        <f t="shared" si="20"/>
        <v>35</v>
      </c>
      <c r="B2300" s="59" t="str">
        <f t="shared" si="21"/>
        <v/>
      </c>
      <c r="C2300" s="59" t="str">
        <f t="shared" si="22"/>
        <v/>
      </c>
      <c r="D2300" s="45" t="str">
        <f t="shared" si="23"/>
        <v/>
      </c>
      <c r="E2300" s="45" t="str">
        <f t="shared" si="24"/>
        <v/>
      </c>
      <c r="F2300" s="59" t="str">
        <f t="shared" si="25"/>
        <v/>
      </c>
      <c r="G2300" s="59" t="str">
        <f t="shared" si="26"/>
        <v/>
      </c>
      <c r="H2300" s="59" t="str">
        <f t="shared" si="27"/>
        <v>28C05661</v>
      </c>
      <c r="I2300" s="59" t="str">
        <f>IF(OR($A2300="",$C2300="",$D2300="",$E2300="",$H2300=""),"",SUMIFS(DATA_GOC!$H:$H,DATA_GOC!$A:$A,"BOM",DATA_GOC!$D:$D,$H2300,DATA_GOC!$E:$E,$C2300,DATA_GOC!$F:$F,"Xuất nội bộ từ téc",DATA_GOC!$B:$B,"&gt;="&amp;$D2300,DATA_GOC!$B:$B,"&lt;="&amp;$E2300))</f>
        <v/>
      </c>
      <c r="J2300" s="59">
        <f t="shared" si="28"/>
        <v>0</v>
      </c>
      <c r="K2300" s="59">
        <f t="shared" si="29"/>
        <v>0</v>
      </c>
      <c r="L2300" s="59">
        <f t="shared" si="30"/>
        <v>0</v>
      </c>
      <c r="M2300" s="59">
        <f t="shared" si="31"/>
        <v>0</v>
      </c>
    </row>
    <row r="2301" ht="15.0" hidden="1" customHeight="1">
      <c r="A2301" s="59">
        <f t="shared" si="20"/>
        <v>35</v>
      </c>
      <c r="B2301" s="59" t="str">
        <f t="shared" si="21"/>
        <v/>
      </c>
      <c r="C2301" s="59" t="str">
        <f t="shared" si="22"/>
        <v/>
      </c>
      <c r="D2301" s="45" t="str">
        <f t="shared" si="23"/>
        <v/>
      </c>
      <c r="E2301" s="45" t="str">
        <f t="shared" si="24"/>
        <v/>
      </c>
      <c r="F2301" s="59" t="str">
        <f t="shared" si="25"/>
        <v/>
      </c>
      <c r="G2301" s="59" t="str">
        <f t="shared" si="26"/>
        <v/>
      </c>
      <c r="H2301" s="59" t="str">
        <f t="shared" si="27"/>
        <v>28C05739</v>
      </c>
      <c r="I2301" s="59" t="str">
        <f>IF(OR($A2301="",$C2301="",$D2301="",$E2301="",$H2301=""),"",SUMIFS(DATA_GOC!$H:$H,DATA_GOC!$A:$A,"BOM",DATA_GOC!$D:$D,$H2301,DATA_GOC!$E:$E,$C2301,DATA_GOC!$F:$F,"Xuất nội bộ từ téc",DATA_GOC!$B:$B,"&gt;="&amp;$D2301,DATA_GOC!$B:$B,"&lt;="&amp;$E2301))</f>
        <v/>
      </c>
      <c r="J2301" s="59">
        <f t="shared" si="28"/>
        <v>0</v>
      </c>
      <c r="K2301" s="59">
        <f t="shared" si="29"/>
        <v>0</v>
      </c>
      <c r="L2301" s="59">
        <f t="shared" si="30"/>
        <v>0</v>
      </c>
      <c r="M2301" s="59">
        <f t="shared" si="31"/>
        <v>0</v>
      </c>
    </row>
    <row r="2302" ht="15.0" hidden="1" customHeight="1">
      <c r="A2302" s="59">
        <f t="shared" si="20"/>
        <v>35</v>
      </c>
      <c r="B2302" s="59" t="str">
        <f t="shared" si="21"/>
        <v/>
      </c>
      <c r="C2302" s="59" t="str">
        <f t="shared" si="22"/>
        <v/>
      </c>
      <c r="D2302" s="45" t="str">
        <f t="shared" si="23"/>
        <v/>
      </c>
      <c r="E2302" s="45" t="str">
        <f t="shared" si="24"/>
        <v/>
      </c>
      <c r="F2302" s="59" t="str">
        <f t="shared" si="25"/>
        <v/>
      </c>
      <c r="G2302" s="59" t="str">
        <f t="shared" si="26"/>
        <v/>
      </c>
      <c r="H2302" s="59" t="str">
        <f t="shared" si="27"/>
        <v>28C06369</v>
      </c>
      <c r="I2302" s="59" t="str">
        <f>IF(OR($A2302="",$C2302="",$D2302="",$E2302="",$H2302=""),"",SUMIFS(DATA_GOC!$H:$H,DATA_GOC!$A:$A,"BOM",DATA_GOC!$D:$D,$H2302,DATA_GOC!$E:$E,$C2302,DATA_GOC!$F:$F,"Xuất nội bộ từ téc",DATA_GOC!$B:$B,"&gt;="&amp;$D2302,DATA_GOC!$B:$B,"&lt;="&amp;$E2302))</f>
        <v/>
      </c>
      <c r="J2302" s="59">
        <f t="shared" si="28"/>
        <v>0</v>
      </c>
      <c r="K2302" s="59">
        <f t="shared" si="29"/>
        <v>0</v>
      </c>
      <c r="L2302" s="59">
        <f t="shared" si="30"/>
        <v>0</v>
      </c>
      <c r="M2302" s="59">
        <f t="shared" si="31"/>
        <v>0</v>
      </c>
    </row>
    <row r="2303" ht="15.0" hidden="1" customHeight="1">
      <c r="A2303" s="59">
        <f t="shared" si="20"/>
        <v>35</v>
      </c>
      <c r="B2303" s="59" t="str">
        <f t="shared" si="21"/>
        <v/>
      </c>
      <c r="C2303" s="59" t="str">
        <f t="shared" si="22"/>
        <v/>
      </c>
      <c r="D2303" s="45" t="str">
        <f t="shared" si="23"/>
        <v/>
      </c>
      <c r="E2303" s="45" t="str">
        <f t="shared" si="24"/>
        <v/>
      </c>
      <c r="F2303" s="59" t="str">
        <f t="shared" si="25"/>
        <v/>
      </c>
      <c r="G2303" s="59" t="str">
        <f t="shared" si="26"/>
        <v/>
      </c>
      <c r="H2303" s="59" t="str">
        <f t="shared" si="27"/>
        <v>28C06447</v>
      </c>
      <c r="I2303" s="59" t="str">
        <f>IF(OR($A2303="",$C2303="",$D2303="",$E2303="",$H2303=""),"",SUMIFS(DATA_GOC!$H:$H,DATA_GOC!$A:$A,"BOM",DATA_GOC!$D:$D,$H2303,DATA_GOC!$E:$E,$C2303,DATA_GOC!$F:$F,"Xuất nội bộ từ téc",DATA_GOC!$B:$B,"&gt;="&amp;$D2303,DATA_GOC!$B:$B,"&lt;="&amp;$E2303))</f>
        <v/>
      </c>
      <c r="J2303" s="59">
        <f t="shared" si="28"/>
        <v>0</v>
      </c>
      <c r="K2303" s="59">
        <f t="shared" si="29"/>
        <v>0</v>
      </c>
      <c r="L2303" s="59">
        <f t="shared" si="30"/>
        <v>0</v>
      </c>
      <c r="M2303" s="59">
        <f t="shared" si="31"/>
        <v>0</v>
      </c>
    </row>
    <row r="2304" ht="15.0" hidden="1" customHeight="1">
      <c r="A2304" s="59">
        <f t="shared" si="20"/>
        <v>35</v>
      </c>
      <c r="B2304" s="59" t="str">
        <f t="shared" si="21"/>
        <v/>
      </c>
      <c r="C2304" s="59" t="str">
        <f t="shared" si="22"/>
        <v/>
      </c>
      <c r="D2304" s="45" t="str">
        <f t="shared" si="23"/>
        <v/>
      </c>
      <c r="E2304" s="45" t="str">
        <f t="shared" si="24"/>
        <v/>
      </c>
      <c r="F2304" s="59" t="str">
        <f t="shared" si="25"/>
        <v/>
      </c>
      <c r="G2304" s="59" t="str">
        <f t="shared" si="26"/>
        <v/>
      </c>
      <c r="H2304" s="59" t="str">
        <f t="shared" si="27"/>
        <v>28H00003</v>
      </c>
      <c r="I2304" s="59" t="str">
        <f>IF(OR($A2304="",$C2304="",$D2304="",$E2304="",$H2304=""),"",SUMIFS(DATA_GOC!$H:$H,DATA_GOC!$A:$A,"BOM",DATA_GOC!$D:$D,$H2304,DATA_GOC!$E:$E,$C2304,DATA_GOC!$F:$F,"Xuất nội bộ từ téc",DATA_GOC!$B:$B,"&gt;="&amp;$D2304,DATA_GOC!$B:$B,"&lt;="&amp;$E2304))</f>
        <v/>
      </c>
      <c r="J2304" s="59">
        <f t="shared" si="28"/>
        <v>0</v>
      </c>
      <c r="K2304" s="59">
        <f t="shared" si="29"/>
        <v>0</v>
      </c>
      <c r="L2304" s="59">
        <f t="shared" si="30"/>
        <v>0</v>
      </c>
      <c r="M2304" s="59">
        <f t="shared" si="31"/>
        <v>0</v>
      </c>
    </row>
    <row r="2305" ht="15.0" hidden="1" customHeight="1">
      <c r="A2305" s="59">
        <f t="shared" si="20"/>
        <v>35</v>
      </c>
      <c r="B2305" s="59" t="str">
        <f t="shared" si="21"/>
        <v/>
      </c>
      <c r="C2305" s="59" t="str">
        <f t="shared" si="22"/>
        <v/>
      </c>
      <c r="D2305" s="45" t="str">
        <f t="shared" si="23"/>
        <v/>
      </c>
      <c r="E2305" s="45" t="str">
        <f t="shared" si="24"/>
        <v/>
      </c>
      <c r="F2305" s="59" t="str">
        <f t="shared" si="25"/>
        <v/>
      </c>
      <c r="G2305" s="59" t="str">
        <f t="shared" si="26"/>
        <v/>
      </c>
      <c r="H2305" s="59" t="str">
        <f t="shared" si="27"/>
        <v>28H00061</v>
      </c>
      <c r="I2305" s="59" t="str">
        <f>IF(OR($A2305="",$C2305="",$D2305="",$E2305="",$H2305=""),"",SUMIFS(DATA_GOC!$H:$H,DATA_GOC!$A:$A,"BOM",DATA_GOC!$D:$D,$H2305,DATA_GOC!$E:$E,$C2305,DATA_GOC!$F:$F,"Xuất nội bộ từ téc",DATA_GOC!$B:$B,"&gt;="&amp;$D2305,DATA_GOC!$B:$B,"&lt;="&amp;$E2305))</f>
        <v/>
      </c>
      <c r="J2305" s="59">
        <f t="shared" si="28"/>
        <v>0</v>
      </c>
      <c r="K2305" s="59">
        <f t="shared" si="29"/>
        <v>0</v>
      </c>
      <c r="L2305" s="59">
        <f t="shared" si="30"/>
        <v>0</v>
      </c>
      <c r="M2305" s="59">
        <f t="shared" si="31"/>
        <v>0</v>
      </c>
    </row>
    <row r="2306" ht="15.0" hidden="1" customHeight="1">
      <c r="A2306" s="59">
        <f t="shared" si="20"/>
        <v>35</v>
      </c>
      <c r="B2306" s="59" t="str">
        <f t="shared" si="21"/>
        <v/>
      </c>
      <c r="C2306" s="59" t="str">
        <f t="shared" si="22"/>
        <v/>
      </c>
      <c r="D2306" s="45" t="str">
        <f t="shared" si="23"/>
        <v/>
      </c>
      <c r="E2306" s="45" t="str">
        <f t="shared" si="24"/>
        <v/>
      </c>
      <c r="F2306" s="59" t="str">
        <f t="shared" si="25"/>
        <v/>
      </c>
      <c r="G2306" s="59" t="str">
        <f t="shared" si="26"/>
        <v/>
      </c>
      <c r="H2306" s="59" t="str">
        <f t="shared" si="27"/>
        <v>28H00354</v>
      </c>
      <c r="I2306" s="59" t="str">
        <f>IF(OR($A2306="",$C2306="",$D2306="",$E2306="",$H2306=""),"",SUMIFS(DATA_GOC!$H:$H,DATA_GOC!$A:$A,"BOM",DATA_GOC!$D:$D,$H2306,DATA_GOC!$E:$E,$C2306,DATA_GOC!$F:$F,"Xuất nội bộ từ téc",DATA_GOC!$B:$B,"&gt;="&amp;$D2306,DATA_GOC!$B:$B,"&lt;="&amp;$E2306))</f>
        <v/>
      </c>
      <c r="J2306" s="59">
        <f t="shared" si="28"/>
        <v>0</v>
      </c>
      <c r="K2306" s="59">
        <f t="shared" si="29"/>
        <v>0</v>
      </c>
      <c r="L2306" s="59">
        <f t="shared" si="30"/>
        <v>0</v>
      </c>
      <c r="M2306" s="59">
        <f t="shared" si="31"/>
        <v>0</v>
      </c>
    </row>
    <row r="2307" ht="15.0" hidden="1" customHeight="1">
      <c r="A2307" s="59">
        <f t="shared" si="20"/>
        <v>35</v>
      </c>
      <c r="B2307" s="59" t="str">
        <f t="shared" si="21"/>
        <v/>
      </c>
      <c r="C2307" s="59" t="str">
        <f t="shared" si="22"/>
        <v/>
      </c>
      <c r="D2307" s="45" t="str">
        <f t="shared" si="23"/>
        <v/>
      </c>
      <c r="E2307" s="45" t="str">
        <f t="shared" si="24"/>
        <v/>
      </c>
      <c r="F2307" s="59" t="str">
        <f t="shared" si="25"/>
        <v/>
      </c>
      <c r="G2307" s="59" t="str">
        <f t="shared" si="26"/>
        <v/>
      </c>
      <c r="H2307" s="59" t="str">
        <f t="shared" si="27"/>
        <v>28H00603</v>
      </c>
      <c r="I2307" s="59" t="str">
        <f>IF(OR($A2307="",$C2307="",$D2307="",$E2307="",$H2307=""),"",SUMIFS(DATA_GOC!$H:$H,DATA_GOC!$A:$A,"BOM",DATA_GOC!$D:$D,$H2307,DATA_GOC!$E:$E,$C2307,DATA_GOC!$F:$F,"Xuất nội bộ từ téc",DATA_GOC!$B:$B,"&gt;="&amp;$D2307,DATA_GOC!$B:$B,"&lt;="&amp;$E2307))</f>
        <v/>
      </c>
      <c r="J2307" s="59">
        <f t="shared" si="28"/>
        <v>0</v>
      </c>
      <c r="K2307" s="59">
        <f t="shared" si="29"/>
        <v>0</v>
      </c>
      <c r="L2307" s="59">
        <f t="shared" si="30"/>
        <v>0</v>
      </c>
      <c r="M2307" s="59">
        <f t="shared" si="31"/>
        <v>0</v>
      </c>
    </row>
    <row r="2308" ht="15.0" hidden="1" customHeight="1">
      <c r="A2308" s="59">
        <f t="shared" si="20"/>
        <v>35</v>
      </c>
      <c r="B2308" s="59" t="str">
        <f t="shared" si="21"/>
        <v/>
      </c>
      <c r="C2308" s="59" t="str">
        <f t="shared" si="22"/>
        <v/>
      </c>
      <c r="D2308" s="45" t="str">
        <f t="shared" si="23"/>
        <v/>
      </c>
      <c r="E2308" s="45" t="str">
        <f t="shared" si="24"/>
        <v/>
      </c>
      <c r="F2308" s="59" t="str">
        <f t="shared" si="25"/>
        <v/>
      </c>
      <c r="G2308" s="59" t="str">
        <f t="shared" si="26"/>
        <v/>
      </c>
      <c r="H2308" s="59" t="str">
        <f t="shared" si="27"/>
        <v>28H00609</v>
      </c>
      <c r="I2308" s="59" t="str">
        <f>IF(OR($A2308="",$C2308="",$D2308="",$E2308="",$H2308=""),"",SUMIFS(DATA_GOC!$H:$H,DATA_GOC!$A:$A,"BOM",DATA_GOC!$D:$D,$H2308,DATA_GOC!$E:$E,$C2308,DATA_GOC!$F:$F,"Xuất nội bộ từ téc",DATA_GOC!$B:$B,"&gt;="&amp;$D2308,DATA_GOC!$B:$B,"&lt;="&amp;$E2308))</f>
        <v/>
      </c>
      <c r="J2308" s="59">
        <f t="shared" si="28"/>
        <v>0</v>
      </c>
      <c r="K2308" s="59">
        <f t="shared" si="29"/>
        <v>0</v>
      </c>
      <c r="L2308" s="59">
        <f t="shared" si="30"/>
        <v>0</v>
      </c>
      <c r="M2308" s="59">
        <f t="shared" si="31"/>
        <v>0</v>
      </c>
    </row>
    <row r="2309" ht="15.0" hidden="1" customHeight="1">
      <c r="A2309" s="59">
        <f t="shared" si="20"/>
        <v>35</v>
      </c>
      <c r="B2309" s="59" t="str">
        <f t="shared" si="21"/>
        <v/>
      </c>
      <c r="C2309" s="59" t="str">
        <f t="shared" si="22"/>
        <v/>
      </c>
      <c r="D2309" s="45" t="str">
        <f t="shared" si="23"/>
        <v/>
      </c>
      <c r="E2309" s="45" t="str">
        <f t="shared" si="24"/>
        <v/>
      </c>
      <c r="F2309" s="59" t="str">
        <f t="shared" si="25"/>
        <v/>
      </c>
      <c r="G2309" s="59" t="str">
        <f t="shared" si="26"/>
        <v/>
      </c>
      <c r="H2309" s="59" t="str">
        <f t="shared" si="27"/>
        <v>28H00669</v>
      </c>
      <c r="I2309" s="59" t="str">
        <f>IF(OR($A2309="",$C2309="",$D2309="",$E2309="",$H2309=""),"",SUMIFS(DATA_GOC!$H:$H,DATA_GOC!$A:$A,"BOM",DATA_GOC!$D:$D,$H2309,DATA_GOC!$E:$E,$C2309,DATA_GOC!$F:$F,"Xuất nội bộ từ téc",DATA_GOC!$B:$B,"&gt;="&amp;$D2309,DATA_GOC!$B:$B,"&lt;="&amp;$E2309))</f>
        <v/>
      </c>
      <c r="J2309" s="59">
        <f t="shared" si="28"/>
        <v>0</v>
      </c>
      <c r="K2309" s="59">
        <f t="shared" si="29"/>
        <v>0</v>
      </c>
      <c r="L2309" s="59">
        <f t="shared" si="30"/>
        <v>0</v>
      </c>
      <c r="M2309" s="59">
        <f t="shared" si="31"/>
        <v>0</v>
      </c>
    </row>
    <row r="2310" ht="15.0" hidden="1" customHeight="1">
      <c r="A2310" s="59">
        <f t="shared" si="20"/>
        <v>35</v>
      </c>
      <c r="B2310" s="59" t="str">
        <f t="shared" si="21"/>
        <v/>
      </c>
      <c r="C2310" s="59" t="str">
        <f t="shared" si="22"/>
        <v/>
      </c>
      <c r="D2310" s="45" t="str">
        <f t="shared" si="23"/>
        <v/>
      </c>
      <c r="E2310" s="45" t="str">
        <f t="shared" si="24"/>
        <v/>
      </c>
      <c r="F2310" s="59" t="str">
        <f t="shared" si="25"/>
        <v/>
      </c>
      <c r="G2310" s="59" t="str">
        <f t="shared" si="26"/>
        <v/>
      </c>
      <c r="H2310" s="59" t="str">
        <f t="shared" si="27"/>
        <v>28H00680</v>
      </c>
      <c r="I2310" s="59" t="str">
        <f>IF(OR($A2310="",$C2310="",$D2310="",$E2310="",$H2310=""),"",SUMIFS(DATA_GOC!$H:$H,DATA_GOC!$A:$A,"BOM",DATA_GOC!$D:$D,$H2310,DATA_GOC!$E:$E,$C2310,DATA_GOC!$F:$F,"Xuất nội bộ từ téc",DATA_GOC!$B:$B,"&gt;="&amp;$D2310,DATA_GOC!$B:$B,"&lt;="&amp;$E2310))</f>
        <v/>
      </c>
      <c r="J2310" s="59">
        <f t="shared" si="28"/>
        <v>0</v>
      </c>
      <c r="K2310" s="59">
        <f t="shared" si="29"/>
        <v>0</v>
      </c>
      <c r="L2310" s="59">
        <f t="shared" si="30"/>
        <v>0</v>
      </c>
      <c r="M2310" s="59">
        <f t="shared" si="31"/>
        <v>0</v>
      </c>
    </row>
    <row r="2311" ht="15.0" hidden="1" customHeight="1">
      <c r="A2311" s="59">
        <f t="shared" si="20"/>
        <v>35</v>
      </c>
      <c r="B2311" s="59" t="str">
        <f t="shared" si="21"/>
        <v/>
      </c>
      <c r="C2311" s="59" t="str">
        <f t="shared" si="22"/>
        <v/>
      </c>
      <c r="D2311" s="45" t="str">
        <f t="shared" si="23"/>
        <v/>
      </c>
      <c r="E2311" s="45" t="str">
        <f t="shared" si="24"/>
        <v/>
      </c>
      <c r="F2311" s="59" t="str">
        <f t="shared" si="25"/>
        <v/>
      </c>
      <c r="G2311" s="59" t="str">
        <f t="shared" si="26"/>
        <v/>
      </c>
      <c r="H2311" s="59" t="str">
        <f t="shared" si="27"/>
        <v>28H01070</v>
      </c>
      <c r="I2311" s="59" t="str">
        <f>IF(OR($A2311="",$C2311="",$D2311="",$E2311="",$H2311=""),"",SUMIFS(DATA_GOC!$H:$H,DATA_GOC!$A:$A,"BOM",DATA_GOC!$D:$D,$H2311,DATA_GOC!$E:$E,$C2311,DATA_GOC!$F:$F,"Xuất nội bộ từ téc",DATA_GOC!$B:$B,"&gt;="&amp;$D2311,DATA_GOC!$B:$B,"&lt;="&amp;$E2311))</f>
        <v/>
      </c>
      <c r="J2311" s="59">
        <f t="shared" si="28"/>
        <v>0</v>
      </c>
      <c r="K2311" s="59">
        <f t="shared" si="29"/>
        <v>0</v>
      </c>
      <c r="L2311" s="59">
        <f t="shared" si="30"/>
        <v>0</v>
      </c>
      <c r="M2311" s="59">
        <f t="shared" si="31"/>
        <v>0</v>
      </c>
    </row>
    <row r="2312" ht="15.0" hidden="1" customHeight="1">
      <c r="A2312" s="59">
        <f t="shared" si="20"/>
        <v>35</v>
      </c>
      <c r="B2312" s="59" t="str">
        <f t="shared" si="21"/>
        <v/>
      </c>
      <c r="C2312" s="59" t="str">
        <f t="shared" si="22"/>
        <v/>
      </c>
      <c r="D2312" s="45" t="str">
        <f t="shared" si="23"/>
        <v/>
      </c>
      <c r="E2312" s="45" t="str">
        <f t="shared" si="24"/>
        <v/>
      </c>
      <c r="F2312" s="59" t="str">
        <f t="shared" si="25"/>
        <v/>
      </c>
      <c r="G2312" s="59" t="str">
        <f t="shared" si="26"/>
        <v/>
      </c>
      <c r="H2312" s="59" t="str">
        <f t="shared" si="27"/>
        <v>28H01364</v>
      </c>
      <c r="I2312" s="59" t="str">
        <f>IF(OR($A2312="",$C2312="",$D2312="",$E2312="",$H2312=""),"",SUMIFS(DATA_GOC!$H:$H,DATA_GOC!$A:$A,"BOM",DATA_GOC!$D:$D,$H2312,DATA_GOC!$E:$E,$C2312,DATA_GOC!$F:$F,"Xuất nội bộ từ téc",DATA_GOC!$B:$B,"&gt;="&amp;$D2312,DATA_GOC!$B:$B,"&lt;="&amp;$E2312))</f>
        <v/>
      </c>
      <c r="J2312" s="59">
        <f t="shared" si="28"/>
        <v>0</v>
      </c>
      <c r="K2312" s="59">
        <f t="shared" si="29"/>
        <v>0</v>
      </c>
      <c r="L2312" s="59">
        <f t="shared" si="30"/>
        <v>0</v>
      </c>
      <c r="M2312" s="59">
        <f t="shared" si="31"/>
        <v>0</v>
      </c>
    </row>
    <row r="2313" ht="15.0" hidden="1" customHeight="1">
      <c r="A2313" s="59">
        <f t="shared" si="20"/>
        <v>35</v>
      </c>
      <c r="B2313" s="59" t="str">
        <f t="shared" si="21"/>
        <v/>
      </c>
      <c r="C2313" s="59" t="str">
        <f t="shared" si="22"/>
        <v/>
      </c>
      <c r="D2313" s="45" t="str">
        <f t="shared" si="23"/>
        <v/>
      </c>
      <c r="E2313" s="45" t="str">
        <f t="shared" si="24"/>
        <v/>
      </c>
      <c r="F2313" s="59" t="str">
        <f t="shared" si="25"/>
        <v/>
      </c>
      <c r="G2313" s="59" t="str">
        <f t="shared" si="26"/>
        <v/>
      </c>
      <c r="H2313" s="59" t="str">
        <f t="shared" si="27"/>
        <v>29E17269</v>
      </c>
      <c r="I2313" s="59" t="str">
        <f>IF(OR($A2313="",$C2313="",$D2313="",$E2313="",$H2313=""),"",SUMIFS(DATA_GOC!$H:$H,DATA_GOC!$A:$A,"BOM",DATA_GOC!$D:$D,$H2313,DATA_GOC!$E:$E,$C2313,DATA_GOC!$F:$F,"Xuất nội bộ từ téc",DATA_GOC!$B:$B,"&gt;="&amp;$D2313,DATA_GOC!$B:$B,"&lt;="&amp;$E2313))</f>
        <v/>
      </c>
      <c r="J2313" s="59">
        <f t="shared" si="28"/>
        <v>0</v>
      </c>
      <c r="K2313" s="59">
        <f t="shared" si="29"/>
        <v>0</v>
      </c>
      <c r="L2313" s="59">
        <f t="shared" si="30"/>
        <v>0</v>
      </c>
      <c r="M2313" s="59">
        <f t="shared" si="31"/>
        <v>0</v>
      </c>
    </row>
    <row r="2314" ht="15.0" hidden="1" customHeight="1">
      <c r="A2314" s="59">
        <f t="shared" si="20"/>
        <v>35</v>
      </c>
      <c r="B2314" s="59" t="str">
        <f t="shared" si="21"/>
        <v/>
      </c>
      <c r="C2314" s="59" t="str">
        <f t="shared" si="22"/>
        <v/>
      </c>
      <c r="D2314" s="45" t="str">
        <f t="shared" si="23"/>
        <v/>
      </c>
      <c r="E2314" s="45" t="str">
        <f t="shared" si="24"/>
        <v/>
      </c>
      <c r="F2314" s="59" t="str">
        <f t="shared" si="25"/>
        <v/>
      </c>
      <c r="G2314" s="59" t="str">
        <f t="shared" si="26"/>
        <v/>
      </c>
      <c r="H2314" s="59" t="str">
        <f t="shared" si="27"/>
        <v>29E17273</v>
      </c>
      <c r="I2314" s="59" t="str">
        <f>IF(OR($A2314="",$C2314="",$D2314="",$E2314="",$H2314=""),"",SUMIFS(DATA_GOC!$H:$H,DATA_GOC!$A:$A,"BOM",DATA_GOC!$D:$D,$H2314,DATA_GOC!$E:$E,$C2314,DATA_GOC!$F:$F,"Xuất nội bộ từ téc",DATA_GOC!$B:$B,"&gt;="&amp;$D2314,DATA_GOC!$B:$B,"&lt;="&amp;$E2314))</f>
        <v/>
      </c>
      <c r="J2314" s="59">
        <f t="shared" si="28"/>
        <v>0</v>
      </c>
      <c r="K2314" s="59">
        <f t="shared" si="29"/>
        <v>0</v>
      </c>
      <c r="L2314" s="59">
        <f t="shared" si="30"/>
        <v>0</v>
      </c>
      <c r="M2314" s="59">
        <f t="shared" si="31"/>
        <v>0</v>
      </c>
    </row>
    <row r="2315" ht="15.0" hidden="1" customHeight="1">
      <c r="A2315" s="59">
        <f t="shared" si="20"/>
        <v>35</v>
      </c>
      <c r="B2315" s="59" t="str">
        <f t="shared" si="21"/>
        <v/>
      </c>
      <c r="C2315" s="59" t="str">
        <f t="shared" si="22"/>
        <v/>
      </c>
      <c r="D2315" s="45" t="str">
        <f t="shared" si="23"/>
        <v/>
      </c>
      <c r="E2315" s="45" t="str">
        <f t="shared" si="24"/>
        <v/>
      </c>
      <c r="F2315" s="59" t="str">
        <f t="shared" si="25"/>
        <v/>
      </c>
      <c r="G2315" s="59" t="str">
        <f t="shared" si="26"/>
        <v/>
      </c>
      <c r="H2315" s="59" t="str">
        <f t="shared" si="27"/>
        <v>29E17410</v>
      </c>
      <c r="I2315" s="59" t="str">
        <f>IF(OR($A2315="",$C2315="",$D2315="",$E2315="",$H2315=""),"",SUMIFS(DATA_GOC!$H:$H,DATA_GOC!$A:$A,"BOM",DATA_GOC!$D:$D,$H2315,DATA_GOC!$E:$E,$C2315,DATA_GOC!$F:$F,"Xuất nội bộ từ téc",DATA_GOC!$B:$B,"&gt;="&amp;$D2315,DATA_GOC!$B:$B,"&lt;="&amp;$E2315))</f>
        <v/>
      </c>
      <c r="J2315" s="59">
        <f t="shared" si="28"/>
        <v>0</v>
      </c>
      <c r="K2315" s="59">
        <f t="shared" si="29"/>
        <v>0</v>
      </c>
      <c r="L2315" s="59">
        <f t="shared" si="30"/>
        <v>0</v>
      </c>
      <c r="M2315" s="59">
        <f t="shared" si="31"/>
        <v>0</v>
      </c>
    </row>
    <row r="2316" ht="15.0" hidden="1" customHeight="1">
      <c r="A2316" s="59">
        <f t="shared" si="20"/>
        <v>35</v>
      </c>
      <c r="B2316" s="59" t="str">
        <f t="shared" si="21"/>
        <v/>
      </c>
      <c r="C2316" s="59" t="str">
        <f t="shared" si="22"/>
        <v/>
      </c>
      <c r="D2316" s="45" t="str">
        <f t="shared" si="23"/>
        <v/>
      </c>
      <c r="E2316" s="45" t="str">
        <f t="shared" si="24"/>
        <v/>
      </c>
      <c r="F2316" s="59" t="str">
        <f t="shared" si="25"/>
        <v/>
      </c>
      <c r="G2316" s="59" t="str">
        <f t="shared" si="26"/>
        <v/>
      </c>
      <c r="H2316" s="59" t="str">
        <f t="shared" si="27"/>
        <v>29E17417</v>
      </c>
      <c r="I2316" s="59" t="str">
        <f>IF(OR($A2316="",$C2316="",$D2316="",$E2316="",$H2316=""),"",SUMIFS(DATA_GOC!$H:$H,DATA_GOC!$A:$A,"BOM",DATA_GOC!$D:$D,$H2316,DATA_GOC!$E:$E,$C2316,DATA_GOC!$F:$F,"Xuất nội bộ từ téc",DATA_GOC!$B:$B,"&gt;="&amp;$D2316,DATA_GOC!$B:$B,"&lt;="&amp;$E2316))</f>
        <v/>
      </c>
      <c r="J2316" s="59">
        <f t="shared" si="28"/>
        <v>0</v>
      </c>
      <c r="K2316" s="59">
        <f t="shared" si="29"/>
        <v>0</v>
      </c>
      <c r="L2316" s="59">
        <f t="shared" si="30"/>
        <v>0</v>
      </c>
      <c r="M2316" s="59">
        <f t="shared" si="31"/>
        <v>0</v>
      </c>
    </row>
    <row r="2317" ht="15.0" hidden="1" customHeight="1">
      <c r="A2317" s="59">
        <f t="shared" si="20"/>
        <v>35</v>
      </c>
      <c r="B2317" s="59" t="str">
        <f t="shared" si="21"/>
        <v/>
      </c>
      <c r="C2317" s="59" t="str">
        <f t="shared" si="22"/>
        <v/>
      </c>
      <c r="D2317" s="45" t="str">
        <f t="shared" si="23"/>
        <v/>
      </c>
      <c r="E2317" s="45" t="str">
        <f t="shared" si="24"/>
        <v/>
      </c>
      <c r="F2317" s="59" t="str">
        <f t="shared" si="25"/>
        <v/>
      </c>
      <c r="G2317" s="59" t="str">
        <f t="shared" si="26"/>
        <v/>
      </c>
      <c r="H2317" s="59" t="str">
        <f t="shared" si="27"/>
        <v>29E17539</v>
      </c>
      <c r="I2317" s="59" t="str">
        <f>IF(OR($A2317="",$C2317="",$D2317="",$E2317="",$H2317=""),"",SUMIFS(DATA_GOC!$H:$H,DATA_GOC!$A:$A,"BOM",DATA_GOC!$D:$D,$H2317,DATA_GOC!$E:$E,$C2317,DATA_GOC!$F:$F,"Xuất nội bộ từ téc",DATA_GOC!$B:$B,"&gt;="&amp;$D2317,DATA_GOC!$B:$B,"&lt;="&amp;$E2317))</f>
        <v/>
      </c>
      <c r="J2317" s="59">
        <f t="shared" si="28"/>
        <v>0</v>
      </c>
      <c r="K2317" s="59">
        <f t="shared" si="29"/>
        <v>0</v>
      </c>
      <c r="L2317" s="59">
        <f t="shared" si="30"/>
        <v>0</v>
      </c>
      <c r="M2317" s="59">
        <f t="shared" si="31"/>
        <v>0</v>
      </c>
    </row>
    <row r="2318" ht="15.0" hidden="1" customHeight="1">
      <c r="A2318" s="59">
        <f t="shared" si="20"/>
        <v>35</v>
      </c>
      <c r="B2318" s="59" t="str">
        <f t="shared" si="21"/>
        <v/>
      </c>
      <c r="C2318" s="59" t="str">
        <f t="shared" si="22"/>
        <v/>
      </c>
      <c r="D2318" s="45" t="str">
        <f t="shared" si="23"/>
        <v/>
      </c>
      <c r="E2318" s="45" t="str">
        <f t="shared" si="24"/>
        <v/>
      </c>
      <c r="F2318" s="59" t="str">
        <f t="shared" si="25"/>
        <v/>
      </c>
      <c r="G2318" s="59" t="str">
        <f t="shared" si="26"/>
        <v/>
      </c>
      <c r="H2318" s="59" t="str">
        <f t="shared" si="27"/>
        <v>29E18160</v>
      </c>
      <c r="I2318" s="59" t="str">
        <f>IF(OR($A2318="",$C2318="",$D2318="",$E2318="",$H2318=""),"",SUMIFS(DATA_GOC!$H:$H,DATA_GOC!$A:$A,"BOM",DATA_GOC!$D:$D,$H2318,DATA_GOC!$E:$E,$C2318,DATA_GOC!$F:$F,"Xuất nội bộ từ téc",DATA_GOC!$B:$B,"&gt;="&amp;$D2318,DATA_GOC!$B:$B,"&lt;="&amp;$E2318))</f>
        <v/>
      </c>
      <c r="J2318" s="59">
        <f t="shared" si="28"/>
        <v>0</v>
      </c>
      <c r="K2318" s="59">
        <f t="shared" si="29"/>
        <v>0</v>
      </c>
      <c r="L2318" s="59">
        <f t="shared" si="30"/>
        <v>0</v>
      </c>
      <c r="M2318" s="59">
        <f t="shared" si="31"/>
        <v>0</v>
      </c>
    </row>
    <row r="2319" ht="15.0" hidden="1" customHeight="1">
      <c r="A2319" s="59">
        <f t="shared" si="20"/>
        <v>35</v>
      </c>
      <c r="B2319" s="59" t="str">
        <f t="shared" si="21"/>
        <v/>
      </c>
      <c r="C2319" s="59" t="str">
        <f t="shared" si="22"/>
        <v/>
      </c>
      <c r="D2319" s="45" t="str">
        <f t="shared" si="23"/>
        <v/>
      </c>
      <c r="E2319" s="45" t="str">
        <f t="shared" si="24"/>
        <v/>
      </c>
      <c r="F2319" s="59" t="str">
        <f t="shared" si="25"/>
        <v/>
      </c>
      <c r="G2319" s="59" t="str">
        <f t="shared" si="26"/>
        <v/>
      </c>
      <c r="H2319" s="59" t="str">
        <f t="shared" si="27"/>
        <v>Công trình Asphalt</v>
      </c>
      <c r="I2319" s="59" t="str">
        <f>IF(OR($A2319="",$C2319="",$D2319="",$E2319="",$H2319=""),"",SUMIFS(DATA_GOC!$H:$H,DATA_GOC!$A:$A,"BOM",DATA_GOC!$D:$D,$H2319,DATA_GOC!$E:$E,$C2319,DATA_GOC!$F:$F,"Xuất nội bộ từ téc",DATA_GOC!$B:$B,"&gt;="&amp;$D2319,DATA_GOC!$B:$B,"&lt;="&amp;$E2319))</f>
        <v/>
      </c>
      <c r="J2319" s="59">
        <f t="shared" si="28"/>
        <v>0</v>
      </c>
      <c r="K2319" s="59">
        <f t="shared" si="29"/>
        <v>0</v>
      </c>
      <c r="L2319" s="59">
        <f t="shared" si="30"/>
        <v>0</v>
      </c>
      <c r="M2319" s="59">
        <f t="shared" si="31"/>
        <v>0</v>
      </c>
    </row>
    <row r="2320" ht="15.0" hidden="1" customHeight="1">
      <c r="A2320" s="59">
        <f t="shared" si="20"/>
        <v>35</v>
      </c>
      <c r="B2320" s="59" t="str">
        <f t="shared" si="21"/>
        <v/>
      </c>
      <c r="C2320" s="59" t="str">
        <f t="shared" si="22"/>
        <v/>
      </c>
      <c r="D2320" s="45" t="str">
        <f t="shared" si="23"/>
        <v/>
      </c>
      <c r="E2320" s="45" t="str">
        <f t="shared" si="24"/>
        <v/>
      </c>
      <c r="F2320" s="59" t="str">
        <f t="shared" si="25"/>
        <v/>
      </c>
      <c r="G2320" s="59" t="str">
        <f t="shared" si="26"/>
        <v/>
      </c>
      <c r="H2320" s="59" t="str">
        <f t="shared" si="27"/>
        <v>LG53F</v>
      </c>
      <c r="I2320" s="59" t="str">
        <f>IF(OR($A2320="",$C2320="",$D2320="",$E2320="",$H2320=""),"",SUMIFS(DATA_GOC!$H:$H,DATA_GOC!$A:$A,"BOM",DATA_GOC!$D:$D,$H2320,DATA_GOC!$E:$E,$C2320,DATA_GOC!$F:$F,"Xuất nội bộ từ téc",DATA_GOC!$B:$B,"&gt;="&amp;$D2320,DATA_GOC!$B:$B,"&lt;="&amp;$E2320))</f>
        <v/>
      </c>
      <c r="J2320" s="59">
        <f t="shared" si="28"/>
        <v>0</v>
      </c>
      <c r="K2320" s="59">
        <f t="shared" si="29"/>
        <v>0</v>
      </c>
      <c r="L2320" s="59">
        <f t="shared" si="30"/>
        <v>0</v>
      </c>
      <c r="M2320" s="59">
        <f t="shared" si="31"/>
        <v>0</v>
      </c>
    </row>
    <row r="2321" ht="15.0" hidden="1" customHeight="1">
      <c r="A2321" s="59">
        <f t="shared" si="20"/>
        <v>35</v>
      </c>
      <c r="B2321" s="59" t="str">
        <f t="shared" si="21"/>
        <v/>
      </c>
      <c r="C2321" s="59" t="str">
        <f t="shared" si="22"/>
        <v/>
      </c>
      <c r="D2321" s="45" t="str">
        <f t="shared" si="23"/>
        <v/>
      </c>
      <c r="E2321" s="45" t="str">
        <f t="shared" si="24"/>
        <v/>
      </c>
      <c r="F2321" s="59" t="str">
        <f t="shared" si="25"/>
        <v/>
      </c>
      <c r="G2321" s="59" t="str">
        <f t="shared" si="26"/>
        <v/>
      </c>
      <c r="H2321" s="59" t="str">
        <f t="shared" si="27"/>
        <v>Máy phát điện</v>
      </c>
      <c r="I2321" s="59" t="str">
        <f>IF(OR($A2321="",$C2321="",$D2321="",$E2321="",$H2321=""),"",SUMIFS(DATA_GOC!$H:$H,DATA_GOC!$A:$A,"BOM",DATA_GOC!$D:$D,$H2321,DATA_GOC!$E:$E,$C2321,DATA_GOC!$F:$F,"Xuất nội bộ từ téc",DATA_GOC!$B:$B,"&gt;="&amp;$D2321,DATA_GOC!$B:$B,"&lt;="&amp;$E2321))</f>
        <v/>
      </c>
      <c r="J2321" s="59">
        <f t="shared" si="28"/>
        <v>0</v>
      </c>
      <c r="K2321" s="59">
        <f t="shared" si="29"/>
        <v>0</v>
      </c>
      <c r="L2321" s="59">
        <f t="shared" si="30"/>
        <v>0</v>
      </c>
      <c r="M2321" s="59">
        <f t="shared" si="31"/>
        <v>0</v>
      </c>
    </row>
    <row r="2322" ht="15.0" hidden="1" customHeight="1">
      <c r="A2322" s="59">
        <f t="shared" si="20"/>
        <v>35</v>
      </c>
      <c r="B2322" s="59" t="str">
        <f t="shared" si="21"/>
        <v/>
      </c>
      <c r="C2322" s="59" t="str">
        <f t="shared" si="22"/>
        <v/>
      </c>
      <c r="D2322" s="45" t="str">
        <f t="shared" si="23"/>
        <v/>
      </c>
      <c r="E2322" s="45" t="str">
        <f t="shared" si="24"/>
        <v/>
      </c>
      <c r="F2322" s="59" t="str">
        <f t="shared" si="25"/>
        <v/>
      </c>
      <c r="G2322" s="59" t="str">
        <f t="shared" si="26"/>
        <v/>
      </c>
      <c r="H2322" s="59" t="str">
        <f t="shared" si="27"/>
        <v>Máy rải thảm</v>
      </c>
      <c r="I2322" s="59" t="str">
        <f>IF(OR($A2322="",$C2322="",$D2322="",$E2322="",$H2322=""),"",SUMIFS(DATA_GOC!$H:$H,DATA_GOC!$A:$A,"BOM",DATA_GOC!$D:$D,$H2322,DATA_GOC!$E:$E,$C2322,DATA_GOC!$F:$F,"Xuất nội bộ từ téc",DATA_GOC!$B:$B,"&gt;="&amp;$D2322,DATA_GOC!$B:$B,"&lt;="&amp;$E2322))</f>
        <v/>
      </c>
      <c r="J2322" s="59">
        <f t="shared" si="28"/>
        <v>0</v>
      </c>
      <c r="K2322" s="59">
        <f t="shared" si="29"/>
        <v>0</v>
      </c>
      <c r="L2322" s="59">
        <f t="shared" si="30"/>
        <v>0</v>
      </c>
      <c r="M2322" s="59">
        <f t="shared" si="31"/>
        <v>0</v>
      </c>
    </row>
    <row r="2323" ht="15.0" hidden="1" customHeight="1">
      <c r="A2323" s="59">
        <f t="shared" si="20"/>
        <v>35</v>
      </c>
      <c r="B2323" s="59" t="str">
        <f t="shared" si="21"/>
        <v/>
      </c>
      <c r="C2323" s="59" t="str">
        <f t="shared" si="22"/>
        <v/>
      </c>
      <c r="D2323" s="45" t="str">
        <f t="shared" si="23"/>
        <v/>
      </c>
      <c r="E2323" s="45" t="str">
        <f t="shared" si="24"/>
        <v/>
      </c>
      <c r="F2323" s="59" t="str">
        <f t="shared" si="25"/>
        <v/>
      </c>
      <c r="G2323" s="59" t="str">
        <f t="shared" si="26"/>
        <v/>
      </c>
      <c r="H2323" s="59" t="str">
        <f t="shared" si="27"/>
        <v>Xúc Đào</v>
      </c>
      <c r="I2323" s="59" t="str">
        <f>IF(OR($A2323="",$C2323="",$D2323="",$E2323="",$H2323=""),"",SUMIFS(DATA_GOC!$H:$H,DATA_GOC!$A:$A,"BOM",DATA_GOC!$D:$D,$H2323,DATA_GOC!$E:$E,$C2323,DATA_GOC!$F:$F,"Xuất nội bộ từ téc",DATA_GOC!$B:$B,"&gt;="&amp;$D2323,DATA_GOC!$B:$B,"&lt;="&amp;$E2323))</f>
        <v/>
      </c>
      <c r="J2323" s="59">
        <f t="shared" si="28"/>
        <v>0</v>
      </c>
      <c r="K2323" s="59">
        <f t="shared" si="29"/>
        <v>0</v>
      </c>
      <c r="L2323" s="59">
        <f t="shared" si="30"/>
        <v>0</v>
      </c>
      <c r="M2323" s="59">
        <f t="shared" si="31"/>
        <v>0</v>
      </c>
    </row>
    <row r="2324" ht="15.0" hidden="1" customHeight="1">
      <c r="A2324" s="59">
        <f t="shared" si="20"/>
        <v>35</v>
      </c>
      <c r="B2324" s="59" t="str">
        <f t="shared" si="21"/>
        <v/>
      </c>
      <c r="C2324" s="59" t="str">
        <f t="shared" si="22"/>
        <v/>
      </c>
      <c r="D2324" s="45" t="str">
        <f t="shared" si="23"/>
        <v/>
      </c>
      <c r="E2324" s="45" t="str">
        <f t="shared" si="24"/>
        <v/>
      </c>
      <c r="F2324" s="59" t="str">
        <f t="shared" si="25"/>
        <v/>
      </c>
      <c r="G2324" s="59" t="str">
        <f t="shared" si="26"/>
        <v/>
      </c>
      <c r="H2324" s="59" t="str">
        <f t="shared" si="27"/>
        <v>Xúclật asphalt</v>
      </c>
      <c r="I2324" s="59" t="str">
        <f>IF(OR($A2324="",$C2324="",$D2324="",$E2324="",$H2324=""),"",SUMIFS(DATA_GOC!$H:$H,DATA_GOC!$A:$A,"BOM",DATA_GOC!$D:$D,$H2324,DATA_GOC!$E:$E,$C2324,DATA_GOC!$F:$F,"Xuất nội bộ từ téc",DATA_GOC!$B:$B,"&gt;="&amp;$D2324,DATA_GOC!$B:$B,"&lt;="&amp;$E2324))</f>
        <v/>
      </c>
      <c r="J2324" s="59">
        <f t="shared" si="28"/>
        <v>0</v>
      </c>
      <c r="K2324" s="59">
        <f t="shared" si="29"/>
        <v>0</v>
      </c>
      <c r="L2324" s="59">
        <f t="shared" si="30"/>
        <v>0</v>
      </c>
      <c r="M2324" s="59">
        <f t="shared" si="31"/>
        <v>0</v>
      </c>
    </row>
    <row r="2325" ht="15.0" hidden="1" customHeight="1">
      <c r="A2325" s="59">
        <f t="shared" si="20"/>
        <v>35</v>
      </c>
      <c r="B2325" s="59" t="str">
        <f t="shared" si="21"/>
        <v/>
      </c>
      <c r="C2325" s="59" t="str">
        <f t="shared" si="22"/>
        <v/>
      </c>
      <c r="D2325" s="45" t="str">
        <f t="shared" si="23"/>
        <v/>
      </c>
      <c r="E2325" s="45" t="str">
        <f t="shared" si="24"/>
        <v/>
      </c>
      <c r="F2325" s="59" t="str">
        <f t="shared" si="25"/>
        <v/>
      </c>
      <c r="G2325" s="59" t="str">
        <f t="shared" si="26"/>
        <v/>
      </c>
      <c r="H2325" s="59" t="str">
        <f t="shared" si="27"/>
        <v>Xúclật855H</v>
      </c>
      <c r="I2325" s="59" t="str">
        <f>IF(OR($A2325="",$C2325="",$D2325="",$E2325="",$H2325=""),"",SUMIFS(DATA_GOC!$H:$H,DATA_GOC!$A:$A,"BOM",DATA_GOC!$D:$D,$H2325,DATA_GOC!$E:$E,$C2325,DATA_GOC!$F:$F,"Xuất nội bộ từ téc",DATA_GOC!$B:$B,"&gt;="&amp;$D2325,DATA_GOC!$B:$B,"&lt;="&amp;$E2325))</f>
        <v/>
      </c>
      <c r="J2325" s="59">
        <f t="shared" si="28"/>
        <v>0</v>
      </c>
      <c r="K2325" s="59">
        <f t="shared" si="29"/>
        <v>0</v>
      </c>
      <c r="L2325" s="59">
        <f t="shared" si="30"/>
        <v>0</v>
      </c>
      <c r="M2325" s="59">
        <f t="shared" si="31"/>
        <v>0</v>
      </c>
    </row>
    <row r="2326" ht="15.0" hidden="1" customHeight="1">
      <c r="A2326" s="59">
        <f t="shared" si="20"/>
        <v>35</v>
      </c>
      <c r="B2326" s="59" t="str">
        <f t="shared" si="21"/>
        <v/>
      </c>
      <c r="C2326" s="59" t="str">
        <f t="shared" si="22"/>
        <v/>
      </c>
      <c r="D2326" s="45" t="str">
        <f t="shared" si="23"/>
        <v/>
      </c>
      <c r="E2326" s="45" t="str">
        <f t="shared" si="24"/>
        <v/>
      </c>
      <c r="F2326" s="59" t="str">
        <f t="shared" si="25"/>
        <v/>
      </c>
      <c r="G2326" s="59" t="str">
        <f t="shared" si="26"/>
        <v/>
      </c>
      <c r="H2326" s="59" t="str">
        <f t="shared" si="27"/>
        <v>Xúclật855N</v>
      </c>
      <c r="I2326" s="59" t="str">
        <f>IF(OR($A2326="",$C2326="",$D2326="",$E2326="",$H2326=""),"",SUMIFS(DATA_GOC!$H:$H,DATA_GOC!$A:$A,"BOM",DATA_GOC!$D:$D,$H2326,DATA_GOC!$E:$E,$C2326,DATA_GOC!$F:$F,"Xuất nội bộ từ téc",DATA_GOC!$B:$B,"&gt;="&amp;$D2326,DATA_GOC!$B:$B,"&lt;="&amp;$E2326))</f>
        <v/>
      </c>
      <c r="J2326" s="59">
        <f t="shared" si="28"/>
        <v>0</v>
      </c>
      <c r="K2326" s="59">
        <f t="shared" si="29"/>
        <v>0</v>
      </c>
      <c r="L2326" s="59">
        <f t="shared" si="30"/>
        <v>0</v>
      </c>
      <c r="M2326" s="59">
        <f t="shared" si="31"/>
        <v>0</v>
      </c>
    </row>
    <row r="2327" ht="15.0" hidden="1" customHeight="1">
      <c r="A2327" s="59">
        <f t="shared" si="20"/>
        <v>35</v>
      </c>
      <c r="B2327" s="59" t="str">
        <f t="shared" si="21"/>
        <v/>
      </c>
      <c r="C2327" s="59" t="str">
        <f t="shared" si="22"/>
        <v/>
      </c>
      <c r="D2327" s="45" t="str">
        <f t="shared" si="23"/>
        <v/>
      </c>
      <c r="E2327" s="45" t="str">
        <f t="shared" si="24"/>
        <v/>
      </c>
      <c r="F2327" s="59" t="str">
        <f t="shared" si="25"/>
        <v/>
      </c>
      <c r="G2327" s="59" t="str">
        <f t="shared" si="26"/>
        <v/>
      </c>
      <c r="H2327" s="59" t="str">
        <f t="shared" si="27"/>
        <v>Cát nghiền</v>
      </c>
      <c r="I2327" s="59" t="str">
        <f>IF(OR($A2327="",$C2327="",$D2327="",$E2327="",$H2327=""),"",SUMIFS(DATA_GOC!$H:$H,DATA_GOC!$A:$A,"BOM",DATA_GOC!$D:$D,$H2327,DATA_GOC!$E:$E,$C2327,DATA_GOC!$F:$F,"Xuất nội bộ từ téc",DATA_GOC!$B:$B,"&gt;="&amp;$D2327,DATA_GOC!$B:$B,"&lt;="&amp;$E2327))</f>
        <v/>
      </c>
      <c r="J2327" s="59">
        <f t="shared" si="28"/>
        <v>0</v>
      </c>
      <c r="K2327" s="59">
        <f t="shared" si="29"/>
        <v>0</v>
      </c>
      <c r="L2327" s="59">
        <f t="shared" si="30"/>
        <v>0</v>
      </c>
      <c r="M2327" s="59">
        <f t="shared" si="31"/>
        <v>0</v>
      </c>
    </row>
    <row r="2328" ht="15.0" hidden="1" customHeight="1">
      <c r="A2328" s="59">
        <f t="shared" si="20"/>
        <v>35</v>
      </c>
      <c r="B2328" s="59" t="str">
        <f t="shared" si="21"/>
        <v/>
      </c>
      <c r="C2328" s="59" t="str">
        <f t="shared" si="22"/>
        <v/>
      </c>
      <c r="D2328" s="45" t="str">
        <f t="shared" si="23"/>
        <v/>
      </c>
      <c r="E2328" s="45" t="str">
        <f t="shared" si="24"/>
        <v/>
      </c>
      <c r="F2328" s="59" t="str">
        <f t="shared" si="25"/>
        <v/>
      </c>
      <c r="G2328" s="59" t="str">
        <f t="shared" si="26"/>
        <v/>
      </c>
      <c r="H2328" s="59" t="str">
        <f t="shared" si="27"/>
        <v>28C02973</v>
      </c>
      <c r="I2328" s="59" t="str">
        <f>IF(OR($A2328="",$C2328="",$D2328="",$E2328="",$H2328=""),"",SUMIFS(DATA_GOC!$H:$H,DATA_GOC!$A:$A,"BOM",DATA_GOC!$D:$D,$H2328,DATA_GOC!$E:$E,$C2328,DATA_GOC!$F:$F,"Xuất nội bộ từ téc",DATA_GOC!$B:$B,"&gt;="&amp;$D2328,DATA_GOC!$B:$B,"&lt;="&amp;$E2328))</f>
        <v/>
      </c>
      <c r="J2328" s="59">
        <f t="shared" si="28"/>
        <v>0</v>
      </c>
      <c r="K2328" s="59">
        <f t="shared" si="29"/>
        <v>0</v>
      </c>
      <c r="L2328" s="59">
        <f t="shared" si="30"/>
        <v>0</v>
      </c>
      <c r="M2328" s="59">
        <f t="shared" si="31"/>
        <v>0</v>
      </c>
    </row>
    <row r="2329" ht="15.0" hidden="1" customHeight="1">
      <c r="A2329" s="59">
        <f t="shared" si="20"/>
        <v>35</v>
      </c>
      <c r="B2329" s="59" t="str">
        <f t="shared" si="21"/>
        <v/>
      </c>
      <c r="C2329" s="59" t="str">
        <f t="shared" si="22"/>
        <v/>
      </c>
      <c r="D2329" s="45" t="str">
        <f t="shared" si="23"/>
        <v/>
      </c>
      <c r="E2329" s="45" t="str">
        <f t="shared" si="24"/>
        <v/>
      </c>
      <c r="F2329" s="59" t="str">
        <f t="shared" si="25"/>
        <v/>
      </c>
      <c r="G2329" s="59" t="str">
        <f t="shared" si="26"/>
        <v/>
      </c>
      <c r="H2329" s="59" t="str">
        <f t="shared" si="27"/>
        <v>28C03044</v>
      </c>
      <c r="I2329" s="59" t="str">
        <f>IF(OR($A2329="",$C2329="",$D2329="",$E2329="",$H2329=""),"",SUMIFS(DATA_GOC!$H:$H,DATA_GOC!$A:$A,"BOM",DATA_GOC!$D:$D,$H2329,DATA_GOC!$E:$E,$C2329,DATA_GOC!$F:$F,"Xuất nội bộ từ téc",DATA_GOC!$B:$B,"&gt;="&amp;$D2329,DATA_GOC!$B:$B,"&lt;="&amp;$E2329))</f>
        <v/>
      </c>
      <c r="J2329" s="59">
        <f t="shared" si="28"/>
        <v>0</v>
      </c>
      <c r="K2329" s="59">
        <f t="shared" si="29"/>
        <v>0</v>
      </c>
      <c r="L2329" s="59">
        <f t="shared" si="30"/>
        <v>0</v>
      </c>
      <c r="M2329" s="59">
        <f t="shared" si="31"/>
        <v>0</v>
      </c>
    </row>
    <row r="2330" ht="15.0" hidden="1" customHeight="1">
      <c r="A2330" s="59">
        <f t="shared" si="20"/>
        <v>35</v>
      </c>
      <c r="B2330" s="59" t="str">
        <f t="shared" si="21"/>
        <v/>
      </c>
      <c r="C2330" s="59" t="str">
        <f t="shared" si="22"/>
        <v/>
      </c>
      <c r="D2330" s="45" t="str">
        <f t="shared" si="23"/>
        <v/>
      </c>
      <c r="E2330" s="45" t="str">
        <f t="shared" si="24"/>
        <v/>
      </c>
      <c r="F2330" s="59" t="str">
        <f t="shared" si="25"/>
        <v/>
      </c>
      <c r="G2330" s="59" t="str">
        <f t="shared" si="26"/>
        <v/>
      </c>
      <c r="H2330" s="59" t="str">
        <f t="shared" si="27"/>
        <v>Máy lu lốp</v>
      </c>
      <c r="I2330" s="59" t="str">
        <f>IF(OR($A2330="",$C2330="",$D2330="",$E2330="",$H2330=""),"",SUMIFS(DATA_GOC!$H:$H,DATA_GOC!$A:$A,"BOM",DATA_GOC!$D:$D,$H2330,DATA_GOC!$E:$E,$C2330,DATA_GOC!$F:$F,"Xuất nội bộ từ téc",DATA_GOC!$B:$B,"&gt;="&amp;$D2330,DATA_GOC!$B:$B,"&lt;="&amp;$E2330))</f>
        <v/>
      </c>
      <c r="J2330" s="59">
        <f t="shared" si="28"/>
        <v>0</v>
      </c>
      <c r="K2330" s="59">
        <f t="shared" si="29"/>
        <v>0</v>
      </c>
      <c r="L2330" s="59">
        <f t="shared" si="30"/>
        <v>0</v>
      </c>
      <c r="M2330" s="59">
        <f t="shared" si="31"/>
        <v>0</v>
      </c>
    </row>
    <row r="2331" ht="15.0" hidden="1" customHeight="1">
      <c r="A2331" s="59">
        <f t="shared" si="20"/>
        <v>35</v>
      </c>
      <c r="B2331" s="59" t="str">
        <f t="shared" si="21"/>
        <v/>
      </c>
      <c r="C2331" s="59" t="str">
        <f t="shared" si="22"/>
        <v/>
      </c>
      <c r="D2331" s="45" t="str">
        <f t="shared" si="23"/>
        <v/>
      </c>
      <c r="E2331" s="45" t="str">
        <f t="shared" si="24"/>
        <v/>
      </c>
      <c r="F2331" s="59" t="str">
        <f t="shared" si="25"/>
        <v/>
      </c>
      <c r="G2331" s="59" t="str">
        <f t="shared" si="26"/>
        <v/>
      </c>
      <c r="H2331" s="59" t="str">
        <f t="shared" si="27"/>
        <v>Xe 600148</v>
      </c>
      <c r="I2331" s="59" t="str">
        <f>IF(OR($A2331="",$C2331="",$D2331="",$E2331="",$H2331=""),"",SUMIFS(DATA_GOC!$H:$H,DATA_GOC!$A:$A,"BOM",DATA_GOC!$D:$D,$H2331,DATA_GOC!$E:$E,$C2331,DATA_GOC!$F:$F,"Xuất nội bộ từ téc",DATA_GOC!$B:$B,"&gt;="&amp;$D2331,DATA_GOC!$B:$B,"&lt;="&amp;$E2331))</f>
        <v/>
      </c>
      <c r="J2331" s="59">
        <f t="shared" si="28"/>
        <v>0</v>
      </c>
      <c r="K2331" s="59">
        <f t="shared" si="29"/>
        <v>0</v>
      </c>
      <c r="L2331" s="59">
        <f t="shared" si="30"/>
        <v>0</v>
      </c>
      <c r="M2331" s="59">
        <f t="shared" si="31"/>
        <v>0</v>
      </c>
    </row>
    <row r="2332" ht="15.0" hidden="1" customHeight="1">
      <c r="A2332" s="59">
        <f t="shared" si="20"/>
        <v>35</v>
      </c>
      <c r="B2332" s="59" t="str">
        <f t="shared" si="21"/>
        <v/>
      </c>
      <c r="C2332" s="59" t="str">
        <f t="shared" si="22"/>
        <v/>
      </c>
      <c r="D2332" s="45" t="str">
        <f t="shared" si="23"/>
        <v/>
      </c>
      <c r="E2332" s="45" t="str">
        <f t="shared" si="24"/>
        <v/>
      </c>
      <c r="F2332" s="59" t="str">
        <f t="shared" si="25"/>
        <v/>
      </c>
      <c r="G2332" s="59" t="str">
        <f t="shared" si="26"/>
        <v/>
      </c>
      <c r="H2332" s="59" t="str">
        <f t="shared" si="27"/>
        <v>Xe ben mới</v>
      </c>
      <c r="I2332" s="59" t="str">
        <f>IF(OR($A2332="",$C2332="",$D2332="",$E2332="",$H2332=""),"",SUMIFS(DATA_GOC!$H:$H,DATA_GOC!$A:$A,"BOM",DATA_GOC!$D:$D,$H2332,DATA_GOC!$E:$E,$C2332,DATA_GOC!$F:$F,"Xuất nội bộ từ téc",DATA_GOC!$B:$B,"&gt;="&amp;$D2332,DATA_GOC!$B:$B,"&lt;="&amp;$E2332))</f>
        <v/>
      </c>
      <c r="J2332" s="59">
        <f t="shared" si="28"/>
        <v>0</v>
      </c>
      <c r="K2332" s="59">
        <f t="shared" si="29"/>
        <v>0</v>
      </c>
      <c r="L2332" s="59">
        <f t="shared" si="30"/>
        <v>0</v>
      </c>
      <c r="M2332" s="59">
        <f t="shared" si="31"/>
        <v>0</v>
      </c>
    </row>
    <row r="2333" ht="15.0" hidden="1" customHeight="1">
      <c r="A2333" s="59">
        <f t="shared" si="20"/>
        <v>36</v>
      </c>
      <c r="B2333" s="59" t="str">
        <f t="shared" si="21"/>
        <v/>
      </c>
      <c r="C2333" s="59" t="str">
        <f t="shared" si="22"/>
        <v/>
      </c>
      <c r="D2333" s="45" t="str">
        <f t="shared" si="23"/>
        <v/>
      </c>
      <c r="E2333" s="45" t="str">
        <f t="shared" si="24"/>
        <v/>
      </c>
      <c r="F2333" s="59" t="str">
        <f t="shared" si="25"/>
        <v/>
      </c>
      <c r="G2333" s="59" t="str">
        <f t="shared" si="26"/>
        <v/>
      </c>
      <c r="H2333" s="59" t="str">
        <f t="shared" si="27"/>
        <v>19H09482</v>
      </c>
      <c r="I2333" s="59" t="str">
        <f>IF(OR($A2333="",$C2333="",$D2333="",$E2333="",$H2333=""),"",SUMIFS(DATA_GOC!$H:$H,DATA_GOC!$A:$A,"BOM",DATA_GOC!$D:$D,$H2333,DATA_GOC!$E:$E,$C2333,DATA_GOC!$F:$F,"Xuất nội bộ từ téc",DATA_GOC!$B:$B,"&gt;="&amp;$D2333,DATA_GOC!$B:$B,"&lt;="&amp;$E2333))</f>
        <v/>
      </c>
      <c r="J2333" s="59">
        <f t="shared" si="28"/>
        <v>0</v>
      </c>
      <c r="K2333" s="59">
        <f t="shared" si="29"/>
        <v>0</v>
      </c>
      <c r="L2333" s="59">
        <f t="shared" si="30"/>
        <v>0</v>
      </c>
      <c r="M2333" s="59">
        <f t="shared" si="31"/>
        <v>0</v>
      </c>
    </row>
    <row r="2334" ht="15.0" hidden="1" customHeight="1">
      <c r="A2334" s="59">
        <f t="shared" si="20"/>
        <v>36</v>
      </c>
      <c r="B2334" s="59" t="str">
        <f t="shared" si="21"/>
        <v/>
      </c>
      <c r="C2334" s="59" t="str">
        <f t="shared" si="22"/>
        <v/>
      </c>
      <c r="D2334" s="45" t="str">
        <f t="shared" si="23"/>
        <v/>
      </c>
      <c r="E2334" s="45" t="str">
        <f t="shared" si="24"/>
        <v/>
      </c>
      <c r="F2334" s="59" t="str">
        <f t="shared" si="25"/>
        <v/>
      </c>
      <c r="G2334" s="59" t="str">
        <f t="shared" si="26"/>
        <v/>
      </c>
      <c r="H2334" s="59" t="str">
        <f t="shared" si="27"/>
        <v>28A30696</v>
      </c>
      <c r="I2334" s="59" t="str">
        <f>IF(OR($A2334="",$C2334="",$D2334="",$E2334="",$H2334=""),"",SUMIFS(DATA_GOC!$H:$H,DATA_GOC!$A:$A,"BOM",DATA_GOC!$D:$D,$H2334,DATA_GOC!$E:$E,$C2334,DATA_GOC!$F:$F,"Xuất nội bộ từ téc",DATA_GOC!$B:$B,"&gt;="&amp;$D2334,DATA_GOC!$B:$B,"&lt;="&amp;$E2334))</f>
        <v/>
      </c>
      <c r="J2334" s="59">
        <f t="shared" si="28"/>
        <v>0</v>
      </c>
      <c r="K2334" s="59">
        <f t="shared" si="29"/>
        <v>0</v>
      </c>
      <c r="L2334" s="59">
        <f t="shared" si="30"/>
        <v>0</v>
      </c>
      <c r="M2334" s="59">
        <f t="shared" si="31"/>
        <v>0</v>
      </c>
    </row>
    <row r="2335" ht="15.0" hidden="1" customHeight="1">
      <c r="A2335" s="59">
        <f t="shared" si="20"/>
        <v>36</v>
      </c>
      <c r="B2335" s="59" t="str">
        <f t="shared" si="21"/>
        <v/>
      </c>
      <c r="C2335" s="59" t="str">
        <f t="shared" si="22"/>
        <v/>
      </c>
      <c r="D2335" s="45" t="str">
        <f t="shared" si="23"/>
        <v/>
      </c>
      <c r="E2335" s="45" t="str">
        <f t="shared" si="24"/>
        <v/>
      </c>
      <c r="F2335" s="59" t="str">
        <f t="shared" si="25"/>
        <v/>
      </c>
      <c r="G2335" s="59" t="str">
        <f t="shared" si="26"/>
        <v/>
      </c>
      <c r="H2335" s="59" t="str">
        <f t="shared" si="27"/>
        <v>28C00462</v>
      </c>
      <c r="I2335" s="59" t="str">
        <f>IF(OR($A2335="",$C2335="",$D2335="",$E2335="",$H2335=""),"",SUMIFS(DATA_GOC!$H:$H,DATA_GOC!$A:$A,"BOM",DATA_GOC!$D:$D,$H2335,DATA_GOC!$E:$E,$C2335,DATA_GOC!$F:$F,"Xuất nội bộ từ téc",DATA_GOC!$B:$B,"&gt;="&amp;$D2335,DATA_GOC!$B:$B,"&lt;="&amp;$E2335))</f>
        <v/>
      </c>
      <c r="J2335" s="59">
        <f t="shared" si="28"/>
        <v>0</v>
      </c>
      <c r="K2335" s="59">
        <f t="shared" si="29"/>
        <v>0</v>
      </c>
      <c r="L2335" s="59">
        <f t="shared" si="30"/>
        <v>0</v>
      </c>
      <c r="M2335" s="59">
        <f t="shared" si="31"/>
        <v>0</v>
      </c>
    </row>
    <row r="2336" ht="15.0" hidden="1" customHeight="1">
      <c r="A2336" s="59">
        <f t="shared" si="20"/>
        <v>36</v>
      </c>
      <c r="B2336" s="59" t="str">
        <f t="shared" si="21"/>
        <v/>
      </c>
      <c r="C2336" s="59" t="str">
        <f t="shared" si="22"/>
        <v/>
      </c>
      <c r="D2336" s="45" t="str">
        <f t="shared" si="23"/>
        <v/>
      </c>
      <c r="E2336" s="45" t="str">
        <f t="shared" si="24"/>
        <v/>
      </c>
      <c r="F2336" s="59" t="str">
        <f t="shared" si="25"/>
        <v/>
      </c>
      <c r="G2336" s="59" t="str">
        <f t="shared" si="26"/>
        <v/>
      </c>
      <c r="H2336" s="59" t="str">
        <f t="shared" si="27"/>
        <v>28C01165</v>
      </c>
      <c r="I2336" s="59" t="str">
        <f>IF(OR($A2336="",$C2336="",$D2336="",$E2336="",$H2336=""),"",SUMIFS(DATA_GOC!$H:$H,DATA_GOC!$A:$A,"BOM",DATA_GOC!$D:$D,$H2336,DATA_GOC!$E:$E,$C2336,DATA_GOC!$F:$F,"Xuất nội bộ từ téc",DATA_GOC!$B:$B,"&gt;="&amp;$D2336,DATA_GOC!$B:$B,"&lt;="&amp;$E2336))</f>
        <v/>
      </c>
      <c r="J2336" s="59">
        <f t="shared" si="28"/>
        <v>0</v>
      </c>
      <c r="K2336" s="59">
        <f t="shared" si="29"/>
        <v>0</v>
      </c>
      <c r="L2336" s="59">
        <f t="shared" si="30"/>
        <v>0</v>
      </c>
      <c r="M2336" s="59">
        <f t="shared" si="31"/>
        <v>0</v>
      </c>
    </row>
    <row r="2337" ht="15.0" hidden="1" customHeight="1">
      <c r="A2337" s="59">
        <f t="shared" si="20"/>
        <v>36</v>
      </c>
      <c r="B2337" s="59" t="str">
        <f t="shared" si="21"/>
        <v/>
      </c>
      <c r="C2337" s="59" t="str">
        <f t="shared" si="22"/>
        <v/>
      </c>
      <c r="D2337" s="45" t="str">
        <f t="shared" si="23"/>
        <v/>
      </c>
      <c r="E2337" s="45" t="str">
        <f t="shared" si="24"/>
        <v/>
      </c>
      <c r="F2337" s="59" t="str">
        <f t="shared" si="25"/>
        <v/>
      </c>
      <c r="G2337" s="59" t="str">
        <f t="shared" si="26"/>
        <v/>
      </c>
      <c r="H2337" s="59" t="str">
        <f t="shared" si="27"/>
        <v>28C01406</v>
      </c>
      <c r="I2337" s="59" t="str">
        <f>IF(OR($A2337="",$C2337="",$D2337="",$E2337="",$H2337=""),"",SUMIFS(DATA_GOC!$H:$H,DATA_GOC!$A:$A,"BOM",DATA_GOC!$D:$D,$H2337,DATA_GOC!$E:$E,$C2337,DATA_GOC!$F:$F,"Xuất nội bộ từ téc",DATA_GOC!$B:$B,"&gt;="&amp;$D2337,DATA_GOC!$B:$B,"&lt;="&amp;$E2337))</f>
        <v/>
      </c>
      <c r="J2337" s="59">
        <f t="shared" si="28"/>
        <v>0</v>
      </c>
      <c r="K2337" s="59">
        <f t="shared" si="29"/>
        <v>0</v>
      </c>
      <c r="L2337" s="59">
        <f t="shared" si="30"/>
        <v>0</v>
      </c>
      <c r="M2337" s="59">
        <f t="shared" si="31"/>
        <v>0</v>
      </c>
    </row>
    <row r="2338" ht="15.0" hidden="1" customHeight="1">
      <c r="A2338" s="59">
        <f t="shared" si="20"/>
        <v>36</v>
      </c>
      <c r="B2338" s="59" t="str">
        <f t="shared" si="21"/>
        <v/>
      </c>
      <c r="C2338" s="59" t="str">
        <f t="shared" si="22"/>
        <v/>
      </c>
      <c r="D2338" s="45" t="str">
        <f t="shared" si="23"/>
        <v/>
      </c>
      <c r="E2338" s="45" t="str">
        <f t="shared" si="24"/>
        <v/>
      </c>
      <c r="F2338" s="59" t="str">
        <f t="shared" si="25"/>
        <v/>
      </c>
      <c r="G2338" s="59" t="str">
        <f t="shared" si="26"/>
        <v/>
      </c>
      <c r="H2338" s="59" t="str">
        <f t="shared" si="27"/>
        <v>28C01544</v>
      </c>
      <c r="I2338" s="59" t="str">
        <f>IF(OR($A2338="",$C2338="",$D2338="",$E2338="",$H2338=""),"",SUMIFS(DATA_GOC!$H:$H,DATA_GOC!$A:$A,"BOM",DATA_GOC!$D:$D,$H2338,DATA_GOC!$E:$E,$C2338,DATA_GOC!$F:$F,"Xuất nội bộ từ téc",DATA_GOC!$B:$B,"&gt;="&amp;$D2338,DATA_GOC!$B:$B,"&lt;="&amp;$E2338))</f>
        <v/>
      </c>
      <c r="J2338" s="59">
        <f t="shared" si="28"/>
        <v>0</v>
      </c>
      <c r="K2338" s="59">
        <f t="shared" si="29"/>
        <v>0</v>
      </c>
      <c r="L2338" s="59">
        <f t="shared" si="30"/>
        <v>0</v>
      </c>
      <c r="M2338" s="59">
        <f t="shared" si="31"/>
        <v>0</v>
      </c>
    </row>
    <row r="2339" ht="15.0" hidden="1" customHeight="1">
      <c r="A2339" s="59">
        <f t="shared" si="20"/>
        <v>36</v>
      </c>
      <c r="B2339" s="59" t="str">
        <f t="shared" si="21"/>
        <v/>
      </c>
      <c r="C2339" s="59" t="str">
        <f t="shared" si="22"/>
        <v/>
      </c>
      <c r="D2339" s="45" t="str">
        <f t="shared" si="23"/>
        <v/>
      </c>
      <c r="E2339" s="45" t="str">
        <f t="shared" si="24"/>
        <v/>
      </c>
      <c r="F2339" s="59" t="str">
        <f t="shared" si="25"/>
        <v/>
      </c>
      <c r="G2339" s="59" t="str">
        <f t="shared" si="26"/>
        <v/>
      </c>
      <c r="H2339" s="59" t="str">
        <f t="shared" si="27"/>
        <v>28C01622</v>
      </c>
      <c r="I2339" s="59" t="str">
        <f>IF(OR($A2339="",$C2339="",$D2339="",$E2339="",$H2339=""),"",SUMIFS(DATA_GOC!$H:$H,DATA_GOC!$A:$A,"BOM",DATA_GOC!$D:$D,$H2339,DATA_GOC!$E:$E,$C2339,DATA_GOC!$F:$F,"Xuất nội bộ từ téc",DATA_GOC!$B:$B,"&gt;="&amp;$D2339,DATA_GOC!$B:$B,"&lt;="&amp;$E2339))</f>
        <v/>
      </c>
      <c r="J2339" s="59">
        <f t="shared" si="28"/>
        <v>0</v>
      </c>
      <c r="K2339" s="59">
        <f t="shared" si="29"/>
        <v>0</v>
      </c>
      <c r="L2339" s="59">
        <f t="shared" si="30"/>
        <v>0</v>
      </c>
      <c r="M2339" s="59">
        <f t="shared" si="31"/>
        <v>0</v>
      </c>
    </row>
    <row r="2340" ht="15.0" hidden="1" customHeight="1">
      <c r="A2340" s="59">
        <f t="shared" si="20"/>
        <v>36</v>
      </c>
      <c r="B2340" s="59" t="str">
        <f t="shared" si="21"/>
        <v/>
      </c>
      <c r="C2340" s="59" t="str">
        <f t="shared" si="22"/>
        <v/>
      </c>
      <c r="D2340" s="45" t="str">
        <f t="shared" si="23"/>
        <v/>
      </c>
      <c r="E2340" s="45" t="str">
        <f t="shared" si="24"/>
        <v/>
      </c>
      <c r="F2340" s="59" t="str">
        <f t="shared" si="25"/>
        <v/>
      </c>
      <c r="G2340" s="59" t="str">
        <f t="shared" si="26"/>
        <v/>
      </c>
      <c r="H2340" s="59" t="str">
        <f t="shared" si="27"/>
        <v>28C01647</v>
      </c>
      <c r="I2340" s="59" t="str">
        <f>IF(OR($A2340="",$C2340="",$D2340="",$E2340="",$H2340=""),"",SUMIFS(DATA_GOC!$H:$H,DATA_GOC!$A:$A,"BOM",DATA_GOC!$D:$D,$H2340,DATA_GOC!$E:$E,$C2340,DATA_GOC!$F:$F,"Xuất nội bộ từ téc",DATA_GOC!$B:$B,"&gt;="&amp;$D2340,DATA_GOC!$B:$B,"&lt;="&amp;$E2340))</f>
        <v/>
      </c>
      <c r="J2340" s="59">
        <f t="shared" si="28"/>
        <v>0</v>
      </c>
      <c r="K2340" s="59">
        <f t="shared" si="29"/>
        <v>0</v>
      </c>
      <c r="L2340" s="59">
        <f t="shared" si="30"/>
        <v>0</v>
      </c>
      <c r="M2340" s="59">
        <f t="shared" si="31"/>
        <v>0</v>
      </c>
    </row>
    <row r="2341" ht="15.0" hidden="1" customHeight="1">
      <c r="A2341" s="59">
        <f t="shared" si="20"/>
        <v>36</v>
      </c>
      <c r="B2341" s="59" t="str">
        <f t="shared" si="21"/>
        <v/>
      </c>
      <c r="C2341" s="59" t="str">
        <f t="shared" si="22"/>
        <v/>
      </c>
      <c r="D2341" s="45" t="str">
        <f t="shared" si="23"/>
        <v/>
      </c>
      <c r="E2341" s="45" t="str">
        <f t="shared" si="24"/>
        <v/>
      </c>
      <c r="F2341" s="59" t="str">
        <f t="shared" si="25"/>
        <v/>
      </c>
      <c r="G2341" s="59" t="str">
        <f t="shared" si="26"/>
        <v/>
      </c>
      <c r="H2341" s="59" t="str">
        <f t="shared" si="27"/>
        <v>28C01731</v>
      </c>
      <c r="I2341" s="59" t="str">
        <f>IF(OR($A2341="",$C2341="",$D2341="",$E2341="",$H2341=""),"",SUMIFS(DATA_GOC!$H:$H,DATA_GOC!$A:$A,"BOM",DATA_GOC!$D:$D,$H2341,DATA_GOC!$E:$E,$C2341,DATA_GOC!$F:$F,"Xuất nội bộ từ téc",DATA_GOC!$B:$B,"&gt;="&amp;$D2341,DATA_GOC!$B:$B,"&lt;="&amp;$E2341))</f>
        <v/>
      </c>
      <c r="J2341" s="59">
        <f t="shared" si="28"/>
        <v>0</v>
      </c>
      <c r="K2341" s="59">
        <f t="shared" si="29"/>
        <v>0</v>
      </c>
      <c r="L2341" s="59">
        <f t="shared" si="30"/>
        <v>0</v>
      </c>
      <c r="M2341" s="59">
        <f t="shared" si="31"/>
        <v>0</v>
      </c>
    </row>
    <row r="2342" ht="15.0" hidden="1" customHeight="1">
      <c r="A2342" s="59">
        <f t="shared" si="20"/>
        <v>36</v>
      </c>
      <c r="B2342" s="59" t="str">
        <f t="shared" si="21"/>
        <v/>
      </c>
      <c r="C2342" s="59" t="str">
        <f t="shared" si="22"/>
        <v/>
      </c>
      <c r="D2342" s="45" t="str">
        <f t="shared" si="23"/>
        <v/>
      </c>
      <c r="E2342" s="45" t="str">
        <f t="shared" si="24"/>
        <v/>
      </c>
      <c r="F2342" s="59" t="str">
        <f t="shared" si="25"/>
        <v/>
      </c>
      <c r="G2342" s="59" t="str">
        <f t="shared" si="26"/>
        <v/>
      </c>
      <c r="H2342" s="59" t="str">
        <f t="shared" si="27"/>
        <v>28C01743</v>
      </c>
      <c r="I2342" s="59" t="str">
        <f>IF(OR($A2342="",$C2342="",$D2342="",$E2342="",$H2342=""),"",SUMIFS(DATA_GOC!$H:$H,DATA_GOC!$A:$A,"BOM",DATA_GOC!$D:$D,$H2342,DATA_GOC!$E:$E,$C2342,DATA_GOC!$F:$F,"Xuất nội bộ từ téc",DATA_GOC!$B:$B,"&gt;="&amp;$D2342,DATA_GOC!$B:$B,"&lt;="&amp;$E2342))</f>
        <v/>
      </c>
      <c r="J2342" s="59">
        <f t="shared" si="28"/>
        <v>0</v>
      </c>
      <c r="K2342" s="59">
        <f t="shared" si="29"/>
        <v>0</v>
      </c>
      <c r="L2342" s="59">
        <f t="shared" si="30"/>
        <v>0</v>
      </c>
      <c r="M2342" s="59">
        <f t="shared" si="31"/>
        <v>0</v>
      </c>
    </row>
    <row r="2343" ht="15.0" hidden="1" customHeight="1">
      <c r="A2343" s="59">
        <f t="shared" si="20"/>
        <v>36</v>
      </c>
      <c r="B2343" s="59" t="str">
        <f t="shared" si="21"/>
        <v/>
      </c>
      <c r="C2343" s="59" t="str">
        <f t="shared" si="22"/>
        <v/>
      </c>
      <c r="D2343" s="45" t="str">
        <f t="shared" si="23"/>
        <v/>
      </c>
      <c r="E2343" s="45" t="str">
        <f t="shared" si="24"/>
        <v/>
      </c>
      <c r="F2343" s="59" t="str">
        <f t="shared" si="25"/>
        <v/>
      </c>
      <c r="G2343" s="59" t="str">
        <f t="shared" si="26"/>
        <v/>
      </c>
      <c r="H2343" s="59" t="str">
        <f t="shared" si="27"/>
        <v>28C02106</v>
      </c>
      <c r="I2343" s="59" t="str">
        <f>IF(OR($A2343="",$C2343="",$D2343="",$E2343="",$H2343=""),"",SUMIFS(DATA_GOC!$H:$H,DATA_GOC!$A:$A,"BOM",DATA_GOC!$D:$D,$H2343,DATA_GOC!$E:$E,$C2343,DATA_GOC!$F:$F,"Xuất nội bộ từ téc",DATA_GOC!$B:$B,"&gt;="&amp;$D2343,DATA_GOC!$B:$B,"&lt;="&amp;$E2343))</f>
        <v/>
      </c>
      <c r="J2343" s="59">
        <f t="shared" si="28"/>
        <v>0</v>
      </c>
      <c r="K2343" s="59">
        <f t="shared" si="29"/>
        <v>0</v>
      </c>
      <c r="L2343" s="59">
        <f t="shared" si="30"/>
        <v>0</v>
      </c>
      <c r="M2343" s="59">
        <f t="shared" si="31"/>
        <v>0</v>
      </c>
    </row>
    <row r="2344" ht="15.0" hidden="1" customHeight="1">
      <c r="A2344" s="59">
        <f t="shared" si="20"/>
        <v>36</v>
      </c>
      <c r="B2344" s="59" t="str">
        <f t="shared" si="21"/>
        <v/>
      </c>
      <c r="C2344" s="59" t="str">
        <f t="shared" si="22"/>
        <v/>
      </c>
      <c r="D2344" s="45" t="str">
        <f t="shared" si="23"/>
        <v/>
      </c>
      <c r="E2344" s="45" t="str">
        <f t="shared" si="24"/>
        <v/>
      </c>
      <c r="F2344" s="59" t="str">
        <f t="shared" si="25"/>
        <v/>
      </c>
      <c r="G2344" s="59" t="str">
        <f t="shared" si="26"/>
        <v/>
      </c>
      <c r="H2344" s="59" t="str">
        <f t="shared" si="27"/>
        <v>28C02410</v>
      </c>
      <c r="I2344" s="59" t="str">
        <f>IF(OR($A2344="",$C2344="",$D2344="",$E2344="",$H2344=""),"",SUMIFS(DATA_GOC!$H:$H,DATA_GOC!$A:$A,"BOM",DATA_GOC!$D:$D,$H2344,DATA_GOC!$E:$E,$C2344,DATA_GOC!$F:$F,"Xuất nội bộ từ téc",DATA_GOC!$B:$B,"&gt;="&amp;$D2344,DATA_GOC!$B:$B,"&lt;="&amp;$E2344))</f>
        <v/>
      </c>
      <c r="J2344" s="59">
        <f t="shared" si="28"/>
        <v>0</v>
      </c>
      <c r="K2344" s="59">
        <f t="shared" si="29"/>
        <v>0</v>
      </c>
      <c r="L2344" s="59">
        <f t="shared" si="30"/>
        <v>0</v>
      </c>
      <c r="M2344" s="59">
        <f t="shared" si="31"/>
        <v>0</v>
      </c>
    </row>
    <row r="2345" ht="15.0" hidden="1" customHeight="1">
      <c r="A2345" s="59">
        <f t="shared" si="20"/>
        <v>36</v>
      </c>
      <c r="B2345" s="59" t="str">
        <f t="shared" si="21"/>
        <v/>
      </c>
      <c r="C2345" s="59" t="str">
        <f t="shared" si="22"/>
        <v/>
      </c>
      <c r="D2345" s="45" t="str">
        <f t="shared" si="23"/>
        <v/>
      </c>
      <c r="E2345" s="45" t="str">
        <f t="shared" si="24"/>
        <v/>
      </c>
      <c r="F2345" s="59" t="str">
        <f t="shared" si="25"/>
        <v/>
      </c>
      <c r="G2345" s="59" t="str">
        <f t="shared" si="26"/>
        <v/>
      </c>
      <c r="H2345" s="59" t="str">
        <f t="shared" si="27"/>
        <v>28C02545</v>
      </c>
      <c r="I2345" s="59" t="str">
        <f>IF(OR($A2345="",$C2345="",$D2345="",$E2345="",$H2345=""),"",SUMIFS(DATA_GOC!$H:$H,DATA_GOC!$A:$A,"BOM",DATA_GOC!$D:$D,$H2345,DATA_GOC!$E:$E,$C2345,DATA_GOC!$F:$F,"Xuất nội bộ từ téc",DATA_GOC!$B:$B,"&gt;="&amp;$D2345,DATA_GOC!$B:$B,"&lt;="&amp;$E2345))</f>
        <v/>
      </c>
      <c r="J2345" s="59">
        <f t="shared" si="28"/>
        <v>0</v>
      </c>
      <c r="K2345" s="59">
        <f t="shared" si="29"/>
        <v>0</v>
      </c>
      <c r="L2345" s="59">
        <f t="shared" si="30"/>
        <v>0</v>
      </c>
      <c r="M2345" s="59">
        <f t="shared" si="31"/>
        <v>0</v>
      </c>
    </row>
    <row r="2346" ht="15.0" hidden="1" customHeight="1">
      <c r="A2346" s="59">
        <f t="shared" si="20"/>
        <v>36</v>
      </c>
      <c r="B2346" s="59" t="str">
        <f t="shared" si="21"/>
        <v/>
      </c>
      <c r="C2346" s="59" t="str">
        <f t="shared" si="22"/>
        <v/>
      </c>
      <c r="D2346" s="45" t="str">
        <f t="shared" si="23"/>
        <v/>
      </c>
      <c r="E2346" s="45" t="str">
        <f t="shared" si="24"/>
        <v/>
      </c>
      <c r="F2346" s="59" t="str">
        <f t="shared" si="25"/>
        <v/>
      </c>
      <c r="G2346" s="59" t="str">
        <f t="shared" si="26"/>
        <v/>
      </c>
      <c r="H2346" s="59" t="str">
        <f t="shared" si="27"/>
        <v>28C02574</v>
      </c>
      <c r="I2346" s="59" t="str">
        <f>IF(OR($A2346="",$C2346="",$D2346="",$E2346="",$H2346=""),"",SUMIFS(DATA_GOC!$H:$H,DATA_GOC!$A:$A,"BOM",DATA_GOC!$D:$D,$H2346,DATA_GOC!$E:$E,$C2346,DATA_GOC!$F:$F,"Xuất nội bộ từ téc",DATA_GOC!$B:$B,"&gt;="&amp;$D2346,DATA_GOC!$B:$B,"&lt;="&amp;$E2346))</f>
        <v/>
      </c>
      <c r="J2346" s="59">
        <f t="shared" si="28"/>
        <v>0</v>
      </c>
      <c r="K2346" s="59">
        <f t="shared" si="29"/>
        <v>0</v>
      </c>
      <c r="L2346" s="59">
        <f t="shared" si="30"/>
        <v>0</v>
      </c>
      <c r="M2346" s="59">
        <f t="shared" si="31"/>
        <v>0</v>
      </c>
    </row>
    <row r="2347" ht="15.0" hidden="1" customHeight="1">
      <c r="A2347" s="59">
        <f t="shared" si="20"/>
        <v>36</v>
      </c>
      <c r="B2347" s="59" t="str">
        <f t="shared" si="21"/>
        <v/>
      </c>
      <c r="C2347" s="59" t="str">
        <f t="shared" si="22"/>
        <v/>
      </c>
      <c r="D2347" s="45" t="str">
        <f t="shared" si="23"/>
        <v/>
      </c>
      <c r="E2347" s="45" t="str">
        <f t="shared" si="24"/>
        <v/>
      </c>
      <c r="F2347" s="59" t="str">
        <f t="shared" si="25"/>
        <v/>
      </c>
      <c r="G2347" s="59" t="str">
        <f t="shared" si="26"/>
        <v/>
      </c>
      <c r="H2347" s="59" t="str">
        <f t="shared" si="27"/>
        <v>28C02770</v>
      </c>
      <c r="I2347" s="59" t="str">
        <f>IF(OR($A2347="",$C2347="",$D2347="",$E2347="",$H2347=""),"",SUMIFS(DATA_GOC!$H:$H,DATA_GOC!$A:$A,"BOM",DATA_GOC!$D:$D,$H2347,DATA_GOC!$E:$E,$C2347,DATA_GOC!$F:$F,"Xuất nội bộ từ téc",DATA_GOC!$B:$B,"&gt;="&amp;$D2347,DATA_GOC!$B:$B,"&lt;="&amp;$E2347))</f>
        <v/>
      </c>
      <c r="J2347" s="59">
        <f t="shared" si="28"/>
        <v>0</v>
      </c>
      <c r="K2347" s="59">
        <f t="shared" si="29"/>
        <v>0</v>
      </c>
      <c r="L2347" s="59">
        <f t="shared" si="30"/>
        <v>0</v>
      </c>
      <c r="M2347" s="59">
        <f t="shared" si="31"/>
        <v>0</v>
      </c>
    </row>
    <row r="2348" ht="15.0" hidden="1" customHeight="1">
      <c r="A2348" s="59">
        <f t="shared" si="20"/>
        <v>36</v>
      </c>
      <c r="B2348" s="59" t="str">
        <f t="shared" si="21"/>
        <v/>
      </c>
      <c r="C2348" s="59" t="str">
        <f t="shared" si="22"/>
        <v/>
      </c>
      <c r="D2348" s="45" t="str">
        <f t="shared" si="23"/>
        <v/>
      </c>
      <c r="E2348" s="45" t="str">
        <f t="shared" si="24"/>
        <v/>
      </c>
      <c r="F2348" s="59" t="str">
        <f t="shared" si="25"/>
        <v/>
      </c>
      <c r="G2348" s="59" t="str">
        <f t="shared" si="26"/>
        <v/>
      </c>
      <c r="H2348" s="59" t="str">
        <f t="shared" si="27"/>
        <v>28C02986</v>
      </c>
      <c r="I2348" s="59" t="str">
        <f>IF(OR($A2348="",$C2348="",$D2348="",$E2348="",$H2348=""),"",SUMIFS(DATA_GOC!$H:$H,DATA_GOC!$A:$A,"BOM",DATA_GOC!$D:$D,$H2348,DATA_GOC!$E:$E,$C2348,DATA_GOC!$F:$F,"Xuất nội bộ từ téc",DATA_GOC!$B:$B,"&gt;="&amp;$D2348,DATA_GOC!$B:$B,"&lt;="&amp;$E2348))</f>
        <v/>
      </c>
      <c r="J2348" s="59">
        <f t="shared" si="28"/>
        <v>0</v>
      </c>
      <c r="K2348" s="59">
        <f t="shared" si="29"/>
        <v>0</v>
      </c>
      <c r="L2348" s="59">
        <f t="shared" si="30"/>
        <v>0</v>
      </c>
      <c r="M2348" s="59">
        <f t="shared" si="31"/>
        <v>0</v>
      </c>
    </row>
    <row r="2349" ht="15.0" hidden="1" customHeight="1">
      <c r="A2349" s="59">
        <f t="shared" si="20"/>
        <v>36</v>
      </c>
      <c r="B2349" s="59" t="str">
        <f t="shared" si="21"/>
        <v/>
      </c>
      <c r="C2349" s="59" t="str">
        <f t="shared" si="22"/>
        <v/>
      </c>
      <c r="D2349" s="45" t="str">
        <f t="shared" si="23"/>
        <v/>
      </c>
      <c r="E2349" s="45" t="str">
        <f t="shared" si="24"/>
        <v/>
      </c>
      <c r="F2349" s="59" t="str">
        <f t="shared" si="25"/>
        <v/>
      </c>
      <c r="G2349" s="59" t="str">
        <f t="shared" si="26"/>
        <v/>
      </c>
      <c r="H2349" s="59" t="str">
        <f t="shared" si="27"/>
        <v>28C03261</v>
      </c>
      <c r="I2349" s="59" t="str">
        <f>IF(OR($A2349="",$C2349="",$D2349="",$E2349="",$H2349=""),"",SUMIFS(DATA_GOC!$H:$H,DATA_GOC!$A:$A,"BOM",DATA_GOC!$D:$D,$H2349,DATA_GOC!$E:$E,$C2349,DATA_GOC!$F:$F,"Xuất nội bộ từ téc",DATA_GOC!$B:$B,"&gt;="&amp;$D2349,DATA_GOC!$B:$B,"&lt;="&amp;$E2349))</f>
        <v/>
      </c>
      <c r="J2349" s="59">
        <f t="shared" si="28"/>
        <v>0</v>
      </c>
      <c r="K2349" s="59">
        <f t="shared" si="29"/>
        <v>0</v>
      </c>
      <c r="L2349" s="59">
        <f t="shared" si="30"/>
        <v>0</v>
      </c>
      <c r="M2349" s="59">
        <f t="shared" si="31"/>
        <v>0</v>
      </c>
    </row>
    <row r="2350" ht="15.0" hidden="1" customHeight="1">
      <c r="A2350" s="59">
        <f t="shared" si="20"/>
        <v>36</v>
      </c>
      <c r="B2350" s="59" t="str">
        <f t="shared" si="21"/>
        <v/>
      </c>
      <c r="C2350" s="59" t="str">
        <f t="shared" si="22"/>
        <v/>
      </c>
      <c r="D2350" s="45" t="str">
        <f t="shared" si="23"/>
        <v/>
      </c>
      <c r="E2350" s="45" t="str">
        <f t="shared" si="24"/>
        <v/>
      </c>
      <c r="F2350" s="59" t="str">
        <f t="shared" si="25"/>
        <v/>
      </c>
      <c r="G2350" s="59" t="str">
        <f t="shared" si="26"/>
        <v/>
      </c>
      <c r="H2350" s="59" t="str">
        <f t="shared" si="27"/>
        <v>28C03323</v>
      </c>
      <c r="I2350" s="59" t="str">
        <f>IF(OR($A2350="",$C2350="",$D2350="",$E2350="",$H2350=""),"",SUMIFS(DATA_GOC!$H:$H,DATA_GOC!$A:$A,"BOM",DATA_GOC!$D:$D,$H2350,DATA_GOC!$E:$E,$C2350,DATA_GOC!$F:$F,"Xuất nội bộ từ téc",DATA_GOC!$B:$B,"&gt;="&amp;$D2350,DATA_GOC!$B:$B,"&lt;="&amp;$E2350))</f>
        <v/>
      </c>
      <c r="J2350" s="59">
        <f t="shared" si="28"/>
        <v>0</v>
      </c>
      <c r="K2350" s="59">
        <f t="shared" si="29"/>
        <v>0</v>
      </c>
      <c r="L2350" s="59">
        <f t="shared" si="30"/>
        <v>0</v>
      </c>
      <c r="M2350" s="59">
        <f t="shared" si="31"/>
        <v>0</v>
      </c>
    </row>
    <row r="2351" ht="15.0" hidden="1" customHeight="1">
      <c r="A2351" s="59">
        <f t="shared" si="20"/>
        <v>36</v>
      </c>
      <c r="B2351" s="59" t="str">
        <f t="shared" si="21"/>
        <v/>
      </c>
      <c r="C2351" s="59" t="str">
        <f t="shared" si="22"/>
        <v/>
      </c>
      <c r="D2351" s="45" t="str">
        <f t="shared" si="23"/>
        <v/>
      </c>
      <c r="E2351" s="45" t="str">
        <f t="shared" si="24"/>
        <v/>
      </c>
      <c r="F2351" s="59" t="str">
        <f t="shared" si="25"/>
        <v/>
      </c>
      <c r="G2351" s="59" t="str">
        <f t="shared" si="26"/>
        <v/>
      </c>
      <c r="H2351" s="59" t="str">
        <f t="shared" si="27"/>
        <v>28C03385</v>
      </c>
      <c r="I2351" s="59" t="str">
        <f>IF(OR($A2351="",$C2351="",$D2351="",$E2351="",$H2351=""),"",SUMIFS(DATA_GOC!$H:$H,DATA_GOC!$A:$A,"BOM",DATA_GOC!$D:$D,$H2351,DATA_GOC!$E:$E,$C2351,DATA_GOC!$F:$F,"Xuất nội bộ từ téc",DATA_GOC!$B:$B,"&gt;="&amp;$D2351,DATA_GOC!$B:$B,"&lt;="&amp;$E2351))</f>
        <v/>
      </c>
      <c r="J2351" s="59">
        <f t="shared" si="28"/>
        <v>0</v>
      </c>
      <c r="K2351" s="59">
        <f t="shared" si="29"/>
        <v>0</v>
      </c>
      <c r="L2351" s="59">
        <f t="shared" si="30"/>
        <v>0</v>
      </c>
      <c r="M2351" s="59">
        <f t="shared" si="31"/>
        <v>0</v>
      </c>
    </row>
    <row r="2352" ht="15.0" hidden="1" customHeight="1">
      <c r="A2352" s="59">
        <f t="shared" si="20"/>
        <v>36</v>
      </c>
      <c r="B2352" s="59" t="str">
        <f t="shared" si="21"/>
        <v/>
      </c>
      <c r="C2352" s="59" t="str">
        <f t="shared" si="22"/>
        <v/>
      </c>
      <c r="D2352" s="45" t="str">
        <f t="shared" si="23"/>
        <v/>
      </c>
      <c r="E2352" s="45" t="str">
        <f t="shared" si="24"/>
        <v/>
      </c>
      <c r="F2352" s="59" t="str">
        <f t="shared" si="25"/>
        <v/>
      </c>
      <c r="G2352" s="59" t="str">
        <f t="shared" si="26"/>
        <v/>
      </c>
      <c r="H2352" s="59" t="str">
        <f t="shared" si="27"/>
        <v>28C03652</v>
      </c>
      <c r="I2352" s="59" t="str">
        <f>IF(OR($A2352="",$C2352="",$D2352="",$E2352="",$H2352=""),"",SUMIFS(DATA_GOC!$H:$H,DATA_GOC!$A:$A,"BOM",DATA_GOC!$D:$D,$H2352,DATA_GOC!$E:$E,$C2352,DATA_GOC!$F:$F,"Xuất nội bộ từ téc",DATA_GOC!$B:$B,"&gt;="&amp;$D2352,DATA_GOC!$B:$B,"&lt;="&amp;$E2352))</f>
        <v/>
      </c>
      <c r="J2352" s="59">
        <f t="shared" si="28"/>
        <v>0</v>
      </c>
      <c r="K2352" s="59">
        <f t="shared" si="29"/>
        <v>0</v>
      </c>
      <c r="L2352" s="59">
        <f t="shared" si="30"/>
        <v>0</v>
      </c>
      <c r="M2352" s="59">
        <f t="shared" si="31"/>
        <v>0</v>
      </c>
    </row>
    <row r="2353" ht="15.0" hidden="1" customHeight="1">
      <c r="A2353" s="59">
        <f t="shared" si="20"/>
        <v>36</v>
      </c>
      <c r="B2353" s="59" t="str">
        <f t="shared" si="21"/>
        <v/>
      </c>
      <c r="C2353" s="59" t="str">
        <f t="shared" si="22"/>
        <v/>
      </c>
      <c r="D2353" s="45" t="str">
        <f t="shared" si="23"/>
        <v/>
      </c>
      <c r="E2353" s="45" t="str">
        <f t="shared" si="24"/>
        <v/>
      </c>
      <c r="F2353" s="59" t="str">
        <f t="shared" si="25"/>
        <v/>
      </c>
      <c r="G2353" s="59" t="str">
        <f t="shared" si="26"/>
        <v/>
      </c>
      <c r="H2353" s="59" t="str">
        <f t="shared" si="27"/>
        <v>28C03695</v>
      </c>
      <c r="I2353" s="59" t="str">
        <f>IF(OR($A2353="",$C2353="",$D2353="",$E2353="",$H2353=""),"",SUMIFS(DATA_GOC!$H:$H,DATA_GOC!$A:$A,"BOM",DATA_GOC!$D:$D,$H2353,DATA_GOC!$E:$E,$C2353,DATA_GOC!$F:$F,"Xuất nội bộ từ téc",DATA_GOC!$B:$B,"&gt;="&amp;$D2353,DATA_GOC!$B:$B,"&lt;="&amp;$E2353))</f>
        <v/>
      </c>
      <c r="J2353" s="59">
        <f t="shared" si="28"/>
        <v>0</v>
      </c>
      <c r="K2353" s="59">
        <f t="shared" si="29"/>
        <v>0</v>
      </c>
      <c r="L2353" s="59">
        <f t="shared" si="30"/>
        <v>0</v>
      </c>
      <c r="M2353" s="59">
        <f t="shared" si="31"/>
        <v>0</v>
      </c>
    </row>
    <row r="2354" ht="15.0" hidden="1" customHeight="1">
      <c r="A2354" s="59">
        <f t="shared" si="20"/>
        <v>36</v>
      </c>
      <c r="B2354" s="59" t="str">
        <f t="shared" si="21"/>
        <v/>
      </c>
      <c r="C2354" s="59" t="str">
        <f t="shared" si="22"/>
        <v/>
      </c>
      <c r="D2354" s="45" t="str">
        <f t="shared" si="23"/>
        <v/>
      </c>
      <c r="E2354" s="45" t="str">
        <f t="shared" si="24"/>
        <v/>
      </c>
      <c r="F2354" s="59" t="str">
        <f t="shared" si="25"/>
        <v/>
      </c>
      <c r="G2354" s="59" t="str">
        <f t="shared" si="26"/>
        <v/>
      </c>
      <c r="H2354" s="59" t="str">
        <f t="shared" si="27"/>
        <v>28C03927</v>
      </c>
      <c r="I2354" s="59" t="str">
        <f>IF(OR($A2354="",$C2354="",$D2354="",$E2354="",$H2354=""),"",SUMIFS(DATA_GOC!$H:$H,DATA_GOC!$A:$A,"BOM",DATA_GOC!$D:$D,$H2354,DATA_GOC!$E:$E,$C2354,DATA_GOC!$F:$F,"Xuất nội bộ từ téc",DATA_GOC!$B:$B,"&gt;="&amp;$D2354,DATA_GOC!$B:$B,"&lt;="&amp;$E2354))</f>
        <v/>
      </c>
      <c r="J2354" s="59">
        <f t="shared" si="28"/>
        <v>0</v>
      </c>
      <c r="K2354" s="59">
        <f t="shared" si="29"/>
        <v>0</v>
      </c>
      <c r="L2354" s="59">
        <f t="shared" si="30"/>
        <v>0</v>
      </c>
      <c r="M2354" s="59">
        <f t="shared" si="31"/>
        <v>0</v>
      </c>
    </row>
    <row r="2355" ht="15.0" hidden="1" customHeight="1">
      <c r="A2355" s="59">
        <f t="shared" si="20"/>
        <v>36</v>
      </c>
      <c r="B2355" s="59" t="str">
        <f t="shared" si="21"/>
        <v/>
      </c>
      <c r="C2355" s="59" t="str">
        <f t="shared" si="22"/>
        <v/>
      </c>
      <c r="D2355" s="45" t="str">
        <f t="shared" si="23"/>
        <v/>
      </c>
      <c r="E2355" s="45" t="str">
        <f t="shared" si="24"/>
        <v/>
      </c>
      <c r="F2355" s="59" t="str">
        <f t="shared" si="25"/>
        <v/>
      </c>
      <c r="G2355" s="59" t="str">
        <f t="shared" si="26"/>
        <v/>
      </c>
      <c r="H2355" s="59" t="str">
        <f t="shared" si="27"/>
        <v>28C04509</v>
      </c>
      <c r="I2355" s="59" t="str">
        <f>IF(OR($A2355="",$C2355="",$D2355="",$E2355="",$H2355=""),"",SUMIFS(DATA_GOC!$H:$H,DATA_GOC!$A:$A,"BOM",DATA_GOC!$D:$D,$H2355,DATA_GOC!$E:$E,$C2355,DATA_GOC!$F:$F,"Xuất nội bộ từ téc",DATA_GOC!$B:$B,"&gt;="&amp;$D2355,DATA_GOC!$B:$B,"&lt;="&amp;$E2355))</f>
        <v/>
      </c>
      <c r="J2355" s="59">
        <f t="shared" si="28"/>
        <v>0</v>
      </c>
      <c r="K2355" s="59">
        <f t="shared" si="29"/>
        <v>0</v>
      </c>
      <c r="L2355" s="59">
        <f t="shared" si="30"/>
        <v>0</v>
      </c>
      <c r="M2355" s="59">
        <f t="shared" si="31"/>
        <v>0</v>
      </c>
    </row>
    <row r="2356" ht="15.0" hidden="1" customHeight="1">
      <c r="A2356" s="59">
        <f t="shared" si="20"/>
        <v>36</v>
      </c>
      <c r="B2356" s="59" t="str">
        <f t="shared" si="21"/>
        <v/>
      </c>
      <c r="C2356" s="59" t="str">
        <f t="shared" si="22"/>
        <v/>
      </c>
      <c r="D2356" s="45" t="str">
        <f t="shared" si="23"/>
        <v/>
      </c>
      <c r="E2356" s="45" t="str">
        <f t="shared" si="24"/>
        <v/>
      </c>
      <c r="F2356" s="59" t="str">
        <f t="shared" si="25"/>
        <v/>
      </c>
      <c r="G2356" s="59" t="str">
        <f t="shared" si="26"/>
        <v/>
      </c>
      <c r="H2356" s="59" t="str">
        <f t="shared" si="27"/>
        <v>28C04536</v>
      </c>
      <c r="I2356" s="59" t="str">
        <f>IF(OR($A2356="",$C2356="",$D2356="",$E2356="",$H2356=""),"",SUMIFS(DATA_GOC!$H:$H,DATA_GOC!$A:$A,"BOM",DATA_GOC!$D:$D,$H2356,DATA_GOC!$E:$E,$C2356,DATA_GOC!$F:$F,"Xuất nội bộ từ téc",DATA_GOC!$B:$B,"&gt;="&amp;$D2356,DATA_GOC!$B:$B,"&lt;="&amp;$E2356))</f>
        <v/>
      </c>
      <c r="J2356" s="59">
        <f t="shared" si="28"/>
        <v>0</v>
      </c>
      <c r="K2356" s="59">
        <f t="shared" si="29"/>
        <v>0</v>
      </c>
      <c r="L2356" s="59">
        <f t="shared" si="30"/>
        <v>0</v>
      </c>
      <c r="M2356" s="59">
        <f t="shared" si="31"/>
        <v>0</v>
      </c>
    </row>
    <row r="2357" ht="15.0" hidden="1" customHeight="1">
      <c r="A2357" s="59">
        <f t="shared" si="20"/>
        <v>36</v>
      </c>
      <c r="B2357" s="59" t="str">
        <f t="shared" si="21"/>
        <v/>
      </c>
      <c r="C2357" s="59" t="str">
        <f t="shared" si="22"/>
        <v/>
      </c>
      <c r="D2357" s="45" t="str">
        <f t="shared" si="23"/>
        <v/>
      </c>
      <c r="E2357" s="45" t="str">
        <f t="shared" si="24"/>
        <v/>
      </c>
      <c r="F2357" s="59" t="str">
        <f t="shared" si="25"/>
        <v/>
      </c>
      <c r="G2357" s="59" t="str">
        <f t="shared" si="26"/>
        <v/>
      </c>
      <c r="H2357" s="59" t="str">
        <f t="shared" si="27"/>
        <v>28C04576</v>
      </c>
      <c r="I2357" s="59" t="str">
        <f>IF(OR($A2357="",$C2357="",$D2357="",$E2357="",$H2357=""),"",SUMIFS(DATA_GOC!$H:$H,DATA_GOC!$A:$A,"BOM",DATA_GOC!$D:$D,$H2357,DATA_GOC!$E:$E,$C2357,DATA_GOC!$F:$F,"Xuất nội bộ từ téc",DATA_GOC!$B:$B,"&gt;="&amp;$D2357,DATA_GOC!$B:$B,"&lt;="&amp;$E2357))</f>
        <v/>
      </c>
      <c r="J2357" s="59">
        <f t="shared" si="28"/>
        <v>0</v>
      </c>
      <c r="K2357" s="59">
        <f t="shared" si="29"/>
        <v>0</v>
      </c>
      <c r="L2357" s="59">
        <f t="shared" si="30"/>
        <v>0</v>
      </c>
      <c r="M2357" s="59">
        <f t="shared" si="31"/>
        <v>0</v>
      </c>
    </row>
    <row r="2358" ht="15.0" hidden="1" customHeight="1">
      <c r="A2358" s="59">
        <f t="shared" si="20"/>
        <v>36</v>
      </c>
      <c r="B2358" s="59" t="str">
        <f t="shared" si="21"/>
        <v/>
      </c>
      <c r="C2358" s="59" t="str">
        <f t="shared" si="22"/>
        <v/>
      </c>
      <c r="D2358" s="45" t="str">
        <f t="shared" si="23"/>
        <v/>
      </c>
      <c r="E2358" s="45" t="str">
        <f t="shared" si="24"/>
        <v/>
      </c>
      <c r="F2358" s="59" t="str">
        <f t="shared" si="25"/>
        <v/>
      </c>
      <c r="G2358" s="59" t="str">
        <f t="shared" si="26"/>
        <v/>
      </c>
      <c r="H2358" s="59" t="str">
        <f t="shared" si="27"/>
        <v>28C05090</v>
      </c>
      <c r="I2358" s="59" t="str">
        <f>IF(OR($A2358="",$C2358="",$D2358="",$E2358="",$H2358=""),"",SUMIFS(DATA_GOC!$H:$H,DATA_GOC!$A:$A,"BOM",DATA_GOC!$D:$D,$H2358,DATA_GOC!$E:$E,$C2358,DATA_GOC!$F:$F,"Xuất nội bộ từ téc",DATA_GOC!$B:$B,"&gt;="&amp;$D2358,DATA_GOC!$B:$B,"&lt;="&amp;$E2358))</f>
        <v/>
      </c>
      <c r="J2358" s="59">
        <f t="shared" si="28"/>
        <v>0</v>
      </c>
      <c r="K2358" s="59">
        <f t="shared" si="29"/>
        <v>0</v>
      </c>
      <c r="L2358" s="59">
        <f t="shared" si="30"/>
        <v>0</v>
      </c>
      <c r="M2358" s="59">
        <f t="shared" si="31"/>
        <v>0</v>
      </c>
    </row>
    <row r="2359" ht="15.0" hidden="1" customHeight="1">
      <c r="A2359" s="59">
        <f t="shared" si="20"/>
        <v>36</v>
      </c>
      <c r="B2359" s="59" t="str">
        <f t="shared" si="21"/>
        <v/>
      </c>
      <c r="C2359" s="59" t="str">
        <f t="shared" si="22"/>
        <v/>
      </c>
      <c r="D2359" s="45" t="str">
        <f t="shared" si="23"/>
        <v/>
      </c>
      <c r="E2359" s="45" t="str">
        <f t="shared" si="24"/>
        <v/>
      </c>
      <c r="F2359" s="59" t="str">
        <f t="shared" si="25"/>
        <v/>
      </c>
      <c r="G2359" s="59" t="str">
        <f t="shared" si="26"/>
        <v/>
      </c>
      <c r="H2359" s="59" t="str">
        <f t="shared" si="27"/>
        <v>28C05345</v>
      </c>
      <c r="I2359" s="59" t="str">
        <f>IF(OR($A2359="",$C2359="",$D2359="",$E2359="",$H2359=""),"",SUMIFS(DATA_GOC!$H:$H,DATA_GOC!$A:$A,"BOM",DATA_GOC!$D:$D,$H2359,DATA_GOC!$E:$E,$C2359,DATA_GOC!$F:$F,"Xuất nội bộ từ téc",DATA_GOC!$B:$B,"&gt;="&amp;$D2359,DATA_GOC!$B:$B,"&lt;="&amp;$E2359))</f>
        <v/>
      </c>
      <c r="J2359" s="59">
        <f t="shared" si="28"/>
        <v>0</v>
      </c>
      <c r="K2359" s="59">
        <f t="shared" si="29"/>
        <v>0</v>
      </c>
      <c r="L2359" s="59">
        <f t="shared" si="30"/>
        <v>0</v>
      </c>
      <c r="M2359" s="59">
        <f t="shared" si="31"/>
        <v>0</v>
      </c>
    </row>
    <row r="2360" ht="15.0" hidden="1" customHeight="1">
      <c r="A2360" s="59">
        <f t="shared" si="20"/>
        <v>36</v>
      </c>
      <c r="B2360" s="59" t="str">
        <f t="shared" si="21"/>
        <v/>
      </c>
      <c r="C2360" s="59" t="str">
        <f t="shared" si="22"/>
        <v/>
      </c>
      <c r="D2360" s="45" t="str">
        <f t="shared" si="23"/>
        <v/>
      </c>
      <c r="E2360" s="45" t="str">
        <f t="shared" si="24"/>
        <v/>
      </c>
      <c r="F2360" s="59" t="str">
        <f t="shared" si="25"/>
        <v/>
      </c>
      <c r="G2360" s="59" t="str">
        <f t="shared" si="26"/>
        <v/>
      </c>
      <c r="H2360" s="59" t="str">
        <f t="shared" si="27"/>
        <v>28C05661</v>
      </c>
      <c r="I2360" s="59" t="str">
        <f>IF(OR($A2360="",$C2360="",$D2360="",$E2360="",$H2360=""),"",SUMIFS(DATA_GOC!$H:$H,DATA_GOC!$A:$A,"BOM",DATA_GOC!$D:$D,$H2360,DATA_GOC!$E:$E,$C2360,DATA_GOC!$F:$F,"Xuất nội bộ từ téc",DATA_GOC!$B:$B,"&gt;="&amp;$D2360,DATA_GOC!$B:$B,"&lt;="&amp;$E2360))</f>
        <v/>
      </c>
      <c r="J2360" s="59">
        <f t="shared" si="28"/>
        <v>0</v>
      </c>
      <c r="K2360" s="59">
        <f t="shared" si="29"/>
        <v>0</v>
      </c>
      <c r="L2360" s="59">
        <f t="shared" si="30"/>
        <v>0</v>
      </c>
      <c r="M2360" s="59">
        <f t="shared" si="31"/>
        <v>0</v>
      </c>
    </row>
    <row r="2361" ht="15.0" hidden="1" customHeight="1">
      <c r="A2361" s="59">
        <f t="shared" si="20"/>
        <v>36</v>
      </c>
      <c r="B2361" s="59" t="str">
        <f t="shared" si="21"/>
        <v/>
      </c>
      <c r="C2361" s="59" t="str">
        <f t="shared" si="22"/>
        <v/>
      </c>
      <c r="D2361" s="45" t="str">
        <f t="shared" si="23"/>
        <v/>
      </c>
      <c r="E2361" s="45" t="str">
        <f t="shared" si="24"/>
        <v/>
      </c>
      <c r="F2361" s="59" t="str">
        <f t="shared" si="25"/>
        <v/>
      </c>
      <c r="G2361" s="59" t="str">
        <f t="shared" si="26"/>
        <v/>
      </c>
      <c r="H2361" s="59" t="str">
        <f t="shared" si="27"/>
        <v>28C05739</v>
      </c>
      <c r="I2361" s="59" t="str">
        <f>IF(OR($A2361="",$C2361="",$D2361="",$E2361="",$H2361=""),"",SUMIFS(DATA_GOC!$H:$H,DATA_GOC!$A:$A,"BOM",DATA_GOC!$D:$D,$H2361,DATA_GOC!$E:$E,$C2361,DATA_GOC!$F:$F,"Xuất nội bộ từ téc",DATA_GOC!$B:$B,"&gt;="&amp;$D2361,DATA_GOC!$B:$B,"&lt;="&amp;$E2361))</f>
        <v/>
      </c>
      <c r="J2361" s="59">
        <f t="shared" si="28"/>
        <v>0</v>
      </c>
      <c r="K2361" s="59">
        <f t="shared" si="29"/>
        <v>0</v>
      </c>
      <c r="L2361" s="59">
        <f t="shared" si="30"/>
        <v>0</v>
      </c>
      <c r="M2361" s="59">
        <f t="shared" si="31"/>
        <v>0</v>
      </c>
    </row>
    <row r="2362" ht="15.0" hidden="1" customHeight="1">
      <c r="A2362" s="59">
        <f t="shared" si="20"/>
        <v>36</v>
      </c>
      <c r="B2362" s="59" t="str">
        <f t="shared" si="21"/>
        <v/>
      </c>
      <c r="C2362" s="59" t="str">
        <f t="shared" si="22"/>
        <v/>
      </c>
      <c r="D2362" s="45" t="str">
        <f t="shared" si="23"/>
        <v/>
      </c>
      <c r="E2362" s="45" t="str">
        <f t="shared" si="24"/>
        <v/>
      </c>
      <c r="F2362" s="59" t="str">
        <f t="shared" si="25"/>
        <v/>
      </c>
      <c r="G2362" s="59" t="str">
        <f t="shared" si="26"/>
        <v/>
      </c>
      <c r="H2362" s="59" t="str">
        <f t="shared" si="27"/>
        <v>28C06369</v>
      </c>
      <c r="I2362" s="59" t="str">
        <f>IF(OR($A2362="",$C2362="",$D2362="",$E2362="",$H2362=""),"",SUMIFS(DATA_GOC!$H:$H,DATA_GOC!$A:$A,"BOM",DATA_GOC!$D:$D,$H2362,DATA_GOC!$E:$E,$C2362,DATA_GOC!$F:$F,"Xuất nội bộ từ téc",DATA_GOC!$B:$B,"&gt;="&amp;$D2362,DATA_GOC!$B:$B,"&lt;="&amp;$E2362))</f>
        <v/>
      </c>
      <c r="J2362" s="59">
        <f t="shared" si="28"/>
        <v>0</v>
      </c>
      <c r="K2362" s="59">
        <f t="shared" si="29"/>
        <v>0</v>
      </c>
      <c r="L2362" s="59">
        <f t="shared" si="30"/>
        <v>0</v>
      </c>
      <c r="M2362" s="59">
        <f t="shared" si="31"/>
        <v>0</v>
      </c>
    </row>
    <row r="2363" ht="15.0" hidden="1" customHeight="1">
      <c r="A2363" s="59">
        <f t="shared" si="20"/>
        <v>36</v>
      </c>
      <c r="B2363" s="59" t="str">
        <f t="shared" si="21"/>
        <v/>
      </c>
      <c r="C2363" s="59" t="str">
        <f t="shared" si="22"/>
        <v/>
      </c>
      <c r="D2363" s="45" t="str">
        <f t="shared" si="23"/>
        <v/>
      </c>
      <c r="E2363" s="45" t="str">
        <f t="shared" si="24"/>
        <v/>
      </c>
      <c r="F2363" s="59" t="str">
        <f t="shared" si="25"/>
        <v/>
      </c>
      <c r="G2363" s="59" t="str">
        <f t="shared" si="26"/>
        <v/>
      </c>
      <c r="H2363" s="59" t="str">
        <f t="shared" si="27"/>
        <v>28C06447</v>
      </c>
      <c r="I2363" s="59" t="str">
        <f>IF(OR($A2363="",$C2363="",$D2363="",$E2363="",$H2363=""),"",SUMIFS(DATA_GOC!$H:$H,DATA_GOC!$A:$A,"BOM",DATA_GOC!$D:$D,$H2363,DATA_GOC!$E:$E,$C2363,DATA_GOC!$F:$F,"Xuất nội bộ từ téc",DATA_GOC!$B:$B,"&gt;="&amp;$D2363,DATA_GOC!$B:$B,"&lt;="&amp;$E2363))</f>
        <v/>
      </c>
      <c r="J2363" s="59">
        <f t="shared" si="28"/>
        <v>0</v>
      </c>
      <c r="K2363" s="59">
        <f t="shared" si="29"/>
        <v>0</v>
      </c>
      <c r="L2363" s="59">
        <f t="shared" si="30"/>
        <v>0</v>
      </c>
      <c r="M2363" s="59">
        <f t="shared" si="31"/>
        <v>0</v>
      </c>
    </row>
    <row r="2364" ht="15.0" hidden="1" customHeight="1">
      <c r="A2364" s="59">
        <f t="shared" si="20"/>
        <v>36</v>
      </c>
      <c r="B2364" s="59" t="str">
        <f t="shared" si="21"/>
        <v/>
      </c>
      <c r="C2364" s="59" t="str">
        <f t="shared" si="22"/>
        <v/>
      </c>
      <c r="D2364" s="45" t="str">
        <f t="shared" si="23"/>
        <v/>
      </c>
      <c r="E2364" s="45" t="str">
        <f t="shared" si="24"/>
        <v/>
      </c>
      <c r="F2364" s="59" t="str">
        <f t="shared" si="25"/>
        <v/>
      </c>
      <c r="G2364" s="59" t="str">
        <f t="shared" si="26"/>
        <v/>
      </c>
      <c r="H2364" s="59" t="str">
        <f t="shared" si="27"/>
        <v>28H00003</v>
      </c>
      <c r="I2364" s="59" t="str">
        <f>IF(OR($A2364="",$C2364="",$D2364="",$E2364="",$H2364=""),"",SUMIFS(DATA_GOC!$H:$H,DATA_GOC!$A:$A,"BOM",DATA_GOC!$D:$D,$H2364,DATA_GOC!$E:$E,$C2364,DATA_GOC!$F:$F,"Xuất nội bộ từ téc",DATA_GOC!$B:$B,"&gt;="&amp;$D2364,DATA_GOC!$B:$B,"&lt;="&amp;$E2364))</f>
        <v/>
      </c>
      <c r="J2364" s="59">
        <f t="shared" si="28"/>
        <v>0</v>
      </c>
      <c r="K2364" s="59">
        <f t="shared" si="29"/>
        <v>0</v>
      </c>
      <c r="L2364" s="59">
        <f t="shared" si="30"/>
        <v>0</v>
      </c>
      <c r="M2364" s="59">
        <f t="shared" si="31"/>
        <v>0</v>
      </c>
    </row>
    <row r="2365" ht="15.0" hidden="1" customHeight="1">
      <c r="A2365" s="59">
        <f t="shared" si="20"/>
        <v>36</v>
      </c>
      <c r="B2365" s="59" t="str">
        <f t="shared" si="21"/>
        <v/>
      </c>
      <c r="C2365" s="59" t="str">
        <f t="shared" si="22"/>
        <v/>
      </c>
      <c r="D2365" s="45" t="str">
        <f t="shared" si="23"/>
        <v/>
      </c>
      <c r="E2365" s="45" t="str">
        <f t="shared" si="24"/>
        <v/>
      </c>
      <c r="F2365" s="59" t="str">
        <f t="shared" si="25"/>
        <v/>
      </c>
      <c r="G2365" s="59" t="str">
        <f t="shared" si="26"/>
        <v/>
      </c>
      <c r="H2365" s="59" t="str">
        <f t="shared" si="27"/>
        <v>28H00061</v>
      </c>
      <c r="I2365" s="59" t="str">
        <f>IF(OR($A2365="",$C2365="",$D2365="",$E2365="",$H2365=""),"",SUMIFS(DATA_GOC!$H:$H,DATA_GOC!$A:$A,"BOM",DATA_GOC!$D:$D,$H2365,DATA_GOC!$E:$E,$C2365,DATA_GOC!$F:$F,"Xuất nội bộ từ téc",DATA_GOC!$B:$B,"&gt;="&amp;$D2365,DATA_GOC!$B:$B,"&lt;="&amp;$E2365))</f>
        <v/>
      </c>
      <c r="J2365" s="59">
        <f t="shared" si="28"/>
        <v>0</v>
      </c>
      <c r="K2365" s="59">
        <f t="shared" si="29"/>
        <v>0</v>
      </c>
      <c r="L2365" s="59">
        <f t="shared" si="30"/>
        <v>0</v>
      </c>
      <c r="M2365" s="59">
        <f t="shared" si="31"/>
        <v>0</v>
      </c>
    </row>
    <row r="2366" ht="15.0" hidden="1" customHeight="1">
      <c r="A2366" s="59">
        <f t="shared" si="20"/>
        <v>36</v>
      </c>
      <c r="B2366" s="59" t="str">
        <f t="shared" si="21"/>
        <v/>
      </c>
      <c r="C2366" s="59" t="str">
        <f t="shared" si="22"/>
        <v/>
      </c>
      <c r="D2366" s="45" t="str">
        <f t="shared" si="23"/>
        <v/>
      </c>
      <c r="E2366" s="45" t="str">
        <f t="shared" si="24"/>
        <v/>
      </c>
      <c r="F2366" s="59" t="str">
        <f t="shared" si="25"/>
        <v/>
      </c>
      <c r="G2366" s="59" t="str">
        <f t="shared" si="26"/>
        <v/>
      </c>
      <c r="H2366" s="59" t="str">
        <f t="shared" si="27"/>
        <v>28H00354</v>
      </c>
      <c r="I2366" s="59" t="str">
        <f>IF(OR($A2366="",$C2366="",$D2366="",$E2366="",$H2366=""),"",SUMIFS(DATA_GOC!$H:$H,DATA_GOC!$A:$A,"BOM",DATA_GOC!$D:$D,$H2366,DATA_GOC!$E:$E,$C2366,DATA_GOC!$F:$F,"Xuất nội bộ từ téc",DATA_GOC!$B:$B,"&gt;="&amp;$D2366,DATA_GOC!$B:$B,"&lt;="&amp;$E2366))</f>
        <v/>
      </c>
      <c r="J2366" s="59">
        <f t="shared" si="28"/>
        <v>0</v>
      </c>
      <c r="K2366" s="59">
        <f t="shared" si="29"/>
        <v>0</v>
      </c>
      <c r="L2366" s="59">
        <f t="shared" si="30"/>
        <v>0</v>
      </c>
      <c r="M2366" s="59">
        <f t="shared" si="31"/>
        <v>0</v>
      </c>
    </row>
    <row r="2367" ht="15.0" hidden="1" customHeight="1">
      <c r="A2367" s="59">
        <f t="shared" si="20"/>
        <v>36</v>
      </c>
      <c r="B2367" s="59" t="str">
        <f t="shared" si="21"/>
        <v/>
      </c>
      <c r="C2367" s="59" t="str">
        <f t="shared" si="22"/>
        <v/>
      </c>
      <c r="D2367" s="45" t="str">
        <f t="shared" si="23"/>
        <v/>
      </c>
      <c r="E2367" s="45" t="str">
        <f t="shared" si="24"/>
        <v/>
      </c>
      <c r="F2367" s="59" t="str">
        <f t="shared" si="25"/>
        <v/>
      </c>
      <c r="G2367" s="59" t="str">
        <f t="shared" si="26"/>
        <v/>
      </c>
      <c r="H2367" s="59" t="str">
        <f t="shared" si="27"/>
        <v>28H00603</v>
      </c>
      <c r="I2367" s="59" t="str">
        <f>IF(OR($A2367="",$C2367="",$D2367="",$E2367="",$H2367=""),"",SUMIFS(DATA_GOC!$H:$H,DATA_GOC!$A:$A,"BOM",DATA_GOC!$D:$D,$H2367,DATA_GOC!$E:$E,$C2367,DATA_GOC!$F:$F,"Xuất nội bộ từ téc",DATA_GOC!$B:$B,"&gt;="&amp;$D2367,DATA_GOC!$B:$B,"&lt;="&amp;$E2367))</f>
        <v/>
      </c>
      <c r="J2367" s="59">
        <f t="shared" si="28"/>
        <v>0</v>
      </c>
      <c r="K2367" s="59">
        <f t="shared" si="29"/>
        <v>0</v>
      </c>
      <c r="L2367" s="59">
        <f t="shared" si="30"/>
        <v>0</v>
      </c>
      <c r="M2367" s="59">
        <f t="shared" si="31"/>
        <v>0</v>
      </c>
    </row>
    <row r="2368" ht="15.0" hidden="1" customHeight="1">
      <c r="A2368" s="59">
        <f t="shared" si="20"/>
        <v>36</v>
      </c>
      <c r="B2368" s="59" t="str">
        <f t="shared" si="21"/>
        <v/>
      </c>
      <c r="C2368" s="59" t="str">
        <f t="shared" si="22"/>
        <v/>
      </c>
      <c r="D2368" s="45" t="str">
        <f t="shared" si="23"/>
        <v/>
      </c>
      <c r="E2368" s="45" t="str">
        <f t="shared" si="24"/>
        <v/>
      </c>
      <c r="F2368" s="59" t="str">
        <f t="shared" si="25"/>
        <v/>
      </c>
      <c r="G2368" s="59" t="str">
        <f t="shared" si="26"/>
        <v/>
      </c>
      <c r="H2368" s="59" t="str">
        <f t="shared" si="27"/>
        <v>28H00609</v>
      </c>
      <c r="I2368" s="59" t="str">
        <f>IF(OR($A2368="",$C2368="",$D2368="",$E2368="",$H2368=""),"",SUMIFS(DATA_GOC!$H:$H,DATA_GOC!$A:$A,"BOM",DATA_GOC!$D:$D,$H2368,DATA_GOC!$E:$E,$C2368,DATA_GOC!$F:$F,"Xuất nội bộ từ téc",DATA_GOC!$B:$B,"&gt;="&amp;$D2368,DATA_GOC!$B:$B,"&lt;="&amp;$E2368))</f>
        <v/>
      </c>
      <c r="J2368" s="59">
        <f t="shared" si="28"/>
        <v>0</v>
      </c>
      <c r="K2368" s="59">
        <f t="shared" si="29"/>
        <v>0</v>
      </c>
      <c r="L2368" s="59">
        <f t="shared" si="30"/>
        <v>0</v>
      </c>
      <c r="M2368" s="59">
        <f t="shared" si="31"/>
        <v>0</v>
      </c>
    </row>
    <row r="2369" ht="15.0" hidden="1" customHeight="1">
      <c r="A2369" s="59">
        <f t="shared" si="20"/>
        <v>36</v>
      </c>
      <c r="B2369" s="59" t="str">
        <f t="shared" si="21"/>
        <v/>
      </c>
      <c r="C2369" s="59" t="str">
        <f t="shared" si="22"/>
        <v/>
      </c>
      <c r="D2369" s="45" t="str">
        <f t="shared" si="23"/>
        <v/>
      </c>
      <c r="E2369" s="45" t="str">
        <f t="shared" si="24"/>
        <v/>
      </c>
      <c r="F2369" s="59" t="str">
        <f t="shared" si="25"/>
        <v/>
      </c>
      <c r="G2369" s="59" t="str">
        <f t="shared" si="26"/>
        <v/>
      </c>
      <c r="H2369" s="59" t="str">
        <f t="shared" si="27"/>
        <v>28H00669</v>
      </c>
      <c r="I2369" s="59" t="str">
        <f>IF(OR($A2369="",$C2369="",$D2369="",$E2369="",$H2369=""),"",SUMIFS(DATA_GOC!$H:$H,DATA_GOC!$A:$A,"BOM",DATA_GOC!$D:$D,$H2369,DATA_GOC!$E:$E,$C2369,DATA_GOC!$F:$F,"Xuất nội bộ từ téc",DATA_GOC!$B:$B,"&gt;="&amp;$D2369,DATA_GOC!$B:$B,"&lt;="&amp;$E2369))</f>
        <v/>
      </c>
      <c r="J2369" s="59">
        <f t="shared" si="28"/>
        <v>0</v>
      </c>
      <c r="K2369" s="59">
        <f t="shared" si="29"/>
        <v>0</v>
      </c>
      <c r="L2369" s="59">
        <f t="shared" si="30"/>
        <v>0</v>
      </c>
      <c r="M2369" s="59">
        <f t="shared" si="31"/>
        <v>0</v>
      </c>
    </row>
    <row r="2370" ht="15.0" hidden="1" customHeight="1">
      <c r="A2370" s="59">
        <f t="shared" si="20"/>
        <v>36</v>
      </c>
      <c r="B2370" s="59" t="str">
        <f t="shared" si="21"/>
        <v/>
      </c>
      <c r="C2370" s="59" t="str">
        <f t="shared" si="22"/>
        <v/>
      </c>
      <c r="D2370" s="45" t="str">
        <f t="shared" si="23"/>
        <v/>
      </c>
      <c r="E2370" s="45" t="str">
        <f t="shared" si="24"/>
        <v/>
      </c>
      <c r="F2370" s="59" t="str">
        <f t="shared" si="25"/>
        <v/>
      </c>
      <c r="G2370" s="59" t="str">
        <f t="shared" si="26"/>
        <v/>
      </c>
      <c r="H2370" s="59" t="str">
        <f t="shared" si="27"/>
        <v>28H00680</v>
      </c>
      <c r="I2370" s="59" t="str">
        <f>IF(OR($A2370="",$C2370="",$D2370="",$E2370="",$H2370=""),"",SUMIFS(DATA_GOC!$H:$H,DATA_GOC!$A:$A,"BOM",DATA_GOC!$D:$D,$H2370,DATA_GOC!$E:$E,$C2370,DATA_GOC!$F:$F,"Xuất nội bộ từ téc",DATA_GOC!$B:$B,"&gt;="&amp;$D2370,DATA_GOC!$B:$B,"&lt;="&amp;$E2370))</f>
        <v/>
      </c>
      <c r="J2370" s="59">
        <f t="shared" si="28"/>
        <v>0</v>
      </c>
      <c r="K2370" s="59">
        <f t="shared" si="29"/>
        <v>0</v>
      </c>
      <c r="L2370" s="59">
        <f t="shared" si="30"/>
        <v>0</v>
      </c>
      <c r="M2370" s="59">
        <f t="shared" si="31"/>
        <v>0</v>
      </c>
    </row>
    <row r="2371" ht="15.0" hidden="1" customHeight="1">
      <c r="A2371" s="59">
        <f t="shared" si="20"/>
        <v>36</v>
      </c>
      <c r="B2371" s="59" t="str">
        <f t="shared" si="21"/>
        <v/>
      </c>
      <c r="C2371" s="59" t="str">
        <f t="shared" si="22"/>
        <v/>
      </c>
      <c r="D2371" s="45" t="str">
        <f t="shared" si="23"/>
        <v/>
      </c>
      <c r="E2371" s="45" t="str">
        <f t="shared" si="24"/>
        <v/>
      </c>
      <c r="F2371" s="59" t="str">
        <f t="shared" si="25"/>
        <v/>
      </c>
      <c r="G2371" s="59" t="str">
        <f t="shared" si="26"/>
        <v/>
      </c>
      <c r="H2371" s="59" t="str">
        <f t="shared" si="27"/>
        <v>28H01070</v>
      </c>
      <c r="I2371" s="59" t="str">
        <f>IF(OR($A2371="",$C2371="",$D2371="",$E2371="",$H2371=""),"",SUMIFS(DATA_GOC!$H:$H,DATA_GOC!$A:$A,"BOM",DATA_GOC!$D:$D,$H2371,DATA_GOC!$E:$E,$C2371,DATA_GOC!$F:$F,"Xuất nội bộ từ téc",DATA_GOC!$B:$B,"&gt;="&amp;$D2371,DATA_GOC!$B:$B,"&lt;="&amp;$E2371))</f>
        <v/>
      </c>
      <c r="J2371" s="59">
        <f t="shared" si="28"/>
        <v>0</v>
      </c>
      <c r="K2371" s="59">
        <f t="shared" si="29"/>
        <v>0</v>
      </c>
      <c r="L2371" s="59">
        <f t="shared" si="30"/>
        <v>0</v>
      </c>
      <c r="M2371" s="59">
        <f t="shared" si="31"/>
        <v>0</v>
      </c>
    </row>
    <row r="2372" ht="15.0" hidden="1" customHeight="1">
      <c r="A2372" s="59">
        <f t="shared" si="20"/>
        <v>36</v>
      </c>
      <c r="B2372" s="59" t="str">
        <f t="shared" si="21"/>
        <v/>
      </c>
      <c r="C2372" s="59" t="str">
        <f t="shared" si="22"/>
        <v/>
      </c>
      <c r="D2372" s="45" t="str">
        <f t="shared" si="23"/>
        <v/>
      </c>
      <c r="E2372" s="45" t="str">
        <f t="shared" si="24"/>
        <v/>
      </c>
      <c r="F2372" s="59" t="str">
        <f t="shared" si="25"/>
        <v/>
      </c>
      <c r="G2372" s="59" t="str">
        <f t="shared" si="26"/>
        <v/>
      </c>
      <c r="H2372" s="59" t="str">
        <f t="shared" si="27"/>
        <v>28H01364</v>
      </c>
      <c r="I2372" s="59" t="str">
        <f>IF(OR($A2372="",$C2372="",$D2372="",$E2372="",$H2372=""),"",SUMIFS(DATA_GOC!$H:$H,DATA_GOC!$A:$A,"BOM",DATA_GOC!$D:$D,$H2372,DATA_GOC!$E:$E,$C2372,DATA_GOC!$F:$F,"Xuất nội bộ từ téc",DATA_GOC!$B:$B,"&gt;="&amp;$D2372,DATA_GOC!$B:$B,"&lt;="&amp;$E2372))</f>
        <v/>
      </c>
      <c r="J2372" s="59">
        <f t="shared" si="28"/>
        <v>0</v>
      </c>
      <c r="K2372" s="59">
        <f t="shared" si="29"/>
        <v>0</v>
      </c>
      <c r="L2372" s="59">
        <f t="shared" si="30"/>
        <v>0</v>
      </c>
      <c r="M2372" s="59">
        <f t="shared" si="31"/>
        <v>0</v>
      </c>
    </row>
    <row r="2373" ht="15.0" hidden="1" customHeight="1">
      <c r="A2373" s="59">
        <f t="shared" si="20"/>
        <v>36</v>
      </c>
      <c r="B2373" s="59" t="str">
        <f t="shared" si="21"/>
        <v/>
      </c>
      <c r="C2373" s="59" t="str">
        <f t="shared" si="22"/>
        <v/>
      </c>
      <c r="D2373" s="45" t="str">
        <f t="shared" si="23"/>
        <v/>
      </c>
      <c r="E2373" s="45" t="str">
        <f t="shared" si="24"/>
        <v/>
      </c>
      <c r="F2373" s="59" t="str">
        <f t="shared" si="25"/>
        <v/>
      </c>
      <c r="G2373" s="59" t="str">
        <f t="shared" si="26"/>
        <v/>
      </c>
      <c r="H2373" s="59" t="str">
        <f t="shared" si="27"/>
        <v>29E17269</v>
      </c>
      <c r="I2373" s="59" t="str">
        <f>IF(OR($A2373="",$C2373="",$D2373="",$E2373="",$H2373=""),"",SUMIFS(DATA_GOC!$H:$H,DATA_GOC!$A:$A,"BOM",DATA_GOC!$D:$D,$H2373,DATA_GOC!$E:$E,$C2373,DATA_GOC!$F:$F,"Xuất nội bộ từ téc",DATA_GOC!$B:$B,"&gt;="&amp;$D2373,DATA_GOC!$B:$B,"&lt;="&amp;$E2373))</f>
        <v/>
      </c>
      <c r="J2373" s="59">
        <f t="shared" si="28"/>
        <v>0</v>
      </c>
      <c r="K2373" s="59">
        <f t="shared" si="29"/>
        <v>0</v>
      </c>
      <c r="L2373" s="59">
        <f t="shared" si="30"/>
        <v>0</v>
      </c>
      <c r="M2373" s="59">
        <f t="shared" si="31"/>
        <v>0</v>
      </c>
    </row>
    <row r="2374" ht="15.0" hidden="1" customHeight="1">
      <c r="A2374" s="59">
        <f t="shared" si="20"/>
        <v>36</v>
      </c>
      <c r="B2374" s="59" t="str">
        <f t="shared" si="21"/>
        <v/>
      </c>
      <c r="C2374" s="59" t="str">
        <f t="shared" si="22"/>
        <v/>
      </c>
      <c r="D2374" s="45" t="str">
        <f t="shared" si="23"/>
        <v/>
      </c>
      <c r="E2374" s="45" t="str">
        <f t="shared" si="24"/>
        <v/>
      </c>
      <c r="F2374" s="59" t="str">
        <f t="shared" si="25"/>
        <v/>
      </c>
      <c r="G2374" s="59" t="str">
        <f t="shared" si="26"/>
        <v/>
      </c>
      <c r="H2374" s="59" t="str">
        <f t="shared" si="27"/>
        <v>29E17273</v>
      </c>
      <c r="I2374" s="59" t="str">
        <f>IF(OR($A2374="",$C2374="",$D2374="",$E2374="",$H2374=""),"",SUMIFS(DATA_GOC!$H:$H,DATA_GOC!$A:$A,"BOM",DATA_GOC!$D:$D,$H2374,DATA_GOC!$E:$E,$C2374,DATA_GOC!$F:$F,"Xuất nội bộ từ téc",DATA_GOC!$B:$B,"&gt;="&amp;$D2374,DATA_GOC!$B:$B,"&lt;="&amp;$E2374))</f>
        <v/>
      </c>
      <c r="J2374" s="59">
        <f t="shared" si="28"/>
        <v>0</v>
      </c>
      <c r="K2374" s="59">
        <f t="shared" si="29"/>
        <v>0</v>
      </c>
      <c r="L2374" s="59">
        <f t="shared" si="30"/>
        <v>0</v>
      </c>
      <c r="M2374" s="59">
        <f t="shared" si="31"/>
        <v>0</v>
      </c>
    </row>
    <row r="2375" ht="15.0" hidden="1" customHeight="1">
      <c r="A2375" s="59">
        <f t="shared" si="20"/>
        <v>36</v>
      </c>
      <c r="B2375" s="59" t="str">
        <f t="shared" si="21"/>
        <v/>
      </c>
      <c r="C2375" s="59" t="str">
        <f t="shared" si="22"/>
        <v/>
      </c>
      <c r="D2375" s="45" t="str">
        <f t="shared" si="23"/>
        <v/>
      </c>
      <c r="E2375" s="45" t="str">
        <f t="shared" si="24"/>
        <v/>
      </c>
      <c r="F2375" s="59" t="str">
        <f t="shared" si="25"/>
        <v/>
      </c>
      <c r="G2375" s="59" t="str">
        <f t="shared" si="26"/>
        <v/>
      </c>
      <c r="H2375" s="59" t="str">
        <f t="shared" si="27"/>
        <v>29E17410</v>
      </c>
      <c r="I2375" s="59" t="str">
        <f>IF(OR($A2375="",$C2375="",$D2375="",$E2375="",$H2375=""),"",SUMIFS(DATA_GOC!$H:$H,DATA_GOC!$A:$A,"BOM",DATA_GOC!$D:$D,$H2375,DATA_GOC!$E:$E,$C2375,DATA_GOC!$F:$F,"Xuất nội bộ từ téc",DATA_GOC!$B:$B,"&gt;="&amp;$D2375,DATA_GOC!$B:$B,"&lt;="&amp;$E2375))</f>
        <v/>
      </c>
      <c r="J2375" s="59">
        <f t="shared" si="28"/>
        <v>0</v>
      </c>
      <c r="K2375" s="59">
        <f t="shared" si="29"/>
        <v>0</v>
      </c>
      <c r="L2375" s="59">
        <f t="shared" si="30"/>
        <v>0</v>
      </c>
      <c r="M2375" s="59">
        <f t="shared" si="31"/>
        <v>0</v>
      </c>
    </row>
    <row r="2376" ht="15.0" hidden="1" customHeight="1">
      <c r="A2376" s="59">
        <f t="shared" si="20"/>
        <v>36</v>
      </c>
      <c r="B2376" s="59" t="str">
        <f t="shared" si="21"/>
        <v/>
      </c>
      <c r="C2376" s="59" t="str">
        <f t="shared" si="22"/>
        <v/>
      </c>
      <c r="D2376" s="45" t="str">
        <f t="shared" si="23"/>
        <v/>
      </c>
      <c r="E2376" s="45" t="str">
        <f t="shared" si="24"/>
        <v/>
      </c>
      <c r="F2376" s="59" t="str">
        <f t="shared" si="25"/>
        <v/>
      </c>
      <c r="G2376" s="59" t="str">
        <f t="shared" si="26"/>
        <v/>
      </c>
      <c r="H2376" s="59" t="str">
        <f t="shared" si="27"/>
        <v>29E17417</v>
      </c>
      <c r="I2376" s="59" t="str">
        <f>IF(OR($A2376="",$C2376="",$D2376="",$E2376="",$H2376=""),"",SUMIFS(DATA_GOC!$H:$H,DATA_GOC!$A:$A,"BOM",DATA_GOC!$D:$D,$H2376,DATA_GOC!$E:$E,$C2376,DATA_GOC!$F:$F,"Xuất nội bộ từ téc",DATA_GOC!$B:$B,"&gt;="&amp;$D2376,DATA_GOC!$B:$B,"&lt;="&amp;$E2376))</f>
        <v/>
      </c>
      <c r="J2376" s="59">
        <f t="shared" si="28"/>
        <v>0</v>
      </c>
      <c r="K2376" s="59">
        <f t="shared" si="29"/>
        <v>0</v>
      </c>
      <c r="L2376" s="59">
        <f t="shared" si="30"/>
        <v>0</v>
      </c>
      <c r="M2376" s="59">
        <f t="shared" si="31"/>
        <v>0</v>
      </c>
    </row>
    <row r="2377" ht="15.0" hidden="1" customHeight="1">
      <c r="A2377" s="59">
        <f t="shared" si="20"/>
        <v>36</v>
      </c>
      <c r="B2377" s="59" t="str">
        <f t="shared" si="21"/>
        <v/>
      </c>
      <c r="C2377" s="59" t="str">
        <f t="shared" si="22"/>
        <v/>
      </c>
      <c r="D2377" s="45" t="str">
        <f t="shared" si="23"/>
        <v/>
      </c>
      <c r="E2377" s="45" t="str">
        <f t="shared" si="24"/>
        <v/>
      </c>
      <c r="F2377" s="59" t="str">
        <f t="shared" si="25"/>
        <v/>
      </c>
      <c r="G2377" s="59" t="str">
        <f t="shared" si="26"/>
        <v/>
      </c>
      <c r="H2377" s="59" t="str">
        <f t="shared" si="27"/>
        <v>29E17539</v>
      </c>
      <c r="I2377" s="59" t="str">
        <f>IF(OR($A2377="",$C2377="",$D2377="",$E2377="",$H2377=""),"",SUMIFS(DATA_GOC!$H:$H,DATA_GOC!$A:$A,"BOM",DATA_GOC!$D:$D,$H2377,DATA_GOC!$E:$E,$C2377,DATA_GOC!$F:$F,"Xuất nội bộ từ téc",DATA_GOC!$B:$B,"&gt;="&amp;$D2377,DATA_GOC!$B:$B,"&lt;="&amp;$E2377))</f>
        <v/>
      </c>
      <c r="J2377" s="59">
        <f t="shared" si="28"/>
        <v>0</v>
      </c>
      <c r="K2377" s="59">
        <f t="shared" si="29"/>
        <v>0</v>
      </c>
      <c r="L2377" s="59">
        <f t="shared" si="30"/>
        <v>0</v>
      </c>
      <c r="M2377" s="59">
        <f t="shared" si="31"/>
        <v>0</v>
      </c>
    </row>
    <row r="2378" ht="15.0" hidden="1" customHeight="1">
      <c r="A2378" s="59">
        <f t="shared" si="20"/>
        <v>36</v>
      </c>
      <c r="B2378" s="59" t="str">
        <f t="shared" si="21"/>
        <v/>
      </c>
      <c r="C2378" s="59" t="str">
        <f t="shared" si="22"/>
        <v/>
      </c>
      <c r="D2378" s="45" t="str">
        <f t="shared" si="23"/>
        <v/>
      </c>
      <c r="E2378" s="45" t="str">
        <f t="shared" si="24"/>
        <v/>
      </c>
      <c r="F2378" s="59" t="str">
        <f t="shared" si="25"/>
        <v/>
      </c>
      <c r="G2378" s="59" t="str">
        <f t="shared" si="26"/>
        <v/>
      </c>
      <c r="H2378" s="59" t="str">
        <f t="shared" si="27"/>
        <v>29E18160</v>
      </c>
      <c r="I2378" s="59" t="str">
        <f>IF(OR($A2378="",$C2378="",$D2378="",$E2378="",$H2378=""),"",SUMIFS(DATA_GOC!$H:$H,DATA_GOC!$A:$A,"BOM",DATA_GOC!$D:$D,$H2378,DATA_GOC!$E:$E,$C2378,DATA_GOC!$F:$F,"Xuất nội bộ từ téc",DATA_GOC!$B:$B,"&gt;="&amp;$D2378,DATA_GOC!$B:$B,"&lt;="&amp;$E2378))</f>
        <v/>
      </c>
      <c r="J2378" s="59">
        <f t="shared" si="28"/>
        <v>0</v>
      </c>
      <c r="K2378" s="59">
        <f t="shared" si="29"/>
        <v>0</v>
      </c>
      <c r="L2378" s="59">
        <f t="shared" si="30"/>
        <v>0</v>
      </c>
      <c r="M2378" s="59">
        <f t="shared" si="31"/>
        <v>0</v>
      </c>
    </row>
    <row r="2379" ht="15.0" hidden="1" customHeight="1">
      <c r="A2379" s="59">
        <f t="shared" si="20"/>
        <v>36</v>
      </c>
      <c r="B2379" s="59" t="str">
        <f t="shared" si="21"/>
        <v/>
      </c>
      <c r="C2379" s="59" t="str">
        <f t="shared" si="22"/>
        <v/>
      </c>
      <c r="D2379" s="45" t="str">
        <f t="shared" si="23"/>
        <v/>
      </c>
      <c r="E2379" s="45" t="str">
        <f t="shared" si="24"/>
        <v/>
      </c>
      <c r="F2379" s="59" t="str">
        <f t="shared" si="25"/>
        <v/>
      </c>
      <c r="G2379" s="59" t="str">
        <f t="shared" si="26"/>
        <v/>
      </c>
      <c r="H2379" s="59" t="str">
        <f t="shared" si="27"/>
        <v>Công trình Asphalt</v>
      </c>
      <c r="I2379" s="59" t="str">
        <f>IF(OR($A2379="",$C2379="",$D2379="",$E2379="",$H2379=""),"",SUMIFS(DATA_GOC!$H:$H,DATA_GOC!$A:$A,"BOM",DATA_GOC!$D:$D,$H2379,DATA_GOC!$E:$E,$C2379,DATA_GOC!$F:$F,"Xuất nội bộ từ téc",DATA_GOC!$B:$B,"&gt;="&amp;$D2379,DATA_GOC!$B:$B,"&lt;="&amp;$E2379))</f>
        <v/>
      </c>
      <c r="J2379" s="59">
        <f t="shared" si="28"/>
        <v>0</v>
      </c>
      <c r="K2379" s="59">
        <f t="shared" si="29"/>
        <v>0</v>
      </c>
      <c r="L2379" s="59">
        <f t="shared" si="30"/>
        <v>0</v>
      </c>
      <c r="M2379" s="59">
        <f t="shared" si="31"/>
        <v>0</v>
      </c>
    </row>
    <row r="2380" ht="15.0" hidden="1" customHeight="1">
      <c r="A2380" s="59">
        <f t="shared" si="20"/>
        <v>36</v>
      </c>
      <c r="B2380" s="59" t="str">
        <f t="shared" si="21"/>
        <v/>
      </c>
      <c r="C2380" s="59" t="str">
        <f t="shared" si="22"/>
        <v/>
      </c>
      <c r="D2380" s="45" t="str">
        <f t="shared" si="23"/>
        <v/>
      </c>
      <c r="E2380" s="45" t="str">
        <f t="shared" si="24"/>
        <v/>
      </c>
      <c r="F2380" s="59" t="str">
        <f t="shared" si="25"/>
        <v/>
      </c>
      <c r="G2380" s="59" t="str">
        <f t="shared" si="26"/>
        <v/>
      </c>
      <c r="H2380" s="59" t="str">
        <f t="shared" si="27"/>
        <v>LG53F</v>
      </c>
      <c r="I2380" s="59" t="str">
        <f>IF(OR($A2380="",$C2380="",$D2380="",$E2380="",$H2380=""),"",SUMIFS(DATA_GOC!$H:$H,DATA_GOC!$A:$A,"BOM",DATA_GOC!$D:$D,$H2380,DATA_GOC!$E:$E,$C2380,DATA_GOC!$F:$F,"Xuất nội bộ từ téc",DATA_GOC!$B:$B,"&gt;="&amp;$D2380,DATA_GOC!$B:$B,"&lt;="&amp;$E2380))</f>
        <v/>
      </c>
      <c r="J2380" s="59">
        <f t="shared" si="28"/>
        <v>0</v>
      </c>
      <c r="K2380" s="59">
        <f t="shared" si="29"/>
        <v>0</v>
      </c>
      <c r="L2380" s="59">
        <f t="shared" si="30"/>
        <v>0</v>
      </c>
      <c r="M2380" s="59">
        <f t="shared" si="31"/>
        <v>0</v>
      </c>
    </row>
    <row r="2381" ht="15.0" hidden="1" customHeight="1">
      <c r="A2381" s="59">
        <f t="shared" si="20"/>
        <v>36</v>
      </c>
      <c r="B2381" s="59" t="str">
        <f t="shared" si="21"/>
        <v/>
      </c>
      <c r="C2381" s="59" t="str">
        <f t="shared" si="22"/>
        <v/>
      </c>
      <c r="D2381" s="45" t="str">
        <f t="shared" si="23"/>
        <v/>
      </c>
      <c r="E2381" s="45" t="str">
        <f t="shared" si="24"/>
        <v/>
      </c>
      <c r="F2381" s="59" t="str">
        <f t="shared" si="25"/>
        <v/>
      </c>
      <c r="G2381" s="59" t="str">
        <f t="shared" si="26"/>
        <v/>
      </c>
      <c r="H2381" s="59" t="str">
        <f t="shared" si="27"/>
        <v>Máy phát điện</v>
      </c>
      <c r="I2381" s="59" t="str">
        <f>IF(OR($A2381="",$C2381="",$D2381="",$E2381="",$H2381=""),"",SUMIFS(DATA_GOC!$H:$H,DATA_GOC!$A:$A,"BOM",DATA_GOC!$D:$D,$H2381,DATA_GOC!$E:$E,$C2381,DATA_GOC!$F:$F,"Xuất nội bộ từ téc",DATA_GOC!$B:$B,"&gt;="&amp;$D2381,DATA_GOC!$B:$B,"&lt;="&amp;$E2381))</f>
        <v/>
      </c>
      <c r="J2381" s="59">
        <f t="shared" si="28"/>
        <v>0</v>
      </c>
      <c r="K2381" s="59">
        <f t="shared" si="29"/>
        <v>0</v>
      </c>
      <c r="L2381" s="59">
        <f t="shared" si="30"/>
        <v>0</v>
      </c>
      <c r="M2381" s="59">
        <f t="shared" si="31"/>
        <v>0</v>
      </c>
    </row>
    <row r="2382" ht="15.0" hidden="1" customHeight="1">
      <c r="A2382" s="59">
        <f t="shared" si="20"/>
        <v>36</v>
      </c>
      <c r="B2382" s="59" t="str">
        <f t="shared" si="21"/>
        <v/>
      </c>
      <c r="C2382" s="59" t="str">
        <f t="shared" si="22"/>
        <v/>
      </c>
      <c r="D2382" s="45" t="str">
        <f t="shared" si="23"/>
        <v/>
      </c>
      <c r="E2382" s="45" t="str">
        <f t="shared" si="24"/>
        <v/>
      </c>
      <c r="F2382" s="59" t="str">
        <f t="shared" si="25"/>
        <v/>
      </c>
      <c r="G2382" s="59" t="str">
        <f t="shared" si="26"/>
        <v/>
      </c>
      <c r="H2382" s="59" t="str">
        <f t="shared" si="27"/>
        <v>Máy rải thảm</v>
      </c>
      <c r="I2382" s="59" t="str">
        <f>IF(OR($A2382="",$C2382="",$D2382="",$E2382="",$H2382=""),"",SUMIFS(DATA_GOC!$H:$H,DATA_GOC!$A:$A,"BOM",DATA_GOC!$D:$D,$H2382,DATA_GOC!$E:$E,$C2382,DATA_GOC!$F:$F,"Xuất nội bộ từ téc",DATA_GOC!$B:$B,"&gt;="&amp;$D2382,DATA_GOC!$B:$B,"&lt;="&amp;$E2382))</f>
        <v/>
      </c>
      <c r="J2382" s="59">
        <f t="shared" si="28"/>
        <v>0</v>
      </c>
      <c r="K2382" s="59">
        <f t="shared" si="29"/>
        <v>0</v>
      </c>
      <c r="L2382" s="59">
        <f t="shared" si="30"/>
        <v>0</v>
      </c>
      <c r="M2382" s="59">
        <f t="shared" si="31"/>
        <v>0</v>
      </c>
    </row>
    <row r="2383" ht="15.0" hidden="1" customHeight="1">
      <c r="A2383" s="59">
        <f t="shared" si="20"/>
        <v>36</v>
      </c>
      <c r="B2383" s="59" t="str">
        <f t="shared" si="21"/>
        <v/>
      </c>
      <c r="C2383" s="59" t="str">
        <f t="shared" si="22"/>
        <v/>
      </c>
      <c r="D2383" s="45" t="str">
        <f t="shared" si="23"/>
        <v/>
      </c>
      <c r="E2383" s="45" t="str">
        <f t="shared" si="24"/>
        <v/>
      </c>
      <c r="F2383" s="59" t="str">
        <f t="shared" si="25"/>
        <v/>
      </c>
      <c r="G2383" s="59" t="str">
        <f t="shared" si="26"/>
        <v/>
      </c>
      <c r="H2383" s="59" t="str">
        <f t="shared" si="27"/>
        <v>Xúc Đào</v>
      </c>
      <c r="I2383" s="59" t="str">
        <f>IF(OR($A2383="",$C2383="",$D2383="",$E2383="",$H2383=""),"",SUMIFS(DATA_GOC!$H:$H,DATA_GOC!$A:$A,"BOM",DATA_GOC!$D:$D,$H2383,DATA_GOC!$E:$E,$C2383,DATA_GOC!$F:$F,"Xuất nội bộ từ téc",DATA_GOC!$B:$B,"&gt;="&amp;$D2383,DATA_GOC!$B:$B,"&lt;="&amp;$E2383))</f>
        <v/>
      </c>
      <c r="J2383" s="59">
        <f t="shared" si="28"/>
        <v>0</v>
      </c>
      <c r="K2383" s="59">
        <f t="shared" si="29"/>
        <v>0</v>
      </c>
      <c r="L2383" s="59">
        <f t="shared" si="30"/>
        <v>0</v>
      </c>
      <c r="M2383" s="59">
        <f t="shared" si="31"/>
        <v>0</v>
      </c>
    </row>
    <row r="2384" ht="15.0" hidden="1" customHeight="1">
      <c r="A2384" s="59">
        <f t="shared" si="20"/>
        <v>36</v>
      </c>
      <c r="B2384" s="59" t="str">
        <f t="shared" si="21"/>
        <v/>
      </c>
      <c r="C2384" s="59" t="str">
        <f t="shared" si="22"/>
        <v/>
      </c>
      <c r="D2384" s="45" t="str">
        <f t="shared" si="23"/>
        <v/>
      </c>
      <c r="E2384" s="45" t="str">
        <f t="shared" si="24"/>
        <v/>
      </c>
      <c r="F2384" s="59" t="str">
        <f t="shared" si="25"/>
        <v/>
      </c>
      <c r="G2384" s="59" t="str">
        <f t="shared" si="26"/>
        <v/>
      </c>
      <c r="H2384" s="59" t="str">
        <f t="shared" si="27"/>
        <v>Xúclật asphalt</v>
      </c>
      <c r="I2384" s="59" t="str">
        <f>IF(OR($A2384="",$C2384="",$D2384="",$E2384="",$H2384=""),"",SUMIFS(DATA_GOC!$H:$H,DATA_GOC!$A:$A,"BOM",DATA_GOC!$D:$D,$H2384,DATA_GOC!$E:$E,$C2384,DATA_GOC!$F:$F,"Xuất nội bộ từ téc",DATA_GOC!$B:$B,"&gt;="&amp;$D2384,DATA_GOC!$B:$B,"&lt;="&amp;$E2384))</f>
        <v/>
      </c>
      <c r="J2384" s="59">
        <f t="shared" si="28"/>
        <v>0</v>
      </c>
      <c r="K2384" s="59">
        <f t="shared" si="29"/>
        <v>0</v>
      </c>
      <c r="L2384" s="59">
        <f t="shared" si="30"/>
        <v>0</v>
      </c>
      <c r="M2384" s="59">
        <f t="shared" si="31"/>
        <v>0</v>
      </c>
    </row>
    <row r="2385" ht="15.0" hidden="1" customHeight="1">
      <c r="A2385" s="59">
        <f t="shared" si="20"/>
        <v>36</v>
      </c>
      <c r="B2385" s="59" t="str">
        <f t="shared" si="21"/>
        <v/>
      </c>
      <c r="C2385" s="59" t="str">
        <f t="shared" si="22"/>
        <v/>
      </c>
      <c r="D2385" s="45" t="str">
        <f t="shared" si="23"/>
        <v/>
      </c>
      <c r="E2385" s="45" t="str">
        <f t="shared" si="24"/>
        <v/>
      </c>
      <c r="F2385" s="59" t="str">
        <f t="shared" si="25"/>
        <v/>
      </c>
      <c r="G2385" s="59" t="str">
        <f t="shared" si="26"/>
        <v/>
      </c>
      <c r="H2385" s="59" t="str">
        <f t="shared" si="27"/>
        <v>Xúclật855H</v>
      </c>
      <c r="I2385" s="59" t="str">
        <f>IF(OR($A2385="",$C2385="",$D2385="",$E2385="",$H2385=""),"",SUMIFS(DATA_GOC!$H:$H,DATA_GOC!$A:$A,"BOM",DATA_GOC!$D:$D,$H2385,DATA_GOC!$E:$E,$C2385,DATA_GOC!$F:$F,"Xuất nội bộ từ téc",DATA_GOC!$B:$B,"&gt;="&amp;$D2385,DATA_GOC!$B:$B,"&lt;="&amp;$E2385))</f>
        <v/>
      </c>
      <c r="J2385" s="59">
        <f t="shared" si="28"/>
        <v>0</v>
      </c>
      <c r="K2385" s="59">
        <f t="shared" si="29"/>
        <v>0</v>
      </c>
      <c r="L2385" s="59">
        <f t="shared" si="30"/>
        <v>0</v>
      </c>
      <c r="M2385" s="59">
        <f t="shared" si="31"/>
        <v>0</v>
      </c>
    </row>
    <row r="2386" ht="15.0" hidden="1" customHeight="1">
      <c r="A2386" s="59">
        <f t="shared" si="20"/>
        <v>36</v>
      </c>
      <c r="B2386" s="59" t="str">
        <f t="shared" si="21"/>
        <v/>
      </c>
      <c r="C2386" s="59" t="str">
        <f t="shared" si="22"/>
        <v/>
      </c>
      <c r="D2386" s="45" t="str">
        <f t="shared" si="23"/>
        <v/>
      </c>
      <c r="E2386" s="45" t="str">
        <f t="shared" si="24"/>
        <v/>
      </c>
      <c r="F2386" s="59" t="str">
        <f t="shared" si="25"/>
        <v/>
      </c>
      <c r="G2386" s="59" t="str">
        <f t="shared" si="26"/>
        <v/>
      </c>
      <c r="H2386" s="59" t="str">
        <f t="shared" si="27"/>
        <v>Xúclật855N</v>
      </c>
      <c r="I2386" s="59" t="str">
        <f>IF(OR($A2386="",$C2386="",$D2386="",$E2386="",$H2386=""),"",SUMIFS(DATA_GOC!$H:$H,DATA_GOC!$A:$A,"BOM",DATA_GOC!$D:$D,$H2386,DATA_GOC!$E:$E,$C2386,DATA_GOC!$F:$F,"Xuất nội bộ từ téc",DATA_GOC!$B:$B,"&gt;="&amp;$D2386,DATA_GOC!$B:$B,"&lt;="&amp;$E2386))</f>
        <v/>
      </c>
      <c r="J2386" s="59">
        <f t="shared" si="28"/>
        <v>0</v>
      </c>
      <c r="K2386" s="59">
        <f t="shared" si="29"/>
        <v>0</v>
      </c>
      <c r="L2386" s="59">
        <f t="shared" si="30"/>
        <v>0</v>
      </c>
      <c r="M2386" s="59">
        <f t="shared" si="31"/>
        <v>0</v>
      </c>
    </row>
    <row r="2387" ht="15.0" hidden="1" customHeight="1">
      <c r="A2387" s="59">
        <f t="shared" si="20"/>
        <v>36</v>
      </c>
      <c r="B2387" s="59" t="str">
        <f t="shared" si="21"/>
        <v/>
      </c>
      <c r="C2387" s="59" t="str">
        <f t="shared" si="22"/>
        <v/>
      </c>
      <c r="D2387" s="45" t="str">
        <f t="shared" si="23"/>
        <v/>
      </c>
      <c r="E2387" s="45" t="str">
        <f t="shared" si="24"/>
        <v/>
      </c>
      <c r="F2387" s="59" t="str">
        <f t="shared" si="25"/>
        <v/>
      </c>
      <c r="G2387" s="59" t="str">
        <f t="shared" si="26"/>
        <v/>
      </c>
      <c r="H2387" s="59" t="str">
        <f t="shared" si="27"/>
        <v>Cát nghiền</v>
      </c>
      <c r="I2387" s="59" t="str">
        <f>IF(OR($A2387="",$C2387="",$D2387="",$E2387="",$H2387=""),"",SUMIFS(DATA_GOC!$H:$H,DATA_GOC!$A:$A,"BOM",DATA_GOC!$D:$D,$H2387,DATA_GOC!$E:$E,$C2387,DATA_GOC!$F:$F,"Xuất nội bộ từ téc",DATA_GOC!$B:$B,"&gt;="&amp;$D2387,DATA_GOC!$B:$B,"&lt;="&amp;$E2387))</f>
        <v/>
      </c>
      <c r="J2387" s="59">
        <f t="shared" si="28"/>
        <v>0</v>
      </c>
      <c r="K2387" s="59">
        <f t="shared" si="29"/>
        <v>0</v>
      </c>
      <c r="L2387" s="59">
        <f t="shared" si="30"/>
        <v>0</v>
      </c>
      <c r="M2387" s="59">
        <f t="shared" si="31"/>
        <v>0</v>
      </c>
    </row>
    <row r="2388" ht="15.0" hidden="1" customHeight="1">
      <c r="A2388" s="59">
        <f t="shared" si="20"/>
        <v>36</v>
      </c>
      <c r="B2388" s="59" t="str">
        <f t="shared" si="21"/>
        <v/>
      </c>
      <c r="C2388" s="59" t="str">
        <f t="shared" si="22"/>
        <v/>
      </c>
      <c r="D2388" s="45" t="str">
        <f t="shared" si="23"/>
        <v/>
      </c>
      <c r="E2388" s="45" t="str">
        <f t="shared" si="24"/>
        <v/>
      </c>
      <c r="F2388" s="59" t="str">
        <f t="shared" si="25"/>
        <v/>
      </c>
      <c r="G2388" s="59" t="str">
        <f t="shared" si="26"/>
        <v/>
      </c>
      <c r="H2388" s="59" t="str">
        <f t="shared" si="27"/>
        <v>28C02973</v>
      </c>
      <c r="I2388" s="59" t="str">
        <f>IF(OR($A2388="",$C2388="",$D2388="",$E2388="",$H2388=""),"",SUMIFS(DATA_GOC!$H:$H,DATA_GOC!$A:$A,"BOM",DATA_GOC!$D:$D,$H2388,DATA_GOC!$E:$E,$C2388,DATA_GOC!$F:$F,"Xuất nội bộ từ téc",DATA_GOC!$B:$B,"&gt;="&amp;$D2388,DATA_GOC!$B:$B,"&lt;="&amp;$E2388))</f>
        <v/>
      </c>
      <c r="J2388" s="59">
        <f t="shared" si="28"/>
        <v>0</v>
      </c>
      <c r="K2388" s="59">
        <f t="shared" si="29"/>
        <v>0</v>
      </c>
      <c r="L2388" s="59">
        <f t="shared" si="30"/>
        <v>0</v>
      </c>
      <c r="M2388" s="59">
        <f t="shared" si="31"/>
        <v>0</v>
      </c>
    </row>
    <row r="2389" ht="15.0" hidden="1" customHeight="1">
      <c r="A2389" s="59">
        <f t="shared" si="20"/>
        <v>36</v>
      </c>
      <c r="B2389" s="59" t="str">
        <f t="shared" si="21"/>
        <v/>
      </c>
      <c r="C2389" s="59" t="str">
        <f t="shared" si="22"/>
        <v/>
      </c>
      <c r="D2389" s="45" t="str">
        <f t="shared" si="23"/>
        <v/>
      </c>
      <c r="E2389" s="45" t="str">
        <f t="shared" si="24"/>
        <v/>
      </c>
      <c r="F2389" s="59" t="str">
        <f t="shared" si="25"/>
        <v/>
      </c>
      <c r="G2389" s="59" t="str">
        <f t="shared" si="26"/>
        <v/>
      </c>
      <c r="H2389" s="59" t="str">
        <f t="shared" si="27"/>
        <v>28C03044</v>
      </c>
      <c r="I2389" s="59" t="str">
        <f>IF(OR($A2389="",$C2389="",$D2389="",$E2389="",$H2389=""),"",SUMIFS(DATA_GOC!$H:$H,DATA_GOC!$A:$A,"BOM",DATA_GOC!$D:$D,$H2389,DATA_GOC!$E:$E,$C2389,DATA_GOC!$F:$F,"Xuất nội bộ từ téc",DATA_GOC!$B:$B,"&gt;="&amp;$D2389,DATA_GOC!$B:$B,"&lt;="&amp;$E2389))</f>
        <v/>
      </c>
      <c r="J2389" s="59">
        <f t="shared" si="28"/>
        <v>0</v>
      </c>
      <c r="K2389" s="59">
        <f t="shared" si="29"/>
        <v>0</v>
      </c>
      <c r="L2389" s="59">
        <f t="shared" si="30"/>
        <v>0</v>
      </c>
      <c r="M2389" s="59">
        <f t="shared" si="31"/>
        <v>0</v>
      </c>
    </row>
    <row r="2390" ht="15.0" hidden="1" customHeight="1">
      <c r="A2390" s="59">
        <f t="shared" si="20"/>
        <v>36</v>
      </c>
      <c r="B2390" s="59" t="str">
        <f t="shared" si="21"/>
        <v/>
      </c>
      <c r="C2390" s="59" t="str">
        <f t="shared" si="22"/>
        <v/>
      </c>
      <c r="D2390" s="45" t="str">
        <f t="shared" si="23"/>
        <v/>
      </c>
      <c r="E2390" s="45" t="str">
        <f t="shared" si="24"/>
        <v/>
      </c>
      <c r="F2390" s="59" t="str">
        <f t="shared" si="25"/>
        <v/>
      </c>
      <c r="G2390" s="59" t="str">
        <f t="shared" si="26"/>
        <v/>
      </c>
      <c r="H2390" s="59" t="str">
        <f t="shared" si="27"/>
        <v>Máy lu lốp</v>
      </c>
      <c r="I2390" s="59" t="str">
        <f>IF(OR($A2390="",$C2390="",$D2390="",$E2390="",$H2390=""),"",SUMIFS(DATA_GOC!$H:$H,DATA_GOC!$A:$A,"BOM",DATA_GOC!$D:$D,$H2390,DATA_GOC!$E:$E,$C2390,DATA_GOC!$F:$F,"Xuất nội bộ từ téc",DATA_GOC!$B:$B,"&gt;="&amp;$D2390,DATA_GOC!$B:$B,"&lt;="&amp;$E2390))</f>
        <v/>
      </c>
      <c r="J2390" s="59">
        <f t="shared" si="28"/>
        <v>0</v>
      </c>
      <c r="K2390" s="59">
        <f t="shared" si="29"/>
        <v>0</v>
      </c>
      <c r="L2390" s="59">
        <f t="shared" si="30"/>
        <v>0</v>
      </c>
      <c r="M2390" s="59">
        <f t="shared" si="31"/>
        <v>0</v>
      </c>
    </row>
    <row r="2391" ht="15.0" hidden="1" customHeight="1">
      <c r="A2391" s="59">
        <f t="shared" si="20"/>
        <v>36</v>
      </c>
      <c r="B2391" s="59" t="str">
        <f t="shared" si="21"/>
        <v/>
      </c>
      <c r="C2391" s="59" t="str">
        <f t="shared" si="22"/>
        <v/>
      </c>
      <c r="D2391" s="45" t="str">
        <f t="shared" si="23"/>
        <v/>
      </c>
      <c r="E2391" s="45" t="str">
        <f t="shared" si="24"/>
        <v/>
      </c>
      <c r="F2391" s="59" t="str">
        <f t="shared" si="25"/>
        <v/>
      </c>
      <c r="G2391" s="59" t="str">
        <f t="shared" si="26"/>
        <v/>
      </c>
      <c r="H2391" s="59" t="str">
        <f t="shared" si="27"/>
        <v>Xe 600148</v>
      </c>
      <c r="I2391" s="59" t="str">
        <f>IF(OR($A2391="",$C2391="",$D2391="",$E2391="",$H2391=""),"",SUMIFS(DATA_GOC!$H:$H,DATA_GOC!$A:$A,"BOM",DATA_GOC!$D:$D,$H2391,DATA_GOC!$E:$E,$C2391,DATA_GOC!$F:$F,"Xuất nội bộ từ téc",DATA_GOC!$B:$B,"&gt;="&amp;$D2391,DATA_GOC!$B:$B,"&lt;="&amp;$E2391))</f>
        <v/>
      </c>
      <c r="J2391" s="59">
        <f t="shared" si="28"/>
        <v>0</v>
      </c>
      <c r="K2391" s="59">
        <f t="shared" si="29"/>
        <v>0</v>
      </c>
      <c r="L2391" s="59">
        <f t="shared" si="30"/>
        <v>0</v>
      </c>
      <c r="M2391" s="59">
        <f t="shared" si="31"/>
        <v>0</v>
      </c>
    </row>
    <row r="2392" ht="15.0" hidden="1" customHeight="1">
      <c r="A2392" s="59">
        <f t="shared" si="20"/>
        <v>36</v>
      </c>
      <c r="B2392" s="59" t="str">
        <f t="shared" si="21"/>
        <v/>
      </c>
      <c r="C2392" s="59" t="str">
        <f t="shared" si="22"/>
        <v/>
      </c>
      <c r="D2392" s="45" t="str">
        <f t="shared" si="23"/>
        <v/>
      </c>
      <c r="E2392" s="45" t="str">
        <f t="shared" si="24"/>
        <v/>
      </c>
      <c r="F2392" s="59" t="str">
        <f t="shared" si="25"/>
        <v/>
      </c>
      <c r="G2392" s="59" t="str">
        <f t="shared" si="26"/>
        <v/>
      </c>
      <c r="H2392" s="59" t="str">
        <f t="shared" si="27"/>
        <v>Xe ben mới</v>
      </c>
      <c r="I2392" s="59" t="str">
        <f>IF(OR($A2392="",$C2392="",$D2392="",$E2392="",$H2392=""),"",SUMIFS(DATA_GOC!$H:$H,DATA_GOC!$A:$A,"BOM",DATA_GOC!$D:$D,$H2392,DATA_GOC!$E:$E,$C2392,DATA_GOC!$F:$F,"Xuất nội bộ từ téc",DATA_GOC!$B:$B,"&gt;="&amp;$D2392,DATA_GOC!$B:$B,"&lt;="&amp;$E2392))</f>
        <v/>
      </c>
      <c r="J2392" s="59">
        <f t="shared" si="28"/>
        <v>0</v>
      </c>
      <c r="K2392" s="59">
        <f t="shared" si="29"/>
        <v>0</v>
      </c>
      <c r="L2392" s="59">
        <f t="shared" si="30"/>
        <v>0</v>
      </c>
      <c r="M2392" s="59">
        <f t="shared" si="31"/>
        <v>0</v>
      </c>
    </row>
    <row r="2393" ht="15.0" hidden="1" customHeight="1">
      <c r="A2393" s="59">
        <f t="shared" si="20"/>
        <v>37</v>
      </c>
      <c r="B2393" s="59" t="str">
        <f t="shared" si="21"/>
        <v/>
      </c>
      <c r="C2393" s="59" t="str">
        <f t="shared" si="22"/>
        <v/>
      </c>
      <c r="D2393" s="45" t="str">
        <f t="shared" si="23"/>
        <v/>
      </c>
      <c r="E2393" s="45" t="str">
        <f t="shared" si="24"/>
        <v/>
      </c>
      <c r="F2393" s="59" t="str">
        <f t="shared" si="25"/>
        <v/>
      </c>
      <c r="G2393" s="59" t="str">
        <f t="shared" si="26"/>
        <v/>
      </c>
      <c r="H2393" s="59" t="str">
        <f t="shared" si="27"/>
        <v>19H09482</v>
      </c>
      <c r="I2393" s="59" t="str">
        <f>IF(OR($A2393="",$C2393="",$D2393="",$E2393="",$H2393=""),"",SUMIFS(DATA_GOC!$H:$H,DATA_GOC!$A:$A,"BOM",DATA_GOC!$D:$D,$H2393,DATA_GOC!$E:$E,$C2393,DATA_GOC!$F:$F,"Xuất nội bộ từ téc",DATA_GOC!$B:$B,"&gt;="&amp;$D2393,DATA_GOC!$B:$B,"&lt;="&amp;$E2393))</f>
        <v/>
      </c>
      <c r="J2393" s="59">
        <f t="shared" si="28"/>
        <v>0</v>
      </c>
      <c r="K2393" s="59">
        <f t="shared" si="29"/>
        <v>0</v>
      </c>
      <c r="L2393" s="59">
        <f t="shared" si="30"/>
        <v>0</v>
      </c>
      <c r="M2393" s="59">
        <f t="shared" si="31"/>
        <v>0</v>
      </c>
    </row>
    <row r="2394" ht="15.0" hidden="1" customHeight="1">
      <c r="A2394" s="59">
        <f t="shared" si="20"/>
        <v>37</v>
      </c>
      <c r="B2394" s="59" t="str">
        <f t="shared" si="21"/>
        <v/>
      </c>
      <c r="C2394" s="59" t="str">
        <f t="shared" si="22"/>
        <v/>
      </c>
      <c r="D2394" s="45" t="str">
        <f t="shared" si="23"/>
        <v/>
      </c>
      <c r="E2394" s="45" t="str">
        <f t="shared" si="24"/>
        <v/>
      </c>
      <c r="F2394" s="59" t="str">
        <f t="shared" si="25"/>
        <v/>
      </c>
      <c r="G2394" s="59" t="str">
        <f t="shared" si="26"/>
        <v/>
      </c>
      <c r="H2394" s="59" t="str">
        <f t="shared" si="27"/>
        <v>28A30696</v>
      </c>
      <c r="I2394" s="59" t="str">
        <f>IF(OR($A2394="",$C2394="",$D2394="",$E2394="",$H2394=""),"",SUMIFS(DATA_GOC!$H:$H,DATA_GOC!$A:$A,"BOM",DATA_GOC!$D:$D,$H2394,DATA_GOC!$E:$E,$C2394,DATA_GOC!$F:$F,"Xuất nội bộ từ téc",DATA_GOC!$B:$B,"&gt;="&amp;$D2394,DATA_GOC!$B:$B,"&lt;="&amp;$E2394))</f>
        <v/>
      </c>
      <c r="J2394" s="59">
        <f t="shared" si="28"/>
        <v>0</v>
      </c>
      <c r="K2394" s="59">
        <f t="shared" si="29"/>
        <v>0</v>
      </c>
      <c r="L2394" s="59">
        <f t="shared" si="30"/>
        <v>0</v>
      </c>
      <c r="M2394" s="59">
        <f t="shared" si="31"/>
        <v>0</v>
      </c>
    </row>
    <row r="2395" ht="15.0" hidden="1" customHeight="1">
      <c r="A2395" s="59">
        <f t="shared" si="20"/>
        <v>37</v>
      </c>
      <c r="B2395" s="59" t="str">
        <f t="shared" si="21"/>
        <v/>
      </c>
      <c r="C2395" s="59" t="str">
        <f t="shared" si="22"/>
        <v/>
      </c>
      <c r="D2395" s="45" t="str">
        <f t="shared" si="23"/>
        <v/>
      </c>
      <c r="E2395" s="45" t="str">
        <f t="shared" si="24"/>
        <v/>
      </c>
      <c r="F2395" s="59" t="str">
        <f t="shared" si="25"/>
        <v/>
      </c>
      <c r="G2395" s="59" t="str">
        <f t="shared" si="26"/>
        <v/>
      </c>
      <c r="H2395" s="59" t="str">
        <f t="shared" si="27"/>
        <v>28C00462</v>
      </c>
      <c r="I2395" s="59" t="str">
        <f>IF(OR($A2395="",$C2395="",$D2395="",$E2395="",$H2395=""),"",SUMIFS(DATA_GOC!$H:$H,DATA_GOC!$A:$A,"BOM",DATA_GOC!$D:$D,$H2395,DATA_GOC!$E:$E,$C2395,DATA_GOC!$F:$F,"Xuất nội bộ từ téc",DATA_GOC!$B:$B,"&gt;="&amp;$D2395,DATA_GOC!$B:$B,"&lt;="&amp;$E2395))</f>
        <v/>
      </c>
      <c r="J2395" s="59">
        <f t="shared" si="28"/>
        <v>0</v>
      </c>
      <c r="K2395" s="59">
        <f t="shared" si="29"/>
        <v>0</v>
      </c>
      <c r="L2395" s="59">
        <f t="shared" si="30"/>
        <v>0</v>
      </c>
      <c r="M2395" s="59">
        <f t="shared" si="31"/>
        <v>0</v>
      </c>
    </row>
    <row r="2396" ht="15.0" hidden="1" customHeight="1">
      <c r="A2396" s="59">
        <f t="shared" si="20"/>
        <v>37</v>
      </c>
      <c r="B2396" s="59" t="str">
        <f t="shared" si="21"/>
        <v/>
      </c>
      <c r="C2396" s="59" t="str">
        <f t="shared" si="22"/>
        <v/>
      </c>
      <c r="D2396" s="45" t="str">
        <f t="shared" si="23"/>
        <v/>
      </c>
      <c r="E2396" s="45" t="str">
        <f t="shared" si="24"/>
        <v/>
      </c>
      <c r="F2396" s="59" t="str">
        <f t="shared" si="25"/>
        <v/>
      </c>
      <c r="G2396" s="59" t="str">
        <f t="shared" si="26"/>
        <v/>
      </c>
      <c r="H2396" s="59" t="str">
        <f t="shared" si="27"/>
        <v>28C01165</v>
      </c>
      <c r="I2396" s="59" t="str">
        <f>IF(OR($A2396="",$C2396="",$D2396="",$E2396="",$H2396=""),"",SUMIFS(DATA_GOC!$H:$H,DATA_GOC!$A:$A,"BOM",DATA_GOC!$D:$D,$H2396,DATA_GOC!$E:$E,$C2396,DATA_GOC!$F:$F,"Xuất nội bộ từ téc",DATA_GOC!$B:$B,"&gt;="&amp;$D2396,DATA_GOC!$B:$B,"&lt;="&amp;$E2396))</f>
        <v/>
      </c>
      <c r="J2396" s="59">
        <f t="shared" si="28"/>
        <v>0</v>
      </c>
      <c r="K2396" s="59">
        <f t="shared" si="29"/>
        <v>0</v>
      </c>
      <c r="L2396" s="59">
        <f t="shared" si="30"/>
        <v>0</v>
      </c>
      <c r="M2396" s="59">
        <f t="shared" si="31"/>
        <v>0</v>
      </c>
    </row>
    <row r="2397" ht="15.0" hidden="1" customHeight="1">
      <c r="A2397" s="59">
        <f t="shared" si="20"/>
        <v>37</v>
      </c>
      <c r="B2397" s="59" t="str">
        <f t="shared" si="21"/>
        <v/>
      </c>
      <c r="C2397" s="59" t="str">
        <f t="shared" si="22"/>
        <v/>
      </c>
      <c r="D2397" s="45" t="str">
        <f t="shared" si="23"/>
        <v/>
      </c>
      <c r="E2397" s="45" t="str">
        <f t="shared" si="24"/>
        <v/>
      </c>
      <c r="F2397" s="59" t="str">
        <f t="shared" si="25"/>
        <v/>
      </c>
      <c r="G2397" s="59" t="str">
        <f t="shared" si="26"/>
        <v/>
      </c>
      <c r="H2397" s="59" t="str">
        <f t="shared" si="27"/>
        <v>28C01406</v>
      </c>
      <c r="I2397" s="59" t="str">
        <f>IF(OR($A2397="",$C2397="",$D2397="",$E2397="",$H2397=""),"",SUMIFS(DATA_GOC!$H:$H,DATA_GOC!$A:$A,"BOM",DATA_GOC!$D:$D,$H2397,DATA_GOC!$E:$E,$C2397,DATA_GOC!$F:$F,"Xuất nội bộ từ téc",DATA_GOC!$B:$B,"&gt;="&amp;$D2397,DATA_GOC!$B:$B,"&lt;="&amp;$E2397))</f>
        <v/>
      </c>
      <c r="J2397" s="59">
        <f t="shared" si="28"/>
        <v>0</v>
      </c>
      <c r="K2397" s="59">
        <f t="shared" si="29"/>
        <v>0</v>
      </c>
      <c r="L2397" s="59">
        <f t="shared" si="30"/>
        <v>0</v>
      </c>
      <c r="M2397" s="59">
        <f t="shared" si="31"/>
        <v>0</v>
      </c>
    </row>
    <row r="2398" ht="15.0" hidden="1" customHeight="1">
      <c r="A2398" s="59">
        <f t="shared" si="20"/>
        <v>37</v>
      </c>
      <c r="B2398" s="59" t="str">
        <f t="shared" si="21"/>
        <v/>
      </c>
      <c r="C2398" s="59" t="str">
        <f t="shared" si="22"/>
        <v/>
      </c>
      <c r="D2398" s="45" t="str">
        <f t="shared" si="23"/>
        <v/>
      </c>
      <c r="E2398" s="45" t="str">
        <f t="shared" si="24"/>
        <v/>
      </c>
      <c r="F2398" s="59" t="str">
        <f t="shared" si="25"/>
        <v/>
      </c>
      <c r="G2398" s="59" t="str">
        <f t="shared" si="26"/>
        <v/>
      </c>
      <c r="H2398" s="59" t="str">
        <f t="shared" si="27"/>
        <v>28C01544</v>
      </c>
      <c r="I2398" s="59" t="str">
        <f>IF(OR($A2398="",$C2398="",$D2398="",$E2398="",$H2398=""),"",SUMIFS(DATA_GOC!$H:$H,DATA_GOC!$A:$A,"BOM",DATA_GOC!$D:$D,$H2398,DATA_GOC!$E:$E,$C2398,DATA_GOC!$F:$F,"Xuất nội bộ từ téc",DATA_GOC!$B:$B,"&gt;="&amp;$D2398,DATA_GOC!$B:$B,"&lt;="&amp;$E2398))</f>
        <v/>
      </c>
      <c r="J2398" s="59">
        <f t="shared" si="28"/>
        <v>0</v>
      </c>
      <c r="K2398" s="59">
        <f t="shared" si="29"/>
        <v>0</v>
      </c>
      <c r="L2398" s="59">
        <f t="shared" si="30"/>
        <v>0</v>
      </c>
      <c r="M2398" s="59">
        <f t="shared" si="31"/>
        <v>0</v>
      </c>
    </row>
    <row r="2399" ht="15.0" hidden="1" customHeight="1">
      <c r="A2399" s="59">
        <f t="shared" si="20"/>
        <v>37</v>
      </c>
      <c r="B2399" s="59" t="str">
        <f t="shared" si="21"/>
        <v/>
      </c>
      <c r="C2399" s="59" t="str">
        <f t="shared" si="22"/>
        <v/>
      </c>
      <c r="D2399" s="45" t="str">
        <f t="shared" si="23"/>
        <v/>
      </c>
      <c r="E2399" s="45" t="str">
        <f t="shared" si="24"/>
        <v/>
      </c>
      <c r="F2399" s="59" t="str">
        <f t="shared" si="25"/>
        <v/>
      </c>
      <c r="G2399" s="59" t="str">
        <f t="shared" si="26"/>
        <v/>
      </c>
      <c r="H2399" s="59" t="str">
        <f t="shared" si="27"/>
        <v>28C01622</v>
      </c>
      <c r="I2399" s="59" t="str">
        <f>IF(OR($A2399="",$C2399="",$D2399="",$E2399="",$H2399=""),"",SUMIFS(DATA_GOC!$H:$H,DATA_GOC!$A:$A,"BOM",DATA_GOC!$D:$D,$H2399,DATA_GOC!$E:$E,$C2399,DATA_GOC!$F:$F,"Xuất nội bộ từ téc",DATA_GOC!$B:$B,"&gt;="&amp;$D2399,DATA_GOC!$B:$B,"&lt;="&amp;$E2399))</f>
        <v/>
      </c>
      <c r="J2399" s="59">
        <f t="shared" si="28"/>
        <v>0</v>
      </c>
      <c r="K2399" s="59">
        <f t="shared" si="29"/>
        <v>0</v>
      </c>
      <c r="L2399" s="59">
        <f t="shared" si="30"/>
        <v>0</v>
      </c>
      <c r="M2399" s="59">
        <f t="shared" si="31"/>
        <v>0</v>
      </c>
    </row>
    <row r="2400" ht="15.0" hidden="1" customHeight="1">
      <c r="A2400" s="59">
        <f t="shared" si="20"/>
        <v>37</v>
      </c>
      <c r="B2400" s="59" t="str">
        <f t="shared" si="21"/>
        <v/>
      </c>
      <c r="C2400" s="59" t="str">
        <f t="shared" si="22"/>
        <v/>
      </c>
      <c r="D2400" s="45" t="str">
        <f t="shared" si="23"/>
        <v/>
      </c>
      <c r="E2400" s="45" t="str">
        <f t="shared" si="24"/>
        <v/>
      </c>
      <c r="F2400" s="59" t="str">
        <f t="shared" si="25"/>
        <v/>
      </c>
      <c r="G2400" s="59" t="str">
        <f t="shared" si="26"/>
        <v/>
      </c>
      <c r="H2400" s="59" t="str">
        <f t="shared" si="27"/>
        <v>28C01647</v>
      </c>
      <c r="I2400" s="59" t="str">
        <f>IF(OR($A2400="",$C2400="",$D2400="",$E2400="",$H2400=""),"",SUMIFS(DATA_GOC!$H:$H,DATA_GOC!$A:$A,"BOM",DATA_GOC!$D:$D,$H2400,DATA_GOC!$E:$E,$C2400,DATA_GOC!$F:$F,"Xuất nội bộ từ téc",DATA_GOC!$B:$B,"&gt;="&amp;$D2400,DATA_GOC!$B:$B,"&lt;="&amp;$E2400))</f>
        <v/>
      </c>
      <c r="J2400" s="59">
        <f t="shared" si="28"/>
        <v>0</v>
      </c>
      <c r="K2400" s="59">
        <f t="shared" si="29"/>
        <v>0</v>
      </c>
      <c r="L2400" s="59">
        <f t="shared" si="30"/>
        <v>0</v>
      </c>
      <c r="M2400" s="59">
        <f t="shared" si="31"/>
        <v>0</v>
      </c>
    </row>
    <row r="2401" ht="15.0" hidden="1" customHeight="1">
      <c r="A2401" s="59">
        <f t="shared" si="20"/>
        <v>37</v>
      </c>
      <c r="B2401" s="59" t="str">
        <f t="shared" si="21"/>
        <v/>
      </c>
      <c r="C2401" s="59" t="str">
        <f t="shared" si="22"/>
        <v/>
      </c>
      <c r="D2401" s="45" t="str">
        <f t="shared" si="23"/>
        <v/>
      </c>
      <c r="E2401" s="45" t="str">
        <f t="shared" si="24"/>
        <v/>
      </c>
      <c r="F2401" s="59" t="str">
        <f t="shared" si="25"/>
        <v/>
      </c>
      <c r="G2401" s="59" t="str">
        <f t="shared" si="26"/>
        <v/>
      </c>
      <c r="H2401" s="59" t="str">
        <f t="shared" si="27"/>
        <v>28C01731</v>
      </c>
      <c r="I2401" s="59" t="str">
        <f>IF(OR($A2401="",$C2401="",$D2401="",$E2401="",$H2401=""),"",SUMIFS(DATA_GOC!$H:$H,DATA_GOC!$A:$A,"BOM",DATA_GOC!$D:$D,$H2401,DATA_GOC!$E:$E,$C2401,DATA_GOC!$F:$F,"Xuất nội bộ từ téc",DATA_GOC!$B:$B,"&gt;="&amp;$D2401,DATA_GOC!$B:$B,"&lt;="&amp;$E2401))</f>
        <v/>
      </c>
      <c r="J2401" s="59">
        <f t="shared" si="28"/>
        <v>0</v>
      </c>
      <c r="K2401" s="59">
        <f t="shared" si="29"/>
        <v>0</v>
      </c>
      <c r="L2401" s="59">
        <f t="shared" si="30"/>
        <v>0</v>
      </c>
      <c r="M2401" s="59">
        <f t="shared" si="31"/>
        <v>0</v>
      </c>
    </row>
    <row r="2402" ht="15.0" hidden="1" customHeight="1">
      <c r="A2402" s="59">
        <f t="shared" si="20"/>
        <v>37</v>
      </c>
      <c r="B2402" s="59" t="str">
        <f t="shared" si="21"/>
        <v/>
      </c>
      <c r="C2402" s="59" t="str">
        <f t="shared" si="22"/>
        <v/>
      </c>
      <c r="D2402" s="45" t="str">
        <f t="shared" si="23"/>
        <v/>
      </c>
      <c r="E2402" s="45" t="str">
        <f t="shared" si="24"/>
        <v/>
      </c>
      <c r="F2402" s="59" t="str">
        <f t="shared" si="25"/>
        <v/>
      </c>
      <c r="G2402" s="59" t="str">
        <f t="shared" si="26"/>
        <v/>
      </c>
      <c r="H2402" s="59" t="str">
        <f t="shared" si="27"/>
        <v>28C01743</v>
      </c>
      <c r="I2402" s="59" t="str">
        <f>IF(OR($A2402="",$C2402="",$D2402="",$E2402="",$H2402=""),"",SUMIFS(DATA_GOC!$H:$H,DATA_GOC!$A:$A,"BOM",DATA_GOC!$D:$D,$H2402,DATA_GOC!$E:$E,$C2402,DATA_GOC!$F:$F,"Xuất nội bộ từ téc",DATA_GOC!$B:$B,"&gt;="&amp;$D2402,DATA_GOC!$B:$B,"&lt;="&amp;$E2402))</f>
        <v/>
      </c>
      <c r="J2402" s="59">
        <f t="shared" si="28"/>
        <v>0</v>
      </c>
      <c r="K2402" s="59">
        <f t="shared" si="29"/>
        <v>0</v>
      </c>
      <c r="L2402" s="59">
        <f t="shared" si="30"/>
        <v>0</v>
      </c>
      <c r="M2402" s="59">
        <f t="shared" si="31"/>
        <v>0</v>
      </c>
    </row>
    <row r="2403" ht="15.0" hidden="1" customHeight="1">
      <c r="A2403" s="59">
        <f t="shared" si="20"/>
        <v>37</v>
      </c>
      <c r="B2403" s="59" t="str">
        <f t="shared" si="21"/>
        <v/>
      </c>
      <c r="C2403" s="59" t="str">
        <f t="shared" si="22"/>
        <v/>
      </c>
      <c r="D2403" s="45" t="str">
        <f t="shared" si="23"/>
        <v/>
      </c>
      <c r="E2403" s="45" t="str">
        <f t="shared" si="24"/>
        <v/>
      </c>
      <c r="F2403" s="59" t="str">
        <f t="shared" si="25"/>
        <v/>
      </c>
      <c r="G2403" s="59" t="str">
        <f t="shared" si="26"/>
        <v/>
      </c>
      <c r="H2403" s="59" t="str">
        <f t="shared" si="27"/>
        <v>28C02106</v>
      </c>
      <c r="I2403" s="59" t="str">
        <f>IF(OR($A2403="",$C2403="",$D2403="",$E2403="",$H2403=""),"",SUMIFS(DATA_GOC!$H:$H,DATA_GOC!$A:$A,"BOM",DATA_GOC!$D:$D,$H2403,DATA_GOC!$E:$E,$C2403,DATA_GOC!$F:$F,"Xuất nội bộ từ téc",DATA_GOC!$B:$B,"&gt;="&amp;$D2403,DATA_GOC!$B:$B,"&lt;="&amp;$E2403))</f>
        <v/>
      </c>
      <c r="J2403" s="59">
        <f t="shared" si="28"/>
        <v>0</v>
      </c>
      <c r="K2403" s="59">
        <f t="shared" si="29"/>
        <v>0</v>
      </c>
      <c r="L2403" s="59">
        <f t="shared" si="30"/>
        <v>0</v>
      </c>
      <c r="M2403" s="59">
        <f t="shared" si="31"/>
        <v>0</v>
      </c>
    </row>
    <row r="2404" ht="15.0" hidden="1" customHeight="1">
      <c r="A2404" s="59">
        <f t="shared" si="20"/>
        <v>37</v>
      </c>
      <c r="B2404" s="59" t="str">
        <f t="shared" si="21"/>
        <v/>
      </c>
      <c r="C2404" s="59" t="str">
        <f t="shared" si="22"/>
        <v/>
      </c>
      <c r="D2404" s="45" t="str">
        <f t="shared" si="23"/>
        <v/>
      </c>
      <c r="E2404" s="45" t="str">
        <f t="shared" si="24"/>
        <v/>
      </c>
      <c r="F2404" s="59" t="str">
        <f t="shared" si="25"/>
        <v/>
      </c>
      <c r="G2404" s="59" t="str">
        <f t="shared" si="26"/>
        <v/>
      </c>
      <c r="H2404" s="59" t="str">
        <f t="shared" si="27"/>
        <v>28C02410</v>
      </c>
      <c r="I2404" s="59" t="str">
        <f>IF(OR($A2404="",$C2404="",$D2404="",$E2404="",$H2404=""),"",SUMIFS(DATA_GOC!$H:$H,DATA_GOC!$A:$A,"BOM",DATA_GOC!$D:$D,$H2404,DATA_GOC!$E:$E,$C2404,DATA_GOC!$F:$F,"Xuất nội bộ từ téc",DATA_GOC!$B:$B,"&gt;="&amp;$D2404,DATA_GOC!$B:$B,"&lt;="&amp;$E2404))</f>
        <v/>
      </c>
      <c r="J2404" s="59">
        <f t="shared" si="28"/>
        <v>0</v>
      </c>
      <c r="K2404" s="59">
        <f t="shared" si="29"/>
        <v>0</v>
      </c>
      <c r="L2404" s="59">
        <f t="shared" si="30"/>
        <v>0</v>
      </c>
      <c r="M2404" s="59">
        <f t="shared" si="31"/>
        <v>0</v>
      </c>
    </row>
    <row r="2405" ht="15.0" hidden="1" customHeight="1">
      <c r="A2405" s="59">
        <f t="shared" si="20"/>
        <v>37</v>
      </c>
      <c r="B2405" s="59" t="str">
        <f t="shared" si="21"/>
        <v/>
      </c>
      <c r="C2405" s="59" t="str">
        <f t="shared" si="22"/>
        <v/>
      </c>
      <c r="D2405" s="45" t="str">
        <f t="shared" si="23"/>
        <v/>
      </c>
      <c r="E2405" s="45" t="str">
        <f t="shared" si="24"/>
        <v/>
      </c>
      <c r="F2405" s="59" t="str">
        <f t="shared" si="25"/>
        <v/>
      </c>
      <c r="G2405" s="59" t="str">
        <f t="shared" si="26"/>
        <v/>
      </c>
      <c r="H2405" s="59" t="str">
        <f t="shared" si="27"/>
        <v>28C02545</v>
      </c>
      <c r="I2405" s="59" t="str">
        <f>IF(OR($A2405="",$C2405="",$D2405="",$E2405="",$H2405=""),"",SUMIFS(DATA_GOC!$H:$H,DATA_GOC!$A:$A,"BOM",DATA_GOC!$D:$D,$H2405,DATA_GOC!$E:$E,$C2405,DATA_GOC!$F:$F,"Xuất nội bộ từ téc",DATA_GOC!$B:$B,"&gt;="&amp;$D2405,DATA_GOC!$B:$B,"&lt;="&amp;$E2405))</f>
        <v/>
      </c>
      <c r="J2405" s="59">
        <f t="shared" si="28"/>
        <v>0</v>
      </c>
      <c r="K2405" s="59">
        <f t="shared" si="29"/>
        <v>0</v>
      </c>
      <c r="L2405" s="59">
        <f t="shared" si="30"/>
        <v>0</v>
      </c>
      <c r="M2405" s="59">
        <f t="shared" si="31"/>
        <v>0</v>
      </c>
    </row>
    <row r="2406" ht="15.0" hidden="1" customHeight="1">
      <c r="A2406" s="59">
        <f t="shared" si="20"/>
        <v>37</v>
      </c>
      <c r="B2406" s="59" t="str">
        <f t="shared" si="21"/>
        <v/>
      </c>
      <c r="C2406" s="59" t="str">
        <f t="shared" si="22"/>
        <v/>
      </c>
      <c r="D2406" s="45" t="str">
        <f t="shared" si="23"/>
        <v/>
      </c>
      <c r="E2406" s="45" t="str">
        <f t="shared" si="24"/>
        <v/>
      </c>
      <c r="F2406" s="59" t="str">
        <f t="shared" si="25"/>
        <v/>
      </c>
      <c r="G2406" s="59" t="str">
        <f t="shared" si="26"/>
        <v/>
      </c>
      <c r="H2406" s="59" t="str">
        <f t="shared" si="27"/>
        <v>28C02574</v>
      </c>
      <c r="I2406" s="59" t="str">
        <f>IF(OR($A2406="",$C2406="",$D2406="",$E2406="",$H2406=""),"",SUMIFS(DATA_GOC!$H:$H,DATA_GOC!$A:$A,"BOM",DATA_GOC!$D:$D,$H2406,DATA_GOC!$E:$E,$C2406,DATA_GOC!$F:$F,"Xuất nội bộ từ téc",DATA_GOC!$B:$B,"&gt;="&amp;$D2406,DATA_GOC!$B:$B,"&lt;="&amp;$E2406))</f>
        <v/>
      </c>
      <c r="J2406" s="59">
        <f t="shared" si="28"/>
        <v>0</v>
      </c>
      <c r="K2406" s="59">
        <f t="shared" si="29"/>
        <v>0</v>
      </c>
      <c r="L2406" s="59">
        <f t="shared" si="30"/>
        <v>0</v>
      </c>
      <c r="M2406" s="59">
        <f t="shared" si="31"/>
        <v>0</v>
      </c>
    </row>
    <row r="2407" ht="15.0" hidden="1" customHeight="1">
      <c r="A2407" s="59">
        <f t="shared" si="20"/>
        <v>37</v>
      </c>
      <c r="B2407" s="59" t="str">
        <f t="shared" si="21"/>
        <v/>
      </c>
      <c r="C2407" s="59" t="str">
        <f t="shared" si="22"/>
        <v/>
      </c>
      <c r="D2407" s="45" t="str">
        <f t="shared" si="23"/>
        <v/>
      </c>
      <c r="E2407" s="45" t="str">
        <f t="shared" si="24"/>
        <v/>
      </c>
      <c r="F2407" s="59" t="str">
        <f t="shared" si="25"/>
        <v/>
      </c>
      <c r="G2407" s="59" t="str">
        <f t="shared" si="26"/>
        <v/>
      </c>
      <c r="H2407" s="59" t="str">
        <f t="shared" si="27"/>
        <v>28C02770</v>
      </c>
      <c r="I2407" s="59" t="str">
        <f>IF(OR($A2407="",$C2407="",$D2407="",$E2407="",$H2407=""),"",SUMIFS(DATA_GOC!$H:$H,DATA_GOC!$A:$A,"BOM",DATA_GOC!$D:$D,$H2407,DATA_GOC!$E:$E,$C2407,DATA_GOC!$F:$F,"Xuất nội bộ từ téc",DATA_GOC!$B:$B,"&gt;="&amp;$D2407,DATA_GOC!$B:$B,"&lt;="&amp;$E2407))</f>
        <v/>
      </c>
      <c r="J2407" s="59">
        <f t="shared" si="28"/>
        <v>0</v>
      </c>
      <c r="K2407" s="59">
        <f t="shared" si="29"/>
        <v>0</v>
      </c>
      <c r="L2407" s="59">
        <f t="shared" si="30"/>
        <v>0</v>
      </c>
      <c r="M2407" s="59">
        <f t="shared" si="31"/>
        <v>0</v>
      </c>
    </row>
    <row r="2408" ht="15.0" hidden="1" customHeight="1">
      <c r="A2408" s="59">
        <f t="shared" si="20"/>
        <v>37</v>
      </c>
      <c r="B2408" s="59" t="str">
        <f t="shared" si="21"/>
        <v/>
      </c>
      <c r="C2408" s="59" t="str">
        <f t="shared" si="22"/>
        <v/>
      </c>
      <c r="D2408" s="45" t="str">
        <f t="shared" si="23"/>
        <v/>
      </c>
      <c r="E2408" s="45" t="str">
        <f t="shared" si="24"/>
        <v/>
      </c>
      <c r="F2408" s="59" t="str">
        <f t="shared" si="25"/>
        <v/>
      </c>
      <c r="G2408" s="59" t="str">
        <f t="shared" si="26"/>
        <v/>
      </c>
      <c r="H2408" s="59" t="str">
        <f t="shared" si="27"/>
        <v>28C02986</v>
      </c>
      <c r="I2408" s="59" t="str">
        <f>IF(OR($A2408="",$C2408="",$D2408="",$E2408="",$H2408=""),"",SUMIFS(DATA_GOC!$H:$H,DATA_GOC!$A:$A,"BOM",DATA_GOC!$D:$D,$H2408,DATA_GOC!$E:$E,$C2408,DATA_GOC!$F:$F,"Xuất nội bộ từ téc",DATA_GOC!$B:$B,"&gt;="&amp;$D2408,DATA_GOC!$B:$B,"&lt;="&amp;$E2408))</f>
        <v/>
      </c>
      <c r="J2408" s="59">
        <f t="shared" si="28"/>
        <v>0</v>
      </c>
      <c r="K2408" s="59">
        <f t="shared" si="29"/>
        <v>0</v>
      </c>
      <c r="L2408" s="59">
        <f t="shared" si="30"/>
        <v>0</v>
      </c>
      <c r="M2408" s="59">
        <f t="shared" si="31"/>
        <v>0</v>
      </c>
    </row>
    <row r="2409" ht="15.0" hidden="1" customHeight="1">
      <c r="A2409" s="59">
        <f t="shared" si="20"/>
        <v>37</v>
      </c>
      <c r="B2409" s="59" t="str">
        <f t="shared" si="21"/>
        <v/>
      </c>
      <c r="C2409" s="59" t="str">
        <f t="shared" si="22"/>
        <v/>
      </c>
      <c r="D2409" s="45" t="str">
        <f t="shared" si="23"/>
        <v/>
      </c>
      <c r="E2409" s="45" t="str">
        <f t="shared" si="24"/>
        <v/>
      </c>
      <c r="F2409" s="59" t="str">
        <f t="shared" si="25"/>
        <v/>
      </c>
      <c r="G2409" s="59" t="str">
        <f t="shared" si="26"/>
        <v/>
      </c>
      <c r="H2409" s="59" t="str">
        <f t="shared" si="27"/>
        <v>28C03261</v>
      </c>
      <c r="I2409" s="59" t="str">
        <f>IF(OR($A2409="",$C2409="",$D2409="",$E2409="",$H2409=""),"",SUMIFS(DATA_GOC!$H:$H,DATA_GOC!$A:$A,"BOM",DATA_GOC!$D:$D,$H2409,DATA_GOC!$E:$E,$C2409,DATA_GOC!$F:$F,"Xuất nội bộ từ téc",DATA_GOC!$B:$B,"&gt;="&amp;$D2409,DATA_GOC!$B:$B,"&lt;="&amp;$E2409))</f>
        <v/>
      </c>
      <c r="J2409" s="59">
        <f t="shared" si="28"/>
        <v>0</v>
      </c>
      <c r="K2409" s="59">
        <f t="shared" si="29"/>
        <v>0</v>
      </c>
      <c r="L2409" s="59">
        <f t="shared" si="30"/>
        <v>0</v>
      </c>
      <c r="M2409" s="59">
        <f t="shared" si="31"/>
        <v>0</v>
      </c>
    </row>
    <row r="2410" ht="15.0" hidden="1" customHeight="1">
      <c r="A2410" s="59">
        <f t="shared" si="20"/>
        <v>37</v>
      </c>
      <c r="B2410" s="59" t="str">
        <f t="shared" si="21"/>
        <v/>
      </c>
      <c r="C2410" s="59" t="str">
        <f t="shared" si="22"/>
        <v/>
      </c>
      <c r="D2410" s="45" t="str">
        <f t="shared" si="23"/>
        <v/>
      </c>
      <c r="E2410" s="45" t="str">
        <f t="shared" si="24"/>
        <v/>
      </c>
      <c r="F2410" s="59" t="str">
        <f t="shared" si="25"/>
        <v/>
      </c>
      <c r="G2410" s="59" t="str">
        <f t="shared" si="26"/>
        <v/>
      </c>
      <c r="H2410" s="59" t="str">
        <f t="shared" si="27"/>
        <v>28C03323</v>
      </c>
      <c r="I2410" s="59" t="str">
        <f>IF(OR($A2410="",$C2410="",$D2410="",$E2410="",$H2410=""),"",SUMIFS(DATA_GOC!$H:$H,DATA_GOC!$A:$A,"BOM",DATA_GOC!$D:$D,$H2410,DATA_GOC!$E:$E,$C2410,DATA_GOC!$F:$F,"Xuất nội bộ từ téc",DATA_GOC!$B:$B,"&gt;="&amp;$D2410,DATA_GOC!$B:$B,"&lt;="&amp;$E2410))</f>
        <v/>
      </c>
      <c r="J2410" s="59">
        <f t="shared" si="28"/>
        <v>0</v>
      </c>
      <c r="K2410" s="59">
        <f t="shared" si="29"/>
        <v>0</v>
      </c>
      <c r="L2410" s="59">
        <f t="shared" si="30"/>
        <v>0</v>
      </c>
      <c r="M2410" s="59">
        <f t="shared" si="31"/>
        <v>0</v>
      </c>
    </row>
    <row r="2411" ht="15.0" hidden="1" customHeight="1">
      <c r="A2411" s="59">
        <f t="shared" si="20"/>
        <v>37</v>
      </c>
      <c r="B2411" s="59" t="str">
        <f t="shared" si="21"/>
        <v/>
      </c>
      <c r="C2411" s="59" t="str">
        <f t="shared" si="22"/>
        <v/>
      </c>
      <c r="D2411" s="45" t="str">
        <f t="shared" si="23"/>
        <v/>
      </c>
      <c r="E2411" s="45" t="str">
        <f t="shared" si="24"/>
        <v/>
      </c>
      <c r="F2411" s="59" t="str">
        <f t="shared" si="25"/>
        <v/>
      </c>
      <c r="G2411" s="59" t="str">
        <f t="shared" si="26"/>
        <v/>
      </c>
      <c r="H2411" s="59" t="str">
        <f t="shared" si="27"/>
        <v>28C03385</v>
      </c>
      <c r="I2411" s="59" t="str">
        <f>IF(OR($A2411="",$C2411="",$D2411="",$E2411="",$H2411=""),"",SUMIFS(DATA_GOC!$H:$H,DATA_GOC!$A:$A,"BOM",DATA_GOC!$D:$D,$H2411,DATA_GOC!$E:$E,$C2411,DATA_GOC!$F:$F,"Xuất nội bộ từ téc",DATA_GOC!$B:$B,"&gt;="&amp;$D2411,DATA_GOC!$B:$B,"&lt;="&amp;$E2411))</f>
        <v/>
      </c>
      <c r="J2411" s="59">
        <f t="shared" si="28"/>
        <v>0</v>
      </c>
      <c r="K2411" s="59">
        <f t="shared" si="29"/>
        <v>0</v>
      </c>
      <c r="L2411" s="59">
        <f t="shared" si="30"/>
        <v>0</v>
      </c>
      <c r="M2411" s="59">
        <f t="shared" si="31"/>
        <v>0</v>
      </c>
    </row>
    <row r="2412" ht="15.0" hidden="1" customHeight="1">
      <c r="A2412" s="59">
        <f t="shared" si="20"/>
        <v>37</v>
      </c>
      <c r="B2412" s="59" t="str">
        <f t="shared" si="21"/>
        <v/>
      </c>
      <c r="C2412" s="59" t="str">
        <f t="shared" si="22"/>
        <v/>
      </c>
      <c r="D2412" s="45" t="str">
        <f t="shared" si="23"/>
        <v/>
      </c>
      <c r="E2412" s="45" t="str">
        <f t="shared" si="24"/>
        <v/>
      </c>
      <c r="F2412" s="59" t="str">
        <f t="shared" si="25"/>
        <v/>
      </c>
      <c r="G2412" s="59" t="str">
        <f t="shared" si="26"/>
        <v/>
      </c>
      <c r="H2412" s="59" t="str">
        <f t="shared" si="27"/>
        <v>28C03652</v>
      </c>
      <c r="I2412" s="59" t="str">
        <f>IF(OR($A2412="",$C2412="",$D2412="",$E2412="",$H2412=""),"",SUMIFS(DATA_GOC!$H:$H,DATA_GOC!$A:$A,"BOM",DATA_GOC!$D:$D,$H2412,DATA_GOC!$E:$E,$C2412,DATA_GOC!$F:$F,"Xuất nội bộ từ téc",DATA_GOC!$B:$B,"&gt;="&amp;$D2412,DATA_GOC!$B:$B,"&lt;="&amp;$E2412))</f>
        <v/>
      </c>
      <c r="J2412" s="59">
        <f t="shared" si="28"/>
        <v>0</v>
      </c>
      <c r="K2412" s="59">
        <f t="shared" si="29"/>
        <v>0</v>
      </c>
      <c r="L2412" s="59">
        <f t="shared" si="30"/>
        <v>0</v>
      </c>
      <c r="M2412" s="59">
        <f t="shared" si="31"/>
        <v>0</v>
      </c>
    </row>
    <row r="2413" ht="15.0" hidden="1" customHeight="1">
      <c r="A2413" s="59">
        <f t="shared" si="20"/>
        <v>37</v>
      </c>
      <c r="B2413" s="59" t="str">
        <f t="shared" si="21"/>
        <v/>
      </c>
      <c r="C2413" s="59" t="str">
        <f t="shared" si="22"/>
        <v/>
      </c>
      <c r="D2413" s="45" t="str">
        <f t="shared" si="23"/>
        <v/>
      </c>
      <c r="E2413" s="45" t="str">
        <f t="shared" si="24"/>
        <v/>
      </c>
      <c r="F2413" s="59" t="str">
        <f t="shared" si="25"/>
        <v/>
      </c>
      <c r="G2413" s="59" t="str">
        <f t="shared" si="26"/>
        <v/>
      </c>
      <c r="H2413" s="59" t="str">
        <f t="shared" si="27"/>
        <v>28C03695</v>
      </c>
      <c r="I2413" s="59" t="str">
        <f>IF(OR($A2413="",$C2413="",$D2413="",$E2413="",$H2413=""),"",SUMIFS(DATA_GOC!$H:$H,DATA_GOC!$A:$A,"BOM",DATA_GOC!$D:$D,$H2413,DATA_GOC!$E:$E,$C2413,DATA_GOC!$F:$F,"Xuất nội bộ từ téc",DATA_GOC!$B:$B,"&gt;="&amp;$D2413,DATA_GOC!$B:$B,"&lt;="&amp;$E2413))</f>
        <v/>
      </c>
      <c r="J2413" s="59">
        <f t="shared" si="28"/>
        <v>0</v>
      </c>
      <c r="K2413" s="59">
        <f t="shared" si="29"/>
        <v>0</v>
      </c>
      <c r="L2413" s="59">
        <f t="shared" si="30"/>
        <v>0</v>
      </c>
      <c r="M2413" s="59">
        <f t="shared" si="31"/>
        <v>0</v>
      </c>
    </row>
    <row r="2414" ht="15.0" hidden="1" customHeight="1">
      <c r="A2414" s="59">
        <f t="shared" si="20"/>
        <v>37</v>
      </c>
      <c r="B2414" s="59" t="str">
        <f t="shared" si="21"/>
        <v/>
      </c>
      <c r="C2414" s="59" t="str">
        <f t="shared" si="22"/>
        <v/>
      </c>
      <c r="D2414" s="45" t="str">
        <f t="shared" si="23"/>
        <v/>
      </c>
      <c r="E2414" s="45" t="str">
        <f t="shared" si="24"/>
        <v/>
      </c>
      <c r="F2414" s="59" t="str">
        <f t="shared" si="25"/>
        <v/>
      </c>
      <c r="G2414" s="59" t="str">
        <f t="shared" si="26"/>
        <v/>
      </c>
      <c r="H2414" s="59" t="str">
        <f t="shared" si="27"/>
        <v>28C03927</v>
      </c>
      <c r="I2414" s="59" t="str">
        <f>IF(OR($A2414="",$C2414="",$D2414="",$E2414="",$H2414=""),"",SUMIFS(DATA_GOC!$H:$H,DATA_GOC!$A:$A,"BOM",DATA_GOC!$D:$D,$H2414,DATA_GOC!$E:$E,$C2414,DATA_GOC!$F:$F,"Xuất nội bộ từ téc",DATA_GOC!$B:$B,"&gt;="&amp;$D2414,DATA_GOC!$B:$B,"&lt;="&amp;$E2414))</f>
        <v/>
      </c>
      <c r="J2414" s="59">
        <f t="shared" si="28"/>
        <v>0</v>
      </c>
      <c r="K2414" s="59">
        <f t="shared" si="29"/>
        <v>0</v>
      </c>
      <c r="L2414" s="59">
        <f t="shared" si="30"/>
        <v>0</v>
      </c>
      <c r="M2414" s="59">
        <f t="shared" si="31"/>
        <v>0</v>
      </c>
    </row>
    <row r="2415" ht="15.0" hidden="1" customHeight="1">
      <c r="A2415" s="59">
        <f t="shared" si="20"/>
        <v>37</v>
      </c>
      <c r="B2415" s="59" t="str">
        <f t="shared" si="21"/>
        <v/>
      </c>
      <c r="C2415" s="59" t="str">
        <f t="shared" si="22"/>
        <v/>
      </c>
      <c r="D2415" s="45" t="str">
        <f t="shared" si="23"/>
        <v/>
      </c>
      <c r="E2415" s="45" t="str">
        <f t="shared" si="24"/>
        <v/>
      </c>
      <c r="F2415" s="59" t="str">
        <f t="shared" si="25"/>
        <v/>
      </c>
      <c r="G2415" s="59" t="str">
        <f t="shared" si="26"/>
        <v/>
      </c>
      <c r="H2415" s="59" t="str">
        <f t="shared" si="27"/>
        <v>28C04509</v>
      </c>
      <c r="I2415" s="59" t="str">
        <f>IF(OR($A2415="",$C2415="",$D2415="",$E2415="",$H2415=""),"",SUMIFS(DATA_GOC!$H:$H,DATA_GOC!$A:$A,"BOM",DATA_GOC!$D:$D,$H2415,DATA_GOC!$E:$E,$C2415,DATA_GOC!$F:$F,"Xuất nội bộ từ téc",DATA_GOC!$B:$B,"&gt;="&amp;$D2415,DATA_GOC!$B:$B,"&lt;="&amp;$E2415))</f>
        <v/>
      </c>
      <c r="J2415" s="59">
        <f t="shared" si="28"/>
        <v>0</v>
      </c>
      <c r="K2415" s="59">
        <f t="shared" si="29"/>
        <v>0</v>
      </c>
      <c r="L2415" s="59">
        <f t="shared" si="30"/>
        <v>0</v>
      </c>
      <c r="M2415" s="59">
        <f t="shared" si="31"/>
        <v>0</v>
      </c>
    </row>
    <row r="2416" ht="15.0" hidden="1" customHeight="1">
      <c r="A2416" s="59">
        <f t="shared" si="20"/>
        <v>37</v>
      </c>
      <c r="B2416" s="59" t="str">
        <f t="shared" si="21"/>
        <v/>
      </c>
      <c r="C2416" s="59" t="str">
        <f t="shared" si="22"/>
        <v/>
      </c>
      <c r="D2416" s="45" t="str">
        <f t="shared" si="23"/>
        <v/>
      </c>
      <c r="E2416" s="45" t="str">
        <f t="shared" si="24"/>
        <v/>
      </c>
      <c r="F2416" s="59" t="str">
        <f t="shared" si="25"/>
        <v/>
      </c>
      <c r="G2416" s="59" t="str">
        <f t="shared" si="26"/>
        <v/>
      </c>
      <c r="H2416" s="59" t="str">
        <f t="shared" si="27"/>
        <v>28C04536</v>
      </c>
      <c r="I2416" s="59" t="str">
        <f>IF(OR($A2416="",$C2416="",$D2416="",$E2416="",$H2416=""),"",SUMIFS(DATA_GOC!$H:$H,DATA_GOC!$A:$A,"BOM",DATA_GOC!$D:$D,$H2416,DATA_GOC!$E:$E,$C2416,DATA_GOC!$F:$F,"Xuất nội bộ từ téc",DATA_GOC!$B:$B,"&gt;="&amp;$D2416,DATA_GOC!$B:$B,"&lt;="&amp;$E2416))</f>
        <v/>
      </c>
      <c r="J2416" s="59">
        <f t="shared" si="28"/>
        <v>0</v>
      </c>
      <c r="K2416" s="59">
        <f t="shared" si="29"/>
        <v>0</v>
      </c>
      <c r="L2416" s="59">
        <f t="shared" si="30"/>
        <v>0</v>
      </c>
      <c r="M2416" s="59">
        <f t="shared" si="31"/>
        <v>0</v>
      </c>
    </row>
    <row r="2417" ht="15.0" hidden="1" customHeight="1">
      <c r="A2417" s="59">
        <f t="shared" si="20"/>
        <v>37</v>
      </c>
      <c r="B2417" s="59" t="str">
        <f t="shared" si="21"/>
        <v/>
      </c>
      <c r="C2417" s="59" t="str">
        <f t="shared" si="22"/>
        <v/>
      </c>
      <c r="D2417" s="45" t="str">
        <f t="shared" si="23"/>
        <v/>
      </c>
      <c r="E2417" s="45" t="str">
        <f t="shared" si="24"/>
        <v/>
      </c>
      <c r="F2417" s="59" t="str">
        <f t="shared" si="25"/>
        <v/>
      </c>
      <c r="G2417" s="59" t="str">
        <f t="shared" si="26"/>
        <v/>
      </c>
      <c r="H2417" s="59" t="str">
        <f t="shared" si="27"/>
        <v>28C04576</v>
      </c>
      <c r="I2417" s="59" t="str">
        <f>IF(OR($A2417="",$C2417="",$D2417="",$E2417="",$H2417=""),"",SUMIFS(DATA_GOC!$H:$H,DATA_GOC!$A:$A,"BOM",DATA_GOC!$D:$D,$H2417,DATA_GOC!$E:$E,$C2417,DATA_GOC!$F:$F,"Xuất nội bộ từ téc",DATA_GOC!$B:$B,"&gt;="&amp;$D2417,DATA_GOC!$B:$B,"&lt;="&amp;$E2417))</f>
        <v/>
      </c>
      <c r="J2417" s="59">
        <f t="shared" si="28"/>
        <v>0</v>
      </c>
      <c r="K2417" s="59">
        <f t="shared" si="29"/>
        <v>0</v>
      </c>
      <c r="L2417" s="59">
        <f t="shared" si="30"/>
        <v>0</v>
      </c>
      <c r="M2417" s="59">
        <f t="shared" si="31"/>
        <v>0</v>
      </c>
    </row>
    <row r="2418" ht="15.0" hidden="1" customHeight="1">
      <c r="A2418" s="59">
        <f t="shared" si="20"/>
        <v>37</v>
      </c>
      <c r="B2418" s="59" t="str">
        <f t="shared" si="21"/>
        <v/>
      </c>
      <c r="C2418" s="59" t="str">
        <f t="shared" si="22"/>
        <v/>
      </c>
      <c r="D2418" s="45" t="str">
        <f t="shared" si="23"/>
        <v/>
      </c>
      <c r="E2418" s="45" t="str">
        <f t="shared" si="24"/>
        <v/>
      </c>
      <c r="F2418" s="59" t="str">
        <f t="shared" si="25"/>
        <v/>
      </c>
      <c r="G2418" s="59" t="str">
        <f t="shared" si="26"/>
        <v/>
      </c>
      <c r="H2418" s="59" t="str">
        <f t="shared" si="27"/>
        <v>28C05090</v>
      </c>
      <c r="I2418" s="59" t="str">
        <f>IF(OR($A2418="",$C2418="",$D2418="",$E2418="",$H2418=""),"",SUMIFS(DATA_GOC!$H:$H,DATA_GOC!$A:$A,"BOM",DATA_GOC!$D:$D,$H2418,DATA_GOC!$E:$E,$C2418,DATA_GOC!$F:$F,"Xuất nội bộ từ téc",DATA_GOC!$B:$B,"&gt;="&amp;$D2418,DATA_GOC!$B:$B,"&lt;="&amp;$E2418))</f>
        <v/>
      </c>
      <c r="J2418" s="59">
        <f t="shared" si="28"/>
        <v>0</v>
      </c>
      <c r="K2418" s="59">
        <f t="shared" si="29"/>
        <v>0</v>
      </c>
      <c r="L2418" s="59">
        <f t="shared" si="30"/>
        <v>0</v>
      </c>
      <c r="M2418" s="59">
        <f t="shared" si="31"/>
        <v>0</v>
      </c>
    </row>
    <row r="2419" ht="15.0" hidden="1" customHeight="1">
      <c r="A2419" s="59">
        <f t="shared" si="20"/>
        <v>37</v>
      </c>
      <c r="B2419" s="59" t="str">
        <f t="shared" si="21"/>
        <v/>
      </c>
      <c r="C2419" s="59" t="str">
        <f t="shared" si="22"/>
        <v/>
      </c>
      <c r="D2419" s="45" t="str">
        <f t="shared" si="23"/>
        <v/>
      </c>
      <c r="E2419" s="45" t="str">
        <f t="shared" si="24"/>
        <v/>
      </c>
      <c r="F2419" s="59" t="str">
        <f t="shared" si="25"/>
        <v/>
      </c>
      <c r="G2419" s="59" t="str">
        <f t="shared" si="26"/>
        <v/>
      </c>
      <c r="H2419" s="59" t="str">
        <f t="shared" si="27"/>
        <v>28C05345</v>
      </c>
      <c r="I2419" s="59" t="str">
        <f>IF(OR($A2419="",$C2419="",$D2419="",$E2419="",$H2419=""),"",SUMIFS(DATA_GOC!$H:$H,DATA_GOC!$A:$A,"BOM",DATA_GOC!$D:$D,$H2419,DATA_GOC!$E:$E,$C2419,DATA_GOC!$F:$F,"Xuất nội bộ từ téc",DATA_GOC!$B:$B,"&gt;="&amp;$D2419,DATA_GOC!$B:$B,"&lt;="&amp;$E2419))</f>
        <v/>
      </c>
      <c r="J2419" s="59">
        <f t="shared" si="28"/>
        <v>0</v>
      </c>
      <c r="K2419" s="59">
        <f t="shared" si="29"/>
        <v>0</v>
      </c>
      <c r="L2419" s="59">
        <f t="shared" si="30"/>
        <v>0</v>
      </c>
      <c r="M2419" s="59">
        <f t="shared" si="31"/>
        <v>0</v>
      </c>
    </row>
    <row r="2420" ht="15.0" hidden="1" customHeight="1">
      <c r="A2420" s="59">
        <f t="shared" si="20"/>
        <v>37</v>
      </c>
      <c r="B2420" s="59" t="str">
        <f t="shared" si="21"/>
        <v/>
      </c>
      <c r="C2420" s="59" t="str">
        <f t="shared" si="22"/>
        <v/>
      </c>
      <c r="D2420" s="45" t="str">
        <f t="shared" si="23"/>
        <v/>
      </c>
      <c r="E2420" s="45" t="str">
        <f t="shared" si="24"/>
        <v/>
      </c>
      <c r="F2420" s="59" t="str">
        <f t="shared" si="25"/>
        <v/>
      </c>
      <c r="G2420" s="59" t="str">
        <f t="shared" si="26"/>
        <v/>
      </c>
      <c r="H2420" s="59" t="str">
        <f t="shared" si="27"/>
        <v>28C05661</v>
      </c>
      <c r="I2420" s="59" t="str">
        <f>IF(OR($A2420="",$C2420="",$D2420="",$E2420="",$H2420=""),"",SUMIFS(DATA_GOC!$H:$H,DATA_GOC!$A:$A,"BOM",DATA_GOC!$D:$D,$H2420,DATA_GOC!$E:$E,$C2420,DATA_GOC!$F:$F,"Xuất nội bộ từ téc",DATA_GOC!$B:$B,"&gt;="&amp;$D2420,DATA_GOC!$B:$B,"&lt;="&amp;$E2420))</f>
        <v/>
      </c>
      <c r="J2420" s="59">
        <f t="shared" si="28"/>
        <v>0</v>
      </c>
      <c r="K2420" s="59">
        <f t="shared" si="29"/>
        <v>0</v>
      </c>
      <c r="L2420" s="59">
        <f t="shared" si="30"/>
        <v>0</v>
      </c>
      <c r="M2420" s="59">
        <f t="shared" si="31"/>
        <v>0</v>
      </c>
    </row>
    <row r="2421" ht="15.0" hidden="1" customHeight="1">
      <c r="A2421" s="59">
        <f t="shared" si="20"/>
        <v>37</v>
      </c>
      <c r="B2421" s="59" t="str">
        <f t="shared" si="21"/>
        <v/>
      </c>
      <c r="C2421" s="59" t="str">
        <f t="shared" si="22"/>
        <v/>
      </c>
      <c r="D2421" s="45" t="str">
        <f t="shared" si="23"/>
        <v/>
      </c>
      <c r="E2421" s="45" t="str">
        <f t="shared" si="24"/>
        <v/>
      </c>
      <c r="F2421" s="59" t="str">
        <f t="shared" si="25"/>
        <v/>
      </c>
      <c r="G2421" s="59" t="str">
        <f t="shared" si="26"/>
        <v/>
      </c>
      <c r="H2421" s="59" t="str">
        <f t="shared" si="27"/>
        <v>28C05739</v>
      </c>
      <c r="I2421" s="59" t="str">
        <f>IF(OR($A2421="",$C2421="",$D2421="",$E2421="",$H2421=""),"",SUMIFS(DATA_GOC!$H:$H,DATA_GOC!$A:$A,"BOM",DATA_GOC!$D:$D,$H2421,DATA_GOC!$E:$E,$C2421,DATA_GOC!$F:$F,"Xuất nội bộ từ téc",DATA_GOC!$B:$B,"&gt;="&amp;$D2421,DATA_GOC!$B:$B,"&lt;="&amp;$E2421))</f>
        <v/>
      </c>
      <c r="J2421" s="59">
        <f t="shared" si="28"/>
        <v>0</v>
      </c>
      <c r="K2421" s="59">
        <f t="shared" si="29"/>
        <v>0</v>
      </c>
      <c r="L2421" s="59">
        <f t="shared" si="30"/>
        <v>0</v>
      </c>
      <c r="M2421" s="59">
        <f t="shared" si="31"/>
        <v>0</v>
      </c>
    </row>
    <row r="2422" ht="15.0" hidden="1" customHeight="1">
      <c r="A2422" s="59">
        <f t="shared" si="20"/>
        <v>37</v>
      </c>
      <c r="B2422" s="59" t="str">
        <f t="shared" si="21"/>
        <v/>
      </c>
      <c r="C2422" s="59" t="str">
        <f t="shared" si="22"/>
        <v/>
      </c>
      <c r="D2422" s="45" t="str">
        <f t="shared" si="23"/>
        <v/>
      </c>
      <c r="E2422" s="45" t="str">
        <f t="shared" si="24"/>
        <v/>
      </c>
      <c r="F2422" s="59" t="str">
        <f t="shared" si="25"/>
        <v/>
      </c>
      <c r="G2422" s="59" t="str">
        <f t="shared" si="26"/>
        <v/>
      </c>
      <c r="H2422" s="59" t="str">
        <f t="shared" si="27"/>
        <v>28C06369</v>
      </c>
      <c r="I2422" s="59" t="str">
        <f>IF(OR($A2422="",$C2422="",$D2422="",$E2422="",$H2422=""),"",SUMIFS(DATA_GOC!$H:$H,DATA_GOC!$A:$A,"BOM",DATA_GOC!$D:$D,$H2422,DATA_GOC!$E:$E,$C2422,DATA_GOC!$F:$F,"Xuất nội bộ từ téc",DATA_GOC!$B:$B,"&gt;="&amp;$D2422,DATA_GOC!$B:$B,"&lt;="&amp;$E2422))</f>
        <v/>
      </c>
      <c r="J2422" s="59">
        <f t="shared" si="28"/>
        <v>0</v>
      </c>
      <c r="K2422" s="59">
        <f t="shared" si="29"/>
        <v>0</v>
      </c>
      <c r="L2422" s="59">
        <f t="shared" si="30"/>
        <v>0</v>
      </c>
      <c r="M2422" s="59">
        <f t="shared" si="31"/>
        <v>0</v>
      </c>
    </row>
    <row r="2423" ht="15.0" hidden="1" customHeight="1">
      <c r="A2423" s="59">
        <f t="shared" si="20"/>
        <v>37</v>
      </c>
      <c r="B2423" s="59" t="str">
        <f t="shared" si="21"/>
        <v/>
      </c>
      <c r="C2423" s="59" t="str">
        <f t="shared" si="22"/>
        <v/>
      </c>
      <c r="D2423" s="45" t="str">
        <f t="shared" si="23"/>
        <v/>
      </c>
      <c r="E2423" s="45" t="str">
        <f t="shared" si="24"/>
        <v/>
      </c>
      <c r="F2423" s="59" t="str">
        <f t="shared" si="25"/>
        <v/>
      </c>
      <c r="G2423" s="59" t="str">
        <f t="shared" si="26"/>
        <v/>
      </c>
      <c r="H2423" s="59" t="str">
        <f t="shared" si="27"/>
        <v>28C06447</v>
      </c>
      <c r="I2423" s="59" t="str">
        <f>IF(OR($A2423="",$C2423="",$D2423="",$E2423="",$H2423=""),"",SUMIFS(DATA_GOC!$H:$H,DATA_GOC!$A:$A,"BOM",DATA_GOC!$D:$D,$H2423,DATA_GOC!$E:$E,$C2423,DATA_GOC!$F:$F,"Xuất nội bộ từ téc",DATA_GOC!$B:$B,"&gt;="&amp;$D2423,DATA_GOC!$B:$B,"&lt;="&amp;$E2423))</f>
        <v/>
      </c>
      <c r="J2423" s="59">
        <f t="shared" si="28"/>
        <v>0</v>
      </c>
      <c r="K2423" s="59">
        <f t="shared" si="29"/>
        <v>0</v>
      </c>
      <c r="L2423" s="59">
        <f t="shared" si="30"/>
        <v>0</v>
      </c>
      <c r="M2423" s="59">
        <f t="shared" si="31"/>
        <v>0</v>
      </c>
    </row>
    <row r="2424" ht="15.0" hidden="1" customHeight="1">
      <c r="A2424" s="59">
        <f t="shared" si="20"/>
        <v>37</v>
      </c>
      <c r="B2424" s="59" t="str">
        <f t="shared" si="21"/>
        <v/>
      </c>
      <c r="C2424" s="59" t="str">
        <f t="shared" si="22"/>
        <v/>
      </c>
      <c r="D2424" s="45" t="str">
        <f t="shared" si="23"/>
        <v/>
      </c>
      <c r="E2424" s="45" t="str">
        <f t="shared" si="24"/>
        <v/>
      </c>
      <c r="F2424" s="59" t="str">
        <f t="shared" si="25"/>
        <v/>
      </c>
      <c r="G2424" s="59" t="str">
        <f t="shared" si="26"/>
        <v/>
      </c>
      <c r="H2424" s="59" t="str">
        <f t="shared" si="27"/>
        <v>28H00003</v>
      </c>
      <c r="I2424" s="59" t="str">
        <f>IF(OR($A2424="",$C2424="",$D2424="",$E2424="",$H2424=""),"",SUMIFS(DATA_GOC!$H:$H,DATA_GOC!$A:$A,"BOM",DATA_GOC!$D:$D,$H2424,DATA_GOC!$E:$E,$C2424,DATA_GOC!$F:$F,"Xuất nội bộ từ téc",DATA_GOC!$B:$B,"&gt;="&amp;$D2424,DATA_GOC!$B:$B,"&lt;="&amp;$E2424))</f>
        <v/>
      </c>
      <c r="J2424" s="59">
        <f t="shared" si="28"/>
        <v>0</v>
      </c>
      <c r="K2424" s="59">
        <f t="shared" si="29"/>
        <v>0</v>
      </c>
      <c r="L2424" s="59">
        <f t="shared" si="30"/>
        <v>0</v>
      </c>
      <c r="M2424" s="59">
        <f t="shared" si="31"/>
        <v>0</v>
      </c>
    </row>
    <row r="2425" ht="15.0" hidden="1" customHeight="1">
      <c r="A2425" s="59">
        <f t="shared" si="20"/>
        <v>37</v>
      </c>
      <c r="B2425" s="59" t="str">
        <f t="shared" si="21"/>
        <v/>
      </c>
      <c r="C2425" s="59" t="str">
        <f t="shared" si="22"/>
        <v/>
      </c>
      <c r="D2425" s="45" t="str">
        <f t="shared" si="23"/>
        <v/>
      </c>
      <c r="E2425" s="45" t="str">
        <f t="shared" si="24"/>
        <v/>
      </c>
      <c r="F2425" s="59" t="str">
        <f t="shared" si="25"/>
        <v/>
      </c>
      <c r="G2425" s="59" t="str">
        <f t="shared" si="26"/>
        <v/>
      </c>
      <c r="H2425" s="59" t="str">
        <f t="shared" si="27"/>
        <v>28H00061</v>
      </c>
      <c r="I2425" s="59" t="str">
        <f>IF(OR($A2425="",$C2425="",$D2425="",$E2425="",$H2425=""),"",SUMIFS(DATA_GOC!$H:$H,DATA_GOC!$A:$A,"BOM",DATA_GOC!$D:$D,$H2425,DATA_GOC!$E:$E,$C2425,DATA_GOC!$F:$F,"Xuất nội bộ từ téc",DATA_GOC!$B:$B,"&gt;="&amp;$D2425,DATA_GOC!$B:$B,"&lt;="&amp;$E2425))</f>
        <v/>
      </c>
      <c r="J2425" s="59">
        <f t="shared" si="28"/>
        <v>0</v>
      </c>
      <c r="K2425" s="59">
        <f t="shared" si="29"/>
        <v>0</v>
      </c>
      <c r="L2425" s="59">
        <f t="shared" si="30"/>
        <v>0</v>
      </c>
      <c r="M2425" s="59">
        <f t="shared" si="31"/>
        <v>0</v>
      </c>
    </row>
    <row r="2426" ht="15.0" hidden="1" customHeight="1">
      <c r="A2426" s="59">
        <f t="shared" si="20"/>
        <v>37</v>
      </c>
      <c r="B2426" s="59" t="str">
        <f t="shared" si="21"/>
        <v/>
      </c>
      <c r="C2426" s="59" t="str">
        <f t="shared" si="22"/>
        <v/>
      </c>
      <c r="D2426" s="45" t="str">
        <f t="shared" si="23"/>
        <v/>
      </c>
      <c r="E2426" s="45" t="str">
        <f t="shared" si="24"/>
        <v/>
      </c>
      <c r="F2426" s="59" t="str">
        <f t="shared" si="25"/>
        <v/>
      </c>
      <c r="G2426" s="59" t="str">
        <f t="shared" si="26"/>
        <v/>
      </c>
      <c r="H2426" s="59" t="str">
        <f t="shared" si="27"/>
        <v>28H00354</v>
      </c>
      <c r="I2426" s="59" t="str">
        <f>IF(OR($A2426="",$C2426="",$D2426="",$E2426="",$H2426=""),"",SUMIFS(DATA_GOC!$H:$H,DATA_GOC!$A:$A,"BOM",DATA_GOC!$D:$D,$H2426,DATA_GOC!$E:$E,$C2426,DATA_GOC!$F:$F,"Xuất nội bộ từ téc",DATA_GOC!$B:$B,"&gt;="&amp;$D2426,DATA_GOC!$B:$B,"&lt;="&amp;$E2426))</f>
        <v/>
      </c>
      <c r="J2426" s="59">
        <f t="shared" si="28"/>
        <v>0</v>
      </c>
      <c r="K2426" s="59">
        <f t="shared" si="29"/>
        <v>0</v>
      </c>
      <c r="L2426" s="59">
        <f t="shared" si="30"/>
        <v>0</v>
      </c>
      <c r="M2426" s="59">
        <f t="shared" si="31"/>
        <v>0</v>
      </c>
    </row>
    <row r="2427" ht="15.0" hidden="1" customHeight="1">
      <c r="A2427" s="59">
        <f t="shared" si="20"/>
        <v>37</v>
      </c>
      <c r="B2427" s="59" t="str">
        <f t="shared" si="21"/>
        <v/>
      </c>
      <c r="C2427" s="59" t="str">
        <f t="shared" si="22"/>
        <v/>
      </c>
      <c r="D2427" s="45" t="str">
        <f t="shared" si="23"/>
        <v/>
      </c>
      <c r="E2427" s="45" t="str">
        <f t="shared" si="24"/>
        <v/>
      </c>
      <c r="F2427" s="59" t="str">
        <f t="shared" si="25"/>
        <v/>
      </c>
      <c r="G2427" s="59" t="str">
        <f t="shared" si="26"/>
        <v/>
      </c>
      <c r="H2427" s="59" t="str">
        <f t="shared" si="27"/>
        <v>28H00603</v>
      </c>
      <c r="I2427" s="59" t="str">
        <f>IF(OR($A2427="",$C2427="",$D2427="",$E2427="",$H2427=""),"",SUMIFS(DATA_GOC!$H:$H,DATA_GOC!$A:$A,"BOM",DATA_GOC!$D:$D,$H2427,DATA_GOC!$E:$E,$C2427,DATA_GOC!$F:$F,"Xuất nội bộ từ téc",DATA_GOC!$B:$B,"&gt;="&amp;$D2427,DATA_GOC!$B:$B,"&lt;="&amp;$E2427))</f>
        <v/>
      </c>
      <c r="J2427" s="59">
        <f t="shared" si="28"/>
        <v>0</v>
      </c>
      <c r="K2427" s="59">
        <f t="shared" si="29"/>
        <v>0</v>
      </c>
      <c r="L2427" s="59">
        <f t="shared" si="30"/>
        <v>0</v>
      </c>
      <c r="M2427" s="59">
        <f t="shared" si="31"/>
        <v>0</v>
      </c>
    </row>
    <row r="2428" ht="15.0" hidden="1" customHeight="1">
      <c r="A2428" s="59">
        <f t="shared" si="20"/>
        <v>37</v>
      </c>
      <c r="B2428" s="59" t="str">
        <f t="shared" si="21"/>
        <v/>
      </c>
      <c r="C2428" s="59" t="str">
        <f t="shared" si="22"/>
        <v/>
      </c>
      <c r="D2428" s="45" t="str">
        <f t="shared" si="23"/>
        <v/>
      </c>
      <c r="E2428" s="45" t="str">
        <f t="shared" si="24"/>
        <v/>
      </c>
      <c r="F2428" s="59" t="str">
        <f t="shared" si="25"/>
        <v/>
      </c>
      <c r="G2428" s="59" t="str">
        <f t="shared" si="26"/>
        <v/>
      </c>
      <c r="H2428" s="59" t="str">
        <f t="shared" si="27"/>
        <v>28H00609</v>
      </c>
      <c r="I2428" s="59" t="str">
        <f>IF(OR($A2428="",$C2428="",$D2428="",$E2428="",$H2428=""),"",SUMIFS(DATA_GOC!$H:$H,DATA_GOC!$A:$A,"BOM",DATA_GOC!$D:$D,$H2428,DATA_GOC!$E:$E,$C2428,DATA_GOC!$F:$F,"Xuất nội bộ từ téc",DATA_GOC!$B:$B,"&gt;="&amp;$D2428,DATA_GOC!$B:$B,"&lt;="&amp;$E2428))</f>
        <v/>
      </c>
      <c r="J2428" s="59">
        <f t="shared" si="28"/>
        <v>0</v>
      </c>
      <c r="K2428" s="59">
        <f t="shared" si="29"/>
        <v>0</v>
      </c>
      <c r="L2428" s="59">
        <f t="shared" si="30"/>
        <v>0</v>
      </c>
      <c r="M2428" s="59">
        <f t="shared" si="31"/>
        <v>0</v>
      </c>
    </row>
    <row r="2429" ht="15.0" hidden="1" customHeight="1">
      <c r="A2429" s="59">
        <f t="shared" si="20"/>
        <v>37</v>
      </c>
      <c r="B2429" s="59" t="str">
        <f t="shared" si="21"/>
        <v/>
      </c>
      <c r="C2429" s="59" t="str">
        <f t="shared" si="22"/>
        <v/>
      </c>
      <c r="D2429" s="45" t="str">
        <f t="shared" si="23"/>
        <v/>
      </c>
      <c r="E2429" s="45" t="str">
        <f t="shared" si="24"/>
        <v/>
      </c>
      <c r="F2429" s="59" t="str">
        <f t="shared" si="25"/>
        <v/>
      </c>
      <c r="G2429" s="59" t="str">
        <f t="shared" si="26"/>
        <v/>
      </c>
      <c r="H2429" s="59" t="str">
        <f t="shared" si="27"/>
        <v>28H00669</v>
      </c>
      <c r="I2429" s="59" t="str">
        <f>IF(OR($A2429="",$C2429="",$D2429="",$E2429="",$H2429=""),"",SUMIFS(DATA_GOC!$H:$H,DATA_GOC!$A:$A,"BOM",DATA_GOC!$D:$D,$H2429,DATA_GOC!$E:$E,$C2429,DATA_GOC!$F:$F,"Xuất nội bộ từ téc",DATA_GOC!$B:$B,"&gt;="&amp;$D2429,DATA_GOC!$B:$B,"&lt;="&amp;$E2429))</f>
        <v/>
      </c>
      <c r="J2429" s="59">
        <f t="shared" si="28"/>
        <v>0</v>
      </c>
      <c r="K2429" s="59">
        <f t="shared" si="29"/>
        <v>0</v>
      </c>
      <c r="L2429" s="59">
        <f t="shared" si="30"/>
        <v>0</v>
      </c>
      <c r="M2429" s="59">
        <f t="shared" si="31"/>
        <v>0</v>
      </c>
    </row>
    <row r="2430" ht="15.0" hidden="1" customHeight="1">
      <c r="A2430" s="59">
        <f t="shared" si="20"/>
        <v>37</v>
      </c>
      <c r="B2430" s="59" t="str">
        <f t="shared" si="21"/>
        <v/>
      </c>
      <c r="C2430" s="59" t="str">
        <f t="shared" si="22"/>
        <v/>
      </c>
      <c r="D2430" s="45" t="str">
        <f t="shared" si="23"/>
        <v/>
      </c>
      <c r="E2430" s="45" t="str">
        <f t="shared" si="24"/>
        <v/>
      </c>
      <c r="F2430" s="59" t="str">
        <f t="shared" si="25"/>
        <v/>
      </c>
      <c r="G2430" s="59" t="str">
        <f t="shared" si="26"/>
        <v/>
      </c>
      <c r="H2430" s="59" t="str">
        <f t="shared" si="27"/>
        <v>28H00680</v>
      </c>
      <c r="I2430" s="59" t="str">
        <f>IF(OR($A2430="",$C2430="",$D2430="",$E2430="",$H2430=""),"",SUMIFS(DATA_GOC!$H:$H,DATA_GOC!$A:$A,"BOM",DATA_GOC!$D:$D,$H2430,DATA_GOC!$E:$E,$C2430,DATA_GOC!$F:$F,"Xuất nội bộ từ téc",DATA_GOC!$B:$B,"&gt;="&amp;$D2430,DATA_GOC!$B:$B,"&lt;="&amp;$E2430))</f>
        <v/>
      </c>
      <c r="J2430" s="59">
        <f t="shared" si="28"/>
        <v>0</v>
      </c>
      <c r="K2430" s="59">
        <f t="shared" si="29"/>
        <v>0</v>
      </c>
      <c r="L2430" s="59">
        <f t="shared" si="30"/>
        <v>0</v>
      </c>
      <c r="M2430" s="59">
        <f t="shared" si="31"/>
        <v>0</v>
      </c>
    </row>
    <row r="2431" ht="15.0" hidden="1" customHeight="1">
      <c r="A2431" s="59">
        <f t="shared" si="20"/>
        <v>37</v>
      </c>
      <c r="B2431" s="59" t="str">
        <f t="shared" si="21"/>
        <v/>
      </c>
      <c r="C2431" s="59" t="str">
        <f t="shared" si="22"/>
        <v/>
      </c>
      <c r="D2431" s="45" t="str">
        <f t="shared" si="23"/>
        <v/>
      </c>
      <c r="E2431" s="45" t="str">
        <f t="shared" si="24"/>
        <v/>
      </c>
      <c r="F2431" s="59" t="str">
        <f t="shared" si="25"/>
        <v/>
      </c>
      <c r="G2431" s="59" t="str">
        <f t="shared" si="26"/>
        <v/>
      </c>
      <c r="H2431" s="59" t="str">
        <f t="shared" si="27"/>
        <v>28H01070</v>
      </c>
      <c r="I2431" s="59" t="str">
        <f>IF(OR($A2431="",$C2431="",$D2431="",$E2431="",$H2431=""),"",SUMIFS(DATA_GOC!$H:$H,DATA_GOC!$A:$A,"BOM",DATA_GOC!$D:$D,$H2431,DATA_GOC!$E:$E,$C2431,DATA_GOC!$F:$F,"Xuất nội bộ từ téc",DATA_GOC!$B:$B,"&gt;="&amp;$D2431,DATA_GOC!$B:$B,"&lt;="&amp;$E2431))</f>
        <v/>
      </c>
      <c r="J2431" s="59">
        <f t="shared" si="28"/>
        <v>0</v>
      </c>
      <c r="K2431" s="59">
        <f t="shared" si="29"/>
        <v>0</v>
      </c>
      <c r="L2431" s="59">
        <f t="shared" si="30"/>
        <v>0</v>
      </c>
      <c r="M2431" s="59">
        <f t="shared" si="31"/>
        <v>0</v>
      </c>
    </row>
    <row r="2432" ht="15.0" hidden="1" customHeight="1">
      <c r="A2432" s="59">
        <f t="shared" si="20"/>
        <v>37</v>
      </c>
      <c r="B2432" s="59" t="str">
        <f t="shared" si="21"/>
        <v/>
      </c>
      <c r="C2432" s="59" t="str">
        <f t="shared" si="22"/>
        <v/>
      </c>
      <c r="D2432" s="45" t="str">
        <f t="shared" si="23"/>
        <v/>
      </c>
      <c r="E2432" s="45" t="str">
        <f t="shared" si="24"/>
        <v/>
      </c>
      <c r="F2432" s="59" t="str">
        <f t="shared" si="25"/>
        <v/>
      </c>
      <c r="G2432" s="59" t="str">
        <f t="shared" si="26"/>
        <v/>
      </c>
      <c r="H2432" s="59" t="str">
        <f t="shared" si="27"/>
        <v>28H01364</v>
      </c>
      <c r="I2432" s="59" t="str">
        <f>IF(OR($A2432="",$C2432="",$D2432="",$E2432="",$H2432=""),"",SUMIFS(DATA_GOC!$H:$H,DATA_GOC!$A:$A,"BOM",DATA_GOC!$D:$D,$H2432,DATA_GOC!$E:$E,$C2432,DATA_GOC!$F:$F,"Xuất nội bộ từ téc",DATA_GOC!$B:$B,"&gt;="&amp;$D2432,DATA_GOC!$B:$B,"&lt;="&amp;$E2432))</f>
        <v/>
      </c>
      <c r="J2432" s="59">
        <f t="shared" si="28"/>
        <v>0</v>
      </c>
      <c r="K2432" s="59">
        <f t="shared" si="29"/>
        <v>0</v>
      </c>
      <c r="L2432" s="59">
        <f t="shared" si="30"/>
        <v>0</v>
      </c>
      <c r="M2432" s="59">
        <f t="shared" si="31"/>
        <v>0</v>
      </c>
    </row>
    <row r="2433" ht="15.0" hidden="1" customHeight="1">
      <c r="A2433" s="59">
        <f t="shared" si="20"/>
        <v>37</v>
      </c>
      <c r="B2433" s="59" t="str">
        <f t="shared" si="21"/>
        <v/>
      </c>
      <c r="C2433" s="59" t="str">
        <f t="shared" si="22"/>
        <v/>
      </c>
      <c r="D2433" s="45" t="str">
        <f t="shared" si="23"/>
        <v/>
      </c>
      <c r="E2433" s="45" t="str">
        <f t="shared" si="24"/>
        <v/>
      </c>
      <c r="F2433" s="59" t="str">
        <f t="shared" si="25"/>
        <v/>
      </c>
      <c r="G2433" s="59" t="str">
        <f t="shared" si="26"/>
        <v/>
      </c>
      <c r="H2433" s="59" t="str">
        <f t="shared" si="27"/>
        <v>29E17269</v>
      </c>
      <c r="I2433" s="59" t="str">
        <f>IF(OR($A2433="",$C2433="",$D2433="",$E2433="",$H2433=""),"",SUMIFS(DATA_GOC!$H:$H,DATA_GOC!$A:$A,"BOM",DATA_GOC!$D:$D,$H2433,DATA_GOC!$E:$E,$C2433,DATA_GOC!$F:$F,"Xuất nội bộ từ téc",DATA_GOC!$B:$B,"&gt;="&amp;$D2433,DATA_GOC!$B:$B,"&lt;="&amp;$E2433))</f>
        <v/>
      </c>
      <c r="J2433" s="59">
        <f t="shared" si="28"/>
        <v>0</v>
      </c>
      <c r="K2433" s="59">
        <f t="shared" si="29"/>
        <v>0</v>
      </c>
      <c r="L2433" s="59">
        <f t="shared" si="30"/>
        <v>0</v>
      </c>
      <c r="M2433" s="59">
        <f t="shared" si="31"/>
        <v>0</v>
      </c>
    </row>
    <row r="2434" ht="15.0" hidden="1" customHeight="1">
      <c r="A2434" s="59">
        <f t="shared" si="20"/>
        <v>37</v>
      </c>
      <c r="B2434" s="59" t="str">
        <f t="shared" si="21"/>
        <v/>
      </c>
      <c r="C2434" s="59" t="str">
        <f t="shared" si="22"/>
        <v/>
      </c>
      <c r="D2434" s="45" t="str">
        <f t="shared" si="23"/>
        <v/>
      </c>
      <c r="E2434" s="45" t="str">
        <f t="shared" si="24"/>
        <v/>
      </c>
      <c r="F2434" s="59" t="str">
        <f t="shared" si="25"/>
        <v/>
      </c>
      <c r="G2434" s="59" t="str">
        <f t="shared" si="26"/>
        <v/>
      </c>
      <c r="H2434" s="59" t="str">
        <f t="shared" si="27"/>
        <v>29E17273</v>
      </c>
      <c r="I2434" s="59" t="str">
        <f>IF(OR($A2434="",$C2434="",$D2434="",$E2434="",$H2434=""),"",SUMIFS(DATA_GOC!$H:$H,DATA_GOC!$A:$A,"BOM",DATA_GOC!$D:$D,$H2434,DATA_GOC!$E:$E,$C2434,DATA_GOC!$F:$F,"Xuất nội bộ từ téc",DATA_GOC!$B:$B,"&gt;="&amp;$D2434,DATA_GOC!$B:$B,"&lt;="&amp;$E2434))</f>
        <v/>
      </c>
      <c r="J2434" s="59">
        <f t="shared" si="28"/>
        <v>0</v>
      </c>
      <c r="K2434" s="59">
        <f t="shared" si="29"/>
        <v>0</v>
      </c>
      <c r="L2434" s="59">
        <f t="shared" si="30"/>
        <v>0</v>
      </c>
      <c r="M2434" s="59">
        <f t="shared" si="31"/>
        <v>0</v>
      </c>
    </row>
    <row r="2435" ht="15.0" hidden="1" customHeight="1">
      <c r="A2435" s="59">
        <f t="shared" si="20"/>
        <v>37</v>
      </c>
      <c r="B2435" s="59" t="str">
        <f t="shared" si="21"/>
        <v/>
      </c>
      <c r="C2435" s="59" t="str">
        <f t="shared" si="22"/>
        <v/>
      </c>
      <c r="D2435" s="45" t="str">
        <f t="shared" si="23"/>
        <v/>
      </c>
      <c r="E2435" s="45" t="str">
        <f t="shared" si="24"/>
        <v/>
      </c>
      <c r="F2435" s="59" t="str">
        <f t="shared" si="25"/>
        <v/>
      </c>
      <c r="G2435" s="59" t="str">
        <f t="shared" si="26"/>
        <v/>
      </c>
      <c r="H2435" s="59" t="str">
        <f t="shared" si="27"/>
        <v>29E17410</v>
      </c>
      <c r="I2435" s="59" t="str">
        <f>IF(OR($A2435="",$C2435="",$D2435="",$E2435="",$H2435=""),"",SUMIFS(DATA_GOC!$H:$H,DATA_GOC!$A:$A,"BOM",DATA_GOC!$D:$D,$H2435,DATA_GOC!$E:$E,$C2435,DATA_GOC!$F:$F,"Xuất nội bộ từ téc",DATA_GOC!$B:$B,"&gt;="&amp;$D2435,DATA_GOC!$B:$B,"&lt;="&amp;$E2435))</f>
        <v/>
      </c>
      <c r="J2435" s="59">
        <f t="shared" si="28"/>
        <v>0</v>
      </c>
      <c r="K2435" s="59">
        <f t="shared" si="29"/>
        <v>0</v>
      </c>
      <c r="L2435" s="59">
        <f t="shared" si="30"/>
        <v>0</v>
      </c>
      <c r="M2435" s="59">
        <f t="shared" si="31"/>
        <v>0</v>
      </c>
    </row>
    <row r="2436" ht="15.0" hidden="1" customHeight="1">
      <c r="A2436" s="59">
        <f t="shared" si="20"/>
        <v>37</v>
      </c>
      <c r="B2436" s="59" t="str">
        <f t="shared" si="21"/>
        <v/>
      </c>
      <c r="C2436" s="59" t="str">
        <f t="shared" si="22"/>
        <v/>
      </c>
      <c r="D2436" s="45" t="str">
        <f t="shared" si="23"/>
        <v/>
      </c>
      <c r="E2436" s="45" t="str">
        <f t="shared" si="24"/>
        <v/>
      </c>
      <c r="F2436" s="59" t="str">
        <f t="shared" si="25"/>
        <v/>
      </c>
      <c r="G2436" s="59" t="str">
        <f t="shared" si="26"/>
        <v/>
      </c>
      <c r="H2436" s="59" t="str">
        <f t="shared" si="27"/>
        <v>29E17417</v>
      </c>
      <c r="I2436" s="59" t="str">
        <f>IF(OR($A2436="",$C2436="",$D2436="",$E2436="",$H2436=""),"",SUMIFS(DATA_GOC!$H:$H,DATA_GOC!$A:$A,"BOM",DATA_GOC!$D:$D,$H2436,DATA_GOC!$E:$E,$C2436,DATA_GOC!$F:$F,"Xuất nội bộ từ téc",DATA_GOC!$B:$B,"&gt;="&amp;$D2436,DATA_GOC!$B:$B,"&lt;="&amp;$E2436))</f>
        <v/>
      </c>
      <c r="J2436" s="59">
        <f t="shared" si="28"/>
        <v>0</v>
      </c>
      <c r="K2436" s="59">
        <f t="shared" si="29"/>
        <v>0</v>
      </c>
      <c r="L2436" s="59">
        <f t="shared" si="30"/>
        <v>0</v>
      </c>
      <c r="M2436" s="59">
        <f t="shared" si="31"/>
        <v>0</v>
      </c>
    </row>
    <row r="2437" ht="15.0" hidden="1" customHeight="1">
      <c r="A2437" s="59">
        <f t="shared" si="20"/>
        <v>37</v>
      </c>
      <c r="B2437" s="59" t="str">
        <f t="shared" si="21"/>
        <v/>
      </c>
      <c r="C2437" s="59" t="str">
        <f t="shared" si="22"/>
        <v/>
      </c>
      <c r="D2437" s="45" t="str">
        <f t="shared" si="23"/>
        <v/>
      </c>
      <c r="E2437" s="45" t="str">
        <f t="shared" si="24"/>
        <v/>
      </c>
      <c r="F2437" s="59" t="str">
        <f t="shared" si="25"/>
        <v/>
      </c>
      <c r="G2437" s="59" t="str">
        <f t="shared" si="26"/>
        <v/>
      </c>
      <c r="H2437" s="59" t="str">
        <f t="shared" si="27"/>
        <v>29E17539</v>
      </c>
      <c r="I2437" s="59" t="str">
        <f>IF(OR($A2437="",$C2437="",$D2437="",$E2437="",$H2437=""),"",SUMIFS(DATA_GOC!$H:$H,DATA_GOC!$A:$A,"BOM",DATA_GOC!$D:$D,$H2437,DATA_GOC!$E:$E,$C2437,DATA_GOC!$F:$F,"Xuất nội bộ từ téc",DATA_GOC!$B:$B,"&gt;="&amp;$D2437,DATA_GOC!$B:$B,"&lt;="&amp;$E2437))</f>
        <v/>
      </c>
      <c r="J2437" s="59">
        <f t="shared" si="28"/>
        <v>0</v>
      </c>
      <c r="K2437" s="59">
        <f t="shared" si="29"/>
        <v>0</v>
      </c>
      <c r="L2437" s="59">
        <f t="shared" si="30"/>
        <v>0</v>
      </c>
      <c r="M2437" s="59">
        <f t="shared" si="31"/>
        <v>0</v>
      </c>
    </row>
    <row r="2438" ht="15.0" hidden="1" customHeight="1">
      <c r="A2438" s="59">
        <f t="shared" si="20"/>
        <v>37</v>
      </c>
      <c r="B2438" s="59" t="str">
        <f t="shared" si="21"/>
        <v/>
      </c>
      <c r="C2438" s="59" t="str">
        <f t="shared" si="22"/>
        <v/>
      </c>
      <c r="D2438" s="45" t="str">
        <f t="shared" si="23"/>
        <v/>
      </c>
      <c r="E2438" s="45" t="str">
        <f t="shared" si="24"/>
        <v/>
      </c>
      <c r="F2438" s="59" t="str">
        <f t="shared" si="25"/>
        <v/>
      </c>
      <c r="G2438" s="59" t="str">
        <f t="shared" si="26"/>
        <v/>
      </c>
      <c r="H2438" s="59" t="str">
        <f t="shared" si="27"/>
        <v>29E18160</v>
      </c>
      <c r="I2438" s="59" t="str">
        <f>IF(OR($A2438="",$C2438="",$D2438="",$E2438="",$H2438=""),"",SUMIFS(DATA_GOC!$H:$H,DATA_GOC!$A:$A,"BOM",DATA_GOC!$D:$D,$H2438,DATA_GOC!$E:$E,$C2438,DATA_GOC!$F:$F,"Xuất nội bộ từ téc",DATA_GOC!$B:$B,"&gt;="&amp;$D2438,DATA_GOC!$B:$B,"&lt;="&amp;$E2438))</f>
        <v/>
      </c>
      <c r="J2438" s="59">
        <f t="shared" si="28"/>
        <v>0</v>
      </c>
      <c r="K2438" s="59">
        <f t="shared" si="29"/>
        <v>0</v>
      </c>
      <c r="L2438" s="59">
        <f t="shared" si="30"/>
        <v>0</v>
      </c>
      <c r="M2438" s="59">
        <f t="shared" si="31"/>
        <v>0</v>
      </c>
    </row>
    <row r="2439" ht="15.0" hidden="1" customHeight="1">
      <c r="A2439" s="59">
        <f t="shared" si="20"/>
        <v>37</v>
      </c>
      <c r="B2439" s="59" t="str">
        <f t="shared" si="21"/>
        <v/>
      </c>
      <c r="C2439" s="59" t="str">
        <f t="shared" si="22"/>
        <v/>
      </c>
      <c r="D2439" s="45" t="str">
        <f t="shared" si="23"/>
        <v/>
      </c>
      <c r="E2439" s="45" t="str">
        <f t="shared" si="24"/>
        <v/>
      </c>
      <c r="F2439" s="59" t="str">
        <f t="shared" si="25"/>
        <v/>
      </c>
      <c r="G2439" s="59" t="str">
        <f t="shared" si="26"/>
        <v/>
      </c>
      <c r="H2439" s="59" t="str">
        <f t="shared" si="27"/>
        <v>Công trình Asphalt</v>
      </c>
      <c r="I2439" s="59" t="str">
        <f>IF(OR($A2439="",$C2439="",$D2439="",$E2439="",$H2439=""),"",SUMIFS(DATA_GOC!$H:$H,DATA_GOC!$A:$A,"BOM",DATA_GOC!$D:$D,$H2439,DATA_GOC!$E:$E,$C2439,DATA_GOC!$F:$F,"Xuất nội bộ từ téc",DATA_GOC!$B:$B,"&gt;="&amp;$D2439,DATA_GOC!$B:$B,"&lt;="&amp;$E2439))</f>
        <v/>
      </c>
      <c r="J2439" s="59">
        <f t="shared" si="28"/>
        <v>0</v>
      </c>
      <c r="K2439" s="59">
        <f t="shared" si="29"/>
        <v>0</v>
      </c>
      <c r="L2439" s="59">
        <f t="shared" si="30"/>
        <v>0</v>
      </c>
      <c r="M2439" s="59">
        <f t="shared" si="31"/>
        <v>0</v>
      </c>
    </row>
    <row r="2440" ht="15.0" hidden="1" customHeight="1">
      <c r="A2440" s="59">
        <f t="shared" si="20"/>
        <v>37</v>
      </c>
      <c r="B2440" s="59" t="str">
        <f t="shared" si="21"/>
        <v/>
      </c>
      <c r="C2440" s="59" t="str">
        <f t="shared" si="22"/>
        <v/>
      </c>
      <c r="D2440" s="45" t="str">
        <f t="shared" si="23"/>
        <v/>
      </c>
      <c r="E2440" s="45" t="str">
        <f t="shared" si="24"/>
        <v/>
      </c>
      <c r="F2440" s="59" t="str">
        <f t="shared" si="25"/>
        <v/>
      </c>
      <c r="G2440" s="59" t="str">
        <f t="shared" si="26"/>
        <v/>
      </c>
      <c r="H2440" s="59" t="str">
        <f t="shared" si="27"/>
        <v>LG53F</v>
      </c>
      <c r="I2440" s="59" t="str">
        <f>IF(OR($A2440="",$C2440="",$D2440="",$E2440="",$H2440=""),"",SUMIFS(DATA_GOC!$H:$H,DATA_GOC!$A:$A,"BOM",DATA_GOC!$D:$D,$H2440,DATA_GOC!$E:$E,$C2440,DATA_GOC!$F:$F,"Xuất nội bộ từ téc",DATA_GOC!$B:$B,"&gt;="&amp;$D2440,DATA_GOC!$B:$B,"&lt;="&amp;$E2440))</f>
        <v/>
      </c>
      <c r="J2440" s="59">
        <f t="shared" si="28"/>
        <v>0</v>
      </c>
      <c r="K2440" s="59">
        <f t="shared" si="29"/>
        <v>0</v>
      </c>
      <c r="L2440" s="59">
        <f t="shared" si="30"/>
        <v>0</v>
      </c>
      <c r="M2440" s="59">
        <f t="shared" si="31"/>
        <v>0</v>
      </c>
    </row>
    <row r="2441" ht="15.0" hidden="1" customHeight="1">
      <c r="A2441" s="59">
        <f t="shared" si="20"/>
        <v>37</v>
      </c>
      <c r="B2441" s="59" t="str">
        <f t="shared" si="21"/>
        <v/>
      </c>
      <c r="C2441" s="59" t="str">
        <f t="shared" si="22"/>
        <v/>
      </c>
      <c r="D2441" s="45" t="str">
        <f t="shared" si="23"/>
        <v/>
      </c>
      <c r="E2441" s="45" t="str">
        <f t="shared" si="24"/>
        <v/>
      </c>
      <c r="F2441" s="59" t="str">
        <f t="shared" si="25"/>
        <v/>
      </c>
      <c r="G2441" s="59" t="str">
        <f t="shared" si="26"/>
        <v/>
      </c>
      <c r="H2441" s="59" t="str">
        <f t="shared" si="27"/>
        <v>Máy phát điện</v>
      </c>
      <c r="I2441" s="59" t="str">
        <f>IF(OR($A2441="",$C2441="",$D2441="",$E2441="",$H2441=""),"",SUMIFS(DATA_GOC!$H:$H,DATA_GOC!$A:$A,"BOM",DATA_GOC!$D:$D,$H2441,DATA_GOC!$E:$E,$C2441,DATA_GOC!$F:$F,"Xuất nội bộ từ téc",DATA_GOC!$B:$B,"&gt;="&amp;$D2441,DATA_GOC!$B:$B,"&lt;="&amp;$E2441))</f>
        <v/>
      </c>
      <c r="J2441" s="59">
        <f t="shared" si="28"/>
        <v>0</v>
      </c>
      <c r="K2441" s="59">
        <f t="shared" si="29"/>
        <v>0</v>
      </c>
      <c r="L2441" s="59">
        <f t="shared" si="30"/>
        <v>0</v>
      </c>
      <c r="M2441" s="59">
        <f t="shared" si="31"/>
        <v>0</v>
      </c>
    </row>
    <row r="2442" ht="15.0" hidden="1" customHeight="1">
      <c r="A2442" s="59">
        <f t="shared" si="20"/>
        <v>37</v>
      </c>
      <c r="B2442" s="59" t="str">
        <f t="shared" si="21"/>
        <v/>
      </c>
      <c r="C2442" s="59" t="str">
        <f t="shared" si="22"/>
        <v/>
      </c>
      <c r="D2442" s="45" t="str">
        <f t="shared" si="23"/>
        <v/>
      </c>
      <c r="E2442" s="45" t="str">
        <f t="shared" si="24"/>
        <v/>
      </c>
      <c r="F2442" s="59" t="str">
        <f t="shared" si="25"/>
        <v/>
      </c>
      <c r="G2442" s="59" t="str">
        <f t="shared" si="26"/>
        <v/>
      </c>
      <c r="H2442" s="59" t="str">
        <f t="shared" si="27"/>
        <v>Máy rải thảm</v>
      </c>
      <c r="I2442" s="59" t="str">
        <f>IF(OR($A2442="",$C2442="",$D2442="",$E2442="",$H2442=""),"",SUMIFS(DATA_GOC!$H:$H,DATA_GOC!$A:$A,"BOM",DATA_GOC!$D:$D,$H2442,DATA_GOC!$E:$E,$C2442,DATA_GOC!$F:$F,"Xuất nội bộ từ téc",DATA_GOC!$B:$B,"&gt;="&amp;$D2442,DATA_GOC!$B:$B,"&lt;="&amp;$E2442))</f>
        <v/>
      </c>
      <c r="J2442" s="59">
        <f t="shared" si="28"/>
        <v>0</v>
      </c>
      <c r="K2442" s="59">
        <f t="shared" si="29"/>
        <v>0</v>
      </c>
      <c r="L2442" s="59">
        <f t="shared" si="30"/>
        <v>0</v>
      </c>
      <c r="M2442" s="59">
        <f t="shared" si="31"/>
        <v>0</v>
      </c>
    </row>
    <row r="2443" ht="15.0" hidden="1" customHeight="1">
      <c r="A2443" s="59">
        <f t="shared" si="20"/>
        <v>37</v>
      </c>
      <c r="B2443" s="59" t="str">
        <f t="shared" si="21"/>
        <v/>
      </c>
      <c r="C2443" s="59" t="str">
        <f t="shared" si="22"/>
        <v/>
      </c>
      <c r="D2443" s="45" t="str">
        <f t="shared" si="23"/>
        <v/>
      </c>
      <c r="E2443" s="45" t="str">
        <f t="shared" si="24"/>
        <v/>
      </c>
      <c r="F2443" s="59" t="str">
        <f t="shared" si="25"/>
        <v/>
      </c>
      <c r="G2443" s="59" t="str">
        <f t="shared" si="26"/>
        <v/>
      </c>
      <c r="H2443" s="59" t="str">
        <f t="shared" si="27"/>
        <v>Xúc Đào</v>
      </c>
      <c r="I2443" s="59" t="str">
        <f>IF(OR($A2443="",$C2443="",$D2443="",$E2443="",$H2443=""),"",SUMIFS(DATA_GOC!$H:$H,DATA_GOC!$A:$A,"BOM",DATA_GOC!$D:$D,$H2443,DATA_GOC!$E:$E,$C2443,DATA_GOC!$F:$F,"Xuất nội bộ từ téc",DATA_GOC!$B:$B,"&gt;="&amp;$D2443,DATA_GOC!$B:$B,"&lt;="&amp;$E2443))</f>
        <v/>
      </c>
      <c r="J2443" s="59">
        <f t="shared" si="28"/>
        <v>0</v>
      </c>
      <c r="K2443" s="59">
        <f t="shared" si="29"/>
        <v>0</v>
      </c>
      <c r="L2443" s="59">
        <f t="shared" si="30"/>
        <v>0</v>
      </c>
      <c r="M2443" s="59">
        <f t="shared" si="31"/>
        <v>0</v>
      </c>
    </row>
    <row r="2444" ht="15.0" hidden="1" customHeight="1">
      <c r="A2444" s="59">
        <f t="shared" si="20"/>
        <v>37</v>
      </c>
      <c r="B2444" s="59" t="str">
        <f t="shared" si="21"/>
        <v/>
      </c>
      <c r="C2444" s="59" t="str">
        <f t="shared" si="22"/>
        <v/>
      </c>
      <c r="D2444" s="45" t="str">
        <f t="shared" si="23"/>
        <v/>
      </c>
      <c r="E2444" s="45" t="str">
        <f t="shared" si="24"/>
        <v/>
      </c>
      <c r="F2444" s="59" t="str">
        <f t="shared" si="25"/>
        <v/>
      </c>
      <c r="G2444" s="59" t="str">
        <f t="shared" si="26"/>
        <v/>
      </c>
      <c r="H2444" s="59" t="str">
        <f t="shared" si="27"/>
        <v>Xúclật asphalt</v>
      </c>
      <c r="I2444" s="59" t="str">
        <f>IF(OR($A2444="",$C2444="",$D2444="",$E2444="",$H2444=""),"",SUMIFS(DATA_GOC!$H:$H,DATA_GOC!$A:$A,"BOM",DATA_GOC!$D:$D,$H2444,DATA_GOC!$E:$E,$C2444,DATA_GOC!$F:$F,"Xuất nội bộ từ téc",DATA_GOC!$B:$B,"&gt;="&amp;$D2444,DATA_GOC!$B:$B,"&lt;="&amp;$E2444))</f>
        <v/>
      </c>
      <c r="J2444" s="59">
        <f t="shared" si="28"/>
        <v>0</v>
      </c>
      <c r="K2444" s="59">
        <f t="shared" si="29"/>
        <v>0</v>
      </c>
      <c r="L2444" s="59">
        <f t="shared" si="30"/>
        <v>0</v>
      </c>
      <c r="M2444" s="59">
        <f t="shared" si="31"/>
        <v>0</v>
      </c>
    </row>
    <row r="2445" ht="15.0" hidden="1" customHeight="1">
      <c r="A2445" s="59">
        <f t="shared" si="20"/>
        <v>37</v>
      </c>
      <c r="B2445" s="59" t="str">
        <f t="shared" si="21"/>
        <v/>
      </c>
      <c r="C2445" s="59" t="str">
        <f t="shared" si="22"/>
        <v/>
      </c>
      <c r="D2445" s="45" t="str">
        <f t="shared" si="23"/>
        <v/>
      </c>
      <c r="E2445" s="45" t="str">
        <f t="shared" si="24"/>
        <v/>
      </c>
      <c r="F2445" s="59" t="str">
        <f t="shared" si="25"/>
        <v/>
      </c>
      <c r="G2445" s="59" t="str">
        <f t="shared" si="26"/>
        <v/>
      </c>
      <c r="H2445" s="59" t="str">
        <f t="shared" si="27"/>
        <v>Xúclật855H</v>
      </c>
      <c r="I2445" s="59" t="str">
        <f>IF(OR($A2445="",$C2445="",$D2445="",$E2445="",$H2445=""),"",SUMIFS(DATA_GOC!$H:$H,DATA_GOC!$A:$A,"BOM",DATA_GOC!$D:$D,$H2445,DATA_GOC!$E:$E,$C2445,DATA_GOC!$F:$F,"Xuất nội bộ từ téc",DATA_GOC!$B:$B,"&gt;="&amp;$D2445,DATA_GOC!$B:$B,"&lt;="&amp;$E2445))</f>
        <v/>
      </c>
      <c r="J2445" s="59">
        <f t="shared" si="28"/>
        <v>0</v>
      </c>
      <c r="K2445" s="59">
        <f t="shared" si="29"/>
        <v>0</v>
      </c>
      <c r="L2445" s="59">
        <f t="shared" si="30"/>
        <v>0</v>
      </c>
      <c r="M2445" s="59">
        <f t="shared" si="31"/>
        <v>0</v>
      </c>
    </row>
    <row r="2446" ht="15.0" hidden="1" customHeight="1">
      <c r="A2446" s="59">
        <f t="shared" si="20"/>
        <v>37</v>
      </c>
      <c r="B2446" s="59" t="str">
        <f t="shared" si="21"/>
        <v/>
      </c>
      <c r="C2446" s="59" t="str">
        <f t="shared" si="22"/>
        <v/>
      </c>
      <c r="D2446" s="45" t="str">
        <f t="shared" si="23"/>
        <v/>
      </c>
      <c r="E2446" s="45" t="str">
        <f t="shared" si="24"/>
        <v/>
      </c>
      <c r="F2446" s="59" t="str">
        <f t="shared" si="25"/>
        <v/>
      </c>
      <c r="G2446" s="59" t="str">
        <f t="shared" si="26"/>
        <v/>
      </c>
      <c r="H2446" s="59" t="str">
        <f t="shared" si="27"/>
        <v>Xúclật855N</v>
      </c>
      <c r="I2446" s="59" t="str">
        <f>IF(OR($A2446="",$C2446="",$D2446="",$E2446="",$H2446=""),"",SUMIFS(DATA_GOC!$H:$H,DATA_GOC!$A:$A,"BOM",DATA_GOC!$D:$D,$H2446,DATA_GOC!$E:$E,$C2446,DATA_GOC!$F:$F,"Xuất nội bộ từ téc",DATA_GOC!$B:$B,"&gt;="&amp;$D2446,DATA_GOC!$B:$B,"&lt;="&amp;$E2446))</f>
        <v/>
      </c>
      <c r="J2446" s="59">
        <f t="shared" si="28"/>
        <v>0</v>
      </c>
      <c r="K2446" s="59">
        <f t="shared" si="29"/>
        <v>0</v>
      </c>
      <c r="L2446" s="59">
        <f t="shared" si="30"/>
        <v>0</v>
      </c>
      <c r="M2446" s="59">
        <f t="shared" si="31"/>
        <v>0</v>
      </c>
    </row>
    <row r="2447" ht="15.0" hidden="1" customHeight="1">
      <c r="A2447" s="59">
        <f t="shared" si="20"/>
        <v>37</v>
      </c>
      <c r="B2447" s="59" t="str">
        <f t="shared" si="21"/>
        <v/>
      </c>
      <c r="C2447" s="59" t="str">
        <f t="shared" si="22"/>
        <v/>
      </c>
      <c r="D2447" s="45" t="str">
        <f t="shared" si="23"/>
        <v/>
      </c>
      <c r="E2447" s="45" t="str">
        <f t="shared" si="24"/>
        <v/>
      </c>
      <c r="F2447" s="59" t="str">
        <f t="shared" si="25"/>
        <v/>
      </c>
      <c r="G2447" s="59" t="str">
        <f t="shared" si="26"/>
        <v/>
      </c>
      <c r="H2447" s="59" t="str">
        <f t="shared" si="27"/>
        <v>Cát nghiền</v>
      </c>
      <c r="I2447" s="59" t="str">
        <f>IF(OR($A2447="",$C2447="",$D2447="",$E2447="",$H2447=""),"",SUMIFS(DATA_GOC!$H:$H,DATA_GOC!$A:$A,"BOM",DATA_GOC!$D:$D,$H2447,DATA_GOC!$E:$E,$C2447,DATA_GOC!$F:$F,"Xuất nội bộ từ téc",DATA_GOC!$B:$B,"&gt;="&amp;$D2447,DATA_GOC!$B:$B,"&lt;="&amp;$E2447))</f>
        <v/>
      </c>
      <c r="J2447" s="59">
        <f t="shared" si="28"/>
        <v>0</v>
      </c>
      <c r="K2447" s="59">
        <f t="shared" si="29"/>
        <v>0</v>
      </c>
      <c r="L2447" s="59">
        <f t="shared" si="30"/>
        <v>0</v>
      </c>
      <c r="M2447" s="59">
        <f t="shared" si="31"/>
        <v>0</v>
      </c>
    </row>
    <row r="2448" ht="15.0" hidden="1" customHeight="1">
      <c r="A2448" s="59">
        <f t="shared" si="20"/>
        <v>37</v>
      </c>
      <c r="B2448" s="59" t="str">
        <f t="shared" si="21"/>
        <v/>
      </c>
      <c r="C2448" s="59" t="str">
        <f t="shared" si="22"/>
        <v/>
      </c>
      <c r="D2448" s="45" t="str">
        <f t="shared" si="23"/>
        <v/>
      </c>
      <c r="E2448" s="45" t="str">
        <f t="shared" si="24"/>
        <v/>
      </c>
      <c r="F2448" s="59" t="str">
        <f t="shared" si="25"/>
        <v/>
      </c>
      <c r="G2448" s="59" t="str">
        <f t="shared" si="26"/>
        <v/>
      </c>
      <c r="H2448" s="59" t="str">
        <f t="shared" si="27"/>
        <v>28C02973</v>
      </c>
      <c r="I2448" s="59" t="str">
        <f>IF(OR($A2448="",$C2448="",$D2448="",$E2448="",$H2448=""),"",SUMIFS(DATA_GOC!$H:$H,DATA_GOC!$A:$A,"BOM",DATA_GOC!$D:$D,$H2448,DATA_GOC!$E:$E,$C2448,DATA_GOC!$F:$F,"Xuất nội bộ từ téc",DATA_GOC!$B:$B,"&gt;="&amp;$D2448,DATA_GOC!$B:$B,"&lt;="&amp;$E2448))</f>
        <v/>
      </c>
      <c r="J2448" s="59">
        <f t="shared" si="28"/>
        <v>0</v>
      </c>
      <c r="K2448" s="59">
        <f t="shared" si="29"/>
        <v>0</v>
      </c>
      <c r="L2448" s="59">
        <f t="shared" si="30"/>
        <v>0</v>
      </c>
      <c r="M2448" s="59">
        <f t="shared" si="31"/>
        <v>0</v>
      </c>
    </row>
    <row r="2449" ht="15.0" hidden="1" customHeight="1">
      <c r="A2449" s="59">
        <f t="shared" si="20"/>
        <v>37</v>
      </c>
      <c r="B2449" s="59" t="str">
        <f t="shared" si="21"/>
        <v/>
      </c>
      <c r="C2449" s="59" t="str">
        <f t="shared" si="22"/>
        <v/>
      </c>
      <c r="D2449" s="45" t="str">
        <f t="shared" si="23"/>
        <v/>
      </c>
      <c r="E2449" s="45" t="str">
        <f t="shared" si="24"/>
        <v/>
      </c>
      <c r="F2449" s="59" t="str">
        <f t="shared" si="25"/>
        <v/>
      </c>
      <c r="G2449" s="59" t="str">
        <f t="shared" si="26"/>
        <v/>
      </c>
      <c r="H2449" s="59" t="str">
        <f t="shared" si="27"/>
        <v>28C03044</v>
      </c>
      <c r="I2449" s="59" t="str">
        <f>IF(OR($A2449="",$C2449="",$D2449="",$E2449="",$H2449=""),"",SUMIFS(DATA_GOC!$H:$H,DATA_GOC!$A:$A,"BOM",DATA_GOC!$D:$D,$H2449,DATA_GOC!$E:$E,$C2449,DATA_GOC!$F:$F,"Xuất nội bộ từ téc",DATA_GOC!$B:$B,"&gt;="&amp;$D2449,DATA_GOC!$B:$B,"&lt;="&amp;$E2449))</f>
        <v/>
      </c>
      <c r="J2449" s="59">
        <f t="shared" si="28"/>
        <v>0</v>
      </c>
      <c r="K2449" s="59">
        <f t="shared" si="29"/>
        <v>0</v>
      </c>
      <c r="L2449" s="59">
        <f t="shared" si="30"/>
        <v>0</v>
      </c>
      <c r="M2449" s="59">
        <f t="shared" si="31"/>
        <v>0</v>
      </c>
    </row>
    <row r="2450" ht="15.0" hidden="1" customHeight="1">
      <c r="A2450" s="59">
        <f t="shared" si="20"/>
        <v>37</v>
      </c>
      <c r="B2450" s="59" t="str">
        <f t="shared" si="21"/>
        <v/>
      </c>
      <c r="C2450" s="59" t="str">
        <f t="shared" si="22"/>
        <v/>
      </c>
      <c r="D2450" s="45" t="str">
        <f t="shared" si="23"/>
        <v/>
      </c>
      <c r="E2450" s="45" t="str">
        <f t="shared" si="24"/>
        <v/>
      </c>
      <c r="F2450" s="59" t="str">
        <f t="shared" si="25"/>
        <v/>
      </c>
      <c r="G2450" s="59" t="str">
        <f t="shared" si="26"/>
        <v/>
      </c>
      <c r="H2450" s="59" t="str">
        <f t="shared" si="27"/>
        <v>Máy lu lốp</v>
      </c>
      <c r="I2450" s="59" t="str">
        <f>IF(OR($A2450="",$C2450="",$D2450="",$E2450="",$H2450=""),"",SUMIFS(DATA_GOC!$H:$H,DATA_GOC!$A:$A,"BOM",DATA_GOC!$D:$D,$H2450,DATA_GOC!$E:$E,$C2450,DATA_GOC!$F:$F,"Xuất nội bộ từ téc",DATA_GOC!$B:$B,"&gt;="&amp;$D2450,DATA_GOC!$B:$B,"&lt;="&amp;$E2450))</f>
        <v/>
      </c>
      <c r="J2450" s="59">
        <f t="shared" si="28"/>
        <v>0</v>
      </c>
      <c r="K2450" s="59">
        <f t="shared" si="29"/>
        <v>0</v>
      </c>
      <c r="L2450" s="59">
        <f t="shared" si="30"/>
        <v>0</v>
      </c>
      <c r="M2450" s="59">
        <f t="shared" si="31"/>
        <v>0</v>
      </c>
    </row>
    <row r="2451" ht="15.0" hidden="1" customHeight="1">
      <c r="A2451" s="59">
        <f t="shared" si="20"/>
        <v>37</v>
      </c>
      <c r="B2451" s="59" t="str">
        <f t="shared" si="21"/>
        <v/>
      </c>
      <c r="C2451" s="59" t="str">
        <f t="shared" si="22"/>
        <v/>
      </c>
      <c r="D2451" s="45" t="str">
        <f t="shared" si="23"/>
        <v/>
      </c>
      <c r="E2451" s="45" t="str">
        <f t="shared" si="24"/>
        <v/>
      </c>
      <c r="F2451" s="59" t="str">
        <f t="shared" si="25"/>
        <v/>
      </c>
      <c r="G2451" s="59" t="str">
        <f t="shared" si="26"/>
        <v/>
      </c>
      <c r="H2451" s="59" t="str">
        <f t="shared" si="27"/>
        <v>Xe 600148</v>
      </c>
      <c r="I2451" s="59" t="str">
        <f>IF(OR($A2451="",$C2451="",$D2451="",$E2451="",$H2451=""),"",SUMIFS(DATA_GOC!$H:$H,DATA_GOC!$A:$A,"BOM",DATA_GOC!$D:$D,$H2451,DATA_GOC!$E:$E,$C2451,DATA_GOC!$F:$F,"Xuất nội bộ từ téc",DATA_GOC!$B:$B,"&gt;="&amp;$D2451,DATA_GOC!$B:$B,"&lt;="&amp;$E2451))</f>
        <v/>
      </c>
      <c r="J2451" s="59">
        <f t="shared" si="28"/>
        <v>0</v>
      </c>
      <c r="K2451" s="59">
        <f t="shared" si="29"/>
        <v>0</v>
      </c>
      <c r="L2451" s="59">
        <f t="shared" si="30"/>
        <v>0</v>
      </c>
      <c r="M2451" s="59">
        <f t="shared" si="31"/>
        <v>0</v>
      </c>
    </row>
    <row r="2452" ht="15.0" hidden="1" customHeight="1">
      <c r="A2452" s="59">
        <f t="shared" si="20"/>
        <v>37</v>
      </c>
      <c r="B2452" s="59" t="str">
        <f t="shared" si="21"/>
        <v/>
      </c>
      <c r="C2452" s="59" t="str">
        <f t="shared" si="22"/>
        <v/>
      </c>
      <c r="D2452" s="45" t="str">
        <f t="shared" si="23"/>
        <v/>
      </c>
      <c r="E2452" s="45" t="str">
        <f t="shared" si="24"/>
        <v/>
      </c>
      <c r="F2452" s="59" t="str">
        <f t="shared" si="25"/>
        <v/>
      </c>
      <c r="G2452" s="59" t="str">
        <f t="shared" si="26"/>
        <v/>
      </c>
      <c r="H2452" s="59" t="str">
        <f t="shared" si="27"/>
        <v>Xe ben mới</v>
      </c>
      <c r="I2452" s="59" t="str">
        <f>IF(OR($A2452="",$C2452="",$D2452="",$E2452="",$H2452=""),"",SUMIFS(DATA_GOC!$H:$H,DATA_GOC!$A:$A,"BOM",DATA_GOC!$D:$D,$H2452,DATA_GOC!$E:$E,$C2452,DATA_GOC!$F:$F,"Xuất nội bộ từ téc",DATA_GOC!$B:$B,"&gt;="&amp;$D2452,DATA_GOC!$B:$B,"&lt;="&amp;$E2452))</f>
        <v/>
      </c>
      <c r="J2452" s="59">
        <f t="shared" si="28"/>
        <v>0</v>
      </c>
      <c r="K2452" s="59">
        <f t="shared" si="29"/>
        <v>0</v>
      </c>
      <c r="L2452" s="59">
        <f t="shared" si="30"/>
        <v>0</v>
      </c>
      <c r="M2452" s="59">
        <f t="shared" si="31"/>
        <v>0</v>
      </c>
    </row>
    <row r="2453" ht="15.0" hidden="1" customHeight="1">
      <c r="A2453" s="59">
        <f t="shared" si="20"/>
        <v>38</v>
      </c>
      <c r="B2453" s="59" t="str">
        <f t="shared" si="21"/>
        <v/>
      </c>
      <c r="C2453" s="59" t="str">
        <f t="shared" si="22"/>
        <v/>
      </c>
      <c r="D2453" s="45" t="str">
        <f t="shared" si="23"/>
        <v/>
      </c>
      <c r="E2453" s="45" t="str">
        <f t="shared" si="24"/>
        <v/>
      </c>
      <c r="F2453" s="59" t="str">
        <f t="shared" si="25"/>
        <v/>
      </c>
      <c r="G2453" s="59" t="str">
        <f t="shared" si="26"/>
        <v/>
      </c>
      <c r="H2453" s="59" t="str">
        <f t="shared" si="27"/>
        <v>19H09482</v>
      </c>
      <c r="I2453" s="59" t="str">
        <f>IF(OR($A2453="",$C2453="",$D2453="",$E2453="",$H2453=""),"",SUMIFS(DATA_GOC!$H:$H,DATA_GOC!$A:$A,"BOM",DATA_GOC!$D:$D,$H2453,DATA_GOC!$E:$E,$C2453,DATA_GOC!$F:$F,"Xuất nội bộ từ téc",DATA_GOC!$B:$B,"&gt;="&amp;$D2453,DATA_GOC!$B:$B,"&lt;="&amp;$E2453))</f>
        <v/>
      </c>
      <c r="J2453" s="59">
        <f t="shared" si="28"/>
        <v>0</v>
      </c>
      <c r="K2453" s="59">
        <f t="shared" si="29"/>
        <v>0</v>
      </c>
      <c r="L2453" s="59">
        <f t="shared" si="30"/>
        <v>0</v>
      </c>
      <c r="M2453" s="59">
        <f t="shared" si="31"/>
        <v>0</v>
      </c>
    </row>
    <row r="2454" ht="15.0" hidden="1" customHeight="1">
      <c r="A2454" s="59">
        <f t="shared" si="20"/>
        <v>38</v>
      </c>
      <c r="B2454" s="59" t="str">
        <f t="shared" si="21"/>
        <v/>
      </c>
      <c r="C2454" s="59" t="str">
        <f t="shared" si="22"/>
        <v/>
      </c>
      <c r="D2454" s="45" t="str">
        <f t="shared" si="23"/>
        <v/>
      </c>
      <c r="E2454" s="45" t="str">
        <f t="shared" si="24"/>
        <v/>
      </c>
      <c r="F2454" s="59" t="str">
        <f t="shared" si="25"/>
        <v/>
      </c>
      <c r="G2454" s="59" t="str">
        <f t="shared" si="26"/>
        <v/>
      </c>
      <c r="H2454" s="59" t="str">
        <f t="shared" si="27"/>
        <v>28A30696</v>
      </c>
      <c r="I2454" s="59" t="str">
        <f>IF(OR($A2454="",$C2454="",$D2454="",$E2454="",$H2454=""),"",SUMIFS(DATA_GOC!$H:$H,DATA_GOC!$A:$A,"BOM",DATA_GOC!$D:$D,$H2454,DATA_GOC!$E:$E,$C2454,DATA_GOC!$F:$F,"Xuất nội bộ từ téc",DATA_GOC!$B:$B,"&gt;="&amp;$D2454,DATA_GOC!$B:$B,"&lt;="&amp;$E2454))</f>
        <v/>
      </c>
      <c r="J2454" s="59">
        <f t="shared" si="28"/>
        <v>0</v>
      </c>
      <c r="K2454" s="59">
        <f t="shared" si="29"/>
        <v>0</v>
      </c>
      <c r="L2454" s="59">
        <f t="shared" si="30"/>
        <v>0</v>
      </c>
      <c r="M2454" s="59">
        <f t="shared" si="31"/>
        <v>0</v>
      </c>
    </row>
    <row r="2455" ht="15.0" hidden="1" customHeight="1">
      <c r="A2455" s="59">
        <f t="shared" si="20"/>
        <v>38</v>
      </c>
      <c r="B2455" s="59" t="str">
        <f t="shared" si="21"/>
        <v/>
      </c>
      <c r="C2455" s="59" t="str">
        <f t="shared" si="22"/>
        <v/>
      </c>
      <c r="D2455" s="45" t="str">
        <f t="shared" si="23"/>
        <v/>
      </c>
      <c r="E2455" s="45" t="str">
        <f t="shared" si="24"/>
        <v/>
      </c>
      <c r="F2455" s="59" t="str">
        <f t="shared" si="25"/>
        <v/>
      </c>
      <c r="G2455" s="59" t="str">
        <f t="shared" si="26"/>
        <v/>
      </c>
      <c r="H2455" s="59" t="str">
        <f t="shared" si="27"/>
        <v>28C00462</v>
      </c>
      <c r="I2455" s="59" t="str">
        <f>IF(OR($A2455="",$C2455="",$D2455="",$E2455="",$H2455=""),"",SUMIFS(DATA_GOC!$H:$H,DATA_GOC!$A:$A,"BOM",DATA_GOC!$D:$D,$H2455,DATA_GOC!$E:$E,$C2455,DATA_GOC!$F:$F,"Xuất nội bộ từ téc",DATA_GOC!$B:$B,"&gt;="&amp;$D2455,DATA_GOC!$B:$B,"&lt;="&amp;$E2455))</f>
        <v/>
      </c>
      <c r="J2455" s="59">
        <f t="shared" si="28"/>
        <v>0</v>
      </c>
      <c r="K2455" s="59">
        <f t="shared" si="29"/>
        <v>0</v>
      </c>
      <c r="L2455" s="59">
        <f t="shared" si="30"/>
        <v>0</v>
      </c>
      <c r="M2455" s="59">
        <f t="shared" si="31"/>
        <v>0</v>
      </c>
    </row>
    <row r="2456" ht="15.0" hidden="1" customHeight="1">
      <c r="A2456" s="59">
        <f t="shared" si="20"/>
        <v>38</v>
      </c>
      <c r="B2456" s="59" t="str">
        <f t="shared" si="21"/>
        <v/>
      </c>
      <c r="C2456" s="59" t="str">
        <f t="shared" si="22"/>
        <v/>
      </c>
      <c r="D2456" s="45" t="str">
        <f t="shared" si="23"/>
        <v/>
      </c>
      <c r="E2456" s="45" t="str">
        <f t="shared" si="24"/>
        <v/>
      </c>
      <c r="F2456" s="59" t="str">
        <f t="shared" si="25"/>
        <v/>
      </c>
      <c r="G2456" s="59" t="str">
        <f t="shared" si="26"/>
        <v/>
      </c>
      <c r="H2456" s="59" t="str">
        <f t="shared" si="27"/>
        <v>28C01165</v>
      </c>
      <c r="I2456" s="59" t="str">
        <f>IF(OR($A2456="",$C2456="",$D2456="",$E2456="",$H2456=""),"",SUMIFS(DATA_GOC!$H:$H,DATA_GOC!$A:$A,"BOM",DATA_GOC!$D:$D,$H2456,DATA_GOC!$E:$E,$C2456,DATA_GOC!$F:$F,"Xuất nội bộ từ téc",DATA_GOC!$B:$B,"&gt;="&amp;$D2456,DATA_GOC!$B:$B,"&lt;="&amp;$E2456))</f>
        <v/>
      </c>
      <c r="J2456" s="59">
        <f t="shared" si="28"/>
        <v>0</v>
      </c>
      <c r="K2456" s="59">
        <f t="shared" si="29"/>
        <v>0</v>
      </c>
      <c r="L2456" s="59">
        <f t="shared" si="30"/>
        <v>0</v>
      </c>
      <c r="M2456" s="59">
        <f t="shared" si="31"/>
        <v>0</v>
      </c>
    </row>
    <row r="2457" ht="15.0" hidden="1" customHeight="1">
      <c r="A2457" s="59">
        <f t="shared" si="20"/>
        <v>38</v>
      </c>
      <c r="B2457" s="59" t="str">
        <f t="shared" si="21"/>
        <v/>
      </c>
      <c r="C2457" s="59" t="str">
        <f t="shared" si="22"/>
        <v/>
      </c>
      <c r="D2457" s="45" t="str">
        <f t="shared" si="23"/>
        <v/>
      </c>
      <c r="E2457" s="45" t="str">
        <f t="shared" si="24"/>
        <v/>
      </c>
      <c r="F2457" s="59" t="str">
        <f t="shared" si="25"/>
        <v/>
      </c>
      <c r="G2457" s="59" t="str">
        <f t="shared" si="26"/>
        <v/>
      </c>
      <c r="H2457" s="59" t="str">
        <f t="shared" si="27"/>
        <v>28C01406</v>
      </c>
      <c r="I2457" s="59" t="str">
        <f>IF(OR($A2457="",$C2457="",$D2457="",$E2457="",$H2457=""),"",SUMIFS(DATA_GOC!$H:$H,DATA_GOC!$A:$A,"BOM",DATA_GOC!$D:$D,$H2457,DATA_GOC!$E:$E,$C2457,DATA_GOC!$F:$F,"Xuất nội bộ từ téc",DATA_GOC!$B:$B,"&gt;="&amp;$D2457,DATA_GOC!$B:$B,"&lt;="&amp;$E2457))</f>
        <v/>
      </c>
      <c r="J2457" s="59">
        <f t="shared" si="28"/>
        <v>0</v>
      </c>
      <c r="K2457" s="59">
        <f t="shared" si="29"/>
        <v>0</v>
      </c>
      <c r="L2457" s="59">
        <f t="shared" si="30"/>
        <v>0</v>
      </c>
      <c r="M2457" s="59">
        <f t="shared" si="31"/>
        <v>0</v>
      </c>
    </row>
    <row r="2458" ht="15.0" hidden="1" customHeight="1">
      <c r="A2458" s="59">
        <f t="shared" si="20"/>
        <v>38</v>
      </c>
      <c r="B2458" s="59" t="str">
        <f t="shared" si="21"/>
        <v/>
      </c>
      <c r="C2458" s="59" t="str">
        <f t="shared" si="22"/>
        <v/>
      </c>
      <c r="D2458" s="45" t="str">
        <f t="shared" si="23"/>
        <v/>
      </c>
      <c r="E2458" s="45" t="str">
        <f t="shared" si="24"/>
        <v/>
      </c>
      <c r="F2458" s="59" t="str">
        <f t="shared" si="25"/>
        <v/>
      </c>
      <c r="G2458" s="59" t="str">
        <f t="shared" si="26"/>
        <v/>
      </c>
      <c r="H2458" s="59" t="str">
        <f t="shared" si="27"/>
        <v>28C01544</v>
      </c>
      <c r="I2458" s="59" t="str">
        <f>IF(OR($A2458="",$C2458="",$D2458="",$E2458="",$H2458=""),"",SUMIFS(DATA_GOC!$H:$H,DATA_GOC!$A:$A,"BOM",DATA_GOC!$D:$D,$H2458,DATA_GOC!$E:$E,$C2458,DATA_GOC!$F:$F,"Xuất nội bộ từ téc",DATA_GOC!$B:$B,"&gt;="&amp;$D2458,DATA_GOC!$B:$B,"&lt;="&amp;$E2458))</f>
        <v/>
      </c>
      <c r="J2458" s="59">
        <f t="shared" si="28"/>
        <v>0</v>
      </c>
      <c r="K2458" s="59">
        <f t="shared" si="29"/>
        <v>0</v>
      </c>
      <c r="L2458" s="59">
        <f t="shared" si="30"/>
        <v>0</v>
      </c>
      <c r="M2458" s="59">
        <f t="shared" si="31"/>
        <v>0</v>
      </c>
    </row>
    <row r="2459" ht="15.0" hidden="1" customHeight="1">
      <c r="A2459" s="59">
        <f t="shared" si="20"/>
        <v>38</v>
      </c>
      <c r="B2459" s="59" t="str">
        <f t="shared" si="21"/>
        <v/>
      </c>
      <c r="C2459" s="59" t="str">
        <f t="shared" si="22"/>
        <v/>
      </c>
      <c r="D2459" s="45" t="str">
        <f t="shared" si="23"/>
        <v/>
      </c>
      <c r="E2459" s="45" t="str">
        <f t="shared" si="24"/>
        <v/>
      </c>
      <c r="F2459" s="59" t="str">
        <f t="shared" si="25"/>
        <v/>
      </c>
      <c r="G2459" s="59" t="str">
        <f t="shared" si="26"/>
        <v/>
      </c>
      <c r="H2459" s="59" t="str">
        <f t="shared" si="27"/>
        <v>28C01622</v>
      </c>
      <c r="I2459" s="59" t="str">
        <f>IF(OR($A2459="",$C2459="",$D2459="",$E2459="",$H2459=""),"",SUMIFS(DATA_GOC!$H:$H,DATA_GOC!$A:$A,"BOM",DATA_GOC!$D:$D,$H2459,DATA_GOC!$E:$E,$C2459,DATA_GOC!$F:$F,"Xuất nội bộ từ téc",DATA_GOC!$B:$B,"&gt;="&amp;$D2459,DATA_GOC!$B:$B,"&lt;="&amp;$E2459))</f>
        <v/>
      </c>
      <c r="J2459" s="59">
        <f t="shared" si="28"/>
        <v>0</v>
      </c>
      <c r="K2459" s="59">
        <f t="shared" si="29"/>
        <v>0</v>
      </c>
      <c r="L2459" s="59">
        <f t="shared" si="30"/>
        <v>0</v>
      </c>
      <c r="M2459" s="59">
        <f t="shared" si="31"/>
        <v>0</v>
      </c>
    </row>
    <row r="2460" ht="15.0" hidden="1" customHeight="1">
      <c r="A2460" s="59">
        <f t="shared" si="20"/>
        <v>38</v>
      </c>
      <c r="B2460" s="59" t="str">
        <f t="shared" si="21"/>
        <v/>
      </c>
      <c r="C2460" s="59" t="str">
        <f t="shared" si="22"/>
        <v/>
      </c>
      <c r="D2460" s="45" t="str">
        <f t="shared" si="23"/>
        <v/>
      </c>
      <c r="E2460" s="45" t="str">
        <f t="shared" si="24"/>
        <v/>
      </c>
      <c r="F2460" s="59" t="str">
        <f t="shared" si="25"/>
        <v/>
      </c>
      <c r="G2460" s="59" t="str">
        <f t="shared" si="26"/>
        <v/>
      </c>
      <c r="H2460" s="59" t="str">
        <f t="shared" si="27"/>
        <v>28C01647</v>
      </c>
      <c r="I2460" s="59" t="str">
        <f>IF(OR($A2460="",$C2460="",$D2460="",$E2460="",$H2460=""),"",SUMIFS(DATA_GOC!$H:$H,DATA_GOC!$A:$A,"BOM",DATA_GOC!$D:$D,$H2460,DATA_GOC!$E:$E,$C2460,DATA_GOC!$F:$F,"Xuất nội bộ từ téc",DATA_GOC!$B:$B,"&gt;="&amp;$D2460,DATA_GOC!$B:$B,"&lt;="&amp;$E2460))</f>
        <v/>
      </c>
      <c r="J2460" s="59">
        <f t="shared" si="28"/>
        <v>0</v>
      </c>
      <c r="K2460" s="59">
        <f t="shared" si="29"/>
        <v>0</v>
      </c>
      <c r="L2460" s="59">
        <f t="shared" si="30"/>
        <v>0</v>
      </c>
      <c r="M2460" s="59">
        <f t="shared" si="31"/>
        <v>0</v>
      </c>
    </row>
    <row r="2461" ht="15.0" hidden="1" customHeight="1">
      <c r="A2461" s="59">
        <f t="shared" si="20"/>
        <v>38</v>
      </c>
      <c r="B2461" s="59" t="str">
        <f t="shared" si="21"/>
        <v/>
      </c>
      <c r="C2461" s="59" t="str">
        <f t="shared" si="22"/>
        <v/>
      </c>
      <c r="D2461" s="45" t="str">
        <f t="shared" si="23"/>
        <v/>
      </c>
      <c r="E2461" s="45" t="str">
        <f t="shared" si="24"/>
        <v/>
      </c>
      <c r="F2461" s="59" t="str">
        <f t="shared" si="25"/>
        <v/>
      </c>
      <c r="G2461" s="59" t="str">
        <f t="shared" si="26"/>
        <v/>
      </c>
      <c r="H2461" s="59" t="str">
        <f t="shared" si="27"/>
        <v>28C01731</v>
      </c>
      <c r="I2461" s="59" t="str">
        <f>IF(OR($A2461="",$C2461="",$D2461="",$E2461="",$H2461=""),"",SUMIFS(DATA_GOC!$H:$H,DATA_GOC!$A:$A,"BOM",DATA_GOC!$D:$D,$H2461,DATA_GOC!$E:$E,$C2461,DATA_GOC!$F:$F,"Xuất nội bộ từ téc",DATA_GOC!$B:$B,"&gt;="&amp;$D2461,DATA_GOC!$B:$B,"&lt;="&amp;$E2461))</f>
        <v/>
      </c>
      <c r="J2461" s="59">
        <f t="shared" si="28"/>
        <v>0</v>
      </c>
      <c r="K2461" s="59">
        <f t="shared" si="29"/>
        <v>0</v>
      </c>
      <c r="L2461" s="59">
        <f t="shared" si="30"/>
        <v>0</v>
      </c>
      <c r="M2461" s="59">
        <f t="shared" si="31"/>
        <v>0</v>
      </c>
    </row>
    <row r="2462" ht="15.0" hidden="1" customHeight="1">
      <c r="A2462" s="59">
        <f t="shared" si="20"/>
        <v>38</v>
      </c>
      <c r="B2462" s="59" t="str">
        <f t="shared" si="21"/>
        <v/>
      </c>
      <c r="C2462" s="59" t="str">
        <f t="shared" si="22"/>
        <v/>
      </c>
      <c r="D2462" s="45" t="str">
        <f t="shared" si="23"/>
        <v/>
      </c>
      <c r="E2462" s="45" t="str">
        <f t="shared" si="24"/>
        <v/>
      </c>
      <c r="F2462" s="59" t="str">
        <f t="shared" si="25"/>
        <v/>
      </c>
      <c r="G2462" s="59" t="str">
        <f t="shared" si="26"/>
        <v/>
      </c>
      <c r="H2462" s="59" t="str">
        <f t="shared" si="27"/>
        <v>28C01743</v>
      </c>
      <c r="I2462" s="59" t="str">
        <f>IF(OR($A2462="",$C2462="",$D2462="",$E2462="",$H2462=""),"",SUMIFS(DATA_GOC!$H:$H,DATA_GOC!$A:$A,"BOM",DATA_GOC!$D:$D,$H2462,DATA_GOC!$E:$E,$C2462,DATA_GOC!$F:$F,"Xuất nội bộ từ téc",DATA_GOC!$B:$B,"&gt;="&amp;$D2462,DATA_GOC!$B:$B,"&lt;="&amp;$E2462))</f>
        <v/>
      </c>
      <c r="J2462" s="59">
        <f t="shared" si="28"/>
        <v>0</v>
      </c>
      <c r="K2462" s="59">
        <f t="shared" si="29"/>
        <v>0</v>
      </c>
      <c r="L2462" s="59">
        <f t="shared" si="30"/>
        <v>0</v>
      </c>
      <c r="M2462" s="59">
        <f t="shared" si="31"/>
        <v>0</v>
      </c>
    </row>
    <row r="2463" ht="15.0" hidden="1" customHeight="1">
      <c r="A2463" s="59">
        <f t="shared" si="20"/>
        <v>38</v>
      </c>
      <c r="B2463" s="59" t="str">
        <f t="shared" si="21"/>
        <v/>
      </c>
      <c r="C2463" s="59" t="str">
        <f t="shared" si="22"/>
        <v/>
      </c>
      <c r="D2463" s="45" t="str">
        <f t="shared" si="23"/>
        <v/>
      </c>
      <c r="E2463" s="45" t="str">
        <f t="shared" si="24"/>
        <v/>
      </c>
      <c r="F2463" s="59" t="str">
        <f t="shared" si="25"/>
        <v/>
      </c>
      <c r="G2463" s="59" t="str">
        <f t="shared" si="26"/>
        <v/>
      </c>
      <c r="H2463" s="59" t="str">
        <f t="shared" si="27"/>
        <v>28C02106</v>
      </c>
      <c r="I2463" s="59" t="str">
        <f>IF(OR($A2463="",$C2463="",$D2463="",$E2463="",$H2463=""),"",SUMIFS(DATA_GOC!$H:$H,DATA_GOC!$A:$A,"BOM",DATA_GOC!$D:$D,$H2463,DATA_GOC!$E:$E,$C2463,DATA_GOC!$F:$F,"Xuất nội bộ từ téc",DATA_GOC!$B:$B,"&gt;="&amp;$D2463,DATA_GOC!$B:$B,"&lt;="&amp;$E2463))</f>
        <v/>
      </c>
      <c r="J2463" s="59">
        <f t="shared" si="28"/>
        <v>0</v>
      </c>
      <c r="K2463" s="59">
        <f t="shared" si="29"/>
        <v>0</v>
      </c>
      <c r="L2463" s="59">
        <f t="shared" si="30"/>
        <v>0</v>
      </c>
      <c r="M2463" s="59">
        <f t="shared" si="31"/>
        <v>0</v>
      </c>
    </row>
    <row r="2464" ht="15.0" hidden="1" customHeight="1">
      <c r="A2464" s="59">
        <f t="shared" si="20"/>
        <v>38</v>
      </c>
      <c r="B2464" s="59" t="str">
        <f t="shared" si="21"/>
        <v/>
      </c>
      <c r="C2464" s="59" t="str">
        <f t="shared" si="22"/>
        <v/>
      </c>
      <c r="D2464" s="45" t="str">
        <f t="shared" si="23"/>
        <v/>
      </c>
      <c r="E2464" s="45" t="str">
        <f t="shared" si="24"/>
        <v/>
      </c>
      <c r="F2464" s="59" t="str">
        <f t="shared" si="25"/>
        <v/>
      </c>
      <c r="G2464" s="59" t="str">
        <f t="shared" si="26"/>
        <v/>
      </c>
      <c r="H2464" s="59" t="str">
        <f t="shared" si="27"/>
        <v>28C02410</v>
      </c>
      <c r="I2464" s="59" t="str">
        <f>IF(OR($A2464="",$C2464="",$D2464="",$E2464="",$H2464=""),"",SUMIFS(DATA_GOC!$H:$H,DATA_GOC!$A:$A,"BOM",DATA_GOC!$D:$D,$H2464,DATA_GOC!$E:$E,$C2464,DATA_GOC!$F:$F,"Xuất nội bộ từ téc",DATA_GOC!$B:$B,"&gt;="&amp;$D2464,DATA_GOC!$B:$B,"&lt;="&amp;$E2464))</f>
        <v/>
      </c>
      <c r="J2464" s="59">
        <f t="shared" si="28"/>
        <v>0</v>
      </c>
      <c r="K2464" s="59">
        <f t="shared" si="29"/>
        <v>0</v>
      </c>
      <c r="L2464" s="59">
        <f t="shared" si="30"/>
        <v>0</v>
      </c>
      <c r="M2464" s="59">
        <f t="shared" si="31"/>
        <v>0</v>
      </c>
    </row>
    <row r="2465" ht="15.0" hidden="1" customHeight="1">
      <c r="A2465" s="59">
        <f t="shared" si="20"/>
        <v>38</v>
      </c>
      <c r="B2465" s="59" t="str">
        <f t="shared" si="21"/>
        <v/>
      </c>
      <c r="C2465" s="59" t="str">
        <f t="shared" si="22"/>
        <v/>
      </c>
      <c r="D2465" s="45" t="str">
        <f t="shared" si="23"/>
        <v/>
      </c>
      <c r="E2465" s="45" t="str">
        <f t="shared" si="24"/>
        <v/>
      </c>
      <c r="F2465" s="59" t="str">
        <f t="shared" si="25"/>
        <v/>
      </c>
      <c r="G2465" s="59" t="str">
        <f t="shared" si="26"/>
        <v/>
      </c>
      <c r="H2465" s="59" t="str">
        <f t="shared" si="27"/>
        <v>28C02545</v>
      </c>
      <c r="I2465" s="59" t="str">
        <f>IF(OR($A2465="",$C2465="",$D2465="",$E2465="",$H2465=""),"",SUMIFS(DATA_GOC!$H:$H,DATA_GOC!$A:$A,"BOM",DATA_GOC!$D:$D,$H2465,DATA_GOC!$E:$E,$C2465,DATA_GOC!$F:$F,"Xuất nội bộ từ téc",DATA_GOC!$B:$B,"&gt;="&amp;$D2465,DATA_GOC!$B:$B,"&lt;="&amp;$E2465))</f>
        <v/>
      </c>
      <c r="J2465" s="59">
        <f t="shared" si="28"/>
        <v>0</v>
      </c>
      <c r="K2465" s="59">
        <f t="shared" si="29"/>
        <v>0</v>
      </c>
      <c r="L2465" s="59">
        <f t="shared" si="30"/>
        <v>0</v>
      </c>
      <c r="M2465" s="59">
        <f t="shared" si="31"/>
        <v>0</v>
      </c>
    </row>
    <row r="2466" ht="15.0" hidden="1" customHeight="1">
      <c r="A2466" s="59">
        <f t="shared" si="20"/>
        <v>38</v>
      </c>
      <c r="B2466" s="59" t="str">
        <f t="shared" si="21"/>
        <v/>
      </c>
      <c r="C2466" s="59" t="str">
        <f t="shared" si="22"/>
        <v/>
      </c>
      <c r="D2466" s="45" t="str">
        <f t="shared" si="23"/>
        <v/>
      </c>
      <c r="E2466" s="45" t="str">
        <f t="shared" si="24"/>
        <v/>
      </c>
      <c r="F2466" s="59" t="str">
        <f t="shared" si="25"/>
        <v/>
      </c>
      <c r="G2466" s="59" t="str">
        <f t="shared" si="26"/>
        <v/>
      </c>
      <c r="H2466" s="59" t="str">
        <f t="shared" si="27"/>
        <v>28C02574</v>
      </c>
      <c r="I2466" s="59" t="str">
        <f>IF(OR($A2466="",$C2466="",$D2466="",$E2466="",$H2466=""),"",SUMIFS(DATA_GOC!$H:$H,DATA_GOC!$A:$A,"BOM",DATA_GOC!$D:$D,$H2466,DATA_GOC!$E:$E,$C2466,DATA_GOC!$F:$F,"Xuất nội bộ từ téc",DATA_GOC!$B:$B,"&gt;="&amp;$D2466,DATA_GOC!$B:$B,"&lt;="&amp;$E2466))</f>
        <v/>
      </c>
      <c r="J2466" s="59">
        <f t="shared" si="28"/>
        <v>0</v>
      </c>
      <c r="K2466" s="59">
        <f t="shared" si="29"/>
        <v>0</v>
      </c>
      <c r="L2466" s="59">
        <f t="shared" si="30"/>
        <v>0</v>
      </c>
      <c r="M2466" s="59">
        <f t="shared" si="31"/>
        <v>0</v>
      </c>
    </row>
    <row r="2467" ht="15.0" hidden="1" customHeight="1">
      <c r="A2467" s="59">
        <f t="shared" si="20"/>
        <v>38</v>
      </c>
      <c r="B2467" s="59" t="str">
        <f t="shared" si="21"/>
        <v/>
      </c>
      <c r="C2467" s="59" t="str">
        <f t="shared" si="22"/>
        <v/>
      </c>
      <c r="D2467" s="45" t="str">
        <f t="shared" si="23"/>
        <v/>
      </c>
      <c r="E2467" s="45" t="str">
        <f t="shared" si="24"/>
        <v/>
      </c>
      <c r="F2467" s="59" t="str">
        <f t="shared" si="25"/>
        <v/>
      </c>
      <c r="G2467" s="59" t="str">
        <f t="shared" si="26"/>
        <v/>
      </c>
      <c r="H2467" s="59" t="str">
        <f t="shared" si="27"/>
        <v>28C02770</v>
      </c>
      <c r="I2467" s="59" t="str">
        <f>IF(OR($A2467="",$C2467="",$D2467="",$E2467="",$H2467=""),"",SUMIFS(DATA_GOC!$H:$H,DATA_GOC!$A:$A,"BOM",DATA_GOC!$D:$D,$H2467,DATA_GOC!$E:$E,$C2467,DATA_GOC!$F:$F,"Xuất nội bộ từ téc",DATA_GOC!$B:$B,"&gt;="&amp;$D2467,DATA_GOC!$B:$B,"&lt;="&amp;$E2467))</f>
        <v/>
      </c>
      <c r="J2467" s="59">
        <f t="shared" si="28"/>
        <v>0</v>
      </c>
      <c r="K2467" s="59">
        <f t="shared" si="29"/>
        <v>0</v>
      </c>
      <c r="L2467" s="59">
        <f t="shared" si="30"/>
        <v>0</v>
      </c>
      <c r="M2467" s="59">
        <f t="shared" si="31"/>
        <v>0</v>
      </c>
    </row>
    <row r="2468" ht="15.0" hidden="1" customHeight="1">
      <c r="A2468" s="59">
        <f t="shared" si="20"/>
        <v>38</v>
      </c>
      <c r="B2468" s="59" t="str">
        <f t="shared" si="21"/>
        <v/>
      </c>
      <c r="C2468" s="59" t="str">
        <f t="shared" si="22"/>
        <v/>
      </c>
      <c r="D2468" s="45" t="str">
        <f t="shared" si="23"/>
        <v/>
      </c>
      <c r="E2468" s="45" t="str">
        <f t="shared" si="24"/>
        <v/>
      </c>
      <c r="F2468" s="59" t="str">
        <f t="shared" si="25"/>
        <v/>
      </c>
      <c r="G2468" s="59" t="str">
        <f t="shared" si="26"/>
        <v/>
      </c>
      <c r="H2468" s="59" t="str">
        <f t="shared" si="27"/>
        <v>28C02986</v>
      </c>
      <c r="I2468" s="59" t="str">
        <f>IF(OR($A2468="",$C2468="",$D2468="",$E2468="",$H2468=""),"",SUMIFS(DATA_GOC!$H:$H,DATA_GOC!$A:$A,"BOM",DATA_GOC!$D:$D,$H2468,DATA_GOC!$E:$E,$C2468,DATA_GOC!$F:$F,"Xuất nội bộ từ téc",DATA_GOC!$B:$B,"&gt;="&amp;$D2468,DATA_GOC!$B:$B,"&lt;="&amp;$E2468))</f>
        <v/>
      </c>
      <c r="J2468" s="59">
        <f t="shared" si="28"/>
        <v>0</v>
      </c>
      <c r="K2468" s="59">
        <f t="shared" si="29"/>
        <v>0</v>
      </c>
      <c r="L2468" s="59">
        <f t="shared" si="30"/>
        <v>0</v>
      </c>
      <c r="M2468" s="59">
        <f t="shared" si="31"/>
        <v>0</v>
      </c>
    </row>
    <row r="2469" ht="15.0" hidden="1" customHeight="1">
      <c r="A2469" s="59">
        <f t="shared" si="20"/>
        <v>38</v>
      </c>
      <c r="B2469" s="59" t="str">
        <f t="shared" si="21"/>
        <v/>
      </c>
      <c r="C2469" s="59" t="str">
        <f t="shared" si="22"/>
        <v/>
      </c>
      <c r="D2469" s="45" t="str">
        <f t="shared" si="23"/>
        <v/>
      </c>
      <c r="E2469" s="45" t="str">
        <f t="shared" si="24"/>
        <v/>
      </c>
      <c r="F2469" s="59" t="str">
        <f t="shared" si="25"/>
        <v/>
      </c>
      <c r="G2469" s="59" t="str">
        <f t="shared" si="26"/>
        <v/>
      </c>
      <c r="H2469" s="59" t="str">
        <f t="shared" si="27"/>
        <v>28C03261</v>
      </c>
      <c r="I2469" s="59" t="str">
        <f>IF(OR($A2469="",$C2469="",$D2469="",$E2469="",$H2469=""),"",SUMIFS(DATA_GOC!$H:$H,DATA_GOC!$A:$A,"BOM",DATA_GOC!$D:$D,$H2469,DATA_GOC!$E:$E,$C2469,DATA_GOC!$F:$F,"Xuất nội bộ từ téc",DATA_GOC!$B:$B,"&gt;="&amp;$D2469,DATA_GOC!$B:$B,"&lt;="&amp;$E2469))</f>
        <v/>
      </c>
      <c r="J2469" s="59">
        <f t="shared" si="28"/>
        <v>0</v>
      </c>
      <c r="K2469" s="59">
        <f t="shared" si="29"/>
        <v>0</v>
      </c>
      <c r="L2469" s="59">
        <f t="shared" si="30"/>
        <v>0</v>
      </c>
      <c r="M2469" s="59">
        <f t="shared" si="31"/>
        <v>0</v>
      </c>
    </row>
    <row r="2470" ht="15.0" hidden="1" customHeight="1">
      <c r="A2470" s="59">
        <f t="shared" si="20"/>
        <v>38</v>
      </c>
      <c r="B2470" s="59" t="str">
        <f t="shared" si="21"/>
        <v/>
      </c>
      <c r="C2470" s="59" t="str">
        <f t="shared" si="22"/>
        <v/>
      </c>
      <c r="D2470" s="45" t="str">
        <f t="shared" si="23"/>
        <v/>
      </c>
      <c r="E2470" s="45" t="str">
        <f t="shared" si="24"/>
        <v/>
      </c>
      <c r="F2470" s="59" t="str">
        <f t="shared" si="25"/>
        <v/>
      </c>
      <c r="G2470" s="59" t="str">
        <f t="shared" si="26"/>
        <v/>
      </c>
      <c r="H2470" s="59" t="str">
        <f t="shared" si="27"/>
        <v>28C03323</v>
      </c>
      <c r="I2470" s="59" t="str">
        <f>IF(OR($A2470="",$C2470="",$D2470="",$E2470="",$H2470=""),"",SUMIFS(DATA_GOC!$H:$H,DATA_GOC!$A:$A,"BOM",DATA_GOC!$D:$D,$H2470,DATA_GOC!$E:$E,$C2470,DATA_GOC!$F:$F,"Xuất nội bộ từ téc",DATA_GOC!$B:$B,"&gt;="&amp;$D2470,DATA_GOC!$B:$B,"&lt;="&amp;$E2470))</f>
        <v/>
      </c>
      <c r="J2470" s="59">
        <f t="shared" si="28"/>
        <v>0</v>
      </c>
      <c r="K2470" s="59">
        <f t="shared" si="29"/>
        <v>0</v>
      </c>
      <c r="L2470" s="59">
        <f t="shared" si="30"/>
        <v>0</v>
      </c>
      <c r="M2470" s="59">
        <f t="shared" si="31"/>
        <v>0</v>
      </c>
    </row>
    <row r="2471" ht="15.0" hidden="1" customHeight="1">
      <c r="A2471" s="59">
        <f t="shared" si="20"/>
        <v>38</v>
      </c>
      <c r="B2471" s="59" t="str">
        <f t="shared" si="21"/>
        <v/>
      </c>
      <c r="C2471" s="59" t="str">
        <f t="shared" si="22"/>
        <v/>
      </c>
      <c r="D2471" s="45" t="str">
        <f t="shared" si="23"/>
        <v/>
      </c>
      <c r="E2471" s="45" t="str">
        <f t="shared" si="24"/>
        <v/>
      </c>
      <c r="F2471" s="59" t="str">
        <f t="shared" si="25"/>
        <v/>
      </c>
      <c r="G2471" s="59" t="str">
        <f t="shared" si="26"/>
        <v/>
      </c>
      <c r="H2471" s="59" t="str">
        <f t="shared" si="27"/>
        <v>28C03385</v>
      </c>
      <c r="I2471" s="59" t="str">
        <f>IF(OR($A2471="",$C2471="",$D2471="",$E2471="",$H2471=""),"",SUMIFS(DATA_GOC!$H:$H,DATA_GOC!$A:$A,"BOM",DATA_GOC!$D:$D,$H2471,DATA_GOC!$E:$E,$C2471,DATA_GOC!$F:$F,"Xuất nội bộ từ téc",DATA_GOC!$B:$B,"&gt;="&amp;$D2471,DATA_GOC!$B:$B,"&lt;="&amp;$E2471))</f>
        <v/>
      </c>
      <c r="J2471" s="59">
        <f t="shared" si="28"/>
        <v>0</v>
      </c>
      <c r="K2471" s="59">
        <f t="shared" si="29"/>
        <v>0</v>
      </c>
      <c r="L2471" s="59">
        <f t="shared" si="30"/>
        <v>0</v>
      </c>
      <c r="M2471" s="59">
        <f t="shared" si="31"/>
        <v>0</v>
      </c>
    </row>
    <row r="2472" ht="15.0" hidden="1" customHeight="1">
      <c r="A2472" s="59">
        <f t="shared" si="20"/>
        <v>38</v>
      </c>
      <c r="B2472" s="59" t="str">
        <f t="shared" si="21"/>
        <v/>
      </c>
      <c r="C2472" s="59" t="str">
        <f t="shared" si="22"/>
        <v/>
      </c>
      <c r="D2472" s="45" t="str">
        <f t="shared" si="23"/>
        <v/>
      </c>
      <c r="E2472" s="45" t="str">
        <f t="shared" si="24"/>
        <v/>
      </c>
      <c r="F2472" s="59" t="str">
        <f t="shared" si="25"/>
        <v/>
      </c>
      <c r="G2472" s="59" t="str">
        <f t="shared" si="26"/>
        <v/>
      </c>
      <c r="H2472" s="59" t="str">
        <f t="shared" si="27"/>
        <v>28C03652</v>
      </c>
      <c r="I2472" s="59" t="str">
        <f>IF(OR($A2472="",$C2472="",$D2472="",$E2472="",$H2472=""),"",SUMIFS(DATA_GOC!$H:$H,DATA_GOC!$A:$A,"BOM",DATA_GOC!$D:$D,$H2472,DATA_GOC!$E:$E,$C2472,DATA_GOC!$F:$F,"Xuất nội bộ từ téc",DATA_GOC!$B:$B,"&gt;="&amp;$D2472,DATA_GOC!$B:$B,"&lt;="&amp;$E2472))</f>
        <v/>
      </c>
      <c r="J2472" s="59">
        <f t="shared" si="28"/>
        <v>0</v>
      </c>
      <c r="K2472" s="59">
        <f t="shared" si="29"/>
        <v>0</v>
      </c>
      <c r="L2472" s="59">
        <f t="shared" si="30"/>
        <v>0</v>
      </c>
      <c r="M2472" s="59">
        <f t="shared" si="31"/>
        <v>0</v>
      </c>
    </row>
    <row r="2473" ht="15.0" hidden="1" customHeight="1">
      <c r="A2473" s="59">
        <f t="shared" si="20"/>
        <v>38</v>
      </c>
      <c r="B2473" s="59" t="str">
        <f t="shared" si="21"/>
        <v/>
      </c>
      <c r="C2473" s="59" t="str">
        <f t="shared" si="22"/>
        <v/>
      </c>
      <c r="D2473" s="45" t="str">
        <f t="shared" si="23"/>
        <v/>
      </c>
      <c r="E2473" s="45" t="str">
        <f t="shared" si="24"/>
        <v/>
      </c>
      <c r="F2473" s="59" t="str">
        <f t="shared" si="25"/>
        <v/>
      </c>
      <c r="G2473" s="59" t="str">
        <f t="shared" si="26"/>
        <v/>
      </c>
      <c r="H2473" s="59" t="str">
        <f t="shared" si="27"/>
        <v>28C03695</v>
      </c>
      <c r="I2473" s="59" t="str">
        <f>IF(OR($A2473="",$C2473="",$D2473="",$E2473="",$H2473=""),"",SUMIFS(DATA_GOC!$H:$H,DATA_GOC!$A:$A,"BOM",DATA_GOC!$D:$D,$H2473,DATA_GOC!$E:$E,$C2473,DATA_GOC!$F:$F,"Xuất nội bộ từ téc",DATA_GOC!$B:$B,"&gt;="&amp;$D2473,DATA_GOC!$B:$B,"&lt;="&amp;$E2473))</f>
        <v/>
      </c>
      <c r="J2473" s="59">
        <f t="shared" si="28"/>
        <v>0</v>
      </c>
      <c r="K2473" s="59">
        <f t="shared" si="29"/>
        <v>0</v>
      </c>
      <c r="L2473" s="59">
        <f t="shared" si="30"/>
        <v>0</v>
      </c>
      <c r="M2473" s="59">
        <f t="shared" si="31"/>
        <v>0</v>
      </c>
    </row>
    <row r="2474" ht="15.0" hidden="1" customHeight="1">
      <c r="A2474" s="59">
        <f t="shared" si="20"/>
        <v>38</v>
      </c>
      <c r="B2474" s="59" t="str">
        <f t="shared" si="21"/>
        <v/>
      </c>
      <c r="C2474" s="59" t="str">
        <f t="shared" si="22"/>
        <v/>
      </c>
      <c r="D2474" s="45" t="str">
        <f t="shared" si="23"/>
        <v/>
      </c>
      <c r="E2474" s="45" t="str">
        <f t="shared" si="24"/>
        <v/>
      </c>
      <c r="F2474" s="59" t="str">
        <f t="shared" si="25"/>
        <v/>
      </c>
      <c r="G2474" s="59" t="str">
        <f t="shared" si="26"/>
        <v/>
      </c>
      <c r="H2474" s="59" t="str">
        <f t="shared" si="27"/>
        <v>28C03927</v>
      </c>
      <c r="I2474" s="59" t="str">
        <f>IF(OR($A2474="",$C2474="",$D2474="",$E2474="",$H2474=""),"",SUMIFS(DATA_GOC!$H:$H,DATA_GOC!$A:$A,"BOM",DATA_GOC!$D:$D,$H2474,DATA_GOC!$E:$E,$C2474,DATA_GOC!$F:$F,"Xuất nội bộ từ téc",DATA_GOC!$B:$B,"&gt;="&amp;$D2474,DATA_GOC!$B:$B,"&lt;="&amp;$E2474))</f>
        <v/>
      </c>
      <c r="J2474" s="59">
        <f t="shared" si="28"/>
        <v>0</v>
      </c>
      <c r="K2474" s="59">
        <f t="shared" si="29"/>
        <v>0</v>
      </c>
      <c r="L2474" s="59">
        <f t="shared" si="30"/>
        <v>0</v>
      </c>
      <c r="M2474" s="59">
        <f t="shared" si="31"/>
        <v>0</v>
      </c>
    </row>
    <row r="2475" ht="15.0" hidden="1" customHeight="1">
      <c r="A2475" s="59">
        <f t="shared" si="20"/>
        <v>38</v>
      </c>
      <c r="B2475" s="59" t="str">
        <f t="shared" si="21"/>
        <v/>
      </c>
      <c r="C2475" s="59" t="str">
        <f t="shared" si="22"/>
        <v/>
      </c>
      <c r="D2475" s="45" t="str">
        <f t="shared" si="23"/>
        <v/>
      </c>
      <c r="E2475" s="45" t="str">
        <f t="shared" si="24"/>
        <v/>
      </c>
      <c r="F2475" s="59" t="str">
        <f t="shared" si="25"/>
        <v/>
      </c>
      <c r="G2475" s="59" t="str">
        <f t="shared" si="26"/>
        <v/>
      </c>
      <c r="H2475" s="59" t="str">
        <f t="shared" si="27"/>
        <v>28C04509</v>
      </c>
      <c r="I2475" s="59" t="str">
        <f>IF(OR($A2475="",$C2475="",$D2475="",$E2475="",$H2475=""),"",SUMIFS(DATA_GOC!$H:$H,DATA_GOC!$A:$A,"BOM",DATA_GOC!$D:$D,$H2475,DATA_GOC!$E:$E,$C2475,DATA_GOC!$F:$F,"Xuất nội bộ từ téc",DATA_GOC!$B:$B,"&gt;="&amp;$D2475,DATA_GOC!$B:$B,"&lt;="&amp;$E2475))</f>
        <v/>
      </c>
      <c r="J2475" s="59">
        <f t="shared" si="28"/>
        <v>0</v>
      </c>
      <c r="K2475" s="59">
        <f t="shared" si="29"/>
        <v>0</v>
      </c>
      <c r="L2475" s="59">
        <f t="shared" si="30"/>
        <v>0</v>
      </c>
      <c r="M2475" s="59">
        <f t="shared" si="31"/>
        <v>0</v>
      </c>
    </row>
    <row r="2476" ht="15.0" hidden="1" customHeight="1">
      <c r="A2476" s="59">
        <f t="shared" si="20"/>
        <v>38</v>
      </c>
      <c r="B2476" s="59" t="str">
        <f t="shared" si="21"/>
        <v/>
      </c>
      <c r="C2476" s="59" t="str">
        <f t="shared" si="22"/>
        <v/>
      </c>
      <c r="D2476" s="45" t="str">
        <f t="shared" si="23"/>
        <v/>
      </c>
      <c r="E2476" s="45" t="str">
        <f t="shared" si="24"/>
        <v/>
      </c>
      <c r="F2476" s="59" t="str">
        <f t="shared" si="25"/>
        <v/>
      </c>
      <c r="G2476" s="59" t="str">
        <f t="shared" si="26"/>
        <v/>
      </c>
      <c r="H2476" s="59" t="str">
        <f t="shared" si="27"/>
        <v>28C04536</v>
      </c>
      <c r="I2476" s="59" t="str">
        <f>IF(OR($A2476="",$C2476="",$D2476="",$E2476="",$H2476=""),"",SUMIFS(DATA_GOC!$H:$H,DATA_GOC!$A:$A,"BOM",DATA_GOC!$D:$D,$H2476,DATA_GOC!$E:$E,$C2476,DATA_GOC!$F:$F,"Xuất nội bộ từ téc",DATA_GOC!$B:$B,"&gt;="&amp;$D2476,DATA_GOC!$B:$B,"&lt;="&amp;$E2476))</f>
        <v/>
      </c>
      <c r="J2476" s="59">
        <f t="shared" si="28"/>
        <v>0</v>
      </c>
      <c r="K2476" s="59">
        <f t="shared" si="29"/>
        <v>0</v>
      </c>
      <c r="L2476" s="59">
        <f t="shared" si="30"/>
        <v>0</v>
      </c>
      <c r="M2476" s="59">
        <f t="shared" si="31"/>
        <v>0</v>
      </c>
    </row>
    <row r="2477" ht="15.0" hidden="1" customHeight="1">
      <c r="A2477" s="59">
        <f t="shared" si="20"/>
        <v>38</v>
      </c>
      <c r="B2477" s="59" t="str">
        <f t="shared" si="21"/>
        <v/>
      </c>
      <c r="C2477" s="59" t="str">
        <f t="shared" si="22"/>
        <v/>
      </c>
      <c r="D2477" s="45" t="str">
        <f t="shared" si="23"/>
        <v/>
      </c>
      <c r="E2477" s="45" t="str">
        <f t="shared" si="24"/>
        <v/>
      </c>
      <c r="F2477" s="59" t="str">
        <f t="shared" si="25"/>
        <v/>
      </c>
      <c r="G2477" s="59" t="str">
        <f t="shared" si="26"/>
        <v/>
      </c>
      <c r="H2477" s="59" t="str">
        <f t="shared" si="27"/>
        <v>28C04576</v>
      </c>
      <c r="I2477" s="59" t="str">
        <f>IF(OR($A2477="",$C2477="",$D2477="",$E2477="",$H2477=""),"",SUMIFS(DATA_GOC!$H:$H,DATA_GOC!$A:$A,"BOM",DATA_GOC!$D:$D,$H2477,DATA_GOC!$E:$E,$C2477,DATA_GOC!$F:$F,"Xuất nội bộ từ téc",DATA_GOC!$B:$B,"&gt;="&amp;$D2477,DATA_GOC!$B:$B,"&lt;="&amp;$E2477))</f>
        <v/>
      </c>
      <c r="J2477" s="59">
        <f t="shared" si="28"/>
        <v>0</v>
      </c>
      <c r="K2477" s="59">
        <f t="shared" si="29"/>
        <v>0</v>
      </c>
      <c r="L2477" s="59">
        <f t="shared" si="30"/>
        <v>0</v>
      </c>
      <c r="M2477" s="59">
        <f t="shared" si="31"/>
        <v>0</v>
      </c>
    </row>
    <row r="2478" ht="15.0" hidden="1" customHeight="1">
      <c r="A2478" s="59">
        <f t="shared" si="20"/>
        <v>38</v>
      </c>
      <c r="B2478" s="59" t="str">
        <f t="shared" si="21"/>
        <v/>
      </c>
      <c r="C2478" s="59" t="str">
        <f t="shared" si="22"/>
        <v/>
      </c>
      <c r="D2478" s="45" t="str">
        <f t="shared" si="23"/>
        <v/>
      </c>
      <c r="E2478" s="45" t="str">
        <f t="shared" si="24"/>
        <v/>
      </c>
      <c r="F2478" s="59" t="str">
        <f t="shared" si="25"/>
        <v/>
      </c>
      <c r="G2478" s="59" t="str">
        <f t="shared" si="26"/>
        <v/>
      </c>
      <c r="H2478" s="59" t="str">
        <f t="shared" si="27"/>
        <v>28C05090</v>
      </c>
      <c r="I2478" s="59" t="str">
        <f>IF(OR($A2478="",$C2478="",$D2478="",$E2478="",$H2478=""),"",SUMIFS(DATA_GOC!$H:$H,DATA_GOC!$A:$A,"BOM",DATA_GOC!$D:$D,$H2478,DATA_GOC!$E:$E,$C2478,DATA_GOC!$F:$F,"Xuất nội bộ từ téc",DATA_GOC!$B:$B,"&gt;="&amp;$D2478,DATA_GOC!$B:$B,"&lt;="&amp;$E2478))</f>
        <v/>
      </c>
      <c r="J2478" s="59">
        <f t="shared" si="28"/>
        <v>0</v>
      </c>
      <c r="K2478" s="59">
        <f t="shared" si="29"/>
        <v>0</v>
      </c>
      <c r="L2478" s="59">
        <f t="shared" si="30"/>
        <v>0</v>
      </c>
      <c r="M2478" s="59">
        <f t="shared" si="31"/>
        <v>0</v>
      </c>
    </row>
    <row r="2479" ht="15.0" hidden="1" customHeight="1">
      <c r="A2479" s="59">
        <f t="shared" si="20"/>
        <v>38</v>
      </c>
      <c r="B2479" s="59" t="str">
        <f t="shared" si="21"/>
        <v/>
      </c>
      <c r="C2479" s="59" t="str">
        <f t="shared" si="22"/>
        <v/>
      </c>
      <c r="D2479" s="45" t="str">
        <f t="shared" si="23"/>
        <v/>
      </c>
      <c r="E2479" s="45" t="str">
        <f t="shared" si="24"/>
        <v/>
      </c>
      <c r="F2479" s="59" t="str">
        <f t="shared" si="25"/>
        <v/>
      </c>
      <c r="G2479" s="59" t="str">
        <f t="shared" si="26"/>
        <v/>
      </c>
      <c r="H2479" s="59" t="str">
        <f t="shared" si="27"/>
        <v>28C05345</v>
      </c>
      <c r="I2479" s="59" t="str">
        <f>IF(OR($A2479="",$C2479="",$D2479="",$E2479="",$H2479=""),"",SUMIFS(DATA_GOC!$H:$H,DATA_GOC!$A:$A,"BOM",DATA_GOC!$D:$D,$H2479,DATA_GOC!$E:$E,$C2479,DATA_GOC!$F:$F,"Xuất nội bộ từ téc",DATA_GOC!$B:$B,"&gt;="&amp;$D2479,DATA_GOC!$B:$B,"&lt;="&amp;$E2479))</f>
        <v/>
      </c>
      <c r="J2479" s="59">
        <f t="shared" si="28"/>
        <v>0</v>
      </c>
      <c r="K2479" s="59">
        <f t="shared" si="29"/>
        <v>0</v>
      </c>
      <c r="L2479" s="59">
        <f t="shared" si="30"/>
        <v>0</v>
      </c>
      <c r="M2479" s="59">
        <f t="shared" si="31"/>
        <v>0</v>
      </c>
    </row>
    <row r="2480" ht="15.0" hidden="1" customHeight="1">
      <c r="A2480" s="59">
        <f t="shared" si="20"/>
        <v>38</v>
      </c>
      <c r="B2480" s="59" t="str">
        <f t="shared" si="21"/>
        <v/>
      </c>
      <c r="C2480" s="59" t="str">
        <f t="shared" si="22"/>
        <v/>
      </c>
      <c r="D2480" s="45" t="str">
        <f t="shared" si="23"/>
        <v/>
      </c>
      <c r="E2480" s="45" t="str">
        <f t="shared" si="24"/>
        <v/>
      </c>
      <c r="F2480" s="59" t="str">
        <f t="shared" si="25"/>
        <v/>
      </c>
      <c r="G2480" s="59" t="str">
        <f t="shared" si="26"/>
        <v/>
      </c>
      <c r="H2480" s="59" t="str">
        <f t="shared" si="27"/>
        <v>28C05661</v>
      </c>
      <c r="I2480" s="59" t="str">
        <f>IF(OR($A2480="",$C2480="",$D2480="",$E2480="",$H2480=""),"",SUMIFS(DATA_GOC!$H:$H,DATA_GOC!$A:$A,"BOM",DATA_GOC!$D:$D,$H2480,DATA_GOC!$E:$E,$C2480,DATA_GOC!$F:$F,"Xuất nội bộ từ téc",DATA_GOC!$B:$B,"&gt;="&amp;$D2480,DATA_GOC!$B:$B,"&lt;="&amp;$E2480))</f>
        <v/>
      </c>
      <c r="J2480" s="59">
        <f t="shared" si="28"/>
        <v>0</v>
      </c>
      <c r="K2480" s="59">
        <f t="shared" si="29"/>
        <v>0</v>
      </c>
      <c r="L2480" s="59">
        <f t="shared" si="30"/>
        <v>0</v>
      </c>
      <c r="M2480" s="59">
        <f t="shared" si="31"/>
        <v>0</v>
      </c>
    </row>
    <row r="2481" ht="15.0" hidden="1" customHeight="1">
      <c r="A2481" s="59">
        <f t="shared" si="20"/>
        <v>38</v>
      </c>
      <c r="B2481" s="59" t="str">
        <f t="shared" si="21"/>
        <v/>
      </c>
      <c r="C2481" s="59" t="str">
        <f t="shared" si="22"/>
        <v/>
      </c>
      <c r="D2481" s="45" t="str">
        <f t="shared" si="23"/>
        <v/>
      </c>
      <c r="E2481" s="45" t="str">
        <f t="shared" si="24"/>
        <v/>
      </c>
      <c r="F2481" s="59" t="str">
        <f t="shared" si="25"/>
        <v/>
      </c>
      <c r="G2481" s="59" t="str">
        <f t="shared" si="26"/>
        <v/>
      </c>
      <c r="H2481" s="59" t="str">
        <f t="shared" si="27"/>
        <v>28C05739</v>
      </c>
      <c r="I2481" s="59" t="str">
        <f>IF(OR($A2481="",$C2481="",$D2481="",$E2481="",$H2481=""),"",SUMIFS(DATA_GOC!$H:$H,DATA_GOC!$A:$A,"BOM",DATA_GOC!$D:$D,$H2481,DATA_GOC!$E:$E,$C2481,DATA_GOC!$F:$F,"Xuất nội bộ từ téc",DATA_GOC!$B:$B,"&gt;="&amp;$D2481,DATA_GOC!$B:$B,"&lt;="&amp;$E2481))</f>
        <v/>
      </c>
      <c r="J2481" s="59">
        <f t="shared" si="28"/>
        <v>0</v>
      </c>
      <c r="K2481" s="59">
        <f t="shared" si="29"/>
        <v>0</v>
      </c>
      <c r="L2481" s="59">
        <f t="shared" si="30"/>
        <v>0</v>
      </c>
      <c r="M2481" s="59">
        <f t="shared" si="31"/>
        <v>0</v>
      </c>
    </row>
    <row r="2482" ht="15.0" hidden="1" customHeight="1">
      <c r="A2482" s="59">
        <f t="shared" si="20"/>
        <v>38</v>
      </c>
      <c r="B2482" s="59" t="str">
        <f t="shared" si="21"/>
        <v/>
      </c>
      <c r="C2482" s="59" t="str">
        <f t="shared" si="22"/>
        <v/>
      </c>
      <c r="D2482" s="45" t="str">
        <f t="shared" si="23"/>
        <v/>
      </c>
      <c r="E2482" s="45" t="str">
        <f t="shared" si="24"/>
        <v/>
      </c>
      <c r="F2482" s="59" t="str">
        <f t="shared" si="25"/>
        <v/>
      </c>
      <c r="G2482" s="59" t="str">
        <f t="shared" si="26"/>
        <v/>
      </c>
      <c r="H2482" s="59" t="str">
        <f t="shared" si="27"/>
        <v>28C06369</v>
      </c>
      <c r="I2482" s="59" t="str">
        <f>IF(OR($A2482="",$C2482="",$D2482="",$E2482="",$H2482=""),"",SUMIFS(DATA_GOC!$H:$H,DATA_GOC!$A:$A,"BOM",DATA_GOC!$D:$D,$H2482,DATA_GOC!$E:$E,$C2482,DATA_GOC!$F:$F,"Xuất nội bộ từ téc",DATA_GOC!$B:$B,"&gt;="&amp;$D2482,DATA_GOC!$B:$B,"&lt;="&amp;$E2482))</f>
        <v/>
      </c>
      <c r="J2482" s="59">
        <f t="shared" si="28"/>
        <v>0</v>
      </c>
      <c r="K2482" s="59">
        <f t="shared" si="29"/>
        <v>0</v>
      </c>
      <c r="L2482" s="59">
        <f t="shared" si="30"/>
        <v>0</v>
      </c>
      <c r="M2482" s="59">
        <f t="shared" si="31"/>
        <v>0</v>
      </c>
    </row>
    <row r="2483" ht="15.0" hidden="1" customHeight="1">
      <c r="A2483" s="59">
        <f t="shared" si="20"/>
        <v>38</v>
      </c>
      <c r="B2483" s="59" t="str">
        <f t="shared" si="21"/>
        <v/>
      </c>
      <c r="C2483" s="59" t="str">
        <f t="shared" si="22"/>
        <v/>
      </c>
      <c r="D2483" s="45" t="str">
        <f t="shared" si="23"/>
        <v/>
      </c>
      <c r="E2483" s="45" t="str">
        <f t="shared" si="24"/>
        <v/>
      </c>
      <c r="F2483" s="59" t="str">
        <f t="shared" si="25"/>
        <v/>
      </c>
      <c r="G2483" s="59" t="str">
        <f t="shared" si="26"/>
        <v/>
      </c>
      <c r="H2483" s="59" t="str">
        <f t="shared" si="27"/>
        <v>28C06447</v>
      </c>
      <c r="I2483" s="59" t="str">
        <f>IF(OR($A2483="",$C2483="",$D2483="",$E2483="",$H2483=""),"",SUMIFS(DATA_GOC!$H:$H,DATA_GOC!$A:$A,"BOM",DATA_GOC!$D:$D,$H2483,DATA_GOC!$E:$E,$C2483,DATA_GOC!$F:$F,"Xuất nội bộ từ téc",DATA_GOC!$B:$B,"&gt;="&amp;$D2483,DATA_GOC!$B:$B,"&lt;="&amp;$E2483))</f>
        <v/>
      </c>
      <c r="J2483" s="59">
        <f t="shared" si="28"/>
        <v>0</v>
      </c>
      <c r="K2483" s="59">
        <f t="shared" si="29"/>
        <v>0</v>
      </c>
      <c r="L2483" s="59">
        <f t="shared" si="30"/>
        <v>0</v>
      </c>
      <c r="M2483" s="59">
        <f t="shared" si="31"/>
        <v>0</v>
      </c>
    </row>
    <row r="2484" ht="15.0" hidden="1" customHeight="1">
      <c r="A2484" s="59">
        <f t="shared" si="20"/>
        <v>38</v>
      </c>
      <c r="B2484" s="59" t="str">
        <f t="shared" si="21"/>
        <v/>
      </c>
      <c r="C2484" s="59" t="str">
        <f t="shared" si="22"/>
        <v/>
      </c>
      <c r="D2484" s="45" t="str">
        <f t="shared" si="23"/>
        <v/>
      </c>
      <c r="E2484" s="45" t="str">
        <f t="shared" si="24"/>
        <v/>
      </c>
      <c r="F2484" s="59" t="str">
        <f t="shared" si="25"/>
        <v/>
      </c>
      <c r="G2484" s="59" t="str">
        <f t="shared" si="26"/>
        <v/>
      </c>
      <c r="H2484" s="59" t="str">
        <f t="shared" si="27"/>
        <v>28H00003</v>
      </c>
      <c r="I2484" s="59" t="str">
        <f>IF(OR($A2484="",$C2484="",$D2484="",$E2484="",$H2484=""),"",SUMIFS(DATA_GOC!$H:$H,DATA_GOC!$A:$A,"BOM",DATA_GOC!$D:$D,$H2484,DATA_GOC!$E:$E,$C2484,DATA_GOC!$F:$F,"Xuất nội bộ từ téc",DATA_GOC!$B:$B,"&gt;="&amp;$D2484,DATA_GOC!$B:$B,"&lt;="&amp;$E2484))</f>
        <v/>
      </c>
      <c r="J2484" s="59">
        <f t="shared" si="28"/>
        <v>0</v>
      </c>
      <c r="K2484" s="59">
        <f t="shared" si="29"/>
        <v>0</v>
      </c>
      <c r="L2484" s="59">
        <f t="shared" si="30"/>
        <v>0</v>
      </c>
      <c r="M2484" s="59">
        <f t="shared" si="31"/>
        <v>0</v>
      </c>
    </row>
    <row r="2485" ht="15.0" hidden="1" customHeight="1">
      <c r="A2485" s="59">
        <f t="shared" si="20"/>
        <v>38</v>
      </c>
      <c r="B2485" s="59" t="str">
        <f t="shared" si="21"/>
        <v/>
      </c>
      <c r="C2485" s="59" t="str">
        <f t="shared" si="22"/>
        <v/>
      </c>
      <c r="D2485" s="45" t="str">
        <f t="shared" si="23"/>
        <v/>
      </c>
      <c r="E2485" s="45" t="str">
        <f t="shared" si="24"/>
        <v/>
      </c>
      <c r="F2485" s="59" t="str">
        <f t="shared" si="25"/>
        <v/>
      </c>
      <c r="G2485" s="59" t="str">
        <f t="shared" si="26"/>
        <v/>
      </c>
      <c r="H2485" s="59" t="str">
        <f t="shared" si="27"/>
        <v>28H00061</v>
      </c>
      <c r="I2485" s="59" t="str">
        <f>IF(OR($A2485="",$C2485="",$D2485="",$E2485="",$H2485=""),"",SUMIFS(DATA_GOC!$H:$H,DATA_GOC!$A:$A,"BOM",DATA_GOC!$D:$D,$H2485,DATA_GOC!$E:$E,$C2485,DATA_GOC!$F:$F,"Xuất nội bộ từ téc",DATA_GOC!$B:$B,"&gt;="&amp;$D2485,DATA_GOC!$B:$B,"&lt;="&amp;$E2485))</f>
        <v/>
      </c>
      <c r="J2485" s="59">
        <f t="shared" si="28"/>
        <v>0</v>
      </c>
      <c r="K2485" s="59">
        <f t="shared" si="29"/>
        <v>0</v>
      </c>
      <c r="L2485" s="59">
        <f t="shared" si="30"/>
        <v>0</v>
      </c>
      <c r="M2485" s="59">
        <f t="shared" si="31"/>
        <v>0</v>
      </c>
    </row>
    <row r="2486" ht="15.0" hidden="1" customHeight="1">
      <c r="A2486" s="59">
        <f t="shared" si="20"/>
        <v>38</v>
      </c>
      <c r="B2486" s="59" t="str">
        <f t="shared" si="21"/>
        <v/>
      </c>
      <c r="C2486" s="59" t="str">
        <f t="shared" si="22"/>
        <v/>
      </c>
      <c r="D2486" s="45" t="str">
        <f t="shared" si="23"/>
        <v/>
      </c>
      <c r="E2486" s="45" t="str">
        <f t="shared" si="24"/>
        <v/>
      </c>
      <c r="F2486" s="59" t="str">
        <f t="shared" si="25"/>
        <v/>
      </c>
      <c r="G2486" s="59" t="str">
        <f t="shared" si="26"/>
        <v/>
      </c>
      <c r="H2486" s="59" t="str">
        <f t="shared" si="27"/>
        <v>28H00354</v>
      </c>
      <c r="I2486" s="59" t="str">
        <f>IF(OR($A2486="",$C2486="",$D2486="",$E2486="",$H2486=""),"",SUMIFS(DATA_GOC!$H:$H,DATA_GOC!$A:$A,"BOM",DATA_GOC!$D:$D,$H2486,DATA_GOC!$E:$E,$C2486,DATA_GOC!$F:$F,"Xuất nội bộ từ téc",DATA_GOC!$B:$B,"&gt;="&amp;$D2486,DATA_GOC!$B:$B,"&lt;="&amp;$E2486))</f>
        <v/>
      </c>
      <c r="J2486" s="59">
        <f t="shared" si="28"/>
        <v>0</v>
      </c>
      <c r="K2486" s="59">
        <f t="shared" si="29"/>
        <v>0</v>
      </c>
      <c r="L2486" s="59">
        <f t="shared" si="30"/>
        <v>0</v>
      </c>
      <c r="M2486" s="59">
        <f t="shared" si="31"/>
        <v>0</v>
      </c>
    </row>
    <row r="2487" ht="15.0" hidden="1" customHeight="1">
      <c r="A2487" s="59">
        <f t="shared" si="20"/>
        <v>38</v>
      </c>
      <c r="B2487" s="59" t="str">
        <f t="shared" si="21"/>
        <v/>
      </c>
      <c r="C2487" s="59" t="str">
        <f t="shared" si="22"/>
        <v/>
      </c>
      <c r="D2487" s="45" t="str">
        <f t="shared" si="23"/>
        <v/>
      </c>
      <c r="E2487" s="45" t="str">
        <f t="shared" si="24"/>
        <v/>
      </c>
      <c r="F2487" s="59" t="str">
        <f t="shared" si="25"/>
        <v/>
      </c>
      <c r="G2487" s="59" t="str">
        <f t="shared" si="26"/>
        <v/>
      </c>
      <c r="H2487" s="59" t="str">
        <f t="shared" si="27"/>
        <v>28H00603</v>
      </c>
      <c r="I2487" s="59" t="str">
        <f>IF(OR($A2487="",$C2487="",$D2487="",$E2487="",$H2487=""),"",SUMIFS(DATA_GOC!$H:$H,DATA_GOC!$A:$A,"BOM",DATA_GOC!$D:$D,$H2487,DATA_GOC!$E:$E,$C2487,DATA_GOC!$F:$F,"Xuất nội bộ từ téc",DATA_GOC!$B:$B,"&gt;="&amp;$D2487,DATA_GOC!$B:$B,"&lt;="&amp;$E2487))</f>
        <v/>
      </c>
      <c r="J2487" s="59">
        <f t="shared" si="28"/>
        <v>0</v>
      </c>
      <c r="K2487" s="59">
        <f t="shared" si="29"/>
        <v>0</v>
      </c>
      <c r="L2487" s="59">
        <f t="shared" si="30"/>
        <v>0</v>
      </c>
      <c r="M2487" s="59">
        <f t="shared" si="31"/>
        <v>0</v>
      </c>
    </row>
    <row r="2488" ht="15.0" hidden="1" customHeight="1">
      <c r="A2488" s="59">
        <f t="shared" si="20"/>
        <v>38</v>
      </c>
      <c r="B2488" s="59" t="str">
        <f t="shared" si="21"/>
        <v/>
      </c>
      <c r="C2488" s="59" t="str">
        <f t="shared" si="22"/>
        <v/>
      </c>
      <c r="D2488" s="45" t="str">
        <f t="shared" si="23"/>
        <v/>
      </c>
      <c r="E2488" s="45" t="str">
        <f t="shared" si="24"/>
        <v/>
      </c>
      <c r="F2488" s="59" t="str">
        <f t="shared" si="25"/>
        <v/>
      </c>
      <c r="G2488" s="59" t="str">
        <f t="shared" si="26"/>
        <v/>
      </c>
      <c r="H2488" s="59" t="str">
        <f t="shared" si="27"/>
        <v>28H00609</v>
      </c>
      <c r="I2488" s="59" t="str">
        <f>IF(OR($A2488="",$C2488="",$D2488="",$E2488="",$H2488=""),"",SUMIFS(DATA_GOC!$H:$H,DATA_GOC!$A:$A,"BOM",DATA_GOC!$D:$D,$H2488,DATA_GOC!$E:$E,$C2488,DATA_GOC!$F:$F,"Xuất nội bộ từ téc",DATA_GOC!$B:$B,"&gt;="&amp;$D2488,DATA_GOC!$B:$B,"&lt;="&amp;$E2488))</f>
        <v/>
      </c>
      <c r="J2488" s="59">
        <f t="shared" si="28"/>
        <v>0</v>
      </c>
      <c r="K2488" s="59">
        <f t="shared" si="29"/>
        <v>0</v>
      </c>
      <c r="L2488" s="59">
        <f t="shared" si="30"/>
        <v>0</v>
      </c>
      <c r="M2488" s="59">
        <f t="shared" si="31"/>
        <v>0</v>
      </c>
    </row>
    <row r="2489" ht="15.0" hidden="1" customHeight="1">
      <c r="A2489" s="59">
        <f t="shared" si="20"/>
        <v>38</v>
      </c>
      <c r="B2489" s="59" t="str">
        <f t="shared" si="21"/>
        <v/>
      </c>
      <c r="C2489" s="59" t="str">
        <f t="shared" si="22"/>
        <v/>
      </c>
      <c r="D2489" s="45" t="str">
        <f t="shared" si="23"/>
        <v/>
      </c>
      <c r="E2489" s="45" t="str">
        <f t="shared" si="24"/>
        <v/>
      </c>
      <c r="F2489" s="59" t="str">
        <f t="shared" si="25"/>
        <v/>
      </c>
      <c r="G2489" s="59" t="str">
        <f t="shared" si="26"/>
        <v/>
      </c>
      <c r="H2489" s="59" t="str">
        <f t="shared" si="27"/>
        <v>28H00669</v>
      </c>
      <c r="I2489" s="59" t="str">
        <f>IF(OR($A2489="",$C2489="",$D2489="",$E2489="",$H2489=""),"",SUMIFS(DATA_GOC!$H:$H,DATA_GOC!$A:$A,"BOM",DATA_GOC!$D:$D,$H2489,DATA_GOC!$E:$E,$C2489,DATA_GOC!$F:$F,"Xuất nội bộ từ téc",DATA_GOC!$B:$B,"&gt;="&amp;$D2489,DATA_GOC!$B:$B,"&lt;="&amp;$E2489))</f>
        <v/>
      </c>
      <c r="J2489" s="59">
        <f t="shared" si="28"/>
        <v>0</v>
      </c>
      <c r="K2489" s="59">
        <f t="shared" si="29"/>
        <v>0</v>
      </c>
      <c r="L2489" s="59">
        <f t="shared" si="30"/>
        <v>0</v>
      </c>
      <c r="M2489" s="59">
        <f t="shared" si="31"/>
        <v>0</v>
      </c>
    </row>
    <row r="2490" ht="15.0" hidden="1" customHeight="1">
      <c r="A2490" s="59">
        <f t="shared" si="20"/>
        <v>38</v>
      </c>
      <c r="B2490" s="59" t="str">
        <f t="shared" si="21"/>
        <v/>
      </c>
      <c r="C2490" s="59" t="str">
        <f t="shared" si="22"/>
        <v/>
      </c>
      <c r="D2490" s="45" t="str">
        <f t="shared" si="23"/>
        <v/>
      </c>
      <c r="E2490" s="45" t="str">
        <f t="shared" si="24"/>
        <v/>
      </c>
      <c r="F2490" s="59" t="str">
        <f t="shared" si="25"/>
        <v/>
      </c>
      <c r="G2490" s="59" t="str">
        <f t="shared" si="26"/>
        <v/>
      </c>
      <c r="H2490" s="59" t="str">
        <f t="shared" si="27"/>
        <v>28H00680</v>
      </c>
      <c r="I2490" s="59" t="str">
        <f>IF(OR($A2490="",$C2490="",$D2490="",$E2490="",$H2490=""),"",SUMIFS(DATA_GOC!$H:$H,DATA_GOC!$A:$A,"BOM",DATA_GOC!$D:$D,$H2490,DATA_GOC!$E:$E,$C2490,DATA_GOC!$F:$F,"Xuất nội bộ từ téc",DATA_GOC!$B:$B,"&gt;="&amp;$D2490,DATA_GOC!$B:$B,"&lt;="&amp;$E2490))</f>
        <v/>
      </c>
      <c r="J2490" s="59">
        <f t="shared" si="28"/>
        <v>0</v>
      </c>
      <c r="K2490" s="59">
        <f t="shared" si="29"/>
        <v>0</v>
      </c>
      <c r="L2490" s="59">
        <f t="shared" si="30"/>
        <v>0</v>
      </c>
      <c r="M2490" s="59">
        <f t="shared" si="31"/>
        <v>0</v>
      </c>
    </row>
    <row r="2491" ht="15.0" hidden="1" customHeight="1">
      <c r="A2491" s="59">
        <f t="shared" si="20"/>
        <v>38</v>
      </c>
      <c r="B2491" s="59" t="str">
        <f t="shared" si="21"/>
        <v/>
      </c>
      <c r="C2491" s="59" t="str">
        <f t="shared" si="22"/>
        <v/>
      </c>
      <c r="D2491" s="45" t="str">
        <f t="shared" si="23"/>
        <v/>
      </c>
      <c r="E2491" s="45" t="str">
        <f t="shared" si="24"/>
        <v/>
      </c>
      <c r="F2491" s="59" t="str">
        <f t="shared" si="25"/>
        <v/>
      </c>
      <c r="G2491" s="59" t="str">
        <f t="shared" si="26"/>
        <v/>
      </c>
      <c r="H2491" s="59" t="str">
        <f t="shared" si="27"/>
        <v>28H01070</v>
      </c>
      <c r="I2491" s="59" t="str">
        <f>IF(OR($A2491="",$C2491="",$D2491="",$E2491="",$H2491=""),"",SUMIFS(DATA_GOC!$H:$H,DATA_GOC!$A:$A,"BOM",DATA_GOC!$D:$D,$H2491,DATA_GOC!$E:$E,$C2491,DATA_GOC!$F:$F,"Xuất nội bộ từ téc",DATA_GOC!$B:$B,"&gt;="&amp;$D2491,DATA_GOC!$B:$B,"&lt;="&amp;$E2491))</f>
        <v/>
      </c>
      <c r="J2491" s="59">
        <f t="shared" si="28"/>
        <v>0</v>
      </c>
      <c r="K2491" s="59">
        <f t="shared" si="29"/>
        <v>0</v>
      </c>
      <c r="L2491" s="59">
        <f t="shared" si="30"/>
        <v>0</v>
      </c>
      <c r="M2491" s="59">
        <f t="shared" si="31"/>
        <v>0</v>
      </c>
    </row>
    <row r="2492" ht="15.0" hidden="1" customHeight="1">
      <c r="A2492" s="59">
        <f t="shared" si="20"/>
        <v>38</v>
      </c>
      <c r="B2492" s="59" t="str">
        <f t="shared" si="21"/>
        <v/>
      </c>
      <c r="C2492" s="59" t="str">
        <f t="shared" si="22"/>
        <v/>
      </c>
      <c r="D2492" s="45" t="str">
        <f t="shared" si="23"/>
        <v/>
      </c>
      <c r="E2492" s="45" t="str">
        <f t="shared" si="24"/>
        <v/>
      </c>
      <c r="F2492" s="59" t="str">
        <f t="shared" si="25"/>
        <v/>
      </c>
      <c r="G2492" s="59" t="str">
        <f t="shared" si="26"/>
        <v/>
      </c>
      <c r="H2492" s="59" t="str">
        <f t="shared" si="27"/>
        <v>28H01364</v>
      </c>
      <c r="I2492" s="59" t="str">
        <f>IF(OR($A2492="",$C2492="",$D2492="",$E2492="",$H2492=""),"",SUMIFS(DATA_GOC!$H:$H,DATA_GOC!$A:$A,"BOM",DATA_GOC!$D:$D,$H2492,DATA_GOC!$E:$E,$C2492,DATA_GOC!$F:$F,"Xuất nội bộ từ téc",DATA_GOC!$B:$B,"&gt;="&amp;$D2492,DATA_GOC!$B:$B,"&lt;="&amp;$E2492))</f>
        <v/>
      </c>
      <c r="J2492" s="59">
        <f t="shared" si="28"/>
        <v>0</v>
      </c>
      <c r="K2492" s="59">
        <f t="shared" si="29"/>
        <v>0</v>
      </c>
      <c r="L2492" s="59">
        <f t="shared" si="30"/>
        <v>0</v>
      </c>
      <c r="M2492" s="59">
        <f t="shared" si="31"/>
        <v>0</v>
      </c>
    </row>
    <row r="2493" ht="15.0" hidden="1" customHeight="1">
      <c r="A2493" s="59">
        <f t="shared" si="20"/>
        <v>38</v>
      </c>
      <c r="B2493" s="59" t="str">
        <f t="shared" si="21"/>
        <v/>
      </c>
      <c r="C2493" s="59" t="str">
        <f t="shared" si="22"/>
        <v/>
      </c>
      <c r="D2493" s="45" t="str">
        <f t="shared" si="23"/>
        <v/>
      </c>
      <c r="E2493" s="45" t="str">
        <f t="shared" si="24"/>
        <v/>
      </c>
      <c r="F2493" s="59" t="str">
        <f t="shared" si="25"/>
        <v/>
      </c>
      <c r="G2493" s="59" t="str">
        <f t="shared" si="26"/>
        <v/>
      </c>
      <c r="H2493" s="59" t="str">
        <f t="shared" si="27"/>
        <v>29E17269</v>
      </c>
      <c r="I2493" s="59" t="str">
        <f>IF(OR($A2493="",$C2493="",$D2493="",$E2493="",$H2493=""),"",SUMIFS(DATA_GOC!$H:$H,DATA_GOC!$A:$A,"BOM",DATA_GOC!$D:$D,$H2493,DATA_GOC!$E:$E,$C2493,DATA_GOC!$F:$F,"Xuất nội bộ từ téc",DATA_GOC!$B:$B,"&gt;="&amp;$D2493,DATA_GOC!$B:$B,"&lt;="&amp;$E2493))</f>
        <v/>
      </c>
      <c r="J2493" s="59">
        <f t="shared" si="28"/>
        <v>0</v>
      </c>
      <c r="K2493" s="59">
        <f t="shared" si="29"/>
        <v>0</v>
      </c>
      <c r="L2493" s="59">
        <f t="shared" si="30"/>
        <v>0</v>
      </c>
      <c r="M2493" s="59">
        <f t="shared" si="31"/>
        <v>0</v>
      </c>
    </row>
    <row r="2494" ht="15.0" hidden="1" customHeight="1">
      <c r="A2494" s="59">
        <f t="shared" si="20"/>
        <v>38</v>
      </c>
      <c r="B2494" s="59" t="str">
        <f t="shared" si="21"/>
        <v/>
      </c>
      <c r="C2494" s="59" t="str">
        <f t="shared" si="22"/>
        <v/>
      </c>
      <c r="D2494" s="45" t="str">
        <f t="shared" si="23"/>
        <v/>
      </c>
      <c r="E2494" s="45" t="str">
        <f t="shared" si="24"/>
        <v/>
      </c>
      <c r="F2494" s="59" t="str">
        <f t="shared" si="25"/>
        <v/>
      </c>
      <c r="G2494" s="59" t="str">
        <f t="shared" si="26"/>
        <v/>
      </c>
      <c r="H2494" s="59" t="str">
        <f t="shared" si="27"/>
        <v>29E17273</v>
      </c>
      <c r="I2494" s="59" t="str">
        <f>IF(OR($A2494="",$C2494="",$D2494="",$E2494="",$H2494=""),"",SUMIFS(DATA_GOC!$H:$H,DATA_GOC!$A:$A,"BOM",DATA_GOC!$D:$D,$H2494,DATA_GOC!$E:$E,$C2494,DATA_GOC!$F:$F,"Xuất nội bộ từ téc",DATA_GOC!$B:$B,"&gt;="&amp;$D2494,DATA_GOC!$B:$B,"&lt;="&amp;$E2494))</f>
        <v/>
      </c>
      <c r="J2494" s="59">
        <f t="shared" si="28"/>
        <v>0</v>
      </c>
      <c r="K2494" s="59">
        <f t="shared" si="29"/>
        <v>0</v>
      </c>
      <c r="L2494" s="59">
        <f t="shared" si="30"/>
        <v>0</v>
      </c>
      <c r="M2494" s="59">
        <f t="shared" si="31"/>
        <v>0</v>
      </c>
    </row>
    <row r="2495" ht="15.0" hidden="1" customHeight="1">
      <c r="A2495" s="59">
        <f t="shared" si="20"/>
        <v>38</v>
      </c>
      <c r="B2495" s="59" t="str">
        <f t="shared" si="21"/>
        <v/>
      </c>
      <c r="C2495" s="59" t="str">
        <f t="shared" si="22"/>
        <v/>
      </c>
      <c r="D2495" s="45" t="str">
        <f t="shared" si="23"/>
        <v/>
      </c>
      <c r="E2495" s="45" t="str">
        <f t="shared" si="24"/>
        <v/>
      </c>
      <c r="F2495" s="59" t="str">
        <f t="shared" si="25"/>
        <v/>
      </c>
      <c r="G2495" s="59" t="str">
        <f t="shared" si="26"/>
        <v/>
      </c>
      <c r="H2495" s="59" t="str">
        <f t="shared" si="27"/>
        <v>29E17410</v>
      </c>
      <c r="I2495" s="59" t="str">
        <f>IF(OR($A2495="",$C2495="",$D2495="",$E2495="",$H2495=""),"",SUMIFS(DATA_GOC!$H:$H,DATA_GOC!$A:$A,"BOM",DATA_GOC!$D:$D,$H2495,DATA_GOC!$E:$E,$C2495,DATA_GOC!$F:$F,"Xuất nội bộ từ téc",DATA_GOC!$B:$B,"&gt;="&amp;$D2495,DATA_GOC!$B:$B,"&lt;="&amp;$E2495))</f>
        <v/>
      </c>
      <c r="J2495" s="59">
        <f t="shared" si="28"/>
        <v>0</v>
      </c>
      <c r="K2495" s="59">
        <f t="shared" si="29"/>
        <v>0</v>
      </c>
      <c r="L2495" s="59">
        <f t="shared" si="30"/>
        <v>0</v>
      </c>
      <c r="M2495" s="59">
        <f t="shared" si="31"/>
        <v>0</v>
      </c>
    </row>
    <row r="2496" ht="15.0" hidden="1" customHeight="1">
      <c r="A2496" s="59">
        <f t="shared" si="20"/>
        <v>38</v>
      </c>
      <c r="B2496" s="59" t="str">
        <f t="shared" si="21"/>
        <v/>
      </c>
      <c r="C2496" s="59" t="str">
        <f t="shared" si="22"/>
        <v/>
      </c>
      <c r="D2496" s="45" t="str">
        <f t="shared" si="23"/>
        <v/>
      </c>
      <c r="E2496" s="45" t="str">
        <f t="shared" si="24"/>
        <v/>
      </c>
      <c r="F2496" s="59" t="str">
        <f t="shared" si="25"/>
        <v/>
      </c>
      <c r="G2496" s="59" t="str">
        <f t="shared" si="26"/>
        <v/>
      </c>
      <c r="H2496" s="59" t="str">
        <f t="shared" si="27"/>
        <v>29E17417</v>
      </c>
      <c r="I2496" s="59" t="str">
        <f>IF(OR($A2496="",$C2496="",$D2496="",$E2496="",$H2496=""),"",SUMIFS(DATA_GOC!$H:$H,DATA_GOC!$A:$A,"BOM",DATA_GOC!$D:$D,$H2496,DATA_GOC!$E:$E,$C2496,DATA_GOC!$F:$F,"Xuất nội bộ từ téc",DATA_GOC!$B:$B,"&gt;="&amp;$D2496,DATA_GOC!$B:$B,"&lt;="&amp;$E2496))</f>
        <v/>
      </c>
      <c r="J2496" s="59">
        <f t="shared" si="28"/>
        <v>0</v>
      </c>
      <c r="K2496" s="59">
        <f t="shared" si="29"/>
        <v>0</v>
      </c>
      <c r="L2496" s="59">
        <f t="shared" si="30"/>
        <v>0</v>
      </c>
      <c r="M2496" s="59">
        <f t="shared" si="31"/>
        <v>0</v>
      </c>
    </row>
    <row r="2497" ht="15.0" hidden="1" customHeight="1">
      <c r="A2497" s="59">
        <f t="shared" si="20"/>
        <v>38</v>
      </c>
      <c r="B2497" s="59" t="str">
        <f t="shared" si="21"/>
        <v/>
      </c>
      <c r="C2497" s="59" t="str">
        <f t="shared" si="22"/>
        <v/>
      </c>
      <c r="D2497" s="45" t="str">
        <f t="shared" si="23"/>
        <v/>
      </c>
      <c r="E2497" s="45" t="str">
        <f t="shared" si="24"/>
        <v/>
      </c>
      <c r="F2497" s="59" t="str">
        <f t="shared" si="25"/>
        <v/>
      </c>
      <c r="G2497" s="59" t="str">
        <f t="shared" si="26"/>
        <v/>
      </c>
      <c r="H2497" s="59" t="str">
        <f t="shared" si="27"/>
        <v>29E17539</v>
      </c>
      <c r="I2497" s="59" t="str">
        <f>IF(OR($A2497="",$C2497="",$D2497="",$E2497="",$H2497=""),"",SUMIFS(DATA_GOC!$H:$H,DATA_GOC!$A:$A,"BOM",DATA_GOC!$D:$D,$H2497,DATA_GOC!$E:$E,$C2497,DATA_GOC!$F:$F,"Xuất nội bộ từ téc",DATA_GOC!$B:$B,"&gt;="&amp;$D2497,DATA_GOC!$B:$B,"&lt;="&amp;$E2497))</f>
        <v/>
      </c>
      <c r="J2497" s="59">
        <f t="shared" si="28"/>
        <v>0</v>
      </c>
      <c r="K2497" s="59">
        <f t="shared" si="29"/>
        <v>0</v>
      </c>
      <c r="L2497" s="59">
        <f t="shared" si="30"/>
        <v>0</v>
      </c>
      <c r="M2497" s="59">
        <f t="shared" si="31"/>
        <v>0</v>
      </c>
    </row>
    <row r="2498" ht="15.0" hidden="1" customHeight="1">
      <c r="A2498" s="59">
        <f t="shared" si="20"/>
        <v>38</v>
      </c>
      <c r="B2498" s="59" t="str">
        <f t="shared" si="21"/>
        <v/>
      </c>
      <c r="C2498" s="59" t="str">
        <f t="shared" si="22"/>
        <v/>
      </c>
      <c r="D2498" s="45" t="str">
        <f t="shared" si="23"/>
        <v/>
      </c>
      <c r="E2498" s="45" t="str">
        <f t="shared" si="24"/>
        <v/>
      </c>
      <c r="F2498" s="59" t="str">
        <f t="shared" si="25"/>
        <v/>
      </c>
      <c r="G2498" s="59" t="str">
        <f t="shared" si="26"/>
        <v/>
      </c>
      <c r="H2498" s="59" t="str">
        <f t="shared" si="27"/>
        <v>29E18160</v>
      </c>
      <c r="I2498" s="59" t="str">
        <f>IF(OR($A2498="",$C2498="",$D2498="",$E2498="",$H2498=""),"",SUMIFS(DATA_GOC!$H:$H,DATA_GOC!$A:$A,"BOM",DATA_GOC!$D:$D,$H2498,DATA_GOC!$E:$E,$C2498,DATA_GOC!$F:$F,"Xuất nội bộ từ téc",DATA_GOC!$B:$B,"&gt;="&amp;$D2498,DATA_GOC!$B:$B,"&lt;="&amp;$E2498))</f>
        <v/>
      </c>
      <c r="J2498" s="59">
        <f t="shared" si="28"/>
        <v>0</v>
      </c>
      <c r="K2498" s="59">
        <f t="shared" si="29"/>
        <v>0</v>
      </c>
      <c r="L2498" s="59">
        <f t="shared" si="30"/>
        <v>0</v>
      </c>
      <c r="M2498" s="59">
        <f t="shared" si="31"/>
        <v>0</v>
      </c>
    </row>
    <row r="2499" ht="15.0" hidden="1" customHeight="1">
      <c r="A2499" s="59">
        <f t="shared" si="20"/>
        <v>38</v>
      </c>
      <c r="B2499" s="59" t="str">
        <f t="shared" si="21"/>
        <v/>
      </c>
      <c r="C2499" s="59" t="str">
        <f t="shared" si="22"/>
        <v/>
      </c>
      <c r="D2499" s="45" t="str">
        <f t="shared" si="23"/>
        <v/>
      </c>
      <c r="E2499" s="45" t="str">
        <f t="shared" si="24"/>
        <v/>
      </c>
      <c r="F2499" s="59" t="str">
        <f t="shared" si="25"/>
        <v/>
      </c>
      <c r="G2499" s="59" t="str">
        <f t="shared" si="26"/>
        <v/>
      </c>
      <c r="H2499" s="59" t="str">
        <f t="shared" si="27"/>
        <v>Công trình Asphalt</v>
      </c>
      <c r="I2499" s="59" t="str">
        <f>IF(OR($A2499="",$C2499="",$D2499="",$E2499="",$H2499=""),"",SUMIFS(DATA_GOC!$H:$H,DATA_GOC!$A:$A,"BOM",DATA_GOC!$D:$D,$H2499,DATA_GOC!$E:$E,$C2499,DATA_GOC!$F:$F,"Xuất nội bộ từ téc",DATA_GOC!$B:$B,"&gt;="&amp;$D2499,DATA_GOC!$B:$B,"&lt;="&amp;$E2499))</f>
        <v/>
      </c>
      <c r="J2499" s="59">
        <f t="shared" si="28"/>
        <v>0</v>
      </c>
      <c r="K2499" s="59">
        <f t="shared" si="29"/>
        <v>0</v>
      </c>
      <c r="L2499" s="59">
        <f t="shared" si="30"/>
        <v>0</v>
      </c>
      <c r="M2499" s="59">
        <f t="shared" si="31"/>
        <v>0</v>
      </c>
    </row>
    <row r="2500" ht="15.0" hidden="1" customHeight="1">
      <c r="A2500" s="59">
        <f t="shared" si="20"/>
        <v>38</v>
      </c>
      <c r="B2500" s="59" t="str">
        <f t="shared" si="21"/>
        <v/>
      </c>
      <c r="C2500" s="59" t="str">
        <f t="shared" si="22"/>
        <v/>
      </c>
      <c r="D2500" s="45" t="str">
        <f t="shared" si="23"/>
        <v/>
      </c>
      <c r="E2500" s="45" t="str">
        <f t="shared" si="24"/>
        <v/>
      </c>
      <c r="F2500" s="59" t="str">
        <f t="shared" si="25"/>
        <v/>
      </c>
      <c r="G2500" s="59" t="str">
        <f t="shared" si="26"/>
        <v/>
      </c>
      <c r="H2500" s="59" t="str">
        <f t="shared" si="27"/>
        <v>LG53F</v>
      </c>
      <c r="I2500" s="59" t="str">
        <f>IF(OR($A2500="",$C2500="",$D2500="",$E2500="",$H2500=""),"",SUMIFS(DATA_GOC!$H:$H,DATA_GOC!$A:$A,"BOM",DATA_GOC!$D:$D,$H2500,DATA_GOC!$E:$E,$C2500,DATA_GOC!$F:$F,"Xuất nội bộ từ téc",DATA_GOC!$B:$B,"&gt;="&amp;$D2500,DATA_GOC!$B:$B,"&lt;="&amp;$E2500))</f>
        <v/>
      </c>
      <c r="J2500" s="59">
        <f t="shared" si="28"/>
        <v>0</v>
      </c>
      <c r="K2500" s="59">
        <f t="shared" si="29"/>
        <v>0</v>
      </c>
      <c r="L2500" s="59">
        <f t="shared" si="30"/>
        <v>0</v>
      </c>
      <c r="M2500" s="59">
        <f t="shared" si="31"/>
        <v>0</v>
      </c>
    </row>
    <row r="2501" ht="15.0" hidden="1" customHeight="1">
      <c r="A2501" s="59">
        <f t="shared" si="20"/>
        <v>38</v>
      </c>
      <c r="B2501" s="59" t="str">
        <f t="shared" si="21"/>
        <v/>
      </c>
      <c r="C2501" s="59" t="str">
        <f t="shared" si="22"/>
        <v/>
      </c>
      <c r="D2501" s="45" t="str">
        <f t="shared" si="23"/>
        <v/>
      </c>
      <c r="E2501" s="45" t="str">
        <f t="shared" si="24"/>
        <v/>
      </c>
      <c r="F2501" s="59" t="str">
        <f t="shared" si="25"/>
        <v/>
      </c>
      <c r="G2501" s="59" t="str">
        <f t="shared" si="26"/>
        <v/>
      </c>
      <c r="H2501" s="59" t="str">
        <f t="shared" si="27"/>
        <v>Máy phát điện</v>
      </c>
      <c r="I2501" s="59" t="str">
        <f>IF(OR($A2501="",$C2501="",$D2501="",$E2501="",$H2501=""),"",SUMIFS(DATA_GOC!$H:$H,DATA_GOC!$A:$A,"BOM",DATA_GOC!$D:$D,$H2501,DATA_GOC!$E:$E,$C2501,DATA_GOC!$F:$F,"Xuất nội bộ từ téc",DATA_GOC!$B:$B,"&gt;="&amp;$D2501,DATA_GOC!$B:$B,"&lt;="&amp;$E2501))</f>
        <v/>
      </c>
      <c r="J2501" s="59">
        <f t="shared" si="28"/>
        <v>0</v>
      </c>
      <c r="K2501" s="59">
        <f t="shared" si="29"/>
        <v>0</v>
      </c>
      <c r="L2501" s="59">
        <f t="shared" si="30"/>
        <v>0</v>
      </c>
      <c r="M2501" s="59">
        <f t="shared" si="31"/>
        <v>0</v>
      </c>
    </row>
    <row r="2502" ht="15.0" hidden="1" customHeight="1">
      <c r="A2502" s="59">
        <f t="shared" si="20"/>
        <v>38</v>
      </c>
      <c r="B2502" s="59" t="str">
        <f t="shared" si="21"/>
        <v/>
      </c>
      <c r="C2502" s="59" t="str">
        <f t="shared" si="22"/>
        <v/>
      </c>
      <c r="D2502" s="45" t="str">
        <f t="shared" si="23"/>
        <v/>
      </c>
      <c r="E2502" s="45" t="str">
        <f t="shared" si="24"/>
        <v/>
      </c>
      <c r="F2502" s="59" t="str">
        <f t="shared" si="25"/>
        <v/>
      </c>
      <c r="G2502" s="59" t="str">
        <f t="shared" si="26"/>
        <v/>
      </c>
      <c r="H2502" s="59" t="str">
        <f t="shared" si="27"/>
        <v>Máy rải thảm</v>
      </c>
      <c r="I2502" s="59" t="str">
        <f>IF(OR($A2502="",$C2502="",$D2502="",$E2502="",$H2502=""),"",SUMIFS(DATA_GOC!$H:$H,DATA_GOC!$A:$A,"BOM",DATA_GOC!$D:$D,$H2502,DATA_GOC!$E:$E,$C2502,DATA_GOC!$F:$F,"Xuất nội bộ từ téc",DATA_GOC!$B:$B,"&gt;="&amp;$D2502,DATA_GOC!$B:$B,"&lt;="&amp;$E2502))</f>
        <v/>
      </c>
      <c r="J2502" s="59">
        <f t="shared" si="28"/>
        <v>0</v>
      </c>
      <c r="K2502" s="59">
        <f t="shared" si="29"/>
        <v>0</v>
      </c>
      <c r="L2502" s="59">
        <f t="shared" si="30"/>
        <v>0</v>
      </c>
      <c r="M2502" s="59">
        <f t="shared" si="31"/>
        <v>0</v>
      </c>
    </row>
    <row r="2503" ht="15.0" hidden="1" customHeight="1">
      <c r="A2503" s="59">
        <f t="shared" si="20"/>
        <v>38</v>
      </c>
      <c r="B2503" s="59" t="str">
        <f t="shared" si="21"/>
        <v/>
      </c>
      <c r="C2503" s="59" t="str">
        <f t="shared" si="22"/>
        <v/>
      </c>
      <c r="D2503" s="45" t="str">
        <f t="shared" si="23"/>
        <v/>
      </c>
      <c r="E2503" s="45" t="str">
        <f t="shared" si="24"/>
        <v/>
      </c>
      <c r="F2503" s="59" t="str">
        <f t="shared" si="25"/>
        <v/>
      </c>
      <c r="G2503" s="59" t="str">
        <f t="shared" si="26"/>
        <v/>
      </c>
      <c r="H2503" s="59" t="str">
        <f t="shared" si="27"/>
        <v>Xúc Đào</v>
      </c>
      <c r="I2503" s="59" t="str">
        <f>IF(OR($A2503="",$C2503="",$D2503="",$E2503="",$H2503=""),"",SUMIFS(DATA_GOC!$H:$H,DATA_GOC!$A:$A,"BOM",DATA_GOC!$D:$D,$H2503,DATA_GOC!$E:$E,$C2503,DATA_GOC!$F:$F,"Xuất nội bộ từ téc",DATA_GOC!$B:$B,"&gt;="&amp;$D2503,DATA_GOC!$B:$B,"&lt;="&amp;$E2503))</f>
        <v/>
      </c>
      <c r="J2503" s="59">
        <f t="shared" si="28"/>
        <v>0</v>
      </c>
      <c r="K2503" s="59">
        <f t="shared" si="29"/>
        <v>0</v>
      </c>
      <c r="L2503" s="59">
        <f t="shared" si="30"/>
        <v>0</v>
      </c>
      <c r="M2503" s="59">
        <f t="shared" si="31"/>
        <v>0</v>
      </c>
    </row>
    <row r="2504" ht="15.0" hidden="1" customHeight="1">
      <c r="A2504" s="59">
        <f t="shared" si="20"/>
        <v>38</v>
      </c>
      <c r="B2504" s="59" t="str">
        <f t="shared" si="21"/>
        <v/>
      </c>
      <c r="C2504" s="59" t="str">
        <f t="shared" si="22"/>
        <v/>
      </c>
      <c r="D2504" s="45" t="str">
        <f t="shared" si="23"/>
        <v/>
      </c>
      <c r="E2504" s="45" t="str">
        <f t="shared" si="24"/>
        <v/>
      </c>
      <c r="F2504" s="59" t="str">
        <f t="shared" si="25"/>
        <v/>
      </c>
      <c r="G2504" s="59" t="str">
        <f t="shared" si="26"/>
        <v/>
      </c>
      <c r="H2504" s="59" t="str">
        <f t="shared" si="27"/>
        <v>Xúclật asphalt</v>
      </c>
      <c r="I2504" s="59" t="str">
        <f>IF(OR($A2504="",$C2504="",$D2504="",$E2504="",$H2504=""),"",SUMIFS(DATA_GOC!$H:$H,DATA_GOC!$A:$A,"BOM",DATA_GOC!$D:$D,$H2504,DATA_GOC!$E:$E,$C2504,DATA_GOC!$F:$F,"Xuất nội bộ từ téc",DATA_GOC!$B:$B,"&gt;="&amp;$D2504,DATA_GOC!$B:$B,"&lt;="&amp;$E2504))</f>
        <v/>
      </c>
      <c r="J2504" s="59">
        <f t="shared" si="28"/>
        <v>0</v>
      </c>
      <c r="K2504" s="59">
        <f t="shared" si="29"/>
        <v>0</v>
      </c>
      <c r="L2504" s="59">
        <f t="shared" si="30"/>
        <v>0</v>
      </c>
      <c r="M2504" s="59">
        <f t="shared" si="31"/>
        <v>0</v>
      </c>
    </row>
    <row r="2505" ht="15.0" hidden="1" customHeight="1">
      <c r="A2505" s="59">
        <f t="shared" si="20"/>
        <v>38</v>
      </c>
      <c r="B2505" s="59" t="str">
        <f t="shared" si="21"/>
        <v/>
      </c>
      <c r="C2505" s="59" t="str">
        <f t="shared" si="22"/>
        <v/>
      </c>
      <c r="D2505" s="45" t="str">
        <f t="shared" si="23"/>
        <v/>
      </c>
      <c r="E2505" s="45" t="str">
        <f t="shared" si="24"/>
        <v/>
      </c>
      <c r="F2505" s="59" t="str">
        <f t="shared" si="25"/>
        <v/>
      </c>
      <c r="G2505" s="59" t="str">
        <f t="shared" si="26"/>
        <v/>
      </c>
      <c r="H2505" s="59" t="str">
        <f t="shared" si="27"/>
        <v>Xúclật855H</v>
      </c>
      <c r="I2505" s="59" t="str">
        <f>IF(OR($A2505="",$C2505="",$D2505="",$E2505="",$H2505=""),"",SUMIFS(DATA_GOC!$H:$H,DATA_GOC!$A:$A,"BOM",DATA_GOC!$D:$D,$H2505,DATA_GOC!$E:$E,$C2505,DATA_GOC!$F:$F,"Xuất nội bộ từ téc",DATA_GOC!$B:$B,"&gt;="&amp;$D2505,DATA_GOC!$B:$B,"&lt;="&amp;$E2505))</f>
        <v/>
      </c>
      <c r="J2505" s="59">
        <f t="shared" si="28"/>
        <v>0</v>
      </c>
      <c r="K2505" s="59">
        <f t="shared" si="29"/>
        <v>0</v>
      </c>
      <c r="L2505" s="59">
        <f t="shared" si="30"/>
        <v>0</v>
      </c>
      <c r="M2505" s="59">
        <f t="shared" si="31"/>
        <v>0</v>
      </c>
    </row>
    <row r="2506" ht="15.0" hidden="1" customHeight="1">
      <c r="A2506" s="59">
        <f t="shared" si="20"/>
        <v>38</v>
      </c>
      <c r="B2506" s="59" t="str">
        <f t="shared" si="21"/>
        <v/>
      </c>
      <c r="C2506" s="59" t="str">
        <f t="shared" si="22"/>
        <v/>
      </c>
      <c r="D2506" s="45" t="str">
        <f t="shared" si="23"/>
        <v/>
      </c>
      <c r="E2506" s="45" t="str">
        <f t="shared" si="24"/>
        <v/>
      </c>
      <c r="F2506" s="59" t="str">
        <f t="shared" si="25"/>
        <v/>
      </c>
      <c r="G2506" s="59" t="str">
        <f t="shared" si="26"/>
        <v/>
      </c>
      <c r="H2506" s="59" t="str">
        <f t="shared" si="27"/>
        <v>Xúclật855N</v>
      </c>
      <c r="I2506" s="59" t="str">
        <f>IF(OR($A2506="",$C2506="",$D2506="",$E2506="",$H2506=""),"",SUMIFS(DATA_GOC!$H:$H,DATA_GOC!$A:$A,"BOM",DATA_GOC!$D:$D,$H2506,DATA_GOC!$E:$E,$C2506,DATA_GOC!$F:$F,"Xuất nội bộ từ téc",DATA_GOC!$B:$B,"&gt;="&amp;$D2506,DATA_GOC!$B:$B,"&lt;="&amp;$E2506))</f>
        <v/>
      </c>
      <c r="J2506" s="59">
        <f t="shared" si="28"/>
        <v>0</v>
      </c>
      <c r="K2506" s="59">
        <f t="shared" si="29"/>
        <v>0</v>
      </c>
      <c r="L2506" s="59">
        <f t="shared" si="30"/>
        <v>0</v>
      </c>
      <c r="M2506" s="59">
        <f t="shared" si="31"/>
        <v>0</v>
      </c>
    </row>
    <row r="2507" ht="15.0" hidden="1" customHeight="1">
      <c r="A2507" s="59">
        <f t="shared" si="20"/>
        <v>38</v>
      </c>
      <c r="B2507" s="59" t="str">
        <f t="shared" si="21"/>
        <v/>
      </c>
      <c r="C2507" s="59" t="str">
        <f t="shared" si="22"/>
        <v/>
      </c>
      <c r="D2507" s="45" t="str">
        <f t="shared" si="23"/>
        <v/>
      </c>
      <c r="E2507" s="45" t="str">
        <f t="shared" si="24"/>
        <v/>
      </c>
      <c r="F2507" s="59" t="str">
        <f t="shared" si="25"/>
        <v/>
      </c>
      <c r="G2507" s="59" t="str">
        <f t="shared" si="26"/>
        <v/>
      </c>
      <c r="H2507" s="59" t="str">
        <f t="shared" si="27"/>
        <v>Cát nghiền</v>
      </c>
      <c r="I2507" s="59" t="str">
        <f>IF(OR($A2507="",$C2507="",$D2507="",$E2507="",$H2507=""),"",SUMIFS(DATA_GOC!$H:$H,DATA_GOC!$A:$A,"BOM",DATA_GOC!$D:$D,$H2507,DATA_GOC!$E:$E,$C2507,DATA_GOC!$F:$F,"Xuất nội bộ từ téc",DATA_GOC!$B:$B,"&gt;="&amp;$D2507,DATA_GOC!$B:$B,"&lt;="&amp;$E2507))</f>
        <v/>
      </c>
      <c r="J2507" s="59">
        <f t="shared" si="28"/>
        <v>0</v>
      </c>
      <c r="K2507" s="59">
        <f t="shared" si="29"/>
        <v>0</v>
      </c>
      <c r="L2507" s="59">
        <f t="shared" si="30"/>
        <v>0</v>
      </c>
      <c r="M2507" s="59">
        <f t="shared" si="31"/>
        <v>0</v>
      </c>
    </row>
    <row r="2508" ht="15.0" hidden="1" customHeight="1">
      <c r="A2508" s="59">
        <f t="shared" si="20"/>
        <v>38</v>
      </c>
      <c r="B2508" s="59" t="str">
        <f t="shared" si="21"/>
        <v/>
      </c>
      <c r="C2508" s="59" t="str">
        <f t="shared" si="22"/>
        <v/>
      </c>
      <c r="D2508" s="45" t="str">
        <f t="shared" si="23"/>
        <v/>
      </c>
      <c r="E2508" s="45" t="str">
        <f t="shared" si="24"/>
        <v/>
      </c>
      <c r="F2508" s="59" t="str">
        <f t="shared" si="25"/>
        <v/>
      </c>
      <c r="G2508" s="59" t="str">
        <f t="shared" si="26"/>
        <v/>
      </c>
      <c r="H2508" s="59" t="str">
        <f t="shared" si="27"/>
        <v>28C02973</v>
      </c>
      <c r="I2508" s="59" t="str">
        <f>IF(OR($A2508="",$C2508="",$D2508="",$E2508="",$H2508=""),"",SUMIFS(DATA_GOC!$H:$H,DATA_GOC!$A:$A,"BOM",DATA_GOC!$D:$D,$H2508,DATA_GOC!$E:$E,$C2508,DATA_GOC!$F:$F,"Xuất nội bộ từ téc",DATA_GOC!$B:$B,"&gt;="&amp;$D2508,DATA_GOC!$B:$B,"&lt;="&amp;$E2508))</f>
        <v/>
      </c>
      <c r="J2508" s="59">
        <f t="shared" si="28"/>
        <v>0</v>
      </c>
      <c r="K2508" s="59">
        <f t="shared" si="29"/>
        <v>0</v>
      </c>
      <c r="L2508" s="59">
        <f t="shared" si="30"/>
        <v>0</v>
      </c>
      <c r="M2508" s="59">
        <f t="shared" si="31"/>
        <v>0</v>
      </c>
    </row>
    <row r="2509" ht="15.0" hidden="1" customHeight="1">
      <c r="A2509" s="59">
        <f t="shared" si="20"/>
        <v>38</v>
      </c>
      <c r="B2509" s="59" t="str">
        <f t="shared" si="21"/>
        <v/>
      </c>
      <c r="C2509" s="59" t="str">
        <f t="shared" si="22"/>
        <v/>
      </c>
      <c r="D2509" s="45" t="str">
        <f t="shared" si="23"/>
        <v/>
      </c>
      <c r="E2509" s="45" t="str">
        <f t="shared" si="24"/>
        <v/>
      </c>
      <c r="F2509" s="59" t="str">
        <f t="shared" si="25"/>
        <v/>
      </c>
      <c r="G2509" s="59" t="str">
        <f t="shared" si="26"/>
        <v/>
      </c>
      <c r="H2509" s="59" t="str">
        <f t="shared" si="27"/>
        <v>28C03044</v>
      </c>
      <c r="I2509" s="59" t="str">
        <f>IF(OR($A2509="",$C2509="",$D2509="",$E2509="",$H2509=""),"",SUMIFS(DATA_GOC!$H:$H,DATA_GOC!$A:$A,"BOM",DATA_GOC!$D:$D,$H2509,DATA_GOC!$E:$E,$C2509,DATA_GOC!$F:$F,"Xuất nội bộ từ téc",DATA_GOC!$B:$B,"&gt;="&amp;$D2509,DATA_GOC!$B:$B,"&lt;="&amp;$E2509))</f>
        <v/>
      </c>
      <c r="J2509" s="59">
        <f t="shared" si="28"/>
        <v>0</v>
      </c>
      <c r="K2509" s="59">
        <f t="shared" si="29"/>
        <v>0</v>
      </c>
      <c r="L2509" s="59">
        <f t="shared" si="30"/>
        <v>0</v>
      </c>
      <c r="M2509" s="59">
        <f t="shared" si="31"/>
        <v>0</v>
      </c>
    </row>
    <row r="2510" ht="15.0" hidden="1" customHeight="1">
      <c r="A2510" s="59">
        <f t="shared" si="20"/>
        <v>38</v>
      </c>
      <c r="B2510" s="59" t="str">
        <f t="shared" si="21"/>
        <v/>
      </c>
      <c r="C2510" s="59" t="str">
        <f t="shared" si="22"/>
        <v/>
      </c>
      <c r="D2510" s="45" t="str">
        <f t="shared" si="23"/>
        <v/>
      </c>
      <c r="E2510" s="45" t="str">
        <f t="shared" si="24"/>
        <v/>
      </c>
      <c r="F2510" s="59" t="str">
        <f t="shared" si="25"/>
        <v/>
      </c>
      <c r="G2510" s="59" t="str">
        <f t="shared" si="26"/>
        <v/>
      </c>
      <c r="H2510" s="59" t="str">
        <f t="shared" si="27"/>
        <v>Máy lu lốp</v>
      </c>
      <c r="I2510" s="59" t="str">
        <f>IF(OR($A2510="",$C2510="",$D2510="",$E2510="",$H2510=""),"",SUMIFS(DATA_GOC!$H:$H,DATA_GOC!$A:$A,"BOM",DATA_GOC!$D:$D,$H2510,DATA_GOC!$E:$E,$C2510,DATA_GOC!$F:$F,"Xuất nội bộ từ téc",DATA_GOC!$B:$B,"&gt;="&amp;$D2510,DATA_GOC!$B:$B,"&lt;="&amp;$E2510))</f>
        <v/>
      </c>
      <c r="J2510" s="59">
        <f t="shared" si="28"/>
        <v>0</v>
      </c>
      <c r="K2510" s="59">
        <f t="shared" si="29"/>
        <v>0</v>
      </c>
      <c r="L2510" s="59">
        <f t="shared" si="30"/>
        <v>0</v>
      </c>
      <c r="M2510" s="59">
        <f t="shared" si="31"/>
        <v>0</v>
      </c>
    </row>
    <row r="2511" ht="15.0" hidden="1" customHeight="1">
      <c r="A2511" s="59">
        <f t="shared" si="20"/>
        <v>38</v>
      </c>
      <c r="B2511" s="59" t="str">
        <f t="shared" si="21"/>
        <v/>
      </c>
      <c r="C2511" s="59" t="str">
        <f t="shared" si="22"/>
        <v/>
      </c>
      <c r="D2511" s="45" t="str">
        <f t="shared" si="23"/>
        <v/>
      </c>
      <c r="E2511" s="45" t="str">
        <f t="shared" si="24"/>
        <v/>
      </c>
      <c r="F2511" s="59" t="str">
        <f t="shared" si="25"/>
        <v/>
      </c>
      <c r="G2511" s="59" t="str">
        <f t="shared" si="26"/>
        <v/>
      </c>
      <c r="H2511" s="59" t="str">
        <f t="shared" si="27"/>
        <v>Xe 600148</v>
      </c>
      <c r="I2511" s="59" t="str">
        <f>IF(OR($A2511="",$C2511="",$D2511="",$E2511="",$H2511=""),"",SUMIFS(DATA_GOC!$H:$H,DATA_GOC!$A:$A,"BOM",DATA_GOC!$D:$D,$H2511,DATA_GOC!$E:$E,$C2511,DATA_GOC!$F:$F,"Xuất nội bộ từ téc",DATA_GOC!$B:$B,"&gt;="&amp;$D2511,DATA_GOC!$B:$B,"&lt;="&amp;$E2511))</f>
        <v/>
      </c>
      <c r="J2511" s="59">
        <f t="shared" si="28"/>
        <v>0</v>
      </c>
      <c r="K2511" s="59">
        <f t="shared" si="29"/>
        <v>0</v>
      </c>
      <c r="L2511" s="59">
        <f t="shared" si="30"/>
        <v>0</v>
      </c>
      <c r="M2511" s="59">
        <f t="shared" si="31"/>
        <v>0</v>
      </c>
    </row>
    <row r="2512" ht="15.0" hidden="1" customHeight="1">
      <c r="A2512" s="59">
        <f t="shared" si="20"/>
        <v>38</v>
      </c>
      <c r="B2512" s="59" t="str">
        <f t="shared" si="21"/>
        <v/>
      </c>
      <c r="C2512" s="59" t="str">
        <f t="shared" si="22"/>
        <v/>
      </c>
      <c r="D2512" s="45" t="str">
        <f t="shared" si="23"/>
        <v/>
      </c>
      <c r="E2512" s="45" t="str">
        <f t="shared" si="24"/>
        <v/>
      </c>
      <c r="F2512" s="59" t="str">
        <f t="shared" si="25"/>
        <v/>
      </c>
      <c r="G2512" s="59" t="str">
        <f t="shared" si="26"/>
        <v/>
      </c>
      <c r="H2512" s="59" t="str">
        <f t="shared" si="27"/>
        <v>Xe ben mới</v>
      </c>
      <c r="I2512" s="59" t="str">
        <f>IF(OR($A2512="",$C2512="",$D2512="",$E2512="",$H2512=""),"",SUMIFS(DATA_GOC!$H:$H,DATA_GOC!$A:$A,"BOM",DATA_GOC!$D:$D,$H2512,DATA_GOC!$E:$E,$C2512,DATA_GOC!$F:$F,"Xuất nội bộ từ téc",DATA_GOC!$B:$B,"&gt;="&amp;$D2512,DATA_GOC!$B:$B,"&lt;="&amp;$E2512))</f>
        <v/>
      </c>
      <c r="J2512" s="59">
        <f t="shared" si="28"/>
        <v>0</v>
      </c>
      <c r="K2512" s="59">
        <f t="shared" si="29"/>
        <v>0</v>
      </c>
      <c r="L2512" s="59">
        <f t="shared" si="30"/>
        <v>0</v>
      </c>
      <c r="M2512" s="59">
        <f t="shared" si="31"/>
        <v>0</v>
      </c>
    </row>
    <row r="2513" ht="15.0" hidden="1" customHeight="1">
      <c r="A2513" s="59">
        <f t="shared" si="20"/>
        <v>39</v>
      </c>
      <c r="B2513" s="59" t="str">
        <f t="shared" si="21"/>
        <v/>
      </c>
      <c r="C2513" s="59" t="str">
        <f t="shared" si="22"/>
        <v/>
      </c>
      <c r="D2513" s="45" t="str">
        <f t="shared" si="23"/>
        <v/>
      </c>
      <c r="E2513" s="45" t="str">
        <f t="shared" si="24"/>
        <v/>
      </c>
      <c r="F2513" s="59" t="str">
        <f t="shared" si="25"/>
        <v/>
      </c>
      <c r="G2513" s="59" t="str">
        <f t="shared" si="26"/>
        <v/>
      </c>
      <c r="H2513" s="59" t="str">
        <f t="shared" si="27"/>
        <v>19H09482</v>
      </c>
      <c r="I2513" s="59" t="str">
        <f>IF(OR($A2513="",$C2513="",$D2513="",$E2513="",$H2513=""),"",SUMIFS(DATA_GOC!$H:$H,DATA_GOC!$A:$A,"BOM",DATA_GOC!$D:$D,$H2513,DATA_GOC!$E:$E,$C2513,DATA_GOC!$F:$F,"Xuất nội bộ từ téc",DATA_GOC!$B:$B,"&gt;="&amp;$D2513,DATA_GOC!$B:$B,"&lt;="&amp;$E2513))</f>
        <v/>
      </c>
      <c r="J2513" s="59">
        <f t="shared" si="28"/>
        <v>0</v>
      </c>
      <c r="K2513" s="59">
        <f t="shared" si="29"/>
        <v>0</v>
      </c>
      <c r="L2513" s="59">
        <f t="shared" si="30"/>
        <v>0</v>
      </c>
      <c r="M2513" s="59">
        <f t="shared" si="31"/>
        <v>0</v>
      </c>
    </row>
    <row r="2514" ht="15.0" hidden="1" customHeight="1">
      <c r="A2514" s="59">
        <f t="shared" si="20"/>
        <v>39</v>
      </c>
      <c r="B2514" s="59" t="str">
        <f t="shared" si="21"/>
        <v/>
      </c>
      <c r="C2514" s="59" t="str">
        <f t="shared" si="22"/>
        <v/>
      </c>
      <c r="D2514" s="45" t="str">
        <f t="shared" si="23"/>
        <v/>
      </c>
      <c r="E2514" s="45" t="str">
        <f t="shared" si="24"/>
        <v/>
      </c>
      <c r="F2514" s="59" t="str">
        <f t="shared" si="25"/>
        <v/>
      </c>
      <c r="G2514" s="59" t="str">
        <f t="shared" si="26"/>
        <v/>
      </c>
      <c r="H2514" s="59" t="str">
        <f t="shared" si="27"/>
        <v>28A30696</v>
      </c>
      <c r="I2514" s="59" t="str">
        <f>IF(OR($A2514="",$C2514="",$D2514="",$E2514="",$H2514=""),"",SUMIFS(DATA_GOC!$H:$H,DATA_GOC!$A:$A,"BOM",DATA_GOC!$D:$D,$H2514,DATA_GOC!$E:$E,$C2514,DATA_GOC!$F:$F,"Xuất nội bộ từ téc",DATA_GOC!$B:$B,"&gt;="&amp;$D2514,DATA_GOC!$B:$B,"&lt;="&amp;$E2514))</f>
        <v/>
      </c>
      <c r="J2514" s="59">
        <f t="shared" si="28"/>
        <v>0</v>
      </c>
      <c r="K2514" s="59">
        <f t="shared" si="29"/>
        <v>0</v>
      </c>
      <c r="L2514" s="59">
        <f t="shared" si="30"/>
        <v>0</v>
      </c>
      <c r="M2514" s="59">
        <f t="shared" si="31"/>
        <v>0</v>
      </c>
    </row>
    <row r="2515" ht="15.0" hidden="1" customHeight="1">
      <c r="A2515" s="59">
        <f t="shared" si="20"/>
        <v>39</v>
      </c>
      <c r="B2515" s="59" t="str">
        <f t="shared" si="21"/>
        <v/>
      </c>
      <c r="C2515" s="59" t="str">
        <f t="shared" si="22"/>
        <v/>
      </c>
      <c r="D2515" s="45" t="str">
        <f t="shared" si="23"/>
        <v/>
      </c>
      <c r="E2515" s="45" t="str">
        <f t="shared" si="24"/>
        <v/>
      </c>
      <c r="F2515" s="59" t="str">
        <f t="shared" si="25"/>
        <v/>
      </c>
      <c r="G2515" s="59" t="str">
        <f t="shared" si="26"/>
        <v/>
      </c>
      <c r="H2515" s="59" t="str">
        <f t="shared" si="27"/>
        <v>28C00462</v>
      </c>
      <c r="I2515" s="59" t="str">
        <f>IF(OR($A2515="",$C2515="",$D2515="",$E2515="",$H2515=""),"",SUMIFS(DATA_GOC!$H:$H,DATA_GOC!$A:$A,"BOM",DATA_GOC!$D:$D,$H2515,DATA_GOC!$E:$E,$C2515,DATA_GOC!$F:$F,"Xuất nội bộ từ téc",DATA_GOC!$B:$B,"&gt;="&amp;$D2515,DATA_GOC!$B:$B,"&lt;="&amp;$E2515))</f>
        <v/>
      </c>
      <c r="J2515" s="59">
        <f t="shared" si="28"/>
        <v>0</v>
      </c>
      <c r="K2515" s="59">
        <f t="shared" si="29"/>
        <v>0</v>
      </c>
      <c r="L2515" s="59">
        <f t="shared" si="30"/>
        <v>0</v>
      </c>
      <c r="M2515" s="59">
        <f t="shared" si="31"/>
        <v>0</v>
      </c>
    </row>
    <row r="2516" ht="15.0" hidden="1" customHeight="1">
      <c r="A2516" s="59">
        <f t="shared" si="20"/>
        <v>39</v>
      </c>
      <c r="B2516" s="59" t="str">
        <f t="shared" si="21"/>
        <v/>
      </c>
      <c r="C2516" s="59" t="str">
        <f t="shared" si="22"/>
        <v/>
      </c>
      <c r="D2516" s="45" t="str">
        <f t="shared" si="23"/>
        <v/>
      </c>
      <c r="E2516" s="45" t="str">
        <f t="shared" si="24"/>
        <v/>
      </c>
      <c r="F2516" s="59" t="str">
        <f t="shared" si="25"/>
        <v/>
      </c>
      <c r="G2516" s="59" t="str">
        <f t="shared" si="26"/>
        <v/>
      </c>
      <c r="H2516" s="59" t="str">
        <f t="shared" si="27"/>
        <v>28C01165</v>
      </c>
      <c r="I2516" s="59" t="str">
        <f>IF(OR($A2516="",$C2516="",$D2516="",$E2516="",$H2516=""),"",SUMIFS(DATA_GOC!$H:$H,DATA_GOC!$A:$A,"BOM",DATA_GOC!$D:$D,$H2516,DATA_GOC!$E:$E,$C2516,DATA_GOC!$F:$F,"Xuất nội bộ từ téc",DATA_GOC!$B:$B,"&gt;="&amp;$D2516,DATA_GOC!$B:$B,"&lt;="&amp;$E2516))</f>
        <v/>
      </c>
      <c r="J2516" s="59">
        <f t="shared" si="28"/>
        <v>0</v>
      </c>
      <c r="K2516" s="59">
        <f t="shared" si="29"/>
        <v>0</v>
      </c>
      <c r="L2516" s="59">
        <f t="shared" si="30"/>
        <v>0</v>
      </c>
      <c r="M2516" s="59">
        <f t="shared" si="31"/>
        <v>0</v>
      </c>
    </row>
    <row r="2517" ht="15.0" hidden="1" customHeight="1">
      <c r="A2517" s="59">
        <f t="shared" si="20"/>
        <v>39</v>
      </c>
      <c r="B2517" s="59" t="str">
        <f t="shared" si="21"/>
        <v/>
      </c>
      <c r="C2517" s="59" t="str">
        <f t="shared" si="22"/>
        <v/>
      </c>
      <c r="D2517" s="45" t="str">
        <f t="shared" si="23"/>
        <v/>
      </c>
      <c r="E2517" s="45" t="str">
        <f t="shared" si="24"/>
        <v/>
      </c>
      <c r="F2517" s="59" t="str">
        <f t="shared" si="25"/>
        <v/>
      </c>
      <c r="G2517" s="59" t="str">
        <f t="shared" si="26"/>
        <v/>
      </c>
      <c r="H2517" s="59" t="str">
        <f t="shared" si="27"/>
        <v>28C01406</v>
      </c>
      <c r="I2517" s="59" t="str">
        <f>IF(OR($A2517="",$C2517="",$D2517="",$E2517="",$H2517=""),"",SUMIFS(DATA_GOC!$H:$H,DATA_GOC!$A:$A,"BOM",DATA_GOC!$D:$D,$H2517,DATA_GOC!$E:$E,$C2517,DATA_GOC!$F:$F,"Xuất nội bộ từ téc",DATA_GOC!$B:$B,"&gt;="&amp;$D2517,DATA_GOC!$B:$B,"&lt;="&amp;$E2517))</f>
        <v/>
      </c>
      <c r="J2517" s="59">
        <f t="shared" si="28"/>
        <v>0</v>
      </c>
      <c r="K2517" s="59">
        <f t="shared" si="29"/>
        <v>0</v>
      </c>
      <c r="L2517" s="59">
        <f t="shared" si="30"/>
        <v>0</v>
      </c>
      <c r="M2517" s="59">
        <f t="shared" si="31"/>
        <v>0</v>
      </c>
    </row>
    <row r="2518" ht="15.0" hidden="1" customHeight="1">
      <c r="A2518" s="59">
        <f t="shared" si="20"/>
        <v>39</v>
      </c>
      <c r="B2518" s="59" t="str">
        <f t="shared" si="21"/>
        <v/>
      </c>
      <c r="C2518" s="59" t="str">
        <f t="shared" si="22"/>
        <v/>
      </c>
      <c r="D2518" s="45" t="str">
        <f t="shared" si="23"/>
        <v/>
      </c>
      <c r="E2518" s="45" t="str">
        <f t="shared" si="24"/>
        <v/>
      </c>
      <c r="F2518" s="59" t="str">
        <f t="shared" si="25"/>
        <v/>
      </c>
      <c r="G2518" s="59" t="str">
        <f t="shared" si="26"/>
        <v/>
      </c>
      <c r="H2518" s="59" t="str">
        <f t="shared" si="27"/>
        <v>28C01544</v>
      </c>
      <c r="I2518" s="59" t="str">
        <f>IF(OR($A2518="",$C2518="",$D2518="",$E2518="",$H2518=""),"",SUMIFS(DATA_GOC!$H:$H,DATA_GOC!$A:$A,"BOM",DATA_GOC!$D:$D,$H2518,DATA_GOC!$E:$E,$C2518,DATA_GOC!$F:$F,"Xuất nội bộ từ téc",DATA_GOC!$B:$B,"&gt;="&amp;$D2518,DATA_GOC!$B:$B,"&lt;="&amp;$E2518))</f>
        <v/>
      </c>
      <c r="J2518" s="59">
        <f t="shared" si="28"/>
        <v>0</v>
      </c>
      <c r="K2518" s="59">
        <f t="shared" si="29"/>
        <v>0</v>
      </c>
      <c r="L2518" s="59">
        <f t="shared" si="30"/>
        <v>0</v>
      </c>
      <c r="M2518" s="59">
        <f t="shared" si="31"/>
        <v>0</v>
      </c>
    </row>
    <row r="2519" ht="15.0" hidden="1" customHeight="1">
      <c r="A2519" s="59">
        <f t="shared" si="20"/>
        <v>39</v>
      </c>
      <c r="B2519" s="59" t="str">
        <f t="shared" si="21"/>
        <v/>
      </c>
      <c r="C2519" s="59" t="str">
        <f t="shared" si="22"/>
        <v/>
      </c>
      <c r="D2519" s="45" t="str">
        <f t="shared" si="23"/>
        <v/>
      </c>
      <c r="E2519" s="45" t="str">
        <f t="shared" si="24"/>
        <v/>
      </c>
      <c r="F2519" s="59" t="str">
        <f t="shared" si="25"/>
        <v/>
      </c>
      <c r="G2519" s="59" t="str">
        <f t="shared" si="26"/>
        <v/>
      </c>
      <c r="H2519" s="59" t="str">
        <f t="shared" si="27"/>
        <v>28C01622</v>
      </c>
      <c r="I2519" s="59" t="str">
        <f>IF(OR($A2519="",$C2519="",$D2519="",$E2519="",$H2519=""),"",SUMIFS(DATA_GOC!$H:$H,DATA_GOC!$A:$A,"BOM",DATA_GOC!$D:$D,$H2519,DATA_GOC!$E:$E,$C2519,DATA_GOC!$F:$F,"Xuất nội bộ từ téc",DATA_GOC!$B:$B,"&gt;="&amp;$D2519,DATA_GOC!$B:$B,"&lt;="&amp;$E2519))</f>
        <v/>
      </c>
      <c r="J2519" s="59">
        <f t="shared" si="28"/>
        <v>0</v>
      </c>
      <c r="K2519" s="59">
        <f t="shared" si="29"/>
        <v>0</v>
      </c>
      <c r="L2519" s="59">
        <f t="shared" si="30"/>
        <v>0</v>
      </c>
      <c r="M2519" s="59">
        <f t="shared" si="31"/>
        <v>0</v>
      </c>
    </row>
    <row r="2520" ht="15.0" hidden="1" customHeight="1">
      <c r="A2520" s="59">
        <f t="shared" si="20"/>
        <v>39</v>
      </c>
      <c r="B2520" s="59" t="str">
        <f t="shared" si="21"/>
        <v/>
      </c>
      <c r="C2520" s="59" t="str">
        <f t="shared" si="22"/>
        <v/>
      </c>
      <c r="D2520" s="45" t="str">
        <f t="shared" si="23"/>
        <v/>
      </c>
      <c r="E2520" s="45" t="str">
        <f t="shared" si="24"/>
        <v/>
      </c>
      <c r="F2520" s="59" t="str">
        <f t="shared" si="25"/>
        <v/>
      </c>
      <c r="G2520" s="59" t="str">
        <f t="shared" si="26"/>
        <v/>
      </c>
      <c r="H2520" s="59" t="str">
        <f t="shared" si="27"/>
        <v>28C01647</v>
      </c>
      <c r="I2520" s="59" t="str">
        <f>IF(OR($A2520="",$C2520="",$D2520="",$E2520="",$H2520=""),"",SUMIFS(DATA_GOC!$H:$H,DATA_GOC!$A:$A,"BOM",DATA_GOC!$D:$D,$H2520,DATA_GOC!$E:$E,$C2520,DATA_GOC!$F:$F,"Xuất nội bộ từ téc",DATA_GOC!$B:$B,"&gt;="&amp;$D2520,DATA_GOC!$B:$B,"&lt;="&amp;$E2520))</f>
        <v/>
      </c>
      <c r="J2520" s="59">
        <f t="shared" si="28"/>
        <v>0</v>
      </c>
      <c r="K2520" s="59">
        <f t="shared" si="29"/>
        <v>0</v>
      </c>
      <c r="L2520" s="59">
        <f t="shared" si="30"/>
        <v>0</v>
      </c>
      <c r="M2520" s="59">
        <f t="shared" si="31"/>
        <v>0</v>
      </c>
    </row>
    <row r="2521" ht="15.0" hidden="1" customHeight="1">
      <c r="A2521" s="59">
        <f t="shared" si="20"/>
        <v>39</v>
      </c>
      <c r="B2521" s="59" t="str">
        <f t="shared" si="21"/>
        <v/>
      </c>
      <c r="C2521" s="59" t="str">
        <f t="shared" si="22"/>
        <v/>
      </c>
      <c r="D2521" s="45" t="str">
        <f t="shared" si="23"/>
        <v/>
      </c>
      <c r="E2521" s="45" t="str">
        <f t="shared" si="24"/>
        <v/>
      </c>
      <c r="F2521" s="59" t="str">
        <f t="shared" si="25"/>
        <v/>
      </c>
      <c r="G2521" s="59" t="str">
        <f t="shared" si="26"/>
        <v/>
      </c>
      <c r="H2521" s="59" t="str">
        <f t="shared" si="27"/>
        <v>28C01731</v>
      </c>
      <c r="I2521" s="59" t="str">
        <f>IF(OR($A2521="",$C2521="",$D2521="",$E2521="",$H2521=""),"",SUMIFS(DATA_GOC!$H:$H,DATA_GOC!$A:$A,"BOM",DATA_GOC!$D:$D,$H2521,DATA_GOC!$E:$E,$C2521,DATA_GOC!$F:$F,"Xuất nội bộ từ téc",DATA_GOC!$B:$B,"&gt;="&amp;$D2521,DATA_GOC!$B:$B,"&lt;="&amp;$E2521))</f>
        <v/>
      </c>
      <c r="J2521" s="59">
        <f t="shared" si="28"/>
        <v>0</v>
      </c>
      <c r="K2521" s="59">
        <f t="shared" si="29"/>
        <v>0</v>
      </c>
      <c r="L2521" s="59">
        <f t="shared" si="30"/>
        <v>0</v>
      </c>
      <c r="M2521" s="59">
        <f t="shared" si="31"/>
        <v>0</v>
      </c>
    </row>
    <row r="2522" ht="15.0" hidden="1" customHeight="1">
      <c r="A2522" s="59">
        <f t="shared" si="20"/>
        <v>39</v>
      </c>
      <c r="B2522" s="59" t="str">
        <f t="shared" si="21"/>
        <v/>
      </c>
      <c r="C2522" s="59" t="str">
        <f t="shared" si="22"/>
        <v/>
      </c>
      <c r="D2522" s="45" t="str">
        <f t="shared" si="23"/>
        <v/>
      </c>
      <c r="E2522" s="45" t="str">
        <f t="shared" si="24"/>
        <v/>
      </c>
      <c r="F2522" s="59" t="str">
        <f t="shared" si="25"/>
        <v/>
      </c>
      <c r="G2522" s="59" t="str">
        <f t="shared" si="26"/>
        <v/>
      </c>
      <c r="H2522" s="59" t="str">
        <f t="shared" si="27"/>
        <v>28C01743</v>
      </c>
      <c r="I2522" s="59" t="str">
        <f>IF(OR($A2522="",$C2522="",$D2522="",$E2522="",$H2522=""),"",SUMIFS(DATA_GOC!$H:$H,DATA_GOC!$A:$A,"BOM",DATA_GOC!$D:$D,$H2522,DATA_GOC!$E:$E,$C2522,DATA_GOC!$F:$F,"Xuất nội bộ từ téc",DATA_GOC!$B:$B,"&gt;="&amp;$D2522,DATA_GOC!$B:$B,"&lt;="&amp;$E2522))</f>
        <v/>
      </c>
      <c r="J2522" s="59">
        <f t="shared" si="28"/>
        <v>0</v>
      </c>
      <c r="K2522" s="59">
        <f t="shared" si="29"/>
        <v>0</v>
      </c>
      <c r="L2522" s="59">
        <f t="shared" si="30"/>
        <v>0</v>
      </c>
      <c r="M2522" s="59">
        <f t="shared" si="31"/>
        <v>0</v>
      </c>
    </row>
    <row r="2523" ht="15.0" hidden="1" customHeight="1">
      <c r="A2523" s="59">
        <f t="shared" si="20"/>
        <v>39</v>
      </c>
      <c r="B2523" s="59" t="str">
        <f t="shared" si="21"/>
        <v/>
      </c>
      <c r="C2523" s="59" t="str">
        <f t="shared" si="22"/>
        <v/>
      </c>
      <c r="D2523" s="45" t="str">
        <f t="shared" si="23"/>
        <v/>
      </c>
      <c r="E2523" s="45" t="str">
        <f t="shared" si="24"/>
        <v/>
      </c>
      <c r="F2523" s="59" t="str">
        <f t="shared" si="25"/>
        <v/>
      </c>
      <c r="G2523" s="59" t="str">
        <f t="shared" si="26"/>
        <v/>
      </c>
      <c r="H2523" s="59" t="str">
        <f t="shared" si="27"/>
        <v>28C02106</v>
      </c>
      <c r="I2523" s="59" t="str">
        <f>IF(OR($A2523="",$C2523="",$D2523="",$E2523="",$H2523=""),"",SUMIFS(DATA_GOC!$H:$H,DATA_GOC!$A:$A,"BOM",DATA_GOC!$D:$D,$H2523,DATA_GOC!$E:$E,$C2523,DATA_GOC!$F:$F,"Xuất nội bộ từ téc",DATA_GOC!$B:$B,"&gt;="&amp;$D2523,DATA_GOC!$B:$B,"&lt;="&amp;$E2523))</f>
        <v/>
      </c>
      <c r="J2523" s="59">
        <f t="shared" si="28"/>
        <v>0</v>
      </c>
      <c r="K2523" s="59">
        <f t="shared" si="29"/>
        <v>0</v>
      </c>
      <c r="L2523" s="59">
        <f t="shared" si="30"/>
        <v>0</v>
      </c>
      <c r="M2523" s="59">
        <f t="shared" si="31"/>
        <v>0</v>
      </c>
    </row>
    <row r="2524" ht="15.0" hidden="1" customHeight="1">
      <c r="A2524" s="59">
        <f t="shared" si="20"/>
        <v>39</v>
      </c>
      <c r="B2524" s="59" t="str">
        <f t="shared" si="21"/>
        <v/>
      </c>
      <c r="C2524" s="59" t="str">
        <f t="shared" si="22"/>
        <v/>
      </c>
      <c r="D2524" s="45" t="str">
        <f t="shared" si="23"/>
        <v/>
      </c>
      <c r="E2524" s="45" t="str">
        <f t="shared" si="24"/>
        <v/>
      </c>
      <c r="F2524" s="59" t="str">
        <f t="shared" si="25"/>
        <v/>
      </c>
      <c r="G2524" s="59" t="str">
        <f t="shared" si="26"/>
        <v/>
      </c>
      <c r="H2524" s="59" t="str">
        <f t="shared" si="27"/>
        <v>28C02410</v>
      </c>
      <c r="I2524" s="59" t="str">
        <f>IF(OR($A2524="",$C2524="",$D2524="",$E2524="",$H2524=""),"",SUMIFS(DATA_GOC!$H:$H,DATA_GOC!$A:$A,"BOM",DATA_GOC!$D:$D,$H2524,DATA_GOC!$E:$E,$C2524,DATA_GOC!$F:$F,"Xuất nội bộ từ téc",DATA_GOC!$B:$B,"&gt;="&amp;$D2524,DATA_GOC!$B:$B,"&lt;="&amp;$E2524))</f>
        <v/>
      </c>
      <c r="J2524" s="59">
        <f t="shared" si="28"/>
        <v>0</v>
      </c>
      <c r="K2524" s="59">
        <f t="shared" si="29"/>
        <v>0</v>
      </c>
      <c r="L2524" s="59">
        <f t="shared" si="30"/>
        <v>0</v>
      </c>
      <c r="M2524" s="59">
        <f t="shared" si="31"/>
        <v>0</v>
      </c>
    </row>
    <row r="2525" ht="15.0" hidden="1" customHeight="1">
      <c r="A2525" s="59">
        <f t="shared" si="20"/>
        <v>39</v>
      </c>
      <c r="B2525" s="59" t="str">
        <f t="shared" si="21"/>
        <v/>
      </c>
      <c r="C2525" s="59" t="str">
        <f t="shared" si="22"/>
        <v/>
      </c>
      <c r="D2525" s="45" t="str">
        <f t="shared" si="23"/>
        <v/>
      </c>
      <c r="E2525" s="45" t="str">
        <f t="shared" si="24"/>
        <v/>
      </c>
      <c r="F2525" s="59" t="str">
        <f t="shared" si="25"/>
        <v/>
      </c>
      <c r="G2525" s="59" t="str">
        <f t="shared" si="26"/>
        <v/>
      </c>
      <c r="H2525" s="59" t="str">
        <f t="shared" si="27"/>
        <v>28C02545</v>
      </c>
      <c r="I2525" s="59" t="str">
        <f>IF(OR($A2525="",$C2525="",$D2525="",$E2525="",$H2525=""),"",SUMIFS(DATA_GOC!$H:$H,DATA_GOC!$A:$A,"BOM",DATA_GOC!$D:$D,$H2525,DATA_GOC!$E:$E,$C2525,DATA_GOC!$F:$F,"Xuất nội bộ từ téc",DATA_GOC!$B:$B,"&gt;="&amp;$D2525,DATA_GOC!$B:$B,"&lt;="&amp;$E2525))</f>
        <v/>
      </c>
      <c r="J2525" s="59">
        <f t="shared" si="28"/>
        <v>0</v>
      </c>
      <c r="K2525" s="59">
        <f t="shared" si="29"/>
        <v>0</v>
      </c>
      <c r="L2525" s="59">
        <f t="shared" si="30"/>
        <v>0</v>
      </c>
      <c r="M2525" s="59">
        <f t="shared" si="31"/>
        <v>0</v>
      </c>
    </row>
    <row r="2526" ht="15.0" hidden="1" customHeight="1">
      <c r="A2526" s="59">
        <f t="shared" si="20"/>
        <v>39</v>
      </c>
      <c r="B2526" s="59" t="str">
        <f t="shared" si="21"/>
        <v/>
      </c>
      <c r="C2526" s="59" t="str">
        <f t="shared" si="22"/>
        <v/>
      </c>
      <c r="D2526" s="45" t="str">
        <f t="shared" si="23"/>
        <v/>
      </c>
      <c r="E2526" s="45" t="str">
        <f t="shared" si="24"/>
        <v/>
      </c>
      <c r="F2526" s="59" t="str">
        <f t="shared" si="25"/>
        <v/>
      </c>
      <c r="G2526" s="59" t="str">
        <f t="shared" si="26"/>
        <v/>
      </c>
      <c r="H2526" s="59" t="str">
        <f t="shared" si="27"/>
        <v>28C02574</v>
      </c>
      <c r="I2526" s="59" t="str">
        <f>IF(OR($A2526="",$C2526="",$D2526="",$E2526="",$H2526=""),"",SUMIFS(DATA_GOC!$H:$H,DATA_GOC!$A:$A,"BOM",DATA_GOC!$D:$D,$H2526,DATA_GOC!$E:$E,$C2526,DATA_GOC!$F:$F,"Xuất nội bộ từ téc",DATA_GOC!$B:$B,"&gt;="&amp;$D2526,DATA_GOC!$B:$B,"&lt;="&amp;$E2526))</f>
        <v/>
      </c>
      <c r="J2526" s="59">
        <f t="shared" si="28"/>
        <v>0</v>
      </c>
      <c r="K2526" s="59">
        <f t="shared" si="29"/>
        <v>0</v>
      </c>
      <c r="L2526" s="59">
        <f t="shared" si="30"/>
        <v>0</v>
      </c>
      <c r="M2526" s="59">
        <f t="shared" si="31"/>
        <v>0</v>
      </c>
    </row>
    <row r="2527" ht="15.0" hidden="1" customHeight="1">
      <c r="A2527" s="59">
        <f t="shared" si="20"/>
        <v>39</v>
      </c>
      <c r="B2527" s="59" t="str">
        <f t="shared" si="21"/>
        <v/>
      </c>
      <c r="C2527" s="59" t="str">
        <f t="shared" si="22"/>
        <v/>
      </c>
      <c r="D2527" s="45" t="str">
        <f t="shared" si="23"/>
        <v/>
      </c>
      <c r="E2527" s="45" t="str">
        <f t="shared" si="24"/>
        <v/>
      </c>
      <c r="F2527" s="59" t="str">
        <f t="shared" si="25"/>
        <v/>
      </c>
      <c r="G2527" s="59" t="str">
        <f t="shared" si="26"/>
        <v/>
      </c>
      <c r="H2527" s="59" t="str">
        <f t="shared" si="27"/>
        <v>28C02770</v>
      </c>
      <c r="I2527" s="59" t="str">
        <f>IF(OR($A2527="",$C2527="",$D2527="",$E2527="",$H2527=""),"",SUMIFS(DATA_GOC!$H:$H,DATA_GOC!$A:$A,"BOM",DATA_GOC!$D:$D,$H2527,DATA_GOC!$E:$E,$C2527,DATA_GOC!$F:$F,"Xuất nội bộ từ téc",DATA_GOC!$B:$B,"&gt;="&amp;$D2527,DATA_GOC!$B:$B,"&lt;="&amp;$E2527))</f>
        <v/>
      </c>
      <c r="J2527" s="59">
        <f t="shared" si="28"/>
        <v>0</v>
      </c>
      <c r="K2527" s="59">
        <f t="shared" si="29"/>
        <v>0</v>
      </c>
      <c r="L2527" s="59">
        <f t="shared" si="30"/>
        <v>0</v>
      </c>
      <c r="M2527" s="59">
        <f t="shared" si="31"/>
        <v>0</v>
      </c>
    </row>
    <row r="2528" ht="15.0" hidden="1" customHeight="1">
      <c r="A2528" s="59">
        <f t="shared" si="20"/>
        <v>39</v>
      </c>
      <c r="B2528" s="59" t="str">
        <f t="shared" si="21"/>
        <v/>
      </c>
      <c r="C2528" s="59" t="str">
        <f t="shared" si="22"/>
        <v/>
      </c>
      <c r="D2528" s="45" t="str">
        <f t="shared" si="23"/>
        <v/>
      </c>
      <c r="E2528" s="45" t="str">
        <f t="shared" si="24"/>
        <v/>
      </c>
      <c r="F2528" s="59" t="str">
        <f t="shared" si="25"/>
        <v/>
      </c>
      <c r="G2528" s="59" t="str">
        <f t="shared" si="26"/>
        <v/>
      </c>
      <c r="H2528" s="59" t="str">
        <f t="shared" si="27"/>
        <v>28C02986</v>
      </c>
      <c r="I2528" s="59" t="str">
        <f>IF(OR($A2528="",$C2528="",$D2528="",$E2528="",$H2528=""),"",SUMIFS(DATA_GOC!$H:$H,DATA_GOC!$A:$A,"BOM",DATA_GOC!$D:$D,$H2528,DATA_GOC!$E:$E,$C2528,DATA_GOC!$F:$F,"Xuất nội bộ từ téc",DATA_GOC!$B:$B,"&gt;="&amp;$D2528,DATA_GOC!$B:$B,"&lt;="&amp;$E2528))</f>
        <v/>
      </c>
      <c r="J2528" s="59">
        <f t="shared" si="28"/>
        <v>0</v>
      </c>
      <c r="K2528" s="59">
        <f t="shared" si="29"/>
        <v>0</v>
      </c>
      <c r="L2528" s="59">
        <f t="shared" si="30"/>
        <v>0</v>
      </c>
      <c r="M2528" s="59">
        <f t="shared" si="31"/>
        <v>0</v>
      </c>
    </row>
    <row r="2529" ht="15.0" hidden="1" customHeight="1">
      <c r="A2529" s="59">
        <f t="shared" si="20"/>
        <v>39</v>
      </c>
      <c r="B2529" s="59" t="str">
        <f t="shared" si="21"/>
        <v/>
      </c>
      <c r="C2529" s="59" t="str">
        <f t="shared" si="22"/>
        <v/>
      </c>
      <c r="D2529" s="45" t="str">
        <f t="shared" si="23"/>
        <v/>
      </c>
      <c r="E2529" s="45" t="str">
        <f t="shared" si="24"/>
        <v/>
      </c>
      <c r="F2529" s="59" t="str">
        <f t="shared" si="25"/>
        <v/>
      </c>
      <c r="G2529" s="59" t="str">
        <f t="shared" si="26"/>
        <v/>
      </c>
      <c r="H2529" s="59" t="str">
        <f t="shared" si="27"/>
        <v>28C03261</v>
      </c>
      <c r="I2529" s="59" t="str">
        <f>IF(OR($A2529="",$C2529="",$D2529="",$E2529="",$H2529=""),"",SUMIFS(DATA_GOC!$H:$H,DATA_GOC!$A:$A,"BOM",DATA_GOC!$D:$D,$H2529,DATA_GOC!$E:$E,$C2529,DATA_GOC!$F:$F,"Xuất nội bộ từ téc",DATA_GOC!$B:$B,"&gt;="&amp;$D2529,DATA_GOC!$B:$B,"&lt;="&amp;$E2529))</f>
        <v/>
      </c>
      <c r="J2529" s="59">
        <f t="shared" si="28"/>
        <v>0</v>
      </c>
      <c r="K2529" s="59">
        <f t="shared" si="29"/>
        <v>0</v>
      </c>
      <c r="L2529" s="59">
        <f t="shared" si="30"/>
        <v>0</v>
      </c>
      <c r="M2529" s="59">
        <f t="shared" si="31"/>
        <v>0</v>
      </c>
    </row>
    <row r="2530" ht="15.0" hidden="1" customHeight="1">
      <c r="A2530" s="59">
        <f t="shared" si="20"/>
        <v>39</v>
      </c>
      <c r="B2530" s="59" t="str">
        <f t="shared" si="21"/>
        <v/>
      </c>
      <c r="C2530" s="59" t="str">
        <f t="shared" si="22"/>
        <v/>
      </c>
      <c r="D2530" s="45" t="str">
        <f t="shared" si="23"/>
        <v/>
      </c>
      <c r="E2530" s="45" t="str">
        <f t="shared" si="24"/>
        <v/>
      </c>
      <c r="F2530" s="59" t="str">
        <f t="shared" si="25"/>
        <v/>
      </c>
      <c r="G2530" s="59" t="str">
        <f t="shared" si="26"/>
        <v/>
      </c>
      <c r="H2530" s="59" t="str">
        <f t="shared" si="27"/>
        <v>28C03323</v>
      </c>
      <c r="I2530" s="59" t="str">
        <f>IF(OR($A2530="",$C2530="",$D2530="",$E2530="",$H2530=""),"",SUMIFS(DATA_GOC!$H:$H,DATA_GOC!$A:$A,"BOM",DATA_GOC!$D:$D,$H2530,DATA_GOC!$E:$E,$C2530,DATA_GOC!$F:$F,"Xuất nội bộ từ téc",DATA_GOC!$B:$B,"&gt;="&amp;$D2530,DATA_GOC!$B:$B,"&lt;="&amp;$E2530))</f>
        <v/>
      </c>
      <c r="J2530" s="59">
        <f t="shared" si="28"/>
        <v>0</v>
      </c>
      <c r="K2530" s="59">
        <f t="shared" si="29"/>
        <v>0</v>
      </c>
      <c r="L2530" s="59">
        <f t="shared" si="30"/>
        <v>0</v>
      </c>
      <c r="M2530" s="59">
        <f t="shared" si="31"/>
        <v>0</v>
      </c>
    </row>
    <row r="2531" ht="15.0" hidden="1" customHeight="1">
      <c r="A2531" s="59">
        <f t="shared" si="20"/>
        <v>39</v>
      </c>
      <c r="B2531" s="59" t="str">
        <f t="shared" si="21"/>
        <v/>
      </c>
      <c r="C2531" s="59" t="str">
        <f t="shared" si="22"/>
        <v/>
      </c>
      <c r="D2531" s="45" t="str">
        <f t="shared" si="23"/>
        <v/>
      </c>
      <c r="E2531" s="45" t="str">
        <f t="shared" si="24"/>
        <v/>
      </c>
      <c r="F2531" s="59" t="str">
        <f t="shared" si="25"/>
        <v/>
      </c>
      <c r="G2531" s="59" t="str">
        <f t="shared" si="26"/>
        <v/>
      </c>
      <c r="H2531" s="59" t="str">
        <f t="shared" si="27"/>
        <v>28C03385</v>
      </c>
      <c r="I2531" s="59" t="str">
        <f>IF(OR($A2531="",$C2531="",$D2531="",$E2531="",$H2531=""),"",SUMIFS(DATA_GOC!$H:$H,DATA_GOC!$A:$A,"BOM",DATA_GOC!$D:$D,$H2531,DATA_GOC!$E:$E,$C2531,DATA_GOC!$F:$F,"Xuất nội bộ từ téc",DATA_GOC!$B:$B,"&gt;="&amp;$D2531,DATA_GOC!$B:$B,"&lt;="&amp;$E2531))</f>
        <v/>
      </c>
      <c r="J2531" s="59">
        <f t="shared" si="28"/>
        <v>0</v>
      </c>
      <c r="K2531" s="59">
        <f t="shared" si="29"/>
        <v>0</v>
      </c>
      <c r="L2531" s="59">
        <f t="shared" si="30"/>
        <v>0</v>
      </c>
      <c r="M2531" s="59">
        <f t="shared" si="31"/>
        <v>0</v>
      </c>
    </row>
    <row r="2532" ht="15.0" hidden="1" customHeight="1">
      <c r="A2532" s="59">
        <f t="shared" si="20"/>
        <v>39</v>
      </c>
      <c r="B2532" s="59" t="str">
        <f t="shared" si="21"/>
        <v/>
      </c>
      <c r="C2532" s="59" t="str">
        <f t="shared" si="22"/>
        <v/>
      </c>
      <c r="D2532" s="45" t="str">
        <f t="shared" si="23"/>
        <v/>
      </c>
      <c r="E2532" s="45" t="str">
        <f t="shared" si="24"/>
        <v/>
      </c>
      <c r="F2532" s="59" t="str">
        <f t="shared" si="25"/>
        <v/>
      </c>
      <c r="G2532" s="59" t="str">
        <f t="shared" si="26"/>
        <v/>
      </c>
      <c r="H2532" s="59" t="str">
        <f t="shared" si="27"/>
        <v>28C03652</v>
      </c>
      <c r="I2532" s="59" t="str">
        <f>IF(OR($A2532="",$C2532="",$D2532="",$E2532="",$H2532=""),"",SUMIFS(DATA_GOC!$H:$H,DATA_GOC!$A:$A,"BOM",DATA_GOC!$D:$D,$H2532,DATA_GOC!$E:$E,$C2532,DATA_GOC!$F:$F,"Xuất nội bộ từ téc",DATA_GOC!$B:$B,"&gt;="&amp;$D2532,DATA_GOC!$B:$B,"&lt;="&amp;$E2532))</f>
        <v/>
      </c>
      <c r="J2532" s="59">
        <f t="shared" si="28"/>
        <v>0</v>
      </c>
      <c r="K2532" s="59">
        <f t="shared" si="29"/>
        <v>0</v>
      </c>
      <c r="L2532" s="59">
        <f t="shared" si="30"/>
        <v>0</v>
      </c>
      <c r="M2532" s="59">
        <f t="shared" si="31"/>
        <v>0</v>
      </c>
    </row>
    <row r="2533" ht="15.0" hidden="1" customHeight="1">
      <c r="A2533" s="59">
        <f t="shared" si="20"/>
        <v>39</v>
      </c>
      <c r="B2533" s="59" t="str">
        <f t="shared" si="21"/>
        <v/>
      </c>
      <c r="C2533" s="59" t="str">
        <f t="shared" si="22"/>
        <v/>
      </c>
      <c r="D2533" s="45" t="str">
        <f t="shared" si="23"/>
        <v/>
      </c>
      <c r="E2533" s="45" t="str">
        <f t="shared" si="24"/>
        <v/>
      </c>
      <c r="F2533" s="59" t="str">
        <f t="shared" si="25"/>
        <v/>
      </c>
      <c r="G2533" s="59" t="str">
        <f t="shared" si="26"/>
        <v/>
      </c>
      <c r="H2533" s="59" t="str">
        <f t="shared" si="27"/>
        <v>28C03695</v>
      </c>
      <c r="I2533" s="59" t="str">
        <f>IF(OR($A2533="",$C2533="",$D2533="",$E2533="",$H2533=""),"",SUMIFS(DATA_GOC!$H:$H,DATA_GOC!$A:$A,"BOM",DATA_GOC!$D:$D,$H2533,DATA_GOC!$E:$E,$C2533,DATA_GOC!$F:$F,"Xuất nội bộ từ téc",DATA_GOC!$B:$B,"&gt;="&amp;$D2533,DATA_GOC!$B:$B,"&lt;="&amp;$E2533))</f>
        <v/>
      </c>
      <c r="J2533" s="59">
        <f t="shared" si="28"/>
        <v>0</v>
      </c>
      <c r="K2533" s="59">
        <f t="shared" si="29"/>
        <v>0</v>
      </c>
      <c r="L2533" s="59">
        <f t="shared" si="30"/>
        <v>0</v>
      </c>
      <c r="M2533" s="59">
        <f t="shared" si="31"/>
        <v>0</v>
      </c>
    </row>
    <row r="2534" ht="15.0" hidden="1" customHeight="1">
      <c r="A2534" s="59">
        <f t="shared" si="20"/>
        <v>39</v>
      </c>
      <c r="B2534" s="59" t="str">
        <f t="shared" si="21"/>
        <v/>
      </c>
      <c r="C2534" s="59" t="str">
        <f t="shared" si="22"/>
        <v/>
      </c>
      <c r="D2534" s="45" t="str">
        <f t="shared" si="23"/>
        <v/>
      </c>
      <c r="E2534" s="45" t="str">
        <f t="shared" si="24"/>
        <v/>
      </c>
      <c r="F2534" s="59" t="str">
        <f t="shared" si="25"/>
        <v/>
      </c>
      <c r="G2534" s="59" t="str">
        <f t="shared" si="26"/>
        <v/>
      </c>
      <c r="H2534" s="59" t="str">
        <f t="shared" si="27"/>
        <v>28C03927</v>
      </c>
      <c r="I2534" s="59" t="str">
        <f>IF(OR($A2534="",$C2534="",$D2534="",$E2534="",$H2534=""),"",SUMIFS(DATA_GOC!$H:$H,DATA_GOC!$A:$A,"BOM",DATA_GOC!$D:$D,$H2534,DATA_GOC!$E:$E,$C2534,DATA_GOC!$F:$F,"Xuất nội bộ từ téc",DATA_GOC!$B:$B,"&gt;="&amp;$D2534,DATA_GOC!$B:$B,"&lt;="&amp;$E2534))</f>
        <v/>
      </c>
      <c r="J2534" s="59">
        <f t="shared" si="28"/>
        <v>0</v>
      </c>
      <c r="K2534" s="59">
        <f t="shared" si="29"/>
        <v>0</v>
      </c>
      <c r="L2534" s="59">
        <f t="shared" si="30"/>
        <v>0</v>
      </c>
      <c r="M2534" s="59">
        <f t="shared" si="31"/>
        <v>0</v>
      </c>
    </row>
    <row r="2535" ht="15.0" hidden="1" customHeight="1">
      <c r="A2535" s="59">
        <f t="shared" si="20"/>
        <v>39</v>
      </c>
      <c r="B2535" s="59" t="str">
        <f t="shared" si="21"/>
        <v/>
      </c>
      <c r="C2535" s="59" t="str">
        <f t="shared" si="22"/>
        <v/>
      </c>
      <c r="D2535" s="45" t="str">
        <f t="shared" si="23"/>
        <v/>
      </c>
      <c r="E2535" s="45" t="str">
        <f t="shared" si="24"/>
        <v/>
      </c>
      <c r="F2535" s="59" t="str">
        <f t="shared" si="25"/>
        <v/>
      </c>
      <c r="G2535" s="59" t="str">
        <f t="shared" si="26"/>
        <v/>
      </c>
      <c r="H2535" s="59" t="str">
        <f t="shared" si="27"/>
        <v>28C04509</v>
      </c>
      <c r="I2535" s="59" t="str">
        <f>IF(OR($A2535="",$C2535="",$D2535="",$E2535="",$H2535=""),"",SUMIFS(DATA_GOC!$H:$H,DATA_GOC!$A:$A,"BOM",DATA_GOC!$D:$D,$H2535,DATA_GOC!$E:$E,$C2535,DATA_GOC!$F:$F,"Xuất nội bộ từ téc",DATA_GOC!$B:$B,"&gt;="&amp;$D2535,DATA_GOC!$B:$B,"&lt;="&amp;$E2535))</f>
        <v/>
      </c>
      <c r="J2535" s="59">
        <f t="shared" si="28"/>
        <v>0</v>
      </c>
      <c r="K2535" s="59">
        <f t="shared" si="29"/>
        <v>0</v>
      </c>
      <c r="L2535" s="59">
        <f t="shared" si="30"/>
        <v>0</v>
      </c>
      <c r="M2535" s="59">
        <f t="shared" si="31"/>
        <v>0</v>
      </c>
    </row>
    <row r="2536" ht="15.0" hidden="1" customHeight="1">
      <c r="A2536" s="59">
        <f t="shared" si="20"/>
        <v>39</v>
      </c>
      <c r="B2536" s="59" t="str">
        <f t="shared" si="21"/>
        <v/>
      </c>
      <c r="C2536" s="59" t="str">
        <f t="shared" si="22"/>
        <v/>
      </c>
      <c r="D2536" s="45" t="str">
        <f t="shared" si="23"/>
        <v/>
      </c>
      <c r="E2536" s="45" t="str">
        <f t="shared" si="24"/>
        <v/>
      </c>
      <c r="F2536" s="59" t="str">
        <f t="shared" si="25"/>
        <v/>
      </c>
      <c r="G2536" s="59" t="str">
        <f t="shared" si="26"/>
        <v/>
      </c>
      <c r="H2536" s="59" t="str">
        <f t="shared" si="27"/>
        <v>28C04536</v>
      </c>
      <c r="I2536" s="59" t="str">
        <f>IF(OR($A2536="",$C2536="",$D2536="",$E2536="",$H2536=""),"",SUMIFS(DATA_GOC!$H:$H,DATA_GOC!$A:$A,"BOM",DATA_GOC!$D:$D,$H2536,DATA_GOC!$E:$E,$C2536,DATA_GOC!$F:$F,"Xuất nội bộ từ téc",DATA_GOC!$B:$B,"&gt;="&amp;$D2536,DATA_GOC!$B:$B,"&lt;="&amp;$E2536))</f>
        <v/>
      </c>
      <c r="J2536" s="59">
        <f t="shared" si="28"/>
        <v>0</v>
      </c>
      <c r="K2536" s="59">
        <f t="shared" si="29"/>
        <v>0</v>
      </c>
      <c r="L2536" s="59">
        <f t="shared" si="30"/>
        <v>0</v>
      </c>
      <c r="M2536" s="59">
        <f t="shared" si="31"/>
        <v>0</v>
      </c>
    </row>
    <row r="2537" ht="15.0" hidden="1" customHeight="1">
      <c r="A2537" s="59">
        <f t="shared" si="20"/>
        <v>39</v>
      </c>
      <c r="B2537" s="59" t="str">
        <f t="shared" si="21"/>
        <v/>
      </c>
      <c r="C2537" s="59" t="str">
        <f t="shared" si="22"/>
        <v/>
      </c>
      <c r="D2537" s="45" t="str">
        <f t="shared" si="23"/>
        <v/>
      </c>
      <c r="E2537" s="45" t="str">
        <f t="shared" si="24"/>
        <v/>
      </c>
      <c r="F2537" s="59" t="str">
        <f t="shared" si="25"/>
        <v/>
      </c>
      <c r="G2537" s="59" t="str">
        <f t="shared" si="26"/>
        <v/>
      </c>
      <c r="H2537" s="59" t="str">
        <f t="shared" si="27"/>
        <v>28C04576</v>
      </c>
      <c r="I2537" s="59" t="str">
        <f>IF(OR($A2537="",$C2537="",$D2537="",$E2537="",$H2537=""),"",SUMIFS(DATA_GOC!$H:$H,DATA_GOC!$A:$A,"BOM",DATA_GOC!$D:$D,$H2537,DATA_GOC!$E:$E,$C2537,DATA_GOC!$F:$F,"Xuất nội bộ từ téc",DATA_GOC!$B:$B,"&gt;="&amp;$D2537,DATA_GOC!$B:$B,"&lt;="&amp;$E2537))</f>
        <v/>
      </c>
      <c r="J2537" s="59">
        <f t="shared" si="28"/>
        <v>0</v>
      </c>
      <c r="K2537" s="59">
        <f t="shared" si="29"/>
        <v>0</v>
      </c>
      <c r="L2537" s="59">
        <f t="shared" si="30"/>
        <v>0</v>
      </c>
      <c r="M2537" s="59">
        <f t="shared" si="31"/>
        <v>0</v>
      </c>
    </row>
    <row r="2538" ht="15.0" hidden="1" customHeight="1">
      <c r="A2538" s="59">
        <f t="shared" si="20"/>
        <v>39</v>
      </c>
      <c r="B2538" s="59" t="str">
        <f t="shared" si="21"/>
        <v/>
      </c>
      <c r="C2538" s="59" t="str">
        <f t="shared" si="22"/>
        <v/>
      </c>
      <c r="D2538" s="45" t="str">
        <f t="shared" si="23"/>
        <v/>
      </c>
      <c r="E2538" s="45" t="str">
        <f t="shared" si="24"/>
        <v/>
      </c>
      <c r="F2538" s="59" t="str">
        <f t="shared" si="25"/>
        <v/>
      </c>
      <c r="G2538" s="59" t="str">
        <f t="shared" si="26"/>
        <v/>
      </c>
      <c r="H2538" s="59" t="str">
        <f t="shared" si="27"/>
        <v>28C05090</v>
      </c>
      <c r="I2538" s="59" t="str">
        <f>IF(OR($A2538="",$C2538="",$D2538="",$E2538="",$H2538=""),"",SUMIFS(DATA_GOC!$H:$H,DATA_GOC!$A:$A,"BOM",DATA_GOC!$D:$D,$H2538,DATA_GOC!$E:$E,$C2538,DATA_GOC!$F:$F,"Xuất nội bộ từ téc",DATA_GOC!$B:$B,"&gt;="&amp;$D2538,DATA_GOC!$B:$B,"&lt;="&amp;$E2538))</f>
        <v/>
      </c>
      <c r="J2538" s="59">
        <f t="shared" si="28"/>
        <v>0</v>
      </c>
      <c r="K2538" s="59">
        <f t="shared" si="29"/>
        <v>0</v>
      </c>
      <c r="L2538" s="59">
        <f t="shared" si="30"/>
        <v>0</v>
      </c>
      <c r="M2538" s="59">
        <f t="shared" si="31"/>
        <v>0</v>
      </c>
    </row>
    <row r="2539" ht="15.0" hidden="1" customHeight="1">
      <c r="A2539" s="59">
        <f t="shared" si="20"/>
        <v>39</v>
      </c>
      <c r="B2539" s="59" t="str">
        <f t="shared" si="21"/>
        <v/>
      </c>
      <c r="C2539" s="59" t="str">
        <f t="shared" si="22"/>
        <v/>
      </c>
      <c r="D2539" s="45" t="str">
        <f t="shared" si="23"/>
        <v/>
      </c>
      <c r="E2539" s="45" t="str">
        <f t="shared" si="24"/>
        <v/>
      </c>
      <c r="F2539" s="59" t="str">
        <f t="shared" si="25"/>
        <v/>
      </c>
      <c r="G2539" s="59" t="str">
        <f t="shared" si="26"/>
        <v/>
      </c>
      <c r="H2539" s="59" t="str">
        <f t="shared" si="27"/>
        <v>28C05345</v>
      </c>
      <c r="I2539" s="59" t="str">
        <f>IF(OR($A2539="",$C2539="",$D2539="",$E2539="",$H2539=""),"",SUMIFS(DATA_GOC!$H:$H,DATA_GOC!$A:$A,"BOM",DATA_GOC!$D:$D,$H2539,DATA_GOC!$E:$E,$C2539,DATA_GOC!$F:$F,"Xuất nội bộ từ téc",DATA_GOC!$B:$B,"&gt;="&amp;$D2539,DATA_GOC!$B:$B,"&lt;="&amp;$E2539))</f>
        <v/>
      </c>
      <c r="J2539" s="59">
        <f t="shared" si="28"/>
        <v>0</v>
      </c>
      <c r="K2539" s="59">
        <f t="shared" si="29"/>
        <v>0</v>
      </c>
      <c r="L2539" s="59">
        <f t="shared" si="30"/>
        <v>0</v>
      </c>
      <c r="M2539" s="59">
        <f t="shared" si="31"/>
        <v>0</v>
      </c>
    </row>
    <row r="2540" ht="15.0" hidden="1" customHeight="1">
      <c r="A2540" s="59">
        <f t="shared" si="20"/>
        <v>39</v>
      </c>
      <c r="B2540" s="59" t="str">
        <f t="shared" si="21"/>
        <v/>
      </c>
      <c r="C2540" s="59" t="str">
        <f t="shared" si="22"/>
        <v/>
      </c>
      <c r="D2540" s="45" t="str">
        <f t="shared" si="23"/>
        <v/>
      </c>
      <c r="E2540" s="45" t="str">
        <f t="shared" si="24"/>
        <v/>
      </c>
      <c r="F2540" s="59" t="str">
        <f t="shared" si="25"/>
        <v/>
      </c>
      <c r="G2540" s="59" t="str">
        <f t="shared" si="26"/>
        <v/>
      </c>
      <c r="H2540" s="59" t="str">
        <f t="shared" si="27"/>
        <v>28C05661</v>
      </c>
      <c r="I2540" s="59" t="str">
        <f>IF(OR($A2540="",$C2540="",$D2540="",$E2540="",$H2540=""),"",SUMIFS(DATA_GOC!$H:$H,DATA_GOC!$A:$A,"BOM",DATA_GOC!$D:$D,$H2540,DATA_GOC!$E:$E,$C2540,DATA_GOC!$F:$F,"Xuất nội bộ từ téc",DATA_GOC!$B:$B,"&gt;="&amp;$D2540,DATA_GOC!$B:$B,"&lt;="&amp;$E2540))</f>
        <v/>
      </c>
      <c r="J2540" s="59">
        <f t="shared" si="28"/>
        <v>0</v>
      </c>
      <c r="K2540" s="59">
        <f t="shared" si="29"/>
        <v>0</v>
      </c>
      <c r="L2540" s="59">
        <f t="shared" si="30"/>
        <v>0</v>
      </c>
      <c r="M2540" s="59">
        <f t="shared" si="31"/>
        <v>0</v>
      </c>
    </row>
    <row r="2541" ht="15.0" hidden="1" customHeight="1">
      <c r="A2541" s="59">
        <f t="shared" si="20"/>
        <v>39</v>
      </c>
      <c r="B2541" s="59" t="str">
        <f t="shared" si="21"/>
        <v/>
      </c>
      <c r="C2541" s="59" t="str">
        <f t="shared" si="22"/>
        <v/>
      </c>
      <c r="D2541" s="45" t="str">
        <f t="shared" si="23"/>
        <v/>
      </c>
      <c r="E2541" s="45" t="str">
        <f t="shared" si="24"/>
        <v/>
      </c>
      <c r="F2541" s="59" t="str">
        <f t="shared" si="25"/>
        <v/>
      </c>
      <c r="G2541" s="59" t="str">
        <f t="shared" si="26"/>
        <v/>
      </c>
      <c r="H2541" s="59" t="str">
        <f t="shared" si="27"/>
        <v>28C05739</v>
      </c>
      <c r="I2541" s="59" t="str">
        <f>IF(OR($A2541="",$C2541="",$D2541="",$E2541="",$H2541=""),"",SUMIFS(DATA_GOC!$H:$H,DATA_GOC!$A:$A,"BOM",DATA_GOC!$D:$D,$H2541,DATA_GOC!$E:$E,$C2541,DATA_GOC!$F:$F,"Xuất nội bộ từ téc",DATA_GOC!$B:$B,"&gt;="&amp;$D2541,DATA_GOC!$B:$B,"&lt;="&amp;$E2541))</f>
        <v/>
      </c>
      <c r="J2541" s="59">
        <f t="shared" si="28"/>
        <v>0</v>
      </c>
      <c r="K2541" s="59">
        <f t="shared" si="29"/>
        <v>0</v>
      </c>
      <c r="L2541" s="59">
        <f t="shared" si="30"/>
        <v>0</v>
      </c>
      <c r="M2541" s="59">
        <f t="shared" si="31"/>
        <v>0</v>
      </c>
    </row>
    <row r="2542" ht="15.0" hidden="1" customHeight="1">
      <c r="A2542" s="59">
        <f t="shared" si="20"/>
        <v>39</v>
      </c>
      <c r="B2542" s="59" t="str">
        <f t="shared" si="21"/>
        <v/>
      </c>
      <c r="C2542" s="59" t="str">
        <f t="shared" si="22"/>
        <v/>
      </c>
      <c r="D2542" s="45" t="str">
        <f t="shared" si="23"/>
        <v/>
      </c>
      <c r="E2542" s="45" t="str">
        <f t="shared" si="24"/>
        <v/>
      </c>
      <c r="F2542" s="59" t="str">
        <f t="shared" si="25"/>
        <v/>
      </c>
      <c r="G2542" s="59" t="str">
        <f t="shared" si="26"/>
        <v/>
      </c>
      <c r="H2542" s="59" t="str">
        <f t="shared" si="27"/>
        <v>28C06369</v>
      </c>
      <c r="I2542" s="59" t="str">
        <f>IF(OR($A2542="",$C2542="",$D2542="",$E2542="",$H2542=""),"",SUMIFS(DATA_GOC!$H:$H,DATA_GOC!$A:$A,"BOM",DATA_GOC!$D:$D,$H2542,DATA_GOC!$E:$E,$C2542,DATA_GOC!$F:$F,"Xuất nội bộ từ téc",DATA_GOC!$B:$B,"&gt;="&amp;$D2542,DATA_GOC!$B:$B,"&lt;="&amp;$E2542))</f>
        <v/>
      </c>
      <c r="J2542" s="59">
        <f t="shared" si="28"/>
        <v>0</v>
      </c>
      <c r="K2542" s="59">
        <f t="shared" si="29"/>
        <v>0</v>
      </c>
      <c r="L2542" s="59">
        <f t="shared" si="30"/>
        <v>0</v>
      </c>
      <c r="M2542" s="59">
        <f t="shared" si="31"/>
        <v>0</v>
      </c>
    </row>
    <row r="2543" ht="15.0" hidden="1" customHeight="1">
      <c r="A2543" s="59">
        <f t="shared" si="20"/>
        <v>39</v>
      </c>
      <c r="B2543" s="59" t="str">
        <f t="shared" si="21"/>
        <v/>
      </c>
      <c r="C2543" s="59" t="str">
        <f t="shared" si="22"/>
        <v/>
      </c>
      <c r="D2543" s="45" t="str">
        <f t="shared" si="23"/>
        <v/>
      </c>
      <c r="E2543" s="45" t="str">
        <f t="shared" si="24"/>
        <v/>
      </c>
      <c r="F2543" s="59" t="str">
        <f t="shared" si="25"/>
        <v/>
      </c>
      <c r="G2543" s="59" t="str">
        <f t="shared" si="26"/>
        <v/>
      </c>
      <c r="H2543" s="59" t="str">
        <f t="shared" si="27"/>
        <v>28C06447</v>
      </c>
      <c r="I2543" s="59" t="str">
        <f>IF(OR($A2543="",$C2543="",$D2543="",$E2543="",$H2543=""),"",SUMIFS(DATA_GOC!$H:$H,DATA_GOC!$A:$A,"BOM",DATA_GOC!$D:$D,$H2543,DATA_GOC!$E:$E,$C2543,DATA_GOC!$F:$F,"Xuất nội bộ từ téc",DATA_GOC!$B:$B,"&gt;="&amp;$D2543,DATA_GOC!$B:$B,"&lt;="&amp;$E2543))</f>
        <v/>
      </c>
      <c r="J2543" s="59">
        <f t="shared" si="28"/>
        <v>0</v>
      </c>
      <c r="K2543" s="59">
        <f t="shared" si="29"/>
        <v>0</v>
      </c>
      <c r="L2543" s="59">
        <f t="shared" si="30"/>
        <v>0</v>
      </c>
      <c r="M2543" s="59">
        <f t="shared" si="31"/>
        <v>0</v>
      </c>
    </row>
    <row r="2544" ht="15.0" hidden="1" customHeight="1">
      <c r="A2544" s="59">
        <f t="shared" si="20"/>
        <v>39</v>
      </c>
      <c r="B2544" s="59" t="str">
        <f t="shared" si="21"/>
        <v/>
      </c>
      <c r="C2544" s="59" t="str">
        <f t="shared" si="22"/>
        <v/>
      </c>
      <c r="D2544" s="45" t="str">
        <f t="shared" si="23"/>
        <v/>
      </c>
      <c r="E2544" s="45" t="str">
        <f t="shared" si="24"/>
        <v/>
      </c>
      <c r="F2544" s="59" t="str">
        <f t="shared" si="25"/>
        <v/>
      </c>
      <c r="G2544" s="59" t="str">
        <f t="shared" si="26"/>
        <v/>
      </c>
      <c r="H2544" s="59" t="str">
        <f t="shared" si="27"/>
        <v>28H00003</v>
      </c>
      <c r="I2544" s="59" t="str">
        <f>IF(OR($A2544="",$C2544="",$D2544="",$E2544="",$H2544=""),"",SUMIFS(DATA_GOC!$H:$H,DATA_GOC!$A:$A,"BOM",DATA_GOC!$D:$D,$H2544,DATA_GOC!$E:$E,$C2544,DATA_GOC!$F:$F,"Xuất nội bộ từ téc",DATA_GOC!$B:$B,"&gt;="&amp;$D2544,DATA_GOC!$B:$B,"&lt;="&amp;$E2544))</f>
        <v/>
      </c>
      <c r="J2544" s="59">
        <f t="shared" si="28"/>
        <v>0</v>
      </c>
      <c r="K2544" s="59">
        <f t="shared" si="29"/>
        <v>0</v>
      </c>
      <c r="L2544" s="59">
        <f t="shared" si="30"/>
        <v>0</v>
      </c>
      <c r="M2544" s="59">
        <f t="shared" si="31"/>
        <v>0</v>
      </c>
    </row>
    <row r="2545" ht="15.0" hidden="1" customHeight="1">
      <c r="A2545" s="59">
        <f t="shared" si="20"/>
        <v>39</v>
      </c>
      <c r="B2545" s="59" t="str">
        <f t="shared" si="21"/>
        <v/>
      </c>
      <c r="C2545" s="59" t="str">
        <f t="shared" si="22"/>
        <v/>
      </c>
      <c r="D2545" s="45" t="str">
        <f t="shared" si="23"/>
        <v/>
      </c>
      <c r="E2545" s="45" t="str">
        <f t="shared" si="24"/>
        <v/>
      </c>
      <c r="F2545" s="59" t="str">
        <f t="shared" si="25"/>
        <v/>
      </c>
      <c r="G2545" s="59" t="str">
        <f t="shared" si="26"/>
        <v/>
      </c>
      <c r="H2545" s="59" t="str">
        <f t="shared" si="27"/>
        <v>28H00061</v>
      </c>
      <c r="I2545" s="59" t="str">
        <f>IF(OR($A2545="",$C2545="",$D2545="",$E2545="",$H2545=""),"",SUMIFS(DATA_GOC!$H:$H,DATA_GOC!$A:$A,"BOM",DATA_GOC!$D:$D,$H2545,DATA_GOC!$E:$E,$C2545,DATA_GOC!$F:$F,"Xuất nội bộ từ téc",DATA_GOC!$B:$B,"&gt;="&amp;$D2545,DATA_GOC!$B:$B,"&lt;="&amp;$E2545))</f>
        <v/>
      </c>
      <c r="J2545" s="59">
        <f t="shared" si="28"/>
        <v>0</v>
      </c>
      <c r="K2545" s="59">
        <f t="shared" si="29"/>
        <v>0</v>
      </c>
      <c r="L2545" s="59">
        <f t="shared" si="30"/>
        <v>0</v>
      </c>
      <c r="M2545" s="59">
        <f t="shared" si="31"/>
        <v>0</v>
      </c>
    </row>
    <row r="2546" ht="15.0" hidden="1" customHeight="1">
      <c r="A2546" s="59">
        <f t="shared" si="20"/>
        <v>39</v>
      </c>
      <c r="B2546" s="59" t="str">
        <f t="shared" si="21"/>
        <v/>
      </c>
      <c r="C2546" s="59" t="str">
        <f t="shared" si="22"/>
        <v/>
      </c>
      <c r="D2546" s="45" t="str">
        <f t="shared" si="23"/>
        <v/>
      </c>
      <c r="E2546" s="45" t="str">
        <f t="shared" si="24"/>
        <v/>
      </c>
      <c r="F2546" s="59" t="str">
        <f t="shared" si="25"/>
        <v/>
      </c>
      <c r="G2546" s="59" t="str">
        <f t="shared" si="26"/>
        <v/>
      </c>
      <c r="H2546" s="59" t="str">
        <f t="shared" si="27"/>
        <v>28H00354</v>
      </c>
      <c r="I2546" s="59" t="str">
        <f>IF(OR($A2546="",$C2546="",$D2546="",$E2546="",$H2546=""),"",SUMIFS(DATA_GOC!$H:$H,DATA_GOC!$A:$A,"BOM",DATA_GOC!$D:$D,$H2546,DATA_GOC!$E:$E,$C2546,DATA_GOC!$F:$F,"Xuất nội bộ từ téc",DATA_GOC!$B:$B,"&gt;="&amp;$D2546,DATA_GOC!$B:$B,"&lt;="&amp;$E2546))</f>
        <v/>
      </c>
      <c r="J2546" s="59">
        <f t="shared" si="28"/>
        <v>0</v>
      </c>
      <c r="K2546" s="59">
        <f t="shared" si="29"/>
        <v>0</v>
      </c>
      <c r="L2546" s="59">
        <f t="shared" si="30"/>
        <v>0</v>
      </c>
      <c r="M2546" s="59">
        <f t="shared" si="31"/>
        <v>0</v>
      </c>
    </row>
    <row r="2547" ht="15.0" hidden="1" customHeight="1">
      <c r="A2547" s="59">
        <f t="shared" si="20"/>
        <v>39</v>
      </c>
      <c r="B2547" s="59" t="str">
        <f t="shared" si="21"/>
        <v/>
      </c>
      <c r="C2547" s="59" t="str">
        <f t="shared" si="22"/>
        <v/>
      </c>
      <c r="D2547" s="45" t="str">
        <f t="shared" si="23"/>
        <v/>
      </c>
      <c r="E2547" s="45" t="str">
        <f t="shared" si="24"/>
        <v/>
      </c>
      <c r="F2547" s="59" t="str">
        <f t="shared" si="25"/>
        <v/>
      </c>
      <c r="G2547" s="59" t="str">
        <f t="shared" si="26"/>
        <v/>
      </c>
      <c r="H2547" s="59" t="str">
        <f t="shared" si="27"/>
        <v>28H00603</v>
      </c>
      <c r="I2547" s="59" t="str">
        <f>IF(OR($A2547="",$C2547="",$D2547="",$E2547="",$H2547=""),"",SUMIFS(DATA_GOC!$H:$H,DATA_GOC!$A:$A,"BOM",DATA_GOC!$D:$D,$H2547,DATA_GOC!$E:$E,$C2547,DATA_GOC!$F:$F,"Xuất nội bộ từ téc",DATA_GOC!$B:$B,"&gt;="&amp;$D2547,DATA_GOC!$B:$B,"&lt;="&amp;$E2547))</f>
        <v/>
      </c>
      <c r="J2547" s="59">
        <f t="shared" si="28"/>
        <v>0</v>
      </c>
      <c r="K2547" s="59">
        <f t="shared" si="29"/>
        <v>0</v>
      </c>
      <c r="L2547" s="59">
        <f t="shared" si="30"/>
        <v>0</v>
      </c>
      <c r="M2547" s="59">
        <f t="shared" si="31"/>
        <v>0</v>
      </c>
    </row>
    <row r="2548" ht="15.0" hidden="1" customHeight="1">
      <c r="A2548" s="59">
        <f t="shared" si="20"/>
        <v>39</v>
      </c>
      <c r="B2548" s="59" t="str">
        <f t="shared" si="21"/>
        <v/>
      </c>
      <c r="C2548" s="59" t="str">
        <f t="shared" si="22"/>
        <v/>
      </c>
      <c r="D2548" s="45" t="str">
        <f t="shared" si="23"/>
        <v/>
      </c>
      <c r="E2548" s="45" t="str">
        <f t="shared" si="24"/>
        <v/>
      </c>
      <c r="F2548" s="59" t="str">
        <f t="shared" si="25"/>
        <v/>
      </c>
      <c r="G2548" s="59" t="str">
        <f t="shared" si="26"/>
        <v/>
      </c>
      <c r="H2548" s="59" t="str">
        <f t="shared" si="27"/>
        <v>28H00609</v>
      </c>
      <c r="I2548" s="59" t="str">
        <f>IF(OR($A2548="",$C2548="",$D2548="",$E2548="",$H2548=""),"",SUMIFS(DATA_GOC!$H:$H,DATA_GOC!$A:$A,"BOM",DATA_GOC!$D:$D,$H2548,DATA_GOC!$E:$E,$C2548,DATA_GOC!$F:$F,"Xuất nội bộ từ téc",DATA_GOC!$B:$B,"&gt;="&amp;$D2548,DATA_GOC!$B:$B,"&lt;="&amp;$E2548))</f>
        <v/>
      </c>
      <c r="J2548" s="59">
        <f t="shared" si="28"/>
        <v>0</v>
      </c>
      <c r="K2548" s="59">
        <f t="shared" si="29"/>
        <v>0</v>
      </c>
      <c r="L2548" s="59">
        <f t="shared" si="30"/>
        <v>0</v>
      </c>
      <c r="M2548" s="59">
        <f t="shared" si="31"/>
        <v>0</v>
      </c>
    </row>
    <row r="2549" ht="15.0" hidden="1" customHeight="1">
      <c r="A2549" s="59">
        <f t="shared" si="20"/>
        <v>39</v>
      </c>
      <c r="B2549" s="59" t="str">
        <f t="shared" si="21"/>
        <v/>
      </c>
      <c r="C2549" s="59" t="str">
        <f t="shared" si="22"/>
        <v/>
      </c>
      <c r="D2549" s="45" t="str">
        <f t="shared" si="23"/>
        <v/>
      </c>
      <c r="E2549" s="45" t="str">
        <f t="shared" si="24"/>
        <v/>
      </c>
      <c r="F2549" s="59" t="str">
        <f t="shared" si="25"/>
        <v/>
      </c>
      <c r="G2549" s="59" t="str">
        <f t="shared" si="26"/>
        <v/>
      </c>
      <c r="H2549" s="59" t="str">
        <f t="shared" si="27"/>
        <v>28H00669</v>
      </c>
      <c r="I2549" s="59" t="str">
        <f>IF(OR($A2549="",$C2549="",$D2549="",$E2549="",$H2549=""),"",SUMIFS(DATA_GOC!$H:$H,DATA_GOC!$A:$A,"BOM",DATA_GOC!$D:$D,$H2549,DATA_GOC!$E:$E,$C2549,DATA_GOC!$F:$F,"Xuất nội bộ từ téc",DATA_GOC!$B:$B,"&gt;="&amp;$D2549,DATA_GOC!$B:$B,"&lt;="&amp;$E2549))</f>
        <v/>
      </c>
      <c r="J2549" s="59">
        <f t="shared" si="28"/>
        <v>0</v>
      </c>
      <c r="K2549" s="59">
        <f t="shared" si="29"/>
        <v>0</v>
      </c>
      <c r="L2549" s="59">
        <f t="shared" si="30"/>
        <v>0</v>
      </c>
      <c r="M2549" s="59">
        <f t="shared" si="31"/>
        <v>0</v>
      </c>
    </row>
    <row r="2550" ht="15.0" hidden="1" customHeight="1">
      <c r="A2550" s="59">
        <f t="shared" si="20"/>
        <v>39</v>
      </c>
      <c r="B2550" s="59" t="str">
        <f t="shared" si="21"/>
        <v/>
      </c>
      <c r="C2550" s="59" t="str">
        <f t="shared" si="22"/>
        <v/>
      </c>
      <c r="D2550" s="45" t="str">
        <f t="shared" si="23"/>
        <v/>
      </c>
      <c r="E2550" s="45" t="str">
        <f t="shared" si="24"/>
        <v/>
      </c>
      <c r="F2550" s="59" t="str">
        <f t="shared" si="25"/>
        <v/>
      </c>
      <c r="G2550" s="59" t="str">
        <f t="shared" si="26"/>
        <v/>
      </c>
      <c r="H2550" s="59" t="str">
        <f t="shared" si="27"/>
        <v>28H00680</v>
      </c>
      <c r="I2550" s="59" t="str">
        <f>IF(OR($A2550="",$C2550="",$D2550="",$E2550="",$H2550=""),"",SUMIFS(DATA_GOC!$H:$H,DATA_GOC!$A:$A,"BOM",DATA_GOC!$D:$D,$H2550,DATA_GOC!$E:$E,$C2550,DATA_GOC!$F:$F,"Xuất nội bộ từ téc",DATA_GOC!$B:$B,"&gt;="&amp;$D2550,DATA_GOC!$B:$B,"&lt;="&amp;$E2550))</f>
        <v/>
      </c>
      <c r="J2550" s="59">
        <f t="shared" si="28"/>
        <v>0</v>
      </c>
      <c r="K2550" s="59">
        <f t="shared" si="29"/>
        <v>0</v>
      </c>
      <c r="L2550" s="59">
        <f t="shared" si="30"/>
        <v>0</v>
      </c>
      <c r="M2550" s="59">
        <f t="shared" si="31"/>
        <v>0</v>
      </c>
    </row>
    <row r="2551" ht="15.0" hidden="1" customHeight="1">
      <c r="A2551" s="59">
        <f t="shared" si="20"/>
        <v>39</v>
      </c>
      <c r="B2551" s="59" t="str">
        <f t="shared" si="21"/>
        <v/>
      </c>
      <c r="C2551" s="59" t="str">
        <f t="shared" si="22"/>
        <v/>
      </c>
      <c r="D2551" s="45" t="str">
        <f t="shared" si="23"/>
        <v/>
      </c>
      <c r="E2551" s="45" t="str">
        <f t="shared" si="24"/>
        <v/>
      </c>
      <c r="F2551" s="59" t="str">
        <f t="shared" si="25"/>
        <v/>
      </c>
      <c r="G2551" s="59" t="str">
        <f t="shared" si="26"/>
        <v/>
      </c>
      <c r="H2551" s="59" t="str">
        <f t="shared" si="27"/>
        <v>28H01070</v>
      </c>
      <c r="I2551" s="59" t="str">
        <f>IF(OR($A2551="",$C2551="",$D2551="",$E2551="",$H2551=""),"",SUMIFS(DATA_GOC!$H:$H,DATA_GOC!$A:$A,"BOM",DATA_GOC!$D:$D,$H2551,DATA_GOC!$E:$E,$C2551,DATA_GOC!$F:$F,"Xuất nội bộ từ téc",DATA_GOC!$B:$B,"&gt;="&amp;$D2551,DATA_GOC!$B:$B,"&lt;="&amp;$E2551))</f>
        <v/>
      </c>
      <c r="J2551" s="59">
        <f t="shared" si="28"/>
        <v>0</v>
      </c>
      <c r="K2551" s="59">
        <f t="shared" si="29"/>
        <v>0</v>
      </c>
      <c r="L2551" s="59">
        <f t="shared" si="30"/>
        <v>0</v>
      </c>
      <c r="M2551" s="59">
        <f t="shared" si="31"/>
        <v>0</v>
      </c>
    </row>
    <row r="2552" ht="15.0" hidden="1" customHeight="1">
      <c r="A2552" s="59">
        <f t="shared" si="20"/>
        <v>39</v>
      </c>
      <c r="B2552" s="59" t="str">
        <f t="shared" si="21"/>
        <v/>
      </c>
      <c r="C2552" s="59" t="str">
        <f t="shared" si="22"/>
        <v/>
      </c>
      <c r="D2552" s="45" t="str">
        <f t="shared" si="23"/>
        <v/>
      </c>
      <c r="E2552" s="45" t="str">
        <f t="shared" si="24"/>
        <v/>
      </c>
      <c r="F2552" s="59" t="str">
        <f t="shared" si="25"/>
        <v/>
      </c>
      <c r="G2552" s="59" t="str">
        <f t="shared" si="26"/>
        <v/>
      </c>
      <c r="H2552" s="59" t="str">
        <f t="shared" si="27"/>
        <v>28H01364</v>
      </c>
      <c r="I2552" s="59" t="str">
        <f>IF(OR($A2552="",$C2552="",$D2552="",$E2552="",$H2552=""),"",SUMIFS(DATA_GOC!$H:$H,DATA_GOC!$A:$A,"BOM",DATA_GOC!$D:$D,$H2552,DATA_GOC!$E:$E,$C2552,DATA_GOC!$F:$F,"Xuất nội bộ từ téc",DATA_GOC!$B:$B,"&gt;="&amp;$D2552,DATA_GOC!$B:$B,"&lt;="&amp;$E2552))</f>
        <v/>
      </c>
      <c r="J2552" s="59">
        <f t="shared" si="28"/>
        <v>0</v>
      </c>
      <c r="K2552" s="59">
        <f t="shared" si="29"/>
        <v>0</v>
      </c>
      <c r="L2552" s="59">
        <f t="shared" si="30"/>
        <v>0</v>
      </c>
      <c r="M2552" s="59">
        <f t="shared" si="31"/>
        <v>0</v>
      </c>
    </row>
    <row r="2553" ht="15.0" hidden="1" customHeight="1">
      <c r="A2553" s="59">
        <f t="shared" si="20"/>
        <v>39</v>
      </c>
      <c r="B2553" s="59" t="str">
        <f t="shared" si="21"/>
        <v/>
      </c>
      <c r="C2553" s="59" t="str">
        <f t="shared" si="22"/>
        <v/>
      </c>
      <c r="D2553" s="45" t="str">
        <f t="shared" si="23"/>
        <v/>
      </c>
      <c r="E2553" s="45" t="str">
        <f t="shared" si="24"/>
        <v/>
      </c>
      <c r="F2553" s="59" t="str">
        <f t="shared" si="25"/>
        <v/>
      </c>
      <c r="G2553" s="59" t="str">
        <f t="shared" si="26"/>
        <v/>
      </c>
      <c r="H2553" s="59" t="str">
        <f t="shared" si="27"/>
        <v>29E17269</v>
      </c>
      <c r="I2553" s="59" t="str">
        <f>IF(OR($A2553="",$C2553="",$D2553="",$E2553="",$H2553=""),"",SUMIFS(DATA_GOC!$H:$H,DATA_GOC!$A:$A,"BOM",DATA_GOC!$D:$D,$H2553,DATA_GOC!$E:$E,$C2553,DATA_GOC!$F:$F,"Xuất nội bộ từ téc",DATA_GOC!$B:$B,"&gt;="&amp;$D2553,DATA_GOC!$B:$B,"&lt;="&amp;$E2553))</f>
        <v/>
      </c>
      <c r="J2553" s="59">
        <f t="shared" si="28"/>
        <v>0</v>
      </c>
      <c r="K2553" s="59">
        <f t="shared" si="29"/>
        <v>0</v>
      </c>
      <c r="L2553" s="59">
        <f t="shared" si="30"/>
        <v>0</v>
      </c>
      <c r="M2553" s="59">
        <f t="shared" si="31"/>
        <v>0</v>
      </c>
    </row>
    <row r="2554" ht="15.0" hidden="1" customHeight="1">
      <c r="A2554" s="59">
        <f t="shared" si="20"/>
        <v>39</v>
      </c>
      <c r="B2554" s="59" t="str">
        <f t="shared" si="21"/>
        <v/>
      </c>
      <c r="C2554" s="59" t="str">
        <f t="shared" si="22"/>
        <v/>
      </c>
      <c r="D2554" s="45" t="str">
        <f t="shared" si="23"/>
        <v/>
      </c>
      <c r="E2554" s="45" t="str">
        <f t="shared" si="24"/>
        <v/>
      </c>
      <c r="F2554" s="59" t="str">
        <f t="shared" si="25"/>
        <v/>
      </c>
      <c r="G2554" s="59" t="str">
        <f t="shared" si="26"/>
        <v/>
      </c>
      <c r="H2554" s="59" t="str">
        <f t="shared" si="27"/>
        <v>29E17273</v>
      </c>
      <c r="I2554" s="59" t="str">
        <f>IF(OR($A2554="",$C2554="",$D2554="",$E2554="",$H2554=""),"",SUMIFS(DATA_GOC!$H:$H,DATA_GOC!$A:$A,"BOM",DATA_GOC!$D:$D,$H2554,DATA_GOC!$E:$E,$C2554,DATA_GOC!$F:$F,"Xuất nội bộ từ téc",DATA_GOC!$B:$B,"&gt;="&amp;$D2554,DATA_GOC!$B:$B,"&lt;="&amp;$E2554))</f>
        <v/>
      </c>
      <c r="J2554" s="59">
        <f t="shared" si="28"/>
        <v>0</v>
      </c>
      <c r="K2554" s="59">
        <f t="shared" si="29"/>
        <v>0</v>
      </c>
      <c r="L2554" s="59">
        <f t="shared" si="30"/>
        <v>0</v>
      </c>
      <c r="M2554" s="59">
        <f t="shared" si="31"/>
        <v>0</v>
      </c>
    </row>
    <row r="2555" ht="15.0" hidden="1" customHeight="1">
      <c r="A2555" s="59">
        <f t="shared" si="20"/>
        <v>39</v>
      </c>
      <c r="B2555" s="59" t="str">
        <f t="shared" si="21"/>
        <v/>
      </c>
      <c r="C2555" s="59" t="str">
        <f t="shared" si="22"/>
        <v/>
      </c>
      <c r="D2555" s="45" t="str">
        <f t="shared" si="23"/>
        <v/>
      </c>
      <c r="E2555" s="45" t="str">
        <f t="shared" si="24"/>
        <v/>
      </c>
      <c r="F2555" s="59" t="str">
        <f t="shared" si="25"/>
        <v/>
      </c>
      <c r="G2555" s="59" t="str">
        <f t="shared" si="26"/>
        <v/>
      </c>
      <c r="H2555" s="59" t="str">
        <f t="shared" si="27"/>
        <v>29E17410</v>
      </c>
      <c r="I2555" s="59" t="str">
        <f>IF(OR($A2555="",$C2555="",$D2555="",$E2555="",$H2555=""),"",SUMIFS(DATA_GOC!$H:$H,DATA_GOC!$A:$A,"BOM",DATA_GOC!$D:$D,$H2555,DATA_GOC!$E:$E,$C2555,DATA_GOC!$F:$F,"Xuất nội bộ từ téc",DATA_GOC!$B:$B,"&gt;="&amp;$D2555,DATA_GOC!$B:$B,"&lt;="&amp;$E2555))</f>
        <v/>
      </c>
      <c r="J2555" s="59">
        <f t="shared" si="28"/>
        <v>0</v>
      </c>
      <c r="K2555" s="59">
        <f t="shared" si="29"/>
        <v>0</v>
      </c>
      <c r="L2555" s="59">
        <f t="shared" si="30"/>
        <v>0</v>
      </c>
      <c r="M2555" s="59">
        <f t="shared" si="31"/>
        <v>0</v>
      </c>
    </row>
    <row r="2556" ht="15.0" hidden="1" customHeight="1">
      <c r="A2556" s="59">
        <f t="shared" si="20"/>
        <v>39</v>
      </c>
      <c r="B2556" s="59" t="str">
        <f t="shared" si="21"/>
        <v/>
      </c>
      <c r="C2556" s="59" t="str">
        <f t="shared" si="22"/>
        <v/>
      </c>
      <c r="D2556" s="45" t="str">
        <f t="shared" si="23"/>
        <v/>
      </c>
      <c r="E2556" s="45" t="str">
        <f t="shared" si="24"/>
        <v/>
      </c>
      <c r="F2556" s="59" t="str">
        <f t="shared" si="25"/>
        <v/>
      </c>
      <c r="G2556" s="59" t="str">
        <f t="shared" si="26"/>
        <v/>
      </c>
      <c r="H2556" s="59" t="str">
        <f t="shared" si="27"/>
        <v>29E17417</v>
      </c>
      <c r="I2556" s="59" t="str">
        <f>IF(OR($A2556="",$C2556="",$D2556="",$E2556="",$H2556=""),"",SUMIFS(DATA_GOC!$H:$H,DATA_GOC!$A:$A,"BOM",DATA_GOC!$D:$D,$H2556,DATA_GOC!$E:$E,$C2556,DATA_GOC!$F:$F,"Xuất nội bộ từ téc",DATA_GOC!$B:$B,"&gt;="&amp;$D2556,DATA_GOC!$B:$B,"&lt;="&amp;$E2556))</f>
        <v/>
      </c>
      <c r="J2556" s="59">
        <f t="shared" si="28"/>
        <v>0</v>
      </c>
      <c r="K2556" s="59">
        <f t="shared" si="29"/>
        <v>0</v>
      </c>
      <c r="L2556" s="59">
        <f t="shared" si="30"/>
        <v>0</v>
      </c>
      <c r="M2556" s="59">
        <f t="shared" si="31"/>
        <v>0</v>
      </c>
    </row>
    <row r="2557" ht="15.0" hidden="1" customHeight="1">
      <c r="A2557" s="59">
        <f t="shared" si="20"/>
        <v>39</v>
      </c>
      <c r="B2557" s="59" t="str">
        <f t="shared" si="21"/>
        <v/>
      </c>
      <c r="C2557" s="59" t="str">
        <f t="shared" si="22"/>
        <v/>
      </c>
      <c r="D2557" s="45" t="str">
        <f t="shared" si="23"/>
        <v/>
      </c>
      <c r="E2557" s="45" t="str">
        <f t="shared" si="24"/>
        <v/>
      </c>
      <c r="F2557" s="59" t="str">
        <f t="shared" si="25"/>
        <v/>
      </c>
      <c r="G2557" s="59" t="str">
        <f t="shared" si="26"/>
        <v/>
      </c>
      <c r="H2557" s="59" t="str">
        <f t="shared" si="27"/>
        <v>29E17539</v>
      </c>
      <c r="I2557" s="59" t="str">
        <f>IF(OR($A2557="",$C2557="",$D2557="",$E2557="",$H2557=""),"",SUMIFS(DATA_GOC!$H:$H,DATA_GOC!$A:$A,"BOM",DATA_GOC!$D:$D,$H2557,DATA_GOC!$E:$E,$C2557,DATA_GOC!$F:$F,"Xuất nội bộ từ téc",DATA_GOC!$B:$B,"&gt;="&amp;$D2557,DATA_GOC!$B:$B,"&lt;="&amp;$E2557))</f>
        <v/>
      </c>
      <c r="J2557" s="59">
        <f t="shared" si="28"/>
        <v>0</v>
      </c>
      <c r="K2557" s="59">
        <f t="shared" si="29"/>
        <v>0</v>
      </c>
      <c r="L2557" s="59">
        <f t="shared" si="30"/>
        <v>0</v>
      </c>
      <c r="M2557" s="59">
        <f t="shared" si="31"/>
        <v>0</v>
      </c>
    </row>
    <row r="2558" ht="15.0" hidden="1" customHeight="1">
      <c r="A2558" s="59">
        <f t="shared" si="20"/>
        <v>39</v>
      </c>
      <c r="B2558" s="59" t="str">
        <f t="shared" si="21"/>
        <v/>
      </c>
      <c r="C2558" s="59" t="str">
        <f t="shared" si="22"/>
        <v/>
      </c>
      <c r="D2558" s="45" t="str">
        <f t="shared" si="23"/>
        <v/>
      </c>
      <c r="E2558" s="45" t="str">
        <f t="shared" si="24"/>
        <v/>
      </c>
      <c r="F2558" s="59" t="str">
        <f t="shared" si="25"/>
        <v/>
      </c>
      <c r="G2558" s="59" t="str">
        <f t="shared" si="26"/>
        <v/>
      </c>
      <c r="H2558" s="59" t="str">
        <f t="shared" si="27"/>
        <v>29E18160</v>
      </c>
      <c r="I2558" s="59" t="str">
        <f>IF(OR($A2558="",$C2558="",$D2558="",$E2558="",$H2558=""),"",SUMIFS(DATA_GOC!$H:$H,DATA_GOC!$A:$A,"BOM",DATA_GOC!$D:$D,$H2558,DATA_GOC!$E:$E,$C2558,DATA_GOC!$F:$F,"Xuất nội bộ từ téc",DATA_GOC!$B:$B,"&gt;="&amp;$D2558,DATA_GOC!$B:$B,"&lt;="&amp;$E2558))</f>
        <v/>
      </c>
      <c r="J2558" s="59">
        <f t="shared" si="28"/>
        <v>0</v>
      </c>
      <c r="K2558" s="59">
        <f t="shared" si="29"/>
        <v>0</v>
      </c>
      <c r="L2558" s="59">
        <f t="shared" si="30"/>
        <v>0</v>
      </c>
      <c r="M2558" s="59">
        <f t="shared" si="31"/>
        <v>0</v>
      </c>
    </row>
    <row r="2559" ht="15.0" hidden="1" customHeight="1">
      <c r="A2559" s="59">
        <f t="shared" si="20"/>
        <v>39</v>
      </c>
      <c r="B2559" s="59" t="str">
        <f t="shared" si="21"/>
        <v/>
      </c>
      <c r="C2559" s="59" t="str">
        <f t="shared" si="22"/>
        <v/>
      </c>
      <c r="D2559" s="45" t="str">
        <f t="shared" si="23"/>
        <v/>
      </c>
      <c r="E2559" s="45" t="str">
        <f t="shared" si="24"/>
        <v/>
      </c>
      <c r="F2559" s="59" t="str">
        <f t="shared" si="25"/>
        <v/>
      </c>
      <c r="G2559" s="59" t="str">
        <f t="shared" si="26"/>
        <v/>
      </c>
      <c r="H2559" s="59" t="str">
        <f t="shared" si="27"/>
        <v>Công trình Asphalt</v>
      </c>
      <c r="I2559" s="59" t="str">
        <f>IF(OR($A2559="",$C2559="",$D2559="",$E2559="",$H2559=""),"",SUMIFS(DATA_GOC!$H:$H,DATA_GOC!$A:$A,"BOM",DATA_GOC!$D:$D,$H2559,DATA_GOC!$E:$E,$C2559,DATA_GOC!$F:$F,"Xuất nội bộ từ téc",DATA_GOC!$B:$B,"&gt;="&amp;$D2559,DATA_GOC!$B:$B,"&lt;="&amp;$E2559))</f>
        <v/>
      </c>
      <c r="J2559" s="59">
        <f t="shared" si="28"/>
        <v>0</v>
      </c>
      <c r="K2559" s="59">
        <f t="shared" si="29"/>
        <v>0</v>
      </c>
      <c r="L2559" s="59">
        <f t="shared" si="30"/>
        <v>0</v>
      </c>
      <c r="M2559" s="59">
        <f t="shared" si="31"/>
        <v>0</v>
      </c>
    </row>
    <row r="2560" ht="15.0" hidden="1" customHeight="1">
      <c r="A2560" s="59">
        <f t="shared" si="20"/>
        <v>39</v>
      </c>
      <c r="B2560" s="59" t="str">
        <f t="shared" si="21"/>
        <v/>
      </c>
      <c r="C2560" s="59" t="str">
        <f t="shared" si="22"/>
        <v/>
      </c>
      <c r="D2560" s="45" t="str">
        <f t="shared" si="23"/>
        <v/>
      </c>
      <c r="E2560" s="45" t="str">
        <f t="shared" si="24"/>
        <v/>
      </c>
      <c r="F2560" s="59" t="str">
        <f t="shared" si="25"/>
        <v/>
      </c>
      <c r="G2560" s="59" t="str">
        <f t="shared" si="26"/>
        <v/>
      </c>
      <c r="H2560" s="59" t="str">
        <f t="shared" si="27"/>
        <v>LG53F</v>
      </c>
      <c r="I2560" s="59" t="str">
        <f>IF(OR($A2560="",$C2560="",$D2560="",$E2560="",$H2560=""),"",SUMIFS(DATA_GOC!$H:$H,DATA_GOC!$A:$A,"BOM",DATA_GOC!$D:$D,$H2560,DATA_GOC!$E:$E,$C2560,DATA_GOC!$F:$F,"Xuất nội bộ từ téc",DATA_GOC!$B:$B,"&gt;="&amp;$D2560,DATA_GOC!$B:$B,"&lt;="&amp;$E2560))</f>
        <v/>
      </c>
      <c r="J2560" s="59">
        <f t="shared" si="28"/>
        <v>0</v>
      </c>
      <c r="K2560" s="59">
        <f t="shared" si="29"/>
        <v>0</v>
      </c>
      <c r="L2560" s="59">
        <f t="shared" si="30"/>
        <v>0</v>
      </c>
      <c r="M2560" s="59">
        <f t="shared" si="31"/>
        <v>0</v>
      </c>
    </row>
    <row r="2561" ht="15.0" hidden="1" customHeight="1">
      <c r="A2561" s="59">
        <f t="shared" si="20"/>
        <v>39</v>
      </c>
      <c r="B2561" s="59" t="str">
        <f t="shared" si="21"/>
        <v/>
      </c>
      <c r="C2561" s="59" t="str">
        <f t="shared" si="22"/>
        <v/>
      </c>
      <c r="D2561" s="45" t="str">
        <f t="shared" si="23"/>
        <v/>
      </c>
      <c r="E2561" s="45" t="str">
        <f t="shared" si="24"/>
        <v/>
      </c>
      <c r="F2561" s="59" t="str">
        <f t="shared" si="25"/>
        <v/>
      </c>
      <c r="G2561" s="59" t="str">
        <f t="shared" si="26"/>
        <v/>
      </c>
      <c r="H2561" s="59" t="str">
        <f t="shared" si="27"/>
        <v>Máy phát điện</v>
      </c>
      <c r="I2561" s="59" t="str">
        <f>IF(OR($A2561="",$C2561="",$D2561="",$E2561="",$H2561=""),"",SUMIFS(DATA_GOC!$H:$H,DATA_GOC!$A:$A,"BOM",DATA_GOC!$D:$D,$H2561,DATA_GOC!$E:$E,$C2561,DATA_GOC!$F:$F,"Xuất nội bộ từ téc",DATA_GOC!$B:$B,"&gt;="&amp;$D2561,DATA_GOC!$B:$B,"&lt;="&amp;$E2561))</f>
        <v/>
      </c>
      <c r="J2561" s="59">
        <f t="shared" si="28"/>
        <v>0</v>
      </c>
      <c r="K2561" s="59">
        <f t="shared" si="29"/>
        <v>0</v>
      </c>
      <c r="L2561" s="59">
        <f t="shared" si="30"/>
        <v>0</v>
      </c>
      <c r="M2561" s="59">
        <f t="shared" si="31"/>
        <v>0</v>
      </c>
    </row>
    <row r="2562" ht="15.0" hidden="1" customHeight="1">
      <c r="A2562" s="59">
        <f t="shared" si="20"/>
        <v>39</v>
      </c>
      <c r="B2562" s="59" t="str">
        <f t="shared" si="21"/>
        <v/>
      </c>
      <c r="C2562" s="59" t="str">
        <f t="shared" si="22"/>
        <v/>
      </c>
      <c r="D2562" s="45" t="str">
        <f t="shared" si="23"/>
        <v/>
      </c>
      <c r="E2562" s="45" t="str">
        <f t="shared" si="24"/>
        <v/>
      </c>
      <c r="F2562" s="59" t="str">
        <f t="shared" si="25"/>
        <v/>
      </c>
      <c r="G2562" s="59" t="str">
        <f t="shared" si="26"/>
        <v/>
      </c>
      <c r="H2562" s="59" t="str">
        <f t="shared" si="27"/>
        <v>Máy rải thảm</v>
      </c>
      <c r="I2562" s="59" t="str">
        <f>IF(OR($A2562="",$C2562="",$D2562="",$E2562="",$H2562=""),"",SUMIFS(DATA_GOC!$H:$H,DATA_GOC!$A:$A,"BOM",DATA_GOC!$D:$D,$H2562,DATA_GOC!$E:$E,$C2562,DATA_GOC!$F:$F,"Xuất nội bộ từ téc",DATA_GOC!$B:$B,"&gt;="&amp;$D2562,DATA_GOC!$B:$B,"&lt;="&amp;$E2562))</f>
        <v/>
      </c>
      <c r="J2562" s="59">
        <f t="shared" si="28"/>
        <v>0</v>
      </c>
      <c r="K2562" s="59">
        <f t="shared" si="29"/>
        <v>0</v>
      </c>
      <c r="L2562" s="59">
        <f t="shared" si="30"/>
        <v>0</v>
      </c>
      <c r="M2562" s="59">
        <f t="shared" si="31"/>
        <v>0</v>
      </c>
    </row>
    <row r="2563" ht="15.0" hidden="1" customHeight="1">
      <c r="A2563" s="59">
        <f t="shared" si="20"/>
        <v>39</v>
      </c>
      <c r="B2563" s="59" t="str">
        <f t="shared" si="21"/>
        <v/>
      </c>
      <c r="C2563" s="59" t="str">
        <f t="shared" si="22"/>
        <v/>
      </c>
      <c r="D2563" s="45" t="str">
        <f t="shared" si="23"/>
        <v/>
      </c>
      <c r="E2563" s="45" t="str">
        <f t="shared" si="24"/>
        <v/>
      </c>
      <c r="F2563" s="59" t="str">
        <f t="shared" si="25"/>
        <v/>
      </c>
      <c r="G2563" s="59" t="str">
        <f t="shared" si="26"/>
        <v/>
      </c>
      <c r="H2563" s="59" t="str">
        <f t="shared" si="27"/>
        <v>Xúc Đào</v>
      </c>
      <c r="I2563" s="59" t="str">
        <f>IF(OR($A2563="",$C2563="",$D2563="",$E2563="",$H2563=""),"",SUMIFS(DATA_GOC!$H:$H,DATA_GOC!$A:$A,"BOM",DATA_GOC!$D:$D,$H2563,DATA_GOC!$E:$E,$C2563,DATA_GOC!$F:$F,"Xuất nội bộ từ téc",DATA_GOC!$B:$B,"&gt;="&amp;$D2563,DATA_GOC!$B:$B,"&lt;="&amp;$E2563))</f>
        <v/>
      </c>
      <c r="J2563" s="59">
        <f t="shared" si="28"/>
        <v>0</v>
      </c>
      <c r="K2563" s="59">
        <f t="shared" si="29"/>
        <v>0</v>
      </c>
      <c r="L2563" s="59">
        <f t="shared" si="30"/>
        <v>0</v>
      </c>
      <c r="M2563" s="59">
        <f t="shared" si="31"/>
        <v>0</v>
      </c>
    </row>
    <row r="2564" ht="15.0" hidden="1" customHeight="1">
      <c r="A2564" s="59">
        <f t="shared" si="20"/>
        <v>39</v>
      </c>
      <c r="B2564" s="59" t="str">
        <f t="shared" si="21"/>
        <v/>
      </c>
      <c r="C2564" s="59" t="str">
        <f t="shared" si="22"/>
        <v/>
      </c>
      <c r="D2564" s="45" t="str">
        <f t="shared" si="23"/>
        <v/>
      </c>
      <c r="E2564" s="45" t="str">
        <f t="shared" si="24"/>
        <v/>
      </c>
      <c r="F2564" s="59" t="str">
        <f t="shared" si="25"/>
        <v/>
      </c>
      <c r="G2564" s="59" t="str">
        <f t="shared" si="26"/>
        <v/>
      </c>
      <c r="H2564" s="59" t="str">
        <f t="shared" si="27"/>
        <v>Xúclật asphalt</v>
      </c>
      <c r="I2564" s="59" t="str">
        <f>IF(OR($A2564="",$C2564="",$D2564="",$E2564="",$H2564=""),"",SUMIFS(DATA_GOC!$H:$H,DATA_GOC!$A:$A,"BOM",DATA_GOC!$D:$D,$H2564,DATA_GOC!$E:$E,$C2564,DATA_GOC!$F:$F,"Xuất nội bộ từ téc",DATA_GOC!$B:$B,"&gt;="&amp;$D2564,DATA_GOC!$B:$B,"&lt;="&amp;$E2564))</f>
        <v/>
      </c>
      <c r="J2564" s="59">
        <f t="shared" si="28"/>
        <v>0</v>
      </c>
      <c r="K2564" s="59">
        <f t="shared" si="29"/>
        <v>0</v>
      </c>
      <c r="L2564" s="59">
        <f t="shared" si="30"/>
        <v>0</v>
      </c>
      <c r="M2564" s="59">
        <f t="shared" si="31"/>
        <v>0</v>
      </c>
    </row>
    <row r="2565" ht="15.0" hidden="1" customHeight="1">
      <c r="A2565" s="59">
        <f t="shared" si="20"/>
        <v>39</v>
      </c>
      <c r="B2565" s="59" t="str">
        <f t="shared" si="21"/>
        <v/>
      </c>
      <c r="C2565" s="59" t="str">
        <f t="shared" si="22"/>
        <v/>
      </c>
      <c r="D2565" s="45" t="str">
        <f t="shared" si="23"/>
        <v/>
      </c>
      <c r="E2565" s="45" t="str">
        <f t="shared" si="24"/>
        <v/>
      </c>
      <c r="F2565" s="59" t="str">
        <f t="shared" si="25"/>
        <v/>
      </c>
      <c r="G2565" s="59" t="str">
        <f t="shared" si="26"/>
        <v/>
      </c>
      <c r="H2565" s="59" t="str">
        <f t="shared" si="27"/>
        <v>Xúclật855H</v>
      </c>
      <c r="I2565" s="59" t="str">
        <f>IF(OR($A2565="",$C2565="",$D2565="",$E2565="",$H2565=""),"",SUMIFS(DATA_GOC!$H:$H,DATA_GOC!$A:$A,"BOM",DATA_GOC!$D:$D,$H2565,DATA_GOC!$E:$E,$C2565,DATA_GOC!$F:$F,"Xuất nội bộ từ téc",DATA_GOC!$B:$B,"&gt;="&amp;$D2565,DATA_GOC!$B:$B,"&lt;="&amp;$E2565))</f>
        <v/>
      </c>
      <c r="J2565" s="59">
        <f t="shared" si="28"/>
        <v>0</v>
      </c>
      <c r="K2565" s="59">
        <f t="shared" si="29"/>
        <v>0</v>
      </c>
      <c r="L2565" s="59">
        <f t="shared" si="30"/>
        <v>0</v>
      </c>
      <c r="M2565" s="59">
        <f t="shared" si="31"/>
        <v>0</v>
      </c>
    </row>
    <row r="2566" ht="15.0" hidden="1" customHeight="1">
      <c r="A2566" s="59">
        <f t="shared" si="20"/>
        <v>39</v>
      </c>
      <c r="B2566" s="59" t="str">
        <f t="shared" si="21"/>
        <v/>
      </c>
      <c r="C2566" s="59" t="str">
        <f t="shared" si="22"/>
        <v/>
      </c>
      <c r="D2566" s="45" t="str">
        <f t="shared" si="23"/>
        <v/>
      </c>
      <c r="E2566" s="45" t="str">
        <f t="shared" si="24"/>
        <v/>
      </c>
      <c r="F2566" s="59" t="str">
        <f t="shared" si="25"/>
        <v/>
      </c>
      <c r="G2566" s="59" t="str">
        <f t="shared" si="26"/>
        <v/>
      </c>
      <c r="H2566" s="59" t="str">
        <f t="shared" si="27"/>
        <v>Xúclật855N</v>
      </c>
      <c r="I2566" s="59" t="str">
        <f>IF(OR($A2566="",$C2566="",$D2566="",$E2566="",$H2566=""),"",SUMIFS(DATA_GOC!$H:$H,DATA_GOC!$A:$A,"BOM",DATA_GOC!$D:$D,$H2566,DATA_GOC!$E:$E,$C2566,DATA_GOC!$F:$F,"Xuất nội bộ từ téc",DATA_GOC!$B:$B,"&gt;="&amp;$D2566,DATA_GOC!$B:$B,"&lt;="&amp;$E2566))</f>
        <v/>
      </c>
      <c r="J2566" s="59">
        <f t="shared" si="28"/>
        <v>0</v>
      </c>
      <c r="K2566" s="59">
        <f t="shared" si="29"/>
        <v>0</v>
      </c>
      <c r="L2566" s="59">
        <f t="shared" si="30"/>
        <v>0</v>
      </c>
      <c r="M2566" s="59">
        <f t="shared" si="31"/>
        <v>0</v>
      </c>
    </row>
    <row r="2567" ht="15.0" hidden="1" customHeight="1">
      <c r="A2567" s="59">
        <f t="shared" si="20"/>
        <v>39</v>
      </c>
      <c r="B2567" s="59" t="str">
        <f t="shared" si="21"/>
        <v/>
      </c>
      <c r="C2567" s="59" t="str">
        <f t="shared" si="22"/>
        <v/>
      </c>
      <c r="D2567" s="45" t="str">
        <f t="shared" si="23"/>
        <v/>
      </c>
      <c r="E2567" s="45" t="str">
        <f t="shared" si="24"/>
        <v/>
      </c>
      <c r="F2567" s="59" t="str">
        <f t="shared" si="25"/>
        <v/>
      </c>
      <c r="G2567" s="59" t="str">
        <f t="shared" si="26"/>
        <v/>
      </c>
      <c r="H2567" s="59" t="str">
        <f t="shared" si="27"/>
        <v>Cát nghiền</v>
      </c>
      <c r="I2567" s="59" t="str">
        <f>IF(OR($A2567="",$C2567="",$D2567="",$E2567="",$H2567=""),"",SUMIFS(DATA_GOC!$H:$H,DATA_GOC!$A:$A,"BOM",DATA_GOC!$D:$D,$H2567,DATA_GOC!$E:$E,$C2567,DATA_GOC!$F:$F,"Xuất nội bộ từ téc",DATA_GOC!$B:$B,"&gt;="&amp;$D2567,DATA_GOC!$B:$B,"&lt;="&amp;$E2567))</f>
        <v/>
      </c>
      <c r="J2567" s="59">
        <f t="shared" si="28"/>
        <v>0</v>
      </c>
      <c r="K2567" s="59">
        <f t="shared" si="29"/>
        <v>0</v>
      </c>
      <c r="L2567" s="59">
        <f t="shared" si="30"/>
        <v>0</v>
      </c>
      <c r="M2567" s="59">
        <f t="shared" si="31"/>
        <v>0</v>
      </c>
    </row>
    <row r="2568" ht="15.0" hidden="1" customHeight="1">
      <c r="A2568" s="59">
        <f t="shared" si="20"/>
        <v>39</v>
      </c>
      <c r="B2568" s="59" t="str">
        <f t="shared" si="21"/>
        <v/>
      </c>
      <c r="C2568" s="59" t="str">
        <f t="shared" si="22"/>
        <v/>
      </c>
      <c r="D2568" s="45" t="str">
        <f t="shared" si="23"/>
        <v/>
      </c>
      <c r="E2568" s="45" t="str">
        <f t="shared" si="24"/>
        <v/>
      </c>
      <c r="F2568" s="59" t="str">
        <f t="shared" si="25"/>
        <v/>
      </c>
      <c r="G2568" s="59" t="str">
        <f t="shared" si="26"/>
        <v/>
      </c>
      <c r="H2568" s="59" t="str">
        <f t="shared" si="27"/>
        <v>28C02973</v>
      </c>
      <c r="I2568" s="59" t="str">
        <f>IF(OR($A2568="",$C2568="",$D2568="",$E2568="",$H2568=""),"",SUMIFS(DATA_GOC!$H:$H,DATA_GOC!$A:$A,"BOM",DATA_GOC!$D:$D,$H2568,DATA_GOC!$E:$E,$C2568,DATA_GOC!$F:$F,"Xuất nội bộ từ téc",DATA_GOC!$B:$B,"&gt;="&amp;$D2568,DATA_GOC!$B:$B,"&lt;="&amp;$E2568))</f>
        <v/>
      </c>
      <c r="J2568" s="59">
        <f t="shared" si="28"/>
        <v>0</v>
      </c>
      <c r="K2568" s="59">
        <f t="shared" si="29"/>
        <v>0</v>
      </c>
      <c r="L2568" s="59">
        <f t="shared" si="30"/>
        <v>0</v>
      </c>
      <c r="M2568" s="59">
        <f t="shared" si="31"/>
        <v>0</v>
      </c>
    </row>
    <row r="2569" ht="15.0" hidden="1" customHeight="1">
      <c r="A2569" s="59">
        <f t="shared" si="20"/>
        <v>39</v>
      </c>
      <c r="B2569" s="59" t="str">
        <f t="shared" si="21"/>
        <v/>
      </c>
      <c r="C2569" s="59" t="str">
        <f t="shared" si="22"/>
        <v/>
      </c>
      <c r="D2569" s="45" t="str">
        <f t="shared" si="23"/>
        <v/>
      </c>
      <c r="E2569" s="45" t="str">
        <f t="shared" si="24"/>
        <v/>
      </c>
      <c r="F2569" s="59" t="str">
        <f t="shared" si="25"/>
        <v/>
      </c>
      <c r="G2569" s="59" t="str">
        <f t="shared" si="26"/>
        <v/>
      </c>
      <c r="H2569" s="59" t="str">
        <f t="shared" si="27"/>
        <v>28C03044</v>
      </c>
      <c r="I2569" s="59" t="str">
        <f>IF(OR($A2569="",$C2569="",$D2569="",$E2569="",$H2569=""),"",SUMIFS(DATA_GOC!$H:$H,DATA_GOC!$A:$A,"BOM",DATA_GOC!$D:$D,$H2569,DATA_GOC!$E:$E,$C2569,DATA_GOC!$F:$F,"Xuất nội bộ từ téc",DATA_GOC!$B:$B,"&gt;="&amp;$D2569,DATA_GOC!$B:$B,"&lt;="&amp;$E2569))</f>
        <v/>
      </c>
      <c r="J2569" s="59">
        <f t="shared" si="28"/>
        <v>0</v>
      </c>
      <c r="K2569" s="59">
        <f t="shared" si="29"/>
        <v>0</v>
      </c>
      <c r="L2569" s="59">
        <f t="shared" si="30"/>
        <v>0</v>
      </c>
      <c r="M2569" s="59">
        <f t="shared" si="31"/>
        <v>0</v>
      </c>
    </row>
    <row r="2570" ht="15.0" hidden="1" customHeight="1">
      <c r="A2570" s="59">
        <f t="shared" si="20"/>
        <v>39</v>
      </c>
      <c r="B2570" s="59" t="str">
        <f t="shared" si="21"/>
        <v/>
      </c>
      <c r="C2570" s="59" t="str">
        <f t="shared" si="22"/>
        <v/>
      </c>
      <c r="D2570" s="45" t="str">
        <f t="shared" si="23"/>
        <v/>
      </c>
      <c r="E2570" s="45" t="str">
        <f t="shared" si="24"/>
        <v/>
      </c>
      <c r="F2570" s="59" t="str">
        <f t="shared" si="25"/>
        <v/>
      </c>
      <c r="G2570" s="59" t="str">
        <f t="shared" si="26"/>
        <v/>
      </c>
      <c r="H2570" s="59" t="str">
        <f t="shared" si="27"/>
        <v>Máy lu lốp</v>
      </c>
      <c r="I2570" s="59" t="str">
        <f>IF(OR($A2570="",$C2570="",$D2570="",$E2570="",$H2570=""),"",SUMIFS(DATA_GOC!$H:$H,DATA_GOC!$A:$A,"BOM",DATA_GOC!$D:$D,$H2570,DATA_GOC!$E:$E,$C2570,DATA_GOC!$F:$F,"Xuất nội bộ từ téc",DATA_GOC!$B:$B,"&gt;="&amp;$D2570,DATA_GOC!$B:$B,"&lt;="&amp;$E2570))</f>
        <v/>
      </c>
      <c r="J2570" s="59">
        <f t="shared" si="28"/>
        <v>0</v>
      </c>
      <c r="K2570" s="59">
        <f t="shared" si="29"/>
        <v>0</v>
      </c>
      <c r="L2570" s="59">
        <f t="shared" si="30"/>
        <v>0</v>
      </c>
      <c r="M2570" s="59">
        <f t="shared" si="31"/>
        <v>0</v>
      </c>
    </row>
    <row r="2571" ht="15.0" hidden="1" customHeight="1">
      <c r="A2571" s="59">
        <f t="shared" si="20"/>
        <v>39</v>
      </c>
      <c r="B2571" s="59" t="str">
        <f t="shared" si="21"/>
        <v/>
      </c>
      <c r="C2571" s="59" t="str">
        <f t="shared" si="22"/>
        <v/>
      </c>
      <c r="D2571" s="45" t="str">
        <f t="shared" si="23"/>
        <v/>
      </c>
      <c r="E2571" s="45" t="str">
        <f t="shared" si="24"/>
        <v/>
      </c>
      <c r="F2571" s="59" t="str">
        <f t="shared" si="25"/>
        <v/>
      </c>
      <c r="G2571" s="59" t="str">
        <f t="shared" si="26"/>
        <v/>
      </c>
      <c r="H2571" s="59" t="str">
        <f t="shared" si="27"/>
        <v>Xe 600148</v>
      </c>
      <c r="I2571" s="59" t="str">
        <f>IF(OR($A2571="",$C2571="",$D2571="",$E2571="",$H2571=""),"",SUMIFS(DATA_GOC!$H:$H,DATA_GOC!$A:$A,"BOM",DATA_GOC!$D:$D,$H2571,DATA_GOC!$E:$E,$C2571,DATA_GOC!$F:$F,"Xuất nội bộ từ téc",DATA_GOC!$B:$B,"&gt;="&amp;$D2571,DATA_GOC!$B:$B,"&lt;="&amp;$E2571))</f>
        <v/>
      </c>
      <c r="J2571" s="59">
        <f t="shared" si="28"/>
        <v>0</v>
      </c>
      <c r="K2571" s="59">
        <f t="shared" si="29"/>
        <v>0</v>
      </c>
      <c r="L2571" s="59">
        <f t="shared" si="30"/>
        <v>0</v>
      </c>
      <c r="M2571" s="59">
        <f t="shared" si="31"/>
        <v>0</v>
      </c>
    </row>
    <row r="2572" ht="15.0" hidden="1" customHeight="1">
      <c r="A2572" s="59">
        <f t="shared" si="20"/>
        <v>39</v>
      </c>
      <c r="B2572" s="59" t="str">
        <f t="shared" si="21"/>
        <v/>
      </c>
      <c r="C2572" s="59" t="str">
        <f t="shared" si="22"/>
        <v/>
      </c>
      <c r="D2572" s="45" t="str">
        <f t="shared" si="23"/>
        <v/>
      </c>
      <c r="E2572" s="45" t="str">
        <f t="shared" si="24"/>
        <v/>
      </c>
      <c r="F2572" s="59" t="str">
        <f t="shared" si="25"/>
        <v/>
      </c>
      <c r="G2572" s="59" t="str">
        <f t="shared" si="26"/>
        <v/>
      </c>
      <c r="H2572" s="59" t="str">
        <f t="shared" si="27"/>
        <v>Xe ben mới</v>
      </c>
      <c r="I2572" s="59" t="str">
        <f>IF(OR($A2572="",$C2572="",$D2572="",$E2572="",$H2572=""),"",SUMIFS(DATA_GOC!$H:$H,DATA_GOC!$A:$A,"BOM",DATA_GOC!$D:$D,$H2572,DATA_GOC!$E:$E,$C2572,DATA_GOC!$F:$F,"Xuất nội bộ từ téc",DATA_GOC!$B:$B,"&gt;="&amp;$D2572,DATA_GOC!$B:$B,"&lt;="&amp;$E2572))</f>
        <v/>
      </c>
      <c r="J2572" s="59">
        <f t="shared" si="28"/>
        <v>0</v>
      </c>
      <c r="K2572" s="59">
        <f t="shared" si="29"/>
        <v>0</v>
      </c>
      <c r="L2572" s="59">
        <f t="shared" si="30"/>
        <v>0</v>
      </c>
      <c r="M2572" s="59">
        <f t="shared" si="31"/>
        <v>0</v>
      </c>
    </row>
    <row r="2573" ht="15.0" hidden="1" customHeight="1">
      <c r="A2573" s="59">
        <f t="shared" si="20"/>
        <v>40</v>
      </c>
      <c r="B2573" s="59" t="str">
        <f t="shared" si="21"/>
        <v/>
      </c>
      <c r="C2573" s="59" t="str">
        <f t="shared" si="22"/>
        <v/>
      </c>
      <c r="D2573" s="45" t="str">
        <f t="shared" si="23"/>
        <v/>
      </c>
      <c r="E2573" s="45" t="str">
        <f t="shared" si="24"/>
        <v/>
      </c>
      <c r="F2573" s="59" t="str">
        <f t="shared" si="25"/>
        <v/>
      </c>
      <c r="G2573" s="59" t="str">
        <f t="shared" si="26"/>
        <v/>
      </c>
      <c r="H2573" s="59" t="str">
        <f t="shared" si="27"/>
        <v>19H09482</v>
      </c>
      <c r="I2573" s="59" t="str">
        <f>IF(OR($A2573="",$C2573="",$D2573="",$E2573="",$H2573=""),"",SUMIFS(DATA_GOC!$H:$H,DATA_GOC!$A:$A,"BOM",DATA_GOC!$D:$D,$H2573,DATA_GOC!$E:$E,$C2573,DATA_GOC!$F:$F,"Xuất nội bộ từ téc",DATA_GOC!$B:$B,"&gt;="&amp;$D2573,DATA_GOC!$B:$B,"&lt;="&amp;$E2573))</f>
        <v/>
      </c>
      <c r="J2573" s="59">
        <f t="shared" si="28"/>
        <v>0</v>
      </c>
      <c r="K2573" s="59">
        <f t="shared" si="29"/>
        <v>0</v>
      </c>
      <c r="L2573" s="59">
        <f t="shared" si="30"/>
        <v>0</v>
      </c>
      <c r="M2573" s="59">
        <f t="shared" si="31"/>
        <v>0</v>
      </c>
    </row>
    <row r="2574" ht="15.0" hidden="1" customHeight="1">
      <c r="A2574" s="59">
        <f t="shared" si="20"/>
        <v>40</v>
      </c>
      <c r="B2574" s="59" t="str">
        <f t="shared" si="21"/>
        <v/>
      </c>
      <c r="C2574" s="59" t="str">
        <f t="shared" si="22"/>
        <v/>
      </c>
      <c r="D2574" s="45" t="str">
        <f t="shared" si="23"/>
        <v/>
      </c>
      <c r="E2574" s="45" t="str">
        <f t="shared" si="24"/>
        <v/>
      </c>
      <c r="F2574" s="59" t="str">
        <f t="shared" si="25"/>
        <v/>
      </c>
      <c r="G2574" s="59" t="str">
        <f t="shared" si="26"/>
        <v/>
      </c>
      <c r="H2574" s="59" t="str">
        <f t="shared" si="27"/>
        <v>28A30696</v>
      </c>
      <c r="I2574" s="59" t="str">
        <f>IF(OR($A2574="",$C2574="",$D2574="",$E2574="",$H2574=""),"",SUMIFS(DATA_GOC!$H:$H,DATA_GOC!$A:$A,"BOM",DATA_GOC!$D:$D,$H2574,DATA_GOC!$E:$E,$C2574,DATA_GOC!$F:$F,"Xuất nội bộ từ téc",DATA_GOC!$B:$B,"&gt;="&amp;$D2574,DATA_GOC!$B:$B,"&lt;="&amp;$E2574))</f>
        <v/>
      </c>
      <c r="J2574" s="59">
        <f t="shared" si="28"/>
        <v>0</v>
      </c>
      <c r="K2574" s="59">
        <f t="shared" si="29"/>
        <v>0</v>
      </c>
      <c r="L2574" s="59">
        <f t="shared" si="30"/>
        <v>0</v>
      </c>
      <c r="M2574" s="59">
        <f t="shared" si="31"/>
        <v>0</v>
      </c>
    </row>
    <row r="2575" ht="15.0" hidden="1" customHeight="1">
      <c r="A2575" s="59">
        <f t="shared" si="20"/>
        <v>40</v>
      </c>
      <c r="B2575" s="59" t="str">
        <f t="shared" si="21"/>
        <v/>
      </c>
      <c r="C2575" s="59" t="str">
        <f t="shared" si="22"/>
        <v/>
      </c>
      <c r="D2575" s="45" t="str">
        <f t="shared" si="23"/>
        <v/>
      </c>
      <c r="E2575" s="45" t="str">
        <f t="shared" si="24"/>
        <v/>
      </c>
      <c r="F2575" s="59" t="str">
        <f t="shared" si="25"/>
        <v/>
      </c>
      <c r="G2575" s="59" t="str">
        <f t="shared" si="26"/>
        <v/>
      </c>
      <c r="H2575" s="59" t="str">
        <f t="shared" si="27"/>
        <v>28C00462</v>
      </c>
      <c r="I2575" s="59" t="str">
        <f>IF(OR($A2575="",$C2575="",$D2575="",$E2575="",$H2575=""),"",SUMIFS(DATA_GOC!$H:$H,DATA_GOC!$A:$A,"BOM",DATA_GOC!$D:$D,$H2575,DATA_GOC!$E:$E,$C2575,DATA_GOC!$F:$F,"Xuất nội bộ từ téc",DATA_GOC!$B:$B,"&gt;="&amp;$D2575,DATA_GOC!$B:$B,"&lt;="&amp;$E2575))</f>
        <v/>
      </c>
      <c r="J2575" s="59">
        <f t="shared" si="28"/>
        <v>0</v>
      </c>
      <c r="K2575" s="59">
        <f t="shared" si="29"/>
        <v>0</v>
      </c>
      <c r="L2575" s="59">
        <f t="shared" si="30"/>
        <v>0</v>
      </c>
      <c r="M2575" s="59">
        <f t="shared" si="31"/>
        <v>0</v>
      </c>
    </row>
    <row r="2576" ht="15.0" hidden="1" customHeight="1">
      <c r="A2576" s="59">
        <f t="shared" si="20"/>
        <v>40</v>
      </c>
      <c r="B2576" s="59" t="str">
        <f t="shared" si="21"/>
        <v/>
      </c>
      <c r="C2576" s="59" t="str">
        <f t="shared" si="22"/>
        <v/>
      </c>
      <c r="D2576" s="45" t="str">
        <f t="shared" si="23"/>
        <v/>
      </c>
      <c r="E2576" s="45" t="str">
        <f t="shared" si="24"/>
        <v/>
      </c>
      <c r="F2576" s="59" t="str">
        <f t="shared" si="25"/>
        <v/>
      </c>
      <c r="G2576" s="59" t="str">
        <f t="shared" si="26"/>
        <v/>
      </c>
      <c r="H2576" s="59" t="str">
        <f t="shared" si="27"/>
        <v>28C01165</v>
      </c>
      <c r="I2576" s="59" t="str">
        <f>IF(OR($A2576="",$C2576="",$D2576="",$E2576="",$H2576=""),"",SUMIFS(DATA_GOC!$H:$H,DATA_GOC!$A:$A,"BOM",DATA_GOC!$D:$D,$H2576,DATA_GOC!$E:$E,$C2576,DATA_GOC!$F:$F,"Xuất nội bộ từ téc",DATA_GOC!$B:$B,"&gt;="&amp;$D2576,DATA_GOC!$B:$B,"&lt;="&amp;$E2576))</f>
        <v/>
      </c>
      <c r="J2576" s="59">
        <f t="shared" si="28"/>
        <v>0</v>
      </c>
      <c r="K2576" s="59">
        <f t="shared" si="29"/>
        <v>0</v>
      </c>
      <c r="L2576" s="59">
        <f t="shared" si="30"/>
        <v>0</v>
      </c>
      <c r="M2576" s="59">
        <f t="shared" si="31"/>
        <v>0</v>
      </c>
    </row>
    <row r="2577" ht="15.0" hidden="1" customHeight="1">
      <c r="A2577" s="59">
        <f t="shared" si="20"/>
        <v>40</v>
      </c>
      <c r="B2577" s="59" t="str">
        <f t="shared" si="21"/>
        <v/>
      </c>
      <c r="C2577" s="59" t="str">
        <f t="shared" si="22"/>
        <v/>
      </c>
      <c r="D2577" s="45" t="str">
        <f t="shared" si="23"/>
        <v/>
      </c>
      <c r="E2577" s="45" t="str">
        <f t="shared" si="24"/>
        <v/>
      </c>
      <c r="F2577" s="59" t="str">
        <f t="shared" si="25"/>
        <v/>
      </c>
      <c r="G2577" s="59" t="str">
        <f t="shared" si="26"/>
        <v/>
      </c>
      <c r="H2577" s="59" t="str">
        <f t="shared" si="27"/>
        <v>28C01406</v>
      </c>
      <c r="I2577" s="59" t="str">
        <f>IF(OR($A2577="",$C2577="",$D2577="",$E2577="",$H2577=""),"",SUMIFS(DATA_GOC!$H:$H,DATA_GOC!$A:$A,"BOM",DATA_GOC!$D:$D,$H2577,DATA_GOC!$E:$E,$C2577,DATA_GOC!$F:$F,"Xuất nội bộ từ téc",DATA_GOC!$B:$B,"&gt;="&amp;$D2577,DATA_GOC!$B:$B,"&lt;="&amp;$E2577))</f>
        <v/>
      </c>
      <c r="J2577" s="59">
        <f t="shared" si="28"/>
        <v>0</v>
      </c>
      <c r="K2577" s="59">
        <f t="shared" si="29"/>
        <v>0</v>
      </c>
      <c r="L2577" s="59">
        <f t="shared" si="30"/>
        <v>0</v>
      </c>
      <c r="M2577" s="59">
        <f t="shared" si="31"/>
        <v>0</v>
      </c>
    </row>
    <row r="2578" ht="15.0" hidden="1" customHeight="1">
      <c r="A2578" s="59">
        <f t="shared" si="20"/>
        <v>40</v>
      </c>
      <c r="B2578" s="59" t="str">
        <f t="shared" si="21"/>
        <v/>
      </c>
      <c r="C2578" s="59" t="str">
        <f t="shared" si="22"/>
        <v/>
      </c>
      <c r="D2578" s="45" t="str">
        <f t="shared" si="23"/>
        <v/>
      </c>
      <c r="E2578" s="45" t="str">
        <f t="shared" si="24"/>
        <v/>
      </c>
      <c r="F2578" s="59" t="str">
        <f t="shared" si="25"/>
        <v/>
      </c>
      <c r="G2578" s="59" t="str">
        <f t="shared" si="26"/>
        <v/>
      </c>
      <c r="H2578" s="59" t="str">
        <f t="shared" si="27"/>
        <v>28C01544</v>
      </c>
      <c r="I2578" s="59" t="str">
        <f>IF(OR($A2578="",$C2578="",$D2578="",$E2578="",$H2578=""),"",SUMIFS(DATA_GOC!$H:$H,DATA_GOC!$A:$A,"BOM",DATA_GOC!$D:$D,$H2578,DATA_GOC!$E:$E,$C2578,DATA_GOC!$F:$F,"Xuất nội bộ từ téc",DATA_GOC!$B:$B,"&gt;="&amp;$D2578,DATA_GOC!$B:$B,"&lt;="&amp;$E2578))</f>
        <v/>
      </c>
      <c r="J2578" s="59">
        <f t="shared" si="28"/>
        <v>0</v>
      </c>
      <c r="K2578" s="59">
        <f t="shared" si="29"/>
        <v>0</v>
      </c>
      <c r="L2578" s="59">
        <f t="shared" si="30"/>
        <v>0</v>
      </c>
      <c r="M2578" s="59">
        <f t="shared" si="31"/>
        <v>0</v>
      </c>
    </row>
    <row r="2579" ht="15.0" hidden="1" customHeight="1">
      <c r="A2579" s="59">
        <f t="shared" si="20"/>
        <v>40</v>
      </c>
      <c r="B2579" s="59" t="str">
        <f t="shared" si="21"/>
        <v/>
      </c>
      <c r="C2579" s="59" t="str">
        <f t="shared" si="22"/>
        <v/>
      </c>
      <c r="D2579" s="45" t="str">
        <f t="shared" si="23"/>
        <v/>
      </c>
      <c r="E2579" s="45" t="str">
        <f t="shared" si="24"/>
        <v/>
      </c>
      <c r="F2579" s="59" t="str">
        <f t="shared" si="25"/>
        <v/>
      </c>
      <c r="G2579" s="59" t="str">
        <f t="shared" si="26"/>
        <v/>
      </c>
      <c r="H2579" s="59" t="str">
        <f t="shared" si="27"/>
        <v>28C01622</v>
      </c>
      <c r="I2579" s="59" t="str">
        <f>IF(OR($A2579="",$C2579="",$D2579="",$E2579="",$H2579=""),"",SUMIFS(DATA_GOC!$H:$H,DATA_GOC!$A:$A,"BOM",DATA_GOC!$D:$D,$H2579,DATA_GOC!$E:$E,$C2579,DATA_GOC!$F:$F,"Xuất nội bộ từ téc",DATA_GOC!$B:$B,"&gt;="&amp;$D2579,DATA_GOC!$B:$B,"&lt;="&amp;$E2579))</f>
        <v/>
      </c>
      <c r="J2579" s="59">
        <f t="shared" si="28"/>
        <v>0</v>
      </c>
      <c r="K2579" s="59">
        <f t="shared" si="29"/>
        <v>0</v>
      </c>
      <c r="L2579" s="59">
        <f t="shared" si="30"/>
        <v>0</v>
      </c>
      <c r="M2579" s="59">
        <f t="shared" si="31"/>
        <v>0</v>
      </c>
    </row>
    <row r="2580" ht="15.0" hidden="1" customHeight="1">
      <c r="A2580" s="59">
        <f t="shared" si="20"/>
        <v>40</v>
      </c>
      <c r="B2580" s="59" t="str">
        <f t="shared" si="21"/>
        <v/>
      </c>
      <c r="C2580" s="59" t="str">
        <f t="shared" si="22"/>
        <v/>
      </c>
      <c r="D2580" s="45" t="str">
        <f t="shared" si="23"/>
        <v/>
      </c>
      <c r="E2580" s="45" t="str">
        <f t="shared" si="24"/>
        <v/>
      </c>
      <c r="F2580" s="59" t="str">
        <f t="shared" si="25"/>
        <v/>
      </c>
      <c r="G2580" s="59" t="str">
        <f t="shared" si="26"/>
        <v/>
      </c>
      <c r="H2580" s="59" t="str">
        <f t="shared" si="27"/>
        <v>28C01647</v>
      </c>
      <c r="I2580" s="59" t="str">
        <f>IF(OR($A2580="",$C2580="",$D2580="",$E2580="",$H2580=""),"",SUMIFS(DATA_GOC!$H:$H,DATA_GOC!$A:$A,"BOM",DATA_GOC!$D:$D,$H2580,DATA_GOC!$E:$E,$C2580,DATA_GOC!$F:$F,"Xuất nội bộ từ téc",DATA_GOC!$B:$B,"&gt;="&amp;$D2580,DATA_GOC!$B:$B,"&lt;="&amp;$E2580))</f>
        <v/>
      </c>
      <c r="J2580" s="59">
        <f t="shared" si="28"/>
        <v>0</v>
      </c>
      <c r="K2580" s="59">
        <f t="shared" si="29"/>
        <v>0</v>
      </c>
      <c r="L2580" s="59">
        <f t="shared" si="30"/>
        <v>0</v>
      </c>
      <c r="M2580" s="59">
        <f t="shared" si="31"/>
        <v>0</v>
      </c>
    </row>
    <row r="2581" ht="15.0" hidden="1" customHeight="1">
      <c r="A2581" s="59">
        <f t="shared" si="20"/>
        <v>40</v>
      </c>
      <c r="B2581" s="59" t="str">
        <f t="shared" si="21"/>
        <v/>
      </c>
      <c r="C2581" s="59" t="str">
        <f t="shared" si="22"/>
        <v/>
      </c>
      <c r="D2581" s="45" t="str">
        <f t="shared" si="23"/>
        <v/>
      </c>
      <c r="E2581" s="45" t="str">
        <f t="shared" si="24"/>
        <v/>
      </c>
      <c r="F2581" s="59" t="str">
        <f t="shared" si="25"/>
        <v/>
      </c>
      <c r="G2581" s="59" t="str">
        <f t="shared" si="26"/>
        <v/>
      </c>
      <c r="H2581" s="59" t="str">
        <f t="shared" si="27"/>
        <v>28C01731</v>
      </c>
      <c r="I2581" s="59" t="str">
        <f>IF(OR($A2581="",$C2581="",$D2581="",$E2581="",$H2581=""),"",SUMIFS(DATA_GOC!$H:$H,DATA_GOC!$A:$A,"BOM",DATA_GOC!$D:$D,$H2581,DATA_GOC!$E:$E,$C2581,DATA_GOC!$F:$F,"Xuất nội bộ từ téc",DATA_GOC!$B:$B,"&gt;="&amp;$D2581,DATA_GOC!$B:$B,"&lt;="&amp;$E2581))</f>
        <v/>
      </c>
      <c r="J2581" s="59">
        <f t="shared" si="28"/>
        <v>0</v>
      </c>
      <c r="K2581" s="59">
        <f t="shared" si="29"/>
        <v>0</v>
      </c>
      <c r="L2581" s="59">
        <f t="shared" si="30"/>
        <v>0</v>
      </c>
      <c r="M2581" s="59">
        <f t="shared" si="31"/>
        <v>0</v>
      </c>
    </row>
    <row r="2582" ht="15.0" hidden="1" customHeight="1">
      <c r="A2582" s="59">
        <f t="shared" si="20"/>
        <v>40</v>
      </c>
      <c r="B2582" s="59" t="str">
        <f t="shared" si="21"/>
        <v/>
      </c>
      <c r="C2582" s="59" t="str">
        <f t="shared" si="22"/>
        <v/>
      </c>
      <c r="D2582" s="45" t="str">
        <f t="shared" si="23"/>
        <v/>
      </c>
      <c r="E2582" s="45" t="str">
        <f t="shared" si="24"/>
        <v/>
      </c>
      <c r="F2582" s="59" t="str">
        <f t="shared" si="25"/>
        <v/>
      </c>
      <c r="G2582" s="59" t="str">
        <f t="shared" si="26"/>
        <v/>
      </c>
      <c r="H2582" s="59" t="str">
        <f t="shared" si="27"/>
        <v>28C01743</v>
      </c>
      <c r="I2582" s="59" t="str">
        <f>IF(OR($A2582="",$C2582="",$D2582="",$E2582="",$H2582=""),"",SUMIFS(DATA_GOC!$H:$H,DATA_GOC!$A:$A,"BOM",DATA_GOC!$D:$D,$H2582,DATA_GOC!$E:$E,$C2582,DATA_GOC!$F:$F,"Xuất nội bộ từ téc",DATA_GOC!$B:$B,"&gt;="&amp;$D2582,DATA_GOC!$B:$B,"&lt;="&amp;$E2582))</f>
        <v/>
      </c>
      <c r="J2582" s="59">
        <f t="shared" si="28"/>
        <v>0</v>
      </c>
      <c r="K2582" s="59">
        <f t="shared" si="29"/>
        <v>0</v>
      </c>
      <c r="L2582" s="59">
        <f t="shared" si="30"/>
        <v>0</v>
      </c>
      <c r="M2582" s="59">
        <f t="shared" si="31"/>
        <v>0</v>
      </c>
    </row>
    <row r="2583" ht="15.0" hidden="1" customHeight="1">
      <c r="A2583" s="59">
        <f t="shared" si="20"/>
        <v>40</v>
      </c>
      <c r="B2583" s="59" t="str">
        <f t="shared" si="21"/>
        <v/>
      </c>
      <c r="C2583" s="59" t="str">
        <f t="shared" si="22"/>
        <v/>
      </c>
      <c r="D2583" s="45" t="str">
        <f t="shared" si="23"/>
        <v/>
      </c>
      <c r="E2583" s="45" t="str">
        <f t="shared" si="24"/>
        <v/>
      </c>
      <c r="F2583" s="59" t="str">
        <f t="shared" si="25"/>
        <v/>
      </c>
      <c r="G2583" s="59" t="str">
        <f t="shared" si="26"/>
        <v/>
      </c>
      <c r="H2583" s="59" t="str">
        <f t="shared" si="27"/>
        <v>28C02106</v>
      </c>
      <c r="I2583" s="59" t="str">
        <f>IF(OR($A2583="",$C2583="",$D2583="",$E2583="",$H2583=""),"",SUMIFS(DATA_GOC!$H:$H,DATA_GOC!$A:$A,"BOM",DATA_GOC!$D:$D,$H2583,DATA_GOC!$E:$E,$C2583,DATA_GOC!$F:$F,"Xuất nội bộ từ téc",DATA_GOC!$B:$B,"&gt;="&amp;$D2583,DATA_GOC!$B:$B,"&lt;="&amp;$E2583))</f>
        <v/>
      </c>
      <c r="J2583" s="59">
        <f t="shared" si="28"/>
        <v>0</v>
      </c>
      <c r="K2583" s="59">
        <f t="shared" si="29"/>
        <v>0</v>
      </c>
      <c r="L2583" s="59">
        <f t="shared" si="30"/>
        <v>0</v>
      </c>
      <c r="M2583" s="59">
        <f t="shared" si="31"/>
        <v>0</v>
      </c>
    </row>
    <row r="2584" ht="15.0" hidden="1" customHeight="1">
      <c r="A2584" s="59">
        <f t="shared" si="20"/>
        <v>40</v>
      </c>
      <c r="B2584" s="59" t="str">
        <f t="shared" si="21"/>
        <v/>
      </c>
      <c r="C2584" s="59" t="str">
        <f t="shared" si="22"/>
        <v/>
      </c>
      <c r="D2584" s="45" t="str">
        <f t="shared" si="23"/>
        <v/>
      </c>
      <c r="E2584" s="45" t="str">
        <f t="shared" si="24"/>
        <v/>
      </c>
      <c r="F2584" s="59" t="str">
        <f t="shared" si="25"/>
        <v/>
      </c>
      <c r="G2584" s="59" t="str">
        <f t="shared" si="26"/>
        <v/>
      </c>
      <c r="H2584" s="59" t="str">
        <f t="shared" si="27"/>
        <v>28C02410</v>
      </c>
      <c r="I2584" s="59" t="str">
        <f>IF(OR($A2584="",$C2584="",$D2584="",$E2584="",$H2584=""),"",SUMIFS(DATA_GOC!$H:$H,DATA_GOC!$A:$A,"BOM",DATA_GOC!$D:$D,$H2584,DATA_GOC!$E:$E,$C2584,DATA_GOC!$F:$F,"Xuất nội bộ từ téc",DATA_GOC!$B:$B,"&gt;="&amp;$D2584,DATA_GOC!$B:$B,"&lt;="&amp;$E2584))</f>
        <v/>
      </c>
      <c r="J2584" s="59">
        <f t="shared" si="28"/>
        <v>0</v>
      </c>
      <c r="K2584" s="59">
        <f t="shared" si="29"/>
        <v>0</v>
      </c>
      <c r="L2584" s="59">
        <f t="shared" si="30"/>
        <v>0</v>
      </c>
      <c r="M2584" s="59">
        <f t="shared" si="31"/>
        <v>0</v>
      </c>
    </row>
    <row r="2585" ht="15.0" hidden="1" customHeight="1">
      <c r="A2585" s="59">
        <f t="shared" si="20"/>
        <v>40</v>
      </c>
      <c r="B2585" s="59" t="str">
        <f t="shared" si="21"/>
        <v/>
      </c>
      <c r="C2585" s="59" t="str">
        <f t="shared" si="22"/>
        <v/>
      </c>
      <c r="D2585" s="45" t="str">
        <f t="shared" si="23"/>
        <v/>
      </c>
      <c r="E2585" s="45" t="str">
        <f t="shared" si="24"/>
        <v/>
      </c>
      <c r="F2585" s="59" t="str">
        <f t="shared" si="25"/>
        <v/>
      </c>
      <c r="G2585" s="59" t="str">
        <f t="shared" si="26"/>
        <v/>
      </c>
      <c r="H2585" s="59" t="str">
        <f t="shared" si="27"/>
        <v>28C02545</v>
      </c>
      <c r="I2585" s="59" t="str">
        <f>IF(OR($A2585="",$C2585="",$D2585="",$E2585="",$H2585=""),"",SUMIFS(DATA_GOC!$H:$H,DATA_GOC!$A:$A,"BOM",DATA_GOC!$D:$D,$H2585,DATA_GOC!$E:$E,$C2585,DATA_GOC!$F:$F,"Xuất nội bộ từ téc",DATA_GOC!$B:$B,"&gt;="&amp;$D2585,DATA_GOC!$B:$B,"&lt;="&amp;$E2585))</f>
        <v/>
      </c>
      <c r="J2585" s="59">
        <f t="shared" si="28"/>
        <v>0</v>
      </c>
      <c r="K2585" s="59">
        <f t="shared" si="29"/>
        <v>0</v>
      </c>
      <c r="L2585" s="59">
        <f t="shared" si="30"/>
        <v>0</v>
      </c>
      <c r="M2585" s="59">
        <f t="shared" si="31"/>
        <v>0</v>
      </c>
    </row>
    <row r="2586" ht="15.0" hidden="1" customHeight="1">
      <c r="A2586" s="59">
        <f t="shared" si="20"/>
        <v>40</v>
      </c>
      <c r="B2586" s="59" t="str">
        <f t="shared" si="21"/>
        <v/>
      </c>
      <c r="C2586" s="59" t="str">
        <f t="shared" si="22"/>
        <v/>
      </c>
      <c r="D2586" s="45" t="str">
        <f t="shared" si="23"/>
        <v/>
      </c>
      <c r="E2586" s="45" t="str">
        <f t="shared" si="24"/>
        <v/>
      </c>
      <c r="F2586" s="59" t="str">
        <f t="shared" si="25"/>
        <v/>
      </c>
      <c r="G2586" s="59" t="str">
        <f t="shared" si="26"/>
        <v/>
      </c>
      <c r="H2586" s="59" t="str">
        <f t="shared" si="27"/>
        <v>28C02574</v>
      </c>
      <c r="I2586" s="59" t="str">
        <f>IF(OR($A2586="",$C2586="",$D2586="",$E2586="",$H2586=""),"",SUMIFS(DATA_GOC!$H:$H,DATA_GOC!$A:$A,"BOM",DATA_GOC!$D:$D,$H2586,DATA_GOC!$E:$E,$C2586,DATA_GOC!$F:$F,"Xuất nội bộ từ téc",DATA_GOC!$B:$B,"&gt;="&amp;$D2586,DATA_GOC!$B:$B,"&lt;="&amp;$E2586))</f>
        <v/>
      </c>
      <c r="J2586" s="59">
        <f t="shared" si="28"/>
        <v>0</v>
      </c>
      <c r="K2586" s="59">
        <f t="shared" si="29"/>
        <v>0</v>
      </c>
      <c r="L2586" s="59">
        <f t="shared" si="30"/>
        <v>0</v>
      </c>
      <c r="M2586" s="59">
        <f t="shared" si="31"/>
        <v>0</v>
      </c>
    </row>
    <row r="2587" ht="15.0" hidden="1" customHeight="1">
      <c r="A2587" s="59">
        <f t="shared" si="20"/>
        <v>40</v>
      </c>
      <c r="B2587" s="59" t="str">
        <f t="shared" si="21"/>
        <v/>
      </c>
      <c r="C2587" s="59" t="str">
        <f t="shared" si="22"/>
        <v/>
      </c>
      <c r="D2587" s="45" t="str">
        <f t="shared" si="23"/>
        <v/>
      </c>
      <c r="E2587" s="45" t="str">
        <f t="shared" si="24"/>
        <v/>
      </c>
      <c r="F2587" s="59" t="str">
        <f t="shared" si="25"/>
        <v/>
      </c>
      <c r="G2587" s="59" t="str">
        <f t="shared" si="26"/>
        <v/>
      </c>
      <c r="H2587" s="59" t="str">
        <f t="shared" si="27"/>
        <v>28C02770</v>
      </c>
      <c r="I2587" s="59" t="str">
        <f>IF(OR($A2587="",$C2587="",$D2587="",$E2587="",$H2587=""),"",SUMIFS(DATA_GOC!$H:$H,DATA_GOC!$A:$A,"BOM",DATA_GOC!$D:$D,$H2587,DATA_GOC!$E:$E,$C2587,DATA_GOC!$F:$F,"Xuất nội bộ từ téc",DATA_GOC!$B:$B,"&gt;="&amp;$D2587,DATA_GOC!$B:$B,"&lt;="&amp;$E2587))</f>
        <v/>
      </c>
      <c r="J2587" s="59">
        <f t="shared" si="28"/>
        <v>0</v>
      </c>
      <c r="K2587" s="59">
        <f t="shared" si="29"/>
        <v>0</v>
      </c>
      <c r="L2587" s="59">
        <f t="shared" si="30"/>
        <v>0</v>
      </c>
      <c r="M2587" s="59">
        <f t="shared" si="31"/>
        <v>0</v>
      </c>
    </row>
    <row r="2588" ht="15.0" hidden="1" customHeight="1">
      <c r="A2588" s="59">
        <f t="shared" si="20"/>
        <v>40</v>
      </c>
      <c r="B2588" s="59" t="str">
        <f t="shared" si="21"/>
        <v/>
      </c>
      <c r="C2588" s="59" t="str">
        <f t="shared" si="22"/>
        <v/>
      </c>
      <c r="D2588" s="45" t="str">
        <f t="shared" si="23"/>
        <v/>
      </c>
      <c r="E2588" s="45" t="str">
        <f t="shared" si="24"/>
        <v/>
      </c>
      <c r="F2588" s="59" t="str">
        <f t="shared" si="25"/>
        <v/>
      </c>
      <c r="G2588" s="59" t="str">
        <f t="shared" si="26"/>
        <v/>
      </c>
      <c r="H2588" s="59" t="str">
        <f t="shared" si="27"/>
        <v>28C02986</v>
      </c>
      <c r="I2588" s="59" t="str">
        <f>IF(OR($A2588="",$C2588="",$D2588="",$E2588="",$H2588=""),"",SUMIFS(DATA_GOC!$H:$H,DATA_GOC!$A:$A,"BOM",DATA_GOC!$D:$D,$H2588,DATA_GOC!$E:$E,$C2588,DATA_GOC!$F:$F,"Xuất nội bộ từ téc",DATA_GOC!$B:$B,"&gt;="&amp;$D2588,DATA_GOC!$B:$B,"&lt;="&amp;$E2588))</f>
        <v/>
      </c>
      <c r="J2588" s="59">
        <f t="shared" si="28"/>
        <v>0</v>
      </c>
      <c r="K2588" s="59">
        <f t="shared" si="29"/>
        <v>0</v>
      </c>
      <c r="L2588" s="59">
        <f t="shared" si="30"/>
        <v>0</v>
      </c>
      <c r="M2588" s="59">
        <f t="shared" si="31"/>
        <v>0</v>
      </c>
    </row>
    <row r="2589" ht="15.0" hidden="1" customHeight="1">
      <c r="A2589" s="59">
        <f t="shared" si="20"/>
        <v>40</v>
      </c>
      <c r="B2589" s="59" t="str">
        <f t="shared" si="21"/>
        <v/>
      </c>
      <c r="C2589" s="59" t="str">
        <f t="shared" si="22"/>
        <v/>
      </c>
      <c r="D2589" s="45" t="str">
        <f t="shared" si="23"/>
        <v/>
      </c>
      <c r="E2589" s="45" t="str">
        <f t="shared" si="24"/>
        <v/>
      </c>
      <c r="F2589" s="59" t="str">
        <f t="shared" si="25"/>
        <v/>
      </c>
      <c r="G2589" s="59" t="str">
        <f t="shared" si="26"/>
        <v/>
      </c>
      <c r="H2589" s="59" t="str">
        <f t="shared" si="27"/>
        <v>28C03261</v>
      </c>
      <c r="I2589" s="59" t="str">
        <f>IF(OR($A2589="",$C2589="",$D2589="",$E2589="",$H2589=""),"",SUMIFS(DATA_GOC!$H:$H,DATA_GOC!$A:$A,"BOM",DATA_GOC!$D:$D,$H2589,DATA_GOC!$E:$E,$C2589,DATA_GOC!$F:$F,"Xuất nội bộ từ téc",DATA_GOC!$B:$B,"&gt;="&amp;$D2589,DATA_GOC!$B:$B,"&lt;="&amp;$E2589))</f>
        <v/>
      </c>
      <c r="J2589" s="59">
        <f t="shared" si="28"/>
        <v>0</v>
      </c>
      <c r="K2589" s="59">
        <f t="shared" si="29"/>
        <v>0</v>
      </c>
      <c r="L2589" s="59">
        <f t="shared" si="30"/>
        <v>0</v>
      </c>
      <c r="M2589" s="59">
        <f t="shared" si="31"/>
        <v>0</v>
      </c>
    </row>
    <row r="2590" ht="15.0" hidden="1" customHeight="1">
      <c r="A2590" s="59">
        <f t="shared" si="20"/>
        <v>40</v>
      </c>
      <c r="B2590" s="59" t="str">
        <f t="shared" si="21"/>
        <v/>
      </c>
      <c r="C2590" s="59" t="str">
        <f t="shared" si="22"/>
        <v/>
      </c>
      <c r="D2590" s="45" t="str">
        <f t="shared" si="23"/>
        <v/>
      </c>
      <c r="E2590" s="45" t="str">
        <f t="shared" si="24"/>
        <v/>
      </c>
      <c r="F2590" s="59" t="str">
        <f t="shared" si="25"/>
        <v/>
      </c>
      <c r="G2590" s="59" t="str">
        <f t="shared" si="26"/>
        <v/>
      </c>
      <c r="H2590" s="59" t="str">
        <f t="shared" si="27"/>
        <v>28C03323</v>
      </c>
      <c r="I2590" s="59" t="str">
        <f>IF(OR($A2590="",$C2590="",$D2590="",$E2590="",$H2590=""),"",SUMIFS(DATA_GOC!$H:$H,DATA_GOC!$A:$A,"BOM",DATA_GOC!$D:$D,$H2590,DATA_GOC!$E:$E,$C2590,DATA_GOC!$F:$F,"Xuất nội bộ từ téc",DATA_GOC!$B:$B,"&gt;="&amp;$D2590,DATA_GOC!$B:$B,"&lt;="&amp;$E2590))</f>
        <v/>
      </c>
      <c r="J2590" s="59">
        <f t="shared" si="28"/>
        <v>0</v>
      </c>
      <c r="K2590" s="59">
        <f t="shared" si="29"/>
        <v>0</v>
      </c>
      <c r="L2590" s="59">
        <f t="shared" si="30"/>
        <v>0</v>
      </c>
      <c r="M2590" s="59">
        <f t="shared" si="31"/>
        <v>0</v>
      </c>
    </row>
    <row r="2591" ht="15.0" hidden="1" customHeight="1">
      <c r="A2591" s="59">
        <f t="shared" si="20"/>
        <v>40</v>
      </c>
      <c r="B2591" s="59" t="str">
        <f t="shared" si="21"/>
        <v/>
      </c>
      <c r="C2591" s="59" t="str">
        <f t="shared" si="22"/>
        <v/>
      </c>
      <c r="D2591" s="45" t="str">
        <f t="shared" si="23"/>
        <v/>
      </c>
      <c r="E2591" s="45" t="str">
        <f t="shared" si="24"/>
        <v/>
      </c>
      <c r="F2591" s="59" t="str">
        <f t="shared" si="25"/>
        <v/>
      </c>
      <c r="G2591" s="59" t="str">
        <f t="shared" si="26"/>
        <v/>
      </c>
      <c r="H2591" s="59" t="str">
        <f t="shared" si="27"/>
        <v>28C03385</v>
      </c>
      <c r="I2591" s="59" t="str">
        <f>IF(OR($A2591="",$C2591="",$D2591="",$E2591="",$H2591=""),"",SUMIFS(DATA_GOC!$H:$H,DATA_GOC!$A:$A,"BOM",DATA_GOC!$D:$D,$H2591,DATA_GOC!$E:$E,$C2591,DATA_GOC!$F:$F,"Xuất nội bộ từ téc",DATA_GOC!$B:$B,"&gt;="&amp;$D2591,DATA_GOC!$B:$B,"&lt;="&amp;$E2591))</f>
        <v/>
      </c>
      <c r="J2591" s="59">
        <f t="shared" si="28"/>
        <v>0</v>
      </c>
      <c r="K2591" s="59">
        <f t="shared" si="29"/>
        <v>0</v>
      </c>
      <c r="L2591" s="59">
        <f t="shared" si="30"/>
        <v>0</v>
      </c>
      <c r="M2591" s="59">
        <f t="shared" si="31"/>
        <v>0</v>
      </c>
    </row>
    <row r="2592" ht="15.0" hidden="1" customHeight="1">
      <c r="A2592" s="59">
        <f t="shared" si="20"/>
        <v>40</v>
      </c>
      <c r="B2592" s="59" t="str">
        <f t="shared" si="21"/>
        <v/>
      </c>
      <c r="C2592" s="59" t="str">
        <f t="shared" si="22"/>
        <v/>
      </c>
      <c r="D2592" s="45" t="str">
        <f t="shared" si="23"/>
        <v/>
      </c>
      <c r="E2592" s="45" t="str">
        <f t="shared" si="24"/>
        <v/>
      </c>
      <c r="F2592" s="59" t="str">
        <f t="shared" si="25"/>
        <v/>
      </c>
      <c r="G2592" s="59" t="str">
        <f t="shared" si="26"/>
        <v/>
      </c>
      <c r="H2592" s="59" t="str">
        <f t="shared" si="27"/>
        <v>28C03652</v>
      </c>
      <c r="I2592" s="59" t="str">
        <f>IF(OR($A2592="",$C2592="",$D2592="",$E2592="",$H2592=""),"",SUMIFS(DATA_GOC!$H:$H,DATA_GOC!$A:$A,"BOM",DATA_GOC!$D:$D,$H2592,DATA_GOC!$E:$E,$C2592,DATA_GOC!$F:$F,"Xuất nội bộ từ téc",DATA_GOC!$B:$B,"&gt;="&amp;$D2592,DATA_GOC!$B:$B,"&lt;="&amp;$E2592))</f>
        <v/>
      </c>
      <c r="J2592" s="59">
        <f t="shared" si="28"/>
        <v>0</v>
      </c>
      <c r="K2592" s="59">
        <f t="shared" si="29"/>
        <v>0</v>
      </c>
      <c r="L2592" s="59">
        <f t="shared" si="30"/>
        <v>0</v>
      </c>
      <c r="M2592" s="59">
        <f t="shared" si="31"/>
        <v>0</v>
      </c>
    </row>
    <row r="2593" ht="15.0" hidden="1" customHeight="1">
      <c r="A2593" s="59">
        <f t="shared" si="20"/>
        <v>40</v>
      </c>
      <c r="B2593" s="59" t="str">
        <f t="shared" si="21"/>
        <v/>
      </c>
      <c r="C2593" s="59" t="str">
        <f t="shared" si="22"/>
        <v/>
      </c>
      <c r="D2593" s="45" t="str">
        <f t="shared" si="23"/>
        <v/>
      </c>
      <c r="E2593" s="45" t="str">
        <f t="shared" si="24"/>
        <v/>
      </c>
      <c r="F2593" s="59" t="str">
        <f t="shared" si="25"/>
        <v/>
      </c>
      <c r="G2593" s="59" t="str">
        <f t="shared" si="26"/>
        <v/>
      </c>
      <c r="H2593" s="59" t="str">
        <f t="shared" si="27"/>
        <v>28C03695</v>
      </c>
      <c r="I2593" s="59" t="str">
        <f>IF(OR($A2593="",$C2593="",$D2593="",$E2593="",$H2593=""),"",SUMIFS(DATA_GOC!$H:$H,DATA_GOC!$A:$A,"BOM",DATA_GOC!$D:$D,$H2593,DATA_GOC!$E:$E,$C2593,DATA_GOC!$F:$F,"Xuất nội bộ từ téc",DATA_GOC!$B:$B,"&gt;="&amp;$D2593,DATA_GOC!$B:$B,"&lt;="&amp;$E2593))</f>
        <v/>
      </c>
      <c r="J2593" s="59">
        <f t="shared" si="28"/>
        <v>0</v>
      </c>
      <c r="K2593" s="59">
        <f t="shared" si="29"/>
        <v>0</v>
      </c>
      <c r="L2593" s="59">
        <f t="shared" si="30"/>
        <v>0</v>
      </c>
      <c r="M2593" s="59">
        <f t="shared" si="31"/>
        <v>0</v>
      </c>
    </row>
    <row r="2594" ht="15.0" hidden="1" customHeight="1">
      <c r="A2594" s="59">
        <f t="shared" si="20"/>
        <v>40</v>
      </c>
      <c r="B2594" s="59" t="str">
        <f t="shared" si="21"/>
        <v/>
      </c>
      <c r="C2594" s="59" t="str">
        <f t="shared" si="22"/>
        <v/>
      </c>
      <c r="D2594" s="45" t="str">
        <f t="shared" si="23"/>
        <v/>
      </c>
      <c r="E2594" s="45" t="str">
        <f t="shared" si="24"/>
        <v/>
      </c>
      <c r="F2594" s="59" t="str">
        <f t="shared" si="25"/>
        <v/>
      </c>
      <c r="G2594" s="59" t="str">
        <f t="shared" si="26"/>
        <v/>
      </c>
      <c r="H2594" s="59" t="str">
        <f t="shared" si="27"/>
        <v>28C03927</v>
      </c>
      <c r="I2594" s="59" t="str">
        <f>IF(OR($A2594="",$C2594="",$D2594="",$E2594="",$H2594=""),"",SUMIFS(DATA_GOC!$H:$H,DATA_GOC!$A:$A,"BOM",DATA_GOC!$D:$D,$H2594,DATA_GOC!$E:$E,$C2594,DATA_GOC!$F:$F,"Xuất nội bộ từ téc",DATA_GOC!$B:$B,"&gt;="&amp;$D2594,DATA_GOC!$B:$B,"&lt;="&amp;$E2594))</f>
        <v/>
      </c>
      <c r="J2594" s="59">
        <f t="shared" si="28"/>
        <v>0</v>
      </c>
      <c r="K2594" s="59">
        <f t="shared" si="29"/>
        <v>0</v>
      </c>
      <c r="L2594" s="59">
        <f t="shared" si="30"/>
        <v>0</v>
      </c>
      <c r="M2594" s="59">
        <f t="shared" si="31"/>
        <v>0</v>
      </c>
    </row>
    <row r="2595" ht="15.0" hidden="1" customHeight="1">
      <c r="A2595" s="59">
        <f t="shared" si="20"/>
        <v>40</v>
      </c>
      <c r="B2595" s="59" t="str">
        <f t="shared" si="21"/>
        <v/>
      </c>
      <c r="C2595" s="59" t="str">
        <f t="shared" si="22"/>
        <v/>
      </c>
      <c r="D2595" s="45" t="str">
        <f t="shared" si="23"/>
        <v/>
      </c>
      <c r="E2595" s="45" t="str">
        <f t="shared" si="24"/>
        <v/>
      </c>
      <c r="F2595" s="59" t="str">
        <f t="shared" si="25"/>
        <v/>
      </c>
      <c r="G2595" s="59" t="str">
        <f t="shared" si="26"/>
        <v/>
      </c>
      <c r="H2595" s="59" t="str">
        <f t="shared" si="27"/>
        <v>28C04509</v>
      </c>
      <c r="I2595" s="59" t="str">
        <f>IF(OR($A2595="",$C2595="",$D2595="",$E2595="",$H2595=""),"",SUMIFS(DATA_GOC!$H:$H,DATA_GOC!$A:$A,"BOM",DATA_GOC!$D:$D,$H2595,DATA_GOC!$E:$E,$C2595,DATA_GOC!$F:$F,"Xuất nội bộ từ téc",DATA_GOC!$B:$B,"&gt;="&amp;$D2595,DATA_GOC!$B:$B,"&lt;="&amp;$E2595))</f>
        <v/>
      </c>
      <c r="J2595" s="59">
        <f t="shared" si="28"/>
        <v>0</v>
      </c>
      <c r="K2595" s="59">
        <f t="shared" si="29"/>
        <v>0</v>
      </c>
      <c r="L2595" s="59">
        <f t="shared" si="30"/>
        <v>0</v>
      </c>
      <c r="M2595" s="59">
        <f t="shared" si="31"/>
        <v>0</v>
      </c>
    </row>
    <row r="2596" ht="15.0" hidden="1" customHeight="1">
      <c r="A2596" s="59">
        <f t="shared" si="20"/>
        <v>40</v>
      </c>
      <c r="B2596" s="59" t="str">
        <f t="shared" si="21"/>
        <v/>
      </c>
      <c r="C2596" s="59" t="str">
        <f t="shared" si="22"/>
        <v/>
      </c>
      <c r="D2596" s="45" t="str">
        <f t="shared" si="23"/>
        <v/>
      </c>
      <c r="E2596" s="45" t="str">
        <f t="shared" si="24"/>
        <v/>
      </c>
      <c r="F2596" s="59" t="str">
        <f t="shared" si="25"/>
        <v/>
      </c>
      <c r="G2596" s="59" t="str">
        <f t="shared" si="26"/>
        <v/>
      </c>
      <c r="H2596" s="59" t="str">
        <f t="shared" si="27"/>
        <v>28C04536</v>
      </c>
      <c r="I2596" s="59" t="str">
        <f>IF(OR($A2596="",$C2596="",$D2596="",$E2596="",$H2596=""),"",SUMIFS(DATA_GOC!$H:$H,DATA_GOC!$A:$A,"BOM",DATA_GOC!$D:$D,$H2596,DATA_GOC!$E:$E,$C2596,DATA_GOC!$F:$F,"Xuất nội bộ từ téc",DATA_GOC!$B:$B,"&gt;="&amp;$D2596,DATA_GOC!$B:$B,"&lt;="&amp;$E2596))</f>
        <v/>
      </c>
      <c r="J2596" s="59">
        <f t="shared" si="28"/>
        <v>0</v>
      </c>
      <c r="K2596" s="59">
        <f t="shared" si="29"/>
        <v>0</v>
      </c>
      <c r="L2596" s="59">
        <f t="shared" si="30"/>
        <v>0</v>
      </c>
      <c r="M2596" s="59">
        <f t="shared" si="31"/>
        <v>0</v>
      </c>
    </row>
    <row r="2597" ht="15.0" hidden="1" customHeight="1">
      <c r="A2597" s="59">
        <f t="shared" si="20"/>
        <v>40</v>
      </c>
      <c r="B2597" s="59" t="str">
        <f t="shared" si="21"/>
        <v/>
      </c>
      <c r="C2597" s="59" t="str">
        <f t="shared" si="22"/>
        <v/>
      </c>
      <c r="D2597" s="45" t="str">
        <f t="shared" si="23"/>
        <v/>
      </c>
      <c r="E2597" s="45" t="str">
        <f t="shared" si="24"/>
        <v/>
      </c>
      <c r="F2597" s="59" t="str">
        <f t="shared" si="25"/>
        <v/>
      </c>
      <c r="G2597" s="59" t="str">
        <f t="shared" si="26"/>
        <v/>
      </c>
      <c r="H2597" s="59" t="str">
        <f t="shared" si="27"/>
        <v>28C04576</v>
      </c>
      <c r="I2597" s="59" t="str">
        <f>IF(OR($A2597="",$C2597="",$D2597="",$E2597="",$H2597=""),"",SUMIFS(DATA_GOC!$H:$H,DATA_GOC!$A:$A,"BOM",DATA_GOC!$D:$D,$H2597,DATA_GOC!$E:$E,$C2597,DATA_GOC!$F:$F,"Xuất nội bộ từ téc",DATA_GOC!$B:$B,"&gt;="&amp;$D2597,DATA_GOC!$B:$B,"&lt;="&amp;$E2597))</f>
        <v/>
      </c>
      <c r="J2597" s="59">
        <f t="shared" si="28"/>
        <v>0</v>
      </c>
      <c r="K2597" s="59">
        <f t="shared" si="29"/>
        <v>0</v>
      </c>
      <c r="L2597" s="59">
        <f t="shared" si="30"/>
        <v>0</v>
      </c>
      <c r="M2597" s="59">
        <f t="shared" si="31"/>
        <v>0</v>
      </c>
    </row>
    <row r="2598" ht="15.0" hidden="1" customHeight="1">
      <c r="A2598" s="59">
        <f t="shared" si="20"/>
        <v>40</v>
      </c>
      <c r="B2598" s="59" t="str">
        <f t="shared" si="21"/>
        <v/>
      </c>
      <c r="C2598" s="59" t="str">
        <f t="shared" si="22"/>
        <v/>
      </c>
      <c r="D2598" s="45" t="str">
        <f t="shared" si="23"/>
        <v/>
      </c>
      <c r="E2598" s="45" t="str">
        <f t="shared" si="24"/>
        <v/>
      </c>
      <c r="F2598" s="59" t="str">
        <f t="shared" si="25"/>
        <v/>
      </c>
      <c r="G2598" s="59" t="str">
        <f t="shared" si="26"/>
        <v/>
      </c>
      <c r="H2598" s="59" t="str">
        <f t="shared" si="27"/>
        <v>28C05090</v>
      </c>
      <c r="I2598" s="59" t="str">
        <f>IF(OR($A2598="",$C2598="",$D2598="",$E2598="",$H2598=""),"",SUMIFS(DATA_GOC!$H:$H,DATA_GOC!$A:$A,"BOM",DATA_GOC!$D:$D,$H2598,DATA_GOC!$E:$E,$C2598,DATA_GOC!$F:$F,"Xuất nội bộ từ téc",DATA_GOC!$B:$B,"&gt;="&amp;$D2598,DATA_GOC!$B:$B,"&lt;="&amp;$E2598))</f>
        <v/>
      </c>
      <c r="J2598" s="59">
        <f t="shared" si="28"/>
        <v>0</v>
      </c>
      <c r="K2598" s="59">
        <f t="shared" si="29"/>
        <v>0</v>
      </c>
      <c r="L2598" s="59">
        <f t="shared" si="30"/>
        <v>0</v>
      </c>
      <c r="M2598" s="59">
        <f t="shared" si="31"/>
        <v>0</v>
      </c>
    </row>
    <row r="2599" ht="15.0" hidden="1" customHeight="1">
      <c r="A2599" s="59">
        <f t="shared" si="20"/>
        <v>40</v>
      </c>
      <c r="B2599" s="59" t="str">
        <f t="shared" si="21"/>
        <v/>
      </c>
      <c r="C2599" s="59" t="str">
        <f t="shared" si="22"/>
        <v/>
      </c>
      <c r="D2599" s="45" t="str">
        <f t="shared" si="23"/>
        <v/>
      </c>
      <c r="E2599" s="45" t="str">
        <f t="shared" si="24"/>
        <v/>
      </c>
      <c r="F2599" s="59" t="str">
        <f t="shared" si="25"/>
        <v/>
      </c>
      <c r="G2599" s="59" t="str">
        <f t="shared" si="26"/>
        <v/>
      </c>
      <c r="H2599" s="59" t="str">
        <f t="shared" si="27"/>
        <v>28C05345</v>
      </c>
      <c r="I2599" s="59" t="str">
        <f>IF(OR($A2599="",$C2599="",$D2599="",$E2599="",$H2599=""),"",SUMIFS(DATA_GOC!$H:$H,DATA_GOC!$A:$A,"BOM",DATA_GOC!$D:$D,$H2599,DATA_GOC!$E:$E,$C2599,DATA_GOC!$F:$F,"Xuất nội bộ từ téc",DATA_GOC!$B:$B,"&gt;="&amp;$D2599,DATA_GOC!$B:$B,"&lt;="&amp;$E2599))</f>
        <v/>
      </c>
      <c r="J2599" s="59">
        <f t="shared" si="28"/>
        <v>0</v>
      </c>
      <c r="K2599" s="59">
        <f t="shared" si="29"/>
        <v>0</v>
      </c>
      <c r="L2599" s="59">
        <f t="shared" si="30"/>
        <v>0</v>
      </c>
      <c r="M2599" s="59">
        <f t="shared" si="31"/>
        <v>0</v>
      </c>
    </row>
    <row r="2600" ht="15.0" hidden="1" customHeight="1">
      <c r="A2600" s="59">
        <f t="shared" si="20"/>
        <v>40</v>
      </c>
      <c r="B2600" s="59" t="str">
        <f t="shared" si="21"/>
        <v/>
      </c>
      <c r="C2600" s="59" t="str">
        <f t="shared" si="22"/>
        <v/>
      </c>
      <c r="D2600" s="45" t="str">
        <f t="shared" si="23"/>
        <v/>
      </c>
      <c r="E2600" s="45" t="str">
        <f t="shared" si="24"/>
        <v/>
      </c>
      <c r="F2600" s="59" t="str">
        <f t="shared" si="25"/>
        <v/>
      </c>
      <c r="G2600" s="59" t="str">
        <f t="shared" si="26"/>
        <v/>
      </c>
      <c r="H2600" s="59" t="str">
        <f t="shared" si="27"/>
        <v>28C05661</v>
      </c>
      <c r="I2600" s="59" t="str">
        <f>IF(OR($A2600="",$C2600="",$D2600="",$E2600="",$H2600=""),"",SUMIFS(DATA_GOC!$H:$H,DATA_GOC!$A:$A,"BOM",DATA_GOC!$D:$D,$H2600,DATA_GOC!$E:$E,$C2600,DATA_GOC!$F:$F,"Xuất nội bộ từ téc",DATA_GOC!$B:$B,"&gt;="&amp;$D2600,DATA_GOC!$B:$B,"&lt;="&amp;$E2600))</f>
        <v/>
      </c>
      <c r="J2600" s="59">
        <f t="shared" si="28"/>
        <v>0</v>
      </c>
      <c r="K2600" s="59">
        <f t="shared" si="29"/>
        <v>0</v>
      </c>
      <c r="L2600" s="59">
        <f t="shared" si="30"/>
        <v>0</v>
      </c>
      <c r="M2600" s="59">
        <f t="shared" si="31"/>
        <v>0</v>
      </c>
    </row>
    <row r="2601" ht="15.0" hidden="1" customHeight="1">
      <c r="A2601" s="59">
        <f t="shared" si="20"/>
        <v>40</v>
      </c>
      <c r="B2601" s="59" t="str">
        <f t="shared" si="21"/>
        <v/>
      </c>
      <c r="C2601" s="59" t="str">
        <f t="shared" si="22"/>
        <v/>
      </c>
      <c r="D2601" s="45" t="str">
        <f t="shared" si="23"/>
        <v/>
      </c>
      <c r="E2601" s="45" t="str">
        <f t="shared" si="24"/>
        <v/>
      </c>
      <c r="F2601" s="59" t="str">
        <f t="shared" si="25"/>
        <v/>
      </c>
      <c r="G2601" s="59" t="str">
        <f t="shared" si="26"/>
        <v/>
      </c>
      <c r="H2601" s="59" t="str">
        <f t="shared" si="27"/>
        <v>28C05739</v>
      </c>
      <c r="I2601" s="59" t="str">
        <f>IF(OR($A2601="",$C2601="",$D2601="",$E2601="",$H2601=""),"",SUMIFS(DATA_GOC!$H:$H,DATA_GOC!$A:$A,"BOM",DATA_GOC!$D:$D,$H2601,DATA_GOC!$E:$E,$C2601,DATA_GOC!$F:$F,"Xuất nội bộ từ téc",DATA_GOC!$B:$B,"&gt;="&amp;$D2601,DATA_GOC!$B:$B,"&lt;="&amp;$E2601))</f>
        <v/>
      </c>
      <c r="J2601" s="59">
        <f t="shared" si="28"/>
        <v>0</v>
      </c>
      <c r="K2601" s="59">
        <f t="shared" si="29"/>
        <v>0</v>
      </c>
      <c r="L2601" s="59">
        <f t="shared" si="30"/>
        <v>0</v>
      </c>
      <c r="M2601" s="59">
        <f t="shared" si="31"/>
        <v>0</v>
      </c>
    </row>
    <row r="2602" ht="15.0" hidden="1" customHeight="1">
      <c r="A2602" s="59">
        <f t="shared" si="20"/>
        <v>40</v>
      </c>
      <c r="B2602" s="59" t="str">
        <f t="shared" si="21"/>
        <v/>
      </c>
      <c r="C2602" s="59" t="str">
        <f t="shared" si="22"/>
        <v/>
      </c>
      <c r="D2602" s="45" t="str">
        <f t="shared" si="23"/>
        <v/>
      </c>
      <c r="E2602" s="45" t="str">
        <f t="shared" si="24"/>
        <v/>
      </c>
      <c r="F2602" s="59" t="str">
        <f t="shared" si="25"/>
        <v/>
      </c>
      <c r="G2602" s="59" t="str">
        <f t="shared" si="26"/>
        <v/>
      </c>
      <c r="H2602" s="59" t="str">
        <f t="shared" si="27"/>
        <v>28C06369</v>
      </c>
      <c r="I2602" s="59" t="str">
        <f>IF(OR($A2602="",$C2602="",$D2602="",$E2602="",$H2602=""),"",SUMIFS(DATA_GOC!$H:$H,DATA_GOC!$A:$A,"BOM",DATA_GOC!$D:$D,$H2602,DATA_GOC!$E:$E,$C2602,DATA_GOC!$F:$F,"Xuất nội bộ từ téc",DATA_GOC!$B:$B,"&gt;="&amp;$D2602,DATA_GOC!$B:$B,"&lt;="&amp;$E2602))</f>
        <v/>
      </c>
      <c r="J2602" s="59">
        <f t="shared" si="28"/>
        <v>0</v>
      </c>
      <c r="K2602" s="59">
        <f t="shared" si="29"/>
        <v>0</v>
      </c>
      <c r="L2602" s="59">
        <f t="shared" si="30"/>
        <v>0</v>
      </c>
      <c r="M2602" s="59">
        <f t="shared" si="31"/>
        <v>0</v>
      </c>
    </row>
    <row r="2603" ht="15.0" hidden="1" customHeight="1">
      <c r="A2603" s="59">
        <f t="shared" si="20"/>
        <v>40</v>
      </c>
      <c r="B2603" s="59" t="str">
        <f t="shared" si="21"/>
        <v/>
      </c>
      <c r="C2603" s="59" t="str">
        <f t="shared" si="22"/>
        <v/>
      </c>
      <c r="D2603" s="45" t="str">
        <f t="shared" si="23"/>
        <v/>
      </c>
      <c r="E2603" s="45" t="str">
        <f t="shared" si="24"/>
        <v/>
      </c>
      <c r="F2603" s="59" t="str">
        <f t="shared" si="25"/>
        <v/>
      </c>
      <c r="G2603" s="59" t="str">
        <f t="shared" si="26"/>
        <v/>
      </c>
      <c r="H2603" s="59" t="str">
        <f t="shared" si="27"/>
        <v>28C06447</v>
      </c>
      <c r="I2603" s="59" t="str">
        <f>IF(OR($A2603="",$C2603="",$D2603="",$E2603="",$H2603=""),"",SUMIFS(DATA_GOC!$H:$H,DATA_GOC!$A:$A,"BOM",DATA_GOC!$D:$D,$H2603,DATA_GOC!$E:$E,$C2603,DATA_GOC!$F:$F,"Xuất nội bộ từ téc",DATA_GOC!$B:$B,"&gt;="&amp;$D2603,DATA_GOC!$B:$B,"&lt;="&amp;$E2603))</f>
        <v/>
      </c>
      <c r="J2603" s="59">
        <f t="shared" si="28"/>
        <v>0</v>
      </c>
      <c r="K2603" s="59">
        <f t="shared" si="29"/>
        <v>0</v>
      </c>
      <c r="L2603" s="59">
        <f t="shared" si="30"/>
        <v>0</v>
      </c>
      <c r="M2603" s="59">
        <f t="shared" si="31"/>
        <v>0</v>
      </c>
    </row>
    <row r="2604" ht="15.0" hidden="1" customHeight="1">
      <c r="A2604" s="59">
        <f t="shared" si="20"/>
        <v>40</v>
      </c>
      <c r="B2604" s="59" t="str">
        <f t="shared" si="21"/>
        <v/>
      </c>
      <c r="C2604" s="59" t="str">
        <f t="shared" si="22"/>
        <v/>
      </c>
      <c r="D2604" s="45" t="str">
        <f t="shared" si="23"/>
        <v/>
      </c>
      <c r="E2604" s="45" t="str">
        <f t="shared" si="24"/>
        <v/>
      </c>
      <c r="F2604" s="59" t="str">
        <f t="shared" si="25"/>
        <v/>
      </c>
      <c r="G2604" s="59" t="str">
        <f t="shared" si="26"/>
        <v/>
      </c>
      <c r="H2604" s="59" t="str">
        <f t="shared" si="27"/>
        <v>28H00003</v>
      </c>
      <c r="I2604" s="59" t="str">
        <f>IF(OR($A2604="",$C2604="",$D2604="",$E2604="",$H2604=""),"",SUMIFS(DATA_GOC!$H:$H,DATA_GOC!$A:$A,"BOM",DATA_GOC!$D:$D,$H2604,DATA_GOC!$E:$E,$C2604,DATA_GOC!$F:$F,"Xuất nội bộ từ téc",DATA_GOC!$B:$B,"&gt;="&amp;$D2604,DATA_GOC!$B:$B,"&lt;="&amp;$E2604))</f>
        <v/>
      </c>
      <c r="J2604" s="59">
        <f t="shared" si="28"/>
        <v>0</v>
      </c>
      <c r="K2604" s="59">
        <f t="shared" si="29"/>
        <v>0</v>
      </c>
      <c r="L2604" s="59">
        <f t="shared" si="30"/>
        <v>0</v>
      </c>
      <c r="M2604" s="59">
        <f t="shared" si="31"/>
        <v>0</v>
      </c>
    </row>
    <row r="2605" ht="15.0" hidden="1" customHeight="1">
      <c r="A2605" s="59">
        <f t="shared" si="20"/>
        <v>40</v>
      </c>
      <c r="B2605" s="59" t="str">
        <f t="shared" si="21"/>
        <v/>
      </c>
      <c r="C2605" s="59" t="str">
        <f t="shared" si="22"/>
        <v/>
      </c>
      <c r="D2605" s="45" t="str">
        <f t="shared" si="23"/>
        <v/>
      </c>
      <c r="E2605" s="45" t="str">
        <f t="shared" si="24"/>
        <v/>
      </c>
      <c r="F2605" s="59" t="str">
        <f t="shared" si="25"/>
        <v/>
      </c>
      <c r="G2605" s="59" t="str">
        <f t="shared" si="26"/>
        <v/>
      </c>
      <c r="H2605" s="59" t="str">
        <f t="shared" si="27"/>
        <v>28H00061</v>
      </c>
      <c r="I2605" s="59" t="str">
        <f>IF(OR($A2605="",$C2605="",$D2605="",$E2605="",$H2605=""),"",SUMIFS(DATA_GOC!$H:$H,DATA_GOC!$A:$A,"BOM",DATA_GOC!$D:$D,$H2605,DATA_GOC!$E:$E,$C2605,DATA_GOC!$F:$F,"Xuất nội bộ từ téc",DATA_GOC!$B:$B,"&gt;="&amp;$D2605,DATA_GOC!$B:$B,"&lt;="&amp;$E2605))</f>
        <v/>
      </c>
      <c r="J2605" s="59">
        <f t="shared" si="28"/>
        <v>0</v>
      </c>
      <c r="K2605" s="59">
        <f t="shared" si="29"/>
        <v>0</v>
      </c>
      <c r="L2605" s="59">
        <f t="shared" si="30"/>
        <v>0</v>
      </c>
      <c r="M2605" s="59">
        <f t="shared" si="31"/>
        <v>0</v>
      </c>
    </row>
    <row r="2606" ht="15.0" hidden="1" customHeight="1">
      <c r="A2606" s="59">
        <f t="shared" si="20"/>
        <v>40</v>
      </c>
      <c r="B2606" s="59" t="str">
        <f t="shared" si="21"/>
        <v/>
      </c>
      <c r="C2606" s="59" t="str">
        <f t="shared" si="22"/>
        <v/>
      </c>
      <c r="D2606" s="45" t="str">
        <f t="shared" si="23"/>
        <v/>
      </c>
      <c r="E2606" s="45" t="str">
        <f t="shared" si="24"/>
        <v/>
      </c>
      <c r="F2606" s="59" t="str">
        <f t="shared" si="25"/>
        <v/>
      </c>
      <c r="G2606" s="59" t="str">
        <f t="shared" si="26"/>
        <v/>
      </c>
      <c r="H2606" s="59" t="str">
        <f t="shared" si="27"/>
        <v>28H00354</v>
      </c>
      <c r="I2606" s="59" t="str">
        <f>IF(OR($A2606="",$C2606="",$D2606="",$E2606="",$H2606=""),"",SUMIFS(DATA_GOC!$H:$H,DATA_GOC!$A:$A,"BOM",DATA_GOC!$D:$D,$H2606,DATA_GOC!$E:$E,$C2606,DATA_GOC!$F:$F,"Xuất nội bộ từ téc",DATA_GOC!$B:$B,"&gt;="&amp;$D2606,DATA_GOC!$B:$B,"&lt;="&amp;$E2606))</f>
        <v/>
      </c>
      <c r="J2606" s="59">
        <f t="shared" si="28"/>
        <v>0</v>
      </c>
      <c r="K2606" s="59">
        <f t="shared" si="29"/>
        <v>0</v>
      </c>
      <c r="L2606" s="59">
        <f t="shared" si="30"/>
        <v>0</v>
      </c>
      <c r="M2606" s="59">
        <f t="shared" si="31"/>
        <v>0</v>
      </c>
    </row>
    <row r="2607" ht="15.0" hidden="1" customHeight="1">
      <c r="A2607" s="59">
        <f t="shared" si="20"/>
        <v>40</v>
      </c>
      <c r="B2607" s="59" t="str">
        <f t="shared" si="21"/>
        <v/>
      </c>
      <c r="C2607" s="59" t="str">
        <f t="shared" si="22"/>
        <v/>
      </c>
      <c r="D2607" s="45" t="str">
        <f t="shared" si="23"/>
        <v/>
      </c>
      <c r="E2607" s="45" t="str">
        <f t="shared" si="24"/>
        <v/>
      </c>
      <c r="F2607" s="59" t="str">
        <f t="shared" si="25"/>
        <v/>
      </c>
      <c r="G2607" s="59" t="str">
        <f t="shared" si="26"/>
        <v/>
      </c>
      <c r="H2607" s="59" t="str">
        <f t="shared" si="27"/>
        <v>28H00603</v>
      </c>
      <c r="I2607" s="59" t="str">
        <f>IF(OR($A2607="",$C2607="",$D2607="",$E2607="",$H2607=""),"",SUMIFS(DATA_GOC!$H:$H,DATA_GOC!$A:$A,"BOM",DATA_GOC!$D:$D,$H2607,DATA_GOC!$E:$E,$C2607,DATA_GOC!$F:$F,"Xuất nội bộ từ téc",DATA_GOC!$B:$B,"&gt;="&amp;$D2607,DATA_GOC!$B:$B,"&lt;="&amp;$E2607))</f>
        <v/>
      </c>
      <c r="J2607" s="59">
        <f t="shared" si="28"/>
        <v>0</v>
      </c>
      <c r="K2607" s="59">
        <f t="shared" si="29"/>
        <v>0</v>
      </c>
      <c r="L2607" s="59">
        <f t="shared" si="30"/>
        <v>0</v>
      </c>
      <c r="M2607" s="59">
        <f t="shared" si="31"/>
        <v>0</v>
      </c>
    </row>
    <row r="2608" ht="15.0" hidden="1" customHeight="1">
      <c r="A2608" s="59">
        <f t="shared" si="20"/>
        <v>40</v>
      </c>
      <c r="B2608" s="59" t="str">
        <f t="shared" si="21"/>
        <v/>
      </c>
      <c r="C2608" s="59" t="str">
        <f t="shared" si="22"/>
        <v/>
      </c>
      <c r="D2608" s="45" t="str">
        <f t="shared" si="23"/>
        <v/>
      </c>
      <c r="E2608" s="45" t="str">
        <f t="shared" si="24"/>
        <v/>
      </c>
      <c r="F2608" s="59" t="str">
        <f t="shared" si="25"/>
        <v/>
      </c>
      <c r="G2608" s="59" t="str">
        <f t="shared" si="26"/>
        <v/>
      </c>
      <c r="H2608" s="59" t="str">
        <f t="shared" si="27"/>
        <v>28H00609</v>
      </c>
      <c r="I2608" s="59" t="str">
        <f>IF(OR($A2608="",$C2608="",$D2608="",$E2608="",$H2608=""),"",SUMIFS(DATA_GOC!$H:$H,DATA_GOC!$A:$A,"BOM",DATA_GOC!$D:$D,$H2608,DATA_GOC!$E:$E,$C2608,DATA_GOC!$F:$F,"Xuất nội bộ từ téc",DATA_GOC!$B:$B,"&gt;="&amp;$D2608,DATA_GOC!$B:$B,"&lt;="&amp;$E2608))</f>
        <v/>
      </c>
      <c r="J2608" s="59">
        <f t="shared" si="28"/>
        <v>0</v>
      </c>
      <c r="K2608" s="59">
        <f t="shared" si="29"/>
        <v>0</v>
      </c>
      <c r="L2608" s="59">
        <f t="shared" si="30"/>
        <v>0</v>
      </c>
      <c r="M2608" s="59">
        <f t="shared" si="31"/>
        <v>0</v>
      </c>
    </row>
    <row r="2609" ht="15.0" hidden="1" customHeight="1">
      <c r="A2609" s="59">
        <f t="shared" si="20"/>
        <v>40</v>
      </c>
      <c r="B2609" s="59" t="str">
        <f t="shared" si="21"/>
        <v/>
      </c>
      <c r="C2609" s="59" t="str">
        <f t="shared" si="22"/>
        <v/>
      </c>
      <c r="D2609" s="45" t="str">
        <f t="shared" si="23"/>
        <v/>
      </c>
      <c r="E2609" s="45" t="str">
        <f t="shared" si="24"/>
        <v/>
      </c>
      <c r="F2609" s="59" t="str">
        <f t="shared" si="25"/>
        <v/>
      </c>
      <c r="G2609" s="59" t="str">
        <f t="shared" si="26"/>
        <v/>
      </c>
      <c r="H2609" s="59" t="str">
        <f t="shared" si="27"/>
        <v>28H00669</v>
      </c>
      <c r="I2609" s="59" t="str">
        <f>IF(OR($A2609="",$C2609="",$D2609="",$E2609="",$H2609=""),"",SUMIFS(DATA_GOC!$H:$H,DATA_GOC!$A:$A,"BOM",DATA_GOC!$D:$D,$H2609,DATA_GOC!$E:$E,$C2609,DATA_GOC!$F:$F,"Xuất nội bộ từ téc",DATA_GOC!$B:$B,"&gt;="&amp;$D2609,DATA_GOC!$B:$B,"&lt;="&amp;$E2609))</f>
        <v/>
      </c>
      <c r="J2609" s="59">
        <f t="shared" si="28"/>
        <v>0</v>
      </c>
      <c r="K2609" s="59">
        <f t="shared" si="29"/>
        <v>0</v>
      </c>
      <c r="L2609" s="59">
        <f t="shared" si="30"/>
        <v>0</v>
      </c>
      <c r="M2609" s="59">
        <f t="shared" si="31"/>
        <v>0</v>
      </c>
    </row>
    <row r="2610" ht="15.0" hidden="1" customHeight="1">
      <c r="A2610" s="59">
        <f t="shared" si="20"/>
        <v>40</v>
      </c>
      <c r="B2610" s="59" t="str">
        <f t="shared" si="21"/>
        <v/>
      </c>
      <c r="C2610" s="59" t="str">
        <f t="shared" si="22"/>
        <v/>
      </c>
      <c r="D2610" s="45" t="str">
        <f t="shared" si="23"/>
        <v/>
      </c>
      <c r="E2610" s="45" t="str">
        <f t="shared" si="24"/>
        <v/>
      </c>
      <c r="F2610" s="59" t="str">
        <f t="shared" si="25"/>
        <v/>
      </c>
      <c r="G2610" s="59" t="str">
        <f t="shared" si="26"/>
        <v/>
      </c>
      <c r="H2610" s="59" t="str">
        <f t="shared" si="27"/>
        <v>28H00680</v>
      </c>
      <c r="I2610" s="59" t="str">
        <f>IF(OR($A2610="",$C2610="",$D2610="",$E2610="",$H2610=""),"",SUMIFS(DATA_GOC!$H:$H,DATA_GOC!$A:$A,"BOM",DATA_GOC!$D:$D,$H2610,DATA_GOC!$E:$E,$C2610,DATA_GOC!$F:$F,"Xuất nội bộ từ téc",DATA_GOC!$B:$B,"&gt;="&amp;$D2610,DATA_GOC!$B:$B,"&lt;="&amp;$E2610))</f>
        <v/>
      </c>
      <c r="J2610" s="59">
        <f t="shared" si="28"/>
        <v>0</v>
      </c>
      <c r="K2610" s="59">
        <f t="shared" si="29"/>
        <v>0</v>
      </c>
      <c r="L2610" s="59">
        <f t="shared" si="30"/>
        <v>0</v>
      </c>
      <c r="M2610" s="59">
        <f t="shared" si="31"/>
        <v>0</v>
      </c>
    </row>
    <row r="2611" ht="15.0" hidden="1" customHeight="1">
      <c r="A2611" s="59">
        <f t="shared" si="20"/>
        <v>40</v>
      </c>
      <c r="B2611" s="59" t="str">
        <f t="shared" si="21"/>
        <v/>
      </c>
      <c r="C2611" s="59" t="str">
        <f t="shared" si="22"/>
        <v/>
      </c>
      <c r="D2611" s="45" t="str">
        <f t="shared" si="23"/>
        <v/>
      </c>
      <c r="E2611" s="45" t="str">
        <f t="shared" si="24"/>
        <v/>
      </c>
      <c r="F2611" s="59" t="str">
        <f t="shared" si="25"/>
        <v/>
      </c>
      <c r="G2611" s="59" t="str">
        <f t="shared" si="26"/>
        <v/>
      </c>
      <c r="H2611" s="59" t="str">
        <f t="shared" si="27"/>
        <v>28H01070</v>
      </c>
      <c r="I2611" s="59" t="str">
        <f>IF(OR($A2611="",$C2611="",$D2611="",$E2611="",$H2611=""),"",SUMIFS(DATA_GOC!$H:$H,DATA_GOC!$A:$A,"BOM",DATA_GOC!$D:$D,$H2611,DATA_GOC!$E:$E,$C2611,DATA_GOC!$F:$F,"Xuất nội bộ từ téc",DATA_GOC!$B:$B,"&gt;="&amp;$D2611,DATA_GOC!$B:$B,"&lt;="&amp;$E2611))</f>
        <v/>
      </c>
      <c r="J2611" s="59">
        <f t="shared" si="28"/>
        <v>0</v>
      </c>
      <c r="K2611" s="59">
        <f t="shared" si="29"/>
        <v>0</v>
      </c>
      <c r="L2611" s="59">
        <f t="shared" si="30"/>
        <v>0</v>
      </c>
      <c r="M2611" s="59">
        <f t="shared" si="31"/>
        <v>0</v>
      </c>
    </row>
    <row r="2612" ht="15.0" hidden="1" customHeight="1">
      <c r="A2612" s="59">
        <f t="shared" si="20"/>
        <v>40</v>
      </c>
      <c r="B2612" s="59" t="str">
        <f t="shared" si="21"/>
        <v/>
      </c>
      <c r="C2612" s="59" t="str">
        <f t="shared" si="22"/>
        <v/>
      </c>
      <c r="D2612" s="45" t="str">
        <f t="shared" si="23"/>
        <v/>
      </c>
      <c r="E2612" s="45" t="str">
        <f t="shared" si="24"/>
        <v/>
      </c>
      <c r="F2612" s="59" t="str">
        <f t="shared" si="25"/>
        <v/>
      </c>
      <c r="G2612" s="59" t="str">
        <f t="shared" si="26"/>
        <v/>
      </c>
      <c r="H2612" s="59" t="str">
        <f t="shared" si="27"/>
        <v>28H01364</v>
      </c>
      <c r="I2612" s="59" t="str">
        <f>IF(OR($A2612="",$C2612="",$D2612="",$E2612="",$H2612=""),"",SUMIFS(DATA_GOC!$H:$H,DATA_GOC!$A:$A,"BOM",DATA_GOC!$D:$D,$H2612,DATA_GOC!$E:$E,$C2612,DATA_GOC!$F:$F,"Xuất nội bộ từ téc",DATA_GOC!$B:$B,"&gt;="&amp;$D2612,DATA_GOC!$B:$B,"&lt;="&amp;$E2612))</f>
        <v/>
      </c>
      <c r="J2612" s="59">
        <f t="shared" si="28"/>
        <v>0</v>
      </c>
      <c r="K2612" s="59">
        <f t="shared" si="29"/>
        <v>0</v>
      </c>
      <c r="L2612" s="59">
        <f t="shared" si="30"/>
        <v>0</v>
      </c>
      <c r="M2612" s="59">
        <f t="shared" si="31"/>
        <v>0</v>
      </c>
    </row>
    <row r="2613" ht="15.0" hidden="1" customHeight="1">
      <c r="A2613" s="59">
        <f t="shared" si="20"/>
        <v>40</v>
      </c>
      <c r="B2613" s="59" t="str">
        <f t="shared" si="21"/>
        <v/>
      </c>
      <c r="C2613" s="59" t="str">
        <f t="shared" si="22"/>
        <v/>
      </c>
      <c r="D2613" s="45" t="str">
        <f t="shared" si="23"/>
        <v/>
      </c>
      <c r="E2613" s="45" t="str">
        <f t="shared" si="24"/>
        <v/>
      </c>
      <c r="F2613" s="59" t="str">
        <f t="shared" si="25"/>
        <v/>
      </c>
      <c r="G2613" s="59" t="str">
        <f t="shared" si="26"/>
        <v/>
      </c>
      <c r="H2613" s="59" t="str">
        <f t="shared" si="27"/>
        <v>29E17269</v>
      </c>
      <c r="I2613" s="59" t="str">
        <f>IF(OR($A2613="",$C2613="",$D2613="",$E2613="",$H2613=""),"",SUMIFS(DATA_GOC!$H:$H,DATA_GOC!$A:$A,"BOM",DATA_GOC!$D:$D,$H2613,DATA_GOC!$E:$E,$C2613,DATA_GOC!$F:$F,"Xuất nội bộ từ téc",DATA_GOC!$B:$B,"&gt;="&amp;$D2613,DATA_GOC!$B:$B,"&lt;="&amp;$E2613))</f>
        <v/>
      </c>
      <c r="J2613" s="59">
        <f t="shared" si="28"/>
        <v>0</v>
      </c>
      <c r="K2613" s="59">
        <f t="shared" si="29"/>
        <v>0</v>
      </c>
      <c r="L2613" s="59">
        <f t="shared" si="30"/>
        <v>0</v>
      </c>
      <c r="M2613" s="59">
        <f t="shared" si="31"/>
        <v>0</v>
      </c>
    </row>
    <row r="2614" ht="15.0" hidden="1" customHeight="1">
      <c r="A2614" s="59">
        <f t="shared" si="20"/>
        <v>40</v>
      </c>
      <c r="B2614" s="59" t="str">
        <f t="shared" si="21"/>
        <v/>
      </c>
      <c r="C2614" s="59" t="str">
        <f t="shared" si="22"/>
        <v/>
      </c>
      <c r="D2614" s="45" t="str">
        <f t="shared" si="23"/>
        <v/>
      </c>
      <c r="E2614" s="45" t="str">
        <f t="shared" si="24"/>
        <v/>
      </c>
      <c r="F2614" s="59" t="str">
        <f t="shared" si="25"/>
        <v/>
      </c>
      <c r="G2614" s="59" t="str">
        <f t="shared" si="26"/>
        <v/>
      </c>
      <c r="H2614" s="59" t="str">
        <f t="shared" si="27"/>
        <v>29E17273</v>
      </c>
      <c r="I2614" s="59" t="str">
        <f>IF(OR($A2614="",$C2614="",$D2614="",$E2614="",$H2614=""),"",SUMIFS(DATA_GOC!$H:$H,DATA_GOC!$A:$A,"BOM",DATA_GOC!$D:$D,$H2614,DATA_GOC!$E:$E,$C2614,DATA_GOC!$F:$F,"Xuất nội bộ từ téc",DATA_GOC!$B:$B,"&gt;="&amp;$D2614,DATA_GOC!$B:$B,"&lt;="&amp;$E2614))</f>
        <v/>
      </c>
      <c r="J2614" s="59">
        <f t="shared" si="28"/>
        <v>0</v>
      </c>
      <c r="K2614" s="59">
        <f t="shared" si="29"/>
        <v>0</v>
      </c>
      <c r="L2614" s="59">
        <f t="shared" si="30"/>
        <v>0</v>
      </c>
      <c r="M2614" s="59">
        <f t="shared" si="31"/>
        <v>0</v>
      </c>
    </row>
    <row r="2615" ht="15.0" hidden="1" customHeight="1">
      <c r="A2615" s="59">
        <f t="shared" si="20"/>
        <v>40</v>
      </c>
      <c r="B2615" s="59" t="str">
        <f t="shared" si="21"/>
        <v/>
      </c>
      <c r="C2615" s="59" t="str">
        <f t="shared" si="22"/>
        <v/>
      </c>
      <c r="D2615" s="45" t="str">
        <f t="shared" si="23"/>
        <v/>
      </c>
      <c r="E2615" s="45" t="str">
        <f t="shared" si="24"/>
        <v/>
      </c>
      <c r="F2615" s="59" t="str">
        <f t="shared" si="25"/>
        <v/>
      </c>
      <c r="G2615" s="59" t="str">
        <f t="shared" si="26"/>
        <v/>
      </c>
      <c r="H2615" s="59" t="str">
        <f t="shared" si="27"/>
        <v>29E17410</v>
      </c>
      <c r="I2615" s="59" t="str">
        <f>IF(OR($A2615="",$C2615="",$D2615="",$E2615="",$H2615=""),"",SUMIFS(DATA_GOC!$H:$H,DATA_GOC!$A:$A,"BOM",DATA_GOC!$D:$D,$H2615,DATA_GOC!$E:$E,$C2615,DATA_GOC!$F:$F,"Xuất nội bộ từ téc",DATA_GOC!$B:$B,"&gt;="&amp;$D2615,DATA_GOC!$B:$B,"&lt;="&amp;$E2615))</f>
        <v/>
      </c>
      <c r="J2615" s="59">
        <f t="shared" si="28"/>
        <v>0</v>
      </c>
      <c r="K2615" s="59">
        <f t="shared" si="29"/>
        <v>0</v>
      </c>
      <c r="L2615" s="59">
        <f t="shared" si="30"/>
        <v>0</v>
      </c>
      <c r="M2615" s="59">
        <f t="shared" si="31"/>
        <v>0</v>
      </c>
    </row>
    <row r="2616" ht="15.0" hidden="1" customHeight="1">
      <c r="A2616" s="59">
        <f t="shared" si="20"/>
        <v>40</v>
      </c>
      <c r="B2616" s="59" t="str">
        <f t="shared" si="21"/>
        <v/>
      </c>
      <c r="C2616" s="59" t="str">
        <f t="shared" si="22"/>
        <v/>
      </c>
      <c r="D2616" s="45" t="str">
        <f t="shared" si="23"/>
        <v/>
      </c>
      <c r="E2616" s="45" t="str">
        <f t="shared" si="24"/>
        <v/>
      </c>
      <c r="F2616" s="59" t="str">
        <f t="shared" si="25"/>
        <v/>
      </c>
      <c r="G2616" s="59" t="str">
        <f t="shared" si="26"/>
        <v/>
      </c>
      <c r="H2616" s="59" t="str">
        <f t="shared" si="27"/>
        <v>29E17417</v>
      </c>
      <c r="I2616" s="59" t="str">
        <f>IF(OR($A2616="",$C2616="",$D2616="",$E2616="",$H2616=""),"",SUMIFS(DATA_GOC!$H:$H,DATA_GOC!$A:$A,"BOM",DATA_GOC!$D:$D,$H2616,DATA_GOC!$E:$E,$C2616,DATA_GOC!$F:$F,"Xuất nội bộ từ téc",DATA_GOC!$B:$B,"&gt;="&amp;$D2616,DATA_GOC!$B:$B,"&lt;="&amp;$E2616))</f>
        <v/>
      </c>
      <c r="J2616" s="59">
        <f t="shared" si="28"/>
        <v>0</v>
      </c>
      <c r="K2616" s="59">
        <f t="shared" si="29"/>
        <v>0</v>
      </c>
      <c r="L2616" s="59">
        <f t="shared" si="30"/>
        <v>0</v>
      </c>
      <c r="M2616" s="59">
        <f t="shared" si="31"/>
        <v>0</v>
      </c>
    </row>
    <row r="2617" ht="15.0" hidden="1" customHeight="1">
      <c r="A2617" s="59">
        <f t="shared" si="20"/>
        <v>40</v>
      </c>
      <c r="B2617" s="59" t="str">
        <f t="shared" si="21"/>
        <v/>
      </c>
      <c r="C2617" s="59" t="str">
        <f t="shared" si="22"/>
        <v/>
      </c>
      <c r="D2617" s="45" t="str">
        <f t="shared" si="23"/>
        <v/>
      </c>
      <c r="E2617" s="45" t="str">
        <f t="shared" si="24"/>
        <v/>
      </c>
      <c r="F2617" s="59" t="str">
        <f t="shared" si="25"/>
        <v/>
      </c>
      <c r="G2617" s="59" t="str">
        <f t="shared" si="26"/>
        <v/>
      </c>
      <c r="H2617" s="59" t="str">
        <f t="shared" si="27"/>
        <v>29E17539</v>
      </c>
      <c r="I2617" s="59" t="str">
        <f>IF(OR($A2617="",$C2617="",$D2617="",$E2617="",$H2617=""),"",SUMIFS(DATA_GOC!$H:$H,DATA_GOC!$A:$A,"BOM",DATA_GOC!$D:$D,$H2617,DATA_GOC!$E:$E,$C2617,DATA_GOC!$F:$F,"Xuất nội bộ từ téc",DATA_GOC!$B:$B,"&gt;="&amp;$D2617,DATA_GOC!$B:$B,"&lt;="&amp;$E2617))</f>
        <v/>
      </c>
      <c r="J2617" s="59">
        <f t="shared" si="28"/>
        <v>0</v>
      </c>
      <c r="K2617" s="59">
        <f t="shared" si="29"/>
        <v>0</v>
      </c>
      <c r="L2617" s="59">
        <f t="shared" si="30"/>
        <v>0</v>
      </c>
      <c r="M2617" s="59">
        <f t="shared" si="31"/>
        <v>0</v>
      </c>
    </row>
    <row r="2618" ht="15.0" hidden="1" customHeight="1">
      <c r="A2618" s="59">
        <f t="shared" si="20"/>
        <v>40</v>
      </c>
      <c r="B2618" s="59" t="str">
        <f t="shared" si="21"/>
        <v/>
      </c>
      <c r="C2618" s="59" t="str">
        <f t="shared" si="22"/>
        <v/>
      </c>
      <c r="D2618" s="45" t="str">
        <f t="shared" si="23"/>
        <v/>
      </c>
      <c r="E2618" s="45" t="str">
        <f t="shared" si="24"/>
        <v/>
      </c>
      <c r="F2618" s="59" t="str">
        <f t="shared" si="25"/>
        <v/>
      </c>
      <c r="G2618" s="59" t="str">
        <f t="shared" si="26"/>
        <v/>
      </c>
      <c r="H2618" s="59" t="str">
        <f t="shared" si="27"/>
        <v>29E18160</v>
      </c>
      <c r="I2618" s="59" t="str">
        <f>IF(OR($A2618="",$C2618="",$D2618="",$E2618="",$H2618=""),"",SUMIFS(DATA_GOC!$H:$H,DATA_GOC!$A:$A,"BOM",DATA_GOC!$D:$D,$H2618,DATA_GOC!$E:$E,$C2618,DATA_GOC!$F:$F,"Xuất nội bộ từ téc",DATA_GOC!$B:$B,"&gt;="&amp;$D2618,DATA_GOC!$B:$B,"&lt;="&amp;$E2618))</f>
        <v/>
      </c>
      <c r="J2618" s="59">
        <f t="shared" si="28"/>
        <v>0</v>
      </c>
      <c r="K2618" s="59">
        <f t="shared" si="29"/>
        <v>0</v>
      </c>
      <c r="L2618" s="59">
        <f t="shared" si="30"/>
        <v>0</v>
      </c>
      <c r="M2618" s="59">
        <f t="shared" si="31"/>
        <v>0</v>
      </c>
    </row>
    <row r="2619" ht="15.0" hidden="1" customHeight="1">
      <c r="A2619" s="59">
        <f t="shared" si="20"/>
        <v>40</v>
      </c>
      <c r="B2619" s="59" t="str">
        <f t="shared" si="21"/>
        <v/>
      </c>
      <c r="C2619" s="59" t="str">
        <f t="shared" si="22"/>
        <v/>
      </c>
      <c r="D2619" s="45" t="str">
        <f t="shared" si="23"/>
        <v/>
      </c>
      <c r="E2619" s="45" t="str">
        <f t="shared" si="24"/>
        <v/>
      </c>
      <c r="F2619" s="59" t="str">
        <f t="shared" si="25"/>
        <v/>
      </c>
      <c r="G2619" s="59" t="str">
        <f t="shared" si="26"/>
        <v/>
      </c>
      <c r="H2619" s="59" t="str">
        <f t="shared" si="27"/>
        <v>Công trình Asphalt</v>
      </c>
      <c r="I2619" s="59" t="str">
        <f>IF(OR($A2619="",$C2619="",$D2619="",$E2619="",$H2619=""),"",SUMIFS(DATA_GOC!$H:$H,DATA_GOC!$A:$A,"BOM",DATA_GOC!$D:$D,$H2619,DATA_GOC!$E:$E,$C2619,DATA_GOC!$F:$F,"Xuất nội bộ từ téc",DATA_GOC!$B:$B,"&gt;="&amp;$D2619,DATA_GOC!$B:$B,"&lt;="&amp;$E2619))</f>
        <v/>
      </c>
      <c r="J2619" s="59">
        <f t="shared" si="28"/>
        <v>0</v>
      </c>
      <c r="K2619" s="59">
        <f t="shared" si="29"/>
        <v>0</v>
      </c>
      <c r="L2619" s="59">
        <f t="shared" si="30"/>
        <v>0</v>
      </c>
      <c r="M2619" s="59">
        <f t="shared" si="31"/>
        <v>0</v>
      </c>
    </row>
    <row r="2620" ht="15.0" hidden="1" customHeight="1">
      <c r="A2620" s="59">
        <f t="shared" si="20"/>
        <v>40</v>
      </c>
      <c r="B2620" s="59" t="str">
        <f t="shared" si="21"/>
        <v/>
      </c>
      <c r="C2620" s="59" t="str">
        <f t="shared" si="22"/>
        <v/>
      </c>
      <c r="D2620" s="45" t="str">
        <f t="shared" si="23"/>
        <v/>
      </c>
      <c r="E2620" s="45" t="str">
        <f t="shared" si="24"/>
        <v/>
      </c>
      <c r="F2620" s="59" t="str">
        <f t="shared" si="25"/>
        <v/>
      </c>
      <c r="G2620" s="59" t="str">
        <f t="shared" si="26"/>
        <v/>
      </c>
      <c r="H2620" s="59" t="str">
        <f t="shared" si="27"/>
        <v>LG53F</v>
      </c>
      <c r="I2620" s="59" t="str">
        <f>IF(OR($A2620="",$C2620="",$D2620="",$E2620="",$H2620=""),"",SUMIFS(DATA_GOC!$H:$H,DATA_GOC!$A:$A,"BOM",DATA_GOC!$D:$D,$H2620,DATA_GOC!$E:$E,$C2620,DATA_GOC!$F:$F,"Xuất nội bộ từ téc",DATA_GOC!$B:$B,"&gt;="&amp;$D2620,DATA_GOC!$B:$B,"&lt;="&amp;$E2620))</f>
        <v/>
      </c>
      <c r="J2620" s="59">
        <f t="shared" si="28"/>
        <v>0</v>
      </c>
      <c r="K2620" s="59">
        <f t="shared" si="29"/>
        <v>0</v>
      </c>
      <c r="L2620" s="59">
        <f t="shared" si="30"/>
        <v>0</v>
      </c>
      <c r="M2620" s="59">
        <f t="shared" si="31"/>
        <v>0</v>
      </c>
    </row>
    <row r="2621" ht="15.0" hidden="1" customHeight="1">
      <c r="A2621" s="59">
        <f t="shared" si="20"/>
        <v>40</v>
      </c>
      <c r="B2621" s="59" t="str">
        <f t="shared" si="21"/>
        <v/>
      </c>
      <c r="C2621" s="59" t="str">
        <f t="shared" si="22"/>
        <v/>
      </c>
      <c r="D2621" s="45" t="str">
        <f t="shared" si="23"/>
        <v/>
      </c>
      <c r="E2621" s="45" t="str">
        <f t="shared" si="24"/>
        <v/>
      </c>
      <c r="F2621" s="59" t="str">
        <f t="shared" si="25"/>
        <v/>
      </c>
      <c r="G2621" s="59" t="str">
        <f t="shared" si="26"/>
        <v/>
      </c>
      <c r="H2621" s="59" t="str">
        <f t="shared" si="27"/>
        <v>Máy phát điện</v>
      </c>
      <c r="I2621" s="59" t="str">
        <f>IF(OR($A2621="",$C2621="",$D2621="",$E2621="",$H2621=""),"",SUMIFS(DATA_GOC!$H:$H,DATA_GOC!$A:$A,"BOM",DATA_GOC!$D:$D,$H2621,DATA_GOC!$E:$E,$C2621,DATA_GOC!$F:$F,"Xuất nội bộ từ téc",DATA_GOC!$B:$B,"&gt;="&amp;$D2621,DATA_GOC!$B:$B,"&lt;="&amp;$E2621))</f>
        <v/>
      </c>
      <c r="J2621" s="59">
        <f t="shared" si="28"/>
        <v>0</v>
      </c>
      <c r="K2621" s="59">
        <f t="shared" si="29"/>
        <v>0</v>
      </c>
      <c r="L2621" s="59">
        <f t="shared" si="30"/>
        <v>0</v>
      </c>
      <c r="M2621" s="59">
        <f t="shared" si="31"/>
        <v>0</v>
      </c>
    </row>
    <row r="2622" ht="15.0" hidden="1" customHeight="1">
      <c r="A2622" s="59">
        <f t="shared" si="20"/>
        <v>40</v>
      </c>
      <c r="B2622" s="59" t="str">
        <f t="shared" si="21"/>
        <v/>
      </c>
      <c r="C2622" s="59" t="str">
        <f t="shared" si="22"/>
        <v/>
      </c>
      <c r="D2622" s="45" t="str">
        <f t="shared" si="23"/>
        <v/>
      </c>
      <c r="E2622" s="45" t="str">
        <f t="shared" si="24"/>
        <v/>
      </c>
      <c r="F2622" s="59" t="str">
        <f t="shared" si="25"/>
        <v/>
      </c>
      <c r="G2622" s="59" t="str">
        <f t="shared" si="26"/>
        <v/>
      </c>
      <c r="H2622" s="59" t="str">
        <f t="shared" si="27"/>
        <v>Máy rải thảm</v>
      </c>
      <c r="I2622" s="59" t="str">
        <f>IF(OR($A2622="",$C2622="",$D2622="",$E2622="",$H2622=""),"",SUMIFS(DATA_GOC!$H:$H,DATA_GOC!$A:$A,"BOM",DATA_GOC!$D:$D,$H2622,DATA_GOC!$E:$E,$C2622,DATA_GOC!$F:$F,"Xuất nội bộ từ téc",DATA_GOC!$B:$B,"&gt;="&amp;$D2622,DATA_GOC!$B:$B,"&lt;="&amp;$E2622))</f>
        <v/>
      </c>
      <c r="J2622" s="59">
        <f t="shared" si="28"/>
        <v>0</v>
      </c>
      <c r="K2622" s="59">
        <f t="shared" si="29"/>
        <v>0</v>
      </c>
      <c r="L2622" s="59">
        <f t="shared" si="30"/>
        <v>0</v>
      </c>
      <c r="M2622" s="59">
        <f t="shared" si="31"/>
        <v>0</v>
      </c>
    </row>
    <row r="2623" ht="15.0" hidden="1" customHeight="1">
      <c r="A2623" s="59">
        <f t="shared" si="20"/>
        <v>40</v>
      </c>
      <c r="B2623" s="59" t="str">
        <f t="shared" si="21"/>
        <v/>
      </c>
      <c r="C2623" s="59" t="str">
        <f t="shared" si="22"/>
        <v/>
      </c>
      <c r="D2623" s="45" t="str">
        <f t="shared" si="23"/>
        <v/>
      </c>
      <c r="E2623" s="45" t="str">
        <f t="shared" si="24"/>
        <v/>
      </c>
      <c r="F2623" s="59" t="str">
        <f t="shared" si="25"/>
        <v/>
      </c>
      <c r="G2623" s="59" t="str">
        <f t="shared" si="26"/>
        <v/>
      </c>
      <c r="H2623" s="59" t="str">
        <f t="shared" si="27"/>
        <v>Xúc Đào</v>
      </c>
      <c r="I2623" s="59" t="str">
        <f>IF(OR($A2623="",$C2623="",$D2623="",$E2623="",$H2623=""),"",SUMIFS(DATA_GOC!$H:$H,DATA_GOC!$A:$A,"BOM",DATA_GOC!$D:$D,$H2623,DATA_GOC!$E:$E,$C2623,DATA_GOC!$F:$F,"Xuất nội bộ từ téc",DATA_GOC!$B:$B,"&gt;="&amp;$D2623,DATA_GOC!$B:$B,"&lt;="&amp;$E2623))</f>
        <v/>
      </c>
      <c r="J2623" s="59">
        <f t="shared" si="28"/>
        <v>0</v>
      </c>
      <c r="K2623" s="59">
        <f t="shared" si="29"/>
        <v>0</v>
      </c>
      <c r="L2623" s="59">
        <f t="shared" si="30"/>
        <v>0</v>
      </c>
      <c r="M2623" s="59">
        <f t="shared" si="31"/>
        <v>0</v>
      </c>
    </row>
    <row r="2624" ht="15.0" hidden="1" customHeight="1">
      <c r="A2624" s="59">
        <f t="shared" si="20"/>
        <v>40</v>
      </c>
      <c r="B2624" s="59" t="str">
        <f t="shared" si="21"/>
        <v/>
      </c>
      <c r="C2624" s="59" t="str">
        <f t="shared" si="22"/>
        <v/>
      </c>
      <c r="D2624" s="45" t="str">
        <f t="shared" si="23"/>
        <v/>
      </c>
      <c r="E2624" s="45" t="str">
        <f t="shared" si="24"/>
        <v/>
      </c>
      <c r="F2624" s="59" t="str">
        <f t="shared" si="25"/>
        <v/>
      </c>
      <c r="G2624" s="59" t="str">
        <f t="shared" si="26"/>
        <v/>
      </c>
      <c r="H2624" s="59" t="str">
        <f t="shared" si="27"/>
        <v>Xúclật asphalt</v>
      </c>
      <c r="I2624" s="59" t="str">
        <f>IF(OR($A2624="",$C2624="",$D2624="",$E2624="",$H2624=""),"",SUMIFS(DATA_GOC!$H:$H,DATA_GOC!$A:$A,"BOM",DATA_GOC!$D:$D,$H2624,DATA_GOC!$E:$E,$C2624,DATA_GOC!$F:$F,"Xuất nội bộ từ téc",DATA_GOC!$B:$B,"&gt;="&amp;$D2624,DATA_GOC!$B:$B,"&lt;="&amp;$E2624))</f>
        <v/>
      </c>
      <c r="J2624" s="59">
        <f t="shared" si="28"/>
        <v>0</v>
      </c>
      <c r="K2624" s="59">
        <f t="shared" si="29"/>
        <v>0</v>
      </c>
      <c r="L2624" s="59">
        <f t="shared" si="30"/>
        <v>0</v>
      </c>
      <c r="M2624" s="59">
        <f t="shared" si="31"/>
        <v>0</v>
      </c>
    </row>
    <row r="2625" ht="15.0" hidden="1" customHeight="1">
      <c r="A2625" s="59">
        <f t="shared" si="20"/>
        <v>40</v>
      </c>
      <c r="B2625" s="59" t="str">
        <f t="shared" si="21"/>
        <v/>
      </c>
      <c r="C2625" s="59" t="str">
        <f t="shared" si="22"/>
        <v/>
      </c>
      <c r="D2625" s="45" t="str">
        <f t="shared" si="23"/>
        <v/>
      </c>
      <c r="E2625" s="45" t="str">
        <f t="shared" si="24"/>
        <v/>
      </c>
      <c r="F2625" s="59" t="str">
        <f t="shared" si="25"/>
        <v/>
      </c>
      <c r="G2625" s="59" t="str">
        <f t="shared" si="26"/>
        <v/>
      </c>
      <c r="H2625" s="59" t="str">
        <f t="shared" si="27"/>
        <v>Xúclật855H</v>
      </c>
      <c r="I2625" s="59" t="str">
        <f>IF(OR($A2625="",$C2625="",$D2625="",$E2625="",$H2625=""),"",SUMIFS(DATA_GOC!$H:$H,DATA_GOC!$A:$A,"BOM",DATA_GOC!$D:$D,$H2625,DATA_GOC!$E:$E,$C2625,DATA_GOC!$F:$F,"Xuất nội bộ từ téc",DATA_GOC!$B:$B,"&gt;="&amp;$D2625,DATA_GOC!$B:$B,"&lt;="&amp;$E2625))</f>
        <v/>
      </c>
      <c r="J2625" s="59">
        <f t="shared" si="28"/>
        <v>0</v>
      </c>
      <c r="K2625" s="59">
        <f t="shared" si="29"/>
        <v>0</v>
      </c>
      <c r="L2625" s="59">
        <f t="shared" si="30"/>
        <v>0</v>
      </c>
      <c r="M2625" s="59">
        <f t="shared" si="31"/>
        <v>0</v>
      </c>
    </row>
    <row r="2626" ht="15.0" hidden="1" customHeight="1">
      <c r="A2626" s="59">
        <f t="shared" si="20"/>
        <v>40</v>
      </c>
      <c r="B2626" s="59" t="str">
        <f t="shared" si="21"/>
        <v/>
      </c>
      <c r="C2626" s="59" t="str">
        <f t="shared" si="22"/>
        <v/>
      </c>
      <c r="D2626" s="45" t="str">
        <f t="shared" si="23"/>
        <v/>
      </c>
      <c r="E2626" s="45" t="str">
        <f t="shared" si="24"/>
        <v/>
      </c>
      <c r="F2626" s="59" t="str">
        <f t="shared" si="25"/>
        <v/>
      </c>
      <c r="G2626" s="59" t="str">
        <f t="shared" si="26"/>
        <v/>
      </c>
      <c r="H2626" s="59" t="str">
        <f t="shared" si="27"/>
        <v>Xúclật855N</v>
      </c>
      <c r="I2626" s="59" t="str">
        <f>IF(OR($A2626="",$C2626="",$D2626="",$E2626="",$H2626=""),"",SUMIFS(DATA_GOC!$H:$H,DATA_GOC!$A:$A,"BOM",DATA_GOC!$D:$D,$H2626,DATA_GOC!$E:$E,$C2626,DATA_GOC!$F:$F,"Xuất nội bộ từ téc",DATA_GOC!$B:$B,"&gt;="&amp;$D2626,DATA_GOC!$B:$B,"&lt;="&amp;$E2626))</f>
        <v/>
      </c>
      <c r="J2626" s="59">
        <f t="shared" si="28"/>
        <v>0</v>
      </c>
      <c r="K2626" s="59">
        <f t="shared" si="29"/>
        <v>0</v>
      </c>
      <c r="L2626" s="59">
        <f t="shared" si="30"/>
        <v>0</v>
      </c>
      <c r="M2626" s="59">
        <f t="shared" si="31"/>
        <v>0</v>
      </c>
    </row>
    <row r="2627" ht="15.0" hidden="1" customHeight="1">
      <c r="A2627" s="59">
        <f t="shared" si="20"/>
        <v>40</v>
      </c>
      <c r="B2627" s="59" t="str">
        <f t="shared" si="21"/>
        <v/>
      </c>
      <c r="C2627" s="59" t="str">
        <f t="shared" si="22"/>
        <v/>
      </c>
      <c r="D2627" s="45" t="str">
        <f t="shared" si="23"/>
        <v/>
      </c>
      <c r="E2627" s="45" t="str">
        <f t="shared" si="24"/>
        <v/>
      </c>
      <c r="F2627" s="59" t="str">
        <f t="shared" si="25"/>
        <v/>
      </c>
      <c r="G2627" s="59" t="str">
        <f t="shared" si="26"/>
        <v/>
      </c>
      <c r="H2627" s="59" t="str">
        <f t="shared" si="27"/>
        <v>Cát nghiền</v>
      </c>
      <c r="I2627" s="59" t="str">
        <f>IF(OR($A2627="",$C2627="",$D2627="",$E2627="",$H2627=""),"",SUMIFS(DATA_GOC!$H:$H,DATA_GOC!$A:$A,"BOM",DATA_GOC!$D:$D,$H2627,DATA_GOC!$E:$E,$C2627,DATA_GOC!$F:$F,"Xuất nội bộ từ téc",DATA_GOC!$B:$B,"&gt;="&amp;$D2627,DATA_GOC!$B:$B,"&lt;="&amp;$E2627))</f>
        <v/>
      </c>
      <c r="J2627" s="59">
        <f t="shared" si="28"/>
        <v>0</v>
      </c>
      <c r="K2627" s="59">
        <f t="shared" si="29"/>
        <v>0</v>
      </c>
      <c r="L2627" s="59">
        <f t="shared" si="30"/>
        <v>0</v>
      </c>
      <c r="M2627" s="59">
        <f t="shared" si="31"/>
        <v>0</v>
      </c>
    </row>
    <row r="2628" ht="15.0" hidden="1" customHeight="1">
      <c r="A2628" s="59">
        <f t="shared" si="20"/>
        <v>40</v>
      </c>
      <c r="B2628" s="59" t="str">
        <f t="shared" si="21"/>
        <v/>
      </c>
      <c r="C2628" s="59" t="str">
        <f t="shared" si="22"/>
        <v/>
      </c>
      <c r="D2628" s="45" t="str">
        <f t="shared" si="23"/>
        <v/>
      </c>
      <c r="E2628" s="45" t="str">
        <f t="shared" si="24"/>
        <v/>
      </c>
      <c r="F2628" s="59" t="str">
        <f t="shared" si="25"/>
        <v/>
      </c>
      <c r="G2628" s="59" t="str">
        <f t="shared" si="26"/>
        <v/>
      </c>
      <c r="H2628" s="59" t="str">
        <f t="shared" si="27"/>
        <v>28C02973</v>
      </c>
      <c r="I2628" s="59" t="str">
        <f>IF(OR($A2628="",$C2628="",$D2628="",$E2628="",$H2628=""),"",SUMIFS(DATA_GOC!$H:$H,DATA_GOC!$A:$A,"BOM",DATA_GOC!$D:$D,$H2628,DATA_GOC!$E:$E,$C2628,DATA_GOC!$F:$F,"Xuất nội bộ từ téc",DATA_GOC!$B:$B,"&gt;="&amp;$D2628,DATA_GOC!$B:$B,"&lt;="&amp;$E2628))</f>
        <v/>
      </c>
      <c r="J2628" s="59">
        <f t="shared" si="28"/>
        <v>0</v>
      </c>
      <c r="K2628" s="59">
        <f t="shared" si="29"/>
        <v>0</v>
      </c>
      <c r="L2628" s="59">
        <f t="shared" si="30"/>
        <v>0</v>
      </c>
      <c r="M2628" s="59">
        <f t="shared" si="31"/>
        <v>0</v>
      </c>
    </row>
    <row r="2629" ht="15.0" hidden="1" customHeight="1">
      <c r="A2629" s="59">
        <f t="shared" si="20"/>
        <v>40</v>
      </c>
      <c r="B2629" s="59" t="str">
        <f t="shared" si="21"/>
        <v/>
      </c>
      <c r="C2629" s="59" t="str">
        <f t="shared" si="22"/>
        <v/>
      </c>
      <c r="D2629" s="45" t="str">
        <f t="shared" si="23"/>
        <v/>
      </c>
      <c r="E2629" s="45" t="str">
        <f t="shared" si="24"/>
        <v/>
      </c>
      <c r="F2629" s="59" t="str">
        <f t="shared" si="25"/>
        <v/>
      </c>
      <c r="G2629" s="59" t="str">
        <f t="shared" si="26"/>
        <v/>
      </c>
      <c r="H2629" s="59" t="str">
        <f t="shared" si="27"/>
        <v>28C03044</v>
      </c>
      <c r="I2629" s="59" t="str">
        <f>IF(OR($A2629="",$C2629="",$D2629="",$E2629="",$H2629=""),"",SUMIFS(DATA_GOC!$H:$H,DATA_GOC!$A:$A,"BOM",DATA_GOC!$D:$D,$H2629,DATA_GOC!$E:$E,$C2629,DATA_GOC!$F:$F,"Xuất nội bộ từ téc",DATA_GOC!$B:$B,"&gt;="&amp;$D2629,DATA_GOC!$B:$B,"&lt;="&amp;$E2629))</f>
        <v/>
      </c>
      <c r="J2629" s="59">
        <f t="shared" si="28"/>
        <v>0</v>
      </c>
      <c r="K2629" s="59">
        <f t="shared" si="29"/>
        <v>0</v>
      </c>
      <c r="L2629" s="59">
        <f t="shared" si="30"/>
        <v>0</v>
      </c>
      <c r="M2629" s="59">
        <f t="shared" si="31"/>
        <v>0</v>
      </c>
    </row>
    <row r="2630" ht="15.0" hidden="1" customHeight="1">
      <c r="A2630" s="59">
        <f t="shared" si="20"/>
        <v>40</v>
      </c>
      <c r="B2630" s="59" t="str">
        <f t="shared" si="21"/>
        <v/>
      </c>
      <c r="C2630" s="59" t="str">
        <f t="shared" si="22"/>
        <v/>
      </c>
      <c r="D2630" s="45" t="str">
        <f t="shared" si="23"/>
        <v/>
      </c>
      <c r="E2630" s="45" t="str">
        <f t="shared" si="24"/>
        <v/>
      </c>
      <c r="F2630" s="59" t="str">
        <f t="shared" si="25"/>
        <v/>
      </c>
      <c r="G2630" s="59" t="str">
        <f t="shared" si="26"/>
        <v/>
      </c>
      <c r="H2630" s="59" t="str">
        <f t="shared" si="27"/>
        <v>Máy lu lốp</v>
      </c>
      <c r="I2630" s="59" t="str">
        <f>IF(OR($A2630="",$C2630="",$D2630="",$E2630="",$H2630=""),"",SUMIFS(DATA_GOC!$H:$H,DATA_GOC!$A:$A,"BOM",DATA_GOC!$D:$D,$H2630,DATA_GOC!$E:$E,$C2630,DATA_GOC!$F:$F,"Xuất nội bộ từ téc",DATA_GOC!$B:$B,"&gt;="&amp;$D2630,DATA_GOC!$B:$B,"&lt;="&amp;$E2630))</f>
        <v/>
      </c>
      <c r="J2630" s="59">
        <f t="shared" si="28"/>
        <v>0</v>
      </c>
      <c r="K2630" s="59">
        <f t="shared" si="29"/>
        <v>0</v>
      </c>
      <c r="L2630" s="59">
        <f t="shared" si="30"/>
        <v>0</v>
      </c>
      <c r="M2630" s="59">
        <f t="shared" si="31"/>
        <v>0</v>
      </c>
    </row>
    <row r="2631" ht="15.0" hidden="1" customHeight="1">
      <c r="A2631" s="59">
        <f t="shared" si="20"/>
        <v>40</v>
      </c>
      <c r="B2631" s="59" t="str">
        <f t="shared" si="21"/>
        <v/>
      </c>
      <c r="C2631" s="59" t="str">
        <f t="shared" si="22"/>
        <v/>
      </c>
      <c r="D2631" s="45" t="str">
        <f t="shared" si="23"/>
        <v/>
      </c>
      <c r="E2631" s="45" t="str">
        <f t="shared" si="24"/>
        <v/>
      </c>
      <c r="F2631" s="59" t="str">
        <f t="shared" si="25"/>
        <v/>
      </c>
      <c r="G2631" s="59" t="str">
        <f t="shared" si="26"/>
        <v/>
      </c>
      <c r="H2631" s="59" t="str">
        <f t="shared" si="27"/>
        <v>Xe 600148</v>
      </c>
      <c r="I2631" s="59" t="str">
        <f>IF(OR($A2631="",$C2631="",$D2631="",$E2631="",$H2631=""),"",SUMIFS(DATA_GOC!$H:$H,DATA_GOC!$A:$A,"BOM",DATA_GOC!$D:$D,$H2631,DATA_GOC!$E:$E,$C2631,DATA_GOC!$F:$F,"Xuất nội bộ từ téc",DATA_GOC!$B:$B,"&gt;="&amp;$D2631,DATA_GOC!$B:$B,"&lt;="&amp;$E2631))</f>
        <v/>
      </c>
      <c r="J2631" s="59">
        <f t="shared" si="28"/>
        <v>0</v>
      </c>
      <c r="K2631" s="59">
        <f t="shared" si="29"/>
        <v>0</v>
      </c>
      <c r="L2631" s="59">
        <f t="shared" si="30"/>
        <v>0</v>
      </c>
      <c r="M2631" s="59">
        <f t="shared" si="31"/>
        <v>0</v>
      </c>
    </row>
    <row r="2632" ht="15.0" hidden="1" customHeight="1">
      <c r="A2632" s="59">
        <f t="shared" si="20"/>
        <v>40</v>
      </c>
      <c r="B2632" s="59" t="str">
        <f t="shared" si="21"/>
        <v/>
      </c>
      <c r="C2632" s="59" t="str">
        <f t="shared" si="22"/>
        <v/>
      </c>
      <c r="D2632" s="45" t="str">
        <f t="shared" si="23"/>
        <v/>
      </c>
      <c r="E2632" s="45" t="str">
        <f t="shared" si="24"/>
        <v/>
      </c>
      <c r="F2632" s="59" t="str">
        <f t="shared" si="25"/>
        <v/>
      </c>
      <c r="G2632" s="59" t="str">
        <f t="shared" si="26"/>
        <v/>
      </c>
      <c r="H2632" s="59" t="str">
        <f t="shared" si="27"/>
        <v>Xe ben mới</v>
      </c>
      <c r="I2632" s="59" t="str">
        <f>IF(OR($A2632="",$C2632="",$D2632="",$E2632="",$H2632=""),"",SUMIFS(DATA_GOC!$H:$H,DATA_GOC!$A:$A,"BOM",DATA_GOC!$D:$D,$H2632,DATA_GOC!$E:$E,$C2632,DATA_GOC!$F:$F,"Xuất nội bộ từ téc",DATA_GOC!$B:$B,"&gt;="&amp;$D2632,DATA_GOC!$B:$B,"&lt;="&amp;$E2632))</f>
        <v/>
      </c>
      <c r="J2632" s="59">
        <f t="shared" si="28"/>
        <v>0</v>
      </c>
      <c r="K2632" s="59">
        <f t="shared" si="29"/>
        <v>0</v>
      </c>
      <c r="L2632" s="59">
        <f t="shared" si="30"/>
        <v>0</v>
      </c>
      <c r="M2632" s="59">
        <f t="shared" si="31"/>
        <v>0</v>
      </c>
    </row>
    <row r="2633" ht="15.0" hidden="1" customHeight="1">
      <c r="A2633" s="59">
        <f t="shared" si="20"/>
        <v>41</v>
      </c>
      <c r="B2633" s="59" t="str">
        <f t="shared" si="21"/>
        <v/>
      </c>
      <c r="C2633" s="59" t="str">
        <f t="shared" si="22"/>
        <v/>
      </c>
      <c r="D2633" s="45" t="str">
        <f t="shared" si="23"/>
        <v/>
      </c>
      <c r="E2633" s="45" t="str">
        <f t="shared" si="24"/>
        <v/>
      </c>
      <c r="F2633" s="59" t="str">
        <f t="shared" si="25"/>
        <v/>
      </c>
      <c r="G2633" s="59" t="str">
        <f t="shared" si="26"/>
        <v/>
      </c>
      <c r="H2633" s="59" t="str">
        <f t="shared" si="27"/>
        <v>19H09482</v>
      </c>
      <c r="I2633" s="59" t="str">
        <f>IF(OR($A2633="",$C2633="",$D2633="",$E2633="",$H2633=""),"",SUMIFS(DATA_GOC!$H:$H,DATA_GOC!$A:$A,"BOM",DATA_GOC!$D:$D,$H2633,DATA_GOC!$E:$E,$C2633,DATA_GOC!$F:$F,"Xuất nội bộ từ téc",DATA_GOC!$B:$B,"&gt;="&amp;$D2633,DATA_GOC!$B:$B,"&lt;="&amp;$E2633))</f>
        <v/>
      </c>
      <c r="J2633" s="59">
        <f t="shared" si="28"/>
        <v>0</v>
      </c>
      <c r="K2633" s="59">
        <f t="shared" si="29"/>
        <v>0</v>
      </c>
      <c r="L2633" s="59">
        <f t="shared" si="30"/>
        <v>0</v>
      </c>
      <c r="M2633" s="59">
        <f t="shared" si="31"/>
        <v>0</v>
      </c>
    </row>
    <row r="2634" ht="15.0" hidden="1" customHeight="1">
      <c r="A2634" s="59">
        <f t="shared" si="20"/>
        <v>41</v>
      </c>
      <c r="B2634" s="59" t="str">
        <f t="shared" si="21"/>
        <v/>
      </c>
      <c r="C2634" s="59" t="str">
        <f t="shared" si="22"/>
        <v/>
      </c>
      <c r="D2634" s="45" t="str">
        <f t="shared" si="23"/>
        <v/>
      </c>
      <c r="E2634" s="45" t="str">
        <f t="shared" si="24"/>
        <v/>
      </c>
      <c r="F2634" s="59" t="str">
        <f t="shared" si="25"/>
        <v/>
      </c>
      <c r="G2634" s="59" t="str">
        <f t="shared" si="26"/>
        <v/>
      </c>
      <c r="H2634" s="59" t="str">
        <f t="shared" si="27"/>
        <v>28A30696</v>
      </c>
      <c r="I2634" s="59" t="str">
        <f>IF(OR($A2634="",$C2634="",$D2634="",$E2634="",$H2634=""),"",SUMIFS(DATA_GOC!$H:$H,DATA_GOC!$A:$A,"BOM",DATA_GOC!$D:$D,$H2634,DATA_GOC!$E:$E,$C2634,DATA_GOC!$F:$F,"Xuất nội bộ từ téc",DATA_GOC!$B:$B,"&gt;="&amp;$D2634,DATA_GOC!$B:$B,"&lt;="&amp;$E2634))</f>
        <v/>
      </c>
      <c r="J2634" s="59">
        <f t="shared" si="28"/>
        <v>0</v>
      </c>
      <c r="K2634" s="59">
        <f t="shared" si="29"/>
        <v>0</v>
      </c>
      <c r="L2634" s="59">
        <f t="shared" si="30"/>
        <v>0</v>
      </c>
      <c r="M2634" s="59">
        <f t="shared" si="31"/>
        <v>0</v>
      </c>
    </row>
    <row r="2635" ht="15.0" hidden="1" customHeight="1">
      <c r="A2635" s="59">
        <f t="shared" si="20"/>
        <v>41</v>
      </c>
      <c r="B2635" s="59" t="str">
        <f t="shared" si="21"/>
        <v/>
      </c>
      <c r="C2635" s="59" t="str">
        <f t="shared" si="22"/>
        <v/>
      </c>
      <c r="D2635" s="45" t="str">
        <f t="shared" si="23"/>
        <v/>
      </c>
      <c r="E2635" s="45" t="str">
        <f t="shared" si="24"/>
        <v/>
      </c>
      <c r="F2635" s="59" t="str">
        <f t="shared" si="25"/>
        <v/>
      </c>
      <c r="G2635" s="59" t="str">
        <f t="shared" si="26"/>
        <v/>
      </c>
      <c r="H2635" s="59" t="str">
        <f t="shared" si="27"/>
        <v>28C00462</v>
      </c>
      <c r="I2635" s="59" t="str">
        <f>IF(OR($A2635="",$C2635="",$D2635="",$E2635="",$H2635=""),"",SUMIFS(DATA_GOC!$H:$H,DATA_GOC!$A:$A,"BOM",DATA_GOC!$D:$D,$H2635,DATA_GOC!$E:$E,$C2635,DATA_GOC!$F:$F,"Xuất nội bộ từ téc",DATA_GOC!$B:$B,"&gt;="&amp;$D2635,DATA_GOC!$B:$B,"&lt;="&amp;$E2635))</f>
        <v/>
      </c>
      <c r="J2635" s="59">
        <f t="shared" si="28"/>
        <v>0</v>
      </c>
      <c r="K2635" s="59">
        <f t="shared" si="29"/>
        <v>0</v>
      </c>
      <c r="L2635" s="59">
        <f t="shared" si="30"/>
        <v>0</v>
      </c>
      <c r="M2635" s="59">
        <f t="shared" si="31"/>
        <v>0</v>
      </c>
    </row>
    <row r="2636" ht="15.0" hidden="1" customHeight="1">
      <c r="A2636" s="59">
        <f t="shared" si="20"/>
        <v>41</v>
      </c>
      <c r="B2636" s="59" t="str">
        <f t="shared" si="21"/>
        <v/>
      </c>
      <c r="C2636" s="59" t="str">
        <f t="shared" si="22"/>
        <v/>
      </c>
      <c r="D2636" s="45" t="str">
        <f t="shared" si="23"/>
        <v/>
      </c>
      <c r="E2636" s="45" t="str">
        <f t="shared" si="24"/>
        <v/>
      </c>
      <c r="F2636" s="59" t="str">
        <f t="shared" si="25"/>
        <v/>
      </c>
      <c r="G2636" s="59" t="str">
        <f t="shared" si="26"/>
        <v/>
      </c>
      <c r="H2636" s="59" t="str">
        <f t="shared" si="27"/>
        <v>28C01165</v>
      </c>
      <c r="I2636" s="59" t="str">
        <f>IF(OR($A2636="",$C2636="",$D2636="",$E2636="",$H2636=""),"",SUMIFS(DATA_GOC!$H:$H,DATA_GOC!$A:$A,"BOM",DATA_GOC!$D:$D,$H2636,DATA_GOC!$E:$E,$C2636,DATA_GOC!$F:$F,"Xuất nội bộ từ téc",DATA_GOC!$B:$B,"&gt;="&amp;$D2636,DATA_GOC!$B:$B,"&lt;="&amp;$E2636))</f>
        <v/>
      </c>
      <c r="J2636" s="59">
        <f t="shared" si="28"/>
        <v>0</v>
      </c>
      <c r="K2636" s="59">
        <f t="shared" si="29"/>
        <v>0</v>
      </c>
      <c r="L2636" s="59">
        <f t="shared" si="30"/>
        <v>0</v>
      </c>
      <c r="M2636" s="59">
        <f t="shared" si="31"/>
        <v>0</v>
      </c>
    </row>
    <row r="2637" ht="15.0" hidden="1" customHeight="1">
      <c r="A2637" s="59">
        <f t="shared" si="20"/>
        <v>41</v>
      </c>
      <c r="B2637" s="59" t="str">
        <f t="shared" si="21"/>
        <v/>
      </c>
      <c r="C2637" s="59" t="str">
        <f t="shared" si="22"/>
        <v/>
      </c>
      <c r="D2637" s="45" t="str">
        <f t="shared" si="23"/>
        <v/>
      </c>
      <c r="E2637" s="45" t="str">
        <f t="shared" si="24"/>
        <v/>
      </c>
      <c r="F2637" s="59" t="str">
        <f t="shared" si="25"/>
        <v/>
      </c>
      <c r="G2637" s="59" t="str">
        <f t="shared" si="26"/>
        <v/>
      </c>
      <c r="H2637" s="59" t="str">
        <f t="shared" si="27"/>
        <v>28C01406</v>
      </c>
      <c r="I2637" s="59" t="str">
        <f>IF(OR($A2637="",$C2637="",$D2637="",$E2637="",$H2637=""),"",SUMIFS(DATA_GOC!$H:$H,DATA_GOC!$A:$A,"BOM",DATA_GOC!$D:$D,$H2637,DATA_GOC!$E:$E,$C2637,DATA_GOC!$F:$F,"Xuất nội bộ từ téc",DATA_GOC!$B:$B,"&gt;="&amp;$D2637,DATA_GOC!$B:$B,"&lt;="&amp;$E2637))</f>
        <v/>
      </c>
      <c r="J2637" s="59">
        <f t="shared" si="28"/>
        <v>0</v>
      </c>
      <c r="K2637" s="59">
        <f t="shared" si="29"/>
        <v>0</v>
      </c>
      <c r="L2637" s="59">
        <f t="shared" si="30"/>
        <v>0</v>
      </c>
      <c r="M2637" s="59">
        <f t="shared" si="31"/>
        <v>0</v>
      </c>
    </row>
    <row r="2638" ht="15.0" hidden="1" customHeight="1">
      <c r="A2638" s="59">
        <f t="shared" si="20"/>
        <v>41</v>
      </c>
      <c r="B2638" s="59" t="str">
        <f t="shared" si="21"/>
        <v/>
      </c>
      <c r="C2638" s="59" t="str">
        <f t="shared" si="22"/>
        <v/>
      </c>
      <c r="D2638" s="45" t="str">
        <f t="shared" si="23"/>
        <v/>
      </c>
      <c r="E2638" s="45" t="str">
        <f t="shared" si="24"/>
        <v/>
      </c>
      <c r="F2638" s="59" t="str">
        <f t="shared" si="25"/>
        <v/>
      </c>
      <c r="G2638" s="59" t="str">
        <f t="shared" si="26"/>
        <v/>
      </c>
      <c r="H2638" s="59" t="str">
        <f t="shared" si="27"/>
        <v>28C01544</v>
      </c>
      <c r="I2638" s="59" t="str">
        <f>IF(OR($A2638="",$C2638="",$D2638="",$E2638="",$H2638=""),"",SUMIFS(DATA_GOC!$H:$H,DATA_GOC!$A:$A,"BOM",DATA_GOC!$D:$D,$H2638,DATA_GOC!$E:$E,$C2638,DATA_GOC!$F:$F,"Xuất nội bộ từ téc",DATA_GOC!$B:$B,"&gt;="&amp;$D2638,DATA_GOC!$B:$B,"&lt;="&amp;$E2638))</f>
        <v/>
      </c>
      <c r="J2638" s="59">
        <f t="shared" si="28"/>
        <v>0</v>
      </c>
      <c r="K2638" s="59">
        <f t="shared" si="29"/>
        <v>0</v>
      </c>
      <c r="L2638" s="59">
        <f t="shared" si="30"/>
        <v>0</v>
      </c>
      <c r="M2638" s="59">
        <f t="shared" si="31"/>
        <v>0</v>
      </c>
    </row>
    <row r="2639" ht="15.0" hidden="1" customHeight="1">
      <c r="A2639" s="59">
        <f t="shared" si="20"/>
        <v>41</v>
      </c>
      <c r="B2639" s="59" t="str">
        <f t="shared" si="21"/>
        <v/>
      </c>
      <c r="C2639" s="59" t="str">
        <f t="shared" si="22"/>
        <v/>
      </c>
      <c r="D2639" s="45" t="str">
        <f t="shared" si="23"/>
        <v/>
      </c>
      <c r="E2639" s="45" t="str">
        <f t="shared" si="24"/>
        <v/>
      </c>
      <c r="F2639" s="59" t="str">
        <f t="shared" si="25"/>
        <v/>
      </c>
      <c r="G2639" s="59" t="str">
        <f t="shared" si="26"/>
        <v/>
      </c>
      <c r="H2639" s="59" t="str">
        <f t="shared" si="27"/>
        <v>28C01622</v>
      </c>
      <c r="I2639" s="59" t="str">
        <f>IF(OR($A2639="",$C2639="",$D2639="",$E2639="",$H2639=""),"",SUMIFS(DATA_GOC!$H:$H,DATA_GOC!$A:$A,"BOM",DATA_GOC!$D:$D,$H2639,DATA_GOC!$E:$E,$C2639,DATA_GOC!$F:$F,"Xuất nội bộ từ téc",DATA_GOC!$B:$B,"&gt;="&amp;$D2639,DATA_GOC!$B:$B,"&lt;="&amp;$E2639))</f>
        <v/>
      </c>
      <c r="J2639" s="59">
        <f t="shared" si="28"/>
        <v>0</v>
      </c>
      <c r="K2639" s="59">
        <f t="shared" si="29"/>
        <v>0</v>
      </c>
      <c r="L2639" s="59">
        <f t="shared" si="30"/>
        <v>0</v>
      </c>
      <c r="M2639" s="59">
        <f t="shared" si="31"/>
        <v>0</v>
      </c>
    </row>
    <row r="2640" ht="15.0" hidden="1" customHeight="1">
      <c r="A2640" s="59">
        <f t="shared" si="20"/>
        <v>41</v>
      </c>
      <c r="B2640" s="59" t="str">
        <f t="shared" si="21"/>
        <v/>
      </c>
      <c r="C2640" s="59" t="str">
        <f t="shared" si="22"/>
        <v/>
      </c>
      <c r="D2640" s="45" t="str">
        <f t="shared" si="23"/>
        <v/>
      </c>
      <c r="E2640" s="45" t="str">
        <f t="shared" si="24"/>
        <v/>
      </c>
      <c r="F2640" s="59" t="str">
        <f t="shared" si="25"/>
        <v/>
      </c>
      <c r="G2640" s="59" t="str">
        <f t="shared" si="26"/>
        <v/>
      </c>
      <c r="H2640" s="59" t="str">
        <f t="shared" si="27"/>
        <v>28C01647</v>
      </c>
      <c r="I2640" s="59" t="str">
        <f>IF(OR($A2640="",$C2640="",$D2640="",$E2640="",$H2640=""),"",SUMIFS(DATA_GOC!$H:$H,DATA_GOC!$A:$A,"BOM",DATA_GOC!$D:$D,$H2640,DATA_GOC!$E:$E,$C2640,DATA_GOC!$F:$F,"Xuất nội bộ từ téc",DATA_GOC!$B:$B,"&gt;="&amp;$D2640,DATA_GOC!$B:$B,"&lt;="&amp;$E2640))</f>
        <v/>
      </c>
      <c r="J2640" s="59">
        <f t="shared" si="28"/>
        <v>0</v>
      </c>
      <c r="K2640" s="59">
        <f t="shared" si="29"/>
        <v>0</v>
      </c>
      <c r="L2640" s="59">
        <f t="shared" si="30"/>
        <v>0</v>
      </c>
      <c r="M2640" s="59">
        <f t="shared" si="31"/>
        <v>0</v>
      </c>
    </row>
    <row r="2641" ht="15.0" hidden="1" customHeight="1">
      <c r="A2641" s="59">
        <f t="shared" si="20"/>
        <v>41</v>
      </c>
      <c r="B2641" s="59" t="str">
        <f t="shared" si="21"/>
        <v/>
      </c>
      <c r="C2641" s="59" t="str">
        <f t="shared" si="22"/>
        <v/>
      </c>
      <c r="D2641" s="45" t="str">
        <f t="shared" si="23"/>
        <v/>
      </c>
      <c r="E2641" s="45" t="str">
        <f t="shared" si="24"/>
        <v/>
      </c>
      <c r="F2641" s="59" t="str">
        <f t="shared" si="25"/>
        <v/>
      </c>
      <c r="G2641" s="59" t="str">
        <f t="shared" si="26"/>
        <v/>
      </c>
      <c r="H2641" s="59" t="str">
        <f t="shared" si="27"/>
        <v>28C01731</v>
      </c>
      <c r="I2641" s="59" t="str">
        <f>IF(OR($A2641="",$C2641="",$D2641="",$E2641="",$H2641=""),"",SUMIFS(DATA_GOC!$H:$H,DATA_GOC!$A:$A,"BOM",DATA_GOC!$D:$D,$H2641,DATA_GOC!$E:$E,$C2641,DATA_GOC!$F:$F,"Xuất nội bộ từ téc",DATA_GOC!$B:$B,"&gt;="&amp;$D2641,DATA_GOC!$B:$B,"&lt;="&amp;$E2641))</f>
        <v/>
      </c>
      <c r="J2641" s="59">
        <f t="shared" si="28"/>
        <v>0</v>
      </c>
      <c r="K2641" s="59">
        <f t="shared" si="29"/>
        <v>0</v>
      </c>
      <c r="L2641" s="59">
        <f t="shared" si="30"/>
        <v>0</v>
      </c>
      <c r="M2641" s="59">
        <f t="shared" si="31"/>
        <v>0</v>
      </c>
    </row>
    <row r="2642" ht="15.0" hidden="1" customHeight="1">
      <c r="A2642" s="59">
        <f t="shared" si="20"/>
        <v>41</v>
      </c>
      <c r="B2642" s="59" t="str">
        <f t="shared" si="21"/>
        <v/>
      </c>
      <c r="C2642" s="59" t="str">
        <f t="shared" si="22"/>
        <v/>
      </c>
      <c r="D2642" s="45" t="str">
        <f t="shared" si="23"/>
        <v/>
      </c>
      <c r="E2642" s="45" t="str">
        <f t="shared" si="24"/>
        <v/>
      </c>
      <c r="F2642" s="59" t="str">
        <f t="shared" si="25"/>
        <v/>
      </c>
      <c r="G2642" s="59" t="str">
        <f t="shared" si="26"/>
        <v/>
      </c>
      <c r="H2642" s="59" t="str">
        <f t="shared" si="27"/>
        <v>28C01743</v>
      </c>
      <c r="I2642" s="59" t="str">
        <f>IF(OR($A2642="",$C2642="",$D2642="",$E2642="",$H2642=""),"",SUMIFS(DATA_GOC!$H:$H,DATA_GOC!$A:$A,"BOM",DATA_GOC!$D:$D,$H2642,DATA_GOC!$E:$E,$C2642,DATA_GOC!$F:$F,"Xuất nội bộ từ téc",DATA_GOC!$B:$B,"&gt;="&amp;$D2642,DATA_GOC!$B:$B,"&lt;="&amp;$E2642))</f>
        <v/>
      </c>
      <c r="J2642" s="59">
        <f t="shared" si="28"/>
        <v>0</v>
      </c>
      <c r="K2642" s="59">
        <f t="shared" si="29"/>
        <v>0</v>
      </c>
      <c r="L2642" s="59">
        <f t="shared" si="30"/>
        <v>0</v>
      </c>
      <c r="M2642" s="59">
        <f t="shared" si="31"/>
        <v>0</v>
      </c>
    </row>
    <row r="2643" ht="15.0" hidden="1" customHeight="1">
      <c r="A2643" s="59">
        <f t="shared" si="20"/>
        <v>41</v>
      </c>
      <c r="B2643" s="59" t="str">
        <f t="shared" si="21"/>
        <v/>
      </c>
      <c r="C2643" s="59" t="str">
        <f t="shared" si="22"/>
        <v/>
      </c>
      <c r="D2643" s="45" t="str">
        <f t="shared" si="23"/>
        <v/>
      </c>
      <c r="E2643" s="45" t="str">
        <f t="shared" si="24"/>
        <v/>
      </c>
      <c r="F2643" s="59" t="str">
        <f t="shared" si="25"/>
        <v/>
      </c>
      <c r="G2643" s="59" t="str">
        <f t="shared" si="26"/>
        <v/>
      </c>
      <c r="H2643" s="59" t="str">
        <f t="shared" si="27"/>
        <v>28C02106</v>
      </c>
      <c r="I2643" s="59" t="str">
        <f>IF(OR($A2643="",$C2643="",$D2643="",$E2643="",$H2643=""),"",SUMIFS(DATA_GOC!$H:$H,DATA_GOC!$A:$A,"BOM",DATA_GOC!$D:$D,$H2643,DATA_GOC!$E:$E,$C2643,DATA_GOC!$F:$F,"Xuất nội bộ từ téc",DATA_GOC!$B:$B,"&gt;="&amp;$D2643,DATA_GOC!$B:$B,"&lt;="&amp;$E2643))</f>
        <v/>
      </c>
      <c r="J2643" s="59">
        <f t="shared" si="28"/>
        <v>0</v>
      </c>
      <c r="K2643" s="59">
        <f t="shared" si="29"/>
        <v>0</v>
      </c>
      <c r="L2643" s="59">
        <f t="shared" si="30"/>
        <v>0</v>
      </c>
      <c r="M2643" s="59">
        <f t="shared" si="31"/>
        <v>0</v>
      </c>
    </row>
    <row r="2644" ht="15.0" hidden="1" customHeight="1">
      <c r="A2644" s="59">
        <f t="shared" si="20"/>
        <v>41</v>
      </c>
      <c r="B2644" s="59" t="str">
        <f t="shared" si="21"/>
        <v/>
      </c>
      <c r="C2644" s="59" t="str">
        <f t="shared" si="22"/>
        <v/>
      </c>
      <c r="D2644" s="45" t="str">
        <f t="shared" si="23"/>
        <v/>
      </c>
      <c r="E2644" s="45" t="str">
        <f t="shared" si="24"/>
        <v/>
      </c>
      <c r="F2644" s="59" t="str">
        <f t="shared" si="25"/>
        <v/>
      </c>
      <c r="G2644" s="59" t="str">
        <f t="shared" si="26"/>
        <v/>
      </c>
      <c r="H2644" s="59" t="str">
        <f t="shared" si="27"/>
        <v>28C02410</v>
      </c>
      <c r="I2644" s="59" t="str">
        <f>IF(OR($A2644="",$C2644="",$D2644="",$E2644="",$H2644=""),"",SUMIFS(DATA_GOC!$H:$H,DATA_GOC!$A:$A,"BOM",DATA_GOC!$D:$D,$H2644,DATA_GOC!$E:$E,$C2644,DATA_GOC!$F:$F,"Xuất nội bộ từ téc",DATA_GOC!$B:$B,"&gt;="&amp;$D2644,DATA_GOC!$B:$B,"&lt;="&amp;$E2644))</f>
        <v/>
      </c>
      <c r="J2644" s="59">
        <f t="shared" si="28"/>
        <v>0</v>
      </c>
      <c r="K2644" s="59">
        <f t="shared" si="29"/>
        <v>0</v>
      </c>
      <c r="L2644" s="59">
        <f t="shared" si="30"/>
        <v>0</v>
      </c>
      <c r="M2644" s="59">
        <f t="shared" si="31"/>
        <v>0</v>
      </c>
    </row>
    <row r="2645" ht="15.0" hidden="1" customHeight="1">
      <c r="A2645" s="59">
        <f t="shared" si="20"/>
        <v>41</v>
      </c>
      <c r="B2645" s="59" t="str">
        <f t="shared" si="21"/>
        <v/>
      </c>
      <c r="C2645" s="59" t="str">
        <f t="shared" si="22"/>
        <v/>
      </c>
      <c r="D2645" s="45" t="str">
        <f t="shared" si="23"/>
        <v/>
      </c>
      <c r="E2645" s="45" t="str">
        <f t="shared" si="24"/>
        <v/>
      </c>
      <c r="F2645" s="59" t="str">
        <f t="shared" si="25"/>
        <v/>
      </c>
      <c r="G2645" s="59" t="str">
        <f t="shared" si="26"/>
        <v/>
      </c>
      <c r="H2645" s="59" t="str">
        <f t="shared" si="27"/>
        <v>28C02545</v>
      </c>
      <c r="I2645" s="59" t="str">
        <f>IF(OR($A2645="",$C2645="",$D2645="",$E2645="",$H2645=""),"",SUMIFS(DATA_GOC!$H:$H,DATA_GOC!$A:$A,"BOM",DATA_GOC!$D:$D,$H2645,DATA_GOC!$E:$E,$C2645,DATA_GOC!$F:$F,"Xuất nội bộ từ téc",DATA_GOC!$B:$B,"&gt;="&amp;$D2645,DATA_GOC!$B:$B,"&lt;="&amp;$E2645))</f>
        <v/>
      </c>
      <c r="J2645" s="59">
        <f t="shared" si="28"/>
        <v>0</v>
      </c>
      <c r="K2645" s="59">
        <f t="shared" si="29"/>
        <v>0</v>
      </c>
      <c r="L2645" s="59">
        <f t="shared" si="30"/>
        <v>0</v>
      </c>
      <c r="M2645" s="59">
        <f t="shared" si="31"/>
        <v>0</v>
      </c>
    </row>
    <row r="2646" ht="15.0" hidden="1" customHeight="1">
      <c r="A2646" s="59">
        <f t="shared" si="20"/>
        <v>41</v>
      </c>
      <c r="B2646" s="59" t="str">
        <f t="shared" si="21"/>
        <v/>
      </c>
      <c r="C2646" s="59" t="str">
        <f t="shared" si="22"/>
        <v/>
      </c>
      <c r="D2646" s="45" t="str">
        <f t="shared" si="23"/>
        <v/>
      </c>
      <c r="E2646" s="45" t="str">
        <f t="shared" si="24"/>
        <v/>
      </c>
      <c r="F2646" s="59" t="str">
        <f t="shared" si="25"/>
        <v/>
      </c>
      <c r="G2646" s="59" t="str">
        <f t="shared" si="26"/>
        <v/>
      </c>
      <c r="H2646" s="59" t="str">
        <f t="shared" si="27"/>
        <v>28C02574</v>
      </c>
      <c r="I2646" s="59" t="str">
        <f>IF(OR($A2646="",$C2646="",$D2646="",$E2646="",$H2646=""),"",SUMIFS(DATA_GOC!$H:$H,DATA_GOC!$A:$A,"BOM",DATA_GOC!$D:$D,$H2646,DATA_GOC!$E:$E,$C2646,DATA_GOC!$F:$F,"Xuất nội bộ từ téc",DATA_GOC!$B:$B,"&gt;="&amp;$D2646,DATA_GOC!$B:$B,"&lt;="&amp;$E2646))</f>
        <v/>
      </c>
      <c r="J2646" s="59">
        <f t="shared" si="28"/>
        <v>0</v>
      </c>
      <c r="K2646" s="59">
        <f t="shared" si="29"/>
        <v>0</v>
      </c>
      <c r="L2646" s="59">
        <f t="shared" si="30"/>
        <v>0</v>
      </c>
      <c r="M2646" s="59">
        <f t="shared" si="31"/>
        <v>0</v>
      </c>
    </row>
    <row r="2647" ht="15.0" hidden="1" customHeight="1">
      <c r="A2647" s="59">
        <f t="shared" si="20"/>
        <v>41</v>
      </c>
      <c r="B2647" s="59" t="str">
        <f t="shared" si="21"/>
        <v/>
      </c>
      <c r="C2647" s="59" t="str">
        <f t="shared" si="22"/>
        <v/>
      </c>
      <c r="D2647" s="45" t="str">
        <f t="shared" si="23"/>
        <v/>
      </c>
      <c r="E2647" s="45" t="str">
        <f t="shared" si="24"/>
        <v/>
      </c>
      <c r="F2647" s="59" t="str">
        <f t="shared" si="25"/>
        <v/>
      </c>
      <c r="G2647" s="59" t="str">
        <f t="shared" si="26"/>
        <v/>
      </c>
      <c r="H2647" s="59" t="str">
        <f t="shared" si="27"/>
        <v>28C02770</v>
      </c>
      <c r="I2647" s="59" t="str">
        <f>IF(OR($A2647="",$C2647="",$D2647="",$E2647="",$H2647=""),"",SUMIFS(DATA_GOC!$H:$H,DATA_GOC!$A:$A,"BOM",DATA_GOC!$D:$D,$H2647,DATA_GOC!$E:$E,$C2647,DATA_GOC!$F:$F,"Xuất nội bộ từ téc",DATA_GOC!$B:$B,"&gt;="&amp;$D2647,DATA_GOC!$B:$B,"&lt;="&amp;$E2647))</f>
        <v/>
      </c>
      <c r="J2647" s="59">
        <f t="shared" si="28"/>
        <v>0</v>
      </c>
      <c r="K2647" s="59">
        <f t="shared" si="29"/>
        <v>0</v>
      </c>
      <c r="L2647" s="59">
        <f t="shared" si="30"/>
        <v>0</v>
      </c>
      <c r="M2647" s="59">
        <f t="shared" si="31"/>
        <v>0</v>
      </c>
    </row>
    <row r="2648" ht="15.0" hidden="1" customHeight="1">
      <c r="A2648" s="59">
        <f t="shared" si="20"/>
        <v>41</v>
      </c>
      <c r="B2648" s="59" t="str">
        <f t="shared" si="21"/>
        <v/>
      </c>
      <c r="C2648" s="59" t="str">
        <f t="shared" si="22"/>
        <v/>
      </c>
      <c r="D2648" s="45" t="str">
        <f t="shared" si="23"/>
        <v/>
      </c>
      <c r="E2648" s="45" t="str">
        <f t="shared" si="24"/>
        <v/>
      </c>
      <c r="F2648" s="59" t="str">
        <f t="shared" si="25"/>
        <v/>
      </c>
      <c r="G2648" s="59" t="str">
        <f t="shared" si="26"/>
        <v/>
      </c>
      <c r="H2648" s="59" t="str">
        <f t="shared" si="27"/>
        <v>28C02986</v>
      </c>
      <c r="I2648" s="59" t="str">
        <f>IF(OR($A2648="",$C2648="",$D2648="",$E2648="",$H2648=""),"",SUMIFS(DATA_GOC!$H:$H,DATA_GOC!$A:$A,"BOM",DATA_GOC!$D:$D,$H2648,DATA_GOC!$E:$E,$C2648,DATA_GOC!$F:$F,"Xuất nội bộ từ téc",DATA_GOC!$B:$B,"&gt;="&amp;$D2648,DATA_GOC!$B:$B,"&lt;="&amp;$E2648))</f>
        <v/>
      </c>
      <c r="J2648" s="59">
        <f t="shared" si="28"/>
        <v>0</v>
      </c>
      <c r="K2648" s="59">
        <f t="shared" si="29"/>
        <v>0</v>
      </c>
      <c r="L2648" s="59">
        <f t="shared" si="30"/>
        <v>0</v>
      </c>
      <c r="M2648" s="59">
        <f t="shared" si="31"/>
        <v>0</v>
      </c>
    </row>
    <row r="2649" ht="15.0" hidden="1" customHeight="1">
      <c r="A2649" s="59">
        <f t="shared" si="20"/>
        <v>41</v>
      </c>
      <c r="B2649" s="59" t="str">
        <f t="shared" si="21"/>
        <v/>
      </c>
      <c r="C2649" s="59" t="str">
        <f t="shared" si="22"/>
        <v/>
      </c>
      <c r="D2649" s="45" t="str">
        <f t="shared" si="23"/>
        <v/>
      </c>
      <c r="E2649" s="45" t="str">
        <f t="shared" si="24"/>
        <v/>
      </c>
      <c r="F2649" s="59" t="str">
        <f t="shared" si="25"/>
        <v/>
      </c>
      <c r="G2649" s="59" t="str">
        <f t="shared" si="26"/>
        <v/>
      </c>
      <c r="H2649" s="59" t="str">
        <f t="shared" si="27"/>
        <v>28C03261</v>
      </c>
      <c r="I2649" s="59" t="str">
        <f>IF(OR($A2649="",$C2649="",$D2649="",$E2649="",$H2649=""),"",SUMIFS(DATA_GOC!$H:$H,DATA_GOC!$A:$A,"BOM",DATA_GOC!$D:$D,$H2649,DATA_GOC!$E:$E,$C2649,DATA_GOC!$F:$F,"Xuất nội bộ từ téc",DATA_GOC!$B:$B,"&gt;="&amp;$D2649,DATA_GOC!$B:$B,"&lt;="&amp;$E2649))</f>
        <v/>
      </c>
      <c r="J2649" s="59">
        <f t="shared" si="28"/>
        <v>0</v>
      </c>
      <c r="K2649" s="59">
        <f t="shared" si="29"/>
        <v>0</v>
      </c>
      <c r="L2649" s="59">
        <f t="shared" si="30"/>
        <v>0</v>
      </c>
      <c r="M2649" s="59">
        <f t="shared" si="31"/>
        <v>0</v>
      </c>
    </row>
    <row r="2650" ht="15.0" hidden="1" customHeight="1">
      <c r="A2650" s="59">
        <f t="shared" si="20"/>
        <v>41</v>
      </c>
      <c r="B2650" s="59" t="str">
        <f t="shared" si="21"/>
        <v/>
      </c>
      <c r="C2650" s="59" t="str">
        <f t="shared" si="22"/>
        <v/>
      </c>
      <c r="D2650" s="45" t="str">
        <f t="shared" si="23"/>
        <v/>
      </c>
      <c r="E2650" s="45" t="str">
        <f t="shared" si="24"/>
        <v/>
      </c>
      <c r="F2650" s="59" t="str">
        <f t="shared" si="25"/>
        <v/>
      </c>
      <c r="G2650" s="59" t="str">
        <f t="shared" si="26"/>
        <v/>
      </c>
      <c r="H2650" s="59" t="str">
        <f t="shared" si="27"/>
        <v>28C03323</v>
      </c>
      <c r="I2650" s="59" t="str">
        <f>IF(OR($A2650="",$C2650="",$D2650="",$E2650="",$H2650=""),"",SUMIFS(DATA_GOC!$H:$H,DATA_GOC!$A:$A,"BOM",DATA_GOC!$D:$D,$H2650,DATA_GOC!$E:$E,$C2650,DATA_GOC!$F:$F,"Xuất nội bộ từ téc",DATA_GOC!$B:$B,"&gt;="&amp;$D2650,DATA_GOC!$B:$B,"&lt;="&amp;$E2650))</f>
        <v/>
      </c>
      <c r="J2650" s="59">
        <f t="shared" si="28"/>
        <v>0</v>
      </c>
      <c r="K2650" s="59">
        <f t="shared" si="29"/>
        <v>0</v>
      </c>
      <c r="L2650" s="59">
        <f t="shared" si="30"/>
        <v>0</v>
      </c>
      <c r="M2650" s="59">
        <f t="shared" si="31"/>
        <v>0</v>
      </c>
    </row>
    <row r="2651" ht="15.0" hidden="1" customHeight="1">
      <c r="A2651" s="59">
        <f t="shared" si="20"/>
        <v>41</v>
      </c>
      <c r="B2651" s="59" t="str">
        <f t="shared" si="21"/>
        <v/>
      </c>
      <c r="C2651" s="59" t="str">
        <f t="shared" si="22"/>
        <v/>
      </c>
      <c r="D2651" s="45" t="str">
        <f t="shared" si="23"/>
        <v/>
      </c>
      <c r="E2651" s="45" t="str">
        <f t="shared" si="24"/>
        <v/>
      </c>
      <c r="F2651" s="59" t="str">
        <f t="shared" si="25"/>
        <v/>
      </c>
      <c r="G2651" s="59" t="str">
        <f t="shared" si="26"/>
        <v/>
      </c>
      <c r="H2651" s="59" t="str">
        <f t="shared" si="27"/>
        <v>28C03385</v>
      </c>
      <c r="I2651" s="59" t="str">
        <f>IF(OR($A2651="",$C2651="",$D2651="",$E2651="",$H2651=""),"",SUMIFS(DATA_GOC!$H:$H,DATA_GOC!$A:$A,"BOM",DATA_GOC!$D:$D,$H2651,DATA_GOC!$E:$E,$C2651,DATA_GOC!$F:$F,"Xuất nội bộ từ téc",DATA_GOC!$B:$B,"&gt;="&amp;$D2651,DATA_GOC!$B:$B,"&lt;="&amp;$E2651))</f>
        <v/>
      </c>
      <c r="J2651" s="59">
        <f t="shared" si="28"/>
        <v>0</v>
      </c>
      <c r="K2651" s="59">
        <f t="shared" si="29"/>
        <v>0</v>
      </c>
      <c r="L2651" s="59">
        <f t="shared" si="30"/>
        <v>0</v>
      </c>
      <c r="M2651" s="59">
        <f t="shared" si="31"/>
        <v>0</v>
      </c>
    </row>
    <row r="2652" ht="15.0" hidden="1" customHeight="1">
      <c r="A2652" s="59">
        <f t="shared" si="20"/>
        <v>41</v>
      </c>
      <c r="B2652" s="59" t="str">
        <f t="shared" si="21"/>
        <v/>
      </c>
      <c r="C2652" s="59" t="str">
        <f t="shared" si="22"/>
        <v/>
      </c>
      <c r="D2652" s="45" t="str">
        <f t="shared" si="23"/>
        <v/>
      </c>
      <c r="E2652" s="45" t="str">
        <f t="shared" si="24"/>
        <v/>
      </c>
      <c r="F2652" s="59" t="str">
        <f t="shared" si="25"/>
        <v/>
      </c>
      <c r="G2652" s="59" t="str">
        <f t="shared" si="26"/>
        <v/>
      </c>
      <c r="H2652" s="59" t="str">
        <f t="shared" si="27"/>
        <v>28C03652</v>
      </c>
      <c r="I2652" s="59" t="str">
        <f>IF(OR($A2652="",$C2652="",$D2652="",$E2652="",$H2652=""),"",SUMIFS(DATA_GOC!$H:$H,DATA_GOC!$A:$A,"BOM",DATA_GOC!$D:$D,$H2652,DATA_GOC!$E:$E,$C2652,DATA_GOC!$F:$F,"Xuất nội bộ từ téc",DATA_GOC!$B:$B,"&gt;="&amp;$D2652,DATA_GOC!$B:$B,"&lt;="&amp;$E2652))</f>
        <v/>
      </c>
      <c r="J2652" s="59">
        <f t="shared" si="28"/>
        <v>0</v>
      </c>
      <c r="K2652" s="59">
        <f t="shared" si="29"/>
        <v>0</v>
      </c>
      <c r="L2652" s="59">
        <f t="shared" si="30"/>
        <v>0</v>
      </c>
      <c r="M2652" s="59">
        <f t="shared" si="31"/>
        <v>0</v>
      </c>
    </row>
    <row r="2653" ht="15.0" hidden="1" customHeight="1">
      <c r="A2653" s="59">
        <f t="shared" si="20"/>
        <v>41</v>
      </c>
      <c r="B2653" s="59" t="str">
        <f t="shared" si="21"/>
        <v/>
      </c>
      <c r="C2653" s="59" t="str">
        <f t="shared" si="22"/>
        <v/>
      </c>
      <c r="D2653" s="45" t="str">
        <f t="shared" si="23"/>
        <v/>
      </c>
      <c r="E2653" s="45" t="str">
        <f t="shared" si="24"/>
        <v/>
      </c>
      <c r="F2653" s="59" t="str">
        <f t="shared" si="25"/>
        <v/>
      </c>
      <c r="G2653" s="59" t="str">
        <f t="shared" si="26"/>
        <v/>
      </c>
      <c r="H2653" s="59" t="str">
        <f t="shared" si="27"/>
        <v>28C03695</v>
      </c>
      <c r="I2653" s="59" t="str">
        <f>IF(OR($A2653="",$C2653="",$D2653="",$E2653="",$H2653=""),"",SUMIFS(DATA_GOC!$H:$H,DATA_GOC!$A:$A,"BOM",DATA_GOC!$D:$D,$H2653,DATA_GOC!$E:$E,$C2653,DATA_GOC!$F:$F,"Xuất nội bộ từ téc",DATA_GOC!$B:$B,"&gt;="&amp;$D2653,DATA_GOC!$B:$B,"&lt;="&amp;$E2653))</f>
        <v/>
      </c>
      <c r="J2653" s="59">
        <f t="shared" si="28"/>
        <v>0</v>
      </c>
      <c r="K2653" s="59">
        <f t="shared" si="29"/>
        <v>0</v>
      </c>
      <c r="L2653" s="59">
        <f t="shared" si="30"/>
        <v>0</v>
      </c>
      <c r="M2653" s="59">
        <f t="shared" si="31"/>
        <v>0</v>
      </c>
    </row>
    <row r="2654" ht="15.0" hidden="1" customHeight="1">
      <c r="A2654" s="59">
        <f t="shared" si="20"/>
        <v>41</v>
      </c>
      <c r="B2654" s="59" t="str">
        <f t="shared" si="21"/>
        <v/>
      </c>
      <c r="C2654" s="59" t="str">
        <f t="shared" si="22"/>
        <v/>
      </c>
      <c r="D2654" s="45" t="str">
        <f t="shared" si="23"/>
        <v/>
      </c>
      <c r="E2654" s="45" t="str">
        <f t="shared" si="24"/>
        <v/>
      </c>
      <c r="F2654" s="59" t="str">
        <f t="shared" si="25"/>
        <v/>
      </c>
      <c r="G2654" s="59" t="str">
        <f t="shared" si="26"/>
        <v/>
      </c>
      <c r="H2654" s="59" t="str">
        <f t="shared" si="27"/>
        <v>28C03927</v>
      </c>
      <c r="I2654" s="59" t="str">
        <f>IF(OR($A2654="",$C2654="",$D2654="",$E2654="",$H2654=""),"",SUMIFS(DATA_GOC!$H:$H,DATA_GOC!$A:$A,"BOM",DATA_GOC!$D:$D,$H2654,DATA_GOC!$E:$E,$C2654,DATA_GOC!$F:$F,"Xuất nội bộ từ téc",DATA_GOC!$B:$B,"&gt;="&amp;$D2654,DATA_GOC!$B:$B,"&lt;="&amp;$E2654))</f>
        <v/>
      </c>
      <c r="J2654" s="59">
        <f t="shared" si="28"/>
        <v>0</v>
      </c>
      <c r="K2654" s="59">
        <f t="shared" si="29"/>
        <v>0</v>
      </c>
      <c r="L2654" s="59">
        <f t="shared" si="30"/>
        <v>0</v>
      </c>
      <c r="M2654" s="59">
        <f t="shared" si="31"/>
        <v>0</v>
      </c>
    </row>
    <row r="2655" ht="15.0" hidden="1" customHeight="1">
      <c r="A2655" s="59">
        <f t="shared" si="20"/>
        <v>41</v>
      </c>
      <c r="B2655" s="59" t="str">
        <f t="shared" si="21"/>
        <v/>
      </c>
      <c r="C2655" s="59" t="str">
        <f t="shared" si="22"/>
        <v/>
      </c>
      <c r="D2655" s="45" t="str">
        <f t="shared" si="23"/>
        <v/>
      </c>
      <c r="E2655" s="45" t="str">
        <f t="shared" si="24"/>
        <v/>
      </c>
      <c r="F2655" s="59" t="str">
        <f t="shared" si="25"/>
        <v/>
      </c>
      <c r="G2655" s="59" t="str">
        <f t="shared" si="26"/>
        <v/>
      </c>
      <c r="H2655" s="59" t="str">
        <f t="shared" si="27"/>
        <v>28C04509</v>
      </c>
      <c r="I2655" s="59" t="str">
        <f>IF(OR($A2655="",$C2655="",$D2655="",$E2655="",$H2655=""),"",SUMIFS(DATA_GOC!$H:$H,DATA_GOC!$A:$A,"BOM",DATA_GOC!$D:$D,$H2655,DATA_GOC!$E:$E,$C2655,DATA_GOC!$F:$F,"Xuất nội bộ từ téc",DATA_GOC!$B:$B,"&gt;="&amp;$D2655,DATA_GOC!$B:$B,"&lt;="&amp;$E2655))</f>
        <v/>
      </c>
      <c r="J2655" s="59">
        <f t="shared" si="28"/>
        <v>0</v>
      </c>
      <c r="K2655" s="59">
        <f t="shared" si="29"/>
        <v>0</v>
      </c>
      <c r="L2655" s="59">
        <f t="shared" si="30"/>
        <v>0</v>
      </c>
      <c r="M2655" s="59">
        <f t="shared" si="31"/>
        <v>0</v>
      </c>
    </row>
    <row r="2656" ht="15.0" hidden="1" customHeight="1">
      <c r="A2656" s="59">
        <f t="shared" si="20"/>
        <v>41</v>
      </c>
      <c r="B2656" s="59" t="str">
        <f t="shared" si="21"/>
        <v/>
      </c>
      <c r="C2656" s="59" t="str">
        <f t="shared" si="22"/>
        <v/>
      </c>
      <c r="D2656" s="45" t="str">
        <f t="shared" si="23"/>
        <v/>
      </c>
      <c r="E2656" s="45" t="str">
        <f t="shared" si="24"/>
        <v/>
      </c>
      <c r="F2656" s="59" t="str">
        <f t="shared" si="25"/>
        <v/>
      </c>
      <c r="G2656" s="59" t="str">
        <f t="shared" si="26"/>
        <v/>
      </c>
      <c r="H2656" s="59" t="str">
        <f t="shared" si="27"/>
        <v>28C04536</v>
      </c>
      <c r="I2656" s="59" t="str">
        <f>IF(OR($A2656="",$C2656="",$D2656="",$E2656="",$H2656=""),"",SUMIFS(DATA_GOC!$H:$H,DATA_GOC!$A:$A,"BOM",DATA_GOC!$D:$D,$H2656,DATA_GOC!$E:$E,$C2656,DATA_GOC!$F:$F,"Xuất nội bộ từ téc",DATA_GOC!$B:$B,"&gt;="&amp;$D2656,DATA_GOC!$B:$B,"&lt;="&amp;$E2656))</f>
        <v/>
      </c>
      <c r="J2656" s="59">
        <f t="shared" si="28"/>
        <v>0</v>
      </c>
      <c r="K2656" s="59">
        <f t="shared" si="29"/>
        <v>0</v>
      </c>
      <c r="L2656" s="59">
        <f t="shared" si="30"/>
        <v>0</v>
      </c>
      <c r="M2656" s="59">
        <f t="shared" si="31"/>
        <v>0</v>
      </c>
    </row>
    <row r="2657" ht="15.0" hidden="1" customHeight="1">
      <c r="A2657" s="59">
        <f t="shared" si="20"/>
        <v>41</v>
      </c>
      <c r="B2657" s="59" t="str">
        <f t="shared" si="21"/>
        <v/>
      </c>
      <c r="C2657" s="59" t="str">
        <f t="shared" si="22"/>
        <v/>
      </c>
      <c r="D2657" s="45" t="str">
        <f t="shared" si="23"/>
        <v/>
      </c>
      <c r="E2657" s="45" t="str">
        <f t="shared" si="24"/>
        <v/>
      </c>
      <c r="F2657" s="59" t="str">
        <f t="shared" si="25"/>
        <v/>
      </c>
      <c r="G2657" s="59" t="str">
        <f t="shared" si="26"/>
        <v/>
      </c>
      <c r="H2657" s="59" t="str">
        <f t="shared" si="27"/>
        <v>28C04576</v>
      </c>
      <c r="I2657" s="59" t="str">
        <f>IF(OR($A2657="",$C2657="",$D2657="",$E2657="",$H2657=""),"",SUMIFS(DATA_GOC!$H:$H,DATA_GOC!$A:$A,"BOM",DATA_GOC!$D:$D,$H2657,DATA_GOC!$E:$E,$C2657,DATA_GOC!$F:$F,"Xuất nội bộ từ téc",DATA_GOC!$B:$B,"&gt;="&amp;$D2657,DATA_GOC!$B:$B,"&lt;="&amp;$E2657))</f>
        <v/>
      </c>
      <c r="J2657" s="59">
        <f t="shared" si="28"/>
        <v>0</v>
      </c>
      <c r="K2657" s="59">
        <f t="shared" si="29"/>
        <v>0</v>
      </c>
      <c r="L2657" s="59">
        <f t="shared" si="30"/>
        <v>0</v>
      </c>
      <c r="M2657" s="59">
        <f t="shared" si="31"/>
        <v>0</v>
      </c>
    </row>
    <row r="2658" ht="15.0" hidden="1" customHeight="1">
      <c r="A2658" s="59">
        <f t="shared" si="20"/>
        <v>41</v>
      </c>
      <c r="B2658" s="59" t="str">
        <f t="shared" si="21"/>
        <v/>
      </c>
      <c r="C2658" s="59" t="str">
        <f t="shared" si="22"/>
        <v/>
      </c>
      <c r="D2658" s="45" t="str">
        <f t="shared" si="23"/>
        <v/>
      </c>
      <c r="E2658" s="45" t="str">
        <f t="shared" si="24"/>
        <v/>
      </c>
      <c r="F2658" s="59" t="str">
        <f t="shared" si="25"/>
        <v/>
      </c>
      <c r="G2658" s="59" t="str">
        <f t="shared" si="26"/>
        <v/>
      </c>
      <c r="H2658" s="59" t="str">
        <f t="shared" si="27"/>
        <v>28C05090</v>
      </c>
      <c r="I2658" s="59" t="str">
        <f>IF(OR($A2658="",$C2658="",$D2658="",$E2658="",$H2658=""),"",SUMIFS(DATA_GOC!$H:$H,DATA_GOC!$A:$A,"BOM",DATA_GOC!$D:$D,$H2658,DATA_GOC!$E:$E,$C2658,DATA_GOC!$F:$F,"Xuất nội bộ từ téc",DATA_GOC!$B:$B,"&gt;="&amp;$D2658,DATA_GOC!$B:$B,"&lt;="&amp;$E2658))</f>
        <v/>
      </c>
      <c r="J2658" s="59">
        <f t="shared" si="28"/>
        <v>0</v>
      </c>
      <c r="K2658" s="59">
        <f t="shared" si="29"/>
        <v>0</v>
      </c>
      <c r="L2658" s="59">
        <f t="shared" si="30"/>
        <v>0</v>
      </c>
      <c r="M2658" s="59">
        <f t="shared" si="31"/>
        <v>0</v>
      </c>
    </row>
    <row r="2659" ht="15.0" hidden="1" customHeight="1">
      <c r="A2659" s="59">
        <f t="shared" si="20"/>
        <v>41</v>
      </c>
      <c r="B2659" s="59" t="str">
        <f t="shared" si="21"/>
        <v/>
      </c>
      <c r="C2659" s="59" t="str">
        <f t="shared" si="22"/>
        <v/>
      </c>
      <c r="D2659" s="45" t="str">
        <f t="shared" si="23"/>
        <v/>
      </c>
      <c r="E2659" s="45" t="str">
        <f t="shared" si="24"/>
        <v/>
      </c>
      <c r="F2659" s="59" t="str">
        <f t="shared" si="25"/>
        <v/>
      </c>
      <c r="G2659" s="59" t="str">
        <f t="shared" si="26"/>
        <v/>
      </c>
      <c r="H2659" s="59" t="str">
        <f t="shared" si="27"/>
        <v>28C05345</v>
      </c>
      <c r="I2659" s="59" t="str">
        <f>IF(OR($A2659="",$C2659="",$D2659="",$E2659="",$H2659=""),"",SUMIFS(DATA_GOC!$H:$H,DATA_GOC!$A:$A,"BOM",DATA_GOC!$D:$D,$H2659,DATA_GOC!$E:$E,$C2659,DATA_GOC!$F:$F,"Xuất nội bộ từ téc",DATA_GOC!$B:$B,"&gt;="&amp;$D2659,DATA_GOC!$B:$B,"&lt;="&amp;$E2659))</f>
        <v/>
      </c>
      <c r="J2659" s="59">
        <f t="shared" si="28"/>
        <v>0</v>
      </c>
      <c r="K2659" s="59">
        <f t="shared" si="29"/>
        <v>0</v>
      </c>
      <c r="L2659" s="59">
        <f t="shared" si="30"/>
        <v>0</v>
      </c>
      <c r="M2659" s="59">
        <f t="shared" si="31"/>
        <v>0</v>
      </c>
    </row>
    <row r="2660" ht="15.0" hidden="1" customHeight="1">
      <c r="A2660" s="59">
        <f t="shared" si="20"/>
        <v>41</v>
      </c>
      <c r="B2660" s="59" t="str">
        <f t="shared" si="21"/>
        <v/>
      </c>
      <c r="C2660" s="59" t="str">
        <f t="shared" si="22"/>
        <v/>
      </c>
      <c r="D2660" s="45" t="str">
        <f t="shared" si="23"/>
        <v/>
      </c>
      <c r="E2660" s="45" t="str">
        <f t="shared" si="24"/>
        <v/>
      </c>
      <c r="F2660" s="59" t="str">
        <f t="shared" si="25"/>
        <v/>
      </c>
      <c r="G2660" s="59" t="str">
        <f t="shared" si="26"/>
        <v/>
      </c>
      <c r="H2660" s="59" t="str">
        <f t="shared" si="27"/>
        <v>28C05661</v>
      </c>
      <c r="I2660" s="59" t="str">
        <f>IF(OR($A2660="",$C2660="",$D2660="",$E2660="",$H2660=""),"",SUMIFS(DATA_GOC!$H:$H,DATA_GOC!$A:$A,"BOM",DATA_GOC!$D:$D,$H2660,DATA_GOC!$E:$E,$C2660,DATA_GOC!$F:$F,"Xuất nội bộ từ téc",DATA_GOC!$B:$B,"&gt;="&amp;$D2660,DATA_GOC!$B:$B,"&lt;="&amp;$E2660))</f>
        <v/>
      </c>
      <c r="J2660" s="59">
        <f t="shared" si="28"/>
        <v>0</v>
      </c>
      <c r="K2660" s="59">
        <f t="shared" si="29"/>
        <v>0</v>
      </c>
      <c r="L2660" s="59">
        <f t="shared" si="30"/>
        <v>0</v>
      </c>
      <c r="M2660" s="59">
        <f t="shared" si="31"/>
        <v>0</v>
      </c>
    </row>
    <row r="2661" ht="15.0" hidden="1" customHeight="1">
      <c r="A2661" s="59">
        <f t="shared" si="20"/>
        <v>41</v>
      </c>
      <c r="B2661" s="59" t="str">
        <f t="shared" si="21"/>
        <v/>
      </c>
      <c r="C2661" s="59" t="str">
        <f t="shared" si="22"/>
        <v/>
      </c>
      <c r="D2661" s="45" t="str">
        <f t="shared" si="23"/>
        <v/>
      </c>
      <c r="E2661" s="45" t="str">
        <f t="shared" si="24"/>
        <v/>
      </c>
      <c r="F2661" s="59" t="str">
        <f t="shared" si="25"/>
        <v/>
      </c>
      <c r="G2661" s="59" t="str">
        <f t="shared" si="26"/>
        <v/>
      </c>
      <c r="H2661" s="59" t="str">
        <f t="shared" si="27"/>
        <v>28C05739</v>
      </c>
      <c r="I2661" s="59" t="str">
        <f>IF(OR($A2661="",$C2661="",$D2661="",$E2661="",$H2661=""),"",SUMIFS(DATA_GOC!$H:$H,DATA_GOC!$A:$A,"BOM",DATA_GOC!$D:$D,$H2661,DATA_GOC!$E:$E,$C2661,DATA_GOC!$F:$F,"Xuất nội bộ từ téc",DATA_GOC!$B:$B,"&gt;="&amp;$D2661,DATA_GOC!$B:$B,"&lt;="&amp;$E2661))</f>
        <v/>
      </c>
      <c r="J2661" s="59">
        <f t="shared" si="28"/>
        <v>0</v>
      </c>
      <c r="K2661" s="59">
        <f t="shared" si="29"/>
        <v>0</v>
      </c>
      <c r="L2661" s="59">
        <f t="shared" si="30"/>
        <v>0</v>
      </c>
      <c r="M2661" s="59">
        <f t="shared" si="31"/>
        <v>0</v>
      </c>
    </row>
    <row r="2662" ht="15.0" hidden="1" customHeight="1">
      <c r="A2662" s="59">
        <f t="shared" si="20"/>
        <v>41</v>
      </c>
      <c r="B2662" s="59" t="str">
        <f t="shared" si="21"/>
        <v/>
      </c>
      <c r="C2662" s="59" t="str">
        <f t="shared" si="22"/>
        <v/>
      </c>
      <c r="D2662" s="45" t="str">
        <f t="shared" si="23"/>
        <v/>
      </c>
      <c r="E2662" s="45" t="str">
        <f t="shared" si="24"/>
        <v/>
      </c>
      <c r="F2662" s="59" t="str">
        <f t="shared" si="25"/>
        <v/>
      </c>
      <c r="G2662" s="59" t="str">
        <f t="shared" si="26"/>
        <v/>
      </c>
      <c r="H2662" s="59" t="str">
        <f t="shared" si="27"/>
        <v>28C06369</v>
      </c>
      <c r="I2662" s="59" t="str">
        <f>IF(OR($A2662="",$C2662="",$D2662="",$E2662="",$H2662=""),"",SUMIFS(DATA_GOC!$H:$H,DATA_GOC!$A:$A,"BOM",DATA_GOC!$D:$D,$H2662,DATA_GOC!$E:$E,$C2662,DATA_GOC!$F:$F,"Xuất nội bộ từ téc",DATA_GOC!$B:$B,"&gt;="&amp;$D2662,DATA_GOC!$B:$B,"&lt;="&amp;$E2662))</f>
        <v/>
      </c>
      <c r="J2662" s="59">
        <f t="shared" si="28"/>
        <v>0</v>
      </c>
      <c r="K2662" s="59">
        <f t="shared" si="29"/>
        <v>0</v>
      </c>
      <c r="L2662" s="59">
        <f t="shared" si="30"/>
        <v>0</v>
      </c>
      <c r="M2662" s="59">
        <f t="shared" si="31"/>
        <v>0</v>
      </c>
    </row>
    <row r="2663" ht="15.0" hidden="1" customHeight="1">
      <c r="A2663" s="59">
        <f t="shared" si="20"/>
        <v>41</v>
      </c>
      <c r="B2663" s="59" t="str">
        <f t="shared" si="21"/>
        <v/>
      </c>
      <c r="C2663" s="59" t="str">
        <f t="shared" si="22"/>
        <v/>
      </c>
      <c r="D2663" s="45" t="str">
        <f t="shared" si="23"/>
        <v/>
      </c>
      <c r="E2663" s="45" t="str">
        <f t="shared" si="24"/>
        <v/>
      </c>
      <c r="F2663" s="59" t="str">
        <f t="shared" si="25"/>
        <v/>
      </c>
      <c r="G2663" s="59" t="str">
        <f t="shared" si="26"/>
        <v/>
      </c>
      <c r="H2663" s="59" t="str">
        <f t="shared" si="27"/>
        <v>28C06447</v>
      </c>
      <c r="I2663" s="59" t="str">
        <f>IF(OR($A2663="",$C2663="",$D2663="",$E2663="",$H2663=""),"",SUMIFS(DATA_GOC!$H:$H,DATA_GOC!$A:$A,"BOM",DATA_GOC!$D:$D,$H2663,DATA_GOC!$E:$E,$C2663,DATA_GOC!$F:$F,"Xuất nội bộ từ téc",DATA_GOC!$B:$B,"&gt;="&amp;$D2663,DATA_GOC!$B:$B,"&lt;="&amp;$E2663))</f>
        <v/>
      </c>
      <c r="J2663" s="59">
        <f t="shared" si="28"/>
        <v>0</v>
      </c>
      <c r="K2663" s="59">
        <f t="shared" si="29"/>
        <v>0</v>
      </c>
      <c r="L2663" s="59">
        <f t="shared" si="30"/>
        <v>0</v>
      </c>
      <c r="M2663" s="59">
        <f t="shared" si="31"/>
        <v>0</v>
      </c>
    </row>
    <row r="2664" ht="15.0" hidden="1" customHeight="1">
      <c r="A2664" s="59">
        <f t="shared" si="20"/>
        <v>41</v>
      </c>
      <c r="B2664" s="59" t="str">
        <f t="shared" si="21"/>
        <v/>
      </c>
      <c r="C2664" s="59" t="str">
        <f t="shared" si="22"/>
        <v/>
      </c>
      <c r="D2664" s="45" t="str">
        <f t="shared" si="23"/>
        <v/>
      </c>
      <c r="E2664" s="45" t="str">
        <f t="shared" si="24"/>
        <v/>
      </c>
      <c r="F2664" s="59" t="str">
        <f t="shared" si="25"/>
        <v/>
      </c>
      <c r="G2664" s="59" t="str">
        <f t="shared" si="26"/>
        <v/>
      </c>
      <c r="H2664" s="59" t="str">
        <f t="shared" si="27"/>
        <v>28H00003</v>
      </c>
      <c r="I2664" s="59" t="str">
        <f>IF(OR($A2664="",$C2664="",$D2664="",$E2664="",$H2664=""),"",SUMIFS(DATA_GOC!$H:$H,DATA_GOC!$A:$A,"BOM",DATA_GOC!$D:$D,$H2664,DATA_GOC!$E:$E,$C2664,DATA_GOC!$F:$F,"Xuất nội bộ từ téc",DATA_GOC!$B:$B,"&gt;="&amp;$D2664,DATA_GOC!$B:$B,"&lt;="&amp;$E2664))</f>
        <v/>
      </c>
      <c r="J2664" s="59">
        <f t="shared" si="28"/>
        <v>0</v>
      </c>
      <c r="K2664" s="59">
        <f t="shared" si="29"/>
        <v>0</v>
      </c>
      <c r="L2664" s="59">
        <f t="shared" si="30"/>
        <v>0</v>
      </c>
      <c r="M2664" s="59">
        <f t="shared" si="31"/>
        <v>0</v>
      </c>
    </row>
    <row r="2665" ht="15.0" hidden="1" customHeight="1">
      <c r="A2665" s="59">
        <f t="shared" si="20"/>
        <v>41</v>
      </c>
      <c r="B2665" s="59" t="str">
        <f t="shared" si="21"/>
        <v/>
      </c>
      <c r="C2665" s="59" t="str">
        <f t="shared" si="22"/>
        <v/>
      </c>
      <c r="D2665" s="45" t="str">
        <f t="shared" si="23"/>
        <v/>
      </c>
      <c r="E2665" s="45" t="str">
        <f t="shared" si="24"/>
        <v/>
      </c>
      <c r="F2665" s="59" t="str">
        <f t="shared" si="25"/>
        <v/>
      </c>
      <c r="G2665" s="59" t="str">
        <f t="shared" si="26"/>
        <v/>
      </c>
      <c r="H2665" s="59" t="str">
        <f t="shared" si="27"/>
        <v>28H00061</v>
      </c>
      <c r="I2665" s="59" t="str">
        <f>IF(OR($A2665="",$C2665="",$D2665="",$E2665="",$H2665=""),"",SUMIFS(DATA_GOC!$H:$H,DATA_GOC!$A:$A,"BOM",DATA_GOC!$D:$D,$H2665,DATA_GOC!$E:$E,$C2665,DATA_GOC!$F:$F,"Xuất nội bộ từ téc",DATA_GOC!$B:$B,"&gt;="&amp;$D2665,DATA_GOC!$B:$B,"&lt;="&amp;$E2665))</f>
        <v/>
      </c>
      <c r="J2665" s="59">
        <f t="shared" si="28"/>
        <v>0</v>
      </c>
      <c r="K2665" s="59">
        <f t="shared" si="29"/>
        <v>0</v>
      </c>
      <c r="L2665" s="59">
        <f t="shared" si="30"/>
        <v>0</v>
      </c>
      <c r="M2665" s="59">
        <f t="shared" si="31"/>
        <v>0</v>
      </c>
    </row>
    <row r="2666" ht="15.0" hidden="1" customHeight="1">
      <c r="A2666" s="59">
        <f t="shared" si="20"/>
        <v>41</v>
      </c>
      <c r="B2666" s="59" t="str">
        <f t="shared" si="21"/>
        <v/>
      </c>
      <c r="C2666" s="59" t="str">
        <f t="shared" si="22"/>
        <v/>
      </c>
      <c r="D2666" s="45" t="str">
        <f t="shared" si="23"/>
        <v/>
      </c>
      <c r="E2666" s="45" t="str">
        <f t="shared" si="24"/>
        <v/>
      </c>
      <c r="F2666" s="59" t="str">
        <f t="shared" si="25"/>
        <v/>
      </c>
      <c r="G2666" s="59" t="str">
        <f t="shared" si="26"/>
        <v/>
      </c>
      <c r="H2666" s="59" t="str">
        <f t="shared" si="27"/>
        <v>28H00354</v>
      </c>
      <c r="I2666" s="59" t="str">
        <f>IF(OR($A2666="",$C2666="",$D2666="",$E2666="",$H2666=""),"",SUMIFS(DATA_GOC!$H:$H,DATA_GOC!$A:$A,"BOM",DATA_GOC!$D:$D,$H2666,DATA_GOC!$E:$E,$C2666,DATA_GOC!$F:$F,"Xuất nội bộ từ téc",DATA_GOC!$B:$B,"&gt;="&amp;$D2666,DATA_GOC!$B:$B,"&lt;="&amp;$E2666))</f>
        <v/>
      </c>
      <c r="J2666" s="59">
        <f t="shared" si="28"/>
        <v>0</v>
      </c>
      <c r="K2666" s="59">
        <f t="shared" si="29"/>
        <v>0</v>
      </c>
      <c r="L2666" s="59">
        <f t="shared" si="30"/>
        <v>0</v>
      </c>
      <c r="M2666" s="59">
        <f t="shared" si="31"/>
        <v>0</v>
      </c>
    </row>
    <row r="2667" ht="15.0" hidden="1" customHeight="1">
      <c r="A2667" s="59">
        <f t="shared" si="20"/>
        <v>41</v>
      </c>
      <c r="B2667" s="59" t="str">
        <f t="shared" si="21"/>
        <v/>
      </c>
      <c r="C2667" s="59" t="str">
        <f t="shared" si="22"/>
        <v/>
      </c>
      <c r="D2667" s="45" t="str">
        <f t="shared" si="23"/>
        <v/>
      </c>
      <c r="E2667" s="45" t="str">
        <f t="shared" si="24"/>
        <v/>
      </c>
      <c r="F2667" s="59" t="str">
        <f t="shared" si="25"/>
        <v/>
      </c>
      <c r="G2667" s="59" t="str">
        <f t="shared" si="26"/>
        <v/>
      </c>
      <c r="H2667" s="59" t="str">
        <f t="shared" si="27"/>
        <v>28H00603</v>
      </c>
      <c r="I2667" s="59" t="str">
        <f>IF(OR($A2667="",$C2667="",$D2667="",$E2667="",$H2667=""),"",SUMIFS(DATA_GOC!$H:$H,DATA_GOC!$A:$A,"BOM",DATA_GOC!$D:$D,$H2667,DATA_GOC!$E:$E,$C2667,DATA_GOC!$F:$F,"Xuất nội bộ từ téc",DATA_GOC!$B:$B,"&gt;="&amp;$D2667,DATA_GOC!$B:$B,"&lt;="&amp;$E2667))</f>
        <v/>
      </c>
      <c r="J2667" s="59">
        <f t="shared" si="28"/>
        <v>0</v>
      </c>
      <c r="K2667" s="59">
        <f t="shared" si="29"/>
        <v>0</v>
      </c>
      <c r="L2667" s="59">
        <f t="shared" si="30"/>
        <v>0</v>
      </c>
      <c r="M2667" s="59">
        <f t="shared" si="31"/>
        <v>0</v>
      </c>
    </row>
    <row r="2668" ht="15.0" hidden="1" customHeight="1">
      <c r="A2668" s="59">
        <f t="shared" si="20"/>
        <v>41</v>
      </c>
      <c r="B2668" s="59" t="str">
        <f t="shared" si="21"/>
        <v/>
      </c>
      <c r="C2668" s="59" t="str">
        <f t="shared" si="22"/>
        <v/>
      </c>
      <c r="D2668" s="45" t="str">
        <f t="shared" si="23"/>
        <v/>
      </c>
      <c r="E2668" s="45" t="str">
        <f t="shared" si="24"/>
        <v/>
      </c>
      <c r="F2668" s="59" t="str">
        <f t="shared" si="25"/>
        <v/>
      </c>
      <c r="G2668" s="59" t="str">
        <f t="shared" si="26"/>
        <v/>
      </c>
      <c r="H2668" s="59" t="str">
        <f t="shared" si="27"/>
        <v>28H00609</v>
      </c>
      <c r="I2668" s="59" t="str">
        <f>IF(OR($A2668="",$C2668="",$D2668="",$E2668="",$H2668=""),"",SUMIFS(DATA_GOC!$H:$H,DATA_GOC!$A:$A,"BOM",DATA_GOC!$D:$D,$H2668,DATA_GOC!$E:$E,$C2668,DATA_GOC!$F:$F,"Xuất nội bộ từ téc",DATA_GOC!$B:$B,"&gt;="&amp;$D2668,DATA_GOC!$B:$B,"&lt;="&amp;$E2668))</f>
        <v/>
      </c>
      <c r="J2668" s="59">
        <f t="shared" si="28"/>
        <v>0</v>
      </c>
      <c r="K2668" s="59">
        <f t="shared" si="29"/>
        <v>0</v>
      </c>
      <c r="L2668" s="59">
        <f t="shared" si="30"/>
        <v>0</v>
      </c>
      <c r="M2668" s="59">
        <f t="shared" si="31"/>
        <v>0</v>
      </c>
    </row>
    <row r="2669" ht="15.0" hidden="1" customHeight="1">
      <c r="A2669" s="59">
        <f t="shared" si="20"/>
        <v>41</v>
      </c>
      <c r="B2669" s="59" t="str">
        <f t="shared" si="21"/>
        <v/>
      </c>
      <c r="C2669" s="59" t="str">
        <f t="shared" si="22"/>
        <v/>
      </c>
      <c r="D2669" s="45" t="str">
        <f t="shared" si="23"/>
        <v/>
      </c>
      <c r="E2669" s="45" t="str">
        <f t="shared" si="24"/>
        <v/>
      </c>
      <c r="F2669" s="59" t="str">
        <f t="shared" si="25"/>
        <v/>
      </c>
      <c r="G2669" s="59" t="str">
        <f t="shared" si="26"/>
        <v/>
      </c>
      <c r="H2669" s="59" t="str">
        <f t="shared" si="27"/>
        <v>28H00669</v>
      </c>
      <c r="I2669" s="59" t="str">
        <f>IF(OR($A2669="",$C2669="",$D2669="",$E2669="",$H2669=""),"",SUMIFS(DATA_GOC!$H:$H,DATA_GOC!$A:$A,"BOM",DATA_GOC!$D:$D,$H2669,DATA_GOC!$E:$E,$C2669,DATA_GOC!$F:$F,"Xuất nội bộ từ téc",DATA_GOC!$B:$B,"&gt;="&amp;$D2669,DATA_GOC!$B:$B,"&lt;="&amp;$E2669))</f>
        <v/>
      </c>
      <c r="J2669" s="59">
        <f t="shared" si="28"/>
        <v>0</v>
      </c>
      <c r="K2669" s="59">
        <f t="shared" si="29"/>
        <v>0</v>
      </c>
      <c r="L2669" s="59">
        <f t="shared" si="30"/>
        <v>0</v>
      </c>
      <c r="M2669" s="59">
        <f t="shared" si="31"/>
        <v>0</v>
      </c>
    </row>
    <row r="2670" ht="15.0" hidden="1" customHeight="1">
      <c r="A2670" s="59">
        <f t="shared" si="20"/>
        <v>41</v>
      </c>
      <c r="B2670" s="59" t="str">
        <f t="shared" si="21"/>
        <v/>
      </c>
      <c r="C2670" s="59" t="str">
        <f t="shared" si="22"/>
        <v/>
      </c>
      <c r="D2670" s="45" t="str">
        <f t="shared" si="23"/>
        <v/>
      </c>
      <c r="E2670" s="45" t="str">
        <f t="shared" si="24"/>
        <v/>
      </c>
      <c r="F2670" s="59" t="str">
        <f t="shared" si="25"/>
        <v/>
      </c>
      <c r="G2670" s="59" t="str">
        <f t="shared" si="26"/>
        <v/>
      </c>
      <c r="H2670" s="59" t="str">
        <f t="shared" si="27"/>
        <v>28H00680</v>
      </c>
      <c r="I2670" s="59" t="str">
        <f>IF(OR($A2670="",$C2670="",$D2670="",$E2670="",$H2670=""),"",SUMIFS(DATA_GOC!$H:$H,DATA_GOC!$A:$A,"BOM",DATA_GOC!$D:$D,$H2670,DATA_GOC!$E:$E,$C2670,DATA_GOC!$F:$F,"Xuất nội bộ từ téc",DATA_GOC!$B:$B,"&gt;="&amp;$D2670,DATA_GOC!$B:$B,"&lt;="&amp;$E2670))</f>
        <v/>
      </c>
      <c r="J2670" s="59">
        <f t="shared" si="28"/>
        <v>0</v>
      </c>
      <c r="K2670" s="59">
        <f t="shared" si="29"/>
        <v>0</v>
      </c>
      <c r="L2670" s="59">
        <f t="shared" si="30"/>
        <v>0</v>
      </c>
      <c r="M2670" s="59">
        <f t="shared" si="31"/>
        <v>0</v>
      </c>
    </row>
    <row r="2671" ht="15.0" hidden="1" customHeight="1">
      <c r="A2671" s="59">
        <f t="shared" si="20"/>
        <v>41</v>
      </c>
      <c r="B2671" s="59" t="str">
        <f t="shared" si="21"/>
        <v/>
      </c>
      <c r="C2671" s="59" t="str">
        <f t="shared" si="22"/>
        <v/>
      </c>
      <c r="D2671" s="45" t="str">
        <f t="shared" si="23"/>
        <v/>
      </c>
      <c r="E2671" s="45" t="str">
        <f t="shared" si="24"/>
        <v/>
      </c>
      <c r="F2671" s="59" t="str">
        <f t="shared" si="25"/>
        <v/>
      </c>
      <c r="G2671" s="59" t="str">
        <f t="shared" si="26"/>
        <v/>
      </c>
      <c r="H2671" s="59" t="str">
        <f t="shared" si="27"/>
        <v>28H01070</v>
      </c>
      <c r="I2671" s="59" t="str">
        <f>IF(OR($A2671="",$C2671="",$D2671="",$E2671="",$H2671=""),"",SUMIFS(DATA_GOC!$H:$H,DATA_GOC!$A:$A,"BOM",DATA_GOC!$D:$D,$H2671,DATA_GOC!$E:$E,$C2671,DATA_GOC!$F:$F,"Xuất nội bộ từ téc",DATA_GOC!$B:$B,"&gt;="&amp;$D2671,DATA_GOC!$B:$B,"&lt;="&amp;$E2671))</f>
        <v/>
      </c>
      <c r="J2671" s="59">
        <f t="shared" si="28"/>
        <v>0</v>
      </c>
      <c r="K2671" s="59">
        <f t="shared" si="29"/>
        <v>0</v>
      </c>
      <c r="L2671" s="59">
        <f t="shared" si="30"/>
        <v>0</v>
      </c>
      <c r="M2671" s="59">
        <f t="shared" si="31"/>
        <v>0</v>
      </c>
    </row>
    <row r="2672" ht="15.0" hidden="1" customHeight="1">
      <c r="A2672" s="59">
        <f t="shared" si="20"/>
        <v>41</v>
      </c>
      <c r="B2672" s="59" t="str">
        <f t="shared" si="21"/>
        <v/>
      </c>
      <c r="C2672" s="59" t="str">
        <f t="shared" si="22"/>
        <v/>
      </c>
      <c r="D2672" s="45" t="str">
        <f t="shared" si="23"/>
        <v/>
      </c>
      <c r="E2672" s="45" t="str">
        <f t="shared" si="24"/>
        <v/>
      </c>
      <c r="F2672" s="59" t="str">
        <f t="shared" si="25"/>
        <v/>
      </c>
      <c r="G2672" s="59" t="str">
        <f t="shared" si="26"/>
        <v/>
      </c>
      <c r="H2672" s="59" t="str">
        <f t="shared" si="27"/>
        <v>28H01364</v>
      </c>
      <c r="I2672" s="59" t="str">
        <f>IF(OR($A2672="",$C2672="",$D2672="",$E2672="",$H2672=""),"",SUMIFS(DATA_GOC!$H:$H,DATA_GOC!$A:$A,"BOM",DATA_GOC!$D:$D,$H2672,DATA_GOC!$E:$E,$C2672,DATA_GOC!$F:$F,"Xuất nội bộ từ téc",DATA_GOC!$B:$B,"&gt;="&amp;$D2672,DATA_GOC!$B:$B,"&lt;="&amp;$E2672))</f>
        <v/>
      </c>
      <c r="J2672" s="59">
        <f t="shared" si="28"/>
        <v>0</v>
      </c>
      <c r="K2672" s="59">
        <f t="shared" si="29"/>
        <v>0</v>
      </c>
      <c r="L2672" s="59">
        <f t="shared" si="30"/>
        <v>0</v>
      </c>
      <c r="M2672" s="59">
        <f t="shared" si="31"/>
        <v>0</v>
      </c>
    </row>
    <row r="2673" ht="15.0" hidden="1" customHeight="1">
      <c r="A2673" s="59">
        <f t="shared" si="20"/>
        <v>41</v>
      </c>
      <c r="B2673" s="59" t="str">
        <f t="shared" si="21"/>
        <v/>
      </c>
      <c r="C2673" s="59" t="str">
        <f t="shared" si="22"/>
        <v/>
      </c>
      <c r="D2673" s="45" t="str">
        <f t="shared" si="23"/>
        <v/>
      </c>
      <c r="E2673" s="45" t="str">
        <f t="shared" si="24"/>
        <v/>
      </c>
      <c r="F2673" s="59" t="str">
        <f t="shared" si="25"/>
        <v/>
      </c>
      <c r="G2673" s="59" t="str">
        <f t="shared" si="26"/>
        <v/>
      </c>
      <c r="H2673" s="59" t="str">
        <f t="shared" si="27"/>
        <v>29E17269</v>
      </c>
      <c r="I2673" s="59" t="str">
        <f>IF(OR($A2673="",$C2673="",$D2673="",$E2673="",$H2673=""),"",SUMIFS(DATA_GOC!$H:$H,DATA_GOC!$A:$A,"BOM",DATA_GOC!$D:$D,$H2673,DATA_GOC!$E:$E,$C2673,DATA_GOC!$F:$F,"Xuất nội bộ từ téc",DATA_GOC!$B:$B,"&gt;="&amp;$D2673,DATA_GOC!$B:$B,"&lt;="&amp;$E2673))</f>
        <v/>
      </c>
      <c r="J2673" s="59">
        <f t="shared" si="28"/>
        <v>0</v>
      </c>
      <c r="K2673" s="59">
        <f t="shared" si="29"/>
        <v>0</v>
      </c>
      <c r="L2673" s="59">
        <f t="shared" si="30"/>
        <v>0</v>
      </c>
      <c r="M2673" s="59">
        <f t="shared" si="31"/>
        <v>0</v>
      </c>
    </row>
    <row r="2674" ht="15.0" hidden="1" customHeight="1">
      <c r="A2674" s="59">
        <f t="shared" si="20"/>
        <v>41</v>
      </c>
      <c r="B2674" s="59" t="str">
        <f t="shared" si="21"/>
        <v/>
      </c>
      <c r="C2674" s="59" t="str">
        <f t="shared" si="22"/>
        <v/>
      </c>
      <c r="D2674" s="45" t="str">
        <f t="shared" si="23"/>
        <v/>
      </c>
      <c r="E2674" s="45" t="str">
        <f t="shared" si="24"/>
        <v/>
      </c>
      <c r="F2674" s="59" t="str">
        <f t="shared" si="25"/>
        <v/>
      </c>
      <c r="G2674" s="59" t="str">
        <f t="shared" si="26"/>
        <v/>
      </c>
      <c r="H2674" s="59" t="str">
        <f t="shared" si="27"/>
        <v>29E17273</v>
      </c>
      <c r="I2674" s="59" t="str">
        <f>IF(OR($A2674="",$C2674="",$D2674="",$E2674="",$H2674=""),"",SUMIFS(DATA_GOC!$H:$H,DATA_GOC!$A:$A,"BOM",DATA_GOC!$D:$D,$H2674,DATA_GOC!$E:$E,$C2674,DATA_GOC!$F:$F,"Xuất nội bộ từ téc",DATA_GOC!$B:$B,"&gt;="&amp;$D2674,DATA_GOC!$B:$B,"&lt;="&amp;$E2674))</f>
        <v/>
      </c>
      <c r="J2674" s="59">
        <f t="shared" si="28"/>
        <v>0</v>
      </c>
      <c r="K2674" s="59">
        <f t="shared" si="29"/>
        <v>0</v>
      </c>
      <c r="L2674" s="59">
        <f t="shared" si="30"/>
        <v>0</v>
      </c>
      <c r="M2674" s="59">
        <f t="shared" si="31"/>
        <v>0</v>
      </c>
    </row>
    <row r="2675" ht="15.0" hidden="1" customHeight="1">
      <c r="A2675" s="59">
        <f t="shared" si="20"/>
        <v>41</v>
      </c>
      <c r="B2675" s="59" t="str">
        <f t="shared" si="21"/>
        <v/>
      </c>
      <c r="C2675" s="59" t="str">
        <f t="shared" si="22"/>
        <v/>
      </c>
      <c r="D2675" s="45" t="str">
        <f t="shared" si="23"/>
        <v/>
      </c>
      <c r="E2675" s="45" t="str">
        <f t="shared" si="24"/>
        <v/>
      </c>
      <c r="F2675" s="59" t="str">
        <f t="shared" si="25"/>
        <v/>
      </c>
      <c r="G2675" s="59" t="str">
        <f t="shared" si="26"/>
        <v/>
      </c>
      <c r="H2675" s="59" t="str">
        <f t="shared" si="27"/>
        <v>29E17410</v>
      </c>
      <c r="I2675" s="59" t="str">
        <f>IF(OR($A2675="",$C2675="",$D2675="",$E2675="",$H2675=""),"",SUMIFS(DATA_GOC!$H:$H,DATA_GOC!$A:$A,"BOM",DATA_GOC!$D:$D,$H2675,DATA_GOC!$E:$E,$C2675,DATA_GOC!$F:$F,"Xuất nội bộ từ téc",DATA_GOC!$B:$B,"&gt;="&amp;$D2675,DATA_GOC!$B:$B,"&lt;="&amp;$E2675))</f>
        <v/>
      </c>
      <c r="J2675" s="59">
        <f t="shared" si="28"/>
        <v>0</v>
      </c>
      <c r="K2675" s="59">
        <f t="shared" si="29"/>
        <v>0</v>
      </c>
      <c r="L2675" s="59">
        <f t="shared" si="30"/>
        <v>0</v>
      </c>
      <c r="M2675" s="59">
        <f t="shared" si="31"/>
        <v>0</v>
      </c>
    </row>
    <row r="2676" ht="15.0" hidden="1" customHeight="1">
      <c r="A2676" s="59">
        <f t="shared" si="20"/>
        <v>41</v>
      </c>
      <c r="B2676" s="59" t="str">
        <f t="shared" si="21"/>
        <v/>
      </c>
      <c r="C2676" s="59" t="str">
        <f t="shared" si="22"/>
        <v/>
      </c>
      <c r="D2676" s="45" t="str">
        <f t="shared" si="23"/>
        <v/>
      </c>
      <c r="E2676" s="45" t="str">
        <f t="shared" si="24"/>
        <v/>
      </c>
      <c r="F2676" s="59" t="str">
        <f t="shared" si="25"/>
        <v/>
      </c>
      <c r="G2676" s="59" t="str">
        <f t="shared" si="26"/>
        <v/>
      </c>
      <c r="H2676" s="59" t="str">
        <f t="shared" si="27"/>
        <v>29E17417</v>
      </c>
      <c r="I2676" s="59" t="str">
        <f>IF(OR($A2676="",$C2676="",$D2676="",$E2676="",$H2676=""),"",SUMIFS(DATA_GOC!$H:$H,DATA_GOC!$A:$A,"BOM",DATA_GOC!$D:$D,$H2676,DATA_GOC!$E:$E,$C2676,DATA_GOC!$F:$F,"Xuất nội bộ từ téc",DATA_GOC!$B:$B,"&gt;="&amp;$D2676,DATA_GOC!$B:$B,"&lt;="&amp;$E2676))</f>
        <v/>
      </c>
      <c r="J2676" s="59">
        <f t="shared" si="28"/>
        <v>0</v>
      </c>
      <c r="K2676" s="59">
        <f t="shared" si="29"/>
        <v>0</v>
      </c>
      <c r="L2676" s="59">
        <f t="shared" si="30"/>
        <v>0</v>
      </c>
      <c r="M2676" s="59">
        <f t="shared" si="31"/>
        <v>0</v>
      </c>
    </row>
    <row r="2677" ht="15.0" hidden="1" customHeight="1">
      <c r="A2677" s="59">
        <f t="shared" si="20"/>
        <v>41</v>
      </c>
      <c r="B2677" s="59" t="str">
        <f t="shared" si="21"/>
        <v/>
      </c>
      <c r="C2677" s="59" t="str">
        <f t="shared" si="22"/>
        <v/>
      </c>
      <c r="D2677" s="45" t="str">
        <f t="shared" si="23"/>
        <v/>
      </c>
      <c r="E2677" s="45" t="str">
        <f t="shared" si="24"/>
        <v/>
      </c>
      <c r="F2677" s="59" t="str">
        <f t="shared" si="25"/>
        <v/>
      </c>
      <c r="G2677" s="59" t="str">
        <f t="shared" si="26"/>
        <v/>
      </c>
      <c r="H2677" s="59" t="str">
        <f t="shared" si="27"/>
        <v>29E17539</v>
      </c>
      <c r="I2677" s="59" t="str">
        <f>IF(OR($A2677="",$C2677="",$D2677="",$E2677="",$H2677=""),"",SUMIFS(DATA_GOC!$H:$H,DATA_GOC!$A:$A,"BOM",DATA_GOC!$D:$D,$H2677,DATA_GOC!$E:$E,$C2677,DATA_GOC!$F:$F,"Xuất nội bộ từ téc",DATA_GOC!$B:$B,"&gt;="&amp;$D2677,DATA_GOC!$B:$B,"&lt;="&amp;$E2677))</f>
        <v/>
      </c>
      <c r="J2677" s="59">
        <f t="shared" si="28"/>
        <v>0</v>
      </c>
      <c r="K2677" s="59">
        <f t="shared" si="29"/>
        <v>0</v>
      </c>
      <c r="L2677" s="59">
        <f t="shared" si="30"/>
        <v>0</v>
      </c>
      <c r="M2677" s="59">
        <f t="shared" si="31"/>
        <v>0</v>
      </c>
    </row>
    <row r="2678" ht="15.0" hidden="1" customHeight="1">
      <c r="A2678" s="59">
        <f t="shared" si="20"/>
        <v>41</v>
      </c>
      <c r="B2678" s="59" t="str">
        <f t="shared" si="21"/>
        <v/>
      </c>
      <c r="C2678" s="59" t="str">
        <f t="shared" si="22"/>
        <v/>
      </c>
      <c r="D2678" s="45" t="str">
        <f t="shared" si="23"/>
        <v/>
      </c>
      <c r="E2678" s="45" t="str">
        <f t="shared" si="24"/>
        <v/>
      </c>
      <c r="F2678" s="59" t="str">
        <f t="shared" si="25"/>
        <v/>
      </c>
      <c r="G2678" s="59" t="str">
        <f t="shared" si="26"/>
        <v/>
      </c>
      <c r="H2678" s="59" t="str">
        <f t="shared" si="27"/>
        <v>29E18160</v>
      </c>
      <c r="I2678" s="59" t="str">
        <f>IF(OR($A2678="",$C2678="",$D2678="",$E2678="",$H2678=""),"",SUMIFS(DATA_GOC!$H:$H,DATA_GOC!$A:$A,"BOM",DATA_GOC!$D:$D,$H2678,DATA_GOC!$E:$E,$C2678,DATA_GOC!$F:$F,"Xuất nội bộ từ téc",DATA_GOC!$B:$B,"&gt;="&amp;$D2678,DATA_GOC!$B:$B,"&lt;="&amp;$E2678))</f>
        <v/>
      </c>
      <c r="J2678" s="59">
        <f t="shared" si="28"/>
        <v>0</v>
      </c>
      <c r="K2678" s="59">
        <f t="shared" si="29"/>
        <v>0</v>
      </c>
      <c r="L2678" s="59">
        <f t="shared" si="30"/>
        <v>0</v>
      </c>
      <c r="M2678" s="59">
        <f t="shared" si="31"/>
        <v>0</v>
      </c>
    </row>
    <row r="2679" ht="15.0" hidden="1" customHeight="1">
      <c r="A2679" s="59">
        <f t="shared" si="20"/>
        <v>41</v>
      </c>
      <c r="B2679" s="59" t="str">
        <f t="shared" si="21"/>
        <v/>
      </c>
      <c r="C2679" s="59" t="str">
        <f t="shared" si="22"/>
        <v/>
      </c>
      <c r="D2679" s="45" t="str">
        <f t="shared" si="23"/>
        <v/>
      </c>
      <c r="E2679" s="45" t="str">
        <f t="shared" si="24"/>
        <v/>
      </c>
      <c r="F2679" s="59" t="str">
        <f t="shared" si="25"/>
        <v/>
      </c>
      <c r="G2679" s="59" t="str">
        <f t="shared" si="26"/>
        <v/>
      </c>
      <c r="H2679" s="59" t="str">
        <f t="shared" si="27"/>
        <v>Công trình Asphalt</v>
      </c>
      <c r="I2679" s="59" t="str">
        <f>IF(OR($A2679="",$C2679="",$D2679="",$E2679="",$H2679=""),"",SUMIFS(DATA_GOC!$H:$H,DATA_GOC!$A:$A,"BOM",DATA_GOC!$D:$D,$H2679,DATA_GOC!$E:$E,$C2679,DATA_GOC!$F:$F,"Xuất nội bộ từ téc",DATA_GOC!$B:$B,"&gt;="&amp;$D2679,DATA_GOC!$B:$B,"&lt;="&amp;$E2679))</f>
        <v/>
      </c>
      <c r="J2679" s="59">
        <f t="shared" si="28"/>
        <v>0</v>
      </c>
      <c r="K2679" s="59">
        <f t="shared" si="29"/>
        <v>0</v>
      </c>
      <c r="L2679" s="59">
        <f t="shared" si="30"/>
        <v>0</v>
      </c>
      <c r="M2679" s="59">
        <f t="shared" si="31"/>
        <v>0</v>
      </c>
    </row>
    <row r="2680" ht="15.0" hidden="1" customHeight="1">
      <c r="A2680" s="59">
        <f t="shared" si="20"/>
        <v>41</v>
      </c>
      <c r="B2680" s="59" t="str">
        <f t="shared" si="21"/>
        <v/>
      </c>
      <c r="C2680" s="59" t="str">
        <f t="shared" si="22"/>
        <v/>
      </c>
      <c r="D2680" s="45" t="str">
        <f t="shared" si="23"/>
        <v/>
      </c>
      <c r="E2680" s="45" t="str">
        <f t="shared" si="24"/>
        <v/>
      </c>
      <c r="F2680" s="59" t="str">
        <f t="shared" si="25"/>
        <v/>
      </c>
      <c r="G2680" s="59" t="str">
        <f t="shared" si="26"/>
        <v/>
      </c>
      <c r="H2680" s="59" t="str">
        <f t="shared" si="27"/>
        <v>LG53F</v>
      </c>
      <c r="I2680" s="59" t="str">
        <f>IF(OR($A2680="",$C2680="",$D2680="",$E2680="",$H2680=""),"",SUMIFS(DATA_GOC!$H:$H,DATA_GOC!$A:$A,"BOM",DATA_GOC!$D:$D,$H2680,DATA_GOC!$E:$E,$C2680,DATA_GOC!$F:$F,"Xuất nội bộ từ téc",DATA_GOC!$B:$B,"&gt;="&amp;$D2680,DATA_GOC!$B:$B,"&lt;="&amp;$E2680))</f>
        <v/>
      </c>
      <c r="J2680" s="59">
        <f t="shared" si="28"/>
        <v>0</v>
      </c>
      <c r="K2680" s="59">
        <f t="shared" si="29"/>
        <v>0</v>
      </c>
      <c r="L2680" s="59">
        <f t="shared" si="30"/>
        <v>0</v>
      </c>
      <c r="M2680" s="59">
        <f t="shared" si="31"/>
        <v>0</v>
      </c>
    </row>
    <row r="2681" ht="15.0" hidden="1" customHeight="1">
      <c r="A2681" s="59">
        <f t="shared" si="20"/>
        <v>41</v>
      </c>
      <c r="B2681" s="59" t="str">
        <f t="shared" si="21"/>
        <v/>
      </c>
      <c r="C2681" s="59" t="str">
        <f t="shared" si="22"/>
        <v/>
      </c>
      <c r="D2681" s="45" t="str">
        <f t="shared" si="23"/>
        <v/>
      </c>
      <c r="E2681" s="45" t="str">
        <f t="shared" si="24"/>
        <v/>
      </c>
      <c r="F2681" s="59" t="str">
        <f t="shared" si="25"/>
        <v/>
      </c>
      <c r="G2681" s="59" t="str">
        <f t="shared" si="26"/>
        <v/>
      </c>
      <c r="H2681" s="59" t="str">
        <f t="shared" si="27"/>
        <v>Máy phát điện</v>
      </c>
      <c r="I2681" s="59" t="str">
        <f>IF(OR($A2681="",$C2681="",$D2681="",$E2681="",$H2681=""),"",SUMIFS(DATA_GOC!$H:$H,DATA_GOC!$A:$A,"BOM",DATA_GOC!$D:$D,$H2681,DATA_GOC!$E:$E,$C2681,DATA_GOC!$F:$F,"Xuất nội bộ từ téc",DATA_GOC!$B:$B,"&gt;="&amp;$D2681,DATA_GOC!$B:$B,"&lt;="&amp;$E2681))</f>
        <v/>
      </c>
      <c r="J2681" s="59">
        <f t="shared" si="28"/>
        <v>0</v>
      </c>
      <c r="K2681" s="59">
        <f t="shared" si="29"/>
        <v>0</v>
      </c>
      <c r="L2681" s="59">
        <f t="shared" si="30"/>
        <v>0</v>
      </c>
      <c r="M2681" s="59">
        <f t="shared" si="31"/>
        <v>0</v>
      </c>
    </row>
    <row r="2682" ht="15.0" hidden="1" customHeight="1">
      <c r="A2682" s="59">
        <f t="shared" si="20"/>
        <v>41</v>
      </c>
      <c r="B2682" s="59" t="str">
        <f t="shared" si="21"/>
        <v/>
      </c>
      <c r="C2682" s="59" t="str">
        <f t="shared" si="22"/>
        <v/>
      </c>
      <c r="D2682" s="45" t="str">
        <f t="shared" si="23"/>
        <v/>
      </c>
      <c r="E2682" s="45" t="str">
        <f t="shared" si="24"/>
        <v/>
      </c>
      <c r="F2682" s="59" t="str">
        <f t="shared" si="25"/>
        <v/>
      </c>
      <c r="G2682" s="59" t="str">
        <f t="shared" si="26"/>
        <v/>
      </c>
      <c r="H2682" s="59" t="str">
        <f t="shared" si="27"/>
        <v>Máy rải thảm</v>
      </c>
      <c r="I2682" s="59" t="str">
        <f>IF(OR($A2682="",$C2682="",$D2682="",$E2682="",$H2682=""),"",SUMIFS(DATA_GOC!$H:$H,DATA_GOC!$A:$A,"BOM",DATA_GOC!$D:$D,$H2682,DATA_GOC!$E:$E,$C2682,DATA_GOC!$F:$F,"Xuất nội bộ từ téc",DATA_GOC!$B:$B,"&gt;="&amp;$D2682,DATA_GOC!$B:$B,"&lt;="&amp;$E2682))</f>
        <v/>
      </c>
      <c r="J2682" s="59">
        <f t="shared" si="28"/>
        <v>0</v>
      </c>
      <c r="K2682" s="59">
        <f t="shared" si="29"/>
        <v>0</v>
      </c>
      <c r="L2682" s="59">
        <f t="shared" si="30"/>
        <v>0</v>
      </c>
      <c r="M2682" s="59">
        <f t="shared" si="31"/>
        <v>0</v>
      </c>
    </row>
    <row r="2683" ht="15.0" hidden="1" customHeight="1">
      <c r="A2683" s="59">
        <f t="shared" si="20"/>
        <v>41</v>
      </c>
      <c r="B2683" s="59" t="str">
        <f t="shared" si="21"/>
        <v/>
      </c>
      <c r="C2683" s="59" t="str">
        <f t="shared" si="22"/>
        <v/>
      </c>
      <c r="D2683" s="45" t="str">
        <f t="shared" si="23"/>
        <v/>
      </c>
      <c r="E2683" s="45" t="str">
        <f t="shared" si="24"/>
        <v/>
      </c>
      <c r="F2683" s="59" t="str">
        <f t="shared" si="25"/>
        <v/>
      </c>
      <c r="G2683" s="59" t="str">
        <f t="shared" si="26"/>
        <v/>
      </c>
      <c r="H2683" s="59" t="str">
        <f t="shared" si="27"/>
        <v>Xúc Đào</v>
      </c>
      <c r="I2683" s="59" t="str">
        <f>IF(OR($A2683="",$C2683="",$D2683="",$E2683="",$H2683=""),"",SUMIFS(DATA_GOC!$H:$H,DATA_GOC!$A:$A,"BOM",DATA_GOC!$D:$D,$H2683,DATA_GOC!$E:$E,$C2683,DATA_GOC!$F:$F,"Xuất nội bộ từ téc",DATA_GOC!$B:$B,"&gt;="&amp;$D2683,DATA_GOC!$B:$B,"&lt;="&amp;$E2683))</f>
        <v/>
      </c>
      <c r="J2683" s="59">
        <f t="shared" si="28"/>
        <v>0</v>
      </c>
      <c r="K2683" s="59">
        <f t="shared" si="29"/>
        <v>0</v>
      </c>
      <c r="L2683" s="59">
        <f t="shared" si="30"/>
        <v>0</v>
      </c>
      <c r="M2683" s="59">
        <f t="shared" si="31"/>
        <v>0</v>
      </c>
    </row>
    <row r="2684" ht="15.0" hidden="1" customHeight="1">
      <c r="A2684" s="59">
        <f t="shared" si="20"/>
        <v>41</v>
      </c>
      <c r="B2684" s="59" t="str">
        <f t="shared" si="21"/>
        <v/>
      </c>
      <c r="C2684" s="59" t="str">
        <f t="shared" si="22"/>
        <v/>
      </c>
      <c r="D2684" s="45" t="str">
        <f t="shared" si="23"/>
        <v/>
      </c>
      <c r="E2684" s="45" t="str">
        <f t="shared" si="24"/>
        <v/>
      </c>
      <c r="F2684" s="59" t="str">
        <f t="shared" si="25"/>
        <v/>
      </c>
      <c r="G2684" s="59" t="str">
        <f t="shared" si="26"/>
        <v/>
      </c>
      <c r="H2684" s="59" t="str">
        <f t="shared" si="27"/>
        <v>Xúclật asphalt</v>
      </c>
      <c r="I2684" s="59" t="str">
        <f>IF(OR($A2684="",$C2684="",$D2684="",$E2684="",$H2684=""),"",SUMIFS(DATA_GOC!$H:$H,DATA_GOC!$A:$A,"BOM",DATA_GOC!$D:$D,$H2684,DATA_GOC!$E:$E,$C2684,DATA_GOC!$F:$F,"Xuất nội bộ từ téc",DATA_GOC!$B:$B,"&gt;="&amp;$D2684,DATA_GOC!$B:$B,"&lt;="&amp;$E2684))</f>
        <v/>
      </c>
      <c r="J2684" s="59">
        <f t="shared" si="28"/>
        <v>0</v>
      </c>
      <c r="K2684" s="59">
        <f t="shared" si="29"/>
        <v>0</v>
      </c>
      <c r="L2684" s="59">
        <f t="shared" si="30"/>
        <v>0</v>
      </c>
      <c r="M2684" s="59">
        <f t="shared" si="31"/>
        <v>0</v>
      </c>
    </row>
    <row r="2685" ht="15.0" hidden="1" customHeight="1">
      <c r="A2685" s="59">
        <f t="shared" si="20"/>
        <v>41</v>
      </c>
      <c r="B2685" s="59" t="str">
        <f t="shared" si="21"/>
        <v/>
      </c>
      <c r="C2685" s="59" t="str">
        <f t="shared" si="22"/>
        <v/>
      </c>
      <c r="D2685" s="45" t="str">
        <f t="shared" si="23"/>
        <v/>
      </c>
      <c r="E2685" s="45" t="str">
        <f t="shared" si="24"/>
        <v/>
      </c>
      <c r="F2685" s="59" t="str">
        <f t="shared" si="25"/>
        <v/>
      </c>
      <c r="G2685" s="59" t="str">
        <f t="shared" si="26"/>
        <v/>
      </c>
      <c r="H2685" s="59" t="str">
        <f t="shared" si="27"/>
        <v>Xúclật855H</v>
      </c>
      <c r="I2685" s="59" t="str">
        <f>IF(OR($A2685="",$C2685="",$D2685="",$E2685="",$H2685=""),"",SUMIFS(DATA_GOC!$H:$H,DATA_GOC!$A:$A,"BOM",DATA_GOC!$D:$D,$H2685,DATA_GOC!$E:$E,$C2685,DATA_GOC!$F:$F,"Xuất nội bộ từ téc",DATA_GOC!$B:$B,"&gt;="&amp;$D2685,DATA_GOC!$B:$B,"&lt;="&amp;$E2685))</f>
        <v/>
      </c>
      <c r="J2685" s="59">
        <f t="shared" si="28"/>
        <v>0</v>
      </c>
      <c r="K2685" s="59">
        <f t="shared" si="29"/>
        <v>0</v>
      </c>
      <c r="L2685" s="59">
        <f t="shared" si="30"/>
        <v>0</v>
      </c>
      <c r="M2685" s="59">
        <f t="shared" si="31"/>
        <v>0</v>
      </c>
    </row>
    <row r="2686" ht="15.0" hidden="1" customHeight="1">
      <c r="A2686" s="59">
        <f t="shared" si="20"/>
        <v>41</v>
      </c>
      <c r="B2686" s="59" t="str">
        <f t="shared" si="21"/>
        <v/>
      </c>
      <c r="C2686" s="59" t="str">
        <f t="shared" si="22"/>
        <v/>
      </c>
      <c r="D2686" s="45" t="str">
        <f t="shared" si="23"/>
        <v/>
      </c>
      <c r="E2686" s="45" t="str">
        <f t="shared" si="24"/>
        <v/>
      </c>
      <c r="F2686" s="59" t="str">
        <f t="shared" si="25"/>
        <v/>
      </c>
      <c r="G2686" s="59" t="str">
        <f t="shared" si="26"/>
        <v/>
      </c>
      <c r="H2686" s="59" t="str">
        <f t="shared" si="27"/>
        <v>Xúclật855N</v>
      </c>
      <c r="I2686" s="59" t="str">
        <f>IF(OR($A2686="",$C2686="",$D2686="",$E2686="",$H2686=""),"",SUMIFS(DATA_GOC!$H:$H,DATA_GOC!$A:$A,"BOM",DATA_GOC!$D:$D,$H2686,DATA_GOC!$E:$E,$C2686,DATA_GOC!$F:$F,"Xuất nội bộ từ téc",DATA_GOC!$B:$B,"&gt;="&amp;$D2686,DATA_GOC!$B:$B,"&lt;="&amp;$E2686))</f>
        <v/>
      </c>
      <c r="J2686" s="59">
        <f t="shared" si="28"/>
        <v>0</v>
      </c>
      <c r="K2686" s="59">
        <f t="shared" si="29"/>
        <v>0</v>
      </c>
      <c r="L2686" s="59">
        <f t="shared" si="30"/>
        <v>0</v>
      </c>
      <c r="M2686" s="59">
        <f t="shared" si="31"/>
        <v>0</v>
      </c>
    </row>
    <row r="2687" ht="15.0" hidden="1" customHeight="1">
      <c r="A2687" s="59">
        <f t="shared" si="20"/>
        <v>41</v>
      </c>
      <c r="B2687" s="59" t="str">
        <f t="shared" si="21"/>
        <v/>
      </c>
      <c r="C2687" s="59" t="str">
        <f t="shared" si="22"/>
        <v/>
      </c>
      <c r="D2687" s="45" t="str">
        <f t="shared" si="23"/>
        <v/>
      </c>
      <c r="E2687" s="45" t="str">
        <f t="shared" si="24"/>
        <v/>
      </c>
      <c r="F2687" s="59" t="str">
        <f t="shared" si="25"/>
        <v/>
      </c>
      <c r="G2687" s="59" t="str">
        <f t="shared" si="26"/>
        <v/>
      </c>
      <c r="H2687" s="59" t="str">
        <f t="shared" si="27"/>
        <v>Cát nghiền</v>
      </c>
      <c r="I2687" s="59" t="str">
        <f>IF(OR($A2687="",$C2687="",$D2687="",$E2687="",$H2687=""),"",SUMIFS(DATA_GOC!$H:$H,DATA_GOC!$A:$A,"BOM",DATA_GOC!$D:$D,$H2687,DATA_GOC!$E:$E,$C2687,DATA_GOC!$F:$F,"Xuất nội bộ từ téc",DATA_GOC!$B:$B,"&gt;="&amp;$D2687,DATA_GOC!$B:$B,"&lt;="&amp;$E2687))</f>
        <v/>
      </c>
      <c r="J2687" s="59">
        <f t="shared" si="28"/>
        <v>0</v>
      </c>
      <c r="K2687" s="59">
        <f t="shared" si="29"/>
        <v>0</v>
      </c>
      <c r="L2687" s="59">
        <f t="shared" si="30"/>
        <v>0</v>
      </c>
      <c r="M2687" s="59">
        <f t="shared" si="31"/>
        <v>0</v>
      </c>
    </row>
    <row r="2688" ht="15.0" hidden="1" customHeight="1">
      <c r="A2688" s="59">
        <f t="shared" si="20"/>
        <v>41</v>
      </c>
      <c r="B2688" s="59" t="str">
        <f t="shared" si="21"/>
        <v/>
      </c>
      <c r="C2688" s="59" t="str">
        <f t="shared" si="22"/>
        <v/>
      </c>
      <c r="D2688" s="45" t="str">
        <f t="shared" si="23"/>
        <v/>
      </c>
      <c r="E2688" s="45" t="str">
        <f t="shared" si="24"/>
        <v/>
      </c>
      <c r="F2688" s="59" t="str">
        <f t="shared" si="25"/>
        <v/>
      </c>
      <c r="G2688" s="59" t="str">
        <f t="shared" si="26"/>
        <v/>
      </c>
      <c r="H2688" s="59" t="str">
        <f t="shared" si="27"/>
        <v>28C02973</v>
      </c>
      <c r="I2688" s="59" t="str">
        <f>IF(OR($A2688="",$C2688="",$D2688="",$E2688="",$H2688=""),"",SUMIFS(DATA_GOC!$H:$H,DATA_GOC!$A:$A,"BOM",DATA_GOC!$D:$D,$H2688,DATA_GOC!$E:$E,$C2688,DATA_GOC!$F:$F,"Xuất nội bộ từ téc",DATA_GOC!$B:$B,"&gt;="&amp;$D2688,DATA_GOC!$B:$B,"&lt;="&amp;$E2688))</f>
        <v/>
      </c>
      <c r="J2688" s="59">
        <f t="shared" si="28"/>
        <v>0</v>
      </c>
      <c r="K2688" s="59">
        <f t="shared" si="29"/>
        <v>0</v>
      </c>
      <c r="L2688" s="59">
        <f t="shared" si="30"/>
        <v>0</v>
      </c>
      <c r="M2688" s="59">
        <f t="shared" si="31"/>
        <v>0</v>
      </c>
    </row>
    <row r="2689" ht="15.0" hidden="1" customHeight="1">
      <c r="A2689" s="59">
        <f t="shared" si="20"/>
        <v>41</v>
      </c>
      <c r="B2689" s="59" t="str">
        <f t="shared" si="21"/>
        <v/>
      </c>
      <c r="C2689" s="59" t="str">
        <f t="shared" si="22"/>
        <v/>
      </c>
      <c r="D2689" s="45" t="str">
        <f t="shared" si="23"/>
        <v/>
      </c>
      <c r="E2689" s="45" t="str">
        <f t="shared" si="24"/>
        <v/>
      </c>
      <c r="F2689" s="59" t="str">
        <f t="shared" si="25"/>
        <v/>
      </c>
      <c r="G2689" s="59" t="str">
        <f t="shared" si="26"/>
        <v/>
      </c>
      <c r="H2689" s="59" t="str">
        <f t="shared" si="27"/>
        <v>28C03044</v>
      </c>
      <c r="I2689" s="59" t="str">
        <f>IF(OR($A2689="",$C2689="",$D2689="",$E2689="",$H2689=""),"",SUMIFS(DATA_GOC!$H:$H,DATA_GOC!$A:$A,"BOM",DATA_GOC!$D:$D,$H2689,DATA_GOC!$E:$E,$C2689,DATA_GOC!$F:$F,"Xuất nội bộ từ téc",DATA_GOC!$B:$B,"&gt;="&amp;$D2689,DATA_GOC!$B:$B,"&lt;="&amp;$E2689))</f>
        <v/>
      </c>
      <c r="J2689" s="59">
        <f t="shared" si="28"/>
        <v>0</v>
      </c>
      <c r="K2689" s="59">
        <f t="shared" si="29"/>
        <v>0</v>
      </c>
      <c r="L2689" s="59">
        <f t="shared" si="30"/>
        <v>0</v>
      </c>
      <c r="M2689" s="59">
        <f t="shared" si="31"/>
        <v>0</v>
      </c>
    </row>
    <row r="2690" ht="15.0" hidden="1" customHeight="1">
      <c r="A2690" s="59">
        <f t="shared" si="20"/>
        <v>41</v>
      </c>
      <c r="B2690" s="59" t="str">
        <f t="shared" si="21"/>
        <v/>
      </c>
      <c r="C2690" s="59" t="str">
        <f t="shared" si="22"/>
        <v/>
      </c>
      <c r="D2690" s="45" t="str">
        <f t="shared" si="23"/>
        <v/>
      </c>
      <c r="E2690" s="45" t="str">
        <f t="shared" si="24"/>
        <v/>
      </c>
      <c r="F2690" s="59" t="str">
        <f t="shared" si="25"/>
        <v/>
      </c>
      <c r="G2690" s="59" t="str">
        <f t="shared" si="26"/>
        <v/>
      </c>
      <c r="H2690" s="59" t="str">
        <f t="shared" si="27"/>
        <v>Máy lu lốp</v>
      </c>
      <c r="I2690" s="59" t="str">
        <f>IF(OR($A2690="",$C2690="",$D2690="",$E2690="",$H2690=""),"",SUMIFS(DATA_GOC!$H:$H,DATA_GOC!$A:$A,"BOM",DATA_GOC!$D:$D,$H2690,DATA_GOC!$E:$E,$C2690,DATA_GOC!$F:$F,"Xuất nội bộ từ téc",DATA_GOC!$B:$B,"&gt;="&amp;$D2690,DATA_GOC!$B:$B,"&lt;="&amp;$E2690))</f>
        <v/>
      </c>
      <c r="J2690" s="59">
        <f t="shared" si="28"/>
        <v>0</v>
      </c>
      <c r="K2690" s="59">
        <f t="shared" si="29"/>
        <v>0</v>
      </c>
      <c r="L2690" s="59">
        <f t="shared" si="30"/>
        <v>0</v>
      </c>
      <c r="M2690" s="59">
        <f t="shared" si="31"/>
        <v>0</v>
      </c>
    </row>
    <row r="2691" ht="15.0" hidden="1" customHeight="1">
      <c r="A2691" s="59">
        <f t="shared" si="20"/>
        <v>41</v>
      </c>
      <c r="B2691" s="59" t="str">
        <f t="shared" si="21"/>
        <v/>
      </c>
      <c r="C2691" s="59" t="str">
        <f t="shared" si="22"/>
        <v/>
      </c>
      <c r="D2691" s="45" t="str">
        <f t="shared" si="23"/>
        <v/>
      </c>
      <c r="E2691" s="45" t="str">
        <f t="shared" si="24"/>
        <v/>
      </c>
      <c r="F2691" s="59" t="str">
        <f t="shared" si="25"/>
        <v/>
      </c>
      <c r="G2691" s="59" t="str">
        <f t="shared" si="26"/>
        <v/>
      </c>
      <c r="H2691" s="59" t="str">
        <f t="shared" si="27"/>
        <v>Xe 600148</v>
      </c>
      <c r="I2691" s="59" t="str">
        <f>IF(OR($A2691="",$C2691="",$D2691="",$E2691="",$H2691=""),"",SUMIFS(DATA_GOC!$H:$H,DATA_GOC!$A:$A,"BOM",DATA_GOC!$D:$D,$H2691,DATA_GOC!$E:$E,$C2691,DATA_GOC!$F:$F,"Xuất nội bộ từ téc",DATA_GOC!$B:$B,"&gt;="&amp;$D2691,DATA_GOC!$B:$B,"&lt;="&amp;$E2691))</f>
        <v/>
      </c>
      <c r="J2691" s="59">
        <f t="shared" si="28"/>
        <v>0</v>
      </c>
      <c r="K2691" s="59">
        <f t="shared" si="29"/>
        <v>0</v>
      </c>
      <c r="L2691" s="59">
        <f t="shared" si="30"/>
        <v>0</v>
      </c>
      <c r="M2691" s="59">
        <f t="shared" si="31"/>
        <v>0</v>
      </c>
    </row>
    <row r="2692" ht="15.0" hidden="1" customHeight="1">
      <c r="A2692" s="59">
        <f t="shared" si="20"/>
        <v>41</v>
      </c>
      <c r="B2692" s="59" t="str">
        <f t="shared" si="21"/>
        <v/>
      </c>
      <c r="C2692" s="59" t="str">
        <f t="shared" si="22"/>
        <v/>
      </c>
      <c r="D2692" s="45" t="str">
        <f t="shared" si="23"/>
        <v/>
      </c>
      <c r="E2692" s="45" t="str">
        <f t="shared" si="24"/>
        <v/>
      </c>
      <c r="F2692" s="59" t="str">
        <f t="shared" si="25"/>
        <v/>
      </c>
      <c r="G2692" s="59" t="str">
        <f t="shared" si="26"/>
        <v/>
      </c>
      <c r="H2692" s="59" t="str">
        <f t="shared" si="27"/>
        <v>Xe ben mới</v>
      </c>
      <c r="I2692" s="59" t="str">
        <f>IF(OR($A2692="",$C2692="",$D2692="",$E2692="",$H2692=""),"",SUMIFS(DATA_GOC!$H:$H,DATA_GOC!$A:$A,"BOM",DATA_GOC!$D:$D,$H2692,DATA_GOC!$E:$E,$C2692,DATA_GOC!$F:$F,"Xuất nội bộ từ téc",DATA_GOC!$B:$B,"&gt;="&amp;$D2692,DATA_GOC!$B:$B,"&lt;="&amp;$E2692))</f>
        <v/>
      </c>
      <c r="J2692" s="59">
        <f t="shared" si="28"/>
        <v>0</v>
      </c>
      <c r="K2692" s="59">
        <f t="shared" si="29"/>
        <v>0</v>
      </c>
      <c r="L2692" s="59">
        <f t="shared" si="30"/>
        <v>0</v>
      </c>
      <c r="M2692" s="59">
        <f t="shared" si="31"/>
        <v>0</v>
      </c>
    </row>
    <row r="2693" ht="15.0" hidden="1" customHeight="1">
      <c r="A2693" s="59">
        <f t="shared" si="20"/>
        <v>42</v>
      </c>
      <c r="B2693" s="59" t="str">
        <f t="shared" si="21"/>
        <v/>
      </c>
      <c r="C2693" s="59" t="str">
        <f t="shared" si="22"/>
        <v/>
      </c>
      <c r="D2693" s="45" t="str">
        <f t="shared" si="23"/>
        <v/>
      </c>
      <c r="E2693" s="45" t="str">
        <f t="shared" si="24"/>
        <v/>
      </c>
      <c r="F2693" s="59" t="str">
        <f t="shared" si="25"/>
        <v/>
      </c>
      <c r="G2693" s="59" t="str">
        <f t="shared" si="26"/>
        <v/>
      </c>
      <c r="H2693" s="59" t="str">
        <f t="shared" si="27"/>
        <v>19H09482</v>
      </c>
      <c r="I2693" s="59" t="str">
        <f>IF(OR($A2693="",$C2693="",$D2693="",$E2693="",$H2693=""),"",SUMIFS(DATA_GOC!$H:$H,DATA_GOC!$A:$A,"BOM",DATA_GOC!$D:$D,$H2693,DATA_GOC!$E:$E,$C2693,DATA_GOC!$F:$F,"Xuất nội bộ từ téc",DATA_GOC!$B:$B,"&gt;="&amp;$D2693,DATA_GOC!$B:$B,"&lt;="&amp;$E2693))</f>
        <v/>
      </c>
      <c r="J2693" s="59">
        <f t="shared" si="28"/>
        <v>0</v>
      </c>
      <c r="K2693" s="59">
        <f t="shared" si="29"/>
        <v>0</v>
      </c>
      <c r="L2693" s="59">
        <f t="shared" si="30"/>
        <v>0</v>
      </c>
      <c r="M2693" s="59">
        <f t="shared" si="31"/>
        <v>0</v>
      </c>
    </row>
    <row r="2694" ht="15.0" hidden="1" customHeight="1">
      <c r="A2694" s="59">
        <f t="shared" si="20"/>
        <v>42</v>
      </c>
      <c r="B2694" s="59" t="str">
        <f t="shared" si="21"/>
        <v/>
      </c>
      <c r="C2694" s="59" t="str">
        <f t="shared" si="22"/>
        <v/>
      </c>
      <c r="D2694" s="45" t="str">
        <f t="shared" si="23"/>
        <v/>
      </c>
      <c r="E2694" s="45" t="str">
        <f t="shared" si="24"/>
        <v/>
      </c>
      <c r="F2694" s="59" t="str">
        <f t="shared" si="25"/>
        <v/>
      </c>
      <c r="G2694" s="59" t="str">
        <f t="shared" si="26"/>
        <v/>
      </c>
      <c r="H2694" s="59" t="str">
        <f t="shared" si="27"/>
        <v>28A30696</v>
      </c>
      <c r="I2694" s="59" t="str">
        <f>IF(OR($A2694="",$C2694="",$D2694="",$E2694="",$H2694=""),"",SUMIFS(DATA_GOC!$H:$H,DATA_GOC!$A:$A,"BOM",DATA_GOC!$D:$D,$H2694,DATA_GOC!$E:$E,$C2694,DATA_GOC!$F:$F,"Xuất nội bộ từ téc",DATA_GOC!$B:$B,"&gt;="&amp;$D2694,DATA_GOC!$B:$B,"&lt;="&amp;$E2694))</f>
        <v/>
      </c>
      <c r="J2694" s="59">
        <f t="shared" si="28"/>
        <v>0</v>
      </c>
      <c r="K2694" s="59">
        <f t="shared" si="29"/>
        <v>0</v>
      </c>
      <c r="L2694" s="59">
        <f t="shared" si="30"/>
        <v>0</v>
      </c>
      <c r="M2694" s="59">
        <f t="shared" si="31"/>
        <v>0</v>
      </c>
    </row>
    <row r="2695" ht="15.0" hidden="1" customHeight="1">
      <c r="A2695" s="59">
        <f t="shared" si="20"/>
        <v>42</v>
      </c>
      <c r="B2695" s="59" t="str">
        <f t="shared" si="21"/>
        <v/>
      </c>
      <c r="C2695" s="59" t="str">
        <f t="shared" si="22"/>
        <v/>
      </c>
      <c r="D2695" s="45" t="str">
        <f t="shared" si="23"/>
        <v/>
      </c>
      <c r="E2695" s="45" t="str">
        <f t="shared" si="24"/>
        <v/>
      </c>
      <c r="F2695" s="59" t="str">
        <f t="shared" si="25"/>
        <v/>
      </c>
      <c r="G2695" s="59" t="str">
        <f t="shared" si="26"/>
        <v/>
      </c>
      <c r="H2695" s="59" t="str">
        <f t="shared" si="27"/>
        <v>28C00462</v>
      </c>
      <c r="I2695" s="59" t="str">
        <f>IF(OR($A2695="",$C2695="",$D2695="",$E2695="",$H2695=""),"",SUMIFS(DATA_GOC!$H:$H,DATA_GOC!$A:$A,"BOM",DATA_GOC!$D:$D,$H2695,DATA_GOC!$E:$E,$C2695,DATA_GOC!$F:$F,"Xuất nội bộ từ téc",DATA_GOC!$B:$B,"&gt;="&amp;$D2695,DATA_GOC!$B:$B,"&lt;="&amp;$E2695))</f>
        <v/>
      </c>
      <c r="J2695" s="59">
        <f t="shared" si="28"/>
        <v>0</v>
      </c>
      <c r="K2695" s="59">
        <f t="shared" si="29"/>
        <v>0</v>
      </c>
      <c r="L2695" s="59">
        <f t="shared" si="30"/>
        <v>0</v>
      </c>
      <c r="M2695" s="59">
        <f t="shared" si="31"/>
        <v>0</v>
      </c>
    </row>
    <row r="2696" ht="15.0" hidden="1" customHeight="1">
      <c r="A2696" s="59">
        <f t="shared" si="20"/>
        <v>42</v>
      </c>
      <c r="B2696" s="59" t="str">
        <f t="shared" si="21"/>
        <v/>
      </c>
      <c r="C2696" s="59" t="str">
        <f t="shared" si="22"/>
        <v/>
      </c>
      <c r="D2696" s="45" t="str">
        <f t="shared" si="23"/>
        <v/>
      </c>
      <c r="E2696" s="45" t="str">
        <f t="shared" si="24"/>
        <v/>
      </c>
      <c r="F2696" s="59" t="str">
        <f t="shared" si="25"/>
        <v/>
      </c>
      <c r="G2696" s="59" t="str">
        <f t="shared" si="26"/>
        <v/>
      </c>
      <c r="H2696" s="59" t="str">
        <f t="shared" si="27"/>
        <v>28C01165</v>
      </c>
      <c r="I2696" s="59" t="str">
        <f>IF(OR($A2696="",$C2696="",$D2696="",$E2696="",$H2696=""),"",SUMIFS(DATA_GOC!$H:$H,DATA_GOC!$A:$A,"BOM",DATA_GOC!$D:$D,$H2696,DATA_GOC!$E:$E,$C2696,DATA_GOC!$F:$F,"Xuất nội bộ từ téc",DATA_GOC!$B:$B,"&gt;="&amp;$D2696,DATA_GOC!$B:$B,"&lt;="&amp;$E2696))</f>
        <v/>
      </c>
      <c r="J2696" s="59">
        <f t="shared" si="28"/>
        <v>0</v>
      </c>
      <c r="K2696" s="59">
        <f t="shared" si="29"/>
        <v>0</v>
      </c>
      <c r="L2696" s="59">
        <f t="shared" si="30"/>
        <v>0</v>
      </c>
      <c r="M2696" s="59">
        <f t="shared" si="31"/>
        <v>0</v>
      </c>
    </row>
    <row r="2697" ht="15.0" hidden="1" customHeight="1">
      <c r="A2697" s="59">
        <f t="shared" si="20"/>
        <v>42</v>
      </c>
      <c r="B2697" s="59" t="str">
        <f t="shared" si="21"/>
        <v/>
      </c>
      <c r="C2697" s="59" t="str">
        <f t="shared" si="22"/>
        <v/>
      </c>
      <c r="D2697" s="45" t="str">
        <f t="shared" si="23"/>
        <v/>
      </c>
      <c r="E2697" s="45" t="str">
        <f t="shared" si="24"/>
        <v/>
      </c>
      <c r="F2697" s="59" t="str">
        <f t="shared" si="25"/>
        <v/>
      </c>
      <c r="G2697" s="59" t="str">
        <f t="shared" si="26"/>
        <v/>
      </c>
      <c r="H2697" s="59" t="str">
        <f t="shared" si="27"/>
        <v>28C01406</v>
      </c>
      <c r="I2697" s="59" t="str">
        <f>IF(OR($A2697="",$C2697="",$D2697="",$E2697="",$H2697=""),"",SUMIFS(DATA_GOC!$H:$H,DATA_GOC!$A:$A,"BOM",DATA_GOC!$D:$D,$H2697,DATA_GOC!$E:$E,$C2697,DATA_GOC!$F:$F,"Xuất nội bộ từ téc",DATA_GOC!$B:$B,"&gt;="&amp;$D2697,DATA_GOC!$B:$B,"&lt;="&amp;$E2697))</f>
        <v/>
      </c>
      <c r="J2697" s="59">
        <f t="shared" si="28"/>
        <v>0</v>
      </c>
      <c r="K2697" s="59">
        <f t="shared" si="29"/>
        <v>0</v>
      </c>
      <c r="L2697" s="59">
        <f t="shared" si="30"/>
        <v>0</v>
      </c>
      <c r="M2697" s="59">
        <f t="shared" si="31"/>
        <v>0</v>
      </c>
    </row>
    <row r="2698" ht="15.0" hidden="1" customHeight="1">
      <c r="A2698" s="59">
        <f t="shared" si="20"/>
        <v>42</v>
      </c>
      <c r="B2698" s="59" t="str">
        <f t="shared" si="21"/>
        <v/>
      </c>
      <c r="C2698" s="59" t="str">
        <f t="shared" si="22"/>
        <v/>
      </c>
      <c r="D2698" s="45" t="str">
        <f t="shared" si="23"/>
        <v/>
      </c>
      <c r="E2698" s="45" t="str">
        <f t="shared" si="24"/>
        <v/>
      </c>
      <c r="F2698" s="59" t="str">
        <f t="shared" si="25"/>
        <v/>
      </c>
      <c r="G2698" s="59" t="str">
        <f t="shared" si="26"/>
        <v/>
      </c>
      <c r="H2698" s="59" t="str">
        <f t="shared" si="27"/>
        <v>28C01544</v>
      </c>
      <c r="I2698" s="59" t="str">
        <f>IF(OR($A2698="",$C2698="",$D2698="",$E2698="",$H2698=""),"",SUMIFS(DATA_GOC!$H:$H,DATA_GOC!$A:$A,"BOM",DATA_GOC!$D:$D,$H2698,DATA_GOC!$E:$E,$C2698,DATA_GOC!$F:$F,"Xuất nội bộ từ téc",DATA_GOC!$B:$B,"&gt;="&amp;$D2698,DATA_GOC!$B:$B,"&lt;="&amp;$E2698))</f>
        <v/>
      </c>
      <c r="J2698" s="59">
        <f t="shared" si="28"/>
        <v>0</v>
      </c>
      <c r="K2698" s="59">
        <f t="shared" si="29"/>
        <v>0</v>
      </c>
      <c r="L2698" s="59">
        <f t="shared" si="30"/>
        <v>0</v>
      </c>
      <c r="M2698" s="59">
        <f t="shared" si="31"/>
        <v>0</v>
      </c>
    </row>
    <row r="2699" ht="15.0" hidden="1" customHeight="1">
      <c r="A2699" s="59">
        <f t="shared" si="20"/>
        <v>42</v>
      </c>
      <c r="B2699" s="59" t="str">
        <f t="shared" si="21"/>
        <v/>
      </c>
      <c r="C2699" s="59" t="str">
        <f t="shared" si="22"/>
        <v/>
      </c>
      <c r="D2699" s="45" t="str">
        <f t="shared" si="23"/>
        <v/>
      </c>
      <c r="E2699" s="45" t="str">
        <f t="shared" si="24"/>
        <v/>
      </c>
      <c r="F2699" s="59" t="str">
        <f t="shared" si="25"/>
        <v/>
      </c>
      <c r="G2699" s="59" t="str">
        <f t="shared" si="26"/>
        <v/>
      </c>
      <c r="H2699" s="59" t="str">
        <f t="shared" si="27"/>
        <v>28C01622</v>
      </c>
      <c r="I2699" s="59" t="str">
        <f>IF(OR($A2699="",$C2699="",$D2699="",$E2699="",$H2699=""),"",SUMIFS(DATA_GOC!$H:$H,DATA_GOC!$A:$A,"BOM",DATA_GOC!$D:$D,$H2699,DATA_GOC!$E:$E,$C2699,DATA_GOC!$F:$F,"Xuất nội bộ từ téc",DATA_GOC!$B:$B,"&gt;="&amp;$D2699,DATA_GOC!$B:$B,"&lt;="&amp;$E2699))</f>
        <v/>
      </c>
      <c r="J2699" s="59">
        <f t="shared" si="28"/>
        <v>0</v>
      </c>
      <c r="K2699" s="59">
        <f t="shared" si="29"/>
        <v>0</v>
      </c>
      <c r="L2699" s="59">
        <f t="shared" si="30"/>
        <v>0</v>
      </c>
      <c r="M2699" s="59">
        <f t="shared" si="31"/>
        <v>0</v>
      </c>
    </row>
    <row r="2700" ht="15.0" hidden="1" customHeight="1">
      <c r="A2700" s="59">
        <f t="shared" si="20"/>
        <v>42</v>
      </c>
      <c r="B2700" s="59" t="str">
        <f t="shared" si="21"/>
        <v/>
      </c>
      <c r="C2700" s="59" t="str">
        <f t="shared" si="22"/>
        <v/>
      </c>
      <c r="D2700" s="45" t="str">
        <f t="shared" si="23"/>
        <v/>
      </c>
      <c r="E2700" s="45" t="str">
        <f t="shared" si="24"/>
        <v/>
      </c>
      <c r="F2700" s="59" t="str">
        <f t="shared" si="25"/>
        <v/>
      </c>
      <c r="G2700" s="59" t="str">
        <f t="shared" si="26"/>
        <v/>
      </c>
      <c r="H2700" s="59" t="str">
        <f t="shared" si="27"/>
        <v>28C01647</v>
      </c>
      <c r="I2700" s="59" t="str">
        <f>IF(OR($A2700="",$C2700="",$D2700="",$E2700="",$H2700=""),"",SUMIFS(DATA_GOC!$H:$H,DATA_GOC!$A:$A,"BOM",DATA_GOC!$D:$D,$H2700,DATA_GOC!$E:$E,$C2700,DATA_GOC!$F:$F,"Xuất nội bộ từ téc",DATA_GOC!$B:$B,"&gt;="&amp;$D2700,DATA_GOC!$B:$B,"&lt;="&amp;$E2700))</f>
        <v/>
      </c>
      <c r="J2700" s="59">
        <f t="shared" si="28"/>
        <v>0</v>
      </c>
      <c r="K2700" s="59">
        <f t="shared" si="29"/>
        <v>0</v>
      </c>
      <c r="L2700" s="59">
        <f t="shared" si="30"/>
        <v>0</v>
      </c>
      <c r="M2700" s="59">
        <f t="shared" si="31"/>
        <v>0</v>
      </c>
    </row>
    <row r="2701" ht="15.0" hidden="1" customHeight="1">
      <c r="A2701" s="59">
        <f t="shared" si="20"/>
        <v>42</v>
      </c>
      <c r="B2701" s="59" t="str">
        <f t="shared" si="21"/>
        <v/>
      </c>
      <c r="C2701" s="59" t="str">
        <f t="shared" si="22"/>
        <v/>
      </c>
      <c r="D2701" s="45" t="str">
        <f t="shared" si="23"/>
        <v/>
      </c>
      <c r="E2701" s="45" t="str">
        <f t="shared" si="24"/>
        <v/>
      </c>
      <c r="F2701" s="59" t="str">
        <f t="shared" si="25"/>
        <v/>
      </c>
      <c r="G2701" s="59" t="str">
        <f t="shared" si="26"/>
        <v/>
      </c>
      <c r="H2701" s="59" t="str">
        <f t="shared" si="27"/>
        <v>28C01731</v>
      </c>
      <c r="I2701" s="59" t="str">
        <f>IF(OR($A2701="",$C2701="",$D2701="",$E2701="",$H2701=""),"",SUMIFS(DATA_GOC!$H:$H,DATA_GOC!$A:$A,"BOM",DATA_GOC!$D:$D,$H2701,DATA_GOC!$E:$E,$C2701,DATA_GOC!$F:$F,"Xuất nội bộ từ téc",DATA_GOC!$B:$B,"&gt;="&amp;$D2701,DATA_GOC!$B:$B,"&lt;="&amp;$E2701))</f>
        <v/>
      </c>
      <c r="J2701" s="59">
        <f t="shared" si="28"/>
        <v>0</v>
      </c>
      <c r="K2701" s="59">
        <f t="shared" si="29"/>
        <v>0</v>
      </c>
      <c r="L2701" s="59">
        <f t="shared" si="30"/>
        <v>0</v>
      </c>
      <c r="M2701" s="59">
        <f t="shared" si="31"/>
        <v>0</v>
      </c>
    </row>
    <row r="2702" ht="15.0" hidden="1" customHeight="1">
      <c r="A2702" s="59">
        <f t="shared" si="20"/>
        <v>42</v>
      </c>
      <c r="B2702" s="59" t="str">
        <f t="shared" si="21"/>
        <v/>
      </c>
      <c r="C2702" s="59" t="str">
        <f t="shared" si="22"/>
        <v/>
      </c>
      <c r="D2702" s="45" t="str">
        <f t="shared" si="23"/>
        <v/>
      </c>
      <c r="E2702" s="45" t="str">
        <f t="shared" si="24"/>
        <v/>
      </c>
      <c r="F2702" s="59" t="str">
        <f t="shared" si="25"/>
        <v/>
      </c>
      <c r="G2702" s="59" t="str">
        <f t="shared" si="26"/>
        <v/>
      </c>
      <c r="H2702" s="59" t="str">
        <f t="shared" si="27"/>
        <v>28C01743</v>
      </c>
      <c r="I2702" s="59" t="str">
        <f>IF(OR($A2702="",$C2702="",$D2702="",$E2702="",$H2702=""),"",SUMIFS(DATA_GOC!$H:$H,DATA_GOC!$A:$A,"BOM",DATA_GOC!$D:$D,$H2702,DATA_GOC!$E:$E,$C2702,DATA_GOC!$F:$F,"Xuất nội bộ từ téc",DATA_GOC!$B:$B,"&gt;="&amp;$D2702,DATA_GOC!$B:$B,"&lt;="&amp;$E2702))</f>
        <v/>
      </c>
      <c r="J2702" s="59">
        <f t="shared" si="28"/>
        <v>0</v>
      </c>
      <c r="K2702" s="59">
        <f t="shared" si="29"/>
        <v>0</v>
      </c>
      <c r="L2702" s="59">
        <f t="shared" si="30"/>
        <v>0</v>
      </c>
      <c r="M2702" s="59">
        <f t="shared" si="31"/>
        <v>0</v>
      </c>
    </row>
    <row r="2703" ht="15.0" hidden="1" customHeight="1">
      <c r="A2703" s="59">
        <f t="shared" si="20"/>
        <v>42</v>
      </c>
      <c r="B2703" s="59" t="str">
        <f t="shared" si="21"/>
        <v/>
      </c>
      <c r="C2703" s="59" t="str">
        <f t="shared" si="22"/>
        <v/>
      </c>
      <c r="D2703" s="45" t="str">
        <f t="shared" si="23"/>
        <v/>
      </c>
      <c r="E2703" s="45" t="str">
        <f t="shared" si="24"/>
        <v/>
      </c>
      <c r="F2703" s="59" t="str">
        <f t="shared" si="25"/>
        <v/>
      </c>
      <c r="G2703" s="59" t="str">
        <f t="shared" si="26"/>
        <v/>
      </c>
      <c r="H2703" s="59" t="str">
        <f t="shared" si="27"/>
        <v>28C02106</v>
      </c>
      <c r="I2703" s="59" t="str">
        <f>IF(OR($A2703="",$C2703="",$D2703="",$E2703="",$H2703=""),"",SUMIFS(DATA_GOC!$H:$H,DATA_GOC!$A:$A,"BOM",DATA_GOC!$D:$D,$H2703,DATA_GOC!$E:$E,$C2703,DATA_GOC!$F:$F,"Xuất nội bộ từ téc",DATA_GOC!$B:$B,"&gt;="&amp;$D2703,DATA_GOC!$B:$B,"&lt;="&amp;$E2703))</f>
        <v/>
      </c>
      <c r="J2703" s="59">
        <f t="shared" si="28"/>
        <v>0</v>
      </c>
      <c r="K2703" s="59">
        <f t="shared" si="29"/>
        <v>0</v>
      </c>
      <c r="L2703" s="59">
        <f t="shared" si="30"/>
        <v>0</v>
      </c>
      <c r="M2703" s="59">
        <f t="shared" si="31"/>
        <v>0</v>
      </c>
    </row>
    <row r="2704" ht="15.0" hidden="1" customHeight="1">
      <c r="A2704" s="59">
        <f t="shared" si="20"/>
        <v>42</v>
      </c>
      <c r="B2704" s="59" t="str">
        <f t="shared" si="21"/>
        <v/>
      </c>
      <c r="C2704" s="59" t="str">
        <f t="shared" si="22"/>
        <v/>
      </c>
      <c r="D2704" s="45" t="str">
        <f t="shared" si="23"/>
        <v/>
      </c>
      <c r="E2704" s="45" t="str">
        <f t="shared" si="24"/>
        <v/>
      </c>
      <c r="F2704" s="59" t="str">
        <f t="shared" si="25"/>
        <v/>
      </c>
      <c r="G2704" s="59" t="str">
        <f t="shared" si="26"/>
        <v/>
      </c>
      <c r="H2704" s="59" t="str">
        <f t="shared" si="27"/>
        <v>28C02410</v>
      </c>
      <c r="I2704" s="59" t="str">
        <f>IF(OR($A2704="",$C2704="",$D2704="",$E2704="",$H2704=""),"",SUMIFS(DATA_GOC!$H:$H,DATA_GOC!$A:$A,"BOM",DATA_GOC!$D:$D,$H2704,DATA_GOC!$E:$E,$C2704,DATA_GOC!$F:$F,"Xuất nội bộ từ téc",DATA_GOC!$B:$B,"&gt;="&amp;$D2704,DATA_GOC!$B:$B,"&lt;="&amp;$E2704))</f>
        <v/>
      </c>
      <c r="J2704" s="59">
        <f t="shared" si="28"/>
        <v>0</v>
      </c>
      <c r="K2704" s="59">
        <f t="shared" si="29"/>
        <v>0</v>
      </c>
      <c r="L2704" s="59">
        <f t="shared" si="30"/>
        <v>0</v>
      </c>
      <c r="M2704" s="59">
        <f t="shared" si="31"/>
        <v>0</v>
      </c>
    </row>
    <row r="2705" ht="15.0" hidden="1" customHeight="1">
      <c r="A2705" s="59">
        <f t="shared" si="20"/>
        <v>42</v>
      </c>
      <c r="B2705" s="59" t="str">
        <f t="shared" si="21"/>
        <v/>
      </c>
      <c r="C2705" s="59" t="str">
        <f t="shared" si="22"/>
        <v/>
      </c>
      <c r="D2705" s="45" t="str">
        <f t="shared" si="23"/>
        <v/>
      </c>
      <c r="E2705" s="45" t="str">
        <f t="shared" si="24"/>
        <v/>
      </c>
      <c r="F2705" s="59" t="str">
        <f t="shared" si="25"/>
        <v/>
      </c>
      <c r="G2705" s="59" t="str">
        <f t="shared" si="26"/>
        <v/>
      </c>
      <c r="H2705" s="59" t="str">
        <f t="shared" si="27"/>
        <v>28C02545</v>
      </c>
      <c r="I2705" s="59" t="str">
        <f>IF(OR($A2705="",$C2705="",$D2705="",$E2705="",$H2705=""),"",SUMIFS(DATA_GOC!$H:$H,DATA_GOC!$A:$A,"BOM",DATA_GOC!$D:$D,$H2705,DATA_GOC!$E:$E,$C2705,DATA_GOC!$F:$F,"Xuất nội bộ từ téc",DATA_GOC!$B:$B,"&gt;="&amp;$D2705,DATA_GOC!$B:$B,"&lt;="&amp;$E2705))</f>
        <v/>
      </c>
      <c r="J2705" s="59">
        <f t="shared" si="28"/>
        <v>0</v>
      </c>
      <c r="K2705" s="59">
        <f t="shared" si="29"/>
        <v>0</v>
      </c>
      <c r="L2705" s="59">
        <f t="shared" si="30"/>
        <v>0</v>
      </c>
      <c r="M2705" s="59">
        <f t="shared" si="31"/>
        <v>0</v>
      </c>
    </row>
    <row r="2706" ht="15.0" hidden="1" customHeight="1">
      <c r="A2706" s="59">
        <f t="shared" si="20"/>
        <v>42</v>
      </c>
      <c r="B2706" s="59" t="str">
        <f t="shared" si="21"/>
        <v/>
      </c>
      <c r="C2706" s="59" t="str">
        <f t="shared" si="22"/>
        <v/>
      </c>
      <c r="D2706" s="45" t="str">
        <f t="shared" si="23"/>
        <v/>
      </c>
      <c r="E2706" s="45" t="str">
        <f t="shared" si="24"/>
        <v/>
      </c>
      <c r="F2706" s="59" t="str">
        <f t="shared" si="25"/>
        <v/>
      </c>
      <c r="G2706" s="59" t="str">
        <f t="shared" si="26"/>
        <v/>
      </c>
      <c r="H2706" s="59" t="str">
        <f t="shared" si="27"/>
        <v>28C02574</v>
      </c>
      <c r="I2706" s="59" t="str">
        <f>IF(OR($A2706="",$C2706="",$D2706="",$E2706="",$H2706=""),"",SUMIFS(DATA_GOC!$H:$H,DATA_GOC!$A:$A,"BOM",DATA_GOC!$D:$D,$H2706,DATA_GOC!$E:$E,$C2706,DATA_GOC!$F:$F,"Xuất nội bộ từ téc",DATA_GOC!$B:$B,"&gt;="&amp;$D2706,DATA_GOC!$B:$B,"&lt;="&amp;$E2706))</f>
        <v/>
      </c>
      <c r="J2706" s="59">
        <f t="shared" si="28"/>
        <v>0</v>
      </c>
      <c r="K2706" s="59">
        <f t="shared" si="29"/>
        <v>0</v>
      </c>
      <c r="L2706" s="59">
        <f t="shared" si="30"/>
        <v>0</v>
      </c>
      <c r="M2706" s="59">
        <f t="shared" si="31"/>
        <v>0</v>
      </c>
    </row>
    <row r="2707" ht="15.0" hidden="1" customHeight="1">
      <c r="A2707" s="59">
        <f t="shared" si="20"/>
        <v>42</v>
      </c>
      <c r="B2707" s="59" t="str">
        <f t="shared" si="21"/>
        <v/>
      </c>
      <c r="C2707" s="59" t="str">
        <f t="shared" si="22"/>
        <v/>
      </c>
      <c r="D2707" s="45" t="str">
        <f t="shared" si="23"/>
        <v/>
      </c>
      <c r="E2707" s="45" t="str">
        <f t="shared" si="24"/>
        <v/>
      </c>
      <c r="F2707" s="59" t="str">
        <f t="shared" si="25"/>
        <v/>
      </c>
      <c r="G2707" s="59" t="str">
        <f t="shared" si="26"/>
        <v/>
      </c>
      <c r="H2707" s="59" t="str">
        <f t="shared" si="27"/>
        <v>28C02770</v>
      </c>
      <c r="I2707" s="59" t="str">
        <f>IF(OR($A2707="",$C2707="",$D2707="",$E2707="",$H2707=""),"",SUMIFS(DATA_GOC!$H:$H,DATA_GOC!$A:$A,"BOM",DATA_GOC!$D:$D,$H2707,DATA_GOC!$E:$E,$C2707,DATA_GOC!$F:$F,"Xuất nội bộ từ téc",DATA_GOC!$B:$B,"&gt;="&amp;$D2707,DATA_GOC!$B:$B,"&lt;="&amp;$E2707))</f>
        <v/>
      </c>
      <c r="J2707" s="59">
        <f t="shared" si="28"/>
        <v>0</v>
      </c>
      <c r="K2707" s="59">
        <f t="shared" si="29"/>
        <v>0</v>
      </c>
      <c r="L2707" s="59">
        <f t="shared" si="30"/>
        <v>0</v>
      </c>
      <c r="M2707" s="59">
        <f t="shared" si="31"/>
        <v>0</v>
      </c>
    </row>
    <row r="2708" ht="15.0" hidden="1" customHeight="1">
      <c r="A2708" s="59">
        <f t="shared" si="20"/>
        <v>42</v>
      </c>
      <c r="B2708" s="59" t="str">
        <f t="shared" si="21"/>
        <v/>
      </c>
      <c r="C2708" s="59" t="str">
        <f t="shared" si="22"/>
        <v/>
      </c>
      <c r="D2708" s="45" t="str">
        <f t="shared" si="23"/>
        <v/>
      </c>
      <c r="E2708" s="45" t="str">
        <f t="shared" si="24"/>
        <v/>
      </c>
      <c r="F2708" s="59" t="str">
        <f t="shared" si="25"/>
        <v/>
      </c>
      <c r="G2708" s="59" t="str">
        <f t="shared" si="26"/>
        <v/>
      </c>
      <c r="H2708" s="59" t="str">
        <f t="shared" si="27"/>
        <v>28C02986</v>
      </c>
      <c r="I2708" s="59" t="str">
        <f>IF(OR($A2708="",$C2708="",$D2708="",$E2708="",$H2708=""),"",SUMIFS(DATA_GOC!$H:$H,DATA_GOC!$A:$A,"BOM",DATA_GOC!$D:$D,$H2708,DATA_GOC!$E:$E,$C2708,DATA_GOC!$F:$F,"Xuất nội bộ từ téc",DATA_GOC!$B:$B,"&gt;="&amp;$D2708,DATA_GOC!$B:$B,"&lt;="&amp;$E2708))</f>
        <v/>
      </c>
      <c r="J2708" s="59">
        <f t="shared" si="28"/>
        <v>0</v>
      </c>
      <c r="K2708" s="59">
        <f t="shared" si="29"/>
        <v>0</v>
      </c>
      <c r="L2708" s="59">
        <f t="shared" si="30"/>
        <v>0</v>
      </c>
      <c r="M2708" s="59">
        <f t="shared" si="31"/>
        <v>0</v>
      </c>
    </row>
    <row r="2709" ht="15.0" hidden="1" customHeight="1">
      <c r="A2709" s="59">
        <f t="shared" si="20"/>
        <v>42</v>
      </c>
      <c r="B2709" s="59" t="str">
        <f t="shared" si="21"/>
        <v/>
      </c>
      <c r="C2709" s="59" t="str">
        <f t="shared" si="22"/>
        <v/>
      </c>
      <c r="D2709" s="45" t="str">
        <f t="shared" si="23"/>
        <v/>
      </c>
      <c r="E2709" s="45" t="str">
        <f t="shared" si="24"/>
        <v/>
      </c>
      <c r="F2709" s="59" t="str">
        <f t="shared" si="25"/>
        <v/>
      </c>
      <c r="G2709" s="59" t="str">
        <f t="shared" si="26"/>
        <v/>
      </c>
      <c r="H2709" s="59" t="str">
        <f t="shared" si="27"/>
        <v>28C03261</v>
      </c>
      <c r="I2709" s="59" t="str">
        <f>IF(OR($A2709="",$C2709="",$D2709="",$E2709="",$H2709=""),"",SUMIFS(DATA_GOC!$H:$H,DATA_GOC!$A:$A,"BOM",DATA_GOC!$D:$D,$H2709,DATA_GOC!$E:$E,$C2709,DATA_GOC!$F:$F,"Xuất nội bộ từ téc",DATA_GOC!$B:$B,"&gt;="&amp;$D2709,DATA_GOC!$B:$B,"&lt;="&amp;$E2709))</f>
        <v/>
      </c>
      <c r="J2709" s="59">
        <f t="shared" si="28"/>
        <v>0</v>
      </c>
      <c r="K2709" s="59">
        <f t="shared" si="29"/>
        <v>0</v>
      </c>
      <c r="L2709" s="59">
        <f t="shared" si="30"/>
        <v>0</v>
      </c>
      <c r="M2709" s="59">
        <f t="shared" si="31"/>
        <v>0</v>
      </c>
    </row>
    <row r="2710" ht="15.0" hidden="1" customHeight="1">
      <c r="A2710" s="59">
        <f t="shared" si="20"/>
        <v>42</v>
      </c>
      <c r="B2710" s="59" t="str">
        <f t="shared" si="21"/>
        <v/>
      </c>
      <c r="C2710" s="59" t="str">
        <f t="shared" si="22"/>
        <v/>
      </c>
      <c r="D2710" s="45" t="str">
        <f t="shared" si="23"/>
        <v/>
      </c>
      <c r="E2710" s="45" t="str">
        <f t="shared" si="24"/>
        <v/>
      </c>
      <c r="F2710" s="59" t="str">
        <f t="shared" si="25"/>
        <v/>
      </c>
      <c r="G2710" s="59" t="str">
        <f t="shared" si="26"/>
        <v/>
      </c>
      <c r="H2710" s="59" t="str">
        <f t="shared" si="27"/>
        <v>28C03323</v>
      </c>
      <c r="I2710" s="59" t="str">
        <f>IF(OR($A2710="",$C2710="",$D2710="",$E2710="",$H2710=""),"",SUMIFS(DATA_GOC!$H:$H,DATA_GOC!$A:$A,"BOM",DATA_GOC!$D:$D,$H2710,DATA_GOC!$E:$E,$C2710,DATA_GOC!$F:$F,"Xuất nội bộ từ téc",DATA_GOC!$B:$B,"&gt;="&amp;$D2710,DATA_GOC!$B:$B,"&lt;="&amp;$E2710))</f>
        <v/>
      </c>
      <c r="J2710" s="59">
        <f t="shared" si="28"/>
        <v>0</v>
      </c>
      <c r="K2710" s="59">
        <f t="shared" si="29"/>
        <v>0</v>
      </c>
      <c r="L2710" s="59">
        <f t="shared" si="30"/>
        <v>0</v>
      </c>
      <c r="M2710" s="59">
        <f t="shared" si="31"/>
        <v>0</v>
      </c>
    </row>
    <row r="2711" ht="15.0" hidden="1" customHeight="1">
      <c r="A2711" s="59">
        <f t="shared" si="20"/>
        <v>42</v>
      </c>
      <c r="B2711" s="59" t="str">
        <f t="shared" si="21"/>
        <v/>
      </c>
      <c r="C2711" s="59" t="str">
        <f t="shared" si="22"/>
        <v/>
      </c>
      <c r="D2711" s="45" t="str">
        <f t="shared" si="23"/>
        <v/>
      </c>
      <c r="E2711" s="45" t="str">
        <f t="shared" si="24"/>
        <v/>
      </c>
      <c r="F2711" s="59" t="str">
        <f t="shared" si="25"/>
        <v/>
      </c>
      <c r="G2711" s="59" t="str">
        <f t="shared" si="26"/>
        <v/>
      </c>
      <c r="H2711" s="59" t="str">
        <f t="shared" si="27"/>
        <v>28C03385</v>
      </c>
      <c r="I2711" s="59" t="str">
        <f>IF(OR($A2711="",$C2711="",$D2711="",$E2711="",$H2711=""),"",SUMIFS(DATA_GOC!$H:$H,DATA_GOC!$A:$A,"BOM",DATA_GOC!$D:$D,$H2711,DATA_GOC!$E:$E,$C2711,DATA_GOC!$F:$F,"Xuất nội bộ từ téc",DATA_GOC!$B:$B,"&gt;="&amp;$D2711,DATA_GOC!$B:$B,"&lt;="&amp;$E2711))</f>
        <v/>
      </c>
      <c r="J2711" s="59">
        <f t="shared" si="28"/>
        <v>0</v>
      </c>
      <c r="K2711" s="59">
        <f t="shared" si="29"/>
        <v>0</v>
      </c>
      <c r="L2711" s="59">
        <f t="shared" si="30"/>
        <v>0</v>
      </c>
      <c r="M2711" s="59">
        <f t="shared" si="31"/>
        <v>0</v>
      </c>
    </row>
    <row r="2712" ht="15.0" hidden="1" customHeight="1">
      <c r="A2712" s="59">
        <f t="shared" si="20"/>
        <v>42</v>
      </c>
      <c r="B2712" s="59" t="str">
        <f t="shared" si="21"/>
        <v/>
      </c>
      <c r="C2712" s="59" t="str">
        <f t="shared" si="22"/>
        <v/>
      </c>
      <c r="D2712" s="45" t="str">
        <f t="shared" si="23"/>
        <v/>
      </c>
      <c r="E2712" s="45" t="str">
        <f t="shared" si="24"/>
        <v/>
      </c>
      <c r="F2712" s="59" t="str">
        <f t="shared" si="25"/>
        <v/>
      </c>
      <c r="G2712" s="59" t="str">
        <f t="shared" si="26"/>
        <v/>
      </c>
      <c r="H2712" s="59" t="str">
        <f t="shared" si="27"/>
        <v>28C03652</v>
      </c>
      <c r="I2712" s="59" t="str">
        <f>IF(OR($A2712="",$C2712="",$D2712="",$E2712="",$H2712=""),"",SUMIFS(DATA_GOC!$H:$H,DATA_GOC!$A:$A,"BOM",DATA_GOC!$D:$D,$H2712,DATA_GOC!$E:$E,$C2712,DATA_GOC!$F:$F,"Xuất nội bộ từ téc",DATA_GOC!$B:$B,"&gt;="&amp;$D2712,DATA_GOC!$B:$B,"&lt;="&amp;$E2712))</f>
        <v/>
      </c>
      <c r="J2712" s="59">
        <f t="shared" si="28"/>
        <v>0</v>
      </c>
      <c r="K2712" s="59">
        <f t="shared" si="29"/>
        <v>0</v>
      </c>
      <c r="L2712" s="59">
        <f t="shared" si="30"/>
        <v>0</v>
      </c>
      <c r="M2712" s="59">
        <f t="shared" si="31"/>
        <v>0</v>
      </c>
    </row>
    <row r="2713" ht="15.0" hidden="1" customHeight="1">
      <c r="A2713" s="59">
        <f t="shared" si="20"/>
        <v>42</v>
      </c>
      <c r="B2713" s="59" t="str">
        <f t="shared" si="21"/>
        <v/>
      </c>
      <c r="C2713" s="59" t="str">
        <f t="shared" si="22"/>
        <v/>
      </c>
      <c r="D2713" s="45" t="str">
        <f t="shared" si="23"/>
        <v/>
      </c>
      <c r="E2713" s="45" t="str">
        <f t="shared" si="24"/>
        <v/>
      </c>
      <c r="F2713" s="59" t="str">
        <f t="shared" si="25"/>
        <v/>
      </c>
      <c r="G2713" s="59" t="str">
        <f t="shared" si="26"/>
        <v/>
      </c>
      <c r="H2713" s="59" t="str">
        <f t="shared" si="27"/>
        <v>28C03695</v>
      </c>
      <c r="I2713" s="59" t="str">
        <f>IF(OR($A2713="",$C2713="",$D2713="",$E2713="",$H2713=""),"",SUMIFS(DATA_GOC!$H:$H,DATA_GOC!$A:$A,"BOM",DATA_GOC!$D:$D,$H2713,DATA_GOC!$E:$E,$C2713,DATA_GOC!$F:$F,"Xuất nội bộ từ téc",DATA_GOC!$B:$B,"&gt;="&amp;$D2713,DATA_GOC!$B:$B,"&lt;="&amp;$E2713))</f>
        <v/>
      </c>
      <c r="J2713" s="59">
        <f t="shared" si="28"/>
        <v>0</v>
      </c>
      <c r="K2713" s="59">
        <f t="shared" si="29"/>
        <v>0</v>
      </c>
      <c r="L2713" s="59">
        <f t="shared" si="30"/>
        <v>0</v>
      </c>
      <c r="M2713" s="59">
        <f t="shared" si="31"/>
        <v>0</v>
      </c>
    </row>
    <row r="2714" ht="15.0" hidden="1" customHeight="1">
      <c r="A2714" s="59">
        <f t="shared" si="20"/>
        <v>42</v>
      </c>
      <c r="B2714" s="59" t="str">
        <f t="shared" si="21"/>
        <v/>
      </c>
      <c r="C2714" s="59" t="str">
        <f t="shared" si="22"/>
        <v/>
      </c>
      <c r="D2714" s="45" t="str">
        <f t="shared" si="23"/>
        <v/>
      </c>
      <c r="E2714" s="45" t="str">
        <f t="shared" si="24"/>
        <v/>
      </c>
      <c r="F2714" s="59" t="str">
        <f t="shared" si="25"/>
        <v/>
      </c>
      <c r="G2714" s="59" t="str">
        <f t="shared" si="26"/>
        <v/>
      </c>
      <c r="H2714" s="59" t="str">
        <f t="shared" si="27"/>
        <v>28C03927</v>
      </c>
      <c r="I2714" s="59" t="str">
        <f>IF(OR($A2714="",$C2714="",$D2714="",$E2714="",$H2714=""),"",SUMIFS(DATA_GOC!$H:$H,DATA_GOC!$A:$A,"BOM",DATA_GOC!$D:$D,$H2714,DATA_GOC!$E:$E,$C2714,DATA_GOC!$F:$F,"Xuất nội bộ từ téc",DATA_GOC!$B:$B,"&gt;="&amp;$D2714,DATA_GOC!$B:$B,"&lt;="&amp;$E2714))</f>
        <v/>
      </c>
      <c r="J2714" s="59">
        <f t="shared" si="28"/>
        <v>0</v>
      </c>
      <c r="K2714" s="59">
        <f t="shared" si="29"/>
        <v>0</v>
      </c>
      <c r="L2714" s="59">
        <f t="shared" si="30"/>
        <v>0</v>
      </c>
      <c r="M2714" s="59">
        <f t="shared" si="31"/>
        <v>0</v>
      </c>
    </row>
    <row r="2715" ht="15.0" hidden="1" customHeight="1">
      <c r="A2715" s="59">
        <f t="shared" si="20"/>
        <v>42</v>
      </c>
      <c r="B2715" s="59" t="str">
        <f t="shared" si="21"/>
        <v/>
      </c>
      <c r="C2715" s="59" t="str">
        <f t="shared" si="22"/>
        <v/>
      </c>
      <c r="D2715" s="45" t="str">
        <f t="shared" si="23"/>
        <v/>
      </c>
      <c r="E2715" s="45" t="str">
        <f t="shared" si="24"/>
        <v/>
      </c>
      <c r="F2715" s="59" t="str">
        <f t="shared" si="25"/>
        <v/>
      </c>
      <c r="G2715" s="59" t="str">
        <f t="shared" si="26"/>
        <v/>
      </c>
      <c r="H2715" s="59" t="str">
        <f t="shared" si="27"/>
        <v>28C04509</v>
      </c>
      <c r="I2715" s="59" t="str">
        <f>IF(OR($A2715="",$C2715="",$D2715="",$E2715="",$H2715=""),"",SUMIFS(DATA_GOC!$H:$H,DATA_GOC!$A:$A,"BOM",DATA_GOC!$D:$D,$H2715,DATA_GOC!$E:$E,$C2715,DATA_GOC!$F:$F,"Xuất nội bộ từ téc",DATA_GOC!$B:$B,"&gt;="&amp;$D2715,DATA_GOC!$B:$B,"&lt;="&amp;$E2715))</f>
        <v/>
      </c>
      <c r="J2715" s="59">
        <f t="shared" si="28"/>
        <v>0</v>
      </c>
      <c r="K2715" s="59">
        <f t="shared" si="29"/>
        <v>0</v>
      </c>
      <c r="L2715" s="59">
        <f t="shared" si="30"/>
        <v>0</v>
      </c>
      <c r="M2715" s="59">
        <f t="shared" si="31"/>
        <v>0</v>
      </c>
    </row>
    <row r="2716" ht="15.0" hidden="1" customHeight="1">
      <c r="A2716" s="59">
        <f t="shared" si="20"/>
        <v>42</v>
      </c>
      <c r="B2716" s="59" t="str">
        <f t="shared" si="21"/>
        <v/>
      </c>
      <c r="C2716" s="59" t="str">
        <f t="shared" si="22"/>
        <v/>
      </c>
      <c r="D2716" s="45" t="str">
        <f t="shared" si="23"/>
        <v/>
      </c>
      <c r="E2716" s="45" t="str">
        <f t="shared" si="24"/>
        <v/>
      </c>
      <c r="F2716" s="59" t="str">
        <f t="shared" si="25"/>
        <v/>
      </c>
      <c r="G2716" s="59" t="str">
        <f t="shared" si="26"/>
        <v/>
      </c>
      <c r="H2716" s="59" t="str">
        <f t="shared" si="27"/>
        <v>28C04536</v>
      </c>
      <c r="I2716" s="59" t="str">
        <f>IF(OR($A2716="",$C2716="",$D2716="",$E2716="",$H2716=""),"",SUMIFS(DATA_GOC!$H:$H,DATA_GOC!$A:$A,"BOM",DATA_GOC!$D:$D,$H2716,DATA_GOC!$E:$E,$C2716,DATA_GOC!$F:$F,"Xuất nội bộ từ téc",DATA_GOC!$B:$B,"&gt;="&amp;$D2716,DATA_GOC!$B:$B,"&lt;="&amp;$E2716))</f>
        <v/>
      </c>
      <c r="J2716" s="59">
        <f t="shared" si="28"/>
        <v>0</v>
      </c>
      <c r="K2716" s="59">
        <f t="shared" si="29"/>
        <v>0</v>
      </c>
      <c r="L2716" s="59">
        <f t="shared" si="30"/>
        <v>0</v>
      </c>
      <c r="M2716" s="59">
        <f t="shared" si="31"/>
        <v>0</v>
      </c>
    </row>
    <row r="2717" ht="15.0" hidden="1" customHeight="1">
      <c r="A2717" s="59">
        <f t="shared" si="20"/>
        <v>42</v>
      </c>
      <c r="B2717" s="59" t="str">
        <f t="shared" si="21"/>
        <v/>
      </c>
      <c r="C2717" s="59" t="str">
        <f t="shared" si="22"/>
        <v/>
      </c>
      <c r="D2717" s="45" t="str">
        <f t="shared" si="23"/>
        <v/>
      </c>
      <c r="E2717" s="45" t="str">
        <f t="shared" si="24"/>
        <v/>
      </c>
      <c r="F2717" s="59" t="str">
        <f t="shared" si="25"/>
        <v/>
      </c>
      <c r="G2717" s="59" t="str">
        <f t="shared" si="26"/>
        <v/>
      </c>
      <c r="H2717" s="59" t="str">
        <f t="shared" si="27"/>
        <v>28C04576</v>
      </c>
      <c r="I2717" s="59" t="str">
        <f>IF(OR($A2717="",$C2717="",$D2717="",$E2717="",$H2717=""),"",SUMIFS(DATA_GOC!$H:$H,DATA_GOC!$A:$A,"BOM",DATA_GOC!$D:$D,$H2717,DATA_GOC!$E:$E,$C2717,DATA_GOC!$F:$F,"Xuất nội bộ từ téc",DATA_GOC!$B:$B,"&gt;="&amp;$D2717,DATA_GOC!$B:$B,"&lt;="&amp;$E2717))</f>
        <v/>
      </c>
      <c r="J2717" s="59">
        <f t="shared" si="28"/>
        <v>0</v>
      </c>
      <c r="K2717" s="59">
        <f t="shared" si="29"/>
        <v>0</v>
      </c>
      <c r="L2717" s="59">
        <f t="shared" si="30"/>
        <v>0</v>
      </c>
      <c r="M2717" s="59">
        <f t="shared" si="31"/>
        <v>0</v>
      </c>
    </row>
    <row r="2718" ht="15.0" hidden="1" customHeight="1">
      <c r="A2718" s="59">
        <f t="shared" si="20"/>
        <v>42</v>
      </c>
      <c r="B2718" s="59" t="str">
        <f t="shared" si="21"/>
        <v/>
      </c>
      <c r="C2718" s="59" t="str">
        <f t="shared" si="22"/>
        <v/>
      </c>
      <c r="D2718" s="45" t="str">
        <f t="shared" si="23"/>
        <v/>
      </c>
      <c r="E2718" s="45" t="str">
        <f t="shared" si="24"/>
        <v/>
      </c>
      <c r="F2718" s="59" t="str">
        <f t="shared" si="25"/>
        <v/>
      </c>
      <c r="G2718" s="59" t="str">
        <f t="shared" si="26"/>
        <v/>
      </c>
      <c r="H2718" s="59" t="str">
        <f t="shared" si="27"/>
        <v>28C05090</v>
      </c>
      <c r="I2718" s="59" t="str">
        <f>IF(OR($A2718="",$C2718="",$D2718="",$E2718="",$H2718=""),"",SUMIFS(DATA_GOC!$H:$H,DATA_GOC!$A:$A,"BOM",DATA_GOC!$D:$D,$H2718,DATA_GOC!$E:$E,$C2718,DATA_GOC!$F:$F,"Xuất nội bộ từ téc",DATA_GOC!$B:$B,"&gt;="&amp;$D2718,DATA_GOC!$B:$B,"&lt;="&amp;$E2718))</f>
        <v/>
      </c>
      <c r="J2718" s="59">
        <f t="shared" si="28"/>
        <v>0</v>
      </c>
      <c r="K2718" s="59">
        <f t="shared" si="29"/>
        <v>0</v>
      </c>
      <c r="L2718" s="59">
        <f t="shared" si="30"/>
        <v>0</v>
      </c>
      <c r="M2718" s="59">
        <f t="shared" si="31"/>
        <v>0</v>
      </c>
    </row>
    <row r="2719" ht="15.0" hidden="1" customHeight="1">
      <c r="A2719" s="59">
        <f t="shared" si="20"/>
        <v>42</v>
      </c>
      <c r="B2719" s="59" t="str">
        <f t="shared" si="21"/>
        <v/>
      </c>
      <c r="C2719" s="59" t="str">
        <f t="shared" si="22"/>
        <v/>
      </c>
      <c r="D2719" s="45" t="str">
        <f t="shared" si="23"/>
        <v/>
      </c>
      <c r="E2719" s="45" t="str">
        <f t="shared" si="24"/>
        <v/>
      </c>
      <c r="F2719" s="59" t="str">
        <f t="shared" si="25"/>
        <v/>
      </c>
      <c r="G2719" s="59" t="str">
        <f t="shared" si="26"/>
        <v/>
      </c>
      <c r="H2719" s="59" t="str">
        <f t="shared" si="27"/>
        <v>28C05345</v>
      </c>
      <c r="I2719" s="59" t="str">
        <f>IF(OR($A2719="",$C2719="",$D2719="",$E2719="",$H2719=""),"",SUMIFS(DATA_GOC!$H:$H,DATA_GOC!$A:$A,"BOM",DATA_GOC!$D:$D,$H2719,DATA_GOC!$E:$E,$C2719,DATA_GOC!$F:$F,"Xuất nội bộ từ téc",DATA_GOC!$B:$B,"&gt;="&amp;$D2719,DATA_GOC!$B:$B,"&lt;="&amp;$E2719))</f>
        <v/>
      </c>
      <c r="J2719" s="59">
        <f t="shared" si="28"/>
        <v>0</v>
      </c>
      <c r="K2719" s="59">
        <f t="shared" si="29"/>
        <v>0</v>
      </c>
      <c r="L2719" s="59">
        <f t="shared" si="30"/>
        <v>0</v>
      </c>
      <c r="M2719" s="59">
        <f t="shared" si="31"/>
        <v>0</v>
      </c>
    </row>
    <row r="2720" ht="15.0" hidden="1" customHeight="1">
      <c r="A2720" s="59">
        <f t="shared" si="20"/>
        <v>42</v>
      </c>
      <c r="B2720" s="59" t="str">
        <f t="shared" si="21"/>
        <v/>
      </c>
      <c r="C2720" s="59" t="str">
        <f t="shared" si="22"/>
        <v/>
      </c>
      <c r="D2720" s="45" t="str">
        <f t="shared" si="23"/>
        <v/>
      </c>
      <c r="E2720" s="45" t="str">
        <f t="shared" si="24"/>
        <v/>
      </c>
      <c r="F2720" s="59" t="str">
        <f t="shared" si="25"/>
        <v/>
      </c>
      <c r="G2720" s="59" t="str">
        <f t="shared" si="26"/>
        <v/>
      </c>
      <c r="H2720" s="59" t="str">
        <f t="shared" si="27"/>
        <v>28C05661</v>
      </c>
      <c r="I2720" s="59" t="str">
        <f>IF(OR($A2720="",$C2720="",$D2720="",$E2720="",$H2720=""),"",SUMIFS(DATA_GOC!$H:$H,DATA_GOC!$A:$A,"BOM",DATA_GOC!$D:$D,$H2720,DATA_GOC!$E:$E,$C2720,DATA_GOC!$F:$F,"Xuất nội bộ từ téc",DATA_GOC!$B:$B,"&gt;="&amp;$D2720,DATA_GOC!$B:$B,"&lt;="&amp;$E2720))</f>
        <v/>
      </c>
      <c r="J2720" s="59">
        <f t="shared" si="28"/>
        <v>0</v>
      </c>
      <c r="K2720" s="59">
        <f t="shared" si="29"/>
        <v>0</v>
      </c>
      <c r="L2720" s="59">
        <f t="shared" si="30"/>
        <v>0</v>
      </c>
      <c r="M2720" s="59">
        <f t="shared" si="31"/>
        <v>0</v>
      </c>
    </row>
    <row r="2721" ht="15.0" hidden="1" customHeight="1">
      <c r="A2721" s="59">
        <f t="shared" si="20"/>
        <v>42</v>
      </c>
      <c r="B2721" s="59" t="str">
        <f t="shared" si="21"/>
        <v/>
      </c>
      <c r="C2721" s="59" t="str">
        <f t="shared" si="22"/>
        <v/>
      </c>
      <c r="D2721" s="45" t="str">
        <f t="shared" si="23"/>
        <v/>
      </c>
      <c r="E2721" s="45" t="str">
        <f t="shared" si="24"/>
        <v/>
      </c>
      <c r="F2721" s="59" t="str">
        <f t="shared" si="25"/>
        <v/>
      </c>
      <c r="G2721" s="59" t="str">
        <f t="shared" si="26"/>
        <v/>
      </c>
      <c r="H2721" s="59" t="str">
        <f t="shared" si="27"/>
        <v>28C05739</v>
      </c>
      <c r="I2721" s="59" t="str">
        <f>IF(OR($A2721="",$C2721="",$D2721="",$E2721="",$H2721=""),"",SUMIFS(DATA_GOC!$H:$H,DATA_GOC!$A:$A,"BOM",DATA_GOC!$D:$D,$H2721,DATA_GOC!$E:$E,$C2721,DATA_GOC!$F:$F,"Xuất nội bộ từ téc",DATA_GOC!$B:$B,"&gt;="&amp;$D2721,DATA_GOC!$B:$B,"&lt;="&amp;$E2721))</f>
        <v/>
      </c>
      <c r="J2721" s="59">
        <f t="shared" si="28"/>
        <v>0</v>
      </c>
      <c r="K2721" s="59">
        <f t="shared" si="29"/>
        <v>0</v>
      </c>
      <c r="L2721" s="59">
        <f t="shared" si="30"/>
        <v>0</v>
      </c>
      <c r="M2721" s="59">
        <f t="shared" si="31"/>
        <v>0</v>
      </c>
    </row>
    <row r="2722" ht="15.0" hidden="1" customHeight="1">
      <c r="A2722" s="59">
        <f t="shared" si="20"/>
        <v>42</v>
      </c>
      <c r="B2722" s="59" t="str">
        <f t="shared" si="21"/>
        <v/>
      </c>
      <c r="C2722" s="59" t="str">
        <f t="shared" si="22"/>
        <v/>
      </c>
      <c r="D2722" s="45" t="str">
        <f t="shared" si="23"/>
        <v/>
      </c>
      <c r="E2722" s="45" t="str">
        <f t="shared" si="24"/>
        <v/>
      </c>
      <c r="F2722" s="59" t="str">
        <f t="shared" si="25"/>
        <v/>
      </c>
      <c r="G2722" s="59" t="str">
        <f t="shared" si="26"/>
        <v/>
      </c>
      <c r="H2722" s="59" t="str">
        <f t="shared" si="27"/>
        <v>28C06369</v>
      </c>
      <c r="I2722" s="59" t="str">
        <f>IF(OR($A2722="",$C2722="",$D2722="",$E2722="",$H2722=""),"",SUMIFS(DATA_GOC!$H:$H,DATA_GOC!$A:$A,"BOM",DATA_GOC!$D:$D,$H2722,DATA_GOC!$E:$E,$C2722,DATA_GOC!$F:$F,"Xuất nội bộ từ téc",DATA_GOC!$B:$B,"&gt;="&amp;$D2722,DATA_GOC!$B:$B,"&lt;="&amp;$E2722))</f>
        <v/>
      </c>
      <c r="J2722" s="59">
        <f t="shared" si="28"/>
        <v>0</v>
      </c>
      <c r="K2722" s="59">
        <f t="shared" si="29"/>
        <v>0</v>
      </c>
      <c r="L2722" s="59">
        <f t="shared" si="30"/>
        <v>0</v>
      </c>
      <c r="M2722" s="59">
        <f t="shared" si="31"/>
        <v>0</v>
      </c>
    </row>
    <row r="2723" ht="15.0" hidden="1" customHeight="1">
      <c r="A2723" s="59">
        <f t="shared" si="20"/>
        <v>42</v>
      </c>
      <c r="B2723" s="59" t="str">
        <f t="shared" si="21"/>
        <v/>
      </c>
      <c r="C2723" s="59" t="str">
        <f t="shared" si="22"/>
        <v/>
      </c>
      <c r="D2723" s="45" t="str">
        <f t="shared" si="23"/>
        <v/>
      </c>
      <c r="E2723" s="45" t="str">
        <f t="shared" si="24"/>
        <v/>
      </c>
      <c r="F2723" s="59" t="str">
        <f t="shared" si="25"/>
        <v/>
      </c>
      <c r="G2723" s="59" t="str">
        <f t="shared" si="26"/>
        <v/>
      </c>
      <c r="H2723" s="59" t="str">
        <f t="shared" si="27"/>
        <v>28C06447</v>
      </c>
      <c r="I2723" s="59" t="str">
        <f>IF(OR($A2723="",$C2723="",$D2723="",$E2723="",$H2723=""),"",SUMIFS(DATA_GOC!$H:$H,DATA_GOC!$A:$A,"BOM",DATA_GOC!$D:$D,$H2723,DATA_GOC!$E:$E,$C2723,DATA_GOC!$F:$F,"Xuất nội bộ từ téc",DATA_GOC!$B:$B,"&gt;="&amp;$D2723,DATA_GOC!$B:$B,"&lt;="&amp;$E2723))</f>
        <v/>
      </c>
      <c r="J2723" s="59">
        <f t="shared" si="28"/>
        <v>0</v>
      </c>
      <c r="K2723" s="59">
        <f t="shared" si="29"/>
        <v>0</v>
      </c>
      <c r="L2723" s="59">
        <f t="shared" si="30"/>
        <v>0</v>
      </c>
      <c r="M2723" s="59">
        <f t="shared" si="31"/>
        <v>0</v>
      </c>
    </row>
    <row r="2724" ht="15.0" hidden="1" customHeight="1">
      <c r="A2724" s="59">
        <f t="shared" si="20"/>
        <v>42</v>
      </c>
      <c r="B2724" s="59" t="str">
        <f t="shared" si="21"/>
        <v/>
      </c>
      <c r="C2724" s="59" t="str">
        <f t="shared" si="22"/>
        <v/>
      </c>
      <c r="D2724" s="45" t="str">
        <f t="shared" si="23"/>
        <v/>
      </c>
      <c r="E2724" s="45" t="str">
        <f t="shared" si="24"/>
        <v/>
      </c>
      <c r="F2724" s="59" t="str">
        <f t="shared" si="25"/>
        <v/>
      </c>
      <c r="G2724" s="59" t="str">
        <f t="shared" si="26"/>
        <v/>
      </c>
      <c r="H2724" s="59" t="str">
        <f t="shared" si="27"/>
        <v>28H00003</v>
      </c>
      <c r="I2724" s="59" t="str">
        <f>IF(OR($A2724="",$C2724="",$D2724="",$E2724="",$H2724=""),"",SUMIFS(DATA_GOC!$H:$H,DATA_GOC!$A:$A,"BOM",DATA_GOC!$D:$D,$H2724,DATA_GOC!$E:$E,$C2724,DATA_GOC!$F:$F,"Xuất nội bộ từ téc",DATA_GOC!$B:$B,"&gt;="&amp;$D2724,DATA_GOC!$B:$B,"&lt;="&amp;$E2724))</f>
        <v/>
      </c>
      <c r="J2724" s="59">
        <f t="shared" si="28"/>
        <v>0</v>
      </c>
      <c r="K2724" s="59">
        <f t="shared" si="29"/>
        <v>0</v>
      </c>
      <c r="L2724" s="59">
        <f t="shared" si="30"/>
        <v>0</v>
      </c>
      <c r="M2724" s="59">
        <f t="shared" si="31"/>
        <v>0</v>
      </c>
    </row>
    <row r="2725" ht="15.0" hidden="1" customHeight="1">
      <c r="A2725" s="59">
        <f t="shared" si="20"/>
        <v>42</v>
      </c>
      <c r="B2725" s="59" t="str">
        <f t="shared" si="21"/>
        <v/>
      </c>
      <c r="C2725" s="59" t="str">
        <f t="shared" si="22"/>
        <v/>
      </c>
      <c r="D2725" s="45" t="str">
        <f t="shared" si="23"/>
        <v/>
      </c>
      <c r="E2725" s="45" t="str">
        <f t="shared" si="24"/>
        <v/>
      </c>
      <c r="F2725" s="59" t="str">
        <f t="shared" si="25"/>
        <v/>
      </c>
      <c r="G2725" s="59" t="str">
        <f t="shared" si="26"/>
        <v/>
      </c>
      <c r="H2725" s="59" t="str">
        <f t="shared" si="27"/>
        <v>28H00061</v>
      </c>
      <c r="I2725" s="59" t="str">
        <f>IF(OR($A2725="",$C2725="",$D2725="",$E2725="",$H2725=""),"",SUMIFS(DATA_GOC!$H:$H,DATA_GOC!$A:$A,"BOM",DATA_GOC!$D:$D,$H2725,DATA_GOC!$E:$E,$C2725,DATA_GOC!$F:$F,"Xuất nội bộ từ téc",DATA_GOC!$B:$B,"&gt;="&amp;$D2725,DATA_GOC!$B:$B,"&lt;="&amp;$E2725))</f>
        <v/>
      </c>
      <c r="J2725" s="59">
        <f t="shared" si="28"/>
        <v>0</v>
      </c>
      <c r="K2725" s="59">
        <f t="shared" si="29"/>
        <v>0</v>
      </c>
      <c r="L2725" s="59">
        <f t="shared" si="30"/>
        <v>0</v>
      </c>
      <c r="M2725" s="59">
        <f t="shared" si="31"/>
        <v>0</v>
      </c>
    </row>
    <row r="2726" ht="15.0" hidden="1" customHeight="1">
      <c r="A2726" s="59">
        <f t="shared" si="20"/>
        <v>42</v>
      </c>
      <c r="B2726" s="59" t="str">
        <f t="shared" si="21"/>
        <v/>
      </c>
      <c r="C2726" s="59" t="str">
        <f t="shared" si="22"/>
        <v/>
      </c>
      <c r="D2726" s="45" t="str">
        <f t="shared" si="23"/>
        <v/>
      </c>
      <c r="E2726" s="45" t="str">
        <f t="shared" si="24"/>
        <v/>
      </c>
      <c r="F2726" s="59" t="str">
        <f t="shared" si="25"/>
        <v/>
      </c>
      <c r="G2726" s="59" t="str">
        <f t="shared" si="26"/>
        <v/>
      </c>
      <c r="H2726" s="59" t="str">
        <f t="shared" si="27"/>
        <v>28H00354</v>
      </c>
      <c r="I2726" s="59" t="str">
        <f>IF(OR($A2726="",$C2726="",$D2726="",$E2726="",$H2726=""),"",SUMIFS(DATA_GOC!$H:$H,DATA_GOC!$A:$A,"BOM",DATA_GOC!$D:$D,$H2726,DATA_GOC!$E:$E,$C2726,DATA_GOC!$F:$F,"Xuất nội bộ từ téc",DATA_GOC!$B:$B,"&gt;="&amp;$D2726,DATA_GOC!$B:$B,"&lt;="&amp;$E2726))</f>
        <v/>
      </c>
      <c r="J2726" s="59">
        <f t="shared" si="28"/>
        <v>0</v>
      </c>
      <c r="K2726" s="59">
        <f t="shared" si="29"/>
        <v>0</v>
      </c>
      <c r="L2726" s="59">
        <f t="shared" si="30"/>
        <v>0</v>
      </c>
      <c r="M2726" s="59">
        <f t="shared" si="31"/>
        <v>0</v>
      </c>
    </row>
    <row r="2727" ht="15.0" hidden="1" customHeight="1">
      <c r="A2727" s="59">
        <f t="shared" si="20"/>
        <v>42</v>
      </c>
      <c r="B2727" s="59" t="str">
        <f t="shared" si="21"/>
        <v/>
      </c>
      <c r="C2727" s="59" t="str">
        <f t="shared" si="22"/>
        <v/>
      </c>
      <c r="D2727" s="45" t="str">
        <f t="shared" si="23"/>
        <v/>
      </c>
      <c r="E2727" s="45" t="str">
        <f t="shared" si="24"/>
        <v/>
      </c>
      <c r="F2727" s="59" t="str">
        <f t="shared" si="25"/>
        <v/>
      </c>
      <c r="G2727" s="59" t="str">
        <f t="shared" si="26"/>
        <v/>
      </c>
      <c r="H2727" s="59" t="str">
        <f t="shared" si="27"/>
        <v>28H00603</v>
      </c>
      <c r="I2727" s="59" t="str">
        <f>IF(OR($A2727="",$C2727="",$D2727="",$E2727="",$H2727=""),"",SUMIFS(DATA_GOC!$H:$H,DATA_GOC!$A:$A,"BOM",DATA_GOC!$D:$D,$H2727,DATA_GOC!$E:$E,$C2727,DATA_GOC!$F:$F,"Xuất nội bộ từ téc",DATA_GOC!$B:$B,"&gt;="&amp;$D2727,DATA_GOC!$B:$B,"&lt;="&amp;$E2727))</f>
        <v/>
      </c>
      <c r="J2727" s="59">
        <f t="shared" si="28"/>
        <v>0</v>
      </c>
      <c r="K2727" s="59">
        <f t="shared" si="29"/>
        <v>0</v>
      </c>
      <c r="L2727" s="59">
        <f t="shared" si="30"/>
        <v>0</v>
      </c>
      <c r="M2727" s="59">
        <f t="shared" si="31"/>
        <v>0</v>
      </c>
    </row>
    <row r="2728" ht="15.0" hidden="1" customHeight="1">
      <c r="A2728" s="59">
        <f t="shared" si="20"/>
        <v>42</v>
      </c>
      <c r="B2728" s="59" t="str">
        <f t="shared" si="21"/>
        <v/>
      </c>
      <c r="C2728" s="59" t="str">
        <f t="shared" si="22"/>
        <v/>
      </c>
      <c r="D2728" s="45" t="str">
        <f t="shared" si="23"/>
        <v/>
      </c>
      <c r="E2728" s="45" t="str">
        <f t="shared" si="24"/>
        <v/>
      </c>
      <c r="F2728" s="59" t="str">
        <f t="shared" si="25"/>
        <v/>
      </c>
      <c r="G2728" s="59" t="str">
        <f t="shared" si="26"/>
        <v/>
      </c>
      <c r="H2728" s="59" t="str">
        <f t="shared" si="27"/>
        <v>28H00609</v>
      </c>
      <c r="I2728" s="59" t="str">
        <f>IF(OR($A2728="",$C2728="",$D2728="",$E2728="",$H2728=""),"",SUMIFS(DATA_GOC!$H:$H,DATA_GOC!$A:$A,"BOM",DATA_GOC!$D:$D,$H2728,DATA_GOC!$E:$E,$C2728,DATA_GOC!$F:$F,"Xuất nội bộ từ téc",DATA_GOC!$B:$B,"&gt;="&amp;$D2728,DATA_GOC!$B:$B,"&lt;="&amp;$E2728))</f>
        <v/>
      </c>
      <c r="J2728" s="59">
        <f t="shared" si="28"/>
        <v>0</v>
      </c>
      <c r="K2728" s="59">
        <f t="shared" si="29"/>
        <v>0</v>
      </c>
      <c r="L2728" s="59">
        <f t="shared" si="30"/>
        <v>0</v>
      </c>
      <c r="M2728" s="59">
        <f t="shared" si="31"/>
        <v>0</v>
      </c>
    </row>
    <row r="2729" ht="15.0" hidden="1" customHeight="1">
      <c r="A2729" s="59">
        <f t="shared" si="20"/>
        <v>42</v>
      </c>
      <c r="B2729" s="59" t="str">
        <f t="shared" si="21"/>
        <v/>
      </c>
      <c r="C2729" s="59" t="str">
        <f t="shared" si="22"/>
        <v/>
      </c>
      <c r="D2729" s="45" t="str">
        <f t="shared" si="23"/>
        <v/>
      </c>
      <c r="E2729" s="45" t="str">
        <f t="shared" si="24"/>
        <v/>
      </c>
      <c r="F2729" s="59" t="str">
        <f t="shared" si="25"/>
        <v/>
      </c>
      <c r="G2729" s="59" t="str">
        <f t="shared" si="26"/>
        <v/>
      </c>
      <c r="H2729" s="59" t="str">
        <f t="shared" si="27"/>
        <v>28H00669</v>
      </c>
      <c r="I2729" s="59" t="str">
        <f>IF(OR($A2729="",$C2729="",$D2729="",$E2729="",$H2729=""),"",SUMIFS(DATA_GOC!$H:$H,DATA_GOC!$A:$A,"BOM",DATA_GOC!$D:$D,$H2729,DATA_GOC!$E:$E,$C2729,DATA_GOC!$F:$F,"Xuất nội bộ từ téc",DATA_GOC!$B:$B,"&gt;="&amp;$D2729,DATA_GOC!$B:$B,"&lt;="&amp;$E2729))</f>
        <v/>
      </c>
      <c r="J2729" s="59">
        <f t="shared" si="28"/>
        <v>0</v>
      </c>
      <c r="K2729" s="59">
        <f t="shared" si="29"/>
        <v>0</v>
      </c>
      <c r="L2729" s="59">
        <f t="shared" si="30"/>
        <v>0</v>
      </c>
      <c r="M2729" s="59">
        <f t="shared" si="31"/>
        <v>0</v>
      </c>
    </row>
    <row r="2730" ht="15.0" hidden="1" customHeight="1">
      <c r="A2730" s="59">
        <f t="shared" si="20"/>
        <v>42</v>
      </c>
      <c r="B2730" s="59" t="str">
        <f t="shared" si="21"/>
        <v/>
      </c>
      <c r="C2730" s="59" t="str">
        <f t="shared" si="22"/>
        <v/>
      </c>
      <c r="D2730" s="45" t="str">
        <f t="shared" si="23"/>
        <v/>
      </c>
      <c r="E2730" s="45" t="str">
        <f t="shared" si="24"/>
        <v/>
      </c>
      <c r="F2730" s="59" t="str">
        <f t="shared" si="25"/>
        <v/>
      </c>
      <c r="G2730" s="59" t="str">
        <f t="shared" si="26"/>
        <v/>
      </c>
      <c r="H2730" s="59" t="str">
        <f t="shared" si="27"/>
        <v>28H00680</v>
      </c>
      <c r="I2730" s="59" t="str">
        <f>IF(OR($A2730="",$C2730="",$D2730="",$E2730="",$H2730=""),"",SUMIFS(DATA_GOC!$H:$H,DATA_GOC!$A:$A,"BOM",DATA_GOC!$D:$D,$H2730,DATA_GOC!$E:$E,$C2730,DATA_GOC!$F:$F,"Xuất nội bộ từ téc",DATA_GOC!$B:$B,"&gt;="&amp;$D2730,DATA_GOC!$B:$B,"&lt;="&amp;$E2730))</f>
        <v/>
      </c>
      <c r="J2730" s="59">
        <f t="shared" si="28"/>
        <v>0</v>
      </c>
      <c r="K2730" s="59">
        <f t="shared" si="29"/>
        <v>0</v>
      </c>
      <c r="L2730" s="59">
        <f t="shared" si="30"/>
        <v>0</v>
      </c>
      <c r="M2730" s="59">
        <f t="shared" si="31"/>
        <v>0</v>
      </c>
    </row>
    <row r="2731" ht="15.0" hidden="1" customHeight="1">
      <c r="A2731" s="59">
        <f t="shared" si="20"/>
        <v>42</v>
      </c>
      <c r="B2731" s="59" t="str">
        <f t="shared" si="21"/>
        <v/>
      </c>
      <c r="C2731" s="59" t="str">
        <f t="shared" si="22"/>
        <v/>
      </c>
      <c r="D2731" s="45" t="str">
        <f t="shared" si="23"/>
        <v/>
      </c>
      <c r="E2731" s="45" t="str">
        <f t="shared" si="24"/>
        <v/>
      </c>
      <c r="F2731" s="59" t="str">
        <f t="shared" si="25"/>
        <v/>
      </c>
      <c r="G2731" s="59" t="str">
        <f t="shared" si="26"/>
        <v/>
      </c>
      <c r="H2731" s="59" t="str">
        <f t="shared" si="27"/>
        <v>28H01070</v>
      </c>
      <c r="I2731" s="59" t="str">
        <f>IF(OR($A2731="",$C2731="",$D2731="",$E2731="",$H2731=""),"",SUMIFS(DATA_GOC!$H:$H,DATA_GOC!$A:$A,"BOM",DATA_GOC!$D:$D,$H2731,DATA_GOC!$E:$E,$C2731,DATA_GOC!$F:$F,"Xuất nội bộ từ téc",DATA_GOC!$B:$B,"&gt;="&amp;$D2731,DATA_GOC!$B:$B,"&lt;="&amp;$E2731))</f>
        <v/>
      </c>
      <c r="J2731" s="59">
        <f t="shared" si="28"/>
        <v>0</v>
      </c>
      <c r="K2731" s="59">
        <f t="shared" si="29"/>
        <v>0</v>
      </c>
      <c r="L2731" s="59">
        <f t="shared" si="30"/>
        <v>0</v>
      </c>
      <c r="M2731" s="59">
        <f t="shared" si="31"/>
        <v>0</v>
      </c>
    </row>
    <row r="2732" ht="15.0" hidden="1" customHeight="1">
      <c r="A2732" s="59">
        <f t="shared" si="20"/>
        <v>42</v>
      </c>
      <c r="B2732" s="59" t="str">
        <f t="shared" si="21"/>
        <v/>
      </c>
      <c r="C2732" s="59" t="str">
        <f t="shared" si="22"/>
        <v/>
      </c>
      <c r="D2732" s="45" t="str">
        <f t="shared" si="23"/>
        <v/>
      </c>
      <c r="E2732" s="45" t="str">
        <f t="shared" si="24"/>
        <v/>
      </c>
      <c r="F2732" s="59" t="str">
        <f t="shared" si="25"/>
        <v/>
      </c>
      <c r="G2732" s="59" t="str">
        <f t="shared" si="26"/>
        <v/>
      </c>
      <c r="H2732" s="59" t="str">
        <f t="shared" si="27"/>
        <v>28H01364</v>
      </c>
      <c r="I2732" s="59" t="str">
        <f>IF(OR($A2732="",$C2732="",$D2732="",$E2732="",$H2732=""),"",SUMIFS(DATA_GOC!$H:$H,DATA_GOC!$A:$A,"BOM",DATA_GOC!$D:$D,$H2732,DATA_GOC!$E:$E,$C2732,DATA_GOC!$F:$F,"Xuất nội bộ từ téc",DATA_GOC!$B:$B,"&gt;="&amp;$D2732,DATA_GOC!$B:$B,"&lt;="&amp;$E2732))</f>
        <v/>
      </c>
      <c r="J2732" s="59">
        <f t="shared" si="28"/>
        <v>0</v>
      </c>
      <c r="K2732" s="59">
        <f t="shared" si="29"/>
        <v>0</v>
      </c>
      <c r="L2732" s="59">
        <f t="shared" si="30"/>
        <v>0</v>
      </c>
      <c r="M2732" s="59">
        <f t="shared" si="31"/>
        <v>0</v>
      </c>
    </row>
    <row r="2733" ht="15.0" hidden="1" customHeight="1">
      <c r="A2733" s="59">
        <f t="shared" si="20"/>
        <v>42</v>
      </c>
      <c r="B2733" s="59" t="str">
        <f t="shared" si="21"/>
        <v/>
      </c>
      <c r="C2733" s="59" t="str">
        <f t="shared" si="22"/>
        <v/>
      </c>
      <c r="D2733" s="45" t="str">
        <f t="shared" si="23"/>
        <v/>
      </c>
      <c r="E2733" s="45" t="str">
        <f t="shared" si="24"/>
        <v/>
      </c>
      <c r="F2733" s="59" t="str">
        <f t="shared" si="25"/>
        <v/>
      </c>
      <c r="G2733" s="59" t="str">
        <f t="shared" si="26"/>
        <v/>
      </c>
      <c r="H2733" s="59" t="str">
        <f t="shared" si="27"/>
        <v>29E17269</v>
      </c>
      <c r="I2733" s="59" t="str">
        <f>IF(OR($A2733="",$C2733="",$D2733="",$E2733="",$H2733=""),"",SUMIFS(DATA_GOC!$H:$H,DATA_GOC!$A:$A,"BOM",DATA_GOC!$D:$D,$H2733,DATA_GOC!$E:$E,$C2733,DATA_GOC!$F:$F,"Xuất nội bộ từ téc",DATA_GOC!$B:$B,"&gt;="&amp;$D2733,DATA_GOC!$B:$B,"&lt;="&amp;$E2733))</f>
        <v/>
      </c>
      <c r="J2733" s="59">
        <f t="shared" si="28"/>
        <v>0</v>
      </c>
      <c r="K2733" s="59">
        <f t="shared" si="29"/>
        <v>0</v>
      </c>
      <c r="L2733" s="59">
        <f t="shared" si="30"/>
        <v>0</v>
      </c>
      <c r="M2733" s="59">
        <f t="shared" si="31"/>
        <v>0</v>
      </c>
    </row>
    <row r="2734" ht="15.0" hidden="1" customHeight="1">
      <c r="A2734" s="59">
        <f t="shared" si="20"/>
        <v>42</v>
      </c>
      <c r="B2734" s="59" t="str">
        <f t="shared" si="21"/>
        <v/>
      </c>
      <c r="C2734" s="59" t="str">
        <f t="shared" si="22"/>
        <v/>
      </c>
      <c r="D2734" s="45" t="str">
        <f t="shared" si="23"/>
        <v/>
      </c>
      <c r="E2734" s="45" t="str">
        <f t="shared" si="24"/>
        <v/>
      </c>
      <c r="F2734" s="59" t="str">
        <f t="shared" si="25"/>
        <v/>
      </c>
      <c r="G2734" s="59" t="str">
        <f t="shared" si="26"/>
        <v/>
      </c>
      <c r="H2734" s="59" t="str">
        <f t="shared" si="27"/>
        <v>29E17273</v>
      </c>
      <c r="I2734" s="59" t="str">
        <f>IF(OR($A2734="",$C2734="",$D2734="",$E2734="",$H2734=""),"",SUMIFS(DATA_GOC!$H:$H,DATA_GOC!$A:$A,"BOM",DATA_GOC!$D:$D,$H2734,DATA_GOC!$E:$E,$C2734,DATA_GOC!$F:$F,"Xuất nội bộ từ téc",DATA_GOC!$B:$B,"&gt;="&amp;$D2734,DATA_GOC!$B:$B,"&lt;="&amp;$E2734))</f>
        <v/>
      </c>
      <c r="J2734" s="59">
        <f t="shared" si="28"/>
        <v>0</v>
      </c>
      <c r="K2734" s="59">
        <f t="shared" si="29"/>
        <v>0</v>
      </c>
      <c r="L2734" s="59">
        <f t="shared" si="30"/>
        <v>0</v>
      </c>
      <c r="M2734" s="59">
        <f t="shared" si="31"/>
        <v>0</v>
      </c>
    </row>
    <row r="2735" ht="15.0" hidden="1" customHeight="1">
      <c r="A2735" s="59">
        <f t="shared" si="20"/>
        <v>42</v>
      </c>
      <c r="B2735" s="59" t="str">
        <f t="shared" si="21"/>
        <v/>
      </c>
      <c r="C2735" s="59" t="str">
        <f t="shared" si="22"/>
        <v/>
      </c>
      <c r="D2735" s="45" t="str">
        <f t="shared" si="23"/>
        <v/>
      </c>
      <c r="E2735" s="45" t="str">
        <f t="shared" si="24"/>
        <v/>
      </c>
      <c r="F2735" s="59" t="str">
        <f t="shared" si="25"/>
        <v/>
      </c>
      <c r="G2735" s="59" t="str">
        <f t="shared" si="26"/>
        <v/>
      </c>
      <c r="H2735" s="59" t="str">
        <f t="shared" si="27"/>
        <v>29E17410</v>
      </c>
      <c r="I2735" s="59" t="str">
        <f>IF(OR($A2735="",$C2735="",$D2735="",$E2735="",$H2735=""),"",SUMIFS(DATA_GOC!$H:$H,DATA_GOC!$A:$A,"BOM",DATA_GOC!$D:$D,$H2735,DATA_GOC!$E:$E,$C2735,DATA_GOC!$F:$F,"Xuất nội bộ từ téc",DATA_GOC!$B:$B,"&gt;="&amp;$D2735,DATA_GOC!$B:$B,"&lt;="&amp;$E2735))</f>
        <v/>
      </c>
      <c r="J2735" s="59">
        <f t="shared" si="28"/>
        <v>0</v>
      </c>
      <c r="K2735" s="59">
        <f t="shared" si="29"/>
        <v>0</v>
      </c>
      <c r="L2735" s="59">
        <f t="shared" si="30"/>
        <v>0</v>
      </c>
      <c r="M2735" s="59">
        <f t="shared" si="31"/>
        <v>0</v>
      </c>
    </row>
    <row r="2736" ht="15.0" hidden="1" customHeight="1">
      <c r="A2736" s="59">
        <f t="shared" si="20"/>
        <v>42</v>
      </c>
      <c r="B2736" s="59" t="str">
        <f t="shared" si="21"/>
        <v/>
      </c>
      <c r="C2736" s="59" t="str">
        <f t="shared" si="22"/>
        <v/>
      </c>
      <c r="D2736" s="45" t="str">
        <f t="shared" si="23"/>
        <v/>
      </c>
      <c r="E2736" s="45" t="str">
        <f t="shared" si="24"/>
        <v/>
      </c>
      <c r="F2736" s="59" t="str">
        <f t="shared" si="25"/>
        <v/>
      </c>
      <c r="G2736" s="59" t="str">
        <f t="shared" si="26"/>
        <v/>
      </c>
      <c r="H2736" s="59" t="str">
        <f t="shared" si="27"/>
        <v>29E17417</v>
      </c>
      <c r="I2736" s="59" t="str">
        <f>IF(OR($A2736="",$C2736="",$D2736="",$E2736="",$H2736=""),"",SUMIFS(DATA_GOC!$H:$H,DATA_GOC!$A:$A,"BOM",DATA_GOC!$D:$D,$H2736,DATA_GOC!$E:$E,$C2736,DATA_GOC!$F:$F,"Xuất nội bộ từ téc",DATA_GOC!$B:$B,"&gt;="&amp;$D2736,DATA_GOC!$B:$B,"&lt;="&amp;$E2736))</f>
        <v/>
      </c>
      <c r="J2736" s="59">
        <f t="shared" si="28"/>
        <v>0</v>
      </c>
      <c r="K2736" s="59">
        <f t="shared" si="29"/>
        <v>0</v>
      </c>
      <c r="L2736" s="59">
        <f t="shared" si="30"/>
        <v>0</v>
      </c>
      <c r="M2736" s="59">
        <f t="shared" si="31"/>
        <v>0</v>
      </c>
    </row>
    <row r="2737" ht="15.0" hidden="1" customHeight="1">
      <c r="A2737" s="59">
        <f t="shared" si="20"/>
        <v>42</v>
      </c>
      <c r="B2737" s="59" t="str">
        <f t="shared" si="21"/>
        <v/>
      </c>
      <c r="C2737" s="59" t="str">
        <f t="shared" si="22"/>
        <v/>
      </c>
      <c r="D2737" s="45" t="str">
        <f t="shared" si="23"/>
        <v/>
      </c>
      <c r="E2737" s="45" t="str">
        <f t="shared" si="24"/>
        <v/>
      </c>
      <c r="F2737" s="59" t="str">
        <f t="shared" si="25"/>
        <v/>
      </c>
      <c r="G2737" s="59" t="str">
        <f t="shared" si="26"/>
        <v/>
      </c>
      <c r="H2737" s="59" t="str">
        <f t="shared" si="27"/>
        <v>29E17539</v>
      </c>
      <c r="I2737" s="59" t="str">
        <f>IF(OR($A2737="",$C2737="",$D2737="",$E2737="",$H2737=""),"",SUMIFS(DATA_GOC!$H:$H,DATA_GOC!$A:$A,"BOM",DATA_GOC!$D:$D,$H2737,DATA_GOC!$E:$E,$C2737,DATA_GOC!$F:$F,"Xuất nội bộ từ téc",DATA_GOC!$B:$B,"&gt;="&amp;$D2737,DATA_GOC!$B:$B,"&lt;="&amp;$E2737))</f>
        <v/>
      </c>
      <c r="J2737" s="59">
        <f t="shared" si="28"/>
        <v>0</v>
      </c>
      <c r="K2737" s="59">
        <f t="shared" si="29"/>
        <v>0</v>
      </c>
      <c r="L2737" s="59">
        <f t="shared" si="30"/>
        <v>0</v>
      </c>
      <c r="M2737" s="59">
        <f t="shared" si="31"/>
        <v>0</v>
      </c>
    </row>
    <row r="2738" ht="15.0" hidden="1" customHeight="1">
      <c r="A2738" s="59">
        <f t="shared" si="20"/>
        <v>42</v>
      </c>
      <c r="B2738" s="59" t="str">
        <f t="shared" si="21"/>
        <v/>
      </c>
      <c r="C2738" s="59" t="str">
        <f t="shared" si="22"/>
        <v/>
      </c>
      <c r="D2738" s="45" t="str">
        <f t="shared" si="23"/>
        <v/>
      </c>
      <c r="E2738" s="45" t="str">
        <f t="shared" si="24"/>
        <v/>
      </c>
      <c r="F2738" s="59" t="str">
        <f t="shared" si="25"/>
        <v/>
      </c>
      <c r="G2738" s="59" t="str">
        <f t="shared" si="26"/>
        <v/>
      </c>
      <c r="H2738" s="59" t="str">
        <f t="shared" si="27"/>
        <v>29E18160</v>
      </c>
      <c r="I2738" s="59" t="str">
        <f>IF(OR($A2738="",$C2738="",$D2738="",$E2738="",$H2738=""),"",SUMIFS(DATA_GOC!$H:$H,DATA_GOC!$A:$A,"BOM",DATA_GOC!$D:$D,$H2738,DATA_GOC!$E:$E,$C2738,DATA_GOC!$F:$F,"Xuất nội bộ từ téc",DATA_GOC!$B:$B,"&gt;="&amp;$D2738,DATA_GOC!$B:$B,"&lt;="&amp;$E2738))</f>
        <v/>
      </c>
      <c r="J2738" s="59">
        <f t="shared" si="28"/>
        <v>0</v>
      </c>
      <c r="K2738" s="59">
        <f t="shared" si="29"/>
        <v>0</v>
      </c>
      <c r="L2738" s="59">
        <f t="shared" si="30"/>
        <v>0</v>
      </c>
      <c r="M2738" s="59">
        <f t="shared" si="31"/>
        <v>0</v>
      </c>
    </row>
    <row r="2739" ht="15.0" hidden="1" customHeight="1">
      <c r="A2739" s="59">
        <f t="shared" si="20"/>
        <v>42</v>
      </c>
      <c r="B2739" s="59" t="str">
        <f t="shared" si="21"/>
        <v/>
      </c>
      <c r="C2739" s="59" t="str">
        <f t="shared" si="22"/>
        <v/>
      </c>
      <c r="D2739" s="45" t="str">
        <f t="shared" si="23"/>
        <v/>
      </c>
      <c r="E2739" s="45" t="str">
        <f t="shared" si="24"/>
        <v/>
      </c>
      <c r="F2739" s="59" t="str">
        <f t="shared" si="25"/>
        <v/>
      </c>
      <c r="G2739" s="59" t="str">
        <f t="shared" si="26"/>
        <v/>
      </c>
      <c r="H2739" s="59" t="str">
        <f t="shared" si="27"/>
        <v>Công trình Asphalt</v>
      </c>
      <c r="I2739" s="59" t="str">
        <f>IF(OR($A2739="",$C2739="",$D2739="",$E2739="",$H2739=""),"",SUMIFS(DATA_GOC!$H:$H,DATA_GOC!$A:$A,"BOM",DATA_GOC!$D:$D,$H2739,DATA_GOC!$E:$E,$C2739,DATA_GOC!$F:$F,"Xuất nội bộ từ téc",DATA_GOC!$B:$B,"&gt;="&amp;$D2739,DATA_GOC!$B:$B,"&lt;="&amp;$E2739))</f>
        <v/>
      </c>
      <c r="J2739" s="59">
        <f t="shared" si="28"/>
        <v>0</v>
      </c>
      <c r="K2739" s="59">
        <f t="shared" si="29"/>
        <v>0</v>
      </c>
      <c r="L2739" s="59">
        <f t="shared" si="30"/>
        <v>0</v>
      </c>
      <c r="M2739" s="59">
        <f t="shared" si="31"/>
        <v>0</v>
      </c>
    </row>
    <row r="2740" ht="15.0" hidden="1" customHeight="1">
      <c r="A2740" s="59">
        <f t="shared" si="20"/>
        <v>42</v>
      </c>
      <c r="B2740" s="59" t="str">
        <f t="shared" si="21"/>
        <v/>
      </c>
      <c r="C2740" s="59" t="str">
        <f t="shared" si="22"/>
        <v/>
      </c>
      <c r="D2740" s="45" t="str">
        <f t="shared" si="23"/>
        <v/>
      </c>
      <c r="E2740" s="45" t="str">
        <f t="shared" si="24"/>
        <v/>
      </c>
      <c r="F2740" s="59" t="str">
        <f t="shared" si="25"/>
        <v/>
      </c>
      <c r="G2740" s="59" t="str">
        <f t="shared" si="26"/>
        <v/>
      </c>
      <c r="H2740" s="59" t="str">
        <f t="shared" si="27"/>
        <v>LG53F</v>
      </c>
      <c r="I2740" s="59" t="str">
        <f>IF(OR($A2740="",$C2740="",$D2740="",$E2740="",$H2740=""),"",SUMIFS(DATA_GOC!$H:$H,DATA_GOC!$A:$A,"BOM",DATA_GOC!$D:$D,$H2740,DATA_GOC!$E:$E,$C2740,DATA_GOC!$F:$F,"Xuất nội bộ từ téc",DATA_GOC!$B:$B,"&gt;="&amp;$D2740,DATA_GOC!$B:$B,"&lt;="&amp;$E2740))</f>
        <v/>
      </c>
      <c r="J2740" s="59">
        <f t="shared" si="28"/>
        <v>0</v>
      </c>
      <c r="K2740" s="59">
        <f t="shared" si="29"/>
        <v>0</v>
      </c>
      <c r="L2740" s="59">
        <f t="shared" si="30"/>
        <v>0</v>
      </c>
      <c r="M2740" s="59">
        <f t="shared" si="31"/>
        <v>0</v>
      </c>
    </row>
    <row r="2741" ht="15.0" hidden="1" customHeight="1">
      <c r="A2741" s="59">
        <f t="shared" si="20"/>
        <v>42</v>
      </c>
      <c r="B2741" s="59" t="str">
        <f t="shared" si="21"/>
        <v/>
      </c>
      <c r="C2741" s="59" t="str">
        <f t="shared" si="22"/>
        <v/>
      </c>
      <c r="D2741" s="45" t="str">
        <f t="shared" si="23"/>
        <v/>
      </c>
      <c r="E2741" s="45" t="str">
        <f t="shared" si="24"/>
        <v/>
      </c>
      <c r="F2741" s="59" t="str">
        <f t="shared" si="25"/>
        <v/>
      </c>
      <c r="G2741" s="59" t="str">
        <f t="shared" si="26"/>
        <v/>
      </c>
      <c r="H2741" s="59" t="str">
        <f t="shared" si="27"/>
        <v>Máy phát điện</v>
      </c>
      <c r="I2741" s="59" t="str">
        <f>IF(OR($A2741="",$C2741="",$D2741="",$E2741="",$H2741=""),"",SUMIFS(DATA_GOC!$H:$H,DATA_GOC!$A:$A,"BOM",DATA_GOC!$D:$D,$H2741,DATA_GOC!$E:$E,$C2741,DATA_GOC!$F:$F,"Xuất nội bộ từ téc",DATA_GOC!$B:$B,"&gt;="&amp;$D2741,DATA_GOC!$B:$B,"&lt;="&amp;$E2741))</f>
        <v/>
      </c>
      <c r="J2741" s="59">
        <f t="shared" si="28"/>
        <v>0</v>
      </c>
      <c r="K2741" s="59">
        <f t="shared" si="29"/>
        <v>0</v>
      </c>
      <c r="L2741" s="59">
        <f t="shared" si="30"/>
        <v>0</v>
      </c>
      <c r="M2741" s="59">
        <f t="shared" si="31"/>
        <v>0</v>
      </c>
    </row>
    <row r="2742" ht="15.0" hidden="1" customHeight="1">
      <c r="A2742" s="59">
        <f t="shared" si="20"/>
        <v>42</v>
      </c>
      <c r="B2742" s="59" t="str">
        <f t="shared" si="21"/>
        <v/>
      </c>
      <c r="C2742" s="59" t="str">
        <f t="shared" si="22"/>
        <v/>
      </c>
      <c r="D2742" s="45" t="str">
        <f t="shared" si="23"/>
        <v/>
      </c>
      <c r="E2742" s="45" t="str">
        <f t="shared" si="24"/>
        <v/>
      </c>
      <c r="F2742" s="59" t="str">
        <f t="shared" si="25"/>
        <v/>
      </c>
      <c r="G2742" s="59" t="str">
        <f t="shared" si="26"/>
        <v/>
      </c>
      <c r="H2742" s="59" t="str">
        <f t="shared" si="27"/>
        <v>Máy rải thảm</v>
      </c>
      <c r="I2742" s="59" t="str">
        <f>IF(OR($A2742="",$C2742="",$D2742="",$E2742="",$H2742=""),"",SUMIFS(DATA_GOC!$H:$H,DATA_GOC!$A:$A,"BOM",DATA_GOC!$D:$D,$H2742,DATA_GOC!$E:$E,$C2742,DATA_GOC!$F:$F,"Xuất nội bộ từ téc",DATA_GOC!$B:$B,"&gt;="&amp;$D2742,DATA_GOC!$B:$B,"&lt;="&amp;$E2742))</f>
        <v/>
      </c>
      <c r="J2742" s="59">
        <f t="shared" si="28"/>
        <v>0</v>
      </c>
      <c r="K2742" s="59">
        <f t="shared" si="29"/>
        <v>0</v>
      </c>
      <c r="L2742" s="59">
        <f t="shared" si="30"/>
        <v>0</v>
      </c>
      <c r="M2742" s="59">
        <f t="shared" si="31"/>
        <v>0</v>
      </c>
    </row>
    <row r="2743" ht="15.0" hidden="1" customHeight="1">
      <c r="A2743" s="59">
        <f t="shared" si="20"/>
        <v>42</v>
      </c>
      <c r="B2743" s="59" t="str">
        <f t="shared" si="21"/>
        <v/>
      </c>
      <c r="C2743" s="59" t="str">
        <f t="shared" si="22"/>
        <v/>
      </c>
      <c r="D2743" s="45" t="str">
        <f t="shared" si="23"/>
        <v/>
      </c>
      <c r="E2743" s="45" t="str">
        <f t="shared" si="24"/>
        <v/>
      </c>
      <c r="F2743" s="59" t="str">
        <f t="shared" si="25"/>
        <v/>
      </c>
      <c r="G2743" s="59" t="str">
        <f t="shared" si="26"/>
        <v/>
      </c>
      <c r="H2743" s="59" t="str">
        <f t="shared" si="27"/>
        <v>Xúc Đào</v>
      </c>
      <c r="I2743" s="59" t="str">
        <f>IF(OR($A2743="",$C2743="",$D2743="",$E2743="",$H2743=""),"",SUMIFS(DATA_GOC!$H:$H,DATA_GOC!$A:$A,"BOM",DATA_GOC!$D:$D,$H2743,DATA_GOC!$E:$E,$C2743,DATA_GOC!$F:$F,"Xuất nội bộ từ téc",DATA_GOC!$B:$B,"&gt;="&amp;$D2743,DATA_GOC!$B:$B,"&lt;="&amp;$E2743))</f>
        <v/>
      </c>
      <c r="J2743" s="59">
        <f t="shared" si="28"/>
        <v>0</v>
      </c>
      <c r="K2743" s="59">
        <f t="shared" si="29"/>
        <v>0</v>
      </c>
      <c r="L2743" s="59">
        <f t="shared" si="30"/>
        <v>0</v>
      </c>
      <c r="M2743" s="59">
        <f t="shared" si="31"/>
        <v>0</v>
      </c>
    </row>
    <row r="2744" ht="15.0" hidden="1" customHeight="1">
      <c r="A2744" s="59">
        <f t="shared" si="20"/>
        <v>42</v>
      </c>
      <c r="B2744" s="59" t="str">
        <f t="shared" si="21"/>
        <v/>
      </c>
      <c r="C2744" s="59" t="str">
        <f t="shared" si="22"/>
        <v/>
      </c>
      <c r="D2744" s="45" t="str">
        <f t="shared" si="23"/>
        <v/>
      </c>
      <c r="E2744" s="45" t="str">
        <f t="shared" si="24"/>
        <v/>
      </c>
      <c r="F2744" s="59" t="str">
        <f t="shared" si="25"/>
        <v/>
      </c>
      <c r="G2744" s="59" t="str">
        <f t="shared" si="26"/>
        <v/>
      </c>
      <c r="H2744" s="59" t="str">
        <f t="shared" si="27"/>
        <v>Xúclật asphalt</v>
      </c>
      <c r="I2744" s="59" t="str">
        <f>IF(OR($A2744="",$C2744="",$D2744="",$E2744="",$H2744=""),"",SUMIFS(DATA_GOC!$H:$H,DATA_GOC!$A:$A,"BOM",DATA_GOC!$D:$D,$H2744,DATA_GOC!$E:$E,$C2744,DATA_GOC!$F:$F,"Xuất nội bộ từ téc",DATA_GOC!$B:$B,"&gt;="&amp;$D2744,DATA_GOC!$B:$B,"&lt;="&amp;$E2744))</f>
        <v/>
      </c>
      <c r="J2744" s="59">
        <f t="shared" si="28"/>
        <v>0</v>
      </c>
      <c r="K2744" s="59">
        <f t="shared" si="29"/>
        <v>0</v>
      </c>
      <c r="L2744" s="59">
        <f t="shared" si="30"/>
        <v>0</v>
      </c>
      <c r="M2744" s="59">
        <f t="shared" si="31"/>
        <v>0</v>
      </c>
    </row>
    <row r="2745" ht="15.0" hidden="1" customHeight="1">
      <c r="A2745" s="59">
        <f t="shared" si="20"/>
        <v>42</v>
      </c>
      <c r="B2745" s="59" t="str">
        <f t="shared" si="21"/>
        <v/>
      </c>
      <c r="C2745" s="59" t="str">
        <f t="shared" si="22"/>
        <v/>
      </c>
      <c r="D2745" s="45" t="str">
        <f t="shared" si="23"/>
        <v/>
      </c>
      <c r="E2745" s="45" t="str">
        <f t="shared" si="24"/>
        <v/>
      </c>
      <c r="F2745" s="59" t="str">
        <f t="shared" si="25"/>
        <v/>
      </c>
      <c r="G2745" s="59" t="str">
        <f t="shared" si="26"/>
        <v/>
      </c>
      <c r="H2745" s="59" t="str">
        <f t="shared" si="27"/>
        <v>Xúclật855H</v>
      </c>
      <c r="I2745" s="59" t="str">
        <f>IF(OR($A2745="",$C2745="",$D2745="",$E2745="",$H2745=""),"",SUMIFS(DATA_GOC!$H:$H,DATA_GOC!$A:$A,"BOM",DATA_GOC!$D:$D,$H2745,DATA_GOC!$E:$E,$C2745,DATA_GOC!$F:$F,"Xuất nội bộ từ téc",DATA_GOC!$B:$B,"&gt;="&amp;$D2745,DATA_GOC!$B:$B,"&lt;="&amp;$E2745))</f>
        <v/>
      </c>
      <c r="J2745" s="59">
        <f t="shared" si="28"/>
        <v>0</v>
      </c>
      <c r="K2745" s="59">
        <f t="shared" si="29"/>
        <v>0</v>
      </c>
      <c r="L2745" s="59">
        <f t="shared" si="30"/>
        <v>0</v>
      </c>
      <c r="M2745" s="59">
        <f t="shared" si="31"/>
        <v>0</v>
      </c>
    </row>
    <row r="2746" ht="15.0" hidden="1" customHeight="1">
      <c r="A2746" s="59">
        <f t="shared" si="20"/>
        <v>42</v>
      </c>
      <c r="B2746" s="59" t="str">
        <f t="shared" si="21"/>
        <v/>
      </c>
      <c r="C2746" s="59" t="str">
        <f t="shared" si="22"/>
        <v/>
      </c>
      <c r="D2746" s="45" t="str">
        <f t="shared" si="23"/>
        <v/>
      </c>
      <c r="E2746" s="45" t="str">
        <f t="shared" si="24"/>
        <v/>
      </c>
      <c r="F2746" s="59" t="str">
        <f t="shared" si="25"/>
        <v/>
      </c>
      <c r="G2746" s="59" t="str">
        <f t="shared" si="26"/>
        <v/>
      </c>
      <c r="H2746" s="59" t="str">
        <f t="shared" si="27"/>
        <v>Xúclật855N</v>
      </c>
      <c r="I2746" s="59" t="str">
        <f>IF(OR($A2746="",$C2746="",$D2746="",$E2746="",$H2746=""),"",SUMIFS(DATA_GOC!$H:$H,DATA_GOC!$A:$A,"BOM",DATA_GOC!$D:$D,$H2746,DATA_GOC!$E:$E,$C2746,DATA_GOC!$F:$F,"Xuất nội bộ từ téc",DATA_GOC!$B:$B,"&gt;="&amp;$D2746,DATA_GOC!$B:$B,"&lt;="&amp;$E2746))</f>
        <v/>
      </c>
      <c r="J2746" s="59">
        <f t="shared" si="28"/>
        <v>0</v>
      </c>
      <c r="K2746" s="59">
        <f t="shared" si="29"/>
        <v>0</v>
      </c>
      <c r="L2746" s="59">
        <f t="shared" si="30"/>
        <v>0</v>
      </c>
      <c r="M2746" s="59">
        <f t="shared" si="31"/>
        <v>0</v>
      </c>
    </row>
    <row r="2747" ht="15.0" hidden="1" customHeight="1">
      <c r="A2747" s="59">
        <f t="shared" si="20"/>
        <v>42</v>
      </c>
      <c r="B2747" s="59" t="str">
        <f t="shared" si="21"/>
        <v/>
      </c>
      <c r="C2747" s="59" t="str">
        <f t="shared" si="22"/>
        <v/>
      </c>
      <c r="D2747" s="45" t="str">
        <f t="shared" si="23"/>
        <v/>
      </c>
      <c r="E2747" s="45" t="str">
        <f t="shared" si="24"/>
        <v/>
      </c>
      <c r="F2747" s="59" t="str">
        <f t="shared" si="25"/>
        <v/>
      </c>
      <c r="G2747" s="59" t="str">
        <f t="shared" si="26"/>
        <v/>
      </c>
      <c r="H2747" s="59" t="str">
        <f t="shared" si="27"/>
        <v>Cát nghiền</v>
      </c>
      <c r="I2747" s="59" t="str">
        <f>IF(OR($A2747="",$C2747="",$D2747="",$E2747="",$H2747=""),"",SUMIFS(DATA_GOC!$H:$H,DATA_GOC!$A:$A,"BOM",DATA_GOC!$D:$D,$H2747,DATA_GOC!$E:$E,$C2747,DATA_GOC!$F:$F,"Xuất nội bộ từ téc",DATA_GOC!$B:$B,"&gt;="&amp;$D2747,DATA_GOC!$B:$B,"&lt;="&amp;$E2747))</f>
        <v/>
      </c>
      <c r="J2747" s="59">
        <f t="shared" si="28"/>
        <v>0</v>
      </c>
      <c r="K2747" s="59">
        <f t="shared" si="29"/>
        <v>0</v>
      </c>
      <c r="L2747" s="59">
        <f t="shared" si="30"/>
        <v>0</v>
      </c>
      <c r="M2747" s="59">
        <f t="shared" si="31"/>
        <v>0</v>
      </c>
    </row>
    <row r="2748" ht="15.0" hidden="1" customHeight="1">
      <c r="A2748" s="59">
        <f t="shared" si="20"/>
        <v>42</v>
      </c>
      <c r="B2748" s="59" t="str">
        <f t="shared" si="21"/>
        <v/>
      </c>
      <c r="C2748" s="59" t="str">
        <f t="shared" si="22"/>
        <v/>
      </c>
      <c r="D2748" s="45" t="str">
        <f t="shared" si="23"/>
        <v/>
      </c>
      <c r="E2748" s="45" t="str">
        <f t="shared" si="24"/>
        <v/>
      </c>
      <c r="F2748" s="59" t="str">
        <f t="shared" si="25"/>
        <v/>
      </c>
      <c r="G2748" s="59" t="str">
        <f t="shared" si="26"/>
        <v/>
      </c>
      <c r="H2748" s="59" t="str">
        <f t="shared" si="27"/>
        <v>28C02973</v>
      </c>
      <c r="I2748" s="59" t="str">
        <f>IF(OR($A2748="",$C2748="",$D2748="",$E2748="",$H2748=""),"",SUMIFS(DATA_GOC!$H:$H,DATA_GOC!$A:$A,"BOM",DATA_GOC!$D:$D,$H2748,DATA_GOC!$E:$E,$C2748,DATA_GOC!$F:$F,"Xuất nội bộ từ téc",DATA_GOC!$B:$B,"&gt;="&amp;$D2748,DATA_GOC!$B:$B,"&lt;="&amp;$E2748))</f>
        <v/>
      </c>
      <c r="J2748" s="59">
        <f t="shared" si="28"/>
        <v>0</v>
      </c>
      <c r="K2748" s="59">
        <f t="shared" si="29"/>
        <v>0</v>
      </c>
      <c r="L2748" s="59">
        <f t="shared" si="30"/>
        <v>0</v>
      </c>
      <c r="M2748" s="59">
        <f t="shared" si="31"/>
        <v>0</v>
      </c>
    </row>
    <row r="2749" ht="15.0" hidden="1" customHeight="1">
      <c r="A2749" s="59">
        <f t="shared" si="20"/>
        <v>42</v>
      </c>
      <c r="B2749" s="59" t="str">
        <f t="shared" si="21"/>
        <v/>
      </c>
      <c r="C2749" s="59" t="str">
        <f t="shared" si="22"/>
        <v/>
      </c>
      <c r="D2749" s="45" t="str">
        <f t="shared" si="23"/>
        <v/>
      </c>
      <c r="E2749" s="45" t="str">
        <f t="shared" si="24"/>
        <v/>
      </c>
      <c r="F2749" s="59" t="str">
        <f t="shared" si="25"/>
        <v/>
      </c>
      <c r="G2749" s="59" t="str">
        <f t="shared" si="26"/>
        <v/>
      </c>
      <c r="H2749" s="59" t="str">
        <f t="shared" si="27"/>
        <v>28C03044</v>
      </c>
      <c r="I2749" s="59" t="str">
        <f>IF(OR($A2749="",$C2749="",$D2749="",$E2749="",$H2749=""),"",SUMIFS(DATA_GOC!$H:$H,DATA_GOC!$A:$A,"BOM",DATA_GOC!$D:$D,$H2749,DATA_GOC!$E:$E,$C2749,DATA_GOC!$F:$F,"Xuất nội bộ từ téc",DATA_GOC!$B:$B,"&gt;="&amp;$D2749,DATA_GOC!$B:$B,"&lt;="&amp;$E2749))</f>
        <v/>
      </c>
      <c r="J2749" s="59">
        <f t="shared" si="28"/>
        <v>0</v>
      </c>
      <c r="K2749" s="59">
        <f t="shared" si="29"/>
        <v>0</v>
      </c>
      <c r="L2749" s="59">
        <f t="shared" si="30"/>
        <v>0</v>
      </c>
      <c r="M2749" s="59">
        <f t="shared" si="31"/>
        <v>0</v>
      </c>
    </row>
    <row r="2750" ht="15.0" hidden="1" customHeight="1">
      <c r="A2750" s="59">
        <f t="shared" si="20"/>
        <v>42</v>
      </c>
      <c r="B2750" s="59" t="str">
        <f t="shared" si="21"/>
        <v/>
      </c>
      <c r="C2750" s="59" t="str">
        <f t="shared" si="22"/>
        <v/>
      </c>
      <c r="D2750" s="45" t="str">
        <f t="shared" si="23"/>
        <v/>
      </c>
      <c r="E2750" s="45" t="str">
        <f t="shared" si="24"/>
        <v/>
      </c>
      <c r="F2750" s="59" t="str">
        <f t="shared" si="25"/>
        <v/>
      </c>
      <c r="G2750" s="59" t="str">
        <f t="shared" si="26"/>
        <v/>
      </c>
      <c r="H2750" s="59" t="str">
        <f t="shared" si="27"/>
        <v>Máy lu lốp</v>
      </c>
      <c r="I2750" s="59" t="str">
        <f>IF(OR($A2750="",$C2750="",$D2750="",$E2750="",$H2750=""),"",SUMIFS(DATA_GOC!$H:$H,DATA_GOC!$A:$A,"BOM",DATA_GOC!$D:$D,$H2750,DATA_GOC!$E:$E,$C2750,DATA_GOC!$F:$F,"Xuất nội bộ từ téc",DATA_GOC!$B:$B,"&gt;="&amp;$D2750,DATA_GOC!$B:$B,"&lt;="&amp;$E2750))</f>
        <v/>
      </c>
      <c r="J2750" s="59">
        <f t="shared" si="28"/>
        <v>0</v>
      </c>
      <c r="K2750" s="59">
        <f t="shared" si="29"/>
        <v>0</v>
      </c>
      <c r="L2750" s="59">
        <f t="shared" si="30"/>
        <v>0</v>
      </c>
      <c r="M2750" s="59">
        <f t="shared" si="31"/>
        <v>0</v>
      </c>
    </row>
    <row r="2751" ht="15.0" hidden="1" customHeight="1">
      <c r="A2751" s="59">
        <f t="shared" si="20"/>
        <v>42</v>
      </c>
      <c r="B2751" s="59" t="str">
        <f t="shared" si="21"/>
        <v/>
      </c>
      <c r="C2751" s="59" t="str">
        <f t="shared" si="22"/>
        <v/>
      </c>
      <c r="D2751" s="45" t="str">
        <f t="shared" si="23"/>
        <v/>
      </c>
      <c r="E2751" s="45" t="str">
        <f t="shared" si="24"/>
        <v/>
      </c>
      <c r="F2751" s="59" t="str">
        <f t="shared" si="25"/>
        <v/>
      </c>
      <c r="G2751" s="59" t="str">
        <f t="shared" si="26"/>
        <v/>
      </c>
      <c r="H2751" s="59" t="str">
        <f t="shared" si="27"/>
        <v>Xe 600148</v>
      </c>
      <c r="I2751" s="59" t="str">
        <f>IF(OR($A2751="",$C2751="",$D2751="",$E2751="",$H2751=""),"",SUMIFS(DATA_GOC!$H:$H,DATA_GOC!$A:$A,"BOM",DATA_GOC!$D:$D,$H2751,DATA_GOC!$E:$E,$C2751,DATA_GOC!$F:$F,"Xuất nội bộ từ téc",DATA_GOC!$B:$B,"&gt;="&amp;$D2751,DATA_GOC!$B:$B,"&lt;="&amp;$E2751))</f>
        <v/>
      </c>
      <c r="J2751" s="59">
        <f t="shared" si="28"/>
        <v>0</v>
      </c>
      <c r="K2751" s="59">
        <f t="shared" si="29"/>
        <v>0</v>
      </c>
      <c r="L2751" s="59">
        <f t="shared" si="30"/>
        <v>0</v>
      </c>
      <c r="M2751" s="59">
        <f t="shared" si="31"/>
        <v>0</v>
      </c>
    </row>
    <row r="2752" ht="15.0" hidden="1" customHeight="1">
      <c r="A2752" s="59">
        <f t="shared" si="20"/>
        <v>42</v>
      </c>
      <c r="B2752" s="59" t="str">
        <f t="shared" si="21"/>
        <v/>
      </c>
      <c r="C2752" s="59" t="str">
        <f t="shared" si="22"/>
        <v/>
      </c>
      <c r="D2752" s="45" t="str">
        <f t="shared" si="23"/>
        <v/>
      </c>
      <c r="E2752" s="45" t="str">
        <f t="shared" si="24"/>
        <v/>
      </c>
      <c r="F2752" s="59" t="str">
        <f t="shared" si="25"/>
        <v/>
      </c>
      <c r="G2752" s="59" t="str">
        <f t="shared" si="26"/>
        <v/>
      </c>
      <c r="H2752" s="59" t="str">
        <f t="shared" si="27"/>
        <v>Xe ben mới</v>
      </c>
      <c r="I2752" s="59" t="str">
        <f>IF(OR($A2752="",$C2752="",$D2752="",$E2752="",$H2752=""),"",SUMIFS(DATA_GOC!$H:$H,DATA_GOC!$A:$A,"BOM",DATA_GOC!$D:$D,$H2752,DATA_GOC!$E:$E,$C2752,DATA_GOC!$F:$F,"Xuất nội bộ từ téc",DATA_GOC!$B:$B,"&gt;="&amp;$D2752,DATA_GOC!$B:$B,"&lt;="&amp;$E2752))</f>
        <v/>
      </c>
      <c r="J2752" s="59">
        <f t="shared" si="28"/>
        <v>0</v>
      </c>
      <c r="K2752" s="59">
        <f t="shared" si="29"/>
        <v>0</v>
      </c>
      <c r="L2752" s="59">
        <f t="shared" si="30"/>
        <v>0</v>
      </c>
      <c r="M2752" s="59">
        <f t="shared" si="31"/>
        <v>0</v>
      </c>
    </row>
    <row r="2753" ht="15.0" hidden="1" customHeight="1">
      <c r="A2753" s="59">
        <f t="shared" si="20"/>
        <v>43</v>
      </c>
      <c r="B2753" s="59" t="str">
        <f t="shared" si="21"/>
        <v/>
      </c>
      <c r="C2753" s="59" t="str">
        <f t="shared" si="22"/>
        <v/>
      </c>
      <c r="D2753" s="45" t="str">
        <f t="shared" si="23"/>
        <v/>
      </c>
      <c r="E2753" s="45" t="str">
        <f t="shared" si="24"/>
        <v/>
      </c>
      <c r="F2753" s="59" t="str">
        <f t="shared" si="25"/>
        <v/>
      </c>
      <c r="G2753" s="59" t="str">
        <f t="shared" si="26"/>
        <v/>
      </c>
      <c r="H2753" s="59" t="str">
        <f t="shared" si="27"/>
        <v>19H09482</v>
      </c>
      <c r="I2753" s="59" t="str">
        <f>IF(OR($A2753="",$C2753="",$D2753="",$E2753="",$H2753=""),"",SUMIFS(DATA_GOC!$H:$H,DATA_GOC!$A:$A,"BOM",DATA_GOC!$D:$D,$H2753,DATA_GOC!$E:$E,$C2753,DATA_GOC!$F:$F,"Xuất nội bộ từ téc",DATA_GOC!$B:$B,"&gt;="&amp;$D2753,DATA_GOC!$B:$B,"&lt;="&amp;$E2753))</f>
        <v/>
      </c>
      <c r="J2753" s="59">
        <f t="shared" si="28"/>
        <v>0</v>
      </c>
      <c r="K2753" s="59">
        <f t="shared" si="29"/>
        <v>0</v>
      </c>
      <c r="L2753" s="59">
        <f t="shared" si="30"/>
        <v>0</v>
      </c>
      <c r="M2753" s="59">
        <f t="shared" si="31"/>
        <v>0</v>
      </c>
    </row>
    <row r="2754" ht="15.0" hidden="1" customHeight="1">
      <c r="A2754" s="59">
        <f t="shared" si="20"/>
        <v>43</v>
      </c>
      <c r="B2754" s="59" t="str">
        <f t="shared" si="21"/>
        <v/>
      </c>
      <c r="C2754" s="59" t="str">
        <f t="shared" si="22"/>
        <v/>
      </c>
      <c r="D2754" s="45" t="str">
        <f t="shared" si="23"/>
        <v/>
      </c>
      <c r="E2754" s="45" t="str">
        <f t="shared" si="24"/>
        <v/>
      </c>
      <c r="F2754" s="59" t="str">
        <f t="shared" si="25"/>
        <v/>
      </c>
      <c r="G2754" s="59" t="str">
        <f t="shared" si="26"/>
        <v/>
      </c>
      <c r="H2754" s="59" t="str">
        <f t="shared" si="27"/>
        <v>28A30696</v>
      </c>
      <c r="I2754" s="59" t="str">
        <f>IF(OR($A2754="",$C2754="",$D2754="",$E2754="",$H2754=""),"",SUMIFS(DATA_GOC!$H:$H,DATA_GOC!$A:$A,"BOM",DATA_GOC!$D:$D,$H2754,DATA_GOC!$E:$E,$C2754,DATA_GOC!$F:$F,"Xuất nội bộ từ téc",DATA_GOC!$B:$B,"&gt;="&amp;$D2754,DATA_GOC!$B:$B,"&lt;="&amp;$E2754))</f>
        <v/>
      </c>
      <c r="J2754" s="59">
        <f t="shared" si="28"/>
        <v>0</v>
      </c>
      <c r="K2754" s="59">
        <f t="shared" si="29"/>
        <v>0</v>
      </c>
      <c r="L2754" s="59">
        <f t="shared" si="30"/>
        <v>0</v>
      </c>
      <c r="M2754" s="59">
        <f t="shared" si="31"/>
        <v>0</v>
      </c>
    </row>
    <row r="2755" ht="15.0" hidden="1" customHeight="1">
      <c r="A2755" s="59">
        <f t="shared" si="20"/>
        <v>43</v>
      </c>
      <c r="B2755" s="59" t="str">
        <f t="shared" si="21"/>
        <v/>
      </c>
      <c r="C2755" s="59" t="str">
        <f t="shared" si="22"/>
        <v/>
      </c>
      <c r="D2755" s="45" t="str">
        <f t="shared" si="23"/>
        <v/>
      </c>
      <c r="E2755" s="45" t="str">
        <f t="shared" si="24"/>
        <v/>
      </c>
      <c r="F2755" s="59" t="str">
        <f t="shared" si="25"/>
        <v/>
      </c>
      <c r="G2755" s="59" t="str">
        <f t="shared" si="26"/>
        <v/>
      </c>
      <c r="H2755" s="59" t="str">
        <f t="shared" si="27"/>
        <v>28C00462</v>
      </c>
      <c r="I2755" s="59" t="str">
        <f>IF(OR($A2755="",$C2755="",$D2755="",$E2755="",$H2755=""),"",SUMIFS(DATA_GOC!$H:$H,DATA_GOC!$A:$A,"BOM",DATA_GOC!$D:$D,$H2755,DATA_GOC!$E:$E,$C2755,DATA_GOC!$F:$F,"Xuất nội bộ từ téc",DATA_GOC!$B:$B,"&gt;="&amp;$D2755,DATA_GOC!$B:$B,"&lt;="&amp;$E2755))</f>
        <v/>
      </c>
      <c r="J2755" s="59">
        <f t="shared" si="28"/>
        <v>0</v>
      </c>
      <c r="K2755" s="59">
        <f t="shared" si="29"/>
        <v>0</v>
      </c>
      <c r="L2755" s="59">
        <f t="shared" si="30"/>
        <v>0</v>
      </c>
      <c r="M2755" s="59">
        <f t="shared" si="31"/>
        <v>0</v>
      </c>
    </row>
    <row r="2756" ht="15.0" hidden="1" customHeight="1">
      <c r="A2756" s="59">
        <f t="shared" si="20"/>
        <v>43</v>
      </c>
      <c r="B2756" s="59" t="str">
        <f t="shared" si="21"/>
        <v/>
      </c>
      <c r="C2756" s="59" t="str">
        <f t="shared" si="22"/>
        <v/>
      </c>
      <c r="D2756" s="45" t="str">
        <f t="shared" si="23"/>
        <v/>
      </c>
      <c r="E2756" s="45" t="str">
        <f t="shared" si="24"/>
        <v/>
      </c>
      <c r="F2756" s="59" t="str">
        <f t="shared" si="25"/>
        <v/>
      </c>
      <c r="G2756" s="59" t="str">
        <f t="shared" si="26"/>
        <v/>
      </c>
      <c r="H2756" s="59" t="str">
        <f t="shared" si="27"/>
        <v>28C01165</v>
      </c>
      <c r="I2756" s="59" t="str">
        <f>IF(OR($A2756="",$C2756="",$D2756="",$E2756="",$H2756=""),"",SUMIFS(DATA_GOC!$H:$H,DATA_GOC!$A:$A,"BOM",DATA_GOC!$D:$D,$H2756,DATA_GOC!$E:$E,$C2756,DATA_GOC!$F:$F,"Xuất nội bộ từ téc",DATA_GOC!$B:$B,"&gt;="&amp;$D2756,DATA_GOC!$B:$B,"&lt;="&amp;$E2756))</f>
        <v/>
      </c>
      <c r="J2756" s="59">
        <f t="shared" si="28"/>
        <v>0</v>
      </c>
      <c r="K2756" s="59">
        <f t="shared" si="29"/>
        <v>0</v>
      </c>
      <c r="L2756" s="59">
        <f t="shared" si="30"/>
        <v>0</v>
      </c>
      <c r="M2756" s="59">
        <f t="shared" si="31"/>
        <v>0</v>
      </c>
    </row>
    <row r="2757" ht="15.0" hidden="1" customHeight="1">
      <c r="A2757" s="59">
        <f t="shared" si="20"/>
        <v>43</v>
      </c>
      <c r="B2757" s="59" t="str">
        <f t="shared" si="21"/>
        <v/>
      </c>
      <c r="C2757" s="59" t="str">
        <f t="shared" si="22"/>
        <v/>
      </c>
      <c r="D2757" s="45" t="str">
        <f t="shared" si="23"/>
        <v/>
      </c>
      <c r="E2757" s="45" t="str">
        <f t="shared" si="24"/>
        <v/>
      </c>
      <c r="F2757" s="59" t="str">
        <f t="shared" si="25"/>
        <v/>
      </c>
      <c r="G2757" s="59" t="str">
        <f t="shared" si="26"/>
        <v/>
      </c>
      <c r="H2757" s="59" t="str">
        <f t="shared" si="27"/>
        <v>28C01406</v>
      </c>
      <c r="I2757" s="59" t="str">
        <f>IF(OR($A2757="",$C2757="",$D2757="",$E2757="",$H2757=""),"",SUMIFS(DATA_GOC!$H:$H,DATA_GOC!$A:$A,"BOM",DATA_GOC!$D:$D,$H2757,DATA_GOC!$E:$E,$C2757,DATA_GOC!$F:$F,"Xuất nội bộ từ téc",DATA_GOC!$B:$B,"&gt;="&amp;$D2757,DATA_GOC!$B:$B,"&lt;="&amp;$E2757))</f>
        <v/>
      </c>
      <c r="J2757" s="59">
        <f t="shared" si="28"/>
        <v>0</v>
      </c>
      <c r="K2757" s="59">
        <f t="shared" si="29"/>
        <v>0</v>
      </c>
      <c r="L2757" s="59">
        <f t="shared" si="30"/>
        <v>0</v>
      </c>
      <c r="M2757" s="59">
        <f t="shared" si="31"/>
        <v>0</v>
      </c>
    </row>
    <row r="2758" ht="15.0" hidden="1" customHeight="1">
      <c r="A2758" s="59">
        <f t="shared" si="20"/>
        <v>43</v>
      </c>
      <c r="B2758" s="59" t="str">
        <f t="shared" si="21"/>
        <v/>
      </c>
      <c r="C2758" s="59" t="str">
        <f t="shared" si="22"/>
        <v/>
      </c>
      <c r="D2758" s="45" t="str">
        <f t="shared" si="23"/>
        <v/>
      </c>
      <c r="E2758" s="45" t="str">
        <f t="shared" si="24"/>
        <v/>
      </c>
      <c r="F2758" s="59" t="str">
        <f t="shared" si="25"/>
        <v/>
      </c>
      <c r="G2758" s="59" t="str">
        <f t="shared" si="26"/>
        <v/>
      </c>
      <c r="H2758" s="59" t="str">
        <f t="shared" si="27"/>
        <v>28C01544</v>
      </c>
      <c r="I2758" s="59" t="str">
        <f>IF(OR($A2758="",$C2758="",$D2758="",$E2758="",$H2758=""),"",SUMIFS(DATA_GOC!$H:$H,DATA_GOC!$A:$A,"BOM",DATA_GOC!$D:$D,$H2758,DATA_GOC!$E:$E,$C2758,DATA_GOC!$F:$F,"Xuất nội bộ từ téc",DATA_GOC!$B:$B,"&gt;="&amp;$D2758,DATA_GOC!$B:$B,"&lt;="&amp;$E2758))</f>
        <v/>
      </c>
      <c r="J2758" s="59">
        <f t="shared" si="28"/>
        <v>0</v>
      </c>
      <c r="K2758" s="59">
        <f t="shared" si="29"/>
        <v>0</v>
      </c>
      <c r="L2758" s="59">
        <f t="shared" si="30"/>
        <v>0</v>
      </c>
      <c r="M2758" s="59">
        <f t="shared" si="31"/>
        <v>0</v>
      </c>
    </row>
    <row r="2759" ht="15.0" hidden="1" customHeight="1">
      <c r="A2759" s="59">
        <f t="shared" si="20"/>
        <v>43</v>
      </c>
      <c r="B2759" s="59" t="str">
        <f t="shared" si="21"/>
        <v/>
      </c>
      <c r="C2759" s="59" t="str">
        <f t="shared" si="22"/>
        <v/>
      </c>
      <c r="D2759" s="45" t="str">
        <f t="shared" si="23"/>
        <v/>
      </c>
      <c r="E2759" s="45" t="str">
        <f t="shared" si="24"/>
        <v/>
      </c>
      <c r="F2759" s="59" t="str">
        <f t="shared" si="25"/>
        <v/>
      </c>
      <c r="G2759" s="59" t="str">
        <f t="shared" si="26"/>
        <v/>
      </c>
      <c r="H2759" s="59" t="str">
        <f t="shared" si="27"/>
        <v>28C01622</v>
      </c>
      <c r="I2759" s="59" t="str">
        <f>IF(OR($A2759="",$C2759="",$D2759="",$E2759="",$H2759=""),"",SUMIFS(DATA_GOC!$H:$H,DATA_GOC!$A:$A,"BOM",DATA_GOC!$D:$D,$H2759,DATA_GOC!$E:$E,$C2759,DATA_GOC!$F:$F,"Xuất nội bộ từ téc",DATA_GOC!$B:$B,"&gt;="&amp;$D2759,DATA_GOC!$B:$B,"&lt;="&amp;$E2759))</f>
        <v/>
      </c>
      <c r="J2759" s="59">
        <f t="shared" si="28"/>
        <v>0</v>
      </c>
      <c r="K2759" s="59">
        <f t="shared" si="29"/>
        <v>0</v>
      </c>
      <c r="L2759" s="59">
        <f t="shared" si="30"/>
        <v>0</v>
      </c>
      <c r="M2759" s="59">
        <f t="shared" si="31"/>
        <v>0</v>
      </c>
    </row>
    <row r="2760" ht="15.0" hidden="1" customHeight="1">
      <c r="A2760" s="59">
        <f t="shared" si="20"/>
        <v>43</v>
      </c>
      <c r="B2760" s="59" t="str">
        <f t="shared" si="21"/>
        <v/>
      </c>
      <c r="C2760" s="59" t="str">
        <f t="shared" si="22"/>
        <v/>
      </c>
      <c r="D2760" s="45" t="str">
        <f t="shared" si="23"/>
        <v/>
      </c>
      <c r="E2760" s="45" t="str">
        <f t="shared" si="24"/>
        <v/>
      </c>
      <c r="F2760" s="59" t="str">
        <f t="shared" si="25"/>
        <v/>
      </c>
      <c r="G2760" s="59" t="str">
        <f t="shared" si="26"/>
        <v/>
      </c>
      <c r="H2760" s="59" t="str">
        <f t="shared" si="27"/>
        <v>28C01647</v>
      </c>
      <c r="I2760" s="59" t="str">
        <f>IF(OR($A2760="",$C2760="",$D2760="",$E2760="",$H2760=""),"",SUMIFS(DATA_GOC!$H:$H,DATA_GOC!$A:$A,"BOM",DATA_GOC!$D:$D,$H2760,DATA_GOC!$E:$E,$C2760,DATA_GOC!$F:$F,"Xuất nội bộ từ téc",DATA_GOC!$B:$B,"&gt;="&amp;$D2760,DATA_GOC!$B:$B,"&lt;="&amp;$E2760))</f>
        <v/>
      </c>
      <c r="J2760" s="59">
        <f t="shared" si="28"/>
        <v>0</v>
      </c>
      <c r="K2760" s="59">
        <f t="shared" si="29"/>
        <v>0</v>
      </c>
      <c r="L2760" s="59">
        <f t="shared" si="30"/>
        <v>0</v>
      </c>
      <c r="M2760" s="59">
        <f t="shared" si="31"/>
        <v>0</v>
      </c>
    </row>
    <row r="2761" ht="15.0" hidden="1" customHeight="1">
      <c r="A2761" s="59">
        <f t="shared" si="20"/>
        <v>43</v>
      </c>
      <c r="B2761" s="59" t="str">
        <f t="shared" si="21"/>
        <v/>
      </c>
      <c r="C2761" s="59" t="str">
        <f t="shared" si="22"/>
        <v/>
      </c>
      <c r="D2761" s="45" t="str">
        <f t="shared" si="23"/>
        <v/>
      </c>
      <c r="E2761" s="45" t="str">
        <f t="shared" si="24"/>
        <v/>
      </c>
      <c r="F2761" s="59" t="str">
        <f t="shared" si="25"/>
        <v/>
      </c>
      <c r="G2761" s="59" t="str">
        <f t="shared" si="26"/>
        <v/>
      </c>
      <c r="H2761" s="59" t="str">
        <f t="shared" si="27"/>
        <v>28C01731</v>
      </c>
      <c r="I2761" s="59" t="str">
        <f>IF(OR($A2761="",$C2761="",$D2761="",$E2761="",$H2761=""),"",SUMIFS(DATA_GOC!$H:$H,DATA_GOC!$A:$A,"BOM",DATA_GOC!$D:$D,$H2761,DATA_GOC!$E:$E,$C2761,DATA_GOC!$F:$F,"Xuất nội bộ từ téc",DATA_GOC!$B:$B,"&gt;="&amp;$D2761,DATA_GOC!$B:$B,"&lt;="&amp;$E2761))</f>
        <v/>
      </c>
      <c r="J2761" s="59">
        <f t="shared" si="28"/>
        <v>0</v>
      </c>
      <c r="K2761" s="59">
        <f t="shared" si="29"/>
        <v>0</v>
      </c>
      <c r="L2761" s="59">
        <f t="shared" si="30"/>
        <v>0</v>
      </c>
      <c r="M2761" s="59">
        <f t="shared" si="31"/>
        <v>0</v>
      </c>
    </row>
    <row r="2762" ht="15.0" hidden="1" customHeight="1">
      <c r="A2762" s="59">
        <f t="shared" si="20"/>
        <v>43</v>
      </c>
      <c r="B2762" s="59" t="str">
        <f t="shared" si="21"/>
        <v/>
      </c>
      <c r="C2762" s="59" t="str">
        <f t="shared" si="22"/>
        <v/>
      </c>
      <c r="D2762" s="45" t="str">
        <f t="shared" si="23"/>
        <v/>
      </c>
      <c r="E2762" s="45" t="str">
        <f t="shared" si="24"/>
        <v/>
      </c>
      <c r="F2762" s="59" t="str">
        <f t="shared" si="25"/>
        <v/>
      </c>
      <c r="G2762" s="59" t="str">
        <f t="shared" si="26"/>
        <v/>
      </c>
      <c r="H2762" s="59" t="str">
        <f t="shared" si="27"/>
        <v>28C01743</v>
      </c>
      <c r="I2762" s="59" t="str">
        <f>IF(OR($A2762="",$C2762="",$D2762="",$E2762="",$H2762=""),"",SUMIFS(DATA_GOC!$H:$H,DATA_GOC!$A:$A,"BOM",DATA_GOC!$D:$D,$H2762,DATA_GOC!$E:$E,$C2762,DATA_GOC!$F:$F,"Xuất nội bộ từ téc",DATA_GOC!$B:$B,"&gt;="&amp;$D2762,DATA_GOC!$B:$B,"&lt;="&amp;$E2762))</f>
        <v/>
      </c>
      <c r="J2762" s="59">
        <f t="shared" si="28"/>
        <v>0</v>
      </c>
      <c r="K2762" s="59">
        <f t="shared" si="29"/>
        <v>0</v>
      </c>
      <c r="L2762" s="59">
        <f t="shared" si="30"/>
        <v>0</v>
      </c>
      <c r="M2762" s="59">
        <f t="shared" si="31"/>
        <v>0</v>
      </c>
    </row>
    <row r="2763" ht="15.0" hidden="1" customHeight="1">
      <c r="A2763" s="59">
        <f t="shared" si="20"/>
        <v>43</v>
      </c>
      <c r="B2763" s="59" t="str">
        <f t="shared" si="21"/>
        <v/>
      </c>
      <c r="C2763" s="59" t="str">
        <f t="shared" si="22"/>
        <v/>
      </c>
      <c r="D2763" s="45" t="str">
        <f t="shared" si="23"/>
        <v/>
      </c>
      <c r="E2763" s="45" t="str">
        <f t="shared" si="24"/>
        <v/>
      </c>
      <c r="F2763" s="59" t="str">
        <f t="shared" si="25"/>
        <v/>
      </c>
      <c r="G2763" s="59" t="str">
        <f t="shared" si="26"/>
        <v/>
      </c>
      <c r="H2763" s="59" t="str">
        <f t="shared" si="27"/>
        <v>28C02106</v>
      </c>
      <c r="I2763" s="59" t="str">
        <f>IF(OR($A2763="",$C2763="",$D2763="",$E2763="",$H2763=""),"",SUMIFS(DATA_GOC!$H:$H,DATA_GOC!$A:$A,"BOM",DATA_GOC!$D:$D,$H2763,DATA_GOC!$E:$E,$C2763,DATA_GOC!$F:$F,"Xuất nội bộ từ téc",DATA_GOC!$B:$B,"&gt;="&amp;$D2763,DATA_GOC!$B:$B,"&lt;="&amp;$E2763))</f>
        <v/>
      </c>
      <c r="J2763" s="59">
        <f t="shared" si="28"/>
        <v>0</v>
      </c>
      <c r="K2763" s="59">
        <f t="shared" si="29"/>
        <v>0</v>
      </c>
      <c r="L2763" s="59">
        <f t="shared" si="30"/>
        <v>0</v>
      </c>
      <c r="M2763" s="59">
        <f t="shared" si="31"/>
        <v>0</v>
      </c>
    </row>
    <row r="2764" ht="15.0" hidden="1" customHeight="1">
      <c r="A2764" s="59">
        <f t="shared" si="20"/>
        <v>43</v>
      </c>
      <c r="B2764" s="59" t="str">
        <f t="shared" si="21"/>
        <v/>
      </c>
      <c r="C2764" s="59" t="str">
        <f t="shared" si="22"/>
        <v/>
      </c>
      <c r="D2764" s="45" t="str">
        <f t="shared" si="23"/>
        <v/>
      </c>
      <c r="E2764" s="45" t="str">
        <f t="shared" si="24"/>
        <v/>
      </c>
      <c r="F2764" s="59" t="str">
        <f t="shared" si="25"/>
        <v/>
      </c>
      <c r="G2764" s="59" t="str">
        <f t="shared" si="26"/>
        <v/>
      </c>
      <c r="H2764" s="59" t="str">
        <f t="shared" si="27"/>
        <v>28C02410</v>
      </c>
      <c r="I2764" s="59" t="str">
        <f>IF(OR($A2764="",$C2764="",$D2764="",$E2764="",$H2764=""),"",SUMIFS(DATA_GOC!$H:$H,DATA_GOC!$A:$A,"BOM",DATA_GOC!$D:$D,$H2764,DATA_GOC!$E:$E,$C2764,DATA_GOC!$F:$F,"Xuất nội bộ từ téc",DATA_GOC!$B:$B,"&gt;="&amp;$D2764,DATA_GOC!$B:$B,"&lt;="&amp;$E2764))</f>
        <v/>
      </c>
      <c r="J2764" s="59">
        <f t="shared" si="28"/>
        <v>0</v>
      </c>
      <c r="K2764" s="59">
        <f t="shared" si="29"/>
        <v>0</v>
      </c>
      <c r="L2764" s="59">
        <f t="shared" si="30"/>
        <v>0</v>
      </c>
      <c r="M2764" s="59">
        <f t="shared" si="31"/>
        <v>0</v>
      </c>
    </row>
    <row r="2765" ht="15.0" hidden="1" customHeight="1">
      <c r="A2765" s="59">
        <f t="shared" si="20"/>
        <v>43</v>
      </c>
      <c r="B2765" s="59" t="str">
        <f t="shared" si="21"/>
        <v/>
      </c>
      <c r="C2765" s="59" t="str">
        <f t="shared" si="22"/>
        <v/>
      </c>
      <c r="D2765" s="45" t="str">
        <f t="shared" si="23"/>
        <v/>
      </c>
      <c r="E2765" s="45" t="str">
        <f t="shared" si="24"/>
        <v/>
      </c>
      <c r="F2765" s="59" t="str">
        <f t="shared" si="25"/>
        <v/>
      </c>
      <c r="G2765" s="59" t="str">
        <f t="shared" si="26"/>
        <v/>
      </c>
      <c r="H2765" s="59" t="str">
        <f t="shared" si="27"/>
        <v>28C02545</v>
      </c>
      <c r="I2765" s="59" t="str">
        <f>IF(OR($A2765="",$C2765="",$D2765="",$E2765="",$H2765=""),"",SUMIFS(DATA_GOC!$H:$H,DATA_GOC!$A:$A,"BOM",DATA_GOC!$D:$D,$H2765,DATA_GOC!$E:$E,$C2765,DATA_GOC!$F:$F,"Xuất nội bộ từ téc",DATA_GOC!$B:$B,"&gt;="&amp;$D2765,DATA_GOC!$B:$B,"&lt;="&amp;$E2765))</f>
        <v/>
      </c>
      <c r="J2765" s="59">
        <f t="shared" si="28"/>
        <v>0</v>
      </c>
      <c r="K2765" s="59">
        <f t="shared" si="29"/>
        <v>0</v>
      </c>
      <c r="L2765" s="59">
        <f t="shared" si="30"/>
        <v>0</v>
      </c>
      <c r="M2765" s="59">
        <f t="shared" si="31"/>
        <v>0</v>
      </c>
    </row>
    <row r="2766" ht="15.0" hidden="1" customHeight="1">
      <c r="A2766" s="59">
        <f t="shared" si="20"/>
        <v>43</v>
      </c>
      <c r="B2766" s="59" t="str">
        <f t="shared" si="21"/>
        <v/>
      </c>
      <c r="C2766" s="59" t="str">
        <f t="shared" si="22"/>
        <v/>
      </c>
      <c r="D2766" s="45" t="str">
        <f t="shared" si="23"/>
        <v/>
      </c>
      <c r="E2766" s="45" t="str">
        <f t="shared" si="24"/>
        <v/>
      </c>
      <c r="F2766" s="59" t="str">
        <f t="shared" si="25"/>
        <v/>
      </c>
      <c r="G2766" s="59" t="str">
        <f t="shared" si="26"/>
        <v/>
      </c>
      <c r="H2766" s="59" t="str">
        <f t="shared" si="27"/>
        <v>28C02574</v>
      </c>
      <c r="I2766" s="59" t="str">
        <f>IF(OR($A2766="",$C2766="",$D2766="",$E2766="",$H2766=""),"",SUMIFS(DATA_GOC!$H:$H,DATA_GOC!$A:$A,"BOM",DATA_GOC!$D:$D,$H2766,DATA_GOC!$E:$E,$C2766,DATA_GOC!$F:$F,"Xuất nội bộ từ téc",DATA_GOC!$B:$B,"&gt;="&amp;$D2766,DATA_GOC!$B:$B,"&lt;="&amp;$E2766))</f>
        <v/>
      </c>
      <c r="J2766" s="59">
        <f t="shared" si="28"/>
        <v>0</v>
      </c>
      <c r="K2766" s="59">
        <f t="shared" si="29"/>
        <v>0</v>
      </c>
      <c r="L2766" s="59">
        <f t="shared" si="30"/>
        <v>0</v>
      </c>
      <c r="M2766" s="59">
        <f t="shared" si="31"/>
        <v>0</v>
      </c>
    </row>
    <row r="2767" ht="15.0" hidden="1" customHeight="1">
      <c r="A2767" s="59">
        <f t="shared" si="20"/>
        <v>43</v>
      </c>
      <c r="B2767" s="59" t="str">
        <f t="shared" si="21"/>
        <v/>
      </c>
      <c r="C2767" s="59" t="str">
        <f t="shared" si="22"/>
        <v/>
      </c>
      <c r="D2767" s="45" t="str">
        <f t="shared" si="23"/>
        <v/>
      </c>
      <c r="E2767" s="45" t="str">
        <f t="shared" si="24"/>
        <v/>
      </c>
      <c r="F2767" s="59" t="str">
        <f t="shared" si="25"/>
        <v/>
      </c>
      <c r="G2767" s="59" t="str">
        <f t="shared" si="26"/>
        <v/>
      </c>
      <c r="H2767" s="59" t="str">
        <f t="shared" si="27"/>
        <v>28C02770</v>
      </c>
      <c r="I2767" s="59" t="str">
        <f>IF(OR($A2767="",$C2767="",$D2767="",$E2767="",$H2767=""),"",SUMIFS(DATA_GOC!$H:$H,DATA_GOC!$A:$A,"BOM",DATA_GOC!$D:$D,$H2767,DATA_GOC!$E:$E,$C2767,DATA_GOC!$F:$F,"Xuất nội bộ từ téc",DATA_GOC!$B:$B,"&gt;="&amp;$D2767,DATA_GOC!$B:$B,"&lt;="&amp;$E2767))</f>
        <v/>
      </c>
      <c r="J2767" s="59">
        <f t="shared" si="28"/>
        <v>0</v>
      </c>
      <c r="K2767" s="59">
        <f t="shared" si="29"/>
        <v>0</v>
      </c>
      <c r="L2767" s="59">
        <f t="shared" si="30"/>
        <v>0</v>
      </c>
      <c r="M2767" s="59">
        <f t="shared" si="31"/>
        <v>0</v>
      </c>
    </row>
    <row r="2768" ht="15.0" hidden="1" customHeight="1">
      <c r="A2768" s="59">
        <f t="shared" si="20"/>
        <v>43</v>
      </c>
      <c r="B2768" s="59" t="str">
        <f t="shared" si="21"/>
        <v/>
      </c>
      <c r="C2768" s="59" t="str">
        <f t="shared" si="22"/>
        <v/>
      </c>
      <c r="D2768" s="45" t="str">
        <f t="shared" si="23"/>
        <v/>
      </c>
      <c r="E2768" s="45" t="str">
        <f t="shared" si="24"/>
        <v/>
      </c>
      <c r="F2768" s="59" t="str">
        <f t="shared" si="25"/>
        <v/>
      </c>
      <c r="G2768" s="59" t="str">
        <f t="shared" si="26"/>
        <v/>
      </c>
      <c r="H2768" s="59" t="str">
        <f t="shared" si="27"/>
        <v>28C02986</v>
      </c>
      <c r="I2768" s="59" t="str">
        <f>IF(OR($A2768="",$C2768="",$D2768="",$E2768="",$H2768=""),"",SUMIFS(DATA_GOC!$H:$H,DATA_GOC!$A:$A,"BOM",DATA_GOC!$D:$D,$H2768,DATA_GOC!$E:$E,$C2768,DATA_GOC!$F:$F,"Xuất nội bộ từ téc",DATA_GOC!$B:$B,"&gt;="&amp;$D2768,DATA_GOC!$B:$B,"&lt;="&amp;$E2768))</f>
        <v/>
      </c>
      <c r="J2768" s="59">
        <f t="shared" si="28"/>
        <v>0</v>
      </c>
      <c r="K2768" s="59">
        <f t="shared" si="29"/>
        <v>0</v>
      </c>
      <c r="L2768" s="59">
        <f t="shared" si="30"/>
        <v>0</v>
      </c>
      <c r="M2768" s="59">
        <f t="shared" si="31"/>
        <v>0</v>
      </c>
    </row>
    <row r="2769" ht="15.0" hidden="1" customHeight="1">
      <c r="A2769" s="59">
        <f t="shared" si="20"/>
        <v>43</v>
      </c>
      <c r="B2769" s="59" t="str">
        <f t="shared" si="21"/>
        <v/>
      </c>
      <c r="C2769" s="59" t="str">
        <f t="shared" si="22"/>
        <v/>
      </c>
      <c r="D2769" s="45" t="str">
        <f t="shared" si="23"/>
        <v/>
      </c>
      <c r="E2769" s="45" t="str">
        <f t="shared" si="24"/>
        <v/>
      </c>
      <c r="F2769" s="59" t="str">
        <f t="shared" si="25"/>
        <v/>
      </c>
      <c r="G2769" s="59" t="str">
        <f t="shared" si="26"/>
        <v/>
      </c>
      <c r="H2769" s="59" t="str">
        <f t="shared" si="27"/>
        <v>28C03261</v>
      </c>
      <c r="I2769" s="59" t="str">
        <f>IF(OR($A2769="",$C2769="",$D2769="",$E2769="",$H2769=""),"",SUMIFS(DATA_GOC!$H:$H,DATA_GOC!$A:$A,"BOM",DATA_GOC!$D:$D,$H2769,DATA_GOC!$E:$E,$C2769,DATA_GOC!$F:$F,"Xuất nội bộ từ téc",DATA_GOC!$B:$B,"&gt;="&amp;$D2769,DATA_GOC!$B:$B,"&lt;="&amp;$E2769))</f>
        <v/>
      </c>
      <c r="J2769" s="59">
        <f t="shared" si="28"/>
        <v>0</v>
      </c>
      <c r="K2769" s="59">
        <f t="shared" si="29"/>
        <v>0</v>
      </c>
      <c r="L2769" s="59">
        <f t="shared" si="30"/>
        <v>0</v>
      </c>
      <c r="M2769" s="59">
        <f t="shared" si="31"/>
        <v>0</v>
      </c>
    </row>
    <row r="2770" ht="15.0" hidden="1" customHeight="1">
      <c r="A2770" s="59">
        <f t="shared" si="20"/>
        <v>43</v>
      </c>
      <c r="B2770" s="59" t="str">
        <f t="shared" si="21"/>
        <v/>
      </c>
      <c r="C2770" s="59" t="str">
        <f t="shared" si="22"/>
        <v/>
      </c>
      <c r="D2770" s="45" t="str">
        <f t="shared" si="23"/>
        <v/>
      </c>
      <c r="E2770" s="45" t="str">
        <f t="shared" si="24"/>
        <v/>
      </c>
      <c r="F2770" s="59" t="str">
        <f t="shared" si="25"/>
        <v/>
      </c>
      <c r="G2770" s="59" t="str">
        <f t="shared" si="26"/>
        <v/>
      </c>
      <c r="H2770" s="59" t="str">
        <f t="shared" si="27"/>
        <v>28C03323</v>
      </c>
      <c r="I2770" s="59" t="str">
        <f>IF(OR($A2770="",$C2770="",$D2770="",$E2770="",$H2770=""),"",SUMIFS(DATA_GOC!$H:$H,DATA_GOC!$A:$A,"BOM",DATA_GOC!$D:$D,$H2770,DATA_GOC!$E:$E,$C2770,DATA_GOC!$F:$F,"Xuất nội bộ từ téc",DATA_GOC!$B:$B,"&gt;="&amp;$D2770,DATA_GOC!$B:$B,"&lt;="&amp;$E2770))</f>
        <v/>
      </c>
      <c r="J2770" s="59">
        <f t="shared" si="28"/>
        <v>0</v>
      </c>
      <c r="K2770" s="59">
        <f t="shared" si="29"/>
        <v>0</v>
      </c>
      <c r="L2770" s="59">
        <f t="shared" si="30"/>
        <v>0</v>
      </c>
      <c r="M2770" s="59">
        <f t="shared" si="31"/>
        <v>0</v>
      </c>
    </row>
    <row r="2771" ht="15.0" hidden="1" customHeight="1">
      <c r="A2771" s="59">
        <f t="shared" si="20"/>
        <v>43</v>
      </c>
      <c r="B2771" s="59" t="str">
        <f t="shared" si="21"/>
        <v/>
      </c>
      <c r="C2771" s="59" t="str">
        <f t="shared" si="22"/>
        <v/>
      </c>
      <c r="D2771" s="45" t="str">
        <f t="shared" si="23"/>
        <v/>
      </c>
      <c r="E2771" s="45" t="str">
        <f t="shared" si="24"/>
        <v/>
      </c>
      <c r="F2771" s="59" t="str">
        <f t="shared" si="25"/>
        <v/>
      </c>
      <c r="G2771" s="59" t="str">
        <f t="shared" si="26"/>
        <v/>
      </c>
      <c r="H2771" s="59" t="str">
        <f t="shared" si="27"/>
        <v>28C03385</v>
      </c>
      <c r="I2771" s="59" t="str">
        <f>IF(OR($A2771="",$C2771="",$D2771="",$E2771="",$H2771=""),"",SUMIFS(DATA_GOC!$H:$H,DATA_GOC!$A:$A,"BOM",DATA_GOC!$D:$D,$H2771,DATA_GOC!$E:$E,$C2771,DATA_GOC!$F:$F,"Xuất nội bộ từ téc",DATA_GOC!$B:$B,"&gt;="&amp;$D2771,DATA_GOC!$B:$B,"&lt;="&amp;$E2771))</f>
        <v/>
      </c>
      <c r="J2771" s="59">
        <f t="shared" si="28"/>
        <v>0</v>
      </c>
      <c r="K2771" s="59">
        <f t="shared" si="29"/>
        <v>0</v>
      </c>
      <c r="L2771" s="59">
        <f t="shared" si="30"/>
        <v>0</v>
      </c>
      <c r="M2771" s="59">
        <f t="shared" si="31"/>
        <v>0</v>
      </c>
    </row>
    <row r="2772" ht="15.0" hidden="1" customHeight="1">
      <c r="A2772" s="59">
        <f t="shared" si="20"/>
        <v>43</v>
      </c>
      <c r="B2772" s="59" t="str">
        <f t="shared" si="21"/>
        <v/>
      </c>
      <c r="C2772" s="59" t="str">
        <f t="shared" si="22"/>
        <v/>
      </c>
      <c r="D2772" s="45" t="str">
        <f t="shared" si="23"/>
        <v/>
      </c>
      <c r="E2772" s="45" t="str">
        <f t="shared" si="24"/>
        <v/>
      </c>
      <c r="F2772" s="59" t="str">
        <f t="shared" si="25"/>
        <v/>
      </c>
      <c r="G2772" s="59" t="str">
        <f t="shared" si="26"/>
        <v/>
      </c>
      <c r="H2772" s="59" t="str">
        <f t="shared" si="27"/>
        <v>28C03652</v>
      </c>
      <c r="I2772" s="59" t="str">
        <f>IF(OR($A2772="",$C2772="",$D2772="",$E2772="",$H2772=""),"",SUMIFS(DATA_GOC!$H:$H,DATA_GOC!$A:$A,"BOM",DATA_GOC!$D:$D,$H2772,DATA_GOC!$E:$E,$C2772,DATA_GOC!$F:$F,"Xuất nội bộ từ téc",DATA_GOC!$B:$B,"&gt;="&amp;$D2772,DATA_GOC!$B:$B,"&lt;="&amp;$E2772))</f>
        <v/>
      </c>
      <c r="J2772" s="59">
        <f t="shared" si="28"/>
        <v>0</v>
      </c>
      <c r="K2772" s="59">
        <f t="shared" si="29"/>
        <v>0</v>
      </c>
      <c r="L2772" s="59">
        <f t="shared" si="30"/>
        <v>0</v>
      </c>
      <c r="M2772" s="59">
        <f t="shared" si="31"/>
        <v>0</v>
      </c>
    </row>
    <row r="2773" ht="15.0" hidden="1" customHeight="1">
      <c r="A2773" s="59">
        <f t="shared" si="20"/>
        <v>43</v>
      </c>
      <c r="B2773" s="59" t="str">
        <f t="shared" si="21"/>
        <v/>
      </c>
      <c r="C2773" s="59" t="str">
        <f t="shared" si="22"/>
        <v/>
      </c>
      <c r="D2773" s="45" t="str">
        <f t="shared" si="23"/>
        <v/>
      </c>
      <c r="E2773" s="45" t="str">
        <f t="shared" si="24"/>
        <v/>
      </c>
      <c r="F2773" s="59" t="str">
        <f t="shared" si="25"/>
        <v/>
      </c>
      <c r="G2773" s="59" t="str">
        <f t="shared" si="26"/>
        <v/>
      </c>
      <c r="H2773" s="59" t="str">
        <f t="shared" si="27"/>
        <v>28C03695</v>
      </c>
      <c r="I2773" s="59" t="str">
        <f>IF(OR($A2773="",$C2773="",$D2773="",$E2773="",$H2773=""),"",SUMIFS(DATA_GOC!$H:$H,DATA_GOC!$A:$A,"BOM",DATA_GOC!$D:$D,$H2773,DATA_GOC!$E:$E,$C2773,DATA_GOC!$F:$F,"Xuất nội bộ từ téc",DATA_GOC!$B:$B,"&gt;="&amp;$D2773,DATA_GOC!$B:$B,"&lt;="&amp;$E2773))</f>
        <v/>
      </c>
      <c r="J2773" s="59">
        <f t="shared" si="28"/>
        <v>0</v>
      </c>
      <c r="K2773" s="59">
        <f t="shared" si="29"/>
        <v>0</v>
      </c>
      <c r="L2773" s="59">
        <f t="shared" si="30"/>
        <v>0</v>
      </c>
      <c r="M2773" s="59">
        <f t="shared" si="31"/>
        <v>0</v>
      </c>
    </row>
    <row r="2774" ht="15.0" hidden="1" customHeight="1">
      <c r="A2774" s="59">
        <f t="shared" si="20"/>
        <v>43</v>
      </c>
      <c r="B2774" s="59" t="str">
        <f t="shared" si="21"/>
        <v/>
      </c>
      <c r="C2774" s="59" t="str">
        <f t="shared" si="22"/>
        <v/>
      </c>
      <c r="D2774" s="45" t="str">
        <f t="shared" si="23"/>
        <v/>
      </c>
      <c r="E2774" s="45" t="str">
        <f t="shared" si="24"/>
        <v/>
      </c>
      <c r="F2774" s="59" t="str">
        <f t="shared" si="25"/>
        <v/>
      </c>
      <c r="G2774" s="59" t="str">
        <f t="shared" si="26"/>
        <v/>
      </c>
      <c r="H2774" s="59" t="str">
        <f t="shared" si="27"/>
        <v>28C03927</v>
      </c>
      <c r="I2774" s="59" t="str">
        <f>IF(OR($A2774="",$C2774="",$D2774="",$E2774="",$H2774=""),"",SUMIFS(DATA_GOC!$H:$H,DATA_GOC!$A:$A,"BOM",DATA_GOC!$D:$D,$H2774,DATA_GOC!$E:$E,$C2774,DATA_GOC!$F:$F,"Xuất nội bộ từ téc",DATA_GOC!$B:$B,"&gt;="&amp;$D2774,DATA_GOC!$B:$B,"&lt;="&amp;$E2774))</f>
        <v/>
      </c>
      <c r="J2774" s="59">
        <f t="shared" si="28"/>
        <v>0</v>
      </c>
      <c r="K2774" s="59">
        <f t="shared" si="29"/>
        <v>0</v>
      </c>
      <c r="L2774" s="59">
        <f t="shared" si="30"/>
        <v>0</v>
      </c>
      <c r="M2774" s="59">
        <f t="shared" si="31"/>
        <v>0</v>
      </c>
    </row>
    <row r="2775" ht="15.0" hidden="1" customHeight="1">
      <c r="A2775" s="59">
        <f t="shared" si="20"/>
        <v>43</v>
      </c>
      <c r="B2775" s="59" t="str">
        <f t="shared" si="21"/>
        <v/>
      </c>
      <c r="C2775" s="59" t="str">
        <f t="shared" si="22"/>
        <v/>
      </c>
      <c r="D2775" s="45" t="str">
        <f t="shared" si="23"/>
        <v/>
      </c>
      <c r="E2775" s="45" t="str">
        <f t="shared" si="24"/>
        <v/>
      </c>
      <c r="F2775" s="59" t="str">
        <f t="shared" si="25"/>
        <v/>
      </c>
      <c r="G2775" s="59" t="str">
        <f t="shared" si="26"/>
        <v/>
      </c>
      <c r="H2775" s="59" t="str">
        <f t="shared" si="27"/>
        <v>28C04509</v>
      </c>
      <c r="I2775" s="59" t="str">
        <f>IF(OR($A2775="",$C2775="",$D2775="",$E2775="",$H2775=""),"",SUMIFS(DATA_GOC!$H:$H,DATA_GOC!$A:$A,"BOM",DATA_GOC!$D:$D,$H2775,DATA_GOC!$E:$E,$C2775,DATA_GOC!$F:$F,"Xuất nội bộ từ téc",DATA_GOC!$B:$B,"&gt;="&amp;$D2775,DATA_GOC!$B:$B,"&lt;="&amp;$E2775))</f>
        <v/>
      </c>
      <c r="J2775" s="59">
        <f t="shared" si="28"/>
        <v>0</v>
      </c>
      <c r="K2775" s="59">
        <f t="shared" si="29"/>
        <v>0</v>
      </c>
      <c r="L2775" s="59">
        <f t="shared" si="30"/>
        <v>0</v>
      </c>
      <c r="M2775" s="59">
        <f t="shared" si="31"/>
        <v>0</v>
      </c>
    </row>
    <row r="2776" ht="15.0" hidden="1" customHeight="1">
      <c r="A2776" s="59">
        <f t="shared" si="20"/>
        <v>43</v>
      </c>
      <c r="B2776" s="59" t="str">
        <f t="shared" si="21"/>
        <v/>
      </c>
      <c r="C2776" s="59" t="str">
        <f t="shared" si="22"/>
        <v/>
      </c>
      <c r="D2776" s="45" t="str">
        <f t="shared" si="23"/>
        <v/>
      </c>
      <c r="E2776" s="45" t="str">
        <f t="shared" si="24"/>
        <v/>
      </c>
      <c r="F2776" s="59" t="str">
        <f t="shared" si="25"/>
        <v/>
      </c>
      <c r="G2776" s="59" t="str">
        <f t="shared" si="26"/>
        <v/>
      </c>
      <c r="H2776" s="59" t="str">
        <f t="shared" si="27"/>
        <v>28C04536</v>
      </c>
      <c r="I2776" s="59" t="str">
        <f>IF(OR($A2776="",$C2776="",$D2776="",$E2776="",$H2776=""),"",SUMIFS(DATA_GOC!$H:$H,DATA_GOC!$A:$A,"BOM",DATA_GOC!$D:$D,$H2776,DATA_GOC!$E:$E,$C2776,DATA_GOC!$F:$F,"Xuất nội bộ từ téc",DATA_GOC!$B:$B,"&gt;="&amp;$D2776,DATA_GOC!$B:$B,"&lt;="&amp;$E2776))</f>
        <v/>
      </c>
      <c r="J2776" s="59">
        <f t="shared" si="28"/>
        <v>0</v>
      </c>
      <c r="K2776" s="59">
        <f t="shared" si="29"/>
        <v>0</v>
      </c>
      <c r="L2776" s="59">
        <f t="shared" si="30"/>
        <v>0</v>
      </c>
      <c r="M2776" s="59">
        <f t="shared" si="31"/>
        <v>0</v>
      </c>
    </row>
    <row r="2777" ht="15.0" hidden="1" customHeight="1">
      <c r="A2777" s="59">
        <f t="shared" si="20"/>
        <v>43</v>
      </c>
      <c r="B2777" s="59" t="str">
        <f t="shared" si="21"/>
        <v/>
      </c>
      <c r="C2777" s="59" t="str">
        <f t="shared" si="22"/>
        <v/>
      </c>
      <c r="D2777" s="45" t="str">
        <f t="shared" si="23"/>
        <v/>
      </c>
      <c r="E2777" s="45" t="str">
        <f t="shared" si="24"/>
        <v/>
      </c>
      <c r="F2777" s="59" t="str">
        <f t="shared" si="25"/>
        <v/>
      </c>
      <c r="G2777" s="59" t="str">
        <f t="shared" si="26"/>
        <v/>
      </c>
      <c r="H2777" s="59" t="str">
        <f t="shared" si="27"/>
        <v>28C04576</v>
      </c>
      <c r="I2777" s="59" t="str">
        <f>IF(OR($A2777="",$C2777="",$D2777="",$E2777="",$H2777=""),"",SUMIFS(DATA_GOC!$H:$H,DATA_GOC!$A:$A,"BOM",DATA_GOC!$D:$D,$H2777,DATA_GOC!$E:$E,$C2777,DATA_GOC!$F:$F,"Xuất nội bộ từ téc",DATA_GOC!$B:$B,"&gt;="&amp;$D2777,DATA_GOC!$B:$B,"&lt;="&amp;$E2777))</f>
        <v/>
      </c>
      <c r="J2777" s="59">
        <f t="shared" si="28"/>
        <v>0</v>
      </c>
      <c r="K2777" s="59">
        <f t="shared" si="29"/>
        <v>0</v>
      </c>
      <c r="L2777" s="59">
        <f t="shared" si="30"/>
        <v>0</v>
      </c>
      <c r="M2777" s="59">
        <f t="shared" si="31"/>
        <v>0</v>
      </c>
    </row>
    <row r="2778" ht="15.0" hidden="1" customHeight="1">
      <c r="A2778" s="59">
        <f t="shared" si="20"/>
        <v>43</v>
      </c>
      <c r="B2778" s="59" t="str">
        <f t="shared" si="21"/>
        <v/>
      </c>
      <c r="C2778" s="59" t="str">
        <f t="shared" si="22"/>
        <v/>
      </c>
      <c r="D2778" s="45" t="str">
        <f t="shared" si="23"/>
        <v/>
      </c>
      <c r="E2778" s="45" t="str">
        <f t="shared" si="24"/>
        <v/>
      </c>
      <c r="F2778" s="59" t="str">
        <f t="shared" si="25"/>
        <v/>
      </c>
      <c r="G2778" s="59" t="str">
        <f t="shared" si="26"/>
        <v/>
      </c>
      <c r="H2778" s="59" t="str">
        <f t="shared" si="27"/>
        <v>28C05090</v>
      </c>
      <c r="I2778" s="59" t="str">
        <f>IF(OR($A2778="",$C2778="",$D2778="",$E2778="",$H2778=""),"",SUMIFS(DATA_GOC!$H:$H,DATA_GOC!$A:$A,"BOM",DATA_GOC!$D:$D,$H2778,DATA_GOC!$E:$E,$C2778,DATA_GOC!$F:$F,"Xuất nội bộ từ téc",DATA_GOC!$B:$B,"&gt;="&amp;$D2778,DATA_GOC!$B:$B,"&lt;="&amp;$E2778))</f>
        <v/>
      </c>
      <c r="J2778" s="59">
        <f t="shared" si="28"/>
        <v>0</v>
      </c>
      <c r="K2778" s="59">
        <f t="shared" si="29"/>
        <v>0</v>
      </c>
      <c r="L2778" s="59">
        <f t="shared" si="30"/>
        <v>0</v>
      </c>
      <c r="M2778" s="59">
        <f t="shared" si="31"/>
        <v>0</v>
      </c>
    </row>
    <row r="2779" ht="15.0" hidden="1" customHeight="1">
      <c r="A2779" s="59">
        <f t="shared" si="20"/>
        <v>43</v>
      </c>
      <c r="B2779" s="59" t="str">
        <f t="shared" si="21"/>
        <v/>
      </c>
      <c r="C2779" s="59" t="str">
        <f t="shared" si="22"/>
        <v/>
      </c>
      <c r="D2779" s="45" t="str">
        <f t="shared" si="23"/>
        <v/>
      </c>
      <c r="E2779" s="45" t="str">
        <f t="shared" si="24"/>
        <v/>
      </c>
      <c r="F2779" s="59" t="str">
        <f t="shared" si="25"/>
        <v/>
      </c>
      <c r="G2779" s="59" t="str">
        <f t="shared" si="26"/>
        <v/>
      </c>
      <c r="H2779" s="59" t="str">
        <f t="shared" si="27"/>
        <v>28C05345</v>
      </c>
      <c r="I2779" s="59" t="str">
        <f>IF(OR($A2779="",$C2779="",$D2779="",$E2779="",$H2779=""),"",SUMIFS(DATA_GOC!$H:$H,DATA_GOC!$A:$A,"BOM",DATA_GOC!$D:$D,$H2779,DATA_GOC!$E:$E,$C2779,DATA_GOC!$F:$F,"Xuất nội bộ từ téc",DATA_GOC!$B:$B,"&gt;="&amp;$D2779,DATA_GOC!$B:$B,"&lt;="&amp;$E2779))</f>
        <v/>
      </c>
      <c r="J2779" s="59">
        <f t="shared" si="28"/>
        <v>0</v>
      </c>
      <c r="K2779" s="59">
        <f t="shared" si="29"/>
        <v>0</v>
      </c>
      <c r="L2779" s="59">
        <f t="shared" si="30"/>
        <v>0</v>
      </c>
      <c r="M2779" s="59">
        <f t="shared" si="31"/>
        <v>0</v>
      </c>
    </row>
    <row r="2780" ht="15.0" hidden="1" customHeight="1">
      <c r="A2780" s="59">
        <f t="shared" si="20"/>
        <v>43</v>
      </c>
      <c r="B2780" s="59" t="str">
        <f t="shared" si="21"/>
        <v/>
      </c>
      <c r="C2780" s="59" t="str">
        <f t="shared" si="22"/>
        <v/>
      </c>
      <c r="D2780" s="45" t="str">
        <f t="shared" si="23"/>
        <v/>
      </c>
      <c r="E2780" s="45" t="str">
        <f t="shared" si="24"/>
        <v/>
      </c>
      <c r="F2780" s="59" t="str">
        <f t="shared" si="25"/>
        <v/>
      </c>
      <c r="G2780" s="59" t="str">
        <f t="shared" si="26"/>
        <v/>
      </c>
      <c r="H2780" s="59" t="str">
        <f t="shared" si="27"/>
        <v>28C05661</v>
      </c>
      <c r="I2780" s="59" t="str">
        <f>IF(OR($A2780="",$C2780="",$D2780="",$E2780="",$H2780=""),"",SUMIFS(DATA_GOC!$H:$H,DATA_GOC!$A:$A,"BOM",DATA_GOC!$D:$D,$H2780,DATA_GOC!$E:$E,$C2780,DATA_GOC!$F:$F,"Xuất nội bộ từ téc",DATA_GOC!$B:$B,"&gt;="&amp;$D2780,DATA_GOC!$B:$B,"&lt;="&amp;$E2780))</f>
        <v/>
      </c>
      <c r="J2780" s="59">
        <f t="shared" si="28"/>
        <v>0</v>
      </c>
      <c r="K2780" s="59">
        <f t="shared" si="29"/>
        <v>0</v>
      </c>
      <c r="L2780" s="59">
        <f t="shared" si="30"/>
        <v>0</v>
      </c>
      <c r="M2780" s="59">
        <f t="shared" si="31"/>
        <v>0</v>
      </c>
    </row>
    <row r="2781" ht="15.0" hidden="1" customHeight="1">
      <c r="A2781" s="59">
        <f t="shared" si="20"/>
        <v>43</v>
      </c>
      <c r="B2781" s="59" t="str">
        <f t="shared" si="21"/>
        <v/>
      </c>
      <c r="C2781" s="59" t="str">
        <f t="shared" si="22"/>
        <v/>
      </c>
      <c r="D2781" s="45" t="str">
        <f t="shared" si="23"/>
        <v/>
      </c>
      <c r="E2781" s="45" t="str">
        <f t="shared" si="24"/>
        <v/>
      </c>
      <c r="F2781" s="59" t="str">
        <f t="shared" si="25"/>
        <v/>
      </c>
      <c r="G2781" s="59" t="str">
        <f t="shared" si="26"/>
        <v/>
      </c>
      <c r="H2781" s="59" t="str">
        <f t="shared" si="27"/>
        <v>28C05739</v>
      </c>
      <c r="I2781" s="59" t="str">
        <f>IF(OR($A2781="",$C2781="",$D2781="",$E2781="",$H2781=""),"",SUMIFS(DATA_GOC!$H:$H,DATA_GOC!$A:$A,"BOM",DATA_GOC!$D:$D,$H2781,DATA_GOC!$E:$E,$C2781,DATA_GOC!$F:$F,"Xuất nội bộ từ téc",DATA_GOC!$B:$B,"&gt;="&amp;$D2781,DATA_GOC!$B:$B,"&lt;="&amp;$E2781))</f>
        <v/>
      </c>
      <c r="J2781" s="59">
        <f t="shared" si="28"/>
        <v>0</v>
      </c>
      <c r="K2781" s="59">
        <f t="shared" si="29"/>
        <v>0</v>
      </c>
      <c r="L2781" s="59">
        <f t="shared" si="30"/>
        <v>0</v>
      </c>
      <c r="M2781" s="59">
        <f t="shared" si="31"/>
        <v>0</v>
      </c>
    </row>
    <row r="2782" ht="15.0" hidden="1" customHeight="1">
      <c r="A2782" s="59">
        <f t="shared" si="20"/>
        <v>43</v>
      </c>
      <c r="B2782" s="59" t="str">
        <f t="shared" si="21"/>
        <v/>
      </c>
      <c r="C2782" s="59" t="str">
        <f t="shared" si="22"/>
        <v/>
      </c>
      <c r="D2782" s="45" t="str">
        <f t="shared" si="23"/>
        <v/>
      </c>
      <c r="E2782" s="45" t="str">
        <f t="shared" si="24"/>
        <v/>
      </c>
      <c r="F2782" s="59" t="str">
        <f t="shared" si="25"/>
        <v/>
      </c>
      <c r="G2782" s="59" t="str">
        <f t="shared" si="26"/>
        <v/>
      </c>
      <c r="H2782" s="59" t="str">
        <f t="shared" si="27"/>
        <v>28C06369</v>
      </c>
      <c r="I2782" s="59" t="str">
        <f>IF(OR($A2782="",$C2782="",$D2782="",$E2782="",$H2782=""),"",SUMIFS(DATA_GOC!$H:$H,DATA_GOC!$A:$A,"BOM",DATA_GOC!$D:$D,$H2782,DATA_GOC!$E:$E,$C2782,DATA_GOC!$F:$F,"Xuất nội bộ từ téc",DATA_GOC!$B:$B,"&gt;="&amp;$D2782,DATA_GOC!$B:$B,"&lt;="&amp;$E2782))</f>
        <v/>
      </c>
      <c r="J2782" s="59">
        <f t="shared" si="28"/>
        <v>0</v>
      </c>
      <c r="K2782" s="59">
        <f t="shared" si="29"/>
        <v>0</v>
      </c>
      <c r="L2782" s="59">
        <f t="shared" si="30"/>
        <v>0</v>
      </c>
      <c r="M2782" s="59">
        <f t="shared" si="31"/>
        <v>0</v>
      </c>
    </row>
    <row r="2783" ht="15.0" hidden="1" customHeight="1">
      <c r="A2783" s="59">
        <f t="shared" si="20"/>
        <v>43</v>
      </c>
      <c r="B2783" s="59" t="str">
        <f t="shared" si="21"/>
        <v/>
      </c>
      <c r="C2783" s="59" t="str">
        <f t="shared" si="22"/>
        <v/>
      </c>
      <c r="D2783" s="45" t="str">
        <f t="shared" si="23"/>
        <v/>
      </c>
      <c r="E2783" s="45" t="str">
        <f t="shared" si="24"/>
        <v/>
      </c>
      <c r="F2783" s="59" t="str">
        <f t="shared" si="25"/>
        <v/>
      </c>
      <c r="G2783" s="59" t="str">
        <f t="shared" si="26"/>
        <v/>
      </c>
      <c r="H2783" s="59" t="str">
        <f t="shared" si="27"/>
        <v>28C06447</v>
      </c>
      <c r="I2783" s="59" t="str">
        <f>IF(OR($A2783="",$C2783="",$D2783="",$E2783="",$H2783=""),"",SUMIFS(DATA_GOC!$H:$H,DATA_GOC!$A:$A,"BOM",DATA_GOC!$D:$D,$H2783,DATA_GOC!$E:$E,$C2783,DATA_GOC!$F:$F,"Xuất nội bộ từ téc",DATA_GOC!$B:$B,"&gt;="&amp;$D2783,DATA_GOC!$B:$B,"&lt;="&amp;$E2783))</f>
        <v/>
      </c>
      <c r="J2783" s="59">
        <f t="shared" si="28"/>
        <v>0</v>
      </c>
      <c r="K2783" s="59">
        <f t="shared" si="29"/>
        <v>0</v>
      </c>
      <c r="L2783" s="59">
        <f t="shared" si="30"/>
        <v>0</v>
      </c>
      <c r="M2783" s="59">
        <f t="shared" si="31"/>
        <v>0</v>
      </c>
    </row>
    <row r="2784" ht="15.0" hidden="1" customHeight="1">
      <c r="A2784" s="59">
        <f t="shared" si="20"/>
        <v>43</v>
      </c>
      <c r="B2784" s="59" t="str">
        <f t="shared" si="21"/>
        <v/>
      </c>
      <c r="C2784" s="59" t="str">
        <f t="shared" si="22"/>
        <v/>
      </c>
      <c r="D2784" s="45" t="str">
        <f t="shared" si="23"/>
        <v/>
      </c>
      <c r="E2784" s="45" t="str">
        <f t="shared" si="24"/>
        <v/>
      </c>
      <c r="F2784" s="59" t="str">
        <f t="shared" si="25"/>
        <v/>
      </c>
      <c r="G2784" s="59" t="str">
        <f t="shared" si="26"/>
        <v/>
      </c>
      <c r="H2784" s="59" t="str">
        <f t="shared" si="27"/>
        <v>28H00003</v>
      </c>
      <c r="I2784" s="59" t="str">
        <f>IF(OR($A2784="",$C2784="",$D2784="",$E2784="",$H2784=""),"",SUMIFS(DATA_GOC!$H:$H,DATA_GOC!$A:$A,"BOM",DATA_GOC!$D:$D,$H2784,DATA_GOC!$E:$E,$C2784,DATA_GOC!$F:$F,"Xuất nội bộ từ téc",DATA_GOC!$B:$B,"&gt;="&amp;$D2784,DATA_GOC!$B:$B,"&lt;="&amp;$E2784))</f>
        <v/>
      </c>
      <c r="J2784" s="59">
        <f t="shared" si="28"/>
        <v>0</v>
      </c>
      <c r="K2784" s="59">
        <f t="shared" si="29"/>
        <v>0</v>
      </c>
      <c r="L2784" s="59">
        <f t="shared" si="30"/>
        <v>0</v>
      </c>
      <c r="M2784" s="59">
        <f t="shared" si="31"/>
        <v>0</v>
      </c>
    </row>
    <row r="2785" ht="15.0" hidden="1" customHeight="1">
      <c r="A2785" s="59">
        <f t="shared" si="20"/>
        <v>43</v>
      </c>
      <c r="B2785" s="59" t="str">
        <f t="shared" si="21"/>
        <v/>
      </c>
      <c r="C2785" s="59" t="str">
        <f t="shared" si="22"/>
        <v/>
      </c>
      <c r="D2785" s="45" t="str">
        <f t="shared" si="23"/>
        <v/>
      </c>
      <c r="E2785" s="45" t="str">
        <f t="shared" si="24"/>
        <v/>
      </c>
      <c r="F2785" s="59" t="str">
        <f t="shared" si="25"/>
        <v/>
      </c>
      <c r="G2785" s="59" t="str">
        <f t="shared" si="26"/>
        <v/>
      </c>
      <c r="H2785" s="59" t="str">
        <f t="shared" si="27"/>
        <v>28H00061</v>
      </c>
      <c r="I2785" s="59" t="str">
        <f>IF(OR($A2785="",$C2785="",$D2785="",$E2785="",$H2785=""),"",SUMIFS(DATA_GOC!$H:$H,DATA_GOC!$A:$A,"BOM",DATA_GOC!$D:$D,$H2785,DATA_GOC!$E:$E,$C2785,DATA_GOC!$F:$F,"Xuất nội bộ từ téc",DATA_GOC!$B:$B,"&gt;="&amp;$D2785,DATA_GOC!$B:$B,"&lt;="&amp;$E2785))</f>
        <v/>
      </c>
      <c r="J2785" s="59">
        <f t="shared" si="28"/>
        <v>0</v>
      </c>
      <c r="K2785" s="59">
        <f t="shared" si="29"/>
        <v>0</v>
      </c>
      <c r="L2785" s="59">
        <f t="shared" si="30"/>
        <v>0</v>
      </c>
      <c r="M2785" s="59">
        <f t="shared" si="31"/>
        <v>0</v>
      </c>
    </row>
    <row r="2786" ht="15.0" hidden="1" customHeight="1">
      <c r="A2786" s="59">
        <f t="shared" si="20"/>
        <v>43</v>
      </c>
      <c r="B2786" s="59" t="str">
        <f t="shared" si="21"/>
        <v/>
      </c>
      <c r="C2786" s="59" t="str">
        <f t="shared" si="22"/>
        <v/>
      </c>
      <c r="D2786" s="45" t="str">
        <f t="shared" si="23"/>
        <v/>
      </c>
      <c r="E2786" s="45" t="str">
        <f t="shared" si="24"/>
        <v/>
      </c>
      <c r="F2786" s="59" t="str">
        <f t="shared" si="25"/>
        <v/>
      </c>
      <c r="G2786" s="59" t="str">
        <f t="shared" si="26"/>
        <v/>
      </c>
      <c r="H2786" s="59" t="str">
        <f t="shared" si="27"/>
        <v>28H00354</v>
      </c>
      <c r="I2786" s="59" t="str">
        <f>IF(OR($A2786="",$C2786="",$D2786="",$E2786="",$H2786=""),"",SUMIFS(DATA_GOC!$H:$H,DATA_GOC!$A:$A,"BOM",DATA_GOC!$D:$D,$H2786,DATA_GOC!$E:$E,$C2786,DATA_GOC!$F:$F,"Xuất nội bộ từ téc",DATA_GOC!$B:$B,"&gt;="&amp;$D2786,DATA_GOC!$B:$B,"&lt;="&amp;$E2786))</f>
        <v/>
      </c>
      <c r="J2786" s="59">
        <f t="shared" si="28"/>
        <v>0</v>
      </c>
      <c r="K2786" s="59">
        <f t="shared" si="29"/>
        <v>0</v>
      </c>
      <c r="L2786" s="59">
        <f t="shared" si="30"/>
        <v>0</v>
      </c>
      <c r="M2786" s="59">
        <f t="shared" si="31"/>
        <v>0</v>
      </c>
    </row>
    <row r="2787" ht="15.0" hidden="1" customHeight="1">
      <c r="A2787" s="59">
        <f t="shared" si="20"/>
        <v>43</v>
      </c>
      <c r="B2787" s="59" t="str">
        <f t="shared" si="21"/>
        <v/>
      </c>
      <c r="C2787" s="59" t="str">
        <f t="shared" si="22"/>
        <v/>
      </c>
      <c r="D2787" s="45" t="str">
        <f t="shared" si="23"/>
        <v/>
      </c>
      <c r="E2787" s="45" t="str">
        <f t="shared" si="24"/>
        <v/>
      </c>
      <c r="F2787" s="59" t="str">
        <f t="shared" si="25"/>
        <v/>
      </c>
      <c r="G2787" s="59" t="str">
        <f t="shared" si="26"/>
        <v/>
      </c>
      <c r="H2787" s="59" t="str">
        <f t="shared" si="27"/>
        <v>28H00603</v>
      </c>
      <c r="I2787" s="59" t="str">
        <f>IF(OR($A2787="",$C2787="",$D2787="",$E2787="",$H2787=""),"",SUMIFS(DATA_GOC!$H:$H,DATA_GOC!$A:$A,"BOM",DATA_GOC!$D:$D,$H2787,DATA_GOC!$E:$E,$C2787,DATA_GOC!$F:$F,"Xuất nội bộ từ téc",DATA_GOC!$B:$B,"&gt;="&amp;$D2787,DATA_GOC!$B:$B,"&lt;="&amp;$E2787))</f>
        <v/>
      </c>
      <c r="J2787" s="59">
        <f t="shared" si="28"/>
        <v>0</v>
      </c>
      <c r="K2787" s="59">
        <f t="shared" si="29"/>
        <v>0</v>
      </c>
      <c r="L2787" s="59">
        <f t="shared" si="30"/>
        <v>0</v>
      </c>
      <c r="M2787" s="59">
        <f t="shared" si="31"/>
        <v>0</v>
      </c>
    </row>
    <row r="2788" ht="15.0" hidden="1" customHeight="1">
      <c r="A2788" s="59">
        <f t="shared" si="20"/>
        <v>43</v>
      </c>
      <c r="B2788" s="59" t="str">
        <f t="shared" si="21"/>
        <v/>
      </c>
      <c r="C2788" s="59" t="str">
        <f t="shared" si="22"/>
        <v/>
      </c>
      <c r="D2788" s="45" t="str">
        <f t="shared" si="23"/>
        <v/>
      </c>
      <c r="E2788" s="45" t="str">
        <f t="shared" si="24"/>
        <v/>
      </c>
      <c r="F2788" s="59" t="str">
        <f t="shared" si="25"/>
        <v/>
      </c>
      <c r="G2788" s="59" t="str">
        <f t="shared" si="26"/>
        <v/>
      </c>
      <c r="H2788" s="59" t="str">
        <f t="shared" si="27"/>
        <v>28H00609</v>
      </c>
      <c r="I2788" s="59" t="str">
        <f>IF(OR($A2788="",$C2788="",$D2788="",$E2788="",$H2788=""),"",SUMIFS(DATA_GOC!$H:$H,DATA_GOC!$A:$A,"BOM",DATA_GOC!$D:$D,$H2788,DATA_GOC!$E:$E,$C2788,DATA_GOC!$F:$F,"Xuất nội bộ từ téc",DATA_GOC!$B:$B,"&gt;="&amp;$D2788,DATA_GOC!$B:$B,"&lt;="&amp;$E2788))</f>
        <v/>
      </c>
      <c r="J2788" s="59">
        <f t="shared" si="28"/>
        <v>0</v>
      </c>
      <c r="K2788" s="59">
        <f t="shared" si="29"/>
        <v>0</v>
      </c>
      <c r="L2788" s="59">
        <f t="shared" si="30"/>
        <v>0</v>
      </c>
      <c r="M2788" s="59">
        <f t="shared" si="31"/>
        <v>0</v>
      </c>
    </row>
    <row r="2789" ht="15.0" hidden="1" customHeight="1">
      <c r="A2789" s="59">
        <f t="shared" si="20"/>
        <v>43</v>
      </c>
      <c r="B2789" s="59" t="str">
        <f t="shared" si="21"/>
        <v/>
      </c>
      <c r="C2789" s="59" t="str">
        <f t="shared" si="22"/>
        <v/>
      </c>
      <c r="D2789" s="45" t="str">
        <f t="shared" si="23"/>
        <v/>
      </c>
      <c r="E2789" s="45" t="str">
        <f t="shared" si="24"/>
        <v/>
      </c>
      <c r="F2789" s="59" t="str">
        <f t="shared" si="25"/>
        <v/>
      </c>
      <c r="G2789" s="59" t="str">
        <f t="shared" si="26"/>
        <v/>
      </c>
      <c r="H2789" s="59" t="str">
        <f t="shared" si="27"/>
        <v>28H00669</v>
      </c>
      <c r="I2789" s="59" t="str">
        <f>IF(OR($A2789="",$C2789="",$D2789="",$E2789="",$H2789=""),"",SUMIFS(DATA_GOC!$H:$H,DATA_GOC!$A:$A,"BOM",DATA_GOC!$D:$D,$H2789,DATA_GOC!$E:$E,$C2789,DATA_GOC!$F:$F,"Xuất nội bộ từ téc",DATA_GOC!$B:$B,"&gt;="&amp;$D2789,DATA_GOC!$B:$B,"&lt;="&amp;$E2789))</f>
        <v/>
      </c>
      <c r="J2789" s="59">
        <f t="shared" si="28"/>
        <v>0</v>
      </c>
      <c r="K2789" s="59">
        <f t="shared" si="29"/>
        <v>0</v>
      </c>
      <c r="L2789" s="59">
        <f t="shared" si="30"/>
        <v>0</v>
      </c>
      <c r="M2789" s="59">
        <f t="shared" si="31"/>
        <v>0</v>
      </c>
    </row>
    <row r="2790" ht="15.0" hidden="1" customHeight="1">
      <c r="A2790" s="59">
        <f t="shared" si="20"/>
        <v>43</v>
      </c>
      <c r="B2790" s="59" t="str">
        <f t="shared" si="21"/>
        <v/>
      </c>
      <c r="C2790" s="59" t="str">
        <f t="shared" si="22"/>
        <v/>
      </c>
      <c r="D2790" s="45" t="str">
        <f t="shared" si="23"/>
        <v/>
      </c>
      <c r="E2790" s="45" t="str">
        <f t="shared" si="24"/>
        <v/>
      </c>
      <c r="F2790" s="59" t="str">
        <f t="shared" si="25"/>
        <v/>
      </c>
      <c r="G2790" s="59" t="str">
        <f t="shared" si="26"/>
        <v/>
      </c>
      <c r="H2790" s="59" t="str">
        <f t="shared" si="27"/>
        <v>28H00680</v>
      </c>
      <c r="I2790" s="59" t="str">
        <f>IF(OR($A2790="",$C2790="",$D2790="",$E2790="",$H2790=""),"",SUMIFS(DATA_GOC!$H:$H,DATA_GOC!$A:$A,"BOM",DATA_GOC!$D:$D,$H2790,DATA_GOC!$E:$E,$C2790,DATA_GOC!$F:$F,"Xuất nội bộ từ téc",DATA_GOC!$B:$B,"&gt;="&amp;$D2790,DATA_GOC!$B:$B,"&lt;="&amp;$E2790))</f>
        <v/>
      </c>
      <c r="J2790" s="59">
        <f t="shared" si="28"/>
        <v>0</v>
      </c>
      <c r="K2790" s="59">
        <f t="shared" si="29"/>
        <v>0</v>
      </c>
      <c r="L2790" s="59">
        <f t="shared" si="30"/>
        <v>0</v>
      </c>
      <c r="M2790" s="59">
        <f t="shared" si="31"/>
        <v>0</v>
      </c>
    </row>
    <row r="2791" ht="15.0" hidden="1" customHeight="1">
      <c r="A2791" s="59">
        <f t="shared" si="20"/>
        <v>43</v>
      </c>
      <c r="B2791" s="59" t="str">
        <f t="shared" si="21"/>
        <v/>
      </c>
      <c r="C2791" s="59" t="str">
        <f t="shared" si="22"/>
        <v/>
      </c>
      <c r="D2791" s="45" t="str">
        <f t="shared" si="23"/>
        <v/>
      </c>
      <c r="E2791" s="45" t="str">
        <f t="shared" si="24"/>
        <v/>
      </c>
      <c r="F2791" s="59" t="str">
        <f t="shared" si="25"/>
        <v/>
      </c>
      <c r="G2791" s="59" t="str">
        <f t="shared" si="26"/>
        <v/>
      </c>
      <c r="H2791" s="59" t="str">
        <f t="shared" si="27"/>
        <v>28H01070</v>
      </c>
      <c r="I2791" s="59" t="str">
        <f>IF(OR($A2791="",$C2791="",$D2791="",$E2791="",$H2791=""),"",SUMIFS(DATA_GOC!$H:$H,DATA_GOC!$A:$A,"BOM",DATA_GOC!$D:$D,$H2791,DATA_GOC!$E:$E,$C2791,DATA_GOC!$F:$F,"Xuất nội bộ từ téc",DATA_GOC!$B:$B,"&gt;="&amp;$D2791,DATA_GOC!$B:$B,"&lt;="&amp;$E2791))</f>
        <v/>
      </c>
      <c r="J2791" s="59">
        <f t="shared" si="28"/>
        <v>0</v>
      </c>
      <c r="K2791" s="59">
        <f t="shared" si="29"/>
        <v>0</v>
      </c>
      <c r="L2791" s="59">
        <f t="shared" si="30"/>
        <v>0</v>
      </c>
      <c r="M2791" s="59">
        <f t="shared" si="31"/>
        <v>0</v>
      </c>
    </row>
    <row r="2792" ht="15.0" hidden="1" customHeight="1">
      <c r="A2792" s="59">
        <f t="shared" si="20"/>
        <v>43</v>
      </c>
      <c r="B2792" s="59" t="str">
        <f t="shared" si="21"/>
        <v/>
      </c>
      <c r="C2792" s="59" t="str">
        <f t="shared" si="22"/>
        <v/>
      </c>
      <c r="D2792" s="45" t="str">
        <f t="shared" si="23"/>
        <v/>
      </c>
      <c r="E2792" s="45" t="str">
        <f t="shared" si="24"/>
        <v/>
      </c>
      <c r="F2792" s="59" t="str">
        <f t="shared" si="25"/>
        <v/>
      </c>
      <c r="G2792" s="59" t="str">
        <f t="shared" si="26"/>
        <v/>
      </c>
      <c r="H2792" s="59" t="str">
        <f t="shared" si="27"/>
        <v>28H01364</v>
      </c>
      <c r="I2792" s="59" t="str">
        <f>IF(OR($A2792="",$C2792="",$D2792="",$E2792="",$H2792=""),"",SUMIFS(DATA_GOC!$H:$H,DATA_GOC!$A:$A,"BOM",DATA_GOC!$D:$D,$H2792,DATA_GOC!$E:$E,$C2792,DATA_GOC!$F:$F,"Xuất nội bộ từ téc",DATA_GOC!$B:$B,"&gt;="&amp;$D2792,DATA_GOC!$B:$B,"&lt;="&amp;$E2792))</f>
        <v/>
      </c>
      <c r="J2792" s="59">
        <f t="shared" si="28"/>
        <v>0</v>
      </c>
      <c r="K2792" s="59">
        <f t="shared" si="29"/>
        <v>0</v>
      </c>
      <c r="L2792" s="59">
        <f t="shared" si="30"/>
        <v>0</v>
      </c>
      <c r="M2792" s="59">
        <f t="shared" si="31"/>
        <v>0</v>
      </c>
    </row>
    <row r="2793" ht="15.0" hidden="1" customHeight="1">
      <c r="A2793" s="59">
        <f t="shared" si="20"/>
        <v>43</v>
      </c>
      <c r="B2793" s="59" t="str">
        <f t="shared" si="21"/>
        <v/>
      </c>
      <c r="C2793" s="59" t="str">
        <f t="shared" si="22"/>
        <v/>
      </c>
      <c r="D2793" s="45" t="str">
        <f t="shared" si="23"/>
        <v/>
      </c>
      <c r="E2793" s="45" t="str">
        <f t="shared" si="24"/>
        <v/>
      </c>
      <c r="F2793" s="59" t="str">
        <f t="shared" si="25"/>
        <v/>
      </c>
      <c r="G2793" s="59" t="str">
        <f t="shared" si="26"/>
        <v/>
      </c>
      <c r="H2793" s="59" t="str">
        <f t="shared" si="27"/>
        <v>29E17269</v>
      </c>
      <c r="I2793" s="59" t="str">
        <f>IF(OR($A2793="",$C2793="",$D2793="",$E2793="",$H2793=""),"",SUMIFS(DATA_GOC!$H:$H,DATA_GOC!$A:$A,"BOM",DATA_GOC!$D:$D,$H2793,DATA_GOC!$E:$E,$C2793,DATA_GOC!$F:$F,"Xuất nội bộ từ téc",DATA_GOC!$B:$B,"&gt;="&amp;$D2793,DATA_GOC!$B:$B,"&lt;="&amp;$E2793))</f>
        <v/>
      </c>
      <c r="J2793" s="59">
        <f t="shared" si="28"/>
        <v>0</v>
      </c>
      <c r="K2793" s="59">
        <f t="shared" si="29"/>
        <v>0</v>
      </c>
      <c r="L2793" s="59">
        <f t="shared" si="30"/>
        <v>0</v>
      </c>
      <c r="M2793" s="59">
        <f t="shared" si="31"/>
        <v>0</v>
      </c>
    </row>
    <row r="2794" ht="15.0" hidden="1" customHeight="1">
      <c r="A2794" s="59">
        <f t="shared" si="20"/>
        <v>43</v>
      </c>
      <c r="B2794" s="59" t="str">
        <f t="shared" si="21"/>
        <v/>
      </c>
      <c r="C2794" s="59" t="str">
        <f t="shared" si="22"/>
        <v/>
      </c>
      <c r="D2794" s="45" t="str">
        <f t="shared" si="23"/>
        <v/>
      </c>
      <c r="E2794" s="45" t="str">
        <f t="shared" si="24"/>
        <v/>
      </c>
      <c r="F2794" s="59" t="str">
        <f t="shared" si="25"/>
        <v/>
      </c>
      <c r="G2794" s="59" t="str">
        <f t="shared" si="26"/>
        <v/>
      </c>
      <c r="H2794" s="59" t="str">
        <f t="shared" si="27"/>
        <v>29E17273</v>
      </c>
      <c r="I2794" s="59" t="str">
        <f>IF(OR($A2794="",$C2794="",$D2794="",$E2794="",$H2794=""),"",SUMIFS(DATA_GOC!$H:$H,DATA_GOC!$A:$A,"BOM",DATA_GOC!$D:$D,$H2794,DATA_GOC!$E:$E,$C2794,DATA_GOC!$F:$F,"Xuất nội bộ từ téc",DATA_GOC!$B:$B,"&gt;="&amp;$D2794,DATA_GOC!$B:$B,"&lt;="&amp;$E2794))</f>
        <v/>
      </c>
      <c r="J2794" s="59">
        <f t="shared" si="28"/>
        <v>0</v>
      </c>
      <c r="K2794" s="59">
        <f t="shared" si="29"/>
        <v>0</v>
      </c>
      <c r="L2794" s="59">
        <f t="shared" si="30"/>
        <v>0</v>
      </c>
      <c r="M2794" s="59">
        <f t="shared" si="31"/>
        <v>0</v>
      </c>
    </row>
    <row r="2795" ht="15.0" hidden="1" customHeight="1">
      <c r="A2795" s="59">
        <f t="shared" si="20"/>
        <v>43</v>
      </c>
      <c r="B2795" s="59" t="str">
        <f t="shared" si="21"/>
        <v/>
      </c>
      <c r="C2795" s="59" t="str">
        <f t="shared" si="22"/>
        <v/>
      </c>
      <c r="D2795" s="45" t="str">
        <f t="shared" si="23"/>
        <v/>
      </c>
      <c r="E2795" s="45" t="str">
        <f t="shared" si="24"/>
        <v/>
      </c>
      <c r="F2795" s="59" t="str">
        <f t="shared" si="25"/>
        <v/>
      </c>
      <c r="G2795" s="59" t="str">
        <f t="shared" si="26"/>
        <v/>
      </c>
      <c r="H2795" s="59" t="str">
        <f t="shared" si="27"/>
        <v>29E17410</v>
      </c>
      <c r="I2795" s="59" t="str">
        <f>IF(OR($A2795="",$C2795="",$D2795="",$E2795="",$H2795=""),"",SUMIFS(DATA_GOC!$H:$H,DATA_GOC!$A:$A,"BOM",DATA_GOC!$D:$D,$H2795,DATA_GOC!$E:$E,$C2795,DATA_GOC!$F:$F,"Xuất nội bộ từ téc",DATA_GOC!$B:$B,"&gt;="&amp;$D2795,DATA_GOC!$B:$B,"&lt;="&amp;$E2795))</f>
        <v/>
      </c>
      <c r="J2795" s="59">
        <f t="shared" si="28"/>
        <v>0</v>
      </c>
      <c r="K2795" s="59">
        <f t="shared" si="29"/>
        <v>0</v>
      </c>
      <c r="L2795" s="59">
        <f t="shared" si="30"/>
        <v>0</v>
      </c>
      <c r="M2795" s="59">
        <f t="shared" si="31"/>
        <v>0</v>
      </c>
    </row>
    <row r="2796" ht="15.0" hidden="1" customHeight="1">
      <c r="A2796" s="59">
        <f t="shared" si="20"/>
        <v>43</v>
      </c>
      <c r="B2796" s="59" t="str">
        <f t="shared" si="21"/>
        <v/>
      </c>
      <c r="C2796" s="59" t="str">
        <f t="shared" si="22"/>
        <v/>
      </c>
      <c r="D2796" s="45" t="str">
        <f t="shared" si="23"/>
        <v/>
      </c>
      <c r="E2796" s="45" t="str">
        <f t="shared" si="24"/>
        <v/>
      </c>
      <c r="F2796" s="59" t="str">
        <f t="shared" si="25"/>
        <v/>
      </c>
      <c r="G2796" s="59" t="str">
        <f t="shared" si="26"/>
        <v/>
      </c>
      <c r="H2796" s="59" t="str">
        <f t="shared" si="27"/>
        <v>29E17417</v>
      </c>
      <c r="I2796" s="59" t="str">
        <f>IF(OR($A2796="",$C2796="",$D2796="",$E2796="",$H2796=""),"",SUMIFS(DATA_GOC!$H:$H,DATA_GOC!$A:$A,"BOM",DATA_GOC!$D:$D,$H2796,DATA_GOC!$E:$E,$C2796,DATA_GOC!$F:$F,"Xuất nội bộ từ téc",DATA_GOC!$B:$B,"&gt;="&amp;$D2796,DATA_GOC!$B:$B,"&lt;="&amp;$E2796))</f>
        <v/>
      </c>
      <c r="J2796" s="59">
        <f t="shared" si="28"/>
        <v>0</v>
      </c>
      <c r="K2796" s="59">
        <f t="shared" si="29"/>
        <v>0</v>
      </c>
      <c r="L2796" s="59">
        <f t="shared" si="30"/>
        <v>0</v>
      </c>
      <c r="M2796" s="59">
        <f t="shared" si="31"/>
        <v>0</v>
      </c>
    </row>
    <row r="2797" ht="15.0" hidden="1" customHeight="1">
      <c r="A2797" s="59">
        <f t="shared" si="20"/>
        <v>43</v>
      </c>
      <c r="B2797" s="59" t="str">
        <f t="shared" si="21"/>
        <v/>
      </c>
      <c r="C2797" s="59" t="str">
        <f t="shared" si="22"/>
        <v/>
      </c>
      <c r="D2797" s="45" t="str">
        <f t="shared" si="23"/>
        <v/>
      </c>
      <c r="E2797" s="45" t="str">
        <f t="shared" si="24"/>
        <v/>
      </c>
      <c r="F2797" s="59" t="str">
        <f t="shared" si="25"/>
        <v/>
      </c>
      <c r="G2797" s="59" t="str">
        <f t="shared" si="26"/>
        <v/>
      </c>
      <c r="H2797" s="59" t="str">
        <f t="shared" si="27"/>
        <v>29E17539</v>
      </c>
      <c r="I2797" s="59" t="str">
        <f>IF(OR($A2797="",$C2797="",$D2797="",$E2797="",$H2797=""),"",SUMIFS(DATA_GOC!$H:$H,DATA_GOC!$A:$A,"BOM",DATA_GOC!$D:$D,$H2797,DATA_GOC!$E:$E,$C2797,DATA_GOC!$F:$F,"Xuất nội bộ từ téc",DATA_GOC!$B:$B,"&gt;="&amp;$D2797,DATA_GOC!$B:$B,"&lt;="&amp;$E2797))</f>
        <v/>
      </c>
      <c r="J2797" s="59">
        <f t="shared" si="28"/>
        <v>0</v>
      </c>
      <c r="K2797" s="59">
        <f t="shared" si="29"/>
        <v>0</v>
      </c>
      <c r="L2797" s="59">
        <f t="shared" si="30"/>
        <v>0</v>
      </c>
      <c r="M2797" s="59">
        <f t="shared" si="31"/>
        <v>0</v>
      </c>
    </row>
    <row r="2798" ht="15.0" hidden="1" customHeight="1">
      <c r="A2798" s="59">
        <f t="shared" si="20"/>
        <v>43</v>
      </c>
      <c r="B2798" s="59" t="str">
        <f t="shared" si="21"/>
        <v/>
      </c>
      <c r="C2798" s="59" t="str">
        <f t="shared" si="22"/>
        <v/>
      </c>
      <c r="D2798" s="45" t="str">
        <f t="shared" si="23"/>
        <v/>
      </c>
      <c r="E2798" s="45" t="str">
        <f t="shared" si="24"/>
        <v/>
      </c>
      <c r="F2798" s="59" t="str">
        <f t="shared" si="25"/>
        <v/>
      </c>
      <c r="G2798" s="59" t="str">
        <f t="shared" si="26"/>
        <v/>
      </c>
      <c r="H2798" s="59" t="str">
        <f t="shared" si="27"/>
        <v>29E18160</v>
      </c>
      <c r="I2798" s="59" t="str">
        <f>IF(OR($A2798="",$C2798="",$D2798="",$E2798="",$H2798=""),"",SUMIFS(DATA_GOC!$H:$H,DATA_GOC!$A:$A,"BOM",DATA_GOC!$D:$D,$H2798,DATA_GOC!$E:$E,$C2798,DATA_GOC!$F:$F,"Xuất nội bộ từ téc",DATA_GOC!$B:$B,"&gt;="&amp;$D2798,DATA_GOC!$B:$B,"&lt;="&amp;$E2798))</f>
        <v/>
      </c>
      <c r="J2798" s="59">
        <f t="shared" si="28"/>
        <v>0</v>
      </c>
      <c r="K2798" s="59">
        <f t="shared" si="29"/>
        <v>0</v>
      </c>
      <c r="L2798" s="59">
        <f t="shared" si="30"/>
        <v>0</v>
      </c>
      <c r="M2798" s="59">
        <f t="shared" si="31"/>
        <v>0</v>
      </c>
    </row>
    <row r="2799" ht="15.0" hidden="1" customHeight="1">
      <c r="A2799" s="59">
        <f t="shared" si="20"/>
        <v>43</v>
      </c>
      <c r="B2799" s="59" t="str">
        <f t="shared" si="21"/>
        <v/>
      </c>
      <c r="C2799" s="59" t="str">
        <f t="shared" si="22"/>
        <v/>
      </c>
      <c r="D2799" s="45" t="str">
        <f t="shared" si="23"/>
        <v/>
      </c>
      <c r="E2799" s="45" t="str">
        <f t="shared" si="24"/>
        <v/>
      </c>
      <c r="F2799" s="59" t="str">
        <f t="shared" si="25"/>
        <v/>
      </c>
      <c r="G2799" s="59" t="str">
        <f t="shared" si="26"/>
        <v/>
      </c>
      <c r="H2799" s="59" t="str">
        <f t="shared" si="27"/>
        <v>Công trình Asphalt</v>
      </c>
      <c r="I2799" s="59" t="str">
        <f>IF(OR($A2799="",$C2799="",$D2799="",$E2799="",$H2799=""),"",SUMIFS(DATA_GOC!$H:$H,DATA_GOC!$A:$A,"BOM",DATA_GOC!$D:$D,$H2799,DATA_GOC!$E:$E,$C2799,DATA_GOC!$F:$F,"Xuất nội bộ từ téc",DATA_GOC!$B:$B,"&gt;="&amp;$D2799,DATA_GOC!$B:$B,"&lt;="&amp;$E2799))</f>
        <v/>
      </c>
      <c r="J2799" s="59">
        <f t="shared" si="28"/>
        <v>0</v>
      </c>
      <c r="K2799" s="59">
        <f t="shared" si="29"/>
        <v>0</v>
      </c>
      <c r="L2799" s="59">
        <f t="shared" si="30"/>
        <v>0</v>
      </c>
      <c r="M2799" s="59">
        <f t="shared" si="31"/>
        <v>0</v>
      </c>
    </row>
    <row r="2800" ht="15.0" hidden="1" customHeight="1">
      <c r="A2800" s="59">
        <f t="shared" si="20"/>
        <v>43</v>
      </c>
      <c r="B2800" s="59" t="str">
        <f t="shared" si="21"/>
        <v/>
      </c>
      <c r="C2800" s="59" t="str">
        <f t="shared" si="22"/>
        <v/>
      </c>
      <c r="D2800" s="45" t="str">
        <f t="shared" si="23"/>
        <v/>
      </c>
      <c r="E2800" s="45" t="str">
        <f t="shared" si="24"/>
        <v/>
      </c>
      <c r="F2800" s="59" t="str">
        <f t="shared" si="25"/>
        <v/>
      </c>
      <c r="G2800" s="59" t="str">
        <f t="shared" si="26"/>
        <v/>
      </c>
      <c r="H2800" s="59" t="str">
        <f t="shared" si="27"/>
        <v>LG53F</v>
      </c>
      <c r="I2800" s="59" t="str">
        <f>IF(OR($A2800="",$C2800="",$D2800="",$E2800="",$H2800=""),"",SUMIFS(DATA_GOC!$H:$H,DATA_GOC!$A:$A,"BOM",DATA_GOC!$D:$D,$H2800,DATA_GOC!$E:$E,$C2800,DATA_GOC!$F:$F,"Xuất nội bộ từ téc",DATA_GOC!$B:$B,"&gt;="&amp;$D2800,DATA_GOC!$B:$B,"&lt;="&amp;$E2800))</f>
        <v/>
      </c>
      <c r="J2800" s="59">
        <f t="shared" si="28"/>
        <v>0</v>
      </c>
      <c r="K2800" s="59">
        <f t="shared" si="29"/>
        <v>0</v>
      </c>
      <c r="L2800" s="59">
        <f t="shared" si="30"/>
        <v>0</v>
      </c>
      <c r="M2800" s="59">
        <f t="shared" si="31"/>
        <v>0</v>
      </c>
    </row>
    <row r="2801" ht="15.0" hidden="1" customHeight="1">
      <c r="A2801" s="59">
        <f t="shared" si="20"/>
        <v>43</v>
      </c>
      <c r="B2801" s="59" t="str">
        <f t="shared" si="21"/>
        <v/>
      </c>
      <c r="C2801" s="59" t="str">
        <f t="shared" si="22"/>
        <v/>
      </c>
      <c r="D2801" s="45" t="str">
        <f t="shared" si="23"/>
        <v/>
      </c>
      <c r="E2801" s="45" t="str">
        <f t="shared" si="24"/>
        <v/>
      </c>
      <c r="F2801" s="59" t="str">
        <f t="shared" si="25"/>
        <v/>
      </c>
      <c r="G2801" s="59" t="str">
        <f t="shared" si="26"/>
        <v/>
      </c>
      <c r="H2801" s="59" t="str">
        <f t="shared" si="27"/>
        <v>Máy phát điện</v>
      </c>
      <c r="I2801" s="59" t="str">
        <f>IF(OR($A2801="",$C2801="",$D2801="",$E2801="",$H2801=""),"",SUMIFS(DATA_GOC!$H:$H,DATA_GOC!$A:$A,"BOM",DATA_GOC!$D:$D,$H2801,DATA_GOC!$E:$E,$C2801,DATA_GOC!$F:$F,"Xuất nội bộ từ téc",DATA_GOC!$B:$B,"&gt;="&amp;$D2801,DATA_GOC!$B:$B,"&lt;="&amp;$E2801))</f>
        <v/>
      </c>
      <c r="J2801" s="59">
        <f t="shared" si="28"/>
        <v>0</v>
      </c>
      <c r="K2801" s="59">
        <f t="shared" si="29"/>
        <v>0</v>
      </c>
      <c r="L2801" s="59">
        <f t="shared" si="30"/>
        <v>0</v>
      </c>
      <c r="M2801" s="59">
        <f t="shared" si="31"/>
        <v>0</v>
      </c>
    </row>
    <row r="2802" ht="15.0" hidden="1" customHeight="1">
      <c r="A2802" s="59">
        <f t="shared" si="20"/>
        <v>43</v>
      </c>
      <c r="B2802" s="59" t="str">
        <f t="shared" si="21"/>
        <v/>
      </c>
      <c r="C2802" s="59" t="str">
        <f t="shared" si="22"/>
        <v/>
      </c>
      <c r="D2802" s="45" t="str">
        <f t="shared" si="23"/>
        <v/>
      </c>
      <c r="E2802" s="45" t="str">
        <f t="shared" si="24"/>
        <v/>
      </c>
      <c r="F2802" s="59" t="str">
        <f t="shared" si="25"/>
        <v/>
      </c>
      <c r="G2802" s="59" t="str">
        <f t="shared" si="26"/>
        <v/>
      </c>
      <c r="H2802" s="59" t="str">
        <f t="shared" si="27"/>
        <v>Máy rải thảm</v>
      </c>
      <c r="I2802" s="59" t="str">
        <f>IF(OR($A2802="",$C2802="",$D2802="",$E2802="",$H2802=""),"",SUMIFS(DATA_GOC!$H:$H,DATA_GOC!$A:$A,"BOM",DATA_GOC!$D:$D,$H2802,DATA_GOC!$E:$E,$C2802,DATA_GOC!$F:$F,"Xuất nội bộ từ téc",DATA_GOC!$B:$B,"&gt;="&amp;$D2802,DATA_GOC!$B:$B,"&lt;="&amp;$E2802))</f>
        <v/>
      </c>
      <c r="J2802" s="59">
        <f t="shared" si="28"/>
        <v>0</v>
      </c>
      <c r="K2802" s="59">
        <f t="shared" si="29"/>
        <v>0</v>
      </c>
      <c r="L2802" s="59">
        <f t="shared" si="30"/>
        <v>0</v>
      </c>
      <c r="M2802" s="59">
        <f t="shared" si="31"/>
        <v>0</v>
      </c>
    </row>
    <row r="2803" ht="15.0" hidden="1" customHeight="1">
      <c r="A2803" s="59">
        <f t="shared" si="20"/>
        <v>43</v>
      </c>
      <c r="B2803" s="59" t="str">
        <f t="shared" si="21"/>
        <v/>
      </c>
      <c r="C2803" s="59" t="str">
        <f t="shared" si="22"/>
        <v/>
      </c>
      <c r="D2803" s="45" t="str">
        <f t="shared" si="23"/>
        <v/>
      </c>
      <c r="E2803" s="45" t="str">
        <f t="shared" si="24"/>
        <v/>
      </c>
      <c r="F2803" s="59" t="str">
        <f t="shared" si="25"/>
        <v/>
      </c>
      <c r="G2803" s="59" t="str">
        <f t="shared" si="26"/>
        <v/>
      </c>
      <c r="H2803" s="59" t="str">
        <f t="shared" si="27"/>
        <v>Xúc Đào</v>
      </c>
      <c r="I2803" s="59" t="str">
        <f>IF(OR($A2803="",$C2803="",$D2803="",$E2803="",$H2803=""),"",SUMIFS(DATA_GOC!$H:$H,DATA_GOC!$A:$A,"BOM",DATA_GOC!$D:$D,$H2803,DATA_GOC!$E:$E,$C2803,DATA_GOC!$F:$F,"Xuất nội bộ từ téc",DATA_GOC!$B:$B,"&gt;="&amp;$D2803,DATA_GOC!$B:$B,"&lt;="&amp;$E2803))</f>
        <v/>
      </c>
      <c r="J2803" s="59">
        <f t="shared" si="28"/>
        <v>0</v>
      </c>
      <c r="K2803" s="59">
        <f t="shared" si="29"/>
        <v>0</v>
      </c>
      <c r="L2803" s="59">
        <f t="shared" si="30"/>
        <v>0</v>
      </c>
      <c r="M2803" s="59">
        <f t="shared" si="31"/>
        <v>0</v>
      </c>
    </row>
    <row r="2804" ht="15.0" hidden="1" customHeight="1">
      <c r="A2804" s="59">
        <f t="shared" si="20"/>
        <v>43</v>
      </c>
      <c r="B2804" s="59" t="str">
        <f t="shared" si="21"/>
        <v/>
      </c>
      <c r="C2804" s="59" t="str">
        <f t="shared" si="22"/>
        <v/>
      </c>
      <c r="D2804" s="45" t="str">
        <f t="shared" si="23"/>
        <v/>
      </c>
      <c r="E2804" s="45" t="str">
        <f t="shared" si="24"/>
        <v/>
      </c>
      <c r="F2804" s="59" t="str">
        <f t="shared" si="25"/>
        <v/>
      </c>
      <c r="G2804" s="59" t="str">
        <f t="shared" si="26"/>
        <v/>
      </c>
      <c r="H2804" s="59" t="str">
        <f t="shared" si="27"/>
        <v>Xúclật asphalt</v>
      </c>
      <c r="I2804" s="59" t="str">
        <f>IF(OR($A2804="",$C2804="",$D2804="",$E2804="",$H2804=""),"",SUMIFS(DATA_GOC!$H:$H,DATA_GOC!$A:$A,"BOM",DATA_GOC!$D:$D,$H2804,DATA_GOC!$E:$E,$C2804,DATA_GOC!$F:$F,"Xuất nội bộ từ téc",DATA_GOC!$B:$B,"&gt;="&amp;$D2804,DATA_GOC!$B:$B,"&lt;="&amp;$E2804))</f>
        <v/>
      </c>
      <c r="J2804" s="59">
        <f t="shared" si="28"/>
        <v>0</v>
      </c>
      <c r="K2804" s="59">
        <f t="shared" si="29"/>
        <v>0</v>
      </c>
      <c r="L2804" s="59">
        <f t="shared" si="30"/>
        <v>0</v>
      </c>
      <c r="M2804" s="59">
        <f t="shared" si="31"/>
        <v>0</v>
      </c>
    </row>
    <row r="2805" ht="15.0" hidden="1" customHeight="1">
      <c r="A2805" s="59">
        <f t="shared" si="20"/>
        <v>43</v>
      </c>
      <c r="B2805" s="59" t="str">
        <f t="shared" si="21"/>
        <v/>
      </c>
      <c r="C2805" s="59" t="str">
        <f t="shared" si="22"/>
        <v/>
      </c>
      <c r="D2805" s="45" t="str">
        <f t="shared" si="23"/>
        <v/>
      </c>
      <c r="E2805" s="45" t="str">
        <f t="shared" si="24"/>
        <v/>
      </c>
      <c r="F2805" s="59" t="str">
        <f t="shared" si="25"/>
        <v/>
      </c>
      <c r="G2805" s="59" t="str">
        <f t="shared" si="26"/>
        <v/>
      </c>
      <c r="H2805" s="59" t="str">
        <f t="shared" si="27"/>
        <v>Xúclật855H</v>
      </c>
      <c r="I2805" s="59" t="str">
        <f>IF(OR($A2805="",$C2805="",$D2805="",$E2805="",$H2805=""),"",SUMIFS(DATA_GOC!$H:$H,DATA_GOC!$A:$A,"BOM",DATA_GOC!$D:$D,$H2805,DATA_GOC!$E:$E,$C2805,DATA_GOC!$F:$F,"Xuất nội bộ từ téc",DATA_GOC!$B:$B,"&gt;="&amp;$D2805,DATA_GOC!$B:$B,"&lt;="&amp;$E2805))</f>
        <v/>
      </c>
      <c r="J2805" s="59">
        <f t="shared" si="28"/>
        <v>0</v>
      </c>
      <c r="K2805" s="59">
        <f t="shared" si="29"/>
        <v>0</v>
      </c>
      <c r="L2805" s="59">
        <f t="shared" si="30"/>
        <v>0</v>
      </c>
      <c r="M2805" s="59">
        <f t="shared" si="31"/>
        <v>0</v>
      </c>
    </row>
    <row r="2806" ht="15.0" hidden="1" customHeight="1">
      <c r="A2806" s="59">
        <f t="shared" si="20"/>
        <v>43</v>
      </c>
      <c r="B2806" s="59" t="str">
        <f t="shared" si="21"/>
        <v/>
      </c>
      <c r="C2806" s="59" t="str">
        <f t="shared" si="22"/>
        <v/>
      </c>
      <c r="D2806" s="45" t="str">
        <f t="shared" si="23"/>
        <v/>
      </c>
      <c r="E2806" s="45" t="str">
        <f t="shared" si="24"/>
        <v/>
      </c>
      <c r="F2806" s="59" t="str">
        <f t="shared" si="25"/>
        <v/>
      </c>
      <c r="G2806" s="59" t="str">
        <f t="shared" si="26"/>
        <v/>
      </c>
      <c r="H2806" s="59" t="str">
        <f t="shared" si="27"/>
        <v>Xúclật855N</v>
      </c>
      <c r="I2806" s="59" t="str">
        <f>IF(OR($A2806="",$C2806="",$D2806="",$E2806="",$H2806=""),"",SUMIFS(DATA_GOC!$H:$H,DATA_GOC!$A:$A,"BOM",DATA_GOC!$D:$D,$H2806,DATA_GOC!$E:$E,$C2806,DATA_GOC!$F:$F,"Xuất nội bộ từ téc",DATA_GOC!$B:$B,"&gt;="&amp;$D2806,DATA_GOC!$B:$B,"&lt;="&amp;$E2806))</f>
        <v/>
      </c>
      <c r="J2806" s="59">
        <f t="shared" si="28"/>
        <v>0</v>
      </c>
      <c r="K2806" s="59">
        <f t="shared" si="29"/>
        <v>0</v>
      </c>
      <c r="L2806" s="59">
        <f t="shared" si="30"/>
        <v>0</v>
      </c>
      <c r="M2806" s="59">
        <f t="shared" si="31"/>
        <v>0</v>
      </c>
    </row>
    <row r="2807" ht="15.0" hidden="1" customHeight="1">
      <c r="A2807" s="59">
        <f t="shared" si="20"/>
        <v>43</v>
      </c>
      <c r="B2807" s="59" t="str">
        <f t="shared" si="21"/>
        <v/>
      </c>
      <c r="C2807" s="59" t="str">
        <f t="shared" si="22"/>
        <v/>
      </c>
      <c r="D2807" s="45" t="str">
        <f t="shared" si="23"/>
        <v/>
      </c>
      <c r="E2807" s="45" t="str">
        <f t="shared" si="24"/>
        <v/>
      </c>
      <c r="F2807" s="59" t="str">
        <f t="shared" si="25"/>
        <v/>
      </c>
      <c r="G2807" s="59" t="str">
        <f t="shared" si="26"/>
        <v/>
      </c>
      <c r="H2807" s="59" t="str">
        <f t="shared" si="27"/>
        <v>Cát nghiền</v>
      </c>
      <c r="I2807" s="59" t="str">
        <f>IF(OR($A2807="",$C2807="",$D2807="",$E2807="",$H2807=""),"",SUMIFS(DATA_GOC!$H:$H,DATA_GOC!$A:$A,"BOM",DATA_GOC!$D:$D,$H2807,DATA_GOC!$E:$E,$C2807,DATA_GOC!$F:$F,"Xuất nội bộ từ téc",DATA_GOC!$B:$B,"&gt;="&amp;$D2807,DATA_GOC!$B:$B,"&lt;="&amp;$E2807))</f>
        <v/>
      </c>
      <c r="J2807" s="59">
        <f t="shared" si="28"/>
        <v>0</v>
      </c>
      <c r="K2807" s="59">
        <f t="shared" si="29"/>
        <v>0</v>
      </c>
      <c r="L2807" s="59">
        <f t="shared" si="30"/>
        <v>0</v>
      </c>
      <c r="M2807" s="59">
        <f t="shared" si="31"/>
        <v>0</v>
      </c>
    </row>
    <row r="2808" ht="15.0" hidden="1" customHeight="1">
      <c r="A2808" s="59">
        <f t="shared" si="20"/>
        <v>43</v>
      </c>
      <c r="B2808" s="59" t="str">
        <f t="shared" si="21"/>
        <v/>
      </c>
      <c r="C2808" s="59" t="str">
        <f t="shared" si="22"/>
        <v/>
      </c>
      <c r="D2808" s="45" t="str">
        <f t="shared" si="23"/>
        <v/>
      </c>
      <c r="E2808" s="45" t="str">
        <f t="shared" si="24"/>
        <v/>
      </c>
      <c r="F2808" s="59" t="str">
        <f t="shared" si="25"/>
        <v/>
      </c>
      <c r="G2808" s="59" t="str">
        <f t="shared" si="26"/>
        <v/>
      </c>
      <c r="H2808" s="59" t="str">
        <f t="shared" si="27"/>
        <v>28C02973</v>
      </c>
      <c r="I2808" s="59" t="str">
        <f>IF(OR($A2808="",$C2808="",$D2808="",$E2808="",$H2808=""),"",SUMIFS(DATA_GOC!$H:$H,DATA_GOC!$A:$A,"BOM",DATA_GOC!$D:$D,$H2808,DATA_GOC!$E:$E,$C2808,DATA_GOC!$F:$F,"Xuất nội bộ từ téc",DATA_GOC!$B:$B,"&gt;="&amp;$D2808,DATA_GOC!$B:$B,"&lt;="&amp;$E2808))</f>
        <v/>
      </c>
      <c r="J2808" s="59">
        <f t="shared" si="28"/>
        <v>0</v>
      </c>
      <c r="K2808" s="59">
        <f t="shared" si="29"/>
        <v>0</v>
      </c>
      <c r="L2808" s="59">
        <f t="shared" si="30"/>
        <v>0</v>
      </c>
      <c r="M2808" s="59">
        <f t="shared" si="31"/>
        <v>0</v>
      </c>
    </row>
    <row r="2809" ht="15.0" hidden="1" customHeight="1">
      <c r="A2809" s="59">
        <f t="shared" si="20"/>
        <v>43</v>
      </c>
      <c r="B2809" s="59" t="str">
        <f t="shared" si="21"/>
        <v/>
      </c>
      <c r="C2809" s="59" t="str">
        <f t="shared" si="22"/>
        <v/>
      </c>
      <c r="D2809" s="45" t="str">
        <f t="shared" si="23"/>
        <v/>
      </c>
      <c r="E2809" s="45" t="str">
        <f t="shared" si="24"/>
        <v/>
      </c>
      <c r="F2809" s="59" t="str">
        <f t="shared" si="25"/>
        <v/>
      </c>
      <c r="G2809" s="59" t="str">
        <f t="shared" si="26"/>
        <v/>
      </c>
      <c r="H2809" s="59" t="str">
        <f t="shared" si="27"/>
        <v>28C03044</v>
      </c>
      <c r="I2809" s="59" t="str">
        <f>IF(OR($A2809="",$C2809="",$D2809="",$E2809="",$H2809=""),"",SUMIFS(DATA_GOC!$H:$H,DATA_GOC!$A:$A,"BOM",DATA_GOC!$D:$D,$H2809,DATA_GOC!$E:$E,$C2809,DATA_GOC!$F:$F,"Xuất nội bộ từ téc",DATA_GOC!$B:$B,"&gt;="&amp;$D2809,DATA_GOC!$B:$B,"&lt;="&amp;$E2809))</f>
        <v/>
      </c>
      <c r="J2809" s="59">
        <f t="shared" si="28"/>
        <v>0</v>
      </c>
      <c r="K2809" s="59">
        <f t="shared" si="29"/>
        <v>0</v>
      </c>
      <c r="L2809" s="59">
        <f t="shared" si="30"/>
        <v>0</v>
      </c>
      <c r="M2809" s="59">
        <f t="shared" si="31"/>
        <v>0</v>
      </c>
    </row>
    <row r="2810" ht="15.0" hidden="1" customHeight="1">
      <c r="A2810" s="59">
        <f t="shared" si="20"/>
        <v>43</v>
      </c>
      <c r="B2810" s="59" t="str">
        <f t="shared" si="21"/>
        <v/>
      </c>
      <c r="C2810" s="59" t="str">
        <f t="shared" si="22"/>
        <v/>
      </c>
      <c r="D2810" s="45" t="str">
        <f t="shared" si="23"/>
        <v/>
      </c>
      <c r="E2810" s="45" t="str">
        <f t="shared" si="24"/>
        <v/>
      </c>
      <c r="F2810" s="59" t="str">
        <f t="shared" si="25"/>
        <v/>
      </c>
      <c r="G2810" s="59" t="str">
        <f t="shared" si="26"/>
        <v/>
      </c>
      <c r="H2810" s="59" t="str">
        <f t="shared" si="27"/>
        <v>Máy lu lốp</v>
      </c>
      <c r="I2810" s="59" t="str">
        <f>IF(OR($A2810="",$C2810="",$D2810="",$E2810="",$H2810=""),"",SUMIFS(DATA_GOC!$H:$H,DATA_GOC!$A:$A,"BOM",DATA_GOC!$D:$D,$H2810,DATA_GOC!$E:$E,$C2810,DATA_GOC!$F:$F,"Xuất nội bộ từ téc",DATA_GOC!$B:$B,"&gt;="&amp;$D2810,DATA_GOC!$B:$B,"&lt;="&amp;$E2810))</f>
        <v/>
      </c>
      <c r="J2810" s="59">
        <f t="shared" si="28"/>
        <v>0</v>
      </c>
      <c r="K2810" s="59">
        <f t="shared" si="29"/>
        <v>0</v>
      </c>
      <c r="L2810" s="59">
        <f t="shared" si="30"/>
        <v>0</v>
      </c>
      <c r="M2810" s="59">
        <f t="shared" si="31"/>
        <v>0</v>
      </c>
    </row>
    <row r="2811" ht="15.0" hidden="1" customHeight="1">
      <c r="A2811" s="59">
        <f t="shared" si="20"/>
        <v>43</v>
      </c>
      <c r="B2811" s="59" t="str">
        <f t="shared" si="21"/>
        <v/>
      </c>
      <c r="C2811" s="59" t="str">
        <f t="shared" si="22"/>
        <v/>
      </c>
      <c r="D2811" s="45" t="str">
        <f t="shared" si="23"/>
        <v/>
      </c>
      <c r="E2811" s="45" t="str">
        <f t="shared" si="24"/>
        <v/>
      </c>
      <c r="F2811" s="59" t="str">
        <f t="shared" si="25"/>
        <v/>
      </c>
      <c r="G2811" s="59" t="str">
        <f t="shared" si="26"/>
        <v/>
      </c>
      <c r="H2811" s="59" t="str">
        <f t="shared" si="27"/>
        <v>Xe 600148</v>
      </c>
      <c r="I2811" s="59" t="str">
        <f>IF(OR($A2811="",$C2811="",$D2811="",$E2811="",$H2811=""),"",SUMIFS(DATA_GOC!$H:$H,DATA_GOC!$A:$A,"BOM",DATA_GOC!$D:$D,$H2811,DATA_GOC!$E:$E,$C2811,DATA_GOC!$F:$F,"Xuất nội bộ từ téc",DATA_GOC!$B:$B,"&gt;="&amp;$D2811,DATA_GOC!$B:$B,"&lt;="&amp;$E2811))</f>
        <v/>
      </c>
      <c r="J2811" s="59">
        <f t="shared" si="28"/>
        <v>0</v>
      </c>
      <c r="K2811" s="59">
        <f t="shared" si="29"/>
        <v>0</v>
      </c>
      <c r="L2811" s="59">
        <f t="shared" si="30"/>
        <v>0</v>
      </c>
      <c r="M2811" s="59">
        <f t="shared" si="31"/>
        <v>0</v>
      </c>
    </row>
    <row r="2812" ht="15.0" hidden="1" customHeight="1">
      <c r="A2812" s="59">
        <f t="shared" si="20"/>
        <v>43</v>
      </c>
      <c r="B2812" s="59" t="str">
        <f t="shared" si="21"/>
        <v/>
      </c>
      <c r="C2812" s="59" t="str">
        <f t="shared" si="22"/>
        <v/>
      </c>
      <c r="D2812" s="45" t="str">
        <f t="shared" si="23"/>
        <v/>
      </c>
      <c r="E2812" s="45" t="str">
        <f t="shared" si="24"/>
        <v/>
      </c>
      <c r="F2812" s="59" t="str">
        <f t="shared" si="25"/>
        <v/>
      </c>
      <c r="G2812" s="59" t="str">
        <f t="shared" si="26"/>
        <v/>
      </c>
      <c r="H2812" s="59" t="str">
        <f t="shared" si="27"/>
        <v>Xe ben mới</v>
      </c>
      <c r="I2812" s="59" t="str">
        <f>IF(OR($A2812="",$C2812="",$D2812="",$E2812="",$H2812=""),"",SUMIFS(DATA_GOC!$H:$H,DATA_GOC!$A:$A,"BOM",DATA_GOC!$D:$D,$H2812,DATA_GOC!$E:$E,$C2812,DATA_GOC!$F:$F,"Xuất nội bộ từ téc",DATA_GOC!$B:$B,"&gt;="&amp;$D2812,DATA_GOC!$B:$B,"&lt;="&amp;$E2812))</f>
        <v/>
      </c>
      <c r="J2812" s="59">
        <f t="shared" si="28"/>
        <v>0</v>
      </c>
      <c r="K2812" s="59">
        <f t="shared" si="29"/>
        <v>0</v>
      </c>
      <c r="L2812" s="59">
        <f t="shared" si="30"/>
        <v>0</v>
      </c>
      <c r="M2812" s="59">
        <f t="shared" si="31"/>
        <v>0</v>
      </c>
    </row>
    <row r="2813" ht="15.0" hidden="1" customHeight="1">
      <c r="A2813" s="59">
        <f t="shared" si="20"/>
        <v>44</v>
      </c>
      <c r="B2813" s="59" t="str">
        <f t="shared" si="21"/>
        <v/>
      </c>
      <c r="C2813" s="59" t="str">
        <f t="shared" si="22"/>
        <v/>
      </c>
      <c r="D2813" s="45" t="str">
        <f t="shared" si="23"/>
        <v/>
      </c>
      <c r="E2813" s="45" t="str">
        <f t="shared" si="24"/>
        <v/>
      </c>
      <c r="F2813" s="59" t="str">
        <f t="shared" si="25"/>
        <v/>
      </c>
      <c r="G2813" s="59" t="str">
        <f t="shared" si="26"/>
        <v/>
      </c>
      <c r="H2813" s="59" t="str">
        <f t="shared" si="27"/>
        <v>19H09482</v>
      </c>
      <c r="I2813" s="59" t="str">
        <f>IF(OR($A2813="",$C2813="",$D2813="",$E2813="",$H2813=""),"",SUMIFS(DATA_GOC!$H:$H,DATA_GOC!$A:$A,"BOM",DATA_GOC!$D:$D,$H2813,DATA_GOC!$E:$E,$C2813,DATA_GOC!$F:$F,"Xuất nội bộ từ téc",DATA_GOC!$B:$B,"&gt;="&amp;$D2813,DATA_GOC!$B:$B,"&lt;="&amp;$E2813))</f>
        <v/>
      </c>
      <c r="J2813" s="59">
        <f t="shared" si="28"/>
        <v>0</v>
      </c>
      <c r="K2813" s="59">
        <f t="shared" si="29"/>
        <v>0</v>
      </c>
      <c r="L2813" s="59">
        <f t="shared" si="30"/>
        <v>0</v>
      </c>
      <c r="M2813" s="59">
        <f t="shared" si="31"/>
        <v>0</v>
      </c>
    </row>
    <row r="2814" ht="15.0" hidden="1" customHeight="1">
      <c r="A2814" s="59">
        <f t="shared" si="20"/>
        <v>44</v>
      </c>
      <c r="B2814" s="59" t="str">
        <f t="shared" si="21"/>
        <v/>
      </c>
      <c r="C2814" s="59" t="str">
        <f t="shared" si="22"/>
        <v/>
      </c>
      <c r="D2814" s="45" t="str">
        <f t="shared" si="23"/>
        <v/>
      </c>
      <c r="E2814" s="45" t="str">
        <f t="shared" si="24"/>
        <v/>
      </c>
      <c r="F2814" s="59" t="str">
        <f t="shared" si="25"/>
        <v/>
      </c>
      <c r="G2814" s="59" t="str">
        <f t="shared" si="26"/>
        <v/>
      </c>
      <c r="H2814" s="59" t="str">
        <f t="shared" si="27"/>
        <v>28A30696</v>
      </c>
      <c r="I2814" s="59" t="str">
        <f>IF(OR($A2814="",$C2814="",$D2814="",$E2814="",$H2814=""),"",SUMIFS(DATA_GOC!$H:$H,DATA_GOC!$A:$A,"BOM",DATA_GOC!$D:$D,$H2814,DATA_GOC!$E:$E,$C2814,DATA_GOC!$F:$F,"Xuất nội bộ từ téc",DATA_GOC!$B:$B,"&gt;="&amp;$D2814,DATA_GOC!$B:$B,"&lt;="&amp;$E2814))</f>
        <v/>
      </c>
      <c r="J2814" s="59">
        <f t="shared" si="28"/>
        <v>0</v>
      </c>
      <c r="K2814" s="59">
        <f t="shared" si="29"/>
        <v>0</v>
      </c>
      <c r="L2814" s="59">
        <f t="shared" si="30"/>
        <v>0</v>
      </c>
      <c r="M2814" s="59">
        <f t="shared" si="31"/>
        <v>0</v>
      </c>
    </row>
    <row r="2815" ht="15.0" hidden="1" customHeight="1">
      <c r="A2815" s="59">
        <f t="shared" si="20"/>
        <v>44</v>
      </c>
      <c r="B2815" s="59" t="str">
        <f t="shared" si="21"/>
        <v/>
      </c>
      <c r="C2815" s="59" t="str">
        <f t="shared" si="22"/>
        <v/>
      </c>
      <c r="D2815" s="45" t="str">
        <f t="shared" si="23"/>
        <v/>
      </c>
      <c r="E2815" s="45" t="str">
        <f t="shared" si="24"/>
        <v/>
      </c>
      <c r="F2815" s="59" t="str">
        <f t="shared" si="25"/>
        <v/>
      </c>
      <c r="G2815" s="59" t="str">
        <f t="shared" si="26"/>
        <v/>
      </c>
      <c r="H2815" s="59" t="str">
        <f t="shared" si="27"/>
        <v>28C00462</v>
      </c>
      <c r="I2815" s="59" t="str">
        <f>IF(OR($A2815="",$C2815="",$D2815="",$E2815="",$H2815=""),"",SUMIFS(DATA_GOC!$H:$H,DATA_GOC!$A:$A,"BOM",DATA_GOC!$D:$D,$H2815,DATA_GOC!$E:$E,$C2815,DATA_GOC!$F:$F,"Xuất nội bộ từ téc",DATA_GOC!$B:$B,"&gt;="&amp;$D2815,DATA_GOC!$B:$B,"&lt;="&amp;$E2815))</f>
        <v/>
      </c>
      <c r="J2815" s="59">
        <f t="shared" si="28"/>
        <v>0</v>
      </c>
      <c r="K2815" s="59">
        <f t="shared" si="29"/>
        <v>0</v>
      </c>
      <c r="L2815" s="59">
        <f t="shared" si="30"/>
        <v>0</v>
      </c>
      <c r="M2815" s="59">
        <f t="shared" si="31"/>
        <v>0</v>
      </c>
    </row>
    <row r="2816" ht="15.0" hidden="1" customHeight="1">
      <c r="A2816" s="59">
        <f t="shared" si="20"/>
        <v>44</v>
      </c>
      <c r="B2816" s="59" t="str">
        <f t="shared" si="21"/>
        <v/>
      </c>
      <c r="C2816" s="59" t="str">
        <f t="shared" si="22"/>
        <v/>
      </c>
      <c r="D2816" s="45" t="str">
        <f t="shared" si="23"/>
        <v/>
      </c>
      <c r="E2816" s="45" t="str">
        <f t="shared" si="24"/>
        <v/>
      </c>
      <c r="F2816" s="59" t="str">
        <f t="shared" si="25"/>
        <v/>
      </c>
      <c r="G2816" s="59" t="str">
        <f t="shared" si="26"/>
        <v/>
      </c>
      <c r="H2816" s="59" t="str">
        <f t="shared" si="27"/>
        <v>28C01165</v>
      </c>
      <c r="I2816" s="59" t="str">
        <f>IF(OR($A2816="",$C2816="",$D2816="",$E2816="",$H2816=""),"",SUMIFS(DATA_GOC!$H:$H,DATA_GOC!$A:$A,"BOM",DATA_GOC!$D:$D,$H2816,DATA_GOC!$E:$E,$C2816,DATA_GOC!$F:$F,"Xuất nội bộ từ téc",DATA_GOC!$B:$B,"&gt;="&amp;$D2816,DATA_GOC!$B:$B,"&lt;="&amp;$E2816))</f>
        <v/>
      </c>
      <c r="J2816" s="59">
        <f t="shared" si="28"/>
        <v>0</v>
      </c>
      <c r="K2816" s="59">
        <f t="shared" si="29"/>
        <v>0</v>
      </c>
      <c r="L2816" s="59">
        <f t="shared" si="30"/>
        <v>0</v>
      </c>
      <c r="M2816" s="59">
        <f t="shared" si="31"/>
        <v>0</v>
      </c>
    </row>
    <row r="2817" ht="15.0" hidden="1" customHeight="1">
      <c r="A2817" s="59">
        <f t="shared" si="20"/>
        <v>44</v>
      </c>
      <c r="B2817" s="59" t="str">
        <f t="shared" si="21"/>
        <v/>
      </c>
      <c r="C2817" s="59" t="str">
        <f t="shared" si="22"/>
        <v/>
      </c>
      <c r="D2817" s="45" t="str">
        <f t="shared" si="23"/>
        <v/>
      </c>
      <c r="E2817" s="45" t="str">
        <f t="shared" si="24"/>
        <v/>
      </c>
      <c r="F2817" s="59" t="str">
        <f t="shared" si="25"/>
        <v/>
      </c>
      <c r="G2817" s="59" t="str">
        <f t="shared" si="26"/>
        <v/>
      </c>
      <c r="H2817" s="59" t="str">
        <f t="shared" si="27"/>
        <v>28C01406</v>
      </c>
      <c r="I2817" s="59" t="str">
        <f>IF(OR($A2817="",$C2817="",$D2817="",$E2817="",$H2817=""),"",SUMIFS(DATA_GOC!$H:$H,DATA_GOC!$A:$A,"BOM",DATA_GOC!$D:$D,$H2817,DATA_GOC!$E:$E,$C2817,DATA_GOC!$F:$F,"Xuất nội bộ từ téc",DATA_GOC!$B:$B,"&gt;="&amp;$D2817,DATA_GOC!$B:$B,"&lt;="&amp;$E2817))</f>
        <v/>
      </c>
      <c r="J2817" s="59">
        <f t="shared" si="28"/>
        <v>0</v>
      </c>
      <c r="K2817" s="59">
        <f t="shared" si="29"/>
        <v>0</v>
      </c>
      <c r="L2817" s="59">
        <f t="shared" si="30"/>
        <v>0</v>
      </c>
      <c r="M2817" s="59">
        <f t="shared" si="31"/>
        <v>0</v>
      </c>
    </row>
    <row r="2818" ht="15.0" hidden="1" customHeight="1">
      <c r="A2818" s="59">
        <f t="shared" si="20"/>
        <v>44</v>
      </c>
      <c r="B2818" s="59" t="str">
        <f t="shared" si="21"/>
        <v/>
      </c>
      <c r="C2818" s="59" t="str">
        <f t="shared" si="22"/>
        <v/>
      </c>
      <c r="D2818" s="45" t="str">
        <f t="shared" si="23"/>
        <v/>
      </c>
      <c r="E2818" s="45" t="str">
        <f t="shared" si="24"/>
        <v/>
      </c>
      <c r="F2818" s="59" t="str">
        <f t="shared" si="25"/>
        <v/>
      </c>
      <c r="G2818" s="59" t="str">
        <f t="shared" si="26"/>
        <v/>
      </c>
      <c r="H2818" s="59" t="str">
        <f t="shared" si="27"/>
        <v>28C01544</v>
      </c>
      <c r="I2818" s="59" t="str">
        <f>IF(OR($A2818="",$C2818="",$D2818="",$E2818="",$H2818=""),"",SUMIFS(DATA_GOC!$H:$H,DATA_GOC!$A:$A,"BOM",DATA_GOC!$D:$D,$H2818,DATA_GOC!$E:$E,$C2818,DATA_GOC!$F:$F,"Xuất nội bộ từ téc",DATA_GOC!$B:$B,"&gt;="&amp;$D2818,DATA_GOC!$B:$B,"&lt;="&amp;$E2818))</f>
        <v/>
      </c>
      <c r="J2818" s="59">
        <f t="shared" si="28"/>
        <v>0</v>
      </c>
      <c r="K2818" s="59">
        <f t="shared" si="29"/>
        <v>0</v>
      </c>
      <c r="L2818" s="59">
        <f t="shared" si="30"/>
        <v>0</v>
      </c>
      <c r="M2818" s="59">
        <f t="shared" si="31"/>
        <v>0</v>
      </c>
    </row>
    <row r="2819" ht="15.0" hidden="1" customHeight="1">
      <c r="A2819" s="59">
        <f t="shared" si="20"/>
        <v>44</v>
      </c>
      <c r="B2819" s="59" t="str">
        <f t="shared" si="21"/>
        <v/>
      </c>
      <c r="C2819" s="59" t="str">
        <f t="shared" si="22"/>
        <v/>
      </c>
      <c r="D2819" s="45" t="str">
        <f t="shared" si="23"/>
        <v/>
      </c>
      <c r="E2819" s="45" t="str">
        <f t="shared" si="24"/>
        <v/>
      </c>
      <c r="F2819" s="59" t="str">
        <f t="shared" si="25"/>
        <v/>
      </c>
      <c r="G2819" s="59" t="str">
        <f t="shared" si="26"/>
        <v/>
      </c>
      <c r="H2819" s="59" t="str">
        <f t="shared" si="27"/>
        <v>28C01622</v>
      </c>
      <c r="I2819" s="59" t="str">
        <f>IF(OR($A2819="",$C2819="",$D2819="",$E2819="",$H2819=""),"",SUMIFS(DATA_GOC!$H:$H,DATA_GOC!$A:$A,"BOM",DATA_GOC!$D:$D,$H2819,DATA_GOC!$E:$E,$C2819,DATA_GOC!$F:$F,"Xuất nội bộ từ téc",DATA_GOC!$B:$B,"&gt;="&amp;$D2819,DATA_GOC!$B:$B,"&lt;="&amp;$E2819))</f>
        <v/>
      </c>
      <c r="J2819" s="59">
        <f t="shared" si="28"/>
        <v>0</v>
      </c>
      <c r="K2819" s="59">
        <f t="shared" si="29"/>
        <v>0</v>
      </c>
      <c r="L2819" s="59">
        <f t="shared" si="30"/>
        <v>0</v>
      </c>
      <c r="M2819" s="59">
        <f t="shared" si="31"/>
        <v>0</v>
      </c>
    </row>
    <row r="2820" ht="15.0" hidden="1" customHeight="1">
      <c r="A2820" s="59">
        <f t="shared" si="20"/>
        <v>44</v>
      </c>
      <c r="B2820" s="59" t="str">
        <f t="shared" si="21"/>
        <v/>
      </c>
      <c r="C2820" s="59" t="str">
        <f t="shared" si="22"/>
        <v/>
      </c>
      <c r="D2820" s="45" t="str">
        <f t="shared" si="23"/>
        <v/>
      </c>
      <c r="E2820" s="45" t="str">
        <f t="shared" si="24"/>
        <v/>
      </c>
      <c r="F2820" s="59" t="str">
        <f t="shared" si="25"/>
        <v/>
      </c>
      <c r="G2820" s="59" t="str">
        <f t="shared" si="26"/>
        <v/>
      </c>
      <c r="H2820" s="59" t="str">
        <f t="shared" si="27"/>
        <v>28C01647</v>
      </c>
      <c r="I2820" s="59" t="str">
        <f>IF(OR($A2820="",$C2820="",$D2820="",$E2820="",$H2820=""),"",SUMIFS(DATA_GOC!$H:$H,DATA_GOC!$A:$A,"BOM",DATA_GOC!$D:$D,$H2820,DATA_GOC!$E:$E,$C2820,DATA_GOC!$F:$F,"Xuất nội bộ từ téc",DATA_GOC!$B:$B,"&gt;="&amp;$D2820,DATA_GOC!$B:$B,"&lt;="&amp;$E2820))</f>
        <v/>
      </c>
      <c r="J2820" s="59">
        <f t="shared" si="28"/>
        <v>0</v>
      </c>
      <c r="K2820" s="59">
        <f t="shared" si="29"/>
        <v>0</v>
      </c>
      <c r="L2820" s="59">
        <f t="shared" si="30"/>
        <v>0</v>
      </c>
      <c r="M2820" s="59">
        <f t="shared" si="31"/>
        <v>0</v>
      </c>
    </row>
    <row r="2821" ht="15.0" hidden="1" customHeight="1">
      <c r="A2821" s="59">
        <f t="shared" si="20"/>
        <v>44</v>
      </c>
      <c r="B2821" s="59" t="str">
        <f t="shared" si="21"/>
        <v/>
      </c>
      <c r="C2821" s="59" t="str">
        <f t="shared" si="22"/>
        <v/>
      </c>
      <c r="D2821" s="45" t="str">
        <f t="shared" si="23"/>
        <v/>
      </c>
      <c r="E2821" s="45" t="str">
        <f t="shared" si="24"/>
        <v/>
      </c>
      <c r="F2821" s="59" t="str">
        <f t="shared" si="25"/>
        <v/>
      </c>
      <c r="G2821" s="59" t="str">
        <f t="shared" si="26"/>
        <v/>
      </c>
      <c r="H2821" s="59" t="str">
        <f t="shared" si="27"/>
        <v>28C01731</v>
      </c>
      <c r="I2821" s="59" t="str">
        <f>IF(OR($A2821="",$C2821="",$D2821="",$E2821="",$H2821=""),"",SUMIFS(DATA_GOC!$H:$H,DATA_GOC!$A:$A,"BOM",DATA_GOC!$D:$D,$H2821,DATA_GOC!$E:$E,$C2821,DATA_GOC!$F:$F,"Xuất nội bộ từ téc",DATA_GOC!$B:$B,"&gt;="&amp;$D2821,DATA_GOC!$B:$B,"&lt;="&amp;$E2821))</f>
        <v/>
      </c>
      <c r="J2821" s="59">
        <f t="shared" si="28"/>
        <v>0</v>
      </c>
      <c r="K2821" s="59">
        <f t="shared" si="29"/>
        <v>0</v>
      </c>
      <c r="L2821" s="59">
        <f t="shared" si="30"/>
        <v>0</v>
      </c>
      <c r="M2821" s="59">
        <f t="shared" si="31"/>
        <v>0</v>
      </c>
    </row>
    <row r="2822" ht="15.0" hidden="1" customHeight="1">
      <c r="A2822" s="59">
        <f t="shared" si="20"/>
        <v>44</v>
      </c>
      <c r="B2822" s="59" t="str">
        <f t="shared" si="21"/>
        <v/>
      </c>
      <c r="C2822" s="59" t="str">
        <f t="shared" si="22"/>
        <v/>
      </c>
      <c r="D2822" s="45" t="str">
        <f t="shared" si="23"/>
        <v/>
      </c>
      <c r="E2822" s="45" t="str">
        <f t="shared" si="24"/>
        <v/>
      </c>
      <c r="F2822" s="59" t="str">
        <f t="shared" si="25"/>
        <v/>
      </c>
      <c r="G2822" s="59" t="str">
        <f t="shared" si="26"/>
        <v/>
      </c>
      <c r="H2822" s="59" t="str">
        <f t="shared" si="27"/>
        <v>28C01743</v>
      </c>
      <c r="I2822" s="59" t="str">
        <f>IF(OR($A2822="",$C2822="",$D2822="",$E2822="",$H2822=""),"",SUMIFS(DATA_GOC!$H:$H,DATA_GOC!$A:$A,"BOM",DATA_GOC!$D:$D,$H2822,DATA_GOC!$E:$E,$C2822,DATA_GOC!$F:$F,"Xuất nội bộ từ téc",DATA_GOC!$B:$B,"&gt;="&amp;$D2822,DATA_GOC!$B:$B,"&lt;="&amp;$E2822))</f>
        <v/>
      </c>
      <c r="J2822" s="59">
        <f t="shared" si="28"/>
        <v>0</v>
      </c>
      <c r="K2822" s="59">
        <f t="shared" si="29"/>
        <v>0</v>
      </c>
      <c r="L2822" s="59">
        <f t="shared" si="30"/>
        <v>0</v>
      </c>
      <c r="M2822" s="59">
        <f t="shared" si="31"/>
        <v>0</v>
      </c>
    </row>
    <row r="2823" ht="15.0" hidden="1" customHeight="1">
      <c r="A2823" s="59">
        <f t="shared" si="20"/>
        <v>44</v>
      </c>
      <c r="B2823" s="59" t="str">
        <f t="shared" si="21"/>
        <v/>
      </c>
      <c r="C2823" s="59" t="str">
        <f t="shared" si="22"/>
        <v/>
      </c>
      <c r="D2823" s="45" t="str">
        <f t="shared" si="23"/>
        <v/>
      </c>
      <c r="E2823" s="45" t="str">
        <f t="shared" si="24"/>
        <v/>
      </c>
      <c r="F2823" s="59" t="str">
        <f t="shared" si="25"/>
        <v/>
      </c>
      <c r="G2823" s="59" t="str">
        <f t="shared" si="26"/>
        <v/>
      </c>
      <c r="H2823" s="59" t="str">
        <f t="shared" si="27"/>
        <v>28C02106</v>
      </c>
      <c r="I2823" s="59" t="str">
        <f>IF(OR($A2823="",$C2823="",$D2823="",$E2823="",$H2823=""),"",SUMIFS(DATA_GOC!$H:$H,DATA_GOC!$A:$A,"BOM",DATA_GOC!$D:$D,$H2823,DATA_GOC!$E:$E,$C2823,DATA_GOC!$F:$F,"Xuất nội bộ từ téc",DATA_GOC!$B:$B,"&gt;="&amp;$D2823,DATA_GOC!$B:$B,"&lt;="&amp;$E2823))</f>
        <v/>
      </c>
      <c r="J2823" s="59">
        <f t="shared" si="28"/>
        <v>0</v>
      </c>
      <c r="K2823" s="59">
        <f t="shared" si="29"/>
        <v>0</v>
      </c>
      <c r="L2823" s="59">
        <f t="shared" si="30"/>
        <v>0</v>
      </c>
      <c r="M2823" s="59">
        <f t="shared" si="31"/>
        <v>0</v>
      </c>
    </row>
    <row r="2824" ht="15.0" hidden="1" customHeight="1">
      <c r="A2824" s="59">
        <f t="shared" si="20"/>
        <v>44</v>
      </c>
      <c r="B2824" s="59" t="str">
        <f t="shared" si="21"/>
        <v/>
      </c>
      <c r="C2824" s="59" t="str">
        <f t="shared" si="22"/>
        <v/>
      </c>
      <c r="D2824" s="45" t="str">
        <f t="shared" si="23"/>
        <v/>
      </c>
      <c r="E2824" s="45" t="str">
        <f t="shared" si="24"/>
        <v/>
      </c>
      <c r="F2824" s="59" t="str">
        <f t="shared" si="25"/>
        <v/>
      </c>
      <c r="G2824" s="59" t="str">
        <f t="shared" si="26"/>
        <v/>
      </c>
      <c r="H2824" s="59" t="str">
        <f t="shared" si="27"/>
        <v>28C02410</v>
      </c>
      <c r="I2824" s="59" t="str">
        <f>IF(OR($A2824="",$C2824="",$D2824="",$E2824="",$H2824=""),"",SUMIFS(DATA_GOC!$H:$H,DATA_GOC!$A:$A,"BOM",DATA_GOC!$D:$D,$H2824,DATA_GOC!$E:$E,$C2824,DATA_GOC!$F:$F,"Xuất nội bộ từ téc",DATA_GOC!$B:$B,"&gt;="&amp;$D2824,DATA_GOC!$B:$B,"&lt;="&amp;$E2824))</f>
        <v/>
      </c>
      <c r="J2824" s="59">
        <f t="shared" si="28"/>
        <v>0</v>
      </c>
      <c r="K2824" s="59">
        <f t="shared" si="29"/>
        <v>0</v>
      </c>
      <c r="L2824" s="59">
        <f t="shared" si="30"/>
        <v>0</v>
      </c>
      <c r="M2824" s="59">
        <f t="shared" si="31"/>
        <v>0</v>
      </c>
    </row>
    <row r="2825" ht="15.0" hidden="1" customHeight="1">
      <c r="A2825" s="59">
        <f t="shared" si="20"/>
        <v>44</v>
      </c>
      <c r="B2825" s="59" t="str">
        <f t="shared" si="21"/>
        <v/>
      </c>
      <c r="C2825" s="59" t="str">
        <f t="shared" si="22"/>
        <v/>
      </c>
      <c r="D2825" s="45" t="str">
        <f t="shared" si="23"/>
        <v/>
      </c>
      <c r="E2825" s="45" t="str">
        <f t="shared" si="24"/>
        <v/>
      </c>
      <c r="F2825" s="59" t="str">
        <f t="shared" si="25"/>
        <v/>
      </c>
      <c r="G2825" s="59" t="str">
        <f t="shared" si="26"/>
        <v/>
      </c>
      <c r="H2825" s="59" t="str">
        <f t="shared" si="27"/>
        <v>28C02545</v>
      </c>
      <c r="I2825" s="59" t="str">
        <f>IF(OR($A2825="",$C2825="",$D2825="",$E2825="",$H2825=""),"",SUMIFS(DATA_GOC!$H:$H,DATA_GOC!$A:$A,"BOM",DATA_GOC!$D:$D,$H2825,DATA_GOC!$E:$E,$C2825,DATA_GOC!$F:$F,"Xuất nội bộ từ téc",DATA_GOC!$B:$B,"&gt;="&amp;$D2825,DATA_GOC!$B:$B,"&lt;="&amp;$E2825))</f>
        <v/>
      </c>
      <c r="J2825" s="59">
        <f t="shared" si="28"/>
        <v>0</v>
      </c>
      <c r="K2825" s="59">
        <f t="shared" si="29"/>
        <v>0</v>
      </c>
      <c r="L2825" s="59">
        <f t="shared" si="30"/>
        <v>0</v>
      </c>
      <c r="M2825" s="59">
        <f t="shared" si="31"/>
        <v>0</v>
      </c>
    </row>
    <row r="2826" ht="15.0" hidden="1" customHeight="1">
      <c r="A2826" s="59">
        <f t="shared" si="20"/>
        <v>44</v>
      </c>
      <c r="B2826" s="59" t="str">
        <f t="shared" si="21"/>
        <v/>
      </c>
      <c r="C2826" s="59" t="str">
        <f t="shared" si="22"/>
        <v/>
      </c>
      <c r="D2826" s="45" t="str">
        <f t="shared" si="23"/>
        <v/>
      </c>
      <c r="E2826" s="45" t="str">
        <f t="shared" si="24"/>
        <v/>
      </c>
      <c r="F2826" s="59" t="str">
        <f t="shared" si="25"/>
        <v/>
      </c>
      <c r="G2826" s="59" t="str">
        <f t="shared" si="26"/>
        <v/>
      </c>
      <c r="H2826" s="59" t="str">
        <f t="shared" si="27"/>
        <v>28C02574</v>
      </c>
      <c r="I2826" s="59" t="str">
        <f>IF(OR($A2826="",$C2826="",$D2826="",$E2826="",$H2826=""),"",SUMIFS(DATA_GOC!$H:$H,DATA_GOC!$A:$A,"BOM",DATA_GOC!$D:$D,$H2826,DATA_GOC!$E:$E,$C2826,DATA_GOC!$F:$F,"Xuất nội bộ từ téc",DATA_GOC!$B:$B,"&gt;="&amp;$D2826,DATA_GOC!$B:$B,"&lt;="&amp;$E2826))</f>
        <v/>
      </c>
      <c r="J2826" s="59">
        <f t="shared" si="28"/>
        <v>0</v>
      </c>
      <c r="K2826" s="59">
        <f t="shared" si="29"/>
        <v>0</v>
      </c>
      <c r="L2826" s="59">
        <f t="shared" si="30"/>
        <v>0</v>
      </c>
      <c r="M2826" s="59">
        <f t="shared" si="31"/>
        <v>0</v>
      </c>
    </row>
    <row r="2827" ht="15.0" hidden="1" customHeight="1">
      <c r="A2827" s="59">
        <f t="shared" si="20"/>
        <v>44</v>
      </c>
      <c r="B2827" s="59" t="str">
        <f t="shared" si="21"/>
        <v/>
      </c>
      <c r="C2827" s="59" t="str">
        <f t="shared" si="22"/>
        <v/>
      </c>
      <c r="D2827" s="45" t="str">
        <f t="shared" si="23"/>
        <v/>
      </c>
      <c r="E2827" s="45" t="str">
        <f t="shared" si="24"/>
        <v/>
      </c>
      <c r="F2827" s="59" t="str">
        <f t="shared" si="25"/>
        <v/>
      </c>
      <c r="G2827" s="59" t="str">
        <f t="shared" si="26"/>
        <v/>
      </c>
      <c r="H2827" s="59" t="str">
        <f t="shared" si="27"/>
        <v>28C02770</v>
      </c>
      <c r="I2827" s="59" t="str">
        <f>IF(OR($A2827="",$C2827="",$D2827="",$E2827="",$H2827=""),"",SUMIFS(DATA_GOC!$H:$H,DATA_GOC!$A:$A,"BOM",DATA_GOC!$D:$D,$H2827,DATA_GOC!$E:$E,$C2827,DATA_GOC!$F:$F,"Xuất nội bộ từ téc",DATA_GOC!$B:$B,"&gt;="&amp;$D2827,DATA_GOC!$B:$B,"&lt;="&amp;$E2827))</f>
        <v/>
      </c>
      <c r="J2827" s="59">
        <f t="shared" si="28"/>
        <v>0</v>
      </c>
      <c r="K2827" s="59">
        <f t="shared" si="29"/>
        <v>0</v>
      </c>
      <c r="L2827" s="59">
        <f t="shared" si="30"/>
        <v>0</v>
      </c>
      <c r="M2827" s="59">
        <f t="shared" si="31"/>
        <v>0</v>
      </c>
    </row>
    <row r="2828" ht="15.0" hidden="1" customHeight="1">
      <c r="A2828" s="59">
        <f t="shared" si="20"/>
        <v>44</v>
      </c>
      <c r="B2828" s="59" t="str">
        <f t="shared" si="21"/>
        <v/>
      </c>
      <c r="C2828" s="59" t="str">
        <f t="shared" si="22"/>
        <v/>
      </c>
      <c r="D2828" s="45" t="str">
        <f t="shared" si="23"/>
        <v/>
      </c>
      <c r="E2828" s="45" t="str">
        <f t="shared" si="24"/>
        <v/>
      </c>
      <c r="F2828" s="59" t="str">
        <f t="shared" si="25"/>
        <v/>
      </c>
      <c r="G2828" s="59" t="str">
        <f t="shared" si="26"/>
        <v/>
      </c>
      <c r="H2828" s="59" t="str">
        <f t="shared" si="27"/>
        <v>28C02986</v>
      </c>
      <c r="I2828" s="59" t="str">
        <f>IF(OR($A2828="",$C2828="",$D2828="",$E2828="",$H2828=""),"",SUMIFS(DATA_GOC!$H:$H,DATA_GOC!$A:$A,"BOM",DATA_GOC!$D:$D,$H2828,DATA_GOC!$E:$E,$C2828,DATA_GOC!$F:$F,"Xuất nội bộ từ téc",DATA_GOC!$B:$B,"&gt;="&amp;$D2828,DATA_GOC!$B:$B,"&lt;="&amp;$E2828))</f>
        <v/>
      </c>
      <c r="J2828" s="59">
        <f t="shared" si="28"/>
        <v>0</v>
      </c>
      <c r="K2828" s="59">
        <f t="shared" si="29"/>
        <v>0</v>
      </c>
      <c r="L2828" s="59">
        <f t="shared" si="30"/>
        <v>0</v>
      </c>
      <c r="M2828" s="59">
        <f t="shared" si="31"/>
        <v>0</v>
      </c>
    </row>
    <row r="2829" ht="15.0" hidden="1" customHeight="1">
      <c r="A2829" s="59">
        <f t="shared" si="20"/>
        <v>44</v>
      </c>
      <c r="B2829" s="59" t="str">
        <f t="shared" si="21"/>
        <v/>
      </c>
      <c r="C2829" s="59" t="str">
        <f t="shared" si="22"/>
        <v/>
      </c>
      <c r="D2829" s="45" t="str">
        <f t="shared" si="23"/>
        <v/>
      </c>
      <c r="E2829" s="45" t="str">
        <f t="shared" si="24"/>
        <v/>
      </c>
      <c r="F2829" s="59" t="str">
        <f t="shared" si="25"/>
        <v/>
      </c>
      <c r="G2829" s="59" t="str">
        <f t="shared" si="26"/>
        <v/>
      </c>
      <c r="H2829" s="59" t="str">
        <f t="shared" si="27"/>
        <v>28C03261</v>
      </c>
      <c r="I2829" s="59" t="str">
        <f>IF(OR($A2829="",$C2829="",$D2829="",$E2829="",$H2829=""),"",SUMIFS(DATA_GOC!$H:$H,DATA_GOC!$A:$A,"BOM",DATA_GOC!$D:$D,$H2829,DATA_GOC!$E:$E,$C2829,DATA_GOC!$F:$F,"Xuất nội bộ từ téc",DATA_GOC!$B:$B,"&gt;="&amp;$D2829,DATA_GOC!$B:$B,"&lt;="&amp;$E2829))</f>
        <v/>
      </c>
      <c r="J2829" s="59">
        <f t="shared" si="28"/>
        <v>0</v>
      </c>
      <c r="K2829" s="59">
        <f t="shared" si="29"/>
        <v>0</v>
      </c>
      <c r="L2829" s="59">
        <f t="shared" si="30"/>
        <v>0</v>
      </c>
      <c r="M2829" s="59">
        <f t="shared" si="31"/>
        <v>0</v>
      </c>
    </row>
    <row r="2830" ht="15.0" hidden="1" customHeight="1">
      <c r="A2830" s="59">
        <f t="shared" si="20"/>
        <v>44</v>
      </c>
      <c r="B2830" s="59" t="str">
        <f t="shared" si="21"/>
        <v/>
      </c>
      <c r="C2830" s="59" t="str">
        <f t="shared" si="22"/>
        <v/>
      </c>
      <c r="D2830" s="45" t="str">
        <f t="shared" si="23"/>
        <v/>
      </c>
      <c r="E2830" s="45" t="str">
        <f t="shared" si="24"/>
        <v/>
      </c>
      <c r="F2830" s="59" t="str">
        <f t="shared" si="25"/>
        <v/>
      </c>
      <c r="G2830" s="59" t="str">
        <f t="shared" si="26"/>
        <v/>
      </c>
      <c r="H2830" s="59" t="str">
        <f t="shared" si="27"/>
        <v>28C03323</v>
      </c>
      <c r="I2830" s="59" t="str">
        <f>IF(OR($A2830="",$C2830="",$D2830="",$E2830="",$H2830=""),"",SUMIFS(DATA_GOC!$H:$H,DATA_GOC!$A:$A,"BOM",DATA_GOC!$D:$D,$H2830,DATA_GOC!$E:$E,$C2830,DATA_GOC!$F:$F,"Xuất nội bộ từ téc",DATA_GOC!$B:$B,"&gt;="&amp;$D2830,DATA_GOC!$B:$B,"&lt;="&amp;$E2830))</f>
        <v/>
      </c>
      <c r="J2830" s="59">
        <f t="shared" si="28"/>
        <v>0</v>
      </c>
      <c r="K2830" s="59">
        <f t="shared" si="29"/>
        <v>0</v>
      </c>
      <c r="L2830" s="59">
        <f t="shared" si="30"/>
        <v>0</v>
      </c>
      <c r="M2830" s="59">
        <f t="shared" si="31"/>
        <v>0</v>
      </c>
    </row>
    <row r="2831" ht="15.0" hidden="1" customHeight="1">
      <c r="A2831" s="59">
        <f t="shared" si="20"/>
        <v>44</v>
      </c>
      <c r="B2831" s="59" t="str">
        <f t="shared" si="21"/>
        <v/>
      </c>
      <c r="C2831" s="59" t="str">
        <f t="shared" si="22"/>
        <v/>
      </c>
      <c r="D2831" s="45" t="str">
        <f t="shared" si="23"/>
        <v/>
      </c>
      <c r="E2831" s="45" t="str">
        <f t="shared" si="24"/>
        <v/>
      </c>
      <c r="F2831" s="59" t="str">
        <f t="shared" si="25"/>
        <v/>
      </c>
      <c r="G2831" s="59" t="str">
        <f t="shared" si="26"/>
        <v/>
      </c>
      <c r="H2831" s="59" t="str">
        <f t="shared" si="27"/>
        <v>28C03385</v>
      </c>
      <c r="I2831" s="59" t="str">
        <f>IF(OR($A2831="",$C2831="",$D2831="",$E2831="",$H2831=""),"",SUMIFS(DATA_GOC!$H:$H,DATA_GOC!$A:$A,"BOM",DATA_GOC!$D:$D,$H2831,DATA_GOC!$E:$E,$C2831,DATA_GOC!$F:$F,"Xuất nội bộ từ téc",DATA_GOC!$B:$B,"&gt;="&amp;$D2831,DATA_GOC!$B:$B,"&lt;="&amp;$E2831))</f>
        <v/>
      </c>
      <c r="J2831" s="59">
        <f t="shared" si="28"/>
        <v>0</v>
      </c>
      <c r="K2831" s="59">
        <f t="shared" si="29"/>
        <v>0</v>
      </c>
      <c r="L2831" s="59">
        <f t="shared" si="30"/>
        <v>0</v>
      </c>
      <c r="M2831" s="59">
        <f t="shared" si="31"/>
        <v>0</v>
      </c>
    </row>
    <row r="2832" ht="15.0" hidden="1" customHeight="1">
      <c r="A2832" s="59">
        <f t="shared" si="20"/>
        <v>44</v>
      </c>
      <c r="B2832" s="59" t="str">
        <f t="shared" si="21"/>
        <v/>
      </c>
      <c r="C2832" s="59" t="str">
        <f t="shared" si="22"/>
        <v/>
      </c>
      <c r="D2832" s="45" t="str">
        <f t="shared" si="23"/>
        <v/>
      </c>
      <c r="E2832" s="45" t="str">
        <f t="shared" si="24"/>
        <v/>
      </c>
      <c r="F2832" s="59" t="str">
        <f t="shared" si="25"/>
        <v/>
      </c>
      <c r="G2832" s="59" t="str">
        <f t="shared" si="26"/>
        <v/>
      </c>
      <c r="H2832" s="59" t="str">
        <f t="shared" si="27"/>
        <v>28C03652</v>
      </c>
      <c r="I2832" s="59" t="str">
        <f>IF(OR($A2832="",$C2832="",$D2832="",$E2832="",$H2832=""),"",SUMIFS(DATA_GOC!$H:$H,DATA_GOC!$A:$A,"BOM",DATA_GOC!$D:$D,$H2832,DATA_GOC!$E:$E,$C2832,DATA_GOC!$F:$F,"Xuất nội bộ từ téc",DATA_GOC!$B:$B,"&gt;="&amp;$D2832,DATA_GOC!$B:$B,"&lt;="&amp;$E2832))</f>
        <v/>
      </c>
      <c r="J2832" s="59">
        <f t="shared" si="28"/>
        <v>0</v>
      </c>
      <c r="K2832" s="59">
        <f t="shared" si="29"/>
        <v>0</v>
      </c>
      <c r="L2832" s="59">
        <f t="shared" si="30"/>
        <v>0</v>
      </c>
      <c r="M2832" s="59">
        <f t="shared" si="31"/>
        <v>0</v>
      </c>
    </row>
    <row r="2833" ht="15.0" hidden="1" customHeight="1">
      <c r="A2833" s="59">
        <f t="shared" si="20"/>
        <v>44</v>
      </c>
      <c r="B2833" s="59" t="str">
        <f t="shared" si="21"/>
        <v/>
      </c>
      <c r="C2833" s="59" t="str">
        <f t="shared" si="22"/>
        <v/>
      </c>
      <c r="D2833" s="45" t="str">
        <f t="shared" si="23"/>
        <v/>
      </c>
      <c r="E2833" s="45" t="str">
        <f t="shared" si="24"/>
        <v/>
      </c>
      <c r="F2833" s="59" t="str">
        <f t="shared" si="25"/>
        <v/>
      </c>
      <c r="G2833" s="59" t="str">
        <f t="shared" si="26"/>
        <v/>
      </c>
      <c r="H2833" s="59" t="str">
        <f t="shared" si="27"/>
        <v>28C03695</v>
      </c>
      <c r="I2833" s="59" t="str">
        <f>IF(OR($A2833="",$C2833="",$D2833="",$E2833="",$H2833=""),"",SUMIFS(DATA_GOC!$H:$H,DATA_GOC!$A:$A,"BOM",DATA_GOC!$D:$D,$H2833,DATA_GOC!$E:$E,$C2833,DATA_GOC!$F:$F,"Xuất nội bộ từ téc",DATA_GOC!$B:$B,"&gt;="&amp;$D2833,DATA_GOC!$B:$B,"&lt;="&amp;$E2833))</f>
        <v/>
      </c>
      <c r="J2833" s="59">
        <f t="shared" si="28"/>
        <v>0</v>
      </c>
      <c r="K2833" s="59">
        <f t="shared" si="29"/>
        <v>0</v>
      </c>
      <c r="L2833" s="59">
        <f t="shared" si="30"/>
        <v>0</v>
      </c>
      <c r="M2833" s="59">
        <f t="shared" si="31"/>
        <v>0</v>
      </c>
    </row>
    <row r="2834" ht="15.0" hidden="1" customHeight="1">
      <c r="A2834" s="59">
        <f t="shared" si="20"/>
        <v>44</v>
      </c>
      <c r="B2834" s="59" t="str">
        <f t="shared" si="21"/>
        <v/>
      </c>
      <c r="C2834" s="59" t="str">
        <f t="shared" si="22"/>
        <v/>
      </c>
      <c r="D2834" s="45" t="str">
        <f t="shared" si="23"/>
        <v/>
      </c>
      <c r="E2834" s="45" t="str">
        <f t="shared" si="24"/>
        <v/>
      </c>
      <c r="F2834" s="59" t="str">
        <f t="shared" si="25"/>
        <v/>
      </c>
      <c r="G2834" s="59" t="str">
        <f t="shared" si="26"/>
        <v/>
      </c>
      <c r="H2834" s="59" t="str">
        <f t="shared" si="27"/>
        <v>28C03927</v>
      </c>
      <c r="I2834" s="59" t="str">
        <f>IF(OR($A2834="",$C2834="",$D2834="",$E2834="",$H2834=""),"",SUMIFS(DATA_GOC!$H:$H,DATA_GOC!$A:$A,"BOM",DATA_GOC!$D:$D,$H2834,DATA_GOC!$E:$E,$C2834,DATA_GOC!$F:$F,"Xuất nội bộ từ téc",DATA_GOC!$B:$B,"&gt;="&amp;$D2834,DATA_GOC!$B:$B,"&lt;="&amp;$E2834))</f>
        <v/>
      </c>
      <c r="J2834" s="59">
        <f t="shared" si="28"/>
        <v>0</v>
      </c>
      <c r="K2834" s="59">
        <f t="shared" si="29"/>
        <v>0</v>
      </c>
      <c r="L2834" s="59">
        <f t="shared" si="30"/>
        <v>0</v>
      </c>
      <c r="M2834" s="59">
        <f t="shared" si="31"/>
        <v>0</v>
      </c>
    </row>
    <row r="2835" ht="15.0" hidden="1" customHeight="1">
      <c r="A2835" s="59">
        <f t="shared" si="20"/>
        <v>44</v>
      </c>
      <c r="B2835" s="59" t="str">
        <f t="shared" si="21"/>
        <v/>
      </c>
      <c r="C2835" s="59" t="str">
        <f t="shared" si="22"/>
        <v/>
      </c>
      <c r="D2835" s="45" t="str">
        <f t="shared" si="23"/>
        <v/>
      </c>
      <c r="E2835" s="45" t="str">
        <f t="shared" si="24"/>
        <v/>
      </c>
      <c r="F2835" s="59" t="str">
        <f t="shared" si="25"/>
        <v/>
      </c>
      <c r="G2835" s="59" t="str">
        <f t="shared" si="26"/>
        <v/>
      </c>
      <c r="H2835" s="59" t="str">
        <f t="shared" si="27"/>
        <v>28C04509</v>
      </c>
      <c r="I2835" s="59" t="str">
        <f>IF(OR($A2835="",$C2835="",$D2835="",$E2835="",$H2835=""),"",SUMIFS(DATA_GOC!$H:$H,DATA_GOC!$A:$A,"BOM",DATA_GOC!$D:$D,$H2835,DATA_GOC!$E:$E,$C2835,DATA_GOC!$F:$F,"Xuất nội bộ từ téc",DATA_GOC!$B:$B,"&gt;="&amp;$D2835,DATA_GOC!$B:$B,"&lt;="&amp;$E2835))</f>
        <v/>
      </c>
      <c r="J2835" s="59">
        <f t="shared" si="28"/>
        <v>0</v>
      </c>
      <c r="K2835" s="59">
        <f t="shared" si="29"/>
        <v>0</v>
      </c>
      <c r="L2835" s="59">
        <f t="shared" si="30"/>
        <v>0</v>
      </c>
      <c r="M2835" s="59">
        <f t="shared" si="31"/>
        <v>0</v>
      </c>
    </row>
    <row r="2836" ht="15.0" hidden="1" customHeight="1">
      <c r="A2836" s="59">
        <f t="shared" si="20"/>
        <v>44</v>
      </c>
      <c r="B2836" s="59" t="str">
        <f t="shared" si="21"/>
        <v/>
      </c>
      <c r="C2836" s="59" t="str">
        <f t="shared" si="22"/>
        <v/>
      </c>
      <c r="D2836" s="45" t="str">
        <f t="shared" si="23"/>
        <v/>
      </c>
      <c r="E2836" s="45" t="str">
        <f t="shared" si="24"/>
        <v/>
      </c>
      <c r="F2836" s="59" t="str">
        <f t="shared" si="25"/>
        <v/>
      </c>
      <c r="G2836" s="59" t="str">
        <f t="shared" si="26"/>
        <v/>
      </c>
      <c r="H2836" s="59" t="str">
        <f t="shared" si="27"/>
        <v>28C04536</v>
      </c>
      <c r="I2836" s="59" t="str">
        <f>IF(OR($A2836="",$C2836="",$D2836="",$E2836="",$H2836=""),"",SUMIFS(DATA_GOC!$H:$H,DATA_GOC!$A:$A,"BOM",DATA_GOC!$D:$D,$H2836,DATA_GOC!$E:$E,$C2836,DATA_GOC!$F:$F,"Xuất nội bộ từ téc",DATA_GOC!$B:$B,"&gt;="&amp;$D2836,DATA_GOC!$B:$B,"&lt;="&amp;$E2836))</f>
        <v/>
      </c>
      <c r="J2836" s="59">
        <f t="shared" si="28"/>
        <v>0</v>
      </c>
      <c r="K2836" s="59">
        <f t="shared" si="29"/>
        <v>0</v>
      </c>
      <c r="L2836" s="59">
        <f t="shared" si="30"/>
        <v>0</v>
      </c>
      <c r="M2836" s="59">
        <f t="shared" si="31"/>
        <v>0</v>
      </c>
    </row>
    <row r="2837" ht="15.0" hidden="1" customHeight="1">
      <c r="A2837" s="59">
        <f t="shared" si="20"/>
        <v>44</v>
      </c>
      <c r="B2837" s="59" t="str">
        <f t="shared" si="21"/>
        <v/>
      </c>
      <c r="C2837" s="59" t="str">
        <f t="shared" si="22"/>
        <v/>
      </c>
      <c r="D2837" s="45" t="str">
        <f t="shared" si="23"/>
        <v/>
      </c>
      <c r="E2837" s="45" t="str">
        <f t="shared" si="24"/>
        <v/>
      </c>
      <c r="F2837" s="59" t="str">
        <f t="shared" si="25"/>
        <v/>
      </c>
      <c r="G2837" s="59" t="str">
        <f t="shared" si="26"/>
        <v/>
      </c>
      <c r="H2837" s="59" t="str">
        <f t="shared" si="27"/>
        <v>28C04576</v>
      </c>
      <c r="I2837" s="59" t="str">
        <f>IF(OR($A2837="",$C2837="",$D2837="",$E2837="",$H2837=""),"",SUMIFS(DATA_GOC!$H:$H,DATA_GOC!$A:$A,"BOM",DATA_GOC!$D:$D,$H2837,DATA_GOC!$E:$E,$C2837,DATA_GOC!$F:$F,"Xuất nội bộ từ téc",DATA_GOC!$B:$B,"&gt;="&amp;$D2837,DATA_GOC!$B:$B,"&lt;="&amp;$E2837))</f>
        <v/>
      </c>
      <c r="J2837" s="59">
        <f t="shared" si="28"/>
        <v>0</v>
      </c>
      <c r="K2837" s="59">
        <f t="shared" si="29"/>
        <v>0</v>
      </c>
      <c r="L2837" s="59">
        <f t="shared" si="30"/>
        <v>0</v>
      </c>
      <c r="M2837" s="59">
        <f t="shared" si="31"/>
        <v>0</v>
      </c>
    </row>
    <row r="2838" ht="15.0" hidden="1" customHeight="1">
      <c r="A2838" s="59">
        <f t="shared" si="20"/>
        <v>44</v>
      </c>
      <c r="B2838" s="59" t="str">
        <f t="shared" si="21"/>
        <v/>
      </c>
      <c r="C2838" s="59" t="str">
        <f t="shared" si="22"/>
        <v/>
      </c>
      <c r="D2838" s="45" t="str">
        <f t="shared" si="23"/>
        <v/>
      </c>
      <c r="E2838" s="45" t="str">
        <f t="shared" si="24"/>
        <v/>
      </c>
      <c r="F2838" s="59" t="str">
        <f t="shared" si="25"/>
        <v/>
      </c>
      <c r="G2838" s="59" t="str">
        <f t="shared" si="26"/>
        <v/>
      </c>
      <c r="H2838" s="59" t="str">
        <f t="shared" si="27"/>
        <v>28C05090</v>
      </c>
      <c r="I2838" s="59" t="str">
        <f>IF(OR($A2838="",$C2838="",$D2838="",$E2838="",$H2838=""),"",SUMIFS(DATA_GOC!$H:$H,DATA_GOC!$A:$A,"BOM",DATA_GOC!$D:$D,$H2838,DATA_GOC!$E:$E,$C2838,DATA_GOC!$F:$F,"Xuất nội bộ từ téc",DATA_GOC!$B:$B,"&gt;="&amp;$D2838,DATA_GOC!$B:$B,"&lt;="&amp;$E2838))</f>
        <v/>
      </c>
      <c r="J2838" s="59">
        <f t="shared" si="28"/>
        <v>0</v>
      </c>
      <c r="K2838" s="59">
        <f t="shared" si="29"/>
        <v>0</v>
      </c>
      <c r="L2838" s="59">
        <f t="shared" si="30"/>
        <v>0</v>
      </c>
      <c r="M2838" s="59">
        <f t="shared" si="31"/>
        <v>0</v>
      </c>
    </row>
    <row r="2839" ht="15.0" hidden="1" customHeight="1">
      <c r="A2839" s="59">
        <f t="shared" si="20"/>
        <v>44</v>
      </c>
      <c r="B2839" s="59" t="str">
        <f t="shared" si="21"/>
        <v/>
      </c>
      <c r="C2839" s="59" t="str">
        <f t="shared" si="22"/>
        <v/>
      </c>
      <c r="D2839" s="45" t="str">
        <f t="shared" si="23"/>
        <v/>
      </c>
      <c r="E2839" s="45" t="str">
        <f t="shared" si="24"/>
        <v/>
      </c>
      <c r="F2839" s="59" t="str">
        <f t="shared" si="25"/>
        <v/>
      </c>
      <c r="G2839" s="59" t="str">
        <f t="shared" si="26"/>
        <v/>
      </c>
      <c r="H2839" s="59" t="str">
        <f t="shared" si="27"/>
        <v>28C05345</v>
      </c>
      <c r="I2839" s="59" t="str">
        <f>IF(OR($A2839="",$C2839="",$D2839="",$E2839="",$H2839=""),"",SUMIFS(DATA_GOC!$H:$H,DATA_GOC!$A:$A,"BOM",DATA_GOC!$D:$D,$H2839,DATA_GOC!$E:$E,$C2839,DATA_GOC!$F:$F,"Xuất nội bộ từ téc",DATA_GOC!$B:$B,"&gt;="&amp;$D2839,DATA_GOC!$B:$B,"&lt;="&amp;$E2839))</f>
        <v/>
      </c>
      <c r="J2839" s="59">
        <f t="shared" si="28"/>
        <v>0</v>
      </c>
      <c r="K2839" s="59">
        <f t="shared" si="29"/>
        <v>0</v>
      </c>
      <c r="L2839" s="59">
        <f t="shared" si="30"/>
        <v>0</v>
      </c>
      <c r="M2839" s="59">
        <f t="shared" si="31"/>
        <v>0</v>
      </c>
    </row>
    <row r="2840" ht="15.0" hidden="1" customHeight="1">
      <c r="A2840" s="59">
        <f t="shared" si="20"/>
        <v>44</v>
      </c>
      <c r="B2840" s="59" t="str">
        <f t="shared" si="21"/>
        <v/>
      </c>
      <c r="C2840" s="59" t="str">
        <f t="shared" si="22"/>
        <v/>
      </c>
      <c r="D2840" s="45" t="str">
        <f t="shared" si="23"/>
        <v/>
      </c>
      <c r="E2840" s="45" t="str">
        <f t="shared" si="24"/>
        <v/>
      </c>
      <c r="F2840" s="59" t="str">
        <f t="shared" si="25"/>
        <v/>
      </c>
      <c r="G2840" s="59" t="str">
        <f t="shared" si="26"/>
        <v/>
      </c>
      <c r="H2840" s="59" t="str">
        <f t="shared" si="27"/>
        <v>28C05661</v>
      </c>
      <c r="I2840" s="59" t="str">
        <f>IF(OR($A2840="",$C2840="",$D2840="",$E2840="",$H2840=""),"",SUMIFS(DATA_GOC!$H:$H,DATA_GOC!$A:$A,"BOM",DATA_GOC!$D:$D,$H2840,DATA_GOC!$E:$E,$C2840,DATA_GOC!$F:$F,"Xuất nội bộ từ téc",DATA_GOC!$B:$B,"&gt;="&amp;$D2840,DATA_GOC!$B:$B,"&lt;="&amp;$E2840))</f>
        <v/>
      </c>
      <c r="J2840" s="59">
        <f t="shared" si="28"/>
        <v>0</v>
      </c>
      <c r="K2840" s="59">
        <f t="shared" si="29"/>
        <v>0</v>
      </c>
      <c r="L2840" s="59">
        <f t="shared" si="30"/>
        <v>0</v>
      </c>
      <c r="M2840" s="59">
        <f t="shared" si="31"/>
        <v>0</v>
      </c>
    </row>
    <row r="2841" ht="15.0" hidden="1" customHeight="1">
      <c r="A2841" s="59">
        <f t="shared" si="20"/>
        <v>44</v>
      </c>
      <c r="B2841" s="59" t="str">
        <f t="shared" si="21"/>
        <v/>
      </c>
      <c r="C2841" s="59" t="str">
        <f t="shared" si="22"/>
        <v/>
      </c>
      <c r="D2841" s="45" t="str">
        <f t="shared" si="23"/>
        <v/>
      </c>
      <c r="E2841" s="45" t="str">
        <f t="shared" si="24"/>
        <v/>
      </c>
      <c r="F2841" s="59" t="str">
        <f t="shared" si="25"/>
        <v/>
      </c>
      <c r="G2841" s="59" t="str">
        <f t="shared" si="26"/>
        <v/>
      </c>
      <c r="H2841" s="59" t="str">
        <f t="shared" si="27"/>
        <v>28C05739</v>
      </c>
      <c r="I2841" s="59" t="str">
        <f>IF(OR($A2841="",$C2841="",$D2841="",$E2841="",$H2841=""),"",SUMIFS(DATA_GOC!$H:$H,DATA_GOC!$A:$A,"BOM",DATA_GOC!$D:$D,$H2841,DATA_GOC!$E:$E,$C2841,DATA_GOC!$F:$F,"Xuất nội bộ từ téc",DATA_GOC!$B:$B,"&gt;="&amp;$D2841,DATA_GOC!$B:$B,"&lt;="&amp;$E2841))</f>
        <v/>
      </c>
      <c r="J2841" s="59">
        <f t="shared" si="28"/>
        <v>0</v>
      </c>
      <c r="K2841" s="59">
        <f t="shared" si="29"/>
        <v>0</v>
      </c>
      <c r="L2841" s="59">
        <f t="shared" si="30"/>
        <v>0</v>
      </c>
      <c r="M2841" s="59">
        <f t="shared" si="31"/>
        <v>0</v>
      </c>
    </row>
    <row r="2842" ht="15.0" hidden="1" customHeight="1">
      <c r="A2842" s="59">
        <f t="shared" si="20"/>
        <v>44</v>
      </c>
      <c r="B2842" s="59" t="str">
        <f t="shared" si="21"/>
        <v/>
      </c>
      <c r="C2842" s="59" t="str">
        <f t="shared" si="22"/>
        <v/>
      </c>
      <c r="D2842" s="45" t="str">
        <f t="shared" si="23"/>
        <v/>
      </c>
      <c r="E2842" s="45" t="str">
        <f t="shared" si="24"/>
        <v/>
      </c>
      <c r="F2842" s="59" t="str">
        <f t="shared" si="25"/>
        <v/>
      </c>
      <c r="G2842" s="59" t="str">
        <f t="shared" si="26"/>
        <v/>
      </c>
      <c r="H2842" s="59" t="str">
        <f t="shared" si="27"/>
        <v>28C06369</v>
      </c>
      <c r="I2842" s="59" t="str">
        <f>IF(OR($A2842="",$C2842="",$D2842="",$E2842="",$H2842=""),"",SUMIFS(DATA_GOC!$H:$H,DATA_GOC!$A:$A,"BOM",DATA_GOC!$D:$D,$H2842,DATA_GOC!$E:$E,$C2842,DATA_GOC!$F:$F,"Xuất nội bộ từ téc",DATA_GOC!$B:$B,"&gt;="&amp;$D2842,DATA_GOC!$B:$B,"&lt;="&amp;$E2842))</f>
        <v/>
      </c>
      <c r="J2842" s="59">
        <f t="shared" si="28"/>
        <v>0</v>
      </c>
      <c r="K2842" s="59">
        <f t="shared" si="29"/>
        <v>0</v>
      </c>
      <c r="L2842" s="59">
        <f t="shared" si="30"/>
        <v>0</v>
      </c>
      <c r="M2842" s="59">
        <f t="shared" si="31"/>
        <v>0</v>
      </c>
    </row>
    <row r="2843" ht="15.0" hidden="1" customHeight="1">
      <c r="A2843" s="59">
        <f t="shared" si="20"/>
        <v>44</v>
      </c>
      <c r="B2843" s="59" t="str">
        <f t="shared" si="21"/>
        <v/>
      </c>
      <c r="C2843" s="59" t="str">
        <f t="shared" si="22"/>
        <v/>
      </c>
      <c r="D2843" s="45" t="str">
        <f t="shared" si="23"/>
        <v/>
      </c>
      <c r="E2843" s="45" t="str">
        <f t="shared" si="24"/>
        <v/>
      </c>
      <c r="F2843" s="59" t="str">
        <f t="shared" si="25"/>
        <v/>
      </c>
      <c r="G2843" s="59" t="str">
        <f t="shared" si="26"/>
        <v/>
      </c>
      <c r="H2843" s="59" t="str">
        <f t="shared" si="27"/>
        <v>28C06447</v>
      </c>
      <c r="I2843" s="59" t="str">
        <f>IF(OR($A2843="",$C2843="",$D2843="",$E2843="",$H2843=""),"",SUMIFS(DATA_GOC!$H:$H,DATA_GOC!$A:$A,"BOM",DATA_GOC!$D:$D,$H2843,DATA_GOC!$E:$E,$C2843,DATA_GOC!$F:$F,"Xuất nội bộ từ téc",DATA_GOC!$B:$B,"&gt;="&amp;$D2843,DATA_GOC!$B:$B,"&lt;="&amp;$E2843))</f>
        <v/>
      </c>
      <c r="J2843" s="59">
        <f t="shared" si="28"/>
        <v>0</v>
      </c>
      <c r="K2843" s="59">
        <f t="shared" si="29"/>
        <v>0</v>
      </c>
      <c r="L2843" s="59">
        <f t="shared" si="30"/>
        <v>0</v>
      </c>
      <c r="M2843" s="59">
        <f t="shared" si="31"/>
        <v>0</v>
      </c>
    </row>
    <row r="2844" ht="15.0" hidden="1" customHeight="1">
      <c r="A2844" s="59">
        <f t="shared" si="20"/>
        <v>44</v>
      </c>
      <c r="B2844" s="59" t="str">
        <f t="shared" si="21"/>
        <v/>
      </c>
      <c r="C2844" s="59" t="str">
        <f t="shared" si="22"/>
        <v/>
      </c>
      <c r="D2844" s="45" t="str">
        <f t="shared" si="23"/>
        <v/>
      </c>
      <c r="E2844" s="45" t="str">
        <f t="shared" si="24"/>
        <v/>
      </c>
      <c r="F2844" s="59" t="str">
        <f t="shared" si="25"/>
        <v/>
      </c>
      <c r="G2844" s="59" t="str">
        <f t="shared" si="26"/>
        <v/>
      </c>
      <c r="H2844" s="59" t="str">
        <f t="shared" si="27"/>
        <v>28H00003</v>
      </c>
      <c r="I2844" s="59" t="str">
        <f>IF(OR($A2844="",$C2844="",$D2844="",$E2844="",$H2844=""),"",SUMIFS(DATA_GOC!$H:$H,DATA_GOC!$A:$A,"BOM",DATA_GOC!$D:$D,$H2844,DATA_GOC!$E:$E,$C2844,DATA_GOC!$F:$F,"Xuất nội bộ từ téc",DATA_GOC!$B:$B,"&gt;="&amp;$D2844,DATA_GOC!$B:$B,"&lt;="&amp;$E2844))</f>
        <v/>
      </c>
      <c r="J2844" s="59">
        <f t="shared" si="28"/>
        <v>0</v>
      </c>
      <c r="K2844" s="59">
        <f t="shared" si="29"/>
        <v>0</v>
      </c>
      <c r="L2844" s="59">
        <f t="shared" si="30"/>
        <v>0</v>
      </c>
      <c r="M2844" s="59">
        <f t="shared" si="31"/>
        <v>0</v>
      </c>
    </row>
    <row r="2845" ht="15.0" hidden="1" customHeight="1">
      <c r="A2845" s="59">
        <f t="shared" si="20"/>
        <v>44</v>
      </c>
      <c r="B2845" s="59" t="str">
        <f t="shared" si="21"/>
        <v/>
      </c>
      <c r="C2845" s="59" t="str">
        <f t="shared" si="22"/>
        <v/>
      </c>
      <c r="D2845" s="45" t="str">
        <f t="shared" si="23"/>
        <v/>
      </c>
      <c r="E2845" s="45" t="str">
        <f t="shared" si="24"/>
        <v/>
      </c>
      <c r="F2845" s="59" t="str">
        <f t="shared" si="25"/>
        <v/>
      </c>
      <c r="G2845" s="59" t="str">
        <f t="shared" si="26"/>
        <v/>
      </c>
      <c r="H2845" s="59" t="str">
        <f t="shared" si="27"/>
        <v>28H00061</v>
      </c>
      <c r="I2845" s="59" t="str">
        <f>IF(OR($A2845="",$C2845="",$D2845="",$E2845="",$H2845=""),"",SUMIFS(DATA_GOC!$H:$H,DATA_GOC!$A:$A,"BOM",DATA_GOC!$D:$D,$H2845,DATA_GOC!$E:$E,$C2845,DATA_GOC!$F:$F,"Xuất nội bộ từ téc",DATA_GOC!$B:$B,"&gt;="&amp;$D2845,DATA_GOC!$B:$B,"&lt;="&amp;$E2845))</f>
        <v/>
      </c>
      <c r="J2845" s="59">
        <f t="shared" si="28"/>
        <v>0</v>
      </c>
      <c r="K2845" s="59">
        <f t="shared" si="29"/>
        <v>0</v>
      </c>
      <c r="L2845" s="59">
        <f t="shared" si="30"/>
        <v>0</v>
      </c>
      <c r="M2845" s="59">
        <f t="shared" si="31"/>
        <v>0</v>
      </c>
    </row>
    <row r="2846" ht="15.0" hidden="1" customHeight="1">
      <c r="A2846" s="59">
        <f t="shared" si="20"/>
        <v>44</v>
      </c>
      <c r="B2846" s="59" t="str">
        <f t="shared" si="21"/>
        <v/>
      </c>
      <c r="C2846" s="59" t="str">
        <f t="shared" si="22"/>
        <v/>
      </c>
      <c r="D2846" s="45" t="str">
        <f t="shared" si="23"/>
        <v/>
      </c>
      <c r="E2846" s="45" t="str">
        <f t="shared" si="24"/>
        <v/>
      </c>
      <c r="F2846" s="59" t="str">
        <f t="shared" si="25"/>
        <v/>
      </c>
      <c r="G2846" s="59" t="str">
        <f t="shared" si="26"/>
        <v/>
      </c>
      <c r="H2846" s="59" t="str">
        <f t="shared" si="27"/>
        <v>28H00354</v>
      </c>
      <c r="I2846" s="59" t="str">
        <f>IF(OR($A2846="",$C2846="",$D2846="",$E2846="",$H2846=""),"",SUMIFS(DATA_GOC!$H:$H,DATA_GOC!$A:$A,"BOM",DATA_GOC!$D:$D,$H2846,DATA_GOC!$E:$E,$C2846,DATA_GOC!$F:$F,"Xuất nội bộ từ téc",DATA_GOC!$B:$B,"&gt;="&amp;$D2846,DATA_GOC!$B:$B,"&lt;="&amp;$E2846))</f>
        <v/>
      </c>
      <c r="J2846" s="59">
        <f t="shared" si="28"/>
        <v>0</v>
      </c>
      <c r="K2846" s="59">
        <f t="shared" si="29"/>
        <v>0</v>
      </c>
      <c r="L2846" s="59">
        <f t="shared" si="30"/>
        <v>0</v>
      </c>
      <c r="M2846" s="59">
        <f t="shared" si="31"/>
        <v>0</v>
      </c>
    </row>
    <row r="2847" ht="15.0" hidden="1" customHeight="1">
      <c r="A2847" s="59">
        <f t="shared" si="20"/>
        <v>44</v>
      </c>
      <c r="B2847" s="59" t="str">
        <f t="shared" si="21"/>
        <v/>
      </c>
      <c r="C2847" s="59" t="str">
        <f t="shared" si="22"/>
        <v/>
      </c>
      <c r="D2847" s="45" t="str">
        <f t="shared" si="23"/>
        <v/>
      </c>
      <c r="E2847" s="45" t="str">
        <f t="shared" si="24"/>
        <v/>
      </c>
      <c r="F2847" s="59" t="str">
        <f t="shared" si="25"/>
        <v/>
      </c>
      <c r="G2847" s="59" t="str">
        <f t="shared" si="26"/>
        <v/>
      </c>
      <c r="H2847" s="59" t="str">
        <f t="shared" si="27"/>
        <v>28H00603</v>
      </c>
      <c r="I2847" s="59" t="str">
        <f>IF(OR($A2847="",$C2847="",$D2847="",$E2847="",$H2847=""),"",SUMIFS(DATA_GOC!$H:$H,DATA_GOC!$A:$A,"BOM",DATA_GOC!$D:$D,$H2847,DATA_GOC!$E:$E,$C2847,DATA_GOC!$F:$F,"Xuất nội bộ từ téc",DATA_GOC!$B:$B,"&gt;="&amp;$D2847,DATA_GOC!$B:$B,"&lt;="&amp;$E2847))</f>
        <v/>
      </c>
      <c r="J2847" s="59">
        <f t="shared" si="28"/>
        <v>0</v>
      </c>
      <c r="K2847" s="59">
        <f t="shared" si="29"/>
        <v>0</v>
      </c>
      <c r="L2847" s="59">
        <f t="shared" si="30"/>
        <v>0</v>
      </c>
      <c r="M2847" s="59">
        <f t="shared" si="31"/>
        <v>0</v>
      </c>
    </row>
    <row r="2848" ht="15.0" hidden="1" customHeight="1">
      <c r="A2848" s="59">
        <f t="shared" si="20"/>
        <v>44</v>
      </c>
      <c r="B2848" s="59" t="str">
        <f t="shared" si="21"/>
        <v/>
      </c>
      <c r="C2848" s="59" t="str">
        <f t="shared" si="22"/>
        <v/>
      </c>
      <c r="D2848" s="45" t="str">
        <f t="shared" si="23"/>
        <v/>
      </c>
      <c r="E2848" s="45" t="str">
        <f t="shared" si="24"/>
        <v/>
      </c>
      <c r="F2848" s="59" t="str">
        <f t="shared" si="25"/>
        <v/>
      </c>
      <c r="G2848" s="59" t="str">
        <f t="shared" si="26"/>
        <v/>
      </c>
      <c r="H2848" s="59" t="str">
        <f t="shared" si="27"/>
        <v>28H00609</v>
      </c>
      <c r="I2848" s="59" t="str">
        <f>IF(OR($A2848="",$C2848="",$D2848="",$E2848="",$H2848=""),"",SUMIFS(DATA_GOC!$H:$H,DATA_GOC!$A:$A,"BOM",DATA_GOC!$D:$D,$H2848,DATA_GOC!$E:$E,$C2848,DATA_GOC!$F:$F,"Xuất nội bộ từ téc",DATA_GOC!$B:$B,"&gt;="&amp;$D2848,DATA_GOC!$B:$B,"&lt;="&amp;$E2848))</f>
        <v/>
      </c>
      <c r="J2848" s="59">
        <f t="shared" si="28"/>
        <v>0</v>
      </c>
      <c r="K2848" s="59">
        <f t="shared" si="29"/>
        <v>0</v>
      </c>
      <c r="L2848" s="59">
        <f t="shared" si="30"/>
        <v>0</v>
      </c>
      <c r="M2848" s="59">
        <f t="shared" si="31"/>
        <v>0</v>
      </c>
    </row>
    <row r="2849" ht="15.0" hidden="1" customHeight="1">
      <c r="A2849" s="59">
        <f t="shared" si="20"/>
        <v>44</v>
      </c>
      <c r="B2849" s="59" t="str">
        <f t="shared" si="21"/>
        <v/>
      </c>
      <c r="C2849" s="59" t="str">
        <f t="shared" si="22"/>
        <v/>
      </c>
      <c r="D2849" s="45" t="str">
        <f t="shared" si="23"/>
        <v/>
      </c>
      <c r="E2849" s="45" t="str">
        <f t="shared" si="24"/>
        <v/>
      </c>
      <c r="F2849" s="59" t="str">
        <f t="shared" si="25"/>
        <v/>
      </c>
      <c r="G2849" s="59" t="str">
        <f t="shared" si="26"/>
        <v/>
      </c>
      <c r="H2849" s="59" t="str">
        <f t="shared" si="27"/>
        <v>28H00669</v>
      </c>
      <c r="I2849" s="59" t="str">
        <f>IF(OR($A2849="",$C2849="",$D2849="",$E2849="",$H2849=""),"",SUMIFS(DATA_GOC!$H:$H,DATA_GOC!$A:$A,"BOM",DATA_GOC!$D:$D,$H2849,DATA_GOC!$E:$E,$C2849,DATA_GOC!$F:$F,"Xuất nội bộ từ téc",DATA_GOC!$B:$B,"&gt;="&amp;$D2849,DATA_GOC!$B:$B,"&lt;="&amp;$E2849))</f>
        <v/>
      </c>
      <c r="J2849" s="59">
        <f t="shared" si="28"/>
        <v>0</v>
      </c>
      <c r="K2849" s="59">
        <f t="shared" si="29"/>
        <v>0</v>
      </c>
      <c r="L2849" s="59">
        <f t="shared" si="30"/>
        <v>0</v>
      </c>
      <c r="M2849" s="59">
        <f t="shared" si="31"/>
        <v>0</v>
      </c>
    </row>
    <row r="2850" ht="15.0" hidden="1" customHeight="1">
      <c r="A2850" s="59">
        <f t="shared" si="20"/>
        <v>44</v>
      </c>
      <c r="B2850" s="59" t="str">
        <f t="shared" si="21"/>
        <v/>
      </c>
      <c r="C2850" s="59" t="str">
        <f t="shared" si="22"/>
        <v/>
      </c>
      <c r="D2850" s="45" t="str">
        <f t="shared" si="23"/>
        <v/>
      </c>
      <c r="E2850" s="45" t="str">
        <f t="shared" si="24"/>
        <v/>
      </c>
      <c r="F2850" s="59" t="str">
        <f t="shared" si="25"/>
        <v/>
      </c>
      <c r="G2850" s="59" t="str">
        <f t="shared" si="26"/>
        <v/>
      </c>
      <c r="H2850" s="59" t="str">
        <f t="shared" si="27"/>
        <v>28H00680</v>
      </c>
      <c r="I2850" s="59" t="str">
        <f>IF(OR($A2850="",$C2850="",$D2850="",$E2850="",$H2850=""),"",SUMIFS(DATA_GOC!$H:$H,DATA_GOC!$A:$A,"BOM",DATA_GOC!$D:$D,$H2850,DATA_GOC!$E:$E,$C2850,DATA_GOC!$F:$F,"Xuất nội bộ từ téc",DATA_GOC!$B:$B,"&gt;="&amp;$D2850,DATA_GOC!$B:$B,"&lt;="&amp;$E2850))</f>
        <v/>
      </c>
      <c r="J2850" s="59">
        <f t="shared" si="28"/>
        <v>0</v>
      </c>
      <c r="K2850" s="59">
        <f t="shared" si="29"/>
        <v>0</v>
      </c>
      <c r="L2850" s="59">
        <f t="shared" si="30"/>
        <v>0</v>
      </c>
      <c r="M2850" s="59">
        <f t="shared" si="31"/>
        <v>0</v>
      </c>
    </row>
    <row r="2851" ht="15.0" hidden="1" customHeight="1">
      <c r="A2851" s="59">
        <f t="shared" si="20"/>
        <v>44</v>
      </c>
      <c r="B2851" s="59" t="str">
        <f t="shared" si="21"/>
        <v/>
      </c>
      <c r="C2851" s="59" t="str">
        <f t="shared" si="22"/>
        <v/>
      </c>
      <c r="D2851" s="45" t="str">
        <f t="shared" si="23"/>
        <v/>
      </c>
      <c r="E2851" s="45" t="str">
        <f t="shared" si="24"/>
        <v/>
      </c>
      <c r="F2851" s="59" t="str">
        <f t="shared" si="25"/>
        <v/>
      </c>
      <c r="G2851" s="59" t="str">
        <f t="shared" si="26"/>
        <v/>
      </c>
      <c r="H2851" s="59" t="str">
        <f t="shared" si="27"/>
        <v>28H01070</v>
      </c>
      <c r="I2851" s="59" t="str">
        <f>IF(OR($A2851="",$C2851="",$D2851="",$E2851="",$H2851=""),"",SUMIFS(DATA_GOC!$H:$H,DATA_GOC!$A:$A,"BOM",DATA_GOC!$D:$D,$H2851,DATA_GOC!$E:$E,$C2851,DATA_GOC!$F:$F,"Xuất nội bộ từ téc",DATA_GOC!$B:$B,"&gt;="&amp;$D2851,DATA_GOC!$B:$B,"&lt;="&amp;$E2851))</f>
        <v/>
      </c>
      <c r="J2851" s="59">
        <f t="shared" si="28"/>
        <v>0</v>
      </c>
      <c r="K2851" s="59">
        <f t="shared" si="29"/>
        <v>0</v>
      </c>
      <c r="L2851" s="59">
        <f t="shared" si="30"/>
        <v>0</v>
      </c>
      <c r="M2851" s="59">
        <f t="shared" si="31"/>
        <v>0</v>
      </c>
    </row>
    <row r="2852" ht="15.0" hidden="1" customHeight="1">
      <c r="A2852" s="59">
        <f t="shared" si="20"/>
        <v>44</v>
      </c>
      <c r="B2852" s="59" t="str">
        <f t="shared" si="21"/>
        <v/>
      </c>
      <c r="C2852" s="59" t="str">
        <f t="shared" si="22"/>
        <v/>
      </c>
      <c r="D2852" s="45" t="str">
        <f t="shared" si="23"/>
        <v/>
      </c>
      <c r="E2852" s="45" t="str">
        <f t="shared" si="24"/>
        <v/>
      </c>
      <c r="F2852" s="59" t="str">
        <f t="shared" si="25"/>
        <v/>
      </c>
      <c r="G2852" s="59" t="str">
        <f t="shared" si="26"/>
        <v/>
      </c>
      <c r="H2852" s="59" t="str">
        <f t="shared" si="27"/>
        <v>28H01364</v>
      </c>
      <c r="I2852" s="59" t="str">
        <f>IF(OR($A2852="",$C2852="",$D2852="",$E2852="",$H2852=""),"",SUMIFS(DATA_GOC!$H:$H,DATA_GOC!$A:$A,"BOM",DATA_GOC!$D:$D,$H2852,DATA_GOC!$E:$E,$C2852,DATA_GOC!$F:$F,"Xuất nội bộ từ téc",DATA_GOC!$B:$B,"&gt;="&amp;$D2852,DATA_GOC!$B:$B,"&lt;="&amp;$E2852))</f>
        <v/>
      </c>
      <c r="J2852" s="59">
        <f t="shared" si="28"/>
        <v>0</v>
      </c>
      <c r="K2852" s="59">
        <f t="shared" si="29"/>
        <v>0</v>
      </c>
      <c r="L2852" s="59">
        <f t="shared" si="30"/>
        <v>0</v>
      </c>
      <c r="M2852" s="59">
        <f t="shared" si="31"/>
        <v>0</v>
      </c>
    </row>
    <row r="2853" ht="15.0" hidden="1" customHeight="1">
      <c r="A2853" s="59">
        <f t="shared" si="20"/>
        <v>44</v>
      </c>
      <c r="B2853" s="59" t="str">
        <f t="shared" si="21"/>
        <v/>
      </c>
      <c r="C2853" s="59" t="str">
        <f t="shared" si="22"/>
        <v/>
      </c>
      <c r="D2853" s="45" t="str">
        <f t="shared" si="23"/>
        <v/>
      </c>
      <c r="E2853" s="45" t="str">
        <f t="shared" si="24"/>
        <v/>
      </c>
      <c r="F2853" s="59" t="str">
        <f t="shared" si="25"/>
        <v/>
      </c>
      <c r="G2853" s="59" t="str">
        <f t="shared" si="26"/>
        <v/>
      </c>
      <c r="H2853" s="59" t="str">
        <f t="shared" si="27"/>
        <v>29E17269</v>
      </c>
      <c r="I2853" s="59" t="str">
        <f>IF(OR($A2853="",$C2853="",$D2853="",$E2853="",$H2853=""),"",SUMIFS(DATA_GOC!$H:$H,DATA_GOC!$A:$A,"BOM",DATA_GOC!$D:$D,$H2853,DATA_GOC!$E:$E,$C2853,DATA_GOC!$F:$F,"Xuất nội bộ từ téc",DATA_GOC!$B:$B,"&gt;="&amp;$D2853,DATA_GOC!$B:$B,"&lt;="&amp;$E2853))</f>
        <v/>
      </c>
      <c r="J2853" s="59">
        <f t="shared" si="28"/>
        <v>0</v>
      </c>
      <c r="K2853" s="59">
        <f t="shared" si="29"/>
        <v>0</v>
      </c>
      <c r="L2853" s="59">
        <f t="shared" si="30"/>
        <v>0</v>
      </c>
      <c r="M2853" s="59">
        <f t="shared" si="31"/>
        <v>0</v>
      </c>
    </row>
    <row r="2854" ht="15.0" hidden="1" customHeight="1">
      <c r="A2854" s="59">
        <f t="shared" si="20"/>
        <v>44</v>
      </c>
      <c r="B2854" s="59" t="str">
        <f t="shared" si="21"/>
        <v/>
      </c>
      <c r="C2854" s="59" t="str">
        <f t="shared" si="22"/>
        <v/>
      </c>
      <c r="D2854" s="45" t="str">
        <f t="shared" si="23"/>
        <v/>
      </c>
      <c r="E2854" s="45" t="str">
        <f t="shared" si="24"/>
        <v/>
      </c>
      <c r="F2854" s="59" t="str">
        <f t="shared" si="25"/>
        <v/>
      </c>
      <c r="G2854" s="59" t="str">
        <f t="shared" si="26"/>
        <v/>
      </c>
      <c r="H2854" s="59" t="str">
        <f t="shared" si="27"/>
        <v>29E17273</v>
      </c>
      <c r="I2854" s="59" t="str">
        <f>IF(OR($A2854="",$C2854="",$D2854="",$E2854="",$H2854=""),"",SUMIFS(DATA_GOC!$H:$H,DATA_GOC!$A:$A,"BOM",DATA_GOC!$D:$D,$H2854,DATA_GOC!$E:$E,$C2854,DATA_GOC!$F:$F,"Xuất nội bộ từ téc",DATA_GOC!$B:$B,"&gt;="&amp;$D2854,DATA_GOC!$B:$B,"&lt;="&amp;$E2854))</f>
        <v/>
      </c>
      <c r="J2854" s="59">
        <f t="shared" si="28"/>
        <v>0</v>
      </c>
      <c r="K2854" s="59">
        <f t="shared" si="29"/>
        <v>0</v>
      </c>
      <c r="L2854" s="59">
        <f t="shared" si="30"/>
        <v>0</v>
      </c>
      <c r="M2854" s="59">
        <f t="shared" si="31"/>
        <v>0</v>
      </c>
    </row>
    <row r="2855" ht="15.0" hidden="1" customHeight="1">
      <c r="A2855" s="59">
        <f t="shared" si="20"/>
        <v>44</v>
      </c>
      <c r="B2855" s="59" t="str">
        <f t="shared" si="21"/>
        <v/>
      </c>
      <c r="C2855" s="59" t="str">
        <f t="shared" si="22"/>
        <v/>
      </c>
      <c r="D2855" s="45" t="str">
        <f t="shared" si="23"/>
        <v/>
      </c>
      <c r="E2855" s="45" t="str">
        <f t="shared" si="24"/>
        <v/>
      </c>
      <c r="F2855" s="59" t="str">
        <f t="shared" si="25"/>
        <v/>
      </c>
      <c r="G2855" s="59" t="str">
        <f t="shared" si="26"/>
        <v/>
      </c>
      <c r="H2855" s="59" t="str">
        <f t="shared" si="27"/>
        <v>29E17410</v>
      </c>
      <c r="I2855" s="59" t="str">
        <f>IF(OR($A2855="",$C2855="",$D2855="",$E2855="",$H2855=""),"",SUMIFS(DATA_GOC!$H:$H,DATA_GOC!$A:$A,"BOM",DATA_GOC!$D:$D,$H2855,DATA_GOC!$E:$E,$C2855,DATA_GOC!$F:$F,"Xuất nội bộ từ téc",DATA_GOC!$B:$B,"&gt;="&amp;$D2855,DATA_GOC!$B:$B,"&lt;="&amp;$E2855))</f>
        <v/>
      </c>
      <c r="J2855" s="59">
        <f t="shared" si="28"/>
        <v>0</v>
      </c>
      <c r="K2855" s="59">
        <f t="shared" si="29"/>
        <v>0</v>
      </c>
      <c r="L2855" s="59">
        <f t="shared" si="30"/>
        <v>0</v>
      </c>
      <c r="M2855" s="59">
        <f t="shared" si="31"/>
        <v>0</v>
      </c>
    </row>
    <row r="2856" ht="15.0" hidden="1" customHeight="1">
      <c r="A2856" s="59">
        <f t="shared" si="20"/>
        <v>44</v>
      </c>
      <c r="B2856" s="59" t="str">
        <f t="shared" si="21"/>
        <v/>
      </c>
      <c r="C2856" s="59" t="str">
        <f t="shared" si="22"/>
        <v/>
      </c>
      <c r="D2856" s="45" t="str">
        <f t="shared" si="23"/>
        <v/>
      </c>
      <c r="E2856" s="45" t="str">
        <f t="shared" si="24"/>
        <v/>
      </c>
      <c r="F2856" s="59" t="str">
        <f t="shared" si="25"/>
        <v/>
      </c>
      <c r="G2856" s="59" t="str">
        <f t="shared" si="26"/>
        <v/>
      </c>
      <c r="H2856" s="59" t="str">
        <f t="shared" si="27"/>
        <v>29E17417</v>
      </c>
      <c r="I2856" s="59" t="str">
        <f>IF(OR($A2856="",$C2856="",$D2856="",$E2856="",$H2856=""),"",SUMIFS(DATA_GOC!$H:$H,DATA_GOC!$A:$A,"BOM",DATA_GOC!$D:$D,$H2856,DATA_GOC!$E:$E,$C2856,DATA_GOC!$F:$F,"Xuất nội bộ từ téc",DATA_GOC!$B:$B,"&gt;="&amp;$D2856,DATA_GOC!$B:$B,"&lt;="&amp;$E2856))</f>
        <v/>
      </c>
      <c r="J2856" s="59">
        <f t="shared" si="28"/>
        <v>0</v>
      </c>
      <c r="K2856" s="59">
        <f t="shared" si="29"/>
        <v>0</v>
      </c>
      <c r="L2856" s="59">
        <f t="shared" si="30"/>
        <v>0</v>
      </c>
      <c r="M2856" s="59">
        <f t="shared" si="31"/>
        <v>0</v>
      </c>
    </row>
    <row r="2857" ht="15.0" hidden="1" customHeight="1">
      <c r="A2857" s="59">
        <f t="shared" si="20"/>
        <v>44</v>
      </c>
      <c r="B2857" s="59" t="str">
        <f t="shared" si="21"/>
        <v/>
      </c>
      <c r="C2857" s="59" t="str">
        <f t="shared" si="22"/>
        <v/>
      </c>
      <c r="D2857" s="45" t="str">
        <f t="shared" si="23"/>
        <v/>
      </c>
      <c r="E2857" s="45" t="str">
        <f t="shared" si="24"/>
        <v/>
      </c>
      <c r="F2857" s="59" t="str">
        <f t="shared" si="25"/>
        <v/>
      </c>
      <c r="G2857" s="59" t="str">
        <f t="shared" si="26"/>
        <v/>
      </c>
      <c r="H2857" s="59" t="str">
        <f t="shared" si="27"/>
        <v>29E17539</v>
      </c>
      <c r="I2857" s="59" t="str">
        <f>IF(OR($A2857="",$C2857="",$D2857="",$E2857="",$H2857=""),"",SUMIFS(DATA_GOC!$H:$H,DATA_GOC!$A:$A,"BOM",DATA_GOC!$D:$D,$H2857,DATA_GOC!$E:$E,$C2857,DATA_GOC!$F:$F,"Xuất nội bộ từ téc",DATA_GOC!$B:$B,"&gt;="&amp;$D2857,DATA_GOC!$B:$B,"&lt;="&amp;$E2857))</f>
        <v/>
      </c>
      <c r="J2857" s="59">
        <f t="shared" si="28"/>
        <v>0</v>
      </c>
      <c r="K2857" s="59">
        <f t="shared" si="29"/>
        <v>0</v>
      </c>
      <c r="L2857" s="59">
        <f t="shared" si="30"/>
        <v>0</v>
      </c>
      <c r="M2857" s="59">
        <f t="shared" si="31"/>
        <v>0</v>
      </c>
    </row>
    <row r="2858" ht="15.0" hidden="1" customHeight="1">
      <c r="A2858" s="59">
        <f t="shared" si="20"/>
        <v>44</v>
      </c>
      <c r="B2858" s="59" t="str">
        <f t="shared" si="21"/>
        <v/>
      </c>
      <c r="C2858" s="59" t="str">
        <f t="shared" si="22"/>
        <v/>
      </c>
      <c r="D2858" s="45" t="str">
        <f t="shared" si="23"/>
        <v/>
      </c>
      <c r="E2858" s="45" t="str">
        <f t="shared" si="24"/>
        <v/>
      </c>
      <c r="F2858" s="59" t="str">
        <f t="shared" si="25"/>
        <v/>
      </c>
      <c r="G2858" s="59" t="str">
        <f t="shared" si="26"/>
        <v/>
      </c>
      <c r="H2858" s="59" t="str">
        <f t="shared" si="27"/>
        <v>29E18160</v>
      </c>
      <c r="I2858" s="59" t="str">
        <f>IF(OR($A2858="",$C2858="",$D2858="",$E2858="",$H2858=""),"",SUMIFS(DATA_GOC!$H:$H,DATA_GOC!$A:$A,"BOM",DATA_GOC!$D:$D,$H2858,DATA_GOC!$E:$E,$C2858,DATA_GOC!$F:$F,"Xuất nội bộ từ téc",DATA_GOC!$B:$B,"&gt;="&amp;$D2858,DATA_GOC!$B:$B,"&lt;="&amp;$E2858))</f>
        <v/>
      </c>
      <c r="J2858" s="59">
        <f t="shared" si="28"/>
        <v>0</v>
      </c>
      <c r="K2858" s="59">
        <f t="shared" si="29"/>
        <v>0</v>
      </c>
      <c r="L2858" s="59">
        <f t="shared" si="30"/>
        <v>0</v>
      </c>
      <c r="M2858" s="59">
        <f t="shared" si="31"/>
        <v>0</v>
      </c>
    </row>
    <row r="2859" ht="15.0" hidden="1" customHeight="1">
      <c r="A2859" s="59">
        <f t="shared" si="20"/>
        <v>44</v>
      </c>
      <c r="B2859" s="59" t="str">
        <f t="shared" si="21"/>
        <v/>
      </c>
      <c r="C2859" s="59" t="str">
        <f t="shared" si="22"/>
        <v/>
      </c>
      <c r="D2859" s="45" t="str">
        <f t="shared" si="23"/>
        <v/>
      </c>
      <c r="E2859" s="45" t="str">
        <f t="shared" si="24"/>
        <v/>
      </c>
      <c r="F2859" s="59" t="str">
        <f t="shared" si="25"/>
        <v/>
      </c>
      <c r="G2859" s="59" t="str">
        <f t="shared" si="26"/>
        <v/>
      </c>
      <c r="H2859" s="59" t="str">
        <f t="shared" si="27"/>
        <v>Công trình Asphalt</v>
      </c>
      <c r="I2859" s="59" t="str">
        <f>IF(OR($A2859="",$C2859="",$D2859="",$E2859="",$H2859=""),"",SUMIFS(DATA_GOC!$H:$H,DATA_GOC!$A:$A,"BOM",DATA_GOC!$D:$D,$H2859,DATA_GOC!$E:$E,$C2859,DATA_GOC!$F:$F,"Xuất nội bộ từ téc",DATA_GOC!$B:$B,"&gt;="&amp;$D2859,DATA_GOC!$B:$B,"&lt;="&amp;$E2859))</f>
        <v/>
      </c>
      <c r="J2859" s="59">
        <f t="shared" si="28"/>
        <v>0</v>
      </c>
      <c r="K2859" s="59">
        <f t="shared" si="29"/>
        <v>0</v>
      </c>
      <c r="L2859" s="59">
        <f t="shared" si="30"/>
        <v>0</v>
      </c>
      <c r="M2859" s="59">
        <f t="shared" si="31"/>
        <v>0</v>
      </c>
    </row>
    <row r="2860" ht="15.0" hidden="1" customHeight="1">
      <c r="A2860" s="59">
        <f t="shared" si="20"/>
        <v>44</v>
      </c>
      <c r="B2860" s="59" t="str">
        <f t="shared" si="21"/>
        <v/>
      </c>
      <c r="C2860" s="59" t="str">
        <f t="shared" si="22"/>
        <v/>
      </c>
      <c r="D2860" s="45" t="str">
        <f t="shared" si="23"/>
        <v/>
      </c>
      <c r="E2860" s="45" t="str">
        <f t="shared" si="24"/>
        <v/>
      </c>
      <c r="F2860" s="59" t="str">
        <f t="shared" si="25"/>
        <v/>
      </c>
      <c r="G2860" s="59" t="str">
        <f t="shared" si="26"/>
        <v/>
      </c>
      <c r="H2860" s="59" t="str">
        <f t="shared" si="27"/>
        <v>LG53F</v>
      </c>
      <c r="I2860" s="59" t="str">
        <f>IF(OR($A2860="",$C2860="",$D2860="",$E2860="",$H2860=""),"",SUMIFS(DATA_GOC!$H:$H,DATA_GOC!$A:$A,"BOM",DATA_GOC!$D:$D,$H2860,DATA_GOC!$E:$E,$C2860,DATA_GOC!$F:$F,"Xuất nội bộ từ téc",DATA_GOC!$B:$B,"&gt;="&amp;$D2860,DATA_GOC!$B:$B,"&lt;="&amp;$E2860))</f>
        <v/>
      </c>
      <c r="J2860" s="59">
        <f t="shared" si="28"/>
        <v>0</v>
      </c>
      <c r="K2860" s="59">
        <f t="shared" si="29"/>
        <v>0</v>
      </c>
      <c r="L2860" s="59">
        <f t="shared" si="30"/>
        <v>0</v>
      </c>
      <c r="M2860" s="59">
        <f t="shared" si="31"/>
        <v>0</v>
      </c>
    </row>
    <row r="2861" ht="15.0" hidden="1" customHeight="1">
      <c r="A2861" s="59">
        <f t="shared" si="20"/>
        <v>44</v>
      </c>
      <c r="B2861" s="59" t="str">
        <f t="shared" si="21"/>
        <v/>
      </c>
      <c r="C2861" s="59" t="str">
        <f t="shared" si="22"/>
        <v/>
      </c>
      <c r="D2861" s="45" t="str">
        <f t="shared" si="23"/>
        <v/>
      </c>
      <c r="E2861" s="45" t="str">
        <f t="shared" si="24"/>
        <v/>
      </c>
      <c r="F2861" s="59" t="str">
        <f t="shared" si="25"/>
        <v/>
      </c>
      <c r="G2861" s="59" t="str">
        <f t="shared" si="26"/>
        <v/>
      </c>
      <c r="H2861" s="59" t="str">
        <f t="shared" si="27"/>
        <v>Máy phát điện</v>
      </c>
      <c r="I2861" s="59" t="str">
        <f>IF(OR($A2861="",$C2861="",$D2861="",$E2861="",$H2861=""),"",SUMIFS(DATA_GOC!$H:$H,DATA_GOC!$A:$A,"BOM",DATA_GOC!$D:$D,$H2861,DATA_GOC!$E:$E,$C2861,DATA_GOC!$F:$F,"Xuất nội bộ từ téc",DATA_GOC!$B:$B,"&gt;="&amp;$D2861,DATA_GOC!$B:$B,"&lt;="&amp;$E2861))</f>
        <v/>
      </c>
      <c r="J2861" s="59">
        <f t="shared" si="28"/>
        <v>0</v>
      </c>
      <c r="K2861" s="59">
        <f t="shared" si="29"/>
        <v>0</v>
      </c>
      <c r="L2861" s="59">
        <f t="shared" si="30"/>
        <v>0</v>
      </c>
      <c r="M2861" s="59">
        <f t="shared" si="31"/>
        <v>0</v>
      </c>
    </row>
    <row r="2862" ht="15.0" hidden="1" customHeight="1">
      <c r="A2862" s="59">
        <f t="shared" si="20"/>
        <v>44</v>
      </c>
      <c r="B2862" s="59" t="str">
        <f t="shared" si="21"/>
        <v/>
      </c>
      <c r="C2862" s="59" t="str">
        <f t="shared" si="22"/>
        <v/>
      </c>
      <c r="D2862" s="45" t="str">
        <f t="shared" si="23"/>
        <v/>
      </c>
      <c r="E2862" s="45" t="str">
        <f t="shared" si="24"/>
        <v/>
      </c>
      <c r="F2862" s="59" t="str">
        <f t="shared" si="25"/>
        <v/>
      </c>
      <c r="G2862" s="59" t="str">
        <f t="shared" si="26"/>
        <v/>
      </c>
      <c r="H2862" s="59" t="str">
        <f t="shared" si="27"/>
        <v>Máy rải thảm</v>
      </c>
      <c r="I2862" s="59" t="str">
        <f>IF(OR($A2862="",$C2862="",$D2862="",$E2862="",$H2862=""),"",SUMIFS(DATA_GOC!$H:$H,DATA_GOC!$A:$A,"BOM",DATA_GOC!$D:$D,$H2862,DATA_GOC!$E:$E,$C2862,DATA_GOC!$F:$F,"Xuất nội bộ từ téc",DATA_GOC!$B:$B,"&gt;="&amp;$D2862,DATA_GOC!$B:$B,"&lt;="&amp;$E2862))</f>
        <v/>
      </c>
      <c r="J2862" s="59">
        <f t="shared" si="28"/>
        <v>0</v>
      </c>
      <c r="K2862" s="59">
        <f t="shared" si="29"/>
        <v>0</v>
      </c>
      <c r="L2862" s="59">
        <f t="shared" si="30"/>
        <v>0</v>
      </c>
      <c r="M2862" s="59">
        <f t="shared" si="31"/>
        <v>0</v>
      </c>
    </row>
    <row r="2863" ht="15.0" hidden="1" customHeight="1">
      <c r="A2863" s="59">
        <f t="shared" si="20"/>
        <v>44</v>
      </c>
      <c r="B2863" s="59" t="str">
        <f t="shared" si="21"/>
        <v/>
      </c>
      <c r="C2863" s="59" t="str">
        <f t="shared" si="22"/>
        <v/>
      </c>
      <c r="D2863" s="45" t="str">
        <f t="shared" si="23"/>
        <v/>
      </c>
      <c r="E2863" s="45" t="str">
        <f t="shared" si="24"/>
        <v/>
      </c>
      <c r="F2863" s="59" t="str">
        <f t="shared" si="25"/>
        <v/>
      </c>
      <c r="G2863" s="59" t="str">
        <f t="shared" si="26"/>
        <v/>
      </c>
      <c r="H2863" s="59" t="str">
        <f t="shared" si="27"/>
        <v>Xúc Đào</v>
      </c>
      <c r="I2863" s="59" t="str">
        <f>IF(OR($A2863="",$C2863="",$D2863="",$E2863="",$H2863=""),"",SUMIFS(DATA_GOC!$H:$H,DATA_GOC!$A:$A,"BOM",DATA_GOC!$D:$D,$H2863,DATA_GOC!$E:$E,$C2863,DATA_GOC!$F:$F,"Xuất nội bộ từ téc",DATA_GOC!$B:$B,"&gt;="&amp;$D2863,DATA_GOC!$B:$B,"&lt;="&amp;$E2863))</f>
        <v/>
      </c>
      <c r="J2863" s="59">
        <f t="shared" si="28"/>
        <v>0</v>
      </c>
      <c r="K2863" s="59">
        <f t="shared" si="29"/>
        <v>0</v>
      </c>
      <c r="L2863" s="59">
        <f t="shared" si="30"/>
        <v>0</v>
      </c>
      <c r="M2863" s="59">
        <f t="shared" si="31"/>
        <v>0</v>
      </c>
    </row>
    <row r="2864" ht="15.0" hidden="1" customHeight="1">
      <c r="A2864" s="59">
        <f t="shared" si="20"/>
        <v>44</v>
      </c>
      <c r="B2864" s="59" t="str">
        <f t="shared" si="21"/>
        <v/>
      </c>
      <c r="C2864" s="59" t="str">
        <f t="shared" si="22"/>
        <v/>
      </c>
      <c r="D2864" s="45" t="str">
        <f t="shared" si="23"/>
        <v/>
      </c>
      <c r="E2864" s="45" t="str">
        <f t="shared" si="24"/>
        <v/>
      </c>
      <c r="F2864" s="59" t="str">
        <f t="shared" si="25"/>
        <v/>
      </c>
      <c r="G2864" s="59" t="str">
        <f t="shared" si="26"/>
        <v/>
      </c>
      <c r="H2864" s="59" t="str">
        <f t="shared" si="27"/>
        <v>Xúclật asphalt</v>
      </c>
      <c r="I2864" s="59" t="str">
        <f>IF(OR($A2864="",$C2864="",$D2864="",$E2864="",$H2864=""),"",SUMIFS(DATA_GOC!$H:$H,DATA_GOC!$A:$A,"BOM",DATA_GOC!$D:$D,$H2864,DATA_GOC!$E:$E,$C2864,DATA_GOC!$F:$F,"Xuất nội bộ từ téc",DATA_GOC!$B:$B,"&gt;="&amp;$D2864,DATA_GOC!$B:$B,"&lt;="&amp;$E2864))</f>
        <v/>
      </c>
      <c r="J2864" s="59">
        <f t="shared" si="28"/>
        <v>0</v>
      </c>
      <c r="K2864" s="59">
        <f t="shared" si="29"/>
        <v>0</v>
      </c>
      <c r="L2864" s="59">
        <f t="shared" si="30"/>
        <v>0</v>
      </c>
      <c r="M2864" s="59">
        <f t="shared" si="31"/>
        <v>0</v>
      </c>
    </row>
    <row r="2865" ht="15.0" hidden="1" customHeight="1">
      <c r="A2865" s="59">
        <f t="shared" si="20"/>
        <v>44</v>
      </c>
      <c r="B2865" s="59" t="str">
        <f t="shared" si="21"/>
        <v/>
      </c>
      <c r="C2865" s="59" t="str">
        <f t="shared" si="22"/>
        <v/>
      </c>
      <c r="D2865" s="45" t="str">
        <f t="shared" si="23"/>
        <v/>
      </c>
      <c r="E2865" s="45" t="str">
        <f t="shared" si="24"/>
        <v/>
      </c>
      <c r="F2865" s="59" t="str">
        <f t="shared" si="25"/>
        <v/>
      </c>
      <c r="G2865" s="59" t="str">
        <f t="shared" si="26"/>
        <v/>
      </c>
      <c r="H2865" s="59" t="str">
        <f t="shared" si="27"/>
        <v>Xúclật855H</v>
      </c>
      <c r="I2865" s="59" t="str">
        <f>IF(OR($A2865="",$C2865="",$D2865="",$E2865="",$H2865=""),"",SUMIFS(DATA_GOC!$H:$H,DATA_GOC!$A:$A,"BOM",DATA_GOC!$D:$D,$H2865,DATA_GOC!$E:$E,$C2865,DATA_GOC!$F:$F,"Xuất nội bộ từ téc",DATA_GOC!$B:$B,"&gt;="&amp;$D2865,DATA_GOC!$B:$B,"&lt;="&amp;$E2865))</f>
        <v/>
      </c>
      <c r="J2865" s="59">
        <f t="shared" si="28"/>
        <v>0</v>
      </c>
      <c r="K2865" s="59">
        <f t="shared" si="29"/>
        <v>0</v>
      </c>
      <c r="L2865" s="59">
        <f t="shared" si="30"/>
        <v>0</v>
      </c>
      <c r="M2865" s="59">
        <f t="shared" si="31"/>
        <v>0</v>
      </c>
    </row>
    <row r="2866" ht="15.0" hidden="1" customHeight="1">
      <c r="A2866" s="59">
        <f t="shared" si="20"/>
        <v>44</v>
      </c>
      <c r="B2866" s="59" t="str">
        <f t="shared" si="21"/>
        <v/>
      </c>
      <c r="C2866" s="59" t="str">
        <f t="shared" si="22"/>
        <v/>
      </c>
      <c r="D2866" s="45" t="str">
        <f t="shared" si="23"/>
        <v/>
      </c>
      <c r="E2866" s="45" t="str">
        <f t="shared" si="24"/>
        <v/>
      </c>
      <c r="F2866" s="59" t="str">
        <f t="shared" si="25"/>
        <v/>
      </c>
      <c r="G2866" s="59" t="str">
        <f t="shared" si="26"/>
        <v/>
      </c>
      <c r="H2866" s="59" t="str">
        <f t="shared" si="27"/>
        <v>Xúclật855N</v>
      </c>
      <c r="I2866" s="59" t="str">
        <f>IF(OR($A2866="",$C2866="",$D2866="",$E2866="",$H2866=""),"",SUMIFS(DATA_GOC!$H:$H,DATA_GOC!$A:$A,"BOM",DATA_GOC!$D:$D,$H2866,DATA_GOC!$E:$E,$C2866,DATA_GOC!$F:$F,"Xuất nội bộ từ téc",DATA_GOC!$B:$B,"&gt;="&amp;$D2866,DATA_GOC!$B:$B,"&lt;="&amp;$E2866))</f>
        <v/>
      </c>
      <c r="J2866" s="59">
        <f t="shared" si="28"/>
        <v>0</v>
      </c>
      <c r="K2866" s="59">
        <f t="shared" si="29"/>
        <v>0</v>
      </c>
      <c r="L2866" s="59">
        <f t="shared" si="30"/>
        <v>0</v>
      </c>
      <c r="M2866" s="59">
        <f t="shared" si="31"/>
        <v>0</v>
      </c>
    </row>
    <row r="2867" ht="15.0" hidden="1" customHeight="1">
      <c r="A2867" s="59">
        <f t="shared" si="20"/>
        <v>44</v>
      </c>
      <c r="B2867" s="59" t="str">
        <f t="shared" si="21"/>
        <v/>
      </c>
      <c r="C2867" s="59" t="str">
        <f t="shared" si="22"/>
        <v/>
      </c>
      <c r="D2867" s="45" t="str">
        <f t="shared" si="23"/>
        <v/>
      </c>
      <c r="E2867" s="45" t="str">
        <f t="shared" si="24"/>
        <v/>
      </c>
      <c r="F2867" s="59" t="str">
        <f t="shared" si="25"/>
        <v/>
      </c>
      <c r="G2867" s="59" t="str">
        <f t="shared" si="26"/>
        <v/>
      </c>
      <c r="H2867" s="59" t="str">
        <f t="shared" si="27"/>
        <v>Cát nghiền</v>
      </c>
      <c r="I2867" s="59" t="str">
        <f>IF(OR($A2867="",$C2867="",$D2867="",$E2867="",$H2867=""),"",SUMIFS(DATA_GOC!$H:$H,DATA_GOC!$A:$A,"BOM",DATA_GOC!$D:$D,$H2867,DATA_GOC!$E:$E,$C2867,DATA_GOC!$F:$F,"Xuất nội bộ từ téc",DATA_GOC!$B:$B,"&gt;="&amp;$D2867,DATA_GOC!$B:$B,"&lt;="&amp;$E2867))</f>
        <v/>
      </c>
      <c r="J2867" s="59">
        <f t="shared" si="28"/>
        <v>0</v>
      </c>
      <c r="K2867" s="59">
        <f t="shared" si="29"/>
        <v>0</v>
      </c>
      <c r="L2867" s="59">
        <f t="shared" si="30"/>
        <v>0</v>
      </c>
      <c r="M2867" s="59">
        <f t="shared" si="31"/>
        <v>0</v>
      </c>
    </row>
    <row r="2868" ht="15.0" hidden="1" customHeight="1">
      <c r="A2868" s="59">
        <f t="shared" si="20"/>
        <v>44</v>
      </c>
      <c r="B2868" s="59" t="str">
        <f t="shared" si="21"/>
        <v/>
      </c>
      <c r="C2868" s="59" t="str">
        <f t="shared" si="22"/>
        <v/>
      </c>
      <c r="D2868" s="45" t="str">
        <f t="shared" si="23"/>
        <v/>
      </c>
      <c r="E2868" s="45" t="str">
        <f t="shared" si="24"/>
        <v/>
      </c>
      <c r="F2868" s="59" t="str">
        <f t="shared" si="25"/>
        <v/>
      </c>
      <c r="G2868" s="59" t="str">
        <f t="shared" si="26"/>
        <v/>
      </c>
      <c r="H2868" s="59" t="str">
        <f t="shared" si="27"/>
        <v>28C02973</v>
      </c>
      <c r="I2868" s="59" t="str">
        <f>IF(OR($A2868="",$C2868="",$D2868="",$E2868="",$H2868=""),"",SUMIFS(DATA_GOC!$H:$H,DATA_GOC!$A:$A,"BOM",DATA_GOC!$D:$D,$H2868,DATA_GOC!$E:$E,$C2868,DATA_GOC!$F:$F,"Xuất nội bộ từ téc",DATA_GOC!$B:$B,"&gt;="&amp;$D2868,DATA_GOC!$B:$B,"&lt;="&amp;$E2868))</f>
        <v/>
      </c>
      <c r="J2868" s="59">
        <f t="shared" si="28"/>
        <v>0</v>
      </c>
      <c r="K2868" s="59">
        <f t="shared" si="29"/>
        <v>0</v>
      </c>
      <c r="L2868" s="59">
        <f t="shared" si="30"/>
        <v>0</v>
      </c>
      <c r="M2868" s="59">
        <f t="shared" si="31"/>
        <v>0</v>
      </c>
    </row>
    <row r="2869" ht="15.0" hidden="1" customHeight="1">
      <c r="A2869" s="59">
        <f t="shared" si="20"/>
        <v>44</v>
      </c>
      <c r="B2869" s="59" t="str">
        <f t="shared" si="21"/>
        <v/>
      </c>
      <c r="C2869" s="59" t="str">
        <f t="shared" si="22"/>
        <v/>
      </c>
      <c r="D2869" s="45" t="str">
        <f t="shared" si="23"/>
        <v/>
      </c>
      <c r="E2869" s="45" t="str">
        <f t="shared" si="24"/>
        <v/>
      </c>
      <c r="F2869" s="59" t="str">
        <f t="shared" si="25"/>
        <v/>
      </c>
      <c r="G2869" s="59" t="str">
        <f t="shared" si="26"/>
        <v/>
      </c>
      <c r="H2869" s="59" t="str">
        <f t="shared" si="27"/>
        <v>28C03044</v>
      </c>
      <c r="I2869" s="59" t="str">
        <f>IF(OR($A2869="",$C2869="",$D2869="",$E2869="",$H2869=""),"",SUMIFS(DATA_GOC!$H:$H,DATA_GOC!$A:$A,"BOM",DATA_GOC!$D:$D,$H2869,DATA_GOC!$E:$E,$C2869,DATA_GOC!$F:$F,"Xuất nội bộ từ téc",DATA_GOC!$B:$B,"&gt;="&amp;$D2869,DATA_GOC!$B:$B,"&lt;="&amp;$E2869))</f>
        <v/>
      </c>
      <c r="J2869" s="59">
        <f t="shared" si="28"/>
        <v>0</v>
      </c>
      <c r="K2869" s="59">
        <f t="shared" si="29"/>
        <v>0</v>
      </c>
      <c r="L2869" s="59">
        <f t="shared" si="30"/>
        <v>0</v>
      </c>
      <c r="M2869" s="59">
        <f t="shared" si="31"/>
        <v>0</v>
      </c>
    </row>
    <row r="2870" ht="15.0" hidden="1" customHeight="1">
      <c r="A2870" s="59">
        <f t="shared" si="20"/>
        <v>44</v>
      </c>
      <c r="B2870" s="59" t="str">
        <f t="shared" si="21"/>
        <v/>
      </c>
      <c r="C2870" s="59" t="str">
        <f t="shared" si="22"/>
        <v/>
      </c>
      <c r="D2870" s="45" t="str">
        <f t="shared" si="23"/>
        <v/>
      </c>
      <c r="E2870" s="45" t="str">
        <f t="shared" si="24"/>
        <v/>
      </c>
      <c r="F2870" s="59" t="str">
        <f t="shared" si="25"/>
        <v/>
      </c>
      <c r="G2870" s="59" t="str">
        <f t="shared" si="26"/>
        <v/>
      </c>
      <c r="H2870" s="59" t="str">
        <f t="shared" si="27"/>
        <v>Máy lu lốp</v>
      </c>
      <c r="I2870" s="59" t="str">
        <f>IF(OR($A2870="",$C2870="",$D2870="",$E2870="",$H2870=""),"",SUMIFS(DATA_GOC!$H:$H,DATA_GOC!$A:$A,"BOM",DATA_GOC!$D:$D,$H2870,DATA_GOC!$E:$E,$C2870,DATA_GOC!$F:$F,"Xuất nội bộ từ téc",DATA_GOC!$B:$B,"&gt;="&amp;$D2870,DATA_GOC!$B:$B,"&lt;="&amp;$E2870))</f>
        <v/>
      </c>
      <c r="J2870" s="59">
        <f t="shared" si="28"/>
        <v>0</v>
      </c>
      <c r="K2870" s="59">
        <f t="shared" si="29"/>
        <v>0</v>
      </c>
      <c r="L2870" s="59">
        <f t="shared" si="30"/>
        <v>0</v>
      </c>
      <c r="M2870" s="59">
        <f t="shared" si="31"/>
        <v>0</v>
      </c>
    </row>
    <row r="2871" ht="15.0" hidden="1" customHeight="1">
      <c r="A2871" s="59">
        <f t="shared" si="20"/>
        <v>44</v>
      </c>
      <c r="B2871" s="59" t="str">
        <f t="shared" si="21"/>
        <v/>
      </c>
      <c r="C2871" s="59" t="str">
        <f t="shared" si="22"/>
        <v/>
      </c>
      <c r="D2871" s="45" t="str">
        <f t="shared" si="23"/>
        <v/>
      </c>
      <c r="E2871" s="45" t="str">
        <f t="shared" si="24"/>
        <v/>
      </c>
      <c r="F2871" s="59" t="str">
        <f t="shared" si="25"/>
        <v/>
      </c>
      <c r="G2871" s="59" t="str">
        <f t="shared" si="26"/>
        <v/>
      </c>
      <c r="H2871" s="59" t="str">
        <f t="shared" si="27"/>
        <v>Xe 600148</v>
      </c>
      <c r="I2871" s="59" t="str">
        <f>IF(OR($A2871="",$C2871="",$D2871="",$E2871="",$H2871=""),"",SUMIFS(DATA_GOC!$H:$H,DATA_GOC!$A:$A,"BOM",DATA_GOC!$D:$D,$H2871,DATA_GOC!$E:$E,$C2871,DATA_GOC!$F:$F,"Xuất nội bộ từ téc",DATA_GOC!$B:$B,"&gt;="&amp;$D2871,DATA_GOC!$B:$B,"&lt;="&amp;$E2871))</f>
        <v/>
      </c>
      <c r="J2871" s="59">
        <f t="shared" si="28"/>
        <v>0</v>
      </c>
      <c r="K2871" s="59">
        <f t="shared" si="29"/>
        <v>0</v>
      </c>
      <c r="L2871" s="59">
        <f t="shared" si="30"/>
        <v>0</v>
      </c>
      <c r="M2871" s="59">
        <f t="shared" si="31"/>
        <v>0</v>
      </c>
    </row>
    <row r="2872" ht="15.0" hidden="1" customHeight="1">
      <c r="A2872" s="59">
        <f t="shared" si="20"/>
        <v>44</v>
      </c>
      <c r="B2872" s="59" t="str">
        <f t="shared" si="21"/>
        <v/>
      </c>
      <c r="C2872" s="59" t="str">
        <f t="shared" si="22"/>
        <v/>
      </c>
      <c r="D2872" s="45" t="str">
        <f t="shared" si="23"/>
        <v/>
      </c>
      <c r="E2872" s="45" t="str">
        <f t="shared" si="24"/>
        <v/>
      </c>
      <c r="F2872" s="59" t="str">
        <f t="shared" si="25"/>
        <v/>
      </c>
      <c r="G2872" s="59" t="str">
        <f t="shared" si="26"/>
        <v/>
      </c>
      <c r="H2872" s="59" t="str">
        <f t="shared" si="27"/>
        <v>Xe ben mới</v>
      </c>
      <c r="I2872" s="59" t="str">
        <f>IF(OR($A2872="",$C2872="",$D2872="",$E2872="",$H2872=""),"",SUMIFS(DATA_GOC!$H:$H,DATA_GOC!$A:$A,"BOM",DATA_GOC!$D:$D,$H2872,DATA_GOC!$E:$E,$C2872,DATA_GOC!$F:$F,"Xuất nội bộ từ téc",DATA_GOC!$B:$B,"&gt;="&amp;$D2872,DATA_GOC!$B:$B,"&lt;="&amp;$E2872))</f>
        <v/>
      </c>
      <c r="J2872" s="59">
        <f t="shared" si="28"/>
        <v>0</v>
      </c>
      <c r="K2872" s="59">
        <f t="shared" si="29"/>
        <v>0</v>
      </c>
      <c r="L2872" s="59">
        <f t="shared" si="30"/>
        <v>0</v>
      </c>
      <c r="M2872" s="59">
        <f t="shared" si="31"/>
        <v>0</v>
      </c>
    </row>
    <row r="2873" ht="15.0" hidden="1" customHeight="1">
      <c r="A2873" s="59">
        <f t="shared" si="20"/>
        <v>45</v>
      </c>
      <c r="B2873" s="59" t="str">
        <f t="shared" si="21"/>
        <v/>
      </c>
      <c r="C2873" s="59" t="str">
        <f t="shared" si="22"/>
        <v/>
      </c>
      <c r="D2873" s="45" t="str">
        <f t="shared" si="23"/>
        <v/>
      </c>
      <c r="E2873" s="45" t="str">
        <f t="shared" si="24"/>
        <v/>
      </c>
      <c r="F2873" s="59" t="str">
        <f t="shared" si="25"/>
        <v/>
      </c>
      <c r="G2873" s="59" t="str">
        <f t="shared" si="26"/>
        <v/>
      </c>
      <c r="H2873" s="59" t="str">
        <f t="shared" si="27"/>
        <v>19H09482</v>
      </c>
      <c r="I2873" s="59" t="str">
        <f>IF(OR($A2873="",$C2873="",$D2873="",$E2873="",$H2873=""),"",SUMIFS(DATA_GOC!$H:$H,DATA_GOC!$A:$A,"BOM",DATA_GOC!$D:$D,$H2873,DATA_GOC!$E:$E,$C2873,DATA_GOC!$F:$F,"Xuất nội bộ từ téc",DATA_GOC!$B:$B,"&gt;="&amp;$D2873,DATA_GOC!$B:$B,"&lt;="&amp;$E2873))</f>
        <v/>
      </c>
      <c r="J2873" s="59">
        <f t="shared" si="28"/>
        <v>0</v>
      </c>
      <c r="K2873" s="59">
        <f t="shared" si="29"/>
        <v>0</v>
      </c>
      <c r="L2873" s="59">
        <f t="shared" si="30"/>
        <v>0</v>
      </c>
      <c r="M2873" s="59">
        <f t="shared" si="31"/>
        <v>0</v>
      </c>
    </row>
    <row r="2874" ht="15.0" hidden="1" customHeight="1">
      <c r="A2874" s="59">
        <f t="shared" si="20"/>
        <v>45</v>
      </c>
      <c r="B2874" s="59" t="str">
        <f t="shared" si="21"/>
        <v/>
      </c>
      <c r="C2874" s="59" t="str">
        <f t="shared" si="22"/>
        <v/>
      </c>
      <c r="D2874" s="45" t="str">
        <f t="shared" si="23"/>
        <v/>
      </c>
      <c r="E2874" s="45" t="str">
        <f t="shared" si="24"/>
        <v/>
      </c>
      <c r="F2874" s="59" t="str">
        <f t="shared" si="25"/>
        <v/>
      </c>
      <c r="G2874" s="59" t="str">
        <f t="shared" si="26"/>
        <v/>
      </c>
      <c r="H2874" s="59" t="str">
        <f t="shared" si="27"/>
        <v>28A30696</v>
      </c>
      <c r="I2874" s="59" t="str">
        <f>IF(OR($A2874="",$C2874="",$D2874="",$E2874="",$H2874=""),"",SUMIFS(DATA_GOC!$H:$H,DATA_GOC!$A:$A,"BOM",DATA_GOC!$D:$D,$H2874,DATA_GOC!$E:$E,$C2874,DATA_GOC!$F:$F,"Xuất nội bộ từ téc",DATA_GOC!$B:$B,"&gt;="&amp;$D2874,DATA_GOC!$B:$B,"&lt;="&amp;$E2874))</f>
        <v/>
      </c>
      <c r="J2874" s="59">
        <f t="shared" si="28"/>
        <v>0</v>
      </c>
      <c r="K2874" s="59">
        <f t="shared" si="29"/>
        <v>0</v>
      </c>
      <c r="L2874" s="59">
        <f t="shared" si="30"/>
        <v>0</v>
      </c>
      <c r="M2874" s="59">
        <f t="shared" si="31"/>
        <v>0</v>
      </c>
    </row>
    <row r="2875" ht="15.0" hidden="1" customHeight="1">
      <c r="A2875" s="59">
        <f t="shared" si="20"/>
        <v>45</v>
      </c>
      <c r="B2875" s="59" t="str">
        <f t="shared" si="21"/>
        <v/>
      </c>
      <c r="C2875" s="59" t="str">
        <f t="shared" si="22"/>
        <v/>
      </c>
      <c r="D2875" s="45" t="str">
        <f t="shared" si="23"/>
        <v/>
      </c>
      <c r="E2875" s="45" t="str">
        <f t="shared" si="24"/>
        <v/>
      </c>
      <c r="F2875" s="59" t="str">
        <f t="shared" si="25"/>
        <v/>
      </c>
      <c r="G2875" s="59" t="str">
        <f t="shared" si="26"/>
        <v/>
      </c>
      <c r="H2875" s="59" t="str">
        <f t="shared" si="27"/>
        <v>28C00462</v>
      </c>
      <c r="I2875" s="59" t="str">
        <f>IF(OR($A2875="",$C2875="",$D2875="",$E2875="",$H2875=""),"",SUMIFS(DATA_GOC!$H:$H,DATA_GOC!$A:$A,"BOM",DATA_GOC!$D:$D,$H2875,DATA_GOC!$E:$E,$C2875,DATA_GOC!$F:$F,"Xuất nội bộ từ téc",DATA_GOC!$B:$B,"&gt;="&amp;$D2875,DATA_GOC!$B:$B,"&lt;="&amp;$E2875))</f>
        <v/>
      </c>
      <c r="J2875" s="59">
        <f t="shared" si="28"/>
        <v>0</v>
      </c>
      <c r="K2875" s="59">
        <f t="shared" si="29"/>
        <v>0</v>
      </c>
      <c r="L2875" s="59">
        <f t="shared" si="30"/>
        <v>0</v>
      </c>
      <c r="M2875" s="59">
        <f t="shared" si="31"/>
        <v>0</v>
      </c>
    </row>
    <row r="2876" ht="15.0" hidden="1" customHeight="1">
      <c r="A2876" s="59">
        <f t="shared" si="20"/>
        <v>45</v>
      </c>
      <c r="B2876" s="59" t="str">
        <f t="shared" si="21"/>
        <v/>
      </c>
      <c r="C2876" s="59" t="str">
        <f t="shared" si="22"/>
        <v/>
      </c>
      <c r="D2876" s="45" t="str">
        <f t="shared" si="23"/>
        <v/>
      </c>
      <c r="E2876" s="45" t="str">
        <f t="shared" si="24"/>
        <v/>
      </c>
      <c r="F2876" s="59" t="str">
        <f t="shared" si="25"/>
        <v/>
      </c>
      <c r="G2876" s="59" t="str">
        <f t="shared" si="26"/>
        <v/>
      </c>
      <c r="H2876" s="59" t="str">
        <f t="shared" si="27"/>
        <v>28C01165</v>
      </c>
      <c r="I2876" s="59" t="str">
        <f>IF(OR($A2876="",$C2876="",$D2876="",$E2876="",$H2876=""),"",SUMIFS(DATA_GOC!$H:$H,DATA_GOC!$A:$A,"BOM",DATA_GOC!$D:$D,$H2876,DATA_GOC!$E:$E,$C2876,DATA_GOC!$F:$F,"Xuất nội bộ từ téc",DATA_GOC!$B:$B,"&gt;="&amp;$D2876,DATA_GOC!$B:$B,"&lt;="&amp;$E2876))</f>
        <v/>
      </c>
      <c r="J2876" s="59">
        <f t="shared" si="28"/>
        <v>0</v>
      </c>
      <c r="K2876" s="59">
        <f t="shared" si="29"/>
        <v>0</v>
      </c>
      <c r="L2876" s="59">
        <f t="shared" si="30"/>
        <v>0</v>
      </c>
      <c r="M2876" s="59">
        <f t="shared" si="31"/>
        <v>0</v>
      </c>
    </row>
    <row r="2877" ht="15.0" hidden="1" customHeight="1">
      <c r="A2877" s="59">
        <f t="shared" si="20"/>
        <v>45</v>
      </c>
      <c r="B2877" s="59" t="str">
        <f t="shared" si="21"/>
        <v/>
      </c>
      <c r="C2877" s="59" t="str">
        <f t="shared" si="22"/>
        <v/>
      </c>
      <c r="D2877" s="45" t="str">
        <f t="shared" si="23"/>
        <v/>
      </c>
      <c r="E2877" s="45" t="str">
        <f t="shared" si="24"/>
        <v/>
      </c>
      <c r="F2877" s="59" t="str">
        <f t="shared" si="25"/>
        <v/>
      </c>
      <c r="G2877" s="59" t="str">
        <f t="shared" si="26"/>
        <v/>
      </c>
      <c r="H2877" s="59" t="str">
        <f t="shared" si="27"/>
        <v>28C01406</v>
      </c>
      <c r="I2877" s="59" t="str">
        <f>IF(OR($A2877="",$C2877="",$D2877="",$E2877="",$H2877=""),"",SUMIFS(DATA_GOC!$H:$H,DATA_GOC!$A:$A,"BOM",DATA_GOC!$D:$D,$H2877,DATA_GOC!$E:$E,$C2877,DATA_GOC!$F:$F,"Xuất nội bộ từ téc",DATA_GOC!$B:$B,"&gt;="&amp;$D2877,DATA_GOC!$B:$B,"&lt;="&amp;$E2877))</f>
        <v/>
      </c>
      <c r="J2877" s="59">
        <f t="shared" si="28"/>
        <v>0</v>
      </c>
      <c r="K2877" s="59">
        <f t="shared" si="29"/>
        <v>0</v>
      </c>
      <c r="L2877" s="59">
        <f t="shared" si="30"/>
        <v>0</v>
      </c>
      <c r="M2877" s="59">
        <f t="shared" si="31"/>
        <v>0</v>
      </c>
    </row>
    <row r="2878" ht="15.0" hidden="1" customHeight="1">
      <c r="A2878" s="59">
        <f t="shared" si="20"/>
        <v>45</v>
      </c>
      <c r="B2878" s="59" t="str">
        <f t="shared" si="21"/>
        <v/>
      </c>
      <c r="C2878" s="59" t="str">
        <f t="shared" si="22"/>
        <v/>
      </c>
      <c r="D2878" s="45" t="str">
        <f t="shared" si="23"/>
        <v/>
      </c>
      <c r="E2878" s="45" t="str">
        <f t="shared" si="24"/>
        <v/>
      </c>
      <c r="F2878" s="59" t="str">
        <f t="shared" si="25"/>
        <v/>
      </c>
      <c r="G2878" s="59" t="str">
        <f t="shared" si="26"/>
        <v/>
      </c>
      <c r="H2878" s="59" t="str">
        <f t="shared" si="27"/>
        <v>28C01544</v>
      </c>
      <c r="I2878" s="59" t="str">
        <f>IF(OR($A2878="",$C2878="",$D2878="",$E2878="",$H2878=""),"",SUMIFS(DATA_GOC!$H:$H,DATA_GOC!$A:$A,"BOM",DATA_GOC!$D:$D,$H2878,DATA_GOC!$E:$E,$C2878,DATA_GOC!$F:$F,"Xuất nội bộ từ téc",DATA_GOC!$B:$B,"&gt;="&amp;$D2878,DATA_GOC!$B:$B,"&lt;="&amp;$E2878))</f>
        <v/>
      </c>
      <c r="J2878" s="59">
        <f t="shared" si="28"/>
        <v>0</v>
      </c>
      <c r="K2878" s="59">
        <f t="shared" si="29"/>
        <v>0</v>
      </c>
      <c r="L2878" s="59">
        <f t="shared" si="30"/>
        <v>0</v>
      </c>
      <c r="M2878" s="59">
        <f t="shared" si="31"/>
        <v>0</v>
      </c>
    </row>
    <row r="2879" ht="15.0" hidden="1" customHeight="1">
      <c r="A2879" s="59">
        <f t="shared" si="20"/>
        <v>45</v>
      </c>
      <c r="B2879" s="59" t="str">
        <f t="shared" si="21"/>
        <v/>
      </c>
      <c r="C2879" s="59" t="str">
        <f t="shared" si="22"/>
        <v/>
      </c>
      <c r="D2879" s="45" t="str">
        <f t="shared" si="23"/>
        <v/>
      </c>
      <c r="E2879" s="45" t="str">
        <f t="shared" si="24"/>
        <v/>
      </c>
      <c r="F2879" s="59" t="str">
        <f t="shared" si="25"/>
        <v/>
      </c>
      <c r="G2879" s="59" t="str">
        <f t="shared" si="26"/>
        <v/>
      </c>
      <c r="H2879" s="59" t="str">
        <f t="shared" si="27"/>
        <v>28C01622</v>
      </c>
      <c r="I2879" s="59" t="str">
        <f>IF(OR($A2879="",$C2879="",$D2879="",$E2879="",$H2879=""),"",SUMIFS(DATA_GOC!$H:$H,DATA_GOC!$A:$A,"BOM",DATA_GOC!$D:$D,$H2879,DATA_GOC!$E:$E,$C2879,DATA_GOC!$F:$F,"Xuất nội bộ từ téc",DATA_GOC!$B:$B,"&gt;="&amp;$D2879,DATA_GOC!$B:$B,"&lt;="&amp;$E2879))</f>
        <v/>
      </c>
      <c r="J2879" s="59">
        <f t="shared" si="28"/>
        <v>0</v>
      </c>
      <c r="K2879" s="59">
        <f t="shared" si="29"/>
        <v>0</v>
      </c>
      <c r="L2879" s="59">
        <f t="shared" si="30"/>
        <v>0</v>
      </c>
      <c r="M2879" s="59">
        <f t="shared" si="31"/>
        <v>0</v>
      </c>
    </row>
    <row r="2880" ht="15.0" hidden="1" customHeight="1">
      <c r="A2880" s="59">
        <f t="shared" si="20"/>
        <v>45</v>
      </c>
      <c r="B2880" s="59" t="str">
        <f t="shared" si="21"/>
        <v/>
      </c>
      <c r="C2880" s="59" t="str">
        <f t="shared" si="22"/>
        <v/>
      </c>
      <c r="D2880" s="45" t="str">
        <f t="shared" si="23"/>
        <v/>
      </c>
      <c r="E2880" s="45" t="str">
        <f t="shared" si="24"/>
        <v/>
      </c>
      <c r="F2880" s="59" t="str">
        <f t="shared" si="25"/>
        <v/>
      </c>
      <c r="G2880" s="59" t="str">
        <f t="shared" si="26"/>
        <v/>
      </c>
      <c r="H2880" s="59" t="str">
        <f t="shared" si="27"/>
        <v>28C01647</v>
      </c>
      <c r="I2880" s="59" t="str">
        <f>IF(OR($A2880="",$C2880="",$D2880="",$E2880="",$H2880=""),"",SUMIFS(DATA_GOC!$H:$H,DATA_GOC!$A:$A,"BOM",DATA_GOC!$D:$D,$H2880,DATA_GOC!$E:$E,$C2880,DATA_GOC!$F:$F,"Xuất nội bộ từ téc",DATA_GOC!$B:$B,"&gt;="&amp;$D2880,DATA_GOC!$B:$B,"&lt;="&amp;$E2880))</f>
        <v/>
      </c>
      <c r="J2880" s="59">
        <f t="shared" si="28"/>
        <v>0</v>
      </c>
      <c r="K2880" s="59">
        <f t="shared" si="29"/>
        <v>0</v>
      </c>
      <c r="L2880" s="59">
        <f t="shared" si="30"/>
        <v>0</v>
      </c>
      <c r="M2880" s="59">
        <f t="shared" si="31"/>
        <v>0</v>
      </c>
    </row>
    <row r="2881" ht="15.0" hidden="1" customHeight="1">
      <c r="A2881" s="59">
        <f t="shared" si="20"/>
        <v>45</v>
      </c>
      <c r="B2881" s="59" t="str">
        <f t="shared" si="21"/>
        <v/>
      </c>
      <c r="C2881" s="59" t="str">
        <f t="shared" si="22"/>
        <v/>
      </c>
      <c r="D2881" s="45" t="str">
        <f t="shared" si="23"/>
        <v/>
      </c>
      <c r="E2881" s="45" t="str">
        <f t="shared" si="24"/>
        <v/>
      </c>
      <c r="F2881" s="59" t="str">
        <f t="shared" si="25"/>
        <v/>
      </c>
      <c r="G2881" s="59" t="str">
        <f t="shared" si="26"/>
        <v/>
      </c>
      <c r="H2881" s="59" t="str">
        <f t="shared" si="27"/>
        <v>28C01731</v>
      </c>
      <c r="I2881" s="59" t="str">
        <f>IF(OR($A2881="",$C2881="",$D2881="",$E2881="",$H2881=""),"",SUMIFS(DATA_GOC!$H:$H,DATA_GOC!$A:$A,"BOM",DATA_GOC!$D:$D,$H2881,DATA_GOC!$E:$E,$C2881,DATA_GOC!$F:$F,"Xuất nội bộ từ téc",DATA_GOC!$B:$B,"&gt;="&amp;$D2881,DATA_GOC!$B:$B,"&lt;="&amp;$E2881))</f>
        <v/>
      </c>
      <c r="J2881" s="59">
        <f t="shared" si="28"/>
        <v>0</v>
      </c>
      <c r="K2881" s="59">
        <f t="shared" si="29"/>
        <v>0</v>
      </c>
      <c r="L2881" s="59">
        <f t="shared" si="30"/>
        <v>0</v>
      </c>
      <c r="M2881" s="59">
        <f t="shared" si="31"/>
        <v>0</v>
      </c>
    </row>
    <row r="2882" ht="15.0" hidden="1" customHeight="1">
      <c r="A2882" s="59">
        <f t="shared" si="20"/>
        <v>45</v>
      </c>
      <c r="B2882" s="59" t="str">
        <f t="shared" si="21"/>
        <v/>
      </c>
      <c r="C2882" s="59" t="str">
        <f t="shared" si="22"/>
        <v/>
      </c>
      <c r="D2882" s="45" t="str">
        <f t="shared" si="23"/>
        <v/>
      </c>
      <c r="E2882" s="45" t="str">
        <f t="shared" si="24"/>
        <v/>
      </c>
      <c r="F2882" s="59" t="str">
        <f t="shared" si="25"/>
        <v/>
      </c>
      <c r="G2882" s="59" t="str">
        <f t="shared" si="26"/>
        <v/>
      </c>
      <c r="H2882" s="59" t="str">
        <f t="shared" si="27"/>
        <v>28C01743</v>
      </c>
      <c r="I2882" s="59" t="str">
        <f>IF(OR($A2882="",$C2882="",$D2882="",$E2882="",$H2882=""),"",SUMIFS(DATA_GOC!$H:$H,DATA_GOC!$A:$A,"BOM",DATA_GOC!$D:$D,$H2882,DATA_GOC!$E:$E,$C2882,DATA_GOC!$F:$F,"Xuất nội bộ từ téc",DATA_GOC!$B:$B,"&gt;="&amp;$D2882,DATA_GOC!$B:$B,"&lt;="&amp;$E2882))</f>
        <v/>
      </c>
      <c r="J2882" s="59">
        <f t="shared" si="28"/>
        <v>0</v>
      </c>
      <c r="K2882" s="59">
        <f t="shared" si="29"/>
        <v>0</v>
      </c>
      <c r="L2882" s="59">
        <f t="shared" si="30"/>
        <v>0</v>
      </c>
      <c r="M2882" s="59">
        <f t="shared" si="31"/>
        <v>0</v>
      </c>
    </row>
    <row r="2883" ht="15.0" hidden="1" customHeight="1">
      <c r="A2883" s="59">
        <f t="shared" si="20"/>
        <v>45</v>
      </c>
      <c r="B2883" s="59" t="str">
        <f t="shared" si="21"/>
        <v/>
      </c>
      <c r="C2883" s="59" t="str">
        <f t="shared" si="22"/>
        <v/>
      </c>
      <c r="D2883" s="45" t="str">
        <f t="shared" si="23"/>
        <v/>
      </c>
      <c r="E2883" s="45" t="str">
        <f t="shared" si="24"/>
        <v/>
      </c>
      <c r="F2883" s="59" t="str">
        <f t="shared" si="25"/>
        <v/>
      </c>
      <c r="G2883" s="59" t="str">
        <f t="shared" si="26"/>
        <v/>
      </c>
      <c r="H2883" s="59" t="str">
        <f t="shared" si="27"/>
        <v>28C02106</v>
      </c>
      <c r="I2883" s="59" t="str">
        <f>IF(OR($A2883="",$C2883="",$D2883="",$E2883="",$H2883=""),"",SUMIFS(DATA_GOC!$H:$H,DATA_GOC!$A:$A,"BOM",DATA_GOC!$D:$D,$H2883,DATA_GOC!$E:$E,$C2883,DATA_GOC!$F:$F,"Xuất nội bộ từ téc",DATA_GOC!$B:$B,"&gt;="&amp;$D2883,DATA_GOC!$B:$B,"&lt;="&amp;$E2883))</f>
        <v/>
      </c>
      <c r="J2883" s="59">
        <f t="shared" si="28"/>
        <v>0</v>
      </c>
      <c r="K2883" s="59">
        <f t="shared" si="29"/>
        <v>0</v>
      </c>
      <c r="L2883" s="59">
        <f t="shared" si="30"/>
        <v>0</v>
      </c>
      <c r="M2883" s="59">
        <f t="shared" si="31"/>
        <v>0</v>
      </c>
    </row>
    <row r="2884" ht="15.0" hidden="1" customHeight="1">
      <c r="A2884" s="59">
        <f t="shared" si="20"/>
        <v>45</v>
      </c>
      <c r="B2884" s="59" t="str">
        <f t="shared" si="21"/>
        <v/>
      </c>
      <c r="C2884" s="59" t="str">
        <f t="shared" si="22"/>
        <v/>
      </c>
      <c r="D2884" s="45" t="str">
        <f t="shared" si="23"/>
        <v/>
      </c>
      <c r="E2884" s="45" t="str">
        <f t="shared" si="24"/>
        <v/>
      </c>
      <c r="F2884" s="59" t="str">
        <f t="shared" si="25"/>
        <v/>
      </c>
      <c r="G2884" s="59" t="str">
        <f t="shared" si="26"/>
        <v/>
      </c>
      <c r="H2884" s="59" t="str">
        <f t="shared" si="27"/>
        <v>28C02410</v>
      </c>
      <c r="I2884" s="59" t="str">
        <f>IF(OR($A2884="",$C2884="",$D2884="",$E2884="",$H2884=""),"",SUMIFS(DATA_GOC!$H:$H,DATA_GOC!$A:$A,"BOM",DATA_GOC!$D:$D,$H2884,DATA_GOC!$E:$E,$C2884,DATA_GOC!$F:$F,"Xuất nội bộ từ téc",DATA_GOC!$B:$B,"&gt;="&amp;$D2884,DATA_GOC!$B:$B,"&lt;="&amp;$E2884))</f>
        <v/>
      </c>
      <c r="J2884" s="59">
        <f t="shared" si="28"/>
        <v>0</v>
      </c>
      <c r="K2884" s="59">
        <f t="shared" si="29"/>
        <v>0</v>
      </c>
      <c r="L2884" s="59">
        <f t="shared" si="30"/>
        <v>0</v>
      </c>
      <c r="M2884" s="59">
        <f t="shared" si="31"/>
        <v>0</v>
      </c>
    </row>
    <row r="2885" ht="15.0" hidden="1" customHeight="1">
      <c r="A2885" s="59">
        <f t="shared" si="20"/>
        <v>45</v>
      </c>
      <c r="B2885" s="59" t="str">
        <f t="shared" si="21"/>
        <v/>
      </c>
      <c r="C2885" s="59" t="str">
        <f t="shared" si="22"/>
        <v/>
      </c>
      <c r="D2885" s="45" t="str">
        <f t="shared" si="23"/>
        <v/>
      </c>
      <c r="E2885" s="45" t="str">
        <f t="shared" si="24"/>
        <v/>
      </c>
      <c r="F2885" s="59" t="str">
        <f t="shared" si="25"/>
        <v/>
      </c>
      <c r="G2885" s="59" t="str">
        <f t="shared" si="26"/>
        <v/>
      </c>
      <c r="H2885" s="59" t="str">
        <f t="shared" si="27"/>
        <v>28C02545</v>
      </c>
      <c r="I2885" s="59" t="str">
        <f>IF(OR($A2885="",$C2885="",$D2885="",$E2885="",$H2885=""),"",SUMIFS(DATA_GOC!$H:$H,DATA_GOC!$A:$A,"BOM",DATA_GOC!$D:$D,$H2885,DATA_GOC!$E:$E,$C2885,DATA_GOC!$F:$F,"Xuất nội bộ từ téc",DATA_GOC!$B:$B,"&gt;="&amp;$D2885,DATA_GOC!$B:$B,"&lt;="&amp;$E2885))</f>
        <v/>
      </c>
      <c r="J2885" s="59">
        <f t="shared" si="28"/>
        <v>0</v>
      </c>
      <c r="K2885" s="59">
        <f t="shared" si="29"/>
        <v>0</v>
      </c>
      <c r="L2885" s="59">
        <f t="shared" si="30"/>
        <v>0</v>
      </c>
      <c r="M2885" s="59">
        <f t="shared" si="31"/>
        <v>0</v>
      </c>
    </row>
    <row r="2886" ht="15.0" hidden="1" customHeight="1">
      <c r="A2886" s="59">
        <f t="shared" si="20"/>
        <v>45</v>
      </c>
      <c r="B2886" s="59" t="str">
        <f t="shared" si="21"/>
        <v/>
      </c>
      <c r="C2886" s="59" t="str">
        <f t="shared" si="22"/>
        <v/>
      </c>
      <c r="D2886" s="45" t="str">
        <f t="shared" si="23"/>
        <v/>
      </c>
      <c r="E2886" s="45" t="str">
        <f t="shared" si="24"/>
        <v/>
      </c>
      <c r="F2886" s="59" t="str">
        <f t="shared" si="25"/>
        <v/>
      </c>
      <c r="G2886" s="59" t="str">
        <f t="shared" si="26"/>
        <v/>
      </c>
      <c r="H2886" s="59" t="str">
        <f t="shared" si="27"/>
        <v>28C02574</v>
      </c>
      <c r="I2886" s="59" t="str">
        <f>IF(OR($A2886="",$C2886="",$D2886="",$E2886="",$H2886=""),"",SUMIFS(DATA_GOC!$H:$H,DATA_GOC!$A:$A,"BOM",DATA_GOC!$D:$D,$H2886,DATA_GOC!$E:$E,$C2886,DATA_GOC!$F:$F,"Xuất nội bộ từ téc",DATA_GOC!$B:$B,"&gt;="&amp;$D2886,DATA_GOC!$B:$B,"&lt;="&amp;$E2886))</f>
        <v/>
      </c>
      <c r="J2886" s="59">
        <f t="shared" si="28"/>
        <v>0</v>
      </c>
      <c r="K2886" s="59">
        <f t="shared" si="29"/>
        <v>0</v>
      </c>
      <c r="L2886" s="59">
        <f t="shared" si="30"/>
        <v>0</v>
      </c>
      <c r="M2886" s="59">
        <f t="shared" si="31"/>
        <v>0</v>
      </c>
    </row>
    <row r="2887" ht="15.0" hidden="1" customHeight="1">
      <c r="A2887" s="59">
        <f t="shared" si="20"/>
        <v>45</v>
      </c>
      <c r="B2887" s="59" t="str">
        <f t="shared" si="21"/>
        <v/>
      </c>
      <c r="C2887" s="59" t="str">
        <f t="shared" si="22"/>
        <v/>
      </c>
      <c r="D2887" s="45" t="str">
        <f t="shared" si="23"/>
        <v/>
      </c>
      <c r="E2887" s="45" t="str">
        <f t="shared" si="24"/>
        <v/>
      </c>
      <c r="F2887" s="59" t="str">
        <f t="shared" si="25"/>
        <v/>
      </c>
      <c r="G2887" s="59" t="str">
        <f t="shared" si="26"/>
        <v/>
      </c>
      <c r="H2887" s="59" t="str">
        <f t="shared" si="27"/>
        <v>28C02770</v>
      </c>
      <c r="I2887" s="59" t="str">
        <f>IF(OR($A2887="",$C2887="",$D2887="",$E2887="",$H2887=""),"",SUMIFS(DATA_GOC!$H:$H,DATA_GOC!$A:$A,"BOM",DATA_GOC!$D:$D,$H2887,DATA_GOC!$E:$E,$C2887,DATA_GOC!$F:$F,"Xuất nội bộ từ téc",DATA_GOC!$B:$B,"&gt;="&amp;$D2887,DATA_GOC!$B:$B,"&lt;="&amp;$E2887))</f>
        <v/>
      </c>
      <c r="J2887" s="59">
        <f t="shared" si="28"/>
        <v>0</v>
      </c>
      <c r="K2887" s="59">
        <f t="shared" si="29"/>
        <v>0</v>
      </c>
      <c r="L2887" s="59">
        <f t="shared" si="30"/>
        <v>0</v>
      </c>
      <c r="M2887" s="59">
        <f t="shared" si="31"/>
        <v>0</v>
      </c>
    </row>
    <row r="2888" ht="15.0" hidden="1" customHeight="1">
      <c r="A2888" s="59">
        <f t="shared" si="20"/>
        <v>45</v>
      </c>
      <c r="B2888" s="59" t="str">
        <f t="shared" si="21"/>
        <v/>
      </c>
      <c r="C2888" s="59" t="str">
        <f t="shared" si="22"/>
        <v/>
      </c>
      <c r="D2888" s="45" t="str">
        <f t="shared" si="23"/>
        <v/>
      </c>
      <c r="E2888" s="45" t="str">
        <f t="shared" si="24"/>
        <v/>
      </c>
      <c r="F2888" s="59" t="str">
        <f t="shared" si="25"/>
        <v/>
      </c>
      <c r="G2888" s="59" t="str">
        <f t="shared" si="26"/>
        <v/>
      </c>
      <c r="H2888" s="59" t="str">
        <f t="shared" si="27"/>
        <v>28C02986</v>
      </c>
      <c r="I2888" s="59" t="str">
        <f>IF(OR($A2888="",$C2888="",$D2888="",$E2888="",$H2888=""),"",SUMIFS(DATA_GOC!$H:$H,DATA_GOC!$A:$A,"BOM",DATA_GOC!$D:$D,$H2888,DATA_GOC!$E:$E,$C2888,DATA_GOC!$F:$F,"Xuất nội bộ từ téc",DATA_GOC!$B:$B,"&gt;="&amp;$D2888,DATA_GOC!$B:$B,"&lt;="&amp;$E2888))</f>
        <v/>
      </c>
      <c r="J2888" s="59">
        <f t="shared" si="28"/>
        <v>0</v>
      </c>
      <c r="K2888" s="59">
        <f t="shared" si="29"/>
        <v>0</v>
      </c>
      <c r="L2888" s="59">
        <f t="shared" si="30"/>
        <v>0</v>
      </c>
      <c r="M2888" s="59">
        <f t="shared" si="31"/>
        <v>0</v>
      </c>
    </row>
    <row r="2889" ht="15.0" hidden="1" customHeight="1">
      <c r="A2889" s="59">
        <f t="shared" si="20"/>
        <v>45</v>
      </c>
      <c r="B2889" s="59" t="str">
        <f t="shared" si="21"/>
        <v/>
      </c>
      <c r="C2889" s="59" t="str">
        <f t="shared" si="22"/>
        <v/>
      </c>
      <c r="D2889" s="45" t="str">
        <f t="shared" si="23"/>
        <v/>
      </c>
      <c r="E2889" s="45" t="str">
        <f t="shared" si="24"/>
        <v/>
      </c>
      <c r="F2889" s="59" t="str">
        <f t="shared" si="25"/>
        <v/>
      </c>
      <c r="G2889" s="59" t="str">
        <f t="shared" si="26"/>
        <v/>
      </c>
      <c r="H2889" s="59" t="str">
        <f t="shared" si="27"/>
        <v>28C03261</v>
      </c>
      <c r="I2889" s="59" t="str">
        <f>IF(OR($A2889="",$C2889="",$D2889="",$E2889="",$H2889=""),"",SUMIFS(DATA_GOC!$H:$H,DATA_GOC!$A:$A,"BOM",DATA_GOC!$D:$D,$H2889,DATA_GOC!$E:$E,$C2889,DATA_GOC!$F:$F,"Xuất nội bộ từ téc",DATA_GOC!$B:$B,"&gt;="&amp;$D2889,DATA_GOC!$B:$B,"&lt;="&amp;$E2889))</f>
        <v/>
      </c>
      <c r="J2889" s="59">
        <f t="shared" si="28"/>
        <v>0</v>
      </c>
      <c r="K2889" s="59">
        <f t="shared" si="29"/>
        <v>0</v>
      </c>
      <c r="L2889" s="59">
        <f t="shared" si="30"/>
        <v>0</v>
      </c>
      <c r="M2889" s="59">
        <f t="shared" si="31"/>
        <v>0</v>
      </c>
    </row>
    <row r="2890" ht="15.0" hidden="1" customHeight="1">
      <c r="A2890" s="59">
        <f t="shared" si="20"/>
        <v>45</v>
      </c>
      <c r="B2890" s="59" t="str">
        <f t="shared" si="21"/>
        <v/>
      </c>
      <c r="C2890" s="59" t="str">
        <f t="shared" si="22"/>
        <v/>
      </c>
      <c r="D2890" s="45" t="str">
        <f t="shared" si="23"/>
        <v/>
      </c>
      <c r="E2890" s="45" t="str">
        <f t="shared" si="24"/>
        <v/>
      </c>
      <c r="F2890" s="59" t="str">
        <f t="shared" si="25"/>
        <v/>
      </c>
      <c r="G2890" s="59" t="str">
        <f t="shared" si="26"/>
        <v/>
      </c>
      <c r="H2890" s="59" t="str">
        <f t="shared" si="27"/>
        <v>28C03323</v>
      </c>
      <c r="I2890" s="59" t="str">
        <f>IF(OR($A2890="",$C2890="",$D2890="",$E2890="",$H2890=""),"",SUMIFS(DATA_GOC!$H:$H,DATA_GOC!$A:$A,"BOM",DATA_GOC!$D:$D,$H2890,DATA_GOC!$E:$E,$C2890,DATA_GOC!$F:$F,"Xuất nội bộ từ téc",DATA_GOC!$B:$B,"&gt;="&amp;$D2890,DATA_GOC!$B:$B,"&lt;="&amp;$E2890))</f>
        <v/>
      </c>
      <c r="J2890" s="59">
        <f t="shared" si="28"/>
        <v>0</v>
      </c>
      <c r="K2890" s="59">
        <f t="shared" si="29"/>
        <v>0</v>
      </c>
      <c r="L2890" s="59">
        <f t="shared" si="30"/>
        <v>0</v>
      </c>
      <c r="M2890" s="59">
        <f t="shared" si="31"/>
        <v>0</v>
      </c>
    </row>
    <row r="2891" ht="15.0" hidden="1" customHeight="1">
      <c r="A2891" s="59">
        <f t="shared" si="20"/>
        <v>45</v>
      </c>
      <c r="B2891" s="59" t="str">
        <f t="shared" si="21"/>
        <v/>
      </c>
      <c r="C2891" s="59" t="str">
        <f t="shared" si="22"/>
        <v/>
      </c>
      <c r="D2891" s="45" t="str">
        <f t="shared" si="23"/>
        <v/>
      </c>
      <c r="E2891" s="45" t="str">
        <f t="shared" si="24"/>
        <v/>
      </c>
      <c r="F2891" s="59" t="str">
        <f t="shared" si="25"/>
        <v/>
      </c>
      <c r="G2891" s="59" t="str">
        <f t="shared" si="26"/>
        <v/>
      </c>
      <c r="H2891" s="59" t="str">
        <f t="shared" si="27"/>
        <v>28C03385</v>
      </c>
      <c r="I2891" s="59" t="str">
        <f>IF(OR($A2891="",$C2891="",$D2891="",$E2891="",$H2891=""),"",SUMIFS(DATA_GOC!$H:$H,DATA_GOC!$A:$A,"BOM",DATA_GOC!$D:$D,$H2891,DATA_GOC!$E:$E,$C2891,DATA_GOC!$F:$F,"Xuất nội bộ từ téc",DATA_GOC!$B:$B,"&gt;="&amp;$D2891,DATA_GOC!$B:$B,"&lt;="&amp;$E2891))</f>
        <v/>
      </c>
      <c r="J2891" s="59">
        <f t="shared" si="28"/>
        <v>0</v>
      </c>
      <c r="K2891" s="59">
        <f t="shared" si="29"/>
        <v>0</v>
      </c>
      <c r="L2891" s="59">
        <f t="shared" si="30"/>
        <v>0</v>
      </c>
      <c r="M2891" s="59">
        <f t="shared" si="31"/>
        <v>0</v>
      </c>
    </row>
    <row r="2892" ht="15.0" hidden="1" customHeight="1">
      <c r="A2892" s="59">
        <f t="shared" si="20"/>
        <v>45</v>
      </c>
      <c r="B2892" s="59" t="str">
        <f t="shared" si="21"/>
        <v/>
      </c>
      <c r="C2892" s="59" t="str">
        <f t="shared" si="22"/>
        <v/>
      </c>
      <c r="D2892" s="45" t="str">
        <f t="shared" si="23"/>
        <v/>
      </c>
      <c r="E2892" s="45" t="str">
        <f t="shared" si="24"/>
        <v/>
      </c>
      <c r="F2892" s="59" t="str">
        <f t="shared" si="25"/>
        <v/>
      </c>
      <c r="G2892" s="59" t="str">
        <f t="shared" si="26"/>
        <v/>
      </c>
      <c r="H2892" s="59" t="str">
        <f t="shared" si="27"/>
        <v>28C03652</v>
      </c>
      <c r="I2892" s="59" t="str">
        <f>IF(OR($A2892="",$C2892="",$D2892="",$E2892="",$H2892=""),"",SUMIFS(DATA_GOC!$H:$H,DATA_GOC!$A:$A,"BOM",DATA_GOC!$D:$D,$H2892,DATA_GOC!$E:$E,$C2892,DATA_GOC!$F:$F,"Xuất nội bộ từ téc",DATA_GOC!$B:$B,"&gt;="&amp;$D2892,DATA_GOC!$B:$B,"&lt;="&amp;$E2892))</f>
        <v/>
      </c>
      <c r="J2892" s="59">
        <f t="shared" si="28"/>
        <v>0</v>
      </c>
      <c r="K2892" s="59">
        <f t="shared" si="29"/>
        <v>0</v>
      </c>
      <c r="L2892" s="59">
        <f t="shared" si="30"/>
        <v>0</v>
      </c>
      <c r="M2892" s="59">
        <f t="shared" si="31"/>
        <v>0</v>
      </c>
    </row>
    <row r="2893" ht="15.0" hidden="1" customHeight="1">
      <c r="A2893" s="59">
        <f t="shared" si="20"/>
        <v>45</v>
      </c>
      <c r="B2893" s="59" t="str">
        <f t="shared" si="21"/>
        <v/>
      </c>
      <c r="C2893" s="59" t="str">
        <f t="shared" si="22"/>
        <v/>
      </c>
      <c r="D2893" s="45" t="str">
        <f t="shared" si="23"/>
        <v/>
      </c>
      <c r="E2893" s="45" t="str">
        <f t="shared" si="24"/>
        <v/>
      </c>
      <c r="F2893" s="59" t="str">
        <f t="shared" si="25"/>
        <v/>
      </c>
      <c r="G2893" s="59" t="str">
        <f t="shared" si="26"/>
        <v/>
      </c>
      <c r="H2893" s="59" t="str">
        <f t="shared" si="27"/>
        <v>28C03695</v>
      </c>
      <c r="I2893" s="59" t="str">
        <f>IF(OR($A2893="",$C2893="",$D2893="",$E2893="",$H2893=""),"",SUMIFS(DATA_GOC!$H:$H,DATA_GOC!$A:$A,"BOM",DATA_GOC!$D:$D,$H2893,DATA_GOC!$E:$E,$C2893,DATA_GOC!$F:$F,"Xuất nội bộ từ téc",DATA_GOC!$B:$B,"&gt;="&amp;$D2893,DATA_GOC!$B:$B,"&lt;="&amp;$E2893))</f>
        <v/>
      </c>
      <c r="J2893" s="59">
        <f t="shared" si="28"/>
        <v>0</v>
      </c>
      <c r="K2893" s="59">
        <f t="shared" si="29"/>
        <v>0</v>
      </c>
      <c r="L2893" s="59">
        <f t="shared" si="30"/>
        <v>0</v>
      </c>
      <c r="M2893" s="59">
        <f t="shared" si="31"/>
        <v>0</v>
      </c>
    </row>
    <row r="2894" ht="15.0" hidden="1" customHeight="1">
      <c r="A2894" s="59">
        <f t="shared" si="20"/>
        <v>45</v>
      </c>
      <c r="B2894" s="59" t="str">
        <f t="shared" si="21"/>
        <v/>
      </c>
      <c r="C2894" s="59" t="str">
        <f t="shared" si="22"/>
        <v/>
      </c>
      <c r="D2894" s="45" t="str">
        <f t="shared" si="23"/>
        <v/>
      </c>
      <c r="E2894" s="45" t="str">
        <f t="shared" si="24"/>
        <v/>
      </c>
      <c r="F2894" s="59" t="str">
        <f t="shared" si="25"/>
        <v/>
      </c>
      <c r="G2894" s="59" t="str">
        <f t="shared" si="26"/>
        <v/>
      </c>
      <c r="H2894" s="59" t="str">
        <f t="shared" si="27"/>
        <v>28C03927</v>
      </c>
      <c r="I2894" s="59" t="str">
        <f>IF(OR($A2894="",$C2894="",$D2894="",$E2894="",$H2894=""),"",SUMIFS(DATA_GOC!$H:$H,DATA_GOC!$A:$A,"BOM",DATA_GOC!$D:$D,$H2894,DATA_GOC!$E:$E,$C2894,DATA_GOC!$F:$F,"Xuất nội bộ từ téc",DATA_GOC!$B:$B,"&gt;="&amp;$D2894,DATA_GOC!$B:$B,"&lt;="&amp;$E2894))</f>
        <v/>
      </c>
      <c r="J2894" s="59">
        <f t="shared" si="28"/>
        <v>0</v>
      </c>
      <c r="K2894" s="59">
        <f t="shared" si="29"/>
        <v>0</v>
      </c>
      <c r="L2894" s="59">
        <f t="shared" si="30"/>
        <v>0</v>
      </c>
      <c r="M2894" s="59">
        <f t="shared" si="31"/>
        <v>0</v>
      </c>
    </row>
    <row r="2895" ht="15.0" hidden="1" customHeight="1">
      <c r="A2895" s="59">
        <f t="shared" si="20"/>
        <v>45</v>
      </c>
      <c r="B2895" s="59" t="str">
        <f t="shared" si="21"/>
        <v/>
      </c>
      <c r="C2895" s="59" t="str">
        <f t="shared" si="22"/>
        <v/>
      </c>
      <c r="D2895" s="45" t="str">
        <f t="shared" si="23"/>
        <v/>
      </c>
      <c r="E2895" s="45" t="str">
        <f t="shared" si="24"/>
        <v/>
      </c>
      <c r="F2895" s="59" t="str">
        <f t="shared" si="25"/>
        <v/>
      </c>
      <c r="G2895" s="59" t="str">
        <f t="shared" si="26"/>
        <v/>
      </c>
      <c r="H2895" s="59" t="str">
        <f t="shared" si="27"/>
        <v>28C04509</v>
      </c>
      <c r="I2895" s="59" t="str">
        <f>IF(OR($A2895="",$C2895="",$D2895="",$E2895="",$H2895=""),"",SUMIFS(DATA_GOC!$H:$H,DATA_GOC!$A:$A,"BOM",DATA_GOC!$D:$D,$H2895,DATA_GOC!$E:$E,$C2895,DATA_GOC!$F:$F,"Xuất nội bộ từ téc",DATA_GOC!$B:$B,"&gt;="&amp;$D2895,DATA_GOC!$B:$B,"&lt;="&amp;$E2895))</f>
        <v/>
      </c>
      <c r="J2895" s="59">
        <f t="shared" si="28"/>
        <v>0</v>
      </c>
      <c r="K2895" s="59">
        <f t="shared" si="29"/>
        <v>0</v>
      </c>
      <c r="L2895" s="59">
        <f t="shared" si="30"/>
        <v>0</v>
      </c>
      <c r="M2895" s="59">
        <f t="shared" si="31"/>
        <v>0</v>
      </c>
    </row>
    <row r="2896" ht="15.0" hidden="1" customHeight="1">
      <c r="A2896" s="59">
        <f t="shared" si="20"/>
        <v>45</v>
      </c>
      <c r="B2896" s="59" t="str">
        <f t="shared" si="21"/>
        <v/>
      </c>
      <c r="C2896" s="59" t="str">
        <f t="shared" si="22"/>
        <v/>
      </c>
      <c r="D2896" s="45" t="str">
        <f t="shared" si="23"/>
        <v/>
      </c>
      <c r="E2896" s="45" t="str">
        <f t="shared" si="24"/>
        <v/>
      </c>
      <c r="F2896" s="59" t="str">
        <f t="shared" si="25"/>
        <v/>
      </c>
      <c r="G2896" s="59" t="str">
        <f t="shared" si="26"/>
        <v/>
      </c>
      <c r="H2896" s="59" t="str">
        <f t="shared" si="27"/>
        <v>28C04536</v>
      </c>
      <c r="I2896" s="59" t="str">
        <f>IF(OR($A2896="",$C2896="",$D2896="",$E2896="",$H2896=""),"",SUMIFS(DATA_GOC!$H:$H,DATA_GOC!$A:$A,"BOM",DATA_GOC!$D:$D,$H2896,DATA_GOC!$E:$E,$C2896,DATA_GOC!$F:$F,"Xuất nội bộ từ téc",DATA_GOC!$B:$B,"&gt;="&amp;$D2896,DATA_GOC!$B:$B,"&lt;="&amp;$E2896))</f>
        <v/>
      </c>
      <c r="J2896" s="59">
        <f t="shared" si="28"/>
        <v>0</v>
      </c>
      <c r="K2896" s="59">
        <f t="shared" si="29"/>
        <v>0</v>
      </c>
      <c r="L2896" s="59">
        <f t="shared" si="30"/>
        <v>0</v>
      </c>
      <c r="M2896" s="59">
        <f t="shared" si="31"/>
        <v>0</v>
      </c>
    </row>
    <row r="2897" ht="15.0" hidden="1" customHeight="1">
      <c r="A2897" s="59">
        <f t="shared" si="20"/>
        <v>45</v>
      </c>
      <c r="B2897" s="59" t="str">
        <f t="shared" si="21"/>
        <v/>
      </c>
      <c r="C2897" s="59" t="str">
        <f t="shared" si="22"/>
        <v/>
      </c>
      <c r="D2897" s="45" t="str">
        <f t="shared" si="23"/>
        <v/>
      </c>
      <c r="E2897" s="45" t="str">
        <f t="shared" si="24"/>
        <v/>
      </c>
      <c r="F2897" s="59" t="str">
        <f t="shared" si="25"/>
        <v/>
      </c>
      <c r="G2897" s="59" t="str">
        <f t="shared" si="26"/>
        <v/>
      </c>
      <c r="H2897" s="59" t="str">
        <f t="shared" si="27"/>
        <v>28C04576</v>
      </c>
      <c r="I2897" s="59" t="str">
        <f>IF(OR($A2897="",$C2897="",$D2897="",$E2897="",$H2897=""),"",SUMIFS(DATA_GOC!$H:$H,DATA_GOC!$A:$A,"BOM",DATA_GOC!$D:$D,$H2897,DATA_GOC!$E:$E,$C2897,DATA_GOC!$F:$F,"Xuất nội bộ từ téc",DATA_GOC!$B:$B,"&gt;="&amp;$D2897,DATA_GOC!$B:$B,"&lt;="&amp;$E2897))</f>
        <v/>
      </c>
      <c r="J2897" s="59">
        <f t="shared" si="28"/>
        <v>0</v>
      </c>
      <c r="K2897" s="59">
        <f t="shared" si="29"/>
        <v>0</v>
      </c>
      <c r="L2897" s="59">
        <f t="shared" si="30"/>
        <v>0</v>
      </c>
      <c r="M2897" s="59">
        <f t="shared" si="31"/>
        <v>0</v>
      </c>
    </row>
    <row r="2898" ht="15.0" hidden="1" customHeight="1">
      <c r="A2898" s="59">
        <f t="shared" si="20"/>
        <v>45</v>
      </c>
      <c r="B2898" s="59" t="str">
        <f t="shared" si="21"/>
        <v/>
      </c>
      <c r="C2898" s="59" t="str">
        <f t="shared" si="22"/>
        <v/>
      </c>
      <c r="D2898" s="45" t="str">
        <f t="shared" si="23"/>
        <v/>
      </c>
      <c r="E2898" s="45" t="str">
        <f t="shared" si="24"/>
        <v/>
      </c>
      <c r="F2898" s="59" t="str">
        <f t="shared" si="25"/>
        <v/>
      </c>
      <c r="G2898" s="59" t="str">
        <f t="shared" si="26"/>
        <v/>
      </c>
      <c r="H2898" s="59" t="str">
        <f t="shared" si="27"/>
        <v>28C05090</v>
      </c>
      <c r="I2898" s="59" t="str">
        <f>IF(OR($A2898="",$C2898="",$D2898="",$E2898="",$H2898=""),"",SUMIFS(DATA_GOC!$H:$H,DATA_GOC!$A:$A,"BOM",DATA_GOC!$D:$D,$H2898,DATA_GOC!$E:$E,$C2898,DATA_GOC!$F:$F,"Xuất nội bộ từ téc",DATA_GOC!$B:$B,"&gt;="&amp;$D2898,DATA_GOC!$B:$B,"&lt;="&amp;$E2898))</f>
        <v/>
      </c>
      <c r="J2898" s="59">
        <f t="shared" si="28"/>
        <v>0</v>
      </c>
      <c r="K2898" s="59">
        <f t="shared" si="29"/>
        <v>0</v>
      </c>
      <c r="L2898" s="59">
        <f t="shared" si="30"/>
        <v>0</v>
      </c>
      <c r="M2898" s="59">
        <f t="shared" si="31"/>
        <v>0</v>
      </c>
    </row>
    <row r="2899" ht="15.0" hidden="1" customHeight="1">
      <c r="A2899" s="59">
        <f t="shared" si="20"/>
        <v>45</v>
      </c>
      <c r="B2899" s="59" t="str">
        <f t="shared" si="21"/>
        <v/>
      </c>
      <c r="C2899" s="59" t="str">
        <f t="shared" si="22"/>
        <v/>
      </c>
      <c r="D2899" s="45" t="str">
        <f t="shared" si="23"/>
        <v/>
      </c>
      <c r="E2899" s="45" t="str">
        <f t="shared" si="24"/>
        <v/>
      </c>
      <c r="F2899" s="59" t="str">
        <f t="shared" si="25"/>
        <v/>
      </c>
      <c r="G2899" s="59" t="str">
        <f t="shared" si="26"/>
        <v/>
      </c>
      <c r="H2899" s="59" t="str">
        <f t="shared" si="27"/>
        <v>28C05345</v>
      </c>
      <c r="I2899" s="59" t="str">
        <f>IF(OR($A2899="",$C2899="",$D2899="",$E2899="",$H2899=""),"",SUMIFS(DATA_GOC!$H:$H,DATA_GOC!$A:$A,"BOM",DATA_GOC!$D:$D,$H2899,DATA_GOC!$E:$E,$C2899,DATA_GOC!$F:$F,"Xuất nội bộ từ téc",DATA_GOC!$B:$B,"&gt;="&amp;$D2899,DATA_GOC!$B:$B,"&lt;="&amp;$E2899))</f>
        <v/>
      </c>
      <c r="J2899" s="59">
        <f t="shared" si="28"/>
        <v>0</v>
      </c>
      <c r="K2899" s="59">
        <f t="shared" si="29"/>
        <v>0</v>
      </c>
      <c r="L2899" s="59">
        <f t="shared" si="30"/>
        <v>0</v>
      </c>
      <c r="M2899" s="59">
        <f t="shared" si="31"/>
        <v>0</v>
      </c>
    </row>
    <row r="2900" ht="15.0" hidden="1" customHeight="1">
      <c r="A2900" s="59">
        <f t="shared" si="20"/>
        <v>45</v>
      </c>
      <c r="B2900" s="59" t="str">
        <f t="shared" si="21"/>
        <v/>
      </c>
      <c r="C2900" s="59" t="str">
        <f t="shared" si="22"/>
        <v/>
      </c>
      <c r="D2900" s="45" t="str">
        <f t="shared" si="23"/>
        <v/>
      </c>
      <c r="E2900" s="45" t="str">
        <f t="shared" si="24"/>
        <v/>
      </c>
      <c r="F2900" s="59" t="str">
        <f t="shared" si="25"/>
        <v/>
      </c>
      <c r="G2900" s="59" t="str">
        <f t="shared" si="26"/>
        <v/>
      </c>
      <c r="H2900" s="59" t="str">
        <f t="shared" si="27"/>
        <v>28C05661</v>
      </c>
      <c r="I2900" s="59" t="str">
        <f>IF(OR($A2900="",$C2900="",$D2900="",$E2900="",$H2900=""),"",SUMIFS(DATA_GOC!$H:$H,DATA_GOC!$A:$A,"BOM",DATA_GOC!$D:$D,$H2900,DATA_GOC!$E:$E,$C2900,DATA_GOC!$F:$F,"Xuất nội bộ từ téc",DATA_GOC!$B:$B,"&gt;="&amp;$D2900,DATA_GOC!$B:$B,"&lt;="&amp;$E2900))</f>
        <v/>
      </c>
      <c r="J2900" s="59">
        <f t="shared" si="28"/>
        <v>0</v>
      </c>
      <c r="K2900" s="59">
        <f t="shared" si="29"/>
        <v>0</v>
      </c>
      <c r="L2900" s="59">
        <f t="shared" si="30"/>
        <v>0</v>
      </c>
      <c r="M2900" s="59">
        <f t="shared" si="31"/>
        <v>0</v>
      </c>
    </row>
    <row r="2901" ht="15.0" hidden="1" customHeight="1">
      <c r="A2901" s="59">
        <f t="shared" si="20"/>
        <v>45</v>
      </c>
      <c r="B2901" s="59" t="str">
        <f t="shared" si="21"/>
        <v/>
      </c>
      <c r="C2901" s="59" t="str">
        <f t="shared" si="22"/>
        <v/>
      </c>
      <c r="D2901" s="45" t="str">
        <f t="shared" si="23"/>
        <v/>
      </c>
      <c r="E2901" s="45" t="str">
        <f t="shared" si="24"/>
        <v/>
      </c>
      <c r="F2901" s="59" t="str">
        <f t="shared" si="25"/>
        <v/>
      </c>
      <c r="G2901" s="59" t="str">
        <f t="shared" si="26"/>
        <v/>
      </c>
      <c r="H2901" s="59" t="str">
        <f t="shared" si="27"/>
        <v>28C05739</v>
      </c>
      <c r="I2901" s="59" t="str">
        <f>IF(OR($A2901="",$C2901="",$D2901="",$E2901="",$H2901=""),"",SUMIFS(DATA_GOC!$H:$H,DATA_GOC!$A:$A,"BOM",DATA_GOC!$D:$D,$H2901,DATA_GOC!$E:$E,$C2901,DATA_GOC!$F:$F,"Xuất nội bộ từ téc",DATA_GOC!$B:$B,"&gt;="&amp;$D2901,DATA_GOC!$B:$B,"&lt;="&amp;$E2901))</f>
        <v/>
      </c>
      <c r="J2901" s="59">
        <f t="shared" si="28"/>
        <v>0</v>
      </c>
      <c r="K2901" s="59">
        <f t="shared" si="29"/>
        <v>0</v>
      </c>
      <c r="L2901" s="59">
        <f t="shared" si="30"/>
        <v>0</v>
      </c>
      <c r="M2901" s="59">
        <f t="shared" si="31"/>
        <v>0</v>
      </c>
    </row>
    <row r="2902" ht="15.0" hidden="1" customHeight="1">
      <c r="A2902" s="59">
        <f t="shared" si="20"/>
        <v>45</v>
      </c>
      <c r="B2902" s="59" t="str">
        <f t="shared" si="21"/>
        <v/>
      </c>
      <c r="C2902" s="59" t="str">
        <f t="shared" si="22"/>
        <v/>
      </c>
      <c r="D2902" s="45" t="str">
        <f t="shared" si="23"/>
        <v/>
      </c>
      <c r="E2902" s="45" t="str">
        <f t="shared" si="24"/>
        <v/>
      </c>
      <c r="F2902" s="59" t="str">
        <f t="shared" si="25"/>
        <v/>
      </c>
      <c r="G2902" s="59" t="str">
        <f t="shared" si="26"/>
        <v/>
      </c>
      <c r="H2902" s="59" t="str">
        <f t="shared" si="27"/>
        <v>28C06369</v>
      </c>
      <c r="I2902" s="59" t="str">
        <f>IF(OR($A2902="",$C2902="",$D2902="",$E2902="",$H2902=""),"",SUMIFS(DATA_GOC!$H:$H,DATA_GOC!$A:$A,"BOM",DATA_GOC!$D:$D,$H2902,DATA_GOC!$E:$E,$C2902,DATA_GOC!$F:$F,"Xuất nội bộ từ téc",DATA_GOC!$B:$B,"&gt;="&amp;$D2902,DATA_GOC!$B:$B,"&lt;="&amp;$E2902))</f>
        <v/>
      </c>
      <c r="J2902" s="59">
        <f t="shared" si="28"/>
        <v>0</v>
      </c>
      <c r="K2902" s="59">
        <f t="shared" si="29"/>
        <v>0</v>
      </c>
      <c r="L2902" s="59">
        <f t="shared" si="30"/>
        <v>0</v>
      </c>
      <c r="M2902" s="59">
        <f t="shared" si="31"/>
        <v>0</v>
      </c>
    </row>
    <row r="2903" ht="15.0" hidden="1" customHeight="1">
      <c r="A2903" s="59">
        <f t="shared" si="20"/>
        <v>45</v>
      </c>
      <c r="B2903" s="59" t="str">
        <f t="shared" si="21"/>
        <v/>
      </c>
      <c r="C2903" s="59" t="str">
        <f t="shared" si="22"/>
        <v/>
      </c>
      <c r="D2903" s="45" t="str">
        <f t="shared" si="23"/>
        <v/>
      </c>
      <c r="E2903" s="45" t="str">
        <f t="shared" si="24"/>
        <v/>
      </c>
      <c r="F2903" s="59" t="str">
        <f t="shared" si="25"/>
        <v/>
      </c>
      <c r="G2903" s="59" t="str">
        <f t="shared" si="26"/>
        <v/>
      </c>
      <c r="H2903" s="59" t="str">
        <f t="shared" si="27"/>
        <v>28C06447</v>
      </c>
      <c r="I2903" s="59" t="str">
        <f>IF(OR($A2903="",$C2903="",$D2903="",$E2903="",$H2903=""),"",SUMIFS(DATA_GOC!$H:$H,DATA_GOC!$A:$A,"BOM",DATA_GOC!$D:$D,$H2903,DATA_GOC!$E:$E,$C2903,DATA_GOC!$F:$F,"Xuất nội bộ từ téc",DATA_GOC!$B:$B,"&gt;="&amp;$D2903,DATA_GOC!$B:$B,"&lt;="&amp;$E2903))</f>
        <v/>
      </c>
      <c r="J2903" s="59">
        <f t="shared" si="28"/>
        <v>0</v>
      </c>
      <c r="K2903" s="59">
        <f t="shared" si="29"/>
        <v>0</v>
      </c>
      <c r="L2903" s="59">
        <f t="shared" si="30"/>
        <v>0</v>
      </c>
      <c r="M2903" s="59">
        <f t="shared" si="31"/>
        <v>0</v>
      </c>
    </row>
    <row r="2904" ht="15.0" hidden="1" customHeight="1">
      <c r="A2904" s="59">
        <f t="shared" si="20"/>
        <v>45</v>
      </c>
      <c r="B2904" s="59" t="str">
        <f t="shared" si="21"/>
        <v/>
      </c>
      <c r="C2904" s="59" t="str">
        <f t="shared" si="22"/>
        <v/>
      </c>
      <c r="D2904" s="45" t="str">
        <f t="shared" si="23"/>
        <v/>
      </c>
      <c r="E2904" s="45" t="str">
        <f t="shared" si="24"/>
        <v/>
      </c>
      <c r="F2904" s="59" t="str">
        <f t="shared" si="25"/>
        <v/>
      </c>
      <c r="G2904" s="59" t="str">
        <f t="shared" si="26"/>
        <v/>
      </c>
      <c r="H2904" s="59" t="str">
        <f t="shared" si="27"/>
        <v>28H00003</v>
      </c>
      <c r="I2904" s="59" t="str">
        <f>IF(OR($A2904="",$C2904="",$D2904="",$E2904="",$H2904=""),"",SUMIFS(DATA_GOC!$H:$H,DATA_GOC!$A:$A,"BOM",DATA_GOC!$D:$D,$H2904,DATA_GOC!$E:$E,$C2904,DATA_GOC!$F:$F,"Xuất nội bộ từ téc",DATA_GOC!$B:$B,"&gt;="&amp;$D2904,DATA_GOC!$B:$B,"&lt;="&amp;$E2904))</f>
        <v/>
      </c>
      <c r="J2904" s="59">
        <f t="shared" si="28"/>
        <v>0</v>
      </c>
      <c r="K2904" s="59">
        <f t="shared" si="29"/>
        <v>0</v>
      </c>
      <c r="L2904" s="59">
        <f t="shared" si="30"/>
        <v>0</v>
      </c>
      <c r="M2904" s="59">
        <f t="shared" si="31"/>
        <v>0</v>
      </c>
    </row>
    <row r="2905" ht="15.0" hidden="1" customHeight="1">
      <c r="A2905" s="59">
        <f t="shared" si="20"/>
        <v>45</v>
      </c>
      <c r="B2905" s="59" t="str">
        <f t="shared" si="21"/>
        <v/>
      </c>
      <c r="C2905" s="59" t="str">
        <f t="shared" si="22"/>
        <v/>
      </c>
      <c r="D2905" s="45" t="str">
        <f t="shared" si="23"/>
        <v/>
      </c>
      <c r="E2905" s="45" t="str">
        <f t="shared" si="24"/>
        <v/>
      </c>
      <c r="F2905" s="59" t="str">
        <f t="shared" si="25"/>
        <v/>
      </c>
      <c r="G2905" s="59" t="str">
        <f t="shared" si="26"/>
        <v/>
      </c>
      <c r="H2905" s="59" t="str">
        <f t="shared" si="27"/>
        <v>28H00061</v>
      </c>
      <c r="I2905" s="59" t="str">
        <f>IF(OR($A2905="",$C2905="",$D2905="",$E2905="",$H2905=""),"",SUMIFS(DATA_GOC!$H:$H,DATA_GOC!$A:$A,"BOM",DATA_GOC!$D:$D,$H2905,DATA_GOC!$E:$E,$C2905,DATA_GOC!$F:$F,"Xuất nội bộ từ téc",DATA_GOC!$B:$B,"&gt;="&amp;$D2905,DATA_GOC!$B:$B,"&lt;="&amp;$E2905))</f>
        <v/>
      </c>
      <c r="J2905" s="59">
        <f t="shared" si="28"/>
        <v>0</v>
      </c>
      <c r="K2905" s="59">
        <f t="shared" si="29"/>
        <v>0</v>
      </c>
      <c r="L2905" s="59">
        <f t="shared" si="30"/>
        <v>0</v>
      </c>
      <c r="M2905" s="59">
        <f t="shared" si="31"/>
        <v>0</v>
      </c>
    </row>
    <row r="2906" ht="15.0" hidden="1" customHeight="1">
      <c r="A2906" s="59">
        <f t="shared" si="20"/>
        <v>45</v>
      </c>
      <c r="B2906" s="59" t="str">
        <f t="shared" si="21"/>
        <v/>
      </c>
      <c r="C2906" s="59" t="str">
        <f t="shared" si="22"/>
        <v/>
      </c>
      <c r="D2906" s="45" t="str">
        <f t="shared" si="23"/>
        <v/>
      </c>
      <c r="E2906" s="45" t="str">
        <f t="shared" si="24"/>
        <v/>
      </c>
      <c r="F2906" s="59" t="str">
        <f t="shared" si="25"/>
        <v/>
      </c>
      <c r="G2906" s="59" t="str">
        <f t="shared" si="26"/>
        <v/>
      </c>
      <c r="H2906" s="59" t="str">
        <f t="shared" si="27"/>
        <v>28H00354</v>
      </c>
      <c r="I2906" s="59" t="str">
        <f>IF(OR($A2906="",$C2906="",$D2906="",$E2906="",$H2906=""),"",SUMIFS(DATA_GOC!$H:$H,DATA_GOC!$A:$A,"BOM",DATA_GOC!$D:$D,$H2906,DATA_GOC!$E:$E,$C2906,DATA_GOC!$F:$F,"Xuất nội bộ từ téc",DATA_GOC!$B:$B,"&gt;="&amp;$D2906,DATA_GOC!$B:$B,"&lt;="&amp;$E2906))</f>
        <v/>
      </c>
      <c r="J2906" s="59">
        <f t="shared" si="28"/>
        <v>0</v>
      </c>
      <c r="K2906" s="59">
        <f t="shared" si="29"/>
        <v>0</v>
      </c>
      <c r="L2906" s="59">
        <f t="shared" si="30"/>
        <v>0</v>
      </c>
      <c r="M2906" s="59">
        <f t="shared" si="31"/>
        <v>0</v>
      </c>
    </row>
    <row r="2907" ht="15.0" hidden="1" customHeight="1">
      <c r="A2907" s="59">
        <f t="shared" si="20"/>
        <v>45</v>
      </c>
      <c r="B2907" s="59" t="str">
        <f t="shared" si="21"/>
        <v/>
      </c>
      <c r="C2907" s="59" t="str">
        <f t="shared" si="22"/>
        <v/>
      </c>
      <c r="D2907" s="45" t="str">
        <f t="shared" si="23"/>
        <v/>
      </c>
      <c r="E2907" s="45" t="str">
        <f t="shared" si="24"/>
        <v/>
      </c>
      <c r="F2907" s="59" t="str">
        <f t="shared" si="25"/>
        <v/>
      </c>
      <c r="G2907" s="59" t="str">
        <f t="shared" si="26"/>
        <v/>
      </c>
      <c r="H2907" s="59" t="str">
        <f t="shared" si="27"/>
        <v>28H00603</v>
      </c>
      <c r="I2907" s="59" t="str">
        <f>IF(OR($A2907="",$C2907="",$D2907="",$E2907="",$H2907=""),"",SUMIFS(DATA_GOC!$H:$H,DATA_GOC!$A:$A,"BOM",DATA_GOC!$D:$D,$H2907,DATA_GOC!$E:$E,$C2907,DATA_GOC!$F:$F,"Xuất nội bộ từ téc",DATA_GOC!$B:$B,"&gt;="&amp;$D2907,DATA_GOC!$B:$B,"&lt;="&amp;$E2907))</f>
        <v/>
      </c>
      <c r="J2907" s="59">
        <f t="shared" si="28"/>
        <v>0</v>
      </c>
      <c r="K2907" s="59">
        <f t="shared" si="29"/>
        <v>0</v>
      </c>
      <c r="L2907" s="59">
        <f t="shared" si="30"/>
        <v>0</v>
      </c>
      <c r="M2907" s="59">
        <f t="shared" si="31"/>
        <v>0</v>
      </c>
    </row>
    <row r="2908" ht="15.0" hidden="1" customHeight="1">
      <c r="A2908" s="59">
        <f t="shared" si="20"/>
        <v>45</v>
      </c>
      <c r="B2908" s="59" t="str">
        <f t="shared" si="21"/>
        <v/>
      </c>
      <c r="C2908" s="59" t="str">
        <f t="shared" si="22"/>
        <v/>
      </c>
      <c r="D2908" s="45" t="str">
        <f t="shared" si="23"/>
        <v/>
      </c>
      <c r="E2908" s="45" t="str">
        <f t="shared" si="24"/>
        <v/>
      </c>
      <c r="F2908" s="59" t="str">
        <f t="shared" si="25"/>
        <v/>
      </c>
      <c r="G2908" s="59" t="str">
        <f t="shared" si="26"/>
        <v/>
      </c>
      <c r="H2908" s="59" t="str">
        <f t="shared" si="27"/>
        <v>28H00609</v>
      </c>
      <c r="I2908" s="59" t="str">
        <f>IF(OR($A2908="",$C2908="",$D2908="",$E2908="",$H2908=""),"",SUMIFS(DATA_GOC!$H:$H,DATA_GOC!$A:$A,"BOM",DATA_GOC!$D:$D,$H2908,DATA_GOC!$E:$E,$C2908,DATA_GOC!$F:$F,"Xuất nội bộ từ téc",DATA_GOC!$B:$B,"&gt;="&amp;$D2908,DATA_GOC!$B:$B,"&lt;="&amp;$E2908))</f>
        <v/>
      </c>
      <c r="J2908" s="59">
        <f t="shared" si="28"/>
        <v>0</v>
      </c>
      <c r="K2908" s="59">
        <f t="shared" si="29"/>
        <v>0</v>
      </c>
      <c r="L2908" s="59">
        <f t="shared" si="30"/>
        <v>0</v>
      </c>
      <c r="M2908" s="59">
        <f t="shared" si="31"/>
        <v>0</v>
      </c>
    </row>
    <row r="2909" ht="15.0" hidden="1" customHeight="1">
      <c r="A2909" s="59">
        <f t="shared" si="20"/>
        <v>45</v>
      </c>
      <c r="B2909" s="59" t="str">
        <f t="shared" si="21"/>
        <v/>
      </c>
      <c r="C2909" s="59" t="str">
        <f t="shared" si="22"/>
        <v/>
      </c>
      <c r="D2909" s="45" t="str">
        <f t="shared" si="23"/>
        <v/>
      </c>
      <c r="E2909" s="45" t="str">
        <f t="shared" si="24"/>
        <v/>
      </c>
      <c r="F2909" s="59" t="str">
        <f t="shared" si="25"/>
        <v/>
      </c>
      <c r="G2909" s="59" t="str">
        <f t="shared" si="26"/>
        <v/>
      </c>
      <c r="H2909" s="59" t="str">
        <f t="shared" si="27"/>
        <v>28H00669</v>
      </c>
      <c r="I2909" s="59" t="str">
        <f>IF(OR($A2909="",$C2909="",$D2909="",$E2909="",$H2909=""),"",SUMIFS(DATA_GOC!$H:$H,DATA_GOC!$A:$A,"BOM",DATA_GOC!$D:$D,$H2909,DATA_GOC!$E:$E,$C2909,DATA_GOC!$F:$F,"Xuất nội bộ từ téc",DATA_GOC!$B:$B,"&gt;="&amp;$D2909,DATA_GOC!$B:$B,"&lt;="&amp;$E2909))</f>
        <v/>
      </c>
      <c r="J2909" s="59">
        <f t="shared" si="28"/>
        <v>0</v>
      </c>
      <c r="K2909" s="59">
        <f t="shared" si="29"/>
        <v>0</v>
      </c>
      <c r="L2909" s="59">
        <f t="shared" si="30"/>
        <v>0</v>
      </c>
      <c r="M2909" s="59">
        <f t="shared" si="31"/>
        <v>0</v>
      </c>
    </row>
    <row r="2910" ht="15.0" hidden="1" customHeight="1">
      <c r="A2910" s="59">
        <f t="shared" si="20"/>
        <v>45</v>
      </c>
      <c r="B2910" s="59" t="str">
        <f t="shared" si="21"/>
        <v/>
      </c>
      <c r="C2910" s="59" t="str">
        <f t="shared" si="22"/>
        <v/>
      </c>
      <c r="D2910" s="45" t="str">
        <f t="shared" si="23"/>
        <v/>
      </c>
      <c r="E2910" s="45" t="str">
        <f t="shared" si="24"/>
        <v/>
      </c>
      <c r="F2910" s="59" t="str">
        <f t="shared" si="25"/>
        <v/>
      </c>
      <c r="G2910" s="59" t="str">
        <f t="shared" si="26"/>
        <v/>
      </c>
      <c r="H2910" s="59" t="str">
        <f t="shared" si="27"/>
        <v>28H00680</v>
      </c>
      <c r="I2910" s="59" t="str">
        <f>IF(OR($A2910="",$C2910="",$D2910="",$E2910="",$H2910=""),"",SUMIFS(DATA_GOC!$H:$H,DATA_GOC!$A:$A,"BOM",DATA_GOC!$D:$D,$H2910,DATA_GOC!$E:$E,$C2910,DATA_GOC!$F:$F,"Xuất nội bộ từ téc",DATA_GOC!$B:$B,"&gt;="&amp;$D2910,DATA_GOC!$B:$B,"&lt;="&amp;$E2910))</f>
        <v/>
      </c>
      <c r="J2910" s="59">
        <f t="shared" si="28"/>
        <v>0</v>
      </c>
      <c r="K2910" s="59">
        <f t="shared" si="29"/>
        <v>0</v>
      </c>
      <c r="L2910" s="59">
        <f t="shared" si="30"/>
        <v>0</v>
      </c>
      <c r="M2910" s="59">
        <f t="shared" si="31"/>
        <v>0</v>
      </c>
    </row>
    <row r="2911" ht="15.0" hidden="1" customHeight="1">
      <c r="A2911" s="59">
        <f t="shared" si="20"/>
        <v>45</v>
      </c>
      <c r="B2911" s="59" t="str">
        <f t="shared" si="21"/>
        <v/>
      </c>
      <c r="C2911" s="59" t="str">
        <f t="shared" si="22"/>
        <v/>
      </c>
      <c r="D2911" s="45" t="str">
        <f t="shared" si="23"/>
        <v/>
      </c>
      <c r="E2911" s="45" t="str">
        <f t="shared" si="24"/>
        <v/>
      </c>
      <c r="F2911" s="59" t="str">
        <f t="shared" si="25"/>
        <v/>
      </c>
      <c r="G2911" s="59" t="str">
        <f t="shared" si="26"/>
        <v/>
      </c>
      <c r="H2911" s="59" t="str">
        <f t="shared" si="27"/>
        <v>28H01070</v>
      </c>
      <c r="I2911" s="59" t="str">
        <f>IF(OR($A2911="",$C2911="",$D2911="",$E2911="",$H2911=""),"",SUMIFS(DATA_GOC!$H:$H,DATA_GOC!$A:$A,"BOM",DATA_GOC!$D:$D,$H2911,DATA_GOC!$E:$E,$C2911,DATA_GOC!$F:$F,"Xuất nội bộ từ téc",DATA_GOC!$B:$B,"&gt;="&amp;$D2911,DATA_GOC!$B:$B,"&lt;="&amp;$E2911))</f>
        <v/>
      </c>
      <c r="J2911" s="59">
        <f t="shared" si="28"/>
        <v>0</v>
      </c>
      <c r="K2911" s="59">
        <f t="shared" si="29"/>
        <v>0</v>
      </c>
      <c r="L2911" s="59">
        <f t="shared" si="30"/>
        <v>0</v>
      </c>
      <c r="M2911" s="59">
        <f t="shared" si="31"/>
        <v>0</v>
      </c>
    </row>
    <row r="2912" ht="15.0" hidden="1" customHeight="1">
      <c r="A2912" s="59">
        <f t="shared" si="20"/>
        <v>45</v>
      </c>
      <c r="B2912" s="59" t="str">
        <f t="shared" si="21"/>
        <v/>
      </c>
      <c r="C2912" s="59" t="str">
        <f t="shared" si="22"/>
        <v/>
      </c>
      <c r="D2912" s="45" t="str">
        <f t="shared" si="23"/>
        <v/>
      </c>
      <c r="E2912" s="45" t="str">
        <f t="shared" si="24"/>
        <v/>
      </c>
      <c r="F2912" s="59" t="str">
        <f t="shared" si="25"/>
        <v/>
      </c>
      <c r="G2912" s="59" t="str">
        <f t="shared" si="26"/>
        <v/>
      </c>
      <c r="H2912" s="59" t="str">
        <f t="shared" si="27"/>
        <v>28H01364</v>
      </c>
      <c r="I2912" s="59" t="str">
        <f>IF(OR($A2912="",$C2912="",$D2912="",$E2912="",$H2912=""),"",SUMIFS(DATA_GOC!$H:$H,DATA_GOC!$A:$A,"BOM",DATA_GOC!$D:$D,$H2912,DATA_GOC!$E:$E,$C2912,DATA_GOC!$F:$F,"Xuất nội bộ từ téc",DATA_GOC!$B:$B,"&gt;="&amp;$D2912,DATA_GOC!$B:$B,"&lt;="&amp;$E2912))</f>
        <v/>
      </c>
      <c r="J2912" s="59">
        <f t="shared" si="28"/>
        <v>0</v>
      </c>
      <c r="K2912" s="59">
        <f t="shared" si="29"/>
        <v>0</v>
      </c>
      <c r="L2912" s="59">
        <f t="shared" si="30"/>
        <v>0</v>
      </c>
      <c r="M2912" s="59">
        <f t="shared" si="31"/>
        <v>0</v>
      </c>
    </row>
    <row r="2913" ht="15.0" hidden="1" customHeight="1">
      <c r="A2913" s="59">
        <f t="shared" si="20"/>
        <v>45</v>
      </c>
      <c r="B2913" s="59" t="str">
        <f t="shared" si="21"/>
        <v/>
      </c>
      <c r="C2913" s="59" t="str">
        <f t="shared" si="22"/>
        <v/>
      </c>
      <c r="D2913" s="45" t="str">
        <f t="shared" si="23"/>
        <v/>
      </c>
      <c r="E2913" s="45" t="str">
        <f t="shared" si="24"/>
        <v/>
      </c>
      <c r="F2913" s="59" t="str">
        <f t="shared" si="25"/>
        <v/>
      </c>
      <c r="G2913" s="59" t="str">
        <f t="shared" si="26"/>
        <v/>
      </c>
      <c r="H2913" s="59" t="str">
        <f t="shared" si="27"/>
        <v>29E17269</v>
      </c>
      <c r="I2913" s="59" t="str">
        <f>IF(OR($A2913="",$C2913="",$D2913="",$E2913="",$H2913=""),"",SUMIFS(DATA_GOC!$H:$H,DATA_GOC!$A:$A,"BOM",DATA_GOC!$D:$D,$H2913,DATA_GOC!$E:$E,$C2913,DATA_GOC!$F:$F,"Xuất nội bộ từ téc",DATA_GOC!$B:$B,"&gt;="&amp;$D2913,DATA_GOC!$B:$B,"&lt;="&amp;$E2913))</f>
        <v/>
      </c>
      <c r="J2913" s="59">
        <f t="shared" si="28"/>
        <v>0</v>
      </c>
      <c r="K2913" s="59">
        <f t="shared" si="29"/>
        <v>0</v>
      </c>
      <c r="L2913" s="59">
        <f t="shared" si="30"/>
        <v>0</v>
      </c>
      <c r="M2913" s="59">
        <f t="shared" si="31"/>
        <v>0</v>
      </c>
    </row>
    <row r="2914" ht="15.0" hidden="1" customHeight="1">
      <c r="A2914" s="59">
        <f t="shared" si="20"/>
        <v>45</v>
      </c>
      <c r="B2914" s="59" t="str">
        <f t="shared" si="21"/>
        <v/>
      </c>
      <c r="C2914" s="59" t="str">
        <f t="shared" si="22"/>
        <v/>
      </c>
      <c r="D2914" s="45" t="str">
        <f t="shared" si="23"/>
        <v/>
      </c>
      <c r="E2914" s="45" t="str">
        <f t="shared" si="24"/>
        <v/>
      </c>
      <c r="F2914" s="59" t="str">
        <f t="shared" si="25"/>
        <v/>
      </c>
      <c r="G2914" s="59" t="str">
        <f t="shared" si="26"/>
        <v/>
      </c>
      <c r="H2914" s="59" t="str">
        <f t="shared" si="27"/>
        <v>29E17273</v>
      </c>
      <c r="I2914" s="59" t="str">
        <f>IF(OR($A2914="",$C2914="",$D2914="",$E2914="",$H2914=""),"",SUMIFS(DATA_GOC!$H:$H,DATA_GOC!$A:$A,"BOM",DATA_GOC!$D:$D,$H2914,DATA_GOC!$E:$E,$C2914,DATA_GOC!$F:$F,"Xuất nội bộ từ téc",DATA_GOC!$B:$B,"&gt;="&amp;$D2914,DATA_GOC!$B:$B,"&lt;="&amp;$E2914))</f>
        <v/>
      </c>
      <c r="J2914" s="59">
        <f t="shared" si="28"/>
        <v>0</v>
      </c>
      <c r="K2914" s="59">
        <f t="shared" si="29"/>
        <v>0</v>
      </c>
      <c r="L2914" s="59">
        <f t="shared" si="30"/>
        <v>0</v>
      </c>
      <c r="M2914" s="59">
        <f t="shared" si="31"/>
        <v>0</v>
      </c>
    </row>
    <row r="2915" ht="15.0" hidden="1" customHeight="1">
      <c r="A2915" s="59">
        <f t="shared" si="20"/>
        <v>45</v>
      </c>
      <c r="B2915" s="59" t="str">
        <f t="shared" si="21"/>
        <v/>
      </c>
      <c r="C2915" s="59" t="str">
        <f t="shared" si="22"/>
        <v/>
      </c>
      <c r="D2915" s="45" t="str">
        <f t="shared" si="23"/>
        <v/>
      </c>
      <c r="E2915" s="45" t="str">
        <f t="shared" si="24"/>
        <v/>
      </c>
      <c r="F2915" s="59" t="str">
        <f t="shared" si="25"/>
        <v/>
      </c>
      <c r="G2915" s="59" t="str">
        <f t="shared" si="26"/>
        <v/>
      </c>
      <c r="H2915" s="59" t="str">
        <f t="shared" si="27"/>
        <v>29E17410</v>
      </c>
      <c r="I2915" s="59" t="str">
        <f>IF(OR($A2915="",$C2915="",$D2915="",$E2915="",$H2915=""),"",SUMIFS(DATA_GOC!$H:$H,DATA_GOC!$A:$A,"BOM",DATA_GOC!$D:$D,$H2915,DATA_GOC!$E:$E,$C2915,DATA_GOC!$F:$F,"Xuất nội bộ từ téc",DATA_GOC!$B:$B,"&gt;="&amp;$D2915,DATA_GOC!$B:$B,"&lt;="&amp;$E2915))</f>
        <v/>
      </c>
      <c r="J2915" s="59">
        <f t="shared" si="28"/>
        <v>0</v>
      </c>
      <c r="K2915" s="59">
        <f t="shared" si="29"/>
        <v>0</v>
      </c>
      <c r="L2915" s="59">
        <f t="shared" si="30"/>
        <v>0</v>
      </c>
      <c r="M2915" s="59">
        <f t="shared" si="31"/>
        <v>0</v>
      </c>
    </row>
    <row r="2916" ht="15.0" hidden="1" customHeight="1">
      <c r="A2916" s="59">
        <f t="shared" si="20"/>
        <v>45</v>
      </c>
      <c r="B2916" s="59" t="str">
        <f t="shared" si="21"/>
        <v/>
      </c>
      <c r="C2916" s="59" t="str">
        <f t="shared" si="22"/>
        <v/>
      </c>
      <c r="D2916" s="45" t="str">
        <f t="shared" si="23"/>
        <v/>
      </c>
      <c r="E2916" s="45" t="str">
        <f t="shared" si="24"/>
        <v/>
      </c>
      <c r="F2916" s="59" t="str">
        <f t="shared" si="25"/>
        <v/>
      </c>
      <c r="G2916" s="59" t="str">
        <f t="shared" si="26"/>
        <v/>
      </c>
      <c r="H2916" s="59" t="str">
        <f t="shared" si="27"/>
        <v>29E17417</v>
      </c>
      <c r="I2916" s="59" t="str">
        <f>IF(OR($A2916="",$C2916="",$D2916="",$E2916="",$H2916=""),"",SUMIFS(DATA_GOC!$H:$H,DATA_GOC!$A:$A,"BOM",DATA_GOC!$D:$D,$H2916,DATA_GOC!$E:$E,$C2916,DATA_GOC!$F:$F,"Xuất nội bộ từ téc",DATA_GOC!$B:$B,"&gt;="&amp;$D2916,DATA_GOC!$B:$B,"&lt;="&amp;$E2916))</f>
        <v/>
      </c>
      <c r="J2916" s="59">
        <f t="shared" si="28"/>
        <v>0</v>
      </c>
      <c r="K2916" s="59">
        <f t="shared" si="29"/>
        <v>0</v>
      </c>
      <c r="L2916" s="59">
        <f t="shared" si="30"/>
        <v>0</v>
      </c>
      <c r="M2916" s="59">
        <f t="shared" si="31"/>
        <v>0</v>
      </c>
    </row>
    <row r="2917" ht="15.0" hidden="1" customHeight="1">
      <c r="A2917" s="59">
        <f t="shared" si="20"/>
        <v>45</v>
      </c>
      <c r="B2917" s="59" t="str">
        <f t="shared" si="21"/>
        <v/>
      </c>
      <c r="C2917" s="59" t="str">
        <f t="shared" si="22"/>
        <v/>
      </c>
      <c r="D2917" s="45" t="str">
        <f t="shared" si="23"/>
        <v/>
      </c>
      <c r="E2917" s="45" t="str">
        <f t="shared" si="24"/>
        <v/>
      </c>
      <c r="F2917" s="59" t="str">
        <f t="shared" si="25"/>
        <v/>
      </c>
      <c r="G2917" s="59" t="str">
        <f t="shared" si="26"/>
        <v/>
      </c>
      <c r="H2917" s="59" t="str">
        <f t="shared" si="27"/>
        <v>29E17539</v>
      </c>
      <c r="I2917" s="59" t="str">
        <f>IF(OR($A2917="",$C2917="",$D2917="",$E2917="",$H2917=""),"",SUMIFS(DATA_GOC!$H:$H,DATA_GOC!$A:$A,"BOM",DATA_GOC!$D:$D,$H2917,DATA_GOC!$E:$E,$C2917,DATA_GOC!$F:$F,"Xuất nội bộ từ téc",DATA_GOC!$B:$B,"&gt;="&amp;$D2917,DATA_GOC!$B:$B,"&lt;="&amp;$E2917))</f>
        <v/>
      </c>
      <c r="J2917" s="59">
        <f t="shared" si="28"/>
        <v>0</v>
      </c>
      <c r="K2917" s="59">
        <f t="shared" si="29"/>
        <v>0</v>
      </c>
      <c r="L2917" s="59">
        <f t="shared" si="30"/>
        <v>0</v>
      </c>
      <c r="M2917" s="59">
        <f t="shared" si="31"/>
        <v>0</v>
      </c>
    </row>
    <row r="2918" ht="15.0" hidden="1" customHeight="1">
      <c r="A2918" s="59">
        <f t="shared" si="20"/>
        <v>45</v>
      </c>
      <c r="B2918" s="59" t="str">
        <f t="shared" si="21"/>
        <v/>
      </c>
      <c r="C2918" s="59" t="str">
        <f t="shared" si="22"/>
        <v/>
      </c>
      <c r="D2918" s="45" t="str">
        <f t="shared" si="23"/>
        <v/>
      </c>
      <c r="E2918" s="45" t="str">
        <f t="shared" si="24"/>
        <v/>
      </c>
      <c r="F2918" s="59" t="str">
        <f t="shared" si="25"/>
        <v/>
      </c>
      <c r="G2918" s="59" t="str">
        <f t="shared" si="26"/>
        <v/>
      </c>
      <c r="H2918" s="59" t="str">
        <f t="shared" si="27"/>
        <v>29E18160</v>
      </c>
      <c r="I2918" s="59" t="str">
        <f>IF(OR($A2918="",$C2918="",$D2918="",$E2918="",$H2918=""),"",SUMIFS(DATA_GOC!$H:$H,DATA_GOC!$A:$A,"BOM",DATA_GOC!$D:$D,$H2918,DATA_GOC!$E:$E,$C2918,DATA_GOC!$F:$F,"Xuất nội bộ từ téc",DATA_GOC!$B:$B,"&gt;="&amp;$D2918,DATA_GOC!$B:$B,"&lt;="&amp;$E2918))</f>
        <v/>
      </c>
      <c r="J2918" s="59">
        <f t="shared" si="28"/>
        <v>0</v>
      </c>
      <c r="K2918" s="59">
        <f t="shared" si="29"/>
        <v>0</v>
      </c>
      <c r="L2918" s="59">
        <f t="shared" si="30"/>
        <v>0</v>
      </c>
      <c r="M2918" s="59">
        <f t="shared" si="31"/>
        <v>0</v>
      </c>
    </row>
    <row r="2919" ht="15.0" hidden="1" customHeight="1">
      <c r="A2919" s="59">
        <f t="shared" si="20"/>
        <v>45</v>
      </c>
      <c r="B2919" s="59" t="str">
        <f t="shared" si="21"/>
        <v/>
      </c>
      <c r="C2919" s="59" t="str">
        <f t="shared" si="22"/>
        <v/>
      </c>
      <c r="D2919" s="45" t="str">
        <f t="shared" si="23"/>
        <v/>
      </c>
      <c r="E2919" s="45" t="str">
        <f t="shared" si="24"/>
        <v/>
      </c>
      <c r="F2919" s="59" t="str">
        <f t="shared" si="25"/>
        <v/>
      </c>
      <c r="G2919" s="59" t="str">
        <f t="shared" si="26"/>
        <v/>
      </c>
      <c r="H2919" s="59" t="str">
        <f t="shared" si="27"/>
        <v>Công trình Asphalt</v>
      </c>
      <c r="I2919" s="59" t="str">
        <f>IF(OR($A2919="",$C2919="",$D2919="",$E2919="",$H2919=""),"",SUMIFS(DATA_GOC!$H:$H,DATA_GOC!$A:$A,"BOM",DATA_GOC!$D:$D,$H2919,DATA_GOC!$E:$E,$C2919,DATA_GOC!$F:$F,"Xuất nội bộ từ téc",DATA_GOC!$B:$B,"&gt;="&amp;$D2919,DATA_GOC!$B:$B,"&lt;="&amp;$E2919))</f>
        <v/>
      </c>
      <c r="J2919" s="59">
        <f t="shared" si="28"/>
        <v>0</v>
      </c>
      <c r="K2919" s="59">
        <f t="shared" si="29"/>
        <v>0</v>
      </c>
      <c r="L2919" s="59">
        <f t="shared" si="30"/>
        <v>0</v>
      </c>
      <c r="M2919" s="59">
        <f t="shared" si="31"/>
        <v>0</v>
      </c>
    </row>
    <row r="2920" ht="15.0" hidden="1" customHeight="1">
      <c r="A2920" s="59">
        <f t="shared" si="20"/>
        <v>45</v>
      </c>
      <c r="B2920" s="59" t="str">
        <f t="shared" si="21"/>
        <v/>
      </c>
      <c r="C2920" s="59" t="str">
        <f t="shared" si="22"/>
        <v/>
      </c>
      <c r="D2920" s="45" t="str">
        <f t="shared" si="23"/>
        <v/>
      </c>
      <c r="E2920" s="45" t="str">
        <f t="shared" si="24"/>
        <v/>
      </c>
      <c r="F2920" s="59" t="str">
        <f t="shared" si="25"/>
        <v/>
      </c>
      <c r="G2920" s="59" t="str">
        <f t="shared" si="26"/>
        <v/>
      </c>
      <c r="H2920" s="59" t="str">
        <f t="shared" si="27"/>
        <v>LG53F</v>
      </c>
      <c r="I2920" s="59" t="str">
        <f>IF(OR($A2920="",$C2920="",$D2920="",$E2920="",$H2920=""),"",SUMIFS(DATA_GOC!$H:$H,DATA_GOC!$A:$A,"BOM",DATA_GOC!$D:$D,$H2920,DATA_GOC!$E:$E,$C2920,DATA_GOC!$F:$F,"Xuất nội bộ từ téc",DATA_GOC!$B:$B,"&gt;="&amp;$D2920,DATA_GOC!$B:$B,"&lt;="&amp;$E2920))</f>
        <v/>
      </c>
      <c r="J2920" s="59">
        <f t="shared" si="28"/>
        <v>0</v>
      </c>
      <c r="K2920" s="59">
        <f t="shared" si="29"/>
        <v>0</v>
      </c>
      <c r="L2920" s="59">
        <f t="shared" si="30"/>
        <v>0</v>
      </c>
      <c r="M2920" s="59">
        <f t="shared" si="31"/>
        <v>0</v>
      </c>
    </row>
    <row r="2921" ht="15.0" hidden="1" customHeight="1">
      <c r="A2921" s="59">
        <f t="shared" si="20"/>
        <v>45</v>
      </c>
      <c r="B2921" s="59" t="str">
        <f t="shared" si="21"/>
        <v/>
      </c>
      <c r="C2921" s="59" t="str">
        <f t="shared" si="22"/>
        <v/>
      </c>
      <c r="D2921" s="45" t="str">
        <f t="shared" si="23"/>
        <v/>
      </c>
      <c r="E2921" s="45" t="str">
        <f t="shared" si="24"/>
        <v/>
      </c>
      <c r="F2921" s="59" t="str">
        <f t="shared" si="25"/>
        <v/>
      </c>
      <c r="G2921" s="59" t="str">
        <f t="shared" si="26"/>
        <v/>
      </c>
      <c r="H2921" s="59" t="str">
        <f t="shared" si="27"/>
        <v>Máy phát điện</v>
      </c>
      <c r="I2921" s="59" t="str">
        <f>IF(OR($A2921="",$C2921="",$D2921="",$E2921="",$H2921=""),"",SUMIFS(DATA_GOC!$H:$H,DATA_GOC!$A:$A,"BOM",DATA_GOC!$D:$D,$H2921,DATA_GOC!$E:$E,$C2921,DATA_GOC!$F:$F,"Xuất nội bộ từ téc",DATA_GOC!$B:$B,"&gt;="&amp;$D2921,DATA_GOC!$B:$B,"&lt;="&amp;$E2921))</f>
        <v/>
      </c>
      <c r="J2921" s="59">
        <f t="shared" si="28"/>
        <v>0</v>
      </c>
      <c r="K2921" s="59">
        <f t="shared" si="29"/>
        <v>0</v>
      </c>
      <c r="L2921" s="59">
        <f t="shared" si="30"/>
        <v>0</v>
      </c>
      <c r="M2921" s="59">
        <f t="shared" si="31"/>
        <v>0</v>
      </c>
    </row>
    <row r="2922" ht="15.0" hidden="1" customHeight="1">
      <c r="A2922" s="59">
        <f t="shared" si="20"/>
        <v>45</v>
      </c>
      <c r="B2922" s="59" t="str">
        <f t="shared" si="21"/>
        <v/>
      </c>
      <c r="C2922" s="59" t="str">
        <f t="shared" si="22"/>
        <v/>
      </c>
      <c r="D2922" s="45" t="str">
        <f t="shared" si="23"/>
        <v/>
      </c>
      <c r="E2922" s="45" t="str">
        <f t="shared" si="24"/>
        <v/>
      </c>
      <c r="F2922" s="59" t="str">
        <f t="shared" si="25"/>
        <v/>
      </c>
      <c r="G2922" s="59" t="str">
        <f t="shared" si="26"/>
        <v/>
      </c>
      <c r="H2922" s="59" t="str">
        <f t="shared" si="27"/>
        <v>Máy rải thảm</v>
      </c>
      <c r="I2922" s="59" t="str">
        <f>IF(OR($A2922="",$C2922="",$D2922="",$E2922="",$H2922=""),"",SUMIFS(DATA_GOC!$H:$H,DATA_GOC!$A:$A,"BOM",DATA_GOC!$D:$D,$H2922,DATA_GOC!$E:$E,$C2922,DATA_GOC!$F:$F,"Xuất nội bộ từ téc",DATA_GOC!$B:$B,"&gt;="&amp;$D2922,DATA_GOC!$B:$B,"&lt;="&amp;$E2922))</f>
        <v/>
      </c>
      <c r="J2922" s="59">
        <f t="shared" si="28"/>
        <v>0</v>
      </c>
      <c r="K2922" s="59">
        <f t="shared" si="29"/>
        <v>0</v>
      </c>
      <c r="L2922" s="59">
        <f t="shared" si="30"/>
        <v>0</v>
      </c>
      <c r="M2922" s="59">
        <f t="shared" si="31"/>
        <v>0</v>
      </c>
    </row>
    <row r="2923" ht="15.0" hidden="1" customHeight="1">
      <c r="A2923" s="59">
        <f t="shared" si="20"/>
        <v>45</v>
      </c>
      <c r="B2923" s="59" t="str">
        <f t="shared" si="21"/>
        <v/>
      </c>
      <c r="C2923" s="59" t="str">
        <f t="shared" si="22"/>
        <v/>
      </c>
      <c r="D2923" s="45" t="str">
        <f t="shared" si="23"/>
        <v/>
      </c>
      <c r="E2923" s="45" t="str">
        <f t="shared" si="24"/>
        <v/>
      </c>
      <c r="F2923" s="59" t="str">
        <f t="shared" si="25"/>
        <v/>
      </c>
      <c r="G2923" s="59" t="str">
        <f t="shared" si="26"/>
        <v/>
      </c>
      <c r="H2923" s="59" t="str">
        <f t="shared" si="27"/>
        <v>Xúc Đào</v>
      </c>
      <c r="I2923" s="59" t="str">
        <f>IF(OR($A2923="",$C2923="",$D2923="",$E2923="",$H2923=""),"",SUMIFS(DATA_GOC!$H:$H,DATA_GOC!$A:$A,"BOM",DATA_GOC!$D:$D,$H2923,DATA_GOC!$E:$E,$C2923,DATA_GOC!$F:$F,"Xuất nội bộ từ téc",DATA_GOC!$B:$B,"&gt;="&amp;$D2923,DATA_GOC!$B:$B,"&lt;="&amp;$E2923))</f>
        <v/>
      </c>
      <c r="J2923" s="59">
        <f t="shared" si="28"/>
        <v>0</v>
      </c>
      <c r="K2923" s="59">
        <f t="shared" si="29"/>
        <v>0</v>
      </c>
      <c r="L2923" s="59">
        <f t="shared" si="30"/>
        <v>0</v>
      </c>
      <c r="M2923" s="59">
        <f t="shared" si="31"/>
        <v>0</v>
      </c>
    </row>
    <row r="2924" ht="15.0" hidden="1" customHeight="1">
      <c r="A2924" s="59">
        <f t="shared" si="20"/>
        <v>45</v>
      </c>
      <c r="B2924" s="59" t="str">
        <f t="shared" si="21"/>
        <v/>
      </c>
      <c r="C2924" s="59" t="str">
        <f t="shared" si="22"/>
        <v/>
      </c>
      <c r="D2924" s="45" t="str">
        <f t="shared" si="23"/>
        <v/>
      </c>
      <c r="E2924" s="45" t="str">
        <f t="shared" si="24"/>
        <v/>
      </c>
      <c r="F2924" s="59" t="str">
        <f t="shared" si="25"/>
        <v/>
      </c>
      <c r="G2924" s="59" t="str">
        <f t="shared" si="26"/>
        <v/>
      </c>
      <c r="H2924" s="59" t="str">
        <f t="shared" si="27"/>
        <v>Xúclật asphalt</v>
      </c>
      <c r="I2924" s="59" t="str">
        <f>IF(OR($A2924="",$C2924="",$D2924="",$E2924="",$H2924=""),"",SUMIFS(DATA_GOC!$H:$H,DATA_GOC!$A:$A,"BOM",DATA_GOC!$D:$D,$H2924,DATA_GOC!$E:$E,$C2924,DATA_GOC!$F:$F,"Xuất nội bộ từ téc",DATA_GOC!$B:$B,"&gt;="&amp;$D2924,DATA_GOC!$B:$B,"&lt;="&amp;$E2924))</f>
        <v/>
      </c>
      <c r="J2924" s="59">
        <f t="shared" si="28"/>
        <v>0</v>
      </c>
      <c r="K2924" s="59">
        <f t="shared" si="29"/>
        <v>0</v>
      </c>
      <c r="L2924" s="59">
        <f t="shared" si="30"/>
        <v>0</v>
      </c>
      <c r="M2924" s="59">
        <f t="shared" si="31"/>
        <v>0</v>
      </c>
    </row>
    <row r="2925" ht="15.0" hidden="1" customHeight="1">
      <c r="A2925" s="59">
        <f t="shared" si="20"/>
        <v>45</v>
      </c>
      <c r="B2925" s="59" t="str">
        <f t="shared" si="21"/>
        <v/>
      </c>
      <c r="C2925" s="59" t="str">
        <f t="shared" si="22"/>
        <v/>
      </c>
      <c r="D2925" s="45" t="str">
        <f t="shared" si="23"/>
        <v/>
      </c>
      <c r="E2925" s="45" t="str">
        <f t="shared" si="24"/>
        <v/>
      </c>
      <c r="F2925" s="59" t="str">
        <f t="shared" si="25"/>
        <v/>
      </c>
      <c r="G2925" s="59" t="str">
        <f t="shared" si="26"/>
        <v/>
      </c>
      <c r="H2925" s="59" t="str">
        <f t="shared" si="27"/>
        <v>Xúclật855H</v>
      </c>
      <c r="I2925" s="59" t="str">
        <f>IF(OR($A2925="",$C2925="",$D2925="",$E2925="",$H2925=""),"",SUMIFS(DATA_GOC!$H:$H,DATA_GOC!$A:$A,"BOM",DATA_GOC!$D:$D,$H2925,DATA_GOC!$E:$E,$C2925,DATA_GOC!$F:$F,"Xuất nội bộ từ téc",DATA_GOC!$B:$B,"&gt;="&amp;$D2925,DATA_GOC!$B:$B,"&lt;="&amp;$E2925))</f>
        <v/>
      </c>
      <c r="J2925" s="59">
        <f t="shared" si="28"/>
        <v>0</v>
      </c>
      <c r="K2925" s="59">
        <f t="shared" si="29"/>
        <v>0</v>
      </c>
      <c r="L2925" s="59">
        <f t="shared" si="30"/>
        <v>0</v>
      </c>
      <c r="M2925" s="59">
        <f t="shared" si="31"/>
        <v>0</v>
      </c>
    </row>
    <row r="2926" ht="15.0" hidden="1" customHeight="1">
      <c r="A2926" s="59">
        <f t="shared" si="20"/>
        <v>45</v>
      </c>
      <c r="B2926" s="59" t="str">
        <f t="shared" si="21"/>
        <v/>
      </c>
      <c r="C2926" s="59" t="str">
        <f t="shared" si="22"/>
        <v/>
      </c>
      <c r="D2926" s="45" t="str">
        <f t="shared" si="23"/>
        <v/>
      </c>
      <c r="E2926" s="45" t="str">
        <f t="shared" si="24"/>
        <v/>
      </c>
      <c r="F2926" s="59" t="str">
        <f t="shared" si="25"/>
        <v/>
      </c>
      <c r="G2926" s="59" t="str">
        <f t="shared" si="26"/>
        <v/>
      </c>
      <c r="H2926" s="59" t="str">
        <f t="shared" si="27"/>
        <v>Xúclật855N</v>
      </c>
      <c r="I2926" s="59" t="str">
        <f>IF(OR($A2926="",$C2926="",$D2926="",$E2926="",$H2926=""),"",SUMIFS(DATA_GOC!$H:$H,DATA_GOC!$A:$A,"BOM",DATA_GOC!$D:$D,$H2926,DATA_GOC!$E:$E,$C2926,DATA_GOC!$F:$F,"Xuất nội bộ từ téc",DATA_GOC!$B:$B,"&gt;="&amp;$D2926,DATA_GOC!$B:$B,"&lt;="&amp;$E2926))</f>
        <v/>
      </c>
      <c r="J2926" s="59">
        <f t="shared" si="28"/>
        <v>0</v>
      </c>
      <c r="K2926" s="59">
        <f t="shared" si="29"/>
        <v>0</v>
      </c>
      <c r="L2926" s="59">
        <f t="shared" si="30"/>
        <v>0</v>
      </c>
      <c r="M2926" s="59">
        <f t="shared" si="31"/>
        <v>0</v>
      </c>
    </row>
    <row r="2927" ht="15.0" hidden="1" customHeight="1">
      <c r="A2927" s="59">
        <f t="shared" si="20"/>
        <v>45</v>
      </c>
      <c r="B2927" s="59" t="str">
        <f t="shared" si="21"/>
        <v/>
      </c>
      <c r="C2927" s="59" t="str">
        <f t="shared" si="22"/>
        <v/>
      </c>
      <c r="D2927" s="45" t="str">
        <f t="shared" si="23"/>
        <v/>
      </c>
      <c r="E2927" s="45" t="str">
        <f t="shared" si="24"/>
        <v/>
      </c>
      <c r="F2927" s="59" t="str">
        <f t="shared" si="25"/>
        <v/>
      </c>
      <c r="G2927" s="59" t="str">
        <f t="shared" si="26"/>
        <v/>
      </c>
      <c r="H2927" s="59" t="str">
        <f t="shared" si="27"/>
        <v>Cát nghiền</v>
      </c>
      <c r="I2927" s="59" t="str">
        <f>IF(OR($A2927="",$C2927="",$D2927="",$E2927="",$H2927=""),"",SUMIFS(DATA_GOC!$H:$H,DATA_GOC!$A:$A,"BOM",DATA_GOC!$D:$D,$H2927,DATA_GOC!$E:$E,$C2927,DATA_GOC!$F:$F,"Xuất nội bộ từ téc",DATA_GOC!$B:$B,"&gt;="&amp;$D2927,DATA_GOC!$B:$B,"&lt;="&amp;$E2927))</f>
        <v/>
      </c>
      <c r="J2927" s="59">
        <f t="shared" si="28"/>
        <v>0</v>
      </c>
      <c r="K2927" s="59">
        <f t="shared" si="29"/>
        <v>0</v>
      </c>
      <c r="L2927" s="59">
        <f t="shared" si="30"/>
        <v>0</v>
      </c>
      <c r="M2927" s="59">
        <f t="shared" si="31"/>
        <v>0</v>
      </c>
    </row>
    <row r="2928" ht="15.0" hidden="1" customHeight="1">
      <c r="A2928" s="59">
        <f t="shared" si="20"/>
        <v>45</v>
      </c>
      <c r="B2928" s="59" t="str">
        <f t="shared" si="21"/>
        <v/>
      </c>
      <c r="C2928" s="59" t="str">
        <f t="shared" si="22"/>
        <v/>
      </c>
      <c r="D2928" s="45" t="str">
        <f t="shared" si="23"/>
        <v/>
      </c>
      <c r="E2928" s="45" t="str">
        <f t="shared" si="24"/>
        <v/>
      </c>
      <c r="F2928" s="59" t="str">
        <f t="shared" si="25"/>
        <v/>
      </c>
      <c r="G2928" s="59" t="str">
        <f t="shared" si="26"/>
        <v/>
      </c>
      <c r="H2928" s="59" t="str">
        <f t="shared" si="27"/>
        <v>28C02973</v>
      </c>
      <c r="I2928" s="59" t="str">
        <f>IF(OR($A2928="",$C2928="",$D2928="",$E2928="",$H2928=""),"",SUMIFS(DATA_GOC!$H:$H,DATA_GOC!$A:$A,"BOM",DATA_GOC!$D:$D,$H2928,DATA_GOC!$E:$E,$C2928,DATA_GOC!$F:$F,"Xuất nội bộ từ téc",DATA_GOC!$B:$B,"&gt;="&amp;$D2928,DATA_GOC!$B:$B,"&lt;="&amp;$E2928))</f>
        <v/>
      </c>
      <c r="J2928" s="59">
        <f t="shared" si="28"/>
        <v>0</v>
      </c>
      <c r="K2928" s="59">
        <f t="shared" si="29"/>
        <v>0</v>
      </c>
      <c r="L2928" s="59">
        <f t="shared" si="30"/>
        <v>0</v>
      </c>
      <c r="M2928" s="59">
        <f t="shared" si="31"/>
        <v>0</v>
      </c>
    </row>
    <row r="2929" ht="15.0" hidden="1" customHeight="1">
      <c r="A2929" s="59">
        <f t="shared" si="20"/>
        <v>45</v>
      </c>
      <c r="B2929" s="59" t="str">
        <f t="shared" si="21"/>
        <v/>
      </c>
      <c r="C2929" s="59" t="str">
        <f t="shared" si="22"/>
        <v/>
      </c>
      <c r="D2929" s="45" t="str">
        <f t="shared" si="23"/>
        <v/>
      </c>
      <c r="E2929" s="45" t="str">
        <f t="shared" si="24"/>
        <v/>
      </c>
      <c r="F2929" s="59" t="str">
        <f t="shared" si="25"/>
        <v/>
      </c>
      <c r="G2929" s="59" t="str">
        <f t="shared" si="26"/>
        <v/>
      </c>
      <c r="H2929" s="59" t="str">
        <f t="shared" si="27"/>
        <v>28C03044</v>
      </c>
      <c r="I2929" s="59" t="str">
        <f>IF(OR($A2929="",$C2929="",$D2929="",$E2929="",$H2929=""),"",SUMIFS(DATA_GOC!$H:$H,DATA_GOC!$A:$A,"BOM",DATA_GOC!$D:$D,$H2929,DATA_GOC!$E:$E,$C2929,DATA_GOC!$F:$F,"Xuất nội bộ từ téc",DATA_GOC!$B:$B,"&gt;="&amp;$D2929,DATA_GOC!$B:$B,"&lt;="&amp;$E2929))</f>
        <v/>
      </c>
      <c r="J2929" s="59">
        <f t="shared" si="28"/>
        <v>0</v>
      </c>
      <c r="K2929" s="59">
        <f t="shared" si="29"/>
        <v>0</v>
      </c>
      <c r="L2929" s="59">
        <f t="shared" si="30"/>
        <v>0</v>
      </c>
      <c r="M2929" s="59">
        <f t="shared" si="31"/>
        <v>0</v>
      </c>
    </row>
    <row r="2930" ht="15.0" hidden="1" customHeight="1">
      <c r="A2930" s="59">
        <f t="shared" si="20"/>
        <v>45</v>
      </c>
      <c r="B2930" s="59" t="str">
        <f t="shared" si="21"/>
        <v/>
      </c>
      <c r="C2930" s="59" t="str">
        <f t="shared" si="22"/>
        <v/>
      </c>
      <c r="D2930" s="45" t="str">
        <f t="shared" si="23"/>
        <v/>
      </c>
      <c r="E2930" s="45" t="str">
        <f t="shared" si="24"/>
        <v/>
      </c>
      <c r="F2930" s="59" t="str">
        <f t="shared" si="25"/>
        <v/>
      </c>
      <c r="G2930" s="59" t="str">
        <f t="shared" si="26"/>
        <v/>
      </c>
      <c r="H2930" s="59" t="str">
        <f t="shared" si="27"/>
        <v>Máy lu lốp</v>
      </c>
      <c r="I2930" s="59" t="str">
        <f>IF(OR($A2930="",$C2930="",$D2930="",$E2930="",$H2930=""),"",SUMIFS(DATA_GOC!$H:$H,DATA_GOC!$A:$A,"BOM",DATA_GOC!$D:$D,$H2930,DATA_GOC!$E:$E,$C2930,DATA_GOC!$F:$F,"Xuất nội bộ từ téc",DATA_GOC!$B:$B,"&gt;="&amp;$D2930,DATA_GOC!$B:$B,"&lt;="&amp;$E2930))</f>
        <v/>
      </c>
      <c r="J2930" s="59">
        <f t="shared" si="28"/>
        <v>0</v>
      </c>
      <c r="K2930" s="59">
        <f t="shared" si="29"/>
        <v>0</v>
      </c>
      <c r="L2930" s="59">
        <f t="shared" si="30"/>
        <v>0</v>
      </c>
      <c r="M2930" s="59">
        <f t="shared" si="31"/>
        <v>0</v>
      </c>
    </row>
    <row r="2931" ht="15.0" hidden="1" customHeight="1">
      <c r="A2931" s="59">
        <f t="shared" si="20"/>
        <v>45</v>
      </c>
      <c r="B2931" s="59" t="str">
        <f t="shared" si="21"/>
        <v/>
      </c>
      <c r="C2931" s="59" t="str">
        <f t="shared" si="22"/>
        <v/>
      </c>
      <c r="D2931" s="45" t="str">
        <f t="shared" si="23"/>
        <v/>
      </c>
      <c r="E2931" s="45" t="str">
        <f t="shared" si="24"/>
        <v/>
      </c>
      <c r="F2931" s="59" t="str">
        <f t="shared" si="25"/>
        <v/>
      </c>
      <c r="G2931" s="59" t="str">
        <f t="shared" si="26"/>
        <v/>
      </c>
      <c r="H2931" s="59" t="str">
        <f t="shared" si="27"/>
        <v>Xe 600148</v>
      </c>
      <c r="I2931" s="59" t="str">
        <f>IF(OR($A2931="",$C2931="",$D2931="",$E2931="",$H2931=""),"",SUMIFS(DATA_GOC!$H:$H,DATA_GOC!$A:$A,"BOM",DATA_GOC!$D:$D,$H2931,DATA_GOC!$E:$E,$C2931,DATA_GOC!$F:$F,"Xuất nội bộ từ téc",DATA_GOC!$B:$B,"&gt;="&amp;$D2931,DATA_GOC!$B:$B,"&lt;="&amp;$E2931))</f>
        <v/>
      </c>
      <c r="J2931" s="59">
        <f t="shared" si="28"/>
        <v>0</v>
      </c>
      <c r="K2931" s="59">
        <f t="shared" si="29"/>
        <v>0</v>
      </c>
      <c r="L2931" s="59">
        <f t="shared" si="30"/>
        <v>0</v>
      </c>
      <c r="M2931" s="59">
        <f t="shared" si="31"/>
        <v>0</v>
      </c>
    </row>
    <row r="2932" ht="15.0" hidden="1" customHeight="1">
      <c r="A2932" s="59">
        <f t="shared" si="20"/>
        <v>45</v>
      </c>
      <c r="B2932" s="59" t="str">
        <f t="shared" si="21"/>
        <v/>
      </c>
      <c r="C2932" s="59" t="str">
        <f t="shared" si="22"/>
        <v/>
      </c>
      <c r="D2932" s="45" t="str">
        <f t="shared" si="23"/>
        <v/>
      </c>
      <c r="E2932" s="45" t="str">
        <f t="shared" si="24"/>
        <v/>
      </c>
      <c r="F2932" s="59" t="str">
        <f t="shared" si="25"/>
        <v/>
      </c>
      <c r="G2932" s="59" t="str">
        <f t="shared" si="26"/>
        <v/>
      </c>
      <c r="H2932" s="59" t="str">
        <f t="shared" si="27"/>
        <v>Xe ben mới</v>
      </c>
      <c r="I2932" s="59" t="str">
        <f>IF(OR($A2932="",$C2932="",$D2932="",$E2932="",$H2932=""),"",SUMIFS(DATA_GOC!$H:$H,DATA_GOC!$A:$A,"BOM",DATA_GOC!$D:$D,$H2932,DATA_GOC!$E:$E,$C2932,DATA_GOC!$F:$F,"Xuất nội bộ từ téc",DATA_GOC!$B:$B,"&gt;="&amp;$D2932,DATA_GOC!$B:$B,"&lt;="&amp;$E2932))</f>
        <v/>
      </c>
      <c r="J2932" s="59">
        <f t="shared" si="28"/>
        <v>0</v>
      </c>
      <c r="K2932" s="59">
        <f t="shared" si="29"/>
        <v>0</v>
      </c>
      <c r="L2932" s="59">
        <f t="shared" si="30"/>
        <v>0</v>
      </c>
      <c r="M2932" s="59">
        <f t="shared" si="31"/>
        <v>0</v>
      </c>
    </row>
    <row r="2933" ht="15.0" hidden="1" customHeight="1">
      <c r="A2933" s="59">
        <f t="shared" si="20"/>
        <v>46</v>
      </c>
      <c r="B2933" s="59" t="str">
        <f t="shared" si="21"/>
        <v/>
      </c>
      <c r="C2933" s="59" t="str">
        <f t="shared" si="22"/>
        <v/>
      </c>
      <c r="D2933" s="45" t="str">
        <f t="shared" si="23"/>
        <v/>
      </c>
      <c r="E2933" s="45" t="str">
        <f t="shared" si="24"/>
        <v/>
      </c>
      <c r="F2933" s="59" t="str">
        <f t="shared" si="25"/>
        <v/>
      </c>
      <c r="G2933" s="59" t="str">
        <f t="shared" si="26"/>
        <v/>
      </c>
      <c r="H2933" s="59" t="str">
        <f t="shared" si="27"/>
        <v>19H09482</v>
      </c>
      <c r="I2933" s="59" t="str">
        <f>IF(OR($A2933="",$C2933="",$D2933="",$E2933="",$H2933=""),"",SUMIFS(DATA_GOC!$H:$H,DATA_GOC!$A:$A,"BOM",DATA_GOC!$D:$D,$H2933,DATA_GOC!$E:$E,$C2933,DATA_GOC!$F:$F,"Xuất nội bộ từ téc",DATA_GOC!$B:$B,"&gt;="&amp;$D2933,DATA_GOC!$B:$B,"&lt;="&amp;$E2933))</f>
        <v/>
      </c>
      <c r="J2933" s="59">
        <f t="shared" si="28"/>
        <v>0</v>
      </c>
      <c r="K2933" s="59">
        <f t="shared" si="29"/>
        <v>0</v>
      </c>
      <c r="L2933" s="59">
        <f t="shared" si="30"/>
        <v>0</v>
      </c>
      <c r="M2933" s="59">
        <f t="shared" si="31"/>
        <v>0</v>
      </c>
    </row>
    <row r="2934" ht="15.0" hidden="1" customHeight="1">
      <c r="A2934" s="59">
        <f t="shared" si="20"/>
        <v>46</v>
      </c>
      <c r="B2934" s="59" t="str">
        <f t="shared" si="21"/>
        <v/>
      </c>
      <c r="C2934" s="59" t="str">
        <f t="shared" si="22"/>
        <v/>
      </c>
      <c r="D2934" s="45" t="str">
        <f t="shared" si="23"/>
        <v/>
      </c>
      <c r="E2934" s="45" t="str">
        <f t="shared" si="24"/>
        <v/>
      </c>
      <c r="F2934" s="59" t="str">
        <f t="shared" si="25"/>
        <v/>
      </c>
      <c r="G2934" s="59" t="str">
        <f t="shared" si="26"/>
        <v/>
      </c>
      <c r="H2934" s="59" t="str">
        <f t="shared" si="27"/>
        <v>28A30696</v>
      </c>
      <c r="I2934" s="59" t="str">
        <f>IF(OR($A2934="",$C2934="",$D2934="",$E2934="",$H2934=""),"",SUMIFS(DATA_GOC!$H:$H,DATA_GOC!$A:$A,"BOM",DATA_GOC!$D:$D,$H2934,DATA_GOC!$E:$E,$C2934,DATA_GOC!$F:$F,"Xuất nội bộ từ téc",DATA_GOC!$B:$B,"&gt;="&amp;$D2934,DATA_GOC!$B:$B,"&lt;="&amp;$E2934))</f>
        <v/>
      </c>
      <c r="J2934" s="59">
        <f t="shared" si="28"/>
        <v>0</v>
      </c>
      <c r="K2934" s="59">
        <f t="shared" si="29"/>
        <v>0</v>
      </c>
      <c r="L2934" s="59">
        <f t="shared" si="30"/>
        <v>0</v>
      </c>
      <c r="M2934" s="59">
        <f t="shared" si="31"/>
        <v>0</v>
      </c>
    </row>
    <row r="2935" ht="15.0" hidden="1" customHeight="1">
      <c r="A2935" s="59">
        <f t="shared" si="20"/>
        <v>46</v>
      </c>
      <c r="B2935" s="59" t="str">
        <f t="shared" si="21"/>
        <v/>
      </c>
      <c r="C2935" s="59" t="str">
        <f t="shared" si="22"/>
        <v/>
      </c>
      <c r="D2935" s="45" t="str">
        <f t="shared" si="23"/>
        <v/>
      </c>
      <c r="E2935" s="45" t="str">
        <f t="shared" si="24"/>
        <v/>
      </c>
      <c r="F2935" s="59" t="str">
        <f t="shared" si="25"/>
        <v/>
      </c>
      <c r="G2935" s="59" t="str">
        <f t="shared" si="26"/>
        <v/>
      </c>
      <c r="H2935" s="59" t="str">
        <f t="shared" si="27"/>
        <v>28C00462</v>
      </c>
      <c r="I2935" s="59" t="str">
        <f>IF(OR($A2935="",$C2935="",$D2935="",$E2935="",$H2935=""),"",SUMIFS(DATA_GOC!$H:$H,DATA_GOC!$A:$A,"BOM",DATA_GOC!$D:$D,$H2935,DATA_GOC!$E:$E,$C2935,DATA_GOC!$F:$F,"Xuất nội bộ từ téc",DATA_GOC!$B:$B,"&gt;="&amp;$D2935,DATA_GOC!$B:$B,"&lt;="&amp;$E2935))</f>
        <v/>
      </c>
      <c r="J2935" s="59">
        <f t="shared" si="28"/>
        <v>0</v>
      </c>
      <c r="K2935" s="59">
        <f t="shared" si="29"/>
        <v>0</v>
      </c>
      <c r="L2935" s="59">
        <f t="shared" si="30"/>
        <v>0</v>
      </c>
      <c r="M2935" s="59">
        <f t="shared" si="31"/>
        <v>0</v>
      </c>
    </row>
    <row r="2936" ht="15.0" hidden="1" customHeight="1">
      <c r="A2936" s="59">
        <f t="shared" si="20"/>
        <v>46</v>
      </c>
      <c r="B2936" s="59" t="str">
        <f t="shared" si="21"/>
        <v/>
      </c>
      <c r="C2936" s="59" t="str">
        <f t="shared" si="22"/>
        <v/>
      </c>
      <c r="D2936" s="45" t="str">
        <f t="shared" si="23"/>
        <v/>
      </c>
      <c r="E2936" s="45" t="str">
        <f t="shared" si="24"/>
        <v/>
      </c>
      <c r="F2936" s="59" t="str">
        <f t="shared" si="25"/>
        <v/>
      </c>
      <c r="G2936" s="59" t="str">
        <f t="shared" si="26"/>
        <v/>
      </c>
      <c r="H2936" s="59" t="str">
        <f t="shared" si="27"/>
        <v>28C01165</v>
      </c>
      <c r="I2936" s="59" t="str">
        <f>IF(OR($A2936="",$C2936="",$D2936="",$E2936="",$H2936=""),"",SUMIFS(DATA_GOC!$H:$H,DATA_GOC!$A:$A,"BOM",DATA_GOC!$D:$D,$H2936,DATA_GOC!$E:$E,$C2936,DATA_GOC!$F:$F,"Xuất nội bộ từ téc",DATA_GOC!$B:$B,"&gt;="&amp;$D2936,DATA_GOC!$B:$B,"&lt;="&amp;$E2936))</f>
        <v/>
      </c>
      <c r="J2936" s="59">
        <f t="shared" si="28"/>
        <v>0</v>
      </c>
      <c r="K2936" s="59">
        <f t="shared" si="29"/>
        <v>0</v>
      </c>
      <c r="L2936" s="59">
        <f t="shared" si="30"/>
        <v>0</v>
      </c>
      <c r="M2936" s="59">
        <f t="shared" si="31"/>
        <v>0</v>
      </c>
    </row>
    <row r="2937" ht="15.0" hidden="1" customHeight="1">
      <c r="A2937" s="59">
        <f t="shared" si="20"/>
        <v>46</v>
      </c>
      <c r="B2937" s="59" t="str">
        <f t="shared" si="21"/>
        <v/>
      </c>
      <c r="C2937" s="59" t="str">
        <f t="shared" si="22"/>
        <v/>
      </c>
      <c r="D2937" s="45" t="str">
        <f t="shared" si="23"/>
        <v/>
      </c>
      <c r="E2937" s="45" t="str">
        <f t="shared" si="24"/>
        <v/>
      </c>
      <c r="F2937" s="59" t="str">
        <f t="shared" si="25"/>
        <v/>
      </c>
      <c r="G2937" s="59" t="str">
        <f t="shared" si="26"/>
        <v/>
      </c>
      <c r="H2937" s="59" t="str">
        <f t="shared" si="27"/>
        <v>28C01406</v>
      </c>
      <c r="I2937" s="59" t="str">
        <f>IF(OR($A2937="",$C2937="",$D2937="",$E2937="",$H2937=""),"",SUMIFS(DATA_GOC!$H:$H,DATA_GOC!$A:$A,"BOM",DATA_GOC!$D:$D,$H2937,DATA_GOC!$E:$E,$C2937,DATA_GOC!$F:$F,"Xuất nội bộ từ téc",DATA_GOC!$B:$B,"&gt;="&amp;$D2937,DATA_GOC!$B:$B,"&lt;="&amp;$E2937))</f>
        <v/>
      </c>
      <c r="J2937" s="59">
        <f t="shared" si="28"/>
        <v>0</v>
      </c>
      <c r="K2937" s="59">
        <f t="shared" si="29"/>
        <v>0</v>
      </c>
      <c r="L2937" s="59">
        <f t="shared" si="30"/>
        <v>0</v>
      </c>
      <c r="M2937" s="59">
        <f t="shared" si="31"/>
        <v>0</v>
      </c>
    </row>
    <row r="2938" ht="15.0" hidden="1" customHeight="1">
      <c r="A2938" s="59">
        <f t="shared" si="20"/>
        <v>46</v>
      </c>
      <c r="B2938" s="59" t="str">
        <f t="shared" si="21"/>
        <v/>
      </c>
      <c r="C2938" s="59" t="str">
        <f t="shared" si="22"/>
        <v/>
      </c>
      <c r="D2938" s="45" t="str">
        <f t="shared" si="23"/>
        <v/>
      </c>
      <c r="E2938" s="45" t="str">
        <f t="shared" si="24"/>
        <v/>
      </c>
      <c r="F2938" s="59" t="str">
        <f t="shared" si="25"/>
        <v/>
      </c>
      <c r="G2938" s="59" t="str">
        <f t="shared" si="26"/>
        <v/>
      </c>
      <c r="H2938" s="59" t="str">
        <f t="shared" si="27"/>
        <v>28C01544</v>
      </c>
      <c r="I2938" s="59" t="str">
        <f>IF(OR($A2938="",$C2938="",$D2938="",$E2938="",$H2938=""),"",SUMIFS(DATA_GOC!$H:$H,DATA_GOC!$A:$A,"BOM",DATA_GOC!$D:$D,$H2938,DATA_GOC!$E:$E,$C2938,DATA_GOC!$F:$F,"Xuất nội bộ từ téc",DATA_GOC!$B:$B,"&gt;="&amp;$D2938,DATA_GOC!$B:$B,"&lt;="&amp;$E2938))</f>
        <v/>
      </c>
      <c r="J2938" s="59">
        <f t="shared" si="28"/>
        <v>0</v>
      </c>
      <c r="K2938" s="59">
        <f t="shared" si="29"/>
        <v>0</v>
      </c>
      <c r="L2938" s="59">
        <f t="shared" si="30"/>
        <v>0</v>
      </c>
      <c r="M2938" s="59">
        <f t="shared" si="31"/>
        <v>0</v>
      </c>
    </row>
    <row r="2939" ht="15.0" hidden="1" customHeight="1">
      <c r="A2939" s="59">
        <f t="shared" si="20"/>
        <v>46</v>
      </c>
      <c r="B2939" s="59" t="str">
        <f t="shared" si="21"/>
        <v/>
      </c>
      <c r="C2939" s="59" t="str">
        <f t="shared" si="22"/>
        <v/>
      </c>
      <c r="D2939" s="45" t="str">
        <f t="shared" si="23"/>
        <v/>
      </c>
      <c r="E2939" s="45" t="str">
        <f t="shared" si="24"/>
        <v/>
      </c>
      <c r="F2939" s="59" t="str">
        <f t="shared" si="25"/>
        <v/>
      </c>
      <c r="G2939" s="59" t="str">
        <f t="shared" si="26"/>
        <v/>
      </c>
      <c r="H2939" s="59" t="str">
        <f t="shared" si="27"/>
        <v>28C01622</v>
      </c>
      <c r="I2939" s="59" t="str">
        <f>IF(OR($A2939="",$C2939="",$D2939="",$E2939="",$H2939=""),"",SUMIFS(DATA_GOC!$H:$H,DATA_GOC!$A:$A,"BOM",DATA_GOC!$D:$D,$H2939,DATA_GOC!$E:$E,$C2939,DATA_GOC!$F:$F,"Xuất nội bộ từ téc",DATA_GOC!$B:$B,"&gt;="&amp;$D2939,DATA_GOC!$B:$B,"&lt;="&amp;$E2939))</f>
        <v/>
      </c>
      <c r="J2939" s="59">
        <f t="shared" si="28"/>
        <v>0</v>
      </c>
      <c r="K2939" s="59">
        <f t="shared" si="29"/>
        <v>0</v>
      </c>
      <c r="L2939" s="59">
        <f t="shared" si="30"/>
        <v>0</v>
      </c>
      <c r="M2939" s="59">
        <f t="shared" si="31"/>
        <v>0</v>
      </c>
    </row>
    <row r="2940" ht="15.0" hidden="1" customHeight="1">
      <c r="A2940" s="59">
        <f t="shared" si="20"/>
        <v>46</v>
      </c>
      <c r="B2940" s="59" t="str">
        <f t="shared" si="21"/>
        <v/>
      </c>
      <c r="C2940" s="59" t="str">
        <f t="shared" si="22"/>
        <v/>
      </c>
      <c r="D2940" s="45" t="str">
        <f t="shared" si="23"/>
        <v/>
      </c>
      <c r="E2940" s="45" t="str">
        <f t="shared" si="24"/>
        <v/>
      </c>
      <c r="F2940" s="59" t="str">
        <f t="shared" si="25"/>
        <v/>
      </c>
      <c r="G2940" s="59" t="str">
        <f t="shared" si="26"/>
        <v/>
      </c>
      <c r="H2940" s="59" t="str">
        <f t="shared" si="27"/>
        <v>28C01647</v>
      </c>
      <c r="I2940" s="59" t="str">
        <f>IF(OR($A2940="",$C2940="",$D2940="",$E2940="",$H2940=""),"",SUMIFS(DATA_GOC!$H:$H,DATA_GOC!$A:$A,"BOM",DATA_GOC!$D:$D,$H2940,DATA_GOC!$E:$E,$C2940,DATA_GOC!$F:$F,"Xuất nội bộ từ téc",DATA_GOC!$B:$B,"&gt;="&amp;$D2940,DATA_GOC!$B:$B,"&lt;="&amp;$E2940))</f>
        <v/>
      </c>
      <c r="J2940" s="59">
        <f t="shared" si="28"/>
        <v>0</v>
      </c>
      <c r="K2940" s="59">
        <f t="shared" si="29"/>
        <v>0</v>
      </c>
      <c r="L2940" s="59">
        <f t="shared" si="30"/>
        <v>0</v>
      </c>
      <c r="M2940" s="59">
        <f t="shared" si="31"/>
        <v>0</v>
      </c>
    </row>
    <row r="2941" ht="15.0" hidden="1" customHeight="1">
      <c r="A2941" s="59">
        <f t="shared" si="20"/>
        <v>46</v>
      </c>
      <c r="B2941" s="59" t="str">
        <f t="shared" si="21"/>
        <v/>
      </c>
      <c r="C2941" s="59" t="str">
        <f t="shared" si="22"/>
        <v/>
      </c>
      <c r="D2941" s="45" t="str">
        <f t="shared" si="23"/>
        <v/>
      </c>
      <c r="E2941" s="45" t="str">
        <f t="shared" si="24"/>
        <v/>
      </c>
      <c r="F2941" s="59" t="str">
        <f t="shared" si="25"/>
        <v/>
      </c>
      <c r="G2941" s="59" t="str">
        <f t="shared" si="26"/>
        <v/>
      </c>
      <c r="H2941" s="59" t="str">
        <f t="shared" si="27"/>
        <v>28C01731</v>
      </c>
      <c r="I2941" s="59" t="str">
        <f>IF(OR($A2941="",$C2941="",$D2941="",$E2941="",$H2941=""),"",SUMIFS(DATA_GOC!$H:$H,DATA_GOC!$A:$A,"BOM",DATA_GOC!$D:$D,$H2941,DATA_GOC!$E:$E,$C2941,DATA_GOC!$F:$F,"Xuất nội bộ từ téc",DATA_GOC!$B:$B,"&gt;="&amp;$D2941,DATA_GOC!$B:$B,"&lt;="&amp;$E2941))</f>
        <v/>
      </c>
      <c r="J2941" s="59">
        <f t="shared" si="28"/>
        <v>0</v>
      </c>
      <c r="K2941" s="59">
        <f t="shared" si="29"/>
        <v>0</v>
      </c>
      <c r="L2941" s="59">
        <f t="shared" si="30"/>
        <v>0</v>
      </c>
      <c r="M2941" s="59">
        <f t="shared" si="31"/>
        <v>0</v>
      </c>
    </row>
    <row r="2942" ht="15.0" hidden="1" customHeight="1">
      <c r="A2942" s="59">
        <f t="shared" si="20"/>
        <v>46</v>
      </c>
      <c r="B2942" s="59" t="str">
        <f t="shared" si="21"/>
        <v/>
      </c>
      <c r="C2942" s="59" t="str">
        <f t="shared" si="22"/>
        <v/>
      </c>
      <c r="D2942" s="45" t="str">
        <f t="shared" si="23"/>
        <v/>
      </c>
      <c r="E2942" s="45" t="str">
        <f t="shared" si="24"/>
        <v/>
      </c>
      <c r="F2942" s="59" t="str">
        <f t="shared" si="25"/>
        <v/>
      </c>
      <c r="G2942" s="59" t="str">
        <f t="shared" si="26"/>
        <v/>
      </c>
      <c r="H2942" s="59" t="str">
        <f t="shared" si="27"/>
        <v>28C01743</v>
      </c>
      <c r="I2942" s="59" t="str">
        <f>IF(OR($A2942="",$C2942="",$D2942="",$E2942="",$H2942=""),"",SUMIFS(DATA_GOC!$H:$H,DATA_GOC!$A:$A,"BOM",DATA_GOC!$D:$D,$H2942,DATA_GOC!$E:$E,$C2942,DATA_GOC!$F:$F,"Xuất nội bộ từ téc",DATA_GOC!$B:$B,"&gt;="&amp;$D2942,DATA_GOC!$B:$B,"&lt;="&amp;$E2942))</f>
        <v/>
      </c>
      <c r="J2942" s="59">
        <f t="shared" si="28"/>
        <v>0</v>
      </c>
      <c r="K2942" s="59">
        <f t="shared" si="29"/>
        <v>0</v>
      </c>
      <c r="L2942" s="59">
        <f t="shared" si="30"/>
        <v>0</v>
      </c>
      <c r="M2942" s="59">
        <f t="shared" si="31"/>
        <v>0</v>
      </c>
    </row>
    <row r="2943" ht="15.0" hidden="1" customHeight="1">
      <c r="A2943" s="59">
        <f t="shared" si="20"/>
        <v>46</v>
      </c>
      <c r="B2943" s="59" t="str">
        <f t="shared" si="21"/>
        <v/>
      </c>
      <c r="C2943" s="59" t="str">
        <f t="shared" si="22"/>
        <v/>
      </c>
      <c r="D2943" s="45" t="str">
        <f t="shared" si="23"/>
        <v/>
      </c>
      <c r="E2943" s="45" t="str">
        <f t="shared" si="24"/>
        <v/>
      </c>
      <c r="F2943" s="59" t="str">
        <f t="shared" si="25"/>
        <v/>
      </c>
      <c r="G2943" s="59" t="str">
        <f t="shared" si="26"/>
        <v/>
      </c>
      <c r="H2943" s="59" t="str">
        <f t="shared" si="27"/>
        <v>28C02106</v>
      </c>
      <c r="I2943" s="59" t="str">
        <f>IF(OR($A2943="",$C2943="",$D2943="",$E2943="",$H2943=""),"",SUMIFS(DATA_GOC!$H:$H,DATA_GOC!$A:$A,"BOM",DATA_GOC!$D:$D,$H2943,DATA_GOC!$E:$E,$C2943,DATA_GOC!$F:$F,"Xuất nội bộ từ téc",DATA_GOC!$B:$B,"&gt;="&amp;$D2943,DATA_GOC!$B:$B,"&lt;="&amp;$E2943))</f>
        <v/>
      </c>
      <c r="J2943" s="59">
        <f t="shared" si="28"/>
        <v>0</v>
      </c>
      <c r="K2943" s="59">
        <f t="shared" si="29"/>
        <v>0</v>
      </c>
      <c r="L2943" s="59">
        <f t="shared" si="30"/>
        <v>0</v>
      </c>
      <c r="M2943" s="59">
        <f t="shared" si="31"/>
        <v>0</v>
      </c>
    </row>
    <row r="2944" ht="15.0" hidden="1" customHeight="1">
      <c r="A2944" s="59">
        <f t="shared" si="20"/>
        <v>46</v>
      </c>
      <c r="B2944" s="59" t="str">
        <f t="shared" si="21"/>
        <v/>
      </c>
      <c r="C2944" s="59" t="str">
        <f t="shared" si="22"/>
        <v/>
      </c>
      <c r="D2944" s="45" t="str">
        <f t="shared" si="23"/>
        <v/>
      </c>
      <c r="E2944" s="45" t="str">
        <f t="shared" si="24"/>
        <v/>
      </c>
      <c r="F2944" s="59" t="str">
        <f t="shared" si="25"/>
        <v/>
      </c>
      <c r="G2944" s="59" t="str">
        <f t="shared" si="26"/>
        <v/>
      </c>
      <c r="H2944" s="59" t="str">
        <f t="shared" si="27"/>
        <v>28C02410</v>
      </c>
      <c r="I2944" s="59" t="str">
        <f>IF(OR($A2944="",$C2944="",$D2944="",$E2944="",$H2944=""),"",SUMIFS(DATA_GOC!$H:$H,DATA_GOC!$A:$A,"BOM",DATA_GOC!$D:$D,$H2944,DATA_GOC!$E:$E,$C2944,DATA_GOC!$F:$F,"Xuất nội bộ từ téc",DATA_GOC!$B:$B,"&gt;="&amp;$D2944,DATA_GOC!$B:$B,"&lt;="&amp;$E2944))</f>
        <v/>
      </c>
      <c r="J2944" s="59">
        <f t="shared" si="28"/>
        <v>0</v>
      </c>
      <c r="K2944" s="59">
        <f t="shared" si="29"/>
        <v>0</v>
      </c>
      <c r="L2944" s="59">
        <f t="shared" si="30"/>
        <v>0</v>
      </c>
      <c r="M2944" s="59">
        <f t="shared" si="31"/>
        <v>0</v>
      </c>
    </row>
    <row r="2945" ht="15.0" hidden="1" customHeight="1">
      <c r="A2945" s="59">
        <f t="shared" si="20"/>
        <v>46</v>
      </c>
      <c r="B2945" s="59" t="str">
        <f t="shared" si="21"/>
        <v/>
      </c>
      <c r="C2945" s="59" t="str">
        <f t="shared" si="22"/>
        <v/>
      </c>
      <c r="D2945" s="45" t="str">
        <f t="shared" si="23"/>
        <v/>
      </c>
      <c r="E2945" s="45" t="str">
        <f t="shared" si="24"/>
        <v/>
      </c>
      <c r="F2945" s="59" t="str">
        <f t="shared" si="25"/>
        <v/>
      </c>
      <c r="G2945" s="59" t="str">
        <f t="shared" si="26"/>
        <v/>
      </c>
      <c r="H2945" s="59" t="str">
        <f t="shared" si="27"/>
        <v>28C02545</v>
      </c>
      <c r="I2945" s="59" t="str">
        <f>IF(OR($A2945="",$C2945="",$D2945="",$E2945="",$H2945=""),"",SUMIFS(DATA_GOC!$H:$H,DATA_GOC!$A:$A,"BOM",DATA_GOC!$D:$D,$H2945,DATA_GOC!$E:$E,$C2945,DATA_GOC!$F:$F,"Xuất nội bộ từ téc",DATA_GOC!$B:$B,"&gt;="&amp;$D2945,DATA_GOC!$B:$B,"&lt;="&amp;$E2945))</f>
        <v/>
      </c>
      <c r="J2945" s="59">
        <f t="shared" si="28"/>
        <v>0</v>
      </c>
      <c r="K2945" s="59">
        <f t="shared" si="29"/>
        <v>0</v>
      </c>
      <c r="L2945" s="59">
        <f t="shared" si="30"/>
        <v>0</v>
      </c>
      <c r="M2945" s="59">
        <f t="shared" si="31"/>
        <v>0</v>
      </c>
    </row>
    <row r="2946" ht="15.0" hidden="1" customHeight="1">
      <c r="A2946" s="59">
        <f t="shared" si="20"/>
        <v>46</v>
      </c>
      <c r="B2946" s="59" t="str">
        <f t="shared" si="21"/>
        <v/>
      </c>
      <c r="C2946" s="59" t="str">
        <f t="shared" si="22"/>
        <v/>
      </c>
      <c r="D2946" s="45" t="str">
        <f t="shared" si="23"/>
        <v/>
      </c>
      <c r="E2946" s="45" t="str">
        <f t="shared" si="24"/>
        <v/>
      </c>
      <c r="F2946" s="59" t="str">
        <f t="shared" si="25"/>
        <v/>
      </c>
      <c r="G2946" s="59" t="str">
        <f t="shared" si="26"/>
        <v/>
      </c>
      <c r="H2946" s="59" t="str">
        <f t="shared" si="27"/>
        <v>28C02574</v>
      </c>
      <c r="I2946" s="59" t="str">
        <f>IF(OR($A2946="",$C2946="",$D2946="",$E2946="",$H2946=""),"",SUMIFS(DATA_GOC!$H:$H,DATA_GOC!$A:$A,"BOM",DATA_GOC!$D:$D,$H2946,DATA_GOC!$E:$E,$C2946,DATA_GOC!$F:$F,"Xuất nội bộ từ téc",DATA_GOC!$B:$B,"&gt;="&amp;$D2946,DATA_GOC!$B:$B,"&lt;="&amp;$E2946))</f>
        <v/>
      </c>
      <c r="J2946" s="59">
        <f t="shared" si="28"/>
        <v>0</v>
      </c>
      <c r="K2946" s="59">
        <f t="shared" si="29"/>
        <v>0</v>
      </c>
      <c r="L2946" s="59">
        <f t="shared" si="30"/>
        <v>0</v>
      </c>
      <c r="M2946" s="59">
        <f t="shared" si="31"/>
        <v>0</v>
      </c>
    </row>
    <row r="2947" ht="15.0" hidden="1" customHeight="1">
      <c r="A2947" s="59">
        <f t="shared" si="20"/>
        <v>46</v>
      </c>
      <c r="B2947" s="59" t="str">
        <f t="shared" si="21"/>
        <v/>
      </c>
      <c r="C2947" s="59" t="str">
        <f t="shared" si="22"/>
        <v/>
      </c>
      <c r="D2947" s="45" t="str">
        <f t="shared" si="23"/>
        <v/>
      </c>
      <c r="E2947" s="45" t="str">
        <f t="shared" si="24"/>
        <v/>
      </c>
      <c r="F2947" s="59" t="str">
        <f t="shared" si="25"/>
        <v/>
      </c>
      <c r="G2947" s="59" t="str">
        <f t="shared" si="26"/>
        <v/>
      </c>
      <c r="H2947" s="59" t="str">
        <f t="shared" si="27"/>
        <v>28C02770</v>
      </c>
      <c r="I2947" s="59" t="str">
        <f>IF(OR($A2947="",$C2947="",$D2947="",$E2947="",$H2947=""),"",SUMIFS(DATA_GOC!$H:$H,DATA_GOC!$A:$A,"BOM",DATA_GOC!$D:$D,$H2947,DATA_GOC!$E:$E,$C2947,DATA_GOC!$F:$F,"Xuất nội bộ từ téc",DATA_GOC!$B:$B,"&gt;="&amp;$D2947,DATA_GOC!$B:$B,"&lt;="&amp;$E2947))</f>
        <v/>
      </c>
      <c r="J2947" s="59">
        <f t="shared" si="28"/>
        <v>0</v>
      </c>
      <c r="K2947" s="59">
        <f t="shared" si="29"/>
        <v>0</v>
      </c>
      <c r="L2947" s="59">
        <f t="shared" si="30"/>
        <v>0</v>
      </c>
      <c r="M2947" s="59">
        <f t="shared" si="31"/>
        <v>0</v>
      </c>
    </row>
    <row r="2948" ht="15.0" hidden="1" customHeight="1">
      <c r="A2948" s="59">
        <f t="shared" si="20"/>
        <v>46</v>
      </c>
      <c r="B2948" s="59" t="str">
        <f t="shared" si="21"/>
        <v/>
      </c>
      <c r="C2948" s="59" t="str">
        <f t="shared" si="22"/>
        <v/>
      </c>
      <c r="D2948" s="45" t="str">
        <f t="shared" si="23"/>
        <v/>
      </c>
      <c r="E2948" s="45" t="str">
        <f t="shared" si="24"/>
        <v/>
      </c>
      <c r="F2948" s="59" t="str">
        <f t="shared" si="25"/>
        <v/>
      </c>
      <c r="G2948" s="59" t="str">
        <f t="shared" si="26"/>
        <v/>
      </c>
      <c r="H2948" s="59" t="str">
        <f t="shared" si="27"/>
        <v>28C02986</v>
      </c>
      <c r="I2948" s="59" t="str">
        <f>IF(OR($A2948="",$C2948="",$D2948="",$E2948="",$H2948=""),"",SUMIFS(DATA_GOC!$H:$H,DATA_GOC!$A:$A,"BOM",DATA_GOC!$D:$D,$H2948,DATA_GOC!$E:$E,$C2948,DATA_GOC!$F:$F,"Xuất nội bộ từ téc",DATA_GOC!$B:$B,"&gt;="&amp;$D2948,DATA_GOC!$B:$B,"&lt;="&amp;$E2948))</f>
        <v/>
      </c>
      <c r="J2948" s="59">
        <f t="shared" si="28"/>
        <v>0</v>
      </c>
      <c r="K2948" s="59">
        <f t="shared" si="29"/>
        <v>0</v>
      </c>
      <c r="L2948" s="59">
        <f t="shared" si="30"/>
        <v>0</v>
      </c>
      <c r="M2948" s="59">
        <f t="shared" si="31"/>
        <v>0</v>
      </c>
    </row>
    <row r="2949" ht="15.0" hidden="1" customHeight="1">
      <c r="A2949" s="59">
        <f t="shared" si="20"/>
        <v>46</v>
      </c>
      <c r="B2949" s="59" t="str">
        <f t="shared" si="21"/>
        <v/>
      </c>
      <c r="C2949" s="59" t="str">
        <f t="shared" si="22"/>
        <v/>
      </c>
      <c r="D2949" s="45" t="str">
        <f t="shared" si="23"/>
        <v/>
      </c>
      <c r="E2949" s="45" t="str">
        <f t="shared" si="24"/>
        <v/>
      </c>
      <c r="F2949" s="59" t="str">
        <f t="shared" si="25"/>
        <v/>
      </c>
      <c r="G2949" s="59" t="str">
        <f t="shared" si="26"/>
        <v/>
      </c>
      <c r="H2949" s="59" t="str">
        <f t="shared" si="27"/>
        <v>28C03261</v>
      </c>
      <c r="I2949" s="59" t="str">
        <f>IF(OR($A2949="",$C2949="",$D2949="",$E2949="",$H2949=""),"",SUMIFS(DATA_GOC!$H:$H,DATA_GOC!$A:$A,"BOM",DATA_GOC!$D:$D,$H2949,DATA_GOC!$E:$E,$C2949,DATA_GOC!$F:$F,"Xuất nội bộ từ téc",DATA_GOC!$B:$B,"&gt;="&amp;$D2949,DATA_GOC!$B:$B,"&lt;="&amp;$E2949))</f>
        <v/>
      </c>
      <c r="J2949" s="59">
        <f t="shared" si="28"/>
        <v>0</v>
      </c>
      <c r="K2949" s="59">
        <f t="shared" si="29"/>
        <v>0</v>
      </c>
      <c r="L2949" s="59">
        <f t="shared" si="30"/>
        <v>0</v>
      </c>
      <c r="M2949" s="59">
        <f t="shared" si="31"/>
        <v>0</v>
      </c>
    </row>
    <row r="2950" ht="15.0" hidden="1" customHeight="1">
      <c r="A2950" s="59">
        <f t="shared" si="20"/>
        <v>46</v>
      </c>
      <c r="B2950" s="59" t="str">
        <f t="shared" si="21"/>
        <v/>
      </c>
      <c r="C2950" s="59" t="str">
        <f t="shared" si="22"/>
        <v/>
      </c>
      <c r="D2950" s="45" t="str">
        <f t="shared" si="23"/>
        <v/>
      </c>
      <c r="E2950" s="45" t="str">
        <f t="shared" si="24"/>
        <v/>
      </c>
      <c r="F2950" s="59" t="str">
        <f t="shared" si="25"/>
        <v/>
      </c>
      <c r="G2950" s="59" t="str">
        <f t="shared" si="26"/>
        <v/>
      </c>
      <c r="H2950" s="59" t="str">
        <f t="shared" si="27"/>
        <v>28C03323</v>
      </c>
      <c r="I2950" s="59" t="str">
        <f>IF(OR($A2950="",$C2950="",$D2950="",$E2950="",$H2950=""),"",SUMIFS(DATA_GOC!$H:$H,DATA_GOC!$A:$A,"BOM",DATA_GOC!$D:$D,$H2950,DATA_GOC!$E:$E,$C2950,DATA_GOC!$F:$F,"Xuất nội bộ từ téc",DATA_GOC!$B:$B,"&gt;="&amp;$D2950,DATA_GOC!$B:$B,"&lt;="&amp;$E2950))</f>
        <v/>
      </c>
      <c r="J2950" s="59">
        <f t="shared" si="28"/>
        <v>0</v>
      </c>
      <c r="K2950" s="59">
        <f t="shared" si="29"/>
        <v>0</v>
      </c>
      <c r="L2950" s="59">
        <f t="shared" si="30"/>
        <v>0</v>
      </c>
      <c r="M2950" s="59">
        <f t="shared" si="31"/>
        <v>0</v>
      </c>
    </row>
    <row r="2951" ht="15.0" hidden="1" customHeight="1">
      <c r="A2951" s="59">
        <f t="shared" si="20"/>
        <v>46</v>
      </c>
      <c r="B2951" s="59" t="str">
        <f t="shared" si="21"/>
        <v/>
      </c>
      <c r="C2951" s="59" t="str">
        <f t="shared" si="22"/>
        <v/>
      </c>
      <c r="D2951" s="45" t="str">
        <f t="shared" si="23"/>
        <v/>
      </c>
      <c r="E2951" s="45" t="str">
        <f t="shared" si="24"/>
        <v/>
      </c>
      <c r="F2951" s="59" t="str">
        <f t="shared" si="25"/>
        <v/>
      </c>
      <c r="G2951" s="59" t="str">
        <f t="shared" si="26"/>
        <v/>
      </c>
      <c r="H2951" s="59" t="str">
        <f t="shared" si="27"/>
        <v>28C03385</v>
      </c>
      <c r="I2951" s="59" t="str">
        <f>IF(OR($A2951="",$C2951="",$D2951="",$E2951="",$H2951=""),"",SUMIFS(DATA_GOC!$H:$H,DATA_GOC!$A:$A,"BOM",DATA_GOC!$D:$D,$H2951,DATA_GOC!$E:$E,$C2951,DATA_GOC!$F:$F,"Xuất nội bộ từ téc",DATA_GOC!$B:$B,"&gt;="&amp;$D2951,DATA_GOC!$B:$B,"&lt;="&amp;$E2951))</f>
        <v/>
      </c>
      <c r="J2951" s="59">
        <f t="shared" si="28"/>
        <v>0</v>
      </c>
      <c r="K2951" s="59">
        <f t="shared" si="29"/>
        <v>0</v>
      </c>
      <c r="L2951" s="59">
        <f t="shared" si="30"/>
        <v>0</v>
      </c>
      <c r="M2951" s="59">
        <f t="shared" si="31"/>
        <v>0</v>
      </c>
    </row>
    <row r="2952" ht="15.0" hidden="1" customHeight="1">
      <c r="A2952" s="59">
        <f t="shared" si="20"/>
        <v>46</v>
      </c>
      <c r="B2952" s="59" t="str">
        <f t="shared" si="21"/>
        <v/>
      </c>
      <c r="C2952" s="59" t="str">
        <f t="shared" si="22"/>
        <v/>
      </c>
      <c r="D2952" s="45" t="str">
        <f t="shared" si="23"/>
        <v/>
      </c>
      <c r="E2952" s="45" t="str">
        <f t="shared" si="24"/>
        <v/>
      </c>
      <c r="F2952" s="59" t="str">
        <f t="shared" si="25"/>
        <v/>
      </c>
      <c r="G2952" s="59" t="str">
        <f t="shared" si="26"/>
        <v/>
      </c>
      <c r="H2952" s="59" t="str">
        <f t="shared" si="27"/>
        <v>28C03652</v>
      </c>
      <c r="I2952" s="59" t="str">
        <f>IF(OR($A2952="",$C2952="",$D2952="",$E2952="",$H2952=""),"",SUMIFS(DATA_GOC!$H:$H,DATA_GOC!$A:$A,"BOM",DATA_GOC!$D:$D,$H2952,DATA_GOC!$E:$E,$C2952,DATA_GOC!$F:$F,"Xuất nội bộ từ téc",DATA_GOC!$B:$B,"&gt;="&amp;$D2952,DATA_GOC!$B:$B,"&lt;="&amp;$E2952))</f>
        <v/>
      </c>
      <c r="J2952" s="59">
        <f t="shared" si="28"/>
        <v>0</v>
      </c>
      <c r="K2952" s="59">
        <f t="shared" si="29"/>
        <v>0</v>
      </c>
      <c r="L2952" s="59">
        <f t="shared" si="30"/>
        <v>0</v>
      </c>
      <c r="M2952" s="59">
        <f t="shared" si="31"/>
        <v>0</v>
      </c>
    </row>
    <row r="2953" ht="15.0" hidden="1" customHeight="1">
      <c r="A2953" s="59">
        <f t="shared" si="20"/>
        <v>46</v>
      </c>
      <c r="B2953" s="59" t="str">
        <f t="shared" si="21"/>
        <v/>
      </c>
      <c r="C2953" s="59" t="str">
        <f t="shared" si="22"/>
        <v/>
      </c>
      <c r="D2953" s="45" t="str">
        <f t="shared" si="23"/>
        <v/>
      </c>
      <c r="E2953" s="45" t="str">
        <f t="shared" si="24"/>
        <v/>
      </c>
      <c r="F2953" s="59" t="str">
        <f t="shared" si="25"/>
        <v/>
      </c>
      <c r="G2953" s="59" t="str">
        <f t="shared" si="26"/>
        <v/>
      </c>
      <c r="H2953" s="59" t="str">
        <f t="shared" si="27"/>
        <v>28C03695</v>
      </c>
      <c r="I2953" s="59" t="str">
        <f>IF(OR($A2953="",$C2953="",$D2953="",$E2953="",$H2953=""),"",SUMIFS(DATA_GOC!$H:$H,DATA_GOC!$A:$A,"BOM",DATA_GOC!$D:$D,$H2953,DATA_GOC!$E:$E,$C2953,DATA_GOC!$F:$F,"Xuất nội bộ từ téc",DATA_GOC!$B:$B,"&gt;="&amp;$D2953,DATA_GOC!$B:$B,"&lt;="&amp;$E2953))</f>
        <v/>
      </c>
      <c r="J2953" s="59">
        <f t="shared" si="28"/>
        <v>0</v>
      </c>
      <c r="K2953" s="59">
        <f t="shared" si="29"/>
        <v>0</v>
      </c>
      <c r="L2953" s="59">
        <f t="shared" si="30"/>
        <v>0</v>
      </c>
      <c r="M2953" s="59">
        <f t="shared" si="31"/>
        <v>0</v>
      </c>
    </row>
    <row r="2954" ht="15.0" hidden="1" customHeight="1">
      <c r="A2954" s="59">
        <f t="shared" si="20"/>
        <v>46</v>
      </c>
      <c r="B2954" s="59" t="str">
        <f t="shared" si="21"/>
        <v/>
      </c>
      <c r="C2954" s="59" t="str">
        <f t="shared" si="22"/>
        <v/>
      </c>
      <c r="D2954" s="45" t="str">
        <f t="shared" si="23"/>
        <v/>
      </c>
      <c r="E2954" s="45" t="str">
        <f t="shared" si="24"/>
        <v/>
      </c>
      <c r="F2954" s="59" t="str">
        <f t="shared" si="25"/>
        <v/>
      </c>
      <c r="G2954" s="59" t="str">
        <f t="shared" si="26"/>
        <v/>
      </c>
      <c r="H2954" s="59" t="str">
        <f t="shared" si="27"/>
        <v>28C03927</v>
      </c>
      <c r="I2954" s="59" t="str">
        <f>IF(OR($A2954="",$C2954="",$D2954="",$E2954="",$H2954=""),"",SUMIFS(DATA_GOC!$H:$H,DATA_GOC!$A:$A,"BOM",DATA_GOC!$D:$D,$H2954,DATA_GOC!$E:$E,$C2954,DATA_GOC!$F:$F,"Xuất nội bộ từ téc",DATA_GOC!$B:$B,"&gt;="&amp;$D2954,DATA_GOC!$B:$B,"&lt;="&amp;$E2954))</f>
        <v/>
      </c>
      <c r="J2954" s="59">
        <f t="shared" si="28"/>
        <v>0</v>
      </c>
      <c r="K2954" s="59">
        <f t="shared" si="29"/>
        <v>0</v>
      </c>
      <c r="L2954" s="59">
        <f t="shared" si="30"/>
        <v>0</v>
      </c>
      <c r="M2954" s="59">
        <f t="shared" si="31"/>
        <v>0</v>
      </c>
    </row>
    <row r="2955" ht="15.0" hidden="1" customHeight="1">
      <c r="A2955" s="59">
        <f t="shared" si="20"/>
        <v>46</v>
      </c>
      <c r="B2955" s="59" t="str">
        <f t="shared" si="21"/>
        <v/>
      </c>
      <c r="C2955" s="59" t="str">
        <f t="shared" si="22"/>
        <v/>
      </c>
      <c r="D2955" s="45" t="str">
        <f t="shared" si="23"/>
        <v/>
      </c>
      <c r="E2955" s="45" t="str">
        <f t="shared" si="24"/>
        <v/>
      </c>
      <c r="F2955" s="59" t="str">
        <f t="shared" si="25"/>
        <v/>
      </c>
      <c r="G2955" s="59" t="str">
        <f t="shared" si="26"/>
        <v/>
      </c>
      <c r="H2955" s="59" t="str">
        <f t="shared" si="27"/>
        <v>28C04509</v>
      </c>
      <c r="I2955" s="59" t="str">
        <f>IF(OR($A2955="",$C2955="",$D2955="",$E2955="",$H2955=""),"",SUMIFS(DATA_GOC!$H:$H,DATA_GOC!$A:$A,"BOM",DATA_GOC!$D:$D,$H2955,DATA_GOC!$E:$E,$C2955,DATA_GOC!$F:$F,"Xuất nội bộ từ téc",DATA_GOC!$B:$B,"&gt;="&amp;$D2955,DATA_GOC!$B:$B,"&lt;="&amp;$E2955))</f>
        <v/>
      </c>
      <c r="J2955" s="59">
        <f t="shared" si="28"/>
        <v>0</v>
      </c>
      <c r="K2955" s="59">
        <f t="shared" si="29"/>
        <v>0</v>
      </c>
      <c r="L2955" s="59">
        <f t="shared" si="30"/>
        <v>0</v>
      </c>
      <c r="M2955" s="59">
        <f t="shared" si="31"/>
        <v>0</v>
      </c>
    </row>
    <row r="2956" ht="15.0" hidden="1" customHeight="1">
      <c r="A2956" s="59">
        <f t="shared" si="20"/>
        <v>46</v>
      </c>
      <c r="B2956" s="59" t="str">
        <f t="shared" si="21"/>
        <v/>
      </c>
      <c r="C2956" s="59" t="str">
        <f t="shared" si="22"/>
        <v/>
      </c>
      <c r="D2956" s="45" t="str">
        <f t="shared" si="23"/>
        <v/>
      </c>
      <c r="E2956" s="45" t="str">
        <f t="shared" si="24"/>
        <v/>
      </c>
      <c r="F2956" s="59" t="str">
        <f t="shared" si="25"/>
        <v/>
      </c>
      <c r="G2956" s="59" t="str">
        <f t="shared" si="26"/>
        <v/>
      </c>
      <c r="H2956" s="59" t="str">
        <f t="shared" si="27"/>
        <v>28C04536</v>
      </c>
      <c r="I2956" s="59" t="str">
        <f>IF(OR($A2956="",$C2956="",$D2956="",$E2956="",$H2956=""),"",SUMIFS(DATA_GOC!$H:$H,DATA_GOC!$A:$A,"BOM",DATA_GOC!$D:$D,$H2956,DATA_GOC!$E:$E,$C2956,DATA_GOC!$F:$F,"Xuất nội bộ từ téc",DATA_GOC!$B:$B,"&gt;="&amp;$D2956,DATA_GOC!$B:$B,"&lt;="&amp;$E2956))</f>
        <v/>
      </c>
      <c r="J2956" s="59">
        <f t="shared" si="28"/>
        <v>0</v>
      </c>
      <c r="K2956" s="59">
        <f t="shared" si="29"/>
        <v>0</v>
      </c>
      <c r="L2956" s="59">
        <f t="shared" si="30"/>
        <v>0</v>
      </c>
      <c r="M2956" s="59">
        <f t="shared" si="31"/>
        <v>0</v>
      </c>
    </row>
    <row r="2957" ht="15.0" hidden="1" customHeight="1">
      <c r="A2957" s="59">
        <f t="shared" si="20"/>
        <v>46</v>
      </c>
      <c r="B2957" s="59" t="str">
        <f t="shared" si="21"/>
        <v/>
      </c>
      <c r="C2957" s="59" t="str">
        <f t="shared" si="22"/>
        <v/>
      </c>
      <c r="D2957" s="45" t="str">
        <f t="shared" si="23"/>
        <v/>
      </c>
      <c r="E2957" s="45" t="str">
        <f t="shared" si="24"/>
        <v/>
      </c>
      <c r="F2957" s="59" t="str">
        <f t="shared" si="25"/>
        <v/>
      </c>
      <c r="G2957" s="59" t="str">
        <f t="shared" si="26"/>
        <v/>
      </c>
      <c r="H2957" s="59" t="str">
        <f t="shared" si="27"/>
        <v>28C04576</v>
      </c>
      <c r="I2957" s="59" t="str">
        <f>IF(OR($A2957="",$C2957="",$D2957="",$E2957="",$H2957=""),"",SUMIFS(DATA_GOC!$H:$H,DATA_GOC!$A:$A,"BOM",DATA_GOC!$D:$D,$H2957,DATA_GOC!$E:$E,$C2957,DATA_GOC!$F:$F,"Xuất nội bộ từ téc",DATA_GOC!$B:$B,"&gt;="&amp;$D2957,DATA_GOC!$B:$B,"&lt;="&amp;$E2957))</f>
        <v/>
      </c>
      <c r="J2957" s="59">
        <f t="shared" si="28"/>
        <v>0</v>
      </c>
      <c r="K2957" s="59">
        <f t="shared" si="29"/>
        <v>0</v>
      </c>
      <c r="L2957" s="59">
        <f t="shared" si="30"/>
        <v>0</v>
      </c>
      <c r="M2957" s="59">
        <f t="shared" si="31"/>
        <v>0</v>
      </c>
    </row>
    <row r="2958" ht="15.0" hidden="1" customHeight="1">
      <c r="A2958" s="59">
        <f t="shared" si="20"/>
        <v>46</v>
      </c>
      <c r="B2958" s="59" t="str">
        <f t="shared" si="21"/>
        <v/>
      </c>
      <c r="C2958" s="59" t="str">
        <f t="shared" si="22"/>
        <v/>
      </c>
      <c r="D2958" s="45" t="str">
        <f t="shared" si="23"/>
        <v/>
      </c>
      <c r="E2958" s="45" t="str">
        <f t="shared" si="24"/>
        <v/>
      </c>
      <c r="F2958" s="59" t="str">
        <f t="shared" si="25"/>
        <v/>
      </c>
      <c r="G2958" s="59" t="str">
        <f t="shared" si="26"/>
        <v/>
      </c>
      <c r="H2958" s="59" t="str">
        <f t="shared" si="27"/>
        <v>28C05090</v>
      </c>
      <c r="I2958" s="59" t="str">
        <f>IF(OR($A2958="",$C2958="",$D2958="",$E2958="",$H2958=""),"",SUMIFS(DATA_GOC!$H:$H,DATA_GOC!$A:$A,"BOM",DATA_GOC!$D:$D,$H2958,DATA_GOC!$E:$E,$C2958,DATA_GOC!$F:$F,"Xuất nội bộ từ téc",DATA_GOC!$B:$B,"&gt;="&amp;$D2958,DATA_GOC!$B:$B,"&lt;="&amp;$E2958))</f>
        <v/>
      </c>
      <c r="J2958" s="59">
        <f t="shared" si="28"/>
        <v>0</v>
      </c>
      <c r="K2958" s="59">
        <f t="shared" si="29"/>
        <v>0</v>
      </c>
      <c r="L2958" s="59">
        <f t="shared" si="30"/>
        <v>0</v>
      </c>
      <c r="M2958" s="59">
        <f t="shared" si="31"/>
        <v>0</v>
      </c>
    </row>
    <row r="2959" ht="15.0" hidden="1" customHeight="1">
      <c r="A2959" s="59">
        <f t="shared" si="20"/>
        <v>46</v>
      </c>
      <c r="B2959" s="59" t="str">
        <f t="shared" si="21"/>
        <v/>
      </c>
      <c r="C2959" s="59" t="str">
        <f t="shared" si="22"/>
        <v/>
      </c>
      <c r="D2959" s="45" t="str">
        <f t="shared" si="23"/>
        <v/>
      </c>
      <c r="E2959" s="45" t="str">
        <f t="shared" si="24"/>
        <v/>
      </c>
      <c r="F2959" s="59" t="str">
        <f t="shared" si="25"/>
        <v/>
      </c>
      <c r="G2959" s="59" t="str">
        <f t="shared" si="26"/>
        <v/>
      </c>
      <c r="H2959" s="59" t="str">
        <f t="shared" si="27"/>
        <v>28C05345</v>
      </c>
      <c r="I2959" s="59" t="str">
        <f>IF(OR($A2959="",$C2959="",$D2959="",$E2959="",$H2959=""),"",SUMIFS(DATA_GOC!$H:$H,DATA_GOC!$A:$A,"BOM",DATA_GOC!$D:$D,$H2959,DATA_GOC!$E:$E,$C2959,DATA_GOC!$F:$F,"Xuất nội bộ từ téc",DATA_GOC!$B:$B,"&gt;="&amp;$D2959,DATA_GOC!$B:$B,"&lt;="&amp;$E2959))</f>
        <v/>
      </c>
      <c r="J2959" s="59">
        <f t="shared" si="28"/>
        <v>0</v>
      </c>
      <c r="K2959" s="59">
        <f t="shared" si="29"/>
        <v>0</v>
      </c>
      <c r="L2959" s="59">
        <f t="shared" si="30"/>
        <v>0</v>
      </c>
      <c r="M2959" s="59">
        <f t="shared" si="31"/>
        <v>0</v>
      </c>
    </row>
    <row r="2960" ht="15.0" hidden="1" customHeight="1">
      <c r="A2960" s="59">
        <f t="shared" si="20"/>
        <v>46</v>
      </c>
      <c r="B2960" s="59" t="str">
        <f t="shared" si="21"/>
        <v/>
      </c>
      <c r="C2960" s="59" t="str">
        <f t="shared" si="22"/>
        <v/>
      </c>
      <c r="D2960" s="45" t="str">
        <f t="shared" si="23"/>
        <v/>
      </c>
      <c r="E2960" s="45" t="str">
        <f t="shared" si="24"/>
        <v/>
      </c>
      <c r="F2960" s="59" t="str">
        <f t="shared" si="25"/>
        <v/>
      </c>
      <c r="G2960" s="59" t="str">
        <f t="shared" si="26"/>
        <v/>
      </c>
      <c r="H2960" s="59" t="str">
        <f t="shared" si="27"/>
        <v>28C05661</v>
      </c>
      <c r="I2960" s="59" t="str">
        <f>IF(OR($A2960="",$C2960="",$D2960="",$E2960="",$H2960=""),"",SUMIFS(DATA_GOC!$H:$H,DATA_GOC!$A:$A,"BOM",DATA_GOC!$D:$D,$H2960,DATA_GOC!$E:$E,$C2960,DATA_GOC!$F:$F,"Xuất nội bộ từ téc",DATA_GOC!$B:$B,"&gt;="&amp;$D2960,DATA_GOC!$B:$B,"&lt;="&amp;$E2960))</f>
        <v/>
      </c>
      <c r="J2960" s="59">
        <f t="shared" si="28"/>
        <v>0</v>
      </c>
      <c r="K2960" s="59">
        <f t="shared" si="29"/>
        <v>0</v>
      </c>
      <c r="L2960" s="59">
        <f t="shared" si="30"/>
        <v>0</v>
      </c>
      <c r="M2960" s="59">
        <f t="shared" si="31"/>
        <v>0</v>
      </c>
    </row>
    <row r="2961" ht="15.0" hidden="1" customHeight="1">
      <c r="A2961" s="59">
        <f t="shared" si="20"/>
        <v>46</v>
      </c>
      <c r="B2961" s="59" t="str">
        <f t="shared" si="21"/>
        <v/>
      </c>
      <c r="C2961" s="59" t="str">
        <f t="shared" si="22"/>
        <v/>
      </c>
      <c r="D2961" s="45" t="str">
        <f t="shared" si="23"/>
        <v/>
      </c>
      <c r="E2961" s="45" t="str">
        <f t="shared" si="24"/>
        <v/>
      </c>
      <c r="F2961" s="59" t="str">
        <f t="shared" si="25"/>
        <v/>
      </c>
      <c r="G2961" s="59" t="str">
        <f t="shared" si="26"/>
        <v/>
      </c>
      <c r="H2961" s="59" t="str">
        <f t="shared" si="27"/>
        <v>28C05739</v>
      </c>
      <c r="I2961" s="59" t="str">
        <f>IF(OR($A2961="",$C2961="",$D2961="",$E2961="",$H2961=""),"",SUMIFS(DATA_GOC!$H:$H,DATA_GOC!$A:$A,"BOM",DATA_GOC!$D:$D,$H2961,DATA_GOC!$E:$E,$C2961,DATA_GOC!$F:$F,"Xuất nội bộ từ téc",DATA_GOC!$B:$B,"&gt;="&amp;$D2961,DATA_GOC!$B:$B,"&lt;="&amp;$E2961))</f>
        <v/>
      </c>
      <c r="J2961" s="59">
        <f t="shared" si="28"/>
        <v>0</v>
      </c>
      <c r="K2961" s="59">
        <f t="shared" si="29"/>
        <v>0</v>
      </c>
      <c r="L2961" s="59">
        <f t="shared" si="30"/>
        <v>0</v>
      </c>
      <c r="M2961" s="59">
        <f t="shared" si="31"/>
        <v>0</v>
      </c>
    </row>
    <row r="2962" ht="15.0" hidden="1" customHeight="1">
      <c r="A2962" s="59">
        <f t="shared" si="20"/>
        <v>46</v>
      </c>
      <c r="B2962" s="59" t="str">
        <f t="shared" si="21"/>
        <v/>
      </c>
      <c r="C2962" s="59" t="str">
        <f t="shared" si="22"/>
        <v/>
      </c>
      <c r="D2962" s="45" t="str">
        <f t="shared" si="23"/>
        <v/>
      </c>
      <c r="E2962" s="45" t="str">
        <f t="shared" si="24"/>
        <v/>
      </c>
      <c r="F2962" s="59" t="str">
        <f t="shared" si="25"/>
        <v/>
      </c>
      <c r="G2962" s="59" t="str">
        <f t="shared" si="26"/>
        <v/>
      </c>
      <c r="H2962" s="59" t="str">
        <f t="shared" si="27"/>
        <v>28C06369</v>
      </c>
      <c r="I2962" s="59" t="str">
        <f>IF(OR($A2962="",$C2962="",$D2962="",$E2962="",$H2962=""),"",SUMIFS(DATA_GOC!$H:$H,DATA_GOC!$A:$A,"BOM",DATA_GOC!$D:$D,$H2962,DATA_GOC!$E:$E,$C2962,DATA_GOC!$F:$F,"Xuất nội bộ từ téc",DATA_GOC!$B:$B,"&gt;="&amp;$D2962,DATA_GOC!$B:$B,"&lt;="&amp;$E2962))</f>
        <v/>
      </c>
      <c r="J2962" s="59">
        <f t="shared" si="28"/>
        <v>0</v>
      </c>
      <c r="K2962" s="59">
        <f t="shared" si="29"/>
        <v>0</v>
      </c>
      <c r="L2962" s="59">
        <f t="shared" si="30"/>
        <v>0</v>
      </c>
      <c r="M2962" s="59">
        <f t="shared" si="31"/>
        <v>0</v>
      </c>
    </row>
    <row r="2963" ht="15.0" hidden="1" customHeight="1">
      <c r="A2963" s="59">
        <f t="shared" si="20"/>
        <v>46</v>
      </c>
      <c r="B2963" s="59" t="str">
        <f t="shared" si="21"/>
        <v/>
      </c>
      <c r="C2963" s="59" t="str">
        <f t="shared" si="22"/>
        <v/>
      </c>
      <c r="D2963" s="45" t="str">
        <f t="shared" si="23"/>
        <v/>
      </c>
      <c r="E2963" s="45" t="str">
        <f t="shared" si="24"/>
        <v/>
      </c>
      <c r="F2963" s="59" t="str">
        <f t="shared" si="25"/>
        <v/>
      </c>
      <c r="G2963" s="59" t="str">
        <f t="shared" si="26"/>
        <v/>
      </c>
      <c r="H2963" s="59" t="str">
        <f t="shared" si="27"/>
        <v>28C06447</v>
      </c>
      <c r="I2963" s="59" t="str">
        <f>IF(OR($A2963="",$C2963="",$D2963="",$E2963="",$H2963=""),"",SUMIFS(DATA_GOC!$H:$H,DATA_GOC!$A:$A,"BOM",DATA_GOC!$D:$D,$H2963,DATA_GOC!$E:$E,$C2963,DATA_GOC!$F:$F,"Xuất nội bộ từ téc",DATA_GOC!$B:$B,"&gt;="&amp;$D2963,DATA_GOC!$B:$B,"&lt;="&amp;$E2963))</f>
        <v/>
      </c>
      <c r="J2963" s="59">
        <f t="shared" si="28"/>
        <v>0</v>
      </c>
      <c r="K2963" s="59">
        <f t="shared" si="29"/>
        <v>0</v>
      </c>
      <c r="L2963" s="59">
        <f t="shared" si="30"/>
        <v>0</v>
      </c>
      <c r="M2963" s="59">
        <f t="shared" si="31"/>
        <v>0</v>
      </c>
    </row>
    <row r="2964" ht="15.0" hidden="1" customHeight="1">
      <c r="A2964" s="59">
        <f t="shared" si="20"/>
        <v>46</v>
      </c>
      <c r="B2964" s="59" t="str">
        <f t="shared" si="21"/>
        <v/>
      </c>
      <c r="C2964" s="59" t="str">
        <f t="shared" si="22"/>
        <v/>
      </c>
      <c r="D2964" s="45" t="str">
        <f t="shared" si="23"/>
        <v/>
      </c>
      <c r="E2964" s="45" t="str">
        <f t="shared" si="24"/>
        <v/>
      </c>
      <c r="F2964" s="59" t="str">
        <f t="shared" si="25"/>
        <v/>
      </c>
      <c r="G2964" s="59" t="str">
        <f t="shared" si="26"/>
        <v/>
      </c>
      <c r="H2964" s="59" t="str">
        <f t="shared" si="27"/>
        <v>28H00003</v>
      </c>
      <c r="I2964" s="59" t="str">
        <f>IF(OR($A2964="",$C2964="",$D2964="",$E2964="",$H2964=""),"",SUMIFS(DATA_GOC!$H:$H,DATA_GOC!$A:$A,"BOM",DATA_GOC!$D:$D,$H2964,DATA_GOC!$E:$E,$C2964,DATA_GOC!$F:$F,"Xuất nội bộ từ téc",DATA_GOC!$B:$B,"&gt;="&amp;$D2964,DATA_GOC!$B:$B,"&lt;="&amp;$E2964))</f>
        <v/>
      </c>
      <c r="J2964" s="59">
        <f t="shared" si="28"/>
        <v>0</v>
      </c>
      <c r="K2964" s="59">
        <f t="shared" si="29"/>
        <v>0</v>
      </c>
      <c r="L2964" s="59">
        <f t="shared" si="30"/>
        <v>0</v>
      </c>
      <c r="M2964" s="59">
        <f t="shared" si="31"/>
        <v>0</v>
      </c>
    </row>
    <row r="2965" ht="15.0" hidden="1" customHeight="1">
      <c r="A2965" s="59">
        <f t="shared" si="20"/>
        <v>46</v>
      </c>
      <c r="B2965" s="59" t="str">
        <f t="shared" si="21"/>
        <v/>
      </c>
      <c r="C2965" s="59" t="str">
        <f t="shared" si="22"/>
        <v/>
      </c>
      <c r="D2965" s="45" t="str">
        <f t="shared" si="23"/>
        <v/>
      </c>
      <c r="E2965" s="45" t="str">
        <f t="shared" si="24"/>
        <v/>
      </c>
      <c r="F2965" s="59" t="str">
        <f t="shared" si="25"/>
        <v/>
      </c>
      <c r="G2965" s="59" t="str">
        <f t="shared" si="26"/>
        <v/>
      </c>
      <c r="H2965" s="59" t="str">
        <f t="shared" si="27"/>
        <v>28H00061</v>
      </c>
      <c r="I2965" s="59" t="str">
        <f>IF(OR($A2965="",$C2965="",$D2965="",$E2965="",$H2965=""),"",SUMIFS(DATA_GOC!$H:$H,DATA_GOC!$A:$A,"BOM",DATA_GOC!$D:$D,$H2965,DATA_GOC!$E:$E,$C2965,DATA_GOC!$F:$F,"Xuất nội bộ từ téc",DATA_GOC!$B:$B,"&gt;="&amp;$D2965,DATA_GOC!$B:$B,"&lt;="&amp;$E2965))</f>
        <v/>
      </c>
      <c r="J2965" s="59">
        <f t="shared" si="28"/>
        <v>0</v>
      </c>
      <c r="K2965" s="59">
        <f t="shared" si="29"/>
        <v>0</v>
      </c>
      <c r="L2965" s="59">
        <f t="shared" si="30"/>
        <v>0</v>
      </c>
      <c r="M2965" s="59">
        <f t="shared" si="31"/>
        <v>0</v>
      </c>
    </row>
    <row r="2966" ht="15.0" hidden="1" customHeight="1">
      <c r="A2966" s="59">
        <f t="shared" si="20"/>
        <v>46</v>
      </c>
      <c r="B2966" s="59" t="str">
        <f t="shared" si="21"/>
        <v/>
      </c>
      <c r="C2966" s="59" t="str">
        <f t="shared" si="22"/>
        <v/>
      </c>
      <c r="D2966" s="45" t="str">
        <f t="shared" si="23"/>
        <v/>
      </c>
      <c r="E2966" s="45" t="str">
        <f t="shared" si="24"/>
        <v/>
      </c>
      <c r="F2966" s="59" t="str">
        <f t="shared" si="25"/>
        <v/>
      </c>
      <c r="G2966" s="59" t="str">
        <f t="shared" si="26"/>
        <v/>
      </c>
      <c r="H2966" s="59" t="str">
        <f t="shared" si="27"/>
        <v>28H00354</v>
      </c>
      <c r="I2966" s="59" t="str">
        <f>IF(OR($A2966="",$C2966="",$D2966="",$E2966="",$H2966=""),"",SUMIFS(DATA_GOC!$H:$H,DATA_GOC!$A:$A,"BOM",DATA_GOC!$D:$D,$H2966,DATA_GOC!$E:$E,$C2966,DATA_GOC!$F:$F,"Xuất nội bộ từ téc",DATA_GOC!$B:$B,"&gt;="&amp;$D2966,DATA_GOC!$B:$B,"&lt;="&amp;$E2966))</f>
        <v/>
      </c>
      <c r="J2966" s="59">
        <f t="shared" si="28"/>
        <v>0</v>
      </c>
      <c r="K2966" s="59">
        <f t="shared" si="29"/>
        <v>0</v>
      </c>
      <c r="L2966" s="59">
        <f t="shared" si="30"/>
        <v>0</v>
      </c>
      <c r="M2966" s="59">
        <f t="shared" si="31"/>
        <v>0</v>
      </c>
    </row>
    <row r="2967" ht="15.0" hidden="1" customHeight="1">
      <c r="A2967" s="59">
        <f t="shared" si="20"/>
        <v>46</v>
      </c>
      <c r="B2967" s="59" t="str">
        <f t="shared" si="21"/>
        <v/>
      </c>
      <c r="C2967" s="59" t="str">
        <f t="shared" si="22"/>
        <v/>
      </c>
      <c r="D2967" s="45" t="str">
        <f t="shared" si="23"/>
        <v/>
      </c>
      <c r="E2967" s="45" t="str">
        <f t="shared" si="24"/>
        <v/>
      </c>
      <c r="F2967" s="59" t="str">
        <f t="shared" si="25"/>
        <v/>
      </c>
      <c r="G2967" s="59" t="str">
        <f t="shared" si="26"/>
        <v/>
      </c>
      <c r="H2967" s="59" t="str">
        <f t="shared" si="27"/>
        <v>28H00603</v>
      </c>
      <c r="I2967" s="59" t="str">
        <f>IF(OR($A2967="",$C2967="",$D2967="",$E2967="",$H2967=""),"",SUMIFS(DATA_GOC!$H:$H,DATA_GOC!$A:$A,"BOM",DATA_GOC!$D:$D,$H2967,DATA_GOC!$E:$E,$C2967,DATA_GOC!$F:$F,"Xuất nội bộ từ téc",DATA_GOC!$B:$B,"&gt;="&amp;$D2967,DATA_GOC!$B:$B,"&lt;="&amp;$E2967))</f>
        <v/>
      </c>
      <c r="J2967" s="59">
        <f t="shared" si="28"/>
        <v>0</v>
      </c>
      <c r="K2967" s="59">
        <f t="shared" si="29"/>
        <v>0</v>
      </c>
      <c r="L2967" s="59">
        <f t="shared" si="30"/>
        <v>0</v>
      </c>
      <c r="M2967" s="59">
        <f t="shared" si="31"/>
        <v>0</v>
      </c>
    </row>
    <row r="2968" ht="15.0" hidden="1" customHeight="1">
      <c r="A2968" s="59">
        <f t="shared" si="20"/>
        <v>46</v>
      </c>
      <c r="B2968" s="59" t="str">
        <f t="shared" si="21"/>
        <v/>
      </c>
      <c r="C2968" s="59" t="str">
        <f t="shared" si="22"/>
        <v/>
      </c>
      <c r="D2968" s="45" t="str">
        <f t="shared" si="23"/>
        <v/>
      </c>
      <c r="E2968" s="45" t="str">
        <f t="shared" si="24"/>
        <v/>
      </c>
      <c r="F2968" s="59" t="str">
        <f t="shared" si="25"/>
        <v/>
      </c>
      <c r="G2968" s="59" t="str">
        <f t="shared" si="26"/>
        <v/>
      </c>
      <c r="H2968" s="59" t="str">
        <f t="shared" si="27"/>
        <v>28H00609</v>
      </c>
      <c r="I2968" s="59" t="str">
        <f>IF(OR($A2968="",$C2968="",$D2968="",$E2968="",$H2968=""),"",SUMIFS(DATA_GOC!$H:$H,DATA_GOC!$A:$A,"BOM",DATA_GOC!$D:$D,$H2968,DATA_GOC!$E:$E,$C2968,DATA_GOC!$F:$F,"Xuất nội bộ từ téc",DATA_GOC!$B:$B,"&gt;="&amp;$D2968,DATA_GOC!$B:$B,"&lt;="&amp;$E2968))</f>
        <v/>
      </c>
      <c r="J2968" s="59">
        <f t="shared" si="28"/>
        <v>0</v>
      </c>
      <c r="K2968" s="59">
        <f t="shared" si="29"/>
        <v>0</v>
      </c>
      <c r="L2968" s="59">
        <f t="shared" si="30"/>
        <v>0</v>
      </c>
      <c r="M2968" s="59">
        <f t="shared" si="31"/>
        <v>0</v>
      </c>
    </row>
    <row r="2969" ht="15.0" hidden="1" customHeight="1">
      <c r="A2969" s="59">
        <f t="shared" si="20"/>
        <v>46</v>
      </c>
      <c r="B2969" s="59" t="str">
        <f t="shared" si="21"/>
        <v/>
      </c>
      <c r="C2969" s="59" t="str">
        <f t="shared" si="22"/>
        <v/>
      </c>
      <c r="D2969" s="45" t="str">
        <f t="shared" si="23"/>
        <v/>
      </c>
      <c r="E2969" s="45" t="str">
        <f t="shared" si="24"/>
        <v/>
      </c>
      <c r="F2969" s="59" t="str">
        <f t="shared" si="25"/>
        <v/>
      </c>
      <c r="G2969" s="59" t="str">
        <f t="shared" si="26"/>
        <v/>
      </c>
      <c r="H2969" s="59" t="str">
        <f t="shared" si="27"/>
        <v>28H00669</v>
      </c>
      <c r="I2969" s="59" t="str">
        <f>IF(OR($A2969="",$C2969="",$D2969="",$E2969="",$H2969=""),"",SUMIFS(DATA_GOC!$H:$H,DATA_GOC!$A:$A,"BOM",DATA_GOC!$D:$D,$H2969,DATA_GOC!$E:$E,$C2969,DATA_GOC!$F:$F,"Xuất nội bộ từ téc",DATA_GOC!$B:$B,"&gt;="&amp;$D2969,DATA_GOC!$B:$B,"&lt;="&amp;$E2969))</f>
        <v/>
      </c>
      <c r="J2969" s="59">
        <f t="shared" si="28"/>
        <v>0</v>
      </c>
      <c r="K2969" s="59">
        <f t="shared" si="29"/>
        <v>0</v>
      </c>
      <c r="L2969" s="59">
        <f t="shared" si="30"/>
        <v>0</v>
      </c>
      <c r="M2969" s="59">
        <f t="shared" si="31"/>
        <v>0</v>
      </c>
    </row>
    <row r="2970" ht="15.0" hidden="1" customHeight="1">
      <c r="A2970" s="59">
        <f t="shared" si="20"/>
        <v>46</v>
      </c>
      <c r="B2970" s="59" t="str">
        <f t="shared" si="21"/>
        <v/>
      </c>
      <c r="C2970" s="59" t="str">
        <f t="shared" si="22"/>
        <v/>
      </c>
      <c r="D2970" s="45" t="str">
        <f t="shared" si="23"/>
        <v/>
      </c>
      <c r="E2970" s="45" t="str">
        <f t="shared" si="24"/>
        <v/>
      </c>
      <c r="F2970" s="59" t="str">
        <f t="shared" si="25"/>
        <v/>
      </c>
      <c r="G2970" s="59" t="str">
        <f t="shared" si="26"/>
        <v/>
      </c>
      <c r="H2970" s="59" t="str">
        <f t="shared" si="27"/>
        <v>28H00680</v>
      </c>
      <c r="I2970" s="59" t="str">
        <f>IF(OR($A2970="",$C2970="",$D2970="",$E2970="",$H2970=""),"",SUMIFS(DATA_GOC!$H:$H,DATA_GOC!$A:$A,"BOM",DATA_GOC!$D:$D,$H2970,DATA_GOC!$E:$E,$C2970,DATA_GOC!$F:$F,"Xuất nội bộ từ téc",DATA_GOC!$B:$B,"&gt;="&amp;$D2970,DATA_GOC!$B:$B,"&lt;="&amp;$E2970))</f>
        <v/>
      </c>
      <c r="J2970" s="59">
        <f t="shared" si="28"/>
        <v>0</v>
      </c>
      <c r="K2970" s="59">
        <f t="shared" si="29"/>
        <v>0</v>
      </c>
      <c r="L2970" s="59">
        <f t="shared" si="30"/>
        <v>0</v>
      </c>
      <c r="M2970" s="59">
        <f t="shared" si="31"/>
        <v>0</v>
      </c>
    </row>
    <row r="2971" ht="15.0" hidden="1" customHeight="1">
      <c r="A2971" s="59">
        <f t="shared" si="20"/>
        <v>46</v>
      </c>
      <c r="B2971" s="59" t="str">
        <f t="shared" si="21"/>
        <v/>
      </c>
      <c r="C2971" s="59" t="str">
        <f t="shared" si="22"/>
        <v/>
      </c>
      <c r="D2971" s="45" t="str">
        <f t="shared" si="23"/>
        <v/>
      </c>
      <c r="E2971" s="45" t="str">
        <f t="shared" si="24"/>
        <v/>
      </c>
      <c r="F2971" s="59" t="str">
        <f t="shared" si="25"/>
        <v/>
      </c>
      <c r="G2971" s="59" t="str">
        <f t="shared" si="26"/>
        <v/>
      </c>
      <c r="H2971" s="59" t="str">
        <f t="shared" si="27"/>
        <v>28H01070</v>
      </c>
      <c r="I2971" s="59" t="str">
        <f>IF(OR($A2971="",$C2971="",$D2971="",$E2971="",$H2971=""),"",SUMIFS(DATA_GOC!$H:$H,DATA_GOC!$A:$A,"BOM",DATA_GOC!$D:$D,$H2971,DATA_GOC!$E:$E,$C2971,DATA_GOC!$F:$F,"Xuất nội bộ từ téc",DATA_GOC!$B:$B,"&gt;="&amp;$D2971,DATA_GOC!$B:$B,"&lt;="&amp;$E2971))</f>
        <v/>
      </c>
      <c r="J2971" s="59">
        <f t="shared" si="28"/>
        <v>0</v>
      </c>
      <c r="K2971" s="59">
        <f t="shared" si="29"/>
        <v>0</v>
      </c>
      <c r="L2971" s="59">
        <f t="shared" si="30"/>
        <v>0</v>
      </c>
      <c r="M2971" s="59">
        <f t="shared" si="31"/>
        <v>0</v>
      </c>
    </row>
    <row r="2972" ht="15.0" hidden="1" customHeight="1">
      <c r="A2972" s="59">
        <f t="shared" si="20"/>
        <v>46</v>
      </c>
      <c r="B2972" s="59" t="str">
        <f t="shared" si="21"/>
        <v/>
      </c>
      <c r="C2972" s="59" t="str">
        <f t="shared" si="22"/>
        <v/>
      </c>
      <c r="D2972" s="45" t="str">
        <f t="shared" si="23"/>
        <v/>
      </c>
      <c r="E2972" s="45" t="str">
        <f t="shared" si="24"/>
        <v/>
      </c>
      <c r="F2972" s="59" t="str">
        <f t="shared" si="25"/>
        <v/>
      </c>
      <c r="G2972" s="59" t="str">
        <f t="shared" si="26"/>
        <v/>
      </c>
      <c r="H2972" s="59" t="str">
        <f t="shared" si="27"/>
        <v>28H01364</v>
      </c>
      <c r="I2972" s="59" t="str">
        <f>IF(OR($A2972="",$C2972="",$D2972="",$E2972="",$H2972=""),"",SUMIFS(DATA_GOC!$H:$H,DATA_GOC!$A:$A,"BOM",DATA_GOC!$D:$D,$H2972,DATA_GOC!$E:$E,$C2972,DATA_GOC!$F:$F,"Xuất nội bộ từ téc",DATA_GOC!$B:$B,"&gt;="&amp;$D2972,DATA_GOC!$B:$B,"&lt;="&amp;$E2972))</f>
        <v/>
      </c>
      <c r="J2972" s="59">
        <f t="shared" si="28"/>
        <v>0</v>
      </c>
      <c r="K2972" s="59">
        <f t="shared" si="29"/>
        <v>0</v>
      </c>
      <c r="L2972" s="59">
        <f t="shared" si="30"/>
        <v>0</v>
      </c>
      <c r="M2972" s="59">
        <f t="shared" si="31"/>
        <v>0</v>
      </c>
    </row>
    <row r="2973" ht="15.0" hidden="1" customHeight="1">
      <c r="A2973" s="59">
        <f t="shared" si="20"/>
        <v>46</v>
      </c>
      <c r="B2973" s="59" t="str">
        <f t="shared" si="21"/>
        <v/>
      </c>
      <c r="C2973" s="59" t="str">
        <f t="shared" si="22"/>
        <v/>
      </c>
      <c r="D2973" s="45" t="str">
        <f t="shared" si="23"/>
        <v/>
      </c>
      <c r="E2973" s="45" t="str">
        <f t="shared" si="24"/>
        <v/>
      </c>
      <c r="F2973" s="59" t="str">
        <f t="shared" si="25"/>
        <v/>
      </c>
      <c r="G2973" s="59" t="str">
        <f t="shared" si="26"/>
        <v/>
      </c>
      <c r="H2973" s="59" t="str">
        <f t="shared" si="27"/>
        <v>29E17269</v>
      </c>
      <c r="I2973" s="59" t="str">
        <f>IF(OR($A2973="",$C2973="",$D2973="",$E2973="",$H2973=""),"",SUMIFS(DATA_GOC!$H:$H,DATA_GOC!$A:$A,"BOM",DATA_GOC!$D:$D,$H2973,DATA_GOC!$E:$E,$C2973,DATA_GOC!$F:$F,"Xuất nội bộ từ téc",DATA_GOC!$B:$B,"&gt;="&amp;$D2973,DATA_GOC!$B:$B,"&lt;="&amp;$E2973))</f>
        <v/>
      </c>
      <c r="J2973" s="59">
        <f t="shared" si="28"/>
        <v>0</v>
      </c>
      <c r="K2973" s="59">
        <f t="shared" si="29"/>
        <v>0</v>
      </c>
      <c r="L2973" s="59">
        <f t="shared" si="30"/>
        <v>0</v>
      </c>
      <c r="M2973" s="59">
        <f t="shared" si="31"/>
        <v>0</v>
      </c>
    </row>
    <row r="2974" ht="15.0" hidden="1" customHeight="1">
      <c r="A2974" s="59">
        <f t="shared" si="20"/>
        <v>46</v>
      </c>
      <c r="B2974" s="59" t="str">
        <f t="shared" si="21"/>
        <v/>
      </c>
      <c r="C2974" s="59" t="str">
        <f t="shared" si="22"/>
        <v/>
      </c>
      <c r="D2974" s="45" t="str">
        <f t="shared" si="23"/>
        <v/>
      </c>
      <c r="E2974" s="45" t="str">
        <f t="shared" si="24"/>
        <v/>
      </c>
      <c r="F2974" s="59" t="str">
        <f t="shared" si="25"/>
        <v/>
      </c>
      <c r="G2974" s="59" t="str">
        <f t="shared" si="26"/>
        <v/>
      </c>
      <c r="H2974" s="59" t="str">
        <f t="shared" si="27"/>
        <v>29E17273</v>
      </c>
      <c r="I2974" s="59" t="str">
        <f>IF(OR($A2974="",$C2974="",$D2974="",$E2974="",$H2974=""),"",SUMIFS(DATA_GOC!$H:$H,DATA_GOC!$A:$A,"BOM",DATA_GOC!$D:$D,$H2974,DATA_GOC!$E:$E,$C2974,DATA_GOC!$F:$F,"Xuất nội bộ từ téc",DATA_GOC!$B:$B,"&gt;="&amp;$D2974,DATA_GOC!$B:$B,"&lt;="&amp;$E2974))</f>
        <v/>
      </c>
      <c r="J2974" s="59">
        <f t="shared" si="28"/>
        <v>0</v>
      </c>
      <c r="K2974" s="59">
        <f t="shared" si="29"/>
        <v>0</v>
      </c>
      <c r="L2974" s="59">
        <f t="shared" si="30"/>
        <v>0</v>
      </c>
      <c r="M2974" s="59">
        <f t="shared" si="31"/>
        <v>0</v>
      </c>
    </row>
    <row r="2975" ht="15.0" hidden="1" customHeight="1">
      <c r="A2975" s="59">
        <f t="shared" si="20"/>
        <v>46</v>
      </c>
      <c r="B2975" s="59" t="str">
        <f t="shared" si="21"/>
        <v/>
      </c>
      <c r="C2975" s="59" t="str">
        <f t="shared" si="22"/>
        <v/>
      </c>
      <c r="D2975" s="45" t="str">
        <f t="shared" si="23"/>
        <v/>
      </c>
      <c r="E2975" s="45" t="str">
        <f t="shared" si="24"/>
        <v/>
      </c>
      <c r="F2975" s="59" t="str">
        <f t="shared" si="25"/>
        <v/>
      </c>
      <c r="G2975" s="59" t="str">
        <f t="shared" si="26"/>
        <v/>
      </c>
      <c r="H2975" s="59" t="str">
        <f t="shared" si="27"/>
        <v>29E17410</v>
      </c>
      <c r="I2975" s="59" t="str">
        <f>IF(OR($A2975="",$C2975="",$D2975="",$E2975="",$H2975=""),"",SUMIFS(DATA_GOC!$H:$H,DATA_GOC!$A:$A,"BOM",DATA_GOC!$D:$D,$H2975,DATA_GOC!$E:$E,$C2975,DATA_GOC!$F:$F,"Xuất nội bộ từ téc",DATA_GOC!$B:$B,"&gt;="&amp;$D2975,DATA_GOC!$B:$B,"&lt;="&amp;$E2975))</f>
        <v/>
      </c>
      <c r="J2975" s="59">
        <f t="shared" si="28"/>
        <v>0</v>
      </c>
      <c r="K2975" s="59">
        <f t="shared" si="29"/>
        <v>0</v>
      </c>
      <c r="L2975" s="59">
        <f t="shared" si="30"/>
        <v>0</v>
      </c>
      <c r="M2975" s="59">
        <f t="shared" si="31"/>
        <v>0</v>
      </c>
    </row>
    <row r="2976" ht="15.0" hidden="1" customHeight="1">
      <c r="A2976" s="59">
        <f t="shared" si="20"/>
        <v>46</v>
      </c>
      <c r="B2976" s="59" t="str">
        <f t="shared" si="21"/>
        <v/>
      </c>
      <c r="C2976" s="59" t="str">
        <f t="shared" si="22"/>
        <v/>
      </c>
      <c r="D2976" s="45" t="str">
        <f t="shared" si="23"/>
        <v/>
      </c>
      <c r="E2976" s="45" t="str">
        <f t="shared" si="24"/>
        <v/>
      </c>
      <c r="F2976" s="59" t="str">
        <f t="shared" si="25"/>
        <v/>
      </c>
      <c r="G2976" s="59" t="str">
        <f t="shared" si="26"/>
        <v/>
      </c>
      <c r="H2976" s="59" t="str">
        <f t="shared" si="27"/>
        <v>29E17417</v>
      </c>
      <c r="I2976" s="59" t="str">
        <f>IF(OR($A2976="",$C2976="",$D2976="",$E2976="",$H2976=""),"",SUMIFS(DATA_GOC!$H:$H,DATA_GOC!$A:$A,"BOM",DATA_GOC!$D:$D,$H2976,DATA_GOC!$E:$E,$C2976,DATA_GOC!$F:$F,"Xuất nội bộ từ téc",DATA_GOC!$B:$B,"&gt;="&amp;$D2976,DATA_GOC!$B:$B,"&lt;="&amp;$E2976))</f>
        <v/>
      </c>
      <c r="J2976" s="59">
        <f t="shared" si="28"/>
        <v>0</v>
      </c>
      <c r="K2976" s="59">
        <f t="shared" si="29"/>
        <v>0</v>
      </c>
      <c r="L2976" s="59">
        <f t="shared" si="30"/>
        <v>0</v>
      </c>
      <c r="M2976" s="59">
        <f t="shared" si="31"/>
        <v>0</v>
      </c>
    </row>
    <row r="2977" ht="15.0" hidden="1" customHeight="1">
      <c r="A2977" s="59">
        <f t="shared" si="20"/>
        <v>46</v>
      </c>
      <c r="B2977" s="59" t="str">
        <f t="shared" si="21"/>
        <v/>
      </c>
      <c r="C2977" s="59" t="str">
        <f t="shared" si="22"/>
        <v/>
      </c>
      <c r="D2977" s="45" t="str">
        <f t="shared" si="23"/>
        <v/>
      </c>
      <c r="E2977" s="45" t="str">
        <f t="shared" si="24"/>
        <v/>
      </c>
      <c r="F2977" s="59" t="str">
        <f t="shared" si="25"/>
        <v/>
      </c>
      <c r="G2977" s="59" t="str">
        <f t="shared" si="26"/>
        <v/>
      </c>
      <c r="H2977" s="59" t="str">
        <f t="shared" si="27"/>
        <v>29E17539</v>
      </c>
      <c r="I2977" s="59" t="str">
        <f>IF(OR($A2977="",$C2977="",$D2977="",$E2977="",$H2977=""),"",SUMIFS(DATA_GOC!$H:$H,DATA_GOC!$A:$A,"BOM",DATA_GOC!$D:$D,$H2977,DATA_GOC!$E:$E,$C2977,DATA_GOC!$F:$F,"Xuất nội bộ từ téc",DATA_GOC!$B:$B,"&gt;="&amp;$D2977,DATA_GOC!$B:$B,"&lt;="&amp;$E2977))</f>
        <v/>
      </c>
      <c r="J2977" s="59">
        <f t="shared" si="28"/>
        <v>0</v>
      </c>
      <c r="K2977" s="59">
        <f t="shared" si="29"/>
        <v>0</v>
      </c>
      <c r="L2977" s="59">
        <f t="shared" si="30"/>
        <v>0</v>
      </c>
      <c r="M2977" s="59">
        <f t="shared" si="31"/>
        <v>0</v>
      </c>
    </row>
    <row r="2978" ht="15.0" hidden="1" customHeight="1">
      <c r="A2978" s="59">
        <f t="shared" si="20"/>
        <v>46</v>
      </c>
      <c r="B2978" s="59" t="str">
        <f t="shared" si="21"/>
        <v/>
      </c>
      <c r="C2978" s="59" t="str">
        <f t="shared" si="22"/>
        <v/>
      </c>
      <c r="D2978" s="45" t="str">
        <f t="shared" si="23"/>
        <v/>
      </c>
      <c r="E2978" s="45" t="str">
        <f t="shared" si="24"/>
        <v/>
      </c>
      <c r="F2978" s="59" t="str">
        <f t="shared" si="25"/>
        <v/>
      </c>
      <c r="G2978" s="59" t="str">
        <f t="shared" si="26"/>
        <v/>
      </c>
      <c r="H2978" s="59" t="str">
        <f t="shared" si="27"/>
        <v>29E18160</v>
      </c>
      <c r="I2978" s="59" t="str">
        <f>IF(OR($A2978="",$C2978="",$D2978="",$E2978="",$H2978=""),"",SUMIFS(DATA_GOC!$H:$H,DATA_GOC!$A:$A,"BOM",DATA_GOC!$D:$D,$H2978,DATA_GOC!$E:$E,$C2978,DATA_GOC!$F:$F,"Xuất nội bộ từ téc",DATA_GOC!$B:$B,"&gt;="&amp;$D2978,DATA_GOC!$B:$B,"&lt;="&amp;$E2978))</f>
        <v/>
      </c>
      <c r="J2978" s="59">
        <f t="shared" si="28"/>
        <v>0</v>
      </c>
      <c r="K2978" s="59">
        <f t="shared" si="29"/>
        <v>0</v>
      </c>
      <c r="L2978" s="59">
        <f t="shared" si="30"/>
        <v>0</v>
      </c>
      <c r="M2978" s="59">
        <f t="shared" si="31"/>
        <v>0</v>
      </c>
    </row>
    <row r="2979" ht="15.0" hidden="1" customHeight="1">
      <c r="A2979" s="59">
        <f t="shared" si="20"/>
        <v>46</v>
      </c>
      <c r="B2979" s="59" t="str">
        <f t="shared" si="21"/>
        <v/>
      </c>
      <c r="C2979" s="59" t="str">
        <f t="shared" si="22"/>
        <v/>
      </c>
      <c r="D2979" s="45" t="str">
        <f t="shared" si="23"/>
        <v/>
      </c>
      <c r="E2979" s="45" t="str">
        <f t="shared" si="24"/>
        <v/>
      </c>
      <c r="F2979" s="59" t="str">
        <f t="shared" si="25"/>
        <v/>
      </c>
      <c r="G2979" s="59" t="str">
        <f t="shared" si="26"/>
        <v/>
      </c>
      <c r="H2979" s="59" t="str">
        <f t="shared" si="27"/>
        <v>Công trình Asphalt</v>
      </c>
      <c r="I2979" s="59" t="str">
        <f>IF(OR($A2979="",$C2979="",$D2979="",$E2979="",$H2979=""),"",SUMIFS(DATA_GOC!$H:$H,DATA_GOC!$A:$A,"BOM",DATA_GOC!$D:$D,$H2979,DATA_GOC!$E:$E,$C2979,DATA_GOC!$F:$F,"Xuất nội bộ từ téc",DATA_GOC!$B:$B,"&gt;="&amp;$D2979,DATA_GOC!$B:$B,"&lt;="&amp;$E2979))</f>
        <v/>
      </c>
      <c r="J2979" s="59">
        <f t="shared" si="28"/>
        <v>0</v>
      </c>
      <c r="K2979" s="59">
        <f t="shared" si="29"/>
        <v>0</v>
      </c>
      <c r="L2979" s="59">
        <f t="shared" si="30"/>
        <v>0</v>
      </c>
      <c r="M2979" s="59">
        <f t="shared" si="31"/>
        <v>0</v>
      </c>
    </row>
    <row r="2980" ht="15.0" hidden="1" customHeight="1">
      <c r="A2980" s="59">
        <f t="shared" si="20"/>
        <v>46</v>
      </c>
      <c r="B2980" s="59" t="str">
        <f t="shared" si="21"/>
        <v/>
      </c>
      <c r="C2980" s="59" t="str">
        <f t="shared" si="22"/>
        <v/>
      </c>
      <c r="D2980" s="45" t="str">
        <f t="shared" si="23"/>
        <v/>
      </c>
      <c r="E2980" s="45" t="str">
        <f t="shared" si="24"/>
        <v/>
      </c>
      <c r="F2980" s="59" t="str">
        <f t="shared" si="25"/>
        <v/>
      </c>
      <c r="G2980" s="59" t="str">
        <f t="shared" si="26"/>
        <v/>
      </c>
      <c r="H2980" s="59" t="str">
        <f t="shared" si="27"/>
        <v>LG53F</v>
      </c>
      <c r="I2980" s="59" t="str">
        <f>IF(OR($A2980="",$C2980="",$D2980="",$E2980="",$H2980=""),"",SUMIFS(DATA_GOC!$H:$H,DATA_GOC!$A:$A,"BOM",DATA_GOC!$D:$D,$H2980,DATA_GOC!$E:$E,$C2980,DATA_GOC!$F:$F,"Xuất nội bộ từ téc",DATA_GOC!$B:$B,"&gt;="&amp;$D2980,DATA_GOC!$B:$B,"&lt;="&amp;$E2980))</f>
        <v/>
      </c>
      <c r="J2980" s="59">
        <f t="shared" si="28"/>
        <v>0</v>
      </c>
      <c r="K2980" s="59">
        <f t="shared" si="29"/>
        <v>0</v>
      </c>
      <c r="L2980" s="59">
        <f t="shared" si="30"/>
        <v>0</v>
      </c>
      <c r="M2980" s="59">
        <f t="shared" si="31"/>
        <v>0</v>
      </c>
    </row>
    <row r="2981" ht="15.0" hidden="1" customHeight="1">
      <c r="A2981" s="59">
        <f t="shared" si="20"/>
        <v>46</v>
      </c>
      <c r="B2981" s="59" t="str">
        <f t="shared" si="21"/>
        <v/>
      </c>
      <c r="C2981" s="59" t="str">
        <f t="shared" si="22"/>
        <v/>
      </c>
      <c r="D2981" s="45" t="str">
        <f t="shared" si="23"/>
        <v/>
      </c>
      <c r="E2981" s="45" t="str">
        <f t="shared" si="24"/>
        <v/>
      </c>
      <c r="F2981" s="59" t="str">
        <f t="shared" si="25"/>
        <v/>
      </c>
      <c r="G2981" s="59" t="str">
        <f t="shared" si="26"/>
        <v/>
      </c>
      <c r="H2981" s="59" t="str">
        <f t="shared" si="27"/>
        <v>Máy phát điện</v>
      </c>
      <c r="I2981" s="59" t="str">
        <f>IF(OR($A2981="",$C2981="",$D2981="",$E2981="",$H2981=""),"",SUMIFS(DATA_GOC!$H:$H,DATA_GOC!$A:$A,"BOM",DATA_GOC!$D:$D,$H2981,DATA_GOC!$E:$E,$C2981,DATA_GOC!$F:$F,"Xuất nội bộ từ téc",DATA_GOC!$B:$B,"&gt;="&amp;$D2981,DATA_GOC!$B:$B,"&lt;="&amp;$E2981))</f>
        <v/>
      </c>
      <c r="J2981" s="59">
        <f t="shared" si="28"/>
        <v>0</v>
      </c>
      <c r="K2981" s="59">
        <f t="shared" si="29"/>
        <v>0</v>
      </c>
      <c r="L2981" s="59">
        <f t="shared" si="30"/>
        <v>0</v>
      </c>
      <c r="M2981" s="59">
        <f t="shared" si="31"/>
        <v>0</v>
      </c>
    </row>
    <row r="2982" ht="15.0" hidden="1" customHeight="1">
      <c r="A2982" s="59">
        <f t="shared" si="20"/>
        <v>46</v>
      </c>
      <c r="B2982" s="59" t="str">
        <f t="shared" si="21"/>
        <v/>
      </c>
      <c r="C2982" s="59" t="str">
        <f t="shared" si="22"/>
        <v/>
      </c>
      <c r="D2982" s="45" t="str">
        <f t="shared" si="23"/>
        <v/>
      </c>
      <c r="E2982" s="45" t="str">
        <f t="shared" si="24"/>
        <v/>
      </c>
      <c r="F2982" s="59" t="str">
        <f t="shared" si="25"/>
        <v/>
      </c>
      <c r="G2982" s="59" t="str">
        <f t="shared" si="26"/>
        <v/>
      </c>
      <c r="H2982" s="59" t="str">
        <f t="shared" si="27"/>
        <v>Máy rải thảm</v>
      </c>
      <c r="I2982" s="59" t="str">
        <f>IF(OR($A2982="",$C2982="",$D2982="",$E2982="",$H2982=""),"",SUMIFS(DATA_GOC!$H:$H,DATA_GOC!$A:$A,"BOM",DATA_GOC!$D:$D,$H2982,DATA_GOC!$E:$E,$C2982,DATA_GOC!$F:$F,"Xuất nội bộ từ téc",DATA_GOC!$B:$B,"&gt;="&amp;$D2982,DATA_GOC!$B:$B,"&lt;="&amp;$E2982))</f>
        <v/>
      </c>
      <c r="J2982" s="59">
        <f t="shared" si="28"/>
        <v>0</v>
      </c>
      <c r="K2982" s="59">
        <f t="shared" si="29"/>
        <v>0</v>
      </c>
      <c r="L2982" s="59">
        <f t="shared" si="30"/>
        <v>0</v>
      </c>
      <c r="M2982" s="59">
        <f t="shared" si="31"/>
        <v>0</v>
      </c>
    </row>
    <row r="2983" ht="15.0" hidden="1" customHeight="1">
      <c r="A2983" s="59">
        <f t="shared" si="20"/>
        <v>46</v>
      </c>
      <c r="B2983" s="59" t="str">
        <f t="shared" si="21"/>
        <v/>
      </c>
      <c r="C2983" s="59" t="str">
        <f t="shared" si="22"/>
        <v/>
      </c>
      <c r="D2983" s="45" t="str">
        <f t="shared" si="23"/>
        <v/>
      </c>
      <c r="E2983" s="45" t="str">
        <f t="shared" si="24"/>
        <v/>
      </c>
      <c r="F2983" s="59" t="str">
        <f t="shared" si="25"/>
        <v/>
      </c>
      <c r="G2983" s="59" t="str">
        <f t="shared" si="26"/>
        <v/>
      </c>
      <c r="H2983" s="59" t="str">
        <f t="shared" si="27"/>
        <v>Xúc Đào</v>
      </c>
      <c r="I2983" s="59" t="str">
        <f>IF(OR($A2983="",$C2983="",$D2983="",$E2983="",$H2983=""),"",SUMIFS(DATA_GOC!$H:$H,DATA_GOC!$A:$A,"BOM",DATA_GOC!$D:$D,$H2983,DATA_GOC!$E:$E,$C2983,DATA_GOC!$F:$F,"Xuất nội bộ từ téc",DATA_GOC!$B:$B,"&gt;="&amp;$D2983,DATA_GOC!$B:$B,"&lt;="&amp;$E2983))</f>
        <v/>
      </c>
      <c r="J2983" s="59">
        <f t="shared" si="28"/>
        <v>0</v>
      </c>
      <c r="K2983" s="59">
        <f t="shared" si="29"/>
        <v>0</v>
      </c>
      <c r="L2983" s="59">
        <f t="shared" si="30"/>
        <v>0</v>
      </c>
      <c r="M2983" s="59">
        <f t="shared" si="31"/>
        <v>0</v>
      </c>
    </row>
    <row r="2984" ht="15.0" hidden="1" customHeight="1">
      <c r="A2984" s="59">
        <f t="shared" si="20"/>
        <v>46</v>
      </c>
      <c r="B2984" s="59" t="str">
        <f t="shared" si="21"/>
        <v/>
      </c>
      <c r="C2984" s="59" t="str">
        <f t="shared" si="22"/>
        <v/>
      </c>
      <c r="D2984" s="45" t="str">
        <f t="shared" si="23"/>
        <v/>
      </c>
      <c r="E2984" s="45" t="str">
        <f t="shared" si="24"/>
        <v/>
      </c>
      <c r="F2984" s="59" t="str">
        <f t="shared" si="25"/>
        <v/>
      </c>
      <c r="G2984" s="59" t="str">
        <f t="shared" si="26"/>
        <v/>
      </c>
      <c r="H2984" s="59" t="str">
        <f t="shared" si="27"/>
        <v>Xúclật asphalt</v>
      </c>
      <c r="I2984" s="59" t="str">
        <f>IF(OR($A2984="",$C2984="",$D2984="",$E2984="",$H2984=""),"",SUMIFS(DATA_GOC!$H:$H,DATA_GOC!$A:$A,"BOM",DATA_GOC!$D:$D,$H2984,DATA_GOC!$E:$E,$C2984,DATA_GOC!$F:$F,"Xuất nội bộ từ téc",DATA_GOC!$B:$B,"&gt;="&amp;$D2984,DATA_GOC!$B:$B,"&lt;="&amp;$E2984))</f>
        <v/>
      </c>
      <c r="J2984" s="59">
        <f t="shared" si="28"/>
        <v>0</v>
      </c>
      <c r="K2984" s="59">
        <f t="shared" si="29"/>
        <v>0</v>
      </c>
      <c r="L2984" s="59">
        <f t="shared" si="30"/>
        <v>0</v>
      </c>
      <c r="M2984" s="59">
        <f t="shared" si="31"/>
        <v>0</v>
      </c>
    </row>
    <row r="2985" ht="15.0" hidden="1" customHeight="1">
      <c r="A2985" s="59">
        <f t="shared" si="20"/>
        <v>46</v>
      </c>
      <c r="B2985" s="59" t="str">
        <f t="shared" si="21"/>
        <v/>
      </c>
      <c r="C2985" s="59" t="str">
        <f t="shared" si="22"/>
        <v/>
      </c>
      <c r="D2985" s="45" t="str">
        <f t="shared" si="23"/>
        <v/>
      </c>
      <c r="E2985" s="45" t="str">
        <f t="shared" si="24"/>
        <v/>
      </c>
      <c r="F2985" s="59" t="str">
        <f t="shared" si="25"/>
        <v/>
      </c>
      <c r="G2985" s="59" t="str">
        <f t="shared" si="26"/>
        <v/>
      </c>
      <c r="H2985" s="59" t="str">
        <f t="shared" si="27"/>
        <v>Xúclật855H</v>
      </c>
      <c r="I2985" s="59" t="str">
        <f>IF(OR($A2985="",$C2985="",$D2985="",$E2985="",$H2985=""),"",SUMIFS(DATA_GOC!$H:$H,DATA_GOC!$A:$A,"BOM",DATA_GOC!$D:$D,$H2985,DATA_GOC!$E:$E,$C2985,DATA_GOC!$F:$F,"Xuất nội bộ từ téc",DATA_GOC!$B:$B,"&gt;="&amp;$D2985,DATA_GOC!$B:$B,"&lt;="&amp;$E2985))</f>
        <v/>
      </c>
      <c r="J2985" s="59">
        <f t="shared" si="28"/>
        <v>0</v>
      </c>
      <c r="K2985" s="59">
        <f t="shared" si="29"/>
        <v>0</v>
      </c>
      <c r="L2985" s="59">
        <f t="shared" si="30"/>
        <v>0</v>
      </c>
      <c r="M2985" s="59">
        <f t="shared" si="31"/>
        <v>0</v>
      </c>
    </row>
    <row r="2986" ht="15.0" hidden="1" customHeight="1">
      <c r="A2986" s="59">
        <f t="shared" si="20"/>
        <v>46</v>
      </c>
      <c r="B2986" s="59" t="str">
        <f t="shared" si="21"/>
        <v/>
      </c>
      <c r="C2986" s="59" t="str">
        <f t="shared" si="22"/>
        <v/>
      </c>
      <c r="D2986" s="45" t="str">
        <f t="shared" si="23"/>
        <v/>
      </c>
      <c r="E2986" s="45" t="str">
        <f t="shared" si="24"/>
        <v/>
      </c>
      <c r="F2986" s="59" t="str">
        <f t="shared" si="25"/>
        <v/>
      </c>
      <c r="G2986" s="59" t="str">
        <f t="shared" si="26"/>
        <v/>
      </c>
      <c r="H2986" s="59" t="str">
        <f t="shared" si="27"/>
        <v>Xúclật855N</v>
      </c>
      <c r="I2986" s="59" t="str">
        <f>IF(OR($A2986="",$C2986="",$D2986="",$E2986="",$H2986=""),"",SUMIFS(DATA_GOC!$H:$H,DATA_GOC!$A:$A,"BOM",DATA_GOC!$D:$D,$H2986,DATA_GOC!$E:$E,$C2986,DATA_GOC!$F:$F,"Xuất nội bộ từ téc",DATA_GOC!$B:$B,"&gt;="&amp;$D2986,DATA_GOC!$B:$B,"&lt;="&amp;$E2986))</f>
        <v/>
      </c>
      <c r="J2986" s="59">
        <f t="shared" si="28"/>
        <v>0</v>
      </c>
      <c r="K2986" s="59">
        <f t="shared" si="29"/>
        <v>0</v>
      </c>
      <c r="L2986" s="59">
        <f t="shared" si="30"/>
        <v>0</v>
      </c>
      <c r="M2986" s="59">
        <f t="shared" si="31"/>
        <v>0</v>
      </c>
    </row>
    <row r="2987" ht="15.0" hidden="1" customHeight="1">
      <c r="A2987" s="59">
        <f t="shared" si="20"/>
        <v>46</v>
      </c>
      <c r="B2987" s="59" t="str">
        <f t="shared" si="21"/>
        <v/>
      </c>
      <c r="C2987" s="59" t="str">
        <f t="shared" si="22"/>
        <v/>
      </c>
      <c r="D2987" s="45" t="str">
        <f t="shared" si="23"/>
        <v/>
      </c>
      <c r="E2987" s="45" t="str">
        <f t="shared" si="24"/>
        <v/>
      </c>
      <c r="F2987" s="59" t="str">
        <f t="shared" si="25"/>
        <v/>
      </c>
      <c r="G2987" s="59" t="str">
        <f t="shared" si="26"/>
        <v/>
      </c>
      <c r="H2987" s="59" t="str">
        <f t="shared" si="27"/>
        <v>Cát nghiền</v>
      </c>
      <c r="I2987" s="59" t="str">
        <f>IF(OR($A2987="",$C2987="",$D2987="",$E2987="",$H2987=""),"",SUMIFS(DATA_GOC!$H:$H,DATA_GOC!$A:$A,"BOM",DATA_GOC!$D:$D,$H2987,DATA_GOC!$E:$E,$C2987,DATA_GOC!$F:$F,"Xuất nội bộ từ téc",DATA_GOC!$B:$B,"&gt;="&amp;$D2987,DATA_GOC!$B:$B,"&lt;="&amp;$E2987))</f>
        <v/>
      </c>
      <c r="J2987" s="59">
        <f t="shared" si="28"/>
        <v>0</v>
      </c>
      <c r="K2987" s="59">
        <f t="shared" si="29"/>
        <v>0</v>
      </c>
      <c r="L2987" s="59">
        <f t="shared" si="30"/>
        <v>0</v>
      </c>
      <c r="M2987" s="59">
        <f t="shared" si="31"/>
        <v>0</v>
      </c>
    </row>
    <row r="2988" ht="15.0" hidden="1" customHeight="1">
      <c r="A2988" s="59">
        <f t="shared" si="20"/>
        <v>46</v>
      </c>
      <c r="B2988" s="59" t="str">
        <f t="shared" si="21"/>
        <v/>
      </c>
      <c r="C2988" s="59" t="str">
        <f t="shared" si="22"/>
        <v/>
      </c>
      <c r="D2988" s="45" t="str">
        <f t="shared" si="23"/>
        <v/>
      </c>
      <c r="E2988" s="45" t="str">
        <f t="shared" si="24"/>
        <v/>
      </c>
      <c r="F2988" s="59" t="str">
        <f t="shared" si="25"/>
        <v/>
      </c>
      <c r="G2988" s="59" t="str">
        <f t="shared" si="26"/>
        <v/>
      </c>
      <c r="H2988" s="59" t="str">
        <f t="shared" si="27"/>
        <v>28C02973</v>
      </c>
      <c r="I2988" s="59" t="str">
        <f>IF(OR($A2988="",$C2988="",$D2988="",$E2988="",$H2988=""),"",SUMIFS(DATA_GOC!$H:$H,DATA_GOC!$A:$A,"BOM",DATA_GOC!$D:$D,$H2988,DATA_GOC!$E:$E,$C2988,DATA_GOC!$F:$F,"Xuất nội bộ từ téc",DATA_GOC!$B:$B,"&gt;="&amp;$D2988,DATA_GOC!$B:$B,"&lt;="&amp;$E2988))</f>
        <v/>
      </c>
      <c r="J2988" s="59">
        <f t="shared" si="28"/>
        <v>0</v>
      </c>
      <c r="K2988" s="59">
        <f t="shared" si="29"/>
        <v>0</v>
      </c>
      <c r="L2988" s="59">
        <f t="shared" si="30"/>
        <v>0</v>
      </c>
      <c r="M2988" s="59">
        <f t="shared" si="31"/>
        <v>0</v>
      </c>
    </row>
    <row r="2989" ht="15.0" hidden="1" customHeight="1">
      <c r="A2989" s="59">
        <f t="shared" si="20"/>
        <v>46</v>
      </c>
      <c r="B2989" s="59" t="str">
        <f t="shared" si="21"/>
        <v/>
      </c>
      <c r="C2989" s="59" t="str">
        <f t="shared" si="22"/>
        <v/>
      </c>
      <c r="D2989" s="45" t="str">
        <f t="shared" si="23"/>
        <v/>
      </c>
      <c r="E2989" s="45" t="str">
        <f t="shared" si="24"/>
        <v/>
      </c>
      <c r="F2989" s="59" t="str">
        <f t="shared" si="25"/>
        <v/>
      </c>
      <c r="G2989" s="59" t="str">
        <f t="shared" si="26"/>
        <v/>
      </c>
      <c r="H2989" s="59" t="str">
        <f t="shared" si="27"/>
        <v>28C03044</v>
      </c>
      <c r="I2989" s="59" t="str">
        <f>IF(OR($A2989="",$C2989="",$D2989="",$E2989="",$H2989=""),"",SUMIFS(DATA_GOC!$H:$H,DATA_GOC!$A:$A,"BOM",DATA_GOC!$D:$D,$H2989,DATA_GOC!$E:$E,$C2989,DATA_GOC!$F:$F,"Xuất nội bộ từ téc",DATA_GOC!$B:$B,"&gt;="&amp;$D2989,DATA_GOC!$B:$B,"&lt;="&amp;$E2989))</f>
        <v/>
      </c>
      <c r="J2989" s="59">
        <f t="shared" si="28"/>
        <v>0</v>
      </c>
      <c r="K2989" s="59">
        <f t="shared" si="29"/>
        <v>0</v>
      </c>
      <c r="L2989" s="59">
        <f t="shared" si="30"/>
        <v>0</v>
      </c>
      <c r="M2989" s="59">
        <f t="shared" si="31"/>
        <v>0</v>
      </c>
    </row>
    <row r="2990" ht="15.0" hidden="1" customHeight="1">
      <c r="A2990" s="59">
        <f t="shared" si="20"/>
        <v>46</v>
      </c>
      <c r="B2990" s="59" t="str">
        <f t="shared" si="21"/>
        <v/>
      </c>
      <c r="C2990" s="59" t="str">
        <f t="shared" si="22"/>
        <v/>
      </c>
      <c r="D2990" s="45" t="str">
        <f t="shared" si="23"/>
        <v/>
      </c>
      <c r="E2990" s="45" t="str">
        <f t="shared" si="24"/>
        <v/>
      </c>
      <c r="F2990" s="59" t="str">
        <f t="shared" si="25"/>
        <v/>
      </c>
      <c r="G2990" s="59" t="str">
        <f t="shared" si="26"/>
        <v/>
      </c>
      <c r="H2990" s="59" t="str">
        <f t="shared" si="27"/>
        <v>Máy lu lốp</v>
      </c>
      <c r="I2990" s="59" t="str">
        <f>IF(OR($A2990="",$C2990="",$D2990="",$E2990="",$H2990=""),"",SUMIFS(DATA_GOC!$H:$H,DATA_GOC!$A:$A,"BOM",DATA_GOC!$D:$D,$H2990,DATA_GOC!$E:$E,$C2990,DATA_GOC!$F:$F,"Xuất nội bộ từ téc",DATA_GOC!$B:$B,"&gt;="&amp;$D2990,DATA_GOC!$B:$B,"&lt;="&amp;$E2990))</f>
        <v/>
      </c>
      <c r="J2990" s="59">
        <f t="shared" si="28"/>
        <v>0</v>
      </c>
      <c r="K2990" s="59">
        <f t="shared" si="29"/>
        <v>0</v>
      </c>
      <c r="L2990" s="59">
        <f t="shared" si="30"/>
        <v>0</v>
      </c>
      <c r="M2990" s="59">
        <f t="shared" si="31"/>
        <v>0</v>
      </c>
    </row>
    <row r="2991" ht="15.0" hidden="1" customHeight="1">
      <c r="A2991" s="59">
        <f t="shared" si="20"/>
        <v>46</v>
      </c>
      <c r="B2991" s="59" t="str">
        <f t="shared" si="21"/>
        <v/>
      </c>
      <c r="C2991" s="59" t="str">
        <f t="shared" si="22"/>
        <v/>
      </c>
      <c r="D2991" s="45" t="str">
        <f t="shared" si="23"/>
        <v/>
      </c>
      <c r="E2991" s="45" t="str">
        <f t="shared" si="24"/>
        <v/>
      </c>
      <c r="F2991" s="59" t="str">
        <f t="shared" si="25"/>
        <v/>
      </c>
      <c r="G2991" s="59" t="str">
        <f t="shared" si="26"/>
        <v/>
      </c>
      <c r="H2991" s="59" t="str">
        <f t="shared" si="27"/>
        <v>Xe 600148</v>
      </c>
      <c r="I2991" s="59" t="str">
        <f>IF(OR($A2991="",$C2991="",$D2991="",$E2991="",$H2991=""),"",SUMIFS(DATA_GOC!$H:$H,DATA_GOC!$A:$A,"BOM",DATA_GOC!$D:$D,$H2991,DATA_GOC!$E:$E,$C2991,DATA_GOC!$F:$F,"Xuất nội bộ từ téc",DATA_GOC!$B:$B,"&gt;="&amp;$D2991,DATA_GOC!$B:$B,"&lt;="&amp;$E2991))</f>
        <v/>
      </c>
      <c r="J2991" s="59">
        <f t="shared" si="28"/>
        <v>0</v>
      </c>
      <c r="K2991" s="59">
        <f t="shared" si="29"/>
        <v>0</v>
      </c>
      <c r="L2991" s="59">
        <f t="shared" si="30"/>
        <v>0</v>
      </c>
      <c r="M2991" s="59">
        <f t="shared" si="31"/>
        <v>0</v>
      </c>
    </row>
    <row r="2992" ht="15.0" hidden="1" customHeight="1">
      <c r="A2992" s="59">
        <f t="shared" si="20"/>
        <v>46</v>
      </c>
      <c r="B2992" s="59" t="str">
        <f t="shared" si="21"/>
        <v/>
      </c>
      <c r="C2992" s="59" t="str">
        <f t="shared" si="22"/>
        <v/>
      </c>
      <c r="D2992" s="45" t="str">
        <f t="shared" si="23"/>
        <v/>
      </c>
      <c r="E2992" s="45" t="str">
        <f t="shared" si="24"/>
        <v/>
      </c>
      <c r="F2992" s="59" t="str">
        <f t="shared" si="25"/>
        <v/>
      </c>
      <c r="G2992" s="59" t="str">
        <f t="shared" si="26"/>
        <v/>
      </c>
      <c r="H2992" s="59" t="str">
        <f t="shared" si="27"/>
        <v>Xe ben mới</v>
      </c>
      <c r="I2992" s="59" t="str">
        <f>IF(OR($A2992="",$C2992="",$D2992="",$E2992="",$H2992=""),"",SUMIFS(DATA_GOC!$H:$H,DATA_GOC!$A:$A,"BOM",DATA_GOC!$D:$D,$H2992,DATA_GOC!$E:$E,$C2992,DATA_GOC!$F:$F,"Xuất nội bộ từ téc",DATA_GOC!$B:$B,"&gt;="&amp;$D2992,DATA_GOC!$B:$B,"&lt;="&amp;$E2992))</f>
        <v/>
      </c>
      <c r="J2992" s="59">
        <f t="shared" si="28"/>
        <v>0</v>
      </c>
      <c r="K2992" s="59">
        <f t="shared" si="29"/>
        <v>0</v>
      </c>
      <c r="L2992" s="59">
        <f t="shared" si="30"/>
        <v>0</v>
      </c>
      <c r="M2992" s="59">
        <f t="shared" si="31"/>
        <v>0</v>
      </c>
    </row>
    <row r="2993" ht="15.0" hidden="1" customHeight="1">
      <c r="A2993" s="59">
        <f t="shared" si="20"/>
        <v>47</v>
      </c>
      <c r="B2993" s="59" t="str">
        <f t="shared" si="21"/>
        <v/>
      </c>
      <c r="C2993" s="59" t="str">
        <f t="shared" si="22"/>
        <v/>
      </c>
      <c r="D2993" s="45" t="str">
        <f t="shared" si="23"/>
        <v/>
      </c>
      <c r="E2993" s="45" t="str">
        <f t="shared" si="24"/>
        <v/>
      </c>
      <c r="F2993" s="59" t="str">
        <f t="shared" si="25"/>
        <v/>
      </c>
      <c r="G2993" s="59" t="str">
        <f t="shared" si="26"/>
        <v/>
      </c>
      <c r="H2993" s="59" t="str">
        <f t="shared" si="27"/>
        <v>19H09482</v>
      </c>
      <c r="I2993" s="59" t="str">
        <f>IF(OR($A2993="",$C2993="",$D2993="",$E2993="",$H2993=""),"",SUMIFS(DATA_GOC!$H:$H,DATA_GOC!$A:$A,"BOM",DATA_GOC!$D:$D,$H2993,DATA_GOC!$E:$E,$C2993,DATA_GOC!$F:$F,"Xuất nội bộ từ téc",DATA_GOC!$B:$B,"&gt;="&amp;$D2993,DATA_GOC!$B:$B,"&lt;="&amp;$E2993))</f>
        <v/>
      </c>
      <c r="J2993" s="59">
        <f t="shared" si="28"/>
        <v>0</v>
      </c>
      <c r="K2993" s="59">
        <f t="shared" si="29"/>
        <v>0</v>
      </c>
      <c r="L2993" s="59">
        <f t="shared" si="30"/>
        <v>0</v>
      </c>
      <c r="M2993" s="59">
        <f t="shared" si="31"/>
        <v>0</v>
      </c>
    </row>
    <row r="2994" ht="15.0" hidden="1" customHeight="1">
      <c r="A2994" s="59">
        <f t="shared" si="20"/>
        <v>47</v>
      </c>
      <c r="B2994" s="59" t="str">
        <f t="shared" si="21"/>
        <v/>
      </c>
      <c r="C2994" s="59" t="str">
        <f t="shared" si="22"/>
        <v/>
      </c>
      <c r="D2994" s="45" t="str">
        <f t="shared" si="23"/>
        <v/>
      </c>
      <c r="E2994" s="45" t="str">
        <f t="shared" si="24"/>
        <v/>
      </c>
      <c r="F2994" s="59" t="str">
        <f t="shared" si="25"/>
        <v/>
      </c>
      <c r="G2994" s="59" t="str">
        <f t="shared" si="26"/>
        <v/>
      </c>
      <c r="H2994" s="59" t="str">
        <f t="shared" si="27"/>
        <v>28A30696</v>
      </c>
      <c r="I2994" s="59" t="str">
        <f>IF(OR($A2994="",$C2994="",$D2994="",$E2994="",$H2994=""),"",SUMIFS(DATA_GOC!$H:$H,DATA_GOC!$A:$A,"BOM",DATA_GOC!$D:$D,$H2994,DATA_GOC!$E:$E,$C2994,DATA_GOC!$F:$F,"Xuất nội bộ từ téc",DATA_GOC!$B:$B,"&gt;="&amp;$D2994,DATA_GOC!$B:$B,"&lt;="&amp;$E2994))</f>
        <v/>
      </c>
      <c r="J2994" s="59">
        <f t="shared" si="28"/>
        <v>0</v>
      </c>
      <c r="K2994" s="59">
        <f t="shared" si="29"/>
        <v>0</v>
      </c>
      <c r="L2994" s="59">
        <f t="shared" si="30"/>
        <v>0</v>
      </c>
      <c r="M2994" s="59">
        <f t="shared" si="31"/>
        <v>0</v>
      </c>
    </row>
    <row r="2995" ht="15.0" hidden="1" customHeight="1">
      <c r="A2995" s="59">
        <f t="shared" si="20"/>
        <v>47</v>
      </c>
      <c r="B2995" s="59" t="str">
        <f t="shared" si="21"/>
        <v/>
      </c>
      <c r="C2995" s="59" t="str">
        <f t="shared" si="22"/>
        <v/>
      </c>
      <c r="D2995" s="45" t="str">
        <f t="shared" si="23"/>
        <v/>
      </c>
      <c r="E2995" s="45" t="str">
        <f t="shared" si="24"/>
        <v/>
      </c>
      <c r="F2995" s="59" t="str">
        <f t="shared" si="25"/>
        <v/>
      </c>
      <c r="G2995" s="59" t="str">
        <f t="shared" si="26"/>
        <v/>
      </c>
      <c r="H2995" s="59" t="str">
        <f t="shared" si="27"/>
        <v>28C00462</v>
      </c>
      <c r="I2995" s="59" t="str">
        <f>IF(OR($A2995="",$C2995="",$D2995="",$E2995="",$H2995=""),"",SUMIFS(DATA_GOC!$H:$H,DATA_GOC!$A:$A,"BOM",DATA_GOC!$D:$D,$H2995,DATA_GOC!$E:$E,$C2995,DATA_GOC!$F:$F,"Xuất nội bộ từ téc",DATA_GOC!$B:$B,"&gt;="&amp;$D2995,DATA_GOC!$B:$B,"&lt;="&amp;$E2995))</f>
        <v/>
      </c>
      <c r="J2995" s="59">
        <f t="shared" si="28"/>
        <v>0</v>
      </c>
      <c r="K2995" s="59">
        <f t="shared" si="29"/>
        <v>0</v>
      </c>
      <c r="L2995" s="59">
        <f t="shared" si="30"/>
        <v>0</v>
      </c>
      <c r="M2995" s="59">
        <f t="shared" si="31"/>
        <v>0</v>
      </c>
    </row>
    <row r="2996" ht="15.0" hidden="1" customHeight="1">
      <c r="A2996" s="59">
        <f t="shared" si="20"/>
        <v>47</v>
      </c>
      <c r="B2996" s="59" t="str">
        <f t="shared" si="21"/>
        <v/>
      </c>
      <c r="C2996" s="59" t="str">
        <f t="shared" si="22"/>
        <v/>
      </c>
      <c r="D2996" s="45" t="str">
        <f t="shared" si="23"/>
        <v/>
      </c>
      <c r="E2996" s="45" t="str">
        <f t="shared" si="24"/>
        <v/>
      </c>
      <c r="F2996" s="59" t="str">
        <f t="shared" si="25"/>
        <v/>
      </c>
      <c r="G2996" s="59" t="str">
        <f t="shared" si="26"/>
        <v/>
      </c>
      <c r="H2996" s="59" t="str">
        <f t="shared" si="27"/>
        <v>28C01165</v>
      </c>
      <c r="I2996" s="59" t="str">
        <f>IF(OR($A2996="",$C2996="",$D2996="",$E2996="",$H2996=""),"",SUMIFS(DATA_GOC!$H:$H,DATA_GOC!$A:$A,"BOM",DATA_GOC!$D:$D,$H2996,DATA_GOC!$E:$E,$C2996,DATA_GOC!$F:$F,"Xuất nội bộ từ téc",DATA_GOC!$B:$B,"&gt;="&amp;$D2996,DATA_GOC!$B:$B,"&lt;="&amp;$E2996))</f>
        <v/>
      </c>
      <c r="J2996" s="59">
        <f t="shared" si="28"/>
        <v>0</v>
      </c>
      <c r="K2996" s="59">
        <f t="shared" si="29"/>
        <v>0</v>
      </c>
      <c r="L2996" s="59">
        <f t="shared" si="30"/>
        <v>0</v>
      </c>
      <c r="M2996" s="59">
        <f t="shared" si="31"/>
        <v>0</v>
      </c>
    </row>
    <row r="2997" ht="15.0" hidden="1" customHeight="1">
      <c r="A2997" s="59">
        <f t="shared" si="20"/>
        <v>47</v>
      </c>
      <c r="B2997" s="59" t="str">
        <f t="shared" si="21"/>
        <v/>
      </c>
      <c r="C2997" s="59" t="str">
        <f t="shared" si="22"/>
        <v/>
      </c>
      <c r="D2997" s="45" t="str">
        <f t="shared" si="23"/>
        <v/>
      </c>
      <c r="E2997" s="45" t="str">
        <f t="shared" si="24"/>
        <v/>
      </c>
      <c r="F2997" s="59" t="str">
        <f t="shared" si="25"/>
        <v/>
      </c>
      <c r="G2997" s="59" t="str">
        <f t="shared" si="26"/>
        <v/>
      </c>
      <c r="H2997" s="59" t="str">
        <f t="shared" si="27"/>
        <v>28C01406</v>
      </c>
      <c r="I2997" s="59" t="str">
        <f>IF(OR($A2997="",$C2997="",$D2997="",$E2997="",$H2997=""),"",SUMIFS(DATA_GOC!$H:$H,DATA_GOC!$A:$A,"BOM",DATA_GOC!$D:$D,$H2997,DATA_GOC!$E:$E,$C2997,DATA_GOC!$F:$F,"Xuất nội bộ từ téc",DATA_GOC!$B:$B,"&gt;="&amp;$D2997,DATA_GOC!$B:$B,"&lt;="&amp;$E2997))</f>
        <v/>
      </c>
      <c r="J2997" s="59">
        <f t="shared" si="28"/>
        <v>0</v>
      </c>
      <c r="K2997" s="59">
        <f t="shared" si="29"/>
        <v>0</v>
      </c>
      <c r="L2997" s="59">
        <f t="shared" si="30"/>
        <v>0</v>
      </c>
      <c r="M2997" s="59">
        <f t="shared" si="31"/>
        <v>0</v>
      </c>
    </row>
    <row r="2998" ht="15.0" hidden="1" customHeight="1">
      <c r="A2998" s="59">
        <f t="shared" si="20"/>
        <v>47</v>
      </c>
      <c r="B2998" s="59" t="str">
        <f t="shared" si="21"/>
        <v/>
      </c>
      <c r="C2998" s="59" t="str">
        <f t="shared" si="22"/>
        <v/>
      </c>
      <c r="D2998" s="45" t="str">
        <f t="shared" si="23"/>
        <v/>
      </c>
      <c r="E2998" s="45" t="str">
        <f t="shared" si="24"/>
        <v/>
      </c>
      <c r="F2998" s="59" t="str">
        <f t="shared" si="25"/>
        <v/>
      </c>
      <c r="G2998" s="59" t="str">
        <f t="shared" si="26"/>
        <v/>
      </c>
      <c r="H2998" s="59" t="str">
        <f t="shared" si="27"/>
        <v>28C01544</v>
      </c>
      <c r="I2998" s="59" t="str">
        <f>IF(OR($A2998="",$C2998="",$D2998="",$E2998="",$H2998=""),"",SUMIFS(DATA_GOC!$H:$H,DATA_GOC!$A:$A,"BOM",DATA_GOC!$D:$D,$H2998,DATA_GOC!$E:$E,$C2998,DATA_GOC!$F:$F,"Xuất nội bộ từ téc",DATA_GOC!$B:$B,"&gt;="&amp;$D2998,DATA_GOC!$B:$B,"&lt;="&amp;$E2998))</f>
        <v/>
      </c>
      <c r="J2998" s="59">
        <f t="shared" si="28"/>
        <v>0</v>
      </c>
      <c r="K2998" s="59">
        <f t="shared" si="29"/>
        <v>0</v>
      </c>
      <c r="L2998" s="59">
        <f t="shared" si="30"/>
        <v>0</v>
      </c>
      <c r="M2998" s="59">
        <f t="shared" si="31"/>
        <v>0</v>
      </c>
    </row>
    <row r="2999" ht="15.0" hidden="1" customHeight="1">
      <c r="A2999" s="59">
        <f t="shared" si="20"/>
        <v>47</v>
      </c>
      <c r="B2999" s="59" t="str">
        <f t="shared" si="21"/>
        <v/>
      </c>
      <c r="C2999" s="59" t="str">
        <f t="shared" si="22"/>
        <v/>
      </c>
      <c r="D2999" s="45" t="str">
        <f t="shared" si="23"/>
        <v/>
      </c>
      <c r="E2999" s="45" t="str">
        <f t="shared" si="24"/>
        <v/>
      </c>
      <c r="F2999" s="59" t="str">
        <f t="shared" si="25"/>
        <v/>
      </c>
      <c r="G2999" s="59" t="str">
        <f t="shared" si="26"/>
        <v/>
      </c>
      <c r="H2999" s="59" t="str">
        <f t="shared" si="27"/>
        <v>28C01622</v>
      </c>
      <c r="I2999" s="59" t="str">
        <f>IF(OR($A2999="",$C2999="",$D2999="",$E2999="",$H2999=""),"",SUMIFS(DATA_GOC!$H:$H,DATA_GOC!$A:$A,"BOM",DATA_GOC!$D:$D,$H2999,DATA_GOC!$E:$E,$C2999,DATA_GOC!$F:$F,"Xuất nội bộ từ téc",DATA_GOC!$B:$B,"&gt;="&amp;$D2999,DATA_GOC!$B:$B,"&lt;="&amp;$E2999))</f>
        <v/>
      </c>
      <c r="J2999" s="59">
        <f t="shared" si="28"/>
        <v>0</v>
      </c>
      <c r="K2999" s="59">
        <f t="shared" si="29"/>
        <v>0</v>
      </c>
      <c r="L2999" s="59">
        <f t="shared" si="30"/>
        <v>0</v>
      </c>
      <c r="M2999" s="59">
        <f t="shared" si="31"/>
        <v>0</v>
      </c>
    </row>
    <row r="3000" ht="15.0" hidden="1" customHeight="1">
      <c r="A3000" s="59">
        <f t="shared" si="20"/>
        <v>47</v>
      </c>
      <c r="B3000" s="59" t="str">
        <f t="shared" si="21"/>
        <v/>
      </c>
      <c r="C3000" s="59" t="str">
        <f t="shared" si="22"/>
        <v/>
      </c>
      <c r="D3000" s="45" t="str">
        <f t="shared" si="23"/>
        <v/>
      </c>
      <c r="E3000" s="45" t="str">
        <f t="shared" si="24"/>
        <v/>
      </c>
      <c r="F3000" s="59" t="str">
        <f t="shared" si="25"/>
        <v/>
      </c>
      <c r="G3000" s="59" t="str">
        <f t="shared" si="26"/>
        <v/>
      </c>
      <c r="H3000" s="59" t="str">
        <f t="shared" si="27"/>
        <v>28C01647</v>
      </c>
      <c r="I3000" s="59" t="str">
        <f>IF(OR($A3000="",$C3000="",$D3000="",$E3000="",$H3000=""),"",SUMIFS(DATA_GOC!$H:$H,DATA_GOC!$A:$A,"BOM",DATA_GOC!$D:$D,$H3000,DATA_GOC!$E:$E,$C3000,DATA_GOC!$F:$F,"Xuất nội bộ từ téc",DATA_GOC!$B:$B,"&gt;="&amp;$D3000,DATA_GOC!$B:$B,"&lt;="&amp;$E3000))</f>
        <v/>
      </c>
      <c r="J3000" s="59">
        <f t="shared" si="28"/>
        <v>0</v>
      </c>
      <c r="K3000" s="59">
        <f t="shared" si="29"/>
        <v>0</v>
      </c>
      <c r="L3000" s="59">
        <f t="shared" si="30"/>
        <v>0</v>
      </c>
      <c r="M3000" s="59">
        <f t="shared" si="31"/>
        <v>0</v>
      </c>
    </row>
    <row r="3001" ht="15.0" hidden="1" customHeight="1">
      <c r="A3001" s="59">
        <f t="shared" si="20"/>
        <v>47</v>
      </c>
      <c r="B3001" s="59" t="str">
        <f t="shared" si="21"/>
        <v/>
      </c>
      <c r="C3001" s="59" t="str">
        <f t="shared" si="22"/>
        <v/>
      </c>
      <c r="D3001" s="45" t="str">
        <f t="shared" si="23"/>
        <v/>
      </c>
      <c r="E3001" s="45" t="str">
        <f t="shared" si="24"/>
        <v/>
      </c>
      <c r="F3001" s="59" t="str">
        <f t="shared" si="25"/>
        <v/>
      </c>
      <c r="G3001" s="59" t="str">
        <f t="shared" si="26"/>
        <v/>
      </c>
      <c r="H3001" s="59" t="str">
        <f t="shared" si="27"/>
        <v>28C01731</v>
      </c>
      <c r="I3001" s="59" t="str">
        <f>IF(OR($A3001="",$C3001="",$D3001="",$E3001="",$H3001=""),"",SUMIFS(DATA_GOC!$H:$H,DATA_GOC!$A:$A,"BOM",DATA_GOC!$D:$D,$H3001,DATA_GOC!$E:$E,$C3001,DATA_GOC!$F:$F,"Xuất nội bộ từ téc",DATA_GOC!$B:$B,"&gt;="&amp;$D3001,DATA_GOC!$B:$B,"&lt;="&amp;$E3001))</f>
        <v/>
      </c>
      <c r="J3001" s="59">
        <f t="shared" si="28"/>
        <v>0</v>
      </c>
      <c r="K3001" s="59">
        <f t="shared" si="29"/>
        <v>0</v>
      </c>
      <c r="L3001" s="59">
        <f t="shared" si="30"/>
        <v>0</v>
      </c>
      <c r="M3001" s="59">
        <f t="shared" si="31"/>
        <v>0</v>
      </c>
    </row>
    <row r="3002" ht="15.0" hidden="1" customHeight="1">
      <c r="A3002" s="59">
        <f t="shared" si="20"/>
        <v>47</v>
      </c>
      <c r="B3002" s="59" t="str">
        <f t="shared" si="21"/>
        <v/>
      </c>
      <c r="C3002" s="59" t="str">
        <f t="shared" si="22"/>
        <v/>
      </c>
      <c r="D3002" s="45" t="str">
        <f t="shared" si="23"/>
        <v/>
      </c>
      <c r="E3002" s="45" t="str">
        <f t="shared" si="24"/>
        <v/>
      </c>
      <c r="F3002" s="59" t="str">
        <f t="shared" si="25"/>
        <v/>
      </c>
      <c r="G3002" s="59" t="str">
        <f t="shared" si="26"/>
        <v/>
      </c>
      <c r="H3002" s="59" t="str">
        <f t="shared" si="27"/>
        <v>28C01743</v>
      </c>
      <c r="I3002" s="59" t="str">
        <f>IF(OR($A3002="",$C3002="",$D3002="",$E3002="",$H3002=""),"",SUMIFS(DATA_GOC!$H:$H,DATA_GOC!$A:$A,"BOM",DATA_GOC!$D:$D,$H3002,DATA_GOC!$E:$E,$C3002,DATA_GOC!$F:$F,"Xuất nội bộ từ téc",DATA_GOC!$B:$B,"&gt;="&amp;$D3002,DATA_GOC!$B:$B,"&lt;="&amp;$E3002))</f>
        <v/>
      </c>
      <c r="J3002" s="59">
        <f t="shared" si="28"/>
        <v>0</v>
      </c>
      <c r="K3002" s="59">
        <f t="shared" si="29"/>
        <v>0</v>
      </c>
      <c r="L3002" s="59">
        <f t="shared" si="30"/>
        <v>0</v>
      </c>
      <c r="M3002" s="59">
        <f t="shared" si="31"/>
        <v>0</v>
      </c>
    </row>
    <row r="3003" ht="15.0" hidden="1" customHeight="1">
      <c r="A3003" s="59">
        <f t="shared" si="20"/>
        <v>47</v>
      </c>
      <c r="B3003" s="59" t="str">
        <f t="shared" si="21"/>
        <v/>
      </c>
      <c r="C3003" s="59" t="str">
        <f t="shared" si="22"/>
        <v/>
      </c>
      <c r="D3003" s="45" t="str">
        <f t="shared" si="23"/>
        <v/>
      </c>
      <c r="E3003" s="45" t="str">
        <f t="shared" si="24"/>
        <v/>
      </c>
      <c r="F3003" s="59" t="str">
        <f t="shared" si="25"/>
        <v/>
      </c>
      <c r="G3003" s="59" t="str">
        <f t="shared" si="26"/>
        <v/>
      </c>
      <c r="H3003" s="59" t="str">
        <f t="shared" si="27"/>
        <v>28C02106</v>
      </c>
      <c r="I3003" s="59" t="str">
        <f>IF(OR($A3003="",$C3003="",$D3003="",$E3003="",$H3003=""),"",SUMIFS(DATA_GOC!$H:$H,DATA_GOC!$A:$A,"BOM",DATA_GOC!$D:$D,$H3003,DATA_GOC!$E:$E,$C3003,DATA_GOC!$F:$F,"Xuất nội bộ từ téc",DATA_GOC!$B:$B,"&gt;="&amp;$D3003,DATA_GOC!$B:$B,"&lt;="&amp;$E3003))</f>
        <v/>
      </c>
      <c r="J3003" s="59">
        <f t="shared" si="28"/>
        <v>0</v>
      </c>
      <c r="K3003" s="59">
        <f t="shared" si="29"/>
        <v>0</v>
      </c>
      <c r="L3003" s="59">
        <f t="shared" si="30"/>
        <v>0</v>
      </c>
      <c r="M3003" s="59">
        <f t="shared" si="31"/>
        <v>0</v>
      </c>
    </row>
    <row r="3004" ht="15.0" hidden="1" customHeight="1">
      <c r="A3004" s="59">
        <f t="shared" si="20"/>
        <v>47</v>
      </c>
      <c r="B3004" s="59" t="str">
        <f t="shared" si="21"/>
        <v/>
      </c>
      <c r="C3004" s="59" t="str">
        <f t="shared" si="22"/>
        <v/>
      </c>
      <c r="D3004" s="45" t="str">
        <f t="shared" si="23"/>
        <v/>
      </c>
      <c r="E3004" s="45" t="str">
        <f t="shared" si="24"/>
        <v/>
      </c>
      <c r="F3004" s="59" t="str">
        <f t="shared" si="25"/>
        <v/>
      </c>
      <c r="G3004" s="59" t="str">
        <f t="shared" si="26"/>
        <v/>
      </c>
      <c r="H3004" s="59" t="str">
        <f t="shared" si="27"/>
        <v>28C02410</v>
      </c>
      <c r="I3004" s="59" t="str">
        <f>IF(OR($A3004="",$C3004="",$D3004="",$E3004="",$H3004=""),"",SUMIFS(DATA_GOC!$H:$H,DATA_GOC!$A:$A,"BOM",DATA_GOC!$D:$D,$H3004,DATA_GOC!$E:$E,$C3004,DATA_GOC!$F:$F,"Xuất nội bộ từ téc",DATA_GOC!$B:$B,"&gt;="&amp;$D3004,DATA_GOC!$B:$B,"&lt;="&amp;$E3004))</f>
        <v/>
      </c>
      <c r="J3004" s="59">
        <f t="shared" si="28"/>
        <v>0</v>
      </c>
      <c r="K3004" s="59">
        <f t="shared" si="29"/>
        <v>0</v>
      </c>
      <c r="L3004" s="59">
        <f t="shared" si="30"/>
        <v>0</v>
      </c>
      <c r="M3004" s="59">
        <f t="shared" si="31"/>
        <v>0</v>
      </c>
    </row>
    <row r="3005" ht="15.0" hidden="1" customHeight="1">
      <c r="A3005" s="59">
        <f t="shared" si="20"/>
        <v>47</v>
      </c>
      <c r="B3005" s="59" t="str">
        <f t="shared" si="21"/>
        <v/>
      </c>
      <c r="C3005" s="59" t="str">
        <f t="shared" si="22"/>
        <v/>
      </c>
      <c r="D3005" s="45" t="str">
        <f t="shared" si="23"/>
        <v/>
      </c>
      <c r="E3005" s="45" t="str">
        <f t="shared" si="24"/>
        <v/>
      </c>
      <c r="F3005" s="59" t="str">
        <f t="shared" si="25"/>
        <v/>
      </c>
      <c r="G3005" s="59" t="str">
        <f t="shared" si="26"/>
        <v/>
      </c>
      <c r="H3005" s="59" t="str">
        <f t="shared" si="27"/>
        <v>28C02545</v>
      </c>
      <c r="I3005" s="59" t="str">
        <f>IF(OR($A3005="",$C3005="",$D3005="",$E3005="",$H3005=""),"",SUMIFS(DATA_GOC!$H:$H,DATA_GOC!$A:$A,"BOM",DATA_GOC!$D:$D,$H3005,DATA_GOC!$E:$E,$C3005,DATA_GOC!$F:$F,"Xuất nội bộ từ téc",DATA_GOC!$B:$B,"&gt;="&amp;$D3005,DATA_GOC!$B:$B,"&lt;="&amp;$E3005))</f>
        <v/>
      </c>
      <c r="J3005" s="59">
        <f t="shared" si="28"/>
        <v>0</v>
      </c>
      <c r="K3005" s="59">
        <f t="shared" si="29"/>
        <v>0</v>
      </c>
      <c r="L3005" s="59">
        <f t="shared" si="30"/>
        <v>0</v>
      </c>
      <c r="M3005" s="59">
        <f t="shared" si="31"/>
        <v>0</v>
      </c>
    </row>
    <row r="3006" ht="15.0" hidden="1" customHeight="1">
      <c r="A3006" s="59">
        <f t="shared" si="20"/>
        <v>47</v>
      </c>
      <c r="B3006" s="59" t="str">
        <f t="shared" si="21"/>
        <v/>
      </c>
      <c r="C3006" s="59" t="str">
        <f t="shared" si="22"/>
        <v/>
      </c>
      <c r="D3006" s="45" t="str">
        <f t="shared" si="23"/>
        <v/>
      </c>
      <c r="E3006" s="45" t="str">
        <f t="shared" si="24"/>
        <v/>
      </c>
      <c r="F3006" s="59" t="str">
        <f t="shared" si="25"/>
        <v/>
      </c>
      <c r="G3006" s="59" t="str">
        <f t="shared" si="26"/>
        <v/>
      </c>
      <c r="H3006" s="59" t="str">
        <f t="shared" si="27"/>
        <v>28C02574</v>
      </c>
      <c r="I3006" s="59" t="str">
        <f>IF(OR($A3006="",$C3006="",$D3006="",$E3006="",$H3006=""),"",SUMIFS(DATA_GOC!$H:$H,DATA_GOC!$A:$A,"BOM",DATA_GOC!$D:$D,$H3006,DATA_GOC!$E:$E,$C3006,DATA_GOC!$F:$F,"Xuất nội bộ từ téc",DATA_GOC!$B:$B,"&gt;="&amp;$D3006,DATA_GOC!$B:$B,"&lt;="&amp;$E3006))</f>
        <v/>
      </c>
      <c r="J3006" s="59">
        <f t="shared" si="28"/>
        <v>0</v>
      </c>
      <c r="K3006" s="59">
        <f t="shared" si="29"/>
        <v>0</v>
      </c>
      <c r="L3006" s="59">
        <f t="shared" si="30"/>
        <v>0</v>
      </c>
      <c r="M3006" s="59">
        <f t="shared" si="31"/>
        <v>0</v>
      </c>
    </row>
    <row r="3007" ht="15.0" hidden="1" customHeight="1">
      <c r="A3007" s="59">
        <f t="shared" si="20"/>
        <v>47</v>
      </c>
      <c r="B3007" s="59" t="str">
        <f t="shared" si="21"/>
        <v/>
      </c>
      <c r="C3007" s="59" t="str">
        <f t="shared" si="22"/>
        <v/>
      </c>
      <c r="D3007" s="45" t="str">
        <f t="shared" si="23"/>
        <v/>
      </c>
      <c r="E3007" s="45" t="str">
        <f t="shared" si="24"/>
        <v/>
      </c>
      <c r="F3007" s="59" t="str">
        <f t="shared" si="25"/>
        <v/>
      </c>
      <c r="G3007" s="59" t="str">
        <f t="shared" si="26"/>
        <v/>
      </c>
      <c r="H3007" s="59" t="str">
        <f t="shared" si="27"/>
        <v>28C02770</v>
      </c>
      <c r="I3007" s="59" t="str">
        <f>IF(OR($A3007="",$C3007="",$D3007="",$E3007="",$H3007=""),"",SUMIFS(DATA_GOC!$H:$H,DATA_GOC!$A:$A,"BOM",DATA_GOC!$D:$D,$H3007,DATA_GOC!$E:$E,$C3007,DATA_GOC!$F:$F,"Xuất nội bộ từ téc",DATA_GOC!$B:$B,"&gt;="&amp;$D3007,DATA_GOC!$B:$B,"&lt;="&amp;$E3007))</f>
        <v/>
      </c>
      <c r="J3007" s="59">
        <f t="shared" si="28"/>
        <v>0</v>
      </c>
      <c r="K3007" s="59">
        <f t="shared" si="29"/>
        <v>0</v>
      </c>
      <c r="L3007" s="59">
        <f t="shared" si="30"/>
        <v>0</v>
      </c>
      <c r="M3007" s="59">
        <f t="shared" si="31"/>
        <v>0</v>
      </c>
    </row>
    <row r="3008" ht="15.0" hidden="1" customHeight="1">
      <c r="A3008" s="59">
        <f t="shared" si="20"/>
        <v>47</v>
      </c>
      <c r="B3008" s="59" t="str">
        <f t="shared" si="21"/>
        <v/>
      </c>
      <c r="C3008" s="59" t="str">
        <f t="shared" si="22"/>
        <v/>
      </c>
      <c r="D3008" s="45" t="str">
        <f t="shared" si="23"/>
        <v/>
      </c>
      <c r="E3008" s="45" t="str">
        <f t="shared" si="24"/>
        <v/>
      </c>
      <c r="F3008" s="59" t="str">
        <f t="shared" si="25"/>
        <v/>
      </c>
      <c r="G3008" s="59" t="str">
        <f t="shared" si="26"/>
        <v/>
      </c>
      <c r="H3008" s="59" t="str">
        <f t="shared" si="27"/>
        <v>28C02986</v>
      </c>
      <c r="I3008" s="59" t="str">
        <f>IF(OR($A3008="",$C3008="",$D3008="",$E3008="",$H3008=""),"",SUMIFS(DATA_GOC!$H:$H,DATA_GOC!$A:$A,"BOM",DATA_GOC!$D:$D,$H3008,DATA_GOC!$E:$E,$C3008,DATA_GOC!$F:$F,"Xuất nội bộ từ téc",DATA_GOC!$B:$B,"&gt;="&amp;$D3008,DATA_GOC!$B:$B,"&lt;="&amp;$E3008))</f>
        <v/>
      </c>
      <c r="J3008" s="59">
        <f t="shared" si="28"/>
        <v>0</v>
      </c>
      <c r="K3008" s="59">
        <f t="shared" si="29"/>
        <v>0</v>
      </c>
      <c r="L3008" s="59">
        <f t="shared" si="30"/>
        <v>0</v>
      </c>
      <c r="M3008" s="59">
        <f t="shared" si="31"/>
        <v>0</v>
      </c>
    </row>
    <row r="3009" ht="15.0" hidden="1" customHeight="1">
      <c r="A3009" s="59">
        <f t="shared" si="20"/>
        <v>47</v>
      </c>
      <c r="B3009" s="59" t="str">
        <f t="shared" si="21"/>
        <v/>
      </c>
      <c r="C3009" s="59" t="str">
        <f t="shared" si="22"/>
        <v/>
      </c>
      <c r="D3009" s="45" t="str">
        <f t="shared" si="23"/>
        <v/>
      </c>
      <c r="E3009" s="45" t="str">
        <f t="shared" si="24"/>
        <v/>
      </c>
      <c r="F3009" s="59" t="str">
        <f t="shared" si="25"/>
        <v/>
      </c>
      <c r="G3009" s="59" t="str">
        <f t="shared" si="26"/>
        <v/>
      </c>
      <c r="H3009" s="59" t="str">
        <f t="shared" si="27"/>
        <v>28C03261</v>
      </c>
      <c r="I3009" s="59" t="str">
        <f>IF(OR($A3009="",$C3009="",$D3009="",$E3009="",$H3009=""),"",SUMIFS(DATA_GOC!$H:$H,DATA_GOC!$A:$A,"BOM",DATA_GOC!$D:$D,$H3009,DATA_GOC!$E:$E,$C3009,DATA_GOC!$F:$F,"Xuất nội bộ từ téc",DATA_GOC!$B:$B,"&gt;="&amp;$D3009,DATA_GOC!$B:$B,"&lt;="&amp;$E3009))</f>
        <v/>
      </c>
      <c r="J3009" s="59">
        <f t="shared" si="28"/>
        <v>0</v>
      </c>
      <c r="K3009" s="59">
        <f t="shared" si="29"/>
        <v>0</v>
      </c>
      <c r="L3009" s="59">
        <f t="shared" si="30"/>
        <v>0</v>
      </c>
      <c r="M3009" s="59">
        <f t="shared" si="31"/>
        <v>0</v>
      </c>
    </row>
    <row r="3010" ht="15.0" hidden="1" customHeight="1">
      <c r="A3010" s="59">
        <f t="shared" si="20"/>
        <v>47</v>
      </c>
      <c r="B3010" s="59" t="str">
        <f t="shared" si="21"/>
        <v/>
      </c>
      <c r="C3010" s="59" t="str">
        <f t="shared" si="22"/>
        <v/>
      </c>
      <c r="D3010" s="45" t="str">
        <f t="shared" si="23"/>
        <v/>
      </c>
      <c r="E3010" s="45" t="str">
        <f t="shared" si="24"/>
        <v/>
      </c>
      <c r="F3010" s="59" t="str">
        <f t="shared" si="25"/>
        <v/>
      </c>
      <c r="G3010" s="59" t="str">
        <f t="shared" si="26"/>
        <v/>
      </c>
      <c r="H3010" s="59" t="str">
        <f t="shared" si="27"/>
        <v>28C03323</v>
      </c>
      <c r="I3010" s="59" t="str">
        <f>IF(OR($A3010="",$C3010="",$D3010="",$E3010="",$H3010=""),"",SUMIFS(DATA_GOC!$H:$H,DATA_GOC!$A:$A,"BOM",DATA_GOC!$D:$D,$H3010,DATA_GOC!$E:$E,$C3010,DATA_GOC!$F:$F,"Xuất nội bộ từ téc",DATA_GOC!$B:$B,"&gt;="&amp;$D3010,DATA_GOC!$B:$B,"&lt;="&amp;$E3010))</f>
        <v/>
      </c>
      <c r="J3010" s="59">
        <f t="shared" si="28"/>
        <v>0</v>
      </c>
      <c r="K3010" s="59">
        <f t="shared" si="29"/>
        <v>0</v>
      </c>
      <c r="L3010" s="59">
        <f t="shared" si="30"/>
        <v>0</v>
      </c>
      <c r="M3010" s="59">
        <f t="shared" si="31"/>
        <v>0</v>
      </c>
    </row>
    <row r="3011" ht="15.0" hidden="1" customHeight="1">
      <c r="A3011" s="59">
        <f t="shared" si="20"/>
        <v>47</v>
      </c>
      <c r="B3011" s="59" t="str">
        <f t="shared" si="21"/>
        <v/>
      </c>
      <c r="C3011" s="59" t="str">
        <f t="shared" si="22"/>
        <v/>
      </c>
      <c r="D3011" s="45" t="str">
        <f t="shared" si="23"/>
        <v/>
      </c>
      <c r="E3011" s="45" t="str">
        <f t="shared" si="24"/>
        <v/>
      </c>
      <c r="F3011" s="59" t="str">
        <f t="shared" si="25"/>
        <v/>
      </c>
      <c r="G3011" s="59" t="str">
        <f t="shared" si="26"/>
        <v/>
      </c>
      <c r="H3011" s="59" t="str">
        <f t="shared" si="27"/>
        <v>28C03385</v>
      </c>
      <c r="I3011" s="59" t="str">
        <f>IF(OR($A3011="",$C3011="",$D3011="",$E3011="",$H3011=""),"",SUMIFS(DATA_GOC!$H:$H,DATA_GOC!$A:$A,"BOM",DATA_GOC!$D:$D,$H3011,DATA_GOC!$E:$E,$C3011,DATA_GOC!$F:$F,"Xuất nội bộ từ téc",DATA_GOC!$B:$B,"&gt;="&amp;$D3011,DATA_GOC!$B:$B,"&lt;="&amp;$E3011))</f>
        <v/>
      </c>
      <c r="J3011" s="59">
        <f t="shared" si="28"/>
        <v>0</v>
      </c>
      <c r="K3011" s="59">
        <f t="shared" si="29"/>
        <v>0</v>
      </c>
      <c r="L3011" s="59">
        <f t="shared" si="30"/>
        <v>0</v>
      </c>
      <c r="M3011" s="59">
        <f t="shared" si="31"/>
        <v>0</v>
      </c>
    </row>
    <row r="3012" ht="15.0" hidden="1" customHeight="1">
      <c r="A3012" s="59">
        <f t="shared" si="20"/>
        <v>47</v>
      </c>
      <c r="B3012" s="59" t="str">
        <f t="shared" si="21"/>
        <v/>
      </c>
      <c r="C3012" s="59" t="str">
        <f t="shared" si="22"/>
        <v/>
      </c>
      <c r="D3012" s="45" t="str">
        <f t="shared" si="23"/>
        <v/>
      </c>
      <c r="E3012" s="45" t="str">
        <f t="shared" si="24"/>
        <v/>
      </c>
      <c r="F3012" s="59" t="str">
        <f t="shared" si="25"/>
        <v/>
      </c>
      <c r="G3012" s="59" t="str">
        <f t="shared" si="26"/>
        <v/>
      </c>
      <c r="H3012" s="59" t="str">
        <f t="shared" si="27"/>
        <v>28C03652</v>
      </c>
      <c r="I3012" s="59" t="str">
        <f>IF(OR($A3012="",$C3012="",$D3012="",$E3012="",$H3012=""),"",SUMIFS(DATA_GOC!$H:$H,DATA_GOC!$A:$A,"BOM",DATA_GOC!$D:$D,$H3012,DATA_GOC!$E:$E,$C3012,DATA_GOC!$F:$F,"Xuất nội bộ từ téc",DATA_GOC!$B:$B,"&gt;="&amp;$D3012,DATA_GOC!$B:$B,"&lt;="&amp;$E3012))</f>
        <v/>
      </c>
      <c r="J3012" s="59">
        <f t="shared" si="28"/>
        <v>0</v>
      </c>
      <c r="K3012" s="59">
        <f t="shared" si="29"/>
        <v>0</v>
      </c>
      <c r="L3012" s="59">
        <f t="shared" si="30"/>
        <v>0</v>
      </c>
      <c r="M3012" s="59">
        <f t="shared" si="31"/>
        <v>0</v>
      </c>
    </row>
    <row r="3013" ht="15.0" hidden="1" customHeight="1">
      <c r="A3013" s="59">
        <f t="shared" si="20"/>
        <v>47</v>
      </c>
      <c r="B3013" s="59" t="str">
        <f t="shared" si="21"/>
        <v/>
      </c>
      <c r="C3013" s="59" t="str">
        <f t="shared" si="22"/>
        <v/>
      </c>
      <c r="D3013" s="45" t="str">
        <f t="shared" si="23"/>
        <v/>
      </c>
      <c r="E3013" s="45" t="str">
        <f t="shared" si="24"/>
        <v/>
      </c>
      <c r="F3013" s="59" t="str">
        <f t="shared" si="25"/>
        <v/>
      </c>
      <c r="G3013" s="59" t="str">
        <f t="shared" si="26"/>
        <v/>
      </c>
      <c r="H3013" s="59" t="str">
        <f t="shared" si="27"/>
        <v>28C03695</v>
      </c>
      <c r="I3013" s="59" t="str">
        <f>IF(OR($A3013="",$C3013="",$D3013="",$E3013="",$H3013=""),"",SUMIFS(DATA_GOC!$H:$H,DATA_GOC!$A:$A,"BOM",DATA_GOC!$D:$D,$H3013,DATA_GOC!$E:$E,$C3013,DATA_GOC!$F:$F,"Xuất nội bộ từ téc",DATA_GOC!$B:$B,"&gt;="&amp;$D3013,DATA_GOC!$B:$B,"&lt;="&amp;$E3013))</f>
        <v/>
      </c>
      <c r="J3013" s="59">
        <f t="shared" si="28"/>
        <v>0</v>
      </c>
      <c r="K3013" s="59">
        <f t="shared" si="29"/>
        <v>0</v>
      </c>
      <c r="L3013" s="59">
        <f t="shared" si="30"/>
        <v>0</v>
      </c>
      <c r="M3013" s="59">
        <f t="shared" si="31"/>
        <v>0</v>
      </c>
    </row>
    <row r="3014" ht="15.0" hidden="1" customHeight="1">
      <c r="A3014" s="59">
        <f t="shared" si="20"/>
        <v>47</v>
      </c>
      <c r="B3014" s="59" t="str">
        <f t="shared" si="21"/>
        <v/>
      </c>
      <c r="C3014" s="59" t="str">
        <f t="shared" si="22"/>
        <v/>
      </c>
      <c r="D3014" s="45" t="str">
        <f t="shared" si="23"/>
        <v/>
      </c>
      <c r="E3014" s="45" t="str">
        <f t="shared" si="24"/>
        <v/>
      </c>
      <c r="F3014" s="59" t="str">
        <f t="shared" si="25"/>
        <v/>
      </c>
      <c r="G3014" s="59" t="str">
        <f t="shared" si="26"/>
        <v/>
      </c>
      <c r="H3014" s="59" t="str">
        <f t="shared" si="27"/>
        <v>28C03927</v>
      </c>
      <c r="I3014" s="59" t="str">
        <f>IF(OR($A3014="",$C3014="",$D3014="",$E3014="",$H3014=""),"",SUMIFS(DATA_GOC!$H:$H,DATA_GOC!$A:$A,"BOM",DATA_GOC!$D:$D,$H3014,DATA_GOC!$E:$E,$C3014,DATA_GOC!$F:$F,"Xuất nội bộ từ téc",DATA_GOC!$B:$B,"&gt;="&amp;$D3014,DATA_GOC!$B:$B,"&lt;="&amp;$E3014))</f>
        <v/>
      </c>
      <c r="J3014" s="59">
        <f t="shared" si="28"/>
        <v>0</v>
      </c>
      <c r="K3014" s="59">
        <f t="shared" si="29"/>
        <v>0</v>
      </c>
      <c r="L3014" s="59">
        <f t="shared" si="30"/>
        <v>0</v>
      </c>
      <c r="M3014" s="59">
        <f t="shared" si="31"/>
        <v>0</v>
      </c>
    </row>
    <row r="3015" ht="15.0" hidden="1" customHeight="1">
      <c r="A3015" s="59">
        <f t="shared" si="20"/>
        <v>47</v>
      </c>
      <c r="B3015" s="59" t="str">
        <f t="shared" si="21"/>
        <v/>
      </c>
      <c r="C3015" s="59" t="str">
        <f t="shared" si="22"/>
        <v/>
      </c>
      <c r="D3015" s="45" t="str">
        <f t="shared" si="23"/>
        <v/>
      </c>
      <c r="E3015" s="45" t="str">
        <f t="shared" si="24"/>
        <v/>
      </c>
      <c r="F3015" s="59" t="str">
        <f t="shared" si="25"/>
        <v/>
      </c>
      <c r="G3015" s="59" t="str">
        <f t="shared" si="26"/>
        <v/>
      </c>
      <c r="H3015" s="59" t="str">
        <f t="shared" si="27"/>
        <v>28C04509</v>
      </c>
      <c r="I3015" s="59" t="str">
        <f>IF(OR($A3015="",$C3015="",$D3015="",$E3015="",$H3015=""),"",SUMIFS(DATA_GOC!$H:$H,DATA_GOC!$A:$A,"BOM",DATA_GOC!$D:$D,$H3015,DATA_GOC!$E:$E,$C3015,DATA_GOC!$F:$F,"Xuất nội bộ từ téc",DATA_GOC!$B:$B,"&gt;="&amp;$D3015,DATA_GOC!$B:$B,"&lt;="&amp;$E3015))</f>
        <v/>
      </c>
      <c r="J3015" s="59">
        <f t="shared" si="28"/>
        <v>0</v>
      </c>
      <c r="K3015" s="59">
        <f t="shared" si="29"/>
        <v>0</v>
      </c>
      <c r="L3015" s="59">
        <f t="shared" si="30"/>
        <v>0</v>
      </c>
      <c r="M3015" s="59">
        <f t="shared" si="31"/>
        <v>0</v>
      </c>
    </row>
    <row r="3016" ht="15.0" hidden="1" customHeight="1">
      <c r="A3016" s="59">
        <f t="shared" si="20"/>
        <v>47</v>
      </c>
      <c r="B3016" s="59" t="str">
        <f t="shared" si="21"/>
        <v/>
      </c>
      <c r="C3016" s="59" t="str">
        <f t="shared" si="22"/>
        <v/>
      </c>
      <c r="D3016" s="45" t="str">
        <f t="shared" si="23"/>
        <v/>
      </c>
      <c r="E3016" s="45" t="str">
        <f t="shared" si="24"/>
        <v/>
      </c>
      <c r="F3016" s="59" t="str">
        <f t="shared" si="25"/>
        <v/>
      </c>
      <c r="G3016" s="59" t="str">
        <f t="shared" si="26"/>
        <v/>
      </c>
      <c r="H3016" s="59" t="str">
        <f t="shared" si="27"/>
        <v>28C04536</v>
      </c>
      <c r="I3016" s="59" t="str">
        <f>IF(OR($A3016="",$C3016="",$D3016="",$E3016="",$H3016=""),"",SUMIFS(DATA_GOC!$H:$H,DATA_GOC!$A:$A,"BOM",DATA_GOC!$D:$D,$H3016,DATA_GOC!$E:$E,$C3016,DATA_GOC!$F:$F,"Xuất nội bộ từ téc",DATA_GOC!$B:$B,"&gt;="&amp;$D3016,DATA_GOC!$B:$B,"&lt;="&amp;$E3016))</f>
        <v/>
      </c>
      <c r="J3016" s="59">
        <f t="shared" si="28"/>
        <v>0</v>
      </c>
      <c r="K3016" s="59">
        <f t="shared" si="29"/>
        <v>0</v>
      </c>
      <c r="L3016" s="59">
        <f t="shared" si="30"/>
        <v>0</v>
      </c>
      <c r="M3016" s="59">
        <f t="shared" si="31"/>
        <v>0</v>
      </c>
    </row>
    <row r="3017" ht="15.0" hidden="1" customHeight="1">
      <c r="A3017" s="59">
        <f t="shared" si="20"/>
        <v>47</v>
      </c>
      <c r="B3017" s="59" t="str">
        <f t="shared" si="21"/>
        <v/>
      </c>
      <c r="C3017" s="59" t="str">
        <f t="shared" si="22"/>
        <v/>
      </c>
      <c r="D3017" s="45" t="str">
        <f t="shared" si="23"/>
        <v/>
      </c>
      <c r="E3017" s="45" t="str">
        <f t="shared" si="24"/>
        <v/>
      </c>
      <c r="F3017" s="59" t="str">
        <f t="shared" si="25"/>
        <v/>
      </c>
      <c r="G3017" s="59" t="str">
        <f t="shared" si="26"/>
        <v/>
      </c>
      <c r="H3017" s="59" t="str">
        <f t="shared" si="27"/>
        <v>28C04576</v>
      </c>
      <c r="I3017" s="59" t="str">
        <f>IF(OR($A3017="",$C3017="",$D3017="",$E3017="",$H3017=""),"",SUMIFS(DATA_GOC!$H:$H,DATA_GOC!$A:$A,"BOM",DATA_GOC!$D:$D,$H3017,DATA_GOC!$E:$E,$C3017,DATA_GOC!$F:$F,"Xuất nội bộ từ téc",DATA_GOC!$B:$B,"&gt;="&amp;$D3017,DATA_GOC!$B:$B,"&lt;="&amp;$E3017))</f>
        <v/>
      </c>
      <c r="J3017" s="59">
        <f t="shared" si="28"/>
        <v>0</v>
      </c>
      <c r="K3017" s="59">
        <f t="shared" si="29"/>
        <v>0</v>
      </c>
      <c r="L3017" s="59">
        <f t="shared" si="30"/>
        <v>0</v>
      </c>
      <c r="M3017" s="59">
        <f t="shared" si="31"/>
        <v>0</v>
      </c>
    </row>
    <row r="3018" ht="15.0" hidden="1" customHeight="1">
      <c r="A3018" s="59">
        <f t="shared" si="20"/>
        <v>47</v>
      </c>
      <c r="B3018" s="59" t="str">
        <f t="shared" si="21"/>
        <v/>
      </c>
      <c r="C3018" s="59" t="str">
        <f t="shared" si="22"/>
        <v/>
      </c>
      <c r="D3018" s="45" t="str">
        <f t="shared" si="23"/>
        <v/>
      </c>
      <c r="E3018" s="45" t="str">
        <f t="shared" si="24"/>
        <v/>
      </c>
      <c r="F3018" s="59" t="str">
        <f t="shared" si="25"/>
        <v/>
      </c>
      <c r="G3018" s="59" t="str">
        <f t="shared" si="26"/>
        <v/>
      </c>
      <c r="H3018" s="59" t="str">
        <f t="shared" si="27"/>
        <v>28C05090</v>
      </c>
      <c r="I3018" s="59" t="str">
        <f>IF(OR($A3018="",$C3018="",$D3018="",$E3018="",$H3018=""),"",SUMIFS(DATA_GOC!$H:$H,DATA_GOC!$A:$A,"BOM",DATA_GOC!$D:$D,$H3018,DATA_GOC!$E:$E,$C3018,DATA_GOC!$F:$F,"Xuất nội bộ từ téc",DATA_GOC!$B:$B,"&gt;="&amp;$D3018,DATA_GOC!$B:$B,"&lt;="&amp;$E3018))</f>
        <v/>
      </c>
      <c r="J3018" s="59">
        <f t="shared" si="28"/>
        <v>0</v>
      </c>
      <c r="K3018" s="59">
        <f t="shared" si="29"/>
        <v>0</v>
      </c>
      <c r="L3018" s="59">
        <f t="shared" si="30"/>
        <v>0</v>
      </c>
      <c r="M3018" s="59">
        <f t="shared" si="31"/>
        <v>0</v>
      </c>
    </row>
    <row r="3019" ht="15.0" hidden="1" customHeight="1">
      <c r="A3019" s="59">
        <f t="shared" si="20"/>
        <v>47</v>
      </c>
      <c r="B3019" s="59" t="str">
        <f t="shared" si="21"/>
        <v/>
      </c>
      <c r="C3019" s="59" t="str">
        <f t="shared" si="22"/>
        <v/>
      </c>
      <c r="D3019" s="45" t="str">
        <f t="shared" si="23"/>
        <v/>
      </c>
      <c r="E3019" s="45" t="str">
        <f t="shared" si="24"/>
        <v/>
      </c>
      <c r="F3019" s="59" t="str">
        <f t="shared" si="25"/>
        <v/>
      </c>
      <c r="G3019" s="59" t="str">
        <f t="shared" si="26"/>
        <v/>
      </c>
      <c r="H3019" s="59" t="str">
        <f t="shared" si="27"/>
        <v>28C05345</v>
      </c>
      <c r="I3019" s="59" t="str">
        <f>IF(OR($A3019="",$C3019="",$D3019="",$E3019="",$H3019=""),"",SUMIFS(DATA_GOC!$H:$H,DATA_GOC!$A:$A,"BOM",DATA_GOC!$D:$D,$H3019,DATA_GOC!$E:$E,$C3019,DATA_GOC!$F:$F,"Xuất nội bộ từ téc",DATA_GOC!$B:$B,"&gt;="&amp;$D3019,DATA_GOC!$B:$B,"&lt;="&amp;$E3019))</f>
        <v/>
      </c>
      <c r="J3019" s="59">
        <f t="shared" si="28"/>
        <v>0</v>
      </c>
      <c r="K3019" s="59">
        <f t="shared" si="29"/>
        <v>0</v>
      </c>
      <c r="L3019" s="59">
        <f t="shared" si="30"/>
        <v>0</v>
      </c>
      <c r="M3019" s="59">
        <f t="shared" si="31"/>
        <v>0</v>
      </c>
    </row>
    <row r="3020" ht="15.0" hidden="1" customHeight="1">
      <c r="A3020" s="59">
        <f t="shared" si="20"/>
        <v>47</v>
      </c>
      <c r="B3020" s="59" t="str">
        <f t="shared" si="21"/>
        <v/>
      </c>
      <c r="C3020" s="59" t="str">
        <f t="shared" si="22"/>
        <v/>
      </c>
      <c r="D3020" s="45" t="str">
        <f t="shared" si="23"/>
        <v/>
      </c>
      <c r="E3020" s="45" t="str">
        <f t="shared" si="24"/>
        <v/>
      </c>
      <c r="F3020" s="59" t="str">
        <f t="shared" si="25"/>
        <v/>
      </c>
      <c r="G3020" s="59" t="str">
        <f t="shared" si="26"/>
        <v/>
      </c>
      <c r="H3020" s="59" t="str">
        <f t="shared" si="27"/>
        <v>28C05661</v>
      </c>
      <c r="I3020" s="59" t="str">
        <f>IF(OR($A3020="",$C3020="",$D3020="",$E3020="",$H3020=""),"",SUMIFS(DATA_GOC!$H:$H,DATA_GOC!$A:$A,"BOM",DATA_GOC!$D:$D,$H3020,DATA_GOC!$E:$E,$C3020,DATA_GOC!$F:$F,"Xuất nội bộ từ téc",DATA_GOC!$B:$B,"&gt;="&amp;$D3020,DATA_GOC!$B:$B,"&lt;="&amp;$E3020))</f>
        <v/>
      </c>
      <c r="J3020" s="59">
        <f t="shared" si="28"/>
        <v>0</v>
      </c>
      <c r="K3020" s="59">
        <f t="shared" si="29"/>
        <v>0</v>
      </c>
      <c r="L3020" s="59">
        <f t="shared" si="30"/>
        <v>0</v>
      </c>
      <c r="M3020" s="59">
        <f t="shared" si="31"/>
        <v>0</v>
      </c>
    </row>
    <row r="3021" ht="15.0" hidden="1" customHeight="1">
      <c r="A3021" s="59">
        <f t="shared" si="20"/>
        <v>47</v>
      </c>
      <c r="B3021" s="59" t="str">
        <f t="shared" si="21"/>
        <v/>
      </c>
      <c r="C3021" s="59" t="str">
        <f t="shared" si="22"/>
        <v/>
      </c>
      <c r="D3021" s="45" t="str">
        <f t="shared" si="23"/>
        <v/>
      </c>
      <c r="E3021" s="45" t="str">
        <f t="shared" si="24"/>
        <v/>
      </c>
      <c r="F3021" s="59" t="str">
        <f t="shared" si="25"/>
        <v/>
      </c>
      <c r="G3021" s="59" t="str">
        <f t="shared" si="26"/>
        <v/>
      </c>
      <c r="H3021" s="59" t="str">
        <f t="shared" si="27"/>
        <v>28C05739</v>
      </c>
      <c r="I3021" s="59" t="str">
        <f>IF(OR($A3021="",$C3021="",$D3021="",$E3021="",$H3021=""),"",SUMIFS(DATA_GOC!$H:$H,DATA_GOC!$A:$A,"BOM",DATA_GOC!$D:$D,$H3021,DATA_GOC!$E:$E,$C3021,DATA_GOC!$F:$F,"Xuất nội bộ từ téc",DATA_GOC!$B:$B,"&gt;="&amp;$D3021,DATA_GOC!$B:$B,"&lt;="&amp;$E3021))</f>
        <v/>
      </c>
      <c r="J3021" s="59">
        <f t="shared" si="28"/>
        <v>0</v>
      </c>
      <c r="K3021" s="59">
        <f t="shared" si="29"/>
        <v>0</v>
      </c>
      <c r="L3021" s="59">
        <f t="shared" si="30"/>
        <v>0</v>
      </c>
      <c r="M3021" s="59">
        <f t="shared" si="31"/>
        <v>0</v>
      </c>
    </row>
    <row r="3022" ht="15.0" hidden="1" customHeight="1">
      <c r="A3022" s="59">
        <f t="shared" si="20"/>
        <v>47</v>
      </c>
      <c r="B3022" s="59" t="str">
        <f t="shared" si="21"/>
        <v/>
      </c>
      <c r="C3022" s="59" t="str">
        <f t="shared" si="22"/>
        <v/>
      </c>
      <c r="D3022" s="45" t="str">
        <f t="shared" si="23"/>
        <v/>
      </c>
      <c r="E3022" s="45" t="str">
        <f t="shared" si="24"/>
        <v/>
      </c>
      <c r="F3022" s="59" t="str">
        <f t="shared" si="25"/>
        <v/>
      </c>
      <c r="G3022" s="59" t="str">
        <f t="shared" si="26"/>
        <v/>
      </c>
      <c r="H3022" s="59" t="str">
        <f t="shared" si="27"/>
        <v>28C06369</v>
      </c>
      <c r="I3022" s="59" t="str">
        <f>IF(OR($A3022="",$C3022="",$D3022="",$E3022="",$H3022=""),"",SUMIFS(DATA_GOC!$H:$H,DATA_GOC!$A:$A,"BOM",DATA_GOC!$D:$D,$H3022,DATA_GOC!$E:$E,$C3022,DATA_GOC!$F:$F,"Xuất nội bộ từ téc",DATA_GOC!$B:$B,"&gt;="&amp;$D3022,DATA_GOC!$B:$B,"&lt;="&amp;$E3022))</f>
        <v/>
      </c>
      <c r="J3022" s="59">
        <f t="shared" si="28"/>
        <v>0</v>
      </c>
      <c r="K3022" s="59">
        <f t="shared" si="29"/>
        <v>0</v>
      </c>
      <c r="L3022" s="59">
        <f t="shared" si="30"/>
        <v>0</v>
      </c>
      <c r="M3022" s="59">
        <f t="shared" si="31"/>
        <v>0</v>
      </c>
    </row>
    <row r="3023" ht="15.0" hidden="1" customHeight="1">
      <c r="A3023" s="59">
        <f t="shared" si="20"/>
        <v>47</v>
      </c>
      <c r="B3023" s="59" t="str">
        <f t="shared" si="21"/>
        <v/>
      </c>
      <c r="C3023" s="59" t="str">
        <f t="shared" si="22"/>
        <v/>
      </c>
      <c r="D3023" s="45" t="str">
        <f t="shared" si="23"/>
        <v/>
      </c>
      <c r="E3023" s="45" t="str">
        <f t="shared" si="24"/>
        <v/>
      </c>
      <c r="F3023" s="59" t="str">
        <f t="shared" si="25"/>
        <v/>
      </c>
      <c r="G3023" s="59" t="str">
        <f t="shared" si="26"/>
        <v/>
      </c>
      <c r="H3023" s="59" t="str">
        <f t="shared" si="27"/>
        <v>28C06447</v>
      </c>
      <c r="I3023" s="59" t="str">
        <f>IF(OR($A3023="",$C3023="",$D3023="",$E3023="",$H3023=""),"",SUMIFS(DATA_GOC!$H:$H,DATA_GOC!$A:$A,"BOM",DATA_GOC!$D:$D,$H3023,DATA_GOC!$E:$E,$C3023,DATA_GOC!$F:$F,"Xuất nội bộ từ téc",DATA_GOC!$B:$B,"&gt;="&amp;$D3023,DATA_GOC!$B:$B,"&lt;="&amp;$E3023))</f>
        <v/>
      </c>
      <c r="J3023" s="59">
        <f t="shared" si="28"/>
        <v>0</v>
      </c>
      <c r="K3023" s="59">
        <f t="shared" si="29"/>
        <v>0</v>
      </c>
      <c r="L3023" s="59">
        <f t="shared" si="30"/>
        <v>0</v>
      </c>
      <c r="M3023" s="59">
        <f t="shared" si="31"/>
        <v>0</v>
      </c>
    </row>
    <row r="3024" ht="15.0" hidden="1" customHeight="1">
      <c r="A3024" s="59">
        <f t="shared" si="20"/>
        <v>47</v>
      </c>
      <c r="B3024" s="59" t="str">
        <f t="shared" si="21"/>
        <v/>
      </c>
      <c r="C3024" s="59" t="str">
        <f t="shared" si="22"/>
        <v/>
      </c>
      <c r="D3024" s="45" t="str">
        <f t="shared" si="23"/>
        <v/>
      </c>
      <c r="E3024" s="45" t="str">
        <f t="shared" si="24"/>
        <v/>
      </c>
      <c r="F3024" s="59" t="str">
        <f t="shared" si="25"/>
        <v/>
      </c>
      <c r="G3024" s="59" t="str">
        <f t="shared" si="26"/>
        <v/>
      </c>
      <c r="H3024" s="59" t="str">
        <f t="shared" si="27"/>
        <v>28H00003</v>
      </c>
      <c r="I3024" s="59" t="str">
        <f>IF(OR($A3024="",$C3024="",$D3024="",$E3024="",$H3024=""),"",SUMIFS(DATA_GOC!$H:$H,DATA_GOC!$A:$A,"BOM",DATA_GOC!$D:$D,$H3024,DATA_GOC!$E:$E,$C3024,DATA_GOC!$F:$F,"Xuất nội bộ từ téc",DATA_GOC!$B:$B,"&gt;="&amp;$D3024,DATA_GOC!$B:$B,"&lt;="&amp;$E3024))</f>
        <v/>
      </c>
      <c r="J3024" s="59">
        <f t="shared" si="28"/>
        <v>0</v>
      </c>
      <c r="K3024" s="59">
        <f t="shared" si="29"/>
        <v>0</v>
      </c>
      <c r="L3024" s="59">
        <f t="shared" si="30"/>
        <v>0</v>
      </c>
      <c r="M3024" s="59">
        <f t="shared" si="31"/>
        <v>0</v>
      </c>
    </row>
    <row r="3025" ht="15.0" hidden="1" customHeight="1">
      <c r="A3025" s="59">
        <f t="shared" si="20"/>
        <v>47</v>
      </c>
      <c r="B3025" s="59" t="str">
        <f t="shared" si="21"/>
        <v/>
      </c>
      <c r="C3025" s="59" t="str">
        <f t="shared" si="22"/>
        <v/>
      </c>
      <c r="D3025" s="45" t="str">
        <f t="shared" si="23"/>
        <v/>
      </c>
      <c r="E3025" s="45" t="str">
        <f t="shared" si="24"/>
        <v/>
      </c>
      <c r="F3025" s="59" t="str">
        <f t="shared" si="25"/>
        <v/>
      </c>
      <c r="G3025" s="59" t="str">
        <f t="shared" si="26"/>
        <v/>
      </c>
      <c r="H3025" s="59" t="str">
        <f t="shared" si="27"/>
        <v>28H00061</v>
      </c>
      <c r="I3025" s="59" t="str">
        <f>IF(OR($A3025="",$C3025="",$D3025="",$E3025="",$H3025=""),"",SUMIFS(DATA_GOC!$H:$H,DATA_GOC!$A:$A,"BOM",DATA_GOC!$D:$D,$H3025,DATA_GOC!$E:$E,$C3025,DATA_GOC!$F:$F,"Xuất nội bộ từ téc",DATA_GOC!$B:$B,"&gt;="&amp;$D3025,DATA_GOC!$B:$B,"&lt;="&amp;$E3025))</f>
        <v/>
      </c>
      <c r="J3025" s="59">
        <f t="shared" si="28"/>
        <v>0</v>
      </c>
      <c r="K3025" s="59">
        <f t="shared" si="29"/>
        <v>0</v>
      </c>
      <c r="L3025" s="59">
        <f t="shared" si="30"/>
        <v>0</v>
      </c>
      <c r="M3025" s="59">
        <f t="shared" si="31"/>
        <v>0</v>
      </c>
    </row>
    <row r="3026" ht="15.0" hidden="1" customHeight="1">
      <c r="A3026" s="59">
        <f t="shared" si="20"/>
        <v>47</v>
      </c>
      <c r="B3026" s="59" t="str">
        <f t="shared" si="21"/>
        <v/>
      </c>
      <c r="C3026" s="59" t="str">
        <f t="shared" si="22"/>
        <v/>
      </c>
      <c r="D3026" s="45" t="str">
        <f t="shared" si="23"/>
        <v/>
      </c>
      <c r="E3026" s="45" t="str">
        <f t="shared" si="24"/>
        <v/>
      </c>
      <c r="F3026" s="59" t="str">
        <f t="shared" si="25"/>
        <v/>
      </c>
      <c r="G3026" s="59" t="str">
        <f t="shared" si="26"/>
        <v/>
      </c>
      <c r="H3026" s="59" t="str">
        <f t="shared" si="27"/>
        <v>28H00354</v>
      </c>
      <c r="I3026" s="59" t="str">
        <f>IF(OR($A3026="",$C3026="",$D3026="",$E3026="",$H3026=""),"",SUMIFS(DATA_GOC!$H:$H,DATA_GOC!$A:$A,"BOM",DATA_GOC!$D:$D,$H3026,DATA_GOC!$E:$E,$C3026,DATA_GOC!$F:$F,"Xuất nội bộ từ téc",DATA_GOC!$B:$B,"&gt;="&amp;$D3026,DATA_GOC!$B:$B,"&lt;="&amp;$E3026))</f>
        <v/>
      </c>
      <c r="J3026" s="59">
        <f t="shared" si="28"/>
        <v>0</v>
      </c>
      <c r="K3026" s="59">
        <f t="shared" si="29"/>
        <v>0</v>
      </c>
      <c r="L3026" s="59">
        <f t="shared" si="30"/>
        <v>0</v>
      </c>
      <c r="M3026" s="59">
        <f t="shared" si="31"/>
        <v>0</v>
      </c>
    </row>
    <row r="3027" ht="15.0" hidden="1" customHeight="1">
      <c r="A3027" s="59">
        <f t="shared" si="20"/>
        <v>47</v>
      </c>
      <c r="B3027" s="59" t="str">
        <f t="shared" si="21"/>
        <v/>
      </c>
      <c r="C3027" s="59" t="str">
        <f t="shared" si="22"/>
        <v/>
      </c>
      <c r="D3027" s="45" t="str">
        <f t="shared" si="23"/>
        <v/>
      </c>
      <c r="E3027" s="45" t="str">
        <f t="shared" si="24"/>
        <v/>
      </c>
      <c r="F3027" s="59" t="str">
        <f t="shared" si="25"/>
        <v/>
      </c>
      <c r="G3027" s="59" t="str">
        <f t="shared" si="26"/>
        <v/>
      </c>
      <c r="H3027" s="59" t="str">
        <f t="shared" si="27"/>
        <v>28H00603</v>
      </c>
      <c r="I3027" s="59" t="str">
        <f>IF(OR($A3027="",$C3027="",$D3027="",$E3027="",$H3027=""),"",SUMIFS(DATA_GOC!$H:$H,DATA_GOC!$A:$A,"BOM",DATA_GOC!$D:$D,$H3027,DATA_GOC!$E:$E,$C3027,DATA_GOC!$F:$F,"Xuất nội bộ từ téc",DATA_GOC!$B:$B,"&gt;="&amp;$D3027,DATA_GOC!$B:$B,"&lt;="&amp;$E3027))</f>
        <v/>
      </c>
      <c r="J3027" s="59">
        <f t="shared" si="28"/>
        <v>0</v>
      </c>
      <c r="K3027" s="59">
        <f t="shared" si="29"/>
        <v>0</v>
      </c>
      <c r="L3027" s="59">
        <f t="shared" si="30"/>
        <v>0</v>
      </c>
      <c r="M3027" s="59">
        <f t="shared" si="31"/>
        <v>0</v>
      </c>
    </row>
    <row r="3028" ht="15.0" hidden="1" customHeight="1">
      <c r="A3028" s="59">
        <f t="shared" si="20"/>
        <v>47</v>
      </c>
      <c r="B3028" s="59" t="str">
        <f t="shared" si="21"/>
        <v/>
      </c>
      <c r="C3028" s="59" t="str">
        <f t="shared" si="22"/>
        <v/>
      </c>
      <c r="D3028" s="45" t="str">
        <f t="shared" si="23"/>
        <v/>
      </c>
      <c r="E3028" s="45" t="str">
        <f t="shared" si="24"/>
        <v/>
      </c>
      <c r="F3028" s="59" t="str">
        <f t="shared" si="25"/>
        <v/>
      </c>
      <c r="G3028" s="59" t="str">
        <f t="shared" si="26"/>
        <v/>
      </c>
      <c r="H3028" s="59" t="str">
        <f t="shared" si="27"/>
        <v>28H00609</v>
      </c>
      <c r="I3028" s="59" t="str">
        <f>IF(OR($A3028="",$C3028="",$D3028="",$E3028="",$H3028=""),"",SUMIFS(DATA_GOC!$H:$H,DATA_GOC!$A:$A,"BOM",DATA_GOC!$D:$D,$H3028,DATA_GOC!$E:$E,$C3028,DATA_GOC!$F:$F,"Xuất nội bộ từ téc",DATA_GOC!$B:$B,"&gt;="&amp;$D3028,DATA_GOC!$B:$B,"&lt;="&amp;$E3028))</f>
        <v/>
      </c>
      <c r="J3028" s="59">
        <f t="shared" si="28"/>
        <v>0</v>
      </c>
      <c r="K3028" s="59">
        <f t="shared" si="29"/>
        <v>0</v>
      </c>
      <c r="L3028" s="59">
        <f t="shared" si="30"/>
        <v>0</v>
      </c>
      <c r="M3028" s="59">
        <f t="shared" si="31"/>
        <v>0</v>
      </c>
    </row>
    <row r="3029" ht="15.0" hidden="1" customHeight="1">
      <c r="A3029" s="59">
        <f t="shared" si="20"/>
        <v>47</v>
      </c>
      <c r="B3029" s="59" t="str">
        <f t="shared" si="21"/>
        <v/>
      </c>
      <c r="C3029" s="59" t="str">
        <f t="shared" si="22"/>
        <v/>
      </c>
      <c r="D3029" s="45" t="str">
        <f t="shared" si="23"/>
        <v/>
      </c>
      <c r="E3029" s="45" t="str">
        <f t="shared" si="24"/>
        <v/>
      </c>
      <c r="F3029" s="59" t="str">
        <f t="shared" si="25"/>
        <v/>
      </c>
      <c r="G3029" s="59" t="str">
        <f t="shared" si="26"/>
        <v/>
      </c>
      <c r="H3029" s="59" t="str">
        <f t="shared" si="27"/>
        <v>28H00669</v>
      </c>
      <c r="I3029" s="59" t="str">
        <f>IF(OR($A3029="",$C3029="",$D3029="",$E3029="",$H3029=""),"",SUMIFS(DATA_GOC!$H:$H,DATA_GOC!$A:$A,"BOM",DATA_GOC!$D:$D,$H3029,DATA_GOC!$E:$E,$C3029,DATA_GOC!$F:$F,"Xuất nội bộ từ téc",DATA_GOC!$B:$B,"&gt;="&amp;$D3029,DATA_GOC!$B:$B,"&lt;="&amp;$E3029))</f>
        <v/>
      </c>
      <c r="J3029" s="59">
        <f t="shared" si="28"/>
        <v>0</v>
      </c>
      <c r="K3029" s="59">
        <f t="shared" si="29"/>
        <v>0</v>
      </c>
      <c r="L3029" s="59">
        <f t="shared" si="30"/>
        <v>0</v>
      </c>
      <c r="M3029" s="59">
        <f t="shared" si="31"/>
        <v>0</v>
      </c>
    </row>
    <row r="3030" ht="15.0" hidden="1" customHeight="1">
      <c r="A3030" s="59">
        <f t="shared" si="20"/>
        <v>47</v>
      </c>
      <c r="B3030" s="59" t="str">
        <f t="shared" si="21"/>
        <v/>
      </c>
      <c r="C3030" s="59" t="str">
        <f t="shared" si="22"/>
        <v/>
      </c>
      <c r="D3030" s="45" t="str">
        <f t="shared" si="23"/>
        <v/>
      </c>
      <c r="E3030" s="45" t="str">
        <f t="shared" si="24"/>
        <v/>
      </c>
      <c r="F3030" s="59" t="str">
        <f t="shared" si="25"/>
        <v/>
      </c>
      <c r="G3030" s="59" t="str">
        <f t="shared" si="26"/>
        <v/>
      </c>
      <c r="H3030" s="59" t="str">
        <f t="shared" si="27"/>
        <v>28H00680</v>
      </c>
      <c r="I3030" s="59" t="str">
        <f>IF(OR($A3030="",$C3030="",$D3030="",$E3030="",$H3030=""),"",SUMIFS(DATA_GOC!$H:$H,DATA_GOC!$A:$A,"BOM",DATA_GOC!$D:$D,$H3030,DATA_GOC!$E:$E,$C3030,DATA_GOC!$F:$F,"Xuất nội bộ từ téc",DATA_GOC!$B:$B,"&gt;="&amp;$D3030,DATA_GOC!$B:$B,"&lt;="&amp;$E3030))</f>
        <v/>
      </c>
      <c r="J3030" s="59">
        <f t="shared" si="28"/>
        <v>0</v>
      </c>
      <c r="K3030" s="59">
        <f t="shared" si="29"/>
        <v>0</v>
      </c>
      <c r="L3030" s="59">
        <f t="shared" si="30"/>
        <v>0</v>
      </c>
      <c r="M3030" s="59">
        <f t="shared" si="31"/>
        <v>0</v>
      </c>
    </row>
    <row r="3031" ht="15.0" hidden="1" customHeight="1">
      <c r="A3031" s="59">
        <f t="shared" si="20"/>
        <v>47</v>
      </c>
      <c r="B3031" s="59" t="str">
        <f t="shared" si="21"/>
        <v/>
      </c>
      <c r="C3031" s="59" t="str">
        <f t="shared" si="22"/>
        <v/>
      </c>
      <c r="D3031" s="45" t="str">
        <f t="shared" si="23"/>
        <v/>
      </c>
      <c r="E3031" s="45" t="str">
        <f t="shared" si="24"/>
        <v/>
      </c>
      <c r="F3031" s="59" t="str">
        <f t="shared" si="25"/>
        <v/>
      </c>
      <c r="G3031" s="59" t="str">
        <f t="shared" si="26"/>
        <v/>
      </c>
      <c r="H3031" s="59" t="str">
        <f t="shared" si="27"/>
        <v>28H01070</v>
      </c>
      <c r="I3031" s="59" t="str">
        <f>IF(OR($A3031="",$C3031="",$D3031="",$E3031="",$H3031=""),"",SUMIFS(DATA_GOC!$H:$H,DATA_GOC!$A:$A,"BOM",DATA_GOC!$D:$D,$H3031,DATA_GOC!$E:$E,$C3031,DATA_GOC!$F:$F,"Xuất nội bộ từ téc",DATA_GOC!$B:$B,"&gt;="&amp;$D3031,DATA_GOC!$B:$B,"&lt;="&amp;$E3031))</f>
        <v/>
      </c>
      <c r="J3031" s="59">
        <f t="shared" si="28"/>
        <v>0</v>
      </c>
      <c r="K3031" s="59">
        <f t="shared" si="29"/>
        <v>0</v>
      </c>
      <c r="L3031" s="59">
        <f t="shared" si="30"/>
        <v>0</v>
      </c>
      <c r="M3031" s="59">
        <f t="shared" si="31"/>
        <v>0</v>
      </c>
    </row>
    <row r="3032" ht="15.0" hidden="1" customHeight="1">
      <c r="A3032" s="59">
        <f t="shared" si="20"/>
        <v>47</v>
      </c>
      <c r="B3032" s="59" t="str">
        <f t="shared" si="21"/>
        <v/>
      </c>
      <c r="C3032" s="59" t="str">
        <f t="shared" si="22"/>
        <v/>
      </c>
      <c r="D3032" s="45" t="str">
        <f t="shared" si="23"/>
        <v/>
      </c>
      <c r="E3032" s="45" t="str">
        <f t="shared" si="24"/>
        <v/>
      </c>
      <c r="F3032" s="59" t="str">
        <f t="shared" si="25"/>
        <v/>
      </c>
      <c r="G3032" s="59" t="str">
        <f t="shared" si="26"/>
        <v/>
      </c>
      <c r="H3032" s="59" t="str">
        <f t="shared" si="27"/>
        <v>28H01364</v>
      </c>
      <c r="I3032" s="59" t="str">
        <f>IF(OR($A3032="",$C3032="",$D3032="",$E3032="",$H3032=""),"",SUMIFS(DATA_GOC!$H:$H,DATA_GOC!$A:$A,"BOM",DATA_GOC!$D:$D,$H3032,DATA_GOC!$E:$E,$C3032,DATA_GOC!$F:$F,"Xuất nội bộ từ téc",DATA_GOC!$B:$B,"&gt;="&amp;$D3032,DATA_GOC!$B:$B,"&lt;="&amp;$E3032))</f>
        <v/>
      </c>
      <c r="J3032" s="59">
        <f t="shared" si="28"/>
        <v>0</v>
      </c>
      <c r="K3032" s="59">
        <f t="shared" si="29"/>
        <v>0</v>
      </c>
      <c r="L3032" s="59">
        <f t="shared" si="30"/>
        <v>0</v>
      </c>
      <c r="M3032" s="59">
        <f t="shared" si="31"/>
        <v>0</v>
      </c>
    </row>
    <row r="3033" ht="15.0" hidden="1" customHeight="1">
      <c r="A3033" s="59">
        <f t="shared" si="20"/>
        <v>47</v>
      </c>
      <c r="B3033" s="59" t="str">
        <f t="shared" si="21"/>
        <v/>
      </c>
      <c r="C3033" s="59" t="str">
        <f t="shared" si="22"/>
        <v/>
      </c>
      <c r="D3033" s="45" t="str">
        <f t="shared" si="23"/>
        <v/>
      </c>
      <c r="E3033" s="45" t="str">
        <f t="shared" si="24"/>
        <v/>
      </c>
      <c r="F3033" s="59" t="str">
        <f t="shared" si="25"/>
        <v/>
      </c>
      <c r="G3033" s="59" t="str">
        <f t="shared" si="26"/>
        <v/>
      </c>
      <c r="H3033" s="59" t="str">
        <f t="shared" si="27"/>
        <v>29E17269</v>
      </c>
      <c r="I3033" s="59" t="str">
        <f>IF(OR($A3033="",$C3033="",$D3033="",$E3033="",$H3033=""),"",SUMIFS(DATA_GOC!$H:$H,DATA_GOC!$A:$A,"BOM",DATA_GOC!$D:$D,$H3033,DATA_GOC!$E:$E,$C3033,DATA_GOC!$F:$F,"Xuất nội bộ từ téc",DATA_GOC!$B:$B,"&gt;="&amp;$D3033,DATA_GOC!$B:$B,"&lt;="&amp;$E3033))</f>
        <v/>
      </c>
      <c r="J3033" s="59">
        <f t="shared" si="28"/>
        <v>0</v>
      </c>
      <c r="K3033" s="59">
        <f t="shared" si="29"/>
        <v>0</v>
      </c>
      <c r="L3033" s="59">
        <f t="shared" si="30"/>
        <v>0</v>
      </c>
      <c r="M3033" s="59">
        <f t="shared" si="31"/>
        <v>0</v>
      </c>
    </row>
    <row r="3034" ht="15.0" hidden="1" customHeight="1">
      <c r="A3034" s="59">
        <f t="shared" si="20"/>
        <v>47</v>
      </c>
      <c r="B3034" s="59" t="str">
        <f t="shared" si="21"/>
        <v/>
      </c>
      <c r="C3034" s="59" t="str">
        <f t="shared" si="22"/>
        <v/>
      </c>
      <c r="D3034" s="45" t="str">
        <f t="shared" si="23"/>
        <v/>
      </c>
      <c r="E3034" s="45" t="str">
        <f t="shared" si="24"/>
        <v/>
      </c>
      <c r="F3034" s="59" t="str">
        <f t="shared" si="25"/>
        <v/>
      </c>
      <c r="G3034" s="59" t="str">
        <f t="shared" si="26"/>
        <v/>
      </c>
      <c r="H3034" s="59" t="str">
        <f t="shared" si="27"/>
        <v>29E17273</v>
      </c>
      <c r="I3034" s="59" t="str">
        <f>IF(OR($A3034="",$C3034="",$D3034="",$E3034="",$H3034=""),"",SUMIFS(DATA_GOC!$H:$H,DATA_GOC!$A:$A,"BOM",DATA_GOC!$D:$D,$H3034,DATA_GOC!$E:$E,$C3034,DATA_GOC!$F:$F,"Xuất nội bộ từ téc",DATA_GOC!$B:$B,"&gt;="&amp;$D3034,DATA_GOC!$B:$B,"&lt;="&amp;$E3034))</f>
        <v/>
      </c>
      <c r="J3034" s="59">
        <f t="shared" si="28"/>
        <v>0</v>
      </c>
      <c r="K3034" s="59">
        <f t="shared" si="29"/>
        <v>0</v>
      </c>
      <c r="L3034" s="59">
        <f t="shared" si="30"/>
        <v>0</v>
      </c>
      <c r="M3034" s="59">
        <f t="shared" si="31"/>
        <v>0</v>
      </c>
    </row>
    <row r="3035" ht="15.0" hidden="1" customHeight="1">
      <c r="A3035" s="59">
        <f t="shared" si="20"/>
        <v>47</v>
      </c>
      <c r="B3035" s="59" t="str">
        <f t="shared" si="21"/>
        <v/>
      </c>
      <c r="C3035" s="59" t="str">
        <f t="shared" si="22"/>
        <v/>
      </c>
      <c r="D3035" s="45" t="str">
        <f t="shared" si="23"/>
        <v/>
      </c>
      <c r="E3035" s="45" t="str">
        <f t="shared" si="24"/>
        <v/>
      </c>
      <c r="F3035" s="59" t="str">
        <f t="shared" si="25"/>
        <v/>
      </c>
      <c r="G3035" s="59" t="str">
        <f t="shared" si="26"/>
        <v/>
      </c>
      <c r="H3035" s="59" t="str">
        <f t="shared" si="27"/>
        <v>29E17410</v>
      </c>
      <c r="I3035" s="59" t="str">
        <f>IF(OR($A3035="",$C3035="",$D3035="",$E3035="",$H3035=""),"",SUMIFS(DATA_GOC!$H:$H,DATA_GOC!$A:$A,"BOM",DATA_GOC!$D:$D,$H3035,DATA_GOC!$E:$E,$C3035,DATA_GOC!$F:$F,"Xuất nội bộ từ téc",DATA_GOC!$B:$B,"&gt;="&amp;$D3035,DATA_GOC!$B:$B,"&lt;="&amp;$E3035))</f>
        <v/>
      </c>
      <c r="J3035" s="59">
        <f t="shared" si="28"/>
        <v>0</v>
      </c>
      <c r="K3035" s="59">
        <f t="shared" si="29"/>
        <v>0</v>
      </c>
      <c r="L3035" s="59">
        <f t="shared" si="30"/>
        <v>0</v>
      </c>
      <c r="M3035" s="59">
        <f t="shared" si="31"/>
        <v>0</v>
      </c>
    </row>
    <row r="3036" ht="15.0" hidden="1" customHeight="1">
      <c r="A3036" s="59">
        <f t="shared" si="20"/>
        <v>47</v>
      </c>
      <c r="B3036" s="59" t="str">
        <f t="shared" si="21"/>
        <v/>
      </c>
      <c r="C3036" s="59" t="str">
        <f t="shared" si="22"/>
        <v/>
      </c>
      <c r="D3036" s="45" t="str">
        <f t="shared" si="23"/>
        <v/>
      </c>
      <c r="E3036" s="45" t="str">
        <f t="shared" si="24"/>
        <v/>
      </c>
      <c r="F3036" s="59" t="str">
        <f t="shared" si="25"/>
        <v/>
      </c>
      <c r="G3036" s="59" t="str">
        <f t="shared" si="26"/>
        <v/>
      </c>
      <c r="H3036" s="59" t="str">
        <f t="shared" si="27"/>
        <v>29E17417</v>
      </c>
      <c r="I3036" s="59" t="str">
        <f>IF(OR($A3036="",$C3036="",$D3036="",$E3036="",$H3036=""),"",SUMIFS(DATA_GOC!$H:$H,DATA_GOC!$A:$A,"BOM",DATA_GOC!$D:$D,$H3036,DATA_GOC!$E:$E,$C3036,DATA_GOC!$F:$F,"Xuất nội bộ từ téc",DATA_GOC!$B:$B,"&gt;="&amp;$D3036,DATA_GOC!$B:$B,"&lt;="&amp;$E3036))</f>
        <v/>
      </c>
      <c r="J3036" s="59">
        <f t="shared" si="28"/>
        <v>0</v>
      </c>
      <c r="K3036" s="59">
        <f t="shared" si="29"/>
        <v>0</v>
      </c>
      <c r="L3036" s="59">
        <f t="shared" si="30"/>
        <v>0</v>
      </c>
      <c r="M3036" s="59">
        <f t="shared" si="31"/>
        <v>0</v>
      </c>
    </row>
    <row r="3037" ht="15.0" hidden="1" customHeight="1">
      <c r="A3037" s="59">
        <f t="shared" si="20"/>
        <v>47</v>
      </c>
      <c r="B3037" s="59" t="str">
        <f t="shared" si="21"/>
        <v/>
      </c>
      <c r="C3037" s="59" t="str">
        <f t="shared" si="22"/>
        <v/>
      </c>
      <c r="D3037" s="45" t="str">
        <f t="shared" si="23"/>
        <v/>
      </c>
      <c r="E3037" s="45" t="str">
        <f t="shared" si="24"/>
        <v/>
      </c>
      <c r="F3037" s="59" t="str">
        <f t="shared" si="25"/>
        <v/>
      </c>
      <c r="G3037" s="59" t="str">
        <f t="shared" si="26"/>
        <v/>
      </c>
      <c r="H3037" s="59" t="str">
        <f t="shared" si="27"/>
        <v>29E17539</v>
      </c>
      <c r="I3037" s="59" t="str">
        <f>IF(OR($A3037="",$C3037="",$D3037="",$E3037="",$H3037=""),"",SUMIFS(DATA_GOC!$H:$H,DATA_GOC!$A:$A,"BOM",DATA_GOC!$D:$D,$H3037,DATA_GOC!$E:$E,$C3037,DATA_GOC!$F:$F,"Xuất nội bộ từ téc",DATA_GOC!$B:$B,"&gt;="&amp;$D3037,DATA_GOC!$B:$B,"&lt;="&amp;$E3037))</f>
        <v/>
      </c>
      <c r="J3037" s="59">
        <f t="shared" si="28"/>
        <v>0</v>
      </c>
      <c r="K3037" s="59">
        <f t="shared" si="29"/>
        <v>0</v>
      </c>
      <c r="L3037" s="59">
        <f t="shared" si="30"/>
        <v>0</v>
      </c>
      <c r="M3037" s="59">
        <f t="shared" si="31"/>
        <v>0</v>
      </c>
    </row>
    <row r="3038" ht="15.0" hidden="1" customHeight="1">
      <c r="A3038" s="59">
        <f t="shared" si="20"/>
        <v>47</v>
      </c>
      <c r="B3038" s="59" t="str">
        <f t="shared" si="21"/>
        <v/>
      </c>
      <c r="C3038" s="59" t="str">
        <f t="shared" si="22"/>
        <v/>
      </c>
      <c r="D3038" s="45" t="str">
        <f t="shared" si="23"/>
        <v/>
      </c>
      <c r="E3038" s="45" t="str">
        <f t="shared" si="24"/>
        <v/>
      </c>
      <c r="F3038" s="59" t="str">
        <f t="shared" si="25"/>
        <v/>
      </c>
      <c r="G3038" s="59" t="str">
        <f t="shared" si="26"/>
        <v/>
      </c>
      <c r="H3038" s="59" t="str">
        <f t="shared" si="27"/>
        <v>29E18160</v>
      </c>
      <c r="I3038" s="59" t="str">
        <f>IF(OR($A3038="",$C3038="",$D3038="",$E3038="",$H3038=""),"",SUMIFS(DATA_GOC!$H:$H,DATA_GOC!$A:$A,"BOM",DATA_GOC!$D:$D,$H3038,DATA_GOC!$E:$E,$C3038,DATA_GOC!$F:$F,"Xuất nội bộ từ téc",DATA_GOC!$B:$B,"&gt;="&amp;$D3038,DATA_GOC!$B:$B,"&lt;="&amp;$E3038))</f>
        <v/>
      </c>
      <c r="J3038" s="59">
        <f t="shared" si="28"/>
        <v>0</v>
      </c>
      <c r="K3038" s="59">
        <f t="shared" si="29"/>
        <v>0</v>
      </c>
      <c r="L3038" s="59">
        <f t="shared" si="30"/>
        <v>0</v>
      </c>
      <c r="M3038" s="59">
        <f t="shared" si="31"/>
        <v>0</v>
      </c>
    </row>
    <row r="3039" ht="15.0" hidden="1" customHeight="1">
      <c r="A3039" s="59">
        <f t="shared" si="20"/>
        <v>47</v>
      </c>
      <c r="B3039" s="59" t="str">
        <f t="shared" si="21"/>
        <v/>
      </c>
      <c r="C3039" s="59" t="str">
        <f t="shared" si="22"/>
        <v/>
      </c>
      <c r="D3039" s="45" t="str">
        <f t="shared" si="23"/>
        <v/>
      </c>
      <c r="E3039" s="45" t="str">
        <f t="shared" si="24"/>
        <v/>
      </c>
      <c r="F3039" s="59" t="str">
        <f t="shared" si="25"/>
        <v/>
      </c>
      <c r="G3039" s="59" t="str">
        <f t="shared" si="26"/>
        <v/>
      </c>
      <c r="H3039" s="59" t="str">
        <f t="shared" si="27"/>
        <v>Công trình Asphalt</v>
      </c>
      <c r="I3039" s="59" t="str">
        <f>IF(OR($A3039="",$C3039="",$D3039="",$E3039="",$H3039=""),"",SUMIFS(DATA_GOC!$H:$H,DATA_GOC!$A:$A,"BOM",DATA_GOC!$D:$D,$H3039,DATA_GOC!$E:$E,$C3039,DATA_GOC!$F:$F,"Xuất nội bộ từ téc",DATA_GOC!$B:$B,"&gt;="&amp;$D3039,DATA_GOC!$B:$B,"&lt;="&amp;$E3039))</f>
        <v/>
      </c>
      <c r="J3039" s="59">
        <f t="shared" si="28"/>
        <v>0</v>
      </c>
      <c r="K3039" s="59">
        <f t="shared" si="29"/>
        <v>0</v>
      </c>
      <c r="L3039" s="59">
        <f t="shared" si="30"/>
        <v>0</v>
      </c>
      <c r="M3039" s="59">
        <f t="shared" si="31"/>
        <v>0</v>
      </c>
    </row>
    <row r="3040" ht="15.0" hidden="1" customHeight="1">
      <c r="A3040" s="59">
        <f t="shared" si="20"/>
        <v>47</v>
      </c>
      <c r="B3040" s="59" t="str">
        <f t="shared" si="21"/>
        <v/>
      </c>
      <c r="C3040" s="59" t="str">
        <f t="shared" si="22"/>
        <v/>
      </c>
      <c r="D3040" s="45" t="str">
        <f t="shared" si="23"/>
        <v/>
      </c>
      <c r="E3040" s="45" t="str">
        <f t="shared" si="24"/>
        <v/>
      </c>
      <c r="F3040" s="59" t="str">
        <f t="shared" si="25"/>
        <v/>
      </c>
      <c r="G3040" s="59" t="str">
        <f t="shared" si="26"/>
        <v/>
      </c>
      <c r="H3040" s="59" t="str">
        <f t="shared" si="27"/>
        <v>LG53F</v>
      </c>
      <c r="I3040" s="59" t="str">
        <f>IF(OR($A3040="",$C3040="",$D3040="",$E3040="",$H3040=""),"",SUMIFS(DATA_GOC!$H:$H,DATA_GOC!$A:$A,"BOM",DATA_GOC!$D:$D,$H3040,DATA_GOC!$E:$E,$C3040,DATA_GOC!$F:$F,"Xuất nội bộ từ téc",DATA_GOC!$B:$B,"&gt;="&amp;$D3040,DATA_GOC!$B:$B,"&lt;="&amp;$E3040))</f>
        <v/>
      </c>
      <c r="J3040" s="59">
        <f t="shared" si="28"/>
        <v>0</v>
      </c>
      <c r="K3040" s="59">
        <f t="shared" si="29"/>
        <v>0</v>
      </c>
      <c r="L3040" s="59">
        <f t="shared" si="30"/>
        <v>0</v>
      </c>
      <c r="M3040" s="59">
        <f t="shared" si="31"/>
        <v>0</v>
      </c>
    </row>
    <row r="3041" ht="15.0" hidden="1" customHeight="1">
      <c r="A3041" s="59">
        <f t="shared" si="20"/>
        <v>47</v>
      </c>
      <c r="B3041" s="59" t="str">
        <f t="shared" si="21"/>
        <v/>
      </c>
      <c r="C3041" s="59" t="str">
        <f t="shared" si="22"/>
        <v/>
      </c>
      <c r="D3041" s="45" t="str">
        <f t="shared" si="23"/>
        <v/>
      </c>
      <c r="E3041" s="45" t="str">
        <f t="shared" si="24"/>
        <v/>
      </c>
      <c r="F3041" s="59" t="str">
        <f t="shared" si="25"/>
        <v/>
      </c>
      <c r="G3041" s="59" t="str">
        <f t="shared" si="26"/>
        <v/>
      </c>
      <c r="H3041" s="59" t="str">
        <f t="shared" si="27"/>
        <v>Máy phát điện</v>
      </c>
      <c r="I3041" s="59" t="str">
        <f>IF(OR($A3041="",$C3041="",$D3041="",$E3041="",$H3041=""),"",SUMIFS(DATA_GOC!$H:$H,DATA_GOC!$A:$A,"BOM",DATA_GOC!$D:$D,$H3041,DATA_GOC!$E:$E,$C3041,DATA_GOC!$F:$F,"Xuất nội bộ từ téc",DATA_GOC!$B:$B,"&gt;="&amp;$D3041,DATA_GOC!$B:$B,"&lt;="&amp;$E3041))</f>
        <v/>
      </c>
      <c r="J3041" s="59">
        <f t="shared" si="28"/>
        <v>0</v>
      </c>
      <c r="K3041" s="59">
        <f t="shared" si="29"/>
        <v>0</v>
      </c>
      <c r="L3041" s="59">
        <f t="shared" si="30"/>
        <v>0</v>
      </c>
      <c r="M3041" s="59">
        <f t="shared" si="31"/>
        <v>0</v>
      </c>
    </row>
    <row r="3042" ht="15.0" hidden="1" customHeight="1">
      <c r="A3042" s="59">
        <f t="shared" si="20"/>
        <v>47</v>
      </c>
      <c r="B3042" s="59" t="str">
        <f t="shared" si="21"/>
        <v/>
      </c>
      <c r="C3042" s="59" t="str">
        <f t="shared" si="22"/>
        <v/>
      </c>
      <c r="D3042" s="45" t="str">
        <f t="shared" si="23"/>
        <v/>
      </c>
      <c r="E3042" s="45" t="str">
        <f t="shared" si="24"/>
        <v/>
      </c>
      <c r="F3042" s="59" t="str">
        <f t="shared" si="25"/>
        <v/>
      </c>
      <c r="G3042" s="59" t="str">
        <f t="shared" si="26"/>
        <v/>
      </c>
      <c r="H3042" s="59" t="str">
        <f t="shared" si="27"/>
        <v>Máy rải thảm</v>
      </c>
      <c r="I3042" s="59" t="str">
        <f>IF(OR($A3042="",$C3042="",$D3042="",$E3042="",$H3042=""),"",SUMIFS(DATA_GOC!$H:$H,DATA_GOC!$A:$A,"BOM",DATA_GOC!$D:$D,$H3042,DATA_GOC!$E:$E,$C3042,DATA_GOC!$F:$F,"Xuất nội bộ từ téc",DATA_GOC!$B:$B,"&gt;="&amp;$D3042,DATA_GOC!$B:$B,"&lt;="&amp;$E3042))</f>
        <v/>
      </c>
      <c r="J3042" s="59">
        <f t="shared" si="28"/>
        <v>0</v>
      </c>
      <c r="K3042" s="59">
        <f t="shared" si="29"/>
        <v>0</v>
      </c>
      <c r="L3042" s="59">
        <f t="shared" si="30"/>
        <v>0</v>
      </c>
      <c r="M3042" s="59">
        <f t="shared" si="31"/>
        <v>0</v>
      </c>
    </row>
    <row r="3043" ht="15.0" hidden="1" customHeight="1">
      <c r="A3043" s="59">
        <f t="shared" si="20"/>
        <v>47</v>
      </c>
      <c r="B3043" s="59" t="str">
        <f t="shared" si="21"/>
        <v/>
      </c>
      <c r="C3043" s="59" t="str">
        <f t="shared" si="22"/>
        <v/>
      </c>
      <c r="D3043" s="45" t="str">
        <f t="shared" si="23"/>
        <v/>
      </c>
      <c r="E3043" s="45" t="str">
        <f t="shared" si="24"/>
        <v/>
      </c>
      <c r="F3043" s="59" t="str">
        <f t="shared" si="25"/>
        <v/>
      </c>
      <c r="G3043" s="59" t="str">
        <f t="shared" si="26"/>
        <v/>
      </c>
      <c r="H3043" s="59" t="str">
        <f t="shared" si="27"/>
        <v>Xúc Đào</v>
      </c>
      <c r="I3043" s="59" t="str">
        <f>IF(OR($A3043="",$C3043="",$D3043="",$E3043="",$H3043=""),"",SUMIFS(DATA_GOC!$H:$H,DATA_GOC!$A:$A,"BOM",DATA_GOC!$D:$D,$H3043,DATA_GOC!$E:$E,$C3043,DATA_GOC!$F:$F,"Xuất nội bộ từ téc",DATA_GOC!$B:$B,"&gt;="&amp;$D3043,DATA_GOC!$B:$B,"&lt;="&amp;$E3043))</f>
        <v/>
      </c>
      <c r="J3043" s="59">
        <f t="shared" si="28"/>
        <v>0</v>
      </c>
      <c r="K3043" s="59">
        <f t="shared" si="29"/>
        <v>0</v>
      </c>
      <c r="L3043" s="59">
        <f t="shared" si="30"/>
        <v>0</v>
      </c>
      <c r="M3043" s="59">
        <f t="shared" si="31"/>
        <v>0</v>
      </c>
    </row>
    <row r="3044" ht="15.0" hidden="1" customHeight="1">
      <c r="A3044" s="59">
        <f t="shared" si="20"/>
        <v>47</v>
      </c>
      <c r="B3044" s="59" t="str">
        <f t="shared" si="21"/>
        <v/>
      </c>
      <c r="C3044" s="59" t="str">
        <f t="shared" si="22"/>
        <v/>
      </c>
      <c r="D3044" s="45" t="str">
        <f t="shared" si="23"/>
        <v/>
      </c>
      <c r="E3044" s="45" t="str">
        <f t="shared" si="24"/>
        <v/>
      </c>
      <c r="F3044" s="59" t="str">
        <f t="shared" si="25"/>
        <v/>
      </c>
      <c r="G3044" s="59" t="str">
        <f t="shared" si="26"/>
        <v/>
      </c>
      <c r="H3044" s="59" t="str">
        <f t="shared" si="27"/>
        <v>Xúclật asphalt</v>
      </c>
      <c r="I3044" s="59" t="str">
        <f>IF(OR($A3044="",$C3044="",$D3044="",$E3044="",$H3044=""),"",SUMIFS(DATA_GOC!$H:$H,DATA_GOC!$A:$A,"BOM",DATA_GOC!$D:$D,$H3044,DATA_GOC!$E:$E,$C3044,DATA_GOC!$F:$F,"Xuất nội bộ từ téc",DATA_GOC!$B:$B,"&gt;="&amp;$D3044,DATA_GOC!$B:$B,"&lt;="&amp;$E3044))</f>
        <v/>
      </c>
      <c r="J3044" s="59">
        <f t="shared" si="28"/>
        <v>0</v>
      </c>
      <c r="K3044" s="59">
        <f t="shared" si="29"/>
        <v>0</v>
      </c>
      <c r="L3044" s="59">
        <f t="shared" si="30"/>
        <v>0</v>
      </c>
      <c r="M3044" s="59">
        <f t="shared" si="31"/>
        <v>0</v>
      </c>
    </row>
    <row r="3045" ht="15.0" hidden="1" customHeight="1">
      <c r="A3045" s="59">
        <f t="shared" si="20"/>
        <v>47</v>
      </c>
      <c r="B3045" s="59" t="str">
        <f t="shared" si="21"/>
        <v/>
      </c>
      <c r="C3045" s="59" t="str">
        <f t="shared" si="22"/>
        <v/>
      </c>
      <c r="D3045" s="45" t="str">
        <f t="shared" si="23"/>
        <v/>
      </c>
      <c r="E3045" s="45" t="str">
        <f t="shared" si="24"/>
        <v/>
      </c>
      <c r="F3045" s="59" t="str">
        <f t="shared" si="25"/>
        <v/>
      </c>
      <c r="G3045" s="59" t="str">
        <f t="shared" si="26"/>
        <v/>
      </c>
      <c r="H3045" s="59" t="str">
        <f t="shared" si="27"/>
        <v>Xúclật855H</v>
      </c>
      <c r="I3045" s="59" t="str">
        <f>IF(OR($A3045="",$C3045="",$D3045="",$E3045="",$H3045=""),"",SUMIFS(DATA_GOC!$H:$H,DATA_GOC!$A:$A,"BOM",DATA_GOC!$D:$D,$H3045,DATA_GOC!$E:$E,$C3045,DATA_GOC!$F:$F,"Xuất nội bộ từ téc",DATA_GOC!$B:$B,"&gt;="&amp;$D3045,DATA_GOC!$B:$B,"&lt;="&amp;$E3045))</f>
        <v/>
      </c>
      <c r="J3045" s="59">
        <f t="shared" si="28"/>
        <v>0</v>
      </c>
      <c r="K3045" s="59">
        <f t="shared" si="29"/>
        <v>0</v>
      </c>
      <c r="L3045" s="59">
        <f t="shared" si="30"/>
        <v>0</v>
      </c>
      <c r="M3045" s="59">
        <f t="shared" si="31"/>
        <v>0</v>
      </c>
    </row>
    <row r="3046" ht="15.0" hidden="1" customHeight="1">
      <c r="A3046" s="59">
        <f t="shared" si="20"/>
        <v>47</v>
      </c>
      <c r="B3046" s="59" t="str">
        <f t="shared" si="21"/>
        <v/>
      </c>
      <c r="C3046" s="59" t="str">
        <f t="shared" si="22"/>
        <v/>
      </c>
      <c r="D3046" s="45" t="str">
        <f t="shared" si="23"/>
        <v/>
      </c>
      <c r="E3046" s="45" t="str">
        <f t="shared" si="24"/>
        <v/>
      </c>
      <c r="F3046" s="59" t="str">
        <f t="shared" si="25"/>
        <v/>
      </c>
      <c r="G3046" s="59" t="str">
        <f t="shared" si="26"/>
        <v/>
      </c>
      <c r="H3046" s="59" t="str">
        <f t="shared" si="27"/>
        <v>Xúclật855N</v>
      </c>
      <c r="I3046" s="59" t="str">
        <f>IF(OR($A3046="",$C3046="",$D3046="",$E3046="",$H3046=""),"",SUMIFS(DATA_GOC!$H:$H,DATA_GOC!$A:$A,"BOM",DATA_GOC!$D:$D,$H3046,DATA_GOC!$E:$E,$C3046,DATA_GOC!$F:$F,"Xuất nội bộ từ téc",DATA_GOC!$B:$B,"&gt;="&amp;$D3046,DATA_GOC!$B:$B,"&lt;="&amp;$E3046))</f>
        <v/>
      </c>
      <c r="J3046" s="59">
        <f t="shared" si="28"/>
        <v>0</v>
      </c>
      <c r="K3046" s="59">
        <f t="shared" si="29"/>
        <v>0</v>
      </c>
      <c r="L3046" s="59">
        <f t="shared" si="30"/>
        <v>0</v>
      </c>
      <c r="M3046" s="59">
        <f t="shared" si="31"/>
        <v>0</v>
      </c>
    </row>
    <row r="3047" ht="15.0" hidden="1" customHeight="1">
      <c r="A3047" s="59">
        <f t="shared" si="20"/>
        <v>47</v>
      </c>
      <c r="B3047" s="59" t="str">
        <f t="shared" si="21"/>
        <v/>
      </c>
      <c r="C3047" s="59" t="str">
        <f t="shared" si="22"/>
        <v/>
      </c>
      <c r="D3047" s="45" t="str">
        <f t="shared" si="23"/>
        <v/>
      </c>
      <c r="E3047" s="45" t="str">
        <f t="shared" si="24"/>
        <v/>
      </c>
      <c r="F3047" s="59" t="str">
        <f t="shared" si="25"/>
        <v/>
      </c>
      <c r="G3047" s="59" t="str">
        <f t="shared" si="26"/>
        <v/>
      </c>
      <c r="H3047" s="59" t="str">
        <f t="shared" si="27"/>
        <v>Cát nghiền</v>
      </c>
      <c r="I3047" s="59" t="str">
        <f>IF(OR($A3047="",$C3047="",$D3047="",$E3047="",$H3047=""),"",SUMIFS(DATA_GOC!$H:$H,DATA_GOC!$A:$A,"BOM",DATA_GOC!$D:$D,$H3047,DATA_GOC!$E:$E,$C3047,DATA_GOC!$F:$F,"Xuất nội bộ từ téc",DATA_GOC!$B:$B,"&gt;="&amp;$D3047,DATA_GOC!$B:$B,"&lt;="&amp;$E3047))</f>
        <v/>
      </c>
      <c r="J3047" s="59">
        <f t="shared" si="28"/>
        <v>0</v>
      </c>
      <c r="K3047" s="59">
        <f t="shared" si="29"/>
        <v>0</v>
      </c>
      <c r="L3047" s="59">
        <f t="shared" si="30"/>
        <v>0</v>
      </c>
      <c r="M3047" s="59">
        <f t="shared" si="31"/>
        <v>0</v>
      </c>
    </row>
    <row r="3048" ht="15.0" hidden="1" customHeight="1">
      <c r="A3048" s="59">
        <f t="shared" si="20"/>
        <v>47</v>
      </c>
      <c r="B3048" s="59" t="str">
        <f t="shared" si="21"/>
        <v/>
      </c>
      <c r="C3048" s="59" t="str">
        <f t="shared" si="22"/>
        <v/>
      </c>
      <c r="D3048" s="45" t="str">
        <f t="shared" si="23"/>
        <v/>
      </c>
      <c r="E3048" s="45" t="str">
        <f t="shared" si="24"/>
        <v/>
      </c>
      <c r="F3048" s="59" t="str">
        <f t="shared" si="25"/>
        <v/>
      </c>
      <c r="G3048" s="59" t="str">
        <f t="shared" si="26"/>
        <v/>
      </c>
      <c r="H3048" s="59" t="str">
        <f t="shared" si="27"/>
        <v>28C02973</v>
      </c>
      <c r="I3048" s="59" t="str">
        <f>IF(OR($A3048="",$C3048="",$D3048="",$E3048="",$H3048=""),"",SUMIFS(DATA_GOC!$H:$H,DATA_GOC!$A:$A,"BOM",DATA_GOC!$D:$D,$H3048,DATA_GOC!$E:$E,$C3048,DATA_GOC!$F:$F,"Xuất nội bộ từ téc",DATA_GOC!$B:$B,"&gt;="&amp;$D3048,DATA_GOC!$B:$B,"&lt;="&amp;$E3048))</f>
        <v/>
      </c>
      <c r="J3048" s="59">
        <f t="shared" si="28"/>
        <v>0</v>
      </c>
      <c r="K3048" s="59">
        <f t="shared" si="29"/>
        <v>0</v>
      </c>
      <c r="L3048" s="59">
        <f t="shared" si="30"/>
        <v>0</v>
      </c>
      <c r="M3048" s="59">
        <f t="shared" si="31"/>
        <v>0</v>
      </c>
    </row>
    <row r="3049" ht="15.0" hidden="1" customHeight="1">
      <c r="A3049" s="59">
        <f t="shared" si="20"/>
        <v>47</v>
      </c>
      <c r="B3049" s="59" t="str">
        <f t="shared" si="21"/>
        <v/>
      </c>
      <c r="C3049" s="59" t="str">
        <f t="shared" si="22"/>
        <v/>
      </c>
      <c r="D3049" s="45" t="str">
        <f t="shared" si="23"/>
        <v/>
      </c>
      <c r="E3049" s="45" t="str">
        <f t="shared" si="24"/>
        <v/>
      </c>
      <c r="F3049" s="59" t="str">
        <f t="shared" si="25"/>
        <v/>
      </c>
      <c r="G3049" s="59" t="str">
        <f t="shared" si="26"/>
        <v/>
      </c>
      <c r="H3049" s="59" t="str">
        <f t="shared" si="27"/>
        <v>28C03044</v>
      </c>
      <c r="I3049" s="59" t="str">
        <f>IF(OR($A3049="",$C3049="",$D3049="",$E3049="",$H3049=""),"",SUMIFS(DATA_GOC!$H:$H,DATA_GOC!$A:$A,"BOM",DATA_GOC!$D:$D,$H3049,DATA_GOC!$E:$E,$C3049,DATA_GOC!$F:$F,"Xuất nội bộ từ téc",DATA_GOC!$B:$B,"&gt;="&amp;$D3049,DATA_GOC!$B:$B,"&lt;="&amp;$E3049))</f>
        <v/>
      </c>
      <c r="J3049" s="59">
        <f t="shared" si="28"/>
        <v>0</v>
      </c>
      <c r="K3049" s="59">
        <f t="shared" si="29"/>
        <v>0</v>
      </c>
      <c r="L3049" s="59">
        <f t="shared" si="30"/>
        <v>0</v>
      </c>
      <c r="M3049" s="59">
        <f t="shared" si="31"/>
        <v>0</v>
      </c>
    </row>
    <row r="3050" ht="15.0" hidden="1" customHeight="1">
      <c r="A3050" s="59">
        <f t="shared" si="20"/>
        <v>47</v>
      </c>
      <c r="B3050" s="59" t="str">
        <f t="shared" si="21"/>
        <v/>
      </c>
      <c r="C3050" s="59" t="str">
        <f t="shared" si="22"/>
        <v/>
      </c>
      <c r="D3050" s="45" t="str">
        <f t="shared" si="23"/>
        <v/>
      </c>
      <c r="E3050" s="45" t="str">
        <f t="shared" si="24"/>
        <v/>
      </c>
      <c r="F3050" s="59" t="str">
        <f t="shared" si="25"/>
        <v/>
      </c>
      <c r="G3050" s="59" t="str">
        <f t="shared" si="26"/>
        <v/>
      </c>
      <c r="H3050" s="59" t="str">
        <f t="shared" si="27"/>
        <v>Máy lu lốp</v>
      </c>
      <c r="I3050" s="59" t="str">
        <f>IF(OR($A3050="",$C3050="",$D3050="",$E3050="",$H3050=""),"",SUMIFS(DATA_GOC!$H:$H,DATA_GOC!$A:$A,"BOM",DATA_GOC!$D:$D,$H3050,DATA_GOC!$E:$E,$C3050,DATA_GOC!$F:$F,"Xuất nội bộ từ téc",DATA_GOC!$B:$B,"&gt;="&amp;$D3050,DATA_GOC!$B:$B,"&lt;="&amp;$E3050))</f>
        <v/>
      </c>
      <c r="J3050" s="59">
        <f t="shared" si="28"/>
        <v>0</v>
      </c>
      <c r="K3050" s="59">
        <f t="shared" si="29"/>
        <v>0</v>
      </c>
      <c r="L3050" s="59">
        <f t="shared" si="30"/>
        <v>0</v>
      </c>
      <c r="M3050" s="59">
        <f t="shared" si="31"/>
        <v>0</v>
      </c>
    </row>
    <row r="3051" ht="15.0" hidden="1" customHeight="1">
      <c r="A3051" s="59">
        <f t="shared" si="20"/>
        <v>47</v>
      </c>
      <c r="B3051" s="59" t="str">
        <f t="shared" si="21"/>
        <v/>
      </c>
      <c r="C3051" s="59" t="str">
        <f t="shared" si="22"/>
        <v/>
      </c>
      <c r="D3051" s="45" t="str">
        <f t="shared" si="23"/>
        <v/>
      </c>
      <c r="E3051" s="45" t="str">
        <f t="shared" si="24"/>
        <v/>
      </c>
      <c r="F3051" s="59" t="str">
        <f t="shared" si="25"/>
        <v/>
      </c>
      <c r="G3051" s="59" t="str">
        <f t="shared" si="26"/>
        <v/>
      </c>
      <c r="H3051" s="59" t="str">
        <f t="shared" si="27"/>
        <v>Xe 600148</v>
      </c>
      <c r="I3051" s="59" t="str">
        <f>IF(OR($A3051="",$C3051="",$D3051="",$E3051="",$H3051=""),"",SUMIFS(DATA_GOC!$H:$H,DATA_GOC!$A:$A,"BOM",DATA_GOC!$D:$D,$H3051,DATA_GOC!$E:$E,$C3051,DATA_GOC!$F:$F,"Xuất nội bộ từ téc",DATA_GOC!$B:$B,"&gt;="&amp;$D3051,DATA_GOC!$B:$B,"&lt;="&amp;$E3051))</f>
        <v/>
      </c>
      <c r="J3051" s="59">
        <f t="shared" si="28"/>
        <v>0</v>
      </c>
      <c r="K3051" s="59">
        <f t="shared" si="29"/>
        <v>0</v>
      </c>
      <c r="L3051" s="59">
        <f t="shared" si="30"/>
        <v>0</v>
      </c>
      <c r="M3051" s="59">
        <f t="shared" si="31"/>
        <v>0</v>
      </c>
    </row>
    <row r="3052" ht="15.0" hidden="1" customHeight="1">
      <c r="A3052" s="59">
        <f t="shared" si="20"/>
        <v>47</v>
      </c>
      <c r="B3052" s="59" t="str">
        <f t="shared" si="21"/>
        <v/>
      </c>
      <c r="C3052" s="59" t="str">
        <f t="shared" si="22"/>
        <v/>
      </c>
      <c r="D3052" s="45" t="str">
        <f t="shared" si="23"/>
        <v/>
      </c>
      <c r="E3052" s="45" t="str">
        <f t="shared" si="24"/>
        <v/>
      </c>
      <c r="F3052" s="59" t="str">
        <f t="shared" si="25"/>
        <v/>
      </c>
      <c r="G3052" s="59" t="str">
        <f t="shared" si="26"/>
        <v/>
      </c>
      <c r="H3052" s="59" t="str">
        <f t="shared" si="27"/>
        <v>Xe ben mới</v>
      </c>
      <c r="I3052" s="59" t="str">
        <f>IF(OR($A3052="",$C3052="",$D3052="",$E3052="",$H3052=""),"",SUMIFS(DATA_GOC!$H:$H,DATA_GOC!$A:$A,"BOM",DATA_GOC!$D:$D,$H3052,DATA_GOC!$E:$E,$C3052,DATA_GOC!$F:$F,"Xuất nội bộ từ téc",DATA_GOC!$B:$B,"&gt;="&amp;$D3052,DATA_GOC!$B:$B,"&lt;="&amp;$E3052))</f>
        <v/>
      </c>
      <c r="J3052" s="59">
        <f t="shared" si="28"/>
        <v>0</v>
      </c>
      <c r="K3052" s="59">
        <f t="shared" si="29"/>
        <v>0</v>
      </c>
      <c r="L3052" s="59">
        <f t="shared" si="30"/>
        <v>0</v>
      </c>
      <c r="M3052" s="59">
        <f t="shared" si="31"/>
        <v>0</v>
      </c>
    </row>
    <row r="3053" ht="15.0" hidden="1" customHeight="1">
      <c r="A3053" s="59">
        <f t="shared" si="20"/>
        <v>48</v>
      </c>
      <c r="B3053" s="59" t="str">
        <f t="shared" si="21"/>
        <v/>
      </c>
      <c r="C3053" s="59" t="str">
        <f t="shared" si="22"/>
        <v/>
      </c>
      <c r="D3053" s="45" t="str">
        <f t="shared" si="23"/>
        <v/>
      </c>
      <c r="E3053" s="45" t="str">
        <f t="shared" si="24"/>
        <v/>
      </c>
      <c r="F3053" s="59" t="str">
        <f t="shared" si="25"/>
        <v/>
      </c>
      <c r="G3053" s="59" t="str">
        <f t="shared" si="26"/>
        <v/>
      </c>
      <c r="H3053" s="59" t="str">
        <f t="shared" si="27"/>
        <v>19H09482</v>
      </c>
      <c r="I3053" s="59" t="str">
        <f>IF(OR($A3053="",$C3053="",$D3053="",$E3053="",$H3053=""),"",SUMIFS(DATA_GOC!$H:$H,DATA_GOC!$A:$A,"BOM",DATA_GOC!$D:$D,$H3053,DATA_GOC!$E:$E,$C3053,DATA_GOC!$F:$F,"Xuất nội bộ từ téc",DATA_GOC!$B:$B,"&gt;="&amp;$D3053,DATA_GOC!$B:$B,"&lt;="&amp;$E3053))</f>
        <v/>
      </c>
      <c r="J3053" s="59">
        <f t="shared" si="28"/>
        <v>0</v>
      </c>
      <c r="K3053" s="59">
        <f t="shared" si="29"/>
        <v>0</v>
      </c>
      <c r="L3053" s="59">
        <f t="shared" si="30"/>
        <v>0</v>
      </c>
      <c r="M3053" s="59">
        <f t="shared" si="31"/>
        <v>0</v>
      </c>
    </row>
    <row r="3054" ht="15.0" hidden="1" customHeight="1">
      <c r="A3054" s="59">
        <f t="shared" si="20"/>
        <v>48</v>
      </c>
      <c r="B3054" s="59" t="str">
        <f t="shared" si="21"/>
        <v/>
      </c>
      <c r="C3054" s="59" t="str">
        <f t="shared" si="22"/>
        <v/>
      </c>
      <c r="D3054" s="45" t="str">
        <f t="shared" si="23"/>
        <v/>
      </c>
      <c r="E3054" s="45" t="str">
        <f t="shared" si="24"/>
        <v/>
      </c>
      <c r="F3054" s="59" t="str">
        <f t="shared" si="25"/>
        <v/>
      </c>
      <c r="G3054" s="59" t="str">
        <f t="shared" si="26"/>
        <v/>
      </c>
      <c r="H3054" s="59" t="str">
        <f t="shared" si="27"/>
        <v>28A30696</v>
      </c>
      <c r="I3054" s="59" t="str">
        <f>IF(OR($A3054="",$C3054="",$D3054="",$E3054="",$H3054=""),"",SUMIFS(DATA_GOC!$H:$H,DATA_GOC!$A:$A,"BOM",DATA_GOC!$D:$D,$H3054,DATA_GOC!$E:$E,$C3054,DATA_GOC!$F:$F,"Xuất nội bộ từ téc",DATA_GOC!$B:$B,"&gt;="&amp;$D3054,DATA_GOC!$B:$B,"&lt;="&amp;$E3054))</f>
        <v/>
      </c>
      <c r="J3054" s="59">
        <f t="shared" si="28"/>
        <v>0</v>
      </c>
      <c r="K3054" s="59">
        <f t="shared" si="29"/>
        <v>0</v>
      </c>
      <c r="L3054" s="59">
        <f t="shared" si="30"/>
        <v>0</v>
      </c>
      <c r="M3054" s="59">
        <f t="shared" si="31"/>
        <v>0</v>
      </c>
    </row>
    <row r="3055" ht="15.0" hidden="1" customHeight="1">
      <c r="A3055" s="59">
        <f t="shared" si="20"/>
        <v>48</v>
      </c>
      <c r="B3055" s="59" t="str">
        <f t="shared" si="21"/>
        <v/>
      </c>
      <c r="C3055" s="59" t="str">
        <f t="shared" si="22"/>
        <v/>
      </c>
      <c r="D3055" s="45" t="str">
        <f t="shared" si="23"/>
        <v/>
      </c>
      <c r="E3055" s="45" t="str">
        <f t="shared" si="24"/>
        <v/>
      </c>
      <c r="F3055" s="59" t="str">
        <f t="shared" si="25"/>
        <v/>
      </c>
      <c r="G3055" s="59" t="str">
        <f t="shared" si="26"/>
        <v/>
      </c>
      <c r="H3055" s="59" t="str">
        <f t="shared" si="27"/>
        <v>28C00462</v>
      </c>
      <c r="I3055" s="59" t="str">
        <f>IF(OR($A3055="",$C3055="",$D3055="",$E3055="",$H3055=""),"",SUMIFS(DATA_GOC!$H:$H,DATA_GOC!$A:$A,"BOM",DATA_GOC!$D:$D,$H3055,DATA_GOC!$E:$E,$C3055,DATA_GOC!$F:$F,"Xuất nội bộ từ téc",DATA_GOC!$B:$B,"&gt;="&amp;$D3055,DATA_GOC!$B:$B,"&lt;="&amp;$E3055))</f>
        <v/>
      </c>
      <c r="J3055" s="59">
        <f t="shared" si="28"/>
        <v>0</v>
      </c>
      <c r="K3055" s="59">
        <f t="shared" si="29"/>
        <v>0</v>
      </c>
      <c r="L3055" s="59">
        <f t="shared" si="30"/>
        <v>0</v>
      </c>
      <c r="M3055" s="59">
        <f t="shared" si="31"/>
        <v>0</v>
      </c>
    </row>
    <row r="3056" ht="15.0" hidden="1" customHeight="1">
      <c r="A3056" s="59">
        <f t="shared" si="20"/>
        <v>48</v>
      </c>
      <c r="B3056" s="59" t="str">
        <f t="shared" si="21"/>
        <v/>
      </c>
      <c r="C3056" s="59" t="str">
        <f t="shared" si="22"/>
        <v/>
      </c>
      <c r="D3056" s="45" t="str">
        <f t="shared" si="23"/>
        <v/>
      </c>
      <c r="E3056" s="45" t="str">
        <f t="shared" si="24"/>
        <v/>
      </c>
      <c r="F3056" s="59" t="str">
        <f t="shared" si="25"/>
        <v/>
      </c>
      <c r="G3056" s="59" t="str">
        <f t="shared" si="26"/>
        <v/>
      </c>
      <c r="H3056" s="59" t="str">
        <f t="shared" si="27"/>
        <v>28C01165</v>
      </c>
      <c r="I3056" s="59" t="str">
        <f>IF(OR($A3056="",$C3056="",$D3056="",$E3056="",$H3056=""),"",SUMIFS(DATA_GOC!$H:$H,DATA_GOC!$A:$A,"BOM",DATA_GOC!$D:$D,$H3056,DATA_GOC!$E:$E,$C3056,DATA_GOC!$F:$F,"Xuất nội bộ từ téc",DATA_GOC!$B:$B,"&gt;="&amp;$D3056,DATA_GOC!$B:$B,"&lt;="&amp;$E3056))</f>
        <v/>
      </c>
      <c r="J3056" s="59">
        <f t="shared" si="28"/>
        <v>0</v>
      </c>
      <c r="K3056" s="59">
        <f t="shared" si="29"/>
        <v>0</v>
      </c>
      <c r="L3056" s="59">
        <f t="shared" si="30"/>
        <v>0</v>
      </c>
      <c r="M3056" s="59">
        <f t="shared" si="31"/>
        <v>0</v>
      </c>
    </row>
    <row r="3057" ht="15.0" hidden="1" customHeight="1">
      <c r="A3057" s="59">
        <f t="shared" si="20"/>
        <v>48</v>
      </c>
      <c r="B3057" s="59" t="str">
        <f t="shared" si="21"/>
        <v/>
      </c>
      <c r="C3057" s="59" t="str">
        <f t="shared" si="22"/>
        <v/>
      </c>
      <c r="D3057" s="45" t="str">
        <f t="shared" si="23"/>
        <v/>
      </c>
      <c r="E3057" s="45" t="str">
        <f t="shared" si="24"/>
        <v/>
      </c>
      <c r="F3057" s="59" t="str">
        <f t="shared" si="25"/>
        <v/>
      </c>
      <c r="G3057" s="59" t="str">
        <f t="shared" si="26"/>
        <v/>
      </c>
      <c r="H3057" s="59" t="str">
        <f t="shared" si="27"/>
        <v>28C01406</v>
      </c>
      <c r="I3057" s="59" t="str">
        <f>IF(OR($A3057="",$C3057="",$D3057="",$E3057="",$H3057=""),"",SUMIFS(DATA_GOC!$H:$H,DATA_GOC!$A:$A,"BOM",DATA_GOC!$D:$D,$H3057,DATA_GOC!$E:$E,$C3057,DATA_GOC!$F:$F,"Xuất nội bộ từ téc",DATA_GOC!$B:$B,"&gt;="&amp;$D3057,DATA_GOC!$B:$B,"&lt;="&amp;$E3057))</f>
        <v/>
      </c>
      <c r="J3057" s="59">
        <f t="shared" si="28"/>
        <v>0</v>
      </c>
      <c r="K3057" s="59">
        <f t="shared" si="29"/>
        <v>0</v>
      </c>
      <c r="L3057" s="59">
        <f t="shared" si="30"/>
        <v>0</v>
      </c>
      <c r="M3057" s="59">
        <f t="shared" si="31"/>
        <v>0</v>
      </c>
    </row>
    <row r="3058" ht="15.0" hidden="1" customHeight="1">
      <c r="A3058" s="59">
        <f t="shared" si="20"/>
        <v>48</v>
      </c>
      <c r="B3058" s="59" t="str">
        <f t="shared" si="21"/>
        <v/>
      </c>
      <c r="C3058" s="59" t="str">
        <f t="shared" si="22"/>
        <v/>
      </c>
      <c r="D3058" s="45" t="str">
        <f t="shared" si="23"/>
        <v/>
      </c>
      <c r="E3058" s="45" t="str">
        <f t="shared" si="24"/>
        <v/>
      </c>
      <c r="F3058" s="59" t="str">
        <f t="shared" si="25"/>
        <v/>
      </c>
      <c r="G3058" s="59" t="str">
        <f t="shared" si="26"/>
        <v/>
      </c>
      <c r="H3058" s="59" t="str">
        <f t="shared" si="27"/>
        <v>28C01544</v>
      </c>
      <c r="I3058" s="59" t="str">
        <f>IF(OR($A3058="",$C3058="",$D3058="",$E3058="",$H3058=""),"",SUMIFS(DATA_GOC!$H:$H,DATA_GOC!$A:$A,"BOM",DATA_GOC!$D:$D,$H3058,DATA_GOC!$E:$E,$C3058,DATA_GOC!$F:$F,"Xuất nội bộ từ téc",DATA_GOC!$B:$B,"&gt;="&amp;$D3058,DATA_GOC!$B:$B,"&lt;="&amp;$E3058))</f>
        <v/>
      </c>
      <c r="J3058" s="59">
        <f t="shared" si="28"/>
        <v>0</v>
      </c>
      <c r="K3058" s="59">
        <f t="shared" si="29"/>
        <v>0</v>
      </c>
      <c r="L3058" s="59">
        <f t="shared" si="30"/>
        <v>0</v>
      </c>
      <c r="M3058" s="59">
        <f t="shared" si="31"/>
        <v>0</v>
      </c>
    </row>
    <row r="3059" ht="15.0" hidden="1" customHeight="1">
      <c r="A3059" s="59">
        <f t="shared" si="20"/>
        <v>48</v>
      </c>
      <c r="B3059" s="59" t="str">
        <f t="shared" si="21"/>
        <v/>
      </c>
      <c r="C3059" s="59" t="str">
        <f t="shared" si="22"/>
        <v/>
      </c>
      <c r="D3059" s="45" t="str">
        <f t="shared" si="23"/>
        <v/>
      </c>
      <c r="E3059" s="45" t="str">
        <f t="shared" si="24"/>
        <v/>
      </c>
      <c r="F3059" s="59" t="str">
        <f t="shared" si="25"/>
        <v/>
      </c>
      <c r="G3059" s="59" t="str">
        <f t="shared" si="26"/>
        <v/>
      </c>
      <c r="H3059" s="59" t="str">
        <f t="shared" si="27"/>
        <v>28C01622</v>
      </c>
      <c r="I3059" s="59" t="str">
        <f>IF(OR($A3059="",$C3059="",$D3059="",$E3059="",$H3059=""),"",SUMIFS(DATA_GOC!$H:$H,DATA_GOC!$A:$A,"BOM",DATA_GOC!$D:$D,$H3059,DATA_GOC!$E:$E,$C3059,DATA_GOC!$F:$F,"Xuất nội bộ từ téc",DATA_GOC!$B:$B,"&gt;="&amp;$D3059,DATA_GOC!$B:$B,"&lt;="&amp;$E3059))</f>
        <v/>
      </c>
      <c r="J3059" s="59">
        <f t="shared" si="28"/>
        <v>0</v>
      </c>
      <c r="K3059" s="59">
        <f t="shared" si="29"/>
        <v>0</v>
      </c>
      <c r="L3059" s="59">
        <f t="shared" si="30"/>
        <v>0</v>
      </c>
      <c r="M3059" s="59">
        <f t="shared" si="31"/>
        <v>0</v>
      </c>
    </row>
    <row r="3060" ht="15.0" hidden="1" customHeight="1">
      <c r="A3060" s="59">
        <f t="shared" si="20"/>
        <v>48</v>
      </c>
      <c r="B3060" s="59" t="str">
        <f t="shared" si="21"/>
        <v/>
      </c>
      <c r="C3060" s="59" t="str">
        <f t="shared" si="22"/>
        <v/>
      </c>
      <c r="D3060" s="45" t="str">
        <f t="shared" si="23"/>
        <v/>
      </c>
      <c r="E3060" s="45" t="str">
        <f t="shared" si="24"/>
        <v/>
      </c>
      <c r="F3060" s="59" t="str">
        <f t="shared" si="25"/>
        <v/>
      </c>
      <c r="G3060" s="59" t="str">
        <f t="shared" si="26"/>
        <v/>
      </c>
      <c r="H3060" s="59" t="str">
        <f t="shared" si="27"/>
        <v>28C01647</v>
      </c>
      <c r="I3060" s="59" t="str">
        <f>IF(OR($A3060="",$C3060="",$D3060="",$E3060="",$H3060=""),"",SUMIFS(DATA_GOC!$H:$H,DATA_GOC!$A:$A,"BOM",DATA_GOC!$D:$D,$H3060,DATA_GOC!$E:$E,$C3060,DATA_GOC!$F:$F,"Xuất nội bộ từ téc",DATA_GOC!$B:$B,"&gt;="&amp;$D3060,DATA_GOC!$B:$B,"&lt;="&amp;$E3060))</f>
        <v/>
      </c>
      <c r="J3060" s="59">
        <f t="shared" si="28"/>
        <v>0</v>
      </c>
      <c r="K3060" s="59">
        <f t="shared" si="29"/>
        <v>0</v>
      </c>
      <c r="L3060" s="59">
        <f t="shared" si="30"/>
        <v>0</v>
      </c>
      <c r="M3060" s="59">
        <f t="shared" si="31"/>
        <v>0</v>
      </c>
    </row>
    <row r="3061" ht="15.0" hidden="1" customHeight="1">
      <c r="A3061" s="59">
        <f t="shared" si="20"/>
        <v>48</v>
      </c>
      <c r="B3061" s="59" t="str">
        <f t="shared" si="21"/>
        <v/>
      </c>
      <c r="C3061" s="59" t="str">
        <f t="shared" si="22"/>
        <v/>
      </c>
      <c r="D3061" s="45" t="str">
        <f t="shared" si="23"/>
        <v/>
      </c>
      <c r="E3061" s="45" t="str">
        <f t="shared" si="24"/>
        <v/>
      </c>
      <c r="F3061" s="59" t="str">
        <f t="shared" si="25"/>
        <v/>
      </c>
      <c r="G3061" s="59" t="str">
        <f t="shared" si="26"/>
        <v/>
      </c>
      <c r="H3061" s="59" t="str">
        <f t="shared" si="27"/>
        <v>28C01731</v>
      </c>
      <c r="I3061" s="59" t="str">
        <f>IF(OR($A3061="",$C3061="",$D3061="",$E3061="",$H3061=""),"",SUMIFS(DATA_GOC!$H:$H,DATA_GOC!$A:$A,"BOM",DATA_GOC!$D:$D,$H3061,DATA_GOC!$E:$E,$C3061,DATA_GOC!$F:$F,"Xuất nội bộ từ téc",DATA_GOC!$B:$B,"&gt;="&amp;$D3061,DATA_GOC!$B:$B,"&lt;="&amp;$E3061))</f>
        <v/>
      </c>
      <c r="J3061" s="59">
        <f t="shared" si="28"/>
        <v>0</v>
      </c>
      <c r="K3061" s="59">
        <f t="shared" si="29"/>
        <v>0</v>
      </c>
      <c r="L3061" s="59">
        <f t="shared" si="30"/>
        <v>0</v>
      </c>
      <c r="M3061" s="59">
        <f t="shared" si="31"/>
        <v>0</v>
      </c>
    </row>
    <row r="3062" ht="15.0" hidden="1" customHeight="1">
      <c r="A3062" s="59">
        <f t="shared" si="20"/>
        <v>48</v>
      </c>
      <c r="B3062" s="59" t="str">
        <f t="shared" si="21"/>
        <v/>
      </c>
      <c r="C3062" s="59" t="str">
        <f t="shared" si="22"/>
        <v/>
      </c>
      <c r="D3062" s="45" t="str">
        <f t="shared" si="23"/>
        <v/>
      </c>
      <c r="E3062" s="45" t="str">
        <f t="shared" si="24"/>
        <v/>
      </c>
      <c r="F3062" s="59" t="str">
        <f t="shared" si="25"/>
        <v/>
      </c>
      <c r="G3062" s="59" t="str">
        <f t="shared" si="26"/>
        <v/>
      </c>
      <c r="H3062" s="59" t="str">
        <f t="shared" si="27"/>
        <v>28C01743</v>
      </c>
      <c r="I3062" s="59" t="str">
        <f>IF(OR($A3062="",$C3062="",$D3062="",$E3062="",$H3062=""),"",SUMIFS(DATA_GOC!$H:$H,DATA_GOC!$A:$A,"BOM",DATA_GOC!$D:$D,$H3062,DATA_GOC!$E:$E,$C3062,DATA_GOC!$F:$F,"Xuất nội bộ từ téc",DATA_GOC!$B:$B,"&gt;="&amp;$D3062,DATA_GOC!$B:$B,"&lt;="&amp;$E3062))</f>
        <v/>
      </c>
      <c r="J3062" s="59">
        <f t="shared" si="28"/>
        <v>0</v>
      </c>
      <c r="K3062" s="59">
        <f t="shared" si="29"/>
        <v>0</v>
      </c>
      <c r="L3062" s="59">
        <f t="shared" si="30"/>
        <v>0</v>
      </c>
      <c r="M3062" s="59">
        <f t="shared" si="31"/>
        <v>0</v>
      </c>
    </row>
    <row r="3063" ht="15.0" hidden="1" customHeight="1">
      <c r="A3063" s="59">
        <f t="shared" si="20"/>
        <v>48</v>
      </c>
      <c r="B3063" s="59" t="str">
        <f t="shared" si="21"/>
        <v/>
      </c>
      <c r="C3063" s="59" t="str">
        <f t="shared" si="22"/>
        <v/>
      </c>
      <c r="D3063" s="45" t="str">
        <f t="shared" si="23"/>
        <v/>
      </c>
      <c r="E3063" s="45" t="str">
        <f t="shared" si="24"/>
        <v/>
      </c>
      <c r="F3063" s="59" t="str">
        <f t="shared" si="25"/>
        <v/>
      </c>
      <c r="G3063" s="59" t="str">
        <f t="shared" si="26"/>
        <v/>
      </c>
      <c r="H3063" s="59" t="str">
        <f t="shared" si="27"/>
        <v>28C02106</v>
      </c>
      <c r="I3063" s="59" t="str">
        <f>IF(OR($A3063="",$C3063="",$D3063="",$E3063="",$H3063=""),"",SUMIFS(DATA_GOC!$H:$H,DATA_GOC!$A:$A,"BOM",DATA_GOC!$D:$D,$H3063,DATA_GOC!$E:$E,$C3063,DATA_GOC!$F:$F,"Xuất nội bộ từ téc",DATA_GOC!$B:$B,"&gt;="&amp;$D3063,DATA_GOC!$B:$B,"&lt;="&amp;$E3063))</f>
        <v/>
      </c>
      <c r="J3063" s="59">
        <f t="shared" si="28"/>
        <v>0</v>
      </c>
      <c r="K3063" s="59">
        <f t="shared" si="29"/>
        <v>0</v>
      </c>
      <c r="L3063" s="59">
        <f t="shared" si="30"/>
        <v>0</v>
      </c>
      <c r="M3063" s="59">
        <f t="shared" si="31"/>
        <v>0</v>
      </c>
    </row>
    <row r="3064" ht="15.0" hidden="1" customHeight="1">
      <c r="A3064" s="59">
        <f t="shared" si="20"/>
        <v>48</v>
      </c>
      <c r="B3064" s="59" t="str">
        <f t="shared" si="21"/>
        <v/>
      </c>
      <c r="C3064" s="59" t="str">
        <f t="shared" si="22"/>
        <v/>
      </c>
      <c r="D3064" s="45" t="str">
        <f t="shared" si="23"/>
        <v/>
      </c>
      <c r="E3064" s="45" t="str">
        <f t="shared" si="24"/>
        <v/>
      </c>
      <c r="F3064" s="59" t="str">
        <f t="shared" si="25"/>
        <v/>
      </c>
      <c r="G3064" s="59" t="str">
        <f t="shared" si="26"/>
        <v/>
      </c>
      <c r="H3064" s="59" t="str">
        <f t="shared" si="27"/>
        <v>28C02410</v>
      </c>
      <c r="I3064" s="59" t="str">
        <f>IF(OR($A3064="",$C3064="",$D3064="",$E3064="",$H3064=""),"",SUMIFS(DATA_GOC!$H:$H,DATA_GOC!$A:$A,"BOM",DATA_GOC!$D:$D,$H3064,DATA_GOC!$E:$E,$C3064,DATA_GOC!$F:$F,"Xuất nội bộ từ téc",DATA_GOC!$B:$B,"&gt;="&amp;$D3064,DATA_GOC!$B:$B,"&lt;="&amp;$E3064))</f>
        <v/>
      </c>
      <c r="J3064" s="59">
        <f t="shared" si="28"/>
        <v>0</v>
      </c>
      <c r="K3064" s="59">
        <f t="shared" si="29"/>
        <v>0</v>
      </c>
      <c r="L3064" s="59">
        <f t="shared" si="30"/>
        <v>0</v>
      </c>
      <c r="M3064" s="59">
        <f t="shared" si="31"/>
        <v>0</v>
      </c>
    </row>
    <row r="3065" ht="15.0" hidden="1" customHeight="1">
      <c r="A3065" s="59">
        <f t="shared" si="20"/>
        <v>48</v>
      </c>
      <c r="B3065" s="59" t="str">
        <f t="shared" si="21"/>
        <v/>
      </c>
      <c r="C3065" s="59" t="str">
        <f t="shared" si="22"/>
        <v/>
      </c>
      <c r="D3065" s="45" t="str">
        <f t="shared" si="23"/>
        <v/>
      </c>
      <c r="E3065" s="45" t="str">
        <f t="shared" si="24"/>
        <v/>
      </c>
      <c r="F3065" s="59" t="str">
        <f t="shared" si="25"/>
        <v/>
      </c>
      <c r="G3065" s="59" t="str">
        <f t="shared" si="26"/>
        <v/>
      </c>
      <c r="H3065" s="59" t="str">
        <f t="shared" si="27"/>
        <v>28C02545</v>
      </c>
      <c r="I3065" s="59" t="str">
        <f>IF(OR($A3065="",$C3065="",$D3065="",$E3065="",$H3065=""),"",SUMIFS(DATA_GOC!$H:$H,DATA_GOC!$A:$A,"BOM",DATA_GOC!$D:$D,$H3065,DATA_GOC!$E:$E,$C3065,DATA_GOC!$F:$F,"Xuất nội bộ từ téc",DATA_GOC!$B:$B,"&gt;="&amp;$D3065,DATA_GOC!$B:$B,"&lt;="&amp;$E3065))</f>
        <v/>
      </c>
      <c r="J3065" s="59">
        <f t="shared" si="28"/>
        <v>0</v>
      </c>
      <c r="K3065" s="59">
        <f t="shared" si="29"/>
        <v>0</v>
      </c>
      <c r="L3065" s="59">
        <f t="shared" si="30"/>
        <v>0</v>
      </c>
      <c r="M3065" s="59">
        <f t="shared" si="31"/>
        <v>0</v>
      </c>
    </row>
    <row r="3066" ht="15.0" hidden="1" customHeight="1">
      <c r="A3066" s="59">
        <f t="shared" si="20"/>
        <v>48</v>
      </c>
      <c r="B3066" s="59" t="str">
        <f t="shared" si="21"/>
        <v/>
      </c>
      <c r="C3066" s="59" t="str">
        <f t="shared" si="22"/>
        <v/>
      </c>
      <c r="D3066" s="45" t="str">
        <f t="shared" si="23"/>
        <v/>
      </c>
      <c r="E3066" s="45" t="str">
        <f t="shared" si="24"/>
        <v/>
      </c>
      <c r="F3066" s="59" t="str">
        <f t="shared" si="25"/>
        <v/>
      </c>
      <c r="G3066" s="59" t="str">
        <f t="shared" si="26"/>
        <v/>
      </c>
      <c r="H3066" s="59" t="str">
        <f t="shared" si="27"/>
        <v>28C02574</v>
      </c>
      <c r="I3066" s="59" t="str">
        <f>IF(OR($A3066="",$C3066="",$D3066="",$E3066="",$H3066=""),"",SUMIFS(DATA_GOC!$H:$H,DATA_GOC!$A:$A,"BOM",DATA_GOC!$D:$D,$H3066,DATA_GOC!$E:$E,$C3066,DATA_GOC!$F:$F,"Xuất nội bộ từ téc",DATA_GOC!$B:$B,"&gt;="&amp;$D3066,DATA_GOC!$B:$B,"&lt;="&amp;$E3066))</f>
        <v/>
      </c>
      <c r="J3066" s="59">
        <f t="shared" si="28"/>
        <v>0</v>
      </c>
      <c r="K3066" s="59">
        <f t="shared" si="29"/>
        <v>0</v>
      </c>
      <c r="L3066" s="59">
        <f t="shared" si="30"/>
        <v>0</v>
      </c>
      <c r="M3066" s="59">
        <f t="shared" si="31"/>
        <v>0</v>
      </c>
    </row>
    <row r="3067" ht="15.0" hidden="1" customHeight="1">
      <c r="A3067" s="59">
        <f t="shared" si="20"/>
        <v>48</v>
      </c>
      <c r="B3067" s="59" t="str">
        <f t="shared" si="21"/>
        <v/>
      </c>
      <c r="C3067" s="59" t="str">
        <f t="shared" si="22"/>
        <v/>
      </c>
      <c r="D3067" s="45" t="str">
        <f t="shared" si="23"/>
        <v/>
      </c>
      <c r="E3067" s="45" t="str">
        <f t="shared" si="24"/>
        <v/>
      </c>
      <c r="F3067" s="59" t="str">
        <f t="shared" si="25"/>
        <v/>
      </c>
      <c r="G3067" s="59" t="str">
        <f t="shared" si="26"/>
        <v/>
      </c>
      <c r="H3067" s="59" t="str">
        <f t="shared" si="27"/>
        <v>28C02770</v>
      </c>
      <c r="I3067" s="59" t="str">
        <f>IF(OR($A3067="",$C3067="",$D3067="",$E3067="",$H3067=""),"",SUMIFS(DATA_GOC!$H:$H,DATA_GOC!$A:$A,"BOM",DATA_GOC!$D:$D,$H3067,DATA_GOC!$E:$E,$C3067,DATA_GOC!$F:$F,"Xuất nội bộ từ téc",DATA_GOC!$B:$B,"&gt;="&amp;$D3067,DATA_GOC!$B:$B,"&lt;="&amp;$E3067))</f>
        <v/>
      </c>
      <c r="J3067" s="59">
        <f t="shared" si="28"/>
        <v>0</v>
      </c>
      <c r="K3067" s="59">
        <f t="shared" si="29"/>
        <v>0</v>
      </c>
      <c r="L3067" s="59">
        <f t="shared" si="30"/>
        <v>0</v>
      </c>
      <c r="M3067" s="59">
        <f t="shared" si="31"/>
        <v>0</v>
      </c>
    </row>
    <row r="3068" ht="15.0" hidden="1" customHeight="1">
      <c r="A3068" s="59">
        <f t="shared" si="20"/>
        <v>48</v>
      </c>
      <c r="B3068" s="59" t="str">
        <f t="shared" si="21"/>
        <v/>
      </c>
      <c r="C3068" s="59" t="str">
        <f t="shared" si="22"/>
        <v/>
      </c>
      <c r="D3068" s="45" t="str">
        <f t="shared" si="23"/>
        <v/>
      </c>
      <c r="E3068" s="45" t="str">
        <f t="shared" si="24"/>
        <v/>
      </c>
      <c r="F3068" s="59" t="str">
        <f t="shared" si="25"/>
        <v/>
      </c>
      <c r="G3068" s="59" t="str">
        <f t="shared" si="26"/>
        <v/>
      </c>
      <c r="H3068" s="59" t="str">
        <f t="shared" si="27"/>
        <v>28C02986</v>
      </c>
      <c r="I3068" s="59" t="str">
        <f>IF(OR($A3068="",$C3068="",$D3068="",$E3068="",$H3068=""),"",SUMIFS(DATA_GOC!$H:$H,DATA_GOC!$A:$A,"BOM",DATA_GOC!$D:$D,$H3068,DATA_GOC!$E:$E,$C3068,DATA_GOC!$F:$F,"Xuất nội bộ từ téc",DATA_GOC!$B:$B,"&gt;="&amp;$D3068,DATA_GOC!$B:$B,"&lt;="&amp;$E3068))</f>
        <v/>
      </c>
      <c r="J3068" s="59">
        <f t="shared" si="28"/>
        <v>0</v>
      </c>
      <c r="K3068" s="59">
        <f t="shared" si="29"/>
        <v>0</v>
      </c>
      <c r="L3068" s="59">
        <f t="shared" si="30"/>
        <v>0</v>
      </c>
      <c r="M3068" s="59">
        <f t="shared" si="31"/>
        <v>0</v>
      </c>
    </row>
    <row r="3069" ht="15.0" hidden="1" customHeight="1">
      <c r="A3069" s="59">
        <f t="shared" si="20"/>
        <v>48</v>
      </c>
      <c r="B3069" s="59" t="str">
        <f t="shared" si="21"/>
        <v/>
      </c>
      <c r="C3069" s="59" t="str">
        <f t="shared" si="22"/>
        <v/>
      </c>
      <c r="D3069" s="45" t="str">
        <f t="shared" si="23"/>
        <v/>
      </c>
      <c r="E3069" s="45" t="str">
        <f t="shared" si="24"/>
        <v/>
      </c>
      <c r="F3069" s="59" t="str">
        <f t="shared" si="25"/>
        <v/>
      </c>
      <c r="G3069" s="59" t="str">
        <f t="shared" si="26"/>
        <v/>
      </c>
      <c r="H3069" s="59" t="str">
        <f t="shared" si="27"/>
        <v>28C03261</v>
      </c>
      <c r="I3069" s="59" t="str">
        <f>IF(OR($A3069="",$C3069="",$D3069="",$E3069="",$H3069=""),"",SUMIFS(DATA_GOC!$H:$H,DATA_GOC!$A:$A,"BOM",DATA_GOC!$D:$D,$H3069,DATA_GOC!$E:$E,$C3069,DATA_GOC!$F:$F,"Xuất nội bộ từ téc",DATA_GOC!$B:$B,"&gt;="&amp;$D3069,DATA_GOC!$B:$B,"&lt;="&amp;$E3069))</f>
        <v/>
      </c>
      <c r="J3069" s="59">
        <f t="shared" si="28"/>
        <v>0</v>
      </c>
      <c r="K3069" s="59">
        <f t="shared" si="29"/>
        <v>0</v>
      </c>
      <c r="L3069" s="59">
        <f t="shared" si="30"/>
        <v>0</v>
      </c>
      <c r="M3069" s="59">
        <f t="shared" si="31"/>
        <v>0</v>
      </c>
    </row>
    <row r="3070" ht="15.0" hidden="1" customHeight="1">
      <c r="A3070" s="59">
        <f t="shared" si="20"/>
        <v>48</v>
      </c>
      <c r="B3070" s="59" t="str">
        <f t="shared" si="21"/>
        <v/>
      </c>
      <c r="C3070" s="59" t="str">
        <f t="shared" si="22"/>
        <v/>
      </c>
      <c r="D3070" s="45" t="str">
        <f t="shared" si="23"/>
        <v/>
      </c>
      <c r="E3070" s="45" t="str">
        <f t="shared" si="24"/>
        <v/>
      </c>
      <c r="F3070" s="59" t="str">
        <f t="shared" si="25"/>
        <v/>
      </c>
      <c r="G3070" s="59" t="str">
        <f t="shared" si="26"/>
        <v/>
      </c>
      <c r="H3070" s="59" t="str">
        <f t="shared" si="27"/>
        <v>28C03323</v>
      </c>
      <c r="I3070" s="59" t="str">
        <f>IF(OR($A3070="",$C3070="",$D3070="",$E3070="",$H3070=""),"",SUMIFS(DATA_GOC!$H:$H,DATA_GOC!$A:$A,"BOM",DATA_GOC!$D:$D,$H3070,DATA_GOC!$E:$E,$C3070,DATA_GOC!$F:$F,"Xuất nội bộ từ téc",DATA_GOC!$B:$B,"&gt;="&amp;$D3070,DATA_GOC!$B:$B,"&lt;="&amp;$E3070))</f>
        <v/>
      </c>
      <c r="J3070" s="59">
        <f t="shared" si="28"/>
        <v>0</v>
      </c>
      <c r="K3070" s="59">
        <f t="shared" si="29"/>
        <v>0</v>
      </c>
      <c r="L3070" s="59">
        <f t="shared" si="30"/>
        <v>0</v>
      </c>
      <c r="M3070" s="59">
        <f t="shared" si="31"/>
        <v>0</v>
      </c>
    </row>
    <row r="3071" ht="15.0" hidden="1" customHeight="1">
      <c r="A3071" s="59">
        <f t="shared" si="20"/>
        <v>48</v>
      </c>
      <c r="B3071" s="59" t="str">
        <f t="shared" si="21"/>
        <v/>
      </c>
      <c r="C3071" s="59" t="str">
        <f t="shared" si="22"/>
        <v/>
      </c>
      <c r="D3071" s="45" t="str">
        <f t="shared" si="23"/>
        <v/>
      </c>
      <c r="E3071" s="45" t="str">
        <f t="shared" si="24"/>
        <v/>
      </c>
      <c r="F3071" s="59" t="str">
        <f t="shared" si="25"/>
        <v/>
      </c>
      <c r="G3071" s="59" t="str">
        <f t="shared" si="26"/>
        <v/>
      </c>
      <c r="H3071" s="59" t="str">
        <f t="shared" si="27"/>
        <v>28C03385</v>
      </c>
      <c r="I3071" s="59" t="str">
        <f>IF(OR($A3071="",$C3071="",$D3071="",$E3071="",$H3071=""),"",SUMIFS(DATA_GOC!$H:$H,DATA_GOC!$A:$A,"BOM",DATA_GOC!$D:$D,$H3071,DATA_GOC!$E:$E,$C3071,DATA_GOC!$F:$F,"Xuất nội bộ từ téc",DATA_GOC!$B:$B,"&gt;="&amp;$D3071,DATA_GOC!$B:$B,"&lt;="&amp;$E3071))</f>
        <v/>
      </c>
      <c r="J3071" s="59">
        <f t="shared" si="28"/>
        <v>0</v>
      </c>
      <c r="K3071" s="59">
        <f t="shared" si="29"/>
        <v>0</v>
      </c>
      <c r="L3071" s="59">
        <f t="shared" si="30"/>
        <v>0</v>
      </c>
      <c r="M3071" s="59">
        <f t="shared" si="31"/>
        <v>0</v>
      </c>
    </row>
    <row r="3072" ht="15.0" hidden="1" customHeight="1">
      <c r="A3072" s="59">
        <f t="shared" si="20"/>
        <v>48</v>
      </c>
      <c r="B3072" s="59" t="str">
        <f t="shared" si="21"/>
        <v/>
      </c>
      <c r="C3072" s="59" t="str">
        <f t="shared" si="22"/>
        <v/>
      </c>
      <c r="D3072" s="45" t="str">
        <f t="shared" si="23"/>
        <v/>
      </c>
      <c r="E3072" s="45" t="str">
        <f t="shared" si="24"/>
        <v/>
      </c>
      <c r="F3072" s="59" t="str">
        <f t="shared" si="25"/>
        <v/>
      </c>
      <c r="G3072" s="59" t="str">
        <f t="shared" si="26"/>
        <v/>
      </c>
      <c r="H3072" s="59" t="str">
        <f t="shared" si="27"/>
        <v>28C03652</v>
      </c>
      <c r="I3072" s="59" t="str">
        <f>IF(OR($A3072="",$C3072="",$D3072="",$E3072="",$H3072=""),"",SUMIFS(DATA_GOC!$H:$H,DATA_GOC!$A:$A,"BOM",DATA_GOC!$D:$D,$H3072,DATA_GOC!$E:$E,$C3072,DATA_GOC!$F:$F,"Xuất nội bộ từ téc",DATA_GOC!$B:$B,"&gt;="&amp;$D3072,DATA_GOC!$B:$B,"&lt;="&amp;$E3072))</f>
        <v/>
      </c>
      <c r="J3072" s="59">
        <f t="shared" si="28"/>
        <v>0</v>
      </c>
      <c r="K3072" s="59">
        <f t="shared" si="29"/>
        <v>0</v>
      </c>
      <c r="L3072" s="59">
        <f t="shared" si="30"/>
        <v>0</v>
      </c>
      <c r="M3072" s="59">
        <f t="shared" si="31"/>
        <v>0</v>
      </c>
    </row>
    <row r="3073" ht="15.0" hidden="1" customHeight="1">
      <c r="A3073" s="59">
        <f t="shared" si="20"/>
        <v>48</v>
      </c>
      <c r="B3073" s="59" t="str">
        <f t="shared" si="21"/>
        <v/>
      </c>
      <c r="C3073" s="59" t="str">
        <f t="shared" si="22"/>
        <v/>
      </c>
      <c r="D3073" s="45" t="str">
        <f t="shared" si="23"/>
        <v/>
      </c>
      <c r="E3073" s="45" t="str">
        <f t="shared" si="24"/>
        <v/>
      </c>
      <c r="F3073" s="59" t="str">
        <f t="shared" si="25"/>
        <v/>
      </c>
      <c r="G3073" s="59" t="str">
        <f t="shared" si="26"/>
        <v/>
      </c>
      <c r="H3073" s="59" t="str">
        <f t="shared" si="27"/>
        <v>28C03695</v>
      </c>
      <c r="I3073" s="59" t="str">
        <f>IF(OR($A3073="",$C3073="",$D3073="",$E3073="",$H3073=""),"",SUMIFS(DATA_GOC!$H:$H,DATA_GOC!$A:$A,"BOM",DATA_GOC!$D:$D,$H3073,DATA_GOC!$E:$E,$C3073,DATA_GOC!$F:$F,"Xuất nội bộ từ téc",DATA_GOC!$B:$B,"&gt;="&amp;$D3073,DATA_GOC!$B:$B,"&lt;="&amp;$E3073))</f>
        <v/>
      </c>
      <c r="J3073" s="59">
        <f t="shared" si="28"/>
        <v>0</v>
      </c>
      <c r="K3073" s="59">
        <f t="shared" si="29"/>
        <v>0</v>
      </c>
      <c r="L3073" s="59">
        <f t="shared" si="30"/>
        <v>0</v>
      </c>
      <c r="M3073" s="59">
        <f t="shared" si="31"/>
        <v>0</v>
      </c>
    </row>
    <row r="3074" ht="15.0" hidden="1" customHeight="1">
      <c r="A3074" s="59">
        <f t="shared" si="20"/>
        <v>48</v>
      </c>
      <c r="B3074" s="59" t="str">
        <f t="shared" si="21"/>
        <v/>
      </c>
      <c r="C3074" s="59" t="str">
        <f t="shared" si="22"/>
        <v/>
      </c>
      <c r="D3074" s="45" t="str">
        <f t="shared" si="23"/>
        <v/>
      </c>
      <c r="E3074" s="45" t="str">
        <f t="shared" si="24"/>
        <v/>
      </c>
      <c r="F3074" s="59" t="str">
        <f t="shared" si="25"/>
        <v/>
      </c>
      <c r="G3074" s="59" t="str">
        <f t="shared" si="26"/>
        <v/>
      </c>
      <c r="H3074" s="59" t="str">
        <f t="shared" si="27"/>
        <v>28C03927</v>
      </c>
      <c r="I3074" s="59" t="str">
        <f>IF(OR($A3074="",$C3074="",$D3074="",$E3074="",$H3074=""),"",SUMIFS(DATA_GOC!$H:$H,DATA_GOC!$A:$A,"BOM",DATA_GOC!$D:$D,$H3074,DATA_GOC!$E:$E,$C3074,DATA_GOC!$F:$F,"Xuất nội bộ từ téc",DATA_GOC!$B:$B,"&gt;="&amp;$D3074,DATA_GOC!$B:$B,"&lt;="&amp;$E3074))</f>
        <v/>
      </c>
      <c r="J3074" s="59">
        <f t="shared" si="28"/>
        <v>0</v>
      </c>
      <c r="K3074" s="59">
        <f t="shared" si="29"/>
        <v>0</v>
      </c>
      <c r="L3074" s="59">
        <f t="shared" si="30"/>
        <v>0</v>
      </c>
      <c r="M3074" s="59">
        <f t="shared" si="31"/>
        <v>0</v>
      </c>
    </row>
    <row r="3075" ht="15.0" hidden="1" customHeight="1">
      <c r="A3075" s="59">
        <f t="shared" si="20"/>
        <v>48</v>
      </c>
      <c r="B3075" s="59" t="str">
        <f t="shared" si="21"/>
        <v/>
      </c>
      <c r="C3075" s="59" t="str">
        <f t="shared" si="22"/>
        <v/>
      </c>
      <c r="D3075" s="45" t="str">
        <f t="shared" si="23"/>
        <v/>
      </c>
      <c r="E3075" s="45" t="str">
        <f t="shared" si="24"/>
        <v/>
      </c>
      <c r="F3075" s="59" t="str">
        <f t="shared" si="25"/>
        <v/>
      </c>
      <c r="G3075" s="59" t="str">
        <f t="shared" si="26"/>
        <v/>
      </c>
      <c r="H3075" s="59" t="str">
        <f t="shared" si="27"/>
        <v>28C04509</v>
      </c>
      <c r="I3075" s="59" t="str">
        <f>IF(OR($A3075="",$C3075="",$D3075="",$E3075="",$H3075=""),"",SUMIFS(DATA_GOC!$H:$H,DATA_GOC!$A:$A,"BOM",DATA_GOC!$D:$D,$H3075,DATA_GOC!$E:$E,$C3075,DATA_GOC!$F:$F,"Xuất nội bộ từ téc",DATA_GOC!$B:$B,"&gt;="&amp;$D3075,DATA_GOC!$B:$B,"&lt;="&amp;$E3075))</f>
        <v/>
      </c>
      <c r="J3075" s="59">
        <f t="shared" si="28"/>
        <v>0</v>
      </c>
      <c r="K3075" s="59">
        <f t="shared" si="29"/>
        <v>0</v>
      </c>
      <c r="L3075" s="59">
        <f t="shared" si="30"/>
        <v>0</v>
      </c>
      <c r="M3075" s="59">
        <f t="shared" si="31"/>
        <v>0</v>
      </c>
    </row>
    <row r="3076" ht="15.0" hidden="1" customHeight="1">
      <c r="A3076" s="59">
        <f t="shared" si="20"/>
        <v>48</v>
      </c>
      <c r="B3076" s="59" t="str">
        <f t="shared" si="21"/>
        <v/>
      </c>
      <c r="C3076" s="59" t="str">
        <f t="shared" si="22"/>
        <v/>
      </c>
      <c r="D3076" s="45" t="str">
        <f t="shared" si="23"/>
        <v/>
      </c>
      <c r="E3076" s="45" t="str">
        <f t="shared" si="24"/>
        <v/>
      </c>
      <c r="F3076" s="59" t="str">
        <f t="shared" si="25"/>
        <v/>
      </c>
      <c r="G3076" s="59" t="str">
        <f t="shared" si="26"/>
        <v/>
      </c>
      <c r="H3076" s="59" t="str">
        <f t="shared" si="27"/>
        <v>28C04536</v>
      </c>
      <c r="I3076" s="59" t="str">
        <f>IF(OR($A3076="",$C3076="",$D3076="",$E3076="",$H3076=""),"",SUMIFS(DATA_GOC!$H:$H,DATA_GOC!$A:$A,"BOM",DATA_GOC!$D:$D,$H3076,DATA_GOC!$E:$E,$C3076,DATA_GOC!$F:$F,"Xuất nội bộ từ téc",DATA_GOC!$B:$B,"&gt;="&amp;$D3076,DATA_GOC!$B:$B,"&lt;="&amp;$E3076))</f>
        <v/>
      </c>
      <c r="J3076" s="59">
        <f t="shared" si="28"/>
        <v>0</v>
      </c>
      <c r="K3076" s="59">
        <f t="shared" si="29"/>
        <v>0</v>
      </c>
      <c r="L3076" s="59">
        <f t="shared" si="30"/>
        <v>0</v>
      </c>
      <c r="M3076" s="59">
        <f t="shared" si="31"/>
        <v>0</v>
      </c>
    </row>
    <row r="3077" ht="15.0" hidden="1" customHeight="1">
      <c r="A3077" s="59">
        <f t="shared" si="20"/>
        <v>48</v>
      </c>
      <c r="B3077" s="59" t="str">
        <f t="shared" si="21"/>
        <v/>
      </c>
      <c r="C3077" s="59" t="str">
        <f t="shared" si="22"/>
        <v/>
      </c>
      <c r="D3077" s="45" t="str">
        <f t="shared" si="23"/>
        <v/>
      </c>
      <c r="E3077" s="45" t="str">
        <f t="shared" si="24"/>
        <v/>
      </c>
      <c r="F3077" s="59" t="str">
        <f t="shared" si="25"/>
        <v/>
      </c>
      <c r="G3077" s="59" t="str">
        <f t="shared" si="26"/>
        <v/>
      </c>
      <c r="H3077" s="59" t="str">
        <f t="shared" si="27"/>
        <v>28C04576</v>
      </c>
      <c r="I3077" s="59" t="str">
        <f>IF(OR($A3077="",$C3077="",$D3077="",$E3077="",$H3077=""),"",SUMIFS(DATA_GOC!$H:$H,DATA_GOC!$A:$A,"BOM",DATA_GOC!$D:$D,$H3077,DATA_GOC!$E:$E,$C3077,DATA_GOC!$F:$F,"Xuất nội bộ từ téc",DATA_GOC!$B:$B,"&gt;="&amp;$D3077,DATA_GOC!$B:$B,"&lt;="&amp;$E3077))</f>
        <v/>
      </c>
      <c r="J3077" s="59">
        <f t="shared" si="28"/>
        <v>0</v>
      </c>
      <c r="K3077" s="59">
        <f t="shared" si="29"/>
        <v>0</v>
      </c>
      <c r="L3077" s="59">
        <f t="shared" si="30"/>
        <v>0</v>
      </c>
      <c r="M3077" s="59">
        <f t="shared" si="31"/>
        <v>0</v>
      </c>
    </row>
    <row r="3078" ht="15.0" hidden="1" customHeight="1">
      <c r="A3078" s="59">
        <f t="shared" si="20"/>
        <v>48</v>
      </c>
      <c r="B3078" s="59" t="str">
        <f t="shared" si="21"/>
        <v/>
      </c>
      <c r="C3078" s="59" t="str">
        <f t="shared" si="22"/>
        <v/>
      </c>
      <c r="D3078" s="45" t="str">
        <f t="shared" si="23"/>
        <v/>
      </c>
      <c r="E3078" s="45" t="str">
        <f t="shared" si="24"/>
        <v/>
      </c>
      <c r="F3078" s="59" t="str">
        <f t="shared" si="25"/>
        <v/>
      </c>
      <c r="G3078" s="59" t="str">
        <f t="shared" si="26"/>
        <v/>
      </c>
      <c r="H3078" s="59" t="str">
        <f t="shared" si="27"/>
        <v>28C05090</v>
      </c>
      <c r="I3078" s="59" t="str">
        <f>IF(OR($A3078="",$C3078="",$D3078="",$E3078="",$H3078=""),"",SUMIFS(DATA_GOC!$H:$H,DATA_GOC!$A:$A,"BOM",DATA_GOC!$D:$D,$H3078,DATA_GOC!$E:$E,$C3078,DATA_GOC!$F:$F,"Xuất nội bộ từ téc",DATA_GOC!$B:$B,"&gt;="&amp;$D3078,DATA_GOC!$B:$B,"&lt;="&amp;$E3078))</f>
        <v/>
      </c>
      <c r="J3078" s="59">
        <f t="shared" si="28"/>
        <v>0</v>
      </c>
      <c r="K3078" s="59">
        <f t="shared" si="29"/>
        <v>0</v>
      </c>
      <c r="L3078" s="59">
        <f t="shared" si="30"/>
        <v>0</v>
      </c>
      <c r="M3078" s="59">
        <f t="shared" si="31"/>
        <v>0</v>
      </c>
    </row>
    <row r="3079" ht="15.0" hidden="1" customHeight="1">
      <c r="A3079" s="59">
        <f t="shared" si="20"/>
        <v>48</v>
      </c>
      <c r="B3079" s="59" t="str">
        <f t="shared" si="21"/>
        <v/>
      </c>
      <c r="C3079" s="59" t="str">
        <f t="shared" si="22"/>
        <v/>
      </c>
      <c r="D3079" s="45" t="str">
        <f t="shared" si="23"/>
        <v/>
      </c>
      <c r="E3079" s="45" t="str">
        <f t="shared" si="24"/>
        <v/>
      </c>
      <c r="F3079" s="59" t="str">
        <f t="shared" si="25"/>
        <v/>
      </c>
      <c r="G3079" s="59" t="str">
        <f t="shared" si="26"/>
        <v/>
      </c>
      <c r="H3079" s="59" t="str">
        <f t="shared" si="27"/>
        <v>28C05345</v>
      </c>
      <c r="I3079" s="59" t="str">
        <f>IF(OR($A3079="",$C3079="",$D3079="",$E3079="",$H3079=""),"",SUMIFS(DATA_GOC!$H:$H,DATA_GOC!$A:$A,"BOM",DATA_GOC!$D:$D,$H3079,DATA_GOC!$E:$E,$C3079,DATA_GOC!$F:$F,"Xuất nội bộ từ téc",DATA_GOC!$B:$B,"&gt;="&amp;$D3079,DATA_GOC!$B:$B,"&lt;="&amp;$E3079))</f>
        <v/>
      </c>
      <c r="J3079" s="59">
        <f t="shared" si="28"/>
        <v>0</v>
      </c>
      <c r="K3079" s="59">
        <f t="shared" si="29"/>
        <v>0</v>
      </c>
      <c r="L3079" s="59">
        <f t="shared" si="30"/>
        <v>0</v>
      </c>
      <c r="M3079" s="59">
        <f t="shared" si="31"/>
        <v>0</v>
      </c>
    </row>
    <row r="3080" ht="15.0" hidden="1" customHeight="1">
      <c r="A3080" s="59">
        <f t="shared" si="20"/>
        <v>48</v>
      </c>
      <c r="B3080" s="59" t="str">
        <f t="shared" si="21"/>
        <v/>
      </c>
      <c r="C3080" s="59" t="str">
        <f t="shared" si="22"/>
        <v/>
      </c>
      <c r="D3080" s="45" t="str">
        <f t="shared" si="23"/>
        <v/>
      </c>
      <c r="E3080" s="45" t="str">
        <f t="shared" si="24"/>
        <v/>
      </c>
      <c r="F3080" s="59" t="str">
        <f t="shared" si="25"/>
        <v/>
      </c>
      <c r="G3080" s="59" t="str">
        <f t="shared" si="26"/>
        <v/>
      </c>
      <c r="H3080" s="59" t="str">
        <f t="shared" si="27"/>
        <v>28C05661</v>
      </c>
      <c r="I3080" s="59" t="str">
        <f>IF(OR($A3080="",$C3080="",$D3080="",$E3080="",$H3080=""),"",SUMIFS(DATA_GOC!$H:$H,DATA_GOC!$A:$A,"BOM",DATA_GOC!$D:$D,$H3080,DATA_GOC!$E:$E,$C3080,DATA_GOC!$F:$F,"Xuất nội bộ từ téc",DATA_GOC!$B:$B,"&gt;="&amp;$D3080,DATA_GOC!$B:$B,"&lt;="&amp;$E3080))</f>
        <v/>
      </c>
      <c r="J3080" s="59">
        <f t="shared" si="28"/>
        <v>0</v>
      </c>
      <c r="K3080" s="59">
        <f t="shared" si="29"/>
        <v>0</v>
      </c>
      <c r="L3080" s="59">
        <f t="shared" si="30"/>
        <v>0</v>
      </c>
      <c r="M3080" s="59">
        <f t="shared" si="31"/>
        <v>0</v>
      </c>
    </row>
    <row r="3081" ht="15.0" hidden="1" customHeight="1">
      <c r="A3081" s="59">
        <f t="shared" si="20"/>
        <v>48</v>
      </c>
      <c r="B3081" s="59" t="str">
        <f t="shared" si="21"/>
        <v/>
      </c>
      <c r="C3081" s="59" t="str">
        <f t="shared" si="22"/>
        <v/>
      </c>
      <c r="D3081" s="45" t="str">
        <f t="shared" si="23"/>
        <v/>
      </c>
      <c r="E3081" s="45" t="str">
        <f t="shared" si="24"/>
        <v/>
      </c>
      <c r="F3081" s="59" t="str">
        <f t="shared" si="25"/>
        <v/>
      </c>
      <c r="G3081" s="59" t="str">
        <f t="shared" si="26"/>
        <v/>
      </c>
      <c r="H3081" s="59" t="str">
        <f t="shared" si="27"/>
        <v>28C05739</v>
      </c>
      <c r="I3081" s="59" t="str">
        <f>IF(OR($A3081="",$C3081="",$D3081="",$E3081="",$H3081=""),"",SUMIFS(DATA_GOC!$H:$H,DATA_GOC!$A:$A,"BOM",DATA_GOC!$D:$D,$H3081,DATA_GOC!$E:$E,$C3081,DATA_GOC!$F:$F,"Xuất nội bộ từ téc",DATA_GOC!$B:$B,"&gt;="&amp;$D3081,DATA_GOC!$B:$B,"&lt;="&amp;$E3081))</f>
        <v/>
      </c>
      <c r="J3081" s="59">
        <f t="shared" si="28"/>
        <v>0</v>
      </c>
      <c r="K3081" s="59">
        <f t="shared" si="29"/>
        <v>0</v>
      </c>
      <c r="L3081" s="59">
        <f t="shared" si="30"/>
        <v>0</v>
      </c>
      <c r="M3081" s="59">
        <f t="shared" si="31"/>
        <v>0</v>
      </c>
    </row>
    <row r="3082" ht="15.0" hidden="1" customHeight="1">
      <c r="A3082" s="59">
        <f t="shared" si="20"/>
        <v>48</v>
      </c>
      <c r="B3082" s="59" t="str">
        <f t="shared" si="21"/>
        <v/>
      </c>
      <c r="C3082" s="59" t="str">
        <f t="shared" si="22"/>
        <v/>
      </c>
      <c r="D3082" s="45" t="str">
        <f t="shared" si="23"/>
        <v/>
      </c>
      <c r="E3082" s="45" t="str">
        <f t="shared" si="24"/>
        <v/>
      </c>
      <c r="F3082" s="59" t="str">
        <f t="shared" si="25"/>
        <v/>
      </c>
      <c r="G3082" s="59" t="str">
        <f t="shared" si="26"/>
        <v/>
      </c>
      <c r="H3082" s="59" t="str">
        <f t="shared" si="27"/>
        <v>28C06369</v>
      </c>
      <c r="I3082" s="59" t="str">
        <f>IF(OR($A3082="",$C3082="",$D3082="",$E3082="",$H3082=""),"",SUMIFS(DATA_GOC!$H:$H,DATA_GOC!$A:$A,"BOM",DATA_GOC!$D:$D,$H3082,DATA_GOC!$E:$E,$C3082,DATA_GOC!$F:$F,"Xuất nội bộ từ téc",DATA_GOC!$B:$B,"&gt;="&amp;$D3082,DATA_GOC!$B:$B,"&lt;="&amp;$E3082))</f>
        <v/>
      </c>
      <c r="J3082" s="59">
        <f t="shared" si="28"/>
        <v>0</v>
      </c>
      <c r="K3082" s="59">
        <f t="shared" si="29"/>
        <v>0</v>
      </c>
      <c r="L3082" s="59">
        <f t="shared" si="30"/>
        <v>0</v>
      </c>
      <c r="M3082" s="59">
        <f t="shared" si="31"/>
        <v>0</v>
      </c>
    </row>
    <row r="3083" ht="15.0" hidden="1" customHeight="1">
      <c r="A3083" s="59">
        <f t="shared" si="20"/>
        <v>48</v>
      </c>
      <c r="B3083" s="59" t="str">
        <f t="shared" si="21"/>
        <v/>
      </c>
      <c r="C3083" s="59" t="str">
        <f t="shared" si="22"/>
        <v/>
      </c>
      <c r="D3083" s="45" t="str">
        <f t="shared" si="23"/>
        <v/>
      </c>
      <c r="E3083" s="45" t="str">
        <f t="shared" si="24"/>
        <v/>
      </c>
      <c r="F3083" s="59" t="str">
        <f t="shared" si="25"/>
        <v/>
      </c>
      <c r="G3083" s="59" t="str">
        <f t="shared" si="26"/>
        <v/>
      </c>
      <c r="H3083" s="59" t="str">
        <f t="shared" si="27"/>
        <v>28C06447</v>
      </c>
      <c r="I3083" s="59" t="str">
        <f>IF(OR($A3083="",$C3083="",$D3083="",$E3083="",$H3083=""),"",SUMIFS(DATA_GOC!$H:$H,DATA_GOC!$A:$A,"BOM",DATA_GOC!$D:$D,$H3083,DATA_GOC!$E:$E,$C3083,DATA_GOC!$F:$F,"Xuất nội bộ từ téc",DATA_GOC!$B:$B,"&gt;="&amp;$D3083,DATA_GOC!$B:$B,"&lt;="&amp;$E3083))</f>
        <v/>
      </c>
      <c r="J3083" s="59">
        <f t="shared" si="28"/>
        <v>0</v>
      </c>
      <c r="K3083" s="59">
        <f t="shared" si="29"/>
        <v>0</v>
      </c>
      <c r="L3083" s="59">
        <f t="shared" si="30"/>
        <v>0</v>
      </c>
      <c r="M3083" s="59">
        <f t="shared" si="31"/>
        <v>0</v>
      </c>
    </row>
    <row r="3084" ht="15.0" hidden="1" customHeight="1">
      <c r="A3084" s="59">
        <f t="shared" si="20"/>
        <v>48</v>
      </c>
      <c r="B3084" s="59" t="str">
        <f t="shared" si="21"/>
        <v/>
      </c>
      <c r="C3084" s="59" t="str">
        <f t="shared" si="22"/>
        <v/>
      </c>
      <c r="D3084" s="45" t="str">
        <f t="shared" si="23"/>
        <v/>
      </c>
      <c r="E3084" s="45" t="str">
        <f t="shared" si="24"/>
        <v/>
      </c>
      <c r="F3084" s="59" t="str">
        <f t="shared" si="25"/>
        <v/>
      </c>
      <c r="G3084" s="59" t="str">
        <f t="shared" si="26"/>
        <v/>
      </c>
      <c r="H3084" s="59" t="str">
        <f t="shared" si="27"/>
        <v>28H00003</v>
      </c>
      <c r="I3084" s="59" t="str">
        <f>IF(OR($A3084="",$C3084="",$D3084="",$E3084="",$H3084=""),"",SUMIFS(DATA_GOC!$H:$H,DATA_GOC!$A:$A,"BOM",DATA_GOC!$D:$D,$H3084,DATA_GOC!$E:$E,$C3084,DATA_GOC!$F:$F,"Xuất nội bộ từ téc",DATA_GOC!$B:$B,"&gt;="&amp;$D3084,DATA_GOC!$B:$B,"&lt;="&amp;$E3084))</f>
        <v/>
      </c>
      <c r="J3084" s="59">
        <f t="shared" si="28"/>
        <v>0</v>
      </c>
      <c r="K3084" s="59">
        <f t="shared" si="29"/>
        <v>0</v>
      </c>
      <c r="L3084" s="59">
        <f t="shared" si="30"/>
        <v>0</v>
      </c>
      <c r="M3084" s="59">
        <f t="shared" si="31"/>
        <v>0</v>
      </c>
    </row>
    <row r="3085" ht="15.0" hidden="1" customHeight="1">
      <c r="A3085" s="59">
        <f t="shared" si="20"/>
        <v>48</v>
      </c>
      <c r="B3085" s="59" t="str">
        <f t="shared" si="21"/>
        <v/>
      </c>
      <c r="C3085" s="59" t="str">
        <f t="shared" si="22"/>
        <v/>
      </c>
      <c r="D3085" s="45" t="str">
        <f t="shared" si="23"/>
        <v/>
      </c>
      <c r="E3085" s="45" t="str">
        <f t="shared" si="24"/>
        <v/>
      </c>
      <c r="F3085" s="59" t="str">
        <f t="shared" si="25"/>
        <v/>
      </c>
      <c r="G3085" s="59" t="str">
        <f t="shared" si="26"/>
        <v/>
      </c>
      <c r="H3085" s="59" t="str">
        <f t="shared" si="27"/>
        <v>28H00061</v>
      </c>
      <c r="I3085" s="59" t="str">
        <f>IF(OR($A3085="",$C3085="",$D3085="",$E3085="",$H3085=""),"",SUMIFS(DATA_GOC!$H:$H,DATA_GOC!$A:$A,"BOM",DATA_GOC!$D:$D,$H3085,DATA_GOC!$E:$E,$C3085,DATA_GOC!$F:$F,"Xuất nội bộ từ téc",DATA_GOC!$B:$B,"&gt;="&amp;$D3085,DATA_GOC!$B:$B,"&lt;="&amp;$E3085))</f>
        <v/>
      </c>
      <c r="J3085" s="59">
        <f t="shared" si="28"/>
        <v>0</v>
      </c>
      <c r="K3085" s="59">
        <f t="shared" si="29"/>
        <v>0</v>
      </c>
      <c r="L3085" s="59">
        <f t="shared" si="30"/>
        <v>0</v>
      </c>
      <c r="M3085" s="59">
        <f t="shared" si="31"/>
        <v>0</v>
      </c>
    </row>
    <row r="3086" ht="15.0" hidden="1" customHeight="1">
      <c r="A3086" s="59">
        <f t="shared" si="20"/>
        <v>48</v>
      </c>
      <c r="B3086" s="59" t="str">
        <f t="shared" si="21"/>
        <v/>
      </c>
      <c r="C3086" s="59" t="str">
        <f t="shared" si="22"/>
        <v/>
      </c>
      <c r="D3086" s="45" t="str">
        <f t="shared" si="23"/>
        <v/>
      </c>
      <c r="E3086" s="45" t="str">
        <f t="shared" si="24"/>
        <v/>
      </c>
      <c r="F3086" s="59" t="str">
        <f t="shared" si="25"/>
        <v/>
      </c>
      <c r="G3086" s="59" t="str">
        <f t="shared" si="26"/>
        <v/>
      </c>
      <c r="H3086" s="59" t="str">
        <f t="shared" si="27"/>
        <v>28H00354</v>
      </c>
      <c r="I3086" s="59" t="str">
        <f>IF(OR($A3086="",$C3086="",$D3086="",$E3086="",$H3086=""),"",SUMIFS(DATA_GOC!$H:$H,DATA_GOC!$A:$A,"BOM",DATA_GOC!$D:$D,$H3086,DATA_GOC!$E:$E,$C3086,DATA_GOC!$F:$F,"Xuất nội bộ từ téc",DATA_GOC!$B:$B,"&gt;="&amp;$D3086,DATA_GOC!$B:$B,"&lt;="&amp;$E3086))</f>
        <v/>
      </c>
      <c r="J3086" s="59">
        <f t="shared" si="28"/>
        <v>0</v>
      </c>
      <c r="K3086" s="59">
        <f t="shared" si="29"/>
        <v>0</v>
      </c>
      <c r="L3086" s="59">
        <f t="shared" si="30"/>
        <v>0</v>
      </c>
      <c r="M3086" s="59">
        <f t="shared" si="31"/>
        <v>0</v>
      </c>
    </row>
    <row r="3087" ht="15.0" hidden="1" customHeight="1">
      <c r="A3087" s="59">
        <f t="shared" si="20"/>
        <v>48</v>
      </c>
      <c r="B3087" s="59" t="str">
        <f t="shared" si="21"/>
        <v/>
      </c>
      <c r="C3087" s="59" t="str">
        <f t="shared" si="22"/>
        <v/>
      </c>
      <c r="D3087" s="45" t="str">
        <f t="shared" si="23"/>
        <v/>
      </c>
      <c r="E3087" s="45" t="str">
        <f t="shared" si="24"/>
        <v/>
      </c>
      <c r="F3087" s="59" t="str">
        <f t="shared" si="25"/>
        <v/>
      </c>
      <c r="G3087" s="59" t="str">
        <f t="shared" si="26"/>
        <v/>
      </c>
      <c r="H3087" s="59" t="str">
        <f t="shared" si="27"/>
        <v>28H00603</v>
      </c>
      <c r="I3087" s="59" t="str">
        <f>IF(OR($A3087="",$C3087="",$D3087="",$E3087="",$H3087=""),"",SUMIFS(DATA_GOC!$H:$H,DATA_GOC!$A:$A,"BOM",DATA_GOC!$D:$D,$H3087,DATA_GOC!$E:$E,$C3087,DATA_GOC!$F:$F,"Xuất nội bộ từ téc",DATA_GOC!$B:$B,"&gt;="&amp;$D3087,DATA_GOC!$B:$B,"&lt;="&amp;$E3087))</f>
        <v/>
      </c>
      <c r="J3087" s="59">
        <f t="shared" si="28"/>
        <v>0</v>
      </c>
      <c r="K3087" s="59">
        <f t="shared" si="29"/>
        <v>0</v>
      </c>
      <c r="L3087" s="59">
        <f t="shared" si="30"/>
        <v>0</v>
      </c>
      <c r="M3087" s="59">
        <f t="shared" si="31"/>
        <v>0</v>
      </c>
    </row>
    <row r="3088" ht="15.0" hidden="1" customHeight="1">
      <c r="A3088" s="59">
        <f t="shared" si="20"/>
        <v>48</v>
      </c>
      <c r="B3088" s="59" t="str">
        <f t="shared" si="21"/>
        <v/>
      </c>
      <c r="C3088" s="59" t="str">
        <f t="shared" si="22"/>
        <v/>
      </c>
      <c r="D3088" s="45" t="str">
        <f t="shared" si="23"/>
        <v/>
      </c>
      <c r="E3088" s="45" t="str">
        <f t="shared" si="24"/>
        <v/>
      </c>
      <c r="F3088" s="59" t="str">
        <f t="shared" si="25"/>
        <v/>
      </c>
      <c r="G3088" s="59" t="str">
        <f t="shared" si="26"/>
        <v/>
      </c>
      <c r="H3088" s="59" t="str">
        <f t="shared" si="27"/>
        <v>28H00609</v>
      </c>
      <c r="I3088" s="59" t="str">
        <f>IF(OR($A3088="",$C3088="",$D3088="",$E3088="",$H3088=""),"",SUMIFS(DATA_GOC!$H:$H,DATA_GOC!$A:$A,"BOM",DATA_GOC!$D:$D,$H3088,DATA_GOC!$E:$E,$C3088,DATA_GOC!$F:$F,"Xuất nội bộ từ téc",DATA_GOC!$B:$B,"&gt;="&amp;$D3088,DATA_GOC!$B:$B,"&lt;="&amp;$E3088))</f>
        <v/>
      </c>
      <c r="J3088" s="59">
        <f t="shared" si="28"/>
        <v>0</v>
      </c>
      <c r="K3088" s="59">
        <f t="shared" si="29"/>
        <v>0</v>
      </c>
      <c r="L3088" s="59">
        <f t="shared" si="30"/>
        <v>0</v>
      </c>
      <c r="M3088" s="59">
        <f t="shared" si="31"/>
        <v>0</v>
      </c>
    </row>
    <row r="3089" ht="15.0" hidden="1" customHeight="1">
      <c r="A3089" s="59">
        <f t="shared" si="20"/>
        <v>48</v>
      </c>
      <c r="B3089" s="59" t="str">
        <f t="shared" si="21"/>
        <v/>
      </c>
      <c r="C3089" s="59" t="str">
        <f t="shared" si="22"/>
        <v/>
      </c>
      <c r="D3089" s="45" t="str">
        <f t="shared" si="23"/>
        <v/>
      </c>
      <c r="E3089" s="45" t="str">
        <f t="shared" si="24"/>
        <v/>
      </c>
      <c r="F3089" s="59" t="str">
        <f t="shared" si="25"/>
        <v/>
      </c>
      <c r="G3089" s="59" t="str">
        <f t="shared" si="26"/>
        <v/>
      </c>
      <c r="H3089" s="59" t="str">
        <f t="shared" si="27"/>
        <v>28H00669</v>
      </c>
      <c r="I3089" s="59" t="str">
        <f>IF(OR($A3089="",$C3089="",$D3089="",$E3089="",$H3089=""),"",SUMIFS(DATA_GOC!$H:$H,DATA_GOC!$A:$A,"BOM",DATA_GOC!$D:$D,$H3089,DATA_GOC!$E:$E,$C3089,DATA_GOC!$F:$F,"Xuất nội bộ từ téc",DATA_GOC!$B:$B,"&gt;="&amp;$D3089,DATA_GOC!$B:$B,"&lt;="&amp;$E3089))</f>
        <v/>
      </c>
      <c r="J3089" s="59">
        <f t="shared" si="28"/>
        <v>0</v>
      </c>
      <c r="K3089" s="59">
        <f t="shared" si="29"/>
        <v>0</v>
      </c>
      <c r="L3089" s="59">
        <f t="shared" si="30"/>
        <v>0</v>
      </c>
      <c r="M3089" s="59">
        <f t="shared" si="31"/>
        <v>0</v>
      </c>
    </row>
    <row r="3090" ht="15.0" hidden="1" customHeight="1">
      <c r="A3090" s="59">
        <f t="shared" si="20"/>
        <v>48</v>
      </c>
      <c r="B3090" s="59" t="str">
        <f t="shared" si="21"/>
        <v/>
      </c>
      <c r="C3090" s="59" t="str">
        <f t="shared" si="22"/>
        <v/>
      </c>
      <c r="D3090" s="45" t="str">
        <f t="shared" si="23"/>
        <v/>
      </c>
      <c r="E3090" s="45" t="str">
        <f t="shared" si="24"/>
        <v/>
      </c>
      <c r="F3090" s="59" t="str">
        <f t="shared" si="25"/>
        <v/>
      </c>
      <c r="G3090" s="59" t="str">
        <f t="shared" si="26"/>
        <v/>
      </c>
      <c r="H3090" s="59" t="str">
        <f t="shared" si="27"/>
        <v>28H00680</v>
      </c>
      <c r="I3090" s="59" t="str">
        <f>IF(OR($A3090="",$C3090="",$D3090="",$E3090="",$H3090=""),"",SUMIFS(DATA_GOC!$H:$H,DATA_GOC!$A:$A,"BOM",DATA_GOC!$D:$D,$H3090,DATA_GOC!$E:$E,$C3090,DATA_GOC!$F:$F,"Xuất nội bộ từ téc",DATA_GOC!$B:$B,"&gt;="&amp;$D3090,DATA_GOC!$B:$B,"&lt;="&amp;$E3090))</f>
        <v/>
      </c>
      <c r="J3090" s="59">
        <f t="shared" si="28"/>
        <v>0</v>
      </c>
      <c r="K3090" s="59">
        <f t="shared" si="29"/>
        <v>0</v>
      </c>
      <c r="L3090" s="59">
        <f t="shared" si="30"/>
        <v>0</v>
      </c>
      <c r="M3090" s="59">
        <f t="shared" si="31"/>
        <v>0</v>
      </c>
    </row>
    <row r="3091" ht="15.0" hidden="1" customHeight="1">
      <c r="A3091" s="59">
        <f t="shared" si="20"/>
        <v>48</v>
      </c>
      <c r="B3091" s="59" t="str">
        <f t="shared" si="21"/>
        <v/>
      </c>
      <c r="C3091" s="59" t="str">
        <f t="shared" si="22"/>
        <v/>
      </c>
      <c r="D3091" s="45" t="str">
        <f t="shared" si="23"/>
        <v/>
      </c>
      <c r="E3091" s="45" t="str">
        <f t="shared" si="24"/>
        <v/>
      </c>
      <c r="F3091" s="59" t="str">
        <f t="shared" si="25"/>
        <v/>
      </c>
      <c r="G3091" s="59" t="str">
        <f t="shared" si="26"/>
        <v/>
      </c>
      <c r="H3091" s="59" t="str">
        <f t="shared" si="27"/>
        <v>28H01070</v>
      </c>
      <c r="I3091" s="59" t="str">
        <f>IF(OR($A3091="",$C3091="",$D3091="",$E3091="",$H3091=""),"",SUMIFS(DATA_GOC!$H:$H,DATA_GOC!$A:$A,"BOM",DATA_GOC!$D:$D,$H3091,DATA_GOC!$E:$E,$C3091,DATA_GOC!$F:$F,"Xuất nội bộ từ téc",DATA_GOC!$B:$B,"&gt;="&amp;$D3091,DATA_GOC!$B:$B,"&lt;="&amp;$E3091))</f>
        <v/>
      </c>
      <c r="J3091" s="59">
        <f t="shared" si="28"/>
        <v>0</v>
      </c>
      <c r="K3091" s="59">
        <f t="shared" si="29"/>
        <v>0</v>
      </c>
      <c r="L3091" s="59">
        <f t="shared" si="30"/>
        <v>0</v>
      </c>
      <c r="M3091" s="59">
        <f t="shared" si="31"/>
        <v>0</v>
      </c>
    </row>
    <row r="3092" ht="15.0" hidden="1" customHeight="1">
      <c r="A3092" s="59">
        <f t="shared" si="20"/>
        <v>48</v>
      </c>
      <c r="B3092" s="59" t="str">
        <f t="shared" si="21"/>
        <v/>
      </c>
      <c r="C3092" s="59" t="str">
        <f t="shared" si="22"/>
        <v/>
      </c>
      <c r="D3092" s="45" t="str">
        <f t="shared" si="23"/>
        <v/>
      </c>
      <c r="E3092" s="45" t="str">
        <f t="shared" si="24"/>
        <v/>
      </c>
      <c r="F3092" s="59" t="str">
        <f t="shared" si="25"/>
        <v/>
      </c>
      <c r="G3092" s="59" t="str">
        <f t="shared" si="26"/>
        <v/>
      </c>
      <c r="H3092" s="59" t="str">
        <f t="shared" si="27"/>
        <v>28H01364</v>
      </c>
      <c r="I3092" s="59" t="str">
        <f>IF(OR($A3092="",$C3092="",$D3092="",$E3092="",$H3092=""),"",SUMIFS(DATA_GOC!$H:$H,DATA_GOC!$A:$A,"BOM",DATA_GOC!$D:$D,$H3092,DATA_GOC!$E:$E,$C3092,DATA_GOC!$F:$F,"Xuất nội bộ từ téc",DATA_GOC!$B:$B,"&gt;="&amp;$D3092,DATA_GOC!$B:$B,"&lt;="&amp;$E3092))</f>
        <v/>
      </c>
      <c r="J3092" s="59">
        <f t="shared" si="28"/>
        <v>0</v>
      </c>
      <c r="K3092" s="59">
        <f t="shared" si="29"/>
        <v>0</v>
      </c>
      <c r="L3092" s="59">
        <f t="shared" si="30"/>
        <v>0</v>
      </c>
      <c r="M3092" s="59">
        <f t="shared" si="31"/>
        <v>0</v>
      </c>
    </row>
    <row r="3093" ht="15.0" hidden="1" customHeight="1">
      <c r="A3093" s="59">
        <f t="shared" si="20"/>
        <v>48</v>
      </c>
      <c r="B3093" s="59" t="str">
        <f t="shared" si="21"/>
        <v/>
      </c>
      <c r="C3093" s="59" t="str">
        <f t="shared" si="22"/>
        <v/>
      </c>
      <c r="D3093" s="45" t="str">
        <f t="shared" si="23"/>
        <v/>
      </c>
      <c r="E3093" s="45" t="str">
        <f t="shared" si="24"/>
        <v/>
      </c>
      <c r="F3093" s="59" t="str">
        <f t="shared" si="25"/>
        <v/>
      </c>
      <c r="G3093" s="59" t="str">
        <f t="shared" si="26"/>
        <v/>
      </c>
      <c r="H3093" s="59" t="str">
        <f t="shared" si="27"/>
        <v>29E17269</v>
      </c>
      <c r="I3093" s="59" t="str">
        <f>IF(OR($A3093="",$C3093="",$D3093="",$E3093="",$H3093=""),"",SUMIFS(DATA_GOC!$H:$H,DATA_GOC!$A:$A,"BOM",DATA_GOC!$D:$D,$H3093,DATA_GOC!$E:$E,$C3093,DATA_GOC!$F:$F,"Xuất nội bộ từ téc",DATA_GOC!$B:$B,"&gt;="&amp;$D3093,DATA_GOC!$B:$B,"&lt;="&amp;$E3093))</f>
        <v/>
      </c>
      <c r="J3093" s="59">
        <f t="shared" si="28"/>
        <v>0</v>
      </c>
      <c r="K3093" s="59">
        <f t="shared" si="29"/>
        <v>0</v>
      </c>
      <c r="L3093" s="59">
        <f t="shared" si="30"/>
        <v>0</v>
      </c>
      <c r="M3093" s="59">
        <f t="shared" si="31"/>
        <v>0</v>
      </c>
    </row>
    <row r="3094" ht="15.0" hidden="1" customHeight="1">
      <c r="A3094" s="59">
        <f t="shared" si="20"/>
        <v>48</v>
      </c>
      <c r="B3094" s="59" t="str">
        <f t="shared" si="21"/>
        <v/>
      </c>
      <c r="C3094" s="59" t="str">
        <f t="shared" si="22"/>
        <v/>
      </c>
      <c r="D3094" s="45" t="str">
        <f t="shared" si="23"/>
        <v/>
      </c>
      <c r="E3094" s="45" t="str">
        <f t="shared" si="24"/>
        <v/>
      </c>
      <c r="F3094" s="59" t="str">
        <f t="shared" si="25"/>
        <v/>
      </c>
      <c r="G3094" s="59" t="str">
        <f t="shared" si="26"/>
        <v/>
      </c>
      <c r="H3094" s="59" t="str">
        <f t="shared" si="27"/>
        <v>29E17273</v>
      </c>
      <c r="I3094" s="59" t="str">
        <f>IF(OR($A3094="",$C3094="",$D3094="",$E3094="",$H3094=""),"",SUMIFS(DATA_GOC!$H:$H,DATA_GOC!$A:$A,"BOM",DATA_GOC!$D:$D,$H3094,DATA_GOC!$E:$E,$C3094,DATA_GOC!$F:$F,"Xuất nội bộ từ téc",DATA_GOC!$B:$B,"&gt;="&amp;$D3094,DATA_GOC!$B:$B,"&lt;="&amp;$E3094))</f>
        <v/>
      </c>
      <c r="J3094" s="59">
        <f t="shared" si="28"/>
        <v>0</v>
      </c>
      <c r="K3094" s="59">
        <f t="shared" si="29"/>
        <v>0</v>
      </c>
      <c r="L3094" s="59">
        <f t="shared" si="30"/>
        <v>0</v>
      </c>
      <c r="M3094" s="59">
        <f t="shared" si="31"/>
        <v>0</v>
      </c>
    </row>
    <row r="3095" ht="15.0" hidden="1" customHeight="1">
      <c r="A3095" s="59">
        <f t="shared" si="20"/>
        <v>48</v>
      </c>
      <c r="B3095" s="59" t="str">
        <f t="shared" si="21"/>
        <v/>
      </c>
      <c r="C3095" s="59" t="str">
        <f t="shared" si="22"/>
        <v/>
      </c>
      <c r="D3095" s="45" t="str">
        <f t="shared" si="23"/>
        <v/>
      </c>
      <c r="E3095" s="45" t="str">
        <f t="shared" si="24"/>
        <v/>
      </c>
      <c r="F3095" s="59" t="str">
        <f t="shared" si="25"/>
        <v/>
      </c>
      <c r="G3095" s="59" t="str">
        <f t="shared" si="26"/>
        <v/>
      </c>
      <c r="H3095" s="59" t="str">
        <f t="shared" si="27"/>
        <v>29E17410</v>
      </c>
      <c r="I3095" s="59" t="str">
        <f>IF(OR($A3095="",$C3095="",$D3095="",$E3095="",$H3095=""),"",SUMIFS(DATA_GOC!$H:$H,DATA_GOC!$A:$A,"BOM",DATA_GOC!$D:$D,$H3095,DATA_GOC!$E:$E,$C3095,DATA_GOC!$F:$F,"Xuất nội bộ từ téc",DATA_GOC!$B:$B,"&gt;="&amp;$D3095,DATA_GOC!$B:$B,"&lt;="&amp;$E3095))</f>
        <v/>
      </c>
      <c r="J3095" s="59">
        <f t="shared" si="28"/>
        <v>0</v>
      </c>
      <c r="K3095" s="59">
        <f t="shared" si="29"/>
        <v>0</v>
      </c>
      <c r="L3095" s="59">
        <f t="shared" si="30"/>
        <v>0</v>
      </c>
      <c r="M3095" s="59">
        <f t="shared" si="31"/>
        <v>0</v>
      </c>
    </row>
    <row r="3096" ht="15.0" hidden="1" customHeight="1">
      <c r="A3096" s="59">
        <f t="shared" si="20"/>
        <v>48</v>
      </c>
      <c r="B3096" s="59" t="str">
        <f t="shared" si="21"/>
        <v/>
      </c>
      <c r="C3096" s="59" t="str">
        <f t="shared" si="22"/>
        <v/>
      </c>
      <c r="D3096" s="45" t="str">
        <f t="shared" si="23"/>
        <v/>
      </c>
      <c r="E3096" s="45" t="str">
        <f t="shared" si="24"/>
        <v/>
      </c>
      <c r="F3096" s="59" t="str">
        <f t="shared" si="25"/>
        <v/>
      </c>
      <c r="G3096" s="59" t="str">
        <f t="shared" si="26"/>
        <v/>
      </c>
      <c r="H3096" s="59" t="str">
        <f t="shared" si="27"/>
        <v>29E17417</v>
      </c>
      <c r="I3096" s="59" t="str">
        <f>IF(OR($A3096="",$C3096="",$D3096="",$E3096="",$H3096=""),"",SUMIFS(DATA_GOC!$H:$H,DATA_GOC!$A:$A,"BOM",DATA_GOC!$D:$D,$H3096,DATA_GOC!$E:$E,$C3096,DATA_GOC!$F:$F,"Xuất nội bộ từ téc",DATA_GOC!$B:$B,"&gt;="&amp;$D3096,DATA_GOC!$B:$B,"&lt;="&amp;$E3096))</f>
        <v/>
      </c>
      <c r="J3096" s="59">
        <f t="shared" si="28"/>
        <v>0</v>
      </c>
      <c r="K3096" s="59">
        <f t="shared" si="29"/>
        <v>0</v>
      </c>
      <c r="L3096" s="59">
        <f t="shared" si="30"/>
        <v>0</v>
      </c>
      <c r="M3096" s="59">
        <f t="shared" si="31"/>
        <v>0</v>
      </c>
    </row>
    <row r="3097" ht="15.0" hidden="1" customHeight="1">
      <c r="A3097" s="59">
        <f t="shared" si="20"/>
        <v>48</v>
      </c>
      <c r="B3097" s="59" t="str">
        <f t="shared" si="21"/>
        <v/>
      </c>
      <c r="C3097" s="59" t="str">
        <f t="shared" si="22"/>
        <v/>
      </c>
      <c r="D3097" s="45" t="str">
        <f t="shared" si="23"/>
        <v/>
      </c>
      <c r="E3097" s="45" t="str">
        <f t="shared" si="24"/>
        <v/>
      </c>
      <c r="F3097" s="59" t="str">
        <f t="shared" si="25"/>
        <v/>
      </c>
      <c r="G3097" s="59" t="str">
        <f t="shared" si="26"/>
        <v/>
      </c>
      <c r="H3097" s="59" t="str">
        <f t="shared" si="27"/>
        <v>29E17539</v>
      </c>
      <c r="I3097" s="59" t="str">
        <f>IF(OR($A3097="",$C3097="",$D3097="",$E3097="",$H3097=""),"",SUMIFS(DATA_GOC!$H:$H,DATA_GOC!$A:$A,"BOM",DATA_GOC!$D:$D,$H3097,DATA_GOC!$E:$E,$C3097,DATA_GOC!$F:$F,"Xuất nội bộ từ téc",DATA_GOC!$B:$B,"&gt;="&amp;$D3097,DATA_GOC!$B:$B,"&lt;="&amp;$E3097))</f>
        <v/>
      </c>
      <c r="J3097" s="59">
        <f t="shared" si="28"/>
        <v>0</v>
      </c>
      <c r="K3097" s="59">
        <f t="shared" si="29"/>
        <v>0</v>
      </c>
      <c r="L3097" s="59">
        <f t="shared" si="30"/>
        <v>0</v>
      </c>
      <c r="M3097" s="59">
        <f t="shared" si="31"/>
        <v>0</v>
      </c>
    </row>
    <row r="3098" ht="15.0" hidden="1" customHeight="1">
      <c r="A3098" s="59">
        <f t="shared" si="20"/>
        <v>48</v>
      </c>
      <c r="B3098" s="59" t="str">
        <f t="shared" si="21"/>
        <v/>
      </c>
      <c r="C3098" s="59" t="str">
        <f t="shared" si="22"/>
        <v/>
      </c>
      <c r="D3098" s="45" t="str">
        <f t="shared" si="23"/>
        <v/>
      </c>
      <c r="E3098" s="45" t="str">
        <f t="shared" si="24"/>
        <v/>
      </c>
      <c r="F3098" s="59" t="str">
        <f t="shared" si="25"/>
        <v/>
      </c>
      <c r="G3098" s="59" t="str">
        <f t="shared" si="26"/>
        <v/>
      </c>
      <c r="H3098" s="59" t="str">
        <f t="shared" si="27"/>
        <v>29E18160</v>
      </c>
      <c r="I3098" s="59" t="str">
        <f>IF(OR($A3098="",$C3098="",$D3098="",$E3098="",$H3098=""),"",SUMIFS(DATA_GOC!$H:$H,DATA_GOC!$A:$A,"BOM",DATA_GOC!$D:$D,$H3098,DATA_GOC!$E:$E,$C3098,DATA_GOC!$F:$F,"Xuất nội bộ từ téc",DATA_GOC!$B:$B,"&gt;="&amp;$D3098,DATA_GOC!$B:$B,"&lt;="&amp;$E3098))</f>
        <v/>
      </c>
      <c r="J3098" s="59">
        <f t="shared" si="28"/>
        <v>0</v>
      </c>
      <c r="K3098" s="59">
        <f t="shared" si="29"/>
        <v>0</v>
      </c>
      <c r="L3098" s="59">
        <f t="shared" si="30"/>
        <v>0</v>
      </c>
      <c r="M3098" s="59">
        <f t="shared" si="31"/>
        <v>0</v>
      </c>
    </row>
    <row r="3099" ht="15.0" hidden="1" customHeight="1">
      <c r="A3099" s="59">
        <f t="shared" si="20"/>
        <v>48</v>
      </c>
      <c r="B3099" s="59" t="str">
        <f t="shared" si="21"/>
        <v/>
      </c>
      <c r="C3099" s="59" t="str">
        <f t="shared" si="22"/>
        <v/>
      </c>
      <c r="D3099" s="45" t="str">
        <f t="shared" si="23"/>
        <v/>
      </c>
      <c r="E3099" s="45" t="str">
        <f t="shared" si="24"/>
        <v/>
      </c>
      <c r="F3099" s="59" t="str">
        <f t="shared" si="25"/>
        <v/>
      </c>
      <c r="G3099" s="59" t="str">
        <f t="shared" si="26"/>
        <v/>
      </c>
      <c r="H3099" s="59" t="str">
        <f t="shared" si="27"/>
        <v>Công trình Asphalt</v>
      </c>
      <c r="I3099" s="59" t="str">
        <f>IF(OR($A3099="",$C3099="",$D3099="",$E3099="",$H3099=""),"",SUMIFS(DATA_GOC!$H:$H,DATA_GOC!$A:$A,"BOM",DATA_GOC!$D:$D,$H3099,DATA_GOC!$E:$E,$C3099,DATA_GOC!$F:$F,"Xuất nội bộ từ téc",DATA_GOC!$B:$B,"&gt;="&amp;$D3099,DATA_GOC!$B:$B,"&lt;="&amp;$E3099))</f>
        <v/>
      </c>
      <c r="J3099" s="59">
        <f t="shared" si="28"/>
        <v>0</v>
      </c>
      <c r="K3099" s="59">
        <f t="shared" si="29"/>
        <v>0</v>
      </c>
      <c r="L3099" s="59">
        <f t="shared" si="30"/>
        <v>0</v>
      </c>
      <c r="M3099" s="59">
        <f t="shared" si="31"/>
        <v>0</v>
      </c>
    </row>
    <row r="3100" ht="15.0" hidden="1" customHeight="1">
      <c r="A3100" s="59">
        <f t="shared" si="20"/>
        <v>48</v>
      </c>
      <c r="B3100" s="59" t="str">
        <f t="shared" si="21"/>
        <v/>
      </c>
      <c r="C3100" s="59" t="str">
        <f t="shared" si="22"/>
        <v/>
      </c>
      <c r="D3100" s="45" t="str">
        <f t="shared" si="23"/>
        <v/>
      </c>
      <c r="E3100" s="45" t="str">
        <f t="shared" si="24"/>
        <v/>
      </c>
      <c r="F3100" s="59" t="str">
        <f t="shared" si="25"/>
        <v/>
      </c>
      <c r="G3100" s="59" t="str">
        <f t="shared" si="26"/>
        <v/>
      </c>
      <c r="H3100" s="59" t="str">
        <f t="shared" si="27"/>
        <v>LG53F</v>
      </c>
      <c r="I3100" s="59" t="str">
        <f>IF(OR($A3100="",$C3100="",$D3100="",$E3100="",$H3100=""),"",SUMIFS(DATA_GOC!$H:$H,DATA_GOC!$A:$A,"BOM",DATA_GOC!$D:$D,$H3100,DATA_GOC!$E:$E,$C3100,DATA_GOC!$F:$F,"Xuất nội bộ từ téc",DATA_GOC!$B:$B,"&gt;="&amp;$D3100,DATA_GOC!$B:$B,"&lt;="&amp;$E3100))</f>
        <v/>
      </c>
      <c r="J3100" s="59">
        <f t="shared" si="28"/>
        <v>0</v>
      </c>
      <c r="K3100" s="59">
        <f t="shared" si="29"/>
        <v>0</v>
      </c>
      <c r="L3100" s="59">
        <f t="shared" si="30"/>
        <v>0</v>
      </c>
      <c r="M3100" s="59">
        <f t="shared" si="31"/>
        <v>0</v>
      </c>
    </row>
    <row r="3101" ht="15.0" hidden="1" customHeight="1">
      <c r="A3101" s="59">
        <f t="shared" si="20"/>
        <v>48</v>
      </c>
      <c r="B3101" s="59" t="str">
        <f t="shared" si="21"/>
        <v/>
      </c>
      <c r="C3101" s="59" t="str">
        <f t="shared" si="22"/>
        <v/>
      </c>
      <c r="D3101" s="45" t="str">
        <f t="shared" si="23"/>
        <v/>
      </c>
      <c r="E3101" s="45" t="str">
        <f t="shared" si="24"/>
        <v/>
      </c>
      <c r="F3101" s="59" t="str">
        <f t="shared" si="25"/>
        <v/>
      </c>
      <c r="G3101" s="59" t="str">
        <f t="shared" si="26"/>
        <v/>
      </c>
      <c r="H3101" s="59" t="str">
        <f t="shared" si="27"/>
        <v>Máy phát điện</v>
      </c>
      <c r="I3101" s="59" t="str">
        <f>IF(OR($A3101="",$C3101="",$D3101="",$E3101="",$H3101=""),"",SUMIFS(DATA_GOC!$H:$H,DATA_GOC!$A:$A,"BOM",DATA_GOC!$D:$D,$H3101,DATA_GOC!$E:$E,$C3101,DATA_GOC!$F:$F,"Xuất nội bộ từ téc",DATA_GOC!$B:$B,"&gt;="&amp;$D3101,DATA_GOC!$B:$B,"&lt;="&amp;$E3101))</f>
        <v/>
      </c>
      <c r="J3101" s="59">
        <f t="shared" si="28"/>
        <v>0</v>
      </c>
      <c r="K3101" s="59">
        <f t="shared" si="29"/>
        <v>0</v>
      </c>
      <c r="L3101" s="59">
        <f t="shared" si="30"/>
        <v>0</v>
      </c>
      <c r="M3101" s="59">
        <f t="shared" si="31"/>
        <v>0</v>
      </c>
    </row>
    <row r="3102" ht="15.0" hidden="1" customHeight="1">
      <c r="A3102" s="59">
        <f t="shared" si="20"/>
        <v>48</v>
      </c>
      <c r="B3102" s="59" t="str">
        <f t="shared" si="21"/>
        <v/>
      </c>
      <c r="C3102" s="59" t="str">
        <f t="shared" si="22"/>
        <v/>
      </c>
      <c r="D3102" s="45" t="str">
        <f t="shared" si="23"/>
        <v/>
      </c>
      <c r="E3102" s="45" t="str">
        <f t="shared" si="24"/>
        <v/>
      </c>
      <c r="F3102" s="59" t="str">
        <f t="shared" si="25"/>
        <v/>
      </c>
      <c r="G3102" s="59" t="str">
        <f t="shared" si="26"/>
        <v/>
      </c>
      <c r="H3102" s="59" t="str">
        <f t="shared" si="27"/>
        <v>Máy rải thảm</v>
      </c>
      <c r="I3102" s="59" t="str">
        <f>IF(OR($A3102="",$C3102="",$D3102="",$E3102="",$H3102=""),"",SUMIFS(DATA_GOC!$H:$H,DATA_GOC!$A:$A,"BOM",DATA_GOC!$D:$D,$H3102,DATA_GOC!$E:$E,$C3102,DATA_GOC!$F:$F,"Xuất nội bộ từ téc",DATA_GOC!$B:$B,"&gt;="&amp;$D3102,DATA_GOC!$B:$B,"&lt;="&amp;$E3102))</f>
        <v/>
      </c>
      <c r="J3102" s="59">
        <f t="shared" si="28"/>
        <v>0</v>
      </c>
      <c r="K3102" s="59">
        <f t="shared" si="29"/>
        <v>0</v>
      </c>
      <c r="L3102" s="59">
        <f t="shared" si="30"/>
        <v>0</v>
      </c>
      <c r="M3102" s="59">
        <f t="shared" si="31"/>
        <v>0</v>
      </c>
    </row>
    <row r="3103" ht="15.0" hidden="1" customHeight="1">
      <c r="A3103" s="59">
        <f t="shared" si="20"/>
        <v>48</v>
      </c>
      <c r="B3103" s="59" t="str">
        <f t="shared" si="21"/>
        <v/>
      </c>
      <c r="C3103" s="59" t="str">
        <f t="shared" si="22"/>
        <v/>
      </c>
      <c r="D3103" s="45" t="str">
        <f t="shared" si="23"/>
        <v/>
      </c>
      <c r="E3103" s="45" t="str">
        <f t="shared" si="24"/>
        <v/>
      </c>
      <c r="F3103" s="59" t="str">
        <f t="shared" si="25"/>
        <v/>
      </c>
      <c r="G3103" s="59" t="str">
        <f t="shared" si="26"/>
        <v/>
      </c>
      <c r="H3103" s="59" t="str">
        <f t="shared" si="27"/>
        <v>Xúc Đào</v>
      </c>
      <c r="I3103" s="59" t="str">
        <f>IF(OR($A3103="",$C3103="",$D3103="",$E3103="",$H3103=""),"",SUMIFS(DATA_GOC!$H:$H,DATA_GOC!$A:$A,"BOM",DATA_GOC!$D:$D,$H3103,DATA_GOC!$E:$E,$C3103,DATA_GOC!$F:$F,"Xuất nội bộ từ téc",DATA_GOC!$B:$B,"&gt;="&amp;$D3103,DATA_GOC!$B:$B,"&lt;="&amp;$E3103))</f>
        <v/>
      </c>
      <c r="J3103" s="59">
        <f t="shared" si="28"/>
        <v>0</v>
      </c>
      <c r="K3103" s="59">
        <f t="shared" si="29"/>
        <v>0</v>
      </c>
      <c r="L3103" s="59">
        <f t="shared" si="30"/>
        <v>0</v>
      </c>
      <c r="M3103" s="59">
        <f t="shared" si="31"/>
        <v>0</v>
      </c>
    </row>
    <row r="3104" ht="15.0" hidden="1" customHeight="1">
      <c r="A3104" s="59">
        <f t="shared" si="20"/>
        <v>48</v>
      </c>
      <c r="B3104" s="59" t="str">
        <f t="shared" si="21"/>
        <v/>
      </c>
      <c r="C3104" s="59" t="str">
        <f t="shared" si="22"/>
        <v/>
      </c>
      <c r="D3104" s="45" t="str">
        <f t="shared" si="23"/>
        <v/>
      </c>
      <c r="E3104" s="45" t="str">
        <f t="shared" si="24"/>
        <v/>
      </c>
      <c r="F3104" s="59" t="str">
        <f t="shared" si="25"/>
        <v/>
      </c>
      <c r="G3104" s="59" t="str">
        <f t="shared" si="26"/>
        <v/>
      </c>
      <c r="H3104" s="59" t="str">
        <f t="shared" si="27"/>
        <v>Xúclật asphalt</v>
      </c>
      <c r="I3104" s="59" t="str">
        <f>IF(OR($A3104="",$C3104="",$D3104="",$E3104="",$H3104=""),"",SUMIFS(DATA_GOC!$H:$H,DATA_GOC!$A:$A,"BOM",DATA_GOC!$D:$D,$H3104,DATA_GOC!$E:$E,$C3104,DATA_GOC!$F:$F,"Xuất nội bộ từ téc",DATA_GOC!$B:$B,"&gt;="&amp;$D3104,DATA_GOC!$B:$B,"&lt;="&amp;$E3104))</f>
        <v/>
      </c>
      <c r="J3104" s="59">
        <f t="shared" si="28"/>
        <v>0</v>
      </c>
      <c r="K3104" s="59">
        <f t="shared" si="29"/>
        <v>0</v>
      </c>
      <c r="L3104" s="59">
        <f t="shared" si="30"/>
        <v>0</v>
      </c>
      <c r="M3104" s="59">
        <f t="shared" si="31"/>
        <v>0</v>
      </c>
    </row>
    <row r="3105" ht="15.0" hidden="1" customHeight="1">
      <c r="A3105" s="59">
        <f t="shared" si="20"/>
        <v>48</v>
      </c>
      <c r="B3105" s="59" t="str">
        <f t="shared" si="21"/>
        <v/>
      </c>
      <c r="C3105" s="59" t="str">
        <f t="shared" si="22"/>
        <v/>
      </c>
      <c r="D3105" s="45" t="str">
        <f t="shared" si="23"/>
        <v/>
      </c>
      <c r="E3105" s="45" t="str">
        <f t="shared" si="24"/>
        <v/>
      </c>
      <c r="F3105" s="59" t="str">
        <f t="shared" si="25"/>
        <v/>
      </c>
      <c r="G3105" s="59" t="str">
        <f t="shared" si="26"/>
        <v/>
      </c>
      <c r="H3105" s="59" t="str">
        <f t="shared" si="27"/>
        <v>Xúclật855H</v>
      </c>
      <c r="I3105" s="59" t="str">
        <f>IF(OR($A3105="",$C3105="",$D3105="",$E3105="",$H3105=""),"",SUMIFS(DATA_GOC!$H:$H,DATA_GOC!$A:$A,"BOM",DATA_GOC!$D:$D,$H3105,DATA_GOC!$E:$E,$C3105,DATA_GOC!$F:$F,"Xuất nội bộ từ téc",DATA_GOC!$B:$B,"&gt;="&amp;$D3105,DATA_GOC!$B:$B,"&lt;="&amp;$E3105))</f>
        <v/>
      </c>
      <c r="J3105" s="59">
        <f t="shared" si="28"/>
        <v>0</v>
      </c>
      <c r="K3105" s="59">
        <f t="shared" si="29"/>
        <v>0</v>
      </c>
      <c r="L3105" s="59">
        <f t="shared" si="30"/>
        <v>0</v>
      </c>
      <c r="M3105" s="59">
        <f t="shared" si="31"/>
        <v>0</v>
      </c>
    </row>
    <row r="3106" ht="15.0" hidden="1" customHeight="1">
      <c r="A3106" s="59">
        <f t="shared" si="20"/>
        <v>48</v>
      </c>
      <c r="B3106" s="59" t="str">
        <f t="shared" si="21"/>
        <v/>
      </c>
      <c r="C3106" s="59" t="str">
        <f t="shared" si="22"/>
        <v/>
      </c>
      <c r="D3106" s="45" t="str">
        <f t="shared" si="23"/>
        <v/>
      </c>
      <c r="E3106" s="45" t="str">
        <f t="shared" si="24"/>
        <v/>
      </c>
      <c r="F3106" s="59" t="str">
        <f t="shared" si="25"/>
        <v/>
      </c>
      <c r="G3106" s="59" t="str">
        <f t="shared" si="26"/>
        <v/>
      </c>
      <c r="H3106" s="59" t="str">
        <f t="shared" si="27"/>
        <v>Xúclật855N</v>
      </c>
      <c r="I3106" s="59" t="str">
        <f>IF(OR($A3106="",$C3106="",$D3106="",$E3106="",$H3106=""),"",SUMIFS(DATA_GOC!$H:$H,DATA_GOC!$A:$A,"BOM",DATA_GOC!$D:$D,$H3106,DATA_GOC!$E:$E,$C3106,DATA_GOC!$F:$F,"Xuất nội bộ từ téc",DATA_GOC!$B:$B,"&gt;="&amp;$D3106,DATA_GOC!$B:$B,"&lt;="&amp;$E3106))</f>
        <v/>
      </c>
      <c r="J3106" s="59">
        <f t="shared" si="28"/>
        <v>0</v>
      </c>
      <c r="K3106" s="59">
        <f t="shared" si="29"/>
        <v>0</v>
      </c>
      <c r="L3106" s="59">
        <f t="shared" si="30"/>
        <v>0</v>
      </c>
      <c r="M3106" s="59">
        <f t="shared" si="31"/>
        <v>0</v>
      </c>
    </row>
    <row r="3107" ht="15.0" hidden="1" customHeight="1">
      <c r="A3107" s="59">
        <f t="shared" si="20"/>
        <v>48</v>
      </c>
      <c r="B3107" s="59" t="str">
        <f t="shared" si="21"/>
        <v/>
      </c>
      <c r="C3107" s="59" t="str">
        <f t="shared" si="22"/>
        <v/>
      </c>
      <c r="D3107" s="45" t="str">
        <f t="shared" si="23"/>
        <v/>
      </c>
      <c r="E3107" s="45" t="str">
        <f t="shared" si="24"/>
        <v/>
      </c>
      <c r="F3107" s="59" t="str">
        <f t="shared" si="25"/>
        <v/>
      </c>
      <c r="G3107" s="59" t="str">
        <f t="shared" si="26"/>
        <v/>
      </c>
      <c r="H3107" s="59" t="str">
        <f t="shared" si="27"/>
        <v>Cát nghiền</v>
      </c>
      <c r="I3107" s="59" t="str">
        <f>IF(OR($A3107="",$C3107="",$D3107="",$E3107="",$H3107=""),"",SUMIFS(DATA_GOC!$H:$H,DATA_GOC!$A:$A,"BOM",DATA_GOC!$D:$D,$H3107,DATA_GOC!$E:$E,$C3107,DATA_GOC!$F:$F,"Xuất nội bộ từ téc",DATA_GOC!$B:$B,"&gt;="&amp;$D3107,DATA_GOC!$B:$B,"&lt;="&amp;$E3107))</f>
        <v/>
      </c>
      <c r="J3107" s="59">
        <f t="shared" si="28"/>
        <v>0</v>
      </c>
      <c r="K3107" s="59">
        <f t="shared" si="29"/>
        <v>0</v>
      </c>
      <c r="L3107" s="59">
        <f t="shared" si="30"/>
        <v>0</v>
      </c>
      <c r="M3107" s="59">
        <f t="shared" si="31"/>
        <v>0</v>
      </c>
    </row>
    <row r="3108" ht="15.0" hidden="1" customHeight="1">
      <c r="A3108" s="59">
        <f t="shared" si="20"/>
        <v>48</v>
      </c>
      <c r="B3108" s="59" t="str">
        <f t="shared" si="21"/>
        <v/>
      </c>
      <c r="C3108" s="59" t="str">
        <f t="shared" si="22"/>
        <v/>
      </c>
      <c r="D3108" s="45" t="str">
        <f t="shared" si="23"/>
        <v/>
      </c>
      <c r="E3108" s="45" t="str">
        <f t="shared" si="24"/>
        <v/>
      </c>
      <c r="F3108" s="59" t="str">
        <f t="shared" si="25"/>
        <v/>
      </c>
      <c r="G3108" s="59" t="str">
        <f t="shared" si="26"/>
        <v/>
      </c>
      <c r="H3108" s="59" t="str">
        <f t="shared" si="27"/>
        <v>28C02973</v>
      </c>
      <c r="I3108" s="59" t="str">
        <f>IF(OR($A3108="",$C3108="",$D3108="",$E3108="",$H3108=""),"",SUMIFS(DATA_GOC!$H:$H,DATA_GOC!$A:$A,"BOM",DATA_GOC!$D:$D,$H3108,DATA_GOC!$E:$E,$C3108,DATA_GOC!$F:$F,"Xuất nội bộ từ téc",DATA_GOC!$B:$B,"&gt;="&amp;$D3108,DATA_GOC!$B:$B,"&lt;="&amp;$E3108))</f>
        <v/>
      </c>
      <c r="J3108" s="59">
        <f t="shared" si="28"/>
        <v>0</v>
      </c>
      <c r="K3108" s="59">
        <f t="shared" si="29"/>
        <v>0</v>
      </c>
      <c r="L3108" s="59">
        <f t="shared" si="30"/>
        <v>0</v>
      </c>
      <c r="M3108" s="59">
        <f t="shared" si="31"/>
        <v>0</v>
      </c>
    </row>
    <row r="3109" ht="15.0" hidden="1" customHeight="1">
      <c r="A3109" s="59">
        <f t="shared" si="20"/>
        <v>48</v>
      </c>
      <c r="B3109" s="59" t="str">
        <f t="shared" si="21"/>
        <v/>
      </c>
      <c r="C3109" s="59" t="str">
        <f t="shared" si="22"/>
        <v/>
      </c>
      <c r="D3109" s="45" t="str">
        <f t="shared" si="23"/>
        <v/>
      </c>
      <c r="E3109" s="45" t="str">
        <f t="shared" si="24"/>
        <v/>
      </c>
      <c r="F3109" s="59" t="str">
        <f t="shared" si="25"/>
        <v/>
      </c>
      <c r="G3109" s="59" t="str">
        <f t="shared" si="26"/>
        <v/>
      </c>
      <c r="H3109" s="59" t="str">
        <f t="shared" si="27"/>
        <v>28C03044</v>
      </c>
      <c r="I3109" s="59" t="str">
        <f>IF(OR($A3109="",$C3109="",$D3109="",$E3109="",$H3109=""),"",SUMIFS(DATA_GOC!$H:$H,DATA_GOC!$A:$A,"BOM",DATA_GOC!$D:$D,$H3109,DATA_GOC!$E:$E,$C3109,DATA_GOC!$F:$F,"Xuất nội bộ từ téc",DATA_GOC!$B:$B,"&gt;="&amp;$D3109,DATA_GOC!$B:$B,"&lt;="&amp;$E3109))</f>
        <v/>
      </c>
      <c r="J3109" s="59">
        <f t="shared" si="28"/>
        <v>0</v>
      </c>
      <c r="K3109" s="59">
        <f t="shared" si="29"/>
        <v>0</v>
      </c>
      <c r="L3109" s="59">
        <f t="shared" si="30"/>
        <v>0</v>
      </c>
      <c r="M3109" s="59">
        <f t="shared" si="31"/>
        <v>0</v>
      </c>
    </row>
    <row r="3110" ht="15.0" hidden="1" customHeight="1">
      <c r="A3110" s="59">
        <f t="shared" si="20"/>
        <v>48</v>
      </c>
      <c r="B3110" s="59" t="str">
        <f t="shared" si="21"/>
        <v/>
      </c>
      <c r="C3110" s="59" t="str">
        <f t="shared" si="22"/>
        <v/>
      </c>
      <c r="D3110" s="45" t="str">
        <f t="shared" si="23"/>
        <v/>
      </c>
      <c r="E3110" s="45" t="str">
        <f t="shared" si="24"/>
        <v/>
      </c>
      <c r="F3110" s="59" t="str">
        <f t="shared" si="25"/>
        <v/>
      </c>
      <c r="G3110" s="59" t="str">
        <f t="shared" si="26"/>
        <v/>
      </c>
      <c r="H3110" s="59" t="str">
        <f t="shared" si="27"/>
        <v>Máy lu lốp</v>
      </c>
      <c r="I3110" s="59" t="str">
        <f>IF(OR($A3110="",$C3110="",$D3110="",$E3110="",$H3110=""),"",SUMIFS(DATA_GOC!$H:$H,DATA_GOC!$A:$A,"BOM",DATA_GOC!$D:$D,$H3110,DATA_GOC!$E:$E,$C3110,DATA_GOC!$F:$F,"Xuất nội bộ từ téc",DATA_GOC!$B:$B,"&gt;="&amp;$D3110,DATA_GOC!$B:$B,"&lt;="&amp;$E3110))</f>
        <v/>
      </c>
      <c r="J3110" s="59">
        <f t="shared" si="28"/>
        <v>0</v>
      </c>
      <c r="K3110" s="59">
        <f t="shared" si="29"/>
        <v>0</v>
      </c>
      <c r="L3110" s="59">
        <f t="shared" si="30"/>
        <v>0</v>
      </c>
      <c r="M3110" s="59">
        <f t="shared" si="31"/>
        <v>0</v>
      </c>
    </row>
    <row r="3111" ht="15.0" hidden="1" customHeight="1">
      <c r="A3111" s="59">
        <f t="shared" si="20"/>
        <v>48</v>
      </c>
      <c r="B3111" s="59" t="str">
        <f t="shared" si="21"/>
        <v/>
      </c>
      <c r="C3111" s="59" t="str">
        <f t="shared" si="22"/>
        <v/>
      </c>
      <c r="D3111" s="45" t="str">
        <f t="shared" si="23"/>
        <v/>
      </c>
      <c r="E3111" s="45" t="str">
        <f t="shared" si="24"/>
        <v/>
      </c>
      <c r="F3111" s="59" t="str">
        <f t="shared" si="25"/>
        <v/>
      </c>
      <c r="G3111" s="59" t="str">
        <f t="shared" si="26"/>
        <v/>
      </c>
      <c r="H3111" s="59" t="str">
        <f t="shared" si="27"/>
        <v>Xe 600148</v>
      </c>
      <c r="I3111" s="59" t="str">
        <f>IF(OR($A3111="",$C3111="",$D3111="",$E3111="",$H3111=""),"",SUMIFS(DATA_GOC!$H:$H,DATA_GOC!$A:$A,"BOM",DATA_GOC!$D:$D,$H3111,DATA_GOC!$E:$E,$C3111,DATA_GOC!$F:$F,"Xuất nội bộ từ téc",DATA_GOC!$B:$B,"&gt;="&amp;$D3111,DATA_GOC!$B:$B,"&lt;="&amp;$E3111))</f>
        <v/>
      </c>
      <c r="J3111" s="59">
        <f t="shared" si="28"/>
        <v>0</v>
      </c>
      <c r="K3111" s="59">
        <f t="shared" si="29"/>
        <v>0</v>
      </c>
      <c r="L3111" s="59">
        <f t="shared" si="30"/>
        <v>0</v>
      </c>
      <c r="M3111" s="59">
        <f t="shared" si="31"/>
        <v>0</v>
      </c>
    </row>
    <row r="3112" ht="15.0" hidden="1" customHeight="1">
      <c r="A3112" s="59">
        <f t="shared" si="20"/>
        <v>48</v>
      </c>
      <c r="B3112" s="59" t="str">
        <f t="shared" si="21"/>
        <v/>
      </c>
      <c r="C3112" s="59" t="str">
        <f t="shared" si="22"/>
        <v/>
      </c>
      <c r="D3112" s="45" t="str">
        <f t="shared" si="23"/>
        <v/>
      </c>
      <c r="E3112" s="45" t="str">
        <f t="shared" si="24"/>
        <v/>
      </c>
      <c r="F3112" s="59" t="str">
        <f t="shared" si="25"/>
        <v/>
      </c>
      <c r="G3112" s="59" t="str">
        <f t="shared" si="26"/>
        <v/>
      </c>
      <c r="H3112" s="59" t="str">
        <f t="shared" si="27"/>
        <v>Xe ben mới</v>
      </c>
      <c r="I3112" s="59" t="str">
        <f>IF(OR($A3112="",$C3112="",$D3112="",$E3112="",$H3112=""),"",SUMIFS(DATA_GOC!$H:$H,DATA_GOC!$A:$A,"BOM",DATA_GOC!$D:$D,$H3112,DATA_GOC!$E:$E,$C3112,DATA_GOC!$F:$F,"Xuất nội bộ từ téc",DATA_GOC!$B:$B,"&gt;="&amp;$D3112,DATA_GOC!$B:$B,"&lt;="&amp;$E3112))</f>
        <v/>
      </c>
      <c r="J3112" s="59">
        <f t="shared" si="28"/>
        <v>0</v>
      </c>
      <c r="K3112" s="59">
        <f t="shared" si="29"/>
        <v>0</v>
      </c>
      <c r="L3112" s="59">
        <f t="shared" si="30"/>
        <v>0</v>
      </c>
      <c r="M3112" s="59">
        <f t="shared" si="31"/>
        <v>0</v>
      </c>
    </row>
    <row r="3113" ht="15.0" hidden="1" customHeight="1">
      <c r="A3113" s="59">
        <f t="shared" si="20"/>
        <v>49</v>
      </c>
      <c r="B3113" s="59" t="str">
        <f t="shared" si="21"/>
        <v/>
      </c>
      <c r="C3113" s="59" t="str">
        <f t="shared" si="22"/>
        <v/>
      </c>
      <c r="D3113" s="45" t="str">
        <f t="shared" si="23"/>
        <v/>
      </c>
      <c r="E3113" s="45" t="str">
        <f t="shared" si="24"/>
        <v/>
      </c>
      <c r="F3113" s="59" t="str">
        <f t="shared" si="25"/>
        <v/>
      </c>
      <c r="G3113" s="59" t="str">
        <f t="shared" si="26"/>
        <v/>
      </c>
      <c r="H3113" s="59" t="str">
        <f t="shared" si="27"/>
        <v>19H09482</v>
      </c>
      <c r="I3113" s="59" t="str">
        <f>IF(OR($A3113="",$C3113="",$D3113="",$E3113="",$H3113=""),"",SUMIFS(DATA_GOC!$H:$H,DATA_GOC!$A:$A,"BOM",DATA_GOC!$D:$D,$H3113,DATA_GOC!$E:$E,$C3113,DATA_GOC!$F:$F,"Xuất nội bộ từ téc",DATA_GOC!$B:$B,"&gt;="&amp;$D3113,DATA_GOC!$B:$B,"&lt;="&amp;$E3113))</f>
        <v/>
      </c>
      <c r="J3113" s="59">
        <f t="shared" si="28"/>
        <v>0</v>
      </c>
      <c r="K3113" s="59">
        <f t="shared" si="29"/>
        <v>0</v>
      </c>
      <c r="L3113" s="59">
        <f t="shared" si="30"/>
        <v>0</v>
      </c>
      <c r="M3113" s="59">
        <f t="shared" si="31"/>
        <v>0</v>
      </c>
    </row>
    <row r="3114" ht="15.0" hidden="1" customHeight="1">
      <c r="A3114" s="59">
        <f t="shared" si="20"/>
        <v>49</v>
      </c>
      <c r="B3114" s="59" t="str">
        <f t="shared" si="21"/>
        <v/>
      </c>
      <c r="C3114" s="59" t="str">
        <f t="shared" si="22"/>
        <v/>
      </c>
      <c r="D3114" s="45" t="str">
        <f t="shared" si="23"/>
        <v/>
      </c>
      <c r="E3114" s="45" t="str">
        <f t="shared" si="24"/>
        <v/>
      </c>
      <c r="F3114" s="59" t="str">
        <f t="shared" si="25"/>
        <v/>
      </c>
      <c r="G3114" s="59" t="str">
        <f t="shared" si="26"/>
        <v/>
      </c>
      <c r="H3114" s="59" t="str">
        <f t="shared" si="27"/>
        <v>28A30696</v>
      </c>
      <c r="I3114" s="59" t="str">
        <f>IF(OR($A3114="",$C3114="",$D3114="",$E3114="",$H3114=""),"",SUMIFS(DATA_GOC!$H:$H,DATA_GOC!$A:$A,"BOM",DATA_GOC!$D:$D,$H3114,DATA_GOC!$E:$E,$C3114,DATA_GOC!$F:$F,"Xuất nội bộ từ téc",DATA_GOC!$B:$B,"&gt;="&amp;$D3114,DATA_GOC!$B:$B,"&lt;="&amp;$E3114))</f>
        <v/>
      </c>
      <c r="J3114" s="59">
        <f t="shared" si="28"/>
        <v>0</v>
      </c>
      <c r="K3114" s="59">
        <f t="shared" si="29"/>
        <v>0</v>
      </c>
      <c r="L3114" s="59">
        <f t="shared" si="30"/>
        <v>0</v>
      </c>
      <c r="M3114" s="59">
        <f t="shared" si="31"/>
        <v>0</v>
      </c>
    </row>
    <row r="3115" ht="15.0" hidden="1" customHeight="1">
      <c r="A3115" s="59">
        <f t="shared" si="20"/>
        <v>49</v>
      </c>
      <c r="B3115" s="59" t="str">
        <f t="shared" si="21"/>
        <v/>
      </c>
      <c r="C3115" s="59" t="str">
        <f t="shared" si="22"/>
        <v/>
      </c>
      <c r="D3115" s="45" t="str">
        <f t="shared" si="23"/>
        <v/>
      </c>
      <c r="E3115" s="45" t="str">
        <f t="shared" si="24"/>
        <v/>
      </c>
      <c r="F3115" s="59" t="str">
        <f t="shared" si="25"/>
        <v/>
      </c>
      <c r="G3115" s="59" t="str">
        <f t="shared" si="26"/>
        <v/>
      </c>
      <c r="H3115" s="59" t="str">
        <f t="shared" si="27"/>
        <v>28C00462</v>
      </c>
      <c r="I3115" s="59" t="str">
        <f>IF(OR($A3115="",$C3115="",$D3115="",$E3115="",$H3115=""),"",SUMIFS(DATA_GOC!$H:$H,DATA_GOC!$A:$A,"BOM",DATA_GOC!$D:$D,$H3115,DATA_GOC!$E:$E,$C3115,DATA_GOC!$F:$F,"Xuất nội bộ từ téc",DATA_GOC!$B:$B,"&gt;="&amp;$D3115,DATA_GOC!$B:$B,"&lt;="&amp;$E3115))</f>
        <v/>
      </c>
      <c r="J3115" s="59">
        <f t="shared" si="28"/>
        <v>0</v>
      </c>
      <c r="K3115" s="59">
        <f t="shared" si="29"/>
        <v>0</v>
      </c>
      <c r="L3115" s="59">
        <f t="shared" si="30"/>
        <v>0</v>
      </c>
      <c r="M3115" s="59">
        <f t="shared" si="31"/>
        <v>0</v>
      </c>
    </row>
    <row r="3116" ht="15.0" hidden="1" customHeight="1">
      <c r="A3116" s="59">
        <f t="shared" si="20"/>
        <v>49</v>
      </c>
      <c r="B3116" s="59" t="str">
        <f t="shared" si="21"/>
        <v/>
      </c>
      <c r="C3116" s="59" t="str">
        <f t="shared" si="22"/>
        <v/>
      </c>
      <c r="D3116" s="45" t="str">
        <f t="shared" si="23"/>
        <v/>
      </c>
      <c r="E3116" s="45" t="str">
        <f t="shared" si="24"/>
        <v/>
      </c>
      <c r="F3116" s="59" t="str">
        <f t="shared" si="25"/>
        <v/>
      </c>
      <c r="G3116" s="59" t="str">
        <f t="shared" si="26"/>
        <v/>
      </c>
      <c r="H3116" s="59" t="str">
        <f t="shared" si="27"/>
        <v>28C01165</v>
      </c>
      <c r="I3116" s="59" t="str">
        <f>IF(OR($A3116="",$C3116="",$D3116="",$E3116="",$H3116=""),"",SUMIFS(DATA_GOC!$H:$H,DATA_GOC!$A:$A,"BOM",DATA_GOC!$D:$D,$H3116,DATA_GOC!$E:$E,$C3116,DATA_GOC!$F:$F,"Xuất nội bộ từ téc",DATA_GOC!$B:$B,"&gt;="&amp;$D3116,DATA_GOC!$B:$B,"&lt;="&amp;$E3116))</f>
        <v/>
      </c>
      <c r="J3116" s="59">
        <f t="shared" si="28"/>
        <v>0</v>
      </c>
      <c r="K3116" s="59">
        <f t="shared" si="29"/>
        <v>0</v>
      </c>
      <c r="L3116" s="59">
        <f t="shared" si="30"/>
        <v>0</v>
      </c>
      <c r="M3116" s="59">
        <f t="shared" si="31"/>
        <v>0</v>
      </c>
    </row>
    <row r="3117" ht="15.0" hidden="1" customHeight="1">
      <c r="A3117" s="59">
        <f t="shared" si="20"/>
        <v>49</v>
      </c>
      <c r="B3117" s="59" t="str">
        <f t="shared" si="21"/>
        <v/>
      </c>
      <c r="C3117" s="59" t="str">
        <f t="shared" si="22"/>
        <v/>
      </c>
      <c r="D3117" s="45" t="str">
        <f t="shared" si="23"/>
        <v/>
      </c>
      <c r="E3117" s="45" t="str">
        <f t="shared" si="24"/>
        <v/>
      </c>
      <c r="F3117" s="59" t="str">
        <f t="shared" si="25"/>
        <v/>
      </c>
      <c r="G3117" s="59" t="str">
        <f t="shared" si="26"/>
        <v/>
      </c>
      <c r="H3117" s="59" t="str">
        <f t="shared" si="27"/>
        <v>28C01406</v>
      </c>
      <c r="I3117" s="59" t="str">
        <f>IF(OR($A3117="",$C3117="",$D3117="",$E3117="",$H3117=""),"",SUMIFS(DATA_GOC!$H:$H,DATA_GOC!$A:$A,"BOM",DATA_GOC!$D:$D,$H3117,DATA_GOC!$E:$E,$C3117,DATA_GOC!$F:$F,"Xuất nội bộ từ téc",DATA_GOC!$B:$B,"&gt;="&amp;$D3117,DATA_GOC!$B:$B,"&lt;="&amp;$E3117))</f>
        <v/>
      </c>
      <c r="J3117" s="59">
        <f t="shared" si="28"/>
        <v>0</v>
      </c>
      <c r="K3117" s="59">
        <f t="shared" si="29"/>
        <v>0</v>
      </c>
      <c r="L3117" s="59">
        <f t="shared" si="30"/>
        <v>0</v>
      </c>
      <c r="M3117" s="59">
        <f t="shared" si="31"/>
        <v>0</v>
      </c>
    </row>
    <row r="3118" ht="15.0" hidden="1" customHeight="1">
      <c r="A3118" s="59">
        <f t="shared" si="20"/>
        <v>49</v>
      </c>
      <c r="B3118" s="59" t="str">
        <f t="shared" si="21"/>
        <v/>
      </c>
      <c r="C3118" s="59" t="str">
        <f t="shared" si="22"/>
        <v/>
      </c>
      <c r="D3118" s="45" t="str">
        <f t="shared" si="23"/>
        <v/>
      </c>
      <c r="E3118" s="45" t="str">
        <f t="shared" si="24"/>
        <v/>
      </c>
      <c r="F3118" s="59" t="str">
        <f t="shared" si="25"/>
        <v/>
      </c>
      <c r="G3118" s="59" t="str">
        <f t="shared" si="26"/>
        <v/>
      </c>
      <c r="H3118" s="59" t="str">
        <f t="shared" si="27"/>
        <v>28C01544</v>
      </c>
      <c r="I3118" s="59" t="str">
        <f>IF(OR($A3118="",$C3118="",$D3118="",$E3118="",$H3118=""),"",SUMIFS(DATA_GOC!$H:$H,DATA_GOC!$A:$A,"BOM",DATA_GOC!$D:$D,$H3118,DATA_GOC!$E:$E,$C3118,DATA_GOC!$F:$F,"Xuất nội bộ từ téc",DATA_GOC!$B:$B,"&gt;="&amp;$D3118,DATA_GOC!$B:$B,"&lt;="&amp;$E3118))</f>
        <v/>
      </c>
      <c r="J3118" s="59">
        <f t="shared" si="28"/>
        <v>0</v>
      </c>
      <c r="K3118" s="59">
        <f t="shared" si="29"/>
        <v>0</v>
      </c>
      <c r="L3118" s="59">
        <f t="shared" si="30"/>
        <v>0</v>
      </c>
      <c r="M3118" s="59">
        <f t="shared" si="31"/>
        <v>0</v>
      </c>
    </row>
    <row r="3119" ht="15.0" hidden="1" customHeight="1">
      <c r="A3119" s="59">
        <f t="shared" si="20"/>
        <v>49</v>
      </c>
      <c r="B3119" s="59" t="str">
        <f t="shared" si="21"/>
        <v/>
      </c>
      <c r="C3119" s="59" t="str">
        <f t="shared" si="22"/>
        <v/>
      </c>
      <c r="D3119" s="45" t="str">
        <f t="shared" si="23"/>
        <v/>
      </c>
      <c r="E3119" s="45" t="str">
        <f t="shared" si="24"/>
        <v/>
      </c>
      <c r="F3119" s="59" t="str">
        <f t="shared" si="25"/>
        <v/>
      </c>
      <c r="G3119" s="59" t="str">
        <f t="shared" si="26"/>
        <v/>
      </c>
      <c r="H3119" s="59" t="str">
        <f t="shared" si="27"/>
        <v>28C01622</v>
      </c>
      <c r="I3119" s="59" t="str">
        <f>IF(OR($A3119="",$C3119="",$D3119="",$E3119="",$H3119=""),"",SUMIFS(DATA_GOC!$H:$H,DATA_GOC!$A:$A,"BOM",DATA_GOC!$D:$D,$H3119,DATA_GOC!$E:$E,$C3119,DATA_GOC!$F:$F,"Xuất nội bộ từ téc",DATA_GOC!$B:$B,"&gt;="&amp;$D3119,DATA_GOC!$B:$B,"&lt;="&amp;$E3119))</f>
        <v/>
      </c>
      <c r="J3119" s="59">
        <f t="shared" si="28"/>
        <v>0</v>
      </c>
      <c r="K3119" s="59">
        <f t="shared" si="29"/>
        <v>0</v>
      </c>
      <c r="L3119" s="59">
        <f t="shared" si="30"/>
        <v>0</v>
      </c>
      <c r="M3119" s="59">
        <f t="shared" si="31"/>
        <v>0</v>
      </c>
    </row>
    <row r="3120" ht="15.0" hidden="1" customHeight="1">
      <c r="A3120" s="59">
        <f t="shared" si="20"/>
        <v>49</v>
      </c>
      <c r="B3120" s="59" t="str">
        <f t="shared" si="21"/>
        <v/>
      </c>
      <c r="C3120" s="59" t="str">
        <f t="shared" si="22"/>
        <v/>
      </c>
      <c r="D3120" s="45" t="str">
        <f t="shared" si="23"/>
        <v/>
      </c>
      <c r="E3120" s="45" t="str">
        <f t="shared" si="24"/>
        <v/>
      </c>
      <c r="F3120" s="59" t="str">
        <f t="shared" si="25"/>
        <v/>
      </c>
      <c r="G3120" s="59" t="str">
        <f t="shared" si="26"/>
        <v/>
      </c>
      <c r="H3120" s="59" t="str">
        <f t="shared" si="27"/>
        <v>28C01647</v>
      </c>
      <c r="I3120" s="59" t="str">
        <f>IF(OR($A3120="",$C3120="",$D3120="",$E3120="",$H3120=""),"",SUMIFS(DATA_GOC!$H:$H,DATA_GOC!$A:$A,"BOM",DATA_GOC!$D:$D,$H3120,DATA_GOC!$E:$E,$C3120,DATA_GOC!$F:$F,"Xuất nội bộ từ téc",DATA_GOC!$B:$B,"&gt;="&amp;$D3120,DATA_GOC!$B:$B,"&lt;="&amp;$E3120))</f>
        <v/>
      </c>
      <c r="J3120" s="59">
        <f t="shared" si="28"/>
        <v>0</v>
      </c>
      <c r="K3120" s="59">
        <f t="shared" si="29"/>
        <v>0</v>
      </c>
      <c r="L3120" s="59">
        <f t="shared" si="30"/>
        <v>0</v>
      </c>
      <c r="M3120" s="59">
        <f t="shared" si="31"/>
        <v>0</v>
      </c>
    </row>
    <row r="3121" ht="15.0" hidden="1" customHeight="1">
      <c r="A3121" s="59">
        <f t="shared" si="20"/>
        <v>49</v>
      </c>
      <c r="B3121" s="59" t="str">
        <f t="shared" si="21"/>
        <v/>
      </c>
      <c r="C3121" s="59" t="str">
        <f t="shared" si="22"/>
        <v/>
      </c>
      <c r="D3121" s="45" t="str">
        <f t="shared" si="23"/>
        <v/>
      </c>
      <c r="E3121" s="45" t="str">
        <f t="shared" si="24"/>
        <v/>
      </c>
      <c r="F3121" s="59" t="str">
        <f t="shared" si="25"/>
        <v/>
      </c>
      <c r="G3121" s="59" t="str">
        <f t="shared" si="26"/>
        <v/>
      </c>
      <c r="H3121" s="59" t="str">
        <f t="shared" si="27"/>
        <v>28C01731</v>
      </c>
      <c r="I3121" s="59" t="str">
        <f>IF(OR($A3121="",$C3121="",$D3121="",$E3121="",$H3121=""),"",SUMIFS(DATA_GOC!$H:$H,DATA_GOC!$A:$A,"BOM",DATA_GOC!$D:$D,$H3121,DATA_GOC!$E:$E,$C3121,DATA_GOC!$F:$F,"Xuất nội bộ từ téc",DATA_GOC!$B:$B,"&gt;="&amp;$D3121,DATA_GOC!$B:$B,"&lt;="&amp;$E3121))</f>
        <v/>
      </c>
      <c r="J3121" s="59">
        <f t="shared" si="28"/>
        <v>0</v>
      </c>
      <c r="K3121" s="59">
        <f t="shared" si="29"/>
        <v>0</v>
      </c>
      <c r="L3121" s="59">
        <f t="shared" si="30"/>
        <v>0</v>
      </c>
      <c r="M3121" s="59">
        <f t="shared" si="31"/>
        <v>0</v>
      </c>
    </row>
    <row r="3122" ht="15.0" hidden="1" customHeight="1">
      <c r="A3122" s="59">
        <f t="shared" si="20"/>
        <v>49</v>
      </c>
      <c r="B3122" s="59" t="str">
        <f t="shared" si="21"/>
        <v/>
      </c>
      <c r="C3122" s="59" t="str">
        <f t="shared" si="22"/>
        <v/>
      </c>
      <c r="D3122" s="45" t="str">
        <f t="shared" si="23"/>
        <v/>
      </c>
      <c r="E3122" s="45" t="str">
        <f t="shared" si="24"/>
        <v/>
      </c>
      <c r="F3122" s="59" t="str">
        <f t="shared" si="25"/>
        <v/>
      </c>
      <c r="G3122" s="59" t="str">
        <f t="shared" si="26"/>
        <v/>
      </c>
      <c r="H3122" s="59" t="str">
        <f t="shared" si="27"/>
        <v>28C01743</v>
      </c>
      <c r="I3122" s="59" t="str">
        <f>IF(OR($A3122="",$C3122="",$D3122="",$E3122="",$H3122=""),"",SUMIFS(DATA_GOC!$H:$H,DATA_GOC!$A:$A,"BOM",DATA_GOC!$D:$D,$H3122,DATA_GOC!$E:$E,$C3122,DATA_GOC!$F:$F,"Xuất nội bộ từ téc",DATA_GOC!$B:$B,"&gt;="&amp;$D3122,DATA_GOC!$B:$B,"&lt;="&amp;$E3122))</f>
        <v/>
      </c>
      <c r="J3122" s="59">
        <f t="shared" si="28"/>
        <v>0</v>
      </c>
      <c r="K3122" s="59">
        <f t="shared" si="29"/>
        <v>0</v>
      </c>
      <c r="L3122" s="59">
        <f t="shared" si="30"/>
        <v>0</v>
      </c>
      <c r="M3122" s="59">
        <f t="shared" si="31"/>
        <v>0</v>
      </c>
    </row>
    <row r="3123" ht="15.0" hidden="1" customHeight="1">
      <c r="A3123" s="59">
        <f t="shared" si="20"/>
        <v>49</v>
      </c>
      <c r="B3123" s="59" t="str">
        <f t="shared" si="21"/>
        <v/>
      </c>
      <c r="C3123" s="59" t="str">
        <f t="shared" si="22"/>
        <v/>
      </c>
      <c r="D3123" s="45" t="str">
        <f t="shared" si="23"/>
        <v/>
      </c>
      <c r="E3123" s="45" t="str">
        <f t="shared" si="24"/>
        <v/>
      </c>
      <c r="F3123" s="59" t="str">
        <f t="shared" si="25"/>
        <v/>
      </c>
      <c r="G3123" s="59" t="str">
        <f t="shared" si="26"/>
        <v/>
      </c>
      <c r="H3123" s="59" t="str">
        <f t="shared" si="27"/>
        <v>28C02106</v>
      </c>
      <c r="I3123" s="59" t="str">
        <f>IF(OR($A3123="",$C3123="",$D3123="",$E3123="",$H3123=""),"",SUMIFS(DATA_GOC!$H:$H,DATA_GOC!$A:$A,"BOM",DATA_GOC!$D:$D,$H3123,DATA_GOC!$E:$E,$C3123,DATA_GOC!$F:$F,"Xuất nội bộ từ téc",DATA_GOC!$B:$B,"&gt;="&amp;$D3123,DATA_GOC!$B:$B,"&lt;="&amp;$E3123))</f>
        <v/>
      </c>
      <c r="J3123" s="59">
        <f t="shared" si="28"/>
        <v>0</v>
      </c>
      <c r="K3123" s="59">
        <f t="shared" si="29"/>
        <v>0</v>
      </c>
      <c r="L3123" s="59">
        <f t="shared" si="30"/>
        <v>0</v>
      </c>
      <c r="M3123" s="59">
        <f t="shared" si="31"/>
        <v>0</v>
      </c>
    </row>
    <row r="3124" ht="15.0" hidden="1" customHeight="1">
      <c r="A3124" s="59">
        <f t="shared" si="20"/>
        <v>49</v>
      </c>
      <c r="B3124" s="59" t="str">
        <f t="shared" si="21"/>
        <v/>
      </c>
      <c r="C3124" s="59" t="str">
        <f t="shared" si="22"/>
        <v/>
      </c>
      <c r="D3124" s="45" t="str">
        <f t="shared" si="23"/>
        <v/>
      </c>
      <c r="E3124" s="45" t="str">
        <f t="shared" si="24"/>
        <v/>
      </c>
      <c r="F3124" s="59" t="str">
        <f t="shared" si="25"/>
        <v/>
      </c>
      <c r="G3124" s="59" t="str">
        <f t="shared" si="26"/>
        <v/>
      </c>
      <c r="H3124" s="59" t="str">
        <f t="shared" si="27"/>
        <v>28C02410</v>
      </c>
      <c r="I3124" s="59" t="str">
        <f>IF(OR($A3124="",$C3124="",$D3124="",$E3124="",$H3124=""),"",SUMIFS(DATA_GOC!$H:$H,DATA_GOC!$A:$A,"BOM",DATA_GOC!$D:$D,$H3124,DATA_GOC!$E:$E,$C3124,DATA_GOC!$F:$F,"Xuất nội bộ từ téc",DATA_GOC!$B:$B,"&gt;="&amp;$D3124,DATA_GOC!$B:$B,"&lt;="&amp;$E3124))</f>
        <v/>
      </c>
      <c r="J3124" s="59">
        <f t="shared" si="28"/>
        <v>0</v>
      </c>
      <c r="K3124" s="59">
        <f t="shared" si="29"/>
        <v>0</v>
      </c>
      <c r="L3124" s="59">
        <f t="shared" si="30"/>
        <v>0</v>
      </c>
      <c r="M3124" s="59">
        <f t="shared" si="31"/>
        <v>0</v>
      </c>
    </row>
    <row r="3125" ht="15.0" hidden="1" customHeight="1">
      <c r="A3125" s="59">
        <f t="shared" si="20"/>
        <v>49</v>
      </c>
      <c r="B3125" s="59" t="str">
        <f t="shared" si="21"/>
        <v/>
      </c>
      <c r="C3125" s="59" t="str">
        <f t="shared" si="22"/>
        <v/>
      </c>
      <c r="D3125" s="45" t="str">
        <f t="shared" si="23"/>
        <v/>
      </c>
      <c r="E3125" s="45" t="str">
        <f t="shared" si="24"/>
        <v/>
      </c>
      <c r="F3125" s="59" t="str">
        <f t="shared" si="25"/>
        <v/>
      </c>
      <c r="G3125" s="59" t="str">
        <f t="shared" si="26"/>
        <v/>
      </c>
      <c r="H3125" s="59" t="str">
        <f t="shared" si="27"/>
        <v>28C02545</v>
      </c>
      <c r="I3125" s="59" t="str">
        <f>IF(OR($A3125="",$C3125="",$D3125="",$E3125="",$H3125=""),"",SUMIFS(DATA_GOC!$H:$H,DATA_GOC!$A:$A,"BOM",DATA_GOC!$D:$D,$H3125,DATA_GOC!$E:$E,$C3125,DATA_GOC!$F:$F,"Xuất nội bộ từ téc",DATA_GOC!$B:$B,"&gt;="&amp;$D3125,DATA_GOC!$B:$B,"&lt;="&amp;$E3125))</f>
        <v/>
      </c>
      <c r="J3125" s="59">
        <f t="shared" si="28"/>
        <v>0</v>
      </c>
      <c r="K3125" s="59">
        <f t="shared" si="29"/>
        <v>0</v>
      </c>
      <c r="L3125" s="59">
        <f t="shared" si="30"/>
        <v>0</v>
      </c>
      <c r="M3125" s="59">
        <f t="shared" si="31"/>
        <v>0</v>
      </c>
    </row>
    <row r="3126" ht="15.0" hidden="1" customHeight="1">
      <c r="A3126" s="59">
        <f t="shared" si="20"/>
        <v>49</v>
      </c>
      <c r="B3126" s="59" t="str">
        <f t="shared" si="21"/>
        <v/>
      </c>
      <c r="C3126" s="59" t="str">
        <f t="shared" si="22"/>
        <v/>
      </c>
      <c r="D3126" s="45" t="str">
        <f t="shared" si="23"/>
        <v/>
      </c>
      <c r="E3126" s="45" t="str">
        <f t="shared" si="24"/>
        <v/>
      </c>
      <c r="F3126" s="59" t="str">
        <f t="shared" si="25"/>
        <v/>
      </c>
      <c r="G3126" s="59" t="str">
        <f t="shared" si="26"/>
        <v/>
      </c>
      <c r="H3126" s="59" t="str">
        <f t="shared" si="27"/>
        <v>28C02574</v>
      </c>
      <c r="I3126" s="59" t="str">
        <f>IF(OR($A3126="",$C3126="",$D3126="",$E3126="",$H3126=""),"",SUMIFS(DATA_GOC!$H:$H,DATA_GOC!$A:$A,"BOM",DATA_GOC!$D:$D,$H3126,DATA_GOC!$E:$E,$C3126,DATA_GOC!$F:$F,"Xuất nội bộ từ téc",DATA_GOC!$B:$B,"&gt;="&amp;$D3126,DATA_GOC!$B:$B,"&lt;="&amp;$E3126))</f>
        <v/>
      </c>
      <c r="J3126" s="59">
        <f t="shared" si="28"/>
        <v>0</v>
      </c>
      <c r="K3126" s="59">
        <f t="shared" si="29"/>
        <v>0</v>
      </c>
      <c r="L3126" s="59">
        <f t="shared" si="30"/>
        <v>0</v>
      </c>
      <c r="M3126" s="59">
        <f t="shared" si="31"/>
        <v>0</v>
      </c>
    </row>
    <row r="3127" ht="15.0" hidden="1" customHeight="1">
      <c r="A3127" s="59">
        <f t="shared" si="20"/>
        <v>49</v>
      </c>
      <c r="B3127" s="59" t="str">
        <f t="shared" si="21"/>
        <v/>
      </c>
      <c r="C3127" s="59" t="str">
        <f t="shared" si="22"/>
        <v/>
      </c>
      <c r="D3127" s="45" t="str">
        <f t="shared" si="23"/>
        <v/>
      </c>
      <c r="E3127" s="45" t="str">
        <f t="shared" si="24"/>
        <v/>
      </c>
      <c r="F3127" s="59" t="str">
        <f t="shared" si="25"/>
        <v/>
      </c>
      <c r="G3127" s="59" t="str">
        <f t="shared" si="26"/>
        <v/>
      </c>
      <c r="H3127" s="59" t="str">
        <f t="shared" si="27"/>
        <v>28C02770</v>
      </c>
      <c r="I3127" s="59" t="str">
        <f>IF(OR($A3127="",$C3127="",$D3127="",$E3127="",$H3127=""),"",SUMIFS(DATA_GOC!$H:$H,DATA_GOC!$A:$A,"BOM",DATA_GOC!$D:$D,$H3127,DATA_GOC!$E:$E,$C3127,DATA_GOC!$F:$F,"Xuất nội bộ từ téc",DATA_GOC!$B:$B,"&gt;="&amp;$D3127,DATA_GOC!$B:$B,"&lt;="&amp;$E3127))</f>
        <v/>
      </c>
      <c r="J3127" s="59">
        <f t="shared" si="28"/>
        <v>0</v>
      </c>
      <c r="K3127" s="59">
        <f t="shared" si="29"/>
        <v>0</v>
      </c>
      <c r="L3127" s="59">
        <f t="shared" si="30"/>
        <v>0</v>
      </c>
      <c r="M3127" s="59">
        <f t="shared" si="31"/>
        <v>0</v>
      </c>
    </row>
    <row r="3128" ht="15.0" hidden="1" customHeight="1">
      <c r="A3128" s="59">
        <f t="shared" si="20"/>
        <v>49</v>
      </c>
      <c r="B3128" s="59" t="str">
        <f t="shared" si="21"/>
        <v/>
      </c>
      <c r="C3128" s="59" t="str">
        <f t="shared" si="22"/>
        <v/>
      </c>
      <c r="D3128" s="45" t="str">
        <f t="shared" si="23"/>
        <v/>
      </c>
      <c r="E3128" s="45" t="str">
        <f t="shared" si="24"/>
        <v/>
      </c>
      <c r="F3128" s="59" t="str">
        <f t="shared" si="25"/>
        <v/>
      </c>
      <c r="G3128" s="59" t="str">
        <f t="shared" si="26"/>
        <v/>
      </c>
      <c r="H3128" s="59" t="str">
        <f t="shared" si="27"/>
        <v>28C02986</v>
      </c>
      <c r="I3128" s="59" t="str">
        <f>IF(OR($A3128="",$C3128="",$D3128="",$E3128="",$H3128=""),"",SUMIFS(DATA_GOC!$H:$H,DATA_GOC!$A:$A,"BOM",DATA_GOC!$D:$D,$H3128,DATA_GOC!$E:$E,$C3128,DATA_GOC!$F:$F,"Xuất nội bộ từ téc",DATA_GOC!$B:$B,"&gt;="&amp;$D3128,DATA_GOC!$B:$B,"&lt;="&amp;$E3128))</f>
        <v/>
      </c>
      <c r="J3128" s="59">
        <f t="shared" si="28"/>
        <v>0</v>
      </c>
      <c r="K3128" s="59">
        <f t="shared" si="29"/>
        <v>0</v>
      </c>
      <c r="L3128" s="59">
        <f t="shared" si="30"/>
        <v>0</v>
      </c>
      <c r="M3128" s="59">
        <f t="shared" si="31"/>
        <v>0</v>
      </c>
    </row>
    <row r="3129" ht="15.0" hidden="1" customHeight="1">
      <c r="A3129" s="59">
        <f t="shared" si="20"/>
        <v>49</v>
      </c>
      <c r="B3129" s="59" t="str">
        <f t="shared" si="21"/>
        <v/>
      </c>
      <c r="C3129" s="59" t="str">
        <f t="shared" si="22"/>
        <v/>
      </c>
      <c r="D3129" s="45" t="str">
        <f t="shared" si="23"/>
        <v/>
      </c>
      <c r="E3129" s="45" t="str">
        <f t="shared" si="24"/>
        <v/>
      </c>
      <c r="F3129" s="59" t="str">
        <f t="shared" si="25"/>
        <v/>
      </c>
      <c r="G3129" s="59" t="str">
        <f t="shared" si="26"/>
        <v/>
      </c>
      <c r="H3129" s="59" t="str">
        <f t="shared" si="27"/>
        <v>28C03261</v>
      </c>
      <c r="I3129" s="59" t="str">
        <f>IF(OR($A3129="",$C3129="",$D3129="",$E3129="",$H3129=""),"",SUMIFS(DATA_GOC!$H:$H,DATA_GOC!$A:$A,"BOM",DATA_GOC!$D:$D,$H3129,DATA_GOC!$E:$E,$C3129,DATA_GOC!$F:$F,"Xuất nội bộ từ téc",DATA_GOC!$B:$B,"&gt;="&amp;$D3129,DATA_GOC!$B:$B,"&lt;="&amp;$E3129))</f>
        <v/>
      </c>
      <c r="J3129" s="59">
        <f t="shared" si="28"/>
        <v>0</v>
      </c>
      <c r="K3129" s="59">
        <f t="shared" si="29"/>
        <v>0</v>
      </c>
      <c r="L3129" s="59">
        <f t="shared" si="30"/>
        <v>0</v>
      </c>
      <c r="M3129" s="59">
        <f t="shared" si="31"/>
        <v>0</v>
      </c>
    </row>
    <row r="3130" ht="15.0" hidden="1" customHeight="1">
      <c r="A3130" s="59">
        <f t="shared" si="20"/>
        <v>49</v>
      </c>
      <c r="B3130" s="59" t="str">
        <f t="shared" si="21"/>
        <v/>
      </c>
      <c r="C3130" s="59" t="str">
        <f t="shared" si="22"/>
        <v/>
      </c>
      <c r="D3130" s="45" t="str">
        <f t="shared" si="23"/>
        <v/>
      </c>
      <c r="E3130" s="45" t="str">
        <f t="shared" si="24"/>
        <v/>
      </c>
      <c r="F3130" s="59" t="str">
        <f t="shared" si="25"/>
        <v/>
      </c>
      <c r="G3130" s="59" t="str">
        <f t="shared" si="26"/>
        <v/>
      </c>
      <c r="H3130" s="59" t="str">
        <f t="shared" si="27"/>
        <v>28C03323</v>
      </c>
      <c r="I3130" s="59" t="str">
        <f>IF(OR($A3130="",$C3130="",$D3130="",$E3130="",$H3130=""),"",SUMIFS(DATA_GOC!$H:$H,DATA_GOC!$A:$A,"BOM",DATA_GOC!$D:$D,$H3130,DATA_GOC!$E:$E,$C3130,DATA_GOC!$F:$F,"Xuất nội bộ từ téc",DATA_GOC!$B:$B,"&gt;="&amp;$D3130,DATA_GOC!$B:$B,"&lt;="&amp;$E3130))</f>
        <v/>
      </c>
      <c r="J3130" s="59">
        <f t="shared" si="28"/>
        <v>0</v>
      </c>
      <c r="K3130" s="59">
        <f t="shared" si="29"/>
        <v>0</v>
      </c>
      <c r="L3130" s="59">
        <f t="shared" si="30"/>
        <v>0</v>
      </c>
      <c r="M3130" s="59">
        <f t="shared" si="31"/>
        <v>0</v>
      </c>
    </row>
    <row r="3131" ht="15.0" hidden="1" customHeight="1">
      <c r="A3131" s="59">
        <f t="shared" si="20"/>
        <v>49</v>
      </c>
      <c r="B3131" s="59" t="str">
        <f t="shared" si="21"/>
        <v/>
      </c>
      <c r="C3131" s="59" t="str">
        <f t="shared" si="22"/>
        <v/>
      </c>
      <c r="D3131" s="45" t="str">
        <f t="shared" si="23"/>
        <v/>
      </c>
      <c r="E3131" s="45" t="str">
        <f t="shared" si="24"/>
        <v/>
      </c>
      <c r="F3131" s="59" t="str">
        <f t="shared" si="25"/>
        <v/>
      </c>
      <c r="G3131" s="59" t="str">
        <f t="shared" si="26"/>
        <v/>
      </c>
      <c r="H3131" s="59" t="str">
        <f t="shared" si="27"/>
        <v>28C03385</v>
      </c>
      <c r="I3131" s="59" t="str">
        <f>IF(OR($A3131="",$C3131="",$D3131="",$E3131="",$H3131=""),"",SUMIFS(DATA_GOC!$H:$H,DATA_GOC!$A:$A,"BOM",DATA_GOC!$D:$D,$H3131,DATA_GOC!$E:$E,$C3131,DATA_GOC!$F:$F,"Xuất nội bộ từ téc",DATA_GOC!$B:$B,"&gt;="&amp;$D3131,DATA_GOC!$B:$B,"&lt;="&amp;$E3131))</f>
        <v/>
      </c>
      <c r="J3131" s="59">
        <f t="shared" si="28"/>
        <v>0</v>
      </c>
      <c r="K3131" s="59">
        <f t="shared" si="29"/>
        <v>0</v>
      </c>
      <c r="L3131" s="59">
        <f t="shared" si="30"/>
        <v>0</v>
      </c>
      <c r="M3131" s="59">
        <f t="shared" si="31"/>
        <v>0</v>
      </c>
    </row>
    <row r="3132" ht="15.0" hidden="1" customHeight="1">
      <c r="A3132" s="59">
        <f t="shared" si="20"/>
        <v>49</v>
      </c>
      <c r="B3132" s="59" t="str">
        <f t="shared" si="21"/>
        <v/>
      </c>
      <c r="C3132" s="59" t="str">
        <f t="shared" si="22"/>
        <v/>
      </c>
      <c r="D3132" s="45" t="str">
        <f t="shared" si="23"/>
        <v/>
      </c>
      <c r="E3132" s="45" t="str">
        <f t="shared" si="24"/>
        <v/>
      </c>
      <c r="F3132" s="59" t="str">
        <f t="shared" si="25"/>
        <v/>
      </c>
      <c r="G3132" s="59" t="str">
        <f t="shared" si="26"/>
        <v/>
      </c>
      <c r="H3132" s="59" t="str">
        <f t="shared" si="27"/>
        <v>28C03652</v>
      </c>
      <c r="I3132" s="59" t="str">
        <f>IF(OR($A3132="",$C3132="",$D3132="",$E3132="",$H3132=""),"",SUMIFS(DATA_GOC!$H:$H,DATA_GOC!$A:$A,"BOM",DATA_GOC!$D:$D,$H3132,DATA_GOC!$E:$E,$C3132,DATA_GOC!$F:$F,"Xuất nội bộ từ téc",DATA_GOC!$B:$B,"&gt;="&amp;$D3132,DATA_GOC!$B:$B,"&lt;="&amp;$E3132))</f>
        <v/>
      </c>
      <c r="J3132" s="59">
        <f t="shared" si="28"/>
        <v>0</v>
      </c>
      <c r="K3132" s="59">
        <f t="shared" si="29"/>
        <v>0</v>
      </c>
      <c r="L3132" s="59">
        <f t="shared" si="30"/>
        <v>0</v>
      </c>
      <c r="M3132" s="59">
        <f t="shared" si="31"/>
        <v>0</v>
      </c>
    </row>
    <row r="3133" ht="15.0" hidden="1" customHeight="1">
      <c r="A3133" s="59">
        <f t="shared" si="20"/>
        <v>49</v>
      </c>
      <c r="B3133" s="59" t="str">
        <f t="shared" si="21"/>
        <v/>
      </c>
      <c r="C3133" s="59" t="str">
        <f t="shared" si="22"/>
        <v/>
      </c>
      <c r="D3133" s="45" t="str">
        <f t="shared" si="23"/>
        <v/>
      </c>
      <c r="E3133" s="45" t="str">
        <f t="shared" si="24"/>
        <v/>
      </c>
      <c r="F3133" s="59" t="str">
        <f t="shared" si="25"/>
        <v/>
      </c>
      <c r="G3133" s="59" t="str">
        <f t="shared" si="26"/>
        <v/>
      </c>
      <c r="H3133" s="59" t="str">
        <f t="shared" si="27"/>
        <v>28C03695</v>
      </c>
      <c r="I3133" s="59" t="str">
        <f>IF(OR($A3133="",$C3133="",$D3133="",$E3133="",$H3133=""),"",SUMIFS(DATA_GOC!$H:$H,DATA_GOC!$A:$A,"BOM",DATA_GOC!$D:$D,$H3133,DATA_GOC!$E:$E,$C3133,DATA_GOC!$F:$F,"Xuất nội bộ từ téc",DATA_GOC!$B:$B,"&gt;="&amp;$D3133,DATA_GOC!$B:$B,"&lt;="&amp;$E3133))</f>
        <v/>
      </c>
      <c r="J3133" s="59">
        <f t="shared" si="28"/>
        <v>0</v>
      </c>
      <c r="K3133" s="59">
        <f t="shared" si="29"/>
        <v>0</v>
      </c>
      <c r="L3133" s="59">
        <f t="shared" si="30"/>
        <v>0</v>
      </c>
      <c r="M3133" s="59">
        <f t="shared" si="31"/>
        <v>0</v>
      </c>
    </row>
    <row r="3134" ht="15.0" hidden="1" customHeight="1">
      <c r="A3134" s="59">
        <f t="shared" si="20"/>
        <v>49</v>
      </c>
      <c r="B3134" s="59" t="str">
        <f t="shared" si="21"/>
        <v/>
      </c>
      <c r="C3134" s="59" t="str">
        <f t="shared" si="22"/>
        <v/>
      </c>
      <c r="D3134" s="45" t="str">
        <f t="shared" si="23"/>
        <v/>
      </c>
      <c r="E3134" s="45" t="str">
        <f t="shared" si="24"/>
        <v/>
      </c>
      <c r="F3134" s="59" t="str">
        <f t="shared" si="25"/>
        <v/>
      </c>
      <c r="G3134" s="59" t="str">
        <f t="shared" si="26"/>
        <v/>
      </c>
      <c r="H3134" s="59" t="str">
        <f t="shared" si="27"/>
        <v>28C03927</v>
      </c>
      <c r="I3134" s="59" t="str">
        <f>IF(OR($A3134="",$C3134="",$D3134="",$E3134="",$H3134=""),"",SUMIFS(DATA_GOC!$H:$H,DATA_GOC!$A:$A,"BOM",DATA_GOC!$D:$D,$H3134,DATA_GOC!$E:$E,$C3134,DATA_GOC!$F:$F,"Xuất nội bộ từ téc",DATA_GOC!$B:$B,"&gt;="&amp;$D3134,DATA_GOC!$B:$B,"&lt;="&amp;$E3134))</f>
        <v/>
      </c>
      <c r="J3134" s="59">
        <f t="shared" si="28"/>
        <v>0</v>
      </c>
      <c r="K3134" s="59">
        <f t="shared" si="29"/>
        <v>0</v>
      </c>
      <c r="L3134" s="59">
        <f t="shared" si="30"/>
        <v>0</v>
      </c>
      <c r="M3134" s="59">
        <f t="shared" si="31"/>
        <v>0</v>
      </c>
    </row>
    <row r="3135" ht="15.0" hidden="1" customHeight="1">
      <c r="A3135" s="59">
        <f t="shared" si="20"/>
        <v>49</v>
      </c>
      <c r="B3135" s="59" t="str">
        <f t="shared" si="21"/>
        <v/>
      </c>
      <c r="C3135" s="59" t="str">
        <f t="shared" si="22"/>
        <v/>
      </c>
      <c r="D3135" s="45" t="str">
        <f t="shared" si="23"/>
        <v/>
      </c>
      <c r="E3135" s="45" t="str">
        <f t="shared" si="24"/>
        <v/>
      </c>
      <c r="F3135" s="59" t="str">
        <f t="shared" si="25"/>
        <v/>
      </c>
      <c r="G3135" s="59" t="str">
        <f t="shared" si="26"/>
        <v/>
      </c>
      <c r="H3135" s="59" t="str">
        <f t="shared" si="27"/>
        <v>28C04509</v>
      </c>
      <c r="I3135" s="59" t="str">
        <f>IF(OR($A3135="",$C3135="",$D3135="",$E3135="",$H3135=""),"",SUMIFS(DATA_GOC!$H:$H,DATA_GOC!$A:$A,"BOM",DATA_GOC!$D:$D,$H3135,DATA_GOC!$E:$E,$C3135,DATA_GOC!$F:$F,"Xuất nội bộ từ téc",DATA_GOC!$B:$B,"&gt;="&amp;$D3135,DATA_GOC!$B:$B,"&lt;="&amp;$E3135))</f>
        <v/>
      </c>
      <c r="J3135" s="59">
        <f t="shared" si="28"/>
        <v>0</v>
      </c>
      <c r="K3135" s="59">
        <f t="shared" si="29"/>
        <v>0</v>
      </c>
      <c r="L3135" s="59">
        <f t="shared" si="30"/>
        <v>0</v>
      </c>
      <c r="M3135" s="59">
        <f t="shared" si="31"/>
        <v>0</v>
      </c>
    </row>
    <row r="3136" ht="15.0" hidden="1" customHeight="1">
      <c r="A3136" s="59">
        <f t="shared" si="20"/>
        <v>49</v>
      </c>
      <c r="B3136" s="59" t="str">
        <f t="shared" si="21"/>
        <v/>
      </c>
      <c r="C3136" s="59" t="str">
        <f t="shared" si="22"/>
        <v/>
      </c>
      <c r="D3136" s="45" t="str">
        <f t="shared" si="23"/>
        <v/>
      </c>
      <c r="E3136" s="45" t="str">
        <f t="shared" si="24"/>
        <v/>
      </c>
      <c r="F3136" s="59" t="str">
        <f t="shared" si="25"/>
        <v/>
      </c>
      <c r="G3136" s="59" t="str">
        <f t="shared" si="26"/>
        <v/>
      </c>
      <c r="H3136" s="59" t="str">
        <f t="shared" si="27"/>
        <v>28C04536</v>
      </c>
      <c r="I3136" s="59" t="str">
        <f>IF(OR($A3136="",$C3136="",$D3136="",$E3136="",$H3136=""),"",SUMIFS(DATA_GOC!$H:$H,DATA_GOC!$A:$A,"BOM",DATA_GOC!$D:$D,$H3136,DATA_GOC!$E:$E,$C3136,DATA_GOC!$F:$F,"Xuất nội bộ từ téc",DATA_GOC!$B:$B,"&gt;="&amp;$D3136,DATA_GOC!$B:$B,"&lt;="&amp;$E3136))</f>
        <v/>
      </c>
      <c r="J3136" s="59">
        <f t="shared" si="28"/>
        <v>0</v>
      </c>
      <c r="K3136" s="59">
        <f t="shared" si="29"/>
        <v>0</v>
      </c>
      <c r="L3136" s="59">
        <f t="shared" si="30"/>
        <v>0</v>
      </c>
      <c r="M3136" s="59">
        <f t="shared" si="31"/>
        <v>0</v>
      </c>
    </row>
    <row r="3137" ht="15.0" hidden="1" customHeight="1">
      <c r="A3137" s="59">
        <f t="shared" si="20"/>
        <v>49</v>
      </c>
      <c r="B3137" s="59" t="str">
        <f t="shared" si="21"/>
        <v/>
      </c>
      <c r="C3137" s="59" t="str">
        <f t="shared" si="22"/>
        <v/>
      </c>
      <c r="D3137" s="45" t="str">
        <f t="shared" si="23"/>
        <v/>
      </c>
      <c r="E3137" s="45" t="str">
        <f t="shared" si="24"/>
        <v/>
      </c>
      <c r="F3137" s="59" t="str">
        <f t="shared" si="25"/>
        <v/>
      </c>
      <c r="G3137" s="59" t="str">
        <f t="shared" si="26"/>
        <v/>
      </c>
      <c r="H3137" s="59" t="str">
        <f t="shared" si="27"/>
        <v>28C04576</v>
      </c>
      <c r="I3137" s="59" t="str">
        <f>IF(OR($A3137="",$C3137="",$D3137="",$E3137="",$H3137=""),"",SUMIFS(DATA_GOC!$H:$H,DATA_GOC!$A:$A,"BOM",DATA_GOC!$D:$D,$H3137,DATA_GOC!$E:$E,$C3137,DATA_GOC!$F:$F,"Xuất nội bộ từ téc",DATA_GOC!$B:$B,"&gt;="&amp;$D3137,DATA_GOC!$B:$B,"&lt;="&amp;$E3137))</f>
        <v/>
      </c>
      <c r="J3137" s="59">
        <f t="shared" si="28"/>
        <v>0</v>
      </c>
      <c r="K3137" s="59">
        <f t="shared" si="29"/>
        <v>0</v>
      </c>
      <c r="L3137" s="59">
        <f t="shared" si="30"/>
        <v>0</v>
      </c>
      <c r="M3137" s="59">
        <f t="shared" si="31"/>
        <v>0</v>
      </c>
    </row>
    <row r="3138" ht="15.0" hidden="1" customHeight="1">
      <c r="A3138" s="59">
        <f t="shared" si="20"/>
        <v>49</v>
      </c>
      <c r="B3138" s="59" t="str">
        <f t="shared" si="21"/>
        <v/>
      </c>
      <c r="C3138" s="59" t="str">
        <f t="shared" si="22"/>
        <v/>
      </c>
      <c r="D3138" s="45" t="str">
        <f t="shared" si="23"/>
        <v/>
      </c>
      <c r="E3138" s="45" t="str">
        <f t="shared" si="24"/>
        <v/>
      </c>
      <c r="F3138" s="59" t="str">
        <f t="shared" si="25"/>
        <v/>
      </c>
      <c r="G3138" s="59" t="str">
        <f t="shared" si="26"/>
        <v/>
      </c>
      <c r="H3138" s="59" t="str">
        <f t="shared" si="27"/>
        <v>28C05090</v>
      </c>
      <c r="I3138" s="59" t="str">
        <f>IF(OR($A3138="",$C3138="",$D3138="",$E3138="",$H3138=""),"",SUMIFS(DATA_GOC!$H:$H,DATA_GOC!$A:$A,"BOM",DATA_GOC!$D:$D,$H3138,DATA_GOC!$E:$E,$C3138,DATA_GOC!$F:$F,"Xuất nội bộ từ téc",DATA_GOC!$B:$B,"&gt;="&amp;$D3138,DATA_GOC!$B:$B,"&lt;="&amp;$E3138))</f>
        <v/>
      </c>
      <c r="J3138" s="59">
        <f t="shared" si="28"/>
        <v>0</v>
      </c>
      <c r="K3138" s="59">
        <f t="shared" si="29"/>
        <v>0</v>
      </c>
      <c r="L3138" s="59">
        <f t="shared" si="30"/>
        <v>0</v>
      </c>
      <c r="M3138" s="59">
        <f t="shared" si="31"/>
        <v>0</v>
      </c>
    </row>
    <row r="3139" ht="15.0" hidden="1" customHeight="1">
      <c r="A3139" s="59">
        <f t="shared" si="20"/>
        <v>49</v>
      </c>
      <c r="B3139" s="59" t="str">
        <f t="shared" si="21"/>
        <v/>
      </c>
      <c r="C3139" s="59" t="str">
        <f t="shared" si="22"/>
        <v/>
      </c>
      <c r="D3139" s="45" t="str">
        <f t="shared" si="23"/>
        <v/>
      </c>
      <c r="E3139" s="45" t="str">
        <f t="shared" si="24"/>
        <v/>
      </c>
      <c r="F3139" s="59" t="str">
        <f t="shared" si="25"/>
        <v/>
      </c>
      <c r="G3139" s="59" t="str">
        <f t="shared" si="26"/>
        <v/>
      </c>
      <c r="H3139" s="59" t="str">
        <f t="shared" si="27"/>
        <v>28C05345</v>
      </c>
      <c r="I3139" s="59" t="str">
        <f>IF(OR($A3139="",$C3139="",$D3139="",$E3139="",$H3139=""),"",SUMIFS(DATA_GOC!$H:$H,DATA_GOC!$A:$A,"BOM",DATA_GOC!$D:$D,$H3139,DATA_GOC!$E:$E,$C3139,DATA_GOC!$F:$F,"Xuất nội bộ từ téc",DATA_GOC!$B:$B,"&gt;="&amp;$D3139,DATA_GOC!$B:$B,"&lt;="&amp;$E3139))</f>
        <v/>
      </c>
      <c r="J3139" s="59">
        <f t="shared" si="28"/>
        <v>0</v>
      </c>
      <c r="K3139" s="59">
        <f t="shared" si="29"/>
        <v>0</v>
      </c>
      <c r="L3139" s="59">
        <f t="shared" si="30"/>
        <v>0</v>
      </c>
      <c r="M3139" s="59">
        <f t="shared" si="31"/>
        <v>0</v>
      </c>
    </row>
    <row r="3140" ht="15.0" hidden="1" customHeight="1">
      <c r="A3140" s="59">
        <f t="shared" si="20"/>
        <v>49</v>
      </c>
      <c r="B3140" s="59" t="str">
        <f t="shared" si="21"/>
        <v/>
      </c>
      <c r="C3140" s="59" t="str">
        <f t="shared" si="22"/>
        <v/>
      </c>
      <c r="D3140" s="45" t="str">
        <f t="shared" si="23"/>
        <v/>
      </c>
      <c r="E3140" s="45" t="str">
        <f t="shared" si="24"/>
        <v/>
      </c>
      <c r="F3140" s="59" t="str">
        <f t="shared" si="25"/>
        <v/>
      </c>
      <c r="G3140" s="59" t="str">
        <f t="shared" si="26"/>
        <v/>
      </c>
      <c r="H3140" s="59" t="str">
        <f t="shared" si="27"/>
        <v>28C05661</v>
      </c>
      <c r="I3140" s="59" t="str">
        <f>IF(OR($A3140="",$C3140="",$D3140="",$E3140="",$H3140=""),"",SUMIFS(DATA_GOC!$H:$H,DATA_GOC!$A:$A,"BOM",DATA_GOC!$D:$D,$H3140,DATA_GOC!$E:$E,$C3140,DATA_GOC!$F:$F,"Xuất nội bộ từ téc",DATA_GOC!$B:$B,"&gt;="&amp;$D3140,DATA_GOC!$B:$B,"&lt;="&amp;$E3140))</f>
        <v/>
      </c>
      <c r="J3140" s="59">
        <f t="shared" si="28"/>
        <v>0</v>
      </c>
      <c r="K3140" s="59">
        <f t="shared" si="29"/>
        <v>0</v>
      </c>
      <c r="L3140" s="59">
        <f t="shared" si="30"/>
        <v>0</v>
      </c>
      <c r="M3140" s="59">
        <f t="shared" si="31"/>
        <v>0</v>
      </c>
    </row>
    <row r="3141" ht="15.0" hidden="1" customHeight="1">
      <c r="A3141" s="59">
        <f t="shared" si="20"/>
        <v>49</v>
      </c>
      <c r="B3141" s="59" t="str">
        <f t="shared" si="21"/>
        <v/>
      </c>
      <c r="C3141" s="59" t="str">
        <f t="shared" si="22"/>
        <v/>
      </c>
      <c r="D3141" s="45" t="str">
        <f t="shared" si="23"/>
        <v/>
      </c>
      <c r="E3141" s="45" t="str">
        <f t="shared" si="24"/>
        <v/>
      </c>
      <c r="F3141" s="59" t="str">
        <f t="shared" si="25"/>
        <v/>
      </c>
      <c r="G3141" s="59" t="str">
        <f t="shared" si="26"/>
        <v/>
      </c>
      <c r="H3141" s="59" t="str">
        <f t="shared" si="27"/>
        <v>28C05739</v>
      </c>
      <c r="I3141" s="59" t="str">
        <f>IF(OR($A3141="",$C3141="",$D3141="",$E3141="",$H3141=""),"",SUMIFS(DATA_GOC!$H:$H,DATA_GOC!$A:$A,"BOM",DATA_GOC!$D:$D,$H3141,DATA_GOC!$E:$E,$C3141,DATA_GOC!$F:$F,"Xuất nội bộ từ téc",DATA_GOC!$B:$B,"&gt;="&amp;$D3141,DATA_GOC!$B:$B,"&lt;="&amp;$E3141))</f>
        <v/>
      </c>
      <c r="J3141" s="59">
        <f t="shared" si="28"/>
        <v>0</v>
      </c>
      <c r="K3141" s="59">
        <f t="shared" si="29"/>
        <v>0</v>
      </c>
      <c r="L3141" s="59">
        <f t="shared" si="30"/>
        <v>0</v>
      </c>
      <c r="M3141" s="59">
        <f t="shared" si="31"/>
        <v>0</v>
      </c>
    </row>
    <row r="3142" ht="15.0" hidden="1" customHeight="1">
      <c r="A3142" s="59">
        <f t="shared" si="20"/>
        <v>49</v>
      </c>
      <c r="B3142" s="59" t="str">
        <f t="shared" si="21"/>
        <v/>
      </c>
      <c r="C3142" s="59" t="str">
        <f t="shared" si="22"/>
        <v/>
      </c>
      <c r="D3142" s="45" t="str">
        <f t="shared" si="23"/>
        <v/>
      </c>
      <c r="E3142" s="45" t="str">
        <f t="shared" si="24"/>
        <v/>
      </c>
      <c r="F3142" s="59" t="str">
        <f t="shared" si="25"/>
        <v/>
      </c>
      <c r="G3142" s="59" t="str">
        <f t="shared" si="26"/>
        <v/>
      </c>
      <c r="H3142" s="59" t="str">
        <f t="shared" si="27"/>
        <v>28C06369</v>
      </c>
      <c r="I3142" s="59" t="str">
        <f>IF(OR($A3142="",$C3142="",$D3142="",$E3142="",$H3142=""),"",SUMIFS(DATA_GOC!$H:$H,DATA_GOC!$A:$A,"BOM",DATA_GOC!$D:$D,$H3142,DATA_GOC!$E:$E,$C3142,DATA_GOC!$F:$F,"Xuất nội bộ từ téc",DATA_GOC!$B:$B,"&gt;="&amp;$D3142,DATA_GOC!$B:$B,"&lt;="&amp;$E3142))</f>
        <v/>
      </c>
      <c r="J3142" s="59">
        <f t="shared" si="28"/>
        <v>0</v>
      </c>
      <c r="K3142" s="59">
        <f t="shared" si="29"/>
        <v>0</v>
      </c>
      <c r="L3142" s="59">
        <f t="shared" si="30"/>
        <v>0</v>
      </c>
      <c r="M3142" s="59">
        <f t="shared" si="31"/>
        <v>0</v>
      </c>
    </row>
    <row r="3143" ht="15.0" hidden="1" customHeight="1">
      <c r="A3143" s="59">
        <f t="shared" si="20"/>
        <v>49</v>
      </c>
      <c r="B3143" s="59" t="str">
        <f t="shared" si="21"/>
        <v/>
      </c>
      <c r="C3143" s="59" t="str">
        <f t="shared" si="22"/>
        <v/>
      </c>
      <c r="D3143" s="45" t="str">
        <f t="shared" si="23"/>
        <v/>
      </c>
      <c r="E3143" s="45" t="str">
        <f t="shared" si="24"/>
        <v/>
      </c>
      <c r="F3143" s="59" t="str">
        <f t="shared" si="25"/>
        <v/>
      </c>
      <c r="G3143" s="59" t="str">
        <f t="shared" si="26"/>
        <v/>
      </c>
      <c r="H3143" s="59" t="str">
        <f t="shared" si="27"/>
        <v>28C06447</v>
      </c>
      <c r="I3143" s="59" t="str">
        <f>IF(OR($A3143="",$C3143="",$D3143="",$E3143="",$H3143=""),"",SUMIFS(DATA_GOC!$H:$H,DATA_GOC!$A:$A,"BOM",DATA_GOC!$D:$D,$H3143,DATA_GOC!$E:$E,$C3143,DATA_GOC!$F:$F,"Xuất nội bộ từ téc",DATA_GOC!$B:$B,"&gt;="&amp;$D3143,DATA_GOC!$B:$B,"&lt;="&amp;$E3143))</f>
        <v/>
      </c>
      <c r="J3143" s="59">
        <f t="shared" si="28"/>
        <v>0</v>
      </c>
      <c r="K3143" s="59">
        <f t="shared" si="29"/>
        <v>0</v>
      </c>
      <c r="L3143" s="59">
        <f t="shared" si="30"/>
        <v>0</v>
      </c>
      <c r="M3143" s="59">
        <f t="shared" si="31"/>
        <v>0</v>
      </c>
    </row>
    <row r="3144" ht="15.0" hidden="1" customHeight="1">
      <c r="A3144" s="59">
        <f t="shared" si="20"/>
        <v>49</v>
      </c>
      <c r="B3144" s="59" t="str">
        <f t="shared" si="21"/>
        <v/>
      </c>
      <c r="C3144" s="59" t="str">
        <f t="shared" si="22"/>
        <v/>
      </c>
      <c r="D3144" s="45" t="str">
        <f t="shared" si="23"/>
        <v/>
      </c>
      <c r="E3144" s="45" t="str">
        <f t="shared" si="24"/>
        <v/>
      </c>
      <c r="F3144" s="59" t="str">
        <f t="shared" si="25"/>
        <v/>
      </c>
      <c r="G3144" s="59" t="str">
        <f t="shared" si="26"/>
        <v/>
      </c>
      <c r="H3144" s="59" t="str">
        <f t="shared" si="27"/>
        <v>28H00003</v>
      </c>
      <c r="I3144" s="59" t="str">
        <f>IF(OR($A3144="",$C3144="",$D3144="",$E3144="",$H3144=""),"",SUMIFS(DATA_GOC!$H:$H,DATA_GOC!$A:$A,"BOM",DATA_GOC!$D:$D,$H3144,DATA_GOC!$E:$E,$C3144,DATA_GOC!$F:$F,"Xuất nội bộ từ téc",DATA_GOC!$B:$B,"&gt;="&amp;$D3144,DATA_GOC!$B:$B,"&lt;="&amp;$E3144))</f>
        <v/>
      </c>
      <c r="J3144" s="59">
        <f t="shared" si="28"/>
        <v>0</v>
      </c>
      <c r="K3144" s="59">
        <f t="shared" si="29"/>
        <v>0</v>
      </c>
      <c r="L3144" s="59">
        <f t="shared" si="30"/>
        <v>0</v>
      </c>
      <c r="M3144" s="59">
        <f t="shared" si="31"/>
        <v>0</v>
      </c>
    </row>
    <row r="3145" ht="15.0" hidden="1" customHeight="1">
      <c r="A3145" s="59">
        <f t="shared" si="20"/>
        <v>49</v>
      </c>
      <c r="B3145" s="59" t="str">
        <f t="shared" si="21"/>
        <v/>
      </c>
      <c r="C3145" s="59" t="str">
        <f t="shared" si="22"/>
        <v/>
      </c>
      <c r="D3145" s="45" t="str">
        <f t="shared" si="23"/>
        <v/>
      </c>
      <c r="E3145" s="45" t="str">
        <f t="shared" si="24"/>
        <v/>
      </c>
      <c r="F3145" s="59" t="str">
        <f t="shared" si="25"/>
        <v/>
      </c>
      <c r="G3145" s="59" t="str">
        <f t="shared" si="26"/>
        <v/>
      </c>
      <c r="H3145" s="59" t="str">
        <f t="shared" si="27"/>
        <v>28H00061</v>
      </c>
      <c r="I3145" s="59" t="str">
        <f>IF(OR($A3145="",$C3145="",$D3145="",$E3145="",$H3145=""),"",SUMIFS(DATA_GOC!$H:$H,DATA_GOC!$A:$A,"BOM",DATA_GOC!$D:$D,$H3145,DATA_GOC!$E:$E,$C3145,DATA_GOC!$F:$F,"Xuất nội bộ từ téc",DATA_GOC!$B:$B,"&gt;="&amp;$D3145,DATA_GOC!$B:$B,"&lt;="&amp;$E3145))</f>
        <v/>
      </c>
      <c r="J3145" s="59">
        <f t="shared" si="28"/>
        <v>0</v>
      </c>
      <c r="K3145" s="59">
        <f t="shared" si="29"/>
        <v>0</v>
      </c>
      <c r="L3145" s="59">
        <f t="shared" si="30"/>
        <v>0</v>
      </c>
      <c r="M3145" s="59">
        <f t="shared" si="31"/>
        <v>0</v>
      </c>
    </row>
    <row r="3146" ht="15.0" hidden="1" customHeight="1">
      <c r="A3146" s="59">
        <f t="shared" si="20"/>
        <v>49</v>
      </c>
      <c r="B3146" s="59" t="str">
        <f t="shared" si="21"/>
        <v/>
      </c>
      <c r="C3146" s="59" t="str">
        <f t="shared" si="22"/>
        <v/>
      </c>
      <c r="D3146" s="45" t="str">
        <f t="shared" si="23"/>
        <v/>
      </c>
      <c r="E3146" s="45" t="str">
        <f t="shared" si="24"/>
        <v/>
      </c>
      <c r="F3146" s="59" t="str">
        <f t="shared" si="25"/>
        <v/>
      </c>
      <c r="G3146" s="59" t="str">
        <f t="shared" si="26"/>
        <v/>
      </c>
      <c r="H3146" s="59" t="str">
        <f t="shared" si="27"/>
        <v>28H00354</v>
      </c>
      <c r="I3146" s="59" t="str">
        <f>IF(OR($A3146="",$C3146="",$D3146="",$E3146="",$H3146=""),"",SUMIFS(DATA_GOC!$H:$H,DATA_GOC!$A:$A,"BOM",DATA_GOC!$D:$D,$H3146,DATA_GOC!$E:$E,$C3146,DATA_GOC!$F:$F,"Xuất nội bộ từ téc",DATA_GOC!$B:$B,"&gt;="&amp;$D3146,DATA_GOC!$B:$B,"&lt;="&amp;$E3146))</f>
        <v/>
      </c>
      <c r="J3146" s="59">
        <f t="shared" si="28"/>
        <v>0</v>
      </c>
      <c r="K3146" s="59">
        <f t="shared" si="29"/>
        <v>0</v>
      </c>
      <c r="L3146" s="59">
        <f t="shared" si="30"/>
        <v>0</v>
      </c>
      <c r="M3146" s="59">
        <f t="shared" si="31"/>
        <v>0</v>
      </c>
    </row>
    <row r="3147" ht="15.0" hidden="1" customHeight="1">
      <c r="A3147" s="59">
        <f t="shared" si="20"/>
        <v>49</v>
      </c>
      <c r="B3147" s="59" t="str">
        <f t="shared" si="21"/>
        <v/>
      </c>
      <c r="C3147" s="59" t="str">
        <f t="shared" si="22"/>
        <v/>
      </c>
      <c r="D3147" s="45" t="str">
        <f t="shared" si="23"/>
        <v/>
      </c>
      <c r="E3147" s="45" t="str">
        <f t="shared" si="24"/>
        <v/>
      </c>
      <c r="F3147" s="59" t="str">
        <f t="shared" si="25"/>
        <v/>
      </c>
      <c r="G3147" s="59" t="str">
        <f t="shared" si="26"/>
        <v/>
      </c>
      <c r="H3147" s="59" t="str">
        <f t="shared" si="27"/>
        <v>28H00603</v>
      </c>
      <c r="I3147" s="59" t="str">
        <f>IF(OR($A3147="",$C3147="",$D3147="",$E3147="",$H3147=""),"",SUMIFS(DATA_GOC!$H:$H,DATA_GOC!$A:$A,"BOM",DATA_GOC!$D:$D,$H3147,DATA_GOC!$E:$E,$C3147,DATA_GOC!$F:$F,"Xuất nội bộ từ téc",DATA_GOC!$B:$B,"&gt;="&amp;$D3147,DATA_GOC!$B:$B,"&lt;="&amp;$E3147))</f>
        <v/>
      </c>
      <c r="J3147" s="59">
        <f t="shared" si="28"/>
        <v>0</v>
      </c>
      <c r="K3147" s="59">
        <f t="shared" si="29"/>
        <v>0</v>
      </c>
      <c r="L3147" s="59">
        <f t="shared" si="30"/>
        <v>0</v>
      </c>
      <c r="M3147" s="59">
        <f t="shared" si="31"/>
        <v>0</v>
      </c>
    </row>
    <row r="3148" ht="15.0" hidden="1" customHeight="1">
      <c r="A3148" s="59">
        <f t="shared" si="20"/>
        <v>49</v>
      </c>
      <c r="B3148" s="59" t="str">
        <f t="shared" si="21"/>
        <v/>
      </c>
      <c r="C3148" s="59" t="str">
        <f t="shared" si="22"/>
        <v/>
      </c>
      <c r="D3148" s="45" t="str">
        <f t="shared" si="23"/>
        <v/>
      </c>
      <c r="E3148" s="45" t="str">
        <f t="shared" si="24"/>
        <v/>
      </c>
      <c r="F3148" s="59" t="str">
        <f t="shared" si="25"/>
        <v/>
      </c>
      <c r="G3148" s="59" t="str">
        <f t="shared" si="26"/>
        <v/>
      </c>
      <c r="H3148" s="59" t="str">
        <f t="shared" si="27"/>
        <v>28H00609</v>
      </c>
      <c r="I3148" s="59" t="str">
        <f>IF(OR($A3148="",$C3148="",$D3148="",$E3148="",$H3148=""),"",SUMIFS(DATA_GOC!$H:$H,DATA_GOC!$A:$A,"BOM",DATA_GOC!$D:$D,$H3148,DATA_GOC!$E:$E,$C3148,DATA_GOC!$F:$F,"Xuất nội bộ từ téc",DATA_GOC!$B:$B,"&gt;="&amp;$D3148,DATA_GOC!$B:$B,"&lt;="&amp;$E3148))</f>
        <v/>
      </c>
      <c r="J3148" s="59">
        <f t="shared" si="28"/>
        <v>0</v>
      </c>
      <c r="K3148" s="59">
        <f t="shared" si="29"/>
        <v>0</v>
      </c>
      <c r="L3148" s="59">
        <f t="shared" si="30"/>
        <v>0</v>
      </c>
      <c r="M3148" s="59">
        <f t="shared" si="31"/>
        <v>0</v>
      </c>
    </row>
    <row r="3149" ht="15.0" hidden="1" customHeight="1">
      <c r="A3149" s="59">
        <f t="shared" si="20"/>
        <v>49</v>
      </c>
      <c r="B3149" s="59" t="str">
        <f t="shared" si="21"/>
        <v/>
      </c>
      <c r="C3149" s="59" t="str">
        <f t="shared" si="22"/>
        <v/>
      </c>
      <c r="D3149" s="45" t="str">
        <f t="shared" si="23"/>
        <v/>
      </c>
      <c r="E3149" s="45" t="str">
        <f t="shared" si="24"/>
        <v/>
      </c>
      <c r="F3149" s="59" t="str">
        <f t="shared" si="25"/>
        <v/>
      </c>
      <c r="G3149" s="59" t="str">
        <f t="shared" si="26"/>
        <v/>
      </c>
      <c r="H3149" s="59" t="str">
        <f t="shared" si="27"/>
        <v>28H00669</v>
      </c>
      <c r="I3149" s="59" t="str">
        <f>IF(OR($A3149="",$C3149="",$D3149="",$E3149="",$H3149=""),"",SUMIFS(DATA_GOC!$H:$H,DATA_GOC!$A:$A,"BOM",DATA_GOC!$D:$D,$H3149,DATA_GOC!$E:$E,$C3149,DATA_GOC!$F:$F,"Xuất nội bộ từ téc",DATA_GOC!$B:$B,"&gt;="&amp;$D3149,DATA_GOC!$B:$B,"&lt;="&amp;$E3149))</f>
        <v/>
      </c>
      <c r="J3149" s="59">
        <f t="shared" si="28"/>
        <v>0</v>
      </c>
      <c r="K3149" s="59">
        <f t="shared" si="29"/>
        <v>0</v>
      </c>
      <c r="L3149" s="59">
        <f t="shared" si="30"/>
        <v>0</v>
      </c>
      <c r="M3149" s="59">
        <f t="shared" si="31"/>
        <v>0</v>
      </c>
    </row>
    <row r="3150" ht="15.0" hidden="1" customHeight="1">
      <c r="A3150" s="59">
        <f t="shared" si="20"/>
        <v>49</v>
      </c>
      <c r="B3150" s="59" t="str">
        <f t="shared" si="21"/>
        <v/>
      </c>
      <c r="C3150" s="59" t="str">
        <f t="shared" si="22"/>
        <v/>
      </c>
      <c r="D3150" s="45" t="str">
        <f t="shared" si="23"/>
        <v/>
      </c>
      <c r="E3150" s="45" t="str">
        <f t="shared" si="24"/>
        <v/>
      </c>
      <c r="F3150" s="59" t="str">
        <f t="shared" si="25"/>
        <v/>
      </c>
      <c r="G3150" s="59" t="str">
        <f t="shared" si="26"/>
        <v/>
      </c>
      <c r="H3150" s="59" t="str">
        <f t="shared" si="27"/>
        <v>28H00680</v>
      </c>
      <c r="I3150" s="59" t="str">
        <f>IF(OR($A3150="",$C3150="",$D3150="",$E3150="",$H3150=""),"",SUMIFS(DATA_GOC!$H:$H,DATA_GOC!$A:$A,"BOM",DATA_GOC!$D:$D,$H3150,DATA_GOC!$E:$E,$C3150,DATA_GOC!$F:$F,"Xuất nội bộ từ téc",DATA_GOC!$B:$B,"&gt;="&amp;$D3150,DATA_GOC!$B:$B,"&lt;="&amp;$E3150))</f>
        <v/>
      </c>
      <c r="J3150" s="59">
        <f t="shared" si="28"/>
        <v>0</v>
      </c>
      <c r="K3150" s="59">
        <f t="shared" si="29"/>
        <v>0</v>
      </c>
      <c r="L3150" s="59">
        <f t="shared" si="30"/>
        <v>0</v>
      </c>
      <c r="M3150" s="59">
        <f t="shared" si="31"/>
        <v>0</v>
      </c>
    </row>
    <row r="3151" ht="15.0" hidden="1" customHeight="1">
      <c r="A3151" s="59">
        <f t="shared" si="20"/>
        <v>49</v>
      </c>
      <c r="B3151" s="59" t="str">
        <f t="shared" si="21"/>
        <v/>
      </c>
      <c r="C3151" s="59" t="str">
        <f t="shared" si="22"/>
        <v/>
      </c>
      <c r="D3151" s="45" t="str">
        <f t="shared" si="23"/>
        <v/>
      </c>
      <c r="E3151" s="45" t="str">
        <f t="shared" si="24"/>
        <v/>
      </c>
      <c r="F3151" s="59" t="str">
        <f t="shared" si="25"/>
        <v/>
      </c>
      <c r="G3151" s="59" t="str">
        <f t="shared" si="26"/>
        <v/>
      </c>
      <c r="H3151" s="59" t="str">
        <f t="shared" si="27"/>
        <v>28H01070</v>
      </c>
      <c r="I3151" s="59" t="str">
        <f>IF(OR($A3151="",$C3151="",$D3151="",$E3151="",$H3151=""),"",SUMIFS(DATA_GOC!$H:$H,DATA_GOC!$A:$A,"BOM",DATA_GOC!$D:$D,$H3151,DATA_GOC!$E:$E,$C3151,DATA_GOC!$F:$F,"Xuất nội bộ từ téc",DATA_GOC!$B:$B,"&gt;="&amp;$D3151,DATA_GOC!$B:$B,"&lt;="&amp;$E3151))</f>
        <v/>
      </c>
      <c r="J3151" s="59">
        <f t="shared" si="28"/>
        <v>0</v>
      </c>
      <c r="K3151" s="59">
        <f t="shared" si="29"/>
        <v>0</v>
      </c>
      <c r="L3151" s="59">
        <f t="shared" si="30"/>
        <v>0</v>
      </c>
      <c r="M3151" s="59">
        <f t="shared" si="31"/>
        <v>0</v>
      </c>
    </row>
    <row r="3152" ht="15.0" hidden="1" customHeight="1">
      <c r="A3152" s="59">
        <f t="shared" si="20"/>
        <v>49</v>
      </c>
      <c r="B3152" s="59" t="str">
        <f t="shared" si="21"/>
        <v/>
      </c>
      <c r="C3152" s="59" t="str">
        <f t="shared" si="22"/>
        <v/>
      </c>
      <c r="D3152" s="45" t="str">
        <f t="shared" si="23"/>
        <v/>
      </c>
      <c r="E3152" s="45" t="str">
        <f t="shared" si="24"/>
        <v/>
      </c>
      <c r="F3152" s="59" t="str">
        <f t="shared" si="25"/>
        <v/>
      </c>
      <c r="G3152" s="59" t="str">
        <f t="shared" si="26"/>
        <v/>
      </c>
      <c r="H3152" s="59" t="str">
        <f t="shared" si="27"/>
        <v>28H01364</v>
      </c>
      <c r="I3152" s="59" t="str">
        <f>IF(OR($A3152="",$C3152="",$D3152="",$E3152="",$H3152=""),"",SUMIFS(DATA_GOC!$H:$H,DATA_GOC!$A:$A,"BOM",DATA_GOC!$D:$D,$H3152,DATA_GOC!$E:$E,$C3152,DATA_GOC!$F:$F,"Xuất nội bộ từ téc",DATA_GOC!$B:$B,"&gt;="&amp;$D3152,DATA_GOC!$B:$B,"&lt;="&amp;$E3152))</f>
        <v/>
      </c>
      <c r="J3152" s="59">
        <f t="shared" si="28"/>
        <v>0</v>
      </c>
      <c r="K3152" s="59">
        <f t="shared" si="29"/>
        <v>0</v>
      </c>
      <c r="L3152" s="59">
        <f t="shared" si="30"/>
        <v>0</v>
      </c>
      <c r="M3152" s="59">
        <f t="shared" si="31"/>
        <v>0</v>
      </c>
    </row>
    <row r="3153" ht="15.0" hidden="1" customHeight="1">
      <c r="A3153" s="59">
        <f t="shared" si="20"/>
        <v>49</v>
      </c>
      <c r="B3153" s="59" t="str">
        <f t="shared" si="21"/>
        <v/>
      </c>
      <c r="C3153" s="59" t="str">
        <f t="shared" si="22"/>
        <v/>
      </c>
      <c r="D3153" s="45" t="str">
        <f t="shared" si="23"/>
        <v/>
      </c>
      <c r="E3153" s="45" t="str">
        <f t="shared" si="24"/>
        <v/>
      </c>
      <c r="F3153" s="59" t="str">
        <f t="shared" si="25"/>
        <v/>
      </c>
      <c r="G3153" s="59" t="str">
        <f t="shared" si="26"/>
        <v/>
      </c>
      <c r="H3153" s="59" t="str">
        <f t="shared" si="27"/>
        <v>29E17269</v>
      </c>
      <c r="I3153" s="59" t="str">
        <f>IF(OR($A3153="",$C3153="",$D3153="",$E3153="",$H3153=""),"",SUMIFS(DATA_GOC!$H:$H,DATA_GOC!$A:$A,"BOM",DATA_GOC!$D:$D,$H3153,DATA_GOC!$E:$E,$C3153,DATA_GOC!$F:$F,"Xuất nội bộ từ téc",DATA_GOC!$B:$B,"&gt;="&amp;$D3153,DATA_GOC!$B:$B,"&lt;="&amp;$E3153))</f>
        <v/>
      </c>
      <c r="J3153" s="59">
        <f t="shared" si="28"/>
        <v>0</v>
      </c>
      <c r="K3153" s="59">
        <f t="shared" si="29"/>
        <v>0</v>
      </c>
      <c r="L3153" s="59">
        <f t="shared" si="30"/>
        <v>0</v>
      </c>
      <c r="M3153" s="59">
        <f t="shared" si="31"/>
        <v>0</v>
      </c>
    </row>
    <row r="3154" ht="15.0" hidden="1" customHeight="1">
      <c r="A3154" s="59">
        <f t="shared" si="20"/>
        <v>49</v>
      </c>
      <c r="B3154" s="59" t="str">
        <f t="shared" si="21"/>
        <v/>
      </c>
      <c r="C3154" s="59" t="str">
        <f t="shared" si="22"/>
        <v/>
      </c>
      <c r="D3154" s="45" t="str">
        <f t="shared" si="23"/>
        <v/>
      </c>
      <c r="E3154" s="45" t="str">
        <f t="shared" si="24"/>
        <v/>
      </c>
      <c r="F3154" s="59" t="str">
        <f t="shared" si="25"/>
        <v/>
      </c>
      <c r="G3154" s="59" t="str">
        <f t="shared" si="26"/>
        <v/>
      </c>
      <c r="H3154" s="59" t="str">
        <f t="shared" si="27"/>
        <v>29E17273</v>
      </c>
      <c r="I3154" s="59" t="str">
        <f>IF(OR($A3154="",$C3154="",$D3154="",$E3154="",$H3154=""),"",SUMIFS(DATA_GOC!$H:$H,DATA_GOC!$A:$A,"BOM",DATA_GOC!$D:$D,$H3154,DATA_GOC!$E:$E,$C3154,DATA_GOC!$F:$F,"Xuất nội bộ từ téc",DATA_GOC!$B:$B,"&gt;="&amp;$D3154,DATA_GOC!$B:$B,"&lt;="&amp;$E3154))</f>
        <v/>
      </c>
      <c r="J3154" s="59">
        <f t="shared" si="28"/>
        <v>0</v>
      </c>
      <c r="K3154" s="59">
        <f t="shared" si="29"/>
        <v>0</v>
      </c>
      <c r="L3154" s="59">
        <f t="shared" si="30"/>
        <v>0</v>
      </c>
      <c r="M3154" s="59">
        <f t="shared" si="31"/>
        <v>0</v>
      </c>
    </row>
    <row r="3155" ht="15.0" hidden="1" customHeight="1">
      <c r="A3155" s="59">
        <f t="shared" si="20"/>
        <v>49</v>
      </c>
      <c r="B3155" s="59" t="str">
        <f t="shared" si="21"/>
        <v/>
      </c>
      <c r="C3155" s="59" t="str">
        <f t="shared" si="22"/>
        <v/>
      </c>
      <c r="D3155" s="45" t="str">
        <f t="shared" si="23"/>
        <v/>
      </c>
      <c r="E3155" s="45" t="str">
        <f t="shared" si="24"/>
        <v/>
      </c>
      <c r="F3155" s="59" t="str">
        <f t="shared" si="25"/>
        <v/>
      </c>
      <c r="G3155" s="59" t="str">
        <f t="shared" si="26"/>
        <v/>
      </c>
      <c r="H3155" s="59" t="str">
        <f t="shared" si="27"/>
        <v>29E17410</v>
      </c>
      <c r="I3155" s="59" t="str">
        <f>IF(OR($A3155="",$C3155="",$D3155="",$E3155="",$H3155=""),"",SUMIFS(DATA_GOC!$H:$H,DATA_GOC!$A:$A,"BOM",DATA_GOC!$D:$D,$H3155,DATA_GOC!$E:$E,$C3155,DATA_GOC!$F:$F,"Xuất nội bộ từ téc",DATA_GOC!$B:$B,"&gt;="&amp;$D3155,DATA_GOC!$B:$B,"&lt;="&amp;$E3155))</f>
        <v/>
      </c>
      <c r="J3155" s="59">
        <f t="shared" si="28"/>
        <v>0</v>
      </c>
      <c r="K3155" s="59">
        <f t="shared" si="29"/>
        <v>0</v>
      </c>
      <c r="L3155" s="59">
        <f t="shared" si="30"/>
        <v>0</v>
      </c>
      <c r="M3155" s="59">
        <f t="shared" si="31"/>
        <v>0</v>
      </c>
    </row>
    <row r="3156" ht="15.0" hidden="1" customHeight="1">
      <c r="A3156" s="59">
        <f t="shared" si="20"/>
        <v>49</v>
      </c>
      <c r="B3156" s="59" t="str">
        <f t="shared" si="21"/>
        <v/>
      </c>
      <c r="C3156" s="59" t="str">
        <f t="shared" si="22"/>
        <v/>
      </c>
      <c r="D3156" s="45" t="str">
        <f t="shared" si="23"/>
        <v/>
      </c>
      <c r="E3156" s="45" t="str">
        <f t="shared" si="24"/>
        <v/>
      </c>
      <c r="F3156" s="59" t="str">
        <f t="shared" si="25"/>
        <v/>
      </c>
      <c r="G3156" s="59" t="str">
        <f t="shared" si="26"/>
        <v/>
      </c>
      <c r="H3156" s="59" t="str">
        <f t="shared" si="27"/>
        <v>29E17417</v>
      </c>
      <c r="I3156" s="59" t="str">
        <f>IF(OR($A3156="",$C3156="",$D3156="",$E3156="",$H3156=""),"",SUMIFS(DATA_GOC!$H:$H,DATA_GOC!$A:$A,"BOM",DATA_GOC!$D:$D,$H3156,DATA_GOC!$E:$E,$C3156,DATA_GOC!$F:$F,"Xuất nội bộ từ téc",DATA_GOC!$B:$B,"&gt;="&amp;$D3156,DATA_GOC!$B:$B,"&lt;="&amp;$E3156))</f>
        <v/>
      </c>
      <c r="J3156" s="59">
        <f t="shared" si="28"/>
        <v>0</v>
      </c>
      <c r="K3156" s="59">
        <f t="shared" si="29"/>
        <v>0</v>
      </c>
      <c r="L3156" s="59">
        <f t="shared" si="30"/>
        <v>0</v>
      </c>
      <c r="M3156" s="59">
        <f t="shared" si="31"/>
        <v>0</v>
      </c>
    </row>
    <row r="3157" ht="15.0" hidden="1" customHeight="1">
      <c r="A3157" s="59">
        <f t="shared" si="20"/>
        <v>49</v>
      </c>
      <c r="B3157" s="59" t="str">
        <f t="shared" si="21"/>
        <v/>
      </c>
      <c r="C3157" s="59" t="str">
        <f t="shared" si="22"/>
        <v/>
      </c>
      <c r="D3157" s="45" t="str">
        <f t="shared" si="23"/>
        <v/>
      </c>
      <c r="E3157" s="45" t="str">
        <f t="shared" si="24"/>
        <v/>
      </c>
      <c r="F3157" s="59" t="str">
        <f t="shared" si="25"/>
        <v/>
      </c>
      <c r="G3157" s="59" t="str">
        <f t="shared" si="26"/>
        <v/>
      </c>
      <c r="H3157" s="59" t="str">
        <f t="shared" si="27"/>
        <v>29E17539</v>
      </c>
      <c r="I3157" s="59" t="str">
        <f>IF(OR($A3157="",$C3157="",$D3157="",$E3157="",$H3157=""),"",SUMIFS(DATA_GOC!$H:$H,DATA_GOC!$A:$A,"BOM",DATA_GOC!$D:$D,$H3157,DATA_GOC!$E:$E,$C3157,DATA_GOC!$F:$F,"Xuất nội bộ từ téc",DATA_GOC!$B:$B,"&gt;="&amp;$D3157,DATA_GOC!$B:$B,"&lt;="&amp;$E3157))</f>
        <v/>
      </c>
      <c r="J3157" s="59">
        <f t="shared" si="28"/>
        <v>0</v>
      </c>
      <c r="K3157" s="59">
        <f t="shared" si="29"/>
        <v>0</v>
      </c>
      <c r="L3157" s="59">
        <f t="shared" si="30"/>
        <v>0</v>
      </c>
      <c r="M3157" s="59">
        <f t="shared" si="31"/>
        <v>0</v>
      </c>
    </row>
    <row r="3158" ht="15.0" hidden="1" customHeight="1">
      <c r="A3158" s="59">
        <f t="shared" si="20"/>
        <v>49</v>
      </c>
      <c r="B3158" s="59" t="str">
        <f t="shared" si="21"/>
        <v/>
      </c>
      <c r="C3158" s="59" t="str">
        <f t="shared" si="22"/>
        <v/>
      </c>
      <c r="D3158" s="45" t="str">
        <f t="shared" si="23"/>
        <v/>
      </c>
      <c r="E3158" s="45" t="str">
        <f t="shared" si="24"/>
        <v/>
      </c>
      <c r="F3158" s="59" t="str">
        <f t="shared" si="25"/>
        <v/>
      </c>
      <c r="G3158" s="59" t="str">
        <f t="shared" si="26"/>
        <v/>
      </c>
      <c r="H3158" s="59" t="str">
        <f t="shared" si="27"/>
        <v>29E18160</v>
      </c>
      <c r="I3158" s="59" t="str">
        <f>IF(OR($A3158="",$C3158="",$D3158="",$E3158="",$H3158=""),"",SUMIFS(DATA_GOC!$H:$H,DATA_GOC!$A:$A,"BOM",DATA_GOC!$D:$D,$H3158,DATA_GOC!$E:$E,$C3158,DATA_GOC!$F:$F,"Xuất nội bộ từ téc",DATA_GOC!$B:$B,"&gt;="&amp;$D3158,DATA_GOC!$B:$B,"&lt;="&amp;$E3158))</f>
        <v/>
      </c>
      <c r="J3158" s="59">
        <f t="shared" si="28"/>
        <v>0</v>
      </c>
      <c r="K3158" s="59">
        <f t="shared" si="29"/>
        <v>0</v>
      </c>
      <c r="L3158" s="59">
        <f t="shared" si="30"/>
        <v>0</v>
      </c>
      <c r="M3158" s="59">
        <f t="shared" si="31"/>
        <v>0</v>
      </c>
    </row>
    <row r="3159" ht="15.0" hidden="1" customHeight="1">
      <c r="A3159" s="59">
        <f t="shared" si="20"/>
        <v>49</v>
      </c>
      <c r="B3159" s="59" t="str">
        <f t="shared" si="21"/>
        <v/>
      </c>
      <c r="C3159" s="59" t="str">
        <f t="shared" si="22"/>
        <v/>
      </c>
      <c r="D3159" s="45" t="str">
        <f t="shared" si="23"/>
        <v/>
      </c>
      <c r="E3159" s="45" t="str">
        <f t="shared" si="24"/>
        <v/>
      </c>
      <c r="F3159" s="59" t="str">
        <f t="shared" si="25"/>
        <v/>
      </c>
      <c r="G3159" s="59" t="str">
        <f t="shared" si="26"/>
        <v/>
      </c>
      <c r="H3159" s="59" t="str">
        <f t="shared" si="27"/>
        <v>Công trình Asphalt</v>
      </c>
      <c r="I3159" s="59" t="str">
        <f>IF(OR($A3159="",$C3159="",$D3159="",$E3159="",$H3159=""),"",SUMIFS(DATA_GOC!$H:$H,DATA_GOC!$A:$A,"BOM",DATA_GOC!$D:$D,$H3159,DATA_GOC!$E:$E,$C3159,DATA_GOC!$F:$F,"Xuất nội bộ từ téc",DATA_GOC!$B:$B,"&gt;="&amp;$D3159,DATA_GOC!$B:$B,"&lt;="&amp;$E3159))</f>
        <v/>
      </c>
      <c r="J3159" s="59">
        <f t="shared" si="28"/>
        <v>0</v>
      </c>
      <c r="K3159" s="59">
        <f t="shared" si="29"/>
        <v>0</v>
      </c>
      <c r="L3159" s="59">
        <f t="shared" si="30"/>
        <v>0</v>
      </c>
      <c r="M3159" s="59">
        <f t="shared" si="31"/>
        <v>0</v>
      </c>
    </row>
    <row r="3160" ht="15.0" hidden="1" customHeight="1">
      <c r="A3160" s="59">
        <f t="shared" si="20"/>
        <v>49</v>
      </c>
      <c r="B3160" s="59" t="str">
        <f t="shared" si="21"/>
        <v/>
      </c>
      <c r="C3160" s="59" t="str">
        <f t="shared" si="22"/>
        <v/>
      </c>
      <c r="D3160" s="45" t="str">
        <f t="shared" si="23"/>
        <v/>
      </c>
      <c r="E3160" s="45" t="str">
        <f t="shared" si="24"/>
        <v/>
      </c>
      <c r="F3160" s="59" t="str">
        <f t="shared" si="25"/>
        <v/>
      </c>
      <c r="G3160" s="59" t="str">
        <f t="shared" si="26"/>
        <v/>
      </c>
      <c r="H3160" s="59" t="str">
        <f t="shared" si="27"/>
        <v>LG53F</v>
      </c>
      <c r="I3160" s="59" t="str">
        <f>IF(OR($A3160="",$C3160="",$D3160="",$E3160="",$H3160=""),"",SUMIFS(DATA_GOC!$H:$H,DATA_GOC!$A:$A,"BOM",DATA_GOC!$D:$D,$H3160,DATA_GOC!$E:$E,$C3160,DATA_GOC!$F:$F,"Xuất nội bộ từ téc",DATA_GOC!$B:$B,"&gt;="&amp;$D3160,DATA_GOC!$B:$B,"&lt;="&amp;$E3160))</f>
        <v/>
      </c>
      <c r="J3160" s="59">
        <f t="shared" si="28"/>
        <v>0</v>
      </c>
      <c r="K3160" s="59">
        <f t="shared" si="29"/>
        <v>0</v>
      </c>
      <c r="L3160" s="59">
        <f t="shared" si="30"/>
        <v>0</v>
      </c>
      <c r="M3160" s="59">
        <f t="shared" si="31"/>
        <v>0</v>
      </c>
    </row>
    <row r="3161" ht="15.0" hidden="1" customHeight="1">
      <c r="A3161" s="59">
        <f t="shared" si="20"/>
        <v>49</v>
      </c>
      <c r="B3161" s="59" t="str">
        <f t="shared" si="21"/>
        <v/>
      </c>
      <c r="C3161" s="59" t="str">
        <f t="shared" si="22"/>
        <v/>
      </c>
      <c r="D3161" s="45" t="str">
        <f t="shared" si="23"/>
        <v/>
      </c>
      <c r="E3161" s="45" t="str">
        <f t="shared" si="24"/>
        <v/>
      </c>
      <c r="F3161" s="59" t="str">
        <f t="shared" si="25"/>
        <v/>
      </c>
      <c r="G3161" s="59" t="str">
        <f t="shared" si="26"/>
        <v/>
      </c>
      <c r="H3161" s="59" t="str">
        <f t="shared" si="27"/>
        <v>Máy phát điện</v>
      </c>
      <c r="I3161" s="59" t="str">
        <f>IF(OR($A3161="",$C3161="",$D3161="",$E3161="",$H3161=""),"",SUMIFS(DATA_GOC!$H:$H,DATA_GOC!$A:$A,"BOM",DATA_GOC!$D:$D,$H3161,DATA_GOC!$E:$E,$C3161,DATA_GOC!$F:$F,"Xuất nội bộ từ téc",DATA_GOC!$B:$B,"&gt;="&amp;$D3161,DATA_GOC!$B:$B,"&lt;="&amp;$E3161))</f>
        <v/>
      </c>
      <c r="J3161" s="59">
        <f t="shared" si="28"/>
        <v>0</v>
      </c>
      <c r="K3161" s="59">
        <f t="shared" si="29"/>
        <v>0</v>
      </c>
      <c r="L3161" s="59">
        <f t="shared" si="30"/>
        <v>0</v>
      </c>
      <c r="M3161" s="59">
        <f t="shared" si="31"/>
        <v>0</v>
      </c>
    </row>
    <row r="3162" ht="15.0" hidden="1" customHeight="1">
      <c r="A3162" s="59">
        <f t="shared" si="20"/>
        <v>49</v>
      </c>
      <c r="B3162" s="59" t="str">
        <f t="shared" si="21"/>
        <v/>
      </c>
      <c r="C3162" s="59" t="str">
        <f t="shared" si="22"/>
        <v/>
      </c>
      <c r="D3162" s="45" t="str">
        <f t="shared" si="23"/>
        <v/>
      </c>
      <c r="E3162" s="45" t="str">
        <f t="shared" si="24"/>
        <v/>
      </c>
      <c r="F3162" s="59" t="str">
        <f t="shared" si="25"/>
        <v/>
      </c>
      <c r="G3162" s="59" t="str">
        <f t="shared" si="26"/>
        <v/>
      </c>
      <c r="H3162" s="59" t="str">
        <f t="shared" si="27"/>
        <v>Máy rải thảm</v>
      </c>
      <c r="I3162" s="59" t="str">
        <f>IF(OR($A3162="",$C3162="",$D3162="",$E3162="",$H3162=""),"",SUMIFS(DATA_GOC!$H:$H,DATA_GOC!$A:$A,"BOM",DATA_GOC!$D:$D,$H3162,DATA_GOC!$E:$E,$C3162,DATA_GOC!$F:$F,"Xuất nội bộ từ téc",DATA_GOC!$B:$B,"&gt;="&amp;$D3162,DATA_GOC!$B:$B,"&lt;="&amp;$E3162))</f>
        <v/>
      </c>
      <c r="J3162" s="59">
        <f t="shared" si="28"/>
        <v>0</v>
      </c>
      <c r="K3162" s="59">
        <f t="shared" si="29"/>
        <v>0</v>
      </c>
      <c r="L3162" s="59">
        <f t="shared" si="30"/>
        <v>0</v>
      </c>
      <c r="M3162" s="59">
        <f t="shared" si="31"/>
        <v>0</v>
      </c>
    </row>
    <row r="3163" ht="15.0" hidden="1" customHeight="1">
      <c r="A3163" s="59">
        <f t="shared" si="20"/>
        <v>49</v>
      </c>
      <c r="B3163" s="59" t="str">
        <f t="shared" si="21"/>
        <v/>
      </c>
      <c r="C3163" s="59" t="str">
        <f t="shared" si="22"/>
        <v/>
      </c>
      <c r="D3163" s="45" t="str">
        <f t="shared" si="23"/>
        <v/>
      </c>
      <c r="E3163" s="45" t="str">
        <f t="shared" si="24"/>
        <v/>
      </c>
      <c r="F3163" s="59" t="str">
        <f t="shared" si="25"/>
        <v/>
      </c>
      <c r="G3163" s="59" t="str">
        <f t="shared" si="26"/>
        <v/>
      </c>
      <c r="H3163" s="59" t="str">
        <f t="shared" si="27"/>
        <v>Xúc Đào</v>
      </c>
      <c r="I3163" s="59" t="str">
        <f>IF(OR($A3163="",$C3163="",$D3163="",$E3163="",$H3163=""),"",SUMIFS(DATA_GOC!$H:$H,DATA_GOC!$A:$A,"BOM",DATA_GOC!$D:$D,$H3163,DATA_GOC!$E:$E,$C3163,DATA_GOC!$F:$F,"Xuất nội bộ từ téc",DATA_GOC!$B:$B,"&gt;="&amp;$D3163,DATA_GOC!$B:$B,"&lt;="&amp;$E3163))</f>
        <v/>
      </c>
      <c r="J3163" s="59">
        <f t="shared" si="28"/>
        <v>0</v>
      </c>
      <c r="K3163" s="59">
        <f t="shared" si="29"/>
        <v>0</v>
      </c>
      <c r="L3163" s="59">
        <f t="shared" si="30"/>
        <v>0</v>
      </c>
      <c r="M3163" s="59">
        <f t="shared" si="31"/>
        <v>0</v>
      </c>
    </row>
    <row r="3164" ht="15.0" hidden="1" customHeight="1">
      <c r="A3164" s="59">
        <f t="shared" si="20"/>
        <v>49</v>
      </c>
      <c r="B3164" s="59" t="str">
        <f t="shared" si="21"/>
        <v/>
      </c>
      <c r="C3164" s="59" t="str">
        <f t="shared" si="22"/>
        <v/>
      </c>
      <c r="D3164" s="45" t="str">
        <f t="shared" si="23"/>
        <v/>
      </c>
      <c r="E3164" s="45" t="str">
        <f t="shared" si="24"/>
        <v/>
      </c>
      <c r="F3164" s="59" t="str">
        <f t="shared" si="25"/>
        <v/>
      </c>
      <c r="G3164" s="59" t="str">
        <f t="shared" si="26"/>
        <v/>
      </c>
      <c r="H3164" s="59" t="str">
        <f t="shared" si="27"/>
        <v>Xúclật asphalt</v>
      </c>
      <c r="I3164" s="59" t="str">
        <f>IF(OR($A3164="",$C3164="",$D3164="",$E3164="",$H3164=""),"",SUMIFS(DATA_GOC!$H:$H,DATA_GOC!$A:$A,"BOM",DATA_GOC!$D:$D,$H3164,DATA_GOC!$E:$E,$C3164,DATA_GOC!$F:$F,"Xuất nội bộ từ téc",DATA_GOC!$B:$B,"&gt;="&amp;$D3164,DATA_GOC!$B:$B,"&lt;="&amp;$E3164))</f>
        <v/>
      </c>
      <c r="J3164" s="59">
        <f t="shared" si="28"/>
        <v>0</v>
      </c>
      <c r="K3164" s="59">
        <f t="shared" si="29"/>
        <v>0</v>
      </c>
      <c r="L3164" s="59">
        <f t="shared" si="30"/>
        <v>0</v>
      </c>
      <c r="M3164" s="59">
        <f t="shared" si="31"/>
        <v>0</v>
      </c>
    </row>
    <row r="3165" ht="15.0" hidden="1" customHeight="1">
      <c r="A3165" s="59">
        <f t="shared" si="20"/>
        <v>49</v>
      </c>
      <c r="B3165" s="59" t="str">
        <f t="shared" si="21"/>
        <v/>
      </c>
      <c r="C3165" s="59" t="str">
        <f t="shared" si="22"/>
        <v/>
      </c>
      <c r="D3165" s="45" t="str">
        <f t="shared" si="23"/>
        <v/>
      </c>
      <c r="E3165" s="45" t="str">
        <f t="shared" si="24"/>
        <v/>
      </c>
      <c r="F3165" s="59" t="str">
        <f t="shared" si="25"/>
        <v/>
      </c>
      <c r="G3165" s="59" t="str">
        <f t="shared" si="26"/>
        <v/>
      </c>
      <c r="H3165" s="59" t="str">
        <f t="shared" si="27"/>
        <v>Xúclật855H</v>
      </c>
      <c r="I3165" s="59" t="str">
        <f>IF(OR($A3165="",$C3165="",$D3165="",$E3165="",$H3165=""),"",SUMIFS(DATA_GOC!$H:$H,DATA_GOC!$A:$A,"BOM",DATA_GOC!$D:$D,$H3165,DATA_GOC!$E:$E,$C3165,DATA_GOC!$F:$F,"Xuất nội bộ từ téc",DATA_GOC!$B:$B,"&gt;="&amp;$D3165,DATA_GOC!$B:$B,"&lt;="&amp;$E3165))</f>
        <v/>
      </c>
      <c r="J3165" s="59">
        <f t="shared" si="28"/>
        <v>0</v>
      </c>
      <c r="K3165" s="59">
        <f t="shared" si="29"/>
        <v>0</v>
      </c>
      <c r="L3165" s="59">
        <f t="shared" si="30"/>
        <v>0</v>
      </c>
      <c r="M3165" s="59">
        <f t="shared" si="31"/>
        <v>0</v>
      </c>
    </row>
    <row r="3166" ht="15.0" hidden="1" customHeight="1">
      <c r="A3166" s="59">
        <f t="shared" si="20"/>
        <v>49</v>
      </c>
      <c r="B3166" s="59" t="str">
        <f t="shared" si="21"/>
        <v/>
      </c>
      <c r="C3166" s="59" t="str">
        <f t="shared" si="22"/>
        <v/>
      </c>
      <c r="D3166" s="45" t="str">
        <f t="shared" si="23"/>
        <v/>
      </c>
      <c r="E3166" s="45" t="str">
        <f t="shared" si="24"/>
        <v/>
      </c>
      <c r="F3166" s="59" t="str">
        <f t="shared" si="25"/>
        <v/>
      </c>
      <c r="G3166" s="59" t="str">
        <f t="shared" si="26"/>
        <v/>
      </c>
      <c r="H3166" s="59" t="str">
        <f t="shared" si="27"/>
        <v>Xúclật855N</v>
      </c>
      <c r="I3166" s="59" t="str">
        <f>IF(OR($A3166="",$C3166="",$D3166="",$E3166="",$H3166=""),"",SUMIFS(DATA_GOC!$H:$H,DATA_GOC!$A:$A,"BOM",DATA_GOC!$D:$D,$H3166,DATA_GOC!$E:$E,$C3166,DATA_GOC!$F:$F,"Xuất nội bộ từ téc",DATA_GOC!$B:$B,"&gt;="&amp;$D3166,DATA_GOC!$B:$B,"&lt;="&amp;$E3166))</f>
        <v/>
      </c>
      <c r="J3166" s="59">
        <f t="shared" si="28"/>
        <v>0</v>
      </c>
      <c r="K3166" s="59">
        <f t="shared" si="29"/>
        <v>0</v>
      </c>
      <c r="L3166" s="59">
        <f t="shared" si="30"/>
        <v>0</v>
      </c>
      <c r="M3166" s="59">
        <f t="shared" si="31"/>
        <v>0</v>
      </c>
    </row>
    <row r="3167" ht="15.0" hidden="1" customHeight="1">
      <c r="A3167" s="59">
        <f t="shared" si="20"/>
        <v>49</v>
      </c>
      <c r="B3167" s="59" t="str">
        <f t="shared" si="21"/>
        <v/>
      </c>
      <c r="C3167" s="59" t="str">
        <f t="shared" si="22"/>
        <v/>
      </c>
      <c r="D3167" s="45" t="str">
        <f t="shared" si="23"/>
        <v/>
      </c>
      <c r="E3167" s="45" t="str">
        <f t="shared" si="24"/>
        <v/>
      </c>
      <c r="F3167" s="59" t="str">
        <f t="shared" si="25"/>
        <v/>
      </c>
      <c r="G3167" s="59" t="str">
        <f t="shared" si="26"/>
        <v/>
      </c>
      <c r="H3167" s="59" t="str">
        <f t="shared" si="27"/>
        <v>Cát nghiền</v>
      </c>
      <c r="I3167" s="59" t="str">
        <f>IF(OR($A3167="",$C3167="",$D3167="",$E3167="",$H3167=""),"",SUMIFS(DATA_GOC!$H:$H,DATA_GOC!$A:$A,"BOM",DATA_GOC!$D:$D,$H3167,DATA_GOC!$E:$E,$C3167,DATA_GOC!$F:$F,"Xuất nội bộ từ téc",DATA_GOC!$B:$B,"&gt;="&amp;$D3167,DATA_GOC!$B:$B,"&lt;="&amp;$E3167))</f>
        <v/>
      </c>
      <c r="J3167" s="59">
        <f t="shared" si="28"/>
        <v>0</v>
      </c>
      <c r="K3167" s="59">
        <f t="shared" si="29"/>
        <v>0</v>
      </c>
      <c r="L3167" s="59">
        <f t="shared" si="30"/>
        <v>0</v>
      </c>
      <c r="M3167" s="59">
        <f t="shared" si="31"/>
        <v>0</v>
      </c>
    </row>
    <row r="3168" ht="15.0" hidden="1" customHeight="1">
      <c r="A3168" s="59">
        <f t="shared" si="20"/>
        <v>49</v>
      </c>
      <c r="B3168" s="59" t="str">
        <f t="shared" si="21"/>
        <v/>
      </c>
      <c r="C3168" s="59" t="str">
        <f t="shared" si="22"/>
        <v/>
      </c>
      <c r="D3168" s="45" t="str">
        <f t="shared" si="23"/>
        <v/>
      </c>
      <c r="E3168" s="45" t="str">
        <f t="shared" si="24"/>
        <v/>
      </c>
      <c r="F3168" s="59" t="str">
        <f t="shared" si="25"/>
        <v/>
      </c>
      <c r="G3168" s="59" t="str">
        <f t="shared" si="26"/>
        <v/>
      </c>
      <c r="H3168" s="59" t="str">
        <f t="shared" si="27"/>
        <v>28C02973</v>
      </c>
      <c r="I3168" s="59" t="str">
        <f>IF(OR($A3168="",$C3168="",$D3168="",$E3168="",$H3168=""),"",SUMIFS(DATA_GOC!$H:$H,DATA_GOC!$A:$A,"BOM",DATA_GOC!$D:$D,$H3168,DATA_GOC!$E:$E,$C3168,DATA_GOC!$F:$F,"Xuất nội bộ từ téc",DATA_GOC!$B:$B,"&gt;="&amp;$D3168,DATA_GOC!$B:$B,"&lt;="&amp;$E3168))</f>
        <v/>
      </c>
      <c r="J3168" s="59">
        <f t="shared" si="28"/>
        <v>0</v>
      </c>
      <c r="K3168" s="59">
        <f t="shared" si="29"/>
        <v>0</v>
      </c>
      <c r="L3168" s="59">
        <f t="shared" si="30"/>
        <v>0</v>
      </c>
      <c r="M3168" s="59">
        <f t="shared" si="31"/>
        <v>0</v>
      </c>
    </row>
    <row r="3169" ht="15.0" hidden="1" customHeight="1">
      <c r="A3169" s="59">
        <f t="shared" si="20"/>
        <v>49</v>
      </c>
      <c r="B3169" s="59" t="str">
        <f t="shared" si="21"/>
        <v/>
      </c>
      <c r="C3169" s="59" t="str">
        <f t="shared" si="22"/>
        <v/>
      </c>
      <c r="D3169" s="45" t="str">
        <f t="shared" si="23"/>
        <v/>
      </c>
      <c r="E3169" s="45" t="str">
        <f t="shared" si="24"/>
        <v/>
      </c>
      <c r="F3169" s="59" t="str">
        <f t="shared" si="25"/>
        <v/>
      </c>
      <c r="G3169" s="59" t="str">
        <f t="shared" si="26"/>
        <v/>
      </c>
      <c r="H3169" s="59" t="str">
        <f t="shared" si="27"/>
        <v>28C03044</v>
      </c>
      <c r="I3169" s="59" t="str">
        <f>IF(OR($A3169="",$C3169="",$D3169="",$E3169="",$H3169=""),"",SUMIFS(DATA_GOC!$H:$H,DATA_GOC!$A:$A,"BOM",DATA_GOC!$D:$D,$H3169,DATA_GOC!$E:$E,$C3169,DATA_GOC!$F:$F,"Xuất nội bộ từ téc",DATA_GOC!$B:$B,"&gt;="&amp;$D3169,DATA_GOC!$B:$B,"&lt;="&amp;$E3169))</f>
        <v/>
      </c>
      <c r="J3169" s="59">
        <f t="shared" si="28"/>
        <v>0</v>
      </c>
      <c r="K3169" s="59">
        <f t="shared" si="29"/>
        <v>0</v>
      </c>
      <c r="L3169" s="59">
        <f t="shared" si="30"/>
        <v>0</v>
      </c>
      <c r="M3169" s="59">
        <f t="shared" si="31"/>
        <v>0</v>
      </c>
    </row>
    <row r="3170" ht="15.0" hidden="1" customHeight="1">
      <c r="A3170" s="59">
        <f t="shared" si="20"/>
        <v>49</v>
      </c>
      <c r="B3170" s="59" t="str">
        <f t="shared" si="21"/>
        <v/>
      </c>
      <c r="C3170" s="59" t="str">
        <f t="shared" si="22"/>
        <v/>
      </c>
      <c r="D3170" s="45" t="str">
        <f t="shared" si="23"/>
        <v/>
      </c>
      <c r="E3170" s="45" t="str">
        <f t="shared" si="24"/>
        <v/>
      </c>
      <c r="F3170" s="59" t="str">
        <f t="shared" si="25"/>
        <v/>
      </c>
      <c r="G3170" s="59" t="str">
        <f t="shared" si="26"/>
        <v/>
      </c>
      <c r="H3170" s="59" t="str">
        <f t="shared" si="27"/>
        <v>Máy lu lốp</v>
      </c>
      <c r="I3170" s="59" t="str">
        <f>IF(OR($A3170="",$C3170="",$D3170="",$E3170="",$H3170=""),"",SUMIFS(DATA_GOC!$H:$H,DATA_GOC!$A:$A,"BOM",DATA_GOC!$D:$D,$H3170,DATA_GOC!$E:$E,$C3170,DATA_GOC!$F:$F,"Xuất nội bộ từ téc",DATA_GOC!$B:$B,"&gt;="&amp;$D3170,DATA_GOC!$B:$B,"&lt;="&amp;$E3170))</f>
        <v/>
      </c>
      <c r="J3170" s="59">
        <f t="shared" si="28"/>
        <v>0</v>
      </c>
      <c r="K3170" s="59">
        <f t="shared" si="29"/>
        <v>0</v>
      </c>
      <c r="L3170" s="59">
        <f t="shared" si="30"/>
        <v>0</v>
      </c>
      <c r="M3170" s="59">
        <f t="shared" si="31"/>
        <v>0</v>
      </c>
    </row>
    <row r="3171" ht="15.0" hidden="1" customHeight="1">
      <c r="A3171" s="59">
        <f t="shared" si="20"/>
        <v>49</v>
      </c>
      <c r="B3171" s="59" t="str">
        <f t="shared" si="21"/>
        <v/>
      </c>
      <c r="C3171" s="59" t="str">
        <f t="shared" si="22"/>
        <v/>
      </c>
      <c r="D3171" s="45" t="str">
        <f t="shared" si="23"/>
        <v/>
      </c>
      <c r="E3171" s="45" t="str">
        <f t="shared" si="24"/>
        <v/>
      </c>
      <c r="F3171" s="59" t="str">
        <f t="shared" si="25"/>
        <v/>
      </c>
      <c r="G3171" s="59" t="str">
        <f t="shared" si="26"/>
        <v/>
      </c>
      <c r="H3171" s="59" t="str">
        <f t="shared" si="27"/>
        <v>Xe 600148</v>
      </c>
      <c r="I3171" s="59" t="str">
        <f>IF(OR($A3171="",$C3171="",$D3171="",$E3171="",$H3171=""),"",SUMIFS(DATA_GOC!$H:$H,DATA_GOC!$A:$A,"BOM",DATA_GOC!$D:$D,$H3171,DATA_GOC!$E:$E,$C3171,DATA_GOC!$F:$F,"Xuất nội bộ từ téc",DATA_GOC!$B:$B,"&gt;="&amp;$D3171,DATA_GOC!$B:$B,"&lt;="&amp;$E3171))</f>
        <v/>
      </c>
      <c r="J3171" s="59">
        <f t="shared" si="28"/>
        <v>0</v>
      </c>
      <c r="K3171" s="59">
        <f t="shared" si="29"/>
        <v>0</v>
      </c>
      <c r="L3171" s="59">
        <f t="shared" si="30"/>
        <v>0</v>
      </c>
      <c r="M3171" s="59">
        <f t="shared" si="31"/>
        <v>0</v>
      </c>
    </row>
    <row r="3172" ht="15.0" hidden="1" customHeight="1">
      <c r="A3172" s="59">
        <f t="shared" si="20"/>
        <v>49</v>
      </c>
      <c r="B3172" s="59" t="str">
        <f t="shared" si="21"/>
        <v/>
      </c>
      <c r="C3172" s="59" t="str">
        <f t="shared" si="22"/>
        <v/>
      </c>
      <c r="D3172" s="45" t="str">
        <f t="shared" si="23"/>
        <v/>
      </c>
      <c r="E3172" s="45" t="str">
        <f t="shared" si="24"/>
        <v/>
      </c>
      <c r="F3172" s="59" t="str">
        <f t="shared" si="25"/>
        <v/>
      </c>
      <c r="G3172" s="59" t="str">
        <f t="shared" si="26"/>
        <v/>
      </c>
      <c r="H3172" s="59" t="str">
        <f t="shared" si="27"/>
        <v>Xe ben mới</v>
      </c>
      <c r="I3172" s="59" t="str">
        <f>IF(OR($A3172="",$C3172="",$D3172="",$E3172="",$H3172=""),"",SUMIFS(DATA_GOC!$H:$H,DATA_GOC!$A:$A,"BOM",DATA_GOC!$D:$D,$H3172,DATA_GOC!$E:$E,$C3172,DATA_GOC!$F:$F,"Xuất nội bộ từ téc",DATA_GOC!$B:$B,"&gt;="&amp;$D3172,DATA_GOC!$B:$B,"&lt;="&amp;$E3172))</f>
        <v/>
      </c>
      <c r="J3172" s="59">
        <f t="shared" si="28"/>
        <v>0</v>
      </c>
      <c r="K3172" s="59">
        <f t="shared" si="29"/>
        <v>0</v>
      </c>
      <c r="L3172" s="59">
        <f t="shared" si="30"/>
        <v>0</v>
      </c>
      <c r="M3172" s="59">
        <f t="shared" si="31"/>
        <v>0</v>
      </c>
    </row>
    <row r="3173" ht="15.0" hidden="1" customHeight="1">
      <c r="A3173" s="59">
        <f t="shared" si="20"/>
        <v>50</v>
      </c>
      <c r="B3173" s="59" t="str">
        <f t="shared" si="21"/>
        <v/>
      </c>
      <c r="C3173" s="59" t="str">
        <f t="shared" si="22"/>
        <v/>
      </c>
      <c r="D3173" s="45" t="str">
        <f t="shared" si="23"/>
        <v/>
      </c>
      <c r="E3173" s="45" t="str">
        <f t="shared" si="24"/>
        <v/>
      </c>
      <c r="F3173" s="59" t="str">
        <f t="shared" si="25"/>
        <v/>
      </c>
      <c r="G3173" s="59" t="str">
        <f t="shared" si="26"/>
        <v/>
      </c>
      <c r="H3173" s="59" t="str">
        <f t="shared" si="27"/>
        <v>19H09482</v>
      </c>
      <c r="I3173" s="59" t="str">
        <f>IF(OR($A3173="",$C3173="",$D3173="",$E3173="",$H3173=""),"",SUMIFS(DATA_GOC!$H:$H,DATA_GOC!$A:$A,"BOM",DATA_GOC!$D:$D,$H3173,DATA_GOC!$E:$E,$C3173,DATA_GOC!$F:$F,"Xuất nội bộ từ téc",DATA_GOC!$B:$B,"&gt;="&amp;$D3173,DATA_GOC!$B:$B,"&lt;="&amp;$E3173))</f>
        <v/>
      </c>
      <c r="J3173" s="59">
        <f t="shared" si="28"/>
        <v>0</v>
      </c>
      <c r="K3173" s="59">
        <f t="shared" si="29"/>
        <v>0</v>
      </c>
      <c r="L3173" s="59">
        <f t="shared" si="30"/>
        <v>0</v>
      </c>
      <c r="M3173" s="59">
        <f t="shared" si="31"/>
        <v>0</v>
      </c>
    </row>
    <row r="3174" ht="15.0" hidden="1" customHeight="1">
      <c r="A3174" s="59">
        <f t="shared" si="20"/>
        <v>50</v>
      </c>
      <c r="B3174" s="59" t="str">
        <f t="shared" si="21"/>
        <v/>
      </c>
      <c r="C3174" s="59" t="str">
        <f t="shared" si="22"/>
        <v/>
      </c>
      <c r="D3174" s="45" t="str">
        <f t="shared" si="23"/>
        <v/>
      </c>
      <c r="E3174" s="45" t="str">
        <f t="shared" si="24"/>
        <v/>
      </c>
      <c r="F3174" s="59" t="str">
        <f t="shared" si="25"/>
        <v/>
      </c>
      <c r="G3174" s="59" t="str">
        <f t="shared" si="26"/>
        <v/>
      </c>
      <c r="H3174" s="59" t="str">
        <f t="shared" si="27"/>
        <v>28A30696</v>
      </c>
      <c r="I3174" s="59" t="str">
        <f>IF(OR($A3174="",$C3174="",$D3174="",$E3174="",$H3174=""),"",SUMIFS(DATA_GOC!$H:$H,DATA_GOC!$A:$A,"BOM",DATA_GOC!$D:$D,$H3174,DATA_GOC!$E:$E,$C3174,DATA_GOC!$F:$F,"Xuất nội bộ từ téc",DATA_GOC!$B:$B,"&gt;="&amp;$D3174,DATA_GOC!$B:$B,"&lt;="&amp;$E3174))</f>
        <v/>
      </c>
      <c r="J3174" s="59">
        <f t="shared" si="28"/>
        <v>0</v>
      </c>
      <c r="K3174" s="59">
        <f t="shared" si="29"/>
        <v>0</v>
      </c>
      <c r="L3174" s="59">
        <f t="shared" si="30"/>
        <v>0</v>
      </c>
      <c r="M3174" s="59">
        <f t="shared" si="31"/>
        <v>0</v>
      </c>
    </row>
    <row r="3175" ht="15.0" hidden="1" customHeight="1">
      <c r="A3175" s="59">
        <f t="shared" si="20"/>
        <v>50</v>
      </c>
      <c r="B3175" s="59" t="str">
        <f t="shared" si="21"/>
        <v/>
      </c>
      <c r="C3175" s="59" t="str">
        <f t="shared" si="22"/>
        <v/>
      </c>
      <c r="D3175" s="45" t="str">
        <f t="shared" si="23"/>
        <v/>
      </c>
      <c r="E3175" s="45" t="str">
        <f t="shared" si="24"/>
        <v/>
      </c>
      <c r="F3175" s="59" t="str">
        <f t="shared" si="25"/>
        <v/>
      </c>
      <c r="G3175" s="59" t="str">
        <f t="shared" si="26"/>
        <v/>
      </c>
      <c r="H3175" s="59" t="str">
        <f t="shared" si="27"/>
        <v>28C00462</v>
      </c>
      <c r="I3175" s="59" t="str">
        <f>IF(OR($A3175="",$C3175="",$D3175="",$E3175="",$H3175=""),"",SUMIFS(DATA_GOC!$H:$H,DATA_GOC!$A:$A,"BOM",DATA_GOC!$D:$D,$H3175,DATA_GOC!$E:$E,$C3175,DATA_GOC!$F:$F,"Xuất nội bộ từ téc",DATA_GOC!$B:$B,"&gt;="&amp;$D3175,DATA_GOC!$B:$B,"&lt;="&amp;$E3175))</f>
        <v/>
      </c>
      <c r="J3175" s="59">
        <f t="shared" si="28"/>
        <v>0</v>
      </c>
      <c r="K3175" s="59">
        <f t="shared" si="29"/>
        <v>0</v>
      </c>
      <c r="L3175" s="59">
        <f t="shared" si="30"/>
        <v>0</v>
      </c>
      <c r="M3175" s="59">
        <f t="shared" si="31"/>
        <v>0</v>
      </c>
    </row>
    <row r="3176" ht="15.0" hidden="1" customHeight="1">
      <c r="A3176" s="59">
        <f t="shared" si="20"/>
        <v>50</v>
      </c>
      <c r="B3176" s="59" t="str">
        <f t="shared" si="21"/>
        <v/>
      </c>
      <c r="C3176" s="59" t="str">
        <f t="shared" si="22"/>
        <v/>
      </c>
      <c r="D3176" s="45" t="str">
        <f t="shared" si="23"/>
        <v/>
      </c>
      <c r="E3176" s="45" t="str">
        <f t="shared" si="24"/>
        <v/>
      </c>
      <c r="F3176" s="59" t="str">
        <f t="shared" si="25"/>
        <v/>
      </c>
      <c r="G3176" s="59" t="str">
        <f t="shared" si="26"/>
        <v/>
      </c>
      <c r="H3176" s="59" t="str">
        <f t="shared" si="27"/>
        <v>28C01165</v>
      </c>
      <c r="I3176" s="59" t="str">
        <f>IF(OR($A3176="",$C3176="",$D3176="",$E3176="",$H3176=""),"",SUMIFS(DATA_GOC!$H:$H,DATA_GOC!$A:$A,"BOM",DATA_GOC!$D:$D,$H3176,DATA_GOC!$E:$E,$C3176,DATA_GOC!$F:$F,"Xuất nội bộ từ téc",DATA_GOC!$B:$B,"&gt;="&amp;$D3176,DATA_GOC!$B:$B,"&lt;="&amp;$E3176))</f>
        <v/>
      </c>
      <c r="J3176" s="59">
        <f t="shared" si="28"/>
        <v>0</v>
      </c>
      <c r="K3176" s="59">
        <f t="shared" si="29"/>
        <v>0</v>
      </c>
      <c r="L3176" s="59">
        <f t="shared" si="30"/>
        <v>0</v>
      </c>
      <c r="M3176" s="59">
        <f t="shared" si="31"/>
        <v>0</v>
      </c>
    </row>
    <row r="3177" ht="15.0" hidden="1" customHeight="1">
      <c r="A3177" s="59">
        <f t="shared" si="20"/>
        <v>50</v>
      </c>
      <c r="B3177" s="59" t="str">
        <f t="shared" si="21"/>
        <v/>
      </c>
      <c r="C3177" s="59" t="str">
        <f t="shared" si="22"/>
        <v/>
      </c>
      <c r="D3177" s="45" t="str">
        <f t="shared" si="23"/>
        <v/>
      </c>
      <c r="E3177" s="45" t="str">
        <f t="shared" si="24"/>
        <v/>
      </c>
      <c r="F3177" s="59" t="str">
        <f t="shared" si="25"/>
        <v/>
      </c>
      <c r="G3177" s="59" t="str">
        <f t="shared" si="26"/>
        <v/>
      </c>
      <c r="H3177" s="59" t="str">
        <f t="shared" si="27"/>
        <v>28C01406</v>
      </c>
      <c r="I3177" s="59" t="str">
        <f>IF(OR($A3177="",$C3177="",$D3177="",$E3177="",$H3177=""),"",SUMIFS(DATA_GOC!$H:$H,DATA_GOC!$A:$A,"BOM",DATA_GOC!$D:$D,$H3177,DATA_GOC!$E:$E,$C3177,DATA_GOC!$F:$F,"Xuất nội bộ từ téc",DATA_GOC!$B:$B,"&gt;="&amp;$D3177,DATA_GOC!$B:$B,"&lt;="&amp;$E3177))</f>
        <v/>
      </c>
      <c r="J3177" s="59">
        <f t="shared" si="28"/>
        <v>0</v>
      </c>
      <c r="K3177" s="59">
        <f t="shared" si="29"/>
        <v>0</v>
      </c>
      <c r="L3177" s="59">
        <f t="shared" si="30"/>
        <v>0</v>
      </c>
      <c r="M3177" s="59">
        <f t="shared" si="31"/>
        <v>0</v>
      </c>
    </row>
    <row r="3178" ht="15.0" hidden="1" customHeight="1">
      <c r="A3178" s="59">
        <f t="shared" si="20"/>
        <v>50</v>
      </c>
      <c r="B3178" s="59" t="str">
        <f t="shared" si="21"/>
        <v/>
      </c>
      <c r="C3178" s="59" t="str">
        <f t="shared" si="22"/>
        <v/>
      </c>
      <c r="D3178" s="45" t="str">
        <f t="shared" si="23"/>
        <v/>
      </c>
      <c r="E3178" s="45" t="str">
        <f t="shared" si="24"/>
        <v/>
      </c>
      <c r="F3178" s="59" t="str">
        <f t="shared" si="25"/>
        <v/>
      </c>
      <c r="G3178" s="59" t="str">
        <f t="shared" si="26"/>
        <v/>
      </c>
      <c r="H3178" s="59" t="str">
        <f t="shared" si="27"/>
        <v>28C01544</v>
      </c>
      <c r="I3178" s="59" t="str">
        <f>IF(OR($A3178="",$C3178="",$D3178="",$E3178="",$H3178=""),"",SUMIFS(DATA_GOC!$H:$H,DATA_GOC!$A:$A,"BOM",DATA_GOC!$D:$D,$H3178,DATA_GOC!$E:$E,$C3178,DATA_GOC!$F:$F,"Xuất nội bộ từ téc",DATA_GOC!$B:$B,"&gt;="&amp;$D3178,DATA_GOC!$B:$B,"&lt;="&amp;$E3178))</f>
        <v/>
      </c>
      <c r="J3178" s="59">
        <f t="shared" si="28"/>
        <v>0</v>
      </c>
      <c r="K3178" s="59">
        <f t="shared" si="29"/>
        <v>0</v>
      </c>
      <c r="L3178" s="59">
        <f t="shared" si="30"/>
        <v>0</v>
      </c>
      <c r="M3178" s="59">
        <f t="shared" si="31"/>
        <v>0</v>
      </c>
    </row>
    <row r="3179" ht="15.0" hidden="1" customHeight="1">
      <c r="A3179" s="59">
        <f t="shared" si="20"/>
        <v>50</v>
      </c>
      <c r="B3179" s="59" t="str">
        <f t="shared" si="21"/>
        <v/>
      </c>
      <c r="C3179" s="59" t="str">
        <f t="shared" si="22"/>
        <v/>
      </c>
      <c r="D3179" s="45" t="str">
        <f t="shared" si="23"/>
        <v/>
      </c>
      <c r="E3179" s="45" t="str">
        <f t="shared" si="24"/>
        <v/>
      </c>
      <c r="F3179" s="59" t="str">
        <f t="shared" si="25"/>
        <v/>
      </c>
      <c r="G3179" s="59" t="str">
        <f t="shared" si="26"/>
        <v/>
      </c>
      <c r="H3179" s="59" t="str">
        <f t="shared" si="27"/>
        <v>28C01622</v>
      </c>
      <c r="I3179" s="59" t="str">
        <f>IF(OR($A3179="",$C3179="",$D3179="",$E3179="",$H3179=""),"",SUMIFS(DATA_GOC!$H:$H,DATA_GOC!$A:$A,"BOM",DATA_GOC!$D:$D,$H3179,DATA_GOC!$E:$E,$C3179,DATA_GOC!$F:$F,"Xuất nội bộ từ téc",DATA_GOC!$B:$B,"&gt;="&amp;$D3179,DATA_GOC!$B:$B,"&lt;="&amp;$E3179))</f>
        <v/>
      </c>
      <c r="J3179" s="59">
        <f t="shared" si="28"/>
        <v>0</v>
      </c>
      <c r="K3179" s="59">
        <f t="shared" si="29"/>
        <v>0</v>
      </c>
      <c r="L3179" s="59">
        <f t="shared" si="30"/>
        <v>0</v>
      </c>
      <c r="M3179" s="59">
        <f t="shared" si="31"/>
        <v>0</v>
      </c>
    </row>
    <row r="3180" ht="15.0" hidden="1" customHeight="1">
      <c r="A3180" s="59">
        <f t="shared" si="20"/>
        <v>50</v>
      </c>
      <c r="B3180" s="59" t="str">
        <f t="shared" si="21"/>
        <v/>
      </c>
      <c r="C3180" s="59" t="str">
        <f t="shared" si="22"/>
        <v/>
      </c>
      <c r="D3180" s="45" t="str">
        <f t="shared" si="23"/>
        <v/>
      </c>
      <c r="E3180" s="45" t="str">
        <f t="shared" si="24"/>
        <v/>
      </c>
      <c r="F3180" s="59" t="str">
        <f t="shared" si="25"/>
        <v/>
      </c>
      <c r="G3180" s="59" t="str">
        <f t="shared" si="26"/>
        <v/>
      </c>
      <c r="H3180" s="59" t="str">
        <f t="shared" si="27"/>
        <v>28C01647</v>
      </c>
      <c r="I3180" s="59" t="str">
        <f>IF(OR($A3180="",$C3180="",$D3180="",$E3180="",$H3180=""),"",SUMIFS(DATA_GOC!$H:$H,DATA_GOC!$A:$A,"BOM",DATA_GOC!$D:$D,$H3180,DATA_GOC!$E:$E,$C3180,DATA_GOC!$F:$F,"Xuất nội bộ từ téc",DATA_GOC!$B:$B,"&gt;="&amp;$D3180,DATA_GOC!$B:$B,"&lt;="&amp;$E3180))</f>
        <v/>
      </c>
      <c r="J3180" s="59">
        <f t="shared" si="28"/>
        <v>0</v>
      </c>
      <c r="K3180" s="59">
        <f t="shared" si="29"/>
        <v>0</v>
      </c>
      <c r="L3180" s="59">
        <f t="shared" si="30"/>
        <v>0</v>
      </c>
      <c r="M3180" s="59">
        <f t="shared" si="31"/>
        <v>0</v>
      </c>
    </row>
    <row r="3181" ht="15.0" hidden="1" customHeight="1">
      <c r="A3181" s="59">
        <f t="shared" si="20"/>
        <v>50</v>
      </c>
      <c r="B3181" s="59" t="str">
        <f t="shared" si="21"/>
        <v/>
      </c>
      <c r="C3181" s="59" t="str">
        <f t="shared" si="22"/>
        <v/>
      </c>
      <c r="D3181" s="45" t="str">
        <f t="shared" si="23"/>
        <v/>
      </c>
      <c r="E3181" s="45" t="str">
        <f t="shared" si="24"/>
        <v/>
      </c>
      <c r="F3181" s="59" t="str">
        <f t="shared" si="25"/>
        <v/>
      </c>
      <c r="G3181" s="59" t="str">
        <f t="shared" si="26"/>
        <v/>
      </c>
      <c r="H3181" s="59" t="str">
        <f t="shared" si="27"/>
        <v>28C01731</v>
      </c>
      <c r="I3181" s="59" t="str">
        <f>IF(OR($A3181="",$C3181="",$D3181="",$E3181="",$H3181=""),"",SUMIFS(DATA_GOC!$H:$H,DATA_GOC!$A:$A,"BOM",DATA_GOC!$D:$D,$H3181,DATA_GOC!$E:$E,$C3181,DATA_GOC!$F:$F,"Xuất nội bộ từ téc",DATA_GOC!$B:$B,"&gt;="&amp;$D3181,DATA_GOC!$B:$B,"&lt;="&amp;$E3181))</f>
        <v/>
      </c>
      <c r="J3181" s="59">
        <f t="shared" si="28"/>
        <v>0</v>
      </c>
      <c r="K3181" s="59">
        <f t="shared" si="29"/>
        <v>0</v>
      </c>
      <c r="L3181" s="59">
        <f t="shared" si="30"/>
        <v>0</v>
      </c>
      <c r="M3181" s="59">
        <f t="shared" si="31"/>
        <v>0</v>
      </c>
    </row>
    <row r="3182" ht="15.0" hidden="1" customHeight="1">
      <c r="A3182" s="59">
        <f t="shared" si="20"/>
        <v>50</v>
      </c>
      <c r="B3182" s="59" t="str">
        <f t="shared" si="21"/>
        <v/>
      </c>
      <c r="C3182" s="59" t="str">
        <f t="shared" si="22"/>
        <v/>
      </c>
      <c r="D3182" s="45" t="str">
        <f t="shared" si="23"/>
        <v/>
      </c>
      <c r="E3182" s="45" t="str">
        <f t="shared" si="24"/>
        <v/>
      </c>
      <c r="F3182" s="59" t="str">
        <f t="shared" si="25"/>
        <v/>
      </c>
      <c r="G3182" s="59" t="str">
        <f t="shared" si="26"/>
        <v/>
      </c>
      <c r="H3182" s="59" t="str">
        <f t="shared" si="27"/>
        <v>28C01743</v>
      </c>
      <c r="I3182" s="59" t="str">
        <f>IF(OR($A3182="",$C3182="",$D3182="",$E3182="",$H3182=""),"",SUMIFS(DATA_GOC!$H:$H,DATA_GOC!$A:$A,"BOM",DATA_GOC!$D:$D,$H3182,DATA_GOC!$E:$E,$C3182,DATA_GOC!$F:$F,"Xuất nội bộ từ téc",DATA_GOC!$B:$B,"&gt;="&amp;$D3182,DATA_GOC!$B:$B,"&lt;="&amp;$E3182))</f>
        <v/>
      </c>
      <c r="J3182" s="59">
        <f t="shared" si="28"/>
        <v>0</v>
      </c>
      <c r="K3182" s="59">
        <f t="shared" si="29"/>
        <v>0</v>
      </c>
      <c r="L3182" s="59">
        <f t="shared" si="30"/>
        <v>0</v>
      </c>
      <c r="M3182" s="59">
        <f t="shared" si="31"/>
        <v>0</v>
      </c>
    </row>
    <row r="3183" ht="15.0" hidden="1" customHeight="1">
      <c r="A3183" s="59">
        <f t="shared" si="20"/>
        <v>50</v>
      </c>
      <c r="B3183" s="59" t="str">
        <f t="shared" si="21"/>
        <v/>
      </c>
      <c r="C3183" s="59" t="str">
        <f t="shared" si="22"/>
        <v/>
      </c>
      <c r="D3183" s="45" t="str">
        <f t="shared" si="23"/>
        <v/>
      </c>
      <c r="E3183" s="45" t="str">
        <f t="shared" si="24"/>
        <v/>
      </c>
      <c r="F3183" s="59" t="str">
        <f t="shared" si="25"/>
        <v/>
      </c>
      <c r="G3183" s="59" t="str">
        <f t="shared" si="26"/>
        <v/>
      </c>
      <c r="H3183" s="59" t="str">
        <f t="shared" si="27"/>
        <v>28C02106</v>
      </c>
      <c r="I3183" s="59" t="str">
        <f>IF(OR($A3183="",$C3183="",$D3183="",$E3183="",$H3183=""),"",SUMIFS(DATA_GOC!$H:$H,DATA_GOC!$A:$A,"BOM",DATA_GOC!$D:$D,$H3183,DATA_GOC!$E:$E,$C3183,DATA_GOC!$F:$F,"Xuất nội bộ từ téc",DATA_GOC!$B:$B,"&gt;="&amp;$D3183,DATA_GOC!$B:$B,"&lt;="&amp;$E3183))</f>
        <v/>
      </c>
      <c r="J3183" s="59">
        <f t="shared" si="28"/>
        <v>0</v>
      </c>
      <c r="K3183" s="59">
        <f t="shared" si="29"/>
        <v>0</v>
      </c>
      <c r="L3183" s="59">
        <f t="shared" si="30"/>
        <v>0</v>
      </c>
      <c r="M3183" s="59">
        <f t="shared" si="31"/>
        <v>0</v>
      </c>
    </row>
    <row r="3184" ht="15.0" hidden="1" customHeight="1">
      <c r="A3184" s="59">
        <f t="shared" si="20"/>
        <v>50</v>
      </c>
      <c r="B3184" s="59" t="str">
        <f t="shared" si="21"/>
        <v/>
      </c>
      <c r="C3184" s="59" t="str">
        <f t="shared" si="22"/>
        <v/>
      </c>
      <c r="D3184" s="45" t="str">
        <f t="shared" si="23"/>
        <v/>
      </c>
      <c r="E3184" s="45" t="str">
        <f t="shared" si="24"/>
        <v/>
      </c>
      <c r="F3184" s="59" t="str">
        <f t="shared" si="25"/>
        <v/>
      </c>
      <c r="G3184" s="59" t="str">
        <f t="shared" si="26"/>
        <v/>
      </c>
      <c r="H3184" s="59" t="str">
        <f t="shared" si="27"/>
        <v>28C02410</v>
      </c>
      <c r="I3184" s="59" t="str">
        <f>IF(OR($A3184="",$C3184="",$D3184="",$E3184="",$H3184=""),"",SUMIFS(DATA_GOC!$H:$H,DATA_GOC!$A:$A,"BOM",DATA_GOC!$D:$D,$H3184,DATA_GOC!$E:$E,$C3184,DATA_GOC!$F:$F,"Xuất nội bộ từ téc",DATA_GOC!$B:$B,"&gt;="&amp;$D3184,DATA_GOC!$B:$B,"&lt;="&amp;$E3184))</f>
        <v/>
      </c>
      <c r="J3184" s="59">
        <f t="shared" si="28"/>
        <v>0</v>
      </c>
      <c r="K3184" s="59">
        <f t="shared" si="29"/>
        <v>0</v>
      </c>
      <c r="L3184" s="59">
        <f t="shared" si="30"/>
        <v>0</v>
      </c>
      <c r="M3184" s="59">
        <f t="shared" si="31"/>
        <v>0</v>
      </c>
    </row>
    <row r="3185" ht="15.0" hidden="1" customHeight="1">
      <c r="A3185" s="59">
        <f t="shared" si="20"/>
        <v>50</v>
      </c>
      <c r="B3185" s="59" t="str">
        <f t="shared" si="21"/>
        <v/>
      </c>
      <c r="C3185" s="59" t="str">
        <f t="shared" si="22"/>
        <v/>
      </c>
      <c r="D3185" s="45" t="str">
        <f t="shared" si="23"/>
        <v/>
      </c>
      <c r="E3185" s="45" t="str">
        <f t="shared" si="24"/>
        <v/>
      </c>
      <c r="F3185" s="59" t="str">
        <f t="shared" si="25"/>
        <v/>
      </c>
      <c r="G3185" s="59" t="str">
        <f t="shared" si="26"/>
        <v/>
      </c>
      <c r="H3185" s="59" t="str">
        <f t="shared" si="27"/>
        <v>28C02545</v>
      </c>
      <c r="I3185" s="59" t="str">
        <f>IF(OR($A3185="",$C3185="",$D3185="",$E3185="",$H3185=""),"",SUMIFS(DATA_GOC!$H:$H,DATA_GOC!$A:$A,"BOM",DATA_GOC!$D:$D,$H3185,DATA_GOC!$E:$E,$C3185,DATA_GOC!$F:$F,"Xuất nội bộ từ téc",DATA_GOC!$B:$B,"&gt;="&amp;$D3185,DATA_GOC!$B:$B,"&lt;="&amp;$E3185))</f>
        <v/>
      </c>
      <c r="J3185" s="59">
        <f t="shared" si="28"/>
        <v>0</v>
      </c>
      <c r="K3185" s="59">
        <f t="shared" si="29"/>
        <v>0</v>
      </c>
      <c r="L3185" s="59">
        <f t="shared" si="30"/>
        <v>0</v>
      </c>
      <c r="M3185" s="59">
        <f t="shared" si="31"/>
        <v>0</v>
      </c>
    </row>
    <row r="3186" ht="15.0" hidden="1" customHeight="1">
      <c r="A3186" s="59">
        <f t="shared" si="20"/>
        <v>50</v>
      </c>
      <c r="B3186" s="59" t="str">
        <f t="shared" si="21"/>
        <v/>
      </c>
      <c r="C3186" s="59" t="str">
        <f t="shared" si="22"/>
        <v/>
      </c>
      <c r="D3186" s="45" t="str">
        <f t="shared" si="23"/>
        <v/>
      </c>
      <c r="E3186" s="45" t="str">
        <f t="shared" si="24"/>
        <v/>
      </c>
      <c r="F3186" s="59" t="str">
        <f t="shared" si="25"/>
        <v/>
      </c>
      <c r="G3186" s="59" t="str">
        <f t="shared" si="26"/>
        <v/>
      </c>
      <c r="H3186" s="59" t="str">
        <f t="shared" si="27"/>
        <v>28C02574</v>
      </c>
      <c r="I3186" s="59" t="str">
        <f>IF(OR($A3186="",$C3186="",$D3186="",$E3186="",$H3186=""),"",SUMIFS(DATA_GOC!$H:$H,DATA_GOC!$A:$A,"BOM",DATA_GOC!$D:$D,$H3186,DATA_GOC!$E:$E,$C3186,DATA_GOC!$F:$F,"Xuất nội bộ từ téc",DATA_GOC!$B:$B,"&gt;="&amp;$D3186,DATA_GOC!$B:$B,"&lt;="&amp;$E3186))</f>
        <v/>
      </c>
      <c r="J3186" s="59">
        <f t="shared" si="28"/>
        <v>0</v>
      </c>
      <c r="K3186" s="59">
        <f t="shared" si="29"/>
        <v>0</v>
      </c>
      <c r="L3186" s="59">
        <f t="shared" si="30"/>
        <v>0</v>
      </c>
      <c r="M3186" s="59">
        <f t="shared" si="31"/>
        <v>0</v>
      </c>
    </row>
    <row r="3187" ht="15.0" hidden="1" customHeight="1">
      <c r="A3187" s="59">
        <f t="shared" si="20"/>
        <v>50</v>
      </c>
      <c r="B3187" s="59" t="str">
        <f t="shared" si="21"/>
        <v/>
      </c>
      <c r="C3187" s="59" t="str">
        <f t="shared" si="22"/>
        <v/>
      </c>
      <c r="D3187" s="45" t="str">
        <f t="shared" si="23"/>
        <v/>
      </c>
      <c r="E3187" s="45" t="str">
        <f t="shared" si="24"/>
        <v/>
      </c>
      <c r="F3187" s="59" t="str">
        <f t="shared" si="25"/>
        <v/>
      </c>
      <c r="G3187" s="59" t="str">
        <f t="shared" si="26"/>
        <v/>
      </c>
      <c r="H3187" s="59" t="str">
        <f t="shared" si="27"/>
        <v>28C02770</v>
      </c>
      <c r="I3187" s="59" t="str">
        <f>IF(OR($A3187="",$C3187="",$D3187="",$E3187="",$H3187=""),"",SUMIFS(DATA_GOC!$H:$H,DATA_GOC!$A:$A,"BOM",DATA_GOC!$D:$D,$H3187,DATA_GOC!$E:$E,$C3187,DATA_GOC!$F:$F,"Xuất nội bộ từ téc",DATA_GOC!$B:$B,"&gt;="&amp;$D3187,DATA_GOC!$B:$B,"&lt;="&amp;$E3187))</f>
        <v/>
      </c>
      <c r="J3187" s="59">
        <f t="shared" si="28"/>
        <v>0</v>
      </c>
      <c r="K3187" s="59">
        <f t="shared" si="29"/>
        <v>0</v>
      </c>
      <c r="L3187" s="59">
        <f t="shared" si="30"/>
        <v>0</v>
      </c>
      <c r="M3187" s="59">
        <f t="shared" si="31"/>
        <v>0</v>
      </c>
    </row>
    <row r="3188" ht="15.0" hidden="1" customHeight="1">
      <c r="A3188" s="59">
        <f t="shared" si="20"/>
        <v>50</v>
      </c>
      <c r="B3188" s="59" t="str">
        <f t="shared" si="21"/>
        <v/>
      </c>
      <c r="C3188" s="59" t="str">
        <f t="shared" si="22"/>
        <v/>
      </c>
      <c r="D3188" s="45" t="str">
        <f t="shared" si="23"/>
        <v/>
      </c>
      <c r="E3188" s="45" t="str">
        <f t="shared" si="24"/>
        <v/>
      </c>
      <c r="F3188" s="59" t="str">
        <f t="shared" si="25"/>
        <v/>
      </c>
      <c r="G3188" s="59" t="str">
        <f t="shared" si="26"/>
        <v/>
      </c>
      <c r="H3188" s="59" t="str">
        <f t="shared" si="27"/>
        <v>28C02986</v>
      </c>
      <c r="I3188" s="59" t="str">
        <f>IF(OR($A3188="",$C3188="",$D3188="",$E3188="",$H3188=""),"",SUMIFS(DATA_GOC!$H:$H,DATA_GOC!$A:$A,"BOM",DATA_GOC!$D:$D,$H3188,DATA_GOC!$E:$E,$C3188,DATA_GOC!$F:$F,"Xuất nội bộ từ téc",DATA_GOC!$B:$B,"&gt;="&amp;$D3188,DATA_GOC!$B:$B,"&lt;="&amp;$E3188))</f>
        <v/>
      </c>
      <c r="J3188" s="59">
        <f t="shared" si="28"/>
        <v>0</v>
      </c>
      <c r="K3188" s="59">
        <f t="shared" si="29"/>
        <v>0</v>
      </c>
      <c r="L3188" s="59">
        <f t="shared" si="30"/>
        <v>0</v>
      </c>
      <c r="M3188" s="59">
        <f t="shared" si="31"/>
        <v>0</v>
      </c>
    </row>
    <row r="3189" ht="15.0" hidden="1" customHeight="1">
      <c r="A3189" s="59">
        <f t="shared" si="20"/>
        <v>50</v>
      </c>
      <c r="B3189" s="59" t="str">
        <f t="shared" si="21"/>
        <v/>
      </c>
      <c r="C3189" s="59" t="str">
        <f t="shared" si="22"/>
        <v/>
      </c>
      <c r="D3189" s="45" t="str">
        <f t="shared" si="23"/>
        <v/>
      </c>
      <c r="E3189" s="45" t="str">
        <f t="shared" si="24"/>
        <v/>
      </c>
      <c r="F3189" s="59" t="str">
        <f t="shared" si="25"/>
        <v/>
      </c>
      <c r="G3189" s="59" t="str">
        <f t="shared" si="26"/>
        <v/>
      </c>
      <c r="H3189" s="59" t="str">
        <f t="shared" si="27"/>
        <v>28C03261</v>
      </c>
      <c r="I3189" s="59" t="str">
        <f>IF(OR($A3189="",$C3189="",$D3189="",$E3189="",$H3189=""),"",SUMIFS(DATA_GOC!$H:$H,DATA_GOC!$A:$A,"BOM",DATA_GOC!$D:$D,$H3189,DATA_GOC!$E:$E,$C3189,DATA_GOC!$F:$F,"Xuất nội bộ từ téc",DATA_GOC!$B:$B,"&gt;="&amp;$D3189,DATA_GOC!$B:$B,"&lt;="&amp;$E3189))</f>
        <v/>
      </c>
      <c r="J3189" s="59">
        <f t="shared" si="28"/>
        <v>0</v>
      </c>
      <c r="K3189" s="59">
        <f t="shared" si="29"/>
        <v>0</v>
      </c>
      <c r="L3189" s="59">
        <f t="shared" si="30"/>
        <v>0</v>
      </c>
      <c r="M3189" s="59">
        <f t="shared" si="31"/>
        <v>0</v>
      </c>
    </row>
    <row r="3190" ht="15.0" hidden="1" customHeight="1">
      <c r="A3190" s="59">
        <f t="shared" si="20"/>
        <v>50</v>
      </c>
      <c r="B3190" s="59" t="str">
        <f t="shared" si="21"/>
        <v/>
      </c>
      <c r="C3190" s="59" t="str">
        <f t="shared" si="22"/>
        <v/>
      </c>
      <c r="D3190" s="45" t="str">
        <f t="shared" si="23"/>
        <v/>
      </c>
      <c r="E3190" s="45" t="str">
        <f t="shared" si="24"/>
        <v/>
      </c>
      <c r="F3190" s="59" t="str">
        <f t="shared" si="25"/>
        <v/>
      </c>
      <c r="G3190" s="59" t="str">
        <f t="shared" si="26"/>
        <v/>
      </c>
      <c r="H3190" s="59" t="str">
        <f t="shared" si="27"/>
        <v>28C03323</v>
      </c>
      <c r="I3190" s="59" t="str">
        <f>IF(OR($A3190="",$C3190="",$D3190="",$E3190="",$H3190=""),"",SUMIFS(DATA_GOC!$H:$H,DATA_GOC!$A:$A,"BOM",DATA_GOC!$D:$D,$H3190,DATA_GOC!$E:$E,$C3190,DATA_GOC!$F:$F,"Xuất nội bộ từ téc",DATA_GOC!$B:$B,"&gt;="&amp;$D3190,DATA_GOC!$B:$B,"&lt;="&amp;$E3190))</f>
        <v/>
      </c>
      <c r="J3190" s="59">
        <f t="shared" si="28"/>
        <v>0</v>
      </c>
      <c r="K3190" s="59">
        <f t="shared" si="29"/>
        <v>0</v>
      </c>
      <c r="L3190" s="59">
        <f t="shared" si="30"/>
        <v>0</v>
      </c>
      <c r="M3190" s="59">
        <f t="shared" si="31"/>
        <v>0</v>
      </c>
    </row>
    <row r="3191" ht="15.0" hidden="1" customHeight="1">
      <c r="A3191" s="59">
        <f t="shared" si="20"/>
        <v>50</v>
      </c>
      <c r="B3191" s="59" t="str">
        <f t="shared" si="21"/>
        <v/>
      </c>
      <c r="C3191" s="59" t="str">
        <f t="shared" si="22"/>
        <v/>
      </c>
      <c r="D3191" s="45" t="str">
        <f t="shared" si="23"/>
        <v/>
      </c>
      <c r="E3191" s="45" t="str">
        <f t="shared" si="24"/>
        <v/>
      </c>
      <c r="F3191" s="59" t="str">
        <f t="shared" si="25"/>
        <v/>
      </c>
      <c r="G3191" s="59" t="str">
        <f t="shared" si="26"/>
        <v/>
      </c>
      <c r="H3191" s="59" t="str">
        <f t="shared" si="27"/>
        <v>28C03385</v>
      </c>
      <c r="I3191" s="59" t="str">
        <f>IF(OR($A3191="",$C3191="",$D3191="",$E3191="",$H3191=""),"",SUMIFS(DATA_GOC!$H:$H,DATA_GOC!$A:$A,"BOM",DATA_GOC!$D:$D,$H3191,DATA_GOC!$E:$E,$C3191,DATA_GOC!$F:$F,"Xuất nội bộ từ téc",DATA_GOC!$B:$B,"&gt;="&amp;$D3191,DATA_GOC!$B:$B,"&lt;="&amp;$E3191))</f>
        <v/>
      </c>
      <c r="J3191" s="59">
        <f t="shared" si="28"/>
        <v>0</v>
      </c>
      <c r="K3191" s="59">
        <f t="shared" si="29"/>
        <v>0</v>
      </c>
      <c r="L3191" s="59">
        <f t="shared" si="30"/>
        <v>0</v>
      </c>
      <c r="M3191" s="59">
        <f t="shared" si="31"/>
        <v>0</v>
      </c>
    </row>
    <row r="3192" ht="15.0" hidden="1" customHeight="1">
      <c r="A3192" s="59">
        <f t="shared" si="20"/>
        <v>50</v>
      </c>
      <c r="B3192" s="59" t="str">
        <f t="shared" si="21"/>
        <v/>
      </c>
      <c r="C3192" s="59" t="str">
        <f t="shared" si="22"/>
        <v/>
      </c>
      <c r="D3192" s="45" t="str">
        <f t="shared" si="23"/>
        <v/>
      </c>
      <c r="E3192" s="45" t="str">
        <f t="shared" si="24"/>
        <v/>
      </c>
      <c r="F3192" s="59" t="str">
        <f t="shared" si="25"/>
        <v/>
      </c>
      <c r="G3192" s="59" t="str">
        <f t="shared" si="26"/>
        <v/>
      </c>
      <c r="H3192" s="59" t="str">
        <f t="shared" si="27"/>
        <v>28C03652</v>
      </c>
      <c r="I3192" s="59" t="str">
        <f>IF(OR($A3192="",$C3192="",$D3192="",$E3192="",$H3192=""),"",SUMIFS(DATA_GOC!$H:$H,DATA_GOC!$A:$A,"BOM",DATA_GOC!$D:$D,$H3192,DATA_GOC!$E:$E,$C3192,DATA_GOC!$F:$F,"Xuất nội bộ từ téc",DATA_GOC!$B:$B,"&gt;="&amp;$D3192,DATA_GOC!$B:$B,"&lt;="&amp;$E3192))</f>
        <v/>
      </c>
      <c r="J3192" s="59">
        <f t="shared" si="28"/>
        <v>0</v>
      </c>
      <c r="K3192" s="59">
        <f t="shared" si="29"/>
        <v>0</v>
      </c>
      <c r="L3192" s="59">
        <f t="shared" si="30"/>
        <v>0</v>
      </c>
      <c r="M3192" s="59">
        <f t="shared" si="31"/>
        <v>0</v>
      </c>
    </row>
    <row r="3193" ht="15.0" hidden="1" customHeight="1">
      <c r="A3193" s="59">
        <f t="shared" si="20"/>
        <v>50</v>
      </c>
      <c r="B3193" s="59" t="str">
        <f t="shared" si="21"/>
        <v/>
      </c>
      <c r="C3193" s="59" t="str">
        <f t="shared" si="22"/>
        <v/>
      </c>
      <c r="D3193" s="45" t="str">
        <f t="shared" si="23"/>
        <v/>
      </c>
      <c r="E3193" s="45" t="str">
        <f t="shared" si="24"/>
        <v/>
      </c>
      <c r="F3193" s="59" t="str">
        <f t="shared" si="25"/>
        <v/>
      </c>
      <c r="G3193" s="59" t="str">
        <f t="shared" si="26"/>
        <v/>
      </c>
      <c r="H3193" s="59" t="str">
        <f t="shared" si="27"/>
        <v>28C03695</v>
      </c>
      <c r="I3193" s="59" t="str">
        <f>IF(OR($A3193="",$C3193="",$D3193="",$E3193="",$H3193=""),"",SUMIFS(DATA_GOC!$H:$H,DATA_GOC!$A:$A,"BOM",DATA_GOC!$D:$D,$H3193,DATA_GOC!$E:$E,$C3193,DATA_GOC!$F:$F,"Xuất nội bộ từ téc",DATA_GOC!$B:$B,"&gt;="&amp;$D3193,DATA_GOC!$B:$B,"&lt;="&amp;$E3193))</f>
        <v/>
      </c>
      <c r="J3193" s="59">
        <f t="shared" si="28"/>
        <v>0</v>
      </c>
      <c r="K3193" s="59">
        <f t="shared" si="29"/>
        <v>0</v>
      </c>
      <c r="L3193" s="59">
        <f t="shared" si="30"/>
        <v>0</v>
      </c>
      <c r="M3193" s="59">
        <f t="shared" si="31"/>
        <v>0</v>
      </c>
    </row>
    <row r="3194" ht="15.0" hidden="1" customHeight="1">
      <c r="A3194" s="59">
        <f t="shared" si="20"/>
        <v>50</v>
      </c>
      <c r="B3194" s="59" t="str">
        <f t="shared" si="21"/>
        <v/>
      </c>
      <c r="C3194" s="59" t="str">
        <f t="shared" si="22"/>
        <v/>
      </c>
      <c r="D3194" s="45" t="str">
        <f t="shared" si="23"/>
        <v/>
      </c>
      <c r="E3194" s="45" t="str">
        <f t="shared" si="24"/>
        <v/>
      </c>
      <c r="F3194" s="59" t="str">
        <f t="shared" si="25"/>
        <v/>
      </c>
      <c r="G3194" s="59" t="str">
        <f t="shared" si="26"/>
        <v/>
      </c>
      <c r="H3194" s="59" t="str">
        <f t="shared" si="27"/>
        <v>28C03927</v>
      </c>
      <c r="I3194" s="59" t="str">
        <f>IF(OR($A3194="",$C3194="",$D3194="",$E3194="",$H3194=""),"",SUMIFS(DATA_GOC!$H:$H,DATA_GOC!$A:$A,"BOM",DATA_GOC!$D:$D,$H3194,DATA_GOC!$E:$E,$C3194,DATA_GOC!$F:$F,"Xuất nội bộ từ téc",DATA_GOC!$B:$B,"&gt;="&amp;$D3194,DATA_GOC!$B:$B,"&lt;="&amp;$E3194))</f>
        <v/>
      </c>
      <c r="J3194" s="59">
        <f t="shared" si="28"/>
        <v>0</v>
      </c>
      <c r="K3194" s="59">
        <f t="shared" si="29"/>
        <v>0</v>
      </c>
      <c r="L3194" s="59">
        <f t="shared" si="30"/>
        <v>0</v>
      </c>
      <c r="M3194" s="59">
        <f t="shared" si="31"/>
        <v>0</v>
      </c>
    </row>
    <row r="3195" ht="15.0" hidden="1" customHeight="1">
      <c r="A3195" s="59">
        <f t="shared" si="20"/>
        <v>50</v>
      </c>
      <c r="B3195" s="59" t="str">
        <f t="shared" si="21"/>
        <v/>
      </c>
      <c r="C3195" s="59" t="str">
        <f t="shared" si="22"/>
        <v/>
      </c>
      <c r="D3195" s="45" t="str">
        <f t="shared" si="23"/>
        <v/>
      </c>
      <c r="E3195" s="45" t="str">
        <f t="shared" si="24"/>
        <v/>
      </c>
      <c r="F3195" s="59" t="str">
        <f t="shared" si="25"/>
        <v/>
      </c>
      <c r="G3195" s="59" t="str">
        <f t="shared" si="26"/>
        <v/>
      </c>
      <c r="H3195" s="59" t="str">
        <f t="shared" si="27"/>
        <v>28C04509</v>
      </c>
      <c r="I3195" s="59" t="str">
        <f>IF(OR($A3195="",$C3195="",$D3195="",$E3195="",$H3195=""),"",SUMIFS(DATA_GOC!$H:$H,DATA_GOC!$A:$A,"BOM",DATA_GOC!$D:$D,$H3195,DATA_GOC!$E:$E,$C3195,DATA_GOC!$F:$F,"Xuất nội bộ từ téc",DATA_GOC!$B:$B,"&gt;="&amp;$D3195,DATA_GOC!$B:$B,"&lt;="&amp;$E3195))</f>
        <v/>
      </c>
      <c r="J3195" s="59">
        <f t="shared" si="28"/>
        <v>0</v>
      </c>
      <c r="K3195" s="59">
        <f t="shared" si="29"/>
        <v>0</v>
      </c>
      <c r="L3195" s="59">
        <f t="shared" si="30"/>
        <v>0</v>
      </c>
      <c r="M3195" s="59">
        <f t="shared" si="31"/>
        <v>0</v>
      </c>
    </row>
    <row r="3196" ht="15.0" hidden="1" customHeight="1">
      <c r="A3196" s="59">
        <f t="shared" si="20"/>
        <v>50</v>
      </c>
      <c r="B3196" s="59" t="str">
        <f t="shared" si="21"/>
        <v/>
      </c>
      <c r="C3196" s="59" t="str">
        <f t="shared" si="22"/>
        <v/>
      </c>
      <c r="D3196" s="45" t="str">
        <f t="shared" si="23"/>
        <v/>
      </c>
      <c r="E3196" s="45" t="str">
        <f t="shared" si="24"/>
        <v/>
      </c>
      <c r="F3196" s="59" t="str">
        <f t="shared" si="25"/>
        <v/>
      </c>
      <c r="G3196" s="59" t="str">
        <f t="shared" si="26"/>
        <v/>
      </c>
      <c r="H3196" s="59" t="str">
        <f t="shared" si="27"/>
        <v>28C04536</v>
      </c>
      <c r="I3196" s="59" t="str">
        <f>IF(OR($A3196="",$C3196="",$D3196="",$E3196="",$H3196=""),"",SUMIFS(DATA_GOC!$H:$H,DATA_GOC!$A:$A,"BOM",DATA_GOC!$D:$D,$H3196,DATA_GOC!$E:$E,$C3196,DATA_GOC!$F:$F,"Xuất nội bộ từ téc",DATA_GOC!$B:$B,"&gt;="&amp;$D3196,DATA_GOC!$B:$B,"&lt;="&amp;$E3196))</f>
        <v/>
      </c>
      <c r="J3196" s="59">
        <f t="shared" si="28"/>
        <v>0</v>
      </c>
      <c r="K3196" s="59">
        <f t="shared" si="29"/>
        <v>0</v>
      </c>
      <c r="L3196" s="59">
        <f t="shared" si="30"/>
        <v>0</v>
      </c>
      <c r="M3196" s="59">
        <f t="shared" si="31"/>
        <v>0</v>
      </c>
    </row>
    <row r="3197" ht="15.0" hidden="1" customHeight="1">
      <c r="A3197" s="59">
        <f t="shared" si="20"/>
        <v>50</v>
      </c>
      <c r="B3197" s="59" t="str">
        <f t="shared" si="21"/>
        <v/>
      </c>
      <c r="C3197" s="59" t="str">
        <f t="shared" si="22"/>
        <v/>
      </c>
      <c r="D3197" s="45" t="str">
        <f t="shared" si="23"/>
        <v/>
      </c>
      <c r="E3197" s="45" t="str">
        <f t="shared" si="24"/>
        <v/>
      </c>
      <c r="F3197" s="59" t="str">
        <f t="shared" si="25"/>
        <v/>
      </c>
      <c r="G3197" s="59" t="str">
        <f t="shared" si="26"/>
        <v/>
      </c>
      <c r="H3197" s="59" t="str">
        <f t="shared" si="27"/>
        <v>28C04576</v>
      </c>
      <c r="I3197" s="59" t="str">
        <f>IF(OR($A3197="",$C3197="",$D3197="",$E3197="",$H3197=""),"",SUMIFS(DATA_GOC!$H:$H,DATA_GOC!$A:$A,"BOM",DATA_GOC!$D:$D,$H3197,DATA_GOC!$E:$E,$C3197,DATA_GOC!$F:$F,"Xuất nội bộ từ téc",DATA_GOC!$B:$B,"&gt;="&amp;$D3197,DATA_GOC!$B:$B,"&lt;="&amp;$E3197))</f>
        <v/>
      </c>
      <c r="J3197" s="59">
        <f t="shared" si="28"/>
        <v>0</v>
      </c>
      <c r="K3197" s="59">
        <f t="shared" si="29"/>
        <v>0</v>
      </c>
      <c r="L3197" s="59">
        <f t="shared" si="30"/>
        <v>0</v>
      </c>
      <c r="M3197" s="59">
        <f t="shared" si="31"/>
        <v>0</v>
      </c>
    </row>
    <row r="3198" ht="15.0" hidden="1" customHeight="1">
      <c r="A3198" s="59">
        <f t="shared" si="20"/>
        <v>50</v>
      </c>
      <c r="B3198" s="59" t="str">
        <f t="shared" si="21"/>
        <v/>
      </c>
      <c r="C3198" s="59" t="str">
        <f t="shared" si="22"/>
        <v/>
      </c>
      <c r="D3198" s="45" t="str">
        <f t="shared" si="23"/>
        <v/>
      </c>
      <c r="E3198" s="45" t="str">
        <f t="shared" si="24"/>
        <v/>
      </c>
      <c r="F3198" s="59" t="str">
        <f t="shared" si="25"/>
        <v/>
      </c>
      <c r="G3198" s="59" t="str">
        <f t="shared" si="26"/>
        <v/>
      </c>
      <c r="H3198" s="59" t="str">
        <f t="shared" si="27"/>
        <v>28C05090</v>
      </c>
      <c r="I3198" s="59" t="str">
        <f>IF(OR($A3198="",$C3198="",$D3198="",$E3198="",$H3198=""),"",SUMIFS(DATA_GOC!$H:$H,DATA_GOC!$A:$A,"BOM",DATA_GOC!$D:$D,$H3198,DATA_GOC!$E:$E,$C3198,DATA_GOC!$F:$F,"Xuất nội bộ từ téc",DATA_GOC!$B:$B,"&gt;="&amp;$D3198,DATA_GOC!$B:$B,"&lt;="&amp;$E3198))</f>
        <v/>
      </c>
      <c r="J3198" s="59">
        <f t="shared" si="28"/>
        <v>0</v>
      </c>
      <c r="K3198" s="59">
        <f t="shared" si="29"/>
        <v>0</v>
      </c>
      <c r="L3198" s="59">
        <f t="shared" si="30"/>
        <v>0</v>
      </c>
      <c r="M3198" s="59">
        <f t="shared" si="31"/>
        <v>0</v>
      </c>
    </row>
    <row r="3199" ht="15.0" hidden="1" customHeight="1">
      <c r="A3199" s="59">
        <f t="shared" si="20"/>
        <v>50</v>
      </c>
      <c r="B3199" s="59" t="str">
        <f t="shared" si="21"/>
        <v/>
      </c>
      <c r="C3199" s="59" t="str">
        <f t="shared" si="22"/>
        <v/>
      </c>
      <c r="D3199" s="45" t="str">
        <f t="shared" si="23"/>
        <v/>
      </c>
      <c r="E3199" s="45" t="str">
        <f t="shared" si="24"/>
        <v/>
      </c>
      <c r="F3199" s="59" t="str">
        <f t="shared" si="25"/>
        <v/>
      </c>
      <c r="G3199" s="59" t="str">
        <f t="shared" si="26"/>
        <v/>
      </c>
      <c r="H3199" s="59" t="str">
        <f t="shared" si="27"/>
        <v>28C05345</v>
      </c>
      <c r="I3199" s="59" t="str">
        <f>IF(OR($A3199="",$C3199="",$D3199="",$E3199="",$H3199=""),"",SUMIFS(DATA_GOC!$H:$H,DATA_GOC!$A:$A,"BOM",DATA_GOC!$D:$D,$H3199,DATA_GOC!$E:$E,$C3199,DATA_GOC!$F:$F,"Xuất nội bộ từ téc",DATA_GOC!$B:$B,"&gt;="&amp;$D3199,DATA_GOC!$B:$B,"&lt;="&amp;$E3199))</f>
        <v/>
      </c>
      <c r="J3199" s="59">
        <f t="shared" si="28"/>
        <v>0</v>
      </c>
      <c r="K3199" s="59">
        <f t="shared" si="29"/>
        <v>0</v>
      </c>
      <c r="L3199" s="59">
        <f t="shared" si="30"/>
        <v>0</v>
      </c>
      <c r="M3199" s="59">
        <f t="shared" si="31"/>
        <v>0</v>
      </c>
    </row>
    <row r="3200" ht="15.0" hidden="1" customHeight="1">
      <c r="A3200" s="59">
        <f t="shared" si="20"/>
        <v>50</v>
      </c>
      <c r="B3200" s="59" t="str">
        <f t="shared" si="21"/>
        <v/>
      </c>
      <c r="C3200" s="59" t="str">
        <f t="shared" si="22"/>
        <v/>
      </c>
      <c r="D3200" s="45" t="str">
        <f t="shared" si="23"/>
        <v/>
      </c>
      <c r="E3200" s="45" t="str">
        <f t="shared" si="24"/>
        <v/>
      </c>
      <c r="F3200" s="59" t="str">
        <f t="shared" si="25"/>
        <v/>
      </c>
      <c r="G3200" s="59" t="str">
        <f t="shared" si="26"/>
        <v/>
      </c>
      <c r="H3200" s="59" t="str">
        <f t="shared" si="27"/>
        <v>28C05661</v>
      </c>
      <c r="I3200" s="59" t="str">
        <f>IF(OR($A3200="",$C3200="",$D3200="",$E3200="",$H3200=""),"",SUMIFS(DATA_GOC!$H:$H,DATA_GOC!$A:$A,"BOM",DATA_GOC!$D:$D,$H3200,DATA_GOC!$E:$E,$C3200,DATA_GOC!$F:$F,"Xuất nội bộ từ téc",DATA_GOC!$B:$B,"&gt;="&amp;$D3200,DATA_GOC!$B:$B,"&lt;="&amp;$E3200))</f>
        <v/>
      </c>
      <c r="J3200" s="59">
        <f t="shared" si="28"/>
        <v>0</v>
      </c>
      <c r="K3200" s="59">
        <f t="shared" si="29"/>
        <v>0</v>
      </c>
      <c r="L3200" s="59">
        <f t="shared" si="30"/>
        <v>0</v>
      </c>
      <c r="M3200" s="59">
        <f t="shared" si="31"/>
        <v>0</v>
      </c>
    </row>
    <row r="3201" ht="15.0" hidden="1" customHeight="1">
      <c r="A3201" s="59">
        <f t="shared" si="20"/>
        <v>50</v>
      </c>
      <c r="B3201" s="59" t="str">
        <f t="shared" si="21"/>
        <v/>
      </c>
      <c r="C3201" s="59" t="str">
        <f t="shared" si="22"/>
        <v/>
      </c>
      <c r="D3201" s="45" t="str">
        <f t="shared" si="23"/>
        <v/>
      </c>
      <c r="E3201" s="45" t="str">
        <f t="shared" si="24"/>
        <v/>
      </c>
      <c r="F3201" s="59" t="str">
        <f t="shared" si="25"/>
        <v/>
      </c>
      <c r="G3201" s="59" t="str">
        <f t="shared" si="26"/>
        <v/>
      </c>
      <c r="H3201" s="59" t="str">
        <f t="shared" si="27"/>
        <v>28C05739</v>
      </c>
      <c r="I3201" s="59" t="str">
        <f>IF(OR($A3201="",$C3201="",$D3201="",$E3201="",$H3201=""),"",SUMIFS(DATA_GOC!$H:$H,DATA_GOC!$A:$A,"BOM",DATA_GOC!$D:$D,$H3201,DATA_GOC!$E:$E,$C3201,DATA_GOC!$F:$F,"Xuất nội bộ từ téc",DATA_GOC!$B:$B,"&gt;="&amp;$D3201,DATA_GOC!$B:$B,"&lt;="&amp;$E3201))</f>
        <v/>
      </c>
      <c r="J3201" s="59">
        <f t="shared" si="28"/>
        <v>0</v>
      </c>
      <c r="K3201" s="59">
        <f t="shared" si="29"/>
        <v>0</v>
      </c>
      <c r="L3201" s="59">
        <f t="shared" si="30"/>
        <v>0</v>
      </c>
      <c r="M3201" s="59">
        <f t="shared" si="31"/>
        <v>0</v>
      </c>
    </row>
    <row r="3202" ht="15.0" hidden="1" customHeight="1">
      <c r="A3202" s="59">
        <f t="shared" si="20"/>
        <v>50</v>
      </c>
      <c r="B3202" s="59" t="str">
        <f t="shared" si="21"/>
        <v/>
      </c>
      <c r="C3202" s="59" t="str">
        <f t="shared" si="22"/>
        <v/>
      </c>
      <c r="D3202" s="45" t="str">
        <f t="shared" si="23"/>
        <v/>
      </c>
      <c r="E3202" s="45" t="str">
        <f t="shared" si="24"/>
        <v/>
      </c>
      <c r="F3202" s="59" t="str">
        <f t="shared" si="25"/>
        <v/>
      </c>
      <c r="G3202" s="59" t="str">
        <f t="shared" si="26"/>
        <v/>
      </c>
      <c r="H3202" s="59" t="str">
        <f t="shared" si="27"/>
        <v>28C06369</v>
      </c>
      <c r="I3202" s="59" t="str">
        <f>IF(OR($A3202="",$C3202="",$D3202="",$E3202="",$H3202=""),"",SUMIFS(DATA_GOC!$H:$H,DATA_GOC!$A:$A,"BOM",DATA_GOC!$D:$D,$H3202,DATA_GOC!$E:$E,$C3202,DATA_GOC!$F:$F,"Xuất nội bộ từ téc",DATA_GOC!$B:$B,"&gt;="&amp;$D3202,DATA_GOC!$B:$B,"&lt;="&amp;$E3202))</f>
        <v/>
      </c>
      <c r="J3202" s="59">
        <f t="shared" si="28"/>
        <v>0</v>
      </c>
      <c r="K3202" s="59">
        <f t="shared" si="29"/>
        <v>0</v>
      </c>
      <c r="L3202" s="59">
        <f t="shared" si="30"/>
        <v>0</v>
      </c>
      <c r="M3202" s="59">
        <f t="shared" si="31"/>
        <v>0</v>
      </c>
    </row>
    <row r="3203" ht="15.0" hidden="1" customHeight="1">
      <c r="A3203" s="59">
        <f t="shared" si="20"/>
        <v>50</v>
      </c>
      <c r="B3203" s="59" t="str">
        <f t="shared" si="21"/>
        <v/>
      </c>
      <c r="C3203" s="59" t="str">
        <f t="shared" si="22"/>
        <v/>
      </c>
      <c r="D3203" s="45" t="str">
        <f t="shared" si="23"/>
        <v/>
      </c>
      <c r="E3203" s="45" t="str">
        <f t="shared" si="24"/>
        <v/>
      </c>
      <c r="F3203" s="59" t="str">
        <f t="shared" si="25"/>
        <v/>
      </c>
      <c r="G3203" s="59" t="str">
        <f t="shared" si="26"/>
        <v/>
      </c>
      <c r="H3203" s="59" t="str">
        <f t="shared" si="27"/>
        <v>28C06447</v>
      </c>
      <c r="I3203" s="59" t="str">
        <f>IF(OR($A3203="",$C3203="",$D3203="",$E3203="",$H3203=""),"",SUMIFS(DATA_GOC!$H:$H,DATA_GOC!$A:$A,"BOM",DATA_GOC!$D:$D,$H3203,DATA_GOC!$E:$E,$C3203,DATA_GOC!$F:$F,"Xuất nội bộ từ téc",DATA_GOC!$B:$B,"&gt;="&amp;$D3203,DATA_GOC!$B:$B,"&lt;="&amp;$E3203))</f>
        <v/>
      </c>
      <c r="J3203" s="59">
        <f t="shared" si="28"/>
        <v>0</v>
      </c>
      <c r="K3203" s="59">
        <f t="shared" si="29"/>
        <v>0</v>
      </c>
      <c r="L3203" s="59">
        <f t="shared" si="30"/>
        <v>0</v>
      </c>
      <c r="M3203" s="59">
        <f t="shared" si="31"/>
        <v>0</v>
      </c>
    </row>
    <row r="3204" ht="15.0" hidden="1" customHeight="1">
      <c r="A3204" s="59">
        <f t="shared" si="20"/>
        <v>50</v>
      </c>
      <c r="B3204" s="59" t="str">
        <f t="shared" si="21"/>
        <v/>
      </c>
      <c r="C3204" s="59" t="str">
        <f t="shared" si="22"/>
        <v/>
      </c>
      <c r="D3204" s="45" t="str">
        <f t="shared" si="23"/>
        <v/>
      </c>
      <c r="E3204" s="45" t="str">
        <f t="shared" si="24"/>
        <v/>
      </c>
      <c r="F3204" s="59" t="str">
        <f t="shared" si="25"/>
        <v/>
      </c>
      <c r="G3204" s="59" t="str">
        <f t="shared" si="26"/>
        <v/>
      </c>
      <c r="H3204" s="59" t="str">
        <f t="shared" si="27"/>
        <v>28H00003</v>
      </c>
      <c r="I3204" s="59" t="str">
        <f>IF(OR($A3204="",$C3204="",$D3204="",$E3204="",$H3204=""),"",SUMIFS(DATA_GOC!$H:$H,DATA_GOC!$A:$A,"BOM",DATA_GOC!$D:$D,$H3204,DATA_GOC!$E:$E,$C3204,DATA_GOC!$F:$F,"Xuất nội bộ từ téc",DATA_GOC!$B:$B,"&gt;="&amp;$D3204,DATA_GOC!$B:$B,"&lt;="&amp;$E3204))</f>
        <v/>
      </c>
      <c r="J3204" s="59">
        <f t="shared" si="28"/>
        <v>0</v>
      </c>
      <c r="K3204" s="59">
        <f t="shared" si="29"/>
        <v>0</v>
      </c>
      <c r="L3204" s="59">
        <f t="shared" si="30"/>
        <v>0</v>
      </c>
      <c r="M3204" s="59">
        <f t="shared" si="31"/>
        <v>0</v>
      </c>
    </row>
    <row r="3205" ht="15.0" hidden="1" customHeight="1">
      <c r="A3205" s="59">
        <f t="shared" si="20"/>
        <v>50</v>
      </c>
      <c r="B3205" s="59" t="str">
        <f t="shared" si="21"/>
        <v/>
      </c>
      <c r="C3205" s="59" t="str">
        <f t="shared" si="22"/>
        <v/>
      </c>
      <c r="D3205" s="45" t="str">
        <f t="shared" si="23"/>
        <v/>
      </c>
      <c r="E3205" s="45" t="str">
        <f t="shared" si="24"/>
        <v/>
      </c>
      <c r="F3205" s="59" t="str">
        <f t="shared" si="25"/>
        <v/>
      </c>
      <c r="G3205" s="59" t="str">
        <f t="shared" si="26"/>
        <v/>
      </c>
      <c r="H3205" s="59" t="str">
        <f t="shared" si="27"/>
        <v>28H00061</v>
      </c>
      <c r="I3205" s="59" t="str">
        <f>IF(OR($A3205="",$C3205="",$D3205="",$E3205="",$H3205=""),"",SUMIFS(DATA_GOC!$H:$H,DATA_GOC!$A:$A,"BOM",DATA_GOC!$D:$D,$H3205,DATA_GOC!$E:$E,$C3205,DATA_GOC!$F:$F,"Xuất nội bộ từ téc",DATA_GOC!$B:$B,"&gt;="&amp;$D3205,DATA_GOC!$B:$B,"&lt;="&amp;$E3205))</f>
        <v/>
      </c>
      <c r="J3205" s="59">
        <f t="shared" si="28"/>
        <v>0</v>
      </c>
      <c r="K3205" s="59">
        <f t="shared" si="29"/>
        <v>0</v>
      </c>
      <c r="L3205" s="59">
        <f t="shared" si="30"/>
        <v>0</v>
      </c>
      <c r="M3205" s="59">
        <f t="shared" si="31"/>
        <v>0</v>
      </c>
    </row>
    <row r="3206" ht="15.0" hidden="1" customHeight="1">
      <c r="A3206" s="59">
        <f t="shared" si="20"/>
        <v>50</v>
      </c>
      <c r="B3206" s="59" t="str">
        <f t="shared" si="21"/>
        <v/>
      </c>
      <c r="C3206" s="59" t="str">
        <f t="shared" si="22"/>
        <v/>
      </c>
      <c r="D3206" s="45" t="str">
        <f t="shared" si="23"/>
        <v/>
      </c>
      <c r="E3206" s="45" t="str">
        <f t="shared" si="24"/>
        <v/>
      </c>
      <c r="F3206" s="59" t="str">
        <f t="shared" si="25"/>
        <v/>
      </c>
      <c r="G3206" s="59" t="str">
        <f t="shared" si="26"/>
        <v/>
      </c>
      <c r="H3206" s="59" t="str">
        <f t="shared" si="27"/>
        <v>28H00354</v>
      </c>
      <c r="I3206" s="59" t="str">
        <f>IF(OR($A3206="",$C3206="",$D3206="",$E3206="",$H3206=""),"",SUMIFS(DATA_GOC!$H:$H,DATA_GOC!$A:$A,"BOM",DATA_GOC!$D:$D,$H3206,DATA_GOC!$E:$E,$C3206,DATA_GOC!$F:$F,"Xuất nội bộ từ téc",DATA_GOC!$B:$B,"&gt;="&amp;$D3206,DATA_GOC!$B:$B,"&lt;="&amp;$E3206))</f>
        <v/>
      </c>
      <c r="J3206" s="59">
        <f t="shared" si="28"/>
        <v>0</v>
      </c>
      <c r="K3206" s="59">
        <f t="shared" si="29"/>
        <v>0</v>
      </c>
      <c r="L3206" s="59">
        <f t="shared" si="30"/>
        <v>0</v>
      </c>
      <c r="M3206" s="59">
        <f t="shared" si="31"/>
        <v>0</v>
      </c>
    </row>
    <row r="3207" ht="15.0" hidden="1" customHeight="1">
      <c r="A3207" s="59">
        <f t="shared" si="20"/>
        <v>50</v>
      </c>
      <c r="B3207" s="59" t="str">
        <f t="shared" si="21"/>
        <v/>
      </c>
      <c r="C3207" s="59" t="str">
        <f t="shared" si="22"/>
        <v/>
      </c>
      <c r="D3207" s="45" t="str">
        <f t="shared" si="23"/>
        <v/>
      </c>
      <c r="E3207" s="45" t="str">
        <f t="shared" si="24"/>
        <v/>
      </c>
      <c r="F3207" s="59" t="str">
        <f t="shared" si="25"/>
        <v/>
      </c>
      <c r="G3207" s="59" t="str">
        <f t="shared" si="26"/>
        <v/>
      </c>
      <c r="H3207" s="59" t="str">
        <f t="shared" si="27"/>
        <v>28H00603</v>
      </c>
      <c r="I3207" s="59" t="str">
        <f>IF(OR($A3207="",$C3207="",$D3207="",$E3207="",$H3207=""),"",SUMIFS(DATA_GOC!$H:$H,DATA_GOC!$A:$A,"BOM",DATA_GOC!$D:$D,$H3207,DATA_GOC!$E:$E,$C3207,DATA_GOC!$F:$F,"Xuất nội bộ từ téc",DATA_GOC!$B:$B,"&gt;="&amp;$D3207,DATA_GOC!$B:$B,"&lt;="&amp;$E3207))</f>
        <v/>
      </c>
      <c r="J3207" s="59">
        <f t="shared" si="28"/>
        <v>0</v>
      </c>
      <c r="K3207" s="59">
        <f t="shared" si="29"/>
        <v>0</v>
      </c>
      <c r="L3207" s="59">
        <f t="shared" si="30"/>
        <v>0</v>
      </c>
      <c r="M3207" s="59">
        <f t="shared" si="31"/>
        <v>0</v>
      </c>
    </row>
    <row r="3208" ht="15.0" hidden="1" customHeight="1">
      <c r="A3208" s="59">
        <f t="shared" si="20"/>
        <v>50</v>
      </c>
      <c r="B3208" s="59" t="str">
        <f t="shared" si="21"/>
        <v/>
      </c>
      <c r="C3208" s="59" t="str">
        <f t="shared" si="22"/>
        <v/>
      </c>
      <c r="D3208" s="45" t="str">
        <f t="shared" si="23"/>
        <v/>
      </c>
      <c r="E3208" s="45" t="str">
        <f t="shared" si="24"/>
        <v/>
      </c>
      <c r="F3208" s="59" t="str">
        <f t="shared" si="25"/>
        <v/>
      </c>
      <c r="G3208" s="59" t="str">
        <f t="shared" si="26"/>
        <v/>
      </c>
      <c r="H3208" s="59" t="str">
        <f t="shared" si="27"/>
        <v>28H00609</v>
      </c>
      <c r="I3208" s="59" t="str">
        <f>IF(OR($A3208="",$C3208="",$D3208="",$E3208="",$H3208=""),"",SUMIFS(DATA_GOC!$H:$H,DATA_GOC!$A:$A,"BOM",DATA_GOC!$D:$D,$H3208,DATA_GOC!$E:$E,$C3208,DATA_GOC!$F:$F,"Xuất nội bộ từ téc",DATA_GOC!$B:$B,"&gt;="&amp;$D3208,DATA_GOC!$B:$B,"&lt;="&amp;$E3208))</f>
        <v/>
      </c>
      <c r="J3208" s="59">
        <f t="shared" si="28"/>
        <v>0</v>
      </c>
      <c r="K3208" s="59">
        <f t="shared" si="29"/>
        <v>0</v>
      </c>
      <c r="L3208" s="59">
        <f t="shared" si="30"/>
        <v>0</v>
      </c>
      <c r="M3208" s="59">
        <f t="shared" si="31"/>
        <v>0</v>
      </c>
    </row>
    <row r="3209" ht="15.0" hidden="1" customHeight="1">
      <c r="A3209" s="59">
        <f t="shared" si="20"/>
        <v>50</v>
      </c>
      <c r="B3209" s="59" t="str">
        <f t="shared" si="21"/>
        <v/>
      </c>
      <c r="C3209" s="59" t="str">
        <f t="shared" si="22"/>
        <v/>
      </c>
      <c r="D3209" s="45" t="str">
        <f t="shared" si="23"/>
        <v/>
      </c>
      <c r="E3209" s="45" t="str">
        <f t="shared" si="24"/>
        <v/>
      </c>
      <c r="F3209" s="59" t="str">
        <f t="shared" si="25"/>
        <v/>
      </c>
      <c r="G3209" s="59" t="str">
        <f t="shared" si="26"/>
        <v/>
      </c>
      <c r="H3209" s="59" t="str">
        <f t="shared" si="27"/>
        <v>28H00669</v>
      </c>
      <c r="I3209" s="59" t="str">
        <f>IF(OR($A3209="",$C3209="",$D3209="",$E3209="",$H3209=""),"",SUMIFS(DATA_GOC!$H:$H,DATA_GOC!$A:$A,"BOM",DATA_GOC!$D:$D,$H3209,DATA_GOC!$E:$E,$C3209,DATA_GOC!$F:$F,"Xuất nội bộ từ téc",DATA_GOC!$B:$B,"&gt;="&amp;$D3209,DATA_GOC!$B:$B,"&lt;="&amp;$E3209))</f>
        <v/>
      </c>
      <c r="J3209" s="59">
        <f t="shared" si="28"/>
        <v>0</v>
      </c>
      <c r="K3209" s="59">
        <f t="shared" si="29"/>
        <v>0</v>
      </c>
      <c r="L3209" s="59">
        <f t="shared" si="30"/>
        <v>0</v>
      </c>
      <c r="M3209" s="59">
        <f t="shared" si="31"/>
        <v>0</v>
      </c>
    </row>
    <row r="3210" ht="15.0" hidden="1" customHeight="1">
      <c r="A3210" s="59">
        <f t="shared" si="20"/>
        <v>50</v>
      </c>
      <c r="B3210" s="59" t="str">
        <f t="shared" si="21"/>
        <v/>
      </c>
      <c r="C3210" s="59" t="str">
        <f t="shared" si="22"/>
        <v/>
      </c>
      <c r="D3210" s="45" t="str">
        <f t="shared" si="23"/>
        <v/>
      </c>
      <c r="E3210" s="45" t="str">
        <f t="shared" si="24"/>
        <v/>
      </c>
      <c r="F3210" s="59" t="str">
        <f t="shared" si="25"/>
        <v/>
      </c>
      <c r="G3210" s="59" t="str">
        <f t="shared" si="26"/>
        <v/>
      </c>
      <c r="H3210" s="59" t="str">
        <f t="shared" si="27"/>
        <v>28H00680</v>
      </c>
      <c r="I3210" s="59" t="str">
        <f>IF(OR($A3210="",$C3210="",$D3210="",$E3210="",$H3210=""),"",SUMIFS(DATA_GOC!$H:$H,DATA_GOC!$A:$A,"BOM",DATA_GOC!$D:$D,$H3210,DATA_GOC!$E:$E,$C3210,DATA_GOC!$F:$F,"Xuất nội bộ từ téc",DATA_GOC!$B:$B,"&gt;="&amp;$D3210,DATA_GOC!$B:$B,"&lt;="&amp;$E3210))</f>
        <v/>
      </c>
      <c r="J3210" s="59">
        <f t="shared" si="28"/>
        <v>0</v>
      </c>
      <c r="K3210" s="59">
        <f t="shared" si="29"/>
        <v>0</v>
      </c>
      <c r="L3210" s="59">
        <f t="shared" si="30"/>
        <v>0</v>
      </c>
      <c r="M3210" s="59">
        <f t="shared" si="31"/>
        <v>0</v>
      </c>
    </row>
    <row r="3211" ht="15.0" hidden="1" customHeight="1">
      <c r="A3211" s="59">
        <f t="shared" si="20"/>
        <v>50</v>
      </c>
      <c r="B3211" s="59" t="str">
        <f t="shared" si="21"/>
        <v/>
      </c>
      <c r="C3211" s="59" t="str">
        <f t="shared" si="22"/>
        <v/>
      </c>
      <c r="D3211" s="45" t="str">
        <f t="shared" si="23"/>
        <v/>
      </c>
      <c r="E3211" s="45" t="str">
        <f t="shared" si="24"/>
        <v/>
      </c>
      <c r="F3211" s="59" t="str">
        <f t="shared" si="25"/>
        <v/>
      </c>
      <c r="G3211" s="59" t="str">
        <f t="shared" si="26"/>
        <v/>
      </c>
      <c r="H3211" s="59" t="str">
        <f t="shared" si="27"/>
        <v>28H01070</v>
      </c>
      <c r="I3211" s="59" t="str">
        <f>IF(OR($A3211="",$C3211="",$D3211="",$E3211="",$H3211=""),"",SUMIFS(DATA_GOC!$H:$H,DATA_GOC!$A:$A,"BOM",DATA_GOC!$D:$D,$H3211,DATA_GOC!$E:$E,$C3211,DATA_GOC!$F:$F,"Xuất nội bộ từ téc",DATA_GOC!$B:$B,"&gt;="&amp;$D3211,DATA_GOC!$B:$B,"&lt;="&amp;$E3211))</f>
        <v/>
      </c>
      <c r="J3211" s="59">
        <f t="shared" si="28"/>
        <v>0</v>
      </c>
      <c r="K3211" s="59">
        <f t="shared" si="29"/>
        <v>0</v>
      </c>
      <c r="L3211" s="59">
        <f t="shared" si="30"/>
        <v>0</v>
      </c>
      <c r="M3211" s="59">
        <f t="shared" si="31"/>
        <v>0</v>
      </c>
    </row>
    <row r="3212" ht="15.0" hidden="1" customHeight="1">
      <c r="A3212" s="59">
        <f t="shared" si="20"/>
        <v>50</v>
      </c>
      <c r="B3212" s="59" t="str">
        <f t="shared" si="21"/>
        <v/>
      </c>
      <c r="C3212" s="59" t="str">
        <f t="shared" si="22"/>
        <v/>
      </c>
      <c r="D3212" s="45" t="str">
        <f t="shared" si="23"/>
        <v/>
      </c>
      <c r="E3212" s="45" t="str">
        <f t="shared" si="24"/>
        <v/>
      </c>
      <c r="F3212" s="59" t="str">
        <f t="shared" si="25"/>
        <v/>
      </c>
      <c r="G3212" s="59" t="str">
        <f t="shared" si="26"/>
        <v/>
      </c>
      <c r="H3212" s="59" t="str">
        <f t="shared" si="27"/>
        <v>28H01364</v>
      </c>
      <c r="I3212" s="59" t="str">
        <f>IF(OR($A3212="",$C3212="",$D3212="",$E3212="",$H3212=""),"",SUMIFS(DATA_GOC!$H:$H,DATA_GOC!$A:$A,"BOM",DATA_GOC!$D:$D,$H3212,DATA_GOC!$E:$E,$C3212,DATA_GOC!$F:$F,"Xuất nội bộ từ téc",DATA_GOC!$B:$B,"&gt;="&amp;$D3212,DATA_GOC!$B:$B,"&lt;="&amp;$E3212))</f>
        <v/>
      </c>
      <c r="J3212" s="59">
        <f t="shared" si="28"/>
        <v>0</v>
      </c>
      <c r="K3212" s="59">
        <f t="shared" si="29"/>
        <v>0</v>
      </c>
      <c r="L3212" s="59">
        <f t="shared" si="30"/>
        <v>0</v>
      </c>
      <c r="M3212" s="59">
        <f t="shared" si="31"/>
        <v>0</v>
      </c>
    </row>
    <row r="3213" ht="15.0" hidden="1" customHeight="1">
      <c r="A3213" s="59">
        <f t="shared" si="20"/>
        <v>50</v>
      </c>
      <c r="B3213" s="59" t="str">
        <f t="shared" si="21"/>
        <v/>
      </c>
      <c r="C3213" s="59" t="str">
        <f t="shared" si="22"/>
        <v/>
      </c>
      <c r="D3213" s="45" t="str">
        <f t="shared" si="23"/>
        <v/>
      </c>
      <c r="E3213" s="45" t="str">
        <f t="shared" si="24"/>
        <v/>
      </c>
      <c r="F3213" s="59" t="str">
        <f t="shared" si="25"/>
        <v/>
      </c>
      <c r="G3213" s="59" t="str">
        <f t="shared" si="26"/>
        <v/>
      </c>
      <c r="H3213" s="59" t="str">
        <f t="shared" si="27"/>
        <v>29E17269</v>
      </c>
      <c r="I3213" s="59" t="str">
        <f>IF(OR($A3213="",$C3213="",$D3213="",$E3213="",$H3213=""),"",SUMIFS(DATA_GOC!$H:$H,DATA_GOC!$A:$A,"BOM",DATA_GOC!$D:$D,$H3213,DATA_GOC!$E:$E,$C3213,DATA_GOC!$F:$F,"Xuất nội bộ từ téc",DATA_GOC!$B:$B,"&gt;="&amp;$D3213,DATA_GOC!$B:$B,"&lt;="&amp;$E3213))</f>
        <v/>
      </c>
      <c r="J3213" s="59">
        <f t="shared" si="28"/>
        <v>0</v>
      </c>
      <c r="K3213" s="59">
        <f t="shared" si="29"/>
        <v>0</v>
      </c>
      <c r="L3213" s="59">
        <f t="shared" si="30"/>
        <v>0</v>
      </c>
      <c r="M3213" s="59">
        <f t="shared" si="31"/>
        <v>0</v>
      </c>
    </row>
    <row r="3214" ht="15.0" hidden="1" customHeight="1">
      <c r="A3214" s="59">
        <f t="shared" si="20"/>
        <v>50</v>
      </c>
      <c r="B3214" s="59" t="str">
        <f t="shared" si="21"/>
        <v/>
      </c>
      <c r="C3214" s="59" t="str">
        <f t="shared" si="22"/>
        <v/>
      </c>
      <c r="D3214" s="45" t="str">
        <f t="shared" si="23"/>
        <v/>
      </c>
      <c r="E3214" s="45" t="str">
        <f t="shared" si="24"/>
        <v/>
      </c>
      <c r="F3214" s="59" t="str">
        <f t="shared" si="25"/>
        <v/>
      </c>
      <c r="G3214" s="59" t="str">
        <f t="shared" si="26"/>
        <v/>
      </c>
      <c r="H3214" s="59" t="str">
        <f t="shared" si="27"/>
        <v>29E17273</v>
      </c>
      <c r="I3214" s="59" t="str">
        <f>IF(OR($A3214="",$C3214="",$D3214="",$E3214="",$H3214=""),"",SUMIFS(DATA_GOC!$H:$H,DATA_GOC!$A:$A,"BOM",DATA_GOC!$D:$D,$H3214,DATA_GOC!$E:$E,$C3214,DATA_GOC!$F:$F,"Xuất nội bộ từ téc",DATA_GOC!$B:$B,"&gt;="&amp;$D3214,DATA_GOC!$B:$B,"&lt;="&amp;$E3214))</f>
        <v/>
      </c>
      <c r="J3214" s="59">
        <f t="shared" si="28"/>
        <v>0</v>
      </c>
      <c r="K3214" s="59">
        <f t="shared" si="29"/>
        <v>0</v>
      </c>
      <c r="L3214" s="59">
        <f t="shared" si="30"/>
        <v>0</v>
      </c>
      <c r="M3214" s="59">
        <f t="shared" si="31"/>
        <v>0</v>
      </c>
    </row>
    <row r="3215" ht="15.0" hidden="1" customHeight="1">
      <c r="A3215" s="59">
        <f t="shared" si="20"/>
        <v>50</v>
      </c>
      <c r="B3215" s="59" t="str">
        <f t="shared" si="21"/>
        <v/>
      </c>
      <c r="C3215" s="59" t="str">
        <f t="shared" si="22"/>
        <v/>
      </c>
      <c r="D3215" s="45" t="str">
        <f t="shared" si="23"/>
        <v/>
      </c>
      <c r="E3215" s="45" t="str">
        <f t="shared" si="24"/>
        <v/>
      </c>
      <c r="F3215" s="59" t="str">
        <f t="shared" si="25"/>
        <v/>
      </c>
      <c r="G3215" s="59" t="str">
        <f t="shared" si="26"/>
        <v/>
      </c>
      <c r="H3215" s="59" t="str">
        <f t="shared" si="27"/>
        <v>29E17410</v>
      </c>
      <c r="I3215" s="59" t="str">
        <f>IF(OR($A3215="",$C3215="",$D3215="",$E3215="",$H3215=""),"",SUMIFS(DATA_GOC!$H:$H,DATA_GOC!$A:$A,"BOM",DATA_GOC!$D:$D,$H3215,DATA_GOC!$E:$E,$C3215,DATA_GOC!$F:$F,"Xuất nội bộ từ téc",DATA_GOC!$B:$B,"&gt;="&amp;$D3215,DATA_GOC!$B:$B,"&lt;="&amp;$E3215))</f>
        <v/>
      </c>
      <c r="J3215" s="59">
        <f t="shared" si="28"/>
        <v>0</v>
      </c>
      <c r="K3215" s="59">
        <f t="shared" si="29"/>
        <v>0</v>
      </c>
      <c r="L3215" s="59">
        <f t="shared" si="30"/>
        <v>0</v>
      </c>
      <c r="M3215" s="59">
        <f t="shared" si="31"/>
        <v>0</v>
      </c>
    </row>
    <row r="3216" ht="15.0" hidden="1" customHeight="1">
      <c r="A3216" s="59">
        <f t="shared" si="20"/>
        <v>50</v>
      </c>
      <c r="B3216" s="59" t="str">
        <f t="shared" si="21"/>
        <v/>
      </c>
      <c r="C3216" s="59" t="str">
        <f t="shared" si="22"/>
        <v/>
      </c>
      <c r="D3216" s="45" t="str">
        <f t="shared" si="23"/>
        <v/>
      </c>
      <c r="E3216" s="45" t="str">
        <f t="shared" si="24"/>
        <v/>
      </c>
      <c r="F3216" s="59" t="str">
        <f t="shared" si="25"/>
        <v/>
      </c>
      <c r="G3216" s="59" t="str">
        <f t="shared" si="26"/>
        <v/>
      </c>
      <c r="H3216" s="59" t="str">
        <f t="shared" si="27"/>
        <v>29E17417</v>
      </c>
      <c r="I3216" s="59" t="str">
        <f>IF(OR($A3216="",$C3216="",$D3216="",$E3216="",$H3216=""),"",SUMIFS(DATA_GOC!$H:$H,DATA_GOC!$A:$A,"BOM",DATA_GOC!$D:$D,$H3216,DATA_GOC!$E:$E,$C3216,DATA_GOC!$F:$F,"Xuất nội bộ từ téc",DATA_GOC!$B:$B,"&gt;="&amp;$D3216,DATA_GOC!$B:$B,"&lt;="&amp;$E3216))</f>
        <v/>
      </c>
      <c r="J3216" s="59">
        <f t="shared" si="28"/>
        <v>0</v>
      </c>
      <c r="K3216" s="59">
        <f t="shared" si="29"/>
        <v>0</v>
      </c>
      <c r="L3216" s="59">
        <f t="shared" si="30"/>
        <v>0</v>
      </c>
      <c r="M3216" s="59">
        <f t="shared" si="31"/>
        <v>0</v>
      </c>
    </row>
    <row r="3217" ht="15.0" hidden="1" customHeight="1">
      <c r="A3217" s="59">
        <f t="shared" si="20"/>
        <v>50</v>
      </c>
      <c r="B3217" s="59" t="str">
        <f t="shared" si="21"/>
        <v/>
      </c>
      <c r="C3217" s="59" t="str">
        <f t="shared" si="22"/>
        <v/>
      </c>
      <c r="D3217" s="45" t="str">
        <f t="shared" si="23"/>
        <v/>
      </c>
      <c r="E3217" s="45" t="str">
        <f t="shared" si="24"/>
        <v/>
      </c>
      <c r="F3217" s="59" t="str">
        <f t="shared" si="25"/>
        <v/>
      </c>
      <c r="G3217" s="59" t="str">
        <f t="shared" si="26"/>
        <v/>
      </c>
      <c r="H3217" s="59" t="str">
        <f t="shared" si="27"/>
        <v>29E17539</v>
      </c>
      <c r="I3217" s="59" t="str">
        <f>IF(OR($A3217="",$C3217="",$D3217="",$E3217="",$H3217=""),"",SUMIFS(DATA_GOC!$H:$H,DATA_GOC!$A:$A,"BOM",DATA_GOC!$D:$D,$H3217,DATA_GOC!$E:$E,$C3217,DATA_GOC!$F:$F,"Xuất nội bộ từ téc",DATA_GOC!$B:$B,"&gt;="&amp;$D3217,DATA_GOC!$B:$B,"&lt;="&amp;$E3217))</f>
        <v/>
      </c>
      <c r="J3217" s="59">
        <f t="shared" si="28"/>
        <v>0</v>
      </c>
      <c r="K3217" s="59">
        <f t="shared" si="29"/>
        <v>0</v>
      </c>
      <c r="L3217" s="59">
        <f t="shared" si="30"/>
        <v>0</v>
      </c>
      <c r="M3217" s="59">
        <f t="shared" si="31"/>
        <v>0</v>
      </c>
    </row>
    <row r="3218" ht="15.0" hidden="1" customHeight="1">
      <c r="A3218" s="59">
        <f t="shared" si="20"/>
        <v>50</v>
      </c>
      <c r="B3218" s="59" t="str">
        <f t="shared" si="21"/>
        <v/>
      </c>
      <c r="C3218" s="59" t="str">
        <f t="shared" si="22"/>
        <v/>
      </c>
      <c r="D3218" s="45" t="str">
        <f t="shared" si="23"/>
        <v/>
      </c>
      <c r="E3218" s="45" t="str">
        <f t="shared" si="24"/>
        <v/>
      </c>
      <c r="F3218" s="59" t="str">
        <f t="shared" si="25"/>
        <v/>
      </c>
      <c r="G3218" s="59" t="str">
        <f t="shared" si="26"/>
        <v/>
      </c>
      <c r="H3218" s="59" t="str">
        <f t="shared" si="27"/>
        <v>29E18160</v>
      </c>
      <c r="I3218" s="59" t="str">
        <f>IF(OR($A3218="",$C3218="",$D3218="",$E3218="",$H3218=""),"",SUMIFS(DATA_GOC!$H:$H,DATA_GOC!$A:$A,"BOM",DATA_GOC!$D:$D,$H3218,DATA_GOC!$E:$E,$C3218,DATA_GOC!$F:$F,"Xuất nội bộ từ téc",DATA_GOC!$B:$B,"&gt;="&amp;$D3218,DATA_GOC!$B:$B,"&lt;="&amp;$E3218))</f>
        <v/>
      </c>
      <c r="J3218" s="59">
        <f t="shared" si="28"/>
        <v>0</v>
      </c>
      <c r="K3218" s="59">
        <f t="shared" si="29"/>
        <v>0</v>
      </c>
      <c r="L3218" s="59">
        <f t="shared" si="30"/>
        <v>0</v>
      </c>
      <c r="M3218" s="59">
        <f t="shared" si="31"/>
        <v>0</v>
      </c>
    </row>
    <row r="3219" ht="15.0" hidden="1" customHeight="1">
      <c r="A3219" s="59">
        <f t="shared" si="20"/>
        <v>50</v>
      </c>
      <c r="B3219" s="59" t="str">
        <f t="shared" si="21"/>
        <v/>
      </c>
      <c r="C3219" s="59" t="str">
        <f t="shared" si="22"/>
        <v/>
      </c>
      <c r="D3219" s="45" t="str">
        <f t="shared" si="23"/>
        <v/>
      </c>
      <c r="E3219" s="45" t="str">
        <f t="shared" si="24"/>
        <v/>
      </c>
      <c r="F3219" s="59" t="str">
        <f t="shared" si="25"/>
        <v/>
      </c>
      <c r="G3219" s="59" t="str">
        <f t="shared" si="26"/>
        <v/>
      </c>
      <c r="H3219" s="59" t="str">
        <f t="shared" si="27"/>
        <v>Công trình Asphalt</v>
      </c>
      <c r="I3219" s="59" t="str">
        <f>IF(OR($A3219="",$C3219="",$D3219="",$E3219="",$H3219=""),"",SUMIFS(DATA_GOC!$H:$H,DATA_GOC!$A:$A,"BOM",DATA_GOC!$D:$D,$H3219,DATA_GOC!$E:$E,$C3219,DATA_GOC!$F:$F,"Xuất nội bộ từ téc",DATA_GOC!$B:$B,"&gt;="&amp;$D3219,DATA_GOC!$B:$B,"&lt;="&amp;$E3219))</f>
        <v/>
      </c>
      <c r="J3219" s="59">
        <f t="shared" si="28"/>
        <v>0</v>
      </c>
      <c r="K3219" s="59">
        <f t="shared" si="29"/>
        <v>0</v>
      </c>
      <c r="L3219" s="59">
        <f t="shared" si="30"/>
        <v>0</v>
      </c>
      <c r="M3219" s="59">
        <f t="shared" si="31"/>
        <v>0</v>
      </c>
    </row>
    <row r="3220" ht="15.0" hidden="1" customHeight="1">
      <c r="A3220" s="59">
        <f t="shared" si="20"/>
        <v>50</v>
      </c>
      <c r="B3220" s="59" t="str">
        <f t="shared" si="21"/>
        <v/>
      </c>
      <c r="C3220" s="59" t="str">
        <f t="shared" si="22"/>
        <v/>
      </c>
      <c r="D3220" s="45" t="str">
        <f t="shared" si="23"/>
        <v/>
      </c>
      <c r="E3220" s="45" t="str">
        <f t="shared" si="24"/>
        <v/>
      </c>
      <c r="F3220" s="59" t="str">
        <f t="shared" si="25"/>
        <v/>
      </c>
      <c r="G3220" s="59" t="str">
        <f t="shared" si="26"/>
        <v/>
      </c>
      <c r="H3220" s="59" t="str">
        <f t="shared" si="27"/>
        <v>LG53F</v>
      </c>
      <c r="I3220" s="59" t="str">
        <f>IF(OR($A3220="",$C3220="",$D3220="",$E3220="",$H3220=""),"",SUMIFS(DATA_GOC!$H:$H,DATA_GOC!$A:$A,"BOM",DATA_GOC!$D:$D,$H3220,DATA_GOC!$E:$E,$C3220,DATA_GOC!$F:$F,"Xuất nội bộ từ téc",DATA_GOC!$B:$B,"&gt;="&amp;$D3220,DATA_GOC!$B:$B,"&lt;="&amp;$E3220))</f>
        <v/>
      </c>
      <c r="J3220" s="59">
        <f t="shared" si="28"/>
        <v>0</v>
      </c>
      <c r="K3220" s="59">
        <f t="shared" si="29"/>
        <v>0</v>
      </c>
      <c r="L3220" s="59">
        <f t="shared" si="30"/>
        <v>0</v>
      </c>
      <c r="M3220" s="59">
        <f t="shared" si="31"/>
        <v>0</v>
      </c>
    </row>
    <row r="3221" ht="15.0" hidden="1" customHeight="1">
      <c r="A3221" s="59">
        <f t="shared" si="20"/>
        <v>50</v>
      </c>
      <c r="B3221" s="59" t="str">
        <f t="shared" si="21"/>
        <v/>
      </c>
      <c r="C3221" s="59" t="str">
        <f t="shared" si="22"/>
        <v/>
      </c>
      <c r="D3221" s="45" t="str">
        <f t="shared" si="23"/>
        <v/>
      </c>
      <c r="E3221" s="45" t="str">
        <f t="shared" si="24"/>
        <v/>
      </c>
      <c r="F3221" s="59" t="str">
        <f t="shared" si="25"/>
        <v/>
      </c>
      <c r="G3221" s="59" t="str">
        <f t="shared" si="26"/>
        <v/>
      </c>
      <c r="H3221" s="59" t="str">
        <f t="shared" si="27"/>
        <v>Máy phát điện</v>
      </c>
      <c r="I3221" s="59" t="str">
        <f>IF(OR($A3221="",$C3221="",$D3221="",$E3221="",$H3221=""),"",SUMIFS(DATA_GOC!$H:$H,DATA_GOC!$A:$A,"BOM",DATA_GOC!$D:$D,$H3221,DATA_GOC!$E:$E,$C3221,DATA_GOC!$F:$F,"Xuất nội bộ từ téc",DATA_GOC!$B:$B,"&gt;="&amp;$D3221,DATA_GOC!$B:$B,"&lt;="&amp;$E3221))</f>
        <v/>
      </c>
      <c r="J3221" s="59">
        <f t="shared" si="28"/>
        <v>0</v>
      </c>
      <c r="K3221" s="59">
        <f t="shared" si="29"/>
        <v>0</v>
      </c>
      <c r="L3221" s="59">
        <f t="shared" si="30"/>
        <v>0</v>
      </c>
      <c r="M3221" s="59">
        <f t="shared" si="31"/>
        <v>0</v>
      </c>
    </row>
    <row r="3222" ht="15.0" hidden="1" customHeight="1">
      <c r="A3222" s="59">
        <f t="shared" si="20"/>
        <v>50</v>
      </c>
      <c r="B3222" s="59" t="str">
        <f t="shared" si="21"/>
        <v/>
      </c>
      <c r="C3222" s="59" t="str">
        <f t="shared" si="22"/>
        <v/>
      </c>
      <c r="D3222" s="45" t="str">
        <f t="shared" si="23"/>
        <v/>
      </c>
      <c r="E3222" s="45" t="str">
        <f t="shared" si="24"/>
        <v/>
      </c>
      <c r="F3222" s="59" t="str">
        <f t="shared" si="25"/>
        <v/>
      </c>
      <c r="G3222" s="59" t="str">
        <f t="shared" si="26"/>
        <v/>
      </c>
      <c r="H3222" s="59" t="str">
        <f t="shared" si="27"/>
        <v>Máy rải thảm</v>
      </c>
      <c r="I3222" s="59" t="str">
        <f>IF(OR($A3222="",$C3222="",$D3222="",$E3222="",$H3222=""),"",SUMIFS(DATA_GOC!$H:$H,DATA_GOC!$A:$A,"BOM",DATA_GOC!$D:$D,$H3222,DATA_GOC!$E:$E,$C3222,DATA_GOC!$F:$F,"Xuất nội bộ từ téc",DATA_GOC!$B:$B,"&gt;="&amp;$D3222,DATA_GOC!$B:$B,"&lt;="&amp;$E3222))</f>
        <v/>
      </c>
      <c r="J3222" s="59">
        <f t="shared" si="28"/>
        <v>0</v>
      </c>
      <c r="K3222" s="59">
        <f t="shared" si="29"/>
        <v>0</v>
      </c>
      <c r="L3222" s="59">
        <f t="shared" si="30"/>
        <v>0</v>
      </c>
      <c r="M3222" s="59">
        <f t="shared" si="31"/>
        <v>0</v>
      </c>
    </row>
    <row r="3223" ht="15.0" hidden="1" customHeight="1">
      <c r="A3223" s="59">
        <f t="shared" si="20"/>
        <v>50</v>
      </c>
      <c r="B3223" s="59" t="str">
        <f t="shared" si="21"/>
        <v/>
      </c>
      <c r="C3223" s="59" t="str">
        <f t="shared" si="22"/>
        <v/>
      </c>
      <c r="D3223" s="45" t="str">
        <f t="shared" si="23"/>
        <v/>
      </c>
      <c r="E3223" s="45" t="str">
        <f t="shared" si="24"/>
        <v/>
      </c>
      <c r="F3223" s="59" t="str">
        <f t="shared" si="25"/>
        <v/>
      </c>
      <c r="G3223" s="59" t="str">
        <f t="shared" si="26"/>
        <v/>
      </c>
      <c r="H3223" s="59" t="str">
        <f t="shared" si="27"/>
        <v>Xúc Đào</v>
      </c>
      <c r="I3223" s="59" t="str">
        <f>IF(OR($A3223="",$C3223="",$D3223="",$E3223="",$H3223=""),"",SUMIFS(DATA_GOC!$H:$H,DATA_GOC!$A:$A,"BOM",DATA_GOC!$D:$D,$H3223,DATA_GOC!$E:$E,$C3223,DATA_GOC!$F:$F,"Xuất nội bộ từ téc",DATA_GOC!$B:$B,"&gt;="&amp;$D3223,DATA_GOC!$B:$B,"&lt;="&amp;$E3223))</f>
        <v/>
      </c>
      <c r="J3223" s="59">
        <f t="shared" si="28"/>
        <v>0</v>
      </c>
      <c r="K3223" s="59">
        <f t="shared" si="29"/>
        <v>0</v>
      </c>
      <c r="L3223" s="59">
        <f t="shared" si="30"/>
        <v>0</v>
      </c>
      <c r="M3223" s="59">
        <f t="shared" si="31"/>
        <v>0</v>
      </c>
    </row>
    <row r="3224" ht="15.0" hidden="1" customHeight="1">
      <c r="A3224" s="59">
        <f t="shared" si="20"/>
        <v>50</v>
      </c>
      <c r="B3224" s="59" t="str">
        <f t="shared" si="21"/>
        <v/>
      </c>
      <c r="C3224" s="59" t="str">
        <f t="shared" si="22"/>
        <v/>
      </c>
      <c r="D3224" s="45" t="str">
        <f t="shared" si="23"/>
        <v/>
      </c>
      <c r="E3224" s="45" t="str">
        <f t="shared" si="24"/>
        <v/>
      </c>
      <c r="F3224" s="59" t="str">
        <f t="shared" si="25"/>
        <v/>
      </c>
      <c r="G3224" s="59" t="str">
        <f t="shared" si="26"/>
        <v/>
      </c>
      <c r="H3224" s="59" t="str">
        <f t="shared" si="27"/>
        <v>Xúclật asphalt</v>
      </c>
      <c r="I3224" s="59" t="str">
        <f>IF(OR($A3224="",$C3224="",$D3224="",$E3224="",$H3224=""),"",SUMIFS(DATA_GOC!$H:$H,DATA_GOC!$A:$A,"BOM",DATA_GOC!$D:$D,$H3224,DATA_GOC!$E:$E,$C3224,DATA_GOC!$F:$F,"Xuất nội bộ từ téc",DATA_GOC!$B:$B,"&gt;="&amp;$D3224,DATA_GOC!$B:$B,"&lt;="&amp;$E3224))</f>
        <v/>
      </c>
      <c r="J3224" s="59">
        <f t="shared" si="28"/>
        <v>0</v>
      </c>
      <c r="K3224" s="59">
        <f t="shared" si="29"/>
        <v>0</v>
      </c>
      <c r="L3224" s="59">
        <f t="shared" si="30"/>
        <v>0</v>
      </c>
      <c r="M3224" s="59">
        <f t="shared" si="31"/>
        <v>0</v>
      </c>
    </row>
    <row r="3225" ht="15.0" hidden="1" customHeight="1">
      <c r="A3225" s="59">
        <f t="shared" si="20"/>
        <v>50</v>
      </c>
      <c r="B3225" s="59" t="str">
        <f t="shared" si="21"/>
        <v/>
      </c>
      <c r="C3225" s="59" t="str">
        <f t="shared" si="22"/>
        <v/>
      </c>
      <c r="D3225" s="45" t="str">
        <f t="shared" si="23"/>
        <v/>
      </c>
      <c r="E3225" s="45" t="str">
        <f t="shared" si="24"/>
        <v/>
      </c>
      <c r="F3225" s="59" t="str">
        <f t="shared" si="25"/>
        <v/>
      </c>
      <c r="G3225" s="59" t="str">
        <f t="shared" si="26"/>
        <v/>
      </c>
      <c r="H3225" s="59" t="str">
        <f t="shared" si="27"/>
        <v>Xúclật855H</v>
      </c>
      <c r="I3225" s="59" t="str">
        <f>IF(OR($A3225="",$C3225="",$D3225="",$E3225="",$H3225=""),"",SUMIFS(DATA_GOC!$H:$H,DATA_GOC!$A:$A,"BOM",DATA_GOC!$D:$D,$H3225,DATA_GOC!$E:$E,$C3225,DATA_GOC!$F:$F,"Xuất nội bộ từ téc",DATA_GOC!$B:$B,"&gt;="&amp;$D3225,DATA_GOC!$B:$B,"&lt;="&amp;$E3225))</f>
        <v/>
      </c>
      <c r="J3225" s="59">
        <f t="shared" si="28"/>
        <v>0</v>
      </c>
      <c r="K3225" s="59">
        <f t="shared" si="29"/>
        <v>0</v>
      </c>
      <c r="L3225" s="59">
        <f t="shared" si="30"/>
        <v>0</v>
      </c>
      <c r="M3225" s="59">
        <f t="shared" si="31"/>
        <v>0</v>
      </c>
    </row>
    <row r="3226" ht="15.0" hidden="1" customHeight="1">
      <c r="A3226" s="59">
        <f t="shared" si="20"/>
        <v>50</v>
      </c>
      <c r="B3226" s="59" t="str">
        <f t="shared" si="21"/>
        <v/>
      </c>
      <c r="C3226" s="59" t="str">
        <f t="shared" si="22"/>
        <v/>
      </c>
      <c r="D3226" s="45" t="str">
        <f t="shared" si="23"/>
        <v/>
      </c>
      <c r="E3226" s="45" t="str">
        <f t="shared" si="24"/>
        <v/>
      </c>
      <c r="F3226" s="59" t="str">
        <f t="shared" si="25"/>
        <v/>
      </c>
      <c r="G3226" s="59" t="str">
        <f t="shared" si="26"/>
        <v/>
      </c>
      <c r="H3226" s="59" t="str">
        <f t="shared" si="27"/>
        <v>Xúclật855N</v>
      </c>
      <c r="I3226" s="59" t="str">
        <f>IF(OR($A3226="",$C3226="",$D3226="",$E3226="",$H3226=""),"",SUMIFS(DATA_GOC!$H:$H,DATA_GOC!$A:$A,"BOM",DATA_GOC!$D:$D,$H3226,DATA_GOC!$E:$E,$C3226,DATA_GOC!$F:$F,"Xuất nội bộ từ téc",DATA_GOC!$B:$B,"&gt;="&amp;$D3226,DATA_GOC!$B:$B,"&lt;="&amp;$E3226))</f>
        <v/>
      </c>
      <c r="J3226" s="59">
        <f t="shared" si="28"/>
        <v>0</v>
      </c>
      <c r="K3226" s="59">
        <f t="shared" si="29"/>
        <v>0</v>
      </c>
      <c r="L3226" s="59">
        <f t="shared" si="30"/>
        <v>0</v>
      </c>
      <c r="M3226" s="59">
        <f t="shared" si="31"/>
        <v>0</v>
      </c>
    </row>
    <row r="3227" ht="15.0" hidden="1" customHeight="1">
      <c r="A3227" s="59">
        <f t="shared" si="20"/>
        <v>50</v>
      </c>
      <c r="B3227" s="59" t="str">
        <f t="shared" si="21"/>
        <v/>
      </c>
      <c r="C3227" s="59" t="str">
        <f t="shared" si="22"/>
        <v/>
      </c>
      <c r="D3227" s="45" t="str">
        <f t="shared" si="23"/>
        <v/>
      </c>
      <c r="E3227" s="45" t="str">
        <f t="shared" si="24"/>
        <v/>
      </c>
      <c r="F3227" s="59" t="str">
        <f t="shared" si="25"/>
        <v/>
      </c>
      <c r="G3227" s="59" t="str">
        <f t="shared" si="26"/>
        <v/>
      </c>
      <c r="H3227" s="59" t="str">
        <f t="shared" si="27"/>
        <v>Cát nghiền</v>
      </c>
      <c r="I3227" s="59" t="str">
        <f>IF(OR($A3227="",$C3227="",$D3227="",$E3227="",$H3227=""),"",SUMIFS(DATA_GOC!$H:$H,DATA_GOC!$A:$A,"BOM",DATA_GOC!$D:$D,$H3227,DATA_GOC!$E:$E,$C3227,DATA_GOC!$F:$F,"Xuất nội bộ từ téc",DATA_GOC!$B:$B,"&gt;="&amp;$D3227,DATA_GOC!$B:$B,"&lt;="&amp;$E3227))</f>
        <v/>
      </c>
      <c r="J3227" s="59">
        <f t="shared" si="28"/>
        <v>0</v>
      </c>
      <c r="K3227" s="59">
        <f t="shared" si="29"/>
        <v>0</v>
      </c>
      <c r="L3227" s="59">
        <f t="shared" si="30"/>
        <v>0</v>
      </c>
      <c r="M3227" s="59">
        <f t="shared" si="31"/>
        <v>0</v>
      </c>
    </row>
    <row r="3228" ht="15.0" hidden="1" customHeight="1">
      <c r="A3228" s="59">
        <f t="shared" si="20"/>
        <v>50</v>
      </c>
      <c r="B3228" s="59" t="str">
        <f t="shared" si="21"/>
        <v/>
      </c>
      <c r="C3228" s="59" t="str">
        <f t="shared" si="22"/>
        <v/>
      </c>
      <c r="D3228" s="45" t="str">
        <f t="shared" si="23"/>
        <v/>
      </c>
      <c r="E3228" s="45" t="str">
        <f t="shared" si="24"/>
        <v/>
      </c>
      <c r="F3228" s="59" t="str">
        <f t="shared" si="25"/>
        <v/>
      </c>
      <c r="G3228" s="59" t="str">
        <f t="shared" si="26"/>
        <v/>
      </c>
      <c r="H3228" s="59" t="str">
        <f t="shared" si="27"/>
        <v>28C02973</v>
      </c>
      <c r="I3228" s="59" t="str">
        <f>IF(OR($A3228="",$C3228="",$D3228="",$E3228="",$H3228=""),"",SUMIFS(DATA_GOC!$H:$H,DATA_GOC!$A:$A,"BOM",DATA_GOC!$D:$D,$H3228,DATA_GOC!$E:$E,$C3228,DATA_GOC!$F:$F,"Xuất nội bộ từ téc",DATA_GOC!$B:$B,"&gt;="&amp;$D3228,DATA_GOC!$B:$B,"&lt;="&amp;$E3228))</f>
        <v/>
      </c>
      <c r="J3228" s="59">
        <f t="shared" si="28"/>
        <v>0</v>
      </c>
      <c r="K3228" s="59">
        <f t="shared" si="29"/>
        <v>0</v>
      </c>
      <c r="L3228" s="59">
        <f t="shared" si="30"/>
        <v>0</v>
      </c>
      <c r="M3228" s="59">
        <f t="shared" si="31"/>
        <v>0</v>
      </c>
    </row>
    <row r="3229" ht="15.0" hidden="1" customHeight="1">
      <c r="A3229" s="59">
        <f t="shared" si="20"/>
        <v>50</v>
      </c>
      <c r="B3229" s="59" t="str">
        <f t="shared" si="21"/>
        <v/>
      </c>
      <c r="C3229" s="59" t="str">
        <f t="shared" si="22"/>
        <v/>
      </c>
      <c r="D3229" s="45" t="str">
        <f t="shared" si="23"/>
        <v/>
      </c>
      <c r="E3229" s="45" t="str">
        <f t="shared" si="24"/>
        <v/>
      </c>
      <c r="F3229" s="59" t="str">
        <f t="shared" si="25"/>
        <v/>
      </c>
      <c r="G3229" s="59" t="str">
        <f t="shared" si="26"/>
        <v/>
      </c>
      <c r="H3229" s="59" t="str">
        <f t="shared" si="27"/>
        <v>28C03044</v>
      </c>
      <c r="I3229" s="59" t="str">
        <f>IF(OR($A3229="",$C3229="",$D3229="",$E3229="",$H3229=""),"",SUMIFS(DATA_GOC!$H:$H,DATA_GOC!$A:$A,"BOM",DATA_GOC!$D:$D,$H3229,DATA_GOC!$E:$E,$C3229,DATA_GOC!$F:$F,"Xuất nội bộ từ téc",DATA_GOC!$B:$B,"&gt;="&amp;$D3229,DATA_GOC!$B:$B,"&lt;="&amp;$E3229))</f>
        <v/>
      </c>
      <c r="J3229" s="59">
        <f t="shared" si="28"/>
        <v>0</v>
      </c>
      <c r="K3229" s="59">
        <f t="shared" si="29"/>
        <v>0</v>
      </c>
      <c r="L3229" s="59">
        <f t="shared" si="30"/>
        <v>0</v>
      </c>
      <c r="M3229" s="59">
        <f t="shared" si="31"/>
        <v>0</v>
      </c>
    </row>
    <row r="3230" ht="15.0" hidden="1" customHeight="1">
      <c r="A3230" s="59">
        <f t="shared" si="20"/>
        <v>50</v>
      </c>
      <c r="B3230" s="59" t="str">
        <f t="shared" si="21"/>
        <v/>
      </c>
      <c r="C3230" s="59" t="str">
        <f t="shared" si="22"/>
        <v/>
      </c>
      <c r="D3230" s="45" t="str">
        <f t="shared" si="23"/>
        <v/>
      </c>
      <c r="E3230" s="45" t="str">
        <f t="shared" si="24"/>
        <v/>
      </c>
      <c r="F3230" s="59" t="str">
        <f t="shared" si="25"/>
        <v/>
      </c>
      <c r="G3230" s="59" t="str">
        <f t="shared" si="26"/>
        <v/>
      </c>
      <c r="H3230" s="59" t="str">
        <f t="shared" si="27"/>
        <v>Máy lu lốp</v>
      </c>
      <c r="I3230" s="59" t="str">
        <f>IF(OR($A3230="",$C3230="",$D3230="",$E3230="",$H3230=""),"",SUMIFS(DATA_GOC!$H:$H,DATA_GOC!$A:$A,"BOM",DATA_GOC!$D:$D,$H3230,DATA_GOC!$E:$E,$C3230,DATA_GOC!$F:$F,"Xuất nội bộ từ téc",DATA_GOC!$B:$B,"&gt;="&amp;$D3230,DATA_GOC!$B:$B,"&lt;="&amp;$E3230))</f>
        <v/>
      </c>
      <c r="J3230" s="59">
        <f t="shared" si="28"/>
        <v>0</v>
      </c>
      <c r="K3230" s="59">
        <f t="shared" si="29"/>
        <v>0</v>
      </c>
      <c r="L3230" s="59">
        <f t="shared" si="30"/>
        <v>0</v>
      </c>
      <c r="M3230" s="59">
        <f t="shared" si="31"/>
        <v>0</v>
      </c>
    </row>
    <row r="3231" ht="15.0" hidden="1" customHeight="1">
      <c r="A3231" s="59">
        <f t="shared" si="20"/>
        <v>50</v>
      </c>
      <c r="B3231" s="59" t="str">
        <f t="shared" si="21"/>
        <v/>
      </c>
      <c r="C3231" s="59" t="str">
        <f t="shared" si="22"/>
        <v/>
      </c>
      <c r="D3231" s="45" t="str">
        <f t="shared" si="23"/>
        <v/>
      </c>
      <c r="E3231" s="45" t="str">
        <f t="shared" si="24"/>
        <v/>
      </c>
      <c r="F3231" s="59" t="str">
        <f t="shared" si="25"/>
        <v/>
      </c>
      <c r="G3231" s="59" t="str">
        <f t="shared" si="26"/>
        <v/>
      </c>
      <c r="H3231" s="59" t="str">
        <f t="shared" si="27"/>
        <v>Xe 600148</v>
      </c>
      <c r="I3231" s="59" t="str">
        <f>IF(OR($A3231="",$C3231="",$D3231="",$E3231="",$H3231=""),"",SUMIFS(DATA_GOC!$H:$H,DATA_GOC!$A:$A,"BOM",DATA_GOC!$D:$D,$H3231,DATA_GOC!$E:$E,$C3231,DATA_GOC!$F:$F,"Xuất nội bộ từ téc",DATA_GOC!$B:$B,"&gt;="&amp;$D3231,DATA_GOC!$B:$B,"&lt;="&amp;$E3231))</f>
        <v/>
      </c>
      <c r="J3231" s="59">
        <f t="shared" si="28"/>
        <v>0</v>
      </c>
      <c r="K3231" s="59">
        <f t="shared" si="29"/>
        <v>0</v>
      </c>
      <c r="L3231" s="59">
        <f t="shared" si="30"/>
        <v>0</v>
      </c>
      <c r="M3231" s="59">
        <f t="shared" si="31"/>
        <v>0</v>
      </c>
    </row>
    <row r="3232" ht="15.0" hidden="1" customHeight="1">
      <c r="A3232" s="59">
        <f t="shared" si="20"/>
        <v>50</v>
      </c>
      <c r="B3232" s="59" t="str">
        <f t="shared" si="21"/>
        <v/>
      </c>
      <c r="C3232" s="59" t="str">
        <f t="shared" si="22"/>
        <v/>
      </c>
      <c r="D3232" s="45" t="str">
        <f t="shared" si="23"/>
        <v/>
      </c>
      <c r="E3232" s="45" t="str">
        <f t="shared" si="24"/>
        <v/>
      </c>
      <c r="F3232" s="59" t="str">
        <f t="shared" si="25"/>
        <v/>
      </c>
      <c r="G3232" s="59" t="str">
        <f t="shared" si="26"/>
        <v/>
      </c>
      <c r="H3232" s="59" t="str">
        <f t="shared" si="27"/>
        <v>Xe ben mới</v>
      </c>
      <c r="I3232" s="59" t="str">
        <f>IF(OR($A3232="",$C3232="",$D3232="",$E3232="",$H3232=""),"",SUMIFS(DATA_GOC!$H:$H,DATA_GOC!$A:$A,"BOM",DATA_GOC!$D:$D,$H3232,DATA_GOC!$E:$E,$C3232,DATA_GOC!$F:$F,"Xuất nội bộ từ téc",DATA_GOC!$B:$B,"&gt;="&amp;$D3232,DATA_GOC!$B:$B,"&lt;="&amp;$E3232))</f>
        <v/>
      </c>
      <c r="J3232" s="59">
        <f t="shared" si="28"/>
        <v>0</v>
      </c>
      <c r="K3232" s="59">
        <f t="shared" si="29"/>
        <v>0</v>
      </c>
      <c r="L3232" s="59">
        <f t="shared" si="30"/>
        <v>0</v>
      </c>
      <c r="M3232" s="59">
        <f t="shared" si="31"/>
        <v>0</v>
      </c>
    </row>
    <row r="3233" ht="15.0" hidden="1" customHeight="1">
      <c r="A3233" s="59">
        <f t="shared" si="20"/>
        <v>51</v>
      </c>
      <c r="B3233" s="59" t="str">
        <f t="shared" si="21"/>
        <v/>
      </c>
      <c r="C3233" s="59" t="str">
        <f t="shared" si="22"/>
        <v/>
      </c>
      <c r="D3233" s="45" t="str">
        <f t="shared" si="23"/>
        <v/>
      </c>
      <c r="E3233" s="45" t="str">
        <f t="shared" si="24"/>
        <v/>
      </c>
      <c r="F3233" s="59" t="str">
        <f t="shared" si="25"/>
        <v/>
      </c>
      <c r="G3233" s="59" t="str">
        <f t="shared" si="26"/>
        <v/>
      </c>
      <c r="H3233" s="59" t="str">
        <f t="shared" si="27"/>
        <v>19H09482</v>
      </c>
      <c r="I3233" s="59" t="str">
        <f>IF(OR($A3233="",$C3233="",$D3233="",$E3233="",$H3233=""),"",SUMIFS(DATA_GOC!$H:$H,DATA_GOC!$A:$A,"BOM",DATA_GOC!$D:$D,$H3233,DATA_GOC!$E:$E,$C3233,DATA_GOC!$F:$F,"Xuất nội bộ từ téc",DATA_GOC!$B:$B,"&gt;="&amp;$D3233,DATA_GOC!$B:$B,"&lt;="&amp;$E3233))</f>
        <v/>
      </c>
      <c r="J3233" s="59">
        <f t="shared" si="28"/>
        <v>0</v>
      </c>
      <c r="K3233" s="59">
        <f t="shared" si="29"/>
        <v>0</v>
      </c>
      <c r="L3233" s="59">
        <f t="shared" si="30"/>
        <v>0</v>
      </c>
      <c r="M3233" s="59">
        <f t="shared" si="31"/>
        <v>0</v>
      </c>
    </row>
    <row r="3234" ht="15.0" hidden="1" customHeight="1">
      <c r="A3234" s="59">
        <f t="shared" si="20"/>
        <v>51</v>
      </c>
      <c r="B3234" s="59" t="str">
        <f t="shared" si="21"/>
        <v/>
      </c>
      <c r="C3234" s="59" t="str">
        <f t="shared" si="22"/>
        <v/>
      </c>
      <c r="D3234" s="45" t="str">
        <f t="shared" si="23"/>
        <v/>
      </c>
      <c r="E3234" s="45" t="str">
        <f t="shared" si="24"/>
        <v/>
      </c>
      <c r="F3234" s="59" t="str">
        <f t="shared" si="25"/>
        <v/>
      </c>
      <c r="G3234" s="59" t="str">
        <f t="shared" si="26"/>
        <v/>
      </c>
      <c r="H3234" s="59" t="str">
        <f t="shared" si="27"/>
        <v>28A30696</v>
      </c>
      <c r="I3234" s="59" t="str">
        <f>IF(OR($A3234="",$C3234="",$D3234="",$E3234="",$H3234=""),"",SUMIFS(DATA_GOC!$H:$H,DATA_GOC!$A:$A,"BOM",DATA_GOC!$D:$D,$H3234,DATA_GOC!$E:$E,$C3234,DATA_GOC!$F:$F,"Xuất nội bộ từ téc",DATA_GOC!$B:$B,"&gt;="&amp;$D3234,DATA_GOC!$B:$B,"&lt;="&amp;$E3234))</f>
        <v/>
      </c>
      <c r="J3234" s="59">
        <f t="shared" si="28"/>
        <v>0</v>
      </c>
      <c r="K3234" s="59">
        <f t="shared" si="29"/>
        <v>0</v>
      </c>
      <c r="L3234" s="59">
        <f t="shared" si="30"/>
        <v>0</v>
      </c>
      <c r="M3234" s="59">
        <f t="shared" si="31"/>
        <v>0</v>
      </c>
    </row>
    <row r="3235" ht="15.0" hidden="1" customHeight="1">
      <c r="A3235" s="59">
        <f t="shared" si="20"/>
        <v>51</v>
      </c>
      <c r="B3235" s="59" t="str">
        <f t="shared" si="21"/>
        <v/>
      </c>
      <c r="C3235" s="59" t="str">
        <f t="shared" si="22"/>
        <v/>
      </c>
      <c r="D3235" s="45" t="str">
        <f t="shared" si="23"/>
        <v/>
      </c>
      <c r="E3235" s="45" t="str">
        <f t="shared" si="24"/>
        <v/>
      </c>
      <c r="F3235" s="59" t="str">
        <f t="shared" si="25"/>
        <v/>
      </c>
      <c r="G3235" s="59" t="str">
        <f t="shared" si="26"/>
        <v/>
      </c>
      <c r="H3235" s="59" t="str">
        <f t="shared" si="27"/>
        <v>28C00462</v>
      </c>
      <c r="I3235" s="59" t="str">
        <f>IF(OR($A3235="",$C3235="",$D3235="",$E3235="",$H3235=""),"",SUMIFS(DATA_GOC!$H:$H,DATA_GOC!$A:$A,"BOM",DATA_GOC!$D:$D,$H3235,DATA_GOC!$E:$E,$C3235,DATA_GOC!$F:$F,"Xuất nội bộ từ téc",DATA_GOC!$B:$B,"&gt;="&amp;$D3235,DATA_GOC!$B:$B,"&lt;="&amp;$E3235))</f>
        <v/>
      </c>
      <c r="J3235" s="59">
        <f t="shared" si="28"/>
        <v>0</v>
      </c>
      <c r="K3235" s="59">
        <f t="shared" si="29"/>
        <v>0</v>
      </c>
      <c r="L3235" s="59">
        <f t="shared" si="30"/>
        <v>0</v>
      </c>
      <c r="M3235" s="59">
        <f t="shared" si="31"/>
        <v>0</v>
      </c>
    </row>
    <row r="3236" ht="15.0" hidden="1" customHeight="1">
      <c r="A3236" s="59">
        <f t="shared" si="20"/>
        <v>51</v>
      </c>
      <c r="B3236" s="59" t="str">
        <f t="shared" si="21"/>
        <v/>
      </c>
      <c r="C3236" s="59" t="str">
        <f t="shared" si="22"/>
        <v/>
      </c>
      <c r="D3236" s="45" t="str">
        <f t="shared" si="23"/>
        <v/>
      </c>
      <c r="E3236" s="45" t="str">
        <f t="shared" si="24"/>
        <v/>
      </c>
      <c r="F3236" s="59" t="str">
        <f t="shared" si="25"/>
        <v/>
      </c>
      <c r="G3236" s="59" t="str">
        <f t="shared" si="26"/>
        <v/>
      </c>
      <c r="H3236" s="59" t="str">
        <f t="shared" si="27"/>
        <v>28C01165</v>
      </c>
      <c r="I3236" s="59" t="str">
        <f>IF(OR($A3236="",$C3236="",$D3236="",$E3236="",$H3236=""),"",SUMIFS(DATA_GOC!$H:$H,DATA_GOC!$A:$A,"BOM",DATA_GOC!$D:$D,$H3236,DATA_GOC!$E:$E,$C3236,DATA_GOC!$F:$F,"Xuất nội bộ từ téc",DATA_GOC!$B:$B,"&gt;="&amp;$D3236,DATA_GOC!$B:$B,"&lt;="&amp;$E3236))</f>
        <v/>
      </c>
      <c r="J3236" s="59">
        <f t="shared" si="28"/>
        <v>0</v>
      </c>
      <c r="K3236" s="59">
        <f t="shared" si="29"/>
        <v>0</v>
      </c>
      <c r="L3236" s="59">
        <f t="shared" si="30"/>
        <v>0</v>
      </c>
      <c r="M3236" s="59">
        <f t="shared" si="31"/>
        <v>0</v>
      </c>
    </row>
    <row r="3237" ht="15.0" hidden="1" customHeight="1">
      <c r="A3237" s="59">
        <f t="shared" si="20"/>
        <v>51</v>
      </c>
      <c r="B3237" s="59" t="str">
        <f t="shared" si="21"/>
        <v/>
      </c>
      <c r="C3237" s="59" t="str">
        <f t="shared" si="22"/>
        <v/>
      </c>
      <c r="D3237" s="45" t="str">
        <f t="shared" si="23"/>
        <v/>
      </c>
      <c r="E3237" s="45" t="str">
        <f t="shared" si="24"/>
        <v/>
      </c>
      <c r="F3237" s="59" t="str">
        <f t="shared" si="25"/>
        <v/>
      </c>
      <c r="G3237" s="59" t="str">
        <f t="shared" si="26"/>
        <v/>
      </c>
      <c r="H3237" s="59" t="str">
        <f t="shared" si="27"/>
        <v>28C01406</v>
      </c>
      <c r="I3237" s="59" t="str">
        <f>IF(OR($A3237="",$C3237="",$D3237="",$E3237="",$H3237=""),"",SUMIFS(DATA_GOC!$H:$H,DATA_GOC!$A:$A,"BOM",DATA_GOC!$D:$D,$H3237,DATA_GOC!$E:$E,$C3237,DATA_GOC!$F:$F,"Xuất nội bộ từ téc",DATA_GOC!$B:$B,"&gt;="&amp;$D3237,DATA_GOC!$B:$B,"&lt;="&amp;$E3237))</f>
        <v/>
      </c>
      <c r="J3237" s="59">
        <f t="shared" si="28"/>
        <v>0</v>
      </c>
      <c r="K3237" s="59">
        <f t="shared" si="29"/>
        <v>0</v>
      </c>
      <c r="L3237" s="59">
        <f t="shared" si="30"/>
        <v>0</v>
      </c>
      <c r="M3237" s="59">
        <f t="shared" si="31"/>
        <v>0</v>
      </c>
    </row>
    <row r="3238" ht="15.0" hidden="1" customHeight="1">
      <c r="A3238" s="59">
        <f t="shared" si="20"/>
        <v>51</v>
      </c>
      <c r="B3238" s="59" t="str">
        <f t="shared" si="21"/>
        <v/>
      </c>
      <c r="C3238" s="59" t="str">
        <f t="shared" si="22"/>
        <v/>
      </c>
      <c r="D3238" s="45" t="str">
        <f t="shared" si="23"/>
        <v/>
      </c>
      <c r="E3238" s="45" t="str">
        <f t="shared" si="24"/>
        <v/>
      </c>
      <c r="F3238" s="59" t="str">
        <f t="shared" si="25"/>
        <v/>
      </c>
      <c r="G3238" s="59" t="str">
        <f t="shared" si="26"/>
        <v/>
      </c>
      <c r="H3238" s="59" t="str">
        <f t="shared" si="27"/>
        <v>28C01544</v>
      </c>
      <c r="I3238" s="59" t="str">
        <f>IF(OR($A3238="",$C3238="",$D3238="",$E3238="",$H3238=""),"",SUMIFS(DATA_GOC!$H:$H,DATA_GOC!$A:$A,"BOM",DATA_GOC!$D:$D,$H3238,DATA_GOC!$E:$E,$C3238,DATA_GOC!$F:$F,"Xuất nội bộ từ téc",DATA_GOC!$B:$B,"&gt;="&amp;$D3238,DATA_GOC!$B:$B,"&lt;="&amp;$E3238))</f>
        <v/>
      </c>
      <c r="J3238" s="59">
        <f t="shared" si="28"/>
        <v>0</v>
      </c>
      <c r="K3238" s="59">
        <f t="shared" si="29"/>
        <v>0</v>
      </c>
      <c r="L3238" s="59">
        <f t="shared" si="30"/>
        <v>0</v>
      </c>
      <c r="M3238" s="59">
        <f t="shared" si="31"/>
        <v>0</v>
      </c>
    </row>
    <row r="3239" ht="15.0" hidden="1" customHeight="1">
      <c r="A3239" s="59">
        <f t="shared" si="20"/>
        <v>51</v>
      </c>
      <c r="B3239" s="59" t="str">
        <f t="shared" si="21"/>
        <v/>
      </c>
      <c r="C3239" s="59" t="str">
        <f t="shared" si="22"/>
        <v/>
      </c>
      <c r="D3239" s="45" t="str">
        <f t="shared" si="23"/>
        <v/>
      </c>
      <c r="E3239" s="45" t="str">
        <f t="shared" si="24"/>
        <v/>
      </c>
      <c r="F3239" s="59" t="str">
        <f t="shared" si="25"/>
        <v/>
      </c>
      <c r="G3239" s="59" t="str">
        <f t="shared" si="26"/>
        <v/>
      </c>
      <c r="H3239" s="59" t="str">
        <f t="shared" si="27"/>
        <v>28C01622</v>
      </c>
      <c r="I3239" s="59" t="str">
        <f>IF(OR($A3239="",$C3239="",$D3239="",$E3239="",$H3239=""),"",SUMIFS(DATA_GOC!$H:$H,DATA_GOC!$A:$A,"BOM",DATA_GOC!$D:$D,$H3239,DATA_GOC!$E:$E,$C3239,DATA_GOC!$F:$F,"Xuất nội bộ từ téc",DATA_GOC!$B:$B,"&gt;="&amp;$D3239,DATA_GOC!$B:$B,"&lt;="&amp;$E3239))</f>
        <v/>
      </c>
      <c r="J3239" s="59">
        <f t="shared" si="28"/>
        <v>0</v>
      </c>
      <c r="K3239" s="59">
        <f t="shared" si="29"/>
        <v>0</v>
      </c>
      <c r="L3239" s="59">
        <f t="shared" si="30"/>
        <v>0</v>
      </c>
      <c r="M3239" s="59">
        <f t="shared" si="31"/>
        <v>0</v>
      </c>
    </row>
    <row r="3240" ht="15.0" hidden="1" customHeight="1">
      <c r="A3240" s="59">
        <f t="shared" si="20"/>
        <v>51</v>
      </c>
      <c r="B3240" s="59" t="str">
        <f t="shared" si="21"/>
        <v/>
      </c>
      <c r="C3240" s="59" t="str">
        <f t="shared" si="22"/>
        <v/>
      </c>
      <c r="D3240" s="45" t="str">
        <f t="shared" si="23"/>
        <v/>
      </c>
      <c r="E3240" s="45" t="str">
        <f t="shared" si="24"/>
        <v/>
      </c>
      <c r="F3240" s="59" t="str">
        <f t="shared" si="25"/>
        <v/>
      </c>
      <c r="G3240" s="59" t="str">
        <f t="shared" si="26"/>
        <v/>
      </c>
      <c r="H3240" s="59" t="str">
        <f t="shared" si="27"/>
        <v>28C01647</v>
      </c>
      <c r="I3240" s="59" t="str">
        <f>IF(OR($A3240="",$C3240="",$D3240="",$E3240="",$H3240=""),"",SUMIFS(DATA_GOC!$H:$H,DATA_GOC!$A:$A,"BOM",DATA_GOC!$D:$D,$H3240,DATA_GOC!$E:$E,$C3240,DATA_GOC!$F:$F,"Xuất nội bộ từ téc",DATA_GOC!$B:$B,"&gt;="&amp;$D3240,DATA_GOC!$B:$B,"&lt;="&amp;$E3240))</f>
        <v/>
      </c>
      <c r="J3240" s="59">
        <f t="shared" si="28"/>
        <v>0</v>
      </c>
      <c r="K3240" s="59">
        <f t="shared" si="29"/>
        <v>0</v>
      </c>
      <c r="L3240" s="59">
        <f t="shared" si="30"/>
        <v>0</v>
      </c>
      <c r="M3240" s="59">
        <f t="shared" si="31"/>
        <v>0</v>
      </c>
    </row>
    <row r="3241" ht="15.0" hidden="1" customHeight="1">
      <c r="A3241" s="59">
        <f t="shared" si="20"/>
        <v>51</v>
      </c>
      <c r="B3241" s="59" t="str">
        <f t="shared" si="21"/>
        <v/>
      </c>
      <c r="C3241" s="59" t="str">
        <f t="shared" si="22"/>
        <v/>
      </c>
      <c r="D3241" s="45" t="str">
        <f t="shared" si="23"/>
        <v/>
      </c>
      <c r="E3241" s="45" t="str">
        <f t="shared" si="24"/>
        <v/>
      </c>
      <c r="F3241" s="59" t="str">
        <f t="shared" si="25"/>
        <v/>
      </c>
      <c r="G3241" s="59" t="str">
        <f t="shared" si="26"/>
        <v/>
      </c>
      <c r="H3241" s="59" t="str">
        <f t="shared" si="27"/>
        <v>28C01731</v>
      </c>
      <c r="I3241" s="59" t="str">
        <f>IF(OR($A3241="",$C3241="",$D3241="",$E3241="",$H3241=""),"",SUMIFS(DATA_GOC!$H:$H,DATA_GOC!$A:$A,"BOM",DATA_GOC!$D:$D,$H3241,DATA_GOC!$E:$E,$C3241,DATA_GOC!$F:$F,"Xuất nội bộ từ téc",DATA_GOC!$B:$B,"&gt;="&amp;$D3241,DATA_GOC!$B:$B,"&lt;="&amp;$E3241))</f>
        <v/>
      </c>
      <c r="J3241" s="59">
        <f t="shared" si="28"/>
        <v>0</v>
      </c>
      <c r="K3241" s="59">
        <f t="shared" si="29"/>
        <v>0</v>
      </c>
      <c r="L3241" s="59">
        <f t="shared" si="30"/>
        <v>0</v>
      </c>
      <c r="M3241" s="59">
        <f t="shared" si="31"/>
        <v>0</v>
      </c>
    </row>
    <row r="3242" ht="15.0" hidden="1" customHeight="1">
      <c r="A3242" s="59">
        <f t="shared" si="20"/>
        <v>51</v>
      </c>
      <c r="B3242" s="59" t="str">
        <f t="shared" si="21"/>
        <v/>
      </c>
      <c r="C3242" s="59" t="str">
        <f t="shared" si="22"/>
        <v/>
      </c>
      <c r="D3242" s="45" t="str">
        <f t="shared" si="23"/>
        <v/>
      </c>
      <c r="E3242" s="45" t="str">
        <f t="shared" si="24"/>
        <v/>
      </c>
      <c r="F3242" s="59" t="str">
        <f t="shared" si="25"/>
        <v/>
      </c>
      <c r="G3242" s="59" t="str">
        <f t="shared" si="26"/>
        <v/>
      </c>
      <c r="H3242" s="59" t="str">
        <f t="shared" si="27"/>
        <v>28C01743</v>
      </c>
      <c r="I3242" s="59" t="str">
        <f>IF(OR($A3242="",$C3242="",$D3242="",$E3242="",$H3242=""),"",SUMIFS(DATA_GOC!$H:$H,DATA_GOC!$A:$A,"BOM",DATA_GOC!$D:$D,$H3242,DATA_GOC!$E:$E,$C3242,DATA_GOC!$F:$F,"Xuất nội bộ từ téc",DATA_GOC!$B:$B,"&gt;="&amp;$D3242,DATA_GOC!$B:$B,"&lt;="&amp;$E3242))</f>
        <v/>
      </c>
      <c r="J3242" s="59">
        <f t="shared" si="28"/>
        <v>0</v>
      </c>
      <c r="K3242" s="59">
        <f t="shared" si="29"/>
        <v>0</v>
      </c>
      <c r="L3242" s="59">
        <f t="shared" si="30"/>
        <v>0</v>
      </c>
      <c r="M3242" s="59">
        <f t="shared" si="31"/>
        <v>0</v>
      </c>
    </row>
    <row r="3243" ht="15.0" hidden="1" customHeight="1">
      <c r="A3243" s="59">
        <f t="shared" si="20"/>
        <v>51</v>
      </c>
      <c r="B3243" s="59" t="str">
        <f t="shared" si="21"/>
        <v/>
      </c>
      <c r="C3243" s="59" t="str">
        <f t="shared" si="22"/>
        <v/>
      </c>
      <c r="D3243" s="45" t="str">
        <f t="shared" si="23"/>
        <v/>
      </c>
      <c r="E3243" s="45" t="str">
        <f t="shared" si="24"/>
        <v/>
      </c>
      <c r="F3243" s="59" t="str">
        <f t="shared" si="25"/>
        <v/>
      </c>
      <c r="G3243" s="59" t="str">
        <f t="shared" si="26"/>
        <v/>
      </c>
      <c r="H3243" s="59" t="str">
        <f t="shared" si="27"/>
        <v>28C02106</v>
      </c>
      <c r="I3243" s="59" t="str">
        <f>IF(OR($A3243="",$C3243="",$D3243="",$E3243="",$H3243=""),"",SUMIFS(DATA_GOC!$H:$H,DATA_GOC!$A:$A,"BOM",DATA_GOC!$D:$D,$H3243,DATA_GOC!$E:$E,$C3243,DATA_GOC!$F:$F,"Xuất nội bộ từ téc",DATA_GOC!$B:$B,"&gt;="&amp;$D3243,DATA_GOC!$B:$B,"&lt;="&amp;$E3243))</f>
        <v/>
      </c>
      <c r="J3243" s="59">
        <f t="shared" si="28"/>
        <v>0</v>
      </c>
      <c r="K3243" s="59">
        <f t="shared" si="29"/>
        <v>0</v>
      </c>
      <c r="L3243" s="59">
        <f t="shared" si="30"/>
        <v>0</v>
      </c>
      <c r="M3243" s="59">
        <f t="shared" si="31"/>
        <v>0</v>
      </c>
    </row>
    <row r="3244" ht="15.0" hidden="1" customHeight="1">
      <c r="A3244" s="59">
        <f t="shared" si="20"/>
        <v>51</v>
      </c>
      <c r="B3244" s="59" t="str">
        <f t="shared" si="21"/>
        <v/>
      </c>
      <c r="C3244" s="59" t="str">
        <f t="shared" si="22"/>
        <v/>
      </c>
      <c r="D3244" s="45" t="str">
        <f t="shared" si="23"/>
        <v/>
      </c>
      <c r="E3244" s="45" t="str">
        <f t="shared" si="24"/>
        <v/>
      </c>
      <c r="F3244" s="59" t="str">
        <f t="shared" si="25"/>
        <v/>
      </c>
      <c r="G3244" s="59" t="str">
        <f t="shared" si="26"/>
        <v/>
      </c>
      <c r="H3244" s="59" t="str">
        <f t="shared" si="27"/>
        <v>28C02410</v>
      </c>
      <c r="I3244" s="59" t="str">
        <f>IF(OR($A3244="",$C3244="",$D3244="",$E3244="",$H3244=""),"",SUMIFS(DATA_GOC!$H:$H,DATA_GOC!$A:$A,"BOM",DATA_GOC!$D:$D,$H3244,DATA_GOC!$E:$E,$C3244,DATA_GOC!$F:$F,"Xuất nội bộ từ téc",DATA_GOC!$B:$B,"&gt;="&amp;$D3244,DATA_GOC!$B:$B,"&lt;="&amp;$E3244))</f>
        <v/>
      </c>
      <c r="J3244" s="59">
        <f t="shared" si="28"/>
        <v>0</v>
      </c>
      <c r="K3244" s="59">
        <f t="shared" si="29"/>
        <v>0</v>
      </c>
      <c r="L3244" s="59">
        <f t="shared" si="30"/>
        <v>0</v>
      </c>
      <c r="M3244" s="59">
        <f t="shared" si="31"/>
        <v>0</v>
      </c>
    </row>
    <row r="3245" ht="15.0" hidden="1" customHeight="1">
      <c r="A3245" s="59">
        <f t="shared" si="20"/>
        <v>51</v>
      </c>
      <c r="B3245" s="59" t="str">
        <f t="shared" si="21"/>
        <v/>
      </c>
      <c r="C3245" s="59" t="str">
        <f t="shared" si="22"/>
        <v/>
      </c>
      <c r="D3245" s="45" t="str">
        <f t="shared" si="23"/>
        <v/>
      </c>
      <c r="E3245" s="45" t="str">
        <f t="shared" si="24"/>
        <v/>
      </c>
      <c r="F3245" s="59" t="str">
        <f t="shared" si="25"/>
        <v/>
      </c>
      <c r="G3245" s="59" t="str">
        <f t="shared" si="26"/>
        <v/>
      </c>
      <c r="H3245" s="59" t="str">
        <f t="shared" si="27"/>
        <v>28C02545</v>
      </c>
      <c r="I3245" s="59" t="str">
        <f>IF(OR($A3245="",$C3245="",$D3245="",$E3245="",$H3245=""),"",SUMIFS(DATA_GOC!$H:$H,DATA_GOC!$A:$A,"BOM",DATA_GOC!$D:$D,$H3245,DATA_GOC!$E:$E,$C3245,DATA_GOC!$F:$F,"Xuất nội bộ từ téc",DATA_GOC!$B:$B,"&gt;="&amp;$D3245,DATA_GOC!$B:$B,"&lt;="&amp;$E3245))</f>
        <v/>
      </c>
      <c r="J3245" s="59">
        <f t="shared" si="28"/>
        <v>0</v>
      </c>
      <c r="K3245" s="59">
        <f t="shared" si="29"/>
        <v>0</v>
      </c>
      <c r="L3245" s="59">
        <f t="shared" si="30"/>
        <v>0</v>
      </c>
      <c r="M3245" s="59">
        <f t="shared" si="31"/>
        <v>0</v>
      </c>
    </row>
    <row r="3246" ht="15.0" hidden="1" customHeight="1">
      <c r="A3246" s="59">
        <f t="shared" si="20"/>
        <v>51</v>
      </c>
      <c r="B3246" s="59" t="str">
        <f t="shared" si="21"/>
        <v/>
      </c>
      <c r="C3246" s="59" t="str">
        <f t="shared" si="22"/>
        <v/>
      </c>
      <c r="D3246" s="45" t="str">
        <f t="shared" si="23"/>
        <v/>
      </c>
      <c r="E3246" s="45" t="str">
        <f t="shared" si="24"/>
        <v/>
      </c>
      <c r="F3246" s="59" t="str">
        <f t="shared" si="25"/>
        <v/>
      </c>
      <c r="G3246" s="59" t="str">
        <f t="shared" si="26"/>
        <v/>
      </c>
      <c r="H3246" s="59" t="str">
        <f t="shared" si="27"/>
        <v>28C02574</v>
      </c>
      <c r="I3246" s="59" t="str">
        <f>IF(OR($A3246="",$C3246="",$D3246="",$E3246="",$H3246=""),"",SUMIFS(DATA_GOC!$H:$H,DATA_GOC!$A:$A,"BOM",DATA_GOC!$D:$D,$H3246,DATA_GOC!$E:$E,$C3246,DATA_GOC!$F:$F,"Xuất nội bộ từ téc",DATA_GOC!$B:$B,"&gt;="&amp;$D3246,DATA_GOC!$B:$B,"&lt;="&amp;$E3246))</f>
        <v/>
      </c>
      <c r="J3246" s="59">
        <f t="shared" si="28"/>
        <v>0</v>
      </c>
      <c r="K3246" s="59">
        <f t="shared" si="29"/>
        <v>0</v>
      </c>
      <c r="L3246" s="59">
        <f t="shared" si="30"/>
        <v>0</v>
      </c>
      <c r="M3246" s="59">
        <f t="shared" si="31"/>
        <v>0</v>
      </c>
    </row>
    <row r="3247" ht="15.0" hidden="1" customHeight="1">
      <c r="A3247" s="59">
        <f t="shared" si="20"/>
        <v>51</v>
      </c>
      <c r="B3247" s="59" t="str">
        <f t="shared" si="21"/>
        <v/>
      </c>
      <c r="C3247" s="59" t="str">
        <f t="shared" si="22"/>
        <v/>
      </c>
      <c r="D3247" s="45" t="str">
        <f t="shared" si="23"/>
        <v/>
      </c>
      <c r="E3247" s="45" t="str">
        <f t="shared" si="24"/>
        <v/>
      </c>
      <c r="F3247" s="59" t="str">
        <f t="shared" si="25"/>
        <v/>
      </c>
      <c r="G3247" s="59" t="str">
        <f t="shared" si="26"/>
        <v/>
      </c>
      <c r="H3247" s="59" t="str">
        <f t="shared" si="27"/>
        <v>28C02770</v>
      </c>
      <c r="I3247" s="59" t="str">
        <f>IF(OR($A3247="",$C3247="",$D3247="",$E3247="",$H3247=""),"",SUMIFS(DATA_GOC!$H:$H,DATA_GOC!$A:$A,"BOM",DATA_GOC!$D:$D,$H3247,DATA_GOC!$E:$E,$C3247,DATA_GOC!$F:$F,"Xuất nội bộ từ téc",DATA_GOC!$B:$B,"&gt;="&amp;$D3247,DATA_GOC!$B:$B,"&lt;="&amp;$E3247))</f>
        <v/>
      </c>
      <c r="J3247" s="59">
        <f t="shared" si="28"/>
        <v>0</v>
      </c>
      <c r="K3247" s="59">
        <f t="shared" si="29"/>
        <v>0</v>
      </c>
      <c r="L3247" s="59">
        <f t="shared" si="30"/>
        <v>0</v>
      </c>
      <c r="M3247" s="59">
        <f t="shared" si="31"/>
        <v>0</v>
      </c>
    </row>
    <row r="3248" ht="15.0" hidden="1" customHeight="1">
      <c r="A3248" s="59">
        <f t="shared" si="20"/>
        <v>51</v>
      </c>
      <c r="B3248" s="59" t="str">
        <f t="shared" si="21"/>
        <v/>
      </c>
      <c r="C3248" s="59" t="str">
        <f t="shared" si="22"/>
        <v/>
      </c>
      <c r="D3248" s="45" t="str">
        <f t="shared" si="23"/>
        <v/>
      </c>
      <c r="E3248" s="45" t="str">
        <f t="shared" si="24"/>
        <v/>
      </c>
      <c r="F3248" s="59" t="str">
        <f t="shared" si="25"/>
        <v/>
      </c>
      <c r="G3248" s="59" t="str">
        <f t="shared" si="26"/>
        <v/>
      </c>
      <c r="H3248" s="59" t="str">
        <f t="shared" si="27"/>
        <v>28C02986</v>
      </c>
      <c r="I3248" s="59" t="str">
        <f>IF(OR($A3248="",$C3248="",$D3248="",$E3248="",$H3248=""),"",SUMIFS(DATA_GOC!$H:$H,DATA_GOC!$A:$A,"BOM",DATA_GOC!$D:$D,$H3248,DATA_GOC!$E:$E,$C3248,DATA_GOC!$F:$F,"Xuất nội bộ từ téc",DATA_GOC!$B:$B,"&gt;="&amp;$D3248,DATA_GOC!$B:$B,"&lt;="&amp;$E3248))</f>
        <v/>
      </c>
      <c r="J3248" s="59">
        <f t="shared" si="28"/>
        <v>0</v>
      </c>
      <c r="K3248" s="59">
        <f t="shared" si="29"/>
        <v>0</v>
      </c>
      <c r="L3248" s="59">
        <f t="shared" si="30"/>
        <v>0</v>
      </c>
      <c r="M3248" s="59">
        <f t="shared" si="31"/>
        <v>0</v>
      </c>
    </row>
    <row r="3249" ht="15.0" hidden="1" customHeight="1">
      <c r="A3249" s="59">
        <f t="shared" si="20"/>
        <v>51</v>
      </c>
      <c r="B3249" s="59" t="str">
        <f t="shared" si="21"/>
        <v/>
      </c>
      <c r="C3249" s="59" t="str">
        <f t="shared" si="22"/>
        <v/>
      </c>
      <c r="D3249" s="45" t="str">
        <f t="shared" si="23"/>
        <v/>
      </c>
      <c r="E3249" s="45" t="str">
        <f t="shared" si="24"/>
        <v/>
      </c>
      <c r="F3249" s="59" t="str">
        <f t="shared" si="25"/>
        <v/>
      </c>
      <c r="G3249" s="59" t="str">
        <f t="shared" si="26"/>
        <v/>
      </c>
      <c r="H3249" s="59" t="str">
        <f t="shared" si="27"/>
        <v>28C03261</v>
      </c>
      <c r="I3249" s="59" t="str">
        <f>IF(OR($A3249="",$C3249="",$D3249="",$E3249="",$H3249=""),"",SUMIFS(DATA_GOC!$H:$H,DATA_GOC!$A:$A,"BOM",DATA_GOC!$D:$D,$H3249,DATA_GOC!$E:$E,$C3249,DATA_GOC!$F:$F,"Xuất nội bộ từ téc",DATA_GOC!$B:$B,"&gt;="&amp;$D3249,DATA_GOC!$B:$B,"&lt;="&amp;$E3249))</f>
        <v/>
      </c>
      <c r="J3249" s="59">
        <f t="shared" si="28"/>
        <v>0</v>
      </c>
      <c r="K3249" s="59">
        <f t="shared" si="29"/>
        <v>0</v>
      </c>
      <c r="L3249" s="59">
        <f t="shared" si="30"/>
        <v>0</v>
      </c>
      <c r="M3249" s="59">
        <f t="shared" si="31"/>
        <v>0</v>
      </c>
    </row>
    <row r="3250" ht="15.0" hidden="1" customHeight="1">
      <c r="A3250" s="59">
        <f t="shared" si="20"/>
        <v>51</v>
      </c>
      <c r="B3250" s="59" t="str">
        <f t="shared" si="21"/>
        <v/>
      </c>
      <c r="C3250" s="59" t="str">
        <f t="shared" si="22"/>
        <v/>
      </c>
      <c r="D3250" s="45" t="str">
        <f t="shared" si="23"/>
        <v/>
      </c>
      <c r="E3250" s="45" t="str">
        <f t="shared" si="24"/>
        <v/>
      </c>
      <c r="F3250" s="59" t="str">
        <f t="shared" si="25"/>
        <v/>
      </c>
      <c r="G3250" s="59" t="str">
        <f t="shared" si="26"/>
        <v/>
      </c>
      <c r="H3250" s="59" t="str">
        <f t="shared" si="27"/>
        <v>28C03323</v>
      </c>
      <c r="I3250" s="59" t="str">
        <f>IF(OR($A3250="",$C3250="",$D3250="",$E3250="",$H3250=""),"",SUMIFS(DATA_GOC!$H:$H,DATA_GOC!$A:$A,"BOM",DATA_GOC!$D:$D,$H3250,DATA_GOC!$E:$E,$C3250,DATA_GOC!$F:$F,"Xuất nội bộ từ téc",DATA_GOC!$B:$B,"&gt;="&amp;$D3250,DATA_GOC!$B:$B,"&lt;="&amp;$E3250))</f>
        <v/>
      </c>
      <c r="J3250" s="59">
        <f t="shared" si="28"/>
        <v>0</v>
      </c>
      <c r="K3250" s="59">
        <f t="shared" si="29"/>
        <v>0</v>
      </c>
      <c r="L3250" s="59">
        <f t="shared" si="30"/>
        <v>0</v>
      </c>
      <c r="M3250" s="59">
        <f t="shared" si="31"/>
        <v>0</v>
      </c>
    </row>
    <row r="3251" ht="15.0" hidden="1" customHeight="1">
      <c r="A3251" s="59">
        <f t="shared" si="20"/>
        <v>51</v>
      </c>
      <c r="B3251" s="59" t="str">
        <f t="shared" si="21"/>
        <v/>
      </c>
      <c r="C3251" s="59" t="str">
        <f t="shared" si="22"/>
        <v/>
      </c>
      <c r="D3251" s="45" t="str">
        <f t="shared" si="23"/>
        <v/>
      </c>
      <c r="E3251" s="45" t="str">
        <f t="shared" si="24"/>
        <v/>
      </c>
      <c r="F3251" s="59" t="str">
        <f t="shared" si="25"/>
        <v/>
      </c>
      <c r="G3251" s="59" t="str">
        <f t="shared" si="26"/>
        <v/>
      </c>
      <c r="H3251" s="59" t="str">
        <f t="shared" si="27"/>
        <v>28C03385</v>
      </c>
      <c r="I3251" s="59" t="str">
        <f>IF(OR($A3251="",$C3251="",$D3251="",$E3251="",$H3251=""),"",SUMIFS(DATA_GOC!$H:$H,DATA_GOC!$A:$A,"BOM",DATA_GOC!$D:$D,$H3251,DATA_GOC!$E:$E,$C3251,DATA_GOC!$F:$F,"Xuất nội bộ từ téc",DATA_GOC!$B:$B,"&gt;="&amp;$D3251,DATA_GOC!$B:$B,"&lt;="&amp;$E3251))</f>
        <v/>
      </c>
      <c r="J3251" s="59">
        <f t="shared" si="28"/>
        <v>0</v>
      </c>
      <c r="K3251" s="59">
        <f t="shared" si="29"/>
        <v>0</v>
      </c>
      <c r="L3251" s="59">
        <f t="shared" si="30"/>
        <v>0</v>
      </c>
      <c r="M3251" s="59">
        <f t="shared" si="31"/>
        <v>0</v>
      </c>
    </row>
    <row r="3252" ht="15.0" hidden="1" customHeight="1">
      <c r="A3252" s="59">
        <f t="shared" si="20"/>
        <v>51</v>
      </c>
      <c r="B3252" s="59" t="str">
        <f t="shared" si="21"/>
        <v/>
      </c>
      <c r="C3252" s="59" t="str">
        <f t="shared" si="22"/>
        <v/>
      </c>
      <c r="D3252" s="45" t="str">
        <f t="shared" si="23"/>
        <v/>
      </c>
      <c r="E3252" s="45" t="str">
        <f t="shared" si="24"/>
        <v/>
      </c>
      <c r="F3252" s="59" t="str">
        <f t="shared" si="25"/>
        <v/>
      </c>
      <c r="G3252" s="59" t="str">
        <f t="shared" si="26"/>
        <v/>
      </c>
      <c r="H3252" s="59" t="str">
        <f t="shared" si="27"/>
        <v>28C03652</v>
      </c>
      <c r="I3252" s="59" t="str">
        <f>IF(OR($A3252="",$C3252="",$D3252="",$E3252="",$H3252=""),"",SUMIFS(DATA_GOC!$H:$H,DATA_GOC!$A:$A,"BOM",DATA_GOC!$D:$D,$H3252,DATA_GOC!$E:$E,$C3252,DATA_GOC!$F:$F,"Xuất nội bộ từ téc",DATA_GOC!$B:$B,"&gt;="&amp;$D3252,DATA_GOC!$B:$B,"&lt;="&amp;$E3252))</f>
        <v/>
      </c>
      <c r="J3252" s="59">
        <f t="shared" si="28"/>
        <v>0</v>
      </c>
      <c r="K3252" s="59">
        <f t="shared" si="29"/>
        <v>0</v>
      </c>
      <c r="L3252" s="59">
        <f t="shared" si="30"/>
        <v>0</v>
      </c>
      <c r="M3252" s="59">
        <f t="shared" si="31"/>
        <v>0</v>
      </c>
    </row>
    <row r="3253" ht="15.0" hidden="1" customHeight="1">
      <c r="A3253" s="59">
        <f t="shared" si="20"/>
        <v>51</v>
      </c>
      <c r="B3253" s="59" t="str">
        <f t="shared" si="21"/>
        <v/>
      </c>
      <c r="C3253" s="59" t="str">
        <f t="shared" si="22"/>
        <v/>
      </c>
      <c r="D3253" s="45" t="str">
        <f t="shared" si="23"/>
        <v/>
      </c>
      <c r="E3253" s="45" t="str">
        <f t="shared" si="24"/>
        <v/>
      </c>
      <c r="F3253" s="59" t="str">
        <f t="shared" si="25"/>
        <v/>
      </c>
      <c r="G3253" s="59" t="str">
        <f t="shared" si="26"/>
        <v/>
      </c>
      <c r="H3253" s="59" t="str">
        <f t="shared" si="27"/>
        <v>28C03695</v>
      </c>
      <c r="I3253" s="59" t="str">
        <f>IF(OR($A3253="",$C3253="",$D3253="",$E3253="",$H3253=""),"",SUMIFS(DATA_GOC!$H:$H,DATA_GOC!$A:$A,"BOM",DATA_GOC!$D:$D,$H3253,DATA_GOC!$E:$E,$C3253,DATA_GOC!$F:$F,"Xuất nội bộ từ téc",DATA_GOC!$B:$B,"&gt;="&amp;$D3253,DATA_GOC!$B:$B,"&lt;="&amp;$E3253))</f>
        <v/>
      </c>
      <c r="J3253" s="59">
        <f t="shared" si="28"/>
        <v>0</v>
      </c>
      <c r="K3253" s="59">
        <f t="shared" si="29"/>
        <v>0</v>
      </c>
      <c r="L3253" s="59">
        <f t="shared" si="30"/>
        <v>0</v>
      </c>
      <c r="M3253" s="59">
        <f t="shared" si="31"/>
        <v>0</v>
      </c>
    </row>
    <row r="3254" ht="15.0" hidden="1" customHeight="1">
      <c r="A3254" s="59">
        <f t="shared" si="20"/>
        <v>51</v>
      </c>
      <c r="B3254" s="59" t="str">
        <f t="shared" si="21"/>
        <v/>
      </c>
      <c r="C3254" s="59" t="str">
        <f t="shared" si="22"/>
        <v/>
      </c>
      <c r="D3254" s="45" t="str">
        <f t="shared" si="23"/>
        <v/>
      </c>
      <c r="E3254" s="45" t="str">
        <f t="shared" si="24"/>
        <v/>
      </c>
      <c r="F3254" s="59" t="str">
        <f t="shared" si="25"/>
        <v/>
      </c>
      <c r="G3254" s="59" t="str">
        <f t="shared" si="26"/>
        <v/>
      </c>
      <c r="H3254" s="59" t="str">
        <f t="shared" si="27"/>
        <v>28C03927</v>
      </c>
      <c r="I3254" s="59" t="str">
        <f>IF(OR($A3254="",$C3254="",$D3254="",$E3254="",$H3254=""),"",SUMIFS(DATA_GOC!$H:$H,DATA_GOC!$A:$A,"BOM",DATA_GOC!$D:$D,$H3254,DATA_GOC!$E:$E,$C3254,DATA_GOC!$F:$F,"Xuất nội bộ từ téc",DATA_GOC!$B:$B,"&gt;="&amp;$D3254,DATA_GOC!$B:$B,"&lt;="&amp;$E3254))</f>
        <v/>
      </c>
      <c r="J3254" s="59">
        <f t="shared" si="28"/>
        <v>0</v>
      </c>
      <c r="K3254" s="59">
        <f t="shared" si="29"/>
        <v>0</v>
      </c>
      <c r="L3254" s="59">
        <f t="shared" si="30"/>
        <v>0</v>
      </c>
      <c r="M3254" s="59">
        <f t="shared" si="31"/>
        <v>0</v>
      </c>
    </row>
    <row r="3255" ht="15.0" hidden="1" customHeight="1">
      <c r="A3255" s="59">
        <f t="shared" si="20"/>
        <v>51</v>
      </c>
      <c r="B3255" s="59" t="str">
        <f t="shared" si="21"/>
        <v/>
      </c>
      <c r="C3255" s="59" t="str">
        <f t="shared" si="22"/>
        <v/>
      </c>
      <c r="D3255" s="45" t="str">
        <f t="shared" si="23"/>
        <v/>
      </c>
      <c r="E3255" s="45" t="str">
        <f t="shared" si="24"/>
        <v/>
      </c>
      <c r="F3255" s="59" t="str">
        <f t="shared" si="25"/>
        <v/>
      </c>
      <c r="G3255" s="59" t="str">
        <f t="shared" si="26"/>
        <v/>
      </c>
      <c r="H3255" s="59" t="str">
        <f t="shared" si="27"/>
        <v>28C04509</v>
      </c>
      <c r="I3255" s="59" t="str">
        <f>IF(OR($A3255="",$C3255="",$D3255="",$E3255="",$H3255=""),"",SUMIFS(DATA_GOC!$H:$H,DATA_GOC!$A:$A,"BOM",DATA_GOC!$D:$D,$H3255,DATA_GOC!$E:$E,$C3255,DATA_GOC!$F:$F,"Xuất nội bộ từ téc",DATA_GOC!$B:$B,"&gt;="&amp;$D3255,DATA_GOC!$B:$B,"&lt;="&amp;$E3255))</f>
        <v/>
      </c>
      <c r="J3255" s="59">
        <f t="shared" si="28"/>
        <v>0</v>
      </c>
      <c r="K3255" s="59">
        <f t="shared" si="29"/>
        <v>0</v>
      </c>
      <c r="L3255" s="59">
        <f t="shared" si="30"/>
        <v>0</v>
      </c>
      <c r="M3255" s="59">
        <f t="shared" si="31"/>
        <v>0</v>
      </c>
    </row>
    <row r="3256" ht="15.0" hidden="1" customHeight="1">
      <c r="A3256" s="59">
        <f t="shared" si="20"/>
        <v>51</v>
      </c>
      <c r="B3256" s="59" t="str">
        <f t="shared" si="21"/>
        <v/>
      </c>
      <c r="C3256" s="59" t="str">
        <f t="shared" si="22"/>
        <v/>
      </c>
      <c r="D3256" s="45" t="str">
        <f t="shared" si="23"/>
        <v/>
      </c>
      <c r="E3256" s="45" t="str">
        <f t="shared" si="24"/>
        <v/>
      </c>
      <c r="F3256" s="59" t="str">
        <f t="shared" si="25"/>
        <v/>
      </c>
      <c r="G3256" s="59" t="str">
        <f t="shared" si="26"/>
        <v/>
      </c>
      <c r="H3256" s="59" t="str">
        <f t="shared" si="27"/>
        <v>28C04536</v>
      </c>
      <c r="I3256" s="59" t="str">
        <f>IF(OR($A3256="",$C3256="",$D3256="",$E3256="",$H3256=""),"",SUMIFS(DATA_GOC!$H:$H,DATA_GOC!$A:$A,"BOM",DATA_GOC!$D:$D,$H3256,DATA_GOC!$E:$E,$C3256,DATA_GOC!$F:$F,"Xuất nội bộ từ téc",DATA_GOC!$B:$B,"&gt;="&amp;$D3256,DATA_GOC!$B:$B,"&lt;="&amp;$E3256))</f>
        <v/>
      </c>
      <c r="J3256" s="59">
        <f t="shared" si="28"/>
        <v>0</v>
      </c>
      <c r="K3256" s="59">
        <f t="shared" si="29"/>
        <v>0</v>
      </c>
      <c r="L3256" s="59">
        <f t="shared" si="30"/>
        <v>0</v>
      </c>
      <c r="M3256" s="59">
        <f t="shared" si="31"/>
        <v>0</v>
      </c>
    </row>
    <row r="3257" ht="15.0" hidden="1" customHeight="1">
      <c r="A3257" s="59">
        <f t="shared" si="20"/>
        <v>51</v>
      </c>
      <c r="B3257" s="59" t="str">
        <f t="shared" si="21"/>
        <v/>
      </c>
      <c r="C3257" s="59" t="str">
        <f t="shared" si="22"/>
        <v/>
      </c>
      <c r="D3257" s="45" t="str">
        <f t="shared" si="23"/>
        <v/>
      </c>
      <c r="E3257" s="45" t="str">
        <f t="shared" si="24"/>
        <v/>
      </c>
      <c r="F3257" s="59" t="str">
        <f t="shared" si="25"/>
        <v/>
      </c>
      <c r="G3257" s="59" t="str">
        <f t="shared" si="26"/>
        <v/>
      </c>
      <c r="H3257" s="59" t="str">
        <f t="shared" si="27"/>
        <v>28C04576</v>
      </c>
      <c r="I3257" s="59" t="str">
        <f>IF(OR($A3257="",$C3257="",$D3257="",$E3257="",$H3257=""),"",SUMIFS(DATA_GOC!$H:$H,DATA_GOC!$A:$A,"BOM",DATA_GOC!$D:$D,$H3257,DATA_GOC!$E:$E,$C3257,DATA_GOC!$F:$F,"Xuất nội bộ từ téc",DATA_GOC!$B:$B,"&gt;="&amp;$D3257,DATA_GOC!$B:$B,"&lt;="&amp;$E3257))</f>
        <v/>
      </c>
      <c r="J3257" s="59">
        <f t="shared" si="28"/>
        <v>0</v>
      </c>
      <c r="K3257" s="59">
        <f t="shared" si="29"/>
        <v>0</v>
      </c>
      <c r="L3257" s="59">
        <f t="shared" si="30"/>
        <v>0</v>
      </c>
      <c r="M3257" s="59">
        <f t="shared" si="31"/>
        <v>0</v>
      </c>
    </row>
    <row r="3258" ht="15.0" hidden="1" customHeight="1">
      <c r="A3258" s="59">
        <f t="shared" si="20"/>
        <v>51</v>
      </c>
      <c r="B3258" s="59" t="str">
        <f t="shared" si="21"/>
        <v/>
      </c>
      <c r="C3258" s="59" t="str">
        <f t="shared" si="22"/>
        <v/>
      </c>
      <c r="D3258" s="45" t="str">
        <f t="shared" si="23"/>
        <v/>
      </c>
      <c r="E3258" s="45" t="str">
        <f t="shared" si="24"/>
        <v/>
      </c>
      <c r="F3258" s="59" t="str">
        <f t="shared" si="25"/>
        <v/>
      </c>
      <c r="G3258" s="59" t="str">
        <f t="shared" si="26"/>
        <v/>
      </c>
      <c r="H3258" s="59" t="str">
        <f t="shared" si="27"/>
        <v>28C05090</v>
      </c>
      <c r="I3258" s="59" t="str">
        <f>IF(OR($A3258="",$C3258="",$D3258="",$E3258="",$H3258=""),"",SUMIFS(DATA_GOC!$H:$H,DATA_GOC!$A:$A,"BOM",DATA_GOC!$D:$D,$H3258,DATA_GOC!$E:$E,$C3258,DATA_GOC!$F:$F,"Xuất nội bộ từ téc",DATA_GOC!$B:$B,"&gt;="&amp;$D3258,DATA_GOC!$B:$B,"&lt;="&amp;$E3258))</f>
        <v/>
      </c>
      <c r="J3258" s="59">
        <f t="shared" si="28"/>
        <v>0</v>
      </c>
      <c r="K3258" s="59">
        <f t="shared" si="29"/>
        <v>0</v>
      </c>
      <c r="L3258" s="59">
        <f t="shared" si="30"/>
        <v>0</v>
      </c>
      <c r="M3258" s="59">
        <f t="shared" si="31"/>
        <v>0</v>
      </c>
    </row>
    <row r="3259" ht="15.0" hidden="1" customHeight="1">
      <c r="A3259" s="59">
        <f t="shared" si="20"/>
        <v>51</v>
      </c>
      <c r="B3259" s="59" t="str">
        <f t="shared" si="21"/>
        <v/>
      </c>
      <c r="C3259" s="59" t="str">
        <f t="shared" si="22"/>
        <v/>
      </c>
      <c r="D3259" s="45" t="str">
        <f t="shared" si="23"/>
        <v/>
      </c>
      <c r="E3259" s="45" t="str">
        <f t="shared" si="24"/>
        <v/>
      </c>
      <c r="F3259" s="59" t="str">
        <f t="shared" si="25"/>
        <v/>
      </c>
      <c r="G3259" s="59" t="str">
        <f t="shared" si="26"/>
        <v/>
      </c>
      <c r="H3259" s="59" t="str">
        <f t="shared" si="27"/>
        <v>28C05345</v>
      </c>
      <c r="I3259" s="59" t="str">
        <f>IF(OR($A3259="",$C3259="",$D3259="",$E3259="",$H3259=""),"",SUMIFS(DATA_GOC!$H:$H,DATA_GOC!$A:$A,"BOM",DATA_GOC!$D:$D,$H3259,DATA_GOC!$E:$E,$C3259,DATA_GOC!$F:$F,"Xuất nội bộ từ téc",DATA_GOC!$B:$B,"&gt;="&amp;$D3259,DATA_GOC!$B:$B,"&lt;="&amp;$E3259))</f>
        <v/>
      </c>
      <c r="J3259" s="59">
        <f t="shared" si="28"/>
        <v>0</v>
      </c>
      <c r="K3259" s="59">
        <f t="shared" si="29"/>
        <v>0</v>
      </c>
      <c r="L3259" s="59">
        <f t="shared" si="30"/>
        <v>0</v>
      </c>
      <c r="M3259" s="59">
        <f t="shared" si="31"/>
        <v>0</v>
      </c>
    </row>
    <row r="3260" ht="15.0" hidden="1" customHeight="1">
      <c r="A3260" s="59">
        <f t="shared" si="20"/>
        <v>51</v>
      </c>
      <c r="B3260" s="59" t="str">
        <f t="shared" si="21"/>
        <v/>
      </c>
      <c r="C3260" s="59" t="str">
        <f t="shared" si="22"/>
        <v/>
      </c>
      <c r="D3260" s="45" t="str">
        <f t="shared" si="23"/>
        <v/>
      </c>
      <c r="E3260" s="45" t="str">
        <f t="shared" si="24"/>
        <v/>
      </c>
      <c r="F3260" s="59" t="str">
        <f t="shared" si="25"/>
        <v/>
      </c>
      <c r="G3260" s="59" t="str">
        <f t="shared" si="26"/>
        <v/>
      </c>
      <c r="H3260" s="59" t="str">
        <f t="shared" si="27"/>
        <v>28C05661</v>
      </c>
      <c r="I3260" s="59" t="str">
        <f>IF(OR($A3260="",$C3260="",$D3260="",$E3260="",$H3260=""),"",SUMIFS(DATA_GOC!$H:$H,DATA_GOC!$A:$A,"BOM",DATA_GOC!$D:$D,$H3260,DATA_GOC!$E:$E,$C3260,DATA_GOC!$F:$F,"Xuất nội bộ từ téc",DATA_GOC!$B:$B,"&gt;="&amp;$D3260,DATA_GOC!$B:$B,"&lt;="&amp;$E3260))</f>
        <v/>
      </c>
      <c r="J3260" s="59">
        <f t="shared" si="28"/>
        <v>0</v>
      </c>
      <c r="K3260" s="59">
        <f t="shared" si="29"/>
        <v>0</v>
      </c>
      <c r="L3260" s="59">
        <f t="shared" si="30"/>
        <v>0</v>
      </c>
      <c r="M3260" s="59">
        <f t="shared" si="31"/>
        <v>0</v>
      </c>
    </row>
    <row r="3261" ht="15.0" hidden="1" customHeight="1">
      <c r="A3261" s="59">
        <f t="shared" si="20"/>
        <v>51</v>
      </c>
      <c r="B3261" s="59" t="str">
        <f t="shared" si="21"/>
        <v/>
      </c>
      <c r="C3261" s="59" t="str">
        <f t="shared" si="22"/>
        <v/>
      </c>
      <c r="D3261" s="45" t="str">
        <f t="shared" si="23"/>
        <v/>
      </c>
      <c r="E3261" s="45" t="str">
        <f t="shared" si="24"/>
        <v/>
      </c>
      <c r="F3261" s="59" t="str">
        <f t="shared" si="25"/>
        <v/>
      </c>
      <c r="G3261" s="59" t="str">
        <f t="shared" si="26"/>
        <v/>
      </c>
      <c r="H3261" s="59" t="str">
        <f t="shared" si="27"/>
        <v>28C05739</v>
      </c>
      <c r="I3261" s="59" t="str">
        <f>IF(OR($A3261="",$C3261="",$D3261="",$E3261="",$H3261=""),"",SUMIFS(DATA_GOC!$H:$H,DATA_GOC!$A:$A,"BOM",DATA_GOC!$D:$D,$H3261,DATA_GOC!$E:$E,$C3261,DATA_GOC!$F:$F,"Xuất nội bộ từ téc",DATA_GOC!$B:$B,"&gt;="&amp;$D3261,DATA_GOC!$B:$B,"&lt;="&amp;$E3261))</f>
        <v/>
      </c>
      <c r="J3261" s="59">
        <f t="shared" si="28"/>
        <v>0</v>
      </c>
      <c r="K3261" s="59">
        <f t="shared" si="29"/>
        <v>0</v>
      </c>
      <c r="L3261" s="59">
        <f t="shared" si="30"/>
        <v>0</v>
      </c>
      <c r="M3261" s="59">
        <f t="shared" si="31"/>
        <v>0</v>
      </c>
    </row>
    <row r="3262" ht="15.0" hidden="1" customHeight="1">
      <c r="A3262" s="59">
        <f t="shared" si="20"/>
        <v>51</v>
      </c>
      <c r="B3262" s="59" t="str">
        <f t="shared" si="21"/>
        <v/>
      </c>
      <c r="C3262" s="59" t="str">
        <f t="shared" si="22"/>
        <v/>
      </c>
      <c r="D3262" s="45" t="str">
        <f t="shared" si="23"/>
        <v/>
      </c>
      <c r="E3262" s="45" t="str">
        <f t="shared" si="24"/>
        <v/>
      </c>
      <c r="F3262" s="59" t="str">
        <f t="shared" si="25"/>
        <v/>
      </c>
      <c r="G3262" s="59" t="str">
        <f t="shared" si="26"/>
        <v/>
      </c>
      <c r="H3262" s="59" t="str">
        <f t="shared" si="27"/>
        <v>28C06369</v>
      </c>
      <c r="I3262" s="59" t="str">
        <f>IF(OR($A3262="",$C3262="",$D3262="",$E3262="",$H3262=""),"",SUMIFS(DATA_GOC!$H:$H,DATA_GOC!$A:$A,"BOM",DATA_GOC!$D:$D,$H3262,DATA_GOC!$E:$E,$C3262,DATA_GOC!$F:$F,"Xuất nội bộ từ téc",DATA_GOC!$B:$B,"&gt;="&amp;$D3262,DATA_GOC!$B:$B,"&lt;="&amp;$E3262))</f>
        <v/>
      </c>
      <c r="J3262" s="59">
        <f t="shared" si="28"/>
        <v>0</v>
      </c>
      <c r="K3262" s="59">
        <f t="shared" si="29"/>
        <v>0</v>
      </c>
      <c r="L3262" s="59">
        <f t="shared" si="30"/>
        <v>0</v>
      </c>
      <c r="M3262" s="59">
        <f t="shared" si="31"/>
        <v>0</v>
      </c>
    </row>
    <row r="3263" ht="15.0" hidden="1" customHeight="1">
      <c r="A3263" s="59">
        <f t="shared" si="20"/>
        <v>51</v>
      </c>
      <c r="B3263" s="59" t="str">
        <f t="shared" si="21"/>
        <v/>
      </c>
      <c r="C3263" s="59" t="str">
        <f t="shared" si="22"/>
        <v/>
      </c>
      <c r="D3263" s="45" t="str">
        <f t="shared" si="23"/>
        <v/>
      </c>
      <c r="E3263" s="45" t="str">
        <f t="shared" si="24"/>
        <v/>
      </c>
      <c r="F3263" s="59" t="str">
        <f t="shared" si="25"/>
        <v/>
      </c>
      <c r="G3263" s="59" t="str">
        <f t="shared" si="26"/>
        <v/>
      </c>
      <c r="H3263" s="59" t="str">
        <f t="shared" si="27"/>
        <v>28C06447</v>
      </c>
      <c r="I3263" s="59" t="str">
        <f>IF(OR($A3263="",$C3263="",$D3263="",$E3263="",$H3263=""),"",SUMIFS(DATA_GOC!$H:$H,DATA_GOC!$A:$A,"BOM",DATA_GOC!$D:$D,$H3263,DATA_GOC!$E:$E,$C3263,DATA_GOC!$F:$F,"Xuất nội bộ từ téc",DATA_GOC!$B:$B,"&gt;="&amp;$D3263,DATA_GOC!$B:$B,"&lt;="&amp;$E3263))</f>
        <v/>
      </c>
      <c r="J3263" s="59">
        <f t="shared" si="28"/>
        <v>0</v>
      </c>
      <c r="K3263" s="59">
        <f t="shared" si="29"/>
        <v>0</v>
      </c>
      <c r="L3263" s="59">
        <f t="shared" si="30"/>
        <v>0</v>
      </c>
      <c r="M3263" s="59">
        <f t="shared" si="31"/>
        <v>0</v>
      </c>
    </row>
    <row r="3264" ht="15.0" hidden="1" customHeight="1">
      <c r="A3264" s="59">
        <f t="shared" si="20"/>
        <v>51</v>
      </c>
      <c r="B3264" s="59" t="str">
        <f t="shared" si="21"/>
        <v/>
      </c>
      <c r="C3264" s="59" t="str">
        <f t="shared" si="22"/>
        <v/>
      </c>
      <c r="D3264" s="45" t="str">
        <f t="shared" si="23"/>
        <v/>
      </c>
      <c r="E3264" s="45" t="str">
        <f t="shared" si="24"/>
        <v/>
      </c>
      <c r="F3264" s="59" t="str">
        <f t="shared" si="25"/>
        <v/>
      </c>
      <c r="G3264" s="59" t="str">
        <f t="shared" si="26"/>
        <v/>
      </c>
      <c r="H3264" s="59" t="str">
        <f t="shared" si="27"/>
        <v>28H00003</v>
      </c>
      <c r="I3264" s="59" t="str">
        <f>IF(OR($A3264="",$C3264="",$D3264="",$E3264="",$H3264=""),"",SUMIFS(DATA_GOC!$H:$H,DATA_GOC!$A:$A,"BOM",DATA_GOC!$D:$D,$H3264,DATA_GOC!$E:$E,$C3264,DATA_GOC!$F:$F,"Xuất nội bộ từ téc",DATA_GOC!$B:$B,"&gt;="&amp;$D3264,DATA_GOC!$B:$B,"&lt;="&amp;$E3264))</f>
        <v/>
      </c>
      <c r="J3264" s="59">
        <f t="shared" si="28"/>
        <v>0</v>
      </c>
      <c r="K3264" s="59">
        <f t="shared" si="29"/>
        <v>0</v>
      </c>
      <c r="L3264" s="59">
        <f t="shared" si="30"/>
        <v>0</v>
      </c>
      <c r="M3264" s="59">
        <f t="shared" si="31"/>
        <v>0</v>
      </c>
    </row>
    <row r="3265" ht="15.0" hidden="1" customHeight="1">
      <c r="A3265" s="59">
        <f t="shared" si="20"/>
        <v>51</v>
      </c>
      <c r="B3265" s="59" t="str">
        <f t="shared" si="21"/>
        <v/>
      </c>
      <c r="C3265" s="59" t="str">
        <f t="shared" si="22"/>
        <v/>
      </c>
      <c r="D3265" s="45" t="str">
        <f t="shared" si="23"/>
        <v/>
      </c>
      <c r="E3265" s="45" t="str">
        <f t="shared" si="24"/>
        <v/>
      </c>
      <c r="F3265" s="59" t="str">
        <f t="shared" si="25"/>
        <v/>
      </c>
      <c r="G3265" s="59" t="str">
        <f t="shared" si="26"/>
        <v/>
      </c>
      <c r="H3265" s="59" t="str">
        <f t="shared" si="27"/>
        <v>28H00061</v>
      </c>
      <c r="I3265" s="59" t="str">
        <f>IF(OR($A3265="",$C3265="",$D3265="",$E3265="",$H3265=""),"",SUMIFS(DATA_GOC!$H:$H,DATA_GOC!$A:$A,"BOM",DATA_GOC!$D:$D,$H3265,DATA_GOC!$E:$E,$C3265,DATA_GOC!$F:$F,"Xuất nội bộ từ téc",DATA_GOC!$B:$B,"&gt;="&amp;$D3265,DATA_GOC!$B:$B,"&lt;="&amp;$E3265))</f>
        <v/>
      </c>
      <c r="J3265" s="59">
        <f t="shared" si="28"/>
        <v>0</v>
      </c>
      <c r="K3265" s="59">
        <f t="shared" si="29"/>
        <v>0</v>
      </c>
      <c r="L3265" s="59">
        <f t="shared" si="30"/>
        <v>0</v>
      </c>
      <c r="M3265" s="59">
        <f t="shared" si="31"/>
        <v>0</v>
      </c>
    </row>
    <row r="3266" ht="15.0" hidden="1" customHeight="1">
      <c r="A3266" s="59">
        <f t="shared" si="20"/>
        <v>51</v>
      </c>
      <c r="B3266" s="59" t="str">
        <f t="shared" si="21"/>
        <v/>
      </c>
      <c r="C3266" s="59" t="str">
        <f t="shared" si="22"/>
        <v/>
      </c>
      <c r="D3266" s="45" t="str">
        <f t="shared" si="23"/>
        <v/>
      </c>
      <c r="E3266" s="45" t="str">
        <f t="shared" si="24"/>
        <v/>
      </c>
      <c r="F3266" s="59" t="str">
        <f t="shared" si="25"/>
        <v/>
      </c>
      <c r="G3266" s="59" t="str">
        <f t="shared" si="26"/>
        <v/>
      </c>
      <c r="H3266" s="59" t="str">
        <f t="shared" si="27"/>
        <v>28H00354</v>
      </c>
      <c r="I3266" s="59" t="str">
        <f>IF(OR($A3266="",$C3266="",$D3266="",$E3266="",$H3266=""),"",SUMIFS(DATA_GOC!$H:$H,DATA_GOC!$A:$A,"BOM",DATA_GOC!$D:$D,$H3266,DATA_GOC!$E:$E,$C3266,DATA_GOC!$F:$F,"Xuất nội bộ từ téc",DATA_GOC!$B:$B,"&gt;="&amp;$D3266,DATA_GOC!$B:$B,"&lt;="&amp;$E3266))</f>
        <v/>
      </c>
      <c r="J3266" s="59">
        <f t="shared" si="28"/>
        <v>0</v>
      </c>
      <c r="K3266" s="59">
        <f t="shared" si="29"/>
        <v>0</v>
      </c>
      <c r="L3266" s="59">
        <f t="shared" si="30"/>
        <v>0</v>
      </c>
      <c r="M3266" s="59">
        <f t="shared" si="31"/>
        <v>0</v>
      </c>
    </row>
    <row r="3267" ht="15.0" hidden="1" customHeight="1">
      <c r="A3267" s="59">
        <f t="shared" si="20"/>
        <v>51</v>
      </c>
      <c r="B3267" s="59" t="str">
        <f t="shared" si="21"/>
        <v/>
      </c>
      <c r="C3267" s="59" t="str">
        <f t="shared" si="22"/>
        <v/>
      </c>
      <c r="D3267" s="45" t="str">
        <f t="shared" si="23"/>
        <v/>
      </c>
      <c r="E3267" s="45" t="str">
        <f t="shared" si="24"/>
        <v/>
      </c>
      <c r="F3267" s="59" t="str">
        <f t="shared" si="25"/>
        <v/>
      </c>
      <c r="G3267" s="59" t="str">
        <f t="shared" si="26"/>
        <v/>
      </c>
      <c r="H3267" s="59" t="str">
        <f t="shared" si="27"/>
        <v>28H00603</v>
      </c>
      <c r="I3267" s="59" t="str">
        <f>IF(OR($A3267="",$C3267="",$D3267="",$E3267="",$H3267=""),"",SUMIFS(DATA_GOC!$H:$H,DATA_GOC!$A:$A,"BOM",DATA_GOC!$D:$D,$H3267,DATA_GOC!$E:$E,$C3267,DATA_GOC!$F:$F,"Xuất nội bộ từ téc",DATA_GOC!$B:$B,"&gt;="&amp;$D3267,DATA_GOC!$B:$B,"&lt;="&amp;$E3267))</f>
        <v/>
      </c>
      <c r="J3267" s="59">
        <f t="shared" si="28"/>
        <v>0</v>
      </c>
      <c r="K3267" s="59">
        <f t="shared" si="29"/>
        <v>0</v>
      </c>
      <c r="L3267" s="59">
        <f t="shared" si="30"/>
        <v>0</v>
      </c>
      <c r="M3267" s="59">
        <f t="shared" si="31"/>
        <v>0</v>
      </c>
    </row>
    <row r="3268" ht="15.0" hidden="1" customHeight="1">
      <c r="A3268" s="59">
        <f t="shared" si="20"/>
        <v>51</v>
      </c>
      <c r="B3268" s="59" t="str">
        <f t="shared" si="21"/>
        <v/>
      </c>
      <c r="C3268" s="59" t="str">
        <f t="shared" si="22"/>
        <v/>
      </c>
      <c r="D3268" s="45" t="str">
        <f t="shared" si="23"/>
        <v/>
      </c>
      <c r="E3268" s="45" t="str">
        <f t="shared" si="24"/>
        <v/>
      </c>
      <c r="F3268" s="59" t="str">
        <f t="shared" si="25"/>
        <v/>
      </c>
      <c r="G3268" s="59" t="str">
        <f t="shared" si="26"/>
        <v/>
      </c>
      <c r="H3268" s="59" t="str">
        <f t="shared" si="27"/>
        <v>28H00609</v>
      </c>
      <c r="I3268" s="59" t="str">
        <f>IF(OR($A3268="",$C3268="",$D3268="",$E3268="",$H3268=""),"",SUMIFS(DATA_GOC!$H:$H,DATA_GOC!$A:$A,"BOM",DATA_GOC!$D:$D,$H3268,DATA_GOC!$E:$E,$C3268,DATA_GOC!$F:$F,"Xuất nội bộ từ téc",DATA_GOC!$B:$B,"&gt;="&amp;$D3268,DATA_GOC!$B:$B,"&lt;="&amp;$E3268))</f>
        <v/>
      </c>
      <c r="J3268" s="59">
        <f t="shared" si="28"/>
        <v>0</v>
      </c>
      <c r="K3268" s="59">
        <f t="shared" si="29"/>
        <v>0</v>
      </c>
      <c r="L3268" s="59">
        <f t="shared" si="30"/>
        <v>0</v>
      </c>
      <c r="M3268" s="59">
        <f t="shared" si="31"/>
        <v>0</v>
      </c>
    </row>
    <row r="3269" ht="15.0" hidden="1" customHeight="1">
      <c r="A3269" s="59">
        <f t="shared" si="20"/>
        <v>51</v>
      </c>
      <c r="B3269" s="59" t="str">
        <f t="shared" si="21"/>
        <v/>
      </c>
      <c r="C3269" s="59" t="str">
        <f t="shared" si="22"/>
        <v/>
      </c>
      <c r="D3269" s="45" t="str">
        <f t="shared" si="23"/>
        <v/>
      </c>
      <c r="E3269" s="45" t="str">
        <f t="shared" si="24"/>
        <v/>
      </c>
      <c r="F3269" s="59" t="str">
        <f t="shared" si="25"/>
        <v/>
      </c>
      <c r="G3269" s="59" t="str">
        <f t="shared" si="26"/>
        <v/>
      </c>
      <c r="H3269" s="59" t="str">
        <f t="shared" si="27"/>
        <v>28H00669</v>
      </c>
      <c r="I3269" s="59" t="str">
        <f>IF(OR($A3269="",$C3269="",$D3269="",$E3269="",$H3269=""),"",SUMIFS(DATA_GOC!$H:$H,DATA_GOC!$A:$A,"BOM",DATA_GOC!$D:$D,$H3269,DATA_GOC!$E:$E,$C3269,DATA_GOC!$F:$F,"Xuất nội bộ từ téc",DATA_GOC!$B:$B,"&gt;="&amp;$D3269,DATA_GOC!$B:$B,"&lt;="&amp;$E3269))</f>
        <v/>
      </c>
      <c r="J3269" s="59">
        <f t="shared" si="28"/>
        <v>0</v>
      </c>
      <c r="K3269" s="59">
        <f t="shared" si="29"/>
        <v>0</v>
      </c>
      <c r="L3269" s="59">
        <f t="shared" si="30"/>
        <v>0</v>
      </c>
      <c r="M3269" s="59">
        <f t="shared" si="31"/>
        <v>0</v>
      </c>
    </row>
    <row r="3270" ht="15.0" hidden="1" customHeight="1">
      <c r="A3270" s="59">
        <f t="shared" si="20"/>
        <v>51</v>
      </c>
      <c r="B3270" s="59" t="str">
        <f t="shared" si="21"/>
        <v/>
      </c>
      <c r="C3270" s="59" t="str">
        <f t="shared" si="22"/>
        <v/>
      </c>
      <c r="D3270" s="45" t="str">
        <f t="shared" si="23"/>
        <v/>
      </c>
      <c r="E3270" s="45" t="str">
        <f t="shared" si="24"/>
        <v/>
      </c>
      <c r="F3270" s="59" t="str">
        <f t="shared" si="25"/>
        <v/>
      </c>
      <c r="G3270" s="59" t="str">
        <f t="shared" si="26"/>
        <v/>
      </c>
      <c r="H3270" s="59" t="str">
        <f t="shared" si="27"/>
        <v>28H00680</v>
      </c>
      <c r="I3270" s="59" t="str">
        <f>IF(OR($A3270="",$C3270="",$D3270="",$E3270="",$H3270=""),"",SUMIFS(DATA_GOC!$H:$H,DATA_GOC!$A:$A,"BOM",DATA_GOC!$D:$D,$H3270,DATA_GOC!$E:$E,$C3270,DATA_GOC!$F:$F,"Xuất nội bộ từ téc",DATA_GOC!$B:$B,"&gt;="&amp;$D3270,DATA_GOC!$B:$B,"&lt;="&amp;$E3270))</f>
        <v/>
      </c>
      <c r="J3270" s="59">
        <f t="shared" si="28"/>
        <v>0</v>
      </c>
      <c r="K3270" s="59">
        <f t="shared" si="29"/>
        <v>0</v>
      </c>
      <c r="L3270" s="59">
        <f t="shared" si="30"/>
        <v>0</v>
      </c>
      <c r="M3270" s="59">
        <f t="shared" si="31"/>
        <v>0</v>
      </c>
    </row>
    <row r="3271" ht="15.0" hidden="1" customHeight="1">
      <c r="A3271" s="59">
        <f t="shared" si="20"/>
        <v>51</v>
      </c>
      <c r="B3271" s="59" t="str">
        <f t="shared" si="21"/>
        <v/>
      </c>
      <c r="C3271" s="59" t="str">
        <f t="shared" si="22"/>
        <v/>
      </c>
      <c r="D3271" s="45" t="str">
        <f t="shared" si="23"/>
        <v/>
      </c>
      <c r="E3271" s="45" t="str">
        <f t="shared" si="24"/>
        <v/>
      </c>
      <c r="F3271" s="59" t="str">
        <f t="shared" si="25"/>
        <v/>
      </c>
      <c r="G3271" s="59" t="str">
        <f t="shared" si="26"/>
        <v/>
      </c>
      <c r="H3271" s="59" t="str">
        <f t="shared" si="27"/>
        <v>28H01070</v>
      </c>
      <c r="I3271" s="59" t="str">
        <f>IF(OR($A3271="",$C3271="",$D3271="",$E3271="",$H3271=""),"",SUMIFS(DATA_GOC!$H:$H,DATA_GOC!$A:$A,"BOM",DATA_GOC!$D:$D,$H3271,DATA_GOC!$E:$E,$C3271,DATA_GOC!$F:$F,"Xuất nội bộ từ téc",DATA_GOC!$B:$B,"&gt;="&amp;$D3271,DATA_GOC!$B:$B,"&lt;="&amp;$E3271))</f>
        <v/>
      </c>
      <c r="J3271" s="59">
        <f t="shared" si="28"/>
        <v>0</v>
      </c>
      <c r="K3271" s="59">
        <f t="shared" si="29"/>
        <v>0</v>
      </c>
      <c r="L3271" s="59">
        <f t="shared" si="30"/>
        <v>0</v>
      </c>
      <c r="M3271" s="59">
        <f t="shared" si="31"/>
        <v>0</v>
      </c>
    </row>
    <row r="3272" ht="15.0" hidden="1" customHeight="1">
      <c r="A3272" s="59">
        <f t="shared" si="20"/>
        <v>51</v>
      </c>
      <c r="B3272" s="59" t="str">
        <f t="shared" si="21"/>
        <v/>
      </c>
      <c r="C3272" s="59" t="str">
        <f t="shared" si="22"/>
        <v/>
      </c>
      <c r="D3272" s="45" t="str">
        <f t="shared" si="23"/>
        <v/>
      </c>
      <c r="E3272" s="45" t="str">
        <f t="shared" si="24"/>
        <v/>
      </c>
      <c r="F3272" s="59" t="str">
        <f t="shared" si="25"/>
        <v/>
      </c>
      <c r="G3272" s="59" t="str">
        <f t="shared" si="26"/>
        <v/>
      </c>
      <c r="H3272" s="59" t="str">
        <f t="shared" si="27"/>
        <v>28H01364</v>
      </c>
      <c r="I3272" s="59" t="str">
        <f>IF(OR($A3272="",$C3272="",$D3272="",$E3272="",$H3272=""),"",SUMIFS(DATA_GOC!$H:$H,DATA_GOC!$A:$A,"BOM",DATA_GOC!$D:$D,$H3272,DATA_GOC!$E:$E,$C3272,DATA_GOC!$F:$F,"Xuất nội bộ từ téc",DATA_GOC!$B:$B,"&gt;="&amp;$D3272,DATA_GOC!$B:$B,"&lt;="&amp;$E3272))</f>
        <v/>
      </c>
      <c r="J3272" s="59">
        <f t="shared" si="28"/>
        <v>0</v>
      </c>
      <c r="K3272" s="59">
        <f t="shared" si="29"/>
        <v>0</v>
      </c>
      <c r="L3272" s="59">
        <f t="shared" si="30"/>
        <v>0</v>
      </c>
      <c r="M3272" s="59">
        <f t="shared" si="31"/>
        <v>0</v>
      </c>
    </row>
    <row r="3273" ht="15.0" hidden="1" customHeight="1">
      <c r="A3273" s="59">
        <f t="shared" si="20"/>
        <v>51</v>
      </c>
      <c r="B3273" s="59" t="str">
        <f t="shared" si="21"/>
        <v/>
      </c>
      <c r="C3273" s="59" t="str">
        <f t="shared" si="22"/>
        <v/>
      </c>
      <c r="D3273" s="45" t="str">
        <f t="shared" si="23"/>
        <v/>
      </c>
      <c r="E3273" s="45" t="str">
        <f t="shared" si="24"/>
        <v/>
      </c>
      <c r="F3273" s="59" t="str">
        <f t="shared" si="25"/>
        <v/>
      </c>
      <c r="G3273" s="59" t="str">
        <f t="shared" si="26"/>
        <v/>
      </c>
      <c r="H3273" s="59" t="str">
        <f t="shared" si="27"/>
        <v>29E17269</v>
      </c>
      <c r="I3273" s="59" t="str">
        <f>IF(OR($A3273="",$C3273="",$D3273="",$E3273="",$H3273=""),"",SUMIFS(DATA_GOC!$H:$H,DATA_GOC!$A:$A,"BOM",DATA_GOC!$D:$D,$H3273,DATA_GOC!$E:$E,$C3273,DATA_GOC!$F:$F,"Xuất nội bộ từ téc",DATA_GOC!$B:$B,"&gt;="&amp;$D3273,DATA_GOC!$B:$B,"&lt;="&amp;$E3273))</f>
        <v/>
      </c>
      <c r="J3273" s="59">
        <f t="shared" si="28"/>
        <v>0</v>
      </c>
      <c r="K3273" s="59">
        <f t="shared" si="29"/>
        <v>0</v>
      </c>
      <c r="L3273" s="59">
        <f t="shared" si="30"/>
        <v>0</v>
      </c>
      <c r="M3273" s="59">
        <f t="shared" si="31"/>
        <v>0</v>
      </c>
    </row>
    <row r="3274" ht="15.0" hidden="1" customHeight="1">
      <c r="A3274" s="59">
        <f t="shared" si="20"/>
        <v>51</v>
      </c>
      <c r="B3274" s="59" t="str">
        <f t="shared" si="21"/>
        <v/>
      </c>
      <c r="C3274" s="59" t="str">
        <f t="shared" si="22"/>
        <v/>
      </c>
      <c r="D3274" s="45" t="str">
        <f t="shared" si="23"/>
        <v/>
      </c>
      <c r="E3274" s="45" t="str">
        <f t="shared" si="24"/>
        <v/>
      </c>
      <c r="F3274" s="59" t="str">
        <f t="shared" si="25"/>
        <v/>
      </c>
      <c r="G3274" s="59" t="str">
        <f t="shared" si="26"/>
        <v/>
      </c>
      <c r="H3274" s="59" t="str">
        <f t="shared" si="27"/>
        <v>29E17273</v>
      </c>
      <c r="I3274" s="59" t="str">
        <f>IF(OR($A3274="",$C3274="",$D3274="",$E3274="",$H3274=""),"",SUMIFS(DATA_GOC!$H:$H,DATA_GOC!$A:$A,"BOM",DATA_GOC!$D:$D,$H3274,DATA_GOC!$E:$E,$C3274,DATA_GOC!$F:$F,"Xuất nội bộ từ téc",DATA_GOC!$B:$B,"&gt;="&amp;$D3274,DATA_GOC!$B:$B,"&lt;="&amp;$E3274))</f>
        <v/>
      </c>
      <c r="J3274" s="59">
        <f t="shared" si="28"/>
        <v>0</v>
      </c>
      <c r="K3274" s="59">
        <f t="shared" si="29"/>
        <v>0</v>
      </c>
      <c r="L3274" s="59">
        <f t="shared" si="30"/>
        <v>0</v>
      </c>
      <c r="M3274" s="59">
        <f t="shared" si="31"/>
        <v>0</v>
      </c>
    </row>
    <row r="3275" ht="15.0" hidden="1" customHeight="1">
      <c r="A3275" s="59">
        <f t="shared" si="20"/>
        <v>51</v>
      </c>
      <c r="B3275" s="59" t="str">
        <f t="shared" si="21"/>
        <v/>
      </c>
      <c r="C3275" s="59" t="str">
        <f t="shared" si="22"/>
        <v/>
      </c>
      <c r="D3275" s="45" t="str">
        <f t="shared" si="23"/>
        <v/>
      </c>
      <c r="E3275" s="45" t="str">
        <f t="shared" si="24"/>
        <v/>
      </c>
      <c r="F3275" s="59" t="str">
        <f t="shared" si="25"/>
        <v/>
      </c>
      <c r="G3275" s="59" t="str">
        <f t="shared" si="26"/>
        <v/>
      </c>
      <c r="H3275" s="59" t="str">
        <f t="shared" si="27"/>
        <v>29E17410</v>
      </c>
      <c r="I3275" s="59" t="str">
        <f>IF(OR($A3275="",$C3275="",$D3275="",$E3275="",$H3275=""),"",SUMIFS(DATA_GOC!$H:$H,DATA_GOC!$A:$A,"BOM",DATA_GOC!$D:$D,$H3275,DATA_GOC!$E:$E,$C3275,DATA_GOC!$F:$F,"Xuất nội bộ từ téc",DATA_GOC!$B:$B,"&gt;="&amp;$D3275,DATA_GOC!$B:$B,"&lt;="&amp;$E3275))</f>
        <v/>
      </c>
      <c r="J3275" s="59">
        <f t="shared" si="28"/>
        <v>0</v>
      </c>
      <c r="K3275" s="59">
        <f t="shared" si="29"/>
        <v>0</v>
      </c>
      <c r="L3275" s="59">
        <f t="shared" si="30"/>
        <v>0</v>
      </c>
      <c r="M3275" s="59">
        <f t="shared" si="31"/>
        <v>0</v>
      </c>
    </row>
    <row r="3276" ht="15.0" hidden="1" customHeight="1">
      <c r="A3276" s="59">
        <f t="shared" si="20"/>
        <v>51</v>
      </c>
      <c r="B3276" s="59" t="str">
        <f t="shared" si="21"/>
        <v/>
      </c>
      <c r="C3276" s="59" t="str">
        <f t="shared" si="22"/>
        <v/>
      </c>
      <c r="D3276" s="45" t="str">
        <f t="shared" si="23"/>
        <v/>
      </c>
      <c r="E3276" s="45" t="str">
        <f t="shared" si="24"/>
        <v/>
      </c>
      <c r="F3276" s="59" t="str">
        <f t="shared" si="25"/>
        <v/>
      </c>
      <c r="G3276" s="59" t="str">
        <f t="shared" si="26"/>
        <v/>
      </c>
      <c r="H3276" s="59" t="str">
        <f t="shared" si="27"/>
        <v>29E17417</v>
      </c>
      <c r="I3276" s="59" t="str">
        <f>IF(OR($A3276="",$C3276="",$D3276="",$E3276="",$H3276=""),"",SUMIFS(DATA_GOC!$H:$H,DATA_GOC!$A:$A,"BOM",DATA_GOC!$D:$D,$H3276,DATA_GOC!$E:$E,$C3276,DATA_GOC!$F:$F,"Xuất nội bộ từ téc",DATA_GOC!$B:$B,"&gt;="&amp;$D3276,DATA_GOC!$B:$B,"&lt;="&amp;$E3276))</f>
        <v/>
      </c>
      <c r="J3276" s="59">
        <f t="shared" si="28"/>
        <v>0</v>
      </c>
      <c r="K3276" s="59">
        <f t="shared" si="29"/>
        <v>0</v>
      </c>
      <c r="L3276" s="59">
        <f t="shared" si="30"/>
        <v>0</v>
      </c>
      <c r="M3276" s="59">
        <f t="shared" si="31"/>
        <v>0</v>
      </c>
    </row>
    <row r="3277" ht="15.0" hidden="1" customHeight="1">
      <c r="A3277" s="59">
        <f t="shared" si="20"/>
        <v>51</v>
      </c>
      <c r="B3277" s="59" t="str">
        <f t="shared" si="21"/>
        <v/>
      </c>
      <c r="C3277" s="59" t="str">
        <f t="shared" si="22"/>
        <v/>
      </c>
      <c r="D3277" s="45" t="str">
        <f t="shared" si="23"/>
        <v/>
      </c>
      <c r="E3277" s="45" t="str">
        <f t="shared" si="24"/>
        <v/>
      </c>
      <c r="F3277" s="59" t="str">
        <f t="shared" si="25"/>
        <v/>
      </c>
      <c r="G3277" s="59" t="str">
        <f t="shared" si="26"/>
        <v/>
      </c>
      <c r="H3277" s="59" t="str">
        <f t="shared" si="27"/>
        <v>29E17539</v>
      </c>
      <c r="I3277" s="59" t="str">
        <f>IF(OR($A3277="",$C3277="",$D3277="",$E3277="",$H3277=""),"",SUMIFS(DATA_GOC!$H:$H,DATA_GOC!$A:$A,"BOM",DATA_GOC!$D:$D,$H3277,DATA_GOC!$E:$E,$C3277,DATA_GOC!$F:$F,"Xuất nội bộ từ téc",DATA_GOC!$B:$B,"&gt;="&amp;$D3277,DATA_GOC!$B:$B,"&lt;="&amp;$E3277))</f>
        <v/>
      </c>
      <c r="J3277" s="59">
        <f t="shared" si="28"/>
        <v>0</v>
      </c>
      <c r="K3277" s="59">
        <f t="shared" si="29"/>
        <v>0</v>
      </c>
      <c r="L3277" s="59">
        <f t="shared" si="30"/>
        <v>0</v>
      </c>
      <c r="M3277" s="59">
        <f t="shared" si="31"/>
        <v>0</v>
      </c>
    </row>
    <row r="3278" ht="15.0" hidden="1" customHeight="1">
      <c r="A3278" s="59">
        <f t="shared" si="20"/>
        <v>51</v>
      </c>
      <c r="B3278" s="59" t="str">
        <f t="shared" si="21"/>
        <v/>
      </c>
      <c r="C3278" s="59" t="str">
        <f t="shared" si="22"/>
        <v/>
      </c>
      <c r="D3278" s="45" t="str">
        <f t="shared" si="23"/>
        <v/>
      </c>
      <c r="E3278" s="45" t="str">
        <f t="shared" si="24"/>
        <v/>
      </c>
      <c r="F3278" s="59" t="str">
        <f t="shared" si="25"/>
        <v/>
      </c>
      <c r="G3278" s="59" t="str">
        <f t="shared" si="26"/>
        <v/>
      </c>
      <c r="H3278" s="59" t="str">
        <f t="shared" si="27"/>
        <v>29E18160</v>
      </c>
      <c r="I3278" s="59" t="str">
        <f>IF(OR($A3278="",$C3278="",$D3278="",$E3278="",$H3278=""),"",SUMIFS(DATA_GOC!$H:$H,DATA_GOC!$A:$A,"BOM",DATA_GOC!$D:$D,$H3278,DATA_GOC!$E:$E,$C3278,DATA_GOC!$F:$F,"Xuất nội bộ từ téc",DATA_GOC!$B:$B,"&gt;="&amp;$D3278,DATA_GOC!$B:$B,"&lt;="&amp;$E3278))</f>
        <v/>
      </c>
      <c r="J3278" s="59">
        <f t="shared" si="28"/>
        <v>0</v>
      </c>
      <c r="K3278" s="59">
        <f t="shared" si="29"/>
        <v>0</v>
      </c>
      <c r="L3278" s="59">
        <f t="shared" si="30"/>
        <v>0</v>
      </c>
      <c r="M3278" s="59">
        <f t="shared" si="31"/>
        <v>0</v>
      </c>
    </row>
    <row r="3279" ht="15.0" hidden="1" customHeight="1">
      <c r="A3279" s="59">
        <f t="shared" si="20"/>
        <v>51</v>
      </c>
      <c r="B3279" s="59" t="str">
        <f t="shared" si="21"/>
        <v/>
      </c>
      <c r="C3279" s="59" t="str">
        <f t="shared" si="22"/>
        <v/>
      </c>
      <c r="D3279" s="45" t="str">
        <f t="shared" si="23"/>
        <v/>
      </c>
      <c r="E3279" s="45" t="str">
        <f t="shared" si="24"/>
        <v/>
      </c>
      <c r="F3279" s="59" t="str">
        <f t="shared" si="25"/>
        <v/>
      </c>
      <c r="G3279" s="59" t="str">
        <f t="shared" si="26"/>
        <v/>
      </c>
      <c r="H3279" s="59" t="str">
        <f t="shared" si="27"/>
        <v>Công trình Asphalt</v>
      </c>
      <c r="I3279" s="59" t="str">
        <f>IF(OR($A3279="",$C3279="",$D3279="",$E3279="",$H3279=""),"",SUMIFS(DATA_GOC!$H:$H,DATA_GOC!$A:$A,"BOM",DATA_GOC!$D:$D,$H3279,DATA_GOC!$E:$E,$C3279,DATA_GOC!$F:$F,"Xuất nội bộ từ téc",DATA_GOC!$B:$B,"&gt;="&amp;$D3279,DATA_GOC!$B:$B,"&lt;="&amp;$E3279))</f>
        <v/>
      </c>
      <c r="J3279" s="59">
        <f t="shared" si="28"/>
        <v>0</v>
      </c>
      <c r="K3279" s="59">
        <f t="shared" si="29"/>
        <v>0</v>
      </c>
      <c r="L3279" s="59">
        <f t="shared" si="30"/>
        <v>0</v>
      </c>
      <c r="M3279" s="59">
        <f t="shared" si="31"/>
        <v>0</v>
      </c>
    </row>
    <row r="3280" ht="15.0" hidden="1" customHeight="1">
      <c r="A3280" s="59">
        <f t="shared" si="20"/>
        <v>51</v>
      </c>
      <c r="B3280" s="59" t="str">
        <f t="shared" si="21"/>
        <v/>
      </c>
      <c r="C3280" s="59" t="str">
        <f t="shared" si="22"/>
        <v/>
      </c>
      <c r="D3280" s="45" t="str">
        <f t="shared" si="23"/>
        <v/>
      </c>
      <c r="E3280" s="45" t="str">
        <f t="shared" si="24"/>
        <v/>
      </c>
      <c r="F3280" s="59" t="str">
        <f t="shared" si="25"/>
        <v/>
      </c>
      <c r="G3280" s="59" t="str">
        <f t="shared" si="26"/>
        <v/>
      </c>
      <c r="H3280" s="59" t="str">
        <f t="shared" si="27"/>
        <v>LG53F</v>
      </c>
      <c r="I3280" s="59" t="str">
        <f>IF(OR($A3280="",$C3280="",$D3280="",$E3280="",$H3280=""),"",SUMIFS(DATA_GOC!$H:$H,DATA_GOC!$A:$A,"BOM",DATA_GOC!$D:$D,$H3280,DATA_GOC!$E:$E,$C3280,DATA_GOC!$F:$F,"Xuất nội bộ từ téc",DATA_GOC!$B:$B,"&gt;="&amp;$D3280,DATA_GOC!$B:$B,"&lt;="&amp;$E3280))</f>
        <v/>
      </c>
      <c r="J3280" s="59">
        <f t="shared" si="28"/>
        <v>0</v>
      </c>
      <c r="K3280" s="59">
        <f t="shared" si="29"/>
        <v>0</v>
      </c>
      <c r="L3280" s="59">
        <f t="shared" si="30"/>
        <v>0</v>
      </c>
      <c r="M3280" s="59">
        <f t="shared" si="31"/>
        <v>0</v>
      </c>
    </row>
    <row r="3281" ht="15.0" hidden="1" customHeight="1">
      <c r="A3281" s="59">
        <f t="shared" si="20"/>
        <v>51</v>
      </c>
      <c r="B3281" s="59" t="str">
        <f t="shared" si="21"/>
        <v/>
      </c>
      <c r="C3281" s="59" t="str">
        <f t="shared" si="22"/>
        <v/>
      </c>
      <c r="D3281" s="45" t="str">
        <f t="shared" si="23"/>
        <v/>
      </c>
      <c r="E3281" s="45" t="str">
        <f t="shared" si="24"/>
        <v/>
      </c>
      <c r="F3281" s="59" t="str">
        <f t="shared" si="25"/>
        <v/>
      </c>
      <c r="G3281" s="59" t="str">
        <f t="shared" si="26"/>
        <v/>
      </c>
      <c r="H3281" s="59" t="str">
        <f t="shared" si="27"/>
        <v>Máy phát điện</v>
      </c>
      <c r="I3281" s="59" t="str">
        <f>IF(OR($A3281="",$C3281="",$D3281="",$E3281="",$H3281=""),"",SUMIFS(DATA_GOC!$H:$H,DATA_GOC!$A:$A,"BOM",DATA_GOC!$D:$D,$H3281,DATA_GOC!$E:$E,$C3281,DATA_GOC!$F:$F,"Xuất nội bộ từ téc",DATA_GOC!$B:$B,"&gt;="&amp;$D3281,DATA_GOC!$B:$B,"&lt;="&amp;$E3281))</f>
        <v/>
      </c>
      <c r="J3281" s="59">
        <f t="shared" si="28"/>
        <v>0</v>
      </c>
      <c r="K3281" s="59">
        <f t="shared" si="29"/>
        <v>0</v>
      </c>
      <c r="L3281" s="59">
        <f t="shared" si="30"/>
        <v>0</v>
      </c>
      <c r="M3281" s="59">
        <f t="shared" si="31"/>
        <v>0</v>
      </c>
    </row>
    <row r="3282" ht="15.0" hidden="1" customHeight="1">
      <c r="A3282" s="59">
        <f t="shared" si="20"/>
        <v>51</v>
      </c>
      <c r="B3282" s="59" t="str">
        <f t="shared" si="21"/>
        <v/>
      </c>
      <c r="C3282" s="59" t="str">
        <f t="shared" si="22"/>
        <v/>
      </c>
      <c r="D3282" s="45" t="str">
        <f t="shared" si="23"/>
        <v/>
      </c>
      <c r="E3282" s="45" t="str">
        <f t="shared" si="24"/>
        <v/>
      </c>
      <c r="F3282" s="59" t="str">
        <f t="shared" si="25"/>
        <v/>
      </c>
      <c r="G3282" s="59" t="str">
        <f t="shared" si="26"/>
        <v/>
      </c>
      <c r="H3282" s="59" t="str">
        <f t="shared" si="27"/>
        <v>Máy rải thảm</v>
      </c>
      <c r="I3282" s="59" t="str">
        <f>IF(OR($A3282="",$C3282="",$D3282="",$E3282="",$H3282=""),"",SUMIFS(DATA_GOC!$H:$H,DATA_GOC!$A:$A,"BOM",DATA_GOC!$D:$D,$H3282,DATA_GOC!$E:$E,$C3282,DATA_GOC!$F:$F,"Xuất nội bộ từ téc",DATA_GOC!$B:$B,"&gt;="&amp;$D3282,DATA_GOC!$B:$B,"&lt;="&amp;$E3282))</f>
        <v/>
      </c>
      <c r="J3282" s="59">
        <f t="shared" si="28"/>
        <v>0</v>
      </c>
      <c r="K3282" s="59">
        <f t="shared" si="29"/>
        <v>0</v>
      </c>
      <c r="L3282" s="59">
        <f t="shared" si="30"/>
        <v>0</v>
      </c>
      <c r="M3282" s="59">
        <f t="shared" si="31"/>
        <v>0</v>
      </c>
    </row>
    <row r="3283" ht="15.0" hidden="1" customHeight="1">
      <c r="A3283" s="59">
        <f t="shared" si="20"/>
        <v>51</v>
      </c>
      <c r="B3283" s="59" t="str">
        <f t="shared" si="21"/>
        <v/>
      </c>
      <c r="C3283" s="59" t="str">
        <f t="shared" si="22"/>
        <v/>
      </c>
      <c r="D3283" s="45" t="str">
        <f t="shared" si="23"/>
        <v/>
      </c>
      <c r="E3283" s="45" t="str">
        <f t="shared" si="24"/>
        <v/>
      </c>
      <c r="F3283" s="59" t="str">
        <f t="shared" si="25"/>
        <v/>
      </c>
      <c r="G3283" s="59" t="str">
        <f t="shared" si="26"/>
        <v/>
      </c>
      <c r="H3283" s="59" t="str">
        <f t="shared" si="27"/>
        <v>Xúc Đào</v>
      </c>
      <c r="I3283" s="59" t="str">
        <f>IF(OR($A3283="",$C3283="",$D3283="",$E3283="",$H3283=""),"",SUMIFS(DATA_GOC!$H:$H,DATA_GOC!$A:$A,"BOM",DATA_GOC!$D:$D,$H3283,DATA_GOC!$E:$E,$C3283,DATA_GOC!$F:$F,"Xuất nội bộ từ téc",DATA_GOC!$B:$B,"&gt;="&amp;$D3283,DATA_GOC!$B:$B,"&lt;="&amp;$E3283))</f>
        <v/>
      </c>
      <c r="J3283" s="59">
        <f t="shared" si="28"/>
        <v>0</v>
      </c>
      <c r="K3283" s="59">
        <f t="shared" si="29"/>
        <v>0</v>
      </c>
      <c r="L3283" s="59">
        <f t="shared" si="30"/>
        <v>0</v>
      </c>
      <c r="M3283" s="59">
        <f t="shared" si="31"/>
        <v>0</v>
      </c>
    </row>
    <row r="3284" ht="15.0" hidden="1" customHeight="1">
      <c r="A3284" s="59">
        <f t="shared" si="20"/>
        <v>51</v>
      </c>
      <c r="B3284" s="59" t="str">
        <f t="shared" si="21"/>
        <v/>
      </c>
      <c r="C3284" s="59" t="str">
        <f t="shared" si="22"/>
        <v/>
      </c>
      <c r="D3284" s="45" t="str">
        <f t="shared" si="23"/>
        <v/>
      </c>
      <c r="E3284" s="45" t="str">
        <f t="shared" si="24"/>
        <v/>
      </c>
      <c r="F3284" s="59" t="str">
        <f t="shared" si="25"/>
        <v/>
      </c>
      <c r="G3284" s="59" t="str">
        <f t="shared" si="26"/>
        <v/>
      </c>
      <c r="H3284" s="59" t="str">
        <f t="shared" si="27"/>
        <v>Xúclật asphalt</v>
      </c>
      <c r="I3284" s="59" t="str">
        <f>IF(OR($A3284="",$C3284="",$D3284="",$E3284="",$H3284=""),"",SUMIFS(DATA_GOC!$H:$H,DATA_GOC!$A:$A,"BOM",DATA_GOC!$D:$D,$H3284,DATA_GOC!$E:$E,$C3284,DATA_GOC!$F:$F,"Xuất nội bộ từ téc",DATA_GOC!$B:$B,"&gt;="&amp;$D3284,DATA_GOC!$B:$B,"&lt;="&amp;$E3284))</f>
        <v/>
      </c>
      <c r="J3284" s="59">
        <f t="shared" si="28"/>
        <v>0</v>
      </c>
      <c r="K3284" s="59">
        <f t="shared" si="29"/>
        <v>0</v>
      </c>
      <c r="L3284" s="59">
        <f t="shared" si="30"/>
        <v>0</v>
      </c>
      <c r="M3284" s="59">
        <f t="shared" si="31"/>
        <v>0</v>
      </c>
    </row>
    <row r="3285" ht="15.0" hidden="1" customHeight="1">
      <c r="A3285" s="59">
        <f t="shared" si="20"/>
        <v>51</v>
      </c>
      <c r="B3285" s="59" t="str">
        <f t="shared" si="21"/>
        <v/>
      </c>
      <c r="C3285" s="59" t="str">
        <f t="shared" si="22"/>
        <v/>
      </c>
      <c r="D3285" s="45" t="str">
        <f t="shared" si="23"/>
        <v/>
      </c>
      <c r="E3285" s="45" t="str">
        <f t="shared" si="24"/>
        <v/>
      </c>
      <c r="F3285" s="59" t="str">
        <f t="shared" si="25"/>
        <v/>
      </c>
      <c r="G3285" s="59" t="str">
        <f t="shared" si="26"/>
        <v/>
      </c>
      <c r="H3285" s="59" t="str">
        <f t="shared" si="27"/>
        <v>Xúclật855H</v>
      </c>
      <c r="I3285" s="59" t="str">
        <f>IF(OR($A3285="",$C3285="",$D3285="",$E3285="",$H3285=""),"",SUMIFS(DATA_GOC!$H:$H,DATA_GOC!$A:$A,"BOM",DATA_GOC!$D:$D,$H3285,DATA_GOC!$E:$E,$C3285,DATA_GOC!$F:$F,"Xuất nội bộ từ téc",DATA_GOC!$B:$B,"&gt;="&amp;$D3285,DATA_GOC!$B:$B,"&lt;="&amp;$E3285))</f>
        <v/>
      </c>
      <c r="J3285" s="59">
        <f t="shared" si="28"/>
        <v>0</v>
      </c>
      <c r="K3285" s="59">
        <f t="shared" si="29"/>
        <v>0</v>
      </c>
      <c r="L3285" s="59">
        <f t="shared" si="30"/>
        <v>0</v>
      </c>
      <c r="M3285" s="59">
        <f t="shared" si="31"/>
        <v>0</v>
      </c>
    </row>
    <row r="3286" ht="15.0" hidden="1" customHeight="1">
      <c r="A3286" s="59">
        <f t="shared" si="20"/>
        <v>51</v>
      </c>
      <c r="B3286" s="59" t="str">
        <f t="shared" si="21"/>
        <v/>
      </c>
      <c r="C3286" s="59" t="str">
        <f t="shared" si="22"/>
        <v/>
      </c>
      <c r="D3286" s="45" t="str">
        <f t="shared" si="23"/>
        <v/>
      </c>
      <c r="E3286" s="45" t="str">
        <f t="shared" si="24"/>
        <v/>
      </c>
      <c r="F3286" s="59" t="str">
        <f t="shared" si="25"/>
        <v/>
      </c>
      <c r="G3286" s="59" t="str">
        <f t="shared" si="26"/>
        <v/>
      </c>
      <c r="H3286" s="59" t="str">
        <f t="shared" si="27"/>
        <v>Xúclật855N</v>
      </c>
      <c r="I3286" s="59" t="str">
        <f>IF(OR($A3286="",$C3286="",$D3286="",$E3286="",$H3286=""),"",SUMIFS(DATA_GOC!$H:$H,DATA_GOC!$A:$A,"BOM",DATA_GOC!$D:$D,$H3286,DATA_GOC!$E:$E,$C3286,DATA_GOC!$F:$F,"Xuất nội bộ từ téc",DATA_GOC!$B:$B,"&gt;="&amp;$D3286,DATA_GOC!$B:$B,"&lt;="&amp;$E3286))</f>
        <v/>
      </c>
      <c r="J3286" s="59">
        <f t="shared" si="28"/>
        <v>0</v>
      </c>
      <c r="K3286" s="59">
        <f t="shared" si="29"/>
        <v>0</v>
      </c>
      <c r="L3286" s="59">
        <f t="shared" si="30"/>
        <v>0</v>
      </c>
      <c r="M3286" s="59">
        <f t="shared" si="31"/>
        <v>0</v>
      </c>
    </row>
    <row r="3287" ht="15.0" hidden="1" customHeight="1">
      <c r="A3287" s="59">
        <f t="shared" si="20"/>
        <v>51</v>
      </c>
      <c r="B3287" s="59" t="str">
        <f t="shared" si="21"/>
        <v/>
      </c>
      <c r="C3287" s="59" t="str">
        <f t="shared" si="22"/>
        <v/>
      </c>
      <c r="D3287" s="45" t="str">
        <f t="shared" si="23"/>
        <v/>
      </c>
      <c r="E3287" s="45" t="str">
        <f t="shared" si="24"/>
        <v/>
      </c>
      <c r="F3287" s="59" t="str">
        <f t="shared" si="25"/>
        <v/>
      </c>
      <c r="G3287" s="59" t="str">
        <f t="shared" si="26"/>
        <v/>
      </c>
      <c r="H3287" s="59" t="str">
        <f t="shared" si="27"/>
        <v>Cát nghiền</v>
      </c>
      <c r="I3287" s="59" t="str">
        <f>IF(OR($A3287="",$C3287="",$D3287="",$E3287="",$H3287=""),"",SUMIFS(DATA_GOC!$H:$H,DATA_GOC!$A:$A,"BOM",DATA_GOC!$D:$D,$H3287,DATA_GOC!$E:$E,$C3287,DATA_GOC!$F:$F,"Xuất nội bộ từ téc",DATA_GOC!$B:$B,"&gt;="&amp;$D3287,DATA_GOC!$B:$B,"&lt;="&amp;$E3287))</f>
        <v/>
      </c>
      <c r="J3287" s="59">
        <f t="shared" si="28"/>
        <v>0</v>
      </c>
      <c r="K3287" s="59">
        <f t="shared" si="29"/>
        <v>0</v>
      </c>
      <c r="L3287" s="59">
        <f t="shared" si="30"/>
        <v>0</v>
      </c>
      <c r="M3287" s="59">
        <f t="shared" si="31"/>
        <v>0</v>
      </c>
    </row>
    <row r="3288" ht="15.0" hidden="1" customHeight="1">
      <c r="A3288" s="59">
        <f t="shared" si="20"/>
        <v>51</v>
      </c>
      <c r="B3288" s="59" t="str">
        <f t="shared" si="21"/>
        <v/>
      </c>
      <c r="C3288" s="59" t="str">
        <f t="shared" si="22"/>
        <v/>
      </c>
      <c r="D3288" s="45" t="str">
        <f t="shared" si="23"/>
        <v/>
      </c>
      <c r="E3288" s="45" t="str">
        <f t="shared" si="24"/>
        <v/>
      </c>
      <c r="F3288" s="59" t="str">
        <f t="shared" si="25"/>
        <v/>
      </c>
      <c r="G3288" s="59" t="str">
        <f t="shared" si="26"/>
        <v/>
      </c>
      <c r="H3288" s="59" t="str">
        <f t="shared" si="27"/>
        <v>28C02973</v>
      </c>
      <c r="I3288" s="59" t="str">
        <f>IF(OR($A3288="",$C3288="",$D3288="",$E3288="",$H3288=""),"",SUMIFS(DATA_GOC!$H:$H,DATA_GOC!$A:$A,"BOM",DATA_GOC!$D:$D,$H3288,DATA_GOC!$E:$E,$C3288,DATA_GOC!$F:$F,"Xuất nội bộ từ téc",DATA_GOC!$B:$B,"&gt;="&amp;$D3288,DATA_GOC!$B:$B,"&lt;="&amp;$E3288))</f>
        <v/>
      </c>
      <c r="J3288" s="59">
        <f t="shared" si="28"/>
        <v>0</v>
      </c>
      <c r="K3288" s="59">
        <f t="shared" si="29"/>
        <v>0</v>
      </c>
      <c r="L3288" s="59">
        <f t="shared" si="30"/>
        <v>0</v>
      </c>
      <c r="M3288" s="59">
        <f t="shared" si="31"/>
        <v>0</v>
      </c>
    </row>
    <row r="3289" ht="15.0" hidden="1" customHeight="1">
      <c r="A3289" s="59">
        <f t="shared" si="20"/>
        <v>51</v>
      </c>
      <c r="B3289" s="59" t="str">
        <f t="shared" si="21"/>
        <v/>
      </c>
      <c r="C3289" s="59" t="str">
        <f t="shared" si="22"/>
        <v/>
      </c>
      <c r="D3289" s="45" t="str">
        <f t="shared" si="23"/>
        <v/>
      </c>
      <c r="E3289" s="45" t="str">
        <f t="shared" si="24"/>
        <v/>
      </c>
      <c r="F3289" s="59" t="str">
        <f t="shared" si="25"/>
        <v/>
      </c>
      <c r="G3289" s="59" t="str">
        <f t="shared" si="26"/>
        <v/>
      </c>
      <c r="H3289" s="59" t="str">
        <f t="shared" si="27"/>
        <v>28C03044</v>
      </c>
      <c r="I3289" s="59" t="str">
        <f>IF(OR($A3289="",$C3289="",$D3289="",$E3289="",$H3289=""),"",SUMIFS(DATA_GOC!$H:$H,DATA_GOC!$A:$A,"BOM",DATA_GOC!$D:$D,$H3289,DATA_GOC!$E:$E,$C3289,DATA_GOC!$F:$F,"Xuất nội bộ từ téc",DATA_GOC!$B:$B,"&gt;="&amp;$D3289,DATA_GOC!$B:$B,"&lt;="&amp;$E3289))</f>
        <v/>
      </c>
      <c r="J3289" s="59">
        <f t="shared" si="28"/>
        <v>0</v>
      </c>
      <c r="K3289" s="59">
        <f t="shared" si="29"/>
        <v>0</v>
      </c>
      <c r="L3289" s="59">
        <f t="shared" si="30"/>
        <v>0</v>
      </c>
      <c r="M3289" s="59">
        <f t="shared" si="31"/>
        <v>0</v>
      </c>
    </row>
    <row r="3290" ht="15.0" hidden="1" customHeight="1">
      <c r="A3290" s="59">
        <f t="shared" si="20"/>
        <v>51</v>
      </c>
      <c r="B3290" s="59" t="str">
        <f t="shared" si="21"/>
        <v/>
      </c>
      <c r="C3290" s="59" t="str">
        <f t="shared" si="22"/>
        <v/>
      </c>
      <c r="D3290" s="45" t="str">
        <f t="shared" si="23"/>
        <v/>
      </c>
      <c r="E3290" s="45" t="str">
        <f t="shared" si="24"/>
        <v/>
      </c>
      <c r="F3290" s="59" t="str">
        <f t="shared" si="25"/>
        <v/>
      </c>
      <c r="G3290" s="59" t="str">
        <f t="shared" si="26"/>
        <v/>
      </c>
      <c r="H3290" s="59" t="str">
        <f t="shared" si="27"/>
        <v>Máy lu lốp</v>
      </c>
      <c r="I3290" s="59" t="str">
        <f>IF(OR($A3290="",$C3290="",$D3290="",$E3290="",$H3290=""),"",SUMIFS(DATA_GOC!$H:$H,DATA_GOC!$A:$A,"BOM",DATA_GOC!$D:$D,$H3290,DATA_GOC!$E:$E,$C3290,DATA_GOC!$F:$F,"Xuất nội bộ từ téc",DATA_GOC!$B:$B,"&gt;="&amp;$D3290,DATA_GOC!$B:$B,"&lt;="&amp;$E3290))</f>
        <v/>
      </c>
      <c r="J3290" s="59">
        <f t="shared" si="28"/>
        <v>0</v>
      </c>
      <c r="K3290" s="59">
        <f t="shared" si="29"/>
        <v>0</v>
      </c>
      <c r="L3290" s="59">
        <f t="shared" si="30"/>
        <v>0</v>
      </c>
      <c r="M3290" s="59">
        <f t="shared" si="31"/>
        <v>0</v>
      </c>
    </row>
    <row r="3291" ht="15.0" hidden="1" customHeight="1">
      <c r="A3291" s="59">
        <f t="shared" si="20"/>
        <v>51</v>
      </c>
      <c r="B3291" s="59" t="str">
        <f t="shared" si="21"/>
        <v/>
      </c>
      <c r="C3291" s="59" t="str">
        <f t="shared" si="22"/>
        <v/>
      </c>
      <c r="D3291" s="45" t="str">
        <f t="shared" si="23"/>
        <v/>
      </c>
      <c r="E3291" s="45" t="str">
        <f t="shared" si="24"/>
        <v/>
      </c>
      <c r="F3291" s="59" t="str">
        <f t="shared" si="25"/>
        <v/>
      </c>
      <c r="G3291" s="59" t="str">
        <f t="shared" si="26"/>
        <v/>
      </c>
      <c r="H3291" s="59" t="str">
        <f t="shared" si="27"/>
        <v>Xe 600148</v>
      </c>
      <c r="I3291" s="59" t="str">
        <f>IF(OR($A3291="",$C3291="",$D3291="",$E3291="",$H3291=""),"",SUMIFS(DATA_GOC!$H:$H,DATA_GOC!$A:$A,"BOM",DATA_GOC!$D:$D,$H3291,DATA_GOC!$E:$E,$C3291,DATA_GOC!$F:$F,"Xuất nội bộ từ téc",DATA_GOC!$B:$B,"&gt;="&amp;$D3291,DATA_GOC!$B:$B,"&lt;="&amp;$E3291))</f>
        <v/>
      </c>
      <c r="J3291" s="59">
        <f t="shared" si="28"/>
        <v>0</v>
      </c>
      <c r="K3291" s="59">
        <f t="shared" si="29"/>
        <v>0</v>
      </c>
      <c r="L3291" s="59">
        <f t="shared" si="30"/>
        <v>0</v>
      </c>
      <c r="M3291" s="59">
        <f t="shared" si="31"/>
        <v>0</v>
      </c>
    </row>
    <row r="3292" ht="15.0" hidden="1" customHeight="1">
      <c r="A3292" s="59">
        <f t="shared" si="20"/>
        <v>51</v>
      </c>
      <c r="B3292" s="59" t="str">
        <f t="shared" si="21"/>
        <v/>
      </c>
      <c r="C3292" s="59" t="str">
        <f t="shared" si="22"/>
        <v/>
      </c>
      <c r="D3292" s="45" t="str">
        <f t="shared" si="23"/>
        <v/>
      </c>
      <c r="E3292" s="45" t="str">
        <f t="shared" si="24"/>
        <v/>
      </c>
      <c r="F3292" s="59" t="str">
        <f t="shared" si="25"/>
        <v/>
      </c>
      <c r="G3292" s="59" t="str">
        <f t="shared" si="26"/>
        <v/>
      </c>
      <c r="H3292" s="59" t="str">
        <f t="shared" si="27"/>
        <v>Xe ben mới</v>
      </c>
      <c r="I3292" s="59" t="str">
        <f>IF(OR($A3292="",$C3292="",$D3292="",$E3292="",$H3292=""),"",SUMIFS(DATA_GOC!$H:$H,DATA_GOC!$A:$A,"BOM",DATA_GOC!$D:$D,$H3292,DATA_GOC!$E:$E,$C3292,DATA_GOC!$F:$F,"Xuất nội bộ từ téc",DATA_GOC!$B:$B,"&gt;="&amp;$D3292,DATA_GOC!$B:$B,"&lt;="&amp;$E3292))</f>
        <v/>
      </c>
      <c r="J3292" s="59">
        <f t="shared" si="28"/>
        <v>0</v>
      </c>
      <c r="K3292" s="59">
        <f t="shared" si="29"/>
        <v>0</v>
      </c>
      <c r="L3292" s="59">
        <f t="shared" si="30"/>
        <v>0</v>
      </c>
      <c r="M3292" s="59">
        <f t="shared" si="31"/>
        <v>0</v>
      </c>
    </row>
    <row r="3293" ht="15.0" hidden="1" customHeight="1">
      <c r="A3293" s="59">
        <f t="shared" si="20"/>
        <v>52</v>
      </c>
      <c r="B3293" s="59" t="str">
        <f t="shared" si="21"/>
        <v/>
      </c>
      <c r="C3293" s="59" t="str">
        <f t="shared" si="22"/>
        <v/>
      </c>
      <c r="D3293" s="45" t="str">
        <f t="shared" si="23"/>
        <v/>
      </c>
      <c r="E3293" s="45" t="str">
        <f t="shared" si="24"/>
        <v/>
      </c>
      <c r="F3293" s="59" t="str">
        <f t="shared" si="25"/>
        <v/>
      </c>
      <c r="G3293" s="59" t="str">
        <f t="shared" si="26"/>
        <v/>
      </c>
      <c r="H3293" s="59" t="str">
        <f t="shared" si="27"/>
        <v>19H09482</v>
      </c>
      <c r="I3293" s="59" t="str">
        <f>IF(OR($A3293="",$C3293="",$D3293="",$E3293="",$H3293=""),"",SUMIFS(DATA_GOC!$H:$H,DATA_GOC!$A:$A,"BOM",DATA_GOC!$D:$D,$H3293,DATA_GOC!$E:$E,$C3293,DATA_GOC!$F:$F,"Xuất nội bộ từ téc",DATA_GOC!$B:$B,"&gt;="&amp;$D3293,DATA_GOC!$B:$B,"&lt;="&amp;$E3293))</f>
        <v/>
      </c>
      <c r="J3293" s="59">
        <f t="shared" si="28"/>
        <v>0</v>
      </c>
      <c r="K3293" s="59">
        <f t="shared" si="29"/>
        <v>0</v>
      </c>
      <c r="L3293" s="59">
        <f t="shared" si="30"/>
        <v>0</v>
      </c>
      <c r="M3293" s="59">
        <f t="shared" si="31"/>
        <v>0</v>
      </c>
    </row>
    <row r="3294" ht="15.0" hidden="1" customHeight="1">
      <c r="A3294" s="59">
        <f t="shared" si="20"/>
        <v>52</v>
      </c>
      <c r="B3294" s="59" t="str">
        <f t="shared" si="21"/>
        <v/>
      </c>
      <c r="C3294" s="59" t="str">
        <f t="shared" si="22"/>
        <v/>
      </c>
      <c r="D3294" s="45" t="str">
        <f t="shared" si="23"/>
        <v/>
      </c>
      <c r="E3294" s="45" t="str">
        <f t="shared" si="24"/>
        <v/>
      </c>
      <c r="F3294" s="59" t="str">
        <f t="shared" si="25"/>
        <v/>
      </c>
      <c r="G3294" s="59" t="str">
        <f t="shared" si="26"/>
        <v/>
      </c>
      <c r="H3294" s="59" t="str">
        <f t="shared" si="27"/>
        <v>28A30696</v>
      </c>
      <c r="I3294" s="59" t="str">
        <f>IF(OR($A3294="",$C3294="",$D3294="",$E3294="",$H3294=""),"",SUMIFS(DATA_GOC!$H:$H,DATA_GOC!$A:$A,"BOM",DATA_GOC!$D:$D,$H3294,DATA_GOC!$E:$E,$C3294,DATA_GOC!$F:$F,"Xuất nội bộ từ téc",DATA_GOC!$B:$B,"&gt;="&amp;$D3294,DATA_GOC!$B:$B,"&lt;="&amp;$E3294))</f>
        <v/>
      </c>
      <c r="J3294" s="59">
        <f t="shared" si="28"/>
        <v>0</v>
      </c>
      <c r="K3294" s="59">
        <f t="shared" si="29"/>
        <v>0</v>
      </c>
      <c r="L3294" s="59">
        <f t="shared" si="30"/>
        <v>0</v>
      </c>
      <c r="M3294" s="59">
        <f t="shared" si="31"/>
        <v>0</v>
      </c>
    </row>
    <row r="3295" ht="15.0" hidden="1" customHeight="1">
      <c r="A3295" s="59">
        <f t="shared" si="20"/>
        <v>52</v>
      </c>
      <c r="B3295" s="59" t="str">
        <f t="shared" si="21"/>
        <v/>
      </c>
      <c r="C3295" s="59" t="str">
        <f t="shared" si="22"/>
        <v/>
      </c>
      <c r="D3295" s="45" t="str">
        <f t="shared" si="23"/>
        <v/>
      </c>
      <c r="E3295" s="45" t="str">
        <f t="shared" si="24"/>
        <v/>
      </c>
      <c r="F3295" s="59" t="str">
        <f t="shared" si="25"/>
        <v/>
      </c>
      <c r="G3295" s="59" t="str">
        <f t="shared" si="26"/>
        <v/>
      </c>
      <c r="H3295" s="59" t="str">
        <f t="shared" si="27"/>
        <v>28C00462</v>
      </c>
      <c r="I3295" s="59" t="str">
        <f>IF(OR($A3295="",$C3295="",$D3295="",$E3295="",$H3295=""),"",SUMIFS(DATA_GOC!$H:$H,DATA_GOC!$A:$A,"BOM",DATA_GOC!$D:$D,$H3295,DATA_GOC!$E:$E,$C3295,DATA_GOC!$F:$F,"Xuất nội bộ từ téc",DATA_GOC!$B:$B,"&gt;="&amp;$D3295,DATA_GOC!$B:$B,"&lt;="&amp;$E3295))</f>
        <v/>
      </c>
      <c r="J3295" s="59">
        <f t="shared" si="28"/>
        <v>0</v>
      </c>
      <c r="K3295" s="59">
        <f t="shared" si="29"/>
        <v>0</v>
      </c>
      <c r="L3295" s="59">
        <f t="shared" si="30"/>
        <v>0</v>
      </c>
      <c r="M3295" s="59">
        <f t="shared" si="31"/>
        <v>0</v>
      </c>
    </row>
    <row r="3296" ht="15.0" hidden="1" customHeight="1">
      <c r="A3296" s="59">
        <f t="shared" si="20"/>
        <v>52</v>
      </c>
      <c r="B3296" s="59" t="str">
        <f t="shared" si="21"/>
        <v/>
      </c>
      <c r="C3296" s="59" t="str">
        <f t="shared" si="22"/>
        <v/>
      </c>
      <c r="D3296" s="45" t="str">
        <f t="shared" si="23"/>
        <v/>
      </c>
      <c r="E3296" s="45" t="str">
        <f t="shared" si="24"/>
        <v/>
      </c>
      <c r="F3296" s="59" t="str">
        <f t="shared" si="25"/>
        <v/>
      </c>
      <c r="G3296" s="59" t="str">
        <f t="shared" si="26"/>
        <v/>
      </c>
      <c r="H3296" s="59" t="str">
        <f t="shared" si="27"/>
        <v>28C01165</v>
      </c>
      <c r="I3296" s="59" t="str">
        <f>IF(OR($A3296="",$C3296="",$D3296="",$E3296="",$H3296=""),"",SUMIFS(DATA_GOC!$H:$H,DATA_GOC!$A:$A,"BOM",DATA_GOC!$D:$D,$H3296,DATA_GOC!$E:$E,$C3296,DATA_GOC!$F:$F,"Xuất nội bộ từ téc",DATA_GOC!$B:$B,"&gt;="&amp;$D3296,DATA_GOC!$B:$B,"&lt;="&amp;$E3296))</f>
        <v/>
      </c>
      <c r="J3296" s="59">
        <f t="shared" si="28"/>
        <v>0</v>
      </c>
      <c r="K3296" s="59">
        <f t="shared" si="29"/>
        <v>0</v>
      </c>
      <c r="L3296" s="59">
        <f t="shared" si="30"/>
        <v>0</v>
      </c>
      <c r="M3296" s="59">
        <f t="shared" si="31"/>
        <v>0</v>
      </c>
    </row>
    <row r="3297" ht="15.0" hidden="1" customHeight="1">
      <c r="A3297" s="59">
        <f t="shared" si="20"/>
        <v>52</v>
      </c>
      <c r="B3297" s="59" t="str">
        <f t="shared" si="21"/>
        <v/>
      </c>
      <c r="C3297" s="59" t="str">
        <f t="shared" si="22"/>
        <v/>
      </c>
      <c r="D3297" s="45" t="str">
        <f t="shared" si="23"/>
        <v/>
      </c>
      <c r="E3297" s="45" t="str">
        <f t="shared" si="24"/>
        <v/>
      </c>
      <c r="F3297" s="59" t="str">
        <f t="shared" si="25"/>
        <v/>
      </c>
      <c r="G3297" s="59" t="str">
        <f t="shared" si="26"/>
        <v/>
      </c>
      <c r="H3297" s="59" t="str">
        <f t="shared" si="27"/>
        <v>28C01406</v>
      </c>
      <c r="I3297" s="59" t="str">
        <f>IF(OR($A3297="",$C3297="",$D3297="",$E3297="",$H3297=""),"",SUMIFS(DATA_GOC!$H:$H,DATA_GOC!$A:$A,"BOM",DATA_GOC!$D:$D,$H3297,DATA_GOC!$E:$E,$C3297,DATA_GOC!$F:$F,"Xuất nội bộ từ téc",DATA_GOC!$B:$B,"&gt;="&amp;$D3297,DATA_GOC!$B:$B,"&lt;="&amp;$E3297))</f>
        <v/>
      </c>
      <c r="J3297" s="59">
        <f t="shared" si="28"/>
        <v>0</v>
      </c>
      <c r="K3297" s="59">
        <f t="shared" si="29"/>
        <v>0</v>
      </c>
      <c r="L3297" s="59">
        <f t="shared" si="30"/>
        <v>0</v>
      </c>
      <c r="M3297" s="59">
        <f t="shared" si="31"/>
        <v>0</v>
      </c>
    </row>
    <row r="3298" ht="15.0" hidden="1" customHeight="1">
      <c r="A3298" s="59">
        <f t="shared" si="20"/>
        <v>52</v>
      </c>
      <c r="B3298" s="59" t="str">
        <f t="shared" si="21"/>
        <v/>
      </c>
      <c r="C3298" s="59" t="str">
        <f t="shared" si="22"/>
        <v/>
      </c>
      <c r="D3298" s="45" t="str">
        <f t="shared" si="23"/>
        <v/>
      </c>
      <c r="E3298" s="45" t="str">
        <f t="shared" si="24"/>
        <v/>
      </c>
      <c r="F3298" s="59" t="str">
        <f t="shared" si="25"/>
        <v/>
      </c>
      <c r="G3298" s="59" t="str">
        <f t="shared" si="26"/>
        <v/>
      </c>
      <c r="H3298" s="59" t="str">
        <f t="shared" si="27"/>
        <v>28C01544</v>
      </c>
      <c r="I3298" s="59" t="str">
        <f>IF(OR($A3298="",$C3298="",$D3298="",$E3298="",$H3298=""),"",SUMIFS(DATA_GOC!$H:$H,DATA_GOC!$A:$A,"BOM",DATA_GOC!$D:$D,$H3298,DATA_GOC!$E:$E,$C3298,DATA_GOC!$F:$F,"Xuất nội bộ từ téc",DATA_GOC!$B:$B,"&gt;="&amp;$D3298,DATA_GOC!$B:$B,"&lt;="&amp;$E3298))</f>
        <v/>
      </c>
      <c r="J3298" s="59">
        <f t="shared" si="28"/>
        <v>0</v>
      </c>
      <c r="K3298" s="59">
        <f t="shared" si="29"/>
        <v>0</v>
      </c>
      <c r="L3298" s="59">
        <f t="shared" si="30"/>
        <v>0</v>
      </c>
      <c r="M3298" s="59">
        <f t="shared" si="31"/>
        <v>0</v>
      </c>
    </row>
    <row r="3299" ht="15.0" hidden="1" customHeight="1">
      <c r="A3299" s="59">
        <f t="shared" si="20"/>
        <v>52</v>
      </c>
      <c r="B3299" s="59" t="str">
        <f t="shared" si="21"/>
        <v/>
      </c>
      <c r="C3299" s="59" t="str">
        <f t="shared" si="22"/>
        <v/>
      </c>
      <c r="D3299" s="45" t="str">
        <f t="shared" si="23"/>
        <v/>
      </c>
      <c r="E3299" s="45" t="str">
        <f t="shared" si="24"/>
        <v/>
      </c>
      <c r="F3299" s="59" t="str">
        <f t="shared" si="25"/>
        <v/>
      </c>
      <c r="G3299" s="59" t="str">
        <f t="shared" si="26"/>
        <v/>
      </c>
      <c r="H3299" s="59" t="str">
        <f t="shared" si="27"/>
        <v>28C01622</v>
      </c>
      <c r="I3299" s="59" t="str">
        <f>IF(OR($A3299="",$C3299="",$D3299="",$E3299="",$H3299=""),"",SUMIFS(DATA_GOC!$H:$H,DATA_GOC!$A:$A,"BOM",DATA_GOC!$D:$D,$H3299,DATA_GOC!$E:$E,$C3299,DATA_GOC!$F:$F,"Xuất nội bộ từ téc",DATA_GOC!$B:$B,"&gt;="&amp;$D3299,DATA_GOC!$B:$B,"&lt;="&amp;$E3299))</f>
        <v/>
      </c>
      <c r="J3299" s="59">
        <f t="shared" si="28"/>
        <v>0</v>
      </c>
      <c r="K3299" s="59">
        <f t="shared" si="29"/>
        <v>0</v>
      </c>
      <c r="L3299" s="59">
        <f t="shared" si="30"/>
        <v>0</v>
      </c>
      <c r="M3299" s="59">
        <f t="shared" si="31"/>
        <v>0</v>
      </c>
    </row>
    <row r="3300" ht="15.0" hidden="1" customHeight="1">
      <c r="A3300" s="59">
        <f t="shared" si="20"/>
        <v>52</v>
      </c>
      <c r="B3300" s="59" t="str">
        <f t="shared" si="21"/>
        <v/>
      </c>
      <c r="C3300" s="59" t="str">
        <f t="shared" si="22"/>
        <v/>
      </c>
      <c r="D3300" s="45" t="str">
        <f t="shared" si="23"/>
        <v/>
      </c>
      <c r="E3300" s="45" t="str">
        <f t="shared" si="24"/>
        <v/>
      </c>
      <c r="F3300" s="59" t="str">
        <f t="shared" si="25"/>
        <v/>
      </c>
      <c r="G3300" s="59" t="str">
        <f t="shared" si="26"/>
        <v/>
      </c>
      <c r="H3300" s="59" t="str">
        <f t="shared" si="27"/>
        <v>28C01647</v>
      </c>
      <c r="I3300" s="59" t="str">
        <f>IF(OR($A3300="",$C3300="",$D3300="",$E3300="",$H3300=""),"",SUMIFS(DATA_GOC!$H:$H,DATA_GOC!$A:$A,"BOM",DATA_GOC!$D:$D,$H3300,DATA_GOC!$E:$E,$C3300,DATA_GOC!$F:$F,"Xuất nội bộ từ téc",DATA_GOC!$B:$B,"&gt;="&amp;$D3300,DATA_GOC!$B:$B,"&lt;="&amp;$E3300))</f>
        <v/>
      </c>
      <c r="J3300" s="59">
        <f t="shared" si="28"/>
        <v>0</v>
      </c>
      <c r="K3300" s="59">
        <f t="shared" si="29"/>
        <v>0</v>
      </c>
      <c r="L3300" s="59">
        <f t="shared" si="30"/>
        <v>0</v>
      </c>
      <c r="M3300" s="59">
        <f t="shared" si="31"/>
        <v>0</v>
      </c>
    </row>
    <row r="3301" ht="15.0" hidden="1" customHeight="1">
      <c r="A3301" s="59">
        <f t="shared" si="20"/>
        <v>52</v>
      </c>
      <c r="B3301" s="59" t="str">
        <f t="shared" si="21"/>
        <v/>
      </c>
      <c r="C3301" s="59" t="str">
        <f t="shared" si="22"/>
        <v/>
      </c>
      <c r="D3301" s="45" t="str">
        <f t="shared" si="23"/>
        <v/>
      </c>
      <c r="E3301" s="45" t="str">
        <f t="shared" si="24"/>
        <v/>
      </c>
      <c r="F3301" s="59" t="str">
        <f t="shared" si="25"/>
        <v/>
      </c>
      <c r="G3301" s="59" t="str">
        <f t="shared" si="26"/>
        <v/>
      </c>
      <c r="H3301" s="59" t="str">
        <f t="shared" si="27"/>
        <v>28C01731</v>
      </c>
      <c r="I3301" s="59" t="str">
        <f>IF(OR($A3301="",$C3301="",$D3301="",$E3301="",$H3301=""),"",SUMIFS(DATA_GOC!$H:$H,DATA_GOC!$A:$A,"BOM",DATA_GOC!$D:$D,$H3301,DATA_GOC!$E:$E,$C3301,DATA_GOC!$F:$F,"Xuất nội bộ từ téc",DATA_GOC!$B:$B,"&gt;="&amp;$D3301,DATA_GOC!$B:$B,"&lt;="&amp;$E3301))</f>
        <v/>
      </c>
      <c r="J3301" s="59">
        <f t="shared" si="28"/>
        <v>0</v>
      </c>
      <c r="K3301" s="59">
        <f t="shared" si="29"/>
        <v>0</v>
      </c>
      <c r="L3301" s="59">
        <f t="shared" si="30"/>
        <v>0</v>
      </c>
      <c r="M3301" s="59">
        <f t="shared" si="31"/>
        <v>0</v>
      </c>
    </row>
    <row r="3302" ht="15.0" hidden="1" customHeight="1">
      <c r="A3302" s="59">
        <f t="shared" si="20"/>
        <v>52</v>
      </c>
      <c r="B3302" s="59" t="str">
        <f t="shared" si="21"/>
        <v/>
      </c>
      <c r="C3302" s="59" t="str">
        <f t="shared" si="22"/>
        <v/>
      </c>
      <c r="D3302" s="45" t="str">
        <f t="shared" si="23"/>
        <v/>
      </c>
      <c r="E3302" s="45" t="str">
        <f t="shared" si="24"/>
        <v/>
      </c>
      <c r="F3302" s="59" t="str">
        <f t="shared" si="25"/>
        <v/>
      </c>
      <c r="G3302" s="59" t="str">
        <f t="shared" si="26"/>
        <v/>
      </c>
      <c r="H3302" s="59" t="str">
        <f t="shared" si="27"/>
        <v>28C01743</v>
      </c>
      <c r="I3302" s="59" t="str">
        <f>IF(OR($A3302="",$C3302="",$D3302="",$E3302="",$H3302=""),"",SUMIFS(DATA_GOC!$H:$H,DATA_GOC!$A:$A,"BOM",DATA_GOC!$D:$D,$H3302,DATA_GOC!$E:$E,$C3302,DATA_GOC!$F:$F,"Xuất nội bộ từ téc",DATA_GOC!$B:$B,"&gt;="&amp;$D3302,DATA_GOC!$B:$B,"&lt;="&amp;$E3302))</f>
        <v/>
      </c>
      <c r="J3302" s="59">
        <f t="shared" si="28"/>
        <v>0</v>
      </c>
      <c r="K3302" s="59">
        <f t="shared" si="29"/>
        <v>0</v>
      </c>
      <c r="L3302" s="59">
        <f t="shared" si="30"/>
        <v>0</v>
      </c>
      <c r="M3302" s="59">
        <f t="shared" si="31"/>
        <v>0</v>
      </c>
    </row>
    <row r="3303" ht="15.0" hidden="1" customHeight="1">
      <c r="A3303" s="59">
        <f t="shared" si="20"/>
        <v>52</v>
      </c>
      <c r="B3303" s="59" t="str">
        <f t="shared" si="21"/>
        <v/>
      </c>
      <c r="C3303" s="59" t="str">
        <f t="shared" si="22"/>
        <v/>
      </c>
      <c r="D3303" s="45" t="str">
        <f t="shared" si="23"/>
        <v/>
      </c>
      <c r="E3303" s="45" t="str">
        <f t="shared" si="24"/>
        <v/>
      </c>
      <c r="F3303" s="59" t="str">
        <f t="shared" si="25"/>
        <v/>
      </c>
      <c r="G3303" s="59" t="str">
        <f t="shared" si="26"/>
        <v/>
      </c>
      <c r="H3303" s="59" t="str">
        <f t="shared" si="27"/>
        <v>28C02106</v>
      </c>
      <c r="I3303" s="59" t="str">
        <f>IF(OR($A3303="",$C3303="",$D3303="",$E3303="",$H3303=""),"",SUMIFS(DATA_GOC!$H:$H,DATA_GOC!$A:$A,"BOM",DATA_GOC!$D:$D,$H3303,DATA_GOC!$E:$E,$C3303,DATA_GOC!$F:$F,"Xuất nội bộ từ téc",DATA_GOC!$B:$B,"&gt;="&amp;$D3303,DATA_GOC!$B:$B,"&lt;="&amp;$E3303))</f>
        <v/>
      </c>
      <c r="J3303" s="59">
        <f t="shared" si="28"/>
        <v>0</v>
      </c>
      <c r="K3303" s="59">
        <f t="shared" si="29"/>
        <v>0</v>
      </c>
      <c r="L3303" s="59">
        <f t="shared" si="30"/>
        <v>0</v>
      </c>
      <c r="M3303" s="59">
        <f t="shared" si="31"/>
        <v>0</v>
      </c>
    </row>
    <row r="3304" ht="15.0" hidden="1" customHeight="1">
      <c r="A3304" s="59">
        <f t="shared" si="20"/>
        <v>52</v>
      </c>
      <c r="B3304" s="59" t="str">
        <f t="shared" si="21"/>
        <v/>
      </c>
      <c r="C3304" s="59" t="str">
        <f t="shared" si="22"/>
        <v/>
      </c>
      <c r="D3304" s="45" t="str">
        <f t="shared" si="23"/>
        <v/>
      </c>
      <c r="E3304" s="45" t="str">
        <f t="shared" si="24"/>
        <v/>
      </c>
      <c r="F3304" s="59" t="str">
        <f t="shared" si="25"/>
        <v/>
      </c>
      <c r="G3304" s="59" t="str">
        <f t="shared" si="26"/>
        <v/>
      </c>
      <c r="H3304" s="59" t="str">
        <f t="shared" si="27"/>
        <v>28C02410</v>
      </c>
      <c r="I3304" s="59" t="str">
        <f>IF(OR($A3304="",$C3304="",$D3304="",$E3304="",$H3304=""),"",SUMIFS(DATA_GOC!$H:$H,DATA_GOC!$A:$A,"BOM",DATA_GOC!$D:$D,$H3304,DATA_GOC!$E:$E,$C3304,DATA_GOC!$F:$F,"Xuất nội bộ từ téc",DATA_GOC!$B:$B,"&gt;="&amp;$D3304,DATA_GOC!$B:$B,"&lt;="&amp;$E3304))</f>
        <v/>
      </c>
      <c r="J3304" s="59">
        <f t="shared" si="28"/>
        <v>0</v>
      </c>
      <c r="K3304" s="59">
        <f t="shared" si="29"/>
        <v>0</v>
      </c>
      <c r="L3304" s="59">
        <f t="shared" si="30"/>
        <v>0</v>
      </c>
      <c r="M3304" s="59">
        <f t="shared" si="31"/>
        <v>0</v>
      </c>
    </row>
    <row r="3305" ht="15.0" hidden="1" customHeight="1">
      <c r="A3305" s="59">
        <f t="shared" si="20"/>
        <v>52</v>
      </c>
      <c r="B3305" s="59" t="str">
        <f t="shared" si="21"/>
        <v/>
      </c>
      <c r="C3305" s="59" t="str">
        <f t="shared" si="22"/>
        <v/>
      </c>
      <c r="D3305" s="45" t="str">
        <f t="shared" si="23"/>
        <v/>
      </c>
      <c r="E3305" s="45" t="str">
        <f t="shared" si="24"/>
        <v/>
      </c>
      <c r="F3305" s="59" t="str">
        <f t="shared" si="25"/>
        <v/>
      </c>
      <c r="G3305" s="59" t="str">
        <f t="shared" si="26"/>
        <v/>
      </c>
      <c r="H3305" s="59" t="str">
        <f t="shared" si="27"/>
        <v>28C02545</v>
      </c>
      <c r="I3305" s="59" t="str">
        <f>IF(OR($A3305="",$C3305="",$D3305="",$E3305="",$H3305=""),"",SUMIFS(DATA_GOC!$H:$H,DATA_GOC!$A:$A,"BOM",DATA_GOC!$D:$D,$H3305,DATA_GOC!$E:$E,$C3305,DATA_GOC!$F:$F,"Xuất nội bộ từ téc",DATA_GOC!$B:$B,"&gt;="&amp;$D3305,DATA_GOC!$B:$B,"&lt;="&amp;$E3305))</f>
        <v/>
      </c>
      <c r="J3305" s="59">
        <f t="shared" si="28"/>
        <v>0</v>
      </c>
      <c r="K3305" s="59">
        <f t="shared" si="29"/>
        <v>0</v>
      </c>
      <c r="L3305" s="59">
        <f t="shared" si="30"/>
        <v>0</v>
      </c>
      <c r="M3305" s="59">
        <f t="shared" si="31"/>
        <v>0</v>
      </c>
    </row>
    <row r="3306" ht="15.0" hidden="1" customHeight="1">
      <c r="A3306" s="59">
        <f t="shared" si="20"/>
        <v>52</v>
      </c>
      <c r="B3306" s="59" t="str">
        <f t="shared" si="21"/>
        <v/>
      </c>
      <c r="C3306" s="59" t="str">
        <f t="shared" si="22"/>
        <v/>
      </c>
      <c r="D3306" s="45" t="str">
        <f t="shared" si="23"/>
        <v/>
      </c>
      <c r="E3306" s="45" t="str">
        <f t="shared" si="24"/>
        <v/>
      </c>
      <c r="F3306" s="59" t="str">
        <f t="shared" si="25"/>
        <v/>
      </c>
      <c r="G3306" s="59" t="str">
        <f t="shared" si="26"/>
        <v/>
      </c>
      <c r="H3306" s="59" t="str">
        <f t="shared" si="27"/>
        <v>28C02574</v>
      </c>
      <c r="I3306" s="59" t="str">
        <f>IF(OR($A3306="",$C3306="",$D3306="",$E3306="",$H3306=""),"",SUMIFS(DATA_GOC!$H:$H,DATA_GOC!$A:$A,"BOM",DATA_GOC!$D:$D,$H3306,DATA_GOC!$E:$E,$C3306,DATA_GOC!$F:$F,"Xuất nội bộ từ téc",DATA_GOC!$B:$B,"&gt;="&amp;$D3306,DATA_GOC!$B:$B,"&lt;="&amp;$E3306))</f>
        <v/>
      </c>
      <c r="J3306" s="59">
        <f t="shared" si="28"/>
        <v>0</v>
      </c>
      <c r="K3306" s="59">
        <f t="shared" si="29"/>
        <v>0</v>
      </c>
      <c r="L3306" s="59">
        <f t="shared" si="30"/>
        <v>0</v>
      </c>
      <c r="M3306" s="59">
        <f t="shared" si="31"/>
        <v>0</v>
      </c>
    </row>
    <row r="3307" ht="15.0" hidden="1" customHeight="1">
      <c r="A3307" s="59">
        <f t="shared" si="20"/>
        <v>52</v>
      </c>
      <c r="B3307" s="59" t="str">
        <f t="shared" si="21"/>
        <v/>
      </c>
      <c r="C3307" s="59" t="str">
        <f t="shared" si="22"/>
        <v/>
      </c>
      <c r="D3307" s="45" t="str">
        <f t="shared" si="23"/>
        <v/>
      </c>
      <c r="E3307" s="45" t="str">
        <f t="shared" si="24"/>
        <v/>
      </c>
      <c r="F3307" s="59" t="str">
        <f t="shared" si="25"/>
        <v/>
      </c>
      <c r="G3307" s="59" t="str">
        <f t="shared" si="26"/>
        <v/>
      </c>
      <c r="H3307" s="59" t="str">
        <f t="shared" si="27"/>
        <v>28C02770</v>
      </c>
      <c r="I3307" s="59" t="str">
        <f>IF(OR($A3307="",$C3307="",$D3307="",$E3307="",$H3307=""),"",SUMIFS(DATA_GOC!$H:$H,DATA_GOC!$A:$A,"BOM",DATA_GOC!$D:$D,$H3307,DATA_GOC!$E:$E,$C3307,DATA_GOC!$F:$F,"Xuất nội bộ từ téc",DATA_GOC!$B:$B,"&gt;="&amp;$D3307,DATA_GOC!$B:$B,"&lt;="&amp;$E3307))</f>
        <v/>
      </c>
      <c r="J3307" s="59">
        <f t="shared" si="28"/>
        <v>0</v>
      </c>
      <c r="K3307" s="59">
        <f t="shared" si="29"/>
        <v>0</v>
      </c>
      <c r="L3307" s="59">
        <f t="shared" si="30"/>
        <v>0</v>
      </c>
      <c r="M3307" s="59">
        <f t="shared" si="31"/>
        <v>0</v>
      </c>
    </row>
    <row r="3308" ht="15.0" hidden="1" customHeight="1">
      <c r="A3308" s="59">
        <f t="shared" si="20"/>
        <v>52</v>
      </c>
      <c r="B3308" s="59" t="str">
        <f t="shared" si="21"/>
        <v/>
      </c>
      <c r="C3308" s="59" t="str">
        <f t="shared" si="22"/>
        <v/>
      </c>
      <c r="D3308" s="45" t="str">
        <f t="shared" si="23"/>
        <v/>
      </c>
      <c r="E3308" s="45" t="str">
        <f t="shared" si="24"/>
        <v/>
      </c>
      <c r="F3308" s="59" t="str">
        <f t="shared" si="25"/>
        <v/>
      </c>
      <c r="G3308" s="59" t="str">
        <f t="shared" si="26"/>
        <v/>
      </c>
      <c r="H3308" s="59" t="str">
        <f t="shared" si="27"/>
        <v>28C02986</v>
      </c>
      <c r="I3308" s="59" t="str">
        <f>IF(OR($A3308="",$C3308="",$D3308="",$E3308="",$H3308=""),"",SUMIFS(DATA_GOC!$H:$H,DATA_GOC!$A:$A,"BOM",DATA_GOC!$D:$D,$H3308,DATA_GOC!$E:$E,$C3308,DATA_GOC!$F:$F,"Xuất nội bộ từ téc",DATA_GOC!$B:$B,"&gt;="&amp;$D3308,DATA_GOC!$B:$B,"&lt;="&amp;$E3308))</f>
        <v/>
      </c>
      <c r="J3308" s="59">
        <f t="shared" si="28"/>
        <v>0</v>
      </c>
      <c r="K3308" s="59">
        <f t="shared" si="29"/>
        <v>0</v>
      </c>
      <c r="L3308" s="59">
        <f t="shared" si="30"/>
        <v>0</v>
      </c>
      <c r="M3308" s="59">
        <f t="shared" si="31"/>
        <v>0</v>
      </c>
    </row>
    <row r="3309" ht="15.0" hidden="1" customHeight="1">
      <c r="A3309" s="59">
        <f t="shared" si="20"/>
        <v>52</v>
      </c>
      <c r="B3309" s="59" t="str">
        <f t="shared" si="21"/>
        <v/>
      </c>
      <c r="C3309" s="59" t="str">
        <f t="shared" si="22"/>
        <v/>
      </c>
      <c r="D3309" s="45" t="str">
        <f t="shared" si="23"/>
        <v/>
      </c>
      <c r="E3309" s="45" t="str">
        <f t="shared" si="24"/>
        <v/>
      </c>
      <c r="F3309" s="59" t="str">
        <f t="shared" si="25"/>
        <v/>
      </c>
      <c r="G3309" s="59" t="str">
        <f t="shared" si="26"/>
        <v/>
      </c>
      <c r="H3309" s="59" t="str">
        <f t="shared" si="27"/>
        <v>28C03261</v>
      </c>
      <c r="I3309" s="59" t="str">
        <f>IF(OR($A3309="",$C3309="",$D3309="",$E3309="",$H3309=""),"",SUMIFS(DATA_GOC!$H:$H,DATA_GOC!$A:$A,"BOM",DATA_GOC!$D:$D,$H3309,DATA_GOC!$E:$E,$C3309,DATA_GOC!$F:$F,"Xuất nội bộ từ téc",DATA_GOC!$B:$B,"&gt;="&amp;$D3309,DATA_GOC!$B:$B,"&lt;="&amp;$E3309))</f>
        <v/>
      </c>
      <c r="J3309" s="59">
        <f t="shared" si="28"/>
        <v>0</v>
      </c>
      <c r="K3309" s="59">
        <f t="shared" si="29"/>
        <v>0</v>
      </c>
      <c r="L3309" s="59">
        <f t="shared" si="30"/>
        <v>0</v>
      </c>
      <c r="M3309" s="59">
        <f t="shared" si="31"/>
        <v>0</v>
      </c>
    </row>
    <row r="3310" ht="15.0" hidden="1" customHeight="1">
      <c r="A3310" s="59">
        <f t="shared" si="20"/>
        <v>52</v>
      </c>
      <c r="B3310" s="59" t="str">
        <f t="shared" si="21"/>
        <v/>
      </c>
      <c r="C3310" s="59" t="str">
        <f t="shared" si="22"/>
        <v/>
      </c>
      <c r="D3310" s="45" t="str">
        <f t="shared" si="23"/>
        <v/>
      </c>
      <c r="E3310" s="45" t="str">
        <f t="shared" si="24"/>
        <v/>
      </c>
      <c r="F3310" s="59" t="str">
        <f t="shared" si="25"/>
        <v/>
      </c>
      <c r="G3310" s="59" t="str">
        <f t="shared" si="26"/>
        <v/>
      </c>
      <c r="H3310" s="59" t="str">
        <f t="shared" si="27"/>
        <v>28C03323</v>
      </c>
      <c r="I3310" s="59" t="str">
        <f>IF(OR($A3310="",$C3310="",$D3310="",$E3310="",$H3310=""),"",SUMIFS(DATA_GOC!$H:$H,DATA_GOC!$A:$A,"BOM",DATA_GOC!$D:$D,$H3310,DATA_GOC!$E:$E,$C3310,DATA_GOC!$F:$F,"Xuất nội bộ từ téc",DATA_GOC!$B:$B,"&gt;="&amp;$D3310,DATA_GOC!$B:$B,"&lt;="&amp;$E3310))</f>
        <v/>
      </c>
      <c r="J3310" s="59">
        <f t="shared" si="28"/>
        <v>0</v>
      </c>
      <c r="K3310" s="59">
        <f t="shared" si="29"/>
        <v>0</v>
      </c>
      <c r="L3310" s="59">
        <f t="shared" si="30"/>
        <v>0</v>
      </c>
      <c r="M3310" s="59">
        <f t="shared" si="31"/>
        <v>0</v>
      </c>
    </row>
    <row r="3311" ht="15.0" hidden="1" customHeight="1">
      <c r="A3311" s="59">
        <f t="shared" si="20"/>
        <v>52</v>
      </c>
      <c r="B3311" s="59" t="str">
        <f t="shared" si="21"/>
        <v/>
      </c>
      <c r="C3311" s="59" t="str">
        <f t="shared" si="22"/>
        <v/>
      </c>
      <c r="D3311" s="45" t="str">
        <f t="shared" si="23"/>
        <v/>
      </c>
      <c r="E3311" s="45" t="str">
        <f t="shared" si="24"/>
        <v/>
      </c>
      <c r="F3311" s="59" t="str">
        <f t="shared" si="25"/>
        <v/>
      </c>
      <c r="G3311" s="59" t="str">
        <f t="shared" si="26"/>
        <v/>
      </c>
      <c r="H3311" s="59" t="str">
        <f t="shared" si="27"/>
        <v>28C03385</v>
      </c>
      <c r="I3311" s="59" t="str">
        <f>IF(OR($A3311="",$C3311="",$D3311="",$E3311="",$H3311=""),"",SUMIFS(DATA_GOC!$H:$H,DATA_GOC!$A:$A,"BOM",DATA_GOC!$D:$D,$H3311,DATA_GOC!$E:$E,$C3311,DATA_GOC!$F:$F,"Xuất nội bộ từ téc",DATA_GOC!$B:$B,"&gt;="&amp;$D3311,DATA_GOC!$B:$B,"&lt;="&amp;$E3311))</f>
        <v/>
      </c>
      <c r="J3311" s="59">
        <f t="shared" si="28"/>
        <v>0</v>
      </c>
      <c r="K3311" s="59">
        <f t="shared" si="29"/>
        <v>0</v>
      </c>
      <c r="L3311" s="59">
        <f t="shared" si="30"/>
        <v>0</v>
      </c>
      <c r="M3311" s="59">
        <f t="shared" si="31"/>
        <v>0</v>
      </c>
    </row>
    <row r="3312" ht="15.0" hidden="1" customHeight="1">
      <c r="A3312" s="59">
        <f t="shared" si="20"/>
        <v>52</v>
      </c>
      <c r="B3312" s="59" t="str">
        <f t="shared" si="21"/>
        <v/>
      </c>
      <c r="C3312" s="59" t="str">
        <f t="shared" si="22"/>
        <v/>
      </c>
      <c r="D3312" s="45" t="str">
        <f t="shared" si="23"/>
        <v/>
      </c>
      <c r="E3312" s="45" t="str">
        <f t="shared" si="24"/>
        <v/>
      </c>
      <c r="F3312" s="59" t="str">
        <f t="shared" si="25"/>
        <v/>
      </c>
      <c r="G3312" s="59" t="str">
        <f t="shared" si="26"/>
        <v/>
      </c>
      <c r="H3312" s="59" t="str">
        <f t="shared" si="27"/>
        <v>28C03652</v>
      </c>
      <c r="I3312" s="59" t="str">
        <f>IF(OR($A3312="",$C3312="",$D3312="",$E3312="",$H3312=""),"",SUMIFS(DATA_GOC!$H:$H,DATA_GOC!$A:$A,"BOM",DATA_GOC!$D:$D,$H3312,DATA_GOC!$E:$E,$C3312,DATA_GOC!$F:$F,"Xuất nội bộ từ téc",DATA_GOC!$B:$B,"&gt;="&amp;$D3312,DATA_GOC!$B:$B,"&lt;="&amp;$E3312))</f>
        <v/>
      </c>
      <c r="J3312" s="59">
        <f t="shared" si="28"/>
        <v>0</v>
      </c>
      <c r="K3312" s="59">
        <f t="shared" si="29"/>
        <v>0</v>
      </c>
      <c r="L3312" s="59">
        <f t="shared" si="30"/>
        <v>0</v>
      </c>
      <c r="M3312" s="59">
        <f t="shared" si="31"/>
        <v>0</v>
      </c>
    </row>
    <row r="3313" ht="15.0" hidden="1" customHeight="1">
      <c r="A3313" s="59">
        <f t="shared" si="20"/>
        <v>52</v>
      </c>
      <c r="B3313" s="59" t="str">
        <f t="shared" si="21"/>
        <v/>
      </c>
      <c r="C3313" s="59" t="str">
        <f t="shared" si="22"/>
        <v/>
      </c>
      <c r="D3313" s="45" t="str">
        <f t="shared" si="23"/>
        <v/>
      </c>
      <c r="E3313" s="45" t="str">
        <f t="shared" si="24"/>
        <v/>
      </c>
      <c r="F3313" s="59" t="str">
        <f t="shared" si="25"/>
        <v/>
      </c>
      <c r="G3313" s="59" t="str">
        <f t="shared" si="26"/>
        <v/>
      </c>
      <c r="H3313" s="59" t="str">
        <f t="shared" si="27"/>
        <v>28C03695</v>
      </c>
      <c r="I3313" s="59" t="str">
        <f>IF(OR($A3313="",$C3313="",$D3313="",$E3313="",$H3313=""),"",SUMIFS(DATA_GOC!$H:$H,DATA_GOC!$A:$A,"BOM",DATA_GOC!$D:$D,$H3313,DATA_GOC!$E:$E,$C3313,DATA_GOC!$F:$F,"Xuất nội bộ từ téc",DATA_GOC!$B:$B,"&gt;="&amp;$D3313,DATA_GOC!$B:$B,"&lt;="&amp;$E3313))</f>
        <v/>
      </c>
      <c r="J3313" s="59">
        <f t="shared" si="28"/>
        <v>0</v>
      </c>
      <c r="K3313" s="59">
        <f t="shared" si="29"/>
        <v>0</v>
      </c>
      <c r="L3313" s="59">
        <f t="shared" si="30"/>
        <v>0</v>
      </c>
      <c r="M3313" s="59">
        <f t="shared" si="31"/>
        <v>0</v>
      </c>
    </row>
    <row r="3314" ht="15.0" hidden="1" customHeight="1">
      <c r="A3314" s="59">
        <f t="shared" si="20"/>
        <v>52</v>
      </c>
      <c r="B3314" s="59" t="str">
        <f t="shared" si="21"/>
        <v/>
      </c>
      <c r="C3314" s="59" t="str">
        <f t="shared" si="22"/>
        <v/>
      </c>
      <c r="D3314" s="45" t="str">
        <f t="shared" si="23"/>
        <v/>
      </c>
      <c r="E3314" s="45" t="str">
        <f t="shared" si="24"/>
        <v/>
      </c>
      <c r="F3314" s="59" t="str">
        <f t="shared" si="25"/>
        <v/>
      </c>
      <c r="G3314" s="59" t="str">
        <f t="shared" si="26"/>
        <v/>
      </c>
      <c r="H3314" s="59" t="str">
        <f t="shared" si="27"/>
        <v>28C03927</v>
      </c>
      <c r="I3314" s="59" t="str">
        <f>IF(OR($A3314="",$C3314="",$D3314="",$E3314="",$H3314=""),"",SUMIFS(DATA_GOC!$H:$H,DATA_GOC!$A:$A,"BOM",DATA_GOC!$D:$D,$H3314,DATA_GOC!$E:$E,$C3314,DATA_GOC!$F:$F,"Xuất nội bộ từ téc",DATA_GOC!$B:$B,"&gt;="&amp;$D3314,DATA_GOC!$B:$B,"&lt;="&amp;$E3314))</f>
        <v/>
      </c>
      <c r="J3314" s="59">
        <f t="shared" si="28"/>
        <v>0</v>
      </c>
      <c r="K3314" s="59">
        <f t="shared" si="29"/>
        <v>0</v>
      </c>
      <c r="L3314" s="59">
        <f t="shared" si="30"/>
        <v>0</v>
      </c>
      <c r="M3314" s="59">
        <f t="shared" si="31"/>
        <v>0</v>
      </c>
    </row>
    <row r="3315" ht="15.0" hidden="1" customHeight="1">
      <c r="A3315" s="59">
        <f t="shared" si="20"/>
        <v>52</v>
      </c>
      <c r="B3315" s="59" t="str">
        <f t="shared" si="21"/>
        <v/>
      </c>
      <c r="C3315" s="59" t="str">
        <f t="shared" si="22"/>
        <v/>
      </c>
      <c r="D3315" s="45" t="str">
        <f t="shared" si="23"/>
        <v/>
      </c>
      <c r="E3315" s="45" t="str">
        <f t="shared" si="24"/>
        <v/>
      </c>
      <c r="F3315" s="59" t="str">
        <f t="shared" si="25"/>
        <v/>
      </c>
      <c r="G3315" s="59" t="str">
        <f t="shared" si="26"/>
        <v/>
      </c>
      <c r="H3315" s="59" t="str">
        <f t="shared" si="27"/>
        <v>28C04509</v>
      </c>
      <c r="I3315" s="59" t="str">
        <f>IF(OR($A3315="",$C3315="",$D3315="",$E3315="",$H3315=""),"",SUMIFS(DATA_GOC!$H:$H,DATA_GOC!$A:$A,"BOM",DATA_GOC!$D:$D,$H3315,DATA_GOC!$E:$E,$C3315,DATA_GOC!$F:$F,"Xuất nội bộ từ téc",DATA_GOC!$B:$B,"&gt;="&amp;$D3315,DATA_GOC!$B:$B,"&lt;="&amp;$E3315))</f>
        <v/>
      </c>
      <c r="J3315" s="59">
        <f t="shared" si="28"/>
        <v>0</v>
      </c>
      <c r="K3315" s="59">
        <f t="shared" si="29"/>
        <v>0</v>
      </c>
      <c r="L3315" s="59">
        <f t="shared" si="30"/>
        <v>0</v>
      </c>
      <c r="M3315" s="59">
        <f t="shared" si="31"/>
        <v>0</v>
      </c>
    </row>
    <row r="3316" ht="15.0" hidden="1" customHeight="1">
      <c r="A3316" s="59">
        <f t="shared" si="20"/>
        <v>52</v>
      </c>
      <c r="B3316" s="59" t="str">
        <f t="shared" si="21"/>
        <v/>
      </c>
      <c r="C3316" s="59" t="str">
        <f t="shared" si="22"/>
        <v/>
      </c>
      <c r="D3316" s="45" t="str">
        <f t="shared" si="23"/>
        <v/>
      </c>
      <c r="E3316" s="45" t="str">
        <f t="shared" si="24"/>
        <v/>
      </c>
      <c r="F3316" s="59" t="str">
        <f t="shared" si="25"/>
        <v/>
      </c>
      <c r="G3316" s="59" t="str">
        <f t="shared" si="26"/>
        <v/>
      </c>
      <c r="H3316" s="59" t="str">
        <f t="shared" si="27"/>
        <v>28C04536</v>
      </c>
      <c r="I3316" s="59" t="str">
        <f>IF(OR($A3316="",$C3316="",$D3316="",$E3316="",$H3316=""),"",SUMIFS(DATA_GOC!$H:$H,DATA_GOC!$A:$A,"BOM",DATA_GOC!$D:$D,$H3316,DATA_GOC!$E:$E,$C3316,DATA_GOC!$F:$F,"Xuất nội bộ từ téc",DATA_GOC!$B:$B,"&gt;="&amp;$D3316,DATA_GOC!$B:$B,"&lt;="&amp;$E3316))</f>
        <v/>
      </c>
      <c r="J3316" s="59">
        <f t="shared" si="28"/>
        <v>0</v>
      </c>
      <c r="K3316" s="59">
        <f t="shared" si="29"/>
        <v>0</v>
      </c>
      <c r="L3316" s="59">
        <f t="shared" si="30"/>
        <v>0</v>
      </c>
      <c r="M3316" s="59">
        <f t="shared" si="31"/>
        <v>0</v>
      </c>
    </row>
    <row r="3317" ht="15.0" hidden="1" customHeight="1">
      <c r="A3317" s="59">
        <f t="shared" si="20"/>
        <v>52</v>
      </c>
      <c r="B3317" s="59" t="str">
        <f t="shared" si="21"/>
        <v/>
      </c>
      <c r="C3317" s="59" t="str">
        <f t="shared" si="22"/>
        <v/>
      </c>
      <c r="D3317" s="45" t="str">
        <f t="shared" si="23"/>
        <v/>
      </c>
      <c r="E3317" s="45" t="str">
        <f t="shared" si="24"/>
        <v/>
      </c>
      <c r="F3317" s="59" t="str">
        <f t="shared" si="25"/>
        <v/>
      </c>
      <c r="G3317" s="59" t="str">
        <f t="shared" si="26"/>
        <v/>
      </c>
      <c r="H3317" s="59" t="str">
        <f t="shared" si="27"/>
        <v>28C04576</v>
      </c>
      <c r="I3317" s="59" t="str">
        <f>IF(OR($A3317="",$C3317="",$D3317="",$E3317="",$H3317=""),"",SUMIFS(DATA_GOC!$H:$H,DATA_GOC!$A:$A,"BOM",DATA_GOC!$D:$D,$H3317,DATA_GOC!$E:$E,$C3317,DATA_GOC!$F:$F,"Xuất nội bộ từ téc",DATA_GOC!$B:$B,"&gt;="&amp;$D3317,DATA_GOC!$B:$B,"&lt;="&amp;$E3317))</f>
        <v/>
      </c>
      <c r="J3317" s="59">
        <f t="shared" si="28"/>
        <v>0</v>
      </c>
      <c r="K3317" s="59">
        <f t="shared" si="29"/>
        <v>0</v>
      </c>
      <c r="L3317" s="59">
        <f t="shared" si="30"/>
        <v>0</v>
      </c>
      <c r="M3317" s="59">
        <f t="shared" si="31"/>
        <v>0</v>
      </c>
    </row>
    <row r="3318" ht="15.0" hidden="1" customHeight="1">
      <c r="A3318" s="59">
        <f t="shared" si="20"/>
        <v>52</v>
      </c>
      <c r="B3318" s="59" t="str">
        <f t="shared" si="21"/>
        <v/>
      </c>
      <c r="C3318" s="59" t="str">
        <f t="shared" si="22"/>
        <v/>
      </c>
      <c r="D3318" s="45" t="str">
        <f t="shared" si="23"/>
        <v/>
      </c>
      <c r="E3318" s="45" t="str">
        <f t="shared" si="24"/>
        <v/>
      </c>
      <c r="F3318" s="59" t="str">
        <f t="shared" si="25"/>
        <v/>
      </c>
      <c r="G3318" s="59" t="str">
        <f t="shared" si="26"/>
        <v/>
      </c>
      <c r="H3318" s="59" t="str">
        <f t="shared" si="27"/>
        <v>28C05090</v>
      </c>
      <c r="I3318" s="59" t="str">
        <f>IF(OR($A3318="",$C3318="",$D3318="",$E3318="",$H3318=""),"",SUMIFS(DATA_GOC!$H:$H,DATA_GOC!$A:$A,"BOM",DATA_GOC!$D:$D,$H3318,DATA_GOC!$E:$E,$C3318,DATA_GOC!$F:$F,"Xuất nội bộ từ téc",DATA_GOC!$B:$B,"&gt;="&amp;$D3318,DATA_GOC!$B:$B,"&lt;="&amp;$E3318))</f>
        <v/>
      </c>
      <c r="J3318" s="59">
        <f t="shared" si="28"/>
        <v>0</v>
      </c>
      <c r="K3318" s="59">
        <f t="shared" si="29"/>
        <v>0</v>
      </c>
      <c r="L3318" s="59">
        <f t="shared" si="30"/>
        <v>0</v>
      </c>
      <c r="M3318" s="59">
        <f t="shared" si="31"/>
        <v>0</v>
      </c>
    </row>
    <row r="3319" ht="15.0" hidden="1" customHeight="1">
      <c r="A3319" s="59">
        <f t="shared" si="20"/>
        <v>52</v>
      </c>
      <c r="B3319" s="59" t="str">
        <f t="shared" si="21"/>
        <v/>
      </c>
      <c r="C3319" s="59" t="str">
        <f t="shared" si="22"/>
        <v/>
      </c>
      <c r="D3319" s="45" t="str">
        <f t="shared" si="23"/>
        <v/>
      </c>
      <c r="E3319" s="45" t="str">
        <f t="shared" si="24"/>
        <v/>
      </c>
      <c r="F3319" s="59" t="str">
        <f t="shared" si="25"/>
        <v/>
      </c>
      <c r="G3319" s="59" t="str">
        <f t="shared" si="26"/>
        <v/>
      </c>
      <c r="H3319" s="59" t="str">
        <f t="shared" si="27"/>
        <v>28C05345</v>
      </c>
      <c r="I3319" s="59" t="str">
        <f>IF(OR($A3319="",$C3319="",$D3319="",$E3319="",$H3319=""),"",SUMIFS(DATA_GOC!$H:$H,DATA_GOC!$A:$A,"BOM",DATA_GOC!$D:$D,$H3319,DATA_GOC!$E:$E,$C3319,DATA_GOC!$F:$F,"Xuất nội bộ từ téc",DATA_GOC!$B:$B,"&gt;="&amp;$D3319,DATA_GOC!$B:$B,"&lt;="&amp;$E3319))</f>
        <v/>
      </c>
      <c r="J3319" s="59">
        <f t="shared" si="28"/>
        <v>0</v>
      </c>
      <c r="K3319" s="59">
        <f t="shared" si="29"/>
        <v>0</v>
      </c>
      <c r="L3319" s="59">
        <f t="shared" si="30"/>
        <v>0</v>
      </c>
      <c r="M3319" s="59">
        <f t="shared" si="31"/>
        <v>0</v>
      </c>
    </row>
    <row r="3320" ht="15.0" hidden="1" customHeight="1">
      <c r="A3320" s="59">
        <f t="shared" si="20"/>
        <v>52</v>
      </c>
      <c r="B3320" s="59" t="str">
        <f t="shared" si="21"/>
        <v/>
      </c>
      <c r="C3320" s="59" t="str">
        <f t="shared" si="22"/>
        <v/>
      </c>
      <c r="D3320" s="45" t="str">
        <f t="shared" si="23"/>
        <v/>
      </c>
      <c r="E3320" s="45" t="str">
        <f t="shared" si="24"/>
        <v/>
      </c>
      <c r="F3320" s="59" t="str">
        <f t="shared" si="25"/>
        <v/>
      </c>
      <c r="G3320" s="59" t="str">
        <f t="shared" si="26"/>
        <v/>
      </c>
      <c r="H3320" s="59" t="str">
        <f t="shared" si="27"/>
        <v>28C05661</v>
      </c>
      <c r="I3320" s="59" t="str">
        <f>IF(OR($A3320="",$C3320="",$D3320="",$E3320="",$H3320=""),"",SUMIFS(DATA_GOC!$H:$H,DATA_GOC!$A:$A,"BOM",DATA_GOC!$D:$D,$H3320,DATA_GOC!$E:$E,$C3320,DATA_GOC!$F:$F,"Xuất nội bộ từ téc",DATA_GOC!$B:$B,"&gt;="&amp;$D3320,DATA_GOC!$B:$B,"&lt;="&amp;$E3320))</f>
        <v/>
      </c>
      <c r="J3320" s="59">
        <f t="shared" si="28"/>
        <v>0</v>
      </c>
      <c r="K3320" s="59">
        <f t="shared" si="29"/>
        <v>0</v>
      </c>
      <c r="L3320" s="59">
        <f t="shared" si="30"/>
        <v>0</v>
      </c>
      <c r="M3320" s="59">
        <f t="shared" si="31"/>
        <v>0</v>
      </c>
    </row>
    <row r="3321" ht="15.0" hidden="1" customHeight="1">
      <c r="A3321" s="59">
        <f t="shared" si="20"/>
        <v>52</v>
      </c>
      <c r="B3321" s="59" t="str">
        <f t="shared" si="21"/>
        <v/>
      </c>
      <c r="C3321" s="59" t="str">
        <f t="shared" si="22"/>
        <v/>
      </c>
      <c r="D3321" s="45" t="str">
        <f t="shared" si="23"/>
        <v/>
      </c>
      <c r="E3321" s="45" t="str">
        <f t="shared" si="24"/>
        <v/>
      </c>
      <c r="F3321" s="59" t="str">
        <f t="shared" si="25"/>
        <v/>
      </c>
      <c r="G3321" s="59" t="str">
        <f t="shared" si="26"/>
        <v/>
      </c>
      <c r="H3321" s="59" t="str">
        <f t="shared" si="27"/>
        <v>28C05739</v>
      </c>
      <c r="I3321" s="59" t="str">
        <f>IF(OR($A3321="",$C3321="",$D3321="",$E3321="",$H3321=""),"",SUMIFS(DATA_GOC!$H:$H,DATA_GOC!$A:$A,"BOM",DATA_GOC!$D:$D,$H3321,DATA_GOC!$E:$E,$C3321,DATA_GOC!$F:$F,"Xuất nội bộ từ téc",DATA_GOC!$B:$B,"&gt;="&amp;$D3321,DATA_GOC!$B:$B,"&lt;="&amp;$E3321))</f>
        <v/>
      </c>
      <c r="J3321" s="59">
        <f t="shared" si="28"/>
        <v>0</v>
      </c>
      <c r="K3321" s="59">
        <f t="shared" si="29"/>
        <v>0</v>
      </c>
      <c r="L3321" s="59">
        <f t="shared" si="30"/>
        <v>0</v>
      </c>
      <c r="M3321" s="59">
        <f t="shared" si="31"/>
        <v>0</v>
      </c>
    </row>
    <row r="3322" ht="15.0" hidden="1" customHeight="1">
      <c r="A3322" s="59">
        <f t="shared" si="20"/>
        <v>52</v>
      </c>
      <c r="B3322" s="59" t="str">
        <f t="shared" si="21"/>
        <v/>
      </c>
      <c r="C3322" s="59" t="str">
        <f t="shared" si="22"/>
        <v/>
      </c>
      <c r="D3322" s="45" t="str">
        <f t="shared" si="23"/>
        <v/>
      </c>
      <c r="E3322" s="45" t="str">
        <f t="shared" si="24"/>
        <v/>
      </c>
      <c r="F3322" s="59" t="str">
        <f t="shared" si="25"/>
        <v/>
      </c>
      <c r="G3322" s="59" t="str">
        <f t="shared" si="26"/>
        <v/>
      </c>
      <c r="H3322" s="59" t="str">
        <f t="shared" si="27"/>
        <v>28C06369</v>
      </c>
      <c r="I3322" s="59" t="str">
        <f>IF(OR($A3322="",$C3322="",$D3322="",$E3322="",$H3322=""),"",SUMIFS(DATA_GOC!$H:$H,DATA_GOC!$A:$A,"BOM",DATA_GOC!$D:$D,$H3322,DATA_GOC!$E:$E,$C3322,DATA_GOC!$F:$F,"Xuất nội bộ từ téc",DATA_GOC!$B:$B,"&gt;="&amp;$D3322,DATA_GOC!$B:$B,"&lt;="&amp;$E3322))</f>
        <v/>
      </c>
      <c r="J3322" s="59">
        <f t="shared" si="28"/>
        <v>0</v>
      </c>
      <c r="K3322" s="59">
        <f t="shared" si="29"/>
        <v>0</v>
      </c>
      <c r="L3322" s="59">
        <f t="shared" si="30"/>
        <v>0</v>
      </c>
      <c r="M3322" s="59">
        <f t="shared" si="31"/>
        <v>0</v>
      </c>
    </row>
    <row r="3323" ht="15.0" hidden="1" customHeight="1">
      <c r="A3323" s="59">
        <f t="shared" si="20"/>
        <v>52</v>
      </c>
      <c r="B3323" s="59" t="str">
        <f t="shared" si="21"/>
        <v/>
      </c>
      <c r="C3323" s="59" t="str">
        <f t="shared" si="22"/>
        <v/>
      </c>
      <c r="D3323" s="45" t="str">
        <f t="shared" si="23"/>
        <v/>
      </c>
      <c r="E3323" s="45" t="str">
        <f t="shared" si="24"/>
        <v/>
      </c>
      <c r="F3323" s="59" t="str">
        <f t="shared" si="25"/>
        <v/>
      </c>
      <c r="G3323" s="59" t="str">
        <f t="shared" si="26"/>
        <v/>
      </c>
      <c r="H3323" s="59" t="str">
        <f t="shared" si="27"/>
        <v>28C06447</v>
      </c>
      <c r="I3323" s="59" t="str">
        <f>IF(OR($A3323="",$C3323="",$D3323="",$E3323="",$H3323=""),"",SUMIFS(DATA_GOC!$H:$H,DATA_GOC!$A:$A,"BOM",DATA_GOC!$D:$D,$H3323,DATA_GOC!$E:$E,$C3323,DATA_GOC!$F:$F,"Xuất nội bộ từ téc",DATA_GOC!$B:$B,"&gt;="&amp;$D3323,DATA_GOC!$B:$B,"&lt;="&amp;$E3323))</f>
        <v/>
      </c>
      <c r="J3323" s="59">
        <f t="shared" si="28"/>
        <v>0</v>
      </c>
      <c r="K3323" s="59">
        <f t="shared" si="29"/>
        <v>0</v>
      </c>
      <c r="L3323" s="59">
        <f t="shared" si="30"/>
        <v>0</v>
      </c>
      <c r="M3323" s="59">
        <f t="shared" si="31"/>
        <v>0</v>
      </c>
    </row>
    <row r="3324" ht="15.0" hidden="1" customHeight="1">
      <c r="A3324" s="59">
        <f t="shared" si="20"/>
        <v>52</v>
      </c>
      <c r="B3324" s="59" t="str">
        <f t="shared" si="21"/>
        <v/>
      </c>
      <c r="C3324" s="59" t="str">
        <f t="shared" si="22"/>
        <v/>
      </c>
      <c r="D3324" s="45" t="str">
        <f t="shared" si="23"/>
        <v/>
      </c>
      <c r="E3324" s="45" t="str">
        <f t="shared" si="24"/>
        <v/>
      </c>
      <c r="F3324" s="59" t="str">
        <f t="shared" si="25"/>
        <v/>
      </c>
      <c r="G3324" s="59" t="str">
        <f t="shared" si="26"/>
        <v/>
      </c>
      <c r="H3324" s="59" t="str">
        <f t="shared" si="27"/>
        <v>28H00003</v>
      </c>
      <c r="I3324" s="59" t="str">
        <f>IF(OR($A3324="",$C3324="",$D3324="",$E3324="",$H3324=""),"",SUMIFS(DATA_GOC!$H:$H,DATA_GOC!$A:$A,"BOM",DATA_GOC!$D:$D,$H3324,DATA_GOC!$E:$E,$C3324,DATA_GOC!$F:$F,"Xuất nội bộ từ téc",DATA_GOC!$B:$B,"&gt;="&amp;$D3324,DATA_GOC!$B:$B,"&lt;="&amp;$E3324))</f>
        <v/>
      </c>
      <c r="J3324" s="59">
        <f t="shared" si="28"/>
        <v>0</v>
      </c>
      <c r="K3324" s="59">
        <f t="shared" si="29"/>
        <v>0</v>
      </c>
      <c r="L3324" s="59">
        <f t="shared" si="30"/>
        <v>0</v>
      </c>
      <c r="M3324" s="59">
        <f t="shared" si="31"/>
        <v>0</v>
      </c>
    </row>
    <row r="3325" ht="15.0" hidden="1" customHeight="1">
      <c r="A3325" s="59">
        <f t="shared" si="20"/>
        <v>52</v>
      </c>
      <c r="B3325" s="59" t="str">
        <f t="shared" si="21"/>
        <v/>
      </c>
      <c r="C3325" s="59" t="str">
        <f t="shared" si="22"/>
        <v/>
      </c>
      <c r="D3325" s="45" t="str">
        <f t="shared" si="23"/>
        <v/>
      </c>
      <c r="E3325" s="45" t="str">
        <f t="shared" si="24"/>
        <v/>
      </c>
      <c r="F3325" s="59" t="str">
        <f t="shared" si="25"/>
        <v/>
      </c>
      <c r="G3325" s="59" t="str">
        <f t="shared" si="26"/>
        <v/>
      </c>
      <c r="H3325" s="59" t="str">
        <f t="shared" si="27"/>
        <v>28H00061</v>
      </c>
      <c r="I3325" s="59" t="str">
        <f>IF(OR($A3325="",$C3325="",$D3325="",$E3325="",$H3325=""),"",SUMIFS(DATA_GOC!$H:$H,DATA_GOC!$A:$A,"BOM",DATA_GOC!$D:$D,$H3325,DATA_GOC!$E:$E,$C3325,DATA_GOC!$F:$F,"Xuất nội bộ từ téc",DATA_GOC!$B:$B,"&gt;="&amp;$D3325,DATA_GOC!$B:$B,"&lt;="&amp;$E3325))</f>
        <v/>
      </c>
      <c r="J3325" s="59">
        <f t="shared" si="28"/>
        <v>0</v>
      </c>
      <c r="K3325" s="59">
        <f t="shared" si="29"/>
        <v>0</v>
      </c>
      <c r="L3325" s="59">
        <f t="shared" si="30"/>
        <v>0</v>
      </c>
      <c r="M3325" s="59">
        <f t="shared" si="31"/>
        <v>0</v>
      </c>
    </row>
    <row r="3326" ht="15.0" hidden="1" customHeight="1">
      <c r="A3326" s="59">
        <f t="shared" si="20"/>
        <v>52</v>
      </c>
      <c r="B3326" s="59" t="str">
        <f t="shared" si="21"/>
        <v/>
      </c>
      <c r="C3326" s="59" t="str">
        <f t="shared" si="22"/>
        <v/>
      </c>
      <c r="D3326" s="45" t="str">
        <f t="shared" si="23"/>
        <v/>
      </c>
      <c r="E3326" s="45" t="str">
        <f t="shared" si="24"/>
        <v/>
      </c>
      <c r="F3326" s="59" t="str">
        <f t="shared" si="25"/>
        <v/>
      </c>
      <c r="G3326" s="59" t="str">
        <f t="shared" si="26"/>
        <v/>
      </c>
      <c r="H3326" s="59" t="str">
        <f t="shared" si="27"/>
        <v>28H00354</v>
      </c>
      <c r="I3326" s="59" t="str">
        <f>IF(OR($A3326="",$C3326="",$D3326="",$E3326="",$H3326=""),"",SUMIFS(DATA_GOC!$H:$H,DATA_GOC!$A:$A,"BOM",DATA_GOC!$D:$D,$H3326,DATA_GOC!$E:$E,$C3326,DATA_GOC!$F:$F,"Xuất nội bộ từ téc",DATA_GOC!$B:$B,"&gt;="&amp;$D3326,DATA_GOC!$B:$B,"&lt;="&amp;$E3326))</f>
        <v/>
      </c>
      <c r="J3326" s="59">
        <f t="shared" si="28"/>
        <v>0</v>
      </c>
      <c r="K3326" s="59">
        <f t="shared" si="29"/>
        <v>0</v>
      </c>
      <c r="L3326" s="59">
        <f t="shared" si="30"/>
        <v>0</v>
      </c>
      <c r="M3326" s="59">
        <f t="shared" si="31"/>
        <v>0</v>
      </c>
    </row>
    <row r="3327" ht="15.0" hidden="1" customHeight="1">
      <c r="A3327" s="59">
        <f t="shared" si="20"/>
        <v>52</v>
      </c>
      <c r="B3327" s="59" t="str">
        <f t="shared" si="21"/>
        <v/>
      </c>
      <c r="C3327" s="59" t="str">
        <f t="shared" si="22"/>
        <v/>
      </c>
      <c r="D3327" s="45" t="str">
        <f t="shared" si="23"/>
        <v/>
      </c>
      <c r="E3327" s="45" t="str">
        <f t="shared" si="24"/>
        <v/>
      </c>
      <c r="F3327" s="59" t="str">
        <f t="shared" si="25"/>
        <v/>
      </c>
      <c r="G3327" s="59" t="str">
        <f t="shared" si="26"/>
        <v/>
      </c>
      <c r="H3327" s="59" t="str">
        <f t="shared" si="27"/>
        <v>28H00603</v>
      </c>
      <c r="I3327" s="59" t="str">
        <f>IF(OR($A3327="",$C3327="",$D3327="",$E3327="",$H3327=""),"",SUMIFS(DATA_GOC!$H:$H,DATA_GOC!$A:$A,"BOM",DATA_GOC!$D:$D,$H3327,DATA_GOC!$E:$E,$C3327,DATA_GOC!$F:$F,"Xuất nội bộ từ téc",DATA_GOC!$B:$B,"&gt;="&amp;$D3327,DATA_GOC!$B:$B,"&lt;="&amp;$E3327))</f>
        <v/>
      </c>
      <c r="J3327" s="59">
        <f t="shared" si="28"/>
        <v>0</v>
      </c>
      <c r="K3327" s="59">
        <f t="shared" si="29"/>
        <v>0</v>
      </c>
      <c r="L3327" s="59">
        <f t="shared" si="30"/>
        <v>0</v>
      </c>
      <c r="M3327" s="59">
        <f t="shared" si="31"/>
        <v>0</v>
      </c>
    </row>
    <row r="3328" ht="15.0" hidden="1" customHeight="1">
      <c r="A3328" s="59">
        <f t="shared" si="20"/>
        <v>52</v>
      </c>
      <c r="B3328" s="59" t="str">
        <f t="shared" si="21"/>
        <v/>
      </c>
      <c r="C3328" s="59" t="str">
        <f t="shared" si="22"/>
        <v/>
      </c>
      <c r="D3328" s="45" t="str">
        <f t="shared" si="23"/>
        <v/>
      </c>
      <c r="E3328" s="45" t="str">
        <f t="shared" si="24"/>
        <v/>
      </c>
      <c r="F3328" s="59" t="str">
        <f t="shared" si="25"/>
        <v/>
      </c>
      <c r="G3328" s="59" t="str">
        <f t="shared" si="26"/>
        <v/>
      </c>
      <c r="H3328" s="59" t="str">
        <f t="shared" si="27"/>
        <v>28H00609</v>
      </c>
      <c r="I3328" s="59" t="str">
        <f>IF(OR($A3328="",$C3328="",$D3328="",$E3328="",$H3328=""),"",SUMIFS(DATA_GOC!$H:$H,DATA_GOC!$A:$A,"BOM",DATA_GOC!$D:$D,$H3328,DATA_GOC!$E:$E,$C3328,DATA_GOC!$F:$F,"Xuất nội bộ từ téc",DATA_GOC!$B:$B,"&gt;="&amp;$D3328,DATA_GOC!$B:$B,"&lt;="&amp;$E3328))</f>
        <v/>
      </c>
      <c r="J3328" s="59">
        <f t="shared" si="28"/>
        <v>0</v>
      </c>
      <c r="K3328" s="59">
        <f t="shared" si="29"/>
        <v>0</v>
      </c>
      <c r="L3328" s="59">
        <f t="shared" si="30"/>
        <v>0</v>
      </c>
      <c r="M3328" s="59">
        <f t="shared" si="31"/>
        <v>0</v>
      </c>
    </row>
    <row r="3329" ht="15.0" hidden="1" customHeight="1">
      <c r="A3329" s="59">
        <f t="shared" si="20"/>
        <v>52</v>
      </c>
      <c r="B3329" s="59" t="str">
        <f t="shared" si="21"/>
        <v/>
      </c>
      <c r="C3329" s="59" t="str">
        <f t="shared" si="22"/>
        <v/>
      </c>
      <c r="D3329" s="45" t="str">
        <f t="shared" si="23"/>
        <v/>
      </c>
      <c r="E3329" s="45" t="str">
        <f t="shared" si="24"/>
        <v/>
      </c>
      <c r="F3329" s="59" t="str">
        <f t="shared" si="25"/>
        <v/>
      </c>
      <c r="G3329" s="59" t="str">
        <f t="shared" si="26"/>
        <v/>
      </c>
      <c r="H3329" s="59" t="str">
        <f t="shared" si="27"/>
        <v>28H00669</v>
      </c>
      <c r="I3329" s="59" t="str">
        <f>IF(OR($A3329="",$C3329="",$D3329="",$E3329="",$H3329=""),"",SUMIFS(DATA_GOC!$H:$H,DATA_GOC!$A:$A,"BOM",DATA_GOC!$D:$D,$H3329,DATA_GOC!$E:$E,$C3329,DATA_GOC!$F:$F,"Xuất nội bộ từ téc",DATA_GOC!$B:$B,"&gt;="&amp;$D3329,DATA_GOC!$B:$B,"&lt;="&amp;$E3329))</f>
        <v/>
      </c>
      <c r="J3329" s="59">
        <f t="shared" si="28"/>
        <v>0</v>
      </c>
      <c r="K3329" s="59">
        <f t="shared" si="29"/>
        <v>0</v>
      </c>
      <c r="L3329" s="59">
        <f t="shared" si="30"/>
        <v>0</v>
      </c>
      <c r="M3329" s="59">
        <f t="shared" si="31"/>
        <v>0</v>
      </c>
    </row>
    <row r="3330" ht="15.0" hidden="1" customHeight="1">
      <c r="A3330" s="59">
        <f t="shared" si="20"/>
        <v>52</v>
      </c>
      <c r="B3330" s="59" t="str">
        <f t="shared" si="21"/>
        <v/>
      </c>
      <c r="C3330" s="59" t="str">
        <f t="shared" si="22"/>
        <v/>
      </c>
      <c r="D3330" s="45" t="str">
        <f t="shared" si="23"/>
        <v/>
      </c>
      <c r="E3330" s="45" t="str">
        <f t="shared" si="24"/>
        <v/>
      </c>
      <c r="F3330" s="59" t="str">
        <f t="shared" si="25"/>
        <v/>
      </c>
      <c r="G3330" s="59" t="str">
        <f t="shared" si="26"/>
        <v/>
      </c>
      <c r="H3330" s="59" t="str">
        <f t="shared" si="27"/>
        <v>28H00680</v>
      </c>
      <c r="I3330" s="59" t="str">
        <f>IF(OR($A3330="",$C3330="",$D3330="",$E3330="",$H3330=""),"",SUMIFS(DATA_GOC!$H:$H,DATA_GOC!$A:$A,"BOM",DATA_GOC!$D:$D,$H3330,DATA_GOC!$E:$E,$C3330,DATA_GOC!$F:$F,"Xuất nội bộ từ téc",DATA_GOC!$B:$B,"&gt;="&amp;$D3330,DATA_GOC!$B:$B,"&lt;="&amp;$E3330))</f>
        <v/>
      </c>
      <c r="J3330" s="59">
        <f t="shared" si="28"/>
        <v>0</v>
      </c>
      <c r="K3330" s="59">
        <f t="shared" si="29"/>
        <v>0</v>
      </c>
      <c r="L3330" s="59">
        <f t="shared" si="30"/>
        <v>0</v>
      </c>
      <c r="M3330" s="59">
        <f t="shared" si="31"/>
        <v>0</v>
      </c>
    </row>
    <row r="3331" ht="15.0" hidden="1" customHeight="1">
      <c r="A3331" s="59">
        <f t="shared" si="20"/>
        <v>52</v>
      </c>
      <c r="B3331" s="59" t="str">
        <f t="shared" si="21"/>
        <v/>
      </c>
      <c r="C3331" s="59" t="str">
        <f t="shared" si="22"/>
        <v/>
      </c>
      <c r="D3331" s="45" t="str">
        <f t="shared" si="23"/>
        <v/>
      </c>
      <c r="E3331" s="45" t="str">
        <f t="shared" si="24"/>
        <v/>
      </c>
      <c r="F3331" s="59" t="str">
        <f t="shared" si="25"/>
        <v/>
      </c>
      <c r="G3331" s="59" t="str">
        <f t="shared" si="26"/>
        <v/>
      </c>
      <c r="H3331" s="59" t="str">
        <f t="shared" si="27"/>
        <v>28H01070</v>
      </c>
      <c r="I3331" s="59" t="str">
        <f>IF(OR($A3331="",$C3331="",$D3331="",$E3331="",$H3331=""),"",SUMIFS(DATA_GOC!$H:$H,DATA_GOC!$A:$A,"BOM",DATA_GOC!$D:$D,$H3331,DATA_GOC!$E:$E,$C3331,DATA_GOC!$F:$F,"Xuất nội bộ từ téc",DATA_GOC!$B:$B,"&gt;="&amp;$D3331,DATA_GOC!$B:$B,"&lt;="&amp;$E3331))</f>
        <v/>
      </c>
      <c r="J3331" s="59">
        <f t="shared" si="28"/>
        <v>0</v>
      </c>
      <c r="K3331" s="59">
        <f t="shared" si="29"/>
        <v>0</v>
      </c>
      <c r="L3331" s="59">
        <f t="shared" si="30"/>
        <v>0</v>
      </c>
      <c r="M3331" s="59">
        <f t="shared" si="31"/>
        <v>0</v>
      </c>
    </row>
    <row r="3332" ht="15.0" hidden="1" customHeight="1">
      <c r="A3332" s="59">
        <f t="shared" si="20"/>
        <v>52</v>
      </c>
      <c r="B3332" s="59" t="str">
        <f t="shared" si="21"/>
        <v/>
      </c>
      <c r="C3332" s="59" t="str">
        <f t="shared" si="22"/>
        <v/>
      </c>
      <c r="D3332" s="45" t="str">
        <f t="shared" si="23"/>
        <v/>
      </c>
      <c r="E3332" s="45" t="str">
        <f t="shared" si="24"/>
        <v/>
      </c>
      <c r="F3332" s="59" t="str">
        <f t="shared" si="25"/>
        <v/>
      </c>
      <c r="G3332" s="59" t="str">
        <f t="shared" si="26"/>
        <v/>
      </c>
      <c r="H3332" s="59" t="str">
        <f t="shared" si="27"/>
        <v>28H01364</v>
      </c>
      <c r="I3332" s="59" t="str">
        <f>IF(OR($A3332="",$C3332="",$D3332="",$E3332="",$H3332=""),"",SUMIFS(DATA_GOC!$H:$H,DATA_GOC!$A:$A,"BOM",DATA_GOC!$D:$D,$H3332,DATA_GOC!$E:$E,$C3332,DATA_GOC!$F:$F,"Xuất nội bộ từ téc",DATA_GOC!$B:$B,"&gt;="&amp;$D3332,DATA_GOC!$B:$B,"&lt;="&amp;$E3332))</f>
        <v/>
      </c>
      <c r="J3332" s="59">
        <f t="shared" si="28"/>
        <v>0</v>
      </c>
      <c r="K3332" s="59">
        <f t="shared" si="29"/>
        <v>0</v>
      </c>
      <c r="L3332" s="59">
        <f t="shared" si="30"/>
        <v>0</v>
      </c>
      <c r="M3332" s="59">
        <f t="shared" si="31"/>
        <v>0</v>
      </c>
    </row>
    <row r="3333" ht="15.0" hidden="1" customHeight="1">
      <c r="A3333" s="59">
        <f t="shared" si="20"/>
        <v>52</v>
      </c>
      <c r="B3333" s="59" t="str">
        <f t="shared" si="21"/>
        <v/>
      </c>
      <c r="C3333" s="59" t="str">
        <f t="shared" si="22"/>
        <v/>
      </c>
      <c r="D3333" s="45" t="str">
        <f t="shared" si="23"/>
        <v/>
      </c>
      <c r="E3333" s="45" t="str">
        <f t="shared" si="24"/>
        <v/>
      </c>
      <c r="F3333" s="59" t="str">
        <f t="shared" si="25"/>
        <v/>
      </c>
      <c r="G3333" s="59" t="str">
        <f t="shared" si="26"/>
        <v/>
      </c>
      <c r="H3333" s="59" t="str">
        <f t="shared" si="27"/>
        <v>29E17269</v>
      </c>
      <c r="I3333" s="59" t="str">
        <f>IF(OR($A3333="",$C3333="",$D3333="",$E3333="",$H3333=""),"",SUMIFS(DATA_GOC!$H:$H,DATA_GOC!$A:$A,"BOM",DATA_GOC!$D:$D,$H3333,DATA_GOC!$E:$E,$C3333,DATA_GOC!$F:$F,"Xuất nội bộ từ téc",DATA_GOC!$B:$B,"&gt;="&amp;$D3333,DATA_GOC!$B:$B,"&lt;="&amp;$E3333))</f>
        <v/>
      </c>
      <c r="J3333" s="59">
        <f t="shared" si="28"/>
        <v>0</v>
      </c>
      <c r="K3333" s="59">
        <f t="shared" si="29"/>
        <v>0</v>
      </c>
      <c r="L3333" s="59">
        <f t="shared" si="30"/>
        <v>0</v>
      </c>
      <c r="M3333" s="59">
        <f t="shared" si="31"/>
        <v>0</v>
      </c>
    </row>
    <row r="3334" ht="15.0" hidden="1" customHeight="1">
      <c r="A3334" s="59">
        <f t="shared" si="20"/>
        <v>52</v>
      </c>
      <c r="B3334" s="59" t="str">
        <f t="shared" si="21"/>
        <v/>
      </c>
      <c r="C3334" s="59" t="str">
        <f t="shared" si="22"/>
        <v/>
      </c>
      <c r="D3334" s="45" t="str">
        <f t="shared" si="23"/>
        <v/>
      </c>
      <c r="E3334" s="45" t="str">
        <f t="shared" si="24"/>
        <v/>
      </c>
      <c r="F3334" s="59" t="str">
        <f t="shared" si="25"/>
        <v/>
      </c>
      <c r="G3334" s="59" t="str">
        <f t="shared" si="26"/>
        <v/>
      </c>
      <c r="H3334" s="59" t="str">
        <f t="shared" si="27"/>
        <v>29E17273</v>
      </c>
      <c r="I3334" s="59" t="str">
        <f>IF(OR($A3334="",$C3334="",$D3334="",$E3334="",$H3334=""),"",SUMIFS(DATA_GOC!$H:$H,DATA_GOC!$A:$A,"BOM",DATA_GOC!$D:$D,$H3334,DATA_GOC!$E:$E,$C3334,DATA_GOC!$F:$F,"Xuất nội bộ từ téc",DATA_GOC!$B:$B,"&gt;="&amp;$D3334,DATA_GOC!$B:$B,"&lt;="&amp;$E3334))</f>
        <v/>
      </c>
      <c r="J3334" s="59">
        <f t="shared" si="28"/>
        <v>0</v>
      </c>
      <c r="K3334" s="59">
        <f t="shared" si="29"/>
        <v>0</v>
      </c>
      <c r="L3334" s="59">
        <f t="shared" si="30"/>
        <v>0</v>
      </c>
      <c r="M3334" s="59">
        <f t="shared" si="31"/>
        <v>0</v>
      </c>
    </row>
    <row r="3335" ht="15.0" hidden="1" customHeight="1">
      <c r="A3335" s="59">
        <f t="shared" si="20"/>
        <v>52</v>
      </c>
      <c r="B3335" s="59" t="str">
        <f t="shared" si="21"/>
        <v/>
      </c>
      <c r="C3335" s="59" t="str">
        <f t="shared" si="22"/>
        <v/>
      </c>
      <c r="D3335" s="45" t="str">
        <f t="shared" si="23"/>
        <v/>
      </c>
      <c r="E3335" s="45" t="str">
        <f t="shared" si="24"/>
        <v/>
      </c>
      <c r="F3335" s="59" t="str">
        <f t="shared" si="25"/>
        <v/>
      </c>
      <c r="G3335" s="59" t="str">
        <f t="shared" si="26"/>
        <v/>
      </c>
      <c r="H3335" s="59" t="str">
        <f t="shared" si="27"/>
        <v>29E17410</v>
      </c>
      <c r="I3335" s="59" t="str">
        <f>IF(OR($A3335="",$C3335="",$D3335="",$E3335="",$H3335=""),"",SUMIFS(DATA_GOC!$H:$H,DATA_GOC!$A:$A,"BOM",DATA_GOC!$D:$D,$H3335,DATA_GOC!$E:$E,$C3335,DATA_GOC!$F:$F,"Xuất nội bộ từ téc",DATA_GOC!$B:$B,"&gt;="&amp;$D3335,DATA_GOC!$B:$B,"&lt;="&amp;$E3335))</f>
        <v/>
      </c>
      <c r="J3335" s="59">
        <f t="shared" si="28"/>
        <v>0</v>
      </c>
      <c r="K3335" s="59">
        <f t="shared" si="29"/>
        <v>0</v>
      </c>
      <c r="L3335" s="59">
        <f t="shared" si="30"/>
        <v>0</v>
      </c>
      <c r="M3335" s="59">
        <f t="shared" si="31"/>
        <v>0</v>
      </c>
    </row>
    <row r="3336" ht="15.0" hidden="1" customHeight="1">
      <c r="A3336" s="59">
        <f t="shared" si="20"/>
        <v>52</v>
      </c>
      <c r="B3336" s="59" t="str">
        <f t="shared" si="21"/>
        <v/>
      </c>
      <c r="C3336" s="59" t="str">
        <f t="shared" si="22"/>
        <v/>
      </c>
      <c r="D3336" s="45" t="str">
        <f t="shared" si="23"/>
        <v/>
      </c>
      <c r="E3336" s="45" t="str">
        <f t="shared" si="24"/>
        <v/>
      </c>
      <c r="F3336" s="59" t="str">
        <f t="shared" si="25"/>
        <v/>
      </c>
      <c r="G3336" s="59" t="str">
        <f t="shared" si="26"/>
        <v/>
      </c>
      <c r="H3336" s="59" t="str">
        <f t="shared" si="27"/>
        <v>29E17417</v>
      </c>
      <c r="I3336" s="59" t="str">
        <f>IF(OR($A3336="",$C3336="",$D3336="",$E3336="",$H3336=""),"",SUMIFS(DATA_GOC!$H:$H,DATA_GOC!$A:$A,"BOM",DATA_GOC!$D:$D,$H3336,DATA_GOC!$E:$E,$C3336,DATA_GOC!$F:$F,"Xuất nội bộ từ téc",DATA_GOC!$B:$B,"&gt;="&amp;$D3336,DATA_GOC!$B:$B,"&lt;="&amp;$E3336))</f>
        <v/>
      </c>
      <c r="J3336" s="59">
        <f t="shared" si="28"/>
        <v>0</v>
      </c>
      <c r="K3336" s="59">
        <f t="shared" si="29"/>
        <v>0</v>
      </c>
      <c r="L3336" s="59">
        <f t="shared" si="30"/>
        <v>0</v>
      </c>
      <c r="M3336" s="59">
        <f t="shared" si="31"/>
        <v>0</v>
      </c>
    </row>
    <row r="3337" ht="15.0" hidden="1" customHeight="1">
      <c r="A3337" s="59">
        <f t="shared" si="20"/>
        <v>52</v>
      </c>
      <c r="B3337" s="59" t="str">
        <f t="shared" si="21"/>
        <v/>
      </c>
      <c r="C3337" s="59" t="str">
        <f t="shared" si="22"/>
        <v/>
      </c>
      <c r="D3337" s="45" t="str">
        <f t="shared" si="23"/>
        <v/>
      </c>
      <c r="E3337" s="45" t="str">
        <f t="shared" si="24"/>
        <v/>
      </c>
      <c r="F3337" s="59" t="str">
        <f t="shared" si="25"/>
        <v/>
      </c>
      <c r="G3337" s="59" t="str">
        <f t="shared" si="26"/>
        <v/>
      </c>
      <c r="H3337" s="59" t="str">
        <f t="shared" si="27"/>
        <v>29E17539</v>
      </c>
      <c r="I3337" s="59" t="str">
        <f>IF(OR($A3337="",$C3337="",$D3337="",$E3337="",$H3337=""),"",SUMIFS(DATA_GOC!$H:$H,DATA_GOC!$A:$A,"BOM",DATA_GOC!$D:$D,$H3337,DATA_GOC!$E:$E,$C3337,DATA_GOC!$F:$F,"Xuất nội bộ từ téc",DATA_GOC!$B:$B,"&gt;="&amp;$D3337,DATA_GOC!$B:$B,"&lt;="&amp;$E3337))</f>
        <v/>
      </c>
      <c r="J3337" s="59">
        <f t="shared" si="28"/>
        <v>0</v>
      </c>
      <c r="K3337" s="59">
        <f t="shared" si="29"/>
        <v>0</v>
      </c>
      <c r="L3337" s="59">
        <f t="shared" si="30"/>
        <v>0</v>
      </c>
      <c r="M3337" s="59">
        <f t="shared" si="31"/>
        <v>0</v>
      </c>
    </row>
    <row r="3338" ht="15.0" hidden="1" customHeight="1">
      <c r="A3338" s="59">
        <f t="shared" si="20"/>
        <v>52</v>
      </c>
      <c r="B3338" s="59" t="str">
        <f t="shared" si="21"/>
        <v/>
      </c>
      <c r="C3338" s="59" t="str">
        <f t="shared" si="22"/>
        <v/>
      </c>
      <c r="D3338" s="45" t="str">
        <f t="shared" si="23"/>
        <v/>
      </c>
      <c r="E3338" s="45" t="str">
        <f t="shared" si="24"/>
        <v/>
      </c>
      <c r="F3338" s="59" t="str">
        <f t="shared" si="25"/>
        <v/>
      </c>
      <c r="G3338" s="59" t="str">
        <f t="shared" si="26"/>
        <v/>
      </c>
      <c r="H3338" s="59" t="str">
        <f t="shared" si="27"/>
        <v>29E18160</v>
      </c>
      <c r="I3338" s="59" t="str">
        <f>IF(OR($A3338="",$C3338="",$D3338="",$E3338="",$H3338=""),"",SUMIFS(DATA_GOC!$H:$H,DATA_GOC!$A:$A,"BOM",DATA_GOC!$D:$D,$H3338,DATA_GOC!$E:$E,$C3338,DATA_GOC!$F:$F,"Xuất nội bộ từ téc",DATA_GOC!$B:$B,"&gt;="&amp;$D3338,DATA_GOC!$B:$B,"&lt;="&amp;$E3338))</f>
        <v/>
      </c>
      <c r="J3338" s="59">
        <f t="shared" si="28"/>
        <v>0</v>
      </c>
      <c r="K3338" s="59">
        <f t="shared" si="29"/>
        <v>0</v>
      </c>
      <c r="L3338" s="59">
        <f t="shared" si="30"/>
        <v>0</v>
      </c>
      <c r="M3338" s="59">
        <f t="shared" si="31"/>
        <v>0</v>
      </c>
    </row>
    <row r="3339" ht="15.0" hidden="1" customHeight="1">
      <c r="A3339" s="59">
        <f t="shared" si="20"/>
        <v>52</v>
      </c>
      <c r="B3339" s="59" t="str">
        <f t="shared" si="21"/>
        <v/>
      </c>
      <c r="C3339" s="59" t="str">
        <f t="shared" si="22"/>
        <v/>
      </c>
      <c r="D3339" s="45" t="str">
        <f t="shared" si="23"/>
        <v/>
      </c>
      <c r="E3339" s="45" t="str">
        <f t="shared" si="24"/>
        <v/>
      </c>
      <c r="F3339" s="59" t="str">
        <f t="shared" si="25"/>
        <v/>
      </c>
      <c r="G3339" s="59" t="str">
        <f t="shared" si="26"/>
        <v/>
      </c>
      <c r="H3339" s="59" t="str">
        <f t="shared" si="27"/>
        <v>Công trình Asphalt</v>
      </c>
      <c r="I3339" s="59" t="str">
        <f>IF(OR($A3339="",$C3339="",$D3339="",$E3339="",$H3339=""),"",SUMIFS(DATA_GOC!$H:$H,DATA_GOC!$A:$A,"BOM",DATA_GOC!$D:$D,$H3339,DATA_GOC!$E:$E,$C3339,DATA_GOC!$F:$F,"Xuất nội bộ từ téc",DATA_GOC!$B:$B,"&gt;="&amp;$D3339,DATA_GOC!$B:$B,"&lt;="&amp;$E3339))</f>
        <v/>
      </c>
      <c r="J3339" s="59">
        <f t="shared" si="28"/>
        <v>0</v>
      </c>
      <c r="K3339" s="59">
        <f t="shared" si="29"/>
        <v>0</v>
      </c>
      <c r="L3339" s="59">
        <f t="shared" si="30"/>
        <v>0</v>
      </c>
      <c r="M3339" s="59">
        <f t="shared" si="31"/>
        <v>0</v>
      </c>
    </row>
    <row r="3340" ht="15.0" hidden="1" customHeight="1">
      <c r="A3340" s="59">
        <f t="shared" si="20"/>
        <v>52</v>
      </c>
      <c r="B3340" s="59" t="str">
        <f t="shared" si="21"/>
        <v/>
      </c>
      <c r="C3340" s="59" t="str">
        <f t="shared" si="22"/>
        <v/>
      </c>
      <c r="D3340" s="45" t="str">
        <f t="shared" si="23"/>
        <v/>
      </c>
      <c r="E3340" s="45" t="str">
        <f t="shared" si="24"/>
        <v/>
      </c>
      <c r="F3340" s="59" t="str">
        <f t="shared" si="25"/>
        <v/>
      </c>
      <c r="G3340" s="59" t="str">
        <f t="shared" si="26"/>
        <v/>
      </c>
      <c r="H3340" s="59" t="str">
        <f t="shared" si="27"/>
        <v>LG53F</v>
      </c>
      <c r="I3340" s="59" t="str">
        <f>IF(OR($A3340="",$C3340="",$D3340="",$E3340="",$H3340=""),"",SUMIFS(DATA_GOC!$H:$H,DATA_GOC!$A:$A,"BOM",DATA_GOC!$D:$D,$H3340,DATA_GOC!$E:$E,$C3340,DATA_GOC!$F:$F,"Xuất nội bộ từ téc",DATA_GOC!$B:$B,"&gt;="&amp;$D3340,DATA_GOC!$B:$B,"&lt;="&amp;$E3340))</f>
        <v/>
      </c>
      <c r="J3340" s="59">
        <f t="shared" si="28"/>
        <v>0</v>
      </c>
      <c r="K3340" s="59">
        <f t="shared" si="29"/>
        <v>0</v>
      </c>
      <c r="L3340" s="59">
        <f t="shared" si="30"/>
        <v>0</v>
      </c>
      <c r="M3340" s="59">
        <f t="shared" si="31"/>
        <v>0</v>
      </c>
    </row>
    <row r="3341" ht="15.0" hidden="1" customHeight="1">
      <c r="A3341" s="59">
        <f t="shared" si="20"/>
        <v>52</v>
      </c>
      <c r="B3341" s="59" t="str">
        <f t="shared" si="21"/>
        <v/>
      </c>
      <c r="C3341" s="59" t="str">
        <f t="shared" si="22"/>
        <v/>
      </c>
      <c r="D3341" s="45" t="str">
        <f t="shared" si="23"/>
        <v/>
      </c>
      <c r="E3341" s="45" t="str">
        <f t="shared" si="24"/>
        <v/>
      </c>
      <c r="F3341" s="59" t="str">
        <f t="shared" si="25"/>
        <v/>
      </c>
      <c r="G3341" s="59" t="str">
        <f t="shared" si="26"/>
        <v/>
      </c>
      <c r="H3341" s="59" t="str">
        <f t="shared" si="27"/>
        <v>Máy phát điện</v>
      </c>
      <c r="I3341" s="59" t="str">
        <f>IF(OR($A3341="",$C3341="",$D3341="",$E3341="",$H3341=""),"",SUMIFS(DATA_GOC!$H:$H,DATA_GOC!$A:$A,"BOM",DATA_GOC!$D:$D,$H3341,DATA_GOC!$E:$E,$C3341,DATA_GOC!$F:$F,"Xuất nội bộ từ téc",DATA_GOC!$B:$B,"&gt;="&amp;$D3341,DATA_GOC!$B:$B,"&lt;="&amp;$E3341))</f>
        <v/>
      </c>
      <c r="J3341" s="59">
        <f t="shared" si="28"/>
        <v>0</v>
      </c>
      <c r="K3341" s="59">
        <f t="shared" si="29"/>
        <v>0</v>
      </c>
      <c r="L3341" s="59">
        <f t="shared" si="30"/>
        <v>0</v>
      </c>
      <c r="M3341" s="59">
        <f t="shared" si="31"/>
        <v>0</v>
      </c>
    </row>
    <row r="3342" ht="15.0" hidden="1" customHeight="1">
      <c r="A3342" s="59">
        <f t="shared" si="20"/>
        <v>52</v>
      </c>
      <c r="B3342" s="59" t="str">
        <f t="shared" si="21"/>
        <v/>
      </c>
      <c r="C3342" s="59" t="str">
        <f t="shared" si="22"/>
        <v/>
      </c>
      <c r="D3342" s="45" t="str">
        <f t="shared" si="23"/>
        <v/>
      </c>
      <c r="E3342" s="45" t="str">
        <f t="shared" si="24"/>
        <v/>
      </c>
      <c r="F3342" s="59" t="str">
        <f t="shared" si="25"/>
        <v/>
      </c>
      <c r="G3342" s="59" t="str">
        <f t="shared" si="26"/>
        <v/>
      </c>
      <c r="H3342" s="59" t="str">
        <f t="shared" si="27"/>
        <v>Máy rải thảm</v>
      </c>
      <c r="I3342" s="59" t="str">
        <f>IF(OR($A3342="",$C3342="",$D3342="",$E3342="",$H3342=""),"",SUMIFS(DATA_GOC!$H:$H,DATA_GOC!$A:$A,"BOM",DATA_GOC!$D:$D,$H3342,DATA_GOC!$E:$E,$C3342,DATA_GOC!$F:$F,"Xuất nội bộ từ téc",DATA_GOC!$B:$B,"&gt;="&amp;$D3342,DATA_GOC!$B:$B,"&lt;="&amp;$E3342))</f>
        <v/>
      </c>
      <c r="J3342" s="59">
        <f t="shared" si="28"/>
        <v>0</v>
      </c>
      <c r="K3342" s="59">
        <f t="shared" si="29"/>
        <v>0</v>
      </c>
      <c r="L3342" s="59">
        <f t="shared" si="30"/>
        <v>0</v>
      </c>
      <c r="M3342" s="59">
        <f t="shared" si="31"/>
        <v>0</v>
      </c>
    </row>
    <row r="3343" ht="15.0" hidden="1" customHeight="1">
      <c r="A3343" s="59">
        <f t="shared" si="20"/>
        <v>52</v>
      </c>
      <c r="B3343" s="59" t="str">
        <f t="shared" si="21"/>
        <v/>
      </c>
      <c r="C3343" s="59" t="str">
        <f t="shared" si="22"/>
        <v/>
      </c>
      <c r="D3343" s="45" t="str">
        <f t="shared" si="23"/>
        <v/>
      </c>
      <c r="E3343" s="45" t="str">
        <f t="shared" si="24"/>
        <v/>
      </c>
      <c r="F3343" s="59" t="str">
        <f t="shared" si="25"/>
        <v/>
      </c>
      <c r="G3343" s="59" t="str">
        <f t="shared" si="26"/>
        <v/>
      </c>
      <c r="H3343" s="59" t="str">
        <f t="shared" si="27"/>
        <v>Xúc Đào</v>
      </c>
      <c r="I3343" s="59" t="str">
        <f>IF(OR($A3343="",$C3343="",$D3343="",$E3343="",$H3343=""),"",SUMIFS(DATA_GOC!$H:$H,DATA_GOC!$A:$A,"BOM",DATA_GOC!$D:$D,$H3343,DATA_GOC!$E:$E,$C3343,DATA_GOC!$F:$F,"Xuất nội bộ từ téc",DATA_GOC!$B:$B,"&gt;="&amp;$D3343,DATA_GOC!$B:$B,"&lt;="&amp;$E3343))</f>
        <v/>
      </c>
      <c r="J3343" s="59">
        <f t="shared" si="28"/>
        <v>0</v>
      </c>
      <c r="K3343" s="59">
        <f t="shared" si="29"/>
        <v>0</v>
      </c>
      <c r="L3343" s="59">
        <f t="shared" si="30"/>
        <v>0</v>
      </c>
      <c r="M3343" s="59">
        <f t="shared" si="31"/>
        <v>0</v>
      </c>
    </row>
    <row r="3344" ht="15.0" hidden="1" customHeight="1">
      <c r="A3344" s="59">
        <f t="shared" si="20"/>
        <v>52</v>
      </c>
      <c r="B3344" s="59" t="str">
        <f t="shared" si="21"/>
        <v/>
      </c>
      <c r="C3344" s="59" t="str">
        <f t="shared" si="22"/>
        <v/>
      </c>
      <c r="D3344" s="45" t="str">
        <f t="shared" si="23"/>
        <v/>
      </c>
      <c r="E3344" s="45" t="str">
        <f t="shared" si="24"/>
        <v/>
      </c>
      <c r="F3344" s="59" t="str">
        <f t="shared" si="25"/>
        <v/>
      </c>
      <c r="G3344" s="59" t="str">
        <f t="shared" si="26"/>
        <v/>
      </c>
      <c r="H3344" s="59" t="str">
        <f t="shared" si="27"/>
        <v>Xúclật asphalt</v>
      </c>
      <c r="I3344" s="59" t="str">
        <f>IF(OR($A3344="",$C3344="",$D3344="",$E3344="",$H3344=""),"",SUMIFS(DATA_GOC!$H:$H,DATA_GOC!$A:$A,"BOM",DATA_GOC!$D:$D,$H3344,DATA_GOC!$E:$E,$C3344,DATA_GOC!$F:$F,"Xuất nội bộ từ téc",DATA_GOC!$B:$B,"&gt;="&amp;$D3344,DATA_GOC!$B:$B,"&lt;="&amp;$E3344))</f>
        <v/>
      </c>
      <c r="J3344" s="59">
        <f t="shared" si="28"/>
        <v>0</v>
      </c>
      <c r="K3344" s="59">
        <f t="shared" si="29"/>
        <v>0</v>
      </c>
      <c r="L3344" s="59">
        <f t="shared" si="30"/>
        <v>0</v>
      </c>
      <c r="M3344" s="59">
        <f t="shared" si="31"/>
        <v>0</v>
      </c>
    </row>
    <row r="3345" ht="15.0" hidden="1" customHeight="1">
      <c r="A3345" s="59">
        <f t="shared" si="20"/>
        <v>52</v>
      </c>
      <c r="B3345" s="59" t="str">
        <f t="shared" si="21"/>
        <v/>
      </c>
      <c r="C3345" s="59" t="str">
        <f t="shared" si="22"/>
        <v/>
      </c>
      <c r="D3345" s="45" t="str">
        <f t="shared" si="23"/>
        <v/>
      </c>
      <c r="E3345" s="45" t="str">
        <f t="shared" si="24"/>
        <v/>
      </c>
      <c r="F3345" s="59" t="str">
        <f t="shared" si="25"/>
        <v/>
      </c>
      <c r="G3345" s="59" t="str">
        <f t="shared" si="26"/>
        <v/>
      </c>
      <c r="H3345" s="59" t="str">
        <f t="shared" si="27"/>
        <v>Xúclật855H</v>
      </c>
      <c r="I3345" s="59" t="str">
        <f>IF(OR($A3345="",$C3345="",$D3345="",$E3345="",$H3345=""),"",SUMIFS(DATA_GOC!$H:$H,DATA_GOC!$A:$A,"BOM",DATA_GOC!$D:$D,$H3345,DATA_GOC!$E:$E,$C3345,DATA_GOC!$F:$F,"Xuất nội bộ từ téc",DATA_GOC!$B:$B,"&gt;="&amp;$D3345,DATA_GOC!$B:$B,"&lt;="&amp;$E3345))</f>
        <v/>
      </c>
      <c r="J3345" s="59">
        <f t="shared" si="28"/>
        <v>0</v>
      </c>
      <c r="K3345" s="59">
        <f t="shared" si="29"/>
        <v>0</v>
      </c>
      <c r="L3345" s="59">
        <f t="shared" si="30"/>
        <v>0</v>
      </c>
      <c r="M3345" s="59">
        <f t="shared" si="31"/>
        <v>0</v>
      </c>
    </row>
    <row r="3346" ht="15.0" hidden="1" customHeight="1">
      <c r="A3346" s="59">
        <f t="shared" si="20"/>
        <v>52</v>
      </c>
      <c r="B3346" s="59" t="str">
        <f t="shared" si="21"/>
        <v/>
      </c>
      <c r="C3346" s="59" t="str">
        <f t="shared" si="22"/>
        <v/>
      </c>
      <c r="D3346" s="45" t="str">
        <f t="shared" si="23"/>
        <v/>
      </c>
      <c r="E3346" s="45" t="str">
        <f t="shared" si="24"/>
        <v/>
      </c>
      <c r="F3346" s="59" t="str">
        <f t="shared" si="25"/>
        <v/>
      </c>
      <c r="G3346" s="59" t="str">
        <f t="shared" si="26"/>
        <v/>
      </c>
      <c r="H3346" s="59" t="str">
        <f t="shared" si="27"/>
        <v>Xúclật855N</v>
      </c>
      <c r="I3346" s="59" t="str">
        <f>IF(OR($A3346="",$C3346="",$D3346="",$E3346="",$H3346=""),"",SUMIFS(DATA_GOC!$H:$H,DATA_GOC!$A:$A,"BOM",DATA_GOC!$D:$D,$H3346,DATA_GOC!$E:$E,$C3346,DATA_GOC!$F:$F,"Xuất nội bộ từ téc",DATA_GOC!$B:$B,"&gt;="&amp;$D3346,DATA_GOC!$B:$B,"&lt;="&amp;$E3346))</f>
        <v/>
      </c>
      <c r="J3346" s="59">
        <f t="shared" si="28"/>
        <v>0</v>
      </c>
      <c r="K3346" s="59">
        <f t="shared" si="29"/>
        <v>0</v>
      </c>
      <c r="L3346" s="59">
        <f t="shared" si="30"/>
        <v>0</v>
      </c>
      <c r="M3346" s="59">
        <f t="shared" si="31"/>
        <v>0</v>
      </c>
    </row>
    <row r="3347" ht="15.0" hidden="1" customHeight="1">
      <c r="A3347" s="59">
        <f t="shared" si="20"/>
        <v>52</v>
      </c>
      <c r="B3347" s="59" t="str">
        <f t="shared" si="21"/>
        <v/>
      </c>
      <c r="C3347" s="59" t="str">
        <f t="shared" si="22"/>
        <v/>
      </c>
      <c r="D3347" s="45" t="str">
        <f t="shared" si="23"/>
        <v/>
      </c>
      <c r="E3347" s="45" t="str">
        <f t="shared" si="24"/>
        <v/>
      </c>
      <c r="F3347" s="59" t="str">
        <f t="shared" si="25"/>
        <v/>
      </c>
      <c r="G3347" s="59" t="str">
        <f t="shared" si="26"/>
        <v/>
      </c>
      <c r="H3347" s="59" t="str">
        <f t="shared" si="27"/>
        <v>Cát nghiền</v>
      </c>
      <c r="I3347" s="59" t="str">
        <f>IF(OR($A3347="",$C3347="",$D3347="",$E3347="",$H3347=""),"",SUMIFS(DATA_GOC!$H:$H,DATA_GOC!$A:$A,"BOM",DATA_GOC!$D:$D,$H3347,DATA_GOC!$E:$E,$C3347,DATA_GOC!$F:$F,"Xuất nội bộ từ téc",DATA_GOC!$B:$B,"&gt;="&amp;$D3347,DATA_GOC!$B:$B,"&lt;="&amp;$E3347))</f>
        <v/>
      </c>
      <c r="J3347" s="59">
        <f t="shared" si="28"/>
        <v>0</v>
      </c>
      <c r="K3347" s="59">
        <f t="shared" si="29"/>
        <v>0</v>
      </c>
      <c r="L3347" s="59">
        <f t="shared" si="30"/>
        <v>0</v>
      </c>
      <c r="M3347" s="59">
        <f t="shared" si="31"/>
        <v>0</v>
      </c>
    </row>
    <row r="3348" ht="15.0" hidden="1" customHeight="1">
      <c r="A3348" s="59">
        <f t="shared" si="20"/>
        <v>52</v>
      </c>
      <c r="B3348" s="59" t="str">
        <f t="shared" si="21"/>
        <v/>
      </c>
      <c r="C3348" s="59" t="str">
        <f t="shared" si="22"/>
        <v/>
      </c>
      <c r="D3348" s="45" t="str">
        <f t="shared" si="23"/>
        <v/>
      </c>
      <c r="E3348" s="45" t="str">
        <f t="shared" si="24"/>
        <v/>
      </c>
      <c r="F3348" s="59" t="str">
        <f t="shared" si="25"/>
        <v/>
      </c>
      <c r="G3348" s="59" t="str">
        <f t="shared" si="26"/>
        <v/>
      </c>
      <c r="H3348" s="59" t="str">
        <f t="shared" si="27"/>
        <v>28C02973</v>
      </c>
      <c r="I3348" s="59" t="str">
        <f>IF(OR($A3348="",$C3348="",$D3348="",$E3348="",$H3348=""),"",SUMIFS(DATA_GOC!$H:$H,DATA_GOC!$A:$A,"BOM",DATA_GOC!$D:$D,$H3348,DATA_GOC!$E:$E,$C3348,DATA_GOC!$F:$F,"Xuất nội bộ từ téc",DATA_GOC!$B:$B,"&gt;="&amp;$D3348,DATA_GOC!$B:$B,"&lt;="&amp;$E3348))</f>
        <v/>
      </c>
      <c r="J3348" s="59">
        <f t="shared" si="28"/>
        <v>0</v>
      </c>
      <c r="K3348" s="59">
        <f t="shared" si="29"/>
        <v>0</v>
      </c>
      <c r="L3348" s="59">
        <f t="shared" si="30"/>
        <v>0</v>
      </c>
      <c r="M3348" s="59">
        <f t="shared" si="31"/>
        <v>0</v>
      </c>
    </row>
    <row r="3349" ht="15.0" hidden="1" customHeight="1">
      <c r="A3349" s="59">
        <f t="shared" si="20"/>
        <v>52</v>
      </c>
      <c r="B3349" s="59" t="str">
        <f t="shared" si="21"/>
        <v/>
      </c>
      <c r="C3349" s="59" t="str">
        <f t="shared" si="22"/>
        <v/>
      </c>
      <c r="D3349" s="45" t="str">
        <f t="shared" si="23"/>
        <v/>
      </c>
      <c r="E3349" s="45" t="str">
        <f t="shared" si="24"/>
        <v/>
      </c>
      <c r="F3349" s="59" t="str">
        <f t="shared" si="25"/>
        <v/>
      </c>
      <c r="G3349" s="59" t="str">
        <f t="shared" si="26"/>
        <v/>
      </c>
      <c r="H3349" s="59" t="str">
        <f t="shared" si="27"/>
        <v>28C03044</v>
      </c>
      <c r="I3349" s="59" t="str">
        <f>IF(OR($A3349="",$C3349="",$D3349="",$E3349="",$H3349=""),"",SUMIFS(DATA_GOC!$H:$H,DATA_GOC!$A:$A,"BOM",DATA_GOC!$D:$D,$H3349,DATA_GOC!$E:$E,$C3349,DATA_GOC!$F:$F,"Xuất nội bộ từ téc",DATA_GOC!$B:$B,"&gt;="&amp;$D3349,DATA_GOC!$B:$B,"&lt;="&amp;$E3349))</f>
        <v/>
      </c>
      <c r="J3349" s="59">
        <f t="shared" si="28"/>
        <v>0</v>
      </c>
      <c r="K3349" s="59">
        <f t="shared" si="29"/>
        <v>0</v>
      </c>
      <c r="L3349" s="59">
        <f t="shared" si="30"/>
        <v>0</v>
      </c>
      <c r="M3349" s="59">
        <f t="shared" si="31"/>
        <v>0</v>
      </c>
    </row>
    <row r="3350" ht="15.0" hidden="1" customHeight="1">
      <c r="A3350" s="59">
        <f t="shared" si="20"/>
        <v>52</v>
      </c>
      <c r="B3350" s="59" t="str">
        <f t="shared" si="21"/>
        <v/>
      </c>
      <c r="C3350" s="59" t="str">
        <f t="shared" si="22"/>
        <v/>
      </c>
      <c r="D3350" s="45" t="str">
        <f t="shared" si="23"/>
        <v/>
      </c>
      <c r="E3350" s="45" t="str">
        <f t="shared" si="24"/>
        <v/>
      </c>
      <c r="F3350" s="59" t="str">
        <f t="shared" si="25"/>
        <v/>
      </c>
      <c r="G3350" s="59" t="str">
        <f t="shared" si="26"/>
        <v/>
      </c>
      <c r="H3350" s="59" t="str">
        <f t="shared" si="27"/>
        <v>Máy lu lốp</v>
      </c>
      <c r="I3350" s="59" t="str">
        <f>IF(OR($A3350="",$C3350="",$D3350="",$E3350="",$H3350=""),"",SUMIFS(DATA_GOC!$H:$H,DATA_GOC!$A:$A,"BOM",DATA_GOC!$D:$D,$H3350,DATA_GOC!$E:$E,$C3350,DATA_GOC!$F:$F,"Xuất nội bộ từ téc",DATA_GOC!$B:$B,"&gt;="&amp;$D3350,DATA_GOC!$B:$B,"&lt;="&amp;$E3350))</f>
        <v/>
      </c>
      <c r="J3350" s="59">
        <f t="shared" si="28"/>
        <v>0</v>
      </c>
      <c r="K3350" s="59">
        <f t="shared" si="29"/>
        <v>0</v>
      </c>
      <c r="L3350" s="59">
        <f t="shared" si="30"/>
        <v>0</v>
      </c>
      <c r="M3350" s="59">
        <f t="shared" si="31"/>
        <v>0</v>
      </c>
    </row>
    <row r="3351" ht="15.0" hidden="1" customHeight="1">
      <c r="A3351" s="59">
        <f t="shared" si="20"/>
        <v>52</v>
      </c>
      <c r="B3351" s="59" t="str">
        <f t="shared" si="21"/>
        <v/>
      </c>
      <c r="C3351" s="59" t="str">
        <f t="shared" si="22"/>
        <v/>
      </c>
      <c r="D3351" s="45" t="str">
        <f t="shared" si="23"/>
        <v/>
      </c>
      <c r="E3351" s="45" t="str">
        <f t="shared" si="24"/>
        <v/>
      </c>
      <c r="F3351" s="59" t="str">
        <f t="shared" si="25"/>
        <v/>
      </c>
      <c r="G3351" s="59" t="str">
        <f t="shared" si="26"/>
        <v/>
      </c>
      <c r="H3351" s="59" t="str">
        <f t="shared" si="27"/>
        <v>Xe 600148</v>
      </c>
      <c r="I3351" s="59" t="str">
        <f>IF(OR($A3351="",$C3351="",$D3351="",$E3351="",$H3351=""),"",SUMIFS(DATA_GOC!$H:$H,DATA_GOC!$A:$A,"BOM",DATA_GOC!$D:$D,$H3351,DATA_GOC!$E:$E,$C3351,DATA_GOC!$F:$F,"Xuất nội bộ từ téc",DATA_GOC!$B:$B,"&gt;="&amp;$D3351,DATA_GOC!$B:$B,"&lt;="&amp;$E3351))</f>
        <v/>
      </c>
      <c r="J3351" s="59">
        <f t="shared" si="28"/>
        <v>0</v>
      </c>
      <c r="K3351" s="59">
        <f t="shared" si="29"/>
        <v>0</v>
      </c>
      <c r="L3351" s="59">
        <f t="shared" si="30"/>
        <v>0</v>
      </c>
      <c r="M3351" s="59">
        <f t="shared" si="31"/>
        <v>0</v>
      </c>
    </row>
    <row r="3352" ht="15.0" hidden="1" customHeight="1">
      <c r="A3352" s="59">
        <f t="shared" si="20"/>
        <v>52</v>
      </c>
      <c r="B3352" s="59" t="str">
        <f t="shared" si="21"/>
        <v/>
      </c>
      <c r="C3352" s="59" t="str">
        <f t="shared" si="22"/>
        <v/>
      </c>
      <c r="D3352" s="45" t="str">
        <f t="shared" si="23"/>
        <v/>
      </c>
      <c r="E3352" s="45" t="str">
        <f t="shared" si="24"/>
        <v/>
      </c>
      <c r="F3352" s="59" t="str">
        <f t="shared" si="25"/>
        <v/>
      </c>
      <c r="G3352" s="59" t="str">
        <f t="shared" si="26"/>
        <v/>
      </c>
      <c r="H3352" s="59" t="str">
        <f t="shared" si="27"/>
        <v>Xe ben mới</v>
      </c>
      <c r="I3352" s="59" t="str">
        <f>IF(OR($A3352="",$C3352="",$D3352="",$E3352="",$H3352=""),"",SUMIFS(DATA_GOC!$H:$H,DATA_GOC!$A:$A,"BOM",DATA_GOC!$D:$D,$H3352,DATA_GOC!$E:$E,$C3352,DATA_GOC!$F:$F,"Xuất nội bộ từ téc",DATA_GOC!$B:$B,"&gt;="&amp;$D3352,DATA_GOC!$B:$B,"&lt;="&amp;$E3352))</f>
        <v/>
      </c>
      <c r="J3352" s="59">
        <f t="shared" si="28"/>
        <v>0</v>
      </c>
      <c r="K3352" s="59">
        <f t="shared" si="29"/>
        <v>0</v>
      </c>
      <c r="L3352" s="59">
        <f t="shared" si="30"/>
        <v>0</v>
      </c>
      <c r="M3352" s="59">
        <f t="shared" si="31"/>
        <v>0</v>
      </c>
    </row>
    <row r="3353" ht="15.0" hidden="1" customHeight="1">
      <c r="A3353" s="59">
        <f t="shared" si="20"/>
        <v>53</v>
      </c>
      <c r="B3353" s="59" t="str">
        <f t="shared" si="21"/>
        <v/>
      </c>
      <c r="C3353" s="59" t="str">
        <f t="shared" si="22"/>
        <v/>
      </c>
      <c r="D3353" s="45" t="str">
        <f t="shared" si="23"/>
        <v/>
      </c>
      <c r="E3353" s="45" t="str">
        <f t="shared" si="24"/>
        <v/>
      </c>
      <c r="F3353" s="59" t="str">
        <f t="shared" si="25"/>
        <v/>
      </c>
      <c r="G3353" s="59" t="str">
        <f t="shared" si="26"/>
        <v/>
      </c>
      <c r="H3353" s="59" t="str">
        <f t="shared" si="27"/>
        <v>19H09482</v>
      </c>
      <c r="I3353" s="59" t="str">
        <f>IF(OR($A3353="",$C3353="",$D3353="",$E3353="",$H3353=""),"",SUMIFS(DATA_GOC!$H:$H,DATA_GOC!$A:$A,"BOM",DATA_GOC!$D:$D,$H3353,DATA_GOC!$E:$E,$C3353,DATA_GOC!$F:$F,"Xuất nội bộ từ téc",DATA_GOC!$B:$B,"&gt;="&amp;$D3353,DATA_GOC!$B:$B,"&lt;="&amp;$E3353))</f>
        <v/>
      </c>
      <c r="J3353" s="59">
        <f t="shared" si="28"/>
        <v>0</v>
      </c>
      <c r="K3353" s="59">
        <f t="shared" si="29"/>
        <v>0</v>
      </c>
      <c r="L3353" s="59">
        <f t="shared" si="30"/>
        <v>0</v>
      </c>
      <c r="M3353" s="59">
        <f t="shared" si="31"/>
        <v>0</v>
      </c>
    </row>
    <row r="3354" ht="15.0" hidden="1" customHeight="1">
      <c r="A3354" s="59">
        <f t="shared" si="20"/>
        <v>53</v>
      </c>
      <c r="B3354" s="59" t="str">
        <f t="shared" si="21"/>
        <v/>
      </c>
      <c r="C3354" s="59" t="str">
        <f t="shared" si="22"/>
        <v/>
      </c>
      <c r="D3354" s="45" t="str">
        <f t="shared" si="23"/>
        <v/>
      </c>
      <c r="E3354" s="45" t="str">
        <f t="shared" si="24"/>
        <v/>
      </c>
      <c r="F3354" s="59" t="str">
        <f t="shared" si="25"/>
        <v/>
      </c>
      <c r="G3354" s="59" t="str">
        <f t="shared" si="26"/>
        <v/>
      </c>
      <c r="H3354" s="59" t="str">
        <f t="shared" si="27"/>
        <v>28A30696</v>
      </c>
      <c r="I3354" s="59" t="str">
        <f>IF(OR($A3354="",$C3354="",$D3354="",$E3354="",$H3354=""),"",SUMIFS(DATA_GOC!$H:$H,DATA_GOC!$A:$A,"BOM",DATA_GOC!$D:$D,$H3354,DATA_GOC!$E:$E,$C3354,DATA_GOC!$F:$F,"Xuất nội bộ từ téc",DATA_GOC!$B:$B,"&gt;="&amp;$D3354,DATA_GOC!$B:$B,"&lt;="&amp;$E3354))</f>
        <v/>
      </c>
      <c r="J3354" s="59">
        <f t="shared" si="28"/>
        <v>0</v>
      </c>
      <c r="K3354" s="59">
        <f t="shared" si="29"/>
        <v>0</v>
      </c>
      <c r="L3354" s="59">
        <f t="shared" si="30"/>
        <v>0</v>
      </c>
      <c r="M3354" s="59">
        <f t="shared" si="31"/>
        <v>0</v>
      </c>
    </row>
    <row r="3355" ht="15.0" hidden="1" customHeight="1">
      <c r="A3355" s="59">
        <f t="shared" si="20"/>
        <v>53</v>
      </c>
      <c r="B3355" s="59" t="str">
        <f t="shared" si="21"/>
        <v/>
      </c>
      <c r="C3355" s="59" t="str">
        <f t="shared" si="22"/>
        <v/>
      </c>
      <c r="D3355" s="45" t="str">
        <f t="shared" si="23"/>
        <v/>
      </c>
      <c r="E3355" s="45" t="str">
        <f t="shared" si="24"/>
        <v/>
      </c>
      <c r="F3355" s="59" t="str">
        <f t="shared" si="25"/>
        <v/>
      </c>
      <c r="G3355" s="59" t="str">
        <f t="shared" si="26"/>
        <v/>
      </c>
      <c r="H3355" s="59" t="str">
        <f t="shared" si="27"/>
        <v>28C00462</v>
      </c>
      <c r="I3355" s="59" t="str">
        <f>IF(OR($A3355="",$C3355="",$D3355="",$E3355="",$H3355=""),"",SUMIFS(DATA_GOC!$H:$H,DATA_GOC!$A:$A,"BOM",DATA_GOC!$D:$D,$H3355,DATA_GOC!$E:$E,$C3355,DATA_GOC!$F:$F,"Xuất nội bộ từ téc",DATA_GOC!$B:$B,"&gt;="&amp;$D3355,DATA_GOC!$B:$B,"&lt;="&amp;$E3355))</f>
        <v/>
      </c>
      <c r="J3355" s="59">
        <f t="shared" si="28"/>
        <v>0</v>
      </c>
      <c r="K3355" s="59">
        <f t="shared" si="29"/>
        <v>0</v>
      </c>
      <c r="L3355" s="59">
        <f t="shared" si="30"/>
        <v>0</v>
      </c>
      <c r="M3355" s="59">
        <f t="shared" si="31"/>
        <v>0</v>
      </c>
    </row>
    <row r="3356" ht="15.0" hidden="1" customHeight="1">
      <c r="A3356" s="59">
        <f t="shared" si="20"/>
        <v>53</v>
      </c>
      <c r="B3356" s="59" t="str">
        <f t="shared" si="21"/>
        <v/>
      </c>
      <c r="C3356" s="59" t="str">
        <f t="shared" si="22"/>
        <v/>
      </c>
      <c r="D3356" s="45" t="str">
        <f t="shared" si="23"/>
        <v/>
      </c>
      <c r="E3356" s="45" t="str">
        <f t="shared" si="24"/>
        <v/>
      </c>
      <c r="F3356" s="59" t="str">
        <f t="shared" si="25"/>
        <v/>
      </c>
      <c r="G3356" s="59" t="str">
        <f t="shared" si="26"/>
        <v/>
      </c>
      <c r="H3356" s="59" t="str">
        <f t="shared" si="27"/>
        <v>28C01165</v>
      </c>
      <c r="I3356" s="59" t="str">
        <f>IF(OR($A3356="",$C3356="",$D3356="",$E3356="",$H3356=""),"",SUMIFS(DATA_GOC!$H:$H,DATA_GOC!$A:$A,"BOM",DATA_GOC!$D:$D,$H3356,DATA_GOC!$E:$E,$C3356,DATA_GOC!$F:$F,"Xuất nội bộ từ téc",DATA_GOC!$B:$B,"&gt;="&amp;$D3356,DATA_GOC!$B:$B,"&lt;="&amp;$E3356))</f>
        <v/>
      </c>
      <c r="J3356" s="59">
        <f t="shared" si="28"/>
        <v>0</v>
      </c>
      <c r="K3356" s="59">
        <f t="shared" si="29"/>
        <v>0</v>
      </c>
      <c r="L3356" s="59">
        <f t="shared" si="30"/>
        <v>0</v>
      </c>
      <c r="M3356" s="59">
        <f t="shared" si="31"/>
        <v>0</v>
      </c>
    </row>
    <row r="3357" ht="15.0" hidden="1" customHeight="1">
      <c r="A3357" s="59">
        <f t="shared" si="20"/>
        <v>53</v>
      </c>
      <c r="B3357" s="59" t="str">
        <f t="shared" si="21"/>
        <v/>
      </c>
      <c r="C3357" s="59" t="str">
        <f t="shared" si="22"/>
        <v/>
      </c>
      <c r="D3357" s="45" t="str">
        <f t="shared" si="23"/>
        <v/>
      </c>
      <c r="E3357" s="45" t="str">
        <f t="shared" si="24"/>
        <v/>
      </c>
      <c r="F3357" s="59" t="str">
        <f t="shared" si="25"/>
        <v/>
      </c>
      <c r="G3357" s="59" t="str">
        <f t="shared" si="26"/>
        <v/>
      </c>
      <c r="H3357" s="59" t="str">
        <f t="shared" si="27"/>
        <v>28C01406</v>
      </c>
      <c r="I3357" s="59" t="str">
        <f>IF(OR($A3357="",$C3357="",$D3357="",$E3357="",$H3357=""),"",SUMIFS(DATA_GOC!$H:$H,DATA_GOC!$A:$A,"BOM",DATA_GOC!$D:$D,$H3357,DATA_GOC!$E:$E,$C3357,DATA_GOC!$F:$F,"Xuất nội bộ từ téc",DATA_GOC!$B:$B,"&gt;="&amp;$D3357,DATA_GOC!$B:$B,"&lt;="&amp;$E3357))</f>
        <v/>
      </c>
      <c r="J3357" s="59">
        <f t="shared" si="28"/>
        <v>0</v>
      </c>
      <c r="K3357" s="59">
        <f t="shared" si="29"/>
        <v>0</v>
      </c>
      <c r="L3357" s="59">
        <f t="shared" si="30"/>
        <v>0</v>
      </c>
      <c r="M3357" s="59">
        <f t="shared" si="31"/>
        <v>0</v>
      </c>
    </row>
    <row r="3358" ht="15.0" hidden="1" customHeight="1">
      <c r="A3358" s="59">
        <f t="shared" si="20"/>
        <v>53</v>
      </c>
      <c r="B3358" s="59" t="str">
        <f t="shared" si="21"/>
        <v/>
      </c>
      <c r="C3358" s="59" t="str">
        <f t="shared" si="22"/>
        <v/>
      </c>
      <c r="D3358" s="45" t="str">
        <f t="shared" si="23"/>
        <v/>
      </c>
      <c r="E3358" s="45" t="str">
        <f t="shared" si="24"/>
        <v/>
      </c>
      <c r="F3358" s="59" t="str">
        <f t="shared" si="25"/>
        <v/>
      </c>
      <c r="G3358" s="59" t="str">
        <f t="shared" si="26"/>
        <v/>
      </c>
      <c r="H3358" s="59" t="str">
        <f t="shared" si="27"/>
        <v>28C01544</v>
      </c>
      <c r="I3358" s="59" t="str">
        <f>IF(OR($A3358="",$C3358="",$D3358="",$E3358="",$H3358=""),"",SUMIFS(DATA_GOC!$H:$H,DATA_GOC!$A:$A,"BOM",DATA_GOC!$D:$D,$H3358,DATA_GOC!$E:$E,$C3358,DATA_GOC!$F:$F,"Xuất nội bộ từ téc",DATA_GOC!$B:$B,"&gt;="&amp;$D3358,DATA_GOC!$B:$B,"&lt;="&amp;$E3358))</f>
        <v/>
      </c>
      <c r="J3358" s="59">
        <f t="shared" si="28"/>
        <v>0</v>
      </c>
      <c r="K3358" s="59">
        <f t="shared" si="29"/>
        <v>0</v>
      </c>
      <c r="L3358" s="59">
        <f t="shared" si="30"/>
        <v>0</v>
      </c>
      <c r="M3358" s="59">
        <f t="shared" si="31"/>
        <v>0</v>
      </c>
    </row>
    <row r="3359" ht="15.0" hidden="1" customHeight="1">
      <c r="A3359" s="59">
        <f t="shared" si="20"/>
        <v>53</v>
      </c>
      <c r="B3359" s="59" t="str">
        <f t="shared" si="21"/>
        <v/>
      </c>
      <c r="C3359" s="59" t="str">
        <f t="shared" si="22"/>
        <v/>
      </c>
      <c r="D3359" s="45" t="str">
        <f t="shared" si="23"/>
        <v/>
      </c>
      <c r="E3359" s="45" t="str">
        <f t="shared" si="24"/>
        <v/>
      </c>
      <c r="F3359" s="59" t="str">
        <f t="shared" si="25"/>
        <v/>
      </c>
      <c r="G3359" s="59" t="str">
        <f t="shared" si="26"/>
        <v/>
      </c>
      <c r="H3359" s="59" t="str">
        <f t="shared" si="27"/>
        <v>28C01622</v>
      </c>
      <c r="I3359" s="59" t="str">
        <f>IF(OR($A3359="",$C3359="",$D3359="",$E3359="",$H3359=""),"",SUMIFS(DATA_GOC!$H:$H,DATA_GOC!$A:$A,"BOM",DATA_GOC!$D:$D,$H3359,DATA_GOC!$E:$E,$C3359,DATA_GOC!$F:$F,"Xuất nội bộ từ téc",DATA_GOC!$B:$B,"&gt;="&amp;$D3359,DATA_GOC!$B:$B,"&lt;="&amp;$E3359))</f>
        <v/>
      </c>
      <c r="J3359" s="59">
        <f t="shared" si="28"/>
        <v>0</v>
      </c>
      <c r="K3359" s="59">
        <f t="shared" si="29"/>
        <v>0</v>
      </c>
      <c r="L3359" s="59">
        <f t="shared" si="30"/>
        <v>0</v>
      </c>
      <c r="M3359" s="59">
        <f t="shared" si="31"/>
        <v>0</v>
      </c>
    </row>
    <row r="3360" ht="15.0" hidden="1" customHeight="1">
      <c r="A3360" s="59">
        <f t="shared" si="20"/>
        <v>53</v>
      </c>
      <c r="B3360" s="59" t="str">
        <f t="shared" si="21"/>
        <v/>
      </c>
      <c r="C3360" s="59" t="str">
        <f t="shared" si="22"/>
        <v/>
      </c>
      <c r="D3360" s="45" t="str">
        <f t="shared" si="23"/>
        <v/>
      </c>
      <c r="E3360" s="45" t="str">
        <f t="shared" si="24"/>
        <v/>
      </c>
      <c r="F3360" s="59" t="str">
        <f t="shared" si="25"/>
        <v/>
      </c>
      <c r="G3360" s="59" t="str">
        <f t="shared" si="26"/>
        <v/>
      </c>
      <c r="H3360" s="59" t="str">
        <f t="shared" si="27"/>
        <v>28C01647</v>
      </c>
      <c r="I3360" s="59" t="str">
        <f>IF(OR($A3360="",$C3360="",$D3360="",$E3360="",$H3360=""),"",SUMIFS(DATA_GOC!$H:$H,DATA_GOC!$A:$A,"BOM",DATA_GOC!$D:$D,$H3360,DATA_GOC!$E:$E,$C3360,DATA_GOC!$F:$F,"Xuất nội bộ từ téc",DATA_GOC!$B:$B,"&gt;="&amp;$D3360,DATA_GOC!$B:$B,"&lt;="&amp;$E3360))</f>
        <v/>
      </c>
      <c r="J3360" s="59">
        <f t="shared" si="28"/>
        <v>0</v>
      </c>
      <c r="K3360" s="59">
        <f t="shared" si="29"/>
        <v>0</v>
      </c>
      <c r="L3360" s="59">
        <f t="shared" si="30"/>
        <v>0</v>
      </c>
      <c r="M3360" s="59">
        <f t="shared" si="31"/>
        <v>0</v>
      </c>
    </row>
    <row r="3361" ht="15.0" hidden="1" customHeight="1">
      <c r="A3361" s="59">
        <f t="shared" si="20"/>
        <v>53</v>
      </c>
      <c r="B3361" s="59" t="str">
        <f t="shared" si="21"/>
        <v/>
      </c>
      <c r="C3361" s="59" t="str">
        <f t="shared" si="22"/>
        <v/>
      </c>
      <c r="D3361" s="45" t="str">
        <f t="shared" si="23"/>
        <v/>
      </c>
      <c r="E3361" s="45" t="str">
        <f t="shared" si="24"/>
        <v/>
      </c>
      <c r="F3361" s="59" t="str">
        <f t="shared" si="25"/>
        <v/>
      </c>
      <c r="G3361" s="59" t="str">
        <f t="shared" si="26"/>
        <v/>
      </c>
      <c r="H3361" s="59" t="str">
        <f t="shared" si="27"/>
        <v>28C01731</v>
      </c>
      <c r="I3361" s="59" t="str">
        <f>IF(OR($A3361="",$C3361="",$D3361="",$E3361="",$H3361=""),"",SUMIFS(DATA_GOC!$H:$H,DATA_GOC!$A:$A,"BOM",DATA_GOC!$D:$D,$H3361,DATA_GOC!$E:$E,$C3361,DATA_GOC!$F:$F,"Xuất nội bộ từ téc",DATA_GOC!$B:$B,"&gt;="&amp;$D3361,DATA_GOC!$B:$B,"&lt;="&amp;$E3361))</f>
        <v/>
      </c>
      <c r="J3361" s="59">
        <f t="shared" si="28"/>
        <v>0</v>
      </c>
      <c r="K3361" s="59">
        <f t="shared" si="29"/>
        <v>0</v>
      </c>
      <c r="L3361" s="59">
        <f t="shared" si="30"/>
        <v>0</v>
      </c>
      <c r="M3361" s="59">
        <f t="shared" si="31"/>
        <v>0</v>
      </c>
    </row>
    <row r="3362" ht="15.0" hidden="1" customHeight="1">
      <c r="A3362" s="59">
        <f t="shared" si="20"/>
        <v>53</v>
      </c>
      <c r="B3362" s="59" t="str">
        <f t="shared" si="21"/>
        <v/>
      </c>
      <c r="C3362" s="59" t="str">
        <f t="shared" si="22"/>
        <v/>
      </c>
      <c r="D3362" s="45" t="str">
        <f t="shared" si="23"/>
        <v/>
      </c>
      <c r="E3362" s="45" t="str">
        <f t="shared" si="24"/>
        <v/>
      </c>
      <c r="F3362" s="59" t="str">
        <f t="shared" si="25"/>
        <v/>
      </c>
      <c r="G3362" s="59" t="str">
        <f t="shared" si="26"/>
        <v/>
      </c>
      <c r="H3362" s="59" t="str">
        <f t="shared" si="27"/>
        <v>28C01743</v>
      </c>
      <c r="I3362" s="59" t="str">
        <f>IF(OR($A3362="",$C3362="",$D3362="",$E3362="",$H3362=""),"",SUMIFS(DATA_GOC!$H:$H,DATA_GOC!$A:$A,"BOM",DATA_GOC!$D:$D,$H3362,DATA_GOC!$E:$E,$C3362,DATA_GOC!$F:$F,"Xuất nội bộ từ téc",DATA_GOC!$B:$B,"&gt;="&amp;$D3362,DATA_GOC!$B:$B,"&lt;="&amp;$E3362))</f>
        <v/>
      </c>
      <c r="J3362" s="59">
        <f t="shared" si="28"/>
        <v>0</v>
      </c>
      <c r="K3362" s="59">
        <f t="shared" si="29"/>
        <v>0</v>
      </c>
      <c r="L3362" s="59">
        <f t="shared" si="30"/>
        <v>0</v>
      </c>
      <c r="M3362" s="59">
        <f t="shared" si="31"/>
        <v>0</v>
      </c>
    </row>
    <row r="3363" ht="15.0" hidden="1" customHeight="1">
      <c r="A3363" s="59">
        <f t="shared" si="20"/>
        <v>53</v>
      </c>
      <c r="B3363" s="59" t="str">
        <f t="shared" si="21"/>
        <v/>
      </c>
      <c r="C3363" s="59" t="str">
        <f t="shared" si="22"/>
        <v/>
      </c>
      <c r="D3363" s="45" t="str">
        <f t="shared" si="23"/>
        <v/>
      </c>
      <c r="E3363" s="45" t="str">
        <f t="shared" si="24"/>
        <v/>
      </c>
      <c r="F3363" s="59" t="str">
        <f t="shared" si="25"/>
        <v/>
      </c>
      <c r="G3363" s="59" t="str">
        <f t="shared" si="26"/>
        <v/>
      </c>
      <c r="H3363" s="59" t="str">
        <f t="shared" si="27"/>
        <v>28C02106</v>
      </c>
      <c r="I3363" s="59" t="str">
        <f>IF(OR($A3363="",$C3363="",$D3363="",$E3363="",$H3363=""),"",SUMIFS(DATA_GOC!$H:$H,DATA_GOC!$A:$A,"BOM",DATA_GOC!$D:$D,$H3363,DATA_GOC!$E:$E,$C3363,DATA_GOC!$F:$F,"Xuất nội bộ từ téc",DATA_GOC!$B:$B,"&gt;="&amp;$D3363,DATA_GOC!$B:$B,"&lt;="&amp;$E3363))</f>
        <v/>
      </c>
      <c r="J3363" s="59">
        <f t="shared" si="28"/>
        <v>0</v>
      </c>
      <c r="K3363" s="59">
        <f t="shared" si="29"/>
        <v>0</v>
      </c>
      <c r="L3363" s="59">
        <f t="shared" si="30"/>
        <v>0</v>
      </c>
      <c r="M3363" s="59">
        <f t="shared" si="31"/>
        <v>0</v>
      </c>
    </row>
    <row r="3364" ht="15.0" hidden="1" customHeight="1">
      <c r="A3364" s="59">
        <f t="shared" si="20"/>
        <v>53</v>
      </c>
      <c r="B3364" s="59" t="str">
        <f t="shared" si="21"/>
        <v/>
      </c>
      <c r="C3364" s="59" t="str">
        <f t="shared" si="22"/>
        <v/>
      </c>
      <c r="D3364" s="45" t="str">
        <f t="shared" si="23"/>
        <v/>
      </c>
      <c r="E3364" s="45" t="str">
        <f t="shared" si="24"/>
        <v/>
      </c>
      <c r="F3364" s="59" t="str">
        <f t="shared" si="25"/>
        <v/>
      </c>
      <c r="G3364" s="59" t="str">
        <f t="shared" si="26"/>
        <v/>
      </c>
      <c r="H3364" s="59" t="str">
        <f t="shared" si="27"/>
        <v>28C02410</v>
      </c>
      <c r="I3364" s="59" t="str">
        <f>IF(OR($A3364="",$C3364="",$D3364="",$E3364="",$H3364=""),"",SUMIFS(DATA_GOC!$H:$H,DATA_GOC!$A:$A,"BOM",DATA_GOC!$D:$D,$H3364,DATA_GOC!$E:$E,$C3364,DATA_GOC!$F:$F,"Xuất nội bộ từ téc",DATA_GOC!$B:$B,"&gt;="&amp;$D3364,DATA_GOC!$B:$B,"&lt;="&amp;$E3364))</f>
        <v/>
      </c>
      <c r="J3364" s="59">
        <f t="shared" si="28"/>
        <v>0</v>
      </c>
      <c r="K3364" s="59">
        <f t="shared" si="29"/>
        <v>0</v>
      </c>
      <c r="L3364" s="59">
        <f t="shared" si="30"/>
        <v>0</v>
      </c>
      <c r="M3364" s="59">
        <f t="shared" si="31"/>
        <v>0</v>
      </c>
    </row>
    <row r="3365" ht="15.0" hidden="1" customHeight="1">
      <c r="A3365" s="59">
        <f t="shared" si="20"/>
        <v>53</v>
      </c>
      <c r="B3365" s="59" t="str">
        <f t="shared" si="21"/>
        <v/>
      </c>
      <c r="C3365" s="59" t="str">
        <f t="shared" si="22"/>
        <v/>
      </c>
      <c r="D3365" s="45" t="str">
        <f t="shared" si="23"/>
        <v/>
      </c>
      <c r="E3365" s="45" t="str">
        <f t="shared" si="24"/>
        <v/>
      </c>
      <c r="F3365" s="59" t="str">
        <f t="shared" si="25"/>
        <v/>
      </c>
      <c r="G3365" s="59" t="str">
        <f t="shared" si="26"/>
        <v/>
      </c>
      <c r="H3365" s="59" t="str">
        <f t="shared" si="27"/>
        <v>28C02545</v>
      </c>
      <c r="I3365" s="59" t="str">
        <f>IF(OR($A3365="",$C3365="",$D3365="",$E3365="",$H3365=""),"",SUMIFS(DATA_GOC!$H:$H,DATA_GOC!$A:$A,"BOM",DATA_GOC!$D:$D,$H3365,DATA_GOC!$E:$E,$C3365,DATA_GOC!$F:$F,"Xuất nội bộ từ téc",DATA_GOC!$B:$B,"&gt;="&amp;$D3365,DATA_GOC!$B:$B,"&lt;="&amp;$E3365))</f>
        <v/>
      </c>
      <c r="J3365" s="59">
        <f t="shared" si="28"/>
        <v>0</v>
      </c>
      <c r="K3365" s="59">
        <f t="shared" si="29"/>
        <v>0</v>
      </c>
      <c r="L3365" s="59">
        <f t="shared" si="30"/>
        <v>0</v>
      </c>
      <c r="M3365" s="59">
        <f t="shared" si="31"/>
        <v>0</v>
      </c>
    </row>
    <row r="3366" ht="15.0" hidden="1" customHeight="1">
      <c r="A3366" s="59">
        <f t="shared" si="20"/>
        <v>53</v>
      </c>
      <c r="B3366" s="59" t="str">
        <f t="shared" si="21"/>
        <v/>
      </c>
      <c r="C3366" s="59" t="str">
        <f t="shared" si="22"/>
        <v/>
      </c>
      <c r="D3366" s="45" t="str">
        <f t="shared" si="23"/>
        <v/>
      </c>
      <c r="E3366" s="45" t="str">
        <f t="shared" si="24"/>
        <v/>
      </c>
      <c r="F3366" s="59" t="str">
        <f t="shared" si="25"/>
        <v/>
      </c>
      <c r="G3366" s="59" t="str">
        <f t="shared" si="26"/>
        <v/>
      </c>
      <c r="H3366" s="59" t="str">
        <f t="shared" si="27"/>
        <v>28C02574</v>
      </c>
      <c r="I3366" s="59" t="str">
        <f>IF(OR($A3366="",$C3366="",$D3366="",$E3366="",$H3366=""),"",SUMIFS(DATA_GOC!$H:$H,DATA_GOC!$A:$A,"BOM",DATA_GOC!$D:$D,$H3366,DATA_GOC!$E:$E,$C3366,DATA_GOC!$F:$F,"Xuất nội bộ từ téc",DATA_GOC!$B:$B,"&gt;="&amp;$D3366,DATA_GOC!$B:$B,"&lt;="&amp;$E3366))</f>
        <v/>
      </c>
      <c r="J3366" s="59">
        <f t="shared" si="28"/>
        <v>0</v>
      </c>
      <c r="K3366" s="59">
        <f t="shared" si="29"/>
        <v>0</v>
      </c>
      <c r="L3366" s="59">
        <f t="shared" si="30"/>
        <v>0</v>
      </c>
      <c r="M3366" s="59">
        <f t="shared" si="31"/>
        <v>0</v>
      </c>
    </row>
    <row r="3367" ht="15.0" hidden="1" customHeight="1">
      <c r="A3367" s="59">
        <f t="shared" si="20"/>
        <v>53</v>
      </c>
      <c r="B3367" s="59" t="str">
        <f t="shared" si="21"/>
        <v/>
      </c>
      <c r="C3367" s="59" t="str">
        <f t="shared" si="22"/>
        <v/>
      </c>
      <c r="D3367" s="45" t="str">
        <f t="shared" si="23"/>
        <v/>
      </c>
      <c r="E3367" s="45" t="str">
        <f t="shared" si="24"/>
        <v/>
      </c>
      <c r="F3367" s="59" t="str">
        <f t="shared" si="25"/>
        <v/>
      </c>
      <c r="G3367" s="59" t="str">
        <f t="shared" si="26"/>
        <v/>
      </c>
      <c r="H3367" s="59" t="str">
        <f t="shared" si="27"/>
        <v>28C02770</v>
      </c>
      <c r="I3367" s="59" t="str">
        <f>IF(OR($A3367="",$C3367="",$D3367="",$E3367="",$H3367=""),"",SUMIFS(DATA_GOC!$H:$H,DATA_GOC!$A:$A,"BOM",DATA_GOC!$D:$D,$H3367,DATA_GOC!$E:$E,$C3367,DATA_GOC!$F:$F,"Xuất nội bộ từ téc",DATA_GOC!$B:$B,"&gt;="&amp;$D3367,DATA_GOC!$B:$B,"&lt;="&amp;$E3367))</f>
        <v/>
      </c>
      <c r="J3367" s="59">
        <f t="shared" si="28"/>
        <v>0</v>
      </c>
      <c r="K3367" s="59">
        <f t="shared" si="29"/>
        <v>0</v>
      </c>
      <c r="L3367" s="59">
        <f t="shared" si="30"/>
        <v>0</v>
      </c>
      <c r="M3367" s="59">
        <f t="shared" si="31"/>
        <v>0</v>
      </c>
    </row>
    <row r="3368" ht="15.0" hidden="1" customHeight="1">
      <c r="A3368" s="59">
        <f t="shared" si="20"/>
        <v>53</v>
      </c>
      <c r="B3368" s="59" t="str">
        <f t="shared" si="21"/>
        <v/>
      </c>
      <c r="C3368" s="59" t="str">
        <f t="shared" si="22"/>
        <v/>
      </c>
      <c r="D3368" s="45" t="str">
        <f t="shared" si="23"/>
        <v/>
      </c>
      <c r="E3368" s="45" t="str">
        <f t="shared" si="24"/>
        <v/>
      </c>
      <c r="F3368" s="59" t="str">
        <f t="shared" si="25"/>
        <v/>
      </c>
      <c r="G3368" s="59" t="str">
        <f t="shared" si="26"/>
        <v/>
      </c>
      <c r="H3368" s="59" t="str">
        <f t="shared" si="27"/>
        <v>28C02986</v>
      </c>
      <c r="I3368" s="59" t="str">
        <f>IF(OR($A3368="",$C3368="",$D3368="",$E3368="",$H3368=""),"",SUMIFS(DATA_GOC!$H:$H,DATA_GOC!$A:$A,"BOM",DATA_GOC!$D:$D,$H3368,DATA_GOC!$E:$E,$C3368,DATA_GOC!$F:$F,"Xuất nội bộ từ téc",DATA_GOC!$B:$B,"&gt;="&amp;$D3368,DATA_GOC!$B:$B,"&lt;="&amp;$E3368))</f>
        <v/>
      </c>
      <c r="J3368" s="59">
        <f t="shared" si="28"/>
        <v>0</v>
      </c>
      <c r="K3368" s="59">
        <f t="shared" si="29"/>
        <v>0</v>
      </c>
      <c r="L3368" s="59">
        <f t="shared" si="30"/>
        <v>0</v>
      </c>
      <c r="M3368" s="59">
        <f t="shared" si="31"/>
        <v>0</v>
      </c>
    </row>
    <row r="3369" ht="15.0" hidden="1" customHeight="1">
      <c r="A3369" s="59">
        <f t="shared" si="20"/>
        <v>53</v>
      </c>
      <c r="B3369" s="59" t="str">
        <f t="shared" si="21"/>
        <v/>
      </c>
      <c r="C3369" s="59" t="str">
        <f t="shared" si="22"/>
        <v/>
      </c>
      <c r="D3369" s="45" t="str">
        <f t="shared" si="23"/>
        <v/>
      </c>
      <c r="E3369" s="45" t="str">
        <f t="shared" si="24"/>
        <v/>
      </c>
      <c r="F3369" s="59" t="str">
        <f t="shared" si="25"/>
        <v/>
      </c>
      <c r="G3369" s="59" t="str">
        <f t="shared" si="26"/>
        <v/>
      </c>
      <c r="H3369" s="59" t="str">
        <f t="shared" si="27"/>
        <v>28C03261</v>
      </c>
      <c r="I3369" s="59" t="str">
        <f>IF(OR($A3369="",$C3369="",$D3369="",$E3369="",$H3369=""),"",SUMIFS(DATA_GOC!$H:$H,DATA_GOC!$A:$A,"BOM",DATA_GOC!$D:$D,$H3369,DATA_GOC!$E:$E,$C3369,DATA_GOC!$F:$F,"Xuất nội bộ từ téc",DATA_GOC!$B:$B,"&gt;="&amp;$D3369,DATA_GOC!$B:$B,"&lt;="&amp;$E3369))</f>
        <v/>
      </c>
      <c r="J3369" s="59">
        <f t="shared" si="28"/>
        <v>0</v>
      </c>
      <c r="K3369" s="59">
        <f t="shared" si="29"/>
        <v>0</v>
      </c>
      <c r="L3369" s="59">
        <f t="shared" si="30"/>
        <v>0</v>
      </c>
      <c r="M3369" s="59">
        <f t="shared" si="31"/>
        <v>0</v>
      </c>
    </row>
    <row r="3370" ht="15.0" hidden="1" customHeight="1">
      <c r="A3370" s="59">
        <f t="shared" si="20"/>
        <v>53</v>
      </c>
      <c r="B3370" s="59" t="str">
        <f t="shared" si="21"/>
        <v/>
      </c>
      <c r="C3370" s="59" t="str">
        <f t="shared" si="22"/>
        <v/>
      </c>
      <c r="D3370" s="45" t="str">
        <f t="shared" si="23"/>
        <v/>
      </c>
      <c r="E3370" s="45" t="str">
        <f t="shared" si="24"/>
        <v/>
      </c>
      <c r="F3370" s="59" t="str">
        <f t="shared" si="25"/>
        <v/>
      </c>
      <c r="G3370" s="59" t="str">
        <f t="shared" si="26"/>
        <v/>
      </c>
      <c r="H3370" s="59" t="str">
        <f t="shared" si="27"/>
        <v>28C03323</v>
      </c>
      <c r="I3370" s="59" t="str">
        <f>IF(OR($A3370="",$C3370="",$D3370="",$E3370="",$H3370=""),"",SUMIFS(DATA_GOC!$H:$H,DATA_GOC!$A:$A,"BOM",DATA_GOC!$D:$D,$H3370,DATA_GOC!$E:$E,$C3370,DATA_GOC!$F:$F,"Xuất nội bộ từ téc",DATA_GOC!$B:$B,"&gt;="&amp;$D3370,DATA_GOC!$B:$B,"&lt;="&amp;$E3370))</f>
        <v/>
      </c>
      <c r="J3370" s="59">
        <f t="shared" si="28"/>
        <v>0</v>
      </c>
      <c r="K3370" s="59">
        <f t="shared" si="29"/>
        <v>0</v>
      </c>
      <c r="L3370" s="59">
        <f t="shared" si="30"/>
        <v>0</v>
      </c>
      <c r="M3370" s="59">
        <f t="shared" si="31"/>
        <v>0</v>
      </c>
    </row>
    <row r="3371" ht="15.0" hidden="1" customHeight="1">
      <c r="A3371" s="59">
        <f t="shared" si="20"/>
        <v>53</v>
      </c>
      <c r="B3371" s="59" t="str">
        <f t="shared" si="21"/>
        <v/>
      </c>
      <c r="C3371" s="59" t="str">
        <f t="shared" si="22"/>
        <v/>
      </c>
      <c r="D3371" s="45" t="str">
        <f t="shared" si="23"/>
        <v/>
      </c>
      <c r="E3371" s="45" t="str">
        <f t="shared" si="24"/>
        <v/>
      </c>
      <c r="F3371" s="59" t="str">
        <f t="shared" si="25"/>
        <v/>
      </c>
      <c r="G3371" s="59" t="str">
        <f t="shared" si="26"/>
        <v/>
      </c>
      <c r="H3371" s="59" t="str">
        <f t="shared" si="27"/>
        <v>28C03385</v>
      </c>
      <c r="I3371" s="59" t="str">
        <f>IF(OR($A3371="",$C3371="",$D3371="",$E3371="",$H3371=""),"",SUMIFS(DATA_GOC!$H:$H,DATA_GOC!$A:$A,"BOM",DATA_GOC!$D:$D,$H3371,DATA_GOC!$E:$E,$C3371,DATA_GOC!$F:$F,"Xuất nội bộ từ téc",DATA_GOC!$B:$B,"&gt;="&amp;$D3371,DATA_GOC!$B:$B,"&lt;="&amp;$E3371))</f>
        <v/>
      </c>
      <c r="J3371" s="59">
        <f t="shared" si="28"/>
        <v>0</v>
      </c>
      <c r="K3371" s="59">
        <f t="shared" si="29"/>
        <v>0</v>
      </c>
      <c r="L3371" s="59">
        <f t="shared" si="30"/>
        <v>0</v>
      </c>
      <c r="M3371" s="59">
        <f t="shared" si="31"/>
        <v>0</v>
      </c>
    </row>
    <row r="3372" ht="15.0" hidden="1" customHeight="1">
      <c r="A3372" s="59">
        <f t="shared" si="20"/>
        <v>53</v>
      </c>
      <c r="B3372" s="59" t="str">
        <f t="shared" si="21"/>
        <v/>
      </c>
      <c r="C3372" s="59" t="str">
        <f t="shared" si="22"/>
        <v/>
      </c>
      <c r="D3372" s="45" t="str">
        <f t="shared" si="23"/>
        <v/>
      </c>
      <c r="E3372" s="45" t="str">
        <f t="shared" si="24"/>
        <v/>
      </c>
      <c r="F3372" s="59" t="str">
        <f t="shared" si="25"/>
        <v/>
      </c>
      <c r="G3372" s="59" t="str">
        <f t="shared" si="26"/>
        <v/>
      </c>
      <c r="H3372" s="59" t="str">
        <f t="shared" si="27"/>
        <v>28C03652</v>
      </c>
      <c r="I3372" s="59" t="str">
        <f>IF(OR($A3372="",$C3372="",$D3372="",$E3372="",$H3372=""),"",SUMIFS(DATA_GOC!$H:$H,DATA_GOC!$A:$A,"BOM",DATA_GOC!$D:$D,$H3372,DATA_GOC!$E:$E,$C3372,DATA_GOC!$F:$F,"Xuất nội bộ từ téc",DATA_GOC!$B:$B,"&gt;="&amp;$D3372,DATA_GOC!$B:$B,"&lt;="&amp;$E3372))</f>
        <v/>
      </c>
      <c r="J3372" s="59">
        <f t="shared" si="28"/>
        <v>0</v>
      </c>
      <c r="K3372" s="59">
        <f t="shared" si="29"/>
        <v>0</v>
      </c>
      <c r="L3372" s="59">
        <f t="shared" si="30"/>
        <v>0</v>
      </c>
      <c r="M3372" s="59">
        <f t="shared" si="31"/>
        <v>0</v>
      </c>
    </row>
    <row r="3373" ht="15.0" hidden="1" customHeight="1">
      <c r="A3373" s="59">
        <f t="shared" si="20"/>
        <v>53</v>
      </c>
      <c r="B3373" s="59" t="str">
        <f t="shared" si="21"/>
        <v/>
      </c>
      <c r="C3373" s="59" t="str">
        <f t="shared" si="22"/>
        <v/>
      </c>
      <c r="D3373" s="45" t="str">
        <f t="shared" si="23"/>
        <v/>
      </c>
      <c r="E3373" s="45" t="str">
        <f t="shared" si="24"/>
        <v/>
      </c>
      <c r="F3373" s="59" t="str">
        <f t="shared" si="25"/>
        <v/>
      </c>
      <c r="G3373" s="59" t="str">
        <f t="shared" si="26"/>
        <v/>
      </c>
      <c r="H3373" s="59" t="str">
        <f t="shared" si="27"/>
        <v>28C03695</v>
      </c>
      <c r="I3373" s="59" t="str">
        <f>IF(OR($A3373="",$C3373="",$D3373="",$E3373="",$H3373=""),"",SUMIFS(DATA_GOC!$H:$H,DATA_GOC!$A:$A,"BOM",DATA_GOC!$D:$D,$H3373,DATA_GOC!$E:$E,$C3373,DATA_GOC!$F:$F,"Xuất nội bộ từ téc",DATA_GOC!$B:$B,"&gt;="&amp;$D3373,DATA_GOC!$B:$B,"&lt;="&amp;$E3373))</f>
        <v/>
      </c>
      <c r="J3373" s="59">
        <f t="shared" si="28"/>
        <v>0</v>
      </c>
      <c r="K3373" s="59">
        <f t="shared" si="29"/>
        <v>0</v>
      </c>
      <c r="L3373" s="59">
        <f t="shared" si="30"/>
        <v>0</v>
      </c>
      <c r="M3373" s="59">
        <f t="shared" si="31"/>
        <v>0</v>
      </c>
    </row>
    <row r="3374" ht="15.0" hidden="1" customHeight="1">
      <c r="A3374" s="59">
        <f t="shared" si="20"/>
        <v>53</v>
      </c>
      <c r="B3374" s="59" t="str">
        <f t="shared" si="21"/>
        <v/>
      </c>
      <c r="C3374" s="59" t="str">
        <f t="shared" si="22"/>
        <v/>
      </c>
      <c r="D3374" s="45" t="str">
        <f t="shared" si="23"/>
        <v/>
      </c>
      <c r="E3374" s="45" t="str">
        <f t="shared" si="24"/>
        <v/>
      </c>
      <c r="F3374" s="59" t="str">
        <f t="shared" si="25"/>
        <v/>
      </c>
      <c r="G3374" s="59" t="str">
        <f t="shared" si="26"/>
        <v/>
      </c>
      <c r="H3374" s="59" t="str">
        <f t="shared" si="27"/>
        <v>28C03927</v>
      </c>
      <c r="I3374" s="59" t="str">
        <f>IF(OR($A3374="",$C3374="",$D3374="",$E3374="",$H3374=""),"",SUMIFS(DATA_GOC!$H:$H,DATA_GOC!$A:$A,"BOM",DATA_GOC!$D:$D,$H3374,DATA_GOC!$E:$E,$C3374,DATA_GOC!$F:$F,"Xuất nội bộ từ téc",DATA_GOC!$B:$B,"&gt;="&amp;$D3374,DATA_GOC!$B:$B,"&lt;="&amp;$E3374))</f>
        <v/>
      </c>
      <c r="J3374" s="59">
        <f t="shared" si="28"/>
        <v>0</v>
      </c>
      <c r="K3374" s="59">
        <f t="shared" si="29"/>
        <v>0</v>
      </c>
      <c r="L3374" s="59">
        <f t="shared" si="30"/>
        <v>0</v>
      </c>
      <c r="M3374" s="59">
        <f t="shared" si="31"/>
        <v>0</v>
      </c>
    </row>
    <row r="3375" ht="15.0" hidden="1" customHeight="1">
      <c r="A3375" s="59">
        <f t="shared" si="20"/>
        <v>53</v>
      </c>
      <c r="B3375" s="59" t="str">
        <f t="shared" si="21"/>
        <v/>
      </c>
      <c r="C3375" s="59" t="str">
        <f t="shared" si="22"/>
        <v/>
      </c>
      <c r="D3375" s="45" t="str">
        <f t="shared" si="23"/>
        <v/>
      </c>
      <c r="E3375" s="45" t="str">
        <f t="shared" si="24"/>
        <v/>
      </c>
      <c r="F3375" s="59" t="str">
        <f t="shared" si="25"/>
        <v/>
      </c>
      <c r="G3375" s="59" t="str">
        <f t="shared" si="26"/>
        <v/>
      </c>
      <c r="H3375" s="59" t="str">
        <f t="shared" si="27"/>
        <v>28C04509</v>
      </c>
      <c r="I3375" s="59" t="str">
        <f>IF(OR($A3375="",$C3375="",$D3375="",$E3375="",$H3375=""),"",SUMIFS(DATA_GOC!$H:$H,DATA_GOC!$A:$A,"BOM",DATA_GOC!$D:$D,$H3375,DATA_GOC!$E:$E,$C3375,DATA_GOC!$F:$F,"Xuất nội bộ từ téc",DATA_GOC!$B:$B,"&gt;="&amp;$D3375,DATA_GOC!$B:$B,"&lt;="&amp;$E3375))</f>
        <v/>
      </c>
      <c r="J3375" s="59">
        <f t="shared" si="28"/>
        <v>0</v>
      </c>
      <c r="K3375" s="59">
        <f t="shared" si="29"/>
        <v>0</v>
      </c>
      <c r="L3375" s="59">
        <f t="shared" si="30"/>
        <v>0</v>
      </c>
      <c r="M3375" s="59">
        <f t="shared" si="31"/>
        <v>0</v>
      </c>
    </row>
    <row r="3376" ht="15.0" hidden="1" customHeight="1">
      <c r="A3376" s="59">
        <f t="shared" si="20"/>
        <v>53</v>
      </c>
      <c r="B3376" s="59" t="str">
        <f t="shared" si="21"/>
        <v/>
      </c>
      <c r="C3376" s="59" t="str">
        <f t="shared" si="22"/>
        <v/>
      </c>
      <c r="D3376" s="45" t="str">
        <f t="shared" si="23"/>
        <v/>
      </c>
      <c r="E3376" s="45" t="str">
        <f t="shared" si="24"/>
        <v/>
      </c>
      <c r="F3376" s="59" t="str">
        <f t="shared" si="25"/>
        <v/>
      </c>
      <c r="G3376" s="59" t="str">
        <f t="shared" si="26"/>
        <v/>
      </c>
      <c r="H3376" s="59" t="str">
        <f t="shared" si="27"/>
        <v>28C04536</v>
      </c>
      <c r="I3376" s="59" t="str">
        <f>IF(OR($A3376="",$C3376="",$D3376="",$E3376="",$H3376=""),"",SUMIFS(DATA_GOC!$H:$H,DATA_GOC!$A:$A,"BOM",DATA_GOC!$D:$D,$H3376,DATA_GOC!$E:$E,$C3376,DATA_GOC!$F:$F,"Xuất nội bộ từ téc",DATA_GOC!$B:$B,"&gt;="&amp;$D3376,DATA_GOC!$B:$B,"&lt;="&amp;$E3376))</f>
        <v/>
      </c>
      <c r="J3376" s="59">
        <f t="shared" si="28"/>
        <v>0</v>
      </c>
      <c r="K3376" s="59">
        <f t="shared" si="29"/>
        <v>0</v>
      </c>
      <c r="L3376" s="59">
        <f t="shared" si="30"/>
        <v>0</v>
      </c>
      <c r="M3376" s="59">
        <f t="shared" si="31"/>
        <v>0</v>
      </c>
    </row>
    <row r="3377" ht="15.0" hidden="1" customHeight="1">
      <c r="A3377" s="59">
        <f t="shared" si="20"/>
        <v>53</v>
      </c>
      <c r="B3377" s="59" t="str">
        <f t="shared" si="21"/>
        <v/>
      </c>
      <c r="C3377" s="59" t="str">
        <f t="shared" si="22"/>
        <v/>
      </c>
      <c r="D3377" s="45" t="str">
        <f t="shared" si="23"/>
        <v/>
      </c>
      <c r="E3377" s="45" t="str">
        <f t="shared" si="24"/>
        <v/>
      </c>
      <c r="F3377" s="59" t="str">
        <f t="shared" si="25"/>
        <v/>
      </c>
      <c r="G3377" s="59" t="str">
        <f t="shared" si="26"/>
        <v/>
      </c>
      <c r="H3377" s="59" t="str">
        <f t="shared" si="27"/>
        <v>28C04576</v>
      </c>
      <c r="I3377" s="59" t="str">
        <f>IF(OR($A3377="",$C3377="",$D3377="",$E3377="",$H3377=""),"",SUMIFS(DATA_GOC!$H:$H,DATA_GOC!$A:$A,"BOM",DATA_GOC!$D:$D,$H3377,DATA_GOC!$E:$E,$C3377,DATA_GOC!$F:$F,"Xuất nội bộ từ téc",DATA_GOC!$B:$B,"&gt;="&amp;$D3377,DATA_GOC!$B:$B,"&lt;="&amp;$E3377))</f>
        <v/>
      </c>
      <c r="J3377" s="59">
        <f t="shared" si="28"/>
        <v>0</v>
      </c>
      <c r="K3377" s="59">
        <f t="shared" si="29"/>
        <v>0</v>
      </c>
      <c r="L3377" s="59">
        <f t="shared" si="30"/>
        <v>0</v>
      </c>
      <c r="M3377" s="59">
        <f t="shared" si="31"/>
        <v>0</v>
      </c>
    </row>
    <row r="3378" ht="15.0" hidden="1" customHeight="1">
      <c r="A3378" s="59">
        <f t="shared" si="20"/>
        <v>53</v>
      </c>
      <c r="B3378" s="59" t="str">
        <f t="shared" si="21"/>
        <v/>
      </c>
      <c r="C3378" s="59" t="str">
        <f t="shared" si="22"/>
        <v/>
      </c>
      <c r="D3378" s="45" t="str">
        <f t="shared" si="23"/>
        <v/>
      </c>
      <c r="E3378" s="45" t="str">
        <f t="shared" si="24"/>
        <v/>
      </c>
      <c r="F3378" s="59" t="str">
        <f t="shared" si="25"/>
        <v/>
      </c>
      <c r="G3378" s="59" t="str">
        <f t="shared" si="26"/>
        <v/>
      </c>
      <c r="H3378" s="59" t="str">
        <f t="shared" si="27"/>
        <v>28C05090</v>
      </c>
      <c r="I3378" s="59" t="str">
        <f>IF(OR($A3378="",$C3378="",$D3378="",$E3378="",$H3378=""),"",SUMIFS(DATA_GOC!$H:$H,DATA_GOC!$A:$A,"BOM",DATA_GOC!$D:$D,$H3378,DATA_GOC!$E:$E,$C3378,DATA_GOC!$F:$F,"Xuất nội bộ từ téc",DATA_GOC!$B:$B,"&gt;="&amp;$D3378,DATA_GOC!$B:$B,"&lt;="&amp;$E3378))</f>
        <v/>
      </c>
      <c r="J3378" s="59">
        <f t="shared" si="28"/>
        <v>0</v>
      </c>
      <c r="K3378" s="59">
        <f t="shared" si="29"/>
        <v>0</v>
      </c>
      <c r="L3378" s="59">
        <f t="shared" si="30"/>
        <v>0</v>
      </c>
      <c r="M3378" s="59">
        <f t="shared" si="31"/>
        <v>0</v>
      </c>
    </row>
    <row r="3379" ht="15.0" hidden="1" customHeight="1">
      <c r="A3379" s="59">
        <f t="shared" si="20"/>
        <v>53</v>
      </c>
      <c r="B3379" s="59" t="str">
        <f t="shared" si="21"/>
        <v/>
      </c>
      <c r="C3379" s="59" t="str">
        <f t="shared" si="22"/>
        <v/>
      </c>
      <c r="D3379" s="45" t="str">
        <f t="shared" si="23"/>
        <v/>
      </c>
      <c r="E3379" s="45" t="str">
        <f t="shared" si="24"/>
        <v/>
      </c>
      <c r="F3379" s="59" t="str">
        <f t="shared" si="25"/>
        <v/>
      </c>
      <c r="G3379" s="59" t="str">
        <f t="shared" si="26"/>
        <v/>
      </c>
      <c r="H3379" s="59" t="str">
        <f t="shared" si="27"/>
        <v>28C05345</v>
      </c>
      <c r="I3379" s="59" t="str">
        <f>IF(OR($A3379="",$C3379="",$D3379="",$E3379="",$H3379=""),"",SUMIFS(DATA_GOC!$H:$H,DATA_GOC!$A:$A,"BOM",DATA_GOC!$D:$D,$H3379,DATA_GOC!$E:$E,$C3379,DATA_GOC!$F:$F,"Xuất nội bộ từ téc",DATA_GOC!$B:$B,"&gt;="&amp;$D3379,DATA_GOC!$B:$B,"&lt;="&amp;$E3379))</f>
        <v/>
      </c>
      <c r="J3379" s="59">
        <f t="shared" si="28"/>
        <v>0</v>
      </c>
      <c r="K3379" s="59">
        <f t="shared" si="29"/>
        <v>0</v>
      </c>
      <c r="L3379" s="59">
        <f t="shared" si="30"/>
        <v>0</v>
      </c>
      <c r="M3379" s="59">
        <f t="shared" si="31"/>
        <v>0</v>
      </c>
    </row>
    <row r="3380" ht="15.0" hidden="1" customHeight="1">
      <c r="A3380" s="59">
        <f t="shared" si="20"/>
        <v>53</v>
      </c>
      <c r="B3380" s="59" t="str">
        <f t="shared" si="21"/>
        <v/>
      </c>
      <c r="C3380" s="59" t="str">
        <f t="shared" si="22"/>
        <v/>
      </c>
      <c r="D3380" s="45" t="str">
        <f t="shared" si="23"/>
        <v/>
      </c>
      <c r="E3380" s="45" t="str">
        <f t="shared" si="24"/>
        <v/>
      </c>
      <c r="F3380" s="59" t="str">
        <f t="shared" si="25"/>
        <v/>
      </c>
      <c r="G3380" s="59" t="str">
        <f t="shared" si="26"/>
        <v/>
      </c>
      <c r="H3380" s="59" t="str">
        <f t="shared" si="27"/>
        <v>28C05661</v>
      </c>
      <c r="I3380" s="59" t="str">
        <f>IF(OR($A3380="",$C3380="",$D3380="",$E3380="",$H3380=""),"",SUMIFS(DATA_GOC!$H:$H,DATA_GOC!$A:$A,"BOM",DATA_GOC!$D:$D,$H3380,DATA_GOC!$E:$E,$C3380,DATA_GOC!$F:$F,"Xuất nội bộ từ téc",DATA_GOC!$B:$B,"&gt;="&amp;$D3380,DATA_GOC!$B:$B,"&lt;="&amp;$E3380))</f>
        <v/>
      </c>
      <c r="J3380" s="59">
        <f t="shared" si="28"/>
        <v>0</v>
      </c>
      <c r="K3380" s="59">
        <f t="shared" si="29"/>
        <v>0</v>
      </c>
      <c r="L3380" s="59">
        <f t="shared" si="30"/>
        <v>0</v>
      </c>
      <c r="M3380" s="59">
        <f t="shared" si="31"/>
        <v>0</v>
      </c>
    </row>
    <row r="3381" ht="15.0" hidden="1" customHeight="1">
      <c r="A3381" s="59">
        <f t="shared" si="20"/>
        <v>53</v>
      </c>
      <c r="B3381" s="59" t="str">
        <f t="shared" si="21"/>
        <v/>
      </c>
      <c r="C3381" s="59" t="str">
        <f t="shared" si="22"/>
        <v/>
      </c>
      <c r="D3381" s="45" t="str">
        <f t="shared" si="23"/>
        <v/>
      </c>
      <c r="E3381" s="45" t="str">
        <f t="shared" si="24"/>
        <v/>
      </c>
      <c r="F3381" s="59" t="str">
        <f t="shared" si="25"/>
        <v/>
      </c>
      <c r="G3381" s="59" t="str">
        <f t="shared" si="26"/>
        <v/>
      </c>
      <c r="H3381" s="59" t="str">
        <f t="shared" si="27"/>
        <v>28C05739</v>
      </c>
      <c r="I3381" s="59" t="str">
        <f>IF(OR($A3381="",$C3381="",$D3381="",$E3381="",$H3381=""),"",SUMIFS(DATA_GOC!$H:$H,DATA_GOC!$A:$A,"BOM",DATA_GOC!$D:$D,$H3381,DATA_GOC!$E:$E,$C3381,DATA_GOC!$F:$F,"Xuất nội bộ từ téc",DATA_GOC!$B:$B,"&gt;="&amp;$D3381,DATA_GOC!$B:$B,"&lt;="&amp;$E3381))</f>
        <v/>
      </c>
      <c r="J3381" s="59">
        <f t="shared" si="28"/>
        <v>0</v>
      </c>
      <c r="K3381" s="59">
        <f t="shared" si="29"/>
        <v>0</v>
      </c>
      <c r="L3381" s="59">
        <f t="shared" si="30"/>
        <v>0</v>
      </c>
      <c r="M3381" s="59">
        <f t="shared" si="31"/>
        <v>0</v>
      </c>
    </row>
    <row r="3382" ht="15.0" hidden="1" customHeight="1">
      <c r="A3382" s="59">
        <f t="shared" si="20"/>
        <v>53</v>
      </c>
      <c r="B3382" s="59" t="str">
        <f t="shared" si="21"/>
        <v/>
      </c>
      <c r="C3382" s="59" t="str">
        <f t="shared" si="22"/>
        <v/>
      </c>
      <c r="D3382" s="45" t="str">
        <f t="shared" si="23"/>
        <v/>
      </c>
      <c r="E3382" s="45" t="str">
        <f t="shared" si="24"/>
        <v/>
      </c>
      <c r="F3382" s="59" t="str">
        <f t="shared" si="25"/>
        <v/>
      </c>
      <c r="G3382" s="59" t="str">
        <f t="shared" si="26"/>
        <v/>
      </c>
      <c r="H3382" s="59" t="str">
        <f t="shared" si="27"/>
        <v>28C06369</v>
      </c>
      <c r="I3382" s="59" t="str">
        <f>IF(OR($A3382="",$C3382="",$D3382="",$E3382="",$H3382=""),"",SUMIFS(DATA_GOC!$H:$H,DATA_GOC!$A:$A,"BOM",DATA_GOC!$D:$D,$H3382,DATA_GOC!$E:$E,$C3382,DATA_GOC!$F:$F,"Xuất nội bộ từ téc",DATA_GOC!$B:$B,"&gt;="&amp;$D3382,DATA_GOC!$B:$B,"&lt;="&amp;$E3382))</f>
        <v/>
      </c>
      <c r="J3382" s="59">
        <f t="shared" si="28"/>
        <v>0</v>
      </c>
      <c r="K3382" s="59">
        <f t="shared" si="29"/>
        <v>0</v>
      </c>
      <c r="L3382" s="59">
        <f t="shared" si="30"/>
        <v>0</v>
      </c>
      <c r="M3382" s="59">
        <f t="shared" si="31"/>
        <v>0</v>
      </c>
    </row>
    <row r="3383" ht="15.0" hidden="1" customHeight="1">
      <c r="A3383" s="59">
        <f t="shared" si="20"/>
        <v>53</v>
      </c>
      <c r="B3383" s="59" t="str">
        <f t="shared" si="21"/>
        <v/>
      </c>
      <c r="C3383" s="59" t="str">
        <f t="shared" si="22"/>
        <v/>
      </c>
      <c r="D3383" s="45" t="str">
        <f t="shared" si="23"/>
        <v/>
      </c>
      <c r="E3383" s="45" t="str">
        <f t="shared" si="24"/>
        <v/>
      </c>
      <c r="F3383" s="59" t="str">
        <f t="shared" si="25"/>
        <v/>
      </c>
      <c r="G3383" s="59" t="str">
        <f t="shared" si="26"/>
        <v/>
      </c>
      <c r="H3383" s="59" t="str">
        <f t="shared" si="27"/>
        <v>28C06447</v>
      </c>
      <c r="I3383" s="59" t="str">
        <f>IF(OR($A3383="",$C3383="",$D3383="",$E3383="",$H3383=""),"",SUMIFS(DATA_GOC!$H:$H,DATA_GOC!$A:$A,"BOM",DATA_GOC!$D:$D,$H3383,DATA_GOC!$E:$E,$C3383,DATA_GOC!$F:$F,"Xuất nội bộ từ téc",DATA_GOC!$B:$B,"&gt;="&amp;$D3383,DATA_GOC!$B:$B,"&lt;="&amp;$E3383))</f>
        <v/>
      </c>
      <c r="J3383" s="59">
        <f t="shared" si="28"/>
        <v>0</v>
      </c>
      <c r="K3383" s="59">
        <f t="shared" si="29"/>
        <v>0</v>
      </c>
      <c r="L3383" s="59">
        <f t="shared" si="30"/>
        <v>0</v>
      </c>
      <c r="M3383" s="59">
        <f t="shared" si="31"/>
        <v>0</v>
      </c>
    </row>
    <row r="3384" ht="15.0" hidden="1" customHeight="1">
      <c r="A3384" s="59">
        <f t="shared" si="20"/>
        <v>53</v>
      </c>
      <c r="B3384" s="59" t="str">
        <f t="shared" si="21"/>
        <v/>
      </c>
      <c r="C3384" s="59" t="str">
        <f t="shared" si="22"/>
        <v/>
      </c>
      <c r="D3384" s="45" t="str">
        <f t="shared" si="23"/>
        <v/>
      </c>
      <c r="E3384" s="45" t="str">
        <f t="shared" si="24"/>
        <v/>
      </c>
      <c r="F3384" s="59" t="str">
        <f t="shared" si="25"/>
        <v/>
      </c>
      <c r="G3384" s="59" t="str">
        <f t="shared" si="26"/>
        <v/>
      </c>
      <c r="H3384" s="59" t="str">
        <f t="shared" si="27"/>
        <v>28H00003</v>
      </c>
      <c r="I3384" s="59" t="str">
        <f>IF(OR($A3384="",$C3384="",$D3384="",$E3384="",$H3384=""),"",SUMIFS(DATA_GOC!$H:$H,DATA_GOC!$A:$A,"BOM",DATA_GOC!$D:$D,$H3384,DATA_GOC!$E:$E,$C3384,DATA_GOC!$F:$F,"Xuất nội bộ từ téc",DATA_GOC!$B:$B,"&gt;="&amp;$D3384,DATA_GOC!$B:$B,"&lt;="&amp;$E3384))</f>
        <v/>
      </c>
      <c r="J3384" s="59">
        <f t="shared" si="28"/>
        <v>0</v>
      </c>
      <c r="K3384" s="59">
        <f t="shared" si="29"/>
        <v>0</v>
      </c>
      <c r="L3384" s="59">
        <f t="shared" si="30"/>
        <v>0</v>
      </c>
      <c r="M3384" s="59">
        <f t="shared" si="31"/>
        <v>0</v>
      </c>
    </row>
    <row r="3385" ht="15.0" hidden="1" customHeight="1">
      <c r="A3385" s="59">
        <f t="shared" si="20"/>
        <v>53</v>
      </c>
      <c r="B3385" s="59" t="str">
        <f t="shared" si="21"/>
        <v/>
      </c>
      <c r="C3385" s="59" t="str">
        <f t="shared" si="22"/>
        <v/>
      </c>
      <c r="D3385" s="45" t="str">
        <f t="shared" si="23"/>
        <v/>
      </c>
      <c r="E3385" s="45" t="str">
        <f t="shared" si="24"/>
        <v/>
      </c>
      <c r="F3385" s="59" t="str">
        <f t="shared" si="25"/>
        <v/>
      </c>
      <c r="G3385" s="59" t="str">
        <f t="shared" si="26"/>
        <v/>
      </c>
      <c r="H3385" s="59" t="str">
        <f t="shared" si="27"/>
        <v>28H00061</v>
      </c>
      <c r="I3385" s="59" t="str">
        <f>IF(OR($A3385="",$C3385="",$D3385="",$E3385="",$H3385=""),"",SUMIFS(DATA_GOC!$H:$H,DATA_GOC!$A:$A,"BOM",DATA_GOC!$D:$D,$H3385,DATA_GOC!$E:$E,$C3385,DATA_GOC!$F:$F,"Xuất nội bộ từ téc",DATA_GOC!$B:$B,"&gt;="&amp;$D3385,DATA_GOC!$B:$B,"&lt;="&amp;$E3385))</f>
        <v/>
      </c>
      <c r="J3385" s="59">
        <f t="shared" si="28"/>
        <v>0</v>
      </c>
      <c r="K3385" s="59">
        <f t="shared" si="29"/>
        <v>0</v>
      </c>
      <c r="L3385" s="59">
        <f t="shared" si="30"/>
        <v>0</v>
      </c>
      <c r="M3385" s="59">
        <f t="shared" si="31"/>
        <v>0</v>
      </c>
    </row>
    <row r="3386" ht="15.0" hidden="1" customHeight="1">
      <c r="A3386" s="59">
        <f t="shared" si="20"/>
        <v>53</v>
      </c>
      <c r="B3386" s="59" t="str">
        <f t="shared" si="21"/>
        <v/>
      </c>
      <c r="C3386" s="59" t="str">
        <f t="shared" si="22"/>
        <v/>
      </c>
      <c r="D3386" s="45" t="str">
        <f t="shared" si="23"/>
        <v/>
      </c>
      <c r="E3386" s="45" t="str">
        <f t="shared" si="24"/>
        <v/>
      </c>
      <c r="F3386" s="59" t="str">
        <f t="shared" si="25"/>
        <v/>
      </c>
      <c r="G3386" s="59" t="str">
        <f t="shared" si="26"/>
        <v/>
      </c>
      <c r="H3386" s="59" t="str">
        <f t="shared" si="27"/>
        <v>28H00354</v>
      </c>
      <c r="I3386" s="59" t="str">
        <f>IF(OR($A3386="",$C3386="",$D3386="",$E3386="",$H3386=""),"",SUMIFS(DATA_GOC!$H:$H,DATA_GOC!$A:$A,"BOM",DATA_GOC!$D:$D,$H3386,DATA_GOC!$E:$E,$C3386,DATA_GOC!$F:$F,"Xuất nội bộ từ téc",DATA_GOC!$B:$B,"&gt;="&amp;$D3386,DATA_GOC!$B:$B,"&lt;="&amp;$E3386))</f>
        <v/>
      </c>
      <c r="J3386" s="59">
        <f t="shared" si="28"/>
        <v>0</v>
      </c>
      <c r="K3386" s="59">
        <f t="shared" si="29"/>
        <v>0</v>
      </c>
      <c r="L3386" s="59">
        <f t="shared" si="30"/>
        <v>0</v>
      </c>
      <c r="M3386" s="59">
        <f t="shared" si="31"/>
        <v>0</v>
      </c>
    </row>
    <row r="3387" ht="15.0" hidden="1" customHeight="1">
      <c r="A3387" s="59">
        <f t="shared" si="20"/>
        <v>53</v>
      </c>
      <c r="B3387" s="59" t="str">
        <f t="shared" si="21"/>
        <v/>
      </c>
      <c r="C3387" s="59" t="str">
        <f t="shared" si="22"/>
        <v/>
      </c>
      <c r="D3387" s="45" t="str">
        <f t="shared" si="23"/>
        <v/>
      </c>
      <c r="E3387" s="45" t="str">
        <f t="shared" si="24"/>
        <v/>
      </c>
      <c r="F3387" s="59" t="str">
        <f t="shared" si="25"/>
        <v/>
      </c>
      <c r="G3387" s="59" t="str">
        <f t="shared" si="26"/>
        <v/>
      </c>
      <c r="H3387" s="59" t="str">
        <f t="shared" si="27"/>
        <v>28H00603</v>
      </c>
      <c r="I3387" s="59" t="str">
        <f>IF(OR($A3387="",$C3387="",$D3387="",$E3387="",$H3387=""),"",SUMIFS(DATA_GOC!$H:$H,DATA_GOC!$A:$A,"BOM",DATA_GOC!$D:$D,$H3387,DATA_GOC!$E:$E,$C3387,DATA_GOC!$F:$F,"Xuất nội bộ từ téc",DATA_GOC!$B:$B,"&gt;="&amp;$D3387,DATA_GOC!$B:$B,"&lt;="&amp;$E3387))</f>
        <v/>
      </c>
      <c r="J3387" s="59">
        <f t="shared" si="28"/>
        <v>0</v>
      </c>
      <c r="K3387" s="59">
        <f t="shared" si="29"/>
        <v>0</v>
      </c>
      <c r="L3387" s="59">
        <f t="shared" si="30"/>
        <v>0</v>
      </c>
      <c r="M3387" s="59">
        <f t="shared" si="31"/>
        <v>0</v>
      </c>
    </row>
    <row r="3388" ht="15.0" hidden="1" customHeight="1">
      <c r="A3388" s="59">
        <f t="shared" si="20"/>
        <v>53</v>
      </c>
      <c r="B3388" s="59" t="str">
        <f t="shared" si="21"/>
        <v/>
      </c>
      <c r="C3388" s="59" t="str">
        <f t="shared" si="22"/>
        <v/>
      </c>
      <c r="D3388" s="45" t="str">
        <f t="shared" si="23"/>
        <v/>
      </c>
      <c r="E3388" s="45" t="str">
        <f t="shared" si="24"/>
        <v/>
      </c>
      <c r="F3388" s="59" t="str">
        <f t="shared" si="25"/>
        <v/>
      </c>
      <c r="G3388" s="59" t="str">
        <f t="shared" si="26"/>
        <v/>
      </c>
      <c r="H3388" s="59" t="str">
        <f t="shared" si="27"/>
        <v>28H00609</v>
      </c>
      <c r="I3388" s="59" t="str">
        <f>IF(OR($A3388="",$C3388="",$D3388="",$E3388="",$H3388=""),"",SUMIFS(DATA_GOC!$H:$H,DATA_GOC!$A:$A,"BOM",DATA_GOC!$D:$D,$H3388,DATA_GOC!$E:$E,$C3388,DATA_GOC!$F:$F,"Xuất nội bộ từ téc",DATA_GOC!$B:$B,"&gt;="&amp;$D3388,DATA_GOC!$B:$B,"&lt;="&amp;$E3388))</f>
        <v/>
      </c>
      <c r="J3388" s="59">
        <f t="shared" si="28"/>
        <v>0</v>
      </c>
      <c r="K3388" s="59">
        <f t="shared" si="29"/>
        <v>0</v>
      </c>
      <c r="L3388" s="59">
        <f t="shared" si="30"/>
        <v>0</v>
      </c>
      <c r="M3388" s="59">
        <f t="shared" si="31"/>
        <v>0</v>
      </c>
    </row>
    <row r="3389" ht="15.0" hidden="1" customHeight="1">
      <c r="A3389" s="59">
        <f t="shared" si="20"/>
        <v>53</v>
      </c>
      <c r="B3389" s="59" t="str">
        <f t="shared" si="21"/>
        <v/>
      </c>
      <c r="C3389" s="59" t="str">
        <f t="shared" si="22"/>
        <v/>
      </c>
      <c r="D3389" s="45" t="str">
        <f t="shared" si="23"/>
        <v/>
      </c>
      <c r="E3389" s="45" t="str">
        <f t="shared" si="24"/>
        <v/>
      </c>
      <c r="F3389" s="59" t="str">
        <f t="shared" si="25"/>
        <v/>
      </c>
      <c r="G3389" s="59" t="str">
        <f t="shared" si="26"/>
        <v/>
      </c>
      <c r="H3389" s="59" t="str">
        <f t="shared" si="27"/>
        <v>28H00669</v>
      </c>
      <c r="I3389" s="59" t="str">
        <f>IF(OR($A3389="",$C3389="",$D3389="",$E3389="",$H3389=""),"",SUMIFS(DATA_GOC!$H:$H,DATA_GOC!$A:$A,"BOM",DATA_GOC!$D:$D,$H3389,DATA_GOC!$E:$E,$C3389,DATA_GOC!$F:$F,"Xuất nội bộ từ téc",DATA_GOC!$B:$B,"&gt;="&amp;$D3389,DATA_GOC!$B:$B,"&lt;="&amp;$E3389))</f>
        <v/>
      </c>
      <c r="J3389" s="59">
        <f t="shared" si="28"/>
        <v>0</v>
      </c>
      <c r="K3389" s="59">
        <f t="shared" si="29"/>
        <v>0</v>
      </c>
      <c r="L3389" s="59">
        <f t="shared" si="30"/>
        <v>0</v>
      </c>
      <c r="M3389" s="59">
        <f t="shared" si="31"/>
        <v>0</v>
      </c>
    </row>
    <row r="3390" ht="15.0" hidden="1" customHeight="1">
      <c r="A3390" s="59">
        <f t="shared" si="20"/>
        <v>53</v>
      </c>
      <c r="B3390" s="59" t="str">
        <f t="shared" si="21"/>
        <v/>
      </c>
      <c r="C3390" s="59" t="str">
        <f t="shared" si="22"/>
        <v/>
      </c>
      <c r="D3390" s="45" t="str">
        <f t="shared" si="23"/>
        <v/>
      </c>
      <c r="E3390" s="45" t="str">
        <f t="shared" si="24"/>
        <v/>
      </c>
      <c r="F3390" s="59" t="str">
        <f t="shared" si="25"/>
        <v/>
      </c>
      <c r="G3390" s="59" t="str">
        <f t="shared" si="26"/>
        <v/>
      </c>
      <c r="H3390" s="59" t="str">
        <f t="shared" si="27"/>
        <v>28H00680</v>
      </c>
      <c r="I3390" s="59" t="str">
        <f>IF(OR($A3390="",$C3390="",$D3390="",$E3390="",$H3390=""),"",SUMIFS(DATA_GOC!$H:$H,DATA_GOC!$A:$A,"BOM",DATA_GOC!$D:$D,$H3390,DATA_GOC!$E:$E,$C3390,DATA_GOC!$F:$F,"Xuất nội bộ từ téc",DATA_GOC!$B:$B,"&gt;="&amp;$D3390,DATA_GOC!$B:$B,"&lt;="&amp;$E3390))</f>
        <v/>
      </c>
      <c r="J3390" s="59">
        <f t="shared" si="28"/>
        <v>0</v>
      </c>
      <c r="K3390" s="59">
        <f t="shared" si="29"/>
        <v>0</v>
      </c>
      <c r="L3390" s="59">
        <f t="shared" si="30"/>
        <v>0</v>
      </c>
      <c r="M3390" s="59">
        <f t="shared" si="31"/>
        <v>0</v>
      </c>
    </row>
    <row r="3391" ht="15.0" hidden="1" customHeight="1">
      <c r="A3391" s="59">
        <f t="shared" si="20"/>
        <v>53</v>
      </c>
      <c r="B3391" s="59" t="str">
        <f t="shared" si="21"/>
        <v/>
      </c>
      <c r="C3391" s="59" t="str">
        <f t="shared" si="22"/>
        <v/>
      </c>
      <c r="D3391" s="45" t="str">
        <f t="shared" si="23"/>
        <v/>
      </c>
      <c r="E3391" s="45" t="str">
        <f t="shared" si="24"/>
        <v/>
      </c>
      <c r="F3391" s="59" t="str">
        <f t="shared" si="25"/>
        <v/>
      </c>
      <c r="G3391" s="59" t="str">
        <f t="shared" si="26"/>
        <v/>
      </c>
      <c r="H3391" s="59" t="str">
        <f t="shared" si="27"/>
        <v>28H01070</v>
      </c>
      <c r="I3391" s="59" t="str">
        <f>IF(OR($A3391="",$C3391="",$D3391="",$E3391="",$H3391=""),"",SUMIFS(DATA_GOC!$H:$H,DATA_GOC!$A:$A,"BOM",DATA_GOC!$D:$D,$H3391,DATA_GOC!$E:$E,$C3391,DATA_GOC!$F:$F,"Xuất nội bộ từ téc",DATA_GOC!$B:$B,"&gt;="&amp;$D3391,DATA_GOC!$B:$B,"&lt;="&amp;$E3391))</f>
        <v/>
      </c>
      <c r="J3391" s="59">
        <f t="shared" si="28"/>
        <v>0</v>
      </c>
      <c r="K3391" s="59">
        <f t="shared" si="29"/>
        <v>0</v>
      </c>
      <c r="L3391" s="59">
        <f t="shared" si="30"/>
        <v>0</v>
      </c>
      <c r="M3391" s="59">
        <f t="shared" si="31"/>
        <v>0</v>
      </c>
    </row>
    <row r="3392" ht="15.0" hidden="1" customHeight="1">
      <c r="A3392" s="59">
        <f t="shared" si="20"/>
        <v>53</v>
      </c>
      <c r="B3392" s="59" t="str">
        <f t="shared" si="21"/>
        <v/>
      </c>
      <c r="C3392" s="59" t="str">
        <f t="shared" si="22"/>
        <v/>
      </c>
      <c r="D3392" s="45" t="str">
        <f t="shared" si="23"/>
        <v/>
      </c>
      <c r="E3392" s="45" t="str">
        <f t="shared" si="24"/>
        <v/>
      </c>
      <c r="F3392" s="59" t="str">
        <f t="shared" si="25"/>
        <v/>
      </c>
      <c r="G3392" s="59" t="str">
        <f t="shared" si="26"/>
        <v/>
      </c>
      <c r="H3392" s="59" t="str">
        <f t="shared" si="27"/>
        <v>28H01364</v>
      </c>
      <c r="I3392" s="59" t="str">
        <f>IF(OR($A3392="",$C3392="",$D3392="",$E3392="",$H3392=""),"",SUMIFS(DATA_GOC!$H:$H,DATA_GOC!$A:$A,"BOM",DATA_GOC!$D:$D,$H3392,DATA_GOC!$E:$E,$C3392,DATA_GOC!$F:$F,"Xuất nội bộ từ téc",DATA_GOC!$B:$B,"&gt;="&amp;$D3392,DATA_GOC!$B:$B,"&lt;="&amp;$E3392))</f>
        <v/>
      </c>
      <c r="J3392" s="59">
        <f t="shared" si="28"/>
        <v>0</v>
      </c>
      <c r="K3392" s="59">
        <f t="shared" si="29"/>
        <v>0</v>
      </c>
      <c r="L3392" s="59">
        <f t="shared" si="30"/>
        <v>0</v>
      </c>
      <c r="M3392" s="59">
        <f t="shared" si="31"/>
        <v>0</v>
      </c>
    </row>
    <row r="3393" ht="15.0" hidden="1" customHeight="1">
      <c r="A3393" s="59">
        <f t="shared" si="20"/>
        <v>53</v>
      </c>
      <c r="B3393" s="59" t="str">
        <f t="shared" si="21"/>
        <v/>
      </c>
      <c r="C3393" s="59" t="str">
        <f t="shared" si="22"/>
        <v/>
      </c>
      <c r="D3393" s="45" t="str">
        <f t="shared" si="23"/>
        <v/>
      </c>
      <c r="E3393" s="45" t="str">
        <f t="shared" si="24"/>
        <v/>
      </c>
      <c r="F3393" s="59" t="str">
        <f t="shared" si="25"/>
        <v/>
      </c>
      <c r="G3393" s="59" t="str">
        <f t="shared" si="26"/>
        <v/>
      </c>
      <c r="H3393" s="59" t="str">
        <f t="shared" si="27"/>
        <v>29E17269</v>
      </c>
      <c r="I3393" s="59" t="str">
        <f>IF(OR($A3393="",$C3393="",$D3393="",$E3393="",$H3393=""),"",SUMIFS(DATA_GOC!$H:$H,DATA_GOC!$A:$A,"BOM",DATA_GOC!$D:$D,$H3393,DATA_GOC!$E:$E,$C3393,DATA_GOC!$F:$F,"Xuất nội bộ từ téc",DATA_GOC!$B:$B,"&gt;="&amp;$D3393,DATA_GOC!$B:$B,"&lt;="&amp;$E3393))</f>
        <v/>
      </c>
      <c r="J3393" s="59">
        <f t="shared" si="28"/>
        <v>0</v>
      </c>
      <c r="K3393" s="59">
        <f t="shared" si="29"/>
        <v>0</v>
      </c>
      <c r="L3393" s="59">
        <f t="shared" si="30"/>
        <v>0</v>
      </c>
      <c r="M3393" s="59">
        <f t="shared" si="31"/>
        <v>0</v>
      </c>
    </row>
    <row r="3394" ht="15.0" hidden="1" customHeight="1">
      <c r="A3394" s="59">
        <f t="shared" si="20"/>
        <v>53</v>
      </c>
      <c r="B3394" s="59" t="str">
        <f t="shared" si="21"/>
        <v/>
      </c>
      <c r="C3394" s="59" t="str">
        <f t="shared" si="22"/>
        <v/>
      </c>
      <c r="D3394" s="45" t="str">
        <f t="shared" si="23"/>
        <v/>
      </c>
      <c r="E3394" s="45" t="str">
        <f t="shared" si="24"/>
        <v/>
      </c>
      <c r="F3394" s="59" t="str">
        <f t="shared" si="25"/>
        <v/>
      </c>
      <c r="G3394" s="59" t="str">
        <f t="shared" si="26"/>
        <v/>
      </c>
      <c r="H3394" s="59" t="str">
        <f t="shared" si="27"/>
        <v>29E17273</v>
      </c>
      <c r="I3394" s="59" t="str">
        <f>IF(OR($A3394="",$C3394="",$D3394="",$E3394="",$H3394=""),"",SUMIFS(DATA_GOC!$H:$H,DATA_GOC!$A:$A,"BOM",DATA_GOC!$D:$D,$H3394,DATA_GOC!$E:$E,$C3394,DATA_GOC!$F:$F,"Xuất nội bộ từ téc",DATA_GOC!$B:$B,"&gt;="&amp;$D3394,DATA_GOC!$B:$B,"&lt;="&amp;$E3394))</f>
        <v/>
      </c>
      <c r="J3394" s="59">
        <f t="shared" si="28"/>
        <v>0</v>
      </c>
      <c r="K3394" s="59">
        <f t="shared" si="29"/>
        <v>0</v>
      </c>
      <c r="L3394" s="59">
        <f t="shared" si="30"/>
        <v>0</v>
      </c>
      <c r="M3394" s="59">
        <f t="shared" si="31"/>
        <v>0</v>
      </c>
    </row>
    <row r="3395" ht="15.0" hidden="1" customHeight="1">
      <c r="A3395" s="59">
        <f t="shared" si="20"/>
        <v>53</v>
      </c>
      <c r="B3395" s="59" t="str">
        <f t="shared" si="21"/>
        <v/>
      </c>
      <c r="C3395" s="59" t="str">
        <f t="shared" si="22"/>
        <v/>
      </c>
      <c r="D3395" s="45" t="str">
        <f t="shared" si="23"/>
        <v/>
      </c>
      <c r="E3395" s="45" t="str">
        <f t="shared" si="24"/>
        <v/>
      </c>
      <c r="F3395" s="59" t="str">
        <f t="shared" si="25"/>
        <v/>
      </c>
      <c r="G3395" s="59" t="str">
        <f t="shared" si="26"/>
        <v/>
      </c>
      <c r="H3395" s="59" t="str">
        <f t="shared" si="27"/>
        <v>29E17410</v>
      </c>
      <c r="I3395" s="59" t="str">
        <f>IF(OR($A3395="",$C3395="",$D3395="",$E3395="",$H3395=""),"",SUMIFS(DATA_GOC!$H:$H,DATA_GOC!$A:$A,"BOM",DATA_GOC!$D:$D,$H3395,DATA_GOC!$E:$E,$C3395,DATA_GOC!$F:$F,"Xuất nội bộ từ téc",DATA_GOC!$B:$B,"&gt;="&amp;$D3395,DATA_GOC!$B:$B,"&lt;="&amp;$E3395))</f>
        <v/>
      </c>
      <c r="J3395" s="59">
        <f t="shared" si="28"/>
        <v>0</v>
      </c>
      <c r="K3395" s="59">
        <f t="shared" si="29"/>
        <v>0</v>
      </c>
      <c r="L3395" s="59">
        <f t="shared" si="30"/>
        <v>0</v>
      </c>
      <c r="M3395" s="59">
        <f t="shared" si="31"/>
        <v>0</v>
      </c>
    </row>
    <row r="3396" ht="15.0" hidden="1" customHeight="1">
      <c r="A3396" s="59">
        <f t="shared" si="20"/>
        <v>53</v>
      </c>
      <c r="B3396" s="59" t="str">
        <f t="shared" si="21"/>
        <v/>
      </c>
      <c r="C3396" s="59" t="str">
        <f t="shared" si="22"/>
        <v/>
      </c>
      <c r="D3396" s="45" t="str">
        <f t="shared" si="23"/>
        <v/>
      </c>
      <c r="E3396" s="45" t="str">
        <f t="shared" si="24"/>
        <v/>
      </c>
      <c r="F3396" s="59" t="str">
        <f t="shared" si="25"/>
        <v/>
      </c>
      <c r="G3396" s="59" t="str">
        <f t="shared" si="26"/>
        <v/>
      </c>
      <c r="H3396" s="59" t="str">
        <f t="shared" si="27"/>
        <v>29E17417</v>
      </c>
      <c r="I3396" s="59" t="str">
        <f>IF(OR($A3396="",$C3396="",$D3396="",$E3396="",$H3396=""),"",SUMIFS(DATA_GOC!$H:$H,DATA_GOC!$A:$A,"BOM",DATA_GOC!$D:$D,$H3396,DATA_GOC!$E:$E,$C3396,DATA_GOC!$F:$F,"Xuất nội bộ từ téc",DATA_GOC!$B:$B,"&gt;="&amp;$D3396,DATA_GOC!$B:$B,"&lt;="&amp;$E3396))</f>
        <v/>
      </c>
      <c r="J3396" s="59">
        <f t="shared" si="28"/>
        <v>0</v>
      </c>
      <c r="K3396" s="59">
        <f t="shared" si="29"/>
        <v>0</v>
      </c>
      <c r="L3396" s="59">
        <f t="shared" si="30"/>
        <v>0</v>
      </c>
      <c r="M3396" s="59">
        <f t="shared" si="31"/>
        <v>0</v>
      </c>
    </row>
    <row r="3397" ht="15.0" hidden="1" customHeight="1">
      <c r="A3397" s="59">
        <f t="shared" si="20"/>
        <v>53</v>
      </c>
      <c r="B3397" s="59" t="str">
        <f t="shared" si="21"/>
        <v/>
      </c>
      <c r="C3397" s="59" t="str">
        <f t="shared" si="22"/>
        <v/>
      </c>
      <c r="D3397" s="45" t="str">
        <f t="shared" si="23"/>
        <v/>
      </c>
      <c r="E3397" s="45" t="str">
        <f t="shared" si="24"/>
        <v/>
      </c>
      <c r="F3397" s="59" t="str">
        <f t="shared" si="25"/>
        <v/>
      </c>
      <c r="G3397" s="59" t="str">
        <f t="shared" si="26"/>
        <v/>
      </c>
      <c r="H3397" s="59" t="str">
        <f t="shared" si="27"/>
        <v>29E17539</v>
      </c>
      <c r="I3397" s="59" t="str">
        <f>IF(OR($A3397="",$C3397="",$D3397="",$E3397="",$H3397=""),"",SUMIFS(DATA_GOC!$H:$H,DATA_GOC!$A:$A,"BOM",DATA_GOC!$D:$D,$H3397,DATA_GOC!$E:$E,$C3397,DATA_GOC!$F:$F,"Xuất nội bộ từ téc",DATA_GOC!$B:$B,"&gt;="&amp;$D3397,DATA_GOC!$B:$B,"&lt;="&amp;$E3397))</f>
        <v/>
      </c>
      <c r="J3397" s="59">
        <f t="shared" si="28"/>
        <v>0</v>
      </c>
      <c r="K3397" s="59">
        <f t="shared" si="29"/>
        <v>0</v>
      </c>
      <c r="L3397" s="59">
        <f t="shared" si="30"/>
        <v>0</v>
      </c>
      <c r="M3397" s="59">
        <f t="shared" si="31"/>
        <v>0</v>
      </c>
    </row>
    <row r="3398" ht="15.0" hidden="1" customHeight="1">
      <c r="A3398" s="59">
        <f t="shared" si="20"/>
        <v>53</v>
      </c>
      <c r="B3398" s="59" t="str">
        <f t="shared" si="21"/>
        <v/>
      </c>
      <c r="C3398" s="59" t="str">
        <f t="shared" si="22"/>
        <v/>
      </c>
      <c r="D3398" s="45" t="str">
        <f t="shared" si="23"/>
        <v/>
      </c>
      <c r="E3398" s="45" t="str">
        <f t="shared" si="24"/>
        <v/>
      </c>
      <c r="F3398" s="59" t="str">
        <f t="shared" si="25"/>
        <v/>
      </c>
      <c r="G3398" s="59" t="str">
        <f t="shared" si="26"/>
        <v/>
      </c>
      <c r="H3398" s="59" t="str">
        <f t="shared" si="27"/>
        <v>29E18160</v>
      </c>
      <c r="I3398" s="59" t="str">
        <f>IF(OR($A3398="",$C3398="",$D3398="",$E3398="",$H3398=""),"",SUMIFS(DATA_GOC!$H:$H,DATA_GOC!$A:$A,"BOM",DATA_GOC!$D:$D,$H3398,DATA_GOC!$E:$E,$C3398,DATA_GOC!$F:$F,"Xuất nội bộ từ téc",DATA_GOC!$B:$B,"&gt;="&amp;$D3398,DATA_GOC!$B:$B,"&lt;="&amp;$E3398))</f>
        <v/>
      </c>
      <c r="J3398" s="59">
        <f t="shared" si="28"/>
        <v>0</v>
      </c>
      <c r="K3398" s="59">
        <f t="shared" si="29"/>
        <v>0</v>
      </c>
      <c r="L3398" s="59">
        <f t="shared" si="30"/>
        <v>0</v>
      </c>
      <c r="M3398" s="59">
        <f t="shared" si="31"/>
        <v>0</v>
      </c>
    </row>
    <row r="3399" ht="15.0" hidden="1" customHeight="1">
      <c r="A3399" s="59">
        <f t="shared" si="20"/>
        <v>53</v>
      </c>
      <c r="B3399" s="59" t="str">
        <f t="shared" si="21"/>
        <v/>
      </c>
      <c r="C3399" s="59" t="str">
        <f t="shared" si="22"/>
        <v/>
      </c>
      <c r="D3399" s="45" t="str">
        <f t="shared" si="23"/>
        <v/>
      </c>
      <c r="E3399" s="45" t="str">
        <f t="shared" si="24"/>
        <v/>
      </c>
      <c r="F3399" s="59" t="str">
        <f t="shared" si="25"/>
        <v/>
      </c>
      <c r="G3399" s="59" t="str">
        <f t="shared" si="26"/>
        <v/>
      </c>
      <c r="H3399" s="59" t="str">
        <f t="shared" si="27"/>
        <v>Công trình Asphalt</v>
      </c>
      <c r="I3399" s="59" t="str">
        <f>IF(OR($A3399="",$C3399="",$D3399="",$E3399="",$H3399=""),"",SUMIFS(DATA_GOC!$H:$H,DATA_GOC!$A:$A,"BOM",DATA_GOC!$D:$D,$H3399,DATA_GOC!$E:$E,$C3399,DATA_GOC!$F:$F,"Xuất nội bộ từ téc",DATA_GOC!$B:$B,"&gt;="&amp;$D3399,DATA_GOC!$B:$B,"&lt;="&amp;$E3399))</f>
        <v/>
      </c>
      <c r="J3399" s="59">
        <f t="shared" si="28"/>
        <v>0</v>
      </c>
      <c r="K3399" s="59">
        <f t="shared" si="29"/>
        <v>0</v>
      </c>
      <c r="L3399" s="59">
        <f t="shared" si="30"/>
        <v>0</v>
      </c>
      <c r="M3399" s="59">
        <f t="shared" si="31"/>
        <v>0</v>
      </c>
    </row>
    <row r="3400" ht="15.0" hidden="1" customHeight="1">
      <c r="A3400" s="59">
        <f t="shared" si="20"/>
        <v>53</v>
      </c>
      <c r="B3400" s="59" t="str">
        <f t="shared" si="21"/>
        <v/>
      </c>
      <c r="C3400" s="59" t="str">
        <f t="shared" si="22"/>
        <v/>
      </c>
      <c r="D3400" s="45" t="str">
        <f t="shared" si="23"/>
        <v/>
      </c>
      <c r="E3400" s="45" t="str">
        <f t="shared" si="24"/>
        <v/>
      </c>
      <c r="F3400" s="59" t="str">
        <f t="shared" si="25"/>
        <v/>
      </c>
      <c r="G3400" s="59" t="str">
        <f t="shared" si="26"/>
        <v/>
      </c>
      <c r="H3400" s="59" t="str">
        <f t="shared" si="27"/>
        <v>LG53F</v>
      </c>
      <c r="I3400" s="59" t="str">
        <f>IF(OR($A3400="",$C3400="",$D3400="",$E3400="",$H3400=""),"",SUMIFS(DATA_GOC!$H:$H,DATA_GOC!$A:$A,"BOM",DATA_GOC!$D:$D,$H3400,DATA_GOC!$E:$E,$C3400,DATA_GOC!$F:$F,"Xuất nội bộ từ téc",DATA_GOC!$B:$B,"&gt;="&amp;$D3400,DATA_GOC!$B:$B,"&lt;="&amp;$E3400))</f>
        <v/>
      </c>
      <c r="J3400" s="59">
        <f t="shared" si="28"/>
        <v>0</v>
      </c>
      <c r="K3400" s="59">
        <f t="shared" si="29"/>
        <v>0</v>
      </c>
      <c r="L3400" s="59">
        <f t="shared" si="30"/>
        <v>0</v>
      </c>
      <c r="M3400" s="59">
        <f t="shared" si="31"/>
        <v>0</v>
      </c>
    </row>
    <row r="3401" ht="15.0" hidden="1" customHeight="1">
      <c r="A3401" s="59">
        <f t="shared" si="20"/>
        <v>53</v>
      </c>
      <c r="B3401" s="59" t="str">
        <f t="shared" si="21"/>
        <v/>
      </c>
      <c r="C3401" s="59" t="str">
        <f t="shared" si="22"/>
        <v/>
      </c>
      <c r="D3401" s="45" t="str">
        <f t="shared" si="23"/>
        <v/>
      </c>
      <c r="E3401" s="45" t="str">
        <f t="shared" si="24"/>
        <v/>
      </c>
      <c r="F3401" s="59" t="str">
        <f t="shared" si="25"/>
        <v/>
      </c>
      <c r="G3401" s="59" t="str">
        <f t="shared" si="26"/>
        <v/>
      </c>
      <c r="H3401" s="59" t="str">
        <f t="shared" si="27"/>
        <v>Máy phát điện</v>
      </c>
      <c r="I3401" s="59" t="str">
        <f>IF(OR($A3401="",$C3401="",$D3401="",$E3401="",$H3401=""),"",SUMIFS(DATA_GOC!$H:$H,DATA_GOC!$A:$A,"BOM",DATA_GOC!$D:$D,$H3401,DATA_GOC!$E:$E,$C3401,DATA_GOC!$F:$F,"Xuất nội bộ từ téc",DATA_GOC!$B:$B,"&gt;="&amp;$D3401,DATA_GOC!$B:$B,"&lt;="&amp;$E3401))</f>
        <v/>
      </c>
      <c r="J3401" s="59">
        <f t="shared" si="28"/>
        <v>0</v>
      </c>
      <c r="K3401" s="59">
        <f t="shared" si="29"/>
        <v>0</v>
      </c>
      <c r="L3401" s="59">
        <f t="shared" si="30"/>
        <v>0</v>
      </c>
      <c r="M3401" s="59">
        <f t="shared" si="31"/>
        <v>0</v>
      </c>
    </row>
    <row r="3402" ht="15.0" hidden="1" customHeight="1">
      <c r="A3402" s="59">
        <f t="shared" si="20"/>
        <v>53</v>
      </c>
      <c r="B3402" s="59" t="str">
        <f t="shared" si="21"/>
        <v/>
      </c>
      <c r="C3402" s="59" t="str">
        <f t="shared" si="22"/>
        <v/>
      </c>
      <c r="D3402" s="45" t="str">
        <f t="shared" si="23"/>
        <v/>
      </c>
      <c r="E3402" s="45" t="str">
        <f t="shared" si="24"/>
        <v/>
      </c>
      <c r="F3402" s="59" t="str">
        <f t="shared" si="25"/>
        <v/>
      </c>
      <c r="G3402" s="59" t="str">
        <f t="shared" si="26"/>
        <v/>
      </c>
      <c r="H3402" s="59" t="str">
        <f t="shared" si="27"/>
        <v>Máy rải thảm</v>
      </c>
      <c r="I3402" s="59" t="str">
        <f>IF(OR($A3402="",$C3402="",$D3402="",$E3402="",$H3402=""),"",SUMIFS(DATA_GOC!$H:$H,DATA_GOC!$A:$A,"BOM",DATA_GOC!$D:$D,$H3402,DATA_GOC!$E:$E,$C3402,DATA_GOC!$F:$F,"Xuất nội bộ từ téc",DATA_GOC!$B:$B,"&gt;="&amp;$D3402,DATA_GOC!$B:$B,"&lt;="&amp;$E3402))</f>
        <v/>
      </c>
      <c r="J3402" s="59">
        <f t="shared" si="28"/>
        <v>0</v>
      </c>
      <c r="K3402" s="59">
        <f t="shared" si="29"/>
        <v>0</v>
      </c>
      <c r="L3402" s="59">
        <f t="shared" si="30"/>
        <v>0</v>
      </c>
      <c r="M3402" s="59">
        <f t="shared" si="31"/>
        <v>0</v>
      </c>
    </row>
    <row r="3403" ht="15.0" hidden="1" customHeight="1">
      <c r="A3403" s="59">
        <f t="shared" si="20"/>
        <v>53</v>
      </c>
      <c r="B3403" s="59" t="str">
        <f t="shared" si="21"/>
        <v/>
      </c>
      <c r="C3403" s="59" t="str">
        <f t="shared" si="22"/>
        <v/>
      </c>
      <c r="D3403" s="45" t="str">
        <f t="shared" si="23"/>
        <v/>
      </c>
      <c r="E3403" s="45" t="str">
        <f t="shared" si="24"/>
        <v/>
      </c>
      <c r="F3403" s="59" t="str">
        <f t="shared" si="25"/>
        <v/>
      </c>
      <c r="G3403" s="59" t="str">
        <f t="shared" si="26"/>
        <v/>
      </c>
      <c r="H3403" s="59" t="str">
        <f t="shared" si="27"/>
        <v>Xúc Đào</v>
      </c>
      <c r="I3403" s="59" t="str">
        <f>IF(OR($A3403="",$C3403="",$D3403="",$E3403="",$H3403=""),"",SUMIFS(DATA_GOC!$H:$H,DATA_GOC!$A:$A,"BOM",DATA_GOC!$D:$D,$H3403,DATA_GOC!$E:$E,$C3403,DATA_GOC!$F:$F,"Xuất nội bộ từ téc",DATA_GOC!$B:$B,"&gt;="&amp;$D3403,DATA_GOC!$B:$B,"&lt;="&amp;$E3403))</f>
        <v/>
      </c>
      <c r="J3403" s="59">
        <f t="shared" si="28"/>
        <v>0</v>
      </c>
      <c r="K3403" s="59">
        <f t="shared" si="29"/>
        <v>0</v>
      </c>
      <c r="L3403" s="59">
        <f t="shared" si="30"/>
        <v>0</v>
      </c>
      <c r="M3403" s="59">
        <f t="shared" si="31"/>
        <v>0</v>
      </c>
    </row>
    <row r="3404" ht="15.0" hidden="1" customHeight="1">
      <c r="A3404" s="59">
        <f t="shared" si="20"/>
        <v>53</v>
      </c>
      <c r="B3404" s="59" t="str">
        <f t="shared" si="21"/>
        <v/>
      </c>
      <c r="C3404" s="59" t="str">
        <f t="shared" si="22"/>
        <v/>
      </c>
      <c r="D3404" s="45" t="str">
        <f t="shared" si="23"/>
        <v/>
      </c>
      <c r="E3404" s="45" t="str">
        <f t="shared" si="24"/>
        <v/>
      </c>
      <c r="F3404" s="59" t="str">
        <f t="shared" si="25"/>
        <v/>
      </c>
      <c r="G3404" s="59" t="str">
        <f t="shared" si="26"/>
        <v/>
      </c>
      <c r="H3404" s="59" t="str">
        <f t="shared" si="27"/>
        <v>Xúclật asphalt</v>
      </c>
      <c r="I3404" s="59" t="str">
        <f>IF(OR($A3404="",$C3404="",$D3404="",$E3404="",$H3404=""),"",SUMIFS(DATA_GOC!$H:$H,DATA_GOC!$A:$A,"BOM",DATA_GOC!$D:$D,$H3404,DATA_GOC!$E:$E,$C3404,DATA_GOC!$F:$F,"Xuất nội bộ từ téc",DATA_GOC!$B:$B,"&gt;="&amp;$D3404,DATA_GOC!$B:$B,"&lt;="&amp;$E3404))</f>
        <v/>
      </c>
      <c r="J3404" s="59">
        <f t="shared" si="28"/>
        <v>0</v>
      </c>
      <c r="K3404" s="59">
        <f t="shared" si="29"/>
        <v>0</v>
      </c>
      <c r="L3404" s="59">
        <f t="shared" si="30"/>
        <v>0</v>
      </c>
      <c r="M3404" s="59">
        <f t="shared" si="31"/>
        <v>0</v>
      </c>
    </row>
    <row r="3405" ht="15.0" hidden="1" customHeight="1">
      <c r="A3405" s="59">
        <f t="shared" si="20"/>
        <v>53</v>
      </c>
      <c r="B3405" s="59" t="str">
        <f t="shared" si="21"/>
        <v/>
      </c>
      <c r="C3405" s="59" t="str">
        <f t="shared" si="22"/>
        <v/>
      </c>
      <c r="D3405" s="45" t="str">
        <f t="shared" si="23"/>
        <v/>
      </c>
      <c r="E3405" s="45" t="str">
        <f t="shared" si="24"/>
        <v/>
      </c>
      <c r="F3405" s="59" t="str">
        <f t="shared" si="25"/>
        <v/>
      </c>
      <c r="G3405" s="59" t="str">
        <f t="shared" si="26"/>
        <v/>
      </c>
      <c r="H3405" s="59" t="str">
        <f t="shared" si="27"/>
        <v>Xúclật855H</v>
      </c>
      <c r="I3405" s="59" t="str">
        <f>IF(OR($A3405="",$C3405="",$D3405="",$E3405="",$H3405=""),"",SUMIFS(DATA_GOC!$H:$H,DATA_GOC!$A:$A,"BOM",DATA_GOC!$D:$D,$H3405,DATA_GOC!$E:$E,$C3405,DATA_GOC!$F:$F,"Xuất nội bộ từ téc",DATA_GOC!$B:$B,"&gt;="&amp;$D3405,DATA_GOC!$B:$B,"&lt;="&amp;$E3405))</f>
        <v/>
      </c>
      <c r="J3405" s="59">
        <f t="shared" si="28"/>
        <v>0</v>
      </c>
      <c r="K3405" s="59">
        <f t="shared" si="29"/>
        <v>0</v>
      </c>
      <c r="L3405" s="59">
        <f t="shared" si="30"/>
        <v>0</v>
      </c>
      <c r="M3405" s="59">
        <f t="shared" si="31"/>
        <v>0</v>
      </c>
    </row>
    <row r="3406" ht="15.0" hidden="1" customHeight="1">
      <c r="A3406" s="59">
        <f t="shared" si="20"/>
        <v>53</v>
      </c>
      <c r="B3406" s="59" t="str">
        <f t="shared" si="21"/>
        <v/>
      </c>
      <c r="C3406" s="59" t="str">
        <f t="shared" si="22"/>
        <v/>
      </c>
      <c r="D3406" s="45" t="str">
        <f t="shared" si="23"/>
        <v/>
      </c>
      <c r="E3406" s="45" t="str">
        <f t="shared" si="24"/>
        <v/>
      </c>
      <c r="F3406" s="59" t="str">
        <f t="shared" si="25"/>
        <v/>
      </c>
      <c r="G3406" s="59" t="str">
        <f t="shared" si="26"/>
        <v/>
      </c>
      <c r="H3406" s="59" t="str">
        <f t="shared" si="27"/>
        <v>Xúclật855N</v>
      </c>
      <c r="I3406" s="59" t="str">
        <f>IF(OR($A3406="",$C3406="",$D3406="",$E3406="",$H3406=""),"",SUMIFS(DATA_GOC!$H:$H,DATA_GOC!$A:$A,"BOM",DATA_GOC!$D:$D,$H3406,DATA_GOC!$E:$E,$C3406,DATA_GOC!$F:$F,"Xuất nội bộ từ téc",DATA_GOC!$B:$B,"&gt;="&amp;$D3406,DATA_GOC!$B:$B,"&lt;="&amp;$E3406))</f>
        <v/>
      </c>
      <c r="J3406" s="59">
        <f t="shared" si="28"/>
        <v>0</v>
      </c>
      <c r="K3406" s="59">
        <f t="shared" si="29"/>
        <v>0</v>
      </c>
      <c r="L3406" s="59">
        <f t="shared" si="30"/>
        <v>0</v>
      </c>
      <c r="M3406" s="59">
        <f t="shared" si="31"/>
        <v>0</v>
      </c>
    </row>
    <row r="3407" ht="15.0" hidden="1" customHeight="1">
      <c r="A3407" s="59">
        <f t="shared" si="20"/>
        <v>53</v>
      </c>
      <c r="B3407" s="59" t="str">
        <f t="shared" si="21"/>
        <v/>
      </c>
      <c r="C3407" s="59" t="str">
        <f t="shared" si="22"/>
        <v/>
      </c>
      <c r="D3407" s="45" t="str">
        <f t="shared" si="23"/>
        <v/>
      </c>
      <c r="E3407" s="45" t="str">
        <f t="shared" si="24"/>
        <v/>
      </c>
      <c r="F3407" s="59" t="str">
        <f t="shared" si="25"/>
        <v/>
      </c>
      <c r="G3407" s="59" t="str">
        <f t="shared" si="26"/>
        <v/>
      </c>
      <c r="H3407" s="59" t="str">
        <f t="shared" si="27"/>
        <v>Cát nghiền</v>
      </c>
      <c r="I3407" s="59" t="str">
        <f>IF(OR($A3407="",$C3407="",$D3407="",$E3407="",$H3407=""),"",SUMIFS(DATA_GOC!$H:$H,DATA_GOC!$A:$A,"BOM",DATA_GOC!$D:$D,$H3407,DATA_GOC!$E:$E,$C3407,DATA_GOC!$F:$F,"Xuất nội bộ từ téc",DATA_GOC!$B:$B,"&gt;="&amp;$D3407,DATA_GOC!$B:$B,"&lt;="&amp;$E3407))</f>
        <v/>
      </c>
      <c r="J3407" s="59">
        <f t="shared" si="28"/>
        <v>0</v>
      </c>
      <c r="K3407" s="59">
        <f t="shared" si="29"/>
        <v>0</v>
      </c>
      <c r="L3407" s="59">
        <f t="shared" si="30"/>
        <v>0</v>
      </c>
      <c r="M3407" s="59">
        <f t="shared" si="31"/>
        <v>0</v>
      </c>
    </row>
    <row r="3408" ht="15.0" hidden="1" customHeight="1">
      <c r="A3408" s="59">
        <f t="shared" si="20"/>
        <v>53</v>
      </c>
      <c r="B3408" s="59" t="str">
        <f t="shared" si="21"/>
        <v/>
      </c>
      <c r="C3408" s="59" t="str">
        <f t="shared" si="22"/>
        <v/>
      </c>
      <c r="D3408" s="45" t="str">
        <f t="shared" si="23"/>
        <v/>
      </c>
      <c r="E3408" s="45" t="str">
        <f t="shared" si="24"/>
        <v/>
      </c>
      <c r="F3408" s="59" t="str">
        <f t="shared" si="25"/>
        <v/>
      </c>
      <c r="G3408" s="59" t="str">
        <f t="shared" si="26"/>
        <v/>
      </c>
      <c r="H3408" s="59" t="str">
        <f t="shared" si="27"/>
        <v>28C02973</v>
      </c>
      <c r="I3408" s="59" t="str">
        <f>IF(OR($A3408="",$C3408="",$D3408="",$E3408="",$H3408=""),"",SUMIFS(DATA_GOC!$H:$H,DATA_GOC!$A:$A,"BOM",DATA_GOC!$D:$D,$H3408,DATA_GOC!$E:$E,$C3408,DATA_GOC!$F:$F,"Xuất nội bộ từ téc",DATA_GOC!$B:$B,"&gt;="&amp;$D3408,DATA_GOC!$B:$B,"&lt;="&amp;$E3408))</f>
        <v/>
      </c>
      <c r="J3408" s="59">
        <f t="shared" si="28"/>
        <v>0</v>
      </c>
      <c r="K3408" s="59">
        <f t="shared" si="29"/>
        <v>0</v>
      </c>
      <c r="L3408" s="59">
        <f t="shared" si="30"/>
        <v>0</v>
      </c>
      <c r="M3408" s="59">
        <f t="shared" si="31"/>
        <v>0</v>
      </c>
    </row>
    <row r="3409" ht="15.0" hidden="1" customHeight="1">
      <c r="A3409" s="59">
        <f t="shared" si="20"/>
        <v>53</v>
      </c>
      <c r="B3409" s="59" t="str">
        <f t="shared" si="21"/>
        <v/>
      </c>
      <c r="C3409" s="59" t="str">
        <f t="shared" si="22"/>
        <v/>
      </c>
      <c r="D3409" s="45" t="str">
        <f t="shared" si="23"/>
        <v/>
      </c>
      <c r="E3409" s="45" t="str">
        <f t="shared" si="24"/>
        <v/>
      </c>
      <c r="F3409" s="59" t="str">
        <f t="shared" si="25"/>
        <v/>
      </c>
      <c r="G3409" s="59" t="str">
        <f t="shared" si="26"/>
        <v/>
      </c>
      <c r="H3409" s="59" t="str">
        <f t="shared" si="27"/>
        <v>28C03044</v>
      </c>
      <c r="I3409" s="59" t="str">
        <f>IF(OR($A3409="",$C3409="",$D3409="",$E3409="",$H3409=""),"",SUMIFS(DATA_GOC!$H:$H,DATA_GOC!$A:$A,"BOM",DATA_GOC!$D:$D,$H3409,DATA_GOC!$E:$E,$C3409,DATA_GOC!$F:$F,"Xuất nội bộ từ téc",DATA_GOC!$B:$B,"&gt;="&amp;$D3409,DATA_GOC!$B:$B,"&lt;="&amp;$E3409))</f>
        <v/>
      </c>
      <c r="J3409" s="59">
        <f t="shared" si="28"/>
        <v>0</v>
      </c>
      <c r="K3409" s="59">
        <f t="shared" si="29"/>
        <v>0</v>
      </c>
      <c r="L3409" s="59">
        <f t="shared" si="30"/>
        <v>0</v>
      </c>
      <c r="M3409" s="59">
        <f t="shared" si="31"/>
        <v>0</v>
      </c>
    </row>
    <row r="3410" ht="15.0" hidden="1" customHeight="1">
      <c r="A3410" s="59">
        <f t="shared" si="20"/>
        <v>53</v>
      </c>
      <c r="B3410" s="59" t="str">
        <f t="shared" si="21"/>
        <v/>
      </c>
      <c r="C3410" s="59" t="str">
        <f t="shared" si="22"/>
        <v/>
      </c>
      <c r="D3410" s="45" t="str">
        <f t="shared" si="23"/>
        <v/>
      </c>
      <c r="E3410" s="45" t="str">
        <f t="shared" si="24"/>
        <v/>
      </c>
      <c r="F3410" s="59" t="str">
        <f t="shared" si="25"/>
        <v/>
      </c>
      <c r="G3410" s="59" t="str">
        <f t="shared" si="26"/>
        <v/>
      </c>
      <c r="H3410" s="59" t="str">
        <f t="shared" si="27"/>
        <v>Máy lu lốp</v>
      </c>
      <c r="I3410" s="59" t="str">
        <f>IF(OR($A3410="",$C3410="",$D3410="",$E3410="",$H3410=""),"",SUMIFS(DATA_GOC!$H:$H,DATA_GOC!$A:$A,"BOM",DATA_GOC!$D:$D,$H3410,DATA_GOC!$E:$E,$C3410,DATA_GOC!$F:$F,"Xuất nội bộ từ téc",DATA_GOC!$B:$B,"&gt;="&amp;$D3410,DATA_GOC!$B:$B,"&lt;="&amp;$E3410))</f>
        <v/>
      </c>
      <c r="J3410" s="59">
        <f t="shared" si="28"/>
        <v>0</v>
      </c>
      <c r="K3410" s="59">
        <f t="shared" si="29"/>
        <v>0</v>
      </c>
      <c r="L3410" s="59">
        <f t="shared" si="30"/>
        <v>0</v>
      </c>
      <c r="M3410" s="59">
        <f t="shared" si="31"/>
        <v>0</v>
      </c>
    </row>
    <row r="3411" ht="15.0" hidden="1" customHeight="1">
      <c r="A3411" s="59">
        <f t="shared" si="20"/>
        <v>53</v>
      </c>
      <c r="B3411" s="59" t="str">
        <f t="shared" si="21"/>
        <v/>
      </c>
      <c r="C3411" s="59" t="str">
        <f t="shared" si="22"/>
        <v/>
      </c>
      <c r="D3411" s="45" t="str">
        <f t="shared" si="23"/>
        <v/>
      </c>
      <c r="E3411" s="45" t="str">
        <f t="shared" si="24"/>
        <v/>
      </c>
      <c r="F3411" s="59" t="str">
        <f t="shared" si="25"/>
        <v/>
      </c>
      <c r="G3411" s="59" t="str">
        <f t="shared" si="26"/>
        <v/>
      </c>
      <c r="H3411" s="59" t="str">
        <f t="shared" si="27"/>
        <v>Xe 600148</v>
      </c>
      <c r="I3411" s="59" t="str">
        <f>IF(OR($A3411="",$C3411="",$D3411="",$E3411="",$H3411=""),"",SUMIFS(DATA_GOC!$H:$H,DATA_GOC!$A:$A,"BOM",DATA_GOC!$D:$D,$H3411,DATA_GOC!$E:$E,$C3411,DATA_GOC!$F:$F,"Xuất nội bộ từ téc",DATA_GOC!$B:$B,"&gt;="&amp;$D3411,DATA_GOC!$B:$B,"&lt;="&amp;$E3411))</f>
        <v/>
      </c>
      <c r="J3411" s="59">
        <f t="shared" si="28"/>
        <v>0</v>
      </c>
      <c r="K3411" s="59">
        <f t="shared" si="29"/>
        <v>0</v>
      </c>
      <c r="L3411" s="59">
        <f t="shared" si="30"/>
        <v>0</v>
      </c>
      <c r="M3411" s="59">
        <f t="shared" si="31"/>
        <v>0</v>
      </c>
    </row>
    <row r="3412" ht="15.0" hidden="1" customHeight="1">
      <c r="A3412" s="59">
        <f t="shared" si="20"/>
        <v>53</v>
      </c>
      <c r="B3412" s="59" t="str">
        <f t="shared" si="21"/>
        <v/>
      </c>
      <c r="C3412" s="59" t="str">
        <f t="shared" si="22"/>
        <v/>
      </c>
      <c r="D3412" s="45" t="str">
        <f t="shared" si="23"/>
        <v/>
      </c>
      <c r="E3412" s="45" t="str">
        <f t="shared" si="24"/>
        <v/>
      </c>
      <c r="F3412" s="59" t="str">
        <f t="shared" si="25"/>
        <v/>
      </c>
      <c r="G3412" s="59" t="str">
        <f t="shared" si="26"/>
        <v/>
      </c>
      <c r="H3412" s="59" t="str">
        <f t="shared" si="27"/>
        <v>Xe ben mới</v>
      </c>
      <c r="I3412" s="59" t="str">
        <f>IF(OR($A3412="",$C3412="",$D3412="",$E3412="",$H3412=""),"",SUMIFS(DATA_GOC!$H:$H,DATA_GOC!$A:$A,"BOM",DATA_GOC!$D:$D,$H3412,DATA_GOC!$E:$E,$C3412,DATA_GOC!$F:$F,"Xuất nội bộ từ téc",DATA_GOC!$B:$B,"&gt;="&amp;$D3412,DATA_GOC!$B:$B,"&lt;="&amp;$E3412))</f>
        <v/>
      </c>
      <c r="J3412" s="59">
        <f t="shared" si="28"/>
        <v>0</v>
      </c>
      <c r="K3412" s="59">
        <f t="shared" si="29"/>
        <v>0</v>
      </c>
      <c r="L3412" s="59">
        <f t="shared" si="30"/>
        <v>0</v>
      </c>
      <c r="M3412" s="59">
        <f t="shared" si="31"/>
        <v>0</v>
      </c>
    </row>
    <row r="3413" ht="15.0" hidden="1" customHeight="1">
      <c r="A3413" s="59">
        <f t="shared" si="20"/>
        <v>54</v>
      </c>
      <c r="B3413" s="59" t="str">
        <f t="shared" si="21"/>
        <v/>
      </c>
      <c r="C3413" s="59" t="str">
        <f t="shared" si="22"/>
        <v/>
      </c>
      <c r="D3413" s="45" t="str">
        <f t="shared" si="23"/>
        <v/>
      </c>
      <c r="E3413" s="45" t="str">
        <f t="shared" si="24"/>
        <v/>
      </c>
      <c r="F3413" s="59" t="str">
        <f t="shared" si="25"/>
        <v/>
      </c>
      <c r="G3413" s="59" t="str">
        <f t="shared" si="26"/>
        <v/>
      </c>
      <c r="H3413" s="59" t="str">
        <f t="shared" si="27"/>
        <v>19H09482</v>
      </c>
      <c r="I3413" s="59" t="str">
        <f>IF(OR($A3413="",$C3413="",$D3413="",$E3413="",$H3413=""),"",SUMIFS(DATA_GOC!$H:$H,DATA_GOC!$A:$A,"BOM",DATA_GOC!$D:$D,$H3413,DATA_GOC!$E:$E,$C3413,DATA_GOC!$F:$F,"Xuất nội bộ từ téc",DATA_GOC!$B:$B,"&gt;="&amp;$D3413,DATA_GOC!$B:$B,"&lt;="&amp;$E3413))</f>
        <v/>
      </c>
      <c r="J3413" s="59">
        <f t="shared" si="28"/>
        <v>0</v>
      </c>
      <c r="K3413" s="59">
        <f t="shared" si="29"/>
        <v>0</v>
      </c>
      <c r="L3413" s="59">
        <f t="shared" si="30"/>
        <v>0</v>
      </c>
      <c r="M3413" s="59">
        <f t="shared" si="31"/>
        <v>0</v>
      </c>
    </row>
    <row r="3414" ht="15.0" hidden="1" customHeight="1">
      <c r="A3414" s="59">
        <f t="shared" si="20"/>
        <v>54</v>
      </c>
      <c r="B3414" s="59" t="str">
        <f t="shared" si="21"/>
        <v/>
      </c>
      <c r="C3414" s="59" t="str">
        <f t="shared" si="22"/>
        <v/>
      </c>
      <c r="D3414" s="45" t="str">
        <f t="shared" si="23"/>
        <v/>
      </c>
      <c r="E3414" s="45" t="str">
        <f t="shared" si="24"/>
        <v/>
      </c>
      <c r="F3414" s="59" t="str">
        <f t="shared" si="25"/>
        <v/>
      </c>
      <c r="G3414" s="59" t="str">
        <f t="shared" si="26"/>
        <v/>
      </c>
      <c r="H3414" s="59" t="str">
        <f t="shared" si="27"/>
        <v>28A30696</v>
      </c>
      <c r="I3414" s="59" t="str">
        <f>IF(OR($A3414="",$C3414="",$D3414="",$E3414="",$H3414=""),"",SUMIFS(DATA_GOC!$H:$H,DATA_GOC!$A:$A,"BOM",DATA_GOC!$D:$D,$H3414,DATA_GOC!$E:$E,$C3414,DATA_GOC!$F:$F,"Xuất nội bộ từ téc",DATA_GOC!$B:$B,"&gt;="&amp;$D3414,DATA_GOC!$B:$B,"&lt;="&amp;$E3414))</f>
        <v/>
      </c>
      <c r="J3414" s="59">
        <f t="shared" si="28"/>
        <v>0</v>
      </c>
      <c r="K3414" s="59">
        <f t="shared" si="29"/>
        <v>0</v>
      </c>
      <c r="L3414" s="59">
        <f t="shared" si="30"/>
        <v>0</v>
      </c>
      <c r="M3414" s="59">
        <f t="shared" si="31"/>
        <v>0</v>
      </c>
    </row>
    <row r="3415" ht="15.0" hidden="1" customHeight="1">
      <c r="A3415" s="59">
        <f t="shared" si="20"/>
        <v>54</v>
      </c>
      <c r="B3415" s="59" t="str">
        <f t="shared" si="21"/>
        <v/>
      </c>
      <c r="C3415" s="59" t="str">
        <f t="shared" si="22"/>
        <v/>
      </c>
      <c r="D3415" s="45" t="str">
        <f t="shared" si="23"/>
        <v/>
      </c>
      <c r="E3415" s="45" t="str">
        <f t="shared" si="24"/>
        <v/>
      </c>
      <c r="F3415" s="59" t="str">
        <f t="shared" si="25"/>
        <v/>
      </c>
      <c r="G3415" s="59" t="str">
        <f t="shared" si="26"/>
        <v/>
      </c>
      <c r="H3415" s="59" t="str">
        <f t="shared" si="27"/>
        <v>28C00462</v>
      </c>
      <c r="I3415" s="59" t="str">
        <f>IF(OR($A3415="",$C3415="",$D3415="",$E3415="",$H3415=""),"",SUMIFS(DATA_GOC!$H:$H,DATA_GOC!$A:$A,"BOM",DATA_GOC!$D:$D,$H3415,DATA_GOC!$E:$E,$C3415,DATA_GOC!$F:$F,"Xuất nội bộ từ téc",DATA_GOC!$B:$B,"&gt;="&amp;$D3415,DATA_GOC!$B:$B,"&lt;="&amp;$E3415))</f>
        <v/>
      </c>
      <c r="J3415" s="59">
        <f t="shared" si="28"/>
        <v>0</v>
      </c>
      <c r="K3415" s="59">
        <f t="shared" si="29"/>
        <v>0</v>
      </c>
      <c r="L3415" s="59">
        <f t="shared" si="30"/>
        <v>0</v>
      </c>
      <c r="M3415" s="59">
        <f t="shared" si="31"/>
        <v>0</v>
      </c>
    </row>
    <row r="3416" ht="15.0" hidden="1" customHeight="1">
      <c r="A3416" s="59">
        <f t="shared" si="20"/>
        <v>54</v>
      </c>
      <c r="B3416" s="59" t="str">
        <f t="shared" si="21"/>
        <v/>
      </c>
      <c r="C3416" s="59" t="str">
        <f t="shared" si="22"/>
        <v/>
      </c>
      <c r="D3416" s="45" t="str">
        <f t="shared" si="23"/>
        <v/>
      </c>
      <c r="E3416" s="45" t="str">
        <f t="shared" si="24"/>
        <v/>
      </c>
      <c r="F3416" s="59" t="str">
        <f t="shared" si="25"/>
        <v/>
      </c>
      <c r="G3416" s="59" t="str">
        <f t="shared" si="26"/>
        <v/>
      </c>
      <c r="H3416" s="59" t="str">
        <f t="shared" si="27"/>
        <v>28C01165</v>
      </c>
      <c r="I3416" s="59" t="str">
        <f>IF(OR($A3416="",$C3416="",$D3416="",$E3416="",$H3416=""),"",SUMIFS(DATA_GOC!$H:$H,DATA_GOC!$A:$A,"BOM",DATA_GOC!$D:$D,$H3416,DATA_GOC!$E:$E,$C3416,DATA_GOC!$F:$F,"Xuất nội bộ từ téc",DATA_GOC!$B:$B,"&gt;="&amp;$D3416,DATA_GOC!$B:$B,"&lt;="&amp;$E3416))</f>
        <v/>
      </c>
      <c r="J3416" s="59">
        <f t="shared" si="28"/>
        <v>0</v>
      </c>
      <c r="K3416" s="59">
        <f t="shared" si="29"/>
        <v>0</v>
      </c>
      <c r="L3416" s="59">
        <f t="shared" si="30"/>
        <v>0</v>
      </c>
      <c r="M3416" s="59">
        <f t="shared" si="31"/>
        <v>0</v>
      </c>
    </row>
    <row r="3417" ht="15.0" hidden="1" customHeight="1">
      <c r="A3417" s="59">
        <f t="shared" si="20"/>
        <v>54</v>
      </c>
      <c r="B3417" s="59" t="str">
        <f t="shared" si="21"/>
        <v/>
      </c>
      <c r="C3417" s="59" t="str">
        <f t="shared" si="22"/>
        <v/>
      </c>
      <c r="D3417" s="45" t="str">
        <f t="shared" si="23"/>
        <v/>
      </c>
      <c r="E3417" s="45" t="str">
        <f t="shared" si="24"/>
        <v/>
      </c>
      <c r="F3417" s="59" t="str">
        <f t="shared" si="25"/>
        <v/>
      </c>
      <c r="G3417" s="59" t="str">
        <f t="shared" si="26"/>
        <v/>
      </c>
      <c r="H3417" s="59" t="str">
        <f t="shared" si="27"/>
        <v>28C01406</v>
      </c>
      <c r="I3417" s="59" t="str">
        <f>IF(OR($A3417="",$C3417="",$D3417="",$E3417="",$H3417=""),"",SUMIFS(DATA_GOC!$H:$H,DATA_GOC!$A:$A,"BOM",DATA_GOC!$D:$D,$H3417,DATA_GOC!$E:$E,$C3417,DATA_GOC!$F:$F,"Xuất nội bộ từ téc",DATA_GOC!$B:$B,"&gt;="&amp;$D3417,DATA_GOC!$B:$B,"&lt;="&amp;$E3417))</f>
        <v/>
      </c>
      <c r="J3417" s="59">
        <f t="shared" si="28"/>
        <v>0</v>
      </c>
      <c r="K3417" s="59">
        <f t="shared" si="29"/>
        <v>0</v>
      </c>
      <c r="L3417" s="59">
        <f t="shared" si="30"/>
        <v>0</v>
      </c>
      <c r="M3417" s="59">
        <f t="shared" si="31"/>
        <v>0</v>
      </c>
    </row>
    <row r="3418" ht="15.0" hidden="1" customHeight="1">
      <c r="A3418" s="59">
        <f t="shared" si="20"/>
        <v>54</v>
      </c>
      <c r="B3418" s="59" t="str">
        <f t="shared" si="21"/>
        <v/>
      </c>
      <c r="C3418" s="59" t="str">
        <f t="shared" si="22"/>
        <v/>
      </c>
      <c r="D3418" s="45" t="str">
        <f t="shared" si="23"/>
        <v/>
      </c>
      <c r="E3418" s="45" t="str">
        <f t="shared" si="24"/>
        <v/>
      </c>
      <c r="F3418" s="59" t="str">
        <f t="shared" si="25"/>
        <v/>
      </c>
      <c r="G3418" s="59" t="str">
        <f t="shared" si="26"/>
        <v/>
      </c>
      <c r="H3418" s="59" t="str">
        <f t="shared" si="27"/>
        <v>28C01544</v>
      </c>
      <c r="I3418" s="59" t="str">
        <f>IF(OR($A3418="",$C3418="",$D3418="",$E3418="",$H3418=""),"",SUMIFS(DATA_GOC!$H:$H,DATA_GOC!$A:$A,"BOM",DATA_GOC!$D:$D,$H3418,DATA_GOC!$E:$E,$C3418,DATA_GOC!$F:$F,"Xuất nội bộ từ téc",DATA_GOC!$B:$B,"&gt;="&amp;$D3418,DATA_GOC!$B:$B,"&lt;="&amp;$E3418))</f>
        <v/>
      </c>
      <c r="J3418" s="59">
        <f t="shared" si="28"/>
        <v>0</v>
      </c>
      <c r="K3418" s="59">
        <f t="shared" si="29"/>
        <v>0</v>
      </c>
      <c r="L3418" s="59">
        <f t="shared" si="30"/>
        <v>0</v>
      </c>
      <c r="M3418" s="59">
        <f t="shared" si="31"/>
        <v>0</v>
      </c>
    </row>
    <row r="3419" ht="15.0" hidden="1" customHeight="1">
      <c r="A3419" s="59">
        <f t="shared" si="20"/>
        <v>54</v>
      </c>
      <c r="B3419" s="59" t="str">
        <f t="shared" si="21"/>
        <v/>
      </c>
      <c r="C3419" s="59" t="str">
        <f t="shared" si="22"/>
        <v/>
      </c>
      <c r="D3419" s="45" t="str">
        <f t="shared" si="23"/>
        <v/>
      </c>
      <c r="E3419" s="45" t="str">
        <f t="shared" si="24"/>
        <v/>
      </c>
      <c r="F3419" s="59" t="str">
        <f t="shared" si="25"/>
        <v/>
      </c>
      <c r="G3419" s="59" t="str">
        <f t="shared" si="26"/>
        <v/>
      </c>
      <c r="H3419" s="59" t="str">
        <f t="shared" si="27"/>
        <v>28C01622</v>
      </c>
      <c r="I3419" s="59" t="str">
        <f>IF(OR($A3419="",$C3419="",$D3419="",$E3419="",$H3419=""),"",SUMIFS(DATA_GOC!$H:$H,DATA_GOC!$A:$A,"BOM",DATA_GOC!$D:$D,$H3419,DATA_GOC!$E:$E,$C3419,DATA_GOC!$F:$F,"Xuất nội bộ từ téc",DATA_GOC!$B:$B,"&gt;="&amp;$D3419,DATA_GOC!$B:$B,"&lt;="&amp;$E3419))</f>
        <v/>
      </c>
      <c r="J3419" s="59">
        <f t="shared" si="28"/>
        <v>0</v>
      </c>
      <c r="K3419" s="59">
        <f t="shared" si="29"/>
        <v>0</v>
      </c>
      <c r="L3419" s="59">
        <f t="shared" si="30"/>
        <v>0</v>
      </c>
      <c r="M3419" s="59">
        <f t="shared" si="31"/>
        <v>0</v>
      </c>
    </row>
    <row r="3420" ht="15.0" hidden="1" customHeight="1">
      <c r="A3420" s="59">
        <f t="shared" si="20"/>
        <v>54</v>
      </c>
      <c r="B3420" s="59" t="str">
        <f t="shared" si="21"/>
        <v/>
      </c>
      <c r="C3420" s="59" t="str">
        <f t="shared" si="22"/>
        <v/>
      </c>
      <c r="D3420" s="45" t="str">
        <f t="shared" si="23"/>
        <v/>
      </c>
      <c r="E3420" s="45" t="str">
        <f t="shared" si="24"/>
        <v/>
      </c>
      <c r="F3420" s="59" t="str">
        <f t="shared" si="25"/>
        <v/>
      </c>
      <c r="G3420" s="59" t="str">
        <f t="shared" si="26"/>
        <v/>
      </c>
      <c r="H3420" s="59" t="str">
        <f t="shared" si="27"/>
        <v>28C01647</v>
      </c>
      <c r="I3420" s="59" t="str">
        <f>IF(OR($A3420="",$C3420="",$D3420="",$E3420="",$H3420=""),"",SUMIFS(DATA_GOC!$H:$H,DATA_GOC!$A:$A,"BOM",DATA_GOC!$D:$D,$H3420,DATA_GOC!$E:$E,$C3420,DATA_GOC!$F:$F,"Xuất nội bộ từ téc",DATA_GOC!$B:$B,"&gt;="&amp;$D3420,DATA_GOC!$B:$B,"&lt;="&amp;$E3420))</f>
        <v/>
      </c>
      <c r="J3420" s="59">
        <f t="shared" si="28"/>
        <v>0</v>
      </c>
      <c r="K3420" s="59">
        <f t="shared" si="29"/>
        <v>0</v>
      </c>
      <c r="L3420" s="59">
        <f t="shared" si="30"/>
        <v>0</v>
      </c>
      <c r="M3420" s="59">
        <f t="shared" si="31"/>
        <v>0</v>
      </c>
    </row>
    <row r="3421" ht="15.0" hidden="1" customHeight="1">
      <c r="A3421" s="59">
        <f t="shared" si="20"/>
        <v>54</v>
      </c>
      <c r="B3421" s="59" t="str">
        <f t="shared" si="21"/>
        <v/>
      </c>
      <c r="C3421" s="59" t="str">
        <f t="shared" si="22"/>
        <v/>
      </c>
      <c r="D3421" s="45" t="str">
        <f t="shared" si="23"/>
        <v/>
      </c>
      <c r="E3421" s="45" t="str">
        <f t="shared" si="24"/>
        <v/>
      </c>
      <c r="F3421" s="59" t="str">
        <f t="shared" si="25"/>
        <v/>
      </c>
      <c r="G3421" s="59" t="str">
        <f t="shared" si="26"/>
        <v/>
      </c>
      <c r="H3421" s="59" t="str">
        <f t="shared" si="27"/>
        <v>28C01731</v>
      </c>
      <c r="I3421" s="59" t="str">
        <f>IF(OR($A3421="",$C3421="",$D3421="",$E3421="",$H3421=""),"",SUMIFS(DATA_GOC!$H:$H,DATA_GOC!$A:$A,"BOM",DATA_GOC!$D:$D,$H3421,DATA_GOC!$E:$E,$C3421,DATA_GOC!$F:$F,"Xuất nội bộ từ téc",DATA_GOC!$B:$B,"&gt;="&amp;$D3421,DATA_GOC!$B:$B,"&lt;="&amp;$E3421))</f>
        <v/>
      </c>
      <c r="J3421" s="59">
        <f t="shared" si="28"/>
        <v>0</v>
      </c>
      <c r="K3421" s="59">
        <f t="shared" si="29"/>
        <v>0</v>
      </c>
      <c r="L3421" s="59">
        <f t="shared" si="30"/>
        <v>0</v>
      </c>
      <c r="M3421" s="59">
        <f t="shared" si="31"/>
        <v>0</v>
      </c>
    </row>
    <row r="3422" ht="15.0" hidden="1" customHeight="1">
      <c r="A3422" s="59">
        <f t="shared" si="20"/>
        <v>54</v>
      </c>
      <c r="B3422" s="59" t="str">
        <f t="shared" si="21"/>
        <v/>
      </c>
      <c r="C3422" s="59" t="str">
        <f t="shared" si="22"/>
        <v/>
      </c>
      <c r="D3422" s="45" t="str">
        <f t="shared" si="23"/>
        <v/>
      </c>
      <c r="E3422" s="45" t="str">
        <f t="shared" si="24"/>
        <v/>
      </c>
      <c r="F3422" s="59" t="str">
        <f t="shared" si="25"/>
        <v/>
      </c>
      <c r="G3422" s="59" t="str">
        <f t="shared" si="26"/>
        <v/>
      </c>
      <c r="H3422" s="59" t="str">
        <f t="shared" si="27"/>
        <v>28C01743</v>
      </c>
      <c r="I3422" s="59" t="str">
        <f>IF(OR($A3422="",$C3422="",$D3422="",$E3422="",$H3422=""),"",SUMIFS(DATA_GOC!$H:$H,DATA_GOC!$A:$A,"BOM",DATA_GOC!$D:$D,$H3422,DATA_GOC!$E:$E,$C3422,DATA_GOC!$F:$F,"Xuất nội bộ từ téc",DATA_GOC!$B:$B,"&gt;="&amp;$D3422,DATA_GOC!$B:$B,"&lt;="&amp;$E3422))</f>
        <v/>
      </c>
      <c r="J3422" s="59">
        <f t="shared" si="28"/>
        <v>0</v>
      </c>
      <c r="K3422" s="59">
        <f t="shared" si="29"/>
        <v>0</v>
      </c>
      <c r="L3422" s="59">
        <f t="shared" si="30"/>
        <v>0</v>
      </c>
      <c r="M3422" s="59">
        <f t="shared" si="31"/>
        <v>0</v>
      </c>
    </row>
    <row r="3423" ht="15.0" hidden="1" customHeight="1">
      <c r="A3423" s="59">
        <f t="shared" si="20"/>
        <v>54</v>
      </c>
      <c r="B3423" s="59" t="str">
        <f t="shared" si="21"/>
        <v/>
      </c>
      <c r="C3423" s="59" t="str">
        <f t="shared" si="22"/>
        <v/>
      </c>
      <c r="D3423" s="45" t="str">
        <f t="shared" si="23"/>
        <v/>
      </c>
      <c r="E3423" s="45" t="str">
        <f t="shared" si="24"/>
        <v/>
      </c>
      <c r="F3423" s="59" t="str">
        <f t="shared" si="25"/>
        <v/>
      </c>
      <c r="G3423" s="59" t="str">
        <f t="shared" si="26"/>
        <v/>
      </c>
      <c r="H3423" s="59" t="str">
        <f t="shared" si="27"/>
        <v>28C02106</v>
      </c>
      <c r="I3423" s="59" t="str">
        <f>IF(OR($A3423="",$C3423="",$D3423="",$E3423="",$H3423=""),"",SUMIFS(DATA_GOC!$H:$H,DATA_GOC!$A:$A,"BOM",DATA_GOC!$D:$D,$H3423,DATA_GOC!$E:$E,$C3423,DATA_GOC!$F:$F,"Xuất nội bộ từ téc",DATA_GOC!$B:$B,"&gt;="&amp;$D3423,DATA_GOC!$B:$B,"&lt;="&amp;$E3423))</f>
        <v/>
      </c>
      <c r="J3423" s="59">
        <f t="shared" si="28"/>
        <v>0</v>
      </c>
      <c r="K3423" s="59">
        <f t="shared" si="29"/>
        <v>0</v>
      </c>
      <c r="L3423" s="59">
        <f t="shared" si="30"/>
        <v>0</v>
      </c>
      <c r="M3423" s="59">
        <f t="shared" si="31"/>
        <v>0</v>
      </c>
    </row>
    <row r="3424" ht="15.0" hidden="1" customHeight="1">
      <c r="A3424" s="59">
        <f t="shared" si="20"/>
        <v>54</v>
      </c>
      <c r="B3424" s="59" t="str">
        <f t="shared" si="21"/>
        <v/>
      </c>
      <c r="C3424" s="59" t="str">
        <f t="shared" si="22"/>
        <v/>
      </c>
      <c r="D3424" s="45" t="str">
        <f t="shared" si="23"/>
        <v/>
      </c>
      <c r="E3424" s="45" t="str">
        <f t="shared" si="24"/>
        <v/>
      </c>
      <c r="F3424" s="59" t="str">
        <f t="shared" si="25"/>
        <v/>
      </c>
      <c r="G3424" s="59" t="str">
        <f t="shared" si="26"/>
        <v/>
      </c>
      <c r="H3424" s="59" t="str">
        <f t="shared" si="27"/>
        <v>28C02410</v>
      </c>
      <c r="I3424" s="59" t="str">
        <f>IF(OR($A3424="",$C3424="",$D3424="",$E3424="",$H3424=""),"",SUMIFS(DATA_GOC!$H:$H,DATA_GOC!$A:$A,"BOM",DATA_GOC!$D:$D,$H3424,DATA_GOC!$E:$E,$C3424,DATA_GOC!$F:$F,"Xuất nội bộ từ téc",DATA_GOC!$B:$B,"&gt;="&amp;$D3424,DATA_GOC!$B:$B,"&lt;="&amp;$E3424))</f>
        <v/>
      </c>
      <c r="J3424" s="59">
        <f t="shared" si="28"/>
        <v>0</v>
      </c>
      <c r="K3424" s="59">
        <f t="shared" si="29"/>
        <v>0</v>
      </c>
      <c r="L3424" s="59">
        <f t="shared" si="30"/>
        <v>0</v>
      </c>
      <c r="M3424" s="59">
        <f t="shared" si="31"/>
        <v>0</v>
      </c>
    </row>
    <row r="3425" ht="15.0" hidden="1" customHeight="1">
      <c r="A3425" s="59">
        <f t="shared" si="20"/>
        <v>54</v>
      </c>
      <c r="B3425" s="59" t="str">
        <f t="shared" si="21"/>
        <v/>
      </c>
      <c r="C3425" s="59" t="str">
        <f t="shared" si="22"/>
        <v/>
      </c>
      <c r="D3425" s="45" t="str">
        <f t="shared" si="23"/>
        <v/>
      </c>
      <c r="E3425" s="45" t="str">
        <f t="shared" si="24"/>
        <v/>
      </c>
      <c r="F3425" s="59" t="str">
        <f t="shared" si="25"/>
        <v/>
      </c>
      <c r="G3425" s="59" t="str">
        <f t="shared" si="26"/>
        <v/>
      </c>
      <c r="H3425" s="59" t="str">
        <f t="shared" si="27"/>
        <v>28C02545</v>
      </c>
      <c r="I3425" s="59" t="str">
        <f>IF(OR($A3425="",$C3425="",$D3425="",$E3425="",$H3425=""),"",SUMIFS(DATA_GOC!$H:$H,DATA_GOC!$A:$A,"BOM",DATA_GOC!$D:$D,$H3425,DATA_GOC!$E:$E,$C3425,DATA_GOC!$F:$F,"Xuất nội bộ từ téc",DATA_GOC!$B:$B,"&gt;="&amp;$D3425,DATA_GOC!$B:$B,"&lt;="&amp;$E3425))</f>
        <v/>
      </c>
      <c r="J3425" s="59">
        <f t="shared" si="28"/>
        <v>0</v>
      </c>
      <c r="K3425" s="59">
        <f t="shared" si="29"/>
        <v>0</v>
      </c>
      <c r="L3425" s="59">
        <f t="shared" si="30"/>
        <v>0</v>
      </c>
      <c r="M3425" s="59">
        <f t="shared" si="31"/>
        <v>0</v>
      </c>
    </row>
    <row r="3426" ht="15.0" hidden="1" customHeight="1">
      <c r="A3426" s="59">
        <f t="shared" si="20"/>
        <v>54</v>
      </c>
      <c r="B3426" s="59" t="str">
        <f t="shared" si="21"/>
        <v/>
      </c>
      <c r="C3426" s="59" t="str">
        <f t="shared" si="22"/>
        <v/>
      </c>
      <c r="D3426" s="45" t="str">
        <f t="shared" si="23"/>
        <v/>
      </c>
      <c r="E3426" s="45" t="str">
        <f t="shared" si="24"/>
        <v/>
      </c>
      <c r="F3426" s="59" t="str">
        <f t="shared" si="25"/>
        <v/>
      </c>
      <c r="G3426" s="59" t="str">
        <f t="shared" si="26"/>
        <v/>
      </c>
      <c r="H3426" s="59" t="str">
        <f t="shared" si="27"/>
        <v>28C02574</v>
      </c>
      <c r="I3426" s="59" t="str">
        <f>IF(OR($A3426="",$C3426="",$D3426="",$E3426="",$H3426=""),"",SUMIFS(DATA_GOC!$H:$H,DATA_GOC!$A:$A,"BOM",DATA_GOC!$D:$D,$H3426,DATA_GOC!$E:$E,$C3426,DATA_GOC!$F:$F,"Xuất nội bộ từ téc",DATA_GOC!$B:$B,"&gt;="&amp;$D3426,DATA_GOC!$B:$B,"&lt;="&amp;$E3426))</f>
        <v/>
      </c>
      <c r="J3426" s="59">
        <f t="shared" si="28"/>
        <v>0</v>
      </c>
      <c r="K3426" s="59">
        <f t="shared" si="29"/>
        <v>0</v>
      </c>
      <c r="L3426" s="59">
        <f t="shared" si="30"/>
        <v>0</v>
      </c>
      <c r="M3426" s="59">
        <f t="shared" si="31"/>
        <v>0</v>
      </c>
    </row>
    <row r="3427" ht="15.0" hidden="1" customHeight="1">
      <c r="A3427" s="59">
        <f t="shared" si="20"/>
        <v>54</v>
      </c>
      <c r="B3427" s="59" t="str">
        <f t="shared" si="21"/>
        <v/>
      </c>
      <c r="C3427" s="59" t="str">
        <f t="shared" si="22"/>
        <v/>
      </c>
      <c r="D3427" s="45" t="str">
        <f t="shared" si="23"/>
        <v/>
      </c>
      <c r="E3427" s="45" t="str">
        <f t="shared" si="24"/>
        <v/>
      </c>
      <c r="F3427" s="59" t="str">
        <f t="shared" si="25"/>
        <v/>
      </c>
      <c r="G3427" s="59" t="str">
        <f t="shared" si="26"/>
        <v/>
      </c>
      <c r="H3427" s="59" t="str">
        <f t="shared" si="27"/>
        <v>28C02770</v>
      </c>
      <c r="I3427" s="59" t="str">
        <f>IF(OR($A3427="",$C3427="",$D3427="",$E3427="",$H3427=""),"",SUMIFS(DATA_GOC!$H:$H,DATA_GOC!$A:$A,"BOM",DATA_GOC!$D:$D,$H3427,DATA_GOC!$E:$E,$C3427,DATA_GOC!$F:$F,"Xuất nội bộ từ téc",DATA_GOC!$B:$B,"&gt;="&amp;$D3427,DATA_GOC!$B:$B,"&lt;="&amp;$E3427))</f>
        <v/>
      </c>
      <c r="J3427" s="59">
        <f t="shared" si="28"/>
        <v>0</v>
      </c>
      <c r="K3427" s="59">
        <f t="shared" si="29"/>
        <v>0</v>
      </c>
      <c r="L3427" s="59">
        <f t="shared" si="30"/>
        <v>0</v>
      </c>
      <c r="M3427" s="59">
        <f t="shared" si="31"/>
        <v>0</v>
      </c>
    </row>
    <row r="3428" ht="15.0" hidden="1" customHeight="1">
      <c r="A3428" s="59">
        <f t="shared" si="20"/>
        <v>54</v>
      </c>
      <c r="B3428" s="59" t="str">
        <f t="shared" si="21"/>
        <v/>
      </c>
      <c r="C3428" s="59" t="str">
        <f t="shared" si="22"/>
        <v/>
      </c>
      <c r="D3428" s="45" t="str">
        <f t="shared" si="23"/>
        <v/>
      </c>
      <c r="E3428" s="45" t="str">
        <f t="shared" si="24"/>
        <v/>
      </c>
      <c r="F3428" s="59" t="str">
        <f t="shared" si="25"/>
        <v/>
      </c>
      <c r="G3428" s="59" t="str">
        <f t="shared" si="26"/>
        <v/>
      </c>
      <c r="H3428" s="59" t="str">
        <f t="shared" si="27"/>
        <v>28C02986</v>
      </c>
      <c r="I3428" s="59" t="str">
        <f>IF(OR($A3428="",$C3428="",$D3428="",$E3428="",$H3428=""),"",SUMIFS(DATA_GOC!$H:$H,DATA_GOC!$A:$A,"BOM",DATA_GOC!$D:$D,$H3428,DATA_GOC!$E:$E,$C3428,DATA_GOC!$F:$F,"Xuất nội bộ từ téc",DATA_GOC!$B:$B,"&gt;="&amp;$D3428,DATA_GOC!$B:$B,"&lt;="&amp;$E3428))</f>
        <v/>
      </c>
      <c r="J3428" s="59">
        <f t="shared" si="28"/>
        <v>0</v>
      </c>
      <c r="K3428" s="59">
        <f t="shared" si="29"/>
        <v>0</v>
      </c>
      <c r="L3428" s="59">
        <f t="shared" si="30"/>
        <v>0</v>
      </c>
      <c r="M3428" s="59">
        <f t="shared" si="31"/>
        <v>0</v>
      </c>
    </row>
    <row r="3429" ht="15.0" hidden="1" customHeight="1">
      <c r="A3429" s="59">
        <f t="shared" si="20"/>
        <v>54</v>
      </c>
      <c r="B3429" s="59" t="str">
        <f t="shared" si="21"/>
        <v/>
      </c>
      <c r="C3429" s="59" t="str">
        <f t="shared" si="22"/>
        <v/>
      </c>
      <c r="D3429" s="45" t="str">
        <f t="shared" si="23"/>
        <v/>
      </c>
      <c r="E3429" s="45" t="str">
        <f t="shared" si="24"/>
        <v/>
      </c>
      <c r="F3429" s="59" t="str">
        <f t="shared" si="25"/>
        <v/>
      </c>
      <c r="G3429" s="59" t="str">
        <f t="shared" si="26"/>
        <v/>
      </c>
      <c r="H3429" s="59" t="str">
        <f t="shared" si="27"/>
        <v>28C03261</v>
      </c>
      <c r="I3429" s="59" t="str">
        <f>IF(OR($A3429="",$C3429="",$D3429="",$E3429="",$H3429=""),"",SUMIFS(DATA_GOC!$H:$H,DATA_GOC!$A:$A,"BOM",DATA_GOC!$D:$D,$H3429,DATA_GOC!$E:$E,$C3429,DATA_GOC!$F:$F,"Xuất nội bộ từ téc",DATA_GOC!$B:$B,"&gt;="&amp;$D3429,DATA_GOC!$B:$B,"&lt;="&amp;$E3429))</f>
        <v/>
      </c>
      <c r="J3429" s="59">
        <f t="shared" si="28"/>
        <v>0</v>
      </c>
      <c r="K3429" s="59">
        <f t="shared" si="29"/>
        <v>0</v>
      </c>
      <c r="L3429" s="59">
        <f t="shared" si="30"/>
        <v>0</v>
      </c>
      <c r="M3429" s="59">
        <f t="shared" si="31"/>
        <v>0</v>
      </c>
    </row>
    <row r="3430" ht="15.0" hidden="1" customHeight="1">
      <c r="A3430" s="59">
        <f t="shared" si="20"/>
        <v>54</v>
      </c>
      <c r="B3430" s="59" t="str">
        <f t="shared" si="21"/>
        <v/>
      </c>
      <c r="C3430" s="59" t="str">
        <f t="shared" si="22"/>
        <v/>
      </c>
      <c r="D3430" s="45" t="str">
        <f t="shared" si="23"/>
        <v/>
      </c>
      <c r="E3430" s="45" t="str">
        <f t="shared" si="24"/>
        <v/>
      </c>
      <c r="F3430" s="59" t="str">
        <f t="shared" si="25"/>
        <v/>
      </c>
      <c r="G3430" s="59" t="str">
        <f t="shared" si="26"/>
        <v/>
      </c>
      <c r="H3430" s="59" t="str">
        <f t="shared" si="27"/>
        <v>28C03323</v>
      </c>
      <c r="I3430" s="59" t="str">
        <f>IF(OR($A3430="",$C3430="",$D3430="",$E3430="",$H3430=""),"",SUMIFS(DATA_GOC!$H:$H,DATA_GOC!$A:$A,"BOM",DATA_GOC!$D:$D,$H3430,DATA_GOC!$E:$E,$C3430,DATA_GOC!$F:$F,"Xuất nội bộ từ téc",DATA_GOC!$B:$B,"&gt;="&amp;$D3430,DATA_GOC!$B:$B,"&lt;="&amp;$E3430))</f>
        <v/>
      </c>
      <c r="J3430" s="59">
        <f t="shared" si="28"/>
        <v>0</v>
      </c>
      <c r="K3430" s="59">
        <f t="shared" si="29"/>
        <v>0</v>
      </c>
      <c r="L3430" s="59">
        <f t="shared" si="30"/>
        <v>0</v>
      </c>
      <c r="M3430" s="59">
        <f t="shared" si="31"/>
        <v>0</v>
      </c>
    </row>
    <row r="3431" ht="15.0" hidden="1" customHeight="1">
      <c r="A3431" s="59">
        <f t="shared" si="20"/>
        <v>54</v>
      </c>
      <c r="B3431" s="59" t="str">
        <f t="shared" si="21"/>
        <v/>
      </c>
      <c r="C3431" s="59" t="str">
        <f t="shared" si="22"/>
        <v/>
      </c>
      <c r="D3431" s="45" t="str">
        <f t="shared" si="23"/>
        <v/>
      </c>
      <c r="E3431" s="45" t="str">
        <f t="shared" si="24"/>
        <v/>
      </c>
      <c r="F3431" s="59" t="str">
        <f t="shared" si="25"/>
        <v/>
      </c>
      <c r="G3431" s="59" t="str">
        <f t="shared" si="26"/>
        <v/>
      </c>
      <c r="H3431" s="59" t="str">
        <f t="shared" si="27"/>
        <v>28C03385</v>
      </c>
      <c r="I3431" s="59" t="str">
        <f>IF(OR($A3431="",$C3431="",$D3431="",$E3431="",$H3431=""),"",SUMIFS(DATA_GOC!$H:$H,DATA_GOC!$A:$A,"BOM",DATA_GOC!$D:$D,$H3431,DATA_GOC!$E:$E,$C3431,DATA_GOC!$F:$F,"Xuất nội bộ từ téc",DATA_GOC!$B:$B,"&gt;="&amp;$D3431,DATA_GOC!$B:$B,"&lt;="&amp;$E3431))</f>
        <v/>
      </c>
      <c r="J3431" s="59">
        <f t="shared" si="28"/>
        <v>0</v>
      </c>
      <c r="K3431" s="59">
        <f t="shared" si="29"/>
        <v>0</v>
      </c>
      <c r="L3431" s="59">
        <f t="shared" si="30"/>
        <v>0</v>
      </c>
      <c r="M3431" s="59">
        <f t="shared" si="31"/>
        <v>0</v>
      </c>
    </row>
    <row r="3432" ht="15.0" hidden="1" customHeight="1">
      <c r="A3432" s="59">
        <f t="shared" si="20"/>
        <v>54</v>
      </c>
      <c r="B3432" s="59" t="str">
        <f t="shared" si="21"/>
        <v/>
      </c>
      <c r="C3432" s="59" t="str">
        <f t="shared" si="22"/>
        <v/>
      </c>
      <c r="D3432" s="45" t="str">
        <f t="shared" si="23"/>
        <v/>
      </c>
      <c r="E3432" s="45" t="str">
        <f t="shared" si="24"/>
        <v/>
      </c>
      <c r="F3432" s="59" t="str">
        <f t="shared" si="25"/>
        <v/>
      </c>
      <c r="G3432" s="59" t="str">
        <f t="shared" si="26"/>
        <v/>
      </c>
      <c r="H3432" s="59" t="str">
        <f t="shared" si="27"/>
        <v>28C03652</v>
      </c>
      <c r="I3432" s="59" t="str">
        <f>IF(OR($A3432="",$C3432="",$D3432="",$E3432="",$H3432=""),"",SUMIFS(DATA_GOC!$H:$H,DATA_GOC!$A:$A,"BOM",DATA_GOC!$D:$D,$H3432,DATA_GOC!$E:$E,$C3432,DATA_GOC!$F:$F,"Xuất nội bộ từ téc",DATA_GOC!$B:$B,"&gt;="&amp;$D3432,DATA_GOC!$B:$B,"&lt;="&amp;$E3432))</f>
        <v/>
      </c>
      <c r="J3432" s="59">
        <f t="shared" si="28"/>
        <v>0</v>
      </c>
      <c r="K3432" s="59">
        <f t="shared" si="29"/>
        <v>0</v>
      </c>
      <c r="L3432" s="59">
        <f t="shared" si="30"/>
        <v>0</v>
      </c>
      <c r="M3432" s="59">
        <f t="shared" si="31"/>
        <v>0</v>
      </c>
    </row>
    <row r="3433" ht="15.0" hidden="1" customHeight="1">
      <c r="A3433" s="59">
        <f t="shared" si="20"/>
        <v>54</v>
      </c>
      <c r="B3433" s="59" t="str">
        <f t="shared" si="21"/>
        <v/>
      </c>
      <c r="C3433" s="59" t="str">
        <f t="shared" si="22"/>
        <v/>
      </c>
      <c r="D3433" s="45" t="str">
        <f t="shared" si="23"/>
        <v/>
      </c>
      <c r="E3433" s="45" t="str">
        <f t="shared" si="24"/>
        <v/>
      </c>
      <c r="F3433" s="59" t="str">
        <f t="shared" si="25"/>
        <v/>
      </c>
      <c r="G3433" s="59" t="str">
        <f t="shared" si="26"/>
        <v/>
      </c>
      <c r="H3433" s="59" t="str">
        <f t="shared" si="27"/>
        <v>28C03695</v>
      </c>
      <c r="I3433" s="59" t="str">
        <f>IF(OR($A3433="",$C3433="",$D3433="",$E3433="",$H3433=""),"",SUMIFS(DATA_GOC!$H:$H,DATA_GOC!$A:$A,"BOM",DATA_GOC!$D:$D,$H3433,DATA_GOC!$E:$E,$C3433,DATA_GOC!$F:$F,"Xuất nội bộ từ téc",DATA_GOC!$B:$B,"&gt;="&amp;$D3433,DATA_GOC!$B:$B,"&lt;="&amp;$E3433))</f>
        <v/>
      </c>
      <c r="J3433" s="59">
        <f t="shared" si="28"/>
        <v>0</v>
      </c>
      <c r="K3433" s="59">
        <f t="shared" si="29"/>
        <v>0</v>
      </c>
      <c r="L3433" s="59">
        <f t="shared" si="30"/>
        <v>0</v>
      </c>
      <c r="M3433" s="59">
        <f t="shared" si="31"/>
        <v>0</v>
      </c>
    </row>
    <row r="3434" ht="15.0" hidden="1" customHeight="1">
      <c r="A3434" s="59">
        <f t="shared" si="20"/>
        <v>54</v>
      </c>
      <c r="B3434" s="59" t="str">
        <f t="shared" si="21"/>
        <v/>
      </c>
      <c r="C3434" s="59" t="str">
        <f t="shared" si="22"/>
        <v/>
      </c>
      <c r="D3434" s="45" t="str">
        <f t="shared" si="23"/>
        <v/>
      </c>
      <c r="E3434" s="45" t="str">
        <f t="shared" si="24"/>
        <v/>
      </c>
      <c r="F3434" s="59" t="str">
        <f t="shared" si="25"/>
        <v/>
      </c>
      <c r="G3434" s="59" t="str">
        <f t="shared" si="26"/>
        <v/>
      </c>
      <c r="H3434" s="59" t="str">
        <f t="shared" si="27"/>
        <v>28C03927</v>
      </c>
      <c r="I3434" s="59" t="str">
        <f>IF(OR($A3434="",$C3434="",$D3434="",$E3434="",$H3434=""),"",SUMIFS(DATA_GOC!$H:$H,DATA_GOC!$A:$A,"BOM",DATA_GOC!$D:$D,$H3434,DATA_GOC!$E:$E,$C3434,DATA_GOC!$F:$F,"Xuất nội bộ từ téc",DATA_GOC!$B:$B,"&gt;="&amp;$D3434,DATA_GOC!$B:$B,"&lt;="&amp;$E3434))</f>
        <v/>
      </c>
      <c r="J3434" s="59">
        <f t="shared" si="28"/>
        <v>0</v>
      </c>
      <c r="K3434" s="59">
        <f t="shared" si="29"/>
        <v>0</v>
      </c>
      <c r="L3434" s="59">
        <f t="shared" si="30"/>
        <v>0</v>
      </c>
      <c r="M3434" s="59">
        <f t="shared" si="31"/>
        <v>0</v>
      </c>
    </row>
    <row r="3435" ht="15.0" hidden="1" customHeight="1">
      <c r="A3435" s="59">
        <f t="shared" si="20"/>
        <v>54</v>
      </c>
      <c r="B3435" s="59" t="str">
        <f t="shared" si="21"/>
        <v/>
      </c>
      <c r="C3435" s="59" t="str">
        <f t="shared" si="22"/>
        <v/>
      </c>
      <c r="D3435" s="45" t="str">
        <f t="shared" si="23"/>
        <v/>
      </c>
      <c r="E3435" s="45" t="str">
        <f t="shared" si="24"/>
        <v/>
      </c>
      <c r="F3435" s="59" t="str">
        <f t="shared" si="25"/>
        <v/>
      </c>
      <c r="G3435" s="59" t="str">
        <f t="shared" si="26"/>
        <v/>
      </c>
      <c r="H3435" s="59" t="str">
        <f t="shared" si="27"/>
        <v>28C04509</v>
      </c>
      <c r="I3435" s="59" t="str">
        <f>IF(OR($A3435="",$C3435="",$D3435="",$E3435="",$H3435=""),"",SUMIFS(DATA_GOC!$H:$H,DATA_GOC!$A:$A,"BOM",DATA_GOC!$D:$D,$H3435,DATA_GOC!$E:$E,$C3435,DATA_GOC!$F:$F,"Xuất nội bộ từ téc",DATA_GOC!$B:$B,"&gt;="&amp;$D3435,DATA_GOC!$B:$B,"&lt;="&amp;$E3435))</f>
        <v/>
      </c>
      <c r="J3435" s="59">
        <f t="shared" si="28"/>
        <v>0</v>
      </c>
      <c r="K3435" s="59">
        <f t="shared" si="29"/>
        <v>0</v>
      </c>
      <c r="L3435" s="59">
        <f t="shared" si="30"/>
        <v>0</v>
      </c>
      <c r="M3435" s="59">
        <f t="shared" si="31"/>
        <v>0</v>
      </c>
    </row>
    <row r="3436" ht="15.0" hidden="1" customHeight="1">
      <c r="A3436" s="59">
        <f t="shared" si="20"/>
        <v>54</v>
      </c>
      <c r="B3436" s="59" t="str">
        <f t="shared" si="21"/>
        <v/>
      </c>
      <c r="C3436" s="59" t="str">
        <f t="shared" si="22"/>
        <v/>
      </c>
      <c r="D3436" s="45" t="str">
        <f t="shared" si="23"/>
        <v/>
      </c>
      <c r="E3436" s="45" t="str">
        <f t="shared" si="24"/>
        <v/>
      </c>
      <c r="F3436" s="59" t="str">
        <f t="shared" si="25"/>
        <v/>
      </c>
      <c r="G3436" s="59" t="str">
        <f t="shared" si="26"/>
        <v/>
      </c>
      <c r="H3436" s="59" t="str">
        <f t="shared" si="27"/>
        <v>28C04536</v>
      </c>
      <c r="I3436" s="59" t="str">
        <f>IF(OR($A3436="",$C3436="",$D3436="",$E3436="",$H3436=""),"",SUMIFS(DATA_GOC!$H:$H,DATA_GOC!$A:$A,"BOM",DATA_GOC!$D:$D,$H3436,DATA_GOC!$E:$E,$C3436,DATA_GOC!$F:$F,"Xuất nội bộ từ téc",DATA_GOC!$B:$B,"&gt;="&amp;$D3436,DATA_GOC!$B:$B,"&lt;="&amp;$E3436))</f>
        <v/>
      </c>
      <c r="J3436" s="59">
        <f t="shared" si="28"/>
        <v>0</v>
      </c>
      <c r="K3436" s="59">
        <f t="shared" si="29"/>
        <v>0</v>
      </c>
      <c r="L3436" s="59">
        <f t="shared" si="30"/>
        <v>0</v>
      </c>
      <c r="M3436" s="59">
        <f t="shared" si="31"/>
        <v>0</v>
      </c>
    </row>
    <row r="3437" ht="15.0" hidden="1" customHeight="1">
      <c r="A3437" s="59">
        <f t="shared" si="20"/>
        <v>54</v>
      </c>
      <c r="B3437" s="59" t="str">
        <f t="shared" si="21"/>
        <v/>
      </c>
      <c r="C3437" s="59" t="str">
        <f t="shared" si="22"/>
        <v/>
      </c>
      <c r="D3437" s="45" t="str">
        <f t="shared" si="23"/>
        <v/>
      </c>
      <c r="E3437" s="45" t="str">
        <f t="shared" si="24"/>
        <v/>
      </c>
      <c r="F3437" s="59" t="str">
        <f t="shared" si="25"/>
        <v/>
      </c>
      <c r="G3437" s="59" t="str">
        <f t="shared" si="26"/>
        <v/>
      </c>
      <c r="H3437" s="59" t="str">
        <f t="shared" si="27"/>
        <v>28C04576</v>
      </c>
      <c r="I3437" s="59" t="str">
        <f>IF(OR($A3437="",$C3437="",$D3437="",$E3437="",$H3437=""),"",SUMIFS(DATA_GOC!$H:$H,DATA_GOC!$A:$A,"BOM",DATA_GOC!$D:$D,$H3437,DATA_GOC!$E:$E,$C3437,DATA_GOC!$F:$F,"Xuất nội bộ từ téc",DATA_GOC!$B:$B,"&gt;="&amp;$D3437,DATA_GOC!$B:$B,"&lt;="&amp;$E3437))</f>
        <v/>
      </c>
      <c r="J3437" s="59">
        <f t="shared" si="28"/>
        <v>0</v>
      </c>
      <c r="K3437" s="59">
        <f t="shared" si="29"/>
        <v>0</v>
      </c>
      <c r="L3437" s="59">
        <f t="shared" si="30"/>
        <v>0</v>
      </c>
      <c r="M3437" s="59">
        <f t="shared" si="31"/>
        <v>0</v>
      </c>
    </row>
    <row r="3438" ht="15.0" hidden="1" customHeight="1">
      <c r="A3438" s="59">
        <f t="shared" si="20"/>
        <v>54</v>
      </c>
      <c r="B3438" s="59" t="str">
        <f t="shared" si="21"/>
        <v/>
      </c>
      <c r="C3438" s="59" t="str">
        <f t="shared" si="22"/>
        <v/>
      </c>
      <c r="D3438" s="45" t="str">
        <f t="shared" si="23"/>
        <v/>
      </c>
      <c r="E3438" s="45" t="str">
        <f t="shared" si="24"/>
        <v/>
      </c>
      <c r="F3438" s="59" t="str">
        <f t="shared" si="25"/>
        <v/>
      </c>
      <c r="G3438" s="59" t="str">
        <f t="shared" si="26"/>
        <v/>
      </c>
      <c r="H3438" s="59" t="str">
        <f t="shared" si="27"/>
        <v>28C05090</v>
      </c>
      <c r="I3438" s="59" t="str">
        <f>IF(OR($A3438="",$C3438="",$D3438="",$E3438="",$H3438=""),"",SUMIFS(DATA_GOC!$H:$H,DATA_GOC!$A:$A,"BOM",DATA_GOC!$D:$D,$H3438,DATA_GOC!$E:$E,$C3438,DATA_GOC!$F:$F,"Xuất nội bộ từ téc",DATA_GOC!$B:$B,"&gt;="&amp;$D3438,DATA_GOC!$B:$B,"&lt;="&amp;$E3438))</f>
        <v/>
      </c>
      <c r="J3438" s="59">
        <f t="shared" si="28"/>
        <v>0</v>
      </c>
      <c r="K3438" s="59">
        <f t="shared" si="29"/>
        <v>0</v>
      </c>
      <c r="L3438" s="59">
        <f t="shared" si="30"/>
        <v>0</v>
      </c>
      <c r="M3438" s="59">
        <f t="shared" si="31"/>
        <v>0</v>
      </c>
    </row>
    <row r="3439" ht="15.0" hidden="1" customHeight="1">
      <c r="A3439" s="59">
        <f t="shared" si="20"/>
        <v>54</v>
      </c>
      <c r="B3439" s="59" t="str">
        <f t="shared" si="21"/>
        <v/>
      </c>
      <c r="C3439" s="59" t="str">
        <f t="shared" si="22"/>
        <v/>
      </c>
      <c r="D3439" s="45" t="str">
        <f t="shared" si="23"/>
        <v/>
      </c>
      <c r="E3439" s="45" t="str">
        <f t="shared" si="24"/>
        <v/>
      </c>
      <c r="F3439" s="59" t="str">
        <f t="shared" si="25"/>
        <v/>
      </c>
      <c r="G3439" s="59" t="str">
        <f t="shared" si="26"/>
        <v/>
      </c>
      <c r="H3439" s="59" t="str">
        <f t="shared" si="27"/>
        <v>28C05345</v>
      </c>
      <c r="I3439" s="59" t="str">
        <f>IF(OR($A3439="",$C3439="",$D3439="",$E3439="",$H3439=""),"",SUMIFS(DATA_GOC!$H:$H,DATA_GOC!$A:$A,"BOM",DATA_GOC!$D:$D,$H3439,DATA_GOC!$E:$E,$C3439,DATA_GOC!$F:$F,"Xuất nội bộ từ téc",DATA_GOC!$B:$B,"&gt;="&amp;$D3439,DATA_GOC!$B:$B,"&lt;="&amp;$E3439))</f>
        <v/>
      </c>
      <c r="J3439" s="59">
        <f t="shared" si="28"/>
        <v>0</v>
      </c>
      <c r="K3439" s="59">
        <f t="shared" si="29"/>
        <v>0</v>
      </c>
      <c r="L3439" s="59">
        <f t="shared" si="30"/>
        <v>0</v>
      </c>
      <c r="M3439" s="59">
        <f t="shared" si="31"/>
        <v>0</v>
      </c>
    </row>
    <row r="3440" ht="15.0" hidden="1" customHeight="1">
      <c r="A3440" s="59">
        <f t="shared" si="20"/>
        <v>54</v>
      </c>
      <c r="B3440" s="59" t="str">
        <f t="shared" si="21"/>
        <v/>
      </c>
      <c r="C3440" s="59" t="str">
        <f t="shared" si="22"/>
        <v/>
      </c>
      <c r="D3440" s="45" t="str">
        <f t="shared" si="23"/>
        <v/>
      </c>
      <c r="E3440" s="45" t="str">
        <f t="shared" si="24"/>
        <v/>
      </c>
      <c r="F3440" s="59" t="str">
        <f t="shared" si="25"/>
        <v/>
      </c>
      <c r="G3440" s="59" t="str">
        <f t="shared" si="26"/>
        <v/>
      </c>
      <c r="H3440" s="59" t="str">
        <f t="shared" si="27"/>
        <v>28C05661</v>
      </c>
      <c r="I3440" s="59" t="str">
        <f>IF(OR($A3440="",$C3440="",$D3440="",$E3440="",$H3440=""),"",SUMIFS(DATA_GOC!$H:$H,DATA_GOC!$A:$A,"BOM",DATA_GOC!$D:$D,$H3440,DATA_GOC!$E:$E,$C3440,DATA_GOC!$F:$F,"Xuất nội bộ từ téc",DATA_GOC!$B:$B,"&gt;="&amp;$D3440,DATA_GOC!$B:$B,"&lt;="&amp;$E3440))</f>
        <v/>
      </c>
      <c r="J3440" s="59">
        <f t="shared" si="28"/>
        <v>0</v>
      </c>
      <c r="K3440" s="59">
        <f t="shared" si="29"/>
        <v>0</v>
      </c>
      <c r="L3440" s="59">
        <f t="shared" si="30"/>
        <v>0</v>
      </c>
      <c r="M3440" s="59">
        <f t="shared" si="31"/>
        <v>0</v>
      </c>
    </row>
    <row r="3441" ht="15.0" hidden="1" customHeight="1">
      <c r="A3441" s="59">
        <f t="shared" si="20"/>
        <v>54</v>
      </c>
      <c r="B3441" s="59" t="str">
        <f t="shared" si="21"/>
        <v/>
      </c>
      <c r="C3441" s="59" t="str">
        <f t="shared" si="22"/>
        <v/>
      </c>
      <c r="D3441" s="45" t="str">
        <f t="shared" si="23"/>
        <v/>
      </c>
      <c r="E3441" s="45" t="str">
        <f t="shared" si="24"/>
        <v/>
      </c>
      <c r="F3441" s="59" t="str">
        <f t="shared" si="25"/>
        <v/>
      </c>
      <c r="G3441" s="59" t="str">
        <f t="shared" si="26"/>
        <v/>
      </c>
      <c r="H3441" s="59" t="str">
        <f t="shared" si="27"/>
        <v>28C05739</v>
      </c>
      <c r="I3441" s="59" t="str">
        <f>IF(OR($A3441="",$C3441="",$D3441="",$E3441="",$H3441=""),"",SUMIFS(DATA_GOC!$H:$H,DATA_GOC!$A:$A,"BOM",DATA_GOC!$D:$D,$H3441,DATA_GOC!$E:$E,$C3441,DATA_GOC!$F:$F,"Xuất nội bộ từ téc",DATA_GOC!$B:$B,"&gt;="&amp;$D3441,DATA_GOC!$B:$B,"&lt;="&amp;$E3441))</f>
        <v/>
      </c>
      <c r="J3441" s="59">
        <f t="shared" si="28"/>
        <v>0</v>
      </c>
      <c r="K3441" s="59">
        <f t="shared" si="29"/>
        <v>0</v>
      </c>
      <c r="L3441" s="59">
        <f t="shared" si="30"/>
        <v>0</v>
      </c>
      <c r="M3441" s="59">
        <f t="shared" si="31"/>
        <v>0</v>
      </c>
    </row>
    <row r="3442" ht="15.0" hidden="1" customHeight="1">
      <c r="A3442" s="59">
        <f t="shared" si="20"/>
        <v>54</v>
      </c>
      <c r="B3442" s="59" t="str">
        <f t="shared" si="21"/>
        <v/>
      </c>
      <c r="C3442" s="59" t="str">
        <f t="shared" si="22"/>
        <v/>
      </c>
      <c r="D3442" s="45" t="str">
        <f t="shared" si="23"/>
        <v/>
      </c>
      <c r="E3442" s="45" t="str">
        <f t="shared" si="24"/>
        <v/>
      </c>
      <c r="F3442" s="59" t="str">
        <f t="shared" si="25"/>
        <v/>
      </c>
      <c r="G3442" s="59" t="str">
        <f t="shared" si="26"/>
        <v/>
      </c>
      <c r="H3442" s="59" t="str">
        <f t="shared" si="27"/>
        <v>28C06369</v>
      </c>
      <c r="I3442" s="59" t="str">
        <f>IF(OR($A3442="",$C3442="",$D3442="",$E3442="",$H3442=""),"",SUMIFS(DATA_GOC!$H:$H,DATA_GOC!$A:$A,"BOM",DATA_GOC!$D:$D,$H3442,DATA_GOC!$E:$E,$C3442,DATA_GOC!$F:$F,"Xuất nội bộ từ téc",DATA_GOC!$B:$B,"&gt;="&amp;$D3442,DATA_GOC!$B:$B,"&lt;="&amp;$E3442))</f>
        <v/>
      </c>
      <c r="J3442" s="59">
        <f t="shared" si="28"/>
        <v>0</v>
      </c>
      <c r="K3442" s="59">
        <f t="shared" si="29"/>
        <v>0</v>
      </c>
      <c r="L3442" s="59">
        <f t="shared" si="30"/>
        <v>0</v>
      </c>
      <c r="M3442" s="59">
        <f t="shared" si="31"/>
        <v>0</v>
      </c>
    </row>
    <row r="3443" ht="15.0" hidden="1" customHeight="1">
      <c r="A3443" s="59">
        <f t="shared" si="20"/>
        <v>54</v>
      </c>
      <c r="B3443" s="59" t="str">
        <f t="shared" si="21"/>
        <v/>
      </c>
      <c r="C3443" s="59" t="str">
        <f t="shared" si="22"/>
        <v/>
      </c>
      <c r="D3443" s="45" t="str">
        <f t="shared" si="23"/>
        <v/>
      </c>
      <c r="E3443" s="45" t="str">
        <f t="shared" si="24"/>
        <v/>
      </c>
      <c r="F3443" s="59" t="str">
        <f t="shared" si="25"/>
        <v/>
      </c>
      <c r="G3443" s="59" t="str">
        <f t="shared" si="26"/>
        <v/>
      </c>
      <c r="H3443" s="59" t="str">
        <f t="shared" si="27"/>
        <v>28C06447</v>
      </c>
      <c r="I3443" s="59" t="str">
        <f>IF(OR($A3443="",$C3443="",$D3443="",$E3443="",$H3443=""),"",SUMIFS(DATA_GOC!$H:$H,DATA_GOC!$A:$A,"BOM",DATA_GOC!$D:$D,$H3443,DATA_GOC!$E:$E,$C3443,DATA_GOC!$F:$F,"Xuất nội bộ từ téc",DATA_GOC!$B:$B,"&gt;="&amp;$D3443,DATA_GOC!$B:$B,"&lt;="&amp;$E3443))</f>
        <v/>
      </c>
      <c r="J3443" s="59">
        <f t="shared" si="28"/>
        <v>0</v>
      </c>
      <c r="K3443" s="59">
        <f t="shared" si="29"/>
        <v>0</v>
      </c>
      <c r="L3443" s="59">
        <f t="shared" si="30"/>
        <v>0</v>
      </c>
      <c r="M3443" s="59">
        <f t="shared" si="31"/>
        <v>0</v>
      </c>
    </row>
    <row r="3444" ht="15.0" hidden="1" customHeight="1">
      <c r="A3444" s="59">
        <f t="shared" si="20"/>
        <v>54</v>
      </c>
      <c r="B3444" s="59" t="str">
        <f t="shared" si="21"/>
        <v/>
      </c>
      <c r="C3444" s="59" t="str">
        <f t="shared" si="22"/>
        <v/>
      </c>
      <c r="D3444" s="45" t="str">
        <f t="shared" si="23"/>
        <v/>
      </c>
      <c r="E3444" s="45" t="str">
        <f t="shared" si="24"/>
        <v/>
      </c>
      <c r="F3444" s="59" t="str">
        <f t="shared" si="25"/>
        <v/>
      </c>
      <c r="G3444" s="59" t="str">
        <f t="shared" si="26"/>
        <v/>
      </c>
      <c r="H3444" s="59" t="str">
        <f t="shared" si="27"/>
        <v>28H00003</v>
      </c>
      <c r="I3444" s="59" t="str">
        <f>IF(OR($A3444="",$C3444="",$D3444="",$E3444="",$H3444=""),"",SUMIFS(DATA_GOC!$H:$H,DATA_GOC!$A:$A,"BOM",DATA_GOC!$D:$D,$H3444,DATA_GOC!$E:$E,$C3444,DATA_GOC!$F:$F,"Xuất nội bộ từ téc",DATA_GOC!$B:$B,"&gt;="&amp;$D3444,DATA_GOC!$B:$B,"&lt;="&amp;$E3444))</f>
        <v/>
      </c>
      <c r="J3444" s="59">
        <f t="shared" si="28"/>
        <v>0</v>
      </c>
      <c r="K3444" s="59">
        <f t="shared" si="29"/>
        <v>0</v>
      </c>
      <c r="L3444" s="59">
        <f t="shared" si="30"/>
        <v>0</v>
      </c>
      <c r="M3444" s="59">
        <f t="shared" si="31"/>
        <v>0</v>
      </c>
    </row>
    <row r="3445" ht="15.0" hidden="1" customHeight="1">
      <c r="A3445" s="59">
        <f t="shared" si="20"/>
        <v>54</v>
      </c>
      <c r="B3445" s="59" t="str">
        <f t="shared" si="21"/>
        <v/>
      </c>
      <c r="C3445" s="59" t="str">
        <f t="shared" si="22"/>
        <v/>
      </c>
      <c r="D3445" s="45" t="str">
        <f t="shared" si="23"/>
        <v/>
      </c>
      <c r="E3445" s="45" t="str">
        <f t="shared" si="24"/>
        <v/>
      </c>
      <c r="F3445" s="59" t="str">
        <f t="shared" si="25"/>
        <v/>
      </c>
      <c r="G3445" s="59" t="str">
        <f t="shared" si="26"/>
        <v/>
      </c>
      <c r="H3445" s="59" t="str">
        <f t="shared" si="27"/>
        <v>28H00061</v>
      </c>
      <c r="I3445" s="59" t="str">
        <f>IF(OR($A3445="",$C3445="",$D3445="",$E3445="",$H3445=""),"",SUMIFS(DATA_GOC!$H:$H,DATA_GOC!$A:$A,"BOM",DATA_GOC!$D:$D,$H3445,DATA_GOC!$E:$E,$C3445,DATA_GOC!$F:$F,"Xuất nội bộ từ téc",DATA_GOC!$B:$B,"&gt;="&amp;$D3445,DATA_GOC!$B:$B,"&lt;="&amp;$E3445))</f>
        <v/>
      </c>
      <c r="J3445" s="59">
        <f t="shared" si="28"/>
        <v>0</v>
      </c>
      <c r="K3445" s="59">
        <f t="shared" si="29"/>
        <v>0</v>
      </c>
      <c r="L3445" s="59">
        <f t="shared" si="30"/>
        <v>0</v>
      </c>
      <c r="M3445" s="59">
        <f t="shared" si="31"/>
        <v>0</v>
      </c>
    </row>
    <row r="3446" ht="15.0" hidden="1" customHeight="1">
      <c r="A3446" s="59">
        <f t="shared" si="20"/>
        <v>54</v>
      </c>
      <c r="B3446" s="59" t="str">
        <f t="shared" si="21"/>
        <v/>
      </c>
      <c r="C3446" s="59" t="str">
        <f t="shared" si="22"/>
        <v/>
      </c>
      <c r="D3446" s="45" t="str">
        <f t="shared" si="23"/>
        <v/>
      </c>
      <c r="E3446" s="45" t="str">
        <f t="shared" si="24"/>
        <v/>
      </c>
      <c r="F3446" s="59" t="str">
        <f t="shared" si="25"/>
        <v/>
      </c>
      <c r="G3446" s="59" t="str">
        <f t="shared" si="26"/>
        <v/>
      </c>
      <c r="H3446" s="59" t="str">
        <f t="shared" si="27"/>
        <v>28H00354</v>
      </c>
      <c r="I3446" s="59" t="str">
        <f>IF(OR($A3446="",$C3446="",$D3446="",$E3446="",$H3446=""),"",SUMIFS(DATA_GOC!$H:$H,DATA_GOC!$A:$A,"BOM",DATA_GOC!$D:$D,$H3446,DATA_GOC!$E:$E,$C3446,DATA_GOC!$F:$F,"Xuất nội bộ từ téc",DATA_GOC!$B:$B,"&gt;="&amp;$D3446,DATA_GOC!$B:$B,"&lt;="&amp;$E3446))</f>
        <v/>
      </c>
      <c r="J3446" s="59">
        <f t="shared" si="28"/>
        <v>0</v>
      </c>
      <c r="K3446" s="59">
        <f t="shared" si="29"/>
        <v>0</v>
      </c>
      <c r="L3446" s="59">
        <f t="shared" si="30"/>
        <v>0</v>
      </c>
      <c r="M3446" s="59">
        <f t="shared" si="31"/>
        <v>0</v>
      </c>
    </row>
    <row r="3447" ht="15.0" hidden="1" customHeight="1">
      <c r="A3447" s="59">
        <f t="shared" si="20"/>
        <v>54</v>
      </c>
      <c r="B3447" s="59" t="str">
        <f t="shared" si="21"/>
        <v/>
      </c>
      <c r="C3447" s="59" t="str">
        <f t="shared" si="22"/>
        <v/>
      </c>
      <c r="D3447" s="45" t="str">
        <f t="shared" si="23"/>
        <v/>
      </c>
      <c r="E3447" s="45" t="str">
        <f t="shared" si="24"/>
        <v/>
      </c>
      <c r="F3447" s="59" t="str">
        <f t="shared" si="25"/>
        <v/>
      </c>
      <c r="G3447" s="59" t="str">
        <f t="shared" si="26"/>
        <v/>
      </c>
      <c r="H3447" s="59" t="str">
        <f t="shared" si="27"/>
        <v>28H00603</v>
      </c>
      <c r="I3447" s="59" t="str">
        <f>IF(OR($A3447="",$C3447="",$D3447="",$E3447="",$H3447=""),"",SUMIFS(DATA_GOC!$H:$H,DATA_GOC!$A:$A,"BOM",DATA_GOC!$D:$D,$H3447,DATA_GOC!$E:$E,$C3447,DATA_GOC!$F:$F,"Xuất nội bộ từ téc",DATA_GOC!$B:$B,"&gt;="&amp;$D3447,DATA_GOC!$B:$B,"&lt;="&amp;$E3447))</f>
        <v/>
      </c>
      <c r="J3447" s="59">
        <f t="shared" si="28"/>
        <v>0</v>
      </c>
      <c r="K3447" s="59">
        <f t="shared" si="29"/>
        <v>0</v>
      </c>
      <c r="L3447" s="59">
        <f t="shared" si="30"/>
        <v>0</v>
      </c>
      <c r="M3447" s="59">
        <f t="shared" si="31"/>
        <v>0</v>
      </c>
    </row>
    <row r="3448" ht="15.0" hidden="1" customHeight="1">
      <c r="A3448" s="59">
        <f t="shared" si="20"/>
        <v>54</v>
      </c>
      <c r="B3448" s="59" t="str">
        <f t="shared" si="21"/>
        <v/>
      </c>
      <c r="C3448" s="59" t="str">
        <f t="shared" si="22"/>
        <v/>
      </c>
      <c r="D3448" s="45" t="str">
        <f t="shared" si="23"/>
        <v/>
      </c>
      <c r="E3448" s="45" t="str">
        <f t="shared" si="24"/>
        <v/>
      </c>
      <c r="F3448" s="59" t="str">
        <f t="shared" si="25"/>
        <v/>
      </c>
      <c r="G3448" s="59" t="str">
        <f t="shared" si="26"/>
        <v/>
      </c>
      <c r="H3448" s="59" t="str">
        <f t="shared" si="27"/>
        <v>28H00609</v>
      </c>
      <c r="I3448" s="59" t="str">
        <f>IF(OR($A3448="",$C3448="",$D3448="",$E3448="",$H3448=""),"",SUMIFS(DATA_GOC!$H:$H,DATA_GOC!$A:$A,"BOM",DATA_GOC!$D:$D,$H3448,DATA_GOC!$E:$E,$C3448,DATA_GOC!$F:$F,"Xuất nội bộ từ téc",DATA_GOC!$B:$B,"&gt;="&amp;$D3448,DATA_GOC!$B:$B,"&lt;="&amp;$E3448))</f>
        <v/>
      </c>
      <c r="J3448" s="59">
        <f t="shared" si="28"/>
        <v>0</v>
      </c>
      <c r="K3448" s="59">
        <f t="shared" si="29"/>
        <v>0</v>
      </c>
      <c r="L3448" s="59">
        <f t="shared" si="30"/>
        <v>0</v>
      </c>
      <c r="M3448" s="59">
        <f t="shared" si="31"/>
        <v>0</v>
      </c>
    </row>
    <row r="3449" ht="15.0" hidden="1" customHeight="1">
      <c r="A3449" s="59">
        <f t="shared" si="20"/>
        <v>54</v>
      </c>
      <c r="B3449" s="59" t="str">
        <f t="shared" si="21"/>
        <v/>
      </c>
      <c r="C3449" s="59" t="str">
        <f t="shared" si="22"/>
        <v/>
      </c>
      <c r="D3449" s="45" t="str">
        <f t="shared" si="23"/>
        <v/>
      </c>
      <c r="E3449" s="45" t="str">
        <f t="shared" si="24"/>
        <v/>
      </c>
      <c r="F3449" s="59" t="str">
        <f t="shared" si="25"/>
        <v/>
      </c>
      <c r="G3449" s="59" t="str">
        <f t="shared" si="26"/>
        <v/>
      </c>
      <c r="H3449" s="59" t="str">
        <f t="shared" si="27"/>
        <v>28H00669</v>
      </c>
      <c r="I3449" s="59" t="str">
        <f>IF(OR($A3449="",$C3449="",$D3449="",$E3449="",$H3449=""),"",SUMIFS(DATA_GOC!$H:$H,DATA_GOC!$A:$A,"BOM",DATA_GOC!$D:$D,$H3449,DATA_GOC!$E:$E,$C3449,DATA_GOC!$F:$F,"Xuất nội bộ từ téc",DATA_GOC!$B:$B,"&gt;="&amp;$D3449,DATA_GOC!$B:$B,"&lt;="&amp;$E3449))</f>
        <v/>
      </c>
      <c r="J3449" s="59">
        <f t="shared" si="28"/>
        <v>0</v>
      </c>
      <c r="K3449" s="59">
        <f t="shared" si="29"/>
        <v>0</v>
      </c>
      <c r="L3449" s="59">
        <f t="shared" si="30"/>
        <v>0</v>
      </c>
      <c r="M3449" s="59">
        <f t="shared" si="31"/>
        <v>0</v>
      </c>
    </row>
    <row r="3450" ht="15.0" hidden="1" customHeight="1">
      <c r="A3450" s="59">
        <f t="shared" si="20"/>
        <v>54</v>
      </c>
      <c r="B3450" s="59" t="str">
        <f t="shared" si="21"/>
        <v/>
      </c>
      <c r="C3450" s="59" t="str">
        <f t="shared" si="22"/>
        <v/>
      </c>
      <c r="D3450" s="45" t="str">
        <f t="shared" si="23"/>
        <v/>
      </c>
      <c r="E3450" s="45" t="str">
        <f t="shared" si="24"/>
        <v/>
      </c>
      <c r="F3450" s="59" t="str">
        <f t="shared" si="25"/>
        <v/>
      </c>
      <c r="G3450" s="59" t="str">
        <f t="shared" si="26"/>
        <v/>
      </c>
      <c r="H3450" s="59" t="str">
        <f t="shared" si="27"/>
        <v>28H00680</v>
      </c>
      <c r="I3450" s="59" t="str">
        <f>IF(OR($A3450="",$C3450="",$D3450="",$E3450="",$H3450=""),"",SUMIFS(DATA_GOC!$H:$H,DATA_GOC!$A:$A,"BOM",DATA_GOC!$D:$D,$H3450,DATA_GOC!$E:$E,$C3450,DATA_GOC!$F:$F,"Xuất nội bộ từ téc",DATA_GOC!$B:$B,"&gt;="&amp;$D3450,DATA_GOC!$B:$B,"&lt;="&amp;$E3450))</f>
        <v/>
      </c>
      <c r="J3450" s="59">
        <f t="shared" si="28"/>
        <v>0</v>
      </c>
      <c r="K3450" s="59">
        <f t="shared" si="29"/>
        <v>0</v>
      </c>
      <c r="L3450" s="59">
        <f t="shared" si="30"/>
        <v>0</v>
      </c>
      <c r="M3450" s="59">
        <f t="shared" si="31"/>
        <v>0</v>
      </c>
    </row>
    <row r="3451" ht="15.0" hidden="1" customHeight="1">
      <c r="A3451" s="59">
        <f t="shared" si="20"/>
        <v>54</v>
      </c>
      <c r="B3451" s="59" t="str">
        <f t="shared" si="21"/>
        <v/>
      </c>
      <c r="C3451" s="59" t="str">
        <f t="shared" si="22"/>
        <v/>
      </c>
      <c r="D3451" s="45" t="str">
        <f t="shared" si="23"/>
        <v/>
      </c>
      <c r="E3451" s="45" t="str">
        <f t="shared" si="24"/>
        <v/>
      </c>
      <c r="F3451" s="59" t="str">
        <f t="shared" si="25"/>
        <v/>
      </c>
      <c r="G3451" s="59" t="str">
        <f t="shared" si="26"/>
        <v/>
      </c>
      <c r="H3451" s="59" t="str">
        <f t="shared" si="27"/>
        <v>28H01070</v>
      </c>
      <c r="I3451" s="59" t="str">
        <f>IF(OR($A3451="",$C3451="",$D3451="",$E3451="",$H3451=""),"",SUMIFS(DATA_GOC!$H:$H,DATA_GOC!$A:$A,"BOM",DATA_GOC!$D:$D,$H3451,DATA_GOC!$E:$E,$C3451,DATA_GOC!$F:$F,"Xuất nội bộ từ téc",DATA_GOC!$B:$B,"&gt;="&amp;$D3451,DATA_GOC!$B:$B,"&lt;="&amp;$E3451))</f>
        <v/>
      </c>
      <c r="J3451" s="59">
        <f t="shared" si="28"/>
        <v>0</v>
      </c>
      <c r="K3451" s="59">
        <f t="shared" si="29"/>
        <v>0</v>
      </c>
      <c r="L3451" s="59">
        <f t="shared" si="30"/>
        <v>0</v>
      </c>
      <c r="M3451" s="59">
        <f t="shared" si="31"/>
        <v>0</v>
      </c>
    </row>
    <row r="3452" ht="15.0" hidden="1" customHeight="1">
      <c r="A3452" s="59">
        <f t="shared" si="20"/>
        <v>54</v>
      </c>
      <c r="B3452" s="59" t="str">
        <f t="shared" si="21"/>
        <v/>
      </c>
      <c r="C3452" s="59" t="str">
        <f t="shared" si="22"/>
        <v/>
      </c>
      <c r="D3452" s="45" t="str">
        <f t="shared" si="23"/>
        <v/>
      </c>
      <c r="E3452" s="45" t="str">
        <f t="shared" si="24"/>
        <v/>
      </c>
      <c r="F3452" s="59" t="str">
        <f t="shared" si="25"/>
        <v/>
      </c>
      <c r="G3452" s="59" t="str">
        <f t="shared" si="26"/>
        <v/>
      </c>
      <c r="H3452" s="59" t="str">
        <f t="shared" si="27"/>
        <v>28H01364</v>
      </c>
      <c r="I3452" s="59" t="str">
        <f>IF(OR($A3452="",$C3452="",$D3452="",$E3452="",$H3452=""),"",SUMIFS(DATA_GOC!$H:$H,DATA_GOC!$A:$A,"BOM",DATA_GOC!$D:$D,$H3452,DATA_GOC!$E:$E,$C3452,DATA_GOC!$F:$F,"Xuất nội bộ từ téc",DATA_GOC!$B:$B,"&gt;="&amp;$D3452,DATA_GOC!$B:$B,"&lt;="&amp;$E3452))</f>
        <v/>
      </c>
      <c r="J3452" s="59">
        <f t="shared" si="28"/>
        <v>0</v>
      </c>
      <c r="K3452" s="59">
        <f t="shared" si="29"/>
        <v>0</v>
      </c>
      <c r="L3452" s="59">
        <f t="shared" si="30"/>
        <v>0</v>
      </c>
      <c r="M3452" s="59">
        <f t="shared" si="31"/>
        <v>0</v>
      </c>
    </row>
    <row r="3453" ht="15.0" hidden="1" customHeight="1">
      <c r="A3453" s="59">
        <f t="shared" si="20"/>
        <v>54</v>
      </c>
      <c r="B3453" s="59" t="str">
        <f t="shared" si="21"/>
        <v/>
      </c>
      <c r="C3453" s="59" t="str">
        <f t="shared" si="22"/>
        <v/>
      </c>
      <c r="D3453" s="45" t="str">
        <f t="shared" si="23"/>
        <v/>
      </c>
      <c r="E3453" s="45" t="str">
        <f t="shared" si="24"/>
        <v/>
      </c>
      <c r="F3453" s="59" t="str">
        <f t="shared" si="25"/>
        <v/>
      </c>
      <c r="G3453" s="59" t="str">
        <f t="shared" si="26"/>
        <v/>
      </c>
      <c r="H3453" s="59" t="str">
        <f t="shared" si="27"/>
        <v>29E17269</v>
      </c>
      <c r="I3453" s="59" t="str">
        <f>IF(OR($A3453="",$C3453="",$D3453="",$E3453="",$H3453=""),"",SUMIFS(DATA_GOC!$H:$H,DATA_GOC!$A:$A,"BOM",DATA_GOC!$D:$D,$H3453,DATA_GOC!$E:$E,$C3453,DATA_GOC!$F:$F,"Xuất nội bộ từ téc",DATA_GOC!$B:$B,"&gt;="&amp;$D3453,DATA_GOC!$B:$B,"&lt;="&amp;$E3453))</f>
        <v/>
      </c>
      <c r="J3453" s="59">
        <f t="shared" si="28"/>
        <v>0</v>
      </c>
      <c r="K3453" s="59">
        <f t="shared" si="29"/>
        <v>0</v>
      </c>
      <c r="L3453" s="59">
        <f t="shared" si="30"/>
        <v>0</v>
      </c>
      <c r="M3453" s="59">
        <f t="shared" si="31"/>
        <v>0</v>
      </c>
    </row>
    <row r="3454" ht="15.0" hidden="1" customHeight="1">
      <c r="A3454" s="59">
        <f t="shared" si="20"/>
        <v>54</v>
      </c>
      <c r="B3454" s="59" t="str">
        <f t="shared" si="21"/>
        <v/>
      </c>
      <c r="C3454" s="59" t="str">
        <f t="shared" si="22"/>
        <v/>
      </c>
      <c r="D3454" s="45" t="str">
        <f t="shared" si="23"/>
        <v/>
      </c>
      <c r="E3454" s="45" t="str">
        <f t="shared" si="24"/>
        <v/>
      </c>
      <c r="F3454" s="59" t="str">
        <f t="shared" si="25"/>
        <v/>
      </c>
      <c r="G3454" s="59" t="str">
        <f t="shared" si="26"/>
        <v/>
      </c>
      <c r="H3454" s="59" t="str">
        <f t="shared" si="27"/>
        <v>29E17273</v>
      </c>
      <c r="I3454" s="59" t="str">
        <f>IF(OR($A3454="",$C3454="",$D3454="",$E3454="",$H3454=""),"",SUMIFS(DATA_GOC!$H:$H,DATA_GOC!$A:$A,"BOM",DATA_GOC!$D:$D,$H3454,DATA_GOC!$E:$E,$C3454,DATA_GOC!$F:$F,"Xuất nội bộ từ téc",DATA_GOC!$B:$B,"&gt;="&amp;$D3454,DATA_GOC!$B:$B,"&lt;="&amp;$E3454))</f>
        <v/>
      </c>
      <c r="J3454" s="59">
        <f t="shared" si="28"/>
        <v>0</v>
      </c>
      <c r="K3454" s="59">
        <f t="shared" si="29"/>
        <v>0</v>
      </c>
      <c r="L3454" s="59">
        <f t="shared" si="30"/>
        <v>0</v>
      </c>
      <c r="M3454" s="59">
        <f t="shared" si="31"/>
        <v>0</v>
      </c>
    </row>
    <row r="3455" ht="15.0" hidden="1" customHeight="1">
      <c r="A3455" s="59">
        <f t="shared" si="20"/>
        <v>54</v>
      </c>
      <c r="B3455" s="59" t="str">
        <f t="shared" si="21"/>
        <v/>
      </c>
      <c r="C3455" s="59" t="str">
        <f t="shared" si="22"/>
        <v/>
      </c>
      <c r="D3455" s="45" t="str">
        <f t="shared" si="23"/>
        <v/>
      </c>
      <c r="E3455" s="45" t="str">
        <f t="shared" si="24"/>
        <v/>
      </c>
      <c r="F3455" s="59" t="str">
        <f t="shared" si="25"/>
        <v/>
      </c>
      <c r="G3455" s="59" t="str">
        <f t="shared" si="26"/>
        <v/>
      </c>
      <c r="H3455" s="59" t="str">
        <f t="shared" si="27"/>
        <v>29E17410</v>
      </c>
      <c r="I3455" s="59" t="str">
        <f>IF(OR($A3455="",$C3455="",$D3455="",$E3455="",$H3455=""),"",SUMIFS(DATA_GOC!$H:$H,DATA_GOC!$A:$A,"BOM",DATA_GOC!$D:$D,$H3455,DATA_GOC!$E:$E,$C3455,DATA_GOC!$F:$F,"Xuất nội bộ từ téc",DATA_GOC!$B:$B,"&gt;="&amp;$D3455,DATA_GOC!$B:$B,"&lt;="&amp;$E3455))</f>
        <v/>
      </c>
      <c r="J3455" s="59">
        <f t="shared" si="28"/>
        <v>0</v>
      </c>
      <c r="K3455" s="59">
        <f t="shared" si="29"/>
        <v>0</v>
      </c>
      <c r="L3455" s="59">
        <f t="shared" si="30"/>
        <v>0</v>
      </c>
      <c r="M3455" s="59">
        <f t="shared" si="31"/>
        <v>0</v>
      </c>
    </row>
    <row r="3456" ht="15.0" hidden="1" customHeight="1">
      <c r="A3456" s="59">
        <f t="shared" si="20"/>
        <v>54</v>
      </c>
      <c r="B3456" s="59" t="str">
        <f t="shared" si="21"/>
        <v/>
      </c>
      <c r="C3456" s="59" t="str">
        <f t="shared" si="22"/>
        <v/>
      </c>
      <c r="D3456" s="45" t="str">
        <f t="shared" si="23"/>
        <v/>
      </c>
      <c r="E3456" s="45" t="str">
        <f t="shared" si="24"/>
        <v/>
      </c>
      <c r="F3456" s="59" t="str">
        <f t="shared" si="25"/>
        <v/>
      </c>
      <c r="G3456" s="59" t="str">
        <f t="shared" si="26"/>
        <v/>
      </c>
      <c r="H3456" s="59" t="str">
        <f t="shared" si="27"/>
        <v>29E17417</v>
      </c>
      <c r="I3456" s="59" t="str">
        <f>IF(OR($A3456="",$C3456="",$D3456="",$E3456="",$H3456=""),"",SUMIFS(DATA_GOC!$H:$H,DATA_GOC!$A:$A,"BOM",DATA_GOC!$D:$D,$H3456,DATA_GOC!$E:$E,$C3456,DATA_GOC!$F:$F,"Xuất nội bộ từ téc",DATA_GOC!$B:$B,"&gt;="&amp;$D3456,DATA_GOC!$B:$B,"&lt;="&amp;$E3456))</f>
        <v/>
      </c>
      <c r="J3456" s="59">
        <f t="shared" si="28"/>
        <v>0</v>
      </c>
      <c r="K3456" s="59">
        <f t="shared" si="29"/>
        <v>0</v>
      </c>
      <c r="L3456" s="59">
        <f t="shared" si="30"/>
        <v>0</v>
      </c>
      <c r="M3456" s="59">
        <f t="shared" si="31"/>
        <v>0</v>
      </c>
    </row>
    <row r="3457" ht="15.0" hidden="1" customHeight="1">
      <c r="A3457" s="59">
        <f t="shared" si="20"/>
        <v>54</v>
      </c>
      <c r="B3457" s="59" t="str">
        <f t="shared" si="21"/>
        <v/>
      </c>
      <c r="C3457" s="59" t="str">
        <f t="shared" si="22"/>
        <v/>
      </c>
      <c r="D3457" s="45" t="str">
        <f t="shared" si="23"/>
        <v/>
      </c>
      <c r="E3457" s="45" t="str">
        <f t="shared" si="24"/>
        <v/>
      </c>
      <c r="F3457" s="59" t="str">
        <f t="shared" si="25"/>
        <v/>
      </c>
      <c r="G3457" s="59" t="str">
        <f t="shared" si="26"/>
        <v/>
      </c>
      <c r="H3457" s="59" t="str">
        <f t="shared" si="27"/>
        <v>29E17539</v>
      </c>
      <c r="I3457" s="59" t="str">
        <f>IF(OR($A3457="",$C3457="",$D3457="",$E3457="",$H3457=""),"",SUMIFS(DATA_GOC!$H:$H,DATA_GOC!$A:$A,"BOM",DATA_GOC!$D:$D,$H3457,DATA_GOC!$E:$E,$C3457,DATA_GOC!$F:$F,"Xuất nội bộ từ téc",DATA_GOC!$B:$B,"&gt;="&amp;$D3457,DATA_GOC!$B:$B,"&lt;="&amp;$E3457))</f>
        <v/>
      </c>
      <c r="J3457" s="59">
        <f t="shared" si="28"/>
        <v>0</v>
      </c>
      <c r="K3457" s="59">
        <f t="shared" si="29"/>
        <v>0</v>
      </c>
      <c r="L3457" s="59">
        <f t="shared" si="30"/>
        <v>0</v>
      </c>
      <c r="M3457" s="59">
        <f t="shared" si="31"/>
        <v>0</v>
      </c>
    </row>
    <row r="3458" ht="15.0" hidden="1" customHeight="1">
      <c r="A3458" s="59">
        <f t="shared" si="20"/>
        <v>54</v>
      </c>
      <c r="B3458" s="59" t="str">
        <f t="shared" si="21"/>
        <v/>
      </c>
      <c r="C3458" s="59" t="str">
        <f t="shared" si="22"/>
        <v/>
      </c>
      <c r="D3458" s="45" t="str">
        <f t="shared" si="23"/>
        <v/>
      </c>
      <c r="E3458" s="45" t="str">
        <f t="shared" si="24"/>
        <v/>
      </c>
      <c r="F3458" s="59" t="str">
        <f t="shared" si="25"/>
        <v/>
      </c>
      <c r="G3458" s="59" t="str">
        <f t="shared" si="26"/>
        <v/>
      </c>
      <c r="H3458" s="59" t="str">
        <f t="shared" si="27"/>
        <v>29E18160</v>
      </c>
      <c r="I3458" s="59" t="str">
        <f>IF(OR($A3458="",$C3458="",$D3458="",$E3458="",$H3458=""),"",SUMIFS(DATA_GOC!$H:$H,DATA_GOC!$A:$A,"BOM",DATA_GOC!$D:$D,$H3458,DATA_GOC!$E:$E,$C3458,DATA_GOC!$F:$F,"Xuất nội bộ từ téc",DATA_GOC!$B:$B,"&gt;="&amp;$D3458,DATA_GOC!$B:$B,"&lt;="&amp;$E3458))</f>
        <v/>
      </c>
      <c r="J3458" s="59">
        <f t="shared" si="28"/>
        <v>0</v>
      </c>
      <c r="K3458" s="59">
        <f t="shared" si="29"/>
        <v>0</v>
      </c>
      <c r="L3458" s="59">
        <f t="shared" si="30"/>
        <v>0</v>
      </c>
      <c r="M3458" s="59">
        <f t="shared" si="31"/>
        <v>0</v>
      </c>
    </row>
    <row r="3459" ht="15.0" hidden="1" customHeight="1">
      <c r="A3459" s="59">
        <f t="shared" si="20"/>
        <v>54</v>
      </c>
      <c r="B3459" s="59" t="str">
        <f t="shared" si="21"/>
        <v/>
      </c>
      <c r="C3459" s="59" t="str">
        <f t="shared" si="22"/>
        <v/>
      </c>
      <c r="D3459" s="45" t="str">
        <f t="shared" si="23"/>
        <v/>
      </c>
      <c r="E3459" s="45" t="str">
        <f t="shared" si="24"/>
        <v/>
      </c>
      <c r="F3459" s="59" t="str">
        <f t="shared" si="25"/>
        <v/>
      </c>
      <c r="G3459" s="59" t="str">
        <f t="shared" si="26"/>
        <v/>
      </c>
      <c r="H3459" s="59" t="str">
        <f t="shared" si="27"/>
        <v>Công trình Asphalt</v>
      </c>
      <c r="I3459" s="59" t="str">
        <f>IF(OR($A3459="",$C3459="",$D3459="",$E3459="",$H3459=""),"",SUMIFS(DATA_GOC!$H:$H,DATA_GOC!$A:$A,"BOM",DATA_GOC!$D:$D,$H3459,DATA_GOC!$E:$E,$C3459,DATA_GOC!$F:$F,"Xuất nội bộ từ téc",DATA_GOC!$B:$B,"&gt;="&amp;$D3459,DATA_GOC!$B:$B,"&lt;="&amp;$E3459))</f>
        <v/>
      </c>
      <c r="J3459" s="59">
        <f t="shared" si="28"/>
        <v>0</v>
      </c>
      <c r="K3459" s="59">
        <f t="shared" si="29"/>
        <v>0</v>
      </c>
      <c r="L3459" s="59">
        <f t="shared" si="30"/>
        <v>0</v>
      </c>
      <c r="M3459" s="59">
        <f t="shared" si="31"/>
        <v>0</v>
      </c>
    </row>
    <row r="3460" ht="15.0" hidden="1" customHeight="1">
      <c r="A3460" s="59">
        <f t="shared" si="20"/>
        <v>54</v>
      </c>
      <c r="B3460" s="59" t="str">
        <f t="shared" si="21"/>
        <v/>
      </c>
      <c r="C3460" s="59" t="str">
        <f t="shared" si="22"/>
        <v/>
      </c>
      <c r="D3460" s="45" t="str">
        <f t="shared" si="23"/>
        <v/>
      </c>
      <c r="E3460" s="45" t="str">
        <f t="shared" si="24"/>
        <v/>
      </c>
      <c r="F3460" s="59" t="str">
        <f t="shared" si="25"/>
        <v/>
      </c>
      <c r="G3460" s="59" t="str">
        <f t="shared" si="26"/>
        <v/>
      </c>
      <c r="H3460" s="59" t="str">
        <f t="shared" si="27"/>
        <v>LG53F</v>
      </c>
      <c r="I3460" s="59" t="str">
        <f>IF(OR($A3460="",$C3460="",$D3460="",$E3460="",$H3460=""),"",SUMIFS(DATA_GOC!$H:$H,DATA_GOC!$A:$A,"BOM",DATA_GOC!$D:$D,$H3460,DATA_GOC!$E:$E,$C3460,DATA_GOC!$F:$F,"Xuất nội bộ từ téc",DATA_GOC!$B:$B,"&gt;="&amp;$D3460,DATA_GOC!$B:$B,"&lt;="&amp;$E3460))</f>
        <v/>
      </c>
      <c r="J3460" s="59">
        <f t="shared" si="28"/>
        <v>0</v>
      </c>
      <c r="K3460" s="59">
        <f t="shared" si="29"/>
        <v>0</v>
      </c>
      <c r="L3460" s="59">
        <f t="shared" si="30"/>
        <v>0</v>
      </c>
      <c r="M3460" s="59">
        <f t="shared" si="31"/>
        <v>0</v>
      </c>
    </row>
    <row r="3461" ht="15.0" hidden="1" customHeight="1">
      <c r="A3461" s="59">
        <f t="shared" si="20"/>
        <v>54</v>
      </c>
      <c r="B3461" s="59" t="str">
        <f t="shared" si="21"/>
        <v/>
      </c>
      <c r="C3461" s="59" t="str">
        <f t="shared" si="22"/>
        <v/>
      </c>
      <c r="D3461" s="45" t="str">
        <f t="shared" si="23"/>
        <v/>
      </c>
      <c r="E3461" s="45" t="str">
        <f t="shared" si="24"/>
        <v/>
      </c>
      <c r="F3461" s="59" t="str">
        <f t="shared" si="25"/>
        <v/>
      </c>
      <c r="G3461" s="59" t="str">
        <f t="shared" si="26"/>
        <v/>
      </c>
      <c r="H3461" s="59" t="str">
        <f t="shared" si="27"/>
        <v>Máy phát điện</v>
      </c>
      <c r="I3461" s="59" t="str">
        <f>IF(OR($A3461="",$C3461="",$D3461="",$E3461="",$H3461=""),"",SUMIFS(DATA_GOC!$H:$H,DATA_GOC!$A:$A,"BOM",DATA_GOC!$D:$D,$H3461,DATA_GOC!$E:$E,$C3461,DATA_GOC!$F:$F,"Xuất nội bộ từ téc",DATA_GOC!$B:$B,"&gt;="&amp;$D3461,DATA_GOC!$B:$B,"&lt;="&amp;$E3461))</f>
        <v/>
      </c>
      <c r="J3461" s="59">
        <f t="shared" si="28"/>
        <v>0</v>
      </c>
      <c r="K3461" s="59">
        <f t="shared" si="29"/>
        <v>0</v>
      </c>
      <c r="L3461" s="59">
        <f t="shared" si="30"/>
        <v>0</v>
      </c>
      <c r="M3461" s="59">
        <f t="shared" si="31"/>
        <v>0</v>
      </c>
    </row>
    <row r="3462" ht="15.0" hidden="1" customHeight="1">
      <c r="A3462" s="59">
        <f t="shared" si="20"/>
        <v>54</v>
      </c>
      <c r="B3462" s="59" t="str">
        <f t="shared" si="21"/>
        <v/>
      </c>
      <c r="C3462" s="59" t="str">
        <f t="shared" si="22"/>
        <v/>
      </c>
      <c r="D3462" s="45" t="str">
        <f t="shared" si="23"/>
        <v/>
      </c>
      <c r="E3462" s="45" t="str">
        <f t="shared" si="24"/>
        <v/>
      </c>
      <c r="F3462" s="59" t="str">
        <f t="shared" si="25"/>
        <v/>
      </c>
      <c r="G3462" s="59" t="str">
        <f t="shared" si="26"/>
        <v/>
      </c>
      <c r="H3462" s="59" t="str">
        <f t="shared" si="27"/>
        <v>Máy rải thảm</v>
      </c>
      <c r="I3462" s="59" t="str">
        <f>IF(OR($A3462="",$C3462="",$D3462="",$E3462="",$H3462=""),"",SUMIFS(DATA_GOC!$H:$H,DATA_GOC!$A:$A,"BOM",DATA_GOC!$D:$D,$H3462,DATA_GOC!$E:$E,$C3462,DATA_GOC!$F:$F,"Xuất nội bộ từ téc",DATA_GOC!$B:$B,"&gt;="&amp;$D3462,DATA_GOC!$B:$B,"&lt;="&amp;$E3462))</f>
        <v/>
      </c>
      <c r="J3462" s="59">
        <f t="shared" si="28"/>
        <v>0</v>
      </c>
      <c r="K3462" s="59">
        <f t="shared" si="29"/>
        <v>0</v>
      </c>
      <c r="L3462" s="59">
        <f t="shared" si="30"/>
        <v>0</v>
      </c>
      <c r="M3462" s="59">
        <f t="shared" si="31"/>
        <v>0</v>
      </c>
    </row>
    <row r="3463" ht="15.0" hidden="1" customHeight="1">
      <c r="A3463" s="59">
        <f t="shared" si="20"/>
        <v>54</v>
      </c>
      <c r="B3463" s="59" t="str">
        <f t="shared" si="21"/>
        <v/>
      </c>
      <c r="C3463" s="59" t="str">
        <f t="shared" si="22"/>
        <v/>
      </c>
      <c r="D3463" s="45" t="str">
        <f t="shared" si="23"/>
        <v/>
      </c>
      <c r="E3463" s="45" t="str">
        <f t="shared" si="24"/>
        <v/>
      </c>
      <c r="F3463" s="59" t="str">
        <f t="shared" si="25"/>
        <v/>
      </c>
      <c r="G3463" s="59" t="str">
        <f t="shared" si="26"/>
        <v/>
      </c>
      <c r="H3463" s="59" t="str">
        <f t="shared" si="27"/>
        <v>Xúc Đào</v>
      </c>
      <c r="I3463" s="59" t="str">
        <f>IF(OR($A3463="",$C3463="",$D3463="",$E3463="",$H3463=""),"",SUMIFS(DATA_GOC!$H:$H,DATA_GOC!$A:$A,"BOM",DATA_GOC!$D:$D,$H3463,DATA_GOC!$E:$E,$C3463,DATA_GOC!$F:$F,"Xuất nội bộ từ téc",DATA_GOC!$B:$B,"&gt;="&amp;$D3463,DATA_GOC!$B:$B,"&lt;="&amp;$E3463))</f>
        <v/>
      </c>
      <c r="J3463" s="59">
        <f t="shared" si="28"/>
        <v>0</v>
      </c>
      <c r="K3463" s="59">
        <f t="shared" si="29"/>
        <v>0</v>
      </c>
      <c r="L3463" s="59">
        <f t="shared" si="30"/>
        <v>0</v>
      </c>
      <c r="M3463" s="59">
        <f t="shared" si="31"/>
        <v>0</v>
      </c>
    </row>
    <row r="3464" ht="15.0" hidden="1" customHeight="1">
      <c r="A3464" s="59">
        <f t="shared" si="20"/>
        <v>54</v>
      </c>
      <c r="B3464" s="59" t="str">
        <f t="shared" si="21"/>
        <v/>
      </c>
      <c r="C3464" s="59" t="str">
        <f t="shared" si="22"/>
        <v/>
      </c>
      <c r="D3464" s="45" t="str">
        <f t="shared" si="23"/>
        <v/>
      </c>
      <c r="E3464" s="45" t="str">
        <f t="shared" si="24"/>
        <v/>
      </c>
      <c r="F3464" s="59" t="str">
        <f t="shared" si="25"/>
        <v/>
      </c>
      <c r="G3464" s="59" t="str">
        <f t="shared" si="26"/>
        <v/>
      </c>
      <c r="H3464" s="59" t="str">
        <f t="shared" si="27"/>
        <v>Xúclật asphalt</v>
      </c>
      <c r="I3464" s="59" t="str">
        <f>IF(OR($A3464="",$C3464="",$D3464="",$E3464="",$H3464=""),"",SUMIFS(DATA_GOC!$H:$H,DATA_GOC!$A:$A,"BOM",DATA_GOC!$D:$D,$H3464,DATA_GOC!$E:$E,$C3464,DATA_GOC!$F:$F,"Xuất nội bộ từ téc",DATA_GOC!$B:$B,"&gt;="&amp;$D3464,DATA_GOC!$B:$B,"&lt;="&amp;$E3464))</f>
        <v/>
      </c>
      <c r="J3464" s="59">
        <f t="shared" si="28"/>
        <v>0</v>
      </c>
      <c r="K3464" s="59">
        <f t="shared" si="29"/>
        <v>0</v>
      </c>
      <c r="L3464" s="59">
        <f t="shared" si="30"/>
        <v>0</v>
      </c>
      <c r="M3464" s="59">
        <f t="shared" si="31"/>
        <v>0</v>
      </c>
    </row>
    <row r="3465" ht="15.0" hidden="1" customHeight="1">
      <c r="A3465" s="59">
        <f t="shared" si="20"/>
        <v>54</v>
      </c>
      <c r="B3465" s="59" t="str">
        <f t="shared" si="21"/>
        <v/>
      </c>
      <c r="C3465" s="59" t="str">
        <f t="shared" si="22"/>
        <v/>
      </c>
      <c r="D3465" s="45" t="str">
        <f t="shared" si="23"/>
        <v/>
      </c>
      <c r="E3465" s="45" t="str">
        <f t="shared" si="24"/>
        <v/>
      </c>
      <c r="F3465" s="59" t="str">
        <f t="shared" si="25"/>
        <v/>
      </c>
      <c r="G3465" s="59" t="str">
        <f t="shared" si="26"/>
        <v/>
      </c>
      <c r="H3465" s="59" t="str">
        <f t="shared" si="27"/>
        <v>Xúclật855H</v>
      </c>
      <c r="I3465" s="59" t="str">
        <f>IF(OR($A3465="",$C3465="",$D3465="",$E3465="",$H3465=""),"",SUMIFS(DATA_GOC!$H:$H,DATA_GOC!$A:$A,"BOM",DATA_GOC!$D:$D,$H3465,DATA_GOC!$E:$E,$C3465,DATA_GOC!$F:$F,"Xuất nội bộ từ téc",DATA_GOC!$B:$B,"&gt;="&amp;$D3465,DATA_GOC!$B:$B,"&lt;="&amp;$E3465))</f>
        <v/>
      </c>
      <c r="J3465" s="59">
        <f t="shared" si="28"/>
        <v>0</v>
      </c>
      <c r="K3465" s="59">
        <f t="shared" si="29"/>
        <v>0</v>
      </c>
      <c r="L3465" s="59">
        <f t="shared" si="30"/>
        <v>0</v>
      </c>
      <c r="M3465" s="59">
        <f t="shared" si="31"/>
        <v>0</v>
      </c>
    </row>
    <row r="3466" ht="15.0" hidden="1" customHeight="1">
      <c r="A3466" s="59">
        <f t="shared" si="20"/>
        <v>54</v>
      </c>
      <c r="B3466" s="59" t="str">
        <f t="shared" si="21"/>
        <v/>
      </c>
      <c r="C3466" s="59" t="str">
        <f t="shared" si="22"/>
        <v/>
      </c>
      <c r="D3466" s="45" t="str">
        <f t="shared" si="23"/>
        <v/>
      </c>
      <c r="E3466" s="45" t="str">
        <f t="shared" si="24"/>
        <v/>
      </c>
      <c r="F3466" s="59" t="str">
        <f t="shared" si="25"/>
        <v/>
      </c>
      <c r="G3466" s="59" t="str">
        <f t="shared" si="26"/>
        <v/>
      </c>
      <c r="H3466" s="59" t="str">
        <f t="shared" si="27"/>
        <v>Xúclật855N</v>
      </c>
      <c r="I3466" s="59" t="str">
        <f>IF(OR($A3466="",$C3466="",$D3466="",$E3466="",$H3466=""),"",SUMIFS(DATA_GOC!$H:$H,DATA_GOC!$A:$A,"BOM",DATA_GOC!$D:$D,$H3466,DATA_GOC!$E:$E,$C3466,DATA_GOC!$F:$F,"Xuất nội bộ từ téc",DATA_GOC!$B:$B,"&gt;="&amp;$D3466,DATA_GOC!$B:$B,"&lt;="&amp;$E3466))</f>
        <v/>
      </c>
      <c r="J3466" s="59">
        <f t="shared" si="28"/>
        <v>0</v>
      </c>
      <c r="K3466" s="59">
        <f t="shared" si="29"/>
        <v>0</v>
      </c>
      <c r="L3466" s="59">
        <f t="shared" si="30"/>
        <v>0</v>
      </c>
      <c r="M3466" s="59">
        <f t="shared" si="31"/>
        <v>0</v>
      </c>
    </row>
    <row r="3467" ht="15.0" hidden="1" customHeight="1">
      <c r="A3467" s="59">
        <f t="shared" si="20"/>
        <v>54</v>
      </c>
      <c r="B3467" s="59" t="str">
        <f t="shared" si="21"/>
        <v/>
      </c>
      <c r="C3467" s="59" t="str">
        <f t="shared" si="22"/>
        <v/>
      </c>
      <c r="D3467" s="45" t="str">
        <f t="shared" si="23"/>
        <v/>
      </c>
      <c r="E3467" s="45" t="str">
        <f t="shared" si="24"/>
        <v/>
      </c>
      <c r="F3467" s="59" t="str">
        <f t="shared" si="25"/>
        <v/>
      </c>
      <c r="G3467" s="59" t="str">
        <f t="shared" si="26"/>
        <v/>
      </c>
      <c r="H3467" s="59" t="str">
        <f t="shared" si="27"/>
        <v>Cát nghiền</v>
      </c>
      <c r="I3467" s="59" t="str">
        <f>IF(OR($A3467="",$C3467="",$D3467="",$E3467="",$H3467=""),"",SUMIFS(DATA_GOC!$H:$H,DATA_GOC!$A:$A,"BOM",DATA_GOC!$D:$D,$H3467,DATA_GOC!$E:$E,$C3467,DATA_GOC!$F:$F,"Xuất nội bộ từ téc",DATA_GOC!$B:$B,"&gt;="&amp;$D3467,DATA_GOC!$B:$B,"&lt;="&amp;$E3467))</f>
        <v/>
      </c>
      <c r="J3467" s="59">
        <f t="shared" si="28"/>
        <v>0</v>
      </c>
      <c r="K3467" s="59">
        <f t="shared" si="29"/>
        <v>0</v>
      </c>
      <c r="L3467" s="59">
        <f t="shared" si="30"/>
        <v>0</v>
      </c>
      <c r="M3467" s="59">
        <f t="shared" si="31"/>
        <v>0</v>
      </c>
    </row>
    <row r="3468" ht="15.0" hidden="1" customHeight="1">
      <c r="A3468" s="59">
        <f t="shared" si="20"/>
        <v>54</v>
      </c>
      <c r="B3468" s="59" t="str">
        <f t="shared" si="21"/>
        <v/>
      </c>
      <c r="C3468" s="59" t="str">
        <f t="shared" si="22"/>
        <v/>
      </c>
      <c r="D3468" s="45" t="str">
        <f t="shared" si="23"/>
        <v/>
      </c>
      <c r="E3468" s="45" t="str">
        <f t="shared" si="24"/>
        <v/>
      </c>
      <c r="F3468" s="59" t="str">
        <f t="shared" si="25"/>
        <v/>
      </c>
      <c r="G3468" s="59" t="str">
        <f t="shared" si="26"/>
        <v/>
      </c>
      <c r="H3468" s="59" t="str">
        <f t="shared" si="27"/>
        <v>28C02973</v>
      </c>
      <c r="I3468" s="59" t="str">
        <f>IF(OR($A3468="",$C3468="",$D3468="",$E3468="",$H3468=""),"",SUMIFS(DATA_GOC!$H:$H,DATA_GOC!$A:$A,"BOM",DATA_GOC!$D:$D,$H3468,DATA_GOC!$E:$E,$C3468,DATA_GOC!$F:$F,"Xuất nội bộ từ téc",DATA_GOC!$B:$B,"&gt;="&amp;$D3468,DATA_GOC!$B:$B,"&lt;="&amp;$E3468))</f>
        <v/>
      </c>
      <c r="J3468" s="59">
        <f t="shared" si="28"/>
        <v>0</v>
      </c>
      <c r="K3468" s="59">
        <f t="shared" si="29"/>
        <v>0</v>
      </c>
      <c r="L3468" s="59">
        <f t="shared" si="30"/>
        <v>0</v>
      </c>
      <c r="M3468" s="59">
        <f t="shared" si="31"/>
        <v>0</v>
      </c>
    </row>
    <row r="3469" ht="15.0" hidden="1" customHeight="1">
      <c r="A3469" s="59">
        <f t="shared" si="20"/>
        <v>54</v>
      </c>
      <c r="B3469" s="59" t="str">
        <f t="shared" si="21"/>
        <v/>
      </c>
      <c r="C3469" s="59" t="str">
        <f t="shared" si="22"/>
        <v/>
      </c>
      <c r="D3469" s="45" t="str">
        <f t="shared" si="23"/>
        <v/>
      </c>
      <c r="E3469" s="45" t="str">
        <f t="shared" si="24"/>
        <v/>
      </c>
      <c r="F3469" s="59" t="str">
        <f t="shared" si="25"/>
        <v/>
      </c>
      <c r="G3469" s="59" t="str">
        <f t="shared" si="26"/>
        <v/>
      </c>
      <c r="H3469" s="59" t="str">
        <f t="shared" si="27"/>
        <v>28C03044</v>
      </c>
      <c r="I3469" s="59" t="str">
        <f>IF(OR($A3469="",$C3469="",$D3469="",$E3469="",$H3469=""),"",SUMIFS(DATA_GOC!$H:$H,DATA_GOC!$A:$A,"BOM",DATA_GOC!$D:$D,$H3469,DATA_GOC!$E:$E,$C3469,DATA_GOC!$F:$F,"Xuất nội bộ từ téc",DATA_GOC!$B:$B,"&gt;="&amp;$D3469,DATA_GOC!$B:$B,"&lt;="&amp;$E3469))</f>
        <v/>
      </c>
      <c r="J3469" s="59">
        <f t="shared" si="28"/>
        <v>0</v>
      </c>
      <c r="K3469" s="59">
        <f t="shared" si="29"/>
        <v>0</v>
      </c>
      <c r="L3469" s="59">
        <f t="shared" si="30"/>
        <v>0</v>
      </c>
      <c r="M3469" s="59">
        <f t="shared" si="31"/>
        <v>0</v>
      </c>
    </row>
    <row r="3470" ht="15.0" hidden="1" customHeight="1">
      <c r="A3470" s="59">
        <f t="shared" si="20"/>
        <v>54</v>
      </c>
      <c r="B3470" s="59" t="str">
        <f t="shared" si="21"/>
        <v/>
      </c>
      <c r="C3470" s="59" t="str">
        <f t="shared" si="22"/>
        <v/>
      </c>
      <c r="D3470" s="45" t="str">
        <f t="shared" si="23"/>
        <v/>
      </c>
      <c r="E3470" s="45" t="str">
        <f t="shared" si="24"/>
        <v/>
      </c>
      <c r="F3470" s="59" t="str">
        <f t="shared" si="25"/>
        <v/>
      </c>
      <c r="G3470" s="59" t="str">
        <f t="shared" si="26"/>
        <v/>
      </c>
      <c r="H3470" s="59" t="str">
        <f t="shared" si="27"/>
        <v>Máy lu lốp</v>
      </c>
      <c r="I3470" s="59" t="str">
        <f>IF(OR($A3470="",$C3470="",$D3470="",$E3470="",$H3470=""),"",SUMIFS(DATA_GOC!$H:$H,DATA_GOC!$A:$A,"BOM",DATA_GOC!$D:$D,$H3470,DATA_GOC!$E:$E,$C3470,DATA_GOC!$F:$F,"Xuất nội bộ từ téc",DATA_GOC!$B:$B,"&gt;="&amp;$D3470,DATA_GOC!$B:$B,"&lt;="&amp;$E3470))</f>
        <v/>
      </c>
      <c r="J3470" s="59">
        <f t="shared" si="28"/>
        <v>0</v>
      </c>
      <c r="K3470" s="59">
        <f t="shared" si="29"/>
        <v>0</v>
      </c>
      <c r="L3470" s="59">
        <f t="shared" si="30"/>
        <v>0</v>
      </c>
      <c r="M3470" s="59">
        <f t="shared" si="31"/>
        <v>0</v>
      </c>
    </row>
    <row r="3471" ht="15.0" hidden="1" customHeight="1">
      <c r="A3471" s="59">
        <f t="shared" si="20"/>
        <v>54</v>
      </c>
      <c r="B3471" s="59" t="str">
        <f t="shared" si="21"/>
        <v/>
      </c>
      <c r="C3471" s="59" t="str">
        <f t="shared" si="22"/>
        <v/>
      </c>
      <c r="D3471" s="45" t="str">
        <f t="shared" si="23"/>
        <v/>
      </c>
      <c r="E3471" s="45" t="str">
        <f t="shared" si="24"/>
        <v/>
      </c>
      <c r="F3471" s="59" t="str">
        <f t="shared" si="25"/>
        <v/>
      </c>
      <c r="G3471" s="59" t="str">
        <f t="shared" si="26"/>
        <v/>
      </c>
      <c r="H3471" s="59" t="str">
        <f t="shared" si="27"/>
        <v>Xe 600148</v>
      </c>
      <c r="I3471" s="59" t="str">
        <f>IF(OR($A3471="",$C3471="",$D3471="",$E3471="",$H3471=""),"",SUMIFS(DATA_GOC!$H:$H,DATA_GOC!$A:$A,"BOM",DATA_GOC!$D:$D,$H3471,DATA_GOC!$E:$E,$C3471,DATA_GOC!$F:$F,"Xuất nội bộ từ téc",DATA_GOC!$B:$B,"&gt;="&amp;$D3471,DATA_GOC!$B:$B,"&lt;="&amp;$E3471))</f>
        <v/>
      </c>
      <c r="J3471" s="59">
        <f t="shared" si="28"/>
        <v>0</v>
      </c>
      <c r="K3471" s="59">
        <f t="shared" si="29"/>
        <v>0</v>
      </c>
      <c r="L3471" s="59">
        <f t="shared" si="30"/>
        <v>0</v>
      </c>
      <c r="M3471" s="59">
        <f t="shared" si="31"/>
        <v>0</v>
      </c>
    </row>
    <row r="3472" ht="15.0" hidden="1" customHeight="1">
      <c r="A3472" s="59">
        <f t="shared" si="20"/>
        <v>54</v>
      </c>
      <c r="B3472" s="59" t="str">
        <f t="shared" si="21"/>
        <v/>
      </c>
      <c r="C3472" s="59" t="str">
        <f t="shared" si="22"/>
        <v/>
      </c>
      <c r="D3472" s="45" t="str">
        <f t="shared" si="23"/>
        <v/>
      </c>
      <c r="E3472" s="45" t="str">
        <f t="shared" si="24"/>
        <v/>
      </c>
      <c r="F3472" s="59" t="str">
        <f t="shared" si="25"/>
        <v/>
      </c>
      <c r="G3472" s="59" t="str">
        <f t="shared" si="26"/>
        <v/>
      </c>
      <c r="H3472" s="59" t="str">
        <f t="shared" si="27"/>
        <v>Xe ben mới</v>
      </c>
      <c r="I3472" s="59" t="str">
        <f>IF(OR($A3472="",$C3472="",$D3472="",$E3472="",$H3472=""),"",SUMIFS(DATA_GOC!$H:$H,DATA_GOC!$A:$A,"BOM",DATA_GOC!$D:$D,$H3472,DATA_GOC!$E:$E,$C3472,DATA_GOC!$F:$F,"Xuất nội bộ từ téc",DATA_GOC!$B:$B,"&gt;="&amp;$D3472,DATA_GOC!$B:$B,"&lt;="&amp;$E3472))</f>
        <v/>
      </c>
      <c r="J3472" s="59">
        <f t="shared" si="28"/>
        <v>0</v>
      </c>
      <c r="K3472" s="59">
        <f t="shared" si="29"/>
        <v>0</v>
      </c>
      <c r="L3472" s="59">
        <f t="shared" si="30"/>
        <v>0</v>
      </c>
      <c r="M3472" s="59">
        <f t="shared" si="31"/>
        <v>0</v>
      </c>
    </row>
    <row r="3473" ht="15.0" hidden="1" customHeight="1">
      <c r="A3473" s="59">
        <f t="shared" si="20"/>
        <v>55</v>
      </c>
      <c r="B3473" s="59" t="str">
        <f t="shared" si="21"/>
        <v/>
      </c>
      <c r="C3473" s="59" t="str">
        <f t="shared" si="22"/>
        <v/>
      </c>
      <c r="D3473" s="45" t="str">
        <f t="shared" si="23"/>
        <v/>
      </c>
      <c r="E3473" s="45" t="str">
        <f t="shared" si="24"/>
        <v/>
      </c>
      <c r="F3473" s="59" t="str">
        <f t="shared" si="25"/>
        <v/>
      </c>
      <c r="G3473" s="59" t="str">
        <f t="shared" si="26"/>
        <v/>
      </c>
      <c r="H3473" s="59" t="str">
        <f t="shared" si="27"/>
        <v>19H09482</v>
      </c>
      <c r="I3473" s="59" t="str">
        <f>IF(OR($A3473="",$C3473="",$D3473="",$E3473="",$H3473=""),"",SUMIFS(DATA_GOC!$H:$H,DATA_GOC!$A:$A,"BOM",DATA_GOC!$D:$D,$H3473,DATA_GOC!$E:$E,$C3473,DATA_GOC!$F:$F,"Xuất nội bộ từ téc",DATA_GOC!$B:$B,"&gt;="&amp;$D3473,DATA_GOC!$B:$B,"&lt;="&amp;$E3473))</f>
        <v/>
      </c>
      <c r="J3473" s="59">
        <f t="shared" si="28"/>
        <v>0</v>
      </c>
      <c r="K3473" s="59">
        <f t="shared" si="29"/>
        <v>0</v>
      </c>
      <c r="L3473" s="59">
        <f t="shared" si="30"/>
        <v>0</v>
      </c>
      <c r="M3473" s="59">
        <f t="shared" si="31"/>
        <v>0</v>
      </c>
    </row>
    <row r="3474" ht="15.0" hidden="1" customHeight="1">
      <c r="A3474" s="59">
        <f t="shared" si="20"/>
        <v>55</v>
      </c>
      <c r="B3474" s="59" t="str">
        <f t="shared" si="21"/>
        <v/>
      </c>
      <c r="C3474" s="59" t="str">
        <f t="shared" si="22"/>
        <v/>
      </c>
      <c r="D3474" s="45" t="str">
        <f t="shared" si="23"/>
        <v/>
      </c>
      <c r="E3474" s="45" t="str">
        <f t="shared" si="24"/>
        <v/>
      </c>
      <c r="F3474" s="59" t="str">
        <f t="shared" si="25"/>
        <v/>
      </c>
      <c r="G3474" s="59" t="str">
        <f t="shared" si="26"/>
        <v/>
      </c>
      <c r="H3474" s="59" t="str">
        <f t="shared" si="27"/>
        <v>28A30696</v>
      </c>
      <c r="I3474" s="59" t="str">
        <f>IF(OR($A3474="",$C3474="",$D3474="",$E3474="",$H3474=""),"",SUMIFS(DATA_GOC!$H:$H,DATA_GOC!$A:$A,"BOM",DATA_GOC!$D:$D,$H3474,DATA_GOC!$E:$E,$C3474,DATA_GOC!$F:$F,"Xuất nội bộ từ téc",DATA_GOC!$B:$B,"&gt;="&amp;$D3474,DATA_GOC!$B:$B,"&lt;="&amp;$E3474))</f>
        <v/>
      </c>
      <c r="J3474" s="59">
        <f t="shared" si="28"/>
        <v>0</v>
      </c>
      <c r="K3474" s="59">
        <f t="shared" si="29"/>
        <v>0</v>
      </c>
      <c r="L3474" s="59">
        <f t="shared" si="30"/>
        <v>0</v>
      </c>
      <c r="M3474" s="59">
        <f t="shared" si="31"/>
        <v>0</v>
      </c>
    </row>
    <row r="3475" ht="15.0" hidden="1" customHeight="1">
      <c r="A3475" s="59">
        <f t="shared" si="20"/>
        <v>55</v>
      </c>
      <c r="B3475" s="59" t="str">
        <f t="shared" si="21"/>
        <v/>
      </c>
      <c r="C3475" s="59" t="str">
        <f t="shared" si="22"/>
        <v/>
      </c>
      <c r="D3475" s="45" t="str">
        <f t="shared" si="23"/>
        <v/>
      </c>
      <c r="E3475" s="45" t="str">
        <f t="shared" si="24"/>
        <v/>
      </c>
      <c r="F3475" s="59" t="str">
        <f t="shared" si="25"/>
        <v/>
      </c>
      <c r="G3475" s="59" t="str">
        <f t="shared" si="26"/>
        <v/>
      </c>
      <c r="H3475" s="59" t="str">
        <f t="shared" si="27"/>
        <v>28C00462</v>
      </c>
      <c r="I3475" s="59" t="str">
        <f>IF(OR($A3475="",$C3475="",$D3475="",$E3475="",$H3475=""),"",SUMIFS(DATA_GOC!$H:$H,DATA_GOC!$A:$A,"BOM",DATA_GOC!$D:$D,$H3475,DATA_GOC!$E:$E,$C3475,DATA_GOC!$F:$F,"Xuất nội bộ từ téc",DATA_GOC!$B:$B,"&gt;="&amp;$D3475,DATA_GOC!$B:$B,"&lt;="&amp;$E3475))</f>
        <v/>
      </c>
      <c r="J3475" s="59">
        <f t="shared" si="28"/>
        <v>0</v>
      </c>
      <c r="K3475" s="59">
        <f t="shared" si="29"/>
        <v>0</v>
      </c>
      <c r="L3475" s="59">
        <f t="shared" si="30"/>
        <v>0</v>
      </c>
      <c r="M3475" s="59">
        <f t="shared" si="31"/>
        <v>0</v>
      </c>
    </row>
    <row r="3476" ht="15.0" hidden="1" customHeight="1">
      <c r="A3476" s="59">
        <f t="shared" si="20"/>
        <v>55</v>
      </c>
      <c r="B3476" s="59" t="str">
        <f t="shared" si="21"/>
        <v/>
      </c>
      <c r="C3476" s="59" t="str">
        <f t="shared" si="22"/>
        <v/>
      </c>
      <c r="D3476" s="45" t="str">
        <f t="shared" si="23"/>
        <v/>
      </c>
      <c r="E3476" s="45" t="str">
        <f t="shared" si="24"/>
        <v/>
      </c>
      <c r="F3476" s="59" t="str">
        <f t="shared" si="25"/>
        <v/>
      </c>
      <c r="G3476" s="59" t="str">
        <f t="shared" si="26"/>
        <v/>
      </c>
      <c r="H3476" s="59" t="str">
        <f t="shared" si="27"/>
        <v>28C01165</v>
      </c>
      <c r="I3476" s="59" t="str">
        <f>IF(OR($A3476="",$C3476="",$D3476="",$E3476="",$H3476=""),"",SUMIFS(DATA_GOC!$H:$H,DATA_GOC!$A:$A,"BOM",DATA_GOC!$D:$D,$H3476,DATA_GOC!$E:$E,$C3476,DATA_GOC!$F:$F,"Xuất nội bộ từ téc",DATA_GOC!$B:$B,"&gt;="&amp;$D3476,DATA_GOC!$B:$B,"&lt;="&amp;$E3476))</f>
        <v/>
      </c>
      <c r="J3476" s="59">
        <f t="shared" si="28"/>
        <v>0</v>
      </c>
      <c r="K3476" s="59">
        <f t="shared" si="29"/>
        <v>0</v>
      </c>
      <c r="L3476" s="59">
        <f t="shared" si="30"/>
        <v>0</v>
      </c>
      <c r="M3476" s="59">
        <f t="shared" si="31"/>
        <v>0</v>
      </c>
    </row>
    <row r="3477" ht="15.0" hidden="1" customHeight="1">
      <c r="A3477" s="59">
        <f t="shared" si="20"/>
        <v>55</v>
      </c>
      <c r="B3477" s="59" t="str">
        <f t="shared" si="21"/>
        <v/>
      </c>
      <c r="C3477" s="59" t="str">
        <f t="shared" si="22"/>
        <v/>
      </c>
      <c r="D3477" s="45" t="str">
        <f t="shared" si="23"/>
        <v/>
      </c>
      <c r="E3477" s="45" t="str">
        <f t="shared" si="24"/>
        <v/>
      </c>
      <c r="F3477" s="59" t="str">
        <f t="shared" si="25"/>
        <v/>
      </c>
      <c r="G3477" s="59" t="str">
        <f t="shared" si="26"/>
        <v/>
      </c>
      <c r="H3477" s="59" t="str">
        <f t="shared" si="27"/>
        <v>28C01406</v>
      </c>
      <c r="I3477" s="59" t="str">
        <f>IF(OR($A3477="",$C3477="",$D3477="",$E3477="",$H3477=""),"",SUMIFS(DATA_GOC!$H:$H,DATA_GOC!$A:$A,"BOM",DATA_GOC!$D:$D,$H3477,DATA_GOC!$E:$E,$C3477,DATA_GOC!$F:$F,"Xuất nội bộ từ téc",DATA_GOC!$B:$B,"&gt;="&amp;$D3477,DATA_GOC!$B:$B,"&lt;="&amp;$E3477))</f>
        <v/>
      </c>
      <c r="J3477" s="59">
        <f t="shared" si="28"/>
        <v>0</v>
      </c>
      <c r="K3477" s="59">
        <f t="shared" si="29"/>
        <v>0</v>
      </c>
      <c r="L3477" s="59">
        <f t="shared" si="30"/>
        <v>0</v>
      </c>
      <c r="M3477" s="59">
        <f t="shared" si="31"/>
        <v>0</v>
      </c>
    </row>
    <row r="3478" ht="15.0" hidden="1" customHeight="1">
      <c r="A3478" s="59">
        <f t="shared" si="20"/>
        <v>55</v>
      </c>
      <c r="B3478" s="59" t="str">
        <f t="shared" si="21"/>
        <v/>
      </c>
      <c r="C3478" s="59" t="str">
        <f t="shared" si="22"/>
        <v/>
      </c>
      <c r="D3478" s="45" t="str">
        <f t="shared" si="23"/>
        <v/>
      </c>
      <c r="E3478" s="45" t="str">
        <f t="shared" si="24"/>
        <v/>
      </c>
      <c r="F3478" s="59" t="str">
        <f t="shared" si="25"/>
        <v/>
      </c>
      <c r="G3478" s="59" t="str">
        <f t="shared" si="26"/>
        <v/>
      </c>
      <c r="H3478" s="59" t="str">
        <f t="shared" si="27"/>
        <v>28C01544</v>
      </c>
      <c r="I3478" s="59" t="str">
        <f>IF(OR($A3478="",$C3478="",$D3478="",$E3478="",$H3478=""),"",SUMIFS(DATA_GOC!$H:$H,DATA_GOC!$A:$A,"BOM",DATA_GOC!$D:$D,$H3478,DATA_GOC!$E:$E,$C3478,DATA_GOC!$F:$F,"Xuất nội bộ từ téc",DATA_GOC!$B:$B,"&gt;="&amp;$D3478,DATA_GOC!$B:$B,"&lt;="&amp;$E3478))</f>
        <v/>
      </c>
      <c r="J3478" s="59">
        <f t="shared" si="28"/>
        <v>0</v>
      </c>
      <c r="K3478" s="59">
        <f t="shared" si="29"/>
        <v>0</v>
      </c>
      <c r="L3478" s="59">
        <f t="shared" si="30"/>
        <v>0</v>
      </c>
      <c r="M3478" s="59">
        <f t="shared" si="31"/>
        <v>0</v>
      </c>
    </row>
    <row r="3479" ht="15.0" hidden="1" customHeight="1">
      <c r="A3479" s="59">
        <f t="shared" si="20"/>
        <v>55</v>
      </c>
      <c r="B3479" s="59" t="str">
        <f t="shared" si="21"/>
        <v/>
      </c>
      <c r="C3479" s="59" t="str">
        <f t="shared" si="22"/>
        <v/>
      </c>
      <c r="D3479" s="45" t="str">
        <f t="shared" si="23"/>
        <v/>
      </c>
      <c r="E3479" s="45" t="str">
        <f t="shared" si="24"/>
        <v/>
      </c>
      <c r="F3479" s="59" t="str">
        <f t="shared" si="25"/>
        <v/>
      </c>
      <c r="G3479" s="59" t="str">
        <f t="shared" si="26"/>
        <v/>
      </c>
      <c r="H3479" s="59" t="str">
        <f t="shared" si="27"/>
        <v>28C01622</v>
      </c>
      <c r="I3479" s="59" t="str">
        <f>IF(OR($A3479="",$C3479="",$D3479="",$E3479="",$H3479=""),"",SUMIFS(DATA_GOC!$H:$H,DATA_GOC!$A:$A,"BOM",DATA_GOC!$D:$D,$H3479,DATA_GOC!$E:$E,$C3479,DATA_GOC!$F:$F,"Xuất nội bộ từ téc",DATA_GOC!$B:$B,"&gt;="&amp;$D3479,DATA_GOC!$B:$B,"&lt;="&amp;$E3479))</f>
        <v/>
      </c>
      <c r="J3479" s="59">
        <f t="shared" si="28"/>
        <v>0</v>
      </c>
      <c r="K3479" s="59">
        <f t="shared" si="29"/>
        <v>0</v>
      </c>
      <c r="L3479" s="59">
        <f t="shared" si="30"/>
        <v>0</v>
      </c>
      <c r="M3479" s="59">
        <f t="shared" si="31"/>
        <v>0</v>
      </c>
    </row>
    <row r="3480" ht="15.0" hidden="1" customHeight="1">
      <c r="A3480" s="59">
        <f t="shared" si="20"/>
        <v>55</v>
      </c>
      <c r="B3480" s="59" t="str">
        <f t="shared" si="21"/>
        <v/>
      </c>
      <c r="C3480" s="59" t="str">
        <f t="shared" si="22"/>
        <v/>
      </c>
      <c r="D3480" s="45" t="str">
        <f t="shared" si="23"/>
        <v/>
      </c>
      <c r="E3480" s="45" t="str">
        <f t="shared" si="24"/>
        <v/>
      </c>
      <c r="F3480" s="59" t="str">
        <f t="shared" si="25"/>
        <v/>
      </c>
      <c r="G3480" s="59" t="str">
        <f t="shared" si="26"/>
        <v/>
      </c>
      <c r="H3480" s="59" t="str">
        <f t="shared" si="27"/>
        <v>28C01647</v>
      </c>
      <c r="I3480" s="59" t="str">
        <f>IF(OR($A3480="",$C3480="",$D3480="",$E3480="",$H3480=""),"",SUMIFS(DATA_GOC!$H:$H,DATA_GOC!$A:$A,"BOM",DATA_GOC!$D:$D,$H3480,DATA_GOC!$E:$E,$C3480,DATA_GOC!$F:$F,"Xuất nội bộ từ téc",DATA_GOC!$B:$B,"&gt;="&amp;$D3480,DATA_GOC!$B:$B,"&lt;="&amp;$E3480))</f>
        <v/>
      </c>
      <c r="J3480" s="59">
        <f t="shared" si="28"/>
        <v>0</v>
      </c>
      <c r="K3480" s="59">
        <f t="shared" si="29"/>
        <v>0</v>
      </c>
      <c r="L3480" s="59">
        <f t="shared" si="30"/>
        <v>0</v>
      </c>
      <c r="M3480" s="59">
        <f t="shared" si="31"/>
        <v>0</v>
      </c>
    </row>
    <row r="3481" ht="15.0" hidden="1" customHeight="1">
      <c r="A3481" s="59">
        <f t="shared" si="20"/>
        <v>55</v>
      </c>
      <c r="B3481" s="59" t="str">
        <f t="shared" si="21"/>
        <v/>
      </c>
      <c r="C3481" s="59" t="str">
        <f t="shared" si="22"/>
        <v/>
      </c>
      <c r="D3481" s="45" t="str">
        <f t="shared" si="23"/>
        <v/>
      </c>
      <c r="E3481" s="45" t="str">
        <f t="shared" si="24"/>
        <v/>
      </c>
      <c r="F3481" s="59" t="str">
        <f t="shared" si="25"/>
        <v/>
      </c>
      <c r="G3481" s="59" t="str">
        <f t="shared" si="26"/>
        <v/>
      </c>
      <c r="H3481" s="59" t="str">
        <f t="shared" si="27"/>
        <v>28C01731</v>
      </c>
      <c r="I3481" s="59" t="str">
        <f>IF(OR($A3481="",$C3481="",$D3481="",$E3481="",$H3481=""),"",SUMIFS(DATA_GOC!$H:$H,DATA_GOC!$A:$A,"BOM",DATA_GOC!$D:$D,$H3481,DATA_GOC!$E:$E,$C3481,DATA_GOC!$F:$F,"Xuất nội bộ từ téc",DATA_GOC!$B:$B,"&gt;="&amp;$D3481,DATA_GOC!$B:$B,"&lt;="&amp;$E3481))</f>
        <v/>
      </c>
      <c r="J3481" s="59">
        <f t="shared" si="28"/>
        <v>0</v>
      </c>
      <c r="K3481" s="59">
        <f t="shared" si="29"/>
        <v>0</v>
      </c>
      <c r="L3481" s="59">
        <f t="shared" si="30"/>
        <v>0</v>
      </c>
      <c r="M3481" s="59">
        <f t="shared" si="31"/>
        <v>0</v>
      </c>
    </row>
    <row r="3482" ht="15.0" hidden="1" customHeight="1">
      <c r="A3482" s="59">
        <f t="shared" si="20"/>
        <v>55</v>
      </c>
      <c r="B3482" s="59" t="str">
        <f t="shared" si="21"/>
        <v/>
      </c>
      <c r="C3482" s="59" t="str">
        <f t="shared" si="22"/>
        <v/>
      </c>
      <c r="D3482" s="45" t="str">
        <f t="shared" si="23"/>
        <v/>
      </c>
      <c r="E3482" s="45" t="str">
        <f t="shared" si="24"/>
        <v/>
      </c>
      <c r="F3482" s="59" t="str">
        <f t="shared" si="25"/>
        <v/>
      </c>
      <c r="G3482" s="59" t="str">
        <f t="shared" si="26"/>
        <v/>
      </c>
      <c r="H3482" s="59" t="str">
        <f t="shared" si="27"/>
        <v>28C01743</v>
      </c>
      <c r="I3482" s="59" t="str">
        <f>IF(OR($A3482="",$C3482="",$D3482="",$E3482="",$H3482=""),"",SUMIFS(DATA_GOC!$H:$H,DATA_GOC!$A:$A,"BOM",DATA_GOC!$D:$D,$H3482,DATA_GOC!$E:$E,$C3482,DATA_GOC!$F:$F,"Xuất nội bộ từ téc",DATA_GOC!$B:$B,"&gt;="&amp;$D3482,DATA_GOC!$B:$B,"&lt;="&amp;$E3482))</f>
        <v/>
      </c>
      <c r="J3482" s="59">
        <f t="shared" si="28"/>
        <v>0</v>
      </c>
      <c r="K3482" s="59">
        <f t="shared" si="29"/>
        <v>0</v>
      </c>
      <c r="L3482" s="59">
        <f t="shared" si="30"/>
        <v>0</v>
      </c>
      <c r="M3482" s="59">
        <f t="shared" si="31"/>
        <v>0</v>
      </c>
    </row>
    <row r="3483" ht="15.0" hidden="1" customHeight="1">
      <c r="A3483" s="59">
        <f t="shared" si="20"/>
        <v>55</v>
      </c>
      <c r="B3483" s="59" t="str">
        <f t="shared" si="21"/>
        <v/>
      </c>
      <c r="C3483" s="59" t="str">
        <f t="shared" si="22"/>
        <v/>
      </c>
      <c r="D3483" s="45" t="str">
        <f t="shared" si="23"/>
        <v/>
      </c>
      <c r="E3483" s="45" t="str">
        <f t="shared" si="24"/>
        <v/>
      </c>
      <c r="F3483" s="59" t="str">
        <f t="shared" si="25"/>
        <v/>
      </c>
      <c r="G3483" s="59" t="str">
        <f t="shared" si="26"/>
        <v/>
      </c>
      <c r="H3483" s="59" t="str">
        <f t="shared" si="27"/>
        <v>28C02106</v>
      </c>
      <c r="I3483" s="59" t="str">
        <f>IF(OR($A3483="",$C3483="",$D3483="",$E3483="",$H3483=""),"",SUMIFS(DATA_GOC!$H:$H,DATA_GOC!$A:$A,"BOM",DATA_GOC!$D:$D,$H3483,DATA_GOC!$E:$E,$C3483,DATA_GOC!$F:$F,"Xuất nội bộ từ téc",DATA_GOC!$B:$B,"&gt;="&amp;$D3483,DATA_GOC!$B:$B,"&lt;="&amp;$E3483))</f>
        <v/>
      </c>
      <c r="J3483" s="59">
        <f t="shared" si="28"/>
        <v>0</v>
      </c>
      <c r="K3483" s="59">
        <f t="shared" si="29"/>
        <v>0</v>
      </c>
      <c r="L3483" s="59">
        <f t="shared" si="30"/>
        <v>0</v>
      </c>
      <c r="M3483" s="59">
        <f t="shared" si="31"/>
        <v>0</v>
      </c>
    </row>
    <row r="3484" ht="15.0" hidden="1" customHeight="1">
      <c r="A3484" s="59">
        <f t="shared" si="20"/>
        <v>55</v>
      </c>
      <c r="B3484" s="59" t="str">
        <f t="shared" si="21"/>
        <v/>
      </c>
      <c r="C3484" s="59" t="str">
        <f t="shared" si="22"/>
        <v/>
      </c>
      <c r="D3484" s="45" t="str">
        <f t="shared" si="23"/>
        <v/>
      </c>
      <c r="E3484" s="45" t="str">
        <f t="shared" si="24"/>
        <v/>
      </c>
      <c r="F3484" s="59" t="str">
        <f t="shared" si="25"/>
        <v/>
      </c>
      <c r="G3484" s="59" t="str">
        <f t="shared" si="26"/>
        <v/>
      </c>
      <c r="H3484" s="59" t="str">
        <f t="shared" si="27"/>
        <v>28C02410</v>
      </c>
      <c r="I3484" s="59" t="str">
        <f>IF(OR($A3484="",$C3484="",$D3484="",$E3484="",$H3484=""),"",SUMIFS(DATA_GOC!$H:$H,DATA_GOC!$A:$A,"BOM",DATA_GOC!$D:$D,$H3484,DATA_GOC!$E:$E,$C3484,DATA_GOC!$F:$F,"Xuất nội bộ từ téc",DATA_GOC!$B:$B,"&gt;="&amp;$D3484,DATA_GOC!$B:$B,"&lt;="&amp;$E3484))</f>
        <v/>
      </c>
      <c r="J3484" s="59">
        <f t="shared" si="28"/>
        <v>0</v>
      </c>
      <c r="K3484" s="59">
        <f t="shared" si="29"/>
        <v>0</v>
      </c>
      <c r="L3484" s="59">
        <f t="shared" si="30"/>
        <v>0</v>
      </c>
      <c r="M3484" s="59">
        <f t="shared" si="31"/>
        <v>0</v>
      </c>
    </row>
    <row r="3485" ht="15.0" hidden="1" customHeight="1">
      <c r="A3485" s="59">
        <f t="shared" si="20"/>
        <v>55</v>
      </c>
      <c r="B3485" s="59" t="str">
        <f t="shared" si="21"/>
        <v/>
      </c>
      <c r="C3485" s="59" t="str">
        <f t="shared" si="22"/>
        <v/>
      </c>
      <c r="D3485" s="45" t="str">
        <f t="shared" si="23"/>
        <v/>
      </c>
      <c r="E3485" s="45" t="str">
        <f t="shared" si="24"/>
        <v/>
      </c>
      <c r="F3485" s="59" t="str">
        <f t="shared" si="25"/>
        <v/>
      </c>
      <c r="G3485" s="59" t="str">
        <f t="shared" si="26"/>
        <v/>
      </c>
      <c r="H3485" s="59" t="str">
        <f t="shared" si="27"/>
        <v>28C02545</v>
      </c>
      <c r="I3485" s="59" t="str">
        <f>IF(OR($A3485="",$C3485="",$D3485="",$E3485="",$H3485=""),"",SUMIFS(DATA_GOC!$H:$H,DATA_GOC!$A:$A,"BOM",DATA_GOC!$D:$D,$H3485,DATA_GOC!$E:$E,$C3485,DATA_GOC!$F:$F,"Xuất nội bộ từ téc",DATA_GOC!$B:$B,"&gt;="&amp;$D3485,DATA_GOC!$B:$B,"&lt;="&amp;$E3485))</f>
        <v/>
      </c>
      <c r="J3485" s="59">
        <f t="shared" si="28"/>
        <v>0</v>
      </c>
      <c r="K3485" s="59">
        <f t="shared" si="29"/>
        <v>0</v>
      </c>
      <c r="L3485" s="59">
        <f t="shared" si="30"/>
        <v>0</v>
      </c>
      <c r="M3485" s="59">
        <f t="shared" si="31"/>
        <v>0</v>
      </c>
    </row>
    <row r="3486" ht="15.0" hidden="1" customHeight="1">
      <c r="A3486" s="59">
        <f t="shared" si="20"/>
        <v>55</v>
      </c>
      <c r="B3486" s="59" t="str">
        <f t="shared" si="21"/>
        <v/>
      </c>
      <c r="C3486" s="59" t="str">
        <f t="shared" si="22"/>
        <v/>
      </c>
      <c r="D3486" s="45" t="str">
        <f t="shared" si="23"/>
        <v/>
      </c>
      <c r="E3486" s="45" t="str">
        <f t="shared" si="24"/>
        <v/>
      </c>
      <c r="F3486" s="59" t="str">
        <f t="shared" si="25"/>
        <v/>
      </c>
      <c r="G3486" s="59" t="str">
        <f t="shared" si="26"/>
        <v/>
      </c>
      <c r="H3486" s="59" t="str">
        <f t="shared" si="27"/>
        <v>28C02574</v>
      </c>
      <c r="I3486" s="59" t="str">
        <f>IF(OR($A3486="",$C3486="",$D3486="",$E3486="",$H3486=""),"",SUMIFS(DATA_GOC!$H:$H,DATA_GOC!$A:$A,"BOM",DATA_GOC!$D:$D,$H3486,DATA_GOC!$E:$E,$C3486,DATA_GOC!$F:$F,"Xuất nội bộ từ téc",DATA_GOC!$B:$B,"&gt;="&amp;$D3486,DATA_GOC!$B:$B,"&lt;="&amp;$E3486))</f>
        <v/>
      </c>
      <c r="J3486" s="59">
        <f t="shared" si="28"/>
        <v>0</v>
      </c>
      <c r="K3486" s="59">
        <f t="shared" si="29"/>
        <v>0</v>
      </c>
      <c r="L3486" s="59">
        <f t="shared" si="30"/>
        <v>0</v>
      </c>
      <c r="M3486" s="59">
        <f t="shared" si="31"/>
        <v>0</v>
      </c>
    </row>
    <row r="3487" ht="15.0" hidden="1" customHeight="1">
      <c r="A3487" s="59">
        <f t="shared" si="20"/>
        <v>55</v>
      </c>
      <c r="B3487" s="59" t="str">
        <f t="shared" si="21"/>
        <v/>
      </c>
      <c r="C3487" s="59" t="str">
        <f t="shared" si="22"/>
        <v/>
      </c>
      <c r="D3487" s="45" t="str">
        <f t="shared" si="23"/>
        <v/>
      </c>
      <c r="E3487" s="45" t="str">
        <f t="shared" si="24"/>
        <v/>
      </c>
      <c r="F3487" s="59" t="str">
        <f t="shared" si="25"/>
        <v/>
      </c>
      <c r="G3487" s="59" t="str">
        <f t="shared" si="26"/>
        <v/>
      </c>
      <c r="H3487" s="59" t="str">
        <f t="shared" si="27"/>
        <v>28C02770</v>
      </c>
      <c r="I3487" s="59" t="str">
        <f>IF(OR($A3487="",$C3487="",$D3487="",$E3487="",$H3487=""),"",SUMIFS(DATA_GOC!$H:$H,DATA_GOC!$A:$A,"BOM",DATA_GOC!$D:$D,$H3487,DATA_GOC!$E:$E,$C3487,DATA_GOC!$F:$F,"Xuất nội bộ từ téc",DATA_GOC!$B:$B,"&gt;="&amp;$D3487,DATA_GOC!$B:$B,"&lt;="&amp;$E3487))</f>
        <v/>
      </c>
      <c r="J3487" s="59">
        <f t="shared" si="28"/>
        <v>0</v>
      </c>
      <c r="K3487" s="59">
        <f t="shared" si="29"/>
        <v>0</v>
      </c>
      <c r="L3487" s="59">
        <f t="shared" si="30"/>
        <v>0</v>
      </c>
      <c r="M3487" s="59">
        <f t="shared" si="31"/>
        <v>0</v>
      </c>
    </row>
    <row r="3488" ht="15.0" hidden="1" customHeight="1">
      <c r="A3488" s="59">
        <f t="shared" si="20"/>
        <v>55</v>
      </c>
      <c r="B3488" s="59" t="str">
        <f t="shared" si="21"/>
        <v/>
      </c>
      <c r="C3488" s="59" t="str">
        <f t="shared" si="22"/>
        <v/>
      </c>
      <c r="D3488" s="45" t="str">
        <f t="shared" si="23"/>
        <v/>
      </c>
      <c r="E3488" s="45" t="str">
        <f t="shared" si="24"/>
        <v/>
      </c>
      <c r="F3488" s="59" t="str">
        <f t="shared" si="25"/>
        <v/>
      </c>
      <c r="G3488" s="59" t="str">
        <f t="shared" si="26"/>
        <v/>
      </c>
      <c r="H3488" s="59" t="str">
        <f t="shared" si="27"/>
        <v>28C02986</v>
      </c>
      <c r="I3488" s="59" t="str">
        <f>IF(OR($A3488="",$C3488="",$D3488="",$E3488="",$H3488=""),"",SUMIFS(DATA_GOC!$H:$H,DATA_GOC!$A:$A,"BOM",DATA_GOC!$D:$D,$H3488,DATA_GOC!$E:$E,$C3488,DATA_GOC!$F:$F,"Xuất nội bộ từ téc",DATA_GOC!$B:$B,"&gt;="&amp;$D3488,DATA_GOC!$B:$B,"&lt;="&amp;$E3488))</f>
        <v/>
      </c>
      <c r="J3488" s="59">
        <f t="shared" si="28"/>
        <v>0</v>
      </c>
      <c r="K3488" s="59">
        <f t="shared" si="29"/>
        <v>0</v>
      </c>
      <c r="L3488" s="59">
        <f t="shared" si="30"/>
        <v>0</v>
      </c>
      <c r="M3488" s="59">
        <f t="shared" si="31"/>
        <v>0</v>
      </c>
    </row>
    <row r="3489" ht="15.0" hidden="1" customHeight="1">
      <c r="A3489" s="59">
        <f t="shared" si="20"/>
        <v>55</v>
      </c>
      <c r="B3489" s="59" t="str">
        <f t="shared" si="21"/>
        <v/>
      </c>
      <c r="C3489" s="59" t="str">
        <f t="shared" si="22"/>
        <v/>
      </c>
      <c r="D3489" s="45" t="str">
        <f t="shared" si="23"/>
        <v/>
      </c>
      <c r="E3489" s="45" t="str">
        <f t="shared" si="24"/>
        <v/>
      </c>
      <c r="F3489" s="59" t="str">
        <f t="shared" si="25"/>
        <v/>
      </c>
      <c r="G3489" s="59" t="str">
        <f t="shared" si="26"/>
        <v/>
      </c>
      <c r="H3489" s="59" t="str">
        <f t="shared" si="27"/>
        <v>28C03261</v>
      </c>
      <c r="I3489" s="59" t="str">
        <f>IF(OR($A3489="",$C3489="",$D3489="",$E3489="",$H3489=""),"",SUMIFS(DATA_GOC!$H:$H,DATA_GOC!$A:$A,"BOM",DATA_GOC!$D:$D,$H3489,DATA_GOC!$E:$E,$C3489,DATA_GOC!$F:$F,"Xuất nội bộ từ téc",DATA_GOC!$B:$B,"&gt;="&amp;$D3489,DATA_GOC!$B:$B,"&lt;="&amp;$E3489))</f>
        <v/>
      </c>
      <c r="J3489" s="59">
        <f t="shared" si="28"/>
        <v>0</v>
      </c>
      <c r="K3489" s="59">
        <f t="shared" si="29"/>
        <v>0</v>
      </c>
      <c r="L3489" s="59">
        <f t="shared" si="30"/>
        <v>0</v>
      </c>
      <c r="M3489" s="59">
        <f t="shared" si="31"/>
        <v>0</v>
      </c>
    </row>
    <row r="3490" ht="15.0" hidden="1" customHeight="1">
      <c r="A3490" s="59">
        <f t="shared" si="20"/>
        <v>55</v>
      </c>
      <c r="B3490" s="59" t="str">
        <f t="shared" si="21"/>
        <v/>
      </c>
      <c r="C3490" s="59" t="str">
        <f t="shared" si="22"/>
        <v/>
      </c>
      <c r="D3490" s="45" t="str">
        <f t="shared" si="23"/>
        <v/>
      </c>
      <c r="E3490" s="45" t="str">
        <f t="shared" si="24"/>
        <v/>
      </c>
      <c r="F3490" s="59" t="str">
        <f t="shared" si="25"/>
        <v/>
      </c>
      <c r="G3490" s="59" t="str">
        <f t="shared" si="26"/>
        <v/>
      </c>
      <c r="H3490" s="59" t="str">
        <f t="shared" si="27"/>
        <v>28C03323</v>
      </c>
      <c r="I3490" s="59" t="str">
        <f>IF(OR($A3490="",$C3490="",$D3490="",$E3490="",$H3490=""),"",SUMIFS(DATA_GOC!$H:$H,DATA_GOC!$A:$A,"BOM",DATA_GOC!$D:$D,$H3490,DATA_GOC!$E:$E,$C3490,DATA_GOC!$F:$F,"Xuất nội bộ từ téc",DATA_GOC!$B:$B,"&gt;="&amp;$D3490,DATA_GOC!$B:$B,"&lt;="&amp;$E3490))</f>
        <v/>
      </c>
      <c r="J3490" s="59">
        <f t="shared" si="28"/>
        <v>0</v>
      </c>
      <c r="K3490" s="59">
        <f t="shared" si="29"/>
        <v>0</v>
      </c>
      <c r="L3490" s="59">
        <f t="shared" si="30"/>
        <v>0</v>
      </c>
      <c r="M3490" s="59">
        <f t="shared" si="31"/>
        <v>0</v>
      </c>
    </row>
    <row r="3491" ht="15.0" hidden="1" customHeight="1">
      <c r="A3491" s="59">
        <f t="shared" si="20"/>
        <v>55</v>
      </c>
      <c r="B3491" s="59" t="str">
        <f t="shared" si="21"/>
        <v/>
      </c>
      <c r="C3491" s="59" t="str">
        <f t="shared" si="22"/>
        <v/>
      </c>
      <c r="D3491" s="45" t="str">
        <f t="shared" si="23"/>
        <v/>
      </c>
      <c r="E3491" s="45" t="str">
        <f t="shared" si="24"/>
        <v/>
      </c>
      <c r="F3491" s="59" t="str">
        <f t="shared" si="25"/>
        <v/>
      </c>
      <c r="G3491" s="59" t="str">
        <f t="shared" si="26"/>
        <v/>
      </c>
      <c r="H3491" s="59" t="str">
        <f t="shared" si="27"/>
        <v>28C03385</v>
      </c>
      <c r="I3491" s="59" t="str">
        <f>IF(OR($A3491="",$C3491="",$D3491="",$E3491="",$H3491=""),"",SUMIFS(DATA_GOC!$H:$H,DATA_GOC!$A:$A,"BOM",DATA_GOC!$D:$D,$H3491,DATA_GOC!$E:$E,$C3491,DATA_GOC!$F:$F,"Xuất nội bộ từ téc",DATA_GOC!$B:$B,"&gt;="&amp;$D3491,DATA_GOC!$B:$B,"&lt;="&amp;$E3491))</f>
        <v/>
      </c>
      <c r="J3491" s="59">
        <f t="shared" si="28"/>
        <v>0</v>
      </c>
      <c r="K3491" s="59">
        <f t="shared" si="29"/>
        <v>0</v>
      </c>
      <c r="L3491" s="59">
        <f t="shared" si="30"/>
        <v>0</v>
      </c>
      <c r="M3491" s="59">
        <f t="shared" si="31"/>
        <v>0</v>
      </c>
    </row>
    <row r="3492" ht="15.0" hidden="1" customHeight="1">
      <c r="A3492" s="59">
        <f t="shared" si="20"/>
        <v>55</v>
      </c>
      <c r="B3492" s="59" t="str">
        <f t="shared" si="21"/>
        <v/>
      </c>
      <c r="C3492" s="59" t="str">
        <f t="shared" si="22"/>
        <v/>
      </c>
      <c r="D3492" s="45" t="str">
        <f t="shared" si="23"/>
        <v/>
      </c>
      <c r="E3492" s="45" t="str">
        <f t="shared" si="24"/>
        <v/>
      </c>
      <c r="F3492" s="59" t="str">
        <f t="shared" si="25"/>
        <v/>
      </c>
      <c r="G3492" s="59" t="str">
        <f t="shared" si="26"/>
        <v/>
      </c>
      <c r="H3492" s="59" t="str">
        <f t="shared" si="27"/>
        <v>28C03652</v>
      </c>
      <c r="I3492" s="59" t="str">
        <f>IF(OR($A3492="",$C3492="",$D3492="",$E3492="",$H3492=""),"",SUMIFS(DATA_GOC!$H:$H,DATA_GOC!$A:$A,"BOM",DATA_GOC!$D:$D,$H3492,DATA_GOC!$E:$E,$C3492,DATA_GOC!$F:$F,"Xuất nội bộ từ téc",DATA_GOC!$B:$B,"&gt;="&amp;$D3492,DATA_GOC!$B:$B,"&lt;="&amp;$E3492))</f>
        <v/>
      </c>
      <c r="J3492" s="59">
        <f t="shared" si="28"/>
        <v>0</v>
      </c>
      <c r="K3492" s="59">
        <f t="shared" si="29"/>
        <v>0</v>
      </c>
      <c r="L3492" s="59">
        <f t="shared" si="30"/>
        <v>0</v>
      </c>
      <c r="M3492" s="59">
        <f t="shared" si="31"/>
        <v>0</v>
      </c>
    </row>
    <row r="3493" ht="15.0" hidden="1" customHeight="1">
      <c r="A3493" s="59">
        <f t="shared" si="20"/>
        <v>55</v>
      </c>
      <c r="B3493" s="59" t="str">
        <f t="shared" si="21"/>
        <v/>
      </c>
      <c r="C3493" s="59" t="str">
        <f t="shared" si="22"/>
        <v/>
      </c>
      <c r="D3493" s="45" t="str">
        <f t="shared" si="23"/>
        <v/>
      </c>
      <c r="E3493" s="45" t="str">
        <f t="shared" si="24"/>
        <v/>
      </c>
      <c r="F3493" s="59" t="str">
        <f t="shared" si="25"/>
        <v/>
      </c>
      <c r="G3493" s="59" t="str">
        <f t="shared" si="26"/>
        <v/>
      </c>
      <c r="H3493" s="59" t="str">
        <f t="shared" si="27"/>
        <v>28C03695</v>
      </c>
      <c r="I3493" s="59" t="str">
        <f>IF(OR($A3493="",$C3493="",$D3493="",$E3493="",$H3493=""),"",SUMIFS(DATA_GOC!$H:$H,DATA_GOC!$A:$A,"BOM",DATA_GOC!$D:$D,$H3493,DATA_GOC!$E:$E,$C3493,DATA_GOC!$F:$F,"Xuất nội bộ từ téc",DATA_GOC!$B:$B,"&gt;="&amp;$D3493,DATA_GOC!$B:$B,"&lt;="&amp;$E3493))</f>
        <v/>
      </c>
      <c r="J3493" s="59">
        <f t="shared" si="28"/>
        <v>0</v>
      </c>
      <c r="K3493" s="59">
        <f t="shared" si="29"/>
        <v>0</v>
      </c>
      <c r="L3493" s="59">
        <f t="shared" si="30"/>
        <v>0</v>
      </c>
      <c r="M3493" s="59">
        <f t="shared" si="31"/>
        <v>0</v>
      </c>
    </row>
    <row r="3494" ht="15.0" hidden="1" customHeight="1">
      <c r="A3494" s="59">
        <f t="shared" si="20"/>
        <v>55</v>
      </c>
      <c r="B3494" s="59" t="str">
        <f t="shared" si="21"/>
        <v/>
      </c>
      <c r="C3494" s="59" t="str">
        <f t="shared" si="22"/>
        <v/>
      </c>
      <c r="D3494" s="45" t="str">
        <f t="shared" si="23"/>
        <v/>
      </c>
      <c r="E3494" s="45" t="str">
        <f t="shared" si="24"/>
        <v/>
      </c>
      <c r="F3494" s="59" t="str">
        <f t="shared" si="25"/>
        <v/>
      </c>
      <c r="G3494" s="59" t="str">
        <f t="shared" si="26"/>
        <v/>
      </c>
      <c r="H3494" s="59" t="str">
        <f t="shared" si="27"/>
        <v>28C03927</v>
      </c>
      <c r="I3494" s="59" t="str">
        <f>IF(OR($A3494="",$C3494="",$D3494="",$E3494="",$H3494=""),"",SUMIFS(DATA_GOC!$H:$H,DATA_GOC!$A:$A,"BOM",DATA_GOC!$D:$D,$H3494,DATA_GOC!$E:$E,$C3494,DATA_GOC!$F:$F,"Xuất nội bộ từ téc",DATA_GOC!$B:$B,"&gt;="&amp;$D3494,DATA_GOC!$B:$B,"&lt;="&amp;$E3494))</f>
        <v/>
      </c>
      <c r="J3494" s="59">
        <f t="shared" si="28"/>
        <v>0</v>
      </c>
      <c r="K3494" s="59">
        <f t="shared" si="29"/>
        <v>0</v>
      </c>
      <c r="L3494" s="59">
        <f t="shared" si="30"/>
        <v>0</v>
      </c>
      <c r="M3494" s="59">
        <f t="shared" si="31"/>
        <v>0</v>
      </c>
    </row>
    <row r="3495" ht="15.0" hidden="1" customHeight="1">
      <c r="A3495" s="59">
        <f t="shared" si="20"/>
        <v>55</v>
      </c>
      <c r="B3495" s="59" t="str">
        <f t="shared" si="21"/>
        <v/>
      </c>
      <c r="C3495" s="59" t="str">
        <f t="shared" si="22"/>
        <v/>
      </c>
      <c r="D3495" s="45" t="str">
        <f t="shared" si="23"/>
        <v/>
      </c>
      <c r="E3495" s="45" t="str">
        <f t="shared" si="24"/>
        <v/>
      </c>
      <c r="F3495" s="59" t="str">
        <f t="shared" si="25"/>
        <v/>
      </c>
      <c r="G3495" s="59" t="str">
        <f t="shared" si="26"/>
        <v/>
      </c>
      <c r="H3495" s="59" t="str">
        <f t="shared" si="27"/>
        <v>28C04509</v>
      </c>
      <c r="I3495" s="59" t="str">
        <f>IF(OR($A3495="",$C3495="",$D3495="",$E3495="",$H3495=""),"",SUMIFS(DATA_GOC!$H:$H,DATA_GOC!$A:$A,"BOM",DATA_GOC!$D:$D,$H3495,DATA_GOC!$E:$E,$C3495,DATA_GOC!$F:$F,"Xuất nội bộ từ téc",DATA_GOC!$B:$B,"&gt;="&amp;$D3495,DATA_GOC!$B:$B,"&lt;="&amp;$E3495))</f>
        <v/>
      </c>
      <c r="J3495" s="59">
        <f t="shared" si="28"/>
        <v>0</v>
      </c>
      <c r="K3495" s="59">
        <f t="shared" si="29"/>
        <v>0</v>
      </c>
      <c r="L3495" s="59">
        <f t="shared" si="30"/>
        <v>0</v>
      </c>
      <c r="M3495" s="59">
        <f t="shared" si="31"/>
        <v>0</v>
      </c>
    </row>
    <row r="3496" ht="15.0" hidden="1" customHeight="1">
      <c r="A3496" s="59">
        <f t="shared" si="20"/>
        <v>55</v>
      </c>
      <c r="B3496" s="59" t="str">
        <f t="shared" si="21"/>
        <v/>
      </c>
      <c r="C3496" s="59" t="str">
        <f t="shared" si="22"/>
        <v/>
      </c>
      <c r="D3496" s="45" t="str">
        <f t="shared" si="23"/>
        <v/>
      </c>
      <c r="E3496" s="45" t="str">
        <f t="shared" si="24"/>
        <v/>
      </c>
      <c r="F3496" s="59" t="str">
        <f t="shared" si="25"/>
        <v/>
      </c>
      <c r="G3496" s="59" t="str">
        <f t="shared" si="26"/>
        <v/>
      </c>
      <c r="H3496" s="59" t="str">
        <f t="shared" si="27"/>
        <v>28C04536</v>
      </c>
      <c r="I3496" s="59" t="str">
        <f>IF(OR($A3496="",$C3496="",$D3496="",$E3496="",$H3496=""),"",SUMIFS(DATA_GOC!$H:$H,DATA_GOC!$A:$A,"BOM",DATA_GOC!$D:$D,$H3496,DATA_GOC!$E:$E,$C3496,DATA_GOC!$F:$F,"Xuất nội bộ từ téc",DATA_GOC!$B:$B,"&gt;="&amp;$D3496,DATA_GOC!$B:$B,"&lt;="&amp;$E3496))</f>
        <v/>
      </c>
      <c r="J3496" s="59">
        <f t="shared" si="28"/>
        <v>0</v>
      </c>
      <c r="K3496" s="59">
        <f t="shared" si="29"/>
        <v>0</v>
      </c>
      <c r="L3496" s="59">
        <f t="shared" si="30"/>
        <v>0</v>
      </c>
      <c r="M3496" s="59">
        <f t="shared" si="31"/>
        <v>0</v>
      </c>
    </row>
    <row r="3497" ht="15.0" hidden="1" customHeight="1">
      <c r="A3497" s="59">
        <f t="shared" si="20"/>
        <v>55</v>
      </c>
      <c r="B3497" s="59" t="str">
        <f t="shared" si="21"/>
        <v/>
      </c>
      <c r="C3497" s="59" t="str">
        <f t="shared" si="22"/>
        <v/>
      </c>
      <c r="D3497" s="45" t="str">
        <f t="shared" si="23"/>
        <v/>
      </c>
      <c r="E3497" s="45" t="str">
        <f t="shared" si="24"/>
        <v/>
      </c>
      <c r="F3497" s="59" t="str">
        <f t="shared" si="25"/>
        <v/>
      </c>
      <c r="G3497" s="59" t="str">
        <f t="shared" si="26"/>
        <v/>
      </c>
      <c r="H3497" s="59" t="str">
        <f t="shared" si="27"/>
        <v>28C04576</v>
      </c>
      <c r="I3497" s="59" t="str">
        <f>IF(OR($A3497="",$C3497="",$D3497="",$E3497="",$H3497=""),"",SUMIFS(DATA_GOC!$H:$H,DATA_GOC!$A:$A,"BOM",DATA_GOC!$D:$D,$H3497,DATA_GOC!$E:$E,$C3497,DATA_GOC!$F:$F,"Xuất nội bộ từ téc",DATA_GOC!$B:$B,"&gt;="&amp;$D3497,DATA_GOC!$B:$B,"&lt;="&amp;$E3497))</f>
        <v/>
      </c>
      <c r="J3497" s="59">
        <f t="shared" si="28"/>
        <v>0</v>
      </c>
      <c r="K3497" s="59">
        <f t="shared" si="29"/>
        <v>0</v>
      </c>
      <c r="L3497" s="59">
        <f t="shared" si="30"/>
        <v>0</v>
      </c>
      <c r="M3497" s="59">
        <f t="shared" si="31"/>
        <v>0</v>
      </c>
    </row>
    <row r="3498" ht="15.0" hidden="1" customHeight="1">
      <c r="A3498" s="59">
        <f t="shared" si="20"/>
        <v>55</v>
      </c>
      <c r="B3498" s="59" t="str">
        <f t="shared" si="21"/>
        <v/>
      </c>
      <c r="C3498" s="59" t="str">
        <f t="shared" si="22"/>
        <v/>
      </c>
      <c r="D3498" s="45" t="str">
        <f t="shared" si="23"/>
        <v/>
      </c>
      <c r="E3498" s="45" t="str">
        <f t="shared" si="24"/>
        <v/>
      </c>
      <c r="F3498" s="59" t="str">
        <f t="shared" si="25"/>
        <v/>
      </c>
      <c r="G3498" s="59" t="str">
        <f t="shared" si="26"/>
        <v/>
      </c>
      <c r="H3498" s="59" t="str">
        <f t="shared" si="27"/>
        <v>28C05090</v>
      </c>
      <c r="I3498" s="59" t="str">
        <f>IF(OR($A3498="",$C3498="",$D3498="",$E3498="",$H3498=""),"",SUMIFS(DATA_GOC!$H:$H,DATA_GOC!$A:$A,"BOM",DATA_GOC!$D:$D,$H3498,DATA_GOC!$E:$E,$C3498,DATA_GOC!$F:$F,"Xuất nội bộ từ téc",DATA_GOC!$B:$B,"&gt;="&amp;$D3498,DATA_GOC!$B:$B,"&lt;="&amp;$E3498))</f>
        <v/>
      </c>
      <c r="J3498" s="59">
        <f t="shared" si="28"/>
        <v>0</v>
      </c>
      <c r="K3498" s="59">
        <f t="shared" si="29"/>
        <v>0</v>
      </c>
      <c r="L3498" s="59">
        <f t="shared" si="30"/>
        <v>0</v>
      </c>
      <c r="M3498" s="59">
        <f t="shared" si="31"/>
        <v>0</v>
      </c>
    </row>
    <row r="3499" ht="15.0" hidden="1" customHeight="1">
      <c r="A3499" s="59">
        <f t="shared" si="20"/>
        <v>55</v>
      </c>
      <c r="B3499" s="59" t="str">
        <f t="shared" si="21"/>
        <v/>
      </c>
      <c r="C3499" s="59" t="str">
        <f t="shared" si="22"/>
        <v/>
      </c>
      <c r="D3499" s="45" t="str">
        <f t="shared" si="23"/>
        <v/>
      </c>
      <c r="E3499" s="45" t="str">
        <f t="shared" si="24"/>
        <v/>
      </c>
      <c r="F3499" s="59" t="str">
        <f t="shared" si="25"/>
        <v/>
      </c>
      <c r="G3499" s="59" t="str">
        <f t="shared" si="26"/>
        <v/>
      </c>
      <c r="H3499" s="59" t="str">
        <f t="shared" si="27"/>
        <v>28C05345</v>
      </c>
      <c r="I3499" s="59" t="str">
        <f>IF(OR($A3499="",$C3499="",$D3499="",$E3499="",$H3499=""),"",SUMIFS(DATA_GOC!$H:$H,DATA_GOC!$A:$A,"BOM",DATA_GOC!$D:$D,$H3499,DATA_GOC!$E:$E,$C3499,DATA_GOC!$F:$F,"Xuất nội bộ từ téc",DATA_GOC!$B:$B,"&gt;="&amp;$D3499,DATA_GOC!$B:$B,"&lt;="&amp;$E3499))</f>
        <v/>
      </c>
      <c r="J3499" s="59">
        <f t="shared" si="28"/>
        <v>0</v>
      </c>
      <c r="K3499" s="59">
        <f t="shared" si="29"/>
        <v>0</v>
      </c>
      <c r="L3499" s="59">
        <f t="shared" si="30"/>
        <v>0</v>
      </c>
      <c r="M3499" s="59">
        <f t="shared" si="31"/>
        <v>0</v>
      </c>
    </row>
    <row r="3500" ht="15.0" hidden="1" customHeight="1">
      <c r="A3500" s="59">
        <f t="shared" si="20"/>
        <v>55</v>
      </c>
      <c r="B3500" s="59" t="str">
        <f t="shared" si="21"/>
        <v/>
      </c>
      <c r="C3500" s="59" t="str">
        <f t="shared" si="22"/>
        <v/>
      </c>
      <c r="D3500" s="45" t="str">
        <f t="shared" si="23"/>
        <v/>
      </c>
      <c r="E3500" s="45" t="str">
        <f t="shared" si="24"/>
        <v/>
      </c>
      <c r="F3500" s="59" t="str">
        <f t="shared" si="25"/>
        <v/>
      </c>
      <c r="G3500" s="59" t="str">
        <f t="shared" si="26"/>
        <v/>
      </c>
      <c r="H3500" s="59" t="str">
        <f t="shared" si="27"/>
        <v>28C05661</v>
      </c>
      <c r="I3500" s="59" t="str">
        <f>IF(OR($A3500="",$C3500="",$D3500="",$E3500="",$H3500=""),"",SUMIFS(DATA_GOC!$H:$H,DATA_GOC!$A:$A,"BOM",DATA_GOC!$D:$D,$H3500,DATA_GOC!$E:$E,$C3500,DATA_GOC!$F:$F,"Xuất nội bộ từ téc",DATA_GOC!$B:$B,"&gt;="&amp;$D3500,DATA_GOC!$B:$B,"&lt;="&amp;$E3500))</f>
        <v/>
      </c>
      <c r="J3500" s="59">
        <f t="shared" si="28"/>
        <v>0</v>
      </c>
      <c r="K3500" s="59">
        <f t="shared" si="29"/>
        <v>0</v>
      </c>
      <c r="L3500" s="59">
        <f t="shared" si="30"/>
        <v>0</v>
      </c>
      <c r="M3500" s="59">
        <f t="shared" si="31"/>
        <v>0</v>
      </c>
    </row>
    <row r="3501" ht="15.0" hidden="1" customHeight="1">
      <c r="A3501" s="59">
        <f t="shared" si="20"/>
        <v>55</v>
      </c>
      <c r="B3501" s="59" t="str">
        <f t="shared" si="21"/>
        <v/>
      </c>
      <c r="C3501" s="59" t="str">
        <f t="shared" si="22"/>
        <v/>
      </c>
      <c r="D3501" s="45" t="str">
        <f t="shared" si="23"/>
        <v/>
      </c>
      <c r="E3501" s="45" t="str">
        <f t="shared" si="24"/>
        <v/>
      </c>
      <c r="F3501" s="59" t="str">
        <f t="shared" si="25"/>
        <v/>
      </c>
      <c r="G3501" s="59" t="str">
        <f t="shared" si="26"/>
        <v/>
      </c>
      <c r="H3501" s="59" t="str">
        <f t="shared" si="27"/>
        <v>28C05739</v>
      </c>
      <c r="I3501" s="59" t="str">
        <f>IF(OR($A3501="",$C3501="",$D3501="",$E3501="",$H3501=""),"",SUMIFS(DATA_GOC!$H:$H,DATA_GOC!$A:$A,"BOM",DATA_GOC!$D:$D,$H3501,DATA_GOC!$E:$E,$C3501,DATA_GOC!$F:$F,"Xuất nội bộ từ téc",DATA_GOC!$B:$B,"&gt;="&amp;$D3501,DATA_GOC!$B:$B,"&lt;="&amp;$E3501))</f>
        <v/>
      </c>
      <c r="J3501" s="59">
        <f t="shared" si="28"/>
        <v>0</v>
      </c>
      <c r="K3501" s="59">
        <f t="shared" si="29"/>
        <v>0</v>
      </c>
      <c r="L3501" s="59">
        <f t="shared" si="30"/>
        <v>0</v>
      </c>
      <c r="M3501" s="59">
        <f t="shared" si="31"/>
        <v>0</v>
      </c>
    </row>
    <row r="3502" ht="15.0" hidden="1" customHeight="1">
      <c r="A3502" s="59">
        <f t="shared" si="20"/>
        <v>55</v>
      </c>
      <c r="B3502" s="59" t="str">
        <f t="shared" si="21"/>
        <v/>
      </c>
      <c r="C3502" s="59" t="str">
        <f t="shared" si="22"/>
        <v/>
      </c>
      <c r="D3502" s="45" t="str">
        <f t="shared" si="23"/>
        <v/>
      </c>
      <c r="E3502" s="45" t="str">
        <f t="shared" si="24"/>
        <v/>
      </c>
      <c r="F3502" s="59" t="str">
        <f t="shared" si="25"/>
        <v/>
      </c>
      <c r="G3502" s="59" t="str">
        <f t="shared" si="26"/>
        <v/>
      </c>
      <c r="H3502" s="59" t="str">
        <f t="shared" si="27"/>
        <v>28C06369</v>
      </c>
      <c r="I3502" s="59" t="str">
        <f>IF(OR($A3502="",$C3502="",$D3502="",$E3502="",$H3502=""),"",SUMIFS(DATA_GOC!$H:$H,DATA_GOC!$A:$A,"BOM",DATA_GOC!$D:$D,$H3502,DATA_GOC!$E:$E,$C3502,DATA_GOC!$F:$F,"Xuất nội bộ từ téc",DATA_GOC!$B:$B,"&gt;="&amp;$D3502,DATA_GOC!$B:$B,"&lt;="&amp;$E3502))</f>
        <v/>
      </c>
      <c r="J3502" s="59">
        <f t="shared" si="28"/>
        <v>0</v>
      </c>
      <c r="K3502" s="59">
        <f t="shared" si="29"/>
        <v>0</v>
      </c>
      <c r="L3502" s="59">
        <f t="shared" si="30"/>
        <v>0</v>
      </c>
      <c r="M3502" s="59">
        <f t="shared" si="31"/>
        <v>0</v>
      </c>
    </row>
    <row r="3503" ht="15.0" hidden="1" customHeight="1">
      <c r="A3503" s="59">
        <f t="shared" si="20"/>
        <v>55</v>
      </c>
      <c r="B3503" s="59" t="str">
        <f t="shared" si="21"/>
        <v/>
      </c>
      <c r="C3503" s="59" t="str">
        <f t="shared" si="22"/>
        <v/>
      </c>
      <c r="D3503" s="45" t="str">
        <f t="shared" si="23"/>
        <v/>
      </c>
      <c r="E3503" s="45" t="str">
        <f t="shared" si="24"/>
        <v/>
      </c>
      <c r="F3503" s="59" t="str">
        <f t="shared" si="25"/>
        <v/>
      </c>
      <c r="G3503" s="59" t="str">
        <f t="shared" si="26"/>
        <v/>
      </c>
      <c r="H3503" s="59" t="str">
        <f t="shared" si="27"/>
        <v>28C06447</v>
      </c>
      <c r="I3503" s="59" t="str">
        <f>IF(OR($A3503="",$C3503="",$D3503="",$E3503="",$H3503=""),"",SUMIFS(DATA_GOC!$H:$H,DATA_GOC!$A:$A,"BOM",DATA_GOC!$D:$D,$H3503,DATA_GOC!$E:$E,$C3503,DATA_GOC!$F:$F,"Xuất nội bộ từ téc",DATA_GOC!$B:$B,"&gt;="&amp;$D3503,DATA_GOC!$B:$B,"&lt;="&amp;$E3503))</f>
        <v/>
      </c>
      <c r="J3503" s="59">
        <f t="shared" si="28"/>
        <v>0</v>
      </c>
      <c r="K3503" s="59">
        <f t="shared" si="29"/>
        <v>0</v>
      </c>
      <c r="L3503" s="59">
        <f t="shared" si="30"/>
        <v>0</v>
      </c>
      <c r="M3503" s="59">
        <f t="shared" si="31"/>
        <v>0</v>
      </c>
    </row>
    <row r="3504" ht="15.0" hidden="1" customHeight="1">
      <c r="A3504" s="59">
        <f t="shared" si="20"/>
        <v>55</v>
      </c>
      <c r="B3504" s="59" t="str">
        <f t="shared" si="21"/>
        <v/>
      </c>
      <c r="C3504" s="59" t="str">
        <f t="shared" si="22"/>
        <v/>
      </c>
      <c r="D3504" s="45" t="str">
        <f t="shared" si="23"/>
        <v/>
      </c>
      <c r="E3504" s="45" t="str">
        <f t="shared" si="24"/>
        <v/>
      </c>
      <c r="F3504" s="59" t="str">
        <f t="shared" si="25"/>
        <v/>
      </c>
      <c r="G3504" s="59" t="str">
        <f t="shared" si="26"/>
        <v/>
      </c>
      <c r="H3504" s="59" t="str">
        <f t="shared" si="27"/>
        <v>28H00003</v>
      </c>
      <c r="I3504" s="59" t="str">
        <f>IF(OR($A3504="",$C3504="",$D3504="",$E3504="",$H3504=""),"",SUMIFS(DATA_GOC!$H:$H,DATA_GOC!$A:$A,"BOM",DATA_GOC!$D:$D,$H3504,DATA_GOC!$E:$E,$C3504,DATA_GOC!$F:$F,"Xuất nội bộ từ téc",DATA_GOC!$B:$B,"&gt;="&amp;$D3504,DATA_GOC!$B:$B,"&lt;="&amp;$E3504))</f>
        <v/>
      </c>
      <c r="J3504" s="59">
        <f t="shared" si="28"/>
        <v>0</v>
      </c>
      <c r="K3504" s="59">
        <f t="shared" si="29"/>
        <v>0</v>
      </c>
      <c r="L3504" s="59">
        <f t="shared" si="30"/>
        <v>0</v>
      </c>
      <c r="M3504" s="59">
        <f t="shared" si="31"/>
        <v>0</v>
      </c>
    </row>
    <row r="3505" ht="15.0" hidden="1" customHeight="1">
      <c r="A3505" s="59">
        <f t="shared" si="20"/>
        <v>55</v>
      </c>
      <c r="B3505" s="59" t="str">
        <f t="shared" si="21"/>
        <v/>
      </c>
      <c r="C3505" s="59" t="str">
        <f t="shared" si="22"/>
        <v/>
      </c>
      <c r="D3505" s="45" t="str">
        <f t="shared" si="23"/>
        <v/>
      </c>
      <c r="E3505" s="45" t="str">
        <f t="shared" si="24"/>
        <v/>
      </c>
      <c r="F3505" s="59" t="str">
        <f t="shared" si="25"/>
        <v/>
      </c>
      <c r="G3505" s="59" t="str">
        <f t="shared" si="26"/>
        <v/>
      </c>
      <c r="H3505" s="59" t="str">
        <f t="shared" si="27"/>
        <v>28H00061</v>
      </c>
      <c r="I3505" s="59" t="str">
        <f>IF(OR($A3505="",$C3505="",$D3505="",$E3505="",$H3505=""),"",SUMIFS(DATA_GOC!$H:$H,DATA_GOC!$A:$A,"BOM",DATA_GOC!$D:$D,$H3505,DATA_GOC!$E:$E,$C3505,DATA_GOC!$F:$F,"Xuất nội bộ từ téc",DATA_GOC!$B:$B,"&gt;="&amp;$D3505,DATA_GOC!$B:$B,"&lt;="&amp;$E3505))</f>
        <v/>
      </c>
      <c r="J3505" s="59">
        <f t="shared" si="28"/>
        <v>0</v>
      </c>
      <c r="K3505" s="59">
        <f t="shared" si="29"/>
        <v>0</v>
      </c>
      <c r="L3505" s="59">
        <f t="shared" si="30"/>
        <v>0</v>
      </c>
      <c r="M3505" s="59">
        <f t="shared" si="31"/>
        <v>0</v>
      </c>
    </row>
    <row r="3506" ht="15.0" hidden="1" customHeight="1">
      <c r="A3506" s="59">
        <f t="shared" si="20"/>
        <v>55</v>
      </c>
      <c r="B3506" s="59" t="str">
        <f t="shared" si="21"/>
        <v/>
      </c>
      <c r="C3506" s="59" t="str">
        <f t="shared" si="22"/>
        <v/>
      </c>
      <c r="D3506" s="45" t="str">
        <f t="shared" si="23"/>
        <v/>
      </c>
      <c r="E3506" s="45" t="str">
        <f t="shared" si="24"/>
        <v/>
      </c>
      <c r="F3506" s="59" t="str">
        <f t="shared" si="25"/>
        <v/>
      </c>
      <c r="G3506" s="59" t="str">
        <f t="shared" si="26"/>
        <v/>
      </c>
      <c r="H3506" s="59" t="str">
        <f t="shared" si="27"/>
        <v>28H00354</v>
      </c>
      <c r="I3506" s="59" t="str">
        <f>IF(OR($A3506="",$C3506="",$D3506="",$E3506="",$H3506=""),"",SUMIFS(DATA_GOC!$H:$H,DATA_GOC!$A:$A,"BOM",DATA_GOC!$D:$D,$H3506,DATA_GOC!$E:$E,$C3506,DATA_GOC!$F:$F,"Xuất nội bộ từ téc",DATA_GOC!$B:$B,"&gt;="&amp;$D3506,DATA_GOC!$B:$B,"&lt;="&amp;$E3506))</f>
        <v/>
      </c>
      <c r="J3506" s="59">
        <f t="shared" si="28"/>
        <v>0</v>
      </c>
      <c r="K3506" s="59">
        <f t="shared" si="29"/>
        <v>0</v>
      </c>
      <c r="L3506" s="59">
        <f t="shared" si="30"/>
        <v>0</v>
      </c>
      <c r="M3506" s="59">
        <f t="shared" si="31"/>
        <v>0</v>
      </c>
    </row>
    <row r="3507" ht="15.0" hidden="1" customHeight="1">
      <c r="A3507" s="59">
        <f t="shared" si="20"/>
        <v>55</v>
      </c>
      <c r="B3507" s="59" t="str">
        <f t="shared" si="21"/>
        <v/>
      </c>
      <c r="C3507" s="59" t="str">
        <f t="shared" si="22"/>
        <v/>
      </c>
      <c r="D3507" s="45" t="str">
        <f t="shared" si="23"/>
        <v/>
      </c>
      <c r="E3507" s="45" t="str">
        <f t="shared" si="24"/>
        <v/>
      </c>
      <c r="F3507" s="59" t="str">
        <f t="shared" si="25"/>
        <v/>
      </c>
      <c r="G3507" s="59" t="str">
        <f t="shared" si="26"/>
        <v/>
      </c>
      <c r="H3507" s="59" t="str">
        <f t="shared" si="27"/>
        <v>28H00603</v>
      </c>
      <c r="I3507" s="59" t="str">
        <f>IF(OR($A3507="",$C3507="",$D3507="",$E3507="",$H3507=""),"",SUMIFS(DATA_GOC!$H:$H,DATA_GOC!$A:$A,"BOM",DATA_GOC!$D:$D,$H3507,DATA_GOC!$E:$E,$C3507,DATA_GOC!$F:$F,"Xuất nội bộ từ téc",DATA_GOC!$B:$B,"&gt;="&amp;$D3507,DATA_GOC!$B:$B,"&lt;="&amp;$E3507))</f>
        <v/>
      </c>
      <c r="J3507" s="59">
        <f t="shared" si="28"/>
        <v>0</v>
      </c>
      <c r="K3507" s="59">
        <f t="shared" si="29"/>
        <v>0</v>
      </c>
      <c r="L3507" s="59">
        <f t="shared" si="30"/>
        <v>0</v>
      </c>
      <c r="M3507" s="59">
        <f t="shared" si="31"/>
        <v>0</v>
      </c>
    </row>
    <row r="3508" ht="15.0" hidden="1" customHeight="1">
      <c r="A3508" s="59">
        <f t="shared" si="20"/>
        <v>55</v>
      </c>
      <c r="B3508" s="59" t="str">
        <f t="shared" si="21"/>
        <v/>
      </c>
      <c r="C3508" s="59" t="str">
        <f t="shared" si="22"/>
        <v/>
      </c>
      <c r="D3508" s="45" t="str">
        <f t="shared" si="23"/>
        <v/>
      </c>
      <c r="E3508" s="45" t="str">
        <f t="shared" si="24"/>
        <v/>
      </c>
      <c r="F3508" s="59" t="str">
        <f t="shared" si="25"/>
        <v/>
      </c>
      <c r="G3508" s="59" t="str">
        <f t="shared" si="26"/>
        <v/>
      </c>
      <c r="H3508" s="59" t="str">
        <f t="shared" si="27"/>
        <v>28H00609</v>
      </c>
      <c r="I3508" s="59" t="str">
        <f>IF(OR($A3508="",$C3508="",$D3508="",$E3508="",$H3508=""),"",SUMIFS(DATA_GOC!$H:$H,DATA_GOC!$A:$A,"BOM",DATA_GOC!$D:$D,$H3508,DATA_GOC!$E:$E,$C3508,DATA_GOC!$F:$F,"Xuất nội bộ từ téc",DATA_GOC!$B:$B,"&gt;="&amp;$D3508,DATA_GOC!$B:$B,"&lt;="&amp;$E3508))</f>
        <v/>
      </c>
      <c r="J3508" s="59">
        <f t="shared" si="28"/>
        <v>0</v>
      </c>
      <c r="K3508" s="59">
        <f t="shared" si="29"/>
        <v>0</v>
      </c>
      <c r="L3508" s="59">
        <f t="shared" si="30"/>
        <v>0</v>
      </c>
      <c r="M3508" s="59">
        <f t="shared" si="31"/>
        <v>0</v>
      </c>
    </row>
    <row r="3509" ht="15.0" hidden="1" customHeight="1">
      <c r="A3509" s="59">
        <f t="shared" si="20"/>
        <v>55</v>
      </c>
      <c r="B3509" s="59" t="str">
        <f t="shared" si="21"/>
        <v/>
      </c>
      <c r="C3509" s="59" t="str">
        <f t="shared" si="22"/>
        <v/>
      </c>
      <c r="D3509" s="45" t="str">
        <f t="shared" si="23"/>
        <v/>
      </c>
      <c r="E3509" s="45" t="str">
        <f t="shared" si="24"/>
        <v/>
      </c>
      <c r="F3509" s="59" t="str">
        <f t="shared" si="25"/>
        <v/>
      </c>
      <c r="G3509" s="59" t="str">
        <f t="shared" si="26"/>
        <v/>
      </c>
      <c r="H3509" s="59" t="str">
        <f t="shared" si="27"/>
        <v>28H00669</v>
      </c>
      <c r="I3509" s="59" t="str">
        <f>IF(OR($A3509="",$C3509="",$D3509="",$E3509="",$H3509=""),"",SUMIFS(DATA_GOC!$H:$H,DATA_GOC!$A:$A,"BOM",DATA_GOC!$D:$D,$H3509,DATA_GOC!$E:$E,$C3509,DATA_GOC!$F:$F,"Xuất nội bộ từ téc",DATA_GOC!$B:$B,"&gt;="&amp;$D3509,DATA_GOC!$B:$B,"&lt;="&amp;$E3509))</f>
        <v/>
      </c>
      <c r="J3509" s="59">
        <f t="shared" si="28"/>
        <v>0</v>
      </c>
      <c r="K3509" s="59">
        <f t="shared" si="29"/>
        <v>0</v>
      </c>
      <c r="L3509" s="59">
        <f t="shared" si="30"/>
        <v>0</v>
      </c>
      <c r="M3509" s="59">
        <f t="shared" si="31"/>
        <v>0</v>
      </c>
    </row>
    <row r="3510" ht="15.0" hidden="1" customHeight="1">
      <c r="A3510" s="59">
        <f t="shared" si="20"/>
        <v>55</v>
      </c>
      <c r="B3510" s="59" t="str">
        <f t="shared" si="21"/>
        <v/>
      </c>
      <c r="C3510" s="59" t="str">
        <f t="shared" si="22"/>
        <v/>
      </c>
      <c r="D3510" s="45" t="str">
        <f t="shared" si="23"/>
        <v/>
      </c>
      <c r="E3510" s="45" t="str">
        <f t="shared" si="24"/>
        <v/>
      </c>
      <c r="F3510" s="59" t="str">
        <f t="shared" si="25"/>
        <v/>
      </c>
      <c r="G3510" s="59" t="str">
        <f t="shared" si="26"/>
        <v/>
      </c>
      <c r="H3510" s="59" t="str">
        <f t="shared" si="27"/>
        <v>28H00680</v>
      </c>
      <c r="I3510" s="59" t="str">
        <f>IF(OR($A3510="",$C3510="",$D3510="",$E3510="",$H3510=""),"",SUMIFS(DATA_GOC!$H:$H,DATA_GOC!$A:$A,"BOM",DATA_GOC!$D:$D,$H3510,DATA_GOC!$E:$E,$C3510,DATA_GOC!$F:$F,"Xuất nội bộ từ téc",DATA_GOC!$B:$B,"&gt;="&amp;$D3510,DATA_GOC!$B:$B,"&lt;="&amp;$E3510))</f>
        <v/>
      </c>
      <c r="J3510" s="59">
        <f t="shared" si="28"/>
        <v>0</v>
      </c>
      <c r="K3510" s="59">
        <f t="shared" si="29"/>
        <v>0</v>
      </c>
      <c r="L3510" s="59">
        <f t="shared" si="30"/>
        <v>0</v>
      </c>
      <c r="M3510" s="59">
        <f t="shared" si="31"/>
        <v>0</v>
      </c>
    </row>
    <row r="3511" ht="15.0" hidden="1" customHeight="1">
      <c r="A3511" s="59">
        <f t="shared" si="20"/>
        <v>55</v>
      </c>
      <c r="B3511" s="59" t="str">
        <f t="shared" si="21"/>
        <v/>
      </c>
      <c r="C3511" s="59" t="str">
        <f t="shared" si="22"/>
        <v/>
      </c>
      <c r="D3511" s="45" t="str">
        <f t="shared" si="23"/>
        <v/>
      </c>
      <c r="E3511" s="45" t="str">
        <f t="shared" si="24"/>
        <v/>
      </c>
      <c r="F3511" s="59" t="str">
        <f t="shared" si="25"/>
        <v/>
      </c>
      <c r="G3511" s="59" t="str">
        <f t="shared" si="26"/>
        <v/>
      </c>
      <c r="H3511" s="59" t="str">
        <f t="shared" si="27"/>
        <v>28H01070</v>
      </c>
      <c r="I3511" s="59" t="str">
        <f>IF(OR($A3511="",$C3511="",$D3511="",$E3511="",$H3511=""),"",SUMIFS(DATA_GOC!$H:$H,DATA_GOC!$A:$A,"BOM",DATA_GOC!$D:$D,$H3511,DATA_GOC!$E:$E,$C3511,DATA_GOC!$F:$F,"Xuất nội bộ từ téc",DATA_GOC!$B:$B,"&gt;="&amp;$D3511,DATA_GOC!$B:$B,"&lt;="&amp;$E3511))</f>
        <v/>
      </c>
      <c r="J3511" s="59">
        <f t="shared" si="28"/>
        <v>0</v>
      </c>
      <c r="K3511" s="59">
        <f t="shared" si="29"/>
        <v>0</v>
      </c>
      <c r="L3511" s="59">
        <f t="shared" si="30"/>
        <v>0</v>
      </c>
      <c r="M3511" s="59">
        <f t="shared" si="31"/>
        <v>0</v>
      </c>
    </row>
    <row r="3512" ht="15.0" hidden="1" customHeight="1">
      <c r="A3512" s="59">
        <f t="shared" si="20"/>
        <v>55</v>
      </c>
      <c r="B3512" s="59" t="str">
        <f t="shared" si="21"/>
        <v/>
      </c>
      <c r="C3512" s="59" t="str">
        <f t="shared" si="22"/>
        <v/>
      </c>
      <c r="D3512" s="45" t="str">
        <f t="shared" si="23"/>
        <v/>
      </c>
      <c r="E3512" s="45" t="str">
        <f t="shared" si="24"/>
        <v/>
      </c>
      <c r="F3512" s="59" t="str">
        <f t="shared" si="25"/>
        <v/>
      </c>
      <c r="G3512" s="59" t="str">
        <f t="shared" si="26"/>
        <v/>
      </c>
      <c r="H3512" s="59" t="str">
        <f t="shared" si="27"/>
        <v>28H01364</v>
      </c>
      <c r="I3512" s="59" t="str">
        <f>IF(OR($A3512="",$C3512="",$D3512="",$E3512="",$H3512=""),"",SUMIFS(DATA_GOC!$H:$H,DATA_GOC!$A:$A,"BOM",DATA_GOC!$D:$D,$H3512,DATA_GOC!$E:$E,$C3512,DATA_GOC!$F:$F,"Xuất nội bộ từ téc",DATA_GOC!$B:$B,"&gt;="&amp;$D3512,DATA_GOC!$B:$B,"&lt;="&amp;$E3512))</f>
        <v/>
      </c>
      <c r="J3512" s="59">
        <f t="shared" si="28"/>
        <v>0</v>
      </c>
      <c r="K3512" s="59">
        <f t="shared" si="29"/>
        <v>0</v>
      </c>
      <c r="L3512" s="59">
        <f t="shared" si="30"/>
        <v>0</v>
      </c>
      <c r="M3512" s="59">
        <f t="shared" si="31"/>
        <v>0</v>
      </c>
    </row>
    <row r="3513" ht="15.0" hidden="1" customHeight="1">
      <c r="A3513" s="59">
        <f t="shared" si="20"/>
        <v>55</v>
      </c>
      <c r="B3513" s="59" t="str">
        <f t="shared" si="21"/>
        <v/>
      </c>
      <c r="C3513" s="59" t="str">
        <f t="shared" si="22"/>
        <v/>
      </c>
      <c r="D3513" s="45" t="str">
        <f t="shared" si="23"/>
        <v/>
      </c>
      <c r="E3513" s="45" t="str">
        <f t="shared" si="24"/>
        <v/>
      </c>
      <c r="F3513" s="59" t="str">
        <f t="shared" si="25"/>
        <v/>
      </c>
      <c r="G3513" s="59" t="str">
        <f t="shared" si="26"/>
        <v/>
      </c>
      <c r="H3513" s="59" t="str">
        <f t="shared" si="27"/>
        <v>29E17269</v>
      </c>
      <c r="I3513" s="59" t="str">
        <f>IF(OR($A3513="",$C3513="",$D3513="",$E3513="",$H3513=""),"",SUMIFS(DATA_GOC!$H:$H,DATA_GOC!$A:$A,"BOM",DATA_GOC!$D:$D,$H3513,DATA_GOC!$E:$E,$C3513,DATA_GOC!$F:$F,"Xuất nội bộ từ téc",DATA_GOC!$B:$B,"&gt;="&amp;$D3513,DATA_GOC!$B:$B,"&lt;="&amp;$E3513))</f>
        <v/>
      </c>
      <c r="J3513" s="59">
        <f t="shared" si="28"/>
        <v>0</v>
      </c>
      <c r="K3513" s="59">
        <f t="shared" si="29"/>
        <v>0</v>
      </c>
      <c r="L3513" s="59">
        <f t="shared" si="30"/>
        <v>0</v>
      </c>
      <c r="M3513" s="59">
        <f t="shared" si="31"/>
        <v>0</v>
      </c>
    </row>
    <row r="3514" ht="15.0" hidden="1" customHeight="1">
      <c r="A3514" s="59">
        <f t="shared" si="20"/>
        <v>55</v>
      </c>
      <c r="B3514" s="59" t="str">
        <f t="shared" si="21"/>
        <v/>
      </c>
      <c r="C3514" s="59" t="str">
        <f t="shared" si="22"/>
        <v/>
      </c>
      <c r="D3514" s="45" t="str">
        <f t="shared" si="23"/>
        <v/>
      </c>
      <c r="E3514" s="45" t="str">
        <f t="shared" si="24"/>
        <v/>
      </c>
      <c r="F3514" s="59" t="str">
        <f t="shared" si="25"/>
        <v/>
      </c>
      <c r="G3514" s="59" t="str">
        <f t="shared" si="26"/>
        <v/>
      </c>
      <c r="H3514" s="59" t="str">
        <f t="shared" si="27"/>
        <v>29E17273</v>
      </c>
      <c r="I3514" s="59" t="str">
        <f>IF(OR($A3514="",$C3514="",$D3514="",$E3514="",$H3514=""),"",SUMIFS(DATA_GOC!$H:$H,DATA_GOC!$A:$A,"BOM",DATA_GOC!$D:$D,$H3514,DATA_GOC!$E:$E,$C3514,DATA_GOC!$F:$F,"Xuất nội bộ từ téc",DATA_GOC!$B:$B,"&gt;="&amp;$D3514,DATA_GOC!$B:$B,"&lt;="&amp;$E3514))</f>
        <v/>
      </c>
      <c r="J3514" s="59">
        <f t="shared" si="28"/>
        <v>0</v>
      </c>
      <c r="K3514" s="59">
        <f t="shared" si="29"/>
        <v>0</v>
      </c>
      <c r="L3514" s="59">
        <f t="shared" si="30"/>
        <v>0</v>
      </c>
      <c r="M3514" s="59">
        <f t="shared" si="31"/>
        <v>0</v>
      </c>
    </row>
    <row r="3515" ht="15.0" hidden="1" customHeight="1">
      <c r="A3515" s="59">
        <f t="shared" si="20"/>
        <v>55</v>
      </c>
      <c r="B3515" s="59" t="str">
        <f t="shared" si="21"/>
        <v/>
      </c>
      <c r="C3515" s="59" t="str">
        <f t="shared" si="22"/>
        <v/>
      </c>
      <c r="D3515" s="45" t="str">
        <f t="shared" si="23"/>
        <v/>
      </c>
      <c r="E3515" s="45" t="str">
        <f t="shared" si="24"/>
        <v/>
      </c>
      <c r="F3515" s="59" t="str">
        <f t="shared" si="25"/>
        <v/>
      </c>
      <c r="G3515" s="59" t="str">
        <f t="shared" si="26"/>
        <v/>
      </c>
      <c r="H3515" s="59" t="str">
        <f t="shared" si="27"/>
        <v>29E17410</v>
      </c>
      <c r="I3515" s="59" t="str">
        <f>IF(OR($A3515="",$C3515="",$D3515="",$E3515="",$H3515=""),"",SUMIFS(DATA_GOC!$H:$H,DATA_GOC!$A:$A,"BOM",DATA_GOC!$D:$D,$H3515,DATA_GOC!$E:$E,$C3515,DATA_GOC!$F:$F,"Xuất nội bộ từ téc",DATA_GOC!$B:$B,"&gt;="&amp;$D3515,DATA_GOC!$B:$B,"&lt;="&amp;$E3515))</f>
        <v/>
      </c>
      <c r="J3515" s="59">
        <f t="shared" si="28"/>
        <v>0</v>
      </c>
      <c r="K3515" s="59">
        <f t="shared" si="29"/>
        <v>0</v>
      </c>
      <c r="L3515" s="59">
        <f t="shared" si="30"/>
        <v>0</v>
      </c>
      <c r="M3515" s="59">
        <f t="shared" si="31"/>
        <v>0</v>
      </c>
    </row>
    <row r="3516" ht="15.0" hidden="1" customHeight="1">
      <c r="A3516" s="59">
        <f t="shared" si="20"/>
        <v>55</v>
      </c>
      <c r="B3516" s="59" t="str">
        <f t="shared" si="21"/>
        <v/>
      </c>
      <c r="C3516" s="59" t="str">
        <f t="shared" si="22"/>
        <v/>
      </c>
      <c r="D3516" s="45" t="str">
        <f t="shared" si="23"/>
        <v/>
      </c>
      <c r="E3516" s="45" t="str">
        <f t="shared" si="24"/>
        <v/>
      </c>
      <c r="F3516" s="59" t="str">
        <f t="shared" si="25"/>
        <v/>
      </c>
      <c r="G3516" s="59" t="str">
        <f t="shared" si="26"/>
        <v/>
      </c>
      <c r="H3516" s="59" t="str">
        <f t="shared" si="27"/>
        <v>29E17417</v>
      </c>
      <c r="I3516" s="59" t="str">
        <f>IF(OR($A3516="",$C3516="",$D3516="",$E3516="",$H3516=""),"",SUMIFS(DATA_GOC!$H:$H,DATA_GOC!$A:$A,"BOM",DATA_GOC!$D:$D,$H3516,DATA_GOC!$E:$E,$C3516,DATA_GOC!$F:$F,"Xuất nội bộ từ téc",DATA_GOC!$B:$B,"&gt;="&amp;$D3516,DATA_GOC!$B:$B,"&lt;="&amp;$E3516))</f>
        <v/>
      </c>
      <c r="J3516" s="59">
        <f t="shared" si="28"/>
        <v>0</v>
      </c>
      <c r="K3516" s="59">
        <f t="shared" si="29"/>
        <v>0</v>
      </c>
      <c r="L3516" s="59">
        <f t="shared" si="30"/>
        <v>0</v>
      </c>
      <c r="M3516" s="59">
        <f t="shared" si="31"/>
        <v>0</v>
      </c>
    </row>
    <row r="3517" ht="15.0" hidden="1" customHeight="1">
      <c r="A3517" s="59">
        <f t="shared" si="20"/>
        <v>55</v>
      </c>
      <c r="B3517" s="59" t="str">
        <f t="shared" si="21"/>
        <v/>
      </c>
      <c r="C3517" s="59" t="str">
        <f t="shared" si="22"/>
        <v/>
      </c>
      <c r="D3517" s="45" t="str">
        <f t="shared" si="23"/>
        <v/>
      </c>
      <c r="E3517" s="45" t="str">
        <f t="shared" si="24"/>
        <v/>
      </c>
      <c r="F3517" s="59" t="str">
        <f t="shared" si="25"/>
        <v/>
      </c>
      <c r="G3517" s="59" t="str">
        <f t="shared" si="26"/>
        <v/>
      </c>
      <c r="H3517" s="59" t="str">
        <f t="shared" si="27"/>
        <v>29E17539</v>
      </c>
      <c r="I3517" s="59" t="str">
        <f>IF(OR($A3517="",$C3517="",$D3517="",$E3517="",$H3517=""),"",SUMIFS(DATA_GOC!$H:$H,DATA_GOC!$A:$A,"BOM",DATA_GOC!$D:$D,$H3517,DATA_GOC!$E:$E,$C3517,DATA_GOC!$F:$F,"Xuất nội bộ từ téc",DATA_GOC!$B:$B,"&gt;="&amp;$D3517,DATA_GOC!$B:$B,"&lt;="&amp;$E3517))</f>
        <v/>
      </c>
      <c r="J3517" s="59">
        <f t="shared" si="28"/>
        <v>0</v>
      </c>
      <c r="K3517" s="59">
        <f t="shared" si="29"/>
        <v>0</v>
      </c>
      <c r="L3517" s="59">
        <f t="shared" si="30"/>
        <v>0</v>
      </c>
      <c r="M3517" s="59">
        <f t="shared" si="31"/>
        <v>0</v>
      </c>
    </row>
    <row r="3518" ht="15.0" hidden="1" customHeight="1">
      <c r="A3518" s="59">
        <f t="shared" si="20"/>
        <v>55</v>
      </c>
      <c r="B3518" s="59" t="str">
        <f t="shared" si="21"/>
        <v/>
      </c>
      <c r="C3518" s="59" t="str">
        <f t="shared" si="22"/>
        <v/>
      </c>
      <c r="D3518" s="45" t="str">
        <f t="shared" si="23"/>
        <v/>
      </c>
      <c r="E3518" s="45" t="str">
        <f t="shared" si="24"/>
        <v/>
      </c>
      <c r="F3518" s="59" t="str">
        <f t="shared" si="25"/>
        <v/>
      </c>
      <c r="G3518" s="59" t="str">
        <f t="shared" si="26"/>
        <v/>
      </c>
      <c r="H3518" s="59" t="str">
        <f t="shared" si="27"/>
        <v>29E18160</v>
      </c>
      <c r="I3518" s="59" t="str">
        <f>IF(OR($A3518="",$C3518="",$D3518="",$E3518="",$H3518=""),"",SUMIFS(DATA_GOC!$H:$H,DATA_GOC!$A:$A,"BOM",DATA_GOC!$D:$D,$H3518,DATA_GOC!$E:$E,$C3518,DATA_GOC!$F:$F,"Xuất nội bộ từ téc",DATA_GOC!$B:$B,"&gt;="&amp;$D3518,DATA_GOC!$B:$B,"&lt;="&amp;$E3518))</f>
        <v/>
      </c>
      <c r="J3518" s="59">
        <f t="shared" si="28"/>
        <v>0</v>
      </c>
      <c r="K3518" s="59">
        <f t="shared" si="29"/>
        <v>0</v>
      </c>
      <c r="L3518" s="59">
        <f t="shared" si="30"/>
        <v>0</v>
      </c>
      <c r="M3518" s="59">
        <f t="shared" si="31"/>
        <v>0</v>
      </c>
    </row>
    <row r="3519" ht="15.0" hidden="1" customHeight="1">
      <c r="A3519" s="59">
        <f t="shared" si="20"/>
        <v>55</v>
      </c>
      <c r="B3519" s="59" t="str">
        <f t="shared" si="21"/>
        <v/>
      </c>
      <c r="C3519" s="59" t="str">
        <f t="shared" si="22"/>
        <v/>
      </c>
      <c r="D3519" s="45" t="str">
        <f t="shared" si="23"/>
        <v/>
      </c>
      <c r="E3519" s="45" t="str">
        <f t="shared" si="24"/>
        <v/>
      </c>
      <c r="F3519" s="59" t="str">
        <f t="shared" si="25"/>
        <v/>
      </c>
      <c r="G3519" s="59" t="str">
        <f t="shared" si="26"/>
        <v/>
      </c>
      <c r="H3519" s="59" t="str">
        <f t="shared" si="27"/>
        <v>Công trình Asphalt</v>
      </c>
      <c r="I3519" s="59" t="str">
        <f>IF(OR($A3519="",$C3519="",$D3519="",$E3519="",$H3519=""),"",SUMIFS(DATA_GOC!$H:$H,DATA_GOC!$A:$A,"BOM",DATA_GOC!$D:$D,$H3519,DATA_GOC!$E:$E,$C3519,DATA_GOC!$F:$F,"Xuất nội bộ từ téc",DATA_GOC!$B:$B,"&gt;="&amp;$D3519,DATA_GOC!$B:$B,"&lt;="&amp;$E3519))</f>
        <v/>
      </c>
      <c r="J3519" s="59">
        <f t="shared" si="28"/>
        <v>0</v>
      </c>
      <c r="K3519" s="59">
        <f t="shared" si="29"/>
        <v>0</v>
      </c>
      <c r="L3519" s="59">
        <f t="shared" si="30"/>
        <v>0</v>
      </c>
      <c r="M3519" s="59">
        <f t="shared" si="31"/>
        <v>0</v>
      </c>
    </row>
    <row r="3520" ht="15.0" hidden="1" customHeight="1">
      <c r="A3520" s="59">
        <f t="shared" si="20"/>
        <v>55</v>
      </c>
      <c r="B3520" s="59" t="str">
        <f t="shared" si="21"/>
        <v/>
      </c>
      <c r="C3520" s="59" t="str">
        <f t="shared" si="22"/>
        <v/>
      </c>
      <c r="D3520" s="45" t="str">
        <f t="shared" si="23"/>
        <v/>
      </c>
      <c r="E3520" s="45" t="str">
        <f t="shared" si="24"/>
        <v/>
      </c>
      <c r="F3520" s="59" t="str">
        <f t="shared" si="25"/>
        <v/>
      </c>
      <c r="G3520" s="59" t="str">
        <f t="shared" si="26"/>
        <v/>
      </c>
      <c r="H3520" s="59" t="str">
        <f t="shared" si="27"/>
        <v>LG53F</v>
      </c>
      <c r="I3520" s="59" t="str">
        <f>IF(OR($A3520="",$C3520="",$D3520="",$E3520="",$H3520=""),"",SUMIFS(DATA_GOC!$H:$H,DATA_GOC!$A:$A,"BOM",DATA_GOC!$D:$D,$H3520,DATA_GOC!$E:$E,$C3520,DATA_GOC!$F:$F,"Xuất nội bộ từ téc",DATA_GOC!$B:$B,"&gt;="&amp;$D3520,DATA_GOC!$B:$B,"&lt;="&amp;$E3520))</f>
        <v/>
      </c>
      <c r="J3520" s="59">
        <f t="shared" si="28"/>
        <v>0</v>
      </c>
      <c r="K3520" s="59">
        <f t="shared" si="29"/>
        <v>0</v>
      </c>
      <c r="L3520" s="59">
        <f t="shared" si="30"/>
        <v>0</v>
      </c>
      <c r="M3520" s="59">
        <f t="shared" si="31"/>
        <v>0</v>
      </c>
    </row>
    <row r="3521" ht="15.0" hidden="1" customHeight="1">
      <c r="A3521" s="59">
        <f t="shared" si="20"/>
        <v>55</v>
      </c>
      <c r="B3521" s="59" t="str">
        <f t="shared" si="21"/>
        <v/>
      </c>
      <c r="C3521" s="59" t="str">
        <f t="shared" si="22"/>
        <v/>
      </c>
      <c r="D3521" s="45" t="str">
        <f t="shared" si="23"/>
        <v/>
      </c>
      <c r="E3521" s="45" t="str">
        <f t="shared" si="24"/>
        <v/>
      </c>
      <c r="F3521" s="59" t="str">
        <f t="shared" si="25"/>
        <v/>
      </c>
      <c r="G3521" s="59" t="str">
        <f t="shared" si="26"/>
        <v/>
      </c>
      <c r="H3521" s="59" t="str">
        <f t="shared" si="27"/>
        <v>Máy phát điện</v>
      </c>
      <c r="I3521" s="59" t="str">
        <f>IF(OR($A3521="",$C3521="",$D3521="",$E3521="",$H3521=""),"",SUMIFS(DATA_GOC!$H:$H,DATA_GOC!$A:$A,"BOM",DATA_GOC!$D:$D,$H3521,DATA_GOC!$E:$E,$C3521,DATA_GOC!$F:$F,"Xuất nội bộ từ téc",DATA_GOC!$B:$B,"&gt;="&amp;$D3521,DATA_GOC!$B:$B,"&lt;="&amp;$E3521))</f>
        <v/>
      </c>
      <c r="J3521" s="59">
        <f t="shared" si="28"/>
        <v>0</v>
      </c>
      <c r="K3521" s="59">
        <f t="shared" si="29"/>
        <v>0</v>
      </c>
      <c r="L3521" s="59">
        <f t="shared" si="30"/>
        <v>0</v>
      </c>
      <c r="M3521" s="59">
        <f t="shared" si="31"/>
        <v>0</v>
      </c>
    </row>
    <row r="3522" ht="15.0" hidden="1" customHeight="1">
      <c r="A3522" s="59">
        <f t="shared" si="20"/>
        <v>55</v>
      </c>
      <c r="B3522" s="59" t="str">
        <f t="shared" si="21"/>
        <v/>
      </c>
      <c r="C3522" s="59" t="str">
        <f t="shared" si="22"/>
        <v/>
      </c>
      <c r="D3522" s="45" t="str">
        <f t="shared" si="23"/>
        <v/>
      </c>
      <c r="E3522" s="45" t="str">
        <f t="shared" si="24"/>
        <v/>
      </c>
      <c r="F3522" s="59" t="str">
        <f t="shared" si="25"/>
        <v/>
      </c>
      <c r="G3522" s="59" t="str">
        <f t="shared" si="26"/>
        <v/>
      </c>
      <c r="H3522" s="59" t="str">
        <f t="shared" si="27"/>
        <v>Máy rải thảm</v>
      </c>
      <c r="I3522" s="59" t="str">
        <f>IF(OR($A3522="",$C3522="",$D3522="",$E3522="",$H3522=""),"",SUMIFS(DATA_GOC!$H:$H,DATA_GOC!$A:$A,"BOM",DATA_GOC!$D:$D,$H3522,DATA_GOC!$E:$E,$C3522,DATA_GOC!$F:$F,"Xuất nội bộ từ téc",DATA_GOC!$B:$B,"&gt;="&amp;$D3522,DATA_GOC!$B:$B,"&lt;="&amp;$E3522))</f>
        <v/>
      </c>
      <c r="J3522" s="59">
        <f t="shared" si="28"/>
        <v>0</v>
      </c>
      <c r="K3522" s="59">
        <f t="shared" si="29"/>
        <v>0</v>
      </c>
      <c r="L3522" s="59">
        <f t="shared" si="30"/>
        <v>0</v>
      </c>
      <c r="M3522" s="59">
        <f t="shared" si="31"/>
        <v>0</v>
      </c>
    </row>
    <row r="3523" ht="15.0" hidden="1" customHeight="1">
      <c r="A3523" s="59">
        <f t="shared" si="20"/>
        <v>55</v>
      </c>
      <c r="B3523" s="59" t="str">
        <f t="shared" si="21"/>
        <v/>
      </c>
      <c r="C3523" s="59" t="str">
        <f t="shared" si="22"/>
        <v/>
      </c>
      <c r="D3523" s="45" t="str">
        <f t="shared" si="23"/>
        <v/>
      </c>
      <c r="E3523" s="45" t="str">
        <f t="shared" si="24"/>
        <v/>
      </c>
      <c r="F3523" s="59" t="str">
        <f t="shared" si="25"/>
        <v/>
      </c>
      <c r="G3523" s="59" t="str">
        <f t="shared" si="26"/>
        <v/>
      </c>
      <c r="H3523" s="59" t="str">
        <f t="shared" si="27"/>
        <v>Xúc Đào</v>
      </c>
      <c r="I3523" s="59" t="str">
        <f>IF(OR($A3523="",$C3523="",$D3523="",$E3523="",$H3523=""),"",SUMIFS(DATA_GOC!$H:$H,DATA_GOC!$A:$A,"BOM",DATA_GOC!$D:$D,$H3523,DATA_GOC!$E:$E,$C3523,DATA_GOC!$F:$F,"Xuất nội bộ từ téc",DATA_GOC!$B:$B,"&gt;="&amp;$D3523,DATA_GOC!$B:$B,"&lt;="&amp;$E3523))</f>
        <v/>
      </c>
      <c r="J3523" s="59">
        <f t="shared" si="28"/>
        <v>0</v>
      </c>
      <c r="K3523" s="59">
        <f t="shared" si="29"/>
        <v>0</v>
      </c>
      <c r="L3523" s="59">
        <f t="shared" si="30"/>
        <v>0</v>
      </c>
      <c r="M3523" s="59">
        <f t="shared" si="31"/>
        <v>0</v>
      </c>
    </row>
    <row r="3524" ht="15.0" hidden="1" customHeight="1">
      <c r="A3524" s="59">
        <f t="shared" si="20"/>
        <v>55</v>
      </c>
      <c r="B3524" s="59" t="str">
        <f t="shared" si="21"/>
        <v/>
      </c>
      <c r="C3524" s="59" t="str">
        <f t="shared" si="22"/>
        <v/>
      </c>
      <c r="D3524" s="45" t="str">
        <f t="shared" si="23"/>
        <v/>
      </c>
      <c r="E3524" s="45" t="str">
        <f t="shared" si="24"/>
        <v/>
      </c>
      <c r="F3524" s="59" t="str">
        <f t="shared" si="25"/>
        <v/>
      </c>
      <c r="G3524" s="59" t="str">
        <f t="shared" si="26"/>
        <v/>
      </c>
      <c r="H3524" s="59" t="str">
        <f t="shared" si="27"/>
        <v>Xúclật asphalt</v>
      </c>
      <c r="I3524" s="59" t="str">
        <f>IF(OR($A3524="",$C3524="",$D3524="",$E3524="",$H3524=""),"",SUMIFS(DATA_GOC!$H:$H,DATA_GOC!$A:$A,"BOM",DATA_GOC!$D:$D,$H3524,DATA_GOC!$E:$E,$C3524,DATA_GOC!$F:$F,"Xuất nội bộ từ téc",DATA_GOC!$B:$B,"&gt;="&amp;$D3524,DATA_GOC!$B:$B,"&lt;="&amp;$E3524))</f>
        <v/>
      </c>
      <c r="J3524" s="59">
        <f t="shared" si="28"/>
        <v>0</v>
      </c>
      <c r="K3524" s="59">
        <f t="shared" si="29"/>
        <v>0</v>
      </c>
      <c r="L3524" s="59">
        <f t="shared" si="30"/>
        <v>0</v>
      </c>
      <c r="M3524" s="59">
        <f t="shared" si="31"/>
        <v>0</v>
      </c>
    </row>
    <row r="3525" ht="15.0" hidden="1" customHeight="1">
      <c r="A3525" s="59">
        <f t="shared" si="20"/>
        <v>55</v>
      </c>
      <c r="B3525" s="59" t="str">
        <f t="shared" si="21"/>
        <v/>
      </c>
      <c r="C3525" s="59" t="str">
        <f t="shared" si="22"/>
        <v/>
      </c>
      <c r="D3525" s="45" t="str">
        <f t="shared" si="23"/>
        <v/>
      </c>
      <c r="E3525" s="45" t="str">
        <f t="shared" si="24"/>
        <v/>
      </c>
      <c r="F3525" s="59" t="str">
        <f t="shared" si="25"/>
        <v/>
      </c>
      <c r="G3525" s="59" t="str">
        <f t="shared" si="26"/>
        <v/>
      </c>
      <c r="H3525" s="59" t="str">
        <f t="shared" si="27"/>
        <v>Xúclật855H</v>
      </c>
      <c r="I3525" s="59" t="str">
        <f>IF(OR($A3525="",$C3525="",$D3525="",$E3525="",$H3525=""),"",SUMIFS(DATA_GOC!$H:$H,DATA_GOC!$A:$A,"BOM",DATA_GOC!$D:$D,$H3525,DATA_GOC!$E:$E,$C3525,DATA_GOC!$F:$F,"Xuất nội bộ từ téc",DATA_GOC!$B:$B,"&gt;="&amp;$D3525,DATA_GOC!$B:$B,"&lt;="&amp;$E3525))</f>
        <v/>
      </c>
      <c r="J3525" s="59">
        <f t="shared" si="28"/>
        <v>0</v>
      </c>
      <c r="K3525" s="59">
        <f t="shared" si="29"/>
        <v>0</v>
      </c>
      <c r="L3525" s="59">
        <f t="shared" si="30"/>
        <v>0</v>
      </c>
      <c r="M3525" s="59">
        <f t="shared" si="31"/>
        <v>0</v>
      </c>
    </row>
    <row r="3526" ht="15.0" hidden="1" customHeight="1">
      <c r="A3526" s="59">
        <f t="shared" si="20"/>
        <v>55</v>
      </c>
      <c r="B3526" s="59" t="str">
        <f t="shared" si="21"/>
        <v/>
      </c>
      <c r="C3526" s="59" t="str">
        <f t="shared" si="22"/>
        <v/>
      </c>
      <c r="D3526" s="45" t="str">
        <f t="shared" si="23"/>
        <v/>
      </c>
      <c r="E3526" s="45" t="str">
        <f t="shared" si="24"/>
        <v/>
      </c>
      <c r="F3526" s="59" t="str">
        <f t="shared" si="25"/>
        <v/>
      </c>
      <c r="G3526" s="59" t="str">
        <f t="shared" si="26"/>
        <v/>
      </c>
      <c r="H3526" s="59" t="str">
        <f t="shared" si="27"/>
        <v>Xúclật855N</v>
      </c>
      <c r="I3526" s="59" t="str">
        <f>IF(OR($A3526="",$C3526="",$D3526="",$E3526="",$H3526=""),"",SUMIFS(DATA_GOC!$H:$H,DATA_GOC!$A:$A,"BOM",DATA_GOC!$D:$D,$H3526,DATA_GOC!$E:$E,$C3526,DATA_GOC!$F:$F,"Xuất nội bộ từ téc",DATA_GOC!$B:$B,"&gt;="&amp;$D3526,DATA_GOC!$B:$B,"&lt;="&amp;$E3526))</f>
        <v/>
      </c>
      <c r="J3526" s="59">
        <f t="shared" si="28"/>
        <v>0</v>
      </c>
      <c r="K3526" s="59">
        <f t="shared" si="29"/>
        <v>0</v>
      </c>
      <c r="L3526" s="59">
        <f t="shared" si="30"/>
        <v>0</v>
      </c>
      <c r="M3526" s="59">
        <f t="shared" si="31"/>
        <v>0</v>
      </c>
    </row>
    <row r="3527" ht="15.0" hidden="1" customHeight="1">
      <c r="A3527" s="59">
        <f t="shared" si="20"/>
        <v>55</v>
      </c>
      <c r="B3527" s="59" t="str">
        <f t="shared" si="21"/>
        <v/>
      </c>
      <c r="C3527" s="59" t="str">
        <f t="shared" si="22"/>
        <v/>
      </c>
      <c r="D3527" s="45" t="str">
        <f t="shared" si="23"/>
        <v/>
      </c>
      <c r="E3527" s="45" t="str">
        <f t="shared" si="24"/>
        <v/>
      </c>
      <c r="F3527" s="59" t="str">
        <f t="shared" si="25"/>
        <v/>
      </c>
      <c r="G3527" s="59" t="str">
        <f t="shared" si="26"/>
        <v/>
      </c>
      <c r="H3527" s="59" t="str">
        <f t="shared" si="27"/>
        <v>Cát nghiền</v>
      </c>
      <c r="I3527" s="59" t="str">
        <f>IF(OR($A3527="",$C3527="",$D3527="",$E3527="",$H3527=""),"",SUMIFS(DATA_GOC!$H:$H,DATA_GOC!$A:$A,"BOM",DATA_GOC!$D:$D,$H3527,DATA_GOC!$E:$E,$C3527,DATA_GOC!$F:$F,"Xuất nội bộ từ téc",DATA_GOC!$B:$B,"&gt;="&amp;$D3527,DATA_GOC!$B:$B,"&lt;="&amp;$E3527))</f>
        <v/>
      </c>
      <c r="J3527" s="59">
        <f t="shared" si="28"/>
        <v>0</v>
      </c>
      <c r="K3527" s="59">
        <f t="shared" si="29"/>
        <v>0</v>
      </c>
      <c r="L3527" s="59">
        <f t="shared" si="30"/>
        <v>0</v>
      </c>
      <c r="M3527" s="59">
        <f t="shared" si="31"/>
        <v>0</v>
      </c>
    </row>
    <row r="3528" ht="15.0" hidden="1" customHeight="1">
      <c r="A3528" s="59">
        <f t="shared" si="20"/>
        <v>55</v>
      </c>
      <c r="B3528" s="59" t="str">
        <f t="shared" si="21"/>
        <v/>
      </c>
      <c r="C3528" s="59" t="str">
        <f t="shared" si="22"/>
        <v/>
      </c>
      <c r="D3528" s="45" t="str">
        <f t="shared" si="23"/>
        <v/>
      </c>
      <c r="E3528" s="45" t="str">
        <f t="shared" si="24"/>
        <v/>
      </c>
      <c r="F3528" s="59" t="str">
        <f t="shared" si="25"/>
        <v/>
      </c>
      <c r="G3528" s="59" t="str">
        <f t="shared" si="26"/>
        <v/>
      </c>
      <c r="H3528" s="59" t="str">
        <f t="shared" si="27"/>
        <v>28C02973</v>
      </c>
      <c r="I3528" s="59" t="str">
        <f>IF(OR($A3528="",$C3528="",$D3528="",$E3528="",$H3528=""),"",SUMIFS(DATA_GOC!$H:$H,DATA_GOC!$A:$A,"BOM",DATA_GOC!$D:$D,$H3528,DATA_GOC!$E:$E,$C3528,DATA_GOC!$F:$F,"Xuất nội bộ từ téc",DATA_GOC!$B:$B,"&gt;="&amp;$D3528,DATA_GOC!$B:$B,"&lt;="&amp;$E3528))</f>
        <v/>
      </c>
      <c r="J3528" s="59">
        <f t="shared" si="28"/>
        <v>0</v>
      </c>
      <c r="K3528" s="59">
        <f t="shared" si="29"/>
        <v>0</v>
      </c>
      <c r="L3528" s="59">
        <f t="shared" si="30"/>
        <v>0</v>
      </c>
      <c r="M3528" s="59">
        <f t="shared" si="31"/>
        <v>0</v>
      </c>
    </row>
    <row r="3529" ht="15.0" hidden="1" customHeight="1">
      <c r="A3529" s="59">
        <f t="shared" si="20"/>
        <v>55</v>
      </c>
      <c r="B3529" s="59" t="str">
        <f t="shared" si="21"/>
        <v/>
      </c>
      <c r="C3529" s="59" t="str">
        <f t="shared" si="22"/>
        <v/>
      </c>
      <c r="D3529" s="45" t="str">
        <f t="shared" si="23"/>
        <v/>
      </c>
      <c r="E3529" s="45" t="str">
        <f t="shared" si="24"/>
        <v/>
      </c>
      <c r="F3529" s="59" t="str">
        <f t="shared" si="25"/>
        <v/>
      </c>
      <c r="G3529" s="59" t="str">
        <f t="shared" si="26"/>
        <v/>
      </c>
      <c r="H3529" s="59" t="str">
        <f t="shared" si="27"/>
        <v>28C03044</v>
      </c>
      <c r="I3529" s="59" t="str">
        <f>IF(OR($A3529="",$C3529="",$D3529="",$E3529="",$H3529=""),"",SUMIFS(DATA_GOC!$H:$H,DATA_GOC!$A:$A,"BOM",DATA_GOC!$D:$D,$H3529,DATA_GOC!$E:$E,$C3529,DATA_GOC!$F:$F,"Xuất nội bộ từ téc",DATA_GOC!$B:$B,"&gt;="&amp;$D3529,DATA_GOC!$B:$B,"&lt;="&amp;$E3529))</f>
        <v/>
      </c>
      <c r="J3529" s="59">
        <f t="shared" si="28"/>
        <v>0</v>
      </c>
      <c r="K3529" s="59">
        <f t="shared" si="29"/>
        <v>0</v>
      </c>
      <c r="L3529" s="59">
        <f t="shared" si="30"/>
        <v>0</v>
      </c>
      <c r="M3529" s="59">
        <f t="shared" si="31"/>
        <v>0</v>
      </c>
    </row>
    <row r="3530" ht="15.0" hidden="1" customHeight="1">
      <c r="A3530" s="59">
        <f t="shared" si="20"/>
        <v>55</v>
      </c>
      <c r="B3530" s="59" t="str">
        <f t="shared" si="21"/>
        <v/>
      </c>
      <c r="C3530" s="59" t="str">
        <f t="shared" si="22"/>
        <v/>
      </c>
      <c r="D3530" s="45" t="str">
        <f t="shared" si="23"/>
        <v/>
      </c>
      <c r="E3530" s="45" t="str">
        <f t="shared" si="24"/>
        <v/>
      </c>
      <c r="F3530" s="59" t="str">
        <f t="shared" si="25"/>
        <v/>
      </c>
      <c r="G3530" s="59" t="str">
        <f t="shared" si="26"/>
        <v/>
      </c>
      <c r="H3530" s="59" t="str">
        <f t="shared" si="27"/>
        <v>Máy lu lốp</v>
      </c>
      <c r="I3530" s="59" t="str">
        <f>IF(OR($A3530="",$C3530="",$D3530="",$E3530="",$H3530=""),"",SUMIFS(DATA_GOC!$H:$H,DATA_GOC!$A:$A,"BOM",DATA_GOC!$D:$D,$H3530,DATA_GOC!$E:$E,$C3530,DATA_GOC!$F:$F,"Xuất nội bộ từ téc",DATA_GOC!$B:$B,"&gt;="&amp;$D3530,DATA_GOC!$B:$B,"&lt;="&amp;$E3530))</f>
        <v/>
      </c>
      <c r="J3530" s="59">
        <f t="shared" si="28"/>
        <v>0</v>
      </c>
      <c r="K3530" s="59">
        <f t="shared" si="29"/>
        <v>0</v>
      </c>
      <c r="L3530" s="59">
        <f t="shared" si="30"/>
        <v>0</v>
      </c>
      <c r="M3530" s="59">
        <f t="shared" si="31"/>
        <v>0</v>
      </c>
    </row>
    <row r="3531" ht="15.0" hidden="1" customHeight="1">
      <c r="A3531" s="59">
        <f t="shared" si="20"/>
        <v>55</v>
      </c>
      <c r="B3531" s="59" t="str">
        <f t="shared" si="21"/>
        <v/>
      </c>
      <c r="C3531" s="59" t="str">
        <f t="shared" si="22"/>
        <v/>
      </c>
      <c r="D3531" s="45" t="str">
        <f t="shared" si="23"/>
        <v/>
      </c>
      <c r="E3531" s="45" t="str">
        <f t="shared" si="24"/>
        <v/>
      </c>
      <c r="F3531" s="59" t="str">
        <f t="shared" si="25"/>
        <v/>
      </c>
      <c r="G3531" s="59" t="str">
        <f t="shared" si="26"/>
        <v/>
      </c>
      <c r="H3531" s="59" t="str">
        <f t="shared" si="27"/>
        <v>Xe 600148</v>
      </c>
      <c r="I3531" s="59" t="str">
        <f>IF(OR($A3531="",$C3531="",$D3531="",$E3531="",$H3531=""),"",SUMIFS(DATA_GOC!$H:$H,DATA_GOC!$A:$A,"BOM",DATA_GOC!$D:$D,$H3531,DATA_GOC!$E:$E,$C3531,DATA_GOC!$F:$F,"Xuất nội bộ từ téc",DATA_GOC!$B:$B,"&gt;="&amp;$D3531,DATA_GOC!$B:$B,"&lt;="&amp;$E3531))</f>
        <v/>
      </c>
      <c r="J3531" s="59">
        <f t="shared" si="28"/>
        <v>0</v>
      </c>
      <c r="K3531" s="59">
        <f t="shared" si="29"/>
        <v>0</v>
      </c>
      <c r="L3531" s="59">
        <f t="shared" si="30"/>
        <v>0</v>
      </c>
      <c r="M3531" s="59">
        <f t="shared" si="31"/>
        <v>0</v>
      </c>
    </row>
    <row r="3532" ht="15.0" hidden="1" customHeight="1">
      <c r="A3532" s="59">
        <f t="shared" si="20"/>
        <v>55</v>
      </c>
      <c r="B3532" s="59" t="str">
        <f t="shared" si="21"/>
        <v/>
      </c>
      <c r="C3532" s="59" t="str">
        <f t="shared" si="22"/>
        <v/>
      </c>
      <c r="D3532" s="45" t="str">
        <f t="shared" si="23"/>
        <v/>
      </c>
      <c r="E3532" s="45" t="str">
        <f t="shared" si="24"/>
        <v/>
      </c>
      <c r="F3532" s="59" t="str">
        <f t="shared" si="25"/>
        <v/>
      </c>
      <c r="G3532" s="59" t="str">
        <f t="shared" si="26"/>
        <v/>
      </c>
      <c r="H3532" s="59" t="str">
        <f t="shared" si="27"/>
        <v>Xe ben mới</v>
      </c>
      <c r="I3532" s="59" t="str">
        <f>IF(OR($A3532="",$C3532="",$D3532="",$E3532="",$H3532=""),"",SUMIFS(DATA_GOC!$H:$H,DATA_GOC!$A:$A,"BOM",DATA_GOC!$D:$D,$H3532,DATA_GOC!$E:$E,$C3532,DATA_GOC!$F:$F,"Xuất nội bộ từ téc",DATA_GOC!$B:$B,"&gt;="&amp;$D3532,DATA_GOC!$B:$B,"&lt;="&amp;$E3532))</f>
        <v/>
      </c>
      <c r="J3532" s="59">
        <f t="shared" si="28"/>
        <v>0</v>
      </c>
      <c r="K3532" s="59">
        <f t="shared" si="29"/>
        <v>0</v>
      </c>
      <c r="L3532" s="59">
        <f t="shared" si="30"/>
        <v>0</v>
      </c>
      <c r="M3532" s="59">
        <f t="shared" si="31"/>
        <v>0</v>
      </c>
    </row>
    <row r="3533" ht="15.0" hidden="1" customHeight="1">
      <c r="A3533" s="59">
        <f t="shared" si="20"/>
        <v>56</v>
      </c>
      <c r="B3533" s="59" t="str">
        <f t="shared" si="21"/>
        <v/>
      </c>
      <c r="C3533" s="59" t="str">
        <f t="shared" si="22"/>
        <v/>
      </c>
      <c r="D3533" s="45" t="str">
        <f t="shared" si="23"/>
        <v/>
      </c>
      <c r="E3533" s="45" t="str">
        <f t="shared" si="24"/>
        <v/>
      </c>
      <c r="F3533" s="59" t="str">
        <f t="shared" si="25"/>
        <v/>
      </c>
      <c r="G3533" s="59" t="str">
        <f t="shared" si="26"/>
        <v/>
      </c>
      <c r="H3533" s="59" t="str">
        <f t="shared" si="27"/>
        <v>19H09482</v>
      </c>
      <c r="I3533" s="59" t="str">
        <f>IF(OR($A3533="",$C3533="",$D3533="",$E3533="",$H3533=""),"",SUMIFS(DATA_GOC!$H:$H,DATA_GOC!$A:$A,"BOM",DATA_GOC!$D:$D,$H3533,DATA_GOC!$E:$E,$C3533,DATA_GOC!$F:$F,"Xuất nội bộ từ téc",DATA_GOC!$B:$B,"&gt;="&amp;$D3533,DATA_GOC!$B:$B,"&lt;="&amp;$E3533))</f>
        <v/>
      </c>
      <c r="J3533" s="59">
        <f t="shared" si="28"/>
        <v>0</v>
      </c>
      <c r="K3533" s="59">
        <f t="shared" si="29"/>
        <v>0</v>
      </c>
      <c r="L3533" s="59">
        <f t="shared" si="30"/>
        <v>0</v>
      </c>
      <c r="M3533" s="59">
        <f t="shared" si="31"/>
        <v>0</v>
      </c>
    </row>
    <row r="3534" ht="15.0" hidden="1" customHeight="1">
      <c r="A3534" s="59">
        <f t="shared" si="20"/>
        <v>56</v>
      </c>
      <c r="B3534" s="59" t="str">
        <f t="shared" si="21"/>
        <v/>
      </c>
      <c r="C3534" s="59" t="str">
        <f t="shared" si="22"/>
        <v/>
      </c>
      <c r="D3534" s="45" t="str">
        <f t="shared" si="23"/>
        <v/>
      </c>
      <c r="E3534" s="45" t="str">
        <f t="shared" si="24"/>
        <v/>
      </c>
      <c r="F3534" s="59" t="str">
        <f t="shared" si="25"/>
        <v/>
      </c>
      <c r="G3534" s="59" t="str">
        <f t="shared" si="26"/>
        <v/>
      </c>
      <c r="H3534" s="59" t="str">
        <f t="shared" si="27"/>
        <v>28A30696</v>
      </c>
      <c r="I3534" s="59" t="str">
        <f>IF(OR($A3534="",$C3534="",$D3534="",$E3534="",$H3534=""),"",SUMIFS(DATA_GOC!$H:$H,DATA_GOC!$A:$A,"BOM",DATA_GOC!$D:$D,$H3534,DATA_GOC!$E:$E,$C3534,DATA_GOC!$F:$F,"Xuất nội bộ từ téc",DATA_GOC!$B:$B,"&gt;="&amp;$D3534,DATA_GOC!$B:$B,"&lt;="&amp;$E3534))</f>
        <v/>
      </c>
      <c r="J3534" s="59">
        <f t="shared" si="28"/>
        <v>0</v>
      </c>
      <c r="K3534" s="59">
        <f t="shared" si="29"/>
        <v>0</v>
      </c>
      <c r="L3534" s="59">
        <f t="shared" si="30"/>
        <v>0</v>
      </c>
      <c r="M3534" s="59">
        <f t="shared" si="31"/>
        <v>0</v>
      </c>
    </row>
    <row r="3535" ht="15.0" hidden="1" customHeight="1">
      <c r="A3535" s="59">
        <f t="shared" si="20"/>
        <v>56</v>
      </c>
      <c r="B3535" s="59" t="str">
        <f t="shared" si="21"/>
        <v/>
      </c>
      <c r="C3535" s="59" t="str">
        <f t="shared" si="22"/>
        <v/>
      </c>
      <c r="D3535" s="45" t="str">
        <f t="shared" si="23"/>
        <v/>
      </c>
      <c r="E3535" s="45" t="str">
        <f t="shared" si="24"/>
        <v/>
      </c>
      <c r="F3535" s="59" t="str">
        <f t="shared" si="25"/>
        <v/>
      </c>
      <c r="G3535" s="59" t="str">
        <f t="shared" si="26"/>
        <v/>
      </c>
      <c r="H3535" s="59" t="str">
        <f t="shared" si="27"/>
        <v>28C00462</v>
      </c>
      <c r="I3535" s="59" t="str">
        <f>IF(OR($A3535="",$C3535="",$D3535="",$E3535="",$H3535=""),"",SUMIFS(DATA_GOC!$H:$H,DATA_GOC!$A:$A,"BOM",DATA_GOC!$D:$D,$H3535,DATA_GOC!$E:$E,$C3535,DATA_GOC!$F:$F,"Xuất nội bộ từ téc",DATA_GOC!$B:$B,"&gt;="&amp;$D3535,DATA_GOC!$B:$B,"&lt;="&amp;$E3535))</f>
        <v/>
      </c>
      <c r="J3535" s="59">
        <f t="shared" si="28"/>
        <v>0</v>
      </c>
      <c r="K3535" s="59">
        <f t="shared" si="29"/>
        <v>0</v>
      </c>
      <c r="L3535" s="59">
        <f t="shared" si="30"/>
        <v>0</v>
      </c>
      <c r="M3535" s="59">
        <f t="shared" si="31"/>
        <v>0</v>
      </c>
    </row>
    <row r="3536" ht="15.0" hidden="1" customHeight="1">
      <c r="A3536" s="59">
        <f t="shared" si="20"/>
        <v>56</v>
      </c>
      <c r="B3536" s="59" t="str">
        <f t="shared" si="21"/>
        <v/>
      </c>
      <c r="C3536" s="59" t="str">
        <f t="shared" si="22"/>
        <v/>
      </c>
      <c r="D3536" s="45" t="str">
        <f t="shared" si="23"/>
        <v/>
      </c>
      <c r="E3536" s="45" t="str">
        <f t="shared" si="24"/>
        <v/>
      </c>
      <c r="F3536" s="59" t="str">
        <f t="shared" si="25"/>
        <v/>
      </c>
      <c r="G3536" s="59" t="str">
        <f t="shared" si="26"/>
        <v/>
      </c>
      <c r="H3536" s="59" t="str">
        <f t="shared" si="27"/>
        <v>28C01165</v>
      </c>
      <c r="I3536" s="59" t="str">
        <f>IF(OR($A3536="",$C3536="",$D3536="",$E3536="",$H3536=""),"",SUMIFS(DATA_GOC!$H:$H,DATA_GOC!$A:$A,"BOM",DATA_GOC!$D:$D,$H3536,DATA_GOC!$E:$E,$C3536,DATA_GOC!$F:$F,"Xuất nội bộ từ téc",DATA_GOC!$B:$B,"&gt;="&amp;$D3536,DATA_GOC!$B:$B,"&lt;="&amp;$E3536))</f>
        <v/>
      </c>
      <c r="J3536" s="59">
        <f t="shared" si="28"/>
        <v>0</v>
      </c>
      <c r="K3536" s="59">
        <f t="shared" si="29"/>
        <v>0</v>
      </c>
      <c r="L3536" s="59">
        <f t="shared" si="30"/>
        <v>0</v>
      </c>
      <c r="M3536" s="59">
        <f t="shared" si="31"/>
        <v>0</v>
      </c>
    </row>
    <row r="3537" ht="15.0" hidden="1" customHeight="1">
      <c r="A3537" s="59">
        <f t="shared" si="20"/>
        <v>56</v>
      </c>
      <c r="B3537" s="59" t="str">
        <f t="shared" si="21"/>
        <v/>
      </c>
      <c r="C3537" s="59" t="str">
        <f t="shared" si="22"/>
        <v/>
      </c>
      <c r="D3537" s="45" t="str">
        <f t="shared" si="23"/>
        <v/>
      </c>
      <c r="E3537" s="45" t="str">
        <f t="shared" si="24"/>
        <v/>
      </c>
      <c r="F3537" s="59" t="str">
        <f t="shared" si="25"/>
        <v/>
      </c>
      <c r="G3537" s="59" t="str">
        <f t="shared" si="26"/>
        <v/>
      </c>
      <c r="H3537" s="59" t="str">
        <f t="shared" si="27"/>
        <v>28C01406</v>
      </c>
      <c r="I3537" s="59" t="str">
        <f>IF(OR($A3537="",$C3537="",$D3537="",$E3537="",$H3537=""),"",SUMIFS(DATA_GOC!$H:$H,DATA_GOC!$A:$A,"BOM",DATA_GOC!$D:$D,$H3537,DATA_GOC!$E:$E,$C3537,DATA_GOC!$F:$F,"Xuất nội bộ từ téc",DATA_GOC!$B:$B,"&gt;="&amp;$D3537,DATA_GOC!$B:$B,"&lt;="&amp;$E3537))</f>
        <v/>
      </c>
      <c r="J3537" s="59">
        <f t="shared" si="28"/>
        <v>0</v>
      </c>
      <c r="K3537" s="59">
        <f t="shared" si="29"/>
        <v>0</v>
      </c>
      <c r="L3537" s="59">
        <f t="shared" si="30"/>
        <v>0</v>
      </c>
      <c r="M3537" s="59">
        <f t="shared" si="31"/>
        <v>0</v>
      </c>
    </row>
    <row r="3538" ht="15.0" hidden="1" customHeight="1">
      <c r="A3538" s="59">
        <f t="shared" si="20"/>
        <v>56</v>
      </c>
      <c r="B3538" s="59" t="str">
        <f t="shared" si="21"/>
        <v/>
      </c>
      <c r="C3538" s="59" t="str">
        <f t="shared" si="22"/>
        <v/>
      </c>
      <c r="D3538" s="45" t="str">
        <f t="shared" si="23"/>
        <v/>
      </c>
      <c r="E3538" s="45" t="str">
        <f t="shared" si="24"/>
        <v/>
      </c>
      <c r="F3538" s="59" t="str">
        <f t="shared" si="25"/>
        <v/>
      </c>
      <c r="G3538" s="59" t="str">
        <f t="shared" si="26"/>
        <v/>
      </c>
      <c r="H3538" s="59" t="str">
        <f t="shared" si="27"/>
        <v>28C01544</v>
      </c>
      <c r="I3538" s="59" t="str">
        <f>IF(OR($A3538="",$C3538="",$D3538="",$E3538="",$H3538=""),"",SUMIFS(DATA_GOC!$H:$H,DATA_GOC!$A:$A,"BOM",DATA_GOC!$D:$D,$H3538,DATA_GOC!$E:$E,$C3538,DATA_GOC!$F:$F,"Xuất nội bộ từ téc",DATA_GOC!$B:$B,"&gt;="&amp;$D3538,DATA_GOC!$B:$B,"&lt;="&amp;$E3538))</f>
        <v/>
      </c>
      <c r="J3538" s="59">
        <f t="shared" si="28"/>
        <v>0</v>
      </c>
      <c r="K3538" s="59">
        <f t="shared" si="29"/>
        <v>0</v>
      </c>
      <c r="L3538" s="59">
        <f t="shared" si="30"/>
        <v>0</v>
      </c>
      <c r="M3538" s="59">
        <f t="shared" si="31"/>
        <v>0</v>
      </c>
    </row>
    <row r="3539" ht="15.0" hidden="1" customHeight="1">
      <c r="A3539" s="59">
        <f t="shared" si="20"/>
        <v>56</v>
      </c>
      <c r="B3539" s="59" t="str">
        <f t="shared" si="21"/>
        <v/>
      </c>
      <c r="C3539" s="59" t="str">
        <f t="shared" si="22"/>
        <v/>
      </c>
      <c r="D3539" s="45" t="str">
        <f t="shared" si="23"/>
        <v/>
      </c>
      <c r="E3539" s="45" t="str">
        <f t="shared" si="24"/>
        <v/>
      </c>
      <c r="F3539" s="59" t="str">
        <f t="shared" si="25"/>
        <v/>
      </c>
      <c r="G3539" s="59" t="str">
        <f t="shared" si="26"/>
        <v/>
      </c>
      <c r="H3539" s="59" t="str">
        <f t="shared" si="27"/>
        <v>28C01622</v>
      </c>
      <c r="I3539" s="59" t="str">
        <f>IF(OR($A3539="",$C3539="",$D3539="",$E3539="",$H3539=""),"",SUMIFS(DATA_GOC!$H:$H,DATA_GOC!$A:$A,"BOM",DATA_GOC!$D:$D,$H3539,DATA_GOC!$E:$E,$C3539,DATA_GOC!$F:$F,"Xuất nội bộ từ téc",DATA_GOC!$B:$B,"&gt;="&amp;$D3539,DATA_GOC!$B:$B,"&lt;="&amp;$E3539))</f>
        <v/>
      </c>
      <c r="J3539" s="59">
        <f t="shared" si="28"/>
        <v>0</v>
      </c>
      <c r="K3539" s="59">
        <f t="shared" si="29"/>
        <v>0</v>
      </c>
      <c r="L3539" s="59">
        <f t="shared" si="30"/>
        <v>0</v>
      </c>
      <c r="M3539" s="59">
        <f t="shared" si="31"/>
        <v>0</v>
      </c>
    </row>
    <row r="3540" ht="15.0" hidden="1" customHeight="1">
      <c r="A3540" s="59">
        <f t="shared" si="20"/>
        <v>56</v>
      </c>
      <c r="B3540" s="59" t="str">
        <f t="shared" si="21"/>
        <v/>
      </c>
      <c r="C3540" s="59" t="str">
        <f t="shared" si="22"/>
        <v/>
      </c>
      <c r="D3540" s="45" t="str">
        <f t="shared" si="23"/>
        <v/>
      </c>
      <c r="E3540" s="45" t="str">
        <f t="shared" si="24"/>
        <v/>
      </c>
      <c r="F3540" s="59" t="str">
        <f t="shared" si="25"/>
        <v/>
      </c>
      <c r="G3540" s="59" t="str">
        <f t="shared" si="26"/>
        <v/>
      </c>
      <c r="H3540" s="59" t="str">
        <f t="shared" si="27"/>
        <v>28C01647</v>
      </c>
      <c r="I3540" s="59" t="str">
        <f>IF(OR($A3540="",$C3540="",$D3540="",$E3540="",$H3540=""),"",SUMIFS(DATA_GOC!$H:$H,DATA_GOC!$A:$A,"BOM",DATA_GOC!$D:$D,$H3540,DATA_GOC!$E:$E,$C3540,DATA_GOC!$F:$F,"Xuất nội bộ từ téc",DATA_GOC!$B:$B,"&gt;="&amp;$D3540,DATA_GOC!$B:$B,"&lt;="&amp;$E3540))</f>
        <v/>
      </c>
      <c r="J3540" s="59">
        <f t="shared" si="28"/>
        <v>0</v>
      </c>
      <c r="K3540" s="59">
        <f t="shared" si="29"/>
        <v>0</v>
      </c>
      <c r="L3540" s="59">
        <f t="shared" si="30"/>
        <v>0</v>
      </c>
      <c r="M3540" s="59">
        <f t="shared" si="31"/>
        <v>0</v>
      </c>
    </row>
    <row r="3541" ht="15.0" hidden="1" customHeight="1">
      <c r="A3541" s="59">
        <f t="shared" si="20"/>
        <v>56</v>
      </c>
      <c r="B3541" s="59" t="str">
        <f t="shared" si="21"/>
        <v/>
      </c>
      <c r="C3541" s="59" t="str">
        <f t="shared" si="22"/>
        <v/>
      </c>
      <c r="D3541" s="45" t="str">
        <f t="shared" si="23"/>
        <v/>
      </c>
      <c r="E3541" s="45" t="str">
        <f t="shared" si="24"/>
        <v/>
      </c>
      <c r="F3541" s="59" t="str">
        <f t="shared" si="25"/>
        <v/>
      </c>
      <c r="G3541" s="59" t="str">
        <f t="shared" si="26"/>
        <v/>
      </c>
      <c r="H3541" s="59" t="str">
        <f t="shared" si="27"/>
        <v>28C01731</v>
      </c>
      <c r="I3541" s="59" t="str">
        <f>IF(OR($A3541="",$C3541="",$D3541="",$E3541="",$H3541=""),"",SUMIFS(DATA_GOC!$H:$H,DATA_GOC!$A:$A,"BOM",DATA_GOC!$D:$D,$H3541,DATA_GOC!$E:$E,$C3541,DATA_GOC!$F:$F,"Xuất nội bộ từ téc",DATA_GOC!$B:$B,"&gt;="&amp;$D3541,DATA_GOC!$B:$B,"&lt;="&amp;$E3541))</f>
        <v/>
      </c>
      <c r="J3541" s="59">
        <f t="shared" si="28"/>
        <v>0</v>
      </c>
      <c r="K3541" s="59">
        <f t="shared" si="29"/>
        <v>0</v>
      </c>
      <c r="L3541" s="59">
        <f t="shared" si="30"/>
        <v>0</v>
      </c>
      <c r="M3541" s="59">
        <f t="shared" si="31"/>
        <v>0</v>
      </c>
    </row>
    <row r="3542" ht="15.0" hidden="1" customHeight="1">
      <c r="A3542" s="59">
        <f t="shared" si="20"/>
        <v>56</v>
      </c>
      <c r="B3542" s="59" t="str">
        <f t="shared" si="21"/>
        <v/>
      </c>
      <c r="C3542" s="59" t="str">
        <f t="shared" si="22"/>
        <v/>
      </c>
      <c r="D3542" s="45" t="str">
        <f t="shared" si="23"/>
        <v/>
      </c>
      <c r="E3542" s="45" t="str">
        <f t="shared" si="24"/>
        <v/>
      </c>
      <c r="F3542" s="59" t="str">
        <f t="shared" si="25"/>
        <v/>
      </c>
      <c r="G3542" s="59" t="str">
        <f t="shared" si="26"/>
        <v/>
      </c>
      <c r="H3542" s="59" t="str">
        <f t="shared" si="27"/>
        <v>28C01743</v>
      </c>
      <c r="I3542" s="59" t="str">
        <f>IF(OR($A3542="",$C3542="",$D3542="",$E3542="",$H3542=""),"",SUMIFS(DATA_GOC!$H:$H,DATA_GOC!$A:$A,"BOM",DATA_GOC!$D:$D,$H3542,DATA_GOC!$E:$E,$C3542,DATA_GOC!$F:$F,"Xuất nội bộ từ téc",DATA_GOC!$B:$B,"&gt;="&amp;$D3542,DATA_GOC!$B:$B,"&lt;="&amp;$E3542))</f>
        <v/>
      </c>
      <c r="J3542" s="59">
        <f t="shared" si="28"/>
        <v>0</v>
      </c>
      <c r="K3542" s="59">
        <f t="shared" si="29"/>
        <v>0</v>
      </c>
      <c r="L3542" s="59">
        <f t="shared" si="30"/>
        <v>0</v>
      </c>
      <c r="M3542" s="59">
        <f t="shared" si="31"/>
        <v>0</v>
      </c>
    </row>
    <row r="3543" ht="15.0" hidden="1" customHeight="1">
      <c r="A3543" s="59">
        <f t="shared" si="20"/>
        <v>56</v>
      </c>
      <c r="B3543" s="59" t="str">
        <f t="shared" si="21"/>
        <v/>
      </c>
      <c r="C3543" s="59" t="str">
        <f t="shared" si="22"/>
        <v/>
      </c>
      <c r="D3543" s="45" t="str">
        <f t="shared" si="23"/>
        <v/>
      </c>
      <c r="E3543" s="45" t="str">
        <f t="shared" si="24"/>
        <v/>
      </c>
      <c r="F3543" s="59" t="str">
        <f t="shared" si="25"/>
        <v/>
      </c>
      <c r="G3543" s="59" t="str">
        <f t="shared" si="26"/>
        <v/>
      </c>
      <c r="H3543" s="59" t="str">
        <f t="shared" si="27"/>
        <v>28C02106</v>
      </c>
      <c r="I3543" s="59" t="str">
        <f>IF(OR($A3543="",$C3543="",$D3543="",$E3543="",$H3543=""),"",SUMIFS(DATA_GOC!$H:$H,DATA_GOC!$A:$A,"BOM",DATA_GOC!$D:$D,$H3543,DATA_GOC!$E:$E,$C3543,DATA_GOC!$F:$F,"Xuất nội bộ từ téc",DATA_GOC!$B:$B,"&gt;="&amp;$D3543,DATA_GOC!$B:$B,"&lt;="&amp;$E3543))</f>
        <v/>
      </c>
      <c r="J3543" s="59">
        <f t="shared" si="28"/>
        <v>0</v>
      </c>
      <c r="K3543" s="59">
        <f t="shared" si="29"/>
        <v>0</v>
      </c>
      <c r="L3543" s="59">
        <f t="shared" si="30"/>
        <v>0</v>
      </c>
      <c r="M3543" s="59">
        <f t="shared" si="31"/>
        <v>0</v>
      </c>
    </row>
    <row r="3544" ht="15.0" hidden="1" customHeight="1">
      <c r="A3544" s="59">
        <f t="shared" si="20"/>
        <v>56</v>
      </c>
      <c r="B3544" s="59" t="str">
        <f t="shared" si="21"/>
        <v/>
      </c>
      <c r="C3544" s="59" t="str">
        <f t="shared" si="22"/>
        <v/>
      </c>
      <c r="D3544" s="45" t="str">
        <f t="shared" si="23"/>
        <v/>
      </c>
      <c r="E3544" s="45" t="str">
        <f t="shared" si="24"/>
        <v/>
      </c>
      <c r="F3544" s="59" t="str">
        <f t="shared" si="25"/>
        <v/>
      </c>
      <c r="G3544" s="59" t="str">
        <f t="shared" si="26"/>
        <v/>
      </c>
      <c r="H3544" s="59" t="str">
        <f t="shared" si="27"/>
        <v>28C02410</v>
      </c>
      <c r="I3544" s="59" t="str">
        <f>IF(OR($A3544="",$C3544="",$D3544="",$E3544="",$H3544=""),"",SUMIFS(DATA_GOC!$H:$H,DATA_GOC!$A:$A,"BOM",DATA_GOC!$D:$D,$H3544,DATA_GOC!$E:$E,$C3544,DATA_GOC!$F:$F,"Xuất nội bộ từ téc",DATA_GOC!$B:$B,"&gt;="&amp;$D3544,DATA_GOC!$B:$B,"&lt;="&amp;$E3544))</f>
        <v/>
      </c>
      <c r="J3544" s="59">
        <f t="shared" si="28"/>
        <v>0</v>
      </c>
      <c r="K3544" s="59">
        <f t="shared" si="29"/>
        <v>0</v>
      </c>
      <c r="L3544" s="59">
        <f t="shared" si="30"/>
        <v>0</v>
      </c>
      <c r="M3544" s="59">
        <f t="shared" si="31"/>
        <v>0</v>
      </c>
    </row>
    <row r="3545" ht="15.0" hidden="1" customHeight="1">
      <c r="A3545" s="59">
        <f t="shared" si="20"/>
        <v>56</v>
      </c>
      <c r="B3545" s="59" t="str">
        <f t="shared" si="21"/>
        <v/>
      </c>
      <c r="C3545" s="59" t="str">
        <f t="shared" si="22"/>
        <v/>
      </c>
      <c r="D3545" s="45" t="str">
        <f t="shared" si="23"/>
        <v/>
      </c>
      <c r="E3545" s="45" t="str">
        <f t="shared" si="24"/>
        <v/>
      </c>
      <c r="F3545" s="59" t="str">
        <f t="shared" si="25"/>
        <v/>
      </c>
      <c r="G3545" s="59" t="str">
        <f t="shared" si="26"/>
        <v/>
      </c>
      <c r="H3545" s="59" t="str">
        <f t="shared" si="27"/>
        <v>28C02545</v>
      </c>
      <c r="I3545" s="59" t="str">
        <f>IF(OR($A3545="",$C3545="",$D3545="",$E3545="",$H3545=""),"",SUMIFS(DATA_GOC!$H:$H,DATA_GOC!$A:$A,"BOM",DATA_GOC!$D:$D,$H3545,DATA_GOC!$E:$E,$C3545,DATA_GOC!$F:$F,"Xuất nội bộ từ téc",DATA_GOC!$B:$B,"&gt;="&amp;$D3545,DATA_GOC!$B:$B,"&lt;="&amp;$E3545))</f>
        <v/>
      </c>
      <c r="J3545" s="59">
        <f t="shared" si="28"/>
        <v>0</v>
      </c>
      <c r="K3545" s="59">
        <f t="shared" si="29"/>
        <v>0</v>
      </c>
      <c r="L3545" s="59">
        <f t="shared" si="30"/>
        <v>0</v>
      </c>
      <c r="M3545" s="59">
        <f t="shared" si="31"/>
        <v>0</v>
      </c>
    </row>
    <row r="3546" ht="15.0" hidden="1" customHeight="1">
      <c r="A3546" s="59">
        <f t="shared" si="20"/>
        <v>56</v>
      </c>
      <c r="B3546" s="59" t="str">
        <f t="shared" si="21"/>
        <v/>
      </c>
      <c r="C3546" s="59" t="str">
        <f t="shared" si="22"/>
        <v/>
      </c>
      <c r="D3546" s="45" t="str">
        <f t="shared" si="23"/>
        <v/>
      </c>
      <c r="E3546" s="45" t="str">
        <f t="shared" si="24"/>
        <v/>
      </c>
      <c r="F3546" s="59" t="str">
        <f t="shared" si="25"/>
        <v/>
      </c>
      <c r="G3546" s="59" t="str">
        <f t="shared" si="26"/>
        <v/>
      </c>
      <c r="H3546" s="59" t="str">
        <f t="shared" si="27"/>
        <v>28C02574</v>
      </c>
      <c r="I3546" s="59" t="str">
        <f>IF(OR($A3546="",$C3546="",$D3546="",$E3546="",$H3546=""),"",SUMIFS(DATA_GOC!$H:$H,DATA_GOC!$A:$A,"BOM",DATA_GOC!$D:$D,$H3546,DATA_GOC!$E:$E,$C3546,DATA_GOC!$F:$F,"Xuất nội bộ từ téc",DATA_GOC!$B:$B,"&gt;="&amp;$D3546,DATA_GOC!$B:$B,"&lt;="&amp;$E3546))</f>
        <v/>
      </c>
      <c r="J3546" s="59">
        <f t="shared" si="28"/>
        <v>0</v>
      </c>
      <c r="K3546" s="59">
        <f t="shared" si="29"/>
        <v>0</v>
      </c>
      <c r="L3546" s="59">
        <f t="shared" si="30"/>
        <v>0</v>
      </c>
      <c r="M3546" s="59">
        <f t="shared" si="31"/>
        <v>0</v>
      </c>
    </row>
    <row r="3547" ht="15.0" hidden="1" customHeight="1">
      <c r="A3547" s="59">
        <f t="shared" si="20"/>
        <v>56</v>
      </c>
      <c r="B3547" s="59" t="str">
        <f t="shared" si="21"/>
        <v/>
      </c>
      <c r="C3547" s="59" t="str">
        <f t="shared" si="22"/>
        <v/>
      </c>
      <c r="D3547" s="45" t="str">
        <f t="shared" si="23"/>
        <v/>
      </c>
      <c r="E3547" s="45" t="str">
        <f t="shared" si="24"/>
        <v/>
      </c>
      <c r="F3547" s="59" t="str">
        <f t="shared" si="25"/>
        <v/>
      </c>
      <c r="G3547" s="59" t="str">
        <f t="shared" si="26"/>
        <v/>
      </c>
      <c r="H3547" s="59" t="str">
        <f t="shared" si="27"/>
        <v>28C02770</v>
      </c>
      <c r="I3547" s="59" t="str">
        <f>IF(OR($A3547="",$C3547="",$D3547="",$E3547="",$H3547=""),"",SUMIFS(DATA_GOC!$H:$H,DATA_GOC!$A:$A,"BOM",DATA_GOC!$D:$D,$H3547,DATA_GOC!$E:$E,$C3547,DATA_GOC!$F:$F,"Xuất nội bộ từ téc",DATA_GOC!$B:$B,"&gt;="&amp;$D3547,DATA_GOC!$B:$B,"&lt;="&amp;$E3547))</f>
        <v/>
      </c>
      <c r="J3547" s="59">
        <f t="shared" si="28"/>
        <v>0</v>
      </c>
      <c r="K3547" s="59">
        <f t="shared" si="29"/>
        <v>0</v>
      </c>
      <c r="L3547" s="59">
        <f t="shared" si="30"/>
        <v>0</v>
      </c>
      <c r="M3547" s="59">
        <f t="shared" si="31"/>
        <v>0</v>
      </c>
    </row>
    <row r="3548" ht="15.0" hidden="1" customHeight="1">
      <c r="A3548" s="59">
        <f t="shared" si="20"/>
        <v>56</v>
      </c>
      <c r="B3548" s="59" t="str">
        <f t="shared" si="21"/>
        <v/>
      </c>
      <c r="C3548" s="59" t="str">
        <f t="shared" si="22"/>
        <v/>
      </c>
      <c r="D3548" s="45" t="str">
        <f t="shared" si="23"/>
        <v/>
      </c>
      <c r="E3548" s="45" t="str">
        <f t="shared" si="24"/>
        <v/>
      </c>
      <c r="F3548" s="59" t="str">
        <f t="shared" si="25"/>
        <v/>
      </c>
      <c r="G3548" s="59" t="str">
        <f t="shared" si="26"/>
        <v/>
      </c>
      <c r="H3548" s="59" t="str">
        <f t="shared" si="27"/>
        <v>28C02986</v>
      </c>
      <c r="I3548" s="59" t="str">
        <f>IF(OR($A3548="",$C3548="",$D3548="",$E3548="",$H3548=""),"",SUMIFS(DATA_GOC!$H:$H,DATA_GOC!$A:$A,"BOM",DATA_GOC!$D:$D,$H3548,DATA_GOC!$E:$E,$C3548,DATA_GOC!$F:$F,"Xuất nội bộ từ téc",DATA_GOC!$B:$B,"&gt;="&amp;$D3548,DATA_GOC!$B:$B,"&lt;="&amp;$E3548))</f>
        <v/>
      </c>
      <c r="J3548" s="59">
        <f t="shared" si="28"/>
        <v>0</v>
      </c>
      <c r="K3548" s="59">
        <f t="shared" si="29"/>
        <v>0</v>
      </c>
      <c r="L3548" s="59">
        <f t="shared" si="30"/>
        <v>0</v>
      </c>
      <c r="M3548" s="59">
        <f t="shared" si="31"/>
        <v>0</v>
      </c>
    </row>
    <row r="3549" ht="15.0" hidden="1" customHeight="1">
      <c r="A3549" s="59">
        <f t="shared" si="20"/>
        <v>56</v>
      </c>
      <c r="B3549" s="59" t="str">
        <f t="shared" si="21"/>
        <v/>
      </c>
      <c r="C3549" s="59" t="str">
        <f t="shared" si="22"/>
        <v/>
      </c>
      <c r="D3549" s="45" t="str">
        <f t="shared" si="23"/>
        <v/>
      </c>
      <c r="E3549" s="45" t="str">
        <f t="shared" si="24"/>
        <v/>
      </c>
      <c r="F3549" s="59" t="str">
        <f t="shared" si="25"/>
        <v/>
      </c>
      <c r="G3549" s="59" t="str">
        <f t="shared" si="26"/>
        <v/>
      </c>
      <c r="H3549" s="59" t="str">
        <f t="shared" si="27"/>
        <v>28C03261</v>
      </c>
      <c r="I3549" s="59" t="str">
        <f>IF(OR($A3549="",$C3549="",$D3549="",$E3549="",$H3549=""),"",SUMIFS(DATA_GOC!$H:$H,DATA_GOC!$A:$A,"BOM",DATA_GOC!$D:$D,$H3549,DATA_GOC!$E:$E,$C3549,DATA_GOC!$F:$F,"Xuất nội bộ từ téc",DATA_GOC!$B:$B,"&gt;="&amp;$D3549,DATA_GOC!$B:$B,"&lt;="&amp;$E3549))</f>
        <v/>
      </c>
      <c r="J3549" s="59">
        <f t="shared" si="28"/>
        <v>0</v>
      </c>
      <c r="K3549" s="59">
        <f t="shared" si="29"/>
        <v>0</v>
      </c>
      <c r="L3549" s="59">
        <f t="shared" si="30"/>
        <v>0</v>
      </c>
      <c r="M3549" s="59">
        <f t="shared" si="31"/>
        <v>0</v>
      </c>
    </row>
    <row r="3550" ht="15.0" hidden="1" customHeight="1">
      <c r="A3550" s="59">
        <f t="shared" si="20"/>
        <v>56</v>
      </c>
      <c r="B3550" s="59" t="str">
        <f t="shared" si="21"/>
        <v/>
      </c>
      <c r="C3550" s="59" t="str">
        <f t="shared" si="22"/>
        <v/>
      </c>
      <c r="D3550" s="45" t="str">
        <f t="shared" si="23"/>
        <v/>
      </c>
      <c r="E3550" s="45" t="str">
        <f t="shared" si="24"/>
        <v/>
      </c>
      <c r="F3550" s="59" t="str">
        <f t="shared" si="25"/>
        <v/>
      </c>
      <c r="G3550" s="59" t="str">
        <f t="shared" si="26"/>
        <v/>
      </c>
      <c r="H3550" s="59" t="str">
        <f t="shared" si="27"/>
        <v>28C03323</v>
      </c>
      <c r="I3550" s="59" t="str">
        <f>IF(OR($A3550="",$C3550="",$D3550="",$E3550="",$H3550=""),"",SUMIFS(DATA_GOC!$H:$H,DATA_GOC!$A:$A,"BOM",DATA_GOC!$D:$D,$H3550,DATA_GOC!$E:$E,$C3550,DATA_GOC!$F:$F,"Xuất nội bộ từ téc",DATA_GOC!$B:$B,"&gt;="&amp;$D3550,DATA_GOC!$B:$B,"&lt;="&amp;$E3550))</f>
        <v/>
      </c>
      <c r="J3550" s="59">
        <f t="shared" si="28"/>
        <v>0</v>
      </c>
      <c r="K3550" s="59">
        <f t="shared" si="29"/>
        <v>0</v>
      </c>
      <c r="L3550" s="59">
        <f t="shared" si="30"/>
        <v>0</v>
      </c>
      <c r="M3550" s="59">
        <f t="shared" si="31"/>
        <v>0</v>
      </c>
    </row>
    <row r="3551" ht="15.0" hidden="1" customHeight="1">
      <c r="A3551" s="59">
        <f t="shared" si="20"/>
        <v>56</v>
      </c>
      <c r="B3551" s="59" t="str">
        <f t="shared" si="21"/>
        <v/>
      </c>
      <c r="C3551" s="59" t="str">
        <f t="shared" si="22"/>
        <v/>
      </c>
      <c r="D3551" s="45" t="str">
        <f t="shared" si="23"/>
        <v/>
      </c>
      <c r="E3551" s="45" t="str">
        <f t="shared" si="24"/>
        <v/>
      </c>
      <c r="F3551" s="59" t="str">
        <f t="shared" si="25"/>
        <v/>
      </c>
      <c r="G3551" s="59" t="str">
        <f t="shared" si="26"/>
        <v/>
      </c>
      <c r="H3551" s="59" t="str">
        <f t="shared" si="27"/>
        <v>28C03385</v>
      </c>
      <c r="I3551" s="59" t="str">
        <f>IF(OR($A3551="",$C3551="",$D3551="",$E3551="",$H3551=""),"",SUMIFS(DATA_GOC!$H:$H,DATA_GOC!$A:$A,"BOM",DATA_GOC!$D:$D,$H3551,DATA_GOC!$E:$E,$C3551,DATA_GOC!$F:$F,"Xuất nội bộ từ téc",DATA_GOC!$B:$B,"&gt;="&amp;$D3551,DATA_GOC!$B:$B,"&lt;="&amp;$E3551))</f>
        <v/>
      </c>
      <c r="J3551" s="59">
        <f t="shared" si="28"/>
        <v>0</v>
      </c>
      <c r="K3551" s="59">
        <f t="shared" si="29"/>
        <v>0</v>
      </c>
      <c r="L3551" s="59">
        <f t="shared" si="30"/>
        <v>0</v>
      </c>
      <c r="M3551" s="59">
        <f t="shared" si="31"/>
        <v>0</v>
      </c>
    </row>
    <row r="3552" ht="15.0" hidden="1" customHeight="1">
      <c r="A3552" s="59">
        <f t="shared" si="20"/>
        <v>56</v>
      </c>
      <c r="B3552" s="59" t="str">
        <f t="shared" si="21"/>
        <v/>
      </c>
      <c r="C3552" s="59" t="str">
        <f t="shared" si="22"/>
        <v/>
      </c>
      <c r="D3552" s="45" t="str">
        <f t="shared" si="23"/>
        <v/>
      </c>
      <c r="E3552" s="45" t="str">
        <f t="shared" si="24"/>
        <v/>
      </c>
      <c r="F3552" s="59" t="str">
        <f t="shared" si="25"/>
        <v/>
      </c>
      <c r="G3552" s="59" t="str">
        <f t="shared" si="26"/>
        <v/>
      </c>
      <c r="H3552" s="59" t="str">
        <f t="shared" si="27"/>
        <v>28C03652</v>
      </c>
      <c r="I3552" s="59" t="str">
        <f>IF(OR($A3552="",$C3552="",$D3552="",$E3552="",$H3552=""),"",SUMIFS(DATA_GOC!$H:$H,DATA_GOC!$A:$A,"BOM",DATA_GOC!$D:$D,$H3552,DATA_GOC!$E:$E,$C3552,DATA_GOC!$F:$F,"Xuất nội bộ từ téc",DATA_GOC!$B:$B,"&gt;="&amp;$D3552,DATA_GOC!$B:$B,"&lt;="&amp;$E3552))</f>
        <v/>
      </c>
      <c r="J3552" s="59">
        <f t="shared" si="28"/>
        <v>0</v>
      </c>
      <c r="K3552" s="59">
        <f t="shared" si="29"/>
        <v>0</v>
      </c>
      <c r="L3552" s="59">
        <f t="shared" si="30"/>
        <v>0</v>
      </c>
      <c r="M3552" s="59">
        <f t="shared" si="31"/>
        <v>0</v>
      </c>
    </row>
    <row r="3553" ht="15.0" hidden="1" customHeight="1">
      <c r="A3553" s="59">
        <f t="shared" si="20"/>
        <v>56</v>
      </c>
      <c r="B3553" s="59" t="str">
        <f t="shared" si="21"/>
        <v/>
      </c>
      <c r="C3553" s="59" t="str">
        <f t="shared" si="22"/>
        <v/>
      </c>
      <c r="D3553" s="45" t="str">
        <f t="shared" si="23"/>
        <v/>
      </c>
      <c r="E3553" s="45" t="str">
        <f t="shared" si="24"/>
        <v/>
      </c>
      <c r="F3553" s="59" t="str">
        <f t="shared" si="25"/>
        <v/>
      </c>
      <c r="G3553" s="59" t="str">
        <f t="shared" si="26"/>
        <v/>
      </c>
      <c r="H3553" s="59" t="str">
        <f t="shared" si="27"/>
        <v>28C03695</v>
      </c>
      <c r="I3553" s="59" t="str">
        <f>IF(OR($A3553="",$C3553="",$D3553="",$E3553="",$H3553=""),"",SUMIFS(DATA_GOC!$H:$H,DATA_GOC!$A:$A,"BOM",DATA_GOC!$D:$D,$H3553,DATA_GOC!$E:$E,$C3553,DATA_GOC!$F:$F,"Xuất nội bộ từ téc",DATA_GOC!$B:$B,"&gt;="&amp;$D3553,DATA_GOC!$B:$B,"&lt;="&amp;$E3553))</f>
        <v/>
      </c>
      <c r="J3553" s="59">
        <f t="shared" si="28"/>
        <v>0</v>
      </c>
      <c r="K3553" s="59">
        <f t="shared" si="29"/>
        <v>0</v>
      </c>
      <c r="L3553" s="59">
        <f t="shared" si="30"/>
        <v>0</v>
      </c>
      <c r="M3553" s="59">
        <f t="shared" si="31"/>
        <v>0</v>
      </c>
    </row>
    <row r="3554" ht="15.0" hidden="1" customHeight="1">
      <c r="A3554" s="59">
        <f t="shared" si="20"/>
        <v>56</v>
      </c>
      <c r="B3554" s="59" t="str">
        <f t="shared" si="21"/>
        <v/>
      </c>
      <c r="C3554" s="59" t="str">
        <f t="shared" si="22"/>
        <v/>
      </c>
      <c r="D3554" s="45" t="str">
        <f t="shared" si="23"/>
        <v/>
      </c>
      <c r="E3554" s="45" t="str">
        <f t="shared" si="24"/>
        <v/>
      </c>
      <c r="F3554" s="59" t="str">
        <f t="shared" si="25"/>
        <v/>
      </c>
      <c r="G3554" s="59" t="str">
        <f t="shared" si="26"/>
        <v/>
      </c>
      <c r="H3554" s="59" t="str">
        <f t="shared" si="27"/>
        <v>28C03927</v>
      </c>
      <c r="I3554" s="59" t="str">
        <f>IF(OR($A3554="",$C3554="",$D3554="",$E3554="",$H3554=""),"",SUMIFS(DATA_GOC!$H:$H,DATA_GOC!$A:$A,"BOM",DATA_GOC!$D:$D,$H3554,DATA_GOC!$E:$E,$C3554,DATA_GOC!$F:$F,"Xuất nội bộ từ téc",DATA_GOC!$B:$B,"&gt;="&amp;$D3554,DATA_GOC!$B:$B,"&lt;="&amp;$E3554))</f>
        <v/>
      </c>
      <c r="J3554" s="59">
        <f t="shared" si="28"/>
        <v>0</v>
      </c>
      <c r="K3554" s="59">
        <f t="shared" si="29"/>
        <v>0</v>
      </c>
      <c r="L3554" s="59">
        <f t="shared" si="30"/>
        <v>0</v>
      </c>
      <c r="M3554" s="59">
        <f t="shared" si="31"/>
        <v>0</v>
      </c>
    </row>
    <row r="3555" ht="15.0" hidden="1" customHeight="1">
      <c r="A3555" s="59">
        <f t="shared" si="20"/>
        <v>56</v>
      </c>
      <c r="B3555" s="59" t="str">
        <f t="shared" si="21"/>
        <v/>
      </c>
      <c r="C3555" s="59" t="str">
        <f t="shared" si="22"/>
        <v/>
      </c>
      <c r="D3555" s="45" t="str">
        <f t="shared" si="23"/>
        <v/>
      </c>
      <c r="E3555" s="45" t="str">
        <f t="shared" si="24"/>
        <v/>
      </c>
      <c r="F3555" s="59" t="str">
        <f t="shared" si="25"/>
        <v/>
      </c>
      <c r="G3555" s="59" t="str">
        <f t="shared" si="26"/>
        <v/>
      </c>
      <c r="H3555" s="59" t="str">
        <f t="shared" si="27"/>
        <v>28C04509</v>
      </c>
      <c r="I3555" s="59" t="str">
        <f>IF(OR($A3555="",$C3555="",$D3555="",$E3555="",$H3555=""),"",SUMIFS(DATA_GOC!$H:$H,DATA_GOC!$A:$A,"BOM",DATA_GOC!$D:$D,$H3555,DATA_GOC!$E:$E,$C3555,DATA_GOC!$F:$F,"Xuất nội bộ từ téc",DATA_GOC!$B:$B,"&gt;="&amp;$D3555,DATA_GOC!$B:$B,"&lt;="&amp;$E3555))</f>
        <v/>
      </c>
      <c r="J3555" s="59">
        <f t="shared" si="28"/>
        <v>0</v>
      </c>
      <c r="K3555" s="59">
        <f t="shared" si="29"/>
        <v>0</v>
      </c>
      <c r="L3555" s="59">
        <f t="shared" si="30"/>
        <v>0</v>
      </c>
      <c r="M3555" s="59">
        <f t="shared" si="31"/>
        <v>0</v>
      </c>
    </row>
    <row r="3556" ht="15.0" hidden="1" customHeight="1">
      <c r="A3556" s="59">
        <f t="shared" si="20"/>
        <v>56</v>
      </c>
      <c r="B3556" s="59" t="str">
        <f t="shared" si="21"/>
        <v/>
      </c>
      <c r="C3556" s="59" t="str">
        <f t="shared" si="22"/>
        <v/>
      </c>
      <c r="D3556" s="45" t="str">
        <f t="shared" si="23"/>
        <v/>
      </c>
      <c r="E3556" s="45" t="str">
        <f t="shared" si="24"/>
        <v/>
      </c>
      <c r="F3556" s="59" t="str">
        <f t="shared" si="25"/>
        <v/>
      </c>
      <c r="G3556" s="59" t="str">
        <f t="shared" si="26"/>
        <v/>
      </c>
      <c r="H3556" s="59" t="str">
        <f t="shared" si="27"/>
        <v>28C04536</v>
      </c>
      <c r="I3556" s="59" t="str">
        <f>IF(OR($A3556="",$C3556="",$D3556="",$E3556="",$H3556=""),"",SUMIFS(DATA_GOC!$H:$H,DATA_GOC!$A:$A,"BOM",DATA_GOC!$D:$D,$H3556,DATA_GOC!$E:$E,$C3556,DATA_GOC!$F:$F,"Xuất nội bộ từ téc",DATA_GOC!$B:$B,"&gt;="&amp;$D3556,DATA_GOC!$B:$B,"&lt;="&amp;$E3556))</f>
        <v/>
      </c>
      <c r="J3556" s="59">
        <f t="shared" si="28"/>
        <v>0</v>
      </c>
      <c r="K3556" s="59">
        <f t="shared" si="29"/>
        <v>0</v>
      </c>
      <c r="L3556" s="59">
        <f t="shared" si="30"/>
        <v>0</v>
      </c>
      <c r="M3556" s="59">
        <f t="shared" si="31"/>
        <v>0</v>
      </c>
    </row>
    <row r="3557" ht="15.0" hidden="1" customHeight="1">
      <c r="A3557" s="59">
        <f t="shared" si="20"/>
        <v>56</v>
      </c>
      <c r="B3557" s="59" t="str">
        <f t="shared" si="21"/>
        <v/>
      </c>
      <c r="C3557" s="59" t="str">
        <f t="shared" si="22"/>
        <v/>
      </c>
      <c r="D3557" s="45" t="str">
        <f t="shared" si="23"/>
        <v/>
      </c>
      <c r="E3557" s="45" t="str">
        <f t="shared" si="24"/>
        <v/>
      </c>
      <c r="F3557" s="59" t="str">
        <f t="shared" si="25"/>
        <v/>
      </c>
      <c r="G3557" s="59" t="str">
        <f t="shared" si="26"/>
        <v/>
      </c>
      <c r="H3557" s="59" t="str">
        <f t="shared" si="27"/>
        <v>28C04576</v>
      </c>
      <c r="I3557" s="59" t="str">
        <f>IF(OR($A3557="",$C3557="",$D3557="",$E3557="",$H3557=""),"",SUMIFS(DATA_GOC!$H:$H,DATA_GOC!$A:$A,"BOM",DATA_GOC!$D:$D,$H3557,DATA_GOC!$E:$E,$C3557,DATA_GOC!$F:$F,"Xuất nội bộ từ téc",DATA_GOC!$B:$B,"&gt;="&amp;$D3557,DATA_GOC!$B:$B,"&lt;="&amp;$E3557))</f>
        <v/>
      </c>
      <c r="J3557" s="59">
        <f t="shared" si="28"/>
        <v>0</v>
      </c>
      <c r="K3557" s="59">
        <f t="shared" si="29"/>
        <v>0</v>
      </c>
      <c r="L3557" s="59">
        <f t="shared" si="30"/>
        <v>0</v>
      </c>
      <c r="M3557" s="59">
        <f t="shared" si="31"/>
        <v>0</v>
      </c>
    </row>
    <row r="3558" ht="15.0" hidden="1" customHeight="1">
      <c r="A3558" s="59">
        <f t="shared" si="20"/>
        <v>56</v>
      </c>
      <c r="B3558" s="59" t="str">
        <f t="shared" si="21"/>
        <v/>
      </c>
      <c r="C3558" s="59" t="str">
        <f t="shared" si="22"/>
        <v/>
      </c>
      <c r="D3558" s="45" t="str">
        <f t="shared" si="23"/>
        <v/>
      </c>
      <c r="E3558" s="45" t="str">
        <f t="shared" si="24"/>
        <v/>
      </c>
      <c r="F3558" s="59" t="str">
        <f t="shared" si="25"/>
        <v/>
      </c>
      <c r="G3558" s="59" t="str">
        <f t="shared" si="26"/>
        <v/>
      </c>
      <c r="H3558" s="59" t="str">
        <f t="shared" si="27"/>
        <v>28C05090</v>
      </c>
      <c r="I3558" s="59" t="str">
        <f>IF(OR($A3558="",$C3558="",$D3558="",$E3558="",$H3558=""),"",SUMIFS(DATA_GOC!$H:$H,DATA_GOC!$A:$A,"BOM",DATA_GOC!$D:$D,$H3558,DATA_GOC!$E:$E,$C3558,DATA_GOC!$F:$F,"Xuất nội bộ từ téc",DATA_GOC!$B:$B,"&gt;="&amp;$D3558,DATA_GOC!$B:$B,"&lt;="&amp;$E3558))</f>
        <v/>
      </c>
      <c r="J3558" s="59">
        <f t="shared" si="28"/>
        <v>0</v>
      </c>
      <c r="K3558" s="59">
        <f t="shared" si="29"/>
        <v>0</v>
      </c>
      <c r="L3558" s="59">
        <f t="shared" si="30"/>
        <v>0</v>
      </c>
      <c r="M3558" s="59">
        <f t="shared" si="31"/>
        <v>0</v>
      </c>
    </row>
    <row r="3559" ht="15.0" hidden="1" customHeight="1">
      <c r="A3559" s="59">
        <f t="shared" si="20"/>
        <v>56</v>
      </c>
      <c r="B3559" s="59" t="str">
        <f t="shared" si="21"/>
        <v/>
      </c>
      <c r="C3559" s="59" t="str">
        <f t="shared" si="22"/>
        <v/>
      </c>
      <c r="D3559" s="45" t="str">
        <f t="shared" si="23"/>
        <v/>
      </c>
      <c r="E3559" s="45" t="str">
        <f t="shared" si="24"/>
        <v/>
      </c>
      <c r="F3559" s="59" t="str">
        <f t="shared" si="25"/>
        <v/>
      </c>
      <c r="G3559" s="59" t="str">
        <f t="shared" si="26"/>
        <v/>
      </c>
      <c r="H3559" s="59" t="str">
        <f t="shared" si="27"/>
        <v>28C05345</v>
      </c>
      <c r="I3559" s="59" t="str">
        <f>IF(OR($A3559="",$C3559="",$D3559="",$E3559="",$H3559=""),"",SUMIFS(DATA_GOC!$H:$H,DATA_GOC!$A:$A,"BOM",DATA_GOC!$D:$D,$H3559,DATA_GOC!$E:$E,$C3559,DATA_GOC!$F:$F,"Xuất nội bộ từ téc",DATA_GOC!$B:$B,"&gt;="&amp;$D3559,DATA_GOC!$B:$B,"&lt;="&amp;$E3559))</f>
        <v/>
      </c>
      <c r="J3559" s="59">
        <f t="shared" si="28"/>
        <v>0</v>
      </c>
      <c r="K3559" s="59">
        <f t="shared" si="29"/>
        <v>0</v>
      </c>
      <c r="L3559" s="59">
        <f t="shared" si="30"/>
        <v>0</v>
      </c>
      <c r="M3559" s="59">
        <f t="shared" si="31"/>
        <v>0</v>
      </c>
    </row>
    <row r="3560" ht="15.0" hidden="1" customHeight="1">
      <c r="A3560" s="59">
        <f t="shared" si="20"/>
        <v>56</v>
      </c>
      <c r="B3560" s="59" t="str">
        <f t="shared" si="21"/>
        <v/>
      </c>
      <c r="C3560" s="59" t="str">
        <f t="shared" si="22"/>
        <v/>
      </c>
      <c r="D3560" s="45" t="str">
        <f t="shared" si="23"/>
        <v/>
      </c>
      <c r="E3560" s="45" t="str">
        <f t="shared" si="24"/>
        <v/>
      </c>
      <c r="F3560" s="59" t="str">
        <f t="shared" si="25"/>
        <v/>
      </c>
      <c r="G3560" s="59" t="str">
        <f t="shared" si="26"/>
        <v/>
      </c>
      <c r="H3560" s="59" t="str">
        <f t="shared" si="27"/>
        <v>28C05661</v>
      </c>
      <c r="I3560" s="59" t="str">
        <f>IF(OR($A3560="",$C3560="",$D3560="",$E3560="",$H3560=""),"",SUMIFS(DATA_GOC!$H:$H,DATA_GOC!$A:$A,"BOM",DATA_GOC!$D:$D,$H3560,DATA_GOC!$E:$E,$C3560,DATA_GOC!$F:$F,"Xuất nội bộ từ téc",DATA_GOC!$B:$B,"&gt;="&amp;$D3560,DATA_GOC!$B:$B,"&lt;="&amp;$E3560))</f>
        <v/>
      </c>
      <c r="J3560" s="59">
        <f t="shared" si="28"/>
        <v>0</v>
      </c>
      <c r="K3560" s="59">
        <f t="shared" si="29"/>
        <v>0</v>
      </c>
      <c r="L3560" s="59">
        <f t="shared" si="30"/>
        <v>0</v>
      </c>
      <c r="M3560" s="59">
        <f t="shared" si="31"/>
        <v>0</v>
      </c>
    </row>
    <row r="3561" ht="15.0" hidden="1" customHeight="1">
      <c r="A3561" s="59">
        <f t="shared" si="20"/>
        <v>56</v>
      </c>
      <c r="B3561" s="59" t="str">
        <f t="shared" si="21"/>
        <v/>
      </c>
      <c r="C3561" s="59" t="str">
        <f t="shared" si="22"/>
        <v/>
      </c>
      <c r="D3561" s="45" t="str">
        <f t="shared" si="23"/>
        <v/>
      </c>
      <c r="E3561" s="45" t="str">
        <f t="shared" si="24"/>
        <v/>
      </c>
      <c r="F3561" s="59" t="str">
        <f t="shared" si="25"/>
        <v/>
      </c>
      <c r="G3561" s="59" t="str">
        <f t="shared" si="26"/>
        <v/>
      </c>
      <c r="H3561" s="59" t="str">
        <f t="shared" si="27"/>
        <v>28C05739</v>
      </c>
      <c r="I3561" s="59" t="str">
        <f>IF(OR($A3561="",$C3561="",$D3561="",$E3561="",$H3561=""),"",SUMIFS(DATA_GOC!$H:$H,DATA_GOC!$A:$A,"BOM",DATA_GOC!$D:$D,$H3561,DATA_GOC!$E:$E,$C3561,DATA_GOC!$F:$F,"Xuất nội bộ từ téc",DATA_GOC!$B:$B,"&gt;="&amp;$D3561,DATA_GOC!$B:$B,"&lt;="&amp;$E3561))</f>
        <v/>
      </c>
      <c r="J3561" s="59">
        <f t="shared" si="28"/>
        <v>0</v>
      </c>
      <c r="K3561" s="59">
        <f t="shared" si="29"/>
        <v>0</v>
      </c>
      <c r="L3561" s="59">
        <f t="shared" si="30"/>
        <v>0</v>
      </c>
      <c r="M3561" s="59">
        <f t="shared" si="31"/>
        <v>0</v>
      </c>
    </row>
    <row r="3562" ht="15.0" hidden="1" customHeight="1">
      <c r="A3562" s="59">
        <f t="shared" si="20"/>
        <v>56</v>
      </c>
      <c r="B3562" s="59" t="str">
        <f t="shared" si="21"/>
        <v/>
      </c>
      <c r="C3562" s="59" t="str">
        <f t="shared" si="22"/>
        <v/>
      </c>
      <c r="D3562" s="45" t="str">
        <f t="shared" si="23"/>
        <v/>
      </c>
      <c r="E3562" s="45" t="str">
        <f t="shared" si="24"/>
        <v/>
      </c>
      <c r="F3562" s="59" t="str">
        <f t="shared" si="25"/>
        <v/>
      </c>
      <c r="G3562" s="59" t="str">
        <f t="shared" si="26"/>
        <v/>
      </c>
      <c r="H3562" s="59" t="str">
        <f t="shared" si="27"/>
        <v>28C06369</v>
      </c>
      <c r="I3562" s="59" t="str">
        <f>IF(OR($A3562="",$C3562="",$D3562="",$E3562="",$H3562=""),"",SUMIFS(DATA_GOC!$H:$H,DATA_GOC!$A:$A,"BOM",DATA_GOC!$D:$D,$H3562,DATA_GOC!$E:$E,$C3562,DATA_GOC!$F:$F,"Xuất nội bộ từ téc",DATA_GOC!$B:$B,"&gt;="&amp;$D3562,DATA_GOC!$B:$B,"&lt;="&amp;$E3562))</f>
        <v/>
      </c>
      <c r="J3562" s="59">
        <f t="shared" si="28"/>
        <v>0</v>
      </c>
      <c r="K3562" s="59">
        <f t="shared" si="29"/>
        <v>0</v>
      </c>
      <c r="L3562" s="59">
        <f t="shared" si="30"/>
        <v>0</v>
      </c>
      <c r="M3562" s="59">
        <f t="shared" si="31"/>
        <v>0</v>
      </c>
    </row>
    <row r="3563" ht="15.0" hidden="1" customHeight="1">
      <c r="A3563" s="59">
        <f t="shared" si="20"/>
        <v>56</v>
      </c>
      <c r="B3563" s="59" t="str">
        <f t="shared" si="21"/>
        <v/>
      </c>
      <c r="C3563" s="59" t="str">
        <f t="shared" si="22"/>
        <v/>
      </c>
      <c r="D3563" s="45" t="str">
        <f t="shared" si="23"/>
        <v/>
      </c>
      <c r="E3563" s="45" t="str">
        <f t="shared" si="24"/>
        <v/>
      </c>
      <c r="F3563" s="59" t="str">
        <f t="shared" si="25"/>
        <v/>
      </c>
      <c r="G3563" s="59" t="str">
        <f t="shared" si="26"/>
        <v/>
      </c>
      <c r="H3563" s="59" t="str">
        <f t="shared" si="27"/>
        <v>28C06447</v>
      </c>
      <c r="I3563" s="59" t="str">
        <f>IF(OR($A3563="",$C3563="",$D3563="",$E3563="",$H3563=""),"",SUMIFS(DATA_GOC!$H:$H,DATA_GOC!$A:$A,"BOM",DATA_GOC!$D:$D,$H3563,DATA_GOC!$E:$E,$C3563,DATA_GOC!$F:$F,"Xuất nội bộ từ téc",DATA_GOC!$B:$B,"&gt;="&amp;$D3563,DATA_GOC!$B:$B,"&lt;="&amp;$E3563))</f>
        <v/>
      </c>
      <c r="J3563" s="59">
        <f t="shared" si="28"/>
        <v>0</v>
      </c>
      <c r="K3563" s="59">
        <f t="shared" si="29"/>
        <v>0</v>
      </c>
      <c r="L3563" s="59">
        <f t="shared" si="30"/>
        <v>0</v>
      </c>
      <c r="M3563" s="59">
        <f t="shared" si="31"/>
        <v>0</v>
      </c>
    </row>
    <row r="3564" ht="15.0" hidden="1" customHeight="1">
      <c r="A3564" s="59">
        <f t="shared" si="20"/>
        <v>56</v>
      </c>
      <c r="B3564" s="59" t="str">
        <f t="shared" si="21"/>
        <v/>
      </c>
      <c r="C3564" s="59" t="str">
        <f t="shared" si="22"/>
        <v/>
      </c>
      <c r="D3564" s="45" t="str">
        <f t="shared" si="23"/>
        <v/>
      </c>
      <c r="E3564" s="45" t="str">
        <f t="shared" si="24"/>
        <v/>
      </c>
      <c r="F3564" s="59" t="str">
        <f t="shared" si="25"/>
        <v/>
      </c>
      <c r="G3564" s="59" t="str">
        <f t="shared" si="26"/>
        <v/>
      </c>
      <c r="H3564" s="59" t="str">
        <f t="shared" si="27"/>
        <v>28H00003</v>
      </c>
      <c r="I3564" s="59" t="str">
        <f>IF(OR($A3564="",$C3564="",$D3564="",$E3564="",$H3564=""),"",SUMIFS(DATA_GOC!$H:$H,DATA_GOC!$A:$A,"BOM",DATA_GOC!$D:$D,$H3564,DATA_GOC!$E:$E,$C3564,DATA_GOC!$F:$F,"Xuất nội bộ từ téc",DATA_GOC!$B:$B,"&gt;="&amp;$D3564,DATA_GOC!$B:$B,"&lt;="&amp;$E3564))</f>
        <v/>
      </c>
      <c r="J3564" s="59">
        <f t="shared" si="28"/>
        <v>0</v>
      </c>
      <c r="K3564" s="59">
        <f t="shared" si="29"/>
        <v>0</v>
      </c>
      <c r="L3564" s="59">
        <f t="shared" si="30"/>
        <v>0</v>
      </c>
      <c r="M3564" s="59">
        <f t="shared" si="31"/>
        <v>0</v>
      </c>
    </row>
    <row r="3565" ht="15.0" hidden="1" customHeight="1">
      <c r="A3565" s="59">
        <f t="shared" si="20"/>
        <v>56</v>
      </c>
      <c r="B3565" s="59" t="str">
        <f t="shared" si="21"/>
        <v/>
      </c>
      <c r="C3565" s="59" t="str">
        <f t="shared" si="22"/>
        <v/>
      </c>
      <c r="D3565" s="45" t="str">
        <f t="shared" si="23"/>
        <v/>
      </c>
      <c r="E3565" s="45" t="str">
        <f t="shared" si="24"/>
        <v/>
      </c>
      <c r="F3565" s="59" t="str">
        <f t="shared" si="25"/>
        <v/>
      </c>
      <c r="G3565" s="59" t="str">
        <f t="shared" si="26"/>
        <v/>
      </c>
      <c r="H3565" s="59" t="str">
        <f t="shared" si="27"/>
        <v>28H00061</v>
      </c>
      <c r="I3565" s="59" t="str">
        <f>IF(OR($A3565="",$C3565="",$D3565="",$E3565="",$H3565=""),"",SUMIFS(DATA_GOC!$H:$H,DATA_GOC!$A:$A,"BOM",DATA_GOC!$D:$D,$H3565,DATA_GOC!$E:$E,$C3565,DATA_GOC!$F:$F,"Xuất nội bộ từ téc",DATA_GOC!$B:$B,"&gt;="&amp;$D3565,DATA_GOC!$B:$B,"&lt;="&amp;$E3565))</f>
        <v/>
      </c>
      <c r="J3565" s="59">
        <f t="shared" si="28"/>
        <v>0</v>
      </c>
      <c r="K3565" s="59">
        <f t="shared" si="29"/>
        <v>0</v>
      </c>
      <c r="L3565" s="59">
        <f t="shared" si="30"/>
        <v>0</v>
      </c>
      <c r="M3565" s="59">
        <f t="shared" si="31"/>
        <v>0</v>
      </c>
    </row>
    <row r="3566" ht="15.0" hidden="1" customHeight="1">
      <c r="A3566" s="59">
        <f t="shared" si="20"/>
        <v>56</v>
      </c>
      <c r="B3566" s="59" t="str">
        <f t="shared" si="21"/>
        <v/>
      </c>
      <c r="C3566" s="59" t="str">
        <f t="shared" si="22"/>
        <v/>
      </c>
      <c r="D3566" s="45" t="str">
        <f t="shared" si="23"/>
        <v/>
      </c>
      <c r="E3566" s="45" t="str">
        <f t="shared" si="24"/>
        <v/>
      </c>
      <c r="F3566" s="59" t="str">
        <f t="shared" si="25"/>
        <v/>
      </c>
      <c r="G3566" s="59" t="str">
        <f t="shared" si="26"/>
        <v/>
      </c>
      <c r="H3566" s="59" t="str">
        <f t="shared" si="27"/>
        <v>28H00354</v>
      </c>
      <c r="I3566" s="59" t="str">
        <f>IF(OR($A3566="",$C3566="",$D3566="",$E3566="",$H3566=""),"",SUMIFS(DATA_GOC!$H:$H,DATA_GOC!$A:$A,"BOM",DATA_GOC!$D:$D,$H3566,DATA_GOC!$E:$E,$C3566,DATA_GOC!$F:$F,"Xuất nội bộ từ téc",DATA_GOC!$B:$B,"&gt;="&amp;$D3566,DATA_GOC!$B:$B,"&lt;="&amp;$E3566))</f>
        <v/>
      </c>
      <c r="J3566" s="59">
        <f t="shared" si="28"/>
        <v>0</v>
      </c>
      <c r="K3566" s="59">
        <f t="shared" si="29"/>
        <v>0</v>
      </c>
      <c r="L3566" s="59">
        <f t="shared" si="30"/>
        <v>0</v>
      </c>
      <c r="M3566" s="59">
        <f t="shared" si="31"/>
        <v>0</v>
      </c>
    </row>
    <row r="3567" ht="15.0" hidden="1" customHeight="1">
      <c r="A3567" s="59">
        <f t="shared" si="20"/>
        <v>56</v>
      </c>
      <c r="B3567" s="59" t="str">
        <f t="shared" si="21"/>
        <v/>
      </c>
      <c r="C3567" s="59" t="str">
        <f t="shared" si="22"/>
        <v/>
      </c>
      <c r="D3567" s="45" t="str">
        <f t="shared" si="23"/>
        <v/>
      </c>
      <c r="E3567" s="45" t="str">
        <f t="shared" si="24"/>
        <v/>
      </c>
      <c r="F3567" s="59" t="str">
        <f t="shared" si="25"/>
        <v/>
      </c>
      <c r="G3567" s="59" t="str">
        <f t="shared" si="26"/>
        <v/>
      </c>
      <c r="H3567" s="59" t="str">
        <f t="shared" si="27"/>
        <v>28H00603</v>
      </c>
      <c r="I3567" s="59" t="str">
        <f>IF(OR($A3567="",$C3567="",$D3567="",$E3567="",$H3567=""),"",SUMIFS(DATA_GOC!$H:$H,DATA_GOC!$A:$A,"BOM",DATA_GOC!$D:$D,$H3567,DATA_GOC!$E:$E,$C3567,DATA_GOC!$F:$F,"Xuất nội bộ từ téc",DATA_GOC!$B:$B,"&gt;="&amp;$D3567,DATA_GOC!$B:$B,"&lt;="&amp;$E3567))</f>
        <v/>
      </c>
      <c r="J3567" s="59">
        <f t="shared" si="28"/>
        <v>0</v>
      </c>
      <c r="K3567" s="59">
        <f t="shared" si="29"/>
        <v>0</v>
      </c>
      <c r="L3567" s="59">
        <f t="shared" si="30"/>
        <v>0</v>
      </c>
      <c r="M3567" s="59">
        <f t="shared" si="31"/>
        <v>0</v>
      </c>
    </row>
    <row r="3568" ht="15.0" hidden="1" customHeight="1">
      <c r="A3568" s="59">
        <f t="shared" si="20"/>
        <v>56</v>
      </c>
      <c r="B3568" s="59" t="str">
        <f t="shared" si="21"/>
        <v/>
      </c>
      <c r="C3568" s="59" t="str">
        <f t="shared" si="22"/>
        <v/>
      </c>
      <c r="D3568" s="45" t="str">
        <f t="shared" si="23"/>
        <v/>
      </c>
      <c r="E3568" s="45" t="str">
        <f t="shared" si="24"/>
        <v/>
      </c>
      <c r="F3568" s="59" t="str">
        <f t="shared" si="25"/>
        <v/>
      </c>
      <c r="G3568" s="59" t="str">
        <f t="shared" si="26"/>
        <v/>
      </c>
      <c r="H3568" s="59" t="str">
        <f t="shared" si="27"/>
        <v>28H00609</v>
      </c>
      <c r="I3568" s="59" t="str">
        <f>IF(OR($A3568="",$C3568="",$D3568="",$E3568="",$H3568=""),"",SUMIFS(DATA_GOC!$H:$H,DATA_GOC!$A:$A,"BOM",DATA_GOC!$D:$D,$H3568,DATA_GOC!$E:$E,$C3568,DATA_GOC!$F:$F,"Xuất nội bộ từ téc",DATA_GOC!$B:$B,"&gt;="&amp;$D3568,DATA_GOC!$B:$B,"&lt;="&amp;$E3568))</f>
        <v/>
      </c>
      <c r="J3568" s="59">
        <f t="shared" si="28"/>
        <v>0</v>
      </c>
      <c r="K3568" s="59">
        <f t="shared" si="29"/>
        <v>0</v>
      </c>
      <c r="L3568" s="59">
        <f t="shared" si="30"/>
        <v>0</v>
      </c>
      <c r="M3568" s="59">
        <f t="shared" si="31"/>
        <v>0</v>
      </c>
    </row>
    <row r="3569" ht="15.0" hidden="1" customHeight="1">
      <c r="A3569" s="59">
        <f t="shared" si="20"/>
        <v>56</v>
      </c>
      <c r="B3569" s="59" t="str">
        <f t="shared" si="21"/>
        <v/>
      </c>
      <c r="C3569" s="59" t="str">
        <f t="shared" si="22"/>
        <v/>
      </c>
      <c r="D3569" s="45" t="str">
        <f t="shared" si="23"/>
        <v/>
      </c>
      <c r="E3569" s="45" t="str">
        <f t="shared" si="24"/>
        <v/>
      </c>
      <c r="F3569" s="59" t="str">
        <f t="shared" si="25"/>
        <v/>
      </c>
      <c r="G3569" s="59" t="str">
        <f t="shared" si="26"/>
        <v/>
      </c>
      <c r="H3569" s="59" t="str">
        <f t="shared" si="27"/>
        <v>28H00669</v>
      </c>
      <c r="I3569" s="59" t="str">
        <f>IF(OR($A3569="",$C3569="",$D3569="",$E3569="",$H3569=""),"",SUMIFS(DATA_GOC!$H:$H,DATA_GOC!$A:$A,"BOM",DATA_GOC!$D:$D,$H3569,DATA_GOC!$E:$E,$C3569,DATA_GOC!$F:$F,"Xuất nội bộ từ téc",DATA_GOC!$B:$B,"&gt;="&amp;$D3569,DATA_GOC!$B:$B,"&lt;="&amp;$E3569))</f>
        <v/>
      </c>
      <c r="J3569" s="59">
        <f t="shared" si="28"/>
        <v>0</v>
      </c>
      <c r="K3569" s="59">
        <f t="shared" si="29"/>
        <v>0</v>
      </c>
      <c r="L3569" s="59">
        <f t="shared" si="30"/>
        <v>0</v>
      </c>
      <c r="M3569" s="59">
        <f t="shared" si="31"/>
        <v>0</v>
      </c>
    </row>
    <row r="3570" ht="15.0" hidden="1" customHeight="1">
      <c r="A3570" s="59">
        <f t="shared" si="20"/>
        <v>56</v>
      </c>
      <c r="B3570" s="59" t="str">
        <f t="shared" si="21"/>
        <v/>
      </c>
      <c r="C3570" s="59" t="str">
        <f t="shared" si="22"/>
        <v/>
      </c>
      <c r="D3570" s="45" t="str">
        <f t="shared" si="23"/>
        <v/>
      </c>
      <c r="E3570" s="45" t="str">
        <f t="shared" si="24"/>
        <v/>
      </c>
      <c r="F3570" s="59" t="str">
        <f t="shared" si="25"/>
        <v/>
      </c>
      <c r="G3570" s="59" t="str">
        <f t="shared" si="26"/>
        <v/>
      </c>
      <c r="H3570" s="59" t="str">
        <f t="shared" si="27"/>
        <v>28H00680</v>
      </c>
      <c r="I3570" s="59" t="str">
        <f>IF(OR($A3570="",$C3570="",$D3570="",$E3570="",$H3570=""),"",SUMIFS(DATA_GOC!$H:$H,DATA_GOC!$A:$A,"BOM",DATA_GOC!$D:$D,$H3570,DATA_GOC!$E:$E,$C3570,DATA_GOC!$F:$F,"Xuất nội bộ từ téc",DATA_GOC!$B:$B,"&gt;="&amp;$D3570,DATA_GOC!$B:$B,"&lt;="&amp;$E3570))</f>
        <v/>
      </c>
      <c r="J3570" s="59">
        <f t="shared" si="28"/>
        <v>0</v>
      </c>
      <c r="K3570" s="59">
        <f t="shared" si="29"/>
        <v>0</v>
      </c>
      <c r="L3570" s="59">
        <f t="shared" si="30"/>
        <v>0</v>
      </c>
      <c r="M3570" s="59">
        <f t="shared" si="31"/>
        <v>0</v>
      </c>
    </row>
    <row r="3571" ht="15.0" hidden="1" customHeight="1">
      <c r="A3571" s="59">
        <f t="shared" si="20"/>
        <v>56</v>
      </c>
      <c r="B3571" s="59" t="str">
        <f t="shared" si="21"/>
        <v/>
      </c>
      <c r="C3571" s="59" t="str">
        <f t="shared" si="22"/>
        <v/>
      </c>
      <c r="D3571" s="45" t="str">
        <f t="shared" si="23"/>
        <v/>
      </c>
      <c r="E3571" s="45" t="str">
        <f t="shared" si="24"/>
        <v/>
      </c>
      <c r="F3571" s="59" t="str">
        <f t="shared" si="25"/>
        <v/>
      </c>
      <c r="G3571" s="59" t="str">
        <f t="shared" si="26"/>
        <v/>
      </c>
      <c r="H3571" s="59" t="str">
        <f t="shared" si="27"/>
        <v>28H01070</v>
      </c>
      <c r="I3571" s="59" t="str">
        <f>IF(OR($A3571="",$C3571="",$D3571="",$E3571="",$H3571=""),"",SUMIFS(DATA_GOC!$H:$H,DATA_GOC!$A:$A,"BOM",DATA_GOC!$D:$D,$H3571,DATA_GOC!$E:$E,$C3571,DATA_GOC!$F:$F,"Xuất nội bộ từ téc",DATA_GOC!$B:$B,"&gt;="&amp;$D3571,DATA_GOC!$B:$B,"&lt;="&amp;$E3571))</f>
        <v/>
      </c>
      <c r="J3571" s="59">
        <f t="shared" si="28"/>
        <v>0</v>
      </c>
      <c r="K3571" s="59">
        <f t="shared" si="29"/>
        <v>0</v>
      </c>
      <c r="L3571" s="59">
        <f t="shared" si="30"/>
        <v>0</v>
      </c>
      <c r="M3571" s="59">
        <f t="shared" si="31"/>
        <v>0</v>
      </c>
    </row>
    <row r="3572" ht="15.0" hidden="1" customHeight="1">
      <c r="A3572" s="59">
        <f t="shared" si="20"/>
        <v>56</v>
      </c>
      <c r="B3572" s="59" t="str">
        <f t="shared" si="21"/>
        <v/>
      </c>
      <c r="C3572" s="59" t="str">
        <f t="shared" si="22"/>
        <v/>
      </c>
      <c r="D3572" s="45" t="str">
        <f t="shared" si="23"/>
        <v/>
      </c>
      <c r="E3572" s="45" t="str">
        <f t="shared" si="24"/>
        <v/>
      </c>
      <c r="F3572" s="59" t="str">
        <f t="shared" si="25"/>
        <v/>
      </c>
      <c r="G3572" s="59" t="str">
        <f t="shared" si="26"/>
        <v/>
      </c>
      <c r="H3572" s="59" t="str">
        <f t="shared" si="27"/>
        <v>28H01364</v>
      </c>
      <c r="I3572" s="59" t="str">
        <f>IF(OR($A3572="",$C3572="",$D3572="",$E3572="",$H3572=""),"",SUMIFS(DATA_GOC!$H:$H,DATA_GOC!$A:$A,"BOM",DATA_GOC!$D:$D,$H3572,DATA_GOC!$E:$E,$C3572,DATA_GOC!$F:$F,"Xuất nội bộ từ téc",DATA_GOC!$B:$B,"&gt;="&amp;$D3572,DATA_GOC!$B:$B,"&lt;="&amp;$E3572))</f>
        <v/>
      </c>
      <c r="J3572" s="59">
        <f t="shared" si="28"/>
        <v>0</v>
      </c>
      <c r="K3572" s="59">
        <f t="shared" si="29"/>
        <v>0</v>
      </c>
      <c r="L3572" s="59">
        <f t="shared" si="30"/>
        <v>0</v>
      </c>
      <c r="M3572" s="59">
        <f t="shared" si="31"/>
        <v>0</v>
      </c>
    </row>
    <row r="3573" ht="15.0" hidden="1" customHeight="1">
      <c r="A3573" s="59">
        <f t="shared" si="20"/>
        <v>56</v>
      </c>
      <c r="B3573" s="59" t="str">
        <f t="shared" si="21"/>
        <v/>
      </c>
      <c r="C3573" s="59" t="str">
        <f t="shared" si="22"/>
        <v/>
      </c>
      <c r="D3573" s="45" t="str">
        <f t="shared" si="23"/>
        <v/>
      </c>
      <c r="E3573" s="45" t="str">
        <f t="shared" si="24"/>
        <v/>
      </c>
      <c r="F3573" s="59" t="str">
        <f t="shared" si="25"/>
        <v/>
      </c>
      <c r="G3573" s="59" t="str">
        <f t="shared" si="26"/>
        <v/>
      </c>
      <c r="H3573" s="59" t="str">
        <f t="shared" si="27"/>
        <v>29E17269</v>
      </c>
      <c r="I3573" s="59" t="str">
        <f>IF(OR($A3573="",$C3573="",$D3573="",$E3573="",$H3573=""),"",SUMIFS(DATA_GOC!$H:$H,DATA_GOC!$A:$A,"BOM",DATA_GOC!$D:$D,$H3573,DATA_GOC!$E:$E,$C3573,DATA_GOC!$F:$F,"Xuất nội bộ từ téc",DATA_GOC!$B:$B,"&gt;="&amp;$D3573,DATA_GOC!$B:$B,"&lt;="&amp;$E3573))</f>
        <v/>
      </c>
      <c r="J3573" s="59">
        <f t="shared" si="28"/>
        <v>0</v>
      </c>
      <c r="K3573" s="59">
        <f t="shared" si="29"/>
        <v>0</v>
      </c>
      <c r="L3573" s="59">
        <f t="shared" si="30"/>
        <v>0</v>
      </c>
      <c r="M3573" s="59">
        <f t="shared" si="31"/>
        <v>0</v>
      </c>
    </row>
    <row r="3574" ht="15.0" hidden="1" customHeight="1">
      <c r="A3574" s="59">
        <f t="shared" si="20"/>
        <v>56</v>
      </c>
      <c r="B3574" s="59" t="str">
        <f t="shared" si="21"/>
        <v/>
      </c>
      <c r="C3574" s="59" t="str">
        <f t="shared" si="22"/>
        <v/>
      </c>
      <c r="D3574" s="45" t="str">
        <f t="shared" si="23"/>
        <v/>
      </c>
      <c r="E3574" s="45" t="str">
        <f t="shared" si="24"/>
        <v/>
      </c>
      <c r="F3574" s="59" t="str">
        <f t="shared" si="25"/>
        <v/>
      </c>
      <c r="G3574" s="59" t="str">
        <f t="shared" si="26"/>
        <v/>
      </c>
      <c r="H3574" s="59" t="str">
        <f t="shared" si="27"/>
        <v>29E17273</v>
      </c>
      <c r="I3574" s="59" t="str">
        <f>IF(OR($A3574="",$C3574="",$D3574="",$E3574="",$H3574=""),"",SUMIFS(DATA_GOC!$H:$H,DATA_GOC!$A:$A,"BOM",DATA_GOC!$D:$D,$H3574,DATA_GOC!$E:$E,$C3574,DATA_GOC!$F:$F,"Xuất nội bộ từ téc",DATA_GOC!$B:$B,"&gt;="&amp;$D3574,DATA_GOC!$B:$B,"&lt;="&amp;$E3574))</f>
        <v/>
      </c>
      <c r="J3574" s="59">
        <f t="shared" si="28"/>
        <v>0</v>
      </c>
      <c r="K3574" s="59">
        <f t="shared" si="29"/>
        <v>0</v>
      </c>
      <c r="L3574" s="59">
        <f t="shared" si="30"/>
        <v>0</v>
      </c>
      <c r="M3574" s="59">
        <f t="shared" si="31"/>
        <v>0</v>
      </c>
    </row>
    <row r="3575" ht="15.0" hidden="1" customHeight="1">
      <c r="A3575" s="59">
        <f t="shared" si="20"/>
        <v>56</v>
      </c>
      <c r="B3575" s="59" t="str">
        <f t="shared" si="21"/>
        <v/>
      </c>
      <c r="C3575" s="59" t="str">
        <f t="shared" si="22"/>
        <v/>
      </c>
      <c r="D3575" s="45" t="str">
        <f t="shared" si="23"/>
        <v/>
      </c>
      <c r="E3575" s="45" t="str">
        <f t="shared" si="24"/>
        <v/>
      </c>
      <c r="F3575" s="59" t="str">
        <f t="shared" si="25"/>
        <v/>
      </c>
      <c r="G3575" s="59" t="str">
        <f t="shared" si="26"/>
        <v/>
      </c>
      <c r="H3575" s="59" t="str">
        <f t="shared" si="27"/>
        <v>29E17410</v>
      </c>
      <c r="I3575" s="59" t="str">
        <f>IF(OR($A3575="",$C3575="",$D3575="",$E3575="",$H3575=""),"",SUMIFS(DATA_GOC!$H:$H,DATA_GOC!$A:$A,"BOM",DATA_GOC!$D:$D,$H3575,DATA_GOC!$E:$E,$C3575,DATA_GOC!$F:$F,"Xuất nội bộ từ téc",DATA_GOC!$B:$B,"&gt;="&amp;$D3575,DATA_GOC!$B:$B,"&lt;="&amp;$E3575))</f>
        <v/>
      </c>
      <c r="J3575" s="59">
        <f t="shared" si="28"/>
        <v>0</v>
      </c>
      <c r="K3575" s="59">
        <f t="shared" si="29"/>
        <v>0</v>
      </c>
      <c r="L3575" s="59">
        <f t="shared" si="30"/>
        <v>0</v>
      </c>
      <c r="M3575" s="59">
        <f t="shared" si="31"/>
        <v>0</v>
      </c>
    </row>
    <row r="3576" ht="15.0" hidden="1" customHeight="1">
      <c r="A3576" s="59">
        <f t="shared" si="20"/>
        <v>56</v>
      </c>
      <c r="B3576" s="59" t="str">
        <f t="shared" si="21"/>
        <v/>
      </c>
      <c r="C3576" s="59" t="str">
        <f t="shared" si="22"/>
        <v/>
      </c>
      <c r="D3576" s="45" t="str">
        <f t="shared" si="23"/>
        <v/>
      </c>
      <c r="E3576" s="45" t="str">
        <f t="shared" si="24"/>
        <v/>
      </c>
      <c r="F3576" s="59" t="str">
        <f t="shared" si="25"/>
        <v/>
      </c>
      <c r="G3576" s="59" t="str">
        <f t="shared" si="26"/>
        <v/>
      </c>
      <c r="H3576" s="59" t="str">
        <f t="shared" si="27"/>
        <v>29E17417</v>
      </c>
      <c r="I3576" s="59" t="str">
        <f>IF(OR($A3576="",$C3576="",$D3576="",$E3576="",$H3576=""),"",SUMIFS(DATA_GOC!$H:$H,DATA_GOC!$A:$A,"BOM",DATA_GOC!$D:$D,$H3576,DATA_GOC!$E:$E,$C3576,DATA_GOC!$F:$F,"Xuất nội bộ từ téc",DATA_GOC!$B:$B,"&gt;="&amp;$D3576,DATA_GOC!$B:$B,"&lt;="&amp;$E3576))</f>
        <v/>
      </c>
      <c r="J3576" s="59">
        <f t="shared" si="28"/>
        <v>0</v>
      </c>
      <c r="K3576" s="59">
        <f t="shared" si="29"/>
        <v>0</v>
      </c>
      <c r="L3576" s="59">
        <f t="shared" si="30"/>
        <v>0</v>
      </c>
      <c r="M3576" s="59">
        <f t="shared" si="31"/>
        <v>0</v>
      </c>
    </row>
    <row r="3577" ht="15.0" hidden="1" customHeight="1">
      <c r="A3577" s="59">
        <f t="shared" si="20"/>
        <v>56</v>
      </c>
      <c r="B3577" s="59" t="str">
        <f t="shared" si="21"/>
        <v/>
      </c>
      <c r="C3577" s="59" t="str">
        <f t="shared" si="22"/>
        <v/>
      </c>
      <c r="D3577" s="45" t="str">
        <f t="shared" si="23"/>
        <v/>
      </c>
      <c r="E3577" s="45" t="str">
        <f t="shared" si="24"/>
        <v/>
      </c>
      <c r="F3577" s="59" t="str">
        <f t="shared" si="25"/>
        <v/>
      </c>
      <c r="G3577" s="59" t="str">
        <f t="shared" si="26"/>
        <v/>
      </c>
      <c r="H3577" s="59" t="str">
        <f t="shared" si="27"/>
        <v>29E17539</v>
      </c>
      <c r="I3577" s="59" t="str">
        <f>IF(OR($A3577="",$C3577="",$D3577="",$E3577="",$H3577=""),"",SUMIFS(DATA_GOC!$H:$H,DATA_GOC!$A:$A,"BOM",DATA_GOC!$D:$D,$H3577,DATA_GOC!$E:$E,$C3577,DATA_GOC!$F:$F,"Xuất nội bộ từ téc",DATA_GOC!$B:$B,"&gt;="&amp;$D3577,DATA_GOC!$B:$B,"&lt;="&amp;$E3577))</f>
        <v/>
      </c>
      <c r="J3577" s="59">
        <f t="shared" si="28"/>
        <v>0</v>
      </c>
      <c r="K3577" s="59">
        <f t="shared" si="29"/>
        <v>0</v>
      </c>
      <c r="L3577" s="59">
        <f t="shared" si="30"/>
        <v>0</v>
      </c>
      <c r="M3577" s="59">
        <f t="shared" si="31"/>
        <v>0</v>
      </c>
    </row>
    <row r="3578" ht="15.0" hidden="1" customHeight="1">
      <c r="A3578" s="59">
        <f t="shared" si="20"/>
        <v>56</v>
      </c>
      <c r="B3578" s="59" t="str">
        <f t="shared" si="21"/>
        <v/>
      </c>
      <c r="C3578" s="59" t="str">
        <f t="shared" si="22"/>
        <v/>
      </c>
      <c r="D3578" s="45" t="str">
        <f t="shared" si="23"/>
        <v/>
      </c>
      <c r="E3578" s="45" t="str">
        <f t="shared" si="24"/>
        <v/>
      </c>
      <c r="F3578" s="59" t="str">
        <f t="shared" si="25"/>
        <v/>
      </c>
      <c r="G3578" s="59" t="str">
        <f t="shared" si="26"/>
        <v/>
      </c>
      <c r="H3578" s="59" t="str">
        <f t="shared" si="27"/>
        <v>29E18160</v>
      </c>
      <c r="I3578" s="59" t="str">
        <f>IF(OR($A3578="",$C3578="",$D3578="",$E3578="",$H3578=""),"",SUMIFS(DATA_GOC!$H:$H,DATA_GOC!$A:$A,"BOM",DATA_GOC!$D:$D,$H3578,DATA_GOC!$E:$E,$C3578,DATA_GOC!$F:$F,"Xuất nội bộ từ téc",DATA_GOC!$B:$B,"&gt;="&amp;$D3578,DATA_GOC!$B:$B,"&lt;="&amp;$E3578))</f>
        <v/>
      </c>
      <c r="J3578" s="59">
        <f t="shared" si="28"/>
        <v>0</v>
      </c>
      <c r="K3578" s="59">
        <f t="shared" si="29"/>
        <v>0</v>
      </c>
      <c r="L3578" s="59">
        <f t="shared" si="30"/>
        <v>0</v>
      </c>
      <c r="M3578" s="59">
        <f t="shared" si="31"/>
        <v>0</v>
      </c>
    </row>
    <row r="3579" ht="15.0" hidden="1" customHeight="1">
      <c r="A3579" s="59">
        <f t="shared" si="20"/>
        <v>56</v>
      </c>
      <c r="B3579" s="59" t="str">
        <f t="shared" si="21"/>
        <v/>
      </c>
      <c r="C3579" s="59" t="str">
        <f t="shared" si="22"/>
        <v/>
      </c>
      <c r="D3579" s="45" t="str">
        <f t="shared" si="23"/>
        <v/>
      </c>
      <c r="E3579" s="45" t="str">
        <f t="shared" si="24"/>
        <v/>
      </c>
      <c r="F3579" s="59" t="str">
        <f t="shared" si="25"/>
        <v/>
      </c>
      <c r="G3579" s="59" t="str">
        <f t="shared" si="26"/>
        <v/>
      </c>
      <c r="H3579" s="59" t="str">
        <f t="shared" si="27"/>
        <v>Công trình Asphalt</v>
      </c>
      <c r="I3579" s="59" t="str">
        <f>IF(OR($A3579="",$C3579="",$D3579="",$E3579="",$H3579=""),"",SUMIFS(DATA_GOC!$H:$H,DATA_GOC!$A:$A,"BOM",DATA_GOC!$D:$D,$H3579,DATA_GOC!$E:$E,$C3579,DATA_GOC!$F:$F,"Xuất nội bộ từ téc",DATA_GOC!$B:$B,"&gt;="&amp;$D3579,DATA_GOC!$B:$B,"&lt;="&amp;$E3579))</f>
        <v/>
      </c>
      <c r="J3579" s="59">
        <f t="shared" si="28"/>
        <v>0</v>
      </c>
      <c r="K3579" s="59">
        <f t="shared" si="29"/>
        <v>0</v>
      </c>
      <c r="L3579" s="59">
        <f t="shared" si="30"/>
        <v>0</v>
      </c>
      <c r="M3579" s="59">
        <f t="shared" si="31"/>
        <v>0</v>
      </c>
    </row>
    <row r="3580" ht="15.0" hidden="1" customHeight="1">
      <c r="A3580" s="59">
        <f t="shared" si="20"/>
        <v>56</v>
      </c>
      <c r="B3580" s="59" t="str">
        <f t="shared" si="21"/>
        <v/>
      </c>
      <c r="C3580" s="59" t="str">
        <f t="shared" si="22"/>
        <v/>
      </c>
      <c r="D3580" s="45" t="str">
        <f t="shared" si="23"/>
        <v/>
      </c>
      <c r="E3580" s="45" t="str">
        <f t="shared" si="24"/>
        <v/>
      </c>
      <c r="F3580" s="59" t="str">
        <f t="shared" si="25"/>
        <v/>
      </c>
      <c r="G3580" s="59" t="str">
        <f t="shared" si="26"/>
        <v/>
      </c>
      <c r="H3580" s="59" t="str">
        <f t="shared" si="27"/>
        <v>LG53F</v>
      </c>
      <c r="I3580" s="59" t="str">
        <f>IF(OR($A3580="",$C3580="",$D3580="",$E3580="",$H3580=""),"",SUMIFS(DATA_GOC!$H:$H,DATA_GOC!$A:$A,"BOM",DATA_GOC!$D:$D,$H3580,DATA_GOC!$E:$E,$C3580,DATA_GOC!$F:$F,"Xuất nội bộ từ téc",DATA_GOC!$B:$B,"&gt;="&amp;$D3580,DATA_GOC!$B:$B,"&lt;="&amp;$E3580))</f>
        <v/>
      </c>
      <c r="J3580" s="59">
        <f t="shared" si="28"/>
        <v>0</v>
      </c>
      <c r="K3580" s="59">
        <f t="shared" si="29"/>
        <v>0</v>
      </c>
      <c r="L3580" s="59">
        <f t="shared" si="30"/>
        <v>0</v>
      </c>
      <c r="M3580" s="59">
        <f t="shared" si="31"/>
        <v>0</v>
      </c>
    </row>
    <row r="3581" ht="15.0" hidden="1" customHeight="1">
      <c r="A3581" s="59">
        <f t="shared" si="20"/>
        <v>56</v>
      </c>
      <c r="B3581" s="59" t="str">
        <f t="shared" si="21"/>
        <v/>
      </c>
      <c r="C3581" s="59" t="str">
        <f t="shared" si="22"/>
        <v/>
      </c>
      <c r="D3581" s="45" t="str">
        <f t="shared" si="23"/>
        <v/>
      </c>
      <c r="E3581" s="45" t="str">
        <f t="shared" si="24"/>
        <v/>
      </c>
      <c r="F3581" s="59" t="str">
        <f t="shared" si="25"/>
        <v/>
      </c>
      <c r="G3581" s="59" t="str">
        <f t="shared" si="26"/>
        <v/>
      </c>
      <c r="H3581" s="59" t="str">
        <f t="shared" si="27"/>
        <v>Máy phát điện</v>
      </c>
      <c r="I3581" s="59" t="str">
        <f>IF(OR($A3581="",$C3581="",$D3581="",$E3581="",$H3581=""),"",SUMIFS(DATA_GOC!$H:$H,DATA_GOC!$A:$A,"BOM",DATA_GOC!$D:$D,$H3581,DATA_GOC!$E:$E,$C3581,DATA_GOC!$F:$F,"Xuất nội bộ từ téc",DATA_GOC!$B:$B,"&gt;="&amp;$D3581,DATA_GOC!$B:$B,"&lt;="&amp;$E3581))</f>
        <v/>
      </c>
      <c r="J3581" s="59">
        <f t="shared" si="28"/>
        <v>0</v>
      </c>
      <c r="K3581" s="59">
        <f t="shared" si="29"/>
        <v>0</v>
      </c>
      <c r="L3581" s="59">
        <f t="shared" si="30"/>
        <v>0</v>
      </c>
      <c r="M3581" s="59">
        <f t="shared" si="31"/>
        <v>0</v>
      </c>
    </row>
    <row r="3582" ht="15.0" hidden="1" customHeight="1">
      <c r="A3582" s="59">
        <f t="shared" si="20"/>
        <v>56</v>
      </c>
      <c r="B3582" s="59" t="str">
        <f t="shared" si="21"/>
        <v/>
      </c>
      <c r="C3582" s="59" t="str">
        <f t="shared" si="22"/>
        <v/>
      </c>
      <c r="D3582" s="45" t="str">
        <f t="shared" si="23"/>
        <v/>
      </c>
      <c r="E3582" s="45" t="str">
        <f t="shared" si="24"/>
        <v/>
      </c>
      <c r="F3582" s="59" t="str">
        <f t="shared" si="25"/>
        <v/>
      </c>
      <c r="G3582" s="59" t="str">
        <f t="shared" si="26"/>
        <v/>
      </c>
      <c r="H3582" s="59" t="str">
        <f t="shared" si="27"/>
        <v>Máy rải thảm</v>
      </c>
      <c r="I3582" s="59" t="str">
        <f>IF(OR($A3582="",$C3582="",$D3582="",$E3582="",$H3582=""),"",SUMIFS(DATA_GOC!$H:$H,DATA_GOC!$A:$A,"BOM",DATA_GOC!$D:$D,$H3582,DATA_GOC!$E:$E,$C3582,DATA_GOC!$F:$F,"Xuất nội bộ từ téc",DATA_GOC!$B:$B,"&gt;="&amp;$D3582,DATA_GOC!$B:$B,"&lt;="&amp;$E3582))</f>
        <v/>
      </c>
      <c r="J3582" s="59">
        <f t="shared" si="28"/>
        <v>0</v>
      </c>
      <c r="K3582" s="59">
        <f t="shared" si="29"/>
        <v>0</v>
      </c>
      <c r="L3582" s="59">
        <f t="shared" si="30"/>
        <v>0</v>
      </c>
      <c r="M3582" s="59">
        <f t="shared" si="31"/>
        <v>0</v>
      </c>
    </row>
    <row r="3583" ht="15.0" hidden="1" customHeight="1">
      <c r="A3583" s="59">
        <f t="shared" si="20"/>
        <v>56</v>
      </c>
      <c r="B3583" s="59" t="str">
        <f t="shared" si="21"/>
        <v/>
      </c>
      <c r="C3583" s="59" t="str">
        <f t="shared" si="22"/>
        <v/>
      </c>
      <c r="D3583" s="45" t="str">
        <f t="shared" si="23"/>
        <v/>
      </c>
      <c r="E3583" s="45" t="str">
        <f t="shared" si="24"/>
        <v/>
      </c>
      <c r="F3583" s="59" t="str">
        <f t="shared" si="25"/>
        <v/>
      </c>
      <c r="G3583" s="59" t="str">
        <f t="shared" si="26"/>
        <v/>
      </c>
      <c r="H3583" s="59" t="str">
        <f t="shared" si="27"/>
        <v>Xúc Đào</v>
      </c>
      <c r="I3583" s="59" t="str">
        <f>IF(OR($A3583="",$C3583="",$D3583="",$E3583="",$H3583=""),"",SUMIFS(DATA_GOC!$H:$H,DATA_GOC!$A:$A,"BOM",DATA_GOC!$D:$D,$H3583,DATA_GOC!$E:$E,$C3583,DATA_GOC!$F:$F,"Xuất nội bộ từ téc",DATA_GOC!$B:$B,"&gt;="&amp;$D3583,DATA_GOC!$B:$B,"&lt;="&amp;$E3583))</f>
        <v/>
      </c>
      <c r="J3583" s="59">
        <f t="shared" si="28"/>
        <v>0</v>
      </c>
      <c r="K3583" s="59">
        <f t="shared" si="29"/>
        <v>0</v>
      </c>
      <c r="L3583" s="59">
        <f t="shared" si="30"/>
        <v>0</v>
      </c>
      <c r="M3583" s="59">
        <f t="shared" si="31"/>
        <v>0</v>
      </c>
    </row>
    <row r="3584" ht="15.0" hidden="1" customHeight="1">
      <c r="A3584" s="59">
        <f t="shared" si="20"/>
        <v>56</v>
      </c>
      <c r="B3584" s="59" t="str">
        <f t="shared" si="21"/>
        <v/>
      </c>
      <c r="C3584" s="59" t="str">
        <f t="shared" si="22"/>
        <v/>
      </c>
      <c r="D3584" s="45" t="str">
        <f t="shared" si="23"/>
        <v/>
      </c>
      <c r="E3584" s="45" t="str">
        <f t="shared" si="24"/>
        <v/>
      </c>
      <c r="F3584" s="59" t="str">
        <f t="shared" si="25"/>
        <v/>
      </c>
      <c r="G3584" s="59" t="str">
        <f t="shared" si="26"/>
        <v/>
      </c>
      <c r="H3584" s="59" t="str">
        <f t="shared" si="27"/>
        <v>Xúclật asphalt</v>
      </c>
      <c r="I3584" s="59" t="str">
        <f>IF(OR($A3584="",$C3584="",$D3584="",$E3584="",$H3584=""),"",SUMIFS(DATA_GOC!$H:$H,DATA_GOC!$A:$A,"BOM",DATA_GOC!$D:$D,$H3584,DATA_GOC!$E:$E,$C3584,DATA_GOC!$F:$F,"Xuất nội bộ từ téc",DATA_GOC!$B:$B,"&gt;="&amp;$D3584,DATA_GOC!$B:$B,"&lt;="&amp;$E3584))</f>
        <v/>
      </c>
      <c r="J3584" s="59">
        <f t="shared" si="28"/>
        <v>0</v>
      </c>
      <c r="K3584" s="59">
        <f t="shared" si="29"/>
        <v>0</v>
      </c>
      <c r="L3584" s="59">
        <f t="shared" si="30"/>
        <v>0</v>
      </c>
      <c r="M3584" s="59">
        <f t="shared" si="31"/>
        <v>0</v>
      </c>
    </row>
    <row r="3585" ht="15.0" hidden="1" customHeight="1">
      <c r="A3585" s="59">
        <f t="shared" si="20"/>
        <v>56</v>
      </c>
      <c r="B3585" s="59" t="str">
        <f t="shared" si="21"/>
        <v/>
      </c>
      <c r="C3585" s="59" t="str">
        <f t="shared" si="22"/>
        <v/>
      </c>
      <c r="D3585" s="45" t="str">
        <f t="shared" si="23"/>
        <v/>
      </c>
      <c r="E3585" s="45" t="str">
        <f t="shared" si="24"/>
        <v/>
      </c>
      <c r="F3585" s="59" t="str">
        <f t="shared" si="25"/>
        <v/>
      </c>
      <c r="G3585" s="59" t="str">
        <f t="shared" si="26"/>
        <v/>
      </c>
      <c r="H3585" s="59" t="str">
        <f t="shared" si="27"/>
        <v>Xúclật855H</v>
      </c>
      <c r="I3585" s="59" t="str">
        <f>IF(OR($A3585="",$C3585="",$D3585="",$E3585="",$H3585=""),"",SUMIFS(DATA_GOC!$H:$H,DATA_GOC!$A:$A,"BOM",DATA_GOC!$D:$D,$H3585,DATA_GOC!$E:$E,$C3585,DATA_GOC!$F:$F,"Xuất nội bộ từ téc",DATA_GOC!$B:$B,"&gt;="&amp;$D3585,DATA_GOC!$B:$B,"&lt;="&amp;$E3585))</f>
        <v/>
      </c>
      <c r="J3585" s="59">
        <f t="shared" si="28"/>
        <v>0</v>
      </c>
      <c r="K3585" s="59">
        <f t="shared" si="29"/>
        <v>0</v>
      </c>
      <c r="L3585" s="59">
        <f t="shared" si="30"/>
        <v>0</v>
      </c>
      <c r="M3585" s="59">
        <f t="shared" si="31"/>
        <v>0</v>
      </c>
    </row>
    <row r="3586" ht="15.0" hidden="1" customHeight="1">
      <c r="A3586" s="59">
        <f t="shared" si="20"/>
        <v>56</v>
      </c>
      <c r="B3586" s="59" t="str">
        <f t="shared" si="21"/>
        <v/>
      </c>
      <c r="C3586" s="59" t="str">
        <f t="shared" si="22"/>
        <v/>
      </c>
      <c r="D3586" s="45" t="str">
        <f t="shared" si="23"/>
        <v/>
      </c>
      <c r="E3586" s="45" t="str">
        <f t="shared" si="24"/>
        <v/>
      </c>
      <c r="F3586" s="59" t="str">
        <f t="shared" si="25"/>
        <v/>
      </c>
      <c r="G3586" s="59" t="str">
        <f t="shared" si="26"/>
        <v/>
      </c>
      <c r="H3586" s="59" t="str">
        <f t="shared" si="27"/>
        <v>Xúclật855N</v>
      </c>
      <c r="I3586" s="59" t="str">
        <f>IF(OR($A3586="",$C3586="",$D3586="",$E3586="",$H3586=""),"",SUMIFS(DATA_GOC!$H:$H,DATA_GOC!$A:$A,"BOM",DATA_GOC!$D:$D,$H3586,DATA_GOC!$E:$E,$C3586,DATA_GOC!$F:$F,"Xuất nội bộ từ téc",DATA_GOC!$B:$B,"&gt;="&amp;$D3586,DATA_GOC!$B:$B,"&lt;="&amp;$E3586))</f>
        <v/>
      </c>
      <c r="J3586" s="59">
        <f t="shared" si="28"/>
        <v>0</v>
      </c>
      <c r="K3586" s="59">
        <f t="shared" si="29"/>
        <v>0</v>
      </c>
      <c r="L3586" s="59">
        <f t="shared" si="30"/>
        <v>0</v>
      </c>
      <c r="M3586" s="59">
        <f t="shared" si="31"/>
        <v>0</v>
      </c>
    </row>
    <row r="3587" ht="15.0" hidden="1" customHeight="1">
      <c r="A3587" s="59">
        <f t="shared" si="20"/>
        <v>56</v>
      </c>
      <c r="B3587" s="59" t="str">
        <f t="shared" si="21"/>
        <v/>
      </c>
      <c r="C3587" s="59" t="str">
        <f t="shared" si="22"/>
        <v/>
      </c>
      <c r="D3587" s="45" t="str">
        <f t="shared" si="23"/>
        <v/>
      </c>
      <c r="E3587" s="45" t="str">
        <f t="shared" si="24"/>
        <v/>
      </c>
      <c r="F3587" s="59" t="str">
        <f t="shared" si="25"/>
        <v/>
      </c>
      <c r="G3587" s="59" t="str">
        <f t="shared" si="26"/>
        <v/>
      </c>
      <c r="H3587" s="59" t="str">
        <f t="shared" si="27"/>
        <v>Cát nghiền</v>
      </c>
      <c r="I3587" s="59" t="str">
        <f>IF(OR($A3587="",$C3587="",$D3587="",$E3587="",$H3587=""),"",SUMIFS(DATA_GOC!$H:$H,DATA_GOC!$A:$A,"BOM",DATA_GOC!$D:$D,$H3587,DATA_GOC!$E:$E,$C3587,DATA_GOC!$F:$F,"Xuất nội bộ từ téc",DATA_GOC!$B:$B,"&gt;="&amp;$D3587,DATA_GOC!$B:$B,"&lt;="&amp;$E3587))</f>
        <v/>
      </c>
      <c r="J3587" s="59">
        <f t="shared" si="28"/>
        <v>0</v>
      </c>
      <c r="K3587" s="59">
        <f t="shared" si="29"/>
        <v>0</v>
      </c>
      <c r="L3587" s="59">
        <f t="shared" si="30"/>
        <v>0</v>
      </c>
      <c r="M3587" s="59">
        <f t="shared" si="31"/>
        <v>0</v>
      </c>
    </row>
    <row r="3588" ht="15.0" hidden="1" customHeight="1">
      <c r="A3588" s="59">
        <f t="shared" si="20"/>
        <v>56</v>
      </c>
      <c r="B3588" s="59" t="str">
        <f t="shared" si="21"/>
        <v/>
      </c>
      <c r="C3588" s="59" t="str">
        <f t="shared" si="22"/>
        <v/>
      </c>
      <c r="D3588" s="45" t="str">
        <f t="shared" si="23"/>
        <v/>
      </c>
      <c r="E3588" s="45" t="str">
        <f t="shared" si="24"/>
        <v/>
      </c>
      <c r="F3588" s="59" t="str">
        <f t="shared" si="25"/>
        <v/>
      </c>
      <c r="G3588" s="59" t="str">
        <f t="shared" si="26"/>
        <v/>
      </c>
      <c r="H3588" s="59" t="str">
        <f t="shared" si="27"/>
        <v>28C02973</v>
      </c>
      <c r="I3588" s="59" t="str">
        <f>IF(OR($A3588="",$C3588="",$D3588="",$E3588="",$H3588=""),"",SUMIFS(DATA_GOC!$H:$H,DATA_GOC!$A:$A,"BOM",DATA_GOC!$D:$D,$H3588,DATA_GOC!$E:$E,$C3588,DATA_GOC!$F:$F,"Xuất nội bộ từ téc",DATA_GOC!$B:$B,"&gt;="&amp;$D3588,DATA_GOC!$B:$B,"&lt;="&amp;$E3588))</f>
        <v/>
      </c>
      <c r="J3588" s="59">
        <f t="shared" si="28"/>
        <v>0</v>
      </c>
      <c r="K3588" s="59">
        <f t="shared" si="29"/>
        <v>0</v>
      </c>
      <c r="L3588" s="59">
        <f t="shared" si="30"/>
        <v>0</v>
      </c>
      <c r="M3588" s="59">
        <f t="shared" si="31"/>
        <v>0</v>
      </c>
    </row>
    <row r="3589" ht="15.0" hidden="1" customHeight="1">
      <c r="A3589" s="59">
        <f t="shared" si="20"/>
        <v>56</v>
      </c>
      <c r="B3589" s="59" t="str">
        <f t="shared" si="21"/>
        <v/>
      </c>
      <c r="C3589" s="59" t="str">
        <f t="shared" si="22"/>
        <v/>
      </c>
      <c r="D3589" s="45" t="str">
        <f t="shared" si="23"/>
        <v/>
      </c>
      <c r="E3589" s="45" t="str">
        <f t="shared" si="24"/>
        <v/>
      </c>
      <c r="F3589" s="59" t="str">
        <f t="shared" si="25"/>
        <v/>
      </c>
      <c r="G3589" s="59" t="str">
        <f t="shared" si="26"/>
        <v/>
      </c>
      <c r="H3589" s="59" t="str">
        <f t="shared" si="27"/>
        <v>28C03044</v>
      </c>
      <c r="I3589" s="59" t="str">
        <f>IF(OR($A3589="",$C3589="",$D3589="",$E3589="",$H3589=""),"",SUMIFS(DATA_GOC!$H:$H,DATA_GOC!$A:$A,"BOM",DATA_GOC!$D:$D,$H3589,DATA_GOC!$E:$E,$C3589,DATA_GOC!$F:$F,"Xuất nội bộ từ téc",DATA_GOC!$B:$B,"&gt;="&amp;$D3589,DATA_GOC!$B:$B,"&lt;="&amp;$E3589))</f>
        <v/>
      </c>
      <c r="J3589" s="59">
        <f t="shared" si="28"/>
        <v>0</v>
      </c>
      <c r="K3589" s="59">
        <f t="shared" si="29"/>
        <v>0</v>
      </c>
      <c r="L3589" s="59">
        <f t="shared" si="30"/>
        <v>0</v>
      </c>
      <c r="M3589" s="59">
        <f t="shared" si="31"/>
        <v>0</v>
      </c>
    </row>
    <row r="3590" ht="15.0" hidden="1" customHeight="1">
      <c r="A3590" s="59">
        <f t="shared" si="20"/>
        <v>56</v>
      </c>
      <c r="B3590" s="59" t="str">
        <f t="shared" si="21"/>
        <v/>
      </c>
      <c r="C3590" s="59" t="str">
        <f t="shared" si="22"/>
        <v/>
      </c>
      <c r="D3590" s="45" t="str">
        <f t="shared" si="23"/>
        <v/>
      </c>
      <c r="E3590" s="45" t="str">
        <f t="shared" si="24"/>
        <v/>
      </c>
      <c r="F3590" s="59" t="str">
        <f t="shared" si="25"/>
        <v/>
      </c>
      <c r="G3590" s="59" t="str">
        <f t="shared" si="26"/>
        <v/>
      </c>
      <c r="H3590" s="59" t="str">
        <f t="shared" si="27"/>
        <v>Máy lu lốp</v>
      </c>
      <c r="I3590" s="59" t="str">
        <f>IF(OR($A3590="",$C3590="",$D3590="",$E3590="",$H3590=""),"",SUMIFS(DATA_GOC!$H:$H,DATA_GOC!$A:$A,"BOM",DATA_GOC!$D:$D,$H3590,DATA_GOC!$E:$E,$C3590,DATA_GOC!$F:$F,"Xuất nội bộ từ téc",DATA_GOC!$B:$B,"&gt;="&amp;$D3590,DATA_GOC!$B:$B,"&lt;="&amp;$E3590))</f>
        <v/>
      </c>
      <c r="J3590" s="59">
        <f t="shared" si="28"/>
        <v>0</v>
      </c>
      <c r="K3590" s="59">
        <f t="shared" si="29"/>
        <v>0</v>
      </c>
      <c r="L3590" s="59">
        <f t="shared" si="30"/>
        <v>0</v>
      </c>
      <c r="M3590" s="59">
        <f t="shared" si="31"/>
        <v>0</v>
      </c>
    </row>
    <row r="3591" ht="15.0" hidden="1" customHeight="1">
      <c r="A3591" s="59">
        <f t="shared" si="20"/>
        <v>56</v>
      </c>
      <c r="B3591" s="59" t="str">
        <f t="shared" si="21"/>
        <v/>
      </c>
      <c r="C3591" s="59" t="str">
        <f t="shared" si="22"/>
        <v/>
      </c>
      <c r="D3591" s="45" t="str">
        <f t="shared" si="23"/>
        <v/>
      </c>
      <c r="E3591" s="45" t="str">
        <f t="shared" si="24"/>
        <v/>
      </c>
      <c r="F3591" s="59" t="str">
        <f t="shared" si="25"/>
        <v/>
      </c>
      <c r="G3591" s="59" t="str">
        <f t="shared" si="26"/>
        <v/>
      </c>
      <c r="H3591" s="59" t="str">
        <f t="shared" si="27"/>
        <v>Xe 600148</v>
      </c>
      <c r="I3591" s="59" t="str">
        <f>IF(OR($A3591="",$C3591="",$D3591="",$E3591="",$H3591=""),"",SUMIFS(DATA_GOC!$H:$H,DATA_GOC!$A:$A,"BOM",DATA_GOC!$D:$D,$H3591,DATA_GOC!$E:$E,$C3591,DATA_GOC!$F:$F,"Xuất nội bộ từ téc",DATA_GOC!$B:$B,"&gt;="&amp;$D3591,DATA_GOC!$B:$B,"&lt;="&amp;$E3591))</f>
        <v/>
      </c>
      <c r="J3591" s="59">
        <f t="shared" si="28"/>
        <v>0</v>
      </c>
      <c r="K3591" s="59">
        <f t="shared" si="29"/>
        <v>0</v>
      </c>
      <c r="L3591" s="59">
        <f t="shared" si="30"/>
        <v>0</v>
      </c>
      <c r="M3591" s="59">
        <f t="shared" si="31"/>
        <v>0</v>
      </c>
    </row>
    <row r="3592" ht="15.0" hidden="1" customHeight="1">
      <c r="A3592" s="59">
        <f t="shared" si="20"/>
        <v>56</v>
      </c>
      <c r="B3592" s="59" t="str">
        <f t="shared" si="21"/>
        <v/>
      </c>
      <c r="C3592" s="59" t="str">
        <f t="shared" si="22"/>
        <v/>
      </c>
      <c r="D3592" s="45" t="str">
        <f t="shared" si="23"/>
        <v/>
      </c>
      <c r="E3592" s="45" t="str">
        <f t="shared" si="24"/>
        <v/>
      </c>
      <c r="F3592" s="59" t="str">
        <f t="shared" si="25"/>
        <v/>
      </c>
      <c r="G3592" s="59" t="str">
        <f t="shared" si="26"/>
        <v/>
      </c>
      <c r="H3592" s="59" t="str">
        <f t="shared" si="27"/>
        <v>Xe ben mới</v>
      </c>
      <c r="I3592" s="59" t="str">
        <f>IF(OR($A3592="",$C3592="",$D3592="",$E3592="",$H3592=""),"",SUMIFS(DATA_GOC!$H:$H,DATA_GOC!$A:$A,"BOM",DATA_GOC!$D:$D,$H3592,DATA_GOC!$E:$E,$C3592,DATA_GOC!$F:$F,"Xuất nội bộ từ téc",DATA_GOC!$B:$B,"&gt;="&amp;$D3592,DATA_GOC!$B:$B,"&lt;="&amp;$E3592))</f>
        <v/>
      </c>
      <c r="J3592" s="59">
        <f t="shared" si="28"/>
        <v>0</v>
      </c>
      <c r="K3592" s="59">
        <f t="shared" si="29"/>
        <v>0</v>
      </c>
      <c r="L3592" s="59">
        <f t="shared" si="30"/>
        <v>0</v>
      </c>
      <c r="M3592" s="59">
        <f t="shared" si="31"/>
        <v>0</v>
      </c>
    </row>
    <row r="3593" ht="15.0" hidden="1" customHeight="1">
      <c r="A3593" s="59">
        <f t="shared" si="20"/>
        <v>57</v>
      </c>
      <c r="B3593" s="59" t="str">
        <f t="shared" si="21"/>
        <v/>
      </c>
      <c r="C3593" s="59" t="str">
        <f t="shared" si="22"/>
        <v/>
      </c>
      <c r="D3593" s="45" t="str">
        <f t="shared" si="23"/>
        <v/>
      </c>
      <c r="E3593" s="45" t="str">
        <f t="shared" si="24"/>
        <v/>
      </c>
      <c r="F3593" s="59" t="str">
        <f t="shared" si="25"/>
        <v/>
      </c>
      <c r="G3593" s="59" t="str">
        <f t="shared" si="26"/>
        <v/>
      </c>
      <c r="H3593" s="59" t="str">
        <f t="shared" si="27"/>
        <v>19H09482</v>
      </c>
      <c r="I3593" s="59" t="str">
        <f>IF(OR($A3593="",$C3593="",$D3593="",$E3593="",$H3593=""),"",SUMIFS(DATA_GOC!$H:$H,DATA_GOC!$A:$A,"BOM",DATA_GOC!$D:$D,$H3593,DATA_GOC!$E:$E,$C3593,DATA_GOC!$F:$F,"Xuất nội bộ từ téc",DATA_GOC!$B:$B,"&gt;="&amp;$D3593,DATA_GOC!$B:$B,"&lt;="&amp;$E3593))</f>
        <v/>
      </c>
      <c r="J3593" s="59">
        <f t="shared" si="28"/>
        <v>0</v>
      </c>
      <c r="K3593" s="59">
        <f t="shared" si="29"/>
        <v>0</v>
      </c>
      <c r="L3593" s="59">
        <f t="shared" si="30"/>
        <v>0</v>
      </c>
      <c r="M3593" s="59">
        <f t="shared" si="31"/>
        <v>0</v>
      </c>
    </row>
    <row r="3594" ht="15.0" hidden="1" customHeight="1">
      <c r="A3594" s="59">
        <f t="shared" si="20"/>
        <v>57</v>
      </c>
      <c r="B3594" s="59" t="str">
        <f t="shared" si="21"/>
        <v/>
      </c>
      <c r="C3594" s="59" t="str">
        <f t="shared" si="22"/>
        <v/>
      </c>
      <c r="D3594" s="45" t="str">
        <f t="shared" si="23"/>
        <v/>
      </c>
      <c r="E3594" s="45" t="str">
        <f t="shared" si="24"/>
        <v/>
      </c>
      <c r="F3594" s="59" t="str">
        <f t="shared" si="25"/>
        <v/>
      </c>
      <c r="G3594" s="59" t="str">
        <f t="shared" si="26"/>
        <v/>
      </c>
      <c r="H3594" s="59" t="str">
        <f t="shared" si="27"/>
        <v>28A30696</v>
      </c>
      <c r="I3594" s="59" t="str">
        <f>IF(OR($A3594="",$C3594="",$D3594="",$E3594="",$H3594=""),"",SUMIFS(DATA_GOC!$H:$H,DATA_GOC!$A:$A,"BOM",DATA_GOC!$D:$D,$H3594,DATA_GOC!$E:$E,$C3594,DATA_GOC!$F:$F,"Xuất nội bộ từ téc",DATA_GOC!$B:$B,"&gt;="&amp;$D3594,DATA_GOC!$B:$B,"&lt;="&amp;$E3594))</f>
        <v/>
      </c>
      <c r="J3594" s="59">
        <f t="shared" si="28"/>
        <v>0</v>
      </c>
      <c r="K3594" s="59">
        <f t="shared" si="29"/>
        <v>0</v>
      </c>
      <c r="L3594" s="59">
        <f t="shared" si="30"/>
        <v>0</v>
      </c>
      <c r="M3594" s="59">
        <f t="shared" si="31"/>
        <v>0</v>
      </c>
    </row>
    <row r="3595" ht="15.0" hidden="1" customHeight="1">
      <c r="A3595" s="59">
        <f t="shared" si="20"/>
        <v>57</v>
      </c>
      <c r="B3595" s="59" t="str">
        <f t="shared" si="21"/>
        <v/>
      </c>
      <c r="C3595" s="59" t="str">
        <f t="shared" si="22"/>
        <v/>
      </c>
      <c r="D3595" s="45" t="str">
        <f t="shared" si="23"/>
        <v/>
      </c>
      <c r="E3595" s="45" t="str">
        <f t="shared" si="24"/>
        <v/>
      </c>
      <c r="F3595" s="59" t="str">
        <f t="shared" si="25"/>
        <v/>
      </c>
      <c r="G3595" s="59" t="str">
        <f t="shared" si="26"/>
        <v/>
      </c>
      <c r="H3595" s="59" t="str">
        <f t="shared" si="27"/>
        <v>28C00462</v>
      </c>
      <c r="I3595" s="59" t="str">
        <f>IF(OR($A3595="",$C3595="",$D3595="",$E3595="",$H3595=""),"",SUMIFS(DATA_GOC!$H:$H,DATA_GOC!$A:$A,"BOM",DATA_GOC!$D:$D,$H3595,DATA_GOC!$E:$E,$C3595,DATA_GOC!$F:$F,"Xuất nội bộ từ téc",DATA_GOC!$B:$B,"&gt;="&amp;$D3595,DATA_GOC!$B:$B,"&lt;="&amp;$E3595))</f>
        <v/>
      </c>
      <c r="J3595" s="59">
        <f t="shared" si="28"/>
        <v>0</v>
      </c>
      <c r="K3595" s="59">
        <f t="shared" si="29"/>
        <v>0</v>
      </c>
      <c r="L3595" s="59">
        <f t="shared" si="30"/>
        <v>0</v>
      </c>
      <c r="M3595" s="59">
        <f t="shared" si="31"/>
        <v>0</v>
      </c>
    </row>
    <row r="3596" ht="15.0" hidden="1" customHeight="1">
      <c r="A3596" s="59">
        <f t="shared" si="20"/>
        <v>57</v>
      </c>
      <c r="B3596" s="59" t="str">
        <f t="shared" si="21"/>
        <v/>
      </c>
      <c r="C3596" s="59" t="str">
        <f t="shared" si="22"/>
        <v/>
      </c>
      <c r="D3596" s="45" t="str">
        <f t="shared" si="23"/>
        <v/>
      </c>
      <c r="E3596" s="45" t="str">
        <f t="shared" si="24"/>
        <v/>
      </c>
      <c r="F3596" s="59" t="str">
        <f t="shared" si="25"/>
        <v/>
      </c>
      <c r="G3596" s="59" t="str">
        <f t="shared" si="26"/>
        <v/>
      </c>
      <c r="H3596" s="59" t="str">
        <f t="shared" si="27"/>
        <v>28C01165</v>
      </c>
      <c r="I3596" s="59" t="str">
        <f>IF(OR($A3596="",$C3596="",$D3596="",$E3596="",$H3596=""),"",SUMIFS(DATA_GOC!$H:$H,DATA_GOC!$A:$A,"BOM",DATA_GOC!$D:$D,$H3596,DATA_GOC!$E:$E,$C3596,DATA_GOC!$F:$F,"Xuất nội bộ từ téc",DATA_GOC!$B:$B,"&gt;="&amp;$D3596,DATA_GOC!$B:$B,"&lt;="&amp;$E3596))</f>
        <v/>
      </c>
      <c r="J3596" s="59">
        <f t="shared" si="28"/>
        <v>0</v>
      </c>
      <c r="K3596" s="59">
        <f t="shared" si="29"/>
        <v>0</v>
      </c>
      <c r="L3596" s="59">
        <f t="shared" si="30"/>
        <v>0</v>
      </c>
      <c r="M3596" s="59">
        <f t="shared" si="31"/>
        <v>0</v>
      </c>
    </row>
    <row r="3597" ht="15.0" hidden="1" customHeight="1">
      <c r="A3597" s="59">
        <f t="shared" si="20"/>
        <v>57</v>
      </c>
      <c r="B3597" s="59" t="str">
        <f t="shared" si="21"/>
        <v/>
      </c>
      <c r="C3597" s="59" t="str">
        <f t="shared" si="22"/>
        <v/>
      </c>
      <c r="D3597" s="45" t="str">
        <f t="shared" si="23"/>
        <v/>
      </c>
      <c r="E3597" s="45" t="str">
        <f t="shared" si="24"/>
        <v/>
      </c>
      <c r="F3597" s="59" t="str">
        <f t="shared" si="25"/>
        <v/>
      </c>
      <c r="G3597" s="59" t="str">
        <f t="shared" si="26"/>
        <v/>
      </c>
      <c r="H3597" s="59" t="str">
        <f t="shared" si="27"/>
        <v>28C01406</v>
      </c>
      <c r="I3597" s="59" t="str">
        <f>IF(OR($A3597="",$C3597="",$D3597="",$E3597="",$H3597=""),"",SUMIFS(DATA_GOC!$H:$H,DATA_GOC!$A:$A,"BOM",DATA_GOC!$D:$D,$H3597,DATA_GOC!$E:$E,$C3597,DATA_GOC!$F:$F,"Xuất nội bộ từ téc",DATA_GOC!$B:$B,"&gt;="&amp;$D3597,DATA_GOC!$B:$B,"&lt;="&amp;$E3597))</f>
        <v/>
      </c>
      <c r="J3597" s="59">
        <f t="shared" si="28"/>
        <v>0</v>
      </c>
      <c r="K3597" s="59">
        <f t="shared" si="29"/>
        <v>0</v>
      </c>
      <c r="L3597" s="59">
        <f t="shared" si="30"/>
        <v>0</v>
      </c>
      <c r="M3597" s="59">
        <f t="shared" si="31"/>
        <v>0</v>
      </c>
    </row>
    <row r="3598" ht="15.0" hidden="1" customHeight="1">
      <c r="A3598" s="59">
        <f t="shared" si="20"/>
        <v>57</v>
      </c>
      <c r="B3598" s="59" t="str">
        <f t="shared" si="21"/>
        <v/>
      </c>
      <c r="C3598" s="59" t="str">
        <f t="shared" si="22"/>
        <v/>
      </c>
      <c r="D3598" s="45" t="str">
        <f t="shared" si="23"/>
        <v/>
      </c>
      <c r="E3598" s="45" t="str">
        <f t="shared" si="24"/>
        <v/>
      </c>
      <c r="F3598" s="59" t="str">
        <f t="shared" si="25"/>
        <v/>
      </c>
      <c r="G3598" s="59" t="str">
        <f t="shared" si="26"/>
        <v/>
      </c>
      <c r="H3598" s="59" t="str">
        <f t="shared" si="27"/>
        <v>28C01544</v>
      </c>
      <c r="I3598" s="59" t="str">
        <f>IF(OR($A3598="",$C3598="",$D3598="",$E3598="",$H3598=""),"",SUMIFS(DATA_GOC!$H:$H,DATA_GOC!$A:$A,"BOM",DATA_GOC!$D:$D,$H3598,DATA_GOC!$E:$E,$C3598,DATA_GOC!$F:$F,"Xuất nội bộ từ téc",DATA_GOC!$B:$B,"&gt;="&amp;$D3598,DATA_GOC!$B:$B,"&lt;="&amp;$E3598))</f>
        <v/>
      </c>
      <c r="J3598" s="59">
        <f t="shared" si="28"/>
        <v>0</v>
      </c>
      <c r="K3598" s="59">
        <f t="shared" si="29"/>
        <v>0</v>
      </c>
      <c r="L3598" s="59">
        <f t="shared" si="30"/>
        <v>0</v>
      </c>
      <c r="M3598" s="59">
        <f t="shared" si="31"/>
        <v>0</v>
      </c>
    </row>
    <row r="3599" ht="15.0" hidden="1" customHeight="1">
      <c r="A3599" s="59">
        <f t="shared" si="20"/>
        <v>57</v>
      </c>
      <c r="B3599" s="59" t="str">
        <f t="shared" si="21"/>
        <v/>
      </c>
      <c r="C3599" s="59" t="str">
        <f t="shared" si="22"/>
        <v/>
      </c>
      <c r="D3599" s="45" t="str">
        <f t="shared" si="23"/>
        <v/>
      </c>
      <c r="E3599" s="45" t="str">
        <f t="shared" si="24"/>
        <v/>
      </c>
      <c r="F3599" s="59" t="str">
        <f t="shared" si="25"/>
        <v/>
      </c>
      <c r="G3599" s="59" t="str">
        <f t="shared" si="26"/>
        <v/>
      </c>
      <c r="H3599" s="59" t="str">
        <f t="shared" si="27"/>
        <v>28C01622</v>
      </c>
      <c r="I3599" s="59" t="str">
        <f>IF(OR($A3599="",$C3599="",$D3599="",$E3599="",$H3599=""),"",SUMIFS(DATA_GOC!$H:$H,DATA_GOC!$A:$A,"BOM",DATA_GOC!$D:$D,$H3599,DATA_GOC!$E:$E,$C3599,DATA_GOC!$F:$F,"Xuất nội bộ từ téc",DATA_GOC!$B:$B,"&gt;="&amp;$D3599,DATA_GOC!$B:$B,"&lt;="&amp;$E3599))</f>
        <v/>
      </c>
      <c r="J3599" s="59">
        <f t="shared" si="28"/>
        <v>0</v>
      </c>
      <c r="K3599" s="59">
        <f t="shared" si="29"/>
        <v>0</v>
      </c>
      <c r="L3599" s="59">
        <f t="shared" si="30"/>
        <v>0</v>
      </c>
      <c r="M3599" s="59">
        <f t="shared" si="31"/>
        <v>0</v>
      </c>
    </row>
    <row r="3600" ht="15.0" hidden="1" customHeight="1">
      <c r="A3600" s="59">
        <f t="shared" si="20"/>
        <v>57</v>
      </c>
      <c r="B3600" s="59" t="str">
        <f t="shared" si="21"/>
        <v/>
      </c>
      <c r="C3600" s="59" t="str">
        <f t="shared" si="22"/>
        <v/>
      </c>
      <c r="D3600" s="45" t="str">
        <f t="shared" si="23"/>
        <v/>
      </c>
      <c r="E3600" s="45" t="str">
        <f t="shared" si="24"/>
        <v/>
      </c>
      <c r="F3600" s="59" t="str">
        <f t="shared" si="25"/>
        <v/>
      </c>
      <c r="G3600" s="59" t="str">
        <f t="shared" si="26"/>
        <v/>
      </c>
      <c r="H3600" s="59" t="str">
        <f t="shared" si="27"/>
        <v>28C01647</v>
      </c>
      <c r="I3600" s="59" t="str">
        <f>IF(OR($A3600="",$C3600="",$D3600="",$E3600="",$H3600=""),"",SUMIFS(DATA_GOC!$H:$H,DATA_GOC!$A:$A,"BOM",DATA_GOC!$D:$D,$H3600,DATA_GOC!$E:$E,$C3600,DATA_GOC!$F:$F,"Xuất nội bộ từ téc",DATA_GOC!$B:$B,"&gt;="&amp;$D3600,DATA_GOC!$B:$B,"&lt;="&amp;$E3600))</f>
        <v/>
      </c>
      <c r="J3600" s="59">
        <f t="shared" si="28"/>
        <v>0</v>
      </c>
      <c r="K3600" s="59">
        <f t="shared" si="29"/>
        <v>0</v>
      </c>
      <c r="L3600" s="59">
        <f t="shared" si="30"/>
        <v>0</v>
      </c>
      <c r="M3600" s="59">
        <f t="shared" si="31"/>
        <v>0</v>
      </c>
    </row>
    <row r="3601" ht="15.0" hidden="1" customHeight="1">
      <c r="A3601" s="59">
        <f t="shared" si="20"/>
        <v>57</v>
      </c>
      <c r="B3601" s="59" t="str">
        <f t="shared" si="21"/>
        <v/>
      </c>
      <c r="C3601" s="59" t="str">
        <f t="shared" si="22"/>
        <v/>
      </c>
      <c r="D3601" s="45" t="str">
        <f t="shared" si="23"/>
        <v/>
      </c>
      <c r="E3601" s="45" t="str">
        <f t="shared" si="24"/>
        <v/>
      </c>
      <c r="F3601" s="59" t="str">
        <f t="shared" si="25"/>
        <v/>
      </c>
      <c r="G3601" s="59" t="str">
        <f t="shared" si="26"/>
        <v/>
      </c>
      <c r="H3601" s="59" t="str">
        <f t="shared" si="27"/>
        <v>28C01731</v>
      </c>
      <c r="I3601" s="59" t="str">
        <f>IF(OR($A3601="",$C3601="",$D3601="",$E3601="",$H3601=""),"",SUMIFS(DATA_GOC!$H:$H,DATA_GOC!$A:$A,"BOM",DATA_GOC!$D:$D,$H3601,DATA_GOC!$E:$E,$C3601,DATA_GOC!$F:$F,"Xuất nội bộ từ téc",DATA_GOC!$B:$B,"&gt;="&amp;$D3601,DATA_GOC!$B:$B,"&lt;="&amp;$E3601))</f>
        <v/>
      </c>
      <c r="J3601" s="59">
        <f t="shared" si="28"/>
        <v>0</v>
      </c>
      <c r="K3601" s="59">
        <f t="shared" si="29"/>
        <v>0</v>
      </c>
      <c r="L3601" s="59">
        <f t="shared" si="30"/>
        <v>0</v>
      </c>
      <c r="M3601" s="59">
        <f t="shared" si="31"/>
        <v>0</v>
      </c>
    </row>
    <row r="3602" ht="15.0" hidden="1" customHeight="1">
      <c r="A3602" s="59">
        <f t="shared" si="20"/>
        <v>57</v>
      </c>
      <c r="B3602" s="59" t="str">
        <f t="shared" si="21"/>
        <v/>
      </c>
      <c r="C3602" s="59" t="str">
        <f t="shared" si="22"/>
        <v/>
      </c>
      <c r="D3602" s="45" t="str">
        <f t="shared" si="23"/>
        <v/>
      </c>
      <c r="E3602" s="45" t="str">
        <f t="shared" si="24"/>
        <v/>
      </c>
      <c r="F3602" s="59" t="str">
        <f t="shared" si="25"/>
        <v/>
      </c>
      <c r="G3602" s="59" t="str">
        <f t="shared" si="26"/>
        <v/>
      </c>
      <c r="H3602" s="59" t="str">
        <f t="shared" si="27"/>
        <v>28C01743</v>
      </c>
      <c r="I3602" s="59" t="str">
        <f>IF(OR($A3602="",$C3602="",$D3602="",$E3602="",$H3602=""),"",SUMIFS(DATA_GOC!$H:$H,DATA_GOC!$A:$A,"BOM",DATA_GOC!$D:$D,$H3602,DATA_GOC!$E:$E,$C3602,DATA_GOC!$F:$F,"Xuất nội bộ từ téc",DATA_GOC!$B:$B,"&gt;="&amp;$D3602,DATA_GOC!$B:$B,"&lt;="&amp;$E3602))</f>
        <v/>
      </c>
      <c r="J3602" s="59">
        <f t="shared" si="28"/>
        <v>0</v>
      </c>
      <c r="K3602" s="59">
        <f t="shared" si="29"/>
        <v>0</v>
      </c>
      <c r="L3602" s="59">
        <f t="shared" si="30"/>
        <v>0</v>
      </c>
      <c r="M3602" s="59">
        <f t="shared" si="31"/>
        <v>0</v>
      </c>
    </row>
    <row r="3603" ht="15.0" hidden="1" customHeight="1">
      <c r="A3603" s="59">
        <f t="shared" si="20"/>
        <v>57</v>
      </c>
      <c r="B3603" s="59" t="str">
        <f t="shared" si="21"/>
        <v/>
      </c>
      <c r="C3603" s="59" t="str">
        <f t="shared" si="22"/>
        <v/>
      </c>
      <c r="D3603" s="45" t="str">
        <f t="shared" si="23"/>
        <v/>
      </c>
      <c r="E3603" s="45" t="str">
        <f t="shared" si="24"/>
        <v/>
      </c>
      <c r="F3603" s="59" t="str">
        <f t="shared" si="25"/>
        <v/>
      </c>
      <c r="G3603" s="59" t="str">
        <f t="shared" si="26"/>
        <v/>
      </c>
      <c r="H3603" s="59" t="str">
        <f t="shared" si="27"/>
        <v>28C02106</v>
      </c>
      <c r="I3603" s="59" t="str">
        <f>IF(OR($A3603="",$C3603="",$D3603="",$E3603="",$H3603=""),"",SUMIFS(DATA_GOC!$H:$H,DATA_GOC!$A:$A,"BOM",DATA_GOC!$D:$D,$H3603,DATA_GOC!$E:$E,$C3603,DATA_GOC!$F:$F,"Xuất nội bộ từ téc",DATA_GOC!$B:$B,"&gt;="&amp;$D3603,DATA_GOC!$B:$B,"&lt;="&amp;$E3603))</f>
        <v/>
      </c>
      <c r="J3603" s="59">
        <f t="shared" si="28"/>
        <v>0</v>
      </c>
      <c r="K3603" s="59">
        <f t="shared" si="29"/>
        <v>0</v>
      </c>
      <c r="L3603" s="59">
        <f t="shared" si="30"/>
        <v>0</v>
      </c>
      <c r="M3603" s="59">
        <f t="shared" si="31"/>
        <v>0</v>
      </c>
    </row>
    <row r="3604" ht="15.0" hidden="1" customHeight="1">
      <c r="A3604" s="59">
        <f t="shared" si="20"/>
        <v>57</v>
      </c>
      <c r="B3604" s="59" t="str">
        <f t="shared" si="21"/>
        <v/>
      </c>
      <c r="C3604" s="59" t="str">
        <f t="shared" si="22"/>
        <v/>
      </c>
      <c r="D3604" s="45" t="str">
        <f t="shared" si="23"/>
        <v/>
      </c>
      <c r="E3604" s="45" t="str">
        <f t="shared" si="24"/>
        <v/>
      </c>
      <c r="F3604" s="59" t="str">
        <f t="shared" si="25"/>
        <v/>
      </c>
      <c r="G3604" s="59" t="str">
        <f t="shared" si="26"/>
        <v/>
      </c>
      <c r="H3604" s="59" t="str">
        <f t="shared" si="27"/>
        <v>28C02410</v>
      </c>
      <c r="I3604" s="59" t="str">
        <f>IF(OR($A3604="",$C3604="",$D3604="",$E3604="",$H3604=""),"",SUMIFS(DATA_GOC!$H:$H,DATA_GOC!$A:$A,"BOM",DATA_GOC!$D:$D,$H3604,DATA_GOC!$E:$E,$C3604,DATA_GOC!$F:$F,"Xuất nội bộ từ téc",DATA_GOC!$B:$B,"&gt;="&amp;$D3604,DATA_GOC!$B:$B,"&lt;="&amp;$E3604))</f>
        <v/>
      </c>
      <c r="J3604" s="59">
        <f t="shared" si="28"/>
        <v>0</v>
      </c>
      <c r="K3604" s="59">
        <f t="shared" si="29"/>
        <v>0</v>
      </c>
      <c r="L3604" s="59">
        <f t="shared" si="30"/>
        <v>0</v>
      </c>
      <c r="M3604" s="59">
        <f t="shared" si="31"/>
        <v>0</v>
      </c>
    </row>
    <row r="3605" ht="15.0" hidden="1" customHeight="1">
      <c r="A3605" s="59">
        <f t="shared" si="20"/>
        <v>57</v>
      </c>
      <c r="B3605" s="59" t="str">
        <f t="shared" si="21"/>
        <v/>
      </c>
      <c r="C3605" s="59" t="str">
        <f t="shared" si="22"/>
        <v/>
      </c>
      <c r="D3605" s="45" t="str">
        <f t="shared" si="23"/>
        <v/>
      </c>
      <c r="E3605" s="45" t="str">
        <f t="shared" si="24"/>
        <v/>
      </c>
      <c r="F3605" s="59" t="str">
        <f t="shared" si="25"/>
        <v/>
      </c>
      <c r="G3605" s="59" t="str">
        <f t="shared" si="26"/>
        <v/>
      </c>
      <c r="H3605" s="59" t="str">
        <f t="shared" si="27"/>
        <v>28C02545</v>
      </c>
      <c r="I3605" s="59" t="str">
        <f>IF(OR($A3605="",$C3605="",$D3605="",$E3605="",$H3605=""),"",SUMIFS(DATA_GOC!$H:$H,DATA_GOC!$A:$A,"BOM",DATA_GOC!$D:$D,$H3605,DATA_GOC!$E:$E,$C3605,DATA_GOC!$F:$F,"Xuất nội bộ từ téc",DATA_GOC!$B:$B,"&gt;="&amp;$D3605,DATA_GOC!$B:$B,"&lt;="&amp;$E3605))</f>
        <v/>
      </c>
      <c r="J3605" s="59">
        <f t="shared" si="28"/>
        <v>0</v>
      </c>
      <c r="K3605" s="59">
        <f t="shared" si="29"/>
        <v>0</v>
      </c>
      <c r="L3605" s="59">
        <f t="shared" si="30"/>
        <v>0</v>
      </c>
      <c r="M3605" s="59">
        <f t="shared" si="31"/>
        <v>0</v>
      </c>
    </row>
    <row r="3606" ht="15.0" hidden="1" customHeight="1">
      <c r="A3606" s="59">
        <f t="shared" si="20"/>
        <v>57</v>
      </c>
      <c r="B3606" s="59" t="str">
        <f t="shared" si="21"/>
        <v/>
      </c>
      <c r="C3606" s="59" t="str">
        <f t="shared" si="22"/>
        <v/>
      </c>
      <c r="D3606" s="45" t="str">
        <f t="shared" si="23"/>
        <v/>
      </c>
      <c r="E3606" s="45" t="str">
        <f t="shared" si="24"/>
        <v/>
      </c>
      <c r="F3606" s="59" t="str">
        <f t="shared" si="25"/>
        <v/>
      </c>
      <c r="G3606" s="59" t="str">
        <f t="shared" si="26"/>
        <v/>
      </c>
      <c r="H3606" s="59" t="str">
        <f t="shared" si="27"/>
        <v>28C02574</v>
      </c>
      <c r="I3606" s="59" t="str">
        <f>IF(OR($A3606="",$C3606="",$D3606="",$E3606="",$H3606=""),"",SUMIFS(DATA_GOC!$H:$H,DATA_GOC!$A:$A,"BOM",DATA_GOC!$D:$D,$H3606,DATA_GOC!$E:$E,$C3606,DATA_GOC!$F:$F,"Xuất nội bộ từ téc",DATA_GOC!$B:$B,"&gt;="&amp;$D3606,DATA_GOC!$B:$B,"&lt;="&amp;$E3606))</f>
        <v/>
      </c>
      <c r="J3606" s="59">
        <f t="shared" si="28"/>
        <v>0</v>
      </c>
      <c r="K3606" s="59">
        <f t="shared" si="29"/>
        <v>0</v>
      </c>
      <c r="L3606" s="59">
        <f t="shared" si="30"/>
        <v>0</v>
      </c>
      <c r="M3606" s="59">
        <f t="shared" si="31"/>
        <v>0</v>
      </c>
    </row>
    <row r="3607" ht="15.0" hidden="1" customHeight="1">
      <c r="A3607" s="59">
        <f t="shared" si="20"/>
        <v>57</v>
      </c>
      <c r="B3607" s="59" t="str">
        <f t="shared" si="21"/>
        <v/>
      </c>
      <c r="C3607" s="59" t="str">
        <f t="shared" si="22"/>
        <v/>
      </c>
      <c r="D3607" s="45" t="str">
        <f t="shared" si="23"/>
        <v/>
      </c>
      <c r="E3607" s="45" t="str">
        <f t="shared" si="24"/>
        <v/>
      </c>
      <c r="F3607" s="59" t="str">
        <f t="shared" si="25"/>
        <v/>
      </c>
      <c r="G3607" s="59" t="str">
        <f t="shared" si="26"/>
        <v/>
      </c>
      <c r="H3607" s="59" t="str">
        <f t="shared" si="27"/>
        <v>28C02770</v>
      </c>
      <c r="I3607" s="59" t="str">
        <f>IF(OR($A3607="",$C3607="",$D3607="",$E3607="",$H3607=""),"",SUMIFS(DATA_GOC!$H:$H,DATA_GOC!$A:$A,"BOM",DATA_GOC!$D:$D,$H3607,DATA_GOC!$E:$E,$C3607,DATA_GOC!$F:$F,"Xuất nội bộ từ téc",DATA_GOC!$B:$B,"&gt;="&amp;$D3607,DATA_GOC!$B:$B,"&lt;="&amp;$E3607))</f>
        <v/>
      </c>
      <c r="J3607" s="59">
        <f t="shared" si="28"/>
        <v>0</v>
      </c>
      <c r="K3607" s="59">
        <f t="shared" si="29"/>
        <v>0</v>
      </c>
      <c r="L3607" s="59">
        <f t="shared" si="30"/>
        <v>0</v>
      </c>
      <c r="M3607" s="59">
        <f t="shared" si="31"/>
        <v>0</v>
      </c>
    </row>
    <row r="3608" ht="15.0" hidden="1" customHeight="1">
      <c r="A3608" s="59">
        <f t="shared" si="20"/>
        <v>57</v>
      </c>
      <c r="B3608" s="59" t="str">
        <f t="shared" si="21"/>
        <v/>
      </c>
      <c r="C3608" s="59" t="str">
        <f t="shared" si="22"/>
        <v/>
      </c>
      <c r="D3608" s="45" t="str">
        <f t="shared" si="23"/>
        <v/>
      </c>
      <c r="E3608" s="45" t="str">
        <f t="shared" si="24"/>
        <v/>
      </c>
      <c r="F3608" s="59" t="str">
        <f t="shared" si="25"/>
        <v/>
      </c>
      <c r="G3608" s="59" t="str">
        <f t="shared" si="26"/>
        <v/>
      </c>
      <c r="H3608" s="59" t="str">
        <f t="shared" si="27"/>
        <v>28C02986</v>
      </c>
      <c r="I3608" s="59" t="str">
        <f>IF(OR($A3608="",$C3608="",$D3608="",$E3608="",$H3608=""),"",SUMIFS(DATA_GOC!$H:$H,DATA_GOC!$A:$A,"BOM",DATA_GOC!$D:$D,$H3608,DATA_GOC!$E:$E,$C3608,DATA_GOC!$F:$F,"Xuất nội bộ từ téc",DATA_GOC!$B:$B,"&gt;="&amp;$D3608,DATA_GOC!$B:$B,"&lt;="&amp;$E3608))</f>
        <v/>
      </c>
      <c r="J3608" s="59">
        <f t="shared" si="28"/>
        <v>0</v>
      </c>
      <c r="K3608" s="59">
        <f t="shared" si="29"/>
        <v>0</v>
      </c>
      <c r="L3608" s="59">
        <f t="shared" si="30"/>
        <v>0</v>
      </c>
      <c r="M3608" s="59">
        <f t="shared" si="31"/>
        <v>0</v>
      </c>
    </row>
    <row r="3609" ht="15.0" hidden="1" customHeight="1">
      <c r="A3609" s="59">
        <f t="shared" si="20"/>
        <v>57</v>
      </c>
      <c r="B3609" s="59" t="str">
        <f t="shared" si="21"/>
        <v/>
      </c>
      <c r="C3609" s="59" t="str">
        <f t="shared" si="22"/>
        <v/>
      </c>
      <c r="D3609" s="45" t="str">
        <f t="shared" si="23"/>
        <v/>
      </c>
      <c r="E3609" s="45" t="str">
        <f t="shared" si="24"/>
        <v/>
      </c>
      <c r="F3609" s="59" t="str">
        <f t="shared" si="25"/>
        <v/>
      </c>
      <c r="G3609" s="59" t="str">
        <f t="shared" si="26"/>
        <v/>
      </c>
      <c r="H3609" s="59" t="str">
        <f t="shared" si="27"/>
        <v>28C03261</v>
      </c>
      <c r="I3609" s="59" t="str">
        <f>IF(OR($A3609="",$C3609="",$D3609="",$E3609="",$H3609=""),"",SUMIFS(DATA_GOC!$H:$H,DATA_GOC!$A:$A,"BOM",DATA_GOC!$D:$D,$H3609,DATA_GOC!$E:$E,$C3609,DATA_GOC!$F:$F,"Xuất nội bộ từ téc",DATA_GOC!$B:$B,"&gt;="&amp;$D3609,DATA_GOC!$B:$B,"&lt;="&amp;$E3609))</f>
        <v/>
      </c>
      <c r="J3609" s="59">
        <f t="shared" si="28"/>
        <v>0</v>
      </c>
      <c r="K3609" s="59">
        <f t="shared" si="29"/>
        <v>0</v>
      </c>
      <c r="L3609" s="59">
        <f t="shared" si="30"/>
        <v>0</v>
      </c>
      <c r="M3609" s="59">
        <f t="shared" si="31"/>
        <v>0</v>
      </c>
    </row>
    <row r="3610" ht="15.0" hidden="1" customHeight="1">
      <c r="A3610" s="59">
        <f t="shared" si="20"/>
        <v>57</v>
      </c>
      <c r="B3610" s="59" t="str">
        <f t="shared" si="21"/>
        <v/>
      </c>
      <c r="C3610" s="59" t="str">
        <f t="shared" si="22"/>
        <v/>
      </c>
      <c r="D3610" s="45" t="str">
        <f t="shared" si="23"/>
        <v/>
      </c>
      <c r="E3610" s="45" t="str">
        <f t="shared" si="24"/>
        <v/>
      </c>
      <c r="F3610" s="59" t="str">
        <f t="shared" si="25"/>
        <v/>
      </c>
      <c r="G3610" s="59" t="str">
        <f t="shared" si="26"/>
        <v/>
      </c>
      <c r="H3610" s="59" t="str">
        <f t="shared" si="27"/>
        <v>28C03323</v>
      </c>
      <c r="I3610" s="59" t="str">
        <f>IF(OR($A3610="",$C3610="",$D3610="",$E3610="",$H3610=""),"",SUMIFS(DATA_GOC!$H:$H,DATA_GOC!$A:$A,"BOM",DATA_GOC!$D:$D,$H3610,DATA_GOC!$E:$E,$C3610,DATA_GOC!$F:$F,"Xuất nội bộ từ téc",DATA_GOC!$B:$B,"&gt;="&amp;$D3610,DATA_GOC!$B:$B,"&lt;="&amp;$E3610))</f>
        <v/>
      </c>
      <c r="J3610" s="59">
        <f t="shared" si="28"/>
        <v>0</v>
      </c>
      <c r="K3610" s="59">
        <f t="shared" si="29"/>
        <v>0</v>
      </c>
      <c r="L3610" s="59">
        <f t="shared" si="30"/>
        <v>0</v>
      </c>
      <c r="M3610" s="59">
        <f t="shared" si="31"/>
        <v>0</v>
      </c>
    </row>
    <row r="3611" ht="15.0" hidden="1" customHeight="1">
      <c r="A3611" s="59">
        <f t="shared" si="20"/>
        <v>57</v>
      </c>
      <c r="B3611" s="59" t="str">
        <f t="shared" si="21"/>
        <v/>
      </c>
      <c r="C3611" s="59" t="str">
        <f t="shared" si="22"/>
        <v/>
      </c>
      <c r="D3611" s="45" t="str">
        <f t="shared" si="23"/>
        <v/>
      </c>
      <c r="E3611" s="45" t="str">
        <f t="shared" si="24"/>
        <v/>
      </c>
      <c r="F3611" s="59" t="str">
        <f t="shared" si="25"/>
        <v/>
      </c>
      <c r="G3611" s="59" t="str">
        <f t="shared" si="26"/>
        <v/>
      </c>
      <c r="H3611" s="59" t="str">
        <f t="shared" si="27"/>
        <v>28C03385</v>
      </c>
      <c r="I3611" s="59" t="str">
        <f>IF(OR($A3611="",$C3611="",$D3611="",$E3611="",$H3611=""),"",SUMIFS(DATA_GOC!$H:$H,DATA_GOC!$A:$A,"BOM",DATA_GOC!$D:$D,$H3611,DATA_GOC!$E:$E,$C3611,DATA_GOC!$F:$F,"Xuất nội bộ từ téc",DATA_GOC!$B:$B,"&gt;="&amp;$D3611,DATA_GOC!$B:$B,"&lt;="&amp;$E3611))</f>
        <v/>
      </c>
      <c r="J3611" s="59">
        <f t="shared" si="28"/>
        <v>0</v>
      </c>
      <c r="K3611" s="59">
        <f t="shared" si="29"/>
        <v>0</v>
      </c>
      <c r="L3611" s="59">
        <f t="shared" si="30"/>
        <v>0</v>
      </c>
      <c r="M3611" s="59">
        <f t="shared" si="31"/>
        <v>0</v>
      </c>
    </row>
    <row r="3612" ht="15.0" hidden="1" customHeight="1">
      <c r="A3612" s="59">
        <f t="shared" si="20"/>
        <v>57</v>
      </c>
      <c r="B3612" s="59" t="str">
        <f t="shared" si="21"/>
        <v/>
      </c>
      <c r="C3612" s="59" t="str">
        <f t="shared" si="22"/>
        <v/>
      </c>
      <c r="D3612" s="45" t="str">
        <f t="shared" si="23"/>
        <v/>
      </c>
      <c r="E3612" s="45" t="str">
        <f t="shared" si="24"/>
        <v/>
      </c>
      <c r="F3612" s="59" t="str">
        <f t="shared" si="25"/>
        <v/>
      </c>
      <c r="G3612" s="59" t="str">
        <f t="shared" si="26"/>
        <v/>
      </c>
      <c r="H3612" s="59" t="str">
        <f t="shared" si="27"/>
        <v>28C03652</v>
      </c>
      <c r="I3612" s="59" t="str">
        <f>IF(OR($A3612="",$C3612="",$D3612="",$E3612="",$H3612=""),"",SUMIFS(DATA_GOC!$H:$H,DATA_GOC!$A:$A,"BOM",DATA_GOC!$D:$D,$H3612,DATA_GOC!$E:$E,$C3612,DATA_GOC!$F:$F,"Xuất nội bộ từ téc",DATA_GOC!$B:$B,"&gt;="&amp;$D3612,DATA_GOC!$B:$B,"&lt;="&amp;$E3612))</f>
        <v/>
      </c>
      <c r="J3612" s="59">
        <f t="shared" si="28"/>
        <v>0</v>
      </c>
      <c r="K3612" s="59">
        <f t="shared" si="29"/>
        <v>0</v>
      </c>
      <c r="L3612" s="59">
        <f t="shared" si="30"/>
        <v>0</v>
      </c>
      <c r="M3612" s="59">
        <f t="shared" si="31"/>
        <v>0</v>
      </c>
    </row>
    <row r="3613" ht="15.0" hidden="1" customHeight="1">
      <c r="A3613" s="59">
        <f t="shared" si="20"/>
        <v>57</v>
      </c>
      <c r="B3613" s="59" t="str">
        <f t="shared" si="21"/>
        <v/>
      </c>
      <c r="C3613" s="59" t="str">
        <f t="shared" si="22"/>
        <v/>
      </c>
      <c r="D3613" s="45" t="str">
        <f t="shared" si="23"/>
        <v/>
      </c>
      <c r="E3613" s="45" t="str">
        <f t="shared" si="24"/>
        <v/>
      </c>
      <c r="F3613" s="59" t="str">
        <f t="shared" si="25"/>
        <v/>
      </c>
      <c r="G3613" s="59" t="str">
        <f t="shared" si="26"/>
        <v/>
      </c>
      <c r="H3613" s="59" t="str">
        <f t="shared" si="27"/>
        <v>28C03695</v>
      </c>
      <c r="I3613" s="59" t="str">
        <f>IF(OR($A3613="",$C3613="",$D3613="",$E3613="",$H3613=""),"",SUMIFS(DATA_GOC!$H:$H,DATA_GOC!$A:$A,"BOM",DATA_GOC!$D:$D,$H3613,DATA_GOC!$E:$E,$C3613,DATA_GOC!$F:$F,"Xuất nội bộ từ téc",DATA_GOC!$B:$B,"&gt;="&amp;$D3613,DATA_GOC!$B:$B,"&lt;="&amp;$E3613))</f>
        <v/>
      </c>
      <c r="J3613" s="59">
        <f t="shared" si="28"/>
        <v>0</v>
      </c>
      <c r="K3613" s="59">
        <f t="shared" si="29"/>
        <v>0</v>
      </c>
      <c r="L3613" s="59">
        <f t="shared" si="30"/>
        <v>0</v>
      </c>
      <c r="M3613" s="59">
        <f t="shared" si="31"/>
        <v>0</v>
      </c>
    </row>
    <row r="3614" ht="15.0" hidden="1" customHeight="1">
      <c r="A3614" s="59">
        <f t="shared" si="20"/>
        <v>57</v>
      </c>
      <c r="B3614" s="59" t="str">
        <f t="shared" si="21"/>
        <v/>
      </c>
      <c r="C3614" s="59" t="str">
        <f t="shared" si="22"/>
        <v/>
      </c>
      <c r="D3614" s="45" t="str">
        <f t="shared" si="23"/>
        <v/>
      </c>
      <c r="E3614" s="45" t="str">
        <f t="shared" si="24"/>
        <v/>
      </c>
      <c r="F3614" s="59" t="str">
        <f t="shared" si="25"/>
        <v/>
      </c>
      <c r="G3614" s="59" t="str">
        <f t="shared" si="26"/>
        <v/>
      </c>
      <c r="H3614" s="59" t="str">
        <f t="shared" si="27"/>
        <v>28C03927</v>
      </c>
      <c r="I3614" s="59" t="str">
        <f>IF(OR($A3614="",$C3614="",$D3614="",$E3614="",$H3614=""),"",SUMIFS(DATA_GOC!$H:$H,DATA_GOC!$A:$A,"BOM",DATA_GOC!$D:$D,$H3614,DATA_GOC!$E:$E,$C3614,DATA_GOC!$F:$F,"Xuất nội bộ từ téc",DATA_GOC!$B:$B,"&gt;="&amp;$D3614,DATA_GOC!$B:$B,"&lt;="&amp;$E3614))</f>
        <v/>
      </c>
      <c r="J3614" s="59">
        <f t="shared" si="28"/>
        <v>0</v>
      </c>
      <c r="K3614" s="59">
        <f t="shared" si="29"/>
        <v>0</v>
      </c>
      <c r="L3614" s="59">
        <f t="shared" si="30"/>
        <v>0</v>
      </c>
      <c r="M3614" s="59">
        <f t="shared" si="31"/>
        <v>0</v>
      </c>
    </row>
    <row r="3615" ht="15.0" hidden="1" customHeight="1">
      <c r="A3615" s="59">
        <f t="shared" si="20"/>
        <v>57</v>
      </c>
      <c r="B3615" s="59" t="str">
        <f t="shared" si="21"/>
        <v/>
      </c>
      <c r="C3615" s="59" t="str">
        <f t="shared" si="22"/>
        <v/>
      </c>
      <c r="D3615" s="45" t="str">
        <f t="shared" si="23"/>
        <v/>
      </c>
      <c r="E3615" s="45" t="str">
        <f t="shared" si="24"/>
        <v/>
      </c>
      <c r="F3615" s="59" t="str">
        <f t="shared" si="25"/>
        <v/>
      </c>
      <c r="G3615" s="59" t="str">
        <f t="shared" si="26"/>
        <v/>
      </c>
      <c r="H3615" s="59" t="str">
        <f t="shared" si="27"/>
        <v>28C04509</v>
      </c>
      <c r="I3615" s="59" t="str">
        <f>IF(OR($A3615="",$C3615="",$D3615="",$E3615="",$H3615=""),"",SUMIFS(DATA_GOC!$H:$H,DATA_GOC!$A:$A,"BOM",DATA_GOC!$D:$D,$H3615,DATA_GOC!$E:$E,$C3615,DATA_GOC!$F:$F,"Xuất nội bộ từ téc",DATA_GOC!$B:$B,"&gt;="&amp;$D3615,DATA_GOC!$B:$B,"&lt;="&amp;$E3615))</f>
        <v/>
      </c>
      <c r="J3615" s="59">
        <f t="shared" si="28"/>
        <v>0</v>
      </c>
      <c r="K3615" s="59">
        <f t="shared" si="29"/>
        <v>0</v>
      </c>
      <c r="L3615" s="59">
        <f t="shared" si="30"/>
        <v>0</v>
      </c>
      <c r="M3615" s="59">
        <f t="shared" si="31"/>
        <v>0</v>
      </c>
    </row>
    <row r="3616" ht="15.0" hidden="1" customHeight="1">
      <c r="A3616" s="59">
        <f t="shared" si="20"/>
        <v>57</v>
      </c>
      <c r="B3616" s="59" t="str">
        <f t="shared" si="21"/>
        <v/>
      </c>
      <c r="C3616" s="59" t="str">
        <f t="shared" si="22"/>
        <v/>
      </c>
      <c r="D3616" s="45" t="str">
        <f t="shared" si="23"/>
        <v/>
      </c>
      <c r="E3616" s="45" t="str">
        <f t="shared" si="24"/>
        <v/>
      </c>
      <c r="F3616" s="59" t="str">
        <f t="shared" si="25"/>
        <v/>
      </c>
      <c r="G3616" s="59" t="str">
        <f t="shared" si="26"/>
        <v/>
      </c>
      <c r="H3616" s="59" t="str">
        <f t="shared" si="27"/>
        <v>28C04536</v>
      </c>
      <c r="I3616" s="59" t="str">
        <f>IF(OR($A3616="",$C3616="",$D3616="",$E3616="",$H3616=""),"",SUMIFS(DATA_GOC!$H:$H,DATA_GOC!$A:$A,"BOM",DATA_GOC!$D:$D,$H3616,DATA_GOC!$E:$E,$C3616,DATA_GOC!$F:$F,"Xuất nội bộ từ téc",DATA_GOC!$B:$B,"&gt;="&amp;$D3616,DATA_GOC!$B:$B,"&lt;="&amp;$E3616))</f>
        <v/>
      </c>
      <c r="J3616" s="59">
        <f t="shared" si="28"/>
        <v>0</v>
      </c>
      <c r="K3616" s="59">
        <f t="shared" si="29"/>
        <v>0</v>
      </c>
      <c r="L3616" s="59">
        <f t="shared" si="30"/>
        <v>0</v>
      </c>
      <c r="M3616" s="59">
        <f t="shared" si="31"/>
        <v>0</v>
      </c>
    </row>
    <row r="3617" ht="15.0" hidden="1" customHeight="1">
      <c r="A3617" s="59">
        <f t="shared" si="20"/>
        <v>57</v>
      </c>
      <c r="B3617" s="59" t="str">
        <f t="shared" si="21"/>
        <v/>
      </c>
      <c r="C3617" s="59" t="str">
        <f t="shared" si="22"/>
        <v/>
      </c>
      <c r="D3617" s="45" t="str">
        <f t="shared" si="23"/>
        <v/>
      </c>
      <c r="E3617" s="45" t="str">
        <f t="shared" si="24"/>
        <v/>
      </c>
      <c r="F3617" s="59" t="str">
        <f t="shared" si="25"/>
        <v/>
      </c>
      <c r="G3617" s="59" t="str">
        <f t="shared" si="26"/>
        <v/>
      </c>
      <c r="H3617" s="59" t="str">
        <f t="shared" si="27"/>
        <v>28C04576</v>
      </c>
      <c r="I3617" s="59" t="str">
        <f>IF(OR($A3617="",$C3617="",$D3617="",$E3617="",$H3617=""),"",SUMIFS(DATA_GOC!$H:$H,DATA_GOC!$A:$A,"BOM",DATA_GOC!$D:$D,$H3617,DATA_GOC!$E:$E,$C3617,DATA_GOC!$F:$F,"Xuất nội bộ từ téc",DATA_GOC!$B:$B,"&gt;="&amp;$D3617,DATA_GOC!$B:$B,"&lt;="&amp;$E3617))</f>
        <v/>
      </c>
      <c r="J3617" s="59">
        <f t="shared" si="28"/>
        <v>0</v>
      </c>
      <c r="K3617" s="59">
        <f t="shared" si="29"/>
        <v>0</v>
      </c>
      <c r="L3617" s="59">
        <f t="shared" si="30"/>
        <v>0</v>
      </c>
      <c r="M3617" s="59">
        <f t="shared" si="31"/>
        <v>0</v>
      </c>
    </row>
    <row r="3618" ht="15.0" hidden="1" customHeight="1">
      <c r="A3618" s="59">
        <f t="shared" si="20"/>
        <v>57</v>
      </c>
      <c r="B3618" s="59" t="str">
        <f t="shared" si="21"/>
        <v/>
      </c>
      <c r="C3618" s="59" t="str">
        <f t="shared" si="22"/>
        <v/>
      </c>
      <c r="D3618" s="45" t="str">
        <f t="shared" si="23"/>
        <v/>
      </c>
      <c r="E3618" s="45" t="str">
        <f t="shared" si="24"/>
        <v/>
      </c>
      <c r="F3618" s="59" t="str">
        <f t="shared" si="25"/>
        <v/>
      </c>
      <c r="G3618" s="59" t="str">
        <f t="shared" si="26"/>
        <v/>
      </c>
      <c r="H3618" s="59" t="str">
        <f t="shared" si="27"/>
        <v>28C05090</v>
      </c>
      <c r="I3618" s="59" t="str">
        <f>IF(OR($A3618="",$C3618="",$D3618="",$E3618="",$H3618=""),"",SUMIFS(DATA_GOC!$H:$H,DATA_GOC!$A:$A,"BOM",DATA_GOC!$D:$D,$H3618,DATA_GOC!$E:$E,$C3618,DATA_GOC!$F:$F,"Xuất nội bộ từ téc",DATA_GOC!$B:$B,"&gt;="&amp;$D3618,DATA_GOC!$B:$B,"&lt;="&amp;$E3618))</f>
        <v/>
      </c>
      <c r="J3618" s="59">
        <f t="shared" si="28"/>
        <v>0</v>
      </c>
      <c r="K3618" s="59">
        <f t="shared" si="29"/>
        <v>0</v>
      </c>
      <c r="L3618" s="59">
        <f t="shared" si="30"/>
        <v>0</v>
      </c>
      <c r="M3618" s="59">
        <f t="shared" si="31"/>
        <v>0</v>
      </c>
    </row>
    <row r="3619" ht="15.0" hidden="1" customHeight="1">
      <c r="A3619" s="59">
        <f t="shared" si="20"/>
        <v>57</v>
      </c>
      <c r="B3619" s="59" t="str">
        <f t="shared" si="21"/>
        <v/>
      </c>
      <c r="C3619" s="59" t="str">
        <f t="shared" si="22"/>
        <v/>
      </c>
      <c r="D3619" s="45" t="str">
        <f t="shared" si="23"/>
        <v/>
      </c>
      <c r="E3619" s="45" t="str">
        <f t="shared" si="24"/>
        <v/>
      </c>
      <c r="F3619" s="59" t="str">
        <f t="shared" si="25"/>
        <v/>
      </c>
      <c r="G3619" s="59" t="str">
        <f t="shared" si="26"/>
        <v/>
      </c>
      <c r="H3619" s="59" t="str">
        <f t="shared" si="27"/>
        <v>28C05345</v>
      </c>
      <c r="I3619" s="59" t="str">
        <f>IF(OR($A3619="",$C3619="",$D3619="",$E3619="",$H3619=""),"",SUMIFS(DATA_GOC!$H:$H,DATA_GOC!$A:$A,"BOM",DATA_GOC!$D:$D,$H3619,DATA_GOC!$E:$E,$C3619,DATA_GOC!$F:$F,"Xuất nội bộ từ téc",DATA_GOC!$B:$B,"&gt;="&amp;$D3619,DATA_GOC!$B:$B,"&lt;="&amp;$E3619))</f>
        <v/>
      </c>
      <c r="J3619" s="59">
        <f t="shared" si="28"/>
        <v>0</v>
      </c>
      <c r="K3619" s="59">
        <f t="shared" si="29"/>
        <v>0</v>
      </c>
      <c r="L3619" s="59">
        <f t="shared" si="30"/>
        <v>0</v>
      </c>
      <c r="M3619" s="59">
        <f t="shared" si="31"/>
        <v>0</v>
      </c>
    </row>
    <row r="3620" ht="15.0" hidden="1" customHeight="1">
      <c r="A3620" s="59">
        <f t="shared" si="20"/>
        <v>57</v>
      </c>
      <c r="B3620" s="59" t="str">
        <f t="shared" si="21"/>
        <v/>
      </c>
      <c r="C3620" s="59" t="str">
        <f t="shared" si="22"/>
        <v/>
      </c>
      <c r="D3620" s="45" t="str">
        <f t="shared" si="23"/>
        <v/>
      </c>
      <c r="E3620" s="45" t="str">
        <f t="shared" si="24"/>
        <v/>
      </c>
      <c r="F3620" s="59" t="str">
        <f t="shared" si="25"/>
        <v/>
      </c>
      <c r="G3620" s="59" t="str">
        <f t="shared" si="26"/>
        <v/>
      </c>
      <c r="H3620" s="59" t="str">
        <f t="shared" si="27"/>
        <v>28C05661</v>
      </c>
      <c r="I3620" s="59" t="str">
        <f>IF(OR($A3620="",$C3620="",$D3620="",$E3620="",$H3620=""),"",SUMIFS(DATA_GOC!$H:$H,DATA_GOC!$A:$A,"BOM",DATA_GOC!$D:$D,$H3620,DATA_GOC!$E:$E,$C3620,DATA_GOC!$F:$F,"Xuất nội bộ từ téc",DATA_GOC!$B:$B,"&gt;="&amp;$D3620,DATA_GOC!$B:$B,"&lt;="&amp;$E3620))</f>
        <v/>
      </c>
      <c r="J3620" s="59">
        <f t="shared" si="28"/>
        <v>0</v>
      </c>
      <c r="K3620" s="59">
        <f t="shared" si="29"/>
        <v>0</v>
      </c>
      <c r="L3620" s="59">
        <f t="shared" si="30"/>
        <v>0</v>
      </c>
      <c r="M3620" s="59">
        <f t="shared" si="31"/>
        <v>0</v>
      </c>
    </row>
    <row r="3621" ht="15.0" hidden="1" customHeight="1">
      <c r="A3621" s="59">
        <f t="shared" si="20"/>
        <v>57</v>
      </c>
      <c r="B3621" s="59" t="str">
        <f t="shared" si="21"/>
        <v/>
      </c>
      <c r="C3621" s="59" t="str">
        <f t="shared" si="22"/>
        <v/>
      </c>
      <c r="D3621" s="45" t="str">
        <f t="shared" si="23"/>
        <v/>
      </c>
      <c r="E3621" s="45" t="str">
        <f t="shared" si="24"/>
        <v/>
      </c>
      <c r="F3621" s="59" t="str">
        <f t="shared" si="25"/>
        <v/>
      </c>
      <c r="G3621" s="59" t="str">
        <f t="shared" si="26"/>
        <v/>
      </c>
      <c r="H3621" s="59" t="str">
        <f t="shared" si="27"/>
        <v>28C05739</v>
      </c>
      <c r="I3621" s="59" t="str">
        <f>IF(OR($A3621="",$C3621="",$D3621="",$E3621="",$H3621=""),"",SUMIFS(DATA_GOC!$H:$H,DATA_GOC!$A:$A,"BOM",DATA_GOC!$D:$D,$H3621,DATA_GOC!$E:$E,$C3621,DATA_GOC!$F:$F,"Xuất nội bộ từ téc",DATA_GOC!$B:$B,"&gt;="&amp;$D3621,DATA_GOC!$B:$B,"&lt;="&amp;$E3621))</f>
        <v/>
      </c>
      <c r="J3621" s="59">
        <f t="shared" si="28"/>
        <v>0</v>
      </c>
      <c r="K3621" s="59">
        <f t="shared" si="29"/>
        <v>0</v>
      </c>
      <c r="L3621" s="59">
        <f t="shared" si="30"/>
        <v>0</v>
      </c>
      <c r="M3621" s="59">
        <f t="shared" si="31"/>
        <v>0</v>
      </c>
    </row>
    <row r="3622" ht="15.0" hidden="1" customHeight="1">
      <c r="A3622" s="59">
        <f t="shared" si="20"/>
        <v>57</v>
      </c>
      <c r="B3622" s="59" t="str">
        <f t="shared" si="21"/>
        <v/>
      </c>
      <c r="C3622" s="59" t="str">
        <f t="shared" si="22"/>
        <v/>
      </c>
      <c r="D3622" s="45" t="str">
        <f t="shared" si="23"/>
        <v/>
      </c>
      <c r="E3622" s="45" t="str">
        <f t="shared" si="24"/>
        <v/>
      </c>
      <c r="F3622" s="59" t="str">
        <f t="shared" si="25"/>
        <v/>
      </c>
      <c r="G3622" s="59" t="str">
        <f t="shared" si="26"/>
        <v/>
      </c>
      <c r="H3622" s="59" t="str">
        <f t="shared" si="27"/>
        <v>28C06369</v>
      </c>
      <c r="I3622" s="59" t="str">
        <f>IF(OR($A3622="",$C3622="",$D3622="",$E3622="",$H3622=""),"",SUMIFS(DATA_GOC!$H:$H,DATA_GOC!$A:$A,"BOM",DATA_GOC!$D:$D,$H3622,DATA_GOC!$E:$E,$C3622,DATA_GOC!$F:$F,"Xuất nội bộ từ téc",DATA_GOC!$B:$B,"&gt;="&amp;$D3622,DATA_GOC!$B:$B,"&lt;="&amp;$E3622))</f>
        <v/>
      </c>
      <c r="J3622" s="59">
        <f t="shared" si="28"/>
        <v>0</v>
      </c>
      <c r="K3622" s="59">
        <f t="shared" si="29"/>
        <v>0</v>
      </c>
      <c r="L3622" s="59">
        <f t="shared" si="30"/>
        <v>0</v>
      </c>
      <c r="M3622" s="59">
        <f t="shared" si="31"/>
        <v>0</v>
      </c>
    </row>
    <row r="3623" ht="15.0" hidden="1" customHeight="1">
      <c r="A3623" s="59">
        <f t="shared" si="20"/>
        <v>57</v>
      </c>
      <c r="B3623" s="59" t="str">
        <f t="shared" si="21"/>
        <v/>
      </c>
      <c r="C3623" s="59" t="str">
        <f t="shared" si="22"/>
        <v/>
      </c>
      <c r="D3623" s="45" t="str">
        <f t="shared" si="23"/>
        <v/>
      </c>
      <c r="E3623" s="45" t="str">
        <f t="shared" si="24"/>
        <v/>
      </c>
      <c r="F3623" s="59" t="str">
        <f t="shared" si="25"/>
        <v/>
      </c>
      <c r="G3623" s="59" t="str">
        <f t="shared" si="26"/>
        <v/>
      </c>
      <c r="H3623" s="59" t="str">
        <f t="shared" si="27"/>
        <v>28C06447</v>
      </c>
      <c r="I3623" s="59" t="str">
        <f>IF(OR($A3623="",$C3623="",$D3623="",$E3623="",$H3623=""),"",SUMIFS(DATA_GOC!$H:$H,DATA_GOC!$A:$A,"BOM",DATA_GOC!$D:$D,$H3623,DATA_GOC!$E:$E,$C3623,DATA_GOC!$F:$F,"Xuất nội bộ từ téc",DATA_GOC!$B:$B,"&gt;="&amp;$D3623,DATA_GOC!$B:$B,"&lt;="&amp;$E3623))</f>
        <v/>
      </c>
      <c r="J3623" s="59">
        <f t="shared" si="28"/>
        <v>0</v>
      </c>
      <c r="K3623" s="59">
        <f t="shared" si="29"/>
        <v>0</v>
      </c>
      <c r="L3623" s="59">
        <f t="shared" si="30"/>
        <v>0</v>
      </c>
      <c r="M3623" s="59">
        <f t="shared" si="31"/>
        <v>0</v>
      </c>
    </row>
    <row r="3624" ht="15.0" hidden="1" customHeight="1">
      <c r="A3624" s="59">
        <f t="shared" si="20"/>
        <v>57</v>
      </c>
      <c r="B3624" s="59" t="str">
        <f t="shared" si="21"/>
        <v/>
      </c>
      <c r="C3624" s="59" t="str">
        <f t="shared" si="22"/>
        <v/>
      </c>
      <c r="D3624" s="45" t="str">
        <f t="shared" si="23"/>
        <v/>
      </c>
      <c r="E3624" s="45" t="str">
        <f t="shared" si="24"/>
        <v/>
      </c>
      <c r="F3624" s="59" t="str">
        <f t="shared" si="25"/>
        <v/>
      </c>
      <c r="G3624" s="59" t="str">
        <f t="shared" si="26"/>
        <v/>
      </c>
      <c r="H3624" s="59" t="str">
        <f t="shared" si="27"/>
        <v>28H00003</v>
      </c>
      <c r="I3624" s="59" t="str">
        <f>IF(OR($A3624="",$C3624="",$D3624="",$E3624="",$H3624=""),"",SUMIFS(DATA_GOC!$H:$H,DATA_GOC!$A:$A,"BOM",DATA_GOC!$D:$D,$H3624,DATA_GOC!$E:$E,$C3624,DATA_GOC!$F:$F,"Xuất nội bộ từ téc",DATA_GOC!$B:$B,"&gt;="&amp;$D3624,DATA_GOC!$B:$B,"&lt;="&amp;$E3624))</f>
        <v/>
      </c>
      <c r="J3624" s="59">
        <f t="shared" si="28"/>
        <v>0</v>
      </c>
      <c r="K3624" s="59">
        <f t="shared" si="29"/>
        <v>0</v>
      </c>
      <c r="L3624" s="59">
        <f t="shared" si="30"/>
        <v>0</v>
      </c>
      <c r="M3624" s="59">
        <f t="shared" si="31"/>
        <v>0</v>
      </c>
    </row>
    <row r="3625" ht="15.0" hidden="1" customHeight="1">
      <c r="A3625" s="59">
        <f t="shared" si="20"/>
        <v>57</v>
      </c>
      <c r="B3625" s="59" t="str">
        <f t="shared" si="21"/>
        <v/>
      </c>
      <c r="C3625" s="59" t="str">
        <f t="shared" si="22"/>
        <v/>
      </c>
      <c r="D3625" s="45" t="str">
        <f t="shared" si="23"/>
        <v/>
      </c>
      <c r="E3625" s="45" t="str">
        <f t="shared" si="24"/>
        <v/>
      </c>
      <c r="F3625" s="59" t="str">
        <f t="shared" si="25"/>
        <v/>
      </c>
      <c r="G3625" s="59" t="str">
        <f t="shared" si="26"/>
        <v/>
      </c>
      <c r="H3625" s="59" t="str">
        <f t="shared" si="27"/>
        <v>28H00061</v>
      </c>
      <c r="I3625" s="59" t="str">
        <f>IF(OR($A3625="",$C3625="",$D3625="",$E3625="",$H3625=""),"",SUMIFS(DATA_GOC!$H:$H,DATA_GOC!$A:$A,"BOM",DATA_GOC!$D:$D,$H3625,DATA_GOC!$E:$E,$C3625,DATA_GOC!$F:$F,"Xuất nội bộ từ téc",DATA_GOC!$B:$B,"&gt;="&amp;$D3625,DATA_GOC!$B:$B,"&lt;="&amp;$E3625))</f>
        <v/>
      </c>
      <c r="J3625" s="59">
        <f t="shared" si="28"/>
        <v>0</v>
      </c>
      <c r="K3625" s="59">
        <f t="shared" si="29"/>
        <v>0</v>
      </c>
      <c r="L3625" s="59">
        <f t="shared" si="30"/>
        <v>0</v>
      </c>
      <c r="M3625" s="59">
        <f t="shared" si="31"/>
        <v>0</v>
      </c>
    </row>
    <row r="3626" ht="15.0" hidden="1" customHeight="1">
      <c r="A3626" s="59">
        <f t="shared" si="20"/>
        <v>57</v>
      </c>
      <c r="B3626" s="59" t="str">
        <f t="shared" si="21"/>
        <v/>
      </c>
      <c r="C3626" s="59" t="str">
        <f t="shared" si="22"/>
        <v/>
      </c>
      <c r="D3626" s="45" t="str">
        <f t="shared" si="23"/>
        <v/>
      </c>
      <c r="E3626" s="45" t="str">
        <f t="shared" si="24"/>
        <v/>
      </c>
      <c r="F3626" s="59" t="str">
        <f t="shared" si="25"/>
        <v/>
      </c>
      <c r="G3626" s="59" t="str">
        <f t="shared" si="26"/>
        <v/>
      </c>
      <c r="H3626" s="59" t="str">
        <f t="shared" si="27"/>
        <v>28H00354</v>
      </c>
      <c r="I3626" s="59" t="str">
        <f>IF(OR($A3626="",$C3626="",$D3626="",$E3626="",$H3626=""),"",SUMIFS(DATA_GOC!$H:$H,DATA_GOC!$A:$A,"BOM",DATA_GOC!$D:$D,$H3626,DATA_GOC!$E:$E,$C3626,DATA_GOC!$F:$F,"Xuất nội bộ từ téc",DATA_GOC!$B:$B,"&gt;="&amp;$D3626,DATA_GOC!$B:$B,"&lt;="&amp;$E3626))</f>
        <v/>
      </c>
      <c r="J3626" s="59">
        <f t="shared" si="28"/>
        <v>0</v>
      </c>
      <c r="K3626" s="59">
        <f t="shared" si="29"/>
        <v>0</v>
      </c>
      <c r="L3626" s="59">
        <f t="shared" si="30"/>
        <v>0</v>
      </c>
      <c r="M3626" s="59">
        <f t="shared" si="31"/>
        <v>0</v>
      </c>
    </row>
    <row r="3627" ht="15.0" hidden="1" customHeight="1">
      <c r="A3627" s="59">
        <f t="shared" si="20"/>
        <v>57</v>
      </c>
      <c r="B3627" s="59" t="str">
        <f t="shared" si="21"/>
        <v/>
      </c>
      <c r="C3627" s="59" t="str">
        <f t="shared" si="22"/>
        <v/>
      </c>
      <c r="D3627" s="45" t="str">
        <f t="shared" si="23"/>
        <v/>
      </c>
      <c r="E3627" s="45" t="str">
        <f t="shared" si="24"/>
        <v/>
      </c>
      <c r="F3627" s="59" t="str">
        <f t="shared" si="25"/>
        <v/>
      </c>
      <c r="G3627" s="59" t="str">
        <f t="shared" si="26"/>
        <v/>
      </c>
      <c r="H3627" s="59" t="str">
        <f t="shared" si="27"/>
        <v>28H00603</v>
      </c>
      <c r="I3627" s="59" t="str">
        <f>IF(OR($A3627="",$C3627="",$D3627="",$E3627="",$H3627=""),"",SUMIFS(DATA_GOC!$H:$H,DATA_GOC!$A:$A,"BOM",DATA_GOC!$D:$D,$H3627,DATA_GOC!$E:$E,$C3627,DATA_GOC!$F:$F,"Xuất nội bộ từ téc",DATA_GOC!$B:$B,"&gt;="&amp;$D3627,DATA_GOC!$B:$B,"&lt;="&amp;$E3627))</f>
        <v/>
      </c>
      <c r="J3627" s="59">
        <f t="shared" si="28"/>
        <v>0</v>
      </c>
      <c r="K3627" s="59">
        <f t="shared" si="29"/>
        <v>0</v>
      </c>
      <c r="L3627" s="59">
        <f t="shared" si="30"/>
        <v>0</v>
      </c>
      <c r="M3627" s="59">
        <f t="shared" si="31"/>
        <v>0</v>
      </c>
    </row>
    <row r="3628" ht="15.0" hidden="1" customHeight="1">
      <c r="A3628" s="59">
        <f t="shared" si="20"/>
        <v>57</v>
      </c>
      <c r="B3628" s="59" t="str">
        <f t="shared" si="21"/>
        <v/>
      </c>
      <c r="C3628" s="59" t="str">
        <f t="shared" si="22"/>
        <v/>
      </c>
      <c r="D3628" s="45" t="str">
        <f t="shared" si="23"/>
        <v/>
      </c>
      <c r="E3628" s="45" t="str">
        <f t="shared" si="24"/>
        <v/>
      </c>
      <c r="F3628" s="59" t="str">
        <f t="shared" si="25"/>
        <v/>
      </c>
      <c r="G3628" s="59" t="str">
        <f t="shared" si="26"/>
        <v/>
      </c>
      <c r="H3628" s="59" t="str">
        <f t="shared" si="27"/>
        <v>28H00609</v>
      </c>
      <c r="I3628" s="59" t="str">
        <f>IF(OR($A3628="",$C3628="",$D3628="",$E3628="",$H3628=""),"",SUMIFS(DATA_GOC!$H:$H,DATA_GOC!$A:$A,"BOM",DATA_GOC!$D:$D,$H3628,DATA_GOC!$E:$E,$C3628,DATA_GOC!$F:$F,"Xuất nội bộ từ téc",DATA_GOC!$B:$B,"&gt;="&amp;$D3628,DATA_GOC!$B:$B,"&lt;="&amp;$E3628))</f>
        <v/>
      </c>
      <c r="J3628" s="59">
        <f t="shared" si="28"/>
        <v>0</v>
      </c>
      <c r="K3628" s="59">
        <f t="shared" si="29"/>
        <v>0</v>
      </c>
      <c r="L3628" s="59">
        <f t="shared" si="30"/>
        <v>0</v>
      </c>
      <c r="M3628" s="59">
        <f t="shared" si="31"/>
        <v>0</v>
      </c>
    </row>
    <row r="3629" ht="15.0" hidden="1" customHeight="1">
      <c r="A3629" s="59">
        <f t="shared" si="20"/>
        <v>57</v>
      </c>
      <c r="B3629" s="59" t="str">
        <f t="shared" si="21"/>
        <v/>
      </c>
      <c r="C3629" s="59" t="str">
        <f t="shared" si="22"/>
        <v/>
      </c>
      <c r="D3629" s="45" t="str">
        <f t="shared" si="23"/>
        <v/>
      </c>
      <c r="E3629" s="45" t="str">
        <f t="shared" si="24"/>
        <v/>
      </c>
      <c r="F3629" s="59" t="str">
        <f t="shared" si="25"/>
        <v/>
      </c>
      <c r="G3629" s="59" t="str">
        <f t="shared" si="26"/>
        <v/>
      </c>
      <c r="H3629" s="59" t="str">
        <f t="shared" si="27"/>
        <v>28H00669</v>
      </c>
      <c r="I3629" s="59" t="str">
        <f>IF(OR($A3629="",$C3629="",$D3629="",$E3629="",$H3629=""),"",SUMIFS(DATA_GOC!$H:$H,DATA_GOC!$A:$A,"BOM",DATA_GOC!$D:$D,$H3629,DATA_GOC!$E:$E,$C3629,DATA_GOC!$F:$F,"Xuất nội bộ từ téc",DATA_GOC!$B:$B,"&gt;="&amp;$D3629,DATA_GOC!$B:$B,"&lt;="&amp;$E3629))</f>
        <v/>
      </c>
      <c r="J3629" s="59">
        <f t="shared" si="28"/>
        <v>0</v>
      </c>
      <c r="K3629" s="59">
        <f t="shared" si="29"/>
        <v>0</v>
      </c>
      <c r="L3629" s="59">
        <f t="shared" si="30"/>
        <v>0</v>
      </c>
      <c r="M3629" s="59">
        <f t="shared" si="31"/>
        <v>0</v>
      </c>
    </row>
    <row r="3630" ht="15.0" hidden="1" customHeight="1">
      <c r="A3630" s="59">
        <f t="shared" si="20"/>
        <v>57</v>
      </c>
      <c r="B3630" s="59" t="str">
        <f t="shared" si="21"/>
        <v/>
      </c>
      <c r="C3630" s="59" t="str">
        <f t="shared" si="22"/>
        <v/>
      </c>
      <c r="D3630" s="45" t="str">
        <f t="shared" si="23"/>
        <v/>
      </c>
      <c r="E3630" s="45" t="str">
        <f t="shared" si="24"/>
        <v/>
      </c>
      <c r="F3630" s="59" t="str">
        <f t="shared" si="25"/>
        <v/>
      </c>
      <c r="G3630" s="59" t="str">
        <f t="shared" si="26"/>
        <v/>
      </c>
      <c r="H3630" s="59" t="str">
        <f t="shared" si="27"/>
        <v>28H00680</v>
      </c>
      <c r="I3630" s="59" t="str">
        <f>IF(OR($A3630="",$C3630="",$D3630="",$E3630="",$H3630=""),"",SUMIFS(DATA_GOC!$H:$H,DATA_GOC!$A:$A,"BOM",DATA_GOC!$D:$D,$H3630,DATA_GOC!$E:$E,$C3630,DATA_GOC!$F:$F,"Xuất nội bộ từ téc",DATA_GOC!$B:$B,"&gt;="&amp;$D3630,DATA_GOC!$B:$B,"&lt;="&amp;$E3630))</f>
        <v/>
      </c>
      <c r="J3630" s="59">
        <f t="shared" si="28"/>
        <v>0</v>
      </c>
      <c r="K3630" s="59">
        <f t="shared" si="29"/>
        <v>0</v>
      </c>
      <c r="L3630" s="59">
        <f t="shared" si="30"/>
        <v>0</v>
      </c>
      <c r="M3630" s="59">
        <f t="shared" si="31"/>
        <v>0</v>
      </c>
    </row>
    <row r="3631" ht="15.0" hidden="1" customHeight="1">
      <c r="A3631" s="59">
        <f t="shared" si="20"/>
        <v>57</v>
      </c>
      <c r="B3631" s="59" t="str">
        <f t="shared" si="21"/>
        <v/>
      </c>
      <c r="C3631" s="59" t="str">
        <f t="shared" si="22"/>
        <v/>
      </c>
      <c r="D3631" s="45" t="str">
        <f t="shared" si="23"/>
        <v/>
      </c>
      <c r="E3631" s="45" t="str">
        <f t="shared" si="24"/>
        <v/>
      </c>
      <c r="F3631" s="59" t="str">
        <f t="shared" si="25"/>
        <v/>
      </c>
      <c r="G3631" s="59" t="str">
        <f t="shared" si="26"/>
        <v/>
      </c>
      <c r="H3631" s="59" t="str">
        <f t="shared" si="27"/>
        <v>28H01070</v>
      </c>
      <c r="I3631" s="59" t="str">
        <f>IF(OR($A3631="",$C3631="",$D3631="",$E3631="",$H3631=""),"",SUMIFS(DATA_GOC!$H:$H,DATA_GOC!$A:$A,"BOM",DATA_GOC!$D:$D,$H3631,DATA_GOC!$E:$E,$C3631,DATA_GOC!$F:$F,"Xuất nội bộ từ téc",DATA_GOC!$B:$B,"&gt;="&amp;$D3631,DATA_GOC!$B:$B,"&lt;="&amp;$E3631))</f>
        <v/>
      </c>
      <c r="J3631" s="59">
        <f t="shared" si="28"/>
        <v>0</v>
      </c>
      <c r="K3631" s="59">
        <f t="shared" si="29"/>
        <v>0</v>
      </c>
      <c r="L3631" s="59">
        <f t="shared" si="30"/>
        <v>0</v>
      </c>
      <c r="M3631" s="59">
        <f t="shared" si="31"/>
        <v>0</v>
      </c>
    </row>
    <row r="3632" ht="15.0" hidden="1" customHeight="1">
      <c r="A3632" s="59">
        <f t="shared" si="20"/>
        <v>57</v>
      </c>
      <c r="B3632" s="59" t="str">
        <f t="shared" si="21"/>
        <v/>
      </c>
      <c r="C3632" s="59" t="str">
        <f t="shared" si="22"/>
        <v/>
      </c>
      <c r="D3632" s="45" t="str">
        <f t="shared" si="23"/>
        <v/>
      </c>
      <c r="E3632" s="45" t="str">
        <f t="shared" si="24"/>
        <v/>
      </c>
      <c r="F3632" s="59" t="str">
        <f t="shared" si="25"/>
        <v/>
      </c>
      <c r="G3632" s="59" t="str">
        <f t="shared" si="26"/>
        <v/>
      </c>
      <c r="H3632" s="59" t="str">
        <f t="shared" si="27"/>
        <v>28H01364</v>
      </c>
      <c r="I3632" s="59" t="str">
        <f>IF(OR($A3632="",$C3632="",$D3632="",$E3632="",$H3632=""),"",SUMIFS(DATA_GOC!$H:$H,DATA_GOC!$A:$A,"BOM",DATA_GOC!$D:$D,$H3632,DATA_GOC!$E:$E,$C3632,DATA_GOC!$F:$F,"Xuất nội bộ từ téc",DATA_GOC!$B:$B,"&gt;="&amp;$D3632,DATA_GOC!$B:$B,"&lt;="&amp;$E3632))</f>
        <v/>
      </c>
      <c r="J3632" s="59">
        <f t="shared" si="28"/>
        <v>0</v>
      </c>
      <c r="K3632" s="59">
        <f t="shared" si="29"/>
        <v>0</v>
      </c>
      <c r="L3632" s="59">
        <f t="shared" si="30"/>
        <v>0</v>
      </c>
      <c r="M3632" s="59">
        <f t="shared" si="31"/>
        <v>0</v>
      </c>
    </row>
    <row r="3633" ht="15.0" hidden="1" customHeight="1">
      <c r="A3633" s="59">
        <f t="shared" si="20"/>
        <v>57</v>
      </c>
      <c r="B3633" s="59" t="str">
        <f t="shared" si="21"/>
        <v/>
      </c>
      <c r="C3633" s="59" t="str">
        <f t="shared" si="22"/>
        <v/>
      </c>
      <c r="D3633" s="45" t="str">
        <f t="shared" si="23"/>
        <v/>
      </c>
      <c r="E3633" s="45" t="str">
        <f t="shared" si="24"/>
        <v/>
      </c>
      <c r="F3633" s="59" t="str">
        <f t="shared" si="25"/>
        <v/>
      </c>
      <c r="G3633" s="59" t="str">
        <f t="shared" si="26"/>
        <v/>
      </c>
      <c r="H3633" s="59" t="str">
        <f t="shared" si="27"/>
        <v>29E17269</v>
      </c>
      <c r="I3633" s="59" t="str">
        <f>IF(OR($A3633="",$C3633="",$D3633="",$E3633="",$H3633=""),"",SUMIFS(DATA_GOC!$H:$H,DATA_GOC!$A:$A,"BOM",DATA_GOC!$D:$D,$H3633,DATA_GOC!$E:$E,$C3633,DATA_GOC!$F:$F,"Xuất nội bộ từ téc",DATA_GOC!$B:$B,"&gt;="&amp;$D3633,DATA_GOC!$B:$B,"&lt;="&amp;$E3633))</f>
        <v/>
      </c>
      <c r="J3633" s="59">
        <f t="shared" si="28"/>
        <v>0</v>
      </c>
      <c r="K3633" s="59">
        <f t="shared" si="29"/>
        <v>0</v>
      </c>
      <c r="L3633" s="59">
        <f t="shared" si="30"/>
        <v>0</v>
      </c>
      <c r="M3633" s="59">
        <f t="shared" si="31"/>
        <v>0</v>
      </c>
    </row>
    <row r="3634" ht="15.0" hidden="1" customHeight="1">
      <c r="A3634" s="59">
        <f t="shared" si="20"/>
        <v>57</v>
      </c>
      <c r="B3634" s="59" t="str">
        <f t="shared" si="21"/>
        <v/>
      </c>
      <c r="C3634" s="59" t="str">
        <f t="shared" si="22"/>
        <v/>
      </c>
      <c r="D3634" s="45" t="str">
        <f t="shared" si="23"/>
        <v/>
      </c>
      <c r="E3634" s="45" t="str">
        <f t="shared" si="24"/>
        <v/>
      </c>
      <c r="F3634" s="59" t="str">
        <f t="shared" si="25"/>
        <v/>
      </c>
      <c r="G3634" s="59" t="str">
        <f t="shared" si="26"/>
        <v/>
      </c>
      <c r="H3634" s="59" t="str">
        <f t="shared" si="27"/>
        <v>29E17273</v>
      </c>
      <c r="I3634" s="59" t="str">
        <f>IF(OR($A3634="",$C3634="",$D3634="",$E3634="",$H3634=""),"",SUMIFS(DATA_GOC!$H:$H,DATA_GOC!$A:$A,"BOM",DATA_GOC!$D:$D,$H3634,DATA_GOC!$E:$E,$C3634,DATA_GOC!$F:$F,"Xuất nội bộ từ téc",DATA_GOC!$B:$B,"&gt;="&amp;$D3634,DATA_GOC!$B:$B,"&lt;="&amp;$E3634))</f>
        <v/>
      </c>
      <c r="J3634" s="59">
        <f t="shared" si="28"/>
        <v>0</v>
      </c>
      <c r="K3634" s="59">
        <f t="shared" si="29"/>
        <v>0</v>
      </c>
      <c r="L3634" s="59">
        <f t="shared" si="30"/>
        <v>0</v>
      </c>
      <c r="M3634" s="59">
        <f t="shared" si="31"/>
        <v>0</v>
      </c>
    </row>
    <row r="3635" ht="15.0" hidden="1" customHeight="1">
      <c r="A3635" s="59">
        <f t="shared" si="20"/>
        <v>57</v>
      </c>
      <c r="B3635" s="59" t="str">
        <f t="shared" si="21"/>
        <v/>
      </c>
      <c r="C3635" s="59" t="str">
        <f t="shared" si="22"/>
        <v/>
      </c>
      <c r="D3635" s="45" t="str">
        <f t="shared" si="23"/>
        <v/>
      </c>
      <c r="E3635" s="45" t="str">
        <f t="shared" si="24"/>
        <v/>
      </c>
      <c r="F3635" s="59" t="str">
        <f t="shared" si="25"/>
        <v/>
      </c>
      <c r="G3635" s="59" t="str">
        <f t="shared" si="26"/>
        <v/>
      </c>
      <c r="H3635" s="59" t="str">
        <f t="shared" si="27"/>
        <v>29E17410</v>
      </c>
      <c r="I3635" s="59" t="str">
        <f>IF(OR($A3635="",$C3635="",$D3635="",$E3635="",$H3635=""),"",SUMIFS(DATA_GOC!$H:$H,DATA_GOC!$A:$A,"BOM",DATA_GOC!$D:$D,$H3635,DATA_GOC!$E:$E,$C3635,DATA_GOC!$F:$F,"Xuất nội bộ từ téc",DATA_GOC!$B:$B,"&gt;="&amp;$D3635,DATA_GOC!$B:$B,"&lt;="&amp;$E3635))</f>
        <v/>
      </c>
      <c r="J3635" s="59">
        <f t="shared" si="28"/>
        <v>0</v>
      </c>
      <c r="K3635" s="59">
        <f t="shared" si="29"/>
        <v>0</v>
      </c>
      <c r="L3635" s="59">
        <f t="shared" si="30"/>
        <v>0</v>
      </c>
      <c r="M3635" s="59">
        <f t="shared" si="31"/>
        <v>0</v>
      </c>
    </row>
    <row r="3636" ht="15.0" hidden="1" customHeight="1">
      <c r="A3636" s="59">
        <f t="shared" si="20"/>
        <v>57</v>
      </c>
      <c r="B3636" s="59" t="str">
        <f t="shared" si="21"/>
        <v/>
      </c>
      <c r="C3636" s="59" t="str">
        <f t="shared" si="22"/>
        <v/>
      </c>
      <c r="D3636" s="45" t="str">
        <f t="shared" si="23"/>
        <v/>
      </c>
      <c r="E3636" s="45" t="str">
        <f t="shared" si="24"/>
        <v/>
      </c>
      <c r="F3636" s="59" t="str">
        <f t="shared" si="25"/>
        <v/>
      </c>
      <c r="G3636" s="59" t="str">
        <f t="shared" si="26"/>
        <v/>
      </c>
      <c r="H3636" s="59" t="str">
        <f t="shared" si="27"/>
        <v>29E17417</v>
      </c>
      <c r="I3636" s="59" t="str">
        <f>IF(OR($A3636="",$C3636="",$D3636="",$E3636="",$H3636=""),"",SUMIFS(DATA_GOC!$H:$H,DATA_GOC!$A:$A,"BOM",DATA_GOC!$D:$D,$H3636,DATA_GOC!$E:$E,$C3636,DATA_GOC!$F:$F,"Xuất nội bộ từ téc",DATA_GOC!$B:$B,"&gt;="&amp;$D3636,DATA_GOC!$B:$B,"&lt;="&amp;$E3636))</f>
        <v/>
      </c>
      <c r="J3636" s="59">
        <f t="shared" si="28"/>
        <v>0</v>
      </c>
      <c r="K3636" s="59">
        <f t="shared" si="29"/>
        <v>0</v>
      </c>
      <c r="L3636" s="59">
        <f t="shared" si="30"/>
        <v>0</v>
      </c>
      <c r="M3636" s="59">
        <f t="shared" si="31"/>
        <v>0</v>
      </c>
    </row>
    <row r="3637" ht="15.0" hidden="1" customHeight="1">
      <c r="A3637" s="59">
        <f t="shared" si="20"/>
        <v>57</v>
      </c>
      <c r="B3637" s="59" t="str">
        <f t="shared" si="21"/>
        <v/>
      </c>
      <c r="C3637" s="59" t="str">
        <f t="shared" si="22"/>
        <v/>
      </c>
      <c r="D3637" s="45" t="str">
        <f t="shared" si="23"/>
        <v/>
      </c>
      <c r="E3637" s="45" t="str">
        <f t="shared" si="24"/>
        <v/>
      </c>
      <c r="F3637" s="59" t="str">
        <f t="shared" si="25"/>
        <v/>
      </c>
      <c r="G3637" s="59" t="str">
        <f t="shared" si="26"/>
        <v/>
      </c>
      <c r="H3637" s="59" t="str">
        <f t="shared" si="27"/>
        <v>29E17539</v>
      </c>
      <c r="I3637" s="59" t="str">
        <f>IF(OR($A3637="",$C3637="",$D3637="",$E3637="",$H3637=""),"",SUMIFS(DATA_GOC!$H:$H,DATA_GOC!$A:$A,"BOM",DATA_GOC!$D:$D,$H3637,DATA_GOC!$E:$E,$C3637,DATA_GOC!$F:$F,"Xuất nội bộ từ téc",DATA_GOC!$B:$B,"&gt;="&amp;$D3637,DATA_GOC!$B:$B,"&lt;="&amp;$E3637))</f>
        <v/>
      </c>
      <c r="J3637" s="59">
        <f t="shared" si="28"/>
        <v>0</v>
      </c>
      <c r="K3637" s="59">
        <f t="shared" si="29"/>
        <v>0</v>
      </c>
      <c r="L3637" s="59">
        <f t="shared" si="30"/>
        <v>0</v>
      </c>
      <c r="M3637" s="59">
        <f t="shared" si="31"/>
        <v>0</v>
      </c>
    </row>
    <row r="3638" ht="15.0" hidden="1" customHeight="1">
      <c r="A3638" s="59">
        <f t="shared" si="20"/>
        <v>57</v>
      </c>
      <c r="B3638" s="59" t="str">
        <f t="shared" si="21"/>
        <v/>
      </c>
      <c r="C3638" s="59" t="str">
        <f t="shared" si="22"/>
        <v/>
      </c>
      <c r="D3638" s="45" t="str">
        <f t="shared" si="23"/>
        <v/>
      </c>
      <c r="E3638" s="45" t="str">
        <f t="shared" si="24"/>
        <v/>
      </c>
      <c r="F3638" s="59" t="str">
        <f t="shared" si="25"/>
        <v/>
      </c>
      <c r="G3638" s="59" t="str">
        <f t="shared" si="26"/>
        <v/>
      </c>
      <c r="H3638" s="59" t="str">
        <f t="shared" si="27"/>
        <v>29E18160</v>
      </c>
      <c r="I3638" s="59" t="str">
        <f>IF(OR($A3638="",$C3638="",$D3638="",$E3638="",$H3638=""),"",SUMIFS(DATA_GOC!$H:$H,DATA_GOC!$A:$A,"BOM",DATA_GOC!$D:$D,$H3638,DATA_GOC!$E:$E,$C3638,DATA_GOC!$F:$F,"Xuất nội bộ từ téc",DATA_GOC!$B:$B,"&gt;="&amp;$D3638,DATA_GOC!$B:$B,"&lt;="&amp;$E3638))</f>
        <v/>
      </c>
      <c r="J3638" s="59">
        <f t="shared" si="28"/>
        <v>0</v>
      </c>
      <c r="K3638" s="59">
        <f t="shared" si="29"/>
        <v>0</v>
      </c>
      <c r="L3638" s="59">
        <f t="shared" si="30"/>
        <v>0</v>
      </c>
      <c r="M3638" s="59">
        <f t="shared" si="31"/>
        <v>0</v>
      </c>
    </row>
    <row r="3639" ht="15.0" hidden="1" customHeight="1">
      <c r="A3639" s="59">
        <f t="shared" si="20"/>
        <v>57</v>
      </c>
      <c r="B3639" s="59" t="str">
        <f t="shared" si="21"/>
        <v/>
      </c>
      <c r="C3639" s="59" t="str">
        <f t="shared" si="22"/>
        <v/>
      </c>
      <c r="D3639" s="45" t="str">
        <f t="shared" si="23"/>
        <v/>
      </c>
      <c r="E3639" s="45" t="str">
        <f t="shared" si="24"/>
        <v/>
      </c>
      <c r="F3639" s="59" t="str">
        <f t="shared" si="25"/>
        <v/>
      </c>
      <c r="G3639" s="59" t="str">
        <f t="shared" si="26"/>
        <v/>
      </c>
      <c r="H3639" s="59" t="str">
        <f t="shared" si="27"/>
        <v>Công trình Asphalt</v>
      </c>
      <c r="I3639" s="59" t="str">
        <f>IF(OR($A3639="",$C3639="",$D3639="",$E3639="",$H3639=""),"",SUMIFS(DATA_GOC!$H:$H,DATA_GOC!$A:$A,"BOM",DATA_GOC!$D:$D,$H3639,DATA_GOC!$E:$E,$C3639,DATA_GOC!$F:$F,"Xuất nội bộ từ téc",DATA_GOC!$B:$B,"&gt;="&amp;$D3639,DATA_GOC!$B:$B,"&lt;="&amp;$E3639))</f>
        <v/>
      </c>
      <c r="J3639" s="59">
        <f t="shared" si="28"/>
        <v>0</v>
      </c>
      <c r="K3639" s="59">
        <f t="shared" si="29"/>
        <v>0</v>
      </c>
      <c r="L3639" s="59">
        <f t="shared" si="30"/>
        <v>0</v>
      </c>
      <c r="M3639" s="59">
        <f t="shared" si="31"/>
        <v>0</v>
      </c>
    </row>
    <row r="3640" ht="15.0" hidden="1" customHeight="1">
      <c r="A3640" s="59">
        <f t="shared" si="20"/>
        <v>57</v>
      </c>
      <c r="B3640" s="59" t="str">
        <f t="shared" si="21"/>
        <v/>
      </c>
      <c r="C3640" s="59" t="str">
        <f t="shared" si="22"/>
        <v/>
      </c>
      <c r="D3640" s="45" t="str">
        <f t="shared" si="23"/>
        <v/>
      </c>
      <c r="E3640" s="45" t="str">
        <f t="shared" si="24"/>
        <v/>
      </c>
      <c r="F3640" s="59" t="str">
        <f t="shared" si="25"/>
        <v/>
      </c>
      <c r="G3640" s="59" t="str">
        <f t="shared" si="26"/>
        <v/>
      </c>
      <c r="H3640" s="59" t="str">
        <f t="shared" si="27"/>
        <v>LG53F</v>
      </c>
      <c r="I3640" s="59" t="str">
        <f>IF(OR($A3640="",$C3640="",$D3640="",$E3640="",$H3640=""),"",SUMIFS(DATA_GOC!$H:$H,DATA_GOC!$A:$A,"BOM",DATA_GOC!$D:$D,$H3640,DATA_GOC!$E:$E,$C3640,DATA_GOC!$F:$F,"Xuất nội bộ từ téc",DATA_GOC!$B:$B,"&gt;="&amp;$D3640,DATA_GOC!$B:$B,"&lt;="&amp;$E3640))</f>
        <v/>
      </c>
      <c r="J3640" s="59">
        <f t="shared" si="28"/>
        <v>0</v>
      </c>
      <c r="K3640" s="59">
        <f t="shared" si="29"/>
        <v>0</v>
      </c>
      <c r="L3640" s="59">
        <f t="shared" si="30"/>
        <v>0</v>
      </c>
      <c r="M3640" s="59">
        <f t="shared" si="31"/>
        <v>0</v>
      </c>
    </row>
    <row r="3641" ht="15.0" hidden="1" customHeight="1">
      <c r="A3641" s="59">
        <f t="shared" si="20"/>
        <v>57</v>
      </c>
      <c r="B3641" s="59" t="str">
        <f t="shared" si="21"/>
        <v/>
      </c>
      <c r="C3641" s="59" t="str">
        <f t="shared" si="22"/>
        <v/>
      </c>
      <c r="D3641" s="45" t="str">
        <f t="shared" si="23"/>
        <v/>
      </c>
      <c r="E3641" s="45" t="str">
        <f t="shared" si="24"/>
        <v/>
      </c>
      <c r="F3641" s="59" t="str">
        <f t="shared" si="25"/>
        <v/>
      </c>
      <c r="G3641" s="59" t="str">
        <f t="shared" si="26"/>
        <v/>
      </c>
      <c r="H3641" s="59" t="str">
        <f t="shared" si="27"/>
        <v>Máy phát điện</v>
      </c>
      <c r="I3641" s="59" t="str">
        <f>IF(OR($A3641="",$C3641="",$D3641="",$E3641="",$H3641=""),"",SUMIFS(DATA_GOC!$H:$H,DATA_GOC!$A:$A,"BOM",DATA_GOC!$D:$D,$H3641,DATA_GOC!$E:$E,$C3641,DATA_GOC!$F:$F,"Xuất nội bộ từ téc",DATA_GOC!$B:$B,"&gt;="&amp;$D3641,DATA_GOC!$B:$B,"&lt;="&amp;$E3641))</f>
        <v/>
      </c>
      <c r="J3641" s="59">
        <f t="shared" si="28"/>
        <v>0</v>
      </c>
      <c r="K3641" s="59">
        <f t="shared" si="29"/>
        <v>0</v>
      </c>
      <c r="L3641" s="59">
        <f t="shared" si="30"/>
        <v>0</v>
      </c>
      <c r="M3641" s="59">
        <f t="shared" si="31"/>
        <v>0</v>
      </c>
    </row>
    <row r="3642" ht="15.0" hidden="1" customHeight="1">
      <c r="A3642" s="59">
        <f t="shared" si="20"/>
        <v>57</v>
      </c>
      <c r="B3642" s="59" t="str">
        <f t="shared" si="21"/>
        <v/>
      </c>
      <c r="C3642" s="59" t="str">
        <f t="shared" si="22"/>
        <v/>
      </c>
      <c r="D3642" s="45" t="str">
        <f t="shared" si="23"/>
        <v/>
      </c>
      <c r="E3642" s="45" t="str">
        <f t="shared" si="24"/>
        <v/>
      </c>
      <c r="F3642" s="59" t="str">
        <f t="shared" si="25"/>
        <v/>
      </c>
      <c r="G3642" s="59" t="str">
        <f t="shared" si="26"/>
        <v/>
      </c>
      <c r="H3642" s="59" t="str">
        <f t="shared" si="27"/>
        <v>Máy rải thảm</v>
      </c>
      <c r="I3642" s="59" t="str">
        <f>IF(OR($A3642="",$C3642="",$D3642="",$E3642="",$H3642=""),"",SUMIFS(DATA_GOC!$H:$H,DATA_GOC!$A:$A,"BOM",DATA_GOC!$D:$D,$H3642,DATA_GOC!$E:$E,$C3642,DATA_GOC!$F:$F,"Xuất nội bộ từ téc",DATA_GOC!$B:$B,"&gt;="&amp;$D3642,DATA_GOC!$B:$B,"&lt;="&amp;$E3642))</f>
        <v/>
      </c>
      <c r="J3642" s="59">
        <f t="shared" si="28"/>
        <v>0</v>
      </c>
      <c r="K3642" s="59">
        <f t="shared" si="29"/>
        <v>0</v>
      </c>
      <c r="L3642" s="59">
        <f t="shared" si="30"/>
        <v>0</v>
      </c>
      <c r="M3642" s="59">
        <f t="shared" si="31"/>
        <v>0</v>
      </c>
    </row>
    <row r="3643" ht="15.0" hidden="1" customHeight="1">
      <c r="A3643" s="59">
        <f t="shared" si="20"/>
        <v>57</v>
      </c>
      <c r="B3643" s="59" t="str">
        <f t="shared" si="21"/>
        <v/>
      </c>
      <c r="C3643" s="59" t="str">
        <f t="shared" si="22"/>
        <v/>
      </c>
      <c r="D3643" s="45" t="str">
        <f t="shared" si="23"/>
        <v/>
      </c>
      <c r="E3643" s="45" t="str">
        <f t="shared" si="24"/>
        <v/>
      </c>
      <c r="F3643" s="59" t="str">
        <f t="shared" si="25"/>
        <v/>
      </c>
      <c r="G3643" s="59" t="str">
        <f t="shared" si="26"/>
        <v/>
      </c>
      <c r="H3643" s="59" t="str">
        <f t="shared" si="27"/>
        <v>Xúc Đào</v>
      </c>
      <c r="I3643" s="59" t="str">
        <f>IF(OR($A3643="",$C3643="",$D3643="",$E3643="",$H3643=""),"",SUMIFS(DATA_GOC!$H:$H,DATA_GOC!$A:$A,"BOM",DATA_GOC!$D:$D,$H3643,DATA_GOC!$E:$E,$C3643,DATA_GOC!$F:$F,"Xuất nội bộ từ téc",DATA_GOC!$B:$B,"&gt;="&amp;$D3643,DATA_GOC!$B:$B,"&lt;="&amp;$E3643))</f>
        <v/>
      </c>
      <c r="J3643" s="59">
        <f t="shared" si="28"/>
        <v>0</v>
      </c>
      <c r="K3643" s="59">
        <f t="shared" si="29"/>
        <v>0</v>
      </c>
      <c r="L3643" s="59">
        <f t="shared" si="30"/>
        <v>0</v>
      </c>
      <c r="M3643" s="59">
        <f t="shared" si="31"/>
        <v>0</v>
      </c>
    </row>
    <row r="3644" ht="15.0" hidden="1" customHeight="1">
      <c r="A3644" s="59">
        <f t="shared" si="20"/>
        <v>57</v>
      </c>
      <c r="B3644" s="59" t="str">
        <f t="shared" si="21"/>
        <v/>
      </c>
      <c r="C3644" s="59" t="str">
        <f t="shared" si="22"/>
        <v/>
      </c>
      <c r="D3644" s="45" t="str">
        <f t="shared" si="23"/>
        <v/>
      </c>
      <c r="E3644" s="45" t="str">
        <f t="shared" si="24"/>
        <v/>
      </c>
      <c r="F3644" s="59" t="str">
        <f t="shared" si="25"/>
        <v/>
      </c>
      <c r="G3644" s="59" t="str">
        <f t="shared" si="26"/>
        <v/>
      </c>
      <c r="H3644" s="59" t="str">
        <f t="shared" si="27"/>
        <v>Xúclật asphalt</v>
      </c>
      <c r="I3644" s="59" t="str">
        <f>IF(OR($A3644="",$C3644="",$D3644="",$E3644="",$H3644=""),"",SUMIFS(DATA_GOC!$H:$H,DATA_GOC!$A:$A,"BOM",DATA_GOC!$D:$D,$H3644,DATA_GOC!$E:$E,$C3644,DATA_GOC!$F:$F,"Xuất nội bộ từ téc",DATA_GOC!$B:$B,"&gt;="&amp;$D3644,DATA_GOC!$B:$B,"&lt;="&amp;$E3644))</f>
        <v/>
      </c>
      <c r="J3644" s="59">
        <f t="shared" si="28"/>
        <v>0</v>
      </c>
      <c r="K3644" s="59">
        <f t="shared" si="29"/>
        <v>0</v>
      </c>
      <c r="L3644" s="59">
        <f t="shared" si="30"/>
        <v>0</v>
      </c>
      <c r="M3644" s="59">
        <f t="shared" si="31"/>
        <v>0</v>
      </c>
    </row>
    <row r="3645" ht="15.0" hidden="1" customHeight="1">
      <c r="A3645" s="59">
        <f t="shared" si="20"/>
        <v>57</v>
      </c>
      <c r="B3645" s="59" t="str">
        <f t="shared" si="21"/>
        <v/>
      </c>
      <c r="C3645" s="59" t="str">
        <f t="shared" si="22"/>
        <v/>
      </c>
      <c r="D3645" s="45" t="str">
        <f t="shared" si="23"/>
        <v/>
      </c>
      <c r="E3645" s="45" t="str">
        <f t="shared" si="24"/>
        <v/>
      </c>
      <c r="F3645" s="59" t="str">
        <f t="shared" si="25"/>
        <v/>
      </c>
      <c r="G3645" s="59" t="str">
        <f t="shared" si="26"/>
        <v/>
      </c>
      <c r="H3645" s="59" t="str">
        <f t="shared" si="27"/>
        <v>Xúclật855H</v>
      </c>
      <c r="I3645" s="59" t="str">
        <f>IF(OR($A3645="",$C3645="",$D3645="",$E3645="",$H3645=""),"",SUMIFS(DATA_GOC!$H:$H,DATA_GOC!$A:$A,"BOM",DATA_GOC!$D:$D,$H3645,DATA_GOC!$E:$E,$C3645,DATA_GOC!$F:$F,"Xuất nội bộ từ téc",DATA_GOC!$B:$B,"&gt;="&amp;$D3645,DATA_GOC!$B:$B,"&lt;="&amp;$E3645))</f>
        <v/>
      </c>
      <c r="J3645" s="59">
        <f t="shared" si="28"/>
        <v>0</v>
      </c>
      <c r="K3645" s="59">
        <f t="shared" si="29"/>
        <v>0</v>
      </c>
      <c r="L3645" s="59">
        <f t="shared" si="30"/>
        <v>0</v>
      </c>
      <c r="M3645" s="59">
        <f t="shared" si="31"/>
        <v>0</v>
      </c>
    </row>
    <row r="3646" ht="15.0" hidden="1" customHeight="1">
      <c r="A3646" s="59">
        <f t="shared" si="20"/>
        <v>57</v>
      </c>
      <c r="B3646" s="59" t="str">
        <f t="shared" si="21"/>
        <v/>
      </c>
      <c r="C3646" s="59" t="str">
        <f t="shared" si="22"/>
        <v/>
      </c>
      <c r="D3646" s="45" t="str">
        <f t="shared" si="23"/>
        <v/>
      </c>
      <c r="E3646" s="45" t="str">
        <f t="shared" si="24"/>
        <v/>
      </c>
      <c r="F3646" s="59" t="str">
        <f t="shared" si="25"/>
        <v/>
      </c>
      <c r="G3646" s="59" t="str">
        <f t="shared" si="26"/>
        <v/>
      </c>
      <c r="H3646" s="59" t="str">
        <f t="shared" si="27"/>
        <v>Xúclật855N</v>
      </c>
      <c r="I3646" s="59" t="str">
        <f>IF(OR($A3646="",$C3646="",$D3646="",$E3646="",$H3646=""),"",SUMIFS(DATA_GOC!$H:$H,DATA_GOC!$A:$A,"BOM",DATA_GOC!$D:$D,$H3646,DATA_GOC!$E:$E,$C3646,DATA_GOC!$F:$F,"Xuất nội bộ từ téc",DATA_GOC!$B:$B,"&gt;="&amp;$D3646,DATA_GOC!$B:$B,"&lt;="&amp;$E3646))</f>
        <v/>
      </c>
      <c r="J3646" s="59">
        <f t="shared" si="28"/>
        <v>0</v>
      </c>
      <c r="K3646" s="59">
        <f t="shared" si="29"/>
        <v>0</v>
      </c>
      <c r="L3646" s="59">
        <f t="shared" si="30"/>
        <v>0</v>
      </c>
      <c r="M3646" s="59">
        <f t="shared" si="31"/>
        <v>0</v>
      </c>
    </row>
    <row r="3647" ht="15.0" hidden="1" customHeight="1">
      <c r="A3647" s="59">
        <f t="shared" si="20"/>
        <v>57</v>
      </c>
      <c r="B3647" s="59" t="str">
        <f t="shared" si="21"/>
        <v/>
      </c>
      <c r="C3647" s="59" t="str">
        <f t="shared" si="22"/>
        <v/>
      </c>
      <c r="D3647" s="45" t="str">
        <f t="shared" si="23"/>
        <v/>
      </c>
      <c r="E3647" s="45" t="str">
        <f t="shared" si="24"/>
        <v/>
      </c>
      <c r="F3647" s="59" t="str">
        <f t="shared" si="25"/>
        <v/>
      </c>
      <c r="G3647" s="59" t="str">
        <f t="shared" si="26"/>
        <v/>
      </c>
      <c r="H3647" s="59" t="str">
        <f t="shared" si="27"/>
        <v>Cát nghiền</v>
      </c>
      <c r="I3647" s="59" t="str">
        <f>IF(OR($A3647="",$C3647="",$D3647="",$E3647="",$H3647=""),"",SUMIFS(DATA_GOC!$H:$H,DATA_GOC!$A:$A,"BOM",DATA_GOC!$D:$D,$H3647,DATA_GOC!$E:$E,$C3647,DATA_GOC!$F:$F,"Xuất nội bộ từ téc",DATA_GOC!$B:$B,"&gt;="&amp;$D3647,DATA_GOC!$B:$B,"&lt;="&amp;$E3647))</f>
        <v/>
      </c>
      <c r="J3647" s="59">
        <f t="shared" si="28"/>
        <v>0</v>
      </c>
      <c r="K3647" s="59">
        <f t="shared" si="29"/>
        <v>0</v>
      </c>
      <c r="L3647" s="59">
        <f t="shared" si="30"/>
        <v>0</v>
      </c>
      <c r="M3647" s="59">
        <f t="shared" si="31"/>
        <v>0</v>
      </c>
    </row>
    <row r="3648" ht="15.0" hidden="1" customHeight="1">
      <c r="A3648" s="59">
        <f t="shared" si="20"/>
        <v>57</v>
      </c>
      <c r="B3648" s="59" t="str">
        <f t="shared" si="21"/>
        <v/>
      </c>
      <c r="C3648" s="59" t="str">
        <f t="shared" si="22"/>
        <v/>
      </c>
      <c r="D3648" s="45" t="str">
        <f t="shared" si="23"/>
        <v/>
      </c>
      <c r="E3648" s="45" t="str">
        <f t="shared" si="24"/>
        <v/>
      </c>
      <c r="F3648" s="59" t="str">
        <f t="shared" si="25"/>
        <v/>
      </c>
      <c r="G3648" s="59" t="str">
        <f t="shared" si="26"/>
        <v/>
      </c>
      <c r="H3648" s="59" t="str">
        <f t="shared" si="27"/>
        <v>28C02973</v>
      </c>
      <c r="I3648" s="59" t="str">
        <f>IF(OR($A3648="",$C3648="",$D3648="",$E3648="",$H3648=""),"",SUMIFS(DATA_GOC!$H:$H,DATA_GOC!$A:$A,"BOM",DATA_GOC!$D:$D,$H3648,DATA_GOC!$E:$E,$C3648,DATA_GOC!$F:$F,"Xuất nội bộ từ téc",DATA_GOC!$B:$B,"&gt;="&amp;$D3648,DATA_GOC!$B:$B,"&lt;="&amp;$E3648))</f>
        <v/>
      </c>
      <c r="J3648" s="59">
        <f t="shared" si="28"/>
        <v>0</v>
      </c>
      <c r="K3648" s="59">
        <f t="shared" si="29"/>
        <v>0</v>
      </c>
      <c r="L3648" s="59">
        <f t="shared" si="30"/>
        <v>0</v>
      </c>
      <c r="M3648" s="59">
        <f t="shared" si="31"/>
        <v>0</v>
      </c>
    </row>
    <row r="3649" ht="15.0" hidden="1" customHeight="1">
      <c r="A3649" s="59">
        <f t="shared" si="20"/>
        <v>57</v>
      </c>
      <c r="B3649" s="59" t="str">
        <f t="shared" si="21"/>
        <v/>
      </c>
      <c r="C3649" s="59" t="str">
        <f t="shared" si="22"/>
        <v/>
      </c>
      <c r="D3649" s="45" t="str">
        <f t="shared" si="23"/>
        <v/>
      </c>
      <c r="E3649" s="45" t="str">
        <f t="shared" si="24"/>
        <v/>
      </c>
      <c r="F3649" s="59" t="str">
        <f t="shared" si="25"/>
        <v/>
      </c>
      <c r="G3649" s="59" t="str">
        <f t="shared" si="26"/>
        <v/>
      </c>
      <c r="H3649" s="59" t="str">
        <f t="shared" si="27"/>
        <v>28C03044</v>
      </c>
      <c r="I3649" s="59" t="str">
        <f>IF(OR($A3649="",$C3649="",$D3649="",$E3649="",$H3649=""),"",SUMIFS(DATA_GOC!$H:$H,DATA_GOC!$A:$A,"BOM",DATA_GOC!$D:$D,$H3649,DATA_GOC!$E:$E,$C3649,DATA_GOC!$F:$F,"Xuất nội bộ từ téc",DATA_GOC!$B:$B,"&gt;="&amp;$D3649,DATA_GOC!$B:$B,"&lt;="&amp;$E3649))</f>
        <v/>
      </c>
      <c r="J3649" s="59">
        <f t="shared" si="28"/>
        <v>0</v>
      </c>
      <c r="K3649" s="59">
        <f t="shared" si="29"/>
        <v>0</v>
      </c>
      <c r="L3649" s="59">
        <f t="shared" si="30"/>
        <v>0</v>
      </c>
      <c r="M3649" s="59">
        <f t="shared" si="31"/>
        <v>0</v>
      </c>
    </row>
    <row r="3650" ht="15.0" hidden="1" customHeight="1">
      <c r="A3650" s="59">
        <f t="shared" si="20"/>
        <v>57</v>
      </c>
      <c r="B3650" s="59" t="str">
        <f t="shared" si="21"/>
        <v/>
      </c>
      <c r="C3650" s="59" t="str">
        <f t="shared" si="22"/>
        <v/>
      </c>
      <c r="D3650" s="45" t="str">
        <f t="shared" si="23"/>
        <v/>
      </c>
      <c r="E3650" s="45" t="str">
        <f t="shared" si="24"/>
        <v/>
      </c>
      <c r="F3650" s="59" t="str">
        <f t="shared" si="25"/>
        <v/>
      </c>
      <c r="G3650" s="59" t="str">
        <f t="shared" si="26"/>
        <v/>
      </c>
      <c r="H3650" s="59" t="str">
        <f t="shared" si="27"/>
        <v>Máy lu lốp</v>
      </c>
      <c r="I3650" s="59" t="str">
        <f>IF(OR($A3650="",$C3650="",$D3650="",$E3650="",$H3650=""),"",SUMIFS(DATA_GOC!$H:$H,DATA_GOC!$A:$A,"BOM",DATA_GOC!$D:$D,$H3650,DATA_GOC!$E:$E,$C3650,DATA_GOC!$F:$F,"Xuất nội bộ từ téc",DATA_GOC!$B:$B,"&gt;="&amp;$D3650,DATA_GOC!$B:$B,"&lt;="&amp;$E3650))</f>
        <v/>
      </c>
      <c r="J3650" s="59">
        <f t="shared" si="28"/>
        <v>0</v>
      </c>
      <c r="K3650" s="59">
        <f t="shared" si="29"/>
        <v>0</v>
      </c>
      <c r="L3650" s="59">
        <f t="shared" si="30"/>
        <v>0</v>
      </c>
      <c r="M3650" s="59">
        <f t="shared" si="31"/>
        <v>0</v>
      </c>
    </row>
    <row r="3651" ht="15.0" hidden="1" customHeight="1">
      <c r="A3651" s="59">
        <f t="shared" si="20"/>
        <v>57</v>
      </c>
      <c r="B3651" s="59" t="str">
        <f t="shared" si="21"/>
        <v/>
      </c>
      <c r="C3651" s="59" t="str">
        <f t="shared" si="22"/>
        <v/>
      </c>
      <c r="D3651" s="45" t="str">
        <f t="shared" si="23"/>
        <v/>
      </c>
      <c r="E3651" s="45" t="str">
        <f t="shared" si="24"/>
        <v/>
      </c>
      <c r="F3651" s="59" t="str">
        <f t="shared" si="25"/>
        <v/>
      </c>
      <c r="G3651" s="59" t="str">
        <f t="shared" si="26"/>
        <v/>
      </c>
      <c r="H3651" s="59" t="str">
        <f t="shared" si="27"/>
        <v>Xe 600148</v>
      </c>
      <c r="I3651" s="59" t="str">
        <f>IF(OR($A3651="",$C3651="",$D3651="",$E3651="",$H3651=""),"",SUMIFS(DATA_GOC!$H:$H,DATA_GOC!$A:$A,"BOM",DATA_GOC!$D:$D,$H3651,DATA_GOC!$E:$E,$C3651,DATA_GOC!$F:$F,"Xuất nội bộ từ téc",DATA_GOC!$B:$B,"&gt;="&amp;$D3651,DATA_GOC!$B:$B,"&lt;="&amp;$E3651))</f>
        <v/>
      </c>
      <c r="J3651" s="59">
        <f t="shared" si="28"/>
        <v>0</v>
      </c>
      <c r="K3651" s="59">
        <f t="shared" si="29"/>
        <v>0</v>
      </c>
      <c r="L3651" s="59">
        <f t="shared" si="30"/>
        <v>0</v>
      </c>
      <c r="M3651" s="59">
        <f t="shared" si="31"/>
        <v>0</v>
      </c>
    </row>
    <row r="3652" ht="15.0" hidden="1" customHeight="1">
      <c r="A3652" s="59">
        <f t="shared" si="20"/>
        <v>57</v>
      </c>
      <c r="B3652" s="59" t="str">
        <f t="shared" si="21"/>
        <v/>
      </c>
      <c r="C3652" s="59" t="str">
        <f t="shared" si="22"/>
        <v/>
      </c>
      <c r="D3652" s="45" t="str">
        <f t="shared" si="23"/>
        <v/>
      </c>
      <c r="E3652" s="45" t="str">
        <f t="shared" si="24"/>
        <v/>
      </c>
      <c r="F3652" s="59" t="str">
        <f t="shared" si="25"/>
        <v/>
      </c>
      <c r="G3652" s="59" t="str">
        <f t="shared" si="26"/>
        <v/>
      </c>
      <c r="H3652" s="59" t="str">
        <f t="shared" si="27"/>
        <v>Xe ben mới</v>
      </c>
      <c r="I3652" s="59" t="str">
        <f>IF(OR($A3652="",$C3652="",$D3652="",$E3652="",$H3652=""),"",SUMIFS(DATA_GOC!$H:$H,DATA_GOC!$A:$A,"BOM",DATA_GOC!$D:$D,$H3652,DATA_GOC!$E:$E,$C3652,DATA_GOC!$F:$F,"Xuất nội bộ từ téc",DATA_GOC!$B:$B,"&gt;="&amp;$D3652,DATA_GOC!$B:$B,"&lt;="&amp;$E3652))</f>
        <v/>
      </c>
      <c r="J3652" s="59">
        <f t="shared" si="28"/>
        <v>0</v>
      </c>
      <c r="K3652" s="59">
        <f t="shared" si="29"/>
        <v>0</v>
      </c>
      <c r="L3652" s="59">
        <f t="shared" si="30"/>
        <v>0</v>
      </c>
      <c r="M3652" s="59">
        <f t="shared" si="31"/>
        <v>0</v>
      </c>
    </row>
    <row r="3653" ht="15.0" hidden="1" customHeight="1">
      <c r="A3653" s="59">
        <f t="shared" si="20"/>
        <v>58</v>
      </c>
      <c r="B3653" s="59" t="str">
        <f t="shared" si="21"/>
        <v/>
      </c>
      <c r="C3653" s="59" t="str">
        <f t="shared" si="22"/>
        <v/>
      </c>
      <c r="D3653" s="45" t="str">
        <f t="shared" si="23"/>
        <v/>
      </c>
      <c r="E3653" s="45" t="str">
        <f t="shared" si="24"/>
        <v/>
      </c>
      <c r="F3653" s="59" t="str">
        <f t="shared" si="25"/>
        <v/>
      </c>
      <c r="G3653" s="59" t="str">
        <f t="shared" si="26"/>
        <v/>
      </c>
      <c r="H3653" s="59" t="str">
        <f t="shared" si="27"/>
        <v>19H09482</v>
      </c>
      <c r="I3653" s="59" t="str">
        <f>IF(OR($A3653="",$C3653="",$D3653="",$E3653="",$H3653=""),"",SUMIFS(DATA_GOC!$H:$H,DATA_GOC!$A:$A,"BOM",DATA_GOC!$D:$D,$H3653,DATA_GOC!$E:$E,$C3653,DATA_GOC!$F:$F,"Xuất nội bộ từ téc",DATA_GOC!$B:$B,"&gt;="&amp;$D3653,DATA_GOC!$B:$B,"&lt;="&amp;$E3653))</f>
        <v/>
      </c>
      <c r="J3653" s="59">
        <f t="shared" si="28"/>
        <v>0</v>
      </c>
      <c r="K3653" s="59">
        <f t="shared" si="29"/>
        <v>0</v>
      </c>
      <c r="L3653" s="59">
        <f t="shared" si="30"/>
        <v>0</v>
      </c>
      <c r="M3653" s="59">
        <f t="shared" si="31"/>
        <v>0</v>
      </c>
    </row>
    <row r="3654" ht="15.0" hidden="1" customHeight="1">
      <c r="A3654" s="59">
        <f t="shared" si="20"/>
        <v>58</v>
      </c>
      <c r="B3654" s="59" t="str">
        <f t="shared" si="21"/>
        <v/>
      </c>
      <c r="C3654" s="59" t="str">
        <f t="shared" si="22"/>
        <v/>
      </c>
      <c r="D3654" s="45" t="str">
        <f t="shared" si="23"/>
        <v/>
      </c>
      <c r="E3654" s="45" t="str">
        <f t="shared" si="24"/>
        <v/>
      </c>
      <c r="F3654" s="59" t="str">
        <f t="shared" si="25"/>
        <v/>
      </c>
      <c r="G3654" s="59" t="str">
        <f t="shared" si="26"/>
        <v/>
      </c>
      <c r="H3654" s="59" t="str">
        <f t="shared" si="27"/>
        <v>28A30696</v>
      </c>
      <c r="I3654" s="59" t="str">
        <f>IF(OR($A3654="",$C3654="",$D3654="",$E3654="",$H3654=""),"",SUMIFS(DATA_GOC!$H:$H,DATA_GOC!$A:$A,"BOM",DATA_GOC!$D:$D,$H3654,DATA_GOC!$E:$E,$C3654,DATA_GOC!$F:$F,"Xuất nội bộ từ téc",DATA_GOC!$B:$B,"&gt;="&amp;$D3654,DATA_GOC!$B:$B,"&lt;="&amp;$E3654))</f>
        <v/>
      </c>
      <c r="J3654" s="59">
        <f t="shared" si="28"/>
        <v>0</v>
      </c>
      <c r="K3654" s="59">
        <f t="shared" si="29"/>
        <v>0</v>
      </c>
      <c r="L3654" s="59">
        <f t="shared" si="30"/>
        <v>0</v>
      </c>
      <c r="M3654" s="59">
        <f t="shared" si="31"/>
        <v>0</v>
      </c>
    </row>
    <row r="3655" ht="15.0" hidden="1" customHeight="1">
      <c r="A3655" s="59">
        <f t="shared" si="20"/>
        <v>58</v>
      </c>
      <c r="B3655" s="59" t="str">
        <f t="shared" si="21"/>
        <v/>
      </c>
      <c r="C3655" s="59" t="str">
        <f t="shared" si="22"/>
        <v/>
      </c>
      <c r="D3655" s="45" t="str">
        <f t="shared" si="23"/>
        <v/>
      </c>
      <c r="E3655" s="45" t="str">
        <f t="shared" si="24"/>
        <v/>
      </c>
      <c r="F3655" s="59" t="str">
        <f t="shared" si="25"/>
        <v/>
      </c>
      <c r="G3655" s="59" t="str">
        <f t="shared" si="26"/>
        <v/>
      </c>
      <c r="H3655" s="59" t="str">
        <f t="shared" si="27"/>
        <v>28C00462</v>
      </c>
      <c r="I3655" s="59" t="str">
        <f>IF(OR($A3655="",$C3655="",$D3655="",$E3655="",$H3655=""),"",SUMIFS(DATA_GOC!$H:$H,DATA_GOC!$A:$A,"BOM",DATA_GOC!$D:$D,$H3655,DATA_GOC!$E:$E,$C3655,DATA_GOC!$F:$F,"Xuất nội bộ từ téc",DATA_GOC!$B:$B,"&gt;="&amp;$D3655,DATA_GOC!$B:$B,"&lt;="&amp;$E3655))</f>
        <v/>
      </c>
      <c r="J3655" s="59">
        <f t="shared" si="28"/>
        <v>0</v>
      </c>
      <c r="K3655" s="59">
        <f t="shared" si="29"/>
        <v>0</v>
      </c>
      <c r="L3655" s="59">
        <f t="shared" si="30"/>
        <v>0</v>
      </c>
      <c r="M3655" s="59">
        <f t="shared" si="31"/>
        <v>0</v>
      </c>
    </row>
    <row r="3656" ht="15.0" hidden="1" customHeight="1">
      <c r="A3656" s="59">
        <f t="shared" si="20"/>
        <v>58</v>
      </c>
      <c r="B3656" s="59" t="str">
        <f t="shared" si="21"/>
        <v/>
      </c>
      <c r="C3656" s="59" t="str">
        <f t="shared" si="22"/>
        <v/>
      </c>
      <c r="D3656" s="45" t="str">
        <f t="shared" si="23"/>
        <v/>
      </c>
      <c r="E3656" s="45" t="str">
        <f t="shared" si="24"/>
        <v/>
      </c>
      <c r="F3656" s="59" t="str">
        <f t="shared" si="25"/>
        <v/>
      </c>
      <c r="G3656" s="59" t="str">
        <f t="shared" si="26"/>
        <v/>
      </c>
      <c r="H3656" s="59" t="str">
        <f t="shared" si="27"/>
        <v>28C01165</v>
      </c>
      <c r="I3656" s="59" t="str">
        <f>IF(OR($A3656="",$C3656="",$D3656="",$E3656="",$H3656=""),"",SUMIFS(DATA_GOC!$H:$H,DATA_GOC!$A:$A,"BOM",DATA_GOC!$D:$D,$H3656,DATA_GOC!$E:$E,$C3656,DATA_GOC!$F:$F,"Xuất nội bộ từ téc",DATA_GOC!$B:$B,"&gt;="&amp;$D3656,DATA_GOC!$B:$B,"&lt;="&amp;$E3656))</f>
        <v/>
      </c>
      <c r="J3656" s="59">
        <f t="shared" si="28"/>
        <v>0</v>
      </c>
      <c r="K3656" s="59">
        <f t="shared" si="29"/>
        <v>0</v>
      </c>
      <c r="L3656" s="59">
        <f t="shared" si="30"/>
        <v>0</v>
      </c>
      <c r="M3656" s="59">
        <f t="shared" si="31"/>
        <v>0</v>
      </c>
    </row>
    <row r="3657" ht="15.0" hidden="1" customHeight="1">
      <c r="A3657" s="59">
        <f t="shared" si="20"/>
        <v>58</v>
      </c>
      <c r="B3657" s="59" t="str">
        <f t="shared" si="21"/>
        <v/>
      </c>
      <c r="C3657" s="59" t="str">
        <f t="shared" si="22"/>
        <v/>
      </c>
      <c r="D3657" s="45" t="str">
        <f t="shared" si="23"/>
        <v/>
      </c>
      <c r="E3657" s="45" t="str">
        <f t="shared" si="24"/>
        <v/>
      </c>
      <c r="F3657" s="59" t="str">
        <f t="shared" si="25"/>
        <v/>
      </c>
      <c r="G3657" s="59" t="str">
        <f t="shared" si="26"/>
        <v/>
      </c>
      <c r="H3657" s="59" t="str">
        <f t="shared" si="27"/>
        <v>28C01406</v>
      </c>
      <c r="I3657" s="59" t="str">
        <f>IF(OR($A3657="",$C3657="",$D3657="",$E3657="",$H3657=""),"",SUMIFS(DATA_GOC!$H:$H,DATA_GOC!$A:$A,"BOM",DATA_GOC!$D:$D,$H3657,DATA_GOC!$E:$E,$C3657,DATA_GOC!$F:$F,"Xuất nội bộ từ téc",DATA_GOC!$B:$B,"&gt;="&amp;$D3657,DATA_GOC!$B:$B,"&lt;="&amp;$E3657))</f>
        <v/>
      </c>
      <c r="J3657" s="59">
        <f t="shared" si="28"/>
        <v>0</v>
      </c>
      <c r="K3657" s="59">
        <f t="shared" si="29"/>
        <v>0</v>
      </c>
      <c r="L3657" s="59">
        <f t="shared" si="30"/>
        <v>0</v>
      </c>
      <c r="M3657" s="59">
        <f t="shared" si="31"/>
        <v>0</v>
      </c>
    </row>
    <row r="3658" ht="15.0" hidden="1" customHeight="1">
      <c r="A3658" s="59">
        <f t="shared" si="20"/>
        <v>58</v>
      </c>
      <c r="B3658" s="59" t="str">
        <f t="shared" si="21"/>
        <v/>
      </c>
      <c r="C3658" s="59" t="str">
        <f t="shared" si="22"/>
        <v/>
      </c>
      <c r="D3658" s="45" t="str">
        <f t="shared" si="23"/>
        <v/>
      </c>
      <c r="E3658" s="45" t="str">
        <f t="shared" si="24"/>
        <v/>
      </c>
      <c r="F3658" s="59" t="str">
        <f t="shared" si="25"/>
        <v/>
      </c>
      <c r="G3658" s="59" t="str">
        <f t="shared" si="26"/>
        <v/>
      </c>
      <c r="H3658" s="59" t="str">
        <f t="shared" si="27"/>
        <v>28C01544</v>
      </c>
      <c r="I3658" s="59" t="str">
        <f>IF(OR($A3658="",$C3658="",$D3658="",$E3658="",$H3658=""),"",SUMIFS(DATA_GOC!$H:$H,DATA_GOC!$A:$A,"BOM",DATA_GOC!$D:$D,$H3658,DATA_GOC!$E:$E,$C3658,DATA_GOC!$F:$F,"Xuất nội bộ từ téc",DATA_GOC!$B:$B,"&gt;="&amp;$D3658,DATA_GOC!$B:$B,"&lt;="&amp;$E3658))</f>
        <v/>
      </c>
      <c r="J3658" s="59">
        <f t="shared" si="28"/>
        <v>0</v>
      </c>
      <c r="K3658" s="59">
        <f t="shared" si="29"/>
        <v>0</v>
      </c>
      <c r="L3658" s="59">
        <f t="shared" si="30"/>
        <v>0</v>
      </c>
      <c r="M3658" s="59">
        <f t="shared" si="31"/>
        <v>0</v>
      </c>
    </row>
    <row r="3659" ht="15.0" hidden="1" customHeight="1">
      <c r="A3659" s="59">
        <f t="shared" si="20"/>
        <v>58</v>
      </c>
      <c r="B3659" s="59" t="str">
        <f t="shared" si="21"/>
        <v/>
      </c>
      <c r="C3659" s="59" t="str">
        <f t="shared" si="22"/>
        <v/>
      </c>
      <c r="D3659" s="45" t="str">
        <f t="shared" si="23"/>
        <v/>
      </c>
      <c r="E3659" s="45" t="str">
        <f t="shared" si="24"/>
        <v/>
      </c>
      <c r="F3659" s="59" t="str">
        <f t="shared" si="25"/>
        <v/>
      </c>
      <c r="G3659" s="59" t="str">
        <f t="shared" si="26"/>
        <v/>
      </c>
      <c r="H3659" s="59" t="str">
        <f t="shared" si="27"/>
        <v>28C01622</v>
      </c>
      <c r="I3659" s="59" t="str">
        <f>IF(OR($A3659="",$C3659="",$D3659="",$E3659="",$H3659=""),"",SUMIFS(DATA_GOC!$H:$H,DATA_GOC!$A:$A,"BOM",DATA_GOC!$D:$D,$H3659,DATA_GOC!$E:$E,$C3659,DATA_GOC!$F:$F,"Xuất nội bộ từ téc",DATA_GOC!$B:$B,"&gt;="&amp;$D3659,DATA_GOC!$B:$B,"&lt;="&amp;$E3659))</f>
        <v/>
      </c>
      <c r="J3659" s="59">
        <f t="shared" si="28"/>
        <v>0</v>
      </c>
      <c r="K3659" s="59">
        <f t="shared" si="29"/>
        <v>0</v>
      </c>
      <c r="L3659" s="59">
        <f t="shared" si="30"/>
        <v>0</v>
      </c>
      <c r="M3659" s="59">
        <f t="shared" si="31"/>
        <v>0</v>
      </c>
    </row>
    <row r="3660" ht="15.0" hidden="1" customHeight="1">
      <c r="A3660" s="59">
        <f t="shared" si="20"/>
        <v>58</v>
      </c>
      <c r="B3660" s="59" t="str">
        <f t="shared" si="21"/>
        <v/>
      </c>
      <c r="C3660" s="59" t="str">
        <f t="shared" si="22"/>
        <v/>
      </c>
      <c r="D3660" s="45" t="str">
        <f t="shared" si="23"/>
        <v/>
      </c>
      <c r="E3660" s="45" t="str">
        <f t="shared" si="24"/>
        <v/>
      </c>
      <c r="F3660" s="59" t="str">
        <f t="shared" si="25"/>
        <v/>
      </c>
      <c r="G3660" s="59" t="str">
        <f t="shared" si="26"/>
        <v/>
      </c>
      <c r="H3660" s="59" t="str">
        <f t="shared" si="27"/>
        <v>28C01647</v>
      </c>
      <c r="I3660" s="59" t="str">
        <f>IF(OR($A3660="",$C3660="",$D3660="",$E3660="",$H3660=""),"",SUMIFS(DATA_GOC!$H:$H,DATA_GOC!$A:$A,"BOM",DATA_GOC!$D:$D,$H3660,DATA_GOC!$E:$E,$C3660,DATA_GOC!$F:$F,"Xuất nội bộ từ téc",DATA_GOC!$B:$B,"&gt;="&amp;$D3660,DATA_GOC!$B:$B,"&lt;="&amp;$E3660))</f>
        <v/>
      </c>
      <c r="J3660" s="59">
        <f t="shared" si="28"/>
        <v>0</v>
      </c>
      <c r="K3660" s="59">
        <f t="shared" si="29"/>
        <v>0</v>
      </c>
      <c r="L3660" s="59">
        <f t="shared" si="30"/>
        <v>0</v>
      </c>
      <c r="M3660" s="59">
        <f t="shared" si="31"/>
        <v>0</v>
      </c>
    </row>
    <row r="3661" ht="15.0" hidden="1" customHeight="1">
      <c r="A3661" s="59">
        <f t="shared" si="20"/>
        <v>58</v>
      </c>
      <c r="B3661" s="59" t="str">
        <f t="shared" si="21"/>
        <v/>
      </c>
      <c r="C3661" s="59" t="str">
        <f t="shared" si="22"/>
        <v/>
      </c>
      <c r="D3661" s="45" t="str">
        <f t="shared" si="23"/>
        <v/>
      </c>
      <c r="E3661" s="45" t="str">
        <f t="shared" si="24"/>
        <v/>
      </c>
      <c r="F3661" s="59" t="str">
        <f t="shared" si="25"/>
        <v/>
      </c>
      <c r="G3661" s="59" t="str">
        <f t="shared" si="26"/>
        <v/>
      </c>
      <c r="H3661" s="59" t="str">
        <f t="shared" si="27"/>
        <v>28C01731</v>
      </c>
      <c r="I3661" s="59" t="str">
        <f>IF(OR($A3661="",$C3661="",$D3661="",$E3661="",$H3661=""),"",SUMIFS(DATA_GOC!$H:$H,DATA_GOC!$A:$A,"BOM",DATA_GOC!$D:$D,$H3661,DATA_GOC!$E:$E,$C3661,DATA_GOC!$F:$F,"Xuất nội bộ từ téc",DATA_GOC!$B:$B,"&gt;="&amp;$D3661,DATA_GOC!$B:$B,"&lt;="&amp;$E3661))</f>
        <v/>
      </c>
      <c r="J3661" s="59">
        <f t="shared" si="28"/>
        <v>0</v>
      </c>
      <c r="K3661" s="59">
        <f t="shared" si="29"/>
        <v>0</v>
      </c>
      <c r="L3661" s="59">
        <f t="shared" si="30"/>
        <v>0</v>
      </c>
      <c r="M3661" s="59">
        <f t="shared" si="31"/>
        <v>0</v>
      </c>
    </row>
    <row r="3662" ht="15.0" hidden="1" customHeight="1">
      <c r="A3662" s="59">
        <f t="shared" si="20"/>
        <v>58</v>
      </c>
      <c r="B3662" s="59" t="str">
        <f t="shared" si="21"/>
        <v/>
      </c>
      <c r="C3662" s="59" t="str">
        <f t="shared" si="22"/>
        <v/>
      </c>
      <c r="D3662" s="45" t="str">
        <f t="shared" si="23"/>
        <v/>
      </c>
      <c r="E3662" s="45" t="str">
        <f t="shared" si="24"/>
        <v/>
      </c>
      <c r="F3662" s="59" t="str">
        <f t="shared" si="25"/>
        <v/>
      </c>
      <c r="G3662" s="59" t="str">
        <f t="shared" si="26"/>
        <v/>
      </c>
      <c r="H3662" s="59" t="str">
        <f t="shared" si="27"/>
        <v>28C01743</v>
      </c>
      <c r="I3662" s="59" t="str">
        <f>IF(OR($A3662="",$C3662="",$D3662="",$E3662="",$H3662=""),"",SUMIFS(DATA_GOC!$H:$H,DATA_GOC!$A:$A,"BOM",DATA_GOC!$D:$D,$H3662,DATA_GOC!$E:$E,$C3662,DATA_GOC!$F:$F,"Xuất nội bộ từ téc",DATA_GOC!$B:$B,"&gt;="&amp;$D3662,DATA_GOC!$B:$B,"&lt;="&amp;$E3662))</f>
        <v/>
      </c>
      <c r="J3662" s="59">
        <f t="shared" si="28"/>
        <v>0</v>
      </c>
      <c r="K3662" s="59">
        <f t="shared" si="29"/>
        <v>0</v>
      </c>
      <c r="L3662" s="59">
        <f t="shared" si="30"/>
        <v>0</v>
      </c>
      <c r="M3662" s="59">
        <f t="shared" si="31"/>
        <v>0</v>
      </c>
    </row>
    <row r="3663" ht="15.0" hidden="1" customHeight="1">
      <c r="A3663" s="59">
        <f t="shared" si="20"/>
        <v>58</v>
      </c>
      <c r="B3663" s="59" t="str">
        <f t="shared" si="21"/>
        <v/>
      </c>
      <c r="C3663" s="59" t="str">
        <f t="shared" si="22"/>
        <v/>
      </c>
      <c r="D3663" s="45" t="str">
        <f t="shared" si="23"/>
        <v/>
      </c>
      <c r="E3663" s="45" t="str">
        <f t="shared" si="24"/>
        <v/>
      </c>
      <c r="F3663" s="59" t="str">
        <f t="shared" si="25"/>
        <v/>
      </c>
      <c r="G3663" s="59" t="str">
        <f t="shared" si="26"/>
        <v/>
      </c>
      <c r="H3663" s="59" t="str">
        <f t="shared" si="27"/>
        <v>28C02106</v>
      </c>
      <c r="I3663" s="59" t="str">
        <f>IF(OR($A3663="",$C3663="",$D3663="",$E3663="",$H3663=""),"",SUMIFS(DATA_GOC!$H:$H,DATA_GOC!$A:$A,"BOM",DATA_GOC!$D:$D,$H3663,DATA_GOC!$E:$E,$C3663,DATA_GOC!$F:$F,"Xuất nội bộ từ téc",DATA_GOC!$B:$B,"&gt;="&amp;$D3663,DATA_GOC!$B:$B,"&lt;="&amp;$E3663))</f>
        <v/>
      </c>
      <c r="J3663" s="59">
        <f t="shared" si="28"/>
        <v>0</v>
      </c>
      <c r="K3663" s="59">
        <f t="shared" si="29"/>
        <v>0</v>
      </c>
      <c r="L3663" s="59">
        <f t="shared" si="30"/>
        <v>0</v>
      </c>
      <c r="M3663" s="59">
        <f t="shared" si="31"/>
        <v>0</v>
      </c>
    </row>
    <row r="3664" ht="15.0" hidden="1" customHeight="1">
      <c r="A3664" s="59">
        <f t="shared" si="20"/>
        <v>58</v>
      </c>
      <c r="B3664" s="59" t="str">
        <f t="shared" si="21"/>
        <v/>
      </c>
      <c r="C3664" s="59" t="str">
        <f t="shared" si="22"/>
        <v/>
      </c>
      <c r="D3664" s="45" t="str">
        <f t="shared" si="23"/>
        <v/>
      </c>
      <c r="E3664" s="45" t="str">
        <f t="shared" si="24"/>
        <v/>
      </c>
      <c r="F3664" s="59" t="str">
        <f t="shared" si="25"/>
        <v/>
      </c>
      <c r="G3664" s="59" t="str">
        <f t="shared" si="26"/>
        <v/>
      </c>
      <c r="H3664" s="59" t="str">
        <f t="shared" si="27"/>
        <v>28C02410</v>
      </c>
      <c r="I3664" s="59" t="str">
        <f>IF(OR($A3664="",$C3664="",$D3664="",$E3664="",$H3664=""),"",SUMIFS(DATA_GOC!$H:$H,DATA_GOC!$A:$A,"BOM",DATA_GOC!$D:$D,$H3664,DATA_GOC!$E:$E,$C3664,DATA_GOC!$F:$F,"Xuất nội bộ từ téc",DATA_GOC!$B:$B,"&gt;="&amp;$D3664,DATA_GOC!$B:$B,"&lt;="&amp;$E3664))</f>
        <v/>
      </c>
      <c r="J3664" s="59">
        <f t="shared" si="28"/>
        <v>0</v>
      </c>
      <c r="K3664" s="59">
        <f t="shared" si="29"/>
        <v>0</v>
      </c>
      <c r="L3664" s="59">
        <f t="shared" si="30"/>
        <v>0</v>
      </c>
      <c r="M3664" s="59">
        <f t="shared" si="31"/>
        <v>0</v>
      </c>
    </row>
    <row r="3665" ht="15.0" hidden="1" customHeight="1">
      <c r="A3665" s="59">
        <f t="shared" si="20"/>
        <v>58</v>
      </c>
      <c r="B3665" s="59" t="str">
        <f t="shared" si="21"/>
        <v/>
      </c>
      <c r="C3665" s="59" t="str">
        <f t="shared" si="22"/>
        <v/>
      </c>
      <c r="D3665" s="45" t="str">
        <f t="shared" si="23"/>
        <v/>
      </c>
      <c r="E3665" s="45" t="str">
        <f t="shared" si="24"/>
        <v/>
      </c>
      <c r="F3665" s="59" t="str">
        <f t="shared" si="25"/>
        <v/>
      </c>
      <c r="G3665" s="59" t="str">
        <f t="shared" si="26"/>
        <v/>
      </c>
      <c r="H3665" s="59" t="str">
        <f t="shared" si="27"/>
        <v>28C02545</v>
      </c>
      <c r="I3665" s="59" t="str">
        <f>IF(OR($A3665="",$C3665="",$D3665="",$E3665="",$H3665=""),"",SUMIFS(DATA_GOC!$H:$H,DATA_GOC!$A:$A,"BOM",DATA_GOC!$D:$D,$H3665,DATA_GOC!$E:$E,$C3665,DATA_GOC!$F:$F,"Xuất nội bộ từ téc",DATA_GOC!$B:$B,"&gt;="&amp;$D3665,DATA_GOC!$B:$B,"&lt;="&amp;$E3665))</f>
        <v/>
      </c>
      <c r="J3665" s="59">
        <f t="shared" si="28"/>
        <v>0</v>
      </c>
      <c r="K3665" s="59">
        <f t="shared" si="29"/>
        <v>0</v>
      </c>
      <c r="L3665" s="59">
        <f t="shared" si="30"/>
        <v>0</v>
      </c>
      <c r="M3665" s="59">
        <f t="shared" si="31"/>
        <v>0</v>
      </c>
    </row>
    <row r="3666" ht="15.0" hidden="1" customHeight="1">
      <c r="A3666" s="59">
        <f t="shared" si="20"/>
        <v>58</v>
      </c>
      <c r="B3666" s="59" t="str">
        <f t="shared" si="21"/>
        <v/>
      </c>
      <c r="C3666" s="59" t="str">
        <f t="shared" si="22"/>
        <v/>
      </c>
      <c r="D3666" s="45" t="str">
        <f t="shared" si="23"/>
        <v/>
      </c>
      <c r="E3666" s="45" t="str">
        <f t="shared" si="24"/>
        <v/>
      </c>
      <c r="F3666" s="59" t="str">
        <f t="shared" si="25"/>
        <v/>
      </c>
      <c r="G3666" s="59" t="str">
        <f t="shared" si="26"/>
        <v/>
      </c>
      <c r="H3666" s="59" t="str">
        <f t="shared" si="27"/>
        <v>28C02574</v>
      </c>
      <c r="I3666" s="59" t="str">
        <f>IF(OR($A3666="",$C3666="",$D3666="",$E3666="",$H3666=""),"",SUMIFS(DATA_GOC!$H:$H,DATA_GOC!$A:$A,"BOM",DATA_GOC!$D:$D,$H3666,DATA_GOC!$E:$E,$C3666,DATA_GOC!$F:$F,"Xuất nội bộ từ téc",DATA_GOC!$B:$B,"&gt;="&amp;$D3666,DATA_GOC!$B:$B,"&lt;="&amp;$E3666))</f>
        <v/>
      </c>
      <c r="J3666" s="59">
        <f t="shared" si="28"/>
        <v>0</v>
      </c>
      <c r="K3666" s="59">
        <f t="shared" si="29"/>
        <v>0</v>
      </c>
      <c r="L3666" s="59">
        <f t="shared" si="30"/>
        <v>0</v>
      </c>
      <c r="M3666" s="59">
        <f t="shared" si="31"/>
        <v>0</v>
      </c>
    </row>
    <row r="3667" ht="15.0" hidden="1" customHeight="1">
      <c r="A3667" s="59">
        <f t="shared" si="20"/>
        <v>58</v>
      </c>
      <c r="B3667" s="59" t="str">
        <f t="shared" si="21"/>
        <v/>
      </c>
      <c r="C3667" s="59" t="str">
        <f t="shared" si="22"/>
        <v/>
      </c>
      <c r="D3667" s="45" t="str">
        <f t="shared" si="23"/>
        <v/>
      </c>
      <c r="E3667" s="45" t="str">
        <f t="shared" si="24"/>
        <v/>
      </c>
      <c r="F3667" s="59" t="str">
        <f t="shared" si="25"/>
        <v/>
      </c>
      <c r="G3667" s="59" t="str">
        <f t="shared" si="26"/>
        <v/>
      </c>
      <c r="H3667" s="59" t="str">
        <f t="shared" si="27"/>
        <v>28C02770</v>
      </c>
      <c r="I3667" s="59" t="str">
        <f>IF(OR($A3667="",$C3667="",$D3667="",$E3667="",$H3667=""),"",SUMIFS(DATA_GOC!$H:$H,DATA_GOC!$A:$A,"BOM",DATA_GOC!$D:$D,$H3667,DATA_GOC!$E:$E,$C3667,DATA_GOC!$F:$F,"Xuất nội bộ từ téc",DATA_GOC!$B:$B,"&gt;="&amp;$D3667,DATA_GOC!$B:$B,"&lt;="&amp;$E3667))</f>
        <v/>
      </c>
      <c r="J3667" s="59">
        <f t="shared" si="28"/>
        <v>0</v>
      </c>
      <c r="K3667" s="59">
        <f t="shared" si="29"/>
        <v>0</v>
      </c>
      <c r="L3667" s="59">
        <f t="shared" si="30"/>
        <v>0</v>
      </c>
      <c r="M3667" s="59">
        <f t="shared" si="31"/>
        <v>0</v>
      </c>
    </row>
    <row r="3668" ht="15.0" hidden="1" customHeight="1">
      <c r="A3668" s="59">
        <f t="shared" si="20"/>
        <v>58</v>
      </c>
      <c r="B3668" s="59" t="str">
        <f t="shared" si="21"/>
        <v/>
      </c>
      <c r="C3668" s="59" t="str">
        <f t="shared" si="22"/>
        <v/>
      </c>
      <c r="D3668" s="45" t="str">
        <f t="shared" si="23"/>
        <v/>
      </c>
      <c r="E3668" s="45" t="str">
        <f t="shared" si="24"/>
        <v/>
      </c>
      <c r="F3668" s="59" t="str">
        <f t="shared" si="25"/>
        <v/>
      </c>
      <c r="G3668" s="59" t="str">
        <f t="shared" si="26"/>
        <v/>
      </c>
      <c r="H3668" s="59" t="str">
        <f t="shared" si="27"/>
        <v>28C02986</v>
      </c>
      <c r="I3668" s="59" t="str">
        <f>IF(OR($A3668="",$C3668="",$D3668="",$E3668="",$H3668=""),"",SUMIFS(DATA_GOC!$H:$H,DATA_GOC!$A:$A,"BOM",DATA_GOC!$D:$D,$H3668,DATA_GOC!$E:$E,$C3668,DATA_GOC!$F:$F,"Xuất nội bộ từ téc",DATA_GOC!$B:$B,"&gt;="&amp;$D3668,DATA_GOC!$B:$B,"&lt;="&amp;$E3668))</f>
        <v/>
      </c>
      <c r="J3668" s="59">
        <f t="shared" si="28"/>
        <v>0</v>
      </c>
      <c r="K3668" s="59">
        <f t="shared" si="29"/>
        <v>0</v>
      </c>
      <c r="L3668" s="59">
        <f t="shared" si="30"/>
        <v>0</v>
      </c>
      <c r="M3668" s="59">
        <f t="shared" si="31"/>
        <v>0</v>
      </c>
    </row>
    <row r="3669" ht="15.0" hidden="1" customHeight="1">
      <c r="A3669" s="59">
        <f t="shared" si="20"/>
        <v>58</v>
      </c>
      <c r="B3669" s="59" t="str">
        <f t="shared" si="21"/>
        <v/>
      </c>
      <c r="C3669" s="59" t="str">
        <f t="shared" si="22"/>
        <v/>
      </c>
      <c r="D3669" s="45" t="str">
        <f t="shared" si="23"/>
        <v/>
      </c>
      <c r="E3669" s="45" t="str">
        <f t="shared" si="24"/>
        <v/>
      </c>
      <c r="F3669" s="59" t="str">
        <f t="shared" si="25"/>
        <v/>
      </c>
      <c r="G3669" s="59" t="str">
        <f t="shared" si="26"/>
        <v/>
      </c>
      <c r="H3669" s="59" t="str">
        <f t="shared" si="27"/>
        <v>28C03261</v>
      </c>
      <c r="I3669" s="59" t="str">
        <f>IF(OR($A3669="",$C3669="",$D3669="",$E3669="",$H3669=""),"",SUMIFS(DATA_GOC!$H:$H,DATA_GOC!$A:$A,"BOM",DATA_GOC!$D:$D,$H3669,DATA_GOC!$E:$E,$C3669,DATA_GOC!$F:$F,"Xuất nội bộ từ téc",DATA_GOC!$B:$B,"&gt;="&amp;$D3669,DATA_GOC!$B:$B,"&lt;="&amp;$E3669))</f>
        <v/>
      </c>
      <c r="J3669" s="59">
        <f t="shared" si="28"/>
        <v>0</v>
      </c>
      <c r="K3669" s="59">
        <f t="shared" si="29"/>
        <v>0</v>
      </c>
      <c r="L3669" s="59">
        <f t="shared" si="30"/>
        <v>0</v>
      </c>
      <c r="M3669" s="59">
        <f t="shared" si="31"/>
        <v>0</v>
      </c>
    </row>
    <row r="3670" ht="15.0" hidden="1" customHeight="1">
      <c r="A3670" s="59">
        <f t="shared" si="20"/>
        <v>58</v>
      </c>
      <c r="B3670" s="59" t="str">
        <f t="shared" si="21"/>
        <v/>
      </c>
      <c r="C3670" s="59" t="str">
        <f t="shared" si="22"/>
        <v/>
      </c>
      <c r="D3670" s="45" t="str">
        <f t="shared" si="23"/>
        <v/>
      </c>
      <c r="E3670" s="45" t="str">
        <f t="shared" si="24"/>
        <v/>
      </c>
      <c r="F3670" s="59" t="str">
        <f t="shared" si="25"/>
        <v/>
      </c>
      <c r="G3670" s="59" t="str">
        <f t="shared" si="26"/>
        <v/>
      </c>
      <c r="H3670" s="59" t="str">
        <f t="shared" si="27"/>
        <v>28C03323</v>
      </c>
      <c r="I3670" s="59" t="str">
        <f>IF(OR($A3670="",$C3670="",$D3670="",$E3670="",$H3670=""),"",SUMIFS(DATA_GOC!$H:$H,DATA_GOC!$A:$A,"BOM",DATA_GOC!$D:$D,$H3670,DATA_GOC!$E:$E,$C3670,DATA_GOC!$F:$F,"Xuất nội bộ từ téc",DATA_GOC!$B:$B,"&gt;="&amp;$D3670,DATA_GOC!$B:$B,"&lt;="&amp;$E3670))</f>
        <v/>
      </c>
      <c r="J3670" s="59">
        <f t="shared" si="28"/>
        <v>0</v>
      </c>
      <c r="K3670" s="59">
        <f t="shared" si="29"/>
        <v>0</v>
      </c>
      <c r="L3670" s="59">
        <f t="shared" si="30"/>
        <v>0</v>
      </c>
      <c r="M3670" s="59">
        <f t="shared" si="31"/>
        <v>0</v>
      </c>
    </row>
    <row r="3671" ht="15.0" hidden="1" customHeight="1">
      <c r="A3671" s="59">
        <f t="shared" si="20"/>
        <v>58</v>
      </c>
      <c r="B3671" s="59" t="str">
        <f t="shared" si="21"/>
        <v/>
      </c>
      <c r="C3671" s="59" t="str">
        <f t="shared" si="22"/>
        <v/>
      </c>
      <c r="D3671" s="45" t="str">
        <f t="shared" si="23"/>
        <v/>
      </c>
      <c r="E3671" s="45" t="str">
        <f t="shared" si="24"/>
        <v/>
      </c>
      <c r="F3671" s="59" t="str">
        <f t="shared" si="25"/>
        <v/>
      </c>
      <c r="G3671" s="59" t="str">
        <f t="shared" si="26"/>
        <v/>
      </c>
      <c r="H3671" s="59" t="str">
        <f t="shared" si="27"/>
        <v>28C03385</v>
      </c>
      <c r="I3671" s="59" t="str">
        <f>IF(OR($A3671="",$C3671="",$D3671="",$E3671="",$H3671=""),"",SUMIFS(DATA_GOC!$H:$H,DATA_GOC!$A:$A,"BOM",DATA_GOC!$D:$D,$H3671,DATA_GOC!$E:$E,$C3671,DATA_GOC!$F:$F,"Xuất nội bộ từ téc",DATA_GOC!$B:$B,"&gt;="&amp;$D3671,DATA_GOC!$B:$B,"&lt;="&amp;$E3671))</f>
        <v/>
      </c>
      <c r="J3671" s="59">
        <f t="shared" si="28"/>
        <v>0</v>
      </c>
      <c r="K3671" s="59">
        <f t="shared" si="29"/>
        <v>0</v>
      </c>
      <c r="L3671" s="59">
        <f t="shared" si="30"/>
        <v>0</v>
      </c>
      <c r="M3671" s="59">
        <f t="shared" si="31"/>
        <v>0</v>
      </c>
    </row>
    <row r="3672" ht="15.0" hidden="1" customHeight="1">
      <c r="A3672" s="59">
        <f t="shared" si="20"/>
        <v>58</v>
      </c>
      <c r="B3672" s="59" t="str">
        <f t="shared" si="21"/>
        <v/>
      </c>
      <c r="C3672" s="59" t="str">
        <f t="shared" si="22"/>
        <v/>
      </c>
      <c r="D3672" s="45" t="str">
        <f t="shared" si="23"/>
        <v/>
      </c>
      <c r="E3672" s="45" t="str">
        <f t="shared" si="24"/>
        <v/>
      </c>
      <c r="F3672" s="59" t="str">
        <f t="shared" si="25"/>
        <v/>
      </c>
      <c r="G3672" s="59" t="str">
        <f t="shared" si="26"/>
        <v/>
      </c>
      <c r="H3672" s="59" t="str">
        <f t="shared" si="27"/>
        <v>28C03652</v>
      </c>
      <c r="I3672" s="59" t="str">
        <f>IF(OR($A3672="",$C3672="",$D3672="",$E3672="",$H3672=""),"",SUMIFS(DATA_GOC!$H:$H,DATA_GOC!$A:$A,"BOM",DATA_GOC!$D:$D,$H3672,DATA_GOC!$E:$E,$C3672,DATA_GOC!$F:$F,"Xuất nội bộ từ téc",DATA_GOC!$B:$B,"&gt;="&amp;$D3672,DATA_GOC!$B:$B,"&lt;="&amp;$E3672))</f>
        <v/>
      </c>
      <c r="J3672" s="59">
        <f t="shared" si="28"/>
        <v>0</v>
      </c>
      <c r="K3672" s="59">
        <f t="shared" si="29"/>
        <v>0</v>
      </c>
      <c r="L3672" s="59">
        <f t="shared" si="30"/>
        <v>0</v>
      </c>
      <c r="M3672" s="59">
        <f t="shared" si="31"/>
        <v>0</v>
      </c>
    </row>
    <row r="3673" ht="15.0" hidden="1" customHeight="1">
      <c r="A3673" s="59">
        <f t="shared" si="20"/>
        <v>58</v>
      </c>
      <c r="B3673" s="59" t="str">
        <f t="shared" si="21"/>
        <v/>
      </c>
      <c r="C3673" s="59" t="str">
        <f t="shared" si="22"/>
        <v/>
      </c>
      <c r="D3673" s="45" t="str">
        <f t="shared" si="23"/>
        <v/>
      </c>
      <c r="E3673" s="45" t="str">
        <f t="shared" si="24"/>
        <v/>
      </c>
      <c r="F3673" s="59" t="str">
        <f t="shared" si="25"/>
        <v/>
      </c>
      <c r="G3673" s="59" t="str">
        <f t="shared" si="26"/>
        <v/>
      </c>
      <c r="H3673" s="59" t="str">
        <f t="shared" si="27"/>
        <v>28C03695</v>
      </c>
      <c r="I3673" s="59" t="str">
        <f>IF(OR($A3673="",$C3673="",$D3673="",$E3673="",$H3673=""),"",SUMIFS(DATA_GOC!$H:$H,DATA_GOC!$A:$A,"BOM",DATA_GOC!$D:$D,$H3673,DATA_GOC!$E:$E,$C3673,DATA_GOC!$F:$F,"Xuất nội bộ từ téc",DATA_GOC!$B:$B,"&gt;="&amp;$D3673,DATA_GOC!$B:$B,"&lt;="&amp;$E3673))</f>
        <v/>
      </c>
      <c r="J3673" s="59">
        <f t="shared" si="28"/>
        <v>0</v>
      </c>
      <c r="K3673" s="59">
        <f t="shared" si="29"/>
        <v>0</v>
      </c>
      <c r="L3673" s="59">
        <f t="shared" si="30"/>
        <v>0</v>
      </c>
      <c r="M3673" s="59">
        <f t="shared" si="31"/>
        <v>0</v>
      </c>
    </row>
    <row r="3674" ht="15.0" hidden="1" customHeight="1">
      <c r="A3674" s="59">
        <f t="shared" si="20"/>
        <v>58</v>
      </c>
      <c r="B3674" s="59" t="str">
        <f t="shared" si="21"/>
        <v/>
      </c>
      <c r="C3674" s="59" t="str">
        <f t="shared" si="22"/>
        <v/>
      </c>
      <c r="D3674" s="45" t="str">
        <f t="shared" si="23"/>
        <v/>
      </c>
      <c r="E3674" s="45" t="str">
        <f t="shared" si="24"/>
        <v/>
      </c>
      <c r="F3674" s="59" t="str">
        <f t="shared" si="25"/>
        <v/>
      </c>
      <c r="G3674" s="59" t="str">
        <f t="shared" si="26"/>
        <v/>
      </c>
      <c r="H3674" s="59" t="str">
        <f t="shared" si="27"/>
        <v>28C03927</v>
      </c>
      <c r="I3674" s="59" t="str">
        <f>IF(OR($A3674="",$C3674="",$D3674="",$E3674="",$H3674=""),"",SUMIFS(DATA_GOC!$H:$H,DATA_GOC!$A:$A,"BOM",DATA_GOC!$D:$D,$H3674,DATA_GOC!$E:$E,$C3674,DATA_GOC!$F:$F,"Xuất nội bộ từ téc",DATA_GOC!$B:$B,"&gt;="&amp;$D3674,DATA_GOC!$B:$B,"&lt;="&amp;$E3674))</f>
        <v/>
      </c>
      <c r="J3674" s="59">
        <f t="shared" si="28"/>
        <v>0</v>
      </c>
      <c r="K3674" s="59">
        <f t="shared" si="29"/>
        <v>0</v>
      </c>
      <c r="L3674" s="59">
        <f t="shared" si="30"/>
        <v>0</v>
      </c>
      <c r="M3674" s="59">
        <f t="shared" si="31"/>
        <v>0</v>
      </c>
    </row>
    <row r="3675" ht="15.0" hidden="1" customHeight="1">
      <c r="A3675" s="59">
        <f t="shared" si="20"/>
        <v>58</v>
      </c>
      <c r="B3675" s="59" t="str">
        <f t="shared" si="21"/>
        <v/>
      </c>
      <c r="C3675" s="59" t="str">
        <f t="shared" si="22"/>
        <v/>
      </c>
      <c r="D3675" s="45" t="str">
        <f t="shared" si="23"/>
        <v/>
      </c>
      <c r="E3675" s="45" t="str">
        <f t="shared" si="24"/>
        <v/>
      </c>
      <c r="F3675" s="59" t="str">
        <f t="shared" si="25"/>
        <v/>
      </c>
      <c r="G3675" s="59" t="str">
        <f t="shared" si="26"/>
        <v/>
      </c>
      <c r="H3675" s="59" t="str">
        <f t="shared" si="27"/>
        <v>28C04509</v>
      </c>
      <c r="I3675" s="59" t="str">
        <f>IF(OR($A3675="",$C3675="",$D3675="",$E3675="",$H3675=""),"",SUMIFS(DATA_GOC!$H:$H,DATA_GOC!$A:$A,"BOM",DATA_GOC!$D:$D,$H3675,DATA_GOC!$E:$E,$C3675,DATA_GOC!$F:$F,"Xuất nội bộ từ téc",DATA_GOC!$B:$B,"&gt;="&amp;$D3675,DATA_GOC!$B:$B,"&lt;="&amp;$E3675))</f>
        <v/>
      </c>
      <c r="J3675" s="59">
        <f t="shared" si="28"/>
        <v>0</v>
      </c>
      <c r="K3675" s="59">
        <f t="shared" si="29"/>
        <v>0</v>
      </c>
      <c r="L3675" s="59">
        <f t="shared" si="30"/>
        <v>0</v>
      </c>
      <c r="M3675" s="59">
        <f t="shared" si="31"/>
        <v>0</v>
      </c>
    </row>
    <row r="3676" ht="15.0" hidden="1" customHeight="1">
      <c r="A3676" s="59">
        <f t="shared" si="20"/>
        <v>58</v>
      </c>
      <c r="B3676" s="59" t="str">
        <f t="shared" si="21"/>
        <v/>
      </c>
      <c r="C3676" s="59" t="str">
        <f t="shared" si="22"/>
        <v/>
      </c>
      <c r="D3676" s="45" t="str">
        <f t="shared" si="23"/>
        <v/>
      </c>
      <c r="E3676" s="45" t="str">
        <f t="shared" si="24"/>
        <v/>
      </c>
      <c r="F3676" s="59" t="str">
        <f t="shared" si="25"/>
        <v/>
      </c>
      <c r="G3676" s="59" t="str">
        <f t="shared" si="26"/>
        <v/>
      </c>
      <c r="H3676" s="59" t="str">
        <f t="shared" si="27"/>
        <v>28C04536</v>
      </c>
      <c r="I3676" s="59" t="str">
        <f>IF(OR($A3676="",$C3676="",$D3676="",$E3676="",$H3676=""),"",SUMIFS(DATA_GOC!$H:$H,DATA_GOC!$A:$A,"BOM",DATA_GOC!$D:$D,$H3676,DATA_GOC!$E:$E,$C3676,DATA_GOC!$F:$F,"Xuất nội bộ từ téc",DATA_GOC!$B:$B,"&gt;="&amp;$D3676,DATA_GOC!$B:$B,"&lt;="&amp;$E3676))</f>
        <v/>
      </c>
      <c r="J3676" s="59">
        <f t="shared" si="28"/>
        <v>0</v>
      </c>
      <c r="K3676" s="59">
        <f t="shared" si="29"/>
        <v>0</v>
      </c>
      <c r="L3676" s="59">
        <f t="shared" si="30"/>
        <v>0</v>
      </c>
      <c r="M3676" s="59">
        <f t="shared" si="31"/>
        <v>0</v>
      </c>
    </row>
    <row r="3677" ht="15.0" hidden="1" customHeight="1">
      <c r="A3677" s="59">
        <f t="shared" si="20"/>
        <v>58</v>
      </c>
      <c r="B3677" s="59" t="str">
        <f t="shared" si="21"/>
        <v/>
      </c>
      <c r="C3677" s="59" t="str">
        <f t="shared" si="22"/>
        <v/>
      </c>
      <c r="D3677" s="45" t="str">
        <f t="shared" si="23"/>
        <v/>
      </c>
      <c r="E3677" s="45" t="str">
        <f t="shared" si="24"/>
        <v/>
      </c>
      <c r="F3677" s="59" t="str">
        <f t="shared" si="25"/>
        <v/>
      </c>
      <c r="G3677" s="59" t="str">
        <f t="shared" si="26"/>
        <v/>
      </c>
      <c r="H3677" s="59" t="str">
        <f t="shared" si="27"/>
        <v>28C04576</v>
      </c>
      <c r="I3677" s="59" t="str">
        <f>IF(OR($A3677="",$C3677="",$D3677="",$E3677="",$H3677=""),"",SUMIFS(DATA_GOC!$H:$H,DATA_GOC!$A:$A,"BOM",DATA_GOC!$D:$D,$H3677,DATA_GOC!$E:$E,$C3677,DATA_GOC!$F:$F,"Xuất nội bộ từ téc",DATA_GOC!$B:$B,"&gt;="&amp;$D3677,DATA_GOC!$B:$B,"&lt;="&amp;$E3677))</f>
        <v/>
      </c>
      <c r="J3677" s="59">
        <f t="shared" si="28"/>
        <v>0</v>
      </c>
      <c r="K3677" s="59">
        <f t="shared" si="29"/>
        <v>0</v>
      </c>
      <c r="L3677" s="59">
        <f t="shared" si="30"/>
        <v>0</v>
      </c>
      <c r="M3677" s="59">
        <f t="shared" si="31"/>
        <v>0</v>
      </c>
    </row>
    <row r="3678" ht="15.0" hidden="1" customHeight="1">
      <c r="A3678" s="59">
        <f t="shared" si="20"/>
        <v>58</v>
      </c>
      <c r="B3678" s="59" t="str">
        <f t="shared" si="21"/>
        <v/>
      </c>
      <c r="C3678" s="59" t="str">
        <f t="shared" si="22"/>
        <v/>
      </c>
      <c r="D3678" s="45" t="str">
        <f t="shared" si="23"/>
        <v/>
      </c>
      <c r="E3678" s="45" t="str">
        <f t="shared" si="24"/>
        <v/>
      </c>
      <c r="F3678" s="59" t="str">
        <f t="shared" si="25"/>
        <v/>
      </c>
      <c r="G3678" s="59" t="str">
        <f t="shared" si="26"/>
        <v/>
      </c>
      <c r="H3678" s="59" t="str">
        <f t="shared" si="27"/>
        <v>28C05090</v>
      </c>
      <c r="I3678" s="59" t="str">
        <f>IF(OR($A3678="",$C3678="",$D3678="",$E3678="",$H3678=""),"",SUMIFS(DATA_GOC!$H:$H,DATA_GOC!$A:$A,"BOM",DATA_GOC!$D:$D,$H3678,DATA_GOC!$E:$E,$C3678,DATA_GOC!$F:$F,"Xuất nội bộ từ téc",DATA_GOC!$B:$B,"&gt;="&amp;$D3678,DATA_GOC!$B:$B,"&lt;="&amp;$E3678))</f>
        <v/>
      </c>
      <c r="J3678" s="59">
        <f t="shared" si="28"/>
        <v>0</v>
      </c>
      <c r="K3678" s="59">
        <f t="shared" si="29"/>
        <v>0</v>
      </c>
      <c r="L3678" s="59">
        <f t="shared" si="30"/>
        <v>0</v>
      </c>
      <c r="M3678" s="59">
        <f t="shared" si="31"/>
        <v>0</v>
      </c>
    </row>
    <row r="3679" ht="15.0" hidden="1" customHeight="1">
      <c r="A3679" s="59">
        <f t="shared" si="20"/>
        <v>58</v>
      </c>
      <c r="B3679" s="59" t="str">
        <f t="shared" si="21"/>
        <v/>
      </c>
      <c r="C3679" s="59" t="str">
        <f t="shared" si="22"/>
        <v/>
      </c>
      <c r="D3679" s="45" t="str">
        <f t="shared" si="23"/>
        <v/>
      </c>
      <c r="E3679" s="45" t="str">
        <f t="shared" si="24"/>
        <v/>
      </c>
      <c r="F3679" s="59" t="str">
        <f t="shared" si="25"/>
        <v/>
      </c>
      <c r="G3679" s="59" t="str">
        <f t="shared" si="26"/>
        <v/>
      </c>
      <c r="H3679" s="59" t="str">
        <f t="shared" si="27"/>
        <v>28C05345</v>
      </c>
      <c r="I3679" s="59" t="str">
        <f>IF(OR($A3679="",$C3679="",$D3679="",$E3679="",$H3679=""),"",SUMIFS(DATA_GOC!$H:$H,DATA_GOC!$A:$A,"BOM",DATA_GOC!$D:$D,$H3679,DATA_GOC!$E:$E,$C3679,DATA_GOC!$F:$F,"Xuất nội bộ từ téc",DATA_GOC!$B:$B,"&gt;="&amp;$D3679,DATA_GOC!$B:$B,"&lt;="&amp;$E3679))</f>
        <v/>
      </c>
      <c r="J3679" s="59">
        <f t="shared" si="28"/>
        <v>0</v>
      </c>
      <c r="K3679" s="59">
        <f t="shared" si="29"/>
        <v>0</v>
      </c>
      <c r="L3679" s="59">
        <f t="shared" si="30"/>
        <v>0</v>
      </c>
      <c r="M3679" s="59">
        <f t="shared" si="31"/>
        <v>0</v>
      </c>
    </row>
    <row r="3680" ht="15.0" hidden="1" customHeight="1">
      <c r="A3680" s="59">
        <f t="shared" si="20"/>
        <v>58</v>
      </c>
      <c r="B3680" s="59" t="str">
        <f t="shared" si="21"/>
        <v/>
      </c>
      <c r="C3680" s="59" t="str">
        <f t="shared" si="22"/>
        <v/>
      </c>
      <c r="D3680" s="45" t="str">
        <f t="shared" si="23"/>
        <v/>
      </c>
      <c r="E3680" s="45" t="str">
        <f t="shared" si="24"/>
        <v/>
      </c>
      <c r="F3680" s="59" t="str">
        <f t="shared" si="25"/>
        <v/>
      </c>
      <c r="G3680" s="59" t="str">
        <f t="shared" si="26"/>
        <v/>
      </c>
      <c r="H3680" s="59" t="str">
        <f t="shared" si="27"/>
        <v>28C05661</v>
      </c>
      <c r="I3680" s="59" t="str">
        <f>IF(OR($A3680="",$C3680="",$D3680="",$E3680="",$H3680=""),"",SUMIFS(DATA_GOC!$H:$H,DATA_GOC!$A:$A,"BOM",DATA_GOC!$D:$D,$H3680,DATA_GOC!$E:$E,$C3680,DATA_GOC!$F:$F,"Xuất nội bộ từ téc",DATA_GOC!$B:$B,"&gt;="&amp;$D3680,DATA_GOC!$B:$B,"&lt;="&amp;$E3680))</f>
        <v/>
      </c>
      <c r="J3680" s="59">
        <f t="shared" si="28"/>
        <v>0</v>
      </c>
      <c r="K3680" s="59">
        <f t="shared" si="29"/>
        <v>0</v>
      </c>
      <c r="L3680" s="59">
        <f t="shared" si="30"/>
        <v>0</v>
      </c>
      <c r="M3680" s="59">
        <f t="shared" si="31"/>
        <v>0</v>
      </c>
    </row>
    <row r="3681" ht="15.0" hidden="1" customHeight="1">
      <c r="A3681" s="59">
        <f t="shared" si="20"/>
        <v>58</v>
      </c>
      <c r="B3681" s="59" t="str">
        <f t="shared" si="21"/>
        <v/>
      </c>
      <c r="C3681" s="59" t="str">
        <f t="shared" si="22"/>
        <v/>
      </c>
      <c r="D3681" s="45" t="str">
        <f t="shared" si="23"/>
        <v/>
      </c>
      <c r="E3681" s="45" t="str">
        <f t="shared" si="24"/>
        <v/>
      </c>
      <c r="F3681" s="59" t="str">
        <f t="shared" si="25"/>
        <v/>
      </c>
      <c r="G3681" s="59" t="str">
        <f t="shared" si="26"/>
        <v/>
      </c>
      <c r="H3681" s="59" t="str">
        <f t="shared" si="27"/>
        <v>28C05739</v>
      </c>
      <c r="I3681" s="59" t="str">
        <f>IF(OR($A3681="",$C3681="",$D3681="",$E3681="",$H3681=""),"",SUMIFS(DATA_GOC!$H:$H,DATA_GOC!$A:$A,"BOM",DATA_GOC!$D:$D,$H3681,DATA_GOC!$E:$E,$C3681,DATA_GOC!$F:$F,"Xuất nội bộ từ téc",DATA_GOC!$B:$B,"&gt;="&amp;$D3681,DATA_GOC!$B:$B,"&lt;="&amp;$E3681))</f>
        <v/>
      </c>
      <c r="J3681" s="59">
        <f t="shared" si="28"/>
        <v>0</v>
      </c>
      <c r="K3681" s="59">
        <f t="shared" si="29"/>
        <v>0</v>
      </c>
      <c r="L3681" s="59">
        <f t="shared" si="30"/>
        <v>0</v>
      </c>
      <c r="M3681" s="59">
        <f t="shared" si="31"/>
        <v>0</v>
      </c>
    </row>
    <row r="3682" ht="15.0" hidden="1" customHeight="1">
      <c r="A3682" s="59">
        <f t="shared" si="20"/>
        <v>58</v>
      </c>
      <c r="B3682" s="59" t="str">
        <f t="shared" si="21"/>
        <v/>
      </c>
      <c r="C3682" s="59" t="str">
        <f t="shared" si="22"/>
        <v/>
      </c>
      <c r="D3682" s="45" t="str">
        <f t="shared" si="23"/>
        <v/>
      </c>
      <c r="E3682" s="45" t="str">
        <f t="shared" si="24"/>
        <v/>
      </c>
      <c r="F3682" s="59" t="str">
        <f t="shared" si="25"/>
        <v/>
      </c>
      <c r="G3682" s="59" t="str">
        <f t="shared" si="26"/>
        <v/>
      </c>
      <c r="H3682" s="59" t="str">
        <f t="shared" si="27"/>
        <v>28C06369</v>
      </c>
      <c r="I3682" s="59" t="str">
        <f>IF(OR($A3682="",$C3682="",$D3682="",$E3682="",$H3682=""),"",SUMIFS(DATA_GOC!$H:$H,DATA_GOC!$A:$A,"BOM",DATA_GOC!$D:$D,$H3682,DATA_GOC!$E:$E,$C3682,DATA_GOC!$F:$F,"Xuất nội bộ từ téc",DATA_GOC!$B:$B,"&gt;="&amp;$D3682,DATA_GOC!$B:$B,"&lt;="&amp;$E3682))</f>
        <v/>
      </c>
      <c r="J3682" s="59">
        <f t="shared" si="28"/>
        <v>0</v>
      </c>
      <c r="K3682" s="59">
        <f t="shared" si="29"/>
        <v>0</v>
      </c>
      <c r="L3682" s="59">
        <f t="shared" si="30"/>
        <v>0</v>
      </c>
      <c r="M3682" s="59">
        <f t="shared" si="31"/>
        <v>0</v>
      </c>
    </row>
    <row r="3683" ht="15.0" hidden="1" customHeight="1">
      <c r="A3683" s="59">
        <f t="shared" si="20"/>
        <v>58</v>
      </c>
      <c r="B3683" s="59" t="str">
        <f t="shared" si="21"/>
        <v/>
      </c>
      <c r="C3683" s="59" t="str">
        <f t="shared" si="22"/>
        <v/>
      </c>
      <c r="D3683" s="45" t="str">
        <f t="shared" si="23"/>
        <v/>
      </c>
      <c r="E3683" s="45" t="str">
        <f t="shared" si="24"/>
        <v/>
      </c>
      <c r="F3683" s="59" t="str">
        <f t="shared" si="25"/>
        <v/>
      </c>
      <c r="G3683" s="59" t="str">
        <f t="shared" si="26"/>
        <v/>
      </c>
      <c r="H3683" s="59" t="str">
        <f t="shared" si="27"/>
        <v>28C06447</v>
      </c>
      <c r="I3683" s="59" t="str">
        <f>IF(OR($A3683="",$C3683="",$D3683="",$E3683="",$H3683=""),"",SUMIFS(DATA_GOC!$H:$H,DATA_GOC!$A:$A,"BOM",DATA_GOC!$D:$D,$H3683,DATA_GOC!$E:$E,$C3683,DATA_GOC!$F:$F,"Xuất nội bộ từ téc",DATA_GOC!$B:$B,"&gt;="&amp;$D3683,DATA_GOC!$B:$B,"&lt;="&amp;$E3683))</f>
        <v/>
      </c>
      <c r="J3683" s="59">
        <f t="shared" si="28"/>
        <v>0</v>
      </c>
      <c r="K3683" s="59">
        <f t="shared" si="29"/>
        <v>0</v>
      </c>
      <c r="L3683" s="59">
        <f t="shared" si="30"/>
        <v>0</v>
      </c>
      <c r="M3683" s="59">
        <f t="shared" si="31"/>
        <v>0</v>
      </c>
    </row>
    <row r="3684" ht="15.0" hidden="1" customHeight="1">
      <c r="A3684" s="59">
        <f t="shared" si="20"/>
        <v>58</v>
      </c>
      <c r="B3684" s="59" t="str">
        <f t="shared" si="21"/>
        <v/>
      </c>
      <c r="C3684" s="59" t="str">
        <f t="shared" si="22"/>
        <v/>
      </c>
      <c r="D3684" s="45" t="str">
        <f t="shared" si="23"/>
        <v/>
      </c>
      <c r="E3684" s="45" t="str">
        <f t="shared" si="24"/>
        <v/>
      </c>
      <c r="F3684" s="59" t="str">
        <f t="shared" si="25"/>
        <v/>
      </c>
      <c r="G3684" s="59" t="str">
        <f t="shared" si="26"/>
        <v/>
      </c>
      <c r="H3684" s="59" t="str">
        <f t="shared" si="27"/>
        <v>28H00003</v>
      </c>
      <c r="I3684" s="59" t="str">
        <f>IF(OR($A3684="",$C3684="",$D3684="",$E3684="",$H3684=""),"",SUMIFS(DATA_GOC!$H:$H,DATA_GOC!$A:$A,"BOM",DATA_GOC!$D:$D,$H3684,DATA_GOC!$E:$E,$C3684,DATA_GOC!$F:$F,"Xuất nội bộ từ téc",DATA_GOC!$B:$B,"&gt;="&amp;$D3684,DATA_GOC!$B:$B,"&lt;="&amp;$E3684))</f>
        <v/>
      </c>
      <c r="J3684" s="59">
        <f t="shared" si="28"/>
        <v>0</v>
      </c>
      <c r="K3684" s="59">
        <f t="shared" si="29"/>
        <v>0</v>
      </c>
      <c r="L3684" s="59">
        <f t="shared" si="30"/>
        <v>0</v>
      </c>
      <c r="M3684" s="59">
        <f t="shared" si="31"/>
        <v>0</v>
      </c>
    </row>
    <row r="3685" ht="15.0" hidden="1" customHeight="1">
      <c r="A3685" s="59">
        <f t="shared" si="20"/>
        <v>58</v>
      </c>
      <c r="B3685" s="59" t="str">
        <f t="shared" si="21"/>
        <v/>
      </c>
      <c r="C3685" s="59" t="str">
        <f t="shared" si="22"/>
        <v/>
      </c>
      <c r="D3685" s="45" t="str">
        <f t="shared" si="23"/>
        <v/>
      </c>
      <c r="E3685" s="45" t="str">
        <f t="shared" si="24"/>
        <v/>
      </c>
      <c r="F3685" s="59" t="str">
        <f t="shared" si="25"/>
        <v/>
      </c>
      <c r="G3685" s="59" t="str">
        <f t="shared" si="26"/>
        <v/>
      </c>
      <c r="H3685" s="59" t="str">
        <f t="shared" si="27"/>
        <v>28H00061</v>
      </c>
      <c r="I3685" s="59" t="str">
        <f>IF(OR($A3685="",$C3685="",$D3685="",$E3685="",$H3685=""),"",SUMIFS(DATA_GOC!$H:$H,DATA_GOC!$A:$A,"BOM",DATA_GOC!$D:$D,$H3685,DATA_GOC!$E:$E,$C3685,DATA_GOC!$F:$F,"Xuất nội bộ từ téc",DATA_GOC!$B:$B,"&gt;="&amp;$D3685,DATA_GOC!$B:$B,"&lt;="&amp;$E3685))</f>
        <v/>
      </c>
      <c r="J3685" s="59">
        <f t="shared" si="28"/>
        <v>0</v>
      </c>
      <c r="K3685" s="59">
        <f t="shared" si="29"/>
        <v>0</v>
      </c>
      <c r="L3685" s="59">
        <f t="shared" si="30"/>
        <v>0</v>
      </c>
      <c r="M3685" s="59">
        <f t="shared" si="31"/>
        <v>0</v>
      </c>
    </row>
    <row r="3686" ht="15.0" hidden="1" customHeight="1">
      <c r="A3686" s="59">
        <f t="shared" si="20"/>
        <v>58</v>
      </c>
      <c r="B3686" s="59" t="str">
        <f t="shared" si="21"/>
        <v/>
      </c>
      <c r="C3686" s="59" t="str">
        <f t="shared" si="22"/>
        <v/>
      </c>
      <c r="D3686" s="45" t="str">
        <f t="shared" si="23"/>
        <v/>
      </c>
      <c r="E3686" s="45" t="str">
        <f t="shared" si="24"/>
        <v/>
      </c>
      <c r="F3686" s="59" t="str">
        <f t="shared" si="25"/>
        <v/>
      </c>
      <c r="G3686" s="59" t="str">
        <f t="shared" si="26"/>
        <v/>
      </c>
      <c r="H3686" s="59" t="str">
        <f t="shared" si="27"/>
        <v>28H00354</v>
      </c>
      <c r="I3686" s="59" t="str">
        <f>IF(OR($A3686="",$C3686="",$D3686="",$E3686="",$H3686=""),"",SUMIFS(DATA_GOC!$H:$H,DATA_GOC!$A:$A,"BOM",DATA_GOC!$D:$D,$H3686,DATA_GOC!$E:$E,$C3686,DATA_GOC!$F:$F,"Xuất nội bộ từ téc",DATA_GOC!$B:$B,"&gt;="&amp;$D3686,DATA_GOC!$B:$B,"&lt;="&amp;$E3686))</f>
        <v/>
      </c>
      <c r="J3686" s="59">
        <f t="shared" si="28"/>
        <v>0</v>
      </c>
      <c r="K3686" s="59">
        <f t="shared" si="29"/>
        <v>0</v>
      </c>
      <c r="L3686" s="59">
        <f t="shared" si="30"/>
        <v>0</v>
      </c>
      <c r="M3686" s="59">
        <f t="shared" si="31"/>
        <v>0</v>
      </c>
    </row>
    <row r="3687" ht="15.0" hidden="1" customHeight="1">
      <c r="A3687" s="59">
        <f t="shared" si="20"/>
        <v>58</v>
      </c>
      <c r="B3687" s="59" t="str">
        <f t="shared" si="21"/>
        <v/>
      </c>
      <c r="C3687" s="59" t="str">
        <f t="shared" si="22"/>
        <v/>
      </c>
      <c r="D3687" s="45" t="str">
        <f t="shared" si="23"/>
        <v/>
      </c>
      <c r="E3687" s="45" t="str">
        <f t="shared" si="24"/>
        <v/>
      </c>
      <c r="F3687" s="59" t="str">
        <f t="shared" si="25"/>
        <v/>
      </c>
      <c r="G3687" s="59" t="str">
        <f t="shared" si="26"/>
        <v/>
      </c>
      <c r="H3687" s="59" t="str">
        <f t="shared" si="27"/>
        <v>28H00603</v>
      </c>
      <c r="I3687" s="59" t="str">
        <f>IF(OR($A3687="",$C3687="",$D3687="",$E3687="",$H3687=""),"",SUMIFS(DATA_GOC!$H:$H,DATA_GOC!$A:$A,"BOM",DATA_GOC!$D:$D,$H3687,DATA_GOC!$E:$E,$C3687,DATA_GOC!$F:$F,"Xuất nội bộ từ téc",DATA_GOC!$B:$B,"&gt;="&amp;$D3687,DATA_GOC!$B:$B,"&lt;="&amp;$E3687))</f>
        <v/>
      </c>
      <c r="J3687" s="59">
        <f t="shared" si="28"/>
        <v>0</v>
      </c>
      <c r="K3687" s="59">
        <f t="shared" si="29"/>
        <v>0</v>
      </c>
      <c r="L3687" s="59">
        <f t="shared" si="30"/>
        <v>0</v>
      </c>
      <c r="M3687" s="59">
        <f t="shared" si="31"/>
        <v>0</v>
      </c>
    </row>
    <row r="3688" ht="15.0" hidden="1" customHeight="1">
      <c r="A3688" s="59">
        <f t="shared" si="20"/>
        <v>58</v>
      </c>
      <c r="B3688" s="59" t="str">
        <f t="shared" si="21"/>
        <v/>
      </c>
      <c r="C3688" s="59" t="str">
        <f t="shared" si="22"/>
        <v/>
      </c>
      <c r="D3688" s="45" t="str">
        <f t="shared" si="23"/>
        <v/>
      </c>
      <c r="E3688" s="45" t="str">
        <f t="shared" si="24"/>
        <v/>
      </c>
      <c r="F3688" s="59" t="str">
        <f t="shared" si="25"/>
        <v/>
      </c>
      <c r="G3688" s="59" t="str">
        <f t="shared" si="26"/>
        <v/>
      </c>
      <c r="H3688" s="59" t="str">
        <f t="shared" si="27"/>
        <v>28H00609</v>
      </c>
      <c r="I3688" s="59" t="str">
        <f>IF(OR($A3688="",$C3688="",$D3688="",$E3688="",$H3688=""),"",SUMIFS(DATA_GOC!$H:$H,DATA_GOC!$A:$A,"BOM",DATA_GOC!$D:$D,$H3688,DATA_GOC!$E:$E,$C3688,DATA_GOC!$F:$F,"Xuất nội bộ từ téc",DATA_GOC!$B:$B,"&gt;="&amp;$D3688,DATA_GOC!$B:$B,"&lt;="&amp;$E3688))</f>
        <v/>
      </c>
      <c r="J3688" s="59">
        <f t="shared" si="28"/>
        <v>0</v>
      </c>
      <c r="K3688" s="59">
        <f t="shared" si="29"/>
        <v>0</v>
      </c>
      <c r="L3688" s="59">
        <f t="shared" si="30"/>
        <v>0</v>
      </c>
      <c r="M3688" s="59">
        <f t="shared" si="31"/>
        <v>0</v>
      </c>
    </row>
    <row r="3689" ht="15.0" hidden="1" customHeight="1">
      <c r="A3689" s="59">
        <f t="shared" si="20"/>
        <v>58</v>
      </c>
      <c r="B3689" s="59" t="str">
        <f t="shared" si="21"/>
        <v/>
      </c>
      <c r="C3689" s="59" t="str">
        <f t="shared" si="22"/>
        <v/>
      </c>
      <c r="D3689" s="45" t="str">
        <f t="shared" si="23"/>
        <v/>
      </c>
      <c r="E3689" s="45" t="str">
        <f t="shared" si="24"/>
        <v/>
      </c>
      <c r="F3689" s="59" t="str">
        <f t="shared" si="25"/>
        <v/>
      </c>
      <c r="G3689" s="59" t="str">
        <f t="shared" si="26"/>
        <v/>
      </c>
      <c r="H3689" s="59" t="str">
        <f t="shared" si="27"/>
        <v>28H00669</v>
      </c>
      <c r="I3689" s="59" t="str">
        <f>IF(OR($A3689="",$C3689="",$D3689="",$E3689="",$H3689=""),"",SUMIFS(DATA_GOC!$H:$H,DATA_GOC!$A:$A,"BOM",DATA_GOC!$D:$D,$H3689,DATA_GOC!$E:$E,$C3689,DATA_GOC!$F:$F,"Xuất nội bộ từ téc",DATA_GOC!$B:$B,"&gt;="&amp;$D3689,DATA_GOC!$B:$B,"&lt;="&amp;$E3689))</f>
        <v/>
      </c>
      <c r="J3689" s="59">
        <f t="shared" si="28"/>
        <v>0</v>
      </c>
      <c r="K3689" s="59">
        <f t="shared" si="29"/>
        <v>0</v>
      </c>
      <c r="L3689" s="59">
        <f t="shared" si="30"/>
        <v>0</v>
      </c>
      <c r="M3689" s="59">
        <f t="shared" si="31"/>
        <v>0</v>
      </c>
    </row>
    <row r="3690" ht="15.0" hidden="1" customHeight="1">
      <c r="A3690" s="59">
        <f t="shared" si="20"/>
        <v>58</v>
      </c>
      <c r="B3690" s="59" t="str">
        <f t="shared" si="21"/>
        <v/>
      </c>
      <c r="C3690" s="59" t="str">
        <f t="shared" si="22"/>
        <v/>
      </c>
      <c r="D3690" s="45" t="str">
        <f t="shared" si="23"/>
        <v/>
      </c>
      <c r="E3690" s="45" t="str">
        <f t="shared" si="24"/>
        <v/>
      </c>
      <c r="F3690" s="59" t="str">
        <f t="shared" si="25"/>
        <v/>
      </c>
      <c r="G3690" s="59" t="str">
        <f t="shared" si="26"/>
        <v/>
      </c>
      <c r="H3690" s="59" t="str">
        <f t="shared" si="27"/>
        <v>28H00680</v>
      </c>
      <c r="I3690" s="59" t="str">
        <f>IF(OR($A3690="",$C3690="",$D3690="",$E3690="",$H3690=""),"",SUMIFS(DATA_GOC!$H:$H,DATA_GOC!$A:$A,"BOM",DATA_GOC!$D:$D,$H3690,DATA_GOC!$E:$E,$C3690,DATA_GOC!$F:$F,"Xuất nội bộ từ téc",DATA_GOC!$B:$B,"&gt;="&amp;$D3690,DATA_GOC!$B:$B,"&lt;="&amp;$E3690))</f>
        <v/>
      </c>
      <c r="J3690" s="59">
        <f t="shared" si="28"/>
        <v>0</v>
      </c>
      <c r="K3690" s="59">
        <f t="shared" si="29"/>
        <v>0</v>
      </c>
      <c r="L3690" s="59">
        <f t="shared" si="30"/>
        <v>0</v>
      </c>
      <c r="M3690" s="59">
        <f t="shared" si="31"/>
        <v>0</v>
      </c>
    </row>
    <row r="3691" ht="15.0" hidden="1" customHeight="1">
      <c r="A3691" s="59">
        <f t="shared" si="20"/>
        <v>58</v>
      </c>
      <c r="B3691" s="59" t="str">
        <f t="shared" si="21"/>
        <v/>
      </c>
      <c r="C3691" s="59" t="str">
        <f t="shared" si="22"/>
        <v/>
      </c>
      <c r="D3691" s="45" t="str">
        <f t="shared" si="23"/>
        <v/>
      </c>
      <c r="E3691" s="45" t="str">
        <f t="shared" si="24"/>
        <v/>
      </c>
      <c r="F3691" s="59" t="str">
        <f t="shared" si="25"/>
        <v/>
      </c>
      <c r="G3691" s="59" t="str">
        <f t="shared" si="26"/>
        <v/>
      </c>
      <c r="H3691" s="59" t="str">
        <f t="shared" si="27"/>
        <v>28H01070</v>
      </c>
      <c r="I3691" s="59" t="str">
        <f>IF(OR($A3691="",$C3691="",$D3691="",$E3691="",$H3691=""),"",SUMIFS(DATA_GOC!$H:$H,DATA_GOC!$A:$A,"BOM",DATA_GOC!$D:$D,$H3691,DATA_GOC!$E:$E,$C3691,DATA_GOC!$F:$F,"Xuất nội bộ từ téc",DATA_GOC!$B:$B,"&gt;="&amp;$D3691,DATA_GOC!$B:$B,"&lt;="&amp;$E3691))</f>
        <v/>
      </c>
      <c r="J3691" s="59">
        <f t="shared" si="28"/>
        <v>0</v>
      </c>
      <c r="K3691" s="59">
        <f t="shared" si="29"/>
        <v>0</v>
      </c>
      <c r="L3691" s="59">
        <f t="shared" si="30"/>
        <v>0</v>
      </c>
      <c r="M3691" s="59">
        <f t="shared" si="31"/>
        <v>0</v>
      </c>
    </row>
    <row r="3692" ht="15.0" hidden="1" customHeight="1">
      <c r="A3692" s="59">
        <f t="shared" si="20"/>
        <v>58</v>
      </c>
      <c r="B3692" s="59" t="str">
        <f t="shared" si="21"/>
        <v/>
      </c>
      <c r="C3692" s="59" t="str">
        <f t="shared" si="22"/>
        <v/>
      </c>
      <c r="D3692" s="45" t="str">
        <f t="shared" si="23"/>
        <v/>
      </c>
      <c r="E3692" s="45" t="str">
        <f t="shared" si="24"/>
        <v/>
      </c>
      <c r="F3692" s="59" t="str">
        <f t="shared" si="25"/>
        <v/>
      </c>
      <c r="G3692" s="59" t="str">
        <f t="shared" si="26"/>
        <v/>
      </c>
      <c r="H3692" s="59" t="str">
        <f t="shared" si="27"/>
        <v>28H01364</v>
      </c>
      <c r="I3692" s="59" t="str">
        <f>IF(OR($A3692="",$C3692="",$D3692="",$E3692="",$H3692=""),"",SUMIFS(DATA_GOC!$H:$H,DATA_GOC!$A:$A,"BOM",DATA_GOC!$D:$D,$H3692,DATA_GOC!$E:$E,$C3692,DATA_GOC!$F:$F,"Xuất nội bộ từ téc",DATA_GOC!$B:$B,"&gt;="&amp;$D3692,DATA_GOC!$B:$B,"&lt;="&amp;$E3692))</f>
        <v/>
      </c>
      <c r="J3692" s="59">
        <f t="shared" si="28"/>
        <v>0</v>
      </c>
      <c r="K3692" s="59">
        <f t="shared" si="29"/>
        <v>0</v>
      </c>
      <c r="L3692" s="59">
        <f t="shared" si="30"/>
        <v>0</v>
      </c>
      <c r="M3692" s="59">
        <f t="shared" si="31"/>
        <v>0</v>
      </c>
    </row>
    <row r="3693" ht="15.0" hidden="1" customHeight="1">
      <c r="A3693" s="59">
        <f t="shared" si="20"/>
        <v>58</v>
      </c>
      <c r="B3693" s="59" t="str">
        <f t="shared" si="21"/>
        <v/>
      </c>
      <c r="C3693" s="59" t="str">
        <f t="shared" si="22"/>
        <v/>
      </c>
      <c r="D3693" s="45" t="str">
        <f t="shared" si="23"/>
        <v/>
      </c>
      <c r="E3693" s="45" t="str">
        <f t="shared" si="24"/>
        <v/>
      </c>
      <c r="F3693" s="59" t="str">
        <f t="shared" si="25"/>
        <v/>
      </c>
      <c r="G3693" s="59" t="str">
        <f t="shared" si="26"/>
        <v/>
      </c>
      <c r="H3693" s="59" t="str">
        <f t="shared" si="27"/>
        <v>29E17269</v>
      </c>
      <c r="I3693" s="59" t="str">
        <f>IF(OR($A3693="",$C3693="",$D3693="",$E3693="",$H3693=""),"",SUMIFS(DATA_GOC!$H:$H,DATA_GOC!$A:$A,"BOM",DATA_GOC!$D:$D,$H3693,DATA_GOC!$E:$E,$C3693,DATA_GOC!$F:$F,"Xuất nội bộ từ téc",DATA_GOC!$B:$B,"&gt;="&amp;$D3693,DATA_GOC!$B:$B,"&lt;="&amp;$E3693))</f>
        <v/>
      </c>
      <c r="J3693" s="59">
        <f t="shared" si="28"/>
        <v>0</v>
      </c>
      <c r="K3693" s="59">
        <f t="shared" si="29"/>
        <v>0</v>
      </c>
      <c r="L3693" s="59">
        <f t="shared" si="30"/>
        <v>0</v>
      </c>
      <c r="M3693" s="59">
        <f t="shared" si="31"/>
        <v>0</v>
      </c>
    </row>
    <row r="3694" ht="15.0" hidden="1" customHeight="1">
      <c r="A3694" s="59">
        <f t="shared" si="20"/>
        <v>58</v>
      </c>
      <c r="B3694" s="59" t="str">
        <f t="shared" si="21"/>
        <v/>
      </c>
      <c r="C3694" s="59" t="str">
        <f t="shared" si="22"/>
        <v/>
      </c>
      <c r="D3694" s="45" t="str">
        <f t="shared" si="23"/>
        <v/>
      </c>
      <c r="E3694" s="45" t="str">
        <f t="shared" si="24"/>
        <v/>
      </c>
      <c r="F3694" s="59" t="str">
        <f t="shared" si="25"/>
        <v/>
      </c>
      <c r="G3694" s="59" t="str">
        <f t="shared" si="26"/>
        <v/>
      </c>
      <c r="H3694" s="59" t="str">
        <f t="shared" si="27"/>
        <v>29E17273</v>
      </c>
      <c r="I3694" s="59" t="str">
        <f>IF(OR($A3694="",$C3694="",$D3694="",$E3694="",$H3694=""),"",SUMIFS(DATA_GOC!$H:$H,DATA_GOC!$A:$A,"BOM",DATA_GOC!$D:$D,$H3694,DATA_GOC!$E:$E,$C3694,DATA_GOC!$F:$F,"Xuất nội bộ từ téc",DATA_GOC!$B:$B,"&gt;="&amp;$D3694,DATA_GOC!$B:$B,"&lt;="&amp;$E3694))</f>
        <v/>
      </c>
      <c r="J3694" s="59">
        <f t="shared" si="28"/>
        <v>0</v>
      </c>
      <c r="K3694" s="59">
        <f t="shared" si="29"/>
        <v>0</v>
      </c>
      <c r="L3694" s="59">
        <f t="shared" si="30"/>
        <v>0</v>
      </c>
      <c r="M3694" s="59">
        <f t="shared" si="31"/>
        <v>0</v>
      </c>
    </row>
    <row r="3695" ht="15.0" hidden="1" customHeight="1">
      <c r="A3695" s="59">
        <f t="shared" si="20"/>
        <v>58</v>
      </c>
      <c r="B3695" s="59" t="str">
        <f t="shared" si="21"/>
        <v/>
      </c>
      <c r="C3695" s="59" t="str">
        <f t="shared" si="22"/>
        <v/>
      </c>
      <c r="D3695" s="45" t="str">
        <f t="shared" si="23"/>
        <v/>
      </c>
      <c r="E3695" s="45" t="str">
        <f t="shared" si="24"/>
        <v/>
      </c>
      <c r="F3695" s="59" t="str">
        <f t="shared" si="25"/>
        <v/>
      </c>
      <c r="G3695" s="59" t="str">
        <f t="shared" si="26"/>
        <v/>
      </c>
      <c r="H3695" s="59" t="str">
        <f t="shared" si="27"/>
        <v>29E17410</v>
      </c>
      <c r="I3695" s="59" t="str">
        <f>IF(OR($A3695="",$C3695="",$D3695="",$E3695="",$H3695=""),"",SUMIFS(DATA_GOC!$H:$H,DATA_GOC!$A:$A,"BOM",DATA_GOC!$D:$D,$H3695,DATA_GOC!$E:$E,$C3695,DATA_GOC!$F:$F,"Xuất nội bộ từ téc",DATA_GOC!$B:$B,"&gt;="&amp;$D3695,DATA_GOC!$B:$B,"&lt;="&amp;$E3695))</f>
        <v/>
      </c>
      <c r="J3695" s="59">
        <f t="shared" si="28"/>
        <v>0</v>
      </c>
      <c r="K3695" s="59">
        <f t="shared" si="29"/>
        <v>0</v>
      </c>
      <c r="L3695" s="59">
        <f t="shared" si="30"/>
        <v>0</v>
      </c>
      <c r="M3695" s="59">
        <f t="shared" si="31"/>
        <v>0</v>
      </c>
    </row>
    <row r="3696" ht="15.0" hidden="1" customHeight="1">
      <c r="A3696" s="59">
        <f t="shared" si="20"/>
        <v>58</v>
      </c>
      <c r="B3696" s="59" t="str">
        <f t="shared" si="21"/>
        <v/>
      </c>
      <c r="C3696" s="59" t="str">
        <f t="shared" si="22"/>
        <v/>
      </c>
      <c r="D3696" s="45" t="str">
        <f t="shared" si="23"/>
        <v/>
      </c>
      <c r="E3696" s="45" t="str">
        <f t="shared" si="24"/>
        <v/>
      </c>
      <c r="F3696" s="59" t="str">
        <f t="shared" si="25"/>
        <v/>
      </c>
      <c r="G3696" s="59" t="str">
        <f t="shared" si="26"/>
        <v/>
      </c>
      <c r="H3696" s="59" t="str">
        <f t="shared" si="27"/>
        <v>29E17417</v>
      </c>
      <c r="I3696" s="59" t="str">
        <f>IF(OR($A3696="",$C3696="",$D3696="",$E3696="",$H3696=""),"",SUMIFS(DATA_GOC!$H:$H,DATA_GOC!$A:$A,"BOM",DATA_GOC!$D:$D,$H3696,DATA_GOC!$E:$E,$C3696,DATA_GOC!$F:$F,"Xuất nội bộ từ téc",DATA_GOC!$B:$B,"&gt;="&amp;$D3696,DATA_GOC!$B:$B,"&lt;="&amp;$E3696))</f>
        <v/>
      </c>
      <c r="J3696" s="59">
        <f t="shared" si="28"/>
        <v>0</v>
      </c>
      <c r="K3696" s="59">
        <f t="shared" si="29"/>
        <v>0</v>
      </c>
      <c r="L3696" s="59">
        <f t="shared" si="30"/>
        <v>0</v>
      </c>
      <c r="M3696" s="59">
        <f t="shared" si="31"/>
        <v>0</v>
      </c>
    </row>
    <row r="3697" ht="15.0" hidden="1" customHeight="1">
      <c r="A3697" s="59">
        <f t="shared" si="20"/>
        <v>58</v>
      </c>
      <c r="B3697" s="59" t="str">
        <f t="shared" si="21"/>
        <v/>
      </c>
      <c r="C3697" s="59" t="str">
        <f t="shared" si="22"/>
        <v/>
      </c>
      <c r="D3697" s="45" t="str">
        <f t="shared" si="23"/>
        <v/>
      </c>
      <c r="E3697" s="45" t="str">
        <f t="shared" si="24"/>
        <v/>
      </c>
      <c r="F3697" s="59" t="str">
        <f t="shared" si="25"/>
        <v/>
      </c>
      <c r="G3697" s="59" t="str">
        <f t="shared" si="26"/>
        <v/>
      </c>
      <c r="H3697" s="59" t="str">
        <f t="shared" si="27"/>
        <v>29E17539</v>
      </c>
      <c r="I3697" s="59" t="str">
        <f>IF(OR($A3697="",$C3697="",$D3697="",$E3697="",$H3697=""),"",SUMIFS(DATA_GOC!$H:$H,DATA_GOC!$A:$A,"BOM",DATA_GOC!$D:$D,$H3697,DATA_GOC!$E:$E,$C3697,DATA_GOC!$F:$F,"Xuất nội bộ từ téc",DATA_GOC!$B:$B,"&gt;="&amp;$D3697,DATA_GOC!$B:$B,"&lt;="&amp;$E3697))</f>
        <v/>
      </c>
      <c r="J3697" s="59">
        <f t="shared" si="28"/>
        <v>0</v>
      </c>
      <c r="K3697" s="59">
        <f t="shared" si="29"/>
        <v>0</v>
      </c>
      <c r="L3697" s="59">
        <f t="shared" si="30"/>
        <v>0</v>
      </c>
      <c r="M3697" s="59">
        <f t="shared" si="31"/>
        <v>0</v>
      </c>
    </row>
    <row r="3698" ht="15.0" hidden="1" customHeight="1">
      <c r="A3698" s="59">
        <f t="shared" si="20"/>
        <v>58</v>
      </c>
      <c r="B3698" s="59" t="str">
        <f t="shared" si="21"/>
        <v/>
      </c>
      <c r="C3698" s="59" t="str">
        <f t="shared" si="22"/>
        <v/>
      </c>
      <c r="D3698" s="45" t="str">
        <f t="shared" si="23"/>
        <v/>
      </c>
      <c r="E3698" s="45" t="str">
        <f t="shared" si="24"/>
        <v/>
      </c>
      <c r="F3698" s="59" t="str">
        <f t="shared" si="25"/>
        <v/>
      </c>
      <c r="G3698" s="59" t="str">
        <f t="shared" si="26"/>
        <v/>
      </c>
      <c r="H3698" s="59" t="str">
        <f t="shared" si="27"/>
        <v>29E18160</v>
      </c>
      <c r="I3698" s="59" t="str">
        <f>IF(OR($A3698="",$C3698="",$D3698="",$E3698="",$H3698=""),"",SUMIFS(DATA_GOC!$H:$H,DATA_GOC!$A:$A,"BOM",DATA_GOC!$D:$D,$H3698,DATA_GOC!$E:$E,$C3698,DATA_GOC!$F:$F,"Xuất nội bộ từ téc",DATA_GOC!$B:$B,"&gt;="&amp;$D3698,DATA_GOC!$B:$B,"&lt;="&amp;$E3698))</f>
        <v/>
      </c>
      <c r="J3698" s="59">
        <f t="shared" si="28"/>
        <v>0</v>
      </c>
      <c r="K3698" s="59">
        <f t="shared" si="29"/>
        <v>0</v>
      </c>
      <c r="L3698" s="59">
        <f t="shared" si="30"/>
        <v>0</v>
      </c>
      <c r="M3698" s="59">
        <f t="shared" si="31"/>
        <v>0</v>
      </c>
    </row>
    <row r="3699" ht="15.0" hidden="1" customHeight="1">
      <c r="A3699" s="59">
        <f t="shared" si="20"/>
        <v>58</v>
      </c>
      <c r="B3699" s="59" t="str">
        <f t="shared" si="21"/>
        <v/>
      </c>
      <c r="C3699" s="59" t="str">
        <f t="shared" si="22"/>
        <v/>
      </c>
      <c r="D3699" s="45" t="str">
        <f t="shared" si="23"/>
        <v/>
      </c>
      <c r="E3699" s="45" t="str">
        <f t="shared" si="24"/>
        <v/>
      </c>
      <c r="F3699" s="59" t="str">
        <f t="shared" si="25"/>
        <v/>
      </c>
      <c r="G3699" s="59" t="str">
        <f t="shared" si="26"/>
        <v/>
      </c>
      <c r="H3699" s="59" t="str">
        <f t="shared" si="27"/>
        <v>Công trình Asphalt</v>
      </c>
      <c r="I3699" s="59" t="str">
        <f>IF(OR($A3699="",$C3699="",$D3699="",$E3699="",$H3699=""),"",SUMIFS(DATA_GOC!$H:$H,DATA_GOC!$A:$A,"BOM",DATA_GOC!$D:$D,$H3699,DATA_GOC!$E:$E,$C3699,DATA_GOC!$F:$F,"Xuất nội bộ từ téc",DATA_GOC!$B:$B,"&gt;="&amp;$D3699,DATA_GOC!$B:$B,"&lt;="&amp;$E3699))</f>
        <v/>
      </c>
      <c r="J3699" s="59">
        <f t="shared" si="28"/>
        <v>0</v>
      </c>
      <c r="K3699" s="59">
        <f t="shared" si="29"/>
        <v>0</v>
      </c>
      <c r="L3699" s="59">
        <f t="shared" si="30"/>
        <v>0</v>
      </c>
      <c r="M3699" s="59">
        <f t="shared" si="31"/>
        <v>0</v>
      </c>
    </row>
    <row r="3700" ht="15.0" hidden="1" customHeight="1">
      <c r="A3700" s="59">
        <f t="shared" si="20"/>
        <v>58</v>
      </c>
      <c r="B3700" s="59" t="str">
        <f t="shared" si="21"/>
        <v/>
      </c>
      <c r="C3700" s="59" t="str">
        <f t="shared" si="22"/>
        <v/>
      </c>
      <c r="D3700" s="45" t="str">
        <f t="shared" si="23"/>
        <v/>
      </c>
      <c r="E3700" s="45" t="str">
        <f t="shared" si="24"/>
        <v/>
      </c>
      <c r="F3700" s="59" t="str">
        <f t="shared" si="25"/>
        <v/>
      </c>
      <c r="G3700" s="59" t="str">
        <f t="shared" si="26"/>
        <v/>
      </c>
      <c r="H3700" s="59" t="str">
        <f t="shared" si="27"/>
        <v>LG53F</v>
      </c>
      <c r="I3700" s="59" t="str">
        <f>IF(OR($A3700="",$C3700="",$D3700="",$E3700="",$H3700=""),"",SUMIFS(DATA_GOC!$H:$H,DATA_GOC!$A:$A,"BOM",DATA_GOC!$D:$D,$H3700,DATA_GOC!$E:$E,$C3700,DATA_GOC!$F:$F,"Xuất nội bộ từ téc",DATA_GOC!$B:$B,"&gt;="&amp;$D3700,DATA_GOC!$B:$B,"&lt;="&amp;$E3700))</f>
        <v/>
      </c>
      <c r="J3700" s="59">
        <f t="shared" si="28"/>
        <v>0</v>
      </c>
      <c r="K3700" s="59">
        <f t="shared" si="29"/>
        <v>0</v>
      </c>
      <c r="L3700" s="59">
        <f t="shared" si="30"/>
        <v>0</v>
      </c>
      <c r="M3700" s="59">
        <f t="shared" si="31"/>
        <v>0</v>
      </c>
    </row>
    <row r="3701" ht="15.0" hidden="1" customHeight="1">
      <c r="A3701" s="59">
        <f t="shared" si="20"/>
        <v>58</v>
      </c>
      <c r="B3701" s="59" t="str">
        <f t="shared" si="21"/>
        <v/>
      </c>
      <c r="C3701" s="59" t="str">
        <f t="shared" si="22"/>
        <v/>
      </c>
      <c r="D3701" s="45" t="str">
        <f t="shared" si="23"/>
        <v/>
      </c>
      <c r="E3701" s="45" t="str">
        <f t="shared" si="24"/>
        <v/>
      </c>
      <c r="F3701" s="59" t="str">
        <f t="shared" si="25"/>
        <v/>
      </c>
      <c r="G3701" s="59" t="str">
        <f t="shared" si="26"/>
        <v/>
      </c>
      <c r="H3701" s="59" t="str">
        <f t="shared" si="27"/>
        <v>Máy phát điện</v>
      </c>
      <c r="I3701" s="59" t="str">
        <f>IF(OR($A3701="",$C3701="",$D3701="",$E3701="",$H3701=""),"",SUMIFS(DATA_GOC!$H:$H,DATA_GOC!$A:$A,"BOM",DATA_GOC!$D:$D,$H3701,DATA_GOC!$E:$E,$C3701,DATA_GOC!$F:$F,"Xuất nội bộ từ téc",DATA_GOC!$B:$B,"&gt;="&amp;$D3701,DATA_GOC!$B:$B,"&lt;="&amp;$E3701))</f>
        <v/>
      </c>
      <c r="J3701" s="59">
        <f t="shared" si="28"/>
        <v>0</v>
      </c>
      <c r="K3701" s="59">
        <f t="shared" si="29"/>
        <v>0</v>
      </c>
      <c r="L3701" s="59">
        <f t="shared" si="30"/>
        <v>0</v>
      </c>
      <c r="M3701" s="59">
        <f t="shared" si="31"/>
        <v>0</v>
      </c>
    </row>
    <row r="3702" ht="15.0" hidden="1" customHeight="1">
      <c r="A3702" s="59">
        <f t="shared" si="20"/>
        <v>58</v>
      </c>
      <c r="B3702" s="59" t="str">
        <f t="shared" si="21"/>
        <v/>
      </c>
      <c r="C3702" s="59" t="str">
        <f t="shared" si="22"/>
        <v/>
      </c>
      <c r="D3702" s="45" t="str">
        <f t="shared" si="23"/>
        <v/>
      </c>
      <c r="E3702" s="45" t="str">
        <f t="shared" si="24"/>
        <v/>
      </c>
      <c r="F3702" s="59" t="str">
        <f t="shared" si="25"/>
        <v/>
      </c>
      <c r="G3702" s="59" t="str">
        <f t="shared" si="26"/>
        <v/>
      </c>
      <c r="H3702" s="59" t="str">
        <f t="shared" si="27"/>
        <v>Máy rải thảm</v>
      </c>
      <c r="I3702" s="59" t="str">
        <f>IF(OR($A3702="",$C3702="",$D3702="",$E3702="",$H3702=""),"",SUMIFS(DATA_GOC!$H:$H,DATA_GOC!$A:$A,"BOM",DATA_GOC!$D:$D,$H3702,DATA_GOC!$E:$E,$C3702,DATA_GOC!$F:$F,"Xuất nội bộ từ téc",DATA_GOC!$B:$B,"&gt;="&amp;$D3702,DATA_GOC!$B:$B,"&lt;="&amp;$E3702))</f>
        <v/>
      </c>
      <c r="J3702" s="59">
        <f t="shared" si="28"/>
        <v>0</v>
      </c>
      <c r="K3702" s="59">
        <f t="shared" si="29"/>
        <v>0</v>
      </c>
      <c r="L3702" s="59">
        <f t="shared" si="30"/>
        <v>0</v>
      </c>
      <c r="M3702" s="59">
        <f t="shared" si="31"/>
        <v>0</v>
      </c>
    </row>
    <row r="3703" ht="15.0" hidden="1" customHeight="1">
      <c r="A3703" s="59">
        <f t="shared" si="20"/>
        <v>58</v>
      </c>
      <c r="B3703" s="59" t="str">
        <f t="shared" si="21"/>
        <v/>
      </c>
      <c r="C3703" s="59" t="str">
        <f t="shared" si="22"/>
        <v/>
      </c>
      <c r="D3703" s="45" t="str">
        <f t="shared" si="23"/>
        <v/>
      </c>
      <c r="E3703" s="45" t="str">
        <f t="shared" si="24"/>
        <v/>
      </c>
      <c r="F3703" s="59" t="str">
        <f t="shared" si="25"/>
        <v/>
      </c>
      <c r="G3703" s="59" t="str">
        <f t="shared" si="26"/>
        <v/>
      </c>
      <c r="H3703" s="59" t="str">
        <f t="shared" si="27"/>
        <v>Xúc Đào</v>
      </c>
      <c r="I3703" s="59" t="str">
        <f>IF(OR($A3703="",$C3703="",$D3703="",$E3703="",$H3703=""),"",SUMIFS(DATA_GOC!$H:$H,DATA_GOC!$A:$A,"BOM",DATA_GOC!$D:$D,$H3703,DATA_GOC!$E:$E,$C3703,DATA_GOC!$F:$F,"Xuất nội bộ từ téc",DATA_GOC!$B:$B,"&gt;="&amp;$D3703,DATA_GOC!$B:$B,"&lt;="&amp;$E3703))</f>
        <v/>
      </c>
      <c r="J3703" s="59">
        <f t="shared" si="28"/>
        <v>0</v>
      </c>
      <c r="K3703" s="59">
        <f t="shared" si="29"/>
        <v>0</v>
      </c>
      <c r="L3703" s="59">
        <f t="shared" si="30"/>
        <v>0</v>
      </c>
      <c r="M3703" s="59">
        <f t="shared" si="31"/>
        <v>0</v>
      </c>
    </row>
    <row r="3704" ht="15.0" hidden="1" customHeight="1">
      <c r="A3704" s="59">
        <f t="shared" si="20"/>
        <v>58</v>
      </c>
      <c r="B3704" s="59" t="str">
        <f t="shared" si="21"/>
        <v/>
      </c>
      <c r="C3704" s="59" t="str">
        <f t="shared" si="22"/>
        <v/>
      </c>
      <c r="D3704" s="45" t="str">
        <f t="shared" si="23"/>
        <v/>
      </c>
      <c r="E3704" s="45" t="str">
        <f t="shared" si="24"/>
        <v/>
      </c>
      <c r="F3704" s="59" t="str">
        <f t="shared" si="25"/>
        <v/>
      </c>
      <c r="G3704" s="59" t="str">
        <f t="shared" si="26"/>
        <v/>
      </c>
      <c r="H3704" s="59" t="str">
        <f t="shared" si="27"/>
        <v>Xúclật asphalt</v>
      </c>
      <c r="I3704" s="59" t="str">
        <f>IF(OR($A3704="",$C3704="",$D3704="",$E3704="",$H3704=""),"",SUMIFS(DATA_GOC!$H:$H,DATA_GOC!$A:$A,"BOM",DATA_GOC!$D:$D,$H3704,DATA_GOC!$E:$E,$C3704,DATA_GOC!$F:$F,"Xuất nội bộ từ téc",DATA_GOC!$B:$B,"&gt;="&amp;$D3704,DATA_GOC!$B:$B,"&lt;="&amp;$E3704))</f>
        <v/>
      </c>
      <c r="J3704" s="59">
        <f t="shared" si="28"/>
        <v>0</v>
      </c>
      <c r="K3704" s="59">
        <f t="shared" si="29"/>
        <v>0</v>
      </c>
      <c r="L3704" s="59">
        <f t="shared" si="30"/>
        <v>0</v>
      </c>
      <c r="M3704" s="59">
        <f t="shared" si="31"/>
        <v>0</v>
      </c>
    </row>
    <row r="3705" ht="15.0" hidden="1" customHeight="1">
      <c r="A3705" s="59">
        <f t="shared" si="20"/>
        <v>58</v>
      </c>
      <c r="B3705" s="59" t="str">
        <f t="shared" si="21"/>
        <v/>
      </c>
      <c r="C3705" s="59" t="str">
        <f t="shared" si="22"/>
        <v/>
      </c>
      <c r="D3705" s="45" t="str">
        <f t="shared" si="23"/>
        <v/>
      </c>
      <c r="E3705" s="45" t="str">
        <f t="shared" si="24"/>
        <v/>
      </c>
      <c r="F3705" s="59" t="str">
        <f t="shared" si="25"/>
        <v/>
      </c>
      <c r="G3705" s="59" t="str">
        <f t="shared" si="26"/>
        <v/>
      </c>
      <c r="H3705" s="59" t="str">
        <f t="shared" si="27"/>
        <v>Xúclật855H</v>
      </c>
      <c r="I3705" s="59" t="str">
        <f>IF(OR($A3705="",$C3705="",$D3705="",$E3705="",$H3705=""),"",SUMIFS(DATA_GOC!$H:$H,DATA_GOC!$A:$A,"BOM",DATA_GOC!$D:$D,$H3705,DATA_GOC!$E:$E,$C3705,DATA_GOC!$F:$F,"Xuất nội bộ từ téc",DATA_GOC!$B:$B,"&gt;="&amp;$D3705,DATA_GOC!$B:$B,"&lt;="&amp;$E3705))</f>
        <v/>
      </c>
      <c r="J3705" s="59">
        <f t="shared" si="28"/>
        <v>0</v>
      </c>
      <c r="K3705" s="59">
        <f t="shared" si="29"/>
        <v>0</v>
      </c>
      <c r="L3705" s="59">
        <f t="shared" si="30"/>
        <v>0</v>
      </c>
      <c r="M3705" s="59">
        <f t="shared" si="31"/>
        <v>0</v>
      </c>
    </row>
    <row r="3706" ht="15.0" hidden="1" customHeight="1">
      <c r="A3706" s="59">
        <f t="shared" si="20"/>
        <v>58</v>
      </c>
      <c r="B3706" s="59" t="str">
        <f t="shared" si="21"/>
        <v/>
      </c>
      <c r="C3706" s="59" t="str">
        <f t="shared" si="22"/>
        <v/>
      </c>
      <c r="D3706" s="45" t="str">
        <f t="shared" si="23"/>
        <v/>
      </c>
      <c r="E3706" s="45" t="str">
        <f t="shared" si="24"/>
        <v/>
      </c>
      <c r="F3706" s="59" t="str">
        <f t="shared" si="25"/>
        <v/>
      </c>
      <c r="G3706" s="59" t="str">
        <f t="shared" si="26"/>
        <v/>
      </c>
      <c r="H3706" s="59" t="str">
        <f t="shared" si="27"/>
        <v>Xúclật855N</v>
      </c>
      <c r="I3706" s="59" t="str">
        <f>IF(OR($A3706="",$C3706="",$D3706="",$E3706="",$H3706=""),"",SUMIFS(DATA_GOC!$H:$H,DATA_GOC!$A:$A,"BOM",DATA_GOC!$D:$D,$H3706,DATA_GOC!$E:$E,$C3706,DATA_GOC!$F:$F,"Xuất nội bộ từ téc",DATA_GOC!$B:$B,"&gt;="&amp;$D3706,DATA_GOC!$B:$B,"&lt;="&amp;$E3706))</f>
        <v/>
      </c>
      <c r="J3706" s="59">
        <f t="shared" si="28"/>
        <v>0</v>
      </c>
      <c r="K3706" s="59">
        <f t="shared" si="29"/>
        <v>0</v>
      </c>
      <c r="L3706" s="59">
        <f t="shared" si="30"/>
        <v>0</v>
      </c>
      <c r="M3706" s="59">
        <f t="shared" si="31"/>
        <v>0</v>
      </c>
    </row>
    <row r="3707" ht="15.0" hidden="1" customHeight="1">
      <c r="A3707" s="59">
        <f t="shared" si="20"/>
        <v>58</v>
      </c>
      <c r="B3707" s="59" t="str">
        <f t="shared" si="21"/>
        <v/>
      </c>
      <c r="C3707" s="59" t="str">
        <f t="shared" si="22"/>
        <v/>
      </c>
      <c r="D3707" s="45" t="str">
        <f t="shared" si="23"/>
        <v/>
      </c>
      <c r="E3707" s="45" t="str">
        <f t="shared" si="24"/>
        <v/>
      </c>
      <c r="F3707" s="59" t="str">
        <f t="shared" si="25"/>
        <v/>
      </c>
      <c r="G3707" s="59" t="str">
        <f t="shared" si="26"/>
        <v/>
      </c>
      <c r="H3707" s="59" t="str">
        <f t="shared" si="27"/>
        <v>Cát nghiền</v>
      </c>
      <c r="I3707" s="59" t="str">
        <f>IF(OR($A3707="",$C3707="",$D3707="",$E3707="",$H3707=""),"",SUMIFS(DATA_GOC!$H:$H,DATA_GOC!$A:$A,"BOM",DATA_GOC!$D:$D,$H3707,DATA_GOC!$E:$E,$C3707,DATA_GOC!$F:$F,"Xuất nội bộ từ téc",DATA_GOC!$B:$B,"&gt;="&amp;$D3707,DATA_GOC!$B:$B,"&lt;="&amp;$E3707))</f>
        <v/>
      </c>
      <c r="J3707" s="59">
        <f t="shared" si="28"/>
        <v>0</v>
      </c>
      <c r="K3707" s="59">
        <f t="shared" si="29"/>
        <v>0</v>
      </c>
      <c r="L3707" s="59">
        <f t="shared" si="30"/>
        <v>0</v>
      </c>
      <c r="M3707" s="59">
        <f t="shared" si="31"/>
        <v>0</v>
      </c>
    </row>
    <row r="3708" ht="15.0" hidden="1" customHeight="1">
      <c r="A3708" s="59">
        <f t="shared" si="20"/>
        <v>58</v>
      </c>
      <c r="B3708" s="59" t="str">
        <f t="shared" si="21"/>
        <v/>
      </c>
      <c r="C3708" s="59" t="str">
        <f t="shared" si="22"/>
        <v/>
      </c>
      <c r="D3708" s="45" t="str">
        <f t="shared" si="23"/>
        <v/>
      </c>
      <c r="E3708" s="45" t="str">
        <f t="shared" si="24"/>
        <v/>
      </c>
      <c r="F3708" s="59" t="str">
        <f t="shared" si="25"/>
        <v/>
      </c>
      <c r="G3708" s="59" t="str">
        <f t="shared" si="26"/>
        <v/>
      </c>
      <c r="H3708" s="59" t="str">
        <f t="shared" si="27"/>
        <v>28C02973</v>
      </c>
      <c r="I3708" s="59" t="str">
        <f>IF(OR($A3708="",$C3708="",$D3708="",$E3708="",$H3708=""),"",SUMIFS(DATA_GOC!$H:$H,DATA_GOC!$A:$A,"BOM",DATA_GOC!$D:$D,$H3708,DATA_GOC!$E:$E,$C3708,DATA_GOC!$F:$F,"Xuất nội bộ từ téc",DATA_GOC!$B:$B,"&gt;="&amp;$D3708,DATA_GOC!$B:$B,"&lt;="&amp;$E3708))</f>
        <v/>
      </c>
      <c r="J3708" s="59">
        <f t="shared" si="28"/>
        <v>0</v>
      </c>
      <c r="K3708" s="59">
        <f t="shared" si="29"/>
        <v>0</v>
      </c>
      <c r="L3708" s="59">
        <f t="shared" si="30"/>
        <v>0</v>
      </c>
      <c r="M3708" s="59">
        <f t="shared" si="31"/>
        <v>0</v>
      </c>
    </row>
    <row r="3709" ht="15.0" hidden="1" customHeight="1">
      <c r="A3709" s="59">
        <f t="shared" si="20"/>
        <v>58</v>
      </c>
      <c r="B3709" s="59" t="str">
        <f t="shared" si="21"/>
        <v/>
      </c>
      <c r="C3709" s="59" t="str">
        <f t="shared" si="22"/>
        <v/>
      </c>
      <c r="D3709" s="45" t="str">
        <f t="shared" si="23"/>
        <v/>
      </c>
      <c r="E3709" s="45" t="str">
        <f t="shared" si="24"/>
        <v/>
      </c>
      <c r="F3709" s="59" t="str">
        <f t="shared" si="25"/>
        <v/>
      </c>
      <c r="G3709" s="59" t="str">
        <f t="shared" si="26"/>
        <v/>
      </c>
      <c r="H3709" s="59" t="str">
        <f t="shared" si="27"/>
        <v>28C03044</v>
      </c>
      <c r="I3709" s="59" t="str">
        <f>IF(OR($A3709="",$C3709="",$D3709="",$E3709="",$H3709=""),"",SUMIFS(DATA_GOC!$H:$H,DATA_GOC!$A:$A,"BOM",DATA_GOC!$D:$D,$H3709,DATA_GOC!$E:$E,$C3709,DATA_GOC!$F:$F,"Xuất nội bộ từ téc",DATA_GOC!$B:$B,"&gt;="&amp;$D3709,DATA_GOC!$B:$B,"&lt;="&amp;$E3709))</f>
        <v/>
      </c>
      <c r="J3709" s="59">
        <f t="shared" si="28"/>
        <v>0</v>
      </c>
      <c r="K3709" s="59">
        <f t="shared" si="29"/>
        <v>0</v>
      </c>
      <c r="L3709" s="59">
        <f t="shared" si="30"/>
        <v>0</v>
      </c>
      <c r="M3709" s="59">
        <f t="shared" si="31"/>
        <v>0</v>
      </c>
    </row>
    <row r="3710" ht="15.0" hidden="1" customHeight="1">
      <c r="A3710" s="59">
        <f t="shared" si="20"/>
        <v>58</v>
      </c>
      <c r="B3710" s="59" t="str">
        <f t="shared" si="21"/>
        <v/>
      </c>
      <c r="C3710" s="59" t="str">
        <f t="shared" si="22"/>
        <v/>
      </c>
      <c r="D3710" s="45" t="str">
        <f t="shared" si="23"/>
        <v/>
      </c>
      <c r="E3710" s="45" t="str">
        <f t="shared" si="24"/>
        <v/>
      </c>
      <c r="F3710" s="59" t="str">
        <f t="shared" si="25"/>
        <v/>
      </c>
      <c r="G3710" s="59" t="str">
        <f t="shared" si="26"/>
        <v/>
      </c>
      <c r="H3710" s="59" t="str">
        <f t="shared" si="27"/>
        <v>Máy lu lốp</v>
      </c>
      <c r="I3710" s="59" t="str">
        <f>IF(OR($A3710="",$C3710="",$D3710="",$E3710="",$H3710=""),"",SUMIFS(DATA_GOC!$H:$H,DATA_GOC!$A:$A,"BOM",DATA_GOC!$D:$D,$H3710,DATA_GOC!$E:$E,$C3710,DATA_GOC!$F:$F,"Xuất nội bộ từ téc",DATA_GOC!$B:$B,"&gt;="&amp;$D3710,DATA_GOC!$B:$B,"&lt;="&amp;$E3710))</f>
        <v/>
      </c>
      <c r="J3710" s="59">
        <f t="shared" si="28"/>
        <v>0</v>
      </c>
      <c r="K3710" s="59">
        <f t="shared" si="29"/>
        <v>0</v>
      </c>
      <c r="L3710" s="59">
        <f t="shared" si="30"/>
        <v>0</v>
      </c>
      <c r="M3710" s="59">
        <f t="shared" si="31"/>
        <v>0</v>
      </c>
    </row>
    <row r="3711" ht="15.0" hidden="1" customHeight="1">
      <c r="A3711" s="59">
        <f t="shared" si="20"/>
        <v>58</v>
      </c>
      <c r="B3711" s="59" t="str">
        <f t="shared" si="21"/>
        <v/>
      </c>
      <c r="C3711" s="59" t="str">
        <f t="shared" si="22"/>
        <v/>
      </c>
      <c r="D3711" s="45" t="str">
        <f t="shared" si="23"/>
        <v/>
      </c>
      <c r="E3711" s="45" t="str">
        <f t="shared" si="24"/>
        <v/>
      </c>
      <c r="F3711" s="59" t="str">
        <f t="shared" si="25"/>
        <v/>
      </c>
      <c r="G3711" s="59" t="str">
        <f t="shared" si="26"/>
        <v/>
      </c>
      <c r="H3711" s="59" t="str">
        <f t="shared" si="27"/>
        <v>Xe 600148</v>
      </c>
      <c r="I3711" s="59" t="str">
        <f>IF(OR($A3711="",$C3711="",$D3711="",$E3711="",$H3711=""),"",SUMIFS(DATA_GOC!$H:$H,DATA_GOC!$A:$A,"BOM",DATA_GOC!$D:$D,$H3711,DATA_GOC!$E:$E,$C3711,DATA_GOC!$F:$F,"Xuất nội bộ từ téc",DATA_GOC!$B:$B,"&gt;="&amp;$D3711,DATA_GOC!$B:$B,"&lt;="&amp;$E3711))</f>
        <v/>
      </c>
      <c r="J3711" s="59">
        <f t="shared" si="28"/>
        <v>0</v>
      </c>
      <c r="K3711" s="59">
        <f t="shared" si="29"/>
        <v>0</v>
      </c>
      <c r="L3711" s="59">
        <f t="shared" si="30"/>
        <v>0</v>
      </c>
      <c r="M3711" s="59">
        <f t="shared" si="31"/>
        <v>0</v>
      </c>
    </row>
    <row r="3712" ht="15.0" hidden="1" customHeight="1">
      <c r="A3712" s="59">
        <f t="shared" si="20"/>
        <v>58</v>
      </c>
      <c r="B3712" s="59" t="str">
        <f t="shared" si="21"/>
        <v/>
      </c>
      <c r="C3712" s="59" t="str">
        <f t="shared" si="22"/>
        <v/>
      </c>
      <c r="D3712" s="45" t="str">
        <f t="shared" si="23"/>
        <v/>
      </c>
      <c r="E3712" s="45" t="str">
        <f t="shared" si="24"/>
        <v/>
      </c>
      <c r="F3712" s="59" t="str">
        <f t="shared" si="25"/>
        <v/>
      </c>
      <c r="G3712" s="59" t="str">
        <f t="shared" si="26"/>
        <v/>
      </c>
      <c r="H3712" s="59" t="str">
        <f t="shared" si="27"/>
        <v>Xe ben mới</v>
      </c>
      <c r="I3712" s="59" t="str">
        <f>IF(OR($A3712="",$C3712="",$D3712="",$E3712="",$H3712=""),"",SUMIFS(DATA_GOC!$H:$H,DATA_GOC!$A:$A,"BOM",DATA_GOC!$D:$D,$H3712,DATA_GOC!$E:$E,$C3712,DATA_GOC!$F:$F,"Xuất nội bộ từ téc",DATA_GOC!$B:$B,"&gt;="&amp;$D3712,DATA_GOC!$B:$B,"&lt;="&amp;$E3712))</f>
        <v/>
      </c>
      <c r="J3712" s="59">
        <f t="shared" si="28"/>
        <v>0</v>
      </c>
      <c r="K3712" s="59">
        <f t="shared" si="29"/>
        <v>0</v>
      </c>
      <c r="L3712" s="59">
        <f t="shared" si="30"/>
        <v>0</v>
      </c>
      <c r="M3712" s="59">
        <f t="shared" si="31"/>
        <v>0</v>
      </c>
    </row>
    <row r="3713" ht="15.0" hidden="1" customHeight="1">
      <c r="A3713" s="59">
        <f t="shared" si="20"/>
        <v>59</v>
      </c>
      <c r="B3713" s="59" t="str">
        <f t="shared" si="21"/>
        <v/>
      </c>
      <c r="C3713" s="59" t="str">
        <f t="shared" si="22"/>
        <v/>
      </c>
      <c r="D3713" s="45" t="str">
        <f t="shared" si="23"/>
        <v/>
      </c>
      <c r="E3713" s="45" t="str">
        <f t="shared" si="24"/>
        <v/>
      </c>
      <c r="F3713" s="59" t="str">
        <f t="shared" si="25"/>
        <v/>
      </c>
      <c r="G3713" s="59" t="str">
        <f t="shared" si="26"/>
        <v/>
      </c>
      <c r="H3713" s="59" t="str">
        <f t="shared" si="27"/>
        <v>19H09482</v>
      </c>
      <c r="I3713" s="59" t="str">
        <f>IF(OR($A3713="",$C3713="",$D3713="",$E3713="",$H3713=""),"",SUMIFS(DATA_GOC!$H:$H,DATA_GOC!$A:$A,"BOM",DATA_GOC!$D:$D,$H3713,DATA_GOC!$E:$E,$C3713,DATA_GOC!$F:$F,"Xuất nội bộ từ téc",DATA_GOC!$B:$B,"&gt;="&amp;$D3713,DATA_GOC!$B:$B,"&lt;="&amp;$E3713))</f>
        <v/>
      </c>
      <c r="J3713" s="59">
        <f t="shared" si="28"/>
        <v>0</v>
      </c>
      <c r="K3713" s="59">
        <f t="shared" si="29"/>
        <v>0</v>
      </c>
      <c r="L3713" s="59">
        <f t="shared" si="30"/>
        <v>0</v>
      </c>
      <c r="M3713" s="59">
        <f t="shared" si="31"/>
        <v>0</v>
      </c>
    </row>
    <row r="3714" ht="15.0" hidden="1" customHeight="1">
      <c r="A3714" s="59">
        <f t="shared" si="20"/>
        <v>59</v>
      </c>
      <c r="B3714" s="59" t="str">
        <f t="shared" si="21"/>
        <v/>
      </c>
      <c r="C3714" s="59" t="str">
        <f t="shared" si="22"/>
        <v/>
      </c>
      <c r="D3714" s="45" t="str">
        <f t="shared" si="23"/>
        <v/>
      </c>
      <c r="E3714" s="45" t="str">
        <f t="shared" si="24"/>
        <v/>
      </c>
      <c r="F3714" s="59" t="str">
        <f t="shared" si="25"/>
        <v/>
      </c>
      <c r="G3714" s="59" t="str">
        <f t="shared" si="26"/>
        <v/>
      </c>
      <c r="H3714" s="59" t="str">
        <f t="shared" si="27"/>
        <v>28A30696</v>
      </c>
      <c r="I3714" s="59" t="str">
        <f>IF(OR($A3714="",$C3714="",$D3714="",$E3714="",$H3714=""),"",SUMIFS(DATA_GOC!$H:$H,DATA_GOC!$A:$A,"BOM",DATA_GOC!$D:$D,$H3714,DATA_GOC!$E:$E,$C3714,DATA_GOC!$F:$F,"Xuất nội bộ từ téc",DATA_GOC!$B:$B,"&gt;="&amp;$D3714,DATA_GOC!$B:$B,"&lt;="&amp;$E3714))</f>
        <v/>
      </c>
      <c r="J3714" s="59">
        <f t="shared" si="28"/>
        <v>0</v>
      </c>
      <c r="K3714" s="59">
        <f t="shared" si="29"/>
        <v>0</v>
      </c>
      <c r="L3714" s="59">
        <f t="shared" si="30"/>
        <v>0</v>
      </c>
      <c r="M3714" s="59">
        <f t="shared" si="31"/>
        <v>0</v>
      </c>
    </row>
    <row r="3715" ht="15.0" hidden="1" customHeight="1">
      <c r="A3715" s="59">
        <f t="shared" si="20"/>
        <v>59</v>
      </c>
      <c r="B3715" s="59" t="str">
        <f t="shared" si="21"/>
        <v/>
      </c>
      <c r="C3715" s="59" t="str">
        <f t="shared" si="22"/>
        <v/>
      </c>
      <c r="D3715" s="45" t="str">
        <f t="shared" si="23"/>
        <v/>
      </c>
      <c r="E3715" s="45" t="str">
        <f t="shared" si="24"/>
        <v/>
      </c>
      <c r="F3715" s="59" t="str">
        <f t="shared" si="25"/>
        <v/>
      </c>
      <c r="G3715" s="59" t="str">
        <f t="shared" si="26"/>
        <v/>
      </c>
      <c r="H3715" s="59" t="str">
        <f t="shared" si="27"/>
        <v>28C00462</v>
      </c>
      <c r="I3715" s="59" t="str">
        <f>IF(OR($A3715="",$C3715="",$D3715="",$E3715="",$H3715=""),"",SUMIFS(DATA_GOC!$H:$H,DATA_GOC!$A:$A,"BOM",DATA_GOC!$D:$D,$H3715,DATA_GOC!$E:$E,$C3715,DATA_GOC!$F:$F,"Xuất nội bộ từ téc",DATA_GOC!$B:$B,"&gt;="&amp;$D3715,DATA_GOC!$B:$B,"&lt;="&amp;$E3715))</f>
        <v/>
      </c>
      <c r="J3715" s="59">
        <f t="shared" si="28"/>
        <v>0</v>
      </c>
      <c r="K3715" s="59">
        <f t="shared" si="29"/>
        <v>0</v>
      </c>
      <c r="L3715" s="59">
        <f t="shared" si="30"/>
        <v>0</v>
      </c>
      <c r="M3715" s="59">
        <f t="shared" si="31"/>
        <v>0</v>
      </c>
    </row>
    <row r="3716" ht="15.0" hidden="1" customHeight="1">
      <c r="A3716" s="59">
        <f t="shared" si="20"/>
        <v>59</v>
      </c>
      <c r="B3716" s="59" t="str">
        <f t="shared" si="21"/>
        <v/>
      </c>
      <c r="C3716" s="59" t="str">
        <f t="shared" si="22"/>
        <v/>
      </c>
      <c r="D3716" s="45" t="str">
        <f t="shared" si="23"/>
        <v/>
      </c>
      <c r="E3716" s="45" t="str">
        <f t="shared" si="24"/>
        <v/>
      </c>
      <c r="F3716" s="59" t="str">
        <f t="shared" si="25"/>
        <v/>
      </c>
      <c r="G3716" s="59" t="str">
        <f t="shared" si="26"/>
        <v/>
      </c>
      <c r="H3716" s="59" t="str">
        <f t="shared" si="27"/>
        <v>28C01165</v>
      </c>
      <c r="I3716" s="59" t="str">
        <f>IF(OR($A3716="",$C3716="",$D3716="",$E3716="",$H3716=""),"",SUMIFS(DATA_GOC!$H:$H,DATA_GOC!$A:$A,"BOM",DATA_GOC!$D:$D,$H3716,DATA_GOC!$E:$E,$C3716,DATA_GOC!$F:$F,"Xuất nội bộ từ téc",DATA_GOC!$B:$B,"&gt;="&amp;$D3716,DATA_GOC!$B:$B,"&lt;="&amp;$E3716))</f>
        <v/>
      </c>
      <c r="J3716" s="59">
        <f t="shared" si="28"/>
        <v>0</v>
      </c>
      <c r="K3716" s="59">
        <f t="shared" si="29"/>
        <v>0</v>
      </c>
      <c r="L3716" s="59">
        <f t="shared" si="30"/>
        <v>0</v>
      </c>
      <c r="M3716" s="59">
        <f t="shared" si="31"/>
        <v>0</v>
      </c>
    </row>
    <row r="3717" ht="15.0" hidden="1" customHeight="1">
      <c r="A3717" s="59">
        <f t="shared" si="20"/>
        <v>59</v>
      </c>
      <c r="B3717" s="59" t="str">
        <f t="shared" si="21"/>
        <v/>
      </c>
      <c r="C3717" s="59" t="str">
        <f t="shared" si="22"/>
        <v/>
      </c>
      <c r="D3717" s="45" t="str">
        <f t="shared" si="23"/>
        <v/>
      </c>
      <c r="E3717" s="45" t="str">
        <f t="shared" si="24"/>
        <v/>
      </c>
      <c r="F3717" s="59" t="str">
        <f t="shared" si="25"/>
        <v/>
      </c>
      <c r="G3717" s="59" t="str">
        <f t="shared" si="26"/>
        <v/>
      </c>
      <c r="H3717" s="59" t="str">
        <f t="shared" si="27"/>
        <v>28C01406</v>
      </c>
      <c r="I3717" s="59" t="str">
        <f>IF(OR($A3717="",$C3717="",$D3717="",$E3717="",$H3717=""),"",SUMIFS(DATA_GOC!$H:$H,DATA_GOC!$A:$A,"BOM",DATA_GOC!$D:$D,$H3717,DATA_GOC!$E:$E,$C3717,DATA_GOC!$F:$F,"Xuất nội bộ từ téc",DATA_GOC!$B:$B,"&gt;="&amp;$D3717,DATA_GOC!$B:$B,"&lt;="&amp;$E3717))</f>
        <v/>
      </c>
      <c r="J3717" s="59">
        <f t="shared" si="28"/>
        <v>0</v>
      </c>
      <c r="K3717" s="59">
        <f t="shared" si="29"/>
        <v>0</v>
      </c>
      <c r="L3717" s="59">
        <f t="shared" si="30"/>
        <v>0</v>
      </c>
      <c r="M3717" s="59">
        <f t="shared" si="31"/>
        <v>0</v>
      </c>
    </row>
    <row r="3718" ht="15.0" hidden="1" customHeight="1">
      <c r="A3718" s="59">
        <f t="shared" si="20"/>
        <v>59</v>
      </c>
      <c r="B3718" s="59" t="str">
        <f t="shared" si="21"/>
        <v/>
      </c>
      <c r="C3718" s="59" t="str">
        <f t="shared" si="22"/>
        <v/>
      </c>
      <c r="D3718" s="45" t="str">
        <f t="shared" si="23"/>
        <v/>
      </c>
      <c r="E3718" s="45" t="str">
        <f t="shared" si="24"/>
        <v/>
      </c>
      <c r="F3718" s="59" t="str">
        <f t="shared" si="25"/>
        <v/>
      </c>
      <c r="G3718" s="59" t="str">
        <f t="shared" si="26"/>
        <v/>
      </c>
      <c r="H3718" s="59" t="str">
        <f t="shared" si="27"/>
        <v>28C01544</v>
      </c>
      <c r="I3718" s="59" t="str">
        <f>IF(OR($A3718="",$C3718="",$D3718="",$E3718="",$H3718=""),"",SUMIFS(DATA_GOC!$H:$H,DATA_GOC!$A:$A,"BOM",DATA_GOC!$D:$D,$H3718,DATA_GOC!$E:$E,$C3718,DATA_GOC!$F:$F,"Xuất nội bộ từ téc",DATA_GOC!$B:$B,"&gt;="&amp;$D3718,DATA_GOC!$B:$B,"&lt;="&amp;$E3718))</f>
        <v/>
      </c>
      <c r="J3718" s="59">
        <f t="shared" si="28"/>
        <v>0</v>
      </c>
      <c r="K3718" s="59">
        <f t="shared" si="29"/>
        <v>0</v>
      </c>
      <c r="L3718" s="59">
        <f t="shared" si="30"/>
        <v>0</v>
      </c>
      <c r="M3718" s="59">
        <f t="shared" si="31"/>
        <v>0</v>
      </c>
    </row>
    <row r="3719" ht="15.0" hidden="1" customHeight="1">
      <c r="A3719" s="59">
        <f t="shared" si="20"/>
        <v>59</v>
      </c>
      <c r="B3719" s="59" t="str">
        <f t="shared" si="21"/>
        <v/>
      </c>
      <c r="C3719" s="59" t="str">
        <f t="shared" si="22"/>
        <v/>
      </c>
      <c r="D3719" s="45" t="str">
        <f t="shared" si="23"/>
        <v/>
      </c>
      <c r="E3719" s="45" t="str">
        <f t="shared" si="24"/>
        <v/>
      </c>
      <c r="F3719" s="59" t="str">
        <f t="shared" si="25"/>
        <v/>
      </c>
      <c r="G3719" s="59" t="str">
        <f t="shared" si="26"/>
        <v/>
      </c>
      <c r="H3719" s="59" t="str">
        <f t="shared" si="27"/>
        <v>28C01622</v>
      </c>
      <c r="I3719" s="59" t="str">
        <f>IF(OR($A3719="",$C3719="",$D3719="",$E3719="",$H3719=""),"",SUMIFS(DATA_GOC!$H:$H,DATA_GOC!$A:$A,"BOM",DATA_GOC!$D:$D,$H3719,DATA_GOC!$E:$E,$C3719,DATA_GOC!$F:$F,"Xuất nội bộ từ téc",DATA_GOC!$B:$B,"&gt;="&amp;$D3719,DATA_GOC!$B:$B,"&lt;="&amp;$E3719))</f>
        <v/>
      </c>
      <c r="J3719" s="59">
        <f t="shared" si="28"/>
        <v>0</v>
      </c>
      <c r="K3719" s="59">
        <f t="shared" si="29"/>
        <v>0</v>
      </c>
      <c r="L3719" s="59">
        <f t="shared" si="30"/>
        <v>0</v>
      </c>
      <c r="M3719" s="59">
        <f t="shared" si="31"/>
        <v>0</v>
      </c>
    </row>
    <row r="3720" ht="15.0" hidden="1" customHeight="1">
      <c r="A3720" s="59">
        <f t="shared" si="20"/>
        <v>59</v>
      </c>
      <c r="B3720" s="59" t="str">
        <f t="shared" si="21"/>
        <v/>
      </c>
      <c r="C3720" s="59" t="str">
        <f t="shared" si="22"/>
        <v/>
      </c>
      <c r="D3720" s="45" t="str">
        <f t="shared" si="23"/>
        <v/>
      </c>
      <c r="E3720" s="45" t="str">
        <f t="shared" si="24"/>
        <v/>
      </c>
      <c r="F3720" s="59" t="str">
        <f t="shared" si="25"/>
        <v/>
      </c>
      <c r="G3720" s="59" t="str">
        <f t="shared" si="26"/>
        <v/>
      </c>
      <c r="H3720" s="59" t="str">
        <f t="shared" si="27"/>
        <v>28C01647</v>
      </c>
      <c r="I3720" s="59" t="str">
        <f>IF(OR($A3720="",$C3720="",$D3720="",$E3720="",$H3720=""),"",SUMIFS(DATA_GOC!$H:$H,DATA_GOC!$A:$A,"BOM",DATA_GOC!$D:$D,$H3720,DATA_GOC!$E:$E,$C3720,DATA_GOC!$F:$F,"Xuất nội bộ từ téc",DATA_GOC!$B:$B,"&gt;="&amp;$D3720,DATA_GOC!$B:$B,"&lt;="&amp;$E3720))</f>
        <v/>
      </c>
      <c r="J3720" s="59">
        <f t="shared" si="28"/>
        <v>0</v>
      </c>
      <c r="K3720" s="59">
        <f t="shared" si="29"/>
        <v>0</v>
      </c>
      <c r="L3720" s="59">
        <f t="shared" si="30"/>
        <v>0</v>
      </c>
      <c r="M3720" s="59">
        <f t="shared" si="31"/>
        <v>0</v>
      </c>
    </row>
    <row r="3721" ht="15.0" hidden="1" customHeight="1">
      <c r="A3721" s="59">
        <f t="shared" si="20"/>
        <v>59</v>
      </c>
      <c r="B3721" s="59" t="str">
        <f t="shared" si="21"/>
        <v/>
      </c>
      <c r="C3721" s="59" t="str">
        <f t="shared" si="22"/>
        <v/>
      </c>
      <c r="D3721" s="45" t="str">
        <f t="shared" si="23"/>
        <v/>
      </c>
      <c r="E3721" s="45" t="str">
        <f t="shared" si="24"/>
        <v/>
      </c>
      <c r="F3721" s="59" t="str">
        <f t="shared" si="25"/>
        <v/>
      </c>
      <c r="G3721" s="59" t="str">
        <f t="shared" si="26"/>
        <v/>
      </c>
      <c r="H3721" s="59" t="str">
        <f t="shared" si="27"/>
        <v>28C01731</v>
      </c>
      <c r="I3721" s="59" t="str">
        <f>IF(OR($A3721="",$C3721="",$D3721="",$E3721="",$H3721=""),"",SUMIFS(DATA_GOC!$H:$H,DATA_GOC!$A:$A,"BOM",DATA_GOC!$D:$D,$H3721,DATA_GOC!$E:$E,$C3721,DATA_GOC!$F:$F,"Xuất nội bộ từ téc",DATA_GOC!$B:$B,"&gt;="&amp;$D3721,DATA_GOC!$B:$B,"&lt;="&amp;$E3721))</f>
        <v/>
      </c>
      <c r="J3721" s="59">
        <f t="shared" si="28"/>
        <v>0</v>
      </c>
      <c r="K3721" s="59">
        <f t="shared" si="29"/>
        <v>0</v>
      </c>
      <c r="L3721" s="59">
        <f t="shared" si="30"/>
        <v>0</v>
      </c>
      <c r="M3721" s="59">
        <f t="shared" si="31"/>
        <v>0</v>
      </c>
    </row>
    <row r="3722" ht="15.0" hidden="1" customHeight="1">
      <c r="A3722" s="59">
        <f t="shared" si="20"/>
        <v>59</v>
      </c>
      <c r="B3722" s="59" t="str">
        <f t="shared" si="21"/>
        <v/>
      </c>
      <c r="C3722" s="59" t="str">
        <f t="shared" si="22"/>
        <v/>
      </c>
      <c r="D3722" s="45" t="str">
        <f t="shared" si="23"/>
        <v/>
      </c>
      <c r="E3722" s="45" t="str">
        <f t="shared" si="24"/>
        <v/>
      </c>
      <c r="F3722" s="59" t="str">
        <f t="shared" si="25"/>
        <v/>
      </c>
      <c r="G3722" s="59" t="str">
        <f t="shared" si="26"/>
        <v/>
      </c>
      <c r="H3722" s="59" t="str">
        <f t="shared" si="27"/>
        <v>28C01743</v>
      </c>
      <c r="I3722" s="59" t="str">
        <f>IF(OR($A3722="",$C3722="",$D3722="",$E3722="",$H3722=""),"",SUMIFS(DATA_GOC!$H:$H,DATA_GOC!$A:$A,"BOM",DATA_GOC!$D:$D,$H3722,DATA_GOC!$E:$E,$C3722,DATA_GOC!$F:$F,"Xuất nội bộ từ téc",DATA_GOC!$B:$B,"&gt;="&amp;$D3722,DATA_GOC!$B:$B,"&lt;="&amp;$E3722))</f>
        <v/>
      </c>
      <c r="J3722" s="59">
        <f t="shared" si="28"/>
        <v>0</v>
      </c>
      <c r="K3722" s="59">
        <f t="shared" si="29"/>
        <v>0</v>
      </c>
      <c r="L3722" s="59">
        <f t="shared" si="30"/>
        <v>0</v>
      </c>
      <c r="M3722" s="59">
        <f t="shared" si="31"/>
        <v>0</v>
      </c>
    </row>
    <row r="3723" ht="15.0" hidden="1" customHeight="1">
      <c r="A3723" s="59">
        <f t="shared" si="20"/>
        <v>59</v>
      </c>
      <c r="B3723" s="59" t="str">
        <f t="shared" si="21"/>
        <v/>
      </c>
      <c r="C3723" s="59" t="str">
        <f t="shared" si="22"/>
        <v/>
      </c>
      <c r="D3723" s="45" t="str">
        <f t="shared" si="23"/>
        <v/>
      </c>
      <c r="E3723" s="45" t="str">
        <f t="shared" si="24"/>
        <v/>
      </c>
      <c r="F3723" s="59" t="str">
        <f t="shared" si="25"/>
        <v/>
      </c>
      <c r="G3723" s="59" t="str">
        <f t="shared" si="26"/>
        <v/>
      </c>
      <c r="H3723" s="59" t="str">
        <f t="shared" si="27"/>
        <v>28C02106</v>
      </c>
      <c r="I3723" s="59" t="str">
        <f>IF(OR($A3723="",$C3723="",$D3723="",$E3723="",$H3723=""),"",SUMIFS(DATA_GOC!$H:$H,DATA_GOC!$A:$A,"BOM",DATA_GOC!$D:$D,$H3723,DATA_GOC!$E:$E,$C3723,DATA_GOC!$F:$F,"Xuất nội bộ từ téc",DATA_GOC!$B:$B,"&gt;="&amp;$D3723,DATA_GOC!$B:$B,"&lt;="&amp;$E3723))</f>
        <v/>
      </c>
      <c r="J3723" s="59">
        <f t="shared" si="28"/>
        <v>0</v>
      </c>
      <c r="K3723" s="59">
        <f t="shared" si="29"/>
        <v>0</v>
      </c>
      <c r="L3723" s="59">
        <f t="shared" si="30"/>
        <v>0</v>
      </c>
      <c r="M3723" s="59">
        <f t="shared" si="31"/>
        <v>0</v>
      </c>
    </row>
    <row r="3724" ht="15.0" hidden="1" customHeight="1">
      <c r="A3724" s="59">
        <f t="shared" si="20"/>
        <v>59</v>
      </c>
      <c r="B3724" s="59" t="str">
        <f t="shared" si="21"/>
        <v/>
      </c>
      <c r="C3724" s="59" t="str">
        <f t="shared" si="22"/>
        <v/>
      </c>
      <c r="D3724" s="45" t="str">
        <f t="shared" si="23"/>
        <v/>
      </c>
      <c r="E3724" s="45" t="str">
        <f t="shared" si="24"/>
        <v/>
      </c>
      <c r="F3724" s="59" t="str">
        <f t="shared" si="25"/>
        <v/>
      </c>
      <c r="G3724" s="59" t="str">
        <f t="shared" si="26"/>
        <v/>
      </c>
      <c r="H3724" s="59" t="str">
        <f t="shared" si="27"/>
        <v>28C02410</v>
      </c>
      <c r="I3724" s="59" t="str">
        <f>IF(OR($A3724="",$C3724="",$D3724="",$E3724="",$H3724=""),"",SUMIFS(DATA_GOC!$H:$H,DATA_GOC!$A:$A,"BOM",DATA_GOC!$D:$D,$H3724,DATA_GOC!$E:$E,$C3724,DATA_GOC!$F:$F,"Xuất nội bộ từ téc",DATA_GOC!$B:$B,"&gt;="&amp;$D3724,DATA_GOC!$B:$B,"&lt;="&amp;$E3724))</f>
        <v/>
      </c>
      <c r="J3724" s="59">
        <f t="shared" si="28"/>
        <v>0</v>
      </c>
      <c r="K3724" s="59">
        <f t="shared" si="29"/>
        <v>0</v>
      </c>
      <c r="L3724" s="59">
        <f t="shared" si="30"/>
        <v>0</v>
      </c>
      <c r="M3724" s="59">
        <f t="shared" si="31"/>
        <v>0</v>
      </c>
    </row>
    <row r="3725" ht="15.0" hidden="1" customHeight="1">
      <c r="A3725" s="59">
        <f t="shared" si="20"/>
        <v>59</v>
      </c>
      <c r="B3725" s="59" t="str">
        <f t="shared" si="21"/>
        <v/>
      </c>
      <c r="C3725" s="59" t="str">
        <f t="shared" si="22"/>
        <v/>
      </c>
      <c r="D3725" s="45" t="str">
        <f t="shared" si="23"/>
        <v/>
      </c>
      <c r="E3725" s="45" t="str">
        <f t="shared" si="24"/>
        <v/>
      </c>
      <c r="F3725" s="59" t="str">
        <f t="shared" si="25"/>
        <v/>
      </c>
      <c r="G3725" s="59" t="str">
        <f t="shared" si="26"/>
        <v/>
      </c>
      <c r="H3725" s="59" t="str">
        <f t="shared" si="27"/>
        <v>28C02545</v>
      </c>
      <c r="I3725" s="59" t="str">
        <f>IF(OR($A3725="",$C3725="",$D3725="",$E3725="",$H3725=""),"",SUMIFS(DATA_GOC!$H:$H,DATA_GOC!$A:$A,"BOM",DATA_GOC!$D:$D,$H3725,DATA_GOC!$E:$E,$C3725,DATA_GOC!$F:$F,"Xuất nội bộ từ téc",DATA_GOC!$B:$B,"&gt;="&amp;$D3725,DATA_GOC!$B:$B,"&lt;="&amp;$E3725))</f>
        <v/>
      </c>
      <c r="J3725" s="59">
        <f t="shared" si="28"/>
        <v>0</v>
      </c>
      <c r="K3725" s="59">
        <f t="shared" si="29"/>
        <v>0</v>
      </c>
      <c r="L3725" s="59">
        <f t="shared" si="30"/>
        <v>0</v>
      </c>
      <c r="M3725" s="59">
        <f t="shared" si="31"/>
        <v>0</v>
      </c>
    </row>
    <row r="3726" ht="15.0" hidden="1" customHeight="1">
      <c r="A3726" s="59">
        <f t="shared" si="20"/>
        <v>59</v>
      </c>
      <c r="B3726" s="59" t="str">
        <f t="shared" si="21"/>
        <v/>
      </c>
      <c r="C3726" s="59" t="str">
        <f t="shared" si="22"/>
        <v/>
      </c>
      <c r="D3726" s="45" t="str">
        <f t="shared" si="23"/>
        <v/>
      </c>
      <c r="E3726" s="45" t="str">
        <f t="shared" si="24"/>
        <v/>
      </c>
      <c r="F3726" s="59" t="str">
        <f t="shared" si="25"/>
        <v/>
      </c>
      <c r="G3726" s="59" t="str">
        <f t="shared" si="26"/>
        <v/>
      </c>
      <c r="H3726" s="59" t="str">
        <f t="shared" si="27"/>
        <v>28C02574</v>
      </c>
      <c r="I3726" s="59" t="str">
        <f>IF(OR($A3726="",$C3726="",$D3726="",$E3726="",$H3726=""),"",SUMIFS(DATA_GOC!$H:$H,DATA_GOC!$A:$A,"BOM",DATA_GOC!$D:$D,$H3726,DATA_GOC!$E:$E,$C3726,DATA_GOC!$F:$F,"Xuất nội bộ từ téc",DATA_GOC!$B:$B,"&gt;="&amp;$D3726,DATA_GOC!$B:$B,"&lt;="&amp;$E3726))</f>
        <v/>
      </c>
      <c r="J3726" s="59">
        <f t="shared" si="28"/>
        <v>0</v>
      </c>
      <c r="K3726" s="59">
        <f t="shared" si="29"/>
        <v>0</v>
      </c>
      <c r="L3726" s="59">
        <f t="shared" si="30"/>
        <v>0</v>
      </c>
      <c r="M3726" s="59">
        <f t="shared" si="31"/>
        <v>0</v>
      </c>
    </row>
    <row r="3727" ht="15.0" hidden="1" customHeight="1">
      <c r="A3727" s="59">
        <f t="shared" si="20"/>
        <v>59</v>
      </c>
      <c r="B3727" s="59" t="str">
        <f t="shared" si="21"/>
        <v/>
      </c>
      <c r="C3727" s="59" t="str">
        <f t="shared" si="22"/>
        <v/>
      </c>
      <c r="D3727" s="45" t="str">
        <f t="shared" si="23"/>
        <v/>
      </c>
      <c r="E3727" s="45" t="str">
        <f t="shared" si="24"/>
        <v/>
      </c>
      <c r="F3727" s="59" t="str">
        <f t="shared" si="25"/>
        <v/>
      </c>
      <c r="G3727" s="59" t="str">
        <f t="shared" si="26"/>
        <v/>
      </c>
      <c r="H3727" s="59" t="str">
        <f t="shared" si="27"/>
        <v>28C02770</v>
      </c>
      <c r="I3727" s="59" t="str">
        <f>IF(OR($A3727="",$C3727="",$D3727="",$E3727="",$H3727=""),"",SUMIFS(DATA_GOC!$H:$H,DATA_GOC!$A:$A,"BOM",DATA_GOC!$D:$D,$H3727,DATA_GOC!$E:$E,$C3727,DATA_GOC!$F:$F,"Xuất nội bộ từ téc",DATA_GOC!$B:$B,"&gt;="&amp;$D3727,DATA_GOC!$B:$B,"&lt;="&amp;$E3727))</f>
        <v/>
      </c>
      <c r="J3727" s="59">
        <f t="shared" si="28"/>
        <v>0</v>
      </c>
      <c r="K3727" s="59">
        <f t="shared" si="29"/>
        <v>0</v>
      </c>
      <c r="L3727" s="59">
        <f t="shared" si="30"/>
        <v>0</v>
      </c>
      <c r="M3727" s="59">
        <f t="shared" si="31"/>
        <v>0</v>
      </c>
    </row>
    <row r="3728" ht="15.0" hidden="1" customHeight="1">
      <c r="A3728" s="59">
        <f t="shared" si="20"/>
        <v>59</v>
      </c>
      <c r="B3728" s="59" t="str">
        <f t="shared" si="21"/>
        <v/>
      </c>
      <c r="C3728" s="59" t="str">
        <f t="shared" si="22"/>
        <v/>
      </c>
      <c r="D3728" s="45" t="str">
        <f t="shared" si="23"/>
        <v/>
      </c>
      <c r="E3728" s="45" t="str">
        <f t="shared" si="24"/>
        <v/>
      </c>
      <c r="F3728" s="59" t="str">
        <f t="shared" si="25"/>
        <v/>
      </c>
      <c r="G3728" s="59" t="str">
        <f t="shared" si="26"/>
        <v/>
      </c>
      <c r="H3728" s="59" t="str">
        <f t="shared" si="27"/>
        <v>28C02986</v>
      </c>
      <c r="I3728" s="59" t="str">
        <f>IF(OR($A3728="",$C3728="",$D3728="",$E3728="",$H3728=""),"",SUMIFS(DATA_GOC!$H:$H,DATA_GOC!$A:$A,"BOM",DATA_GOC!$D:$D,$H3728,DATA_GOC!$E:$E,$C3728,DATA_GOC!$F:$F,"Xuất nội bộ từ téc",DATA_GOC!$B:$B,"&gt;="&amp;$D3728,DATA_GOC!$B:$B,"&lt;="&amp;$E3728))</f>
        <v/>
      </c>
      <c r="J3728" s="59">
        <f t="shared" si="28"/>
        <v>0</v>
      </c>
      <c r="K3728" s="59">
        <f t="shared" si="29"/>
        <v>0</v>
      </c>
      <c r="L3728" s="59">
        <f t="shared" si="30"/>
        <v>0</v>
      </c>
      <c r="M3728" s="59">
        <f t="shared" si="31"/>
        <v>0</v>
      </c>
    </row>
    <row r="3729" ht="15.0" hidden="1" customHeight="1">
      <c r="A3729" s="59">
        <f t="shared" si="20"/>
        <v>59</v>
      </c>
      <c r="B3729" s="59" t="str">
        <f t="shared" si="21"/>
        <v/>
      </c>
      <c r="C3729" s="59" t="str">
        <f t="shared" si="22"/>
        <v/>
      </c>
      <c r="D3729" s="45" t="str">
        <f t="shared" si="23"/>
        <v/>
      </c>
      <c r="E3729" s="45" t="str">
        <f t="shared" si="24"/>
        <v/>
      </c>
      <c r="F3729" s="59" t="str">
        <f t="shared" si="25"/>
        <v/>
      </c>
      <c r="G3729" s="59" t="str">
        <f t="shared" si="26"/>
        <v/>
      </c>
      <c r="H3729" s="59" t="str">
        <f t="shared" si="27"/>
        <v>28C03261</v>
      </c>
      <c r="I3729" s="59" t="str">
        <f>IF(OR($A3729="",$C3729="",$D3729="",$E3729="",$H3729=""),"",SUMIFS(DATA_GOC!$H:$H,DATA_GOC!$A:$A,"BOM",DATA_GOC!$D:$D,$H3729,DATA_GOC!$E:$E,$C3729,DATA_GOC!$F:$F,"Xuất nội bộ từ téc",DATA_GOC!$B:$B,"&gt;="&amp;$D3729,DATA_GOC!$B:$B,"&lt;="&amp;$E3729))</f>
        <v/>
      </c>
      <c r="J3729" s="59">
        <f t="shared" si="28"/>
        <v>0</v>
      </c>
      <c r="K3729" s="59">
        <f t="shared" si="29"/>
        <v>0</v>
      </c>
      <c r="L3729" s="59">
        <f t="shared" si="30"/>
        <v>0</v>
      </c>
      <c r="M3729" s="59">
        <f t="shared" si="31"/>
        <v>0</v>
      </c>
    </row>
    <row r="3730" ht="15.0" hidden="1" customHeight="1">
      <c r="A3730" s="59">
        <f t="shared" si="20"/>
        <v>59</v>
      </c>
      <c r="B3730" s="59" t="str">
        <f t="shared" si="21"/>
        <v/>
      </c>
      <c r="C3730" s="59" t="str">
        <f t="shared" si="22"/>
        <v/>
      </c>
      <c r="D3730" s="45" t="str">
        <f t="shared" si="23"/>
        <v/>
      </c>
      <c r="E3730" s="45" t="str">
        <f t="shared" si="24"/>
        <v/>
      </c>
      <c r="F3730" s="59" t="str">
        <f t="shared" si="25"/>
        <v/>
      </c>
      <c r="G3730" s="59" t="str">
        <f t="shared" si="26"/>
        <v/>
      </c>
      <c r="H3730" s="59" t="str">
        <f t="shared" si="27"/>
        <v>28C03323</v>
      </c>
      <c r="I3730" s="59" t="str">
        <f>IF(OR($A3730="",$C3730="",$D3730="",$E3730="",$H3730=""),"",SUMIFS(DATA_GOC!$H:$H,DATA_GOC!$A:$A,"BOM",DATA_GOC!$D:$D,$H3730,DATA_GOC!$E:$E,$C3730,DATA_GOC!$F:$F,"Xuất nội bộ từ téc",DATA_GOC!$B:$B,"&gt;="&amp;$D3730,DATA_GOC!$B:$B,"&lt;="&amp;$E3730))</f>
        <v/>
      </c>
      <c r="J3730" s="59">
        <f t="shared" si="28"/>
        <v>0</v>
      </c>
      <c r="K3730" s="59">
        <f t="shared" si="29"/>
        <v>0</v>
      </c>
      <c r="L3730" s="59">
        <f t="shared" si="30"/>
        <v>0</v>
      </c>
      <c r="M3730" s="59">
        <f t="shared" si="31"/>
        <v>0</v>
      </c>
    </row>
    <row r="3731" ht="15.0" hidden="1" customHeight="1">
      <c r="A3731" s="59">
        <f t="shared" si="20"/>
        <v>59</v>
      </c>
      <c r="B3731" s="59" t="str">
        <f t="shared" si="21"/>
        <v/>
      </c>
      <c r="C3731" s="59" t="str">
        <f t="shared" si="22"/>
        <v/>
      </c>
      <c r="D3731" s="45" t="str">
        <f t="shared" si="23"/>
        <v/>
      </c>
      <c r="E3731" s="45" t="str">
        <f t="shared" si="24"/>
        <v/>
      </c>
      <c r="F3731" s="59" t="str">
        <f t="shared" si="25"/>
        <v/>
      </c>
      <c r="G3731" s="59" t="str">
        <f t="shared" si="26"/>
        <v/>
      </c>
      <c r="H3731" s="59" t="str">
        <f t="shared" si="27"/>
        <v>28C03385</v>
      </c>
      <c r="I3731" s="59" t="str">
        <f>IF(OR($A3731="",$C3731="",$D3731="",$E3731="",$H3731=""),"",SUMIFS(DATA_GOC!$H:$H,DATA_GOC!$A:$A,"BOM",DATA_GOC!$D:$D,$H3731,DATA_GOC!$E:$E,$C3731,DATA_GOC!$F:$F,"Xuất nội bộ từ téc",DATA_GOC!$B:$B,"&gt;="&amp;$D3731,DATA_GOC!$B:$B,"&lt;="&amp;$E3731))</f>
        <v/>
      </c>
      <c r="J3731" s="59">
        <f t="shared" si="28"/>
        <v>0</v>
      </c>
      <c r="K3731" s="59">
        <f t="shared" si="29"/>
        <v>0</v>
      </c>
      <c r="L3731" s="59">
        <f t="shared" si="30"/>
        <v>0</v>
      </c>
      <c r="M3731" s="59">
        <f t="shared" si="31"/>
        <v>0</v>
      </c>
    </row>
    <row r="3732" ht="15.0" hidden="1" customHeight="1">
      <c r="A3732" s="59">
        <f t="shared" si="20"/>
        <v>59</v>
      </c>
      <c r="B3732" s="59" t="str">
        <f t="shared" si="21"/>
        <v/>
      </c>
      <c r="C3732" s="59" t="str">
        <f t="shared" si="22"/>
        <v/>
      </c>
      <c r="D3732" s="45" t="str">
        <f t="shared" si="23"/>
        <v/>
      </c>
      <c r="E3732" s="45" t="str">
        <f t="shared" si="24"/>
        <v/>
      </c>
      <c r="F3732" s="59" t="str">
        <f t="shared" si="25"/>
        <v/>
      </c>
      <c r="G3732" s="59" t="str">
        <f t="shared" si="26"/>
        <v/>
      </c>
      <c r="H3732" s="59" t="str">
        <f t="shared" si="27"/>
        <v>28C03652</v>
      </c>
      <c r="I3732" s="59" t="str">
        <f>IF(OR($A3732="",$C3732="",$D3732="",$E3732="",$H3732=""),"",SUMIFS(DATA_GOC!$H:$H,DATA_GOC!$A:$A,"BOM",DATA_GOC!$D:$D,$H3732,DATA_GOC!$E:$E,$C3732,DATA_GOC!$F:$F,"Xuất nội bộ từ téc",DATA_GOC!$B:$B,"&gt;="&amp;$D3732,DATA_GOC!$B:$B,"&lt;="&amp;$E3732))</f>
        <v/>
      </c>
      <c r="J3732" s="59">
        <f t="shared" si="28"/>
        <v>0</v>
      </c>
      <c r="K3732" s="59">
        <f t="shared" si="29"/>
        <v>0</v>
      </c>
      <c r="L3732" s="59">
        <f t="shared" si="30"/>
        <v>0</v>
      </c>
      <c r="M3732" s="59">
        <f t="shared" si="31"/>
        <v>0</v>
      </c>
    </row>
    <row r="3733" ht="15.0" hidden="1" customHeight="1">
      <c r="A3733" s="59">
        <f t="shared" si="20"/>
        <v>59</v>
      </c>
      <c r="B3733" s="59" t="str">
        <f t="shared" si="21"/>
        <v/>
      </c>
      <c r="C3733" s="59" t="str">
        <f t="shared" si="22"/>
        <v/>
      </c>
      <c r="D3733" s="45" t="str">
        <f t="shared" si="23"/>
        <v/>
      </c>
      <c r="E3733" s="45" t="str">
        <f t="shared" si="24"/>
        <v/>
      </c>
      <c r="F3733" s="59" t="str">
        <f t="shared" si="25"/>
        <v/>
      </c>
      <c r="G3733" s="59" t="str">
        <f t="shared" si="26"/>
        <v/>
      </c>
      <c r="H3733" s="59" t="str">
        <f t="shared" si="27"/>
        <v>28C03695</v>
      </c>
      <c r="I3733" s="59" t="str">
        <f>IF(OR($A3733="",$C3733="",$D3733="",$E3733="",$H3733=""),"",SUMIFS(DATA_GOC!$H:$H,DATA_GOC!$A:$A,"BOM",DATA_GOC!$D:$D,$H3733,DATA_GOC!$E:$E,$C3733,DATA_GOC!$F:$F,"Xuất nội bộ từ téc",DATA_GOC!$B:$B,"&gt;="&amp;$D3733,DATA_GOC!$B:$B,"&lt;="&amp;$E3733))</f>
        <v/>
      </c>
      <c r="J3733" s="59">
        <f t="shared" si="28"/>
        <v>0</v>
      </c>
      <c r="K3733" s="59">
        <f t="shared" si="29"/>
        <v>0</v>
      </c>
      <c r="L3733" s="59">
        <f t="shared" si="30"/>
        <v>0</v>
      </c>
      <c r="M3733" s="59">
        <f t="shared" si="31"/>
        <v>0</v>
      </c>
    </row>
    <row r="3734" ht="15.0" hidden="1" customHeight="1">
      <c r="A3734" s="59">
        <f t="shared" si="20"/>
        <v>59</v>
      </c>
      <c r="B3734" s="59" t="str">
        <f t="shared" si="21"/>
        <v/>
      </c>
      <c r="C3734" s="59" t="str">
        <f t="shared" si="22"/>
        <v/>
      </c>
      <c r="D3734" s="45" t="str">
        <f t="shared" si="23"/>
        <v/>
      </c>
      <c r="E3734" s="45" t="str">
        <f t="shared" si="24"/>
        <v/>
      </c>
      <c r="F3734" s="59" t="str">
        <f t="shared" si="25"/>
        <v/>
      </c>
      <c r="G3734" s="59" t="str">
        <f t="shared" si="26"/>
        <v/>
      </c>
      <c r="H3734" s="59" t="str">
        <f t="shared" si="27"/>
        <v>28C03927</v>
      </c>
      <c r="I3734" s="59" t="str">
        <f>IF(OR($A3734="",$C3734="",$D3734="",$E3734="",$H3734=""),"",SUMIFS(DATA_GOC!$H:$H,DATA_GOC!$A:$A,"BOM",DATA_GOC!$D:$D,$H3734,DATA_GOC!$E:$E,$C3734,DATA_GOC!$F:$F,"Xuất nội bộ từ téc",DATA_GOC!$B:$B,"&gt;="&amp;$D3734,DATA_GOC!$B:$B,"&lt;="&amp;$E3734))</f>
        <v/>
      </c>
      <c r="J3734" s="59">
        <f t="shared" si="28"/>
        <v>0</v>
      </c>
      <c r="K3734" s="59">
        <f t="shared" si="29"/>
        <v>0</v>
      </c>
      <c r="L3734" s="59">
        <f t="shared" si="30"/>
        <v>0</v>
      </c>
      <c r="M3734" s="59">
        <f t="shared" si="31"/>
        <v>0</v>
      </c>
    </row>
    <row r="3735" ht="15.0" hidden="1" customHeight="1">
      <c r="A3735" s="59">
        <f t="shared" si="20"/>
        <v>59</v>
      </c>
      <c r="B3735" s="59" t="str">
        <f t="shared" si="21"/>
        <v/>
      </c>
      <c r="C3735" s="59" t="str">
        <f t="shared" si="22"/>
        <v/>
      </c>
      <c r="D3735" s="45" t="str">
        <f t="shared" si="23"/>
        <v/>
      </c>
      <c r="E3735" s="45" t="str">
        <f t="shared" si="24"/>
        <v/>
      </c>
      <c r="F3735" s="59" t="str">
        <f t="shared" si="25"/>
        <v/>
      </c>
      <c r="G3735" s="59" t="str">
        <f t="shared" si="26"/>
        <v/>
      </c>
      <c r="H3735" s="59" t="str">
        <f t="shared" si="27"/>
        <v>28C04509</v>
      </c>
      <c r="I3735" s="59" t="str">
        <f>IF(OR($A3735="",$C3735="",$D3735="",$E3735="",$H3735=""),"",SUMIFS(DATA_GOC!$H:$H,DATA_GOC!$A:$A,"BOM",DATA_GOC!$D:$D,$H3735,DATA_GOC!$E:$E,$C3735,DATA_GOC!$F:$F,"Xuất nội bộ từ téc",DATA_GOC!$B:$B,"&gt;="&amp;$D3735,DATA_GOC!$B:$B,"&lt;="&amp;$E3735))</f>
        <v/>
      </c>
      <c r="J3735" s="59">
        <f t="shared" si="28"/>
        <v>0</v>
      </c>
      <c r="K3735" s="59">
        <f t="shared" si="29"/>
        <v>0</v>
      </c>
      <c r="L3735" s="59">
        <f t="shared" si="30"/>
        <v>0</v>
      </c>
      <c r="M3735" s="59">
        <f t="shared" si="31"/>
        <v>0</v>
      </c>
    </row>
    <row r="3736" ht="15.0" hidden="1" customHeight="1">
      <c r="A3736" s="59">
        <f t="shared" si="20"/>
        <v>59</v>
      </c>
      <c r="B3736" s="59" t="str">
        <f t="shared" si="21"/>
        <v/>
      </c>
      <c r="C3736" s="59" t="str">
        <f t="shared" si="22"/>
        <v/>
      </c>
      <c r="D3736" s="45" t="str">
        <f t="shared" si="23"/>
        <v/>
      </c>
      <c r="E3736" s="45" t="str">
        <f t="shared" si="24"/>
        <v/>
      </c>
      <c r="F3736" s="59" t="str">
        <f t="shared" si="25"/>
        <v/>
      </c>
      <c r="G3736" s="59" t="str">
        <f t="shared" si="26"/>
        <v/>
      </c>
      <c r="H3736" s="59" t="str">
        <f t="shared" si="27"/>
        <v>28C04536</v>
      </c>
      <c r="I3736" s="59" t="str">
        <f>IF(OR($A3736="",$C3736="",$D3736="",$E3736="",$H3736=""),"",SUMIFS(DATA_GOC!$H:$H,DATA_GOC!$A:$A,"BOM",DATA_GOC!$D:$D,$H3736,DATA_GOC!$E:$E,$C3736,DATA_GOC!$F:$F,"Xuất nội bộ từ téc",DATA_GOC!$B:$B,"&gt;="&amp;$D3736,DATA_GOC!$B:$B,"&lt;="&amp;$E3736))</f>
        <v/>
      </c>
      <c r="J3736" s="59">
        <f t="shared" si="28"/>
        <v>0</v>
      </c>
      <c r="K3736" s="59">
        <f t="shared" si="29"/>
        <v>0</v>
      </c>
      <c r="L3736" s="59">
        <f t="shared" si="30"/>
        <v>0</v>
      </c>
      <c r="M3736" s="59">
        <f t="shared" si="31"/>
        <v>0</v>
      </c>
    </row>
    <row r="3737" ht="15.0" hidden="1" customHeight="1">
      <c r="A3737" s="59">
        <f t="shared" si="20"/>
        <v>59</v>
      </c>
      <c r="B3737" s="59" t="str">
        <f t="shared" si="21"/>
        <v/>
      </c>
      <c r="C3737" s="59" t="str">
        <f t="shared" si="22"/>
        <v/>
      </c>
      <c r="D3737" s="45" t="str">
        <f t="shared" si="23"/>
        <v/>
      </c>
      <c r="E3737" s="45" t="str">
        <f t="shared" si="24"/>
        <v/>
      </c>
      <c r="F3737" s="59" t="str">
        <f t="shared" si="25"/>
        <v/>
      </c>
      <c r="G3737" s="59" t="str">
        <f t="shared" si="26"/>
        <v/>
      </c>
      <c r="H3737" s="59" t="str">
        <f t="shared" si="27"/>
        <v>28C04576</v>
      </c>
      <c r="I3737" s="59" t="str">
        <f>IF(OR($A3737="",$C3737="",$D3737="",$E3737="",$H3737=""),"",SUMIFS(DATA_GOC!$H:$H,DATA_GOC!$A:$A,"BOM",DATA_GOC!$D:$D,$H3737,DATA_GOC!$E:$E,$C3737,DATA_GOC!$F:$F,"Xuất nội bộ từ téc",DATA_GOC!$B:$B,"&gt;="&amp;$D3737,DATA_GOC!$B:$B,"&lt;="&amp;$E3737))</f>
        <v/>
      </c>
      <c r="J3737" s="59">
        <f t="shared" si="28"/>
        <v>0</v>
      </c>
      <c r="K3737" s="59">
        <f t="shared" si="29"/>
        <v>0</v>
      </c>
      <c r="L3737" s="59">
        <f t="shared" si="30"/>
        <v>0</v>
      </c>
      <c r="M3737" s="59">
        <f t="shared" si="31"/>
        <v>0</v>
      </c>
    </row>
    <row r="3738" ht="15.0" hidden="1" customHeight="1">
      <c r="A3738" s="59">
        <f t="shared" si="20"/>
        <v>59</v>
      </c>
      <c r="B3738" s="59" t="str">
        <f t="shared" si="21"/>
        <v/>
      </c>
      <c r="C3738" s="59" t="str">
        <f t="shared" si="22"/>
        <v/>
      </c>
      <c r="D3738" s="45" t="str">
        <f t="shared" si="23"/>
        <v/>
      </c>
      <c r="E3738" s="45" t="str">
        <f t="shared" si="24"/>
        <v/>
      </c>
      <c r="F3738" s="59" t="str">
        <f t="shared" si="25"/>
        <v/>
      </c>
      <c r="G3738" s="59" t="str">
        <f t="shared" si="26"/>
        <v/>
      </c>
      <c r="H3738" s="59" t="str">
        <f t="shared" si="27"/>
        <v>28C05090</v>
      </c>
      <c r="I3738" s="59" t="str">
        <f>IF(OR($A3738="",$C3738="",$D3738="",$E3738="",$H3738=""),"",SUMIFS(DATA_GOC!$H:$H,DATA_GOC!$A:$A,"BOM",DATA_GOC!$D:$D,$H3738,DATA_GOC!$E:$E,$C3738,DATA_GOC!$F:$F,"Xuất nội bộ từ téc",DATA_GOC!$B:$B,"&gt;="&amp;$D3738,DATA_GOC!$B:$B,"&lt;="&amp;$E3738))</f>
        <v/>
      </c>
      <c r="J3738" s="59">
        <f t="shared" si="28"/>
        <v>0</v>
      </c>
      <c r="K3738" s="59">
        <f t="shared" si="29"/>
        <v>0</v>
      </c>
      <c r="L3738" s="59">
        <f t="shared" si="30"/>
        <v>0</v>
      </c>
      <c r="M3738" s="59">
        <f t="shared" si="31"/>
        <v>0</v>
      </c>
    </row>
    <row r="3739" ht="15.0" hidden="1" customHeight="1">
      <c r="A3739" s="59">
        <f t="shared" si="20"/>
        <v>59</v>
      </c>
      <c r="B3739" s="59" t="str">
        <f t="shared" si="21"/>
        <v/>
      </c>
      <c r="C3739" s="59" t="str">
        <f t="shared" si="22"/>
        <v/>
      </c>
      <c r="D3739" s="45" t="str">
        <f t="shared" si="23"/>
        <v/>
      </c>
      <c r="E3739" s="45" t="str">
        <f t="shared" si="24"/>
        <v/>
      </c>
      <c r="F3739" s="59" t="str">
        <f t="shared" si="25"/>
        <v/>
      </c>
      <c r="G3739" s="59" t="str">
        <f t="shared" si="26"/>
        <v/>
      </c>
      <c r="H3739" s="59" t="str">
        <f t="shared" si="27"/>
        <v>28C05345</v>
      </c>
      <c r="I3739" s="59" t="str">
        <f>IF(OR($A3739="",$C3739="",$D3739="",$E3739="",$H3739=""),"",SUMIFS(DATA_GOC!$H:$H,DATA_GOC!$A:$A,"BOM",DATA_GOC!$D:$D,$H3739,DATA_GOC!$E:$E,$C3739,DATA_GOC!$F:$F,"Xuất nội bộ từ téc",DATA_GOC!$B:$B,"&gt;="&amp;$D3739,DATA_GOC!$B:$B,"&lt;="&amp;$E3739))</f>
        <v/>
      </c>
      <c r="J3739" s="59">
        <f t="shared" si="28"/>
        <v>0</v>
      </c>
      <c r="K3739" s="59">
        <f t="shared" si="29"/>
        <v>0</v>
      </c>
      <c r="L3739" s="59">
        <f t="shared" si="30"/>
        <v>0</v>
      </c>
      <c r="M3739" s="59">
        <f t="shared" si="31"/>
        <v>0</v>
      </c>
    </row>
    <row r="3740" ht="15.0" hidden="1" customHeight="1">
      <c r="A3740" s="59">
        <f t="shared" si="20"/>
        <v>59</v>
      </c>
      <c r="B3740" s="59" t="str">
        <f t="shared" si="21"/>
        <v/>
      </c>
      <c r="C3740" s="59" t="str">
        <f t="shared" si="22"/>
        <v/>
      </c>
      <c r="D3740" s="45" t="str">
        <f t="shared" si="23"/>
        <v/>
      </c>
      <c r="E3740" s="45" t="str">
        <f t="shared" si="24"/>
        <v/>
      </c>
      <c r="F3740" s="59" t="str">
        <f t="shared" si="25"/>
        <v/>
      </c>
      <c r="G3740" s="59" t="str">
        <f t="shared" si="26"/>
        <v/>
      </c>
      <c r="H3740" s="59" t="str">
        <f t="shared" si="27"/>
        <v>28C05661</v>
      </c>
      <c r="I3740" s="59" t="str">
        <f>IF(OR($A3740="",$C3740="",$D3740="",$E3740="",$H3740=""),"",SUMIFS(DATA_GOC!$H:$H,DATA_GOC!$A:$A,"BOM",DATA_GOC!$D:$D,$H3740,DATA_GOC!$E:$E,$C3740,DATA_GOC!$F:$F,"Xuất nội bộ từ téc",DATA_GOC!$B:$B,"&gt;="&amp;$D3740,DATA_GOC!$B:$B,"&lt;="&amp;$E3740))</f>
        <v/>
      </c>
      <c r="J3740" s="59">
        <f t="shared" si="28"/>
        <v>0</v>
      </c>
      <c r="K3740" s="59">
        <f t="shared" si="29"/>
        <v>0</v>
      </c>
      <c r="L3740" s="59">
        <f t="shared" si="30"/>
        <v>0</v>
      </c>
      <c r="M3740" s="59">
        <f t="shared" si="31"/>
        <v>0</v>
      </c>
    </row>
    <row r="3741" ht="15.0" hidden="1" customHeight="1">
      <c r="A3741" s="59">
        <f t="shared" si="20"/>
        <v>59</v>
      </c>
      <c r="B3741" s="59" t="str">
        <f t="shared" si="21"/>
        <v/>
      </c>
      <c r="C3741" s="59" t="str">
        <f t="shared" si="22"/>
        <v/>
      </c>
      <c r="D3741" s="45" t="str">
        <f t="shared" si="23"/>
        <v/>
      </c>
      <c r="E3741" s="45" t="str">
        <f t="shared" si="24"/>
        <v/>
      </c>
      <c r="F3741" s="59" t="str">
        <f t="shared" si="25"/>
        <v/>
      </c>
      <c r="G3741" s="59" t="str">
        <f t="shared" si="26"/>
        <v/>
      </c>
      <c r="H3741" s="59" t="str">
        <f t="shared" si="27"/>
        <v>28C05739</v>
      </c>
      <c r="I3741" s="59" t="str">
        <f>IF(OR($A3741="",$C3741="",$D3741="",$E3741="",$H3741=""),"",SUMIFS(DATA_GOC!$H:$H,DATA_GOC!$A:$A,"BOM",DATA_GOC!$D:$D,$H3741,DATA_GOC!$E:$E,$C3741,DATA_GOC!$F:$F,"Xuất nội bộ từ téc",DATA_GOC!$B:$B,"&gt;="&amp;$D3741,DATA_GOC!$B:$B,"&lt;="&amp;$E3741))</f>
        <v/>
      </c>
      <c r="J3741" s="59">
        <f t="shared" si="28"/>
        <v>0</v>
      </c>
      <c r="K3741" s="59">
        <f t="shared" si="29"/>
        <v>0</v>
      </c>
      <c r="L3741" s="59">
        <f t="shared" si="30"/>
        <v>0</v>
      </c>
      <c r="M3741" s="59">
        <f t="shared" si="31"/>
        <v>0</v>
      </c>
    </row>
    <row r="3742" ht="15.0" hidden="1" customHeight="1">
      <c r="A3742" s="59">
        <f t="shared" si="20"/>
        <v>59</v>
      </c>
      <c r="B3742" s="59" t="str">
        <f t="shared" si="21"/>
        <v/>
      </c>
      <c r="C3742" s="59" t="str">
        <f t="shared" si="22"/>
        <v/>
      </c>
      <c r="D3742" s="45" t="str">
        <f t="shared" si="23"/>
        <v/>
      </c>
      <c r="E3742" s="45" t="str">
        <f t="shared" si="24"/>
        <v/>
      </c>
      <c r="F3742" s="59" t="str">
        <f t="shared" si="25"/>
        <v/>
      </c>
      <c r="G3742" s="59" t="str">
        <f t="shared" si="26"/>
        <v/>
      </c>
      <c r="H3742" s="59" t="str">
        <f t="shared" si="27"/>
        <v>28C06369</v>
      </c>
      <c r="I3742" s="59" t="str">
        <f>IF(OR($A3742="",$C3742="",$D3742="",$E3742="",$H3742=""),"",SUMIFS(DATA_GOC!$H:$H,DATA_GOC!$A:$A,"BOM",DATA_GOC!$D:$D,$H3742,DATA_GOC!$E:$E,$C3742,DATA_GOC!$F:$F,"Xuất nội bộ từ téc",DATA_GOC!$B:$B,"&gt;="&amp;$D3742,DATA_GOC!$B:$B,"&lt;="&amp;$E3742))</f>
        <v/>
      </c>
      <c r="J3742" s="59">
        <f t="shared" si="28"/>
        <v>0</v>
      </c>
      <c r="K3742" s="59">
        <f t="shared" si="29"/>
        <v>0</v>
      </c>
      <c r="L3742" s="59">
        <f t="shared" si="30"/>
        <v>0</v>
      </c>
      <c r="M3742" s="59">
        <f t="shared" si="31"/>
        <v>0</v>
      </c>
    </row>
    <row r="3743" ht="15.0" hidden="1" customHeight="1">
      <c r="A3743" s="59">
        <f t="shared" si="20"/>
        <v>59</v>
      </c>
      <c r="B3743" s="59" t="str">
        <f t="shared" si="21"/>
        <v/>
      </c>
      <c r="C3743" s="59" t="str">
        <f t="shared" si="22"/>
        <v/>
      </c>
      <c r="D3743" s="45" t="str">
        <f t="shared" si="23"/>
        <v/>
      </c>
      <c r="E3743" s="45" t="str">
        <f t="shared" si="24"/>
        <v/>
      </c>
      <c r="F3743" s="59" t="str">
        <f t="shared" si="25"/>
        <v/>
      </c>
      <c r="G3743" s="59" t="str">
        <f t="shared" si="26"/>
        <v/>
      </c>
      <c r="H3743" s="59" t="str">
        <f t="shared" si="27"/>
        <v>28C06447</v>
      </c>
      <c r="I3743" s="59" t="str">
        <f>IF(OR($A3743="",$C3743="",$D3743="",$E3743="",$H3743=""),"",SUMIFS(DATA_GOC!$H:$H,DATA_GOC!$A:$A,"BOM",DATA_GOC!$D:$D,$H3743,DATA_GOC!$E:$E,$C3743,DATA_GOC!$F:$F,"Xuất nội bộ từ téc",DATA_GOC!$B:$B,"&gt;="&amp;$D3743,DATA_GOC!$B:$B,"&lt;="&amp;$E3743))</f>
        <v/>
      </c>
      <c r="J3743" s="59">
        <f t="shared" si="28"/>
        <v>0</v>
      </c>
      <c r="K3743" s="59">
        <f t="shared" si="29"/>
        <v>0</v>
      </c>
      <c r="L3743" s="59">
        <f t="shared" si="30"/>
        <v>0</v>
      </c>
      <c r="M3743" s="59">
        <f t="shared" si="31"/>
        <v>0</v>
      </c>
    </row>
    <row r="3744" ht="15.0" hidden="1" customHeight="1">
      <c r="A3744" s="59">
        <f t="shared" si="20"/>
        <v>59</v>
      </c>
      <c r="B3744" s="59" t="str">
        <f t="shared" si="21"/>
        <v/>
      </c>
      <c r="C3744" s="59" t="str">
        <f t="shared" si="22"/>
        <v/>
      </c>
      <c r="D3744" s="45" t="str">
        <f t="shared" si="23"/>
        <v/>
      </c>
      <c r="E3744" s="45" t="str">
        <f t="shared" si="24"/>
        <v/>
      </c>
      <c r="F3744" s="59" t="str">
        <f t="shared" si="25"/>
        <v/>
      </c>
      <c r="G3744" s="59" t="str">
        <f t="shared" si="26"/>
        <v/>
      </c>
      <c r="H3744" s="59" t="str">
        <f t="shared" si="27"/>
        <v>28H00003</v>
      </c>
      <c r="I3744" s="59" t="str">
        <f>IF(OR($A3744="",$C3744="",$D3744="",$E3744="",$H3744=""),"",SUMIFS(DATA_GOC!$H:$H,DATA_GOC!$A:$A,"BOM",DATA_GOC!$D:$D,$H3744,DATA_GOC!$E:$E,$C3744,DATA_GOC!$F:$F,"Xuất nội bộ từ téc",DATA_GOC!$B:$B,"&gt;="&amp;$D3744,DATA_GOC!$B:$B,"&lt;="&amp;$E3744))</f>
        <v/>
      </c>
      <c r="J3744" s="59">
        <f t="shared" si="28"/>
        <v>0</v>
      </c>
      <c r="K3744" s="59">
        <f t="shared" si="29"/>
        <v>0</v>
      </c>
      <c r="L3744" s="59">
        <f t="shared" si="30"/>
        <v>0</v>
      </c>
      <c r="M3744" s="59">
        <f t="shared" si="31"/>
        <v>0</v>
      </c>
    </row>
    <row r="3745" ht="15.0" hidden="1" customHeight="1">
      <c r="A3745" s="59">
        <f t="shared" si="20"/>
        <v>59</v>
      </c>
      <c r="B3745" s="59" t="str">
        <f t="shared" si="21"/>
        <v/>
      </c>
      <c r="C3745" s="59" t="str">
        <f t="shared" si="22"/>
        <v/>
      </c>
      <c r="D3745" s="45" t="str">
        <f t="shared" si="23"/>
        <v/>
      </c>
      <c r="E3745" s="45" t="str">
        <f t="shared" si="24"/>
        <v/>
      </c>
      <c r="F3745" s="59" t="str">
        <f t="shared" si="25"/>
        <v/>
      </c>
      <c r="G3745" s="59" t="str">
        <f t="shared" si="26"/>
        <v/>
      </c>
      <c r="H3745" s="59" t="str">
        <f t="shared" si="27"/>
        <v>28H00061</v>
      </c>
      <c r="I3745" s="59" t="str">
        <f>IF(OR($A3745="",$C3745="",$D3745="",$E3745="",$H3745=""),"",SUMIFS(DATA_GOC!$H:$H,DATA_GOC!$A:$A,"BOM",DATA_GOC!$D:$D,$H3745,DATA_GOC!$E:$E,$C3745,DATA_GOC!$F:$F,"Xuất nội bộ từ téc",DATA_GOC!$B:$B,"&gt;="&amp;$D3745,DATA_GOC!$B:$B,"&lt;="&amp;$E3745))</f>
        <v/>
      </c>
      <c r="J3745" s="59">
        <f t="shared" si="28"/>
        <v>0</v>
      </c>
      <c r="K3745" s="59">
        <f t="shared" si="29"/>
        <v>0</v>
      </c>
      <c r="L3745" s="59">
        <f t="shared" si="30"/>
        <v>0</v>
      </c>
      <c r="M3745" s="59">
        <f t="shared" si="31"/>
        <v>0</v>
      </c>
    </row>
    <row r="3746" ht="15.0" hidden="1" customHeight="1">
      <c r="A3746" s="59">
        <f t="shared" si="20"/>
        <v>59</v>
      </c>
      <c r="B3746" s="59" t="str">
        <f t="shared" si="21"/>
        <v/>
      </c>
      <c r="C3746" s="59" t="str">
        <f t="shared" si="22"/>
        <v/>
      </c>
      <c r="D3746" s="45" t="str">
        <f t="shared" si="23"/>
        <v/>
      </c>
      <c r="E3746" s="45" t="str">
        <f t="shared" si="24"/>
        <v/>
      </c>
      <c r="F3746" s="59" t="str">
        <f t="shared" si="25"/>
        <v/>
      </c>
      <c r="G3746" s="59" t="str">
        <f t="shared" si="26"/>
        <v/>
      </c>
      <c r="H3746" s="59" t="str">
        <f t="shared" si="27"/>
        <v>28H00354</v>
      </c>
      <c r="I3746" s="59" t="str">
        <f>IF(OR($A3746="",$C3746="",$D3746="",$E3746="",$H3746=""),"",SUMIFS(DATA_GOC!$H:$H,DATA_GOC!$A:$A,"BOM",DATA_GOC!$D:$D,$H3746,DATA_GOC!$E:$E,$C3746,DATA_GOC!$F:$F,"Xuất nội bộ từ téc",DATA_GOC!$B:$B,"&gt;="&amp;$D3746,DATA_GOC!$B:$B,"&lt;="&amp;$E3746))</f>
        <v/>
      </c>
      <c r="J3746" s="59">
        <f t="shared" si="28"/>
        <v>0</v>
      </c>
      <c r="K3746" s="59">
        <f t="shared" si="29"/>
        <v>0</v>
      </c>
      <c r="L3746" s="59">
        <f t="shared" si="30"/>
        <v>0</v>
      </c>
      <c r="M3746" s="59">
        <f t="shared" si="31"/>
        <v>0</v>
      </c>
    </row>
    <row r="3747" ht="15.0" hidden="1" customHeight="1">
      <c r="A3747" s="59">
        <f t="shared" si="20"/>
        <v>59</v>
      </c>
      <c r="B3747" s="59" t="str">
        <f t="shared" si="21"/>
        <v/>
      </c>
      <c r="C3747" s="59" t="str">
        <f t="shared" si="22"/>
        <v/>
      </c>
      <c r="D3747" s="45" t="str">
        <f t="shared" si="23"/>
        <v/>
      </c>
      <c r="E3747" s="45" t="str">
        <f t="shared" si="24"/>
        <v/>
      </c>
      <c r="F3747" s="59" t="str">
        <f t="shared" si="25"/>
        <v/>
      </c>
      <c r="G3747" s="59" t="str">
        <f t="shared" si="26"/>
        <v/>
      </c>
      <c r="H3747" s="59" t="str">
        <f t="shared" si="27"/>
        <v>28H00603</v>
      </c>
      <c r="I3747" s="59" t="str">
        <f>IF(OR($A3747="",$C3747="",$D3747="",$E3747="",$H3747=""),"",SUMIFS(DATA_GOC!$H:$H,DATA_GOC!$A:$A,"BOM",DATA_GOC!$D:$D,$H3747,DATA_GOC!$E:$E,$C3747,DATA_GOC!$F:$F,"Xuất nội bộ từ téc",DATA_GOC!$B:$B,"&gt;="&amp;$D3747,DATA_GOC!$B:$B,"&lt;="&amp;$E3747))</f>
        <v/>
      </c>
      <c r="J3747" s="59">
        <f t="shared" si="28"/>
        <v>0</v>
      </c>
      <c r="K3747" s="59">
        <f t="shared" si="29"/>
        <v>0</v>
      </c>
      <c r="L3747" s="59">
        <f t="shared" si="30"/>
        <v>0</v>
      </c>
      <c r="M3747" s="59">
        <f t="shared" si="31"/>
        <v>0</v>
      </c>
    </row>
    <row r="3748" ht="15.0" hidden="1" customHeight="1">
      <c r="A3748" s="59">
        <f t="shared" si="20"/>
        <v>59</v>
      </c>
      <c r="B3748" s="59" t="str">
        <f t="shared" si="21"/>
        <v/>
      </c>
      <c r="C3748" s="59" t="str">
        <f t="shared" si="22"/>
        <v/>
      </c>
      <c r="D3748" s="45" t="str">
        <f t="shared" si="23"/>
        <v/>
      </c>
      <c r="E3748" s="45" t="str">
        <f t="shared" si="24"/>
        <v/>
      </c>
      <c r="F3748" s="59" t="str">
        <f t="shared" si="25"/>
        <v/>
      </c>
      <c r="G3748" s="59" t="str">
        <f t="shared" si="26"/>
        <v/>
      </c>
      <c r="H3748" s="59" t="str">
        <f t="shared" si="27"/>
        <v>28H00609</v>
      </c>
      <c r="I3748" s="59" t="str">
        <f>IF(OR($A3748="",$C3748="",$D3748="",$E3748="",$H3748=""),"",SUMIFS(DATA_GOC!$H:$H,DATA_GOC!$A:$A,"BOM",DATA_GOC!$D:$D,$H3748,DATA_GOC!$E:$E,$C3748,DATA_GOC!$F:$F,"Xuất nội bộ từ téc",DATA_GOC!$B:$B,"&gt;="&amp;$D3748,DATA_GOC!$B:$B,"&lt;="&amp;$E3748))</f>
        <v/>
      </c>
      <c r="J3748" s="59">
        <f t="shared" si="28"/>
        <v>0</v>
      </c>
      <c r="K3748" s="59">
        <f t="shared" si="29"/>
        <v>0</v>
      </c>
      <c r="L3748" s="59">
        <f t="shared" si="30"/>
        <v>0</v>
      </c>
      <c r="M3748" s="59">
        <f t="shared" si="31"/>
        <v>0</v>
      </c>
    </row>
    <row r="3749" ht="15.0" hidden="1" customHeight="1">
      <c r="A3749" s="59">
        <f t="shared" si="20"/>
        <v>59</v>
      </c>
      <c r="B3749" s="59" t="str">
        <f t="shared" si="21"/>
        <v/>
      </c>
      <c r="C3749" s="59" t="str">
        <f t="shared" si="22"/>
        <v/>
      </c>
      <c r="D3749" s="45" t="str">
        <f t="shared" si="23"/>
        <v/>
      </c>
      <c r="E3749" s="45" t="str">
        <f t="shared" si="24"/>
        <v/>
      </c>
      <c r="F3749" s="59" t="str">
        <f t="shared" si="25"/>
        <v/>
      </c>
      <c r="G3749" s="59" t="str">
        <f t="shared" si="26"/>
        <v/>
      </c>
      <c r="H3749" s="59" t="str">
        <f t="shared" si="27"/>
        <v>28H00669</v>
      </c>
      <c r="I3749" s="59" t="str">
        <f>IF(OR($A3749="",$C3749="",$D3749="",$E3749="",$H3749=""),"",SUMIFS(DATA_GOC!$H:$H,DATA_GOC!$A:$A,"BOM",DATA_GOC!$D:$D,$H3749,DATA_GOC!$E:$E,$C3749,DATA_GOC!$F:$F,"Xuất nội bộ từ téc",DATA_GOC!$B:$B,"&gt;="&amp;$D3749,DATA_GOC!$B:$B,"&lt;="&amp;$E3749))</f>
        <v/>
      </c>
      <c r="J3749" s="59">
        <f t="shared" si="28"/>
        <v>0</v>
      </c>
      <c r="K3749" s="59">
        <f t="shared" si="29"/>
        <v>0</v>
      </c>
      <c r="L3749" s="59">
        <f t="shared" si="30"/>
        <v>0</v>
      </c>
      <c r="M3749" s="59">
        <f t="shared" si="31"/>
        <v>0</v>
      </c>
    </row>
    <row r="3750" ht="15.0" hidden="1" customHeight="1">
      <c r="A3750" s="59">
        <f t="shared" si="20"/>
        <v>59</v>
      </c>
      <c r="B3750" s="59" t="str">
        <f t="shared" si="21"/>
        <v/>
      </c>
      <c r="C3750" s="59" t="str">
        <f t="shared" si="22"/>
        <v/>
      </c>
      <c r="D3750" s="45" t="str">
        <f t="shared" si="23"/>
        <v/>
      </c>
      <c r="E3750" s="45" t="str">
        <f t="shared" si="24"/>
        <v/>
      </c>
      <c r="F3750" s="59" t="str">
        <f t="shared" si="25"/>
        <v/>
      </c>
      <c r="G3750" s="59" t="str">
        <f t="shared" si="26"/>
        <v/>
      </c>
      <c r="H3750" s="59" t="str">
        <f t="shared" si="27"/>
        <v>28H00680</v>
      </c>
      <c r="I3750" s="59" t="str">
        <f>IF(OR($A3750="",$C3750="",$D3750="",$E3750="",$H3750=""),"",SUMIFS(DATA_GOC!$H:$H,DATA_GOC!$A:$A,"BOM",DATA_GOC!$D:$D,$H3750,DATA_GOC!$E:$E,$C3750,DATA_GOC!$F:$F,"Xuất nội bộ từ téc",DATA_GOC!$B:$B,"&gt;="&amp;$D3750,DATA_GOC!$B:$B,"&lt;="&amp;$E3750))</f>
        <v/>
      </c>
      <c r="J3750" s="59">
        <f t="shared" si="28"/>
        <v>0</v>
      </c>
      <c r="K3750" s="59">
        <f t="shared" si="29"/>
        <v>0</v>
      </c>
      <c r="L3750" s="59">
        <f t="shared" si="30"/>
        <v>0</v>
      </c>
      <c r="M3750" s="59">
        <f t="shared" si="31"/>
        <v>0</v>
      </c>
    </row>
    <row r="3751" ht="15.0" hidden="1" customHeight="1">
      <c r="A3751" s="59">
        <f t="shared" si="20"/>
        <v>59</v>
      </c>
      <c r="B3751" s="59" t="str">
        <f t="shared" si="21"/>
        <v/>
      </c>
      <c r="C3751" s="59" t="str">
        <f t="shared" si="22"/>
        <v/>
      </c>
      <c r="D3751" s="45" t="str">
        <f t="shared" si="23"/>
        <v/>
      </c>
      <c r="E3751" s="45" t="str">
        <f t="shared" si="24"/>
        <v/>
      </c>
      <c r="F3751" s="59" t="str">
        <f t="shared" si="25"/>
        <v/>
      </c>
      <c r="G3751" s="59" t="str">
        <f t="shared" si="26"/>
        <v/>
      </c>
      <c r="H3751" s="59" t="str">
        <f t="shared" si="27"/>
        <v>28H01070</v>
      </c>
      <c r="I3751" s="59" t="str">
        <f>IF(OR($A3751="",$C3751="",$D3751="",$E3751="",$H3751=""),"",SUMIFS(DATA_GOC!$H:$H,DATA_GOC!$A:$A,"BOM",DATA_GOC!$D:$D,$H3751,DATA_GOC!$E:$E,$C3751,DATA_GOC!$F:$F,"Xuất nội bộ từ téc",DATA_GOC!$B:$B,"&gt;="&amp;$D3751,DATA_GOC!$B:$B,"&lt;="&amp;$E3751))</f>
        <v/>
      </c>
      <c r="J3751" s="59">
        <f t="shared" si="28"/>
        <v>0</v>
      </c>
      <c r="K3751" s="59">
        <f t="shared" si="29"/>
        <v>0</v>
      </c>
      <c r="L3751" s="59">
        <f t="shared" si="30"/>
        <v>0</v>
      </c>
      <c r="M3751" s="59">
        <f t="shared" si="31"/>
        <v>0</v>
      </c>
    </row>
    <row r="3752" ht="15.0" hidden="1" customHeight="1">
      <c r="A3752" s="59">
        <f t="shared" si="20"/>
        <v>59</v>
      </c>
      <c r="B3752" s="59" t="str">
        <f t="shared" si="21"/>
        <v/>
      </c>
      <c r="C3752" s="59" t="str">
        <f t="shared" si="22"/>
        <v/>
      </c>
      <c r="D3752" s="45" t="str">
        <f t="shared" si="23"/>
        <v/>
      </c>
      <c r="E3752" s="45" t="str">
        <f t="shared" si="24"/>
        <v/>
      </c>
      <c r="F3752" s="59" t="str">
        <f t="shared" si="25"/>
        <v/>
      </c>
      <c r="G3752" s="59" t="str">
        <f t="shared" si="26"/>
        <v/>
      </c>
      <c r="H3752" s="59" t="str">
        <f t="shared" si="27"/>
        <v>28H01364</v>
      </c>
      <c r="I3752" s="59" t="str">
        <f>IF(OR($A3752="",$C3752="",$D3752="",$E3752="",$H3752=""),"",SUMIFS(DATA_GOC!$H:$H,DATA_GOC!$A:$A,"BOM",DATA_GOC!$D:$D,$H3752,DATA_GOC!$E:$E,$C3752,DATA_GOC!$F:$F,"Xuất nội bộ từ téc",DATA_GOC!$B:$B,"&gt;="&amp;$D3752,DATA_GOC!$B:$B,"&lt;="&amp;$E3752))</f>
        <v/>
      </c>
      <c r="J3752" s="59">
        <f t="shared" si="28"/>
        <v>0</v>
      </c>
      <c r="K3752" s="59">
        <f t="shared" si="29"/>
        <v>0</v>
      </c>
      <c r="L3752" s="59">
        <f t="shared" si="30"/>
        <v>0</v>
      </c>
      <c r="M3752" s="59">
        <f t="shared" si="31"/>
        <v>0</v>
      </c>
    </row>
    <row r="3753" ht="15.0" hidden="1" customHeight="1">
      <c r="A3753" s="59">
        <f t="shared" si="20"/>
        <v>59</v>
      </c>
      <c r="B3753" s="59" t="str">
        <f t="shared" si="21"/>
        <v/>
      </c>
      <c r="C3753" s="59" t="str">
        <f t="shared" si="22"/>
        <v/>
      </c>
      <c r="D3753" s="45" t="str">
        <f t="shared" si="23"/>
        <v/>
      </c>
      <c r="E3753" s="45" t="str">
        <f t="shared" si="24"/>
        <v/>
      </c>
      <c r="F3753" s="59" t="str">
        <f t="shared" si="25"/>
        <v/>
      </c>
      <c r="G3753" s="59" t="str">
        <f t="shared" si="26"/>
        <v/>
      </c>
      <c r="H3753" s="59" t="str">
        <f t="shared" si="27"/>
        <v>29E17269</v>
      </c>
      <c r="I3753" s="59" t="str">
        <f>IF(OR($A3753="",$C3753="",$D3753="",$E3753="",$H3753=""),"",SUMIFS(DATA_GOC!$H:$H,DATA_GOC!$A:$A,"BOM",DATA_GOC!$D:$D,$H3753,DATA_GOC!$E:$E,$C3753,DATA_GOC!$F:$F,"Xuất nội bộ từ téc",DATA_GOC!$B:$B,"&gt;="&amp;$D3753,DATA_GOC!$B:$B,"&lt;="&amp;$E3753))</f>
        <v/>
      </c>
      <c r="J3753" s="59">
        <f t="shared" si="28"/>
        <v>0</v>
      </c>
      <c r="K3753" s="59">
        <f t="shared" si="29"/>
        <v>0</v>
      </c>
      <c r="L3753" s="59">
        <f t="shared" si="30"/>
        <v>0</v>
      </c>
      <c r="M3753" s="59">
        <f t="shared" si="31"/>
        <v>0</v>
      </c>
    </row>
    <row r="3754" ht="15.0" hidden="1" customHeight="1">
      <c r="A3754" s="59">
        <f t="shared" si="20"/>
        <v>59</v>
      </c>
      <c r="B3754" s="59" t="str">
        <f t="shared" si="21"/>
        <v/>
      </c>
      <c r="C3754" s="59" t="str">
        <f t="shared" si="22"/>
        <v/>
      </c>
      <c r="D3754" s="45" t="str">
        <f t="shared" si="23"/>
        <v/>
      </c>
      <c r="E3754" s="45" t="str">
        <f t="shared" si="24"/>
        <v/>
      </c>
      <c r="F3754" s="59" t="str">
        <f t="shared" si="25"/>
        <v/>
      </c>
      <c r="G3754" s="59" t="str">
        <f t="shared" si="26"/>
        <v/>
      </c>
      <c r="H3754" s="59" t="str">
        <f t="shared" si="27"/>
        <v>29E17273</v>
      </c>
      <c r="I3754" s="59" t="str">
        <f>IF(OR($A3754="",$C3754="",$D3754="",$E3754="",$H3754=""),"",SUMIFS(DATA_GOC!$H:$H,DATA_GOC!$A:$A,"BOM",DATA_GOC!$D:$D,$H3754,DATA_GOC!$E:$E,$C3754,DATA_GOC!$F:$F,"Xuất nội bộ từ téc",DATA_GOC!$B:$B,"&gt;="&amp;$D3754,DATA_GOC!$B:$B,"&lt;="&amp;$E3754))</f>
        <v/>
      </c>
      <c r="J3754" s="59">
        <f t="shared" si="28"/>
        <v>0</v>
      </c>
      <c r="K3754" s="59">
        <f t="shared" si="29"/>
        <v>0</v>
      </c>
      <c r="L3754" s="59">
        <f t="shared" si="30"/>
        <v>0</v>
      </c>
      <c r="M3754" s="59">
        <f t="shared" si="31"/>
        <v>0</v>
      </c>
    </row>
    <row r="3755" ht="15.0" hidden="1" customHeight="1">
      <c r="A3755" s="59">
        <f t="shared" si="20"/>
        <v>59</v>
      </c>
      <c r="B3755" s="59" t="str">
        <f t="shared" si="21"/>
        <v/>
      </c>
      <c r="C3755" s="59" t="str">
        <f t="shared" si="22"/>
        <v/>
      </c>
      <c r="D3755" s="45" t="str">
        <f t="shared" si="23"/>
        <v/>
      </c>
      <c r="E3755" s="45" t="str">
        <f t="shared" si="24"/>
        <v/>
      </c>
      <c r="F3755" s="59" t="str">
        <f t="shared" si="25"/>
        <v/>
      </c>
      <c r="G3755" s="59" t="str">
        <f t="shared" si="26"/>
        <v/>
      </c>
      <c r="H3755" s="59" t="str">
        <f t="shared" si="27"/>
        <v>29E17410</v>
      </c>
      <c r="I3755" s="59" t="str">
        <f>IF(OR($A3755="",$C3755="",$D3755="",$E3755="",$H3755=""),"",SUMIFS(DATA_GOC!$H:$H,DATA_GOC!$A:$A,"BOM",DATA_GOC!$D:$D,$H3755,DATA_GOC!$E:$E,$C3755,DATA_GOC!$F:$F,"Xuất nội bộ từ téc",DATA_GOC!$B:$B,"&gt;="&amp;$D3755,DATA_GOC!$B:$B,"&lt;="&amp;$E3755))</f>
        <v/>
      </c>
      <c r="J3755" s="59">
        <f t="shared" si="28"/>
        <v>0</v>
      </c>
      <c r="K3755" s="59">
        <f t="shared" si="29"/>
        <v>0</v>
      </c>
      <c r="L3755" s="59">
        <f t="shared" si="30"/>
        <v>0</v>
      </c>
      <c r="M3755" s="59">
        <f t="shared" si="31"/>
        <v>0</v>
      </c>
    </row>
    <row r="3756" ht="15.0" hidden="1" customHeight="1">
      <c r="A3756" s="59">
        <f t="shared" si="20"/>
        <v>59</v>
      </c>
      <c r="B3756" s="59" t="str">
        <f t="shared" si="21"/>
        <v/>
      </c>
      <c r="C3756" s="59" t="str">
        <f t="shared" si="22"/>
        <v/>
      </c>
      <c r="D3756" s="45" t="str">
        <f t="shared" si="23"/>
        <v/>
      </c>
      <c r="E3756" s="45" t="str">
        <f t="shared" si="24"/>
        <v/>
      </c>
      <c r="F3756" s="59" t="str">
        <f t="shared" si="25"/>
        <v/>
      </c>
      <c r="G3756" s="59" t="str">
        <f t="shared" si="26"/>
        <v/>
      </c>
      <c r="H3756" s="59" t="str">
        <f t="shared" si="27"/>
        <v>29E17417</v>
      </c>
      <c r="I3756" s="59" t="str">
        <f>IF(OR($A3756="",$C3756="",$D3756="",$E3756="",$H3756=""),"",SUMIFS(DATA_GOC!$H:$H,DATA_GOC!$A:$A,"BOM",DATA_GOC!$D:$D,$H3756,DATA_GOC!$E:$E,$C3756,DATA_GOC!$F:$F,"Xuất nội bộ từ téc",DATA_GOC!$B:$B,"&gt;="&amp;$D3756,DATA_GOC!$B:$B,"&lt;="&amp;$E3756))</f>
        <v/>
      </c>
      <c r="J3756" s="59">
        <f t="shared" si="28"/>
        <v>0</v>
      </c>
      <c r="K3756" s="59">
        <f t="shared" si="29"/>
        <v>0</v>
      </c>
      <c r="L3756" s="59">
        <f t="shared" si="30"/>
        <v>0</v>
      </c>
      <c r="M3756" s="59">
        <f t="shared" si="31"/>
        <v>0</v>
      </c>
    </row>
    <row r="3757" ht="15.0" hidden="1" customHeight="1">
      <c r="A3757" s="59">
        <f t="shared" si="20"/>
        <v>59</v>
      </c>
      <c r="B3757" s="59" t="str">
        <f t="shared" si="21"/>
        <v/>
      </c>
      <c r="C3757" s="59" t="str">
        <f t="shared" si="22"/>
        <v/>
      </c>
      <c r="D3757" s="45" t="str">
        <f t="shared" si="23"/>
        <v/>
      </c>
      <c r="E3757" s="45" t="str">
        <f t="shared" si="24"/>
        <v/>
      </c>
      <c r="F3757" s="59" t="str">
        <f t="shared" si="25"/>
        <v/>
      </c>
      <c r="G3757" s="59" t="str">
        <f t="shared" si="26"/>
        <v/>
      </c>
      <c r="H3757" s="59" t="str">
        <f t="shared" si="27"/>
        <v>29E17539</v>
      </c>
      <c r="I3757" s="59" t="str">
        <f>IF(OR($A3757="",$C3757="",$D3757="",$E3757="",$H3757=""),"",SUMIFS(DATA_GOC!$H:$H,DATA_GOC!$A:$A,"BOM",DATA_GOC!$D:$D,$H3757,DATA_GOC!$E:$E,$C3757,DATA_GOC!$F:$F,"Xuất nội bộ từ téc",DATA_GOC!$B:$B,"&gt;="&amp;$D3757,DATA_GOC!$B:$B,"&lt;="&amp;$E3757))</f>
        <v/>
      </c>
      <c r="J3757" s="59">
        <f t="shared" si="28"/>
        <v>0</v>
      </c>
      <c r="K3757" s="59">
        <f t="shared" si="29"/>
        <v>0</v>
      </c>
      <c r="L3757" s="59">
        <f t="shared" si="30"/>
        <v>0</v>
      </c>
      <c r="M3757" s="59">
        <f t="shared" si="31"/>
        <v>0</v>
      </c>
    </row>
    <row r="3758" ht="15.0" hidden="1" customHeight="1">
      <c r="A3758" s="59">
        <f t="shared" si="20"/>
        <v>59</v>
      </c>
      <c r="B3758" s="59" t="str">
        <f t="shared" si="21"/>
        <v/>
      </c>
      <c r="C3758" s="59" t="str">
        <f t="shared" si="22"/>
        <v/>
      </c>
      <c r="D3758" s="45" t="str">
        <f t="shared" si="23"/>
        <v/>
      </c>
      <c r="E3758" s="45" t="str">
        <f t="shared" si="24"/>
        <v/>
      </c>
      <c r="F3758" s="59" t="str">
        <f t="shared" si="25"/>
        <v/>
      </c>
      <c r="G3758" s="59" t="str">
        <f t="shared" si="26"/>
        <v/>
      </c>
      <c r="H3758" s="59" t="str">
        <f t="shared" si="27"/>
        <v>29E18160</v>
      </c>
      <c r="I3758" s="59" t="str">
        <f>IF(OR($A3758="",$C3758="",$D3758="",$E3758="",$H3758=""),"",SUMIFS(DATA_GOC!$H:$H,DATA_GOC!$A:$A,"BOM",DATA_GOC!$D:$D,$H3758,DATA_GOC!$E:$E,$C3758,DATA_GOC!$F:$F,"Xuất nội bộ từ téc",DATA_GOC!$B:$B,"&gt;="&amp;$D3758,DATA_GOC!$B:$B,"&lt;="&amp;$E3758))</f>
        <v/>
      </c>
      <c r="J3758" s="59">
        <f t="shared" si="28"/>
        <v>0</v>
      </c>
      <c r="K3758" s="59">
        <f t="shared" si="29"/>
        <v>0</v>
      </c>
      <c r="L3758" s="59">
        <f t="shared" si="30"/>
        <v>0</v>
      </c>
      <c r="M3758" s="59">
        <f t="shared" si="31"/>
        <v>0</v>
      </c>
    </row>
    <row r="3759" ht="15.0" hidden="1" customHeight="1">
      <c r="A3759" s="59">
        <f t="shared" si="20"/>
        <v>59</v>
      </c>
      <c r="B3759" s="59" t="str">
        <f t="shared" si="21"/>
        <v/>
      </c>
      <c r="C3759" s="59" t="str">
        <f t="shared" si="22"/>
        <v/>
      </c>
      <c r="D3759" s="45" t="str">
        <f t="shared" si="23"/>
        <v/>
      </c>
      <c r="E3759" s="45" t="str">
        <f t="shared" si="24"/>
        <v/>
      </c>
      <c r="F3759" s="59" t="str">
        <f t="shared" si="25"/>
        <v/>
      </c>
      <c r="G3759" s="59" t="str">
        <f t="shared" si="26"/>
        <v/>
      </c>
      <c r="H3759" s="59" t="str">
        <f t="shared" si="27"/>
        <v>Công trình Asphalt</v>
      </c>
      <c r="I3759" s="59" t="str">
        <f>IF(OR($A3759="",$C3759="",$D3759="",$E3759="",$H3759=""),"",SUMIFS(DATA_GOC!$H:$H,DATA_GOC!$A:$A,"BOM",DATA_GOC!$D:$D,$H3759,DATA_GOC!$E:$E,$C3759,DATA_GOC!$F:$F,"Xuất nội bộ từ téc",DATA_GOC!$B:$B,"&gt;="&amp;$D3759,DATA_GOC!$B:$B,"&lt;="&amp;$E3759))</f>
        <v/>
      </c>
      <c r="J3759" s="59">
        <f t="shared" si="28"/>
        <v>0</v>
      </c>
      <c r="K3759" s="59">
        <f t="shared" si="29"/>
        <v>0</v>
      </c>
      <c r="L3759" s="59">
        <f t="shared" si="30"/>
        <v>0</v>
      </c>
      <c r="M3759" s="59">
        <f t="shared" si="31"/>
        <v>0</v>
      </c>
    </row>
    <row r="3760" ht="15.0" hidden="1" customHeight="1">
      <c r="A3760" s="59">
        <f t="shared" si="20"/>
        <v>59</v>
      </c>
      <c r="B3760" s="59" t="str">
        <f t="shared" si="21"/>
        <v/>
      </c>
      <c r="C3760" s="59" t="str">
        <f t="shared" si="22"/>
        <v/>
      </c>
      <c r="D3760" s="45" t="str">
        <f t="shared" si="23"/>
        <v/>
      </c>
      <c r="E3760" s="45" t="str">
        <f t="shared" si="24"/>
        <v/>
      </c>
      <c r="F3760" s="59" t="str">
        <f t="shared" si="25"/>
        <v/>
      </c>
      <c r="G3760" s="59" t="str">
        <f t="shared" si="26"/>
        <v/>
      </c>
      <c r="H3760" s="59" t="str">
        <f t="shared" si="27"/>
        <v>LG53F</v>
      </c>
      <c r="I3760" s="59" t="str">
        <f>IF(OR($A3760="",$C3760="",$D3760="",$E3760="",$H3760=""),"",SUMIFS(DATA_GOC!$H:$H,DATA_GOC!$A:$A,"BOM",DATA_GOC!$D:$D,$H3760,DATA_GOC!$E:$E,$C3760,DATA_GOC!$F:$F,"Xuất nội bộ từ téc",DATA_GOC!$B:$B,"&gt;="&amp;$D3760,DATA_GOC!$B:$B,"&lt;="&amp;$E3760))</f>
        <v/>
      </c>
      <c r="J3760" s="59">
        <f t="shared" si="28"/>
        <v>0</v>
      </c>
      <c r="K3760" s="59">
        <f t="shared" si="29"/>
        <v>0</v>
      </c>
      <c r="L3760" s="59">
        <f t="shared" si="30"/>
        <v>0</v>
      </c>
      <c r="M3760" s="59">
        <f t="shared" si="31"/>
        <v>0</v>
      </c>
    </row>
    <row r="3761" ht="15.0" hidden="1" customHeight="1">
      <c r="A3761" s="59">
        <f t="shared" si="20"/>
        <v>59</v>
      </c>
      <c r="B3761" s="59" t="str">
        <f t="shared" si="21"/>
        <v/>
      </c>
      <c r="C3761" s="59" t="str">
        <f t="shared" si="22"/>
        <v/>
      </c>
      <c r="D3761" s="45" t="str">
        <f t="shared" si="23"/>
        <v/>
      </c>
      <c r="E3761" s="45" t="str">
        <f t="shared" si="24"/>
        <v/>
      </c>
      <c r="F3761" s="59" t="str">
        <f t="shared" si="25"/>
        <v/>
      </c>
      <c r="G3761" s="59" t="str">
        <f t="shared" si="26"/>
        <v/>
      </c>
      <c r="H3761" s="59" t="str">
        <f t="shared" si="27"/>
        <v>Máy phát điện</v>
      </c>
      <c r="I3761" s="59" t="str">
        <f>IF(OR($A3761="",$C3761="",$D3761="",$E3761="",$H3761=""),"",SUMIFS(DATA_GOC!$H:$H,DATA_GOC!$A:$A,"BOM",DATA_GOC!$D:$D,$H3761,DATA_GOC!$E:$E,$C3761,DATA_GOC!$F:$F,"Xuất nội bộ từ téc",DATA_GOC!$B:$B,"&gt;="&amp;$D3761,DATA_GOC!$B:$B,"&lt;="&amp;$E3761))</f>
        <v/>
      </c>
      <c r="J3761" s="59">
        <f t="shared" si="28"/>
        <v>0</v>
      </c>
      <c r="K3761" s="59">
        <f t="shared" si="29"/>
        <v>0</v>
      </c>
      <c r="L3761" s="59">
        <f t="shared" si="30"/>
        <v>0</v>
      </c>
      <c r="M3761" s="59">
        <f t="shared" si="31"/>
        <v>0</v>
      </c>
    </row>
    <row r="3762" ht="15.0" hidden="1" customHeight="1">
      <c r="A3762" s="59">
        <f t="shared" si="20"/>
        <v>59</v>
      </c>
      <c r="B3762" s="59" t="str">
        <f t="shared" si="21"/>
        <v/>
      </c>
      <c r="C3762" s="59" t="str">
        <f t="shared" si="22"/>
        <v/>
      </c>
      <c r="D3762" s="45" t="str">
        <f t="shared" si="23"/>
        <v/>
      </c>
      <c r="E3762" s="45" t="str">
        <f t="shared" si="24"/>
        <v/>
      </c>
      <c r="F3762" s="59" t="str">
        <f t="shared" si="25"/>
        <v/>
      </c>
      <c r="G3762" s="59" t="str">
        <f t="shared" si="26"/>
        <v/>
      </c>
      <c r="H3762" s="59" t="str">
        <f t="shared" si="27"/>
        <v>Máy rải thảm</v>
      </c>
      <c r="I3762" s="59" t="str">
        <f>IF(OR($A3762="",$C3762="",$D3762="",$E3762="",$H3762=""),"",SUMIFS(DATA_GOC!$H:$H,DATA_GOC!$A:$A,"BOM",DATA_GOC!$D:$D,$H3762,DATA_GOC!$E:$E,$C3762,DATA_GOC!$F:$F,"Xuất nội bộ từ téc",DATA_GOC!$B:$B,"&gt;="&amp;$D3762,DATA_GOC!$B:$B,"&lt;="&amp;$E3762))</f>
        <v/>
      </c>
      <c r="J3762" s="59">
        <f t="shared" si="28"/>
        <v>0</v>
      </c>
      <c r="K3762" s="59">
        <f t="shared" si="29"/>
        <v>0</v>
      </c>
      <c r="L3762" s="59">
        <f t="shared" si="30"/>
        <v>0</v>
      </c>
      <c r="M3762" s="59">
        <f t="shared" si="31"/>
        <v>0</v>
      </c>
    </row>
    <row r="3763" ht="15.0" hidden="1" customHeight="1">
      <c r="A3763" s="59">
        <f t="shared" si="20"/>
        <v>59</v>
      </c>
      <c r="B3763" s="59" t="str">
        <f t="shared" si="21"/>
        <v/>
      </c>
      <c r="C3763" s="59" t="str">
        <f t="shared" si="22"/>
        <v/>
      </c>
      <c r="D3763" s="45" t="str">
        <f t="shared" si="23"/>
        <v/>
      </c>
      <c r="E3763" s="45" t="str">
        <f t="shared" si="24"/>
        <v/>
      </c>
      <c r="F3763" s="59" t="str">
        <f t="shared" si="25"/>
        <v/>
      </c>
      <c r="G3763" s="59" t="str">
        <f t="shared" si="26"/>
        <v/>
      </c>
      <c r="H3763" s="59" t="str">
        <f t="shared" si="27"/>
        <v>Xúc Đào</v>
      </c>
      <c r="I3763" s="59" t="str">
        <f>IF(OR($A3763="",$C3763="",$D3763="",$E3763="",$H3763=""),"",SUMIFS(DATA_GOC!$H:$H,DATA_GOC!$A:$A,"BOM",DATA_GOC!$D:$D,$H3763,DATA_GOC!$E:$E,$C3763,DATA_GOC!$F:$F,"Xuất nội bộ từ téc",DATA_GOC!$B:$B,"&gt;="&amp;$D3763,DATA_GOC!$B:$B,"&lt;="&amp;$E3763))</f>
        <v/>
      </c>
      <c r="J3763" s="59">
        <f t="shared" si="28"/>
        <v>0</v>
      </c>
      <c r="K3763" s="59">
        <f t="shared" si="29"/>
        <v>0</v>
      </c>
      <c r="L3763" s="59">
        <f t="shared" si="30"/>
        <v>0</v>
      </c>
      <c r="M3763" s="59">
        <f t="shared" si="31"/>
        <v>0</v>
      </c>
    </row>
    <row r="3764" ht="15.0" hidden="1" customHeight="1">
      <c r="A3764" s="59">
        <f t="shared" si="20"/>
        <v>59</v>
      </c>
      <c r="B3764" s="59" t="str">
        <f t="shared" si="21"/>
        <v/>
      </c>
      <c r="C3764" s="59" t="str">
        <f t="shared" si="22"/>
        <v/>
      </c>
      <c r="D3764" s="45" t="str">
        <f t="shared" si="23"/>
        <v/>
      </c>
      <c r="E3764" s="45" t="str">
        <f t="shared" si="24"/>
        <v/>
      </c>
      <c r="F3764" s="59" t="str">
        <f t="shared" si="25"/>
        <v/>
      </c>
      <c r="G3764" s="59" t="str">
        <f t="shared" si="26"/>
        <v/>
      </c>
      <c r="H3764" s="59" t="str">
        <f t="shared" si="27"/>
        <v>Xúclật asphalt</v>
      </c>
      <c r="I3764" s="59" t="str">
        <f>IF(OR($A3764="",$C3764="",$D3764="",$E3764="",$H3764=""),"",SUMIFS(DATA_GOC!$H:$H,DATA_GOC!$A:$A,"BOM",DATA_GOC!$D:$D,$H3764,DATA_GOC!$E:$E,$C3764,DATA_GOC!$F:$F,"Xuất nội bộ từ téc",DATA_GOC!$B:$B,"&gt;="&amp;$D3764,DATA_GOC!$B:$B,"&lt;="&amp;$E3764))</f>
        <v/>
      </c>
      <c r="J3764" s="59">
        <f t="shared" si="28"/>
        <v>0</v>
      </c>
      <c r="K3764" s="59">
        <f t="shared" si="29"/>
        <v>0</v>
      </c>
      <c r="L3764" s="59">
        <f t="shared" si="30"/>
        <v>0</v>
      </c>
      <c r="M3764" s="59">
        <f t="shared" si="31"/>
        <v>0</v>
      </c>
    </row>
    <row r="3765" ht="15.0" hidden="1" customHeight="1">
      <c r="A3765" s="59">
        <f t="shared" si="20"/>
        <v>59</v>
      </c>
      <c r="B3765" s="59" t="str">
        <f t="shared" si="21"/>
        <v/>
      </c>
      <c r="C3765" s="59" t="str">
        <f t="shared" si="22"/>
        <v/>
      </c>
      <c r="D3765" s="45" t="str">
        <f t="shared" si="23"/>
        <v/>
      </c>
      <c r="E3765" s="45" t="str">
        <f t="shared" si="24"/>
        <v/>
      </c>
      <c r="F3765" s="59" t="str">
        <f t="shared" si="25"/>
        <v/>
      </c>
      <c r="G3765" s="59" t="str">
        <f t="shared" si="26"/>
        <v/>
      </c>
      <c r="H3765" s="59" t="str">
        <f t="shared" si="27"/>
        <v>Xúclật855H</v>
      </c>
      <c r="I3765" s="59" t="str">
        <f>IF(OR($A3765="",$C3765="",$D3765="",$E3765="",$H3765=""),"",SUMIFS(DATA_GOC!$H:$H,DATA_GOC!$A:$A,"BOM",DATA_GOC!$D:$D,$H3765,DATA_GOC!$E:$E,$C3765,DATA_GOC!$F:$F,"Xuất nội bộ từ téc",DATA_GOC!$B:$B,"&gt;="&amp;$D3765,DATA_GOC!$B:$B,"&lt;="&amp;$E3765))</f>
        <v/>
      </c>
      <c r="J3765" s="59">
        <f t="shared" si="28"/>
        <v>0</v>
      </c>
      <c r="K3765" s="59">
        <f t="shared" si="29"/>
        <v>0</v>
      </c>
      <c r="L3765" s="59">
        <f t="shared" si="30"/>
        <v>0</v>
      </c>
      <c r="M3765" s="59">
        <f t="shared" si="31"/>
        <v>0</v>
      </c>
    </row>
    <row r="3766" ht="15.0" hidden="1" customHeight="1">
      <c r="A3766" s="59">
        <f t="shared" si="20"/>
        <v>59</v>
      </c>
      <c r="B3766" s="59" t="str">
        <f t="shared" si="21"/>
        <v/>
      </c>
      <c r="C3766" s="59" t="str">
        <f t="shared" si="22"/>
        <v/>
      </c>
      <c r="D3766" s="45" t="str">
        <f t="shared" si="23"/>
        <v/>
      </c>
      <c r="E3766" s="45" t="str">
        <f t="shared" si="24"/>
        <v/>
      </c>
      <c r="F3766" s="59" t="str">
        <f t="shared" si="25"/>
        <v/>
      </c>
      <c r="G3766" s="59" t="str">
        <f t="shared" si="26"/>
        <v/>
      </c>
      <c r="H3766" s="59" t="str">
        <f t="shared" si="27"/>
        <v>Xúclật855N</v>
      </c>
      <c r="I3766" s="59" t="str">
        <f>IF(OR($A3766="",$C3766="",$D3766="",$E3766="",$H3766=""),"",SUMIFS(DATA_GOC!$H:$H,DATA_GOC!$A:$A,"BOM",DATA_GOC!$D:$D,$H3766,DATA_GOC!$E:$E,$C3766,DATA_GOC!$F:$F,"Xuất nội bộ từ téc",DATA_GOC!$B:$B,"&gt;="&amp;$D3766,DATA_GOC!$B:$B,"&lt;="&amp;$E3766))</f>
        <v/>
      </c>
      <c r="J3766" s="59">
        <f t="shared" si="28"/>
        <v>0</v>
      </c>
      <c r="K3766" s="59">
        <f t="shared" si="29"/>
        <v>0</v>
      </c>
      <c r="L3766" s="59">
        <f t="shared" si="30"/>
        <v>0</v>
      </c>
      <c r="M3766" s="59">
        <f t="shared" si="31"/>
        <v>0</v>
      </c>
    </row>
    <row r="3767" ht="15.0" hidden="1" customHeight="1">
      <c r="A3767" s="59">
        <f t="shared" si="20"/>
        <v>59</v>
      </c>
      <c r="B3767" s="59" t="str">
        <f t="shared" si="21"/>
        <v/>
      </c>
      <c r="C3767" s="59" t="str">
        <f t="shared" si="22"/>
        <v/>
      </c>
      <c r="D3767" s="45" t="str">
        <f t="shared" si="23"/>
        <v/>
      </c>
      <c r="E3767" s="45" t="str">
        <f t="shared" si="24"/>
        <v/>
      </c>
      <c r="F3767" s="59" t="str">
        <f t="shared" si="25"/>
        <v/>
      </c>
      <c r="G3767" s="59" t="str">
        <f t="shared" si="26"/>
        <v/>
      </c>
      <c r="H3767" s="59" t="str">
        <f t="shared" si="27"/>
        <v>Cát nghiền</v>
      </c>
      <c r="I3767" s="59" t="str">
        <f>IF(OR($A3767="",$C3767="",$D3767="",$E3767="",$H3767=""),"",SUMIFS(DATA_GOC!$H:$H,DATA_GOC!$A:$A,"BOM",DATA_GOC!$D:$D,$H3767,DATA_GOC!$E:$E,$C3767,DATA_GOC!$F:$F,"Xuất nội bộ từ téc",DATA_GOC!$B:$B,"&gt;="&amp;$D3767,DATA_GOC!$B:$B,"&lt;="&amp;$E3767))</f>
        <v/>
      </c>
      <c r="J3767" s="59">
        <f t="shared" si="28"/>
        <v>0</v>
      </c>
      <c r="K3767" s="59">
        <f t="shared" si="29"/>
        <v>0</v>
      </c>
      <c r="L3767" s="59">
        <f t="shared" si="30"/>
        <v>0</v>
      </c>
      <c r="M3767" s="59">
        <f t="shared" si="31"/>
        <v>0</v>
      </c>
    </row>
    <row r="3768" ht="15.0" hidden="1" customHeight="1">
      <c r="A3768" s="59">
        <f t="shared" si="20"/>
        <v>59</v>
      </c>
      <c r="B3768" s="59" t="str">
        <f t="shared" si="21"/>
        <v/>
      </c>
      <c r="C3768" s="59" t="str">
        <f t="shared" si="22"/>
        <v/>
      </c>
      <c r="D3768" s="45" t="str">
        <f t="shared" si="23"/>
        <v/>
      </c>
      <c r="E3768" s="45" t="str">
        <f t="shared" si="24"/>
        <v/>
      </c>
      <c r="F3768" s="59" t="str">
        <f t="shared" si="25"/>
        <v/>
      </c>
      <c r="G3768" s="59" t="str">
        <f t="shared" si="26"/>
        <v/>
      </c>
      <c r="H3768" s="59" t="str">
        <f t="shared" si="27"/>
        <v>28C02973</v>
      </c>
      <c r="I3768" s="59" t="str">
        <f>IF(OR($A3768="",$C3768="",$D3768="",$E3768="",$H3768=""),"",SUMIFS(DATA_GOC!$H:$H,DATA_GOC!$A:$A,"BOM",DATA_GOC!$D:$D,$H3768,DATA_GOC!$E:$E,$C3768,DATA_GOC!$F:$F,"Xuất nội bộ từ téc",DATA_GOC!$B:$B,"&gt;="&amp;$D3768,DATA_GOC!$B:$B,"&lt;="&amp;$E3768))</f>
        <v/>
      </c>
      <c r="J3768" s="59">
        <f t="shared" si="28"/>
        <v>0</v>
      </c>
      <c r="K3768" s="59">
        <f t="shared" si="29"/>
        <v>0</v>
      </c>
      <c r="L3768" s="59">
        <f t="shared" si="30"/>
        <v>0</v>
      </c>
      <c r="M3768" s="59">
        <f t="shared" si="31"/>
        <v>0</v>
      </c>
    </row>
    <row r="3769" ht="15.0" hidden="1" customHeight="1">
      <c r="A3769" s="59">
        <f t="shared" si="20"/>
        <v>59</v>
      </c>
      <c r="B3769" s="59" t="str">
        <f t="shared" si="21"/>
        <v/>
      </c>
      <c r="C3769" s="59" t="str">
        <f t="shared" si="22"/>
        <v/>
      </c>
      <c r="D3769" s="45" t="str">
        <f t="shared" si="23"/>
        <v/>
      </c>
      <c r="E3769" s="45" t="str">
        <f t="shared" si="24"/>
        <v/>
      </c>
      <c r="F3769" s="59" t="str">
        <f t="shared" si="25"/>
        <v/>
      </c>
      <c r="G3769" s="59" t="str">
        <f t="shared" si="26"/>
        <v/>
      </c>
      <c r="H3769" s="59" t="str">
        <f t="shared" si="27"/>
        <v>28C03044</v>
      </c>
      <c r="I3769" s="59" t="str">
        <f>IF(OR($A3769="",$C3769="",$D3769="",$E3769="",$H3769=""),"",SUMIFS(DATA_GOC!$H:$H,DATA_GOC!$A:$A,"BOM",DATA_GOC!$D:$D,$H3769,DATA_GOC!$E:$E,$C3769,DATA_GOC!$F:$F,"Xuất nội bộ từ téc",DATA_GOC!$B:$B,"&gt;="&amp;$D3769,DATA_GOC!$B:$B,"&lt;="&amp;$E3769))</f>
        <v/>
      </c>
      <c r="J3769" s="59">
        <f t="shared" si="28"/>
        <v>0</v>
      </c>
      <c r="K3769" s="59">
        <f t="shared" si="29"/>
        <v>0</v>
      </c>
      <c r="L3769" s="59">
        <f t="shared" si="30"/>
        <v>0</v>
      </c>
      <c r="M3769" s="59">
        <f t="shared" si="31"/>
        <v>0</v>
      </c>
    </row>
    <row r="3770" ht="15.0" hidden="1" customHeight="1">
      <c r="A3770" s="59">
        <f t="shared" si="20"/>
        <v>59</v>
      </c>
      <c r="B3770" s="59" t="str">
        <f t="shared" si="21"/>
        <v/>
      </c>
      <c r="C3770" s="59" t="str">
        <f t="shared" si="22"/>
        <v/>
      </c>
      <c r="D3770" s="45" t="str">
        <f t="shared" si="23"/>
        <v/>
      </c>
      <c r="E3770" s="45" t="str">
        <f t="shared" si="24"/>
        <v/>
      </c>
      <c r="F3770" s="59" t="str">
        <f t="shared" si="25"/>
        <v/>
      </c>
      <c r="G3770" s="59" t="str">
        <f t="shared" si="26"/>
        <v/>
      </c>
      <c r="H3770" s="59" t="str">
        <f t="shared" si="27"/>
        <v>Máy lu lốp</v>
      </c>
      <c r="I3770" s="59" t="str">
        <f>IF(OR($A3770="",$C3770="",$D3770="",$E3770="",$H3770=""),"",SUMIFS(DATA_GOC!$H:$H,DATA_GOC!$A:$A,"BOM",DATA_GOC!$D:$D,$H3770,DATA_GOC!$E:$E,$C3770,DATA_GOC!$F:$F,"Xuất nội bộ từ téc",DATA_GOC!$B:$B,"&gt;="&amp;$D3770,DATA_GOC!$B:$B,"&lt;="&amp;$E3770))</f>
        <v/>
      </c>
      <c r="J3770" s="59">
        <f t="shared" si="28"/>
        <v>0</v>
      </c>
      <c r="K3770" s="59">
        <f t="shared" si="29"/>
        <v>0</v>
      </c>
      <c r="L3770" s="59">
        <f t="shared" si="30"/>
        <v>0</v>
      </c>
      <c r="M3770" s="59">
        <f t="shared" si="31"/>
        <v>0</v>
      </c>
    </row>
    <row r="3771" ht="15.0" hidden="1" customHeight="1">
      <c r="A3771" s="59">
        <f t="shared" si="20"/>
        <v>59</v>
      </c>
      <c r="B3771" s="59" t="str">
        <f t="shared" si="21"/>
        <v/>
      </c>
      <c r="C3771" s="59" t="str">
        <f t="shared" si="22"/>
        <v/>
      </c>
      <c r="D3771" s="45" t="str">
        <f t="shared" si="23"/>
        <v/>
      </c>
      <c r="E3771" s="45" t="str">
        <f t="shared" si="24"/>
        <v/>
      </c>
      <c r="F3771" s="59" t="str">
        <f t="shared" si="25"/>
        <v/>
      </c>
      <c r="G3771" s="59" t="str">
        <f t="shared" si="26"/>
        <v/>
      </c>
      <c r="H3771" s="59" t="str">
        <f t="shared" si="27"/>
        <v>Xe 600148</v>
      </c>
      <c r="I3771" s="59" t="str">
        <f>IF(OR($A3771="",$C3771="",$D3771="",$E3771="",$H3771=""),"",SUMIFS(DATA_GOC!$H:$H,DATA_GOC!$A:$A,"BOM",DATA_GOC!$D:$D,$H3771,DATA_GOC!$E:$E,$C3771,DATA_GOC!$F:$F,"Xuất nội bộ từ téc",DATA_GOC!$B:$B,"&gt;="&amp;$D3771,DATA_GOC!$B:$B,"&lt;="&amp;$E3771))</f>
        <v/>
      </c>
      <c r="J3771" s="59">
        <f t="shared" si="28"/>
        <v>0</v>
      </c>
      <c r="K3771" s="59">
        <f t="shared" si="29"/>
        <v>0</v>
      </c>
      <c r="L3771" s="59">
        <f t="shared" si="30"/>
        <v>0</v>
      </c>
      <c r="M3771" s="59">
        <f t="shared" si="31"/>
        <v>0</v>
      </c>
    </row>
    <row r="3772" ht="15.0" hidden="1" customHeight="1">
      <c r="A3772" s="59">
        <f t="shared" si="20"/>
        <v>59</v>
      </c>
      <c r="B3772" s="59" t="str">
        <f t="shared" si="21"/>
        <v/>
      </c>
      <c r="C3772" s="59" t="str">
        <f t="shared" si="22"/>
        <v/>
      </c>
      <c r="D3772" s="45" t="str">
        <f t="shared" si="23"/>
        <v/>
      </c>
      <c r="E3772" s="45" t="str">
        <f t="shared" si="24"/>
        <v/>
      </c>
      <c r="F3772" s="59" t="str">
        <f t="shared" si="25"/>
        <v/>
      </c>
      <c r="G3772" s="59" t="str">
        <f t="shared" si="26"/>
        <v/>
      </c>
      <c r="H3772" s="59" t="str">
        <f t="shared" si="27"/>
        <v>Xe ben mới</v>
      </c>
      <c r="I3772" s="59" t="str">
        <f>IF(OR($A3772="",$C3772="",$D3772="",$E3772="",$H3772=""),"",SUMIFS(DATA_GOC!$H:$H,DATA_GOC!$A:$A,"BOM",DATA_GOC!$D:$D,$H3772,DATA_GOC!$E:$E,$C3772,DATA_GOC!$F:$F,"Xuất nội bộ từ téc",DATA_GOC!$B:$B,"&gt;="&amp;$D3772,DATA_GOC!$B:$B,"&lt;="&amp;$E3772))</f>
        <v/>
      </c>
      <c r="J3772" s="59">
        <f t="shared" si="28"/>
        <v>0</v>
      </c>
      <c r="K3772" s="59">
        <f t="shared" si="29"/>
        <v>0</v>
      </c>
      <c r="L3772" s="59">
        <f t="shared" si="30"/>
        <v>0</v>
      </c>
      <c r="M3772" s="59">
        <f t="shared" si="31"/>
        <v>0</v>
      </c>
    </row>
    <row r="3773" ht="15.0" hidden="1" customHeight="1">
      <c r="A3773" s="59">
        <f t="shared" si="20"/>
        <v>60</v>
      </c>
      <c r="B3773" s="59" t="str">
        <f t="shared" si="21"/>
        <v/>
      </c>
      <c r="C3773" s="59" t="str">
        <f t="shared" si="22"/>
        <v/>
      </c>
      <c r="D3773" s="45" t="str">
        <f t="shared" si="23"/>
        <v/>
      </c>
      <c r="E3773" s="45" t="str">
        <f t="shared" si="24"/>
        <v/>
      </c>
      <c r="F3773" s="59" t="str">
        <f t="shared" si="25"/>
        <v/>
      </c>
      <c r="G3773" s="59" t="str">
        <f t="shared" si="26"/>
        <v/>
      </c>
      <c r="H3773" s="59" t="str">
        <f t="shared" si="27"/>
        <v>19H09482</v>
      </c>
      <c r="I3773" s="59" t="str">
        <f>IF(OR($A3773="",$C3773="",$D3773="",$E3773="",$H3773=""),"",SUMIFS(DATA_GOC!$H:$H,DATA_GOC!$A:$A,"BOM",DATA_GOC!$D:$D,$H3773,DATA_GOC!$E:$E,$C3773,DATA_GOC!$F:$F,"Xuất nội bộ từ téc",DATA_GOC!$B:$B,"&gt;="&amp;$D3773,DATA_GOC!$B:$B,"&lt;="&amp;$E3773))</f>
        <v/>
      </c>
      <c r="J3773" s="59">
        <f t="shared" si="28"/>
        <v>0</v>
      </c>
      <c r="K3773" s="59">
        <f t="shared" si="29"/>
        <v>0</v>
      </c>
      <c r="L3773" s="59">
        <f t="shared" si="30"/>
        <v>0</v>
      </c>
      <c r="M3773" s="59">
        <f t="shared" si="31"/>
        <v>0</v>
      </c>
    </row>
    <row r="3774" ht="15.0" hidden="1" customHeight="1">
      <c r="A3774" s="59">
        <f t="shared" si="20"/>
        <v>60</v>
      </c>
      <c r="B3774" s="59" t="str">
        <f t="shared" si="21"/>
        <v/>
      </c>
      <c r="C3774" s="59" t="str">
        <f t="shared" si="22"/>
        <v/>
      </c>
      <c r="D3774" s="45" t="str">
        <f t="shared" si="23"/>
        <v/>
      </c>
      <c r="E3774" s="45" t="str">
        <f t="shared" si="24"/>
        <v/>
      </c>
      <c r="F3774" s="59" t="str">
        <f t="shared" si="25"/>
        <v/>
      </c>
      <c r="G3774" s="59" t="str">
        <f t="shared" si="26"/>
        <v/>
      </c>
      <c r="H3774" s="59" t="str">
        <f t="shared" si="27"/>
        <v>28A30696</v>
      </c>
      <c r="I3774" s="59" t="str">
        <f>IF(OR($A3774="",$C3774="",$D3774="",$E3774="",$H3774=""),"",SUMIFS(DATA_GOC!$H:$H,DATA_GOC!$A:$A,"BOM",DATA_GOC!$D:$D,$H3774,DATA_GOC!$E:$E,$C3774,DATA_GOC!$F:$F,"Xuất nội bộ từ téc",DATA_GOC!$B:$B,"&gt;="&amp;$D3774,DATA_GOC!$B:$B,"&lt;="&amp;$E3774))</f>
        <v/>
      </c>
      <c r="J3774" s="59">
        <f t="shared" si="28"/>
        <v>0</v>
      </c>
      <c r="K3774" s="59">
        <f t="shared" si="29"/>
        <v>0</v>
      </c>
      <c r="L3774" s="59">
        <f t="shared" si="30"/>
        <v>0</v>
      </c>
      <c r="M3774" s="59">
        <f t="shared" si="31"/>
        <v>0</v>
      </c>
    </row>
    <row r="3775" ht="15.0" hidden="1" customHeight="1">
      <c r="A3775" s="59">
        <f t="shared" si="20"/>
        <v>60</v>
      </c>
      <c r="B3775" s="59" t="str">
        <f t="shared" si="21"/>
        <v/>
      </c>
      <c r="C3775" s="59" t="str">
        <f t="shared" si="22"/>
        <v/>
      </c>
      <c r="D3775" s="45" t="str">
        <f t="shared" si="23"/>
        <v/>
      </c>
      <c r="E3775" s="45" t="str">
        <f t="shared" si="24"/>
        <v/>
      </c>
      <c r="F3775" s="59" t="str">
        <f t="shared" si="25"/>
        <v/>
      </c>
      <c r="G3775" s="59" t="str">
        <f t="shared" si="26"/>
        <v/>
      </c>
      <c r="H3775" s="59" t="str">
        <f t="shared" si="27"/>
        <v>28C00462</v>
      </c>
      <c r="I3775" s="59" t="str">
        <f>IF(OR($A3775="",$C3775="",$D3775="",$E3775="",$H3775=""),"",SUMIFS(DATA_GOC!$H:$H,DATA_GOC!$A:$A,"BOM",DATA_GOC!$D:$D,$H3775,DATA_GOC!$E:$E,$C3775,DATA_GOC!$F:$F,"Xuất nội bộ từ téc",DATA_GOC!$B:$B,"&gt;="&amp;$D3775,DATA_GOC!$B:$B,"&lt;="&amp;$E3775))</f>
        <v/>
      </c>
      <c r="J3775" s="59">
        <f t="shared" si="28"/>
        <v>0</v>
      </c>
      <c r="K3775" s="59">
        <f t="shared" si="29"/>
        <v>0</v>
      </c>
      <c r="L3775" s="59">
        <f t="shared" si="30"/>
        <v>0</v>
      </c>
      <c r="M3775" s="59">
        <f t="shared" si="31"/>
        <v>0</v>
      </c>
    </row>
    <row r="3776" ht="15.0" hidden="1" customHeight="1">
      <c r="A3776" s="59">
        <f t="shared" si="20"/>
        <v>60</v>
      </c>
      <c r="B3776" s="59" t="str">
        <f t="shared" si="21"/>
        <v/>
      </c>
      <c r="C3776" s="59" t="str">
        <f t="shared" si="22"/>
        <v/>
      </c>
      <c r="D3776" s="45" t="str">
        <f t="shared" si="23"/>
        <v/>
      </c>
      <c r="E3776" s="45" t="str">
        <f t="shared" si="24"/>
        <v/>
      </c>
      <c r="F3776" s="59" t="str">
        <f t="shared" si="25"/>
        <v/>
      </c>
      <c r="G3776" s="59" t="str">
        <f t="shared" si="26"/>
        <v/>
      </c>
      <c r="H3776" s="59" t="str">
        <f t="shared" si="27"/>
        <v>28C01165</v>
      </c>
      <c r="I3776" s="59" t="str">
        <f>IF(OR($A3776="",$C3776="",$D3776="",$E3776="",$H3776=""),"",SUMIFS(DATA_GOC!$H:$H,DATA_GOC!$A:$A,"BOM",DATA_GOC!$D:$D,$H3776,DATA_GOC!$E:$E,$C3776,DATA_GOC!$F:$F,"Xuất nội bộ từ téc",DATA_GOC!$B:$B,"&gt;="&amp;$D3776,DATA_GOC!$B:$B,"&lt;="&amp;$E3776))</f>
        <v/>
      </c>
      <c r="J3776" s="59">
        <f t="shared" si="28"/>
        <v>0</v>
      </c>
      <c r="K3776" s="59">
        <f t="shared" si="29"/>
        <v>0</v>
      </c>
      <c r="L3776" s="59">
        <f t="shared" si="30"/>
        <v>0</v>
      </c>
      <c r="M3776" s="59">
        <f t="shared" si="31"/>
        <v>0</v>
      </c>
    </row>
    <row r="3777" ht="15.0" hidden="1" customHeight="1">
      <c r="A3777" s="59">
        <f t="shared" si="20"/>
        <v>60</v>
      </c>
      <c r="B3777" s="59" t="str">
        <f t="shared" si="21"/>
        <v/>
      </c>
      <c r="C3777" s="59" t="str">
        <f t="shared" si="22"/>
        <v/>
      </c>
      <c r="D3777" s="45" t="str">
        <f t="shared" si="23"/>
        <v/>
      </c>
      <c r="E3777" s="45" t="str">
        <f t="shared" si="24"/>
        <v/>
      </c>
      <c r="F3777" s="59" t="str">
        <f t="shared" si="25"/>
        <v/>
      </c>
      <c r="G3777" s="59" t="str">
        <f t="shared" si="26"/>
        <v/>
      </c>
      <c r="H3777" s="59" t="str">
        <f t="shared" si="27"/>
        <v>28C01406</v>
      </c>
      <c r="I3777" s="59" t="str">
        <f>IF(OR($A3777="",$C3777="",$D3777="",$E3777="",$H3777=""),"",SUMIFS(DATA_GOC!$H:$H,DATA_GOC!$A:$A,"BOM",DATA_GOC!$D:$D,$H3777,DATA_GOC!$E:$E,$C3777,DATA_GOC!$F:$F,"Xuất nội bộ từ téc",DATA_GOC!$B:$B,"&gt;="&amp;$D3777,DATA_GOC!$B:$B,"&lt;="&amp;$E3777))</f>
        <v/>
      </c>
      <c r="J3777" s="59">
        <f t="shared" si="28"/>
        <v>0</v>
      </c>
      <c r="K3777" s="59">
        <f t="shared" si="29"/>
        <v>0</v>
      </c>
      <c r="L3777" s="59">
        <f t="shared" si="30"/>
        <v>0</v>
      </c>
      <c r="M3777" s="59">
        <f t="shared" si="31"/>
        <v>0</v>
      </c>
    </row>
    <row r="3778" ht="15.0" hidden="1" customHeight="1">
      <c r="A3778" s="59">
        <f t="shared" si="20"/>
        <v>60</v>
      </c>
      <c r="B3778" s="59" t="str">
        <f t="shared" si="21"/>
        <v/>
      </c>
      <c r="C3778" s="59" t="str">
        <f t="shared" si="22"/>
        <v/>
      </c>
      <c r="D3778" s="45" t="str">
        <f t="shared" si="23"/>
        <v/>
      </c>
      <c r="E3778" s="45" t="str">
        <f t="shared" si="24"/>
        <v/>
      </c>
      <c r="F3778" s="59" t="str">
        <f t="shared" si="25"/>
        <v/>
      </c>
      <c r="G3778" s="59" t="str">
        <f t="shared" si="26"/>
        <v/>
      </c>
      <c r="H3778" s="59" t="str">
        <f t="shared" si="27"/>
        <v>28C01544</v>
      </c>
      <c r="I3778" s="59" t="str">
        <f>IF(OR($A3778="",$C3778="",$D3778="",$E3778="",$H3778=""),"",SUMIFS(DATA_GOC!$H:$H,DATA_GOC!$A:$A,"BOM",DATA_GOC!$D:$D,$H3778,DATA_GOC!$E:$E,$C3778,DATA_GOC!$F:$F,"Xuất nội bộ từ téc",DATA_GOC!$B:$B,"&gt;="&amp;$D3778,DATA_GOC!$B:$B,"&lt;="&amp;$E3778))</f>
        <v/>
      </c>
      <c r="J3778" s="59">
        <f t="shared" si="28"/>
        <v>0</v>
      </c>
      <c r="K3778" s="59">
        <f t="shared" si="29"/>
        <v>0</v>
      </c>
      <c r="L3778" s="59">
        <f t="shared" si="30"/>
        <v>0</v>
      </c>
      <c r="M3778" s="59">
        <f t="shared" si="31"/>
        <v>0</v>
      </c>
    </row>
    <row r="3779" ht="15.0" hidden="1" customHeight="1">
      <c r="A3779" s="59">
        <f t="shared" si="20"/>
        <v>60</v>
      </c>
      <c r="B3779" s="59" t="str">
        <f t="shared" si="21"/>
        <v/>
      </c>
      <c r="C3779" s="59" t="str">
        <f t="shared" si="22"/>
        <v/>
      </c>
      <c r="D3779" s="45" t="str">
        <f t="shared" si="23"/>
        <v/>
      </c>
      <c r="E3779" s="45" t="str">
        <f t="shared" si="24"/>
        <v/>
      </c>
      <c r="F3779" s="59" t="str">
        <f t="shared" si="25"/>
        <v/>
      </c>
      <c r="G3779" s="59" t="str">
        <f t="shared" si="26"/>
        <v/>
      </c>
      <c r="H3779" s="59" t="str">
        <f t="shared" si="27"/>
        <v>28C01622</v>
      </c>
      <c r="I3779" s="59" t="str">
        <f>IF(OR($A3779="",$C3779="",$D3779="",$E3779="",$H3779=""),"",SUMIFS(DATA_GOC!$H:$H,DATA_GOC!$A:$A,"BOM",DATA_GOC!$D:$D,$H3779,DATA_GOC!$E:$E,$C3779,DATA_GOC!$F:$F,"Xuất nội bộ từ téc",DATA_GOC!$B:$B,"&gt;="&amp;$D3779,DATA_GOC!$B:$B,"&lt;="&amp;$E3779))</f>
        <v/>
      </c>
      <c r="J3779" s="59">
        <f t="shared" si="28"/>
        <v>0</v>
      </c>
      <c r="K3779" s="59">
        <f t="shared" si="29"/>
        <v>0</v>
      </c>
      <c r="L3779" s="59">
        <f t="shared" si="30"/>
        <v>0</v>
      </c>
      <c r="M3779" s="59">
        <f t="shared" si="31"/>
        <v>0</v>
      </c>
    </row>
    <row r="3780" ht="15.0" hidden="1" customHeight="1">
      <c r="A3780" s="59">
        <f t="shared" si="20"/>
        <v>60</v>
      </c>
      <c r="B3780" s="59" t="str">
        <f t="shared" si="21"/>
        <v/>
      </c>
      <c r="C3780" s="59" t="str">
        <f t="shared" si="22"/>
        <v/>
      </c>
      <c r="D3780" s="45" t="str">
        <f t="shared" si="23"/>
        <v/>
      </c>
      <c r="E3780" s="45" t="str">
        <f t="shared" si="24"/>
        <v/>
      </c>
      <c r="F3780" s="59" t="str">
        <f t="shared" si="25"/>
        <v/>
      </c>
      <c r="G3780" s="59" t="str">
        <f t="shared" si="26"/>
        <v/>
      </c>
      <c r="H3780" s="59" t="str">
        <f t="shared" si="27"/>
        <v>28C01647</v>
      </c>
      <c r="I3780" s="59" t="str">
        <f>IF(OR($A3780="",$C3780="",$D3780="",$E3780="",$H3780=""),"",SUMIFS(DATA_GOC!$H:$H,DATA_GOC!$A:$A,"BOM",DATA_GOC!$D:$D,$H3780,DATA_GOC!$E:$E,$C3780,DATA_GOC!$F:$F,"Xuất nội bộ từ téc",DATA_GOC!$B:$B,"&gt;="&amp;$D3780,DATA_GOC!$B:$B,"&lt;="&amp;$E3780))</f>
        <v/>
      </c>
      <c r="J3780" s="59">
        <f t="shared" si="28"/>
        <v>0</v>
      </c>
      <c r="K3780" s="59">
        <f t="shared" si="29"/>
        <v>0</v>
      </c>
      <c r="L3780" s="59">
        <f t="shared" si="30"/>
        <v>0</v>
      </c>
      <c r="M3780" s="59">
        <f t="shared" si="31"/>
        <v>0</v>
      </c>
    </row>
    <row r="3781" ht="15.0" hidden="1" customHeight="1">
      <c r="A3781" s="59">
        <f t="shared" si="20"/>
        <v>60</v>
      </c>
      <c r="B3781" s="59" t="str">
        <f t="shared" si="21"/>
        <v/>
      </c>
      <c r="C3781" s="59" t="str">
        <f t="shared" si="22"/>
        <v/>
      </c>
      <c r="D3781" s="45" t="str">
        <f t="shared" si="23"/>
        <v/>
      </c>
      <c r="E3781" s="45" t="str">
        <f t="shared" si="24"/>
        <v/>
      </c>
      <c r="F3781" s="59" t="str">
        <f t="shared" si="25"/>
        <v/>
      </c>
      <c r="G3781" s="59" t="str">
        <f t="shared" si="26"/>
        <v/>
      </c>
      <c r="H3781" s="59" t="str">
        <f t="shared" si="27"/>
        <v>28C01731</v>
      </c>
      <c r="I3781" s="59" t="str">
        <f>IF(OR($A3781="",$C3781="",$D3781="",$E3781="",$H3781=""),"",SUMIFS(DATA_GOC!$H:$H,DATA_GOC!$A:$A,"BOM",DATA_GOC!$D:$D,$H3781,DATA_GOC!$E:$E,$C3781,DATA_GOC!$F:$F,"Xuất nội bộ từ téc",DATA_GOC!$B:$B,"&gt;="&amp;$D3781,DATA_GOC!$B:$B,"&lt;="&amp;$E3781))</f>
        <v/>
      </c>
      <c r="J3781" s="59">
        <f t="shared" si="28"/>
        <v>0</v>
      </c>
      <c r="K3781" s="59">
        <f t="shared" si="29"/>
        <v>0</v>
      </c>
      <c r="L3781" s="59">
        <f t="shared" si="30"/>
        <v>0</v>
      </c>
      <c r="M3781" s="59">
        <f t="shared" si="31"/>
        <v>0</v>
      </c>
    </row>
    <row r="3782" ht="15.0" hidden="1" customHeight="1">
      <c r="A3782" s="59">
        <f t="shared" si="20"/>
        <v>60</v>
      </c>
      <c r="B3782" s="59" t="str">
        <f t="shared" si="21"/>
        <v/>
      </c>
      <c r="C3782" s="59" t="str">
        <f t="shared" si="22"/>
        <v/>
      </c>
      <c r="D3782" s="45" t="str">
        <f t="shared" si="23"/>
        <v/>
      </c>
      <c r="E3782" s="45" t="str">
        <f t="shared" si="24"/>
        <v/>
      </c>
      <c r="F3782" s="59" t="str">
        <f t="shared" si="25"/>
        <v/>
      </c>
      <c r="G3782" s="59" t="str">
        <f t="shared" si="26"/>
        <v/>
      </c>
      <c r="H3782" s="59" t="str">
        <f t="shared" si="27"/>
        <v>28C01743</v>
      </c>
      <c r="I3782" s="59" t="str">
        <f>IF(OR($A3782="",$C3782="",$D3782="",$E3782="",$H3782=""),"",SUMIFS(DATA_GOC!$H:$H,DATA_GOC!$A:$A,"BOM",DATA_GOC!$D:$D,$H3782,DATA_GOC!$E:$E,$C3782,DATA_GOC!$F:$F,"Xuất nội bộ từ téc",DATA_GOC!$B:$B,"&gt;="&amp;$D3782,DATA_GOC!$B:$B,"&lt;="&amp;$E3782))</f>
        <v/>
      </c>
      <c r="J3782" s="59">
        <f t="shared" si="28"/>
        <v>0</v>
      </c>
      <c r="K3782" s="59">
        <f t="shared" si="29"/>
        <v>0</v>
      </c>
      <c r="L3782" s="59">
        <f t="shared" si="30"/>
        <v>0</v>
      </c>
      <c r="M3782" s="59">
        <f t="shared" si="31"/>
        <v>0</v>
      </c>
    </row>
    <row r="3783" ht="15.0" hidden="1" customHeight="1">
      <c r="A3783" s="59">
        <f t="shared" si="20"/>
        <v>60</v>
      </c>
      <c r="B3783" s="59" t="str">
        <f t="shared" si="21"/>
        <v/>
      </c>
      <c r="C3783" s="59" t="str">
        <f t="shared" si="22"/>
        <v/>
      </c>
      <c r="D3783" s="45" t="str">
        <f t="shared" si="23"/>
        <v/>
      </c>
      <c r="E3783" s="45" t="str">
        <f t="shared" si="24"/>
        <v/>
      </c>
      <c r="F3783" s="59" t="str">
        <f t="shared" si="25"/>
        <v/>
      </c>
      <c r="G3783" s="59" t="str">
        <f t="shared" si="26"/>
        <v/>
      </c>
      <c r="H3783" s="59" t="str">
        <f t="shared" si="27"/>
        <v>28C02106</v>
      </c>
      <c r="I3783" s="59" t="str">
        <f>IF(OR($A3783="",$C3783="",$D3783="",$E3783="",$H3783=""),"",SUMIFS(DATA_GOC!$H:$H,DATA_GOC!$A:$A,"BOM",DATA_GOC!$D:$D,$H3783,DATA_GOC!$E:$E,$C3783,DATA_GOC!$F:$F,"Xuất nội bộ từ téc",DATA_GOC!$B:$B,"&gt;="&amp;$D3783,DATA_GOC!$B:$B,"&lt;="&amp;$E3783))</f>
        <v/>
      </c>
      <c r="J3783" s="59">
        <f t="shared" si="28"/>
        <v>0</v>
      </c>
      <c r="K3783" s="59">
        <f t="shared" si="29"/>
        <v>0</v>
      </c>
      <c r="L3783" s="59">
        <f t="shared" si="30"/>
        <v>0</v>
      </c>
      <c r="M3783" s="59">
        <f t="shared" si="31"/>
        <v>0</v>
      </c>
    </row>
    <row r="3784" ht="15.0" hidden="1" customHeight="1">
      <c r="A3784" s="59">
        <f t="shared" si="20"/>
        <v>60</v>
      </c>
      <c r="B3784" s="59" t="str">
        <f t="shared" si="21"/>
        <v/>
      </c>
      <c r="C3784" s="59" t="str">
        <f t="shared" si="22"/>
        <v/>
      </c>
      <c r="D3784" s="45" t="str">
        <f t="shared" si="23"/>
        <v/>
      </c>
      <c r="E3784" s="45" t="str">
        <f t="shared" si="24"/>
        <v/>
      </c>
      <c r="F3784" s="59" t="str">
        <f t="shared" si="25"/>
        <v/>
      </c>
      <c r="G3784" s="59" t="str">
        <f t="shared" si="26"/>
        <v/>
      </c>
      <c r="H3784" s="59" t="str">
        <f t="shared" si="27"/>
        <v>28C02410</v>
      </c>
      <c r="I3784" s="59" t="str">
        <f>IF(OR($A3784="",$C3784="",$D3784="",$E3784="",$H3784=""),"",SUMIFS(DATA_GOC!$H:$H,DATA_GOC!$A:$A,"BOM",DATA_GOC!$D:$D,$H3784,DATA_GOC!$E:$E,$C3784,DATA_GOC!$F:$F,"Xuất nội bộ từ téc",DATA_GOC!$B:$B,"&gt;="&amp;$D3784,DATA_GOC!$B:$B,"&lt;="&amp;$E3784))</f>
        <v/>
      </c>
      <c r="J3784" s="59">
        <f t="shared" si="28"/>
        <v>0</v>
      </c>
      <c r="K3784" s="59">
        <f t="shared" si="29"/>
        <v>0</v>
      </c>
      <c r="L3784" s="59">
        <f t="shared" si="30"/>
        <v>0</v>
      </c>
      <c r="M3784" s="59">
        <f t="shared" si="31"/>
        <v>0</v>
      </c>
    </row>
    <row r="3785" ht="15.0" hidden="1" customHeight="1">
      <c r="A3785" s="59">
        <f t="shared" si="20"/>
        <v>60</v>
      </c>
      <c r="B3785" s="59" t="str">
        <f t="shared" si="21"/>
        <v/>
      </c>
      <c r="C3785" s="59" t="str">
        <f t="shared" si="22"/>
        <v/>
      </c>
      <c r="D3785" s="45" t="str">
        <f t="shared" si="23"/>
        <v/>
      </c>
      <c r="E3785" s="45" t="str">
        <f t="shared" si="24"/>
        <v/>
      </c>
      <c r="F3785" s="59" t="str">
        <f t="shared" si="25"/>
        <v/>
      </c>
      <c r="G3785" s="59" t="str">
        <f t="shared" si="26"/>
        <v/>
      </c>
      <c r="H3785" s="59" t="str">
        <f t="shared" si="27"/>
        <v>28C02545</v>
      </c>
      <c r="I3785" s="59" t="str">
        <f>IF(OR($A3785="",$C3785="",$D3785="",$E3785="",$H3785=""),"",SUMIFS(DATA_GOC!$H:$H,DATA_GOC!$A:$A,"BOM",DATA_GOC!$D:$D,$H3785,DATA_GOC!$E:$E,$C3785,DATA_GOC!$F:$F,"Xuất nội bộ từ téc",DATA_GOC!$B:$B,"&gt;="&amp;$D3785,DATA_GOC!$B:$B,"&lt;="&amp;$E3785))</f>
        <v/>
      </c>
      <c r="J3785" s="59">
        <f t="shared" si="28"/>
        <v>0</v>
      </c>
      <c r="K3785" s="59">
        <f t="shared" si="29"/>
        <v>0</v>
      </c>
      <c r="L3785" s="59">
        <f t="shared" si="30"/>
        <v>0</v>
      </c>
      <c r="M3785" s="59">
        <f t="shared" si="31"/>
        <v>0</v>
      </c>
    </row>
    <row r="3786" ht="15.0" hidden="1" customHeight="1">
      <c r="A3786" s="59">
        <f t="shared" si="20"/>
        <v>60</v>
      </c>
      <c r="B3786" s="59" t="str">
        <f t="shared" si="21"/>
        <v/>
      </c>
      <c r="C3786" s="59" t="str">
        <f t="shared" si="22"/>
        <v/>
      </c>
      <c r="D3786" s="45" t="str">
        <f t="shared" si="23"/>
        <v/>
      </c>
      <c r="E3786" s="45" t="str">
        <f t="shared" si="24"/>
        <v/>
      </c>
      <c r="F3786" s="59" t="str">
        <f t="shared" si="25"/>
        <v/>
      </c>
      <c r="G3786" s="59" t="str">
        <f t="shared" si="26"/>
        <v/>
      </c>
      <c r="H3786" s="59" t="str">
        <f t="shared" si="27"/>
        <v>28C02574</v>
      </c>
      <c r="I3786" s="59" t="str">
        <f>IF(OR($A3786="",$C3786="",$D3786="",$E3786="",$H3786=""),"",SUMIFS(DATA_GOC!$H:$H,DATA_GOC!$A:$A,"BOM",DATA_GOC!$D:$D,$H3786,DATA_GOC!$E:$E,$C3786,DATA_GOC!$F:$F,"Xuất nội bộ từ téc",DATA_GOC!$B:$B,"&gt;="&amp;$D3786,DATA_GOC!$B:$B,"&lt;="&amp;$E3786))</f>
        <v/>
      </c>
      <c r="J3786" s="59">
        <f t="shared" si="28"/>
        <v>0</v>
      </c>
      <c r="K3786" s="59">
        <f t="shared" si="29"/>
        <v>0</v>
      </c>
      <c r="L3786" s="59">
        <f t="shared" si="30"/>
        <v>0</v>
      </c>
      <c r="M3786" s="59">
        <f t="shared" si="31"/>
        <v>0</v>
      </c>
    </row>
    <row r="3787" ht="15.0" hidden="1" customHeight="1">
      <c r="A3787" s="59">
        <f t="shared" si="20"/>
        <v>60</v>
      </c>
      <c r="B3787" s="59" t="str">
        <f t="shared" si="21"/>
        <v/>
      </c>
      <c r="C3787" s="59" t="str">
        <f t="shared" si="22"/>
        <v/>
      </c>
      <c r="D3787" s="45" t="str">
        <f t="shared" si="23"/>
        <v/>
      </c>
      <c r="E3787" s="45" t="str">
        <f t="shared" si="24"/>
        <v/>
      </c>
      <c r="F3787" s="59" t="str">
        <f t="shared" si="25"/>
        <v/>
      </c>
      <c r="G3787" s="59" t="str">
        <f t="shared" si="26"/>
        <v/>
      </c>
      <c r="H3787" s="59" t="str">
        <f t="shared" si="27"/>
        <v>28C02770</v>
      </c>
      <c r="I3787" s="59" t="str">
        <f>IF(OR($A3787="",$C3787="",$D3787="",$E3787="",$H3787=""),"",SUMIFS(DATA_GOC!$H:$H,DATA_GOC!$A:$A,"BOM",DATA_GOC!$D:$D,$H3787,DATA_GOC!$E:$E,$C3787,DATA_GOC!$F:$F,"Xuất nội bộ từ téc",DATA_GOC!$B:$B,"&gt;="&amp;$D3787,DATA_GOC!$B:$B,"&lt;="&amp;$E3787))</f>
        <v/>
      </c>
      <c r="J3787" s="59">
        <f t="shared" si="28"/>
        <v>0</v>
      </c>
      <c r="K3787" s="59">
        <f t="shared" si="29"/>
        <v>0</v>
      </c>
      <c r="L3787" s="59">
        <f t="shared" si="30"/>
        <v>0</v>
      </c>
      <c r="M3787" s="59">
        <f t="shared" si="31"/>
        <v>0</v>
      </c>
    </row>
    <row r="3788" ht="15.0" hidden="1" customHeight="1">
      <c r="A3788" s="59">
        <f t="shared" si="20"/>
        <v>60</v>
      </c>
      <c r="B3788" s="59" t="str">
        <f t="shared" si="21"/>
        <v/>
      </c>
      <c r="C3788" s="59" t="str">
        <f t="shared" si="22"/>
        <v/>
      </c>
      <c r="D3788" s="45" t="str">
        <f t="shared" si="23"/>
        <v/>
      </c>
      <c r="E3788" s="45" t="str">
        <f t="shared" si="24"/>
        <v/>
      </c>
      <c r="F3788" s="59" t="str">
        <f t="shared" si="25"/>
        <v/>
      </c>
      <c r="G3788" s="59" t="str">
        <f t="shared" si="26"/>
        <v/>
      </c>
      <c r="H3788" s="59" t="str">
        <f t="shared" si="27"/>
        <v>28C02986</v>
      </c>
      <c r="I3788" s="59" t="str">
        <f>IF(OR($A3788="",$C3788="",$D3788="",$E3788="",$H3788=""),"",SUMIFS(DATA_GOC!$H:$H,DATA_GOC!$A:$A,"BOM",DATA_GOC!$D:$D,$H3788,DATA_GOC!$E:$E,$C3788,DATA_GOC!$F:$F,"Xuất nội bộ từ téc",DATA_GOC!$B:$B,"&gt;="&amp;$D3788,DATA_GOC!$B:$B,"&lt;="&amp;$E3788))</f>
        <v/>
      </c>
      <c r="J3788" s="59">
        <f t="shared" si="28"/>
        <v>0</v>
      </c>
      <c r="K3788" s="59">
        <f t="shared" si="29"/>
        <v>0</v>
      </c>
      <c r="L3788" s="59">
        <f t="shared" si="30"/>
        <v>0</v>
      </c>
      <c r="M3788" s="59">
        <f t="shared" si="31"/>
        <v>0</v>
      </c>
    </row>
    <row r="3789" ht="15.0" hidden="1" customHeight="1">
      <c r="A3789" s="59">
        <f t="shared" si="20"/>
        <v>60</v>
      </c>
      <c r="B3789" s="59" t="str">
        <f t="shared" si="21"/>
        <v/>
      </c>
      <c r="C3789" s="59" t="str">
        <f t="shared" si="22"/>
        <v/>
      </c>
      <c r="D3789" s="45" t="str">
        <f t="shared" si="23"/>
        <v/>
      </c>
      <c r="E3789" s="45" t="str">
        <f t="shared" si="24"/>
        <v/>
      </c>
      <c r="F3789" s="59" t="str">
        <f t="shared" si="25"/>
        <v/>
      </c>
      <c r="G3789" s="59" t="str">
        <f t="shared" si="26"/>
        <v/>
      </c>
      <c r="H3789" s="59" t="str">
        <f t="shared" si="27"/>
        <v>28C03261</v>
      </c>
      <c r="I3789" s="59" t="str">
        <f>IF(OR($A3789="",$C3789="",$D3789="",$E3789="",$H3789=""),"",SUMIFS(DATA_GOC!$H:$H,DATA_GOC!$A:$A,"BOM",DATA_GOC!$D:$D,$H3789,DATA_GOC!$E:$E,$C3789,DATA_GOC!$F:$F,"Xuất nội bộ từ téc",DATA_GOC!$B:$B,"&gt;="&amp;$D3789,DATA_GOC!$B:$B,"&lt;="&amp;$E3789))</f>
        <v/>
      </c>
      <c r="J3789" s="59">
        <f t="shared" si="28"/>
        <v>0</v>
      </c>
      <c r="K3789" s="59">
        <f t="shared" si="29"/>
        <v>0</v>
      </c>
      <c r="L3789" s="59">
        <f t="shared" si="30"/>
        <v>0</v>
      </c>
      <c r="M3789" s="59">
        <f t="shared" si="31"/>
        <v>0</v>
      </c>
    </row>
    <row r="3790" ht="15.0" hidden="1" customHeight="1">
      <c r="A3790" s="59">
        <f t="shared" si="20"/>
        <v>60</v>
      </c>
      <c r="B3790" s="59" t="str">
        <f t="shared" si="21"/>
        <v/>
      </c>
      <c r="C3790" s="59" t="str">
        <f t="shared" si="22"/>
        <v/>
      </c>
      <c r="D3790" s="45" t="str">
        <f t="shared" si="23"/>
        <v/>
      </c>
      <c r="E3790" s="45" t="str">
        <f t="shared" si="24"/>
        <v/>
      </c>
      <c r="F3790" s="59" t="str">
        <f t="shared" si="25"/>
        <v/>
      </c>
      <c r="G3790" s="59" t="str">
        <f t="shared" si="26"/>
        <v/>
      </c>
      <c r="H3790" s="59" t="str">
        <f t="shared" si="27"/>
        <v>28C03323</v>
      </c>
      <c r="I3790" s="59" t="str">
        <f>IF(OR($A3790="",$C3790="",$D3790="",$E3790="",$H3790=""),"",SUMIFS(DATA_GOC!$H:$H,DATA_GOC!$A:$A,"BOM",DATA_GOC!$D:$D,$H3790,DATA_GOC!$E:$E,$C3790,DATA_GOC!$F:$F,"Xuất nội bộ từ téc",DATA_GOC!$B:$B,"&gt;="&amp;$D3790,DATA_GOC!$B:$B,"&lt;="&amp;$E3790))</f>
        <v/>
      </c>
      <c r="J3790" s="59">
        <f t="shared" si="28"/>
        <v>0</v>
      </c>
      <c r="K3790" s="59">
        <f t="shared" si="29"/>
        <v>0</v>
      </c>
      <c r="L3790" s="59">
        <f t="shared" si="30"/>
        <v>0</v>
      </c>
      <c r="M3790" s="59">
        <f t="shared" si="31"/>
        <v>0</v>
      </c>
    </row>
    <row r="3791" ht="15.0" hidden="1" customHeight="1">
      <c r="A3791" s="59">
        <f t="shared" si="20"/>
        <v>60</v>
      </c>
      <c r="B3791" s="59" t="str">
        <f t="shared" si="21"/>
        <v/>
      </c>
      <c r="C3791" s="59" t="str">
        <f t="shared" si="22"/>
        <v/>
      </c>
      <c r="D3791" s="45" t="str">
        <f t="shared" si="23"/>
        <v/>
      </c>
      <c r="E3791" s="45" t="str">
        <f t="shared" si="24"/>
        <v/>
      </c>
      <c r="F3791" s="59" t="str">
        <f t="shared" si="25"/>
        <v/>
      </c>
      <c r="G3791" s="59" t="str">
        <f t="shared" si="26"/>
        <v/>
      </c>
      <c r="H3791" s="59" t="str">
        <f t="shared" si="27"/>
        <v>28C03385</v>
      </c>
      <c r="I3791" s="59" t="str">
        <f>IF(OR($A3791="",$C3791="",$D3791="",$E3791="",$H3791=""),"",SUMIFS(DATA_GOC!$H:$H,DATA_GOC!$A:$A,"BOM",DATA_GOC!$D:$D,$H3791,DATA_GOC!$E:$E,$C3791,DATA_GOC!$F:$F,"Xuất nội bộ từ téc",DATA_GOC!$B:$B,"&gt;="&amp;$D3791,DATA_GOC!$B:$B,"&lt;="&amp;$E3791))</f>
        <v/>
      </c>
      <c r="J3791" s="59">
        <f t="shared" si="28"/>
        <v>0</v>
      </c>
      <c r="K3791" s="59">
        <f t="shared" si="29"/>
        <v>0</v>
      </c>
      <c r="L3791" s="59">
        <f t="shared" si="30"/>
        <v>0</v>
      </c>
      <c r="M3791" s="59">
        <f t="shared" si="31"/>
        <v>0</v>
      </c>
    </row>
    <row r="3792" ht="15.0" hidden="1" customHeight="1">
      <c r="A3792" s="59">
        <f t="shared" si="20"/>
        <v>60</v>
      </c>
      <c r="B3792" s="59" t="str">
        <f t="shared" si="21"/>
        <v/>
      </c>
      <c r="C3792" s="59" t="str">
        <f t="shared" si="22"/>
        <v/>
      </c>
      <c r="D3792" s="45" t="str">
        <f t="shared" si="23"/>
        <v/>
      </c>
      <c r="E3792" s="45" t="str">
        <f t="shared" si="24"/>
        <v/>
      </c>
      <c r="F3792" s="59" t="str">
        <f t="shared" si="25"/>
        <v/>
      </c>
      <c r="G3792" s="59" t="str">
        <f t="shared" si="26"/>
        <v/>
      </c>
      <c r="H3792" s="59" t="str">
        <f t="shared" si="27"/>
        <v>28C03652</v>
      </c>
      <c r="I3792" s="59" t="str">
        <f>IF(OR($A3792="",$C3792="",$D3792="",$E3792="",$H3792=""),"",SUMIFS(DATA_GOC!$H:$H,DATA_GOC!$A:$A,"BOM",DATA_GOC!$D:$D,$H3792,DATA_GOC!$E:$E,$C3792,DATA_GOC!$F:$F,"Xuất nội bộ từ téc",DATA_GOC!$B:$B,"&gt;="&amp;$D3792,DATA_GOC!$B:$B,"&lt;="&amp;$E3792))</f>
        <v/>
      </c>
      <c r="J3792" s="59">
        <f t="shared" si="28"/>
        <v>0</v>
      </c>
      <c r="K3792" s="59">
        <f t="shared" si="29"/>
        <v>0</v>
      </c>
      <c r="L3792" s="59">
        <f t="shared" si="30"/>
        <v>0</v>
      </c>
      <c r="M3792" s="59">
        <f t="shared" si="31"/>
        <v>0</v>
      </c>
    </row>
    <row r="3793" ht="15.0" hidden="1" customHeight="1">
      <c r="A3793" s="59">
        <f t="shared" si="20"/>
        <v>60</v>
      </c>
      <c r="B3793" s="59" t="str">
        <f t="shared" si="21"/>
        <v/>
      </c>
      <c r="C3793" s="59" t="str">
        <f t="shared" si="22"/>
        <v/>
      </c>
      <c r="D3793" s="45" t="str">
        <f t="shared" si="23"/>
        <v/>
      </c>
      <c r="E3793" s="45" t="str">
        <f t="shared" si="24"/>
        <v/>
      </c>
      <c r="F3793" s="59" t="str">
        <f t="shared" si="25"/>
        <v/>
      </c>
      <c r="G3793" s="59" t="str">
        <f t="shared" si="26"/>
        <v/>
      </c>
      <c r="H3793" s="59" t="str">
        <f t="shared" si="27"/>
        <v>28C03695</v>
      </c>
      <c r="I3793" s="59" t="str">
        <f>IF(OR($A3793="",$C3793="",$D3793="",$E3793="",$H3793=""),"",SUMIFS(DATA_GOC!$H:$H,DATA_GOC!$A:$A,"BOM",DATA_GOC!$D:$D,$H3793,DATA_GOC!$E:$E,$C3793,DATA_GOC!$F:$F,"Xuất nội bộ từ téc",DATA_GOC!$B:$B,"&gt;="&amp;$D3793,DATA_GOC!$B:$B,"&lt;="&amp;$E3793))</f>
        <v/>
      </c>
      <c r="J3793" s="59">
        <f t="shared" si="28"/>
        <v>0</v>
      </c>
      <c r="K3793" s="59">
        <f t="shared" si="29"/>
        <v>0</v>
      </c>
      <c r="L3793" s="59">
        <f t="shared" si="30"/>
        <v>0</v>
      </c>
      <c r="M3793" s="59">
        <f t="shared" si="31"/>
        <v>0</v>
      </c>
    </row>
    <row r="3794" ht="15.0" hidden="1" customHeight="1">
      <c r="A3794" s="59">
        <f t="shared" si="20"/>
        <v>60</v>
      </c>
      <c r="B3794" s="59" t="str">
        <f t="shared" si="21"/>
        <v/>
      </c>
      <c r="C3794" s="59" t="str">
        <f t="shared" si="22"/>
        <v/>
      </c>
      <c r="D3794" s="45" t="str">
        <f t="shared" si="23"/>
        <v/>
      </c>
      <c r="E3794" s="45" t="str">
        <f t="shared" si="24"/>
        <v/>
      </c>
      <c r="F3794" s="59" t="str">
        <f t="shared" si="25"/>
        <v/>
      </c>
      <c r="G3794" s="59" t="str">
        <f t="shared" si="26"/>
        <v/>
      </c>
      <c r="H3794" s="59" t="str">
        <f t="shared" si="27"/>
        <v>28C03927</v>
      </c>
      <c r="I3794" s="59" t="str">
        <f>IF(OR($A3794="",$C3794="",$D3794="",$E3794="",$H3794=""),"",SUMIFS(DATA_GOC!$H:$H,DATA_GOC!$A:$A,"BOM",DATA_GOC!$D:$D,$H3794,DATA_GOC!$E:$E,$C3794,DATA_GOC!$F:$F,"Xuất nội bộ từ téc",DATA_GOC!$B:$B,"&gt;="&amp;$D3794,DATA_GOC!$B:$B,"&lt;="&amp;$E3794))</f>
        <v/>
      </c>
      <c r="J3794" s="59">
        <f t="shared" si="28"/>
        <v>0</v>
      </c>
      <c r="K3794" s="59">
        <f t="shared" si="29"/>
        <v>0</v>
      </c>
      <c r="L3794" s="59">
        <f t="shared" si="30"/>
        <v>0</v>
      </c>
      <c r="M3794" s="59">
        <f t="shared" si="31"/>
        <v>0</v>
      </c>
    </row>
    <row r="3795" ht="15.0" hidden="1" customHeight="1">
      <c r="A3795" s="59">
        <f t="shared" si="20"/>
        <v>60</v>
      </c>
      <c r="B3795" s="59" t="str">
        <f t="shared" si="21"/>
        <v/>
      </c>
      <c r="C3795" s="59" t="str">
        <f t="shared" si="22"/>
        <v/>
      </c>
      <c r="D3795" s="45" t="str">
        <f t="shared" si="23"/>
        <v/>
      </c>
      <c r="E3795" s="45" t="str">
        <f t="shared" si="24"/>
        <v/>
      </c>
      <c r="F3795" s="59" t="str">
        <f t="shared" si="25"/>
        <v/>
      </c>
      <c r="G3795" s="59" t="str">
        <f t="shared" si="26"/>
        <v/>
      </c>
      <c r="H3795" s="59" t="str">
        <f t="shared" si="27"/>
        <v>28C04509</v>
      </c>
      <c r="I3795" s="59" t="str">
        <f>IF(OR($A3795="",$C3795="",$D3795="",$E3795="",$H3795=""),"",SUMIFS(DATA_GOC!$H:$H,DATA_GOC!$A:$A,"BOM",DATA_GOC!$D:$D,$H3795,DATA_GOC!$E:$E,$C3795,DATA_GOC!$F:$F,"Xuất nội bộ từ téc",DATA_GOC!$B:$B,"&gt;="&amp;$D3795,DATA_GOC!$B:$B,"&lt;="&amp;$E3795))</f>
        <v/>
      </c>
      <c r="J3795" s="59">
        <f t="shared" si="28"/>
        <v>0</v>
      </c>
      <c r="K3795" s="59">
        <f t="shared" si="29"/>
        <v>0</v>
      </c>
      <c r="L3795" s="59">
        <f t="shared" si="30"/>
        <v>0</v>
      </c>
      <c r="M3795" s="59">
        <f t="shared" si="31"/>
        <v>0</v>
      </c>
    </row>
    <row r="3796" ht="15.0" hidden="1" customHeight="1">
      <c r="A3796" s="59">
        <f t="shared" si="20"/>
        <v>60</v>
      </c>
      <c r="B3796" s="59" t="str">
        <f t="shared" si="21"/>
        <v/>
      </c>
      <c r="C3796" s="59" t="str">
        <f t="shared" si="22"/>
        <v/>
      </c>
      <c r="D3796" s="45" t="str">
        <f t="shared" si="23"/>
        <v/>
      </c>
      <c r="E3796" s="45" t="str">
        <f t="shared" si="24"/>
        <v/>
      </c>
      <c r="F3796" s="59" t="str">
        <f t="shared" si="25"/>
        <v/>
      </c>
      <c r="G3796" s="59" t="str">
        <f t="shared" si="26"/>
        <v/>
      </c>
      <c r="H3796" s="59" t="str">
        <f t="shared" si="27"/>
        <v>28C04536</v>
      </c>
      <c r="I3796" s="59" t="str">
        <f>IF(OR($A3796="",$C3796="",$D3796="",$E3796="",$H3796=""),"",SUMIFS(DATA_GOC!$H:$H,DATA_GOC!$A:$A,"BOM",DATA_GOC!$D:$D,$H3796,DATA_GOC!$E:$E,$C3796,DATA_GOC!$F:$F,"Xuất nội bộ từ téc",DATA_GOC!$B:$B,"&gt;="&amp;$D3796,DATA_GOC!$B:$B,"&lt;="&amp;$E3796))</f>
        <v/>
      </c>
      <c r="J3796" s="59">
        <f t="shared" si="28"/>
        <v>0</v>
      </c>
      <c r="K3796" s="59">
        <f t="shared" si="29"/>
        <v>0</v>
      </c>
      <c r="L3796" s="59">
        <f t="shared" si="30"/>
        <v>0</v>
      </c>
      <c r="M3796" s="59">
        <f t="shared" si="31"/>
        <v>0</v>
      </c>
    </row>
    <row r="3797" ht="15.0" hidden="1" customHeight="1">
      <c r="A3797" s="59">
        <f t="shared" si="20"/>
        <v>60</v>
      </c>
      <c r="B3797" s="59" t="str">
        <f t="shared" si="21"/>
        <v/>
      </c>
      <c r="C3797" s="59" t="str">
        <f t="shared" si="22"/>
        <v/>
      </c>
      <c r="D3797" s="45" t="str">
        <f t="shared" si="23"/>
        <v/>
      </c>
      <c r="E3797" s="45" t="str">
        <f t="shared" si="24"/>
        <v/>
      </c>
      <c r="F3797" s="59" t="str">
        <f t="shared" si="25"/>
        <v/>
      </c>
      <c r="G3797" s="59" t="str">
        <f t="shared" si="26"/>
        <v/>
      </c>
      <c r="H3797" s="59" t="str">
        <f t="shared" si="27"/>
        <v>28C04576</v>
      </c>
      <c r="I3797" s="59" t="str">
        <f>IF(OR($A3797="",$C3797="",$D3797="",$E3797="",$H3797=""),"",SUMIFS(DATA_GOC!$H:$H,DATA_GOC!$A:$A,"BOM",DATA_GOC!$D:$D,$H3797,DATA_GOC!$E:$E,$C3797,DATA_GOC!$F:$F,"Xuất nội bộ từ téc",DATA_GOC!$B:$B,"&gt;="&amp;$D3797,DATA_GOC!$B:$B,"&lt;="&amp;$E3797))</f>
        <v/>
      </c>
      <c r="J3797" s="59">
        <f t="shared" si="28"/>
        <v>0</v>
      </c>
      <c r="K3797" s="59">
        <f t="shared" si="29"/>
        <v>0</v>
      </c>
      <c r="L3797" s="59">
        <f t="shared" si="30"/>
        <v>0</v>
      </c>
      <c r="M3797" s="59">
        <f t="shared" si="31"/>
        <v>0</v>
      </c>
    </row>
    <row r="3798" ht="15.0" hidden="1" customHeight="1">
      <c r="A3798" s="59">
        <f t="shared" si="20"/>
        <v>60</v>
      </c>
      <c r="B3798" s="59" t="str">
        <f t="shared" si="21"/>
        <v/>
      </c>
      <c r="C3798" s="59" t="str">
        <f t="shared" si="22"/>
        <v/>
      </c>
      <c r="D3798" s="45" t="str">
        <f t="shared" si="23"/>
        <v/>
      </c>
      <c r="E3798" s="45" t="str">
        <f t="shared" si="24"/>
        <v/>
      </c>
      <c r="F3798" s="59" t="str">
        <f t="shared" si="25"/>
        <v/>
      </c>
      <c r="G3798" s="59" t="str">
        <f t="shared" si="26"/>
        <v/>
      </c>
      <c r="H3798" s="59" t="str">
        <f t="shared" si="27"/>
        <v>28C05090</v>
      </c>
      <c r="I3798" s="59" t="str">
        <f>IF(OR($A3798="",$C3798="",$D3798="",$E3798="",$H3798=""),"",SUMIFS(DATA_GOC!$H:$H,DATA_GOC!$A:$A,"BOM",DATA_GOC!$D:$D,$H3798,DATA_GOC!$E:$E,$C3798,DATA_GOC!$F:$F,"Xuất nội bộ từ téc",DATA_GOC!$B:$B,"&gt;="&amp;$D3798,DATA_GOC!$B:$B,"&lt;="&amp;$E3798))</f>
        <v/>
      </c>
      <c r="J3798" s="59">
        <f t="shared" si="28"/>
        <v>0</v>
      </c>
      <c r="K3798" s="59">
        <f t="shared" si="29"/>
        <v>0</v>
      </c>
      <c r="L3798" s="59">
        <f t="shared" si="30"/>
        <v>0</v>
      </c>
      <c r="M3798" s="59">
        <f t="shared" si="31"/>
        <v>0</v>
      </c>
    </row>
    <row r="3799" ht="15.0" hidden="1" customHeight="1">
      <c r="A3799" s="59">
        <f t="shared" si="20"/>
        <v>60</v>
      </c>
      <c r="B3799" s="59" t="str">
        <f t="shared" si="21"/>
        <v/>
      </c>
      <c r="C3799" s="59" t="str">
        <f t="shared" si="22"/>
        <v/>
      </c>
      <c r="D3799" s="45" t="str">
        <f t="shared" si="23"/>
        <v/>
      </c>
      <c r="E3799" s="45" t="str">
        <f t="shared" si="24"/>
        <v/>
      </c>
      <c r="F3799" s="59" t="str">
        <f t="shared" si="25"/>
        <v/>
      </c>
      <c r="G3799" s="59" t="str">
        <f t="shared" si="26"/>
        <v/>
      </c>
      <c r="H3799" s="59" t="str">
        <f t="shared" si="27"/>
        <v>28C05345</v>
      </c>
      <c r="I3799" s="59" t="str">
        <f>IF(OR($A3799="",$C3799="",$D3799="",$E3799="",$H3799=""),"",SUMIFS(DATA_GOC!$H:$H,DATA_GOC!$A:$A,"BOM",DATA_GOC!$D:$D,$H3799,DATA_GOC!$E:$E,$C3799,DATA_GOC!$F:$F,"Xuất nội bộ từ téc",DATA_GOC!$B:$B,"&gt;="&amp;$D3799,DATA_GOC!$B:$B,"&lt;="&amp;$E3799))</f>
        <v/>
      </c>
      <c r="J3799" s="59">
        <f t="shared" si="28"/>
        <v>0</v>
      </c>
      <c r="K3799" s="59">
        <f t="shared" si="29"/>
        <v>0</v>
      </c>
      <c r="L3799" s="59">
        <f t="shared" si="30"/>
        <v>0</v>
      </c>
      <c r="M3799" s="59">
        <f t="shared" si="31"/>
        <v>0</v>
      </c>
    </row>
    <row r="3800" ht="15.0" hidden="1" customHeight="1">
      <c r="A3800" s="59">
        <f t="shared" si="20"/>
        <v>60</v>
      </c>
      <c r="B3800" s="59" t="str">
        <f t="shared" si="21"/>
        <v/>
      </c>
      <c r="C3800" s="59" t="str">
        <f t="shared" si="22"/>
        <v/>
      </c>
      <c r="D3800" s="45" t="str">
        <f t="shared" si="23"/>
        <v/>
      </c>
      <c r="E3800" s="45" t="str">
        <f t="shared" si="24"/>
        <v/>
      </c>
      <c r="F3800" s="59" t="str">
        <f t="shared" si="25"/>
        <v/>
      </c>
      <c r="G3800" s="59" t="str">
        <f t="shared" si="26"/>
        <v/>
      </c>
      <c r="H3800" s="59" t="str">
        <f t="shared" si="27"/>
        <v>28C05661</v>
      </c>
      <c r="I3800" s="59" t="str">
        <f>IF(OR($A3800="",$C3800="",$D3800="",$E3800="",$H3800=""),"",SUMIFS(DATA_GOC!$H:$H,DATA_GOC!$A:$A,"BOM",DATA_GOC!$D:$D,$H3800,DATA_GOC!$E:$E,$C3800,DATA_GOC!$F:$F,"Xuất nội bộ từ téc",DATA_GOC!$B:$B,"&gt;="&amp;$D3800,DATA_GOC!$B:$B,"&lt;="&amp;$E3800))</f>
        <v/>
      </c>
      <c r="J3800" s="59">
        <f t="shared" si="28"/>
        <v>0</v>
      </c>
      <c r="K3800" s="59">
        <f t="shared" si="29"/>
        <v>0</v>
      </c>
      <c r="L3800" s="59">
        <f t="shared" si="30"/>
        <v>0</v>
      </c>
      <c r="M3800" s="59">
        <f t="shared" si="31"/>
        <v>0</v>
      </c>
    </row>
    <row r="3801" ht="15.0" hidden="1" customHeight="1">
      <c r="A3801" s="59">
        <f t="shared" si="20"/>
        <v>60</v>
      </c>
      <c r="B3801" s="59" t="str">
        <f t="shared" si="21"/>
        <v/>
      </c>
      <c r="C3801" s="59" t="str">
        <f t="shared" si="22"/>
        <v/>
      </c>
      <c r="D3801" s="45" t="str">
        <f t="shared" si="23"/>
        <v/>
      </c>
      <c r="E3801" s="45" t="str">
        <f t="shared" si="24"/>
        <v/>
      </c>
      <c r="F3801" s="59" t="str">
        <f t="shared" si="25"/>
        <v/>
      </c>
      <c r="G3801" s="59" t="str">
        <f t="shared" si="26"/>
        <v/>
      </c>
      <c r="H3801" s="59" t="str">
        <f t="shared" si="27"/>
        <v>28C05739</v>
      </c>
      <c r="I3801" s="59" t="str">
        <f>IF(OR($A3801="",$C3801="",$D3801="",$E3801="",$H3801=""),"",SUMIFS(DATA_GOC!$H:$H,DATA_GOC!$A:$A,"BOM",DATA_GOC!$D:$D,$H3801,DATA_GOC!$E:$E,$C3801,DATA_GOC!$F:$F,"Xuất nội bộ từ téc",DATA_GOC!$B:$B,"&gt;="&amp;$D3801,DATA_GOC!$B:$B,"&lt;="&amp;$E3801))</f>
        <v/>
      </c>
      <c r="J3801" s="59">
        <f t="shared" si="28"/>
        <v>0</v>
      </c>
      <c r="K3801" s="59">
        <f t="shared" si="29"/>
        <v>0</v>
      </c>
      <c r="L3801" s="59">
        <f t="shared" si="30"/>
        <v>0</v>
      </c>
      <c r="M3801" s="59">
        <f t="shared" si="31"/>
        <v>0</v>
      </c>
    </row>
    <row r="3802" ht="15.0" hidden="1" customHeight="1">
      <c r="A3802" s="59">
        <f t="shared" si="20"/>
        <v>60</v>
      </c>
      <c r="B3802" s="59" t="str">
        <f t="shared" si="21"/>
        <v/>
      </c>
      <c r="C3802" s="59" t="str">
        <f t="shared" si="22"/>
        <v/>
      </c>
      <c r="D3802" s="45" t="str">
        <f t="shared" si="23"/>
        <v/>
      </c>
      <c r="E3802" s="45" t="str">
        <f t="shared" si="24"/>
        <v/>
      </c>
      <c r="F3802" s="59" t="str">
        <f t="shared" si="25"/>
        <v/>
      </c>
      <c r="G3802" s="59" t="str">
        <f t="shared" si="26"/>
        <v/>
      </c>
      <c r="H3802" s="59" t="str">
        <f t="shared" si="27"/>
        <v>28C06369</v>
      </c>
      <c r="I3802" s="59" t="str">
        <f>IF(OR($A3802="",$C3802="",$D3802="",$E3802="",$H3802=""),"",SUMIFS(DATA_GOC!$H:$H,DATA_GOC!$A:$A,"BOM",DATA_GOC!$D:$D,$H3802,DATA_GOC!$E:$E,$C3802,DATA_GOC!$F:$F,"Xuất nội bộ từ téc",DATA_GOC!$B:$B,"&gt;="&amp;$D3802,DATA_GOC!$B:$B,"&lt;="&amp;$E3802))</f>
        <v/>
      </c>
      <c r="J3802" s="59">
        <f t="shared" si="28"/>
        <v>0</v>
      </c>
      <c r="K3802" s="59">
        <f t="shared" si="29"/>
        <v>0</v>
      </c>
      <c r="L3802" s="59">
        <f t="shared" si="30"/>
        <v>0</v>
      </c>
      <c r="M3802" s="59">
        <f t="shared" si="31"/>
        <v>0</v>
      </c>
    </row>
    <row r="3803" ht="15.0" hidden="1" customHeight="1">
      <c r="A3803" s="59">
        <f t="shared" si="20"/>
        <v>60</v>
      </c>
      <c r="B3803" s="59" t="str">
        <f t="shared" si="21"/>
        <v/>
      </c>
      <c r="C3803" s="59" t="str">
        <f t="shared" si="22"/>
        <v/>
      </c>
      <c r="D3803" s="45" t="str">
        <f t="shared" si="23"/>
        <v/>
      </c>
      <c r="E3803" s="45" t="str">
        <f t="shared" si="24"/>
        <v/>
      </c>
      <c r="F3803" s="59" t="str">
        <f t="shared" si="25"/>
        <v/>
      </c>
      <c r="G3803" s="59" t="str">
        <f t="shared" si="26"/>
        <v/>
      </c>
      <c r="H3803" s="59" t="str">
        <f t="shared" si="27"/>
        <v>28C06447</v>
      </c>
      <c r="I3803" s="59" t="str">
        <f>IF(OR($A3803="",$C3803="",$D3803="",$E3803="",$H3803=""),"",SUMIFS(DATA_GOC!$H:$H,DATA_GOC!$A:$A,"BOM",DATA_GOC!$D:$D,$H3803,DATA_GOC!$E:$E,$C3803,DATA_GOC!$F:$F,"Xuất nội bộ từ téc",DATA_GOC!$B:$B,"&gt;="&amp;$D3803,DATA_GOC!$B:$B,"&lt;="&amp;$E3803))</f>
        <v/>
      </c>
      <c r="J3803" s="59">
        <f t="shared" si="28"/>
        <v>0</v>
      </c>
      <c r="K3803" s="59">
        <f t="shared" si="29"/>
        <v>0</v>
      </c>
      <c r="L3803" s="59">
        <f t="shared" si="30"/>
        <v>0</v>
      </c>
      <c r="M3803" s="59">
        <f t="shared" si="31"/>
        <v>0</v>
      </c>
    </row>
    <row r="3804" ht="15.0" hidden="1" customHeight="1">
      <c r="A3804" s="59">
        <f t="shared" si="20"/>
        <v>60</v>
      </c>
      <c r="B3804" s="59" t="str">
        <f t="shared" si="21"/>
        <v/>
      </c>
      <c r="C3804" s="59" t="str">
        <f t="shared" si="22"/>
        <v/>
      </c>
      <c r="D3804" s="45" t="str">
        <f t="shared" si="23"/>
        <v/>
      </c>
      <c r="E3804" s="45" t="str">
        <f t="shared" si="24"/>
        <v/>
      </c>
      <c r="F3804" s="59" t="str">
        <f t="shared" si="25"/>
        <v/>
      </c>
      <c r="G3804" s="59" t="str">
        <f t="shared" si="26"/>
        <v/>
      </c>
      <c r="H3804" s="59" t="str">
        <f t="shared" si="27"/>
        <v>28H00003</v>
      </c>
      <c r="I3804" s="59" t="str">
        <f>IF(OR($A3804="",$C3804="",$D3804="",$E3804="",$H3804=""),"",SUMIFS(DATA_GOC!$H:$H,DATA_GOC!$A:$A,"BOM",DATA_GOC!$D:$D,$H3804,DATA_GOC!$E:$E,$C3804,DATA_GOC!$F:$F,"Xuất nội bộ từ téc",DATA_GOC!$B:$B,"&gt;="&amp;$D3804,DATA_GOC!$B:$B,"&lt;="&amp;$E3804))</f>
        <v/>
      </c>
      <c r="J3804" s="59">
        <f t="shared" si="28"/>
        <v>0</v>
      </c>
      <c r="K3804" s="59">
        <f t="shared" si="29"/>
        <v>0</v>
      </c>
      <c r="L3804" s="59">
        <f t="shared" si="30"/>
        <v>0</v>
      </c>
      <c r="M3804" s="59">
        <f t="shared" si="31"/>
        <v>0</v>
      </c>
    </row>
    <row r="3805" ht="15.0" hidden="1" customHeight="1">
      <c r="A3805" s="59">
        <f t="shared" si="20"/>
        <v>60</v>
      </c>
      <c r="B3805" s="59" t="str">
        <f t="shared" si="21"/>
        <v/>
      </c>
      <c r="C3805" s="59" t="str">
        <f t="shared" si="22"/>
        <v/>
      </c>
      <c r="D3805" s="45" t="str">
        <f t="shared" si="23"/>
        <v/>
      </c>
      <c r="E3805" s="45" t="str">
        <f t="shared" si="24"/>
        <v/>
      </c>
      <c r="F3805" s="59" t="str">
        <f t="shared" si="25"/>
        <v/>
      </c>
      <c r="G3805" s="59" t="str">
        <f t="shared" si="26"/>
        <v/>
      </c>
      <c r="H3805" s="59" t="str">
        <f t="shared" si="27"/>
        <v>28H00061</v>
      </c>
      <c r="I3805" s="59" t="str">
        <f>IF(OR($A3805="",$C3805="",$D3805="",$E3805="",$H3805=""),"",SUMIFS(DATA_GOC!$H:$H,DATA_GOC!$A:$A,"BOM",DATA_GOC!$D:$D,$H3805,DATA_GOC!$E:$E,$C3805,DATA_GOC!$F:$F,"Xuất nội bộ từ téc",DATA_GOC!$B:$B,"&gt;="&amp;$D3805,DATA_GOC!$B:$B,"&lt;="&amp;$E3805))</f>
        <v/>
      </c>
      <c r="J3805" s="59">
        <f t="shared" si="28"/>
        <v>0</v>
      </c>
      <c r="K3805" s="59">
        <f t="shared" si="29"/>
        <v>0</v>
      </c>
      <c r="L3805" s="59">
        <f t="shared" si="30"/>
        <v>0</v>
      </c>
      <c r="M3805" s="59">
        <f t="shared" si="31"/>
        <v>0</v>
      </c>
    </row>
    <row r="3806" ht="15.0" hidden="1" customHeight="1">
      <c r="A3806" s="59">
        <f t="shared" si="20"/>
        <v>60</v>
      </c>
      <c r="B3806" s="59" t="str">
        <f t="shared" si="21"/>
        <v/>
      </c>
      <c r="C3806" s="59" t="str">
        <f t="shared" si="22"/>
        <v/>
      </c>
      <c r="D3806" s="45" t="str">
        <f t="shared" si="23"/>
        <v/>
      </c>
      <c r="E3806" s="45" t="str">
        <f t="shared" si="24"/>
        <v/>
      </c>
      <c r="F3806" s="59" t="str">
        <f t="shared" si="25"/>
        <v/>
      </c>
      <c r="G3806" s="59" t="str">
        <f t="shared" si="26"/>
        <v/>
      </c>
      <c r="H3806" s="59" t="str">
        <f t="shared" si="27"/>
        <v>28H00354</v>
      </c>
      <c r="I3806" s="59" t="str">
        <f>IF(OR($A3806="",$C3806="",$D3806="",$E3806="",$H3806=""),"",SUMIFS(DATA_GOC!$H:$H,DATA_GOC!$A:$A,"BOM",DATA_GOC!$D:$D,$H3806,DATA_GOC!$E:$E,$C3806,DATA_GOC!$F:$F,"Xuất nội bộ từ téc",DATA_GOC!$B:$B,"&gt;="&amp;$D3806,DATA_GOC!$B:$B,"&lt;="&amp;$E3806))</f>
        <v/>
      </c>
      <c r="J3806" s="59">
        <f t="shared" si="28"/>
        <v>0</v>
      </c>
      <c r="K3806" s="59">
        <f t="shared" si="29"/>
        <v>0</v>
      </c>
      <c r="L3806" s="59">
        <f t="shared" si="30"/>
        <v>0</v>
      </c>
      <c r="M3806" s="59">
        <f t="shared" si="31"/>
        <v>0</v>
      </c>
    </row>
    <row r="3807" ht="15.0" hidden="1" customHeight="1">
      <c r="A3807" s="59">
        <f t="shared" si="20"/>
        <v>60</v>
      </c>
      <c r="B3807" s="59" t="str">
        <f t="shared" si="21"/>
        <v/>
      </c>
      <c r="C3807" s="59" t="str">
        <f t="shared" si="22"/>
        <v/>
      </c>
      <c r="D3807" s="45" t="str">
        <f t="shared" si="23"/>
        <v/>
      </c>
      <c r="E3807" s="45" t="str">
        <f t="shared" si="24"/>
        <v/>
      </c>
      <c r="F3807" s="59" t="str">
        <f t="shared" si="25"/>
        <v/>
      </c>
      <c r="G3807" s="59" t="str">
        <f t="shared" si="26"/>
        <v/>
      </c>
      <c r="H3807" s="59" t="str">
        <f t="shared" si="27"/>
        <v>28H00603</v>
      </c>
      <c r="I3807" s="59" t="str">
        <f>IF(OR($A3807="",$C3807="",$D3807="",$E3807="",$H3807=""),"",SUMIFS(DATA_GOC!$H:$H,DATA_GOC!$A:$A,"BOM",DATA_GOC!$D:$D,$H3807,DATA_GOC!$E:$E,$C3807,DATA_GOC!$F:$F,"Xuất nội bộ từ téc",DATA_GOC!$B:$B,"&gt;="&amp;$D3807,DATA_GOC!$B:$B,"&lt;="&amp;$E3807))</f>
        <v/>
      </c>
      <c r="J3807" s="59">
        <f t="shared" si="28"/>
        <v>0</v>
      </c>
      <c r="K3807" s="59">
        <f t="shared" si="29"/>
        <v>0</v>
      </c>
      <c r="L3807" s="59">
        <f t="shared" si="30"/>
        <v>0</v>
      </c>
      <c r="M3807" s="59">
        <f t="shared" si="31"/>
        <v>0</v>
      </c>
    </row>
    <row r="3808" ht="15.0" hidden="1" customHeight="1">
      <c r="A3808" s="59">
        <f t="shared" si="20"/>
        <v>60</v>
      </c>
      <c r="B3808" s="59" t="str">
        <f t="shared" si="21"/>
        <v/>
      </c>
      <c r="C3808" s="59" t="str">
        <f t="shared" si="22"/>
        <v/>
      </c>
      <c r="D3808" s="45" t="str">
        <f t="shared" si="23"/>
        <v/>
      </c>
      <c r="E3808" s="45" t="str">
        <f t="shared" si="24"/>
        <v/>
      </c>
      <c r="F3808" s="59" t="str">
        <f t="shared" si="25"/>
        <v/>
      </c>
      <c r="G3808" s="59" t="str">
        <f t="shared" si="26"/>
        <v/>
      </c>
      <c r="H3808" s="59" t="str">
        <f t="shared" si="27"/>
        <v>28H00609</v>
      </c>
      <c r="I3808" s="59" t="str">
        <f>IF(OR($A3808="",$C3808="",$D3808="",$E3808="",$H3808=""),"",SUMIFS(DATA_GOC!$H:$H,DATA_GOC!$A:$A,"BOM",DATA_GOC!$D:$D,$H3808,DATA_GOC!$E:$E,$C3808,DATA_GOC!$F:$F,"Xuất nội bộ từ téc",DATA_GOC!$B:$B,"&gt;="&amp;$D3808,DATA_GOC!$B:$B,"&lt;="&amp;$E3808))</f>
        <v/>
      </c>
      <c r="J3808" s="59">
        <f t="shared" si="28"/>
        <v>0</v>
      </c>
      <c r="K3808" s="59">
        <f t="shared" si="29"/>
        <v>0</v>
      </c>
      <c r="L3808" s="59">
        <f t="shared" si="30"/>
        <v>0</v>
      </c>
      <c r="M3808" s="59">
        <f t="shared" si="31"/>
        <v>0</v>
      </c>
    </row>
    <row r="3809" ht="15.0" hidden="1" customHeight="1">
      <c r="A3809" s="59">
        <f t="shared" si="20"/>
        <v>60</v>
      </c>
      <c r="B3809" s="59" t="str">
        <f t="shared" si="21"/>
        <v/>
      </c>
      <c r="C3809" s="59" t="str">
        <f t="shared" si="22"/>
        <v/>
      </c>
      <c r="D3809" s="45" t="str">
        <f t="shared" si="23"/>
        <v/>
      </c>
      <c r="E3809" s="45" t="str">
        <f t="shared" si="24"/>
        <v/>
      </c>
      <c r="F3809" s="59" t="str">
        <f t="shared" si="25"/>
        <v/>
      </c>
      <c r="G3809" s="59" t="str">
        <f t="shared" si="26"/>
        <v/>
      </c>
      <c r="H3809" s="59" t="str">
        <f t="shared" si="27"/>
        <v>28H00669</v>
      </c>
      <c r="I3809" s="59" t="str">
        <f>IF(OR($A3809="",$C3809="",$D3809="",$E3809="",$H3809=""),"",SUMIFS(DATA_GOC!$H:$H,DATA_GOC!$A:$A,"BOM",DATA_GOC!$D:$D,$H3809,DATA_GOC!$E:$E,$C3809,DATA_GOC!$F:$F,"Xuất nội bộ từ téc",DATA_GOC!$B:$B,"&gt;="&amp;$D3809,DATA_GOC!$B:$B,"&lt;="&amp;$E3809))</f>
        <v/>
      </c>
      <c r="J3809" s="59">
        <f t="shared" si="28"/>
        <v>0</v>
      </c>
      <c r="K3809" s="59">
        <f t="shared" si="29"/>
        <v>0</v>
      </c>
      <c r="L3809" s="59">
        <f t="shared" si="30"/>
        <v>0</v>
      </c>
      <c r="M3809" s="59">
        <f t="shared" si="31"/>
        <v>0</v>
      </c>
    </row>
    <row r="3810" ht="15.0" hidden="1" customHeight="1">
      <c r="A3810" s="59">
        <f t="shared" si="20"/>
        <v>60</v>
      </c>
      <c r="B3810" s="59" t="str">
        <f t="shared" si="21"/>
        <v/>
      </c>
      <c r="C3810" s="59" t="str">
        <f t="shared" si="22"/>
        <v/>
      </c>
      <c r="D3810" s="45" t="str">
        <f t="shared" si="23"/>
        <v/>
      </c>
      <c r="E3810" s="45" t="str">
        <f t="shared" si="24"/>
        <v/>
      </c>
      <c r="F3810" s="59" t="str">
        <f t="shared" si="25"/>
        <v/>
      </c>
      <c r="G3810" s="59" t="str">
        <f t="shared" si="26"/>
        <v/>
      </c>
      <c r="H3810" s="59" t="str">
        <f t="shared" si="27"/>
        <v>28H00680</v>
      </c>
      <c r="I3810" s="59" t="str">
        <f>IF(OR($A3810="",$C3810="",$D3810="",$E3810="",$H3810=""),"",SUMIFS(DATA_GOC!$H:$H,DATA_GOC!$A:$A,"BOM",DATA_GOC!$D:$D,$H3810,DATA_GOC!$E:$E,$C3810,DATA_GOC!$F:$F,"Xuất nội bộ từ téc",DATA_GOC!$B:$B,"&gt;="&amp;$D3810,DATA_GOC!$B:$B,"&lt;="&amp;$E3810))</f>
        <v/>
      </c>
      <c r="J3810" s="59">
        <f t="shared" si="28"/>
        <v>0</v>
      </c>
      <c r="K3810" s="59">
        <f t="shared" si="29"/>
        <v>0</v>
      </c>
      <c r="L3810" s="59">
        <f t="shared" si="30"/>
        <v>0</v>
      </c>
      <c r="M3810" s="59">
        <f t="shared" si="31"/>
        <v>0</v>
      </c>
    </row>
    <row r="3811" ht="15.0" hidden="1" customHeight="1">
      <c r="A3811" s="59">
        <f t="shared" si="20"/>
        <v>60</v>
      </c>
      <c r="B3811" s="59" t="str">
        <f t="shared" si="21"/>
        <v/>
      </c>
      <c r="C3811" s="59" t="str">
        <f t="shared" si="22"/>
        <v/>
      </c>
      <c r="D3811" s="45" t="str">
        <f t="shared" si="23"/>
        <v/>
      </c>
      <c r="E3811" s="45" t="str">
        <f t="shared" si="24"/>
        <v/>
      </c>
      <c r="F3811" s="59" t="str">
        <f t="shared" si="25"/>
        <v/>
      </c>
      <c r="G3811" s="59" t="str">
        <f t="shared" si="26"/>
        <v/>
      </c>
      <c r="H3811" s="59" t="str">
        <f t="shared" si="27"/>
        <v>28H01070</v>
      </c>
      <c r="I3811" s="59" t="str">
        <f>IF(OR($A3811="",$C3811="",$D3811="",$E3811="",$H3811=""),"",SUMIFS(DATA_GOC!$H:$H,DATA_GOC!$A:$A,"BOM",DATA_GOC!$D:$D,$H3811,DATA_GOC!$E:$E,$C3811,DATA_GOC!$F:$F,"Xuất nội bộ từ téc",DATA_GOC!$B:$B,"&gt;="&amp;$D3811,DATA_GOC!$B:$B,"&lt;="&amp;$E3811))</f>
        <v/>
      </c>
      <c r="J3811" s="59">
        <f t="shared" si="28"/>
        <v>0</v>
      </c>
      <c r="K3811" s="59">
        <f t="shared" si="29"/>
        <v>0</v>
      </c>
      <c r="L3811" s="59">
        <f t="shared" si="30"/>
        <v>0</v>
      </c>
      <c r="M3811" s="59">
        <f t="shared" si="31"/>
        <v>0</v>
      </c>
    </row>
    <row r="3812" ht="15.0" hidden="1" customHeight="1">
      <c r="A3812" s="59">
        <f t="shared" si="20"/>
        <v>60</v>
      </c>
      <c r="B3812" s="59" t="str">
        <f t="shared" si="21"/>
        <v/>
      </c>
      <c r="C3812" s="59" t="str">
        <f t="shared" si="22"/>
        <v/>
      </c>
      <c r="D3812" s="45" t="str">
        <f t="shared" si="23"/>
        <v/>
      </c>
      <c r="E3812" s="45" t="str">
        <f t="shared" si="24"/>
        <v/>
      </c>
      <c r="F3812" s="59" t="str">
        <f t="shared" si="25"/>
        <v/>
      </c>
      <c r="G3812" s="59" t="str">
        <f t="shared" si="26"/>
        <v/>
      </c>
      <c r="H3812" s="59" t="str">
        <f t="shared" si="27"/>
        <v>28H01364</v>
      </c>
      <c r="I3812" s="59" t="str">
        <f>IF(OR($A3812="",$C3812="",$D3812="",$E3812="",$H3812=""),"",SUMIFS(DATA_GOC!$H:$H,DATA_GOC!$A:$A,"BOM",DATA_GOC!$D:$D,$H3812,DATA_GOC!$E:$E,$C3812,DATA_GOC!$F:$F,"Xuất nội bộ từ téc",DATA_GOC!$B:$B,"&gt;="&amp;$D3812,DATA_GOC!$B:$B,"&lt;="&amp;$E3812))</f>
        <v/>
      </c>
      <c r="J3812" s="59">
        <f t="shared" si="28"/>
        <v>0</v>
      </c>
      <c r="K3812" s="59">
        <f t="shared" si="29"/>
        <v>0</v>
      </c>
      <c r="L3812" s="59">
        <f t="shared" si="30"/>
        <v>0</v>
      </c>
      <c r="M3812" s="59">
        <f t="shared" si="31"/>
        <v>0</v>
      </c>
    </row>
    <row r="3813" ht="15.0" hidden="1" customHeight="1">
      <c r="A3813" s="59">
        <f t="shared" si="20"/>
        <v>60</v>
      </c>
      <c r="B3813" s="59" t="str">
        <f t="shared" si="21"/>
        <v/>
      </c>
      <c r="C3813" s="59" t="str">
        <f t="shared" si="22"/>
        <v/>
      </c>
      <c r="D3813" s="45" t="str">
        <f t="shared" si="23"/>
        <v/>
      </c>
      <c r="E3813" s="45" t="str">
        <f t="shared" si="24"/>
        <v/>
      </c>
      <c r="F3813" s="59" t="str">
        <f t="shared" si="25"/>
        <v/>
      </c>
      <c r="G3813" s="59" t="str">
        <f t="shared" si="26"/>
        <v/>
      </c>
      <c r="H3813" s="59" t="str">
        <f t="shared" si="27"/>
        <v>29E17269</v>
      </c>
      <c r="I3813" s="59" t="str">
        <f>IF(OR($A3813="",$C3813="",$D3813="",$E3813="",$H3813=""),"",SUMIFS(DATA_GOC!$H:$H,DATA_GOC!$A:$A,"BOM",DATA_GOC!$D:$D,$H3813,DATA_GOC!$E:$E,$C3813,DATA_GOC!$F:$F,"Xuất nội bộ từ téc",DATA_GOC!$B:$B,"&gt;="&amp;$D3813,DATA_GOC!$B:$B,"&lt;="&amp;$E3813))</f>
        <v/>
      </c>
      <c r="J3813" s="59">
        <f t="shared" si="28"/>
        <v>0</v>
      </c>
      <c r="K3813" s="59">
        <f t="shared" si="29"/>
        <v>0</v>
      </c>
      <c r="L3813" s="59">
        <f t="shared" si="30"/>
        <v>0</v>
      </c>
      <c r="M3813" s="59">
        <f t="shared" si="31"/>
        <v>0</v>
      </c>
    </row>
    <row r="3814" ht="15.0" hidden="1" customHeight="1">
      <c r="A3814" s="59">
        <f t="shared" si="20"/>
        <v>60</v>
      </c>
      <c r="B3814" s="59" t="str">
        <f t="shared" si="21"/>
        <v/>
      </c>
      <c r="C3814" s="59" t="str">
        <f t="shared" si="22"/>
        <v/>
      </c>
      <c r="D3814" s="45" t="str">
        <f t="shared" si="23"/>
        <v/>
      </c>
      <c r="E3814" s="45" t="str">
        <f t="shared" si="24"/>
        <v/>
      </c>
      <c r="F3814" s="59" t="str">
        <f t="shared" si="25"/>
        <v/>
      </c>
      <c r="G3814" s="59" t="str">
        <f t="shared" si="26"/>
        <v/>
      </c>
      <c r="H3814" s="59" t="str">
        <f t="shared" si="27"/>
        <v>29E17273</v>
      </c>
      <c r="I3814" s="59" t="str">
        <f>IF(OR($A3814="",$C3814="",$D3814="",$E3814="",$H3814=""),"",SUMIFS(DATA_GOC!$H:$H,DATA_GOC!$A:$A,"BOM",DATA_GOC!$D:$D,$H3814,DATA_GOC!$E:$E,$C3814,DATA_GOC!$F:$F,"Xuất nội bộ từ téc",DATA_GOC!$B:$B,"&gt;="&amp;$D3814,DATA_GOC!$B:$B,"&lt;="&amp;$E3814))</f>
        <v/>
      </c>
      <c r="J3814" s="59">
        <f t="shared" si="28"/>
        <v>0</v>
      </c>
      <c r="K3814" s="59">
        <f t="shared" si="29"/>
        <v>0</v>
      </c>
      <c r="L3814" s="59">
        <f t="shared" si="30"/>
        <v>0</v>
      </c>
      <c r="M3814" s="59">
        <f t="shared" si="31"/>
        <v>0</v>
      </c>
    </row>
    <row r="3815" ht="15.0" hidden="1" customHeight="1">
      <c r="A3815" s="59">
        <f t="shared" si="20"/>
        <v>60</v>
      </c>
      <c r="B3815" s="59" t="str">
        <f t="shared" si="21"/>
        <v/>
      </c>
      <c r="C3815" s="59" t="str">
        <f t="shared" si="22"/>
        <v/>
      </c>
      <c r="D3815" s="45" t="str">
        <f t="shared" si="23"/>
        <v/>
      </c>
      <c r="E3815" s="45" t="str">
        <f t="shared" si="24"/>
        <v/>
      </c>
      <c r="F3815" s="59" t="str">
        <f t="shared" si="25"/>
        <v/>
      </c>
      <c r="G3815" s="59" t="str">
        <f t="shared" si="26"/>
        <v/>
      </c>
      <c r="H3815" s="59" t="str">
        <f t="shared" si="27"/>
        <v>29E17410</v>
      </c>
      <c r="I3815" s="59" t="str">
        <f>IF(OR($A3815="",$C3815="",$D3815="",$E3815="",$H3815=""),"",SUMIFS(DATA_GOC!$H:$H,DATA_GOC!$A:$A,"BOM",DATA_GOC!$D:$D,$H3815,DATA_GOC!$E:$E,$C3815,DATA_GOC!$F:$F,"Xuất nội bộ từ téc",DATA_GOC!$B:$B,"&gt;="&amp;$D3815,DATA_GOC!$B:$B,"&lt;="&amp;$E3815))</f>
        <v/>
      </c>
      <c r="J3815" s="59">
        <f t="shared" si="28"/>
        <v>0</v>
      </c>
      <c r="K3815" s="59">
        <f t="shared" si="29"/>
        <v>0</v>
      </c>
      <c r="L3815" s="59">
        <f t="shared" si="30"/>
        <v>0</v>
      </c>
      <c r="M3815" s="59">
        <f t="shared" si="31"/>
        <v>0</v>
      </c>
    </row>
    <row r="3816" ht="15.0" hidden="1" customHeight="1">
      <c r="A3816" s="59">
        <f t="shared" si="20"/>
        <v>60</v>
      </c>
      <c r="B3816" s="59" t="str">
        <f t="shared" si="21"/>
        <v/>
      </c>
      <c r="C3816" s="59" t="str">
        <f t="shared" si="22"/>
        <v/>
      </c>
      <c r="D3816" s="45" t="str">
        <f t="shared" si="23"/>
        <v/>
      </c>
      <c r="E3816" s="45" t="str">
        <f t="shared" si="24"/>
        <v/>
      </c>
      <c r="F3816" s="59" t="str">
        <f t="shared" si="25"/>
        <v/>
      </c>
      <c r="G3816" s="59" t="str">
        <f t="shared" si="26"/>
        <v/>
      </c>
      <c r="H3816" s="59" t="str">
        <f t="shared" si="27"/>
        <v>29E17417</v>
      </c>
      <c r="I3816" s="59" t="str">
        <f>IF(OR($A3816="",$C3816="",$D3816="",$E3816="",$H3816=""),"",SUMIFS(DATA_GOC!$H:$H,DATA_GOC!$A:$A,"BOM",DATA_GOC!$D:$D,$H3816,DATA_GOC!$E:$E,$C3816,DATA_GOC!$F:$F,"Xuất nội bộ từ téc",DATA_GOC!$B:$B,"&gt;="&amp;$D3816,DATA_GOC!$B:$B,"&lt;="&amp;$E3816))</f>
        <v/>
      </c>
      <c r="J3816" s="59">
        <f t="shared" si="28"/>
        <v>0</v>
      </c>
      <c r="K3816" s="59">
        <f t="shared" si="29"/>
        <v>0</v>
      </c>
      <c r="L3816" s="59">
        <f t="shared" si="30"/>
        <v>0</v>
      </c>
      <c r="M3816" s="59">
        <f t="shared" si="31"/>
        <v>0</v>
      </c>
    </row>
    <row r="3817" ht="15.0" hidden="1" customHeight="1">
      <c r="A3817" s="59">
        <f t="shared" si="20"/>
        <v>60</v>
      </c>
      <c r="B3817" s="59" t="str">
        <f t="shared" si="21"/>
        <v/>
      </c>
      <c r="C3817" s="59" t="str">
        <f t="shared" si="22"/>
        <v/>
      </c>
      <c r="D3817" s="45" t="str">
        <f t="shared" si="23"/>
        <v/>
      </c>
      <c r="E3817" s="45" t="str">
        <f t="shared" si="24"/>
        <v/>
      </c>
      <c r="F3817" s="59" t="str">
        <f t="shared" si="25"/>
        <v/>
      </c>
      <c r="G3817" s="59" t="str">
        <f t="shared" si="26"/>
        <v/>
      </c>
      <c r="H3817" s="59" t="str">
        <f t="shared" si="27"/>
        <v>29E17539</v>
      </c>
      <c r="I3817" s="59" t="str">
        <f>IF(OR($A3817="",$C3817="",$D3817="",$E3817="",$H3817=""),"",SUMIFS(DATA_GOC!$H:$H,DATA_GOC!$A:$A,"BOM",DATA_GOC!$D:$D,$H3817,DATA_GOC!$E:$E,$C3817,DATA_GOC!$F:$F,"Xuất nội bộ từ téc",DATA_GOC!$B:$B,"&gt;="&amp;$D3817,DATA_GOC!$B:$B,"&lt;="&amp;$E3817))</f>
        <v/>
      </c>
      <c r="J3817" s="59">
        <f t="shared" si="28"/>
        <v>0</v>
      </c>
      <c r="K3817" s="59">
        <f t="shared" si="29"/>
        <v>0</v>
      </c>
      <c r="L3817" s="59">
        <f t="shared" si="30"/>
        <v>0</v>
      </c>
      <c r="M3817" s="59">
        <f t="shared" si="31"/>
        <v>0</v>
      </c>
    </row>
    <row r="3818" ht="15.0" hidden="1" customHeight="1">
      <c r="A3818" s="59">
        <f t="shared" si="20"/>
        <v>60</v>
      </c>
      <c r="B3818" s="59" t="str">
        <f t="shared" si="21"/>
        <v/>
      </c>
      <c r="C3818" s="59" t="str">
        <f t="shared" si="22"/>
        <v/>
      </c>
      <c r="D3818" s="45" t="str">
        <f t="shared" si="23"/>
        <v/>
      </c>
      <c r="E3818" s="45" t="str">
        <f t="shared" si="24"/>
        <v/>
      </c>
      <c r="F3818" s="59" t="str">
        <f t="shared" si="25"/>
        <v/>
      </c>
      <c r="G3818" s="59" t="str">
        <f t="shared" si="26"/>
        <v/>
      </c>
      <c r="H3818" s="59" t="str">
        <f t="shared" si="27"/>
        <v>29E18160</v>
      </c>
      <c r="I3818" s="59" t="str">
        <f>IF(OR($A3818="",$C3818="",$D3818="",$E3818="",$H3818=""),"",SUMIFS(DATA_GOC!$H:$H,DATA_GOC!$A:$A,"BOM",DATA_GOC!$D:$D,$H3818,DATA_GOC!$E:$E,$C3818,DATA_GOC!$F:$F,"Xuất nội bộ từ téc",DATA_GOC!$B:$B,"&gt;="&amp;$D3818,DATA_GOC!$B:$B,"&lt;="&amp;$E3818))</f>
        <v/>
      </c>
      <c r="J3818" s="59">
        <f t="shared" si="28"/>
        <v>0</v>
      </c>
      <c r="K3818" s="59">
        <f t="shared" si="29"/>
        <v>0</v>
      </c>
      <c r="L3818" s="59">
        <f t="shared" si="30"/>
        <v>0</v>
      </c>
      <c r="M3818" s="59">
        <f t="shared" si="31"/>
        <v>0</v>
      </c>
    </row>
    <row r="3819" ht="15.0" hidden="1" customHeight="1">
      <c r="A3819" s="59">
        <f t="shared" si="20"/>
        <v>60</v>
      </c>
      <c r="B3819" s="59" t="str">
        <f t="shared" si="21"/>
        <v/>
      </c>
      <c r="C3819" s="59" t="str">
        <f t="shared" si="22"/>
        <v/>
      </c>
      <c r="D3819" s="45" t="str">
        <f t="shared" si="23"/>
        <v/>
      </c>
      <c r="E3819" s="45" t="str">
        <f t="shared" si="24"/>
        <v/>
      </c>
      <c r="F3819" s="59" t="str">
        <f t="shared" si="25"/>
        <v/>
      </c>
      <c r="G3819" s="59" t="str">
        <f t="shared" si="26"/>
        <v/>
      </c>
      <c r="H3819" s="59" t="str">
        <f t="shared" si="27"/>
        <v>Công trình Asphalt</v>
      </c>
      <c r="I3819" s="59" t="str">
        <f>IF(OR($A3819="",$C3819="",$D3819="",$E3819="",$H3819=""),"",SUMIFS(DATA_GOC!$H:$H,DATA_GOC!$A:$A,"BOM",DATA_GOC!$D:$D,$H3819,DATA_GOC!$E:$E,$C3819,DATA_GOC!$F:$F,"Xuất nội bộ từ téc",DATA_GOC!$B:$B,"&gt;="&amp;$D3819,DATA_GOC!$B:$B,"&lt;="&amp;$E3819))</f>
        <v/>
      </c>
      <c r="J3819" s="59">
        <f t="shared" si="28"/>
        <v>0</v>
      </c>
      <c r="K3819" s="59">
        <f t="shared" si="29"/>
        <v>0</v>
      </c>
      <c r="L3819" s="59">
        <f t="shared" si="30"/>
        <v>0</v>
      </c>
      <c r="M3819" s="59">
        <f t="shared" si="31"/>
        <v>0</v>
      </c>
    </row>
    <row r="3820" ht="15.0" hidden="1" customHeight="1">
      <c r="A3820" s="59">
        <f t="shared" si="20"/>
        <v>60</v>
      </c>
      <c r="B3820" s="59" t="str">
        <f t="shared" si="21"/>
        <v/>
      </c>
      <c r="C3820" s="59" t="str">
        <f t="shared" si="22"/>
        <v/>
      </c>
      <c r="D3820" s="45" t="str">
        <f t="shared" si="23"/>
        <v/>
      </c>
      <c r="E3820" s="45" t="str">
        <f t="shared" si="24"/>
        <v/>
      </c>
      <c r="F3820" s="59" t="str">
        <f t="shared" si="25"/>
        <v/>
      </c>
      <c r="G3820" s="59" t="str">
        <f t="shared" si="26"/>
        <v/>
      </c>
      <c r="H3820" s="59" t="str">
        <f t="shared" si="27"/>
        <v>LG53F</v>
      </c>
      <c r="I3820" s="59" t="str">
        <f>IF(OR($A3820="",$C3820="",$D3820="",$E3820="",$H3820=""),"",SUMIFS(DATA_GOC!$H:$H,DATA_GOC!$A:$A,"BOM",DATA_GOC!$D:$D,$H3820,DATA_GOC!$E:$E,$C3820,DATA_GOC!$F:$F,"Xuất nội bộ từ téc",DATA_GOC!$B:$B,"&gt;="&amp;$D3820,DATA_GOC!$B:$B,"&lt;="&amp;$E3820))</f>
        <v/>
      </c>
      <c r="J3820" s="59">
        <f t="shared" si="28"/>
        <v>0</v>
      </c>
      <c r="K3820" s="59">
        <f t="shared" si="29"/>
        <v>0</v>
      </c>
      <c r="L3820" s="59">
        <f t="shared" si="30"/>
        <v>0</v>
      </c>
      <c r="M3820" s="59">
        <f t="shared" si="31"/>
        <v>0</v>
      </c>
    </row>
    <row r="3821" ht="15.0" hidden="1" customHeight="1">
      <c r="A3821" s="59">
        <f t="shared" si="20"/>
        <v>60</v>
      </c>
      <c r="B3821" s="59" t="str">
        <f t="shared" si="21"/>
        <v/>
      </c>
      <c r="C3821" s="59" t="str">
        <f t="shared" si="22"/>
        <v/>
      </c>
      <c r="D3821" s="45" t="str">
        <f t="shared" si="23"/>
        <v/>
      </c>
      <c r="E3821" s="45" t="str">
        <f t="shared" si="24"/>
        <v/>
      </c>
      <c r="F3821" s="59" t="str">
        <f t="shared" si="25"/>
        <v/>
      </c>
      <c r="G3821" s="59" t="str">
        <f t="shared" si="26"/>
        <v/>
      </c>
      <c r="H3821" s="59" t="str">
        <f t="shared" si="27"/>
        <v>Máy phát điện</v>
      </c>
      <c r="I3821" s="59" t="str">
        <f>IF(OR($A3821="",$C3821="",$D3821="",$E3821="",$H3821=""),"",SUMIFS(DATA_GOC!$H:$H,DATA_GOC!$A:$A,"BOM",DATA_GOC!$D:$D,$H3821,DATA_GOC!$E:$E,$C3821,DATA_GOC!$F:$F,"Xuất nội bộ từ téc",DATA_GOC!$B:$B,"&gt;="&amp;$D3821,DATA_GOC!$B:$B,"&lt;="&amp;$E3821))</f>
        <v/>
      </c>
      <c r="J3821" s="59">
        <f t="shared" si="28"/>
        <v>0</v>
      </c>
      <c r="K3821" s="59">
        <f t="shared" si="29"/>
        <v>0</v>
      </c>
      <c r="L3821" s="59">
        <f t="shared" si="30"/>
        <v>0</v>
      </c>
      <c r="M3821" s="59">
        <f t="shared" si="31"/>
        <v>0</v>
      </c>
    </row>
    <row r="3822" ht="15.0" hidden="1" customHeight="1">
      <c r="A3822" s="59">
        <f t="shared" si="20"/>
        <v>60</v>
      </c>
      <c r="B3822" s="59" t="str">
        <f t="shared" si="21"/>
        <v/>
      </c>
      <c r="C3822" s="59" t="str">
        <f t="shared" si="22"/>
        <v/>
      </c>
      <c r="D3822" s="45" t="str">
        <f t="shared" si="23"/>
        <v/>
      </c>
      <c r="E3822" s="45" t="str">
        <f t="shared" si="24"/>
        <v/>
      </c>
      <c r="F3822" s="59" t="str">
        <f t="shared" si="25"/>
        <v/>
      </c>
      <c r="G3822" s="59" t="str">
        <f t="shared" si="26"/>
        <v/>
      </c>
      <c r="H3822" s="59" t="str">
        <f t="shared" si="27"/>
        <v>Máy rải thảm</v>
      </c>
      <c r="I3822" s="59" t="str">
        <f>IF(OR($A3822="",$C3822="",$D3822="",$E3822="",$H3822=""),"",SUMIFS(DATA_GOC!$H:$H,DATA_GOC!$A:$A,"BOM",DATA_GOC!$D:$D,$H3822,DATA_GOC!$E:$E,$C3822,DATA_GOC!$F:$F,"Xuất nội bộ từ téc",DATA_GOC!$B:$B,"&gt;="&amp;$D3822,DATA_GOC!$B:$B,"&lt;="&amp;$E3822))</f>
        <v/>
      </c>
      <c r="J3822" s="59">
        <f t="shared" si="28"/>
        <v>0</v>
      </c>
      <c r="K3822" s="59">
        <f t="shared" si="29"/>
        <v>0</v>
      </c>
      <c r="L3822" s="59">
        <f t="shared" si="30"/>
        <v>0</v>
      </c>
      <c r="M3822" s="59">
        <f t="shared" si="31"/>
        <v>0</v>
      </c>
    </row>
    <row r="3823" ht="15.0" hidden="1" customHeight="1">
      <c r="A3823" s="59">
        <f t="shared" si="20"/>
        <v>60</v>
      </c>
      <c r="B3823" s="59" t="str">
        <f t="shared" si="21"/>
        <v/>
      </c>
      <c r="C3823" s="59" t="str">
        <f t="shared" si="22"/>
        <v/>
      </c>
      <c r="D3823" s="45" t="str">
        <f t="shared" si="23"/>
        <v/>
      </c>
      <c r="E3823" s="45" t="str">
        <f t="shared" si="24"/>
        <v/>
      </c>
      <c r="F3823" s="59" t="str">
        <f t="shared" si="25"/>
        <v/>
      </c>
      <c r="G3823" s="59" t="str">
        <f t="shared" si="26"/>
        <v/>
      </c>
      <c r="H3823" s="59" t="str">
        <f t="shared" si="27"/>
        <v>Xúc Đào</v>
      </c>
      <c r="I3823" s="59" t="str">
        <f>IF(OR($A3823="",$C3823="",$D3823="",$E3823="",$H3823=""),"",SUMIFS(DATA_GOC!$H:$H,DATA_GOC!$A:$A,"BOM",DATA_GOC!$D:$D,$H3823,DATA_GOC!$E:$E,$C3823,DATA_GOC!$F:$F,"Xuất nội bộ từ téc",DATA_GOC!$B:$B,"&gt;="&amp;$D3823,DATA_GOC!$B:$B,"&lt;="&amp;$E3823))</f>
        <v/>
      </c>
      <c r="J3823" s="59">
        <f t="shared" si="28"/>
        <v>0</v>
      </c>
      <c r="K3823" s="59">
        <f t="shared" si="29"/>
        <v>0</v>
      </c>
      <c r="L3823" s="59">
        <f t="shared" si="30"/>
        <v>0</v>
      </c>
      <c r="M3823" s="59">
        <f t="shared" si="31"/>
        <v>0</v>
      </c>
    </row>
    <row r="3824" ht="15.0" hidden="1" customHeight="1">
      <c r="A3824" s="59">
        <f t="shared" si="20"/>
        <v>60</v>
      </c>
      <c r="B3824" s="59" t="str">
        <f t="shared" si="21"/>
        <v/>
      </c>
      <c r="C3824" s="59" t="str">
        <f t="shared" si="22"/>
        <v/>
      </c>
      <c r="D3824" s="45" t="str">
        <f t="shared" si="23"/>
        <v/>
      </c>
      <c r="E3824" s="45" t="str">
        <f t="shared" si="24"/>
        <v/>
      </c>
      <c r="F3824" s="59" t="str">
        <f t="shared" si="25"/>
        <v/>
      </c>
      <c r="G3824" s="59" t="str">
        <f t="shared" si="26"/>
        <v/>
      </c>
      <c r="H3824" s="59" t="str">
        <f t="shared" si="27"/>
        <v>Xúclật asphalt</v>
      </c>
      <c r="I3824" s="59" t="str">
        <f>IF(OR($A3824="",$C3824="",$D3824="",$E3824="",$H3824=""),"",SUMIFS(DATA_GOC!$H:$H,DATA_GOC!$A:$A,"BOM",DATA_GOC!$D:$D,$H3824,DATA_GOC!$E:$E,$C3824,DATA_GOC!$F:$F,"Xuất nội bộ từ téc",DATA_GOC!$B:$B,"&gt;="&amp;$D3824,DATA_GOC!$B:$B,"&lt;="&amp;$E3824))</f>
        <v/>
      </c>
      <c r="J3824" s="59">
        <f t="shared" si="28"/>
        <v>0</v>
      </c>
      <c r="K3824" s="59">
        <f t="shared" si="29"/>
        <v>0</v>
      </c>
      <c r="L3824" s="59">
        <f t="shared" si="30"/>
        <v>0</v>
      </c>
      <c r="M3824" s="59">
        <f t="shared" si="31"/>
        <v>0</v>
      </c>
    </row>
    <row r="3825" ht="15.0" hidden="1" customHeight="1">
      <c r="A3825" s="59">
        <f t="shared" si="20"/>
        <v>60</v>
      </c>
      <c r="B3825" s="59" t="str">
        <f t="shared" si="21"/>
        <v/>
      </c>
      <c r="C3825" s="59" t="str">
        <f t="shared" si="22"/>
        <v/>
      </c>
      <c r="D3825" s="45" t="str">
        <f t="shared" si="23"/>
        <v/>
      </c>
      <c r="E3825" s="45" t="str">
        <f t="shared" si="24"/>
        <v/>
      </c>
      <c r="F3825" s="59" t="str">
        <f t="shared" si="25"/>
        <v/>
      </c>
      <c r="G3825" s="59" t="str">
        <f t="shared" si="26"/>
        <v/>
      </c>
      <c r="H3825" s="59" t="str">
        <f t="shared" si="27"/>
        <v>Xúclật855H</v>
      </c>
      <c r="I3825" s="59" t="str">
        <f>IF(OR($A3825="",$C3825="",$D3825="",$E3825="",$H3825=""),"",SUMIFS(DATA_GOC!$H:$H,DATA_GOC!$A:$A,"BOM",DATA_GOC!$D:$D,$H3825,DATA_GOC!$E:$E,$C3825,DATA_GOC!$F:$F,"Xuất nội bộ từ téc",DATA_GOC!$B:$B,"&gt;="&amp;$D3825,DATA_GOC!$B:$B,"&lt;="&amp;$E3825))</f>
        <v/>
      </c>
      <c r="J3825" s="59">
        <f t="shared" si="28"/>
        <v>0</v>
      </c>
      <c r="K3825" s="59">
        <f t="shared" si="29"/>
        <v>0</v>
      </c>
      <c r="L3825" s="59">
        <f t="shared" si="30"/>
        <v>0</v>
      </c>
      <c r="M3825" s="59">
        <f t="shared" si="31"/>
        <v>0</v>
      </c>
    </row>
    <row r="3826" ht="15.0" hidden="1" customHeight="1">
      <c r="A3826" s="59">
        <f t="shared" si="20"/>
        <v>60</v>
      </c>
      <c r="B3826" s="59" t="str">
        <f t="shared" si="21"/>
        <v/>
      </c>
      <c r="C3826" s="59" t="str">
        <f t="shared" si="22"/>
        <v/>
      </c>
      <c r="D3826" s="45" t="str">
        <f t="shared" si="23"/>
        <v/>
      </c>
      <c r="E3826" s="45" t="str">
        <f t="shared" si="24"/>
        <v/>
      </c>
      <c r="F3826" s="59" t="str">
        <f t="shared" si="25"/>
        <v/>
      </c>
      <c r="G3826" s="59" t="str">
        <f t="shared" si="26"/>
        <v/>
      </c>
      <c r="H3826" s="59" t="str">
        <f t="shared" si="27"/>
        <v>Xúclật855N</v>
      </c>
      <c r="I3826" s="59" t="str">
        <f>IF(OR($A3826="",$C3826="",$D3826="",$E3826="",$H3826=""),"",SUMIFS(DATA_GOC!$H:$H,DATA_GOC!$A:$A,"BOM",DATA_GOC!$D:$D,$H3826,DATA_GOC!$E:$E,$C3826,DATA_GOC!$F:$F,"Xuất nội bộ từ téc",DATA_GOC!$B:$B,"&gt;="&amp;$D3826,DATA_GOC!$B:$B,"&lt;="&amp;$E3826))</f>
        <v/>
      </c>
      <c r="J3826" s="59">
        <f t="shared" si="28"/>
        <v>0</v>
      </c>
      <c r="K3826" s="59">
        <f t="shared" si="29"/>
        <v>0</v>
      </c>
      <c r="L3826" s="59">
        <f t="shared" si="30"/>
        <v>0</v>
      </c>
      <c r="M3826" s="59">
        <f t="shared" si="31"/>
        <v>0</v>
      </c>
    </row>
    <row r="3827" ht="15.0" hidden="1" customHeight="1">
      <c r="A3827" s="59">
        <f t="shared" si="20"/>
        <v>60</v>
      </c>
      <c r="B3827" s="59" t="str">
        <f t="shared" si="21"/>
        <v/>
      </c>
      <c r="C3827" s="59" t="str">
        <f t="shared" si="22"/>
        <v/>
      </c>
      <c r="D3827" s="45" t="str">
        <f t="shared" si="23"/>
        <v/>
      </c>
      <c r="E3827" s="45" t="str">
        <f t="shared" si="24"/>
        <v/>
      </c>
      <c r="F3827" s="59" t="str">
        <f t="shared" si="25"/>
        <v/>
      </c>
      <c r="G3827" s="59" t="str">
        <f t="shared" si="26"/>
        <v/>
      </c>
      <c r="H3827" s="59" t="str">
        <f t="shared" si="27"/>
        <v>Cát nghiền</v>
      </c>
      <c r="I3827" s="59" t="str">
        <f>IF(OR($A3827="",$C3827="",$D3827="",$E3827="",$H3827=""),"",SUMIFS(DATA_GOC!$H:$H,DATA_GOC!$A:$A,"BOM",DATA_GOC!$D:$D,$H3827,DATA_GOC!$E:$E,$C3827,DATA_GOC!$F:$F,"Xuất nội bộ từ téc",DATA_GOC!$B:$B,"&gt;="&amp;$D3827,DATA_GOC!$B:$B,"&lt;="&amp;$E3827))</f>
        <v/>
      </c>
      <c r="J3827" s="59">
        <f t="shared" si="28"/>
        <v>0</v>
      </c>
      <c r="K3827" s="59">
        <f t="shared" si="29"/>
        <v>0</v>
      </c>
      <c r="L3827" s="59">
        <f t="shared" si="30"/>
        <v>0</v>
      </c>
      <c r="M3827" s="59">
        <f t="shared" si="31"/>
        <v>0</v>
      </c>
    </row>
    <row r="3828" ht="15.0" hidden="1" customHeight="1">
      <c r="A3828" s="59">
        <f t="shared" si="20"/>
        <v>60</v>
      </c>
      <c r="B3828" s="59" t="str">
        <f t="shared" si="21"/>
        <v/>
      </c>
      <c r="C3828" s="59" t="str">
        <f t="shared" si="22"/>
        <v/>
      </c>
      <c r="D3828" s="45" t="str">
        <f t="shared" si="23"/>
        <v/>
      </c>
      <c r="E3828" s="45" t="str">
        <f t="shared" si="24"/>
        <v/>
      </c>
      <c r="F3828" s="59" t="str">
        <f t="shared" si="25"/>
        <v/>
      </c>
      <c r="G3828" s="59" t="str">
        <f t="shared" si="26"/>
        <v/>
      </c>
      <c r="H3828" s="59" t="str">
        <f t="shared" si="27"/>
        <v>28C02973</v>
      </c>
      <c r="I3828" s="59" t="str">
        <f>IF(OR($A3828="",$C3828="",$D3828="",$E3828="",$H3828=""),"",SUMIFS(DATA_GOC!$H:$H,DATA_GOC!$A:$A,"BOM",DATA_GOC!$D:$D,$H3828,DATA_GOC!$E:$E,$C3828,DATA_GOC!$F:$F,"Xuất nội bộ từ téc",DATA_GOC!$B:$B,"&gt;="&amp;$D3828,DATA_GOC!$B:$B,"&lt;="&amp;$E3828))</f>
        <v/>
      </c>
      <c r="J3828" s="59">
        <f t="shared" si="28"/>
        <v>0</v>
      </c>
      <c r="K3828" s="59">
        <f t="shared" si="29"/>
        <v>0</v>
      </c>
      <c r="L3828" s="59">
        <f t="shared" si="30"/>
        <v>0</v>
      </c>
      <c r="M3828" s="59">
        <f t="shared" si="31"/>
        <v>0</v>
      </c>
    </row>
    <row r="3829" ht="15.0" hidden="1" customHeight="1">
      <c r="A3829" s="59">
        <f t="shared" si="20"/>
        <v>60</v>
      </c>
      <c r="B3829" s="59" t="str">
        <f t="shared" si="21"/>
        <v/>
      </c>
      <c r="C3829" s="59" t="str">
        <f t="shared" si="22"/>
        <v/>
      </c>
      <c r="D3829" s="45" t="str">
        <f t="shared" si="23"/>
        <v/>
      </c>
      <c r="E3829" s="45" t="str">
        <f t="shared" si="24"/>
        <v/>
      </c>
      <c r="F3829" s="59" t="str">
        <f t="shared" si="25"/>
        <v/>
      </c>
      <c r="G3829" s="59" t="str">
        <f t="shared" si="26"/>
        <v/>
      </c>
      <c r="H3829" s="59" t="str">
        <f t="shared" si="27"/>
        <v>28C03044</v>
      </c>
      <c r="I3829" s="59" t="str">
        <f>IF(OR($A3829="",$C3829="",$D3829="",$E3829="",$H3829=""),"",SUMIFS(DATA_GOC!$H:$H,DATA_GOC!$A:$A,"BOM",DATA_GOC!$D:$D,$H3829,DATA_GOC!$E:$E,$C3829,DATA_GOC!$F:$F,"Xuất nội bộ từ téc",DATA_GOC!$B:$B,"&gt;="&amp;$D3829,DATA_GOC!$B:$B,"&lt;="&amp;$E3829))</f>
        <v/>
      </c>
      <c r="J3829" s="59">
        <f t="shared" si="28"/>
        <v>0</v>
      </c>
      <c r="K3829" s="59">
        <f t="shared" si="29"/>
        <v>0</v>
      </c>
      <c r="L3829" s="59">
        <f t="shared" si="30"/>
        <v>0</v>
      </c>
      <c r="M3829" s="59">
        <f t="shared" si="31"/>
        <v>0</v>
      </c>
    </row>
    <row r="3830" ht="15.0" hidden="1" customHeight="1">
      <c r="A3830" s="59">
        <f t="shared" si="20"/>
        <v>60</v>
      </c>
      <c r="B3830" s="59" t="str">
        <f t="shared" si="21"/>
        <v/>
      </c>
      <c r="C3830" s="59" t="str">
        <f t="shared" si="22"/>
        <v/>
      </c>
      <c r="D3830" s="45" t="str">
        <f t="shared" si="23"/>
        <v/>
      </c>
      <c r="E3830" s="45" t="str">
        <f t="shared" si="24"/>
        <v/>
      </c>
      <c r="F3830" s="59" t="str">
        <f t="shared" si="25"/>
        <v/>
      </c>
      <c r="G3830" s="59" t="str">
        <f t="shared" si="26"/>
        <v/>
      </c>
      <c r="H3830" s="59" t="str">
        <f t="shared" si="27"/>
        <v>Máy lu lốp</v>
      </c>
      <c r="I3830" s="59" t="str">
        <f>IF(OR($A3830="",$C3830="",$D3830="",$E3830="",$H3830=""),"",SUMIFS(DATA_GOC!$H:$H,DATA_GOC!$A:$A,"BOM",DATA_GOC!$D:$D,$H3830,DATA_GOC!$E:$E,$C3830,DATA_GOC!$F:$F,"Xuất nội bộ từ téc",DATA_GOC!$B:$B,"&gt;="&amp;$D3830,DATA_GOC!$B:$B,"&lt;="&amp;$E3830))</f>
        <v/>
      </c>
      <c r="J3830" s="59">
        <f t="shared" si="28"/>
        <v>0</v>
      </c>
      <c r="K3830" s="59">
        <f t="shared" si="29"/>
        <v>0</v>
      </c>
      <c r="L3830" s="59">
        <f t="shared" si="30"/>
        <v>0</v>
      </c>
      <c r="M3830" s="59">
        <f t="shared" si="31"/>
        <v>0</v>
      </c>
    </row>
    <row r="3831" ht="15.0" hidden="1" customHeight="1">
      <c r="A3831" s="59">
        <f t="shared" si="20"/>
        <v>60</v>
      </c>
      <c r="B3831" s="59" t="str">
        <f t="shared" si="21"/>
        <v/>
      </c>
      <c r="C3831" s="59" t="str">
        <f t="shared" si="22"/>
        <v/>
      </c>
      <c r="D3831" s="45" t="str">
        <f t="shared" si="23"/>
        <v/>
      </c>
      <c r="E3831" s="45" t="str">
        <f t="shared" si="24"/>
        <v/>
      </c>
      <c r="F3831" s="59" t="str">
        <f t="shared" si="25"/>
        <v/>
      </c>
      <c r="G3831" s="59" t="str">
        <f t="shared" si="26"/>
        <v/>
      </c>
      <c r="H3831" s="59" t="str">
        <f t="shared" si="27"/>
        <v>Xe 600148</v>
      </c>
      <c r="I3831" s="59" t="str">
        <f>IF(OR($A3831="",$C3831="",$D3831="",$E3831="",$H3831=""),"",SUMIFS(DATA_GOC!$H:$H,DATA_GOC!$A:$A,"BOM",DATA_GOC!$D:$D,$H3831,DATA_GOC!$E:$E,$C3831,DATA_GOC!$F:$F,"Xuất nội bộ từ téc",DATA_GOC!$B:$B,"&gt;="&amp;$D3831,DATA_GOC!$B:$B,"&lt;="&amp;$E3831))</f>
        <v/>
      </c>
      <c r="J3831" s="59">
        <f t="shared" si="28"/>
        <v>0</v>
      </c>
      <c r="K3831" s="59">
        <f t="shared" si="29"/>
        <v>0</v>
      </c>
      <c r="L3831" s="59">
        <f t="shared" si="30"/>
        <v>0</v>
      </c>
      <c r="M3831" s="59">
        <f t="shared" si="31"/>
        <v>0</v>
      </c>
    </row>
    <row r="3832" ht="15.0" hidden="1" customHeight="1">
      <c r="A3832" s="59">
        <f t="shared" si="20"/>
        <v>60</v>
      </c>
      <c r="B3832" s="59" t="str">
        <f t="shared" si="21"/>
        <v/>
      </c>
      <c r="C3832" s="59" t="str">
        <f t="shared" si="22"/>
        <v/>
      </c>
      <c r="D3832" s="45" t="str">
        <f t="shared" si="23"/>
        <v/>
      </c>
      <c r="E3832" s="45" t="str">
        <f t="shared" si="24"/>
        <v/>
      </c>
      <c r="F3832" s="59" t="str">
        <f t="shared" si="25"/>
        <v/>
      </c>
      <c r="G3832" s="59" t="str">
        <f t="shared" si="26"/>
        <v/>
      </c>
      <c r="H3832" s="59" t="str">
        <f t="shared" si="27"/>
        <v>Xe ben mới</v>
      </c>
      <c r="I3832" s="59" t="str">
        <f>IF(OR($A3832="",$C3832="",$D3832="",$E3832="",$H3832=""),"",SUMIFS(DATA_GOC!$H:$H,DATA_GOC!$A:$A,"BOM",DATA_GOC!$D:$D,$H3832,DATA_GOC!$E:$E,$C3832,DATA_GOC!$F:$F,"Xuất nội bộ từ téc",DATA_GOC!$B:$B,"&gt;="&amp;$D3832,DATA_GOC!$B:$B,"&lt;="&amp;$E3832))</f>
        <v/>
      </c>
      <c r="J3832" s="59">
        <f t="shared" si="28"/>
        <v>0</v>
      </c>
      <c r="K3832" s="59">
        <f t="shared" si="29"/>
        <v>0</v>
      </c>
      <c r="L3832" s="59">
        <f t="shared" si="30"/>
        <v>0</v>
      </c>
      <c r="M3832" s="59">
        <f t="shared" si="31"/>
        <v>0</v>
      </c>
    </row>
    <row r="3833" ht="15.0" hidden="1" customHeight="1">
      <c r="A3833" s="59">
        <f t="shared" si="20"/>
        <v>61</v>
      </c>
      <c r="B3833" s="59" t="str">
        <f t="shared" si="21"/>
        <v/>
      </c>
      <c r="C3833" s="59" t="str">
        <f t="shared" si="22"/>
        <v/>
      </c>
      <c r="D3833" s="45" t="str">
        <f t="shared" si="23"/>
        <v/>
      </c>
      <c r="E3833" s="45" t="str">
        <f t="shared" si="24"/>
        <v/>
      </c>
      <c r="F3833" s="59" t="str">
        <f t="shared" si="25"/>
        <v/>
      </c>
      <c r="G3833" s="59" t="str">
        <f t="shared" si="26"/>
        <v/>
      </c>
      <c r="H3833" s="59" t="str">
        <f t="shared" si="27"/>
        <v>19H09482</v>
      </c>
      <c r="I3833" s="59" t="str">
        <f>IF(OR($A3833="",$C3833="",$D3833="",$E3833="",$H3833=""),"",SUMIFS(DATA_GOC!$H:$H,DATA_GOC!$A:$A,"BOM",DATA_GOC!$D:$D,$H3833,DATA_GOC!$E:$E,$C3833,DATA_GOC!$F:$F,"Xuất nội bộ từ téc",DATA_GOC!$B:$B,"&gt;="&amp;$D3833,DATA_GOC!$B:$B,"&lt;="&amp;$E3833))</f>
        <v/>
      </c>
      <c r="J3833" s="59">
        <f t="shared" si="28"/>
        <v>0</v>
      </c>
      <c r="K3833" s="59">
        <f t="shared" si="29"/>
        <v>0</v>
      </c>
      <c r="L3833" s="59">
        <f t="shared" si="30"/>
        <v>0</v>
      </c>
      <c r="M3833" s="59">
        <f t="shared" si="31"/>
        <v>0</v>
      </c>
    </row>
    <row r="3834" ht="15.0" hidden="1" customHeight="1">
      <c r="A3834" s="59">
        <f t="shared" si="20"/>
        <v>61</v>
      </c>
      <c r="B3834" s="59" t="str">
        <f t="shared" si="21"/>
        <v/>
      </c>
      <c r="C3834" s="59" t="str">
        <f t="shared" si="22"/>
        <v/>
      </c>
      <c r="D3834" s="45" t="str">
        <f t="shared" si="23"/>
        <v/>
      </c>
      <c r="E3834" s="45" t="str">
        <f t="shared" si="24"/>
        <v/>
      </c>
      <c r="F3834" s="59" t="str">
        <f t="shared" si="25"/>
        <v/>
      </c>
      <c r="G3834" s="59" t="str">
        <f t="shared" si="26"/>
        <v/>
      </c>
      <c r="H3834" s="59" t="str">
        <f t="shared" si="27"/>
        <v>28A30696</v>
      </c>
      <c r="I3834" s="59" t="str">
        <f>IF(OR($A3834="",$C3834="",$D3834="",$E3834="",$H3834=""),"",SUMIFS(DATA_GOC!$H:$H,DATA_GOC!$A:$A,"BOM",DATA_GOC!$D:$D,$H3834,DATA_GOC!$E:$E,$C3834,DATA_GOC!$F:$F,"Xuất nội bộ từ téc",DATA_GOC!$B:$B,"&gt;="&amp;$D3834,DATA_GOC!$B:$B,"&lt;="&amp;$E3834))</f>
        <v/>
      </c>
      <c r="J3834" s="59">
        <f t="shared" si="28"/>
        <v>0</v>
      </c>
      <c r="K3834" s="59">
        <f t="shared" si="29"/>
        <v>0</v>
      </c>
      <c r="L3834" s="59">
        <f t="shared" si="30"/>
        <v>0</v>
      </c>
      <c r="M3834" s="59">
        <f t="shared" si="31"/>
        <v>0</v>
      </c>
    </row>
    <row r="3835" ht="15.0" hidden="1" customHeight="1">
      <c r="A3835" s="59">
        <f t="shared" si="20"/>
        <v>61</v>
      </c>
      <c r="B3835" s="59" t="str">
        <f t="shared" si="21"/>
        <v/>
      </c>
      <c r="C3835" s="59" t="str">
        <f t="shared" si="22"/>
        <v/>
      </c>
      <c r="D3835" s="45" t="str">
        <f t="shared" si="23"/>
        <v/>
      </c>
      <c r="E3835" s="45" t="str">
        <f t="shared" si="24"/>
        <v/>
      </c>
      <c r="F3835" s="59" t="str">
        <f t="shared" si="25"/>
        <v/>
      </c>
      <c r="G3835" s="59" t="str">
        <f t="shared" si="26"/>
        <v/>
      </c>
      <c r="H3835" s="59" t="str">
        <f t="shared" si="27"/>
        <v>28C00462</v>
      </c>
      <c r="I3835" s="59" t="str">
        <f>IF(OR($A3835="",$C3835="",$D3835="",$E3835="",$H3835=""),"",SUMIFS(DATA_GOC!$H:$H,DATA_GOC!$A:$A,"BOM",DATA_GOC!$D:$D,$H3835,DATA_GOC!$E:$E,$C3835,DATA_GOC!$F:$F,"Xuất nội bộ từ téc",DATA_GOC!$B:$B,"&gt;="&amp;$D3835,DATA_GOC!$B:$B,"&lt;="&amp;$E3835))</f>
        <v/>
      </c>
      <c r="J3835" s="59">
        <f t="shared" si="28"/>
        <v>0</v>
      </c>
      <c r="K3835" s="59">
        <f t="shared" si="29"/>
        <v>0</v>
      </c>
      <c r="L3835" s="59">
        <f t="shared" si="30"/>
        <v>0</v>
      </c>
      <c r="M3835" s="59">
        <f t="shared" si="31"/>
        <v>0</v>
      </c>
    </row>
    <row r="3836" ht="15.0" hidden="1" customHeight="1">
      <c r="A3836" s="59">
        <f t="shared" si="20"/>
        <v>61</v>
      </c>
      <c r="B3836" s="59" t="str">
        <f t="shared" si="21"/>
        <v/>
      </c>
      <c r="C3836" s="59" t="str">
        <f t="shared" si="22"/>
        <v/>
      </c>
      <c r="D3836" s="45" t="str">
        <f t="shared" si="23"/>
        <v/>
      </c>
      <c r="E3836" s="45" t="str">
        <f t="shared" si="24"/>
        <v/>
      </c>
      <c r="F3836" s="59" t="str">
        <f t="shared" si="25"/>
        <v/>
      </c>
      <c r="G3836" s="59" t="str">
        <f t="shared" si="26"/>
        <v/>
      </c>
      <c r="H3836" s="59" t="str">
        <f t="shared" si="27"/>
        <v>28C01165</v>
      </c>
      <c r="I3836" s="59" t="str">
        <f>IF(OR($A3836="",$C3836="",$D3836="",$E3836="",$H3836=""),"",SUMIFS(DATA_GOC!$H:$H,DATA_GOC!$A:$A,"BOM",DATA_GOC!$D:$D,$H3836,DATA_GOC!$E:$E,$C3836,DATA_GOC!$F:$F,"Xuất nội bộ từ téc",DATA_GOC!$B:$B,"&gt;="&amp;$D3836,DATA_GOC!$B:$B,"&lt;="&amp;$E3836))</f>
        <v/>
      </c>
      <c r="J3836" s="59">
        <f t="shared" si="28"/>
        <v>0</v>
      </c>
      <c r="K3836" s="59">
        <f t="shared" si="29"/>
        <v>0</v>
      </c>
      <c r="L3836" s="59">
        <f t="shared" si="30"/>
        <v>0</v>
      </c>
      <c r="M3836" s="59">
        <f t="shared" si="31"/>
        <v>0</v>
      </c>
    </row>
    <row r="3837" ht="15.0" hidden="1" customHeight="1">
      <c r="A3837" s="59">
        <f t="shared" si="20"/>
        <v>61</v>
      </c>
      <c r="B3837" s="59" t="str">
        <f t="shared" si="21"/>
        <v/>
      </c>
      <c r="C3837" s="59" t="str">
        <f t="shared" si="22"/>
        <v/>
      </c>
      <c r="D3837" s="45" t="str">
        <f t="shared" si="23"/>
        <v/>
      </c>
      <c r="E3837" s="45" t="str">
        <f t="shared" si="24"/>
        <v/>
      </c>
      <c r="F3837" s="59" t="str">
        <f t="shared" si="25"/>
        <v/>
      </c>
      <c r="G3837" s="59" t="str">
        <f t="shared" si="26"/>
        <v/>
      </c>
      <c r="H3837" s="59" t="str">
        <f t="shared" si="27"/>
        <v>28C01406</v>
      </c>
      <c r="I3837" s="59" t="str">
        <f>IF(OR($A3837="",$C3837="",$D3837="",$E3837="",$H3837=""),"",SUMIFS(DATA_GOC!$H:$H,DATA_GOC!$A:$A,"BOM",DATA_GOC!$D:$D,$H3837,DATA_GOC!$E:$E,$C3837,DATA_GOC!$F:$F,"Xuất nội bộ từ téc",DATA_GOC!$B:$B,"&gt;="&amp;$D3837,DATA_GOC!$B:$B,"&lt;="&amp;$E3837))</f>
        <v/>
      </c>
      <c r="J3837" s="59">
        <f t="shared" si="28"/>
        <v>0</v>
      </c>
      <c r="K3837" s="59">
        <f t="shared" si="29"/>
        <v>0</v>
      </c>
      <c r="L3837" s="59">
        <f t="shared" si="30"/>
        <v>0</v>
      </c>
      <c r="M3837" s="59">
        <f t="shared" si="31"/>
        <v>0</v>
      </c>
    </row>
    <row r="3838" ht="15.0" hidden="1" customHeight="1">
      <c r="A3838" s="59">
        <f t="shared" si="20"/>
        <v>61</v>
      </c>
      <c r="B3838" s="59" t="str">
        <f t="shared" si="21"/>
        <v/>
      </c>
      <c r="C3838" s="59" t="str">
        <f t="shared" si="22"/>
        <v/>
      </c>
      <c r="D3838" s="45" t="str">
        <f t="shared" si="23"/>
        <v/>
      </c>
      <c r="E3838" s="45" t="str">
        <f t="shared" si="24"/>
        <v/>
      </c>
      <c r="F3838" s="59" t="str">
        <f t="shared" si="25"/>
        <v/>
      </c>
      <c r="G3838" s="59" t="str">
        <f t="shared" si="26"/>
        <v/>
      </c>
      <c r="H3838" s="59" t="str">
        <f t="shared" si="27"/>
        <v>28C01544</v>
      </c>
      <c r="I3838" s="59" t="str">
        <f>IF(OR($A3838="",$C3838="",$D3838="",$E3838="",$H3838=""),"",SUMIFS(DATA_GOC!$H:$H,DATA_GOC!$A:$A,"BOM",DATA_GOC!$D:$D,$H3838,DATA_GOC!$E:$E,$C3838,DATA_GOC!$F:$F,"Xuất nội bộ từ téc",DATA_GOC!$B:$B,"&gt;="&amp;$D3838,DATA_GOC!$B:$B,"&lt;="&amp;$E3838))</f>
        <v/>
      </c>
      <c r="J3838" s="59">
        <f t="shared" si="28"/>
        <v>0</v>
      </c>
      <c r="K3838" s="59">
        <f t="shared" si="29"/>
        <v>0</v>
      </c>
      <c r="L3838" s="59">
        <f t="shared" si="30"/>
        <v>0</v>
      </c>
      <c r="M3838" s="59">
        <f t="shared" si="31"/>
        <v>0</v>
      </c>
    </row>
    <row r="3839" ht="15.0" hidden="1" customHeight="1">
      <c r="A3839" s="59">
        <f t="shared" si="20"/>
        <v>61</v>
      </c>
      <c r="B3839" s="59" t="str">
        <f t="shared" si="21"/>
        <v/>
      </c>
      <c r="C3839" s="59" t="str">
        <f t="shared" si="22"/>
        <v/>
      </c>
      <c r="D3839" s="45" t="str">
        <f t="shared" si="23"/>
        <v/>
      </c>
      <c r="E3839" s="45" t="str">
        <f t="shared" si="24"/>
        <v/>
      </c>
      <c r="F3839" s="59" t="str">
        <f t="shared" si="25"/>
        <v/>
      </c>
      <c r="G3839" s="59" t="str">
        <f t="shared" si="26"/>
        <v/>
      </c>
      <c r="H3839" s="59" t="str">
        <f t="shared" si="27"/>
        <v>28C01622</v>
      </c>
      <c r="I3839" s="59" t="str">
        <f>IF(OR($A3839="",$C3839="",$D3839="",$E3839="",$H3839=""),"",SUMIFS(DATA_GOC!$H:$H,DATA_GOC!$A:$A,"BOM",DATA_GOC!$D:$D,$H3839,DATA_GOC!$E:$E,$C3839,DATA_GOC!$F:$F,"Xuất nội bộ từ téc",DATA_GOC!$B:$B,"&gt;="&amp;$D3839,DATA_GOC!$B:$B,"&lt;="&amp;$E3839))</f>
        <v/>
      </c>
      <c r="J3839" s="59">
        <f t="shared" si="28"/>
        <v>0</v>
      </c>
      <c r="K3839" s="59">
        <f t="shared" si="29"/>
        <v>0</v>
      </c>
      <c r="L3839" s="59">
        <f t="shared" si="30"/>
        <v>0</v>
      </c>
      <c r="M3839" s="59">
        <f t="shared" si="31"/>
        <v>0</v>
      </c>
    </row>
    <row r="3840" ht="15.0" hidden="1" customHeight="1">
      <c r="A3840" s="59">
        <f t="shared" si="20"/>
        <v>61</v>
      </c>
      <c r="B3840" s="59" t="str">
        <f t="shared" si="21"/>
        <v/>
      </c>
      <c r="C3840" s="59" t="str">
        <f t="shared" si="22"/>
        <v/>
      </c>
      <c r="D3840" s="45" t="str">
        <f t="shared" si="23"/>
        <v/>
      </c>
      <c r="E3840" s="45" t="str">
        <f t="shared" si="24"/>
        <v/>
      </c>
      <c r="F3840" s="59" t="str">
        <f t="shared" si="25"/>
        <v/>
      </c>
      <c r="G3840" s="59" t="str">
        <f t="shared" si="26"/>
        <v/>
      </c>
      <c r="H3840" s="59" t="str">
        <f t="shared" si="27"/>
        <v>28C01647</v>
      </c>
      <c r="I3840" s="59" t="str">
        <f>IF(OR($A3840="",$C3840="",$D3840="",$E3840="",$H3840=""),"",SUMIFS(DATA_GOC!$H:$H,DATA_GOC!$A:$A,"BOM",DATA_GOC!$D:$D,$H3840,DATA_GOC!$E:$E,$C3840,DATA_GOC!$F:$F,"Xuất nội bộ từ téc",DATA_GOC!$B:$B,"&gt;="&amp;$D3840,DATA_GOC!$B:$B,"&lt;="&amp;$E3840))</f>
        <v/>
      </c>
      <c r="J3840" s="59">
        <f t="shared" si="28"/>
        <v>0</v>
      </c>
      <c r="K3840" s="59">
        <f t="shared" si="29"/>
        <v>0</v>
      </c>
      <c r="L3840" s="59">
        <f t="shared" si="30"/>
        <v>0</v>
      </c>
      <c r="M3840" s="59">
        <f t="shared" si="31"/>
        <v>0</v>
      </c>
    </row>
    <row r="3841" ht="15.0" hidden="1" customHeight="1">
      <c r="A3841" s="59">
        <f t="shared" si="20"/>
        <v>61</v>
      </c>
      <c r="B3841" s="59" t="str">
        <f t="shared" si="21"/>
        <v/>
      </c>
      <c r="C3841" s="59" t="str">
        <f t="shared" si="22"/>
        <v/>
      </c>
      <c r="D3841" s="45" t="str">
        <f t="shared" si="23"/>
        <v/>
      </c>
      <c r="E3841" s="45" t="str">
        <f t="shared" si="24"/>
        <v/>
      </c>
      <c r="F3841" s="59" t="str">
        <f t="shared" si="25"/>
        <v/>
      </c>
      <c r="G3841" s="59" t="str">
        <f t="shared" si="26"/>
        <v/>
      </c>
      <c r="H3841" s="59" t="str">
        <f t="shared" si="27"/>
        <v>28C01731</v>
      </c>
      <c r="I3841" s="59" t="str">
        <f>IF(OR($A3841="",$C3841="",$D3841="",$E3841="",$H3841=""),"",SUMIFS(DATA_GOC!$H:$H,DATA_GOC!$A:$A,"BOM",DATA_GOC!$D:$D,$H3841,DATA_GOC!$E:$E,$C3841,DATA_GOC!$F:$F,"Xuất nội bộ từ téc",DATA_GOC!$B:$B,"&gt;="&amp;$D3841,DATA_GOC!$B:$B,"&lt;="&amp;$E3841))</f>
        <v/>
      </c>
      <c r="J3841" s="59">
        <f t="shared" si="28"/>
        <v>0</v>
      </c>
      <c r="K3841" s="59">
        <f t="shared" si="29"/>
        <v>0</v>
      </c>
      <c r="L3841" s="59">
        <f t="shared" si="30"/>
        <v>0</v>
      </c>
      <c r="M3841" s="59">
        <f t="shared" si="31"/>
        <v>0</v>
      </c>
    </row>
    <row r="3842" ht="15.0" hidden="1" customHeight="1">
      <c r="A3842" s="59">
        <f t="shared" si="20"/>
        <v>61</v>
      </c>
      <c r="B3842" s="59" t="str">
        <f t="shared" si="21"/>
        <v/>
      </c>
      <c r="C3842" s="59" t="str">
        <f t="shared" si="22"/>
        <v/>
      </c>
      <c r="D3842" s="45" t="str">
        <f t="shared" si="23"/>
        <v/>
      </c>
      <c r="E3842" s="45" t="str">
        <f t="shared" si="24"/>
        <v/>
      </c>
      <c r="F3842" s="59" t="str">
        <f t="shared" si="25"/>
        <v/>
      </c>
      <c r="G3842" s="59" t="str">
        <f t="shared" si="26"/>
        <v/>
      </c>
      <c r="H3842" s="59" t="str">
        <f t="shared" si="27"/>
        <v>28C01743</v>
      </c>
      <c r="I3842" s="59" t="str">
        <f>IF(OR($A3842="",$C3842="",$D3842="",$E3842="",$H3842=""),"",SUMIFS(DATA_GOC!$H:$H,DATA_GOC!$A:$A,"BOM",DATA_GOC!$D:$D,$H3842,DATA_GOC!$E:$E,$C3842,DATA_GOC!$F:$F,"Xuất nội bộ từ téc",DATA_GOC!$B:$B,"&gt;="&amp;$D3842,DATA_GOC!$B:$B,"&lt;="&amp;$E3842))</f>
        <v/>
      </c>
      <c r="J3842" s="59">
        <f t="shared" si="28"/>
        <v>0</v>
      </c>
      <c r="K3842" s="59">
        <f t="shared" si="29"/>
        <v>0</v>
      </c>
      <c r="L3842" s="59">
        <f t="shared" si="30"/>
        <v>0</v>
      </c>
      <c r="M3842" s="59">
        <f t="shared" si="31"/>
        <v>0</v>
      </c>
    </row>
    <row r="3843" ht="15.0" hidden="1" customHeight="1">
      <c r="A3843" s="59">
        <f t="shared" si="20"/>
        <v>61</v>
      </c>
      <c r="B3843" s="59" t="str">
        <f t="shared" si="21"/>
        <v/>
      </c>
      <c r="C3843" s="59" t="str">
        <f t="shared" si="22"/>
        <v/>
      </c>
      <c r="D3843" s="45" t="str">
        <f t="shared" si="23"/>
        <v/>
      </c>
      <c r="E3843" s="45" t="str">
        <f t="shared" si="24"/>
        <v/>
      </c>
      <c r="F3843" s="59" t="str">
        <f t="shared" si="25"/>
        <v/>
      </c>
      <c r="G3843" s="59" t="str">
        <f t="shared" si="26"/>
        <v/>
      </c>
      <c r="H3843" s="59" t="str">
        <f t="shared" si="27"/>
        <v>28C02106</v>
      </c>
      <c r="I3843" s="59" t="str">
        <f>IF(OR($A3843="",$C3843="",$D3843="",$E3843="",$H3843=""),"",SUMIFS(DATA_GOC!$H:$H,DATA_GOC!$A:$A,"BOM",DATA_GOC!$D:$D,$H3843,DATA_GOC!$E:$E,$C3843,DATA_GOC!$F:$F,"Xuất nội bộ từ téc",DATA_GOC!$B:$B,"&gt;="&amp;$D3843,DATA_GOC!$B:$B,"&lt;="&amp;$E3843))</f>
        <v/>
      </c>
      <c r="J3843" s="59">
        <f t="shared" si="28"/>
        <v>0</v>
      </c>
      <c r="K3843" s="59">
        <f t="shared" si="29"/>
        <v>0</v>
      </c>
      <c r="L3843" s="59">
        <f t="shared" si="30"/>
        <v>0</v>
      </c>
      <c r="M3843" s="59">
        <f t="shared" si="31"/>
        <v>0</v>
      </c>
    </row>
    <row r="3844" ht="15.0" hidden="1" customHeight="1">
      <c r="A3844" s="59">
        <f t="shared" si="20"/>
        <v>61</v>
      </c>
      <c r="B3844" s="59" t="str">
        <f t="shared" si="21"/>
        <v/>
      </c>
      <c r="C3844" s="59" t="str">
        <f t="shared" si="22"/>
        <v/>
      </c>
      <c r="D3844" s="45" t="str">
        <f t="shared" si="23"/>
        <v/>
      </c>
      <c r="E3844" s="45" t="str">
        <f t="shared" si="24"/>
        <v/>
      </c>
      <c r="F3844" s="59" t="str">
        <f t="shared" si="25"/>
        <v/>
      </c>
      <c r="G3844" s="59" t="str">
        <f t="shared" si="26"/>
        <v/>
      </c>
      <c r="H3844" s="59" t="str">
        <f t="shared" si="27"/>
        <v>28C02410</v>
      </c>
      <c r="I3844" s="59" t="str">
        <f>IF(OR($A3844="",$C3844="",$D3844="",$E3844="",$H3844=""),"",SUMIFS(DATA_GOC!$H:$H,DATA_GOC!$A:$A,"BOM",DATA_GOC!$D:$D,$H3844,DATA_GOC!$E:$E,$C3844,DATA_GOC!$F:$F,"Xuất nội bộ từ téc",DATA_GOC!$B:$B,"&gt;="&amp;$D3844,DATA_GOC!$B:$B,"&lt;="&amp;$E3844))</f>
        <v/>
      </c>
      <c r="J3844" s="59">
        <f t="shared" si="28"/>
        <v>0</v>
      </c>
      <c r="K3844" s="59">
        <f t="shared" si="29"/>
        <v>0</v>
      </c>
      <c r="L3844" s="59">
        <f t="shared" si="30"/>
        <v>0</v>
      </c>
      <c r="M3844" s="59">
        <f t="shared" si="31"/>
        <v>0</v>
      </c>
    </row>
    <row r="3845" ht="15.0" hidden="1" customHeight="1">
      <c r="A3845" s="59">
        <f t="shared" si="20"/>
        <v>61</v>
      </c>
      <c r="B3845" s="59" t="str">
        <f t="shared" si="21"/>
        <v/>
      </c>
      <c r="C3845" s="59" t="str">
        <f t="shared" si="22"/>
        <v/>
      </c>
      <c r="D3845" s="45" t="str">
        <f t="shared" si="23"/>
        <v/>
      </c>
      <c r="E3845" s="45" t="str">
        <f t="shared" si="24"/>
        <v/>
      </c>
      <c r="F3845" s="59" t="str">
        <f t="shared" si="25"/>
        <v/>
      </c>
      <c r="G3845" s="59" t="str">
        <f t="shared" si="26"/>
        <v/>
      </c>
      <c r="H3845" s="59" t="str">
        <f t="shared" si="27"/>
        <v>28C02545</v>
      </c>
      <c r="I3845" s="59" t="str">
        <f>IF(OR($A3845="",$C3845="",$D3845="",$E3845="",$H3845=""),"",SUMIFS(DATA_GOC!$H:$H,DATA_GOC!$A:$A,"BOM",DATA_GOC!$D:$D,$H3845,DATA_GOC!$E:$E,$C3845,DATA_GOC!$F:$F,"Xuất nội bộ từ téc",DATA_GOC!$B:$B,"&gt;="&amp;$D3845,DATA_GOC!$B:$B,"&lt;="&amp;$E3845))</f>
        <v/>
      </c>
      <c r="J3845" s="59">
        <f t="shared" si="28"/>
        <v>0</v>
      </c>
      <c r="K3845" s="59">
        <f t="shared" si="29"/>
        <v>0</v>
      </c>
      <c r="L3845" s="59">
        <f t="shared" si="30"/>
        <v>0</v>
      </c>
      <c r="M3845" s="59">
        <f t="shared" si="31"/>
        <v>0</v>
      </c>
    </row>
    <row r="3846" ht="15.0" hidden="1" customHeight="1">
      <c r="A3846" s="59">
        <f t="shared" si="20"/>
        <v>61</v>
      </c>
      <c r="B3846" s="59" t="str">
        <f t="shared" si="21"/>
        <v/>
      </c>
      <c r="C3846" s="59" t="str">
        <f t="shared" si="22"/>
        <v/>
      </c>
      <c r="D3846" s="45" t="str">
        <f t="shared" si="23"/>
        <v/>
      </c>
      <c r="E3846" s="45" t="str">
        <f t="shared" si="24"/>
        <v/>
      </c>
      <c r="F3846" s="59" t="str">
        <f t="shared" si="25"/>
        <v/>
      </c>
      <c r="G3846" s="59" t="str">
        <f t="shared" si="26"/>
        <v/>
      </c>
      <c r="H3846" s="59" t="str">
        <f t="shared" si="27"/>
        <v>28C02574</v>
      </c>
      <c r="I3846" s="59" t="str">
        <f>IF(OR($A3846="",$C3846="",$D3846="",$E3846="",$H3846=""),"",SUMIFS(DATA_GOC!$H:$H,DATA_GOC!$A:$A,"BOM",DATA_GOC!$D:$D,$H3846,DATA_GOC!$E:$E,$C3846,DATA_GOC!$F:$F,"Xuất nội bộ từ téc",DATA_GOC!$B:$B,"&gt;="&amp;$D3846,DATA_GOC!$B:$B,"&lt;="&amp;$E3846))</f>
        <v/>
      </c>
      <c r="J3846" s="59">
        <f t="shared" si="28"/>
        <v>0</v>
      </c>
      <c r="K3846" s="59">
        <f t="shared" si="29"/>
        <v>0</v>
      </c>
      <c r="L3846" s="59">
        <f t="shared" si="30"/>
        <v>0</v>
      </c>
      <c r="M3846" s="59">
        <f t="shared" si="31"/>
        <v>0</v>
      </c>
    </row>
    <row r="3847" ht="15.0" hidden="1" customHeight="1">
      <c r="A3847" s="59">
        <f t="shared" si="20"/>
        <v>61</v>
      </c>
      <c r="B3847" s="59" t="str">
        <f t="shared" si="21"/>
        <v/>
      </c>
      <c r="C3847" s="59" t="str">
        <f t="shared" si="22"/>
        <v/>
      </c>
      <c r="D3847" s="45" t="str">
        <f t="shared" si="23"/>
        <v/>
      </c>
      <c r="E3847" s="45" t="str">
        <f t="shared" si="24"/>
        <v/>
      </c>
      <c r="F3847" s="59" t="str">
        <f t="shared" si="25"/>
        <v/>
      </c>
      <c r="G3847" s="59" t="str">
        <f t="shared" si="26"/>
        <v/>
      </c>
      <c r="H3847" s="59" t="str">
        <f t="shared" si="27"/>
        <v>28C02770</v>
      </c>
      <c r="I3847" s="59" t="str">
        <f>IF(OR($A3847="",$C3847="",$D3847="",$E3847="",$H3847=""),"",SUMIFS(DATA_GOC!$H:$H,DATA_GOC!$A:$A,"BOM",DATA_GOC!$D:$D,$H3847,DATA_GOC!$E:$E,$C3847,DATA_GOC!$F:$F,"Xuất nội bộ từ téc",DATA_GOC!$B:$B,"&gt;="&amp;$D3847,DATA_GOC!$B:$B,"&lt;="&amp;$E3847))</f>
        <v/>
      </c>
      <c r="J3847" s="59">
        <f t="shared" si="28"/>
        <v>0</v>
      </c>
      <c r="K3847" s="59">
        <f t="shared" si="29"/>
        <v>0</v>
      </c>
      <c r="L3847" s="59">
        <f t="shared" si="30"/>
        <v>0</v>
      </c>
      <c r="M3847" s="59">
        <f t="shared" si="31"/>
        <v>0</v>
      </c>
    </row>
    <row r="3848" ht="15.0" hidden="1" customHeight="1">
      <c r="A3848" s="59">
        <f t="shared" si="20"/>
        <v>61</v>
      </c>
      <c r="B3848" s="59" t="str">
        <f t="shared" si="21"/>
        <v/>
      </c>
      <c r="C3848" s="59" t="str">
        <f t="shared" si="22"/>
        <v/>
      </c>
      <c r="D3848" s="45" t="str">
        <f t="shared" si="23"/>
        <v/>
      </c>
      <c r="E3848" s="45" t="str">
        <f t="shared" si="24"/>
        <v/>
      </c>
      <c r="F3848" s="59" t="str">
        <f t="shared" si="25"/>
        <v/>
      </c>
      <c r="G3848" s="59" t="str">
        <f t="shared" si="26"/>
        <v/>
      </c>
      <c r="H3848" s="59" t="str">
        <f t="shared" si="27"/>
        <v>28C02986</v>
      </c>
      <c r="I3848" s="59" t="str">
        <f>IF(OR($A3848="",$C3848="",$D3848="",$E3848="",$H3848=""),"",SUMIFS(DATA_GOC!$H:$H,DATA_GOC!$A:$A,"BOM",DATA_GOC!$D:$D,$H3848,DATA_GOC!$E:$E,$C3848,DATA_GOC!$F:$F,"Xuất nội bộ từ téc",DATA_GOC!$B:$B,"&gt;="&amp;$D3848,DATA_GOC!$B:$B,"&lt;="&amp;$E3848))</f>
        <v/>
      </c>
      <c r="J3848" s="59">
        <f t="shared" si="28"/>
        <v>0</v>
      </c>
      <c r="K3848" s="59">
        <f t="shared" si="29"/>
        <v>0</v>
      </c>
      <c r="L3848" s="59">
        <f t="shared" si="30"/>
        <v>0</v>
      </c>
      <c r="M3848" s="59">
        <f t="shared" si="31"/>
        <v>0</v>
      </c>
    </row>
    <row r="3849" ht="15.0" hidden="1" customHeight="1">
      <c r="A3849" s="59">
        <f t="shared" si="20"/>
        <v>61</v>
      </c>
      <c r="B3849" s="59" t="str">
        <f t="shared" si="21"/>
        <v/>
      </c>
      <c r="C3849" s="59" t="str">
        <f t="shared" si="22"/>
        <v/>
      </c>
      <c r="D3849" s="45" t="str">
        <f t="shared" si="23"/>
        <v/>
      </c>
      <c r="E3849" s="45" t="str">
        <f t="shared" si="24"/>
        <v/>
      </c>
      <c r="F3849" s="59" t="str">
        <f t="shared" si="25"/>
        <v/>
      </c>
      <c r="G3849" s="59" t="str">
        <f t="shared" si="26"/>
        <v/>
      </c>
      <c r="H3849" s="59" t="str">
        <f t="shared" si="27"/>
        <v>28C03261</v>
      </c>
      <c r="I3849" s="59" t="str">
        <f>IF(OR($A3849="",$C3849="",$D3849="",$E3849="",$H3849=""),"",SUMIFS(DATA_GOC!$H:$H,DATA_GOC!$A:$A,"BOM",DATA_GOC!$D:$D,$H3849,DATA_GOC!$E:$E,$C3849,DATA_GOC!$F:$F,"Xuất nội bộ từ téc",DATA_GOC!$B:$B,"&gt;="&amp;$D3849,DATA_GOC!$B:$B,"&lt;="&amp;$E3849))</f>
        <v/>
      </c>
      <c r="J3849" s="59">
        <f t="shared" si="28"/>
        <v>0</v>
      </c>
      <c r="K3849" s="59">
        <f t="shared" si="29"/>
        <v>0</v>
      </c>
      <c r="L3849" s="59">
        <f t="shared" si="30"/>
        <v>0</v>
      </c>
      <c r="M3849" s="59">
        <f t="shared" si="31"/>
        <v>0</v>
      </c>
    </row>
    <row r="3850" ht="15.0" hidden="1" customHeight="1">
      <c r="A3850" s="59">
        <f t="shared" si="20"/>
        <v>61</v>
      </c>
      <c r="B3850" s="59" t="str">
        <f t="shared" si="21"/>
        <v/>
      </c>
      <c r="C3850" s="59" t="str">
        <f t="shared" si="22"/>
        <v/>
      </c>
      <c r="D3850" s="45" t="str">
        <f t="shared" si="23"/>
        <v/>
      </c>
      <c r="E3850" s="45" t="str">
        <f t="shared" si="24"/>
        <v/>
      </c>
      <c r="F3850" s="59" t="str">
        <f t="shared" si="25"/>
        <v/>
      </c>
      <c r="G3850" s="59" t="str">
        <f t="shared" si="26"/>
        <v/>
      </c>
      <c r="H3850" s="59" t="str">
        <f t="shared" si="27"/>
        <v>28C03323</v>
      </c>
      <c r="I3850" s="59" t="str">
        <f>IF(OR($A3850="",$C3850="",$D3850="",$E3850="",$H3850=""),"",SUMIFS(DATA_GOC!$H:$H,DATA_GOC!$A:$A,"BOM",DATA_GOC!$D:$D,$H3850,DATA_GOC!$E:$E,$C3850,DATA_GOC!$F:$F,"Xuất nội bộ từ téc",DATA_GOC!$B:$B,"&gt;="&amp;$D3850,DATA_GOC!$B:$B,"&lt;="&amp;$E3850))</f>
        <v/>
      </c>
      <c r="J3850" s="59">
        <f t="shared" si="28"/>
        <v>0</v>
      </c>
      <c r="K3850" s="59">
        <f t="shared" si="29"/>
        <v>0</v>
      </c>
      <c r="L3850" s="59">
        <f t="shared" si="30"/>
        <v>0</v>
      </c>
      <c r="M3850" s="59">
        <f t="shared" si="31"/>
        <v>0</v>
      </c>
    </row>
    <row r="3851" ht="15.0" hidden="1" customHeight="1">
      <c r="A3851" s="59">
        <f t="shared" si="20"/>
        <v>61</v>
      </c>
      <c r="B3851" s="59" t="str">
        <f t="shared" si="21"/>
        <v/>
      </c>
      <c r="C3851" s="59" t="str">
        <f t="shared" si="22"/>
        <v/>
      </c>
      <c r="D3851" s="45" t="str">
        <f t="shared" si="23"/>
        <v/>
      </c>
      <c r="E3851" s="45" t="str">
        <f t="shared" si="24"/>
        <v/>
      </c>
      <c r="F3851" s="59" t="str">
        <f t="shared" si="25"/>
        <v/>
      </c>
      <c r="G3851" s="59" t="str">
        <f t="shared" si="26"/>
        <v/>
      </c>
      <c r="H3851" s="59" t="str">
        <f t="shared" si="27"/>
        <v>28C03385</v>
      </c>
      <c r="I3851" s="59" t="str">
        <f>IF(OR($A3851="",$C3851="",$D3851="",$E3851="",$H3851=""),"",SUMIFS(DATA_GOC!$H:$H,DATA_GOC!$A:$A,"BOM",DATA_GOC!$D:$D,$H3851,DATA_GOC!$E:$E,$C3851,DATA_GOC!$F:$F,"Xuất nội bộ từ téc",DATA_GOC!$B:$B,"&gt;="&amp;$D3851,DATA_GOC!$B:$B,"&lt;="&amp;$E3851))</f>
        <v/>
      </c>
      <c r="J3851" s="59">
        <f t="shared" si="28"/>
        <v>0</v>
      </c>
      <c r="K3851" s="59">
        <f t="shared" si="29"/>
        <v>0</v>
      </c>
      <c r="L3851" s="59">
        <f t="shared" si="30"/>
        <v>0</v>
      </c>
      <c r="M3851" s="59">
        <f t="shared" si="31"/>
        <v>0</v>
      </c>
    </row>
    <row r="3852" ht="15.0" hidden="1" customHeight="1">
      <c r="A3852" s="59">
        <f t="shared" si="20"/>
        <v>61</v>
      </c>
      <c r="B3852" s="59" t="str">
        <f t="shared" si="21"/>
        <v/>
      </c>
      <c r="C3852" s="59" t="str">
        <f t="shared" si="22"/>
        <v/>
      </c>
      <c r="D3852" s="45" t="str">
        <f t="shared" si="23"/>
        <v/>
      </c>
      <c r="E3852" s="45" t="str">
        <f t="shared" si="24"/>
        <v/>
      </c>
      <c r="F3852" s="59" t="str">
        <f t="shared" si="25"/>
        <v/>
      </c>
      <c r="G3852" s="59" t="str">
        <f t="shared" si="26"/>
        <v/>
      </c>
      <c r="H3852" s="59" t="str">
        <f t="shared" si="27"/>
        <v>28C03652</v>
      </c>
      <c r="I3852" s="59" t="str">
        <f>IF(OR($A3852="",$C3852="",$D3852="",$E3852="",$H3852=""),"",SUMIFS(DATA_GOC!$H:$H,DATA_GOC!$A:$A,"BOM",DATA_GOC!$D:$D,$H3852,DATA_GOC!$E:$E,$C3852,DATA_GOC!$F:$F,"Xuất nội bộ từ téc",DATA_GOC!$B:$B,"&gt;="&amp;$D3852,DATA_GOC!$B:$B,"&lt;="&amp;$E3852))</f>
        <v/>
      </c>
      <c r="J3852" s="59">
        <f t="shared" si="28"/>
        <v>0</v>
      </c>
      <c r="K3852" s="59">
        <f t="shared" si="29"/>
        <v>0</v>
      </c>
      <c r="L3852" s="59">
        <f t="shared" si="30"/>
        <v>0</v>
      </c>
      <c r="M3852" s="59">
        <f t="shared" si="31"/>
        <v>0</v>
      </c>
    </row>
    <row r="3853" ht="15.0" hidden="1" customHeight="1">
      <c r="A3853" s="59">
        <f t="shared" si="20"/>
        <v>61</v>
      </c>
      <c r="B3853" s="59" t="str">
        <f t="shared" si="21"/>
        <v/>
      </c>
      <c r="C3853" s="59" t="str">
        <f t="shared" si="22"/>
        <v/>
      </c>
      <c r="D3853" s="45" t="str">
        <f t="shared" si="23"/>
        <v/>
      </c>
      <c r="E3853" s="45" t="str">
        <f t="shared" si="24"/>
        <v/>
      </c>
      <c r="F3853" s="59" t="str">
        <f t="shared" si="25"/>
        <v/>
      </c>
      <c r="G3853" s="59" t="str">
        <f t="shared" si="26"/>
        <v/>
      </c>
      <c r="H3853" s="59" t="str">
        <f t="shared" si="27"/>
        <v>28C03695</v>
      </c>
      <c r="I3853" s="59" t="str">
        <f>IF(OR($A3853="",$C3853="",$D3853="",$E3853="",$H3853=""),"",SUMIFS(DATA_GOC!$H:$H,DATA_GOC!$A:$A,"BOM",DATA_GOC!$D:$D,$H3853,DATA_GOC!$E:$E,$C3853,DATA_GOC!$F:$F,"Xuất nội bộ từ téc",DATA_GOC!$B:$B,"&gt;="&amp;$D3853,DATA_GOC!$B:$B,"&lt;="&amp;$E3853))</f>
        <v/>
      </c>
      <c r="J3853" s="59">
        <f t="shared" si="28"/>
        <v>0</v>
      </c>
      <c r="K3853" s="59">
        <f t="shared" si="29"/>
        <v>0</v>
      </c>
      <c r="L3853" s="59">
        <f t="shared" si="30"/>
        <v>0</v>
      </c>
      <c r="M3853" s="59">
        <f t="shared" si="31"/>
        <v>0</v>
      </c>
    </row>
    <row r="3854" ht="15.0" hidden="1" customHeight="1">
      <c r="A3854" s="59">
        <f t="shared" si="20"/>
        <v>61</v>
      </c>
      <c r="B3854" s="59" t="str">
        <f t="shared" si="21"/>
        <v/>
      </c>
      <c r="C3854" s="59" t="str">
        <f t="shared" si="22"/>
        <v/>
      </c>
      <c r="D3854" s="45" t="str">
        <f t="shared" si="23"/>
        <v/>
      </c>
      <c r="E3854" s="45" t="str">
        <f t="shared" si="24"/>
        <v/>
      </c>
      <c r="F3854" s="59" t="str">
        <f t="shared" si="25"/>
        <v/>
      </c>
      <c r="G3854" s="59" t="str">
        <f t="shared" si="26"/>
        <v/>
      </c>
      <c r="H3854" s="59" t="str">
        <f t="shared" si="27"/>
        <v>28C03927</v>
      </c>
      <c r="I3854" s="59" t="str">
        <f>IF(OR($A3854="",$C3854="",$D3854="",$E3854="",$H3854=""),"",SUMIFS(DATA_GOC!$H:$H,DATA_GOC!$A:$A,"BOM",DATA_GOC!$D:$D,$H3854,DATA_GOC!$E:$E,$C3854,DATA_GOC!$F:$F,"Xuất nội bộ từ téc",DATA_GOC!$B:$B,"&gt;="&amp;$D3854,DATA_GOC!$B:$B,"&lt;="&amp;$E3854))</f>
        <v/>
      </c>
      <c r="J3854" s="59">
        <f t="shared" si="28"/>
        <v>0</v>
      </c>
      <c r="K3854" s="59">
        <f t="shared" si="29"/>
        <v>0</v>
      </c>
      <c r="L3854" s="59">
        <f t="shared" si="30"/>
        <v>0</v>
      </c>
      <c r="M3854" s="59">
        <f t="shared" si="31"/>
        <v>0</v>
      </c>
    </row>
    <row r="3855" ht="15.0" hidden="1" customHeight="1">
      <c r="A3855" s="59">
        <f t="shared" si="20"/>
        <v>61</v>
      </c>
      <c r="B3855" s="59" t="str">
        <f t="shared" si="21"/>
        <v/>
      </c>
      <c r="C3855" s="59" t="str">
        <f t="shared" si="22"/>
        <v/>
      </c>
      <c r="D3855" s="45" t="str">
        <f t="shared" si="23"/>
        <v/>
      </c>
      <c r="E3855" s="45" t="str">
        <f t="shared" si="24"/>
        <v/>
      </c>
      <c r="F3855" s="59" t="str">
        <f t="shared" si="25"/>
        <v/>
      </c>
      <c r="G3855" s="59" t="str">
        <f t="shared" si="26"/>
        <v/>
      </c>
      <c r="H3855" s="59" t="str">
        <f t="shared" si="27"/>
        <v>28C04509</v>
      </c>
      <c r="I3855" s="59" t="str">
        <f>IF(OR($A3855="",$C3855="",$D3855="",$E3855="",$H3855=""),"",SUMIFS(DATA_GOC!$H:$H,DATA_GOC!$A:$A,"BOM",DATA_GOC!$D:$D,$H3855,DATA_GOC!$E:$E,$C3855,DATA_GOC!$F:$F,"Xuất nội bộ từ téc",DATA_GOC!$B:$B,"&gt;="&amp;$D3855,DATA_GOC!$B:$B,"&lt;="&amp;$E3855))</f>
        <v/>
      </c>
      <c r="J3855" s="59">
        <f t="shared" si="28"/>
        <v>0</v>
      </c>
      <c r="K3855" s="59">
        <f t="shared" si="29"/>
        <v>0</v>
      </c>
      <c r="L3855" s="59">
        <f t="shared" si="30"/>
        <v>0</v>
      </c>
      <c r="M3855" s="59">
        <f t="shared" si="31"/>
        <v>0</v>
      </c>
    </row>
    <row r="3856" ht="15.0" hidden="1" customHeight="1">
      <c r="A3856" s="59">
        <f t="shared" si="20"/>
        <v>61</v>
      </c>
      <c r="B3856" s="59" t="str">
        <f t="shared" si="21"/>
        <v/>
      </c>
      <c r="C3856" s="59" t="str">
        <f t="shared" si="22"/>
        <v/>
      </c>
      <c r="D3856" s="45" t="str">
        <f t="shared" si="23"/>
        <v/>
      </c>
      <c r="E3856" s="45" t="str">
        <f t="shared" si="24"/>
        <v/>
      </c>
      <c r="F3856" s="59" t="str">
        <f t="shared" si="25"/>
        <v/>
      </c>
      <c r="G3856" s="59" t="str">
        <f t="shared" si="26"/>
        <v/>
      </c>
      <c r="H3856" s="59" t="str">
        <f t="shared" si="27"/>
        <v>28C04536</v>
      </c>
      <c r="I3856" s="59" t="str">
        <f>IF(OR($A3856="",$C3856="",$D3856="",$E3856="",$H3856=""),"",SUMIFS(DATA_GOC!$H:$H,DATA_GOC!$A:$A,"BOM",DATA_GOC!$D:$D,$H3856,DATA_GOC!$E:$E,$C3856,DATA_GOC!$F:$F,"Xuất nội bộ từ téc",DATA_GOC!$B:$B,"&gt;="&amp;$D3856,DATA_GOC!$B:$B,"&lt;="&amp;$E3856))</f>
        <v/>
      </c>
      <c r="J3856" s="59">
        <f t="shared" si="28"/>
        <v>0</v>
      </c>
      <c r="K3856" s="59">
        <f t="shared" si="29"/>
        <v>0</v>
      </c>
      <c r="L3856" s="59">
        <f t="shared" si="30"/>
        <v>0</v>
      </c>
      <c r="M3856" s="59">
        <f t="shared" si="31"/>
        <v>0</v>
      </c>
    </row>
    <row r="3857" ht="15.0" hidden="1" customHeight="1">
      <c r="A3857" s="59">
        <f t="shared" si="20"/>
        <v>61</v>
      </c>
      <c r="B3857" s="59" t="str">
        <f t="shared" si="21"/>
        <v/>
      </c>
      <c r="C3857" s="59" t="str">
        <f t="shared" si="22"/>
        <v/>
      </c>
      <c r="D3857" s="45" t="str">
        <f t="shared" si="23"/>
        <v/>
      </c>
      <c r="E3857" s="45" t="str">
        <f t="shared" si="24"/>
        <v/>
      </c>
      <c r="F3857" s="59" t="str">
        <f t="shared" si="25"/>
        <v/>
      </c>
      <c r="G3857" s="59" t="str">
        <f t="shared" si="26"/>
        <v/>
      </c>
      <c r="H3857" s="59" t="str">
        <f t="shared" si="27"/>
        <v>28C04576</v>
      </c>
      <c r="I3857" s="59" t="str">
        <f>IF(OR($A3857="",$C3857="",$D3857="",$E3857="",$H3857=""),"",SUMIFS(DATA_GOC!$H:$H,DATA_GOC!$A:$A,"BOM",DATA_GOC!$D:$D,$H3857,DATA_GOC!$E:$E,$C3857,DATA_GOC!$F:$F,"Xuất nội bộ từ téc",DATA_GOC!$B:$B,"&gt;="&amp;$D3857,DATA_GOC!$B:$B,"&lt;="&amp;$E3857))</f>
        <v/>
      </c>
      <c r="J3857" s="59">
        <f t="shared" si="28"/>
        <v>0</v>
      </c>
      <c r="K3857" s="59">
        <f t="shared" si="29"/>
        <v>0</v>
      </c>
      <c r="L3857" s="59">
        <f t="shared" si="30"/>
        <v>0</v>
      </c>
      <c r="M3857" s="59">
        <f t="shared" si="31"/>
        <v>0</v>
      </c>
    </row>
    <row r="3858" ht="15.0" hidden="1" customHeight="1">
      <c r="A3858" s="59">
        <f t="shared" si="20"/>
        <v>61</v>
      </c>
      <c r="B3858" s="59" t="str">
        <f t="shared" si="21"/>
        <v/>
      </c>
      <c r="C3858" s="59" t="str">
        <f t="shared" si="22"/>
        <v/>
      </c>
      <c r="D3858" s="45" t="str">
        <f t="shared" si="23"/>
        <v/>
      </c>
      <c r="E3858" s="45" t="str">
        <f t="shared" si="24"/>
        <v/>
      </c>
      <c r="F3858" s="59" t="str">
        <f t="shared" si="25"/>
        <v/>
      </c>
      <c r="G3858" s="59" t="str">
        <f t="shared" si="26"/>
        <v/>
      </c>
      <c r="H3858" s="59" t="str">
        <f t="shared" si="27"/>
        <v>28C05090</v>
      </c>
      <c r="I3858" s="59" t="str">
        <f>IF(OR($A3858="",$C3858="",$D3858="",$E3858="",$H3858=""),"",SUMIFS(DATA_GOC!$H:$H,DATA_GOC!$A:$A,"BOM",DATA_GOC!$D:$D,$H3858,DATA_GOC!$E:$E,$C3858,DATA_GOC!$F:$F,"Xuất nội bộ từ téc",DATA_GOC!$B:$B,"&gt;="&amp;$D3858,DATA_GOC!$B:$B,"&lt;="&amp;$E3858))</f>
        <v/>
      </c>
      <c r="J3858" s="59">
        <f t="shared" si="28"/>
        <v>0</v>
      </c>
      <c r="K3858" s="59">
        <f t="shared" si="29"/>
        <v>0</v>
      </c>
      <c r="L3858" s="59">
        <f t="shared" si="30"/>
        <v>0</v>
      </c>
      <c r="M3858" s="59">
        <f t="shared" si="31"/>
        <v>0</v>
      </c>
    </row>
    <row r="3859" ht="15.0" hidden="1" customHeight="1">
      <c r="A3859" s="59">
        <f t="shared" si="20"/>
        <v>61</v>
      </c>
      <c r="B3859" s="59" t="str">
        <f t="shared" si="21"/>
        <v/>
      </c>
      <c r="C3859" s="59" t="str">
        <f t="shared" si="22"/>
        <v/>
      </c>
      <c r="D3859" s="45" t="str">
        <f t="shared" si="23"/>
        <v/>
      </c>
      <c r="E3859" s="45" t="str">
        <f t="shared" si="24"/>
        <v/>
      </c>
      <c r="F3859" s="59" t="str">
        <f t="shared" si="25"/>
        <v/>
      </c>
      <c r="G3859" s="59" t="str">
        <f t="shared" si="26"/>
        <v/>
      </c>
      <c r="H3859" s="59" t="str">
        <f t="shared" si="27"/>
        <v>28C05345</v>
      </c>
      <c r="I3859" s="59" t="str">
        <f>IF(OR($A3859="",$C3859="",$D3859="",$E3859="",$H3859=""),"",SUMIFS(DATA_GOC!$H:$H,DATA_GOC!$A:$A,"BOM",DATA_GOC!$D:$D,$H3859,DATA_GOC!$E:$E,$C3859,DATA_GOC!$F:$F,"Xuất nội bộ từ téc",DATA_GOC!$B:$B,"&gt;="&amp;$D3859,DATA_GOC!$B:$B,"&lt;="&amp;$E3859))</f>
        <v/>
      </c>
      <c r="J3859" s="59">
        <f t="shared" si="28"/>
        <v>0</v>
      </c>
      <c r="K3859" s="59">
        <f t="shared" si="29"/>
        <v>0</v>
      </c>
      <c r="L3859" s="59">
        <f t="shared" si="30"/>
        <v>0</v>
      </c>
      <c r="M3859" s="59">
        <f t="shared" si="31"/>
        <v>0</v>
      </c>
    </row>
    <row r="3860" ht="15.0" hidden="1" customHeight="1">
      <c r="A3860" s="59">
        <f t="shared" si="20"/>
        <v>61</v>
      </c>
      <c r="B3860" s="59" t="str">
        <f t="shared" si="21"/>
        <v/>
      </c>
      <c r="C3860" s="59" t="str">
        <f t="shared" si="22"/>
        <v/>
      </c>
      <c r="D3860" s="45" t="str">
        <f t="shared" si="23"/>
        <v/>
      </c>
      <c r="E3860" s="45" t="str">
        <f t="shared" si="24"/>
        <v/>
      </c>
      <c r="F3860" s="59" t="str">
        <f t="shared" si="25"/>
        <v/>
      </c>
      <c r="G3860" s="59" t="str">
        <f t="shared" si="26"/>
        <v/>
      </c>
      <c r="H3860" s="59" t="str">
        <f t="shared" si="27"/>
        <v>28C05661</v>
      </c>
      <c r="I3860" s="59" t="str">
        <f>IF(OR($A3860="",$C3860="",$D3860="",$E3860="",$H3860=""),"",SUMIFS(DATA_GOC!$H:$H,DATA_GOC!$A:$A,"BOM",DATA_GOC!$D:$D,$H3860,DATA_GOC!$E:$E,$C3860,DATA_GOC!$F:$F,"Xuất nội bộ từ téc",DATA_GOC!$B:$B,"&gt;="&amp;$D3860,DATA_GOC!$B:$B,"&lt;="&amp;$E3860))</f>
        <v/>
      </c>
      <c r="J3860" s="59">
        <f t="shared" si="28"/>
        <v>0</v>
      </c>
      <c r="K3860" s="59">
        <f t="shared" si="29"/>
        <v>0</v>
      </c>
      <c r="L3860" s="59">
        <f t="shared" si="30"/>
        <v>0</v>
      </c>
      <c r="M3860" s="59">
        <f t="shared" si="31"/>
        <v>0</v>
      </c>
    </row>
    <row r="3861" ht="15.0" hidden="1" customHeight="1">
      <c r="A3861" s="59">
        <f t="shared" si="20"/>
        <v>61</v>
      </c>
      <c r="B3861" s="59" t="str">
        <f t="shared" si="21"/>
        <v/>
      </c>
      <c r="C3861" s="59" t="str">
        <f t="shared" si="22"/>
        <v/>
      </c>
      <c r="D3861" s="45" t="str">
        <f t="shared" si="23"/>
        <v/>
      </c>
      <c r="E3861" s="45" t="str">
        <f t="shared" si="24"/>
        <v/>
      </c>
      <c r="F3861" s="59" t="str">
        <f t="shared" si="25"/>
        <v/>
      </c>
      <c r="G3861" s="59" t="str">
        <f t="shared" si="26"/>
        <v/>
      </c>
      <c r="H3861" s="59" t="str">
        <f t="shared" si="27"/>
        <v>28C05739</v>
      </c>
      <c r="I3861" s="59" t="str">
        <f>IF(OR($A3861="",$C3861="",$D3861="",$E3861="",$H3861=""),"",SUMIFS(DATA_GOC!$H:$H,DATA_GOC!$A:$A,"BOM",DATA_GOC!$D:$D,$H3861,DATA_GOC!$E:$E,$C3861,DATA_GOC!$F:$F,"Xuất nội bộ từ téc",DATA_GOC!$B:$B,"&gt;="&amp;$D3861,DATA_GOC!$B:$B,"&lt;="&amp;$E3861))</f>
        <v/>
      </c>
      <c r="J3861" s="59">
        <f t="shared" si="28"/>
        <v>0</v>
      </c>
      <c r="K3861" s="59">
        <f t="shared" si="29"/>
        <v>0</v>
      </c>
      <c r="L3861" s="59">
        <f t="shared" si="30"/>
        <v>0</v>
      </c>
      <c r="M3861" s="59">
        <f t="shared" si="31"/>
        <v>0</v>
      </c>
    </row>
    <row r="3862" ht="15.0" hidden="1" customHeight="1">
      <c r="A3862" s="59">
        <f t="shared" si="20"/>
        <v>61</v>
      </c>
      <c r="B3862" s="59" t="str">
        <f t="shared" si="21"/>
        <v/>
      </c>
      <c r="C3862" s="59" t="str">
        <f t="shared" si="22"/>
        <v/>
      </c>
      <c r="D3862" s="45" t="str">
        <f t="shared" si="23"/>
        <v/>
      </c>
      <c r="E3862" s="45" t="str">
        <f t="shared" si="24"/>
        <v/>
      </c>
      <c r="F3862" s="59" t="str">
        <f t="shared" si="25"/>
        <v/>
      </c>
      <c r="G3862" s="59" t="str">
        <f t="shared" si="26"/>
        <v/>
      </c>
      <c r="H3862" s="59" t="str">
        <f t="shared" si="27"/>
        <v>28C06369</v>
      </c>
      <c r="I3862" s="59" t="str">
        <f>IF(OR($A3862="",$C3862="",$D3862="",$E3862="",$H3862=""),"",SUMIFS(DATA_GOC!$H:$H,DATA_GOC!$A:$A,"BOM",DATA_GOC!$D:$D,$H3862,DATA_GOC!$E:$E,$C3862,DATA_GOC!$F:$F,"Xuất nội bộ từ téc",DATA_GOC!$B:$B,"&gt;="&amp;$D3862,DATA_GOC!$B:$B,"&lt;="&amp;$E3862))</f>
        <v/>
      </c>
      <c r="J3862" s="59">
        <f t="shared" si="28"/>
        <v>0</v>
      </c>
      <c r="K3862" s="59">
        <f t="shared" si="29"/>
        <v>0</v>
      </c>
      <c r="L3862" s="59">
        <f t="shared" si="30"/>
        <v>0</v>
      </c>
      <c r="M3862" s="59">
        <f t="shared" si="31"/>
        <v>0</v>
      </c>
    </row>
    <row r="3863" ht="15.0" hidden="1" customHeight="1">
      <c r="A3863" s="59">
        <f t="shared" si="20"/>
        <v>61</v>
      </c>
      <c r="B3863" s="59" t="str">
        <f t="shared" si="21"/>
        <v/>
      </c>
      <c r="C3863" s="59" t="str">
        <f t="shared" si="22"/>
        <v/>
      </c>
      <c r="D3863" s="45" t="str">
        <f t="shared" si="23"/>
        <v/>
      </c>
      <c r="E3863" s="45" t="str">
        <f t="shared" si="24"/>
        <v/>
      </c>
      <c r="F3863" s="59" t="str">
        <f t="shared" si="25"/>
        <v/>
      </c>
      <c r="G3863" s="59" t="str">
        <f t="shared" si="26"/>
        <v/>
      </c>
      <c r="H3863" s="59" t="str">
        <f t="shared" si="27"/>
        <v>28C06447</v>
      </c>
      <c r="I3863" s="59" t="str">
        <f>IF(OR($A3863="",$C3863="",$D3863="",$E3863="",$H3863=""),"",SUMIFS(DATA_GOC!$H:$H,DATA_GOC!$A:$A,"BOM",DATA_GOC!$D:$D,$H3863,DATA_GOC!$E:$E,$C3863,DATA_GOC!$F:$F,"Xuất nội bộ từ téc",DATA_GOC!$B:$B,"&gt;="&amp;$D3863,DATA_GOC!$B:$B,"&lt;="&amp;$E3863))</f>
        <v/>
      </c>
      <c r="J3863" s="59">
        <f t="shared" si="28"/>
        <v>0</v>
      </c>
      <c r="K3863" s="59">
        <f t="shared" si="29"/>
        <v>0</v>
      </c>
      <c r="L3863" s="59">
        <f t="shared" si="30"/>
        <v>0</v>
      </c>
      <c r="M3863" s="59">
        <f t="shared" si="31"/>
        <v>0</v>
      </c>
    </row>
    <row r="3864" ht="15.0" hidden="1" customHeight="1">
      <c r="A3864" s="59">
        <f t="shared" si="20"/>
        <v>61</v>
      </c>
      <c r="B3864" s="59" t="str">
        <f t="shared" si="21"/>
        <v/>
      </c>
      <c r="C3864" s="59" t="str">
        <f t="shared" si="22"/>
        <v/>
      </c>
      <c r="D3864" s="45" t="str">
        <f t="shared" si="23"/>
        <v/>
      </c>
      <c r="E3864" s="45" t="str">
        <f t="shared" si="24"/>
        <v/>
      </c>
      <c r="F3864" s="59" t="str">
        <f t="shared" si="25"/>
        <v/>
      </c>
      <c r="G3864" s="59" t="str">
        <f t="shared" si="26"/>
        <v/>
      </c>
      <c r="H3864" s="59" t="str">
        <f t="shared" si="27"/>
        <v>28H00003</v>
      </c>
      <c r="I3864" s="59" t="str">
        <f>IF(OR($A3864="",$C3864="",$D3864="",$E3864="",$H3864=""),"",SUMIFS(DATA_GOC!$H:$H,DATA_GOC!$A:$A,"BOM",DATA_GOC!$D:$D,$H3864,DATA_GOC!$E:$E,$C3864,DATA_GOC!$F:$F,"Xuất nội bộ từ téc",DATA_GOC!$B:$B,"&gt;="&amp;$D3864,DATA_GOC!$B:$B,"&lt;="&amp;$E3864))</f>
        <v/>
      </c>
      <c r="J3864" s="59">
        <f t="shared" si="28"/>
        <v>0</v>
      </c>
      <c r="K3864" s="59">
        <f t="shared" si="29"/>
        <v>0</v>
      </c>
      <c r="L3864" s="59">
        <f t="shared" si="30"/>
        <v>0</v>
      </c>
      <c r="M3864" s="59">
        <f t="shared" si="31"/>
        <v>0</v>
      </c>
    </row>
    <row r="3865" ht="15.0" hidden="1" customHeight="1">
      <c r="A3865" s="59">
        <f t="shared" si="20"/>
        <v>61</v>
      </c>
      <c r="B3865" s="59" t="str">
        <f t="shared" si="21"/>
        <v/>
      </c>
      <c r="C3865" s="59" t="str">
        <f t="shared" si="22"/>
        <v/>
      </c>
      <c r="D3865" s="45" t="str">
        <f t="shared" si="23"/>
        <v/>
      </c>
      <c r="E3865" s="45" t="str">
        <f t="shared" si="24"/>
        <v/>
      </c>
      <c r="F3865" s="59" t="str">
        <f t="shared" si="25"/>
        <v/>
      </c>
      <c r="G3865" s="59" t="str">
        <f t="shared" si="26"/>
        <v/>
      </c>
      <c r="H3865" s="59" t="str">
        <f t="shared" si="27"/>
        <v>28H00061</v>
      </c>
      <c r="I3865" s="59" t="str">
        <f>IF(OR($A3865="",$C3865="",$D3865="",$E3865="",$H3865=""),"",SUMIFS(DATA_GOC!$H:$H,DATA_GOC!$A:$A,"BOM",DATA_GOC!$D:$D,$H3865,DATA_GOC!$E:$E,$C3865,DATA_GOC!$F:$F,"Xuất nội bộ từ téc",DATA_GOC!$B:$B,"&gt;="&amp;$D3865,DATA_GOC!$B:$B,"&lt;="&amp;$E3865))</f>
        <v/>
      </c>
      <c r="J3865" s="59">
        <f t="shared" si="28"/>
        <v>0</v>
      </c>
      <c r="K3865" s="59">
        <f t="shared" si="29"/>
        <v>0</v>
      </c>
      <c r="L3865" s="59">
        <f t="shared" si="30"/>
        <v>0</v>
      </c>
      <c r="M3865" s="59">
        <f t="shared" si="31"/>
        <v>0</v>
      </c>
    </row>
    <row r="3866" ht="15.0" hidden="1" customHeight="1">
      <c r="A3866" s="59">
        <f t="shared" si="20"/>
        <v>61</v>
      </c>
      <c r="B3866" s="59" t="str">
        <f t="shared" si="21"/>
        <v/>
      </c>
      <c r="C3866" s="59" t="str">
        <f t="shared" si="22"/>
        <v/>
      </c>
      <c r="D3866" s="45" t="str">
        <f t="shared" si="23"/>
        <v/>
      </c>
      <c r="E3866" s="45" t="str">
        <f t="shared" si="24"/>
        <v/>
      </c>
      <c r="F3866" s="59" t="str">
        <f t="shared" si="25"/>
        <v/>
      </c>
      <c r="G3866" s="59" t="str">
        <f t="shared" si="26"/>
        <v/>
      </c>
      <c r="H3866" s="59" t="str">
        <f t="shared" si="27"/>
        <v>28H00354</v>
      </c>
      <c r="I3866" s="59" t="str">
        <f>IF(OR($A3866="",$C3866="",$D3866="",$E3866="",$H3866=""),"",SUMIFS(DATA_GOC!$H:$H,DATA_GOC!$A:$A,"BOM",DATA_GOC!$D:$D,$H3866,DATA_GOC!$E:$E,$C3866,DATA_GOC!$F:$F,"Xuất nội bộ từ téc",DATA_GOC!$B:$B,"&gt;="&amp;$D3866,DATA_GOC!$B:$B,"&lt;="&amp;$E3866))</f>
        <v/>
      </c>
      <c r="J3866" s="59">
        <f t="shared" si="28"/>
        <v>0</v>
      </c>
      <c r="K3866" s="59">
        <f t="shared" si="29"/>
        <v>0</v>
      </c>
      <c r="L3866" s="59">
        <f t="shared" si="30"/>
        <v>0</v>
      </c>
      <c r="M3866" s="59">
        <f t="shared" si="31"/>
        <v>0</v>
      </c>
    </row>
    <row r="3867" ht="15.0" hidden="1" customHeight="1">
      <c r="A3867" s="59">
        <f t="shared" si="20"/>
        <v>61</v>
      </c>
      <c r="B3867" s="59" t="str">
        <f t="shared" si="21"/>
        <v/>
      </c>
      <c r="C3867" s="59" t="str">
        <f t="shared" si="22"/>
        <v/>
      </c>
      <c r="D3867" s="45" t="str">
        <f t="shared" si="23"/>
        <v/>
      </c>
      <c r="E3867" s="45" t="str">
        <f t="shared" si="24"/>
        <v/>
      </c>
      <c r="F3867" s="59" t="str">
        <f t="shared" si="25"/>
        <v/>
      </c>
      <c r="G3867" s="59" t="str">
        <f t="shared" si="26"/>
        <v/>
      </c>
      <c r="H3867" s="59" t="str">
        <f t="shared" si="27"/>
        <v>28H00603</v>
      </c>
      <c r="I3867" s="59" t="str">
        <f>IF(OR($A3867="",$C3867="",$D3867="",$E3867="",$H3867=""),"",SUMIFS(DATA_GOC!$H:$H,DATA_GOC!$A:$A,"BOM",DATA_GOC!$D:$D,$H3867,DATA_GOC!$E:$E,$C3867,DATA_GOC!$F:$F,"Xuất nội bộ từ téc",DATA_GOC!$B:$B,"&gt;="&amp;$D3867,DATA_GOC!$B:$B,"&lt;="&amp;$E3867))</f>
        <v/>
      </c>
      <c r="J3867" s="59">
        <f t="shared" si="28"/>
        <v>0</v>
      </c>
      <c r="K3867" s="59">
        <f t="shared" si="29"/>
        <v>0</v>
      </c>
      <c r="L3867" s="59">
        <f t="shared" si="30"/>
        <v>0</v>
      </c>
      <c r="M3867" s="59">
        <f t="shared" si="31"/>
        <v>0</v>
      </c>
    </row>
    <row r="3868" ht="15.0" hidden="1" customHeight="1">
      <c r="A3868" s="59">
        <f t="shared" si="20"/>
        <v>61</v>
      </c>
      <c r="B3868" s="59" t="str">
        <f t="shared" si="21"/>
        <v/>
      </c>
      <c r="C3868" s="59" t="str">
        <f t="shared" si="22"/>
        <v/>
      </c>
      <c r="D3868" s="45" t="str">
        <f t="shared" si="23"/>
        <v/>
      </c>
      <c r="E3868" s="45" t="str">
        <f t="shared" si="24"/>
        <v/>
      </c>
      <c r="F3868" s="59" t="str">
        <f t="shared" si="25"/>
        <v/>
      </c>
      <c r="G3868" s="59" t="str">
        <f t="shared" si="26"/>
        <v/>
      </c>
      <c r="H3868" s="59" t="str">
        <f t="shared" si="27"/>
        <v>28H00609</v>
      </c>
      <c r="I3868" s="59" t="str">
        <f>IF(OR($A3868="",$C3868="",$D3868="",$E3868="",$H3868=""),"",SUMIFS(DATA_GOC!$H:$H,DATA_GOC!$A:$A,"BOM",DATA_GOC!$D:$D,$H3868,DATA_GOC!$E:$E,$C3868,DATA_GOC!$F:$F,"Xuất nội bộ từ téc",DATA_GOC!$B:$B,"&gt;="&amp;$D3868,DATA_GOC!$B:$B,"&lt;="&amp;$E3868))</f>
        <v/>
      </c>
      <c r="J3868" s="59">
        <f t="shared" si="28"/>
        <v>0</v>
      </c>
      <c r="K3868" s="59">
        <f t="shared" si="29"/>
        <v>0</v>
      </c>
      <c r="L3868" s="59">
        <f t="shared" si="30"/>
        <v>0</v>
      </c>
      <c r="M3868" s="59">
        <f t="shared" si="31"/>
        <v>0</v>
      </c>
    </row>
    <row r="3869" ht="15.0" hidden="1" customHeight="1">
      <c r="A3869" s="59">
        <f t="shared" si="20"/>
        <v>61</v>
      </c>
      <c r="B3869" s="59" t="str">
        <f t="shared" si="21"/>
        <v/>
      </c>
      <c r="C3869" s="59" t="str">
        <f t="shared" si="22"/>
        <v/>
      </c>
      <c r="D3869" s="45" t="str">
        <f t="shared" si="23"/>
        <v/>
      </c>
      <c r="E3869" s="45" t="str">
        <f t="shared" si="24"/>
        <v/>
      </c>
      <c r="F3869" s="59" t="str">
        <f t="shared" si="25"/>
        <v/>
      </c>
      <c r="G3869" s="59" t="str">
        <f t="shared" si="26"/>
        <v/>
      </c>
      <c r="H3869" s="59" t="str">
        <f t="shared" si="27"/>
        <v>28H00669</v>
      </c>
      <c r="I3869" s="59" t="str">
        <f>IF(OR($A3869="",$C3869="",$D3869="",$E3869="",$H3869=""),"",SUMIFS(DATA_GOC!$H:$H,DATA_GOC!$A:$A,"BOM",DATA_GOC!$D:$D,$H3869,DATA_GOC!$E:$E,$C3869,DATA_GOC!$F:$F,"Xuất nội bộ từ téc",DATA_GOC!$B:$B,"&gt;="&amp;$D3869,DATA_GOC!$B:$B,"&lt;="&amp;$E3869))</f>
        <v/>
      </c>
      <c r="J3869" s="59">
        <f t="shared" si="28"/>
        <v>0</v>
      </c>
      <c r="K3869" s="59">
        <f t="shared" si="29"/>
        <v>0</v>
      </c>
      <c r="L3869" s="59">
        <f t="shared" si="30"/>
        <v>0</v>
      </c>
      <c r="M3869" s="59">
        <f t="shared" si="31"/>
        <v>0</v>
      </c>
    </row>
    <row r="3870" ht="15.0" hidden="1" customHeight="1">
      <c r="A3870" s="59">
        <f t="shared" si="20"/>
        <v>61</v>
      </c>
      <c r="B3870" s="59" t="str">
        <f t="shared" si="21"/>
        <v/>
      </c>
      <c r="C3870" s="59" t="str">
        <f t="shared" si="22"/>
        <v/>
      </c>
      <c r="D3870" s="45" t="str">
        <f t="shared" si="23"/>
        <v/>
      </c>
      <c r="E3870" s="45" t="str">
        <f t="shared" si="24"/>
        <v/>
      </c>
      <c r="F3870" s="59" t="str">
        <f t="shared" si="25"/>
        <v/>
      </c>
      <c r="G3870" s="59" t="str">
        <f t="shared" si="26"/>
        <v/>
      </c>
      <c r="H3870" s="59" t="str">
        <f t="shared" si="27"/>
        <v>28H00680</v>
      </c>
      <c r="I3870" s="59" t="str">
        <f>IF(OR($A3870="",$C3870="",$D3870="",$E3870="",$H3870=""),"",SUMIFS(DATA_GOC!$H:$H,DATA_GOC!$A:$A,"BOM",DATA_GOC!$D:$D,$H3870,DATA_GOC!$E:$E,$C3870,DATA_GOC!$F:$F,"Xuất nội bộ từ téc",DATA_GOC!$B:$B,"&gt;="&amp;$D3870,DATA_GOC!$B:$B,"&lt;="&amp;$E3870))</f>
        <v/>
      </c>
      <c r="J3870" s="59">
        <f t="shared" si="28"/>
        <v>0</v>
      </c>
      <c r="K3870" s="59">
        <f t="shared" si="29"/>
        <v>0</v>
      </c>
      <c r="L3870" s="59">
        <f t="shared" si="30"/>
        <v>0</v>
      </c>
      <c r="M3870" s="59">
        <f t="shared" si="31"/>
        <v>0</v>
      </c>
    </row>
    <row r="3871" ht="15.0" hidden="1" customHeight="1">
      <c r="A3871" s="59">
        <f t="shared" si="20"/>
        <v>61</v>
      </c>
      <c r="B3871" s="59" t="str">
        <f t="shared" si="21"/>
        <v/>
      </c>
      <c r="C3871" s="59" t="str">
        <f t="shared" si="22"/>
        <v/>
      </c>
      <c r="D3871" s="45" t="str">
        <f t="shared" si="23"/>
        <v/>
      </c>
      <c r="E3871" s="45" t="str">
        <f t="shared" si="24"/>
        <v/>
      </c>
      <c r="F3871" s="59" t="str">
        <f t="shared" si="25"/>
        <v/>
      </c>
      <c r="G3871" s="59" t="str">
        <f t="shared" si="26"/>
        <v/>
      </c>
      <c r="H3871" s="59" t="str">
        <f t="shared" si="27"/>
        <v>28H01070</v>
      </c>
      <c r="I3871" s="59" t="str">
        <f>IF(OR($A3871="",$C3871="",$D3871="",$E3871="",$H3871=""),"",SUMIFS(DATA_GOC!$H:$H,DATA_GOC!$A:$A,"BOM",DATA_GOC!$D:$D,$H3871,DATA_GOC!$E:$E,$C3871,DATA_GOC!$F:$F,"Xuất nội bộ từ téc",DATA_GOC!$B:$B,"&gt;="&amp;$D3871,DATA_GOC!$B:$B,"&lt;="&amp;$E3871))</f>
        <v/>
      </c>
      <c r="J3871" s="59">
        <f t="shared" si="28"/>
        <v>0</v>
      </c>
      <c r="K3871" s="59">
        <f t="shared" si="29"/>
        <v>0</v>
      </c>
      <c r="L3871" s="59">
        <f t="shared" si="30"/>
        <v>0</v>
      </c>
      <c r="M3871" s="59">
        <f t="shared" si="31"/>
        <v>0</v>
      </c>
    </row>
    <row r="3872" ht="15.0" hidden="1" customHeight="1">
      <c r="A3872" s="59">
        <f t="shared" si="20"/>
        <v>61</v>
      </c>
      <c r="B3872" s="59" t="str">
        <f t="shared" si="21"/>
        <v/>
      </c>
      <c r="C3872" s="59" t="str">
        <f t="shared" si="22"/>
        <v/>
      </c>
      <c r="D3872" s="45" t="str">
        <f t="shared" si="23"/>
        <v/>
      </c>
      <c r="E3872" s="45" t="str">
        <f t="shared" si="24"/>
        <v/>
      </c>
      <c r="F3872" s="59" t="str">
        <f t="shared" si="25"/>
        <v/>
      </c>
      <c r="G3872" s="59" t="str">
        <f t="shared" si="26"/>
        <v/>
      </c>
      <c r="H3872" s="59" t="str">
        <f t="shared" si="27"/>
        <v>28H01364</v>
      </c>
      <c r="I3872" s="59" t="str">
        <f>IF(OR($A3872="",$C3872="",$D3872="",$E3872="",$H3872=""),"",SUMIFS(DATA_GOC!$H:$H,DATA_GOC!$A:$A,"BOM",DATA_GOC!$D:$D,$H3872,DATA_GOC!$E:$E,$C3872,DATA_GOC!$F:$F,"Xuất nội bộ từ téc",DATA_GOC!$B:$B,"&gt;="&amp;$D3872,DATA_GOC!$B:$B,"&lt;="&amp;$E3872))</f>
        <v/>
      </c>
      <c r="J3872" s="59">
        <f t="shared" si="28"/>
        <v>0</v>
      </c>
      <c r="K3872" s="59">
        <f t="shared" si="29"/>
        <v>0</v>
      </c>
      <c r="L3872" s="59">
        <f t="shared" si="30"/>
        <v>0</v>
      </c>
      <c r="M3872" s="59">
        <f t="shared" si="31"/>
        <v>0</v>
      </c>
    </row>
    <row r="3873" ht="15.0" hidden="1" customHeight="1">
      <c r="A3873" s="59">
        <f t="shared" si="20"/>
        <v>61</v>
      </c>
      <c r="B3873" s="59" t="str">
        <f t="shared" si="21"/>
        <v/>
      </c>
      <c r="C3873" s="59" t="str">
        <f t="shared" si="22"/>
        <v/>
      </c>
      <c r="D3873" s="45" t="str">
        <f t="shared" si="23"/>
        <v/>
      </c>
      <c r="E3873" s="45" t="str">
        <f t="shared" si="24"/>
        <v/>
      </c>
      <c r="F3873" s="59" t="str">
        <f t="shared" si="25"/>
        <v/>
      </c>
      <c r="G3873" s="59" t="str">
        <f t="shared" si="26"/>
        <v/>
      </c>
      <c r="H3873" s="59" t="str">
        <f t="shared" si="27"/>
        <v>29E17269</v>
      </c>
      <c r="I3873" s="59" t="str">
        <f>IF(OR($A3873="",$C3873="",$D3873="",$E3873="",$H3873=""),"",SUMIFS(DATA_GOC!$H:$H,DATA_GOC!$A:$A,"BOM",DATA_GOC!$D:$D,$H3873,DATA_GOC!$E:$E,$C3873,DATA_GOC!$F:$F,"Xuất nội bộ từ téc",DATA_GOC!$B:$B,"&gt;="&amp;$D3873,DATA_GOC!$B:$B,"&lt;="&amp;$E3873))</f>
        <v/>
      </c>
      <c r="J3873" s="59">
        <f t="shared" si="28"/>
        <v>0</v>
      </c>
      <c r="K3873" s="59">
        <f t="shared" si="29"/>
        <v>0</v>
      </c>
      <c r="L3873" s="59">
        <f t="shared" si="30"/>
        <v>0</v>
      </c>
      <c r="M3873" s="59">
        <f t="shared" si="31"/>
        <v>0</v>
      </c>
    </row>
    <row r="3874" ht="15.0" hidden="1" customHeight="1">
      <c r="A3874" s="59">
        <f t="shared" si="20"/>
        <v>61</v>
      </c>
      <c r="B3874" s="59" t="str">
        <f t="shared" si="21"/>
        <v/>
      </c>
      <c r="C3874" s="59" t="str">
        <f t="shared" si="22"/>
        <v/>
      </c>
      <c r="D3874" s="45" t="str">
        <f t="shared" si="23"/>
        <v/>
      </c>
      <c r="E3874" s="45" t="str">
        <f t="shared" si="24"/>
        <v/>
      </c>
      <c r="F3874" s="59" t="str">
        <f t="shared" si="25"/>
        <v/>
      </c>
      <c r="G3874" s="59" t="str">
        <f t="shared" si="26"/>
        <v/>
      </c>
      <c r="H3874" s="59" t="str">
        <f t="shared" si="27"/>
        <v>29E17273</v>
      </c>
      <c r="I3874" s="59" t="str">
        <f>IF(OR($A3874="",$C3874="",$D3874="",$E3874="",$H3874=""),"",SUMIFS(DATA_GOC!$H:$H,DATA_GOC!$A:$A,"BOM",DATA_GOC!$D:$D,$H3874,DATA_GOC!$E:$E,$C3874,DATA_GOC!$F:$F,"Xuất nội bộ từ téc",DATA_GOC!$B:$B,"&gt;="&amp;$D3874,DATA_GOC!$B:$B,"&lt;="&amp;$E3874))</f>
        <v/>
      </c>
      <c r="J3874" s="59">
        <f t="shared" si="28"/>
        <v>0</v>
      </c>
      <c r="K3874" s="59">
        <f t="shared" si="29"/>
        <v>0</v>
      </c>
      <c r="L3874" s="59">
        <f t="shared" si="30"/>
        <v>0</v>
      </c>
      <c r="M3874" s="59">
        <f t="shared" si="31"/>
        <v>0</v>
      </c>
    </row>
    <row r="3875" ht="15.0" hidden="1" customHeight="1">
      <c r="A3875" s="59">
        <f t="shared" si="20"/>
        <v>61</v>
      </c>
      <c r="B3875" s="59" t="str">
        <f t="shared" si="21"/>
        <v/>
      </c>
      <c r="C3875" s="59" t="str">
        <f t="shared" si="22"/>
        <v/>
      </c>
      <c r="D3875" s="45" t="str">
        <f t="shared" si="23"/>
        <v/>
      </c>
      <c r="E3875" s="45" t="str">
        <f t="shared" si="24"/>
        <v/>
      </c>
      <c r="F3875" s="59" t="str">
        <f t="shared" si="25"/>
        <v/>
      </c>
      <c r="G3875" s="59" t="str">
        <f t="shared" si="26"/>
        <v/>
      </c>
      <c r="H3875" s="59" t="str">
        <f t="shared" si="27"/>
        <v>29E17410</v>
      </c>
      <c r="I3875" s="59" t="str">
        <f>IF(OR($A3875="",$C3875="",$D3875="",$E3875="",$H3875=""),"",SUMIFS(DATA_GOC!$H:$H,DATA_GOC!$A:$A,"BOM",DATA_GOC!$D:$D,$H3875,DATA_GOC!$E:$E,$C3875,DATA_GOC!$F:$F,"Xuất nội bộ từ téc",DATA_GOC!$B:$B,"&gt;="&amp;$D3875,DATA_GOC!$B:$B,"&lt;="&amp;$E3875))</f>
        <v/>
      </c>
      <c r="J3875" s="59">
        <f t="shared" si="28"/>
        <v>0</v>
      </c>
      <c r="K3875" s="59">
        <f t="shared" si="29"/>
        <v>0</v>
      </c>
      <c r="L3875" s="59">
        <f t="shared" si="30"/>
        <v>0</v>
      </c>
      <c r="M3875" s="59">
        <f t="shared" si="31"/>
        <v>0</v>
      </c>
    </row>
    <row r="3876" ht="15.0" hidden="1" customHeight="1">
      <c r="A3876" s="59">
        <f t="shared" si="20"/>
        <v>61</v>
      </c>
      <c r="B3876" s="59" t="str">
        <f t="shared" si="21"/>
        <v/>
      </c>
      <c r="C3876" s="59" t="str">
        <f t="shared" si="22"/>
        <v/>
      </c>
      <c r="D3876" s="45" t="str">
        <f t="shared" si="23"/>
        <v/>
      </c>
      <c r="E3876" s="45" t="str">
        <f t="shared" si="24"/>
        <v/>
      </c>
      <c r="F3876" s="59" t="str">
        <f t="shared" si="25"/>
        <v/>
      </c>
      <c r="G3876" s="59" t="str">
        <f t="shared" si="26"/>
        <v/>
      </c>
      <c r="H3876" s="59" t="str">
        <f t="shared" si="27"/>
        <v>29E17417</v>
      </c>
      <c r="I3876" s="59" t="str">
        <f>IF(OR($A3876="",$C3876="",$D3876="",$E3876="",$H3876=""),"",SUMIFS(DATA_GOC!$H:$H,DATA_GOC!$A:$A,"BOM",DATA_GOC!$D:$D,$H3876,DATA_GOC!$E:$E,$C3876,DATA_GOC!$F:$F,"Xuất nội bộ từ téc",DATA_GOC!$B:$B,"&gt;="&amp;$D3876,DATA_GOC!$B:$B,"&lt;="&amp;$E3876))</f>
        <v/>
      </c>
      <c r="J3876" s="59">
        <f t="shared" si="28"/>
        <v>0</v>
      </c>
      <c r="K3876" s="59">
        <f t="shared" si="29"/>
        <v>0</v>
      </c>
      <c r="L3876" s="59">
        <f t="shared" si="30"/>
        <v>0</v>
      </c>
      <c r="M3876" s="59">
        <f t="shared" si="31"/>
        <v>0</v>
      </c>
    </row>
    <row r="3877" ht="15.0" hidden="1" customHeight="1">
      <c r="A3877" s="59">
        <f t="shared" si="20"/>
        <v>61</v>
      </c>
      <c r="B3877" s="59" t="str">
        <f t="shared" si="21"/>
        <v/>
      </c>
      <c r="C3877" s="59" t="str">
        <f t="shared" si="22"/>
        <v/>
      </c>
      <c r="D3877" s="45" t="str">
        <f t="shared" si="23"/>
        <v/>
      </c>
      <c r="E3877" s="45" t="str">
        <f t="shared" si="24"/>
        <v/>
      </c>
      <c r="F3877" s="59" t="str">
        <f t="shared" si="25"/>
        <v/>
      </c>
      <c r="G3877" s="59" t="str">
        <f t="shared" si="26"/>
        <v/>
      </c>
      <c r="H3877" s="59" t="str">
        <f t="shared" si="27"/>
        <v>29E17539</v>
      </c>
      <c r="I3877" s="59" t="str">
        <f>IF(OR($A3877="",$C3877="",$D3877="",$E3877="",$H3877=""),"",SUMIFS(DATA_GOC!$H:$H,DATA_GOC!$A:$A,"BOM",DATA_GOC!$D:$D,$H3877,DATA_GOC!$E:$E,$C3877,DATA_GOC!$F:$F,"Xuất nội bộ từ téc",DATA_GOC!$B:$B,"&gt;="&amp;$D3877,DATA_GOC!$B:$B,"&lt;="&amp;$E3877))</f>
        <v/>
      </c>
      <c r="J3877" s="59">
        <f t="shared" si="28"/>
        <v>0</v>
      </c>
      <c r="K3877" s="59">
        <f t="shared" si="29"/>
        <v>0</v>
      </c>
      <c r="L3877" s="59">
        <f t="shared" si="30"/>
        <v>0</v>
      </c>
      <c r="M3877" s="59">
        <f t="shared" si="31"/>
        <v>0</v>
      </c>
    </row>
    <row r="3878" ht="15.0" hidden="1" customHeight="1">
      <c r="A3878" s="59">
        <f t="shared" si="20"/>
        <v>61</v>
      </c>
      <c r="B3878" s="59" t="str">
        <f t="shared" si="21"/>
        <v/>
      </c>
      <c r="C3878" s="59" t="str">
        <f t="shared" si="22"/>
        <v/>
      </c>
      <c r="D3878" s="45" t="str">
        <f t="shared" si="23"/>
        <v/>
      </c>
      <c r="E3878" s="45" t="str">
        <f t="shared" si="24"/>
        <v/>
      </c>
      <c r="F3878" s="59" t="str">
        <f t="shared" si="25"/>
        <v/>
      </c>
      <c r="G3878" s="59" t="str">
        <f t="shared" si="26"/>
        <v/>
      </c>
      <c r="H3878" s="59" t="str">
        <f t="shared" si="27"/>
        <v>29E18160</v>
      </c>
      <c r="I3878" s="59" t="str">
        <f>IF(OR($A3878="",$C3878="",$D3878="",$E3878="",$H3878=""),"",SUMIFS(DATA_GOC!$H:$H,DATA_GOC!$A:$A,"BOM",DATA_GOC!$D:$D,$H3878,DATA_GOC!$E:$E,$C3878,DATA_GOC!$F:$F,"Xuất nội bộ từ téc",DATA_GOC!$B:$B,"&gt;="&amp;$D3878,DATA_GOC!$B:$B,"&lt;="&amp;$E3878))</f>
        <v/>
      </c>
      <c r="J3878" s="59">
        <f t="shared" si="28"/>
        <v>0</v>
      </c>
      <c r="K3878" s="59">
        <f t="shared" si="29"/>
        <v>0</v>
      </c>
      <c r="L3878" s="59">
        <f t="shared" si="30"/>
        <v>0</v>
      </c>
      <c r="M3878" s="59">
        <f t="shared" si="31"/>
        <v>0</v>
      </c>
    </row>
    <row r="3879" ht="15.0" hidden="1" customHeight="1">
      <c r="A3879" s="59">
        <f t="shared" si="20"/>
        <v>61</v>
      </c>
      <c r="B3879" s="59" t="str">
        <f t="shared" si="21"/>
        <v/>
      </c>
      <c r="C3879" s="59" t="str">
        <f t="shared" si="22"/>
        <v/>
      </c>
      <c r="D3879" s="45" t="str">
        <f t="shared" si="23"/>
        <v/>
      </c>
      <c r="E3879" s="45" t="str">
        <f t="shared" si="24"/>
        <v/>
      </c>
      <c r="F3879" s="59" t="str">
        <f t="shared" si="25"/>
        <v/>
      </c>
      <c r="G3879" s="59" t="str">
        <f t="shared" si="26"/>
        <v/>
      </c>
      <c r="H3879" s="59" t="str">
        <f t="shared" si="27"/>
        <v>Công trình Asphalt</v>
      </c>
      <c r="I3879" s="59" t="str">
        <f>IF(OR($A3879="",$C3879="",$D3879="",$E3879="",$H3879=""),"",SUMIFS(DATA_GOC!$H:$H,DATA_GOC!$A:$A,"BOM",DATA_GOC!$D:$D,$H3879,DATA_GOC!$E:$E,$C3879,DATA_GOC!$F:$F,"Xuất nội bộ từ téc",DATA_GOC!$B:$B,"&gt;="&amp;$D3879,DATA_GOC!$B:$B,"&lt;="&amp;$E3879))</f>
        <v/>
      </c>
      <c r="J3879" s="59">
        <f t="shared" si="28"/>
        <v>0</v>
      </c>
      <c r="K3879" s="59">
        <f t="shared" si="29"/>
        <v>0</v>
      </c>
      <c r="L3879" s="59">
        <f t="shared" si="30"/>
        <v>0</v>
      </c>
      <c r="M3879" s="59">
        <f t="shared" si="31"/>
        <v>0</v>
      </c>
    </row>
    <row r="3880" ht="15.0" hidden="1" customHeight="1">
      <c r="A3880" s="59">
        <f t="shared" si="20"/>
        <v>61</v>
      </c>
      <c r="B3880" s="59" t="str">
        <f t="shared" si="21"/>
        <v/>
      </c>
      <c r="C3880" s="59" t="str">
        <f t="shared" si="22"/>
        <v/>
      </c>
      <c r="D3880" s="45" t="str">
        <f t="shared" si="23"/>
        <v/>
      </c>
      <c r="E3880" s="45" t="str">
        <f t="shared" si="24"/>
        <v/>
      </c>
      <c r="F3880" s="59" t="str">
        <f t="shared" si="25"/>
        <v/>
      </c>
      <c r="G3880" s="59" t="str">
        <f t="shared" si="26"/>
        <v/>
      </c>
      <c r="H3880" s="59" t="str">
        <f t="shared" si="27"/>
        <v>LG53F</v>
      </c>
      <c r="I3880" s="59" t="str">
        <f>IF(OR($A3880="",$C3880="",$D3880="",$E3880="",$H3880=""),"",SUMIFS(DATA_GOC!$H:$H,DATA_GOC!$A:$A,"BOM",DATA_GOC!$D:$D,$H3880,DATA_GOC!$E:$E,$C3880,DATA_GOC!$F:$F,"Xuất nội bộ từ téc",DATA_GOC!$B:$B,"&gt;="&amp;$D3880,DATA_GOC!$B:$B,"&lt;="&amp;$E3880))</f>
        <v/>
      </c>
      <c r="J3880" s="59">
        <f t="shared" si="28"/>
        <v>0</v>
      </c>
      <c r="K3880" s="59">
        <f t="shared" si="29"/>
        <v>0</v>
      </c>
      <c r="L3880" s="59">
        <f t="shared" si="30"/>
        <v>0</v>
      </c>
      <c r="M3880" s="59">
        <f t="shared" si="31"/>
        <v>0</v>
      </c>
    </row>
    <row r="3881" ht="15.0" hidden="1" customHeight="1">
      <c r="A3881" s="59">
        <f t="shared" si="20"/>
        <v>61</v>
      </c>
      <c r="B3881" s="59" t="str">
        <f t="shared" si="21"/>
        <v/>
      </c>
      <c r="C3881" s="59" t="str">
        <f t="shared" si="22"/>
        <v/>
      </c>
      <c r="D3881" s="45" t="str">
        <f t="shared" si="23"/>
        <v/>
      </c>
      <c r="E3881" s="45" t="str">
        <f t="shared" si="24"/>
        <v/>
      </c>
      <c r="F3881" s="59" t="str">
        <f t="shared" si="25"/>
        <v/>
      </c>
      <c r="G3881" s="59" t="str">
        <f t="shared" si="26"/>
        <v/>
      </c>
      <c r="H3881" s="59" t="str">
        <f t="shared" si="27"/>
        <v>Máy phát điện</v>
      </c>
      <c r="I3881" s="59" t="str">
        <f>IF(OR($A3881="",$C3881="",$D3881="",$E3881="",$H3881=""),"",SUMIFS(DATA_GOC!$H:$H,DATA_GOC!$A:$A,"BOM",DATA_GOC!$D:$D,$H3881,DATA_GOC!$E:$E,$C3881,DATA_GOC!$F:$F,"Xuất nội bộ từ téc",DATA_GOC!$B:$B,"&gt;="&amp;$D3881,DATA_GOC!$B:$B,"&lt;="&amp;$E3881))</f>
        <v/>
      </c>
      <c r="J3881" s="59">
        <f t="shared" si="28"/>
        <v>0</v>
      </c>
      <c r="K3881" s="59">
        <f t="shared" si="29"/>
        <v>0</v>
      </c>
      <c r="L3881" s="59">
        <f t="shared" si="30"/>
        <v>0</v>
      </c>
      <c r="M3881" s="59">
        <f t="shared" si="31"/>
        <v>0</v>
      </c>
    </row>
    <row r="3882" ht="15.0" hidden="1" customHeight="1">
      <c r="A3882" s="59">
        <f t="shared" si="20"/>
        <v>61</v>
      </c>
      <c r="B3882" s="59" t="str">
        <f t="shared" si="21"/>
        <v/>
      </c>
      <c r="C3882" s="59" t="str">
        <f t="shared" si="22"/>
        <v/>
      </c>
      <c r="D3882" s="45" t="str">
        <f t="shared" si="23"/>
        <v/>
      </c>
      <c r="E3882" s="45" t="str">
        <f t="shared" si="24"/>
        <v/>
      </c>
      <c r="F3882" s="59" t="str">
        <f t="shared" si="25"/>
        <v/>
      </c>
      <c r="G3882" s="59" t="str">
        <f t="shared" si="26"/>
        <v/>
      </c>
      <c r="H3882" s="59" t="str">
        <f t="shared" si="27"/>
        <v>Máy rải thảm</v>
      </c>
      <c r="I3882" s="59" t="str">
        <f>IF(OR($A3882="",$C3882="",$D3882="",$E3882="",$H3882=""),"",SUMIFS(DATA_GOC!$H:$H,DATA_GOC!$A:$A,"BOM",DATA_GOC!$D:$D,$H3882,DATA_GOC!$E:$E,$C3882,DATA_GOC!$F:$F,"Xuất nội bộ từ téc",DATA_GOC!$B:$B,"&gt;="&amp;$D3882,DATA_GOC!$B:$B,"&lt;="&amp;$E3882))</f>
        <v/>
      </c>
      <c r="J3882" s="59">
        <f t="shared" si="28"/>
        <v>0</v>
      </c>
      <c r="K3882" s="59">
        <f t="shared" si="29"/>
        <v>0</v>
      </c>
      <c r="L3882" s="59">
        <f t="shared" si="30"/>
        <v>0</v>
      </c>
      <c r="M3882" s="59">
        <f t="shared" si="31"/>
        <v>0</v>
      </c>
    </row>
    <row r="3883" ht="15.0" hidden="1" customHeight="1">
      <c r="A3883" s="59">
        <f t="shared" si="20"/>
        <v>61</v>
      </c>
      <c r="B3883" s="59" t="str">
        <f t="shared" si="21"/>
        <v/>
      </c>
      <c r="C3883" s="59" t="str">
        <f t="shared" si="22"/>
        <v/>
      </c>
      <c r="D3883" s="45" t="str">
        <f t="shared" si="23"/>
        <v/>
      </c>
      <c r="E3883" s="45" t="str">
        <f t="shared" si="24"/>
        <v/>
      </c>
      <c r="F3883" s="59" t="str">
        <f t="shared" si="25"/>
        <v/>
      </c>
      <c r="G3883" s="59" t="str">
        <f t="shared" si="26"/>
        <v/>
      </c>
      <c r="H3883" s="59" t="str">
        <f t="shared" si="27"/>
        <v>Xúc Đào</v>
      </c>
      <c r="I3883" s="59" t="str">
        <f>IF(OR($A3883="",$C3883="",$D3883="",$E3883="",$H3883=""),"",SUMIFS(DATA_GOC!$H:$H,DATA_GOC!$A:$A,"BOM",DATA_GOC!$D:$D,$H3883,DATA_GOC!$E:$E,$C3883,DATA_GOC!$F:$F,"Xuất nội bộ từ téc",DATA_GOC!$B:$B,"&gt;="&amp;$D3883,DATA_GOC!$B:$B,"&lt;="&amp;$E3883))</f>
        <v/>
      </c>
      <c r="J3883" s="59">
        <f t="shared" si="28"/>
        <v>0</v>
      </c>
      <c r="K3883" s="59">
        <f t="shared" si="29"/>
        <v>0</v>
      </c>
      <c r="L3883" s="59">
        <f t="shared" si="30"/>
        <v>0</v>
      </c>
      <c r="M3883" s="59">
        <f t="shared" si="31"/>
        <v>0</v>
      </c>
    </row>
    <row r="3884" ht="15.0" hidden="1" customHeight="1">
      <c r="A3884" s="59">
        <f t="shared" si="20"/>
        <v>61</v>
      </c>
      <c r="B3884" s="59" t="str">
        <f t="shared" si="21"/>
        <v/>
      </c>
      <c r="C3884" s="59" t="str">
        <f t="shared" si="22"/>
        <v/>
      </c>
      <c r="D3884" s="45" t="str">
        <f t="shared" si="23"/>
        <v/>
      </c>
      <c r="E3884" s="45" t="str">
        <f t="shared" si="24"/>
        <v/>
      </c>
      <c r="F3884" s="59" t="str">
        <f t="shared" si="25"/>
        <v/>
      </c>
      <c r="G3884" s="59" t="str">
        <f t="shared" si="26"/>
        <v/>
      </c>
      <c r="H3884" s="59" t="str">
        <f t="shared" si="27"/>
        <v>Xúclật asphalt</v>
      </c>
      <c r="I3884" s="59" t="str">
        <f>IF(OR($A3884="",$C3884="",$D3884="",$E3884="",$H3884=""),"",SUMIFS(DATA_GOC!$H:$H,DATA_GOC!$A:$A,"BOM",DATA_GOC!$D:$D,$H3884,DATA_GOC!$E:$E,$C3884,DATA_GOC!$F:$F,"Xuất nội bộ từ téc",DATA_GOC!$B:$B,"&gt;="&amp;$D3884,DATA_GOC!$B:$B,"&lt;="&amp;$E3884))</f>
        <v/>
      </c>
      <c r="J3884" s="59">
        <f t="shared" si="28"/>
        <v>0</v>
      </c>
      <c r="K3884" s="59">
        <f t="shared" si="29"/>
        <v>0</v>
      </c>
      <c r="L3884" s="59">
        <f t="shared" si="30"/>
        <v>0</v>
      </c>
      <c r="M3884" s="59">
        <f t="shared" si="31"/>
        <v>0</v>
      </c>
    </row>
    <row r="3885" ht="15.0" hidden="1" customHeight="1">
      <c r="A3885" s="59">
        <f t="shared" si="20"/>
        <v>61</v>
      </c>
      <c r="B3885" s="59" t="str">
        <f t="shared" si="21"/>
        <v/>
      </c>
      <c r="C3885" s="59" t="str">
        <f t="shared" si="22"/>
        <v/>
      </c>
      <c r="D3885" s="45" t="str">
        <f t="shared" si="23"/>
        <v/>
      </c>
      <c r="E3885" s="45" t="str">
        <f t="shared" si="24"/>
        <v/>
      </c>
      <c r="F3885" s="59" t="str">
        <f t="shared" si="25"/>
        <v/>
      </c>
      <c r="G3885" s="59" t="str">
        <f t="shared" si="26"/>
        <v/>
      </c>
      <c r="H3885" s="59" t="str">
        <f t="shared" si="27"/>
        <v>Xúclật855H</v>
      </c>
      <c r="I3885" s="59" t="str">
        <f>IF(OR($A3885="",$C3885="",$D3885="",$E3885="",$H3885=""),"",SUMIFS(DATA_GOC!$H:$H,DATA_GOC!$A:$A,"BOM",DATA_GOC!$D:$D,$H3885,DATA_GOC!$E:$E,$C3885,DATA_GOC!$F:$F,"Xuất nội bộ từ téc",DATA_GOC!$B:$B,"&gt;="&amp;$D3885,DATA_GOC!$B:$B,"&lt;="&amp;$E3885))</f>
        <v/>
      </c>
      <c r="J3885" s="59">
        <f t="shared" si="28"/>
        <v>0</v>
      </c>
      <c r="K3885" s="59">
        <f t="shared" si="29"/>
        <v>0</v>
      </c>
      <c r="L3885" s="59">
        <f t="shared" si="30"/>
        <v>0</v>
      </c>
      <c r="M3885" s="59">
        <f t="shared" si="31"/>
        <v>0</v>
      </c>
    </row>
    <row r="3886" ht="15.0" hidden="1" customHeight="1">
      <c r="A3886" s="59">
        <f t="shared" si="20"/>
        <v>61</v>
      </c>
      <c r="B3886" s="59" t="str">
        <f t="shared" si="21"/>
        <v/>
      </c>
      <c r="C3886" s="59" t="str">
        <f t="shared" si="22"/>
        <v/>
      </c>
      <c r="D3886" s="45" t="str">
        <f t="shared" si="23"/>
        <v/>
      </c>
      <c r="E3886" s="45" t="str">
        <f t="shared" si="24"/>
        <v/>
      </c>
      <c r="F3886" s="59" t="str">
        <f t="shared" si="25"/>
        <v/>
      </c>
      <c r="G3886" s="59" t="str">
        <f t="shared" si="26"/>
        <v/>
      </c>
      <c r="H3886" s="59" t="str">
        <f t="shared" si="27"/>
        <v>Xúclật855N</v>
      </c>
      <c r="I3886" s="59" t="str">
        <f>IF(OR($A3886="",$C3886="",$D3886="",$E3886="",$H3886=""),"",SUMIFS(DATA_GOC!$H:$H,DATA_GOC!$A:$A,"BOM",DATA_GOC!$D:$D,$H3886,DATA_GOC!$E:$E,$C3886,DATA_GOC!$F:$F,"Xuất nội bộ từ téc",DATA_GOC!$B:$B,"&gt;="&amp;$D3886,DATA_GOC!$B:$B,"&lt;="&amp;$E3886))</f>
        <v/>
      </c>
      <c r="J3886" s="59">
        <f t="shared" si="28"/>
        <v>0</v>
      </c>
      <c r="K3886" s="59">
        <f t="shared" si="29"/>
        <v>0</v>
      </c>
      <c r="L3886" s="59">
        <f t="shared" si="30"/>
        <v>0</v>
      </c>
      <c r="M3886" s="59">
        <f t="shared" si="31"/>
        <v>0</v>
      </c>
    </row>
    <row r="3887" ht="15.0" hidden="1" customHeight="1">
      <c r="A3887" s="59">
        <f t="shared" si="20"/>
        <v>61</v>
      </c>
      <c r="B3887" s="59" t="str">
        <f t="shared" si="21"/>
        <v/>
      </c>
      <c r="C3887" s="59" t="str">
        <f t="shared" si="22"/>
        <v/>
      </c>
      <c r="D3887" s="45" t="str">
        <f t="shared" si="23"/>
        <v/>
      </c>
      <c r="E3887" s="45" t="str">
        <f t="shared" si="24"/>
        <v/>
      </c>
      <c r="F3887" s="59" t="str">
        <f t="shared" si="25"/>
        <v/>
      </c>
      <c r="G3887" s="59" t="str">
        <f t="shared" si="26"/>
        <v/>
      </c>
      <c r="H3887" s="59" t="str">
        <f t="shared" si="27"/>
        <v>Cát nghiền</v>
      </c>
      <c r="I3887" s="59" t="str">
        <f>IF(OR($A3887="",$C3887="",$D3887="",$E3887="",$H3887=""),"",SUMIFS(DATA_GOC!$H:$H,DATA_GOC!$A:$A,"BOM",DATA_GOC!$D:$D,$H3887,DATA_GOC!$E:$E,$C3887,DATA_GOC!$F:$F,"Xuất nội bộ từ téc",DATA_GOC!$B:$B,"&gt;="&amp;$D3887,DATA_GOC!$B:$B,"&lt;="&amp;$E3887))</f>
        <v/>
      </c>
      <c r="J3887" s="59">
        <f t="shared" si="28"/>
        <v>0</v>
      </c>
      <c r="K3887" s="59">
        <f t="shared" si="29"/>
        <v>0</v>
      </c>
      <c r="L3887" s="59">
        <f t="shared" si="30"/>
        <v>0</v>
      </c>
      <c r="M3887" s="59">
        <f t="shared" si="31"/>
        <v>0</v>
      </c>
    </row>
    <row r="3888" ht="15.0" hidden="1" customHeight="1">
      <c r="A3888" s="59">
        <f t="shared" si="20"/>
        <v>61</v>
      </c>
      <c r="B3888" s="59" t="str">
        <f t="shared" si="21"/>
        <v/>
      </c>
      <c r="C3888" s="59" t="str">
        <f t="shared" si="22"/>
        <v/>
      </c>
      <c r="D3888" s="45" t="str">
        <f t="shared" si="23"/>
        <v/>
      </c>
      <c r="E3888" s="45" t="str">
        <f t="shared" si="24"/>
        <v/>
      </c>
      <c r="F3888" s="59" t="str">
        <f t="shared" si="25"/>
        <v/>
      </c>
      <c r="G3888" s="59" t="str">
        <f t="shared" si="26"/>
        <v/>
      </c>
      <c r="H3888" s="59" t="str">
        <f t="shared" si="27"/>
        <v>28C02973</v>
      </c>
      <c r="I3888" s="59" t="str">
        <f>IF(OR($A3888="",$C3888="",$D3888="",$E3888="",$H3888=""),"",SUMIFS(DATA_GOC!$H:$H,DATA_GOC!$A:$A,"BOM",DATA_GOC!$D:$D,$H3888,DATA_GOC!$E:$E,$C3888,DATA_GOC!$F:$F,"Xuất nội bộ từ téc",DATA_GOC!$B:$B,"&gt;="&amp;$D3888,DATA_GOC!$B:$B,"&lt;="&amp;$E3888))</f>
        <v/>
      </c>
      <c r="J3888" s="59">
        <f t="shared" si="28"/>
        <v>0</v>
      </c>
      <c r="K3888" s="59">
        <f t="shared" si="29"/>
        <v>0</v>
      </c>
      <c r="L3888" s="59">
        <f t="shared" si="30"/>
        <v>0</v>
      </c>
      <c r="M3888" s="59">
        <f t="shared" si="31"/>
        <v>0</v>
      </c>
    </row>
    <row r="3889" ht="15.0" hidden="1" customHeight="1">
      <c r="A3889" s="59">
        <f t="shared" si="20"/>
        <v>61</v>
      </c>
      <c r="B3889" s="59" t="str">
        <f t="shared" si="21"/>
        <v/>
      </c>
      <c r="C3889" s="59" t="str">
        <f t="shared" si="22"/>
        <v/>
      </c>
      <c r="D3889" s="45" t="str">
        <f t="shared" si="23"/>
        <v/>
      </c>
      <c r="E3889" s="45" t="str">
        <f t="shared" si="24"/>
        <v/>
      </c>
      <c r="F3889" s="59" t="str">
        <f t="shared" si="25"/>
        <v/>
      </c>
      <c r="G3889" s="59" t="str">
        <f t="shared" si="26"/>
        <v/>
      </c>
      <c r="H3889" s="59" t="str">
        <f t="shared" si="27"/>
        <v>28C03044</v>
      </c>
      <c r="I3889" s="59" t="str">
        <f>IF(OR($A3889="",$C3889="",$D3889="",$E3889="",$H3889=""),"",SUMIFS(DATA_GOC!$H:$H,DATA_GOC!$A:$A,"BOM",DATA_GOC!$D:$D,$H3889,DATA_GOC!$E:$E,$C3889,DATA_GOC!$F:$F,"Xuất nội bộ từ téc",DATA_GOC!$B:$B,"&gt;="&amp;$D3889,DATA_GOC!$B:$B,"&lt;="&amp;$E3889))</f>
        <v/>
      </c>
      <c r="J3889" s="59">
        <f t="shared" si="28"/>
        <v>0</v>
      </c>
      <c r="K3889" s="59">
        <f t="shared" si="29"/>
        <v>0</v>
      </c>
      <c r="L3889" s="59">
        <f t="shared" si="30"/>
        <v>0</v>
      </c>
      <c r="M3889" s="59">
        <f t="shared" si="31"/>
        <v>0</v>
      </c>
    </row>
    <row r="3890" ht="15.0" hidden="1" customHeight="1">
      <c r="A3890" s="59">
        <f t="shared" si="20"/>
        <v>61</v>
      </c>
      <c r="B3890" s="59" t="str">
        <f t="shared" si="21"/>
        <v/>
      </c>
      <c r="C3890" s="59" t="str">
        <f t="shared" si="22"/>
        <v/>
      </c>
      <c r="D3890" s="45" t="str">
        <f t="shared" si="23"/>
        <v/>
      </c>
      <c r="E3890" s="45" t="str">
        <f t="shared" si="24"/>
        <v/>
      </c>
      <c r="F3890" s="59" t="str">
        <f t="shared" si="25"/>
        <v/>
      </c>
      <c r="G3890" s="59" t="str">
        <f t="shared" si="26"/>
        <v/>
      </c>
      <c r="H3890" s="59" t="str">
        <f t="shared" si="27"/>
        <v>Máy lu lốp</v>
      </c>
      <c r="I3890" s="59" t="str">
        <f>IF(OR($A3890="",$C3890="",$D3890="",$E3890="",$H3890=""),"",SUMIFS(DATA_GOC!$H:$H,DATA_GOC!$A:$A,"BOM",DATA_GOC!$D:$D,$H3890,DATA_GOC!$E:$E,$C3890,DATA_GOC!$F:$F,"Xuất nội bộ từ téc",DATA_GOC!$B:$B,"&gt;="&amp;$D3890,DATA_GOC!$B:$B,"&lt;="&amp;$E3890))</f>
        <v/>
      </c>
      <c r="J3890" s="59">
        <f t="shared" si="28"/>
        <v>0</v>
      </c>
      <c r="K3890" s="59">
        <f t="shared" si="29"/>
        <v>0</v>
      </c>
      <c r="L3890" s="59">
        <f t="shared" si="30"/>
        <v>0</v>
      </c>
      <c r="M3890" s="59">
        <f t="shared" si="31"/>
        <v>0</v>
      </c>
    </row>
    <row r="3891" ht="15.0" hidden="1" customHeight="1">
      <c r="A3891" s="59">
        <f t="shared" si="20"/>
        <v>61</v>
      </c>
      <c r="B3891" s="59" t="str">
        <f t="shared" si="21"/>
        <v/>
      </c>
      <c r="C3891" s="59" t="str">
        <f t="shared" si="22"/>
        <v/>
      </c>
      <c r="D3891" s="45" t="str">
        <f t="shared" si="23"/>
        <v/>
      </c>
      <c r="E3891" s="45" t="str">
        <f t="shared" si="24"/>
        <v/>
      </c>
      <c r="F3891" s="59" t="str">
        <f t="shared" si="25"/>
        <v/>
      </c>
      <c r="G3891" s="59" t="str">
        <f t="shared" si="26"/>
        <v/>
      </c>
      <c r="H3891" s="59" t="str">
        <f t="shared" si="27"/>
        <v>Xe 600148</v>
      </c>
      <c r="I3891" s="59" t="str">
        <f>IF(OR($A3891="",$C3891="",$D3891="",$E3891="",$H3891=""),"",SUMIFS(DATA_GOC!$H:$H,DATA_GOC!$A:$A,"BOM",DATA_GOC!$D:$D,$H3891,DATA_GOC!$E:$E,$C3891,DATA_GOC!$F:$F,"Xuất nội bộ từ téc",DATA_GOC!$B:$B,"&gt;="&amp;$D3891,DATA_GOC!$B:$B,"&lt;="&amp;$E3891))</f>
        <v/>
      </c>
      <c r="J3891" s="59">
        <f t="shared" si="28"/>
        <v>0</v>
      </c>
      <c r="K3891" s="59">
        <f t="shared" si="29"/>
        <v>0</v>
      </c>
      <c r="L3891" s="59">
        <f t="shared" si="30"/>
        <v>0</v>
      </c>
      <c r="M3891" s="59">
        <f t="shared" si="31"/>
        <v>0</v>
      </c>
    </row>
    <row r="3892" ht="15.0" hidden="1" customHeight="1">
      <c r="A3892" s="59">
        <f t="shared" si="20"/>
        <v>61</v>
      </c>
      <c r="B3892" s="59" t="str">
        <f t="shared" si="21"/>
        <v/>
      </c>
      <c r="C3892" s="59" t="str">
        <f t="shared" si="22"/>
        <v/>
      </c>
      <c r="D3892" s="45" t="str">
        <f t="shared" si="23"/>
        <v/>
      </c>
      <c r="E3892" s="45" t="str">
        <f t="shared" si="24"/>
        <v/>
      </c>
      <c r="F3892" s="59" t="str">
        <f t="shared" si="25"/>
        <v/>
      </c>
      <c r="G3892" s="59" t="str">
        <f t="shared" si="26"/>
        <v/>
      </c>
      <c r="H3892" s="59" t="str">
        <f t="shared" si="27"/>
        <v>Xe ben mới</v>
      </c>
      <c r="I3892" s="59" t="str">
        <f>IF(OR($A3892="",$C3892="",$D3892="",$E3892="",$H3892=""),"",SUMIFS(DATA_GOC!$H:$H,DATA_GOC!$A:$A,"BOM",DATA_GOC!$D:$D,$H3892,DATA_GOC!$E:$E,$C3892,DATA_GOC!$F:$F,"Xuất nội bộ từ téc",DATA_GOC!$B:$B,"&gt;="&amp;$D3892,DATA_GOC!$B:$B,"&lt;="&amp;$E3892))</f>
        <v/>
      </c>
      <c r="J3892" s="59">
        <f t="shared" si="28"/>
        <v>0</v>
      </c>
      <c r="K3892" s="59">
        <f t="shared" si="29"/>
        <v>0</v>
      </c>
      <c r="L3892" s="59">
        <f t="shared" si="30"/>
        <v>0</v>
      </c>
      <c r="M3892" s="59">
        <f t="shared" si="31"/>
        <v>0</v>
      </c>
    </row>
    <row r="3893" ht="15.0" hidden="1" customHeight="1">
      <c r="A3893" s="59">
        <f t="shared" si="20"/>
        <v>62</v>
      </c>
      <c r="B3893" s="59" t="str">
        <f t="shared" si="21"/>
        <v/>
      </c>
      <c r="C3893" s="59" t="str">
        <f t="shared" si="22"/>
        <v/>
      </c>
      <c r="D3893" s="45" t="str">
        <f t="shared" si="23"/>
        <v/>
      </c>
      <c r="E3893" s="45" t="str">
        <f t="shared" si="24"/>
        <v/>
      </c>
      <c r="F3893" s="59" t="str">
        <f t="shared" si="25"/>
        <v/>
      </c>
      <c r="G3893" s="59" t="str">
        <f t="shared" si="26"/>
        <v/>
      </c>
      <c r="H3893" s="59" t="str">
        <f t="shared" si="27"/>
        <v>19H09482</v>
      </c>
      <c r="I3893" s="59" t="str">
        <f>IF(OR($A3893="",$C3893="",$D3893="",$E3893="",$H3893=""),"",SUMIFS(DATA_GOC!$H:$H,DATA_GOC!$A:$A,"BOM",DATA_GOC!$D:$D,$H3893,DATA_GOC!$E:$E,$C3893,DATA_GOC!$F:$F,"Xuất nội bộ từ téc",DATA_GOC!$B:$B,"&gt;="&amp;$D3893,DATA_GOC!$B:$B,"&lt;="&amp;$E3893))</f>
        <v/>
      </c>
      <c r="J3893" s="59">
        <f t="shared" si="28"/>
        <v>0</v>
      </c>
      <c r="K3893" s="59">
        <f t="shared" si="29"/>
        <v>0</v>
      </c>
      <c r="L3893" s="59">
        <f t="shared" si="30"/>
        <v>0</v>
      </c>
      <c r="M3893" s="59">
        <f t="shared" si="31"/>
        <v>0</v>
      </c>
    </row>
    <row r="3894" ht="15.0" hidden="1" customHeight="1">
      <c r="A3894" s="59">
        <f t="shared" si="20"/>
        <v>62</v>
      </c>
      <c r="B3894" s="59" t="str">
        <f t="shared" si="21"/>
        <v/>
      </c>
      <c r="C3894" s="59" t="str">
        <f t="shared" si="22"/>
        <v/>
      </c>
      <c r="D3894" s="45" t="str">
        <f t="shared" si="23"/>
        <v/>
      </c>
      <c r="E3894" s="45" t="str">
        <f t="shared" si="24"/>
        <v/>
      </c>
      <c r="F3894" s="59" t="str">
        <f t="shared" si="25"/>
        <v/>
      </c>
      <c r="G3894" s="59" t="str">
        <f t="shared" si="26"/>
        <v/>
      </c>
      <c r="H3894" s="59" t="str">
        <f t="shared" si="27"/>
        <v>28A30696</v>
      </c>
      <c r="I3894" s="59" t="str">
        <f>IF(OR($A3894="",$C3894="",$D3894="",$E3894="",$H3894=""),"",SUMIFS(DATA_GOC!$H:$H,DATA_GOC!$A:$A,"BOM",DATA_GOC!$D:$D,$H3894,DATA_GOC!$E:$E,$C3894,DATA_GOC!$F:$F,"Xuất nội bộ từ téc",DATA_GOC!$B:$B,"&gt;="&amp;$D3894,DATA_GOC!$B:$B,"&lt;="&amp;$E3894))</f>
        <v/>
      </c>
      <c r="J3894" s="59">
        <f t="shared" si="28"/>
        <v>0</v>
      </c>
      <c r="K3894" s="59">
        <f t="shared" si="29"/>
        <v>0</v>
      </c>
      <c r="L3894" s="59">
        <f t="shared" si="30"/>
        <v>0</v>
      </c>
      <c r="M3894" s="59">
        <f t="shared" si="31"/>
        <v>0</v>
      </c>
    </row>
    <row r="3895" ht="15.0" hidden="1" customHeight="1">
      <c r="A3895" s="59">
        <f t="shared" si="20"/>
        <v>62</v>
      </c>
      <c r="B3895" s="59" t="str">
        <f t="shared" si="21"/>
        <v/>
      </c>
      <c r="C3895" s="59" t="str">
        <f t="shared" si="22"/>
        <v/>
      </c>
      <c r="D3895" s="45" t="str">
        <f t="shared" si="23"/>
        <v/>
      </c>
      <c r="E3895" s="45" t="str">
        <f t="shared" si="24"/>
        <v/>
      </c>
      <c r="F3895" s="59" t="str">
        <f t="shared" si="25"/>
        <v/>
      </c>
      <c r="G3895" s="59" t="str">
        <f t="shared" si="26"/>
        <v/>
      </c>
      <c r="H3895" s="59" t="str">
        <f t="shared" si="27"/>
        <v>28C00462</v>
      </c>
      <c r="I3895" s="59" t="str">
        <f>IF(OR($A3895="",$C3895="",$D3895="",$E3895="",$H3895=""),"",SUMIFS(DATA_GOC!$H:$H,DATA_GOC!$A:$A,"BOM",DATA_GOC!$D:$D,$H3895,DATA_GOC!$E:$E,$C3895,DATA_GOC!$F:$F,"Xuất nội bộ từ téc",DATA_GOC!$B:$B,"&gt;="&amp;$D3895,DATA_GOC!$B:$B,"&lt;="&amp;$E3895))</f>
        <v/>
      </c>
      <c r="J3895" s="59">
        <f t="shared" si="28"/>
        <v>0</v>
      </c>
      <c r="K3895" s="59">
        <f t="shared" si="29"/>
        <v>0</v>
      </c>
      <c r="L3895" s="59">
        <f t="shared" si="30"/>
        <v>0</v>
      </c>
      <c r="M3895" s="59">
        <f t="shared" si="31"/>
        <v>0</v>
      </c>
    </row>
    <row r="3896" ht="15.0" hidden="1" customHeight="1">
      <c r="A3896" s="59">
        <f t="shared" si="20"/>
        <v>62</v>
      </c>
      <c r="B3896" s="59" t="str">
        <f t="shared" si="21"/>
        <v/>
      </c>
      <c r="C3896" s="59" t="str">
        <f t="shared" si="22"/>
        <v/>
      </c>
      <c r="D3896" s="45" t="str">
        <f t="shared" si="23"/>
        <v/>
      </c>
      <c r="E3896" s="45" t="str">
        <f t="shared" si="24"/>
        <v/>
      </c>
      <c r="F3896" s="59" t="str">
        <f t="shared" si="25"/>
        <v/>
      </c>
      <c r="G3896" s="59" t="str">
        <f t="shared" si="26"/>
        <v/>
      </c>
      <c r="H3896" s="59" t="str">
        <f t="shared" si="27"/>
        <v>28C01165</v>
      </c>
      <c r="I3896" s="59" t="str">
        <f>IF(OR($A3896="",$C3896="",$D3896="",$E3896="",$H3896=""),"",SUMIFS(DATA_GOC!$H:$H,DATA_GOC!$A:$A,"BOM",DATA_GOC!$D:$D,$H3896,DATA_GOC!$E:$E,$C3896,DATA_GOC!$F:$F,"Xuất nội bộ từ téc",DATA_GOC!$B:$B,"&gt;="&amp;$D3896,DATA_GOC!$B:$B,"&lt;="&amp;$E3896))</f>
        <v/>
      </c>
      <c r="J3896" s="59">
        <f t="shared" si="28"/>
        <v>0</v>
      </c>
      <c r="K3896" s="59">
        <f t="shared" si="29"/>
        <v>0</v>
      </c>
      <c r="L3896" s="59">
        <f t="shared" si="30"/>
        <v>0</v>
      </c>
      <c r="M3896" s="59">
        <f t="shared" si="31"/>
        <v>0</v>
      </c>
    </row>
    <row r="3897" ht="15.0" hidden="1" customHeight="1">
      <c r="A3897" s="59">
        <f t="shared" si="20"/>
        <v>62</v>
      </c>
      <c r="B3897" s="59" t="str">
        <f t="shared" si="21"/>
        <v/>
      </c>
      <c r="C3897" s="59" t="str">
        <f t="shared" si="22"/>
        <v/>
      </c>
      <c r="D3897" s="45" t="str">
        <f t="shared" si="23"/>
        <v/>
      </c>
      <c r="E3897" s="45" t="str">
        <f t="shared" si="24"/>
        <v/>
      </c>
      <c r="F3897" s="59" t="str">
        <f t="shared" si="25"/>
        <v/>
      </c>
      <c r="G3897" s="59" t="str">
        <f t="shared" si="26"/>
        <v/>
      </c>
      <c r="H3897" s="59" t="str">
        <f t="shared" si="27"/>
        <v>28C01406</v>
      </c>
      <c r="I3897" s="59" t="str">
        <f>IF(OR($A3897="",$C3897="",$D3897="",$E3897="",$H3897=""),"",SUMIFS(DATA_GOC!$H:$H,DATA_GOC!$A:$A,"BOM",DATA_GOC!$D:$D,$H3897,DATA_GOC!$E:$E,$C3897,DATA_GOC!$F:$F,"Xuất nội bộ từ téc",DATA_GOC!$B:$B,"&gt;="&amp;$D3897,DATA_GOC!$B:$B,"&lt;="&amp;$E3897))</f>
        <v/>
      </c>
      <c r="J3897" s="59">
        <f t="shared" si="28"/>
        <v>0</v>
      </c>
      <c r="K3897" s="59">
        <f t="shared" si="29"/>
        <v>0</v>
      </c>
      <c r="L3897" s="59">
        <f t="shared" si="30"/>
        <v>0</v>
      </c>
      <c r="M3897" s="59">
        <f t="shared" si="31"/>
        <v>0</v>
      </c>
    </row>
    <row r="3898" ht="15.0" hidden="1" customHeight="1">
      <c r="A3898" s="59">
        <f t="shared" si="20"/>
        <v>62</v>
      </c>
      <c r="B3898" s="59" t="str">
        <f t="shared" si="21"/>
        <v/>
      </c>
      <c r="C3898" s="59" t="str">
        <f t="shared" si="22"/>
        <v/>
      </c>
      <c r="D3898" s="45" t="str">
        <f t="shared" si="23"/>
        <v/>
      </c>
      <c r="E3898" s="45" t="str">
        <f t="shared" si="24"/>
        <v/>
      </c>
      <c r="F3898" s="59" t="str">
        <f t="shared" si="25"/>
        <v/>
      </c>
      <c r="G3898" s="59" t="str">
        <f t="shared" si="26"/>
        <v/>
      </c>
      <c r="H3898" s="59" t="str">
        <f t="shared" si="27"/>
        <v>28C01544</v>
      </c>
      <c r="I3898" s="59" t="str">
        <f>IF(OR($A3898="",$C3898="",$D3898="",$E3898="",$H3898=""),"",SUMIFS(DATA_GOC!$H:$H,DATA_GOC!$A:$A,"BOM",DATA_GOC!$D:$D,$H3898,DATA_GOC!$E:$E,$C3898,DATA_GOC!$F:$F,"Xuất nội bộ từ téc",DATA_GOC!$B:$B,"&gt;="&amp;$D3898,DATA_GOC!$B:$B,"&lt;="&amp;$E3898))</f>
        <v/>
      </c>
      <c r="J3898" s="59">
        <f t="shared" si="28"/>
        <v>0</v>
      </c>
      <c r="K3898" s="59">
        <f t="shared" si="29"/>
        <v>0</v>
      </c>
      <c r="L3898" s="59">
        <f t="shared" si="30"/>
        <v>0</v>
      </c>
      <c r="M3898" s="59">
        <f t="shared" si="31"/>
        <v>0</v>
      </c>
    </row>
    <row r="3899" ht="15.0" hidden="1" customHeight="1">
      <c r="A3899" s="59">
        <f t="shared" si="20"/>
        <v>62</v>
      </c>
      <c r="B3899" s="59" t="str">
        <f t="shared" si="21"/>
        <v/>
      </c>
      <c r="C3899" s="59" t="str">
        <f t="shared" si="22"/>
        <v/>
      </c>
      <c r="D3899" s="45" t="str">
        <f t="shared" si="23"/>
        <v/>
      </c>
      <c r="E3899" s="45" t="str">
        <f t="shared" si="24"/>
        <v/>
      </c>
      <c r="F3899" s="59" t="str">
        <f t="shared" si="25"/>
        <v/>
      </c>
      <c r="G3899" s="59" t="str">
        <f t="shared" si="26"/>
        <v/>
      </c>
      <c r="H3899" s="59" t="str">
        <f t="shared" si="27"/>
        <v>28C01622</v>
      </c>
      <c r="I3899" s="59" t="str">
        <f>IF(OR($A3899="",$C3899="",$D3899="",$E3899="",$H3899=""),"",SUMIFS(DATA_GOC!$H:$H,DATA_GOC!$A:$A,"BOM",DATA_GOC!$D:$D,$H3899,DATA_GOC!$E:$E,$C3899,DATA_GOC!$F:$F,"Xuất nội bộ từ téc",DATA_GOC!$B:$B,"&gt;="&amp;$D3899,DATA_GOC!$B:$B,"&lt;="&amp;$E3899))</f>
        <v/>
      </c>
      <c r="J3899" s="59">
        <f t="shared" si="28"/>
        <v>0</v>
      </c>
      <c r="K3899" s="59">
        <f t="shared" si="29"/>
        <v>0</v>
      </c>
      <c r="L3899" s="59">
        <f t="shared" si="30"/>
        <v>0</v>
      </c>
      <c r="M3899" s="59">
        <f t="shared" si="31"/>
        <v>0</v>
      </c>
    </row>
    <row r="3900" ht="15.0" hidden="1" customHeight="1">
      <c r="A3900" s="59">
        <f t="shared" si="20"/>
        <v>62</v>
      </c>
      <c r="B3900" s="59" t="str">
        <f t="shared" si="21"/>
        <v/>
      </c>
      <c r="C3900" s="59" t="str">
        <f t="shared" si="22"/>
        <v/>
      </c>
      <c r="D3900" s="45" t="str">
        <f t="shared" si="23"/>
        <v/>
      </c>
      <c r="E3900" s="45" t="str">
        <f t="shared" si="24"/>
        <v/>
      </c>
      <c r="F3900" s="59" t="str">
        <f t="shared" si="25"/>
        <v/>
      </c>
      <c r="G3900" s="59" t="str">
        <f t="shared" si="26"/>
        <v/>
      </c>
      <c r="H3900" s="59" t="str">
        <f t="shared" si="27"/>
        <v>28C01647</v>
      </c>
      <c r="I3900" s="59" t="str">
        <f>IF(OR($A3900="",$C3900="",$D3900="",$E3900="",$H3900=""),"",SUMIFS(DATA_GOC!$H:$H,DATA_GOC!$A:$A,"BOM",DATA_GOC!$D:$D,$H3900,DATA_GOC!$E:$E,$C3900,DATA_GOC!$F:$F,"Xuất nội bộ từ téc",DATA_GOC!$B:$B,"&gt;="&amp;$D3900,DATA_GOC!$B:$B,"&lt;="&amp;$E3900))</f>
        <v/>
      </c>
      <c r="J3900" s="59">
        <f t="shared" si="28"/>
        <v>0</v>
      </c>
      <c r="K3900" s="59">
        <f t="shared" si="29"/>
        <v>0</v>
      </c>
      <c r="L3900" s="59">
        <f t="shared" si="30"/>
        <v>0</v>
      </c>
      <c r="M3900" s="59">
        <f t="shared" si="31"/>
        <v>0</v>
      </c>
    </row>
    <row r="3901" ht="15.0" hidden="1" customHeight="1">
      <c r="A3901" s="59">
        <f t="shared" si="20"/>
        <v>62</v>
      </c>
      <c r="B3901" s="59" t="str">
        <f t="shared" si="21"/>
        <v/>
      </c>
      <c r="C3901" s="59" t="str">
        <f t="shared" si="22"/>
        <v/>
      </c>
      <c r="D3901" s="45" t="str">
        <f t="shared" si="23"/>
        <v/>
      </c>
      <c r="E3901" s="45" t="str">
        <f t="shared" si="24"/>
        <v/>
      </c>
      <c r="F3901" s="59" t="str">
        <f t="shared" si="25"/>
        <v/>
      </c>
      <c r="G3901" s="59" t="str">
        <f t="shared" si="26"/>
        <v/>
      </c>
      <c r="H3901" s="59" t="str">
        <f t="shared" si="27"/>
        <v>28C01731</v>
      </c>
      <c r="I3901" s="59" t="str">
        <f>IF(OR($A3901="",$C3901="",$D3901="",$E3901="",$H3901=""),"",SUMIFS(DATA_GOC!$H:$H,DATA_GOC!$A:$A,"BOM",DATA_GOC!$D:$D,$H3901,DATA_GOC!$E:$E,$C3901,DATA_GOC!$F:$F,"Xuất nội bộ từ téc",DATA_GOC!$B:$B,"&gt;="&amp;$D3901,DATA_GOC!$B:$B,"&lt;="&amp;$E3901))</f>
        <v/>
      </c>
      <c r="J3901" s="59">
        <f t="shared" si="28"/>
        <v>0</v>
      </c>
      <c r="K3901" s="59">
        <f t="shared" si="29"/>
        <v>0</v>
      </c>
      <c r="L3901" s="59">
        <f t="shared" si="30"/>
        <v>0</v>
      </c>
      <c r="M3901" s="59">
        <f t="shared" si="31"/>
        <v>0</v>
      </c>
    </row>
    <row r="3902" ht="15.0" hidden="1" customHeight="1">
      <c r="A3902" s="59">
        <f t="shared" si="20"/>
        <v>62</v>
      </c>
      <c r="B3902" s="59" t="str">
        <f t="shared" si="21"/>
        <v/>
      </c>
      <c r="C3902" s="59" t="str">
        <f t="shared" si="22"/>
        <v/>
      </c>
      <c r="D3902" s="45" t="str">
        <f t="shared" si="23"/>
        <v/>
      </c>
      <c r="E3902" s="45" t="str">
        <f t="shared" si="24"/>
        <v/>
      </c>
      <c r="F3902" s="59" t="str">
        <f t="shared" si="25"/>
        <v/>
      </c>
      <c r="G3902" s="59" t="str">
        <f t="shared" si="26"/>
        <v/>
      </c>
      <c r="H3902" s="59" t="str">
        <f t="shared" si="27"/>
        <v>28C01743</v>
      </c>
      <c r="I3902" s="59" t="str">
        <f>IF(OR($A3902="",$C3902="",$D3902="",$E3902="",$H3902=""),"",SUMIFS(DATA_GOC!$H:$H,DATA_GOC!$A:$A,"BOM",DATA_GOC!$D:$D,$H3902,DATA_GOC!$E:$E,$C3902,DATA_GOC!$F:$F,"Xuất nội bộ từ téc",DATA_GOC!$B:$B,"&gt;="&amp;$D3902,DATA_GOC!$B:$B,"&lt;="&amp;$E3902))</f>
        <v/>
      </c>
      <c r="J3902" s="59">
        <f t="shared" si="28"/>
        <v>0</v>
      </c>
      <c r="K3902" s="59">
        <f t="shared" si="29"/>
        <v>0</v>
      </c>
      <c r="L3902" s="59">
        <f t="shared" si="30"/>
        <v>0</v>
      </c>
      <c r="M3902" s="59">
        <f t="shared" si="31"/>
        <v>0</v>
      </c>
    </row>
    <row r="3903" ht="15.0" hidden="1" customHeight="1">
      <c r="A3903" s="59">
        <f t="shared" si="20"/>
        <v>62</v>
      </c>
      <c r="B3903" s="59" t="str">
        <f t="shared" si="21"/>
        <v/>
      </c>
      <c r="C3903" s="59" t="str">
        <f t="shared" si="22"/>
        <v/>
      </c>
      <c r="D3903" s="45" t="str">
        <f t="shared" si="23"/>
        <v/>
      </c>
      <c r="E3903" s="45" t="str">
        <f t="shared" si="24"/>
        <v/>
      </c>
      <c r="F3903" s="59" t="str">
        <f t="shared" si="25"/>
        <v/>
      </c>
      <c r="G3903" s="59" t="str">
        <f t="shared" si="26"/>
        <v/>
      </c>
      <c r="H3903" s="59" t="str">
        <f t="shared" si="27"/>
        <v>28C02106</v>
      </c>
      <c r="I3903" s="59" t="str">
        <f>IF(OR($A3903="",$C3903="",$D3903="",$E3903="",$H3903=""),"",SUMIFS(DATA_GOC!$H:$H,DATA_GOC!$A:$A,"BOM",DATA_GOC!$D:$D,$H3903,DATA_GOC!$E:$E,$C3903,DATA_GOC!$F:$F,"Xuất nội bộ từ téc",DATA_GOC!$B:$B,"&gt;="&amp;$D3903,DATA_GOC!$B:$B,"&lt;="&amp;$E3903))</f>
        <v/>
      </c>
      <c r="J3903" s="59">
        <f t="shared" si="28"/>
        <v>0</v>
      </c>
      <c r="K3903" s="59">
        <f t="shared" si="29"/>
        <v>0</v>
      </c>
      <c r="L3903" s="59">
        <f t="shared" si="30"/>
        <v>0</v>
      </c>
      <c r="M3903" s="59">
        <f t="shared" si="31"/>
        <v>0</v>
      </c>
    </row>
    <row r="3904" ht="15.0" hidden="1" customHeight="1">
      <c r="A3904" s="59">
        <f t="shared" si="20"/>
        <v>62</v>
      </c>
      <c r="B3904" s="59" t="str">
        <f t="shared" si="21"/>
        <v/>
      </c>
      <c r="C3904" s="59" t="str">
        <f t="shared" si="22"/>
        <v/>
      </c>
      <c r="D3904" s="45" t="str">
        <f t="shared" si="23"/>
        <v/>
      </c>
      <c r="E3904" s="45" t="str">
        <f t="shared" si="24"/>
        <v/>
      </c>
      <c r="F3904" s="59" t="str">
        <f t="shared" si="25"/>
        <v/>
      </c>
      <c r="G3904" s="59" t="str">
        <f t="shared" si="26"/>
        <v/>
      </c>
      <c r="H3904" s="59" t="str">
        <f t="shared" si="27"/>
        <v>28C02410</v>
      </c>
      <c r="I3904" s="59" t="str">
        <f>IF(OR($A3904="",$C3904="",$D3904="",$E3904="",$H3904=""),"",SUMIFS(DATA_GOC!$H:$H,DATA_GOC!$A:$A,"BOM",DATA_GOC!$D:$D,$H3904,DATA_GOC!$E:$E,$C3904,DATA_GOC!$F:$F,"Xuất nội bộ từ téc",DATA_GOC!$B:$B,"&gt;="&amp;$D3904,DATA_GOC!$B:$B,"&lt;="&amp;$E3904))</f>
        <v/>
      </c>
      <c r="J3904" s="59">
        <f t="shared" si="28"/>
        <v>0</v>
      </c>
      <c r="K3904" s="59">
        <f t="shared" si="29"/>
        <v>0</v>
      </c>
      <c r="L3904" s="59">
        <f t="shared" si="30"/>
        <v>0</v>
      </c>
      <c r="M3904" s="59">
        <f t="shared" si="31"/>
        <v>0</v>
      </c>
    </row>
    <row r="3905" ht="15.0" hidden="1" customHeight="1">
      <c r="A3905" s="59">
        <f t="shared" si="20"/>
        <v>62</v>
      </c>
      <c r="B3905" s="59" t="str">
        <f t="shared" si="21"/>
        <v/>
      </c>
      <c r="C3905" s="59" t="str">
        <f t="shared" si="22"/>
        <v/>
      </c>
      <c r="D3905" s="45" t="str">
        <f t="shared" si="23"/>
        <v/>
      </c>
      <c r="E3905" s="45" t="str">
        <f t="shared" si="24"/>
        <v/>
      </c>
      <c r="F3905" s="59" t="str">
        <f t="shared" si="25"/>
        <v/>
      </c>
      <c r="G3905" s="59" t="str">
        <f t="shared" si="26"/>
        <v/>
      </c>
      <c r="H3905" s="59" t="str">
        <f t="shared" si="27"/>
        <v>28C02545</v>
      </c>
      <c r="I3905" s="59" t="str">
        <f>IF(OR($A3905="",$C3905="",$D3905="",$E3905="",$H3905=""),"",SUMIFS(DATA_GOC!$H:$H,DATA_GOC!$A:$A,"BOM",DATA_GOC!$D:$D,$H3905,DATA_GOC!$E:$E,$C3905,DATA_GOC!$F:$F,"Xuất nội bộ từ téc",DATA_GOC!$B:$B,"&gt;="&amp;$D3905,DATA_GOC!$B:$B,"&lt;="&amp;$E3905))</f>
        <v/>
      </c>
      <c r="J3905" s="59">
        <f t="shared" si="28"/>
        <v>0</v>
      </c>
      <c r="K3905" s="59">
        <f t="shared" si="29"/>
        <v>0</v>
      </c>
      <c r="L3905" s="59">
        <f t="shared" si="30"/>
        <v>0</v>
      </c>
      <c r="M3905" s="59">
        <f t="shared" si="31"/>
        <v>0</v>
      </c>
    </row>
    <row r="3906" ht="15.0" hidden="1" customHeight="1">
      <c r="A3906" s="59">
        <f t="shared" si="20"/>
        <v>62</v>
      </c>
      <c r="B3906" s="59" t="str">
        <f t="shared" si="21"/>
        <v/>
      </c>
      <c r="C3906" s="59" t="str">
        <f t="shared" si="22"/>
        <v/>
      </c>
      <c r="D3906" s="45" t="str">
        <f t="shared" si="23"/>
        <v/>
      </c>
      <c r="E3906" s="45" t="str">
        <f t="shared" si="24"/>
        <v/>
      </c>
      <c r="F3906" s="59" t="str">
        <f t="shared" si="25"/>
        <v/>
      </c>
      <c r="G3906" s="59" t="str">
        <f t="shared" si="26"/>
        <v/>
      </c>
      <c r="H3906" s="59" t="str">
        <f t="shared" si="27"/>
        <v>28C02574</v>
      </c>
      <c r="I3906" s="59" t="str">
        <f>IF(OR($A3906="",$C3906="",$D3906="",$E3906="",$H3906=""),"",SUMIFS(DATA_GOC!$H:$H,DATA_GOC!$A:$A,"BOM",DATA_GOC!$D:$D,$H3906,DATA_GOC!$E:$E,$C3906,DATA_GOC!$F:$F,"Xuất nội bộ từ téc",DATA_GOC!$B:$B,"&gt;="&amp;$D3906,DATA_GOC!$B:$B,"&lt;="&amp;$E3906))</f>
        <v/>
      </c>
      <c r="J3906" s="59">
        <f t="shared" si="28"/>
        <v>0</v>
      </c>
      <c r="K3906" s="59">
        <f t="shared" si="29"/>
        <v>0</v>
      </c>
      <c r="L3906" s="59">
        <f t="shared" si="30"/>
        <v>0</v>
      </c>
      <c r="M3906" s="59">
        <f t="shared" si="31"/>
        <v>0</v>
      </c>
    </row>
    <row r="3907" ht="15.0" hidden="1" customHeight="1">
      <c r="A3907" s="59">
        <f t="shared" si="20"/>
        <v>62</v>
      </c>
      <c r="B3907" s="59" t="str">
        <f t="shared" si="21"/>
        <v/>
      </c>
      <c r="C3907" s="59" t="str">
        <f t="shared" si="22"/>
        <v/>
      </c>
      <c r="D3907" s="45" t="str">
        <f t="shared" si="23"/>
        <v/>
      </c>
      <c r="E3907" s="45" t="str">
        <f t="shared" si="24"/>
        <v/>
      </c>
      <c r="F3907" s="59" t="str">
        <f t="shared" si="25"/>
        <v/>
      </c>
      <c r="G3907" s="59" t="str">
        <f t="shared" si="26"/>
        <v/>
      </c>
      <c r="H3907" s="59" t="str">
        <f t="shared" si="27"/>
        <v>28C02770</v>
      </c>
      <c r="I3907" s="59" t="str">
        <f>IF(OR($A3907="",$C3907="",$D3907="",$E3907="",$H3907=""),"",SUMIFS(DATA_GOC!$H:$H,DATA_GOC!$A:$A,"BOM",DATA_GOC!$D:$D,$H3907,DATA_GOC!$E:$E,$C3907,DATA_GOC!$F:$F,"Xuất nội bộ từ téc",DATA_GOC!$B:$B,"&gt;="&amp;$D3907,DATA_GOC!$B:$B,"&lt;="&amp;$E3907))</f>
        <v/>
      </c>
      <c r="J3907" s="59">
        <f t="shared" si="28"/>
        <v>0</v>
      </c>
      <c r="K3907" s="59">
        <f t="shared" si="29"/>
        <v>0</v>
      </c>
      <c r="L3907" s="59">
        <f t="shared" si="30"/>
        <v>0</v>
      </c>
      <c r="M3907" s="59">
        <f t="shared" si="31"/>
        <v>0</v>
      </c>
    </row>
    <row r="3908" ht="15.0" hidden="1" customHeight="1">
      <c r="A3908" s="59">
        <f t="shared" si="20"/>
        <v>62</v>
      </c>
      <c r="B3908" s="59" t="str">
        <f t="shared" si="21"/>
        <v/>
      </c>
      <c r="C3908" s="59" t="str">
        <f t="shared" si="22"/>
        <v/>
      </c>
      <c r="D3908" s="45" t="str">
        <f t="shared" si="23"/>
        <v/>
      </c>
      <c r="E3908" s="45" t="str">
        <f t="shared" si="24"/>
        <v/>
      </c>
      <c r="F3908" s="59" t="str">
        <f t="shared" si="25"/>
        <v/>
      </c>
      <c r="G3908" s="59" t="str">
        <f t="shared" si="26"/>
        <v/>
      </c>
      <c r="H3908" s="59" t="str">
        <f t="shared" si="27"/>
        <v>28C02986</v>
      </c>
      <c r="I3908" s="59" t="str">
        <f>IF(OR($A3908="",$C3908="",$D3908="",$E3908="",$H3908=""),"",SUMIFS(DATA_GOC!$H:$H,DATA_GOC!$A:$A,"BOM",DATA_GOC!$D:$D,$H3908,DATA_GOC!$E:$E,$C3908,DATA_GOC!$F:$F,"Xuất nội bộ từ téc",DATA_GOC!$B:$B,"&gt;="&amp;$D3908,DATA_GOC!$B:$B,"&lt;="&amp;$E3908))</f>
        <v/>
      </c>
      <c r="J3908" s="59">
        <f t="shared" si="28"/>
        <v>0</v>
      </c>
      <c r="K3908" s="59">
        <f t="shared" si="29"/>
        <v>0</v>
      </c>
      <c r="L3908" s="59">
        <f t="shared" si="30"/>
        <v>0</v>
      </c>
      <c r="M3908" s="59">
        <f t="shared" si="31"/>
        <v>0</v>
      </c>
    </row>
    <row r="3909" ht="15.0" hidden="1" customHeight="1">
      <c r="A3909" s="59">
        <f t="shared" si="20"/>
        <v>62</v>
      </c>
      <c r="B3909" s="59" t="str">
        <f t="shared" si="21"/>
        <v/>
      </c>
      <c r="C3909" s="59" t="str">
        <f t="shared" si="22"/>
        <v/>
      </c>
      <c r="D3909" s="45" t="str">
        <f t="shared" si="23"/>
        <v/>
      </c>
      <c r="E3909" s="45" t="str">
        <f t="shared" si="24"/>
        <v/>
      </c>
      <c r="F3909" s="59" t="str">
        <f t="shared" si="25"/>
        <v/>
      </c>
      <c r="G3909" s="59" t="str">
        <f t="shared" si="26"/>
        <v/>
      </c>
      <c r="H3909" s="59" t="str">
        <f t="shared" si="27"/>
        <v>28C03261</v>
      </c>
      <c r="I3909" s="59" t="str">
        <f>IF(OR($A3909="",$C3909="",$D3909="",$E3909="",$H3909=""),"",SUMIFS(DATA_GOC!$H:$H,DATA_GOC!$A:$A,"BOM",DATA_GOC!$D:$D,$H3909,DATA_GOC!$E:$E,$C3909,DATA_GOC!$F:$F,"Xuất nội bộ từ téc",DATA_GOC!$B:$B,"&gt;="&amp;$D3909,DATA_GOC!$B:$B,"&lt;="&amp;$E3909))</f>
        <v/>
      </c>
      <c r="J3909" s="59">
        <f t="shared" si="28"/>
        <v>0</v>
      </c>
      <c r="K3909" s="59">
        <f t="shared" si="29"/>
        <v>0</v>
      </c>
      <c r="L3909" s="59">
        <f t="shared" si="30"/>
        <v>0</v>
      </c>
      <c r="M3909" s="59">
        <f t="shared" si="31"/>
        <v>0</v>
      </c>
    </row>
    <row r="3910" ht="15.0" hidden="1" customHeight="1">
      <c r="A3910" s="59">
        <f t="shared" si="20"/>
        <v>62</v>
      </c>
      <c r="B3910" s="59" t="str">
        <f t="shared" si="21"/>
        <v/>
      </c>
      <c r="C3910" s="59" t="str">
        <f t="shared" si="22"/>
        <v/>
      </c>
      <c r="D3910" s="45" t="str">
        <f t="shared" si="23"/>
        <v/>
      </c>
      <c r="E3910" s="45" t="str">
        <f t="shared" si="24"/>
        <v/>
      </c>
      <c r="F3910" s="59" t="str">
        <f t="shared" si="25"/>
        <v/>
      </c>
      <c r="G3910" s="59" t="str">
        <f t="shared" si="26"/>
        <v/>
      </c>
      <c r="H3910" s="59" t="str">
        <f t="shared" si="27"/>
        <v>28C03323</v>
      </c>
      <c r="I3910" s="59" t="str">
        <f>IF(OR($A3910="",$C3910="",$D3910="",$E3910="",$H3910=""),"",SUMIFS(DATA_GOC!$H:$H,DATA_GOC!$A:$A,"BOM",DATA_GOC!$D:$D,$H3910,DATA_GOC!$E:$E,$C3910,DATA_GOC!$F:$F,"Xuất nội bộ từ téc",DATA_GOC!$B:$B,"&gt;="&amp;$D3910,DATA_GOC!$B:$B,"&lt;="&amp;$E3910))</f>
        <v/>
      </c>
      <c r="J3910" s="59">
        <f t="shared" si="28"/>
        <v>0</v>
      </c>
      <c r="K3910" s="59">
        <f t="shared" si="29"/>
        <v>0</v>
      </c>
      <c r="L3910" s="59">
        <f t="shared" si="30"/>
        <v>0</v>
      </c>
      <c r="M3910" s="59">
        <f t="shared" si="31"/>
        <v>0</v>
      </c>
    </row>
    <row r="3911" ht="15.0" hidden="1" customHeight="1">
      <c r="A3911" s="59">
        <f t="shared" si="20"/>
        <v>62</v>
      </c>
      <c r="B3911" s="59" t="str">
        <f t="shared" si="21"/>
        <v/>
      </c>
      <c r="C3911" s="59" t="str">
        <f t="shared" si="22"/>
        <v/>
      </c>
      <c r="D3911" s="45" t="str">
        <f t="shared" si="23"/>
        <v/>
      </c>
      <c r="E3911" s="45" t="str">
        <f t="shared" si="24"/>
        <v/>
      </c>
      <c r="F3911" s="59" t="str">
        <f t="shared" si="25"/>
        <v/>
      </c>
      <c r="G3911" s="59" t="str">
        <f t="shared" si="26"/>
        <v/>
      </c>
      <c r="H3911" s="59" t="str">
        <f t="shared" si="27"/>
        <v>28C03385</v>
      </c>
      <c r="I3911" s="59" t="str">
        <f>IF(OR($A3911="",$C3911="",$D3911="",$E3911="",$H3911=""),"",SUMIFS(DATA_GOC!$H:$H,DATA_GOC!$A:$A,"BOM",DATA_GOC!$D:$D,$H3911,DATA_GOC!$E:$E,$C3911,DATA_GOC!$F:$F,"Xuất nội bộ từ téc",DATA_GOC!$B:$B,"&gt;="&amp;$D3911,DATA_GOC!$B:$B,"&lt;="&amp;$E3911))</f>
        <v/>
      </c>
      <c r="J3911" s="59">
        <f t="shared" si="28"/>
        <v>0</v>
      </c>
      <c r="K3911" s="59">
        <f t="shared" si="29"/>
        <v>0</v>
      </c>
      <c r="L3911" s="59">
        <f t="shared" si="30"/>
        <v>0</v>
      </c>
      <c r="M3911" s="59">
        <f t="shared" si="31"/>
        <v>0</v>
      </c>
    </row>
    <row r="3912" ht="15.0" hidden="1" customHeight="1">
      <c r="A3912" s="59">
        <f t="shared" si="20"/>
        <v>62</v>
      </c>
      <c r="B3912" s="59" t="str">
        <f t="shared" si="21"/>
        <v/>
      </c>
      <c r="C3912" s="59" t="str">
        <f t="shared" si="22"/>
        <v/>
      </c>
      <c r="D3912" s="45" t="str">
        <f t="shared" si="23"/>
        <v/>
      </c>
      <c r="E3912" s="45" t="str">
        <f t="shared" si="24"/>
        <v/>
      </c>
      <c r="F3912" s="59" t="str">
        <f t="shared" si="25"/>
        <v/>
      </c>
      <c r="G3912" s="59" t="str">
        <f t="shared" si="26"/>
        <v/>
      </c>
      <c r="H3912" s="59" t="str">
        <f t="shared" si="27"/>
        <v>28C03652</v>
      </c>
      <c r="I3912" s="59" t="str">
        <f>IF(OR($A3912="",$C3912="",$D3912="",$E3912="",$H3912=""),"",SUMIFS(DATA_GOC!$H:$H,DATA_GOC!$A:$A,"BOM",DATA_GOC!$D:$D,$H3912,DATA_GOC!$E:$E,$C3912,DATA_GOC!$F:$F,"Xuất nội bộ từ téc",DATA_GOC!$B:$B,"&gt;="&amp;$D3912,DATA_GOC!$B:$B,"&lt;="&amp;$E3912))</f>
        <v/>
      </c>
      <c r="J3912" s="59">
        <f t="shared" si="28"/>
        <v>0</v>
      </c>
      <c r="K3912" s="59">
        <f t="shared" si="29"/>
        <v>0</v>
      </c>
      <c r="L3912" s="59">
        <f t="shared" si="30"/>
        <v>0</v>
      </c>
      <c r="M3912" s="59">
        <f t="shared" si="31"/>
        <v>0</v>
      </c>
    </row>
    <row r="3913" ht="15.0" hidden="1" customHeight="1">
      <c r="A3913" s="59">
        <f t="shared" si="20"/>
        <v>62</v>
      </c>
      <c r="B3913" s="59" t="str">
        <f t="shared" si="21"/>
        <v/>
      </c>
      <c r="C3913" s="59" t="str">
        <f t="shared" si="22"/>
        <v/>
      </c>
      <c r="D3913" s="45" t="str">
        <f t="shared" si="23"/>
        <v/>
      </c>
      <c r="E3913" s="45" t="str">
        <f t="shared" si="24"/>
        <v/>
      </c>
      <c r="F3913" s="59" t="str">
        <f t="shared" si="25"/>
        <v/>
      </c>
      <c r="G3913" s="59" t="str">
        <f t="shared" si="26"/>
        <v/>
      </c>
      <c r="H3913" s="59" t="str">
        <f t="shared" si="27"/>
        <v>28C03695</v>
      </c>
      <c r="I3913" s="59" t="str">
        <f>IF(OR($A3913="",$C3913="",$D3913="",$E3913="",$H3913=""),"",SUMIFS(DATA_GOC!$H:$H,DATA_GOC!$A:$A,"BOM",DATA_GOC!$D:$D,$H3913,DATA_GOC!$E:$E,$C3913,DATA_GOC!$F:$F,"Xuất nội bộ từ téc",DATA_GOC!$B:$B,"&gt;="&amp;$D3913,DATA_GOC!$B:$B,"&lt;="&amp;$E3913))</f>
        <v/>
      </c>
      <c r="J3913" s="59">
        <f t="shared" si="28"/>
        <v>0</v>
      </c>
      <c r="K3913" s="59">
        <f t="shared" si="29"/>
        <v>0</v>
      </c>
      <c r="L3913" s="59">
        <f t="shared" si="30"/>
        <v>0</v>
      </c>
      <c r="M3913" s="59">
        <f t="shared" si="31"/>
        <v>0</v>
      </c>
    </row>
    <row r="3914" ht="15.0" hidden="1" customHeight="1">
      <c r="A3914" s="59">
        <f t="shared" si="20"/>
        <v>62</v>
      </c>
      <c r="B3914" s="59" t="str">
        <f t="shared" si="21"/>
        <v/>
      </c>
      <c r="C3914" s="59" t="str">
        <f t="shared" si="22"/>
        <v/>
      </c>
      <c r="D3914" s="45" t="str">
        <f t="shared" si="23"/>
        <v/>
      </c>
      <c r="E3914" s="45" t="str">
        <f t="shared" si="24"/>
        <v/>
      </c>
      <c r="F3914" s="59" t="str">
        <f t="shared" si="25"/>
        <v/>
      </c>
      <c r="G3914" s="59" t="str">
        <f t="shared" si="26"/>
        <v/>
      </c>
      <c r="H3914" s="59" t="str">
        <f t="shared" si="27"/>
        <v>28C03927</v>
      </c>
      <c r="I3914" s="59" t="str">
        <f>IF(OR($A3914="",$C3914="",$D3914="",$E3914="",$H3914=""),"",SUMIFS(DATA_GOC!$H:$H,DATA_GOC!$A:$A,"BOM",DATA_GOC!$D:$D,$H3914,DATA_GOC!$E:$E,$C3914,DATA_GOC!$F:$F,"Xuất nội bộ từ téc",DATA_GOC!$B:$B,"&gt;="&amp;$D3914,DATA_GOC!$B:$B,"&lt;="&amp;$E3914))</f>
        <v/>
      </c>
      <c r="J3914" s="59">
        <f t="shared" si="28"/>
        <v>0</v>
      </c>
      <c r="K3914" s="59">
        <f t="shared" si="29"/>
        <v>0</v>
      </c>
      <c r="L3914" s="59">
        <f t="shared" si="30"/>
        <v>0</v>
      </c>
      <c r="M3914" s="59">
        <f t="shared" si="31"/>
        <v>0</v>
      </c>
    </row>
    <row r="3915" ht="15.0" hidden="1" customHeight="1">
      <c r="A3915" s="59">
        <f t="shared" si="20"/>
        <v>62</v>
      </c>
      <c r="B3915" s="59" t="str">
        <f t="shared" si="21"/>
        <v/>
      </c>
      <c r="C3915" s="59" t="str">
        <f t="shared" si="22"/>
        <v/>
      </c>
      <c r="D3915" s="45" t="str">
        <f t="shared" si="23"/>
        <v/>
      </c>
      <c r="E3915" s="45" t="str">
        <f t="shared" si="24"/>
        <v/>
      </c>
      <c r="F3915" s="59" t="str">
        <f t="shared" si="25"/>
        <v/>
      </c>
      <c r="G3915" s="59" t="str">
        <f t="shared" si="26"/>
        <v/>
      </c>
      <c r="H3915" s="59" t="str">
        <f t="shared" si="27"/>
        <v>28C04509</v>
      </c>
      <c r="I3915" s="59" t="str">
        <f>IF(OR($A3915="",$C3915="",$D3915="",$E3915="",$H3915=""),"",SUMIFS(DATA_GOC!$H:$H,DATA_GOC!$A:$A,"BOM",DATA_GOC!$D:$D,$H3915,DATA_GOC!$E:$E,$C3915,DATA_GOC!$F:$F,"Xuất nội bộ từ téc",DATA_GOC!$B:$B,"&gt;="&amp;$D3915,DATA_GOC!$B:$B,"&lt;="&amp;$E3915))</f>
        <v/>
      </c>
      <c r="J3915" s="59">
        <f t="shared" si="28"/>
        <v>0</v>
      </c>
      <c r="K3915" s="59">
        <f t="shared" si="29"/>
        <v>0</v>
      </c>
      <c r="L3915" s="59">
        <f t="shared" si="30"/>
        <v>0</v>
      </c>
      <c r="M3915" s="59">
        <f t="shared" si="31"/>
        <v>0</v>
      </c>
    </row>
    <row r="3916" ht="15.0" hidden="1" customHeight="1">
      <c r="A3916" s="59">
        <f t="shared" si="20"/>
        <v>62</v>
      </c>
      <c r="B3916" s="59" t="str">
        <f t="shared" si="21"/>
        <v/>
      </c>
      <c r="C3916" s="59" t="str">
        <f t="shared" si="22"/>
        <v/>
      </c>
      <c r="D3916" s="45" t="str">
        <f t="shared" si="23"/>
        <v/>
      </c>
      <c r="E3916" s="45" t="str">
        <f t="shared" si="24"/>
        <v/>
      </c>
      <c r="F3916" s="59" t="str">
        <f t="shared" si="25"/>
        <v/>
      </c>
      <c r="G3916" s="59" t="str">
        <f t="shared" si="26"/>
        <v/>
      </c>
      <c r="H3916" s="59" t="str">
        <f t="shared" si="27"/>
        <v>28C04536</v>
      </c>
      <c r="I3916" s="59" t="str">
        <f>IF(OR($A3916="",$C3916="",$D3916="",$E3916="",$H3916=""),"",SUMIFS(DATA_GOC!$H:$H,DATA_GOC!$A:$A,"BOM",DATA_GOC!$D:$D,$H3916,DATA_GOC!$E:$E,$C3916,DATA_GOC!$F:$F,"Xuất nội bộ từ téc",DATA_GOC!$B:$B,"&gt;="&amp;$D3916,DATA_GOC!$B:$B,"&lt;="&amp;$E3916))</f>
        <v/>
      </c>
      <c r="J3916" s="59">
        <f t="shared" si="28"/>
        <v>0</v>
      </c>
      <c r="K3916" s="59">
        <f t="shared" si="29"/>
        <v>0</v>
      </c>
      <c r="L3916" s="59">
        <f t="shared" si="30"/>
        <v>0</v>
      </c>
      <c r="M3916" s="59">
        <f t="shared" si="31"/>
        <v>0</v>
      </c>
    </row>
    <row r="3917" ht="15.0" hidden="1" customHeight="1">
      <c r="A3917" s="59">
        <f t="shared" si="20"/>
        <v>62</v>
      </c>
      <c r="B3917" s="59" t="str">
        <f t="shared" si="21"/>
        <v/>
      </c>
      <c r="C3917" s="59" t="str">
        <f t="shared" si="22"/>
        <v/>
      </c>
      <c r="D3917" s="45" t="str">
        <f t="shared" si="23"/>
        <v/>
      </c>
      <c r="E3917" s="45" t="str">
        <f t="shared" si="24"/>
        <v/>
      </c>
      <c r="F3917" s="59" t="str">
        <f t="shared" si="25"/>
        <v/>
      </c>
      <c r="G3917" s="59" t="str">
        <f t="shared" si="26"/>
        <v/>
      </c>
      <c r="H3917" s="59" t="str">
        <f t="shared" si="27"/>
        <v>28C04576</v>
      </c>
      <c r="I3917" s="59" t="str">
        <f>IF(OR($A3917="",$C3917="",$D3917="",$E3917="",$H3917=""),"",SUMIFS(DATA_GOC!$H:$H,DATA_GOC!$A:$A,"BOM",DATA_GOC!$D:$D,$H3917,DATA_GOC!$E:$E,$C3917,DATA_GOC!$F:$F,"Xuất nội bộ từ téc",DATA_GOC!$B:$B,"&gt;="&amp;$D3917,DATA_GOC!$B:$B,"&lt;="&amp;$E3917))</f>
        <v/>
      </c>
      <c r="J3917" s="59">
        <f t="shared" si="28"/>
        <v>0</v>
      </c>
      <c r="K3917" s="59">
        <f t="shared" si="29"/>
        <v>0</v>
      </c>
      <c r="L3917" s="59">
        <f t="shared" si="30"/>
        <v>0</v>
      </c>
      <c r="M3917" s="59">
        <f t="shared" si="31"/>
        <v>0</v>
      </c>
    </row>
    <row r="3918" ht="15.0" hidden="1" customHeight="1">
      <c r="A3918" s="59">
        <f t="shared" si="20"/>
        <v>62</v>
      </c>
      <c r="B3918" s="59" t="str">
        <f t="shared" si="21"/>
        <v/>
      </c>
      <c r="C3918" s="59" t="str">
        <f t="shared" si="22"/>
        <v/>
      </c>
      <c r="D3918" s="45" t="str">
        <f t="shared" si="23"/>
        <v/>
      </c>
      <c r="E3918" s="45" t="str">
        <f t="shared" si="24"/>
        <v/>
      </c>
      <c r="F3918" s="59" t="str">
        <f t="shared" si="25"/>
        <v/>
      </c>
      <c r="G3918" s="59" t="str">
        <f t="shared" si="26"/>
        <v/>
      </c>
      <c r="H3918" s="59" t="str">
        <f t="shared" si="27"/>
        <v>28C05090</v>
      </c>
      <c r="I3918" s="59" t="str">
        <f>IF(OR($A3918="",$C3918="",$D3918="",$E3918="",$H3918=""),"",SUMIFS(DATA_GOC!$H:$H,DATA_GOC!$A:$A,"BOM",DATA_GOC!$D:$D,$H3918,DATA_GOC!$E:$E,$C3918,DATA_GOC!$F:$F,"Xuất nội bộ từ téc",DATA_GOC!$B:$B,"&gt;="&amp;$D3918,DATA_GOC!$B:$B,"&lt;="&amp;$E3918))</f>
        <v/>
      </c>
      <c r="J3918" s="59">
        <f t="shared" si="28"/>
        <v>0</v>
      </c>
      <c r="K3918" s="59">
        <f t="shared" si="29"/>
        <v>0</v>
      </c>
      <c r="L3918" s="59">
        <f t="shared" si="30"/>
        <v>0</v>
      </c>
      <c r="M3918" s="59">
        <f t="shared" si="31"/>
        <v>0</v>
      </c>
    </row>
    <row r="3919" ht="15.0" hidden="1" customHeight="1">
      <c r="A3919" s="59">
        <f t="shared" si="20"/>
        <v>62</v>
      </c>
      <c r="B3919" s="59" t="str">
        <f t="shared" si="21"/>
        <v/>
      </c>
      <c r="C3919" s="59" t="str">
        <f t="shared" si="22"/>
        <v/>
      </c>
      <c r="D3919" s="45" t="str">
        <f t="shared" si="23"/>
        <v/>
      </c>
      <c r="E3919" s="45" t="str">
        <f t="shared" si="24"/>
        <v/>
      </c>
      <c r="F3919" s="59" t="str">
        <f t="shared" si="25"/>
        <v/>
      </c>
      <c r="G3919" s="59" t="str">
        <f t="shared" si="26"/>
        <v/>
      </c>
      <c r="H3919" s="59" t="str">
        <f t="shared" si="27"/>
        <v>28C05345</v>
      </c>
      <c r="I3919" s="59" t="str">
        <f>IF(OR($A3919="",$C3919="",$D3919="",$E3919="",$H3919=""),"",SUMIFS(DATA_GOC!$H:$H,DATA_GOC!$A:$A,"BOM",DATA_GOC!$D:$D,$H3919,DATA_GOC!$E:$E,$C3919,DATA_GOC!$F:$F,"Xuất nội bộ từ téc",DATA_GOC!$B:$B,"&gt;="&amp;$D3919,DATA_GOC!$B:$B,"&lt;="&amp;$E3919))</f>
        <v/>
      </c>
      <c r="J3919" s="59">
        <f t="shared" si="28"/>
        <v>0</v>
      </c>
      <c r="K3919" s="59">
        <f t="shared" si="29"/>
        <v>0</v>
      </c>
      <c r="L3919" s="59">
        <f t="shared" si="30"/>
        <v>0</v>
      </c>
      <c r="M3919" s="59">
        <f t="shared" si="31"/>
        <v>0</v>
      </c>
    </row>
    <row r="3920" ht="15.0" hidden="1" customHeight="1">
      <c r="A3920" s="59">
        <f t="shared" si="20"/>
        <v>62</v>
      </c>
      <c r="B3920" s="59" t="str">
        <f t="shared" si="21"/>
        <v/>
      </c>
      <c r="C3920" s="59" t="str">
        <f t="shared" si="22"/>
        <v/>
      </c>
      <c r="D3920" s="45" t="str">
        <f t="shared" si="23"/>
        <v/>
      </c>
      <c r="E3920" s="45" t="str">
        <f t="shared" si="24"/>
        <v/>
      </c>
      <c r="F3920" s="59" t="str">
        <f t="shared" si="25"/>
        <v/>
      </c>
      <c r="G3920" s="59" t="str">
        <f t="shared" si="26"/>
        <v/>
      </c>
      <c r="H3920" s="59" t="str">
        <f t="shared" si="27"/>
        <v>28C05661</v>
      </c>
      <c r="I3920" s="59" t="str">
        <f>IF(OR($A3920="",$C3920="",$D3920="",$E3920="",$H3920=""),"",SUMIFS(DATA_GOC!$H:$H,DATA_GOC!$A:$A,"BOM",DATA_GOC!$D:$D,$H3920,DATA_GOC!$E:$E,$C3920,DATA_GOC!$F:$F,"Xuất nội bộ từ téc",DATA_GOC!$B:$B,"&gt;="&amp;$D3920,DATA_GOC!$B:$B,"&lt;="&amp;$E3920))</f>
        <v/>
      </c>
      <c r="J3920" s="59">
        <f t="shared" si="28"/>
        <v>0</v>
      </c>
      <c r="K3920" s="59">
        <f t="shared" si="29"/>
        <v>0</v>
      </c>
      <c r="L3920" s="59">
        <f t="shared" si="30"/>
        <v>0</v>
      </c>
      <c r="M3920" s="59">
        <f t="shared" si="31"/>
        <v>0</v>
      </c>
    </row>
    <row r="3921" ht="15.0" hidden="1" customHeight="1">
      <c r="A3921" s="59">
        <f t="shared" si="20"/>
        <v>62</v>
      </c>
      <c r="B3921" s="59" t="str">
        <f t="shared" si="21"/>
        <v/>
      </c>
      <c r="C3921" s="59" t="str">
        <f t="shared" si="22"/>
        <v/>
      </c>
      <c r="D3921" s="45" t="str">
        <f t="shared" si="23"/>
        <v/>
      </c>
      <c r="E3921" s="45" t="str">
        <f t="shared" si="24"/>
        <v/>
      </c>
      <c r="F3921" s="59" t="str">
        <f t="shared" si="25"/>
        <v/>
      </c>
      <c r="G3921" s="59" t="str">
        <f t="shared" si="26"/>
        <v/>
      </c>
      <c r="H3921" s="59" t="str">
        <f t="shared" si="27"/>
        <v>28C05739</v>
      </c>
      <c r="I3921" s="59" t="str">
        <f>IF(OR($A3921="",$C3921="",$D3921="",$E3921="",$H3921=""),"",SUMIFS(DATA_GOC!$H:$H,DATA_GOC!$A:$A,"BOM",DATA_GOC!$D:$D,$H3921,DATA_GOC!$E:$E,$C3921,DATA_GOC!$F:$F,"Xuất nội bộ từ téc",DATA_GOC!$B:$B,"&gt;="&amp;$D3921,DATA_GOC!$B:$B,"&lt;="&amp;$E3921))</f>
        <v/>
      </c>
      <c r="J3921" s="59">
        <f t="shared" si="28"/>
        <v>0</v>
      </c>
      <c r="K3921" s="59">
        <f t="shared" si="29"/>
        <v>0</v>
      </c>
      <c r="L3921" s="59">
        <f t="shared" si="30"/>
        <v>0</v>
      </c>
      <c r="M3921" s="59">
        <f t="shared" si="31"/>
        <v>0</v>
      </c>
    </row>
    <row r="3922" ht="15.0" hidden="1" customHeight="1">
      <c r="A3922" s="59">
        <f t="shared" si="20"/>
        <v>62</v>
      </c>
      <c r="B3922" s="59" t="str">
        <f t="shared" si="21"/>
        <v/>
      </c>
      <c r="C3922" s="59" t="str">
        <f t="shared" si="22"/>
        <v/>
      </c>
      <c r="D3922" s="45" t="str">
        <f t="shared" si="23"/>
        <v/>
      </c>
      <c r="E3922" s="45" t="str">
        <f t="shared" si="24"/>
        <v/>
      </c>
      <c r="F3922" s="59" t="str">
        <f t="shared" si="25"/>
        <v/>
      </c>
      <c r="G3922" s="59" t="str">
        <f t="shared" si="26"/>
        <v/>
      </c>
      <c r="H3922" s="59" t="str">
        <f t="shared" si="27"/>
        <v>28C06369</v>
      </c>
      <c r="I3922" s="59" t="str">
        <f>IF(OR($A3922="",$C3922="",$D3922="",$E3922="",$H3922=""),"",SUMIFS(DATA_GOC!$H:$H,DATA_GOC!$A:$A,"BOM",DATA_GOC!$D:$D,$H3922,DATA_GOC!$E:$E,$C3922,DATA_GOC!$F:$F,"Xuất nội bộ từ téc",DATA_GOC!$B:$B,"&gt;="&amp;$D3922,DATA_GOC!$B:$B,"&lt;="&amp;$E3922))</f>
        <v/>
      </c>
      <c r="J3922" s="59">
        <f t="shared" si="28"/>
        <v>0</v>
      </c>
      <c r="K3922" s="59">
        <f t="shared" si="29"/>
        <v>0</v>
      </c>
      <c r="L3922" s="59">
        <f t="shared" si="30"/>
        <v>0</v>
      </c>
      <c r="M3922" s="59">
        <f t="shared" si="31"/>
        <v>0</v>
      </c>
    </row>
    <row r="3923" ht="15.0" hidden="1" customHeight="1">
      <c r="A3923" s="59">
        <f t="shared" si="20"/>
        <v>62</v>
      </c>
      <c r="B3923" s="59" t="str">
        <f t="shared" si="21"/>
        <v/>
      </c>
      <c r="C3923" s="59" t="str">
        <f t="shared" si="22"/>
        <v/>
      </c>
      <c r="D3923" s="45" t="str">
        <f t="shared" si="23"/>
        <v/>
      </c>
      <c r="E3923" s="45" t="str">
        <f t="shared" si="24"/>
        <v/>
      </c>
      <c r="F3923" s="59" t="str">
        <f t="shared" si="25"/>
        <v/>
      </c>
      <c r="G3923" s="59" t="str">
        <f t="shared" si="26"/>
        <v/>
      </c>
      <c r="H3923" s="59" t="str">
        <f t="shared" si="27"/>
        <v>28C06447</v>
      </c>
      <c r="I3923" s="59" t="str">
        <f>IF(OR($A3923="",$C3923="",$D3923="",$E3923="",$H3923=""),"",SUMIFS(DATA_GOC!$H:$H,DATA_GOC!$A:$A,"BOM",DATA_GOC!$D:$D,$H3923,DATA_GOC!$E:$E,$C3923,DATA_GOC!$F:$F,"Xuất nội bộ từ téc",DATA_GOC!$B:$B,"&gt;="&amp;$D3923,DATA_GOC!$B:$B,"&lt;="&amp;$E3923))</f>
        <v/>
      </c>
      <c r="J3923" s="59">
        <f t="shared" si="28"/>
        <v>0</v>
      </c>
      <c r="K3923" s="59">
        <f t="shared" si="29"/>
        <v>0</v>
      </c>
      <c r="L3923" s="59">
        <f t="shared" si="30"/>
        <v>0</v>
      </c>
      <c r="M3923" s="59">
        <f t="shared" si="31"/>
        <v>0</v>
      </c>
    </row>
    <row r="3924" ht="15.0" hidden="1" customHeight="1">
      <c r="A3924" s="59">
        <f t="shared" si="20"/>
        <v>62</v>
      </c>
      <c r="B3924" s="59" t="str">
        <f t="shared" si="21"/>
        <v/>
      </c>
      <c r="C3924" s="59" t="str">
        <f t="shared" si="22"/>
        <v/>
      </c>
      <c r="D3924" s="45" t="str">
        <f t="shared" si="23"/>
        <v/>
      </c>
      <c r="E3924" s="45" t="str">
        <f t="shared" si="24"/>
        <v/>
      </c>
      <c r="F3924" s="59" t="str">
        <f t="shared" si="25"/>
        <v/>
      </c>
      <c r="G3924" s="59" t="str">
        <f t="shared" si="26"/>
        <v/>
      </c>
      <c r="H3924" s="59" t="str">
        <f t="shared" si="27"/>
        <v>28H00003</v>
      </c>
      <c r="I3924" s="59" t="str">
        <f>IF(OR($A3924="",$C3924="",$D3924="",$E3924="",$H3924=""),"",SUMIFS(DATA_GOC!$H:$H,DATA_GOC!$A:$A,"BOM",DATA_GOC!$D:$D,$H3924,DATA_GOC!$E:$E,$C3924,DATA_GOC!$F:$F,"Xuất nội bộ từ téc",DATA_GOC!$B:$B,"&gt;="&amp;$D3924,DATA_GOC!$B:$B,"&lt;="&amp;$E3924))</f>
        <v/>
      </c>
      <c r="J3924" s="59">
        <f t="shared" si="28"/>
        <v>0</v>
      </c>
      <c r="K3924" s="59">
        <f t="shared" si="29"/>
        <v>0</v>
      </c>
      <c r="L3924" s="59">
        <f t="shared" si="30"/>
        <v>0</v>
      </c>
      <c r="M3924" s="59">
        <f t="shared" si="31"/>
        <v>0</v>
      </c>
    </row>
    <row r="3925" ht="15.0" hidden="1" customHeight="1">
      <c r="A3925" s="59">
        <f t="shared" si="20"/>
        <v>62</v>
      </c>
      <c r="B3925" s="59" t="str">
        <f t="shared" si="21"/>
        <v/>
      </c>
      <c r="C3925" s="59" t="str">
        <f t="shared" si="22"/>
        <v/>
      </c>
      <c r="D3925" s="45" t="str">
        <f t="shared" si="23"/>
        <v/>
      </c>
      <c r="E3925" s="45" t="str">
        <f t="shared" si="24"/>
        <v/>
      </c>
      <c r="F3925" s="59" t="str">
        <f t="shared" si="25"/>
        <v/>
      </c>
      <c r="G3925" s="59" t="str">
        <f t="shared" si="26"/>
        <v/>
      </c>
      <c r="H3925" s="59" t="str">
        <f t="shared" si="27"/>
        <v>28H00061</v>
      </c>
      <c r="I3925" s="59" t="str">
        <f>IF(OR($A3925="",$C3925="",$D3925="",$E3925="",$H3925=""),"",SUMIFS(DATA_GOC!$H:$H,DATA_GOC!$A:$A,"BOM",DATA_GOC!$D:$D,$H3925,DATA_GOC!$E:$E,$C3925,DATA_GOC!$F:$F,"Xuất nội bộ từ téc",DATA_GOC!$B:$B,"&gt;="&amp;$D3925,DATA_GOC!$B:$B,"&lt;="&amp;$E3925))</f>
        <v/>
      </c>
      <c r="J3925" s="59">
        <f t="shared" si="28"/>
        <v>0</v>
      </c>
      <c r="K3925" s="59">
        <f t="shared" si="29"/>
        <v>0</v>
      </c>
      <c r="L3925" s="59">
        <f t="shared" si="30"/>
        <v>0</v>
      </c>
      <c r="M3925" s="59">
        <f t="shared" si="31"/>
        <v>0</v>
      </c>
    </row>
    <row r="3926" ht="15.0" hidden="1" customHeight="1">
      <c r="A3926" s="59">
        <f t="shared" si="20"/>
        <v>62</v>
      </c>
      <c r="B3926" s="59" t="str">
        <f t="shared" si="21"/>
        <v/>
      </c>
      <c r="C3926" s="59" t="str">
        <f t="shared" si="22"/>
        <v/>
      </c>
      <c r="D3926" s="45" t="str">
        <f t="shared" si="23"/>
        <v/>
      </c>
      <c r="E3926" s="45" t="str">
        <f t="shared" si="24"/>
        <v/>
      </c>
      <c r="F3926" s="59" t="str">
        <f t="shared" si="25"/>
        <v/>
      </c>
      <c r="G3926" s="59" t="str">
        <f t="shared" si="26"/>
        <v/>
      </c>
      <c r="H3926" s="59" t="str">
        <f t="shared" si="27"/>
        <v>28H00354</v>
      </c>
      <c r="I3926" s="59" t="str">
        <f>IF(OR($A3926="",$C3926="",$D3926="",$E3926="",$H3926=""),"",SUMIFS(DATA_GOC!$H:$H,DATA_GOC!$A:$A,"BOM",DATA_GOC!$D:$D,$H3926,DATA_GOC!$E:$E,$C3926,DATA_GOC!$F:$F,"Xuất nội bộ từ téc",DATA_GOC!$B:$B,"&gt;="&amp;$D3926,DATA_GOC!$B:$B,"&lt;="&amp;$E3926))</f>
        <v/>
      </c>
      <c r="J3926" s="59">
        <f t="shared" si="28"/>
        <v>0</v>
      </c>
      <c r="K3926" s="59">
        <f t="shared" si="29"/>
        <v>0</v>
      </c>
      <c r="L3926" s="59">
        <f t="shared" si="30"/>
        <v>0</v>
      </c>
      <c r="M3926" s="59">
        <f t="shared" si="31"/>
        <v>0</v>
      </c>
    </row>
    <row r="3927" ht="15.0" hidden="1" customHeight="1">
      <c r="A3927" s="59">
        <f t="shared" si="20"/>
        <v>62</v>
      </c>
      <c r="B3927" s="59" t="str">
        <f t="shared" si="21"/>
        <v/>
      </c>
      <c r="C3927" s="59" t="str">
        <f t="shared" si="22"/>
        <v/>
      </c>
      <c r="D3927" s="45" t="str">
        <f t="shared" si="23"/>
        <v/>
      </c>
      <c r="E3927" s="45" t="str">
        <f t="shared" si="24"/>
        <v/>
      </c>
      <c r="F3927" s="59" t="str">
        <f t="shared" si="25"/>
        <v/>
      </c>
      <c r="G3927" s="59" t="str">
        <f t="shared" si="26"/>
        <v/>
      </c>
      <c r="H3927" s="59" t="str">
        <f t="shared" si="27"/>
        <v>28H00603</v>
      </c>
      <c r="I3927" s="59" t="str">
        <f>IF(OR($A3927="",$C3927="",$D3927="",$E3927="",$H3927=""),"",SUMIFS(DATA_GOC!$H:$H,DATA_GOC!$A:$A,"BOM",DATA_GOC!$D:$D,$H3927,DATA_GOC!$E:$E,$C3927,DATA_GOC!$F:$F,"Xuất nội bộ từ téc",DATA_GOC!$B:$B,"&gt;="&amp;$D3927,DATA_GOC!$B:$B,"&lt;="&amp;$E3927))</f>
        <v/>
      </c>
      <c r="J3927" s="59">
        <f t="shared" si="28"/>
        <v>0</v>
      </c>
      <c r="K3927" s="59">
        <f t="shared" si="29"/>
        <v>0</v>
      </c>
      <c r="L3927" s="59">
        <f t="shared" si="30"/>
        <v>0</v>
      </c>
      <c r="M3927" s="59">
        <f t="shared" si="31"/>
        <v>0</v>
      </c>
    </row>
    <row r="3928" ht="15.0" hidden="1" customHeight="1">
      <c r="A3928" s="59">
        <f t="shared" si="20"/>
        <v>62</v>
      </c>
      <c r="B3928" s="59" t="str">
        <f t="shared" si="21"/>
        <v/>
      </c>
      <c r="C3928" s="59" t="str">
        <f t="shared" si="22"/>
        <v/>
      </c>
      <c r="D3928" s="45" t="str">
        <f t="shared" si="23"/>
        <v/>
      </c>
      <c r="E3928" s="45" t="str">
        <f t="shared" si="24"/>
        <v/>
      </c>
      <c r="F3928" s="59" t="str">
        <f t="shared" si="25"/>
        <v/>
      </c>
      <c r="G3928" s="59" t="str">
        <f t="shared" si="26"/>
        <v/>
      </c>
      <c r="H3928" s="59" t="str">
        <f t="shared" si="27"/>
        <v>28H00609</v>
      </c>
      <c r="I3928" s="59" t="str">
        <f>IF(OR($A3928="",$C3928="",$D3928="",$E3928="",$H3928=""),"",SUMIFS(DATA_GOC!$H:$H,DATA_GOC!$A:$A,"BOM",DATA_GOC!$D:$D,$H3928,DATA_GOC!$E:$E,$C3928,DATA_GOC!$F:$F,"Xuất nội bộ từ téc",DATA_GOC!$B:$B,"&gt;="&amp;$D3928,DATA_GOC!$B:$B,"&lt;="&amp;$E3928))</f>
        <v/>
      </c>
      <c r="J3928" s="59">
        <f t="shared" si="28"/>
        <v>0</v>
      </c>
      <c r="K3928" s="59">
        <f t="shared" si="29"/>
        <v>0</v>
      </c>
      <c r="L3928" s="59">
        <f t="shared" si="30"/>
        <v>0</v>
      </c>
      <c r="M3928" s="59">
        <f t="shared" si="31"/>
        <v>0</v>
      </c>
    </row>
    <row r="3929" ht="15.0" hidden="1" customHeight="1">
      <c r="A3929" s="59">
        <f t="shared" si="20"/>
        <v>62</v>
      </c>
      <c r="B3929" s="59" t="str">
        <f t="shared" si="21"/>
        <v/>
      </c>
      <c r="C3929" s="59" t="str">
        <f t="shared" si="22"/>
        <v/>
      </c>
      <c r="D3929" s="45" t="str">
        <f t="shared" si="23"/>
        <v/>
      </c>
      <c r="E3929" s="45" t="str">
        <f t="shared" si="24"/>
        <v/>
      </c>
      <c r="F3929" s="59" t="str">
        <f t="shared" si="25"/>
        <v/>
      </c>
      <c r="G3929" s="59" t="str">
        <f t="shared" si="26"/>
        <v/>
      </c>
      <c r="H3929" s="59" t="str">
        <f t="shared" si="27"/>
        <v>28H00669</v>
      </c>
      <c r="I3929" s="59" t="str">
        <f>IF(OR($A3929="",$C3929="",$D3929="",$E3929="",$H3929=""),"",SUMIFS(DATA_GOC!$H:$H,DATA_GOC!$A:$A,"BOM",DATA_GOC!$D:$D,$H3929,DATA_GOC!$E:$E,$C3929,DATA_GOC!$F:$F,"Xuất nội bộ từ téc",DATA_GOC!$B:$B,"&gt;="&amp;$D3929,DATA_GOC!$B:$B,"&lt;="&amp;$E3929))</f>
        <v/>
      </c>
      <c r="J3929" s="59">
        <f t="shared" si="28"/>
        <v>0</v>
      </c>
      <c r="K3929" s="59">
        <f t="shared" si="29"/>
        <v>0</v>
      </c>
      <c r="L3929" s="59">
        <f t="shared" si="30"/>
        <v>0</v>
      </c>
      <c r="M3929" s="59">
        <f t="shared" si="31"/>
        <v>0</v>
      </c>
    </row>
    <row r="3930" ht="15.0" hidden="1" customHeight="1">
      <c r="A3930" s="59">
        <f t="shared" si="20"/>
        <v>62</v>
      </c>
      <c r="B3930" s="59" t="str">
        <f t="shared" si="21"/>
        <v/>
      </c>
      <c r="C3930" s="59" t="str">
        <f t="shared" si="22"/>
        <v/>
      </c>
      <c r="D3930" s="45" t="str">
        <f t="shared" si="23"/>
        <v/>
      </c>
      <c r="E3930" s="45" t="str">
        <f t="shared" si="24"/>
        <v/>
      </c>
      <c r="F3930" s="59" t="str">
        <f t="shared" si="25"/>
        <v/>
      </c>
      <c r="G3930" s="59" t="str">
        <f t="shared" si="26"/>
        <v/>
      </c>
      <c r="H3930" s="59" t="str">
        <f t="shared" si="27"/>
        <v>28H00680</v>
      </c>
      <c r="I3930" s="59" t="str">
        <f>IF(OR($A3930="",$C3930="",$D3930="",$E3930="",$H3930=""),"",SUMIFS(DATA_GOC!$H:$H,DATA_GOC!$A:$A,"BOM",DATA_GOC!$D:$D,$H3930,DATA_GOC!$E:$E,$C3930,DATA_GOC!$F:$F,"Xuất nội bộ từ téc",DATA_GOC!$B:$B,"&gt;="&amp;$D3930,DATA_GOC!$B:$B,"&lt;="&amp;$E3930))</f>
        <v/>
      </c>
      <c r="J3930" s="59">
        <f t="shared" si="28"/>
        <v>0</v>
      </c>
      <c r="K3930" s="59">
        <f t="shared" si="29"/>
        <v>0</v>
      </c>
      <c r="L3930" s="59">
        <f t="shared" si="30"/>
        <v>0</v>
      </c>
      <c r="M3930" s="59">
        <f t="shared" si="31"/>
        <v>0</v>
      </c>
    </row>
    <row r="3931" ht="15.0" hidden="1" customHeight="1">
      <c r="A3931" s="59">
        <f t="shared" si="20"/>
        <v>62</v>
      </c>
      <c r="B3931" s="59" t="str">
        <f t="shared" si="21"/>
        <v/>
      </c>
      <c r="C3931" s="59" t="str">
        <f t="shared" si="22"/>
        <v/>
      </c>
      <c r="D3931" s="45" t="str">
        <f t="shared" si="23"/>
        <v/>
      </c>
      <c r="E3931" s="45" t="str">
        <f t="shared" si="24"/>
        <v/>
      </c>
      <c r="F3931" s="59" t="str">
        <f t="shared" si="25"/>
        <v/>
      </c>
      <c r="G3931" s="59" t="str">
        <f t="shared" si="26"/>
        <v/>
      </c>
      <c r="H3931" s="59" t="str">
        <f t="shared" si="27"/>
        <v>28H01070</v>
      </c>
      <c r="I3931" s="59" t="str">
        <f>IF(OR($A3931="",$C3931="",$D3931="",$E3931="",$H3931=""),"",SUMIFS(DATA_GOC!$H:$H,DATA_GOC!$A:$A,"BOM",DATA_GOC!$D:$D,$H3931,DATA_GOC!$E:$E,$C3931,DATA_GOC!$F:$F,"Xuất nội bộ từ téc",DATA_GOC!$B:$B,"&gt;="&amp;$D3931,DATA_GOC!$B:$B,"&lt;="&amp;$E3931))</f>
        <v/>
      </c>
      <c r="J3931" s="59">
        <f t="shared" si="28"/>
        <v>0</v>
      </c>
      <c r="K3931" s="59">
        <f t="shared" si="29"/>
        <v>0</v>
      </c>
      <c r="L3931" s="59">
        <f t="shared" si="30"/>
        <v>0</v>
      </c>
      <c r="M3931" s="59">
        <f t="shared" si="31"/>
        <v>0</v>
      </c>
    </row>
    <row r="3932" ht="15.0" hidden="1" customHeight="1">
      <c r="A3932" s="59">
        <f t="shared" si="20"/>
        <v>62</v>
      </c>
      <c r="B3932" s="59" t="str">
        <f t="shared" si="21"/>
        <v/>
      </c>
      <c r="C3932" s="59" t="str">
        <f t="shared" si="22"/>
        <v/>
      </c>
      <c r="D3932" s="45" t="str">
        <f t="shared" si="23"/>
        <v/>
      </c>
      <c r="E3932" s="45" t="str">
        <f t="shared" si="24"/>
        <v/>
      </c>
      <c r="F3932" s="59" t="str">
        <f t="shared" si="25"/>
        <v/>
      </c>
      <c r="G3932" s="59" t="str">
        <f t="shared" si="26"/>
        <v/>
      </c>
      <c r="H3932" s="59" t="str">
        <f t="shared" si="27"/>
        <v>28H01364</v>
      </c>
      <c r="I3932" s="59" t="str">
        <f>IF(OR($A3932="",$C3932="",$D3932="",$E3932="",$H3932=""),"",SUMIFS(DATA_GOC!$H:$H,DATA_GOC!$A:$A,"BOM",DATA_GOC!$D:$D,$H3932,DATA_GOC!$E:$E,$C3932,DATA_GOC!$F:$F,"Xuất nội bộ từ téc",DATA_GOC!$B:$B,"&gt;="&amp;$D3932,DATA_GOC!$B:$B,"&lt;="&amp;$E3932))</f>
        <v/>
      </c>
      <c r="J3932" s="59">
        <f t="shared" si="28"/>
        <v>0</v>
      </c>
      <c r="K3932" s="59">
        <f t="shared" si="29"/>
        <v>0</v>
      </c>
      <c r="L3932" s="59">
        <f t="shared" si="30"/>
        <v>0</v>
      </c>
      <c r="M3932" s="59">
        <f t="shared" si="31"/>
        <v>0</v>
      </c>
    </row>
    <row r="3933" ht="15.0" hidden="1" customHeight="1">
      <c r="A3933" s="59">
        <f t="shared" si="20"/>
        <v>62</v>
      </c>
      <c r="B3933" s="59" t="str">
        <f t="shared" si="21"/>
        <v/>
      </c>
      <c r="C3933" s="59" t="str">
        <f t="shared" si="22"/>
        <v/>
      </c>
      <c r="D3933" s="45" t="str">
        <f t="shared" si="23"/>
        <v/>
      </c>
      <c r="E3933" s="45" t="str">
        <f t="shared" si="24"/>
        <v/>
      </c>
      <c r="F3933" s="59" t="str">
        <f t="shared" si="25"/>
        <v/>
      </c>
      <c r="G3933" s="59" t="str">
        <f t="shared" si="26"/>
        <v/>
      </c>
      <c r="H3933" s="59" t="str">
        <f t="shared" si="27"/>
        <v>29E17269</v>
      </c>
      <c r="I3933" s="59" t="str">
        <f>IF(OR($A3933="",$C3933="",$D3933="",$E3933="",$H3933=""),"",SUMIFS(DATA_GOC!$H:$H,DATA_GOC!$A:$A,"BOM",DATA_GOC!$D:$D,$H3933,DATA_GOC!$E:$E,$C3933,DATA_GOC!$F:$F,"Xuất nội bộ từ téc",DATA_GOC!$B:$B,"&gt;="&amp;$D3933,DATA_GOC!$B:$B,"&lt;="&amp;$E3933))</f>
        <v/>
      </c>
      <c r="J3933" s="59">
        <f t="shared" si="28"/>
        <v>0</v>
      </c>
      <c r="K3933" s="59">
        <f t="shared" si="29"/>
        <v>0</v>
      </c>
      <c r="L3933" s="59">
        <f t="shared" si="30"/>
        <v>0</v>
      </c>
      <c r="M3933" s="59">
        <f t="shared" si="31"/>
        <v>0</v>
      </c>
    </row>
    <row r="3934" ht="15.0" hidden="1" customHeight="1">
      <c r="A3934" s="59">
        <f t="shared" si="20"/>
        <v>62</v>
      </c>
      <c r="B3934" s="59" t="str">
        <f t="shared" si="21"/>
        <v/>
      </c>
      <c r="C3934" s="59" t="str">
        <f t="shared" si="22"/>
        <v/>
      </c>
      <c r="D3934" s="45" t="str">
        <f t="shared" si="23"/>
        <v/>
      </c>
      <c r="E3934" s="45" t="str">
        <f t="shared" si="24"/>
        <v/>
      </c>
      <c r="F3934" s="59" t="str">
        <f t="shared" si="25"/>
        <v/>
      </c>
      <c r="G3934" s="59" t="str">
        <f t="shared" si="26"/>
        <v/>
      </c>
      <c r="H3934" s="59" t="str">
        <f t="shared" si="27"/>
        <v>29E17273</v>
      </c>
      <c r="I3934" s="59" t="str">
        <f>IF(OR($A3934="",$C3934="",$D3934="",$E3934="",$H3934=""),"",SUMIFS(DATA_GOC!$H:$H,DATA_GOC!$A:$A,"BOM",DATA_GOC!$D:$D,$H3934,DATA_GOC!$E:$E,$C3934,DATA_GOC!$F:$F,"Xuất nội bộ từ téc",DATA_GOC!$B:$B,"&gt;="&amp;$D3934,DATA_GOC!$B:$B,"&lt;="&amp;$E3934))</f>
        <v/>
      </c>
      <c r="J3934" s="59">
        <f t="shared" si="28"/>
        <v>0</v>
      </c>
      <c r="K3934" s="59">
        <f t="shared" si="29"/>
        <v>0</v>
      </c>
      <c r="L3934" s="59">
        <f t="shared" si="30"/>
        <v>0</v>
      </c>
      <c r="M3934" s="59">
        <f t="shared" si="31"/>
        <v>0</v>
      </c>
    </row>
    <row r="3935" ht="15.0" hidden="1" customHeight="1">
      <c r="A3935" s="59">
        <f t="shared" si="20"/>
        <v>62</v>
      </c>
      <c r="B3935" s="59" t="str">
        <f t="shared" si="21"/>
        <v/>
      </c>
      <c r="C3935" s="59" t="str">
        <f t="shared" si="22"/>
        <v/>
      </c>
      <c r="D3935" s="45" t="str">
        <f t="shared" si="23"/>
        <v/>
      </c>
      <c r="E3935" s="45" t="str">
        <f t="shared" si="24"/>
        <v/>
      </c>
      <c r="F3935" s="59" t="str">
        <f t="shared" si="25"/>
        <v/>
      </c>
      <c r="G3935" s="59" t="str">
        <f t="shared" si="26"/>
        <v/>
      </c>
      <c r="H3935" s="59" t="str">
        <f t="shared" si="27"/>
        <v>29E17410</v>
      </c>
      <c r="I3935" s="59" t="str">
        <f>IF(OR($A3935="",$C3935="",$D3935="",$E3935="",$H3935=""),"",SUMIFS(DATA_GOC!$H:$H,DATA_GOC!$A:$A,"BOM",DATA_GOC!$D:$D,$H3935,DATA_GOC!$E:$E,$C3935,DATA_GOC!$F:$F,"Xuất nội bộ từ téc",DATA_GOC!$B:$B,"&gt;="&amp;$D3935,DATA_GOC!$B:$B,"&lt;="&amp;$E3935))</f>
        <v/>
      </c>
      <c r="J3935" s="59">
        <f t="shared" si="28"/>
        <v>0</v>
      </c>
      <c r="K3935" s="59">
        <f t="shared" si="29"/>
        <v>0</v>
      </c>
      <c r="L3935" s="59">
        <f t="shared" si="30"/>
        <v>0</v>
      </c>
      <c r="M3935" s="59">
        <f t="shared" si="31"/>
        <v>0</v>
      </c>
    </row>
    <row r="3936" ht="15.0" hidden="1" customHeight="1">
      <c r="A3936" s="59">
        <f t="shared" si="20"/>
        <v>62</v>
      </c>
      <c r="B3936" s="59" t="str">
        <f t="shared" si="21"/>
        <v/>
      </c>
      <c r="C3936" s="59" t="str">
        <f t="shared" si="22"/>
        <v/>
      </c>
      <c r="D3936" s="45" t="str">
        <f t="shared" si="23"/>
        <v/>
      </c>
      <c r="E3936" s="45" t="str">
        <f t="shared" si="24"/>
        <v/>
      </c>
      <c r="F3936" s="59" t="str">
        <f t="shared" si="25"/>
        <v/>
      </c>
      <c r="G3936" s="59" t="str">
        <f t="shared" si="26"/>
        <v/>
      </c>
      <c r="H3936" s="59" t="str">
        <f t="shared" si="27"/>
        <v>29E17417</v>
      </c>
      <c r="I3936" s="59" t="str">
        <f>IF(OR($A3936="",$C3936="",$D3936="",$E3936="",$H3936=""),"",SUMIFS(DATA_GOC!$H:$H,DATA_GOC!$A:$A,"BOM",DATA_GOC!$D:$D,$H3936,DATA_GOC!$E:$E,$C3936,DATA_GOC!$F:$F,"Xuất nội bộ từ téc",DATA_GOC!$B:$B,"&gt;="&amp;$D3936,DATA_GOC!$B:$B,"&lt;="&amp;$E3936))</f>
        <v/>
      </c>
      <c r="J3936" s="59">
        <f t="shared" si="28"/>
        <v>0</v>
      </c>
      <c r="K3936" s="59">
        <f t="shared" si="29"/>
        <v>0</v>
      </c>
      <c r="L3936" s="59">
        <f t="shared" si="30"/>
        <v>0</v>
      </c>
      <c r="M3936" s="59">
        <f t="shared" si="31"/>
        <v>0</v>
      </c>
    </row>
    <row r="3937" ht="15.0" hidden="1" customHeight="1">
      <c r="A3937" s="59">
        <f t="shared" si="20"/>
        <v>62</v>
      </c>
      <c r="B3937" s="59" t="str">
        <f t="shared" si="21"/>
        <v/>
      </c>
      <c r="C3937" s="59" t="str">
        <f t="shared" si="22"/>
        <v/>
      </c>
      <c r="D3937" s="45" t="str">
        <f t="shared" si="23"/>
        <v/>
      </c>
      <c r="E3937" s="45" t="str">
        <f t="shared" si="24"/>
        <v/>
      </c>
      <c r="F3937" s="59" t="str">
        <f t="shared" si="25"/>
        <v/>
      </c>
      <c r="G3937" s="59" t="str">
        <f t="shared" si="26"/>
        <v/>
      </c>
      <c r="H3937" s="59" t="str">
        <f t="shared" si="27"/>
        <v>29E17539</v>
      </c>
      <c r="I3937" s="59" t="str">
        <f>IF(OR($A3937="",$C3937="",$D3937="",$E3937="",$H3937=""),"",SUMIFS(DATA_GOC!$H:$H,DATA_GOC!$A:$A,"BOM",DATA_GOC!$D:$D,$H3937,DATA_GOC!$E:$E,$C3937,DATA_GOC!$F:$F,"Xuất nội bộ từ téc",DATA_GOC!$B:$B,"&gt;="&amp;$D3937,DATA_GOC!$B:$B,"&lt;="&amp;$E3937))</f>
        <v/>
      </c>
      <c r="J3937" s="59">
        <f t="shared" si="28"/>
        <v>0</v>
      </c>
      <c r="K3937" s="59">
        <f t="shared" si="29"/>
        <v>0</v>
      </c>
      <c r="L3937" s="59">
        <f t="shared" si="30"/>
        <v>0</v>
      </c>
      <c r="M3937" s="59">
        <f t="shared" si="31"/>
        <v>0</v>
      </c>
    </row>
    <row r="3938" ht="15.0" hidden="1" customHeight="1">
      <c r="A3938" s="59">
        <f t="shared" si="20"/>
        <v>62</v>
      </c>
      <c r="B3938" s="59" t="str">
        <f t="shared" si="21"/>
        <v/>
      </c>
      <c r="C3938" s="59" t="str">
        <f t="shared" si="22"/>
        <v/>
      </c>
      <c r="D3938" s="45" t="str">
        <f t="shared" si="23"/>
        <v/>
      </c>
      <c r="E3938" s="45" t="str">
        <f t="shared" si="24"/>
        <v/>
      </c>
      <c r="F3938" s="59" t="str">
        <f t="shared" si="25"/>
        <v/>
      </c>
      <c r="G3938" s="59" t="str">
        <f t="shared" si="26"/>
        <v/>
      </c>
      <c r="H3938" s="59" t="str">
        <f t="shared" si="27"/>
        <v>29E18160</v>
      </c>
      <c r="I3938" s="59" t="str">
        <f>IF(OR($A3938="",$C3938="",$D3938="",$E3938="",$H3938=""),"",SUMIFS(DATA_GOC!$H:$H,DATA_GOC!$A:$A,"BOM",DATA_GOC!$D:$D,$H3938,DATA_GOC!$E:$E,$C3938,DATA_GOC!$F:$F,"Xuất nội bộ từ téc",DATA_GOC!$B:$B,"&gt;="&amp;$D3938,DATA_GOC!$B:$B,"&lt;="&amp;$E3938))</f>
        <v/>
      </c>
      <c r="J3938" s="59">
        <f t="shared" si="28"/>
        <v>0</v>
      </c>
      <c r="K3938" s="59">
        <f t="shared" si="29"/>
        <v>0</v>
      </c>
      <c r="L3938" s="59">
        <f t="shared" si="30"/>
        <v>0</v>
      </c>
      <c r="M3938" s="59">
        <f t="shared" si="31"/>
        <v>0</v>
      </c>
    </row>
    <row r="3939" ht="15.0" hidden="1" customHeight="1">
      <c r="A3939" s="59">
        <f t="shared" si="20"/>
        <v>62</v>
      </c>
      <c r="B3939" s="59" t="str">
        <f t="shared" si="21"/>
        <v/>
      </c>
      <c r="C3939" s="59" t="str">
        <f t="shared" si="22"/>
        <v/>
      </c>
      <c r="D3939" s="45" t="str">
        <f t="shared" si="23"/>
        <v/>
      </c>
      <c r="E3939" s="45" t="str">
        <f t="shared" si="24"/>
        <v/>
      </c>
      <c r="F3939" s="59" t="str">
        <f t="shared" si="25"/>
        <v/>
      </c>
      <c r="G3939" s="59" t="str">
        <f t="shared" si="26"/>
        <v/>
      </c>
      <c r="H3939" s="59" t="str">
        <f t="shared" si="27"/>
        <v>Công trình Asphalt</v>
      </c>
      <c r="I3939" s="59" t="str">
        <f>IF(OR($A3939="",$C3939="",$D3939="",$E3939="",$H3939=""),"",SUMIFS(DATA_GOC!$H:$H,DATA_GOC!$A:$A,"BOM",DATA_GOC!$D:$D,$H3939,DATA_GOC!$E:$E,$C3939,DATA_GOC!$F:$F,"Xuất nội bộ từ téc",DATA_GOC!$B:$B,"&gt;="&amp;$D3939,DATA_GOC!$B:$B,"&lt;="&amp;$E3939))</f>
        <v/>
      </c>
      <c r="J3939" s="59">
        <f t="shared" si="28"/>
        <v>0</v>
      </c>
      <c r="K3939" s="59">
        <f t="shared" si="29"/>
        <v>0</v>
      </c>
      <c r="L3939" s="59">
        <f t="shared" si="30"/>
        <v>0</v>
      </c>
      <c r="M3939" s="59">
        <f t="shared" si="31"/>
        <v>0</v>
      </c>
    </row>
    <row r="3940" ht="15.0" hidden="1" customHeight="1">
      <c r="A3940" s="59">
        <f t="shared" si="20"/>
        <v>62</v>
      </c>
      <c r="B3940" s="59" t="str">
        <f t="shared" si="21"/>
        <v/>
      </c>
      <c r="C3940" s="59" t="str">
        <f t="shared" si="22"/>
        <v/>
      </c>
      <c r="D3940" s="45" t="str">
        <f t="shared" si="23"/>
        <v/>
      </c>
      <c r="E3940" s="45" t="str">
        <f t="shared" si="24"/>
        <v/>
      </c>
      <c r="F3940" s="59" t="str">
        <f t="shared" si="25"/>
        <v/>
      </c>
      <c r="G3940" s="59" t="str">
        <f t="shared" si="26"/>
        <v/>
      </c>
      <c r="H3940" s="59" t="str">
        <f t="shared" si="27"/>
        <v>LG53F</v>
      </c>
      <c r="I3940" s="59" t="str">
        <f>IF(OR($A3940="",$C3940="",$D3940="",$E3940="",$H3940=""),"",SUMIFS(DATA_GOC!$H:$H,DATA_GOC!$A:$A,"BOM",DATA_GOC!$D:$D,$H3940,DATA_GOC!$E:$E,$C3940,DATA_GOC!$F:$F,"Xuất nội bộ từ téc",DATA_GOC!$B:$B,"&gt;="&amp;$D3940,DATA_GOC!$B:$B,"&lt;="&amp;$E3940))</f>
        <v/>
      </c>
      <c r="J3940" s="59">
        <f t="shared" si="28"/>
        <v>0</v>
      </c>
      <c r="K3940" s="59">
        <f t="shared" si="29"/>
        <v>0</v>
      </c>
      <c r="L3940" s="59">
        <f t="shared" si="30"/>
        <v>0</v>
      </c>
      <c r="M3940" s="59">
        <f t="shared" si="31"/>
        <v>0</v>
      </c>
    </row>
    <row r="3941" ht="15.0" hidden="1" customHeight="1">
      <c r="A3941" s="59">
        <f t="shared" si="20"/>
        <v>62</v>
      </c>
      <c r="B3941" s="59" t="str">
        <f t="shared" si="21"/>
        <v/>
      </c>
      <c r="C3941" s="59" t="str">
        <f t="shared" si="22"/>
        <v/>
      </c>
      <c r="D3941" s="45" t="str">
        <f t="shared" si="23"/>
        <v/>
      </c>
      <c r="E3941" s="45" t="str">
        <f t="shared" si="24"/>
        <v/>
      </c>
      <c r="F3941" s="59" t="str">
        <f t="shared" si="25"/>
        <v/>
      </c>
      <c r="G3941" s="59" t="str">
        <f t="shared" si="26"/>
        <v/>
      </c>
      <c r="H3941" s="59" t="str">
        <f t="shared" si="27"/>
        <v>Máy phát điện</v>
      </c>
      <c r="I3941" s="59" t="str">
        <f>IF(OR($A3941="",$C3941="",$D3941="",$E3941="",$H3941=""),"",SUMIFS(DATA_GOC!$H:$H,DATA_GOC!$A:$A,"BOM",DATA_GOC!$D:$D,$H3941,DATA_GOC!$E:$E,$C3941,DATA_GOC!$F:$F,"Xuất nội bộ từ téc",DATA_GOC!$B:$B,"&gt;="&amp;$D3941,DATA_GOC!$B:$B,"&lt;="&amp;$E3941))</f>
        <v/>
      </c>
      <c r="J3941" s="59">
        <f t="shared" si="28"/>
        <v>0</v>
      </c>
      <c r="K3941" s="59">
        <f t="shared" si="29"/>
        <v>0</v>
      </c>
      <c r="L3941" s="59">
        <f t="shared" si="30"/>
        <v>0</v>
      </c>
      <c r="M3941" s="59">
        <f t="shared" si="31"/>
        <v>0</v>
      </c>
    </row>
    <row r="3942" ht="15.0" hidden="1" customHeight="1">
      <c r="A3942" s="59">
        <f t="shared" si="20"/>
        <v>62</v>
      </c>
      <c r="B3942" s="59" t="str">
        <f t="shared" si="21"/>
        <v/>
      </c>
      <c r="C3942" s="59" t="str">
        <f t="shared" si="22"/>
        <v/>
      </c>
      <c r="D3942" s="45" t="str">
        <f t="shared" si="23"/>
        <v/>
      </c>
      <c r="E3942" s="45" t="str">
        <f t="shared" si="24"/>
        <v/>
      </c>
      <c r="F3942" s="59" t="str">
        <f t="shared" si="25"/>
        <v/>
      </c>
      <c r="G3942" s="59" t="str">
        <f t="shared" si="26"/>
        <v/>
      </c>
      <c r="H3942" s="59" t="str">
        <f t="shared" si="27"/>
        <v>Máy rải thảm</v>
      </c>
      <c r="I3942" s="59" t="str">
        <f>IF(OR($A3942="",$C3942="",$D3942="",$E3942="",$H3942=""),"",SUMIFS(DATA_GOC!$H:$H,DATA_GOC!$A:$A,"BOM",DATA_GOC!$D:$D,$H3942,DATA_GOC!$E:$E,$C3942,DATA_GOC!$F:$F,"Xuất nội bộ từ téc",DATA_GOC!$B:$B,"&gt;="&amp;$D3942,DATA_GOC!$B:$B,"&lt;="&amp;$E3942))</f>
        <v/>
      </c>
      <c r="J3942" s="59">
        <f t="shared" si="28"/>
        <v>0</v>
      </c>
      <c r="K3942" s="59">
        <f t="shared" si="29"/>
        <v>0</v>
      </c>
      <c r="L3942" s="59">
        <f t="shared" si="30"/>
        <v>0</v>
      </c>
      <c r="M3942" s="59">
        <f t="shared" si="31"/>
        <v>0</v>
      </c>
    </row>
    <row r="3943" ht="15.0" hidden="1" customHeight="1">
      <c r="A3943" s="59">
        <f t="shared" si="20"/>
        <v>62</v>
      </c>
      <c r="B3943" s="59" t="str">
        <f t="shared" si="21"/>
        <v/>
      </c>
      <c r="C3943" s="59" t="str">
        <f t="shared" si="22"/>
        <v/>
      </c>
      <c r="D3943" s="45" t="str">
        <f t="shared" si="23"/>
        <v/>
      </c>
      <c r="E3943" s="45" t="str">
        <f t="shared" si="24"/>
        <v/>
      </c>
      <c r="F3943" s="59" t="str">
        <f t="shared" si="25"/>
        <v/>
      </c>
      <c r="G3943" s="59" t="str">
        <f t="shared" si="26"/>
        <v/>
      </c>
      <c r="H3943" s="59" t="str">
        <f t="shared" si="27"/>
        <v>Xúc Đào</v>
      </c>
      <c r="I3943" s="59" t="str">
        <f>IF(OR($A3943="",$C3943="",$D3943="",$E3943="",$H3943=""),"",SUMIFS(DATA_GOC!$H:$H,DATA_GOC!$A:$A,"BOM",DATA_GOC!$D:$D,$H3943,DATA_GOC!$E:$E,$C3943,DATA_GOC!$F:$F,"Xuất nội bộ từ téc",DATA_GOC!$B:$B,"&gt;="&amp;$D3943,DATA_GOC!$B:$B,"&lt;="&amp;$E3943))</f>
        <v/>
      </c>
      <c r="J3943" s="59">
        <f t="shared" si="28"/>
        <v>0</v>
      </c>
      <c r="K3943" s="59">
        <f t="shared" si="29"/>
        <v>0</v>
      </c>
      <c r="L3943" s="59">
        <f t="shared" si="30"/>
        <v>0</v>
      </c>
      <c r="M3943" s="59">
        <f t="shared" si="31"/>
        <v>0</v>
      </c>
    </row>
    <row r="3944" ht="15.0" hidden="1" customHeight="1">
      <c r="A3944" s="59">
        <f t="shared" si="20"/>
        <v>62</v>
      </c>
      <c r="B3944" s="59" t="str">
        <f t="shared" si="21"/>
        <v/>
      </c>
      <c r="C3944" s="59" t="str">
        <f t="shared" si="22"/>
        <v/>
      </c>
      <c r="D3944" s="45" t="str">
        <f t="shared" si="23"/>
        <v/>
      </c>
      <c r="E3944" s="45" t="str">
        <f t="shared" si="24"/>
        <v/>
      </c>
      <c r="F3944" s="59" t="str">
        <f t="shared" si="25"/>
        <v/>
      </c>
      <c r="G3944" s="59" t="str">
        <f t="shared" si="26"/>
        <v/>
      </c>
      <c r="H3944" s="59" t="str">
        <f t="shared" si="27"/>
        <v>Xúclật asphalt</v>
      </c>
      <c r="I3944" s="59" t="str">
        <f>IF(OR($A3944="",$C3944="",$D3944="",$E3944="",$H3944=""),"",SUMIFS(DATA_GOC!$H:$H,DATA_GOC!$A:$A,"BOM",DATA_GOC!$D:$D,$H3944,DATA_GOC!$E:$E,$C3944,DATA_GOC!$F:$F,"Xuất nội bộ từ téc",DATA_GOC!$B:$B,"&gt;="&amp;$D3944,DATA_GOC!$B:$B,"&lt;="&amp;$E3944))</f>
        <v/>
      </c>
      <c r="J3944" s="59">
        <f t="shared" si="28"/>
        <v>0</v>
      </c>
      <c r="K3944" s="59">
        <f t="shared" si="29"/>
        <v>0</v>
      </c>
      <c r="L3944" s="59">
        <f t="shared" si="30"/>
        <v>0</v>
      </c>
      <c r="M3944" s="59">
        <f t="shared" si="31"/>
        <v>0</v>
      </c>
    </row>
    <row r="3945" ht="15.0" hidden="1" customHeight="1">
      <c r="A3945" s="59">
        <f t="shared" si="20"/>
        <v>62</v>
      </c>
      <c r="B3945" s="59" t="str">
        <f t="shared" si="21"/>
        <v/>
      </c>
      <c r="C3945" s="59" t="str">
        <f t="shared" si="22"/>
        <v/>
      </c>
      <c r="D3945" s="45" t="str">
        <f t="shared" si="23"/>
        <v/>
      </c>
      <c r="E3945" s="45" t="str">
        <f t="shared" si="24"/>
        <v/>
      </c>
      <c r="F3945" s="59" t="str">
        <f t="shared" si="25"/>
        <v/>
      </c>
      <c r="G3945" s="59" t="str">
        <f t="shared" si="26"/>
        <v/>
      </c>
      <c r="H3945" s="59" t="str">
        <f t="shared" si="27"/>
        <v>Xúclật855H</v>
      </c>
      <c r="I3945" s="59" t="str">
        <f>IF(OR($A3945="",$C3945="",$D3945="",$E3945="",$H3945=""),"",SUMIFS(DATA_GOC!$H:$H,DATA_GOC!$A:$A,"BOM",DATA_GOC!$D:$D,$H3945,DATA_GOC!$E:$E,$C3945,DATA_GOC!$F:$F,"Xuất nội bộ từ téc",DATA_GOC!$B:$B,"&gt;="&amp;$D3945,DATA_GOC!$B:$B,"&lt;="&amp;$E3945))</f>
        <v/>
      </c>
      <c r="J3945" s="59">
        <f t="shared" si="28"/>
        <v>0</v>
      </c>
      <c r="K3945" s="59">
        <f t="shared" si="29"/>
        <v>0</v>
      </c>
      <c r="L3945" s="59">
        <f t="shared" si="30"/>
        <v>0</v>
      </c>
      <c r="M3945" s="59">
        <f t="shared" si="31"/>
        <v>0</v>
      </c>
    </row>
    <row r="3946" ht="15.0" hidden="1" customHeight="1">
      <c r="A3946" s="59">
        <f t="shared" si="20"/>
        <v>62</v>
      </c>
      <c r="B3946" s="59" t="str">
        <f t="shared" si="21"/>
        <v/>
      </c>
      <c r="C3946" s="59" t="str">
        <f t="shared" si="22"/>
        <v/>
      </c>
      <c r="D3946" s="45" t="str">
        <f t="shared" si="23"/>
        <v/>
      </c>
      <c r="E3946" s="45" t="str">
        <f t="shared" si="24"/>
        <v/>
      </c>
      <c r="F3946" s="59" t="str">
        <f t="shared" si="25"/>
        <v/>
      </c>
      <c r="G3946" s="59" t="str">
        <f t="shared" si="26"/>
        <v/>
      </c>
      <c r="H3946" s="59" t="str">
        <f t="shared" si="27"/>
        <v>Xúclật855N</v>
      </c>
      <c r="I3946" s="59" t="str">
        <f>IF(OR($A3946="",$C3946="",$D3946="",$E3946="",$H3946=""),"",SUMIFS(DATA_GOC!$H:$H,DATA_GOC!$A:$A,"BOM",DATA_GOC!$D:$D,$H3946,DATA_GOC!$E:$E,$C3946,DATA_GOC!$F:$F,"Xuất nội bộ từ téc",DATA_GOC!$B:$B,"&gt;="&amp;$D3946,DATA_GOC!$B:$B,"&lt;="&amp;$E3946))</f>
        <v/>
      </c>
      <c r="J3946" s="59">
        <f t="shared" si="28"/>
        <v>0</v>
      </c>
      <c r="K3946" s="59">
        <f t="shared" si="29"/>
        <v>0</v>
      </c>
      <c r="L3946" s="59">
        <f t="shared" si="30"/>
        <v>0</v>
      </c>
      <c r="M3946" s="59">
        <f t="shared" si="31"/>
        <v>0</v>
      </c>
    </row>
    <row r="3947" ht="15.0" hidden="1" customHeight="1">
      <c r="A3947" s="59">
        <f t="shared" si="20"/>
        <v>62</v>
      </c>
      <c r="B3947" s="59" t="str">
        <f t="shared" si="21"/>
        <v/>
      </c>
      <c r="C3947" s="59" t="str">
        <f t="shared" si="22"/>
        <v/>
      </c>
      <c r="D3947" s="45" t="str">
        <f t="shared" si="23"/>
        <v/>
      </c>
      <c r="E3947" s="45" t="str">
        <f t="shared" si="24"/>
        <v/>
      </c>
      <c r="F3947" s="59" t="str">
        <f t="shared" si="25"/>
        <v/>
      </c>
      <c r="G3947" s="59" t="str">
        <f t="shared" si="26"/>
        <v/>
      </c>
      <c r="H3947" s="59" t="str">
        <f t="shared" si="27"/>
        <v>Cát nghiền</v>
      </c>
      <c r="I3947" s="59" t="str">
        <f>IF(OR($A3947="",$C3947="",$D3947="",$E3947="",$H3947=""),"",SUMIFS(DATA_GOC!$H:$H,DATA_GOC!$A:$A,"BOM",DATA_GOC!$D:$D,$H3947,DATA_GOC!$E:$E,$C3947,DATA_GOC!$F:$F,"Xuất nội bộ từ téc",DATA_GOC!$B:$B,"&gt;="&amp;$D3947,DATA_GOC!$B:$B,"&lt;="&amp;$E3947))</f>
        <v/>
      </c>
      <c r="J3947" s="59">
        <f t="shared" si="28"/>
        <v>0</v>
      </c>
      <c r="K3947" s="59">
        <f t="shared" si="29"/>
        <v>0</v>
      </c>
      <c r="L3947" s="59">
        <f t="shared" si="30"/>
        <v>0</v>
      </c>
      <c r="M3947" s="59">
        <f t="shared" si="31"/>
        <v>0</v>
      </c>
    </row>
    <row r="3948" ht="15.0" hidden="1" customHeight="1">
      <c r="A3948" s="59">
        <f t="shared" si="20"/>
        <v>62</v>
      </c>
      <c r="B3948" s="59" t="str">
        <f t="shared" si="21"/>
        <v/>
      </c>
      <c r="C3948" s="59" t="str">
        <f t="shared" si="22"/>
        <v/>
      </c>
      <c r="D3948" s="45" t="str">
        <f t="shared" si="23"/>
        <v/>
      </c>
      <c r="E3948" s="45" t="str">
        <f t="shared" si="24"/>
        <v/>
      </c>
      <c r="F3948" s="59" t="str">
        <f t="shared" si="25"/>
        <v/>
      </c>
      <c r="G3948" s="59" t="str">
        <f t="shared" si="26"/>
        <v/>
      </c>
      <c r="H3948" s="59" t="str">
        <f t="shared" si="27"/>
        <v>28C02973</v>
      </c>
      <c r="I3948" s="59" t="str">
        <f>IF(OR($A3948="",$C3948="",$D3948="",$E3948="",$H3948=""),"",SUMIFS(DATA_GOC!$H:$H,DATA_GOC!$A:$A,"BOM",DATA_GOC!$D:$D,$H3948,DATA_GOC!$E:$E,$C3948,DATA_GOC!$F:$F,"Xuất nội bộ từ téc",DATA_GOC!$B:$B,"&gt;="&amp;$D3948,DATA_GOC!$B:$B,"&lt;="&amp;$E3948))</f>
        <v/>
      </c>
      <c r="J3948" s="59">
        <f t="shared" si="28"/>
        <v>0</v>
      </c>
      <c r="K3948" s="59">
        <f t="shared" si="29"/>
        <v>0</v>
      </c>
      <c r="L3948" s="59">
        <f t="shared" si="30"/>
        <v>0</v>
      </c>
      <c r="M3948" s="59">
        <f t="shared" si="31"/>
        <v>0</v>
      </c>
    </row>
    <row r="3949" ht="15.0" hidden="1" customHeight="1">
      <c r="A3949" s="59">
        <f t="shared" si="20"/>
        <v>62</v>
      </c>
      <c r="B3949" s="59" t="str">
        <f t="shared" si="21"/>
        <v/>
      </c>
      <c r="C3949" s="59" t="str">
        <f t="shared" si="22"/>
        <v/>
      </c>
      <c r="D3949" s="45" t="str">
        <f t="shared" si="23"/>
        <v/>
      </c>
      <c r="E3949" s="45" t="str">
        <f t="shared" si="24"/>
        <v/>
      </c>
      <c r="F3949" s="59" t="str">
        <f t="shared" si="25"/>
        <v/>
      </c>
      <c r="G3949" s="59" t="str">
        <f t="shared" si="26"/>
        <v/>
      </c>
      <c r="H3949" s="59" t="str">
        <f t="shared" si="27"/>
        <v>28C03044</v>
      </c>
      <c r="I3949" s="59" t="str">
        <f>IF(OR($A3949="",$C3949="",$D3949="",$E3949="",$H3949=""),"",SUMIFS(DATA_GOC!$H:$H,DATA_GOC!$A:$A,"BOM",DATA_GOC!$D:$D,$H3949,DATA_GOC!$E:$E,$C3949,DATA_GOC!$F:$F,"Xuất nội bộ từ téc",DATA_GOC!$B:$B,"&gt;="&amp;$D3949,DATA_GOC!$B:$B,"&lt;="&amp;$E3949))</f>
        <v/>
      </c>
      <c r="J3949" s="59">
        <f t="shared" si="28"/>
        <v>0</v>
      </c>
      <c r="K3949" s="59">
        <f t="shared" si="29"/>
        <v>0</v>
      </c>
      <c r="L3949" s="59">
        <f t="shared" si="30"/>
        <v>0</v>
      </c>
      <c r="M3949" s="59">
        <f t="shared" si="31"/>
        <v>0</v>
      </c>
    </row>
    <row r="3950" ht="15.0" hidden="1" customHeight="1">
      <c r="A3950" s="59">
        <f t="shared" si="20"/>
        <v>62</v>
      </c>
      <c r="B3950" s="59" t="str">
        <f t="shared" si="21"/>
        <v/>
      </c>
      <c r="C3950" s="59" t="str">
        <f t="shared" si="22"/>
        <v/>
      </c>
      <c r="D3950" s="45" t="str">
        <f t="shared" si="23"/>
        <v/>
      </c>
      <c r="E3950" s="45" t="str">
        <f t="shared" si="24"/>
        <v/>
      </c>
      <c r="F3950" s="59" t="str">
        <f t="shared" si="25"/>
        <v/>
      </c>
      <c r="G3950" s="59" t="str">
        <f t="shared" si="26"/>
        <v/>
      </c>
      <c r="H3950" s="59" t="str">
        <f t="shared" si="27"/>
        <v>Máy lu lốp</v>
      </c>
      <c r="I3950" s="59" t="str">
        <f>IF(OR($A3950="",$C3950="",$D3950="",$E3950="",$H3950=""),"",SUMIFS(DATA_GOC!$H:$H,DATA_GOC!$A:$A,"BOM",DATA_GOC!$D:$D,$H3950,DATA_GOC!$E:$E,$C3950,DATA_GOC!$F:$F,"Xuất nội bộ từ téc",DATA_GOC!$B:$B,"&gt;="&amp;$D3950,DATA_GOC!$B:$B,"&lt;="&amp;$E3950))</f>
        <v/>
      </c>
      <c r="J3950" s="59">
        <f t="shared" si="28"/>
        <v>0</v>
      </c>
      <c r="K3950" s="59">
        <f t="shared" si="29"/>
        <v>0</v>
      </c>
      <c r="L3950" s="59">
        <f t="shared" si="30"/>
        <v>0</v>
      </c>
      <c r="M3950" s="59">
        <f t="shared" si="31"/>
        <v>0</v>
      </c>
    </row>
    <row r="3951" ht="15.0" hidden="1" customHeight="1">
      <c r="A3951" s="59">
        <f t="shared" si="20"/>
        <v>62</v>
      </c>
      <c r="B3951" s="59" t="str">
        <f t="shared" si="21"/>
        <v/>
      </c>
      <c r="C3951" s="59" t="str">
        <f t="shared" si="22"/>
        <v/>
      </c>
      <c r="D3951" s="45" t="str">
        <f t="shared" si="23"/>
        <v/>
      </c>
      <c r="E3951" s="45" t="str">
        <f t="shared" si="24"/>
        <v/>
      </c>
      <c r="F3951" s="59" t="str">
        <f t="shared" si="25"/>
        <v/>
      </c>
      <c r="G3951" s="59" t="str">
        <f t="shared" si="26"/>
        <v/>
      </c>
      <c r="H3951" s="59" t="str">
        <f t="shared" si="27"/>
        <v>Xe 600148</v>
      </c>
      <c r="I3951" s="59" t="str">
        <f>IF(OR($A3951="",$C3951="",$D3951="",$E3951="",$H3951=""),"",SUMIFS(DATA_GOC!$H:$H,DATA_GOC!$A:$A,"BOM",DATA_GOC!$D:$D,$H3951,DATA_GOC!$E:$E,$C3951,DATA_GOC!$F:$F,"Xuất nội bộ từ téc",DATA_GOC!$B:$B,"&gt;="&amp;$D3951,DATA_GOC!$B:$B,"&lt;="&amp;$E3951))</f>
        <v/>
      </c>
      <c r="J3951" s="59">
        <f t="shared" si="28"/>
        <v>0</v>
      </c>
      <c r="K3951" s="59">
        <f t="shared" si="29"/>
        <v>0</v>
      </c>
      <c r="L3951" s="59">
        <f t="shared" si="30"/>
        <v>0</v>
      </c>
      <c r="M3951" s="59">
        <f t="shared" si="31"/>
        <v>0</v>
      </c>
    </row>
    <row r="3952" ht="15.0" hidden="1" customHeight="1">
      <c r="A3952" s="59">
        <f t="shared" si="20"/>
        <v>62</v>
      </c>
      <c r="B3952" s="59" t="str">
        <f t="shared" si="21"/>
        <v/>
      </c>
      <c r="C3952" s="59" t="str">
        <f t="shared" si="22"/>
        <v/>
      </c>
      <c r="D3952" s="45" t="str">
        <f t="shared" si="23"/>
        <v/>
      </c>
      <c r="E3952" s="45" t="str">
        <f t="shared" si="24"/>
        <v/>
      </c>
      <c r="F3952" s="59" t="str">
        <f t="shared" si="25"/>
        <v/>
      </c>
      <c r="G3952" s="59" t="str">
        <f t="shared" si="26"/>
        <v/>
      </c>
      <c r="H3952" s="59" t="str">
        <f t="shared" si="27"/>
        <v>Xe ben mới</v>
      </c>
      <c r="I3952" s="59" t="str">
        <f>IF(OR($A3952="",$C3952="",$D3952="",$E3952="",$H3952=""),"",SUMIFS(DATA_GOC!$H:$H,DATA_GOC!$A:$A,"BOM",DATA_GOC!$D:$D,$H3952,DATA_GOC!$E:$E,$C3952,DATA_GOC!$F:$F,"Xuất nội bộ từ téc",DATA_GOC!$B:$B,"&gt;="&amp;$D3952,DATA_GOC!$B:$B,"&lt;="&amp;$E3952))</f>
        <v/>
      </c>
      <c r="J3952" s="59">
        <f t="shared" si="28"/>
        <v>0</v>
      </c>
      <c r="K3952" s="59">
        <f t="shared" si="29"/>
        <v>0</v>
      </c>
      <c r="L3952" s="59">
        <f t="shared" si="30"/>
        <v>0</v>
      </c>
      <c r="M3952" s="59">
        <f t="shared" si="31"/>
        <v>0</v>
      </c>
    </row>
    <row r="3953" ht="15.0" hidden="1" customHeight="1">
      <c r="A3953" s="59">
        <f t="shared" si="20"/>
        <v>63</v>
      </c>
      <c r="B3953" s="59" t="str">
        <f t="shared" si="21"/>
        <v/>
      </c>
      <c r="C3953" s="59" t="str">
        <f t="shared" si="22"/>
        <v/>
      </c>
      <c r="D3953" s="45" t="str">
        <f t="shared" si="23"/>
        <v/>
      </c>
      <c r="E3953" s="45" t="str">
        <f t="shared" si="24"/>
        <v/>
      </c>
      <c r="F3953" s="59" t="str">
        <f t="shared" si="25"/>
        <v/>
      </c>
      <c r="G3953" s="59" t="str">
        <f t="shared" si="26"/>
        <v/>
      </c>
      <c r="H3953" s="59" t="str">
        <f t="shared" si="27"/>
        <v>19H09482</v>
      </c>
      <c r="I3953" s="59" t="str">
        <f>IF(OR($A3953="",$C3953="",$D3953="",$E3953="",$H3953=""),"",SUMIFS(DATA_GOC!$H:$H,DATA_GOC!$A:$A,"BOM",DATA_GOC!$D:$D,$H3953,DATA_GOC!$E:$E,$C3953,DATA_GOC!$F:$F,"Xuất nội bộ từ téc",DATA_GOC!$B:$B,"&gt;="&amp;$D3953,DATA_GOC!$B:$B,"&lt;="&amp;$E3953))</f>
        <v/>
      </c>
      <c r="J3953" s="59">
        <f t="shared" si="28"/>
        <v>0</v>
      </c>
      <c r="K3953" s="59">
        <f t="shared" si="29"/>
        <v>0</v>
      </c>
      <c r="L3953" s="59">
        <f t="shared" si="30"/>
        <v>0</v>
      </c>
      <c r="M3953" s="59">
        <f t="shared" si="31"/>
        <v>0</v>
      </c>
    </row>
    <row r="3954" ht="15.0" hidden="1" customHeight="1">
      <c r="A3954" s="59">
        <f t="shared" si="20"/>
        <v>63</v>
      </c>
      <c r="B3954" s="59" t="str">
        <f t="shared" si="21"/>
        <v/>
      </c>
      <c r="C3954" s="59" t="str">
        <f t="shared" si="22"/>
        <v/>
      </c>
      <c r="D3954" s="45" t="str">
        <f t="shared" si="23"/>
        <v/>
      </c>
      <c r="E3954" s="45" t="str">
        <f t="shared" si="24"/>
        <v/>
      </c>
      <c r="F3954" s="59" t="str">
        <f t="shared" si="25"/>
        <v/>
      </c>
      <c r="G3954" s="59" t="str">
        <f t="shared" si="26"/>
        <v/>
      </c>
      <c r="H3954" s="59" t="str">
        <f t="shared" si="27"/>
        <v>28A30696</v>
      </c>
      <c r="I3954" s="59" t="str">
        <f>IF(OR($A3954="",$C3954="",$D3954="",$E3954="",$H3954=""),"",SUMIFS(DATA_GOC!$H:$H,DATA_GOC!$A:$A,"BOM",DATA_GOC!$D:$D,$H3954,DATA_GOC!$E:$E,$C3954,DATA_GOC!$F:$F,"Xuất nội bộ từ téc",DATA_GOC!$B:$B,"&gt;="&amp;$D3954,DATA_GOC!$B:$B,"&lt;="&amp;$E3954))</f>
        <v/>
      </c>
      <c r="J3954" s="59">
        <f t="shared" si="28"/>
        <v>0</v>
      </c>
      <c r="K3954" s="59">
        <f t="shared" si="29"/>
        <v>0</v>
      </c>
      <c r="L3954" s="59">
        <f t="shared" si="30"/>
        <v>0</v>
      </c>
      <c r="M3954" s="59">
        <f t="shared" si="31"/>
        <v>0</v>
      </c>
    </row>
    <row r="3955" ht="15.0" hidden="1" customHeight="1">
      <c r="A3955" s="59">
        <f t="shared" si="20"/>
        <v>63</v>
      </c>
      <c r="B3955" s="59" t="str">
        <f t="shared" si="21"/>
        <v/>
      </c>
      <c r="C3955" s="59" t="str">
        <f t="shared" si="22"/>
        <v/>
      </c>
      <c r="D3955" s="45" t="str">
        <f t="shared" si="23"/>
        <v/>
      </c>
      <c r="E3955" s="45" t="str">
        <f t="shared" si="24"/>
        <v/>
      </c>
      <c r="F3955" s="59" t="str">
        <f t="shared" si="25"/>
        <v/>
      </c>
      <c r="G3955" s="59" t="str">
        <f t="shared" si="26"/>
        <v/>
      </c>
      <c r="H3955" s="59" t="str">
        <f t="shared" si="27"/>
        <v>28C00462</v>
      </c>
      <c r="I3955" s="59" t="str">
        <f>IF(OR($A3955="",$C3955="",$D3955="",$E3955="",$H3955=""),"",SUMIFS(DATA_GOC!$H:$H,DATA_GOC!$A:$A,"BOM",DATA_GOC!$D:$D,$H3955,DATA_GOC!$E:$E,$C3955,DATA_GOC!$F:$F,"Xuất nội bộ từ téc",DATA_GOC!$B:$B,"&gt;="&amp;$D3955,DATA_GOC!$B:$B,"&lt;="&amp;$E3955))</f>
        <v/>
      </c>
      <c r="J3955" s="59">
        <f t="shared" si="28"/>
        <v>0</v>
      </c>
      <c r="K3955" s="59">
        <f t="shared" si="29"/>
        <v>0</v>
      </c>
      <c r="L3955" s="59">
        <f t="shared" si="30"/>
        <v>0</v>
      </c>
      <c r="M3955" s="59">
        <f t="shared" si="31"/>
        <v>0</v>
      </c>
    </row>
    <row r="3956" ht="15.0" hidden="1" customHeight="1">
      <c r="A3956" s="59">
        <f t="shared" si="20"/>
        <v>63</v>
      </c>
      <c r="B3956" s="59" t="str">
        <f t="shared" si="21"/>
        <v/>
      </c>
      <c r="C3956" s="59" t="str">
        <f t="shared" si="22"/>
        <v/>
      </c>
      <c r="D3956" s="45" t="str">
        <f t="shared" si="23"/>
        <v/>
      </c>
      <c r="E3956" s="45" t="str">
        <f t="shared" si="24"/>
        <v/>
      </c>
      <c r="F3956" s="59" t="str">
        <f t="shared" si="25"/>
        <v/>
      </c>
      <c r="G3956" s="59" t="str">
        <f t="shared" si="26"/>
        <v/>
      </c>
      <c r="H3956" s="59" t="str">
        <f t="shared" si="27"/>
        <v>28C01165</v>
      </c>
      <c r="I3956" s="59" t="str">
        <f>IF(OR($A3956="",$C3956="",$D3956="",$E3956="",$H3956=""),"",SUMIFS(DATA_GOC!$H:$H,DATA_GOC!$A:$A,"BOM",DATA_GOC!$D:$D,$H3956,DATA_GOC!$E:$E,$C3956,DATA_GOC!$F:$F,"Xuất nội bộ từ téc",DATA_GOC!$B:$B,"&gt;="&amp;$D3956,DATA_GOC!$B:$B,"&lt;="&amp;$E3956))</f>
        <v/>
      </c>
      <c r="J3956" s="59">
        <f t="shared" si="28"/>
        <v>0</v>
      </c>
      <c r="K3956" s="59">
        <f t="shared" si="29"/>
        <v>0</v>
      </c>
      <c r="L3956" s="59">
        <f t="shared" si="30"/>
        <v>0</v>
      </c>
      <c r="M3956" s="59">
        <f t="shared" si="31"/>
        <v>0</v>
      </c>
    </row>
    <row r="3957" ht="15.0" hidden="1" customHeight="1">
      <c r="A3957" s="59">
        <f t="shared" si="20"/>
        <v>63</v>
      </c>
      <c r="B3957" s="59" t="str">
        <f t="shared" si="21"/>
        <v/>
      </c>
      <c r="C3957" s="59" t="str">
        <f t="shared" si="22"/>
        <v/>
      </c>
      <c r="D3957" s="45" t="str">
        <f t="shared" si="23"/>
        <v/>
      </c>
      <c r="E3957" s="45" t="str">
        <f t="shared" si="24"/>
        <v/>
      </c>
      <c r="F3957" s="59" t="str">
        <f t="shared" si="25"/>
        <v/>
      </c>
      <c r="G3957" s="59" t="str">
        <f t="shared" si="26"/>
        <v/>
      </c>
      <c r="H3957" s="59" t="str">
        <f t="shared" si="27"/>
        <v>28C01406</v>
      </c>
      <c r="I3957" s="59" t="str">
        <f>IF(OR($A3957="",$C3957="",$D3957="",$E3957="",$H3957=""),"",SUMIFS(DATA_GOC!$H:$H,DATA_GOC!$A:$A,"BOM",DATA_GOC!$D:$D,$H3957,DATA_GOC!$E:$E,$C3957,DATA_GOC!$F:$F,"Xuất nội bộ từ téc",DATA_GOC!$B:$B,"&gt;="&amp;$D3957,DATA_GOC!$B:$B,"&lt;="&amp;$E3957))</f>
        <v/>
      </c>
      <c r="J3957" s="59">
        <f t="shared" si="28"/>
        <v>0</v>
      </c>
      <c r="K3957" s="59">
        <f t="shared" si="29"/>
        <v>0</v>
      </c>
      <c r="L3957" s="59">
        <f t="shared" si="30"/>
        <v>0</v>
      </c>
      <c r="M3957" s="59">
        <f t="shared" si="31"/>
        <v>0</v>
      </c>
    </row>
    <row r="3958" ht="15.0" hidden="1" customHeight="1">
      <c r="A3958" s="59">
        <f t="shared" si="20"/>
        <v>63</v>
      </c>
      <c r="B3958" s="59" t="str">
        <f t="shared" si="21"/>
        <v/>
      </c>
      <c r="C3958" s="59" t="str">
        <f t="shared" si="22"/>
        <v/>
      </c>
      <c r="D3958" s="45" t="str">
        <f t="shared" si="23"/>
        <v/>
      </c>
      <c r="E3958" s="45" t="str">
        <f t="shared" si="24"/>
        <v/>
      </c>
      <c r="F3958" s="59" t="str">
        <f t="shared" si="25"/>
        <v/>
      </c>
      <c r="G3958" s="59" t="str">
        <f t="shared" si="26"/>
        <v/>
      </c>
      <c r="H3958" s="59" t="str">
        <f t="shared" si="27"/>
        <v>28C01544</v>
      </c>
      <c r="I3958" s="59" t="str">
        <f>IF(OR($A3958="",$C3958="",$D3958="",$E3958="",$H3958=""),"",SUMIFS(DATA_GOC!$H:$H,DATA_GOC!$A:$A,"BOM",DATA_GOC!$D:$D,$H3958,DATA_GOC!$E:$E,$C3958,DATA_GOC!$F:$F,"Xuất nội bộ từ téc",DATA_GOC!$B:$B,"&gt;="&amp;$D3958,DATA_GOC!$B:$B,"&lt;="&amp;$E3958))</f>
        <v/>
      </c>
      <c r="J3958" s="59">
        <f t="shared" si="28"/>
        <v>0</v>
      </c>
      <c r="K3958" s="59">
        <f t="shared" si="29"/>
        <v>0</v>
      </c>
      <c r="L3958" s="59">
        <f t="shared" si="30"/>
        <v>0</v>
      </c>
      <c r="M3958" s="59">
        <f t="shared" si="31"/>
        <v>0</v>
      </c>
    </row>
    <row r="3959" ht="15.0" hidden="1" customHeight="1">
      <c r="A3959" s="59">
        <f t="shared" si="20"/>
        <v>63</v>
      </c>
      <c r="B3959" s="59" t="str">
        <f t="shared" si="21"/>
        <v/>
      </c>
      <c r="C3959" s="59" t="str">
        <f t="shared" si="22"/>
        <v/>
      </c>
      <c r="D3959" s="45" t="str">
        <f t="shared" si="23"/>
        <v/>
      </c>
      <c r="E3959" s="45" t="str">
        <f t="shared" si="24"/>
        <v/>
      </c>
      <c r="F3959" s="59" t="str">
        <f t="shared" si="25"/>
        <v/>
      </c>
      <c r="G3959" s="59" t="str">
        <f t="shared" si="26"/>
        <v/>
      </c>
      <c r="H3959" s="59" t="str">
        <f t="shared" si="27"/>
        <v>28C01622</v>
      </c>
      <c r="I3959" s="59" t="str">
        <f>IF(OR($A3959="",$C3959="",$D3959="",$E3959="",$H3959=""),"",SUMIFS(DATA_GOC!$H:$H,DATA_GOC!$A:$A,"BOM",DATA_GOC!$D:$D,$H3959,DATA_GOC!$E:$E,$C3959,DATA_GOC!$F:$F,"Xuất nội bộ từ téc",DATA_GOC!$B:$B,"&gt;="&amp;$D3959,DATA_GOC!$B:$B,"&lt;="&amp;$E3959))</f>
        <v/>
      </c>
      <c r="J3959" s="59">
        <f t="shared" si="28"/>
        <v>0</v>
      </c>
      <c r="K3959" s="59">
        <f t="shared" si="29"/>
        <v>0</v>
      </c>
      <c r="L3959" s="59">
        <f t="shared" si="30"/>
        <v>0</v>
      </c>
      <c r="M3959" s="59">
        <f t="shared" si="31"/>
        <v>0</v>
      </c>
    </row>
    <row r="3960" ht="15.0" hidden="1" customHeight="1">
      <c r="A3960" s="59">
        <f t="shared" si="20"/>
        <v>63</v>
      </c>
      <c r="B3960" s="59" t="str">
        <f t="shared" si="21"/>
        <v/>
      </c>
      <c r="C3960" s="59" t="str">
        <f t="shared" si="22"/>
        <v/>
      </c>
      <c r="D3960" s="45" t="str">
        <f t="shared" si="23"/>
        <v/>
      </c>
      <c r="E3960" s="45" t="str">
        <f t="shared" si="24"/>
        <v/>
      </c>
      <c r="F3960" s="59" t="str">
        <f t="shared" si="25"/>
        <v/>
      </c>
      <c r="G3960" s="59" t="str">
        <f t="shared" si="26"/>
        <v/>
      </c>
      <c r="H3960" s="59" t="str">
        <f t="shared" si="27"/>
        <v>28C01647</v>
      </c>
      <c r="I3960" s="59" t="str">
        <f>IF(OR($A3960="",$C3960="",$D3960="",$E3960="",$H3960=""),"",SUMIFS(DATA_GOC!$H:$H,DATA_GOC!$A:$A,"BOM",DATA_GOC!$D:$D,$H3960,DATA_GOC!$E:$E,$C3960,DATA_GOC!$F:$F,"Xuất nội bộ từ téc",DATA_GOC!$B:$B,"&gt;="&amp;$D3960,DATA_GOC!$B:$B,"&lt;="&amp;$E3960))</f>
        <v/>
      </c>
      <c r="J3960" s="59">
        <f t="shared" si="28"/>
        <v>0</v>
      </c>
      <c r="K3960" s="59">
        <f t="shared" si="29"/>
        <v>0</v>
      </c>
      <c r="L3960" s="59">
        <f t="shared" si="30"/>
        <v>0</v>
      </c>
      <c r="M3960" s="59">
        <f t="shared" si="31"/>
        <v>0</v>
      </c>
    </row>
    <row r="3961" ht="15.0" hidden="1" customHeight="1">
      <c r="A3961" s="59">
        <f t="shared" si="20"/>
        <v>63</v>
      </c>
      <c r="B3961" s="59" t="str">
        <f t="shared" si="21"/>
        <v/>
      </c>
      <c r="C3961" s="59" t="str">
        <f t="shared" si="22"/>
        <v/>
      </c>
      <c r="D3961" s="45" t="str">
        <f t="shared" si="23"/>
        <v/>
      </c>
      <c r="E3961" s="45" t="str">
        <f t="shared" si="24"/>
        <v/>
      </c>
      <c r="F3961" s="59" t="str">
        <f t="shared" si="25"/>
        <v/>
      </c>
      <c r="G3961" s="59" t="str">
        <f t="shared" si="26"/>
        <v/>
      </c>
      <c r="H3961" s="59" t="str">
        <f t="shared" si="27"/>
        <v>28C01731</v>
      </c>
      <c r="I3961" s="59" t="str">
        <f>IF(OR($A3961="",$C3961="",$D3961="",$E3961="",$H3961=""),"",SUMIFS(DATA_GOC!$H:$H,DATA_GOC!$A:$A,"BOM",DATA_GOC!$D:$D,$H3961,DATA_GOC!$E:$E,$C3961,DATA_GOC!$F:$F,"Xuất nội bộ từ téc",DATA_GOC!$B:$B,"&gt;="&amp;$D3961,DATA_GOC!$B:$B,"&lt;="&amp;$E3961))</f>
        <v/>
      </c>
      <c r="J3961" s="59">
        <f t="shared" si="28"/>
        <v>0</v>
      </c>
      <c r="K3961" s="59">
        <f t="shared" si="29"/>
        <v>0</v>
      </c>
      <c r="L3961" s="59">
        <f t="shared" si="30"/>
        <v>0</v>
      </c>
      <c r="M3961" s="59">
        <f t="shared" si="31"/>
        <v>0</v>
      </c>
    </row>
    <row r="3962" ht="15.0" hidden="1" customHeight="1">
      <c r="A3962" s="59">
        <f t="shared" si="20"/>
        <v>63</v>
      </c>
      <c r="B3962" s="59" t="str">
        <f t="shared" si="21"/>
        <v/>
      </c>
      <c r="C3962" s="59" t="str">
        <f t="shared" si="22"/>
        <v/>
      </c>
      <c r="D3962" s="45" t="str">
        <f t="shared" si="23"/>
        <v/>
      </c>
      <c r="E3962" s="45" t="str">
        <f t="shared" si="24"/>
        <v/>
      </c>
      <c r="F3962" s="59" t="str">
        <f t="shared" si="25"/>
        <v/>
      </c>
      <c r="G3962" s="59" t="str">
        <f t="shared" si="26"/>
        <v/>
      </c>
      <c r="H3962" s="59" t="str">
        <f t="shared" si="27"/>
        <v>28C01743</v>
      </c>
      <c r="I3962" s="59" t="str">
        <f>IF(OR($A3962="",$C3962="",$D3962="",$E3962="",$H3962=""),"",SUMIFS(DATA_GOC!$H:$H,DATA_GOC!$A:$A,"BOM",DATA_GOC!$D:$D,$H3962,DATA_GOC!$E:$E,$C3962,DATA_GOC!$F:$F,"Xuất nội bộ từ téc",DATA_GOC!$B:$B,"&gt;="&amp;$D3962,DATA_GOC!$B:$B,"&lt;="&amp;$E3962))</f>
        <v/>
      </c>
      <c r="J3962" s="59">
        <f t="shared" si="28"/>
        <v>0</v>
      </c>
      <c r="K3962" s="59">
        <f t="shared" si="29"/>
        <v>0</v>
      </c>
      <c r="L3962" s="59">
        <f t="shared" si="30"/>
        <v>0</v>
      </c>
      <c r="M3962" s="59">
        <f t="shared" si="31"/>
        <v>0</v>
      </c>
    </row>
    <row r="3963" ht="15.0" hidden="1" customHeight="1">
      <c r="A3963" s="59">
        <f t="shared" si="20"/>
        <v>63</v>
      </c>
      <c r="B3963" s="59" t="str">
        <f t="shared" si="21"/>
        <v/>
      </c>
      <c r="C3963" s="59" t="str">
        <f t="shared" si="22"/>
        <v/>
      </c>
      <c r="D3963" s="45" t="str">
        <f t="shared" si="23"/>
        <v/>
      </c>
      <c r="E3963" s="45" t="str">
        <f t="shared" si="24"/>
        <v/>
      </c>
      <c r="F3963" s="59" t="str">
        <f t="shared" si="25"/>
        <v/>
      </c>
      <c r="G3963" s="59" t="str">
        <f t="shared" si="26"/>
        <v/>
      </c>
      <c r="H3963" s="59" t="str">
        <f t="shared" si="27"/>
        <v>28C02106</v>
      </c>
      <c r="I3963" s="59" t="str">
        <f>IF(OR($A3963="",$C3963="",$D3963="",$E3963="",$H3963=""),"",SUMIFS(DATA_GOC!$H:$H,DATA_GOC!$A:$A,"BOM",DATA_GOC!$D:$D,$H3963,DATA_GOC!$E:$E,$C3963,DATA_GOC!$F:$F,"Xuất nội bộ từ téc",DATA_GOC!$B:$B,"&gt;="&amp;$D3963,DATA_GOC!$B:$B,"&lt;="&amp;$E3963))</f>
        <v/>
      </c>
      <c r="J3963" s="59">
        <f t="shared" si="28"/>
        <v>0</v>
      </c>
      <c r="K3963" s="59">
        <f t="shared" si="29"/>
        <v>0</v>
      </c>
      <c r="L3963" s="59">
        <f t="shared" si="30"/>
        <v>0</v>
      </c>
      <c r="M3963" s="59">
        <f t="shared" si="31"/>
        <v>0</v>
      </c>
    </row>
    <row r="3964" ht="15.0" hidden="1" customHeight="1">
      <c r="A3964" s="59">
        <f t="shared" si="20"/>
        <v>63</v>
      </c>
      <c r="B3964" s="59" t="str">
        <f t="shared" si="21"/>
        <v/>
      </c>
      <c r="C3964" s="59" t="str">
        <f t="shared" si="22"/>
        <v/>
      </c>
      <c r="D3964" s="45" t="str">
        <f t="shared" si="23"/>
        <v/>
      </c>
      <c r="E3964" s="45" t="str">
        <f t="shared" si="24"/>
        <v/>
      </c>
      <c r="F3964" s="59" t="str">
        <f t="shared" si="25"/>
        <v/>
      </c>
      <c r="G3964" s="59" t="str">
        <f t="shared" si="26"/>
        <v/>
      </c>
      <c r="H3964" s="59" t="str">
        <f t="shared" si="27"/>
        <v>28C02410</v>
      </c>
      <c r="I3964" s="59" t="str">
        <f>IF(OR($A3964="",$C3964="",$D3964="",$E3964="",$H3964=""),"",SUMIFS(DATA_GOC!$H:$H,DATA_GOC!$A:$A,"BOM",DATA_GOC!$D:$D,$H3964,DATA_GOC!$E:$E,$C3964,DATA_GOC!$F:$F,"Xuất nội bộ từ téc",DATA_GOC!$B:$B,"&gt;="&amp;$D3964,DATA_GOC!$B:$B,"&lt;="&amp;$E3964))</f>
        <v/>
      </c>
      <c r="J3964" s="59">
        <f t="shared" si="28"/>
        <v>0</v>
      </c>
      <c r="K3964" s="59">
        <f t="shared" si="29"/>
        <v>0</v>
      </c>
      <c r="L3964" s="59">
        <f t="shared" si="30"/>
        <v>0</v>
      </c>
      <c r="M3964" s="59">
        <f t="shared" si="31"/>
        <v>0</v>
      </c>
    </row>
    <row r="3965" ht="15.0" hidden="1" customHeight="1">
      <c r="A3965" s="59">
        <f t="shared" si="20"/>
        <v>63</v>
      </c>
      <c r="B3965" s="59" t="str">
        <f t="shared" si="21"/>
        <v/>
      </c>
      <c r="C3965" s="59" t="str">
        <f t="shared" si="22"/>
        <v/>
      </c>
      <c r="D3965" s="45" t="str">
        <f t="shared" si="23"/>
        <v/>
      </c>
      <c r="E3965" s="45" t="str">
        <f t="shared" si="24"/>
        <v/>
      </c>
      <c r="F3965" s="59" t="str">
        <f t="shared" si="25"/>
        <v/>
      </c>
      <c r="G3965" s="59" t="str">
        <f t="shared" si="26"/>
        <v/>
      </c>
      <c r="H3965" s="59" t="str">
        <f t="shared" si="27"/>
        <v>28C02545</v>
      </c>
      <c r="I3965" s="59" t="str">
        <f>IF(OR($A3965="",$C3965="",$D3965="",$E3965="",$H3965=""),"",SUMIFS(DATA_GOC!$H:$H,DATA_GOC!$A:$A,"BOM",DATA_GOC!$D:$D,$H3965,DATA_GOC!$E:$E,$C3965,DATA_GOC!$F:$F,"Xuất nội bộ từ téc",DATA_GOC!$B:$B,"&gt;="&amp;$D3965,DATA_GOC!$B:$B,"&lt;="&amp;$E3965))</f>
        <v/>
      </c>
      <c r="J3965" s="59">
        <f t="shared" si="28"/>
        <v>0</v>
      </c>
      <c r="K3965" s="59">
        <f t="shared" si="29"/>
        <v>0</v>
      </c>
      <c r="L3965" s="59">
        <f t="shared" si="30"/>
        <v>0</v>
      </c>
      <c r="M3965" s="59">
        <f t="shared" si="31"/>
        <v>0</v>
      </c>
    </row>
    <row r="3966" ht="15.0" hidden="1" customHeight="1">
      <c r="A3966" s="59">
        <f t="shared" si="20"/>
        <v>63</v>
      </c>
      <c r="B3966" s="59" t="str">
        <f t="shared" si="21"/>
        <v/>
      </c>
      <c r="C3966" s="59" t="str">
        <f t="shared" si="22"/>
        <v/>
      </c>
      <c r="D3966" s="45" t="str">
        <f t="shared" si="23"/>
        <v/>
      </c>
      <c r="E3966" s="45" t="str">
        <f t="shared" si="24"/>
        <v/>
      </c>
      <c r="F3966" s="59" t="str">
        <f t="shared" si="25"/>
        <v/>
      </c>
      <c r="G3966" s="59" t="str">
        <f t="shared" si="26"/>
        <v/>
      </c>
      <c r="H3966" s="59" t="str">
        <f t="shared" si="27"/>
        <v>28C02574</v>
      </c>
      <c r="I3966" s="59" t="str">
        <f>IF(OR($A3966="",$C3966="",$D3966="",$E3966="",$H3966=""),"",SUMIFS(DATA_GOC!$H:$H,DATA_GOC!$A:$A,"BOM",DATA_GOC!$D:$D,$H3966,DATA_GOC!$E:$E,$C3966,DATA_GOC!$F:$F,"Xuất nội bộ từ téc",DATA_GOC!$B:$B,"&gt;="&amp;$D3966,DATA_GOC!$B:$B,"&lt;="&amp;$E3966))</f>
        <v/>
      </c>
      <c r="J3966" s="59">
        <f t="shared" si="28"/>
        <v>0</v>
      </c>
      <c r="K3966" s="59">
        <f t="shared" si="29"/>
        <v>0</v>
      </c>
      <c r="L3966" s="59">
        <f t="shared" si="30"/>
        <v>0</v>
      </c>
      <c r="M3966" s="59">
        <f t="shared" si="31"/>
        <v>0</v>
      </c>
    </row>
    <row r="3967" ht="15.0" hidden="1" customHeight="1">
      <c r="A3967" s="59">
        <f t="shared" si="20"/>
        <v>63</v>
      </c>
      <c r="B3967" s="59" t="str">
        <f t="shared" si="21"/>
        <v/>
      </c>
      <c r="C3967" s="59" t="str">
        <f t="shared" si="22"/>
        <v/>
      </c>
      <c r="D3967" s="45" t="str">
        <f t="shared" si="23"/>
        <v/>
      </c>
      <c r="E3967" s="45" t="str">
        <f t="shared" si="24"/>
        <v/>
      </c>
      <c r="F3967" s="59" t="str">
        <f t="shared" si="25"/>
        <v/>
      </c>
      <c r="G3967" s="59" t="str">
        <f t="shared" si="26"/>
        <v/>
      </c>
      <c r="H3967" s="59" t="str">
        <f t="shared" si="27"/>
        <v>28C02770</v>
      </c>
      <c r="I3967" s="59" t="str">
        <f>IF(OR($A3967="",$C3967="",$D3967="",$E3967="",$H3967=""),"",SUMIFS(DATA_GOC!$H:$H,DATA_GOC!$A:$A,"BOM",DATA_GOC!$D:$D,$H3967,DATA_GOC!$E:$E,$C3967,DATA_GOC!$F:$F,"Xuất nội bộ từ téc",DATA_GOC!$B:$B,"&gt;="&amp;$D3967,DATA_GOC!$B:$B,"&lt;="&amp;$E3967))</f>
        <v/>
      </c>
      <c r="J3967" s="59">
        <f t="shared" si="28"/>
        <v>0</v>
      </c>
      <c r="K3967" s="59">
        <f t="shared" si="29"/>
        <v>0</v>
      </c>
      <c r="L3967" s="59">
        <f t="shared" si="30"/>
        <v>0</v>
      </c>
      <c r="M3967" s="59">
        <f t="shared" si="31"/>
        <v>0</v>
      </c>
    </row>
    <row r="3968" ht="15.0" hidden="1" customHeight="1">
      <c r="A3968" s="59">
        <f t="shared" si="20"/>
        <v>63</v>
      </c>
      <c r="B3968" s="59" t="str">
        <f t="shared" si="21"/>
        <v/>
      </c>
      <c r="C3968" s="59" t="str">
        <f t="shared" si="22"/>
        <v/>
      </c>
      <c r="D3968" s="45" t="str">
        <f t="shared" si="23"/>
        <v/>
      </c>
      <c r="E3968" s="45" t="str">
        <f t="shared" si="24"/>
        <v/>
      </c>
      <c r="F3968" s="59" t="str">
        <f t="shared" si="25"/>
        <v/>
      </c>
      <c r="G3968" s="59" t="str">
        <f t="shared" si="26"/>
        <v/>
      </c>
      <c r="H3968" s="59" t="str">
        <f t="shared" si="27"/>
        <v>28C02986</v>
      </c>
      <c r="I3968" s="59" t="str">
        <f>IF(OR($A3968="",$C3968="",$D3968="",$E3968="",$H3968=""),"",SUMIFS(DATA_GOC!$H:$H,DATA_GOC!$A:$A,"BOM",DATA_GOC!$D:$D,$H3968,DATA_GOC!$E:$E,$C3968,DATA_GOC!$F:$F,"Xuất nội bộ từ téc",DATA_GOC!$B:$B,"&gt;="&amp;$D3968,DATA_GOC!$B:$B,"&lt;="&amp;$E3968))</f>
        <v/>
      </c>
      <c r="J3968" s="59">
        <f t="shared" si="28"/>
        <v>0</v>
      </c>
      <c r="K3968" s="59">
        <f t="shared" si="29"/>
        <v>0</v>
      </c>
      <c r="L3968" s="59">
        <f t="shared" si="30"/>
        <v>0</v>
      </c>
      <c r="M3968" s="59">
        <f t="shared" si="31"/>
        <v>0</v>
      </c>
    </row>
    <row r="3969" ht="15.0" hidden="1" customHeight="1">
      <c r="A3969" s="59">
        <f t="shared" si="20"/>
        <v>63</v>
      </c>
      <c r="B3969" s="59" t="str">
        <f t="shared" si="21"/>
        <v/>
      </c>
      <c r="C3969" s="59" t="str">
        <f t="shared" si="22"/>
        <v/>
      </c>
      <c r="D3969" s="45" t="str">
        <f t="shared" si="23"/>
        <v/>
      </c>
      <c r="E3969" s="45" t="str">
        <f t="shared" si="24"/>
        <v/>
      </c>
      <c r="F3969" s="59" t="str">
        <f t="shared" si="25"/>
        <v/>
      </c>
      <c r="G3969" s="59" t="str">
        <f t="shared" si="26"/>
        <v/>
      </c>
      <c r="H3969" s="59" t="str">
        <f t="shared" si="27"/>
        <v>28C03261</v>
      </c>
      <c r="I3969" s="59" t="str">
        <f>IF(OR($A3969="",$C3969="",$D3969="",$E3969="",$H3969=""),"",SUMIFS(DATA_GOC!$H:$H,DATA_GOC!$A:$A,"BOM",DATA_GOC!$D:$D,$H3969,DATA_GOC!$E:$E,$C3969,DATA_GOC!$F:$F,"Xuất nội bộ từ téc",DATA_GOC!$B:$B,"&gt;="&amp;$D3969,DATA_GOC!$B:$B,"&lt;="&amp;$E3969))</f>
        <v/>
      </c>
      <c r="J3969" s="59">
        <f t="shared" si="28"/>
        <v>0</v>
      </c>
      <c r="K3969" s="59">
        <f t="shared" si="29"/>
        <v>0</v>
      </c>
      <c r="L3969" s="59">
        <f t="shared" si="30"/>
        <v>0</v>
      </c>
      <c r="M3969" s="59">
        <f t="shared" si="31"/>
        <v>0</v>
      </c>
    </row>
    <row r="3970" ht="15.0" hidden="1" customHeight="1">
      <c r="A3970" s="59">
        <f t="shared" si="20"/>
        <v>63</v>
      </c>
      <c r="B3970" s="59" t="str">
        <f t="shared" si="21"/>
        <v/>
      </c>
      <c r="C3970" s="59" t="str">
        <f t="shared" si="22"/>
        <v/>
      </c>
      <c r="D3970" s="45" t="str">
        <f t="shared" si="23"/>
        <v/>
      </c>
      <c r="E3970" s="45" t="str">
        <f t="shared" si="24"/>
        <v/>
      </c>
      <c r="F3970" s="59" t="str">
        <f t="shared" si="25"/>
        <v/>
      </c>
      <c r="G3970" s="59" t="str">
        <f t="shared" si="26"/>
        <v/>
      </c>
      <c r="H3970" s="59" t="str">
        <f t="shared" si="27"/>
        <v>28C03323</v>
      </c>
      <c r="I3970" s="59" t="str">
        <f>IF(OR($A3970="",$C3970="",$D3970="",$E3970="",$H3970=""),"",SUMIFS(DATA_GOC!$H:$H,DATA_GOC!$A:$A,"BOM",DATA_GOC!$D:$D,$H3970,DATA_GOC!$E:$E,$C3970,DATA_GOC!$F:$F,"Xuất nội bộ từ téc",DATA_GOC!$B:$B,"&gt;="&amp;$D3970,DATA_GOC!$B:$B,"&lt;="&amp;$E3970))</f>
        <v/>
      </c>
      <c r="J3970" s="59">
        <f t="shared" si="28"/>
        <v>0</v>
      </c>
      <c r="K3970" s="59">
        <f t="shared" si="29"/>
        <v>0</v>
      </c>
      <c r="L3970" s="59">
        <f t="shared" si="30"/>
        <v>0</v>
      </c>
      <c r="M3970" s="59">
        <f t="shared" si="31"/>
        <v>0</v>
      </c>
    </row>
    <row r="3971" ht="15.0" hidden="1" customHeight="1">
      <c r="A3971" s="59">
        <f t="shared" si="20"/>
        <v>63</v>
      </c>
      <c r="B3971" s="59" t="str">
        <f t="shared" si="21"/>
        <v/>
      </c>
      <c r="C3971" s="59" t="str">
        <f t="shared" si="22"/>
        <v/>
      </c>
      <c r="D3971" s="45" t="str">
        <f t="shared" si="23"/>
        <v/>
      </c>
      <c r="E3971" s="45" t="str">
        <f t="shared" si="24"/>
        <v/>
      </c>
      <c r="F3971" s="59" t="str">
        <f t="shared" si="25"/>
        <v/>
      </c>
      <c r="G3971" s="59" t="str">
        <f t="shared" si="26"/>
        <v/>
      </c>
      <c r="H3971" s="59" t="str">
        <f t="shared" si="27"/>
        <v>28C03385</v>
      </c>
      <c r="I3971" s="59" t="str">
        <f>IF(OR($A3971="",$C3971="",$D3971="",$E3971="",$H3971=""),"",SUMIFS(DATA_GOC!$H:$H,DATA_GOC!$A:$A,"BOM",DATA_GOC!$D:$D,$H3971,DATA_GOC!$E:$E,$C3971,DATA_GOC!$F:$F,"Xuất nội bộ từ téc",DATA_GOC!$B:$B,"&gt;="&amp;$D3971,DATA_GOC!$B:$B,"&lt;="&amp;$E3971))</f>
        <v/>
      </c>
      <c r="J3971" s="59">
        <f t="shared" si="28"/>
        <v>0</v>
      </c>
      <c r="K3971" s="59">
        <f t="shared" si="29"/>
        <v>0</v>
      </c>
      <c r="L3971" s="59">
        <f t="shared" si="30"/>
        <v>0</v>
      </c>
      <c r="M3971" s="59">
        <f t="shared" si="31"/>
        <v>0</v>
      </c>
    </row>
    <row r="3972" ht="15.0" hidden="1" customHeight="1">
      <c r="A3972" s="59">
        <f t="shared" si="20"/>
        <v>63</v>
      </c>
      <c r="B3972" s="59" t="str">
        <f t="shared" si="21"/>
        <v/>
      </c>
      <c r="C3972" s="59" t="str">
        <f t="shared" si="22"/>
        <v/>
      </c>
      <c r="D3972" s="45" t="str">
        <f t="shared" si="23"/>
        <v/>
      </c>
      <c r="E3972" s="45" t="str">
        <f t="shared" si="24"/>
        <v/>
      </c>
      <c r="F3972" s="59" t="str">
        <f t="shared" si="25"/>
        <v/>
      </c>
      <c r="G3972" s="59" t="str">
        <f t="shared" si="26"/>
        <v/>
      </c>
      <c r="H3972" s="59" t="str">
        <f t="shared" si="27"/>
        <v>28C03652</v>
      </c>
      <c r="I3972" s="59" t="str">
        <f>IF(OR($A3972="",$C3972="",$D3972="",$E3972="",$H3972=""),"",SUMIFS(DATA_GOC!$H:$H,DATA_GOC!$A:$A,"BOM",DATA_GOC!$D:$D,$H3972,DATA_GOC!$E:$E,$C3972,DATA_GOC!$F:$F,"Xuất nội bộ từ téc",DATA_GOC!$B:$B,"&gt;="&amp;$D3972,DATA_GOC!$B:$B,"&lt;="&amp;$E3972))</f>
        <v/>
      </c>
      <c r="J3972" s="59">
        <f t="shared" si="28"/>
        <v>0</v>
      </c>
      <c r="K3972" s="59">
        <f t="shared" si="29"/>
        <v>0</v>
      </c>
      <c r="L3972" s="59">
        <f t="shared" si="30"/>
        <v>0</v>
      </c>
      <c r="M3972" s="59">
        <f t="shared" si="31"/>
        <v>0</v>
      </c>
    </row>
    <row r="3973" ht="15.0" hidden="1" customHeight="1">
      <c r="A3973" s="59">
        <f t="shared" si="20"/>
        <v>63</v>
      </c>
      <c r="B3973" s="59" t="str">
        <f t="shared" si="21"/>
        <v/>
      </c>
      <c r="C3973" s="59" t="str">
        <f t="shared" si="22"/>
        <v/>
      </c>
      <c r="D3973" s="45" t="str">
        <f t="shared" si="23"/>
        <v/>
      </c>
      <c r="E3973" s="45" t="str">
        <f t="shared" si="24"/>
        <v/>
      </c>
      <c r="F3973" s="59" t="str">
        <f t="shared" si="25"/>
        <v/>
      </c>
      <c r="G3973" s="59" t="str">
        <f t="shared" si="26"/>
        <v/>
      </c>
      <c r="H3973" s="59" t="str">
        <f t="shared" si="27"/>
        <v>28C03695</v>
      </c>
      <c r="I3973" s="59" t="str">
        <f>IF(OR($A3973="",$C3973="",$D3973="",$E3973="",$H3973=""),"",SUMIFS(DATA_GOC!$H:$H,DATA_GOC!$A:$A,"BOM",DATA_GOC!$D:$D,$H3973,DATA_GOC!$E:$E,$C3973,DATA_GOC!$F:$F,"Xuất nội bộ từ téc",DATA_GOC!$B:$B,"&gt;="&amp;$D3973,DATA_GOC!$B:$B,"&lt;="&amp;$E3973))</f>
        <v/>
      </c>
      <c r="J3973" s="59">
        <f t="shared" si="28"/>
        <v>0</v>
      </c>
      <c r="K3973" s="59">
        <f t="shared" si="29"/>
        <v>0</v>
      </c>
      <c r="L3973" s="59">
        <f t="shared" si="30"/>
        <v>0</v>
      </c>
      <c r="M3973" s="59">
        <f t="shared" si="31"/>
        <v>0</v>
      </c>
    </row>
    <row r="3974" ht="15.0" hidden="1" customHeight="1">
      <c r="A3974" s="59">
        <f t="shared" si="20"/>
        <v>63</v>
      </c>
      <c r="B3974" s="59" t="str">
        <f t="shared" si="21"/>
        <v/>
      </c>
      <c r="C3974" s="59" t="str">
        <f t="shared" si="22"/>
        <v/>
      </c>
      <c r="D3974" s="45" t="str">
        <f t="shared" si="23"/>
        <v/>
      </c>
      <c r="E3974" s="45" t="str">
        <f t="shared" si="24"/>
        <v/>
      </c>
      <c r="F3974" s="59" t="str">
        <f t="shared" si="25"/>
        <v/>
      </c>
      <c r="G3974" s="59" t="str">
        <f t="shared" si="26"/>
        <v/>
      </c>
      <c r="H3974" s="59" t="str">
        <f t="shared" si="27"/>
        <v>28C03927</v>
      </c>
      <c r="I3974" s="59" t="str">
        <f>IF(OR($A3974="",$C3974="",$D3974="",$E3974="",$H3974=""),"",SUMIFS(DATA_GOC!$H:$H,DATA_GOC!$A:$A,"BOM",DATA_GOC!$D:$D,$H3974,DATA_GOC!$E:$E,$C3974,DATA_GOC!$F:$F,"Xuất nội bộ từ téc",DATA_GOC!$B:$B,"&gt;="&amp;$D3974,DATA_GOC!$B:$B,"&lt;="&amp;$E3974))</f>
        <v/>
      </c>
      <c r="J3974" s="59">
        <f t="shared" si="28"/>
        <v>0</v>
      </c>
      <c r="K3974" s="59">
        <f t="shared" si="29"/>
        <v>0</v>
      </c>
      <c r="L3974" s="59">
        <f t="shared" si="30"/>
        <v>0</v>
      </c>
      <c r="M3974" s="59">
        <f t="shared" si="31"/>
        <v>0</v>
      </c>
    </row>
    <row r="3975" ht="15.0" hidden="1" customHeight="1">
      <c r="A3975" s="59">
        <f t="shared" si="20"/>
        <v>63</v>
      </c>
      <c r="B3975" s="59" t="str">
        <f t="shared" si="21"/>
        <v/>
      </c>
      <c r="C3975" s="59" t="str">
        <f t="shared" si="22"/>
        <v/>
      </c>
      <c r="D3975" s="45" t="str">
        <f t="shared" si="23"/>
        <v/>
      </c>
      <c r="E3975" s="45" t="str">
        <f t="shared" si="24"/>
        <v/>
      </c>
      <c r="F3975" s="59" t="str">
        <f t="shared" si="25"/>
        <v/>
      </c>
      <c r="G3975" s="59" t="str">
        <f t="shared" si="26"/>
        <v/>
      </c>
      <c r="H3975" s="59" t="str">
        <f t="shared" si="27"/>
        <v>28C04509</v>
      </c>
      <c r="I3975" s="59" t="str">
        <f>IF(OR($A3975="",$C3975="",$D3975="",$E3975="",$H3975=""),"",SUMIFS(DATA_GOC!$H:$H,DATA_GOC!$A:$A,"BOM",DATA_GOC!$D:$D,$H3975,DATA_GOC!$E:$E,$C3975,DATA_GOC!$F:$F,"Xuất nội bộ từ téc",DATA_GOC!$B:$B,"&gt;="&amp;$D3975,DATA_GOC!$B:$B,"&lt;="&amp;$E3975))</f>
        <v/>
      </c>
      <c r="J3975" s="59">
        <f t="shared" si="28"/>
        <v>0</v>
      </c>
      <c r="K3975" s="59">
        <f t="shared" si="29"/>
        <v>0</v>
      </c>
      <c r="L3975" s="59">
        <f t="shared" si="30"/>
        <v>0</v>
      </c>
      <c r="M3975" s="59">
        <f t="shared" si="31"/>
        <v>0</v>
      </c>
    </row>
    <row r="3976" ht="15.0" hidden="1" customHeight="1">
      <c r="A3976" s="59">
        <f t="shared" si="20"/>
        <v>63</v>
      </c>
      <c r="B3976" s="59" t="str">
        <f t="shared" si="21"/>
        <v/>
      </c>
      <c r="C3976" s="59" t="str">
        <f t="shared" si="22"/>
        <v/>
      </c>
      <c r="D3976" s="45" t="str">
        <f t="shared" si="23"/>
        <v/>
      </c>
      <c r="E3976" s="45" t="str">
        <f t="shared" si="24"/>
        <v/>
      </c>
      <c r="F3976" s="59" t="str">
        <f t="shared" si="25"/>
        <v/>
      </c>
      <c r="G3976" s="59" t="str">
        <f t="shared" si="26"/>
        <v/>
      </c>
      <c r="H3976" s="59" t="str">
        <f t="shared" si="27"/>
        <v>28C04536</v>
      </c>
      <c r="I3976" s="59" t="str">
        <f>IF(OR($A3976="",$C3976="",$D3976="",$E3976="",$H3976=""),"",SUMIFS(DATA_GOC!$H:$H,DATA_GOC!$A:$A,"BOM",DATA_GOC!$D:$D,$H3976,DATA_GOC!$E:$E,$C3976,DATA_GOC!$F:$F,"Xuất nội bộ từ téc",DATA_GOC!$B:$B,"&gt;="&amp;$D3976,DATA_GOC!$B:$B,"&lt;="&amp;$E3976))</f>
        <v/>
      </c>
      <c r="J3976" s="59">
        <f t="shared" si="28"/>
        <v>0</v>
      </c>
      <c r="K3976" s="59">
        <f t="shared" si="29"/>
        <v>0</v>
      </c>
      <c r="L3976" s="59">
        <f t="shared" si="30"/>
        <v>0</v>
      </c>
      <c r="M3976" s="59">
        <f t="shared" si="31"/>
        <v>0</v>
      </c>
    </row>
    <row r="3977" ht="15.0" hidden="1" customHeight="1">
      <c r="A3977" s="59">
        <f t="shared" si="20"/>
        <v>63</v>
      </c>
      <c r="B3977" s="59" t="str">
        <f t="shared" si="21"/>
        <v/>
      </c>
      <c r="C3977" s="59" t="str">
        <f t="shared" si="22"/>
        <v/>
      </c>
      <c r="D3977" s="45" t="str">
        <f t="shared" si="23"/>
        <v/>
      </c>
      <c r="E3977" s="45" t="str">
        <f t="shared" si="24"/>
        <v/>
      </c>
      <c r="F3977" s="59" t="str">
        <f t="shared" si="25"/>
        <v/>
      </c>
      <c r="G3977" s="59" t="str">
        <f t="shared" si="26"/>
        <v/>
      </c>
      <c r="H3977" s="59" t="str">
        <f t="shared" si="27"/>
        <v>28C04576</v>
      </c>
      <c r="I3977" s="59" t="str">
        <f>IF(OR($A3977="",$C3977="",$D3977="",$E3977="",$H3977=""),"",SUMIFS(DATA_GOC!$H:$H,DATA_GOC!$A:$A,"BOM",DATA_GOC!$D:$D,$H3977,DATA_GOC!$E:$E,$C3977,DATA_GOC!$F:$F,"Xuất nội bộ từ téc",DATA_GOC!$B:$B,"&gt;="&amp;$D3977,DATA_GOC!$B:$B,"&lt;="&amp;$E3977))</f>
        <v/>
      </c>
      <c r="J3977" s="59">
        <f t="shared" si="28"/>
        <v>0</v>
      </c>
      <c r="K3977" s="59">
        <f t="shared" si="29"/>
        <v>0</v>
      </c>
      <c r="L3977" s="59">
        <f t="shared" si="30"/>
        <v>0</v>
      </c>
      <c r="M3977" s="59">
        <f t="shared" si="31"/>
        <v>0</v>
      </c>
    </row>
    <row r="3978" ht="15.0" hidden="1" customHeight="1">
      <c r="A3978" s="59">
        <f t="shared" si="20"/>
        <v>63</v>
      </c>
      <c r="B3978" s="59" t="str">
        <f t="shared" si="21"/>
        <v/>
      </c>
      <c r="C3978" s="59" t="str">
        <f t="shared" si="22"/>
        <v/>
      </c>
      <c r="D3978" s="45" t="str">
        <f t="shared" si="23"/>
        <v/>
      </c>
      <c r="E3978" s="45" t="str">
        <f t="shared" si="24"/>
        <v/>
      </c>
      <c r="F3978" s="59" t="str">
        <f t="shared" si="25"/>
        <v/>
      </c>
      <c r="G3978" s="59" t="str">
        <f t="shared" si="26"/>
        <v/>
      </c>
      <c r="H3978" s="59" t="str">
        <f t="shared" si="27"/>
        <v>28C05090</v>
      </c>
      <c r="I3978" s="59" t="str">
        <f>IF(OR($A3978="",$C3978="",$D3978="",$E3978="",$H3978=""),"",SUMIFS(DATA_GOC!$H:$H,DATA_GOC!$A:$A,"BOM",DATA_GOC!$D:$D,$H3978,DATA_GOC!$E:$E,$C3978,DATA_GOC!$F:$F,"Xuất nội bộ từ téc",DATA_GOC!$B:$B,"&gt;="&amp;$D3978,DATA_GOC!$B:$B,"&lt;="&amp;$E3978))</f>
        <v/>
      </c>
      <c r="J3978" s="59">
        <f t="shared" si="28"/>
        <v>0</v>
      </c>
      <c r="K3978" s="59">
        <f t="shared" si="29"/>
        <v>0</v>
      </c>
      <c r="L3978" s="59">
        <f t="shared" si="30"/>
        <v>0</v>
      </c>
      <c r="M3978" s="59">
        <f t="shared" si="31"/>
        <v>0</v>
      </c>
    </row>
    <row r="3979" ht="15.0" hidden="1" customHeight="1">
      <c r="A3979" s="59">
        <f t="shared" si="20"/>
        <v>63</v>
      </c>
      <c r="B3979" s="59" t="str">
        <f t="shared" si="21"/>
        <v/>
      </c>
      <c r="C3979" s="59" t="str">
        <f t="shared" si="22"/>
        <v/>
      </c>
      <c r="D3979" s="45" t="str">
        <f t="shared" si="23"/>
        <v/>
      </c>
      <c r="E3979" s="45" t="str">
        <f t="shared" si="24"/>
        <v/>
      </c>
      <c r="F3979" s="59" t="str">
        <f t="shared" si="25"/>
        <v/>
      </c>
      <c r="G3979" s="59" t="str">
        <f t="shared" si="26"/>
        <v/>
      </c>
      <c r="H3979" s="59" t="str">
        <f t="shared" si="27"/>
        <v>28C05345</v>
      </c>
      <c r="I3979" s="59" t="str">
        <f>IF(OR($A3979="",$C3979="",$D3979="",$E3979="",$H3979=""),"",SUMIFS(DATA_GOC!$H:$H,DATA_GOC!$A:$A,"BOM",DATA_GOC!$D:$D,$H3979,DATA_GOC!$E:$E,$C3979,DATA_GOC!$F:$F,"Xuất nội bộ từ téc",DATA_GOC!$B:$B,"&gt;="&amp;$D3979,DATA_GOC!$B:$B,"&lt;="&amp;$E3979))</f>
        <v/>
      </c>
      <c r="J3979" s="59">
        <f t="shared" si="28"/>
        <v>0</v>
      </c>
      <c r="K3979" s="59">
        <f t="shared" si="29"/>
        <v>0</v>
      </c>
      <c r="L3979" s="59">
        <f t="shared" si="30"/>
        <v>0</v>
      </c>
      <c r="M3979" s="59">
        <f t="shared" si="31"/>
        <v>0</v>
      </c>
    </row>
    <row r="3980" ht="15.0" hidden="1" customHeight="1">
      <c r="A3980" s="59">
        <f t="shared" si="20"/>
        <v>63</v>
      </c>
      <c r="B3980" s="59" t="str">
        <f t="shared" si="21"/>
        <v/>
      </c>
      <c r="C3980" s="59" t="str">
        <f t="shared" si="22"/>
        <v/>
      </c>
      <c r="D3980" s="45" t="str">
        <f t="shared" si="23"/>
        <v/>
      </c>
      <c r="E3980" s="45" t="str">
        <f t="shared" si="24"/>
        <v/>
      </c>
      <c r="F3980" s="59" t="str">
        <f t="shared" si="25"/>
        <v/>
      </c>
      <c r="G3980" s="59" t="str">
        <f t="shared" si="26"/>
        <v/>
      </c>
      <c r="H3980" s="59" t="str">
        <f t="shared" si="27"/>
        <v>28C05661</v>
      </c>
      <c r="I3980" s="59" t="str">
        <f>IF(OR($A3980="",$C3980="",$D3980="",$E3980="",$H3980=""),"",SUMIFS(DATA_GOC!$H:$H,DATA_GOC!$A:$A,"BOM",DATA_GOC!$D:$D,$H3980,DATA_GOC!$E:$E,$C3980,DATA_GOC!$F:$F,"Xuất nội bộ từ téc",DATA_GOC!$B:$B,"&gt;="&amp;$D3980,DATA_GOC!$B:$B,"&lt;="&amp;$E3980))</f>
        <v/>
      </c>
      <c r="J3980" s="59">
        <f t="shared" si="28"/>
        <v>0</v>
      </c>
      <c r="K3980" s="59">
        <f t="shared" si="29"/>
        <v>0</v>
      </c>
      <c r="L3980" s="59">
        <f t="shared" si="30"/>
        <v>0</v>
      </c>
      <c r="M3980" s="59">
        <f t="shared" si="31"/>
        <v>0</v>
      </c>
    </row>
    <row r="3981" ht="15.0" hidden="1" customHeight="1">
      <c r="A3981" s="59">
        <f t="shared" si="20"/>
        <v>63</v>
      </c>
      <c r="B3981" s="59" t="str">
        <f t="shared" si="21"/>
        <v/>
      </c>
      <c r="C3981" s="59" t="str">
        <f t="shared" si="22"/>
        <v/>
      </c>
      <c r="D3981" s="45" t="str">
        <f t="shared" si="23"/>
        <v/>
      </c>
      <c r="E3981" s="45" t="str">
        <f t="shared" si="24"/>
        <v/>
      </c>
      <c r="F3981" s="59" t="str">
        <f t="shared" si="25"/>
        <v/>
      </c>
      <c r="G3981" s="59" t="str">
        <f t="shared" si="26"/>
        <v/>
      </c>
      <c r="H3981" s="59" t="str">
        <f t="shared" si="27"/>
        <v>28C05739</v>
      </c>
      <c r="I3981" s="59" t="str">
        <f>IF(OR($A3981="",$C3981="",$D3981="",$E3981="",$H3981=""),"",SUMIFS(DATA_GOC!$H:$H,DATA_GOC!$A:$A,"BOM",DATA_GOC!$D:$D,$H3981,DATA_GOC!$E:$E,$C3981,DATA_GOC!$F:$F,"Xuất nội bộ từ téc",DATA_GOC!$B:$B,"&gt;="&amp;$D3981,DATA_GOC!$B:$B,"&lt;="&amp;$E3981))</f>
        <v/>
      </c>
      <c r="J3981" s="59">
        <f t="shared" si="28"/>
        <v>0</v>
      </c>
      <c r="K3981" s="59">
        <f t="shared" si="29"/>
        <v>0</v>
      </c>
      <c r="L3981" s="59">
        <f t="shared" si="30"/>
        <v>0</v>
      </c>
      <c r="M3981" s="59">
        <f t="shared" si="31"/>
        <v>0</v>
      </c>
    </row>
    <row r="3982" ht="15.0" hidden="1" customHeight="1">
      <c r="A3982" s="59">
        <f t="shared" si="20"/>
        <v>63</v>
      </c>
      <c r="B3982" s="59" t="str">
        <f t="shared" si="21"/>
        <v/>
      </c>
      <c r="C3982" s="59" t="str">
        <f t="shared" si="22"/>
        <v/>
      </c>
      <c r="D3982" s="45" t="str">
        <f t="shared" si="23"/>
        <v/>
      </c>
      <c r="E3982" s="45" t="str">
        <f t="shared" si="24"/>
        <v/>
      </c>
      <c r="F3982" s="59" t="str">
        <f t="shared" si="25"/>
        <v/>
      </c>
      <c r="G3982" s="59" t="str">
        <f t="shared" si="26"/>
        <v/>
      </c>
      <c r="H3982" s="59" t="str">
        <f t="shared" si="27"/>
        <v>28C06369</v>
      </c>
      <c r="I3982" s="59" t="str">
        <f>IF(OR($A3982="",$C3982="",$D3982="",$E3982="",$H3982=""),"",SUMIFS(DATA_GOC!$H:$H,DATA_GOC!$A:$A,"BOM",DATA_GOC!$D:$D,$H3982,DATA_GOC!$E:$E,$C3982,DATA_GOC!$F:$F,"Xuất nội bộ từ téc",DATA_GOC!$B:$B,"&gt;="&amp;$D3982,DATA_GOC!$B:$B,"&lt;="&amp;$E3982))</f>
        <v/>
      </c>
      <c r="J3982" s="59">
        <f t="shared" si="28"/>
        <v>0</v>
      </c>
      <c r="K3982" s="59">
        <f t="shared" si="29"/>
        <v>0</v>
      </c>
      <c r="L3982" s="59">
        <f t="shared" si="30"/>
        <v>0</v>
      </c>
      <c r="M3982" s="59">
        <f t="shared" si="31"/>
        <v>0</v>
      </c>
    </row>
    <row r="3983" ht="15.0" hidden="1" customHeight="1">
      <c r="A3983" s="59">
        <f t="shared" si="20"/>
        <v>63</v>
      </c>
      <c r="B3983" s="59" t="str">
        <f t="shared" si="21"/>
        <v/>
      </c>
      <c r="C3983" s="59" t="str">
        <f t="shared" si="22"/>
        <v/>
      </c>
      <c r="D3983" s="45" t="str">
        <f t="shared" si="23"/>
        <v/>
      </c>
      <c r="E3983" s="45" t="str">
        <f t="shared" si="24"/>
        <v/>
      </c>
      <c r="F3983" s="59" t="str">
        <f t="shared" si="25"/>
        <v/>
      </c>
      <c r="G3983" s="59" t="str">
        <f t="shared" si="26"/>
        <v/>
      </c>
      <c r="H3983" s="59" t="str">
        <f t="shared" si="27"/>
        <v>28C06447</v>
      </c>
      <c r="I3983" s="59" t="str">
        <f>IF(OR($A3983="",$C3983="",$D3983="",$E3983="",$H3983=""),"",SUMIFS(DATA_GOC!$H:$H,DATA_GOC!$A:$A,"BOM",DATA_GOC!$D:$D,$H3983,DATA_GOC!$E:$E,$C3983,DATA_GOC!$F:$F,"Xuất nội bộ từ téc",DATA_GOC!$B:$B,"&gt;="&amp;$D3983,DATA_GOC!$B:$B,"&lt;="&amp;$E3983))</f>
        <v/>
      </c>
      <c r="J3983" s="59">
        <f t="shared" si="28"/>
        <v>0</v>
      </c>
      <c r="K3983" s="59">
        <f t="shared" si="29"/>
        <v>0</v>
      </c>
      <c r="L3983" s="59">
        <f t="shared" si="30"/>
        <v>0</v>
      </c>
      <c r="M3983" s="59">
        <f t="shared" si="31"/>
        <v>0</v>
      </c>
    </row>
    <row r="3984" ht="15.0" hidden="1" customHeight="1">
      <c r="A3984" s="59">
        <f t="shared" si="20"/>
        <v>63</v>
      </c>
      <c r="B3984" s="59" t="str">
        <f t="shared" si="21"/>
        <v/>
      </c>
      <c r="C3984" s="59" t="str">
        <f t="shared" si="22"/>
        <v/>
      </c>
      <c r="D3984" s="45" t="str">
        <f t="shared" si="23"/>
        <v/>
      </c>
      <c r="E3984" s="45" t="str">
        <f t="shared" si="24"/>
        <v/>
      </c>
      <c r="F3984" s="59" t="str">
        <f t="shared" si="25"/>
        <v/>
      </c>
      <c r="G3984" s="59" t="str">
        <f t="shared" si="26"/>
        <v/>
      </c>
      <c r="H3984" s="59" t="str">
        <f t="shared" si="27"/>
        <v>28H00003</v>
      </c>
      <c r="I3984" s="59" t="str">
        <f>IF(OR($A3984="",$C3984="",$D3984="",$E3984="",$H3984=""),"",SUMIFS(DATA_GOC!$H:$H,DATA_GOC!$A:$A,"BOM",DATA_GOC!$D:$D,$H3984,DATA_GOC!$E:$E,$C3984,DATA_GOC!$F:$F,"Xuất nội bộ từ téc",DATA_GOC!$B:$B,"&gt;="&amp;$D3984,DATA_GOC!$B:$B,"&lt;="&amp;$E3984))</f>
        <v/>
      </c>
      <c r="J3984" s="59">
        <f t="shared" si="28"/>
        <v>0</v>
      </c>
      <c r="K3984" s="59">
        <f t="shared" si="29"/>
        <v>0</v>
      </c>
      <c r="L3984" s="59">
        <f t="shared" si="30"/>
        <v>0</v>
      </c>
      <c r="M3984" s="59">
        <f t="shared" si="31"/>
        <v>0</v>
      </c>
    </row>
    <row r="3985" ht="15.0" hidden="1" customHeight="1">
      <c r="A3985" s="59">
        <f t="shared" si="20"/>
        <v>63</v>
      </c>
      <c r="B3985" s="59" t="str">
        <f t="shared" si="21"/>
        <v/>
      </c>
      <c r="C3985" s="59" t="str">
        <f t="shared" si="22"/>
        <v/>
      </c>
      <c r="D3985" s="45" t="str">
        <f t="shared" si="23"/>
        <v/>
      </c>
      <c r="E3985" s="45" t="str">
        <f t="shared" si="24"/>
        <v/>
      </c>
      <c r="F3985" s="59" t="str">
        <f t="shared" si="25"/>
        <v/>
      </c>
      <c r="G3985" s="59" t="str">
        <f t="shared" si="26"/>
        <v/>
      </c>
      <c r="H3985" s="59" t="str">
        <f t="shared" si="27"/>
        <v>28H00061</v>
      </c>
      <c r="I3985" s="59" t="str">
        <f>IF(OR($A3985="",$C3985="",$D3985="",$E3985="",$H3985=""),"",SUMIFS(DATA_GOC!$H:$H,DATA_GOC!$A:$A,"BOM",DATA_GOC!$D:$D,$H3985,DATA_GOC!$E:$E,$C3985,DATA_GOC!$F:$F,"Xuất nội bộ từ téc",DATA_GOC!$B:$B,"&gt;="&amp;$D3985,DATA_GOC!$B:$B,"&lt;="&amp;$E3985))</f>
        <v/>
      </c>
      <c r="J3985" s="59">
        <f t="shared" si="28"/>
        <v>0</v>
      </c>
      <c r="K3985" s="59">
        <f t="shared" si="29"/>
        <v>0</v>
      </c>
      <c r="L3985" s="59">
        <f t="shared" si="30"/>
        <v>0</v>
      </c>
      <c r="M3985" s="59">
        <f t="shared" si="31"/>
        <v>0</v>
      </c>
    </row>
    <row r="3986" ht="15.0" hidden="1" customHeight="1">
      <c r="A3986" s="59">
        <f t="shared" si="20"/>
        <v>63</v>
      </c>
      <c r="B3986" s="59" t="str">
        <f t="shared" si="21"/>
        <v/>
      </c>
      <c r="C3986" s="59" t="str">
        <f t="shared" si="22"/>
        <v/>
      </c>
      <c r="D3986" s="45" t="str">
        <f t="shared" si="23"/>
        <v/>
      </c>
      <c r="E3986" s="45" t="str">
        <f t="shared" si="24"/>
        <v/>
      </c>
      <c r="F3986" s="59" t="str">
        <f t="shared" si="25"/>
        <v/>
      </c>
      <c r="G3986" s="59" t="str">
        <f t="shared" si="26"/>
        <v/>
      </c>
      <c r="H3986" s="59" t="str">
        <f t="shared" si="27"/>
        <v>28H00354</v>
      </c>
      <c r="I3986" s="59" t="str">
        <f>IF(OR($A3986="",$C3986="",$D3986="",$E3986="",$H3986=""),"",SUMIFS(DATA_GOC!$H:$H,DATA_GOC!$A:$A,"BOM",DATA_GOC!$D:$D,$H3986,DATA_GOC!$E:$E,$C3986,DATA_GOC!$F:$F,"Xuất nội bộ từ téc",DATA_GOC!$B:$B,"&gt;="&amp;$D3986,DATA_GOC!$B:$B,"&lt;="&amp;$E3986))</f>
        <v/>
      </c>
      <c r="J3986" s="59">
        <f t="shared" si="28"/>
        <v>0</v>
      </c>
      <c r="K3986" s="59">
        <f t="shared" si="29"/>
        <v>0</v>
      </c>
      <c r="L3986" s="59">
        <f t="shared" si="30"/>
        <v>0</v>
      </c>
      <c r="M3986" s="59">
        <f t="shared" si="31"/>
        <v>0</v>
      </c>
    </row>
    <row r="3987" ht="15.0" hidden="1" customHeight="1">
      <c r="A3987" s="59">
        <f t="shared" si="20"/>
        <v>63</v>
      </c>
      <c r="B3987" s="59" t="str">
        <f t="shared" si="21"/>
        <v/>
      </c>
      <c r="C3987" s="59" t="str">
        <f t="shared" si="22"/>
        <v/>
      </c>
      <c r="D3987" s="45" t="str">
        <f t="shared" si="23"/>
        <v/>
      </c>
      <c r="E3987" s="45" t="str">
        <f t="shared" si="24"/>
        <v/>
      </c>
      <c r="F3987" s="59" t="str">
        <f t="shared" si="25"/>
        <v/>
      </c>
      <c r="G3987" s="59" t="str">
        <f t="shared" si="26"/>
        <v/>
      </c>
      <c r="H3987" s="59" t="str">
        <f t="shared" si="27"/>
        <v>28H00603</v>
      </c>
      <c r="I3987" s="59" t="str">
        <f>IF(OR($A3987="",$C3987="",$D3987="",$E3987="",$H3987=""),"",SUMIFS(DATA_GOC!$H:$H,DATA_GOC!$A:$A,"BOM",DATA_GOC!$D:$D,$H3987,DATA_GOC!$E:$E,$C3987,DATA_GOC!$F:$F,"Xuất nội bộ từ téc",DATA_GOC!$B:$B,"&gt;="&amp;$D3987,DATA_GOC!$B:$B,"&lt;="&amp;$E3987))</f>
        <v/>
      </c>
      <c r="J3987" s="59">
        <f t="shared" si="28"/>
        <v>0</v>
      </c>
      <c r="K3987" s="59">
        <f t="shared" si="29"/>
        <v>0</v>
      </c>
      <c r="L3987" s="59">
        <f t="shared" si="30"/>
        <v>0</v>
      </c>
      <c r="M3987" s="59">
        <f t="shared" si="31"/>
        <v>0</v>
      </c>
    </row>
    <row r="3988" ht="15.0" hidden="1" customHeight="1">
      <c r="A3988" s="59">
        <f t="shared" si="20"/>
        <v>63</v>
      </c>
      <c r="B3988" s="59" t="str">
        <f t="shared" si="21"/>
        <v/>
      </c>
      <c r="C3988" s="59" t="str">
        <f t="shared" si="22"/>
        <v/>
      </c>
      <c r="D3988" s="45" t="str">
        <f t="shared" si="23"/>
        <v/>
      </c>
      <c r="E3988" s="45" t="str">
        <f t="shared" si="24"/>
        <v/>
      </c>
      <c r="F3988" s="59" t="str">
        <f t="shared" si="25"/>
        <v/>
      </c>
      <c r="G3988" s="59" t="str">
        <f t="shared" si="26"/>
        <v/>
      </c>
      <c r="H3988" s="59" t="str">
        <f t="shared" si="27"/>
        <v>28H00609</v>
      </c>
      <c r="I3988" s="59" t="str">
        <f>IF(OR($A3988="",$C3988="",$D3988="",$E3988="",$H3988=""),"",SUMIFS(DATA_GOC!$H:$H,DATA_GOC!$A:$A,"BOM",DATA_GOC!$D:$D,$H3988,DATA_GOC!$E:$E,$C3988,DATA_GOC!$F:$F,"Xuất nội bộ từ téc",DATA_GOC!$B:$B,"&gt;="&amp;$D3988,DATA_GOC!$B:$B,"&lt;="&amp;$E3988))</f>
        <v/>
      </c>
      <c r="J3988" s="59">
        <f t="shared" si="28"/>
        <v>0</v>
      </c>
      <c r="K3988" s="59">
        <f t="shared" si="29"/>
        <v>0</v>
      </c>
      <c r="L3988" s="59">
        <f t="shared" si="30"/>
        <v>0</v>
      </c>
      <c r="M3988" s="59">
        <f t="shared" si="31"/>
        <v>0</v>
      </c>
    </row>
    <row r="3989" ht="15.0" hidden="1" customHeight="1">
      <c r="A3989" s="59">
        <f t="shared" si="20"/>
        <v>63</v>
      </c>
      <c r="B3989" s="59" t="str">
        <f t="shared" si="21"/>
        <v/>
      </c>
      <c r="C3989" s="59" t="str">
        <f t="shared" si="22"/>
        <v/>
      </c>
      <c r="D3989" s="45" t="str">
        <f t="shared" si="23"/>
        <v/>
      </c>
      <c r="E3989" s="45" t="str">
        <f t="shared" si="24"/>
        <v/>
      </c>
      <c r="F3989" s="59" t="str">
        <f t="shared" si="25"/>
        <v/>
      </c>
      <c r="G3989" s="59" t="str">
        <f t="shared" si="26"/>
        <v/>
      </c>
      <c r="H3989" s="59" t="str">
        <f t="shared" si="27"/>
        <v>28H00669</v>
      </c>
      <c r="I3989" s="59" t="str">
        <f>IF(OR($A3989="",$C3989="",$D3989="",$E3989="",$H3989=""),"",SUMIFS(DATA_GOC!$H:$H,DATA_GOC!$A:$A,"BOM",DATA_GOC!$D:$D,$H3989,DATA_GOC!$E:$E,$C3989,DATA_GOC!$F:$F,"Xuất nội bộ từ téc",DATA_GOC!$B:$B,"&gt;="&amp;$D3989,DATA_GOC!$B:$B,"&lt;="&amp;$E3989))</f>
        <v/>
      </c>
      <c r="J3989" s="59">
        <f t="shared" si="28"/>
        <v>0</v>
      </c>
      <c r="K3989" s="59">
        <f t="shared" si="29"/>
        <v>0</v>
      </c>
      <c r="L3989" s="59">
        <f t="shared" si="30"/>
        <v>0</v>
      </c>
      <c r="M3989" s="59">
        <f t="shared" si="31"/>
        <v>0</v>
      </c>
    </row>
    <row r="3990" ht="15.0" hidden="1" customHeight="1">
      <c r="A3990" s="59">
        <f t="shared" si="20"/>
        <v>63</v>
      </c>
      <c r="B3990" s="59" t="str">
        <f t="shared" si="21"/>
        <v/>
      </c>
      <c r="C3990" s="59" t="str">
        <f t="shared" si="22"/>
        <v/>
      </c>
      <c r="D3990" s="45" t="str">
        <f t="shared" si="23"/>
        <v/>
      </c>
      <c r="E3990" s="45" t="str">
        <f t="shared" si="24"/>
        <v/>
      </c>
      <c r="F3990" s="59" t="str">
        <f t="shared" si="25"/>
        <v/>
      </c>
      <c r="G3990" s="59" t="str">
        <f t="shared" si="26"/>
        <v/>
      </c>
      <c r="H3990" s="59" t="str">
        <f t="shared" si="27"/>
        <v>28H00680</v>
      </c>
      <c r="I3990" s="59" t="str">
        <f>IF(OR($A3990="",$C3990="",$D3990="",$E3990="",$H3990=""),"",SUMIFS(DATA_GOC!$H:$H,DATA_GOC!$A:$A,"BOM",DATA_GOC!$D:$D,$H3990,DATA_GOC!$E:$E,$C3990,DATA_GOC!$F:$F,"Xuất nội bộ từ téc",DATA_GOC!$B:$B,"&gt;="&amp;$D3990,DATA_GOC!$B:$B,"&lt;="&amp;$E3990))</f>
        <v/>
      </c>
      <c r="J3990" s="59">
        <f t="shared" si="28"/>
        <v>0</v>
      </c>
      <c r="K3990" s="59">
        <f t="shared" si="29"/>
        <v>0</v>
      </c>
      <c r="L3990" s="59">
        <f t="shared" si="30"/>
        <v>0</v>
      </c>
      <c r="M3990" s="59">
        <f t="shared" si="31"/>
        <v>0</v>
      </c>
    </row>
    <row r="3991" ht="15.0" hidden="1" customHeight="1">
      <c r="A3991" s="59">
        <f t="shared" si="20"/>
        <v>63</v>
      </c>
      <c r="B3991" s="59" t="str">
        <f t="shared" si="21"/>
        <v/>
      </c>
      <c r="C3991" s="59" t="str">
        <f t="shared" si="22"/>
        <v/>
      </c>
      <c r="D3991" s="45" t="str">
        <f t="shared" si="23"/>
        <v/>
      </c>
      <c r="E3991" s="45" t="str">
        <f t="shared" si="24"/>
        <v/>
      </c>
      <c r="F3991" s="59" t="str">
        <f t="shared" si="25"/>
        <v/>
      </c>
      <c r="G3991" s="59" t="str">
        <f t="shared" si="26"/>
        <v/>
      </c>
      <c r="H3991" s="59" t="str">
        <f t="shared" si="27"/>
        <v>28H01070</v>
      </c>
      <c r="I3991" s="59" t="str">
        <f>IF(OR($A3991="",$C3991="",$D3991="",$E3991="",$H3991=""),"",SUMIFS(DATA_GOC!$H:$H,DATA_GOC!$A:$A,"BOM",DATA_GOC!$D:$D,$H3991,DATA_GOC!$E:$E,$C3991,DATA_GOC!$F:$F,"Xuất nội bộ từ téc",DATA_GOC!$B:$B,"&gt;="&amp;$D3991,DATA_GOC!$B:$B,"&lt;="&amp;$E3991))</f>
        <v/>
      </c>
      <c r="J3991" s="59">
        <f t="shared" si="28"/>
        <v>0</v>
      </c>
      <c r="K3991" s="59">
        <f t="shared" si="29"/>
        <v>0</v>
      </c>
      <c r="L3991" s="59">
        <f t="shared" si="30"/>
        <v>0</v>
      </c>
      <c r="M3991" s="59">
        <f t="shared" si="31"/>
        <v>0</v>
      </c>
    </row>
    <row r="3992" ht="15.0" hidden="1" customHeight="1">
      <c r="A3992" s="59">
        <f t="shared" si="20"/>
        <v>63</v>
      </c>
      <c r="B3992" s="59" t="str">
        <f t="shared" si="21"/>
        <v/>
      </c>
      <c r="C3992" s="59" t="str">
        <f t="shared" si="22"/>
        <v/>
      </c>
      <c r="D3992" s="45" t="str">
        <f t="shared" si="23"/>
        <v/>
      </c>
      <c r="E3992" s="45" t="str">
        <f t="shared" si="24"/>
        <v/>
      </c>
      <c r="F3992" s="59" t="str">
        <f t="shared" si="25"/>
        <v/>
      </c>
      <c r="G3992" s="59" t="str">
        <f t="shared" si="26"/>
        <v/>
      </c>
      <c r="H3992" s="59" t="str">
        <f t="shared" si="27"/>
        <v>28H01364</v>
      </c>
      <c r="I3992" s="59" t="str">
        <f>IF(OR($A3992="",$C3992="",$D3992="",$E3992="",$H3992=""),"",SUMIFS(DATA_GOC!$H:$H,DATA_GOC!$A:$A,"BOM",DATA_GOC!$D:$D,$H3992,DATA_GOC!$E:$E,$C3992,DATA_GOC!$F:$F,"Xuất nội bộ từ téc",DATA_GOC!$B:$B,"&gt;="&amp;$D3992,DATA_GOC!$B:$B,"&lt;="&amp;$E3992))</f>
        <v/>
      </c>
      <c r="J3992" s="59">
        <f t="shared" si="28"/>
        <v>0</v>
      </c>
      <c r="K3992" s="59">
        <f t="shared" si="29"/>
        <v>0</v>
      </c>
      <c r="L3992" s="59">
        <f t="shared" si="30"/>
        <v>0</v>
      </c>
      <c r="M3992" s="59">
        <f t="shared" si="31"/>
        <v>0</v>
      </c>
    </row>
    <row r="3993" ht="15.0" hidden="1" customHeight="1">
      <c r="A3993" s="59">
        <f t="shared" si="20"/>
        <v>63</v>
      </c>
      <c r="B3993" s="59" t="str">
        <f t="shared" si="21"/>
        <v/>
      </c>
      <c r="C3993" s="59" t="str">
        <f t="shared" si="22"/>
        <v/>
      </c>
      <c r="D3993" s="45" t="str">
        <f t="shared" si="23"/>
        <v/>
      </c>
      <c r="E3993" s="45" t="str">
        <f t="shared" si="24"/>
        <v/>
      </c>
      <c r="F3993" s="59" t="str">
        <f t="shared" si="25"/>
        <v/>
      </c>
      <c r="G3993" s="59" t="str">
        <f t="shared" si="26"/>
        <v/>
      </c>
      <c r="H3993" s="59" t="str">
        <f t="shared" si="27"/>
        <v>29E17269</v>
      </c>
      <c r="I3993" s="59" t="str">
        <f>IF(OR($A3993="",$C3993="",$D3993="",$E3993="",$H3993=""),"",SUMIFS(DATA_GOC!$H:$H,DATA_GOC!$A:$A,"BOM",DATA_GOC!$D:$D,$H3993,DATA_GOC!$E:$E,$C3993,DATA_GOC!$F:$F,"Xuất nội bộ từ téc",DATA_GOC!$B:$B,"&gt;="&amp;$D3993,DATA_GOC!$B:$B,"&lt;="&amp;$E3993))</f>
        <v/>
      </c>
      <c r="J3993" s="59">
        <f t="shared" si="28"/>
        <v>0</v>
      </c>
      <c r="K3993" s="59">
        <f t="shared" si="29"/>
        <v>0</v>
      </c>
      <c r="L3993" s="59">
        <f t="shared" si="30"/>
        <v>0</v>
      </c>
      <c r="M3993" s="59">
        <f t="shared" si="31"/>
        <v>0</v>
      </c>
    </row>
    <row r="3994" ht="15.0" hidden="1" customHeight="1">
      <c r="A3994" s="59">
        <f t="shared" si="20"/>
        <v>63</v>
      </c>
      <c r="B3994" s="59" t="str">
        <f t="shared" si="21"/>
        <v/>
      </c>
      <c r="C3994" s="59" t="str">
        <f t="shared" si="22"/>
        <v/>
      </c>
      <c r="D3994" s="45" t="str">
        <f t="shared" si="23"/>
        <v/>
      </c>
      <c r="E3994" s="45" t="str">
        <f t="shared" si="24"/>
        <v/>
      </c>
      <c r="F3994" s="59" t="str">
        <f t="shared" si="25"/>
        <v/>
      </c>
      <c r="G3994" s="59" t="str">
        <f t="shared" si="26"/>
        <v/>
      </c>
      <c r="H3994" s="59" t="str">
        <f t="shared" si="27"/>
        <v>29E17273</v>
      </c>
      <c r="I3994" s="59" t="str">
        <f>IF(OR($A3994="",$C3994="",$D3994="",$E3994="",$H3994=""),"",SUMIFS(DATA_GOC!$H:$H,DATA_GOC!$A:$A,"BOM",DATA_GOC!$D:$D,$H3994,DATA_GOC!$E:$E,$C3994,DATA_GOC!$F:$F,"Xuất nội bộ từ téc",DATA_GOC!$B:$B,"&gt;="&amp;$D3994,DATA_GOC!$B:$B,"&lt;="&amp;$E3994))</f>
        <v/>
      </c>
      <c r="J3994" s="59">
        <f t="shared" si="28"/>
        <v>0</v>
      </c>
      <c r="K3994" s="59">
        <f t="shared" si="29"/>
        <v>0</v>
      </c>
      <c r="L3994" s="59">
        <f t="shared" si="30"/>
        <v>0</v>
      </c>
      <c r="M3994" s="59">
        <f t="shared" si="31"/>
        <v>0</v>
      </c>
    </row>
    <row r="3995" ht="15.0" hidden="1" customHeight="1">
      <c r="A3995" s="59">
        <f t="shared" si="20"/>
        <v>63</v>
      </c>
      <c r="B3995" s="59" t="str">
        <f t="shared" si="21"/>
        <v/>
      </c>
      <c r="C3995" s="59" t="str">
        <f t="shared" si="22"/>
        <v/>
      </c>
      <c r="D3995" s="45" t="str">
        <f t="shared" si="23"/>
        <v/>
      </c>
      <c r="E3995" s="45" t="str">
        <f t="shared" si="24"/>
        <v/>
      </c>
      <c r="F3995" s="59" t="str">
        <f t="shared" si="25"/>
        <v/>
      </c>
      <c r="G3995" s="59" t="str">
        <f t="shared" si="26"/>
        <v/>
      </c>
      <c r="H3995" s="59" t="str">
        <f t="shared" si="27"/>
        <v>29E17410</v>
      </c>
      <c r="I3995" s="59" t="str">
        <f>IF(OR($A3995="",$C3995="",$D3995="",$E3995="",$H3995=""),"",SUMIFS(DATA_GOC!$H:$H,DATA_GOC!$A:$A,"BOM",DATA_GOC!$D:$D,$H3995,DATA_GOC!$E:$E,$C3995,DATA_GOC!$F:$F,"Xuất nội bộ từ téc",DATA_GOC!$B:$B,"&gt;="&amp;$D3995,DATA_GOC!$B:$B,"&lt;="&amp;$E3995))</f>
        <v/>
      </c>
      <c r="J3995" s="59">
        <f t="shared" si="28"/>
        <v>0</v>
      </c>
      <c r="K3995" s="59">
        <f t="shared" si="29"/>
        <v>0</v>
      </c>
      <c r="L3995" s="59">
        <f t="shared" si="30"/>
        <v>0</v>
      </c>
      <c r="M3995" s="59">
        <f t="shared" si="31"/>
        <v>0</v>
      </c>
    </row>
    <row r="3996" ht="15.0" hidden="1" customHeight="1">
      <c r="A3996" s="59">
        <f t="shared" si="20"/>
        <v>63</v>
      </c>
      <c r="B3996" s="59" t="str">
        <f t="shared" si="21"/>
        <v/>
      </c>
      <c r="C3996" s="59" t="str">
        <f t="shared" si="22"/>
        <v/>
      </c>
      <c r="D3996" s="45" t="str">
        <f t="shared" si="23"/>
        <v/>
      </c>
      <c r="E3996" s="45" t="str">
        <f t="shared" si="24"/>
        <v/>
      </c>
      <c r="F3996" s="59" t="str">
        <f t="shared" si="25"/>
        <v/>
      </c>
      <c r="G3996" s="59" t="str">
        <f t="shared" si="26"/>
        <v/>
      </c>
      <c r="H3996" s="59" t="str">
        <f t="shared" si="27"/>
        <v>29E17417</v>
      </c>
      <c r="I3996" s="59" t="str">
        <f>IF(OR($A3996="",$C3996="",$D3996="",$E3996="",$H3996=""),"",SUMIFS(DATA_GOC!$H:$H,DATA_GOC!$A:$A,"BOM",DATA_GOC!$D:$D,$H3996,DATA_GOC!$E:$E,$C3996,DATA_GOC!$F:$F,"Xuất nội bộ từ téc",DATA_GOC!$B:$B,"&gt;="&amp;$D3996,DATA_GOC!$B:$B,"&lt;="&amp;$E3996))</f>
        <v/>
      </c>
      <c r="J3996" s="59">
        <f t="shared" si="28"/>
        <v>0</v>
      </c>
      <c r="K3996" s="59">
        <f t="shared" si="29"/>
        <v>0</v>
      </c>
      <c r="L3996" s="59">
        <f t="shared" si="30"/>
        <v>0</v>
      </c>
      <c r="M3996" s="59">
        <f t="shared" si="31"/>
        <v>0</v>
      </c>
    </row>
    <row r="3997" ht="15.0" hidden="1" customHeight="1">
      <c r="A3997" s="59">
        <f t="shared" si="20"/>
        <v>63</v>
      </c>
      <c r="B3997" s="59" t="str">
        <f t="shared" si="21"/>
        <v/>
      </c>
      <c r="C3997" s="59" t="str">
        <f t="shared" si="22"/>
        <v/>
      </c>
      <c r="D3997" s="45" t="str">
        <f t="shared" si="23"/>
        <v/>
      </c>
      <c r="E3997" s="45" t="str">
        <f t="shared" si="24"/>
        <v/>
      </c>
      <c r="F3997" s="59" t="str">
        <f t="shared" si="25"/>
        <v/>
      </c>
      <c r="G3997" s="59" t="str">
        <f t="shared" si="26"/>
        <v/>
      </c>
      <c r="H3997" s="59" t="str">
        <f t="shared" si="27"/>
        <v>29E17539</v>
      </c>
      <c r="I3997" s="59" t="str">
        <f>IF(OR($A3997="",$C3997="",$D3997="",$E3997="",$H3997=""),"",SUMIFS(DATA_GOC!$H:$H,DATA_GOC!$A:$A,"BOM",DATA_GOC!$D:$D,$H3997,DATA_GOC!$E:$E,$C3997,DATA_GOC!$F:$F,"Xuất nội bộ từ téc",DATA_GOC!$B:$B,"&gt;="&amp;$D3997,DATA_GOC!$B:$B,"&lt;="&amp;$E3997))</f>
        <v/>
      </c>
      <c r="J3997" s="59">
        <f t="shared" si="28"/>
        <v>0</v>
      </c>
      <c r="K3997" s="59">
        <f t="shared" si="29"/>
        <v>0</v>
      </c>
      <c r="L3997" s="59">
        <f t="shared" si="30"/>
        <v>0</v>
      </c>
      <c r="M3997" s="59">
        <f t="shared" si="31"/>
        <v>0</v>
      </c>
    </row>
    <row r="3998" ht="15.0" hidden="1" customHeight="1">
      <c r="A3998" s="59">
        <f t="shared" si="20"/>
        <v>63</v>
      </c>
      <c r="B3998" s="59" t="str">
        <f t="shared" si="21"/>
        <v/>
      </c>
      <c r="C3998" s="59" t="str">
        <f t="shared" si="22"/>
        <v/>
      </c>
      <c r="D3998" s="45" t="str">
        <f t="shared" si="23"/>
        <v/>
      </c>
      <c r="E3998" s="45" t="str">
        <f t="shared" si="24"/>
        <v/>
      </c>
      <c r="F3998" s="59" t="str">
        <f t="shared" si="25"/>
        <v/>
      </c>
      <c r="G3998" s="59" t="str">
        <f t="shared" si="26"/>
        <v/>
      </c>
      <c r="H3998" s="59" t="str">
        <f t="shared" si="27"/>
        <v>29E18160</v>
      </c>
      <c r="I3998" s="59" t="str">
        <f>IF(OR($A3998="",$C3998="",$D3998="",$E3998="",$H3998=""),"",SUMIFS(DATA_GOC!$H:$H,DATA_GOC!$A:$A,"BOM",DATA_GOC!$D:$D,$H3998,DATA_GOC!$E:$E,$C3998,DATA_GOC!$F:$F,"Xuất nội bộ từ téc",DATA_GOC!$B:$B,"&gt;="&amp;$D3998,DATA_GOC!$B:$B,"&lt;="&amp;$E3998))</f>
        <v/>
      </c>
      <c r="J3998" s="59">
        <f t="shared" si="28"/>
        <v>0</v>
      </c>
      <c r="K3998" s="59">
        <f t="shared" si="29"/>
        <v>0</v>
      </c>
      <c r="L3998" s="59">
        <f t="shared" si="30"/>
        <v>0</v>
      </c>
      <c r="M3998" s="59">
        <f t="shared" si="31"/>
        <v>0</v>
      </c>
    </row>
    <row r="3999" ht="15.0" hidden="1" customHeight="1">
      <c r="A3999" s="59">
        <f t="shared" si="20"/>
        <v>63</v>
      </c>
      <c r="B3999" s="59" t="str">
        <f t="shared" si="21"/>
        <v/>
      </c>
      <c r="C3999" s="59" t="str">
        <f t="shared" si="22"/>
        <v/>
      </c>
      <c r="D3999" s="45" t="str">
        <f t="shared" si="23"/>
        <v/>
      </c>
      <c r="E3999" s="45" t="str">
        <f t="shared" si="24"/>
        <v/>
      </c>
      <c r="F3999" s="59" t="str">
        <f t="shared" si="25"/>
        <v/>
      </c>
      <c r="G3999" s="59" t="str">
        <f t="shared" si="26"/>
        <v/>
      </c>
      <c r="H3999" s="59" t="str">
        <f t="shared" si="27"/>
        <v>Công trình Asphalt</v>
      </c>
      <c r="I3999" s="59" t="str">
        <f>IF(OR($A3999="",$C3999="",$D3999="",$E3999="",$H3999=""),"",SUMIFS(DATA_GOC!$H:$H,DATA_GOC!$A:$A,"BOM",DATA_GOC!$D:$D,$H3999,DATA_GOC!$E:$E,$C3999,DATA_GOC!$F:$F,"Xuất nội bộ từ téc",DATA_GOC!$B:$B,"&gt;="&amp;$D3999,DATA_GOC!$B:$B,"&lt;="&amp;$E3999))</f>
        <v/>
      </c>
      <c r="J3999" s="59">
        <f t="shared" si="28"/>
        <v>0</v>
      </c>
      <c r="K3999" s="59">
        <f t="shared" si="29"/>
        <v>0</v>
      </c>
      <c r="L3999" s="59">
        <f t="shared" si="30"/>
        <v>0</v>
      </c>
      <c r="M3999" s="59">
        <f t="shared" si="31"/>
        <v>0</v>
      </c>
    </row>
    <row r="4000" ht="15.0" hidden="1" customHeight="1">
      <c r="A4000" s="59">
        <f t="shared" si="20"/>
        <v>63</v>
      </c>
      <c r="B4000" s="59" t="str">
        <f t="shared" si="21"/>
        <v/>
      </c>
      <c r="C4000" s="59" t="str">
        <f t="shared" si="22"/>
        <v/>
      </c>
      <c r="D4000" s="45" t="str">
        <f t="shared" si="23"/>
        <v/>
      </c>
      <c r="E4000" s="45" t="str">
        <f t="shared" si="24"/>
        <v/>
      </c>
      <c r="F4000" s="59" t="str">
        <f t="shared" si="25"/>
        <v/>
      </c>
      <c r="G4000" s="59" t="str">
        <f t="shared" si="26"/>
        <v/>
      </c>
      <c r="H4000" s="59" t="str">
        <f t="shared" si="27"/>
        <v>LG53F</v>
      </c>
      <c r="I4000" s="59" t="str">
        <f>IF(OR($A4000="",$C4000="",$D4000="",$E4000="",$H4000=""),"",SUMIFS(DATA_GOC!$H:$H,DATA_GOC!$A:$A,"BOM",DATA_GOC!$D:$D,$H4000,DATA_GOC!$E:$E,$C4000,DATA_GOC!$F:$F,"Xuất nội bộ từ téc",DATA_GOC!$B:$B,"&gt;="&amp;$D4000,DATA_GOC!$B:$B,"&lt;="&amp;$E4000))</f>
        <v/>
      </c>
      <c r="J4000" s="59">
        <f t="shared" si="28"/>
        <v>0</v>
      </c>
      <c r="K4000" s="59">
        <f t="shared" si="29"/>
        <v>0</v>
      </c>
      <c r="L4000" s="59">
        <f t="shared" si="30"/>
        <v>0</v>
      </c>
      <c r="M4000" s="59">
        <f t="shared" si="31"/>
        <v>0</v>
      </c>
    </row>
    <row r="4001" ht="15.0" hidden="1" customHeight="1">
      <c r="A4001" s="59">
        <f t="shared" si="20"/>
        <v>63</v>
      </c>
      <c r="B4001" s="59" t="str">
        <f t="shared" si="21"/>
        <v/>
      </c>
      <c r="C4001" s="59" t="str">
        <f t="shared" si="22"/>
        <v/>
      </c>
      <c r="D4001" s="45" t="str">
        <f t="shared" si="23"/>
        <v/>
      </c>
      <c r="E4001" s="45" t="str">
        <f t="shared" si="24"/>
        <v/>
      </c>
      <c r="F4001" s="59" t="str">
        <f t="shared" si="25"/>
        <v/>
      </c>
      <c r="G4001" s="59" t="str">
        <f t="shared" si="26"/>
        <v/>
      </c>
      <c r="H4001" s="59" t="str">
        <f t="shared" si="27"/>
        <v>Máy phát điện</v>
      </c>
      <c r="I4001" s="59" t="str">
        <f>IF(OR($A4001="",$C4001="",$D4001="",$E4001="",$H4001=""),"",SUMIFS(DATA_GOC!$H:$H,DATA_GOC!$A:$A,"BOM",DATA_GOC!$D:$D,$H4001,DATA_GOC!$E:$E,$C4001,DATA_GOC!$F:$F,"Xuất nội bộ từ téc",DATA_GOC!$B:$B,"&gt;="&amp;$D4001,DATA_GOC!$B:$B,"&lt;="&amp;$E4001))</f>
        <v/>
      </c>
      <c r="J4001" s="59">
        <f t="shared" si="28"/>
        <v>0</v>
      </c>
      <c r="K4001" s="59">
        <f t="shared" si="29"/>
        <v>0</v>
      </c>
      <c r="L4001" s="59">
        <f t="shared" si="30"/>
        <v>0</v>
      </c>
      <c r="M4001" s="59">
        <f t="shared" si="31"/>
        <v>0</v>
      </c>
    </row>
    <row r="4002" ht="15.0" hidden="1" customHeight="1">
      <c r="A4002" s="59">
        <f t="shared" si="20"/>
        <v>63</v>
      </c>
      <c r="B4002" s="59" t="str">
        <f t="shared" si="21"/>
        <v/>
      </c>
      <c r="C4002" s="59" t="str">
        <f t="shared" si="22"/>
        <v/>
      </c>
      <c r="D4002" s="45" t="str">
        <f t="shared" si="23"/>
        <v/>
      </c>
      <c r="E4002" s="45" t="str">
        <f t="shared" si="24"/>
        <v/>
      </c>
      <c r="F4002" s="59" t="str">
        <f t="shared" si="25"/>
        <v/>
      </c>
      <c r="G4002" s="59" t="str">
        <f t="shared" si="26"/>
        <v/>
      </c>
      <c r="H4002" s="59" t="str">
        <f t="shared" si="27"/>
        <v>Máy rải thảm</v>
      </c>
      <c r="I4002" s="59" t="str">
        <f>IF(OR($A4002="",$C4002="",$D4002="",$E4002="",$H4002=""),"",SUMIFS(DATA_GOC!$H:$H,DATA_GOC!$A:$A,"BOM",DATA_GOC!$D:$D,$H4002,DATA_GOC!$E:$E,$C4002,DATA_GOC!$F:$F,"Xuất nội bộ từ téc",DATA_GOC!$B:$B,"&gt;="&amp;$D4002,DATA_GOC!$B:$B,"&lt;="&amp;$E4002))</f>
        <v/>
      </c>
      <c r="J4002" s="59">
        <f t="shared" si="28"/>
        <v>0</v>
      </c>
      <c r="K4002" s="59">
        <f t="shared" si="29"/>
        <v>0</v>
      </c>
      <c r="L4002" s="59">
        <f t="shared" si="30"/>
        <v>0</v>
      </c>
      <c r="M4002" s="59">
        <f t="shared" si="31"/>
        <v>0</v>
      </c>
    </row>
    <row r="4003" ht="15.0" hidden="1" customHeight="1">
      <c r="A4003" s="59">
        <f t="shared" si="20"/>
        <v>63</v>
      </c>
      <c r="B4003" s="59" t="str">
        <f t="shared" si="21"/>
        <v/>
      </c>
      <c r="C4003" s="59" t="str">
        <f t="shared" si="22"/>
        <v/>
      </c>
      <c r="D4003" s="45" t="str">
        <f t="shared" si="23"/>
        <v/>
      </c>
      <c r="E4003" s="45" t="str">
        <f t="shared" si="24"/>
        <v/>
      </c>
      <c r="F4003" s="59" t="str">
        <f t="shared" si="25"/>
        <v/>
      </c>
      <c r="G4003" s="59" t="str">
        <f t="shared" si="26"/>
        <v/>
      </c>
      <c r="H4003" s="59" t="str">
        <f t="shared" si="27"/>
        <v>Xúc Đào</v>
      </c>
      <c r="I4003" s="59" t="str">
        <f>IF(OR($A4003="",$C4003="",$D4003="",$E4003="",$H4003=""),"",SUMIFS(DATA_GOC!$H:$H,DATA_GOC!$A:$A,"BOM",DATA_GOC!$D:$D,$H4003,DATA_GOC!$E:$E,$C4003,DATA_GOC!$F:$F,"Xuất nội bộ từ téc",DATA_GOC!$B:$B,"&gt;="&amp;$D4003,DATA_GOC!$B:$B,"&lt;="&amp;$E4003))</f>
        <v/>
      </c>
      <c r="J4003" s="59">
        <f t="shared" si="28"/>
        <v>0</v>
      </c>
      <c r="K4003" s="59">
        <f t="shared" si="29"/>
        <v>0</v>
      </c>
      <c r="L4003" s="59">
        <f t="shared" si="30"/>
        <v>0</v>
      </c>
      <c r="M4003" s="59">
        <f t="shared" si="31"/>
        <v>0</v>
      </c>
    </row>
    <row r="4004" ht="15.0" hidden="1" customHeight="1">
      <c r="A4004" s="59">
        <f t="shared" si="20"/>
        <v>63</v>
      </c>
      <c r="B4004" s="59" t="str">
        <f t="shared" si="21"/>
        <v/>
      </c>
      <c r="C4004" s="59" t="str">
        <f t="shared" si="22"/>
        <v/>
      </c>
      <c r="D4004" s="45" t="str">
        <f t="shared" si="23"/>
        <v/>
      </c>
      <c r="E4004" s="45" t="str">
        <f t="shared" si="24"/>
        <v/>
      </c>
      <c r="F4004" s="59" t="str">
        <f t="shared" si="25"/>
        <v/>
      </c>
      <c r="G4004" s="59" t="str">
        <f t="shared" si="26"/>
        <v/>
      </c>
      <c r="H4004" s="59" t="str">
        <f t="shared" si="27"/>
        <v>Xúclật asphalt</v>
      </c>
      <c r="I4004" s="59" t="str">
        <f>IF(OR($A4004="",$C4004="",$D4004="",$E4004="",$H4004=""),"",SUMIFS(DATA_GOC!$H:$H,DATA_GOC!$A:$A,"BOM",DATA_GOC!$D:$D,$H4004,DATA_GOC!$E:$E,$C4004,DATA_GOC!$F:$F,"Xuất nội bộ từ téc",DATA_GOC!$B:$B,"&gt;="&amp;$D4004,DATA_GOC!$B:$B,"&lt;="&amp;$E4004))</f>
        <v/>
      </c>
      <c r="J4004" s="59">
        <f t="shared" si="28"/>
        <v>0</v>
      </c>
      <c r="K4004" s="59">
        <f t="shared" si="29"/>
        <v>0</v>
      </c>
      <c r="L4004" s="59">
        <f t="shared" si="30"/>
        <v>0</v>
      </c>
      <c r="M4004" s="59">
        <f t="shared" si="31"/>
        <v>0</v>
      </c>
    </row>
    <row r="4005" ht="15.0" hidden="1" customHeight="1">
      <c r="A4005" s="59">
        <f t="shared" si="20"/>
        <v>63</v>
      </c>
      <c r="B4005" s="59" t="str">
        <f t="shared" si="21"/>
        <v/>
      </c>
      <c r="C4005" s="59" t="str">
        <f t="shared" si="22"/>
        <v/>
      </c>
      <c r="D4005" s="45" t="str">
        <f t="shared" si="23"/>
        <v/>
      </c>
      <c r="E4005" s="45" t="str">
        <f t="shared" si="24"/>
        <v/>
      </c>
      <c r="F4005" s="59" t="str">
        <f t="shared" si="25"/>
        <v/>
      </c>
      <c r="G4005" s="59" t="str">
        <f t="shared" si="26"/>
        <v/>
      </c>
      <c r="H4005" s="59" t="str">
        <f t="shared" si="27"/>
        <v>Xúclật855H</v>
      </c>
      <c r="I4005" s="59" t="str">
        <f>IF(OR($A4005="",$C4005="",$D4005="",$E4005="",$H4005=""),"",SUMIFS(DATA_GOC!$H:$H,DATA_GOC!$A:$A,"BOM",DATA_GOC!$D:$D,$H4005,DATA_GOC!$E:$E,$C4005,DATA_GOC!$F:$F,"Xuất nội bộ từ téc",DATA_GOC!$B:$B,"&gt;="&amp;$D4005,DATA_GOC!$B:$B,"&lt;="&amp;$E4005))</f>
        <v/>
      </c>
      <c r="J4005" s="59">
        <f t="shared" si="28"/>
        <v>0</v>
      </c>
      <c r="K4005" s="59">
        <f t="shared" si="29"/>
        <v>0</v>
      </c>
      <c r="L4005" s="59">
        <f t="shared" si="30"/>
        <v>0</v>
      </c>
      <c r="M4005" s="59">
        <f t="shared" si="31"/>
        <v>0</v>
      </c>
    </row>
    <row r="4006" ht="15.0" hidden="1" customHeight="1">
      <c r="A4006" s="59">
        <f t="shared" si="20"/>
        <v>63</v>
      </c>
      <c r="B4006" s="59" t="str">
        <f t="shared" si="21"/>
        <v/>
      </c>
      <c r="C4006" s="59" t="str">
        <f t="shared" si="22"/>
        <v/>
      </c>
      <c r="D4006" s="45" t="str">
        <f t="shared" si="23"/>
        <v/>
      </c>
      <c r="E4006" s="45" t="str">
        <f t="shared" si="24"/>
        <v/>
      </c>
      <c r="F4006" s="59" t="str">
        <f t="shared" si="25"/>
        <v/>
      </c>
      <c r="G4006" s="59" t="str">
        <f t="shared" si="26"/>
        <v/>
      </c>
      <c r="H4006" s="59" t="str">
        <f t="shared" si="27"/>
        <v>Xúclật855N</v>
      </c>
      <c r="I4006" s="59" t="str">
        <f>IF(OR($A4006="",$C4006="",$D4006="",$E4006="",$H4006=""),"",SUMIFS(DATA_GOC!$H:$H,DATA_GOC!$A:$A,"BOM",DATA_GOC!$D:$D,$H4006,DATA_GOC!$E:$E,$C4006,DATA_GOC!$F:$F,"Xuất nội bộ từ téc",DATA_GOC!$B:$B,"&gt;="&amp;$D4006,DATA_GOC!$B:$B,"&lt;="&amp;$E4006))</f>
        <v/>
      </c>
      <c r="J4006" s="59">
        <f t="shared" si="28"/>
        <v>0</v>
      </c>
      <c r="K4006" s="59">
        <f t="shared" si="29"/>
        <v>0</v>
      </c>
      <c r="L4006" s="59">
        <f t="shared" si="30"/>
        <v>0</v>
      </c>
      <c r="M4006" s="59">
        <f t="shared" si="31"/>
        <v>0</v>
      </c>
    </row>
    <row r="4007" ht="15.0" hidden="1" customHeight="1">
      <c r="A4007" s="59">
        <f t="shared" si="20"/>
        <v>63</v>
      </c>
      <c r="B4007" s="59" t="str">
        <f t="shared" si="21"/>
        <v/>
      </c>
      <c r="C4007" s="59" t="str">
        <f t="shared" si="22"/>
        <v/>
      </c>
      <c r="D4007" s="45" t="str">
        <f t="shared" si="23"/>
        <v/>
      </c>
      <c r="E4007" s="45" t="str">
        <f t="shared" si="24"/>
        <v/>
      </c>
      <c r="F4007" s="59" t="str">
        <f t="shared" si="25"/>
        <v/>
      </c>
      <c r="G4007" s="59" t="str">
        <f t="shared" si="26"/>
        <v/>
      </c>
      <c r="H4007" s="59" t="str">
        <f t="shared" si="27"/>
        <v>Cát nghiền</v>
      </c>
      <c r="I4007" s="59" t="str">
        <f>IF(OR($A4007="",$C4007="",$D4007="",$E4007="",$H4007=""),"",SUMIFS(DATA_GOC!$H:$H,DATA_GOC!$A:$A,"BOM",DATA_GOC!$D:$D,$H4007,DATA_GOC!$E:$E,$C4007,DATA_GOC!$F:$F,"Xuất nội bộ từ téc",DATA_GOC!$B:$B,"&gt;="&amp;$D4007,DATA_GOC!$B:$B,"&lt;="&amp;$E4007))</f>
        <v/>
      </c>
      <c r="J4007" s="59">
        <f t="shared" si="28"/>
        <v>0</v>
      </c>
      <c r="K4007" s="59">
        <f t="shared" si="29"/>
        <v>0</v>
      </c>
      <c r="L4007" s="59">
        <f t="shared" si="30"/>
        <v>0</v>
      </c>
      <c r="M4007" s="59">
        <f t="shared" si="31"/>
        <v>0</v>
      </c>
    </row>
    <row r="4008" ht="15.0" hidden="1" customHeight="1">
      <c r="A4008" s="59">
        <f t="shared" si="20"/>
        <v>63</v>
      </c>
      <c r="B4008" s="59" t="str">
        <f t="shared" si="21"/>
        <v/>
      </c>
      <c r="C4008" s="59" t="str">
        <f t="shared" si="22"/>
        <v/>
      </c>
      <c r="D4008" s="45" t="str">
        <f t="shared" si="23"/>
        <v/>
      </c>
      <c r="E4008" s="45" t="str">
        <f t="shared" si="24"/>
        <v/>
      </c>
      <c r="F4008" s="59" t="str">
        <f t="shared" si="25"/>
        <v/>
      </c>
      <c r="G4008" s="59" t="str">
        <f t="shared" si="26"/>
        <v/>
      </c>
      <c r="H4008" s="59" t="str">
        <f t="shared" si="27"/>
        <v>28C02973</v>
      </c>
      <c r="I4008" s="59" t="str">
        <f>IF(OR($A4008="",$C4008="",$D4008="",$E4008="",$H4008=""),"",SUMIFS(DATA_GOC!$H:$H,DATA_GOC!$A:$A,"BOM",DATA_GOC!$D:$D,$H4008,DATA_GOC!$E:$E,$C4008,DATA_GOC!$F:$F,"Xuất nội bộ từ téc",DATA_GOC!$B:$B,"&gt;="&amp;$D4008,DATA_GOC!$B:$B,"&lt;="&amp;$E4008))</f>
        <v/>
      </c>
      <c r="J4008" s="59">
        <f t="shared" si="28"/>
        <v>0</v>
      </c>
      <c r="K4008" s="59">
        <f t="shared" si="29"/>
        <v>0</v>
      </c>
      <c r="L4008" s="59">
        <f t="shared" si="30"/>
        <v>0</v>
      </c>
      <c r="M4008" s="59">
        <f t="shared" si="31"/>
        <v>0</v>
      </c>
    </row>
    <row r="4009" ht="15.0" hidden="1" customHeight="1">
      <c r="A4009" s="59">
        <f t="shared" si="20"/>
        <v>63</v>
      </c>
      <c r="B4009" s="59" t="str">
        <f t="shared" si="21"/>
        <v/>
      </c>
      <c r="C4009" s="59" t="str">
        <f t="shared" si="22"/>
        <v/>
      </c>
      <c r="D4009" s="45" t="str">
        <f t="shared" si="23"/>
        <v/>
      </c>
      <c r="E4009" s="45" t="str">
        <f t="shared" si="24"/>
        <v/>
      </c>
      <c r="F4009" s="59" t="str">
        <f t="shared" si="25"/>
        <v/>
      </c>
      <c r="G4009" s="59" t="str">
        <f t="shared" si="26"/>
        <v/>
      </c>
      <c r="H4009" s="59" t="str">
        <f t="shared" si="27"/>
        <v>28C03044</v>
      </c>
      <c r="I4009" s="59" t="str">
        <f>IF(OR($A4009="",$C4009="",$D4009="",$E4009="",$H4009=""),"",SUMIFS(DATA_GOC!$H:$H,DATA_GOC!$A:$A,"BOM",DATA_GOC!$D:$D,$H4009,DATA_GOC!$E:$E,$C4009,DATA_GOC!$F:$F,"Xuất nội bộ từ téc",DATA_GOC!$B:$B,"&gt;="&amp;$D4009,DATA_GOC!$B:$B,"&lt;="&amp;$E4009))</f>
        <v/>
      </c>
      <c r="J4009" s="59">
        <f t="shared" si="28"/>
        <v>0</v>
      </c>
      <c r="K4009" s="59">
        <f t="shared" si="29"/>
        <v>0</v>
      </c>
      <c r="L4009" s="59">
        <f t="shared" si="30"/>
        <v>0</v>
      </c>
      <c r="M4009" s="59">
        <f t="shared" si="31"/>
        <v>0</v>
      </c>
    </row>
    <row r="4010" ht="15.0" hidden="1" customHeight="1">
      <c r="A4010" s="59">
        <f t="shared" si="20"/>
        <v>63</v>
      </c>
      <c r="B4010" s="59" t="str">
        <f t="shared" si="21"/>
        <v/>
      </c>
      <c r="C4010" s="59" t="str">
        <f t="shared" si="22"/>
        <v/>
      </c>
      <c r="D4010" s="45" t="str">
        <f t="shared" si="23"/>
        <v/>
      </c>
      <c r="E4010" s="45" t="str">
        <f t="shared" si="24"/>
        <v/>
      </c>
      <c r="F4010" s="59" t="str">
        <f t="shared" si="25"/>
        <v/>
      </c>
      <c r="G4010" s="59" t="str">
        <f t="shared" si="26"/>
        <v/>
      </c>
      <c r="H4010" s="59" t="str">
        <f t="shared" si="27"/>
        <v>Máy lu lốp</v>
      </c>
      <c r="I4010" s="59" t="str">
        <f>IF(OR($A4010="",$C4010="",$D4010="",$E4010="",$H4010=""),"",SUMIFS(DATA_GOC!$H:$H,DATA_GOC!$A:$A,"BOM",DATA_GOC!$D:$D,$H4010,DATA_GOC!$E:$E,$C4010,DATA_GOC!$F:$F,"Xuất nội bộ từ téc",DATA_GOC!$B:$B,"&gt;="&amp;$D4010,DATA_GOC!$B:$B,"&lt;="&amp;$E4010))</f>
        <v/>
      </c>
      <c r="J4010" s="59">
        <f t="shared" si="28"/>
        <v>0</v>
      </c>
      <c r="K4010" s="59">
        <f t="shared" si="29"/>
        <v>0</v>
      </c>
      <c r="L4010" s="59">
        <f t="shared" si="30"/>
        <v>0</v>
      </c>
      <c r="M4010" s="59">
        <f t="shared" si="31"/>
        <v>0</v>
      </c>
    </row>
    <row r="4011" ht="15.0" hidden="1" customHeight="1">
      <c r="A4011" s="59">
        <f t="shared" si="20"/>
        <v>63</v>
      </c>
      <c r="B4011" s="59" t="str">
        <f t="shared" si="21"/>
        <v/>
      </c>
      <c r="C4011" s="59" t="str">
        <f t="shared" si="22"/>
        <v/>
      </c>
      <c r="D4011" s="45" t="str">
        <f t="shared" si="23"/>
        <v/>
      </c>
      <c r="E4011" s="45" t="str">
        <f t="shared" si="24"/>
        <v/>
      </c>
      <c r="F4011" s="59" t="str">
        <f t="shared" si="25"/>
        <v/>
      </c>
      <c r="G4011" s="59" t="str">
        <f t="shared" si="26"/>
        <v/>
      </c>
      <c r="H4011" s="59" t="str">
        <f t="shared" si="27"/>
        <v>Xe 600148</v>
      </c>
      <c r="I4011" s="59" t="str">
        <f>IF(OR($A4011="",$C4011="",$D4011="",$E4011="",$H4011=""),"",SUMIFS(DATA_GOC!$H:$H,DATA_GOC!$A:$A,"BOM",DATA_GOC!$D:$D,$H4011,DATA_GOC!$E:$E,$C4011,DATA_GOC!$F:$F,"Xuất nội bộ từ téc",DATA_GOC!$B:$B,"&gt;="&amp;$D4011,DATA_GOC!$B:$B,"&lt;="&amp;$E4011))</f>
        <v/>
      </c>
      <c r="J4011" s="59">
        <f t="shared" si="28"/>
        <v>0</v>
      </c>
      <c r="K4011" s="59">
        <f t="shared" si="29"/>
        <v>0</v>
      </c>
      <c r="L4011" s="59">
        <f t="shared" si="30"/>
        <v>0</v>
      </c>
      <c r="M4011" s="59">
        <f t="shared" si="31"/>
        <v>0</v>
      </c>
    </row>
    <row r="4012" ht="15.0" hidden="1" customHeight="1">
      <c r="A4012" s="59">
        <f t="shared" si="20"/>
        <v>63</v>
      </c>
      <c r="B4012" s="59" t="str">
        <f t="shared" si="21"/>
        <v/>
      </c>
      <c r="C4012" s="59" t="str">
        <f t="shared" si="22"/>
        <v/>
      </c>
      <c r="D4012" s="45" t="str">
        <f t="shared" si="23"/>
        <v/>
      </c>
      <c r="E4012" s="45" t="str">
        <f t="shared" si="24"/>
        <v/>
      </c>
      <c r="F4012" s="59" t="str">
        <f t="shared" si="25"/>
        <v/>
      </c>
      <c r="G4012" s="59" t="str">
        <f t="shared" si="26"/>
        <v/>
      </c>
      <c r="H4012" s="59" t="str">
        <f t="shared" si="27"/>
        <v>Xe ben mới</v>
      </c>
      <c r="I4012" s="59" t="str">
        <f>IF(OR($A4012="",$C4012="",$D4012="",$E4012="",$H4012=""),"",SUMIFS(DATA_GOC!$H:$H,DATA_GOC!$A:$A,"BOM",DATA_GOC!$D:$D,$H4012,DATA_GOC!$E:$E,$C4012,DATA_GOC!$F:$F,"Xuất nội bộ từ téc",DATA_GOC!$B:$B,"&gt;="&amp;$D4012,DATA_GOC!$B:$B,"&lt;="&amp;$E4012))</f>
        <v/>
      </c>
      <c r="J4012" s="59">
        <f t="shared" si="28"/>
        <v>0</v>
      </c>
      <c r="K4012" s="59">
        <f t="shared" si="29"/>
        <v>0</v>
      </c>
      <c r="L4012" s="59">
        <f t="shared" si="30"/>
        <v>0</v>
      </c>
      <c r="M4012" s="59">
        <f t="shared" si="31"/>
        <v>0</v>
      </c>
    </row>
    <row r="4013" ht="15.0" hidden="1" customHeight="1">
      <c r="A4013" s="59">
        <f t="shared" si="20"/>
        <v>64</v>
      </c>
      <c r="B4013" s="59" t="str">
        <f t="shared" si="21"/>
        <v/>
      </c>
      <c r="C4013" s="59" t="str">
        <f t="shared" si="22"/>
        <v/>
      </c>
      <c r="D4013" s="45" t="str">
        <f t="shared" si="23"/>
        <v/>
      </c>
      <c r="E4013" s="45" t="str">
        <f t="shared" si="24"/>
        <v/>
      </c>
      <c r="F4013" s="59" t="str">
        <f t="shared" si="25"/>
        <v/>
      </c>
      <c r="G4013" s="59" t="str">
        <f t="shared" si="26"/>
        <v/>
      </c>
      <c r="H4013" s="59" t="str">
        <f t="shared" si="27"/>
        <v>19H09482</v>
      </c>
      <c r="I4013" s="59" t="str">
        <f>IF(OR($A4013="",$C4013="",$D4013="",$E4013="",$H4013=""),"",SUMIFS(DATA_GOC!$H:$H,DATA_GOC!$A:$A,"BOM",DATA_GOC!$D:$D,$H4013,DATA_GOC!$E:$E,$C4013,DATA_GOC!$F:$F,"Xuất nội bộ từ téc",DATA_GOC!$B:$B,"&gt;="&amp;$D4013,DATA_GOC!$B:$B,"&lt;="&amp;$E4013))</f>
        <v/>
      </c>
      <c r="J4013" s="59">
        <f t="shared" si="28"/>
        <v>0</v>
      </c>
      <c r="K4013" s="59">
        <f t="shared" si="29"/>
        <v>0</v>
      </c>
      <c r="L4013" s="59">
        <f t="shared" si="30"/>
        <v>0</v>
      </c>
      <c r="M4013" s="59">
        <f t="shared" si="31"/>
        <v>0</v>
      </c>
    </row>
    <row r="4014" ht="15.0" hidden="1" customHeight="1">
      <c r="A4014" s="59">
        <f t="shared" si="20"/>
        <v>64</v>
      </c>
      <c r="B4014" s="59" t="str">
        <f t="shared" si="21"/>
        <v/>
      </c>
      <c r="C4014" s="59" t="str">
        <f t="shared" si="22"/>
        <v/>
      </c>
      <c r="D4014" s="45" t="str">
        <f t="shared" si="23"/>
        <v/>
      </c>
      <c r="E4014" s="45" t="str">
        <f t="shared" si="24"/>
        <v/>
      </c>
      <c r="F4014" s="59" t="str">
        <f t="shared" si="25"/>
        <v/>
      </c>
      <c r="G4014" s="59" t="str">
        <f t="shared" si="26"/>
        <v/>
      </c>
      <c r="H4014" s="59" t="str">
        <f t="shared" si="27"/>
        <v>28A30696</v>
      </c>
      <c r="I4014" s="59" t="str">
        <f>IF(OR($A4014="",$C4014="",$D4014="",$E4014="",$H4014=""),"",SUMIFS(DATA_GOC!$H:$H,DATA_GOC!$A:$A,"BOM",DATA_GOC!$D:$D,$H4014,DATA_GOC!$E:$E,$C4014,DATA_GOC!$F:$F,"Xuất nội bộ từ téc",DATA_GOC!$B:$B,"&gt;="&amp;$D4014,DATA_GOC!$B:$B,"&lt;="&amp;$E4014))</f>
        <v/>
      </c>
      <c r="J4014" s="59">
        <f t="shared" si="28"/>
        <v>0</v>
      </c>
      <c r="K4014" s="59">
        <f t="shared" si="29"/>
        <v>0</v>
      </c>
      <c r="L4014" s="59">
        <f t="shared" si="30"/>
        <v>0</v>
      </c>
      <c r="M4014" s="59">
        <f t="shared" si="31"/>
        <v>0</v>
      </c>
    </row>
    <row r="4015" ht="15.0" hidden="1" customHeight="1">
      <c r="A4015" s="59">
        <f t="shared" si="20"/>
        <v>64</v>
      </c>
      <c r="B4015" s="59" t="str">
        <f t="shared" si="21"/>
        <v/>
      </c>
      <c r="C4015" s="59" t="str">
        <f t="shared" si="22"/>
        <v/>
      </c>
      <c r="D4015" s="45" t="str">
        <f t="shared" si="23"/>
        <v/>
      </c>
      <c r="E4015" s="45" t="str">
        <f t="shared" si="24"/>
        <v/>
      </c>
      <c r="F4015" s="59" t="str">
        <f t="shared" si="25"/>
        <v/>
      </c>
      <c r="G4015" s="59" t="str">
        <f t="shared" si="26"/>
        <v/>
      </c>
      <c r="H4015" s="59" t="str">
        <f t="shared" si="27"/>
        <v>28C00462</v>
      </c>
      <c r="I4015" s="59" t="str">
        <f>IF(OR($A4015="",$C4015="",$D4015="",$E4015="",$H4015=""),"",SUMIFS(DATA_GOC!$H:$H,DATA_GOC!$A:$A,"BOM",DATA_GOC!$D:$D,$H4015,DATA_GOC!$E:$E,$C4015,DATA_GOC!$F:$F,"Xuất nội bộ từ téc",DATA_GOC!$B:$B,"&gt;="&amp;$D4015,DATA_GOC!$B:$B,"&lt;="&amp;$E4015))</f>
        <v/>
      </c>
      <c r="J4015" s="59">
        <f t="shared" si="28"/>
        <v>0</v>
      </c>
      <c r="K4015" s="59">
        <f t="shared" si="29"/>
        <v>0</v>
      </c>
      <c r="L4015" s="59">
        <f t="shared" si="30"/>
        <v>0</v>
      </c>
      <c r="M4015" s="59">
        <f t="shared" si="31"/>
        <v>0</v>
      </c>
    </row>
    <row r="4016" ht="15.0" hidden="1" customHeight="1">
      <c r="A4016" s="59">
        <f t="shared" si="20"/>
        <v>64</v>
      </c>
      <c r="B4016" s="59" t="str">
        <f t="shared" si="21"/>
        <v/>
      </c>
      <c r="C4016" s="59" t="str">
        <f t="shared" si="22"/>
        <v/>
      </c>
      <c r="D4016" s="45" t="str">
        <f t="shared" si="23"/>
        <v/>
      </c>
      <c r="E4016" s="45" t="str">
        <f t="shared" si="24"/>
        <v/>
      </c>
      <c r="F4016" s="59" t="str">
        <f t="shared" si="25"/>
        <v/>
      </c>
      <c r="G4016" s="59" t="str">
        <f t="shared" si="26"/>
        <v/>
      </c>
      <c r="H4016" s="59" t="str">
        <f t="shared" si="27"/>
        <v>28C01165</v>
      </c>
      <c r="I4016" s="59" t="str">
        <f>IF(OR($A4016="",$C4016="",$D4016="",$E4016="",$H4016=""),"",SUMIFS(DATA_GOC!$H:$H,DATA_GOC!$A:$A,"BOM",DATA_GOC!$D:$D,$H4016,DATA_GOC!$E:$E,$C4016,DATA_GOC!$F:$F,"Xuất nội bộ từ téc",DATA_GOC!$B:$B,"&gt;="&amp;$D4016,DATA_GOC!$B:$B,"&lt;="&amp;$E4016))</f>
        <v/>
      </c>
      <c r="J4016" s="59">
        <f t="shared" si="28"/>
        <v>0</v>
      </c>
      <c r="K4016" s="59">
        <f t="shared" si="29"/>
        <v>0</v>
      </c>
      <c r="L4016" s="59">
        <f t="shared" si="30"/>
        <v>0</v>
      </c>
      <c r="M4016" s="59">
        <f t="shared" si="31"/>
        <v>0</v>
      </c>
    </row>
    <row r="4017" ht="15.0" hidden="1" customHeight="1">
      <c r="A4017" s="59">
        <f t="shared" si="20"/>
        <v>64</v>
      </c>
      <c r="B4017" s="59" t="str">
        <f t="shared" si="21"/>
        <v/>
      </c>
      <c r="C4017" s="59" t="str">
        <f t="shared" si="22"/>
        <v/>
      </c>
      <c r="D4017" s="45" t="str">
        <f t="shared" si="23"/>
        <v/>
      </c>
      <c r="E4017" s="45" t="str">
        <f t="shared" si="24"/>
        <v/>
      </c>
      <c r="F4017" s="59" t="str">
        <f t="shared" si="25"/>
        <v/>
      </c>
      <c r="G4017" s="59" t="str">
        <f t="shared" si="26"/>
        <v/>
      </c>
      <c r="H4017" s="59" t="str">
        <f t="shared" si="27"/>
        <v>28C01406</v>
      </c>
      <c r="I4017" s="59" t="str">
        <f>IF(OR($A4017="",$C4017="",$D4017="",$E4017="",$H4017=""),"",SUMIFS(DATA_GOC!$H:$H,DATA_GOC!$A:$A,"BOM",DATA_GOC!$D:$D,$H4017,DATA_GOC!$E:$E,$C4017,DATA_GOC!$F:$F,"Xuất nội bộ từ téc",DATA_GOC!$B:$B,"&gt;="&amp;$D4017,DATA_GOC!$B:$B,"&lt;="&amp;$E4017))</f>
        <v/>
      </c>
      <c r="J4017" s="59">
        <f t="shared" si="28"/>
        <v>0</v>
      </c>
      <c r="K4017" s="59">
        <f t="shared" si="29"/>
        <v>0</v>
      </c>
      <c r="L4017" s="59">
        <f t="shared" si="30"/>
        <v>0</v>
      </c>
      <c r="M4017" s="59">
        <f t="shared" si="31"/>
        <v>0</v>
      </c>
    </row>
    <row r="4018" ht="15.0" hidden="1" customHeight="1">
      <c r="A4018" s="59">
        <f t="shared" si="20"/>
        <v>64</v>
      </c>
      <c r="B4018" s="59" t="str">
        <f t="shared" si="21"/>
        <v/>
      </c>
      <c r="C4018" s="59" t="str">
        <f t="shared" si="22"/>
        <v/>
      </c>
      <c r="D4018" s="45" t="str">
        <f t="shared" si="23"/>
        <v/>
      </c>
      <c r="E4018" s="45" t="str">
        <f t="shared" si="24"/>
        <v/>
      </c>
      <c r="F4018" s="59" t="str">
        <f t="shared" si="25"/>
        <v/>
      </c>
      <c r="G4018" s="59" t="str">
        <f t="shared" si="26"/>
        <v/>
      </c>
      <c r="H4018" s="59" t="str">
        <f t="shared" si="27"/>
        <v>28C01544</v>
      </c>
      <c r="I4018" s="59" t="str">
        <f>IF(OR($A4018="",$C4018="",$D4018="",$E4018="",$H4018=""),"",SUMIFS(DATA_GOC!$H:$H,DATA_GOC!$A:$A,"BOM",DATA_GOC!$D:$D,$H4018,DATA_GOC!$E:$E,$C4018,DATA_GOC!$F:$F,"Xuất nội bộ từ téc",DATA_GOC!$B:$B,"&gt;="&amp;$D4018,DATA_GOC!$B:$B,"&lt;="&amp;$E4018))</f>
        <v/>
      </c>
      <c r="J4018" s="59">
        <f t="shared" si="28"/>
        <v>0</v>
      </c>
      <c r="K4018" s="59">
        <f t="shared" si="29"/>
        <v>0</v>
      </c>
      <c r="L4018" s="59">
        <f t="shared" si="30"/>
        <v>0</v>
      </c>
      <c r="M4018" s="59">
        <f t="shared" si="31"/>
        <v>0</v>
      </c>
    </row>
    <row r="4019" ht="15.0" hidden="1" customHeight="1">
      <c r="A4019" s="59">
        <f t="shared" si="20"/>
        <v>64</v>
      </c>
      <c r="B4019" s="59" t="str">
        <f t="shared" si="21"/>
        <v/>
      </c>
      <c r="C4019" s="59" t="str">
        <f t="shared" si="22"/>
        <v/>
      </c>
      <c r="D4019" s="45" t="str">
        <f t="shared" si="23"/>
        <v/>
      </c>
      <c r="E4019" s="45" t="str">
        <f t="shared" si="24"/>
        <v/>
      </c>
      <c r="F4019" s="59" t="str">
        <f t="shared" si="25"/>
        <v/>
      </c>
      <c r="G4019" s="59" t="str">
        <f t="shared" si="26"/>
        <v/>
      </c>
      <c r="H4019" s="59" t="str">
        <f t="shared" si="27"/>
        <v>28C01622</v>
      </c>
      <c r="I4019" s="59" t="str">
        <f>IF(OR($A4019="",$C4019="",$D4019="",$E4019="",$H4019=""),"",SUMIFS(DATA_GOC!$H:$H,DATA_GOC!$A:$A,"BOM",DATA_GOC!$D:$D,$H4019,DATA_GOC!$E:$E,$C4019,DATA_GOC!$F:$F,"Xuất nội bộ từ téc",DATA_GOC!$B:$B,"&gt;="&amp;$D4019,DATA_GOC!$B:$B,"&lt;="&amp;$E4019))</f>
        <v/>
      </c>
      <c r="J4019" s="59">
        <f t="shared" si="28"/>
        <v>0</v>
      </c>
      <c r="K4019" s="59">
        <f t="shared" si="29"/>
        <v>0</v>
      </c>
      <c r="L4019" s="59">
        <f t="shared" si="30"/>
        <v>0</v>
      </c>
      <c r="M4019" s="59">
        <f t="shared" si="31"/>
        <v>0</v>
      </c>
    </row>
    <row r="4020" ht="15.0" hidden="1" customHeight="1">
      <c r="A4020" s="59">
        <f t="shared" si="20"/>
        <v>64</v>
      </c>
      <c r="B4020" s="59" t="str">
        <f t="shared" si="21"/>
        <v/>
      </c>
      <c r="C4020" s="59" t="str">
        <f t="shared" si="22"/>
        <v/>
      </c>
      <c r="D4020" s="45" t="str">
        <f t="shared" si="23"/>
        <v/>
      </c>
      <c r="E4020" s="45" t="str">
        <f t="shared" si="24"/>
        <v/>
      </c>
      <c r="F4020" s="59" t="str">
        <f t="shared" si="25"/>
        <v/>
      </c>
      <c r="G4020" s="59" t="str">
        <f t="shared" si="26"/>
        <v/>
      </c>
      <c r="H4020" s="59" t="str">
        <f t="shared" si="27"/>
        <v>28C01647</v>
      </c>
      <c r="I4020" s="59" t="str">
        <f>IF(OR($A4020="",$C4020="",$D4020="",$E4020="",$H4020=""),"",SUMIFS(DATA_GOC!$H:$H,DATA_GOC!$A:$A,"BOM",DATA_GOC!$D:$D,$H4020,DATA_GOC!$E:$E,$C4020,DATA_GOC!$F:$F,"Xuất nội bộ từ téc",DATA_GOC!$B:$B,"&gt;="&amp;$D4020,DATA_GOC!$B:$B,"&lt;="&amp;$E4020))</f>
        <v/>
      </c>
      <c r="J4020" s="59">
        <f t="shared" si="28"/>
        <v>0</v>
      </c>
      <c r="K4020" s="59">
        <f t="shared" si="29"/>
        <v>0</v>
      </c>
      <c r="L4020" s="59">
        <f t="shared" si="30"/>
        <v>0</v>
      </c>
      <c r="M4020" s="59">
        <f t="shared" si="31"/>
        <v>0</v>
      </c>
    </row>
    <row r="4021" ht="15.0" hidden="1" customHeight="1">
      <c r="A4021" s="59">
        <f t="shared" si="20"/>
        <v>64</v>
      </c>
      <c r="B4021" s="59" t="str">
        <f t="shared" si="21"/>
        <v/>
      </c>
      <c r="C4021" s="59" t="str">
        <f t="shared" si="22"/>
        <v/>
      </c>
      <c r="D4021" s="45" t="str">
        <f t="shared" si="23"/>
        <v/>
      </c>
      <c r="E4021" s="45" t="str">
        <f t="shared" si="24"/>
        <v/>
      </c>
      <c r="F4021" s="59" t="str">
        <f t="shared" si="25"/>
        <v/>
      </c>
      <c r="G4021" s="59" t="str">
        <f t="shared" si="26"/>
        <v/>
      </c>
      <c r="H4021" s="59" t="str">
        <f t="shared" si="27"/>
        <v>28C01731</v>
      </c>
      <c r="I4021" s="59" t="str">
        <f>IF(OR($A4021="",$C4021="",$D4021="",$E4021="",$H4021=""),"",SUMIFS(DATA_GOC!$H:$H,DATA_GOC!$A:$A,"BOM",DATA_GOC!$D:$D,$H4021,DATA_GOC!$E:$E,$C4021,DATA_GOC!$F:$F,"Xuất nội bộ từ téc",DATA_GOC!$B:$B,"&gt;="&amp;$D4021,DATA_GOC!$B:$B,"&lt;="&amp;$E4021))</f>
        <v/>
      </c>
      <c r="J4021" s="59">
        <f t="shared" si="28"/>
        <v>0</v>
      </c>
      <c r="K4021" s="59">
        <f t="shared" si="29"/>
        <v>0</v>
      </c>
      <c r="L4021" s="59">
        <f t="shared" si="30"/>
        <v>0</v>
      </c>
      <c r="M4021" s="59">
        <f t="shared" si="31"/>
        <v>0</v>
      </c>
    </row>
    <row r="4022" ht="15.0" hidden="1" customHeight="1">
      <c r="A4022" s="59">
        <f t="shared" si="20"/>
        <v>64</v>
      </c>
      <c r="B4022" s="59" t="str">
        <f t="shared" si="21"/>
        <v/>
      </c>
      <c r="C4022" s="59" t="str">
        <f t="shared" si="22"/>
        <v/>
      </c>
      <c r="D4022" s="45" t="str">
        <f t="shared" si="23"/>
        <v/>
      </c>
      <c r="E4022" s="45" t="str">
        <f t="shared" si="24"/>
        <v/>
      </c>
      <c r="F4022" s="59" t="str">
        <f t="shared" si="25"/>
        <v/>
      </c>
      <c r="G4022" s="59" t="str">
        <f t="shared" si="26"/>
        <v/>
      </c>
      <c r="H4022" s="59" t="str">
        <f t="shared" si="27"/>
        <v>28C01743</v>
      </c>
      <c r="I4022" s="59" t="str">
        <f>IF(OR($A4022="",$C4022="",$D4022="",$E4022="",$H4022=""),"",SUMIFS(DATA_GOC!$H:$H,DATA_GOC!$A:$A,"BOM",DATA_GOC!$D:$D,$H4022,DATA_GOC!$E:$E,$C4022,DATA_GOC!$F:$F,"Xuất nội bộ từ téc",DATA_GOC!$B:$B,"&gt;="&amp;$D4022,DATA_GOC!$B:$B,"&lt;="&amp;$E4022))</f>
        <v/>
      </c>
      <c r="J4022" s="59">
        <f t="shared" si="28"/>
        <v>0</v>
      </c>
      <c r="K4022" s="59">
        <f t="shared" si="29"/>
        <v>0</v>
      </c>
      <c r="L4022" s="59">
        <f t="shared" si="30"/>
        <v>0</v>
      </c>
      <c r="M4022" s="59">
        <f t="shared" si="31"/>
        <v>0</v>
      </c>
    </row>
    <row r="4023" ht="15.0" hidden="1" customHeight="1">
      <c r="A4023" s="59">
        <f t="shared" si="20"/>
        <v>64</v>
      </c>
      <c r="B4023" s="59" t="str">
        <f t="shared" si="21"/>
        <v/>
      </c>
      <c r="C4023" s="59" t="str">
        <f t="shared" si="22"/>
        <v/>
      </c>
      <c r="D4023" s="45" t="str">
        <f t="shared" si="23"/>
        <v/>
      </c>
      <c r="E4023" s="45" t="str">
        <f t="shared" si="24"/>
        <v/>
      </c>
      <c r="F4023" s="59" t="str">
        <f t="shared" si="25"/>
        <v/>
      </c>
      <c r="G4023" s="59" t="str">
        <f t="shared" si="26"/>
        <v/>
      </c>
      <c r="H4023" s="59" t="str">
        <f t="shared" si="27"/>
        <v>28C02106</v>
      </c>
      <c r="I4023" s="59" t="str">
        <f>IF(OR($A4023="",$C4023="",$D4023="",$E4023="",$H4023=""),"",SUMIFS(DATA_GOC!$H:$H,DATA_GOC!$A:$A,"BOM",DATA_GOC!$D:$D,$H4023,DATA_GOC!$E:$E,$C4023,DATA_GOC!$F:$F,"Xuất nội bộ từ téc",DATA_GOC!$B:$B,"&gt;="&amp;$D4023,DATA_GOC!$B:$B,"&lt;="&amp;$E4023))</f>
        <v/>
      </c>
      <c r="J4023" s="59">
        <f t="shared" si="28"/>
        <v>0</v>
      </c>
      <c r="K4023" s="59">
        <f t="shared" si="29"/>
        <v>0</v>
      </c>
      <c r="L4023" s="59">
        <f t="shared" si="30"/>
        <v>0</v>
      </c>
      <c r="M4023" s="59">
        <f t="shared" si="31"/>
        <v>0</v>
      </c>
    </row>
    <row r="4024" ht="15.0" hidden="1" customHeight="1">
      <c r="A4024" s="59">
        <f t="shared" si="20"/>
        <v>64</v>
      </c>
      <c r="B4024" s="59" t="str">
        <f t="shared" si="21"/>
        <v/>
      </c>
      <c r="C4024" s="59" t="str">
        <f t="shared" si="22"/>
        <v/>
      </c>
      <c r="D4024" s="45" t="str">
        <f t="shared" si="23"/>
        <v/>
      </c>
      <c r="E4024" s="45" t="str">
        <f t="shared" si="24"/>
        <v/>
      </c>
      <c r="F4024" s="59" t="str">
        <f t="shared" si="25"/>
        <v/>
      </c>
      <c r="G4024" s="59" t="str">
        <f t="shared" si="26"/>
        <v/>
      </c>
      <c r="H4024" s="59" t="str">
        <f t="shared" si="27"/>
        <v>28C02410</v>
      </c>
      <c r="I4024" s="59" t="str">
        <f>IF(OR($A4024="",$C4024="",$D4024="",$E4024="",$H4024=""),"",SUMIFS(DATA_GOC!$H:$H,DATA_GOC!$A:$A,"BOM",DATA_GOC!$D:$D,$H4024,DATA_GOC!$E:$E,$C4024,DATA_GOC!$F:$F,"Xuất nội bộ từ téc",DATA_GOC!$B:$B,"&gt;="&amp;$D4024,DATA_GOC!$B:$B,"&lt;="&amp;$E4024))</f>
        <v/>
      </c>
      <c r="J4024" s="59">
        <f t="shared" si="28"/>
        <v>0</v>
      </c>
      <c r="K4024" s="59">
        <f t="shared" si="29"/>
        <v>0</v>
      </c>
      <c r="L4024" s="59">
        <f t="shared" si="30"/>
        <v>0</v>
      </c>
      <c r="M4024" s="59">
        <f t="shared" si="31"/>
        <v>0</v>
      </c>
    </row>
    <row r="4025" ht="15.0" hidden="1" customHeight="1">
      <c r="A4025" s="59">
        <f t="shared" si="20"/>
        <v>64</v>
      </c>
      <c r="B4025" s="59" t="str">
        <f t="shared" si="21"/>
        <v/>
      </c>
      <c r="C4025" s="59" t="str">
        <f t="shared" si="22"/>
        <v/>
      </c>
      <c r="D4025" s="45" t="str">
        <f t="shared" si="23"/>
        <v/>
      </c>
      <c r="E4025" s="45" t="str">
        <f t="shared" si="24"/>
        <v/>
      </c>
      <c r="F4025" s="59" t="str">
        <f t="shared" si="25"/>
        <v/>
      </c>
      <c r="G4025" s="59" t="str">
        <f t="shared" si="26"/>
        <v/>
      </c>
      <c r="H4025" s="59" t="str">
        <f t="shared" si="27"/>
        <v>28C02545</v>
      </c>
      <c r="I4025" s="59" t="str">
        <f>IF(OR($A4025="",$C4025="",$D4025="",$E4025="",$H4025=""),"",SUMIFS(DATA_GOC!$H:$H,DATA_GOC!$A:$A,"BOM",DATA_GOC!$D:$D,$H4025,DATA_GOC!$E:$E,$C4025,DATA_GOC!$F:$F,"Xuất nội bộ từ téc",DATA_GOC!$B:$B,"&gt;="&amp;$D4025,DATA_GOC!$B:$B,"&lt;="&amp;$E4025))</f>
        <v/>
      </c>
      <c r="J4025" s="59">
        <f t="shared" si="28"/>
        <v>0</v>
      </c>
      <c r="K4025" s="59">
        <f t="shared" si="29"/>
        <v>0</v>
      </c>
      <c r="L4025" s="59">
        <f t="shared" si="30"/>
        <v>0</v>
      </c>
      <c r="M4025" s="59">
        <f t="shared" si="31"/>
        <v>0</v>
      </c>
    </row>
    <row r="4026" ht="15.0" hidden="1" customHeight="1">
      <c r="A4026" s="59">
        <f t="shared" si="20"/>
        <v>64</v>
      </c>
      <c r="B4026" s="59" t="str">
        <f t="shared" si="21"/>
        <v/>
      </c>
      <c r="C4026" s="59" t="str">
        <f t="shared" si="22"/>
        <v/>
      </c>
      <c r="D4026" s="45" t="str">
        <f t="shared" si="23"/>
        <v/>
      </c>
      <c r="E4026" s="45" t="str">
        <f t="shared" si="24"/>
        <v/>
      </c>
      <c r="F4026" s="59" t="str">
        <f t="shared" si="25"/>
        <v/>
      </c>
      <c r="G4026" s="59" t="str">
        <f t="shared" si="26"/>
        <v/>
      </c>
      <c r="H4026" s="59" t="str">
        <f t="shared" si="27"/>
        <v>28C02574</v>
      </c>
      <c r="I4026" s="59" t="str">
        <f>IF(OR($A4026="",$C4026="",$D4026="",$E4026="",$H4026=""),"",SUMIFS(DATA_GOC!$H:$H,DATA_GOC!$A:$A,"BOM",DATA_GOC!$D:$D,$H4026,DATA_GOC!$E:$E,$C4026,DATA_GOC!$F:$F,"Xuất nội bộ từ téc",DATA_GOC!$B:$B,"&gt;="&amp;$D4026,DATA_GOC!$B:$B,"&lt;="&amp;$E4026))</f>
        <v/>
      </c>
      <c r="J4026" s="59">
        <f t="shared" si="28"/>
        <v>0</v>
      </c>
      <c r="K4026" s="59">
        <f t="shared" si="29"/>
        <v>0</v>
      </c>
      <c r="L4026" s="59">
        <f t="shared" si="30"/>
        <v>0</v>
      </c>
      <c r="M4026" s="59">
        <f t="shared" si="31"/>
        <v>0</v>
      </c>
    </row>
    <row r="4027" ht="15.0" hidden="1" customHeight="1">
      <c r="A4027" s="59">
        <f t="shared" si="20"/>
        <v>64</v>
      </c>
      <c r="B4027" s="59" t="str">
        <f t="shared" si="21"/>
        <v/>
      </c>
      <c r="C4027" s="59" t="str">
        <f t="shared" si="22"/>
        <v/>
      </c>
      <c r="D4027" s="45" t="str">
        <f t="shared" si="23"/>
        <v/>
      </c>
      <c r="E4027" s="45" t="str">
        <f t="shared" si="24"/>
        <v/>
      </c>
      <c r="F4027" s="59" t="str">
        <f t="shared" si="25"/>
        <v/>
      </c>
      <c r="G4027" s="59" t="str">
        <f t="shared" si="26"/>
        <v/>
      </c>
      <c r="H4027" s="59" t="str">
        <f t="shared" si="27"/>
        <v>28C02770</v>
      </c>
      <c r="I4027" s="59" t="str">
        <f>IF(OR($A4027="",$C4027="",$D4027="",$E4027="",$H4027=""),"",SUMIFS(DATA_GOC!$H:$H,DATA_GOC!$A:$A,"BOM",DATA_GOC!$D:$D,$H4027,DATA_GOC!$E:$E,$C4027,DATA_GOC!$F:$F,"Xuất nội bộ từ téc",DATA_GOC!$B:$B,"&gt;="&amp;$D4027,DATA_GOC!$B:$B,"&lt;="&amp;$E4027))</f>
        <v/>
      </c>
      <c r="J4027" s="59">
        <f t="shared" si="28"/>
        <v>0</v>
      </c>
      <c r="K4027" s="59">
        <f t="shared" si="29"/>
        <v>0</v>
      </c>
      <c r="L4027" s="59">
        <f t="shared" si="30"/>
        <v>0</v>
      </c>
      <c r="M4027" s="59">
        <f t="shared" si="31"/>
        <v>0</v>
      </c>
    </row>
    <row r="4028" ht="15.0" hidden="1" customHeight="1">
      <c r="A4028" s="59">
        <f t="shared" si="20"/>
        <v>64</v>
      </c>
      <c r="B4028" s="59" t="str">
        <f t="shared" si="21"/>
        <v/>
      </c>
      <c r="C4028" s="59" t="str">
        <f t="shared" si="22"/>
        <v/>
      </c>
      <c r="D4028" s="45" t="str">
        <f t="shared" si="23"/>
        <v/>
      </c>
      <c r="E4028" s="45" t="str">
        <f t="shared" si="24"/>
        <v/>
      </c>
      <c r="F4028" s="59" t="str">
        <f t="shared" si="25"/>
        <v/>
      </c>
      <c r="G4028" s="59" t="str">
        <f t="shared" si="26"/>
        <v/>
      </c>
      <c r="H4028" s="59" t="str">
        <f t="shared" si="27"/>
        <v>28C02986</v>
      </c>
      <c r="I4028" s="59" t="str">
        <f>IF(OR($A4028="",$C4028="",$D4028="",$E4028="",$H4028=""),"",SUMIFS(DATA_GOC!$H:$H,DATA_GOC!$A:$A,"BOM",DATA_GOC!$D:$D,$H4028,DATA_GOC!$E:$E,$C4028,DATA_GOC!$F:$F,"Xuất nội bộ từ téc",DATA_GOC!$B:$B,"&gt;="&amp;$D4028,DATA_GOC!$B:$B,"&lt;="&amp;$E4028))</f>
        <v/>
      </c>
      <c r="J4028" s="59">
        <f t="shared" si="28"/>
        <v>0</v>
      </c>
      <c r="K4028" s="59">
        <f t="shared" si="29"/>
        <v>0</v>
      </c>
      <c r="L4028" s="59">
        <f t="shared" si="30"/>
        <v>0</v>
      </c>
      <c r="M4028" s="59">
        <f t="shared" si="31"/>
        <v>0</v>
      </c>
    </row>
    <row r="4029" ht="15.0" hidden="1" customHeight="1">
      <c r="A4029" s="59">
        <f t="shared" si="20"/>
        <v>64</v>
      </c>
      <c r="B4029" s="59" t="str">
        <f t="shared" si="21"/>
        <v/>
      </c>
      <c r="C4029" s="59" t="str">
        <f t="shared" si="22"/>
        <v/>
      </c>
      <c r="D4029" s="45" t="str">
        <f t="shared" si="23"/>
        <v/>
      </c>
      <c r="E4029" s="45" t="str">
        <f t="shared" si="24"/>
        <v/>
      </c>
      <c r="F4029" s="59" t="str">
        <f t="shared" si="25"/>
        <v/>
      </c>
      <c r="G4029" s="59" t="str">
        <f t="shared" si="26"/>
        <v/>
      </c>
      <c r="H4029" s="59" t="str">
        <f t="shared" si="27"/>
        <v>28C03261</v>
      </c>
      <c r="I4029" s="59" t="str">
        <f>IF(OR($A4029="",$C4029="",$D4029="",$E4029="",$H4029=""),"",SUMIFS(DATA_GOC!$H:$H,DATA_GOC!$A:$A,"BOM",DATA_GOC!$D:$D,$H4029,DATA_GOC!$E:$E,$C4029,DATA_GOC!$F:$F,"Xuất nội bộ từ téc",DATA_GOC!$B:$B,"&gt;="&amp;$D4029,DATA_GOC!$B:$B,"&lt;="&amp;$E4029))</f>
        <v/>
      </c>
      <c r="J4029" s="59">
        <f t="shared" si="28"/>
        <v>0</v>
      </c>
      <c r="K4029" s="59">
        <f t="shared" si="29"/>
        <v>0</v>
      </c>
      <c r="L4029" s="59">
        <f t="shared" si="30"/>
        <v>0</v>
      </c>
      <c r="M4029" s="59">
        <f t="shared" si="31"/>
        <v>0</v>
      </c>
    </row>
    <row r="4030" ht="15.0" hidden="1" customHeight="1">
      <c r="A4030" s="59">
        <f t="shared" si="20"/>
        <v>64</v>
      </c>
      <c r="B4030" s="59" t="str">
        <f t="shared" si="21"/>
        <v/>
      </c>
      <c r="C4030" s="59" t="str">
        <f t="shared" si="22"/>
        <v/>
      </c>
      <c r="D4030" s="45" t="str">
        <f t="shared" si="23"/>
        <v/>
      </c>
      <c r="E4030" s="45" t="str">
        <f t="shared" si="24"/>
        <v/>
      </c>
      <c r="F4030" s="59" t="str">
        <f t="shared" si="25"/>
        <v/>
      </c>
      <c r="G4030" s="59" t="str">
        <f t="shared" si="26"/>
        <v/>
      </c>
      <c r="H4030" s="59" t="str">
        <f t="shared" si="27"/>
        <v>28C03323</v>
      </c>
      <c r="I4030" s="59" t="str">
        <f>IF(OR($A4030="",$C4030="",$D4030="",$E4030="",$H4030=""),"",SUMIFS(DATA_GOC!$H:$H,DATA_GOC!$A:$A,"BOM",DATA_GOC!$D:$D,$H4030,DATA_GOC!$E:$E,$C4030,DATA_GOC!$F:$F,"Xuất nội bộ từ téc",DATA_GOC!$B:$B,"&gt;="&amp;$D4030,DATA_GOC!$B:$B,"&lt;="&amp;$E4030))</f>
        <v/>
      </c>
      <c r="J4030" s="59">
        <f t="shared" si="28"/>
        <v>0</v>
      </c>
      <c r="K4030" s="59">
        <f t="shared" si="29"/>
        <v>0</v>
      </c>
      <c r="L4030" s="59">
        <f t="shared" si="30"/>
        <v>0</v>
      </c>
      <c r="M4030" s="59">
        <f t="shared" si="31"/>
        <v>0</v>
      </c>
    </row>
    <row r="4031" ht="15.0" hidden="1" customHeight="1">
      <c r="A4031" s="59">
        <f t="shared" si="20"/>
        <v>64</v>
      </c>
      <c r="B4031" s="59" t="str">
        <f t="shared" si="21"/>
        <v/>
      </c>
      <c r="C4031" s="59" t="str">
        <f t="shared" si="22"/>
        <v/>
      </c>
      <c r="D4031" s="45" t="str">
        <f t="shared" si="23"/>
        <v/>
      </c>
      <c r="E4031" s="45" t="str">
        <f t="shared" si="24"/>
        <v/>
      </c>
      <c r="F4031" s="59" t="str">
        <f t="shared" si="25"/>
        <v/>
      </c>
      <c r="G4031" s="59" t="str">
        <f t="shared" si="26"/>
        <v/>
      </c>
      <c r="H4031" s="59" t="str">
        <f t="shared" si="27"/>
        <v>28C03385</v>
      </c>
      <c r="I4031" s="59" t="str">
        <f>IF(OR($A4031="",$C4031="",$D4031="",$E4031="",$H4031=""),"",SUMIFS(DATA_GOC!$H:$H,DATA_GOC!$A:$A,"BOM",DATA_GOC!$D:$D,$H4031,DATA_GOC!$E:$E,$C4031,DATA_GOC!$F:$F,"Xuất nội bộ từ téc",DATA_GOC!$B:$B,"&gt;="&amp;$D4031,DATA_GOC!$B:$B,"&lt;="&amp;$E4031))</f>
        <v/>
      </c>
      <c r="J4031" s="59">
        <f t="shared" si="28"/>
        <v>0</v>
      </c>
      <c r="K4031" s="59">
        <f t="shared" si="29"/>
        <v>0</v>
      </c>
      <c r="L4031" s="59">
        <f t="shared" si="30"/>
        <v>0</v>
      </c>
      <c r="M4031" s="59">
        <f t="shared" si="31"/>
        <v>0</v>
      </c>
    </row>
    <row r="4032" ht="15.0" hidden="1" customHeight="1">
      <c r="A4032" s="59">
        <f t="shared" si="20"/>
        <v>64</v>
      </c>
      <c r="B4032" s="59" t="str">
        <f t="shared" si="21"/>
        <v/>
      </c>
      <c r="C4032" s="59" t="str">
        <f t="shared" si="22"/>
        <v/>
      </c>
      <c r="D4032" s="45" t="str">
        <f t="shared" si="23"/>
        <v/>
      </c>
      <c r="E4032" s="45" t="str">
        <f t="shared" si="24"/>
        <v/>
      </c>
      <c r="F4032" s="59" t="str">
        <f t="shared" si="25"/>
        <v/>
      </c>
      <c r="G4032" s="59" t="str">
        <f t="shared" si="26"/>
        <v/>
      </c>
      <c r="H4032" s="59" t="str">
        <f t="shared" si="27"/>
        <v>28C03652</v>
      </c>
      <c r="I4032" s="59" t="str">
        <f>IF(OR($A4032="",$C4032="",$D4032="",$E4032="",$H4032=""),"",SUMIFS(DATA_GOC!$H:$H,DATA_GOC!$A:$A,"BOM",DATA_GOC!$D:$D,$H4032,DATA_GOC!$E:$E,$C4032,DATA_GOC!$F:$F,"Xuất nội bộ từ téc",DATA_GOC!$B:$B,"&gt;="&amp;$D4032,DATA_GOC!$B:$B,"&lt;="&amp;$E4032))</f>
        <v/>
      </c>
      <c r="J4032" s="59">
        <f t="shared" si="28"/>
        <v>0</v>
      </c>
      <c r="K4032" s="59">
        <f t="shared" si="29"/>
        <v>0</v>
      </c>
      <c r="L4032" s="59">
        <f t="shared" si="30"/>
        <v>0</v>
      </c>
      <c r="M4032" s="59">
        <f t="shared" si="31"/>
        <v>0</v>
      </c>
    </row>
    <row r="4033" ht="15.0" hidden="1" customHeight="1">
      <c r="A4033" s="59">
        <f t="shared" si="20"/>
        <v>64</v>
      </c>
      <c r="B4033" s="59" t="str">
        <f t="shared" si="21"/>
        <v/>
      </c>
      <c r="C4033" s="59" t="str">
        <f t="shared" si="22"/>
        <v/>
      </c>
      <c r="D4033" s="45" t="str">
        <f t="shared" si="23"/>
        <v/>
      </c>
      <c r="E4033" s="45" t="str">
        <f t="shared" si="24"/>
        <v/>
      </c>
      <c r="F4033" s="59" t="str">
        <f t="shared" si="25"/>
        <v/>
      </c>
      <c r="G4033" s="59" t="str">
        <f t="shared" si="26"/>
        <v/>
      </c>
      <c r="H4033" s="59" t="str">
        <f t="shared" si="27"/>
        <v>28C03695</v>
      </c>
      <c r="I4033" s="59" t="str">
        <f>IF(OR($A4033="",$C4033="",$D4033="",$E4033="",$H4033=""),"",SUMIFS(DATA_GOC!$H:$H,DATA_GOC!$A:$A,"BOM",DATA_GOC!$D:$D,$H4033,DATA_GOC!$E:$E,$C4033,DATA_GOC!$F:$F,"Xuất nội bộ từ téc",DATA_GOC!$B:$B,"&gt;="&amp;$D4033,DATA_GOC!$B:$B,"&lt;="&amp;$E4033))</f>
        <v/>
      </c>
      <c r="J4033" s="59">
        <f t="shared" si="28"/>
        <v>0</v>
      </c>
      <c r="K4033" s="59">
        <f t="shared" si="29"/>
        <v>0</v>
      </c>
      <c r="L4033" s="59">
        <f t="shared" si="30"/>
        <v>0</v>
      </c>
      <c r="M4033" s="59">
        <f t="shared" si="31"/>
        <v>0</v>
      </c>
    </row>
    <row r="4034" ht="15.0" hidden="1" customHeight="1">
      <c r="A4034" s="59">
        <f t="shared" si="20"/>
        <v>64</v>
      </c>
      <c r="B4034" s="59" t="str">
        <f t="shared" si="21"/>
        <v/>
      </c>
      <c r="C4034" s="59" t="str">
        <f t="shared" si="22"/>
        <v/>
      </c>
      <c r="D4034" s="45" t="str">
        <f t="shared" si="23"/>
        <v/>
      </c>
      <c r="E4034" s="45" t="str">
        <f t="shared" si="24"/>
        <v/>
      </c>
      <c r="F4034" s="59" t="str">
        <f t="shared" si="25"/>
        <v/>
      </c>
      <c r="G4034" s="59" t="str">
        <f t="shared" si="26"/>
        <v/>
      </c>
      <c r="H4034" s="59" t="str">
        <f t="shared" si="27"/>
        <v>28C03927</v>
      </c>
      <c r="I4034" s="59" t="str">
        <f>IF(OR($A4034="",$C4034="",$D4034="",$E4034="",$H4034=""),"",SUMIFS(DATA_GOC!$H:$H,DATA_GOC!$A:$A,"BOM",DATA_GOC!$D:$D,$H4034,DATA_GOC!$E:$E,$C4034,DATA_GOC!$F:$F,"Xuất nội bộ từ téc",DATA_GOC!$B:$B,"&gt;="&amp;$D4034,DATA_GOC!$B:$B,"&lt;="&amp;$E4034))</f>
        <v/>
      </c>
      <c r="J4034" s="59">
        <f t="shared" si="28"/>
        <v>0</v>
      </c>
      <c r="K4034" s="59">
        <f t="shared" si="29"/>
        <v>0</v>
      </c>
      <c r="L4034" s="59">
        <f t="shared" si="30"/>
        <v>0</v>
      </c>
      <c r="M4034" s="59">
        <f t="shared" si="31"/>
        <v>0</v>
      </c>
    </row>
    <row r="4035" ht="15.0" hidden="1" customHeight="1">
      <c r="A4035" s="59">
        <f t="shared" si="20"/>
        <v>64</v>
      </c>
      <c r="B4035" s="59" t="str">
        <f t="shared" si="21"/>
        <v/>
      </c>
      <c r="C4035" s="59" t="str">
        <f t="shared" si="22"/>
        <v/>
      </c>
      <c r="D4035" s="45" t="str">
        <f t="shared" si="23"/>
        <v/>
      </c>
      <c r="E4035" s="45" t="str">
        <f t="shared" si="24"/>
        <v/>
      </c>
      <c r="F4035" s="59" t="str">
        <f t="shared" si="25"/>
        <v/>
      </c>
      <c r="G4035" s="59" t="str">
        <f t="shared" si="26"/>
        <v/>
      </c>
      <c r="H4035" s="59" t="str">
        <f t="shared" si="27"/>
        <v>28C04509</v>
      </c>
      <c r="I4035" s="59" t="str">
        <f>IF(OR($A4035="",$C4035="",$D4035="",$E4035="",$H4035=""),"",SUMIFS(DATA_GOC!$H:$H,DATA_GOC!$A:$A,"BOM",DATA_GOC!$D:$D,$H4035,DATA_GOC!$E:$E,$C4035,DATA_GOC!$F:$F,"Xuất nội bộ từ téc",DATA_GOC!$B:$B,"&gt;="&amp;$D4035,DATA_GOC!$B:$B,"&lt;="&amp;$E4035))</f>
        <v/>
      </c>
      <c r="J4035" s="59">
        <f t="shared" si="28"/>
        <v>0</v>
      </c>
      <c r="K4035" s="59">
        <f t="shared" si="29"/>
        <v>0</v>
      </c>
      <c r="L4035" s="59">
        <f t="shared" si="30"/>
        <v>0</v>
      </c>
      <c r="M4035" s="59">
        <f t="shared" si="31"/>
        <v>0</v>
      </c>
    </row>
    <row r="4036" ht="15.0" hidden="1" customHeight="1">
      <c r="A4036" s="59">
        <f t="shared" si="20"/>
        <v>64</v>
      </c>
      <c r="B4036" s="59" t="str">
        <f t="shared" si="21"/>
        <v/>
      </c>
      <c r="C4036" s="59" t="str">
        <f t="shared" si="22"/>
        <v/>
      </c>
      <c r="D4036" s="45" t="str">
        <f t="shared" si="23"/>
        <v/>
      </c>
      <c r="E4036" s="45" t="str">
        <f t="shared" si="24"/>
        <v/>
      </c>
      <c r="F4036" s="59" t="str">
        <f t="shared" si="25"/>
        <v/>
      </c>
      <c r="G4036" s="59" t="str">
        <f t="shared" si="26"/>
        <v/>
      </c>
      <c r="H4036" s="59" t="str">
        <f t="shared" si="27"/>
        <v>28C04536</v>
      </c>
      <c r="I4036" s="59" t="str">
        <f>IF(OR($A4036="",$C4036="",$D4036="",$E4036="",$H4036=""),"",SUMIFS(DATA_GOC!$H:$H,DATA_GOC!$A:$A,"BOM",DATA_GOC!$D:$D,$H4036,DATA_GOC!$E:$E,$C4036,DATA_GOC!$F:$F,"Xuất nội bộ từ téc",DATA_GOC!$B:$B,"&gt;="&amp;$D4036,DATA_GOC!$B:$B,"&lt;="&amp;$E4036))</f>
        <v/>
      </c>
      <c r="J4036" s="59">
        <f t="shared" si="28"/>
        <v>0</v>
      </c>
      <c r="K4036" s="59">
        <f t="shared" si="29"/>
        <v>0</v>
      </c>
      <c r="L4036" s="59">
        <f t="shared" si="30"/>
        <v>0</v>
      </c>
      <c r="M4036" s="59">
        <f t="shared" si="31"/>
        <v>0</v>
      </c>
    </row>
    <row r="4037" ht="15.0" hidden="1" customHeight="1">
      <c r="A4037" s="59">
        <f t="shared" si="20"/>
        <v>64</v>
      </c>
      <c r="B4037" s="59" t="str">
        <f t="shared" si="21"/>
        <v/>
      </c>
      <c r="C4037" s="59" t="str">
        <f t="shared" si="22"/>
        <v/>
      </c>
      <c r="D4037" s="45" t="str">
        <f t="shared" si="23"/>
        <v/>
      </c>
      <c r="E4037" s="45" t="str">
        <f t="shared" si="24"/>
        <v/>
      </c>
      <c r="F4037" s="59" t="str">
        <f t="shared" si="25"/>
        <v/>
      </c>
      <c r="G4037" s="59" t="str">
        <f t="shared" si="26"/>
        <v/>
      </c>
      <c r="H4037" s="59" t="str">
        <f t="shared" si="27"/>
        <v>28C04576</v>
      </c>
      <c r="I4037" s="59" t="str">
        <f>IF(OR($A4037="",$C4037="",$D4037="",$E4037="",$H4037=""),"",SUMIFS(DATA_GOC!$H:$H,DATA_GOC!$A:$A,"BOM",DATA_GOC!$D:$D,$H4037,DATA_GOC!$E:$E,$C4037,DATA_GOC!$F:$F,"Xuất nội bộ từ téc",DATA_GOC!$B:$B,"&gt;="&amp;$D4037,DATA_GOC!$B:$B,"&lt;="&amp;$E4037))</f>
        <v/>
      </c>
      <c r="J4037" s="59">
        <f t="shared" si="28"/>
        <v>0</v>
      </c>
      <c r="K4037" s="59">
        <f t="shared" si="29"/>
        <v>0</v>
      </c>
      <c r="L4037" s="59">
        <f t="shared" si="30"/>
        <v>0</v>
      </c>
      <c r="M4037" s="59">
        <f t="shared" si="31"/>
        <v>0</v>
      </c>
    </row>
    <row r="4038" ht="15.0" hidden="1" customHeight="1">
      <c r="A4038" s="59">
        <f t="shared" si="20"/>
        <v>64</v>
      </c>
      <c r="B4038" s="59" t="str">
        <f t="shared" si="21"/>
        <v/>
      </c>
      <c r="C4038" s="59" t="str">
        <f t="shared" si="22"/>
        <v/>
      </c>
      <c r="D4038" s="45" t="str">
        <f t="shared" si="23"/>
        <v/>
      </c>
      <c r="E4038" s="45" t="str">
        <f t="shared" si="24"/>
        <v/>
      </c>
      <c r="F4038" s="59" t="str">
        <f t="shared" si="25"/>
        <v/>
      </c>
      <c r="G4038" s="59" t="str">
        <f t="shared" si="26"/>
        <v/>
      </c>
      <c r="H4038" s="59" t="str">
        <f t="shared" si="27"/>
        <v>28C05090</v>
      </c>
      <c r="I4038" s="59" t="str">
        <f>IF(OR($A4038="",$C4038="",$D4038="",$E4038="",$H4038=""),"",SUMIFS(DATA_GOC!$H:$H,DATA_GOC!$A:$A,"BOM",DATA_GOC!$D:$D,$H4038,DATA_GOC!$E:$E,$C4038,DATA_GOC!$F:$F,"Xuất nội bộ từ téc",DATA_GOC!$B:$B,"&gt;="&amp;$D4038,DATA_GOC!$B:$B,"&lt;="&amp;$E4038))</f>
        <v/>
      </c>
      <c r="J4038" s="59">
        <f t="shared" si="28"/>
        <v>0</v>
      </c>
      <c r="K4038" s="59">
        <f t="shared" si="29"/>
        <v>0</v>
      </c>
      <c r="L4038" s="59">
        <f t="shared" si="30"/>
        <v>0</v>
      </c>
      <c r="M4038" s="59">
        <f t="shared" si="31"/>
        <v>0</v>
      </c>
    </row>
    <row r="4039" ht="15.0" hidden="1" customHeight="1">
      <c r="A4039" s="59">
        <f t="shared" si="20"/>
        <v>64</v>
      </c>
      <c r="B4039" s="59" t="str">
        <f t="shared" si="21"/>
        <v/>
      </c>
      <c r="C4039" s="59" t="str">
        <f t="shared" si="22"/>
        <v/>
      </c>
      <c r="D4039" s="45" t="str">
        <f t="shared" si="23"/>
        <v/>
      </c>
      <c r="E4039" s="45" t="str">
        <f t="shared" si="24"/>
        <v/>
      </c>
      <c r="F4039" s="59" t="str">
        <f t="shared" si="25"/>
        <v/>
      </c>
      <c r="G4039" s="59" t="str">
        <f t="shared" si="26"/>
        <v/>
      </c>
      <c r="H4039" s="59" t="str">
        <f t="shared" si="27"/>
        <v>28C05345</v>
      </c>
      <c r="I4039" s="59" t="str">
        <f>IF(OR($A4039="",$C4039="",$D4039="",$E4039="",$H4039=""),"",SUMIFS(DATA_GOC!$H:$H,DATA_GOC!$A:$A,"BOM",DATA_GOC!$D:$D,$H4039,DATA_GOC!$E:$E,$C4039,DATA_GOC!$F:$F,"Xuất nội bộ từ téc",DATA_GOC!$B:$B,"&gt;="&amp;$D4039,DATA_GOC!$B:$B,"&lt;="&amp;$E4039))</f>
        <v/>
      </c>
      <c r="J4039" s="59">
        <f t="shared" si="28"/>
        <v>0</v>
      </c>
      <c r="K4039" s="59">
        <f t="shared" si="29"/>
        <v>0</v>
      </c>
      <c r="L4039" s="59">
        <f t="shared" si="30"/>
        <v>0</v>
      </c>
      <c r="M4039" s="59">
        <f t="shared" si="31"/>
        <v>0</v>
      </c>
    </row>
    <row r="4040" ht="15.0" hidden="1" customHeight="1">
      <c r="A4040" s="59">
        <f t="shared" si="20"/>
        <v>64</v>
      </c>
      <c r="B4040" s="59" t="str">
        <f t="shared" si="21"/>
        <v/>
      </c>
      <c r="C4040" s="59" t="str">
        <f t="shared" si="22"/>
        <v/>
      </c>
      <c r="D4040" s="45" t="str">
        <f t="shared" si="23"/>
        <v/>
      </c>
      <c r="E4040" s="45" t="str">
        <f t="shared" si="24"/>
        <v/>
      </c>
      <c r="F4040" s="59" t="str">
        <f t="shared" si="25"/>
        <v/>
      </c>
      <c r="G4040" s="59" t="str">
        <f t="shared" si="26"/>
        <v/>
      </c>
      <c r="H4040" s="59" t="str">
        <f t="shared" si="27"/>
        <v>28C05661</v>
      </c>
      <c r="I4040" s="59" t="str">
        <f>IF(OR($A4040="",$C4040="",$D4040="",$E4040="",$H4040=""),"",SUMIFS(DATA_GOC!$H:$H,DATA_GOC!$A:$A,"BOM",DATA_GOC!$D:$D,$H4040,DATA_GOC!$E:$E,$C4040,DATA_GOC!$F:$F,"Xuất nội bộ từ téc",DATA_GOC!$B:$B,"&gt;="&amp;$D4040,DATA_GOC!$B:$B,"&lt;="&amp;$E4040))</f>
        <v/>
      </c>
      <c r="J4040" s="59">
        <f t="shared" si="28"/>
        <v>0</v>
      </c>
      <c r="K4040" s="59">
        <f t="shared" si="29"/>
        <v>0</v>
      </c>
      <c r="L4040" s="59">
        <f t="shared" si="30"/>
        <v>0</v>
      </c>
      <c r="M4040" s="59">
        <f t="shared" si="31"/>
        <v>0</v>
      </c>
    </row>
    <row r="4041" ht="15.0" hidden="1" customHeight="1">
      <c r="A4041" s="59">
        <f t="shared" si="20"/>
        <v>64</v>
      </c>
      <c r="B4041" s="59" t="str">
        <f t="shared" si="21"/>
        <v/>
      </c>
      <c r="C4041" s="59" t="str">
        <f t="shared" si="22"/>
        <v/>
      </c>
      <c r="D4041" s="45" t="str">
        <f t="shared" si="23"/>
        <v/>
      </c>
      <c r="E4041" s="45" t="str">
        <f t="shared" si="24"/>
        <v/>
      </c>
      <c r="F4041" s="59" t="str">
        <f t="shared" si="25"/>
        <v/>
      </c>
      <c r="G4041" s="59" t="str">
        <f t="shared" si="26"/>
        <v/>
      </c>
      <c r="H4041" s="59" t="str">
        <f t="shared" si="27"/>
        <v>28C05739</v>
      </c>
      <c r="I4041" s="59" t="str">
        <f>IF(OR($A4041="",$C4041="",$D4041="",$E4041="",$H4041=""),"",SUMIFS(DATA_GOC!$H:$H,DATA_GOC!$A:$A,"BOM",DATA_GOC!$D:$D,$H4041,DATA_GOC!$E:$E,$C4041,DATA_GOC!$F:$F,"Xuất nội bộ từ téc",DATA_GOC!$B:$B,"&gt;="&amp;$D4041,DATA_GOC!$B:$B,"&lt;="&amp;$E4041))</f>
        <v/>
      </c>
      <c r="J4041" s="59">
        <f t="shared" si="28"/>
        <v>0</v>
      </c>
      <c r="K4041" s="59">
        <f t="shared" si="29"/>
        <v>0</v>
      </c>
      <c r="L4041" s="59">
        <f t="shared" si="30"/>
        <v>0</v>
      </c>
      <c r="M4041" s="59">
        <f t="shared" si="31"/>
        <v>0</v>
      </c>
    </row>
    <row r="4042" ht="15.0" hidden="1" customHeight="1">
      <c r="A4042" s="59">
        <f t="shared" si="20"/>
        <v>64</v>
      </c>
      <c r="B4042" s="59" t="str">
        <f t="shared" si="21"/>
        <v/>
      </c>
      <c r="C4042" s="59" t="str">
        <f t="shared" si="22"/>
        <v/>
      </c>
      <c r="D4042" s="45" t="str">
        <f t="shared" si="23"/>
        <v/>
      </c>
      <c r="E4042" s="45" t="str">
        <f t="shared" si="24"/>
        <v/>
      </c>
      <c r="F4042" s="59" t="str">
        <f t="shared" si="25"/>
        <v/>
      </c>
      <c r="G4042" s="59" t="str">
        <f t="shared" si="26"/>
        <v/>
      </c>
      <c r="H4042" s="59" t="str">
        <f t="shared" si="27"/>
        <v>28C06369</v>
      </c>
      <c r="I4042" s="59" t="str">
        <f>IF(OR($A4042="",$C4042="",$D4042="",$E4042="",$H4042=""),"",SUMIFS(DATA_GOC!$H:$H,DATA_GOC!$A:$A,"BOM",DATA_GOC!$D:$D,$H4042,DATA_GOC!$E:$E,$C4042,DATA_GOC!$F:$F,"Xuất nội bộ từ téc",DATA_GOC!$B:$B,"&gt;="&amp;$D4042,DATA_GOC!$B:$B,"&lt;="&amp;$E4042))</f>
        <v/>
      </c>
      <c r="J4042" s="59">
        <f t="shared" si="28"/>
        <v>0</v>
      </c>
      <c r="K4042" s="59">
        <f t="shared" si="29"/>
        <v>0</v>
      </c>
      <c r="L4042" s="59">
        <f t="shared" si="30"/>
        <v>0</v>
      </c>
      <c r="M4042" s="59">
        <f t="shared" si="31"/>
        <v>0</v>
      </c>
    </row>
    <row r="4043" ht="15.0" hidden="1" customHeight="1">
      <c r="A4043" s="59">
        <f t="shared" si="20"/>
        <v>64</v>
      </c>
      <c r="B4043" s="59" t="str">
        <f t="shared" si="21"/>
        <v/>
      </c>
      <c r="C4043" s="59" t="str">
        <f t="shared" si="22"/>
        <v/>
      </c>
      <c r="D4043" s="45" t="str">
        <f t="shared" si="23"/>
        <v/>
      </c>
      <c r="E4043" s="45" t="str">
        <f t="shared" si="24"/>
        <v/>
      </c>
      <c r="F4043" s="59" t="str">
        <f t="shared" si="25"/>
        <v/>
      </c>
      <c r="G4043" s="59" t="str">
        <f t="shared" si="26"/>
        <v/>
      </c>
      <c r="H4043" s="59" t="str">
        <f t="shared" si="27"/>
        <v>28C06447</v>
      </c>
      <c r="I4043" s="59" t="str">
        <f>IF(OR($A4043="",$C4043="",$D4043="",$E4043="",$H4043=""),"",SUMIFS(DATA_GOC!$H:$H,DATA_GOC!$A:$A,"BOM",DATA_GOC!$D:$D,$H4043,DATA_GOC!$E:$E,$C4043,DATA_GOC!$F:$F,"Xuất nội bộ từ téc",DATA_GOC!$B:$B,"&gt;="&amp;$D4043,DATA_GOC!$B:$B,"&lt;="&amp;$E4043))</f>
        <v/>
      </c>
      <c r="J4043" s="59">
        <f t="shared" si="28"/>
        <v>0</v>
      </c>
      <c r="K4043" s="59">
        <f t="shared" si="29"/>
        <v>0</v>
      </c>
      <c r="L4043" s="59">
        <f t="shared" si="30"/>
        <v>0</v>
      </c>
      <c r="M4043" s="59">
        <f t="shared" si="31"/>
        <v>0</v>
      </c>
    </row>
    <row r="4044" ht="15.0" hidden="1" customHeight="1">
      <c r="A4044" s="59">
        <f t="shared" si="20"/>
        <v>64</v>
      </c>
      <c r="B4044" s="59" t="str">
        <f t="shared" si="21"/>
        <v/>
      </c>
      <c r="C4044" s="59" t="str">
        <f t="shared" si="22"/>
        <v/>
      </c>
      <c r="D4044" s="45" t="str">
        <f t="shared" si="23"/>
        <v/>
      </c>
      <c r="E4044" s="45" t="str">
        <f t="shared" si="24"/>
        <v/>
      </c>
      <c r="F4044" s="59" t="str">
        <f t="shared" si="25"/>
        <v/>
      </c>
      <c r="G4044" s="59" t="str">
        <f t="shared" si="26"/>
        <v/>
      </c>
      <c r="H4044" s="59" t="str">
        <f t="shared" si="27"/>
        <v>28H00003</v>
      </c>
      <c r="I4044" s="59" t="str">
        <f>IF(OR($A4044="",$C4044="",$D4044="",$E4044="",$H4044=""),"",SUMIFS(DATA_GOC!$H:$H,DATA_GOC!$A:$A,"BOM",DATA_GOC!$D:$D,$H4044,DATA_GOC!$E:$E,$C4044,DATA_GOC!$F:$F,"Xuất nội bộ từ téc",DATA_GOC!$B:$B,"&gt;="&amp;$D4044,DATA_GOC!$B:$B,"&lt;="&amp;$E4044))</f>
        <v/>
      </c>
      <c r="J4044" s="59">
        <f t="shared" si="28"/>
        <v>0</v>
      </c>
      <c r="K4044" s="59">
        <f t="shared" si="29"/>
        <v>0</v>
      </c>
      <c r="L4044" s="59">
        <f t="shared" si="30"/>
        <v>0</v>
      </c>
      <c r="M4044" s="59">
        <f t="shared" si="31"/>
        <v>0</v>
      </c>
    </row>
    <row r="4045" ht="15.0" hidden="1" customHeight="1">
      <c r="A4045" s="59">
        <f t="shared" si="20"/>
        <v>64</v>
      </c>
      <c r="B4045" s="59" t="str">
        <f t="shared" si="21"/>
        <v/>
      </c>
      <c r="C4045" s="59" t="str">
        <f t="shared" si="22"/>
        <v/>
      </c>
      <c r="D4045" s="45" t="str">
        <f t="shared" si="23"/>
        <v/>
      </c>
      <c r="E4045" s="45" t="str">
        <f t="shared" si="24"/>
        <v/>
      </c>
      <c r="F4045" s="59" t="str">
        <f t="shared" si="25"/>
        <v/>
      </c>
      <c r="G4045" s="59" t="str">
        <f t="shared" si="26"/>
        <v/>
      </c>
      <c r="H4045" s="59" t="str">
        <f t="shared" si="27"/>
        <v>28H00061</v>
      </c>
      <c r="I4045" s="59" t="str">
        <f>IF(OR($A4045="",$C4045="",$D4045="",$E4045="",$H4045=""),"",SUMIFS(DATA_GOC!$H:$H,DATA_GOC!$A:$A,"BOM",DATA_GOC!$D:$D,$H4045,DATA_GOC!$E:$E,$C4045,DATA_GOC!$F:$F,"Xuất nội bộ từ téc",DATA_GOC!$B:$B,"&gt;="&amp;$D4045,DATA_GOC!$B:$B,"&lt;="&amp;$E4045))</f>
        <v/>
      </c>
      <c r="J4045" s="59">
        <f t="shared" si="28"/>
        <v>0</v>
      </c>
      <c r="K4045" s="59">
        <f t="shared" si="29"/>
        <v>0</v>
      </c>
      <c r="L4045" s="59">
        <f t="shared" si="30"/>
        <v>0</v>
      </c>
      <c r="M4045" s="59">
        <f t="shared" si="31"/>
        <v>0</v>
      </c>
    </row>
    <row r="4046" ht="15.0" hidden="1" customHeight="1">
      <c r="A4046" s="59">
        <f t="shared" si="20"/>
        <v>64</v>
      </c>
      <c r="B4046" s="59" t="str">
        <f t="shared" si="21"/>
        <v/>
      </c>
      <c r="C4046" s="59" t="str">
        <f t="shared" si="22"/>
        <v/>
      </c>
      <c r="D4046" s="45" t="str">
        <f t="shared" si="23"/>
        <v/>
      </c>
      <c r="E4046" s="45" t="str">
        <f t="shared" si="24"/>
        <v/>
      </c>
      <c r="F4046" s="59" t="str">
        <f t="shared" si="25"/>
        <v/>
      </c>
      <c r="G4046" s="59" t="str">
        <f t="shared" si="26"/>
        <v/>
      </c>
      <c r="H4046" s="59" t="str">
        <f t="shared" si="27"/>
        <v>28H00354</v>
      </c>
      <c r="I4046" s="59" t="str">
        <f>IF(OR($A4046="",$C4046="",$D4046="",$E4046="",$H4046=""),"",SUMIFS(DATA_GOC!$H:$H,DATA_GOC!$A:$A,"BOM",DATA_GOC!$D:$D,$H4046,DATA_GOC!$E:$E,$C4046,DATA_GOC!$F:$F,"Xuất nội bộ từ téc",DATA_GOC!$B:$B,"&gt;="&amp;$D4046,DATA_GOC!$B:$B,"&lt;="&amp;$E4046))</f>
        <v/>
      </c>
      <c r="J4046" s="59">
        <f t="shared" si="28"/>
        <v>0</v>
      </c>
      <c r="K4046" s="59">
        <f t="shared" si="29"/>
        <v>0</v>
      </c>
      <c r="L4046" s="59">
        <f t="shared" si="30"/>
        <v>0</v>
      </c>
      <c r="M4046" s="59">
        <f t="shared" si="31"/>
        <v>0</v>
      </c>
    </row>
    <row r="4047" ht="15.0" hidden="1" customHeight="1">
      <c r="A4047" s="59">
        <f t="shared" si="20"/>
        <v>64</v>
      </c>
      <c r="B4047" s="59" t="str">
        <f t="shared" si="21"/>
        <v/>
      </c>
      <c r="C4047" s="59" t="str">
        <f t="shared" si="22"/>
        <v/>
      </c>
      <c r="D4047" s="45" t="str">
        <f t="shared" si="23"/>
        <v/>
      </c>
      <c r="E4047" s="45" t="str">
        <f t="shared" si="24"/>
        <v/>
      </c>
      <c r="F4047" s="59" t="str">
        <f t="shared" si="25"/>
        <v/>
      </c>
      <c r="G4047" s="59" t="str">
        <f t="shared" si="26"/>
        <v/>
      </c>
      <c r="H4047" s="59" t="str">
        <f t="shared" si="27"/>
        <v>28H00603</v>
      </c>
      <c r="I4047" s="59" t="str">
        <f>IF(OR($A4047="",$C4047="",$D4047="",$E4047="",$H4047=""),"",SUMIFS(DATA_GOC!$H:$H,DATA_GOC!$A:$A,"BOM",DATA_GOC!$D:$D,$H4047,DATA_GOC!$E:$E,$C4047,DATA_GOC!$F:$F,"Xuất nội bộ từ téc",DATA_GOC!$B:$B,"&gt;="&amp;$D4047,DATA_GOC!$B:$B,"&lt;="&amp;$E4047))</f>
        <v/>
      </c>
      <c r="J4047" s="59">
        <f t="shared" si="28"/>
        <v>0</v>
      </c>
      <c r="K4047" s="59">
        <f t="shared" si="29"/>
        <v>0</v>
      </c>
      <c r="L4047" s="59">
        <f t="shared" si="30"/>
        <v>0</v>
      </c>
      <c r="M4047" s="59">
        <f t="shared" si="31"/>
        <v>0</v>
      </c>
    </row>
    <row r="4048" ht="15.0" hidden="1" customHeight="1">
      <c r="A4048" s="59">
        <f t="shared" si="20"/>
        <v>64</v>
      </c>
      <c r="B4048" s="59" t="str">
        <f t="shared" si="21"/>
        <v/>
      </c>
      <c r="C4048" s="59" t="str">
        <f t="shared" si="22"/>
        <v/>
      </c>
      <c r="D4048" s="45" t="str">
        <f t="shared" si="23"/>
        <v/>
      </c>
      <c r="E4048" s="45" t="str">
        <f t="shared" si="24"/>
        <v/>
      </c>
      <c r="F4048" s="59" t="str">
        <f t="shared" si="25"/>
        <v/>
      </c>
      <c r="G4048" s="59" t="str">
        <f t="shared" si="26"/>
        <v/>
      </c>
      <c r="H4048" s="59" t="str">
        <f t="shared" si="27"/>
        <v>28H00609</v>
      </c>
      <c r="I4048" s="59" t="str">
        <f>IF(OR($A4048="",$C4048="",$D4048="",$E4048="",$H4048=""),"",SUMIFS(DATA_GOC!$H:$H,DATA_GOC!$A:$A,"BOM",DATA_GOC!$D:$D,$H4048,DATA_GOC!$E:$E,$C4048,DATA_GOC!$F:$F,"Xuất nội bộ từ téc",DATA_GOC!$B:$B,"&gt;="&amp;$D4048,DATA_GOC!$B:$B,"&lt;="&amp;$E4048))</f>
        <v/>
      </c>
      <c r="J4048" s="59">
        <f t="shared" si="28"/>
        <v>0</v>
      </c>
      <c r="K4048" s="59">
        <f t="shared" si="29"/>
        <v>0</v>
      </c>
      <c r="L4048" s="59">
        <f t="shared" si="30"/>
        <v>0</v>
      </c>
      <c r="M4048" s="59">
        <f t="shared" si="31"/>
        <v>0</v>
      </c>
    </row>
    <row r="4049" ht="15.0" hidden="1" customHeight="1">
      <c r="A4049" s="59">
        <f t="shared" si="20"/>
        <v>64</v>
      </c>
      <c r="B4049" s="59" t="str">
        <f t="shared" si="21"/>
        <v/>
      </c>
      <c r="C4049" s="59" t="str">
        <f t="shared" si="22"/>
        <v/>
      </c>
      <c r="D4049" s="45" t="str">
        <f t="shared" si="23"/>
        <v/>
      </c>
      <c r="E4049" s="45" t="str">
        <f t="shared" si="24"/>
        <v/>
      </c>
      <c r="F4049" s="59" t="str">
        <f t="shared" si="25"/>
        <v/>
      </c>
      <c r="G4049" s="59" t="str">
        <f t="shared" si="26"/>
        <v/>
      </c>
      <c r="H4049" s="59" t="str">
        <f t="shared" si="27"/>
        <v>28H00669</v>
      </c>
      <c r="I4049" s="59" t="str">
        <f>IF(OR($A4049="",$C4049="",$D4049="",$E4049="",$H4049=""),"",SUMIFS(DATA_GOC!$H:$H,DATA_GOC!$A:$A,"BOM",DATA_GOC!$D:$D,$H4049,DATA_GOC!$E:$E,$C4049,DATA_GOC!$F:$F,"Xuất nội bộ từ téc",DATA_GOC!$B:$B,"&gt;="&amp;$D4049,DATA_GOC!$B:$B,"&lt;="&amp;$E4049))</f>
        <v/>
      </c>
      <c r="J4049" s="59">
        <f t="shared" si="28"/>
        <v>0</v>
      </c>
      <c r="K4049" s="59">
        <f t="shared" si="29"/>
        <v>0</v>
      </c>
      <c r="L4049" s="59">
        <f t="shared" si="30"/>
        <v>0</v>
      </c>
      <c r="M4049" s="59">
        <f t="shared" si="31"/>
        <v>0</v>
      </c>
    </row>
    <row r="4050" ht="15.0" hidden="1" customHeight="1">
      <c r="A4050" s="59">
        <f t="shared" si="20"/>
        <v>64</v>
      </c>
      <c r="B4050" s="59" t="str">
        <f t="shared" si="21"/>
        <v/>
      </c>
      <c r="C4050" s="59" t="str">
        <f t="shared" si="22"/>
        <v/>
      </c>
      <c r="D4050" s="45" t="str">
        <f t="shared" si="23"/>
        <v/>
      </c>
      <c r="E4050" s="45" t="str">
        <f t="shared" si="24"/>
        <v/>
      </c>
      <c r="F4050" s="59" t="str">
        <f t="shared" si="25"/>
        <v/>
      </c>
      <c r="G4050" s="59" t="str">
        <f t="shared" si="26"/>
        <v/>
      </c>
      <c r="H4050" s="59" t="str">
        <f t="shared" si="27"/>
        <v>28H00680</v>
      </c>
      <c r="I4050" s="59" t="str">
        <f>IF(OR($A4050="",$C4050="",$D4050="",$E4050="",$H4050=""),"",SUMIFS(DATA_GOC!$H:$H,DATA_GOC!$A:$A,"BOM",DATA_GOC!$D:$D,$H4050,DATA_GOC!$E:$E,$C4050,DATA_GOC!$F:$F,"Xuất nội bộ từ téc",DATA_GOC!$B:$B,"&gt;="&amp;$D4050,DATA_GOC!$B:$B,"&lt;="&amp;$E4050))</f>
        <v/>
      </c>
      <c r="J4050" s="59">
        <f t="shared" si="28"/>
        <v>0</v>
      </c>
      <c r="K4050" s="59">
        <f t="shared" si="29"/>
        <v>0</v>
      </c>
      <c r="L4050" s="59">
        <f t="shared" si="30"/>
        <v>0</v>
      </c>
      <c r="M4050" s="59">
        <f t="shared" si="31"/>
        <v>0</v>
      </c>
    </row>
    <row r="4051" ht="15.0" hidden="1" customHeight="1">
      <c r="A4051" s="59">
        <f t="shared" si="20"/>
        <v>64</v>
      </c>
      <c r="B4051" s="59" t="str">
        <f t="shared" si="21"/>
        <v/>
      </c>
      <c r="C4051" s="59" t="str">
        <f t="shared" si="22"/>
        <v/>
      </c>
      <c r="D4051" s="45" t="str">
        <f t="shared" si="23"/>
        <v/>
      </c>
      <c r="E4051" s="45" t="str">
        <f t="shared" si="24"/>
        <v/>
      </c>
      <c r="F4051" s="59" t="str">
        <f t="shared" si="25"/>
        <v/>
      </c>
      <c r="G4051" s="59" t="str">
        <f t="shared" si="26"/>
        <v/>
      </c>
      <c r="H4051" s="59" t="str">
        <f t="shared" si="27"/>
        <v>28H01070</v>
      </c>
      <c r="I4051" s="59" t="str">
        <f>IF(OR($A4051="",$C4051="",$D4051="",$E4051="",$H4051=""),"",SUMIFS(DATA_GOC!$H:$H,DATA_GOC!$A:$A,"BOM",DATA_GOC!$D:$D,$H4051,DATA_GOC!$E:$E,$C4051,DATA_GOC!$F:$F,"Xuất nội bộ từ téc",DATA_GOC!$B:$B,"&gt;="&amp;$D4051,DATA_GOC!$B:$B,"&lt;="&amp;$E4051))</f>
        <v/>
      </c>
      <c r="J4051" s="59">
        <f t="shared" si="28"/>
        <v>0</v>
      </c>
      <c r="K4051" s="59">
        <f t="shared" si="29"/>
        <v>0</v>
      </c>
      <c r="L4051" s="59">
        <f t="shared" si="30"/>
        <v>0</v>
      </c>
      <c r="M4051" s="59">
        <f t="shared" si="31"/>
        <v>0</v>
      </c>
    </row>
    <row r="4052" ht="15.0" hidden="1" customHeight="1">
      <c r="A4052" s="59">
        <f t="shared" si="20"/>
        <v>64</v>
      </c>
      <c r="B4052" s="59" t="str">
        <f t="shared" si="21"/>
        <v/>
      </c>
      <c r="C4052" s="59" t="str">
        <f t="shared" si="22"/>
        <v/>
      </c>
      <c r="D4052" s="45" t="str">
        <f t="shared" si="23"/>
        <v/>
      </c>
      <c r="E4052" s="45" t="str">
        <f t="shared" si="24"/>
        <v/>
      </c>
      <c r="F4052" s="59" t="str">
        <f t="shared" si="25"/>
        <v/>
      </c>
      <c r="G4052" s="59" t="str">
        <f t="shared" si="26"/>
        <v/>
      </c>
      <c r="H4052" s="59" t="str">
        <f t="shared" si="27"/>
        <v>28H01364</v>
      </c>
      <c r="I4052" s="59" t="str">
        <f>IF(OR($A4052="",$C4052="",$D4052="",$E4052="",$H4052=""),"",SUMIFS(DATA_GOC!$H:$H,DATA_GOC!$A:$A,"BOM",DATA_GOC!$D:$D,$H4052,DATA_GOC!$E:$E,$C4052,DATA_GOC!$F:$F,"Xuất nội bộ từ téc",DATA_GOC!$B:$B,"&gt;="&amp;$D4052,DATA_GOC!$B:$B,"&lt;="&amp;$E4052))</f>
        <v/>
      </c>
      <c r="J4052" s="59">
        <f t="shared" si="28"/>
        <v>0</v>
      </c>
      <c r="K4052" s="59">
        <f t="shared" si="29"/>
        <v>0</v>
      </c>
      <c r="L4052" s="59">
        <f t="shared" si="30"/>
        <v>0</v>
      </c>
      <c r="M4052" s="59">
        <f t="shared" si="31"/>
        <v>0</v>
      </c>
    </row>
    <row r="4053" ht="15.0" hidden="1" customHeight="1">
      <c r="A4053" s="59">
        <f t="shared" si="20"/>
        <v>64</v>
      </c>
      <c r="B4053" s="59" t="str">
        <f t="shared" si="21"/>
        <v/>
      </c>
      <c r="C4053" s="59" t="str">
        <f t="shared" si="22"/>
        <v/>
      </c>
      <c r="D4053" s="45" t="str">
        <f t="shared" si="23"/>
        <v/>
      </c>
      <c r="E4053" s="45" t="str">
        <f t="shared" si="24"/>
        <v/>
      </c>
      <c r="F4053" s="59" t="str">
        <f t="shared" si="25"/>
        <v/>
      </c>
      <c r="G4053" s="59" t="str">
        <f t="shared" si="26"/>
        <v/>
      </c>
      <c r="H4053" s="59" t="str">
        <f t="shared" si="27"/>
        <v>29E17269</v>
      </c>
      <c r="I4053" s="59" t="str">
        <f>IF(OR($A4053="",$C4053="",$D4053="",$E4053="",$H4053=""),"",SUMIFS(DATA_GOC!$H:$H,DATA_GOC!$A:$A,"BOM",DATA_GOC!$D:$D,$H4053,DATA_GOC!$E:$E,$C4053,DATA_GOC!$F:$F,"Xuất nội bộ từ téc",DATA_GOC!$B:$B,"&gt;="&amp;$D4053,DATA_GOC!$B:$B,"&lt;="&amp;$E4053))</f>
        <v/>
      </c>
      <c r="J4053" s="59">
        <f t="shared" si="28"/>
        <v>0</v>
      </c>
      <c r="K4053" s="59">
        <f t="shared" si="29"/>
        <v>0</v>
      </c>
      <c r="L4053" s="59">
        <f t="shared" si="30"/>
        <v>0</v>
      </c>
      <c r="M4053" s="59">
        <f t="shared" si="31"/>
        <v>0</v>
      </c>
    </row>
    <row r="4054" ht="15.0" hidden="1" customHeight="1">
      <c r="A4054" s="59">
        <f t="shared" si="20"/>
        <v>64</v>
      </c>
      <c r="B4054" s="59" t="str">
        <f t="shared" si="21"/>
        <v/>
      </c>
      <c r="C4054" s="59" t="str">
        <f t="shared" si="22"/>
        <v/>
      </c>
      <c r="D4054" s="45" t="str">
        <f t="shared" si="23"/>
        <v/>
      </c>
      <c r="E4054" s="45" t="str">
        <f t="shared" si="24"/>
        <v/>
      </c>
      <c r="F4054" s="59" t="str">
        <f t="shared" si="25"/>
        <v/>
      </c>
      <c r="G4054" s="59" t="str">
        <f t="shared" si="26"/>
        <v/>
      </c>
      <c r="H4054" s="59" t="str">
        <f t="shared" si="27"/>
        <v>29E17273</v>
      </c>
      <c r="I4054" s="59" t="str">
        <f>IF(OR($A4054="",$C4054="",$D4054="",$E4054="",$H4054=""),"",SUMIFS(DATA_GOC!$H:$H,DATA_GOC!$A:$A,"BOM",DATA_GOC!$D:$D,$H4054,DATA_GOC!$E:$E,$C4054,DATA_GOC!$F:$F,"Xuất nội bộ từ téc",DATA_GOC!$B:$B,"&gt;="&amp;$D4054,DATA_GOC!$B:$B,"&lt;="&amp;$E4054))</f>
        <v/>
      </c>
      <c r="J4054" s="59">
        <f t="shared" si="28"/>
        <v>0</v>
      </c>
      <c r="K4054" s="59">
        <f t="shared" si="29"/>
        <v>0</v>
      </c>
      <c r="L4054" s="59">
        <f t="shared" si="30"/>
        <v>0</v>
      </c>
      <c r="M4054" s="59">
        <f t="shared" si="31"/>
        <v>0</v>
      </c>
    </row>
    <row r="4055" ht="15.0" hidden="1" customHeight="1">
      <c r="A4055" s="59">
        <f t="shared" si="20"/>
        <v>64</v>
      </c>
      <c r="B4055" s="59" t="str">
        <f t="shared" si="21"/>
        <v/>
      </c>
      <c r="C4055" s="59" t="str">
        <f t="shared" si="22"/>
        <v/>
      </c>
      <c r="D4055" s="45" t="str">
        <f t="shared" si="23"/>
        <v/>
      </c>
      <c r="E4055" s="45" t="str">
        <f t="shared" si="24"/>
        <v/>
      </c>
      <c r="F4055" s="59" t="str">
        <f t="shared" si="25"/>
        <v/>
      </c>
      <c r="G4055" s="59" t="str">
        <f t="shared" si="26"/>
        <v/>
      </c>
      <c r="H4055" s="59" t="str">
        <f t="shared" si="27"/>
        <v>29E17410</v>
      </c>
      <c r="I4055" s="59" t="str">
        <f>IF(OR($A4055="",$C4055="",$D4055="",$E4055="",$H4055=""),"",SUMIFS(DATA_GOC!$H:$H,DATA_GOC!$A:$A,"BOM",DATA_GOC!$D:$D,$H4055,DATA_GOC!$E:$E,$C4055,DATA_GOC!$F:$F,"Xuất nội bộ từ téc",DATA_GOC!$B:$B,"&gt;="&amp;$D4055,DATA_GOC!$B:$B,"&lt;="&amp;$E4055))</f>
        <v/>
      </c>
      <c r="J4055" s="59">
        <f t="shared" si="28"/>
        <v>0</v>
      </c>
      <c r="K4055" s="59">
        <f t="shared" si="29"/>
        <v>0</v>
      </c>
      <c r="L4055" s="59">
        <f t="shared" si="30"/>
        <v>0</v>
      </c>
      <c r="M4055" s="59">
        <f t="shared" si="31"/>
        <v>0</v>
      </c>
    </row>
    <row r="4056" ht="15.0" hidden="1" customHeight="1">
      <c r="A4056" s="59">
        <f t="shared" si="20"/>
        <v>64</v>
      </c>
      <c r="B4056" s="59" t="str">
        <f t="shared" si="21"/>
        <v/>
      </c>
      <c r="C4056" s="59" t="str">
        <f t="shared" si="22"/>
        <v/>
      </c>
      <c r="D4056" s="45" t="str">
        <f t="shared" si="23"/>
        <v/>
      </c>
      <c r="E4056" s="45" t="str">
        <f t="shared" si="24"/>
        <v/>
      </c>
      <c r="F4056" s="59" t="str">
        <f t="shared" si="25"/>
        <v/>
      </c>
      <c r="G4056" s="59" t="str">
        <f t="shared" si="26"/>
        <v/>
      </c>
      <c r="H4056" s="59" t="str">
        <f t="shared" si="27"/>
        <v>29E17417</v>
      </c>
      <c r="I4056" s="59" t="str">
        <f>IF(OR($A4056="",$C4056="",$D4056="",$E4056="",$H4056=""),"",SUMIFS(DATA_GOC!$H:$H,DATA_GOC!$A:$A,"BOM",DATA_GOC!$D:$D,$H4056,DATA_GOC!$E:$E,$C4056,DATA_GOC!$F:$F,"Xuất nội bộ từ téc",DATA_GOC!$B:$B,"&gt;="&amp;$D4056,DATA_GOC!$B:$B,"&lt;="&amp;$E4056))</f>
        <v/>
      </c>
      <c r="J4056" s="59">
        <f t="shared" si="28"/>
        <v>0</v>
      </c>
      <c r="K4056" s="59">
        <f t="shared" si="29"/>
        <v>0</v>
      </c>
      <c r="L4056" s="59">
        <f t="shared" si="30"/>
        <v>0</v>
      </c>
      <c r="M4056" s="59">
        <f t="shared" si="31"/>
        <v>0</v>
      </c>
    </row>
    <row r="4057" ht="15.0" hidden="1" customHeight="1">
      <c r="A4057" s="59">
        <f t="shared" si="20"/>
        <v>64</v>
      </c>
      <c r="B4057" s="59" t="str">
        <f t="shared" si="21"/>
        <v/>
      </c>
      <c r="C4057" s="59" t="str">
        <f t="shared" si="22"/>
        <v/>
      </c>
      <c r="D4057" s="45" t="str">
        <f t="shared" si="23"/>
        <v/>
      </c>
      <c r="E4057" s="45" t="str">
        <f t="shared" si="24"/>
        <v/>
      </c>
      <c r="F4057" s="59" t="str">
        <f t="shared" si="25"/>
        <v/>
      </c>
      <c r="G4057" s="59" t="str">
        <f t="shared" si="26"/>
        <v/>
      </c>
      <c r="H4057" s="59" t="str">
        <f t="shared" si="27"/>
        <v>29E17539</v>
      </c>
      <c r="I4057" s="59" t="str">
        <f>IF(OR($A4057="",$C4057="",$D4057="",$E4057="",$H4057=""),"",SUMIFS(DATA_GOC!$H:$H,DATA_GOC!$A:$A,"BOM",DATA_GOC!$D:$D,$H4057,DATA_GOC!$E:$E,$C4057,DATA_GOC!$F:$F,"Xuất nội bộ từ téc",DATA_GOC!$B:$B,"&gt;="&amp;$D4057,DATA_GOC!$B:$B,"&lt;="&amp;$E4057))</f>
        <v/>
      </c>
      <c r="J4057" s="59">
        <f t="shared" si="28"/>
        <v>0</v>
      </c>
      <c r="K4057" s="59">
        <f t="shared" si="29"/>
        <v>0</v>
      </c>
      <c r="L4057" s="59">
        <f t="shared" si="30"/>
        <v>0</v>
      </c>
      <c r="M4057" s="59">
        <f t="shared" si="31"/>
        <v>0</v>
      </c>
    </row>
    <row r="4058" ht="15.0" hidden="1" customHeight="1">
      <c r="A4058" s="59">
        <f t="shared" si="20"/>
        <v>64</v>
      </c>
      <c r="B4058" s="59" t="str">
        <f t="shared" si="21"/>
        <v/>
      </c>
      <c r="C4058" s="59" t="str">
        <f t="shared" si="22"/>
        <v/>
      </c>
      <c r="D4058" s="45" t="str">
        <f t="shared" si="23"/>
        <v/>
      </c>
      <c r="E4058" s="45" t="str">
        <f t="shared" si="24"/>
        <v/>
      </c>
      <c r="F4058" s="59" t="str">
        <f t="shared" si="25"/>
        <v/>
      </c>
      <c r="G4058" s="59" t="str">
        <f t="shared" si="26"/>
        <v/>
      </c>
      <c r="H4058" s="59" t="str">
        <f t="shared" si="27"/>
        <v>29E18160</v>
      </c>
      <c r="I4058" s="59" t="str">
        <f>IF(OR($A4058="",$C4058="",$D4058="",$E4058="",$H4058=""),"",SUMIFS(DATA_GOC!$H:$H,DATA_GOC!$A:$A,"BOM",DATA_GOC!$D:$D,$H4058,DATA_GOC!$E:$E,$C4058,DATA_GOC!$F:$F,"Xuất nội bộ từ téc",DATA_GOC!$B:$B,"&gt;="&amp;$D4058,DATA_GOC!$B:$B,"&lt;="&amp;$E4058))</f>
        <v/>
      </c>
      <c r="J4058" s="59">
        <f t="shared" si="28"/>
        <v>0</v>
      </c>
      <c r="K4058" s="59">
        <f t="shared" si="29"/>
        <v>0</v>
      </c>
      <c r="L4058" s="59">
        <f t="shared" si="30"/>
        <v>0</v>
      </c>
      <c r="M4058" s="59">
        <f t="shared" si="31"/>
        <v>0</v>
      </c>
    </row>
    <row r="4059" ht="15.0" hidden="1" customHeight="1">
      <c r="A4059" s="59">
        <f t="shared" si="20"/>
        <v>64</v>
      </c>
      <c r="B4059" s="59" t="str">
        <f t="shared" si="21"/>
        <v/>
      </c>
      <c r="C4059" s="59" t="str">
        <f t="shared" si="22"/>
        <v/>
      </c>
      <c r="D4059" s="45" t="str">
        <f t="shared" si="23"/>
        <v/>
      </c>
      <c r="E4059" s="45" t="str">
        <f t="shared" si="24"/>
        <v/>
      </c>
      <c r="F4059" s="59" t="str">
        <f t="shared" si="25"/>
        <v/>
      </c>
      <c r="G4059" s="59" t="str">
        <f t="shared" si="26"/>
        <v/>
      </c>
      <c r="H4059" s="59" t="str">
        <f t="shared" si="27"/>
        <v>Công trình Asphalt</v>
      </c>
      <c r="I4059" s="59" t="str">
        <f>IF(OR($A4059="",$C4059="",$D4059="",$E4059="",$H4059=""),"",SUMIFS(DATA_GOC!$H:$H,DATA_GOC!$A:$A,"BOM",DATA_GOC!$D:$D,$H4059,DATA_GOC!$E:$E,$C4059,DATA_GOC!$F:$F,"Xuất nội bộ từ téc",DATA_GOC!$B:$B,"&gt;="&amp;$D4059,DATA_GOC!$B:$B,"&lt;="&amp;$E4059))</f>
        <v/>
      </c>
      <c r="J4059" s="59">
        <f t="shared" si="28"/>
        <v>0</v>
      </c>
      <c r="K4059" s="59">
        <f t="shared" si="29"/>
        <v>0</v>
      </c>
      <c r="L4059" s="59">
        <f t="shared" si="30"/>
        <v>0</v>
      </c>
      <c r="M4059" s="59">
        <f t="shared" si="31"/>
        <v>0</v>
      </c>
    </row>
    <row r="4060" ht="15.0" hidden="1" customHeight="1">
      <c r="A4060" s="59">
        <f t="shared" si="20"/>
        <v>64</v>
      </c>
      <c r="B4060" s="59" t="str">
        <f t="shared" si="21"/>
        <v/>
      </c>
      <c r="C4060" s="59" t="str">
        <f t="shared" si="22"/>
        <v/>
      </c>
      <c r="D4060" s="45" t="str">
        <f t="shared" si="23"/>
        <v/>
      </c>
      <c r="E4060" s="45" t="str">
        <f t="shared" si="24"/>
        <v/>
      </c>
      <c r="F4060" s="59" t="str">
        <f t="shared" si="25"/>
        <v/>
      </c>
      <c r="G4060" s="59" t="str">
        <f t="shared" si="26"/>
        <v/>
      </c>
      <c r="H4060" s="59" t="str">
        <f t="shared" si="27"/>
        <v>LG53F</v>
      </c>
      <c r="I4060" s="59" t="str">
        <f>IF(OR($A4060="",$C4060="",$D4060="",$E4060="",$H4060=""),"",SUMIFS(DATA_GOC!$H:$H,DATA_GOC!$A:$A,"BOM",DATA_GOC!$D:$D,$H4060,DATA_GOC!$E:$E,$C4060,DATA_GOC!$F:$F,"Xuất nội bộ từ téc",DATA_GOC!$B:$B,"&gt;="&amp;$D4060,DATA_GOC!$B:$B,"&lt;="&amp;$E4060))</f>
        <v/>
      </c>
      <c r="J4060" s="59">
        <f t="shared" si="28"/>
        <v>0</v>
      </c>
      <c r="K4060" s="59">
        <f t="shared" si="29"/>
        <v>0</v>
      </c>
      <c r="L4060" s="59">
        <f t="shared" si="30"/>
        <v>0</v>
      </c>
      <c r="M4060" s="59">
        <f t="shared" si="31"/>
        <v>0</v>
      </c>
    </row>
    <row r="4061" ht="15.0" hidden="1" customHeight="1">
      <c r="A4061" s="59">
        <f t="shared" si="20"/>
        <v>64</v>
      </c>
      <c r="B4061" s="59" t="str">
        <f t="shared" si="21"/>
        <v/>
      </c>
      <c r="C4061" s="59" t="str">
        <f t="shared" si="22"/>
        <v/>
      </c>
      <c r="D4061" s="45" t="str">
        <f t="shared" si="23"/>
        <v/>
      </c>
      <c r="E4061" s="45" t="str">
        <f t="shared" si="24"/>
        <v/>
      </c>
      <c r="F4061" s="59" t="str">
        <f t="shared" si="25"/>
        <v/>
      </c>
      <c r="G4061" s="59" t="str">
        <f t="shared" si="26"/>
        <v/>
      </c>
      <c r="H4061" s="59" t="str">
        <f t="shared" si="27"/>
        <v>Máy phát điện</v>
      </c>
      <c r="I4061" s="59" t="str">
        <f>IF(OR($A4061="",$C4061="",$D4061="",$E4061="",$H4061=""),"",SUMIFS(DATA_GOC!$H:$H,DATA_GOC!$A:$A,"BOM",DATA_GOC!$D:$D,$H4061,DATA_GOC!$E:$E,$C4061,DATA_GOC!$F:$F,"Xuất nội bộ từ téc",DATA_GOC!$B:$B,"&gt;="&amp;$D4061,DATA_GOC!$B:$B,"&lt;="&amp;$E4061))</f>
        <v/>
      </c>
      <c r="J4061" s="59">
        <f t="shared" si="28"/>
        <v>0</v>
      </c>
      <c r="K4061" s="59">
        <f t="shared" si="29"/>
        <v>0</v>
      </c>
      <c r="L4061" s="59">
        <f t="shared" si="30"/>
        <v>0</v>
      </c>
      <c r="M4061" s="59">
        <f t="shared" si="31"/>
        <v>0</v>
      </c>
    </row>
    <row r="4062" ht="15.0" hidden="1" customHeight="1">
      <c r="A4062" s="59">
        <f t="shared" si="20"/>
        <v>64</v>
      </c>
      <c r="B4062" s="59" t="str">
        <f t="shared" si="21"/>
        <v/>
      </c>
      <c r="C4062" s="59" t="str">
        <f t="shared" si="22"/>
        <v/>
      </c>
      <c r="D4062" s="45" t="str">
        <f t="shared" si="23"/>
        <v/>
      </c>
      <c r="E4062" s="45" t="str">
        <f t="shared" si="24"/>
        <v/>
      </c>
      <c r="F4062" s="59" t="str">
        <f t="shared" si="25"/>
        <v/>
      </c>
      <c r="G4062" s="59" t="str">
        <f t="shared" si="26"/>
        <v/>
      </c>
      <c r="H4062" s="59" t="str">
        <f t="shared" si="27"/>
        <v>Máy rải thảm</v>
      </c>
      <c r="I4062" s="59" t="str">
        <f>IF(OR($A4062="",$C4062="",$D4062="",$E4062="",$H4062=""),"",SUMIFS(DATA_GOC!$H:$H,DATA_GOC!$A:$A,"BOM",DATA_GOC!$D:$D,$H4062,DATA_GOC!$E:$E,$C4062,DATA_GOC!$F:$F,"Xuất nội bộ từ téc",DATA_GOC!$B:$B,"&gt;="&amp;$D4062,DATA_GOC!$B:$B,"&lt;="&amp;$E4062))</f>
        <v/>
      </c>
      <c r="J4062" s="59">
        <f t="shared" si="28"/>
        <v>0</v>
      </c>
      <c r="K4062" s="59">
        <f t="shared" si="29"/>
        <v>0</v>
      </c>
      <c r="L4062" s="59">
        <f t="shared" si="30"/>
        <v>0</v>
      </c>
      <c r="M4062" s="59">
        <f t="shared" si="31"/>
        <v>0</v>
      </c>
    </row>
    <row r="4063" ht="15.0" hidden="1" customHeight="1">
      <c r="A4063" s="59">
        <f t="shared" si="20"/>
        <v>64</v>
      </c>
      <c r="B4063" s="59" t="str">
        <f t="shared" si="21"/>
        <v/>
      </c>
      <c r="C4063" s="59" t="str">
        <f t="shared" si="22"/>
        <v/>
      </c>
      <c r="D4063" s="45" t="str">
        <f t="shared" si="23"/>
        <v/>
      </c>
      <c r="E4063" s="45" t="str">
        <f t="shared" si="24"/>
        <v/>
      </c>
      <c r="F4063" s="59" t="str">
        <f t="shared" si="25"/>
        <v/>
      </c>
      <c r="G4063" s="59" t="str">
        <f t="shared" si="26"/>
        <v/>
      </c>
      <c r="H4063" s="59" t="str">
        <f t="shared" si="27"/>
        <v>Xúc Đào</v>
      </c>
      <c r="I4063" s="59" t="str">
        <f>IF(OR($A4063="",$C4063="",$D4063="",$E4063="",$H4063=""),"",SUMIFS(DATA_GOC!$H:$H,DATA_GOC!$A:$A,"BOM",DATA_GOC!$D:$D,$H4063,DATA_GOC!$E:$E,$C4063,DATA_GOC!$F:$F,"Xuất nội bộ từ téc",DATA_GOC!$B:$B,"&gt;="&amp;$D4063,DATA_GOC!$B:$B,"&lt;="&amp;$E4063))</f>
        <v/>
      </c>
      <c r="J4063" s="59">
        <f t="shared" si="28"/>
        <v>0</v>
      </c>
      <c r="K4063" s="59">
        <f t="shared" si="29"/>
        <v>0</v>
      </c>
      <c r="L4063" s="59">
        <f t="shared" si="30"/>
        <v>0</v>
      </c>
      <c r="M4063" s="59">
        <f t="shared" si="31"/>
        <v>0</v>
      </c>
    </row>
    <row r="4064" ht="15.0" hidden="1" customHeight="1">
      <c r="A4064" s="59">
        <f t="shared" si="20"/>
        <v>64</v>
      </c>
      <c r="B4064" s="59" t="str">
        <f t="shared" si="21"/>
        <v/>
      </c>
      <c r="C4064" s="59" t="str">
        <f t="shared" si="22"/>
        <v/>
      </c>
      <c r="D4064" s="45" t="str">
        <f t="shared" si="23"/>
        <v/>
      </c>
      <c r="E4064" s="45" t="str">
        <f t="shared" si="24"/>
        <v/>
      </c>
      <c r="F4064" s="59" t="str">
        <f t="shared" si="25"/>
        <v/>
      </c>
      <c r="G4064" s="59" t="str">
        <f t="shared" si="26"/>
        <v/>
      </c>
      <c r="H4064" s="59" t="str">
        <f t="shared" si="27"/>
        <v>Xúclật asphalt</v>
      </c>
      <c r="I4064" s="59" t="str">
        <f>IF(OR($A4064="",$C4064="",$D4064="",$E4064="",$H4064=""),"",SUMIFS(DATA_GOC!$H:$H,DATA_GOC!$A:$A,"BOM",DATA_GOC!$D:$D,$H4064,DATA_GOC!$E:$E,$C4064,DATA_GOC!$F:$F,"Xuất nội bộ từ téc",DATA_GOC!$B:$B,"&gt;="&amp;$D4064,DATA_GOC!$B:$B,"&lt;="&amp;$E4064))</f>
        <v/>
      </c>
      <c r="J4064" s="59">
        <f t="shared" si="28"/>
        <v>0</v>
      </c>
      <c r="K4064" s="59">
        <f t="shared" si="29"/>
        <v>0</v>
      </c>
      <c r="L4064" s="59">
        <f t="shared" si="30"/>
        <v>0</v>
      </c>
      <c r="M4064" s="59">
        <f t="shared" si="31"/>
        <v>0</v>
      </c>
    </row>
    <row r="4065" ht="15.0" hidden="1" customHeight="1">
      <c r="A4065" s="59">
        <f t="shared" si="20"/>
        <v>64</v>
      </c>
      <c r="B4065" s="59" t="str">
        <f t="shared" si="21"/>
        <v/>
      </c>
      <c r="C4065" s="59" t="str">
        <f t="shared" si="22"/>
        <v/>
      </c>
      <c r="D4065" s="45" t="str">
        <f t="shared" si="23"/>
        <v/>
      </c>
      <c r="E4065" s="45" t="str">
        <f t="shared" si="24"/>
        <v/>
      </c>
      <c r="F4065" s="59" t="str">
        <f t="shared" si="25"/>
        <v/>
      </c>
      <c r="G4065" s="59" t="str">
        <f t="shared" si="26"/>
        <v/>
      </c>
      <c r="H4065" s="59" t="str">
        <f t="shared" si="27"/>
        <v>Xúclật855H</v>
      </c>
      <c r="I4065" s="59" t="str">
        <f>IF(OR($A4065="",$C4065="",$D4065="",$E4065="",$H4065=""),"",SUMIFS(DATA_GOC!$H:$H,DATA_GOC!$A:$A,"BOM",DATA_GOC!$D:$D,$H4065,DATA_GOC!$E:$E,$C4065,DATA_GOC!$F:$F,"Xuất nội bộ từ téc",DATA_GOC!$B:$B,"&gt;="&amp;$D4065,DATA_GOC!$B:$B,"&lt;="&amp;$E4065))</f>
        <v/>
      </c>
      <c r="J4065" s="59">
        <f t="shared" si="28"/>
        <v>0</v>
      </c>
      <c r="K4065" s="59">
        <f t="shared" si="29"/>
        <v>0</v>
      </c>
      <c r="L4065" s="59">
        <f t="shared" si="30"/>
        <v>0</v>
      </c>
      <c r="M4065" s="59">
        <f t="shared" si="31"/>
        <v>0</v>
      </c>
    </row>
    <row r="4066" ht="15.0" hidden="1" customHeight="1">
      <c r="A4066" s="59">
        <f t="shared" si="20"/>
        <v>64</v>
      </c>
      <c r="B4066" s="59" t="str">
        <f t="shared" si="21"/>
        <v/>
      </c>
      <c r="C4066" s="59" t="str">
        <f t="shared" si="22"/>
        <v/>
      </c>
      <c r="D4066" s="45" t="str">
        <f t="shared" si="23"/>
        <v/>
      </c>
      <c r="E4066" s="45" t="str">
        <f t="shared" si="24"/>
        <v/>
      </c>
      <c r="F4066" s="59" t="str">
        <f t="shared" si="25"/>
        <v/>
      </c>
      <c r="G4066" s="59" t="str">
        <f t="shared" si="26"/>
        <v/>
      </c>
      <c r="H4066" s="59" t="str">
        <f t="shared" si="27"/>
        <v>Xúclật855N</v>
      </c>
      <c r="I4066" s="59" t="str">
        <f>IF(OR($A4066="",$C4066="",$D4066="",$E4066="",$H4066=""),"",SUMIFS(DATA_GOC!$H:$H,DATA_GOC!$A:$A,"BOM",DATA_GOC!$D:$D,$H4066,DATA_GOC!$E:$E,$C4066,DATA_GOC!$F:$F,"Xuất nội bộ từ téc",DATA_GOC!$B:$B,"&gt;="&amp;$D4066,DATA_GOC!$B:$B,"&lt;="&amp;$E4066))</f>
        <v/>
      </c>
      <c r="J4066" s="59">
        <f t="shared" si="28"/>
        <v>0</v>
      </c>
      <c r="K4066" s="59">
        <f t="shared" si="29"/>
        <v>0</v>
      </c>
      <c r="L4066" s="59">
        <f t="shared" si="30"/>
        <v>0</v>
      </c>
      <c r="M4066" s="59">
        <f t="shared" si="31"/>
        <v>0</v>
      </c>
    </row>
    <row r="4067" ht="15.0" hidden="1" customHeight="1">
      <c r="A4067" s="59">
        <f t="shared" si="20"/>
        <v>64</v>
      </c>
      <c r="B4067" s="59" t="str">
        <f t="shared" si="21"/>
        <v/>
      </c>
      <c r="C4067" s="59" t="str">
        <f t="shared" si="22"/>
        <v/>
      </c>
      <c r="D4067" s="45" t="str">
        <f t="shared" si="23"/>
        <v/>
      </c>
      <c r="E4067" s="45" t="str">
        <f t="shared" si="24"/>
        <v/>
      </c>
      <c r="F4067" s="59" t="str">
        <f t="shared" si="25"/>
        <v/>
      </c>
      <c r="G4067" s="59" t="str">
        <f t="shared" si="26"/>
        <v/>
      </c>
      <c r="H4067" s="59" t="str">
        <f t="shared" si="27"/>
        <v>Cát nghiền</v>
      </c>
      <c r="I4067" s="59" t="str">
        <f>IF(OR($A4067="",$C4067="",$D4067="",$E4067="",$H4067=""),"",SUMIFS(DATA_GOC!$H:$H,DATA_GOC!$A:$A,"BOM",DATA_GOC!$D:$D,$H4067,DATA_GOC!$E:$E,$C4067,DATA_GOC!$F:$F,"Xuất nội bộ từ téc",DATA_GOC!$B:$B,"&gt;="&amp;$D4067,DATA_GOC!$B:$B,"&lt;="&amp;$E4067))</f>
        <v/>
      </c>
      <c r="J4067" s="59">
        <f t="shared" si="28"/>
        <v>0</v>
      </c>
      <c r="K4067" s="59">
        <f t="shared" si="29"/>
        <v>0</v>
      </c>
      <c r="L4067" s="59">
        <f t="shared" si="30"/>
        <v>0</v>
      </c>
      <c r="M4067" s="59">
        <f t="shared" si="31"/>
        <v>0</v>
      </c>
    </row>
    <row r="4068" ht="15.0" hidden="1" customHeight="1">
      <c r="A4068" s="59">
        <f t="shared" si="20"/>
        <v>64</v>
      </c>
      <c r="B4068" s="59" t="str">
        <f t="shared" si="21"/>
        <v/>
      </c>
      <c r="C4068" s="59" t="str">
        <f t="shared" si="22"/>
        <v/>
      </c>
      <c r="D4068" s="45" t="str">
        <f t="shared" si="23"/>
        <v/>
      </c>
      <c r="E4068" s="45" t="str">
        <f t="shared" si="24"/>
        <v/>
      </c>
      <c r="F4068" s="59" t="str">
        <f t="shared" si="25"/>
        <v/>
      </c>
      <c r="G4068" s="59" t="str">
        <f t="shared" si="26"/>
        <v/>
      </c>
      <c r="H4068" s="59" t="str">
        <f t="shared" si="27"/>
        <v>28C02973</v>
      </c>
      <c r="I4068" s="59" t="str">
        <f>IF(OR($A4068="",$C4068="",$D4068="",$E4068="",$H4068=""),"",SUMIFS(DATA_GOC!$H:$H,DATA_GOC!$A:$A,"BOM",DATA_GOC!$D:$D,$H4068,DATA_GOC!$E:$E,$C4068,DATA_GOC!$F:$F,"Xuất nội bộ từ téc",DATA_GOC!$B:$B,"&gt;="&amp;$D4068,DATA_GOC!$B:$B,"&lt;="&amp;$E4068))</f>
        <v/>
      </c>
      <c r="J4068" s="59">
        <f t="shared" si="28"/>
        <v>0</v>
      </c>
      <c r="K4068" s="59">
        <f t="shared" si="29"/>
        <v>0</v>
      </c>
      <c r="L4068" s="59">
        <f t="shared" si="30"/>
        <v>0</v>
      </c>
      <c r="M4068" s="59">
        <f t="shared" si="31"/>
        <v>0</v>
      </c>
    </row>
    <row r="4069" ht="15.0" hidden="1" customHeight="1">
      <c r="A4069" s="59">
        <f t="shared" si="20"/>
        <v>64</v>
      </c>
      <c r="B4069" s="59" t="str">
        <f t="shared" si="21"/>
        <v/>
      </c>
      <c r="C4069" s="59" t="str">
        <f t="shared" si="22"/>
        <v/>
      </c>
      <c r="D4069" s="45" t="str">
        <f t="shared" si="23"/>
        <v/>
      </c>
      <c r="E4069" s="45" t="str">
        <f t="shared" si="24"/>
        <v/>
      </c>
      <c r="F4069" s="59" t="str">
        <f t="shared" si="25"/>
        <v/>
      </c>
      <c r="G4069" s="59" t="str">
        <f t="shared" si="26"/>
        <v/>
      </c>
      <c r="H4069" s="59" t="str">
        <f t="shared" si="27"/>
        <v>28C03044</v>
      </c>
      <c r="I4069" s="59" t="str">
        <f>IF(OR($A4069="",$C4069="",$D4069="",$E4069="",$H4069=""),"",SUMIFS(DATA_GOC!$H:$H,DATA_GOC!$A:$A,"BOM",DATA_GOC!$D:$D,$H4069,DATA_GOC!$E:$E,$C4069,DATA_GOC!$F:$F,"Xuất nội bộ từ téc",DATA_GOC!$B:$B,"&gt;="&amp;$D4069,DATA_GOC!$B:$B,"&lt;="&amp;$E4069))</f>
        <v/>
      </c>
      <c r="J4069" s="59">
        <f t="shared" si="28"/>
        <v>0</v>
      </c>
      <c r="K4069" s="59">
        <f t="shared" si="29"/>
        <v>0</v>
      </c>
      <c r="L4069" s="59">
        <f t="shared" si="30"/>
        <v>0</v>
      </c>
      <c r="M4069" s="59">
        <f t="shared" si="31"/>
        <v>0</v>
      </c>
    </row>
    <row r="4070" ht="15.0" hidden="1" customHeight="1">
      <c r="A4070" s="59">
        <f t="shared" si="20"/>
        <v>64</v>
      </c>
      <c r="B4070" s="59" t="str">
        <f t="shared" si="21"/>
        <v/>
      </c>
      <c r="C4070" s="59" t="str">
        <f t="shared" si="22"/>
        <v/>
      </c>
      <c r="D4070" s="45" t="str">
        <f t="shared" si="23"/>
        <v/>
      </c>
      <c r="E4070" s="45" t="str">
        <f t="shared" si="24"/>
        <v/>
      </c>
      <c r="F4070" s="59" t="str">
        <f t="shared" si="25"/>
        <v/>
      </c>
      <c r="G4070" s="59" t="str">
        <f t="shared" si="26"/>
        <v/>
      </c>
      <c r="H4070" s="59" t="str">
        <f t="shared" si="27"/>
        <v>Máy lu lốp</v>
      </c>
      <c r="I4070" s="59" t="str">
        <f>IF(OR($A4070="",$C4070="",$D4070="",$E4070="",$H4070=""),"",SUMIFS(DATA_GOC!$H:$H,DATA_GOC!$A:$A,"BOM",DATA_GOC!$D:$D,$H4070,DATA_GOC!$E:$E,$C4070,DATA_GOC!$F:$F,"Xuất nội bộ từ téc",DATA_GOC!$B:$B,"&gt;="&amp;$D4070,DATA_GOC!$B:$B,"&lt;="&amp;$E4070))</f>
        <v/>
      </c>
      <c r="J4070" s="59">
        <f t="shared" si="28"/>
        <v>0</v>
      </c>
      <c r="K4070" s="59">
        <f t="shared" si="29"/>
        <v>0</v>
      </c>
      <c r="L4070" s="59">
        <f t="shared" si="30"/>
        <v>0</v>
      </c>
      <c r="M4070" s="59">
        <f t="shared" si="31"/>
        <v>0</v>
      </c>
    </row>
    <row r="4071" ht="15.0" hidden="1" customHeight="1">
      <c r="A4071" s="59">
        <f t="shared" si="20"/>
        <v>64</v>
      </c>
      <c r="B4071" s="59" t="str">
        <f t="shared" si="21"/>
        <v/>
      </c>
      <c r="C4071" s="59" t="str">
        <f t="shared" si="22"/>
        <v/>
      </c>
      <c r="D4071" s="45" t="str">
        <f t="shared" si="23"/>
        <v/>
      </c>
      <c r="E4071" s="45" t="str">
        <f t="shared" si="24"/>
        <v/>
      </c>
      <c r="F4071" s="59" t="str">
        <f t="shared" si="25"/>
        <v/>
      </c>
      <c r="G4071" s="59" t="str">
        <f t="shared" si="26"/>
        <v/>
      </c>
      <c r="H4071" s="59" t="str">
        <f t="shared" si="27"/>
        <v>Xe 600148</v>
      </c>
      <c r="I4071" s="59" t="str">
        <f>IF(OR($A4071="",$C4071="",$D4071="",$E4071="",$H4071=""),"",SUMIFS(DATA_GOC!$H:$H,DATA_GOC!$A:$A,"BOM",DATA_GOC!$D:$D,$H4071,DATA_GOC!$E:$E,$C4071,DATA_GOC!$F:$F,"Xuất nội bộ từ téc",DATA_GOC!$B:$B,"&gt;="&amp;$D4071,DATA_GOC!$B:$B,"&lt;="&amp;$E4071))</f>
        <v/>
      </c>
      <c r="J4071" s="59">
        <f t="shared" si="28"/>
        <v>0</v>
      </c>
      <c r="K4071" s="59">
        <f t="shared" si="29"/>
        <v>0</v>
      </c>
      <c r="L4071" s="59">
        <f t="shared" si="30"/>
        <v>0</v>
      </c>
      <c r="M4071" s="59">
        <f t="shared" si="31"/>
        <v>0</v>
      </c>
    </row>
    <row r="4072" ht="15.0" hidden="1" customHeight="1">
      <c r="A4072" s="59">
        <f t="shared" si="20"/>
        <v>64</v>
      </c>
      <c r="B4072" s="59" t="str">
        <f t="shared" si="21"/>
        <v/>
      </c>
      <c r="C4072" s="59" t="str">
        <f t="shared" si="22"/>
        <v/>
      </c>
      <c r="D4072" s="45" t="str">
        <f t="shared" si="23"/>
        <v/>
      </c>
      <c r="E4072" s="45" t="str">
        <f t="shared" si="24"/>
        <v/>
      </c>
      <c r="F4072" s="59" t="str">
        <f t="shared" si="25"/>
        <v/>
      </c>
      <c r="G4072" s="59" t="str">
        <f t="shared" si="26"/>
        <v/>
      </c>
      <c r="H4072" s="59" t="str">
        <f t="shared" si="27"/>
        <v>Xe ben mới</v>
      </c>
      <c r="I4072" s="59" t="str">
        <f>IF(OR($A4072="",$C4072="",$D4072="",$E4072="",$H4072=""),"",SUMIFS(DATA_GOC!$H:$H,DATA_GOC!$A:$A,"BOM",DATA_GOC!$D:$D,$H4072,DATA_GOC!$E:$E,$C4072,DATA_GOC!$F:$F,"Xuất nội bộ từ téc",DATA_GOC!$B:$B,"&gt;="&amp;$D4072,DATA_GOC!$B:$B,"&lt;="&amp;$E4072))</f>
        <v/>
      </c>
      <c r="J4072" s="59">
        <f t="shared" si="28"/>
        <v>0</v>
      </c>
      <c r="K4072" s="59">
        <f t="shared" si="29"/>
        <v>0</v>
      </c>
      <c r="L4072" s="59">
        <f t="shared" si="30"/>
        <v>0</v>
      </c>
      <c r="M4072" s="59">
        <f t="shared" si="31"/>
        <v>0</v>
      </c>
    </row>
    <row r="4073" ht="15.0" hidden="1" customHeight="1">
      <c r="A4073" s="59">
        <f t="shared" si="20"/>
        <v>65</v>
      </c>
      <c r="B4073" s="59" t="str">
        <f t="shared" si="21"/>
        <v/>
      </c>
      <c r="C4073" s="59" t="str">
        <f t="shared" si="22"/>
        <v/>
      </c>
      <c r="D4073" s="45" t="str">
        <f t="shared" si="23"/>
        <v/>
      </c>
      <c r="E4073" s="45" t="str">
        <f t="shared" si="24"/>
        <v/>
      </c>
      <c r="F4073" s="59" t="str">
        <f t="shared" si="25"/>
        <v/>
      </c>
      <c r="G4073" s="59" t="str">
        <f t="shared" si="26"/>
        <v/>
      </c>
      <c r="H4073" s="59" t="str">
        <f t="shared" si="27"/>
        <v>19H09482</v>
      </c>
      <c r="I4073" s="59" t="str">
        <f>IF(OR($A4073="",$C4073="",$D4073="",$E4073="",$H4073=""),"",SUMIFS(DATA_GOC!$H:$H,DATA_GOC!$A:$A,"BOM",DATA_GOC!$D:$D,$H4073,DATA_GOC!$E:$E,$C4073,DATA_GOC!$F:$F,"Xuất nội bộ từ téc",DATA_GOC!$B:$B,"&gt;="&amp;$D4073,DATA_GOC!$B:$B,"&lt;="&amp;$E4073))</f>
        <v/>
      </c>
      <c r="J4073" s="59">
        <f t="shared" si="28"/>
        <v>0</v>
      </c>
      <c r="K4073" s="59">
        <f t="shared" si="29"/>
        <v>0</v>
      </c>
      <c r="L4073" s="59">
        <f t="shared" si="30"/>
        <v>0</v>
      </c>
      <c r="M4073" s="59">
        <f t="shared" si="31"/>
        <v>0</v>
      </c>
    </row>
    <row r="4074" ht="15.0" hidden="1" customHeight="1">
      <c r="A4074" s="59">
        <f t="shared" si="20"/>
        <v>65</v>
      </c>
      <c r="B4074" s="59" t="str">
        <f t="shared" si="21"/>
        <v/>
      </c>
      <c r="C4074" s="59" t="str">
        <f t="shared" si="22"/>
        <v/>
      </c>
      <c r="D4074" s="45" t="str">
        <f t="shared" si="23"/>
        <v/>
      </c>
      <c r="E4074" s="45" t="str">
        <f t="shared" si="24"/>
        <v/>
      </c>
      <c r="F4074" s="59" t="str">
        <f t="shared" si="25"/>
        <v/>
      </c>
      <c r="G4074" s="59" t="str">
        <f t="shared" si="26"/>
        <v/>
      </c>
      <c r="H4074" s="59" t="str">
        <f t="shared" si="27"/>
        <v>28A30696</v>
      </c>
      <c r="I4074" s="59" t="str">
        <f>IF(OR($A4074="",$C4074="",$D4074="",$E4074="",$H4074=""),"",SUMIFS(DATA_GOC!$H:$H,DATA_GOC!$A:$A,"BOM",DATA_GOC!$D:$D,$H4074,DATA_GOC!$E:$E,$C4074,DATA_GOC!$F:$F,"Xuất nội bộ từ téc",DATA_GOC!$B:$B,"&gt;="&amp;$D4074,DATA_GOC!$B:$B,"&lt;="&amp;$E4074))</f>
        <v/>
      </c>
      <c r="J4074" s="59">
        <f t="shared" si="28"/>
        <v>0</v>
      </c>
      <c r="K4074" s="59">
        <f t="shared" si="29"/>
        <v>0</v>
      </c>
      <c r="L4074" s="59">
        <f t="shared" si="30"/>
        <v>0</v>
      </c>
      <c r="M4074" s="59">
        <f t="shared" si="31"/>
        <v>0</v>
      </c>
    </row>
    <row r="4075" ht="15.0" hidden="1" customHeight="1">
      <c r="A4075" s="59">
        <f t="shared" si="20"/>
        <v>65</v>
      </c>
      <c r="B4075" s="59" t="str">
        <f t="shared" si="21"/>
        <v/>
      </c>
      <c r="C4075" s="59" t="str">
        <f t="shared" si="22"/>
        <v/>
      </c>
      <c r="D4075" s="45" t="str">
        <f t="shared" si="23"/>
        <v/>
      </c>
      <c r="E4075" s="45" t="str">
        <f t="shared" si="24"/>
        <v/>
      </c>
      <c r="F4075" s="59" t="str">
        <f t="shared" si="25"/>
        <v/>
      </c>
      <c r="G4075" s="59" t="str">
        <f t="shared" si="26"/>
        <v/>
      </c>
      <c r="H4075" s="59" t="str">
        <f t="shared" si="27"/>
        <v>28C00462</v>
      </c>
      <c r="I4075" s="59" t="str">
        <f>IF(OR($A4075="",$C4075="",$D4075="",$E4075="",$H4075=""),"",SUMIFS(DATA_GOC!$H:$H,DATA_GOC!$A:$A,"BOM",DATA_GOC!$D:$D,$H4075,DATA_GOC!$E:$E,$C4075,DATA_GOC!$F:$F,"Xuất nội bộ từ téc",DATA_GOC!$B:$B,"&gt;="&amp;$D4075,DATA_GOC!$B:$B,"&lt;="&amp;$E4075))</f>
        <v/>
      </c>
      <c r="J4075" s="59">
        <f t="shared" si="28"/>
        <v>0</v>
      </c>
      <c r="K4075" s="59">
        <f t="shared" si="29"/>
        <v>0</v>
      </c>
      <c r="L4075" s="59">
        <f t="shared" si="30"/>
        <v>0</v>
      </c>
      <c r="M4075" s="59">
        <f t="shared" si="31"/>
        <v>0</v>
      </c>
    </row>
    <row r="4076" ht="15.0" hidden="1" customHeight="1">
      <c r="A4076" s="59">
        <f t="shared" si="20"/>
        <v>65</v>
      </c>
      <c r="B4076" s="59" t="str">
        <f t="shared" si="21"/>
        <v/>
      </c>
      <c r="C4076" s="59" t="str">
        <f t="shared" si="22"/>
        <v/>
      </c>
      <c r="D4076" s="45" t="str">
        <f t="shared" si="23"/>
        <v/>
      </c>
      <c r="E4076" s="45" t="str">
        <f t="shared" si="24"/>
        <v/>
      </c>
      <c r="F4076" s="59" t="str">
        <f t="shared" si="25"/>
        <v/>
      </c>
      <c r="G4076" s="59" t="str">
        <f t="shared" si="26"/>
        <v/>
      </c>
      <c r="H4076" s="59" t="str">
        <f t="shared" si="27"/>
        <v>28C01165</v>
      </c>
      <c r="I4076" s="59" t="str">
        <f>IF(OR($A4076="",$C4076="",$D4076="",$E4076="",$H4076=""),"",SUMIFS(DATA_GOC!$H:$H,DATA_GOC!$A:$A,"BOM",DATA_GOC!$D:$D,$H4076,DATA_GOC!$E:$E,$C4076,DATA_GOC!$F:$F,"Xuất nội bộ từ téc",DATA_GOC!$B:$B,"&gt;="&amp;$D4076,DATA_GOC!$B:$B,"&lt;="&amp;$E4076))</f>
        <v/>
      </c>
      <c r="J4076" s="59">
        <f t="shared" si="28"/>
        <v>0</v>
      </c>
      <c r="K4076" s="59">
        <f t="shared" si="29"/>
        <v>0</v>
      </c>
      <c r="L4076" s="59">
        <f t="shared" si="30"/>
        <v>0</v>
      </c>
      <c r="M4076" s="59">
        <f t="shared" si="31"/>
        <v>0</v>
      </c>
    </row>
    <row r="4077" ht="15.0" hidden="1" customHeight="1">
      <c r="A4077" s="59">
        <f t="shared" si="20"/>
        <v>65</v>
      </c>
      <c r="B4077" s="59" t="str">
        <f t="shared" si="21"/>
        <v/>
      </c>
      <c r="C4077" s="59" t="str">
        <f t="shared" si="22"/>
        <v/>
      </c>
      <c r="D4077" s="45" t="str">
        <f t="shared" si="23"/>
        <v/>
      </c>
      <c r="E4077" s="45" t="str">
        <f t="shared" si="24"/>
        <v/>
      </c>
      <c r="F4077" s="59" t="str">
        <f t="shared" si="25"/>
        <v/>
      </c>
      <c r="G4077" s="59" t="str">
        <f t="shared" si="26"/>
        <v/>
      </c>
      <c r="H4077" s="59" t="str">
        <f t="shared" si="27"/>
        <v>28C01406</v>
      </c>
      <c r="I4077" s="59" t="str">
        <f>IF(OR($A4077="",$C4077="",$D4077="",$E4077="",$H4077=""),"",SUMIFS(DATA_GOC!$H:$H,DATA_GOC!$A:$A,"BOM",DATA_GOC!$D:$D,$H4077,DATA_GOC!$E:$E,$C4077,DATA_GOC!$F:$F,"Xuất nội bộ từ téc",DATA_GOC!$B:$B,"&gt;="&amp;$D4077,DATA_GOC!$B:$B,"&lt;="&amp;$E4077))</f>
        <v/>
      </c>
      <c r="J4077" s="59">
        <f t="shared" si="28"/>
        <v>0</v>
      </c>
      <c r="K4077" s="59">
        <f t="shared" si="29"/>
        <v>0</v>
      </c>
      <c r="L4077" s="59">
        <f t="shared" si="30"/>
        <v>0</v>
      </c>
      <c r="M4077" s="59">
        <f t="shared" si="31"/>
        <v>0</v>
      </c>
    </row>
    <row r="4078" ht="15.0" hidden="1" customHeight="1">
      <c r="A4078" s="59">
        <f t="shared" si="20"/>
        <v>65</v>
      </c>
      <c r="B4078" s="59" t="str">
        <f t="shared" si="21"/>
        <v/>
      </c>
      <c r="C4078" s="59" t="str">
        <f t="shared" si="22"/>
        <v/>
      </c>
      <c r="D4078" s="45" t="str">
        <f t="shared" si="23"/>
        <v/>
      </c>
      <c r="E4078" s="45" t="str">
        <f t="shared" si="24"/>
        <v/>
      </c>
      <c r="F4078" s="59" t="str">
        <f t="shared" si="25"/>
        <v/>
      </c>
      <c r="G4078" s="59" t="str">
        <f t="shared" si="26"/>
        <v/>
      </c>
      <c r="H4078" s="59" t="str">
        <f t="shared" si="27"/>
        <v>28C01544</v>
      </c>
      <c r="I4078" s="59" t="str">
        <f>IF(OR($A4078="",$C4078="",$D4078="",$E4078="",$H4078=""),"",SUMIFS(DATA_GOC!$H:$H,DATA_GOC!$A:$A,"BOM",DATA_GOC!$D:$D,$H4078,DATA_GOC!$E:$E,$C4078,DATA_GOC!$F:$F,"Xuất nội bộ từ téc",DATA_GOC!$B:$B,"&gt;="&amp;$D4078,DATA_GOC!$B:$B,"&lt;="&amp;$E4078))</f>
        <v/>
      </c>
      <c r="J4078" s="59">
        <f t="shared" si="28"/>
        <v>0</v>
      </c>
      <c r="K4078" s="59">
        <f t="shared" si="29"/>
        <v>0</v>
      </c>
      <c r="L4078" s="59">
        <f t="shared" si="30"/>
        <v>0</v>
      </c>
      <c r="M4078" s="59">
        <f t="shared" si="31"/>
        <v>0</v>
      </c>
    </row>
    <row r="4079" ht="15.0" hidden="1" customHeight="1">
      <c r="A4079" s="59">
        <f t="shared" si="20"/>
        <v>65</v>
      </c>
      <c r="B4079" s="59" t="str">
        <f t="shared" si="21"/>
        <v/>
      </c>
      <c r="C4079" s="59" t="str">
        <f t="shared" si="22"/>
        <v/>
      </c>
      <c r="D4079" s="45" t="str">
        <f t="shared" si="23"/>
        <v/>
      </c>
      <c r="E4079" s="45" t="str">
        <f t="shared" si="24"/>
        <v/>
      </c>
      <c r="F4079" s="59" t="str">
        <f t="shared" si="25"/>
        <v/>
      </c>
      <c r="G4079" s="59" t="str">
        <f t="shared" si="26"/>
        <v/>
      </c>
      <c r="H4079" s="59" t="str">
        <f t="shared" si="27"/>
        <v>28C01622</v>
      </c>
      <c r="I4079" s="59" t="str">
        <f>IF(OR($A4079="",$C4079="",$D4079="",$E4079="",$H4079=""),"",SUMIFS(DATA_GOC!$H:$H,DATA_GOC!$A:$A,"BOM",DATA_GOC!$D:$D,$H4079,DATA_GOC!$E:$E,$C4079,DATA_GOC!$F:$F,"Xuất nội bộ từ téc",DATA_GOC!$B:$B,"&gt;="&amp;$D4079,DATA_GOC!$B:$B,"&lt;="&amp;$E4079))</f>
        <v/>
      </c>
      <c r="J4079" s="59">
        <f t="shared" si="28"/>
        <v>0</v>
      </c>
      <c r="K4079" s="59">
        <f t="shared" si="29"/>
        <v>0</v>
      </c>
      <c r="L4079" s="59">
        <f t="shared" si="30"/>
        <v>0</v>
      </c>
      <c r="M4079" s="59">
        <f t="shared" si="31"/>
        <v>0</v>
      </c>
    </row>
    <row r="4080" ht="15.0" hidden="1" customHeight="1">
      <c r="A4080" s="59">
        <f t="shared" si="20"/>
        <v>65</v>
      </c>
      <c r="B4080" s="59" t="str">
        <f t="shared" si="21"/>
        <v/>
      </c>
      <c r="C4080" s="59" t="str">
        <f t="shared" si="22"/>
        <v/>
      </c>
      <c r="D4080" s="45" t="str">
        <f t="shared" si="23"/>
        <v/>
      </c>
      <c r="E4080" s="45" t="str">
        <f t="shared" si="24"/>
        <v/>
      </c>
      <c r="F4080" s="59" t="str">
        <f t="shared" si="25"/>
        <v/>
      </c>
      <c r="G4080" s="59" t="str">
        <f t="shared" si="26"/>
        <v/>
      </c>
      <c r="H4080" s="59" t="str">
        <f t="shared" si="27"/>
        <v>28C01647</v>
      </c>
      <c r="I4080" s="59" t="str">
        <f>IF(OR($A4080="",$C4080="",$D4080="",$E4080="",$H4080=""),"",SUMIFS(DATA_GOC!$H:$H,DATA_GOC!$A:$A,"BOM",DATA_GOC!$D:$D,$H4080,DATA_GOC!$E:$E,$C4080,DATA_GOC!$F:$F,"Xuất nội bộ từ téc",DATA_GOC!$B:$B,"&gt;="&amp;$D4080,DATA_GOC!$B:$B,"&lt;="&amp;$E4080))</f>
        <v/>
      </c>
      <c r="J4080" s="59">
        <f t="shared" si="28"/>
        <v>0</v>
      </c>
      <c r="K4080" s="59">
        <f t="shared" si="29"/>
        <v>0</v>
      </c>
      <c r="L4080" s="59">
        <f t="shared" si="30"/>
        <v>0</v>
      </c>
      <c r="M4080" s="59">
        <f t="shared" si="31"/>
        <v>0</v>
      </c>
    </row>
    <row r="4081" ht="15.0" hidden="1" customHeight="1">
      <c r="A4081" s="59">
        <f t="shared" si="20"/>
        <v>65</v>
      </c>
      <c r="B4081" s="59" t="str">
        <f t="shared" si="21"/>
        <v/>
      </c>
      <c r="C4081" s="59" t="str">
        <f t="shared" si="22"/>
        <v/>
      </c>
      <c r="D4081" s="45" t="str">
        <f t="shared" si="23"/>
        <v/>
      </c>
      <c r="E4081" s="45" t="str">
        <f t="shared" si="24"/>
        <v/>
      </c>
      <c r="F4081" s="59" t="str">
        <f t="shared" si="25"/>
        <v/>
      </c>
      <c r="G4081" s="59" t="str">
        <f t="shared" si="26"/>
        <v/>
      </c>
      <c r="H4081" s="59" t="str">
        <f t="shared" si="27"/>
        <v>28C01731</v>
      </c>
      <c r="I4081" s="59" t="str">
        <f>IF(OR($A4081="",$C4081="",$D4081="",$E4081="",$H4081=""),"",SUMIFS(DATA_GOC!$H:$H,DATA_GOC!$A:$A,"BOM",DATA_GOC!$D:$D,$H4081,DATA_GOC!$E:$E,$C4081,DATA_GOC!$F:$F,"Xuất nội bộ từ téc",DATA_GOC!$B:$B,"&gt;="&amp;$D4081,DATA_GOC!$B:$B,"&lt;="&amp;$E4081))</f>
        <v/>
      </c>
      <c r="J4081" s="59">
        <f t="shared" si="28"/>
        <v>0</v>
      </c>
      <c r="K4081" s="59">
        <f t="shared" si="29"/>
        <v>0</v>
      </c>
      <c r="L4081" s="59">
        <f t="shared" si="30"/>
        <v>0</v>
      </c>
      <c r="M4081" s="59">
        <f t="shared" si="31"/>
        <v>0</v>
      </c>
    </row>
    <row r="4082" ht="15.0" hidden="1" customHeight="1">
      <c r="A4082" s="59">
        <f t="shared" si="20"/>
        <v>65</v>
      </c>
      <c r="B4082" s="59" t="str">
        <f t="shared" si="21"/>
        <v/>
      </c>
      <c r="C4082" s="59" t="str">
        <f t="shared" si="22"/>
        <v/>
      </c>
      <c r="D4082" s="45" t="str">
        <f t="shared" si="23"/>
        <v/>
      </c>
      <c r="E4082" s="45" t="str">
        <f t="shared" si="24"/>
        <v/>
      </c>
      <c r="F4082" s="59" t="str">
        <f t="shared" si="25"/>
        <v/>
      </c>
      <c r="G4082" s="59" t="str">
        <f t="shared" si="26"/>
        <v/>
      </c>
      <c r="H4082" s="59" t="str">
        <f t="shared" si="27"/>
        <v>28C01743</v>
      </c>
      <c r="I4082" s="59" t="str">
        <f>IF(OR($A4082="",$C4082="",$D4082="",$E4082="",$H4082=""),"",SUMIFS(DATA_GOC!$H:$H,DATA_GOC!$A:$A,"BOM",DATA_GOC!$D:$D,$H4082,DATA_GOC!$E:$E,$C4082,DATA_GOC!$F:$F,"Xuất nội bộ từ téc",DATA_GOC!$B:$B,"&gt;="&amp;$D4082,DATA_GOC!$B:$B,"&lt;="&amp;$E4082))</f>
        <v/>
      </c>
      <c r="J4082" s="59">
        <f t="shared" si="28"/>
        <v>0</v>
      </c>
      <c r="K4082" s="59">
        <f t="shared" si="29"/>
        <v>0</v>
      </c>
      <c r="L4082" s="59">
        <f t="shared" si="30"/>
        <v>0</v>
      </c>
      <c r="M4082" s="59">
        <f t="shared" si="31"/>
        <v>0</v>
      </c>
    </row>
    <row r="4083" ht="15.0" hidden="1" customHeight="1">
      <c r="A4083" s="59">
        <f t="shared" si="20"/>
        <v>65</v>
      </c>
      <c r="B4083" s="59" t="str">
        <f t="shared" si="21"/>
        <v/>
      </c>
      <c r="C4083" s="59" t="str">
        <f t="shared" si="22"/>
        <v/>
      </c>
      <c r="D4083" s="45" t="str">
        <f t="shared" si="23"/>
        <v/>
      </c>
      <c r="E4083" s="45" t="str">
        <f t="shared" si="24"/>
        <v/>
      </c>
      <c r="F4083" s="59" t="str">
        <f t="shared" si="25"/>
        <v/>
      </c>
      <c r="G4083" s="59" t="str">
        <f t="shared" si="26"/>
        <v/>
      </c>
      <c r="H4083" s="59" t="str">
        <f t="shared" si="27"/>
        <v>28C02106</v>
      </c>
      <c r="I4083" s="59" t="str">
        <f>IF(OR($A4083="",$C4083="",$D4083="",$E4083="",$H4083=""),"",SUMIFS(DATA_GOC!$H:$H,DATA_GOC!$A:$A,"BOM",DATA_GOC!$D:$D,$H4083,DATA_GOC!$E:$E,$C4083,DATA_GOC!$F:$F,"Xuất nội bộ từ téc",DATA_GOC!$B:$B,"&gt;="&amp;$D4083,DATA_GOC!$B:$B,"&lt;="&amp;$E4083))</f>
        <v/>
      </c>
      <c r="J4083" s="59">
        <f t="shared" si="28"/>
        <v>0</v>
      </c>
      <c r="K4083" s="59">
        <f t="shared" si="29"/>
        <v>0</v>
      </c>
      <c r="L4083" s="59">
        <f t="shared" si="30"/>
        <v>0</v>
      </c>
      <c r="M4083" s="59">
        <f t="shared" si="31"/>
        <v>0</v>
      </c>
    </row>
    <row r="4084" ht="15.0" hidden="1" customHeight="1">
      <c r="A4084" s="59">
        <f t="shared" si="20"/>
        <v>65</v>
      </c>
      <c r="B4084" s="59" t="str">
        <f t="shared" si="21"/>
        <v/>
      </c>
      <c r="C4084" s="59" t="str">
        <f t="shared" si="22"/>
        <v/>
      </c>
      <c r="D4084" s="45" t="str">
        <f t="shared" si="23"/>
        <v/>
      </c>
      <c r="E4084" s="45" t="str">
        <f t="shared" si="24"/>
        <v/>
      </c>
      <c r="F4084" s="59" t="str">
        <f t="shared" si="25"/>
        <v/>
      </c>
      <c r="G4084" s="59" t="str">
        <f t="shared" si="26"/>
        <v/>
      </c>
      <c r="H4084" s="59" t="str">
        <f t="shared" si="27"/>
        <v>28C02410</v>
      </c>
      <c r="I4084" s="59" t="str">
        <f>IF(OR($A4084="",$C4084="",$D4084="",$E4084="",$H4084=""),"",SUMIFS(DATA_GOC!$H:$H,DATA_GOC!$A:$A,"BOM",DATA_GOC!$D:$D,$H4084,DATA_GOC!$E:$E,$C4084,DATA_GOC!$F:$F,"Xuất nội bộ từ téc",DATA_GOC!$B:$B,"&gt;="&amp;$D4084,DATA_GOC!$B:$B,"&lt;="&amp;$E4084))</f>
        <v/>
      </c>
      <c r="J4084" s="59">
        <f t="shared" si="28"/>
        <v>0</v>
      </c>
      <c r="K4084" s="59">
        <f t="shared" si="29"/>
        <v>0</v>
      </c>
      <c r="L4084" s="59">
        <f t="shared" si="30"/>
        <v>0</v>
      </c>
      <c r="M4084" s="59">
        <f t="shared" si="31"/>
        <v>0</v>
      </c>
    </row>
    <row r="4085" ht="15.0" hidden="1" customHeight="1">
      <c r="A4085" s="59">
        <f t="shared" si="20"/>
        <v>65</v>
      </c>
      <c r="B4085" s="59" t="str">
        <f t="shared" si="21"/>
        <v/>
      </c>
      <c r="C4085" s="59" t="str">
        <f t="shared" si="22"/>
        <v/>
      </c>
      <c r="D4085" s="45" t="str">
        <f t="shared" si="23"/>
        <v/>
      </c>
      <c r="E4085" s="45" t="str">
        <f t="shared" si="24"/>
        <v/>
      </c>
      <c r="F4085" s="59" t="str">
        <f t="shared" si="25"/>
        <v/>
      </c>
      <c r="G4085" s="59" t="str">
        <f t="shared" si="26"/>
        <v/>
      </c>
      <c r="H4085" s="59" t="str">
        <f t="shared" si="27"/>
        <v>28C02545</v>
      </c>
      <c r="I4085" s="59" t="str">
        <f>IF(OR($A4085="",$C4085="",$D4085="",$E4085="",$H4085=""),"",SUMIFS(DATA_GOC!$H:$H,DATA_GOC!$A:$A,"BOM",DATA_GOC!$D:$D,$H4085,DATA_GOC!$E:$E,$C4085,DATA_GOC!$F:$F,"Xuất nội bộ từ téc",DATA_GOC!$B:$B,"&gt;="&amp;$D4085,DATA_GOC!$B:$B,"&lt;="&amp;$E4085))</f>
        <v/>
      </c>
      <c r="J4085" s="59">
        <f t="shared" si="28"/>
        <v>0</v>
      </c>
      <c r="K4085" s="59">
        <f t="shared" si="29"/>
        <v>0</v>
      </c>
      <c r="L4085" s="59">
        <f t="shared" si="30"/>
        <v>0</v>
      </c>
      <c r="M4085" s="59">
        <f t="shared" si="31"/>
        <v>0</v>
      </c>
    </row>
    <row r="4086" ht="15.0" hidden="1" customHeight="1">
      <c r="A4086" s="59">
        <f t="shared" si="20"/>
        <v>65</v>
      </c>
      <c r="B4086" s="59" t="str">
        <f t="shared" si="21"/>
        <v/>
      </c>
      <c r="C4086" s="59" t="str">
        <f t="shared" si="22"/>
        <v/>
      </c>
      <c r="D4086" s="45" t="str">
        <f t="shared" si="23"/>
        <v/>
      </c>
      <c r="E4086" s="45" t="str">
        <f t="shared" si="24"/>
        <v/>
      </c>
      <c r="F4086" s="59" t="str">
        <f t="shared" si="25"/>
        <v/>
      </c>
      <c r="G4086" s="59" t="str">
        <f t="shared" si="26"/>
        <v/>
      </c>
      <c r="H4086" s="59" t="str">
        <f t="shared" si="27"/>
        <v>28C02574</v>
      </c>
      <c r="I4086" s="59" t="str">
        <f>IF(OR($A4086="",$C4086="",$D4086="",$E4086="",$H4086=""),"",SUMIFS(DATA_GOC!$H:$H,DATA_GOC!$A:$A,"BOM",DATA_GOC!$D:$D,$H4086,DATA_GOC!$E:$E,$C4086,DATA_GOC!$F:$F,"Xuất nội bộ từ téc",DATA_GOC!$B:$B,"&gt;="&amp;$D4086,DATA_GOC!$B:$B,"&lt;="&amp;$E4086))</f>
        <v/>
      </c>
      <c r="J4086" s="59">
        <f t="shared" si="28"/>
        <v>0</v>
      </c>
      <c r="K4086" s="59">
        <f t="shared" si="29"/>
        <v>0</v>
      </c>
      <c r="L4086" s="59">
        <f t="shared" si="30"/>
        <v>0</v>
      </c>
      <c r="M4086" s="59">
        <f t="shared" si="31"/>
        <v>0</v>
      </c>
    </row>
    <row r="4087" ht="15.0" hidden="1" customHeight="1">
      <c r="A4087" s="59">
        <f t="shared" si="20"/>
        <v>65</v>
      </c>
      <c r="B4087" s="59" t="str">
        <f t="shared" si="21"/>
        <v/>
      </c>
      <c r="C4087" s="59" t="str">
        <f t="shared" si="22"/>
        <v/>
      </c>
      <c r="D4087" s="45" t="str">
        <f t="shared" si="23"/>
        <v/>
      </c>
      <c r="E4087" s="45" t="str">
        <f t="shared" si="24"/>
        <v/>
      </c>
      <c r="F4087" s="59" t="str">
        <f t="shared" si="25"/>
        <v/>
      </c>
      <c r="G4087" s="59" t="str">
        <f t="shared" si="26"/>
        <v/>
      </c>
      <c r="H4087" s="59" t="str">
        <f t="shared" si="27"/>
        <v>28C02770</v>
      </c>
      <c r="I4087" s="59" t="str">
        <f>IF(OR($A4087="",$C4087="",$D4087="",$E4087="",$H4087=""),"",SUMIFS(DATA_GOC!$H:$H,DATA_GOC!$A:$A,"BOM",DATA_GOC!$D:$D,$H4087,DATA_GOC!$E:$E,$C4087,DATA_GOC!$F:$F,"Xuất nội bộ từ téc",DATA_GOC!$B:$B,"&gt;="&amp;$D4087,DATA_GOC!$B:$B,"&lt;="&amp;$E4087))</f>
        <v/>
      </c>
      <c r="J4087" s="59">
        <f t="shared" si="28"/>
        <v>0</v>
      </c>
      <c r="K4087" s="59">
        <f t="shared" si="29"/>
        <v>0</v>
      </c>
      <c r="L4087" s="59">
        <f t="shared" si="30"/>
        <v>0</v>
      </c>
      <c r="M4087" s="59">
        <f t="shared" si="31"/>
        <v>0</v>
      </c>
    </row>
    <row r="4088" ht="15.0" hidden="1" customHeight="1">
      <c r="A4088" s="59">
        <f t="shared" si="20"/>
        <v>65</v>
      </c>
      <c r="B4088" s="59" t="str">
        <f t="shared" si="21"/>
        <v/>
      </c>
      <c r="C4088" s="59" t="str">
        <f t="shared" si="22"/>
        <v/>
      </c>
      <c r="D4088" s="45" t="str">
        <f t="shared" si="23"/>
        <v/>
      </c>
      <c r="E4088" s="45" t="str">
        <f t="shared" si="24"/>
        <v/>
      </c>
      <c r="F4088" s="59" t="str">
        <f t="shared" si="25"/>
        <v/>
      </c>
      <c r="G4088" s="59" t="str">
        <f t="shared" si="26"/>
        <v/>
      </c>
      <c r="H4088" s="59" t="str">
        <f t="shared" si="27"/>
        <v>28C02986</v>
      </c>
      <c r="I4088" s="59" t="str">
        <f>IF(OR($A4088="",$C4088="",$D4088="",$E4088="",$H4088=""),"",SUMIFS(DATA_GOC!$H:$H,DATA_GOC!$A:$A,"BOM",DATA_GOC!$D:$D,$H4088,DATA_GOC!$E:$E,$C4088,DATA_GOC!$F:$F,"Xuất nội bộ từ téc",DATA_GOC!$B:$B,"&gt;="&amp;$D4088,DATA_GOC!$B:$B,"&lt;="&amp;$E4088))</f>
        <v/>
      </c>
      <c r="J4088" s="59">
        <f t="shared" si="28"/>
        <v>0</v>
      </c>
      <c r="K4088" s="59">
        <f t="shared" si="29"/>
        <v>0</v>
      </c>
      <c r="L4088" s="59">
        <f t="shared" si="30"/>
        <v>0</v>
      </c>
      <c r="M4088" s="59">
        <f t="shared" si="31"/>
        <v>0</v>
      </c>
    </row>
    <row r="4089" ht="15.0" hidden="1" customHeight="1">
      <c r="A4089" s="59">
        <f t="shared" si="20"/>
        <v>65</v>
      </c>
      <c r="B4089" s="59" t="str">
        <f t="shared" si="21"/>
        <v/>
      </c>
      <c r="C4089" s="59" t="str">
        <f t="shared" si="22"/>
        <v/>
      </c>
      <c r="D4089" s="45" t="str">
        <f t="shared" si="23"/>
        <v/>
      </c>
      <c r="E4089" s="45" t="str">
        <f t="shared" si="24"/>
        <v/>
      </c>
      <c r="F4089" s="59" t="str">
        <f t="shared" si="25"/>
        <v/>
      </c>
      <c r="G4089" s="59" t="str">
        <f t="shared" si="26"/>
        <v/>
      </c>
      <c r="H4089" s="59" t="str">
        <f t="shared" si="27"/>
        <v>28C03261</v>
      </c>
      <c r="I4089" s="59" t="str">
        <f>IF(OR($A4089="",$C4089="",$D4089="",$E4089="",$H4089=""),"",SUMIFS(DATA_GOC!$H:$H,DATA_GOC!$A:$A,"BOM",DATA_GOC!$D:$D,$H4089,DATA_GOC!$E:$E,$C4089,DATA_GOC!$F:$F,"Xuất nội bộ từ téc",DATA_GOC!$B:$B,"&gt;="&amp;$D4089,DATA_GOC!$B:$B,"&lt;="&amp;$E4089))</f>
        <v/>
      </c>
      <c r="J4089" s="59">
        <f t="shared" si="28"/>
        <v>0</v>
      </c>
      <c r="K4089" s="59">
        <f t="shared" si="29"/>
        <v>0</v>
      </c>
      <c r="L4089" s="59">
        <f t="shared" si="30"/>
        <v>0</v>
      </c>
      <c r="M4089" s="59">
        <f t="shared" si="31"/>
        <v>0</v>
      </c>
    </row>
    <row r="4090" ht="15.0" hidden="1" customHeight="1">
      <c r="A4090" s="59">
        <f t="shared" si="20"/>
        <v>65</v>
      </c>
      <c r="B4090" s="59" t="str">
        <f t="shared" si="21"/>
        <v/>
      </c>
      <c r="C4090" s="59" t="str">
        <f t="shared" si="22"/>
        <v/>
      </c>
      <c r="D4090" s="45" t="str">
        <f t="shared" si="23"/>
        <v/>
      </c>
      <c r="E4090" s="45" t="str">
        <f t="shared" si="24"/>
        <v/>
      </c>
      <c r="F4090" s="59" t="str">
        <f t="shared" si="25"/>
        <v/>
      </c>
      <c r="G4090" s="59" t="str">
        <f t="shared" si="26"/>
        <v/>
      </c>
      <c r="H4090" s="59" t="str">
        <f t="shared" si="27"/>
        <v>28C03323</v>
      </c>
      <c r="I4090" s="59" t="str">
        <f>IF(OR($A4090="",$C4090="",$D4090="",$E4090="",$H4090=""),"",SUMIFS(DATA_GOC!$H:$H,DATA_GOC!$A:$A,"BOM",DATA_GOC!$D:$D,$H4090,DATA_GOC!$E:$E,$C4090,DATA_GOC!$F:$F,"Xuất nội bộ từ téc",DATA_GOC!$B:$B,"&gt;="&amp;$D4090,DATA_GOC!$B:$B,"&lt;="&amp;$E4090))</f>
        <v/>
      </c>
      <c r="J4090" s="59">
        <f t="shared" si="28"/>
        <v>0</v>
      </c>
      <c r="K4090" s="59">
        <f t="shared" si="29"/>
        <v>0</v>
      </c>
      <c r="L4090" s="59">
        <f t="shared" si="30"/>
        <v>0</v>
      </c>
      <c r="M4090" s="59">
        <f t="shared" si="31"/>
        <v>0</v>
      </c>
    </row>
    <row r="4091" ht="15.0" hidden="1" customHeight="1">
      <c r="A4091" s="59">
        <f t="shared" si="20"/>
        <v>65</v>
      </c>
      <c r="B4091" s="59" t="str">
        <f t="shared" si="21"/>
        <v/>
      </c>
      <c r="C4091" s="59" t="str">
        <f t="shared" si="22"/>
        <v/>
      </c>
      <c r="D4091" s="45" t="str">
        <f t="shared" si="23"/>
        <v/>
      </c>
      <c r="E4091" s="45" t="str">
        <f t="shared" si="24"/>
        <v/>
      </c>
      <c r="F4091" s="59" t="str">
        <f t="shared" si="25"/>
        <v/>
      </c>
      <c r="G4091" s="59" t="str">
        <f t="shared" si="26"/>
        <v/>
      </c>
      <c r="H4091" s="59" t="str">
        <f t="shared" si="27"/>
        <v>28C03385</v>
      </c>
      <c r="I4091" s="59" t="str">
        <f>IF(OR($A4091="",$C4091="",$D4091="",$E4091="",$H4091=""),"",SUMIFS(DATA_GOC!$H:$H,DATA_GOC!$A:$A,"BOM",DATA_GOC!$D:$D,$H4091,DATA_GOC!$E:$E,$C4091,DATA_GOC!$F:$F,"Xuất nội bộ từ téc",DATA_GOC!$B:$B,"&gt;="&amp;$D4091,DATA_GOC!$B:$B,"&lt;="&amp;$E4091))</f>
        <v/>
      </c>
      <c r="J4091" s="59">
        <f t="shared" si="28"/>
        <v>0</v>
      </c>
      <c r="K4091" s="59">
        <f t="shared" si="29"/>
        <v>0</v>
      </c>
      <c r="L4091" s="59">
        <f t="shared" si="30"/>
        <v>0</v>
      </c>
      <c r="M4091" s="59">
        <f t="shared" si="31"/>
        <v>0</v>
      </c>
    </row>
    <row r="4092" ht="15.0" hidden="1" customHeight="1">
      <c r="A4092" s="59">
        <f t="shared" si="20"/>
        <v>65</v>
      </c>
      <c r="B4092" s="59" t="str">
        <f t="shared" si="21"/>
        <v/>
      </c>
      <c r="C4092" s="59" t="str">
        <f t="shared" si="22"/>
        <v/>
      </c>
      <c r="D4092" s="45" t="str">
        <f t="shared" si="23"/>
        <v/>
      </c>
      <c r="E4092" s="45" t="str">
        <f t="shared" si="24"/>
        <v/>
      </c>
      <c r="F4092" s="59" t="str">
        <f t="shared" si="25"/>
        <v/>
      </c>
      <c r="G4092" s="59" t="str">
        <f t="shared" si="26"/>
        <v/>
      </c>
      <c r="H4092" s="59" t="str">
        <f t="shared" si="27"/>
        <v>28C03652</v>
      </c>
      <c r="I4092" s="59" t="str">
        <f>IF(OR($A4092="",$C4092="",$D4092="",$E4092="",$H4092=""),"",SUMIFS(DATA_GOC!$H:$H,DATA_GOC!$A:$A,"BOM",DATA_GOC!$D:$D,$H4092,DATA_GOC!$E:$E,$C4092,DATA_GOC!$F:$F,"Xuất nội bộ từ téc",DATA_GOC!$B:$B,"&gt;="&amp;$D4092,DATA_GOC!$B:$B,"&lt;="&amp;$E4092))</f>
        <v/>
      </c>
      <c r="J4092" s="59">
        <f t="shared" si="28"/>
        <v>0</v>
      </c>
      <c r="K4092" s="59">
        <f t="shared" si="29"/>
        <v>0</v>
      </c>
      <c r="L4092" s="59">
        <f t="shared" si="30"/>
        <v>0</v>
      </c>
      <c r="M4092" s="59">
        <f t="shared" si="31"/>
        <v>0</v>
      </c>
    </row>
    <row r="4093" ht="15.0" hidden="1" customHeight="1">
      <c r="A4093" s="59">
        <f t="shared" si="20"/>
        <v>65</v>
      </c>
      <c r="B4093" s="59" t="str">
        <f t="shared" si="21"/>
        <v/>
      </c>
      <c r="C4093" s="59" t="str">
        <f t="shared" si="22"/>
        <v/>
      </c>
      <c r="D4093" s="45" t="str">
        <f t="shared" si="23"/>
        <v/>
      </c>
      <c r="E4093" s="45" t="str">
        <f t="shared" si="24"/>
        <v/>
      </c>
      <c r="F4093" s="59" t="str">
        <f t="shared" si="25"/>
        <v/>
      </c>
      <c r="G4093" s="59" t="str">
        <f t="shared" si="26"/>
        <v/>
      </c>
      <c r="H4093" s="59" t="str">
        <f t="shared" si="27"/>
        <v>28C03695</v>
      </c>
      <c r="I4093" s="59" t="str">
        <f>IF(OR($A4093="",$C4093="",$D4093="",$E4093="",$H4093=""),"",SUMIFS(DATA_GOC!$H:$H,DATA_GOC!$A:$A,"BOM",DATA_GOC!$D:$D,$H4093,DATA_GOC!$E:$E,$C4093,DATA_GOC!$F:$F,"Xuất nội bộ từ téc",DATA_GOC!$B:$B,"&gt;="&amp;$D4093,DATA_GOC!$B:$B,"&lt;="&amp;$E4093))</f>
        <v/>
      </c>
      <c r="J4093" s="59">
        <f t="shared" si="28"/>
        <v>0</v>
      </c>
      <c r="K4093" s="59">
        <f t="shared" si="29"/>
        <v>0</v>
      </c>
      <c r="L4093" s="59">
        <f t="shared" si="30"/>
        <v>0</v>
      </c>
      <c r="M4093" s="59">
        <f t="shared" si="31"/>
        <v>0</v>
      </c>
    </row>
    <row r="4094" ht="15.0" hidden="1" customHeight="1">
      <c r="A4094" s="59">
        <f t="shared" si="20"/>
        <v>65</v>
      </c>
      <c r="B4094" s="59" t="str">
        <f t="shared" si="21"/>
        <v/>
      </c>
      <c r="C4094" s="59" t="str">
        <f t="shared" si="22"/>
        <v/>
      </c>
      <c r="D4094" s="45" t="str">
        <f t="shared" si="23"/>
        <v/>
      </c>
      <c r="E4094" s="45" t="str">
        <f t="shared" si="24"/>
        <v/>
      </c>
      <c r="F4094" s="59" t="str">
        <f t="shared" si="25"/>
        <v/>
      </c>
      <c r="G4094" s="59" t="str">
        <f t="shared" si="26"/>
        <v/>
      </c>
      <c r="H4094" s="59" t="str">
        <f t="shared" si="27"/>
        <v>28C03927</v>
      </c>
      <c r="I4094" s="59" t="str">
        <f>IF(OR($A4094="",$C4094="",$D4094="",$E4094="",$H4094=""),"",SUMIFS(DATA_GOC!$H:$H,DATA_GOC!$A:$A,"BOM",DATA_GOC!$D:$D,$H4094,DATA_GOC!$E:$E,$C4094,DATA_GOC!$F:$F,"Xuất nội bộ từ téc",DATA_GOC!$B:$B,"&gt;="&amp;$D4094,DATA_GOC!$B:$B,"&lt;="&amp;$E4094))</f>
        <v/>
      </c>
      <c r="J4094" s="59">
        <f t="shared" si="28"/>
        <v>0</v>
      </c>
      <c r="K4094" s="59">
        <f t="shared" si="29"/>
        <v>0</v>
      </c>
      <c r="L4094" s="59">
        <f t="shared" si="30"/>
        <v>0</v>
      </c>
      <c r="M4094" s="59">
        <f t="shared" si="31"/>
        <v>0</v>
      </c>
    </row>
    <row r="4095" ht="15.0" hidden="1" customHeight="1">
      <c r="A4095" s="59">
        <f t="shared" si="20"/>
        <v>65</v>
      </c>
      <c r="B4095" s="59" t="str">
        <f t="shared" si="21"/>
        <v/>
      </c>
      <c r="C4095" s="59" t="str">
        <f t="shared" si="22"/>
        <v/>
      </c>
      <c r="D4095" s="45" t="str">
        <f t="shared" si="23"/>
        <v/>
      </c>
      <c r="E4095" s="45" t="str">
        <f t="shared" si="24"/>
        <v/>
      </c>
      <c r="F4095" s="59" t="str">
        <f t="shared" si="25"/>
        <v/>
      </c>
      <c r="G4095" s="59" t="str">
        <f t="shared" si="26"/>
        <v/>
      </c>
      <c r="H4095" s="59" t="str">
        <f t="shared" si="27"/>
        <v>28C04509</v>
      </c>
      <c r="I4095" s="59" t="str">
        <f>IF(OR($A4095="",$C4095="",$D4095="",$E4095="",$H4095=""),"",SUMIFS(DATA_GOC!$H:$H,DATA_GOC!$A:$A,"BOM",DATA_GOC!$D:$D,$H4095,DATA_GOC!$E:$E,$C4095,DATA_GOC!$F:$F,"Xuất nội bộ từ téc",DATA_GOC!$B:$B,"&gt;="&amp;$D4095,DATA_GOC!$B:$B,"&lt;="&amp;$E4095))</f>
        <v/>
      </c>
      <c r="J4095" s="59">
        <f t="shared" si="28"/>
        <v>0</v>
      </c>
      <c r="K4095" s="59">
        <f t="shared" si="29"/>
        <v>0</v>
      </c>
      <c r="L4095" s="59">
        <f t="shared" si="30"/>
        <v>0</v>
      </c>
      <c r="M4095" s="59">
        <f t="shared" si="31"/>
        <v>0</v>
      </c>
    </row>
    <row r="4096" ht="15.0" hidden="1" customHeight="1">
      <c r="A4096" s="59">
        <f t="shared" si="20"/>
        <v>65</v>
      </c>
      <c r="B4096" s="59" t="str">
        <f t="shared" si="21"/>
        <v/>
      </c>
      <c r="C4096" s="59" t="str">
        <f t="shared" si="22"/>
        <v/>
      </c>
      <c r="D4096" s="45" t="str">
        <f t="shared" si="23"/>
        <v/>
      </c>
      <c r="E4096" s="45" t="str">
        <f t="shared" si="24"/>
        <v/>
      </c>
      <c r="F4096" s="59" t="str">
        <f t="shared" si="25"/>
        <v/>
      </c>
      <c r="G4096" s="59" t="str">
        <f t="shared" si="26"/>
        <v/>
      </c>
      <c r="H4096" s="59" t="str">
        <f t="shared" si="27"/>
        <v>28C04536</v>
      </c>
      <c r="I4096" s="59" t="str">
        <f>IF(OR($A4096="",$C4096="",$D4096="",$E4096="",$H4096=""),"",SUMIFS(DATA_GOC!$H:$H,DATA_GOC!$A:$A,"BOM",DATA_GOC!$D:$D,$H4096,DATA_GOC!$E:$E,$C4096,DATA_GOC!$F:$F,"Xuất nội bộ từ téc",DATA_GOC!$B:$B,"&gt;="&amp;$D4096,DATA_GOC!$B:$B,"&lt;="&amp;$E4096))</f>
        <v/>
      </c>
      <c r="J4096" s="59">
        <f t="shared" si="28"/>
        <v>0</v>
      </c>
      <c r="K4096" s="59">
        <f t="shared" si="29"/>
        <v>0</v>
      </c>
      <c r="L4096" s="59">
        <f t="shared" si="30"/>
        <v>0</v>
      </c>
      <c r="M4096" s="59">
        <f t="shared" si="31"/>
        <v>0</v>
      </c>
    </row>
    <row r="4097" ht="15.0" hidden="1" customHeight="1">
      <c r="A4097" s="59">
        <f t="shared" si="20"/>
        <v>65</v>
      </c>
      <c r="B4097" s="59" t="str">
        <f t="shared" si="21"/>
        <v/>
      </c>
      <c r="C4097" s="59" t="str">
        <f t="shared" si="22"/>
        <v/>
      </c>
      <c r="D4097" s="45" t="str">
        <f t="shared" si="23"/>
        <v/>
      </c>
      <c r="E4097" s="45" t="str">
        <f t="shared" si="24"/>
        <v/>
      </c>
      <c r="F4097" s="59" t="str">
        <f t="shared" si="25"/>
        <v/>
      </c>
      <c r="G4097" s="59" t="str">
        <f t="shared" si="26"/>
        <v/>
      </c>
      <c r="H4097" s="59" t="str">
        <f t="shared" si="27"/>
        <v>28C04576</v>
      </c>
      <c r="I4097" s="59" t="str">
        <f>IF(OR($A4097="",$C4097="",$D4097="",$E4097="",$H4097=""),"",SUMIFS(DATA_GOC!$H:$H,DATA_GOC!$A:$A,"BOM",DATA_GOC!$D:$D,$H4097,DATA_GOC!$E:$E,$C4097,DATA_GOC!$F:$F,"Xuất nội bộ từ téc",DATA_GOC!$B:$B,"&gt;="&amp;$D4097,DATA_GOC!$B:$B,"&lt;="&amp;$E4097))</f>
        <v/>
      </c>
      <c r="J4097" s="59">
        <f t="shared" si="28"/>
        <v>0</v>
      </c>
      <c r="K4097" s="59">
        <f t="shared" si="29"/>
        <v>0</v>
      </c>
      <c r="L4097" s="59">
        <f t="shared" si="30"/>
        <v>0</v>
      </c>
      <c r="M4097" s="59">
        <f t="shared" si="31"/>
        <v>0</v>
      </c>
    </row>
    <row r="4098" ht="15.0" hidden="1" customHeight="1">
      <c r="A4098" s="59">
        <f t="shared" si="20"/>
        <v>65</v>
      </c>
      <c r="B4098" s="59" t="str">
        <f t="shared" si="21"/>
        <v/>
      </c>
      <c r="C4098" s="59" t="str">
        <f t="shared" si="22"/>
        <v/>
      </c>
      <c r="D4098" s="45" t="str">
        <f t="shared" si="23"/>
        <v/>
      </c>
      <c r="E4098" s="45" t="str">
        <f t="shared" si="24"/>
        <v/>
      </c>
      <c r="F4098" s="59" t="str">
        <f t="shared" si="25"/>
        <v/>
      </c>
      <c r="G4098" s="59" t="str">
        <f t="shared" si="26"/>
        <v/>
      </c>
      <c r="H4098" s="59" t="str">
        <f t="shared" si="27"/>
        <v>28C05090</v>
      </c>
      <c r="I4098" s="59" t="str">
        <f>IF(OR($A4098="",$C4098="",$D4098="",$E4098="",$H4098=""),"",SUMIFS(DATA_GOC!$H:$H,DATA_GOC!$A:$A,"BOM",DATA_GOC!$D:$D,$H4098,DATA_GOC!$E:$E,$C4098,DATA_GOC!$F:$F,"Xuất nội bộ từ téc",DATA_GOC!$B:$B,"&gt;="&amp;$D4098,DATA_GOC!$B:$B,"&lt;="&amp;$E4098))</f>
        <v/>
      </c>
      <c r="J4098" s="59">
        <f t="shared" si="28"/>
        <v>0</v>
      </c>
      <c r="K4098" s="59">
        <f t="shared" si="29"/>
        <v>0</v>
      </c>
      <c r="L4098" s="59">
        <f t="shared" si="30"/>
        <v>0</v>
      </c>
      <c r="M4098" s="59">
        <f t="shared" si="31"/>
        <v>0</v>
      </c>
    </row>
    <row r="4099" ht="15.0" hidden="1" customHeight="1">
      <c r="A4099" s="59">
        <f t="shared" si="20"/>
        <v>65</v>
      </c>
      <c r="B4099" s="59" t="str">
        <f t="shared" si="21"/>
        <v/>
      </c>
      <c r="C4099" s="59" t="str">
        <f t="shared" si="22"/>
        <v/>
      </c>
      <c r="D4099" s="45" t="str">
        <f t="shared" si="23"/>
        <v/>
      </c>
      <c r="E4099" s="45" t="str">
        <f t="shared" si="24"/>
        <v/>
      </c>
      <c r="F4099" s="59" t="str">
        <f t="shared" si="25"/>
        <v/>
      </c>
      <c r="G4099" s="59" t="str">
        <f t="shared" si="26"/>
        <v/>
      </c>
      <c r="H4099" s="59" t="str">
        <f t="shared" si="27"/>
        <v>28C05345</v>
      </c>
      <c r="I4099" s="59" t="str">
        <f>IF(OR($A4099="",$C4099="",$D4099="",$E4099="",$H4099=""),"",SUMIFS(DATA_GOC!$H:$H,DATA_GOC!$A:$A,"BOM",DATA_GOC!$D:$D,$H4099,DATA_GOC!$E:$E,$C4099,DATA_GOC!$F:$F,"Xuất nội bộ từ téc",DATA_GOC!$B:$B,"&gt;="&amp;$D4099,DATA_GOC!$B:$B,"&lt;="&amp;$E4099))</f>
        <v/>
      </c>
      <c r="J4099" s="59">
        <f t="shared" si="28"/>
        <v>0</v>
      </c>
      <c r="K4099" s="59">
        <f t="shared" si="29"/>
        <v>0</v>
      </c>
      <c r="L4099" s="59">
        <f t="shared" si="30"/>
        <v>0</v>
      </c>
      <c r="M4099" s="59">
        <f t="shared" si="31"/>
        <v>0</v>
      </c>
    </row>
    <row r="4100" ht="15.0" hidden="1" customHeight="1">
      <c r="A4100" s="59">
        <f t="shared" si="20"/>
        <v>65</v>
      </c>
      <c r="B4100" s="59" t="str">
        <f t="shared" si="21"/>
        <v/>
      </c>
      <c r="C4100" s="59" t="str">
        <f t="shared" si="22"/>
        <v/>
      </c>
      <c r="D4100" s="45" t="str">
        <f t="shared" si="23"/>
        <v/>
      </c>
      <c r="E4100" s="45" t="str">
        <f t="shared" si="24"/>
        <v/>
      </c>
      <c r="F4100" s="59" t="str">
        <f t="shared" si="25"/>
        <v/>
      </c>
      <c r="G4100" s="59" t="str">
        <f t="shared" si="26"/>
        <v/>
      </c>
      <c r="H4100" s="59" t="str">
        <f t="shared" si="27"/>
        <v>28C05661</v>
      </c>
      <c r="I4100" s="59" t="str">
        <f>IF(OR($A4100="",$C4100="",$D4100="",$E4100="",$H4100=""),"",SUMIFS(DATA_GOC!$H:$H,DATA_GOC!$A:$A,"BOM",DATA_GOC!$D:$D,$H4100,DATA_GOC!$E:$E,$C4100,DATA_GOC!$F:$F,"Xuất nội bộ từ téc",DATA_GOC!$B:$B,"&gt;="&amp;$D4100,DATA_GOC!$B:$B,"&lt;="&amp;$E4100))</f>
        <v/>
      </c>
      <c r="J4100" s="59">
        <f t="shared" si="28"/>
        <v>0</v>
      </c>
      <c r="K4100" s="59">
        <f t="shared" si="29"/>
        <v>0</v>
      </c>
      <c r="L4100" s="59">
        <f t="shared" si="30"/>
        <v>0</v>
      </c>
      <c r="M4100" s="59">
        <f t="shared" si="31"/>
        <v>0</v>
      </c>
    </row>
    <row r="4101" ht="15.0" hidden="1" customHeight="1">
      <c r="A4101" s="59">
        <f t="shared" si="20"/>
        <v>65</v>
      </c>
      <c r="B4101" s="59" t="str">
        <f t="shared" si="21"/>
        <v/>
      </c>
      <c r="C4101" s="59" t="str">
        <f t="shared" si="22"/>
        <v/>
      </c>
      <c r="D4101" s="45" t="str">
        <f t="shared" si="23"/>
        <v/>
      </c>
      <c r="E4101" s="45" t="str">
        <f t="shared" si="24"/>
        <v/>
      </c>
      <c r="F4101" s="59" t="str">
        <f t="shared" si="25"/>
        <v/>
      </c>
      <c r="G4101" s="59" t="str">
        <f t="shared" si="26"/>
        <v/>
      </c>
      <c r="H4101" s="59" t="str">
        <f t="shared" si="27"/>
        <v>28C05739</v>
      </c>
      <c r="I4101" s="59" t="str">
        <f>IF(OR($A4101="",$C4101="",$D4101="",$E4101="",$H4101=""),"",SUMIFS(DATA_GOC!$H:$H,DATA_GOC!$A:$A,"BOM",DATA_GOC!$D:$D,$H4101,DATA_GOC!$E:$E,$C4101,DATA_GOC!$F:$F,"Xuất nội bộ từ téc",DATA_GOC!$B:$B,"&gt;="&amp;$D4101,DATA_GOC!$B:$B,"&lt;="&amp;$E4101))</f>
        <v/>
      </c>
      <c r="J4101" s="59">
        <f t="shared" si="28"/>
        <v>0</v>
      </c>
      <c r="K4101" s="59">
        <f t="shared" si="29"/>
        <v>0</v>
      </c>
      <c r="L4101" s="59">
        <f t="shared" si="30"/>
        <v>0</v>
      </c>
      <c r="M4101" s="59">
        <f t="shared" si="31"/>
        <v>0</v>
      </c>
    </row>
    <row r="4102" ht="15.0" hidden="1" customHeight="1">
      <c r="A4102" s="59">
        <f t="shared" si="20"/>
        <v>65</v>
      </c>
      <c r="B4102" s="59" t="str">
        <f t="shared" si="21"/>
        <v/>
      </c>
      <c r="C4102" s="59" t="str">
        <f t="shared" si="22"/>
        <v/>
      </c>
      <c r="D4102" s="45" t="str">
        <f t="shared" si="23"/>
        <v/>
      </c>
      <c r="E4102" s="45" t="str">
        <f t="shared" si="24"/>
        <v/>
      </c>
      <c r="F4102" s="59" t="str">
        <f t="shared" si="25"/>
        <v/>
      </c>
      <c r="G4102" s="59" t="str">
        <f t="shared" si="26"/>
        <v/>
      </c>
      <c r="H4102" s="59" t="str">
        <f t="shared" si="27"/>
        <v>28C06369</v>
      </c>
      <c r="I4102" s="59" t="str">
        <f>IF(OR($A4102="",$C4102="",$D4102="",$E4102="",$H4102=""),"",SUMIFS(DATA_GOC!$H:$H,DATA_GOC!$A:$A,"BOM",DATA_GOC!$D:$D,$H4102,DATA_GOC!$E:$E,$C4102,DATA_GOC!$F:$F,"Xuất nội bộ từ téc",DATA_GOC!$B:$B,"&gt;="&amp;$D4102,DATA_GOC!$B:$B,"&lt;="&amp;$E4102))</f>
        <v/>
      </c>
      <c r="J4102" s="59">
        <f t="shared" si="28"/>
        <v>0</v>
      </c>
      <c r="K4102" s="59">
        <f t="shared" si="29"/>
        <v>0</v>
      </c>
      <c r="L4102" s="59">
        <f t="shared" si="30"/>
        <v>0</v>
      </c>
      <c r="M4102" s="59">
        <f t="shared" si="31"/>
        <v>0</v>
      </c>
    </row>
    <row r="4103" ht="15.0" hidden="1" customHeight="1">
      <c r="A4103" s="59">
        <f t="shared" si="20"/>
        <v>65</v>
      </c>
      <c r="B4103" s="59" t="str">
        <f t="shared" si="21"/>
        <v/>
      </c>
      <c r="C4103" s="59" t="str">
        <f t="shared" si="22"/>
        <v/>
      </c>
      <c r="D4103" s="45" t="str">
        <f t="shared" si="23"/>
        <v/>
      </c>
      <c r="E4103" s="45" t="str">
        <f t="shared" si="24"/>
        <v/>
      </c>
      <c r="F4103" s="59" t="str">
        <f t="shared" si="25"/>
        <v/>
      </c>
      <c r="G4103" s="59" t="str">
        <f t="shared" si="26"/>
        <v/>
      </c>
      <c r="H4103" s="59" t="str">
        <f t="shared" si="27"/>
        <v>28C06447</v>
      </c>
      <c r="I4103" s="59" t="str">
        <f>IF(OR($A4103="",$C4103="",$D4103="",$E4103="",$H4103=""),"",SUMIFS(DATA_GOC!$H:$H,DATA_GOC!$A:$A,"BOM",DATA_GOC!$D:$D,$H4103,DATA_GOC!$E:$E,$C4103,DATA_GOC!$F:$F,"Xuất nội bộ từ téc",DATA_GOC!$B:$B,"&gt;="&amp;$D4103,DATA_GOC!$B:$B,"&lt;="&amp;$E4103))</f>
        <v/>
      </c>
      <c r="J4103" s="59">
        <f t="shared" si="28"/>
        <v>0</v>
      </c>
      <c r="K4103" s="59">
        <f t="shared" si="29"/>
        <v>0</v>
      </c>
      <c r="L4103" s="59">
        <f t="shared" si="30"/>
        <v>0</v>
      </c>
      <c r="M4103" s="59">
        <f t="shared" si="31"/>
        <v>0</v>
      </c>
    </row>
    <row r="4104" ht="15.0" hidden="1" customHeight="1">
      <c r="A4104" s="59">
        <f t="shared" si="20"/>
        <v>65</v>
      </c>
      <c r="B4104" s="59" t="str">
        <f t="shared" si="21"/>
        <v/>
      </c>
      <c r="C4104" s="59" t="str">
        <f t="shared" si="22"/>
        <v/>
      </c>
      <c r="D4104" s="45" t="str">
        <f t="shared" si="23"/>
        <v/>
      </c>
      <c r="E4104" s="45" t="str">
        <f t="shared" si="24"/>
        <v/>
      </c>
      <c r="F4104" s="59" t="str">
        <f t="shared" si="25"/>
        <v/>
      </c>
      <c r="G4104" s="59" t="str">
        <f t="shared" si="26"/>
        <v/>
      </c>
      <c r="H4104" s="59" t="str">
        <f t="shared" si="27"/>
        <v>28H00003</v>
      </c>
      <c r="I4104" s="59" t="str">
        <f>IF(OR($A4104="",$C4104="",$D4104="",$E4104="",$H4104=""),"",SUMIFS(DATA_GOC!$H:$H,DATA_GOC!$A:$A,"BOM",DATA_GOC!$D:$D,$H4104,DATA_GOC!$E:$E,$C4104,DATA_GOC!$F:$F,"Xuất nội bộ từ téc",DATA_GOC!$B:$B,"&gt;="&amp;$D4104,DATA_GOC!$B:$B,"&lt;="&amp;$E4104))</f>
        <v/>
      </c>
      <c r="J4104" s="59">
        <f t="shared" si="28"/>
        <v>0</v>
      </c>
      <c r="K4104" s="59">
        <f t="shared" si="29"/>
        <v>0</v>
      </c>
      <c r="L4104" s="59">
        <f t="shared" si="30"/>
        <v>0</v>
      </c>
      <c r="M4104" s="59">
        <f t="shared" si="31"/>
        <v>0</v>
      </c>
    </row>
    <row r="4105" ht="15.0" hidden="1" customHeight="1">
      <c r="A4105" s="59">
        <f t="shared" si="20"/>
        <v>65</v>
      </c>
      <c r="B4105" s="59" t="str">
        <f t="shared" si="21"/>
        <v/>
      </c>
      <c r="C4105" s="59" t="str">
        <f t="shared" si="22"/>
        <v/>
      </c>
      <c r="D4105" s="45" t="str">
        <f t="shared" si="23"/>
        <v/>
      </c>
      <c r="E4105" s="45" t="str">
        <f t="shared" si="24"/>
        <v/>
      </c>
      <c r="F4105" s="59" t="str">
        <f t="shared" si="25"/>
        <v/>
      </c>
      <c r="G4105" s="59" t="str">
        <f t="shared" si="26"/>
        <v/>
      </c>
      <c r="H4105" s="59" t="str">
        <f t="shared" si="27"/>
        <v>28H00061</v>
      </c>
      <c r="I4105" s="59" t="str">
        <f>IF(OR($A4105="",$C4105="",$D4105="",$E4105="",$H4105=""),"",SUMIFS(DATA_GOC!$H:$H,DATA_GOC!$A:$A,"BOM",DATA_GOC!$D:$D,$H4105,DATA_GOC!$E:$E,$C4105,DATA_GOC!$F:$F,"Xuất nội bộ từ téc",DATA_GOC!$B:$B,"&gt;="&amp;$D4105,DATA_GOC!$B:$B,"&lt;="&amp;$E4105))</f>
        <v/>
      </c>
      <c r="J4105" s="59">
        <f t="shared" si="28"/>
        <v>0</v>
      </c>
      <c r="K4105" s="59">
        <f t="shared" si="29"/>
        <v>0</v>
      </c>
      <c r="L4105" s="59">
        <f t="shared" si="30"/>
        <v>0</v>
      </c>
      <c r="M4105" s="59">
        <f t="shared" si="31"/>
        <v>0</v>
      </c>
    </row>
    <row r="4106" ht="15.0" hidden="1" customHeight="1">
      <c r="A4106" s="59">
        <f t="shared" si="20"/>
        <v>65</v>
      </c>
      <c r="B4106" s="59" t="str">
        <f t="shared" si="21"/>
        <v/>
      </c>
      <c r="C4106" s="59" t="str">
        <f t="shared" si="22"/>
        <v/>
      </c>
      <c r="D4106" s="45" t="str">
        <f t="shared" si="23"/>
        <v/>
      </c>
      <c r="E4106" s="45" t="str">
        <f t="shared" si="24"/>
        <v/>
      </c>
      <c r="F4106" s="59" t="str">
        <f t="shared" si="25"/>
        <v/>
      </c>
      <c r="G4106" s="59" t="str">
        <f t="shared" si="26"/>
        <v/>
      </c>
      <c r="H4106" s="59" t="str">
        <f t="shared" si="27"/>
        <v>28H00354</v>
      </c>
      <c r="I4106" s="59" t="str">
        <f>IF(OR($A4106="",$C4106="",$D4106="",$E4106="",$H4106=""),"",SUMIFS(DATA_GOC!$H:$H,DATA_GOC!$A:$A,"BOM",DATA_GOC!$D:$D,$H4106,DATA_GOC!$E:$E,$C4106,DATA_GOC!$F:$F,"Xuất nội bộ từ téc",DATA_GOC!$B:$B,"&gt;="&amp;$D4106,DATA_GOC!$B:$B,"&lt;="&amp;$E4106))</f>
        <v/>
      </c>
      <c r="J4106" s="59">
        <f t="shared" si="28"/>
        <v>0</v>
      </c>
      <c r="K4106" s="59">
        <f t="shared" si="29"/>
        <v>0</v>
      </c>
      <c r="L4106" s="59">
        <f t="shared" si="30"/>
        <v>0</v>
      </c>
      <c r="M4106" s="59">
        <f t="shared" si="31"/>
        <v>0</v>
      </c>
    </row>
    <row r="4107" ht="15.0" hidden="1" customHeight="1">
      <c r="A4107" s="59">
        <f t="shared" si="20"/>
        <v>65</v>
      </c>
      <c r="B4107" s="59" t="str">
        <f t="shared" si="21"/>
        <v/>
      </c>
      <c r="C4107" s="59" t="str">
        <f t="shared" si="22"/>
        <v/>
      </c>
      <c r="D4107" s="45" t="str">
        <f t="shared" si="23"/>
        <v/>
      </c>
      <c r="E4107" s="45" t="str">
        <f t="shared" si="24"/>
        <v/>
      </c>
      <c r="F4107" s="59" t="str">
        <f t="shared" si="25"/>
        <v/>
      </c>
      <c r="G4107" s="59" t="str">
        <f t="shared" si="26"/>
        <v/>
      </c>
      <c r="H4107" s="59" t="str">
        <f t="shared" si="27"/>
        <v>28H00603</v>
      </c>
      <c r="I4107" s="59" t="str">
        <f>IF(OR($A4107="",$C4107="",$D4107="",$E4107="",$H4107=""),"",SUMIFS(DATA_GOC!$H:$H,DATA_GOC!$A:$A,"BOM",DATA_GOC!$D:$D,$H4107,DATA_GOC!$E:$E,$C4107,DATA_GOC!$F:$F,"Xuất nội bộ từ téc",DATA_GOC!$B:$B,"&gt;="&amp;$D4107,DATA_GOC!$B:$B,"&lt;="&amp;$E4107))</f>
        <v/>
      </c>
      <c r="J4107" s="59">
        <f t="shared" si="28"/>
        <v>0</v>
      </c>
      <c r="K4107" s="59">
        <f t="shared" si="29"/>
        <v>0</v>
      </c>
      <c r="L4107" s="59">
        <f t="shared" si="30"/>
        <v>0</v>
      </c>
      <c r="M4107" s="59">
        <f t="shared" si="31"/>
        <v>0</v>
      </c>
    </row>
    <row r="4108" ht="15.0" hidden="1" customHeight="1">
      <c r="A4108" s="59">
        <f t="shared" si="20"/>
        <v>65</v>
      </c>
      <c r="B4108" s="59" t="str">
        <f t="shared" si="21"/>
        <v/>
      </c>
      <c r="C4108" s="59" t="str">
        <f t="shared" si="22"/>
        <v/>
      </c>
      <c r="D4108" s="45" t="str">
        <f t="shared" si="23"/>
        <v/>
      </c>
      <c r="E4108" s="45" t="str">
        <f t="shared" si="24"/>
        <v/>
      </c>
      <c r="F4108" s="59" t="str">
        <f t="shared" si="25"/>
        <v/>
      </c>
      <c r="G4108" s="59" t="str">
        <f t="shared" si="26"/>
        <v/>
      </c>
      <c r="H4108" s="59" t="str">
        <f t="shared" si="27"/>
        <v>28H00609</v>
      </c>
      <c r="I4108" s="59" t="str">
        <f>IF(OR($A4108="",$C4108="",$D4108="",$E4108="",$H4108=""),"",SUMIFS(DATA_GOC!$H:$H,DATA_GOC!$A:$A,"BOM",DATA_GOC!$D:$D,$H4108,DATA_GOC!$E:$E,$C4108,DATA_GOC!$F:$F,"Xuất nội bộ từ téc",DATA_GOC!$B:$B,"&gt;="&amp;$D4108,DATA_GOC!$B:$B,"&lt;="&amp;$E4108))</f>
        <v/>
      </c>
      <c r="J4108" s="59">
        <f t="shared" si="28"/>
        <v>0</v>
      </c>
      <c r="K4108" s="59">
        <f t="shared" si="29"/>
        <v>0</v>
      </c>
      <c r="L4108" s="59">
        <f t="shared" si="30"/>
        <v>0</v>
      </c>
      <c r="M4108" s="59">
        <f t="shared" si="31"/>
        <v>0</v>
      </c>
    </row>
    <row r="4109" ht="15.0" hidden="1" customHeight="1">
      <c r="A4109" s="59">
        <f t="shared" si="20"/>
        <v>65</v>
      </c>
      <c r="B4109" s="59" t="str">
        <f t="shared" si="21"/>
        <v/>
      </c>
      <c r="C4109" s="59" t="str">
        <f t="shared" si="22"/>
        <v/>
      </c>
      <c r="D4109" s="45" t="str">
        <f t="shared" si="23"/>
        <v/>
      </c>
      <c r="E4109" s="45" t="str">
        <f t="shared" si="24"/>
        <v/>
      </c>
      <c r="F4109" s="59" t="str">
        <f t="shared" si="25"/>
        <v/>
      </c>
      <c r="G4109" s="59" t="str">
        <f t="shared" si="26"/>
        <v/>
      </c>
      <c r="H4109" s="59" t="str">
        <f t="shared" si="27"/>
        <v>28H00669</v>
      </c>
      <c r="I4109" s="59" t="str">
        <f>IF(OR($A4109="",$C4109="",$D4109="",$E4109="",$H4109=""),"",SUMIFS(DATA_GOC!$H:$H,DATA_GOC!$A:$A,"BOM",DATA_GOC!$D:$D,$H4109,DATA_GOC!$E:$E,$C4109,DATA_GOC!$F:$F,"Xuất nội bộ từ téc",DATA_GOC!$B:$B,"&gt;="&amp;$D4109,DATA_GOC!$B:$B,"&lt;="&amp;$E4109))</f>
        <v/>
      </c>
      <c r="J4109" s="59">
        <f t="shared" si="28"/>
        <v>0</v>
      </c>
      <c r="K4109" s="59">
        <f t="shared" si="29"/>
        <v>0</v>
      </c>
      <c r="L4109" s="59">
        <f t="shared" si="30"/>
        <v>0</v>
      </c>
      <c r="M4109" s="59">
        <f t="shared" si="31"/>
        <v>0</v>
      </c>
    </row>
    <row r="4110" ht="15.0" hidden="1" customHeight="1">
      <c r="A4110" s="59">
        <f t="shared" si="20"/>
        <v>65</v>
      </c>
      <c r="B4110" s="59" t="str">
        <f t="shared" si="21"/>
        <v/>
      </c>
      <c r="C4110" s="59" t="str">
        <f t="shared" si="22"/>
        <v/>
      </c>
      <c r="D4110" s="45" t="str">
        <f t="shared" si="23"/>
        <v/>
      </c>
      <c r="E4110" s="45" t="str">
        <f t="shared" si="24"/>
        <v/>
      </c>
      <c r="F4110" s="59" t="str">
        <f t="shared" si="25"/>
        <v/>
      </c>
      <c r="G4110" s="59" t="str">
        <f t="shared" si="26"/>
        <v/>
      </c>
      <c r="H4110" s="59" t="str">
        <f t="shared" si="27"/>
        <v>28H00680</v>
      </c>
      <c r="I4110" s="59" t="str">
        <f>IF(OR($A4110="",$C4110="",$D4110="",$E4110="",$H4110=""),"",SUMIFS(DATA_GOC!$H:$H,DATA_GOC!$A:$A,"BOM",DATA_GOC!$D:$D,$H4110,DATA_GOC!$E:$E,$C4110,DATA_GOC!$F:$F,"Xuất nội bộ từ téc",DATA_GOC!$B:$B,"&gt;="&amp;$D4110,DATA_GOC!$B:$B,"&lt;="&amp;$E4110))</f>
        <v/>
      </c>
      <c r="J4110" s="59">
        <f t="shared" si="28"/>
        <v>0</v>
      </c>
      <c r="K4110" s="59">
        <f t="shared" si="29"/>
        <v>0</v>
      </c>
      <c r="L4110" s="59">
        <f t="shared" si="30"/>
        <v>0</v>
      </c>
      <c r="M4110" s="59">
        <f t="shared" si="31"/>
        <v>0</v>
      </c>
    </row>
    <row r="4111" ht="15.0" hidden="1" customHeight="1">
      <c r="A4111" s="59">
        <f t="shared" si="20"/>
        <v>65</v>
      </c>
      <c r="B4111" s="59" t="str">
        <f t="shared" si="21"/>
        <v/>
      </c>
      <c r="C4111" s="59" t="str">
        <f t="shared" si="22"/>
        <v/>
      </c>
      <c r="D4111" s="45" t="str">
        <f t="shared" si="23"/>
        <v/>
      </c>
      <c r="E4111" s="45" t="str">
        <f t="shared" si="24"/>
        <v/>
      </c>
      <c r="F4111" s="59" t="str">
        <f t="shared" si="25"/>
        <v/>
      </c>
      <c r="G4111" s="59" t="str">
        <f t="shared" si="26"/>
        <v/>
      </c>
      <c r="H4111" s="59" t="str">
        <f t="shared" si="27"/>
        <v>28H01070</v>
      </c>
      <c r="I4111" s="59" t="str">
        <f>IF(OR($A4111="",$C4111="",$D4111="",$E4111="",$H4111=""),"",SUMIFS(DATA_GOC!$H:$H,DATA_GOC!$A:$A,"BOM",DATA_GOC!$D:$D,$H4111,DATA_GOC!$E:$E,$C4111,DATA_GOC!$F:$F,"Xuất nội bộ từ téc",DATA_GOC!$B:$B,"&gt;="&amp;$D4111,DATA_GOC!$B:$B,"&lt;="&amp;$E4111))</f>
        <v/>
      </c>
      <c r="J4111" s="59">
        <f t="shared" si="28"/>
        <v>0</v>
      </c>
      <c r="K4111" s="59">
        <f t="shared" si="29"/>
        <v>0</v>
      </c>
      <c r="L4111" s="59">
        <f t="shared" si="30"/>
        <v>0</v>
      </c>
      <c r="M4111" s="59">
        <f t="shared" si="31"/>
        <v>0</v>
      </c>
    </row>
    <row r="4112" ht="15.0" hidden="1" customHeight="1">
      <c r="A4112" s="59">
        <f t="shared" si="20"/>
        <v>65</v>
      </c>
      <c r="B4112" s="59" t="str">
        <f t="shared" si="21"/>
        <v/>
      </c>
      <c r="C4112" s="59" t="str">
        <f t="shared" si="22"/>
        <v/>
      </c>
      <c r="D4112" s="45" t="str">
        <f t="shared" si="23"/>
        <v/>
      </c>
      <c r="E4112" s="45" t="str">
        <f t="shared" si="24"/>
        <v/>
      </c>
      <c r="F4112" s="59" t="str">
        <f t="shared" si="25"/>
        <v/>
      </c>
      <c r="G4112" s="59" t="str">
        <f t="shared" si="26"/>
        <v/>
      </c>
      <c r="H4112" s="59" t="str">
        <f t="shared" si="27"/>
        <v>28H01364</v>
      </c>
      <c r="I4112" s="59" t="str">
        <f>IF(OR($A4112="",$C4112="",$D4112="",$E4112="",$H4112=""),"",SUMIFS(DATA_GOC!$H:$H,DATA_GOC!$A:$A,"BOM",DATA_GOC!$D:$D,$H4112,DATA_GOC!$E:$E,$C4112,DATA_GOC!$F:$F,"Xuất nội bộ từ téc",DATA_GOC!$B:$B,"&gt;="&amp;$D4112,DATA_GOC!$B:$B,"&lt;="&amp;$E4112))</f>
        <v/>
      </c>
      <c r="J4112" s="59">
        <f t="shared" si="28"/>
        <v>0</v>
      </c>
      <c r="K4112" s="59">
        <f t="shared" si="29"/>
        <v>0</v>
      </c>
      <c r="L4112" s="59">
        <f t="shared" si="30"/>
        <v>0</v>
      </c>
      <c r="M4112" s="59">
        <f t="shared" si="31"/>
        <v>0</v>
      </c>
    </row>
    <row r="4113" ht="15.0" hidden="1" customHeight="1">
      <c r="A4113" s="59">
        <f t="shared" si="20"/>
        <v>65</v>
      </c>
      <c r="B4113" s="59" t="str">
        <f t="shared" si="21"/>
        <v/>
      </c>
      <c r="C4113" s="59" t="str">
        <f t="shared" si="22"/>
        <v/>
      </c>
      <c r="D4113" s="45" t="str">
        <f t="shared" si="23"/>
        <v/>
      </c>
      <c r="E4113" s="45" t="str">
        <f t="shared" si="24"/>
        <v/>
      </c>
      <c r="F4113" s="59" t="str">
        <f t="shared" si="25"/>
        <v/>
      </c>
      <c r="G4113" s="59" t="str">
        <f t="shared" si="26"/>
        <v/>
      </c>
      <c r="H4113" s="59" t="str">
        <f t="shared" si="27"/>
        <v>29E17269</v>
      </c>
      <c r="I4113" s="59" t="str">
        <f>IF(OR($A4113="",$C4113="",$D4113="",$E4113="",$H4113=""),"",SUMIFS(DATA_GOC!$H:$H,DATA_GOC!$A:$A,"BOM",DATA_GOC!$D:$D,$H4113,DATA_GOC!$E:$E,$C4113,DATA_GOC!$F:$F,"Xuất nội bộ từ téc",DATA_GOC!$B:$B,"&gt;="&amp;$D4113,DATA_GOC!$B:$B,"&lt;="&amp;$E4113))</f>
        <v/>
      </c>
      <c r="J4113" s="59">
        <f t="shared" si="28"/>
        <v>0</v>
      </c>
      <c r="K4113" s="59">
        <f t="shared" si="29"/>
        <v>0</v>
      </c>
      <c r="L4113" s="59">
        <f t="shared" si="30"/>
        <v>0</v>
      </c>
      <c r="M4113" s="59">
        <f t="shared" si="31"/>
        <v>0</v>
      </c>
    </row>
    <row r="4114" ht="15.0" hidden="1" customHeight="1">
      <c r="A4114" s="59">
        <f t="shared" si="20"/>
        <v>65</v>
      </c>
      <c r="B4114" s="59" t="str">
        <f t="shared" si="21"/>
        <v/>
      </c>
      <c r="C4114" s="59" t="str">
        <f t="shared" si="22"/>
        <v/>
      </c>
      <c r="D4114" s="45" t="str">
        <f t="shared" si="23"/>
        <v/>
      </c>
      <c r="E4114" s="45" t="str">
        <f t="shared" si="24"/>
        <v/>
      </c>
      <c r="F4114" s="59" t="str">
        <f t="shared" si="25"/>
        <v/>
      </c>
      <c r="G4114" s="59" t="str">
        <f t="shared" si="26"/>
        <v/>
      </c>
      <c r="H4114" s="59" t="str">
        <f t="shared" si="27"/>
        <v>29E17273</v>
      </c>
      <c r="I4114" s="59" t="str">
        <f>IF(OR($A4114="",$C4114="",$D4114="",$E4114="",$H4114=""),"",SUMIFS(DATA_GOC!$H:$H,DATA_GOC!$A:$A,"BOM",DATA_GOC!$D:$D,$H4114,DATA_GOC!$E:$E,$C4114,DATA_GOC!$F:$F,"Xuất nội bộ từ téc",DATA_GOC!$B:$B,"&gt;="&amp;$D4114,DATA_GOC!$B:$B,"&lt;="&amp;$E4114))</f>
        <v/>
      </c>
      <c r="J4114" s="59">
        <f t="shared" si="28"/>
        <v>0</v>
      </c>
      <c r="K4114" s="59">
        <f t="shared" si="29"/>
        <v>0</v>
      </c>
      <c r="L4114" s="59">
        <f t="shared" si="30"/>
        <v>0</v>
      </c>
      <c r="M4114" s="59">
        <f t="shared" si="31"/>
        <v>0</v>
      </c>
    </row>
    <row r="4115" ht="15.0" hidden="1" customHeight="1">
      <c r="A4115" s="59">
        <f t="shared" si="20"/>
        <v>65</v>
      </c>
      <c r="B4115" s="59" t="str">
        <f t="shared" si="21"/>
        <v/>
      </c>
      <c r="C4115" s="59" t="str">
        <f t="shared" si="22"/>
        <v/>
      </c>
      <c r="D4115" s="45" t="str">
        <f t="shared" si="23"/>
        <v/>
      </c>
      <c r="E4115" s="45" t="str">
        <f t="shared" si="24"/>
        <v/>
      </c>
      <c r="F4115" s="59" t="str">
        <f t="shared" si="25"/>
        <v/>
      </c>
      <c r="G4115" s="59" t="str">
        <f t="shared" si="26"/>
        <v/>
      </c>
      <c r="H4115" s="59" t="str">
        <f t="shared" si="27"/>
        <v>29E17410</v>
      </c>
      <c r="I4115" s="59" t="str">
        <f>IF(OR($A4115="",$C4115="",$D4115="",$E4115="",$H4115=""),"",SUMIFS(DATA_GOC!$H:$H,DATA_GOC!$A:$A,"BOM",DATA_GOC!$D:$D,$H4115,DATA_GOC!$E:$E,$C4115,DATA_GOC!$F:$F,"Xuất nội bộ từ téc",DATA_GOC!$B:$B,"&gt;="&amp;$D4115,DATA_GOC!$B:$B,"&lt;="&amp;$E4115))</f>
        <v/>
      </c>
      <c r="J4115" s="59">
        <f t="shared" si="28"/>
        <v>0</v>
      </c>
      <c r="K4115" s="59">
        <f t="shared" si="29"/>
        <v>0</v>
      </c>
      <c r="L4115" s="59">
        <f t="shared" si="30"/>
        <v>0</v>
      </c>
      <c r="M4115" s="59">
        <f t="shared" si="31"/>
        <v>0</v>
      </c>
    </row>
    <row r="4116" ht="15.0" hidden="1" customHeight="1">
      <c r="A4116" s="59">
        <f t="shared" si="20"/>
        <v>65</v>
      </c>
      <c r="B4116" s="59" t="str">
        <f t="shared" si="21"/>
        <v/>
      </c>
      <c r="C4116" s="59" t="str">
        <f t="shared" si="22"/>
        <v/>
      </c>
      <c r="D4116" s="45" t="str">
        <f t="shared" si="23"/>
        <v/>
      </c>
      <c r="E4116" s="45" t="str">
        <f t="shared" si="24"/>
        <v/>
      </c>
      <c r="F4116" s="59" t="str">
        <f t="shared" si="25"/>
        <v/>
      </c>
      <c r="G4116" s="59" t="str">
        <f t="shared" si="26"/>
        <v/>
      </c>
      <c r="H4116" s="59" t="str">
        <f t="shared" si="27"/>
        <v>29E17417</v>
      </c>
      <c r="I4116" s="59" t="str">
        <f>IF(OR($A4116="",$C4116="",$D4116="",$E4116="",$H4116=""),"",SUMIFS(DATA_GOC!$H:$H,DATA_GOC!$A:$A,"BOM",DATA_GOC!$D:$D,$H4116,DATA_GOC!$E:$E,$C4116,DATA_GOC!$F:$F,"Xuất nội bộ từ téc",DATA_GOC!$B:$B,"&gt;="&amp;$D4116,DATA_GOC!$B:$B,"&lt;="&amp;$E4116))</f>
        <v/>
      </c>
      <c r="J4116" s="59">
        <f t="shared" si="28"/>
        <v>0</v>
      </c>
      <c r="K4116" s="59">
        <f t="shared" si="29"/>
        <v>0</v>
      </c>
      <c r="L4116" s="59">
        <f t="shared" si="30"/>
        <v>0</v>
      </c>
      <c r="M4116" s="59">
        <f t="shared" si="31"/>
        <v>0</v>
      </c>
    </row>
    <row r="4117" ht="15.0" hidden="1" customHeight="1">
      <c r="A4117" s="59">
        <f t="shared" si="20"/>
        <v>65</v>
      </c>
      <c r="B4117" s="59" t="str">
        <f t="shared" si="21"/>
        <v/>
      </c>
      <c r="C4117" s="59" t="str">
        <f t="shared" si="22"/>
        <v/>
      </c>
      <c r="D4117" s="45" t="str">
        <f t="shared" si="23"/>
        <v/>
      </c>
      <c r="E4117" s="45" t="str">
        <f t="shared" si="24"/>
        <v/>
      </c>
      <c r="F4117" s="59" t="str">
        <f t="shared" si="25"/>
        <v/>
      </c>
      <c r="G4117" s="59" t="str">
        <f t="shared" si="26"/>
        <v/>
      </c>
      <c r="H4117" s="59" t="str">
        <f t="shared" si="27"/>
        <v>29E17539</v>
      </c>
      <c r="I4117" s="59" t="str">
        <f>IF(OR($A4117="",$C4117="",$D4117="",$E4117="",$H4117=""),"",SUMIFS(DATA_GOC!$H:$H,DATA_GOC!$A:$A,"BOM",DATA_GOC!$D:$D,$H4117,DATA_GOC!$E:$E,$C4117,DATA_GOC!$F:$F,"Xuất nội bộ từ téc",DATA_GOC!$B:$B,"&gt;="&amp;$D4117,DATA_GOC!$B:$B,"&lt;="&amp;$E4117))</f>
        <v/>
      </c>
      <c r="J4117" s="59">
        <f t="shared" si="28"/>
        <v>0</v>
      </c>
      <c r="K4117" s="59">
        <f t="shared" si="29"/>
        <v>0</v>
      </c>
      <c r="L4117" s="59">
        <f t="shared" si="30"/>
        <v>0</v>
      </c>
      <c r="M4117" s="59">
        <f t="shared" si="31"/>
        <v>0</v>
      </c>
    </row>
    <row r="4118" ht="15.0" hidden="1" customHeight="1">
      <c r="A4118" s="59">
        <f t="shared" si="20"/>
        <v>65</v>
      </c>
      <c r="B4118" s="59" t="str">
        <f t="shared" si="21"/>
        <v/>
      </c>
      <c r="C4118" s="59" t="str">
        <f t="shared" si="22"/>
        <v/>
      </c>
      <c r="D4118" s="45" t="str">
        <f t="shared" si="23"/>
        <v/>
      </c>
      <c r="E4118" s="45" t="str">
        <f t="shared" si="24"/>
        <v/>
      </c>
      <c r="F4118" s="59" t="str">
        <f t="shared" si="25"/>
        <v/>
      </c>
      <c r="G4118" s="59" t="str">
        <f t="shared" si="26"/>
        <v/>
      </c>
      <c r="H4118" s="59" t="str">
        <f t="shared" si="27"/>
        <v>29E18160</v>
      </c>
      <c r="I4118" s="59" t="str">
        <f>IF(OR($A4118="",$C4118="",$D4118="",$E4118="",$H4118=""),"",SUMIFS(DATA_GOC!$H:$H,DATA_GOC!$A:$A,"BOM",DATA_GOC!$D:$D,$H4118,DATA_GOC!$E:$E,$C4118,DATA_GOC!$F:$F,"Xuất nội bộ từ téc",DATA_GOC!$B:$B,"&gt;="&amp;$D4118,DATA_GOC!$B:$B,"&lt;="&amp;$E4118))</f>
        <v/>
      </c>
      <c r="J4118" s="59">
        <f t="shared" si="28"/>
        <v>0</v>
      </c>
      <c r="K4118" s="59">
        <f t="shared" si="29"/>
        <v>0</v>
      </c>
      <c r="L4118" s="59">
        <f t="shared" si="30"/>
        <v>0</v>
      </c>
      <c r="M4118" s="59">
        <f t="shared" si="31"/>
        <v>0</v>
      </c>
    </row>
    <row r="4119" ht="15.0" hidden="1" customHeight="1">
      <c r="A4119" s="59">
        <f t="shared" si="20"/>
        <v>65</v>
      </c>
      <c r="B4119" s="59" t="str">
        <f t="shared" si="21"/>
        <v/>
      </c>
      <c r="C4119" s="59" t="str">
        <f t="shared" si="22"/>
        <v/>
      </c>
      <c r="D4119" s="45" t="str">
        <f t="shared" si="23"/>
        <v/>
      </c>
      <c r="E4119" s="45" t="str">
        <f t="shared" si="24"/>
        <v/>
      </c>
      <c r="F4119" s="59" t="str">
        <f t="shared" si="25"/>
        <v/>
      </c>
      <c r="G4119" s="59" t="str">
        <f t="shared" si="26"/>
        <v/>
      </c>
      <c r="H4119" s="59" t="str">
        <f t="shared" si="27"/>
        <v>Công trình Asphalt</v>
      </c>
      <c r="I4119" s="59" t="str">
        <f>IF(OR($A4119="",$C4119="",$D4119="",$E4119="",$H4119=""),"",SUMIFS(DATA_GOC!$H:$H,DATA_GOC!$A:$A,"BOM",DATA_GOC!$D:$D,$H4119,DATA_GOC!$E:$E,$C4119,DATA_GOC!$F:$F,"Xuất nội bộ từ téc",DATA_GOC!$B:$B,"&gt;="&amp;$D4119,DATA_GOC!$B:$B,"&lt;="&amp;$E4119))</f>
        <v/>
      </c>
      <c r="J4119" s="59">
        <f t="shared" si="28"/>
        <v>0</v>
      </c>
      <c r="K4119" s="59">
        <f t="shared" si="29"/>
        <v>0</v>
      </c>
      <c r="L4119" s="59">
        <f t="shared" si="30"/>
        <v>0</v>
      </c>
      <c r="M4119" s="59">
        <f t="shared" si="31"/>
        <v>0</v>
      </c>
    </row>
    <row r="4120" ht="15.0" hidden="1" customHeight="1">
      <c r="A4120" s="59">
        <f t="shared" si="20"/>
        <v>65</v>
      </c>
      <c r="B4120" s="59" t="str">
        <f t="shared" si="21"/>
        <v/>
      </c>
      <c r="C4120" s="59" t="str">
        <f t="shared" si="22"/>
        <v/>
      </c>
      <c r="D4120" s="45" t="str">
        <f t="shared" si="23"/>
        <v/>
      </c>
      <c r="E4120" s="45" t="str">
        <f t="shared" si="24"/>
        <v/>
      </c>
      <c r="F4120" s="59" t="str">
        <f t="shared" si="25"/>
        <v/>
      </c>
      <c r="G4120" s="59" t="str">
        <f t="shared" si="26"/>
        <v/>
      </c>
      <c r="H4120" s="59" t="str">
        <f t="shared" si="27"/>
        <v>LG53F</v>
      </c>
      <c r="I4120" s="59" t="str">
        <f>IF(OR($A4120="",$C4120="",$D4120="",$E4120="",$H4120=""),"",SUMIFS(DATA_GOC!$H:$H,DATA_GOC!$A:$A,"BOM",DATA_GOC!$D:$D,$H4120,DATA_GOC!$E:$E,$C4120,DATA_GOC!$F:$F,"Xuất nội bộ từ téc",DATA_GOC!$B:$B,"&gt;="&amp;$D4120,DATA_GOC!$B:$B,"&lt;="&amp;$E4120))</f>
        <v/>
      </c>
      <c r="J4120" s="59">
        <f t="shared" si="28"/>
        <v>0</v>
      </c>
      <c r="K4120" s="59">
        <f t="shared" si="29"/>
        <v>0</v>
      </c>
      <c r="L4120" s="59">
        <f t="shared" si="30"/>
        <v>0</v>
      </c>
      <c r="M4120" s="59">
        <f t="shared" si="31"/>
        <v>0</v>
      </c>
    </row>
    <row r="4121" ht="15.0" hidden="1" customHeight="1">
      <c r="A4121" s="59">
        <f t="shared" si="20"/>
        <v>65</v>
      </c>
      <c r="B4121" s="59" t="str">
        <f t="shared" si="21"/>
        <v/>
      </c>
      <c r="C4121" s="59" t="str">
        <f t="shared" si="22"/>
        <v/>
      </c>
      <c r="D4121" s="45" t="str">
        <f t="shared" si="23"/>
        <v/>
      </c>
      <c r="E4121" s="45" t="str">
        <f t="shared" si="24"/>
        <v/>
      </c>
      <c r="F4121" s="59" t="str">
        <f t="shared" si="25"/>
        <v/>
      </c>
      <c r="G4121" s="59" t="str">
        <f t="shared" si="26"/>
        <v/>
      </c>
      <c r="H4121" s="59" t="str">
        <f t="shared" si="27"/>
        <v>Máy phát điện</v>
      </c>
      <c r="I4121" s="59" t="str">
        <f>IF(OR($A4121="",$C4121="",$D4121="",$E4121="",$H4121=""),"",SUMIFS(DATA_GOC!$H:$H,DATA_GOC!$A:$A,"BOM",DATA_GOC!$D:$D,$H4121,DATA_GOC!$E:$E,$C4121,DATA_GOC!$F:$F,"Xuất nội bộ từ téc",DATA_GOC!$B:$B,"&gt;="&amp;$D4121,DATA_GOC!$B:$B,"&lt;="&amp;$E4121))</f>
        <v/>
      </c>
      <c r="J4121" s="59">
        <f t="shared" si="28"/>
        <v>0</v>
      </c>
      <c r="K4121" s="59">
        <f t="shared" si="29"/>
        <v>0</v>
      </c>
      <c r="L4121" s="59">
        <f t="shared" si="30"/>
        <v>0</v>
      </c>
      <c r="M4121" s="59">
        <f t="shared" si="31"/>
        <v>0</v>
      </c>
    </row>
    <row r="4122" ht="15.0" hidden="1" customHeight="1">
      <c r="A4122" s="59">
        <f t="shared" si="20"/>
        <v>65</v>
      </c>
      <c r="B4122" s="59" t="str">
        <f t="shared" si="21"/>
        <v/>
      </c>
      <c r="C4122" s="59" t="str">
        <f t="shared" si="22"/>
        <v/>
      </c>
      <c r="D4122" s="45" t="str">
        <f t="shared" si="23"/>
        <v/>
      </c>
      <c r="E4122" s="45" t="str">
        <f t="shared" si="24"/>
        <v/>
      </c>
      <c r="F4122" s="59" t="str">
        <f t="shared" si="25"/>
        <v/>
      </c>
      <c r="G4122" s="59" t="str">
        <f t="shared" si="26"/>
        <v/>
      </c>
      <c r="H4122" s="59" t="str">
        <f t="shared" si="27"/>
        <v>Máy rải thảm</v>
      </c>
      <c r="I4122" s="59" t="str">
        <f>IF(OR($A4122="",$C4122="",$D4122="",$E4122="",$H4122=""),"",SUMIFS(DATA_GOC!$H:$H,DATA_GOC!$A:$A,"BOM",DATA_GOC!$D:$D,$H4122,DATA_GOC!$E:$E,$C4122,DATA_GOC!$F:$F,"Xuất nội bộ từ téc",DATA_GOC!$B:$B,"&gt;="&amp;$D4122,DATA_GOC!$B:$B,"&lt;="&amp;$E4122))</f>
        <v/>
      </c>
      <c r="J4122" s="59">
        <f t="shared" si="28"/>
        <v>0</v>
      </c>
      <c r="K4122" s="59">
        <f t="shared" si="29"/>
        <v>0</v>
      </c>
      <c r="L4122" s="59">
        <f t="shared" si="30"/>
        <v>0</v>
      </c>
      <c r="M4122" s="59">
        <f t="shared" si="31"/>
        <v>0</v>
      </c>
    </row>
    <row r="4123" ht="15.0" hidden="1" customHeight="1">
      <c r="A4123" s="59">
        <f t="shared" si="20"/>
        <v>65</v>
      </c>
      <c r="B4123" s="59" t="str">
        <f t="shared" si="21"/>
        <v/>
      </c>
      <c r="C4123" s="59" t="str">
        <f t="shared" si="22"/>
        <v/>
      </c>
      <c r="D4123" s="45" t="str">
        <f t="shared" si="23"/>
        <v/>
      </c>
      <c r="E4123" s="45" t="str">
        <f t="shared" si="24"/>
        <v/>
      </c>
      <c r="F4123" s="59" t="str">
        <f t="shared" si="25"/>
        <v/>
      </c>
      <c r="G4123" s="59" t="str">
        <f t="shared" si="26"/>
        <v/>
      </c>
      <c r="H4123" s="59" t="str">
        <f t="shared" si="27"/>
        <v>Xúc Đào</v>
      </c>
      <c r="I4123" s="59" t="str">
        <f>IF(OR($A4123="",$C4123="",$D4123="",$E4123="",$H4123=""),"",SUMIFS(DATA_GOC!$H:$H,DATA_GOC!$A:$A,"BOM",DATA_GOC!$D:$D,$H4123,DATA_GOC!$E:$E,$C4123,DATA_GOC!$F:$F,"Xuất nội bộ từ téc",DATA_GOC!$B:$B,"&gt;="&amp;$D4123,DATA_GOC!$B:$B,"&lt;="&amp;$E4123))</f>
        <v/>
      </c>
      <c r="J4123" s="59">
        <f t="shared" si="28"/>
        <v>0</v>
      </c>
      <c r="K4123" s="59">
        <f t="shared" si="29"/>
        <v>0</v>
      </c>
      <c r="L4123" s="59">
        <f t="shared" si="30"/>
        <v>0</v>
      </c>
      <c r="M4123" s="59">
        <f t="shared" si="31"/>
        <v>0</v>
      </c>
    </row>
    <row r="4124" ht="15.0" hidden="1" customHeight="1">
      <c r="A4124" s="59">
        <f t="shared" si="20"/>
        <v>65</v>
      </c>
      <c r="B4124" s="59" t="str">
        <f t="shared" si="21"/>
        <v/>
      </c>
      <c r="C4124" s="59" t="str">
        <f t="shared" si="22"/>
        <v/>
      </c>
      <c r="D4124" s="45" t="str">
        <f t="shared" si="23"/>
        <v/>
      </c>
      <c r="E4124" s="45" t="str">
        <f t="shared" si="24"/>
        <v/>
      </c>
      <c r="F4124" s="59" t="str">
        <f t="shared" si="25"/>
        <v/>
      </c>
      <c r="G4124" s="59" t="str">
        <f t="shared" si="26"/>
        <v/>
      </c>
      <c r="H4124" s="59" t="str">
        <f t="shared" si="27"/>
        <v>Xúclật asphalt</v>
      </c>
      <c r="I4124" s="59" t="str">
        <f>IF(OR($A4124="",$C4124="",$D4124="",$E4124="",$H4124=""),"",SUMIFS(DATA_GOC!$H:$H,DATA_GOC!$A:$A,"BOM",DATA_GOC!$D:$D,$H4124,DATA_GOC!$E:$E,$C4124,DATA_GOC!$F:$F,"Xuất nội bộ từ téc",DATA_GOC!$B:$B,"&gt;="&amp;$D4124,DATA_GOC!$B:$B,"&lt;="&amp;$E4124))</f>
        <v/>
      </c>
      <c r="J4124" s="59">
        <f t="shared" si="28"/>
        <v>0</v>
      </c>
      <c r="K4124" s="59">
        <f t="shared" si="29"/>
        <v>0</v>
      </c>
      <c r="L4124" s="59">
        <f t="shared" si="30"/>
        <v>0</v>
      </c>
      <c r="M4124" s="59">
        <f t="shared" si="31"/>
        <v>0</v>
      </c>
    </row>
    <row r="4125" ht="15.0" hidden="1" customHeight="1">
      <c r="A4125" s="59">
        <f t="shared" si="20"/>
        <v>65</v>
      </c>
      <c r="B4125" s="59" t="str">
        <f t="shared" si="21"/>
        <v/>
      </c>
      <c r="C4125" s="59" t="str">
        <f t="shared" si="22"/>
        <v/>
      </c>
      <c r="D4125" s="45" t="str">
        <f t="shared" si="23"/>
        <v/>
      </c>
      <c r="E4125" s="45" t="str">
        <f t="shared" si="24"/>
        <v/>
      </c>
      <c r="F4125" s="59" t="str">
        <f t="shared" si="25"/>
        <v/>
      </c>
      <c r="G4125" s="59" t="str">
        <f t="shared" si="26"/>
        <v/>
      </c>
      <c r="H4125" s="59" t="str">
        <f t="shared" si="27"/>
        <v>Xúclật855H</v>
      </c>
      <c r="I4125" s="59" t="str">
        <f>IF(OR($A4125="",$C4125="",$D4125="",$E4125="",$H4125=""),"",SUMIFS(DATA_GOC!$H:$H,DATA_GOC!$A:$A,"BOM",DATA_GOC!$D:$D,$H4125,DATA_GOC!$E:$E,$C4125,DATA_GOC!$F:$F,"Xuất nội bộ từ téc",DATA_GOC!$B:$B,"&gt;="&amp;$D4125,DATA_GOC!$B:$B,"&lt;="&amp;$E4125))</f>
        <v/>
      </c>
      <c r="J4125" s="59">
        <f t="shared" si="28"/>
        <v>0</v>
      </c>
      <c r="K4125" s="59">
        <f t="shared" si="29"/>
        <v>0</v>
      </c>
      <c r="L4125" s="59">
        <f t="shared" si="30"/>
        <v>0</v>
      </c>
      <c r="M4125" s="59">
        <f t="shared" si="31"/>
        <v>0</v>
      </c>
    </row>
    <row r="4126" ht="15.0" hidden="1" customHeight="1">
      <c r="A4126" s="59">
        <f t="shared" si="20"/>
        <v>65</v>
      </c>
      <c r="B4126" s="59" t="str">
        <f t="shared" si="21"/>
        <v/>
      </c>
      <c r="C4126" s="59" t="str">
        <f t="shared" si="22"/>
        <v/>
      </c>
      <c r="D4126" s="45" t="str">
        <f t="shared" si="23"/>
        <v/>
      </c>
      <c r="E4126" s="45" t="str">
        <f t="shared" si="24"/>
        <v/>
      </c>
      <c r="F4126" s="59" t="str">
        <f t="shared" si="25"/>
        <v/>
      </c>
      <c r="G4126" s="59" t="str">
        <f t="shared" si="26"/>
        <v/>
      </c>
      <c r="H4126" s="59" t="str">
        <f t="shared" si="27"/>
        <v>Xúclật855N</v>
      </c>
      <c r="I4126" s="59" t="str">
        <f>IF(OR($A4126="",$C4126="",$D4126="",$E4126="",$H4126=""),"",SUMIFS(DATA_GOC!$H:$H,DATA_GOC!$A:$A,"BOM",DATA_GOC!$D:$D,$H4126,DATA_GOC!$E:$E,$C4126,DATA_GOC!$F:$F,"Xuất nội bộ từ téc",DATA_GOC!$B:$B,"&gt;="&amp;$D4126,DATA_GOC!$B:$B,"&lt;="&amp;$E4126))</f>
        <v/>
      </c>
      <c r="J4126" s="59">
        <f t="shared" si="28"/>
        <v>0</v>
      </c>
      <c r="K4126" s="59">
        <f t="shared" si="29"/>
        <v>0</v>
      </c>
      <c r="L4126" s="59">
        <f t="shared" si="30"/>
        <v>0</v>
      </c>
      <c r="M4126" s="59">
        <f t="shared" si="31"/>
        <v>0</v>
      </c>
    </row>
    <row r="4127" ht="15.0" hidden="1" customHeight="1">
      <c r="A4127" s="59">
        <f t="shared" si="20"/>
        <v>65</v>
      </c>
      <c r="B4127" s="59" t="str">
        <f t="shared" si="21"/>
        <v/>
      </c>
      <c r="C4127" s="59" t="str">
        <f t="shared" si="22"/>
        <v/>
      </c>
      <c r="D4127" s="45" t="str">
        <f t="shared" si="23"/>
        <v/>
      </c>
      <c r="E4127" s="45" t="str">
        <f t="shared" si="24"/>
        <v/>
      </c>
      <c r="F4127" s="59" t="str">
        <f t="shared" si="25"/>
        <v/>
      </c>
      <c r="G4127" s="59" t="str">
        <f t="shared" si="26"/>
        <v/>
      </c>
      <c r="H4127" s="59" t="str">
        <f t="shared" si="27"/>
        <v>Cát nghiền</v>
      </c>
      <c r="I4127" s="59" t="str">
        <f>IF(OR($A4127="",$C4127="",$D4127="",$E4127="",$H4127=""),"",SUMIFS(DATA_GOC!$H:$H,DATA_GOC!$A:$A,"BOM",DATA_GOC!$D:$D,$H4127,DATA_GOC!$E:$E,$C4127,DATA_GOC!$F:$F,"Xuất nội bộ từ téc",DATA_GOC!$B:$B,"&gt;="&amp;$D4127,DATA_GOC!$B:$B,"&lt;="&amp;$E4127))</f>
        <v/>
      </c>
      <c r="J4127" s="59">
        <f t="shared" si="28"/>
        <v>0</v>
      </c>
      <c r="K4127" s="59">
        <f t="shared" si="29"/>
        <v>0</v>
      </c>
      <c r="L4127" s="59">
        <f t="shared" si="30"/>
        <v>0</v>
      </c>
      <c r="M4127" s="59">
        <f t="shared" si="31"/>
        <v>0</v>
      </c>
    </row>
    <row r="4128" ht="15.0" hidden="1" customHeight="1">
      <c r="A4128" s="59">
        <f t="shared" si="20"/>
        <v>65</v>
      </c>
      <c r="B4128" s="59" t="str">
        <f t="shared" si="21"/>
        <v/>
      </c>
      <c r="C4128" s="59" t="str">
        <f t="shared" si="22"/>
        <v/>
      </c>
      <c r="D4128" s="45" t="str">
        <f t="shared" si="23"/>
        <v/>
      </c>
      <c r="E4128" s="45" t="str">
        <f t="shared" si="24"/>
        <v/>
      </c>
      <c r="F4128" s="59" t="str">
        <f t="shared" si="25"/>
        <v/>
      </c>
      <c r="G4128" s="59" t="str">
        <f t="shared" si="26"/>
        <v/>
      </c>
      <c r="H4128" s="59" t="str">
        <f t="shared" si="27"/>
        <v>28C02973</v>
      </c>
      <c r="I4128" s="59" t="str">
        <f>IF(OR($A4128="",$C4128="",$D4128="",$E4128="",$H4128=""),"",SUMIFS(DATA_GOC!$H:$H,DATA_GOC!$A:$A,"BOM",DATA_GOC!$D:$D,$H4128,DATA_GOC!$E:$E,$C4128,DATA_GOC!$F:$F,"Xuất nội bộ từ téc",DATA_GOC!$B:$B,"&gt;="&amp;$D4128,DATA_GOC!$B:$B,"&lt;="&amp;$E4128))</f>
        <v/>
      </c>
      <c r="J4128" s="59">
        <f t="shared" si="28"/>
        <v>0</v>
      </c>
      <c r="K4128" s="59">
        <f t="shared" si="29"/>
        <v>0</v>
      </c>
      <c r="L4128" s="59">
        <f t="shared" si="30"/>
        <v>0</v>
      </c>
      <c r="M4128" s="59">
        <f t="shared" si="31"/>
        <v>0</v>
      </c>
    </row>
    <row r="4129" ht="15.0" hidden="1" customHeight="1">
      <c r="A4129" s="59">
        <f t="shared" si="20"/>
        <v>65</v>
      </c>
      <c r="B4129" s="59" t="str">
        <f t="shared" si="21"/>
        <v/>
      </c>
      <c r="C4129" s="59" t="str">
        <f t="shared" si="22"/>
        <v/>
      </c>
      <c r="D4129" s="45" t="str">
        <f t="shared" si="23"/>
        <v/>
      </c>
      <c r="E4129" s="45" t="str">
        <f t="shared" si="24"/>
        <v/>
      </c>
      <c r="F4129" s="59" t="str">
        <f t="shared" si="25"/>
        <v/>
      </c>
      <c r="G4129" s="59" t="str">
        <f t="shared" si="26"/>
        <v/>
      </c>
      <c r="H4129" s="59" t="str">
        <f t="shared" si="27"/>
        <v>28C03044</v>
      </c>
      <c r="I4129" s="59" t="str">
        <f>IF(OR($A4129="",$C4129="",$D4129="",$E4129="",$H4129=""),"",SUMIFS(DATA_GOC!$H:$H,DATA_GOC!$A:$A,"BOM",DATA_GOC!$D:$D,$H4129,DATA_GOC!$E:$E,$C4129,DATA_GOC!$F:$F,"Xuất nội bộ từ téc",DATA_GOC!$B:$B,"&gt;="&amp;$D4129,DATA_GOC!$B:$B,"&lt;="&amp;$E4129))</f>
        <v/>
      </c>
      <c r="J4129" s="59">
        <f t="shared" si="28"/>
        <v>0</v>
      </c>
      <c r="K4129" s="59">
        <f t="shared" si="29"/>
        <v>0</v>
      </c>
      <c r="L4129" s="59">
        <f t="shared" si="30"/>
        <v>0</v>
      </c>
      <c r="M4129" s="59">
        <f t="shared" si="31"/>
        <v>0</v>
      </c>
    </row>
    <row r="4130" ht="15.0" hidden="1" customHeight="1">
      <c r="A4130" s="59">
        <f t="shared" si="20"/>
        <v>65</v>
      </c>
      <c r="B4130" s="59" t="str">
        <f t="shared" si="21"/>
        <v/>
      </c>
      <c r="C4130" s="59" t="str">
        <f t="shared" si="22"/>
        <v/>
      </c>
      <c r="D4130" s="45" t="str">
        <f t="shared" si="23"/>
        <v/>
      </c>
      <c r="E4130" s="45" t="str">
        <f t="shared" si="24"/>
        <v/>
      </c>
      <c r="F4130" s="59" t="str">
        <f t="shared" si="25"/>
        <v/>
      </c>
      <c r="G4130" s="59" t="str">
        <f t="shared" si="26"/>
        <v/>
      </c>
      <c r="H4130" s="59" t="str">
        <f t="shared" si="27"/>
        <v>Máy lu lốp</v>
      </c>
      <c r="I4130" s="59" t="str">
        <f>IF(OR($A4130="",$C4130="",$D4130="",$E4130="",$H4130=""),"",SUMIFS(DATA_GOC!$H:$H,DATA_GOC!$A:$A,"BOM",DATA_GOC!$D:$D,$H4130,DATA_GOC!$E:$E,$C4130,DATA_GOC!$F:$F,"Xuất nội bộ từ téc",DATA_GOC!$B:$B,"&gt;="&amp;$D4130,DATA_GOC!$B:$B,"&lt;="&amp;$E4130))</f>
        <v/>
      </c>
      <c r="J4130" s="59">
        <f t="shared" si="28"/>
        <v>0</v>
      </c>
      <c r="K4130" s="59">
        <f t="shared" si="29"/>
        <v>0</v>
      </c>
      <c r="L4130" s="59">
        <f t="shared" si="30"/>
        <v>0</v>
      </c>
      <c r="M4130" s="59">
        <f t="shared" si="31"/>
        <v>0</v>
      </c>
    </row>
    <row r="4131" ht="15.0" hidden="1" customHeight="1">
      <c r="A4131" s="59">
        <f t="shared" si="20"/>
        <v>65</v>
      </c>
      <c r="B4131" s="59" t="str">
        <f t="shared" si="21"/>
        <v/>
      </c>
      <c r="C4131" s="59" t="str">
        <f t="shared" si="22"/>
        <v/>
      </c>
      <c r="D4131" s="45" t="str">
        <f t="shared" si="23"/>
        <v/>
      </c>
      <c r="E4131" s="45" t="str">
        <f t="shared" si="24"/>
        <v/>
      </c>
      <c r="F4131" s="59" t="str">
        <f t="shared" si="25"/>
        <v/>
      </c>
      <c r="G4131" s="59" t="str">
        <f t="shared" si="26"/>
        <v/>
      </c>
      <c r="H4131" s="59" t="str">
        <f t="shared" si="27"/>
        <v>Xe 600148</v>
      </c>
      <c r="I4131" s="59" t="str">
        <f>IF(OR($A4131="",$C4131="",$D4131="",$E4131="",$H4131=""),"",SUMIFS(DATA_GOC!$H:$H,DATA_GOC!$A:$A,"BOM",DATA_GOC!$D:$D,$H4131,DATA_GOC!$E:$E,$C4131,DATA_GOC!$F:$F,"Xuất nội bộ từ téc",DATA_GOC!$B:$B,"&gt;="&amp;$D4131,DATA_GOC!$B:$B,"&lt;="&amp;$E4131))</f>
        <v/>
      </c>
      <c r="J4131" s="59">
        <f t="shared" si="28"/>
        <v>0</v>
      </c>
      <c r="K4131" s="59">
        <f t="shared" si="29"/>
        <v>0</v>
      </c>
      <c r="L4131" s="59">
        <f t="shared" si="30"/>
        <v>0</v>
      </c>
      <c r="M4131" s="59">
        <f t="shared" si="31"/>
        <v>0</v>
      </c>
    </row>
    <row r="4132" ht="15.0" hidden="1" customHeight="1">
      <c r="A4132" s="59">
        <f t="shared" si="20"/>
        <v>65</v>
      </c>
      <c r="B4132" s="59" t="str">
        <f t="shared" si="21"/>
        <v/>
      </c>
      <c r="C4132" s="59" t="str">
        <f t="shared" si="22"/>
        <v/>
      </c>
      <c r="D4132" s="45" t="str">
        <f t="shared" si="23"/>
        <v/>
      </c>
      <c r="E4132" s="45" t="str">
        <f t="shared" si="24"/>
        <v/>
      </c>
      <c r="F4132" s="59" t="str">
        <f t="shared" si="25"/>
        <v/>
      </c>
      <c r="G4132" s="59" t="str">
        <f t="shared" si="26"/>
        <v/>
      </c>
      <c r="H4132" s="59" t="str">
        <f t="shared" si="27"/>
        <v>Xe ben mới</v>
      </c>
      <c r="I4132" s="59" t="str">
        <f>IF(OR($A4132="",$C4132="",$D4132="",$E4132="",$H4132=""),"",SUMIFS(DATA_GOC!$H:$H,DATA_GOC!$A:$A,"BOM",DATA_GOC!$D:$D,$H4132,DATA_GOC!$E:$E,$C4132,DATA_GOC!$F:$F,"Xuất nội bộ từ téc",DATA_GOC!$B:$B,"&gt;="&amp;$D4132,DATA_GOC!$B:$B,"&lt;="&amp;$E4132))</f>
        <v/>
      </c>
      <c r="J4132" s="59">
        <f t="shared" si="28"/>
        <v>0</v>
      </c>
      <c r="K4132" s="59">
        <f t="shared" si="29"/>
        <v>0</v>
      </c>
      <c r="L4132" s="59">
        <f t="shared" si="30"/>
        <v>0</v>
      </c>
      <c r="M4132" s="59">
        <f t="shared" si="31"/>
        <v>0</v>
      </c>
    </row>
    <row r="4133" ht="15.0" hidden="1" customHeight="1">
      <c r="A4133" s="59">
        <f t="shared" si="20"/>
        <v>66</v>
      </c>
      <c r="B4133" s="59" t="str">
        <f t="shared" si="21"/>
        <v/>
      </c>
      <c r="C4133" s="59" t="str">
        <f t="shared" si="22"/>
        <v/>
      </c>
      <c r="D4133" s="45" t="str">
        <f t="shared" si="23"/>
        <v/>
      </c>
      <c r="E4133" s="45" t="str">
        <f t="shared" si="24"/>
        <v/>
      </c>
      <c r="F4133" s="59" t="str">
        <f t="shared" si="25"/>
        <v/>
      </c>
      <c r="G4133" s="59" t="str">
        <f t="shared" si="26"/>
        <v/>
      </c>
      <c r="H4133" s="59" t="str">
        <f t="shared" si="27"/>
        <v>19H09482</v>
      </c>
      <c r="I4133" s="59" t="str">
        <f>IF(OR($A4133="",$C4133="",$D4133="",$E4133="",$H4133=""),"",SUMIFS(DATA_GOC!$H:$H,DATA_GOC!$A:$A,"BOM",DATA_GOC!$D:$D,$H4133,DATA_GOC!$E:$E,$C4133,DATA_GOC!$F:$F,"Xuất nội bộ từ téc",DATA_GOC!$B:$B,"&gt;="&amp;$D4133,DATA_GOC!$B:$B,"&lt;="&amp;$E4133))</f>
        <v/>
      </c>
      <c r="J4133" s="59">
        <f t="shared" si="28"/>
        <v>0</v>
      </c>
      <c r="K4133" s="59">
        <f t="shared" si="29"/>
        <v>0</v>
      </c>
      <c r="L4133" s="59">
        <f t="shared" si="30"/>
        <v>0</v>
      </c>
      <c r="M4133" s="59">
        <f t="shared" si="31"/>
        <v>0</v>
      </c>
    </row>
    <row r="4134" ht="15.0" hidden="1" customHeight="1">
      <c r="A4134" s="59">
        <f t="shared" si="20"/>
        <v>66</v>
      </c>
      <c r="B4134" s="59" t="str">
        <f t="shared" si="21"/>
        <v/>
      </c>
      <c r="C4134" s="59" t="str">
        <f t="shared" si="22"/>
        <v/>
      </c>
      <c r="D4134" s="45" t="str">
        <f t="shared" si="23"/>
        <v/>
      </c>
      <c r="E4134" s="45" t="str">
        <f t="shared" si="24"/>
        <v/>
      </c>
      <c r="F4134" s="59" t="str">
        <f t="shared" si="25"/>
        <v/>
      </c>
      <c r="G4134" s="59" t="str">
        <f t="shared" si="26"/>
        <v/>
      </c>
      <c r="H4134" s="59" t="str">
        <f t="shared" si="27"/>
        <v>28A30696</v>
      </c>
      <c r="I4134" s="59" t="str">
        <f>IF(OR($A4134="",$C4134="",$D4134="",$E4134="",$H4134=""),"",SUMIFS(DATA_GOC!$H:$H,DATA_GOC!$A:$A,"BOM",DATA_GOC!$D:$D,$H4134,DATA_GOC!$E:$E,$C4134,DATA_GOC!$F:$F,"Xuất nội bộ từ téc",DATA_GOC!$B:$B,"&gt;="&amp;$D4134,DATA_GOC!$B:$B,"&lt;="&amp;$E4134))</f>
        <v/>
      </c>
      <c r="J4134" s="59">
        <f t="shared" si="28"/>
        <v>0</v>
      </c>
      <c r="K4134" s="59">
        <f t="shared" si="29"/>
        <v>0</v>
      </c>
      <c r="L4134" s="59">
        <f t="shared" si="30"/>
        <v>0</v>
      </c>
      <c r="M4134" s="59">
        <f t="shared" si="31"/>
        <v>0</v>
      </c>
    </row>
    <row r="4135" ht="15.0" hidden="1" customHeight="1">
      <c r="A4135" s="59">
        <f t="shared" si="20"/>
        <v>66</v>
      </c>
      <c r="B4135" s="59" t="str">
        <f t="shared" si="21"/>
        <v/>
      </c>
      <c r="C4135" s="59" t="str">
        <f t="shared" si="22"/>
        <v/>
      </c>
      <c r="D4135" s="45" t="str">
        <f t="shared" si="23"/>
        <v/>
      </c>
      <c r="E4135" s="45" t="str">
        <f t="shared" si="24"/>
        <v/>
      </c>
      <c r="F4135" s="59" t="str">
        <f t="shared" si="25"/>
        <v/>
      </c>
      <c r="G4135" s="59" t="str">
        <f t="shared" si="26"/>
        <v/>
      </c>
      <c r="H4135" s="59" t="str">
        <f t="shared" si="27"/>
        <v>28C00462</v>
      </c>
      <c r="I4135" s="59" t="str">
        <f>IF(OR($A4135="",$C4135="",$D4135="",$E4135="",$H4135=""),"",SUMIFS(DATA_GOC!$H:$H,DATA_GOC!$A:$A,"BOM",DATA_GOC!$D:$D,$H4135,DATA_GOC!$E:$E,$C4135,DATA_GOC!$F:$F,"Xuất nội bộ từ téc",DATA_GOC!$B:$B,"&gt;="&amp;$D4135,DATA_GOC!$B:$B,"&lt;="&amp;$E4135))</f>
        <v/>
      </c>
      <c r="J4135" s="59">
        <f t="shared" si="28"/>
        <v>0</v>
      </c>
      <c r="K4135" s="59">
        <f t="shared" si="29"/>
        <v>0</v>
      </c>
      <c r="L4135" s="59">
        <f t="shared" si="30"/>
        <v>0</v>
      </c>
      <c r="M4135" s="59">
        <f t="shared" si="31"/>
        <v>0</v>
      </c>
    </row>
    <row r="4136" ht="15.0" hidden="1" customHeight="1">
      <c r="A4136" s="59">
        <f t="shared" si="20"/>
        <v>66</v>
      </c>
      <c r="B4136" s="59" t="str">
        <f t="shared" si="21"/>
        <v/>
      </c>
      <c r="C4136" s="59" t="str">
        <f t="shared" si="22"/>
        <v/>
      </c>
      <c r="D4136" s="45" t="str">
        <f t="shared" si="23"/>
        <v/>
      </c>
      <c r="E4136" s="45" t="str">
        <f t="shared" si="24"/>
        <v/>
      </c>
      <c r="F4136" s="59" t="str">
        <f t="shared" si="25"/>
        <v/>
      </c>
      <c r="G4136" s="59" t="str">
        <f t="shared" si="26"/>
        <v/>
      </c>
      <c r="H4136" s="59" t="str">
        <f t="shared" si="27"/>
        <v>28C01165</v>
      </c>
      <c r="I4136" s="59" t="str">
        <f>IF(OR($A4136="",$C4136="",$D4136="",$E4136="",$H4136=""),"",SUMIFS(DATA_GOC!$H:$H,DATA_GOC!$A:$A,"BOM",DATA_GOC!$D:$D,$H4136,DATA_GOC!$E:$E,$C4136,DATA_GOC!$F:$F,"Xuất nội bộ từ téc",DATA_GOC!$B:$B,"&gt;="&amp;$D4136,DATA_GOC!$B:$B,"&lt;="&amp;$E4136))</f>
        <v/>
      </c>
      <c r="J4136" s="59">
        <f t="shared" si="28"/>
        <v>0</v>
      </c>
      <c r="K4136" s="59">
        <f t="shared" si="29"/>
        <v>0</v>
      </c>
      <c r="L4136" s="59">
        <f t="shared" si="30"/>
        <v>0</v>
      </c>
      <c r="M4136" s="59">
        <f t="shared" si="31"/>
        <v>0</v>
      </c>
    </row>
    <row r="4137" ht="15.0" hidden="1" customHeight="1">
      <c r="A4137" s="59">
        <f t="shared" si="20"/>
        <v>66</v>
      </c>
      <c r="B4137" s="59" t="str">
        <f t="shared" si="21"/>
        <v/>
      </c>
      <c r="C4137" s="59" t="str">
        <f t="shared" si="22"/>
        <v/>
      </c>
      <c r="D4137" s="45" t="str">
        <f t="shared" si="23"/>
        <v/>
      </c>
      <c r="E4137" s="45" t="str">
        <f t="shared" si="24"/>
        <v/>
      </c>
      <c r="F4137" s="59" t="str">
        <f t="shared" si="25"/>
        <v/>
      </c>
      <c r="G4137" s="59" t="str">
        <f t="shared" si="26"/>
        <v/>
      </c>
      <c r="H4137" s="59" t="str">
        <f t="shared" si="27"/>
        <v>28C01406</v>
      </c>
      <c r="I4137" s="59" t="str">
        <f>IF(OR($A4137="",$C4137="",$D4137="",$E4137="",$H4137=""),"",SUMIFS(DATA_GOC!$H:$H,DATA_GOC!$A:$A,"BOM",DATA_GOC!$D:$D,$H4137,DATA_GOC!$E:$E,$C4137,DATA_GOC!$F:$F,"Xuất nội bộ từ téc",DATA_GOC!$B:$B,"&gt;="&amp;$D4137,DATA_GOC!$B:$B,"&lt;="&amp;$E4137))</f>
        <v/>
      </c>
      <c r="J4137" s="59">
        <f t="shared" si="28"/>
        <v>0</v>
      </c>
      <c r="K4137" s="59">
        <f t="shared" si="29"/>
        <v>0</v>
      </c>
      <c r="L4137" s="59">
        <f t="shared" si="30"/>
        <v>0</v>
      </c>
      <c r="M4137" s="59">
        <f t="shared" si="31"/>
        <v>0</v>
      </c>
    </row>
    <row r="4138" ht="15.0" hidden="1" customHeight="1">
      <c r="A4138" s="59">
        <f t="shared" si="20"/>
        <v>66</v>
      </c>
      <c r="B4138" s="59" t="str">
        <f t="shared" si="21"/>
        <v/>
      </c>
      <c r="C4138" s="59" t="str">
        <f t="shared" si="22"/>
        <v/>
      </c>
      <c r="D4138" s="45" t="str">
        <f t="shared" si="23"/>
        <v/>
      </c>
      <c r="E4138" s="45" t="str">
        <f t="shared" si="24"/>
        <v/>
      </c>
      <c r="F4138" s="59" t="str">
        <f t="shared" si="25"/>
        <v/>
      </c>
      <c r="G4138" s="59" t="str">
        <f t="shared" si="26"/>
        <v/>
      </c>
      <c r="H4138" s="59" t="str">
        <f t="shared" si="27"/>
        <v>28C01544</v>
      </c>
      <c r="I4138" s="59" t="str">
        <f>IF(OR($A4138="",$C4138="",$D4138="",$E4138="",$H4138=""),"",SUMIFS(DATA_GOC!$H:$H,DATA_GOC!$A:$A,"BOM",DATA_GOC!$D:$D,$H4138,DATA_GOC!$E:$E,$C4138,DATA_GOC!$F:$F,"Xuất nội bộ từ téc",DATA_GOC!$B:$B,"&gt;="&amp;$D4138,DATA_GOC!$B:$B,"&lt;="&amp;$E4138))</f>
        <v/>
      </c>
      <c r="J4138" s="59">
        <f t="shared" si="28"/>
        <v>0</v>
      </c>
      <c r="K4138" s="59">
        <f t="shared" si="29"/>
        <v>0</v>
      </c>
      <c r="L4138" s="59">
        <f t="shared" si="30"/>
        <v>0</v>
      </c>
      <c r="M4138" s="59">
        <f t="shared" si="31"/>
        <v>0</v>
      </c>
    </row>
    <row r="4139" ht="15.0" hidden="1" customHeight="1">
      <c r="A4139" s="59">
        <f t="shared" si="20"/>
        <v>66</v>
      </c>
      <c r="B4139" s="59" t="str">
        <f t="shared" si="21"/>
        <v/>
      </c>
      <c r="C4139" s="59" t="str">
        <f t="shared" si="22"/>
        <v/>
      </c>
      <c r="D4139" s="45" t="str">
        <f t="shared" si="23"/>
        <v/>
      </c>
      <c r="E4139" s="45" t="str">
        <f t="shared" si="24"/>
        <v/>
      </c>
      <c r="F4139" s="59" t="str">
        <f t="shared" si="25"/>
        <v/>
      </c>
      <c r="G4139" s="59" t="str">
        <f t="shared" si="26"/>
        <v/>
      </c>
      <c r="H4139" s="59" t="str">
        <f t="shared" si="27"/>
        <v>28C01622</v>
      </c>
      <c r="I4139" s="59" t="str">
        <f>IF(OR($A4139="",$C4139="",$D4139="",$E4139="",$H4139=""),"",SUMIFS(DATA_GOC!$H:$H,DATA_GOC!$A:$A,"BOM",DATA_GOC!$D:$D,$H4139,DATA_GOC!$E:$E,$C4139,DATA_GOC!$F:$F,"Xuất nội bộ từ téc",DATA_GOC!$B:$B,"&gt;="&amp;$D4139,DATA_GOC!$B:$B,"&lt;="&amp;$E4139))</f>
        <v/>
      </c>
      <c r="J4139" s="59">
        <f t="shared" si="28"/>
        <v>0</v>
      </c>
      <c r="K4139" s="59">
        <f t="shared" si="29"/>
        <v>0</v>
      </c>
      <c r="L4139" s="59">
        <f t="shared" si="30"/>
        <v>0</v>
      </c>
      <c r="M4139" s="59">
        <f t="shared" si="31"/>
        <v>0</v>
      </c>
    </row>
    <row r="4140" ht="15.0" hidden="1" customHeight="1">
      <c r="A4140" s="59">
        <f t="shared" si="20"/>
        <v>66</v>
      </c>
      <c r="B4140" s="59" t="str">
        <f t="shared" si="21"/>
        <v/>
      </c>
      <c r="C4140" s="59" t="str">
        <f t="shared" si="22"/>
        <v/>
      </c>
      <c r="D4140" s="45" t="str">
        <f t="shared" si="23"/>
        <v/>
      </c>
      <c r="E4140" s="45" t="str">
        <f t="shared" si="24"/>
        <v/>
      </c>
      <c r="F4140" s="59" t="str">
        <f t="shared" si="25"/>
        <v/>
      </c>
      <c r="G4140" s="59" t="str">
        <f t="shared" si="26"/>
        <v/>
      </c>
      <c r="H4140" s="59" t="str">
        <f t="shared" si="27"/>
        <v>28C01647</v>
      </c>
      <c r="I4140" s="59" t="str">
        <f>IF(OR($A4140="",$C4140="",$D4140="",$E4140="",$H4140=""),"",SUMIFS(DATA_GOC!$H:$H,DATA_GOC!$A:$A,"BOM",DATA_GOC!$D:$D,$H4140,DATA_GOC!$E:$E,$C4140,DATA_GOC!$F:$F,"Xuất nội bộ từ téc",DATA_GOC!$B:$B,"&gt;="&amp;$D4140,DATA_GOC!$B:$B,"&lt;="&amp;$E4140))</f>
        <v/>
      </c>
      <c r="J4140" s="59">
        <f t="shared" si="28"/>
        <v>0</v>
      </c>
      <c r="K4140" s="59">
        <f t="shared" si="29"/>
        <v>0</v>
      </c>
      <c r="L4140" s="59">
        <f t="shared" si="30"/>
        <v>0</v>
      </c>
      <c r="M4140" s="59">
        <f t="shared" si="31"/>
        <v>0</v>
      </c>
    </row>
    <row r="4141" ht="15.0" hidden="1" customHeight="1">
      <c r="A4141" s="59">
        <f t="shared" si="20"/>
        <v>66</v>
      </c>
      <c r="B4141" s="59" t="str">
        <f t="shared" si="21"/>
        <v/>
      </c>
      <c r="C4141" s="59" t="str">
        <f t="shared" si="22"/>
        <v/>
      </c>
      <c r="D4141" s="45" t="str">
        <f t="shared" si="23"/>
        <v/>
      </c>
      <c r="E4141" s="45" t="str">
        <f t="shared" si="24"/>
        <v/>
      </c>
      <c r="F4141" s="59" t="str">
        <f t="shared" si="25"/>
        <v/>
      </c>
      <c r="G4141" s="59" t="str">
        <f t="shared" si="26"/>
        <v/>
      </c>
      <c r="H4141" s="59" t="str">
        <f t="shared" si="27"/>
        <v>28C01731</v>
      </c>
      <c r="I4141" s="59" t="str">
        <f>IF(OR($A4141="",$C4141="",$D4141="",$E4141="",$H4141=""),"",SUMIFS(DATA_GOC!$H:$H,DATA_GOC!$A:$A,"BOM",DATA_GOC!$D:$D,$H4141,DATA_GOC!$E:$E,$C4141,DATA_GOC!$F:$F,"Xuất nội bộ từ téc",DATA_GOC!$B:$B,"&gt;="&amp;$D4141,DATA_GOC!$B:$B,"&lt;="&amp;$E4141))</f>
        <v/>
      </c>
      <c r="J4141" s="59">
        <f t="shared" si="28"/>
        <v>0</v>
      </c>
      <c r="K4141" s="59">
        <f t="shared" si="29"/>
        <v>0</v>
      </c>
      <c r="L4141" s="59">
        <f t="shared" si="30"/>
        <v>0</v>
      </c>
      <c r="M4141" s="59">
        <f t="shared" si="31"/>
        <v>0</v>
      </c>
    </row>
    <row r="4142" ht="15.0" hidden="1" customHeight="1">
      <c r="A4142" s="59">
        <f t="shared" si="20"/>
        <v>66</v>
      </c>
      <c r="B4142" s="59" t="str">
        <f t="shared" si="21"/>
        <v/>
      </c>
      <c r="C4142" s="59" t="str">
        <f t="shared" si="22"/>
        <v/>
      </c>
      <c r="D4142" s="45" t="str">
        <f t="shared" si="23"/>
        <v/>
      </c>
      <c r="E4142" s="45" t="str">
        <f t="shared" si="24"/>
        <v/>
      </c>
      <c r="F4142" s="59" t="str">
        <f t="shared" si="25"/>
        <v/>
      </c>
      <c r="G4142" s="59" t="str">
        <f t="shared" si="26"/>
        <v/>
      </c>
      <c r="H4142" s="59" t="str">
        <f t="shared" si="27"/>
        <v>28C01743</v>
      </c>
      <c r="I4142" s="59" t="str">
        <f>IF(OR($A4142="",$C4142="",$D4142="",$E4142="",$H4142=""),"",SUMIFS(DATA_GOC!$H:$H,DATA_GOC!$A:$A,"BOM",DATA_GOC!$D:$D,$H4142,DATA_GOC!$E:$E,$C4142,DATA_GOC!$F:$F,"Xuất nội bộ từ téc",DATA_GOC!$B:$B,"&gt;="&amp;$D4142,DATA_GOC!$B:$B,"&lt;="&amp;$E4142))</f>
        <v/>
      </c>
      <c r="J4142" s="59">
        <f t="shared" si="28"/>
        <v>0</v>
      </c>
      <c r="K4142" s="59">
        <f t="shared" si="29"/>
        <v>0</v>
      </c>
      <c r="L4142" s="59">
        <f t="shared" si="30"/>
        <v>0</v>
      </c>
      <c r="M4142" s="59">
        <f t="shared" si="31"/>
        <v>0</v>
      </c>
    </row>
    <row r="4143" ht="15.0" hidden="1" customHeight="1">
      <c r="A4143" s="59">
        <f t="shared" si="20"/>
        <v>66</v>
      </c>
      <c r="B4143" s="59" t="str">
        <f t="shared" si="21"/>
        <v/>
      </c>
      <c r="C4143" s="59" t="str">
        <f t="shared" si="22"/>
        <v/>
      </c>
      <c r="D4143" s="45" t="str">
        <f t="shared" si="23"/>
        <v/>
      </c>
      <c r="E4143" s="45" t="str">
        <f t="shared" si="24"/>
        <v/>
      </c>
      <c r="F4143" s="59" t="str">
        <f t="shared" si="25"/>
        <v/>
      </c>
      <c r="G4143" s="59" t="str">
        <f t="shared" si="26"/>
        <v/>
      </c>
      <c r="H4143" s="59" t="str">
        <f t="shared" si="27"/>
        <v>28C02106</v>
      </c>
      <c r="I4143" s="59" t="str">
        <f>IF(OR($A4143="",$C4143="",$D4143="",$E4143="",$H4143=""),"",SUMIFS(DATA_GOC!$H:$H,DATA_GOC!$A:$A,"BOM",DATA_GOC!$D:$D,$H4143,DATA_GOC!$E:$E,$C4143,DATA_GOC!$F:$F,"Xuất nội bộ từ téc",DATA_GOC!$B:$B,"&gt;="&amp;$D4143,DATA_GOC!$B:$B,"&lt;="&amp;$E4143))</f>
        <v/>
      </c>
      <c r="J4143" s="59">
        <f t="shared" si="28"/>
        <v>0</v>
      </c>
      <c r="K4143" s="59">
        <f t="shared" si="29"/>
        <v>0</v>
      </c>
      <c r="L4143" s="59">
        <f t="shared" si="30"/>
        <v>0</v>
      </c>
      <c r="M4143" s="59">
        <f t="shared" si="31"/>
        <v>0</v>
      </c>
    </row>
    <row r="4144" ht="15.0" hidden="1" customHeight="1">
      <c r="A4144" s="59">
        <f t="shared" si="20"/>
        <v>66</v>
      </c>
      <c r="B4144" s="59" t="str">
        <f t="shared" si="21"/>
        <v/>
      </c>
      <c r="C4144" s="59" t="str">
        <f t="shared" si="22"/>
        <v/>
      </c>
      <c r="D4144" s="45" t="str">
        <f t="shared" si="23"/>
        <v/>
      </c>
      <c r="E4144" s="45" t="str">
        <f t="shared" si="24"/>
        <v/>
      </c>
      <c r="F4144" s="59" t="str">
        <f t="shared" si="25"/>
        <v/>
      </c>
      <c r="G4144" s="59" t="str">
        <f t="shared" si="26"/>
        <v/>
      </c>
      <c r="H4144" s="59" t="str">
        <f t="shared" si="27"/>
        <v>28C02410</v>
      </c>
      <c r="I4144" s="59" t="str">
        <f>IF(OR($A4144="",$C4144="",$D4144="",$E4144="",$H4144=""),"",SUMIFS(DATA_GOC!$H:$H,DATA_GOC!$A:$A,"BOM",DATA_GOC!$D:$D,$H4144,DATA_GOC!$E:$E,$C4144,DATA_GOC!$F:$F,"Xuất nội bộ từ téc",DATA_GOC!$B:$B,"&gt;="&amp;$D4144,DATA_GOC!$B:$B,"&lt;="&amp;$E4144))</f>
        <v/>
      </c>
      <c r="J4144" s="59">
        <f t="shared" si="28"/>
        <v>0</v>
      </c>
      <c r="K4144" s="59">
        <f t="shared" si="29"/>
        <v>0</v>
      </c>
      <c r="L4144" s="59">
        <f t="shared" si="30"/>
        <v>0</v>
      </c>
      <c r="M4144" s="59">
        <f t="shared" si="31"/>
        <v>0</v>
      </c>
    </row>
    <row r="4145" ht="15.0" hidden="1" customHeight="1">
      <c r="A4145" s="59">
        <f t="shared" si="20"/>
        <v>66</v>
      </c>
      <c r="B4145" s="59" t="str">
        <f t="shared" si="21"/>
        <v/>
      </c>
      <c r="C4145" s="59" t="str">
        <f t="shared" si="22"/>
        <v/>
      </c>
      <c r="D4145" s="45" t="str">
        <f t="shared" si="23"/>
        <v/>
      </c>
      <c r="E4145" s="45" t="str">
        <f t="shared" si="24"/>
        <v/>
      </c>
      <c r="F4145" s="59" t="str">
        <f t="shared" si="25"/>
        <v/>
      </c>
      <c r="G4145" s="59" t="str">
        <f t="shared" si="26"/>
        <v/>
      </c>
      <c r="H4145" s="59" t="str">
        <f t="shared" si="27"/>
        <v>28C02545</v>
      </c>
      <c r="I4145" s="59" t="str">
        <f>IF(OR($A4145="",$C4145="",$D4145="",$E4145="",$H4145=""),"",SUMIFS(DATA_GOC!$H:$H,DATA_GOC!$A:$A,"BOM",DATA_GOC!$D:$D,$H4145,DATA_GOC!$E:$E,$C4145,DATA_GOC!$F:$F,"Xuất nội bộ từ téc",DATA_GOC!$B:$B,"&gt;="&amp;$D4145,DATA_GOC!$B:$B,"&lt;="&amp;$E4145))</f>
        <v/>
      </c>
      <c r="J4145" s="59">
        <f t="shared" si="28"/>
        <v>0</v>
      </c>
      <c r="K4145" s="59">
        <f t="shared" si="29"/>
        <v>0</v>
      </c>
      <c r="L4145" s="59">
        <f t="shared" si="30"/>
        <v>0</v>
      </c>
      <c r="M4145" s="59">
        <f t="shared" si="31"/>
        <v>0</v>
      </c>
    </row>
    <row r="4146" ht="15.0" hidden="1" customHeight="1">
      <c r="A4146" s="59">
        <f t="shared" si="20"/>
        <v>66</v>
      </c>
      <c r="B4146" s="59" t="str">
        <f t="shared" si="21"/>
        <v/>
      </c>
      <c r="C4146" s="59" t="str">
        <f t="shared" si="22"/>
        <v/>
      </c>
      <c r="D4146" s="45" t="str">
        <f t="shared" si="23"/>
        <v/>
      </c>
      <c r="E4146" s="45" t="str">
        <f t="shared" si="24"/>
        <v/>
      </c>
      <c r="F4146" s="59" t="str">
        <f t="shared" si="25"/>
        <v/>
      </c>
      <c r="G4146" s="59" t="str">
        <f t="shared" si="26"/>
        <v/>
      </c>
      <c r="H4146" s="59" t="str">
        <f t="shared" si="27"/>
        <v>28C02574</v>
      </c>
      <c r="I4146" s="59" t="str">
        <f>IF(OR($A4146="",$C4146="",$D4146="",$E4146="",$H4146=""),"",SUMIFS(DATA_GOC!$H:$H,DATA_GOC!$A:$A,"BOM",DATA_GOC!$D:$D,$H4146,DATA_GOC!$E:$E,$C4146,DATA_GOC!$F:$F,"Xuất nội bộ từ téc",DATA_GOC!$B:$B,"&gt;="&amp;$D4146,DATA_GOC!$B:$B,"&lt;="&amp;$E4146))</f>
        <v/>
      </c>
      <c r="J4146" s="59">
        <f t="shared" si="28"/>
        <v>0</v>
      </c>
      <c r="K4146" s="59">
        <f t="shared" si="29"/>
        <v>0</v>
      </c>
      <c r="L4146" s="59">
        <f t="shared" si="30"/>
        <v>0</v>
      </c>
      <c r="M4146" s="59">
        <f t="shared" si="31"/>
        <v>0</v>
      </c>
    </row>
    <row r="4147" ht="15.0" hidden="1" customHeight="1">
      <c r="A4147" s="59">
        <f t="shared" si="20"/>
        <v>66</v>
      </c>
      <c r="B4147" s="59" t="str">
        <f t="shared" si="21"/>
        <v/>
      </c>
      <c r="C4147" s="59" t="str">
        <f t="shared" si="22"/>
        <v/>
      </c>
      <c r="D4147" s="45" t="str">
        <f t="shared" si="23"/>
        <v/>
      </c>
      <c r="E4147" s="45" t="str">
        <f t="shared" si="24"/>
        <v/>
      </c>
      <c r="F4147" s="59" t="str">
        <f t="shared" si="25"/>
        <v/>
      </c>
      <c r="G4147" s="59" t="str">
        <f t="shared" si="26"/>
        <v/>
      </c>
      <c r="H4147" s="59" t="str">
        <f t="shared" si="27"/>
        <v>28C02770</v>
      </c>
      <c r="I4147" s="59" t="str">
        <f>IF(OR($A4147="",$C4147="",$D4147="",$E4147="",$H4147=""),"",SUMIFS(DATA_GOC!$H:$H,DATA_GOC!$A:$A,"BOM",DATA_GOC!$D:$D,$H4147,DATA_GOC!$E:$E,$C4147,DATA_GOC!$F:$F,"Xuất nội bộ từ téc",DATA_GOC!$B:$B,"&gt;="&amp;$D4147,DATA_GOC!$B:$B,"&lt;="&amp;$E4147))</f>
        <v/>
      </c>
      <c r="J4147" s="59">
        <f t="shared" si="28"/>
        <v>0</v>
      </c>
      <c r="K4147" s="59">
        <f t="shared" si="29"/>
        <v>0</v>
      </c>
      <c r="L4147" s="59">
        <f t="shared" si="30"/>
        <v>0</v>
      </c>
      <c r="M4147" s="59">
        <f t="shared" si="31"/>
        <v>0</v>
      </c>
    </row>
    <row r="4148" ht="15.0" hidden="1" customHeight="1">
      <c r="A4148" s="59">
        <f t="shared" si="20"/>
        <v>66</v>
      </c>
      <c r="B4148" s="59" t="str">
        <f t="shared" si="21"/>
        <v/>
      </c>
      <c r="C4148" s="59" t="str">
        <f t="shared" si="22"/>
        <v/>
      </c>
      <c r="D4148" s="45" t="str">
        <f t="shared" si="23"/>
        <v/>
      </c>
      <c r="E4148" s="45" t="str">
        <f t="shared" si="24"/>
        <v/>
      </c>
      <c r="F4148" s="59" t="str">
        <f t="shared" si="25"/>
        <v/>
      </c>
      <c r="G4148" s="59" t="str">
        <f t="shared" si="26"/>
        <v/>
      </c>
      <c r="H4148" s="59" t="str">
        <f t="shared" si="27"/>
        <v>28C02986</v>
      </c>
      <c r="I4148" s="59" t="str">
        <f>IF(OR($A4148="",$C4148="",$D4148="",$E4148="",$H4148=""),"",SUMIFS(DATA_GOC!$H:$H,DATA_GOC!$A:$A,"BOM",DATA_GOC!$D:$D,$H4148,DATA_GOC!$E:$E,$C4148,DATA_GOC!$F:$F,"Xuất nội bộ từ téc",DATA_GOC!$B:$B,"&gt;="&amp;$D4148,DATA_GOC!$B:$B,"&lt;="&amp;$E4148))</f>
        <v/>
      </c>
      <c r="J4148" s="59">
        <f t="shared" si="28"/>
        <v>0</v>
      </c>
      <c r="K4148" s="59">
        <f t="shared" si="29"/>
        <v>0</v>
      </c>
      <c r="L4148" s="59">
        <f t="shared" si="30"/>
        <v>0</v>
      </c>
      <c r="M4148" s="59">
        <f t="shared" si="31"/>
        <v>0</v>
      </c>
    </row>
    <row r="4149" ht="15.0" hidden="1" customHeight="1">
      <c r="A4149" s="59">
        <f t="shared" si="20"/>
        <v>66</v>
      </c>
      <c r="B4149" s="59" t="str">
        <f t="shared" si="21"/>
        <v/>
      </c>
      <c r="C4149" s="59" t="str">
        <f t="shared" si="22"/>
        <v/>
      </c>
      <c r="D4149" s="45" t="str">
        <f t="shared" si="23"/>
        <v/>
      </c>
      <c r="E4149" s="45" t="str">
        <f t="shared" si="24"/>
        <v/>
      </c>
      <c r="F4149" s="59" t="str">
        <f t="shared" si="25"/>
        <v/>
      </c>
      <c r="G4149" s="59" t="str">
        <f t="shared" si="26"/>
        <v/>
      </c>
      <c r="H4149" s="59" t="str">
        <f t="shared" si="27"/>
        <v>28C03261</v>
      </c>
      <c r="I4149" s="59" t="str">
        <f>IF(OR($A4149="",$C4149="",$D4149="",$E4149="",$H4149=""),"",SUMIFS(DATA_GOC!$H:$H,DATA_GOC!$A:$A,"BOM",DATA_GOC!$D:$D,$H4149,DATA_GOC!$E:$E,$C4149,DATA_GOC!$F:$F,"Xuất nội bộ từ téc",DATA_GOC!$B:$B,"&gt;="&amp;$D4149,DATA_GOC!$B:$B,"&lt;="&amp;$E4149))</f>
        <v/>
      </c>
      <c r="J4149" s="59">
        <f t="shared" si="28"/>
        <v>0</v>
      </c>
      <c r="K4149" s="59">
        <f t="shared" si="29"/>
        <v>0</v>
      </c>
      <c r="L4149" s="59">
        <f t="shared" si="30"/>
        <v>0</v>
      </c>
      <c r="M4149" s="59">
        <f t="shared" si="31"/>
        <v>0</v>
      </c>
    </row>
    <row r="4150" ht="15.0" hidden="1" customHeight="1">
      <c r="A4150" s="59">
        <f t="shared" si="20"/>
        <v>66</v>
      </c>
      <c r="B4150" s="59" t="str">
        <f t="shared" si="21"/>
        <v/>
      </c>
      <c r="C4150" s="59" t="str">
        <f t="shared" si="22"/>
        <v/>
      </c>
      <c r="D4150" s="45" t="str">
        <f t="shared" si="23"/>
        <v/>
      </c>
      <c r="E4150" s="45" t="str">
        <f t="shared" si="24"/>
        <v/>
      </c>
      <c r="F4150" s="59" t="str">
        <f t="shared" si="25"/>
        <v/>
      </c>
      <c r="G4150" s="59" t="str">
        <f t="shared" si="26"/>
        <v/>
      </c>
      <c r="H4150" s="59" t="str">
        <f t="shared" si="27"/>
        <v>28C03323</v>
      </c>
      <c r="I4150" s="59" t="str">
        <f>IF(OR($A4150="",$C4150="",$D4150="",$E4150="",$H4150=""),"",SUMIFS(DATA_GOC!$H:$H,DATA_GOC!$A:$A,"BOM",DATA_GOC!$D:$D,$H4150,DATA_GOC!$E:$E,$C4150,DATA_GOC!$F:$F,"Xuất nội bộ từ téc",DATA_GOC!$B:$B,"&gt;="&amp;$D4150,DATA_GOC!$B:$B,"&lt;="&amp;$E4150))</f>
        <v/>
      </c>
      <c r="J4150" s="59">
        <f t="shared" si="28"/>
        <v>0</v>
      </c>
      <c r="K4150" s="59">
        <f t="shared" si="29"/>
        <v>0</v>
      </c>
      <c r="L4150" s="59">
        <f t="shared" si="30"/>
        <v>0</v>
      </c>
      <c r="M4150" s="59">
        <f t="shared" si="31"/>
        <v>0</v>
      </c>
    </row>
    <row r="4151" ht="15.0" hidden="1" customHeight="1">
      <c r="A4151" s="59">
        <f t="shared" si="20"/>
        <v>66</v>
      </c>
      <c r="B4151" s="59" t="str">
        <f t="shared" si="21"/>
        <v/>
      </c>
      <c r="C4151" s="59" t="str">
        <f t="shared" si="22"/>
        <v/>
      </c>
      <c r="D4151" s="45" t="str">
        <f t="shared" si="23"/>
        <v/>
      </c>
      <c r="E4151" s="45" t="str">
        <f t="shared" si="24"/>
        <v/>
      </c>
      <c r="F4151" s="59" t="str">
        <f t="shared" si="25"/>
        <v/>
      </c>
      <c r="G4151" s="59" t="str">
        <f t="shared" si="26"/>
        <v/>
      </c>
      <c r="H4151" s="59" t="str">
        <f t="shared" si="27"/>
        <v>28C03385</v>
      </c>
      <c r="I4151" s="59" t="str">
        <f>IF(OR($A4151="",$C4151="",$D4151="",$E4151="",$H4151=""),"",SUMIFS(DATA_GOC!$H:$H,DATA_GOC!$A:$A,"BOM",DATA_GOC!$D:$D,$H4151,DATA_GOC!$E:$E,$C4151,DATA_GOC!$F:$F,"Xuất nội bộ từ téc",DATA_GOC!$B:$B,"&gt;="&amp;$D4151,DATA_GOC!$B:$B,"&lt;="&amp;$E4151))</f>
        <v/>
      </c>
      <c r="J4151" s="59">
        <f t="shared" si="28"/>
        <v>0</v>
      </c>
      <c r="K4151" s="59">
        <f t="shared" si="29"/>
        <v>0</v>
      </c>
      <c r="L4151" s="59">
        <f t="shared" si="30"/>
        <v>0</v>
      </c>
      <c r="M4151" s="59">
        <f t="shared" si="31"/>
        <v>0</v>
      </c>
    </row>
    <row r="4152" ht="15.0" hidden="1" customHeight="1">
      <c r="A4152" s="59">
        <f t="shared" si="20"/>
        <v>66</v>
      </c>
      <c r="B4152" s="59" t="str">
        <f t="shared" si="21"/>
        <v/>
      </c>
      <c r="C4152" s="59" t="str">
        <f t="shared" si="22"/>
        <v/>
      </c>
      <c r="D4152" s="45" t="str">
        <f t="shared" si="23"/>
        <v/>
      </c>
      <c r="E4152" s="45" t="str">
        <f t="shared" si="24"/>
        <v/>
      </c>
      <c r="F4152" s="59" t="str">
        <f t="shared" si="25"/>
        <v/>
      </c>
      <c r="G4152" s="59" t="str">
        <f t="shared" si="26"/>
        <v/>
      </c>
      <c r="H4152" s="59" t="str">
        <f t="shared" si="27"/>
        <v>28C03652</v>
      </c>
      <c r="I4152" s="59" t="str">
        <f>IF(OR($A4152="",$C4152="",$D4152="",$E4152="",$H4152=""),"",SUMIFS(DATA_GOC!$H:$H,DATA_GOC!$A:$A,"BOM",DATA_GOC!$D:$D,$H4152,DATA_GOC!$E:$E,$C4152,DATA_GOC!$F:$F,"Xuất nội bộ từ téc",DATA_GOC!$B:$B,"&gt;="&amp;$D4152,DATA_GOC!$B:$B,"&lt;="&amp;$E4152))</f>
        <v/>
      </c>
      <c r="J4152" s="59">
        <f t="shared" si="28"/>
        <v>0</v>
      </c>
      <c r="K4152" s="59">
        <f t="shared" si="29"/>
        <v>0</v>
      </c>
      <c r="L4152" s="59">
        <f t="shared" si="30"/>
        <v>0</v>
      </c>
      <c r="M4152" s="59">
        <f t="shared" si="31"/>
        <v>0</v>
      </c>
    </row>
    <row r="4153" ht="15.0" hidden="1" customHeight="1">
      <c r="A4153" s="59">
        <f t="shared" si="20"/>
        <v>66</v>
      </c>
      <c r="B4153" s="59" t="str">
        <f t="shared" si="21"/>
        <v/>
      </c>
      <c r="C4153" s="59" t="str">
        <f t="shared" si="22"/>
        <v/>
      </c>
      <c r="D4153" s="45" t="str">
        <f t="shared" si="23"/>
        <v/>
      </c>
      <c r="E4153" s="45" t="str">
        <f t="shared" si="24"/>
        <v/>
      </c>
      <c r="F4153" s="59" t="str">
        <f t="shared" si="25"/>
        <v/>
      </c>
      <c r="G4153" s="59" t="str">
        <f t="shared" si="26"/>
        <v/>
      </c>
      <c r="H4153" s="59" t="str">
        <f t="shared" si="27"/>
        <v>28C03695</v>
      </c>
      <c r="I4153" s="59" t="str">
        <f>IF(OR($A4153="",$C4153="",$D4153="",$E4153="",$H4153=""),"",SUMIFS(DATA_GOC!$H:$H,DATA_GOC!$A:$A,"BOM",DATA_GOC!$D:$D,$H4153,DATA_GOC!$E:$E,$C4153,DATA_GOC!$F:$F,"Xuất nội bộ từ téc",DATA_GOC!$B:$B,"&gt;="&amp;$D4153,DATA_GOC!$B:$B,"&lt;="&amp;$E4153))</f>
        <v/>
      </c>
      <c r="J4153" s="59">
        <f t="shared" si="28"/>
        <v>0</v>
      </c>
      <c r="K4153" s="59">
        <f t="shared" si="29"/>
        <v>0</v>
      </c>
      <c r="L4153" s="59">
        <f t="shared" si="30"/>
        <v>0</v>
      </c>
      <c r="M4153" s="59">
        <f t="shared" si="31"/>
        <v>0</v>
      </c>
    </row>
    <row r="4154" ht="15.0" hidden="1" customHeight="1">
      <c r="A4154" s="59">
        <f t="shared" si="20"/>
        <v>66</v>
      </c>
      <c r="B4154" s="59" t="str">
        <f t="shared" si="21"/>
        <v/>
      </c>
      <c r="C4154" s="59" t="str">
        <f t="shared" si="22"/>
        <v/>
      </c>
      <c r="D4154" s="45" t="str">
        <f t="shared" si="23"/>
        <v/>
      </c>
      <c r="E4154" s="45" t="str">
        <f t="shared" si="24"/>
        <v/>
      </c>
      <c r="F4154" s="59" t="str">
        <f t="shared" si="25"/>
        <v/>
      </c>
      <c r="G4154" s="59" t="str">
        <f t="shared" si="26"/>
        <v/>
      </c>
      <c r="H4154" s="59" t="str">
        <f t="shared" si="27"/>
        <v>28C03927</v>
      </c>
      <c r="I4154" s="59" t="str">
        <f>IF(OR($A4154="",$C4154="",$D4154="",$E4154="",$H4154=""),"",SUMIFS(DATA_GOC!$H:$H,DATA_GOC!$A:$A,"BOM",DATA_GOC!$D:$D,$H4154,DATA_GOC!$E:$E,$C4154,DATA_GOC!$F:$F,"Xuất nội bộ từ téc",DATA_GOC!$B:$B,"&gt;="&amp;$D4154,DATA_GOC!$B:$B,"&lt;="&amp;$E4154))</f>
        <v/>
      </c>
      <c r="J4154" s="59">
        <f t="shared" si="28"/>
        <v>0</v>
      </c>
      <c r="K4154" s="59">
        <f t="shared" si="29"/>
        <v>0</v>
      </c>
      <c r="L4154" s="59">
        <f t="shared" si="30"/>
        <v>0</v>
      </c>
      <c r="M4154" s="59">
        <f t="shared" si="31"/>
        <v>0</v>
      </c>
    </row>
    <row r="4155" ht="15.0" hidden="1" customHeight="1">
      <c r="A4155" s="59">
        <f t="shared" si="20"/>
        <v>66</v>
      </c>
      <c r="B4155" s="59" t="str">
        <f t="shared" si="21"/>
        <v/>
      </c>
      <c r="C4155" s="59" t="str">
        <f t="shared" si="22"/>
        <v/>
      </c>
      <c r="D4155" s="45" t="str">
        <f t="shared" si="23"/>
        <v/>
      </c>
      <c r="E4155" s="45" t="str">
        <f t="shared" si="24"/>
        <v/>
      </c>
      <c r="F4155" s="59" t="str">
        <f t="shared" si="25"/>
        <v/>
      </c>
      <c r="G4155" s="59" t="str">
        <f t="shared" si="26"/>
        <v/>
      </c>
      <c r="H4155" s="59" t="str">
        <f t="shared" si="27"/>
        <v>28C04509</v>
      </c>
      <c r="I4155" s="59" t="str">
        <f>IF(OR($A4155="",$C4155="",$D4155="",$E4155="",$H4155=""),"",SUMIFS(DATA_GOC!$H:$H,DATA_GOC!$A:$A,"BOM",DATA_GOC!$D:$D,$H4155,DATA_GOC!$E:$E,$C4155,DATA_GOC!$F:$F,"Xuất nội bộ từ téc",DATA_GOC!$B:$B,"&gt;="&amp;$D4155,DATA_GOC!$B:$B,"&lt;="&amp;$E4155))</f>
        <v/>
      </c>
      <c r="J4155" s="59">
        <f t="shared" si="28"/>
        <v>0</v>
      </c>
      <c r="K4155" s="59">
        <f t="shared" si="29"/>
        <v>0</v>
      </c>
      <c r="L4155" s="59">
        <f t="shared" si="30"/>
        <v>0</v>
      </c>
      <c r="M4155" s="59">
        <f t="shared" si="31"/>
        <v>0</v>
      </c>
    </row>
    <row r="4156" ht="15.0" hidden="1" customHeight="1">
      <c r="A4156" s="59">
        <f t="shared" si="20"/>
        <v>66</v>
      </c>
      <c r="B4156" s="59" t="str">
        <f t="shared" si="21"/>
        <v/>
      </c>
      <c r="C4156" s="59" t="str">
        <f t="shared" si="22"/>
        <v/>
      </c>
      <c r="D4156" s="45" t="str">
        <f t="shared" si="23"/>
        <v/>
      </c>
      <c r="E4156" s="45" t="str">
        <f t="shared" si="24"/>
        <v/>
      </c>
      <c r="F4156" s="59" t="str">
        <f t="shared" si="25"/>
        <v/>
      </c>
      <c r="G4156" s="59" t="str">
        <f t="shared" si="26"/>
        <v/>
      </c>
      <c r="H4156" s="59" t="str">
        <f t="shared" si="27"/>
        <v>28C04536</v>
      </c>
      <c r="I4156" s="59" t="str">
        <f>IF(OR($A4156="",$C4156="",$D4156="",$E4156="",$H4156=""),"",SUMIFS(DATA_GOC!$H:$H,DATA_GOC!$A:$A,"BOM",DATA_GOC!$D:$D,$H4156,DATA_GOC!$E:$E,$C4156,DATA_GOC!$F:$F,"Xuất nội bộ từ téc",DATA_GOC!$B:$B,"&gt;="&amp;$D4156,DATA_GOC!$B:$B,"&lt;="&amp;$E4156))</f>
        <v/>
      </c>
      <c r="J4156" s="59">
        <f t="shared" si="28"/>
        <v>0</v>
      </c>
      <c r="K4156" s="59">
        <f t="shared" si="29"/>
        <v>0</v>
      </c>
      <c r="L4156" s="59">
        <f t="shared" si="30"/>
        <v>0</v>
      </c>
      <c r="M4156" s="59">
        <f t="shared" si="31"/>
        <v>0</v>
      </c>
    </row>
    <row r="4157" ht="15.0" hidden="1" customHeight="1">
      <c r="A4157" s="59">
        <f t="shared" si="20"/>
        <v>66</v>
      </c>
      <c r="B4157" s="59" t="str">
        <f t="shared" si="21"/>
        <v/>
      </c>
      <c r="C4157" s="59" t="str">
        <f t="shared" si="22"/>
        <v/>
      </c>
      <c r="D4157" s="45" t="str">
        <f t="shared" si="23"/>
        <v/>
      </c>
      <c r="E4157" s="45" t="str">
        <f t="shared" si="24"/>
        <v/>
      </c>
      <c r="F4157" s="59" t="str">
        <f t="shared" si="25"/>
        <v/>
      </c>
      <c r="G4157" s="59" t="str">
        <f t="shared" si="26"/>
        <v/>
      </c>
      <c r="H4157" s="59" t="str">
        <f t="shared" si="27"/>
        <v>28C04576</v>
      </c>
      <c r="I4157" s="59" t="str">
        <f>IF(OR($A4157="",$C4157="",$D4157="",$E4157="",$H4157=""),"",SUMIFS(DATA_GOC!$H:$H,DATA_GOC!$A:$A,"BOM",DATA_GOC!$D:$D,$H4157,DATA_GOC!$E:$E,$C4157,DATA_GOC!$F:$F,"Xuất nội bộ từ téc",DATA_GOC!$B:$B,"&gt;="&amp;$D4157,DATA_GOC!$B:$B,"&lt;="&amp;$E4157))</f>
        <v/>
      </c>
      <c r="J4157" s="59">
        <f t="shared" si="28"/>
        <v>0</v>
      </c>
      <c r="K4157" s="59">
        <f t="shared" si="29"/>
        <v>0</v>
      </c>
      <c r="L4157" s="59">
        <f t="shared" si="30"/>
        <v>0</v>
      </c>
      <c r="M4157" s="59">
        <f t="shared" si="31"/>
        <v>0</v>
      </c>
    </row>
    <row r="4158" ht="15.0" hidden="1" customHeight="1">
      <c r="A4158" s="59">
        <f t="shared" si="20"/>
        <v>66</v>
      </c>
      <c r="B4158" s="59" t="str">
        <f t="shared" si="21"/>
        <v/>
      </c>
      <c r="C4158" s="59" t="str">
        <f t="shared" si="22"/>
        <v/>
      </c>
      <c r="D4158" s="45" t="str">
        <f t="shared" si="23"/>
        <v/>
      </c>
      <c r="E4158" s="45" t="str">
        <f t="shared" si="24"/>
        <v/>
      </c>
      <c r="F4158" s="59" t="str">
        <f t="shared" si="25"/>
        <v/>
      </c>
      <c r="G4158" s="59" t="str">
        <f t="shared" si="26"/>
        <v/>
      </c>
      <c r="H4158" s="59" t="str">
        <f t="shared" si="27"/>
        <v>28C05090</v>
      </c>
      <c r="I4158" s="59" t="str">
        <f>IF(OR($A4158="",$C4158="",$D4158="",$E4158="",$H4158=""),"",SUMIFS(DATA_GOC!$H:$H,DATA_GOC!$A:$A,"BOM",DATA_GOC!$D:$D,$H4158,DATA_GOC!$E:$E,$C4158,DATA_GOC!$F:$F,"Xuất nội bộ từ téc",DATA_GOC!$B:$B,"&gt;="&amp;$D4158,DATA_GOC!$B:$B,"&lt;="&amp;$E4158))</f>
        <v/>
      </c>
      <c r="J4158" s="59">
        <f t="shared" si="28"/>
        <v>0</v>
      </c>
      <c r="K4158" s="59">
        <f t="shared" si="29"/>
        <v>0</v>
      </c>
      <c r="L4158" s="59">
        <f t="shared" si="30"/>
        <v>0</v>
      </c>
      <c r="M4158" s="59">
        <f t="shared" si="31"/>
        <v>0</v>
      </c>
    </row>
    <row r="4159" ht="15.0" hidden="1" customHeight="1">
      <c r="A4159" s="59">
        <f t="shared" si="20"/>
        <v>66</v>
      </c>
      <c r="B4159" s="59" t="str">
        <f t="shared" si="21"/>
        <v/>
      </c>
      <c r="C4159" s="59" t="str">
        <f t="shared" si="22"/>
        <v/>
      </c>
      <c r="D4159" s="45" t="str">
        <f t="shared" si="23"/>
        <v/>
      </c>
      <c r="E4159" s="45" t="str">
        <f t="shared" si="24"/>
        <v/>
      </c>
      <c r="F4159" s="59" t="str">
        <f t="shared" si="25"/>
        <v/>
      </c>
      <c r="G4159" s="59" t="str">
        <f t="shared" si="26"/>
        <v/>
      </c>
      <c r="H4159" s="59" t="str">
        <f t="shared" si="27"/>
        <v>28C05345</v>
      </c>
      <c r="I4159" s="59" t="str">
        <f>IF(OR($A4159="",$C4159="",$D4159="",$E4159="",$H4159=""),"",SUMIFS(DATA_GOC!$H:$H,DATA_GOC!$A:$A,"BOM",DATA_GOC!$D:$D,$H4159,DATA_GOC!$E:$E,$C4159,DATA_GOC!$F:$F,"Xuất nội bộ từ téc",DATA_GOC!$B:$B,"&gt;="&amp;$D4159,DATA_GOC!$B:$B,"&lt;="&amp;$E4159))</f>
        <v/>
      </c>
      <c r="J4159" s="59">
        <f t="shared" si="28"/>
        <v>0</v>
      </c>
      <c r="K4159" s="59">
        <f t="shared" si="29"/>
        <v>0</v>
      </c>
      <c r="L4159" s="59">
        <f t="shared" si="30"/>
        <v>0</v>
      </c>
      <c r="M4159" s="59">
        <f t="shared" si="31"/>
        <v>0</v>
      </c>
    </row>
    <row r="4160" ht="15.0" hidden="1" customHeight="1">
      <c r="A4160" s="59">
        <f t="shared" si="20"/>
        <v>66</v>
      </c>
      <c r="B4160" s="59" t="str">
        <f t="shared" si="21"/>
        <v/>
      </c>
      <c r="C4160" s="59" t="str">
        <f t="shared" si="22"/>
        <v/>
      </c>
      <c r="D4160" s="45" t="str">
        <f t="shared" si="23"/>
        <v/>
      </c>
      <c r="E4160" s="45" t="str">
        <f t="shared" si="24"/>
        <v/>
      </c>
      <c r="F4160" s="59" t="str">
        <f t="shared" si="25"/>
        <v/>
      </c>
      <c r="G4160" s="59" t="str">
        <f t="shared" si="26"/>
        <v/>
      </c>
      <c r="H4160" s="59" t="str">
        <f t="shared" si="27"/>
        <v>28C05661</v>
      </c>
      <c r="I4160" s="59" t="str">
        <f>IF(OR($A4160="",$C4160="",$D4160="",$E4160="",$H4160=""),"",SUMIFS(DATA_GOC!$H:$H,DATA_GOC!$A:$A,"BOM",DATA_GOC!$D:$D,$H4160,DATA_GOC!$E:$E,$C4160,DATA_GOC!$F:$F,"Xuất nội bộ từ téc",DATA_GOC!$B:$B,"&gt;="&amp;$D4160,DATA_GOC!$B:$B,"&lt;="&amp;$E4160))</f>
        <v/>
      </c>
      <c r="J4160" s="59">
        <f t="shared" si="28"/>
        <v>0</v>
      </c>
      <c r="K4160" s="59">
        <f t="shared" si="29"/>
        <v>0</v>
      </c>
      <c r="L4160" s="59">
        <f t="shared" si="30"/>
        <v>0</v>
      </c>
      <c r="M4160" s="59">
        <f t="shared" si="31"/>
        <v>0</v>
      </c>
    </row>
    <row r="4161" ht="15.0" hidden="1" customHeight="1">
      <c r="A4161" s="59">
        <f t="shared" si="20"/>
        <v>66</v>
      </c>
      <c r="B4161" s="59" t="str">
        <f t="shared" si="21"/>
        <v/>
      </c>
      <c r="C4161" s="59" t="str">
        <f t="shared" si="22"/>
        <v/>
      </c>
      <c r="D4161" s="45" t="str">
        <f t="shared" si="23"/>
        <v/>
      </c>
      <c r="E4161" s="45" t="str">
        <f t="shared" si="24"/>
        <v/>
      </c>
      <c r="F4161" s="59" t="str">
        <f t="shared" si="25"/>
        <v/>
      </c>
      <c r="G4161" s="59" t="str">
        <f t="shared" si="26"/>
        <v/>
      </c>
      <c r="H4161" s="59" t="str">
        <f t="shared" si="27"/>
        <v>28C05739</v>
      </c>
      <c r="I4161" s="59" t="str">
        <f>IF(OR($A4161="",$C4161="",$D4161="",$E4161="",$H4161=""),"",SUMIFS(DATA_GOC!$H:$H,DATA_GOC!$A:$A,"BOM",DATA_GOC!$D:$D,$H4161,DATA_GOC!$E:$E,$C4161,DATA_GOC!$F:$F,"Xuất nội bộ từ téc",DATA_GOC!$B:$B,"&gt;="&amp;$D4161,DATA_GOC!$B:$B,"&lt;="&amp;$E4161))</f>
        <v/>
      </c>
      <c r="J4161" s="59">
        <f t="shared" si="28"/>
        <v>0</v>
      </c>
      <c r="K4161" s="59">
        <f t="shared" si="29"/>
        <v>0</v>
      </c>
      <c r="L4161" s="59">
        <f t="shared" si="30"/>
        <v>0</v>
      </c>
      <c r="M4161" s="59">
        <f t="shared" si="31"/>
        <v>0</v>
      </c>
    </row>
    <row r="4162" ht="15.0" hidden="1" customHeight="1">
      <c r="A4162" s="59">
        <f t="shared" si="20"/>
        <v>66</v>
      </c>
      <c r="B4162" s="59" t="str">
        <f t="shared" si="21"/>
        <v/>
      </c>
      <c r="C4162" s="59" t="str">
        <f t="shared" si="22"/>
        <v/>
      </c>
      <c r="D4162" s="45" t="str">
        <f t="shared" si="23"/>
        <v/>
      </c>
      <c r="E4162" s="45" t="str">
        <f t="shared" si="24"/>
        <v/>
      </c>
      <c r="F4162" s="59" t="str">
        <f t="shared" si="25"/>
        <v/>
      </c>
      <c r="G4162" s="59" t="str">
        <f t="shared" si="26"/>
        <v/>
      </c>
      <c r="H4162" s="59" t="str">
        <f t="shared" si="27"/>
        <v>28C06369</v>
      </c>
      <c r="I4162" s="59" t="str">
        <f>IF(OR($A4162="",$C4162="",$D4162="",$E4162="",$H4162=""),"",SUMIFS(DATA_GOC!$H:$H,DATA_GOC!$A:$A,"BOM",DATA_GOC!$D:$D,$H4162,DATA_GOC!$E:$E,$C4162,DATA_GOC!$F:$F,"Xuất nội bộ từ téc",DATA_GOC!$B:$B,"&gt;="&amp;$D4162,DATA_GOC!$B:$B,"&lt;="&amp;$E4162))</f>
        <v/>
      </c>
      <c r="J4162" s="59">
        <f t="shared" si="28"/>
        <v>0</v>
      </c>
      <c r="K4162" s="59">
        <f t="shared" si="29"/>
        <v>0</v>
      </c>
      <c r="L4162" s="59">
        <f t="shared" si="30"/>
        <v>0</v>
      </c>
      <c r="M4162" s="59">
        <f t="shared" si="31"/>
        <v>0</v>
      </c>
    </row>
    <row r="4163" ht="15.0" hidden="1" customHeight="1">
      <c r="A4163" s="59">
        <f t="shared" si="20"/>
        <v>66</v>
      </c>
      <c r="B4163" s="59" t="str">
        <f t="shared" si="21"/>
        <v/>
      </c>
      <c r="C4163" s="59" t="str">
        <f t="shared" si="22"/>
        <v/>
      </c>
      <c r="D4163" s="45" t="str">
        <f t="shared" si="23"/>
        <v/>
      </c>
      <c r="E4163" s="45" t="str">
        <f t="shared" si="24"/>
        <v/>
      </c>
      <c r="F4163" s="59" t="str">
        <f t="shared" si="25"/>
        <v/>
      </c>
      <c r="G4163" s="59" t="str">
        <f t="shared" si="26"/>
        <v/>
      </c>
      <c r="H4163" s="59" t="str">
        <f t="shared" si="27"/>
        <v>28C06447</v>
      </c>
      <c r="I4163" s="59" t="str">
        <f>IF(OR($A4163="",$C4163="",$D4163="",$E4163="",$H4163=""),"",SUMIFS(DATA_GOC!$H:$H,DATA_GOC!$A:$A,"BOM",DATA_GOC!$D:$D,$H4163,DATA_GOC!$E:$E,$C4163,DATA_GOC!$F:$F,"Xuất nội bộ từ téc",DATA_GOC!$B:$B,"&gt;="&amp;$D4163,DATA_GOC!$B:$B,"&lt;="&amp;$E4163))</f>
        <v/>
      </c>
      <c r="J4163" s="59">
        <f t="shared" si="28"/>
        <v>0</v>
      </c>
      <c r="K4163" s="59">
        <f t="shared" si="29"/>
        <v>0</v>
      </c>
      <c r="L4163" s="59">
        <f t="shared" si="30"/>
        <v>0</v>
      </c>
      <c r="M4163" s="59">
        <f t="shared" si="31"/>
        <v>0</v>
      </c>
    </row>
    <row r="4164" ht="15.0" hidden="1" customHeight="1">
      <c r="A4164" s="59">
        <f t="shared" si="20"/>
        <v>66</v>
      </c>
      <c r="B4164" s="59" t="str">
        <f t="shared" si="21"/>
        <v/>
      </c>
      <c r="C4164" s="59" t="str">
        <f t="shared" si="22"/>
        <v/>
      </c>
      <c r="D4164" s="45" t="str">
        <f t="shared" si="23"/>
        <v/>
      </c>
      <c r="E4164" s="45" t="str">
        <f t="shared" si="24"/>
        <v/>
      </c>
      <c r="F4164" s="59" t="str">
        <f t="shared" si="25"/>
        <v/>
      </c>
      <c r="G4164" s="59" t="str">
        <f t="shared" si="26"/>
        <v/>
      </c>
      <c r="H4164" s="59" t="str">
        <f t="shared" si="27"/>
        <v>28H00003</v>
      </c>
      <c r="I4164" s="59" t="str">
        <f>IF(OR($A4164="",$C4164="",$D4164="",$E4164="",$H4164=""),"",SUMIFS(DATA_GOC!$H:$H,DATA_GOC!$A:$A,"BOM",DATA_GOC!$D:$D,$H4164,DATA_GOC!$E:$E,$C4164,DATA_GOC!$F:$F,"Xuất nội bộ từ téc",DATA_GOC!$B:$B,"&gt;="&amp;$D4164,DATA_GOC!$B:$B,"&lt;="&amp;$E4164))</f>
        <v/>
      </c>
      <c r="J4164" s="59">
        <f t="shared" si="28"/>
        <v>0</v>
      </c>
      <c r="K4164" s="59">
        <f t="shared" si="29"/>
        <v>0</v>
      </c>
      <c r="L4164" s="59">
        <f t="shared" si="30"/>
        <v>0</v>
      </c>
      <c r="M4164" s="59">
        <f t="shared" si="31"/>
        <v>0</v>
      </c>
    </row>
    <row r="4165" ht="15.0" hidden="1" customHeight="1">
      <c r="A4165" s="59">
        <f t="shared" si="20"/>
        <v>66</v>
      </c>
      <c r="B4165" s="59" t="str">
        <f t="shared" si="21"/>
        <v/>
      </c>
      <c r="C4165" s="59" t="str">
        <f t="shared" si="22"/>
        <v/>
      </c>
      <c r="D4165" s="45" t="str">
        <f t="shared" si="23"/>
        <v/>
      </c>
      <c r="E4165" s="45" t="str">
        <f t="shared" si="24"/>
        <v/>
      </c>
      <c r="F4165" s="59" t="str">
        <f t="shared" si="25"/>
        <v/>
      </c>
      <c r="G4165" s="59" t="str">
        <f t="shared" si="26"/>
        <v/>
      </c>
      <c r="H4165" s="59" t="str">
        <f t="shared" si="27"/>
        <v>28H00061</v>
      </c>
      <c r="I4165" s="59" t="str">
        <f>IF(OR($A4165="",$C4165="",$D4165="",$E4165="",$H4165=""),"",SUMIFS(DATA_GOC!$H:$H,DATA_GOC!$A:$A,"BOM",DATA_GOC!$D:$D,$H4165,DATA_GOC!$E:$E,$C4165,DATA_GOC!$F:$F,"Xuất nội bộ từ téc",DATA_GOC!$B:$B,"&gt;="&amp;$D4165,DATA_GOC!$B:$B,"&lt;="&amp;$E4165))</f>
        <v/>
      </c>
      <c r="J4165" s="59">
        <f t="shared" si="28"/>
        <v>0</v>
      </c>
      <c r="K4165" s="59">
        <f t="shared" si="29"/>
        <v>0</v>
      </c>
      <c r="L4165" s="59">
        <f t="shared" si="30"/>
        <v>0</v>
      </c>
      <c r="M4165" s="59">
        <f t="shared" si="31"/>
        <v>0</v>
      </c>
    </row>
    <row r="4166" ht="15.0" hidden="1" customHeight="1">
      <c r="A4166" s="59">
        <f t="shared" si="20"/>
        <v>66</v>
      </c>
      <c r="B4166" s="59" t="str">
        <f t="shared" si="21"/>
        <v/>
      </c>
      <c r="C4166" s="59" t="str">
        <f t="shared" si="22"/>
        <v/>
      </c>
      <c r="D4166" s="45" t="str">
        <f t="shared" si="23"/>
        <v/>
      </c>
      <c r="E4166" s="45" t="str">
        <f t="shared" si="24"/>
        <v/>
      </c>
      <c r="F4166" s="59" t="str">
        <f t="shared" si="25"/>
        <v/>
      </c>
      <c r="G4166" s="59" t="str">
        <f t="shared" si="26"/>
        <v/>
      </c>
      <c r="H4166" s="59" t="str">
        <f t="shared" si="27"/>
        <v>28H00354</v>
      </c>
      <c r="I4166" s="59" t="str">
        <f>IF(OR($A4166="",$C4166="",$D4166="",$E4166="",$H4166=""),"",SUMIFS(DATA_GOC!$H:$H,DATA_GOC!$A:$A,"BOM",DATA_GOC!$D:$D,$H4166,DATA_GOC!$E:$E,$C4166,DATA_GOC!$F:$F,"Xuất nội bộ từ téc",DATA_GOC!$B:$B,"&gt;="&amp;$D4166,DATA_GOC!$B:$B,"&lt;="&amp;$E4166))</f>
        <v/>
      </c>
      <c r="J4166" s="59">
        <f t="shared" si="28"/>
        <v>0</v>
      </c>
      <c r="K4166" s="59">
        <f t="shared" si="29"/>
        <v>0</v>
      </c>
      <c r="L4166" s="59">
        <f t="shared" si="30"/>
        <v>0</v>
      </c>
      <c r="M4166" s="59">
        <f t="shared" si="31"/>
        <v>0</v>
      </c>
    </row>
    <row r="4167" ht="15.0" hidden="1" customHeight="1">
      <c r="A4167" s="59">
        <f t="shared" si="20"/>
        <v>66</v>
      </c>
      <c r="B4167" s="59" t="str">
        <f t="shared" si="21"/>
        <v/>
      </c>
      <c r="C4167" s="59" t="str">
        <f t="shared" si="22"/>
        <v/>
      </c>
      <c r="D4167" s="45" t="str">
        <f t="shared" si="23"/>
        <v/>
      </c>
      <c r="E4167" s="45" t="str">
        <f t="shared" si="24"/>
        <v/>
      </c>
      <c r="F4167" s="59" t="str">
        <f t="shared" si="25"/>
        <v/>
      </c>
      <c r="G4167" s="59" t="str">
        <f t="shared" si="26"/>
        <v/>
      </c>
      <c r="H4167" s="59" t="str">
        <f t="shared" si="27"/>
        <v>28H00603</v>
      </c>
      <c r="I4167" s="59" t="str">
        <f>IF(OR($A4167="",$C4167="",$D4167="",$E4167="",$H4167=""),"",SUMIFS(DATA_GOC!$H:$H,DATA_GOC!$A:$A,"BOM",DATA_GOC!$D:$D,$H4167,DATA_GOC!$E:$E,$C4167,DATA_GOC!$F:$F,"Xuất nội bộ từ téc",DATA_GOC!$B:$B,"&gt;="&amp;$D4167,DATA_GOC!$B:$B,"&lt;="&amp;$E4167))</f>
        <v/>
      </c>
      <c r="J4167" s="59">
        <f t="shared" si="28"/>
        <v>0</v>
      </c>
      <c r="K4167" s="59">
        <f t="shared" si="29"/>
        <v>0</v>
      </c>
      <c r="L4167" s="59">
        <f t="shared" si="30"/>
        <v>0</v>
      </c>
      <c r="M4167" s="59">
        <f t="shared" si="31"/>
        <v>0</v>
      </c>
    </row>
    <row r="4168" ht="15.0" hidden="1" customHeight="1">
      <c r="A4168" s="59">
        <f t="shared" si="20"/>
        <v>66</v>
      </c>
      <c r="B4168" s="59" t="str">
        <f t="shared" si="21"/>
        <v/>
      </c>
      <c r="C4168" s="59" t="str">
        <f t="shared" si="22"/>
        <v/>
      </c>
      <c r="D4168" s="45" t="str">
        <f t="shared" si="23"/>
        <v/>
      </c>
      <c r="E4168" s="45" t="str">
        <f t="shared" si="24"/>
        <v/>
      </c>
      <c r="F4168" s="59" t="str">
        <f t="shared" si="25"/>
        <v/>
      </c>
      <c r="G4168" s="59" t="str">
        <f t="shared" si="26"/>
        <v/>
      </c>
      <c r="H4168" s="59" t="str">
        <f t="shared" si="27"/>
        <v>28H00609</v>
      </c>
      <c r="I4168" s="59" t="str">
        <f>IF(OR($A4168="",$C4168="",$D4168="",$E4168="",$H4168=""),"",SUMIFS(DATA_GOC!$H:$H,DATA_GOC!$A:$A,"BOM",DATA_GOC!$D:$D,$H4168,DATA_GOC!$E:$E,$C4168,DATA_GOC!$F:$F,"Xuất nội bộ từ téc",DATA_GOC!$B:$B,"&gt;="&amp;$D4168,DATA_GOC!$B:$B,"&lt;="&amp;$E4168))</f>
        <v/>
      </c>
      <c r="J4168" s="59">
        <f t="shared" si="28"/>
        <v>0</v>
      </c>
      <c r="K4168" s="59">
        <f t="shared" si="29"/>
        <v>0</v>
      </c>
      <c r="L4168" s="59">
        <f t="shared" si="30"/>
        <v>0</v>
      </c>
      <c r="M4168" s="59">
        <f t="shared" si="31"/>
        <v>0</v>
      </c>
    </row>
    <row r="4169" ht="15.0" hidden="1" customHeight="1">
      <c r="A4169" s="59">
        <f t="shared" si="20"/>
        <v>66</v>
      </c>
      <c r="B4169" s="59" t="str">
        <f t="shared" si="21"/>
        <v/>
      </c>
      <c r="C4169" s="59" t="str">
        <f t="shared" si="22"/>
        <v/>
      </c>
      <c r="D4169" s="45" t="str">
        <f t="shared" si="23"/>
        <v/>
      </c>
      <c r="E4169" s="45" t="str">
        <f t="shared" si="24"/>
        <v/>
      </c>
      <c r="F4169" s="59" t="str">
        <f t="shared" si="25"/>
        <v/>
      </c>
      <c r="G4169" s="59" t="str">
        <f t="shared" si="26"/>
        <v/>
      </c>
      <c r="H4169" s="59" t="str">
        <f t="shared" si="27"/>
        <v>28H00669</v>
      </c>
      <c r="I4169" s="59" t="str">
        <f>IF(OR($A4169="",$C4169="",$D4169="",$E4169="",$H4169=""),"",SUMIFS(DATA_GOC!$H:$H,DATA_GOC!$A:$A,"BOM",DATA_GOC!$D:$D,$H4169,DATA_GOC!$E:$E,$C4169,DATA_GOC!$F:$F,"Xuất nội bộ từ téc",DATA_GOC!$B:$B,"&gt;="&amp;$D4169,DATA_GOC!$B:$B,"&lt;="&amp;$E4169))</f>
        <v/>
      </c>
      <c r="J4169" s="59">
        <f t="shared" si="28"/>
        <v>0</v>
      </c>
      <c r="K4169" s="59">
        <f t="shared" si="29"/>
        <v>0</v>
      </c>
      <c r="L4169" s="59">
        <f t="shared" si="30"/>
        <v>0</v>
      </c>
      <c r="M4169" s="59">
        <f t="shared" si="31"/>
        <v>0</v>
      </c>
    </row>
    <row r="4170" ht="15.0" hidden="1" customHeight="1">
      <c r="A4170" s="59">
        <f t="shared" si="20"/>
        <v>66</v>
      </c>
      <c r="B4170" s="59" t="str">
        <f t="shared" si="21"/>
        <v/>
      </c>
      <c r="C4170" s="59" t="str">
        <f t="shared" si="22"/>
        <v/>
      </c>
      <c r="D4170" s="45" t="str">
        <f t="shared" si="23"/>
        <v/>
      </c>
      <c r="E4170" s="45" t="str">
        <f t="shared" si="24"/>
        <v/>
      </c>
      <c r="F4170" s="59" t="str">
        <f t="shared" si="25"/>
        <v/>
      </c>
      <c r="G4170" s="59" t="str">
        <f t="shared" si="26"/>
        <v/>
      </c>
      <c r="H4170" s="59" t="str">
        <f t="shared" si="27"/>
        <v>28H00680</v>
      </c>
      <c r="I4170" s="59" t="str">
        <f>IF(OR($A4170="",$C4170="",$D4170="",$E4170="",$H4170=""),"",SUMIFS(DATA_GOC!$H:$H,DATA_GOC!$A:$A,"BOM",DATA_GOC!$D:$D,$H4170,DATA_GOC!$E:$E,$C4170,DATA_GOC!$F:$F,"Xuất nội bộ từ téc",DATA_GOC!$B:$B,"&gt;="&amp;$D4170,DATA_GOC!$B:$B,"&lt;="&amp;$E4170))</f>
        <v/>
      </c>
      <c r="J4170" s="59">
        <f t="shared" si="28"/>
        <v>0</v>
      </c>
      <c r="K4170" s="59">
        <f t="shared" si="29"/>
        <v>0</v>
      </c>
      <c r="L4170" s="59">
        <f t="shared" si="30"/>
        <v>0</v>
      </c>
      <c r="M4170" s="59">
        <f t="shared" si="31"/>
        <v>0</v>
      </c>
    </row>
    <row r="4171" ht="15.0" hidden="1" customHeight="1">
      <c r="A4171" s="59">
        <f t="shared" si="20"/>
        <v>66</v>
      </c>
      <c r="B4171" s="59" t="str">
        <f t="shared" si="21"/>
        <v/>
      </c>
      <c r="C4171" s="59" t="str">
        <f t="shared" si="22"/>
        <v/>
      </c>
      <c r="D4171" s="45" t="str">
        <f t="shared" si="23"/>
        <v/>
      </c>
      <c r="E4171" s="45" t="str">
        <f t="shared" si="24"/>
        <v/>
      </c>
      <c r="F4171" s="59" t="str">
        <f t="shared" si="25"/>
        <v/>
      </c>
      <c r="G4171" s="59" t="str">
        <f t="shared" si="26"/>
        <v/>
      </c>
      <c r="H4171" s="59" t="str">
        <f t="shared" si="27"/>
        <v>28H01070</v>
      </c>
      <c r="I4171" s="59" t="str">
        <f>IF(OR($A4171="",$C4171="",$D4171="",$E4171="",$H4171=""),"",SUMIFS(DATA_GOC!$H:$H,DATA_GOC!$A:$A,"BOM",DATA_GOC!$D:$D,$H4171,DATA_GOC!$E:$E,$C4171,DATA_GOC!$F:$F,"Xuất nội bộ từ téc",DATA_GOC!$B:$B,"&gt;="&amp;$D4171,DATA_GOC!$B:$B,"&lt;="&amp;$E4171))</f>
        <v/>
      </c>
      <c r="J4171" s="59">
        <f t="shared" si="28"/>
        <v>0</v>
      </c>
      <c r="K4171" s="59">
        <f t="shared" si="29"/>
        <v>0</v>
      </c>
      <c r="L4171" s="59">
        <f t="shared" si="30"/>
        <v>0</v>
      </c>
      <c r="M4171" s="59">
        <f t="shared" si="31"/>
        <v>0</v>
      </c>
    </row>
    <row r="4172" ht="15.0" hidden="1" customHeight="1">
      <c r="A4172" s="59">
        <f t="shared" si="20"/>
        <v>66</v>
      </c>
      <c r="B4172" s="59" t="str">
        <f t="shared" si="21"/>
        <v/>
      </c>
      <c r="C4172" s="59" t="str">
        <f t="shared" si="22"/>
        <v/>
      </c>
      <c r="D4172" s="45" t="str">
        <f t="shared" si="23"/>
        <v/>
      </c>
      <c r="E4172" s="45" t="str">
        <f t="shared" si="24"/>
        <v/>
      </c>
      <c r="F4172" s="59" t="str">
        <f t="shared" si="25"/>
        <v/>
      </c>
      <c r="G4172" s="59" t="str">
        <f t="shared" si="26"/>
        <v/>
      </c>
      <c r="H4172" s="59" t="str">
        <f t="shared" si="27"/>
        <v>28H01364</v>
      </c>
      <c r="I4172" s="59" t="str">
        <f>IF(OR($A4172="",$C4172="",$D4172="",$E4172="",$H4172=""),"",SUMIFS(DATA_GOC!$H:$H,DATA_GOC!$A:$A,"BOM",DATA_GOC!$D:$D,$H4172,DATA_GOC!$E:$E,$C4172,DATA_GOC!$F:$F,"Xuất nội bộ từ téc",DATA_GOC!$B:$B,"&gt;="&amp;$D4172,DATA_GOC!$B:$B,"&lt;="&amp;$E4172))</f>
        <v/>
      </c>
      <c r="J4172" s="59">
        <f t="shared" si="28"/>
        <v>0</v>
      </c>
      <c r="K4172" s="59">
        <f t="shared" si="29"/>
        <v>0</v>
      </c>
      <c r="L4172" s="59">
        <f t="shared" si="30"/>
        <v>0</v>
      </c>
      <c r="M4172" s="59">
        <f t="shared" si="31"/>
        <v>0</v>
      </c>
    </row>
    <row r="4173" ht="15.0" hidden="1" customHeight="1">
      <c r="A4173" s="59">
        <f t="shared" si="20"/>
        <v>66</v>
      </c>
      <c r="B4173" s="59" t="str">
        <f t="shared" si="21"/>
        <v/>
      </c>
      <c r="C4173" s="59" t="str">
        <f t="shared" si="22"/>
        <v/>
      </c>
      <c r="D4173" s="45" t="str">
        <f t="shared" si="23"/>
        <v/>
      </c>
      <c r="E4173" s="45" t="str">
        <f t="shared" si="24"/>
        <v/>
      </c>
      <c r="F4173" s="59" t="str">
        <f t="shared" si="25"/>
        <v/>
      </c>
      <c r="G4173" s="59" t="str">
        <f t="shared" si="26"/>
        <v/>
      </c>
      <c r="H4173" s="59" t="str">
        <f t="shared" si="27"/>
        <v>29E17269</v>
      </c>
      <c r="I4173" s="59" t="str">
        <f>IF(OR($A4173="",$C4173="",$D4173="",$E4173="",$H4173=""),"",SUMIFS(DATA_GOC!$H:$H,DATA_GOC!$A:$A,"BOM",DATA_GOC!$D:$D,$H4173,DATA_GOC!$E:$E,$C4173,DATA_GOC!$F:$F,"Xuất nội bộ từ téc",DATA_GOC!$B:$B,"&gt;="&amp;$D4173,DATA_GOC!$B:$B,"&lt;="&amp;$E4173))</f>
        <v/>
      </c>
      <c r="J4173" s="59">
        <f t="shared" si="28"/>
        <v>0</v>
      </c>
      <c r="K4173" s="59">
        <f t="shared" si="29"/>
        <v>0</v>
      </c>
      <c r="L4173" s="59">
        <f t="shared" si="30"/>
        <v>0</v>
      </c>
      <c r="M4173" s="59">
        <f t="shared" si="31"/>
        <v>0</v>
      </c>
    </row>
    <row r="4174" ht="15.0" hidden="1" customHeight="1">
      <c r="A4174" s="59">
        <f t="shared" si="20"/>
        <v>66</v>
      </c>
      <c r="B4174" s="59" t="str">
        <f t="shared" si="21"/>
        <v/>
      </c>
      <c r="C4174" s="59" t="str">
        <f t="shared" si="22"/>
        <v/>
      </c>
      <c r="D4174" s="45" t="str">
        <f t="shared" si="23"/>
        <v/>
      </c>
      <c r="E4174" s="45" t="str">
        <f t="shared" si="24"/>
        <v/>
      </c>
      <c r="F4174" s="59" t="str">
        <f t="shared" si="25"/>
        <v/>
      </c>
      <c r="G4174" s="59" t="str">
        <f t="shared" si="26"/>
        <v/>
      </c>
      <c r="H4174" s="59" t="str">
        <f t="shared" si="27"/>
        <v>29E17273</v>
      </c>
      <c r="I4174" s="59" t="str">
        <f>IF(OR($A4174="",$C4174="",$D4174="",$E4174="",$H4174=""),"",SUMIFS(DATA_GOC!$H:$H,DATA_GOC!$A:$A,"BOM",DATA_GOC!$D:$D,$H4174,DATA_GOC!$E:$E,$C4174,DATA_GOC!$F:$F,"Xuất nội bộ từ téc",DATA_GOC!$B:$B,"&gt;="&amp;$D4174,DATA_GOC!$B:$B,"&lt;="&amp;$E4174))</f>
        <v/>
      </c>
      <c r="J4174" s="59">
        <f t="shared" si="28"/>
        <v>0</v>
      </c>
      <c r="K4174" s="59">
        <f t="shared" si="29"/>
        <v>0</v>
      </c>
      <c r="L4174" s="59">
        <f t="shared" si="30"/>
        <v>0</v>
      </c>
      <c r="M4174" s="59">
        <f t="shared" si="31"/>
        <v>0</v>
      </c>
    </row>
    <row r="4175" ht="15.0" hidden="1" customHeight="1">
      <c r="A4175" s="59">
        <f t="shared" si="20"/>
        <v>66</v>
      </c>
      <c r="B4175" s="59" t="str">
        <f t="shared" si="21"/>
        <v/>
      </c>
      <c r="C4175" s="59" t="str">
        <f t="shared" si="22"/>
        <v/>
      </c>
      <c r="D4175" s="45" t="str">
        <f t="shared" si="23"/>
        <v/>
      </c>
      <c r="E4175" s="45" t="str">
        <f t="shared" si="24"/>
        <v/>
      </c>
      <c r="F4175" s="59" t="str">
        <f t="shared" si="25"/>
        <v/>
      </c>
      <c r="G4175" s="59" t="str">
        <f t="shared" si="26"/>
        <v/>
      </c>
      <c r="H4175" s="59" t="str">
        <f t="shared" si="27"/>
        <v>29E17410</v>
      </c>
      <c r="I4175" s="59" t="str">
        <f>IF(OR($A4175="",$C4175="",$D4175="",$E4175="",$H4175=""),"",SUMIFS(DATA_GOC!$H:$H,DATA_GOC!$A:$A,"BOM",DATA_GOC!$D:$D,$H4175,DATA_GOC!$E:$E,$C4175,DATA_GOC!$F:$F,"Xuất nội bộ từ téc",DATA_GOC!$B:$B,"&gt;="&amp;$D4175,DATA_GOC!$B:$B,"&lt;="&amp;$E4175))</f>
        <v/>
      </c>
      <c r="J4175" s="59">
        <f t="shared" si="28"/>
        <v>0</v>
      </c>
      <c r="K4175" s="59">
        <f t="shared" si="29"/>
        <v>0</v>
      </c>
      <c r="L4175" s="59">
        <f t="shared" si="30"/>
        <v>0</v>
      </c>
      <c r="M4175" s="59">
        <f t="shared" si="31"/>
        <v>0</v>
      </c>
    </row>
    <row r="4176" ht="15.0" hidden="1" customHeight="1">
      <c r="A4176" s="59">
        <f t="shared" si="20"/>
        <v>66</v>
      </c>
      <c r="B4176" s="59" t="str">
        <f t="shared" si="21"/>
        <v/>
      </c>
      <c r="C4176" s="59" t="str">
        <f t="shared" si="22"/>
        <v/>
      </c>
      <c r="D4176" s="45" t="str">
        <f t="shared" si="23"/>
        <v/>
      </c>
      <c r="E4176" s="45" t="str">
        <f t="shared" si="24"/>
        <v/>
      </c>
      <c r="F4176" s="59" t="str">
        <f t="shared" si="25"/>
        <v/>
      </c>
      <c r="G4176" s="59" t="str">
        <f t="shared" si="26"/>
        <v/>
      </c>
      <c r="H4176" s="59" t="str">
        <f t="shared" si="27"/>
        <v>29E17417</v>
      </c>
      <c r="I4176" s="59" t="str">
        <f>IF(OR($A4176="",$C4176="",$D4176="",$E4176="",$H4176=""),"",SUMIFS(DATA_GOC!$H:$H,DATA_GOC!$A:$A,"BOM",DATA_GOC!$D:$D,$H4176,DATA_GOC!$E:$E,$C4176,DATA_GOC!$F:$F,"Xuất nội bộ từ téc",DATA_GOC!$B:$B,"&gt;="&amp;$D4176,DATA_GOC!$B:$B,"&lt;="&amp;$E4176))</f>
        <v/>
      </c>
      <c r="J4176" s="59">
        <f t="shared" si="28"/>
        <v>0</v>
      </c>
      <c r="K4176" s="59">
        <f t="shared" si="29"/>
        <v>0</v>
      </c>
      <c r="L4176" s="59">
        <f t="shared" si="30"/>
        <v>0</v>
      </c>
      <c r="M4176" s="59">
        <f t="shared" si="31"/>
        <v>0</v>
      </c>
    </row>
    <row r="4177" ht="15.0" hidden="1" customHeight="1">
      <c r="A4177" s="59">
        <f t="shared" si="20"/>
        <v>66</v>
      </c>
      <c r="B4177" s="59" t="str">
        <f t="shared" si="21"/>
        <v/>
      </c>
      <c r="C4177" s="59" t="str">
        <f t="shared" si="22"/>
        <v/>
      </c>
      <c r="D4177" s="45" t="str">
        <f t="shared" si="23"/>
        <v/>
      </c>
      <c r="E4177" s="45" t="str">
        <f t="shared" si="24"/>
        <v/>
      </c>
      <c r="F4177" s="59" t="str">
        <f t="shared" si="25"/>
        <v/>
      </c>
      <c r="G4177" s="59" t="str">
        <f t="shared" si="26"/>
        <v/>
      </c>
      <c r="H4177" s="59" t="str">
        <f t="shared" si="27"/>
        <v>29E17539</v>
      </c>
      <c r="I4177" s="59" t="str">
        <f>IF(OR($A4177="",$C4177="",$D4177="",$E4177="",$H4177=""),"",SUMIFS(DATA_GOC!$H:$H,DATA_GOC!$A:$A,"BOM",DATA_GOC!$D:$D,$H4177,DATA_GOC!$E:$E,$C4177,DATA_GOC!$F:$F,"Xuất nội bộ từ téc",DATA_GOC!$B:$B,"&gt;="&amp;$D4177,DATA_GOC!$B:$B,"&lt;="&amp;$E4177))</f>
        <v/>
      </c>
      <c r="J4177" s="59">
        <f t="shared" si="28"/>
        <v>0</v>
      </c>
      <c r="K4177" s="59">
        <f t="shared" si="29"/>
        <v>0</v>
      </c>
      <c r="L4177" s="59">
        <f t="shared" si="30"/>
        <v>0</v>
      </c>
      <c r="M4177" s="59">
        <f t="shared" si="31"/>
        <v>0</v>
      </c>
    </row>
    <row r="4178" ht="15.0" hidden="1" customHeight="1">
      <c r="A4178" s="59">
        <f t="shared" si="20"/>
        <v>66</v>
      </c>
      <c r="B4178" s="59" t="str">
        <f t="shared" si="21"/>
        <v/>
      </c>
      <c r="C4178" s="59" t="str">
        <f t="shared" si="22"/>
        <v/>
      </c>
      <c r="D4178" s="45" t="str">
        <f t="shared" si="23"/>
        <v/>
      </c>
      <c r="E4178" s="45" t="str">
        <f t="shared" si="24"/>
        <v/>
      </c>
      <c r="F4178" s="59" t="str">
        <f t="shared" si="25"/>
        <v/>
      </c>
      <c r="G4178" s="59" t="str">
        <f t="shared" si="26"/>
        <v/>
      </c>
      <c r="H4178" s="59" t="str">
        <f t="shared" si="27"/>
        <v>29E18160</v>
      </c>
      <c r="I4178" s="59" t="str">
        <f>IF(OR($A4178="",$C4178="",$D4178="",$E4178="",$H4178=""),"",SUMIFS(DATA_GOC!$H:$H,DATA_GOC!$A:$A,"BOM",DATA_GOC!$D:$D,$H4178,DATA_GOC!$E:$E,$C4178,DATA_GOC!$F:$F,"Xuất nội bộ từ téc",DATA_GOC!$B:$B,"&gt;="&amp;$D4178,DATA_GOC!$B:$B,"&lt;="&amp;$E4178))</f>
        <v/>
      </c>
      <c r="J4178" s="59">
        <f t="shared" si="28"/>
        <v>0</v>
      </c>
      <c r="K4178" s="59">
        <f t="shared" si="29"/>
        <v>0</v>
      </c>
      <c r="L4178" s="59">
        <f t="shared" si="30"/>
        <v>0</v>
      </c>
      <c r="M4178" s="59">
        <f t="shared" si="31"/>
        <v>0</v>
      </c>
    </row>
    <row r="4179" ht="15.0" hidden="1" customHeight="1">
      <c r="A4179" s="59">
        <f t="shared" si="20"/>
        <v>66</v>
      </c>
      <c r="B4179" s="59" t="str">
        <f t="shared" si="21"/>
        <v/>
      </c>
      <c r="C4179" s="59" t="str">
        <f t="shared" si="22"/>
        <v/>
      </c>
      <c r="D4179" s="45" t="str">
        <f t="shared" si="23"/>
        <v/>
      </c>
      <c r="E4179" s="45" t="str">
        <f t="shared" si="24"/>
        <v/>
      </c>
      <c r="F4179" s="59" t="str">
        <f t="shared" si="25"/>
        <v/>
      </c>
      <c r="G4179" s="59" t="str">
        <f t="shared" si="26"/>
        <v/>
      </c>
      <c r="H4179" s="59" t="str">
        <f t="shared" si="27"/>
        <v>Công trình Asphalt</v>
      </c>
      <c r="I4179" s="59" t="str">
        <f>IF(OR($A4179="",$C4179="",$D4179="",$E4179="",$H4179=""),"",SUMIFS(DATA_GOC!$H:$H,DATA_GOC!$A:$A,"BOM",DATA_GOC!$D:$D,$H4179,DATA_GOC!$E:$E,$C4179,DATA_GOC!$F:$F,"Xuất nội bộ từ téc",DATA_GOC!$B:$B,"&gt;="&amp;$D4179,DATA_GOC!$B:$B,"&lt;="&amp;$E4179))</f>
        <v/>
      </c>
      <c r="J4179" s="59">
        <f t="shared" si="28"/>
        <v>0</v>
      </c>
      <c r="K4179" s="59">
        <f t="shared" si="29"/>
        <v>0</v>
      </c>
      <c r="L4179" s="59">
        <f t="shared" si="30"/>
        <v>0</v>
      </c>
      <c r="M4179" s="59">
        <f t="shared" si="31"/>
        <v>0</v>
      </c>
    </row>
    <row r="4180" ht="15.0" hidden="1" customHeight="1">
      <c r="A4180" s="59">
        <f t="shared" si="20"/>
        <v>66</v>
      </c>
      <c r="B4180" s="59" t="str">
        <f t="shared" si="21"/>
        <v/>
      </c>
      <c r="C4180" s="59" t="str">
        <f t="shared" si="22"/>
        <v/>
      </c>
      <c r="D4180" s="45" t="str">
        <f t="shared" si="23"/>
        <v/>
      </c>
      <c r="E4180" s="45" t="str">
        <f t="shared" si="24"/>
        <v/>
      </c>
      <c r="F4180" s="59" t="str">
        <f t="shared" si="25"/>
        <v/>
      </c>
      <c r="G4180" s="59" t="str">
        <f t="shared" si="26"/>
        <v/>
      </c>
      <c r="H4180" s="59" t="str">
        <f t="shared" si="27"/>
        <v>LG53F</v>
      </c>
      <c r="I4180" s="59" t="str">
        <f>IF(OR($A4180="",$C4180="",$D4180="",$E4180="",$H4180=""),"",SUMIFS(DATA_GOC!$H:$H,DATA_GOC!$A:$A,"BOM",DATA_GOC!$D:$D,$H4180,DATA_GOC!$E:$E,$C4180,DATA_GOC!$F:$F,"Xuất nội bộ từ téc",DATA_GOC!$B:$B,"&gt;="&amp;$D4180,DATA_GOC!$B:$B,"&lt;="&amp;$E4180))</f>
        <v/>
      </c>
      <c r="J4180" s="59">
        <f t="shared" si="28"/>
        <v>0</v>
      </c>
      <c r="K4180" s="59">
        <f t="shared" si="29"/>
        <v>0</v>
      </c>
      <c r="L4180" s="59">
        <f t="shared" si="30"/>
        <v>0</v>
      </c>
      <c r="M4180" s="59">
        <f t="shared" si="31"/>
        <v>0</v>
      </c>
    </row>
    <row r="4181" ht="15.0" hidden="1" customHeight="1">
      <c r="A4181" s="59">
        <f t="shared" si="20"/>
        <v>66</v>
      </c>
      <c r="B4181" s="59" t="str">
        <f t="shared" si="21"/>
        <v/>
      </c>
      <c r="C4181" s="59" t="str">
        <f t="shared" si="22"/>
        <v/>
      </c>
      <c r="D4181" s="45" t="str">
        <f t="shared" si="23"/>
        <v/>
      </c>
      <c r="E4181" s="45" t="str">
        <f t="shared" si="24"/>
        <v/>
      </c>
      <c r="F4181" s="59" t="str">
        <f t="shared" si="25"/>
        <v/>
      </c>
      <c r="G4181" s="59" t="str">
        <f t="shared" si="26"/>
        <v/>
      </c>
      <c r="H4181" s="59" t="str">
        <f t="shared" si="27"/>
        <v>Máy phát điện</v>
      </c>
      <c r="I4181" s="59" t="str">
        <f>IF(OR($A4181="",$C4181="",$D4181="",$E4181="",$H4181=""),"",SUMIFS(DATA_GOC!$H:$H,DATA_GOC!$A:$A,"BOM",DATA_GOC!$D:$D,$H4181,DATA_GOC!$E:$E,$C4181,DATA_GOC!$F:$F,"Xuất nội bộ từ téc",DATA_GOC!$B:$B,"&gt;="&amp;$D4181,DATA_GOC!$B:$B,"&lt;="&amp;$E4181))</f>
        <v/>
      </c>
      <c r="J4181" s="59">
        <f t="shared" si="28"/>
        <v>0</v>
      </c>
      <c r="K4181" s="59">
        <f t="shared" si="29"/>
        <v>0</v>
      </c>
      <c r="L4181" s="59">
        <f t="shared" si="30"/>
        <v>0</v>
      </c>
      <c r="M4181" s="59">
        <f t="shared" si="31"/>
        <v>0</v>
      </c>
    </row>
    <row r="4182" ht="15.0" hidden="1" customHeight="1">
      <c r="A4182" s="59">
        <f t="shared" si="20"/>
        <v>66</v>
      </c>
      <c r="B4182" s="59" t="str">
        <f t="shared" si="21"/>
        <v/>
      </c>
      <c r="C4182" s="59" t="str">
        <f t="shared" si="22"/>
        <v/>
      </c>
      <c r="D4182" s="45" t="str">
        <f t="shared" si="23"/>
        <v/>
      </c>
      <c r="E4182" s="45" t="str">
        <f t="shared" si="24"/>
        <v/>
      </c>
      <c r="F4182" s="59" t="str">
        <f t="shared" si="25"/>
        <v/>
      </c>
      <c r="G4182" s="59" t="str">
        <f t="shared" si="26"/>
        <v/>
      </c>
      <c r="H4182" s="59" t="str">
        <f t="shared" si="27"/>
        <v>Máy rải thảm</v>
      </c>
      <c r="I4182" s="59" t="str">
        <f>IF(OR($A4182="",$C4182="",$D4182="",$E4182="",$H4182=""),"",SUMIFS(DATA_GOC!$H:$H,DATA_GOC!$A:$A,"BOM",DATA_GOC!$D:$D,$H4182,DATA_GOC!$E:$E,$C4182,DATA_GOC!$F:$F,"Xuất nội bộ từ téc",DATA_GOC!$B:$B,"&gt;="&amp;$D4182,DATA_GOC!$B:$B,"&lt;="&amp;$E4182))</f>
        <v/>
      </c>
      <c r="J4182" s="59">
        <f t="shared" si="28"/>
        <v>0</v>
      </c>
      <c r="K4182" s="59">
        <f t="shared" si="29"/>
        <v>0</v>
      </c>
      <c r="L4182" s="59">
        <f t="shared" si="30"/>
        <v>0</v>
      </c>
      <c r="M4182" s="59">
        <f t="shared" si="31"/>
        <v>0</v>
      </c>
    </row>
    <row r="4183" ht="15.0" hidden="1" customHeight="1">
      <c r="A4183" s="59">
        <f t="shared" si="20"/>
        <v>66</v>
      </c>
      <c r="B4183" s="59" t="str">
        <f t="shared" si="21"/>
        <v/>
      </c>
      <c r="C4183" s="59" t="str">
        <f t="shared" si="22"/>
        <v/>
      </c>
      <c r="D4183" s="45" t="str">
        <f t="shared" si="23"/>
        <v/>
      </c>
      <c r="E4183" s="45" t="str">
        <f t="shared" si="24"/>
        <v/>
      </c>
      <c r="F4183" s="59" t="str">
        <f t="shared" si="25"/>
        <v/>
      </c>
      <c r="G4183" s="59" t="str">
        <f t="shared" si="26"/>
        <v/>
      </c>
      <c r="H4183" s="59" t="str">
        <f t="shared" si="27"/>
        <v>Xúc Đào</v>
      </c>
      <c r="I4183" s="59" t="str">
        <f>IF(OR($A4183="",$C4183="",$D4183="",$E4183="",$H4183=""),"",SUMIFS(DATA_GOC!$H:$H,DATA_GOC!$A:$A,"BOM",DATA_GOC!$D:$D,$H4183,DATA_GOC!$E:$E,$C4183,DATA_GOC!$F:$F,"Xuất nội bộ từ téc",DATA_GOC!$B:$B,"&gt;="&amp;$D4183,DATA_GOC!$B:$B,"&lt;="&amp;$E4183))</f>
        <v/>
      </c>
      <c r="J4183" s="59">
        <f t="shared" si="28"/>
        <v>0</v>
      </c>
      <c r="K4183" s="59">
        <f t="shared" si="29"/>
        <v>0</v>
      </c>
      <c r="L4183" s="59">
        <f t="shared" si="30"/>
        <v>0</v>
      </c>
      <c r="M4183" s="59">
        <f t="shared" si="31"/>
        <v>0</v>
      </c>
    </row>
    <row r="4184" ht="15.0" hidden="1" customHeight="1">
      <c r="A4184" s="59">
        <f t="shared" si="20"/>
        <v>66</v>
      </c>
      <c r="B4184" s="59" t="str">
        <f t="shared" si="21"/>
        <v/>
      </c>
      <c r="C4184" s="59" t="str">
        <f t="shared" si="22"/>
        <v/>
      </c>
      <c r="D4184" s="45" t="str">
        <f t="shared" si="23"/>
        <v/>
      </c>
      <c r="E4184" s="45" t="str">
        <f t="shared" si="24"/>
        <v/>
      </c>
      <c r="F4184" s="59" t="str">
        <f t="shared" si="25"/>
        <v/>
      </c>
      <c r="G4184" s="59" t="str">
        <f t="shared" si="26"/>
        <v/>
      </c>
      <c r="H4184" s="59" t="str">
        <f t="shared" si="27"/>
        <v>Xúclật asphalt</v>
      </c>
      <c r="I4184" s="59" t="str">
        <f>IF(OR($A4184="",$C4184="",$D4184="",$E4184="",$H4184=""),"",SUMIFS(DATA_GOC!$H:$H,DATA_GOC!$A:$A,"BOM",DATA_GOC!$D:$D,$H4184,DATA_GOC!$E:$E,$C4184,DATA_GOC!$F:$F,"Xuất nội bộ từ téc",DATA_GOC!$B:$B,"&gt;="&amp;$D4184,DATA_GOC!$B:$B,"&lt;="&amp;$E4184))</f>
        <v/>
      </c>
      <c r="J4184" s="59">
        <f t="shared" si="28"/>
        <v>0</v>
      </c>
      <c r="K4184" s="59">
        <f t="shared" si="29"/>
        <v>0</v>
      </c>
      <c r="L4184" s="59">
        <f t="shared" si="30"/>
        <v>0</v>
      </c>
      <c r="M4184" s="59">
        <f t="shared" si="31"/>
        <v>0</v>
      </c>
    </row>
    <row r="4185" ht="15.0" hidden="1" customHeight="1">
      <c r="A4185" s="59">
        <f t="shared" si="20"/>
        <v>66</v>
      </c>
      <c r="B4185" s="59" t="str">
        <f t="shared" si="21"/>
        <v/>
      </c>
      <c r="C4185" s="59" t="str">
        <f t="shared" si="22"/>
        <v/>
      </c>
      <c r="D4185" s="45" t="str">
        <f t="shared" si="23"/>
        <v/>
      </c>
      <c r="E4185" s="45" t="str">
        <f t="shared" si="24"/>
        <v/>
      </c>
      <c r="F4185" s="59" t="str">
        <f t="shared" si="25"/>
        <v/>
      </c>
      <c r="G4185" s="59" t="str">
        <f t="shared" si="26"/>
        <v/>
      </c>
      <c r="H4185" s="59" t="str">
        <f t="shared" si="27"/>
        <v>Xúclật855H</v>
      </c>
      <c r="I4185" s="59" t="str">
        <f>IF(OR($A4185="",$C4185="",$D4185="",$E4185="",$H4185=""),"",SUMIFS(DATA_GOC!$H:$H,DATA_GOC!$A:$A,"BOM",DATA_GOC!$D:$D,$H4185,DATA_GOC!$E:$E,$C4185,DATA_GOC!$F:$F,"Xuất nội bộ từ téc",DATA_GOC!$B:$B,"&gt;="&amp;$D4185,DATA_GOC!$B:$B,"&lt;="&amp;$E4185))</f>
        <v/>
      </c>
      <c r="J4185" s="59">
        <f t="shared" si="28"/>
        <v>0</v>
      </c>
      <c r="K4185" s="59">
        <f t="shared" si="29"/>
        <v>0</v>
      </c>
      <c r="L4185" s="59">
        <f t="shared" si="30"/>
        <v>0</v>
      </c>
      <c r="M4185" s="59">
        <f t="shared" si="31"/>
        <v>0</v>
      </c>
    </row>
    <row r="4186" ht="15.0" hidden="1" customHeight="1">
      <c r="A4186" s="59">
        <f t="shared" si="20"/>
        <v>66</v>
      </c>
      <c r="B4186" s="59" t="str">
        <f t="shared" si="21"/>
        <v/>
      </c>
      <c r="C4186" s="59" t="str">
        <f t="shared" si="22"/>
        <v/>
      </c>
      <c r="D4186" s="45" t="str">
        <f t="shared" si="23"/>
        <v/>
      </c>
      <c r="E4186" s="45" t="str">
        <f t="shared" si="24"/>
        <v/>
      </c>
      <c r="F4186" s="59" t="str">
        <f t="shared" si="25"/>
        <v/>
      </c>
      <c r="G4186" s="59" t="str">
        <f t="shared" si="26"/>
        <v/>
      </c>
      <c r="H4186" s="59" t="str">
        <f t="shared" si="27"/>
        <v>Xúclật855N</v>
      </c>
      <c r="I4186" s="59" t="str">
        <f>IF(OR($A4186="",$C4186="",$D4186="",$E4186="",$H4186=""),"",SUMIFS(DATA_GOC!$H:$H,DATA_GOC!$A:$A,"BOM",DATA_GOC!$D:$D,$H4186,DATA_GOC!$E:$E,$C4186,DATA_GOC!$F:$F,"Xuất nội bộ từ téc",DATA_GOC!$B:$B,"&gt;="&amp;$D4186,DATA_GOC!$B:$B,"&lt;="&amp;$E4186))</f>
        <v/>
      </c>
      <c r="J4186" s="59">
        <f t="shared" si="28"/>
        <v>0</v>
      </c>
      <c r="K4186" s="59">
        <f t="shared" si="29"/>
        <v>0</v>
      </c>
      <c r="L4186" s="59">
        <f t="shared" si="30"/>
        <v>0</v>
      </c>
      <c r="M4186" s="59">
        <f t="shared" si="31"/>
        <v>0</v>
      </c>
    </row>
    <row r="4187" ht="15.0" hidden="1" customHeight="1">
      <c r="A4187" s="59">
        <f t="shared" si="20"/>
        <v>66</v>
      </c>
      <c r="B4187" s="59" t="str">
        <f t="shared" si="21"/>
        <v/>
      </c>
      <c r="C4187" s="59" t="str">
        <f t="shared" si="22"/>
        <v/>
      </c>
      <c r="D4187" s="45" t="str">
        <f t="shared" si="23"/>
        <v/>
      </c>
      <c r="E4187" s="45" t="str">
        <f t="shared" si="24"/>
        <v/>
      </c>
      <c r="F4187" s="59" t="str">
        <f t="shared" si="25"/>
        <v/>
      </c>
      <c r="G4187" s="59" t="str">
        <f t="shared" si="26"/>
        <v/>
      </c>
      <c r="H4187" s="59" t="str">
        <f t="shared" si="27"/>
        <v>Cát nghiền</v>
      </c>
      <c r="I4187" s="59" t="str">
        <f>IF(OR($A4187="",$C4187="",$D4187="",$E4187="",$H4187=""),"",SUMIFS(DATA_GOC!$H:$H,DATA_GOC!$A:$A,"BOM",DATA_GOC!$D:$D,$H4187,DATA_GOC!$E:$E,$C4187,DATA_GOC!$F:$F,"Xuất nội bộ từ téc",DATA_GOC!$B:$B,"&gt;="&amp;$D4187,DATA_GOC!$B:$B,"&lt;="&amp;$E4187))</f>
        <v/>
      </c>
      <c r="J4187" s="59">
        <f t="shared" si="28"/>
        <v>0</v>
      </c>
      <c r="K4187" s="59">
        <f t="shared" si="29"/>
        <v>0</v>
      </c>
      <c r="L4187" s="59">
        <f t="shared" si="30"/>
        <v>0</v>
      </c>
      <c r="M4187" s="59">
        <f t="shared" si="31"/>
        <v>0</v>
      </c>
    </row>
    <row r="4188" ht="15.0" hidden="1" customHeight="1">
      <c r="A4188" s="59">
        <f t="shared" si="20"/>
        <v>66</v>
      </c>
      <c r="B4188" s="59" t="str">
        <f t="shared" si="21"/>
        <v/>
      </c>
      <c r="C4188" s="59" t="str">
        <f t="shared" si="22"/>
        <v/>
      </c>
      <c r="D4188" s="45" t="str">
        <f t="shared" si="23"/>
        <v/>
      </c>
      <c r="E4188" s="45" t="str">
        <f t="shared" si="24"/>
        <v/>
      </c>
      <c r="F4188" s="59" t="str">
        <f t="shared" si="25"/>
        <v/>
      </c>
      <c r="G4188" s="59" t="str">
        <f t="shared" si="26"/>
        <v/>
      </c>
      <c r="H4188" s="59" t="str">
        <f t="shared" si="27"/>
        <v>28C02973</v>
      </c>
      <c r="I4188" s="59" t="str">
        <f>IF(OR($A4188="",$C4188="",$D4188="",$E4188="",$H4188=""),"",SUMIFS(DATA_GOC!$H:$H,DATA_GOC!$A:$A,"BOM",DATA_GOC!$D:$D,$H4188,DATA_GOC!$E:$E,$C4188,DATA_GOC!$F:$F,"Xuất nội bộ từ téc",DATA_GOC!$B:$B,"&gt;="&amp;$D4188,DATA_GOC!$B:$B,"&lt;="&amp;$E4188))</f>
        <v/>
      </c>
      <c r="J4188" s="59">
        <f t="shared" si="28"/>
        <v>0</v>
      </c>
      <c r="K4188" s="59">
        <f t="shared" si="29"/>
        <v>0</v>
      </c>
      <c r="L4188" s="59">
        <f t="shared" si="30"/>
        <v>0</v>
      </c>
      <c r="M4188" s="59">
        <f t="shared" si="31"/>
        <v>0</v>
      </c>
    </row>
    <row r="4189" ht="15.0" hidden="1" customHeight="1">
      <c r="A4189" s="59">
        <f t="shared" si="20"/>
        <v>66</v>
      </c>
      <c r="B4189" s="59" t="str">
        <f t="shared" si="21"/>
        <v/>
      </c>
      <c r="C4189" s="59" t="str">
        <f t="shared" si="22"/>
        <v/>
      </c>
      <c r="D4189" s="45" t="str">
        <f t="shared" si="23"/>
        <v/>
      </c>
      <c r="E4189" s="45" t="str">
        <f t="shared" si="24"/>
        <v/>
      </c>
      <c r="F4189" s="59" t="str">
        <f t="shared" si="25"/>
        <v/>
      </c>
      <c r="G4189" s="59" t="str">
        <f t="shared" si="26"/>
        <v/>
      </c>
      <c r="H4189" s="59" t="str">
        <f t="shared" si="27"/>
        <v>28C03044</v>
      </c>
      <c r="I4189" s="59" t="str">
        <f>IF(OR($A4189="",$C4189="",$D4189="",$E4189="",$H4189=""),"",SUMIFS(DATA_GOC!$H:$H,DATA_GOC!$A:$A,"BOM",DATA_GOC!$D:$D,$H4189,DATA_GOC!$E:$E,$C4189,DATA_GOC!$F:$F,"Xuất nội bộ từ téc",DATA_GOC!$B:$B,"&gt;="&amp;$D4189,DATA_GOC!$B:$B,"&lt;="&amp;$E4189))</f>
        <v/>
      </c>
      <c r="J4189" s="59">
        <f t="shared" si="28"/>
        <v>0</v>
      </c>
      <c r="K4189" s="59">
        <f t="shared" si="29"/>
        <v>0</v>
      </c>
      <c r="L4189" s="59">
        <f t="shared" si="30"/>
        <v>0</v>
      </c>
      <c r="M4189" s="59">
        <f t="shared" si="31"/>
        <v>0</v>
      </c>
    </row>
    <row r="4190" ht="15.0" hidden="1" customHeight="1">
      <c r="A4190" s="59">
        <f t="shared" si="20"/>
        <v>66</v>
      </c>
      <c r="B4190" s="59" t="str">
        <f t="shared" si="21"/>
        <v/>
      </c>
      <c r="C4190" s="59" t="str">
        <f t="shared" si="22"/>
        <v/>
      </c>
      <c r="D4190" s="45" t="str">
        <f t="shared" si="23"/>
        <v/>
      </c>
      <c r="E4190" s="45" t="str">
        <f t="shared" si="24"/>
        <v/>
      </c>
      <c r="F4190" s="59" t="str">
        <f t="shared" si="25"/>
        <v/>
      </c>
      <c r="G4190" s="59" t="str">
        <f t="shared" si="26"/>
        <v/>
      </c>
      <c r="H4190" s="59" t="str">
        <f t="shared" si="27"/>
        <v>Máy lu lốp</v>
      </c>
      <c r="I4190" s="59" t="str">
        <f>IF(OR($A4190="",$C4190="",$D4190="",$E4190="",$H4190=""),"",SUMIFS(DATA_GOC!$H:$H,DATA_GOC!$A:$A,"BOM",DATA_GOC!$D:$D,$H4190,DATA_GOC!$E:$E,$C4190,DATA_GOC!$F:$F,"Xuất nội bộ từ téc",DATA_GOC!$B:$B,"&gt;="&amp;$D4190,DATA_GOC!$B:$B,"&lt;="&amp;$E4190))</f>
        <v/>
      </c>
      <c r="J4190" s="59">
        <f t="shared" si="28"/>
        <v>0</v>
      </c>
      <c r="K4190" s="59">
        <f t="shared" si="29"/>
        <v>0</v>
      </c>
      <c r="L4190" s="59">
        <f t="shared" si="30"/>
        <v>0</v>
      </c>
      <c r="M4190" s="59">
        <f t="shared" si="31"/>
        <v>0</v>
      </c>
    </row>
    <row r="4191" ht="15.0" hidden="1" customHeight="1">
      <c r="A4191" s="59">
        <f t="shared" si="20"/>
        <v>66</v>
      </c>
      <c r="B4191" s="59" t="str">
        <f t="shared" si="21"/>
        <v/>
      </c>
      <c r="C4191" s="59" t="str">
        <f t="shared" si="22"/>
        <v/>
      </c>
      <c r="D4191" s="45" t="str">
        <f t="shared" si="23"/>
        <v/>
      </c>
      <c r="E4191" s="45" t="str">
        <f t="shared" si="24"/>
        <v/>
      </c>
      <c r="F4191" s="59" t="str">
        <f t="shared" si="25"/>
        <v/>
      </c>
      <c r="G4191" s="59" t="str">
        <f t="shared" si="26"/>
        <v/>
      </c>
      <c r="H4191" s="59" t="str">
        <f t="shared" si="27"/>
        <v>Xe 600148</v>
      </c>
      <c r="I4191" s="59" t="str">
        <f>IF(OR($A4191="",$C4191="",$D4191="",$E4191="",$H4191=""),"",SUMIFS(DATA_GOC!$H:$H,DATA_GOC!$A:$A,"BOM",DATA_GOC!$D:$D,$H4191,DATA_GOC!$E:$E,$C4191,DATA_GOC!$F:$F,"Xuất nội bộ từ téc",DATA_GOC!$B:$B,"&gt;="&amp;$D4191,DATA_GOC!$B:$B,"&lt;="&amp;$E4191))</f>
        <v/>
      </c>
      <c r="J4191" s="59">
        <f t="shared" si="28"/>
        <v>0</v>
      </c>
      <c r="K4191" s="59">
        <f t="shared" si="29"/>
        <v>0</v>
      </c>
      <c r="L4191" s="59">
        <f t="shared" si="30"/>
        <v>0</v>
      </c>
      <c r="M4191" s="59">
        <f t="shared" si="31"/>
        <v>0</v>
      </c>
    </row>
    <row r="4192" ht="15.0" hidden="1" customHeight="1">
      <c r="A4192" s="59">
        <f t="shared" si="20"/>
        <v>66</v>
      </c>
      <c r="B4192" s="59" t="str">
        <f t="shared" si="21"/>
        <v/>
      </c>
      <c r="C4192" s="59" t="str">
        <f t="shared" si="22"/>
        <v/>
      </c>
      <c r="D4192" s="45" t="str">
        <f t="shared" si="23"/>
        <v/>
      </c>
      <c r="E4192" s="45" t="str">
        <f t="shared" si="24"/>
        <v/>
      </c>
      <c r="F4192" s="59" t="str">
        <f t="shared" si="25"/>
        <v/>
      </c>
      <c r="G4192" s="59" t="str">
        <f t="shared" si="26"/>
        <v/>
      </c>
      <c r="H4192" s="59" t="str">
        <f t="shared" si="27"/>
        <v>Xe ben mới</v>
      </c>
      <c r="I4192" s="59" t="str">
        <f>IF(OR($A4192="",$C4192="",$D4192="",$E4192="",$H4192=""),"",SUMIFS(DATA_GOC!$H:$H,DATA_GOC!$A:$A,"BOM",DATA_GOC!$D:$D,$H4192,DATA_GOC!$E:$E,$C4192,DATA_GOC!$F:$F,"Xuất nội bộ từ téc",DATA_GOC!$B:$B,"&gt;="&amp;$D4192,DATA_GOC!$B:$B,"&lt;="&amp;$E4192))</f>
        <v/>
      </c>
      <c r="J4192" s="59">
        <f t="shared" si="28"/>
        <v>0</v>
      </c>
      <c r="K4192" s="59">
        <f t="shared" si="29"/>
        <v>0</v>
      </c>
      <c r="L4192" s="59">
        <f t="shared" si="30"/>
        <v>0</v>
      </c>
      <c r="M4192" s="59">
        <f t="shared" si="31"/>
        <v>0</v>
      </c>
    </row>
    <row r="4193" ht="15.0" hidden="1" customHeight="1">
      <c r="A4193" s="59">
        <f t="shared" si="20"/>
        <v>67</v>
      </c>
      <c r="B4193" s="59" t="str">
        <f t="shared" si="21"/>
        <v/>
      </c>
      <c r="C4193" s="59" t="str">
        <f t="shared" si="22"/>
        <v/>
      </c>
      <c r="D4193" s="45" t="str">
        <f t="shared" si="23"/>
        <v/>
      </c>
      <c r="E4193" s="45" t="str">
        <f t="shared" si="24"/>
        <v/>
      </c>
      <c r="F4193" s="59" t="str">
        <f t="shared" si="25"/>
        <v/>
      </c>
      <c r="G4193" s="59" t="str">
        <f t="shared" si="26"/>
        <v/>
      </c>
      <c r="H4193" s="59" t="str">
        <f t="shared" si="27"/>
        <v>19H09482</v>
      </c>
      <c r="I4193" s="59" t="str">
        <f>IF(OR($A4193="",$C4193="",$D4193="",$E4193="",$H4193=""),"",SUMIFS(DATA_GOC!$H:$H,DATA_GOC!$A:$A,"BOM",DATA_GOC!$D:$D,$H4193,DATA_GOC!$E:$E,$C4193,DATA_GOC!$F:$F,"Xuất nội bộ từ téc",DATA_GOC!$B:$B,"&gt;="&amp;$D4193,DATA_GOC!$B:$B,"&lt;="&amp;$E4193))</f>
        <v/>
      </c>
      <c r="J4193" s="59">
        <f t="shared" si="28"/>
        <v>0</v>
      </c>
      <c r="K4193" s="59">
        <f t="shared" si="29"/>
        <v>0</v>
      </c>
      <c r="L4193" s="59">
        <f t="shared" si="30"/>
        <v>0</v>
      </c>
      <c r="M4193" s="59">
        <f t="shared" si="31"/>
        <v>0</v>
      </c>
    </row>
    <row r="4194" ht="15.0" hidden="1" customHeight="1">
      <c r="A4194" s="59">
        <f t="shared" si="20"/>
        <v>67</v>
      </c>
      <c r="B4194" s="59" t="str">
        <f t="shared" si="21"/>
        <v/>
      </c>
      <c r="C4194" s="59" t="str">
        <f t="shared" si="22"/>
        <v/>
      </c>
      <c r="D4194" s="45" t="str">
        <f t="shared" si="23"/>
        <v/>
      </c>
      <c r="E4194" s="45" t="str">
        <f t="shared" si="24"/>
        <v/>
      </c>
      <c r="F4194" s="59" t="str">
        <f t="shared" si="25"/>
        <v/>
      </c>
      <c r="G4194" s="59" t="str">
        <f t="shared" si="26"/>
        <v/>
      </c>
      <c r="H4194" s="59" t="str">
        <f t="shared" si="27"/>
        <v>28A30696</v>
      </c>
      <c r="I4194" s="59" t="str">
        <f>IF(OR($A4194="",$C4194="",$D4194="",$E4194="",$H4194=""),"",SUMIFS(DATA_GOC!$H:$H,DATA_GOC!$A:$A,"BOM",DATA_GOC!$D:$D,$H4194,DATA_GOC!$E:$E,$C4194,DATA_GOC!$F:$F,"Xuất nội bộ từ téc",DATA_GOC!$B:$B,"&gt;="&amp;$D4194,DATA_GOC!$B:$B,"&lt;="&amp;$E4194))</f>
        <v/>
      </c>
      <c r="J4194" s="59">
        <f t="shared" si="28"/>
        <v>0</v>
      </c>
      <c r="K4194" s="59">
        <f t="shared" si="29"/>
        <v>0</v>
      </c>
      <c r="L4194" s="59">
        <f t="shared" si="30"/>
        <v>0</v>
      </c>
      <c r="M4194" s="59">
        <f t="shared" si="31"/>
        <v>0</v>
      </c>
    </row>
    <row r="4195" ht="15.0" hidden="1" customHeight="1">
      <c r="A4195" s="59">
        <f t="shared" si="20"/>
        <v>67</v>
      </c>
      <c r="B4195" s="59" t="str">
        <f t="shared" si="21"/>
        <v/>
      </c>
      <c r="C4195" s="59" t="str">
        <f t="shared" si="22"/>
        <v/>
      </c>
      <c r="D4195" s="45" t="str">
        <f t="shared" si="23"/>
        <v/>
      </c>
      <c r="E4195" s="45" t="str">
        <f t="shared" si="24"/>
        <v/>
      </c>
      <c r="F4195" s="59" t="str">
        <f t="shared" si="25"/>
        <v/>
      </c>
      <c r="G4195" s="59" t="str">
        <f t="shared" si="26"/>
        <v/>
      </c>
      <c r="H4195" s="59" t="str">
        <f t="shared" si="27"/>
        <v>28C00462</v>
      </c>
      <c r="I4195" s="59" t="str">
        <f>IF(OR($A4195="",$C4195="",$D4195="",$E4195="",$H4195=""),"",SUMIFS(DATA_GOC!$H:$H,DATA_GOC!$A:$A,"BOM",DATA_GOC!$D:$D,$H4195,DATA_GOC!$E:$E,$C4195,DATA_GOC!$F:$F,"Xuất nội bộ từ téc",DATA_GOC!$B:$B,"&gt;="&amp;$D4195,DATA_GOC!$B:$B,"&lt;="&amp;$E4195))</f>
        <v/>
      </c>
      <c r="J4195" s="59">
        <f t="shared" si="28"/>
        <v>0</v>
      </c>
      <c r="K4195" s="59">
        <f t="shared" si="29"/>
        <v>0</v>
      </c>
      <c r="L4195" s="59">
        <f t="shared" si="30"/>
        <v>0</v>
      </c>
      <c r="M4195" s="59">
        <f t="shared" si="31"/>
        <v>0</v>
      </c>
    </row>
    <row r="4196" ht="15.0" hidden="1" customHeight="1">
      <c r="A4196" s="59">
        <f t="shared" si="20"/>
        <v>67</v>
      </c>
      <c r="B4196" s="59" t="str">
        <f t="shared" si="21"/>
        <v/>
      </c>
      <c r="C4196" s="59" t="str">
        <f t="shared" si="22"/>
        <v/>
      </c>
      <c r="D4196" s="45" t="str">
        <f t="shared" si="23"/>
        <v/>
      </c>
      <c r="E4196" s="45" t="str">
        <f t="shared" si="24"/>
        <v/>
      </c>
      <c r="F4196" s="59" t="str">
        <f t="shared" si="25"/>
        <v/>
      </c>
      <c r="G4196" s="59" t="str">
        <f t="shared" si="26"/>
        <v/>
      </c>
      <c r="H4196" s="59" t="str">
        <f t="shared" si="27"/>
        <v>28C01165</v>
      </c>
      <c r="I4196" s="59" t="str">
        <f>IF(OR($A4196="",$C4196="",$D4196="",$E4196="",$H4196=""),"",SUMIFS(DATA_GOC!$H:$H,DATA_GOC!$A:$A,"BOM",DATA_GOC!$D:$D,$H4196,DATA_GOC!$E:$E,$C4196,DATA_GOC!$F:$F,"Xuất nội bộ từ téc",DATA_GOC!$B:$B,"&gt;="&amp;$D4196,DATA_GOC!$B:$B,"&lt;="&amp;$E4196))</f>
        <v/>
      </c>
      <c r="J4196" s="59">
        <f t="shared" si="28"/>
        <v>0</v>
      </c>
      <c r="K4196" s="59">
        <f t="shared" si="29"/>
        <v>0</v>
      </c>
      <c r="L4196" s="59">
        <f t="shared" si="30"/>
        <v>0</v>
      </c>
      <c r="M4196" s="59">
        <f t="shared" si="31"/>
        <v>0</v>
      </c>
    </row>
    <row r="4197" ht="15.0" hidden="1" customHeight="1">
      <c r="A4197" s="59">
        <f t="shared" si="20"/>
        <v>67</v>
      </c>
      <c r="B4197" s="59" t="str">
        <f t="shared" si="21"/>
        <v/>
      </c>
      <c r="C4197" s="59" t="str">
        <f t="shared" si="22"/>
        <v/>
      </c>
      <c r="D4197" s="45" t="str">
        <f t="shared" si="23"/>
        <v/>
      </c>
      <c r="E4197" s="45" t="str">
        <f t="shared" si="24"/>
        <v/>
      </c>
      <c r="F4197" s="59" t="str">
        <f t="shared" si="25"/>
        <v/>
      </c>
      <c r="G4197" s="59" t="str">
        <f t="shared" si="26"/>
        <v/>
      </c>
      <c r="H4197" s="59" t="str">
        <f t="shared" si="27"/>
        <v>28C01406</v>
      </c>
      <c r="I4197" s="59" t="str">
        <f>IF(OR($A4197="",$C4197="",$D4197="",$E4197="",$H4197=""),"",SUMIFS(DATA_GOC!$H:$H,DATA_GOC!$A:$A,"BOM",DATA_GOC!$D:$D,$H4197,DATA_GOC!$E:$E,$C4197,DATA_GOC!$F:$F,"Xuất nội bộ từ téc",DATA_GOC!$B:$B,"&gt;="&amp;$D4197,DATA_GOC!$B:$B,"&lt;="&amp;$E4197))</f>
        <v/>
      </c>
      <c r="J4197" s="59">
        <f t="shared" si="28"/>
        <v>0</v>
      </c>
      <c r="K4197" s="59">
        <f t="shared" si="29"/>
        <v>0</v>
      </c>
      <c r="L4197" s="59">
        <f t="shared" si="30"/>
        <v>0</v>
      </c>
      <c r="M4197" s="59">
        <f t="shared" si="31"/>
        <v>0</v>
      </c>
    </row>
    <row r="4198" ht="15.0" hidden="1" customHeight="1">
      <c r="A4198" s="59">
        <f t="shared" si="20"/>
        <v>67</v>
      </c>
      <c r="B4198" s="59" t="str">
        <f t="shared" si="21"/>
        <v/>
      </c>
      <c r="C4198" s="59" t="str">
        <f t="shared" si="22"/>
        <v/>
      </c>
      <c r="D4198" s="45" t="str">
        <f t="shared" si="23"/>
        <v/>
      </c>
      <c r="E4198" s="45" t="str">
        <f t="shared" si="24"/>
        <v/>
      </c>
      <c r="F4198" s="59" t="str">
        <f t="shared" si="25"/>
        <v/>
      </c>
      <c r="G4198" s="59" t="str">
        <f t="shared" si="26"/>
        <v/>
      </c>
      <c r="H4198" s="59" t="str">
        <f t="shared" si="27"/>
        <v>28C01544</v>
      </c>
      <c r="I4198" s="59" t="str">
        <f>IF(OR($A4198="",$C4198="",$D4198="",$E4198="",$H4198=""),"",SUMIFS(DATA_GOC!$H:$H,DATA_GOC!$A:$A,"BOM",DATA_GOC!$D:$D,$H4198,DATA_GOC!$E:$E,$C4198,DATA_GOC!$F:$F,"Xuất nội bộ từ téc",DATA_GOC!$B:$B,"&gt;="&amp;$D4198,DATA_GOC!$B:$B,"&lt;="&amp;$E4198))</f>
        <v/>
      </c>
      <c r="J4198" s="59">
        <f t="shared" si="28"/>
        <v>0</v>
      </c>
      <c r="K4198" s="59">
        <f t="shared" si="29"/>
        <v>0</v>
      </c>
      <c r="L4198" s="59">
        <f t="shared" si="30"/>
        <v>0</v>
      </c>
      <c r="M4198" s="59">
        <f t="shared" si="31"/>
        <v>0</v>
      </c>
    </row>
    <row r="4199" ht="15.0" hidden="1" customHeight="1">
      <c r="A4199" s="59">
        <f t="shared" si="20"/>
        <v>67</v>
      </c>
      <c r="B4199" s="59" t="str">
        <f t="shared" si="21"/>
        <v/>
      </c>
      <c r="C4199" s="59" t="str">
        <f t="shared" si="22"/>
        <v/>
      </c>
      <c r="D4199" s="45" t="str">
        <f t="shared" si="23"/>
        <v/>
      </c>
      <c r="E4199" s="45" t="str">
        <f t="shared" si="24"/>
        <v/>
      </c>
      <c r="F4199" s="59" t="str">
        <f t="shared" si="25"/>
        <v/>
      </c>
      <c r="G4199" s="59" t="str">
        <f t="shared" si="26"/>
        <v/>
      </c>
      <c r="H4199" s="59" t="str">
        <f t="shared" si="27"/>
        <v>28C01622</v>
      </c>
      <c r="I4199" s="59" t="str">
        <f>IF(OR($A4199="",$C4199="",$D4199="",$E4199="",$H4199=""),"",SUMIFS(DATA_GOC!$H:$H,DATA_GOC!$A:$A,"BOM",DATA_GOC!$D:$D,$H4199,DATA_GOC!$E:$E,$C4199,DATA_GOC!$F:$F,"Xuất nội bộ từ téc",DATA_GOC!$B:$B,"&gt;="&amp;$D4199,DATA_GOC!$B:$B,"&lt;="&amp;$E4199))</f>
        <v/>
      </c>
      <c r="J4199" s="59">
        <f t="shared" si="28"/>
        <v>0</v>
      </c>
      <c r="K4199" s="59">
        <f t="shared" si="29"/>
        <v>0</v>
      </c>
      <c r="L4199" s="59">
        <f t="shared" si="30"/>
        <v>0</v>
      </c>
      <c r="M4199" s="59">
        <f t="shared" si="31"/>
        <v>0</v>
      </c>
    </row>
    <row r="4200" ht="15.0" hidden="1" customHeight="1">
      <c r="A4200" s="59">
        <f t="shared" si="20"/>
        <v>67</v>
      </c>
      <c r="B4200" s="59" t="str">
        <f t="shared" si="21"/>
        <v/>
      </c>
      <c r="C4200" s="59" t="str">
        <f t="shared" si="22"/>
        <v/>
      </c>
      <c r="D4200" s="45" t="str">
        <f t="shared" si="23"/>
        <v/>
      </c>
      <c r="E4200" s="45" t="str">
        <f t="shared" si="24"/>
        <v/>
      </c>
      <c r="F4200" s="59" t="str">
        <f t="shared" si="25"/>
        <v/>
      </c>
      <c r="G4200" s="59" t="str">
        <f t="shared" si="26"/>
        <v/>
      </c>
      <c r="H4200" s="59" t="str">
        <f t="shared" si="27"/>
        <v>28C01647</v>
      </c>
      <c r="I4200" s="59" t="str">
        <f>IF(OR($A4200="",$C4200="",$D4200="",$E4200="",$H4200=""),"",SUMIFS(DATA_GOC!$H:$H,DATA_GOC!$A:$A,"BOM",DATA_GOC!$D:$D,$H4200,DATA_GOC!$E:$E,$C4200,DATA_GOC!$F:$F,"Xuất nội bộ từ téc",DATA_GOC!$B:$B,"&gt;="&amp;$D4200,DATA_GOC!$B:$B,"&lt;="&amp;$E4200))</f>
        <v/>
      </c>
      <c r="J4200" s="59">
        <f t="shared" si="28"/>
        <v>0</v>
      </c>
      <c r="K4200" s="59">
        <f t="shared" si="29"/>
        <v>0</v>
      </c>
      <c r="L4200" s="59">
        <f t="shared" si="30"/>
        <v>0</v>
      </c>
      <c r="M4200" s="59">
        <f t="shared" si="31"/>
        <v>0</v>
      </c>
    </row>
    <row r="4201" ht="15.0" hidden="1" customHeight="1">
      <c r="A4201" s="59">
        <f t="shared" si="20"/>
        <v>67</v>
      </c>
      <c r="B4201" s="59" t="str">
        <f t="shared" si="21"/>
        <v/>
      </c>
      <c r="C4201" s="59" t="str">
        <f t="shared" si="22"/>
        <v/>
      </c>
      <c r="D4201" s="45" t="str">
        <f t="shared" si="23"/>
        <v/>
      </c>
      <c r="E4201" s="45" t="str">
        <f t="shared" si="24"/>
        <v/>
      </c>
      <c r="F4201" s="59" t="str">
        <f t="shared" si="25"/>
        <v/>
      </c>
      <c r="G4201" s="59" t="str">
        <f t="shared" si="26"/>
        <v/>
      </c>
      <c r="H4201" s="59" t="str">
        <f t="shared" si="27"/>
        <v>28C01731</v>
      </c>
      <c r="I4201" s="59" t="str">
        <f>IF(OR($A4201="",$C4201="",$D4201="",$E4201="",$H4201=""),"",SUMIFS(DATA_GOC!$H:$H,DATA_GOC!$A:$A,"BOM",DATA_GOC!$D:$D,$H4201,DATA_GOC!$E:$E,$C4201,DATA_GOC!$F:$F,"Xuất nội bộ từ téc",DATA_GOC!$B:$B,"&gt;="&amp;$D4201,DATA_GOC!$B:$B,"&lt;="&amp;$E4201))</f>
        <v/>
      </c>
      <c r="J4201" s="59">
        <f t="shared" si="28"/>
        <v>0</v>
      </c>
      <c r="K4201" s="59">
        <f t="shared" si="29"/>
        <v>0</v>
      </c>
      <c r="L4201" s="59">
        <f t="shared" si="30"/>
        <v>0</v>
      </c>
      <c r="M4201" s="59">
        <f t="shared" si="31"/>
        <v>0</v>
      </c>
    </row>
    <row r="4202" ht="15.0" hidden="1" customHeight="1">
      <c r="A4202" s="59">
        <f t="shared" si="20"/>
        <v>67</v>
      </c>
      <c r="B4202" s="59" t="str">
        <f t="shared" si="21"/>
        <v/>
      </c>
      <c r="C4202" s="59" t="str">
        <f t="shared" si="22"/>
        <v/>
      </c>
      <c r="D4202" s="45" t="str">
        <f t="shared" si="23"/>
        <v/>
      </c>
      <c r="E4202" s="45" t="str">
        <f t="shared" si="24"/>
        <v/>
      </c>
      <c r="F4202" s="59" t="str">
        <f t="shared" si="25"/>
        <v/>
      </c>
      <c r="G4202" s="59" t="str">
        <f t="shared" si="26"/>
        <v/>
      </c>
      <c r="H4202" s="59" t="str">
        <f t="shared" si="27"/>
        <v>28C01743</v>
      </c>
      <c r="I4202" s="59" t="str">
        <f>IF(OR($A4202="",$C4202="",$D4202="",$E4202="",$H4202=""),"",SUMIFS(DATA_GOC!$H:$H,DATA_GOC!$A:$A,"BOM",DATA_GOC!$D:$D,$H4202,DATA_GOC!$E:$E,$C4202,DATA_GOC!$F:$F,"Xuất nội bộ từ téc",DATA_GOC!$B:$B,"&gt;="&amp;$D4202,DATA_GOC!$B:$B,"&lt;="&amp;$E4202))</f>
        <v/>
      </c>
      <c r="J4202" s="59">
        <f t="shared" si="28"/>
        <v>0</v>
      </c>
      <c r="K4202" s="59">
        <f t="shared" si="29"/>
        <v>0</v>
      </c>
      <c r="L4202" s="59">
        <f t="shared" si="30"/>
        <v>0</v>
      </c>
      <c r="M4202" s="59">
        <f t="shared" si="31"/>
        <v>0</v>
      </c>
    </row>
    <row r="4203" ht="15.0" hidden="1" customHeight="1">
      <c r="A4203" s="59">
        <f t="shared" si="20"/>
        <v>67</v>
      </c>
      <c r="B4203" s="59" t="str">
        <f t="shared" si="21"/>
        <v/>
      </c>
      <c r="C4203" s="59" t="str">
        <f t="shared" si="22"/>
        <v/>
      </c>
      <c r="D4203" s="45" t="str">
        <f t="shared" si="23"/>
        <v/>
      </c>
      <c r="E4203" s="45" t="str">
        <f t="shared" si="24"/>
        <v/>
      </c>
      <c r="F4203" s="59" t="str">
        <f t="shared" si="25"/>
        <v/>
      </c>
      <c r="G4203" s="59" t="str">
        <f t="shared" si="26"/>
        <v/>
      </c>
      <c r="H4203" s="59" t="str">
        <f t="shared" si="27"/>
        <v>28C02106</v>
      </c>
      <c r="I4203" s="59" t="str">
        <f>IF(OR($A4203="",$C4203="",$D4203="",$E4203="",$H4203=""),"",SUMIFS(DATA_GOC!$H:$H,DATA_GOC!$A:$A,"BOM",DATA_GOC!$D:$D,$H4203,DATA_GOC!$E:$E,$C4203,DATA_GOC!$F:$F,"Xuất nội bộ từ téc",DATA_GOC!$B:$B,"&gt;="&amp;$D4203,DATA_GOC!$B:$B,"&lt;="&amp;$E4203))</f>
        <v/>
      </c>
      <c r="J4203" s="59">
        <f t="shared" si="28"/>
        <v>0</v>
      </c>
      <c r="K4203" s="59">
        <f t="shared" si="29"/>
        <v>0</v>
      </c>
      <c r="L4203" s="59">
        <f t="shared" si="30"/>
        <v>0</v>
      </c>
      <c r="M4203" s="59">
        <f t="shared" si="31"/>
        <v>0</v>
      </c>
    </row>
    <row r="4204" ht="15.0" hidden="1" customHeight="1">
      <c r="A4204" s="59">
        <f t="shared" si="20"/>
        <v>67</v>
      </c>
      <c r="B4204" s="59" t="str">
        <f t="shared" si="21"/>
        <v/>
      </c>
      <c r="C4204" s="59" t="str">
        <f t="shared" si="22"/>
        <v/>
      </c>
      <c r="D4204" s="45" t="str">
        <f t="shared" si="23"/>
        <v/>
      </c>
      <c r="E4204" s="45" t="str">
        <f t="shared" si="24"/>
        <v/>
      </c>
      <c r="F4204" s="59" t="str">
        <f t="shared" si="25"/>
        <v/>
      </c>
      <c r="G4204" s="59" t="str">
        <f t="shared" si="26"/>
        <v/>
      </c>
      <c r="H4204" s="59" t="str">
        <f t="shared" si="27"/>
        <v>28C02410</v>
      </c>
      <c r="I4204" s="59" t="str">
        <f>IF(OR($A4204="",$C4204="",$D4204="",$E4204="",$H4204=""),"",SUMIFS(DATA_GOC!$H:$H,DATA_GOC!$A:$A,"BOM",DATA_GOC!$D:$D,$H4204,DATA_GOC!$E:$E,$C4204,DATA_GOC!$F:$F,"Xuất nội bộ từ téc",DATA_GOC!$B:$B,"&gt;="&amp;$D4204,DATA_GOC!$B:$B,"&lt;="&amp;$E4204))</f>
        <v/>
      </c>
      <c r="J4204" s="59">
        <f t="shared" si="28"/>
        <v>0</v>
      </c>
      <c r="K4204" s="59">
        <f t="shared" si="29"/>
        <v>0</v>
      </c>
      <c r="L4204" s="59">
        <f t="shared" si="30"/>
        <v>0</v>
      </c>
      <c r="M4204" s="59">
        <f t="shared" si="31"/>
        <v>0</v>
      </c>
    </row>
    <row r="4205" ht="15.0" hidden="1" customHeight="1">
      <c r="A4205" s="59">
        <f t="shared" si="20"/>
        <v>67</v>
      </c>
      <c r="B4205" s="59" t="str">
        <f t="shared" si="21"/>
        <v/>
      </c>
      <c r="C4205" s="59" t="str">
        <f t="shared" si="22"/>
        <v/>
      </c>
      <c r="D4205" s="45" t="str">
        <f t="shared" si="23"/>
        <v/>
      </c>
      <c r="E4205" s="45" t="str">
        <f t="shared" si="24"/>
        <v/>
      </c>
      <c r="F4205" s="59" t="str">
        <f t="shared" si="25"/>
        <v/>
      </c>
      <c r="G4205" s="59" t="str">
        <f t="shared" si="26"/>
        <v/>
      </c>
      <c r="H4205" s="59" t="str">
        <f t="shared" si="27"/>
        <v>28C02545</v>
      </c>
      <c r="I4205" s="59" t="str">
        <f>IF(OR($A4205="",$C4205="",$D4205="",$E4205="",$H4205=""),"",SUMIFS(DATA_GOC!$H:$H,DATA_GOC!$A:$A,"BOM",DATA_GOC!$D:$D,$H4205,DATA_GOC!$E:$E,$C4205,DATA_GOC!$F:$F,"Xuất nội bộ từ téc",DATA_GOC!$B:$B,"&gt;="&amp;$D4205,DATA_GOC!$B:$B,"&lt;="&amp;$E4205))</f>
        <v/>
      </c>
      <c r="J4205" s="59">
        <f t="shared" si="28"/>
        <v>0</v>
      </c>
      <c r="K4205" s="59">
        <f t="shared" si="29"/>
        <v>0</v>
      </c>
      <c r="L4205" s="59">
        <f t="shared" si="30"/>
        <v>0</v>
      </c>
      <c r="M4205" s="59">
        <f t="shared" si="31"/>
        <v>0</v>
      </c>
    </row>
    <row r="4206" ht="15.0" hidden="1" customHeight="1">
      <c r="A4206" s="59">
        <f t="shared" si="20"/>
        <v>67</v>
      </c>
      <c r="B4206" s="59" t="str">
        <f t="shared" si="21"/>
        <v/>
      </c>
      <c r="C4206" s="59" t="str">
        <f t="shared" si="22"/>
        <v/>
      </c>
      <c r="D4206" s="45" t="str">
        <f t="shared" si="23"/>
        <v/>
      </c>
      <c r="E4206" s="45" t="str">
        <f t="shared" si="24"/>
        <v/>
      </c>
      <c r="F4206" s="59" t="str">
        <f t="shared" si="25"/>
        <v/>
      </c>
      <c r="G4206" s="59" t="str">
        <f t="shared" si="26"/>
        <v/>
      </c>
      <c r="H4206" s="59" t="str">
        <f t="shared" si="27"/>
        <v>28C02574</v>
      </c>
      <c r="I4206" s="59" t="str">
        <f>IF(OR($A4206="",$C4206="",$D4206="",$E4206="",$H4206=""),"",SUMIFS(DATA_GOC!$H:$H,DATA_GOC!$A:$A,"BOM",DATA_GOC!$D:$D,$H4206,DATA_GOC!$E:$E,$C4206,DATA_GOC!$F:$F,"Xuất nội bộ từ téc",DATA_GOC!$B:$B,"&gt;="&amp;$D4206,DATA_GOC!$B:$B,"&lt;="&amp;$E4206))</f>
        <v/>
      </c>
      <c r="J4206" s="59">
        <f t="shared" si="28"/>
        <v>0</v>
      </c>
      <c r="K4206" s="59">
        <f t="shared" si="29"/>
        <v>0</v>
      </c>
      <c r="L4206" s="59">
        <f t="shared" si="30"/>
        <v>0</v>
      </c>
      <c r="M4206" s="59">
        <f t="shared" si="31"/>
        <v>0</v>
      </c>
    </row>
    <row r="4207" ht="15.0" hidden="1" customHeight="1">
      <c r="A4207" s="59">
        <f t="shared" si="20"/>
        <v>67</v>
      </c>
      <c r="B4207" s="59" t="str">
        <f t="shared" si="21"/>
        <v/>
      </c>
      <c r="C4207" s="59" t="str">
        <f t="shared" si="22"/>
        <v/>
      </c>
      <c r="D4207" s="45" t="str">
        <f t="shared" si="23"/>
        <v/>
      </c>
      <c r="E4207" s="45" t="str">
        <f t="shared" si="24"/>
        <v/>
      </c>
      <c r="F4207" s="59" t="str">
        <f t="shared" si="25"/>
        <v/>
      </c>
      <c r="G4207" s="59" t="str">
        <f t="shared" si="26"/>
        <v/>
      </c>
      <c r="H4207" s="59" t="str">
        <f t="shared" si="27"/>
        <v>28C02770</v>
      </c>
      <c r="I4207" s="59" t="str">
        <f>IF(OR($A4207="",$C4207="",$D4207="",$E4207="",$H4207=""),"",SUMIFS(DATA_GOC!$H:$H,DATA_GOC!$A:$A,"BOM",DATA_GOC!$D:$D,$H4207,DATA_GOC!$E:$E,$C4207,DATA_GOC!$F:$F,"Xuất nội bộ từ téc",DATA_GOC!$B:$B,"&gt;="&amp;$D4207,DATA_GOC!$B:$B,"&lt;="&amp;$E4207))</f>
        <v/>
      </c>
      <c r="J4207" s="59">
        <f t="shared" si="28"/>
        <v>0</v>
      </c>
      <c r="K4207" s="59">
        <f t="shared" si="29"/>
        <v>0</v>
      </c>
      <c r="L4207" s="59">
        <f t="shared" si="30"/>
        <v>0</v>
      </c>
      <c r="M4207" s="59">
        <f t="shared" si="31"/>
        <v>0</v>
      </c>
    </row>
    <row r="4208" ht="15.0" hidden="1" customHeight="1">
      <c r="A4208" s="59">
        <f t="shared" si="20"/>
        <v>67</v>
      </c>
      <c r="B4208" s="59" t="str">
        <f t="shared" si="21"/>
        <v/>
      </c>
      <c r="C4208" s="59" t="str">
        <f t="shared" si="22"/>
        <v/>
      </c>
      <c r="D4208" s="45" t="str">
        <f t="shared" si="23"/>
        <v/>
      </c>
      <c r="E4208" s="45" t="str">
        <f t="shared" si="24"/>
        <v/>
      </c>
      <c r="F4208" s="59" t="str">
        <f t="shared" si="25"/>
        <v/>
      </c>
      <c r="G4208" s="59" t="str">
        <f t="shared" si="26"/>
        <v/>
      </c>
      <c r="H4208" s="59" t="str">
        <f t="shared" si="27"/>
        <v>28C02986</v>
      </c>
      <c r="I4208" s="59" t="str">
        <f>IF(OR($A4208="",$C4208="",$D4208="",$E4208="",$H4208=""),"",SUMIFS(DATA_GOC!$H:$H,DATA_GOC!$A:$A,"BOM",DATA_GOC!$D:$D,$H4208,DATA_GOC!$E:$E,$C4208,DATA_GOC!$F:$F,"Xuất nội bộ từ téc",DATA_GOC!$B:$B,"&gt;="&amp;$D4208,DATA_GOC!$B:$B,"&lt;="&amp;$E4208))</f>
        <v/>
      </c>
      <c r="J4208" s="59">
        <f t="shared" si="28"/>
        <v>0</v>
      </c>
      <c r="K4208" s="59">
        <f t="shared" si="29"/>
        <v>0</v>
      </c>
      <c r="L4208" s="59">
        <f t="shared" si="30"/>
        <v>0</v>
      </c>
      <c r="M4208" s="59">
        <f t="shared" si="31"/>
        <v>0</v>
      </c>
    </row>
    <row r="4209" ht="15.0" hidden="1" customHeight="1">
      <c r="A4209" s="59">
        <f t="shared" si="20"/>
        <v>67</v>
      </c>
      <c r="B4209" s="59" t="str">
        <f t="shared" si="21"/>
        <v/>
      </c>
      <c r="C4209" s="59" t="str">
        <f t="shared" si="22"/>
        <v/>
      </c>
      <c r="D4209" s="45" t="str">
        <f t="shared" si="23"/>
        <v/>
      </c>
      <c r="E4209" s="45" t="str">
        <f t="shared" si="24"/>
        <v/>
      </c>
      <c r="F4209" s="59" t="str">
        <f t="shared" si="25"/>
        <v/>
      </c>
      <c r="G4209" s="59" t="str">
        <f t="shared" si="26"/>
        <v/>
      </c>
      <c r="H4209" s="59" t="str">
        <f t="shared" si="27"/>
        <v>28C03261</v>
      </c>
      <c r="I4209" s="59" t="str">
        <f>IF(OR($A4209="",$C4209="",$D4209="",$E4209="",$H4209=""),"",SUMIFS(DATA_GOC!$H:$H,DATA_GOC!$A:$A,"BOM",DATA_GOC!$D:$D,$H4209,DATA_GOC!$E:$E,$C4209,DATA_GOC!$F:$F,"Xuất nội bộ từ téc",DATA_GOC!$B:$B,"&gt;="&amp;$D4209,DATA_GOC!$B:$B,"&lt;="&amp;$E4209))</f>
        <v/>
      </c>
      <c r="J4209" s="59">
        <f t="shared" si="28"/>
        <v>0</v>
      </c>
      <c r="K4209" s="59">
        <f t="shared" si="29"/>
        <v>0</v>
      </c>
      <c r="L4209" s="59">
        <f t="shared" si="30"/>
        <v>0</v>
      </c>
      <c r="M4209" s="59">
        <f t="shared" si="31"/>
        <v>0</v>
      </c>
    </row>
    <row r="4210" ht="15.0" hidden="1" customHeight="1">
      <c r="A4210" s="59">
        <f t="shared" si="20"/>
        <v>67</v>
      </c>
      <c r="B4210" s="59" t="str">
        <f t="shared" si="21"/>
        <v/>
      </c>
      <c r="C4210" s="59" t="str">
        <f t="shared" si="22"/>
        <v/>
      </c>
      <c r="D4210" s="45" t="str">
        <f t="shared" si="23"/>
        <v/>
      </c>
      <c r="E4210" s="45" t="str">
        <f t="shared" si="24"/>
        <v/>
      </c>
      <c r="F4210" s="59" t="str">
        <f t="shared" si="25"/>
        <v/>
      </c>
      <c r="G4210" s="59" t="str">
        <f t="shared" si="26"/>
        <v/>
      </c>
      <c r="H4210" s="59" t="str">
        <f t="shared" si="27"/>
        <v>28C03323</v>
      </c>
      <c r="I4210" s="59" t="str">
        <f>IF(OR($A4210="",$C4210="",$D4210="",$E4210="",$H4210=""),"",SUMIFS(DATA_GOC!$H:$H,DATA_GOC!$A:$A,"BOM",DATA_GOC!$D:$D,$H4210,DATA_GOC!$E:$E,$C4210,DATA_GOC!$F:$F,"Xuất nội bộ từ téc",DATA_GOC!$B:$B,"&gt;="&amp;$D4210,DATA_GOC!$B:$B,"&lt;="&amp;$E4210))</f>
        <v/>
      </c>
      <c r="J4210" s="59">
        <f t="shared" si="28"/>
        <v>0</v>
      </c>
      <c r="K4210" s="59">
        <f t="shared" si="29"/>
        <v>0</v>
      </c>
      <c r="L4210" s="59">
        <f t="shared" si="30"/>
        <v>0</v>
      </c>
      <c r="M4210" s="59">
        <f t="shared" si="31"/>
        <v>0</v>
      </c>
    </row>
    <row r="4211" ht="15.0" hidden="1" customHeight="1">
      <c r="A4211" s="59">
        <f t="shared" si="20"/>
        <v>67</v>
      </c>
      <c r="B4211" s="59" t="str">
        <f t="shared" si="21"/>
        <v/>
      </c>
      <c r="C4211" s="59" t="str">
        <f t="shared" si="22"/>
        <v/>
      </c>
      <c r="D4211" s="45" t="str">
        <f t="shared" si="23"/>
        <v/>
      </c>
      <c r="E4211" s="45" t="str">
        <f t="shared" si="24"/>
        <v/>
      </c>
      <c r="F4211" s="59" t="str">
        <f t="shared" si="25"/>
        <v/>
      </c>
      <c r="G4211" s="59" t="str">
        <f t="shared" si="26"/>
        <v/>
      </c>
      <c r="H4211" s="59" t="str">
        <f t="shared" si="27"/>
        <v>28C03385</v>
      </c>
      <c r="I4211" s="59" t="str">
        <f>IF(OR($A4211="",$C4211="",$D4211="",$E4211="",$H4211=""),"",SUMIFS(DATA_GOC!$H:$H,DATA_GOC!$A:$A,"BOM",DATA_GOC!$D:$D,$H4211,DATA_GOC!$E:$E,$C4211,DATA_GOC!$F:$F,"Xuất nội bộ từ téc",DATA_GOC!$B:$B,"&gt;="&amp;$D4211,DATA_GOC!$B:$B,"&lt;="&amp;$E4211))</f>
        <v/>
      </c>
      <c r="J4211" s="59">
        <f t="shared" si="28"/>
        <v>0</v>
      </c>
      <c r="K4211" s="59">
        <f t="shared" si="29"/>
        <v>0</v>
      </c>
      <c r="L4211" s="59">
        <f t="shared" si="30"/>
        <v>0</v>
      </c>
      <c r="M4211" s="59">
        <f t="shared" si="31"/>
        <v>0</v>
      </c>
    </row>
    <row r="4212" ht="15.0" hidden="1" customHeight="1">
      <c r="A4212" s="59">
        <f t="shared" si="20"/>
        <v>67</v>
      </c>
      <c r="B4212" s="59" t="str">
        <f t="shared" si="21"/>
        <v/>
      </c>
      <c r="C4212" s="59" t="str">
        <f t="shared" si="22"/>
        <v/>
      </c>
      <c r="D4212" s="45" t="str">
        <f t="shared" si="23"/>
        <v/>
      </c>
      <c r="E4212" s="45" t="str">
        <f t="shared" si="24"/>
        <v/>
      </c>
      <c r="F4212" s="59" t="str">
        <f t="shared" si="25"/>
        <v/>
      </c>
      <c r="G4212" s="59" t="str">
        <f t="shared" si="26"/>
        <v/>
      </c>
      <c r="H4212" s="59" t="str">
        <f t="shared" si="27"/>
        <v>28C03652</v>
      </c>
      <c r="I4212" s="59" t="str">
        <f>IF(OR($A4212="",$C4212="",$D4212="",$E4212="",$H4212=""),"",SUMIFS(DATA_GOC!$H:$H,DATA_GOC!$A:$A,"BOM",DATA_GOC!$D:$D,$H4212,DATA_GOC!$E:$E,$C4212,DATA_GOC!$F:$F,"Xuất nội bộ từ téc",DATA_GOC!$B:$B,"&gt;="&amp;$D4212,DATA_GOC!$B:$B,"&lt;="&amp;$E4212))</f>
        <v/>
      </c>
      <c r="J4212" s="59">
        <f t="shared" si="28"/>
        <v>0</v>
      </c>
      <c r="K4212" s="59">
        <f t="shared" si="29"/>
        <v>0</v>
      </c>
      <c r="L4212" s="59">
        <f t="shared" si="30"/>
        <v>0</v>
      </c>
      <c r="M4212" s="59">
        <f t="shared" si="31"/>
        <v>0</v>
      </c>
    </row>
    <row r="4213" ht="15.0" hidden="1" customHeight="1">
      <c r="A4213" s="59">
        <f t="shared" si="20"/>
        <v>67</v>
      </c>
      <c r="B4213" s="59" t="str">
        <f t="shared" si="21"/>
        <v/>
      </c>
      <c r="C4213" s="59" t="str">
        <f t="shared" si="22"/>
        <v/>
      </c>
      <c r="D4213" s="45" t="str">
        <f t="shared" si="23"/>
        <v/>
      </c>
      <c r="E4213" s="45" t="str">
        <f t="shared" si="24"/>
        <v/>
      </c>
      <c r="F4213" s="59" t="str">
        <f t="shared" si="25"/>
        <v/>
      </c>
      <c r="G4213" s="59" t="str">
        <f t="shared" si="26"/>
        <v/>
      </c>
      <c r="H4213" s="59" t="str">
        <f t="shared" si="27"/>
        <v>28C03695</v>
      </c>
      <c r="I4213" s="59" t="str">
        <f>IF(OR($A4213="",$C4213="",$D4213="",$E4213="",$H4213=""),"",SUMIFS(DATA_GOC!$H:$H,DATA_GOC!$A:$A,"BOM",DATA_GOC!$D:$D,$H4213,DATA_GOC!$E:$E,$C4213,DATA_GOC!$F:$F,"Xuất nội bộ từ téc",DATA_GOC!$B:$B,"&gt;="&amp;$D4213,DATA_GOC!$B:$B,"&lt;="&amp;$E4213))</f>
        <v/>
      </c>
      <c r="J4213" s="59">
        <f t="shared" si="28"/>
        <v>0</v>
      </c>
      <c r="K4213" s="59">
        <f t="shared" si="29"/>
        <v>0</v>
      </c>
      <c r="L4213" s="59">
        <f t="shared" si="30"/>
        <v>0</v>
      </c>
      <c r="M4213" s="59">
        <f t="shared" si="31"/>
        <v>0</v>
      </c>
    </row>
    <row r="4214" ht="15.0" hidden="1" customHeight="1">
      <c r="A4214" s="59">
        <f t="shared" si="20"/>
        <v>67</v>
      </c>
      <c r="B4214" s="59" t="str">
        <f t="shared" si="21"/>
        <v/>
      </c>
      <c r="C4214" s="59" t="str">
        <f t="shared" si="22"/>
        <v/>
      </c>
      <c r="D4214" s="45" t="str">
        <f t="shared" si="23"/>
        <v/>
      </c>
      <c r="E4214" s="45" t="str">
        <f t="shared" si="24"/>
        <v/>
      </c>
      <c r="F4214" s="59" t="str">
        <f t="shared" si="25"/>
        <v/>
      </c>
      <c r="G4214" s="59" t="str">
        <f t="shared" si="26"/>
        <v/>
      </c>
      <c r="H4214" s="59" t="str">
        <f t="shared" si="27"/>
        <v>28C03927</v>
      </c>
      <c r="I4214" s="59" t="str">
        <f>IF(OR($A4214="",$C4214="",$D4214="",$E4214="",$H4214=""),"",SUMIFS(DATA_GOC!$H:$H,DATA_GOC!$A:$A,"BOM",DATA_GOC!$D:$D,$H4214,DATA_GOC!$E:$E,$C4214,DATA_GOC!$F:$F,"Xuất nội bộ từ téc",DATA_GOC!$B:$B,"&gt;="&amp;$D4214,DATA_GOC!$B:$B,"&lt;="&amp;$E4214))</f>
        <v/>
      </c>
      <c r="J4214" s="59">
        <f t="shared" si="28"/>
        <v>0</v>
      </c>
      <c r="K4214" s="59">
        <f t="shared" si="29"/>
        <v>0</v>
      </c>
      <c r="L4214" s="59">
        <f t="shared" si="30"/>
        <v>0</v>
      </c>
      <c r="M4214" s="59">
        <f t="shared" si="31"/>
        <v>0</v>
      </c>
    </row>
    <row r="4215" ht="15.0" hidden="1" customHeight="1">
      <c r="A4215" s="59">
        <f t="shared" si="20"/>
        <v>67</v>
      </c>
      <c r="B4215" s="59" t="str">
        <f t="shared" si="21"/>
        <v/>
      </c>
      <c r="C4215" s="59" t="str">
        <f t="shared" si="22"/>
        <v/>
      </c>
      <c r="D4215" s="45" t="str">
        <f t="shared" si="23"/>
        <v/>
      </c>
      <c r="E4215" s="45" t="str">
        <f t="shared" si="24"/>
        <v/>
      </c>
      <c r="F4215" s="59" t="str">
        <f t="shared" si="25"/>
        <v/>
      </c>
      <c r="G4215" s="59" t="str">
        <f t="shared" si="26"/>
        <v/>
      </c>
      <c r="H4215" s="59" t="str">
        <f t="shared" si="27"/>
        <v>28C04509</v>
      </c>
      <c r="I4215" s="59" t="str">
        <f>IF(OR($A4215="",$C4215="",$D4215="",$E4215="",$H4215=""),"",SUMIFS(DATA_GOC!$H:$H,DATA_GOC!$A:$A,"BOM",DATA_GOC!$D:$D,$H4215,DATA_GOC!$E:$E,$C4215,DATA_GOC!$F:$F,"Xuất nội bộ từ téc",DATA_GOC!$B:$B,"&gt;="&amp;$D4215,DATA_GOC!$B:$B,"&lt;="&amp;$E4215))</f>
        <v/>
      </c>
      <c r="J4215" s="59">
        <f t="shared" si="28"/>
        <v>0</v>
      </c>
      <c r="K4215" s="59">
        <f t="shared" si="29"/>
        <v>0</v>
      </c>
      <c r="L4215" s="59">
        <f t="shared" si="30"/>
        <v>0</v>
      </c>
      <c r="M4215" s="59">
        <f t="shared" si="31"/>
        <v>0</v>
      </c>
    </row>
    <row r="4216" ht="15.0" hidden="1" customHeight="1">
      <c r="A4216" s="59">
        <f t="shared" si="20"/>
        <v>67</v>
      </c>
      <c r="B4216" s="59" t="str">
        <f t="shared" si="21"/>
        <v/>
      </c>
      <c r="C4216" s="59" t="str">
        <f t="shared" si="22"/>
        <v/>
      </c>
      <c r="D4216" s="45" t="str">
        <f t="shared" si="23"/>
        <v/>
      </c>
      <c r="E4216" s="45" t="str">
        <f t="shared" si="24"/>
        <v/>
      </c>
      <c r="F4216" s="59" t="str">
        <f t="shared" si="25"/>
        <v/>
      </c>
      <c r="G4216" s="59" t="str">
        <f t="shared" si="26"/>
        <v/>
      </c>
      <c r="H4216" s="59" t="str">
        <f t="shared" si="27"/>
        <v>28C04536</v>
      </c>
      <c r="I4216" s="59" t="str">
        <f>IF(OR($A4216="",$C4216="",$D4216="",$E4216="",$H4216=""),"",SUMIFS(DATA_GOC!$H:$H,DATA_GOC!$A:$A,"BOM",DATA_GOC!$D:$D,$H4216,DATA_GOC!$E:$E,$C4216,DATA_GOC!$F:$F,"Xuất nội bộ từ téc",DATA_GOC!$B:$B,"&gt;="&amp;$D4216,DATA_GOC!$B:$B,"&lt;="&amp;$E4216))</f>
        <v/>
      </c>
      <c r="J4216" s="59">
        <f t="shared" si="28"/>
        <v>0</v>
      </c>
      <c r="K4216" s="59">
        <f t="shared" si="29"/>
        <v>0</v>
      </c>
      <c r="L4216" s="59">
        <f t="shared" si="30"/>
        <v>0</v>
      </c>
      <c r="M4216" s="59">
        <f t="shared" si="31"/>
        <v>0</v>
      </c>
    </row>
    <row r="4217" ht="15.0" hidden="1" customHeight="1">
      <c r="A4217" s="59">
        <f t="shared" si="20"/>
        <v>67</v>
      </c>
      <c r="B4217" s="59" t="str">
        <f t="shared" si="21"/>
        <v/>
      </c>
      <c r="C4217" s="59" t="str">
        <f t="shared" si="22"/>
        <v/>
      </c>
      <c r="D4217" s="45" t="str">
        <f t="shared" si="23"/>
        <v/>
      </c>
      <c r="E4217" s="45" t="str">
        <f t="shared" si="24"/>
        <v/>
      </c>
      <c r="F4217" s="59" t="str">
        <f t="shared" si="25"/>
        <v/>
      </c>
      <c r="G4217" s="59" t="str">
        <f t="shared" si="26"/>
        <v/>
      </c>
      <c r="H4217" s="59" t="str">
        <f t="shared" si="27"/>
        <v>28C04576</v>
      </c>
      <c r="I4217" s="59" t="str">
        <f>IF(OR($A4217="",$C4217="",$D4217="",$E4217="",$H4217=""),"",SUMIFS(DATA_GOC!$H:$H,DATA_GOC!$A:$A,"BOM",DATA_GOC!$D:$D,$H4217,DATA_GOC!$E:$E,$C4217,DATA_GOC!$F:$F,"Xuất nội bộ từ téc",DATA_GOC!$B:$B,"&gt;="&amp;$D4217,DATA_GOC!$B:$B,"&lt;="&amp;$E4217))</f>
        <v/>
      </c>
      <c r="J4217" s="59">
        <f t="shared" si="28"/>
        <v>0</v>
      </c>
      <c r="K4217" s="59">
        <f t="shared" si="29"/>
        <v>0</v>
      </c>
      <c r="L4217" s="59">
        <f t="shared" si="30"/>
        <v>0</v>
      </c>
      <c r="M4217" s="59">
        <f t="shared" si="31"/>
        <v>0</v>
      </c>
    </row>
    <row r="4218" ht="15.0" hidden="1" customHeight="1">
      <c r="A4218" s="59">
        <f t="shared" si="20"/>
        <v>67</v>
      </c>
      <c r="B4218" s="59" t="str">
        <f t="shared" si="21"/>
        <v/>
      </c>
      <c r="C4218" s="59" t="str">
        <f t="shared" si="22"/>
        <v/>
      </c>
      <c r="D4218" s="45" t="str">
        <f t="shared" si="23"/>
        <v/>
      </c>
      <c r="E4218" s="45" t="str">
        <f t="shared" si="24"/>
        <v/>
      </c>
      <c r="F4218" s="59" t="str">
        <f t="shared" si="25"/>
        <v/>
      </c>
      <c r="G4218" s="59" t="str">
        <f t="shared" si="26"/>
        <v/>
      </c>
      <c r="H4218" s="59" t="str">
        <f t="shared" si="27"/>
        <v>28C05090</v>
      </c>
      <c r="I4218" s="59" t="str">
        <f>IF(OR($A4218="",$C4218="",$D4218="",$E4218="",$H4218=""),"",SUMIFS(DATA_GOC!$H:$H,DATA_GOC!$A:$A,"BOM",DATA_GOC!$D:$D,$H4218,DATA_GOC!$E:$E,$C4218,DATA_GOC!$F:$F,"Xuất nội bộ từ téc",DATA_GOC!$B:$B,"&gt;="&amp;$D4218,DATA_GOC!$B:$B,"&lt;="&amp;$E4218))</f>
        <v/>
      </c>
      <c r="J4218" s="59">
        <f t="shared" si="28"/>
        <v>0</v>
      </c>
      <c r="K4218" s="59">
        <f t="shared" si="29"/>
        <v>0</v>
      </c>
      <c r="L4218" s="59">
        <f t="shared" si="30"/>
        <v>0</v>
      </c>
      <c r="M4218" s="59">
        <f t="shared" si="31"/>
        <v>0</v>
      </c>
    </row>
    <row r="4219" ht="15.0" hidden="1" customHeight="1">
      <c r="A4219" s="59">
        <f t="shared" si="20"/>
        <v>67</v>
      </c>
      <c r="B4219" s="59" t="str">
        <f t="shared" si="21"/>
        <v/>
      </c>
      <c r="C4219" s="59" t="str">
        <f t="shared" si="22"/>
        <v/>
      </c>
      <c r="D4219" s="45" t="str">
        <f t="shared" si="23"/>
        <v/>
      </c>
      <c r="E4219" s="45" t="str">
        <f t="shared" si="24"/>
        <v/>
      </c>
      <c r="F4219" s="59" t="str">
        <f t="shared" si="25"/>
        <v/>
      </c>
      <c r="G4219" s="59" t="str">
        <f t="shared" si="26"/>
        <v/>
      </c>
      <c r="H4219" s="59" t="str">
        <f t="shared" si="27"/>
        <v>28C05345</v>
      </c>
      <c r="I4219" s="59" t="str">
        <f>IF(OR($A4219="",$C4219="",$D4219="",$E4219="",$H4219=""),"",SUMIFS(DATA_GOC!$H:$H,DATA_GOC!$A:$A,"BOM",DATA_GOC!$D:$D,$H4219,DATA_GOC!$E:$E,$C4219,DATA_GOC!$F:$F,"Xuất nội bộ từ téc",DATA_GOC!$B:$B,"&gt;="&amp;$D4219,DATA_GOC!$B:$B,"&lt;="&amp;$E4219))</f>
        <v/>
      </c>
      <c r="J4219" s="59">
        <f t="shared" si="28"/>
        <v>0</v>
      </c>
      <c r="K4219" s="59">
        <f t="shared" si="29"/>
        <v>0</v>
      </c>
      <c r="L4219" s="59">
        <f t="shared" si="30"/>
        <v>0</v>
      </c>
      <c r="M4219" s="59">
        <f t="shared" si="31"/>
        <v>0</v>
      </c>
    </row>
    <row r="4220" ht="15.0" hidden="1" customHeight="1">
      <c r="A4220" s="59">
        <f t="shared" si="20"/>
        <v>67</v>
      </c>
      <c r="B4220" s="59" t="str">
        <f t="shared" si="21"/>
        <v/>
      </c>
      <c r="C4220" s="59" t="str">
        <f t="shared" si="22"/>
        <v/>
      </c>
      <c r="D4220" s="45" t="str">
        <f t="shared" si="23"/>
        <v/>
      </c>
      <c r="E4220" s="45" t="str">
        <f t="shared" si="24"/>
        <v/>
      </c>
      <c r="F4220" s="59" t="str">
        <f t="shared" si="25"/>
        <v/>
      </c>
      <c r="G4220" s="59" t="str">
        <f t="shared" si="26"/>
        <v/>
      </c>
      <c r="H4220" s="59" t="str">
        <f t="shared" si="27"/>
        <v>28C05661</v>
      </c>
      <c r="I4220" s="59" t="str">
        <f>IF(OR($A4220="",$C4220="",$D4220="",$E4220="",$H4220=""),"",SUMIFS(DATA_GOC!$H:$H,DATA_GOC!$A:$A,"BOM",DATA_GOC!$D:$D,$H4220,DATA_GOC!$E:$E,$C4220,DATA_GOC!$F:$F,"Xuất nội bộ từ téc",DATA_GOC!$B:$B,"&gt;="&amp;$D4220,DATA_GOC!$B:$B,"&lt;="&amp;$E4220))</f>
        <v/>
      </c>
      <c r="J4220" s="59">
        <f t="shared" si="28"/>
        <v>0</v>
      </c>
      <c r="K4220" s="59">
        <f t="shared" si="29"/>
        <v>0</v>
      </c>
      <c r="L4220" s="59">
        <f t="shared" si="30"/>
        <v>0</v>
      </c>
      <c r="M4220" s="59">
        <f t="shared" si="31"/>
        <v>0</v>
      </c>
    </row>
    <row r="4221" ht="15.0" hidden="1" customHeight="1">
      <c r="A4221" s="59">
        <f t="shared" si="20"/>
        <v>67</v>
      </c>
      <c r="B4221" s="59" t="str">
        <f t="shared" si="21"/>
        <v/>
      </c>
      <c r="C4221" s="59" t="str">
        <f t="shared" si="22"/>
        <v/>
      </c>
      <c r="D4221" s="45" t="str">
        <f t="shared" si="23"/>
        <v/>
      </c>
      <c r="E4221" s="45" t="str">
        <f t="shared" si="24"/>
        <v/>
      </c>
      <c r="F4221" s="59" t="str">
        <f t="shared" si="25"/>
        <v/>
      </c>
      <c r="G4221" s="59" t="str">
        <f t="shared" si="26"/>
        <v/>
      </c>
      <c r="H4221" s="59" t="str">
        <f t="shared" si="27"/>
        <v>28C05739</v>
      </c>
      <c r="I4221" s="59" t="str">
        <f>IF(OR($A4221="",$C4221="",$D4221="",$E4221="",$H4221=""),"",SUMIFS(DATA_GOC!$H:$H,DATA_GOC!$A:$A,"BOM",DATA_GOC!$D:$D,$H4221,DATA_GOC!$E:$E,$C4221,DATA_GOC!$F:$F,"Xuất nội bộ từ téc",DATA_GOC!$B:$B,"&gt;="&amp;$D4221,DATA_GOC!$B:$B,"&lt;="&amp;$E4221))</f>
        <v/>
      </c>
      <c r="J4221" s="59">
        <f t="shared" si="28"/>
        <v>0</v>
      </c>
      <c r="K4221" s="59">
        <f t="shared" si="29"/>
        <v>0</v>
      </c>
      <c r="L4221" s="59">
        <f t="shared" si="30"/>
        <v>0</v>
      </c>
      <c r="M4221" s="59">
        <f t="shared" si="31"/>
        <v>0</v>
      </c>
    </row>
    <row r="4222" ht="15.0" hidden="1" customHeight="1">
      <c r="A4222" s="59">
        <f t="shared" si="20"/>
        <v>67</v>
      </c>
      <c r="B4222" s="59" t="str">
        <f t="shared" si="21"/>
        <v/>
      </c>
      <c r="C4222" s="59" t="str">
        <f t="shared" si="22"/>
        <v/>
      </c>
      <c r="D4222" s="45" t="str">
        <f t="shared" si="23"/>
        <v/>
      </c>
      <c r="E4222" s="45" t="str">
        <f t="shared" si="24"/>
        <v/>
      </c>
      <c r="F4222" s="59" t="str">
        <f t="shared" si="25"/>
        <v/>
      </c>
      <c r="G4222" s="59" t="str">
        <f t="shared" si="26"/>
        <v/>
      </c>
      <c r="H4222" s="59" t="str">
        <f t="shared" si="27"/>
        <v>28C06369</v>
      </c>
      <c r="I4222" s="59" t="str">
        <f>IF(OR($A4222="",$C4222="",$D4222="",$E4222="",$H4222=""),"",SUMIFS(DATA_GOC!$H:$H,DATA_GOC!$A:$A,"BOM",DATA_GOC!$D:$D,$H4222,DATA_GOC!$E:$E,$C4222,DATA_GOC!$F:$F,"Xuất nội bộ từ téc",DATA_GOC!$B:$B,"&gt;="&amp;$D4222,DATA_GOC!$B:$B,"&lt;="&amp;$E4222))</f>
        <v/>
      </c>
      <c r="J4222" s="59">
        <f t="shared" si="28"/>
        <v>0</v>
      </c>
      <c r="K4222" s="59">
        <f t="shared" si="29"/>
        <v>0</v>
      </c>
      <c r="L4222" s="59">
        <f t="shared" si="30"/>
        <v>0</v>
      </c>
      <c r="M4222" s="59">
        <f t="shared" si="31"/>
        <v>0</v>
      </c>
    </row>
    <row r="4223" ht="15.0" hidden="1" customHeight="1">
      <c r="A4223" s="59">
        <f t="shared" si="20"/>
        <v>67</v>
      </c>
      <c r="B4223" s="59" t="str">
        <f t="shared" si="21"/>
        <v/>
      </c>
      <c r="C4223" s="59" t="str">
        <f t="shared" si="22"/>
        <v/>
      </c>
      <c r="D4223" s="45" t="str">
        <f t="shared" si="23"/>
        <v/>
      </c>
      <c r="E4223" s="45" t="str">
        <f t="shared" si="24"/>
        <v/>
      </c>
      <c r="F4223" s="59" t="str">
        <f t="shared" si="25"/>
        <v/>
      </c>
      <c r="G4223" s="59" t="str">
        <f t="shared" si="26"/>
        <v/>
      </c>
      <c r="H4223" s="59" t="str">
        <f t="shared" si="27"/>
        <v>28C06447</v>
      </c>
      <c r="I4223" s="59" t="str">
        <f>IF(OR($A4223="",$C4223="",$D4223="",$E4223="",$H4223=""),"",SUMIFS(DATA_GOC!$H:$H,DATA_GOC!$A:$A,"BOM",DATA_GOC!$D:$D,$H4223,DATA_GOC!$E:$E,$C4223,DATA_GOC!$F:$F,"Xuất nội bộ từ téc",DATA_GOC!$B:$B,"&gt;="&amp;$D4223,DATA_GOC!$B:$B,"&lt;="&amp;$E4223))</f>
        <v/>
      </c>
      <c r="J4223" s="59">
        <f t="shared" si="28"/>
        <v>0</v>
      </c>
      <c r="K4223" s="59">
        <f t="shared" si="29"/>
        <v>0</v>
      </c>
      <c r="L4223" s="59">
        <f t="shared" si="30"/>
        <v>0</v>
      </c>
      <c r="M4223" s="59">
        <f t="shared" si="31"/>
        <v>0</v>
      </c>
    </row>
    <row r="4224" ht="15.0" hidden="1" customHeight="1">
      <c r="A4224" s="59">
        <f t="shared" si="20"/>
        <v>67</v>
      </c>
      <c r="B4224" s="59" t="str">
        <f t="shared" si="21"/>
        <v/>
      </c>
      <c r="C4224" s="59" t="str">
        <f t="shared" si="22"/>
        <v/>
      </c>
      <c r="D4224" s="45" t="str">
        <f t="shared" si="23"/>
        <v/>
      </c>
      <c r="E4224" s="45" t="str">
        <f t="shared" si="24"/>
        <v/>
      </c>
      <c r="F4224" s="59" t="str">
        <f t="shared" si="25"/>
        <v/>
      </c>
      <c r="G4224" s="59" t="str">
        <f t="shared" si="26"/>
        <v/>
      </c>
      <c r="H4224" s="59" t="str">
        <f t="shared" si="27"/>
        <v>28H00003</v>
      </c>
      <c r="I4224" s="59" t="str">
        <f>IF(OR($A4224="",$C4224="",$D4224="",$E4224="",$H4224=""),"",SUMIFS(DATA_GOC!$H:$H,DATA_GOC!$A:$A,"BOM",DATA_GOC!$D:$D,$H4224,DATA_GOC!$E:$E,$C4224,DATA_GOC!$F:$F,"Xuất nội bộ từ téc",DATA_GOC!$B:$B,"&gt;="&amp;$D4224,DATA_GOC!$B:$B,"&lt;="&amp;$E4224))</f>
        <v/>
      </c>
      <c r="J4224" s="59">
        <f t="shared" si="28"/>
        <v>0</v>
      </c>
      <c r="K4224" s="59">
        <f t="shared" si="29"/>
        <v>0</v>
      </c>
      <c r="L4224" s="59">
        <f t="shared" si="30"/>
        <v>0</v>
      </c>
      <c r="M4224" s="59">
        <f t="shared" si="31"/>
        <v>0</v>
      </c>
    </row>
    <row r="4225" ht="15.0" hidden="1" customHeight="1">
      <c r="A4225" s="59">
        <f t="shared" si="20"/>
        <v>67</v>
      </c>
      <c r="B4225" s="59" t="str">
        <f t="shared" si="21"/>
        <v/>
      </c>
      <c r="C4225" s="59" t="str">
        <f t="shared" si="22"/>
        <v/>
      </c>
      <c r="D4225" s="45" t="str">
        <f t="shared" si="23"/>
        <v/>
      </c>
      <c r="E4225" s="45" t="str">
        <f t="shared" si="24"/>
        <v/>
      </c>
      <c r="F4225" s="59" t="str">
        <f t="shared" si="25"/>
        <v/>
      </c>
      <c r="G4225" s="59" t="str">
        <f t="shared" si="26"/>
        <v/>
      </c>
      <c r="H4225" s="59" t="str">
        <f t="shared" si="27"/>
        <v>28H00061</v>
      </c>
      <c r="I4225" s="59" t="str">
        <f>IF(OR($A4225="",$C4225="",$D4225="",$E4225="",$H4225=""),"",SUMIFS(DATA_GOC!$H:$H,DATA_GOC!$A:$A,"BOM",DATA_GOC!$D:$D,$H4225,DATA_GOC!$E:$E,$C4225,DATA_GOC!$F:$F,"Xuất nội bộ từ téc",DATA_GOC!$B:$B,"&gt;="&amp;$D4225,DATA_GOC!$B:$B,"&lt;="&amp;$E4225))</f>
        <v/>
      </c>
      <c r="J4225" s="59">
        <f t="shared" si="28"/>
        <v>0</v>
      </c>
      <c r="K4225" s="59">
        <f t="shared" si="29"/>
        <v>0</v>
      </c>
      <c r="L4225" s="59">
        <f t="shared" si="30"/>
        <v>0</v>
      </c>
      <c r="M4225" s="59">
        <f t="shared" si="31"/>
        <v>0</v>
      </c>
    </row>
    <row r="4226" ht="15.0" hidden="1" customHeight="1">
      <c r="A4226" s="59">
        <f t="shared" si="20"/>
        <v>67</v>
      </c>
      <c r="B4226" s="59" t="str">
        <f t="shared" si="21"/>
        <v/>
      </c>
      <c r="C4226" s="59" t="str">
        <f t="shared" si="22"/>
        <v/>
      </c>
      <c r="D4226" s="45" t="str">
        <f t="shared" si="23"/>
        <v/>
      </c>
      <c r="E4226" s="45" t="str">
        <f t="shared" si="24"/>
        <v/>
      </c>
      <c r="F4226" s="59" t="str">
        <f t="shared" si="25"/>
        <v/>
      </c>
      <c r="G4226" s="59" t="str">
        <f t="shared" si="26"/>
        <v/>
      </c>
      <c r="H4226" s="59" t="str">
        <f t="shared" si="27"/>
        <v>28H00354</v>
      </c>
      <c r="I4226" s="59" t="str">
        <f>IF(OR($A4226="",$C4226="",$D4226="",$E4226="",$H4226=""),"",SUMIFS(DATA_GOC!$H:$H,DATA_GOC!$A:$A,"BOM",DATA_GOC!$D:$D,$H4226,DATA_GOC!$E:$E,$C4226,DATA_GOC!$F:$F,"Xuất nội bộ từ téc",DATA_GOC!$B:$B,"&gt;="&amp;$D4226,DATA_GOC!$B:$B,"&lt;="&amp;$E4226))</f>
        <v/>
      </c>
      <c r="J4226" s="59">
        <f t="shared" si="28"/>
        <v>0</v>
      </c>
      <c r="K4226" s="59">
        <f t="shared" si="29"/>
        <v>0</v>
      </c>
      <c r="L4226" s="59">
        <f t="shared" si="30"/>
        <v>0</v>
      </c>
      <c r="M4226" s="59">
        <f t="shared" si="31"/>
        <v>0</v>
      </c>
    </row>
    <row r="4227" ht="15.0" hidden="1" customHeight="1">
      <c r="A4227" s="59">
        <f t="shared" si="20"/>
        <v>67</v>
      </c>
      <c r="B4227" s="59" t="str">
        <f t="shared" si="21"/>
        <v/>
      </c>
      <c r="C4227" s="59" t="str">
        <f t="shared" si="22"/>
        <v/>
      </c>
      <c r="D4227" s="45" t="str">
        <f t="shared" si="23"/>
        <v/>
      </c>
      <c r="E4227" s="45" t="str">
        <f t="shared" si="24"/>
        <v/>
      </c>
      <c r="F4227" s="59" t="str">
        <f t="shared" si="25"/>
        <v/>
      </c>
      <c r="G4227" s="59" t="str">
        <f t="shared" si="26"/>
        <v/>
      </c>
      <c r="H4227" s="59" t="str">
        <f t="shared" si="27"/>
        <v>28H00603</v>
      </c>
      <c r="I4227" s="59" t="str">
        <f>IF(OR($A4227="",$C4227="",$D4227="",$E4227="",$H4227=""),"",SUMIFS(DATA_GOC!$H:$H,DATA_GOC!$A:$A,"BOM",DATA_GOC!$D:$D,$H4227,DATA_GOC!$E:$E,$C4227,DATA_GOC!$F:$F,"Xuất nội bộ từ téc",DATA_GOC!$B:$B,"&gt;="&amp;$D4227,DATA_GOC!$B:$B,"&lt;="&amp;$E4227))</f>
        <v/>
      </c>
      <c r="J4227" s="59">
        <f t="shared" si="28"/>
        <v>0</v>
      </c>
      <c r="K4227" s="59">
        <f t="shared" si="29"/>
        <v>0</v>
      </c>
      <c r="L4227" s="59">
        <f t="shared" si="30"/>
        <v>0</v>
      </c>
      <c r="M4227" s="59">
        <f t="shared" si="31"/>
        <v>0</v>
      </c>
    </row>
    <row r="4228" ht="15.0" hidden="1" customHeight="1">
      <c r="A4228" s="59">
        <f t="shared" si="20"/>
        <v>67</v>
      </c>
      <c r="B4228" s="59" t="str">
        <f t="shared" si="21"/>
        <v/>
      </c>
      <c r="C4228" s="59" t="str">
        <f t="shared" si="22"/>
        <v/>
      </c>
      <c r="D4228" s="45" t="str">
        <f t="shared" si="23"/>
        <v/>
      </c>
      <c r="E4228" s="45" t="str">
        <f t="shared" si="24"/>
        <v/>
      </c>
      <c r="F4228" s="59" t="str">
        <f t="shared" si="25"/>
        <v/>
      </c>
      <c r="G4228" s="59" t="str">
        <f t="shared" si="26"/>
        <v/>
      </c>
      <c r="H4228" s="59" t="str">
        <f t="shared" si="27"/>
        <v>28H00609</v>
      </c>
      <c r="I4228" s="59" t="str">
        <f>IF(OR($A4228="",$C4228="",$D4228="",$E4228="",$H4228=""),"",SUMIFS(DATA_GOC!$H:$H,DATA_GOC!$A:$A,"BOM",DATA_GOC!$D:$D,$H4228,DATA_GOC!$E:$E,$C4228,DATA_GOC!$F:$F,"Xuất nội bộ từ téc",DATA_GOC!$B:$B,"&gt;="&amp;$D4228,DATA_GOC!$B:$B,"&lt;="&amp;$E4228))</f>
        <v/>
      </c>
      <c r="J4228" s="59">
        <f t="shared" si="28"/>
        <v>0</v>
      </c>
      <c r="K4228" s="59">
        <f t="shared" si="29"/>
        <v>0</v>
      </c>
      <c r="L4228" s="59">
        <f t="shared" si="30"/>
        <v>0</v>
      </c>
      <c r="M4228" s="59">
        <f t="shared" si="31"/>
        <v>0</v>
      </c>
    </row>
    <row r="4229" ht="15.0" hidden="1" customHeight="1">
      <c r="A4229" s="59">
        <f t="shared" si="20"/>
        <v>67</v>
      </c>
      <c r="B4229" s="59" t="str">
        <f t="shared" si="21"/>
        <v/>
      </c>
      <c r="C4229" s="59" t="str">
        <f t="shared" si="22"/>
        <v/>
      </c>
      <c r="D4229" s="45" t="str">
        <f t="shared" si="23"/>
        <v/>
      </c>
      <c r="E4229" s="45" t="str">
        <f t="shared" si="24"/>
        <v/>
      </c>
      <c r="F4229" s="59" t="str">
        <f t="shared" si="25"/>
        <v/>
      </c>
      <c r="G4229" s="59" t="str">
        <f t="shared" si="26"/>
        <v/>
      </c>
      <c r="H4229" s="59" t="str">
        <f t="shared" si="27"/>
        <v>28H00669</v>
      </c>
      <c r="I4229" s="59" t="str">
        <f>IF(OR($A4229="",$C4229="",$D4229="",$E4229="",$H4229=""),"",SUMIFS(DATA_GOC!$H:$H,DATA_GOC!$A:$A,"BOM",DATA_GOC!$D:$D,$H4229,DATA_GOC!$E:$E,$C4229,DATA_GOC!$F:$F,"Xuất nội bộ từ téc",DATA_GOC!$B:$B,"&gt;="&amp;$D4229,DATA_GOC!$B:$B,"&lt;="&amp;$E4229))</f>
        <v/>
      </c>
      <c r="J4229" s="59">
        <f t="shared" si="28"/>
        <v>0</v>
      </c>
      <c r="K4229" s="59">
        <f t="shared" si="29"/>
        <v>0</v>
      </c>
      <c r="L4229" s="59">
        <f t="shared" si="30"/>
        <v>0</v>
      </c>
      <c r="M4229" s="59">
        <f t="shared" si="31"/>
        <v>0</v>
      </c>
    </row>
    <row r="4230" ht="15.0" hidden="1" customHeight="1">
      <c r="A4230" s="59">
        <f t="shared" si="20"/>
        <v>67</v>
      </c>
      <c r="B4230" s="59" t="str">
        <f t="shared" si="21"/>
        <v/>
      </c>
      <c r="C4230" s="59" t="str">
        <f t="shared" si="22"/>
        <v/>
      </c>
      <c r="D4230" s="45" t="str">
        <f t="shared" si="23"/>
        <v/>
      </c>
      <c r="E4230" s="45" t="str">
        <f t="shared" si="24"/>
        <v/>
      </c>
      <c r="F4230" s="59" t="str">
        <f t="shared" si="25"/>
        <v/>
      </c>
      <c r="G4230" s="59" t="str">
        <f t="shared" si="26"/>
        <v/>
      </c>
      <c r="H4230" s="59" t="str">
        <f t="shared" si="27"/>
        <v>28H00680</v>
      </c>
      <c r="I4230" s="59" t="str">
        <f>IF(OR($A4230="",$C4230="",$D4230="",$E4230="",$H4230=""),"",SUMIFS(DATA_GOC!$H:$H,DATA_GOC!$A:$A,"BOM",DATA_GOC!$D:$D,$H4230,DATA_GOC!$E:$E,$C4230,DATA_GOC!$F:$F,"Xuất nội bộ từ téc",DATA_GOC!$B:$B,"&gt;="&amp;$D4230,DATA_GOC!$B:$B,"&lt;="&amp;$E4230))</f>
        <v/>
      </c>
      <c r="J4230" s="59">
        <f t="shared" si="28"/>
        <v>0</v>
      </c>
      <c r="K4230" s="59">
        <f t="shared" si="29"/>
        <v>0</v>
      </c>
      <c r="L4230" s="59">
        <f t="shared" si="30"/>
        <v>0</v>
      </c>
      <c r="M4230" s="59">
        <f t="shared" si="31"/>
        <v>0</v>
      </c>
    </row>
    <row r="4231" ht="15.0" hidden="1" customHeight="1">
      <c r="A4231" s="59">
        <f t="shared" si="20"/>
        <v>67</v>
      </c>
      <c r="B4231" s="59" t="str">
        <f t="shared" si="21"/>
        <v/>
      </c>
      <c r="C4231" s="59" t="str">
        <f t="shared" si="22"/>
        <v/>
      </c>
      <c r="D4231" s="45" t="str">
        <f t="shared" si="23"/>
        <v/>
      </c>
      <c r="E4231" s="45" t="str">
        <f t="shared" si="24"/>
        <v/>
      </c>
      <c r="F4231" s="59" t="str">
        <f t="shared" si="25"/>
        <v/>
      </c>
      <c r="G4231" s="59" t="str">
        <f t="shared" si="26"/>
        <v/>
      </c>
      <c r="H4231" s="59" t="str">
        <f t="shared" si="27"/>
        <v>28H01070</v>
      </c>
      <c r="I4231" s="59" t="str">
        <f>IF(OR($A4231="",$C4231="",$D4231="",$E4231="",$H4231=""),"",SUMIFS(DATA_GOC!$H:$H,DATA_GOC!$A:$A,"BOM",DATA_GOC!$D:$D,$H4231,DATA_GOC!$E:$E,$C4231,DATA_GOC!$F:$F,"Xuất nội bộ từ téc",DATA_GOC!$B:$B,"&gt;="&amp;$D4231,DATA_GOC!$B:$B,"&lt;="&amp;$E4231))</f>
        <v/>
      </c>
      <c r="J4231" s="59">
        <f t="shared" si="28"/>
        <v>0</v>
      </c>
      <c r="K4231" s="59">
        <f t="shared" si="29"/>
        <v>0</v>
      </c>
      <c r="L4231" s="59">
        <f t="shared" si="30"/>
        <v>0</v>
      </c>
      <c r="M4231" s="59">
        <f t="shared" si="31"/>
        <v>0</v>
      </c>
    </row>
    <row r="4232" ht="15.0" hidden="1" customHeight="1">
      <c r="A4232" s="59">
        <f t="shared" si="20"/>
        <v>67</v>
      </c>
      <c r="B4232" s="59" t="str">
        <f t="shared" si="21"/>
        <v/>
      </c>
      <c r="C4232" s="59" t="str">
        <f t="shared" si="22"/>
        <v/>
      </c>
      <c r="D4232" s="45" t="str">
        <f t="shared" si="23"/>
        <v/>
      </c>
      <c r="E4232" s="45" t="str">
        <f t="shared" si="24"/>
        <v/>
      </c>
      <c r="F4232" s="59" t="str">
        <f t="shared" si="25"/>
        <v/>
      </c>
      <c r="G4232" s="59" t="str">
        <f t="shared" si="26"/>
        <v/>
      </c>
      <c r="H4232" s="59" t="str">
        <f t="shared" si="27"/>
        <v>28H01364</v>
      </c>
      <c r="I4232" s="59" t="str">
        <f>IF(OR($A4232="",$C4232="",$D4232="",$E4232="",$H4232=""),"",SUMIFS(DATA_GOC!$H:$H,DATA_GOC!$A:$A,"BOM",DATA_GOC!$D:$D,$H4232,DATA_GOC!$E:$E,$C4232,DATA_GOC!$F:$F,"Xuất nội bộ từ téc",DATA_GOC!$B:$B,"&gt;="&amp;$D4232,DATA_GOC!$B:$B,"&lt;="&amp;$E4232))</f>
        <v/>
      </c>
      <c r="J4232" s="59">
        <f t="shared" si="28"/>
        <v>0</v>
      </c>
      <c r="K4232" s="59">
        <f t="shared" si="29"/>
        <v>0</v>
      </c>
      <c r="L4232" s="59">
        <f t="shared" si="30"/>
        <v>0</v>
      </c>
      <c r="M4232" s="59">
        <f t="shared" si="31"/>
        <v>0</v>
      </c>
    </row>
    <row r="4233" ht="15.0" hidden="1" customHeight="1">
      <c r="A4233" s="59">
        <f t="shared" si="20"/>
        <v>67</v>
      </c>
      <c r="B4233" s="59" t="str">
        <f t="shared" si="21"/>
        <v/>
      </c>
      <c r="C4233" s="59" t="str">
        <f t="shared" si="22"/>
        <v/>
      </c>
      <c r="D4233" s="45" t="str">
        <f t="shared" si="23"/>
        <v/>
      </c>
      <c r="E4233" s="45" t="str">
        <f t="shared" si="24"/>
        <v/>
      </c>
      <c r="F4233" s="59" t="str">
        <f t="shared" si="25"/>
        <v/>
      </c>
      <c r="G4233" s="59" t="str">
        <f t="shared" si="26"/>
        <v/>
      </c>
      <c r="H4233" s="59" t="str">
        <f t="shared" si="27"/>
        <v>29E17269</v>
      </c>
      <c r="I4233" s="59" t="str">
        <f>IF(OR($A4233="",$C4233="",$D4233="",$E4233="",$H4233=""),"",SUMIFS(DATA_GOC!$H:$H,DATA_GOC!$A:$A,"BOM",DATA_GOC!$D:$D,$H4233,DATA_GOC!$E:$E,$C4233,DATA_GOC!$F:$F,"Xuất nội bộ từ téc",DATA_GOC!$B:$B,"&gt;="&amp;$D4233,DATA_GOC!$B:$B,"&lt;="&amp;$E4233))</f>
        <v/>
      </c>
      <c r="J4233" s="59">
        <f t="shared" si="28"/>
        <v>0</v>
      </c>
      <c r="K4233" s="59">
        <f t="shared" si="29"/>
        <v>0</v>
      </c>
      <c r="L4233" s="59">
        <f t="shared" si="30"/>
        <v>0</v>
      </c>
      <c r="M4233" s="59">
        <f t="shared" si="31"/>
        <v>0</v>
      </c>
    </row>
    <row r="4234" ht="15.0" hidden="1" customHeight="1">
      <c r="A4234" s="59">
        <f t="shared" si="20"/>
        <v>67</v>
      </c>
      <c r="B4234" s="59" t="str">
        <f t="shared" si="21"/>
        <v/>
      </c>
      <c r="C4234" s="59" t="str">
        <f t="shared" si="22"/>
        <v/>
      </c>
      <c r="D4234" s="45" t="str">
        <f t="shared" si="23"/>
        <v/>
      </c>
      <c r="E4234" s="45" t="str">
        <f t="shared" si="24"/>
        <v/>
      </c>
      <c r="F4234" s="59" t="str">
        <f t="shared" si="25"/>
        <v/>
      </c>
      <c r="G4234" s="59" t="str">
        <f t="shared" si="26"/>
        <v/>
      </c>
      <c r="H4234" s="59" t="str">
        <f t="shared" si="27"/>
        <v>29E17273</v>
      </c>
      <c r="I4234" s="59" t="str">
        <f>IF(OR($A4234="",$C4234="",$D4234="",$E4234="",$H4234=""),"",SUMIFS(DATA_GOC!$H:$H,DATA_GOC!$A:$A,"BOM",DATA_GOC!$D:$D,$H4234,DATA_GOC!$E:$E,$C4234,DATA_GOC!$F:$F,"Xuất nội bộ từ téc",DATA_GOC!$B:$B,"&gt;="&amp;$D4234,DATA_GOC!$B:$B,"&lt;="&amp;$E4234))</f>
        <v/>
      </c>
      <c r="J4234" s="59">
        <f t="shared" si="28"/>
        <v>0</v>
      </c>
      <c r="K4234" s="59">
        <f t="shared" si="29"/>
        <v>0</v>
      </c>
      <c r="L4234" s="59">
        <f t="shared" si="30"/>
        <v>0</v>
      </c>
      <c r="M4234" s="59">
        <f t="shared" si="31"/>
        <v>0</v>
      </c>
    </row>
    <row r="4235" ht="15.0" hidden="1" customHeight="1">
      <c r="A4235" s="59">
        <f t="shared" si="20"/>
        <v>67</v>
      </c>
      <c r="B4235" s="59" t="str">
        <f t="shared" si="21"/>
        <v/>
      </c>
      <c r="C4235" s="59" t="str">
        <f t="shared" si="22"/>
        <v/>
      </c>
      <c r="D4235" s="45" t="str">
        <f t="shared" si="23"/>
        <v/>
      </c>
      <c r="E4235" s="45" t="str">
        <f t="shared" si="24"/>
        <v/>
      </c>
      <c r="F4235" s="59" t="str">
        <f t="shared" si="25"/>
        <v/>
      </c>
      <c r="G4235" s="59" t="str">
        <f t="shared" si="26"/>
        <v/>
      </c>
      <c r="H4235" s="59" t="str">
        <f t="shared" si="27"/>
        <v>29E17410</v>
      </c>
      <c r="I4235" s="59" t="str">
        <f>IF(OR($A4235="",$C4235="",$D4235="",$E4235="",$H4235=""),"",SUMIFS(DATA_GOC!$H:$H,DATA_GOC!$A:$A,"BOM",DATA_GOC!$D:$D,$H4235,DATA_GOC!$E:$E,$C4235,DATA_GOC!$F:$F,"Xuất nội bộ từ téc",DATA_GOC!$B:$B,"&gt;="&amp;$D4235,DATA_GOC!$B:$B,"&lt;="&amp;$E4235))</f>
        <v/>
      </c>
      <c r="J4235" s="59">
        <f t="shared" si="28"/>
        <v>0</v>
      </c>
      <c r="K4235" s="59">
        <f t="shared" si="29"/>
        <v>0</v>
      </c>
      <c r="L4235" s="59">
        <f t="shared" si="30"/>
        <v>0</v>
      </c>
      <c r="M4235" s="59">
        <f t="shared" si="31"/>
        <v>0</v>
      </c>
    </row>
    <row r="4236" ht="15.0" hidden="1" customHeight="1">
      <c r="A4236" s="59">
        <f t="shared" si="20"/>
        <v>67</v>
      </c>
      <c r="B4236" s="59" t="str">
        <f t="shared" si="21"/>
        <v/>
      </c>
      <c r="C4236" s="59" t="str">
        <f t="shared" si="22"/>
        <v/>
      </c>
      <c r="D4236" s="45" t="str">
        <f t="shared" si="23"/>
        <v/>
      </c>
      <c r="E4236" s="45" t="str">
        <f t="shared" si="24"/>
        <v/>
      </c>
      <c r="F4236" s="59" t="str">
        <f t="shared" si="25"/>
        <v/>
      </c>
      <c r="G4236" s="59" t="str">
        <f t="shared" si="26"/>
        <v/>
      </c>
      <c r="H4236" s="59" t="str">
        <f t="shared" si="27"/>
        <v>29E17417</v>
      </c>
      <c r="I4236" s="59" t="str">
        <f>IF(OR($A4236="",$C4236="",$D4236="",$E4236="",$H4236=""),"",SUMIFS(DATA_GOC!$H:$H,DATA_GOC!$A:$A,"BOM",DATA_GOC!$D:$D,$H4236,DATA_GOC!$E:$E,$C4236,DATA_GOC!$F:$F,"Xuất nội bộ từ téc",DATA_GOC!$B:$B,"&gt;="&amp;$D4236,DATA_GOC!$B:$B,"&lt;="&amp;$E4236))</f>
        <v/>
      </c>
      <c r="J4236" s="59">
        <f t="shared" si="28"/>
        <v>0</v>
      </c>
      <c r="K4236" s="59">
        <f t="shared" si="29"/>
        <v>0</v>
      </c>
      <c r="L4236" s="59">
        <f t="shared" si="30"/>
        <v>0</v>
      </c>
      <c r="M4236" s="59">
        <f t="shared" si="31"/>
        <v>0</v>
      </c>
    </row>
    <row r="4237" ht="15.0" hidden="1" customHeight="1">
      <c r="A4237" s="59">
        <f t="shared" si="20"/>
        <v>67</v>
      </c>
      <c r="B4237" s="59" t="str">
        <f t="shared" si="21"/>
        <v/>
      </c>
      <c r="C4237" s="59" t="str">
        <f t="shared" si="22"/>
        <v/>
      </c>
      <c r="D4237" s="45" t="str">
        <f t="shared" si="23"/>
        <v/>
      </c>
      <c r="E4237" s="45" t="str">
        <f t="shared" si="24"/>
        <v/>
      </c>
      <c r="F4237" s="59" t="str">
        <f t="shared" si="25"/>
        <v/>
      </c>
      <c r="G4237" s="59" t="str">
        <f t="shared" si="26"/>
        <v/>
      </c>
      <c r="H4237" s="59" t="str">
        <f t="shared" si="27"/>
        <v>29E17539</v>
      </c>
      <c r="I4237" s="59" t="str">
        <f>IF(OR($A4237="",$C4237="",$D4237="",$E4237="",$H4237=""),"",SUMIFS(DATA_GOC!$H:$H,DATA_GOC!$A:$A,"BOM",DATA_GOC!$D:$D,$H4237,DATA_GOC!$E:$E,$C4237,DATA_GOC!$F:$F,"Xuất nội bộ từ téc",DATA_GOC!$B:$B,"&gt;="&amp;$D4237,DATA_GOC!$B:$B,"&lt;="&amp;$E4237))</f>
        <v/>
      </c>
      <c r="J4237" s="59">
        <f t="shared" si="28"/>
        <v>0</v>
      </c>
      <c r="K4237" s="59">
        <f t="shared" si="29"/>
        <v>0</v>
      </c>
      <c r="L4237" s="59">
        <f t="shared" si="30"/>
        <v>0</v>
      </c>
      <c r="M4237" s="59">
        <f t="shared" si="31"/>
        <v>0</v>
      </c>
    </row>
    <row r="4238" ht="15.0" hidden="1" customHeight="1">
      <c r="A4238" s="59">
        <f t="shared" si="20"/>
        <v>67</v>
      </c>
      <c r="B4238" s="59" t="str">
        <f t="shared" si="21"/>
        <v/>
      </c>
      <c r="C4238" s="59" t="str">
        <f t="shared" si="22"/>
        <v/>
      </c>
      <c r="D4238" s="45" t="str">
        <f t="shared" si="23"/>
        <v/>
      </c>
      <c r="E4238" s="45" t="str">
        <f t="shared" si="24"/>
        <v/>
      </c>
      <c r="F4238" s="59" t="str">
        <f t="shared" si="25"/>
        <v/>
      </c>
      <c r="G4238" s="59" t="str">
        <f t="shared" si="26"/>
        <v/>
      </c>
      <c r="H4238" s="59" t="str">
        <f t="shared" si="27"/>
        <v>29E18160</v>
      </c>
      <c r="I4238" s="59" t="str">
        <f>IF(OR($A4238="",$C4238="",$D4238="",$E4238="",$H4238=""),"",SUMIFS(DATA_GOC!$H:$H,DATA_GOC!$A:$A,"BOM",DATA_GOC!$D:$D,$H4238,DATA_GOC!$E:$E,$C4238,DATA_GOC!$F:$F,"Xuất nội bộ từ téc",DATA_GOC!$B:$B,"&gt;="&amp;$D4238,DATA_GOC!$B:$B,"&lt;="&amp;$E4238))</f>
        <v/>
      </c>
      <c r="J4238" s="59">
        <f t="shared" si="28"/>
        <v>0</v>
      </c>
      <c r="K4238" s="59">
        <f t="shared" si="29"/>
        <v>0</v>
      </c>
      <c r="L4238" s="59">
        <f t="shared" si="30"/>
        <v>0</v>
      </c>
      <c r="M4238" s="59">
        <f t="shared" si="31"/>
        <v>0</v>
      </c>
    </row>
    <row r="4239" ht="15.0" hidden="1" customHeight="1">
      <c r="A4239" s="59">
        <f t="shared" si="20"/>
        <v>67</v>
      </c>
      <c r="B4239" s="59" t="str">
        <f t="shared" si="21"/>
        <v/>
      </c>
      <c r="C4239" s="59" t="str">
        <f t="shared" si="22"/>
        <v/>
      </c>
      <c r="D4239" s="45" t="str">
        <f t="shared" si="23"/>
        <v/>
      </c>
      <c r="E4239" s="45" t="str">
        <f t="shared" si="24"/>
        <v/>
      </c>
      <c r="F4239" s="59" t="str">
        <f t="shared" si="25"/>
        <v/>
      </c>
      <c r="G4239" s="59" t="str">
        <f t="shared" si="26"/>
        <v/>
      </c>
      <c r="H4239" s="59" t="str">
        <f t="shared" si="27"/>
        <v>Công trình Asphalt</v>
      </c>
      <c r="I4239" s="59" t="str">
        <f>IF(OR($A4239="",$C4239="",$D4239="",$E4239="",$H4239=""),"",SUMIFS(DATA_GOC!$H:$H,DATA_GOC!$A:$A,"BOM",DATA_GOC!$D:$D,$H4239,DATA_GOC!$E:$E,$C4239,DATA_GOC!$F:$F,"Xuất nội bộ từ téc",DATA_GOC!$B:$B,"&gt;="&amp;$D4239,DATA_GOC!$B:$B,"&lt;="&amp;$E4239))</f>
        <v/>
      </c>
      <c r="J4239" s="59">
        <f t="shared" si="28"/>
        <v>0</v>
      </c>
      <c r="K4239" s="59">
        <f t="shared" si="29"/>
        <v>0</v>
      </c>
      <c r="L4239" s="59">
        <f t="shared" si="30"/>
        <v>0</v>
      </c>
      <c r="M4239" s="59">
        <f t="shared" si="31"/>
        <v>0</v>
      </c>
    </row>
    <row r="4240" ht="15.0" hidden="1" customHeight="1">
      <c r="A4240" s="59">
        <f t="shared" si="20"/>
        <v>67</v>
      </c>
      <c r="B4240" s="59" t="str">
        <f t="shared" si="21"/>
        <v/>
      </c>
      <c r="C4240" s="59" t="str">
        <f t="shared" si="22"/>
        <v/>
      </c>
      <c r="D4240" s="45" t="str">
        <f t="shared" si="23"/>
        <v/>
      </c>
      <c r="E4240" s="45" t="str">
        <f t="shared" si="24"/>
        <v/>
      </c>
      <c r="F4240" s="59" t="str">
        <f t="shared" si="25"/>
        <v/>
      </c>
      <c r="G4240" s="59" t="str">
        <f t="shared" si="26"/>
        <v/>
      </c>
      <c r="H4240" s="59" t="str">
        <f t="shared" si="27"/>
        <v>LG53F</v>
      </c>
      <c r="I4240" s="59" t="str">
        <f>IF(OR($A4240="",$C4240="",$D4240="",$E4240="",$H4240=""),"",SUMIFS(DATA_GOC!$H:$H,DATA_GOC!$A:$A,"BOM",DATA_GOC!$D:$D,$H4240,DATA_GOC!$E:$E,$C4240,DATA_GOC!$F:$F,"Xuất nội bộ từ téc",DATA_GOC!$B:$B,"&gt;="&amp;$D4240,DATA_GOC!$B:$B,"&lt;="&amp;$E4240))</f>
        <v/>
      </c>
      <c r="J4240" s="59">
        <f t="shared" si="28"/>
        <v>0</v>
      </c>
      <c r="K4240" s="59">
        <f t="shared" si="29"/>
        <v>0</v>
      </c>
      <c r="L4240" s="59">
        <f t="shared" si="30"/>
        <v>0</v>
      </c>
      <c r="M4240" s="59">
        <f t="shared" si="31"/>
        <v>0</v>
      </c>
    </row>
    <row r="4241" ht="15.0" hidden="1" customHeight="1">
      <c r="A4241" s="59">
        <f t="shared" si="20"/>
        <v>67</v>
      </c>
      <c r="B4241" s="59" t="str">
        <f t="shared" si="21"/>
        <v/>
      </c>
      <c r="C4241" s="59" t="str">
        <f t="shared" si="22"/>
        <v/>
      </c>
      <c r="D4241" s="45" t="str">
        <f t="shared" si="23"/>
        <v/>
      </c>
      <c r="E4241" s="45" t="str">
        <f t="shared" si="24"/>
        <v/>
      </c>
      <c r="F4241" s="59" t="str">
        <f t="shared" si="25"/>
        <v/>
      </c>
      <c r="G4241" s="59" t="str">
        <f t="shared" si="26"/>
        <v/>
      </c>
      <c r="H4241" s="59" t="str">
        <f t="shared" si="27"/>
        <v>Máy phát điện</v>
      </c>
      <c r="I4241" s="59" t="str">
        <f>IF(OR($A4241="",$C4241="",$D4241="",$E4241="",$H4241=""),"",SUMIFS(DATA_GOC!$H:$H,DATA_GOC!$A:$A,"BOM",DATA_GOC!$D:$D,$H4241,DATA_GOC!$E:$E,$C4241,DATA_GOC!$F:$F,"Xuất nội bộ từ téc",DATA_GOC!$B:$B,"&gt;="&amp;$D4241,DATA_GOC!$B:$B,"&lt;="&amp;$E4241))</f>
        <v/>
      </c>
      <c r="J4241" s="59">
        <f t="shared" si="28"/>
        <v>0</v>
      </c>
      <c r="K4241" s="59">
        <f t="shared" si="29"/>
        <v>0</v>
      </c>
      <c r="L4241" s="59">
        <f t="shared" si="30"/>
        <v>0</v>
      </c>
      <c r="M4241" s="59">
        <f t="shared" si="31"/>
        <v>0</v>
      </c>
    </row>
    <row r="4242" ht="15.0" hidden="1" customHeight="1">
      <c r="A4242" s="59">
        <f t="shared" si="20"/>
        <v>67</v>
      </c>
      <c r="B4242" s="59" t="str">
        <f t="shared" si="21"/>
        <v/>
      </c>
      <c r="C4242" s="59" t="str">
        <f t="shared" si="22"/>
        <v/>
      </c>
      <c r="D4242" s="45" t="str">
        <f t="shared" si="23"/>
        <v/>
      </c>
      <c r="E4242" s="45" t="str">
        <f t="shared" si="24"/>
        <v/>
      </c>
      <c r="F4242" s="59" t="str">
        <f t="shared" si="25"/>
        <v/>
      </c>
      <c r="G4242" s="59" t="str">
        <f t="shared" si="26"/>
        <v/>
      </c>
      <c r="H4242" s="59" t="str">
        <f t="shared" si="27"/>
        <v>Máy rải thảm</v>
      </c>
      <c r="I4242" s="59" t="str">
        <f>IF(OR($A4242="",$C4242="",$D4242="",$E4242="",$H4242=""),"",SUMIFS(DATA_GOC!$H:$H,DATA_GOC!$A:$A,"BOM",DATA_GOC!$D:$D,$H4242,DATA_GOC!$E:$E,$C4242,DATA_GOC!$F:$F,"Xuất nội bộ từ téc",DATA_GOC!$B:$B,"&gt;="&amp;$D4242,DATA_GOC!$B:$B,"&lt;="&amp;$E4242))</f>
        <v/>
      </c>
      <c r="J4242" s="59">
        <f t="shared" si="28"/>
        <v>0</v>
      </c>
      <c r="K4242" s="59">
        <f t="shared" si="29"/>
        <v>0</v>
      </c>
      <c r="L4242" s="59">
        <f t="shared" si="30"/>
        <v>0</v>
      </c>
      <c r="M4242" s="59">
        <f t="shared" si="31"/>
        <v>0</v>
      </c>
    </row>
    <row r="4243" ht="15.0" hidden="1" customHeight="1">
      <c r="A4243" s="59">
        <f t="shared" si="20"/>
        <v>67</v>
      </c>
      <c r="B4243" s="59" t="str">
        <f t="shared" si="21"/>
        <v/>
      </c>
      <c r="C4243" s="59" t="str">
        <f t="shared" si="22"/>
        <v/>
      </c>
      <c r="D4243" s="45" t="str">
        <f t="shared" si="23"/>
        <v/>
      </c>
      <c r="E4243" s="45" t="str">
        <f t="shared" si="24"/>
        <v/>
      </c>
      <c r="F4243" s="59" t="str">
        <f t="shared" si="25"/>
        <v/>
      </c>
      <c r="G4243" s="59" t="str">
        <f t="shared" si="26"/>
        <v/>
      </c>
      <c r="H4243" s="59" t="str">
        <f t="shared" si="27"/>
        <v>Xúc Đào</v>
      </c>
      <c r="I4243" s="59" t="str">
        <f>IF(OR($A4243="",$C4243="",$D4243="",$E4243="",$H4243=""),"",SUMIFS(DATA_GOC!$H:$H,DATA_GOC!$A:$A,"BOM",DATA_GOC!$D:$D,$H4243,DATA_GOC!$E:$E,$C4243,DATA_GOC!$F:$F,"Xuất nội bộ từ téc",DATA_GOC!$B:$B,"&gt;="&amp;$D4243,DATA_GOC!$B:$B,"&lt;="&amp;$E4243))</f>
        <v/>
      </c>
      <c r="J4243" s="59">
        <f t="shared" si="28"/>
        <v>0</v>
      </c>
      <c r="K4243" s="59">
        <f t="shared" si="29"/>
        <v>0</v>
      </c>
      <c r="L4243" s="59">
        <f t="shared" si="30"/>
        <v>0</v>
      </c>
      <c r="M4243" s="59">
        <f t="shared" si="31"/>
        <v>0</v>
      </c>
    </row>
    <row r="4244" ht="15.0" hidden="1" customHeight="1">
      <c r="A4244" s="59">
        <f t="shared" si="20"/>
        <v>67</v>
      </c>
      <c r="B4244" s="59" t="str">
        <f t="shared" si="21"/>
        <v/>
      </c>
      <c r="C4244" s="59" t="str">
        <f t="shared" si="22"/>
        <v/>
      </c>
      <c r="D4244" s="45" t="str">
        <f t="shared" si="23"/>
        <v/>
      </c>
      <c r="E4244" s="45" t="str">
        <f t="shared" si="24"/>
        <v/>
      </c>
      <c r="F4244" s="59" t="str">
        <f t="shared" si="25"/>
        <v/>
      </c>
      <c r="G4244" s="59" t="str">
        <f t="shared" si="26"/>
        <v/>
      </c>
      <c r="H4244" s="59" t="str">
        <f t="shared" si="27"/>
        <v>Xúclật asphalt</v>
      </c>
      <c r="I4244" s="59" t="str">
        <f>IF(OR($A4244="",$C4244="",$D4244="",$E4244="",$H4244=""),"",SUMIFS(DATA_GOC!$H:$H,DATA_GOC!$A:$A,"BOM",DATA_GOC!$D:$D,$H4244,DATA_GOC!$E:$E,$C4244,DATA_GOC!$F:$F,"Xuất nội bộ từ téc",DATA_GOC!$B:$B,"&gt;="&amp;$D4244,DATA_GOC!$B:$B,"&lt;="&amp;$E4244))</f>
        <v/>
      </c>
      <c r="J4244" s="59">
        <f t="shared" si="28"/>
        <v>0</v>
      </c>
      <c r="K4244" s="59">
        <f t="shared" si="29"/>
        <v>0</v>
      </c>
      <c r="L4244" s="59">
        <f t="shared" si="30"/>
        <v>0</v>
      </c>
      <c r="M4244" s="59">
        <f t="shared" si="31"/>
        <v>0</v>
      </c>
    </row>
    <row r="4245" ht="15.0" hidden="1" customHeight="1">
      <c r="A4245" s="59">
        <f t="shared" si="20"/>
        <v>67</v>
      </c>
      <c r="B4245" s="59" t="str">
        <f t="shared" si="21"/>
        <v/>
      </c>
      <c r="C4245" s="59" t="str">
        <f t="shared" si="22"/>
        <v/>
      </c>
      <c r="D4245" s="45" t="str">
        <f t="shared" si="23"/>
        <v/>
      </c>
      <c r="E4245" s="45" t="str">
        <f t="shared" si="24"/>
        <v/>
      </c>
      <c r="F4245" s="59" t="str">
        <f t="shared" si="25"/>
        <v/>
      </c>
      <c r="G4245" s="59" t="str">
        <f t="shared" si="26"/>
        <v/>
      </c>
      <c r="H4245" s="59" t="str">
        <f t="shared" si="27"/>
        <v>Xúclật855H</v>
      </c>
      <c r="I4245" s="59" t="str">
        <f>IF(OR($A4245="",$C4245="",$D4245="",$E4245="",$H4245=""),"",SUMIFS(DATA_GOC!$H:$H,DATA_GOC!$A:$A,"BOM",DATA_GOC!$D:$D,$H4245,DATA_GOC!$E:$E,$C4245,DATA_GOC!$F:$F,"Xuất nội bộ từ téc",DATA_GOC!$B:$B,"&gt;="&amp;$D4245,DATA_GOC!$B:$B,"&lt;="&amp;$E4245))</f>
        <v/>
      </c>
      <c r="J4245" s="59">
        <f t="shared" si="28"/>
        <v>0</v>
      </c>
      <c r="K4245" s="59">
        <f t="shared" si="29"/>
        <v>0</v>
      </c>
      <c r="L4245" s="59">
        <f t="shared" si="30"/>
        <v>0</v>
      </c>
      <c r="M4245" s="59">
        <f t="shared" si="31"/>
        <v>0</v>
      </c>
    </row>
    <row r="4246" ht="15.0" hidden="1" customHeight="1">
      <c r="A4246" s="59">
        <f t="shared" si="20"/>
        <v>67</v>
      </c>
      <c r="B4246" s="59" t="str">
        <f t="shared" si="21"/>
        <v/>
      </c>
      <c r="C4246" s="59" t="str">
        <f t="shared" si="22"/>
        <v/>
      </c>
      <c r="D4246" s="45" t="str">
        <f t="shared" si="23"/>
        <v/>
      </c>
      <c r="E4246" s="45" t="str">
        <f t="shared" si="24"/>
        <v/>
      </c>
      <c r="F4246" s="59" t="str">
        <f t="shared" si="25"/>
        <v/>
      </c>
      <c r="G4246" s="59" t="str">
        <f t="shared" si="26"/>
        <v/>
      </c>
      <c r="H4246" s="59" t="str">
        <f t="shared" si="27"/>
        <v>Xúclật855N</v>
      </c>
      <c r="I4246" s="59" t="str">
        <f>IF(OR($A4246="",$C4246="",$D4246="",$E4246="",$H4246=""),"",SUMIFS(DATA_GOC!$H:$H,DATA_GOC!$A:$A,"BOM",DATA_GOC!$D:$D,$H4246,DATA_GOC!$E:$E,$C4246,DATA_GOC!$F:$F,"Xuất nội bộ từ téc",DATA_GOC!$B:$B,"&gt;="&amp;$D4246,DATA_GOC!$B:$B,"&lt;="&amp;$E4246))</f>
        <v/>
      </c>
      <c r="J4246" s="59">
        <f t="shared" si="28"/>
        <v>0</v>
      </c>
      <c r="K4246" s="59">
        <f t="shared" si="29"/>
        <v>0</v>
      </c>
      <c r="L4246" s="59">
        <f t="shared" si="30"/>
        <v>0</v>
      </c>
      <c r="M4246" s="59">
        <f t="shared" si="31"/>
        <v>0</v>
      </c>
    </row>
    <row r="4247" ht="15.0" hidden="1" customHeight="1">
      <c r="A4247" s="59">
        <f t="shared" si="20"/>
        <v>67</v>
      </c>
      <c r="B4247" s="59" t="str">
        <f t="shared" si="21"/>
        <v/>
      </c>
      <c r="C4247" s="59" t="str">
        <f t="shared" si="22"/>
        <v/>
      </c>
      <c r="D4247" s="45" t="str">
        <f t="shared" si="23"/>
        <v/>
      </c>
      <c r="E4247" s="45" t="str">
        <f t="shared" si="24"/>
        <v/>
      </c>
      <c r="F4247" s="59" t="str">
        <f t="shared" si="25"/>
        <v/>
      </c>
      <c r="G4247" s="59" t="str">
        <f t="shared" si="26"/>
        <v/>
      </c>
      <c r="H4247" s="59" t="str">
        <f t="shared" si="27"/>
        <v>Cát nghiền</v>
      </c>
      <c r="I4247" s="59" t="str">
        <f>IF(OR($A4247="",$C4247="",$D4247="",$E4247="",$H4247=""),"",SUMIFS(DATA_GOC!$H:$H,DATA_GOC!$A:$A,"BOM",DATA_GOC!$D:$D,$H4247,DATA_GOC!$E:$E,$C4247,DATA_GOC!$F:$F,"Xuất nội bộ từ téc",DATA_GOC!$B:$B,"&gt;="&amp;$D4247,DATA_GOC!$B:$B,"&lt;="&amp;$E4247))</f>
        <v/>
      </c>
      <c r="J4247" s="59">
        <f t="shared" si="28"/>
        <v>0</v>
      </c>
      <c r="K4247" s="59">
        <f t="shared" si="29"/>
        <v>0</v>
      </c>
      <c r="L4247" s="59">
        <f t="shared" si="30"/>
        <v>0</v>
      </c>
      <c r="M4247" s="59">
        <f t="shared" si="31"/>
        <v>0</v>
      </c>
    </row>
    <row r="4248" ht="15.0" hidden="1" customHeight="1">
      <c r="A4248" s="59">
        <f t="shared" si="20"/>
        <v>67</v>
      </c>
      <c r="B4248" s="59" t="str">
        <f t="shared" si="21"/>
        <v/>
      </c>
      <c r="C4248" s="59" t="str">
        <f t="shared" si="22"/>
        <v/>
      </c>
      <c r="D4248" s="45" t="str">
        <f t="shared" si="23"/>
        <v/>
      </c>
      <c r="E4248" s="45" t="str">
        <f t="shared" si="24"/>
        <v/>
      </c>
      <c r="F4248" s="59" t="str">
        <f t="shared" si="25"/>
        <v/>
      </c>
      <c r="G4248" s="59" t="str">
        <f t="shared" si="26"/>
        <v/>
      </c>
      <c r="H4248" s="59" t="str">
        <f t="shared" si="27"/>
        <v>28C02973</v>
      </c>
      <c r="I4248" s="59" t="str">
        <f>IF(OR($A4248="",$C4248="",$D4248="",$E4248="",$H4248=""),"",SUMIFS(DATA_GOC!$H:$H,DATA_GOC!$A:$A,"BOM",DATA_GOC!$D:$D,$H4248,DATA_GOC!$E:$E,$C4248,DATA_GOC!$F:$F,"Xuất nội bộ từ téc",DATA_GOC!$B:$B,"&gt;="&amp;$D4248,DATA_GOC!$B:$B,"&lt;="&amp;$E4248))</f>
        <v/>
      </c>
      <c r="J4248" s="59">
        <f t="shared" si="28"/>
        <v>0</v>
      </c>
      <c r="K4248" s="59">
        <f t="shared" si="29"/>
        <v>0</v>
      </c>
      <c r="L4248" s="59">
        <f t="shared" si="30"/>
        <v>0</v>
      </c>
      <c r="M4248" s="59">
        <f t="shared" si="31"/>
        <v>0</v>
      </c>
    </row>
    <row r="4249" ht="15.0" hidden="1" customHeight="1">
      <c r="A4249" s="59">
        <f t="shared" si="20"/>
        <v>67</v>
      </c>
      <c r="B4249" s="59" t="str">
        <f t="shared" si="21"/>
        <v/>
      </c>
      <c r="C4249" s="59" t="str">
        <f t="shared" si="22"/>
        <v/>
      </c>
      <c r="D4249" s="45" t="str">
        <f t="shared" si="23"/>
        <v/>
      </c>
      <c r="E4249" s="45" t="str">
        <f t="shared" si="24"/>
        <v/>
      </c>
      <c r="F4249" s="59" t="str">
        <f t="shared" si="25"/>
        <v/>
      </c>
      <c r="G4249" s="59" t="str">
        <f t="shared" si="26"/>
        <v/>
      </c>
      <c r="H4249" s="59" t="str">
        <f t="shared" si="27"/>
        <v>28C03044</v>
      </c>
      <c r="I4249" s="59" t="str">
        <f>IF(OR($A4249="",$C4249="",$D4249="",$E4249="",$H4249=""),"",SUMIFS(DATA_GOC!$H:$H,DATA_GOC!$A:$A,"BOM",DATA_GOC!$D:$D,$H4249,DATA_GOC!$E:$E,$C4249,DATA_GOC!$F:$F,"Xuất nội bộ từ téc",DATA_GOC!$B:$B,"&gt;="&amp;$D4249,DATA_GOC!$B:$B,"&lt;="&amp;$E4249))</f>
        <v/>
      </c>
      <c r="J4249" s="59">
        <f t="shared" si="28"/>
        <v>0</v>
      </c>
      <c r="K4249" s="59">
        <f t="shared" si="29"/>
        <v>0</v>
      </c>
      <c r="L4249" s="59">
        <f t="shared" si="30"/>
        <v>0</v>
      </c>
      <c r="M4249" s="59">
        <f t="shared" si="31"/>
        <v>0</v>
      </c>
    </row>
    <row r="4250" ht="15.0" hidden="1" customHeight="1">
      <c r="A4250" s="59">
        <f t="shared" si="20"/>
        <v>67</v>
      </c>
      <c r="B4250" s="59" t="str">
        <f t="shared" si="21"/>
        <v/>
      </c>
      <c r="C4250" s="59" t="str">
        <f t="shared" si="22"/>
        <v/>
      </c>
      <c r="D4250" s="45" t="str">
        <f t="shared" si="23"/>
        <v/>
      </c>
      <c r="E4250" s="45" t="str">
        <f t="shared" si="24"/>
        <v/>
      </c>
      <c r="F4250" s="59" t="str">
        <f t="shared" si="25"/>
        <v/>
      </c>
      <c r="G4250" s="59" t="str">
        <f t="shared" si="26"/>
        <v/>
      </c>
      <c r="H4250" s="59" t="str">
        <f t="shared" si="27"/>
        <v>Máy lu lốp</v>
      </c>
      <c r="I4250" s="59" t="str">
        <f>IF(OR($A4250="",$C4250="",$D4250="",$E4250="",$H4250=""),"",SUMIFS(DATA_GOC!$H:$H,DATA_GOC!$A:$A,"BOM",DATA_GOC!$D:$D,$H4250,DATA_GOC!$E:$E,$C4250,DATA_GOC!$F:$F,"Xuất nội bộ từ téc",DATA_GOC!$B:$B,"&gt;="&amp;$D4250,DATA_GOC!$B:$B,"&lt;="&amp;$E4250))</f>
        <v/>
      </c>
      <c r="J4250" s="59">
        <f t="shared" si="28"/>
        <v>0</v>
      </c>
      <c r="K4250" s="59">
        <f t="shared" si="29"/>
        <v>0</v>
      </c>
      <c r="L4250" s="59">
        <f t="shared" si="30"/>
        <v>0</v>
      </c>
      <c r="M4250" s="59">
        <f t="shared" si="31"/>
        <v>0</v>
      </c>
    </row>
    <row r="4251" ht="15.0" hidden="1" customHeight="1">
      <c r="A4251" s="59">
        <f t="shared" si="20"/>
        <v>67</v>
      </c>
      <c r="B4251" s="59" t="str">
        <f t="shared" si="21"/>
        <v/>
      </c>
      <c r="C4251" s="59" t="str">
        <f t="shared" si="22"/>
        <v/>
      </c>
      <c r="D4251" s="45" t="str">
        <f t="shared" si="23"/>
        <v/>
      </c>
      <c r="E4251" s="45" t="str">
        <f t="shared" si="24"/>
        <v/>
      </c>
      <c r="F4251" s="59" t="str">
        <f t="shared" si="25"/>
        <v/>
      </c>
      <c r="G4251" s="59" t="str">
        <f t="shared" si="26"/>
        <v/>
      </c>
      <c r="H4251" s="59" t="str">
        <f t="shared" si="27"/>
        <v>Xe 600148</v>
      </c>
      <c r="I4251" s="59" t="str">
        <f>IF(OR($A4251="",$C4251="",$D4251="",$E4251="",$H4251=""),"",SUMIFS(DATA_GOC!$H:$H,DATA_GOC!$A:$A,"BOM",DATA_GOC!$D:$D,$H4251,DATA_GOC!$E:$E,$C4251,DATA_GOC!$F:$F,"Xuất nội bộ từ téc",DATA_GOC!$B:$B,"&gt;="&amp;$D4251,DATA_GOC!$B:$B,"&lt;="&amp;$E4251))</f>
        <v/>
      </c>
      <c r="J4251" s="59">
        <f t="shared" si="28"/>
        <v>0</v>
      </c>
      <c r="K4251" s="59">
        <f t="shared" si="29"/>
        <v>0</v>
      </c>
      <c r="L4251" s="59">
        <f t="shared" si="30"/>
        <v>0</v>
      </c>
      <c r="M4251" s="59">
        <f t="shared" si="31"/>
        <v>0</v>
      </c>
    </row>
    <row r="4252" ht="15.0" hidden="1" customHeight="1">
      <c r="A4252" s="59">
        <f t="shared" si="20"/>
        <v>67</v>
      </c>
      <c r="B4252" s="59" t="str">
        <f t="shared" si="21"/>
        <v/>
      </c>
      <c r="C4252" s="59" t="str">
        <f t="shared" si="22"/>
        <v/>
      </c>
      <c r="D4252" s="45" t="str">
        <f t="shared" si="23"/>
        <v/>
      </c>
      <c r="E4252" s="45" t="str">
        <f t="shared" si="24"/>
        <v/>
      </c>
      <c r="F4252" s="59" t="str">
        <f t="shared" si="25"/>
        <v/>
      </c>
      <c r="G4252" s="59" t="str">
        <f t="shared" si="26"/>
        <v/>
      </c>
      <c r="H4252" s="59" t="str">
        <f t="shared" si="27"/>
        <v>Xe ben mới</v>
      </c>
      <c r="I4252" s="59" t="str">
        <f>IF(OR($A4252="",$C4252="",$D4252="",$E4252="",$H4252=""),"",SUMIFS(DATA_GOC!$H:$H,DATA_GOC!$A:$A,"BOM",DATA_GOC!$D:$D,$H4252,DATA_GOC!$E:$E,$C4252,DATA_GOC!$F:$F,"Xuất nội bộ từ téc",DATA_GOC!$B:$B,"&gt;="&amp;$D4252,DATA_GOC!$B:$B,"&lt;="&amp;$E4252))</f>
        <v/>
      </c>
      <c r="J4252" s="59">
        <f t="shared" si="28"/>
        <v>0</v>
      </c>
      <c r="K4252" s="59">
        <f t="shared" si="29"/>
        <v>0</v>
      </c>
      <c r="L4252" s="59">
        <f t="shared" si="30"/>
        <v>0</v>
      </c>
      <c r="M4252" s="59">
        <f t="shared" si="31"/>
        <v>0</v>
      </c>
    </row>
    <row r="4253" ht="15.0" hidden="1" customHeight="1">
      <c r="A4253" s="59">
        <f t="shared" si="20"/>
        <v>68</v>
      </c>
      <c r="B4253" s="59" t="str">
        <f t="shared" si="21"/>
        <v/>
      </c>
      <c r="C4253" s="59" t="str">
        <f t="shared" si="22"/>
        <v/>
      </c>
      <c r="D4253" s="45" t="str">
        <f t="shared" si="23"/>
        <v/>
      </c>
      <c r="E4253" s="45" t="str">
        <f t="shared" si="24"/>
        <v/>
      </c>
      <c r="F4253" s="59" t="str">
        <f t="shared" si="25"/>
        <v/>
      </c>
      <c r="G4253" s="59" t="str">
        <f t="shared" si="26"/>
        <v/>
      </c>
      <c r="H4253" s="59" t="str">
        <f t="shared" si="27"/>
        <v>19H09482</v>
      </c>
      <c r="I4253" s="59" t="str">
        <f>IF(OR($A4253="",$C4253="",$D4253="",$E4253="",$H4253=""),"",SUMIFS(DATA_GOC!$H:$H,DATA_GOC!$A:$A,"BOM",DATA_GOC!$D:$D,$H4253,DATA_GOC!$E:$E,$C4253,DATA_GOC!$F:$F,"Xuất nội bộ từ téc",DATA_GOC!$B:$B,"&gt;="&amp;$D4253,DATA_GOC!$B:$B,"&lt;="&amp;$E4253))</f>
        <v/>
      </c>
      <c r="J4253" s="59">
        <f t="shared" si="28"/>
        <v>0</v>
      </c>
      <c r="K4253" s="59">
        <f t="shared" si="29"/>
        <v>0</v>
      </c>
      <c r="L4253" s="59">
        <f t="shared" si="30"/>
        <v>0</v>
      </c>
      <c r="M4253" s="59">
        <f t="shared" si="31"/>
        <v>0</v>
      </c>
    </row>
    <row r="4254" ht="15.0" hidden="1" customHeight="1">
      <c r="A4254" s="59">
        <f t="shared" si="20"/>
        <v>68</v>
      </c>
      <c r="B4254" s="59" t="str">
        <f t="shared" si="21"/>
        <v/>
      </c>
      <c r="C4254" s="59" t="str">
        <f t="shared" si="22"/>
        <v/>
      </c>
      <c r="D4254" s="45" t="str">
        <f t="shared" si="23"/>
        <v/>
      </c>
      <c r="E4254" s="45" t="str">
        <f t="shared" si="24"/>
        <v/>
      </c>
      <c r="F4254" s="59" t="str">
        <f t="shared" si="25"/>
        <v/>
      </c>
      <c r="G4254" s="59" t="str">
        <f t="shared" si="26"/>
        <v/>
      </c>
      <c r="H4254" s="59" t="str">
        <f t="shared" si="27"/>
        <v>28A30696</v>
      </c>
      <c r="I4254" s="59" t="str">
        <f>IF(OR($A4254="",$C4254="",$D4254="",$E4254="",$H4254=""),"",SUMIFS(DATA_GOC!$H:$H,DATA_GOC!$A:$A,"BOM",DATA_GOC!$D:$D,$H4254,DATA_GOC!$E:$E,$C4254,DATA_GOC!$F:$F,"Xuất nội bộ từ téc",DATA_GOC!$B:$B,"&gt;="&amp;$D4254,DATA_GOC!$B:$B,"&lt;="&amp;$E4254))</f>
        <v/>
      </c>
      <c r="J4254" s="59">
        <f t="shared" si="28"/>
        <v>0</v>
      </c>
      <c r="K4254" s="59">
        <f t="shared" si="29"/>
        <v>0</v>
      </c>
      <c r="L4254" s="59">
        <f t="shared" si="30"/>
        <v>0</v>
      </c>
      <c r="M4254" s="59">
        <f t="shared" si="31"/>
        <v>0</v>
      </c>
    </row>
    <row r="4255" ht="15.0" hidden="1" customHeight="1">
      <c r="A4255" s="59">
        <f t="shared" si="20"/>
        <v>68</v>
      </c>
      <c r="B4255" s="59" t="str">
        <f t="shared" si="21"/>
        <v/>
      </c>
      <c r="C4255" s="59" t="str">
        <f t="shared" si="22"/>
        <v/>
      </c>
      <c r="D4255" s="45" t="str">
        <f t="shared" si="23"/>
        <v/>
      </c>
      <c r="E4255" s="45" t="str">
        <f t="shared" si="24"/>
        <v/>
      </c>
      <c r="F4255" s="59" t="str">
        <f t="shared" si="25"/>
        <v/>
      </c>
      <c r="G4255" s="59" t="str">
        <f t="shared" si="26"/>
        <v/>
      </c>
      <c r="H4255" s="59" t="str">
        <f t="shared" si="27"/>
        <v>28C00462</v>
      </c>
      <c r="I4255" s="59" t="str">
        <f>IF(OR($A4255="",$C4255="",$D4255="",$E4255="",$H4255=""),"",SUMIFS(DATA_GOC!$H:$H,DATA_GOC!$A:$A,"BOM",DATA_GOC!$D:$D,$H4255,DATA_GOC!$E:$E,$C4255,DATA_GOC!$F:$F,"Xuất nội bộ từ téc",DATA_GOC!$B:$B,"&gt;="&amp;$D4255,DATA_GOC!$B:$B,"&lt;="&amp;$E4255))</f>
        <v/>
      </c>
      <c r="J4255" s="59">
        <f t="shared" si="28"/>
        <v>0</v>
      </c>
      <c r="K4255" s="59">
        <f t="shared" si="29"/>
        <v>0</v>
      </c>
      <c r="L4255" s="59">
        <f t="shared" si="30"/>
        <v>0</v>
      </c>
      <c r="M4255" s="59">
        <f t="shared" si="31"/>
        <v>0</v>
      </c>
    </row>
    <row r="4256" ht="15.0" hidden="1" customHeight="1">
      <c r="A4256" s="59">
        <f t="shared" si="20"/>
        <v>68</v>
      </c>
      <c r="B4256" s="59" t="str">
        <f t="shared" si="21"/>
        <v/>
      </c>
      <c r="C4256" s="59" t="str">
        <f t="shared" si="22"/>
        <v/>
      </c>
      <c r="D4256" s="45" t="str">
        <f t="shared" si="23"/>
        <v/>
      </c>
      <c r="E4256" s="45" t="str">
        <f t="shared" si="24"/>
        <v/>
      </c>
      <c r="F4256" s="59" t="str">
        <f t="shared" si="25"/>
        <v/>
      </c>
      <c r="G4256" s="59" t="str">
        <f t="shared" si="26"/>
        <v/>
      </c>
      <c r="H4256" s="59" t="str">
        <f t="shared" si="27"/>
        <v>28C01165</v>
      </c>
      <c r="I4256" s="59" t="str">
        <f>IF(OR($A4256="",$C4256="",$D4256="",$E4256="",$H4256=""),"",SUMIFS(DATA_GOC!$H:$H,DATA_GOC!$A:$A,"BOM",DATA_GOC!$D:$D,$H4256,DATA_GOC!$E:$E,$C4256,DATA_GOC!$F:$F,"Xuất nội bộ từ téc",DATA_GOC!$B:$B,"&gt;="&amp;$D4256,DATA_GOC!$B:$B,"&lt;="&amp;$E4256))</f>
        <v/>
      </c>
      <c r="J4256" s="59">
        <f t="shared" si="28"/>
        <v>0</v>
      </c>
      <c r="K4256" s="59">
        <f t="shared" si="29"/>
        <v>0</v>
      </c>
      <c r="L4256" s="59">
        <f t="shared" si="30"/>
        <v>0</v>
      </c>
      <c r="M4256" s="59">
        <f t="shared" si="31"/>
        <v>0</v>
      </c>
    </row>
    <row r="4257" ht="15.0" hidden="1" customHeight="1">
      <c r="A4257" s="59">
        <f t="shared" si="20"/>
        <v>68</v>
      </c>
      <c r="B4257" s="59" t="str">
        <f t="shared" si="21"/>
        <v/>
      </c>
      <c r="C4257" s="59" t="str">
        <f t="shared" si="22"/>
        <v/>
      </c>
      <c r="D4257" s="45" t="str">
        <f t="shared" si="23"/>
        <v/>
      </c>
      <c r="E4257" s="45" t="str">
        <f t="shared" si="24"/>
        <v/>
      </c>
      <c r="F4257" s="59" t="str">
        <f t="shared" si="25"/>
        <v/>
      </c>
      <c r="G4257" s="59" t="str">
        <f t="shared" si="26"/>
        <v/>
      </c>
      <c r="H4257" s="59" t="str">
        <f t="shared" si="27"/>
        <v>28C01406</v>
      </c>
      <c r="I4257" s="59" t="str">
        <f>IF(OR($A4257="",$C4257="",$D4257="",$E4257="",$H4257=""),"",SUMIFS(DATA_GOC!$H:$H,DATA_GOC!$A:$A,"BOM",DATA_GOC!$D:$D,$H4257,DATA_GOC!$E:$E,$C4257,DATA_GOC!$F:$F,"Xuất nội bộ từ téc",DATA_GOC!$B:$B,"&gt;="&amp;$D4257,DATA_GOC!$B:$B,"&lt;="&amp;$E4257))</f>
        <v/>
      </c>
      <c r="J4257" s="59">
        <f t="shared" si="28"/>
        <v>0</v>
      </c>
      <c r="K4257" s="59">
        <f t="shared" si="29"/>
        <v>0</v>
      </c>
      <c r="L4257" s="59">
        <f t="shared" si="30"/>
        <v>0</v>
      </c>
      <c r="M4257" s="59">
        <f t="shared" si="31"/>
        <v>0</v>
      </c>
    </row>
    <row r="4258" ht="15.0" hidden="1" customHeight="1">
      <c r="A4258" s="59">
        <f t="shared" si="20"/>
        <v>68</v>
      </c>
      <c r="B4258" s="59" t="str">
        <f t="shared" si="21"/>
        <v/>
      </c>
      <c r="C4258" s="59" t="str">
        <f t="shared" si="22"/>
        <v/>
      </c>
      <c r="D4258" s="45" t="str">
        <f t="shared" si="23"/>
        <v/>
      </c>
      <c r="E4258" s="45" t="str">
        <f t="shared" si="24"/>
        <v/>
      </c>
      <c r="F4258" s="59" t="str">
        <f t="shared" si="25"/>
        <v/>
      </c>
      <c r="G4258" s="59" t="str">
        <f t="shared" si="26"/>
        <v/>
      </c>
      <c r="H4258" s="59" t="str">
        <f t="shared" si="27"/>
        <v>28C01544</v>
      </c>
      <c r="I4258" s="59" t="str">
        <f>IF(OR($A4258="",$C4258="",$D4258="",$E4258="",$H4258=""),"",SUMIFS(DATA_GOC!$H:$H,DATA_GOC!$A:$A,"BOM",DATA_GOC!$D:$D,$H4258,DATA_GOC!$E:$E,$C4258,DATA_GOC!$F:$F,"Xuất nội bộ từ téc",DATA_GOC!$B:$B,"&gt;="&amp;$D4258,DATA_GOC!$B:$B,"&lt;="&amp;$E4258))</f>
        <v/>
      </c>
      <c r="J4258" s="59">
        <f t="shared" si="28"/>
        <v>0</v>
      </c>
      <c r="K4258" s="59">
        <f t="shared" si="29"/>
        <v>0</v>
      </c>
      <c r="L4258" s="59">
        <f t="shared" si="30"/>
        <v>0</v>
      </c>
      <c r="M4258" s="59">
        <f t="shared" si="31"/>
        <v>0</v>
      </c>
    </row>
    <row r="4259" ht="15.0" hidden="1" customHeight="1">
      <c r="A4259" s="59">
        <f t="shared" si="20"/>
        <v>68</v>
      </c>
      <c r="B4259" s="59" t="str">
        <f t="shared" si="21"/>
        <v/>
      </c>
      <c r="C4259" s="59" t="str">
        <f t="shared" si="22"/>
        <v/>
      </c>
      <c r="D4259" s="45" t="str">
        <f t="shared" si="23"/>
        <v/>
      </c>
      <c r="E4259" s="45" t="str">
        <f t="shared" si="24"/>
        <v/>
      </c>
      <c r="F4259" s="59" t="str">
        <f t="shared" si="25"/>
        <v/>
      </c>
      <c r="G4259" s="59" t="str">
        <f t="shared" si="26"/>
        <v/>
      </c>
      <c r="H4259" s="59" t="str">
        <f t="shared" si="27"/>
        <v>28C01622</v>
      </c>
      <c r="I4259" s="59" t="str">
        <f>IF(OR($A4259="",$C4259="",$D4259="",$E4259="",$H4259=""),"",SUMIFS(DATA_GOC!$H:$H,DATA_GOC!$A:$A,"BOM",DATA_GOC!$D:$D,$H4259,DATA_GOC!$E:$E,$C4259,DATA_GOC!$F:$F,"Xuất nội bộ từ téc",DATA_GOC!$B:$B,"&gt;="&amp;$D4259,DATA_GOC!$B:$B,"&lt;="&amp;$E4259))</f>
        <v/>
      </c>
      <c r="J4259" s="59">
        <f t="shared" si="28"/>
        <v>0</v>
      </c>
      <c r="K4259" s="59">
        <f t="shared" si="29"/>
        <v>0</v>
      </c>
      <c r="L4259" s="59">
        <f t="shared" si="30"/>
        <v>0</v>
      </c>
      <c r="M4259" s="59">
        <f t="shared" si="31"/>
        <v>0</v>
      </c>
    </row>
    <row r="4260" ht="15.0" hidden="1" customHeight="1">
      <c r="A4260" s="59">
        <f t="shared" si="20"/>
        <v>68</v>
      </c>
      <c r="B4260" s="59" t="str">
        <f t="shared" si="21"/>
        <v/>
      </c>
      <c r="C4260" s="59" t="str">
        <f t="shared" si="22"/>
        <v/>
      </c>
      <c r="D4260" s="45" t="str">
        <f t="shared" si="23"/>
        <v/>
      </c>
      <c r="E4260" s="45" t="str">
        <f t="shared" si="24"/>
        <v/>
      </c>
      <c r="F4260" s="59" t="str">
        <f t="shared" si="25"/>
        <v/>
      </c>
      <c r="G4260" s="59" t="str">
        <f t="shared" si="26"/>
        <v/>
      </c>
      <c r="H4260" s="59" t="str">
        <f t="shared" si="27"/>
        <v>28C01647</v>
      </c>
      <c r="I4260" s="59" t="str">
        <f>IF(OR($A4260="",$C4260="",$D4260="",$E4260="",$H4260=""),"",SUMIFS(DATA_GOC!$H:$H,DATA_GOC!$A:$A,"BOM",DATA_GOC!$D:$D,$H4260,DATA_GOC!$E:$E,$C4260,DATA_GOC!$F:$F,"Xuất nội bộ từ téc",DATA_GOC!$B:$B,"&gt;="&amp;$D4260,DATA_GOC!$B:$B,"&lt;="&amp;$E4260))</f>
        <v/>
      </c>
      <c r="J4260" s="59">
        <f t="shared" si="28"/>
        <v>0</v>
      </c>
      <c r="K4260" s="59">
        <f t="shared" si="29"/>
        <v>0</v>
      </c>
      <c r="L4260" s="59">
        <f t="shared" si="30"/>
        <v>0</v>
      </c>
      <c r="M4260" s="59">
        <f t="shared" si="31"/>
        <v>0</v>
      </c>
    </row>
    <row r="4261" ht="15.0" hidden="1" customHeight="1">
      <c r="A4261" s="59">
        <f t="shared" si="20"/>
        <v>68</v>
      </c>
      <c r="B4261" s="59" t="str">
        <f t="shared" si="21"/>
        <v/>
      </c>
      <c r="C4261" s="59" t="str">
        <f t="shared" si="22"/>
        <v/>
      </c>
      <c r="D4261" s="45" t="str">
        <f t="shared" si="23"/>
        <v/>
      </c>
      <c r="E4261" s="45" t="str">
        <f t="shared" si="24"/>
        <v/>
      </c>
      <c r="F4261" s="59" t="str">
        <f t="shared" si="25"/>
        <v/>
      </c>
      <c r="G4261" s="59" t="str">
        <f t="shared" si="26"/>
        <v/>
      </c>
      <c r="H4261" s="59" t="str">
        <f t="shared" si="27"/>
        <v>28C01731</v>
      </c>
      <c r="I4261" s="59" t="str">
        <f>IF(OR($A4261="",$C4261="",$D4261="",$E4261="",$H4261=""),"",SUMIFS(DATA_GOC!$H:$H,DATA_GOC!$A:$A,"BOM",DATA_GOC!$D:$D,$H4261,DATA_GOC!$E:$E,$C4261,DATA_GOC!$F:$F,"Xuất nội bộ từ téc",DATA_GOC!$B:$B,"&gt;="&amp;$D4261,DATA_GOC!$B:$B,"&lt;="&amp;$E4261))</f>
        <v/>
      </c>
      <c r="J4261" s="59">
        <f t="shared" si="28"/>
        <v>0</v>
      </c>
      <c r="K4261" s="59">
        <f t="shared" si="29"/>
        <v>0</v>
      </c>
      <c r="L4261" s="59">
        <f t="shared" si="30"/>
        <v>0</v>
      </c>
      <c r="M4261" s="59">
        <f t="shared" si="31"/>
        <v>0</v>
      </c>
    </row>
    <row r="4262" ht="15.0" hidden="1" customHeight="1">
      <c r="A4262" s="59">
        <f t="shared" si="20"/>
        <v>68</v>
      </c>
      <c r="B4262" s="59" t="str">
        <f t="shared" si="21"/>
        <v/>
      </c>
      <c r="C4262" s="59" t="str">
        <f t="shared" si="22"/>
        <v/>
      </c>
      <c r="D4262" s="45" t="str">
        <f t="shared" si="23"/>
        <v/>
      </c>
      <c r="E4262" s="45" t="str">
        <f t="shared" si="24"/>
        <v/>
      </c>
      <c r="F4262" s="59" t="str">
        <f t="shared" si="25"/>
        <v/>
      </c>
      <c r="G4262" s="59" t="str">
        <f t="shared" si="26"/>
        <v/>
      </c>
      <c r="H4262" s="59" t="str">
        <f t="shared" si="27"/>
        <v>28C01743</v>
      </c>
      <c r="I4262" s="59" t="str">
        <f>IF(OR($A4262="",$C4262="",$D4262="",$E4262="",$H4262=""),"",SUMIFS(DATA_GOC!$H:$H,DATA_GOC!$A:$A,"BOM",DATA_GOC!$D:$D,$H4262,DATA_GOC!$E:$E,$C4262,DATA_GOC!$F:$F,"Xuất nội bộ từ téc",DATA_GOC!$B:$B,"&gt;="&amp;$D4262,DATA_GOC!$B:$B,"&lt;="&amp;$E4262))</f>
        <v/>
      </c>
      <c r="J4262" s="59">
        <f t="shared" si="28"/>
        <v>0</v>
      </c>
      <c r="K4262" s="59">
        <f t="shared" si="29"/>
        <v>0</v>
      </c>
      <c r="L4262" s="59">
        <f t="shared" si="30"/>
        <v>0</v>
      </c>
      <c r="M4262" s="59">
        <f t="shared" si="31"/>
        <v>0</v>
      </c>
    </row>
    <row r="4263" ht="15.0" hidden="1" customHeight="1">
      <c r="A4263" s="59">
        <f t="shared" si="20"/>
        <v>68</v>
      </c>
      <c r="B4263" s="59" t="str">
        <f t="shared" si="21"/>
        <v/>
      </c>
      <c r="C4263" s="59" t="str">
        <f t="shared" si="22"/>
        <v/>
      </c>
      <c r="D4263" s="45" t="str">
        <f t="shared" si="23"/>
        <v/>
      </c>
      <c r="E4263" s="45" t="str">
        <f t="shared" si="24"/>
        <v/>
      </c>
      <c r="F4263" s="59" t="str">
        <f t="shared" si="25"/>
        <v/>
      </c>
      <c r="G4263" s="59" t="str">
        <f t="shared" si="26"/>
        <v/>
      </c>
      <c r="H4263" s="59" t="str">
        <f t="shared" si="27"/>
        <v>28C02106</v>
      </c>
      <c r="I4263" s="59" t="str">
        <f>IF(OR($A4263="",$C4263="",$D4263="",$E4263="",$H4263=""),"",SUMIFS(DATA_GOC!$H:$H,DATA_GOC!$A:$A,"BOM",DATA_GOC!$D:$D,$H4263,DATA_GOC!$E:$E,$C4263,DATA_GOC!$F:$F,"Xuất nội bộ từ téc",DATA_GOC!$B:$B,"&gt;="&amp;$D4263,DATA_GOC!$B:$B,"&lt;="&amp;$E4263))</f>
        <v/>
      </c>
      <c r="J4263" s="59">
        <f t="shared" si="28"/>
        <v>0</v>
      </c>
      <c r="K4263" s="59">
        <f t="shared" si="29"/>
        <v>0</v>
      </c>
      <c r="L4263" s="59">
        <f t="shared" si="30"/>
        <v>0</v>
      </c>
      <c r="M4263" s="59">
        <f t="shared" si="31"/>
        <v>0</v>
      </c>
    </row>
    <row r="4264" ht="15.0" hidden="1" customHeight="1">
      <c r="A4264" s="59">
        <f t="shared" si="20"/>
        <v>68</v>
      </c>
      <c r="B4264" s="59" t="str">
        <f t="shared" si="21"/>
        <v/>
      </c>
      <c r="C4264" s="59" t="str">
        <f t="shared" si="22"/>
        <v/>
      </c>
      <c r="D4264" s="45" t="str">
        <f t="shared" si="23"/>
        <v/>
      </c>
      <c r="E4264" s="45" t="str">
        <f t="shared" si="24"/>
        <v/>
      </c>
      <c r="F4264" s="59" t="str">
        <f t="shared" si="25"/>
        <v/>
      </c>
      <c r="G4264" s="59" t="str">
        <f t="shared" si="26"/>
        <v/>
      </c>
      <c r="H4264" s="59" t="str">
        <f t="shared" si="27"/>
        <v>28C02410</v>
      </c>
      <c r="I4264" s="59" t="str">
        <f>IF(OR($A4264="",$C4264="",$D4264="",$E4264="",$H4264=""),"",SUMIFS(DATA_GOC!$H:$H,DATA_GOC!$A:$A,"BOM",DATA_GOC!$D:$D,$H4264,DATA_GOC!$E:$E,$C4264,DATA_GOC!$F:$F,"Xuất nội bộ từ téc",DATA_GOC!$B:$B,"&gt;="&amp;$D4264,DATA_GOC!$B:$B,"&lt;="&amp;$E4264))</f>
        <v/>
      </c>
      <c r="J4264" s="59">
        <f t="shared" si="28"/>
        <v>0</v>
      </c>
      <c r="K4264" s="59">
        <f t="shared" si="29"/>
        <v>0</v>
      </c>
      <c r="L4264" s="59">
        <f t="shared" si="30"/>
        <v>0</v>
      </c>
      <c r="M4264" s="59">
        <f t="shared" si="31"/>
        <v>0</v>
      </c>
    </row>
    <row r="4265" ht="15.0" hidden="1" customHeight="1">
      <c r="A4265" s="59">
        <f t="shared" si="20"/>
        <v>68</v>
      </c>
      <c r="B4265" s="59" t="str">
        <f t="shared" si="21"/>
        <v/>
      </c>
      <c r="C4265" s="59" t="str">
        <f t="shared" si="22"/>
        <v/>
      </c>
      <c r="D4265" s="45" t="str">
        <f t="shared" si="23"/>
        <v/>
      </c>
      <c r="E4265" s="45" t="str">
        <f t="shared" si="24"/>
        <v/>
      </c>
      <c r="F4265" s="59" t="str">
        <f t="shared" si="25"/>
        <v/>
      </c>
      <c r="G4265" s="59" t="str">
        <f t="shared" si="26"/>
        <v/>
      </c>
      <c r="H4265" s="59" t="str">
        <f t="shared" si="27"/>
        <v>28C02545</v>
      </c>
      <c r="I4265" s="59" t="str">
        <f>IF(OR($A4265="",$C4265="",$D4265="",$E4265="",$H4265=""),"",SUMIFS(DATA_GOC!$H:$H,DATA_GOC!$A:$A,"BOM",DATA_GOC!$D:$D,$H4265,DATA_GOC!$E:$E,$C4265,DATA_GOC!$F:$F,"Xuất nội bộ từ téc",DATA_GOC!$B:$B,"&gt;="&amp;$D4265,DATA_GOC!$B:$B,"&lt;="&amp;$E4265))</f>
        <v/>
      </c>
      <c r="J4265" s="59">
        <f t="shared" si="28"/>
        <v>0</v>
      </c>
      <c r="K4265" s="59">
        <f t="shared" si="29"/>
        <v>0</v>
      </c>
      <c r="L4265" s="59">
        <f t="shared" si="30"/>
        <v>0</v>
      </c>
      <c r="M4265" s="59">
        <f t="shared" si="31"/>
        <v>0</v>
      </c>
    </row>
    <row r="4266" ht="15.0" hidden="1" customHeight="1">
      <c r="A4266" s="59">
        <f t="shared" si="20"/>
        <v>68</v>
      </c>
      <c r="B4266" s="59" t="str">
        <f t="shared" si="21"/>
        <v/>
      </c>
      <c r="C4266" s="59" t="str">
        <f t="shared" si="22"/>
        <v/>
      </c>
      <c r="D4266" s="45" t="str">
        <f t="shared" si="23"/>
        <v/>
      </c>
      <c r="E4266" s="45" t="str">
        <f t="shared" si="24"/>
        <v/>
      </c>
      <c r="F4266" s="59" t="str">
        <f t="shared" si="25"/>
        <v/>
      </c>
      <c r="G4266" s="59" t="str">
        <f t="shared" si="26"/>
        <v/>
      </c>
      <c r="H4266" s="59" t="str">
        <f t="shared" si="27"/>
        <v>28C02574</v>
      </c>
      <c r="I4266" s="59" t="str">
        <f>IF(OR($A4266="",$C4266="",$D4266="",$E4266="",$H4266=""),"",SUMIFS(DATA_GOC!$H:$H,DATA_GOC!$A:$A,"BOM",DATA_GOC!$D:$D,$H4266,DATA_GOC!$E:$E,$C4266,DATA_GOC!$F:$F,"Xuất nội bộ từ téc",DATA_GOC!$B:$B,"&gt;="&amp;$D4266,DATA_GOC!$B:$B,"&lt;="&amp;$E4266))</f>
        <v/>
      </c>
      <c r="J4266" s="59">
        <f t="shared" si="28"/>
        <v>0</v>
      </c>
      <c r="K4266" s="59">
        <f t="shared" si="29"/>
        <v>0</v>
      </c>
      <c r="L4266" s="59">
        <f t="shared" si="30"/>
        <v>0</v>
      </c>
      <c r="M4266" s="59">
        <f t="shared" si="31"/>
        <v>0</v>
      </c>
    </row>
    <row r="4267" ht="15.0" hidden="1" customHeight="1">
      <c r="A4267" s="59">
        <f t="shared" si="20"/>
        <v>68</v>
      </c>
      <c r="B4267" s="59" t="str">
        <f t="shared" si="21"/>
        <v/>
      </c>
      <c r="C4267" s="59" t="str">
        <f t="shared" si="22"/>
        <v/>
      </c>
      <c r="D4267" s="45" t="str">
        <f t="shared" si="23"/>
        <v/>
      </c>
      <c r="E4267" s="45" t="str">
        <f t="shared" si="24"/>
        <v/>
      </c>
      <c r="F4267" s="59" t="str">
        <f t="shared" si="25"/>
        <v/>
      </c>
      <c r="G4267" s="59" t="str">
        <f t="shared" si="26"/>
        <v/>
      </c>
      <c r="H4267" s="59" t="str">
        <f t="shared" si="27"/>
        <v>28C02770</v>
      </c>
      <c r="I4267" s="59" t="str">
        <f>IF(OR($A4267="",$C4267="",$D4267="",$E4267="",$H4267=""),"",SUMIFS(DATA_GOC!$H:$H,DATA_GOC!$A:$A,"BOM",DATA_GOC!$D:$D,$H4267,DATA_GOC!$E:$E,$C4267,DATA_GOC!$F:$F,"Xuất nội bộ từ téc",DATA_GOC!$B:$B,"&gt;="&amp;$D4267,DATA_GOC!$B:$B,"&lt;="&amp;$E4267))</f>
        <v/>
      </c>
      <c r="J4267" s="59">
        <f t="shared" si="28"/>
        <v>0</v>
      </c>
      <c r="K4267" s="59">
        <f t="shared" si="29"/>
        <v>0</v>
      </c>
      <c r="L4267" s="59">
        <f t="shared" si="30"/>
        <v>0</v>
      </c>
      <c r="M4267" s="59">
        <f t="shared" si="31"/>
        <v>0</v>
      </c>
    </row>
    <row r="4268" ht="15.0" hidden="1" customHeight="1">
      <c r="A4268" s="59">
        <f t="shared" si="20"/>
        <v>68</v>
      </c>
      <c r="B4268" s="59" t="str">
        <f t="shared" si="21"/>
        <v/>
      </c>
      <c r="C4268" s="59" t="str">
        <f t="shared" si="22"/>
        <v/>
      </c>
      <c r="D4268" s="45" t="str">
        <f t="shared" si="23"/>
        <v/>
      </c>
      <c r="E4268" s="45" t="str">
        <f t="shared" si="24"/>
        <v/>
      </c>
      <c r="F4268" s="59" t="str">
        <f t="shared" si="25"/>
        <v/>
      </c>
      <c r="G4268" s="59" t="str">
        <f t="shared" si="26"/>
        <v/>
      </c>
      <c r="H4268" s="59" t="str">
        <f t="shared" si="27"/>
        <v>28C02986</v>
      </c>
      <c r="I4268" s="59" t="str">
        <f>IF(OR($A4268="",$C4268="",$D4268="",$E4268="",$H4268=""),"",SUMIFS(DATA_GOC!$H:$H,DATA_GOC!$A:$A,"BOM",DATA_GOC!$D:$D,$H4268,DATA_GOC!$E:$E,$C4268,DATA_GOC!$F:$F,"Xuất nội bộ từ téc",DATA_GOC!$B:$B,"&gt;="&amp;$D4268,DATA_GOC!$B:$B,"&lt;="&amp;$E4268))</f>
        <v/>
      </c>
      <c r="J4268" s="59">
        <f t="shared" si="28"/>
        <v>0</v>
      </c>
      <c r="K4268" s="59">
        <f t="shared" si="29"/>
        <v>0</v>
      </c>
      <c r="L4268" s="59">
        <f t="shared" si="30"/>
        <v>0</v>
      </c>
      <c r="M4268" s="59">
        <f t="shared" si="31"/>
        <v>0</v>
      </c>
    </row>
    <row r="4269" ht="15.0" hidden="1" customHeight="1">
      <c r="A4269" s="59">
        <f t="shared" si="20"/>
        <v>68</v>
      </c>
      <c r="B4269" s="59" t="str">
        <f t="shared" si="21"/>
        <v/>
      </c>
      <c r="C4269" s="59" t="str">
        <f t="shared" si="22"/>
        <v/>
      </c>
      <c r="D4269" s="45" t="str">
        <f t="shared" si="23"/>
        <v/>
      </c>
      <c r="E4269" s="45" t="str">
        <f t="shared" si="24"/>
        <v/>
      </c>
      <c r="F4269" s="59" t="str">
        <f t="shared" si="25"/>
        <v/>
      </c>
      <c r="G4269" s="59" t="str">
        <f t="shared" si="26"/>
        <v/>
      </c>
      <c r="H4269" s="59" t="str">
        <f t="shared" si="27"/>
        <v>28C03261</v>
      </c>
      <c r="I4269" s="59" t="str">
        <f>IF(OR($A4269="",$C4269="",$D4269="",$E4269="",$H4269=""),"",SUMIFS(DATA_GOC!$H:$H,DATA_GOC!$A:$A,"BOM",DATA_GOC!$D:$D,$H4269,DATA_GOC!$E:$E,$C4269,DATA_GOC!$F:$F,"Xuất nội bộ từ téc",DATA_GOC!$B:$B,"&gt;="&amp;$D4269,DATA_GOC!$B:$B,"&lt;="&amp;$E4269))</f>
        <v/>
      </c>
      <c r="J4269" s="59">
        <f t="shared" si="28"/>
        <v>0</v>
      </c>
      <c r="K4269" s="59">
        <f t="shared" si="29"/>
        <v>0</v>
      </c>
      <c r="L4269" s="59">
        <f t="shared" si="30"/>
        <v>0</v>
      </c>
      <c r="M4269" s="59">
        <f t="shared" si="31"/>
        <v>0</v>
      </c>
    </row>
    <row r="4270" ht="15.0" hidden="1" customHeight="1">
      <c r="A4270" s="59">
        <f t="shared" si="20"/>
        <v>68</v>
      </c>
      <c r="B4270" s="59" t="str">
        <f t="shared" si="21"/>
        <v/>
      </c>
      <c r="C4270" s="59" t="str">
        <f t="shared" si="22"/>
        <v/>
      </c>
      <c r="D4270" s="45" t="str">
        <f t="shared" si="23"/>
        <v/>
      </c>
      <c r="E4270" s="45" t="str">
        <f t="shared" si="24"/>
        <v/>
      </c>
      <c r="F4270" s="59" t="str">
        <f t="shared" si="25"/>
        <v/>
      </c>
      <c r="G4270" s="59" t="str">
        <f t="shared" si="26"/>
        <v/>
      </c>
      <c r="H4270" s="59" t="str">
        <f t="shared" si="27"/>
        <v>28C03323</v>
      </c>
      <c r="I4270" s="59" t="str">
        <f>IF(OR($A4270="",$C4270="",$D4270="",$E4270="",$H4270=""),"",SUMIFS(DATA_GOC!$H:$H,DATA_GOC!$A:$A,"BOM",DATA_GOC!$D:$D,$H4270,DATA_GOC!$E:$E,$C4270,DATA_GOC!$F:$F,"Xuất nội bộ từ téc",DATA_GOC!$B:$B,"&gt;="&amp;$D4270,DATA_GOC!$B:$B,"&lt;="&amp;$E4270))</f>
        <v/>
      </c>
      <c r="J4270" s="59">
        <f t="shared" si="28"/>
        <v>0</v>
      </c>
      <c r="K4270" s="59">
        <f t="shared" si="29"/>
        <v>0</v>
      </c>
      <c r="L4270" s="59">
        <f t="shared" si="30"/>
        <v>0</v>
      </c>
      <c r="M4270" s="59">
        <f t="shared" si="31"/>
        <v>0</v>
      </c>
    </row>
    <row r="4271" ht="15.0" hidden="1" customHeight="1">
      <c r="A4271" s="59">
        <f t="shared" si="20"/>
        <v>68</v>
      </c>
      <c r="B4271" s="59" t="str">
        <f t="shared" si="21"/>
        <v/>
      </c>
      <c r="C4271" s="59" t="str">
        <f t="shared" si="22"/>
        <v/>
      </c>
      <c r="D4271" s="45" t="str">
        <f t="shared" si="23"/>
        <v/>
      </c>
      <c r="E4271" s="45" t="str">
        <f t="shared" si="24"/>
        <v/>
      </c>
      <c r="F4271" s="59" t="str">
        <f t="shared" si="25"/>
        <v/>
      </c>
      <c r="G4271" s="59" t="str">
        <f t="shared" si="26"/>
        <v/>
      </c>
      <c r="H4271" s="59" t="str">
        <f t="shared" si="27"/>
        <v>28C03385</v>
      </c>
      <c r="I4271" s="59" t="str">
        <f>IF(OR($A4271="",$C4271="",$D4271="",$E4271="",$H4271=""),"",SUMIFS(DATA_GOC!$H:$H,DATA_GOC!$A:$A,"BOM",DATA_GOC!$D:$D,$H4271,DATA_GOC!$E:$E,$C4271,DATA_GOC!$F:$F,"Xuất nội bộ từ téc",DATA_GOC!$B:$B,"&gt;="&amp;$D4271,DATA_GOC!$B:$B,"&lt;="&amp;$E4271))</f>
        <v/>
      </c>
      <c r="J4271" s="59">
        <f t="shared" si="28"/>
        <v>0</v>
      </c>
      <c r="K4271" s="59">
        <f t="shared" si="29"/>
        <v>0</v>
      </c>
      <c r="L4271" s="59">
        <f t="shared" si="30"/>
        <v>0</v>
      </c>
      <c r="M4271" s="59">
        <f t="shared" si="31"/>
        <v>0</v>
      </c>
    </row>
    <row r="4272" ht="15.0" hidden="1" customHeight="1">
      <c r="A4272" s="59">
        <f t="shared" si="20"/>
        <v>68</v>
      </c>
      <c r="B4272" s="59" t="str">
        <f t="shared" si="21"/>
        <v/>
      </c>
      <c r="C4272" s="59" t="str">
        <f t="shared" si="22"/>
        <v/>
      </c>
      <c r="D4272" s="45" t="str">
        <f t="shared" si="23"/>
        <v/>
      </c>
      <c r="E4272" s="45" t="str">
        <f t="shared" si="24"/>
        <v/>
      </c>
      <c r="F4272" s="59" t="str">
        <f t="shared" si="25"/>
        <v/>
      </c>
      <c r="G4272" s="59" t="str">
        <f t="shared" si="26"/>
        <v/>
      </c>
      <c r="H4272" s="59" t="str">
        <f t="shared" si="27"/>
        <v>28C03652</v>
      </c>
      <c r="I4272" s="59" t="str">
        <f>IF(OR($A4272="",$C4272="",$D4272="",$E4272="",$H4272=""),"",SUMIFS(DATA_GOC!$H:$H,DATA_GOC!$A:$A,"BOM",DATA_GOC!$D:$D,$H4272,DATA_GOC!$E:$E,$C4272,DATA_GOC!$F:$F,"Xuất nội bộ từ téc",DATA_GOC!$B:$B,"&gt;="&amp;$D4272,DATA_GOC!$B:$B,"&lt;="&amp;$E4272))</f>
        <v/>
      </c>
      <c r="J4272" s="59">
        <f t="shared" si="28"/>
        <v>0</v>
      </c>
      <c r="K4272" s="59">
        <f t="shared" si="29"/>
        <v>0</v>
      </c>
      <c r="L4272" s="59">
        <f t="shared" si="30"/>
        <v>0</v>
      </c>
      <c r="M4272" s="59">
        <f t="shared" si="31"/>
        <v>0</v>
      </c>
    </row>
    <row r="4273" ht="15.0" hidden="1" customHeight="1">
      <c r="A4273" s="59">
        <f t="shared" si="20"/>
        <v>68</v>
      </c>
      <c r="B4273" s="59" t="str">
        <f t="shared" si="21"/>
        <v/>
      </c>
      <c r="C4273" s="59" t="str">
        <f t="shared" si="22"/>
        <v/>
      </c>
      <c r="D4273" s="45" t="str">
        <f t="shared" si="23"/>
        <v/>
      </c>
      <c r="E4273" s="45" t="str">
        <f t="shared" si="24"/>
        <v/>
      </c>
      <c r="F4273" s="59" t="str">
        <f t="shared" si="25"/>
        <v/>
      </c>
      <c r="G4273" s="59" t="str">
        <f t="shared" si="26"/>
        <v/>
      </c>
      <c r="H4273" s="59" t="str">
        <f t="shared" si="27"/>
        <v>28C03695</v>
      </c>
      <c r="I4273" s="59" t="str">
        <f>IF(OR($A4273="",$C4273="",$D4273="",$E4273="",$H4273=""),"",SUMIFS(DATA_GOC!$H:$H,DATA_GOC!$A:$A,"BOM",DATA_GOC!$D:$D,$H4273,DATA_GOC!$E:$E,$C4273,DATA_GOC!$F:$F,"Xuất nội bộ từ téc",DATA_GOC!$B:$B,"&gt;="&amp;$D4273,DATA_GOC!$B:$B,"&lt;="&amp;$E4273))</f>
        <v/>
      </c>
      <c r="J4273" s="59">
        <f t="shared" si="28"/>
        <v>0</v>
      </c>
      <c r="K4273" s="59">
        <f t="shared" si="29"/>
        <v>0</v>
      </c>
      <c r="L4273" s="59">
        <f t="shared" si="30"/>
        <v>0</v>
      </c>
      <c r="M4273" s="59">
        <f t="shared" si="31"/>
        <v>0</v>
      </c>
    </row>
    <row r="4274" ht="15.0" hidden="1" customHeight="1">
      <c r="A4274" s="59">
        <f t="shared" si="20"/>
        <v>68</v>
      </c>
      <c r="B4274" s="59" t="str">
        <f t="shared" si="21"/>
        <v/>
      </c>
      <c r="C4274" s="59" t="str">
        <f t="shared" si="22"/>
        <v/>
      </c>
      <c r="D4274" s="45" t="str">
        <f t="shared" si="23"/>
        <v/>
      </c>
      <c r="E4274" s="45" t="str">
        <f t="shared" si="24"/>
        <v/>
      </c>
      <c r="F4274" s="59" t="str">
        <f t="shared" si="25"/>
        <v/>
      </c>
      <c r="G4274" s="59" t="str">
        <f t="shared" si="26"/>
        <v/>
      </c>
      <c r="H4274" s="59" t="str">
        <f t="shared" si="27"/>
        <v>28C03927</v>
      </c>
      <c r="I4274" s="59" t="str">
        <f>IF(OR($A4274="",$C4274="",$D4274="",$E4274="",$H4274=""),"",SUMIFS(DATA_GOC!$H:$H,DATA_GOC!$A:$A,"BOM",DATA_GOC!$D:$D,$H4274,DATA_GOC!$E:$E,$C4274,DATA_GOC!$F:$F,"Xuất nội bộ từ téc",DATA_GOC!$B:$B,"&gt;="&amp;$D4274,DATA_GOC!$B:$B,"&lt;="&amp;$E4274))</f>
        <v/>
      </c>
      <c r="J4274" s="59">
        <f t="shared" si="28"/>
        <v>0</v>
      </c>
      <c r="K4274" s="59">
        <f t="shared" si="29"/>
        <v>0</v>
      </c>
      <c r="L4274" s="59">
        <f t="shared" si="30"/>
        <v>0</v>
      </c>
      <c r="M4274" s="59">
        <f t="shared" si="31"/>
        <v>0</v>
      </c>
    </row>
    <row r="4275" ht="15.0" hidden="1" customHeight="1">
      <c r="A4275" s="59">
        <f t="shared" si="20"/>
        <v>68</v>
      </c>
      <c r="B4275" s="59" t="str">
        <f t="shared" si="21"/>
        <v/>
      </c>
      <c r="C4275" s="59" t="str">
        <f t="shared" si="22"/>
        <v/>
      </c>
      <c r="D4275" s="45" t="str">
        <f t="shared" si="23"/>
        <v/>
      </c>
      <c r="E4275" s="45" t="str">
        <f t="shared" si="24"/>
        <v/>
      </c>
      <c r="F4275" s="59" t="str">
        <f t="shared" si="25"/>
        <v/>
      </c>
      <c r="G4275" s="59" t="str">
        <f t="shared" si="26"/>
        <v/>
      </c>
      <c r="H4275" s="59" t="str">
        <f t="shared" si="27"/>
        <v>28C04509</v>
      </c>
      <c r="I4275" s="59" t="str">
        <f>IF(OR($A4275="",$C4275="",$D4275="",$E4275="",$H4275=""),"",SUMIFS(DATA_GOC!$H:$H,DATA_GOC!$A:$A,"BOM",DATA_GOC!$D:$D,$H4275,DATA_GOC!$E:$E,$C4275,DATA_GOC!$F:$F,"Xuất nội bộ từ téc",DATA_GOC!$B:$B,"&gt;="&amp;$D4275,DATA_GOC!$B:$B,"&lt;="&amp;$E4275))</f>
        <v/>
      </c>
      <c r="J4275" s="59">
        <f t="shared" si="28"/>
        <v>0</v>
      </c>
      <c r="K4275" s="59">
        <f t="shared" si="29"/>
        <v>0</v>
      </c>
      <c r="L4275" s="59">
        <f t="shared" si="30"/>
        <v>0</v>
      </c>
      <c r="M4275" s="59">
        <f t="shared" si="31"/>
        <v>0</v>
      </c>
    </row>
    <row r="4276" ht="15.0" hidden="1" customHeight="1">
      <c r="A4276" s="59">
        <f t="shared" si="20"/>
        <v>68</v>
      </c>
      <c r="B4276" s="59" t="str">
        <f t="shared" si="21"/>
        <v/>
      </c>
      <c r="C4276" s="59" t="str">
        <f t="shared" si="22"/>
        <v/>
      </c>
      <c r="D4276" s="45" t="str">
        <f t="shared" si="23"/>
        <v/>
      </c>
      <c r="E4276" s="45" t="str">
        <f t="shared" si="24"/>
        <v/>
      </c>
      <c r="F4276" s="59" t="str">
        <f t="shared" si="25"/>
        <v/>
      </c>
      <c r="G4276" s="59" t="str">
        <f t="shared" si="26"/>
        <v/>
      </c>
      <c r="H4276" s="59" t="str">
        <f t="shared" si="27"/>
        <v>28C04536</v>
      </c>
      <c r="I4276" s="59" t="str">
        <f>IF(OR($A4276="",$C4276="",$D4276="",$E4276="",$H4276=""),"",SUMIFS(DATA_GOC!$H:$H,DATA_GOC!$A:$A,"BOM",DATA_GOC!$D:$D,$H4276,DATA_GOC!$E:$E,$C4276,DATA_GOC!$F:$F,"Xuất nội bộ từ téc",DATA_GOC!$B:$B,"&gt;="&amp;$D4276,DATA_GOC!$B:$B,"&lt;="&amp;$E4276))</f>
        <v/>
      </c>
      <c r="J4276" s="59">
        <f t="shared" si="28"/>
        <v>0</v>
      </c>
      <c r="K4276" s="59">
        <f t="shared" si="29"/>
        <v>0</v>
      </c>
      <c r="L4276" s="59">
        <f t="shared" si="30"/>
        <v>0</v>
      </c>
      <c r="M4276" s="59">
        <f t="shared" si="31"/>
        <v>0</v>
      </c>
    </row>
    <row r="4277" ht="15.0" hidden="1" customHeight="1">
      <c r="A4277" s="59">
        <f t="shared" si="20"/>
        <v>68</v>
      </c>
      <c r="B4277" s="59" t="str">
        <f t="shared" si="21"/>
        <v/>
      </c>
      <c r="C4277" s="59" t="str">
        <f t="shared" si="22"/>
        <v/>
      </c>
      <c r="D4277" s="45" t="str">
        <f t="shared" si="23"/>
        <v/>
      </c>
      <c r="E4277" s="45" t="str">
        <f t="shared" si="24"/>
        <v/>
      </c>
      <c r="F4277" s="59" t="str">
        <f t="shared" si="25"/>
        <v/>
      </c>
      <c r="G4277" s="59" t="str">
        <f t="shared" si="26"/>
        <v/>
      </c>
      <c r="H4277" s="59" t="str">
        <f t="shared" si="27"/>
        <v>28C04576</v>
      </c>
      <c r="I4277" s="59" t="str">
        <f>IF(OR($A4277="",$C4277="",$D4277="",$E4277="",$H4277=""),"",SUMIFS(DATA_GOC!$H:$H,DATA_GOC!$A:$A,"BOM",DATA_GOC!$D:$D,$H4277,DATA_GOC!$E:$E,$C4277,DATA_GOC!$F:$F,"Xuất nội bộ từ téc",DATA_GOC!$B:$B,"&gt;="&amp;$D4277,DATA_GOC!$B:$B,"&lt;="&amp;$E4277))</f>
        <v/>
      </c>
      <c r="J4277" s="59">
        <f t="shared" si="28"/>
        <v>0</v>
      </c>
      <c r="K4277" s="59">
        <f t="shared" si="29"/>
        <v>0</v>
      </c>
      <c r="L4277" s="59">
        <f t="shared" si="30"/>
        <v>0</v>
      </c>
      <c r="M4277" s="59">
        <f t="shared" si="31"/>
        <v>0</v>
      </c>
    </row>
    <row r="4278" ht="15.0" hidden="1" customHeight="1">
      <c r="A4278" s="59">
        <f t="shared" si="20"/>
        <v>68</v>
      </c>
      <c r="B4278" s="59" t="str">
        <f t="shared" si="21"/>
        <v/>
      </c>
      <c r="C4278" s="59" t="str">
        <f t="shared" si="22"/>
        <v/>
      </c>
      <c r="D4278" s="45" t="str">
        <f t="shared" si="23"/>
        <v/>
      </c>
      <c r="E4278" s="45" t="str">
        <f t="shared" si="24"/>
        <v/>
      </c>
      <c r="F4278" s="59" t="str">
        <f t="shared" si="25"/>
        <v/>
      </c>
      <c r="G4278" s="59" t="str">
        <f t="shared" si="26"/>
        <v/>
      </c>
      <c r="H4278" s="59" t="str">
        <f t="shared" si="27"/>
        <v>28C05090</v>
      </c>
      <c r="I4278" s="59" t="str">
        <f>IF(OR($A4278="",$C4278="",$D4278="",$E4278="",$H4278=""),"",SUMIFS(DATA_GOC!$H:$H,DATA_GOC!$A:$A,"BOM",DATA_GOC!$D:$D,$H4278,DATA_GOC!$E:$E,$C4278,DATA_GOC!$F:$F,"Xuất nội bộ từ téc",DATA_GOC!$B:$B,"&gt;="&amp;$D4278,DATA_GOC!$B:$B,"&lt;="&amp;$E4278))</f>
        <v/>
      </c>
      <c r="J4278" s="59">
        <f t="shared" si="28"/>
        <v>0</v>
      </c>
      <c r="K4278" s="59">
        <f t="shared" si="29"/>
        <v>0</v>
      </c>
      <c r="L4278" s="59">
        <f t="shared" si="30"/>
        <v>0</v>
      </c>
      <c r="M4278" s="59">
        <f t="shared" si="31"/>
        <v>0</v>
      </c>
    </row>
    <row r="4279" ht="15.0" hidden="1" customHeight="1">
      <c r="A4279" s="59">
        <f t="shared" si="20"/>
        <v>68</v>
      </c>
      <c r="B4279" s="59" t="str">
        <f t="shared" si="21"/>
        <v/>
      </c>
      <c r="C4279" s="59" t="str">
        <f t="shared" si="22"/>
        <v/>
      </c>
      <c r="D4279" s="45" t="str">
        <f t="shared" si="23"/>
        <v/>
      </c>
      <c r="E4279" s="45" t="str">
        <f t="shared" si="24"/>
        <v/>
      </c>
      <c r="F4279" s="59" t="str">
        <f t="shared" si="25"/>
        <v/>
      </c>
      <c r="G4279" s="59" t="str">
        <f t="shared" si="26"/>
        <v/>
      </c>
      <c r="H4279" s="59" t="str">
        <f t="shared" si="27"/>
        <v>28C05345</v>
      </c>
      <c r="I4279" s="59" t="str">
        <f>IF(OR($A4279="",$C4279="",$D4279="",$E4279="",$H4279=""),"",SUMIFS(DATA_GOC!$H:$H,DATA_GOC!$A:$A,"BOM",DATA_GOC!$D:$D,$H4279,DATA_GOC!$E:$E,$C4279,DATA_GOC!$F:$F,"Xuất nội bộ từ téc",DATA_GOC!$B:$B,"&gt;="&amp;$D4279,DATA_GOC!$B:$B,"&lt;="&amp;$E4279))</f>
        <v/>
      </c>
      <c r="J4279" s="59">
        <f t="shared" si="28"/>
        <v>0</v>
      </c>
      <c r="K4279" s="59">
        <f t="shared" si="29"/>
        <v>0</v>
      </c>
      <c r="L4279" s="59">
        <f t="shared" si="30"/>
        <v>0</v>
      </c>
      <c r="M4279" s="59">
        <f t="shared" si="31"/>
        <v>0</v>
      </c>
    </row>
    <row r="4280" ht="15.0" hidden="1" customHeight="1">
      <c r="A4280" s="59">
        <f t="shared" si="20"/>
        <v>68</v>
      </c>
      <c r="B4280" s="59" t="str">
        <f t="shared" si="21"/>
        <v/>
      </c>
      <c r="C4280" s="59" t="str">
        <f t="shared" si="22"/>
        <v/>
      </c>
      <c r="D4280" s="45" t="str">
        <f t="shared" si="23"/>
        <v/>
      </c>
      <c r="E4280" s="45" t="str">
        <f t="shared" si="24"/>
        <v/>
      </c>
      <c r="F4280" s="59" t="str">
        <f t="shared" si="25"/>
        <v/>
      </c>
      <c r="G4280" s="59" t="str">
        <f t="shared" si="26"/>
        <v/>
      </c>
      <c r="H4280" s="59" t="str">
        <f t="shared" si="27"/>
        <v>28C05661</v>
      </c>
      <c r="I4280" s="59" t="str">
        <f>IF(OR($A4280="",$C4280="",$D4280="",$E4280="",$H4280=""),"",SUMIFS(DATA_GOC!$H:$H,DATA_GOC!$A:$A,"BOM",DATA_GOC!$D:$D,$H4280,DATA_GOC!$E:$E,$C4280,DATA_GOC!$F:$F,"Xuất nội bộ từ téc",DATA_GOC!$B:$B,"&gt;="&amp;$D4280,DATA_GOC!$B:$B,"&lt;="&amp;$E4280))</f>
        <v/>
      </c>
      <c r="J4280" s="59">
        <f t="shared" si="28"/>
        <v>0</v>
      </c>
      <c r="K4280" s="59">
        <f t="shared" si="29"/>
        <v>0</v>
      </c>
      <c r="L4280" s="59">
        <f t="shared" si="30"/>
        <v>0</v>
      </c>
      <c r="M4280" s="59">
        <f t="shared" si="31"/>
        <v>0</v>
      </c>
    </row>
    <row r="4281" ht="15.0" hidden="1" customHeight="1">
      <c r="A4281" s="59">
        <f t="shared" si="20"/>
        <v>68</v>
      </c>
      <c r="B4281" s="59" t="str">
        <f t="shared" si="21"/>
        <v/>
      </c>
      <c r="C4281" s="59" t="str">
        <f t="shared" si="22"/>
        <v/>
      </c>
      <c r="D4281" s="45" t="str">
        <f t="shared" si="23"/>
        <v/>
      </c>
      <c r="E4281" s="45" t="str">
        <f t="shared" si="24"/>
        <v/>
      </c>
      <c r="F4281" s="59" t="str">
        <f t="shared" si="25"/>
        <v/>
      </c>
      <c r="G4281" s="59" t="str">
        <f t="shared" si="26"/>
        <v/>
      </c>
      <c r="H4281" s="59" t="str">
        <f t="shared" si="27"/>
        <v>28C05739</v>
      </c>
      <c r="I4281" s="59" t="str">
        <f>IF(OR($A4281="",$C4281="",$D4281="",$E4281="",$H4281=""),"",SUMIFS(DATA_GOC!$H:$H,DATA_GOC!$A:$A,"BOM",DATA_GOC!$D:$D,$H4281,DATA_GOC!$E:$E,$C4281,DATA_GOC!$F:$F,"Xuất nội bộ từ téc",DATA_GOC!$B:$B,"&gt;="&amp;$D4281,DATA_GOC!$B:$B,"&lt;="&amp;$E4281))</f>
        <v/>
      </c>
      <c r="J4281" s="59">
        <f t="shared" si="28"/>
        <v>0</v>
      </c>
      <c r="K4281" s="59">
        <f t="shared" si="29"/>
        <v>0</v>
      </c>
      <c r="L4281" s="59">
        <f t="shared" si="30"/>
        <v>0</v>
      </c>
      <c r="M4281" s="59">
        <f t="shared" si="31"/>
        <v>0</v>
      </c>
    </row>
    <row r="4282" ht="15.0" hidden="1" customHeight="1">
      <c r="A4282" s="59">
        <f t="shared" si="20"/>
        <v>68</v>
      </c>
      <c r="B4282" s="59" t="str">
        <f t="shared" si="21"/>
        <v/>
      </c>
      <c r="C4282" s="59" t="str">
        <f t="shared" si="22"/>
        <v/>
      </c>
      <c r="D4282" s="45" t="str">
        <f t="shared" si="23"/>
        <v/>
      </c>
      <c r="E4282" s="45" t="str">
        <f t="shared" si="24"/>
        <v/>
      </c>
      <c r="F4282" s="59" t="str">
        <f t="shared" si="25"/>
        <v/>
      </c>
      <c r="G4282" s="59" t="str">
        <f t="shared" si="26"/>
        <v/>
      </c>
      <c r="H4282" s="59" t="str">
        <f t="shared" si="27"/>
        <v>28C06369</v>
      </c>
      <c r="I4282" s="59" t="str">
        <f>IF(OR($A4282="",$C4282="",$D4282="",$E4282="",$H4282=""),"",SUMIFS(DATA_GOC!$H:$H,DATA_GOC!$A:$A,"BOM",DATA_GOC!$D:$D,$H4282,DATA_GOC!$E:$E,$C4282,DATA_GOC!$F:$F,"Xuất nội bộ từ téc",DATA_GOC!$B:$B,"&gt;="&amp;$D4282,DATA_GOC!$B:$B,"&lt;="&amp;$E4282))</f>
        <v/>
      </c>
      <c r="J4282" s="59">
        <f t="shared" si="28"/>
        <v>0</v>
      </c>
      <c r="K4282" s="59">
        <f t="shared" si="29"/>
        <v>0</v>
      </c>
      <c r="L4282" s="59">
        <f t="shared" si="30"/>
        <v>0</v>
      </c>
      <c r="M4282" s="59">
        <f t="shared" si="31"/>
        <v>0</v>
      </c>
    </row>
    <row r="4283" ht="15.0" hidden="1" customHeight="1">
      <c r="A4283" s="59">
        <f t="shared" si="20"/>
        <v>68</v>
      </c>
      <c r="B4283" s="59" t="str">
        <f t="shared" si="21"/>
        <v/>
      </c>
      <c r="C4283" s="59" t="str">
        <f t="shared" si="22"/>
        <v/>
      </c>
      <c r="D4283" s="45" t="str">
        <f t="shared" si="23"/>
        <v/>
      </c>
      <c r="E4283" s="45" t="str">
        <f t="shared" si="24"/>
        <v/>
      </c>
      <c r="F4283" s="59" t="str">
        <f t="shared" si="25"/>
        <v/>
      </c>
      <c r="G4283" s="59" t="str">
        <f t="shared" si="26"/>
        <v/>
      </c>
      <c r="H4283" s="59" t="str">
        <f t="shared" si="27"/>
        <v>28C06447</v>
      </c>
      <c r="I4283" s="59" t="str">
        <f>IF(OR($A4283="",$C4283="",$D4283="",$E4283="",$H4283=""),"",SUMIFS(DATA_GOC!$H:$H,DATA_GOC!$A:$A,"BOM",DATA_GOC!$D:$D,$H4283,DATA_GOC!$E:$E,$C4283,DATA_GOC!$F:$F,"Xuất nội bộ từ téc",DATA_GOC!$B:$B,"&gt;="&amp;$D4283,DATA_GOC!$B:$B,"&lt;="&amp;$E4283))</f>
        <v/>
      </c>
      <c r="J4283" s="59">
        <f t="shared" si="28"/>
        <v>0</v>
      </c>
      <c r="K4283" s="59">
        <f t="shared" si="29"/>
        <v>0</v>
      </c>
      <c r="L4283" s="59">
        <f t="shared" si="30"/>
        <v>0</v>
      </c>
      <c r="M4283" s="59">
        <f t="shared" si="31"/>
        <v>0</v>
      </c>
    </row>
    <row r="4284" ht="15.0" hidden="1" customHeight="1">
      <c r="A4284" s="59">
        <f t="shared" si="20"/>
        <v>68</v>
      </c>
      <c r="B4284" s="59" t="str">
        <f t="shared" si="21"/>
        <v/>
      </c>
      <c r="C4284" s="59" t="str">
        <f t="shared" si="22"/>
        <v/>
      </c>
      <c r="D4284" s="45" t="str">
        <f t="shared" si="23"/>
        <v/>
      </c>
      <c r="E4284" s="45" t="str">
        <f t="shared" si="24"/>
        <v/>
      </c>
      <c r="F4284" s="59" t="str">
        <f t="shared" si="25"/>
        <v/>
      </c>
      <c r="G4284" s="59" t="str">
        <f t="shared" si="26"/>
        <v/>
      </c>
      <c r="H4284" s="59" t="str">
        <f t="shared" si="27"/>
        <v>28H00003</v>
      </c>
      <c r="I4284" s="59" t="str">
        <f>IF(OR($A4284="",$C4284="",$D4284="",$E4284="",$H4284=""),"",SUMIFS(DATA_GOC!$H:$H,DATA_GOC!$A:$A,"BOM",DATA_GOC!$D:$D,$H4284,DATA_GOC!$E:$E,$C4284,DATA_GOC!$F:$F,"Xuất nội bộ từ téc",DATA_GOC!$B:$B,"&gt;="&amp;$D4284,DATA_GOC!$B:$B,"&lt;="&amp;$E4284))</f>
        <v/>
      </c>
      <c r="J4284" s="59">
        <f t="shared" si="28"/>
        <v>0</v>
      </c>
      <c r="K4284" s="59">
        <f t="shared" si="29"/>
        <v>0</v>
      </c>
      <c r="L4284" s="59">
        <f t="shared" si="30"/>
        <v>0</v>
      </c>
      <c r="M4284" s="59">
        <f t="shared" si="31"/>
        <v>0</v>
      </c>
    </row>
    <row r="4285" ht="15.0" hidden="1" customHeight="1">
      <c r="A4285" s="59">
        <f t="shared" si="20"/>
        <v>68</v>
      </c>
      <c r="B4285" s="59" t="str">
        <f t="shared" si="21"/>
        <v/>
      </c>
      <c r="C4285" s="59" t="str">
        <f t="shared" si="22"/>
        <v/>
      </c>
      <c r="D4285" s="45" t="str">
        <f t="shared" si="23"/>
        <v/>
      </c>
      <c r="E4285" s="45" t="str">
        <f t="shared" si="24"/>
        <v/>
      </c>
      <c r="F4285" s="59" t="str">
        <f t="shared" si="25"/>
        <v/>
      </c>
      <c r="G4285" s="59" t="str">
        <f t="shared" si="26"/>
        <v/>
      </c>
      <c r="H4285" s="59" t="str">
        <f t="shared" si="27"/>
        <v>28H00061</v>
      </c>
      <c r="I4285" s="59" t="str">
        <f>IF(OR($A4285="",$C4285="",$D4285="",$E4285="",$H4285=""),"",SUMIFS(DATA_GOC!$H:$H,DATA_GOC!$A:$A,"BOM",DATA_GOC!$D:$D,$H4285,DATA_GOC!$E:$E,$C4285,DATA_GOC!$F:$F,"Xuất nội bộ từ téc",DATA_GOC!$B:$B,"&gt;="&amp;$D4285,DATA_GOC!$B:$B,"&lt;="&amp;$E4285))</f>
        <v/>
      </c>
      <c r="J4285" s="59">
        <f t="shared" si="28"/>
        <v>0</v>
      </c>
      <c r="K4285" s="59">
        <f t="shared" si="29"/>
        <v>0</v>
      </c>
      <c r="L4285" s="59">
        <f t="shared" si="30"/>
        <v>0</v>
      </c>
      <c r="M4285" s="59">
        <f t="shared" si="31"/>
        <v>0</v>
      </c>
    </row>
    <row r="4286" ht="15.0" hidden="1" customHeight="1">
      <c r="A4286" s="59">
        <f t="shared" si="20"/>
        <v>68</v>
      </c>
      <c r="B4286" s="59" t="str">
        <f t="shared" si="21"/>
        <v/>
      </c>
      <c r="C4286" s="59" t="str">
        <f t="shared" si="22"/>
        <v/>
      </c>
      <c r="D4286" s="45" t="str">
        <f t="shared" si="23"/>
        <v/>
      </c>
      <c r="E4286" s="45" t="str">
        <f t="shared" si="24"/>
        <v/>
      </c>
      <c r="F4286" s="59" t="str">
        <f t="shared" si="25"/>
        <v/>
      </c>
      <c r="G4286" s="59" t="str">
        <f t="shared" si="26"/>
        <v/>
      </c>
      <c r="H4286" s="59" t="str">
        <f t="shared" si="27"/>
        <v>28H00354</v>
      </c>
      <c r="I4286" s="59" t="str">
        <f>IF(OR($A4286="",$C4286="",$D4286="",$E4286="",$H4286=""),"",SUMIFS(DATA_GOC!$H:$H,DATA_GOC!$A:$A,"BOM",DATA_GOC!$D:$D,$H4286,DATA_GOC!$E:$E,$C4286,DATA_GOC!$F:$F,"Xuất nội bộ từ téc",DATA_GOC!$B:$B,"&gt;="&amp;$D4286,DATA_GOC!$B:$B,"&lt;="&amp;$E4286))</f>
        <v/>
      </c>
      <c r="J4286" s="59">
        <f t="shared" si="28"/>
        <v>0</v>
      </c>
      <c r="K4286" s="59">
        <f t="shared" si="29"/>
        <v>0</v>
      </c>
      <c r="L4286" s="59">
        <f t="shared" si="30"/>
        <v>0</v>
      </c>
      <c r="M4286" s="59">
        <f t="shared" si="31"/>
        <v>0</v>
      </c>
    </row>
    <row r="4287" ht="15.0" hidden="1" customHeight="1">
      <c r="A4287" s="59">
        <f t="shared" si="20"/>
        <v>68</v>
      </c>
      <c r="B4287" s="59" t="str">
        <f t="shared" si="21"/>
        <v/>
      </c>
      <c r="C4287" s="59" t="str">
        <f t="shared" si="22"/>
        <v/>
      </c>
      <c r="D4287" s="45" t="str">
        <f t="shared" si="23"/>
        <v/>
      </c>
      <c r="E4287" s="45" t="str">
        <f t="shared" si="24"/>
        <v/>
      </c>
      <c r="F4287" s="59" t="str">
        <f t="shared" si="25"/>
        <v/>
      </c>
      <c r="G4287" s="59" t="str">
        <f t="shared" si="26"/>
        <v/>
      </c>
      <c r="H4287" s="59" t="str">
        <f t="shared" si="27"/>
        <v>28H00603</v>
      </c>
      <c r="I4287" s="59" t="str">
        <f>IF(OR($A4287="",$C4287="",$D4287="",$E4287="",$H4287=""),"",SUMIFS(DATA_GOC!$H:$H,DATA_GOC!$A:$A,"BOM",DATA_GOC!$D:$D,$H4287,DATA_GOC!$E:$E,$C4287,DATA_GOC!$F:$F,"Xuất nội bộ từ téc",DATA_GOC!$B:$B,"&gt;="&amp;$D4287,DATA_GOC!$B:$B,"&lt;="&amp;$E4287))</f>
        <v/>
      </c>
      <c r="J4287" s="59">
        <f t="shared" si="28"/>
        <v>0</v>
      </c>
      <c r="K4287" s="59">
        <f t="shared" si="29"/>
        <v>0</v>
      </c>
      <c r="L4287" s="59">
        <f t="shared" si="30"/>
        <v>0</v>
      </c>
      <c r="M4287" s="59">
        <f t="shared" si="31"/>
        <v>0</v>
      </c>
    </row>
    <row r="4288" ht="15.0" hidden="1" customHeight="1">
      <c r="A4288" s="59">
        <f t="shared" si="20"/>
        <v>68</v>
      </c>
      <c r="B4288" s="59" t="str">
        <f t="shared" si="21"/>
        <v/>
      </c>
      <c r="C4288" s="59" t="str">
        <f t="shared" si="22"/>
        <v/>
      </c>
      <c r="D4288" s="45" t="str">
        <f t="shared" si="23"/>
        <v/>
      </c>
      <c r="E4288" s="45" t="str">
        <f t="shared" si="24"/>
        <v/>
      </c>
      <c r="F4288" s="59" t="str">
        <f t="shared" si="25"/>
        <v/>
      </c>
      <c r="G4288" s="59" t="str">
        <f t="shared" si="26"/>
        <v/>
      </c>
      <c r="H4288" s="59" t="str">
        <f t="shared" si="27"/>
        <v>28H00609</v>
      </c>
      <c r="I4288" s="59" t="str">
        <f>IF(OR($A4288="",$C4288="",$D4288="",$E4288="",$H4288=""),"",SUMIFS(DATA_GOC!$H:$H,DATA_GOC!$A:$A,"BOM",DATA_GOC!$D:$D,$H4288,DATA_GOC!$E:$E,$C4288,DATA_GOC!$F:$F,"Xuất nội bộ từ téc",DATA_GOC!$B:$B,"&gt;="&amp;$D4288,DATA_GOC!$B:$B,"&lt;="&amp;$E4288))</f>
        <v/>
      </c>
      <c r="J4288" s="59">
        <f t="shared" si="28"/>
        <v>0</v>
      </c>
      <c r="K4288" s="59">
        <f t="shared" si="29"/>
        <v>0</v>
      </c>
      <c r="L4288" s="59">
        <f t="shared" si="30"/>
        <v>0</v>
      </c>
      <c r="M4288" s="59">
        <f t="shared" si="31"/>
        <v>0</v>
      </c>
    </row>
    <row r="4289" ht="15.0" hidden="1" customHeight="1">
      <c r="A4289" s="59">
        <f t="shared" si="20"/>
        <v>68</v>
      </c>
      <c r="B4289" s="59" t="str">
        <f t="shared" si="21"/>
        <v/>
      </c>
      <c r="C4289" s="59" t="str">
        <f t="shared" si="22"/>
        <v/>
      </c>
      <c r="D4289" s="45" t="str">
        <f t="shared" si="23"/>
        <v/>
      </c>
      <c r="E4289" s="45" t="str">
        <f t="shared" si="24"/>
        <v/>
      </c>
      <c r="F4289" s="59" t="str">
        <f t="shared" si="25"/>
        <v/>
      </c>
      <c r="G4289" s="59" t="str">
        <f t="shared" si="26"/>
        <v/>
      </c>
      <c r="H4289" s="59" t="str">
        <f t="shared" si="27"/>
        <v>28H00669</v>
      </c>
      <c r="I4289" s="59" t="str">
        <f>IF(OR($A4289="",$C4289="",$D4289="",$E4289="",$H4289=""),"",SUMIFS(DATA_GOC!$H:$H,DATA_GOC!$A:$A,"BOM",DATA_GOC!$D:$D,$H4289,DATA_GOC!$E:$E,$C4289,DATA_GOC!$F:$F,"Xuất nội bộ từ téc",DATA_GOC!$B:$B,"&gt;="&amp;$D4289,DATA_GOC!$B:$B,"&lt;="&amp;$E4289))</f>
        <v/>
      </c>
      <c r="J4289" s="59">
        <f t="shared" si="28"/>
        <v>0</v>
      </c>
      <c r="K4289" s="59">
        <f t="shared" si="29"/>
        <v>0</v>
      </c>
      <c r="L4289" s="59">
        <f t="shared" si="30"/>
        <v>0</v>
      </c>
      <c r="M4289" s="59">
        <f t="shared" si="31"/>
        <v>0</v>
      </c>
    </row>
    <row r="4290" ht="15.0" hidden="1" customHeight="1">
      <c r="A4290" s="59">
        <f t="shared" si="20"/>
        <v>68</v>
      </c>
      <c r="B4290" s="59" t="str">
        <f t="shared" si="21"/>
        <v/>
      </c>
      <c r="C4290" s="59" t="str">
        <f t="shared" si="22"/>
        <v/>
      </c>
      <c r="D4290" s="45" t="str">
        <f t="shared" si="23"/>
        <v/>
      </c>
      <c r="E4290" s="45" t="str">
        <f t="shared" si="24"/>
        <v/>
      </c>
      <c r="F4290" s="59" t="str">
        <f t="shared" si="25"/>
        <v/>
      </c>
      <c r="G4290" s="59" t="str">
        <f t="shared" si="26"/>
        <v/>
      </c>
      <c r="H4290" s="59" t="str">
        <f t="shared" si="27"/>
        <v>28H00680</v>
      </c>
      <c r="I4290" s="59" t="str">
        <f>IF(OR($A4290="",$C4290="",$D4290="",$E4290="",$H4290=""),"",SUMIFS(DATA_GOC!$H:$H,DATA_GOC!$A:$A,"BOM",DATA_GOC!$D:$D,$H4290,DATA_GOC!$E:$E,$C4290,DATA_GOC!$F:$F,"Xuất nội bộ từ téc",DATA_GOC!$B:$B,"&gt;="&amp;$D4290,DATA_GOC!$B:$B,"&lt;="&amp;$E4290))</f>
        <v/>
      </c>
      <c r="J4290" s="59">
        <f t="shared" si="28"/>
        <v>0</v>
      </c>
      <c r="K4290" s="59">
        <f t="shared" si="29"/>
        <v>0</v>
      </c>
      <c r="L4290" s="59">
        <f t="shared" si="30"/>
        <v>0</v>
      </c>
      <c r="M4290" s="59">
        <f t="shared" si="31"/>
        <v>0</v>
      </c>
    </row>
    <row r="4291" ht="15.0" hidden="1" customHeight="1">
      <c r="A4291" s="59">
        <f t="shared" si="20"/>
        <v>68</v>
      </c>
      <c r="B4291" s="59" t="str">
        <f t="shared" si="21"/>
        <v/>
      </c>
      <c r="C4291" s="59" t="str">
        <f t="shared" si="22"/>
        <v/>
      </c>
      <c r="D4291" s="45" t="str">
        <f t="shared" si="23"/>
        <v/>
      </c>
      <c r="E4291" s="45" t="str">
        <f t="shared" si="24"/>
        <v/>
      </c>
      <c r="F4291" s="59" t="str">
        <f t="shared" si="25"/>
        <v/>
      </c>
      <c r="G4291" s="59" t="str">
        <f t="shared" si="26"/>
        <v/>
      </c>
      <c r="H4291" s="59" t="str">
        <f t="shared" si="27"/>
        <v>28H01070</v>
      </c>
      <c r="I4291" s="59" t="str">
        <f>IF(OR($A4291="",$C4291="",$D4291="",$E4291="",$H4291=""),"",SUMIFS(DATA_GOC!$H:$H,DATA_GOC!$A:$A,"BOM",DATA_GOC!$D:$D,$H4291,DATA_GOC!$E:$E,$C4291,DATA_GOC!$F:$F,"Xuất nội bộ từ téc",DATA_GOC!$B:$B,"&gt;="&amp;$D4291,DATA_GOC!$B:$B,"&lt;="&amp;$E4291))</f>
        <v/>
      </c>
      <c r="J4291" s="59">
        <f t="shared" si="28"/>
        <v>0</v>
      </c>
      <c r="K4291" s="59">
        <f t="shared" si="29"/>
        <v>0</v>
      </c>
      <c r="L4291" s="59">
        <f t="shared" si="30"/>
        <v>0</v>
      </c>
      <c r="M4291" s="59">
        <f t="shared" si="31"/>
        <v>0</v>
      </c>
    </row>
    <row r="4292" ht="15.0" hidden="1" customHeight="1">
      <c r="A4292" s="59">
        <f t="shared" si="20"/>
        <v>68</v>
      </c>
      <c r="B4292" s="59" t="str">
        <f t="shared" si="21"/>
        <v/>
      </c>
      <c r="C4292" s="59" t="str">
        <f t="shared" si="22"/>
        <v/>
      </c>
      <c r="D4292" s="45" t="str">
        <f t="shared" si="23"/>
        <v/>
      </c>
      <c r="E4292" s="45" t="str">
        <f t="shared" si="24"/>
        <v/>
      </c>
      <c r="F4292" s="59" t="str">
        <f t="shared" si="25"/>
        <v/>
      </c>
      <c r="G4292" s="59" t="str">
        <f t="shared" si="26"/>
        <v/>
      </c>
      <c r="H4292" s="59" t="str">
        <f t="shared" si="27"/>
        <v>28H01364</v>
      </c>
      <c r="I4292" s="59" t="str">
        <f>IF(OR($A4292="",$C4292="",$D4292="",$E4292="",$H4292=""),"",SUMIFS(DATA_GOC!$H:$H,DATA_GOC!$A:$A,"BOM",DATA_GOC!$D:$D,$H4292,DATA_GOC!$E:$E,$C4292,DATA_GOC!$F:$F,"Xuất nội bộ từ téc",DATA_GOC!$B:$B,"&gt;="&amp;$D4292,DATA_GOC!$B:$B,"&lt;="&amp;$E4292))</f>
        <v/>
      </c>
      <c r="J4292" s="59">
        <f t="shared" si="28"/>
        <v>0</v>
      </c>
      <c r="K4292" s="59">
        <f t="shared" si="29"/>
        <v>0</v>
      </c>
      <c r="L4292" s="59">
        <f t="shared" si="30"/>
        <v>0</v>
      </c>
      <c r="M4292" s="59">
        <f t="shared" si="31"/>
        <v>0</v>
      </c>
    </row>
    <row r="4293" ht="15.0" hidden="1" customHeight="1">
      <c r="A4293" s="59">
        <f t="shared" si="20"/>
        <v>68</v>
      </c>
      <c r="B4293" s="59" t="str">
        <f t="shared" si="21"/>
        <v/>
      </c>
      <c r="C4293" s="59" t="str">
        <f t="shared" si="22"/>
        <v/>
      </c>
      <c r="D4293" s="45" t="str">
        <f t="shared" si="23"/>
        <v/>
      </c>
      <c r="E4293" s="45" t="str">
        <f t="shared" si="24"/>
        <v/>
      </c>
      <c r="F4293" s="59" t="str">
        <f t="shared" si="25"/>
        <v/>
      </c>
      <c r="G4293" s="59" t="str">
        <f t="shared" si="26"/>
        <v/>
      </c>
      <c r="H4293" s="59" t="str">
        <f t="shared" si="27"/>
        <v>29E17269</v>
      </c>
      <c r="I4293" s="59" t="str">
        <f>IF(OR($A4293="",$C4293="",$D4293="",$E4293="",$H4293=""),"",SUMIFS(DATA_GOC!$H:$H,DATA_GOC!$A:$A,"BOM",DATA_GOC!$D:$D,$H4293,DATA_GOC!$E:$E,$C4293,DATA_GOC!$F:$F,"Xuất nội bộ từ téc",DATA_GOC!$B:$B,"&gt;="&amp;$D4293,DATA_GOC!$B:$B,"&lt;="&amp;$E4293))</f>
        <v/>
      </c>
      <c r="J4293" s="59">
        <f t="shared" si="28"/>
        <v>0</v>
      </c>
      <c r="K4293" s="59">
        <f t="shared" si="29"/>
        <v>0</v>
      </c>
      <c r="L4293" s="59">
        <f t="shared" si="30"/>
        <v>0</v>
      </c>
      <c r="M4293" s="59">
        <f t="shared" si="31"/>
        <v>0</v>
      </c>
    </row>
    <row r="4294" ht="15.0" hidden="1" customHeight="1">
      <c r="A4294" s="59">
        <f t="shared" si="20"/>
        <v>68</v>
      </c>
      <c r="B4294" s="59" t="str">
        <f t="shared" si="21"/>
        <v/>
      </c>
      <c r="C4294" s="59" t="str">
        <f t="shared" si="22"/>
        <v/>
      </c>
      <c r="D4294" s="45" t="str">
        <f t="shared" si="23"/>
        <v/>
      </c>
      <c r="E4294" s="45" t="str">
        <f t="shared" si="24"/>
        <v/>
      </c>
      <c r="F4294" s="59" t="str">
        <f t="shared" si="25"/>
        <v/>
      </c>
      <c r="G4294" s="59" t="str">
        <f t="shared" si="26"/>
        <v/>
      </c>
      <c r="H4294" s="59" t="str">
        <f t="shared" si="27"/>
        <v>29E17273</v>
      </c>
      <c r="I4294" s="59" t="str">
        <f>IF(OR($A4294="",$C4294="",$D4294="",$E4294="",$H4294=""),"",SUMIFS(DATA_GOC!$H:$H,DATA_GOC!$A:$A,"BOM",DATA_GOC!$D:$D,$H4294,DATA_GOC!$E:$E,$C4294,DATA_GOC!$F:$F,"Xuất nội bộ từ téc",DATA_GOC!$B:$B,"&gt;="&amp;$D4294,DATA_GOC!$B:$B,"&lt;="&amp;$E4294))</f>
        <v/>
      </c>
      <c r="J4294" s="59">
        <f t="shared" si="28"/>
        <v>0</v>
      </c>
      <c r="K4294" s="59">
        <f t="shared" si="29"/>
        <v>0</v>
      </c>
      <c r="L4294" s="59">
        <f t="shared" si="30"/>
        <v>0</v>
      </c>
      <c r="M4294" s="59">
        <f t="shared" si="31"/>
        <v>0</v>
      </c>
    </row>
    <row r="4295" ht="15.0" hidden="1" customHeight="1">
      <c r="A4295" s="59">
        <f t="shared" si="20"/>
        <v>68</v>
      </c>
      <c r="B4295" s="59" t="str">
        <f t="shared" si="21"/>
        <v/>
      </c>
      <c r="C4295" s="59" t="str">
        <f t="shared" si="22"/>
        <v/>
      </c>
      <c r="D4295" s="45" t="str">
        <f t="shared" si="23"/>
        <v/>
      </c>
      <c r="E4295" s="45" t="str">
        <f t="shared" si="24"/>
        <v/>
      </c>
      <c r="F4295" s="59" t="str">
        <f t="shared" si="25"/>
        <v/>
      </c>
      <c r="G4295" s="59" t="str">
        <f t="shared" si="26"/>
        <v/>
      </c>
      <c r="H4295" s="59" t="str">
        <f t="shared" si="27"/>
        <v>29E17410</v>
      </c>
      <c r="I4295" s="59" t="str">
        <f>IF(OR($A4295="",$C4295="",$D4295="",$E4295="",$H4295=""),"",SUMIFS(DATA_GOC!$H:$H,DATA_GOC!$A:$A,"BOM",DATA_GOC!$D:$D,$H4295,DATA_GOC!$E:$E,$C4295,DATA_GOC!$F:$F,"Xuất nội bộ từ téc",DATA_GOC!$B:$B,"&gt;="&amp;$D4295,DATA_GOC!$B:$B,"&lt;="&amp;$E4295))</f>
        <v/>
      </c>
      <c r="J4295" s="59">
        <f t="shared" si="28"/>
        <v>0</v>
      </c>
      <c r="K4295" s="59">
        <f t="shared" si="29"/>
        <v>0</v>
      </c>
      <c r="L4295" s="59">
        <f t="shared" si="30"/>
        <v>0</v>
      </c>
      <c r="M4295" s="59">
        <f t="shared" si="31"/>
        <v>0</v>
      </c>
    </row>
    <row r="4296" ht="15.0" hidden="1" customHeight="1">
      <c r="A4296" s="59">
        <f t="shared" si="20"/>
        <v>68</v>
      </c>
      <c r="B4296" s="59" t="str">
        <f t="shared" si="21"/>
        <v/>
      </c>
      <c r="C4296" s="59" t="str">
        <f t="shared" si="22"/>
        <v/>
      </c>
      <c r="D4296" s="45" t="str">
        <f t="shared" si="23"/>
        <v/>
      </c>
      <c r="E4296" s="45" t="str">
        <f t="shared" si="24"/>
        <v/>
      </c>
      <c r="F4296" s="59" t="str">
        <f t="shared" si="25"/>
        <v/>
      </c>
      <c r="G4296" s="59" t="str">
        <f t="shared" si="26"/>
        <v/>
      </c>
      <c r="H4296" s="59" t="str">
        <f t="shared" si="27"/>
        <v>29E17417</v>
      </c>
      <c r="I4296" s="59" t="str">
        <f>IF(OR($A4296="",$C4296="",$D4296="",$E4296="",$H4296=""),"",SUMIFS(DATA_GOC!$H:$H,DATA_GOC!$A:$A,"BOM",DATA_GOC!$D:$D,$H4296,DATA_GOC!$E:$E,$C4296,DATA_GOC!$F:$F,"Xuất nội bộ từ téc",DATA_GOC!$B:$B,"&gt;="&amp;$D4296,DATA_GOC!$B:$B,"&lt;="&amp;$E4296))</f>
        <v/>
      </c>
      <c r="J4296" s="59">
        <f t="shared" si="28"/>
        <v>0</v>
      </c>
      <c r="K4296" s="59">
        <f t="shared" si="29"/>
        <v>0</v>
      </c>
      <c r="L4296" s="59">
        <f t="shared" si="30"/>
        <v>0</v>
      </c>
      <c r="M4296" s="59">
        <f t="shared" si="31"/>
        <v>0</v>
      </c>
    </row>
    <row r="4297" ht="15.0" hidden="1" customHeight="1">
      <c r="A4297" s="59">
        <f t="shared" si="20"/>
        <v>68</v>
      </c>
      <c r="B4297" s="59" t="str">
        <f t="shared" si="21"/>
        <v/>
      </c>
      <c r="C4297" s="59" t="str">
        <f t="shared" si="22"/>
        <v/>
      </c>
      <c r="D4297" s="45" t="str">
        <f t="shared" si="23"/>
        <v/>
      </c>
      <c r="E4297" s="45" t="str">
        <f t="shared" si="24"/>
        <v/>
      </c>
      <c r="F4297" s="59" t="str">
        <f t="shared" si="25"/>
        <v/>
      </c>
      <c r="G4297" s="59" t="str">
        <f t="shared" si="26"/>
        <v/>
      </c>
      <c r="H4297" s="59" t="str">
        <f t="shared" si="27"/>
        <v>29E17539</v>
      </c>
      <c r="I4297" s="59" t="str">
        <f>IF(OR($A4297="",$C4297="",$D4297="",$E4297="",$H4297=""),"",SUMIFS(DATA_GOC!$H:$H,DATA_GOC!$A:$A,"BOM",DATA_GOC!$D:$D,$H4297,DATA_GOC!$E:$E,$C4297,DATA_GOC!$F:$F,"Xuất nội bộ từ téc",DATA_GOC!$B:$B,"&gt;="&amp;$D4297,DATA_GOC!$B:$B,"&lt;="&amp;$E4297))</f>
        <v/>
      </c>
      <c r="J4297" s="59">
        <f t="shared" si="28"/>
        <v>0</v>
      </c>
      <c r="K4297" s="59">
        <f t="shared" si="29"/>
        <v>0</v>
      </c>
      <c r="L4297" s="59">
        <f t="shared" si="30"/>
        <v>0</v>
      </c>
      <c r="M4297" s="59">
        <f t="shared" si="31"/>
        <v>0</v>
      </c>
    </row>
    <row r="4298" ht="15.0" hidden="1" customHeight="1">
      <c r="A4298" s="59">
        <f t="shared" si="20"/>
        <v>68</v>
      </c>
      <c r="B4298" s="59" t="str">
        <f t="shared" si="21"/>
        <v/>
      </c>
      <c r="C4298" s="59" t="str">
        <f t="shared" si="22"/>
        <v/>
      </c>
      <c r="D4298" s="45" t="str">
        <f t="shared" si="23"/>
        <v/>
      </c>
      <c r="E4298" s="45" t="str">
        <f t="shared" si="24"/>
        <v/>
      </c>
      <c r="F4298" s="59" t="str">
        <f t="shared" si="25"/>
        <v/>
      </c>
      <c r="G4298" s="59" t="str">
        <f t="shared" si="26"/>
        <v/>
      </c>
      <c r="H4298" s="59" t="str">
        <f t="shared" si="27"/>
        <v>29E18160</v>
      </c>
      <c r="I4298" s="59" t="str">
        <f>IF(OR($A4298="",$C4298="",$D4298="",$E4298="",$H4298=""),"",SUMIFS(DATA_GOC!$H:$H,DATA_GOC!$A:$A,"BOM",DATA_GOC!$D:$D,$H4298,DATA_GOC!$E:$E,$C4298,DATA_GOC!$F:$F,"Xuất nội bộ từ téc",DATA_GOC!$B:$B,"&gt;="&amp;$D4298,DATA_GOC!$B:$B,"&lt;="&amp;$E4298))</f>
        <v/>
      </c>
      <c r="J4298" s="59">
        <f t="shared" si="28"/>
        <v>0</v>
      </c>
      <c r="K4298" s="59">
        <f t="shared" si="29"/>
        <v>0</v>
      </c>
      <c r="L4298" s="59">
        <f t="shared" si="30"/>
        <v>0</v>
      </c>
      <c r="M4298" s="59">
        <f t="shared" si="31"/>
        <v>0</v>
      </c>
    </row>
    <row r="4299" ht="15.0" hidden="1" customHeight="1">
      <c r="A4299" s="59">
        <f t="shared" si="20"/>
        <v>68</v>
      </c>
      <c r="B4299" s="59" t="str">
        <f t="shared" si="21"/>
        <v/>
      </c>
      <c r="C4299" s="59" t="str">
        <f t="shared" si="22"/>
        <v/>
      </c>
      <c r="D4299" s="45" t="str">
        <f t="shared" si="23"/>
        <v/>
      </c>
      <c r="E4299" s="45" t="str">
        <f t="shared" si="24"/>
        <v/>
      </c>
      <c r="F4299" s="59" t="str">
        <f t="shared" si="25"/>
        <v/>
      </c>
      <c r="G4299" s="59" t="str">
        <f t="shared" si="26"/>
        <v/>
      </c>
      <c r="H4299" s="59" t="str">
        <f t="shared" si="27"/>
        <v>Công trình Asphalt</v>
      </c>
      <c r="I4299" s="59" t="str">
        <f>IF(OR($A4299="",$C4299="",$D4299="",$E4299="",$H4299=""),"",SUMIFS(DATA_GOC!$H:$H,DATA_GOC!$A:$A,"BOM",DATA_GOC!$D:$D,$H4299,DATA_GOC!$E:$E,$C4299,DATA_GOC!$F:$F,"Xuất nội bộ từ téc",DATA_GOC!$B:$B,"&gt;="&amp;$D4299,DATA_GOC!$B:$B,"&lt;="&amp;$E4299))</f>
        <v/>
      </c>
      <c r="J4299" s="59">
        <f t="shared" si="28"/>
        <v>0</v>
      </c>
      <c r="K4299" s="59">
        <f t="shared" si="29"/>
        <v>0</v>
      </c>
      <c r="L4299" s="59">
        <f t="shared" si="30"/>
        <v>0</v>
      </c>
      <c r="M4299" s="59">
        <f t="shared" si="31"/>
        <v>0</v>
      </c>
    </row>
    <row r="4300" ht="15.0" hidden="1" customHeight="1">
      <c r="A4300" s="59">
        <f t="shared" si="20"/>
        <v>68</v>
      </c>
      <c r="B4300" s="59" t="str">
        <f t="shared" si="21"/>
        <v/>
      </c>
      <c r="C4300" s="59" t="str">
        <f t="shared" si="22"/>
        <v/>
      </c>
      <c r="D4300" s="45" t="str">
        <f t="shared" si="23"/>
        <v/>
      </c>
      <c r="E4300" s="45" t="str">
        <f t="shared" si="24"/>
        <v/>
      </c>
      <c r="F4300" s="59" t="str">
        <f t="shared" si="25"/>
        <v/>
      </c>
      <c r="G4300" s="59" t="str">
        <f t="shared" si="26"/>
        <v/>
      </c>
      <c r="H4300" s="59" t="str">
        <f t="shared" si="27"/>
        <v>LG53F</v>
      </c>
      <c r="I4300" s="59" t="str">
        <f>IF(OR($A4300="",$C4300="",$D4300="",$E4300="",$H4300=""),"",SUMIFS(DATA_GOC!$H:$H,DATA_GOC!$A:$A,"BOM",DATA_GOC!$D:$D,$H4300,DATA_GOC!$E:$E,$C4300,DATA_GOC!$F:$F,"Xuất nội bộ từ téc",DATA_GOC!$B:$B,"&gt;="&amp;$D4300,DATA_GOC!$B:$B,"&lt;="&amp;$E4300))</f>
        <v/>
      </c>
      <c r="J4300" s="59">
        <f t="shared" si="28"/>
        <v>0</v>
      </c>
      <c r="K4300" s="59">
        <f t="shared" si="29"/>
        <v>0</v>
      </c>
      <c r="L4300" s="59">
        <f t="shared" si="30"/>
        <v>0</v>
      </c>
      <c r="M4300" s="59">
        <f t="shared" si="31"/>
        <v>0</v>
      </c>
    </row>
    <row r="4301" ht="15.0" hidden="1" customHeight="1">
      <c r="A4301" s="59">
        <f t="shared" si="20"/>
        <v>68</v>
      </c>
      <c r="B4301" s="59" t="str">
        <f t="shared" si="21"/>
        <v/>
      </c>
      <c r="C4301" s="59" t="str">
        <f t="shared" si="22"/>
        <v/>
      </c>
      <c r="D4301" s="45" t="str">
        <f t="shared" si="23"/>
        <v/>
      </c>
      <c r="E4301" s="45" t="str">
        <f t="shared" si="24"/>
        <v/>
      </c>
      <c r="F4301" s="59" t="str">
        <f t="shared" si="25"/>
        <v/>
      </c>
      <c r="G4301" s="59" t="str">
        <f t="shared" si="26"/>
        <v/>
      </c>
      <c r="H4301" s="59" t="str">
        <f t="shared" si="27"/>
        <v>Máy phát điện</v>
      </c>
      <c r="I4301" s="59" t="str">
        <f>IF(OR($A4301="",$C4301="",$D4301="",$E4301="",$H4301=""),"",SUMIFS(DATA_GOC!$H:$H,DATA_GOC!$A:$A,"BOM",DATA_GOC!$D:$D,$H4301,DATA_GOC!$E:$E,$C4301,DATA_GOC!$F:$F,"Xuất nội bộ từ téc",DATA_GOC!$B:$B,"&gt;="&amp;$D4301,DATA_GOC!$B:$B,"&lt;="&amp;$E4301))</f>
        <v/>
      </c>
      <c r="J4301" s="59">
        <f t="shared" si="28"/>
        <v>0</v>
      </c>
      <c r="K4301" s="59">
        <f t="shared" si="29"/>
        <v>0</v>
      </c>
      <c r="L4301" s="59">
        <f t="shared" si="30"/>
        <v>0</v>
      </c>
      <c r="M4301" s="59">
        <f t="shared" si="31"/>
        <v>0</v>
      </c>
    </row>
    <row r="4302" ht="15.0" hidden="1" customHeight="1">
      <c r="A4302" s="59">
        <f t="shared" si="20"/>
        <v>68</v>
      </c>
      <c r="B4302" s="59" t="str">
        <f t="shared" si="21"/>
        <v/>
      </c>
      <c r="C4302" s="59" t="str">
        <f t="shared" si="22"/>
        <v/>
      </c>
      <c r="D4302" s="45" t="str">
        <f t="shared" si="23"/>
        <v/>
      </c>
      <c r="E4302" s="45" t="str">
        <f t="shared" si="24"/>
        <v/>
      </c>
      <c r="F4302" s="59" t="str">
        <f t="shared" si="25"/>
        <v/>
      </c>
      <c r="G4302" s="59" t="str">
        <f t="shared" si="26"/>
        <v/>
      </c>
      <c r="H4302" s="59" t="str">
        <f t="shared" si="27"/>
        <v>Máy rải thảm</v>
      </c>
      <c r="I4302" s="59" t="str">
        <f>IF(OR($A4302="",$C4302="",$D4302="",$E4302="",$H4302=""),"",SUMIFS(DATA_GOC!$H:$H,DATA_GOC!$A:$A,"BOM",DATA_GOC!$D:$D,$H4302,DATA_GOC!$E:$E,$C4302,DATA_GOC!$F:$F,"Xuất nội bộ từ téc",DATA_GOC!$B:$B,"&gt;="&amp;$D4302,DATA_GOC!$B:$B,"&lt;="&amp;$E4302))</f>
        <v/>
      </c>
      <c r="J4302" s="59">
        <f t="shared" si="28"/>
        <v>0</v>
      </c>
      <c r="K4302" s="59">
        <f t="shared" si="29"/>
        <v>0</v>
      </c>
      <c r="L4302" s="59">
        <f t="shared" si="30"/>
        <v>0</v>
      </c>
      <c r="M4302" s="59">
        <f t="shared" si="31"/>
        <v>0</v>
      </c>
    </row>
    <row r="4303" ht="15.0" hidden="1" customHeight="1">
      <c r="A4303" s="59">
        <f t="shared" si="20"/>
        <v>68</v>
      </c>
      <c r="B4303" s="59" t="str">
        <f t="shared" si="21"/>
        <v/>
      </c>
      <c r="C4303" s="59" t="str">
        <f t="shared" si="22"/>
        <v/>
      </c>
      <c r="D4303" s="45" t="str">
        <f t="shared" si="23"/>
        <v/>
      </c>
      <c r="E4303" s="45" t="str">
        <f t="shared" si="24"/>
        <v/>
      </c>
      <c r="F4303" s="59" t="str">
        <f t="shared" si="25"/>
        <v/>
      </c>
      <c r="G4303" s="59" t="str">
        <f t="shared" si="26"/>
        <v/>
      </c>
      <c r="H4303" s="59" t="str">
        <f t="shared" si="27"/>
        <v>Xúc Đào</v>
      </c>
      <c r="I4303" s="59" t="str">
        <f>IF(OR($A4303="",$C4303="",$D4303="",$E4303="",$H4303=""),"",SUMIFS(DATA_GOC!$H:$H,DATA_GOC!$A:$A,"BOM",DATA_GOC!$D:$D,$H4303,DATA_GOC!$E:$E,$C4303,DATA_GOC!$F:$F,"Xuất nội bộ từ téc",DATA_GOC!$B:$B,"&gt;="&amp;$D4303,DATA_GOC!$B:$B,"&lt;="&amp;$E4303))</f>
        <v/>
      </c>
      <c r="J4303" s="59">
        <f t="shared" si="28"/>
        <v>0</v>
      </c>
      <c r="K4303" s="59">
        <f t="shared" si="29"/>
        <v>0</v>
      </c>
      <c r="L4303" s="59">
        <f t="shared" si="30"/>
        <v>0</v>
      </c>
      <c r="M4303" s="59">
        <f t="shared" si="31"/>
        <v>0</v>
      </c>
    </row>
    <row r="4304" ht="15.0" hidden="1" customHeight="1">
      <c r="A4304" s="59">
        <f t="shared" si="20"/>
        <v>68</v>
      </c>
      <c r="B4304" s="59" t="str">
        <f t="shared" si="21"/>
        <v/>
      </c>
      <c r="C4304" s="59" t="str">
        <f t="shared" si="22"/>
        <v/>
      </c>
      <c r="D4304" s="45" t="str">
        <f t="shared" si="23"/>
        <v/>
      </c>
      <c r="E4304" s="45" t="str">
        <f t="shared" si="24"/>
        <v/>
      </c>
      <c r="F4304" s="59" t="str">
        <f t="shared" si="25"/>
        <v/>
      </c>
      <c r="G4304" s="59" t="str">
        <f t="shared" si="26"/>
        <v/>
      </c>
      <c r="H4304" s="59" t="str">
        <f t="shared" si="27"/>
        <v>Xúclật asphalt</v>
      </c>
      <c r="I4304" s="59" t="str">
        <f>IF(OR($A4304="",$C4304="",$D4304="",$E4304="",$H4304=""),"",SUMIFS(DATA_GOC!$H:$H,DATA_GOC!$A:$A,"BOM",DATA_GOC!$D:$D,$H4304,DATA_GOC!$E:$E,$C4304,DATA_GOC!$F:$F,"Xuất nội bộ từ téc",DATA_GOC!$B:$B,"&gt;="&amp;$D4304,DATA_GOC!$B:$B,"&lt;="&amp;$E4304))</f>
        <v/>
      </c>
      <c r="J4304" s="59">
        <f t="shared" si="28"/>
        <v>0</v>
      </c>
      <c r="K4304" s="59">
        <f t="shared" si="29"/>
        <v>0</v>
      </c>
      <c r="L4304" s="59">
        <f t="shared" si="30"/>
        <v>0</v>
      </c>
      <c r="M4304" s="59">
        <f t="shared" si="31"/>
        <v>0</v>
      </c>
    </row>
    <row r="4305" ht="15.0" hidden="1" customHeight="1">
      <c r="A4305" s="59">
        <f t="shared" si="20"/>
        <v>68</v>
      </c>
      <c r="B4305" s="59" t="str">
        <f t="shared" si="21"/>
        <v/>
      </c>
      <c r="C4305" s="59" t="str">
        <f t="shared" si="22"/>
        <v/>
      </c>
      <c r="D4305" s="45" t="str">
        <f t="shared" si="23"/>
        <v/>
      </c>
      <c r="E4305" s="45" t="str">
        <f t="shared" si="24"/>
        <v/>
      </c>
      <c r="F4305" s="59" t="str">
        <f t="shared" si="25"/>
        <v/>
      </c>
      <c r="G4305" s="59" t="str">
        <f t="shared" si="26"/>
        <v/>
      </c>
      <c r="H4305" s="59" t="str">
        <f t="shared" si="27"/>
        <v>Xúclật855H</v>
      </c>
      <c r="I4305" s="59" t="str">
        <f>IF(OR($A4305="",$C4305="",$D4305="",$E4305="",$H4305=""),"",SUMIFS(DATA_GOC!$H:$H,DATA_GOC!$A:$A,"BOM",DATA_GOC!$D:$D,$H4305,DATA_GOC!$E:$E,$C4305,DATA_GOC!$F:$F,"Xuất nội bộ từ téc",DATA_GOC!$B:$B,"&gt;="&amp;$D4305,DATA_GOC!$B:$B,"&lt;="&amp;$E4305))</f>
        <v/>
      </c>
      <c r="J4305" s="59">
        <f t="shared" si="28"/>
        <v>0</v>
      </c>
      <c r="K4305" s="59">
        <f t="shared" si="29"/>
        <v>0</v>
      </c>
      <c r="L4305" s="59">
        <f t="shared" si="30"/>
        <v>0</v>
      </c>
      <c r="M4305" s="59">
        <f t="shared" si="31"/>
        <v>0</v>
      </c>
    </row>
    <row r="4306" ht="15.0" hidden="1" customHeight="1">
      <c r="A4306" s="59">
        <f t="shared" si="20"/>
        <v>68</v>
      </c>
      <c r="B4306" s="59" t="str">
        <f t="shared" si="21"/>
        <v/>
      </c>
      <c r="C4306" s="59" t="str">
        <f t="shared" si="22"/>
        <v/>
      </c>
      <c r="D4306" s="45" t="str">
        <f t="shared" si="23"/>
        <v/>
      </c>
      <c r="E4306" s="45" t="str">
        <f t="shared" si="24"/>
        <v/>
      </c>
      <c r="F4306" s="59" t="str">
        <f t="shared" si="25"/>
        <v/>
      </c>
      <c r="G4306" s="59" t="str">
        <f t="shared" si="26"/>
        <v/>
      </c>
      <c r="H4306" s="59" t="str">
        <f t="shared" si="27"/>
        <v>Xúclật855N</v>
      </c>
      <c r="I4306" s="59" t="str">
        <f>IF(OR($A4306="",$C4306="",$D4306="",$E4306="",$H4306=""),"",SUMIFS(DATA_GOC!$H:$H,DATA_GOC!$A:$A,"BOM",DATA_GOC!$D:$D,$H4306,DATA_GOC!$E:$E,$C4306,DATA_GOC!$F:$F,"Xuất nội bộ từ téc",DATA_GOC!$B:$B,"&gt;="&amp;$D4306,DATA_GOC!$B:$B,"&lt;="&amp;$E4306))</f>
        <v/>
      </c>
      <c r="J4306" s="59">
        <f t="shared" si="28"/>
        <v>0</v>
      </c>
      <c r="K4306" s="59">
        <f t="shared" si="29"/>
        <v>0</v>
      </c>
      <c r="L4306" s="59">
        <f t="shared" si="30"/>
        <v>0</v>
      </c>
      <c r="M4306" s="59">
        <f t="shared" si="31"/>
        <v>0</v>
      </c>
    </row>
    <row r="4307" ht="15.0" hidden="1" customHeight="1">
      <c r="A4307" s="59">
        <f t="shared" si="20"/>
        <v>68</v>
      </c>
      <c r="B4307" s="59" t="str">
        <f t="shared" si="21"/>
        <v/>
      </c>
      <c r="C4307" s="59" t="str">
        <f t="shared" si="22"/>
        <v/>
      </c>
      <c r="D4307" s="45" t="str">
        <f t="shared" si="23"/>
        <v/>
      </c>
      <c r="E4307" s="45" t="str">
        <f t="shared" si="24"/>
        <v/>
      </c>
      <c r="F4307" s="59" t="str">
        <f t="shared" si="25"/>
        <v/>
      </c>
      <c r="G4307" s="59" t="str">
        <f t="shared" si="26"/>
        <v/>
      </c>
      <c r="H4307" s="59" t="str">
        <f t="shared" si="27"/>
        <v>Cát nghiền</v>
      </c>
      <c r="I4307" s="59" t="str">
        <f>IF(OR($A4307="",$C4307="",$D4307="",$E4307="",$H4307=""),"",SUMIFS(DATA_GOC!$H:$H,DATA_GOC!$A:$A,"BOM",DATA_GOC!$D:$D,$H4307,DATA_GOC!$E:$E,$C4307,DATA_GOC!$F:$F,"Xuất nội bộ từ téc",DATA_GOC!$B:$B,"&gt;="&amp;$D4307,DATA_GOC!$B:$B,"&lt;="&amp;$E4307))</f>
        <v/>
      </c>
      <c r="J4307" s="59">
        <f t="shared" si="28"/>
        <v>0</v>
      </c>
      <c r="K4307" s="59">
        <f t="shared" si="29"/>
        <v>0</v>
      </c>
      <c r="L4307" s="59">
        <f t="shared" si="30"/>
        <v>0</v>
      </c>
      <c r="M4307" s="59">
        <f t="shared" si="31"/>
        <v>0</v>
      </c>
    </row>
    <row r="4308" ht="15.0" hidden="1" customHeight="1">
      <c r="A4308" s="59">
        <f t="shared" si="20"/>
        <v>68</v>
      </c>
      <c r="B4308" s="59" t="str">
        <f t="shared" si="21"/>
        <v/>
      </c>
      <c r="C4308" s="59" t="str">
        <f t="shared" si="22"/>
        <v/>
      </c>
      <c r="D4308" s="45" t="str">
        <f t="shared" si="23"/>
        <v/>
      </c>
      <c r="E4308" s="45" t="str">
        <f t="shared" si="24"/>
        <v/>
      </c>
      <c r="F4308" s="59" t="str">
        <f t="shared" si="25"/>
        <v/>
      </c>
      <c r="G4308" s="59" t="str">
        <f t="shared" si="26"/>
        <v/>
      </c>
      <c r="H4308" s="59" t="str">
        <f t="shared" si="27"/>
        <v>28C02973</v>
      </c>
      <c r="I4308" s="59" t="str">
        <f>IF(OR($A4308="",$C4308="",$D4308="",$E4308="",$H4308=""),"",SUMIFS(DATA_GOC!$H:$H,DATA_GOC!$A:$A,"BOM",DATA_GOC!$D:$D,$H4308,DATA_GOC!$E:$E,$C4308,DATA_GOC!$F:$F,"Xuất nội bộ từ téc",DATA_GOC!$B:$B,"&gt;="&amp;$D4308,DATA_GOC!$B:$B,"&lt;="&amp;$E4308))</f>
        <v/>
      </c>
      <c r="J4308" s="59">
        <f t="shared" si="28"/>
        <v>0</v>
      </c>
      <c r="K4308" s="59">
        <f t="shared" si="29"/>
        <v>0</v>
      </c>
      <c r="L4308" s="59">
        <f t="shared" si="30"/>
        <v>0</v>
      </c>
      <c r="M4308" s="59">
        <f t="shared" si="31"/>
        <v>0</v>
      </c>
    </row>
    <row r="4309" ht="15.0" hidden="1" customHeight="1">
      <c r="A4309" s="59">
        <f t="shared" si="20"/>
        <v>68</v>
      </c>
      <c r="B4309" s="59" t="str">
        <f t="shared" si="21"/>
        <v/>
      </c>
      <c r="C4309" s="59" t="str">
        <f t="shared" si="22"/>
        <v/>
      </c>
      <c r="D4309" s="45" t="str">
        <f t="shared" si="23"/>
        <v/>
      </c>
      <c r="E4309" s="45" t="str">
        <f t="shared" si="24"/>
        <v/>
      </c>
      <c r="F4309" s="59" t="str">
        <f t="shared" si="25"/>
        <v/>
      </c>
      <c r="G4309" s="59" t="str">
        <f t="shared" si="26"/>
        <v/>
      </c>
      <c r="H4309" s="59" t="str">
        <f t="shared" si="27"/>
        <v>28C03044</v>
      </c>
      <c r="I4309" s="59" t="str">
        <f>IF(OR($A4309="",$C4309="",$D4309="",$E4309="",$H4309=""),"",SUMIFS(DATA_GOC!$H:$H,DATA_GOC!$A:$A,"BOM",DATA_GOC!$D:$D,$H4309,DATA_GOC!$E:$E,$C4309,DATA_GOC!$F:$F,"Xuất nội bộ từ téc",DATA_GOC!$B:$B,"&gt;="&amp;$D4309,DATA_GOC!$B:$B,"&lt;="&amp;$E4309))</f>
        <v/>
      </c>
      <c r="J4309" s="59">
        <f t="shared" si="28"/>
        <v>0</v>
      </c>
      <c r="K4309" s="59">
        <f t="shared" si="29"/>
        <v>0</v>
      </c>
      <c r="L4309" s="59">
        <f t="shared" si="30"/>
        <v>0</v>
      </c>
      <c r="M4309" s="59">
        <f t="shared" si="31"/>
        <v>0</v>
      </c>
    </row>
    <row r="4310" ht="15.0" hidden="1" customHeight="1">
      <c r="A4310" s="59">
        <f t="shared" si="20"/>
        <v>68</v>
      </c>
      <c r="B4310" s="59" t="str">
        <f t="shared" si="21"/>
        <v/>
      </c>
      <c r="C4310" s="59" t="str">
        <f t="shared" si="22"/>
        <v/>
      </c>
      <c r="D4310" s="45" t="str">
        <f t="shared" si="23"/>
        <v/>
      </c>
      <c r="E4310" s="45" t="str">
        <f t="shared" si="24"/>
        <v/>
      </c>
      <c r="F4310" s="59" t="str">
        <f t="shared" si="25"/>
        <v/>
      </c>
      <c r="G4310" s="59" t="str">
        <f t="shared" si="26"/>
        <v/>
      </c>
      <c r="H4310" s="59" t="str">
        <f t="shared" si="27"/>
        <v>Máy lu lốp</v>
      </c>
      <c r="I4310" s="59" t="str">
        <f>IF(OR($A4310="",$C4310="",$D4310="",$E4310="",$H4310=""),"",SUMIFS(DATA_GOC!$H:$H,DATA_GOC!$A:$A,"BOM",DATA_GOC!$D:$D,$H4310,DATA_GOC!$E:$E,$C4310,DATA_GOC!$F:$F,"Xuất nội bộ từ téc",DATA_GOC!$B:$B,"&gt;="&amp;$D4310,DATA_GOC!$B:$B,"&lt;="&amp;$E4310))</f>
        <v/>
      </c>
      <c r="J4310" s="59">
        <f t="shared" si="28"/>
        <v>0</v>
      </c>
      <c r="K4310" s="59">
        <f t="shared" si="29"/>
        <v>0</v>
      </c>
      <c r="L4310" s="59">
        <f t="shared" si="30"/>
        <v>0</v>
      </c>
      <c r="M4310" s="59">
        <f t="shared" si="31"/>
        <v>0</v>
      </c>
    </row>
    <row r="4311" ht="15.0" hidden="1" customHeight="1">
      <c r="A4311" s="59">
        <f t="shared" si="20"/>
        <v>68</v>
      </c>
      <c r="B4311" s="59" t="str">
        <f t="shared" si="21"/>
        <v/>
      </c>
      <c r="C4311" s="59" t="str">
        <f t="shared" si="22"/>
        <v/>
      </c>
      <c r="D4311" s="45" t="str">
        <f t="shared" si="23"/>
        <v/>
      </c>
      <c r="E4311" s="45" t="str">
        <f t="shared" si="24"/>
        <v/>
      </c>
      <c r="F4311" s="59" t="str">
        <f t="shared" si="25"/>
        <v/>
      </c>
      <c r="G4311" s="59" t="str">
        <f t="shared" si="26"/>
        <v/>
      </c>
      <c r="H4311" s="59" t="str">
        <f t="shared" si="27"/>
        <v>Xe 600148</v>
      </c>
      <c r="I4311" s="59" t="str">
        <f>IF(OR($A4311="",$C4311="",$D4311="",$E4311="",$H4311=""),"",SUMIFS(DATA_GOC!$H:$H,DATA_GOC!$A:$A,"BOM",DATA_GOC!$D:$D,$H4311,DATA_GOC!$E:$E,$C4311,DATA_GOC!$F:$F,"Xuất nội bộ từ téc",DATA_GOC!$B:$B,"&gt;="&amp;$D4311,DATA_GOC!$B:$B,"&lt;="&amp;$E4311))</f>
        <v/>
      </c>
      <c r="J4311" s="59">
        <f t="shared" si="28"/>
        <v>0</v>
      </c>
      <c r="K4311" s="59">
        <f t="shared" si="29"/>
        <v>0</v>
      </c>
      <c r="L4311" s="59">
        <f t="shared" si="30"/>
        <v>0</v>
      </c>
      <c r="M4311" s="59">
        <f t="shared" si="31"/>
        <v>0</v>
      </c>
    </row>
    <row r="4312" ht="15.0" hidden="1" customHeight="1">
      <c r="A4312" s="59">
        <f t="shared" si="20"/>
        <v>68</v>
      </c>
      <c r="B4312" s="59" t="str">
        <f t="shared" si="21"/>
        <v/>
      </c>
      <c r="C4312" s="59" t="str">
        <f t="shared" si="22"/>
        <v/>
      </c>
      <c r="D4312" s="45" t="str">
        <f t="shared" si="23"/>
        <v/>
      </c>
      <c r="E4312" s="45" t="str">
        <f t="shared" si="24"/>
        <v/>
      </c>
      <c r="F4312" s="59" t="str">
        <f t="shared" si="25"/>
        <v/>
      </c>
      <c r="G4312" s="59" t="str">
        <f t="shared" si="26"/>
        <v/>
      </c>
      <c r="H4312" s="59" t="str">
        <f t="shared" si="27"/>
        <v>Xe ben mới</v>
      </c>
      <c r="I4312" s="59" t="str">
        <f>IF(OR($A4312="",$C4312="",$D4312="",$E4312="",$H4312=""),"",SUMIFS(DATA_GOC!$H:$H,DATA_GOC!$A:$A,"BOM",DATA_GOC!$D:$D,$H4312,DATA_GOC!$E:$E,$C4312,DATA_GOC!$F:$F,"Xuất nội bộ từ téc",DATA_GOC!$B:$B,"&gt;="&amp;$D4312,DATA_GOC!$B:$B,"&lt;="&amp;$E4312))</f>
        <v/>
      </c>
      <c r="J4312" s="59">
        <f t="shared" si="28"/>
        <v>0</v>
      </c>
      <c r="K4312" s="59">
        <f t="shared" si="29"/>
        <v>0</v>
      </c>
      <c r="L4312" s="59">
        <f t="shared" si="30"/>
        <v>0</v>
      </c>
      <c r="M4312" s="59">
        <f t="shared" si="31"/>
        <v>0</v>
      </c>
    </row>
    <row r="4313" ht="15.0" hidden="1" customHeight="1">
      <c r="A4313" s="59">
        <f t="shared" si="20"/>
        <v>69</v>
      </c>
      <c r="B4313" s="59" t="str">
        <f t="shared" si="21"/>
        <v/>
      </c>
      <c r="C4313" s="59" t="str">
        <f t="shared" si="22"/>
        <v/>
      </c>
      <c r="D4313" s="45" t="str">
        <f t="shared" si="23"/>
        <v/>
      </c>
      <c r="E4313" s="45" t="str">
        <f t="shared" si="24"/>
        <v/>
      </c>
      <c r="F4313" s="59" t="str">
        <f t="shared" si="25"/>
        <v/>
      </c>
      <c r="G4313" s="59" t="str">
        <f t="shared" si="26"/>
        <v/>
      </c>
      <c r="H4313" s="59" t="str">
        <f t="shared" si="27"/>
        <v>19H09482</v>
      </c>
      <c r="I4313" s="59" t="str">
        <f>IF(OR($A4313="",$C4313="",$D4313="",$E4313="",$H4313=""),"",SUMIFS(DATA_GOC!$H:$H,DATA_GOC!$A:$A,"BOM",DATA_GOC!$D:$D,$H4313,DATA_GOC!$E:$E,$C4313,DATA_GOC!$F:$F,"Xuất nội bộ từ téc",DATA_GOC!$B:$B,"&gt;="&amp;$D4313,DATA_GOC!$B:$B,"&lt;="&amp;$E4313))</f>
        <v/>
      </c>
      <c r="J4313" s="59">
        <f t="shared" si="28"/>
        <v>0</v>
      </c>
      <c r="K4313" s="59">
        <f t="shared" si="29"/>
        <v>0</v>
      </c>
      <c r="L4313" s="59">
        <f t="shared" si="30"/>
        <v>0</v>
      </c>
      <c r="M4313" s="59">
        <f t="shared" si="31"/>
        <v>0</v>
      </c>
    </row>
    <row r="4314" ht="15.0" hidden="1" customHeight="1">
      <c r="A4314" s="59">
        <f t="shared" si="20"/>
        <v>69</v>
      </c>
      <c r="B4314" s="59" t="str">
        <f t="shared" si="21"/>
        <v/>
      </c>
      <c r="C4314" s="59" t="str">
        <f t="shared" si="22"/>
        <v/>
      </c>
      <c r="D4314" s="45" t="str">
        <f t="shared" si="23"/>
        <v/>
      </c>
      <c r="E4314" s="45" t="str">
        <f t="shared" si="24"/>
        <v/>
      </c>
      <c r="F4314" s="59" t="str">
        <f t="shared" si="25"/>
        <v/>
      </c>
      <c r="G4314" s="59" t="str">
        <f t="shared" si="26"/>
        <v/>
      </c>
      <c r="H4314" s="59" t="str">
        <f t="shared" si="27"/>
        <v>28A30696</v>
      </c>
      <c r="I4314" s="59" t="str">
        <f>IF(OR($A4314="",$C4314="",$D4314="",$E4314="",$H4314=""),"",SUMIFS(DATA_GOC!$H:$H,DATA_GOC!$A:$A,"BOM",DATA_GOC!$D:$D,$H4314,DATA_GOC!$E:$E,$C4314,DATA_GOC!$F:$F,"Xuất nội bộ từ téc",DATA_GOC!$B:$B,"&gt;="&amp;$D4314,DATA_GOC!$B:$B,"&lt;="&amp;$E4314))</f>
        <v/>
      </c>
      <c r="J4314" s="59">
        <f t="shared" si="28"/>
        <v>0</v>
      </c>
      <c r="K4314" s="59">
        <f t="shared" si="29"/>
        <v>0</v>
      </c>
      <c r="L4314" s="59">
        <f t="shared" si="30"/>
        <v>0</v>
      </c>
      <c r="M4314" s="59">
        <f t="shared" si="31"/>
        <v>0</v>
      </c>
    </row>
    <row r="4315" ht="15.0" hidden="1" customHeight="1">
      <c r="A4315" s="59">
        <f t="shared" si="20"/>
        <v>69</v>
      </c>
      <c r="B4315" s="59" t="str">
        <f t="shared" si="21"/>
        <v/>
      </c>
      <c r="C4315" s="59" t="str">
        <f t="shared" si="22"/>
        <v/>
      </c>
      <c r="D4315" s="45" t="str">
        <f t="shared" si="23"/>
        <v/>
      </c>
      <c r="E4315" s="45" t="str">
        <f t="shared" si="24"/>
        <v/>
      </c>
      <c r="F4315" s="59" t="str">
        <f t="shared" si="25"/>
        <v/>
      </c>
      <c r="G4315" s="59" t="str">
        <f t="shared" si="26"/>
        <v/>
      </c>
      <c r="H4315" s="59" t="str">
        <f t="shared" si="27"/>
        <v>28C00462</v>
      </c>
      <c r="I4315" s="59" t="str">
        <f>IF(OR($A4315="",$C4315="",$D4315="",$E4315="",$H4315=""),"",SUMIFS(DATA_GOC!$H:$H,DATA_GOC!$A:$A,"BOM",DATA_GOC!$D:$D,$H4315,DATA_GOC!$E:$E,$C4315,DATA_GOC!$F:$F,"Xuất nội bộ từ téc",DATA_GOC!$B:$B,"&gt;="&amp;$D4315,DATA_GOC!$B:$B,"&lt;="&amp;$E4315))</f>
        <v/>
      </c>
      <c r="J4315" s="59">
        <f t="shared" si="28"/>
        <v>0</v>
      </c>
      <c r="K4315" s="59">
        <f t="shared" si="29"/>
        <v>0</v>
      </c>
      <c r="L4315" s="59">
        <f t="shared" si="30"/>
        <v>0</v>
      </c>
      <c r="M4315" s="59">
        <f t="shared" si="31"/>
        <v>0</v>
      </c>
    </row>
    <row r="4316" ht="15.0" hidden="1" customHeight="1">
      <c r="A4316" s="59">
        <f t="shared" si="20"/>
        <v>69</v>
      </c>
      <c r="B4316" s="59" t="str">
        <f t="shared" si="21"/>
        <v/>
      </c>
      <c r="C4316" s="59" t="str">
        <f t="shared" si="22"/>
        <v/>
      </c>
      <c r="D4316" s="45" t="str">
        <f t="shared" si="23"/>
        <v/>
      </c>
      <c r="E4316" s="45" t="str">
        <f t="shared" si="24"/>
        <v/>
      </c>
      <c r="F4316" s="59" t="str">
        <f t="shared" si="25"/>
        <v/>
      </c>
      <c r="G4316" s="59" t="str">
        <f t="shared" si="26"/>
        <v/>
      </c>
      <c r="H4316" s="59" t="str">
        <f t="shared" si="27"/>
        <v>28C01165</v>
      </c>
      <c r="I4316" s="59" t="str">
        <f>IF(OR($A4316="",$C4316="",$D4316="",$E4316="",$H4316=""),"",SUMIFS(DATA_GOC!$H:$H,DATA_GOC!$A:$A,"BOM",DATA_GOC!$D:$D,$H4316,DATA_GOC!$E:$E,$C4316,DATA_GOC!$F:$F,"Xuất nội bộ từ téc",DATA_GOC!$B:$B,"&gt;="&amp;$D4316,DATA_GOC!$B:$B,"&lt;="&amp;$E4316))</f>
        <v/>
      </c>
      <c r="J4316" s="59">
        <f t="shared" si="28"/>
        <v>0</v>
      </c>
      <c r="K4316" s="59">
        <f t="shared" si="29"/>
        <v>0</v>
      </c>
      <c r="L4316" s="59">
        <f t="shared" si="30"/>
        <v>0</v>
      </c>
      <c r="M4316" s="59">
        <f t="shared" si="31"/>
        <v>0</v>
      </c>
    </row>
    <row r="4317" ht="15.0" hidden="1" customHeight="1">
      <c r="A4317" s="59">
        <f t="shared" si="20"/>
        <v>69</v>
      </c>
      <c r="B4317" s="59" t="str">
        <f t="shared" si="21"/>
        <v/>
      </c>
      <c r="C4317" s="59" t="str">
        <f t="shared" si="22"/>
        <v/>
      </c>
      <c r="D4317" s="45" t="str">
        <f t="shared" si="23"/>
        <v/>
      </c>
      <c r="E4317" s="45" t="str">
        <f t="shared" si="24"/>
        <v/>
      </c>
      <c r="F4317" s="59" t="str">
        <f t="shared" si="25"/>
        <v/>
      </c>
      <c r="G4317" s="59" t="str">
        <f t="shared" si="26"/>
        <v/>
      </c>
      <c r="H4317" s="59" t="str">
        <f t="shared" si="27"/>
        <v>28C01406</v>
      </c>
      <c r="I4317" s="59" t="str">
        <f>IF(OR($A4317="",$C4317="",$D4317="",$E4317="",$H4317=""),"",SUMIFS(DATA_GOC!$H:$H,DATA_GOC!$A:$A,"BOM",DATA_GOC!$D:$D,$H4317,DATA_GOC!$E:$E,$C4317,DATA_GOC!$F:$F,"Xuất nội bộ từ téc",DATA_GOC!$B:$B,"&gt;="&amp;$D4317,DATA_GOC!$B:$B,"&lt;="&amp;$E4317))</f>
        <v/>
      </c>
      <c r="J4317" s="59">
        <f t="shared" si="28"/>
        <v>0</v>
      </c>
      <c r="K4317" s="59">
        <f t="shared" si="29"/>
        <v>0</v>
      </c>
      <c r="L4317" s="59">
        <f t="shared" si="30"/>
        <v>0</v>
      </c>
      <c r="M4317" s="59">
        <f t="shared" si="31"/>
        <v>0</v>
      </c>
    </row>
    <row r="4318" ht="15.0" hidden="1" customHeight="1">
      <c r="A4318" s="59">
        <f t="shared" si="20"/>
        <v>69</v>
      </c>
      <c r="B4318" s="59" t="str">
        <f t="shared" si="21"/>
        <v/>
      </c>
      <c r="C4318" s="59" t="str">
        <f t="shared" si="22"/>
        <v/>
      </c>
      <c r="D4318" s="45" t="str">
        <f t="shared" si="23"/>
        <v/>
      </c>
      <c r="E4318" s="45" t="str">
        <f t="shared" si="24"/>
        <v/>
      </c>
      <c r="F4318" s="59" t="str">
        <f t="shared" si="25"/>
        <v/>
      </c>
      <c r="G4318" s="59" t="str">
        <f t="shared" si="26"/>
        <v/>
      </c>
      <c r="H4318" s="59" t="str">
        <f t="shared" si="27"/>
        <v>28C01544</v>
      </c>
      <c r="I4318" s="59" t="str">
        <f>IF(OR($A4318="",$C4318="",$D4318="",$E4318="",$H4318=""),"",SUMIFS(DATA_GOC!$H:$H,DATA_GOC!$A:$A,"BOM",DATA_GOC!$D:$D,$H4318,DATA_GOC!$E:$E,$C4318,DATA_GOC!$F:$F,"Xuất nội bộ từ téc",DATA_GOC!$B:$B,"&gt;="&amp;$D4318,DATA_GOC!$B:$B,"&lt;="&amp;$E4318))</f>
        <v/>
      </c>
      <c r="J4318" s="59">
        <f t="shared" si="28"/>
        <v>0</v>
      </c>
      <c r="K4318" s="59">
        <f t="shared" si="29"/>
        <v>0</v>
      </c>
      <c r="L4318" s="59">
        <f t="shared" si="30"/>
        <v>0</v>
      </c>
      <c r="M4318" s="59">
        <f t="shared" si="31"/>
        <v>0</v>
      </c>
    </row>
    <row r="4319" ht="15.0" hidden="1" customHeight="1">
      <c r="A4319" s="59">
        <f t="shared" si="20"/>
        <v>69</v>
      </c>
      <c r="B4319" s="59" t="str">
        <f t="shared" si="21"/>
        <v/>
      </c>
      <c r="C4319" s="59" t="str">
        <f t="shared" si="22"/>
        <v/>
      </c>
      <c r="D4319" s="45" t="str">
        <f t="shared" si="23"/>
        <v/>
      </c>
      <c r="E4319" s="45" t="str">
        <f t="shared" si="24"/>
        <v/>
      </c>
      <c r="F4319" s="59" t="str">
        <f t="shared" si="25"/>
        <v/>
      </c>
      <c r="G4319" s="59" t="str">
        <f t="shared" si="26"/>
        <v/>
      </c>
      <c r="H4319" s="59" t="str">
        <f t="shared" si="27"/>
        <v>28C01622</v>
      </c>
      <c r="I4319" s="59" t="str">
        <f>IF(OR($A4319="",$C4319="",$D4319="",$E4319="",$H4319=""),"",SUMIFS(DATA_GOC!$H:$H,DATA_GOC!$A:$A,"BOM",DATA_GOC!$D:$D,$H4319,DATA_GOC!$E:$E,$C4319,DATA_GOC!$F:$F,"Xuất nội bộ từ téc",DATA_GOC!$B:$B,"&gt;="&amp;$D4319,DATA_GOC!$B:$B,"&lt;="&amp;$E4319))</f>
        <v/>
      </c>
      <c r="J4319" s="59">
        <f t="shared" si="28"/>
        <v>0</v>
      </c>
      <c r="K4319" s="59">
        <f t="shared" si="29"/>
        <v>0</v>
      </c>
      <c r="L4319" s="59">
        <f t="shared" si="30"/>
        <v>0</v>
      </c>
      <c r="M4319" s="59">
        <f t="shared" si="31"/>
        <v>0</v>
      </c>
    </row>
    <row r="4320" ht="15.0" hidden="1" customHeight="1">
      <c r="A4320" s="59">
        <f t="shared" si="20"/>
        <v>69</v>
      </c>
      <c r="B4320" s="59" t="str">
        <f t="shared" si="21"/>
        <v/>
      </c>
      <c r="C4320" s="59" t="str">
        <f t="shared" si="22"/>
        <v/>
      </c>
      <c r="D4320" s="45" t="str">
        <f t="shared" si="23"/>
        <v/>
      </c>
      <c r="E4320" s="45" t="str">
        <f t="shared" si="24"/>
        <v/>
      </c>
      <c r="F4320" s="59" t="str">
        <f t="shared" si="25"/>
        <v/>
      </c>
      <c r="G4320" s="59" t="str">
        <f t="shared" si="26"/>
        <v/>
      </c>
      <c r="H4320" s="59" t="str">
        <f t="shared" si="27"/>
        <v>28C01647</v>
      </c>
      <c r="I4320" s="59" t="str">
        <f>IF(OR($A4320="",$C4320="",$D4320="",$E4320="",$H4320=""),"",SUMIFS(DATA_GOC!$H:$H,DATA_GOC!$A:$A,"BOM",DATA_GOC!$D:$D,$H4320,DATA_GOC!$E:$E,$C4320,DATA_GOC!$F:$F,"Xuất nội bộ từ téc",DATA_GOC!$B:$B,"&gt;="&amp;$D4320,DATA_GOC!$B:$B,"&lt;="&amp;$E4320))</f>
        <v/>
      </c>
      <c r="J4320" s="59">
        <f t="shared" si="28"/>
        <v>0</v>
      </c>
      <c r="K4320" s="59">
        <f t="shared" si="29"/>
        <v>0</v>
      </c>
      <c r="L4320" s="59">
        <f t="shared" si="30"/>
        <v>0</v>
      </c>
      <c r="M4320" s="59">
        <f t="shared" si="31"/>
        <v>0</v>
      </c>
    </row>
    <row r="4321" ht="15.0" hidden="1" customHeight="1">
      <c r="A4321" s="59">
        <f t="shared" si="20"/>
        <v>69</v>
      </c>
      <c r="B4321" s="59" t="str">
        <f t="shared" si="21"/>
        <v/>
      </c>
      <c r="C4321" s="59" t="str">
        <f t="shared" si="22"/>
        <v/>
      </c>
      <c r="D4321" s="45" t="str">
        <f t="shared" si="23"/>
        <v/>
      </c>
      <c r="E4321" s="45" t="str">
        <f t="shared" si="24"/>
        <v/>
      </c>
      <c r="F4321" s="59" t="str">
        <f t="shared" si="25"/>
        <v/>
      </c>
      <c r="G4321" s="59" t="str">
        <f t="shared" si="26"/>
        <v/>
      </c>
      <c r="H4321" s="59" t="str">
        <f t="shared" si="27"/>
        <v>28C01731</v>
      </c>
      <c r="I4321" s="59" t="str">
        <f>IF(OR($A4321="",$C4321="",$D4321="",$E4321="",$H4321=""),"",SUMIFS(DATA_GOC!$H:$H,DATA_GOC!$A:$A,"BOM",DATA_GOC!$D:$D,$H4321,DATA_GOC!$E:$E,$C4321,DATA_GOC!$F:$F,"Xuất nội bộ từ téc",DATA_GOC!$B:$B,"&gt;="&amp;$D4321,DATA_GOC!$B:$B,"&lt;="&amp;$E4321))</f>
        <v/>
      </c>
      <c r="J4321" s="59">
        <f t="shared" si="28"/>
        <v>0</v>
      </c>
      <c r="K4321" s="59">
        <f t="shared" si="29"/>
        <v>0</v>
      </c>
      <c r="L4321" s="59">
        <f t="shared" si="30"/>
        <v>0</v>
      </c>
      <c r="M4321" s="59">
        <f t="shared" si="31"/>
        <v>0</v>
      </c>
    </row>
    <row r="4322" ht="15.0" hidden="1" customHeight="1">
      <c r="A4322" s="59">
        <f t="shared" si="20"/>
        <v>69</v>
      </c>
      <c r="B4322" s="59" t="str">
        <f t="shared" si="21"/>
        <v/>
      </c>
      <c r="C4322" s="59" t="str">
        <f t="shared" si="22"/>
        <v/>
      </c>
      <c r="D4322" s="45" t="str">
        <f t="shared" si="23"/>
        <v/>
      </c>
      <c r="E4322" s="45" t="str">
        <f t="shared" si="24"/>
        <v/>
      </c>
      <c r="F4322" s="59" t="str">
        <f t="shared" si="25"/>
        <v/>
      </c>
      <c r="G4322" s="59" t="str">
        <f t="shared" si="26"/>
        <v/>
      </c>
      <c r="H4322" s="59" t="str">
        <f t="shared" si="27"/>
        <v>28C01743</v>
      </c>
      <c r="I4322" s="59" t="str">
        <f>IF(OR($A4322="",$C4322="",$D4322="",$E4322="",$H4322=""),"",SUMIFS(DATA_GOC!$H:$H,DATA_GOC!$A:$A,"BOM",DATA_GOC!$D:$D,$H4322,DATA_GOC!$E:$E,$C4322,DATA_GOC!$F:$F,"Xuất nội bộ từ téc",DATA_GOC!$B:$B,"&gt;="&amp;$D4322,DATA_GOC!$B:$B,"&lt;="&amp;$E4322))</f>
        <v/>
      </c>
      <c r="J4322" s="59">
        <f t="shared" si="28"/>
        <v>0</v>
      </c>
      <c r="K4322" s="59">
        <f t="shared" si="29"/>
        <v>0</v>
      </c>
      <c r="L4322" s="59">
        <f t="shared" si="30"/>
        <v>0</v>
      </c>
      <c r="M4322" s="59">
        <f t="shared" si="31"/>
        <v>0</v>
      </c>
    </row>
    <row r="4323" ht="15.0" hidden="1" customHeight="1">
      <c r="A4323" s="59">
        <f t="shared" si="20"/>
        <v>69</v>
      </c>
      <c r="B4323" s="59" t="str">
        <f t="shared" si="21"/>
        <v/>
      </c>
      <c r="C4323" s="59" t="str">
        <f t="shared" si="22"/>
        <v/>
      </c>
      <c r="D4323" s="45" t="str">
        <f t="shared" si="23"/>
        <v/>
      </c>
      <c r="E4323" s="45" t="str">
        <f t="shared" si="24"/>
        <v/>
      </c>
      <c r="F4323" s="59" t="str">
        <f t="shared" si="25"/>
        <v/>
      </c>
      <c r="G4323" s="59" t="str">
        <f t="shared" si="26"/>
        <v/>
      </c>
      <c r="H4323" s="59" t="str">
        <f t="shared" si="27"/>
        <v>28C02106</v>
      </c>
      <c r="I4323" s="59" t="str">
        <f>IF(OR($A4323="",$C4323="",$D4323="",$E4323="",$H4323=""),"",SUMIFS(DATA_GOC!$H:$H,DATA_GOC!$A:$A,"BOM",DATA_GOC!$D:$D,$H4323,DATA_GOC!$E:$E,$C4323,DATA_GOC!$F:$F,"Xuất nội bộ từ téc",DATA_GOC!$B:$B,"&gt;="&amp;$D4323,DATA_GOC!$B:$B,"&lt;="&amp;$E4323))</f>
        <v/>
      </c>
      <c r="J4323" s="59">
        <f t="shared" si="28"/>
        <v>0</v>
      </c>
      <c r="K4323" s="59">
        <f t="shared" si="29"/>
        <v>0</v>
      </c>
      <c r="L4323" s="59">
        <f t="shared" si="30"/>
        <v>0</v>
      </c>
      <c r="M4323" s="59">
        <f t="shared" si="31"/>
        <v>0</v>
      </c>
    </row>
    <row r="4324" ht="15.0" hidden="1" customHeight="1">
      <c r="A4324" s="59">
        <f t="shared" si="20"/>
        <v>69</v>
      </c>
      <c r="B4324" s="59" t="str">
        <f t="shared" si="21"/>
        <v/>
      </c>
      <c r="C4324" s="59" t="str">
        <f t="shared" si="22"/>
        <v/>
      </c>
      <c r="D4324" s="45" t="str">
        <f t="shared" si="23"/>
        <v/>
      </c>
      <c r="E4324" s="45" t="str">
        <f t="shared" si="24"/>
        <v/>
      </c>
      <c r="F4324" s="59" t="str">
        <f t="shared" si="25"/>
        <v/>
      </c>
      <c r="G4324" s="59" t="str">
        <f t="shared" si="26"/>
        <v/>
      </c>
      <c r="H4324" s="59" t="str">
        <f t="shared" si="27"/>
        <v>28C02410</v>
      </c>
      <c r="I4324" s="59" t="str">
        <f>IF(OR($A4324="",$C4324="",$D4324="",$E4324="",$H4324=""),"",SUMIFS(DATA_GOC!$H:$H,DATA_GOC!$A:$A,"BOM",DATA_GOC!$D:$D,$H4324,DATA_GOC!$E:$E,$C4324,DATA_GOC!$F:$F,"Xuất nội bộ từ téc",DATA_GOC!$B:$B,"&gt;="&amp;$D4324,DATA_GOC!$B:$B,"&lt;="&amp;$E4324))</f>
        <v/>
      </c>
      <c r="J4324" s="59">
        <f t="shared" si="28"/>
        <v>0</v>
      </c>
      <c r="K4324" s="59">
        <f t="shared" si="29"/>
        <v>0</v>
      </c>
      <c r="L4324" s="59">
        <f t="shared" si="30"/>
        <v>0</v>
      </c>
      <c r="M4324" s="59">
        <f t="shared" si="31"/>
        <v>0</v>
      </c>
    </row>
    <row r="4325" ht="15.0" hidden="1" customHeight="1">
      <c r="A4325" s="59">
        <f t="shared" si="20"/>
        <v>69</v>
      </c>
      <c r="B4325" s="59" t="str">
        <f t="shared" si="21"/>
        <v/>
      </c>
      <c r="C4325" s="59" t="str">
        <f t="shared" si="22"/>
        <v/>
      </c>
      <c r="D4325" s="45" t="str">
        <f t="shared" si="23"/>
        <v/>
      </c>
      <c r="E4325" s="45" t="str">
        <f t="shared" si="24"/>
        <v/>
      </c>
      <c r="F4325" s="59" t="str">
        <f t="shared" si="25"/>
        <v/>
      </c>
      <c r="G4325" s="59" t="str">
        <f t="shared" si="26"/>
        <v/>
      </c>
      <c r="H4325" s="59" t="str">
        <f t="shared" si="27"/>
        <v>28C02545</v>
      </c>
      <c r="I4325" s="59" t="str">
        <f>IF(OR($A4325="",$C4325="",$D4325="",$E4325="",$H4325=""),"",SUMIFS(DATA_GOC!$H:$H,DATA_GOC!$A:$A,"BOM",DATA_GOC!$D:$D,$H4325,DATA_GOC!$E:$E,$C4325,DATA_GOC!$F:$F,"Xuất nội bộ từ téc",DATA_GOC!$B:$B,"&gt;="&amp;$D4325,DATA_GOC!$B:$B,"&lt;="&amp;$E4325))</f>
        <v/>
      </c>
      <c r="J4325" s="59">
        <f t="shared" si="28"/>
        <v>0</v>
      </c>
      <c r="K4325" s="59">
        <f t="shared" si="29"/>
        <v>0</v>
      </c>
      <c r="L4325" s="59">
        <f t="shared" si="30"/>
        <v>0</v>
      </c>
      <c r="M4325" s="59">
        <f t="shared" si="31"/>
        <v>0</v>
      </c>
    </row>
    <row r="4326" ht="15.0" hidden="1" customHeight="1">
      <c r="A4326" s="59">
        <f t="shared" si="20"/>
        <v>69</v>
      </c>
      <c r="B4326" s="59" t="str">
        <f t="shared" si="21"/>
        <v/>
      </c>
      <c r="C4326" s="59" t="str">
        <f t="shared" si="22"/>
        <v/>
      </c>
      <c r="D4326" s="45" t="str">
        <f t="shared" si="23"/>
        <v/>
      </c>
      <c r="E4326" s="45" t="str">
        <f t="shared" si="24"/>
        <v/>
      </c>
      <c r="F4326" s="59" t="str">
        <f t="shared" si="25"/>
        <v/>
      </c>
      <c r="G4326" s="59" t="str">
        <f t="shared" si="26"/>
        <v/>
      </c>
      <c r="H4326" s="59" t="str">
        <f t="shared" si="27"/>
        <v>28C02574</v>
      </c>
      <c r="I4326" s="59" t="str">
        <f>IF(OR($A4326="",$C4326="",$D4326="",$E4326="",$H4326=""),"",SUMIFS(DATA_GOC!$H:$H,DATA_GOC!$A:$A,"BOM",DATA_GOC!$D:$D,$H4326,DATA_GOC!$E:$E,$C4326,DATA_GOC!$F:$F,"Xuất nội bộ từ téc",DATA_GOC!$B:$B,"&gt;="&amp;$D4326,DATA_GOC!$B:$B,"&lt;="&amp;$E4326))</f>
        <v/>
      </c>
      <c r="J4326" s="59">
        <f t="shared" si="28"/>
        <v>0</v>
      </c>
      <c r="K4326" s="59">
        <f t="shared" si="29"/>
        <v>0</v>
      </c>
      <c r="L4326" s="59">
        <f t="shared" si="30"/>
        <v>0</v>
      </c>
      <c r="M4326" s="59">
        <f t="shared" si="31"/>
        <v>0</v>
      </c>
    </row>
    <row r="4327" ht="15.0" hidden="1" customHeight="1">
      <c r="A4327" s="59">
        <f t="shared" si="20"/>
        <v>69</v>
      </c>
      <c r="B4327" s="59" t="str">
        <f t="shared" si="21"/>
        <v/>
      </c>
      <c r="C4327" s="59" t="str">
        <f t="shared" si="22"/>
        <v/>
      </c>
      <c r="D4327" s="45" t="str">
        <f t="shared" si="23"/>
        <v/>
      </c>
      <c r="E4327" s="45" t="str">
        <f t="shared" si="24"/>
        <v/>
      </c>
      <c r="F4327" s="59" t="str">
        <f t="shared" si="25"/>
        <v/>
      </c>
      <c r="G4327" s="59" t="str">
        <f t="shared" si="26"/>
        <v/>
      </c>
      <c r="H4327" s="59" t="str">
        <f t="shared" si="27"/>
        <v>28C02770</v>
      </c>
      <c r="I4327" s="59" t="str">
        <f>IF(OR($A4327="",$C4327="",$D4327="",$E4327="",$H4327=""),"",SUMIFS(DATA_GOC!$H:$H,DATA_GOC!$A:$A,"BOM",DATA_GOC!$D:$D,$H4327,DATA_GOC!$E:$E,$C4327,DATA_GOC!$F:$F,"Xuất nội bộ từ téc",DATA_GOC!$B:$B,"&gt;="&amp;$D4327,DATA_GOC!$B:$B,"&lt;="&amp;$E4327))</f>
        <v/>
      </c>
      <c r="J4327" s="59">
        <f t="shared" si="28"/>
        <v>0</v>
      </c>
      <c r="K4327" s="59">
        <f t="shared" si="29"/>
        <v>0</v>
      </c>
      <c r="L4327" s="59">
        <f t="shared" si="30"/>
        <v>0</v>
      </c>
      <c r="M4327" s="59">
        <f t="shared" si="31"/>
        <v>0</v>
      </c>
    </row>
    <row r="4328" ht="15.0" hidden="1" customHeight="1">
      <c r="A4328" s="59">
        <f t="shared" si="20"/>
        <v>69</v>
      </c>
      <c r="B4328" s="59" t="str">
        <f t="shared" si="21"/>
        <v/>
      </c>
      <c r="C4328" s="59" t="str">
        <f t="shared" si="22"/>
        <v/>
      </c>
      <c r="D4328" s="45" t="str">
        <f t="shared" si="23"/>
        <v/>
      </c>
      <c r="E4328" s="45" t="str">
        <f t="shared" si="24"/>
        <v/>
      </c>
      <c r="F4328" s="59" t="str">
        <f t="shared" si="25"/>
        <v/>
      </c>
      <c r="G4328" s="59" t="str">
        <f t="shared" si="26"/>
        <v/>
      </c>
      <c r="H4328" s="59" t="str">
        <f t="shared" si="27"/>
        <v>28C02986</v>
      </c>
      <c r="I4328" s="59" t="str">
        <f>IF(OR($A4328="",$C4328="",$D4328="",$E4328="",$H4328=""),"",SUMIFS(DATA_GOC!$H:$H,DATA_GOC!$A:$A,"BOM",DATA_GOC!$D:$D,$H4328,DATA_GOC!$E:$E,$C4328,DATA_GOC!$F:$F,"Xuất nội bộ từ téc",DATA_GOC!$B:$B,"&gt;="&amp;$D4328,DATA_GOC!$B:$B,"&lt;="&amp;$E4328))</f>
        <v/>
      </c>
      <c r="J4328" s="59">
        <f t="shared" si="28"/>
        <v>0</v>
      </c>
      <c r="K4328" s="59">
        <f t="shared" si="29"/>
        <v>0</v>
      </c>
      <c r="L4328" s="59">
        <f t="shared" si="30"/>
        <v>0</v>
      </c>
      <c r="M4328" s="59">
        <f t="shared" si="31"/>
        <v>0</v>
      </c>
    </row>
    <row r="4329" ht="15.0" hidden="1" customHeight="1">
      <c r="A4329" s="59">
        <f t="shared" si="20"/>
        <v>69</v>
      </c>
      <c r="B4329" s="59" t="str">
        <f t="shared" si="21"/>
        <v/>
      </c>
      <c r="C4329" s="59" t="str">
        <f t="shared" si="22"/>
        <v/>
      </c>
      <c r="D4329" s="45" t="str">
        <f t="shared" si="23"/>
        <v/>
      </c>
      <c r="E4329" s="45" t="str">
        <f t="shared" si="24"/>
        <v/>
      </c>
      <c r="F4329" s="59" t="str">
        <f t="shared" si="25"/>
        <v/>
      </c>
      <c r="G4329" s="59" t="str">
        <f t="shared" si="26"/>
        <v/>
      </c>
      <c r="H4329" s="59" t="str">
        <f t="shared" si="27"/>
        <v>28C03261</v>
      </c>
      <c r="I4329" s="59" t="str">
        <f>IF(OR($A4329="",$C4329="",$D4329="",$E4329="",$H4329=""),"",SUMIFS(DATA_GOC!$H:$H,DATA_GOC!$A:$A,"BOM",DATA_GOC!$D:$D,$H4329,DATA_GOC!$E:$E,$C4329,DATA_GOC!$F:$F,"Xuất nội bộ từ téc",DATA_GOC!$B:$B,"&gt;="&amp;$D4329,DATA_GOC!$B:$B,"&lt;="&amp;$E4329))</f>
        <v/>
      </c>
      <c r="J4329" s="59">
        <f t="shared" si="28"/>
        <v>0</v>
      </c>
      <c r="K4329" s="59">
        <f t="shared" si="29"/>
        <v>0</v>
      </c>
      <c r="L4329" s="59">
        <f t="shared" si="30"/>
        <v>0</v>
      </c>
      <c r="M4329" s="59">
        <f t="shared" si="31"/>
        <v>0</v>
      </c>
    </row>
    <row r="4330" ht="15.0" hidden="1" customHeight="1">
      <c r="A4330" s="59">
        <f t="shared" si="20"/>
        <v>69</v>
      </c>
      <c r="B4330" s="59" t="str">
        <f t="shared" si="21"/>
        <v/>
      </c>
      <c r="C4330" s="59" t="str">
        <f t="shared" si="22"/>
        <v/>
      </c>
      <c r="D4330" s="45" t="str">
        <f t="shared" si="23"/>
        <v/>
      </c>
      <c r="E4330" s="45" t="str">
        <f t="shared" si="24"/>
        <v/>
      </c>
      <c r="F4330" s="59" t="str">
        <f t="shared" si="25"/>
        <v/>
      </c>
      <c r="G4330" s="59" t="str">
        <f t="shared" si="26"/>
        <v/>
      </c>
      <c r="H4330" s="59" t="str">
        <f t="shared" si="27"/>
        <v>28C03323</v>
      </c>
      <c r="I4330" s="59" t="str">
        <f>IF(OR($A4330="",$C4330="",$D4330="",$E4330="",$H4330=""),"",SUMIFS(DATA_GOC!$H:$H,DATA_GOC!$A:$A,"BOM",DATA_GOC!$D:$D,$H4330,DATA_GOC!$E:$E,$C4330,DATA_GOC!$F:$F,"Xuất nội bộ từ téc",DATA_GOC!$B:$B,"&gt;="&amp;$D4330,DATA_GOC!$B:$B,"&lt;="&amp;$E4330))</f>
        <v/>
      </c>
      <c r="J4330" s="59">
        <f t="shared" si="28"/>
        <v>0</v>
      </c>
      <c r="K4330" s="59">
        <f t="shared" si="29"/>
        <v>0</v>
      </c>
      <c r="L4330" s="59">
        <f t="shared" si="30"/>
        <v>0</v>
      </c>
      <c r="M4330" s="59">
        <f t="shared" si="31"/>
        <v>0</v>
      </c>
    </row>
    <row r="4331" ht="15.0" hidden="1" customHeight="1">
      <c r="A4331" s="59">
        <f t="shared" si="20"/>
        <v>69</v>
      </c>
      <c r="B4331" s="59" t="str">
        <f t="shared" si="21"/>
        <v/>
      </c>
      <c r="C4331" s="59" t="str">
        <f t="shared" si="22"/>
        <v/>
      </c>
      <c r="D4331" s="45" t="str">
        <f t="shared" si="23"/>
        <v/>
      </c>
      <c r="E4331" s="45" t="str">
        <f t="shared" si="24"/>
        <v/>
      </c>
      <c r="F4331" s="59" t="str">
        <f t="shared" si="25"/>
        <v/>
      </c>
      <c r="G4331" s="59" t="str">
        <f t="shared" si="26"/>
        <v/>
      </c>
      <c r="H4331" s="59" t="str">
        <f t="shared" si="27"/>
        <v>28C03385</v>
      </c>
      <c r="I4331" s="59" t="str">
        <f>IF(OR($A4331="",$C4331="",$D4331="",$E4331="",$H4331=""),"",SUMIFS(DATA_GOC!$H:$H,DATA_GOC!$A:$A,"BOM",DATA_GOC!$D:$D,$H4331,DATA_GOC!$E:$E,$C4331,DATA_GOC!$F:$F,"Xuất nội bộ từ téc",DATA_GOC!$B:$B,"&gt;="&amp;$D4331,DATA_GOC!$B:$B,"&lt;="&amp;$E4331))</f>
        <v/>
      </c>
      <c r="J4331" s="59">
        <f t="shared" si="28"/>
        <v>0</v>
      </c>
      <c r="K4331" s="59">
        <f t="shared" si="29"/>
        <v>0</v>
      </c>
      <c r="L4331" s="59">
        <f t="shared" si="30"/>
        <v>0</v>
      </c>
      <c r="M4331" s="59">
        <f t="shared" si="31"/>
        <v>0</v>
      </c>
    </row>
    <row r="4332" ht="15.0" hidden="1" customHeight="1">
      <c r="A4332" s="59">
        <f t="shared" si="20"/>
        <v>69</v>
      </c>
      <c r="B4332" s="59" t="str">
        <f t="shared" si="21"/>
        <v/>
      </c>
      <c r="C4332" s="59" t="str">
        <f t="shared" si="22"/>
        <v/>
      </c>
      <c r="D4332" s="45" t="str">
        <f t="shared" si="23"/>
        <v/>
      </c>
      <c r="E4332" s="45" t="str">
        <f t="shared" si="24"/>
        <v/>
      </c>
      <c r="F4332" s="59" t="str">
        <f t="shared" si="25"/>
        <v/>
      </c>
      <c r="G4332" s="59" t="str">
        <f t="shared" si="26"/>
        <v/>
      </c>
      <c r="H4332" s="59" t="str">
        <f t="shared" si="27"/>
        <v>28C03652</v>
      </c>
      <c r="I4332" s="59" t="str">
        <f>IF(OR($A4332="",$C4332="",$D4332="",$E4332="",$H4332=""),"",SUMIFS(DATA_GOC!$H:$H,DATA_GOC!$A:$A,"BOM",DATA_GOC!$D:$D,$H4332,DATA_GOC!$E:$E,$C4332,DATA_GOC!$F:$F,"Xuất nội bộ từ téc",DATA_GOC!$B:$B,"&gt;="&amp;$D4332,DATA_GOC!$B:$B,"&lt;="&amp;$E4332))</f>
        <v/>
      </c>
      <c r="J4332" s="59">
        <f t="shared" si="28"/>
        <v>0</v>
      </c>
      <c r="K4332" s="59">
        <f t="shared" si="29"/>
        <v>0</v>
      </c>
      <c r="L4332" s="59">
        <f t="shared" si="30"/>
        <v>0</v>
      </c>
      <c r="M4332" s="59">
        <f t="shared" si="31"/>
        <v>0</v>
      </c>
    </row>
    <row r="4333" ht="15.0" hidden="1" customHeight="1">
      <c r="A4333" s="59">
        <f t="shared" si="20"/>
        <v>69</v>
      </c>
      <c r="B4333" s="59" t="str">
        <f t="shared" si="21"/>
        <v/>
      </c>
      <c r="C4333" s="59" t="str">
        <f t="shared" si="22"/>
        <v/>
      </c>
      <c r="D4333" s="45" t="str">
        <f t="shared" si="23"/>
        <v/>
      </c>
      <c r="E4333" s="45" t="str">
        <f t="shared" si="24"/>
        <v/>
      </c>
      <c r="F4333" s="59" t="str">
        <f t="shared" si="25"/>
        <v/>
      </c>
      <c r="G4333" s="59" t="str">
        <f t="shared" si="26"/>
        <v/>
      </c>
      <c r="H4333" s="59" t="str">
        <f t="shared" si="27"/>
        <v>28C03695</v>
      </c>
      <c r="I4333" s="59" t="str">
        <f>IF(OR($A4333="",$C4333="",$D4333="",$E4333="",$H4333=""),"",SUMIFS(DATA_GOC!$H:$H,DATA_GOC!$A:$A,"BOM",DATA_GOC!$D:$D,$H4333,DATA_GOC!$E:$E,$C4333,DATA_GOC!$F:$F,"Xuất nội bộ từ téc",DATA_GOC!$B:$B,"&gt;="&amp;$D4333,DATA_GOC!$B:$B,"&lt;="&amp;$E4333))</f>
        <v/>
      </c>
      <c r="J4333" s="59">
        <f t="shared" si="28"/>
        <v>0</v>
      </c>
      <c r="K4333" s="59">
        <f t="shared" si="29"/>
        <v>0</v>
      </c>
      <c r="L4333" s="59">
        <f t="shared" si="30"/>
        <v>0</v>
      </c>
      <c r="M4333" s="59">
        <f t="shared" si="31"/>
        <v>0</v>
      </c>
    </row>
    <row r="4334" ht="15.0" hidden="1" customHeight="1">
      <c r="A4334" s="59">
        <f t="shared" si="20"/>
        <v>69</v>
      </c>
      <c r="B4334" s="59" t="str">
        <f t="shared" si="21"/>
        <v/>
      </c>
      <c r="C4334" s="59" t="str">
        <f t="shared" si="22"/>
        <v/>
      </c>
      <c r="D4334" s="45" t="str">
        <f t="shared" si="23"/>
        <v/>
      </c>
      <c r="E4334" s="45" t="str">
        <f t="shared" si="24"/>
        <v/>
      </c>
      <c r="F4334" s="59" t="str">
        <f t="shared" si="25"/>
        <v/>
      </c>
      <c r="G4334" s="59" t="str">
        <f t="shared" si="26"/>
        <v/>
      </c>
      <c r="H4334" s="59" t="str">
        <f t="shared" si="27"/>
        <v>28C03927</v>
      </c>
      <c r="I4334" s="59" t="str">
        <f>IF(OR($A4334="",$C4334="",$D4334="",$E4334="",$H4334=""),"",SUMIFS(DATA_GOC!$H:$H,DATA_GOC!$A:$A,"BOM",DATA_GOC!$D:$D,$H4334,DATA_GOC!$E:$E,$C4334,DATA_GOC!$F:$F,"Xuất nội bộ từ téc",DATA_GOC!$B:$B,"&gt;="&amp;$D4334,DATA_GOC!$B:$B,"&lt;="&amp;$E4334))</f>
        <v/>
      </c>
      <c r="J4334" s="59">
        <f t="shared" si="28"/>
        <v>0</v>
      </c>
      <c r="K4334" s="59">
        <f t="shared" si="29"/>
        <v>0</v>
      </c>
      <c r="L4334" s="59">
        <f t="shared" si="30"/>
        <v>0</v>
      </c>
      <c r="M4334" s="59">
        <f t="shared" si="31"/>
        <v>0</v>
      </c>
    </row>
    <row r="4335" ht="15.0" hidden="1" customHeight="1">
      <c r="A4335" s="59">
        <f t="shared" si="20"/>
        <v>69</v>
      </c>
      <c r="B4335" s="59" t="str">
        <f t="shared" si="21"/>
        <v/>
      </c>
      <c r="C4335" s="59" t="str">
        <f t="shared" si="22"/>
        <v/>
      </c>
      <c r="D4335" s="45" t="str">
        <f t="shared" si="23"/>
        <v/>
      </c>
      <c r="E4335" s="45" t="str">
        <f t="shared" si="24"/>
        <v/>
      </c>
      <c r="F4335" s="59" t="str">
        <f t="shared" si="25"/>
        <v/>
      </c>
      <c r="G4335" s="59" t="str">
        <f t="shared" si="26"/>
        <v/>
      </c>
      <c r="H4335" s="59" t="str">
        <f t="shared" si="27"/>
        <v>28C04509</v>
      </c>
      <c r="I4335" s="59" t="str">
        <f>IF(OR($A4335="",$C4335="",$D4335="",$E4335="",$H4335=""),"",SUMIFS(DATA_GOC!$H:$H,DATA_GOC!$A:$A,"BOM",DATA_GOC!$D:$D,$H4335,DATA_GOC!$E:$E,$C4335,DATA_GOC!$F:$F,"Xuất nội bộ từ téc",DATA_GOC!$B:$B,"&gt;="&amp;$D4335,DATA_GOC!$B:$B,"&lt;="&amp;$E4335))</f>
        <v/>
      </c>
      <c r="J4335" s="59">
        <f t="shared" si="28"/>
        <v>0</v>
      </c>
      <c r="K4335" s="59">
        <f t="shared" si="29"/>
        <v>0</v>
      </c>
      <c r="L4335" s="59">
        <f t="shared" si="30"/>
        <v>0</v>
      </c>
      <c r="M4335" s="59">
        <f t="shared" si="31"/>
        <v>0</v>
      </c>
    </row>
    <row r="4336" ht="15.0" hidden="1" customHeight="1">
      <c r="A4336" s="59">
        <f t="shared" si="20"/>
        <v>69</v>
      </c>
      <c r="B4336" s="59" t="str">
        <f t="shared" si="21"/>
        <v/>
      </c>
      <c r="C4336" s="59" t="str">
        <f t="shared" si="22"/>
        <v/>
      </c>
      <c r="D4336" s="45" t="str">
        <f t="shared" si="23"/>
        <v/>
      </c>
      <c r="E4336" s="45" t="str">
        <f t="shared" si="24"/>
        <v/>
      </c>
      <c r="F4336" s="59" t="str">
        <f t="shared" si="25"/>
        <v/>
      </c>
      <c r="G4336" s="59" t="str">
        <f t="shared" si="26"/>
        <v/>
      </c>
      <c r="H4336" s="59" t="str">
        <f t="shared" si="27"/>
        <v>28C04536</v>
      </c>
      <c r="I4336" s="59" t="str">
        <f>IF(OR($A4336="",$C4336="",$D4336="",$E4336="",$H4336=""),"",SUMIFS(DATA_GOC!$H:$H,DATA_GOC!$A:$A,"BOM",DATA_GOC!$D:$D,$H4336,DATA_GOC!$E:$E,$C4336,DATA_GOC!$F:$F,"Xuất nội bộ từ téc",DATA_GOC!$B:$B,"&gt;="&amp;$D4336,DATA_GOC!$B:$B,"&lt;="&amp;$E4336))</f>
        <v/>
      </c>
      <c r="J4336" s="59">
        <f t="shared" si="28"/>
        <v>0</v>
      </c>
      <c r="K4336" s="59">
        <f t="shared" si="29"/>
        <v>0</v>
      </c>
      <c r="L4336" s="59">
        <f t="shared" si="30"/>
        <v>0</v>
      </c>
      <c r="M4336" s="59">
        <f t="shared" si="31"/>
        <v>0</v>
      </c>
    </row>
    <row r="4337" ht="15.0" hidden="1" customHeight="1">
      <c r="A4337" s="59">
        <f t="shared" si="20"/>
        <v>69</v>
      </c>
      <c r="B4337" s="59" t="str">
        <f t="shared" si="21"/>
        <v/>
      </c>
      <c r="C4337" s="59" t="str">
        <f t="shared" si="22"/>
        <v/>
      </c>
      <c r="D4337" s="45" t="str">
        <f t="shared" si="23"/>
        <v/>
      </c>
      <c r="E4337" s="45" t="str">
        <f t="shared" si="24"/>
        <v/>
      </c>
      <c r="F4337" s="59" t="str">
        <f t="shared" si="25"/>
        <v/>
      </c>
      <c r="G4337" s="59" t="str">
        <f t="shared" si="26"/>
        <v/>
      </c>
      <c r="H4337" s="59" t="str">
        <f t="shared" si="27"/>
        <v>28C04576</v>
      </c>
      <c r="I4337" s="59" t="str">
        <f>IF(OR($A4337="",$C4337="",$D4337="",$E4337="",$H4337=""),"",SUMIFS(DATA_GOC!$H:$H,DATA_GOC!$A:$A,"BOM",DATA_GOC!$D:$D,$H4337,DATA_GOC!$E:$E,$C4337,DATA_GOC!$F:$F,"Xuất nội bộ từ téc",DATA_GOC!$B:$B,"&gt;="&amp;$D4337,DATA_GOC!$B:$B,"&lt;="&amp;$E4337))</f>
        <v/>
      </c>
      <c r="J4337" s="59">
        <f t="shared" si="28"/>
        <v>0</v>
      </c>
      <c r="K4337" s="59">
        <f t="shared" si="29"/>
        <v>0</v>
      </c>
      <c r="L4337" s="59">
        <f t="shared" si="30"/>
        <v>0</v>
      </c>
      <c r="M4337" s="59">
        <f t="shared" si="31"/>
        <v>0</v>
      </c>
    </row>
    <row r="4338" ht="15.0" hidden="1" customHeight="1">
      <c r="A4338" s="59">
        <f t="shared" si="20"/>
        <v>69</v>
      </c>
      <c r="B4338" s="59" t="str">
        <f t="shared" si="21"/>
        <v/>
      </c>
      <c r="C4338" s="59" t="str">
        <f t="shared" si="22"/>
        <v/>
      </c>
      <c r="D4338" s="45" t="str">
        <f t="shared" si="23"/>
        <v/>
      </c>
      <c r="E4338" s="45" t="str">
        <f t="shared" si="24"/>
        <v/>
      </c>
      <c r="F4338" s="59" t="str">
        <f t="shared" si="25"/>
        <v/>
      </c>
      <c r="G4338" s="59" t="str">
        <f t="shared" si="26"/>
        <v/>
      </c>
      <c r="H4338" s="59" t="str">
        <f t="shared" si="27"/>
        <v>28C05090</v>
      </c>
      <c r="I4338" s="59" t="str">
        <f>IF(OR($A4338="",$C4338="",$D4338="",$E4338="",$H4338=""),"",SUMIFS(DATA_GOC!$H:$H,DATA_GOC!$A:$A,"BOM",DATA_GOC!$D:$D,$H4338,DATA_GOC!$E:$E,$C4338,DATA_GOC!$F:$F,"Xuất nội bộ từ téc",DATA_GOC!$B:$B,"&gt;="&amp;$D4338,DATA_GOC!$B:$B,"&lt;="&amp;$E4338))</f>
        <v/>
      </c>
      <c r="J4338" s="59">
        <f t="shared" si="28"/>
        <v>0</v>
      </c>
      <c r="K4338" s="59">
        <f t="shared" si="29"/>
        <v>0</v>
      </c>
      <c r="L4338" s="59">
        <f t="shared" si="30"/>
        <v>0</v>
      </c>
      <c r="M4338" s="59">
        <f t="shared" si="31"/>
        <v>0</v>
      </c>
    </row>
    <row r="4339" ht="15.0" hidden="1" customHeight="1">
      <c r="A4339" s="59">
        <f t="shared" si="20"/>
        <v>69</v>
      </c>
      <c r="B4339" s="59" t="str">
        <f t="shared" si="21"/>
        <v/>
      </c>
      <c r="C4339" s="59" t="str">
        <f t="shared" si="22"/>
        <v/>
      </c>
      <c r="D4339" s="45" t="str">
        <f t="shared" si="23"/>
        <v/>
      </c>
      <c r="E4339" s="45" t="str">
        <f t="shared" si="24"/>
        <v/>
      </c>
      <c r="F4339" s="59" t="str">
        <f t="shared" si="25"/>
        <v/>
      </c>
      <c r="G4339" s="59" t="str">
        <f t="shared" si="26"/>
        <v/>
      </c>
      <c r="H4339" s="59" t="str">
        <f t="shared" si="27"/>
        <v>28C05345</v>
      </c>
      <c r="I4339" s="59" t="str">
        <f>IF(OR($A4339="",$C4339="",$D4339="",$E4339="",$H4339=""),"",SUMIFS(DATA_GOC!$H:$H,DATA_GOC!$A:$A,"BOM",DATA_GOC!$D:$D,$H4339,DATA_GOC!$E:$E,$C4339,DATA_GOC!$F:$F,"Xuất nội bộ từ téc",DATA_GOC!$B:$B,"&gt;="&amp;$D4339,DATA_GOC!$B:$B,"&lt;="&amp;$E4339))</f>
        <v/>
      </c>
      <c r="J4339" s="59">
        <f t="shared" si="28"/>
        <v>0</v>
      </c>
      <c r="K4339" s="59">
        <f t="shared" si="29"/>
        <v>0</v>
      </c>
      <c r="L4339" s="59">
        <f t="shared" si="30"/>
        <v>0</v>
      </c>
      <c r="M4339" s="59">
        <f t="shared" si="31"/>
        <v>0</v>
      </c>
    </row>
    <row r="4340" ht="15.0" hidden="1" customHeight="1">
      <c r="A4340" s="59">
        <f t="shared" si="20"/>
        <v>69</v>
      </c>
      <c r="B4340" s="59" t="str">
        <f t="shared" si="21"/>
        <v/>
      </c>
      <c r="C4340" s="59" t="str">
        <f t="shared" si="22"/>
        <v/>
      </c>
      <c r="D4340" s="45" t="str">
        <f t="shared" si="23"/>
        <v/>
      </c>
      <c r="E4340" s="45" t="str">
        <f t="shared" si="24"/>
        <v/>
      </c>
      <c r="F4340" s="59" t="str">
        <f t="shared" si="25"/>
        <v/>
      </c>
      <c r="G4340" s="59" t="str">
        <f t="shared" si="26"/>
        <v/>
      </c>
      <c r="H4340" s="59" t="str">
        <f t="shared" si="27"/>
        <v>28C05661</v>
      </c>
      <c r="I4340" s="59" t="str">
        <f>IF(OR($A4340="",$C4340="",$D4340="",$E4340="",$H4340=""),"",SUMIFS(DATA_GOC!$H:$H,DATA_GOC!$A:$A,"BOM",DATA_GOC!$D:$D,$H4340,DATA_GOC!$E:$E,$C4340,DATA_GOC!$F:$F,"Xuất nội bộ từ téc",DATA_GOC!$B:$B,"&gt;="&amp;$D4340,DATA_GOC!$B:$B,"&lt;="&amp;$E4340))</f>
        <v/>
      </c>
      <c r="J4340" s="59">
        <f t="shared" si="28"/>
        <v>0</v>
      </c>
      <c r="K4340" s="59">
        <f t="shared" si="29"/>
        <v>0</v>
      </c>
      <c r="L4340" s="59">
        <f t="shared" si="30"/>
        <v>0</v>
      </c>
      <c r="M4340" s="59">
        <f t="shared" si="31"/>
        <v>0</v>
      </c>
    </row>
    <row r="4341" ht="15.0" hidden="1" customHeight="1">
      <c r="A4341" s="59">
        <f t="shared" si="20"/>
        <v>69</v>
      </c>
      <c r="B4341" s="59" t="str">
        <f t="shared" si="21"/>
        <v/>
      </c>
      <c r="C4341" s="59" t="str">
        <f t="shared" si="22"/>
        <v/>
      </c>
      <c r="D4341" s="45" t="str">
        <f t="shared" si="23"/>
        <v/>
      </c>
      <c r="E4341" s="45" t="str">
        <f t="shared" si="24"/>
        <v/>
      </c>
      <c r="F4341" s="59" t="str">
        <f t="shared" si="25"/>
        <v/>
      </c>
      <c r="G4341" s="59" t="str">
        <f t="shared" si="26"/>
        <v/>
      </c>
      <c r="H4341" s="59" t="str">
        <f t="shared" si="27"/>
        <v>28C05739</v>
      </c>
      <c r="I4341" s="59" t="str">
        <f>IF(OR($A4341="",$C4341="",$D4341="",$E4341="",$H4341=""),"",SUMIFS(DATA_GOC!$H:$H,DATA_GOC!$A:$A,"BOM",DATA_GOC!$D:$D,$H4341,DATA_GOC!$E:$E,$C4341,DATA_GOC!$F:$F,"Xuất nội bộ từ téc",DATA_GOC!$B:$B,"&gt;="&amp;$D4341,DATA_GOC!$B:$B,"&lt;="&amp;$E4341))</f>
        <v/>
      </c>
      <c r="J4341" s="59">
        <f t="shared" si="28"/>
        <v>0</v>
      </c>
      <c r="K4341" s="59">
        <f t="shared" si="29"/>
        <v>0</v>
      </c>
      <c r="L4341" s="59">
        <f t="shared" si="30"/>
        <v>0</v>
      </c>
      <c r="M4341" s="59">
        <f t="shared" si="31"/>
        <v>0</v>
      </c>
    </row>
    <row r="4342" ht="15.0" hidden="1" customHeight="1">
      <c r="A4342" s="59">
        <f t="shared" si="20"/>
        <v>69</v>
      </c>
      <c r="B4342" s="59" t="str">
        <f t="shared" si="21"/>
        <v/>
      </c>
      <c r="C4342" s="59" t="str">
        <f t="shared" si="22"/>
        <v/>
      </c>
      <c r="D4342" s="45" t="str">
        <f t="shared" si="23"/>
        <v/>
      </c>
      <c r="E4342" s="45" t="str">
        <f t="shared" si="24"/>
        <v/>
      </c>
      <c r="F4342" s="59" t="str">
        <f t="shared" si="25"/>
        <v/>
      </c>
      <c r="G4342" s="59" t="str">
        <f t="shared" si="26"/>
        <v/>
      </c>
      <c r="H4342" s="59" t="str">
        <f t="shared" si="27"/>
        <v>28C06369</v>
      </c>
      <c r="I4342" s="59" t="str">
        <f>IF(OR($A4342="",$C4342="",$D4342="",$E4342="",$H4342=""),"",SUMIFS(DATA_GOC!$H:$H,DATA_GOC!$A:$A,"BOM",DATA_GOC!$D:$D,$H4342,DATA_GOC!$E:$E,$C4342,DATA_GOC!$F:$F,"Xuất nội bộ từ téc",DATA_GOC!$B:$B,"&gt;="&amp;$D4342,DATA_GOC!$B:$B,"&lt;="&amp;$E4342))</f>
        <v/>
      </c>
      <c r="J4342" s="59">
        <f t="shared" si="28"/>
        <v>0</v>
      </c>
      <c r="K4342" s="59">
        <f t="shared" si="29"/>
        <v>0</v>
      </c>
      <c r="L4342" s="59">
        <f t="shared" si="30"/>
        <v>0</v>
      </c>
      <c r="M4342" s="59">
        <f t="shared" si="31"/>
        <v>0</v>
      </c>
    </row>
    <row r="4343" ht="15.0" hidden="1" customHeight="1">
      <c r="A4343" s="59">
        <f t="shared" si="20"/>
        <v>69</v>
      </c>
      <c r="B4343" s="59" t="str">
        <f t="shared" si="21"/>
        <v/>
      </c>
      <c r="C4343" s="59" t="str">
        <f t="shared" si="22"/>
        <v/>
      </c>
      <c r="D4343" s="45" t="str">
        <f t="shared" si="23"/>
        <v/>
      </c>
      <c r="E4343" s="45" t="str">
        <f t="shared" si="24"/>
        <v/>
      </c>
      <c r="F4343" s="59" t="str">
        <f t="shared" si="25"/>
        <v/>
      </c>
      <c r="G4343" s="59" t="str">
        <f t="shared" si="26"/>
        <v/>
      </c>
      <c r="H4343" s="59" t="str">
        <f t="shared" si="27"/>
        <v>28C06447</v>
      </c>
      <c r="I4343" s="59" t="str">
        <f>IF(OR($A4343="",$C4343="",$D4343="",$E4343="",$H4343=""),"",SUMIFS(DATA_GOC!$H:$H,DATA_GOC!$A:$A,"BOM",DATA_GOC!$D:$D,$H4343,DATA_GOC!$E:$E,$C4343,DATA_GOC!$F:$F,"Xuất nội bộ từ téc",DATA_GOC!$B:$B,"&gt;="&amp;$D4343,DATA_GOC!$B:$B,"&lt;="&amp;$E4343))</f>
        <v/>
      </c>
      <c r="J4343" s="59">
        <f t="shared" si="28"/>
        <v>0</v>
      </c>
      <c r="K4343" s="59">
        <f t="shared" si="29"/>
        <v>0</v>
      </c>
      <c r="L4343" s="59">
        <f t="shared" si="30"/>
        <v>0</v>
      </c>
      <c r="M4343" s="59">
        <f t="shared" si="31"/>
        <v>0</v>
      </c>
    </row>
    <row r="4344" ht="15.0" hidden="1" customHeight="1">
      <c r="A4344" s="59">
        <f t="shared" si="20"/>
        <v>69</v>
      </c>
      <c r="B4344" s="59" t="str">
        <f t="shared" si="21"/>
        <v/>
      </c>
      <c r="C4344" s="59" t="str">
        <f t="shared" si="22"/>
        <v/>
      </c>
      <c r="D4344" s="45" t="str">
        <f t="shared" si="23"/>
        <v/>
      </c>
      <c r="E4344" s="45" t="str">
        <f t="shared" si="24"/>
        <v/>
      </c>
      <c r="F4344" s="59" t="str">
        <f t="shared" si="25"/>
        <v/>
      </c>
      <c r="G4344" s="59" t="str">
        <f t="shared" si="26"/>
        <v/>
      </c>
      <c r="H4344" s="59" t="str">
        <f t="shared" si="27"/>
        <v>28H00003</v>
      </c>
      <c r="I4344" s="59" t="str">
        <f>IF(OR($A4344="",$C4344="",$D4344="",$E4344="",$H4344=""),"",SUMIFS(DATA_GOC!$H:$H,DATA_GOC!$A:$A,"BOM",DATA_GOC!$D:$D,$H4344,DATA_GOC!$E:$E,$C4344,DATA_GOC!$F:$F,"Xuất nội bộ từ téc",DATA_GOC!$B:$B,"&gt;="&amp;$D4344,DATA_GOC!$B:$B,"&lt;="&amp;$E4344))</f>
        <v/>
      </c>
      <c r="J4344" s="59">
        <f t="shared" si="28"/>
        <v>0</v>
      </c>
      <c r="K4344" s="59">
        <f t="shared" si="29"/>
        <v>0</v>
      </c>
      <c r="L4344" s="59">
        <f t="shared" si="30"/>
        <v>0</v>
      </c>
      <c r="M4344" s="59">
        <f t="shared" si="31"/>
        <v>0</v>
      </c>
    </row>
    <row r="4345" ht="15.0" hidden="1" customHeight="1">
      <c r="A4345" s="59">
        <f t="shared" si="20"/>
        <v>69</v>
      </c>
      <c r="B4345" s="59" t="str">
        <f t="shared" si="21"/>
        <v/>
      </c>
      <c r="C4345" s="59" t="str">
        <f t="shared" si="22"/>
        <v/>
      </c>
      <c r="D4345" s="45" t="str">
        <f t="shared" si="23"/>
        <v/>
      </c>
      <c r="E4345" s="45" t="str">
        <f t="shared" si="24"/>
        <v/>
      </c>
      <c r="F4345" s="59" t="str">
        <f t="shared" si="25"/>
        <v/>
      </c>
      <c r="G4345" s="59" t="str">
        <f t="shared" si="26"/>
        <v/>
      </c>
      <c r="H4345" s="59" t="str">
        <f t="shared" si="27"/>
        <v>28H00061</v>
      </c>
      <c r="I4345" s="59" t="str">
        <f>IF(OR($A4345="",$C4345="",$D4345="",$E4345="",$H4345=""),"",SUMIFS(DATA_GOC!$H:$H,DATA_GOC!$A:$A,"BOM",DATA_GOC!$D:$D,$H4345,DATA_GOC!$E:$E,$C4345,DATA_GOC!$F:$F,"Xuất nội bộ từ téc",DATA_GOC!$B:$B,"&gt;="&amp;$D4345,DATA_GOC!$B:$B,"&lt;="&amp;$E4345))</f>
        <v/>
      </c>
      <c r="J4345" s="59">
        <f t="shared" si="28"/>
        <v>0</v>
      </c>
      <c r="K4345" s="59">
        <f t="shared" si="29"/>
        <v>0</v>
      </c>
      <c r="L4345" s="59">
        <f t="shared" si="30"/>
        <v>0</v>
      </c>
      <c r="M4345" s="59">
        <f t="shared" si="31"/>
        <v>0</v>
      </c>
    </row>
    <row r="4346" ht="15.0" hidden="1" customHeight="1">
      <c r="A4346" s="59">
        <f t="shared" si="20"/>
        <v>69</v>
      </c>
      <c r="B4346" s="59" t="str">
        <f t="shared" si="21"/>
        <v/>
      </c>
      <c r="C4346" s="59" t="str">
        <f t="shared" si="22"/>
        <v/>
      </c>
      <c r="D4346" s="45" t="str">
        <f t="shared" si="23"/>
        <v/>
      </c>
      <c r="E4346" s="45" t="str">
        <f t="shared" si="24"/>
        <v/>
      </c>
      <c r="F4346" s="59" t="str">
        <f t="shared" si="25"/>
        <v/>
      </c>
      <c r="G4346" s="59" t="str">
        <f t="shared" si="26"/>
        <v/>
      </c>
      <c r="H4346" s="59" t="str">
        <f t="shared" si="27"/>
        <v>28H00354</v>
      </c>
      <c r="I4346" s="59" t="str">
        <f>IF(OR($A4346="",$C4346="",$D4346="",$E4346="",$H4346=""),"",SUMIFS(DATA_GOC!$H:$H,DATA_GOC!$A:$A,"BOM",DATA_GOC!$D:$D,$H4346,DATA_GOC!$E:$E,$C4346,DATA_GOC!$F:$F,"Xuất nội bộ từ téc",DATA_GOC!$B:$B,"&gt;="&amp;$D4346,DATA_GOC!$B:$B,"&lt;="&amp;$E4346))</f>
        <v/>
      </c>
      <c r="J4346" s="59">
        <f t="shared" si="28"/>
        <v>0</v>
      </c>
      <c r="K4346" s="59">
        <f t="shared" si="29"/>
        <v>0</v>
      </c>
      <c r="L4346" s="59">
        <f t="shared" si="30"/>
        <v>0</v>
      </c>
      <c r="M4346" s="59">
        <f t="shared" si="31"/>
        <v>0</v>
      </c>
    </row>
    <row r="4347" ht="15.0" hidden="1" customHeight="1">
      <c r="A4347" s="59">
        <f t="shared" si="20"/>
        <v>69</v>
      </c>
      <c r="B4347" s="59" t="str">
        <f t="shared" si="21"/>
        <v/>
      </c>
      <c r="C4347" s="59" t="str">
        <f t="shared" si="22"/>
        <v/>
      </c>
      <c r="D4347" s="45" t="str">
        <f t="shared" si="23"/>
        <v/>
      </c>
      <c r="E4347" s="45" t="str">
        <f t="shared" si="24"/>
        <v/>
      </c>
      <c r="F4347" s="59" t="str">
        <f t="shared" si="25"/>
        <v/>
      </c>
      <c r="G4347" s="59" t="str">
        <f t="shared" si="26"/>
        <v/>
      </c>
      <c r="H4347" s="59" t="str">
        <f t="shared" si="27"/>
        <v>28H00603</v>
      </c>
      <c r="I4347" s="59" t="str">
        <f>IF(OR($A4347="",$C4347="",$D4347="",$E4347="",$H4347=""),"",SUMIFS(DATA_GOC!$H:$H,DATA_GOC!$A:$A,"BOM",DATA_GOC!$D:$D,$H4347,DATA_GOC!$E:$E,$C4347,DATA_GOC!$F:$F,"Xuất nội bộ từ téc",DATA_GOC!$B:$B,"&gt;="&amp;$D4347,DATA_GOC!$B:$B,"&lt;="&amp;$E4347))</f>
        <v/>
      </c>
      <c r="J4347" s="59">
        <f t="shared" si="28"/>
        <v>0</v>
      </c>
      <c r="K4347" s="59">
        <f t="shared" si="29"/>
        <v>0</v>
      </c>
      <c r="L4347" s="59">
        <f t="shared" si="30"/>
        <v>0</v>
      </c>
      <c r="M4347" s="59">
        <f t="shared" si="31"/>
        <v>0</v>
      </c>
    </row>
    <row r="4348" ht="15.0" hidden="1" customHeight="1">
      <c r="A4348" s="59">
        <f t="shared" si="20"/>
        <v>69</v>
      </c>
      <c r="B4348" s="59" t="str">
        <f t="shared" si="21"/>
        <v/>
      </c>
      <c r="C4348" s="59" t="str">
        <f t="shared" si="22"/>
        <v/>
      </c>
      <c r="D4348" s="45" t="str">
        <f t="shared" si="23"/>
        <v/>
      </c>
      <c r="E4348" s="45" t="str">
        <f t="shared" si="24"/>
        <v/>
      </c>
      <c r="F4348" s="59" t="str">
        <f t="shared" si="25"/>
        <v/>
      </c>
      <c r="G4348" s="59" t="str">
        <f t="shared" si="26"/>
        <v/>
      </c>
      <c r="H4348" s="59" t="str">
        <f t="shared" si="27"/>
        <v>28H00609</v>
      </c>
      <c r="I4348" s="59" t="str">
        <f>IF(OR($A4348="",$C4348="",$D4348="",$E4348="",$H4348=""),"",SUMIFS(DATA_GOC!$H:$H,DATA_GOC!$A:$A,"BOM",DATA_GOC!$D:$D,$H4348,DATA_GOC!$E:$E,$C4348,DATA_GOC!$F:$F,"Xuất nội bộ từ téc",DATA_GOC!$B:$B,"&gt;="&amp;$D4348,DATA_GOC!$B:$B,"&lt;="&amp;$E4348))</f>
        <v/>
      </c>
      <c r="J4348" s="59">
        <f t="shared" si="28"/>
        <v>0</v>
      </c>
      <c r="K4348" s="59">
        <f t="shared" si="29"/>
        <v>0</v>
      </c>
      <c r="L4348" s="59">
        <f t="shared" si="30"/>
        <v>0</v>
      </c>
      <c r="M4348" s="59">
        <f t="shared" si="31"/>
        <v>0</v>
      </c>
    </row>
    <row r="4349" ht="15.0" hidden="1" customHeight="1">
      <c r="A4349" s="59">
        <f t="shared" si="20"/>
        <v>69</v>
      </c>
      <c r="B4349" s="59" t="str">
        <f t="shared" si="21"/>
        <v/>
      </c>
      <c r="C4349" s="59" t="str">
        <f t="shared" si="22"/>
        <v/>
      </c>
      <c r="D4349" s="45" t="str">
        <f t="shared" si="23"/>
        <v/>
      </c>
      <c r="E4349" s="45" t="str">
        <f t="shared" si="24"/>
        <v/>
      </c>
      <c r="F4349" s="59" t="str">
        <f t="shared" si="25"/>
        <v/>
      </c>
      <c r="G4349" s="59" t="str">
        <f t="shared" si="26"/>
        <v/>
      </c>
      <c r="H4349" s="59" t="str">
        <f t="shared" si="27"/>
        <v>28H00669</v>
      </c>
      <c r="I4349" s="59" t="str">
        <f>IF(OR($A4349="",$C4349="",$D4349="",$E4349="",$H4349=""),"",SUMIFS(DATA_GOC!$H:$H,DATA_GOC!$A:$A,"BOM",DATA_GOC!$D:$D,$H4349,DATA_GOC!$E:$E,$C4349,DATA_GOC!$F:$F,"Xuất nội bộ từ téc",DATA_GOC!$B:$B,"&gt;="&amp;$D4349,DATA_GOC!$B:$B,"&lt;="&amp;$E4349))</f>
        <v/>
      </c>
      <c r="J4349" s="59">
        <f t="shared" si="28"/>
        <v>0</v>
      </c>
      <c r="K4349" s="59">
        <f t="shared" si="29"/>
        <v>0</v>
      </c>
      <c r="L4349" s="59">
        <f t="shared" si="30"/>
        <v>0</v>
      </c>
      <c r="M4349" s="59">
        <f t="shared" si="31"/>
        <v>0</v>
      </c>
    </row>
    <row r="4350" ht="15.0" hidden="1" customHeight="1">
      <c r="A4350" s="59">
        <f t="shared" si="20"/>
        <v>69</v>
      </c>
      <c r="B4350" s="59" t="str">
        <f t="shared" si="21"/>
        <v/>
      </c>
      <c r="C4350" s="59" t="str">
        <f t="shared" si="22"/>
        <v/>
      </c>
      <c r="D4350" s="45" t="str">
        <f t="shared" si="23"/>
        <v/>
      </c>
      <c r="E4350" s="45" t="str">
        <f t="shared" si="24"/>
        <v/>
      </c>
      <c r="F4350" s="59" t="str">
        <f t="shared" si="25"/>
        <v/>
      </c>
      <c r="G4350" s="59" t="str">
        <f t="shared" si="26"/>
        <v/>
      </c>
      <c r="H4350" s="59" t="str">
        <f t="shared" si="27"/>
        <v>28H00680</v>
      </c>
      <c r="I4350" s="59" t="str">
        <f>IF(OR($A4350="",$C4350="",$D4350="",$E4350="",$H4350=""),"",SUMIFS(DATA_GOC!$H:$H,DATA_GOC!$A:$A,"BOM",DATA_GOC!$D:$D,$H4350,DATA_GOC!$E:$E,$C4350,DATA_GOC!$F:$F,"Xuất nội bộ từ téc",DATA_GOC!$B:$B,"&gt;="&amp;$D4350,DATA_GOC!$B:$B,"&lt;="&amp;$E4350))</f>
        <v/>
      </c>
      <c r="J4350" s="59">
        <f t="shared" si="28"/>
        <v>0</v>
      </c>
      <c r="K4350" s="59">
        <f t="shared" si="29"/>
        <v>0</v>
      </c>
      <c r="L4350" s="59">
        <f t="shared" si="30"/>
        <v>0</v>
      </c>
      <c r="M4350" s="59">
        <f t="shared" si="31"/>
        <v>0</v>
      </c>
    </row>
    <row r="4351" ht="15.0" hidden="1" customHeight="1">
      <c r="A4351" s="59">
        <f t="shared" si="20"/>
        <v>69</v>
      </c>
      <c r="B4351" s="59" t="str">
        <f t="shared" si="21"/>
        <v/>
      </c>
      <c r="C4351" s="59" t="str">
        <f t="shared" si="22"/>
        <v/>
      </c>
      <c r="D4351" s="45" t="str">
        <f t="shared" si="23"/>
        <v/>
      </c>
      <c r="E4351" s="45" t="str">
        <f t="shared" si="24"/>
        <v/>
      </c>
      <c r="F4351" s="59" t="str">
        <f t="shared" si="25"/>
        <v/>
      </c>
      <c r="G4351" s="59" t="str">
        <f t="shared" si="26"/>
        <v/>
      </c>
      <c r="H4351" s="59" t="str">
        <f t="shared" si="27"/>
        <v>28H01070</v>
      </c>
      <c r="I4351" s="59" t="str">
        <f>IF(OR($A4351="",$C4351="",$D4351="",$E4351="",$H4351=""),"",SUMIFS(DATA_GOC!$H:$H,DATA_GOC!$A:$A,"BOM",DATA_GOC!$D:$D,$H4351,DATA_GOC!$E:$E,$C4351,DATA_GOC!$F:$F,"Xuất nội bộ từ téc",DATA_GOC!$B:$B,"&gt;="&amp;$D4351,DATA_GOC!$B:$B,"&lt;="&amp;$E4351))</f>
        <v/>
      </c>
      <c r="J4351" s="59">
        <f t="shared" si="28"/>
        <v>0</v>
      </c>
      <c r="K4351" s="59">
        <f t="shared" si="29"/>
        <v>0</v>
      </c>
      <c r="L4351" s="59">
        <f t="shared" si="30"/>
        <v>0</v>
      </c>
      <c r="M4351" s="59">
        <f t="shared" si="31"/>
        <v>0</v>
      </c>
    </row>
    <row r="4352" ht="15.0" hidden="1" customHeight="1">
      <c r="A4352" s="59">
        <f t="shared" si="20"/>
        <v>69</v>
      </c>
      <c r="B4352" s="59" t="str">
        <f t="shared" si="21"/>
        <v/>
      </c>
      <c r="C4352" s="59" t="str">
        <f t="shared" si="22"/>
        <v/>
      </c>
      <c r="D4352" s="45" t="str">
        <f t="shared" si="23"/>
        <v/>
      </c>
      <c r="E4352" s="45" t="str">
        <f t="shared" si="24"/>
        <v/>
      </c>
      <c r="F4352" s="59" t="str">
        <f t="shared" si="25"/>
        <v/>
      </c>
      <c r="G4352" s="59" t="str">
        <f t="shared" si="26"/>
        <v/>
      </c>
      <c r="H4352" s="59" t="str">
        <f t="shared" si="27"/>
        <v>28H01364</v>
      </c>
      <c r="I4352" s="59" t="str">
        <f>IF(OR($A4352="",$C4352="",$D4352="",$E4352="",$H4352=""),"",SUMIFS(DATA_GOC!$H:$H,DATA_GOC!$A:$A,"BOM",DATA_GOC!$D:$D,$H4352,DATA_GOC!$E:$E,$C4352,DATA_GOC!$F:$F,"Xuất nội bộ từ téc",DATA_GOC!$B:$B,"&gt;="&amp;$D4352,DATA_GOC!$B:$B,"&lt;="&amp;$E4352))</f>
        <v/>
      </c>
      <c r="J4352" s="59">
        <f t="shared" si="28"/>
        <v>0</v>
      </c>
      <c r="K4352" s="59">
        <f t="shared" si="29"/>
        <v>0</v>
      </c>
      <c r="L4352" s="59">
        <f t="shared" si="30"/>
        <v>0</v>
      </c>
      <c r="M4352" s="59">
        <f t="shared" si="31"/>
        <v>0</v>
      </c>
    </row>
    <row r="4353" ht="15.0" hidden="1" customHeight="1">
      <c r="A4353" s="59">
        <f t="shared" si="20"/>
        <v>69</v>
      </c>
      <c r="B4353" s="59" t="str">
        <f t="shared" si="21"/>
        <v/>
      </c>
      <c r="C4353" s="59" t="str">
        <f t="shared" si="22"/>
        <v/>
      </c>
      <c r="D4353" s="45" t="str">
        <f t="shared" si="23"/>
        <v/>
      </c>
      <c r="E4353" s="45" t="str">
        <f t="shared" si="24"/>
        <v/>
      </c>
      <c r="F4353" s="59" t="str">
        <f t="shared" si="25"/>
        <v/>
      </c>
      <c r="G4353" s="59" t="str">
        <f t="shared" si="26"/>
        <v/>
      </c>
      <c r="H4353" s="59" t="str">
        <f t="shared" si="27"/>
        <v>29E17269</v>
      </c>
      <c r="I4353" s="59" t="str">
        <f>IF(OR($A4353="",$C4353="",$D4353="",$E4353="",$H4353=""),"",SUMIFS(DATA_GOC!$H:$H,DATA_GOC!$A:$A,"BOM",DATA_GOC!$D:$D,$H4353,DATA_GOC!$E:$E,$C4353,DATA_GOC!$F:$F,"Xuất nội bộ từ téc",DATA_GOC!$B:$B,"&gt;="&amp;$D4353,DATA_GOC!$B:$B,"&lt;="&amp;$E4353))</f>
        <v/>
      </c>
      <c r="J4353" s="59">
        <f t="shared" si="28"/>
        <v>0</v>
      </c>
      <c r="K4353" s="59">
        <f t="shared" si="29"/>
        <v>0</v>
      </c>
      <c r="L4353" s="59">
        <f t="shared" si="30"/>
        <v>0</v>
      </c>
      <c r="M4353" s="59">
        <f t="shared" si="31"/>
        <v>0</v>
      </c>
    </row>
    <row r="4354" ht="15.0" hidden="1" customHeight="1">
      <c r="A4354" s="59">
        <f t="shared" si="20"/>
        <v>69</v>
      </c>
      <c r="B4354" s="59" t="str">
        <f t="shared" si="21"/>
        <v/>
      </c>
      <c r="C4354" s="59" t="str">
        <f t="shared" si="22"/>
        <v/>
      </c>
      <c r="D4354" s="45" t="str">
        <f t="shared" si="23"/>
        <v/>
      </c>
      <c r="E4354" s="45" t="str">
        <f t="shared" si="24"/>
        <v/>
      </c>
      <c r="F4354" s="59" t="str">
        <f t="shared" si="25"/>
        <v/>
      </c>
      <c r="G4354" s="59" t="str">
        <f t="shared" si="26"/>
        <v/>
      </c>
      <c r="H4354" s="59" t="str">
        <f t="shared" si="27"/>
        <v>29E17273</v>
      </c>
      <c r="I4354" s="59" t="str">
        <f>IF(OR($A4354="",$C4354="",$D4354="",$E4354="",$H4354=""),"",SUMIFS(DATA_GOC!$H:$H,DATA_GOC!$A:$A,"BOM",DATA_GOC!$D:$D,$H4354,DATA_GOC!$E:$E,$C4354,DATA_GOC!$F:$F,"Xuất nội bộ từ téc",DATA_GOC!$B:$B,"&gt;="&amp;$D4354,DATA_GOC!$B:$B,"&lt;="&amp;$E4354))</f>
        <v/>
      </c>
      <c r="J4354" s="59">
        <f t="shared" si="28"/>
        <v>0</v>
      </c>
      <c r="K4354" s="59">
        <f t="shared" si="29"/>
        <v>0</v>
      </c>
      <c r="L4354" s="59">
        <f t="shared" si="30"/>
        <v>0</v>
      </c>
      <c r="M4354" s="59">
        <f t="shared" si="31"/>
        <v>0</v>
      </c>
    </row>
    <row r="4355" ht="15.0" hidden="1" customHeight="1">
      <c r="A4355" s="59">
        <f t="shared" si="20"/>
        <v>69</v>
      </c>
      <c r="B4355" s="59" t="str">
        <f t="shared" si="21"/>
        <v/>
      </c>
      <c r="C4355" s="59" t="str">
        <f t="shared" si="22"/>
        <v/>
      </c>
      <c r="D4355" s="45" t="str">
        <f t="shared" si="23"/>
        <v/>
      </c>
      <c r="E4355" s="45" t="str">
        <f t="shared" si="24"/>
        <v/>
      </c>
      <c r="F4355" s="59" t="str">
        <f t="shared" si="25"/>
        <v/>
      </c>
      <c r="G4355" s="59" t="str">
        <f t="shared" si="26"/>
        <v/>
      </c>
      <c r="H4355" s="59" t="str">
        <f t="shared" si="27"/>
        <v>29E17410</v>
      </c>
      <c r="I4355" s="59" t="str">
        <f>IF(OR($A4355="",$C4355="",$D4355="",$E4355="",$H4355=""),"",SUMIFS(DATA_GOC!$H:$H,DATA_GOC!$A:$A,"BOM",DATA_GOC!$D:$D,$H4355,DATA_GOC!$E:$E,$C4355,DATA_GOC!$F:$F,"Xuất nội bộ từ téc",DATA_GOC!$B:$B,"&gt;="&amp;$D4355,DATA_GOC!$B:$B,"&lt;="&amp;$E4355))</f>
        <v/>
      </c>
      <c r="J4355" s="59">
        <f t="shared" si="28"/>
        <v>0</v>
      </c>
      <c r="K4355" s="59">
        <f t="shared" si="29"/>
        <v>0</v>
      </c>
      <c r="L4355" s="59">
        <f t="shared" si="30"/>
        <v>0</v>
      </c>
      <c r="M4355" s="59">
        <f t="shared" si="31"/>
        <v>0</v>
      </c>
    </row>
    <row r="4356" ht="15.0" hidden="1" customHeight="1">
      <c r="A4356" s="59">
        <f t="shared" si="20"/>
        <v>69</v>
      </c>
      <c r="B4356" s="59" t="str">
        <f t="shared" si="21"/>
        <v/>
      </c>
      <c r="C4356" s="59" t="str">
        <f t="shared" si="22"/>
        <v/>
      </c>
      <c r="D4356" s="45" t="str">
        <f t="shared" si="23"/>
        <v/>
      </c>
      <c r="E4356" s="45" t="str">
        <f t="shared" si="24"/>
        <v/>
      </c>
      <c r="F4356" s="59" t="str">
        <f t="shared" si="25"/>
        <v/>
      </c>
      <c r="G4356" s="59" t="str">
        <f t="shared" si="26"/>
        <v/>
      </c>
      <c r="H4356" s="59" t="str">
        <f t="shared" si="27"/>
        <v>29E17417</v>
      </c>
      <c r="I4356" s="59" t="str">
        <f>IF(OR($A4356="",$C4356="",$D4356="",$E4356="",$H4356=""),"",SUMIFS(DATA_GOC!$H:$H,DATA_GOC!$A:$A,"BOM",DATA_GOC!$D:$D,$H4356,DATA_GOC!$E:$E,$C4356,DATA_GOC!$F:$F,"Xuất nội bộ từ téc",DATA_GOC!$B:$B,"&gt;="&amp;$D4356,DATA_GOC!$B:$B,"&lt;="&amp;$E4356))</f>
        <v/>
      </c>
      <c r="J4356" s="59">
        <f t="shared" si="28"/>
        <v>0</v>
      </c>
      <c r="K4356" s="59">
        <f t="shared" si="29"/>
        <v>0</v>
      </c>
      <c r="L4356" s="59">
        <f t="shared" si="30"/>
        <v>0</v>
      </c>
      <c r="M4356" s="59">
        <f t="shared" si="31"/>
        <v>0</v>
      </c>
    </row>
    <row r="4357" ht="15.0" hidden="1" customHeight="1">
      <c r="A4357" s="59">
        <f t="shared" si="20"/>
        <v>69</v>
      </c>
      <c r="B4357" s="59" t="str">
        <f t="shared" si="21"/>
        <v/>
      </c>
      <c r="C4357" s="59" t="str">
        <f t="shared" si="22"/>
        <v/>
      </c>
      <c r="D4357" s="45" t="str">
        <f t="shared" si="23"/>
        <v/>
      </c>
      <c r="E4357" s="45" t="str">
        <f t="shared" si="24"/>
        <v/>
      </c>
      <c r="F4357" s="59" t="str">
        <f t="shared" si="25"/>
        <v/>
      </c>
      <c r="G4357" s="59" t="str">
        <f t="shared" si="26"/>
        <v/>
      </c>
      <c r="H4357" s="59" t="str">
        <f t="shared" si="27"/>
        <v>29E17539</v>
      </c>
      <c r="I4357" s="59" t="str">
        <f>IF(OR($A4357="",$C4357="",$D4357="",$E4357="",$H4357=""),"",SUMIFS(DATA_GOC!$H:$H,DATA_GOC!$A:$A,"BOM",DATA_GOC!$D:$D,$H4357,DATA_GOC!$E:$E,$C4357,DATA_GOC!$F:$F,"Xuất nội bộ từ téc",DATA_GOC!$B:$B,"&gt;="&amp;$D4357,DATA_GOC!$B:$B,"&lt;="&amp;$E4357))</f>
        <v/>
      </c>
      <c r="J4357" s="59">
        <f t="shared" si="28"/>
        <v>0</v>
      </c>
      <c r="K4357" s="59">
        <f t="shared" si="29"/>
        <v>0</v>
      </c>
      <c r="L4357" s="59">
        <f t="shared" si="30"/>
        <v>0</v>
      </c>
      <c r="M4357" s="59">
        <f t="shared" si="31"/>
        <v>0</v>
      </c>
    </row>
    <row r="4358" ht="15.0" hidden="1" customHeight="1">
      <c r="A4358" s="59">
        <f t="shared" si="20"/>
        <v>69</v>
      </c>
      <c r="B4358" s="59" t="str">
        <f t="shared" si="21"/>
        <v/>
      </c>
      <c r="C4358" s="59" t="str">
        <f t="shared" si="22"/>
        <v/>
      </c>
      <c r="D4358" s="45" t="str">
        <f t="shared" si="23"/>
        <v/>
      </c>
      <c r="E4358" s="45" t="str">
        <f t="shared" si="24"/>
        <v/>
      </c>
      <c r="F4358" s="59" t="str">
        <f t="shared" si="25"/>
        <v/>
      </c>
      <c r="G4358" s="59" t="str">
        <f t="shared" si="26"/>
        <v/>
      </c>
      <c r="H4358" s="59" t="str">
        <f t="shared" si="27"/>
        <v>29E18160</v>
      </c>
      <c r="I4358" s="59" t="str">
        <f>IF(OR($A4358="",$C4358="",$D4358="",$E4358="",$H4358=""),"",SUMIFS(DATA_GOC!$H:$H,DATA_GOC!$A:$A,"BOM",DATA_GOC!$D:$D,$H4358,DATA_GOC!$E:$E,$C4358,DATA_GOC!$F:$F,"Xuất nội bộ từ téc",DATA_GOC!$B:$B,"&gt;="&amp;$D4358,DATA_GOC!$B:$B,"&lt;="&amp;$E4358))</f>
        <v/>
      </c>
      <c r="J4358" s="59">
        <f t="shared" si="28"/>
        <v>0</v>
      </c>
      <c r="K4358" s="59">
        <f t="shared" si="29"/>
        <v>0</v>
      </c>
      <c r="L4358" s="59">
        <f t="shared" si="30"/>
        <v>0</v>
      </c>
      <c r="M4358" s="59">
        <f t="shared" si="31"/>
        <v>0</v>
      </c>
    </row>
    <row r="4359" ht="15.0" hidden="1" customHeight="1">
      <c r="A4359" s="59">
        <f t="shared" si="20"/>
        <v>69</v>
      </c>
      <c r="B4359" s="59" t="str">
        <f t="shared" si="21"/>
        <v/>
      </c>
      <c r="C4359" s="59" t="str">
        <f t="shared" si="22"/>
        <v/>
      </c>
      <c r="D4359" s="45" t="str">
        <f t="shared" si="23"/>
        <v/>
      </c>
      <c r="E4359" s="45" t="str">
        <f t="shared" si="24"/>
        <v/>
      </c>
      <c r="F4359" s="59" t="str">
        <f t="shared" si="25"/>
        <v/>
      </c>
      <c r="G4359" s="59" t="str">
        <f t="shared" si="26"/>
        <v/>
      </c>
      <c r="H4359" s="59" t="str">
        <f t="shared" si="27"/>
        <v>Công trình Asphalt</v>
      </c>
      <c r="I4359" s="59" t="str">
        <f>IF(OR($A4359="",$C4359="",$D4359="",$E4359="",$H4359=""),"",SUMIFS(DATA_GOC!$H:$H,DATA_GOC!$A:$A,"BOM",DATA_GOC!$D:$D,$H4359,DATA_GOC!$E:$E,$C4359,DATA_GOC!$F:$F,"Xuất nội bộ từ téc",DATA_GOC!$B:$B,"&gt;="&amp;$D4359,DATA_GOC!$B:$B,"&lt;="&amp;$E4359))</f>
        <v/>
      </c>
      <c r="J4359" s="59">
        <f t="shared" si="28"/>
        <v>0</v>
      </c>
      <c r="K4359" s="59">
        <f t="shared" si="29"/>
        <v>0</v>
      </c>
      <c r="L4359" s="59">
        <f t="shared" si="30"/>
        <v>0</v>
      </c>
      <c r="M4359" s="59">
        <f t="shared" si="31"/>
        <v>0</v>
      </c>
    </row>
    <row r="4360" ht="15.0" hidden="1" customHeight="1">
      <c r="A4360" s="59">
        <f t="shared" si="20"/>
        <v>69</v>
      </c>
      <c r="B4360" s="59" t="str">
        <f t="shared" si="21"/>
        <v/>
      </c>
      <c r="C4360" s="59" t="str">
        <f t="shared" si="22"/>
        <v/>
      </c>
      <c r="D4360" s="45" t="str">
        <f t="shared" si="23"/>
        <v/>
      </c>
      <c r="E4360" s="45" t="str">
        <f t="shared" si="24"/>
        <v/>
      </c>
      <c r="F4360" s="59" t="str">
        <f t="shared" si="25"/>
        <v/>
      </c>
      <c r="G4360" s="59" t="str">
        <f t="shared" si="26"/>
        <v/>
      </c>
      <c r="H4360" s="59" t="str">
        <f t="shared" si="27"/>
        <v>LG53F</v>
      </c>
      <c r="I4360" s="59" t="str">
        <f>IF(OR($A4360="",$C4360="",$D4360="",$E4360="",$H4360=""),"",SUMIFS(DATA_GOC!$H:$H,DATA_GOC!$A:$A,"BOM",DATA_GOC!$D:$D,$H4360,DATA_GOC!$E:$E,$C4360,DATA_GOC!$F:$F,"Xuất nội bộ từ téc",DATA_GOC!$B:$B,"&gt;="&amp;$D4360,DATA_GOC!$B:$B,"&lt;="&amp;$E4360))</f>
        <v/>
      </c>
      <c r="J4360" s="59">
        <f t="shared" si="28"/>
        <v>0</v>
      </c>
      <c r="K4360" s="59">
        <f t="shared" si="29"/>
        <v>0</v>
      </c>
      <c r="L4360" s="59">
        <f t="shared" si="30"/>
        <v>0</v>
      </c>
      <c r="M4360" s="59">
        <f t="shared" si="31"/>
        <v>0</v>
      </c>
    </row>
    <row r="4361" ht="15.0" hidden="1" customHeight="1">
      <c r="A4361" s="59">
        <f t="shared" si="20"/>
        <v>69</v>
      </c>
      <c r="B4361" s="59" t="str">
        <f t="shared" si="21"/>
        <v/>
      </c>
      <c r="C4361" s="59" t="str">
        <f t="shared" si="22"/>
        <v/>
      </c>
      <c r="D4361" s="45" t="str">
        <f t="shared" si="23"/>
        <v/>
      </c>
      <c r="E4361" s="45" t="str">
        <f t="shared" si="24"/>
        <v/>
      </c>
      <c r="F4361" s="59" t="str">
        <f t="shared" si="25"/>
        <v/>
      </c>
      <c r="G4361" s="59" t="str">
        <f t="shared" si="26"/>
        <v/>
      </c>
      <c r="H4361" s="59" t="str">
        <f t="shared" si="27"/>
        <v>Máy phát điện</v>
      </c>
      <c r="I4361" s="59" t="str">
        <f>IF(OR($A4361="",$C4361="",$D4361="",$E4361="",$H4361=""),"",SUMIFS(DATA_GOC!$H:$H,DATA_GOC!$A:$A,"BOM",DATA_GOC!$D:$D,$H4361,DATA_GOC!$E:$E,$C4361,DATA_GOC!$F:$F,"Xuất nội bộ từ téc",DATA_GOC!$B:$B,"&gt;="&amp;$D4361,DATA_GOC!$B:$B,"&lt;="&amp;$E4361))</f>
        <v/>
      </c>
      <c r="J4361" s="59">
        <f t="shared" si="28"/>
        <v>0</v>
      </c>
      <c r="K4361" s="59">
        <f t="shared" si="29"/>
        <v>0</v>
      </c>
      <c r="L4361" s="59">
        <f t="shared" si="30"/>
        <v>0</v>
      </c>
      <c r="M4361" s="59">
        <f t="shared" si="31"/>
        <v>0</v>
      </c>
    </row>
    <row r="4362" ht="15.0" hidden="1" customHeight="1">
      <c r="A4362" s="59">
        <f t="shared" si="20"/>
        <v>69</v>
      </c>
      <c r="B4362" s="59" t="str">
        <f t="shared" si="21"/>
        <v/>
      </c>
      <c r="C4362" s="59" t="str">
        <f t="shared" si="22"/>
        <v/>
      </c>
      <c r="D4362" s="45" t="str">
        <f t="shared" si="23"/>
        <v/>
      </c>
      <c r="E4362" s="45" t="str">
        <f t="shared" si="24"/>
        <v/>
      </c>
      <c r="F4362" s="59" t="str">
        <f t="shared" si="25"/>
        <v/>
      </c>
      <c r="G4362" s="59" t="str">
        <f t="shared" si="26"/>
        <v/>
      </c>
      <c r="H4362" s="59" t="str">
        <f t="shared" si="27"/>
        <v>Máy rải thảm</v>
      </c>
      <c r="I4362" s="59" t="str">
        <f>IF(OR($A4362="",$C4362="",$D4362="",$E4362="",$H4362=""),"",SUMIFS(DATA_GOC!$H:$H,DATA_GOC!$A:$A,"BOM",DATA_GOC!$D:$D,$H4362,DATA_GOC!$E:$E,$C4362,DATA_GOC!$F:$F,"Xuất nội bộ từ téc",DATA_GOC!$B:$B,"&gt;="&amp;$D4362,DATA_GOC!$B:$B,"&lt;="&amp;$E4362))</f>
        <v/>
      </c>
      <c r="J4362" s="59">
        <f t="shared" si="28"/>
        <v>0</v>
      </c>
      <c r="K4362" s="59">
        <f t="shared" si="29"/>
        <v>0</v>
      </c>
      <c r="L4362" s="59">
        <f t="shared" si="30"/>
        <v>0</v>
      </c>
      <c r="M4362" s="59">
        <f t="shared" si="31"/>
        <v>0</v>
      </c>
    </row>
    <row r="4363" ht="15.0" hidden="1" customHeight="1">
      <c r="A4363" s="59">
        <f t="shared" si="20"/>
        <v>69</v>
      </c>
      <c r="B4363" s="59" t="str">
        <f t="shared" si="21"/>
        <v/>
      </c>
      <c r="C4363" s="59" t="str">
        <f t="shared" si="22"/>
        <v/>
      </c>
      <c r="D4363" s="45" t="str">
        <f t="shared" si="23"/>
        <v/>
      </c>
      <c r="E4363" s="45" t="str">
        <f t="shared" si="24"/>
        <v/>
      </c>
      <c r="F4363" s="59" t="str">
        <f t="shared" si="25"/>
        <v/>
      </c>
      <c r="G4363" s="59" t="str">
        <f t="shared" si="26"/>
        <v/>
      </c>
      <c r="H4363" s="59" t="str">
        <f t="shared" si="27"/>
        <v>Xúc Đào</v>
      </c>
      <c r="I4363" s="59" t="str">
        <f>IF(OR($A4363="",$C4363="",$D4363="",$E4363="",$H4363=""),"",SUMIFS(DATA_GOC!$H:$H,DATA_GOC!$A:$A,"BOM",DATA_GOC!$D:$D,$H4363,DATA_GOC!$E:$E,$C4363,DATA_GOC!$F:$F,"Xuất nội bộ từ téc",DATA_GOC!$B:$B,"&gt;="&amp;$D4363,DATA_GOC!$B:$B,"&lt;="&amp;$E4363))</f>
        <v/>
      </c>
      <c r="J4363" s="59">
        <f t="shared" si="28"/>
        <v>0</v>
      </c>
      <c r="K4363" s="59">
        <f t="shared" si="29"/>
        <v>0</v>
      </c>
      <c r="L4363" s="59">
        <f t="shared" si="30"/>
        <v>0</v>
      </c>
      <c r="M4363" s="59">
        <f t="shared" si="31"/>
        <v>0</v>
      </c>
    </row>
    <row r="4364" ht="15.0" hidden="1" customHeight="1">
      <c r="A4364" s="59">
        <f t="shared" si="20"/>
        <v>69</v>
      </c>
      <c r="B4364" s="59" t="str">
        <f t="shared" si="21"/>
        <v/>
      </c>
      <c r="C4364" s="59" t="str">
        <f t="shared" si="22"/>
        <v/>
      </c>
      <c r="D4364" s="45" t="str">
        <f t="shared" si="23"/>
        <v/>
      </c>
      <c r="E4364" s="45" t="str">
        <f t="shared" si="24"/>
        <v/>
      </c>
      <c r="F4364" s="59" t="str">
        <f t="shared" si="25"/>
        <v/>
      </c>
      <c r="G4364" s="59" t="str">
        <f t="shared" si="26"/>
        <v/>
      </c>
      <c r="H4364" s="59" t="str">
        <f t="shared" si="27"/>
        <v>Xúclật asphalt</v>
      </c>
      <c r="I4364" s="59" t="str">
        <f>IF(OR($A4364="",$C4364="",$D4364="",$E4364="",$H4364=""),"",SUMIFS(DATA_GOC!$H:$H,DATA_GOC!$A:$A,"BOM",DATA_GOC!$D:$D,$H4364,DATA_GOC!$E:$E,$C4364,DATA_GOC!$F:$F,"Xuất nội bộ từ téc",DATA_GOC!$B:$B,"&gt;="&amp;$D4364,DATA_GOC!$B:$B,"&lt;="&amp;$E4364))</f>
        <v/>
      </c>
      <c r="J4364" s="59">
        <f t="shared" si="28"/>
        <v>0</v>
      </c>
      <c r="K4364" s="59">
        <f t="shared" si="29"/>
        <v>0</v>
      </c>
      <c r="L4364" s="59">
        <f t="shared" si="30"/>
        <v>0</v>
      </c>
      <c r="M4364" s="59">
        <f t="shared" si="31"/>
        <v>0</v>
      </c>
    </row>
    <row r="4365" ht="15.0" hidden="1" customHeight="1">
      <c r="A4365" s="59">
        <f t="shared" si="20"/>
        <v>69</v>
      </c>
      <c r="B4365" s="59" t="str">
        <f t="shared" si="21"/>
        <v/>
      </c>
      <c r="C4365" s="59" t="str">
        <f t="shared" si="22"/>
        <v/>
      </c>
      <c r="D4365" s="45" t="str">
        <f t="shared" si="23"/>
        <v/>
      </c>
      <c r="E4365" s="45" t="str">
        <f t="shared" si="24"/>
        <v/>
      </c>
      <c r="F4365" s="59" t="str">
        <f t="shared" si="25"/>
        <v/>
      </c>
      <c r="G4365" s="59" t="str">
        <f t="shared" si="26"/>
        <v/>
      </c>
      <c r="H4365" s="59" t="str">
        <f t="shared" si="27"/>
        <v>Xúclật855H</v>
      </c>
      <c r="I4365" s="59" t="str">
        <f>IF(OR($A4365="",$C4365="",$D4365="",$E4365="",$H4365=""),"",SUMIFS(DATA_GOC!$H:$H,DATA_GOC!$A:$A,"BOM",DATA_GOC!$D:$D,$H4365,DATA_GOC!$E:$E,$C4365,DATA_GOC!$F:$F,"Xuất nội bộ từ téc",DATA_GOC!$B:$B,"&gt;="&amp;$D4365,DATA_GOC!$B:$B,"&lt;="&amp;$E4365))</f>
        <v/>
      </c>
      <c r="J4365" s="59">
        <f t="shared" si="28"/>
        <v>0</v>
      </c>
      <c r="K4365" s="59">
        <f t="shared" si="29"/>
        <v>0</v>
      </c>
      <c r="L4365" s="59">
        <f t="shared" si="30"/>
        <v>0</v>
      </c>
      <c r="M4365" s="59">
        <f t="shared" si="31"/>
        <v>0</v>
      </c>
    </row>
    <row r="4366" ht="15.0" hidden="1" customHeight="1">
      <c r="A4366" s="59">
        <f t="shared" si="20"/>
        <v>69</v>
      </c>
      <c r="B4366" s="59" t="str">
        <f t="shared" si="21"/>
        <v/>
      </c>
      <c r="C4366" s="59" t="str">
        <f t="shared" si="22"/>
        <v/>
      </c>
      <c r="D4366" s="45" t="str">
        <f t="shared" si="23"/>
        <v/>
      </c>
      <c r="E4366" s="45" t="str">
        <f t="shared" si="24"/>
        <v/>
      </c>
      <c r="F4366" s="59" t="str">
        <f t="shared" si="25"/>
        <v/>
      </c>
      <c r="G4366" s="59" t="str">
        <f t="shared" si="26"/>
        <v/>
      </c>
      <c r="H4366" s="59" t="str">
        <f t="shared" si="27"/>
        <v>Xúclật855N</v>
      </c>
      <c r="I4366" s="59" t="str">
        <f>IF(OR($A4366="",$C4366="",$D4366="",$E4366="",$H4366=""),"",SUMIFS(DATA_GOC!$H:$H,DATA_GOC!$A:$A,"BOM",DATA_GOC!$D:$D,$H4366,DATA_GOC!$E:$E,$C4366,DATA_GOC!$F:$F,"Xuất nội bộ từ téc",DATA_GOC!$B:$B,"&gt;="&amp;$D4366,DATA_GOC!$B:$B,"&lt;="&amp;$E4366))</f>
        <v/>
      </c>
      <c r="J4366" s="59">
        <f t="shared" si="28"/>
        <v>0</v>
      </c>
      <c r="K4366" s="59">
        <f t="shared" si="29"/>
        <v>0</v>
      </c>
      <c r="L4366" s="59">
        <f t="shared" si="30"/>
        <v>0</v>
      </c>
      <c r="M4366" s="59">
        <f t="shared" si="31"/>
        <v>0</v>
      </c>
    </row>
    <row r="4367" ht="15.0" hidden="1" customHeight="1">
      <c r="A4367" s="59">
        <f t="shared" si="20"/>
        <v>69</v>
      </c>
      <c r="B4367" s="59" t="str">
        <f t="shared" si="21"/>
        <v/>
      </c>
      <c r="C4367" s="59" t="str">
        <f t="shared" si="22"/>
        <v/>
      </c>
      <c r="D4367" s="45" t="str">
        <f t="shared" si="23"/>
        <v/>
      </c>
      <c r="E4367" s="45" t="str">
        <f t="shared" si="24"/>
        <v/>
      </c>
      <c r="F4367" s="59" t="str">
        <f t="shared" si="25"/>
        <v/>
      </c>
      <c r="G4367" s="59" t="str">
        <f t="shared" si="26"/>
        <v/>
      </c>
      <c r="H4367" s="59" t="str">
        <f t="shared" si="27"/>
        <v>Cát nghiền</v>
      </c>
      <c r="I4367" s="59" t="str">
        <f>IF(OR($A4367="",$C4367="",$D4367="",$E4367="",$H4367=""),"",SUMIFS(DATA_GOC!$H:$H,DATA_GOC!$A:$A,"BOM",DATA_GOC!$D:$D,$H4367,DATA_GOC!$E:$E,$C4367,DATA_GOC!$F:$F,"Xuất nội bộ từ téc",DATA_GOC!$B:$B,"&gt;="&amp;$D4367,DATA_GOC!$B:$B,"&lt;="&amp;$E4367))</f>
        <v/>
      </c>
      <c r="J4367" s="59">
        <f t="shared" si="28"/>
        <v>0</v>
      </c>
      <c r="K4367" s="59">
        <f t="shared" si="29"/>
        <v>0</v>
      </c>
      <c r="L4367" s="59">
        <f t="shared" si="30"/>
        <v>0</v>
      </c>
      <c r="M4367" s="59">
        <f t="shared" si="31"/>
        <v>0</v>
      </c>
    </row>
    <row r="4368" ht="15.0" hidden="1" customHeight="1">
      <c r="A4368" s="59">
        <f t="shared" si="20"/>
        <v>69</v>
      </c>
      <c r="B4368" s="59" t="str">
        <f t="shared" si="21"/>
        <v/>
      </c>
      <c r="C4368" s="59" t="str">
        <f t="shared" si="22"/>
        <v/>
      </c>
      <c r="D4368" s="45" t="str">
        <f t="shared" si="23"/>
        <v/>
      </c>
      <c r="E4368" s="45" t="str">
        <f t="shared" si="24"/>
        <v/>
      </c>
      <c r="F4368" s="59" t="str">
        <f t="shared" si="25"/>
        <v/>
      </c>
      <c r="G4368" s="59" t="str">
        <f t="shared" si="26"/>
        <v/>
      </c>
      <c r="H4368" s="59" t="str">
        <f t="shared" si="27"/>
        <v>28C02973</v>
      </c>
      <c r="I4368" s="59" t="str">
        <f>IF(OR($A4368="",$C4368="",$D4368="",$E4368="",$H4368=""),"",SUMIFS(DATA_GOC!$H:$H,DATA_GOC!$A:$A,"BOM",DATA_GOC!$D:$D,$H4368,DATA_GOC!$E:$E,$C4368,DATA_GOC!$F:$F,"Xuất nội bộ từ téc",DATA_GOC!$B:$B,"&gt;="&amp;$D4368,DATA_GOC!$B:$B,"&lt;="&amp;$E4368))</f>
        <v/>
      </c>
      <c r="J4368" s="59">
        <f t="shared" si="28"/>
        <v>0</v>
      </c>
      <c r="K4368" s="59">
        <f t="shared" si="29"/>
        <v>0</v>
      </c>
      <c r="L4368" s="59">
        <f t="shared" si="30"/>
        <v>0</v>
      </c>
      <c r="M4368" s="59">
        <f t="shared" si="31"/>
        <v>0</v>
      </c>
    </row>
    <row r="4369" ht="15.0" hidden="1" customHeight="1">
      <c r="A4369" s="59">
        <f t="shared" si="20"/>
        <v>69</v>
      </c>
      <c r="B4369" s="59" t="str">
        <f t="shared" si="21"/>
        <v/>
      </c>
      <c r="C4369" s="59" t="str">
        <f t="shared" si="22"/>
        <v/>
      </c>
      <c r="D4369" s="45" t="str">
        <f t="shared" si="23"/>
        <v/>
      </c>
      <c r="E4369" s="45" t="str">
        <f t="shared" si="24"/>
        <v/>
      </c>
      <c r="F4369" s="59" t="str">
        <f t="shared" si="25"/>
        <v/>
      </c>
      <c r="G4369" s="59" t="str">
        <f t="shared" si="26"/>
        <v/>
      </c>
      <c r="H4369" s="59" t="str">
        <f t="shared" si="27"/>
        <v>28C03044</v>
      </c>
      <c r="I4369" s="59" t="str">
        <f>IF(OR($A4369="",$C4369="",$D4369="",$E4369="",$H4369=""),"",SUMIFS(DATA_GOC!$H:$H,DATA_GOC!$A:$A,"BOM",DATA_GOC!$D:$D,$H4369,DATA_GOC!$E:$E,$C4369,DATA_GOC!$F:$F,"Xuất nội bộ từ téc",DATA_GOC!$B:$B,"&gt;="&amp;$D4369,DATA_GOC!$B:$B,"&lt;="&amp;$E4369))</f>
        <v/>
      </c>
      <c r="J4369" s="59">
        <f t="shared" si="28"/>
        <v>0</v>
      </c>
      <c r="K4369" s="59">
        <f t="shared" si="29"/>
        <v>0</v>
      </c>
      <c r="L4369" s="59">
        <f t="shared" si="30"/>
        <v>0</v>
      </c>
      <c r="M4369" s="59">
        <f t="shared" si="31"/>
        <v>0</v>
      </c>
    </row>
    <row r="4370" ht="15.0" hidden="1" customHeight="1">
      <c r="A4370" s="59">
        <f t="shared" si="20"/>
        <v>69</v>
      </c>
      <c r="B4370" s="59" t="str">
        <f t="shared" si="21"/>
        <v/>
      </c>
      <c r="C4370" s="59" t="str">
        <f t="shared" si="22"/>
        <v/>
      </c>
      <c r="D4370" s="45" t="str">
        <f t="shared" si="23"/>
        <v/>
      </c>
      <c r="E4370" s="45" t="str">
        <f t="shared" si="24"/>
        <v/>
      </c>
      <c r="F4370" s="59" t="str">
        <f t="shared" si="25"/>
        <v/>
      </c>
      <c r="G4370" s="59" t="str">
        <f t="shared" si="26"/>
        <v/>
      </c>
      <c r="H4370" s="59" t="str">
        <f t="shared" si="27"/>
        <v>Máy lu lốp</v>
      </c>
      <c r="I4370" s="59" t="str">
        <f>IF(OR($A4370="",$C4370="",$D4370="",$E4370="",$H4370=""),"",SUMIFS(DATA_GOC!$H:$H,DATA_GOC!$A:$A,"BOM",DATA_GOC!$D:$D,$H4370,DATA_GOC!$E:$E,$C4370,DATA_GOC!$F:$F,"Xuất nội bộ từ téc",DATA_GOC!$B:$B,"&gt;="&amp;$D4370,DATA_GOC!$B:$B,"&lt;="&amp;$E4370))</f>
        <v/>
      </c>
      <c r="J4370" s="59">
        <f t="shared" si="28"/>
        <v>0</v>
      </c>
      <c r="K4370" s="59">
        <f t="shared" si="29"/>
        <v>0</v>
      </c>
      <c r="L4370" s="59">
        <f t="shared" si="30"/>
        <v>0</v>
      </c>
      <c r="M4370" s="59">
        <f t="shared" si="31"/>
        <v>0</v>
      </c>
    </row>
    <row r="4371" ht="15.0" hidden="1" customHeight="1">
      <c r="A4371" s="59">
        <f t="shared" si="20"/>
        <v>69</v>
      </c>
      <c r="B4371" s="59" t="str">
        <f t="shared" si="21"/>
        <v/>
      </c>
      <c r="C4371" s="59" t="str">
        <f t="shared" si="22"/>
        <v/>
      </c>
      <c r="D4371" s="45" t="str">
        <f t="shared" si="23"/>
        <v/>
      </c>
      <c r="E4371" s="45" t="str">
        <f t="shared" si="24"/>
        <v/>
      </c>
      <c r="F4371" s="59" t="str">
        <f t="shared" si="25"/>
        <v/>
      </c>
      <c r="G4371" s="59" t="str">
        <f t="shared" si="26"/>
        <v/>
      </c>
      <c r="H4371" s="59" t="str">
        <f t="shared" si="27"/>
        <v>Xe 600148</v>
      </c>
      <c r="I4371" s="59" t="str">
        <f>IF(OR($A4371="",$C4371="",$D4371="",$E4371="",$H4371=""),"",SUMIFS(DATA_GOC!$H:$H,DATA_GOC!$A:$A,"BOM",DATA_GOC!$D:$D,$H4371,DATA_GOC!$E:$E,$C4371,DATA_GOC!$F:$F,"Xuất nội bộ từ téc",DATA_GOC!$B:$B,"&gt;="&amp;$D4371,DATA_GOC!$B:$B,"&lt;="&amp;$E4371))</f>
        <v/>
      </c>
      <c r="J4371" s="59">
        <f t="shared" si="28"/>
        <v>0</v>
      </c>
      <c r="K4371" s="59">
        <f t="shared" si="29"/>
        <v>0</v>
      </c>
      <c r="L4371" s="59">
        <f t="shared" si="30"/>
        <v>0</v>
      </c>
      <c r="M4371" s="59">
        <f t="shared" si="31"/>
        <v>0</v>
      </c>
    </row>
    <row r="4372" ht="15.0" hidden="1" customHeight="1">
      <c r="A4372" s="59">
        <f t="shared" si="20"/>
        <v>69</v>
      </c>
      <c r="B4372" s="59" t="str">
        <f t="shared" si="21"/>
        <v/>
      </c>
      <c r="C4372" s="59" t="str">
        <f t="shared" si="22"/>
        <v/>
      </c>
      <c r="D4372" s="45" t="str">
        <f t="shared" si="23"/>
        <v/>
      </c>
      <c r="E4372" s="45" t="str">
        <f t="shared" si="24"/>
        <v/>
      </c>
      <c r="F4372" s="59" t="str">
        <f t="shared" si="25"/>
        <v/>
      </c>
      <c r="G4372" s="59" t="str">
        <f t="shared" si="26"/>
        <v/>
      </c>
      <c r="H4372" s="59" t="str">
        <f t="shared" si="27"/>
        <v>Xe ben mới</v>
      </c>
      <c r="I4372" s="59" t="str">
        <f>IF(OR($A4372="",$C4372="",$D4372="",$E4372="",$H4372=""),"",SUMIFS(DATA_GOC!$H:$H,DATA_GOC!$A:$A,"BOM",DATA_GOC!$D:$D,$H4372,DATA_GOC!$E:$E,$C4372,DATA_GOC!$F:$F,"Xuất nội bộ từ téc",DATA_GOC!$B:$B,"&gt;="&amp;$D4372,DATA_GOC!$B:$B,"&lt;="&amp;$E4372))</f>
        <v/>
      </c>
      <c r="J4372" s="59">
        <f t="shared" si="28"/>
        <v>0</v>
      </c>
      <c r="K4372" s="59">
        <f t="shared" si="29"/>
        <v>0</v>
      </c>
      <c r="L4372" s="59">
        <f t="shared" si="30"/>
        <v>0</v>
      </c>
      <c r="M4372" s="59">
        <f t="shared" si="31"/>
        <v>0</v>
      </c>
    </row>
    <row r="4373" ht="15.0" hidden="1" customHeight="1">
      <c r="A4373" s="59">
        <f t="shared" si="20"/>
        <v>70</v>
      </c>
      <c r="B4373" s="59" t="str">
        <f t="shared" si="21"/>
        <v/>
      </c>
      <c r="C4373" s="59" t="str">
        <f t="shared" si="22"/>
        <v/>
      </c>
      <c r="D4373" s="45" t="str">
        <f t="shared" si="23"/>
        <v/>
      </c>
      <c r="E4373" s="45" t="str">
        <f t="shared" si="24"/>
        <v/>
      </c>
      <c r="F4373" s="59" t="str">
        <f t="shared" si="25"/>
        <v/>
      </c>
      <c r="G4373" s="59" t="str">
        <f t="shared" si="26"/>
        <v/>
      </c>
      <c r="H4373" s="59" t="str">
        <f t="shared" si="27"/>
        <v>19H09482</v>
      </c>
      <c r="I4373" s="59" t="str">
        <f>IF(OR($A4373="",$C4373="",$D4373="",$E4373="",$H4373=""),"",SUMIFS(DATA_GOC!$H:$H,DATA_GOC!$A:$A,"BOM",DATA_GOC!$D:$D,$H4373,DATA_GOC!$E:$E,$C4373,DATA_GOC!$F:$F,"Xuất nội bộ từ téc",DATA_GOC!$B:$B,"&gt;="&amp;$D4373,DATA_GOC!$B:$B,"&lt;="&amp;$E4373))</f>
        <v/>
      </c>
      <c r="J4373" s="59">
        <f t="shared" si="28"/>
        <v>0</v>
      </c>
      <c r="K4373" s="59">
        <f t="shared" si="29"/>
        <v>0</v>
      </c>
      <c r="L4373" s="59">
        <f t="shared" si="30"/>
        <v>0</v>
      </c>
      <c r="M4373" s="59">
        <f t="shared" si="31"/>
        <v>0</v>
      </c>
    </row>
    <row r="4374" ht="15.0" hidden="1" customHeight="1">
      <c r="A4374" s="59">
        <f t="shared" si="20"/>
        <v>70</v>
      </c>
      <c r="B4374" s="59" t="str">
        <f t="shared" si="21"/>
        <v/>
      </c>
      <c r="C4374" s="59" t="str">
        <f t="shared" si="22"/>
        <v/>
      </c>
      <c r="D4374" s="45" t="str">
        <f t="shared" si="23"/>
        <v/>
      </c>
      <c r="E4374" s="45" t="str">
        <f t="shared" si="24"/>
        <v/>
      </c>
      <c r="F4374" s="59" t="str">
        <f t="shared" si="25"/>
        <v/>
      </c>
      <c r="G4374" s="59" t="str">
        <f t="shared" si="26"/>
        <v/>
      </c>
      <c r="H4374" s="59" t="str">
        <f t="shared" si="27"/>
        <v>28A30696</v>
      </c>
      <c r="I4374" s="59" t="str">
        <f>IF(OR($A4374="",$C4374="",$D4374="",$E4374="",$H4374=""),"",SUMIFS(DATA_GOC!$H:$H,DATA_GOC!$A:$A,"BOM",DATA_GOC!$D:$D,$H4374,DATA_GOC!$E:$E,$C4374,DATA_GOC!$F:$F,"Xuất nội bộ từ téc",DATA_GOC!$B:$B,"&gt;="&amp;$D4374,DATA_GOC!$B:$B,"&lt;="&amp;$E4374))</f>
        <v/>
      </c>
      <c r="J4374" s="59">
        <f t="shared" si="28"/>
        <v>0</v>
      </c>
      <c r="K4374" s="59">
        <f t="shared" si="29"/>
        <v>0</v>
      </c>
      <c r="L4374" s="59">
        <f t="shared" si="30"/>
        <v>0</v>
      </c>
      <c r="M4374" s="59">
        <f t="shared" si="31"/>
        <v>0</v>
      </c>
    </row>
    <row r="4375" ht="15.0" hidden="1" customHeight="1">
      <c r="A4375" s="59">
        <f t="shared" si="20"/>
        <v>70</v>
      </c>
      <c r="B4375" s="59" t="str">
        <f t="shared" si="21"/>
        <v/>
      </c>
      <c r="C4375" s="59" t="str">
        <f t="shared" si="22"/>
        <v/>
      </c>
      <c r="D4375" s="45" t="str">
        <f t="shared" si="23"/>
        <v/>
      </c>
      <c r="E4375" s="45" t="str">
        <f t="shared" si="24"/>
        <v/>
      </c>
      <c r="F4375" s="59" t="str">
        <f t="shared" si="25"/>
        <v/>
      </c>
      <c r="G4375" s="59" t="str">
        <f t="shared" si="26"/>
        <v/>
      </c>
      <c r="H4375" s="59" t="str">
        <f t="shared" si="27"/>
        <v>28C00462</v>
      </c>
      <c r="I4375" s="59" t="str">
        <f>IF(OR($A4375="",$C4375="",$D4375="",$E4375="",$H4375=""),"",SUMIFS(DATA_GOC!$H:$H,DATA_GOC!$A:$A,"BOM",DATA_GOC!$D:$D,$H4375,DATA_GOC!$E:$E,$C4375,DATA_GOC!$F:$F,"Xuất nội bộ từ téc",DATA_GOC!$B:$B,"&gt;="&amp;$D4375,DATA_GOC!$B:$B,"&lt;="&amp;$E4375))</f>
        <v/>
      </c>
      <c r="J4375" s="59">
        <f t="shared" si="28"/>
        <v>0</v>
      </c>
      <c r="K4375" s="59">
        <f t="shared" si="29"/>
        <v>0</v>
      </c>
      <c r="L4375" s="59">
        <f t="shared" si="30"/>
        <v>0</v>
      </c>
      <c r="M4375" s="59">
        <f t="shared" si="31"/>
        <v>0</v>
      </c>
    </row>
    <row r="4376" ht="15.0" hidden="1" customHeight="1">
      <c r="A4376" s="59">
        <f t="shared" si="20"/>
        <v>70</v>
      </c>
      <c r="B4376" s="59" t="str">
        <f t="shared" si="21"/>
        <v/>
      </c>
      <c r="C4376" s="59" t="str">
        <f t="shared" si="22"/>
        <v/>
      </c>
      <c r="D4376" s="45" t="str">
        <f t="shared" si="23"/>
        <v/>
      </c>
      <c r="E4376" s="45" t="str">
        <f t="shared" si="24"/>
        <v/>
      </c>
      <c r="F4376" s="59" t="str">
        <f t="shared" si="25"/>
        <v/>
      </c>
      <c r="G4376" s="59" t="str">
        <f t="shared" si="26"/>
        <v/>
      </c>
      <c r="H4376" s="59" t="str">
        <f t="shared" si="27"/>
        <v>28C01165</v>
      </c>
      <c r="I4376" s="59" t="str">
        <f>IF(OR($A4376="",$C4376="",$D4376="",$E4376="",$H4376=""),"",SUMIFS(DATA_GOC!$H:$H,DATA_GOC!$A:$A,"BOM",DATA_GOC!$D:$D,$H4376,DATA_GOC!$E:$E,$C4376,DATA_GOC!$F:$F,"Xuất nội bộ từ téc",DATA_GOC!$B:$B,"&gt;="&amp;$D4376,DATA_GOC!$B:$B,"&lt;="&amp;$E4376))</f>
        <v/>
      </c>
      <c r="J4376" s="59">
        <f t="shared" si="28"/>
        <v>0</v>
      </c>
      <c r="K4376" s="59">
        <f t="shared" si="29"/>
        <v>0</v>
      </c>
      <c r="L4376" s="59">
        <f t="shared" si="30"/>
        <v>0</v>
      </c>
      <c r="M4376" s="59">
        <f t="shared" si="31"/>
        <v>0</v>
      </c>
    </row>
    <row r="4377" ht="15.0" hidden="1" customHeight="1">
      <c r="A4377" s="59">
        <f t="shared" si="20"/>
        <v>70</v>
      </c>
      <c r="B4377" s="59" t="str">
        <f t="shared" si="21"/>
        <v/>
      </c>
      <c r="C4377" s="59" t="str">
        <f t="shared" si="22"/>
        <v/>
      </c>
      <c r="D4377" s="45" t="str">
        <f t="shared" si="23"/>
        <v/>
      </c>
      <c r="E4377" s="45" t="str">
        <f t="shared" si="24"/>
        <v/>
      </c>
      <c r="F4377" s="59" t="str">
        <f t="shared" si="25"/>
        <v/>
      </c>
      <c r="G4377" s="59" t="str">
        <f t="shared" si="26"/>
        <v/>
      </c>
      <c r="H4377" s="59" t="str">
        <f t="shared" si="27"/>
        <v>28C01406</v>
      </c>
      <c r="I4377" s="59" t="str">
        <f>IF(OR($A4377="",$C4377="",$D4377="",$E4377="",$H4377=""),"",SUMIFS(DATA_GOC!$H:$H,DATA_GOC!$A:$A,"BOM",DATA_GOC!$D:$D,$H4377,DATA_GOC!$E:$E,$C4377,DATA_GOC!$F:$F,"Xuất nội bộ từ téc",DATA_GOC!$B:$B,"&gt;="&amp;$D4377,DATA_GOC!$B:$B,"&lt;="&amp;$E4377))</f>
        <v/>
      </c>
      <c r="J4377" s="59">
        <f t="shared" si="28"/>
        <v>0</v>
      </c>
      <c r="K4377" s="59">
        <f t="shared" si="29"/>
        <v>0</v>
      </c>
      <c r="L4377" s="59">
        <f t="shared" si="30"/>
        <v>0</v>
      </c>
      <c r="M4377" s="59">
        <f t="shared" si="31"/>
        <v>0</v>
      </c>
    </row>
    <row r="4378" ht="15.0" hidden="1" customHeight="1">
      <c r="A4378" s="59">
        <f t="shared" si="20"/>
        <v>70</v>
      </c>
      <c r="B4378" s="59" t="str">
        <f t="shared" si="21"/>
        <v/>
      </c>
      <c r="C4378" s="59" t="str">
        <f t="shared" si="22"/>
        <v/>
      </c>
      <c r="D4378" s="45" t="str">
        <f t="shared" si="23"/>
        <v/>
      </c>
      <c r="E4378" s="45" t="str">
        <f t="shared" si="24"/>
        <v/>
      </c>
      <c r="F4378" s="59" t="str">
        <f t="shared" si="25"/>
        <v/>
      </c>
      <c r="G4378" s="59" t="str">
        <f t="shared" si="26"/>
        <v/>
      </c>
      <c r="H4378" s="59" t="str">
        <f t="shared" si="27"/>
        <v>28C01544</v>
      </c>
      <c r="I4378" s="59" t="str">
        <f>IF(OR($A4378="",$C4378="",$D4378="",$E4378="",$H4378=""),"",SUMIFS(DATA_GOC!$H:$H,DATA_GOC!$A:$A,"BOM",DATA_GOC!$D:$D,$H4378,DATA_GOC!$E:$E,$C4378,DATA_GOC!$F:$F,"Xuất nội bộ từ téc",DATA_GOC!$B:$B,"&gt;="&amp;$D4378,DATA_GOC!$B:$B,"&lt;="&amp;$E4378))</f>
        <v/>
      </c>
      <c r="J4378" s="59">
        <f t="shared" si="28"/>
        <v>0</v>
      </c>
      <c r="K4378" s="59">
        <f t="shared" si="29"/>
        <v>0</v>
      </c>
      <c r="L4378" s="59">
        <f t="shared" si="30"/>
        <v>0</v>
      </c>
      <c r="M4378" s="59">
        <f t="shared" si="31"/>
        <v>0</v>
      </c>
    </row>
    <row r="4379" ht="15.0" hidden="1" customHeight="1">
      <c r="A4379" s="59">
        <f t="shared" si="20"/>
        <v>70</v>
      </c>
      <c r="B4379" s="59" t="str">
        <f t="shared" si="21"/>
        <v/>
      </c>
      <c r="C4379" s="59" t="str">
        <f t="shared" si="22"/>
        <v/>
      </c>
      <c r="D4379" s="45" t="str">
        <f t="shared" si="23"/>
        <v/>
      </c>
      <c r="E4379" s="45" t="str">
        <f t="shared" si="24"/>
        <v/>
      </c>
      <c r="F4379" s="59" t="str">
        <f t="shared" si="25"/>
        <v/>
      </c>
      <c r="G4379" s="59" t="str">
        <f t="shared" si="26"/>
        <v/>
      </c>
      <c r="H4379" s="59" t="str">
        <f t="shared" si="27"/>
        <v>28C01622</v>
      </c>
      <c r="I4379" s="59" t="str">
        <f>IF(OR($A4379="",$C4379="",$D4379="",$E4379="",$H4379=""),"",SUMIFS(DATA_GOC!$H:$H,DATA_GOC!$A:$A,"BOM",DATA_GOC!$D:$D,$H4379,DATA_GOC!$E:$E,$C4379,DATA_GOC!$F:$F,"Xuất nội bộ từ téc",DATA_GOC!$B:$B,"&gt;="&amp;$D4379,DATA_GOC!$B:$B,"&lt;="&amp;$E4379))</f>
        <v/>
      </c>
      <c r="J4379" s="59">
        <f t="shared" si="28"/>
        <v>0</v>
      </c>
      <c r="K4379" s="59">
        <f t="shared" si="29"/>
        <v>0</v>
      </c>
      <c r="L4379" s="59">
        <f t="shared" si="30"/>
        <v>0</v>
      </c>
      <c r="M4379" s="59">
        <f t="shared" si="31"/>
        <v>0</v>
      </c>
    </row>
    <row r="4380" ht="15.0" hidden="1" customHeight="1">
      <c r="A4380" s="59">
        <f t="shared" si="20"/>
        <v>70</v>
      </c>
      <c r="B4380" s="59" t="str">
        <f t="shared" si="21"/>
        <v/>
      </c>
      <c r="C4380" s="59" t="str">
        <f t="shared" si="22"/>
        <v/>
      </c>
      <c r="D4380" s="45" t="str">
        <f t="shared" si="23"/>
        <v/>
      </c>
      <c r="E4380" s="45" t="str">
        <f t="shared" si="24"/>
        <v/>
      </c>
      <c r="F4380" s="59" t="str">
        <f t="shared" si="25"/>
        <v/>
      </c>
      <c r="G4380" s="59" t="str">
        <f t="shared" si="26"/>
        <v/>
      </c>
      <c r="H4380" s="59" t="str">
        <f t="shared" si="27"/>
        <v>28C01647</v>
      </c>
      <c r="I4380" s="59" t="str">
        <f>IF(OR($A4380="",$C4380="",$D4380="",$E4380="",$H4380=""),"",SUMIFS(DATA_GOC!$H:$H,DATA_GOC!$A:$A,"BOM",DATA_GOC!$D:$D,$H4380,DATA_GOC!$E:$E,$C4380,DATA_GOC!$F:$F,"Xuất nội bộ từ téc",DATA_GOC!$B:$B,"&gt;="&amp;$D4380,DATA_GOC!$B:$B,"&lt;="&amp;$E4380))</f>
        <v/>
      </c>
      <c r="J4380" s="59">
        <f t="shared" si="28"/>
        <v>0</v>
      </c>
      <c r="K4380" s="59">
        <f t="shared" si="29"/>
        <v>0</v>
      </c>
      <c r="L4380" s="59">
        <f t="shared" si="30"/>
        <v>0</v>
      </c>
      <c r="M4380" s="59">
        <f t="shared" si="31"/>
        <v>0</v>
      </c>
    </row>
    <row r="4381" ht="15.0" hidden="1" customHeight="1">
      <c r="A4381" s="59">
        <f t="shared" si="20"/>
        <v>70</v>
      </c>
      <c r="B4381" s="59" t="str">
        <f t="shared" si="21"/>
        <v/>
      </c>
      <c r="C4381" s="59" t="str">
        <f t="shared" si="22"/>
        <v/>
      </c>
      <c r="D4381" s="45" t="str">
        <f t="shared" si="23"/>
        <v/>
      </c>
      <c r="E4381" s="45" t="str">
        <f t="shared" si="24"/>
        <v/>
      </c>
      <c r="F4381" s="59" t="str">
        <f t="shared" si="25"/>
        <v/>
      </c>
      <c r="G4381" s="59" t="str">
        <f t="shared" si="26"/>
        <v/>
      </c>
      <c r="H4381" s="59" t="str">
        <f t="shared" si="27"/>
        <v>28C01731</v>
      </c>
      <c r="I4381" s="59" t="str">
        <f>IF(OR($A4381="",$C4381="",$D4381="",$E4381="",$H4381=""),"",SUMIFS(DATA_GOC!$H:$H,DATA_GOC!$A:$A,"BOM",DATA_GOC!$D:$D,$H4381,DATA_GOC!$E:$E,$C4381,DATA_GOC!$F:$F,"Xuất nội bộ từ téc",DATA_GOC!$B:$B,"&gt;="&amp;$D4381,DATA_GOC!$B:$B,"&lt;="&amp;$E4381))</f>
        <v/>
      </c>
      <c r="J4381" s="59">
        <f t="shared" si="28"/>
        <v>0</v>
      </c>
      <c r="K4381" s="59">
        <f t="shared" si="29"/>
        <v>0</v>
      </c>
      <c r="L4381" s="59">
        <f t="shared" si="30"/>
        <v>0</v>
      </c>
      <c r="M4381" s="59">
        <f t="shared" si="31"/>
        <v>0</v>
      </c>
    </row>
    <row r="4382" ht="15.0" hidden="1" customHeight="1">
      <c r="A4382" s="59">
        <f t="shared" si="20"/>
        <v>70</v>
      </c>
      <c r="B4382" s="59" t="str">
        <f t="shared" si="21"/>
        <v/>
      </c>
      <c r="C4382" s="59" t="str">
        <f t="shared" si="22"/>
        <v/>
      </c>
      <c r="D4382" s="45" t="str">
        <f t="shared" si="23"/>
        <v/>
      </c>
      <c r="E4382" s="45" t="str">
        <f t="shared" si="24"/>
        <v/>
      </c>
      <c r="F4382" s="59" t="str">
        <f t="shared" si="25"/>
        <v/>
      </c>
      <c r="G4382" s="59" t="str">
        <f t="shared" si="26"/>
        <v/>
      </c>
      <c r="H4382" s="59" t="str">
        <f t="shared" si="27"/>
        <v>28C01743</v>
      </c>
      <c r="I4382" s="59" t="str">
        <f>IF(OR($A4382="",$C4382="",$D4382="",$E4382="",$H4382=""),"",SUMIFS(DATA_GOC!$H:$H,DATA_GOC!$A:$A,"BOM",DATA_GOC!$D:$D,$H4382,DATA_GOC!$E:$E,$C4382,DATA_GOC!$F:$F,"Xuất nội bộ từ téc",DATA_GOC!$B:$B,"&gt;="&amp;$D4382,DATA_GOC!$B:$B,"&lt;="&amp;$E4382))</f>
        <v/>
      </c>
      <c r="J4382" s="59">
        <f t="shared" si="28"/>
        <v>0</v>
      </c>
      <c r="K4382" s="59">
        <f t="shared" si="29"/>
        <v>0</v>
      </c>
      <c r="L4382" s="59">
        <f t="shared" si="30"/>
        <v>0</v>
      </c>
      <c r="M4382" s="59">
        <f t="shared" si="31"/>
        <v>0</v>
      </c>
    </row>
    <row r="4383" ht="15.0" hidden="1" customHeight="1">
      <c r="A4383" s="59">
        <f t="shared" si="20"/>
        <v>70</v>
      </c>
      <c r="B4383" s="59" t="str">
        <f t="shared" si="21"/>
        <v/>
      </c>
      <c r="C4383" s="59" t="str">
        <f t="shared" si="22"/>
        <v/>
      </c>
      <c r="D4383" s="45" t="str">
        <f t="shared" si="23"/>
        <v/>
      </c>
      <c r="E4383" s="45" t="str">
        <f t="shared" si="24"/>
        <v/>
      </c>
      <c r="F4383" s="59" t="str">
        <f t="shared" si="25"/>
        <v/>
      </c>
      <c r="G4383" s="59" t="str">
        <f t="shared" si="26"/>
        <v/>
      </c>
      <c r="H4383" s="59" t="str">
        <f t="shared" si="27"/>
        <v>28C02106</v>
      </c>
      <c r="I4383" s="59" t="str">
        <f>IF(OR($A4383="",$C4383="",$D4383="",$E4383="",$H4383=""),"",SUMIFS(DATA_GOC!$H:$H,DATA_GOC!$A:$A,"BOM",DATA_GOC!$D:$D,$H4383,DATA_GOC!$E:$E,$C4383,DATA_GOC!$F:$F,"Xuất nội bộ từ téc",DATA_GOC!$B:$B,"&gt;="&amp;$D4383,DATA_GOC!$B:$B,"&lt;="&amp;$E4383))</f>
        <v/>
      </c>
      <c r="J4383" s="59">
        <f t="shared" si="28"/>
        <v>0</v>
      </c>
      <c r="K4383" s="59">
        <f t="shared" si="29"/>
        <v>0</v>
      </c>
      <c r="L4383" s="59">
        <f t="shared" si="30"/>
        <v>0</v>
      </c>
      <c r="M4383" s="59">
        <f t="shared" si="31"/>
        <v>0</v>
      </c>
    </row>
    <row r="4384" ht="15.0" hidden="1" customHeight="1">
      <c r="A4384" s="59">
        <f t="shared" si="20"/>
        <v>70</v>
      </c>
      <c r="B4384" s="59" t="str">
        <f t="shared" si="21"/>
        <v/>
      </c>
      <c r="C4384" s="59" t="str">
        <f t="shared" si="22"/>
        <v/>
      </c>
      <c r="D4384" s="45" t="str">
        <f t="shared" si="23"/>
        <v/>
      </c>
      <c r="E4384" s="45" t="str">
        <f t="shared" si="24"/>
        <v/>
      </c>
      <c r="F4384" s="59" t="str">
        <f t="shared" si="25"/>
        <v/>
      </c>
      <c r="G4384" s="59" t="str">
        <f t="shared" si="26"/>
        <v/>
      </c>
      <c r="H4384" s="59" t="str">
        <f t="shared" si="27"/>
        <v>28C02410</v>
      </c>
      <c r="I4384" s="59" t="str">
        <f>IF(OR($A4384="",$C4384="",$D4384="",$E4384="",$H4384=""),"",SUMIFS(DATA_GOC!$H:$H,DATA_GOC!$A:$A,"BOM",DATA_GOC!$D:$D,$H4384,DATA_GOC!$E:$E,$C4384,DATA_GOC!$F:$F,"Xuất nội bộ từ téc",DATA_GOC!$B:$B,"&gt;="&amp;$D4384,DATA_GOC!$B:$B,"&lt;="&amp;$E4384))</f>
        <v/>
      </c>
      <c r="J4384" s="59">
        <f t="shared" si="28"/>
        <v>0</v>
      </c>
      <c r="K4384" s="59">
        <f t="shared" si="29"/>
        <v>0</v>
      </c>
      <c r="L4384" s="59">
        <f t="shared" si="30"/>
        <v>0</v>
      </c>
      <c r="M4384" s="59">
        <f t="shared" si="31"/>
        <v>0</v>
      </c>
    </row>
    <row r="4385" ht="15.0" hidden="1" customHeight="1">
      <c r="A4385" s="59">
        <f t="shared" si="20"/>
        <v>70</v>
      </c>
      <c r="B4385" s="59" t="str">
        <f t="shared" si="21"/>
        <v/>
      </c>
      <c r="C4385" s="59" t="str">
        <f t="shared" si="22"/>
        <v/>
      </c>
      <c r="D4385" s="45" t="str">
        <f t="shared" si="23"/>
        <v/>
      </c>
      <c r="E4385" s="45" t="str">
        <f t="shared" si="24"/>
        <v/>
      </c>
      <c r="F4385" s="59" t="str">
        <f t="shared" si="25"/>
        <v/>
      </c>
      <c r="G4385" s="59" t="str">
        <f t="shared" si="26"/>
        <v/>
      </c>
      <c r="H4385" s="59" t="str">
        <f t="shared" si="27"/>
        <v>28C02545</v>
      </c>
      <c r="I4385" s="59" t="str">
        <f>IF(OR($A4385="",$C4385="",$D4385="",$E4385="",$H4385=""),"",SUMIFS(DATA_GOC!$H:$H,DATA_GOC!$A:$A,"BOM",DATA_GOC!$D:$D,$H4385,DATA_GOC!$E:$E,$C4385,DATA_GOC!$F:$F,"Xuất nội bộ từ téc",DATA_GOC!$B:$B,"&gt;="&amp;$D4385,DATA_GOC!$B:$B,"&lt;="&amp;$E4385))</f>
        <v/>
      </c>
      <c r="J4385" s="59">
        <f t="shared" si="28"/>
        <v>0</v>
      </c>
      <c r="K4385" s="59">
        <f t="shared" si="29"/>
        <v>0</v>
      </c>
      <c r="L4385" s="59">
        <f t="shared" si="30"/>
        <v>0</v>
      </c>
      <c r="M4385" s="59">
        <f t="shared" si="31"/>
        <v>0</v>
      </c>
    </row>
    <row r="4386" ht="15.0" hidden="1" customHeight="1">
      <c r="A4386" s="59">
        <f t="shared" si="20"/>
        <v>70</v>
      </c>
      <c r="B4386" s="59" t="str">
        <f t="shared" si="21"/>
        <v/>
      </c>
      <c r="C4386" s="59" t="str">
        <f t="shared" si="22"/>
        <v/>
      </c>
      <c r="D4386" s="45" t="str">
        <f t="shared" si="23"/>
        <v/>
      </c>
      <c r="E4386" s="45" t="str">
        <f t="shared" si="24"/>
        <v/>
      </c>
      <c r="F4386" s="59" t="str">
        <f t="shared" si="25"/>
        <v/>
      </c>
      <c r="G4386" s="59" t="str">
        <f t="shared" si="26"/>
        <v/>
      </c>
      <c r="H4386" s="59" t="str">
        <f t="shared" si="27"/>
        <v>28C02574</v>
      </c>
      <c r="I4386" s="59" t="str">
        <f>IF(OR($A4386="",$C4386="",$D4386="",$E4386="",$H4386=""),"",SUMIFS(DATA_GOC!$H:$H,DATA_GOC!$A:$A,"BOM",DATA_GOC!$D:$D,$H4386,DATA_GOC!$E:$E,$C4386,DATA_GOC!$F:$F,"Xuất nội bộ từ téc",DATA_GOC!$B:$B,"&gt;="&amp;$D4386,DATA_GOC!$B:$B,"&lt;="&amp;$E4386))</f>
        <v/>
      </c>
      <c r="J4386" s="59">
        <f t="shared" si="28"/>
        <v>0</v>
      </c>
      <c r="K4386" s="59">
        <f t="shared" si="29"/>
        <v>0</v>
      </c>
      <c r="L4386" s="59">
        <f t="shared" si="30"/>
        <v>0</v>
      </c>
      <c r="M4386" s="59">
        <f t="shared" si="31"/>
        <v>0</v>
      </c>
    </row>
    <row r="4387" ht="15.0" hidden="1" customHeight="1">
      <c r="A4387" s="59">
        <f t="shared" si="20"/>
        <v>70</v>
      </c>
      <c r="B4387" s="59" t="str">
        <f t="shared" si="21"/>
        <v/>
      </c>
      <c r="C4387" s="59" t="str">
        <f t="shared" si="22"/>
        <v/>
      </c>
      <c r="D4387" s="45" t="str">
        <f t="shared" si="23"/>
        <v/>
      </c>
      <c r="E4387" s="45" t="str">
        <f t="shared" si="24"/>
        <v/>
      </c>
      <c r="F4387" s="59" t="str">
        <f t="shared" si="25"/>
        <v/>
      </c>
      <c r="G4387" s="59" t="str">
        <f t="shared" si="26"/>
        <v/>
      </c>
      <c r="H4387" s="59" t="str">
        <f t="shared" si="27"/>
        <v>28C02770</v>
      </c>
      <c r="I4387" s="59" t="str">
        <f>IF(OR($A4387="",$C4387="",$D4387="",$E4387="",$H4387=""),"",SUMIFS(DATA_GOC!$H:$H,DATA_GOC!$A:$A,"BOM",DATA_GOC!$D:$D,$H4387,DATA_GOC!$E:$E,$C4387,DATA_GOC!$F:$F,"Xuất nội bộ từ téc",DATA_GOC!$B:$B,"&gt;="&amp;$D4387,DATA_GOC!$B:$B,"&lt;="&amp;$E4387))</f>
        <v/>
      </c>
      <c r="J4387" s="59">
        <f t="shared" si="28"/>
        <v>0</v>
      </c>
      <c r="K4387" s="59">
        <f t="shared" si="29"/>
        <v>0</v>
      </c>
      <c r="L4387" s="59">
        <f t="shared" si="30"/>
        <v>0</v>
      </c>
      <c r="M4387" s="59">
        <f t="shared" si="31"/>
        <v>0</v>
      </c>
    </row>
    <row r="4388" ht="15.0" hidden="1" customHeight="1">
      <c r="A4388" s="59">
        <f t="shared" si="20"/>
        <v>70</v>
      </c>
      <c r="B4388" s="59" t="str">
        <f t="shared" si="21"/>
        <v/>
      </c>
      <c r="C4388" s="59" t="str">
        <f t="shared" si="22"/>
        <v/>
      </c>
      <c r="D4388" s="45" t="str">
        <f t="shared" si="23"/>
        <v/>
      </c>
      <c r="E4388" s="45" t="str">
        <f t="shared" si="24"/>
        <v/>
      </c>
      <c r="F4388" s="59" t="str">
        <f t="shared" si="25"/>
        <v/>
      </c>
      <c r="G4388" s="59" t="str">
        <f t="shared" si="26"/>
        <v/>
      </c>
      <c r="H4388" s="59" t="str">
        <f t="shared" si="27"/>
        <v>28C02986</v>
      </c>
      <c r="I4388" s="59" t="str">
        <f>IF(OR($A4388="",$C4388="",$D4388="",$E4388="",$H4388=""),"",SUMIFS(DATA_GOC!$H:$H,DATA_GOC!$A:$A,"BOM",DATA_GOC!$D:$D,$H4388,DATA_GOC!$E:$E,$C4388,DATA_GOC!$F:$F,"Xuất nội bộ từ téc",DATA_GOC!$B:$B,"&gt;="&amp;$D4388,DATA_GOC!$B:$B,"&lt;="&amp;$E4388))</f>
        <v/>
      </c>
      <c r="J4388" s="59">
        <f t="shared" si="28"/>
        <v>0</v>
      </c>
      <c r="K4388" s="59">
        <f t="shared" si="29"/>
        <v>0</v>
      </c>
      <c r="L4388" s="59">
        <f t="shared" si="30"/>
        <v>0</v>
      </c>
      <c r="M4388" s="59">
        <f t="shared" si="31"/>
        <v>0</v>
      </c>
    </row>
    <row r="4389" ht="15.0" hidden="1" customHeight="1">
      <c r="A4389" s="59">
        <f t="shared" si="20"/>
        <v>70</v>
      </c>
      <c r="B4389" s="59" t="str">
        <f t="shared" si="21"/>
        <v/>
      </c>
      <c r="C4389" s="59" t="str">
        <f t="shared" si="22"/>
        <v/>
      </c>
      <c r="D4389" s="45" t="str">
        <f t="shared" si="23"/>
        <v/>
      </c>
      <c r="E4389" s="45" t="str">
        <f t="shared" si="24"/>
        <v/>
      </c>
      <c r="F4389" s="59" t="str">
        <f t="shared" si="25"/>
        <v/>
      </c>
      <c r="G4389" s="59" t="str">
        <f t="shared" si="26"/>
        <v/>
      </c>
      <c r="H4389" s="59" t="str">
        <f t="shared" si="27"/>
        <v>28C03261</v>
      </c>
      <c r="I4389" s="59" t="str">
        <f>IF(OR($A4389="",$C4389="",$D4389="",$E4389="",$H4389=""),"",SUMIFS(DATA_GOC!$H:$H,DATA_GOC!$A:$A,"BOM",DATA_GOC!$D:$D,$H4389,DATA_GOC!$E:$E,$C4389,DATA_GOC!$F:$F,"Xuất nội bộ từ téc",DATA_GOC!$B:$B,"&gt;="&amp;$D4389,DATA_GOC!$B:$B,"&lt;="&amp;$E4389))</f>
        <v/>
      </c>
      <c r="J4389" s="59">
        <f t="shared" si="28"/>
        <v>0</v>
      </c>
      <c r="K4389" s="59">
        <f t="shared" si="29"/>
        <v>0</v>
      </c>
      <c r="L4389" s="59">
        <f t="shared" si="30"/>
        <v>0</v>
      </c>
      <c r="M4389" s="59">
        <f t="shared" si="31"/>
        <v>0</v>
      </c>
    </row>
    <row r="4390" ht="15.0" hidden="1" customHeight="1">
      <c r="A4390" s="59">
        <f t="shared" si="20"/>
        <v>70</v>
      </c>
      <c r="B4390" s="59" t="str">
        <f t="shared" si="21"/>
        <v/>
      </c>
      <c r="C4390" s="59" t="str">
        <f t="shared" si="22"/>
        <v/>
      </c>
      <c r="D4390" s="45" t="str">
        <f t="shared" si="23"/>
        <v/>
      </c>
      <c r="E4390" s="45" t="str">
        <f t="shared" si="24"/>
        <v/>
      </c>
      <c r="F4390" s="59" t="str">
        <f t="shared" si="25"/>
        <v/>
      </c>
      <c r="G4390" s="59" t="str">
        <f t="shared" si="26"/>
        <v/>
      </c>
      <c r="H4390" s="59" t="str">
        <f t="shared" si="27"/>
        <v>28C03323</v>
      </c>
      <c r="I4390" s="59" t="str">
        <f>IF(OR($A4390="",$C4390="",$D4390="",$E4390="",$H4390=""),"",SUMIFS(DATA_GOC!$H:$H,DATA_GOC!$A:$A,"BOM",DATA_GOC!$D:$D,$H4390,DATA_GOC!$E:$E,$C4390,DATA_GOC!$F:$F,"Xuất nội bộ từ téc",DATA_GOC!$B:$B,"&gt;="&amp;$D4390,DATA_GOC!$B:$B,"&lt;="&amp;$E4390))</f>
        <v/>
      </c>
      <c r="J4390" s="59">
        <f t="shared" si="28"/>
        <v>0</v>
      </c>
      <c r="K4390" s="59">
        <f t="shared" si="29"/>
        <v>0</v>
      </c>
      <c r="L4390" s="59">
        <f t="shared" si="30"/>
        <v>0</v>
      </c>
      <c r="M4390" s="59">
        <f t="shared" si="31"/>
        <v>0</v>
      </c>
    </row>
    <row r="4391" ht="15.0" hidden="1" customHeight="1">
      <c r="A4391" s="59">
        <f t="shared" si="20"/>
        <v>70</v>
      </c>
      <c r="B4391" s="59" t="str">
        <f t="shared" si="21"/>
        <v/>
      </c>
      <c r="C4391" s="59" t="str">
        <f t="shared" si="22"/>
        <v/>
      </c>
      <c r="D4391" s="45" t="str">
        <f t="shared" si="23"/>
        <v/>
      </c>
      <c r="E4391" s="45" t="str">
        <f t="shared" si="24"/>
        <v/>
      </c>
      <c r="F4391" s="59" t="str">
        <f t="shared" si="25"/>
        <v/>
      </c>
      <c r="G4391" s="59" t="str">
        <f t="shared" si="26"/>
        <v/>
      </c>
      <c r="H4391" s="59" t="str">
        <f t="shared" si="27"/>
        <v>28C03385</v>
      </c>
      <c r="I4391" s="59" t="str">
        <f>IF(OR($A4391="",$C4391="",$D4391="",$E4391="",$H4391=""),"",SUMIFS(DATA_GOC!$H:$H,DATA_GOC!$A:$A,"BOM",DATA_GOC!$D:$D,$H4391,DATA_GOC!$E:$E,$C4391,DATA_GOC!$F:$F,"Xuất nội bộ từ téc",DATA_GOC!$B:$B,"&gt;="&amp;$D4391,DATA_GOC!$B:$B,"&lt;="&amp;$E4391))</f>
        <v/>
      </c>
      <c r="J4391" s="59">
        <f t="shared" si="28"/>
        <v>0</v>
      </c>
      <c r="K4391" s="59">
        <f t="shared" si="29"/>
        <v>0</v>
      </c>
      <c r="L4391" s="59">
        <f t="shared" si="30"/>
        <v>0</v>
      </c>
      <c r="M4391" s="59">
        <f t="shared" si="31"/>
        <v>0</v>
      </c>
    </row>
    <row r="4392" ht="15.0" hidden="1" customHeight="1">
      <c r="A4392" s="59">
        <f t="shared" si="20"/>
        <v>70</v>
      </c>
      <c r="B4392" s="59" t="str">
        <f t="shared" si="21"/>
        <v/>
      </c>
      <c r="C4392" s="59" t="str">
        <f t="shared" si="22"/>
        <v/>
      </c>
      <c r="D4392" s="45" t="str">
        <f t="shared" si="23"/>
        <v/>
      </c>
      <c r="E4392" s="45" t="str">
        <f t="shared" si="24"/>
        <v/>
      </c>
      <c r="F4392" s="59" t="str">
        <f t="shared" si="25"/>
        <v/>
      </c>
      <c r="G4392" s="59" t="str">
        <f t="shared" si="26"/>
        <v/>
      </c>
      <c r="H4392" s="59" t="str">
        <f t="shared" si="27"/>
        <v>28C03652</v>
      </c>
      <c r="I4392" s="59" t="str">
        <f>IF(OR($A4392="",$C4392="",$D4392="",$E4392="",$H4392=""),"",SUMIFS(DATA_GOC!$H:$H,DATA_GOC!$A:$A,"BOM",DATA_GOC!$D:$D,$H4392,DATA_GOC!$E:$E,$C4392,DATA_GOC!$F:$F,"Xuất nội bộ từ téc",DATA_GOC!$B:$B,"&gt;="&amp;$D4392,DATA_GOC!$B:$B,"&lt;="&amp;$E4392))</f>
        <v/>
      </c>
      <c r="J4392" s="59">
        <f t="shared" si="28"/>
        <v>0</v>
      </c>
      <c r="K4392" s="59">
        <f t="shared" si="29"/>
        <v>0</v>
      </c>
      <c r="L4392" s="59">
        <f t="shared" si="30"/>
        <v>0</v>
      </c>
      <c r="M4392" s="59">
        <f t="shared" si="31"/>
        <v>0</v>
      </c>
    </row>
    <row r="4393" ht="15.0" hidden="1" customHeight="1">
      <c r="A4393" s="59">
        <f t="shared" si="20"/>
        <v>70</v>
      </c>
      <c r="B4393" s="59" t="str">
        <f t="shared" si="21"/>
        <v/>
      </c>
      <c r="C4393" s="59" t="str">
        <f t="shared" si="22"/>
        <v/>
      </c>
      <c r="D4393" s="45" t="str">
        <f t="shared" si="23"/>
        <v/>
      </c>
      <c r="E4393" s="45" t="str">
        <f t="shared" si="24"/>
        <v/>
      </c>
      <c r="F4393" s="59" t="str">
        <f t="shared" si="25"/>
        <v/>
      </c>
      <c r="G4393" s="59" t="str">
        <f t="shared" si="26"/>
        <v/>
      </c>
      <c r="H4393" s="59" t="str">
        <f t="shared" si="27"/>
        <v>28C03695</v>
      </c>
      <c r="I4393" s="59" t="str">
        <f>IF(OR($A4393="",$C4393="",$D4393="",$E4393="",$H4393=""),"",SUMIFS(DATA_GOC!$H:$H,DATA_GOC!$A:$A,"BOM",DATA_GOC!$D:$D,$H4393,DATA_GOC!$E:$E,$C4393,DATA_GOC!$F:$F,"Xuất nội bộ từ téc",DATA_GOC!$B:$B,"&gt;="&amp;$D4393,DATA_GOC!$B:$B,"&lt;="&amp;$E4393))</f>
        <v/>
      </c>
      <c r="J4393" s="59">
        <f t="shared" si="28"/>
        <v>0</v>
      </c>
      <c r="K4393" s="59">
        <f t="shared" si="29"/>
        <v>0</v>
      </c>
      <c r="L4393" s="59">
        <f t="shared" si="30"/>
        <v>0</v>
      </c>
      <c r="M4393" s="59">
        <f t="shared" si="31"/>
        <v>0</v>
      </c>
    </row>
    <row r="4394" ht="15.0" hidden="1" customHeight="1">
      <c r="A4394" s="59">
        <f t="shared" si="20"/>
        <v>70</v>
      </c>
      <c r="B4394" s="59" t="str">
        <f t="shared" si="21"/>
        <v/>
      </c>
      <c r="C4394" s="59" t="str">
        <f t="shared" si="22"/>
        <v/>
      </c>
      <c r="D4394" s="45" t="str">
        <f t="shared" si="23"/>
        <v/>
      </c>
      <c r="E4394" s="45" t="str">
        <f t="shared" si="24"/>
        <v/>
      </c>
      <c r="F4394" s="59" t="str">
        <f t="shared" si="25"/>
        <v/>
      </c>
      <c r="G4394" s="59" t="str">
        <f t="shared" si="26"/>
        <v/>
      </c>
      <c r="H4394" s="59" t="str">
        <f t="shared" si="27"/>
        <v>28C03927</v>
      </c>
      <c r="I4394" s="59" t="str">
        <f>IF(OR($A4394="",$C4394="",$D4394="",$E4394="",$H4394=""),"",SUMIFS(DATA_GOC!$H:$H,DATA_GOC!$A:$A,"BOM",DATA_GOC!$D:$D,$H4394,DATA_GOC!$E:$E,$C4394,DATA_GOC!$F:$F,"Xuất nội bộ từ téc",DATA_GOC!$B:$B,"&gt;="&amp;$D4394,DATA_GOC!$B:$B,"&lt;="&amp;$E4394))</f>
        <v/>
      </c>
      <c r="J4394" s="59">
        <f t="shared" si="28"/>
        <v>0</v>
      </c>
      <c r="K4394" s="59">
        <f t="shared" si="29"/>
        <v>0</v>
      </c>
      <c r="L4394" s="59">
        <f t="shared" si="30"/>
        <v>0</v>
      </c>
      <c r="M4394" s="59">
        <f t="shared" si="31"/>
        <v>0</v>
      </c>
    </row>
    <row r="4395" ht="15.0" hidden="1" customHeight="1">
      <c r="A4395" s="59">
        <f t="shared" si="20"/>
        <v>70</v>
      </c>
      <c r="B4395" s="59" t="str">
        <f t="shared" si="21"/>
        <v/>
      </c>
      <c r="C4395" s="59" t="str">
        <f t="shared" si="22"/>
        <v/>
      </c>
      <c r="D4395" s="45" t="str">
        <f t="shared" si="23"/>
        <v/>
      </c>
      <c r="E4395" s="45" t="str">
        <f t="shared" si="24"/>
        <v/>
      </c>
      <c r="F4395" s="59" t="str">
        <f t="shared" si="25"/>
        <v/>
      </c>
      <c r="G4395" s="59" t="str">
        <f t="shared" si="26"/>
        <v/>
      </c>
      <c r="H4395" s="59" t="str">
        <f t="shared" si="27"/>
        <v>28C04509</v>
      </c>
      <c r="I4395" s="59" t="str">
        <f>IF(OR($A4395="",$C4395="",$D4395="",$E4395="",$H4395=""),"",SUMIFS(DATA_GOC!$H:$H,DATA_GOC!$A:$A,"BOM",DATA_GOC!$D:$D,$H4395,DATA_GOC!$E:$E,$C4395,DATA_GOC!$F:$F,"Xuất nội bộ từ téc",DATA_GOC!$B:$B,"&gt;="&amp;$D4395,DATA_GOC!$B:$B,"&lt;="&amp;$E4395))</f>
        <v/>
      </c>
      <c r="J4395" s="59">
        <f t="shared" si="28"/>
        <v>0</v>
      </c>
      <c r="K4395" s="59">
        <f t="shared" si="29"/>
        <v>0</v>
      </c>
      <c r="L4395" s="59">
        <f t="shared" si="30"/>
        <v>0</v>
      </c>
      <c r="M4395" s="59">
        <f t="shared" si="31"/>
        <v>0</v>
      </c>
    </row>
    <row r="4396" ht="15.0" hidden="1" customHeight="1">
      <c r="A4396" s="59">
        <f t="shared" si="20"/>
        <v>70</v>
      </c>
      <c r="B4396" s="59" t="str">
        <f t="shared" si="21"/>
        <v/>
      </c>
      <c r="C4396" s="59" t="str">
        <f t="shared" si="22"/>
        <v/>
      </c>
      <c r="D4396" s="45" t="str">
        <f t="shared" si="23"/>
        <v/>
      </c>
      <c r="E4396" s="45" t="str">
        <f t="shared" si="24"/>
        <v/>
      </c>
      <c r="F4396" s="59" t="str">
        <f t="shared" si="25"/>
        <v/>
      </c>
      <c r="G4396" s="59" t="str">
        <f t="shared" si="26"/>
        <v/>
      </c>
      <c r="H4396" s="59" t="str">
        <f t="shared" si="27"/>
        <v>28C04536</v>
      </c>
      <c r="I4396" s="59" t="str">
        <f>IF(OR($A4396="",$C4396="",$D4396="",$E4396="",$H4396=""),"",SUMIFS(DATA_GOC!$H:$H,DATA_GOC!$A:$A,"BOM",DATA_GOC!$D:$D,$H4396,DATA_GOC!$E:$E,$C4396,DATA_GOC!$F:$F,"Xuất nội bộ từ téc",DATA_GOC!$B:$B,"&gt;="&amp;$D4396,DATA_GOC!$B:$B,"&lt;="&amp;$E4396))</f>
        <v/>
      </c>
      <c r="J4396" s="59">
        <f t="shared" si="28"/>
        <v>0</v>
      </c>
      <c r="K4396" s="59">
        <f t="shared" si="29"/>
        <v>0</v>
      </c>
      <c r="L4396" s="59">
        <f t="shared" si="30"/>
        <v>0</v>
      </c>
      <c r="M4396" s="59">
        <f t="shared" si="31"/>
        <v>0</v>
      </c>
    </row>
    <row r="4397" ht="15.0" hidden="1" customHeight="1">
      <c r="A4397" s="59">
        <f t="shared" si="20"/>
        <v>70</v>
      </c>
      <c r="B4397" s="59" t="str">
        <f t="shared" si="21"/>
        <v/>
      </c>
      <c r="C4397" s="59" t="str">
        <f t="shared" si="22"/>
        <v/>
      </c>
      <c r="D4397" s="45" t="str">
        <f t="shared" si="23"/>
        <v/>
      </c>
      <c r="E4397" s="45" t="str">
        <f t="shared" si="24"/>
        <v/>
      </c>
      <c r="F4397" s="59" t="str">
        <f t="shared" si="25"/>
        <v/>
      </c>
      <c r="G4397" s="59" t="str">
        <f t="shared" si="26"/>
        <v/>
      </c>
      <c r="H4397" s="59" t="str">
        <f t="shared" si="27"/>
        <v>28C04576</v>
      </c>
      <c r="I4397" s="59" t="str">
        <f>IF(OR($A4397="",$C4397="",$D4397="",$E4397="",$H4397=""),"",SUMIFS(DATA_GOC!$H:$H,DATA_GOC!$A:$A,"BOM",DATA_GOC!$D:$D,$H4397,DATA_GOC!$E:$E,$C4397,DATA_GOC!$F:$F,"Xuất nội bộ từ téc",DATA_GOC!$B:$B,"&gt;="&amp;$D4397,DATA_GOC!$B:$B,"&lt;="&amp;$E4397))</f>
        <v/>
      </c>
      <c r="J4397" s="59">
        <f t="shared" si="28"/>
        <v>0</v>
      </c>
      <c r="K4397" s="59">
        <f t="shared" si="29"/>
        <v>0</v>
      </c>
      <c r="L4397" s="59">
        <f t="shared" si="30"/>
        <v>0</v>
      </c>
      <c r="M4397" s="59">
        <f t="shared" si="31"/>
        <v>0</v>
      </c>
    </row>
    <row r="4398" ht="15.0" hidden="1" customHeight="1">
      <c r="A4398" s="59">
        <f t="shared" si="20"/>
        <v>70</v>
      </c>
      <c r="B4398" s="59" t="str">
        <f t="shared" si="21"/>
        <v/>
      </c>
      <c r="C4398" s="59" t="str">
        <f t="shared" si="22"/>
        <v/>
      </c>
      <c r="D4398" s="45" t="str">
        <f t="shared" si="23"/>
        <v/>
      </c>
      <c r="E4398" s="45" t="str">
        <f t="shared" si="24"/>
        <v/>
      </c>
      <c r="F4398" s="59" t="str">
        <f t="shared" si="25"/>
        <v/>
      </c>
      <c r="G4398" s="59" t="str">
        <f t="shared" si="26"/>
        <v/>
      </c>
      <c r="H4398" s="59" t="str">
        <f t="shared" si="27"/>
        <v>28C05090</v>
      </c>
      <c r="I4398" s="59" t="str">
        <f>IF(OR($A4398="",$C4398="",$D4398="",$E4398="",$H4398=""),"",SUMIFS(DATA_GOC!$H:$H,DATA_GOC!$A:$A,"BOM",DATA_GOC!$D:$D,$H4398,DATA_GOC!$E:$E,$C4398,DATA_GOC!$F:$F,"Xuất nội bộ từ téc",DATA_GOC!$B:$B,"&gt;="&amp;$D4398,DATA_GOC!$B:$B,"&lt;="&amp;$E4398))</f>
        <v/>
      </c>
      <c r="J4398" s="59">
        <f t="shared" si="28"/>
        <v>0</v>
      </c>
      <c r="K4398" s="59">
        <f t="shared" si="29"/>
        <v>0</v>
      </c>
      <c r="L4398" s="59">
        <f t="shared" si="30"/>
        <v>0</v>
      </c>
      <c r="M4398" s="59">
        <f t="shared" si="31"/>
        <v>0</v>
      </c>
    </row>
    <row r="4399" ht="15.0" hidden="1" customHeight="1">
      <c r="A4399" s="59">
        <f t="shared" si="20"/>
        <v>70</v>
      </c>
      <c r="B4399" s="59" t="str">
        <f t="shared" si="21"/>
        <v/>
      </c>
      <c r="C4399" s="59" t="str">
        <f t="shared" si="22"/>
        <v/>
      </c>
      <c r="D4399" s="45" t="str">
        <f t="shared" si="23"/>
        <v/>
      </c>
      <c r="E4399" s="45" t="str">
        <f t="shared" si="24"/>
        <v/>
      </c>
      <c r="F4399" s="59" t="str">
        <f t="shared" si="25"/>
        <v/>
      </c>
      <c r="G4399" s="59" t="str">
        <f t="shared" si="26"/>
        <v/>
      </c>
      <c r="H4399" s="59" t="str">
        <f t="shared" si="27"/>
        <v>28C05345</v>
      </c>
      <c r="I4399" s="59" t="str">
        <f>IF(OR($A4399="",$C4399="",$D4399="",$E4399="",$H4399=""),"",SUMIFS(DATA_GOC!$H:$H,DATA_GOC!$A:$A,"BOM",DATA_GOC!$D:$D,$H4399,DATA_GOC!$E:$E,$C4399,DATA_GOC!$F:$F,"Xuất nội bộ từ téc",DATA_GOC!$B:$B,"&gt;="&amp;$D4399,DATA_GOC!$B:$B,"&lt;="&amp;$E4399))</f>
        <v/>
      </c>
      <c r="J4399" s="59">
        <f t="shared" si="28"/>
        <v>0</v>
      </c>
      <c r="K4399" s="59">
        <f t="shared" si="29"/>
        <v>0</v>
      </c>
      <c r="L4399" s="59">
        <f t="shared" si="30"/>
        <v>0</v>
      </c>
      <c r="M4399" s="59">
        <f t="shared" si="31"/>
        <v>0</v>
      </c>
    </row>
    <row r="4400" ht="15.0" hidden="1" customHeight="1">
      <c r="A4400" s="59">
        <f t="shared" si="20"/>
        <v>70</v>
      </c>
      <c r="B4400" s="59" t="str">
        <f t="shared" si="21"/>
        <v/>
      </c>
      <c r="C4400" s="59" t="str">
        <f t="shared" si="22"/>
        <v/>
      </c>
      <c r="D4400" s="45" t="str">
        <f t="shared" si="23"/>
        <v/>
      </c>
      <c r="E4400" s="45" t="str">
        <f t="shared" si="24"/>
        <v/>
      </c>
      <c r="F4400" s="59" t="str">
        <f t="shared" si="25"/>
        <v/>
      </c>
      <c r="G4400" s="59" t="str">
        <f t="shared" si="26"/>
        <v/>
      </c>
      <c r="H4400" s="59" t="str">
        <f t="shared" si="27"/>
        <v>28C05661</v>
      </c>
      <c r="I4400" s="59" t="str">
        <f>IF(OR($A4400="",$C4400="",$D4400="",$E4400="",$H4400=""),"",SUMIFS(DATA_GOC!$H:$H,DATA_GOC!$A:$A,"BOM",DATA_GOC!$D:$D,$H4400,DATA_GOC!$E:$E,$C4400,DATA_GOC!$F:$F,"Xuất nội bộ từ téc",DATA_GOC!$B:$B,"&gt;="&amp;$D4400,DATA_GOC!$B:$B,"&lt;="&amp;$E4400))</f>
        <v/>
      </c>
      <c r="J4400" s="59">
        <f t="shared" si="28"/>
        <v>0</v>
      </c>
      <c r="K4400" s="59">
        <f t="shared" si="29"/>
        <v>0</v>
      </c>
      <c r="L4400" s="59">
        <f t="shared" si="30"/>
        <v>0</v>
      </c>
      <c r="M4400" s="59">
        <f t="shared" si="31"/>
        <v>0</v>
      </c>
    </row>
    <row r="4401" ht="15.0" hidden="1" customHeight="1">
      <c r="A4401" s="59">
        <f t="shared" si="20"/>
        <v>70</v>
      </c>
      <c r="B4401" s="59" t="str">
        <f t="shared" si="21"/>
        <v/>
      </c>
      <c r="C4401" s="59" t="str">
        <f t="shared" si="22"/>
        <v/>
      </c>
      <c r="D4401" s="45" t="str">
        <f t="shared" si="23"/>
        <v/>
      </c>
      <c r="E4401" s="45" t="str">
        <f t="shared" si="24"/>
        <v/>
      </c>
      <c r="F4401" s="59" t="str">
        <f t="shared" si="25"/>
        <v/>
      </c>
      <c r="G4401" s="59" t="str">
        <f t="shared" si="26"/>
        <v/>
      </c>
      <c r="H4401" s="59" t="str">
        <f t="shared" si="27"/>
        <v>28C05739</v>
      </c>
      <c r="I4401" s="59" t="str">
        <f>IF(OR($A4401="",$C4401="",$D4401="",$E4401="",$H4401=""),"",SUMIFS(DATA_GOC!$H:$H,DATA_GOC!$A:$A,"BOM",DATA_GOC!$D:$D,$H4401,DATA_GOC!$E:$E,$C4401,DATA_GOC!$F:$F,"Xuất nội bộ từ téc",DATA_GOC!$B:$B,"&gt;="&amp;$D4401,DATA_GOC!$B:$B,"&lt;="&amp;$E4401))</f>
        <v/>
      </c>
      <c r="J4401" s="59">
        <f t="shared" si="28"/>
        <v>0</v>
      </c>
      <c r="K4401" s="59">
        <f t="shared" si="29"/>
        <v>0</v>
      </c>
      <c r="L4401" s="59">
        <f t="shared" si="30"/>
        <v>0</v>
      </c>
      <c r="M4401" s="59">
        <f t="shared" si="31"/>
        <v>0</v>
      </c>
    </row>
    <row r="4402" ht="15.0" hidden="1" customHeight="1">
      <c r="A4402" s="59">
        <f t="shared" si="20"/>
        <v>70</v>
      </c>
      <c r="B4402" s="59" t="str">
        <f t="shared" si="21"/>
        <v/>
      </c>
      <c r="C4402" s="59" t="str">
        <f t="shared" si="22"/>
        <v/>
      </c>
      <c r="D4402" s="45" t="str">
        <f t="shared" si="23"/>
        <v/>
      </c>
      <c r="E4402" s="45" t="str">
        <f t="shared" si="24"/>
        <v/>
      </c>
      <c r="F4402" s="59" t="str">
        <f t="shared" si="25"/>
        <v/>
      </c>
      <c r="G4402" s="59" t="str">
        <f t="shared" si="26"/>
        <v/>
      </c>
      <c r="H4402" s="59" t="str">
        <f t="shared" si="27"/>
        <v>28C06369</v>
      </c>
      <c r="I4402" s="59" t="str">
        <f>IF(OR($A4402="",$C4402="",$D4402="",$E4402="",$H4402=""),"",SUMIFS(DATA_GOC!$H:$H,DATA_GOC!$A:$A,"BOM",DATA_GOC!$D:$D,$H4402,DATA_GOC!$E:$E,$C4402,DATA_GOC!$F:$F,"Xuất nội bộ từ téc",DATA_GOC!$B:$B,"&gt;="&amp;$D4402,DATA_GOC!$B:$B,"&lt;="&amp;$E4402))</f>
        <v/>
      </c>
      <c r="J4402" s="59">
        <f t="shared" si="28"/>
        <v>0</v>
      </c>
      <c r="K4402" s="59">
        <f t="shared" si="29"/>
        <v>0</v>
      </c>
      <c r="L4402" s="59">
        <f t="shared" si="30"/>
        <v>0</v>
      </c>
      <c r="M4402" s="59">
        <f t="shared" si="31"/>
        <v>0</v>
      </c>
    </row>
    <row r="4403" ht="15.0" hidden="1" customHeight="1">
      <c r="A4403" s="59">
        <f t="shared" si="20"/>
        <v>70</v>
      </c>
      <c r="B4403" s="59" t="str">
        <f t="shared" si="21"/>
        <v/>
      </c>
      <c r="C4403" s="59" t="str">
        <f t="shared" si="22"/>
        <v/>
      </c>
      <c r="D4403" s="45" t="str">
        <f t="shared" si="23"/>
        <v/>
      </c>
      <c r="E4403" s="45" t="str">
        <f t="shared" si="24"/>
        <v/>
      </c>
      <c r="F4403" s="59" t="str">
        <f t="shared" si="25"/>
        <v/>
      </c>
      <c r="G4403" s="59" t="str">
        <f t="shared" si="26"/>
        <v/>
      </c>
      <c r="H4403" s="59" t="str">
        <f t="shared" si="27"/>
        <v>28C06447</v>
      </c>
      <c r="I4403" s="59" t="str">
        <f>IF(OR($A4403="",$C4403="",$D4403="",$E4403="",$H4403=""),"",SUMIFS(DATA_GOC!$H:$H,DATA_GOC!$A:$A,"BOM",DATA_GOC!$D:$D,$H4403,DATA_GOC!$E:$E,$C4403,DATA_GOC!$F:$F,"Xuất nội bộ từ téc",DATA_GOC!$B:$B,"&gt;="&amp;$D4403,DATA_GOC!$B:$B,"&lt;="&amp;$E4403))</f>
        <v/>
      </c>
      <c r="J4403" s="59">
        <f t="shared" si="28"/>
        <v>0</v>
      </c>
      <c r="K4403" s="59">
        <f t="shared" si="29"/>
        <v>0</v>
      </c>
      <c r="L4403" s="59">
        <f t="shared" si="30"/>
        <v>0</v>
      </c>
      <c r="M4403" s="59">
        <f t="shared" si="31"/>
        <v>0</v>
      </c>
    </row>
    <row r="4404" ht="15.0" hidden="1" customHeight="1">
      <c r="A4404" s="59">
        <f t="shared" si="20"/>
        <v>70</v>
      </c>
      <c r="B4404" s="59" t="str">
        <f t="shared" si="21"/>
        <v/>
      </c>
      <c r="C4404" s="59" t="str">
        <f t="shared" si="22"/>
        <v/>
      </c>
      <c r="D4404" s="45" t="str">
        <f t="shared" si="23"/>
        <v/>
      </c>
      <c r="E4404" s="45" t="str">
        <f t="shared" si="24"/>
        <v/>
      </c>
      <c r="F4404" s="59" t="str">
        <f t="shared" si="25"/>
        <v/>
      </c>
      <c r="G4404" s="59" t="str">
        <f t="shared" si="26"/>
        <v/>
      </c>
      <c r="H4404" s="59" t="str">
        <f t="shared" si="27"/>
        <v>28H00003</v>
      </c>
      <c r="I4404" s="59" t="str">
        <f>IF(OR($A4404="",$C4404="",$D4404="",$E4404="",$H4404=""),"",SUMIFS(DATA_GOC!$H:$H,DATA_GOC!$A:$A,"BOM",DATA_GOC!$D:$D,$H4404,DATA_GOC!$E:$E,$C4404,DATA_GOC!$F:$F,"Xuất nội bộ từ téc",DATA_GOC!$B:$B,"&gt;="&amp;$D4404,DATA_GOC!$B:$B,"&lt;="&amp;$E4404))</f>
        <v/>
      </c>
      <c r="J4404" s="59">
        <f t="shared" si="28"/>
        <v>0</v>
      </c>
      <c r="K4404" s="59">
        <f t="shared" si="29"/>
        <v>0</v>
      </c>
      <c r="L4404" s="59">
        <f t="shared" si="30"/>
        <v>0</v>
      </c>
      <c r="M4404" s="59">
        <f t="shared" si="31"/>
        <v>0</v>
      </c>
    </row>
    <row r="4405" ht="15.0" hidden="1" customHeight="1">
      <c r="A4405" s="59">
        <f t="shared" si="20"/>
        <v>70</v>
      </c>
      <c r="B4405" s="59" t="str">
        <f t="shared" si="21"/>
        <v/>
      </c>
      <c r="C4405" s="59" t="str">
        <f t="shared" si="22"/>
        <v/>
      </c>
      <c r="D4405" s="45" t="str">
        <f t="shared" si="23"/>
        <v/>
      </c>
      <c r="E4405" s="45" t="str">
        <f t="shared" si="24"/>
        <v/>
      </c>
      <c r="F4405" s="59" t="str">
        <f t="shared" si="25"/>
        <v/>
      </c>
      <c r="G4405" s="59" t="str">
        <f t="shared" si="26"/>
        <v/>
      </c>
      <c r="H4405" s="59" t="str">
        <f t="shared" si="27"/>
        <v>28H00061</v>
      </c>
      <c r="I4405" s="59" t="str">
        <f>IF(OR($A4405="",$C4405="",$D4405="",$E4405="",$H4405=""),"",SUMIFS(DATA_GOC!$H:$H,DATA_GOC!$A:$A,"BOM",DATA_GOC!$D:$D,$H4405,DATA_GOC!$E:$E,$C4405,DATA_GOC!$F:$F,"Xuất nội bộ từ téc",DATA_GOC!$B:$B,"&gt;="&amp;$D4405,DATA_GOC!$B:$B,"&lt;="&amp;$E4405))</f>
        <v/>
      </c>
      <c r="J4405" s="59">
        <f t="shared" si="28"/>
        <v>0</v>
      </c>
      <c r="K4405" s="59">
        <f t="shared" si="29"/>
        <v>0</v>
      </c>
      <c r="L4405" s="59">
        <f t="shared" si="30"/>
        <v>0</v>
      </c>
      <c r="M4405" s="59">
        <f t="shared" si="31"/>
        <v>0</v>
      </c>
    </row>
    <row r="4406" ht="15.0" hidden="1" customHeight="1">
      <c r="A4406" s="59">
        <f t="shared" si="20"/>
        <v>70</v>
      </c>
      <c r="B4406" s="59" t="str">
        <f t="shared" si="21"/>
        <v/>
      </c>
      <c r="C4406" s="59" t="str">
        <f t="shared" si="22"/>
        <v/>
      </c>
      <c r="D4406" s="45" t="str">
        <f t="shared" si="23"/>
        <v/>
      </c>
      <c r="E4406" s="45" t="str">
        <f t="shared" si="24"/>
        <v/>
      </c>
      <c r="F4406" s="59" t="str">
        <f t="shared" si="25"/>
        <v/>
      </c>
      <c r="G4406" s="59" t="str">
        <f t="shared" si="26"/>
        <v/>
      </c>
      <c r="H4406" s="59" t="str">
        <f t="shared" si="27"/>
        <v>28H00354</v>
      </c>
      <c r="I4406" s="59" t="str">
        <f>IF(OR($A4406="",$C4406="",$D4406="",$E4406="",$H4406=""),"",SUMIFS(DATA_GOC!$H:$H,DATA_GOC!$A:$A,"BOM",DATA_GOC!$D:$D,$H4406,DATA_GOC!$E:$E,$C4406,DATA_GOC!$F:$F,"Xuất nội bộ từ téc",DATA_GOC!$B:$B,"&gt;="&amp;$D4406,DATA_GOC!$B:$B,"&lt;="&amp;$E4406))</f>
        <v/>
      </c>
      <c r="J4406" s="59">
        <f t="shared" si="28"/>
        <v>0</v>
      </c>
      <c r="K4406" s="59">
        <f t="shared" si="29"/>
        <v>0</v>
      </c>
      <c r="L4406" s="59">
        <f t="shared" si="30"/>
        <v>0</v>
      </c>
      <c r="M4406" s="59">
        <f t="shared" si="31"/>
        <v>0</v>
      </c>
    </row>
    <row r="4407" ht="15.0" hidden="1" customHeight="1">
      <c r="A4407" s="59">
        <f t="shared" si="20"/>
        <v>70</v>
      </c>
      <c r="B4407" s="59" t="str">
        <f t="shared" si="21"/>
        <v/>
      </c>
      <c r="C4407" s="59" t="str">
        <f t="shared" si="22"/>
        <v/>
      </c>
      <c r="D4407" s="45" t="str">
        <f t="shared" si="23"/>
        <v/>
      </c>
      <c r="E4407" s="45" t="str">
        <f t="shared" si="24"/>
        <v/>
      </c>
      <c r="F4407" s="59" t="str">
        <f t="shared" si="25"/>
        <v/>
      </c>
      <c r="G4407" s="59" t="str">
        <f t="shared" si="26"/>
        <v/>
      </c>
      <c r="H4407" s="59" t="str">
        <f t="shared" si="27"/>
        <v>28H00603</v>
      </c>
      <c r="I4407" s="59" t="str">
        <f>IF(OR($A4407="",$C4407="",$D4407="",$E4407="",$H4407=""),"",SUMIFS(DATA_GOC!$H:$H,DATA_GOC!$A:$A,"BOM",DATA_GOC!$D:$D,$H4407,DATA_GOC!$E:$E,$C4407,DATA_GOC!$F:$F,"Xuất nội bộ từ téc",DATA_GOC!$B:$B,"&gt;="&amp;$D4407,DATA_GOC!$B:$B,"&lt;="&amp;$E4407))</f>
        <v/>
      </c>
      <c r="J4407" s="59">
        <f t="shared" si="28"/>
        <v>0</v>
      </c>
      <c r="K4407" s="59">
        <f t="shared" si="29"/>
        <v>0</v>
      </c>
      <c r="L4407" s="59">
        <f t="shared" si="30"/>
        <v>0</v>
      </c>
      <c r="M4407" s="59">
        <f t="shared" si="31"/>
        <v>0</v>
      </c>
    </row>
    <row r="4408" ht="15.0" hidden="1" customHeight="1">
      <c r="A4408" s="59">
        <f t="shared" si="20"/>
        <v>70</v>
      </c>
      <c r="B4408" s="59" t="str">
        <f t="shared" si="21"/>
        <v/>
      </c>
      <c r="C4408" s="59" t="str">
        <f t="shared" si="22"/>
        <v/>
      </c>
      <c r="D4408" s="45" t="str">
        <f t="shared" si="23"/>
        <v/>
      </c>
      <c r="E4408" s="45" t="str">
        <f t="shared" si="24"/>
        <v/>
      </c>
      <c r="F4408" s="59" t="str">
        <f t="shared" si="25"/>
        <v/>
      </c>
      <c r="G4408" s="59" t="str">
        <f t="shared" si="26"/>
        <v/>
      </c>
      <c r="H4408" s="59" t="str">
        <f t="shared" si="27"/>
        <v>28H00609</v>
      </c>
      <c r="I4408" s="59" t="str">
        <f>IF(OR($A4408="",$C4408="",$D4408="",$E4408="",$H4408=""),"",SUMIFS(DATA_GOC!$H:$H,DATA_GOC!$A:$A,"BOM",DATA_GOC!$D:$D,$H4408,DATA_GOC!$E:$E,$C4408,DATA_GOC!$F:$F,"Xuất nội bộ từ téc",DATA_GOC!$B:$B,"&gt;="&amp;$D4408,DATA_GOC!$B:$B,"&lt;="&amp;$E4408))</f>
        <v/>
      </c>
      <c r="J4408" s="59">
        <f t="shared" si="28"/>
        <v>0</v>
      </c>
      <c r="K4408" s="59">
        <f t="shared" si="29"/>
        <v>0</v>
      </c>
      <c r="L4408" s="59">
        <f t="shared" si="30"/>
        <v>0</v>
      </c>
      <c r="M4408" s="59">
        <f t="shared" si="31"/>
        <v>0</v>
      </c>
    </row>
    <row r="4409" ht="15.0" hidden="1" customHeight="1">
      <c r="A4409" s="59">
        <f t="shared" si="20"/>
        <v>70</v>
      </c>
      <c r="B4409" s="59" t="str">
        <f t="shared" si="21"/>
        <v/>
      </c>
      <c r="C4409" s="59" t="str">
        <f t="shared" si="22"/>
        <v/>
      </c>
      <c r="D4409" s="45" t="str">
        <f t="shared" si="23"/>
        <v/>
      </c>
      <c r="E4409" s="45" t="str">
        <f t="shared" si="24"/>
        <v/>
      </c>
      <c r="F4409" s="59" t="str">
        <f t="shared" si="25"/>
        <v/>
      </c>
      <c r="G4409" s="59" t="str">
        <f t="shared" si="26"/>
        <v/>
      </c>
      <c r="H4409" s="59" t="str">
        <f t="shared" si="27"/>
        <v>28H00669</v>
      </c>
      <c r="I4409" s="59" t="str">
        <f>IF(OR($A4409="",$C4409="",$D4409="",$E4409="",$H4409=""),"",SUMIFS(DATA_GOC!$H:$H,DATA_GOC!$A:$A,"BOM",DATA_GOC!$D:$D,$H4409,DATA_GOC!$E:$E,$C4409,DATA_GOC!$F:$F,"Xuất nội bộ từ téc",DATA_GOC!$B:$B,"&gt;="&amp;$D4409,DATA_GOC!$B:$B,"&lt;="&amp;$E4409))</f>
        <v/>
      </c>
      <c r="J4409" s="59">
        <f t="shared" si="28"/>
        <v>0</v>
      </c>
      <c r="K4409" s="59">
        <f t="shared" si="29"/>
        <v>0</v>
      </c>
      <c r="L4409" s="59">
        <f t="shared" si="30"/>
        <v>0</v>
      </c>
      <c r="M4409" s="59">
        <f t="shared" si="31"/>
        <v>0</v>
      </c>
    </row>
    <row r="4410" ht="15.0" hidden="1" customHeight="1">
      <c r="A4410" s="59">
        <f t="shared" si="20"/>
        <v>70</v>
      </c>
      <c r="B4410" s="59" t="str">
        <f t="shared" si="21"/>
        <v/>
      </c>
      <c r="C4410" s="59" t="str">
        <f t="shared" si="22"/>
        <v/>
      </c>
      <c r="D4410" s="45" t="str">
        <f t="shared" si="23"/>
        <v/>
      </c>
      <c r="E4410" s="45" t="str">
        <f t="shared" si="24"/>
        <v/>
      </c>
      <c r="F4410" s="59" t="str">
        <f t="shared" si="25"/>
        <v/>
      </c>
      <c r="G4410" s="59" t="str">
        <f t="shared" si="26"/>
        <v/>
      </c>
      <c r="H4410" s="59" t="str">
        <f t="shared" si="27"/>
        <v>28H00680</v>
      </c>
      <c r="I4410" s="59" t="str">
        <f>IF(OR($A4410="",$C4410="",$D4410="",$E4410="",$H4410=""),"",SUMIFS(DATA_GOC!$H:$H,DATA_GOC!$A:$A,"BOM",DATA_GOC!$D:$D,$H4410,DATA_GOC!$E:$E,$C4410,DATA_GOC!$F:$F,"Xuất nội bộ từ téc",DATA_GOC!$B:$B,"&gt;="&amp;$D4410,DATA_GOC!$B:$B,"&lt;="&amp;$E4410))</f>
        <v/>
      </c>
      <c r="J4410" s="59">
        <f t="shared" si="28"/>
        <v>0</v>
      </c>
      <c r="K4410" s="59">
        <f t="shared" si="29"/>
        <v>0</v>
      </c>
      <c r="L4410" s="59">
        <f t="shared" si="30"/>
        <v>0</v>
      </c>
      <c r="M4410" s="59">
        <f t="shared" si="31"/>
        <v>0</v>
      </c>
    </row>
    <row r="4411" ht="15.0" hidden="1" customHeight="1">
      <c r="A4411" s="59">
        <f t="shared" si="20"/>
        <v>70</v>
      </c>
      <c r="B4411" s="59" t="str">
        <f t="shared" si="21"/>
        <v/>
      </c>
      <c r="C4411" s="59" t="str">
        <f t="shared" si="22"/>
        <v/>
      </c>
      <c r="D4411" s="45" t="str">
        <f t="shared" si="23"/>
        <v/>
      </c>
      <c r="E4411" s="45" t="str">
        <f t="shared" si="24"/>
        <v/>
      </c>
      <c r="F4411" s="59" t="str">
        <f t="shared" si="25"/>
        <v/>
      </c>
      <c r="G4411" s="59" t="str">
        <f t="shared" si="26"/>
        <v/>
      </c>
      <c r="H4411" s="59" t="str">
        <f t="shared" si="27"/>
        <v>28H01070</v>
      </c>
      <c r="I4411" s="59" t="str">
        <f>IF(OR($A4411="",$C4411="",$D4411="",$E4411="",$H4411=""),"",SUMIFS(DATA_GOC!$H:$H,DATA_GOC!$A:$A,"BOM",DATA_GOC!$D:$D,$H4411,DATA_GOC!$E:$E,$C4411,DATA_GOC!$F:$F,"Xuất nội bộ từ téc",DATA_GOC!$B:$B,"&gt;="&amp;$D4411,DATA_GOC!$B:$B,"&lt;="&amp;$E4411))</f>
        <v/>
      </c>
      <c r="J4411" s="59">
        <f t="shared" si="28"/>
        <v>0</v>
      </c>
      <c r="K4411" s="59">
        <f t="shared" si="29"/>
        <v>0</v>
      </c>
      <c r="L4411" s="59">
        <f t="shared" si="30"/>
        <v>0</v>
      </c>
      <c r="M4411" s="59">
        <f t="shared" si="31"/>
        <v>0</v>
      </c>
    </row>
    <row r="4412" ht="15.0" hidden="1" customHeight="1">
      <c r="A4412" s="59">
        <f t="shared" si="20"/>
        <v>70</v>
      </c>
      <c r="B4412" s="59" t="str">
        <f t="shared" si="21"/>
        <v/>
      </c>
      <c r="C4412" s="59" t="str">
        <f t="shared" si="22"/>
        <v/>
      </c>
      <c r="D4412" s="45" t="str">
        <f t="shared" si="23"/>
        <v/>
      </c>
      <c r="E4412" s="45" t="str">
        <f t="shared" si="24"/>
        <v/>
      </c>
      <c r="F4412" s="59" t="str">
        <f t="shared" si="25"/>
        <v/>
      </c>
      <c r="G4412" s="59" t="str">
        <f t="shared" si="26"/>
        <v/>
      </c>
      <c r="H4412" s="59" t="str">
        <f t="shared" si="27"/>
        <v>28H01364</v>
      </c>
      <c r="I4412" s="59" t="str">
        <f>IF(OR($A4412="",$C4412="",$D4412="",$E4412="",$H4412=""),"",SUMIFS(DATA_GOC!$H:$H,DATA_GOC!$A:$A,"BOM",DATA_GOC!$D:$D,$H4412,DATA_GOC!$E:$E,$C4412,DATA_GOC!$F:$F,"Xuất nội bộ từ téc",DATA_GOC!$B:$B,"&gt;="&amp;$D4412,DATA_GOC!$B:$B,"&lt;="&amp;$E4412))</f>
        <v/>
      </c>
      <c r="J4412" s="59">
        <f t="shared" si="28"/>
        <v>0</v>
      </c>
      <c r="K4412" s="59">
        <f t="shared" si="29"/>
        <v>0</v>
      </c>
      <c r="L4412" s="59">
        <f t="shared" si="30"/>
        <v>0</v>
      </c>
      <c r="M4412" s="59">
        <f t="shared" si="31"/>
        <v>0</v>
      </c>
    </row>
    <row r="4413" ht="15.0" hidden="1" customHeight="1">
      <c r="A4413" s="59">
        <f t="shared" si="20"/>
        <v>70</v>
      </c>
      <c r="B4413" s="59" t="str">
        <f t="shared" si="21"/>
        <v/>
      </c>
      <c r="C4413" s="59" t="str">
        <f t="shared" si="22"/>
        <v/>
      </c>
      <c r="D4413" s="45" t="str">
        <f t="shared" si="23"/>
        <v/>
      </c>
      <c r="E4413" s="45" t="str">
        <f t="shared" si="24"/>
        <v/>
      </c>
      <c r="F4413" s="59" t="str">
        <f t="shared" si="25"/>
        <v/>
      </c>
      <c r="G4413" s="59" t="str">
        <f t="shared" si="26"/>
        <v/>
      </c>
      <c r="H4413" s="59" t="str">
        <f t="shared" si="27"/>
        <v>29E17269</v>
      </c>
      <c r="I4413" s="59" t="str">
        <f>IF(OR($A4413="",$C4413="",$D4413="",$E4413="",$H4413=""),"",SUMIFS(DATA_GOC!$H:$H,DATA_GOC!$A:$A,"BOM",DATA_GOC!$D:$D,$H4413,DATA_GOC!$E:$E,$C4413,DATA_GOC!$F:$F,"Xuất nội bộ từ téc",DATA_GOC!$B:$B,"&gt;="&amp;$D4413,DATA_GOC!$B:$B,"&lt;="&amp;$E4413))</f>
        <v/>
      </c>
      <c r="J4413" s="59">
        <f t="shared" si="28"/>
        <v>0</v>
      </c>
      <c r="K4413" s="59">
        <f t="shared" si="29"/>
        <v>0</v>
      </c>
      <c r="L4413" s="59">
        <f t="shared" si="30"/>
        <v>0</v>
      </c>
      <c r="M4413" s="59">
        <f t="shared" si="31"/>
        <v>0</v>
      </c>
    </row>
    <row r="4414" ht="15.0" hidden="1" customHeight="1">
      <c r="A4414" s="59">
        <f t="shared" si="20"/>
        <v>70</v>
      </c>
      <c r="B4414" s="59" t="str">
        <f t="shared" si="21"/>
        <v/>
      </c>
      <c r="C4414" s="59" t="str">
        <f t="shared" si="22"/>
        <v/>
      </c>
      <c r="D4414" s="45" t="str">
        <f t="shared" si="23"/>
        <v/>
      </c>
      <c r="E4414" s="45" t="str">
        <f t="shared" si="24"/>
        <v/>
      </c>
      <c r="F4414" s="59" t="str">
        <f t="shared" si="25"/>
        <v/>
      </c>
      <c r="G4414" s="59" t="str">
        <f t="shared" si="26"/>
        <v/>
      </c>
      <c r="H4414" s="59" t="str">
        <f t="shared" si="27"/>
        <v>29E17273</v>
      </c>
      <c r="I4414" s="59" t="str">
        <f>IF(OR($A4414="",$C4414="",$D4414="",$E4414="",$H4414=""),"",SUMIFS(DATA_GOC!$H:$H,DATA_GOC!$A:$A,"BOM",DATA_GOC!$D:$D,$H4414,DATA_GOC!$E:$E,$C4414,DATA_GOC!$F:$F,"Xuất nội bộ từ téc",DATA_GOC!$B:$B,"&gt;="&amp;$D4414,DATA_GOC!$B:$B,"&lt;="&amp;$E4414))</f>
        <v/>
      </c>
      <c r="J4414" s="59">
        <f t="shared" si="28"/>
        <v>0</v>
      </c>
      <c r="K4414" s="59">
        <f t="shared" si="29"/>
        <v>0</v>
      </c>
      <c r="L4414" s="59">
        <f t="shared" si="30"/>
        <v>0</v>
      </c>
      <c r="M4414" s="59">
        <f t="shared" si="31"/>
        <v>0</v>
      </c>
    </row>
    <row r="4415" ht="15.0" hidden="1" customHeight="1">
      <c r="A4415" s="59">
        <f t="shared" si="20"/>
        <v>70</v>
      </c>
      <c r="B4415" s="59" t="str">
        <f t="shared" si="21"/>
        <v/>
      </c>
      <c r="C4415" s="59" t="str">
        <f t="shared" si="22"/>
        <v/>
      </c>
      <c r="D4415" s="45" t="str">
        <f t="shared" si="23"/>
        <v/>
      </c>
      <c r="E4415" s="45" t="str">
        <f t="shared" si="24"/>
        <v/>
      </c>
      <c r="F4415" s="59" t="str">
        <f t="shared" si="25"/>
        <v/>
      </c>
      <c r="G4415" s="59" t="str">
        <f t="shared" si="26"/>
        <v/>
      </c>
      <c r="H4415" s="59" t="str">
        <f t="shared" si="27"/>
        <v>29E17410</v>
      </c>
      <c r="I4415" s="59" t="str">
        <f>IF(OR($A4415="",$C4415="",$D4415="",$E4415="",$H4415=""),"",SUMIFS(DATA_GOC!$H:$H,DATA_GOC!$A:$A,"BOM",DATA_GOC!$D:$D,$H4415,DATA_GOC!$E:$E,$C4415,DATA_GOC!$F:$F,"Xuất nội bộ từ téc",DATA_GOC!$B:$B,"&gt;="&amp;$D4415,DATA_GOC!$B:$B,"&lt;="&amp;$E4415))</f>
        <v/>
      </c>
      <c r="J4415" s="59">
        <f t="shared" si="28"/>
        <v>0</v>
      </c>
      <c r="K4415" s="59">
        <f t="shared" si="29"/>
        <v>0</v>
      </c>
      <c r="L4415" s="59">
        <f t="shared" si="30"/>
        <v>0</v>
      </c>
      <c r="M4415" s="59">
        <f t="shared" si="31"/>
        <v>0</v>
      </c>
    </row>
    <row r="4416" ht="15.0" hidden="1" customHeight="1">
      <c r="A4416" s="59">
        <f t="shared" si="20"/>
        <v>70</v>
      </c>
      <c r="B4416" s="59" t="str">
        <f t="shared" si="21"/>
        <v/>
      </c>
      <c r="C4416" s="59" t="str">
        <f t="shared" si="22"/>
        <v/>
      </c>
      <c r="D4416" s="45" t="str">
        <f t="shared" si="23"/>
        <v/>
      </c>
      <c r="E4416" s="45" t="str">
        <f t="shared" si="24"/>
        <v/>
      </c>
      <c r="F4416" s="59" t="str">
        <f t="shared" si="25"/>
        <v/>
      </c>
      <c r="G4416" s="59" t="str">
        <f t="shared" si="26"/>
        <v/>
      </c>
      <c r="H4416" s="59" t="str">
        <f t="shared" si="27"/>
        <v>29E17417</v>
      </c>
      <c r="I4416" s="59" t="str">
        <f>IF(OR($A4416="",$C4416="",$D4416="",$E4416="",$H4416=""),"",SUMIFS(DATA_GOC!$H:$H,DATA_GOC!$A:$A,"BOM",DATA_GOC!$D:$D,$H4416,DATA_GOC!$E:$E,$C4416,DATA_GOC!$F:$F,"Xuất nội bộ từ téc",DATA_GOC!$B:$B,"&gt;="&amp;$D4416,DATA_GOC!$B:$B,"&lt;="&amp;$E4416))</f>
        <v/>
      </c>
      <c r="J4416" s="59">
        <f t="shared" si="28"/>
        <v>0</v>
      </c>
      <c r="K4416" s="59">
        <f t="shared" si="29"/>
        <v>0</v>
      </c>
      <c r="L4416" s="59">
        <f t="shared" si="30"/>
        <v>0</v>
      </c>
      <c r="M4416" s="59">
        <f t="shared" si="31"/>
        <v>0</v>
      </c>
    </row>
    <row r="4417" ht="15.0" hidden="1" customHeight="1">
      <c r="A4417" s="59">
        <f t="shared" si="20"/>
        <v>70</v>
      </c>
      <c r="B4417" s="59" t="str">
        <f t="shared" si="21"/>
        <v/>
      </c>
      <c r="C4417" s="59" t="str">
        <f t="shared" si="22"/>
        <v/>
      </c>
      <c r="D4417" s="45" t="str">
        <f t="shared" si="23"/>
        <v/>
      </c>
      <c r="E4417" s="45" t="str">
        <f t="shared" si="24"/>
        <v/>
      </c>
      <c r="F4417" s="59" t="str">
        <f t="shared" si="25"/>
        <v/>
      </c>
      <c r="G4417" s="59" t="str">
        <f t="shared" si="26"/>
        <v/>
      </c>
      <c r="H4417" s="59" t="str">
        <f t="shared" si="27"/>
        <v>29E17539</v>
      </c>
      <c r="I4417" s="59" t="str">
        <f>IF(OR($A4417="",$C4417="",$D4417="",$E4417="",$H4417=""),"",SUMIFS(DATA_GOC!$H:$H,DATA_GOC!$A:$A,"BOM",DATA_GOC!$D:$D,$H4417,DATA_GOC!$E:$E,$C4417,DATA_GOC!$F:$F,"Xuất nội bộ từ téc",DATA_GOC!$B:$B,"&gt;="&amp;$D4417,DATA_GOC!$B:$B,"&lt;="&amp;$E4417))</f>
        <v/>
      </c>
      <c r="J4417" s="59">
        <f t="shared" si="28"/>
        <v>0</v>
      </c>
      <c r="K4417" s="59">
        <f t="shared" si="29"/>
        <v>0</v>
      </c>
      <c r="L4417" s="59">
        <f t="shared" si="30"/>
        <v>0</v>
      </c>
      <c r="M4417" s="59">
        <f t="shared" si="31"/>
        <v>0</v>
      </c>
    </row>
    <row r="4418" ht="15.0" hidden="1" customHeight="1">
      <c r="A4418" s="59">
        <f t="shared" si="20"/>
        <v>70</v>
      </c>
      <c r="B4418" s="59" t="str">
        <f t="shared" si="21"/>
        <v/>
      </c>
      <c r="C4418" s="59" t="str">
        <f t="shared" si="22"/>
        <v/>
      </c>
      <c r="D4418" s="45" t="str">
        <f t="shared" si="23"/>
        <v/>
      </c>
      <c r="E4418" s="45" t="str">
        <f t="shared" si="24"/>
        <v/>
      </c>
      <c r="F4418" s="59" t="str">
        <f t="shared" si="25"/>
        <v/>
      </c>
      <c r="G4418" s="59" t="str">
        <f t="shared" si="26"/>
        <v/>
      </c>
      <c r="H4418" s="59" t="str">
        <f t="shared" si="27"/>
        <v>29E18160</v>
      </c>
      <c r="I4418" s="59" t="str">
        <f>IF(OR($A4418="",$C4418="",$D4418="",$E4418="",$H4418=""),"",SUMIFS(DATA_GOC!$H:$H,DATA_GOC!$A:$A,"BOM",DATA_GOC!$D:$D,$H4418,DATA_GOC!$E:$E,$C4418,DATA_GOC!$F:$F,"Xuất nội bộ từ téc",DATA_GOC!$B:$B,"&gt;="&amp;$D4418,DATA_GOC!$B:$B,"&lt;="&amp;$E4418))</f>
        <v/>
      </c>
      <c r="J4418" s="59">
        <f t="shared" si="28"/>
        <v>0</v>
      </c>
      <c r="K4418" s="59">
        <f t="shared" si="29"/>
        <v>0</v>
      </c>
      <c r="L4418" s="59">
        <f t="shared" si="30"/>
        <v>0</v>
      </c>
      <c r="M4418" s="59">
        <f t="shared" si="31"/>
        <v>0</v>
      </c>
    </row>
    <row r="4419" ht="15.0" hidden="1" customHeight="1">
      <c r="A4419" s="59">
        <f t="shared" si="20"/>
        <v>70</v>
      </c>
      <c r="B4419" s="59" t="str">
        <f t="shared" si="21"/>
        <v/>
      </c>
      <c r="C4419" s="59" t="str">
        <f t="shared" si="22"/>
        <v/>
      </c>
      <c r="D4419" s="45" t="str">
        <f t="shared" si="23"/>
        <v/>
      </c>
      <c r="E4419" s="45" t="str">
        <f t="shared" si="24"/>
        <v/>
      </c>
      <c r="F4419" s="59" t="str">
        <f t="shared" si="25"/>
        <v/>
      </c>
      <c r="G4419" s="59" t="str">
        <f t="shared" si="26"/>
        <v/>
      </c>
      <c r="H4419" s="59" t="str">
        <f t="shared" si="27"/>
        <v>Công trình Asphalt</v>
      </c>
      <c r="I4419" s="59" t="str">
        <f>IF(OR($A4419="",$C4419="",$D4419="",$E4419="",$H4419=""),"",SUMIFS(DATA_GOC!$H:$H,DATA_GOC!$A:$A,"BOM",DATA_GOC!$D:$D,$H4419,DATA_GOC!$E:$E,$C4419,DATA_GOC!$F:$F,"Xuất nội bộ từ téc",DATA_GOC!$B:$B,"&gt;="&amp;$D4419,DATA_GOC!$B:$B,"&lt;="&amp;$E4419))</f>
        <v/>
      </c>
      <c r="J4419" s="59">
        <f t="shared" si="28"/>
        <v>0</v>
      </c>
      <c r="K4419" s="59">
        <f t="shared" si="29"/>
        <v>0</v>
      </c>
      <c r="L4419" s="59">
        <f t="shared" si="30"/>
        <v>0</v>
      </c>
      <c r="M4419" s="59">
        <f t="shared" si="31"/>
        <v>0</v>
      </c>
    </row>
    <row r="4420" ht="15.0" hidden="1" customHeight="1">
      <c r="A4420" s="59">
        <f t="shared" si="20"/>
        <v>70</v>
      </c>
      <c r="B4420" s="59" t="str">
        <f t="shared" si="21"/>
        <v/>
      </c>
      <c r="C4420" s="59" t="str">
        <f t="shared" si="22"/>
        <v/>
      </c>
      <c r="D4420" s="45" t="str">
        <f t="shared" si="23"/>
        <v/>
      </c>
      <c r="E4420" s="45" t="str">
        <f t="shared" si="24"/>
        <v/>
      </c>
      <c r="F4420" s="59" t="str">
        <f t="shared" si="25"/>
        <v/>
      </c>
      <c r="G4420" s="59" t="str">
        <f t="shared" si="26"/>
        <v/>
      </c>
      <c r="H4420" s="59" t="str">
        <f t="shared" si="27"/>
        <v>LG53F</v>
      </c>
      <c r="I4420" s="59" t="str">
        <f>IF(OR($A4420="",$C4420="",$D4420="",$E4420="",$H4420=""),"",SUMIFS(DATA_GOC!$H:$H,DATA_GOC!$A:$A,"BOM",DATA_GOC!$D:$D,$H4420,DATA_GOC!$E:$E,$C4420,DATA_GOC!$F:$F,"Xuất nội bộ từ téc",DATA_GOC!$B:$B,"&gt;="&amp;$D4420,DATA_GOC!$B:$B,"&lt;="&amp;$E4420))</f>
        <v/>
      </c>
      <c r="J4420" s="59">
        <f t="shared" si="28"/>
        <v>0</v>
      </c>
      <c r="K4420" s="59">
        <f t="shared" si="29"/>
        <v>0</v>
      </c>
      <c r="L4420" s="59">
        <f t="shared" si="30"/>
        <v>0</v>
      </c>
      <c r="M4420" s="59">
        <f t="shared" si="31"/>
        <v>0</v>
      </c>
    </row>
    <row r="4421" ht="15.0" hidden="1" customHeight="1">
      <c r="A4421" s="59">
        <f t="shared" si="20"/>
        <v>70</v>
      </c>
      <c r="B4421" s="59" t="str">
        <f t="shared" si="21"/>
        <v/>
      </c>
      <c r="C4421" s="59" t="str">
        <f t="shared" si="22"/>
        <v/>
      </c>
      <c r="D4421" s="45" t="str">
        <f t="shared" si="23"/>
        <v/>
      </c>
      <c r="E4421" s="45" t="str">
        <f t="shared" si="24"/>
        <v/>
      </c>
      <c r="F4421" s="59" t="str">
        <f t="shared" si="25"/>
        <v/>
      </c>
      <c r="G4421" s="59" t="str">
        <f t="shared" si="26"/>
        <v/>
      </c>
      <c r="H4421" s="59" t="str">
        <f t="shared" si="27"/>
        <v>Máy phát điện</v>
      </c>
      <c r="I4421" s="59" t="str">
        <f>IF(OR($A4421="",$C4421="",$D4421="",$E4421="",$H4421=""),"",SUMIFS(DATA_GOC!$H:$H,DATA_GOC!$A:$A,"BOM",DATA_GOC!$D:$D,$H4421,DATA_GOC!$E:$E,$C4421,DATA_GOC!$F:$F,"Xuất nội bộ từ téc",DATA_GOC!$B:$B,"&gt;="&amp;$D4421,DATA_GOC!$B:$B,"&lt;="&amp;$E4421))</f>
        <v/>
      </c>
      <c r="J4421" s="59">
        <f t="shared" si="28"/>
        <v>0</v>
      </c>
      <c r="K4421" s="59">
        <f t="shared" si="29"/>
        <v>0</v>
      </c>
      <c r="L4421" s="59">
        <f t="shared" si="30"/>
        <v>0</v>
      </c>
      <c r="M4421" s="59">
        <f t="shared" si="31"/>
        <v>0</v>
      </c>
    </row>
    <row r="4422" ht="15.0" hidden="1" customHeight="1">
      <c r="A4422" s="59">
        <f t="shared" si="20"/>
        <v>70</v>
      </c>
      <c r="B4422" s="59" t="str">
        <f t="shared" si="21"/>
        <v/>
      </c>
      <c r="C4422" s="59" t="str">
        <f t="shared" si="22"/>
        <v/>
      </c>
      <c r="D4422" s="45" t="str">
        <f t="shared" si="23"/>
        <v/>
      </c>
      <c r="E4422" s="45" t="str">
        <f t="shared" si="24"/>
        <v/>
      </c>
      <c r="F4422" s="59" t="str">
        <f t="shared" si="25"/>
        <v/>
      </c>
      <c r="G4422" s="59" t="str">
        <f t="shared" si="26"/>
        <v/>
      </c>
      <c r="H4422" s="59" t="str">
        <f t="shared" si="27"/>
        <v>Máy rải thảm</v>
      </c>
      <c r="I4422" s="59" t="str">
        <f>IF(OR($A4422="",$C4422="",$D4422="",$E4422="",$H4422=""),"",SUMIFS(DATA_GOC!$H:$H,DATA_GOC!$A:$A,"BOM",DATA_GOC!$D:$D,$H4422,DATA_GOC!$E:$E,$C4422,DATA_GOC!$F:$F,"Xuất nội bộ từ téc",DATA_GOC!$B:$B,"&gt;="&amp;$D4422,DATA_GOC!$B:$B,"&lt;="&amp;$E4422))</f>
        <v/>
      </c>
      <c r="J4422" s="59">
        <f t="shared" si="28"/>
        <v>0</v>
      </c>
      <c r="K4422" s="59">
        <f t="shared" si="29"/>
        <v>0</v>
      </c>
      <c r="L4422" s="59">
        <f t="shared" si="30"/>
        <v>0</v>
      </c>
      <c r="M4422" s="59">
        <f t="shared" si="31"/>
        <v>0</v>
      </c>
    </row>
    <row r="4423" ht="15.0" hidden="1" customHeight="1">
      <c r="A4423" s="59">
        <f t="shared" si="20"/>
        <v>70</v>
      </c>
      <c r="B4423" s="59" t="str">
        <f t="shared" si="21"/>
        <v/>
      </c>
      <c r="C4423" s="59" t="str">
        <f t="shared" si="22"/>
        <v/>
      </c>
      <c r="D4423" s="45" t="str">
        <f t="shared" si="23"/>
        <v/>
      </c>
      <c r="E4423" s="45" t="str">
        <f t="shared" si="24"/>
        <v/>
      </c>
      <c r="F4423" s="59" t="str">
        <f t="shared" si="25"/>
        <v/>
      </c>
      <c r="G4423" s="59" t="str">
        <f t="shared" si="26"/>
        <v/>
      </c>
      <c r="H4423" s="59" t="str">
        <f t="shared" si="27"/>
        <v>Xúc Đào</v>
      </c>
      <c r="I4423" s="59" t="str">
        <f>IF(OR($A4423="",$C4423="",$D4423="",$E4423="",$H4423=""),"",SUMIFS(DATA_GOC!$H:$H,DATA_GOC!$A:$A,"BOM",DATA_GOC!$D:$D,$H4423,DATA_GOC!$E:$E,$C4423,DATA_GOC!$F:$F,"Xuất nội bộ từ téc",DATA_GOC!$B:$B,"&gt;="&amp;$D4423,DATA_GOC!$B:$B,"&lt;="&amp;$E4423))</f>
        <v/>
      </c>
      <c r="J4423" s="59">
        <f t="shared" si="28"/>
        <v>0</v>
      </c>
      <c r="K4423" s="59">
        <f t="shared" si="29"/>
        <v>0</v>
      </c>
      <c r="L4423" s="59">
        <f t="shared" si="30"/>
        <v>0</v>
      </c>
      <c r="M4423" s="59">
        <f t="shared" si="31"/>
        <v>0</v>
      </c>
    </row>
    <row r="4424" ht="15.0" hidden="1" customHeight="1">
      <c r="A4424" s="59">
        <f t="shared" si="20"/>
        <v>70</v>
      </c>
      <c r="B4424" s="59" t="str">
        <f t="shared" si="21"/>
        <v/>
      </c>
      <c r="C4424" s="59" t="str">
        <f t="shared" si="22"/>
        <v/>
      </c>
      <c r="D4424" s="45" t="str">
        <f t="shared" si="23"/>
        <v/>
      </c>
      <c r="E4424" s="45" t="str">
        <f t="shared" si="24"/>
        <v/>
      </c>
      <c r="F4424" s="59" t="str">
        <f t="shared" si="25"/>
        <v/>
      </c>
      <c r="G4424" s="59" t="str">
        <f t="shared" si="26"/>
        <v/>
      </c>
      <c r="H4424" s="59" t="str">
        <f t="shared" si="27"/>
        <v>Xúclật asphalt</v>
      </c>
      <c r="I4424" s="59" t="str">
        <f>IF(OR($A4424="",$C4424="",$D4424="",$E4424="",$H4424=""),"",SUMIFS(DATA_GOC!$H:$H,DATA_GOC!$A:$A,"BOM",DATA_GOC!$D:$D,$H4424,DATA_GOC!$E:$E,$C4424,DATA_GOC!$F:$F,"Xuất nội bộ từ téc",DATA_GOC!$B:$B,"&gt;="&amp;$D4424,DATA_GOC!$B:$B,"&lt;="&amp;$E4424))</f>
        <v/>
      </c>
      <c r="J4424" s="59">
        <f t="shared" si="28"/>
        <v>0</v>
      </c>
      <c r="K4424" s="59">
        <f t="shared" si="29"/>
        <v>0</v>
      </c>
      <c r="L4424" s="59">
        <f t="shared" si="30"/>
        <v>0</v>
      </c>
      <c r="M4424" s="59">
        <f t="shared" si="31"/>
        <v>0</v>
      </c>
    </row>
    <row r="4425" ht="15.0" hidden="1" customHeight="1">
      <c r="A4425" s="59">
        <f t="shared" si="20"/>
        <v>70</v>
      </c>
      <c r="B4425" s="59" t="str">
        <f t="shared" si="21"/>
        <v/>
      </c>
      <c r="C4425" s="59" t="str">
        <f t="shared" si="22"/>
        <v/>
      </c>
      <c r="D4425" s="45" t="str">
        <f t="shared" si="23"/>
        <v/>
      </c>
      <c r="E4425" s="45" t="str">
        <f t="shared" si="24"/>
        <v/>
      </c>
      <c r="F4425" s="59" t="str">
        <f t="shared" si="25"/>
        <v/>
      </c>
      <c r="G4425" s="59" t="str">
        <f t="shared" si="26"/>
        <v/>
      </c>
      <c r="H4425" s="59" t="str">
        <f t="shared" si="27"/>
        <v>Xúclật855H</v>
      </c>
      <c r="I4425" s="59" t="str">
        <f>IF(OR($A4425="",$C4425="",$D4425="",$E4425="",$H4425=""),"",SUMIFS(DATA_GOC!$H:$H,DATA_GOC!$A:$A,"BOM",DATA_GOC!$D:$D,$H4425,DATA_GOC!$E:$E,$C4425,DATA_GOC!$F:$F,"Xuất nội bộ từ téc",DATA_GOC!$B:$B,"&gt;="&amp;$D4425,DATA_GOC!$B:$B,"&lt;="&amp;$E4425))</f>
        <v/>
      </c>
      <c r="J4425" s="59">
        <f t="shared" si="28"/>
        <v>0</v>
      </c>
      <c r="K4425" s="59">
        <f t="shared" si="29"/>
        <v>0</v>
      </c>
      <c r="L4425" s="59">
        <f t="shared" si="30"/>
        <v>0</v>
      </c>
      <c r="M4425" s="59">
        <f t="shared" si="31"/>
        <v>0</v>
      </c>
    </row>
    <row r="4426" ht="15.0" hidden="1" customHeight="1">
      <c r="A4426" s="59">
        <f t="shared" si="20"/>
        <v>70</v>
      </c>
      <c r="B4426" s="59" t="str">
        <f t="shared" si="21"/>
        <v/>
      </c>
      <c r="C4426" s="59" t="str">
        <f t="shared" si="22"/>
        <v/>
      </c>
      <c r="D4426" s="45" t="str">
        <f t="shared" si="23"/>
        <v/>
      </c>
      <c r="E4426" s="45" t="str">
        <f t="shared" si="24"/>
        <v/>
      </c>
      <c r="F4426" s="59" t="str">
        <f t="shared" si="25"/>
        <v/>
      </c>
      <c r="G4426" s="59" t="str">
        <f t="shared" si="26"/>
        <v/>
      </c>
      <c r="H4426" s="59" t="str">
        <f t="shared" si="27"/>
        <v>Xúclật855N</v>
      </c>
      <c r="I4426" s="59" t="str">
        <f>IF(OR($A4426="",$C4426="",$D4426="",$E4426="",$H4426=""),"",SUMIFS(DATA_GOC!$H:$H,DATA_GOC!$A:$A,"BOM",DATA_GOC!$D:$D,$H4426,DATA_GOC!$E:$E,$C4426,DATA_GOC!$F:$F,"Xuất nội bộ từ téc",DATA_GOC!$B:$B,"&gt;="&amp;$D4426,DATA_GOC!$B:$B,"&lt;="&amp;$E4426))</f>
        <v/>
      </c>
      <c r="J4426" s="59">
        <f t="shared" si="28"/>
        <v>0</v>
      </c>
      <c r="K4426" s="59">
        <f t="shared" si="29"/>
        <v>0</v>
      </c>
      <c r="L4426" s="59">
        <f t="shared" si="30"/>
        <v>0</v>
      </c>
      <c r="M4426" s="59">
        <f t="shared" si="31"/>
        <v>0</v>
      </c>
    </row>
    <row r="4427" ht="15.0" hidden="1" customHeight="1">
      <c r="A4427" s="59">
        <f t="shared" si="20"/>
        <v>70</v>
      </c>
      <c r="B4427" s="59" t="str">
        <f t="shared" si="21"/>
        <v/>
      </c>
      <c r="C4427" s="59" t="str">
        <f t="shared" si="22"/>
        <v/>
      </c>
      <c r="D4427" s="45" t="str">
        <f t="shared" si="23"/>
        <v/>
      </c>
      <c r="E4427" s="45" t="str">
        <f t="shared" si="24"/>
        <v/>
      </c>
      <c r="F4427" s="59" t="str">
        <f t="shared" si="25"/>
        <v/>
      </c>
      <c r="G4427" s="59" t="str">
        <f t="shared" si="26"/>
        <v/>
      </c>
      <c r="H4427" s="59" t="str">
        <f t="shared" si="27"/>
        <v>Cát nghiền</v>
      </c>
      <c r="I4427" s="59" t="str">
        <f>IF(OR($A4427="",$C4427="",$D4427="",$E4427="",$H4427=""),"",SUMIFS(DATA_GOC!$H:$H,DATA_GOC!$A:$A,"BOM",DATA_GOC!$D:$D,$H4427,DATA_GOC!$E:$E,$C4427,DATA_GOC!$F:$F,"Xuất nội bộ từ téc",DATA_GOC!$B:$B,"&gt;="&amp;$D4427,DATA_GOC!$B:$B,"&lt;="&amp;$E4427))</f>
        <v/>
      </c>
      <c r="J4427" s="59">
        <f t="shared" si="28"/>
        <v>0</v>
      </c>
      <c r="K4427" s="59">
        <f t="shared" si="29"/>
        <v>0</v>
      </c>
      <c r="L4427" s="59">
        <f t="shared" si="30"/>
        <v>0</v>
      </c>
      <c r="M4427" s="59">
        <f t="shared" si="31"/>
        <v>0</v>
      </c>
    </row>
    <row r="4428" ht="15.0" hidden="1" customHeight="1">
      <c r="A4428" s="59">
        <f t="shared" si="20"/>
        <v>70</v>
      </c>
      <c r="B4428" s="59" t="str">
        <f t="shared" si="21"/>
        <v/>
      </c>
      <c r="C4428" s="59" t="str">
        <f t="shared" si="22"/>
        <v/>
      </c>
      <c r="D4428" s="45" t="str">
        <f t="shared" si="23"/>
        <v/>
      </c>
      <c r="E4428" s="45" t="str">
        <f t="shared" si="24"/>
        <v/>
      </c>
      <c r="F4428" s="59" t="str">
        <f t="shared" si="25"/>
        <v/>
      </c>
      <c r="G4428" s="59" t="str">
        <f t="shared" si="26"/>
        <v/>
      </c>
      <c r="H4428" s="59" t="str">
        <f t="shared" si="27"/>
        <v>28C02973</v>
      </c>
      <c r="I4428" s="59" t="str">
        <f>IF(OR($A4428="",$C4428="",$D4428="",$E4428="",$H4428=""),"",SUMIFS(DATA_GOC!$H:$H,DATA_GOC!$A:$A,"BOM",DATA_GOC!$D:$D,$H4428,DATA_GOC!$E:$E,$C4428,DATA_GOC!$F:$F,"Xuất nội bộ từ téc",DATA_GOC!$B:$B,"&gt;="&amp;$D4428,DATA_GOC!$B:$B,"&lt;="&amp;$E4428))</f>
        <v/>
      </c>
      <c r="J4428" s="59">
        <f t="shared" si="28"/>
        <v>0</v>
      </c>
      <c r="K4428" s="59">
        <f t="shared" si="29"/>
        <v>0</v>
      </c>
      <c r="L4428" s="59">
        <f t="shared" si="30"/>
        <v>0</v>
      </c>
      <c r="M4428" s="59">
        <f t="shared" si="31"/>
        <v>0</v>
      </c>
    </row>
    <row r="4429" ht="15.0" hidden="1" customHeight="1">
      <c r="A4429" s="59">
        <f t="shared" si="20"/>
        <v>70</v>
      </c>
      <c r="B4429" s="59" t="str">
        <f t="shared" si="21"/>
        <v/>
      </c>
      <c r="C4429" s="59" t="str">
        <f t="shared" si="22"/>
        <v/>
      </c>
      <c r="D4429" s="45" t="str">
        <f t="shared" si="23"/>
        <v/>
      </c>
      <c r="E4429" s="45" t="str">
        <f t="shared" si="24"/>
        <v/>
      </c>
      <c r="F4429" s="59" t="str">
        <f t="shared" si="25"/>
        <v/>
      </c>
      <c r="G4429" s="59" t="str">
        <f t="shared" si="26"/>
        <v/>
      </c>
      <c r="H4429" s="59" t="str">
        <f t="shared" si="27"/>
        <v>28C03044</v>
      </c>
      <c r="I4429" s="59" t="str">
        <f>IF(OR($A4429="",$C4429="",$D4429="",$E4429="",$H4429=""),"",SUMIFS(DATA_GOC!$H:$H,DATA_GOC!$A:$A,"BOM",DATA_GOC!$D:$D,$H4429,DATA_GOC!$E:$E,$C4429,DATA_GOC!$F:$F,"Xuất nội bộ từ téc",DATA_GOC!$B:$B,"&gt;="&amp;$D4429,DATA_GOC!$B:$B,"&lt;="&amp;$E4429))</f>
        <v/>
      </c>
      <c r="J4429" s="59">
        <f t="shared" si="28"/>
        <v>0</v>
      </c>
      <c r="K4429" s="59">
        <f t="shared" si="29"/>
        <v>0</v>
      </c>
      <c r="L4429" s="59">
        <f t="shared" si="30"/>
        <v>0</v>
      </c>
      <c r="M4429" s="59">
        <f t="shared" si="31"/>
        <v>0</v>
      </c>
    </row>
    <row r="4430" ht="15.0" hidden="1" customHeight="1">
      <c r="A4430" s="59">
        <f t="shared" si="20"/>
        <v>70</v>
      </c>
      <c r="B4430" s="59" t="str">
        <f t="shared" si="21"/>
        <v/>
      </c>
      <c r="C4430" s="59" t="str">
        <f t="shared" si="22"/>
        <v/>
      </c>
      <c r="D4430" s="45" t="str">
        <f t="shared" si="23"/>
        <v/>
      </c>
      <c r="E4430" s="45" t="str">
        <f t="shared" si="24"/>
        <v/>
      </c>
      <c r="F4430" s="59" t="str">
        <f t="shared" si="25"/>
        <v/>
      </c>
      <c r="G4430" s="59" t="str">
        <f t="shared" si="26"/>
        <v/>
      </c>
      <c r="H4430" s="59" t="str">
        <f t="shared" si="27"/>
        <v>Máy lu lốp</v>
      </c>
      <c r="I4430" s="59" t="str">
        <f>IF(OR($A4430="",$C4430="",$D4430="",$E4430="",$H4430=""),"",SUMIFS(DATA_GOC!$H:$H,DATA_GOC!$A:$A,"BOM",DATA_GOC!$D:$D,$H4430,DATA_GOC!$E:$E,$C4430,DATA_GOC!$F:$F,"Xuất nội bộ từ téc",DATA_GOC!$B:$B,"&gt;="&amp;$D4430,DATA_GOC!$B:$B,"&lt;="&amp;$E4430))</f>
        <v/>
      </c>
      <c r="J4430" s="59">
        <f t="shared" si="28"/>
        <v>0</v>
      </c>
      <c r="K4430" s="59">
        <f t="shared" si="29"/>
        <v>0</v>
      </c>
      <c r="L4430" s="59">
        <f t="shared" si="30"/>
        <v>0</v>
      </c>
      <c r="M4430" s="59">
        <f t="shared" si="31"/>
        <v>0</v>
      </c>
    </row>
    <row r="4431" ht="15.0" hidden="1" customHeight="1">
      <c r="A4431" s="59">
        <f t="shared" si="20"/>
        <v>70</v>
      </c>
      <c r="B4431" s="59" t="str">
        <f t="shared" si="21"/>
        <v/>
      </c>
      <c r="C4431" s="59" t="str">
        <f t="shared" si="22"/>
        <v/>
      </c>
      <c r="D4431" s="45" t="str">
        <f t="shared" si="23"/>
        <v/>
      </c>
      <c r="E4431" s="45" t="str">
        <f t="shared" si="24"/>
        <v/>
      </c>
      <c r="F4431" s="59" t="str">
        <f t="shared" si="25"/>
        <v/>
      </c>
      <c r="G4431" s="59" t="str">
        <f t="shared" si="26"/>
        <v/>
      </c>
      <c r="H4431" s="59" t="str">
        <f t="shared" si="27"/>
        <v>Xe 600148</v>
      </c>
      <c r="I4431" s="59" t="str">
        <f>IF(OR($A4431="",$C4431="",$D4431="",$E4431="",$H4431=""),"",SUMIFS(DATA_GOC!$H:$H,DATA_GOC!$A:$A,"BOM",DATA_GOC!$D:$D,$H4431,DATA_GOC!$E:$E,$C4431,DATA_GOC!$F:$F,"Xuất nội bộ từ téc",DATA_GOC!$B:$B,"&gt;="&amp;$D4431,DATA_GOC!$B:$B,"&lt;="&amp;$E4431))</f>
        <v/>
      </c>
      <c r="J4431" s="59">
        <f t="shared" si="28"/>
        <v>0</v>
      </c>
      <c r="K4431" s="59">
        <f t="shared" si="29"/>
        <v>0</v>
      </c>
      <c r="L4431" s="59">
        <f t="shared" si="30"/>
        <v>0</v>
      </c>
      <c r="M4431" s="59">
        <f t="shared" si="31"/>
        <v>0</v>
      </c>
    </row>
    <row r="4432" ht="15.0" hidden="1" customHeight="1">
      <c r="A4432" s="59">
        <f t="shared" si="20"/>
        <v>70</v>
      </c>
      <c r="B4432" s="59" t="str">
        <f t="shared" si="21"/>
        <v/>
      </c>
      <c r="C4432" s="59" t="str">
        <f t="shared" si="22"/>
        <v/>
      </c>
      <c r="D4432" s="45" t="str">
        <f t="shared" si="23"/>
        <v/>
      </c>
      <c r="E4432" s="45" t="str">
        <f t="shared" si="24"/>
        <v/>
      </c>
      <c r="F4432" s="59" t="str">
        <f t="shared" si="25"/>
        <v/>
      </c>
      <c r="G4432" s="59" t="str">
        <f t="shared" si="26"/>
        <v/>
      </c>
      <c r="H4432" s="59" t="str">
        <f t="shared" si="27"/>
        <v>Xe ben mới</v>
      </c>
      <c r="I4432" s="59" t="str">
        <f>IF(OR($A4432="",$C4432="",$D4432="",$E4432="",$H4432=""),"",SUMIFS(DATA_GOC!$H:$H,DATA_GOC!$A:$A,"BOM",DATA_GOC!$D:$D,$H4432,DATA_GOC!$E:$E,$C4432,DATA_GOC!$F:$F,"Xuất nội bộ từ téc",DATA_GOC!$B:$B,"&gt;="&amp;$D4432,DATA_GOC!$B:$B,"&lt;="&amp;$E4432))</f>
        <v/>
      </c>
      <c r="J4432" s="59">
        <f t="shared" si="28"/>
        <v>0</v>
      </c>
      <c r="K4432" s="59">
        <f t="shared" si="29"/>
        <v>0</v>
      </c>
      <c r="L4432" s="59">
        <f t="shared" si="30"/>
        <v>0</v>
      </c>
      <c r="M4432" s="59">
        <f t="shared" si="31"/>
        <v>0</v>
      </c>
    </row>
    <row r="4433" ht="15.0" hidden="1" customHeight="1">
      <c r="A4433" s="59">
        <f t="shared" si="20"/>
        <v>71</v>
      </c>
      <c r="B4433" s="59" t="str">
        <f t="shared" si="21"/>
        <v/>
      </c>
      <c r="C4433" s="59" t="str">
        <f t="shared" si="22"/>
        <v/>
      </c>
      <c r="D4433" s="45" t="str">
        <f t="shared" si="23"/>
        <v/>
      </c>
      <c r="E4433" s="45" t="str">
        <f t="shared" si="24"/>
        <v/>
      </c>
      <c r="F4433" s="59" t="str">
        <f t="shared" si="25"/>
        <v/>
      </c>
      <c r="G4433" s="59" t="str">
        <f t="shared" si="26"/>
        <v/>
      </c>
      <c r="H4433" s="59" t="str">
        <f t="shared" si="27"/>
        <v>19H09482</v>
      </c>
      <c r="I4433" s="59" t="str">
        <f>IF(OR($A4433="",$C4433="",$D4433="",$E4433="",$H4433=""),"",SUMIFS(DATA_GOC!$H:$H,DATA_GOC!$A:$A,"BOM",DATA_GOC!$D:$D,$H4433,DATA_GOC!$E:$E,$C4433,DATA_GOC!$F:$F,"Xuất nội bộ từ téc",DATA_GOC!$B:$B,"&gt;="&amp;$D4433,DATA_GOC!$B:$B,"&lt;="&amp;$E4433))</f>
        <v/>
      </c>
      <c r="J4433" s="59">
        <f t="shared" si="28"/>
        <v>0</v>
      </c>
      <c r="K4433" s="59">
        <f t="shared" si="29"/>
        <v>0</v>
      </c>
      <c r="L4433" s="59">
        <f t="shared" si="30"/>
        <v>0</v>
      </c>
      <c r="M4433" s="59">
        <f t="shared" si="31"/>
        <v>0</v>
      </c>
    </row>
    <row r="4434" ht="15.0" hidden="1" customHeight="1">
      <c r="A4434" s="59">
        <f t="shared" si="20"/>
        <v>71</v>
      </c>
      <c r="B4434" s="59" t="str">
        <f t="shared" si="21"/>
        <v/>
      </c>
      <c r="C4434" s="59" t="str">
        <f t="shared" si="22"/>
        <v/>
      </c>
      <c r="D4434" s="45" t="str">
        <f t="shared" si="23"/>
        <v/>
      </c>
      <c r="E4434" s="45" t="str">
        <f t="shared" si="24"/>
        <v/>
      </c>
      <c r="F4434" s="59" t="str">
        <f t="shared" si="25"/>
        <v/>
      </c>
      <c r="G4434" s="59" t="str">
        <f t="shared" si="26"/>
        <v/>
      </c>
      <c r="H4434" s="59" t="str">
        <f t="shared" si="27"/>
        <v>28A30696</v>
      </c>
      <c r="I4434" s="59" t="str">
        <f>IF(OR($A4434="",$C4434="",$D4434="",$E4434="",$H4434=""),"",SUMIFS(DATA_GOC!$H:$H,DATA_GOC!$A:$A,"BOM",DATA_GOC!$D:$D,$H4434,DATA_GOC!$E:$E,$C4434,DATA_GOC!$F:$F,"Xuất nội bộ từ téc",DATA_GOC!$B:$B,"&gt;="&amp;$D4434,DATA_GOC!$B:$B,"&lt;="&amp;$E4434))</f>
        <v/>
      </c>
      <c r="J4434" s="59">
        <f t="shared" si="28"/>
        <v>0</v>
      </c>
      <c r="K4434" s="59">
        <f t="shared" si="29"/>
        <v>0</v>
      </c>
      <c r="L4434" s="59">
        <f t="shared" si="30"/>
        <v>0</v>
      </c>
      <c r="M4434" s="59">
        <f t="shared" si="31"/>
        <v>0</v>
      </c>
    </row>
    <row r="4435" ht="15.0" hidden="1" customHeight="1">
      <c r="A4435" s="59">
        <f t="shared" si="20"/>
        <v>71</v>
      </c>
      <c r="B4435" s="59" t="str">
        <f t="shared" si="21"/>
        <v/>
      </c>
      <c r="C4435" s="59" t="str">
        <f t="shared" si="22"/>
        <v/>
      </c>
      <c r="D4435" s="45" t="str">
        <f t="shared" si="23"/>
        <v/>
      </c>
      <c r="E4435" s="45" t="str">
        <f t="shared" si="24"/>
        <v/>
      </c>
      <c r="F4435" s="59" t="str">
        <f t="shared" si="25"/>
        <v/>
      </c>
      <c r="G4435" s="59" t="str">
        <f t="shared" si="26"/>
        <v/>
      </c>
      <c r="H4435" s="59" t="str">
        <f t="shared" si="27"/>
        <v>28C00462</v>
      </c>
      <c r="I4435" s="59" t="str">
        <f>IF(OR($A4435="",$C4435="",$D4435="",$E4435="",$H4435=""),"",SUMIFS(DATA_GOC!$H:$H,DATA_GOC!$A:$A,"BOM",DATA_GOC!$D:$D,$H4435,DATA_GOC!$E:$E,$C4435,DATA_GOC!$F:$F,"Xuất nội bộ từ téc",DATA_GOC!$B:$B,"&gt;="&amp;$D4435,DATA_GOC!$B:$B,"&lt;="&amp;$E4435))</f>
        <v/>
      </c>
      <c r="J4435" s="59">
        <f t="shared" si="28"/>
        <v>0</v>
      </c>
      <c r="K4435" s="59">
        <f t="shared" si="29"/>
        <v>0</v>
      </c>
      <c r="L4435" s="59">
        <f t="shared" si="30"/>
        <v>0</v>
      </c>
      <c r="M4435" s="59">
        <f t="shared" si="31"/>
        <v>0</v>
      </c>
    </row>
    <row r="4436" ht="15.0" hidden="1" customHeight="1">
      <c r="A4436" s="59">
        <f t="shared" si="20"/>
        <v>71</v>
      </c>
      <c r="B4436" s="59" t="str">
        <f t="shared" si="21"/>
        <v/>
      </c>
      <c r="C4436" s="59" t="str">
        <f t="shared" si="22"/>
        <v/>
      </c>
      <c r="D4436" s="45" t="str">
        <f t="shared" si="23"/>
        <v/>
      </c>
      <c r="E4436" s="45" t="str">
        <f t="shared" si="24"/>
        <v/>
      </c>
      <c r="F4436" s="59" t="str">
        <f t="shared" si="25"/>
        <v/>
      </c>
      <c r="G4436" s="59" t="str">
        <f t="shared" si="26"/>
        <v/>
      </c>
      <c r="H4436" s="59" t="str">
        <f t="shared" si="27"/>
        <v>28C01165</v>
      </c>
      <c r="I4436" s="59" t="str">
        <f>IF(OR($A4436="",$C4436="",$D4436="",$E4436="",$H4436=""),"",SUMIFS(DATA_GOC!$H:$H,DATA_GOC!$A:$A,"BOM",DATA_GOC!$D:$D,$H4436,DATA_GOC!$E:$E,$C4436,DATA_GOC!$F:$F,"Xuất nội bộ từ téc",DATA_GOC!$B:$B,"&gt;="&amp;$D4436,DATA_GOC!$B:$B,"&lt;="&amp;$E4436))</f>
        <v/>
      </c>
      <c r="J4436" s="59">
        <f t="shared" si="28"/>
        <v>0</v>
      </c>
      <c r="K4436" s="59">
        <f t="shared" si="29"/>
        <v>0</v>
      </c>
      <c r="L4436" s="59">
        <f t="shared" si="30"/>
        <v>0</v>
      </c>
      <c r="M4436" s="59">
        <f t="shared" si="31"/>
        <v>0</v>
      </c>
    </row>
    <row r="4437" ht="15.0" hidden="1" customHeight="1">
      <c r="A4437" s="59">
        <f t="shared" si="20"/>
        <v>71</v>
      </c>
      <c r="B4437" s="59" t="str">
        <f t="shared" si="21"/>
        <v/>
      </c>
      <c r="C4437" s="59" t="str">
        <f t="shared" si="22"/>
        <v/>
      </c>
      <c r="D4437" s="45" t="str">
        <f t="shared" si="23"/>
        <v/>
      </c>
      <c r="E4437" s="45" t="str">
        <f t="shared" si="24"/>
        <v/>
      </c>
      <c r="F4437" s="59" t="str">
        <f t="shared" si="25"/>
        <v/>
      </c>
      <c r="G4437" s="59" t="str">
        <f t="shared" si="26"/>
        <v/>
      </c>
      <c r="H4437" s="59" t="str">
        <f t="shared" si="27"/>
        <v>28C01406</v>
      </c>
      <c r="I4437" s="59" t="str">
        <f>IF(OR($A4437="",$C4437="",$D4437="",$E4437="",$H4437=""),"",SUMIFS(DATA_GOC!$H:$H,DATA_GOC!$A:$A,"BOM",DATA_GOC!$D:$D,$H4437,DATA_GOC!$E:$E,$C4437,DATA_GOC!$F:$F,"Xuất nội bộ từ téc",DATA_GOC!$B:$B,"&gt;="&amp;$D4437,DATA_GOC!$B:$B,"&lt;="&amp;$E4437))</f>
        <v/>
      </c>
      <c r="J4437" s="59">
        <f t="shared" si="28"/>
        <v>0</v>
      </c>
      <c r="K4437" s="59">
        <f t="shared" si="29"/>
        <v>0</v>
      </c>
      <c r="L4437" s="59">
        <f t="shared" si="30"/>
        <v>0</v>
      </c>
      <c r="M4437" s="59">
        <f t="shared" si="31"/>
        <v>0</v>
      </c>
    </row>
    <row r="4438" ht="15.0" hidden="1" customHeight="1">
      <c r="A4438" s="59">
        <f t="shared" si="20"/>
        <v>71</v>
      </c>
      <c r="B4438" s="59" t="str">
        <f t="shared" si="21"/>
        <v/>
      </c>
      <c r="C4438" s="59" t="str">
        <f t="shared" si="22"/>
        <v/>
      </c>
      <c r="D4438" s="45" t="str">
        <f t="shared" si="23"/>
        <v/>
      </c>
      <c r="E4438" s="45" t="str">
        <f t="shared" si="24"/>
        <v/>
      </c>
      <c r="F4438" s="59" t="str">
        <f t="shared" si="25"/>
        <v/>
      </c>
      <c r="G4438" s="59" t="str">
        <f t="shared" si="26"/>
        <v/>
      </c>
      <c r="H4438" s="59" t="str">
        <f t="shared" si="27"/>
        <v>28C01544</v>
      </c>
      <c r="I4438" s="59" t="str">
        <f>IF(OR($A4438="",$C4438="",$D4438="",$E4438="",$H4438=""),"",SUMIFS(DATA_GOC!$H:$H,DATA_GOC!$A:$A,"BOM",DATA_GOC!$D:$D,$H4438,DATA_GOC!$E:$E,$C4438,DATA_GOC!$F:$F,"Xuất nội bộ từ téc",DATA_GOC!$B:$B,"&gt;="&amp;$D4438,DATA_GOC!$B:$B,"&lt;="&amp;$E4438))</f>
        <v/>
      </c>
      <c r="J4438" s="59">
        <f t="shared" si="28"/>
        <v>0</v>
      </c>
      <c r="K4438" s="59">
        <f t="shared" si="29"/>
        <v>0</v>
      </c>
      <c r="L4438" s="59">
        <f t="shared" si="30"/>
        <v>0</v>
      </c>
      <c r="M4438" s="59">
        <f t="shared" si="31"/>
        <v>0</v>
      </c>
    </row>
    <row r="4439" ht="15.0" hidden="1" customHeight="1">
      <c r="A4439" s="59">
        <f t="shared" si="20"/>
        <v>71</v>
      </c>
      <c r="B4439" s="59" t="str">
        <f t="shared" si="21"/>
        <v/>
      </c>
      <c r="C4439" s="59" t="str">
        <f t="shared" si="22"/>
        <v/>
      </c>
      <c r="D4439" s="45" t="str">
        <f t="shared" si="23"/>
        <v/>
      </c>
      <c r="E4439" s="45" t="str">
        <f t="shared" si="24"/>
        <v/>
      </c>
      <c r="F4439" s="59" t="str">
        <f t="shared" si="25"/>
        <v/>
      </c>
      <c r="G4439" s="59" t="str">
        <f t="shared" si="26"/>
        <v/>
      </c>
      <c r="H4439" s="59" t="str">
        <f t="shared" si="27"/>
        <v>28C01622</v>
      </c>
      <c r="I4439" s="59" t="str">
        <f>IF(OR($A4439="",$C4439="",$D4439="",$E4439="",$H4439=""),"",SUMIFS(DATA_GOC!$H:$H,DATA_GOC!$A:$A,"BOM",DATA_GOC!$D:$D,$H4439,DATA_GOC!$E:$E,$C4439,DATA_GOC!$F:$F,"Xuất nội bộ từ téc",DATA_GOC!$B:$B,"&gt;="&amp;$D4439,DATA_GOC!$B:$B,"&lt;="&amp;$E4439))</f>
        <v/>
      </c>
      <c r="J4439" s="59">
        <f t="shared" si="28"/>
        <v>0</v>
      </c>
      <c r="K4439" s="59">
        <f t="shared" si="29"/>
        <v>0</v>
      </c>
      <c r="L4439" s="59">
        <f t="shared" si="30"/>
        <v>0</v>
      </c>
      <c r="M4439" s="59">
        <f t="shared" si="31"/>
        <v>0</v>
      </c>
    </row>
    <row r="4440" ht="15.0" hidden="1" customHeight="1">
      <c r="A4440" s="59">
        <f t="shared" si="20"/>
        <v>71</v>
      </c>
      <c r="B4440" s="59" t="str">
        <f t="shared" si="21"/>
        <v/>
      </c>
      <c r="C4440" s="59" t="str">
        <f t="shared" si="22"/>
        <v/>
      </c>
      <c r="D4440" s="45" t="str">
        <f t="shared" si="23"/>
        <v/>
      </c>
      <c r="E4440" s="45" t="str">
        <f t="shared" si="24"/>
        <v/>
      </c>
      <c r="F4440" s="59" t="str">
        <f t="shared" si="25"/>
        <v/>
      </c>
      <c r="G4440" s="59" t="str">
        <f t="shared" si="26"/>
        <v/>
      </c>
      <c r="H4440" s="59" t="str">
        <f t="shared" si="27"/>
        <v>28C01647</v>
      </c>
      <c r="I4440" s="59" t="str">
        <f>IF(OR($A4440="",$C4440="",$D4440="",$E4440="",$H4440=""),"",SUMIFS(DATA_GOC!$H:$H,DATA_GOC!$A:$A,"BOM",DATA_GOC!$D:$D,$H4440,DATA_GOC!$E:$E,$C4440,DATA_GOC!$F:$F,"Xuất nội bộ từ téc",DATA_GOC!$B:$B,"&gt;="&amp;$D4440,DATA_GOC!$B:$B,"&lt;="&amp;$E4440))</f>
        <v/>
      </c>
      <c r="J4440" s="59">
        <f t="shared" si="28"/>
        <v>0</v>
      </c>
      <c r="K4440" s="59">
        <f t="shared" si="29"/>
        <v>0</v>
      </c>
      <c r="L4440" s="59">
        <f t="shared" si="30"/>
        <v>0</v>
      </c>
      <c r="M4440" s="59">
        <f t="shared" si="31"/>
        <v>0</v>
      </c>
    </row>
    <row r="4441" ht="15.0" hidden="1" customHeight="1">
      <c r="A4441" s="59">
        <f t="shared" si="20"/>
        <v>71</v>
      </c>
      <c r="B4441" s="59" t="str">
        <f t="shared" si="21"/>
        <v/>
      </c>
      <c r="C4441" s="59" t="str">
        <f t="shared" si="22"/>
        <v/>
      </c>
      <c r="D4441" s="45" t="str">
        <f t="shared" si="23"/>
        <v/>
      </c>
      <c r="E4441" s="45" t="str">
        <f t="shared" si="24"/>
        <v/>
      </c>
      <c r="F4441" s="59" t="str">
        <f t="shared" si="25"/>
        <v/>
      </c>
      <c r="G4441" s="59" t="str">
        <f t="shared" si="26"/>
        <v/>
      </c>
      <c r="H4441" s="59" t="str">
        <f t="shared" si="27"/>
        <v>28C01731</v>
      </c>
      <c r="I4441" s="59" t="str">
        <f>IF(OR($A4441="",$C4441="",$D4441="",$E4441="",$H4441=""),"",SUMIFS(DATA_GOC!$H:$H,DATA_GOC!$A:$A,"BOM",DATA_GOC!$D:$D,$H4441,DATA_GOC!$E:$E,$C4441,DATA_GOC!$F:$F,"Xuất nội bộ từ téc",DATA_GOC!$B:$B,"&gt;="&amp;$D4441,DATA_GOC!$B:$B,"&lt;="&amp;$E4441))</f>
        <v/>
      </c>
      <c r="J4441" s="59">
        <f t="shared" si="28"/>
        <v>0</v>
      </c>
      <c r="K4441" s="59">
        <f t="shared" si="29"/>
        <v>0</v>
      </c>
      <c r="L4441" s="59">
        <f t="shared" si="30"/>
        <v>0</v>
      </c>
      <c r="M4441" s="59">
        <f t="shared" si="31"/>
        <v>0</v>
      </c>
    </row>
    <row r="4442" ht="15.0" hidden="1" customHeight="1">
      <c r="A4442" s="59">
        <f t="shared" si="20"/>
        <v>71</v>
      </c>
      <c r="B4442" s="59" t="str">
        <f t="shared" si="21"/>
        <v/>
      </c>
      <c r="C4442" s="59" t="str">
        <f t="shared" si="22"/>
        <v/>
      </c>
      <c r="D4442" s="45" t="str">
        <f t="shared" si="23"/>
        <v/>
      </c>
      <c r="E4442" s="45" t="str">
        <f t="shared" si="24"/>
        <v/>
      </c>
      <c r="F4442" s="59" t="str">
        <f t="shared" si="25"/>
        <v/>
      </c>
      <c r="G4442" s="59" t="str">
        <f t="shared" si="26"/>
        <v/>
      </c>
      <c r="H4442" s="59" t="str">
        <f t="shared" si="27"/>
        <v>28C01743</v>
      </c>
      <c r="I4442" s="59" t="str">
        <f>IF(OR($A4442="",$C4442="",$D4442="",$E4442="",$H4442=""),"",SUMIFS(DATA_GOC!$H:$H,DATA_GOC!$A:$A,"BOM",DATA_GOC!$D:$D,$H4442,DATA_GOC!$E:$E,$C4442,DATA_GOC!$F:$F,"Xuất nội bộ từ téc",DATA_GOC!$B:$B,"&gt;="&amp;$D4442,DATA_GOC!$B:$B,"&lt;="&amp;$E4442))</f>
        <v/>
      </c>
      <c r="J4442" s="59">
        <f t="shared" si="28"/>
        <v>0</v>
      </c>
      <c r="K4442" s="59">
        <f t="shared" si="29"/>
        <v>0</v>
      </c>
      <c r="L4442" s="59">
        <f t="shared" si="30"/>
        <v>0</v>
      </c>
      <c r="M4442" s="59">
        <f t="shared" si="31"/>
        <v>0</v>
      </c>
    </row>
    <row r="4443" ht="15.0" hidden="1" customHeight="1">
      <c r="A4443" s="59">
        <f t="shared" si="20"/>
        <v>71</v>
      </c>
      <c r="B4443" s="59" t="str">
        <f t="shared" si="21"/>
        <v/>
      </c>
      <c r="C4443" s="59" t="str">
        <f t="shared" si="22"/>
        <v/>
      </c>
      <c r="D4443" s="45" t="str">
        <f t="shared" si="23"/>
        <v/>
      </c>
      <c r="E4443" s="45" t="str">
        <f t="shared" si="24"/>
        <v/>
      </c>
      <c r="F4443" s="59" t="str">
        <f t="shared" si="25"/>
        <v/>
      </c>
      <c r="G4443" s="59" t="str">
        <f t="shared" si="26"/>
        <v/>
      </c>
      <c r="H4443" s="59" t="str">
        <f t="shared" si="27"/>
        <v>28C02106</v>
      </c>
      <c r="I4443" s="59" t="str">
        <f>IF(OR($A4443="",$C4443="",$D4443="",$E4443="",$H4443=""),"",SUMIFS(DATA_GOC!$H:$H,DATA_GOC!$A:$A,"BOM",DATA_GOC!$D:$D,$H4443,DATA_GOC!$E:$E,$C4443,DATA_GOC!$F:$F,"Xuất nội bộ từ téc",DATA_GOC!$B:$B,"&gt;="&amp;$D4443,DATA_GOC!$B:$B,"&lt;="&amp;$E4443))</f>
        <v/>
      </c>
      <c r="J4443" s="59">
        <f t="shared" si="28"/>
        <v>0</v>
      </c>
      <c r="K4443" s="59">
        <f t="shared" si="29"/>
        <v>0</v>
      </c>
      <c r="L4443" s="59">
        <f t="shared" si="30"/>
        <v>0</v>
      </c>
      <c r="M4443" s="59">
        <f t="shared" si="31"/>
        <v>0</v>
      </c>
    </row>
    <row r="4444" ht="15.0" hidden="1" customHeight="1">
      <c r="A4444" s="59">
        <f t="shared" si="20"/>
        <v>71</v>
      </c>
      <c r="B4444" s="59" t="str">
        <f t="shared" si="21"/>
        <v/>
      </c>
      <c r="C4444" s="59" t="str">
        <f t="shared" si="22"/>
        <v/>
      </c>
      <c r="D4444" s="45" t="str">
        <f t="shared" si="23"/>
        <v/>
      </c>
      <c r="E4444" s="45" t="str">
        <f t="shared" si="24"/>
        <v/>
      </c>
      <c r="F4444" s="59" t="str">
        <f t="shared" si="25"/>
        <v/>
      </c>
      <c r="G4444" s="59" t="str">
        <f t="shared" si="26"/>
        <v/>
      </c>
      <c r="H4444" s="59" t="str">
        <f t="shared" si="27"/>
        <v>28C02410</v>
      </c>
      <c r="I4444" s="59" t="str">
        <f>IF(OR($A4444="",$C4444="",$D4444="",$E4444="",$H4444=""),"",SUMIFS(DATA_GOC!$H:$H,DATA_GOC!$A:$A,"BOM",DATA_GOC!$D:$D,$H4444,DATA_GOC!$E:$E,$C4444,DATA_GOC!$F:$F,"Xuất nội bộ từ téc",DATA_GOC!$B:$B,"&gt;="&amp;$D4444,DATA_GOC!$B:$B,"&lt;="&amp;$E4444))</f>
        <v/>
      </c>
      <c r="J4444" s="59">
        <f t="shared" si="28"/>
        <v>0</v>
      </c>
      <c r="K4444" s="59">
        <f t="shared" si="29"/>
        <v>0</v>
      </c>
      <c r="L4444" s="59">
        <f t="shared" si="30"/>
        <v>0</v>
      </c>
      <c r="M4444" s="59">
        <f t="shared" si="31"/>
        <v>0</v>
      </c>
    </row>
    <row r="4445" ht="15.0" hidden="1" customHeight="1">
      <c r="A4445" s="59">
        <f t="shared" si="20"/>
        <v>71</v>
      </c>
      <c r="B4445" s="59" t="str">
        <f t="shared" si="21"/>
        <v/>
      </c>
      <c r="C4445" s="59" t="str">
        <f t="shared" si="22"/>
        <v/>
      </c>
      <c r="D4445" s="45" t="str">
        <f t="shared" si="23"/>
        <v/>
      </c>
      <c r="E4445" s="45" t="str">
        <f t="shared" si="24"/>
        <v/>
      </c>
      <c r="F4445" s="59" t="str">
        <f t="shared" si="25"/>
        <v/>
      </c>
      <c r="G4445" s="59" t="str">
        <f t="shared" si="26"/>
        <v/>
      </c>
      <c r="H4445" s="59" t="str">
        <f t="shared" si="27"/>
        <v>28C02545</v>
      </c>
      <c r="I4445" s="59" t="str">
        <f>IF(OR($A4445="",$C4445="",$D4445="",$E4445="",$H4445=""),"",SUMIFS(DATA_GOC!$H:$H,DATA_GOC!$A:$A,"BOM",DATA_GOC!$D:$D,$H4445,DATA_GOC!$E:$E,$C4445,DATA_GOC!$F:$F,"Xuất nội bộ từ téc",DATA_GOC!$B:$B,"&gt;="&amp;$D4445,DATA_GOC!$B:$B,"&lt;="&amp;$E4445))</f>
        <v/>
      </c>
      <c r="J4445" s="59">
        <f t="shared" si="28"/>
        <v>0</v>
      </c>
      <c r="K4445" s="59">
        <f t="shared" si="29"/>
        <v>0</v>
      </c>
      <c r="L4445" s="59">
        <f t="shared" si="30"/>
        <v>0</v>
      </c>
      <c r="M4445" s="59">
        <f t="shared" si="31"/>
        <v>0</v>
      </c>
    </row>
    <row r="4446" ht="15.0" hidden="1" customHeight="1">
      <c r="A4446" s="59">
        <f t="shared" si="20"/>
        <v>71</v>
      </c>
      <c r="B4446" s="59" t="str">
        <f t="shared" si="21"/>
        <v/>
      </c>
      <c r="C4446" s="59" t="str">
        <f t="shared" si="22"/>
        <v/>
      </c>
      <c r="D4446" s="45" t="str">
        <f t="shared" si="23"/>
        <v/>
      </c>
      <c r="E4446" s="45" t="str">
        <f t="shared" si="24"/>
        <v/>
      </c>
      <c r="F4446" s="59" t="str">
        <f t="shared" si="25"/>
        <v/>
      </c>
      <c r="G4446" s="59" t="str">
        <f t="shared" si="26"/>
        <v/>
      </c>
      <c r="H4446" s="59" t="str">
        <f t="shared" si="27"/>
        <v>28C02574</v>
      </c>
      <c r="I4446" s="59" t="str">
        <f>IF(OR($A4446="",$C4446="",$D4446="",$E4446="",$H4446=""),"",SUMIFS(DATA_GOC!$H:$H,DATA_GOC!$A:$A,"BOM",DATA_GOC!$D:$D,$H4446,DATA_GOC!$E:$E,$C4446,DATA_GOC!$F:$F,"Xuất nội bộ từ téc",DATA_GOC!$B:$B,"&gt;="&amp;$D4446,DATA_GOC!$B:$B,"&lt;="&amp;$E4446))</f>
        <v/>
      </c>
      <c r="J4446" s="59">
        <f t="shared" si="28"/>
        <v>0</v>
      </c>
      <c r="K4446" s="59">
        <f t="shared" si="29"/>
        <v>0</v>
      </c>
      <c r="L4446" s="59">
        <f t="shared" si="30"/>
        <v>0</v>
      </c>
      <c r="M4446" s="59">
        <f t="shared" si="31"/>
        <v>0</v>
      </c>
    </row>
    <row r="4447" ht="15.0" hidden="1" customHeight="1">
      <c r="A4447" s="59">
        <f t="shared" si="20"/>
        <v>71</v>
      </c>
      <c r="B4447" s="59" t="str">
        <f t="shared" si="21"/>
        <v/>
      </c>
      <c r="C4447" s="59" t="str">
        <f t="shared" si="22"/>
        <v/>
      </c>
      <c r="D4447" s="45" t="str">
        <f t="shared" si="23"/>
        <v/>
      </c>
      <c r="E4447" s="45" t="str">
        <f t="shared" si="24"/>
        <v/>
      </c>
      <c r="F4447" s="59" t="str">
        <f t="shared" si="25"/>
        <v/>
      </c>
      <c r="G4447" s="59" t="str">
        <f t="shared" si="26"/>
        <v/>
      </c>
      <c r="H4447" s="59" t="str">
        <f t="shared" si="27"/>
        <v>28C02770</v>
      </c>
      <c r="I4447" s="59" t="str">
        <f>IF(OR($A4447="",$C4447="",$D4447="",$E4447="",$H4447=""),"",SUMIFS(DATA_GOC!$H:$H,DATA_GOC!$A:$A,"BOM",DATA_GOC!$D:$D,$H4447,DATA_GOC!$E:$E,$C4447,DATA_GOC!$F:$F,"Xuất nội bộ từ téc",DATA_GOC!$B:$B,"&gt;="&amp;$D4447,DATA_GOC!$B:$B,"&lt;="&amp;$E4447))</f>
        <v/>
      </c>
      <c r="J4447" s="59">
        <f t="shared" si="28"/>
        <v>0</v>
      </c>
      <c r="K4447" s="59">
        <f t="shared" si="29"/>
        <v>0</v>
      </c>
      <c r="L4447" s="59">
        <f t="shared" si="30"/>
        <v>0</v>
      </c>
      <c r="M4447" s="59">
        <f t="shared" si="31"/>
        <v>0</v>
      </c>
    </row>
    <row r="4448" ht="15.0" hidden="1" customHeight="1">
      <c r="A4448" s="59">
        <f t="shared" si="20"/>
        <v>71</v>
      </c>
      <c r="B4448" s="59" t="str">
        <f t="shared" si="21"/>
        <v/>
      </c>
      <c r="C4448" s="59" t="str">
        <f t="shared" si="22"/>
        <v/>
      </c>
      <c r="D4448" s="45" t="str">
        <f t="shared" si="23"/>
        <v/>
      </c>
      <c r="E4448" s="45" t="str">
        <f t="shared" si="24"/>
        <v/>
      </c>
      <c r="F4448" s="59" t="str">
        <f t="shared" si="25"/>
        <v/>
      </c>
      <c r="G4448" s="59" t="str">
        <f t="shared" si="26"/>
        <v/>
      </c>
      <c r="H4448" s="59" t="str">
        <f t="shared" si="27"/>
        <v>28C02986</v>
      </c>
      <c r="I4448" s="59" t="str">
        <f>IF(OR($A4448="",$C4448="",$D4448="",$E4448="",$H4448=""),"",SUMIFS(DATA_GOC!$H:$H,DATA_GOC!$A:$A,"BOM",DATA_GOC!$D:$D,$H4448,DATA_GOC!$E:$E,$C4448,DATA_GOC!$F:$F,"Xuất nội bộ từ téc",DATA_GOC!$B:$B,"&gt;="&amp;$D4448,DATA_GOC!$B:$B,"&lt;="&amp;$E4448))</f>
        <v/>
      </c>
      <c r="J4448" s="59">
        <f t="shared" si="28"/>
        <v>0</v>
      </c>
      <c r="K4448" s="59">
        <f t="shared" si="29"/>
        <v>0</v>
      </c>
      <c r="L4448" s="59">
        <f t="shared" si="30"/>
        <v>0</v>
      </c>
      <c r="M4448" s="59">
        <f t="shared" si="31"/>
        <v>0</v>
      </c>
    </row>
    <row r="4449" ht="15.0" hidden="1" customHeight="1">
      <c r="A4449" s="59">
        <f t="shared" si="20"/>
        <v>71</v>
      </c>
      <c r="B4449" s="59" t="str">
        <f t="shared" si="21"/>
        <v/>
      </c>
      <c r="C4449" s="59" t="str">
        <f t="shared" si="22"/>
        <v/>
      </c>
      <c r="D4449" s="45" t="str">
        <f t="shared" si="23"/>
        <v/>
      </c>
      <c r="E4449" s="45" t="str">
        <f t="shared" si="24"/>
        <v/>
      </c>
      <c r="F4449" s="59" t="str">
        <f t="shared" si="25"/>
        <v/>
      </c>
      <c r="G4449" s="59" t="str">
        <f t="shared" si="26"/>
        <v/>
      </c>
      <c r="H4449" s="59" t="str">
        <f t="shared" si="27"/>
        <v>28C03261</v>
      </c>
      <c r="I4449" s="59" t="str">
        <f>IF(OR($A4449="",$C4449="",$D4449="",$E4449="",$H4449=""),"",SUMIFS(DATA_GOC!$H:$H,DATA_GOC!$A:$A,"BOM",DATA_GOC!$D:$D,$H4449,DATA_GOC!$E:$E,$C4449,DATA_GOC!$F:$F,"Xuất nội bộ từ téc",DATA_GOC!$B:$B,"&gt;="&amp;$D4449,DATA_GOC!$B:$B,"&lt;="&amp;$E4449))</f>
        <v/>
      </c>
      <c r="J4449" s="59">
        <f t="shared" si="28"/>
        <v>0</v>
      </c>
      <c r="K4449" s="59">
        <f t="shared" si="29"/>
        <v>0</v>
      </c>
      <c r="L4449" s="59">
        <f t="shared" si="30"/>
        <v>0</v>
      </c>
      <c r="M4449" s="59">
        <f t="shared" si="31"/>
        <v>0</v>
      </c>
    </row>
    <row r="4450" ht="15.0" hidden="1" customHeight="1">
      <c r="A4450" s="59">
        <f t="shared" si="20"/>
        <v>71</v>
      </c>
      <c r="B4450" s="59" t="str">
        <f t="shared" si="21"/>
        <v/>
      </c>
      <c r="C4450" s="59" t="str">
        <f t="shared" si="22"/>
        <v/>
      </c>
      <c r="D4450" s="45" t="str">
        <f t="shared" si="23"/>
        <v/>
      </c>
      <c r="E4450" s="45" t="str">
        <f t="shared" si="24"/>
        <v/>
      </c>
      <c r="F4450" s="59" t="str">
        <f t="shared" si="25"/>
        <v/>
      </c>
      <c r="G4450" s="59" t="str">
        <f t="shared" si="26"/>
        <v/>
      </c>
      <c r="H4450" s="59" t="str">
        <f t="shared" si="27"/>
        <v>28C03323</v>
      </c>
      <c r="I4450" s="59" t="str">
        <f>IF(OR($A4450="",$C4450="",$D4450="",$E4450="",$H4450=""),"",SUMIFS(DATA_GOC!$H:$H,DATA_GOC!$A:$A,"BOM",DATA_GOC!$D:$D,$H4450,DATA_GOC!$E:$E,$C4450,DATA_GOC!$F:$F,"Xuất nội bộ từ téc",DATA_GOC!$B:$B,"&gt;="&amp;$D4450,DATA_GOC!$B:$B,"&lt;="&amp;$E4450))</f>
        <v/>
      </c>
      <c r="J4450" s="59">
        <f t="shared" si="28"/>
        <v>0</v>
      </c>
      <c r="K4450" s="59">
        <f t="shared" si="29"/>
        <v>0</v>
      </c>
      <c r="L4450" s="59">
        <f t="shared" si="30"/>
        <v>0</v>
      </c>
      <c r="M4450" s="59">
        <f t="shared" si="31"/>
        <v>0</v>
      </c>
    </row>
    <row r="4451" ht="15.0" hidden="1" customHeight="1">
      <c r="A4451" s="59">
        <f t="shared" si="20"/>
        <v>71</v>
      </c>
      <c r="B4451" s="59" t="str">
        <f t="shared" si="21"/>
        <v/>
      </c>
      <c r="C4451" s="59" t="str">
        <f t="shared" si="22"/>
        <v/>
      </c>
      <c r="D4451" s="45" t="str">
        <f t="shared" si="23"/>
        <v/>
      </c>
      <c r="E4451" s="45" t="str">
        <f t="shared" si="24"/>
        <v/>
      </c>
      <c r="F4451" s="59" t="str">
        <f t="shared" si="25"/>
        <v/>
      </c>
      <c r="G4451" s="59" t="str">
        <f t="shared" si="26"/>
        <v/>
      </c>
      <c r="H4451" s="59" t="str">
        <f t="shared" si="27"/>
        <v>28C03385</v>
      </c>
      <c r="I4451" s="59" t="str">
        <f>IF(OR($A4451="",$C4451="",$D4451="",$E4451="",$H4451=""),"",SUMIFS(DATA_GOC!$H:$H,DATA_GOC!$A:$A,"BOM",DATA_GOC!$D:$D,$H4451,DATA_GOC!$E:$E,$C4451,DATA_GOC!$F:$F,"Xuất nội bộ từ téc",DATA_GOC!$B:$B,"&gt;="&amp;$D4451,DATA_GOC!$B:$B,"&lt;="&amp;$E4451))</f>
        <v/>
      </c>
      <c r="J4451" s="59">
        <f t="shared" si="28"/>
        <v>0</v>
      </c>
      <c r="K4451" s="59">
        <f t="shared" si="29"/>
        <v>0</v>
      </c>
      <c r="L4451" s="59">
        <f t="shared" si="30"/>
        <v>0</v>
      </c>
      <c r="M4451" s="59">
        <f t="shared" si="31"/>
        <v>0</v>
      </c>
    </row>
    <row r="4452" ht="15.0" hidden="1" customHeight="1">
      <c r="A4452" s="59">
        <f t="shared" si="20"/>
        <v>71</v>
      </c>
      <c r="B4452" s="59" t="str">
        <f t="shared" si="21"/>
        <v/>
      </c>
      <c r="C4452" s="59" t="str">
        <f t="shared" si="22"/>
        <v/>
      </c>
      <c r="D4452" s="45" t="str">
        <f t="shared" si="23"/>
        <v/>
      </c>
      <c r="E4452" s="45" t="str">
        <f t="shared" si="24"/>
        <v/>
      </c>
      <c r="F4452" s="59" t="str">
        <f t="shared" si="25"/>
        <v/>
      </c>
      <c r="G4452" s="59" t="str">
        <f t="shared" si="26"/>
        <v/>
      </c>
      <c r="H4452" s="59" t="str">
        <f t="shared" si="27"/>
        <v>28C03652</v>
      </c>
      <c r="I4452" s="59" t="str">
        <f>IF(OR($A4452="",$C4452="",$D4452="",$E4452="",$H4452=""),"",SUMIFS(DATA_GOC!$H:$H,DATA_GOC!$A:$A,"BOM",DATA_GOC!$D:$D,$H4452,DATA_GOC!$E:$E,$C4452,DATA_GOC!$F:$F,"Xuất nội bộ từ téc",DATA_GOC!$B:$B,"&gt;="&amp;$D4452,DATA_GOC!$B:$B,"&lt;="&amp;$E4452))</f>
        <v/>
      </c>
      <c r="J4452" s="59">
        <f t="shared" si="28"/>
        <v>0</v>
      </c>
      <c r="K4452" s="59">
        <f t="shared" si="29"/>
        <v>0</v>
      </c>
      <c r="L4452" s="59">
        <f t="shared" si="30"/>
        <v>0</v>
      </c>
      <c r="M4452" s="59">
        <f t="shared" si="31"/>
        <v>0</v>
      </c>
    </row>
    <row r="4453" ht="15.0" hidden="1" customHeight="1">
      <c r="A4453" s="59">
        <f t="shared" si="20"/>
        <v>71</v>
      </c>
      <c r="B4453" s="59" t="str">
        <f t="shared" si="21"/>
        <v/>
      </c>
      <c r="C4453" s="59" t="str">
        <f t="shared" si="22"/>
        <v/>
      </c>
      <c r="D4453" s="45" t="str">
        <f t="shared" si="23"/>
        <v/>
      </c>
      <c r="E4453" s="45" t="str">
        <f t="shared" si="24"/>
        <v/>
      </c>
      <c r="F4453" s="59" t="str">
        <f t="shared" si="25"/>
        <v/>
      </c>
      <c r="G4453" s="59" t="str">
        <f t="shared" si="26"/>
        <v/>
      </c>
      <c r="H4453" s="59" t="str">
        <f t="shared" si="27"/>
        <v>28C03695</v>
      </c>
      <c r="I4453" s="59" t="str">
        <f>IF(OR($A4453="",$C4453="",$D4453="",$E4453="",$H4453=""),"",SUMIFS(DATA_GOC!$H:$H,DATA_GOC!$A:$A,"BOM",DATA_GOC!$D:$D,$H4453,DATA_GOC!$E:$E,$C4453,DATA_GOC!$F:$F,"Xuất nội bộ từ téc",DATA_GOC!$B:$B,"&gt;="&amp;$D4453,DATA_GOC!$B:$B,"&lt;="&amp;$E4453))</f>
        <v/>
      </c>
      <c r="J4453" s="59">
        <f t="shared" si="28"/>
        <v>0</v>
      </c>
      <c r="K4453" s="59">
        <f t="shared" si="29"/>
        <v>0</v>
      </c>
      <c r="L4453" s="59">
        <f t="shared" si="30"/>
        <v>0</v>
      </c>
      <c r="M4453" s="59">
        <f t="shared" si="31"/>
        <v>0</v>
      </c>
    </row>
    <row r="4454" ht="15.0" hidden="1" customHeight="1">
      <c r="A4454" s="59">
        <f t="shared" si="20"/>
        <v>71</v>
      </c>
      <c r="B4454" s="59" t="str">
        <f t="shared" si="21"/>
        <v/>
      </c>
      <c r="C4454" s="59" t="str">
        <f t="shared" si="22"/>
        <v/>
      </c>
      <c r="D4454" s="45" t="str">
        <f t="shared" si="23"/>
        <v/>
      </c>
      <c r="E4454" s="45" t="str">
        <f t="shared" si="24"/>
        <v/>
      </c>
      <c r="F4454" s="59" t="str">
        <f t="shared" si="25"/>
        <v/>
      </c>
      <c r="G4454" s="59" t="str">
        <f t="shared" si="26"/>
        <v/>
      </c>
      <c r="H4454" s="59" t="str">
        <f t="shared" si="27"/>
        <v>28C03927</v>
      </c>
      <c r="I4454" s="59" t="str">
        <f>IF(OR($A4454="",$C4454="",$D4454="",$E4454="",$H4454=""),"",SUMIFS(DATA_GOC!$H:$H,DATA_GOC!$A:$A,"BOM",DATA_GOC!$D:$D,$H4454,DATA_GOC!$E:$E,$C4454,DATA_GOC!$F:$F,"Xuất nội bộ từ téc",DATA_GOC!$B:$B,"&gt;="&amp;$D4454,DATA_GOC!$B:$B,"&lt;="&amp;$E4454))</f>
        <v/>
      </c>
      <c r="J4454" s="59">
        <f t="shared" si="28"/>
        <v>0</v>
      </c>
      <c r="K4454" s="59">
        <f t="shared" si="29"/>
        <v>0</v>
      </c>
      <c r="L4454" s="59">
        <f t="shared" si="30"/>
        <v>0</v>
      </c>
      <c r="M4454" s="59">
        <f t="shared" si="31"/>
        <v>0</v>
      </c>
    </row>
    <row r="4455" ht="15.0" hidden="1" customHeight="1">
      <c r="A4455" s="59">
        <f t="shared" si="20"/>
        <v>71</v>
      </c>
      <c r="B4455" s="59" t="str">
        <f t="shared" si="21"/>
        <v/>
      </c>
      <c r="C4455" s="59" t="str">
        <f t="shared" si="22"/>
        <v/>
      </c>
      <c r="D4455" s="45" t="str">
        <f t="shared" si="23"/>
        <v/>
      </c>
      <c r="E4455" s="45" t="str">
        <f t="shared" si="24"/>
        <v/>
      </c>
      <c r="F4455" s="59" t="str">
        <f t="shared" si="25"/>
        <v/>
      </c>
      <c r="G4455" s="59" t="str">
        <f t="shared" si="26"/>
        <v/>
      </c>
      <c r="H4455" s="59" t="str">
        <f t="shared" si="27"/>
        <v>28C04509</v>
      </c>
      <c r="I4455" s="59" t="str">
        <f>IF(OR($A4455="",$C4455="",$D4455="",$E4455="",$H4455=""),"",SUMIFS(DATA_GOC!$H:$H,DATA_GOC!$A:$A,"BOM",DATA_GOC!$D:$D,$H4455,DATA_GOC!$E:$E,$C4455,DATA_GOC!$F:$F,"Xuất nội bộ từ téc",DATA_GOC!$B:$B,"&gt;="&amp;$D4455,DATA_GOC!$B:$B,"&lt;="&amp;$E4455))</f>
        <v/>
      </c>
      <c r="J4455" s="59">
        <f t="shared" si="28"/>
        <v>0</v>
      </c>
      <c r="K4455" s="59">
        <f t="shared" si="29"/>
        <v>0</v>
      </c>
      <c r="L4455" s="59">
        <f t="shared" si="30"/>
        <v>0</v>
      </c>
      <c r="M4455" s="59">
        <f t="shared" si="31"/>
        <v>0</v>
      </c>
    </row>
    <row r="4456" ht="15.0" hidden="1" customHeight="1">
      <c r="A4456" s="59">
        <f t="shared" si="20"/>
        <v>71</v>
      </c>
      <c r="B4456" s="59" t="str">
        <f t="shared" si="21"/>
        <v/>
      </c>
      <c r="C4456" s="59" t="str">
        <f t="shared" si="22"/>
        <v/>
      </c>
      <c r="D4456" s="45" t="str">
        <f t="shared" si="23"/>
        <v/>
      </c>
      <c r="E4456" s="45" t="str">
        <f t="shared" si="24"/>
        <v/>
      </c>
      <c r="F4456" s="59" t="str">
        <f t="shared" si="25"/>
        <v/>
      </c>
      <c r="G4456" s="59" t="str">
        <f t="shared" si="26"/>
        <v/>
      </c>
      <c r="H4456" s="59" t="str">
        <f t="shared" si="27"/>
        <v>28C04536</v>
      </c>
      <c r="I4456" s="59" t="str">
        <f>IF(OR($A4456="",$C4456="",$D4456="",$E4456="",$H4456=""),"",SUMIFS(DATA_GOC!$H:$H,DATA_GOC!$A:$A,"BOM",DATA_GOC!$D:$D,$H4456,DATA_GOC!$E:$E,$C4456,DATA_GOC!$F:$F,"Xuất nội bộ từ téc",DATA_GOC!$B:$B,"&gt;="&amp;$D4456,DATA_GOC!$B:$B,"&lt;="&amp;$E4456))</f>
        <v/>
      </c>
      <c r="J4456" s="59">
        <f t="shared" si="28"/>
        <v>0</v>
      </c>
      <c r="K4456" s="59">
        <f t="shared" si="29"/>
        <v>0</v>
      </c>
      <c r="L4456" s="59">
        <f t="shared" si="30"/>
        <v>0</v>
      </c>
      <c r="M4456" s="59">
        <f t="shared" si="31"/>
        <v>0</v>
      </c>
    </row>
    <row r="4457" ht="15.0" hidden="1" customHeight="1">
      <c r="A4457" s="59">
        <f t="shared" si="20"/>
        <v>71</v>
      </c>
      <c r="B4457" s="59" t="str">
        <f t="shared" si="21"/>
        <v/>
      </c>
      <c r="C4457" s="59" t="str">
        <f t="shared" si="22"/>
        <v/>
      </c>
      <c r="D4457" s="45" t="str">
        <f t="shared" si="23"/>
        <v/>
      </c>
      <c r="E4457" s="45" t="str">
        <f t="shared" si="24"/>
        <v/>
      </c>
      <c r="F4457" s="59" t="str">
        <f t="shared" si="25"/>
        <v/>
      </c>
      <c r="G4457" s="59" t="str">
        <f t="shared" si="26"/>
        <v/>
      </c>
      <c r="H4457" s="59" t="str">
        <f t="shared" si="27"/>
        <v>28C04576</v>
      </c>
      <c r="I4457" s="59" t="str">
        <f>IF(OR($A4457="",$C4457="",$D4457="",$E4457="",$H4457=""),"",SUMIFS(DATA_GOC!$H:$H,DATA_GOC!$A:$A,"BOM",DATA_GOC!$D:$D,$H4457,DATA_GOC!$E:$E,$C4457,DATA_GOC!$F:$F,"Xuất nội bộ từ téc",DATA_GOC!$B:$B,"&gt;="&amp;$D4457,DATA_GOC!$B:$B,"&lt;="&amp;$E4457))</f>
        <v/>
      </c>
      <c r="J4457" s="59">
        <f t="shared" si="28"/>
        <v>0</v>
      </c>
      <c r="K4457" s="59">
        <f t="shared" si="29"/>
        <v>0</v>
      </c>
      <c r="L4457" s="59">
        <f t="shared" si="30"/>
        <v>0</v>
      </c>
      <c r="M4457" s="59">
        <f t="shared" si="31"/>
        <v>0</v>
      </c>
    </row>
    <row r="4458" ht="15.0" hidden="1" customHeight="1">
      <c r="A4458" s="59">
        <f t="shared" si="20"/>
        <v>71</v>
      </c>
      <c r="B4458" s="59" t="str">
        <f t="shared" si="21"/>
        <v/>
      </c>
      <c r="C4458" s="59" t="str">
        <f t="shared" si="22"/>
        <v/>
      </c>
      <c r="D4458" s="45" t="str">
        <f t="shared" si="23"/>
        <v/>
      </c>
      <c r="E4458" s="45" t="str">
        <f t="shared" si="24"/>
        <v/>
      </c>
      <c r="F4458" s="59" t="str">
        <f t="shared" si="25"/>
        <v/>
      </c>
      <c r="G4458" s="59" t="str">
        <f t="shared" si="26"/>
        <v/>
      </c>
      <c r="H4458" s="59" t="str">
        <f t="shared" si="27"/>
        <v>28C05090</v>
      </c>
      <c r="I4458" s="59" t="str">
        <f>IF(OR($A4458="",$C4458="",$D4458="",$E4458="",$H4458=""),"",SUMIFS(DATA_GOC!$H:$H,DATA_GOC!$A:$A,"BOM",DATA_GOC!$D:$D,$H4458,DATA_GOC!$E:$E,$C4458,DATA_GOC!$F:$F,"Xuất nội bộ từ téc",DATA_GOC!$B:$B,"&gt;="&amp;$D4458,DATA_GOC!$B:$B,"&lt;="&amp;$E4458))</f>
        <v/>
      </c>
      <c r="J4458" s="59">
        <f t="shared" si="28"/>
        <v>0</v>
      </c>
      <c r="K4458" s="59">
        <f t="shared" si="29"/>
        <v>0</v>
      </c>
      <c r="L4458" s="59">
        <f t="shared" si="30"/>
        <v>0</v>
      </c>
      <c r="M4458" s="59">
        <f t="shared" si="31"/>
        <v>0</v>
      </c>
    </row>
    <row r="4459" ht="15.0" hidden="1" customHeight="1">
      <c r="A4459" s="59">
        <f t="shared" si="20"/>
        <v>71</v>
      </c>
      <c r="B4459" s="59" t="str">
        <f t="shared" si="21"/>
        <v/>
      </c>
      <c r="C4459" s="59" t="str">
        <f t="shared" si="22"/>
        <v/>
      </c>
      <c r="D4459" s="45" t="str">
        <f t="shared" si="23"/>
        <v/>
      </c>
      <c r="E4459" s="45" t="str">
        <f t="shared" si="24"/>
        <v/>
      </c>
      <c r="F4459" s="59" t="str">
        <f t="shared" si="25"/>
        <v/>
      </c>
      <c r="G4459" s="59" t="str">
        <f t="shared" si="26"/>
        <v/>
      </c>
      <c r="H4459" s="59" t="str">
        <f t="shared" si="27"/>
        <v>28C05345</v>
      </c>
      <c r="I4459" s="59" t="str">
        <f>IF(OR($A4459="",$C4459="",$D4459="",$E4459="",$H4459=""),"",SUMIFS(DATA_GOC!$H:$H,DATA_GOC!$A:$A,"BOM",DATA_GOC!$D:$D,$H4459,DATA_GOC!$E:$E,$C4459,DATA_GOC!$F:$F,"Xuất nội bộ từ téc",DATA_GOC!$B:$B,"&gt;="&amp;$D4459,DATA_GOC!$B:$B,"&lt;="&amp;$E4459))</f>
        <v/>
      </c>
      <c r="J4459" s="59">
        <f t="shared" si="28"/>
        <v>0</v>
      </c>
      <c r="K4459" s="59">
        <f t="shared" si="29"/>
        <v>0</v>
      </c>
      <c r="L4459" s="59">
        <f t="shared" si="30"/>
        <v>0</v>
      </c>
      <c r="M4459" s="59">
        <f t="shared" si="31"/>
        <v>0</v>
      </c>
    </row>
    <row r="4460" ht="15.0" hidden="1" customHeight="1">
      <c r="A4460" s="59">
        <f t="shared" si="20"/>
        <v>71</v>
      </c>
      <c r="B4460" s="59" t="str">
        <f t="shared" si="21"/>
        <v/>
      </c>
      <c r="C4460" s="59" t="str">
        <f t="shared" si="22"/>
        <v/>
      </c>
      <c r="D4460" s="45" t="str">
        <f t="shared" si="23"/>
        <v/>
      </c>
      <c r="E4460" s="45" t="str">
        <f t="shared" si="24"/>
        <v/>
      </c>
      <c r="F4460" s="59" t="str">
        <f t="shared" si="25"/>
        <v/>
      </c>
      <c r="G4460" s="59" t="str">
        <f t="shared" si="26"/>
        <v/>
      </c>
      <c r="H4460" s="59" t="str">
        <f t="shared" si="27"/>
        <v>28C05661</v>
      </c>
      <c r="I4460" s="59" t="str">
        <f>IF(OR($A4460="",$C4460="",$D4460="",$E4460="",$H4460=""),"",SUMIFS(DATA_GOC!$H:$H,DATA_GOC!$A:$A,"BOM",DATA_GOC!$D:$D,$H4460,DATA_GOC!$E:$E,$C4460,DATA_GOC!$F:$F,"Xuất nội bộ từ téc",DATA_GOC!$B:$B,"&gt;="&amp;$D4460,DATA_GOC!$B:$B,"&lt;="&amp;$E4460))</f>
        <v/>
      </c>
      <c r="J4460" s="59">
        <f t="shared" si="28"/>
        <v>0</v>
      </c>
      <c r="K4460" s="59">
        <f t="shared" si="29"/>
        <v>0</v>
      </c>
      <c r="L4460" s="59">
        <f t="shared" si="30"/>
        <v>0</v>
      </c>
      <c r="M4460" s="59">
        <f t="shared" si="31"/>
        <v>0</v>
      </c>
    </row>
    <row r="4461" ht="15.0" hidden="1" customHeight="1">
      <c r="A4461" s="59">
        <f t="shared" si="20"/>
        <v>71</v>
      </c>
      <c r="B4461" s="59" t="str">
        <f t="shared" si="21"/>
        <v/>
      </c>
      <c r="C4461" s="59" t="str">
        <f t="shared" si="22"/>
        <v/>
      </c>
      <c r="D4461" s="45" t="str">
        <f t="shared" si="23"/>
        <v/>
      </c>
      <c r="E4461" s="45" t="str">
        <f t="shared" si="24"/>
        <v/>
      </c>
      <c r="F4461" s="59" t="str">
        <f t="shared" si="25"/>
        <v/>
      </c>
      <c r="G4461" s="59" t="str">
        <f t="shared" si="26"/>
        <v/>
      </c>
      <c r="H4461" s="59" t="str">
        <f t="shared" si="27"/>
        <v>28C05739</v>
      </c>
      <c r="I4461" s="59" t="str">
        <f>IF(OR($A4461="",$C4461="",$D4461="",$E4461="",$H4461=""),"",SUMIFS(DATA_GOC!$H:$H,DATA_GOC!$A:$A,"BOM",DATA_GOC!$D:$D,$H4461,DATA_GOC!$E:$E,$C4461,DATA_GOC!$F:$F,"Xuất nội bộ từ téc",DATA_GOC!$B:$B,"&gt;="&amp;$D4461,DATA_GOC!$B:$B,"&lt;="&amp;$E4461))</f>
        <v/>
      </c>
      <c r="J4461" s="59">
        <f t="shared" si="28"/>
        <v>0</v>
      </c>
      <c r="K4461" s="59">
        <f t="shared" si="29"/>
        <v>0</v>
      </c>
      <c r="L4461" s="59">
        <f t="shared" si="30"/>
        <v>0</v>
      </c>
      <c r="M4461" s="59">
        <f t="shared" si="31"/>
        <v>0</v>
      </c>
    </row>
    <row r="4462" ht="15.0" hidden="1" customHeight="1">
      <c r="A4462" s="59">
        <f t="shared" si="20"/>
        <v>71</v>
      </c>
      <c r="B4462" s="59" t="str">
        <f t="shared" si="21"/>
        <v/>
      </c>
      <c r="C4462" s="59" t="str">
        <f t="shared" si="22"/>
        <v/>
      </c>
      <c r="D4462" s="45" t="str">
        <f t="shared" si="23"/>
        <v/>
      </c>
      <c r="E4462" s="45" t="str">
        <f t="shared" si="24"/>
        <v/>
      </c>
      <c r="F4462" s="59" t="str">
        <f t="shared" si="25"/>
        <v/>
      </c>
      <c r="G4462" s="59" t="str">
        <f t="shared" si="26"/>
        <v/>
      </c>
      <c r="H4462" s="59" t="str">
        <f t="shared" si="27"/>
        <v>28C06369</v>
      </c>
      <c r="I4462" s="59" t="str">
        <f>IF(OR($A4462="",$C4462="",$D4462="",$E4462="",$H4462=""),"",SUMIFS(DATA_GOC!$H:$H,DATA_GOC!$A:$A,"BOM",DATA_GOC!$D:$D,$H4462,DATA_GOC!$E:$E,$C4462,DATA_GOC!$F:$F,"Xuất nội bộ từ téc",DATA_GOC!$B:$B,"&gt;="&amp;$D4462,DATA_GOC!$B:$B,"&lt;="&amp;$E4462))</f>
        <v/>
      </c>
      <c r="J4462" s="59">
        <f t="shared" si="28"/>
        <v>0</v>
      </c>
      <c r="K4462" s="59">
        <f t="shared" si="29"/>
        <v>0</v>
      </c>
      <c r="L4462" s="59">
        <f t="shared" si="30"/>
        <v>0</v>
      </c>
      <c r="M4462" s="59">
        <f t="shared" si="31"/>
        <v>0</v>
      </c>
    </row>
    <row r="4463" ht="15.0" hidden="1" customHeight="1">
      <c r="A4463" s="59">
        <f t="shared" si="20"/>
        <v>71</v>
      </c>
      <c r="B4463" s="59" t="str">
        <f t="shared" si="21"/>
        <v/>
      </c>
      <c r="C4463" s="59" t="str">
        <f t="shared" si="22"/>
        <v/>
      </c>
      <c r="D4463" s="45" t="str">
        <f t="shared" si="23"/>
        <v/>
      </c>
      <c r="E4463" s="45" t="str">
        <f t="shared" si="24"/>
        <v/>
      </c>
      <c r="F4463" s="59" t="str">
        <f t="shared" si="25"/>
        <v/>
      </c>
      <c r="G4463" s="59" t="str">
        <f t="shared" si="26"/>
        <v/>
      </c>
      <c r="H4463" s="59" t="str">
        <f t="shared" si="27"/>
        <v>28C06447</v>
      </c>
      <c r="I4463" s="59" t="str">
        <f>IF(OR($A4463="",$C4463="",$D4463="",$E4463="",$H4463=""),"",SUMIFS(DATA_GOC!$H:$H,DATA_GOC!$A:$A,"BOM",DATA_GOC!$D:$D,$H4463,DATA_GOC!$E:$E,$C4463,DATA_GOC!$F:$F,"Xuất nội bộ từ téc",DATA_GOC!$B:$B,"&gt;="&amp;$D4463,DATA_GOC!$B:$B,"&lt;="&amp;$E4463))</f>
        <v/>
      </c>
      <c r="J4463" s="59">
        <f t="shared" si="28"/>
        <v>0</v>
      </c>
      <c r="K4463" s="59">
        <f t="shared" si="29"/>
        <v>0</v>
      </c>
      <c r="L4463" s="59">
        <f t="shared" si="30"/>
        <v>0</v>
      </c>
      <c r="M4463" s="59">
        <f t="shared" si="31"/>
        <v>0</v>
      </c>
    </row>
    <row r="4464" ht="15.0" hidden="1" customHeight="1">
      <c r="A4464" s="59">
        <f t="shared" si="20"/>
        <v>71</v>
      </c>
      <c r="B4464" s="59" t="str">
        <f t="shared" si="21"/>
        <v/>
      </c>
      <c r="C4464" s="59" t="str">
        <f t="shared" si="22"/>
        <v/>
      </c>
      <c r="D4464" s="45" t="str">
        <f t="shared" si="23"/>
        <v/>
      </c>
      <c r="E4464" s="45" t="str">
        <f t="shared" si="24"/>
        <v/>
      </c>
      <c r="F4464" s="59" t="str">
        <f t="shared" si="25"/>
        <v/>
      </c>
      <c r="G4464" s="59" t="str">
        <f t="shared" si="26"/>
        <v/>
      </c>
      <c r="H4464" s="59" t="str">
        <f t="shared" si="27"/>
        <v>28H00003</v>
      </c>
      <c r="I4464" s="59" t="str">
        <f>IF(OR($A4464="",$C4464="",$D4464="",$E4464="",$H4464=""),"",SUMIFS(DATA_GOC!$H:$H,DATA_GOC!$A:$A,"BOM",DATA_GOC!$D:$D,$H4464,DATA_GOC!$E:$E,$C4464,DATA_GOC!$F:$F,"Xuất nội bộ từ téc",DATA_GOC!$B:$B,"&gt;="&amp;$D4464,DATA_GOC!$B:$B,"&lt;="&amp;$E4464))</f>
        <v/>
      </c>
      <c r="J4464" s="59">
        <f t="shared" si="28"/>
        <v>0</v>
      </c>
      <c r="K4464" s="59">
        <f t="shared" si="29"/>
        <v>0</v>
      </c>
      <c r="L4464" s="59">
        <f t="shared" si="30"/>
        <v>0</v>
      </c>
      <c r="M4464" s="59">
        <f t="shared" si="31"/>
        <v>0</v>
      </c>
    </row>
    <row r="4465" ht="15.0" hidden="1" customHeight="1">
      <c r="A4465" s="59">
        <f t="shared" si="20"/>
        <v>71</v>
      </c>
      <c r="B4465" s="59" t="str">
        <f t="shared" si="21"/>
        <v/>
      </c>
      <c r="C4465" s="59" t="str">
        <f t="shared" si="22"/>
        <v/>
      </c>
      <c r="D4465" s="45" t="str">
        <f t="shared" si="23"/>
        <v/>
      </c>
      <c r="E4465" s="45" t="str">
        <f t="shared" si="24"/>
        <v/>
      </c>
      <c r="F4465" s="59" t="str">
        <f t="shared" si="25"/>
        <v/>
      </c>
      <c r="G4465" s="59" t="str">
        <f t="shared" si="26"/>
        <v/>
      </c>
      <c r="H4465" s="59" t="str">
        <f t="shared" si="27"/>
        <v>28H00061</v>
      </c>
      <c r="I4465" s="59" t="str">
        <f>IF(OR($A4465="",$C4465="",$D4465="",$E4465="",$H4465=""),"",SUMIFS(DATA_GOC!$H:$H,DATA_GOC!$A:$A,"BOM",DATA_GOC!$D:$D,$H4465,DATA_GOC!$E:$E,$C4465,DATA_GOC!$F:$F,"Xuất nội bộ từ téc",DATA_GOC!$B:$B,"&gt;="&amp;$D4465,DATA_GOC!$B:$B,"&lt;="&amp;$E4465))</f>
        <v/>
      </c>
      <c r="J4465" s="59">
        <f t="shared" si="28"/>
        <v>0</v>
      </c>
      <c r="K4465" s="59">
        <f t="shared" si="29"/>
        <v>0</v>
      </c>
      <c r="L4465" s="59">
        <f t="shared" si="30"/>
        <v>0</v>
      </c>
      <c r="M4465" s="59">
        <f t="shared" si="31"/>
        <v>0</v>
      </c>
    </row>
    <row r="4466" ht="15.0" hidden="1" customHeight="1">
      <c r="A4466" s="59">
        <f t="shared" si="20"/>
        <v>71</v>
      </c>
      <c r="B4466" s="59" t="str">
        <f t="shared" si="21"/>
        <v/>
      </c>
      <c r="C4466" s="59" t="str">
        <f t="shared" si="22"/>
        <v/>
      </c>
      <c r="D4466" s="45" t="str">
        <f t="shared" si="23"/>
        <v/>
      </c>
      <c r="E4466" s="45" t="str">
        <f t="shared" si="24"/>
        <v/>
      </c>
      <c r="F4466" s="59" t="str">
        <f t="shared" si="25"/>
        <v/>
      </c>
      <c r="G4466" s="59" t="str">
        <f t="shared" si="26"/>
        <v/>
      </c>
      <c r="H4466" s="59" t="str">
        <f t="shared" si="27"/>
        <v>28H00354</v>
      </c>
      <c r="I4466" s="59" t="str">
        <f>IF(OR($A4466="",$C4466="",$D4466="",$E4466="",$H4466=""),"",SUMIFS(DATA_GOC!$H:$H,DATA_GOC!$A:$A,"BOM",DATA_GOC!$D:$D,$H4466,DATA_GOC!$E:$E,$C4466,DATA_GOC!$F:$F,"Xuất nội bộ từ téc",DATA_GOC!$B:$B,"&gt;="&amp;$D4466,DATA_GOC!$B:$B,"&lt;="&amp;$E4466))</f>
        <v/>
      </c>
      <c r="J4466" s="59">
        <f t="shared" si="28"/>
        <v>0</v>
      </c>
      <c r="K4466" s="59">
        <f t="shared" si="29"/>
        <v>0</v>
      </c>
      <c r="L4466" s="59">
        <f t="shared" si="30"/>
        <v>0</v>
      </c>
      <c r="M4466" s="59">
        <f t="shared" si="31"/>
        <v>0</v>
      </c>
    </row>
    <row r="4467" ht="15.0" hidden="1" customHeight="1">
      <c r="A4467" s="59">
        <f t="shared" si="20"/>
        <v>71</v>
      </c>
      <c r="B4467" s="59" t="str">
        <f t="shared" si="21"/>
        <v/>
      </c>
      <c r="C4467" s="59" t="str">
        <f t="shared" si="22"/>
        <v/>
      </c>
      <c r="D4467" s="45" t="str">
        <f t="shared" si="23"/>
        <v/>
      </c>
      <c r="E4467" s="45" t="str">
        <f t="shared" si="24"/>
        <v/>
      </c>
      <c r="F4467" s="59" t="str">
        <f t="shared" si="25"/>
        <v/>
      </c>
      <c r="G4467" s="59" t="str">
        <f t="shared" si="26"/>
        <v/>
      </c>
      <c r="H4467" s="59" t="str">
        <f t="shared" si="27"/>
        <v>28H00603</v>
      </c>
      <c r="I4467" s="59" t="str">
        <f>IF(OR($A4467="",$C4467="",$D4467="",$E4467="",$H4467=""),"",SUMIFS(DATA_GOC!$H:$H,DATA_GOC!$A:$A,"BOM",DATA_GOC!$D:$D,$H4467,DATA_GOC!$E:$E,$C4467,DATA_GOC!$F:$F,"Xuất nội bộ từ téc",DATA_GOC!$B:$B,"&gt;="&amp;$D4467,DATA_GOC!$B:$B,"&lt;="&amp;$E4467))</f>
        <v/>
      </c>
      <c r="J4467" s="59">
        <f t="shared" si="28"/>
        <v>0</v>
      </c>
      <c r="K4467" s="59">
        <f t="shared" si="29"/>
        <v>0</v>
      </c>
      <c r="L4467" s="59">
        <f t="shared" si="30"/>
        <v>0</v>
      </c>
      <c r="M4467" s="59">
        <f t="shared" si="31"/>
        <v>0</v>
      </c>
    </row>
    <row r="4468" ht="15.0" hidden="1" customHeight="1">
      <c r="A4468" s="59">
        <f t="shared" si="20"/>
        <v>71</v>
      </c>
      <c r="B4468" s="59" t="str">
        <f t="shared" si="21"/>
        <v/>
      </c>
      <c r="C4468" s="59" t="str">
        <f t="shared" si="22"/>
        <v/>
      </c>
      <c r="D4468" s="45" t="str">
        <f t="shared" si="23"/>
        <v/>
      </c>
      <c r="E4468" s="45" t="str">
        <f t="shared" si="24"/>
        <v/>
      </c>
      <c r="F4468" s="59" t="str">
        <f t="shared" si="25"/>
        <v/>
      </c>
      <c r="G4468" s="59" t="str">
        <f t="shared" si="26"/>
        <v/>
      </c>
      <c r="H4468" s="59" t="str">
        <f t="shared" si="27"/>
        <v>28H00609</v>
      </c>
      <c r="I4468" s="59" t="str">
        <f>IF(OR($A4468="",$C4468="",$D4468="",$E4468="",$H4468=""),"",SUMIFS(DATA_GOC!$H:$H,DATA_GOC!$A:$A,"BOM",DATA_GOC!$D:$D,$H4468,DATA_GOC!$E:$E,$C4468,DATA_GOC!$F:$F,"Xuất nội bộ từ téc",DATA_GOC!$B:$B,"&gt;="&amp;$D4468,DATA_GOC!$B:$B,"&lt;="&amp;$E4468))</f>
        <v/>
      </c>
      <c r="J4468" s="59">
        <f t="shared" si="28"/>
        <v>0</v>
      </c>
      <c r="K4468" s="59">
        <f t="shared" si="29"/>
        <v>0</v>
      </c>
      <c r="L4468" s="59">
        <f t="shared" si="30"/>
        <v>0</v>
      </c>
      <c r="M4468" s="59">
        <f t="shared" si="31"/>
        <v>0</v>
      </c>
    </row>
    <row r="4469" ht="15.0" hidden="1" customHeight="1">
      <c r="A4469" s="59">
        <f t="shared" si="20"/>
        <v>71</v>
      </c>
      <c r="B4469" s="59" t="str">
        <f t="shared" si="21"/>
        <v/>
      </c>
      <c r="C4469" s="59" t="str">
        <f t="shared" si="22"/>
        <v/>
      </c>
      <c r="D4469" s="45" t="str">
        <f t="shared" si="23"/>
        <v/>
      </c>
      <c r="E4469" s="45" t="str">
        <f t="shared" si="24"/>
        <v/>
      </c>
      <c r="F4469" s="59" t="str">
        <f t="shared" si="25"/>
        <v/>
      </c>
      <c r="G4469" s="59" t="str">
        <f t="shared" si="26"/>
        <v/>
      </c>
      <c r="H4469" s="59" t="str">
        <f t="shared" si="27"/>
        <v>28H00669</v>
      </c>
      <c r="I4469" s="59" t="str">
        <f>IF(OR($A4469="",$C4469="",$D4469="",$E4469="",$H4469=""),"",SUMIFS(DATA_GOC!$H:$H,DATA_GOC!$A:$A,"BOM",DATA_GOC!$D:$D,$H4469,DATA_GOC!$E:$E,$C4469,DATA_GOC!$F:$F,"Xuất nội bộ từ téc",DATA_GOC!$B:$B,"&gt;="&amp;$D4469,DATA_GOC!$B:$B,"&lt;="&amp;$E4469))</f>
        <v/>
      </c>
      <c r="J4469" s="59">
        <f t="shared" si="28"/>
        <v>0</v>
      </c>
      <c r="K4469" s="59">
        <f t="shared" si="29"/>
        <v>0</v>
      </c>
      <c r="L4469" s="59">
        <f t="shared" si="30"/>
        <v>0</v>
      </c>
      <c r="M4469" s="59">
        <f t="shared" si="31"/>
        <v>0</v>
      </c>
    </row>
    <row r="4470" ht="15.0" hidden="1" customHeight="1">
      <c r="A4470" s="59">
        <f t="shared" si="20"/>
        <v>71</v>
      </c>
      <c r="B4470" s="59" t="str">
        <f t="shared" si="21"/>
        <v/>
      </c>
      <c r="C4470" s="59" t="str">
        <f t="shared" si="22"/>
        <v/>
      </c>
      <c r="D4470" s="45" t="str">
        <f t="shared" si="23"/>
        <v/>
      </c>
      <c r="E4470" s="45" t="str">
        <f t="shared" si="24"/>
        <v/>
      </c>
      <c r="F4470" s="59" t="str">
        <f t="shared" si="25"/>
        <v/>
      </c>
      <c r="G4470" s="59" t="str">
        <f t="shared" si="26"/>
        <v/>
      </c>
      <c r="H4470" s="59" t="str">
        <f t="shared" si="27"/>
        <v>28H00680</v>
      </c>
      <c r="I4470" s="59" t="str">
        <f>IF(OR($A4470="",$C4470="",$D4470="",$E4470="",$H4470=""),"",SUMIFS(DATA_GOC!$H:$H,DATA_GOC!$A:$A,"BOM",DATA_GOC!$D:$D,$H4470,DATA_GOC!$E:$E,$C4470,DATA_GOC!$F:$F,"Xuất nội bộ từ téc",DATA_GOC!$B:$B,"&gt;="&amp;$D4470,DATA_GOC!$B:$B,"&lt;="&amp;$E4470))</f>
        <v/>
      </c>
      <c r="J4470" s="59">
        <f t="shared" si="28"/>
        <v>0</v>
      </c>
      <c r="K4470" s="59">
        <f t="shared" si="29"/>
        <v>0</v>
      </c>
      <c r="L4470" s="59">
        <f t="shared" si="30"/>
        <v>0</v>
      </c>
      <c r="M4470" s="59">
        <f t="shared" si="31"/>
        <v>0</v>
      </c>
    </row>
    <row r="4471" ht="15.0" hidden="1" customHeight="1">
      <c r="A4471" s="59">
        <f t="shared" si="20"/>
        <v>71</v>
      </c>
      <c r="B4471" s="59" t="str">
        <f t="shared" si="21"/>
        <v/>
      </c>
      <c r="C4471" s="59" t="str">
        <f t="shared" si="22"/>
        <v/>
      </c>
      <c r="D4471" s="45" t="str">
        <f t="shared" si="23"/>
        <v/>
      </c>
      <c r="E4471" s="45" t="str">
        <f t="shared" si="24"/>
        <v/>
      </c>
      <c r="F4471" s="59" t="str">
        <f t="shared" si="25"/>
        <v/>
      </c>
      <c r="G4471" s="59" t="str">
        <f t="shared" si="26"/>
        <v/>
      </c>
      <c r="H4471" s="59" t="str">
        <f t="shared" si="27"/>
        <v>28H01070</v>
      </c>
      <c r="I4471" s="59" t="str">
        <f>IF(OR($A4471="",$C4471="",$D4471="",$E4471="",$H4471=""),"",SUMIFS(DATA_GOC!$H:$H,DATA_GOC!$A:$A,"BOM",DATA_GOC!$D:$D,$H4471,DATA_GOC!$E:$E,$C4471,DATA_GOC!$F:$F,"Xuất nội bộ từ téc",DATA_GOC!$B:$B,"&gt;="&amp;$D4471,DATA_GOC!$B:$B,"&lt;="&amp;$E4471))</f>
        <v/>
      </c>
      <c r="J4471" s="59">
        <f t="shared" si="28"/>
        <v>0</v>
      </c>
      <c r="K4471" s="59">
        <f t="shared" si="29"/>
        <v>0</v>
      </c>
      <c r="L4471" s="59">
        <f t="shared" si="30"/>
        <v>0</v>
      </c>
      <c r="M4471" s="59">
        <f t="shared" si="31"/>
        <v>0</v>
      </c>
    </row>
    <row r="4472" ht="15.0" hidden="1" customHeight="1">
      <c r="A4472" s="59">
        <f t="shared" si="20"/>
        <v>71</v>
      </c>
      <c r="B4472" s="59" t="str">
        <f t="shared" si="21"/>
        <v/>
      </c>
      <c r="C4472" s="59" t="str">
        <f t="shared" si="22"/>
        <v/>
      </c>
      <c r="D4472" s="45" t="str">
        <f t="shared" si="23"/>
        <v/>
      </c>
      <c r="E4472" s="45" t="str">
        <f t="shared" si="24"/>
        <v/>
      </c>
      <c r="F4472" s="59" t="str">
        <f t="shared" si="25"/>
        <v/>
      </c>
      <c r="G4472" s="59" t="str">
        <f t="shared" si="26"/>
        <v/>
      </c>
      <c r="H4472" s="59" t="str">
        <f t="shared" si="27"/>
        <v>28H01364</v>
      </c>
      <c r="I4472" s="59" t="str">
        <f>IF(OR($A4472="",$C4472="",$D4472="",$E4472="",$H4472=""),"",SUMIFS(DATA_GOC!$H:$H,DATA_GOC!$A:$A,"BOM",DATA_GOC!$D:$D,$H4472,DATA_GOC!$E:$E,$C4472,DATA_GOC!$F:$F,"Xuất nội bộ từ téc",DATA_GOC!$B:$B,"&gt;="&amp;$D4472,DATA_GOC!$B:$B,"&lt;="&amp;$E4472))</f>
        <v/>
      </c>
      <c r="J4472" s="59">
        <f t="shared" si="28"/>
        <v>0</v>
      </c>
      <c r="K4472" s="59">
        <f t="shared" si="29"/>
        <v>0</v>
      </c>
      <c r="L4472" s="59">
        <f t="shared" si="30"/>
        <v>0</v>
      </c>
      <c r="M4472" s="59">
        <f t="shared" si="31"/>
        <v>0</v>
      </c>
    </row>
    <row r="4473" ht="15.0" hidden="1" customHeight="1">
      <c r="A4473" s="59">
        <f t="shared" si="20"/>
        <v>71</v>
      </c>
      <c r="B4473" s="59" t="str">
        <f t="shared" si="21"/>
        <v/>
      </c>
      <c r="C4473" s="59" t="str">
        <f t="shared" si="22"/>
        <v/>
      </c>
      <c r="D4473" s="45" t="str">
        <f t="shared" si="23"/>
        <v/>
      </c>
      <c r="E4473" s="45" t="str">
        <f t="shared" si="24"/>
        <v/>
      </c>
      <c r="F4473" s="59" t="str">
        <f t="shared" si="25"/>
        <v/>
      </c>
      <c r="G4473" s="59" t="str">
        <f t="shared" si="26"/>
        <v/>
      </c>
      <c r="H4473" s="59" t="str">
        <f t="shared" si="27"/>
        <v>29E17269</v>
      </c>
      <c r="I4473" s="59" t="str">
        <f>IF(OR($A4473="",$C4473="",$D4473="",$E4473="",$H4473=""),"",SUMIFS(DATA_GOC!$H:$H,DATA_GOC!$A:$A,"BOM",DATA_GOC!$D:$D,$H4473,DATA_GOC!$E:$E,$C4473,DATA_GOC!$F:$F,"Xuất nội bộ từ téc",DATA_GOC!$B:$B,"&gt;="&amp;$D4473,DATA_GOC!$B:$B,"&lt;="&amp;$E4473))</f>
        <v/>
      </c>
      <c r="J4473" s="59">
        <f t="shared" si="28"/>
        <v>0</v>
      </c>
      <c r="K4473" s="59">
        <f t="shared" si="29"/>
        <v>0</v>
      </c>
      <c r="L4473" s="59">
        <f t="shared" si="30"/>
        <v>0</v>
      </c>
      <c r="M4473" s="59">
        <f t="shared" si="31"/>
        <v>0</v>
      </c>
    </row>
    <row r="4474" ht="15.0" hidden="1" customHeight="1">
      <c r="A4474" s="59">
        <f t="shared" si="20"/>
        <v>71</v>
      </c>
      <c r="B4474" s="59" t="str">
        <f t="shared" si="21"/>
        <v/>
      </c>
      <c r="C4474" s="59" t="str">
        <f t="shared" si="22"/>
        <v/>
      </c>
      <c r="D4474" s="45" t="str">
        <f t="shared" si="23"/>
        <v/>
      </c>
      <c r="E4474" s="45" t="str">
        <f t="shared" si="24"/>
        <v/>
      </c>
      <c r="F4474" s="59" t="str">
        <f t="shared" si="25"/>
        <v/>
      </c>
      <c r="G4474" s="59" t="str">
        <f t="shared" si="26"/>
        <v/>
      </c>
      <c r="H4474" s="59" t="str">
        <f t="shared" si="27"/>
        <v>29E17273</v>
      </c>
      <c r="I4474" s="59" t="str">
        <f>IF(OR($A4474="",$C4474="",$D4474="",$E4474="",$H4474=""),"",SUMIFS(DATA_GOC!$H:$H,DATA_GOC!$A:$A,"BOM",DATA_GOC!$D:$D,$H4474,DATA_GOC!$E:$E,$C4474,DATA_GOC!$F:$F,"Xuất nội bộ từ téc",DATA_GOC!$B:$B,"&gt;="&amp;$D4474,DATA_GOC!$B:$B,"&lt;="&amp;$E4474))</f>
        <v/>
      </c>
      <c r="J4474" s="59">
        <f t="shared" si="28"/>
        <v>0</v>
      </c>
      <c r="K4474" s="59">
        <f t="shared" si="29"/>
        <v>0</v>
      </c>
      <c r="L4474" s="59">
        <f t="shared" si="30"/>
        <v>0</v>
      </c>
      <c r="M4474" s="59">
        <f t="shared" si="31"/>
        <v>0</v>
      </c>
    </row>
    <row r="4475" ht="15.0" hidden="1" customHeight="1">
      <c r="A4475" s="59">
        <f t="shared" si="20"/>
        <v>71</v>
      </c>
      <c r="B4475" s="59" t="str">
        <f t="shared" si="21"/>
        <v/>
      </c>
      <c r="C4475" s="59" t="str">
        <f t="shared" si="22"/>
        <v/>
      </c>
      <c r="D4475" s="45" t="str">
        <f t="shared" si="23"/>
        <v/>
      </c>
      <c r="E4475" s="45" t="str">
        <f t="shared" si="24"/>
        <v/>
      </c>
      <c r="F4475" s="59" t="str">
        <f t="shared" si="25"/>
        <v/>
      </c>
      <c r="G4475" s="59" t="str">
        <f t="shared" si="26"/>
        <v/>
      </c>
      <c r="H4475" s="59" t="str">
        <f t="shared" si="27"/>
        <v>29E17410</v>
      </c>
      <c r="I4475" s="59" t="str">
        <f>IF(OR($A4475="",$C4475="",$D4475="",$E4475="",$H4475=""),"",SUMIFS(DATA_GOC!$H:$H,DATA_GOC!$A:$A,"BOM",DATA_GOC!$D:$D,$H4475,DATA_GOC!$E:$E,$C4475,DATA_GOC!$F:$F,"Xuất nội bộ từ téc",DATA_GOC!$B:$B,"&gt;="&amp;$D4475,DATA_GOC!$B:$B,"&lt;="&amp;$E4475))</f>
        <v/>
      </c>
      <c r="J4475" s="59">
        <f t="shared" si="28"/>
        <v>0</v>
      </c>
      <c r="K4475" s="59">
        <f t="shared" si="29"/>
        <v>0</v>
      </c>
      <c r="L4475" s="59">
        <f t="shared" si="30"/>
        <v>0</v>
      </c>
      <c r="M4475" s="59">
        <f t="shared" si="31"/>
        <v>0</v>
      </c>
    </row>
    <row r="4476" ht="15.0" hidden="1" customHeight="1">
      <c r="A4476" s="59">
        <f t="shared" si="20"/>
        <v>71</v>
      </c>
      <c r="B4476" s="59" t="str">
        <f t="shared" si="21"/>
        <v/>
      </c>
      <c r="C4476" s="59" t="str">
        <f t="shared" si="22"/>
        <v/>
      </c>
      <c r="D4476" s="45" t="str">
        <f t="shared" si="23"/>
        <v/>
      </c>
      <c r="E4476" s="45" t="str">
        <f t="shared" si="24"/>
        <v/>
      </c>
      <c r="F4476" s="59" t="str">
        <f t="shared" si="25"/>
        <v/>
      </c>
      <c r="G4476" s="59" t="str">
        <f t="shared" si="26"/>
        <v/>
      </c>
      <c r="H4476" s="59" t="str">
        <f t="shared" si="27"/>
        <v>29E17417</v>
      </c>
      <c r="I4476" s="59" t="str">
        <f>IF(OR($A4476="",$C4476="",$D4476="",$E4476="",$H4476=""),"",SUMIFS(DATA_GOC!$H:$H,DATA_GOC!$A:$A,"BOM",DATA_GOC!$D:$D,$H4476,DATA_GOC!$E:$E,$C4476,DATA_GOC!$F:$F,"Xuất nội bộ từ téc",DATA_GOC!$B:$B,"&gt;="&amp;$D4476,DATA_GOC!$B:$B,"&lt;="&amp;$E4476))</f>
        <v/>
      </c>
      <c r="J4476" s="59">
        <f t="shared" si="28"/>
        <v>0</v>
      </c>
      <c r="K4476" s="59">
        <f t="shared" si="29"/>
        <v>0</v>
      </c>
      <c r="L4476" s="59">
        <f t="shared" si="30"/>
        <v>0</v>
      </c>
      <c r="M4476" s="59">
        <f t="shared" si="31"/>
        <v>0</v>
      </c>
    </row>
    <row r="4477" ht="15.0" hidden="1" customHeight="1">
      <c r="A4477" s="59">
        <f t="shared" si="20"/>
        <v>71</v>
      </c>
      <c r="B4477" s="59" t="str">
        <f t="shared" si="21"/>
        <v/>
      </c>
      <c r="C4477" s="59" t="str">
        <f t="shared" si="22"/>
        <v/>
      </c>
      <c r="D4477" s="45" t="str">
        <f t="shared" si="23"/>
        <v/>
      </c>
      <c r="E4477" s="45" t="str">
        <f t="shared" si="24"/>
        <v/>
      </c>
      <c r="F4477" s="59" t="str">
        <f t="shared" si="25"/>
        <v/>
      </c>
      <c r="G4477" s="59" t="str">
        <f t="shared" si="26"/>
        <v/>
      </c>
      <c r="H4477" s="59" t="str">
        <f t="shared" si="27"/>
        <v>29E17539</v>
      </c>
      <c r="I4477" s="59" t="str">
        <f>IF(OR($A4477="",$C4477="",$D4477="",$E4477="",$H4477=""),"",SUMIFS(DATA_GOC!$H:$H,DATA_GOC!$A:$A,"BOM",DATA_GOC!$D:$D,$H4477,DATA_GOC!$E:$E,$C4477,DATA_GOC!$F:$F,"Xuất nội bộ từ téc",DATA_GOC!$B:$B,"&gt;="&amp;$D4477,DATA_GOC!$B:$B,"&lt;="&amp;$E4477))</f>
        <v/>
      </c>
      <c r="J4477" s="59">
        <f t="shared" si="28"/>
        <v>0</v>
      </c>
      <c r="K4477" s="59">
        <f t="shared" si="29"/>
        <v>0</v>
      </c>
      <c r="L4477" s="59">
        <f t="shared" si="30"/>
        <v>0</v>
      </c>
      <c r="M4477" s="59">
        <f t="shared" si="31"/>
        <v>0</v>
      </c>
    </row>
    <row r="4478" ht="15.0" hidden="1" customHeight="1">
      <c r="A4478" s="59">
        <f t="shared" si="20"/>
        <v>71</v>
      </c>
      <c r="B4478" s="59" t="str">
        <f t="shared" si="21"/>
        <v/>
      </c>
      <c r="C4478" s="59" t="str">
        <f t="shared" si="22"/>
        <v/>
      </c>
      <c r="D4478" s="45" t="str">
        <f t="shared" si="23"/>
        <v/>
      </c>
      <c r="E4478" s="45" t="str">
        <f t="shared" si="24"/>
        <v/>
      </c>
      <c r="F4478" s="59" t="str">
        <f t="shared" si="25"/>
        <v/>
      </c>
      <c r="G4478" s="59" t="str">
        <f t="shared" si="26"/>
        <v/>
      </c>
      <c r="H4478" s="59" t="str">
        <f t="shared" si="27"/>
        <v>29E18160</v>
      </c>
      <c r="I4478" s="59" t="str">
        <f>IF(OR($A4478="",$C4478="",$D4478="",$E4478="",$H4478=""),"",SUMIFS(DATA_GOC!$H:$H,DATA_GOC!$A:$A,"BOM",DATA_GOC!$D:$D,$H4478,DATA_GOC!$E:$E,$C4478,DATA_GOC!$F:$F,"Xuất nội bộ từ téc",DATA_GOC!$B:$B,"&gt;="&amp;$D4478,DATA_GOC!$B:$B,"&lt;="&amp;$E4478))</f>
        <v/>
      </c>
      <c r="J4478" s="59">
        <f t="shared" si="28"/>
        <v>0</v>
      </c>
      <c r="K4478" s="59">
        <f t="shared" si="29"/>
        <v>0</v>
      </c>
      <c r="L4478" s="59">
        <f t="shared" si="30"/>
        <v>0</v>
      </c>
      <c r="M4478" s="59">
        <f t="shared" si="31"/>
        <v>0</v>
      </c>
    </row>
    <row r="4479" ht="15.0" hidden="1" customHeight="1">
      <c r="A4479" s="59">
        <f t="shared" si="20"/>
        <v>71</v>
      </c>
      <c r="B4479" s="59" t="str">
        <f t="shared" si="21"/>
        <v/>
      </c>
      <c r="C4479" s="59" t="str">
        <f t="shared" si="22"/>
        <v/>
      </c>
      <c r="D4479" s="45" t="str">
        <f t="shared" si="23"/>
        <v/>
      </c>
      <c r="E4479" s="45" t="str">
        <f t="shared" si="24"/>
        <v/>
      </c>
      <c r="F4479" s="59" t="str">
        <f t="shared" si="25"/>
        <v/>
      </c>
      <c r="G4479" s="59" t="str">
        <f t="shared" si="26"/>
        <v/>
      </c>
      <c r="H4479" s="59" t="str">
        <f t="shared" si="27"/>
        <v>Công trình Asphalt</v>
      </c>
      <c r="I4479" s="59" t="str">
        <f>IF(OR($A4479="",$C4479="",$D4479="",$E4479="",$H4479=""),"",SUMIFS(DATA_GOC!$H:$H,DATA_GOC!$A:$A,"BOM",DATA_GOC!$D:$D,$H4479,DATA_GOC!$E:$E,$C4479,DATA_GOC!$F:$F,"Xuất nội bộ từ téc",DATA_GOC!$B:$B,"&gt;="&amp;$D4479,DATA_GOC!$B:$B,"&lt;="&amp;$E4479))</f>
        <v/>
      </c>
      <c r="J4479" s="59">
        <f t="shared" si="28"/>
        <v>0</v>
      </c>
      <c r="K4479" s="59">
        <f t="shared" si="29"/>
        <v>0</v>
      </c>
      <c r="L4479" s="59">
        <f t="shared" si="30"/>
        <v>0</v>
      </c>
      <c r="M4479" s="59">
        <f t="shared" si="31"/>
        <v>0</v>
      </c>
    </row>
    <row r="4480" ht="15.0" hidden="1" customHeight="1">
      <c r="A4480" s="59">
        <f t="shared" si="20"/>
        <v>71</v>
      </c>
      <c r="B4480" s="59" t="str">
        <f t="shared" si="21"/>
        <v/>
      </c>
      <c r="C4480" s="59" t="str">
        <f t="shared" si="22"/>
        <v/>
      </c>
      <c r="D4480" s="45" t="str">
        <f t="shared" si="23"/>
        <v/>
      </c>
      <c r="E4480" s="45" t="str">
        <f t="shared" si="24"/>
        <v/>
      </c>
      <c r="F4480" s="59" t="str">
        <f t="shared" si="25"/>
        <v/>
      </c>
      <c r="G4480" s="59" t="str">
        <f t="shared" si="26"/>
        <v/>
      </c>
      <c r="H4480" s="59" t="str">
        <f t="shared" si="27"/>
        <v>LG53F</v>
      </c>
      <c r="I4480" s="59" t="str">
        <f>IF(OR($A4480="",$C4480="",$D4480="",$E4480="",$H4480=""),"",SUMIFS(DATA_GOC!$H:$H,DATA_GOC!$A:$A,"BOM",DATA_GOC!$D:$D,$H4480,DATA_GOC!$E:$E,$C4480,DATA_GOC!$F:$F,"Xuất nội bộ từ téc",DATA_GOC!$B:$B,"&gt;="&amp;$D4480,DATA_GOC!$B:$B,"&lt;="&amp;$E4480))</f>
        <v/>
      </c>
      <c r="J4480" s="59">
        <f t="shared" si="28"/>
        <v>0</v>
      </c>
      <c r="K4480" s="59">
        <f t="shared" si="29"/>
        <v>0</v>
      </c>
      <c r="L4480" s="59">
        <f t="shared" si="30"/>
        <v>0</v>
      </c>
      <c r="M4480" s="59">
        <f t="shared" si="31"/>
        <v>0</v>
      </c>
    </row>
    <row r="4481" ht="15.0" hidden="1" customHeight="1">
      <c r="A4481" s="59">
        <f t="shared" si="20"/>
        <v>71</v>
      </c>
      <c r="B4481" s="59" t="str">
        <f t="shared" si="21"/>
        <v/>
      </c>
      <c r="C4481" s="59" t="str">
        <f t="shared" si="22"/>
        <v/>
      </c>
      <c r="D4481" s="45" t="str">
        <f t="shared" si="23"/>
        <v/>
      </c>
      <c r="E4481" s="45" t="str">
        <f t="shared" si="24"/>
        <v/>
      </c>
      <c r="F4481" s="59" t="str">
        <f t="shared" si="25"/>
        <v/>
      </c>
      <c r="G4481" s="59" t="str">
        <f t="shared" si="26"/>
        <v/>
      </c>
      <c r="H4481" s="59" t="str">
        <f t="shared" si="27"/>
        <v>Máy phát điện</v>
      </c>
      <c r="I4481" s="59" t="str">
        <f>IF(OR($A4481="",$C4481="",$D4481="",$E4481="",$H4481=""),"",SUMIFS(DATA_GOC!$H:$H,DATA_GOC!$A:$A,"BOM",DATA_GOC!$D:$D,$H4481,DATA_GOC!$E:$E,$C4481,DATA_GOC!$F:$F,"Xuất nội bộ từ téc",DATA_GOC!$B:$B,"&gt;="&amp;$D4481,DATA_GOC!$B:$B,"&lt;="&amp;$E4481))</f>
        <v/>
      </c>
      <c r="J4481" s="59">
        <f t="shared" si="28"/>
        <v>0</v>
      </c>
      <c r="K4481" s="59">
        <f t="shared" si="29"/>
        <v>0</v>
      </c>
      <c r="L4481" s="59">
        <f t="shared" si="30"/>
        <v>0</v>
      </c>
      <c r="M4481" s="59">
        <f t="shared" si="31"/>
        <v>0</v>
      </c>
    </row>
    <row r="4482" ht="15.0" hidden="1" customHeight="1">
      <c r="A4482" s="59">
        <f t="shared" si="20"/>
        <v>71</v>
      </c>
      <c r="B4482" s="59" t="str">
        <f t="shared" si="21"/>
        <v/>
      </c>
      <c r="C4482" s="59" t="str">
        <f t="shared" si="22"/>
        <v/>
      </c>
      <c r="D4482" s="45" t="str">
        <f t="shared" si="23"/>
        <v/>
      </c>
      <c r="E4482" s="45" t="str">
        <f t="shared" si="24"/>
        <v/>
      </c>
      <c r="F4482" s="59" t="str">
        <f t="shared" si="25"/>
        <v/>
      </c>
      <c r="G4482" s="59" t="str">
        <f t="shared" si="26"/>
        <v/>
      </c>
      <c r="H4482" s="59" t="str">
        <f t="shared" si="27"/>
        <v>Máy rải thảm</v>
      </c>
      <c r="I4482" s="59" t="str">
        <f>IF(OR($A4482="",$C4482="",$D4482="",$E4482="",$H4482=""),"",SUMIFS(DATA_GOC!$H:$H,DATA_GOC!$A:$A,"BOM",DATA_GOC!$D:$D,$H4482,DATA_GOC!$E:$E,$C4482,DATA_GOC!$F:$F,"Xuất nội bộ từ téc",DATA_GOC!$B:$B,"&gt;="&amp;$D4482,DATA_GOC!$B:$B,"&lt;="&amp;$E4482))</f>
        <v/>
      </c>
      <c r="J4482" s="59">
        <f t="shared" si="28"/>
        <v>0</v>
      </c>
      <c r="K4482" s="59">
        <f t="shared" si="29"/>
        <v>0</v>
      </c>
      <c r="L4482" s="59">
        <f t="shared" si="30"/>
        <v>0</v>
      </c>
      <c r="M4482" s="59">
        <f t="shared" si="31"/>
        <v>0</v>
      </c>
    </row>
    <row r="4483" ht="15.0" hidden="1" customHeight="1">
      <c r="A4483" s="59">
        <f t="shared" si="20"/>
        <v>71</v>
      </c>
      <c r="B4483" s="59" t="str">
        <f t="shared" si="21"/>
        <v/>
      </c>
      <c r="C4483" s="59" t="str">
        <f t="shared" si="22"/>
        <v/>
      </c>
      <c r="D4483" s="45" t="str">
        <f t="shared" si="23"/>
        <v/>
      </c>
      <c r="E4483" s="45" t="str">
        <f t="shared" si="24"/>
        <v/>
      </c>
      <c r="F4483" s="59" t="str">
        <f t="shared" si="25"/>
        <v/>
      </c>
      <c r="G4483" s="59" t="str">
        <f t="shared" si="26"/>
        <v/>
      </c>
      <c r="H4483" s="59" t="str">
        <f t="shared" si="27"/>
        <v>Xúc Đào</v>
      </c>
      <c r="I4483" s="59" t="str">
        <f>IF(OR($A4483="",$C4483="",$D4483="",$E4483="",$H4483=""),"",SUMIFS(DATA_GOC!$H:$H,DATA_GOC!$A:$A,"BOM",DATA_GOC!$D:$D,$H4483,DATA_GOC!$E:$E,$C4483,DATA_GOC!$F:$F,"Xuất nội bộ từ téc",DATA_GOC!$B:$B,"&gt;="&amp;$D4483,DATA_GOC!$B:$B,"&lt;="&amp;$E4483))</f>
        <v/>
      </c>
      <c r="J4483" s="59">
        <f t="shared" si="28"/>
        <v>0</v>
      </c>
      <c r="K4483" s="59">
        <f t="shared" si="29"/>
        <v>0</v>
      </c>
      <c r="L4483" s="59">
        <f t="shared" si="30"/>
        <v>0</v>
      </c>
      <c r="M4483" s="59">
        <f t="shared" si="31"/>
        <v>0</v>
      </c>
    </row>
    <row r="4484" ht="15.0" hidden="1" customHeight="1">
      <c r="A4484" s="59">
        <f t="shared" si="20"/>
        <v>71</v>
      </c>
      <c r="B4484" s="59" t="str">
        <f t="shared" si="21"/>
        <v/>
      </c>
      <c r="C4484" s="59" t="str">
        <f t="shared" si="22"/>
        <v/>
      </c>
      <c r="D4484" s="45" t="str">
        <f t="shared" si="23"/>
        <v/>
      </c>
      <c r="E4484" s="45" t="str">
        <f t="shared" si="24"/>
        <v/>
      </c>
      <c r="F4484" s="59" t="str">
        <f t="shared" si="25"/>
        <v/>
      </c>
      <c r="G4484" s="59" t="str">
        <f t="shared" si="26"/>
        <v/>
      </c>
      <c r="H4484" s="59" t="str">
        <f t="shared" si="27"/>
        <v>Xúclật asphalt</v>
      </c>
      <c r="I4484" s="59" t="str">
        <f>IF(OR($A4484="",$C4484="",$D4484="",$E4484="",$H4484=""),"",SUMIFS(DATA_GOC!$H:$H,DATA_GOC!$A:$A,"BOM",DATA_GOC!$D:$D,$H4484,DATA_GOC!$E:$E,$C4484,DATA_GOC!$F:$F,"Xuất nội bộ từ téc",DATA_GOC!$B:$B,"&gt;="&amp;$D4484,DATA_GOC!$B:$B,"&lt;="&amp;$E4484))</f>
        <v/>
      </c>
      <c r="J4484" s="59">
        <f t="shared" si="28"/>
        <v>0</v>
      </c>
      <c r="K4484" s="59">
        <f t="shared" si="29"/>
        <v>0</v>
      </c>
      <c r="L4484" s="59">
        <f t="shared" si="30"/>
        <v>0</v>
      </c>
      <c r="M4484" s="59">
        <f t="shared" si="31"/>
        <v>0</v>
      </c>
    </row>
    <row r="4485" ht="15.0" hidden="1" customHeight="1">
      <c r="A4485" s="59">
        <f t="shared" si="20"/>
        <v>71</v>
      </c>
      <c r="B4485" s="59" t="str">
        <f t="shared" si="21"/>
        <v/>
      </c>
      <c r="C4485" s="59" t="str">
        <f t="shared" si="22"/>
        <v/>
      </c>
      <c r="D4485" s="45" t="str">
        <f t="shared" si="23"/>
        <v/>
      </c>
      <c r="E4485" s="45" t="str">
        <f t="shared" si="24"/>
        <v/>
      </c>
      <c r="F4485" s="59" t="str">
        <f t="shared" si="25"/>
        <v/>
      </c>
      <c r="G4485" s="59" t="str">
        <f t="shared" si="26"/>
        <v/>
      </c>
      <c r="H4485" s="59" t="str">
        <f t="shared" si="27"/>
        <v>Xúclật855H</v>
      </c>
      <c r="I4485" s="59" t="str">
        <f>IF(OR($A4485="",$C4485="",$D4485="",$E4485="",$H4485=""),"",SUMIFS(DATA_GOC!$H:$H,DATA_GOC!$A:$A,"BOM",DATA_GOC!$D:$D,$H4485,DATA_GOC!$E:$E,$C4485,DATA_GOC!$F:$F,"Xuất nội bộ từ téc",DATA_GOC!$B:$B,"&gt;="&amp;$D4485,DATA_GOC!$B:$B,"&lt;="&amp;$E4485))</f>
        <v/>
      </c>
      <c r="J4485" s="59">
        <f t="shared" si="28"/>
        <v>0</v>
      </c>
      <c r="K4485" s="59">
        <f t="shared" si="29"/>
        <v>0</v>
      </c>
      <c r="L4485" s="59">
        <f t="shared" si="30"/>
        <v>0</v>
      </c>
      <c r="M4485" s="59">
        <f t="shared" si="31"/>
        <v>0</v>
      </c>
    </row>
    <row r="4486" ht="15.0" hidden="1" customHeight="1">
      <c r="A4486" s="59">
        <f t="shared" si="20"/>
        <v>71</v>
      </c>
      <c r="B4486" s="59" t="str">
        <f t="shared" si="21"/>
        <v/>
      </c>
      <c r="C4486" s="59" t="str">
        <f t="shared" si="22"/>
        <v/>
      </c>
      <c r="D4486" s="45" t="str">
        <f t="shared" si="23"/>
        <v/>
      </c>
      <c r="E4486" s="45" t="str">
        <f t="shared" si="24"/>
        <v/>
      </c>
      <c r="F4486" s="59" t="str">
        <f t="shared" si="25"/>
        <v/>
      </c>
      <c r="G4486" s="59" t="str">
        <f t="shared" si="26"/>
        <v/>
      </c>
      <c r="H4486" s="59" t="str">
        <f t="shared" si="27"/>
        <v>Xúclật855N</v>
      </c>
      <c r="I4486" s="59" t="str">
        <f>IF(OR($A4486="",$C4486="",$D4486="",$E4486="",$H4486=""),"",SUMIFS(DATA_GOC!$H:$H,DATA_GOC!$A:$A,"BOM",DATA_GOC!$D:$D,$H4486,DATA_GOC!$E:$E,$C4486,DATA_GOC!$F:$F,"Xuất nội bộ từ téc",DATA_GOC!$B:$B,"&gt;="&amp;$D4486,DATA_GOC!$B:$B,"&lt;="&amp;$E4486))</f>
        <v/>
      </c>
      <c r="J4486" s="59">
        <f t="shared" si="28"/>
        <v>0</v>
      </c>
      <c r="K4486" s="59">
        <f t="shared" si="29"/>
        <v>0</v>
      </c>
      <c r="L4486" s="59">
        <f t="shared" si="30"/>
        <v>0</v>
      </c>
      <c r="M4486" s="59">
        <f t="shared" si="31"/>
        <v>0</v>
      </c>
    </row>
    <row r="4487" ht="15.0" hidden="1" customHeight="1">
      <c r="A4487" s="59">
        <f t="shared" si="20"/>
        <v>71</v>
      </c>
      <c r="B4487" s="59" t="str">
        <f t="shared" si="21"/>
        <v/>
      </c>
      <c r="C4487" s="59" t="str">
        <f t="shared" si="22"/>
        <v/>
      </c>
      <c r="D4487" s="45" t="str">
        <f t="shared" si="23"/>
        <v/>
      </c>
      <c r="E4487" s="45" t="str">
        <f t="shared" si="24"/>
        <v/>
      </c>
      <c r="F4487" s="59" t="str">
        <f t="shared" si="25"/>
        <v/>
      </c>
      <c r="G4487" s="59" t="str">
        <f t="shared" si="26"/>
        <v/>
      </c>
      <c r="H4487" s="59" t="str">
        <f t="shared" si="27"/>
        <v>Cát nghiền</v>
      </c>
      <c r="I4487" s="59" t="str">
        <f>IF(OR($A4487="",$C4487="",$D4487="",$E4487="",$H4487=""),"",SUMIFS(DATA_GOC!$H:$H,DATA_GOC!$A:$A,"BOM",DATA_GOC!$D:$D,$H4487,DATA_GOC!$E:$E,$C4487,DATA_GOC!$F:$F,"Xuất nội bộ từ téc",DATA_GOC!$B:$B,"&gt;="&amp;$D4487,DATA_GOC!$B:$B,"&lt;="&amp;$E4487))</f>
        <v/>
      </c>
      <c r="J4487" s="59">
        <f t="shared" si="28"/>
        <v>0</v>
      </c>
      <c r="K4487" s="59">
        <f t="shared" si="29"/>
        <v>0</v>
      </c>
      <c r="L4487" s="59">
        <f t="shared" si="30"/>
        <v>0</v>
      </c>
      <c r="M4487" s="59">
        <f t="shared" si="31"/>
        <v>0</v>
      </c>
    </row>
    <row r="4488" ht="15.0" hidden="1" customHeight="1">
      <c r="A4488" s="59">
        <f t="shared" si="20"/>
        <v>71</v>
      </c>
      <c r="B4488" s="59" t="str">
        <f t="shared" si="21"/>
        <v/>
      </c>
      <c r="C4488" s="59" t="str">
        <f t="shared" si="22"/>
        <v/>
      </c>
      <c r="D4488" s="45" t="str">
        <f t="shared" si="23"/>
        <v/>
      </c>
      <c r="E4488" s="45" t="str">
        <f t="shared" si="24"/>
        <v/>
      </c>
      <c r="F4488" s="59" t="str">
        <f t="shared" si="25"/>
        <v/>
      </c>
      <c r="G4488" s="59" t="str">
        <f t="shared" si="26"/>
        <v/>
      </c>
      <c r="H4488" s="59" t="str">
        <f t="shared" si="27"/>
        <v>28C02973</v>
      </c>
      <c r="I4488" s="59" t="str">
        <f>IF(OR($A4488="",$C4488="",$D4488="",$E4488="",$H4488=""),"",SUMIFS(DATA_GOC!$H:$H,DATA_GOC!$A:$A,"BOM",DATA_GOC!$D:$D,$H4488,DATA_GOC!$E:$E,$C4488,DATA_GOC!$F:$F,"Xuất nội bộ từ téc",DATA_GOC!$B:$B,"&gt;="&amp;$D4488,DATA_GOC!$B:$B,"&lt;="&amp;$E4488))</f>
        <v/>
      </c>
      <c r="J4488" s="59">
        <f t="shared" si="28"/>
        <v>0</v>
      </c>
      <c r="K4488" s="59">
        <f t="shared" si="29"/>
        <v>0</v>
      </c>
      <c r="L4488" s="59">
        <f t="shared" si="30"/>
        <v>0</v>
      </c>
      <c r="M4488" s="59">
        <f t="shared" si="31"/>
        <v>0</v>
      </c>
    </row>
    <row r="4489" ht="15.0" hidden="1" customHeight="1">
      <c r="A4489" s="59">
        <f t="shared" si="20"/>
        <v>71</v>
      </c>
      <c r="B4489" s="59" t="str">
        <f t="shared" si="21"/>
        <v/>
      </c>
      <c r="C4489" s="59" t="str">
        <f t="shared" si="22"/>
        <v/>
      </c>
      <c r="D4489" s="45" t="str">
        <f t="shared" si="23"/>
        <v/>
      </c>
      <c r="E4489" s="45" t="str">
        <f t="shared" si="24"/>
        <v/>
      </c>
      <c r="F4489" s="59" t="str">
        <f t="shared" si="25"/>
        <v/>
      </c>
      <c r="G4489" s="59" t="str">
        <f t="shared" si="26"/>
        <v/>
      </c>
      <c r="H4489" s="59" t="str">
        <f t="shared" si="27"/>
        <v>28C03044</v>
      </c>
      <c r="I4489" s="59" t="str">
        <f>IF(OR($A4489="",$C4489="",$D4489="",$E4489="",$H4489=""),"",SUMIFS(DATA_GOC!$H:$H,DATA_GOC!$A:$A,"BOM",DATA_GOC!$D:$D,$H4489,DATA_GOC!$E:$E,$C4489,DATA_GOC!$F:$F,"Xuất nội bộ từ téc",DATA_GOC!$B:$B,"&gt;="&amp;$D4489,DATA_GOC!$B:$B,"&lt;="&amp;$E4489))</f>
        <v/>
      </c>
      <c r="J4489" s="59">
        <f t="shared" si="28"/>
        <v>0</v>
      </c>
      <c r="K4489" s="59">
        <f t="shared" si="29"/>
        <v>0</v>
      </c>
      <c r="L4489" s="59">
        <f t="shared" si="30"/>
        <v>0</v>
      </c>
      <c r="M4489" s="59">
        <f t="shared" si="31"/>
        <v>0</v>
      </c>
    </row>
    <row r="4490" ht="15.0" hidden="1" customHeight="1">
      <c r="A4490" s="59">
        <f t="shared" si="20"/>
        <v>71</v>
      </c>
      <c r="B4490" s="59" t="str">
        <f t="shared" si="21"/>
        <v/>
      </c>
      <c r="C4490" s="59" t="str">
        <f t="shared" si="22"/>
        <v/>
      </c>
      <c r="D4490" s="45" t="str">
        <f t="shared" si="23"/>
        <v/>
      </c>
      <c r="E4490" s="45" t="str">
        <f t="shared" si="24"/>
        <v/>
      </c>
      <c r="F4490" s="59" t="str">
        <f t="shared" si="25"/>
        <v/>
      </c>
      <c r="G4490" s="59" t="str">
        <f t="shared" si="26"/>
        <v/>
      </c>
      <c r="H4490" s="59" t="str">
        <f t="shared" si="27"/>
        <v>Máy lu lốp</v>
      </c>
      <c r="I4490" s="59" t="str">
        <f>IF(OR($A4490="",$C4490="",$D4490="",$E4490="",$H4490=""),"",SUMIFS(DATA_GOC!$H:$H,DATA_GOC!$A:$A,"BOM",DATA_GOC!$D:$D,$H4490,DATA_GOC!$E:$E,$C4490,DATA_GOC!$F:$F,"Xuất nội bộ từ téc",DATA_GOC!$B:$B,"&gt;="&amp;$D4490,DATA_GOC!$B:$B,"&lt;="&amp;$E4490))</f>
        <v/>
      </c>
      <c r="J4490" s="59">
        <f t="shared" si="28"/>
        <v>0</v>
      </c>
      <c r="K4490" s="59">
        <f t="shared" si="29"/>
        <v>0</v>
      </c>
      <c r="L4490" s="59">
        <f t="shared" si="30"/>
        <v>0</v>
      </c>
      <c r="M4490" s="59">
        <f t="shared" si="31"/>
        <v>0</v>
      </c>
    </row>
    <row r="4491" ht="15.0" hidden="1" customHeight="1">
      <c r="A4491" s="59">
        <f t="shared" si="20"/>
        <v>71</v>
      </c>
      <c r="B4491" s="59" t="str">
        <f t="shared" si="21"/>
        <v/>
      </c>
      <c r="C4491" s="59" t="str">
        <f t="shared" si="22"/>
        <v/>
      </c>
      <c r="D4491" s="45" t="str">
        <f t="shared" si="23"/>
        <v/>
      </c>
      <c r="E4491" s="45" t="str">
        <f t="shared" si="24"/>
        <v/>
      </c>
      <c r="F4491" s="59" t="str">
        <f t="shared" si="25"/>
        <v/>
      </c>
      <c r="G4491" s="59" t="str">
        <f t="shared" si="26"/>
        <v/>
      </c>
      <c r="H4491" s="59" t="str">
        <f t="shared" si="27"/>
        <v>Xe 600148</v>
      </c>
      <c r="I4491" s="59" t="str">
        <f>IF(OR($A4491="",$C4491="",$D4491="",$E4491="",$H4491=""),"",SUMIFS(DATA_GOC!$H:$H,DATA_GOC!$A:$A,"BOM",DATA_GOC!$D:$D,$H4491,DATA_GOC!$E:$E,$C4491,DATA_GOC!$F:$F,"Xuất nội bộ từ téc",DATA_GOC!$B:$B,"&gt;="&amp;$D4491,DATA_GOC!$B:$B,"&lt;="&amp;$E4491))</f>
        <v/>
      </c>
      <c r="J4491" s="59">
        <f t="shared" si="28"/>
        <v>0</v>
      </c>
      <c r="K4491" s="59">
        <f t="shared" si="29"/>
        <v>0</v>
      </c>
      <c r="L4491" s="59">
        <f t="shared" si="30"/>
        <v>0</v>
      </c>
      <c r="M4491" s="59">
        <f t="shared" si="31"/>
        <v>0</v>
      </c>
    </row>
    <row r="4492" ht="15.0" hidden="1" customHeight="1">
      <c r="A4492" s="59">
        <f t="shared" si="20"/>
        <v>71</v>
      </c>
      <c r="B4492" s="59" t="str">
        <f t="shared" si="21"/>
        <v/>
      </c>
      <c r="C4492" s="59" t="str">
        <f t="shared" si="22"/>
        <v/>
      </c>
      <c r="D4492" s="45" t="str">
        <f t="shared" si="23"/>
        <v/>
      </c>
      <c r="E4492" s="45" t="str">
        <f t="shared" si="24"/>
        <v/>
      </c>
      <c r="F4492" s="59" t="str">
        <f t="shared" si="25"/>
        <v/>
      </c>
      <c r="G4492" s="59" t="str">
        <f t="shared" si="26"/>
        <v/>
      </c>
      <c r="H4492" s="59" t="str">
        <f t="shared" si="27"/>
        <v>Xe ben mới</v>
      </c>
      <c r="I4492" s="59" t="str">
        <f>IF(OR($A4492="",$C4492="",$D4492="",$E4492="",$H4492=""),"",SUMIFS(DATA_GOC!$H:$H,DATA_GOC!$A:$A,"BOM",DATA_GOC!$D:$D,$H4492,DATA_GOC!$E:$E,$C4492,DATA_GOC!$F:$F,"Xuất nội bộ từ téc",DATA_GOC!$B:$B,"&gt;="&amp;$D4492,DATA_GOC!$B:$B,"&lt;="&amp;$E4492))</f>
        <v/>
      </c>
      <c r="J4492" s="59">
        <f t="shared" si="28"/>
        <v>0</v>
      </c>
      <c r="K4492" s="59">
        <f t="shared" si="29"/>
        <v>0</v>
      </c>
      <c r="L4492" s="59">
        <f t="shared" si="30"/>
        <v>0</v>
      </c>
      <c r="M4492" s="59">
        <f t="shared" si="31"/>
        <v>0</v>
      </c>
    </row>
    <row r="4493" ht="15.0" hidden="1" customHeight="1">
      <c r="A4493" s="59">
        <f t="shared" si="20"/>
        <v>72</v>
      </c>
      <c r="B4493" s="59" t="str">
        <f t="shared" si="21"/>
        <v/>
      </c>
      <c r="C4493" s="59" t="str">
        <f t="shared" si="22"/>
        <v/>
      </c>
      <c r="D4493" s="45" t="str">
        <f t="shared" si="23"/>
        <v/>
      </c>
      <c r="E4493" s="45" t="str">
        <f t="shared" si="24"/>
        <v/>
      </c>
      <c r="F4493" s="59" t="str">
        <f t="shared" si="25"/>
        <v/>
      </c>
      <c r="G4493" s="59" t="str">
        <f t="shared" si="26"/>
        <v/>
      </c>
      <c r="H4493" s="59" t="str">
        <f t="shared" si="27"/>
        <v>19H09482</v>
      </c>
      <c r="I4493" s="59" t="str">
        <f>IF(OR($A4493="",$C4493="",$D4493="",$E4493="",$H4493=""),"",SUMIFS(DATA_GOC!$H:$H,DATA_GOC!$A:$A,"BOM",DATA_GOC!$D:$D,$H4493,DATA_GOC!$E:$E,$C4493,DATA_GOC!$F:$F,"Xuất nội bộ từ téc",DATA_GOC!$B:$B,"&gt;="&amp;$D4493,DATA_GOC!$B:$B,"&lt;="&amp;$E4493))</f>
        <v/>
      </c>
      <c r="J4493" s="59">
        <f t="shared" si="28"/>
        <v>0</v>
      </c>
      <c r="K4493" s="59">
        <f t="shared" si="29"/>
        <v>0</v>
      </c>
      <c r="L4493" s="59">
        <f t="shared" si="30"/>
        <v>0</v>
      </c>
      <c r="M4493" s="59">
        <f t="shared" si="31"/>
        <v>0</v>
      </c>
    </row>
    <row r="4494" ht="15.0" hidden="1" customHeight="1">
      <c r="A4494" s="59">
        <f t="shared" si="20"/>
        <v>72</v>
      </c>
      <c r="B4494" s="59" t="str">
        <f t="shared" si="21"/>
        <v/>
      </c>
      <c r="C4494" s="59" t="str">
        <f t="shared" si="22"/>
        <v/>
      </c>
      <c r="D4494" s="45" t="str">
        <f t="shared" si="23"/>
        <v/>
      </c>
      <c r="E4494" s="45" t="str">
        <f t="shared" si="24"/>
        <v/>
      </c>
      <c r="F4494" s="59" t="str">
        <f t="shared" si="25"/>
        <v/>
      </c>
      <c r="G4494" s="59" t="str">
        <f t="shared" si="26"/>
        <v/>
      </c>
      <c r="H4494" s="59" t="str">
        <f t="shared" si="27"/>
        <v>28A30696</v>
      </c>
      <c r="I4494" s="59" t="str">
        <f>IF(OR($A4494="",$C4494="",$D4494="",$E4494="",$H4494=""),"",SUMIFS(DATA_GOC!$H:$H,DATA_GOC!$A:$A,"BOM",DATA_GOC!$D:$D,$H4494,DATA_GOC!$E:$E,$C4494,DATA_GOC!$F:$F,"Xuất nội bộ từ téc",DATA_GOC!$B:$B,"&gt;="&amp;$D4494,DATA_GOC!$B:$B,"&lt;="&amp;$E4494))</f>
        <v/>
      </c>
      <c r="J4494" s="59">
        <f t="shared" si="28"/>
        <v>0</v>
      </c>
      <c r="K4494" s="59">
        <f t="shared" si="29"/>
        <v>0</v>
      </c>
      <c r="L4494" s="59">
        <f t="shared" si="30"/>
        <v>0</v>
      </c>
      <c r="M4494" s="59">
        <f t="shared" si="31"/>
        <v>0</v>
      </c>
    </row>
    <row r="4495" ht="15.0" hidden="1" customHeight="1">
      <c r="A4495" s="59">
        <f t="shared" si="20"/>
        <v>72</v>
      </c>
      <c r="B4495" s="59" t="str">
        <f t="shared" si="21"/>
        <v/>
      </c>
      <c r="C4495" s="59" t="str">
        <f t="shared" si="22"/>
        <v/>
      </c>
      <c r="D4495" s="45" t="str">
        <f t="shared" si="23"/>
        <v/>
      </c>
      <c r="E4495" s="45" t="str">
        <f t="shared" si="24"/>
        <v/>
      </c>
      <c r="F4495" s="59" t="str">
        <f t="shared" si="25"/>
        <v/>
      </c>
      <c r="G4495" s="59" t="str">
        <f t="shared" si="26"/>
        <v/>
      </c>
      <c r="H4495" s="59" t="str">
        <f t="shared" si="27"/>
        <v>28C00462</v>
      </c>
      <c r="I4495" s="59" t="str">
        <f>IF(OR($A4495="",$C4495="",$D4495="",$E4495="",$H4495=""),"",SUMIFS(DATA_GOC!$H:$H,DATA_GOC!$A:$A,"BOM",DATA_GOC!$D:$D,$H4495,DATA_GOC!$E:$E,$C4495,DATA_GOC!$F:$F,"Xuất nội bộ từ téc",DATA_GOC!$B:$B,"&gt;="&amp;$D4495,DATA_GOC!$B:$B,"&lt;="&amp;$E4495))</f>
        <v/>
      </c>
      <c r="J4495" s="59">
        <f t="shared" si="28"/>
        <v>0</v>
      </c>
      <c r="K4495" s="59">
        <f t="shared" si="29"/>
        <v>0</v>
      </c>
      <c r="L4495" s="59">
        <f t="shared" si="30"/>
        <v>0</v>
      </c>
      <c r="M4495" s="59">
        <f t="shared" si="31"/>
        <v>0</v>
      </c>
    </row>
    <row r="4496" ht="15.0" hidden="1" customHeight="1">
      <c r="A4496" s="59">
        <f t="shared" si="20"/>
        <v>72</v>
      </c>
      <c r="B4496" s="59" t="str">
        <f t="shared" si="21"/>
        <v/>
      </c>
      <c r="C4496" s="59" t="str">
        <f t="shared" si="22"/>
        <v/>
      </c>
      <c r="D4496" s="45" t="str">
        <f t="shared" si="23"/>
        <v/>
      </c>
      <c r="E4496" s="45" t="str">
        <f t="shared" si="24"/>
        <v/>
      </c>
      <c r="F4496" s="59" t="str">
        <f t="shared" si="25"/>
        <v/>
      </c>
      <c r="G4496" s="59" t="str">
        <f t="shared" si="26"/>
        <v/>
      </c>
      <c r="H4496" s="59" t="str">
        <f t="shared" si="27"/>
        <v>28C01165</v>
      </c>
      <c r="I4496" s="59" t="str">
        <f>IF(OR($A4496="",$C4496="",$D4496="",$E4496="",$H4496=""),"",SUMIFS(DATA_GOC!$H:$H,DATA_GOC!$A:$A,"BOM",DATA_GOC!$D:$D,$H4496,DATA_GOC!$E:$E,$C4496,DATA_GOC!$F:$F,"Xuất nội bộ từ téc",DATA_GOC!$B:$B,"&gt;="&amp;$D4496,DATA_GOC!$B:$B,"&lt;="&amp;$E4496))</f>
        <v/>
      </c>
      <c r="J4496" s="59">
        <f t="shared" si="28"/>
        <v>0</v>
      </c>
      <c r="K4496" s="59">
        <f t="shared" si="29"/>
        <v>0</v>
      </c>
      <c r="L4496" s="59">
        <f t="shared" si="30"/>
        <v>0</v>
      </c>
      <c r="M4496" s="59">
        <f t="shared" si="31"/>
        <v>0</v>
      </c>
    </row>
    <row r="4497" ht="15.0" hidden="1" customHeight="1">
      <c r="A4497" s="59">
        <f t="shared" si="20"/>
        <v>72</v>
      </c>
      <c r="B4497" s="59" t="str">
        <f t="shared" si="21"/>
        <v/>
      </c>
      <c r="C4497" s="59" t="str">
        <f t="shared" si="22"/>
        <v/>
      </c>
      <c r="D4497" s="45" t="str">
        <f t="shared" si="23"/>
        <v/>
      </c>
      <c r="E4497" s="45" t="str">
        <f t="shared" si="24"/>
        <v/>
      </c>
      <c r="F4497" s="59" t="str">
        <f t="shared" si="25"/>
        <v/>
      </c>
      <c r="G4497" s="59" t="str">
        <f t="shared" si="26"/>
        <v/>
      </c>
      <c r="H4497" s="59" t="str">
        <f t="shared" si="27"/>
        <v>28C01406</v>
      </c>
      <c r="I4497" s="59" t="str">
        <f>IF(OR($A4497="",$C4497="",$D4497="",$E4497="",$H4497=""),"",SUMIFS(DATA_GOC!$H:$H,DATA_GOC!$A:$A,"BOM",DATA_GOC!$D:$D,$H4497,DATA_GOC!$E:$E,$C4497,DATA_GOC!$F:$F,"Xuất nội bộ từ téc",DATA_GOC!$B:$B,"&gt;="&amp;$D4497,DATA_GOC!$B:$B,"&lt;="&amp;$E4497))</f>
        <v/>
      </c>
      <c r="J4497" s="59">
        <f t="shared" si="28"/>
        <v>0</v>
      </c>
      <c r="K4497" s="59">
        <f t="shared" si="29"/>
        <v>0</v>
      </c>
      <c r="L4497" s="59">
        <f t="shared" si="30"/>
        <v>0</v>
      </c>
      <c r="M4497" s="59">
        <f t="shared" si="31"/>
        <v>0</v>
      </c>
    </row>
    <row r="4498" ht="15.0" hidden="1" customHeight="1">
      <c r="A4498" s="59">
        <f t="shared" si="20"/>
        <v>72</v>
      </c>
      <c r="B4498" s="59" t="str">
        <f t="shared" si="21"/>
        <v/>
      </c>
      <c r="C4498" s="59" t="str">
        <f t="shared" si="22"/>
        <v/>
      </c>
      <c r="D4498" s="45" t="str">
        <f t="shared" si="23"/>
        <v/>
      </c>
      <c r="E4498" s="45" t="str">
        <f t="shared" si="24"/>
        <v/>
      </c>
      <c r="F4498" s="59" t="str">
        <f t="shared" si="25"/>
        <v/>
      </c>
      <c r="G4498" s="59" t="str">
        <f t="shared" si="26"/>
        <v/>
      </c>
      <c r="H4498" s="59" t="str">
        <f t="shared" si="27"/>
        <v>28C01544</v>
      </c>
      <c r="I4498" s="59" t="str">
        <f>IF(OR($A4498="",$C4498="",$D4498="",$E4498="",$H4498=""),"",SUMIFS(DATA_GOC!$H:$H,DATA_GOC!$A:$A,"BOM",DATA_GOC!$D:$D,$H4498,DATA_GOC!$E:$E,$C4498,DATA_GOC!$F:$F,"Xuất nội bộ từ téc",DATA_GOC!$B:$B,"&gt;="&amp;$D4498,DATA_GOC!$B:$B,"&lt;="&amp;$E4498))</f>
        <v/>
      </c>
      <c r="J4498" s="59">
        <f t="shared" si="28"/>
        <v>0</v>
      </c>
      <c r="K4498" s="59">
        <f t="shared" si="29"/>
        <v>0</v>
      </c>
      <c r="L4498" s="59">
        <f t="shared" si="30"/>
        <v>0</v>
      </c>
      <c r="M4498" s="59">
        <f t="shared" si="31"/>
        <v>0</v>
      </c>
    </row>
    <row r="4499" ht="15.0" hidden="1" customHeight="1">
      <c r="A4499" s="59">
        <f t="shared" si="20"/>
        <v>72</v>
      </c>
      <c r="B4499" s="59" t="str">
        <f t="shared" si="21"/>
        <v/>
      </c>
      <c r="C4499" s="59" t="str">
        <f t="shared" si="22"/>
        <v/>
      </c>
      <c r="D4499" s="45" t="str">
        <f t="shared" si="23"/>
        <v/>
      </c>
      <c r="E4499" s="45" t="str">
        <f t="shared" si="24"/>
        <v/>
      </c>
      <c r="F4499" s="59" t="str">
        <f t="shared" si="25"/>
        <v/>
      </c>
      <c r="G4499" s="59" t="str">
        <f t="shared" si="26"/>
        <v/>
      </c>
      <c r="H4499" s="59" t="str">
        <f t="shared" si="27"/>
        <v>28C01622</v>
      </c>
      <c r="I4499" s="59" t="str">
        <f>IF(OR($A4499="",$C4499="",$D4499="",$E4499="",$H4499=""),"",SUMIFS(DATA_GOC!$H:$H,DATA_GOC!$A:$A,"BOM",DATA_GOC!$D:$D,$H4499,DATA_GOC!$E:$E,$C4499,DATA_GOC!$F:$F,"Xuất nội bộ từ téc",DATA_GOC!$B:$B,"&gt;="&amp;$D4499,DATA_GOC!$B:$B,"&lt;="&amp;$E4499))</f>
        <v/>
      </c>
      <c r="J4499" s="59">
        <f t="shared" si="28"/>
        <v>0</v>
      </c>
      <c r="K4499" s="59">
        <f t="shared" si="29"/>
        <v>0</v>
      </c>
      <c r="L4499" s="59">
        <f t="shared" si="30"/>
        <v>0</v>
      </c>
      <c r="M4499" s="59">
        <f t="shared" si="31"/>
        <v>0</v>
      </c>
    </row>
    <row r="4500" ht="15.0" hidden="1" customHeight="1">
      <c r="A4500" s="59">
        <f t="shared" si="20"/>
        <v>72</v>
      </c>
      <c r="B4500" s="59" t="str">
        <f t="shared" si="21"/>
        <v/>
      </c>
      <c r="C4500" s="59" t="str">
        <f t="shared" si="22"/>
        <v/>
      </c>
      <c r="D4500" s="45" t="str">
        <f t="shared" si="23"/>
        <v/>
      </c>
      <c r="E4500" s="45" t="str">
        <f t="shared" si="24"/>
        <v/>
      </c>
      <c r="F4500" s="59" t="str">
        <f t="shared" si="25"/>
        <v/>
      </c>
      <c r="G4500" s="59" t="str">
        <f t="shared" si="26"/>
        <v/>
      </c>
      <c r="H4500" s="59" t="str">
        <f t="shared" si="27"/>
        <v>28C01647</v>
      </c>
      <c r="I4500" s="59" t="str">
        <f>IF(OR($A4500="",$C4500="",$D4500="",$E4500="",$H4500=""),"",SUMIFS(DATA_GOC!$H:$H,DATA_GOC!$A:$A,"BOM",DATA_GOC!$D:$D,$H4500,DATA_GOC!$E:$E,$C4500,DATA_GOC!$F:$F,"Xuất nội bộ từ téc",DATA_GOC!$B:$B,"&gt;="&amp;$D4500,DATA_GOC!$B:$B,"&lt;="&amp;$E4500))</f>
        <v/>
      </c>
      <c r="J4500" s="59">
        <f t="shared" si="28"/>
        <v>0</v>
      </c>
      <c r="K4500" s="59">
        <f t="shared" si="29"/>
        <v>0</v>
      </c>
      <c r="L4500" s="59">
        <f t="shared" si="30"/>
        <v>0</v>
      </c>
      <c r="M4500" s="59">
        <f t="shared" si="31"/>
        <v>0</v>
      </c>
    </row>
    <row r="4501" ht="15.0" hidden="1" customHeight="1">
      <c r="A4501" s="59">
        <f t="shared" si="20"/>
        <v>72</v>
      </c>
      <c r="B4501" s="59" t="str">
        <f t="shared" si="21"/>
        <v/>
      </c>
      <c r="C4501" s="59" t="str">
        <f t="shared" si="22"/>
        <v/>
      </c>
      <c r="D4501" s="45" t="str">
        <f t="shared" si="23"/>
        <v/>
      </c>
      <c r="E4501" s="45" t="str">
        <f t="shared" si="24"/>
        <v/>
      </c>
      <c r="F4501" s="59" t="str">
        <f t="shared" si="25"/>
        <v/>
      </c>
      <c r="G4501" s="59" t="str">
        <f t="shared" si="26"/>
        <v/>
      </c>
      <c r="H4501" s="59" t="str">
        <f t="shared" si="27"/>
        <v>28C01731</v>
      </c>
      <c r="I4501" s="59" t="str">
        <f>IF(OR($A4501="",$C4501="",$D4501="",$E4501="",$H4501=""),"",SUMIFS(DATA_GOC!$H:$H,DATA_GOC!$A:$A,"BOM",DATA_GOC!$D:$D,$H4501,DATA_GOC!$E:$E,$C4501,DATA_GOC!$F:$F,"Xuất nội bộ từ téc",DATA_GOC!$B:$B,"&gt;="&amp;$D4501,DATA_GOC!$B:$B,"&lt;="&amp;$E4501))</f>
        <v/>
      </c>
      <c r="J4501" s="59">
        <f t="shared" si="28"/>
        <v>0</v>
      </c>
      <c r="K4501" s="59">
        <f t="shared" si="29"/>
        <v>0</v>
      </c>
      <c r="L4501" s="59">
        <f t="shared" si="30"/>
        <v>0</v>
      </c>
      <c r="M4501" s="59">
        <f t="shared" si="31"/>
        <v>0</v>
      </c>
    </row>
    <row r="4502" ht="15.0" hidden="1" customHeight="1">
      <c r="A4502" s="59">
        <f t="shared" si="20"/>
        <v>72</v>
      </c>
      <c r="B4502" s="59" t="str">
        <f t="shared" si="21"/>
        <v/>
      </c>
      <c r="C4502" s="59" t="str">
        <f t="shared" si="22"/>
        <v/>
      </c>
      <c r="D4502" s="45" t="str">
        <f t="shared" si="23"/>
        <v/>
      </c>
      <c r="E4502" s="45" t="str">
        <f t="shared" si="24"/>
        <v/>
      </c>
      <c r="F4502" s="59" t="str">
        <f t="shared" si="25"/>
        <v/>
      </c>
      <c r="G4502" s="59" t="str">
        <f t="shared" si="26"/>
        <v/>
      </c>
      <c r="H4502" s="59" t="str">
        <f t="shared" si="27"/>
        <v>28C01743</v>
      </c>
      <c r="I4502" s="59" t="str">
        <f>IF(OR($A4502="",$C4502="",$D4502="",$E4502="",$H4502=""),"",SUMIFS(DATA_GOC!$H:$H,DATA_GOC!$A:$A,"BOM",DATA_GOC!$D:$D,$H4502,DATA_GOC!$E:$E,$C4502,DATA_GOC!$F:$F,"Xuất nội bộ từ téc",DATA_GOC!$B:$B,"&gt;="&amp;$D4502,DATA_GOC!$B:$B,"&lt;="&amp;$E4502))</f>
        <v/>
      </c>
      <c r="J4502" s="59">
        <f t="shared" si="28"/>
        <v>0</v>
      </c>
      <c r="K4502" s="59">
        <f t="shared" si="29"/>
        <v>0</v>
      </c>
      <c r="L4502" s="59">
        <f t="shared" si="30"/>
        <v>0</v>
      </c>
      <c r="M4502" s="59">
        <f t="shared" si="31"/>
        <v>0</v>
      </c>
    </row>
    <row r="4503" ht="15.0" hidden="1" customHeight="1">
      <c r="A4503" s="59">
        <f t="shared" si="20"/>
        <v>72</v>
      </c>
      <c r="B4503" s="59" t="str">
        <f t="shared" si="21"/>
        <v/>
      </c>
      <c r="C4503" s="59" t="str">
        <f t="shared" si="22"/>
        <v/>
      </c>
      <c r="D4503" s="45" t="str">
        <f t="shared" si="23"/>
        <v/>
      </c>
      <c r="E4503" s="45" t="str">
        <f t="shared" si="24"/>
        <v/>
      </c>
      <c r="F4503" s="59" t="str">
        <f t="shared" si="25"/>
        <v/>
      </c>
      <c r="G4503" s="59" t="str">
        <f t="shared" si="26"/>
        <v/>
      </c>
      <c r="H4503" s="59" t="str">
        <f t="shared" si="27"/>
        <v>28C02106</v>
      </c>
      <c r="I4503" s="59" t="str">
        <f>IF(OR($A4503="",$C4503="",$D4503="",$E4503="",$H4503=""),"",SUMIFS(DATA_GOC!$H:$H,DATA_GOC!$A:$A,"BOM",DATA_GOC!$D:$D,$H4503,DATA_GOC!$E:$E,$C4503,DATA_GOC!$F:$F,"Xuất nội bộ từ téc",DATA_GOC!$B:$B,"&gt;="&amp;$D4503,DATA_GOC!$B:$B,"&lt;="&amp;$E4503))</f>
        <v/>
      </c>
      <c r="J4503" s="59">
        <f t="shared" si="28"/>
        <v>0</v>
      </c>
      <c r="K4503" s="59">
        <f t="shared" si="29"/>
        <v>0</v>
      </c>
      <c r="L4503" s="59">
        <f t="shared" si="30"/>
        <v>0</v>
      </c>
      <c r="M4503" s="59">
        <f t="shared" si="31"/>
        <v>0</v>
      </c>
    </row>
    <row r="4504" ht="15.0" hidden="1" customHeight="1">
      <c r="A4504" s="59">
        <f t="shared" si="20"/>
        <v>72</v>
      </c>
      <c r="B4504" s="59" t="str">
        <f t="shared" si="21"/>
        <v/>
      </c>
      <c r="C4504" s="59" t="str">
        <f t="shared" si="22"/>
        <v/>
      </c>
      <c r="D4504" s="45" t="str">
        <f t="shared" si="23"/>
        <v/>
      </c>
      <c r="E4504" s="45" t="str">
        <f t="shared" si="24"/>
        <v/>
      </c>
      <c r="F4504" s="59" t="str">
        <f t="shared" si="25"/>
        <v/>
      </c>
      <c r="G4504" s="59" t="str">
        <f t="shared" si="26"/>
        <v/>
      </c>
      <c r="H4504" s="59" t="str">
        <f t="shared" si="27"/>
        <v>28C02410</v>
      </c>
      <c r="I4504" s="59" t="str">
        <f>IF(OR($A4504="",$C4504="",$D4504="",$E4504="",$H4504=""),"",SUMIFS(DATA_GOC!$H:$H,DATA_GOC!$A:$A,"BOM",DATA_GOC!$D:$D,$H4504,DATA_GOC!$E:$E,$C4504,DATA_GOC!$F:$F,"Xuất nội bộ từ téc",DATA_GOC!$B:$B,"&gt;="&amp;$D4504,DATA_GOC!$B:$B,"&lt;="&amp;$E4504))</f>
        <v/>
      </c>
      <c r="J4504" s="59">
        <f t="shared" si="28"/>
        <v>0</v>
      </c>
      <c r="K4504" s="59">
        <f t="shared" si="29"/>
        <v>0</v>
      </c>
      <c r="L4504" s="59">
        <f t="shared" si="30"/>
        <v>0</v>
      </c>
      <c r="M4504" s="59">
        <f t="shared" si="31"/>
        <v>0</v>
      </c>
    </row>
    <row r="4505" ht="15.0" hidden="1" customHeight="1">
      <c r="A4505" s="59">
        <f t="shared" si="20"/>
        <v>72</v>
      </c>
      <c r="B4505" s="59" t="str">
        <f t="shared" si="21"/>
        <v/>
      </c>
      <c r="C4505" s="59" t="str">
        <f t="shared" si="22"/>
        <v/>
      </c>
      <c r="D4505" s="45" t="str">
        <f t="shared" si="23"/>
        <v/>
      </c>
      <c r="E4505" s="45" t="str">
        <f t="shared" si="24"/>
        <v/>
      </c>
      <c r="F4505" s="59" t="str">
        <f t="shared" si="25"/>
        <v/>
      </c>
      <c r="G4505" s="59" t="str">
        <f t="shared" si="26"/>
        <v/>
      </c>
      <c r="H4505" s="59" t="str">
        <f t="shared" si="27"/>
        <v>28C02545</v>
      </c>
      <c r="I4505" s="59" t="str">
        <f>IF(OR($A4505="",$C4505="",$D4505="",$E4505="",$H4505=""),"",SUMIFS(DATA_GOC!$H:$H,DATA_GOC!$A:$A,"BOM",DATA_GOC!$D:$D,$H4505,DATA_GOC!$E:$E,$C4505,DATA_GOC!$F:$F,"Xuất nội bộ từ téc",DATA_GOC!$B:$B,"&gt;="&amp;$D4505,DATA_GOC!$B:$B,"&lt;="&amp;$E4505))</f>
        <v/>
      </c>
      <c r="J4505" s="59">
        <f t="shared" si="28"/>
        <v>0</v>
      </c>
      <c r="K4505" s="59">
        <f t="shared" si="29"/>
        <v>0</v>
      </c>
      <c r="L4505" s="59">
        <f t="shared" si="30"/>
        <v>0</v>
      </c>
      <c r="M4505" s="59">
        <f t="shared" si="31"/>
        <v>0</v>
      </c>
    </row>
    <row r="4506" ht="15.0" hidden="1" customHeight="1">
      <c r="A4506" s="59">
        <f t="shared" si="20"/>
        <v>72</v>
      </c>
      <c r="B4506" s="59" t="str">
        <f t="shared" si="21"/>
        <v/>
      </c>
      <c r="C4506" s="59" t="str">
        <f t="shared" si="22"/>
        <v/>
      </c>
      <c r="D4506" s="45" t="str">
        <f t="shared" si="23"/>
        <v/>
      </c>
      <c r="E4506" s="45" t="str">
        <f t="shared" si="24"/>
        <v/>
      </c>
      <c r="F4506" s="59" t="str">
        <f t="shared" si="25"/>
        <v/>
      </c>
      <c r="G4506" s="59" t="str">
        <f t="shared" si="26"/>
        <v/>
      </c>
      <c r="H4506" s="59" t="str">
        <f t="shared" si="27"/>
        <v>28C02574</v>
      </c>
      <c r="I4506" s="59" t="str">
        <f>IF(OR($A4506="",$C4506="",$D4506="",$E4506="",$H4506=""),"",SUMIFS(DATA_GOC!$H:$H,DATA_GOC!$A:$A,"BOM",DATA_GOC!$D:$D,$H4506,DATA_GOC!$E:$E,$C4506,DATA_GOC!$F:$F,"Xuất nội bộ từ téc",DATA_GOC!$B:$B,"&gt;="&amp;$D4506,DATA_GOC!$B:$B,"&lt;="&amp;$E4506))</f>
        <v/>
      </c>
      <c r="J4506" s="59">
        <f t="shared" si="28"/>
        <v>0</v>
      </c>
      <c r="K4506" s="59">
        <f t="shared" si="29"/>
        <v>0</v>
      </c>
      <c r="L4506" s="59">
        <f t="shared" si="30"/>
        <v>0</v>
      </c>
      <c r="M4506" s="59">
        <f t="shared" si="31"/>
        <v>0</v>
      </c>
    </row>
    <row r="4507" ht="15.0" hidden="1" customHeight="1">
      <c r="A4507" s="59">
        <f t="shared" si="20"/>
        <v>72</v>
      </c>
      <c r="B4507" s="59" t="str">
        <f t="shared" si="21"/>
        <v/>
      </c>
      <c r="C4507" s="59" t="str">
        <f t="shared" si="22"/>
        <v/>
      </c>
      <c r="D4507" s="45" t="str">
        <f t="shared" si="23"/>
        <v/>
      </c>
      <c r="E4507" s="45" t="str">
        <f t="shared" si="24"/>
        <v/>
      </c>
      <c r="F4507" s="59" t="str">
        <f t="shared" si="25"/>
        <v/>
      </c>
      <c r="G4507" s="59" t="str">
        <f t="shared" si="26"/>
        <v/>
      </c>
      <c r="H4507" s="59" t="str">
        <f t="shared" si="27"/>
        <v>28C02770</v>
      </c>
      <c r="I4507" s="59" t="str">
        <f>IF(OR($A4507="",$C4507="",$D4507="",$E4507="",$H4507=""),"",SUMIFS(DATA_GOC!$H:$H,DATA_GOC!$A:$A,"BOM",DATA_GOC!$D:$D,$H4507,DATA_GOC!$E:$E,$C4507,DATA_GOC!$F:$F,"Xuất nội bộ từ téc",DATA_GOC!$B:$B,"&gt;="&amp;$D4507,DATA_GOC!$B:$B,"&lt;="&amp;$E4507))</f>
        <v/>
      </c>
      <c r="J4507" s="59">
        <f t="shared" si="28"/>
        <v>0</v>
      </c>
      <c r="K4507" s="59">
        <f t="shared" si="29"/>
        <v>0</v>
      </c>
      <c r="L4507" s="59">
        <f t="shared" si="30"/>
        <v>0</v>
      </c>
      <c r="M4507" s="59">
        <f t="shared" si="31"/>
        <v>0</v>
      </c>
    </row>
    <row r="4508" ht="15.0" hidden="1" customHeight="1">
      <c r="A4508" s="59">
        <f t="shared" si="20"/>
        <v>72</v>
      </c>
      <c r="B4508" s="59" t="str">
        <f t="shared" si="21"/>
        <v/>
      </c>
      <c r="C4508" s="59" t="str">
        <f t="shared" si="22"/>
        <v/>
      </c>
      <c r="D4508" s="45" t="str">
        <f t="shared" si="23"/>
        <v/>
      </c>
      <c r="E4508" s="45" t="str">
        <f t="shared" si="24"/>
        <v/>
      </c>
      <c r="F4508" s="59" t="str">
        <f t="shared" si="25"/>
        <v/>
      </c>
      <c r="G4508" s="59" t="str">
        <f t="shared" si="26"/>
        <v/>
      </c>
      <c r="H4508" s="59" t="str">
        <f t="shared" si="27"/>
        <v>28C02986</v>
      </c>
      <c r="I4508" s="59" t="str">
        <f>IF(OR($A4508="",$C4508="",$D4508="",$E4508="",$H4508=""),"",SUMIFS(DATA_GOC!$H:$H,DATA_GOC!$A:$A,"BOM",DATA_GOC!$D:$D,$H4508,DATA_GOC!$E:$E,$C4508,DATA_GOC!$F:$F,"Xuất nội bộ từ téc",DATA_GOC!$B:$B,"&gt;="&amp;$D4508,DATA_GOC!$B:$B,"&lt;="&amp;$E4508))</f>
        <v/>
      </c>
      <c r="J4508" s="59">
        <f t="shared" si="28"/>
        <v>0</v>
      </c>
      <c r="K4508" s="59">
        <f t="shared" si="29"/>
        <v>0</v>
      </c>
      <c r="L4508" s="59">
        <f t="shared" si="30"/>
        <v>0</v>
      </c>
      <c r="M4508" s="59">
        <f t="shared" si="31"/>
        <v>0</v>
      </c>
    </row>
    <row r="4509" ht="15.0" hidden="1" customHeight="1">
      <c r="A4509" s="59">
        <f t="shared" si="20"/>
        <v>72</v>
      </c>
      <c r="B4509" s="59" t="str">
        <f t="shared" si="21"/>
        <v/>
      </c>
      <c r="C4509" s="59" t="str">
        <f t="shared" si="22"/>
        <v/>
      </c>
      <c r="D4509" s="45" t="str">
        <f t="shared" si="23"/>
        <v/>
      </c>
      <c r="E4509" s="45" t="str">
        <f t="shared" si="24"/>
        <v/>
      </c>
      <c r="F4509" s="59" t="str">
        <f t="shared" si="25"/>
        <v/>
      </c>
      <c r="G4509" s="59" t="str">
        <f t="shared" si="26"/>
        <v/>
      </c>
      <c r="H4509" s="59" t="str">
        <f t="shared" si="27"/>
        <v>28C03261</v>
      </c>
      <c r="I4509" s="59" t="str">
        <f>IF(OR($A4509="",$C4509="",$D4509="",$E4509="",$H4509=""),"",SUMIFS(DATA_GOC!$H:$H,DATA_GOC!$A:$A,"BOM",DATA_GOC!$D:$D,$H4509,DATA_GOC!$E:$E,$C4509,DATA_GOC!$F:$F,"Xuất nội bộ từ téc",DATA_GOC!$B:$B,"&gt;="&amp;$D4509,DATA_GOC!$B:$B,"&lt;="&amp;$E4509))</f>
        <v/>
      </c>
      <c r="J4509" s="59">
        <f t="shared" si="28"/>
        <v>0</v>
      </c>
      <c r="K4509" s="59">
        <f t="shared" si="29"/>
        <v>0</v>
      </c>
      <c r="L4509" s="59">
        <f t="shared" si="30"/>
        <v>0</v>
      </c>
      <c r="M4509" s="59">
        <f t="shared" si="31"/>
        <v>0</v>
      </c>
    </row>
    <row r="4510" ht="15.0" hidden="1" customHeight="1">
      <c r="A4510" s="59">
        <f t="shared" si="20"/>
        <v>72</v>
      </c>
      <c r="B4510" s="59" t="str">
        <f t="shared" si="21"/>
        <v/>
      </c>
      <c r="C4510" s="59" t="str">
        <f t="shared" si="22"/>
        <v/>
      </c>
      <c r="D4510" s="45" t="str">
        <f t="shared" si="23"/>
        <v/>
      </c>
      <c r="E4510" s="45" t="str">
        <f t="shared" si="24"/>
        <v/>
      </c>
      <c r="F4510" s="59" t="str">
        <f t="shared" si="25"/>
        <v/>
      </c>
      <c r="G4510" s="59" t="str">
        <f t="shared" si="26"/>
        <v/>
      </c>
      <c r="H4510" s="59" t="str">
        <f t="shared" si="27"/>
        <v>28C03323</v>
      </c>
      <c r="I4510" s="59" t="str">
        <f>IF(OR($A4510="",$C4510="",$D4510="",$E4510="",$H4510=""),"",SUMIFS(DATA_GOC!$H:$H,DATA_GOC!$A:$A,"BOM",DATA_GOC!$D:$D,$H4510,DATA_GOC!$E:$E,$C4510,DATA_GOC!$F:$F,"Xuất nội bộ từ téc",DATA_GOC!$B:$B,"&gt;="&amp;$D4510,DATA_GOC!$B:$B,"&lt;="&amp;$E4510))</f>
        <v/>
      </c>
      <c r="J4510" s="59">
        <f t="shared" si="28"/>
        <v>0</v>
      </c>
      <c r="K4510" s="59">
        <f t="shared" si="29"/>
        <v>0</v>
      </c>
      <c r="L4510" s="59">
        <f t="shared" si="30"/>
        <v>0</v>
      </c>
      <c r="M4510" s="59">
        <f t="shared" si="31"/>
        <v>0</v>
      </c>
    </row>
    <row r="4511" ht="15.0" hidden="1" customHeight="1">
      <c r="A4511" s="59">
        <f t="shared" si="20"/>
        <v>72</v>
      </c>
      <c r="B4511" s="59" t="str">
        <f t="shared" si="21"/>
        <v/>
      </c>
      <c r="C4511" s="59" t="str">
        <f t="shared" si="22"/>
        <v/>
      </c>
      <c r="D4511" s="45" t="str">
        <f t="shared" si="23"/>
        <v/>
      </c>
      <c r="E4511" s="45" t="str">
        <f t="shared" si="24"/>
        <v/>
      </c>
      <c r="F4511" s="59" t="str">
        <f t="shared" si="25"/>
        <v/>
      </c>
      <c r="G4511" s="59" t="str">
        <f t="shared" si="26"/>
        <v/>
      </c>
      <c r="H4511" s="59" t="str">
        <f t="shared" si="27"/>
        <v>28C03385</v>
      </c>
      <c r="I4511" s="59" t="str">
        <f>IF(OR($A4511="",$C4511="",$D4511="",$E4511="",$H4511=""),"",SUMIFS(DATA_GOC!$H:$H,DATA_GOC!$A:$A,"BOM",DATA_GOC!$D:$D,$H4511,DATA_GOC!$E:$E,$C4511,DATA_GOC!$F:$F,"Xuất nội bộ từ téc",DATA_GOC!$B:$B,"&gt;="&amp;$D4511,DATA_GOC!$B:$B,"&lt;="&amp;$E4511))</f>
        <v/>
      </c>
      <c r="J4511" s="59">
        <f t="shared" si="28"/>
        <v>0</v>
      </c>
      <c r="K4511" s="59">
        <f t="shared" si="29"/>
        <v>0</v>
      </c>
      <c r="L4511" s="59">
        <f t="shared" si="30"/>
        <v>0</v>
      </c>
      <c r="M4511" s="59">
        <f t="shared" si="31"/>
        <v>0</v>
      </c>
    </row>
    <row r="4512" ht="15.0" hidden="1" customHeight="1">
      <c r="A4512" s="59">
        <f t="shared" si="20"/>
        <v>72</v>
      </c>
      <c r="B4512" s="59" t="str">
        <f t="shared" si="21"/>
        <v/>
      </c>
      <c r="C4512" s="59" t="str">
        <f t="shared" si="22"/>
        <v/>
      </c>
      <c r="D4512" s="45" t="str">
        <f t="shared" si="23"/>
        <v/>
      </c>
      <c r="E4512" s="45" t="str">
        <f t="shared" si="24"/>
        <v/>
      </c>
      <c r="F4512" s="59" t="str">
        <f t="shared" si="25"/>
        <v/>
      </c>
      <c r="G4512" s="59" t="str">
        <f t="shared" si="26"/>
        <v/>
      </c>
      <c r="H4512" s="59" t="str">
        <f t="shared" si="27"/>
        <v>28C03652</v>
      </c>
      <c r="I4512" s="59" t="str">
        <f>IF(OR($A4512="",$C4512="",$D4512="",$E4512="",$H4512=""),"",SUMIFS(DATA_GOC!$H:$H,DATA_GOC!$A:$A,"BOM",DATA_GOC!$D:$D,$H4512,DATA_GOC!$E:$E,$C4512,DATA_GOC!$F:$F,"Xuất nội bộ từ téc",DATA_GOC!$B:$B,"&gt;="&amp;$D4512,DATA_GOC!$B:$B,"&lt;="&amp;$E4512))</f>
        <v/>
      </c>
      <c r="J4512" s="59">
        <f t="shared" si="28"/>
        <v>0</v>
      </c>
      <c r="K4512" s="59">
        <f t="shared" si="29"/>
        <v>0</v>
      </c>
      <c r="L4512" s="59">
        <f t="shared" si="30"/>
        <v>0</v>
      </c>
      <c r="M4512" s="59">
        <f t="shared" si="31"/>
        <v>0</v>
      </c>
    </row>
    <row r="4513" ht="15.0" hidden="1" customHeight="1">
      <c r="A4513" s="59">
        <f t="shared" si="20"/>
        <v>72</v>
      </c>
      <c r="B4513" s="59" t="str">
        <f t="shared" si="21"/>
        <v/>
      </c>
      <c r="C4513" s="59" t="str">
        <f t="shared" si="22"/>
        <v/>
      </c>
      <c r="D4513" s="45" t="str">
        <f t="shared" si="23"/>
        <v/>
      </c>
      <c r="E4513" s="45" t="str">
        <f t="shared" si="24"/>
        <v/>
      </c>
      <c r="F4513" s="59" t="str">
        <f t="shared" si="25"/>
        <v/>
      </c>
      <c r="G4513" s="59" t="str">
        <f t="shared" si="26"/>
        <v/>
      </c>
      <c r="H4513" s="59" t="str">
        <f t="shared" si="27"/>
        <v>28C03695</v>
      </c>
      <c r="I4513" s="59" t="str">
        <f>IF(OR($A4513="",$C4513="",$D4513="",$E4513="",$H4513=""),"",SUMIFS(DATA_GOC!$H:$H,DATA_GOC!$A:$A,"BOM",DATA_GOC!$D:$D,$H4513,DATA_GOC!$E:$E,$C4513,DATA_GOC!$F:$F,"Xuất nội bộ từ téc",DATA_GOC!$B:$B,"&gt;="&amp;$D4513,DATA_GOC!$B:$B,"&lt;="&amp;$E4513))</f>
        <v/>
      </c>
      <c r="J4513" s="59">
        <f t="shared" si="28"/>
        <v>0</v>
      </c>
      <c r="K4513" s="59">
        <f t="shared" si="29"/>
        <v>0</v>
      </c>
      <c r="L4513" s="59">
        <f t="shared" si="30"/>
        <v>0</v>
      </c>
      <c r="M4513" s="59">
        <f t="shared" si="31"/>
        <v>0</v>
      </c>
    </row>
    <row r="4514" ht="15.0" hidden="1" customHeight="1">
      <c r="A4514" s="59">
        <f t="shared" si="20"/>
        <v>72</v>
      </c>
      <c r="B4514" s="59" t="str">
        <f t="shared" si="21"/>
        <v/>
      </c>
      <c r="C4514" s="59" t="str">
        <f t="shared" si="22"/>
        <v/>
      </c>
      <c r="D4514" s="45" t="str">
        <f t="shared" si="23"/>
        <v/>
      </c>
      <c r="E4514" s="45" t="str">
        <f t="shared" si="24"/>
        <v/>
      </c>
      <c r="F4514" s="59" t="str">
        <f t="shared" si="25"/>
        <v/>
      </c>
      <c r="G4514" s="59" t="str">
        <f t="shared" si="26"/>
        <v/>
      </c>
      <c r="H4514" s="59" t="str">
        <f t="shared" si="27"/>
        <v>28C03927</v>
      </c>
      <c r="I4514" s="59" t="str">
        <f>IF(OR($A4514="",$C4514="",$D4514="",$E4514="",$H4514=""),"",SUMIFS(DATA_GOC!$H:$H,DATA_GOC!$A:$A,"BOM",DATA_GOC!$D:$D,$H4514,DATA_GOC!$E:$E,$C4514,DATA_GOC!$F:$F,"Xuất nội bộ từ téc",DATA_GOC!$B:$B,"&gt;="&amp;$D4514,DATA_GOC!$B:$B,"&lt;="&amp;$E4514))</f>
        <v/>
      </c>
      <c r="J4514" s="59">
        <f t="shared" si="28"/>
        <v>0</v>
      </c>
      <c r="K4514" s="59">
        <f t="shared" si="29"/>
        <v>0</v>
      </c>
      <c r="L4514" s="59">
        <f t="shared" si="30"/>
        <v>0</v>
      </c>
      <c r="M4514" s="59">
        <f t="shared" si="31"/>
        <v>0</v>
      </c>
    </row>
    <row r="4515" ht="15.0" hidden="1" customHeight="1">
      <c r="A4515" s="59">
        <f t="shared" si="20"/>
        <v>72</v>
      </c>
      <c r="B4515" s="59" t="str">
        <f t="shared" si="21"/>
        <v/>
      </c>
      <c r="C4515" s="59" t="str">
        <f t="shared" si="22"/>
        <v/>
      </c>
      <c r="D4515" s="45" t="str">
        <f t="shared" si="23"/>
        <v/>
      </c>
      <c r="E4515" s="45" t="str">
        <f t="shared" si="24"/>
        <v/>
      </c>
      <c r="F4515" s="59" t="str">
        <f t="shared" si="25"/>
        <v/>
      </c>
      <c r="G4515" s="59" t="str">
        <f t="shared" si="26"/>
        <v/>
      </c>
      <c r="H4515" s="59" t="str">
        <f t="shared" si="27"/>
        <v>28C04509</v>
      </c>
      <c r="I4515" s="59" t="str">
        <f>IF(OR($A4515="",$C4515="",$D4515="",$E4515="",$H4515=""),"",SUMIFS(DATA_GOC!$H:$H,DATA_GOC!$A:$A,"BOM",DATA_GOC!$D:$D,$H4515,DATA_GOC!$E:$E,$C4515,DATA_GOC!$F:$F,"Xuất nội bộ từ téc",DATA_GOC!$B:$B,"&gt;="&amp;$D4515,DATA_GOC!$B:$B,"&lt;="&amp;$E4515))</f>
        <v/>
      </c>
      <c r="J4515" s="59">
        <f t="shared" si="28"/>
        <v>0</v>
      </c>
      <c r="K4515" s="59">
        <f t="shared" si="29"/>
        <v>0</v>
      </c>
      <c r="L4515" s="59">
        <f t="shared" si="30"/>
        <v>0</v>
      </c>
      <c r="M4515" s="59">
        <f t="shared" si="31"/>
        <v>0</v>
      </c>
    </row>
    <row r="4516" ht="15.0" hidden="1" customHeight="1">
      <c r="A4516" s="59">
        <f t="shared" si="20"/>
        <v>72</v>
      </c>
      <c r="B4516" s="59" t="str">
        <f t="shared" si="21"/>
        <v/>
      </c>
      <c r="C4516" s="59" t="str">
        <f t="shared" si="22"/>
        <v/>
      </c>
      <c r="D4516" s="45" t="str">
        <f t="shared" si="23"/>
        <v/>
      </c>
      <c r="E4516" s="45" t="str">
        <f t="shared" si="24"/>
        <v/>
      </c>
      <c r="F4516" s="59" t="str">
        <f t="shared" si="25"/>
        <v/>
      </c>
      <c r="G4516" s="59" t="str">
        <f t="shared" si="26"/>
        <v/>
      </c>
      <c r="H4516" s="59" t="str">
        <f t="shared" si="27"/>
        <v>28C04536</v>
      </c>
      <c r="I4516" s="59" t="str">
        <f>IF(OR($A4516="",$C4516="",$D4516="",$E4516="",$H4516=""),"",SUMIFS(DATA_GOC!$H:$H,DATA_GOC!$A:$A,"BOM",DATA_GOC!$D:$D,$H4516,DATA_GOC!$E:$E,$C4516,DATA_GOC!$F:$F,"Xuất nội bộ từ téc",DATA_GOC!$B:$B,"&gt;="&amp;$D4516,DATA_GOC!$B:$B,"&lt;="&amp;$E4516))</f>
        <v/>
      </c>
      <c r="J4516" s="59">
        <f t="shared" si="28"/>
        <v>0</v>
      </c>
      <c r="K4516" s="59">
        <f t="shared" si="29"/>
        <v>0</v>
      </c>
      <c r="L4516" s="59">
        <f t="shared" si="30"/>
        <v>0</v>
      </c>
      <c r="M4516" s="59">
        <f t="shared" si="31"/>
        <v>0</v>
      </c>
    </row>
    <row r="4517" ht="15.0" hidden="1" customHeight="1">
      <c r="A4517" s="59">
        <f t="shared" si="20"/>
        <v>72</v>
      </c>
      <c r="B4517" s="59" t="str">
        <f t="shared" si="21"/>
        <v/>
      </c>
      <c r="C4517" s="59" t="str">
        <f t="shared" si="22"/>
        <v/>
      </c>
      <c r="D4517" s="45" t="str">
        <f t="shared" si="23"/>
        <v/>
      </c>
      <c r="E4517" s="45" t="str">
        <f t="shared" si="24"/>
        <v/>
      </c>
      <c r="F4517" s="59" t="str">
        <f t="shared" si="25"/>
        <v/>
      </c>
      <c r="G4517" s="59" t="str">
        <f t="shared" si="26"/>
        <v/>
      </c>
      <c r="H4517" s="59" t="str">
        <f t="shared" si="27"/>
        <v>28C04576</v>
      </c>
      <c r="I4517" s="59" t="str">
        <f>IF(OR($A4517="",$C4517="",$D4517="",$E4517="",$H4517=""),"",SUMIFS(DATA_GOC!$H:$H,DATA_GOC!$A:$A,"BOM",DATA_GOC!$D:$D,$H4517,DATA_GOC!$E:$E,$C4517,DATA_GOC!$F:$F,"Xuất nội bộ từ téc",DATA_GOC!$B:$B,"&gt;="&amp;$D4517,DATA_GOC!$B:$B,"&lt;="&amp;$E4517))</f>
        <v/>
      </c>
      <c r="J4517" s="59">
        <f t="shared" si="28"/>
        <v>0</v>
      </c>
      <c r="K4517" s="59">
        <f t="shared" si="29"/>
        <v>0</v>
      </c>
      <c r="L4517" s="59">
        <f t="shared" si="30"/>
        <v>0</v>
      </c>
      <c r="M4517" s="59">
        <f t="shared" si="31"/>
        <v>0</v>
      </c>
    </row>
    <row r="4518" ht="15.0" hidden="1" customHeight="1">
      <c r="A4518" s="59">
        <f t="shared" si="20"/>
        <v>72</v>
      </c>
      <c r="B4518" s="59" t="str">
        <f t="shared" si="21"/>
        <v/>
      </c>
      <c r="C4518" s="59" t="str">
        <f t="shared" si="22"/>
        <v/>
      </c>
      <c r="D4518" s="45" t="str">
        <f t="shared" si="23"/>
        <v/>
      </c>
      <c r="E4518" s="45" t="str">
        <f t="shared" si="24"/>
        <v/>
      </c>
      <c r="F4518" s="59" t="str">
        <f t="shared" si="25"/>
        <v/>
      </c>
      <c r="G4518" s="59" t="str">
        <f t="shared" si="26"/>
        <v/>
      </c>
      <c r="H4518" s="59" t="str">
        <f t="shared" si="27"/>
        <v>28C05090</v>
      </c>
      <c r="I4518" s="59" t="str">
        <f>IF(OR($A4518="",$C4518="",$D4518="",$E4518="",$H4518=""),"",SUMIFS(DATA_GOC!$H:$H,DATA_GOC!$A:$A,"BOM",DATA_GOC!$D:$D,$H4518,DATA_GOC!$E:$E,$C4518,DATA_GOC!$F:$F,"Xuất nội bộ từ téc",DATA_GOC!$B:$B,"&gt;="&amp;$D4518,DATA_GOC!$B:$B,"&lt;="&amp;$E4518))</f>
        <v/>
      </c>
      <c r="J4518" s="59">
        <f t="shared" si="28"/>
        <v>0</v>
      </c>
      <c r="K4518" s="59">
        <f t="shared" si="29"/>
        <v>0</v>
      </c>
      <c r="L4518" s="59">
        <f t="shared" si="30"/>
        <v>0</v>
      </c>
      <c r="M4518" s="59">
        <f t="shared" si="31"/>
        <v>0</v>
      </c>
    </row>
    <row r="4519" ht="15.0" hidden="1" customHeight="1">
      <c r="A4519" s="59">
        <f t="shared" si="20"/>
        <v>72</v>
      </c>
      <c r="B4519" s="59" t="str">
        <f t="shared" si="21"/>
        <v/>
      </c>
      <c r="C4519" s="59" t="str">
        <f t="shared" si="22"/>
        <v/>
      </c>
      <c r="D4519" s="45" t="str">
        <f t="shared" si="23"/>
        <v/>
      </c>
      <c r="E4519" s="45" t="str">
        <f t="shared" si="24"/>
        <v/>
      </c>
      <c r="F4519" s="59" t="str">
        <f t="shared" si="25"/>
        <v/>
      </c>
      <c r="G4519" s="59" t="str">
        <f t="shared" si="26"/>
        <v/>
      </c>
      <c r="H4519" s="59" t="str">
        <f t="shared" si="27"/>
        <v>28C05345</v>
      </c>
      <c r="I4519" s="59" t="str">
        <f>IF(OR($A4519="",$C4519="",$D4519="",$E4519="",$H4519=""),"",SUMIFS(DATA_GOC!$H:$H,DATA_GOC!$A:$A,"BOM",DATA_GOC!$D:$D,$H4519,DATA_GOC!$E:$E,$C4519,DATA_GOC!$F:$F,"Xuất nội bộ từ téc",DATA_GOC!$B:$B,"&gt;="&amp;$D4519,DATA_GOC!$B:$B,"&lt;="&amp;$E4519))</f>
        <v/>
      </c>
      <c r="J4519" s="59">
        <f t="shared" si="28"/>
        <v>0</v>
      </c>
      <c r="K4519" s="59">
        <f t="shared" si="29"/>
        <v>0</v>
      </c>
      <c r="L4519" s="59">
        <f t="shared" si="30"/>
        <v>0</v>
      </c>
      <c r="M4519" s="59">
        <f t="shared" si="31"/>
        <v>0</v>
      </c>
    </row>
    <row r="4520" ht="15.0" hidden="1" customHeight="1">
      <c r="A4520" s="59">
        <f t="shared" si="20"/>
        <v>72</v>
      </c>
      <c r="B4520" s="59" t="str">
        <f t="shared" si="21"/>
        <v/>
      </c>
      <c r="C4520" s="59" t="str">
        <f t="shared" si="22"/>
        <v/>
      </c>
      <c r="D4520" s="45" t="str">
        <f t="shared" si="23"/>
        <v/>
      </c>
      <c r="E4520" s="45" t="str">
        <f t="shared" si="24"/>
        <v/>
      </c>
      <c r="F4520" s="59" t="str">
        <f t="shared" si="25"/>
        <v/>
      </c>
      <c r="G4520" s="59" t="str">
        <f t="shared" si="26"/>
        <v/>
      </c>
      <c r="H4520" s="59" t="str">
        <f t="shared" si="27"/>
        <v>28C05661</v>
      </c>
      <c r="I4520" s="59" t="str">
        <f>IF(OR($A4520="",$C4520="",$D4520="",$E4520="",$H4520=""),"",SUMIFS(DATA_GOC!$H:$H,DATA_GOC!$A:$A,"BOM",DATA_GOC!$D:$D,$H4520,DATA_GOC!$E:$E,$C4520,DATA_GOC!$F:$F,"Xuất nội bộ từ téc",DATA_GOC!$B:$B,"&gt;="&amp;$D4520,DATA_GOC!$B:$B,"&lt;="&amp;$E4520))</f>
        <v/>
      </c>
      <c r="J4520" s="59">
        <f t="shared" si="28"/>
        <v>0</v>
      </c>
      <c r="K4520" s="59">
        <f t="shared" si="29"/>
        <v>0</v>
      </c>
      <c r="L4520" s="59">
        <f t="shared" si="30"/>
        <v>0</v>
      </c>
      <c r="M4520" s="59">
        <f t="shared" si="31"/>
        <v>0</v>
      </c>
    </row>
    <row r="4521" ht="15.0" hidden="1" customHeight="1">
      <c r="A4521" s="59">
        <f t="shared" si="20"/>
        <v>72</v>
      </c>
      <c r="B4521" s="59" t="str">
        <f t="shared" si="21"/>
        <v/>
      </c>
      <c r="C4521" s="59" t="str">
        <f t="shared" si="22"/>
        <v/>
      </c>
      <c r="D4521" s="45" t="str">
        <f t="shared" si="23"/>
        <v/>
      </c>
      <c r="E4521" s="45" t="str">
        <f t="shared" si="24"/>
        <v/>
      </c>
      <c r="F4521" s="59" t="str">
        <f t="shared" si="25"/>
        <v/>
      </c>
      <c r="G4521" s="59" t="str">
        <f t="shared" si="26"/>
        <v/>
      </c>
      <c r="H4521" s="59" t="str">
        <f t="shared" si="27"/>
        <v>28C05739</v>
      </c>
      <c r="I4521" s="59" t="str">
        <f>IF(OR($A4521="",$C4521="",$D4521="",$E4521="",$H4521=""),"",SUMIFS(DATA_GOC!$H:$H,DATA_GOC!$A:$A,"BOM",DATA_GOC!$D:$D,$H4521,DATA_GOC!$E:$E,$C4521,DATA_GOC!$F:$F,"Xuất nội bộ từ téc",DATA_GOC!$B:$B,"&gt;="&amp;$D4521,DATA_GOC!$B:$B,"&lt;="&amp;$E4521))</f>
        <v/>
      </c>
      <c r="J4521" s="59">
        <f t="shared" si="28"/>
        <v>0</v>
      </c>
      <c r="K4521" s="59">
        <f t="shared" si="29"/>
        <v>0</v>
      </c>
      <c r="L4521" s="59">
        <f t="shared" si="30"/>
        <v>0</v>
      </c>
      <c r="M4521" s="59">
        <f t="shared" si="31"/>
        <v>0</v>
      </c>
    </row>
    <row r="4522" ht="15.0" hidden="1" customHeight="1">
      <c r="A4522" s="59">
        <f t="shared" si="20"/>
        <v>72</v>
      </c>
      <c r="B4522" s="59" t="str">
        <f t="shared" si="21"/>
        <v/>
      </c>
      <c r="C4522" s="59" t="str">
        <f t="shared" si="22"/>
        <v/>
      </c>
      <c r="D4522" s="45" t="str">
        <f t="shared" si="23"/>
        <v/>
      </c>
      <c r="E4522" s="45" t="str">
        <f t="shared" si="24"/>
        <v/>
      </c>
      <c r="F4522" s="59" t="str">
        <f t="shared" si="25"/>
        <v/>
      </c>
      <c r="G4522" s="59" t="str">
        <f t="shared" si="26"/>
        <v/>
      </c>
      <c r="H4522" s="59" t="str">
        <f t="shared" si="27"/>
        <v>28C06369</v>
      </c>
      <c r="I4522" s="59" t="str">
        <f>IF(OR($A4522="",$C4522="",$D4522="",$E4522="",$H4522=""),"",SUMIFS(DATA_GOC!$H:$H,DATA_GOC!$A:$A,"BOM",DATA_GOC!$D:$D,$H4522,DATA_GOC!$E:$E,$C4522,DATA_GOC!$F:$F,"Xuất nội bộ từ téc",DATA_GOC!$B:$B,"&gt;="&amp;$D4522,DATA_GOC!$B:$B,"&lt;="&amp;$E4522))</f>
        <v/>
      </c>
      <c r="J4522" s="59">
        <f t="shared" si="28"/>
        <v>0</v>
      </c>
      <c r="K4522" s="59">
        <f t="shared" si="29"/>
        <v>0</v>
      </c>
      <c r="L4522" s="59">
        <f t="shared" si="30"/>
        <v>0</v>
      </c>
      <c r="M4522" s="59">
        <f t="shared" si="31"/>
        <v>0</v>
      </c>
    </row>
    <row r="4523" ht="15.0" hidden="1" customHeight="1">
      <c r="A4523" s="59">
        <f t="shared" si="20"/>
        <v>72</v>
      </c>
      <c r="B4523" s="59" t="str">
        <f t="shared" si="21"/>
        <v/>
      </c>
      <c r="C4523" s="59" t="str">
        <f t="shared" si="22"/>
        <v/>
      </c>
      <c r="D4523" s="45" t="str">
        <f t="shared" si="23"/>
        <v/>
      </c>
      <c r="E4523" s="45" t="str">
        <f t="shared" si="24"/>
        <v/>
      </c>
      <c r="F4523" s="59" t="str">
        <f t="shared" si="25"/>
        <v/>
      </c>
      <c r="G4523" s="59" t="str">
        <f t="shared" si="26"/>
        <v/>
      </c>
      <c r="H4523" s="59" t="str">
        <f t="shared" si="27"/>
        <v>28C06447</v>
      </c>
      <c r="I4523" s="59" t="str">
        <f>IF(OR($A4523="",$C4523="",$D4523="",$E4523="",$H4523=""),"",SUMIFS(DATA_GOC!$H:$H,DATA_GOC!$A:$A,"BOM",DATA_GOC!$D:$D,$H4523,DATA_GOC!$E:$E,$C4523,DATA_GOC!$F:$F,"Xuất nội bộ từ téc",DATA_GOC!$B:$B,"&gt;="&amp;$D4523,DATA_GOC!$B:$B,"&lt;="&amp;$E4523))</f>
        <v/>
      </c>
      <c r="J4523" s="59">
        <f t="shared" si="28"/>
        <v>0</v>
      </c>
      <c r="K4523" s="59">
        <f t="shared" si="29"/>
        <v>0</v>
      </c>
      <c r="L4523" s="59">
        <f t="shared" si="30"/>
        <v>0</v>
      </c>
      <c r="M4523" s="59">
        <f t="shared" si="31"/>
        <v>0</v>
      </c>
    </row>
    <row r="4524" ht="15.0" hidden="1" customHeight="1">
      <c r="A4524" s="59">
        <f t="shared" si="20"/>
        <v>72</v>
      </c>
      <c r="B4524" s="59" t="str">
        <f t="shared" si="21"/>
        <v/>
      </c>
      <c r="C4524" s="59" t="str">
        <f t="shared" si="22"/>
        <v/>
      </c>
      <c r="D4524" s="45" t="str">
        <f t="shared" si="23"/>
        <v/>
      </c>
      <c r="E4524" s="45" t="str">
        <f t="shared" si="24"/>
        <v/>
      </c>
      <c r="F4524" s="59" t="str">
        <f t="shared" si="25"/>
        <v/>
      </c>
      <c r="G4524" s="59" t="str">
        <f t="shared" si="26"/>
        <v/>
      </c>
      <c r="H4524" s="59" t="str">
        <f t="shared" si="27"/>
        <v>28H00003</v>
      </c>
      <c r="I4524" s="59" t="str">
        <f>IF(OR($A4524="",$C4524="",$D4524="",$E4524="",$H4524=""),"",SUMIFS(DATA_GOC!$H:$H,DATA_GOC!$A:$A,"BOM",DATA_GOC!$D:$D,$H4524,DATA_GOC!$E:$E,$C4524,DATA_GOC!$F:$F,"Xuất nội bộ từ téc",DATA_GOC!$B:$B,"&gt;="&amp;$D4524,DATA_GOC!$B:$B,"&lt;="&amp;$E4524))</f>
        <v/>
      </c>
      <c r="J4524" s="59">
        <f t="shared" si="28"/>
        <v>0</v>
      </c>
      <c r="K4524" s="59">
        <f t="shared" si="29"/>
        <v>0</v>
      </c>
      <c r="L4524" s="59">
        <f t="shared" si="30"/>
        <v>0</v>
      </c>
      <c r="M4524" s="59">
        <f t="shared" si="31"/>
        <v>0</v>
      </c>
    </row>
    <row r="4525" ht="15.0" hidden="1" customHeight="1">
      <c r="A4525" s="59">
        <f t="shared" si="20"/>
        <v>72</v>
      </c>
      <c r="B4525" s="59" t="str">
        <f t="shared" si="21"/>
        <v/>
      </c>
      <c r="C4525" s="59" t="str">
        <f t="shared" si="22"/>
        <v/>
      </c>
      <c r="D4525" s="45" t="str">
        <f t="shared" si="23"/>
        <v/>
      </c>
      <c r="E4525" s="45" t="str">
        <f t="shared" si="24"/>
        <v/>
      </c>
      <c r="F4525" s="59" t="str">
        <f t="shared" si="25"/>
        <v/>
      </c>
      <c r="G4525" s="59" t="str">
        <f t="shared" si="26"/>
        <v/>
      </c>
      <c r="H4525" s="59" t="str">
        <f t="shared" si="27"/>
        <v>28H00061</v>
      </c>
      <c r="I4525" s="59" t="str">
        <f>IF(OR($A4525="",$C4525="",$D4525="",$E4525="",$H4525=""),"",SUMIFS(DATA_GOC!$H:$H,DATA_GOC!$A:$A,"BOM",DATA_GOC!$D:$D,$H4525,DATA_GOC!$E:$E,$C4525,DATA_GOC!$F:$F,"Xuất nội bộ từ téc",DATA_GOC!$B:$B,"&gt;="&amp;$D4525,DATA_GOC!$B:$B,"&lt;="&amp;$E4525))</f>
        <v/>
      </c>
      <c r="J4525" s="59">
        <f t="shared" si="28"/>
        <v>0</v>
      </c>
      <c r="K4525" s="59">
        <f t="shared" si="29"/>
        <v>0</v>
      </c>
      <c r="L4525" s="59">
        <f t="shared" si="30"/>
        <v>0</v>
      </c>
      <c r="M4525" s="59">
        <f t="shared" si="31"/>
        <v>0</v>
      </c>
    </row>
    <row r="4526" ht="15.0" hidden="1" customHeight="1">
      <c r="A4526" s="59">
        <f t="shared" si="20"/>
        <v>72</v>
      </c>
      <c r="B4526" s="59" t="str">
        <f t="shared" si="21"/>
        <v/>
      </c>
      <c r="C4526" s="59" t="str">
        <f t="shared" si="22"/>
        <v/>
      </c>
      <c r="D4526" s="45" t="str">
        <f t="shared" si="23"/>
        <v/>
      </c>
      <c r="E4526" s="45" t="str">
        <f t="shared" si="24"/>
        <v/>
      </c>
      <c r="F4526" s="59" t="str">
        <f t="shared" si="25"/>
        <v/>
      </c>
      <c r="G4526" s="59" t="str">
        <f t="shared" si="26"/>
        <v/>
      </c>
      <c r="H4526" s="59" t="str">
        <f t="shared" si="27"/>
        <v>28H00354</v>
      </c>
      <c r="I4526" s="59" t="str">
        <f>IF(OR($A4526="",$C4526="",$D4526="",$E4526="",$H4526=""),"",SUMIFS(DATA_GOC!$H:$H,DATA_GOC!$A:$A,"BOM",DATA_GOC!$D:$D,$H4526,DATA_GOC!$E:$E,$C4526,DATA_GOC!$F:$F,"Xuất nội bộ từ téc",DATA_GOC!$B:$B,"&gt;="&amp;$D4526,DATA_GOC!$B:$B,"&lt;="&amp;$E4526))</f>
        <v/>
      </c>
      <c r="J4526" s="59">
        <f t="shared" si="28"/>
        <v>0</v>
      </c>
      <c r="K4526" s="59">
        <f t="shared" si="29"/>
        <v>0</v>
      </c>
      <c r="L4526" s="59">
        <f t="shared" si="30"/>
        <v>0</v>
      </c>
      <c r="M4526" s="59">
        <f t="shared" si="31"/>
        <v>0</v>
      </c>
    </row>
    <row r="4527" ht="15.0" hidden="1" customHeight="1">
      <c r="A4527" s="59">
        <f t="shared" si="20"/>
        <v>72</v>
      </c>
      <c r="B4527" s="59" t="str">
        <f t="shared" si="21"/>
        <v/>
      </c>
      <c r="C4527" s="59" t="str">
        <f t="shared" si="22"/>
        <v/>
      </c>
      <c r="D4527" s="45" t="str">
        <f t="shared" si="23"/>
        <v/>
      </c>
      <c r="E4527" s="45" t="str">
        <f t="shared" si="24"/>
        <v/>
      </c>
      <c r="F4527" s="59" t="str">
        <f t="shared" si="25"/>
        <v/>
      </c>
      <c r="G4527" s="59" t="str">
        <f t="shared" si="26"/>
        <v/>
      </c>
      <c r="H4527" s="59" t="str">
        <f t="shared" si="27"/>
        <v>28H00603</v>
      </c>
      <c r="I4527" s="59" t="str">
        <f>IF(OR($A4527="",$C4527="",$D4527="",$E4527="",$H4527=""),"",SUMIFS(DATA_GOC!$H:$H,DATA_GOC!$A:$A,"BOM",DATA_GOC!$D:$D,$H4527,DATA_GOC!$E:$E,$C4527,DATA_GOC!$F:$F,"Xuất nội bộ từ téc",DATA_GOC!$B:$B,"&gt;="&amp;$D4527,DATA_GOC!$B:$B,"&lt;="&amp;$E4527))</f>
        <v/>
      </c>
      <c r="J4527" s="59">
        <f t="shared" si="28"/>
        <v>0</v>
      </c>
      <c r="K4527" s="59">
        <f t="shared" si="29"/>
        <v>0</v>
      </c>
      <c r="L4527" s="59">
        <f t="shared" si="30"/>
        <v>0</v>
      </c>
      <c r="M4527" s="59">
        <f t="shared" si="31"/>
        <v>0</v>
      </c>
    </row>
    <row r="4528" ht="15.0" hidden="1" customHeight="1">
      <c r="A4528" s="59">
        <f t="shared" si="20"/>
        <v>72</v>
      </c>
      <c r="B4528" s="59" t="str">
        <f t="shared" si="21"/>
        <v/>
      </c>
      <c r="C4528" s="59" t="str">
        <f t="shared" si="22"/>
        <v/>
      </c>
      <c r="D4528" s="45" t="str">
        <f t="shared" si="23"/>
        <v/>
      </c>
      <c r="E4528" s="45" t="str">
        <f t="shared" si="24"/>
        <v/>
      </c>
      <c r="F4528" s="59" t="str">
        <f t="shared" si="25"/>
        <v/>
      </c>
      <c r="G4528" s="59" t="str">
        <f t="shared" si="26"/>
        <v/>
      </c>
      <c r="H4528" s="59" t="str">
        <f t="shared" si="27"/>
        <v>28H00609</v>
      </c>
      <c r="I4528" s="59" t="str">
        <f>IF(OR($A4528="",$C4528="",$D4528="",$E4528="",$H4528=""),"",SUMIFS(DATA_GOC!$H:$H,DATA_GOC!$A:$A,"BOM",DATA_GOC!$D:$D,$H4528,DATA_GOC!$E:$E,$C4528,DATA_GOC!$F:$F,"Xuất nội bộ từ téc",DATA_GOC!$B:$B,"&gt;="&amp;$D4528,DATA_GOC!$B:$B,"&lt;="&amp;$E4528))</f>
        <v/>
      </c>
      <c r="J4528" s="59">
        <f t="shared" si="28"/>
        <v>0</v>
      </c>
      <c r="K4528" s="59">
        <f t="shared" si="29"/>
        <v>0</v>
      </c>
      <c r="L4528" s="59">
        <f t="shared" si="30"/>
        <v>0</v>
      </c>
      <c r="M4528" s="59">
        <f t="shared" si="31"/>
        <v>0</v>
      </c>
    </row>
    <row r="4529" ht="15.0" hidden="1" customHeight="1">
      <c r="A4529" s="59">
        <f t="shared" si="20"/>
        <v>72</v>
      </c>
      <c r="B4529" s="59" t="str">
        <f t="shared" si="21"/>
        <v/>
      </c>
      <c r="C4529" s="59" t="str">
        <f t="shared" si="22"/>
        <v/>
      </c>
      <c r="D4529" s="45" t="str">
        <f t="shared" si="23"/>
        <v/>
      </c>
      <c r="E4529" s="45" t="str">
        <f t="shared" si="24"/>
        <v/>
      </c>
      <c r="F4529" s="59" t="str">
        <f t="shared" si="25"/>
        <v/>
      </c>
      <c r="G4529" s="59" t="str">
        <f t="shared" si="26"/>
        <v/>
      </c>
      <c r="H4529" s="59" t="str">
        <f t="shared" si="27"/>
        <v>28H00669</v>
      </c>
      <c r="I4529" s="59" t="str">
        <f>IF(OR($A4529="",$C4529="",$D4529="",$E4529="",$H4529=""),"",SUMIFS(DATA_GOC!$H:$H,DATA_GOC!$A:$A,"BOM",DATA_GOC!$D:$D,$H4529,DATA_GOC!$E:$E,$C4529,DATA_GOC!$F:$F,"Xuất nội bộ từ téc",DATA_GOC!$B:$B,"&gt;="&amp;$D4529,DATA_GOC!$B:$B,"&lt;="&amp;$E4529))</f>
        <v/>
      </c>
      <c r="J4529" s="59">
        <f t="shared" si="28"/>
        <v>0</v>
      </c>
      <c r="K4529" s="59">
        <f t="shared" si="29"/>
        <v>0</v>
      </c>
      <c r="L4529" s="59">
        <f t="shared" si="30"/>
        <v>0</v>
      </c>
      <c r="M4529" s="59">
        <f t="shared" si="31"/>
        <v>0</v>
      </c>
    </row>
    <row r="4530" ht="15.0" hidden="1" customHeight="1">
      <c r="A4530" s="59">
        <f t="shared" si="20"/>
        <v>72</v>
      </c>
      <c r="B4530" s="59" t="str">
        <f t="shared" si="21"/>
        <v/>
      </c>
      <c r="C4530" s="59" t="str">
        <f t="shared" si="22"/>
        <v/>
      </c>
      <c r="D4530" s="45" t="str">
        <f t="shared" si="23"/>
        <v/>
      </c>
      <c r="E4530" s="45" t="str">
        <f t="shared" si="24"/>
        <v/>
      </c>
      <c r="F4530" s="59" t="str">
        <f t="shared" si="25"/>
        <v/>
      </c>
      <c r="G4530" s="59" t="str">
        <f t="shared" si="26"/>
        <v/>
      </c>
      <c r="H4530" s="59" t="str">
        <f t="shared" si="27"/>
        <v>28H00680</v>
      </c>
      <c r="I4530" s="59" t="str">
        <f>IF(OR($A4530="",$C4530="",$D4530="",$E4530="",$H4530=""),"",SUMIFS(DATA_GOC!$H:$H,DATA_GOC!$A:$A,"BOM",DATA_GOC!$D:$D,$H4530,DATA_GOC!$E:$E,$C4530,DATA_GOC!$F:$F,"Xuất nội bộ từ téc",DATA_GOC!$B:$B,"&gt;="&amp;$D4530,DATA_GOC!$B:$B,"&lt;="&amp;$E4530))</f>
        <v/>
      </c>
      <c r="J4530" s="59">
        <f t="shared" si="28"/>
        <v>0</v>
      </c>
      <c r="K4530" s="59">
        <f t="shared" si="29"/>
        <v>0</v>
      </c>
      <c r="L4530" s="59">
        <f t="shared" si="30"/>
        <v>0</v>
      </c>
      <c r="M4530" s="59">
        <f t="shared" si="31"/>
        <v>0</v>
      </c>
    </row>
    <row r="4531" ht="15.0" hidden="1" customHeight="1">
      <c r="A4531" s="59">
        <f t="shared" si="20"/>
        <v>72</v>
      </c>
      <c r="B4531" s="59" t="str">
        <f t="shared" si="21"/>
        <v/>
      </c>
      <c r="C4531" s="59" t="str">
        <f t="shared" si="22"/>
        <v/>
      </c>
      <c r="D4531" s="45" t="str">
        <f t="shared" si="23"/>
        <v/>
      </c>
      <c r="E4531" s="45" t="str">
        <f t="shared" si="24"/>
        <v/>
      </c>
      <c r="F4531" s="59" t="str">
        <f t="shared" si="25"/>
        <v/>
      </c>
      <c r="G4531" s="59" t="str">
        <f t="shared" si="26"/>
        <v/>
      </c>
      <c r="H4531" s="59" t="str">
        <f t="shared" si="27"/>
        <v>28H01070</v>
      </c>
      <c r="I4531" s="59" t="str">
        <f>IF(OR($A4531="",$C4531="",$D4531="",$E4531="",$H4531=""),"",SUMIFS(DATA_GOC!$H:$H,DATA_GOC!$A:$A,"BOM",DATA_GOC!$D:$D,$H4531,DATA_GOC!$E:$E,$C4531,DATA_GOC!$F:$F,"Xuất nội bộ từ téc",DATA_GOC!$B:$B,"&gt;="&amp;$D4531,DATA_GOC!$B:$B,"&lt;="&amp;$E4531))</f>
        <v/>
      </c>
      <c r="J4531" s="59">
        <f t="shared" si="28"/>
        <v>0</v>
      </c>
      <c r="K4531" s="59">
        <f t="shared" si="29"/>
        <v>0</v>
      </c>
      <c r="L4531" s="59">
        <f t="shared" si="30"/>
        <v>0</v>
      </c>
      <c r="M4531" s="59">
        <f t="shared" si="31"/>
        <v>0</v>
      </c>
    </row>
    <row r="4532" ht="15.0" hidden="1" customHeight="1">
      <c r="A4532" s="59">
        <f t="shared" si="20"/>
        <v>72</v>
      </c>
      <c r="B4532" s="59" t="str">
        <f t="shared" si="21"/>
        <v/>
      </c>
      <c r="C4532" s="59" t="str">
        <f t="shared" si="22"/>
        <v/>
      </c>
      <c r="D4532" s="45" t="str">
        <f t="shared" si="23"/>
        <v/>
      </c>
      <c r="E4532" s="45" t="str">
        <f t="shared" si="24"/>
        <v/>
      </c>
      <c r="F4532" s="59" t="str">
        <f t="shared" si="25"/>
        <v/>
      </c>
      <c r="G4532" s="59" t="str">
        <f t="shared" si="26"/>
        <v/>
      </c>
      <c r="H4532" s="59" t="str">
        <f t="shared" si="27"/>
        <v>28H01364</v>
      </c>
      <c r="I4532" s="59" t="str">
        <f>IF(OR($A4532="",$C4532="",$D4532="",$E4532="",$H4532=""),"",SUMIFS(DATA_GOC!$H:$H,DATA_GOC!$A:$A,"BOM",DATA_GOC!$D:$D,$H4532,DATA_GOC!$E:$E,$C4532,DATA_GOC!$F:$F,"Xuất nội bộ từ téc",DATA_GOC!$B:$B,"&gt;="&amp;$D4532,DATA_GOC!$B:$B,"&lt;="&amp;$E4532))</f>
        <v/>
      </c>
      <c r="J4532" s="59">
        <f t="shared" si="28"/>
        <v>0</v>
      </c>
      <c r="K4532" s="59">
        <f t="shared" si="29"/>
        <v>0</v>
      </c>
      <c r="L4532" s="59">
        <f t="shared" si="30"/>
        <v>0</v>
      </c>
      <c r="M4532" s="59">
        <f t="shared" si="31"/>
        <v>0</v>
      </c>
    </row>
    <row r="4533" ht="15.0" hidden="1" customHeight="1">
      <c r="A4533" s="59">
        <f t="shared" si="20"/>
        <v>72</v>
      </c>
      <c r="B4533" s="59" t="str">
        <f t="shared" si="21"/>
        <v/>
      </c>
      <c r="C4533" s="59" t="str">
        <f t="shared" si="22"/>
        <v/>
      </c>
      <c r="D4533" s="45" t="str">
        <f t="shared" si="23"/>
        <v/>
      </c>
      <c r="E4533" s="45" t="str">
        <f t="shared" si="24"/>
        <v/>
      </c>
      <c r="F4533" s="59" t="str">
        <f t="shared" si="25"/>
        <v/>
      </c>
      <c r="G4533" s="59" t="str">
        <f t="shared" si="26"/>
        <v/>
      </c>
      <c r="H4533" s="59" t="str">
        <f t="shared" si="27"/>
        <v>29E17269</v>
      </c>
      <c r="I4533" s="59" t="str">
        <f>IF(OR($A4533="",$C4533="",$D4533="",$E4533="",$H4533=""),"",SUMIFS(DATA_GOC!$H:$H,DATA_GOC!$A:$A,"BOM",DATA_GOC!$D:$D,$H4533,DATA_GOC!$E:$E,$C4533,DATA_GOC!$F:$F,"Xuất nội bộ từ téc",DATA_GOC!$B:$B,"&gt;="&amp;$D4533,DATA_GOC!$B:$B,"&lt;="&amp;$E4533))</f>
        <v/>
      </c>
      <c r="J4533" s="59">
        <f t="shared" si="28"/>
        <v>0</v>
      </c>
      <c r="K4533" s="59">
        <f t="shared" si="29"/>
        <v>0</v>
      </c>
      <c r="L4533" s="59">
        <f t="shared" si="30"/>
        <v>0</v>
      </c>
      <c r="M4533" s="59">
        <f t="shared" si="31"/>
        <v>0</v>
      </c>
    </row>
    <row r="4534" ht="15.0" hidden="1" customHeight="1">
      <c r="A4534" s="59">
        <f t="shared" si="20"/>
        <v>72</v>
      </c>
      <c r="B4534" s="59" t="str">
        <f t="shared" si="21"/>
        <v/>
      </c>
      <c r="C4534" s="59" t="str">
        <f t="shared" si="22"/>
        <v/>
      </c>
      <c r="D4534" s="45" t="str">
        <f t="shared" si="23"/>
        <v/>
      </c>
      <c r="E4534" s="45" t="str">
        <f t="shared" si="24"/>
        <v/>
      </c>
      <c r="F4534" s="59" t="str">
        <f t="shared" si="25"/>
        <v/>
      </c>
      <c r="G4534" s="59" t="str">
        <f t="shared" si="26"/>
        <v/>
      </c>
      <c r="H4534" s="59" t="str">
        <f t="shared" si="27"/>
        <v>29E17273</v>
      </c>
      <c r="I4534" s="59" t="str">
        <f>IF(OR($A4534="",$C4534="",$D4534="",$E4534="",$H4534=""),"",SUMIFS(DATA_GOC!$H:$H,DATA_GOC!$A:$A,"BOM",DATA_GOC!$D:$D,$H4534,DATA_GOC!$E:$E,$C4534,DATA_GOC!$F:$F,"Xuất nội bộ từ téc",DATA_GOC!$B:$B,"&gt;="&amp;$D4534,DATA_GOC!$B:$B,"&lt;="&amp;$E4534))</f>
        <v/>
      </c>
      <c r="J4534" s="59">
        <f t="shared" si="28"/>
        <v>0</v>
      </c>
      <c r="K4534" s="59">
        <f t="shared" si="29"/>
        <v>0</v>
      </c>
      <c r="L4534" s="59">
        <f t="shared" si="30"/>
        <v>0</v>
      </c>
      <c r="M4534" s="59">
        <f t="shared" si="31"/>
        <v>0</v>
      </c>
    </row>
    <row r="4535" ht="15.0" hidden="1" customHeight="1">
      <c r="A4535" s="59">
        <f t="shared" si="20"/>
        <v>72</v>
      </c>
      <c r="B4535" s="59" t="str">
        <f t="shared" si="21"/>
        <v/>
      </c>
      <c r="C4535" s="59" t="str">
        <f t="shared" si="22"/>
        <v/>
      </c>
      <c r="D4535" s="45" t="str">
        <f t="shared" si="23"/>
        <v/>
      </c>
      <c r="E4535" s="45" t="str">
        <f t="shared" si="24"/>
        <v/>
      </c>
      <c r="F4535" s="59" t="str">
        <f t="shared" si="25"/>
        <v/>
      </c>
      <c r="G4535" s="59" t="str">
        <f t="shared" si="26"/>
        <v/>
      </c>
      <c r="H4535" s="59" t="str">
        <f t="shared" si="27"/>
        <v>29E17410</v>
      </c>
      <c r="I4535" s="59" t="str">
        <f>IF(OR($A4535="",$C4535="",$D4535="",$E4535="",$H4535=""),"",SUMIFS(DATA_GOC!$H:$H,DATA_GOC!$A:$A,"BOM",DATA_GOC!$D:$D,$H4535,DATA_GOC!$E:$E,$C4535,DATA_GOC!$F:$F,"Xuất nội bộ từ téc",DATA_GOC!$B:$B,"&gt;="&amp;$D4535,DATA_GOC!$B:$B,"&lt;="&amp;$E4535))</f>
        <v/>
      </c>
      <c r="J4535" s="59">
        <f t="shared" si="28"/>
        <v>0</v>
      </c>
      <c r="K4535" s="59">
        <f t="shared" si="29"/>
        <v>0</v>
      </c>
      <c r="L4535" s="59">
        <f t="shared" si="30"/>
        <v>0</v>
      </c>
      <c r="M4535" s="59">
        <f t="shared" si="31"/>
        <v>0</v>
      </c>
    </row>
    <row r="4536" ht="15.0" hidden="1" customHeight="1">
      <c r="A4536" s="59">
        <f t="shared" si="20"/>
        <v>72</v>
      </c>
      <c r="B4536" s="59" t="str">
        <f t="shared" si="21"/>
        <v/>
      </c>
      <c r="C4536" s="59" t="str">
        <f t="shared" si="22"/>
        <v/>
      </c>
      <c r="D4536" s="45" t="str">
        <f t="shared" si="23"/>
        <v/>
      </c>
      <c r="E4536" s="45" t="str">
        <f t="shared" si="24"/>
        <v/>
      </c>
      <c r="F4536" s="59" t="str">
        <f t="shared" si="25"/>
        <v/>
      </c>
      <c r="G4536" s="59" t="str">
        <f t="shared" si="26"/>
        <v/>
      </c>
      <c r="H4536" s="59" t="str">
        <f t="shared" si="27"/>
        <v>29E17417</v>
      </c>
      <c r="I4536" s="59" t="str">
        <f>IF(OR($A4536="",$C4536="",$D4536="",$E4536="",$H4536=""),"",SUMIFS(DATA_GOC!$H:$H,DATA_GOC!$A:$A,"BOM",DATA_GOC!$D:$D,$H4536,DATA_GOC!$E:$E,$C4536,DATA_GOC!$F:$F,"Xuất nội bộ từ téc",DATA_GOC!$B:$B,"&gt;="&amp;$D4536,DATA_GOC!$B:$B,"&lt;="&amp;$E4536))</f>
        <v/>
      </c>
      <c r="J4536" s="59">
        <f t="shared" si="28"/>
        <v>0</v>
      </c>
      <c r="K4536" s="59">
        <f t="shared" si="29"/>
        <v>0</v>
      </c>
      <c r="L4536" s="59">
        <f t="shared" si="30"/>
        <v>0</v>
      </c>
      <c r="M4536" s="59">
        <f t="shared" si="31"/>
        <v>0</v>
      </c>
    </row>
    <row r="4537" ht="15.0" hidden="1" customHeight="1">
      <c r="A4537" s="59">
        <f t="shared" si="20"/>
        <v>72</v>
      </c>
      <c r="B4537" s="59" t="str">
        <f t="shared" si="21"/>
        <v/>
      </c>
      <c r="C4537" s="59" t="str">
        <f t="shared" si="22"/>
        <v/>
      </c>
      <c r="D4537" s="45" t="str">
        <f t="shared" si="23"/>
        <v/>
      </c>
      <c r="E4537" s="45" t="str">
        <f t="shared" si="24"/>
        <v/>
      </c>
      <c r="F4537" s="59" t="str">
        <f t="shared" si="25"/>
        <v/>
      </c>
      <c r="G4537" s="59" t="str">
        <f t="shared" si="26"/>
        <v/>
      </c>
      <c r="H4537" s="59" t="str">
        <f t="shared" si="27"/>
        <v>29E17539</v>
      </c>
      <c r="I4537" s="59" t="str">
        <f>IF(OR($A4537="",$C4537="",$D4537="",$E4537="",$H4537=""),"",SUMIFS(DATA_GOC!$H:$H,DATA_GOC!$A:$A,"BOM",DATA_GOC!$D:$D,$H4537,DATA_GOC!$E:$E,$C4537,DATA_GOC!$F:$F,"Xuất nội bộ từ téc",DATA_GOC!$B:$B,"&gt;="&amp;$D4537,DATA_GOC!$B:$B,"&lt;="&amp;$E4537))</f>
        <v/>
      </c>
      <c r="J4537" s="59">
        <f t="shared" si="28"/>
        <v>0</v>
      </c>
      <c r="K4537" s="59">
        <f t="shared" si="29"/>
        <v>0</v>
      </c>
      <c r="L4537" s="59">
        <f t="shared" si="30"/>
        <v>0</v>
      </c>
      <c r="M4537" s="59">
        <f t="shared" si="31"/>
        <v>0</v>
      </c>
    </row>
    <row r="4538" ht="15.0" hidden="1" customHeight="1">
      <c r="A4538" s="59">
        <f t="shared" si="20"/>
        <v>72</v>
      </c>
      <c r="B4538" s="59" t="str">
        <f t="shared" si="21"/>
        <v/>
      </c>
      <c r="C4538" s="59" t="str">
        <f t="shared" si="22"/>
        <v/>
      </c>
      <c r="D4538" s="45" t="str">
        <f t="shared" si="23"/>
        <v/>
      </c>
      <c r="E4538" s="45" t="str">
        <f t="shared" si="24"/>
        <v/>
      </c>
      <c r="F4538" s="59" t="str">
        <f t="shared" si="25"/>
        <v/>
      </c>
      <c r="G4538" s="59" t="str">
        <f t="shared" si="26"/>
        <v/>
      </c>
      <c r="H4538" s="59" t="str">
        <f t="shared" si="27"/>
        <v>29E18160</v>
      </c>
      <c r="I4538" s="59" t="str">
        <f>IF(OR($A4538="",$C4538="",$D4538="",$E4538="",$H4538=""),"",SUMIFS(DATA_GOC!$H:$H,DATA_GOC!$A:$A,"BOM",DATA_GOC!$D:$D,$H4538,DATA_GOC!$E:$E,$C4538,DATA_GOC!$F:$F,"Xuất nội bộ từ téc",DATA_GOC!$B:$B,"&gt;="&amp;$D4538,DATA_GOC!$B:$B,"&lt;="&amp;$E4538))</f>
        <v/>
      </c>
      <c r="J4538" s="59">
        <f t="shared" si="28"/>
        <v>0</v>
      </c>
      <c r="K4538" s="59">
        <f t="shared" si="29"/>
        <v>0</v>
      </c>
      <c r="L4538" s="59">
        <f t="shared" si="30"/>
        <v>0</v>
      </c>
      <c r="M4538" s="59">
        <f t="shared" si="31"/>
        <v>0</v>
      </c>
    </row>
    <row r="4539" ht="15.0" hidden="1" customHeight="1">
      <c r="A4539" s="59">
        <f t="shared" si="20"/>
        <v>72</v>
      </c>
      <c r="B4539" s="59" t="str">
        <f t="shared" si="21"/>
        <v/>
      </c>
      <c r="C4539" s="59" t="str">
        <f t="shared" si="22"/>
        <v/>
      </c>
      <c r="D4539" s="45" t="str">
        <f t="shared" si="23"/>
        <v/>
      </c>
      <c r="E4539" s="45" t="str">
        <f t="shared" si="24"/>
        <v/>
      </c>
      <c r="F4539" s="59" t="str">
        <f t="shared" si="25"/>
        <v/>
      </c>
      <c r="G4539" s="59" t="str">
        <f t="shared" si="26"/>
        <v/>
      </c>
      <c r="H4539" s="59" t="str">
        <f t="shared" si="27"/>
        <v>Công trình Asphalt</v>
      </c>
      <c r="I4539" s="59" t="str">
        <f>IF(OR($A4539="",$C4539="",$D4539="",$E4539="",$H4539=""),"",SUMIFS(DATA_GOC!$H:$H,DATA_GOC!$A:$A,"BOM",DATA_GOC!$D:$D,$H4539,DATA_GOC!$E:$E,$C4539,DATA_GOC!$F:$F,"Xuất nội bộ từ téc",DATA_GOC!$B:$B,"&gt;="&amp;$D4539,DATA_GOC!$B:$B,"&lt;="&amp;$E4539))</f>
        <v/>
      </c>
      <c r="J4539" s="59">
        <f t="shared" si="28"/>
        <v>0</v>
      </c>
      <c r="K4539" s="59">
        <f t="shared" si="29"/>
        <v>0</v>
      </c>
      <c r="L4539" s="59">
        <f t="shared" si="30"/>
        <v>0</v>
      </c>
      <c r="M4539" s="59">
        <f t="shared" si="31"/>
        <v>0</v>
      </c>
    </row>
    <row r="4540" ht="15.0" hidden="1" customHeight="1">
      <c r="A4540" s="59">
        <f t="shared" si="20"/>
        <v>72</v>
      </c>
      <c r="B4540" s="59" t="str">
        <f t="shared" si="21"/>
        <v/>
      </c>
      <c r="C4540" s="59" t="str">
        <f t="shared" si="22"/>
        <v/>
      </c>
      <c r="D4540" s="45" t="str">
        <f t="shared" si="23"/>
        <v/>
      </c>
      <c r="E4540" s="45" t="str">
        <f t="shared" si="24"/>
        <v/>
      </c>
      <c r="F4540" s="59" t="str">
        <f t="shared" si="25"/>
        <v/>
      </c>
      <c r="G4540" s="59" t="str">
        <f t="shared" si="26"/>
        <v/>
      </c>
      <c r="H4540" s="59" t="str">
        <f t="shared" si="27"/>
        <v>LG53F</v>
      </c>
      <c r="I4540" s="59" t="str">
        <f>IF(OR($A4540="",$C4540="",$D4540="",$E4540="",$H4540=""),"",SUMIFS(DATA_GOC!$H:$H,DATA_GOC!$A:$A,"BOM",DATA_GOC!$D:$D,$H4540,DATA_GOC!$E:$E,$C4540,DATA_GOC!$F:$F,"Xuất nội bộ từ téc",DATA_GOC!$B:$B,"&gt;="&amp;$D4540,DATA_GOC!$B:$B,"&lt;="&amp;$E4540))</f>
        <v/>
      </c>
      <c r="J4540" s="59">
        <f t="shared" si="28"/>
        <v>0</v>
      </c>
      <c r="K4540" s="59">
        <f t="shared" si="29"/>
        <v>0</v>
      </c>
      <c r="L4540" s="59">
        <f t="shared" si="30"/>
        <v>0</v>
      </c>
      <c r="M4540" s="59">
        <f t="shared" si="31"/>
        <v>0</v>
      </c>
    </row>
    <row r="4541" ht="15.0" hidden="1" customHeight="1">
      <c r="A4541" s="59">
        <f t="shared" si="20"/>
        <v>72</v>
      </c>
      <c r="B4541" s="59" t="str">
        <f t="shared" si="21"/>
        <v/>
      </c>
      <c r="C4541" s="59" t="str">
        <f t="shared" si="22"/>
        <v/>
      </c>
      <c r="D4541" s="45" t="str">
        <f t="shared" si="23"/>
        <v/>
      </c>
      <c r="E4541" s="45" t="str">
        <f t="shared" si="24"/>
        <v/>
      </c>
      <c r="F4541" s="59" t="str">
        <f t="shared" si="25"/>
        <v/>
      </c>
      <c r="G4541" s="59" t="str">
        <f t="shared" si="26"/>
        <v/>
      </c>
      <c r="H4541" s="59" t="str">
        <f t="shared" si="27"/>
        <v>Máy phát điện</v>
      </c>
      <c r="I4541" s="59" t="str">
        <f>IF(OR($A4541="",$C4541="",$D4541="",$E4541="",$H4541=""),"",SUMIFS(DATA_GOC!$H:$H,DATA_GOC!$A:$A,"BOM",DATA_GOC!$D:$D,$H4541,DATA_GOC!$E:$E,$C4541,DATA_GOC!$F:$F,"Xuất nội bộ từ téc",DATA_GOC!$B:$B,"&gt;="&amp;$D4541,DATA_GOC!$B:$B,"&lt;="&amp;$E4541))</f>
        <v/>
      </c>
      <c r="J4541" s="59">
        <f t="shared" si="28"/>
        <v>0</v>
      </c>
      <c r="K4541" s="59">
        <f t="shared" si="29"/>
        <v>0</v>
      </c>
      <c r="L4541" s="59">
        <f t="shared" si="30"/>
        <v>0</v>
      </c>
      <c r="M4541" s="59">
        <f t="shared" si="31"/>
        <v>0</v>
      </c>
    </row>
    <row r="4542" ht="15.0" hidden="1" customHeight="1">
      <c r="A4542" s="59">
        <f t="shared" si="20"/>
        <v>72</v>
      </c>
      <c r="B4542" s="59" t="str">
        <f t="shared" si="21"/>
        <v/>
      </c>
      <c r="C4542" s="59" t="str">
        <f t="shared" si="22"/>
        <v/>
      </c>
      <c r="D4542" s="45" t="str">
        <f t="shared" si="23"/>
        <v/>
      </c>
      <c r="E4542" s="45" t="str">
        <f t="shared" si="24"/>
        <v/>
      </c>
      <c r="F4542" s="59" t="str">
        <f t="shared" si="25"/>
        <v/>
      </c>
      <c r="G4542" s="59" t="str">
        <f t="shared" si="26"/>
        <v/>
      </c>
      <c r="H4542" s="59" t="str">
        <f t="shared" si="27"/>
        <v>Máy rải thảm</v>
      </c>
      <c r="I4542" s="59" t="str">
        <f>IF(OR($A4542="",$C4542="",$D4542="",$E4542="",$H4542=""),"",SUMIFS(DATA_GOC!$H:$H,DATA_GOC!$A:$A,"BOM",DATA_GOC!$D:$D,$H4542,DATA_GOC!$E:$E,$C4542,DATA_GOC!$F:$F,"Xuất nội bộ từ téc",DATA_GOC!$B:$B,"&gt;="&amp;$D4542,DATA_GOC!$B:$B,"&lt;="&amp;$E4542))</f>
        <v/>
      </c>
      <c r="J4542" s="59">
        <f t="shared" si="28"/>
        <v>0</v>
      </c>
      <c r="K4542" s="59">
        <f t="shared" si="29"/>
        <v>0</v>
      </c>
      <c r="L4542" s="59">
        <f t="shared" si="30"/>
        <v>0</v>
      </c>
      <c r="M4542" s="59">
        <f t="shared" si="31"/>
        <v>0</v>
      </c>
    </row>
    <row r="4543" ht="15.0" hidden="1" customHeight="1">
      <c r="A4543" s="59">
        <f t="shared" si="20"/>
        <v>72</v>
      </c>
      <c r="B4543" s="59" t="str">
        <f t="shared" si="21"/>
        <v/>
      </c>
      <c r="C4543" s="59" t="str">
        <f t="shared" si="22"/>
        <v/>
      </c>
      <c r="D4543" s="45" t="str">
        <f t="shared" si="23"/>
        <v/>
      </c>
      <c r="E4543" s="45" t="str">
        <f t="shared" si="24"/>
        <v/>
      </c>
      <c r="F4543" s="59" t="str">
        <f t="shared" si="25"/>
        <v/>
      </c>
      <c r="G4543" s="59" t="str">
        <f t="shared" si="26"/>
        <v/>
      </c>
      <c r="H4543" s="59" t="str">
        <f t="shared" si="27"/>
        <v>Xúc Đào</v>
      </c>
      <c r="I4543" s="59" t="str">
        <f>IF(OR($A4543="",$C4543="",$D4543="",$E4543="",$H4543=""),"",SUMIFS(DATA_GOC!$H:$H,DATA_GOC!$A:$A,"BOM",DATA_GOC!$D:$D,$H4543,DATA_GOC!$E:$E,$C4543,DATA_GOC!$F:$F,"Xuất nội bộ từ téc",DATA_GOC!$B:$B,"&gt;="&amp;$D4543,DATA_GOC!$B:$B,"&lt;="&amp;$E4543))</f>
        <v/>
      </c>
      <c r="J4543" s="59">
        <f t="shared" si="28"/>
        <v>0</v>
      </c>
      <c r="K4543" s="59">
        <f t="shared" si="29"/>
        <v>0</v>
      </c>
      <c r="L4543" s="59">
        <f t="shared" si="30"/>
        <v>0</v>
      </c>
      <c r="M4543" s="59">
        <f t="shared" si="31"/>
        <v>0</v>
      </c>
    </row>
    <row r="4544" ht="15.0" hidden="1" customHeight="1">
      <c r="A4544" s="59">
        <f t="shared" si="20"/>
        <v>72</v>
      </c>
      <c r="B4544" s="59" t="str">
        <f t="shared" si="21"/>
        <v/>
      </c>
      <c r="C4544" s="59" t="str">
        <f t="shared" si="22"/>
        <v/>
      </c>
      <c r="D4544" s="45" t="str">
        <f t="shared" si="23"/>
        <v/>
      </c>
      <c r="E4544" s="45" t="str">
        <f t="shared" si="24"/>
        <v/>
      </c>
      <c r="F4544" s="59" t="str">
        <f t="shared" si="25"/>
        <v/>
      </c>
      <c r="G4544" s="59" t="str">
        <f t="shared" si="26"/>
        <v/>
      </c>
      <c r="H4544" s="59" t="str">
        <f t="shared" si="27"/>
        <v>Xúclật asphalt</v>
      </c>
      <c r="I4544" s="59" t="str">
        <f>IF(OR($A4544="",$C4544="",$D4544="",$E4544="",$H4544=""),"",SUMIFS(DATA_GOC!$H:$H,DATA_GOC!$A:$A,"BOM",DATA_GOC!$D:$D,$H4544,DATA_GOC!$E:$E,$C4544,DATA_GOC!$F:$F,"Xuất nội bộ từ téc",DATA_GOC!$B:$B,"&gt;="&amp;$D4544,DATA_GOC!$B:$B,"&lt;="&amp;$E4544))</f>
        <v/>
      </c>
      <c r="J4544" s="59">
        <f t="shared" si="28"/>
        <v>0</v>
      </c>
      <c r="K4544" s="59">
        <f t="shared" si="29"/>
        <v>0</v>
      </c>
      <c r="L4544" s="59">
        <f t="shared" si="30"/>
        <v>0</v>
      </c>
      <c r="M4544" s="59">
        <f t="shared" si="31"/>
        <v>0</v>
      </c>
    </row>
    <row r="4545" ht="15.0" hidden="1" customHeight="1">
      <c r="A4545" s="59">
        <f t="shared" si="20"/>
        <v>72</v>
      </c>
      <c r="B4545" s="59" t="str">
        <f t="shared" si="21"/>
        <v/>
      </c>
      <c r="C4545" s="59" t="str">
        <f t="shared" si="22"/>
        <v/>
      </c>
      <c r="D4545" s="45" t="str">
        <f t="shared" si="23"/>
        <v/>
      </c>
      <c r="E4545" s="45" t="str">
        <f t="shared" si="24"/>
        <v/>
      </c>
      <c r="F4545" s="59" t="str">
        <f t="shared" si="25"/>
        <v/>
      </c>
      <c r="G4545" s="59" t="str">
        <f t="shared" si="26"/>
        <v/>
      </c>
      <c r="H4545" s="59" t="str">
        <f t="shared" si="27"/>
        <v>Xúclật855H</v>
      </c>
      <c r="I4545" s="59" t="str">
        <f>IF(OR($A4545="",$C4545="",$D4545="",$E4545="",$H4545=""),"",SUMIFS(DATA_GOC!$H:$H,DATA_GOC!$A:$A,"BOM",DATA_GOC!$D:$D,$H4545,DATA_GOC!$E:$E,$C4545,DATA_GOC!$F:$F,"Xuất nội bộ từ téc",DATA_GOC!$B:$B,"&gt;="&amp;$D4545,DATA_GOC!$B:$B,"&lt;="&amp;$E4545))</f>
        <v/>
      </c>
      <c r="J4545" s="59">
        <f t="shared" si="28"/>
        <v>0</v>
      </c>
      <c r="K4545" s="59">
        <f t="shared" si="29"/>
        <v>0</v>
      </c>
      <c r="L4545" s="59">
        <f t="shared" si="30"/>
        <v>0</v>
      </c>
      <c r="M4545" s="59">
        <f t="shared" si="31"/>
        <v>0</v>
      </c>
    </row>
    <row r="4546" ht="15.0" hidden="1" customHeight="1">
      <c r="A4546" s="59">
        <f t="shared" si="20"/>
        <v>72</v>
      </c>
      <c r="B4546" s="59" t="str">
        <f t="shared" si="21"/>
        <v/>
      </c>
      <c r="C4546" s="59" t="str">
        <f t="shared" si="22"/>
        <v/>
      </c>
      <c r="D4546" s="45" t="str">
        <f t="shared" si="23"/>
        <v/>
      </c>
      <c r="E4546" s="45" t="str">
        <f t="shared" si="24"/>
        <v/>
      </c>
      <c r="F4546" s="59" t="str">
        <f t="shared" si="25"/>
        <v/>
      </c>
      <c r="G4546" s="59" t="str">
        <f t="shared" si="26"/>
        <v/>
      </c>
      <c r="H4546" s="59" t="str">
        <f t="shared" si="27"/>
        <v>Xúclật855N</v>
      </c>
      <c r="I4546" s="59" t="str">
        <f>IF(OR($A4546="",$C4546="",$D4546="",$E4546="",$H4546=""),"",SUMIFS(DATA_GOC!$H:$H,DATA_GOC!$A:$A,"BOM",DATA_GOC!$D:$D,$H4546,DATA_GOC!$E:$E,$C4546,DATA_GOC!$F:$F,"Xuất nội bộ từ téc",DATA_GOC!$B:$B,"&gt;="&amp;$D4546,DATA_GOC!$B:$B,"&lt;="&amp;$E4546))</f>
        <v/>
      </c>
      <c r="J4546" s="59">
        <f t="shared" si="28"/>
        <v>0</v>
      </c>
      <c r="K4546" s="59">
        <f t="shared" si="29"/>
        <v>0</v>
      </c>
      <c r="L4546" s="59">
        <f t="shared" si="30"/>
        <v>0</v>
      </c>
      <c r="M4546" s="59">
        <f t="shared" si="31"/>
        <v>0</v>
      </c>
    </row>
    <row r="4547" ht="15.0" hidden="1" customHeight="1">
      <c r="A4547" s="59">
        <f t="shared" si="20"/>
        <v>72</v>
      </c>
      <c r="B4547" s="59" t="str">
        <f t="shared" si="21"/>
        <v/>
      </c>
      <c r="C4547" s="59" t="str">
        <f t="shared" si="22"/>
        <v/>
      </c>
      <c r="D4547" s="45" t="str">
        <f t="shared" si="23"/>
        <v/>
      </c>
      <c r="E4547" s="45" t="str">
        <f t="shared" si="24"/>
        <v/>
      </c>
      <c r="F4547" s="59" t="str">
        <f t="shared" si="25"/>
        <v/>
      </c>
      <c r="G4547" s="59" t="str">
        <f t="shared" si="26"/>
        <v/>
      </c>
      <c r="H4547" s="59" t="str">
        <f t="shared" si="27"/>
        <v>Cát nghiền</v>
      </c>
      <c r="I4547" s="59" t="str">
        <f>IF(OR($A4547="",$C4547="",$D4547="",$E4547="",$H4547=""),"",SUMIFS(DATA_GOC!$H:$H,DATA_GOC!$A:$A,"BOM",DATA_GOC!$D:$D,$H4547,DATA_GOC!$E:$E,$C4547,DATA_GOC!$F:$F,"Xuất nội bộ từ téc",DATA_GOC!$B:$B,"&gt;="&amp;$D4547,DATA_GOC!$B:$B,"&lt;="&amp;$E4547))</f>
        <v/>
      </c>
      <c r="J4547" s="59">
        <f t="shared" si="28"/>
        <v>0</v>
      </c>
      <c r="K4547" s="59">
        <f t="shared" si="29"/>
        <v>0</v>
      </c>
      <c r="L4547" s="59">
        <f t="shared" si="30"/>
        <v>0</v>
      </c>
      <c r="M4547" s="59">
        <f t="shared" si="31"/>
        <v>0</v>
      </c>
    </row>
    <row r="4548" ht="15.0" hidden="1" customHeight="1">
      <c r="A4548" s="59">
        <f t="shared" si="20"/>
        <v>72</v>
      </c>
      <c r="B4548" s="59" t="str">
        <f t="shared" si="21"/>
        <v/>
      </c>
      <c r="C4548" s="59" t="str">
        <f t="shared" si="22"/>
        <v/>
      </c>
      <c r="D4548" s="45" t="str">
        <f t="shared" si="23"/>
        <v/>
      </c>
      <c r="E4548" s="45" t="str">
        <f t="shared" si="24"/>
        <v/>
      </c>
      <c r="F4548" s="59" t="str">
        <f t="shared" si="25"/>
        <v/>
      </c>
      <c r="G4548" s="59" t="str">
        <f t="shared" si="26"/>
        <v/>
      </c>
      <c r="H4548" s="59" t="str">
        <f t="shared" si="27"/>
        <v>28C02973</v>
      </c>
      <c r="I4548" s="59" t="str">
        <f>IF(OR($A4548="",$C4548="",$D4548="",$E4548="",$H4548=""),"",SUMIFS(DATA_GOC!$H:$H,DATA_GOC!$A:$A,"BOM",DATA_GOC!$D:$D,$H4548,DATA_GOC!$E:$E,$C4548,DATA_GOC!$F:$F,"Xuất nội bộ từ téc",DATA_GOC!$B:$B,"&gt;="&amp;$D4548,DATA_GOC!$B:$B,"&lt;="&amp;$E4548))</f>
        <v/>
      </c>
      <c r="J4548" s="59">
        <f t="shared" si="28"/>
        <v>0</v>
      </c>
      <c r="K4548" s="59">
        <f t="shared" si="29"/>
        <v>0</v>
      </c>
      <c r="L4548" s="59">
        <f t="shared" si="30"/>
        <v>0</v>
      </c>
      <c r="M4548" s="59">
        <f t="shared" si="31"/>
        <v>0</v>
      </c>
    </row>
    <row r="4549" ht="15.0" hidden="1" customHeight="1">
      <c r="A4549" s="59">
        <f t="shared" si="20"/>
        <v>72</v>
      </c>
      <c r="B4549" s="59" t="str">
        <f t="shared" si="21"/>
        <v/>
      </c>
      <c r="C4549" s="59" t="str">
        <f t="shared" si="22"/>
        <v/>
      </c>
      <c r="D4549" s="45" t="str">
        <f t="shared" si="23"/>
        <v/>
      </c>
      <c r="E4549" s="45" t="str">
        <f t="shared" si="24"/>
        <v/>
      </c>
      <c r="F4549" s="59" t="str">
        <f t="shared" si="25"/>
        <v/>
      </c>
      <c r="G4549" s="59" t="str">
        <f t="shared" si="26"/>
        <v/>
      </c>
      <c r="H4549" s="59" t="str">
        <f t="shared" si="27"/>
        <v>28C03044</v>
      </c>
      <c r="I4549" s="59" t="str">
        <f>IF(OR($A4549="",$C4549="",$D4549="",$E4549="",$H4549=""),"",SUMIFS(DATA_GOC!$H:$H,DATA_GOC!$A:$A,"BOM",DATA_GOC!$D:$D,$H4549,DATA_GOC!$E:$E,$C4549,DATA_GOC!$F:$F,"Xuất nội bộ từ téc",DATA_GOC!$B:$B,"&gt;="&amp;$D4549,DATA_GOC!$B:$B,"&lt;="&amp;$E4549))</f>
        <v/>
      </c>
      <c r="J4549" s="59">
        <f t="shared" si="28"/>
        <v>0</v>
      </c>
      <c r="K4549" s="59">
        <f t="shared" si="29"/>
        <v>0</v>
      </c>
      <c r="L4549" s="59">
        <f t="shared" si="30"/>
        <v>0</v>
      </c>
      <c r="M4549" s="59">
        <f t="shared" si="31"/>
        <v>0</v>
      </c>
    </row>
    <row r="4550" ht="15.0" hidden="1" customHeight="1">
      <c r="A4550" s="59">
        <f t="shared" si="20"/>
        <v>72</v>
      </c>
      <c r="B4550" s="59" t="str">
        <f t="shared" si="21"/>
        <v/>
      </c>
      <c r="C4550" s="59" t="str">
        <f t="shared" si="22"/>
        <v/>
      </c>
      <c r="D4550" s="45" t="str">
        <f t="shared" si="23"/>
        <v/>
      </c>
      <c r="E4550" s="45" t="str">
        <f t="shared" si="24"/>
        <v/>
      </c>
      <c r="F4550" s="59" t="str">
        <f t="shared" si="25"/>
        <v/>
      </c>
      <c r="G4550" s="59" t="str">
        <f t="shared" si="26"/>
        <v/>
      </c>
      <c r="H4550" s="59" t="str">
        <f t="shared" si="27"/>
        <v>Máy lu lốp</v>
      </c>
      <c r="I4550" s="59" t="str">
        <f>IF(OR($A4550="",$C4550="",$D4550="",$E4550="",$H4550=""),"",SUMIFS(DATA_GOC!$H:$H,DATA_GOC!$A:$A,"BOM",DATA_GOC!$D:$D,$H4550,DATA_GOC!$E:$E,$C4550,DATA_GOC!$F:$F,"Xuất nội bộ từ téc",DATA_GOC!$B:$B,"&gt;="&amp;$D4550,DATA_GOC!$B:$B,"&lt;="&amp;$E4550))</f>
        <v/>
      </c>
      <c r="J4550" s="59">
        <f t="shared" si="28"/>
        <v>0</v>
      </c>
      <c r="K4550" s="59">
        <f t="shared" si="29"/>
        <v>0</v>
      </c>
      <c r="L4550" s="59">
        <f t="shared" si="30"/>
        <v>0</v>
      </c>
      <c r="M4550" s="59">
        <f t="shared" si="31"/>
        <v>0</v>
      </c>
    </row>
    <row r="4551" ht="15.0" hidden="1" customHeight="1">
      <c r="A4551" s="59">
        <f t="shared" si="20"/>
        <v>72</v>
      </c>
      <c r="B4551" s="59" t="str">
        <f t="shared" si="21"/>
        <v/>
      </c>
      <c r="C4551" s="59" t="str">
        <f t="shared" si="22"/>
        <v/>
      </c>
      <c r="D4551" s="45" t="str">
        <f t="shared" si="23"/>
        <v/>
      </c>
      <c r="E4551" s="45" t="str">
        <f t="shared" si="24"/>
        <v/>
      </c>
      <c r="F4551" s="59" t="str">
        <f t="shared" si="25"/>
        <v/>
      </c>
      <c r="G4551" s="59" t="str">
        <f t="shared" si="26"/>
        <v/>
      </c>
      <c r="H4551" s="59" t="str">
        <f t="shared" si="27"/>
        <v>Xe 600148</v>
      </c>
      <c r="I4551" s="59" t="str">
        <f>IF(OR($A4551="",$C4551="",$D4551="",$E4551="",$H4551=""),"",SUMIFS(DATA_GOC!$H:$H,DATA_GOC!$A:$A,"BOM",DATA_GOC!$D:$D,$H4551,DATA_GOC!$E:$E,$C4551,DATA_GOC!$F:$F,"Xuất nội bộ từ téc",DATA_GOC!$B:$B,"&gt;="&amp;$D4551,DATA_GOC!$B:$B,"&lt;="&amp;$E4551))</f>
        <v/>
      </c>
      <c r="J4551" s="59">
        <f t="shared" si="28"/>
        <v>0</v>
      </c>
      <c r="K4551" s="59">
        <f t="shared" si="29"/>
        <v>0</v>
      </c>
      <c r="L4551" s="59">
        <f t="shared" si="30"/>
        <v>0</v>
      </c>
      <c r="M4551" s="59">
        <f t="shared" si="31"/>
        <v>0</v>
      </c>
    </row>
    <row r="4552" ht="15.0" hidden="1" customHeight="1">
      <c r="A4552" s="59">
        <f t="shared" si="20"/>
        <v>72</v>
      </c>
      <c r="B4552" s="59" t="str">
        <f t="shared" si="21"/>
        <v/>
      </c>
      <c r="C4552" s="59" t="str">
        <f t="shared" si="22"/>
        <v/>
      </c>
      <c r="D4552" s="45" t="str">
        <f t="shared" si="23"/>
        <v/>
      </c>
      <c r="E4552" s="45" t="str">
        <f t="shared" si="24"/>
        <v/>
      </c>
      <c r="F4552" s="59" t="str">
        <f t="shared" si="25"/>
        <v/>
      </c>
      <c r="G4552" s="59" t="str">
        <f t="shared" si="26"/>
        <v/>
      </c>
      <c r="H4552" s="59" t="str">
        <f t="shared" si="27"/>
        <v>Xe ben mới</v>
      </c>
      <c r="I4552" s="59" t="str">
        <f>IF(OR($A4552="",$C4552="",$D4552="",$E4552="",$H4552=""),"",SUMIFS(DATA_GOC!$H:$H,DATA_GOC!$A:$A,"BOM",DATA_GOC!$D:$D,$H4552,DATA_GOC!$E:$E,$C4552,DATA_GOC!$F:$F,"Xuất nội bộ từ téc",DATA_GOC!$B:$B,"&gt;="&amp;$D4552,DATA_GOC!$B:$B,"&lt;="&amp;$E4552))</f>
        <v/>
      </c>
      <c r="J4552" s="59">
        <f t="shared" si="28"/>
        <v>0</v>
      </c>
      <c r="K4552" s="59">
        <f t="shared" si="29"/>
        <v>0</v>
      </c>
      <c r="L4552" s="59">
        <f t="shared" si="30"/>
        <v>0</v>
      </c>
      <c r="M4552" s="59">
        <f t="shared" si="31"/>
        <v>0</v>
      </c>
    </row>
    <row r="4553" ht="15.0" hidden="1" customHeight="1">
      <c r="A4553" s="59">
        <f t="shared" si="20"/>
        <v>73</v>
      </c>
      <c r="B4553" s="59" t="str">
        <f t="shared" si="21"/>
        <v/>
      </c>
      <c r="C4553" s="59" t="str">
        <f t="shared" si="22"/>
        <v/>
      </c>
      <c r="D4553" s="45" t="str">
        <f t="shared" si="23"/>
        <v/>
      </c>
      <c r="E4553" s="45" t="str">
        <f t="shared" si="24"/>
        <v/>
      </c>
      <c r="F4553" s="59" t="str">
        <f t="shared" si="25"/>
        <v/>
      </c>
      <c r="G4553" s="59" t="str">
        <f t="shared" si="26"/>
        <v/>
      </c>
      <c r="H4553" s="59" t="str">
        <f t="shared" si="27"/>
        <v>19H09482</v>
      </c>
      <c r="I4553" s="59" t="str">
        <f>IF(OR($A4553="",$C4553="",$D4553="",$E4553="",$H4553=""),"",SUMIFS(DATA_GOC!$H:$H,DATA_GOC!$A:$A,"BOM",DATA_GOC!$D:$D,$H4553,DATA_GOC!$E:$E,$C4553,DATA_GOC!$F:$F,"Xuất nội bộ từ téc",DATA_GOC!$B:$B,"&gt;="&amp;$D4553,DATA_GOC!$B:$B,"&lt;="&amp;$E4553))</f>
        <v/>
      </c>
      <c r="J4553" s="59">
        <f t="shared" si="28"/>
        <v>0</v>
      </c>
      <c r="K4553" s="59">
        <f t="shared" si="29"/>
        <v>0</v>
      </c>
      <c r="L4553" s="59">
        <f t="shared" si="30"/>
        <v>0</v>
      </c>
      <c r="M4553" s="59">
        <f t="shared" si="31"/>
        <v>0</v>
      </c>
    </row>
    <row r="4554" ht="15.0" hidden="1" customHeight="1">
      <c r="A4554" s="59">
        <f t="shared" si="20"/>
        <v>73</v>
      </c>
      <c r="B4554" s="59" t="str">
        <f t="shared" si="21"/>
        <v/>
      </c>
      <c r="C4554" s="59" t="str">
        <f t="shared" si="22"/>
        <v/>
      </c>
      <c r="D4554" s="45" t="str">
        <f t="shared" si="23"/>
        <v/>
      </c>
      <c r="E4554" s="45" t="str">
        <f t="shared" si="24"/>
        <v/>
      </c>
      <c r="F4554" s="59" t="str">
        <f t="shared" si="25"/>
        <v/>
      </c>
      <c r="G4554" s="59" t="str">
        <f t="shared" si="26"/>
        <v/>
      </c>
      <c r="H4554" s="59" t="str">
        <f t="shared" si="27"/>
        <v>28A30696</v>
      </c>
      <c r="I4554" s="59" t="str">
        <f>IF(OR($A4554="",$C4554="",$D4554="",$E4554="",$H4554=""),"",SUMIFS(DATA_GOC!$H:$H,DATA_GOC!$A:$A,"BOM",DATA_GOC!$D:$D,$H4554,DATA_GOC!$E:$E,$C4554,DATA_GOC!$F:$F,"Xuất nội bộ từ téc",DATA_GOC!$B:$B,"&gt;="&amp;$D4554,DATA_GOC!$B:$B,"&lt;="&amp;$E4554))</f>
        <v/>
      </c>
      <c r="J4554" s="59">
        <f t="shared" si="28"/>
        <v>0</v>
      </c>
      <c r="K4554" s="59">
        <f t="shared" si="29"/>
        <v>0</v>
      </c>
      <c r="L4554" s="59">
        <f t="shared" si="30"/>
        <v>0</v>
      </c>
      <c r="M4554" s="59">
        <f t="shared" si="31"/>
        <v>0</v>
      </c>
    </row>
    <row r="4555" ht="15.0" hidden="1" customHeight="1">
      <c r="A4555" s="59">
        <f t="shared" si="20"/>
        <v>73</v>
      </c>
      <c r="B4555" s="59" t="str">
        <f t="shared" si="21"/>
        <v/>
      </c>
      <c r="C4555" s="59" t="str">
        <f t="shared" si="22"/>
        <v/>
      </c>
      <c r="D4555" s="45" t="str">
        <f t="shared" si="23"/>
        <v/>
      </c>
      <c r="E4555" s="45" t="str">
        <f t="shared" si="24"/>
        <v/>
      </c>
      <c r="F4555" s="59" t="str">
        <f t="shared" si="25"/>
        <v/>
      </c>
      <c r="G4555" s="59" t="str">
        <f t="shared" si="26"/>
        <v/>
      </c>
      <c r="H4555" s="59" t="str">
        <f t="shared" si="27"/>
        <v>28C00462</v>
      </c>
      <c r="I4555" s="59" t="str">
        <f>IF(OR($A4555="",$C4555="",$D4555="",$E4555="",$H4555=""),"",SUMIFS(DATA_GOC!$H:$H,DATA_GOC!$A:$A,"BOM",DATA_GOC!$D:$D,$H4555,DATA_GOC!$E:$E,$C4555,DATA_GOC!$F:$F,"Xuất nội bộ từ téc",DATA_GOC!$B:$B,"&gt;="&amp;$D4555,DATA_GOC!$B:$B,"&lt;="&amp;$E4555))</f>
        <v/>
      </c>
      <c r="J4555" s="59">
        <f t="shared" si="28"/>
        <v>0</v>
      </c>
      <c r="K4555" s="59">
        <f t="shared" si="29"/>
        <v>0</v>
      </c>
      <c r="L4555" s="59">
        <f t="shared" si="30"/>
        <v>0</v>
      </c>
      <c r="M4555" s="59">
        <f t="shared" si="31"/>
        <v>0</v>
      </c>
    </row>
    <row r="4556" ht="15.0" hidden="1" customHeight="1">
      <c r="A4556" s="59">
        <f t="shared" si="20"/>
        <v>73</v>
      </c>
      <c r="B4556" s="59" t="str">
        <f t="shared" si="21"/>
        <v/>
      </c>
      <c r="C4556" s="59" t="str">
        <f t="shared" si="22"/>
        <v/>
      </c>
      <c r="D4556" s="45" t="str">
        <f t="shared" si="23"/>
        <v/>
      </c>
      <c r="E4556" s="45" t="str">
        <f t="shared" si="24"/>
        <v/>
      </c>
      <c r="F4556" s="59" t="str">
        <f t="shared" si="25"/>
        <v/>
      </c>
      <c r="G4556" s="59" t="str">
        <f t="shared" si="26"/>
        <v/>
      </c>
      <c r="H4556" s="59" t="str">
        <f t="shared" si="27"/>
        <v>28C01165</v>
      </c>
      <c r="I4556" s="59" t="str">
        <f>IF(OR($A4556="",$C4556="",$D4556="",$E4556="",$H4556=""),"",SUMIFS(DATA_GOC!$H:$H,DATA_GOC!$A:$A,"BOM",DATA_GOC!$D:$D,$H4556,DATA_GOC!$E:$E,$C4556,DATA_GOC!$F:$F,"Xuất nội bộ từ téc",DATA_GOC!$B:$B,"&gt;="&amp;$D4556,DATA_GOC!$B:$B,"&lt;="&amp;$E4556))</f>
        <v/>
      </c>
      <c r="J4556" s="59">
        <f t="shared" si="28"/>
        <v>0</v>
      </c>
      <c r="K4556" s="59">
        <f t="shared" si="29"/>
        <v>0</v>
      </c>
      <c r="L4556" s="59">
        <f t="shared" si="30"/>
        <v>0</v>
      </c>
      <c r="M4556" s="59">
        <f t="shared" si="31"/>
        <v>0</v>
      </c>
    </row>
    <row r="4557" ht="15.0" hidden="1" customHeight="1">
      <c r="A4557" s="59">
        <f t="shared" si="20"/>
        <v>73</v>
      </c>
      <c r="B4557" s="59" t="str">
        <f t="shared" si="21"/>
        <v/>
      </c>
      <c r="C4557" s="59" t="str">
        <f t="shared" si="22"/>
        <v/>
      </c>
      <c r="D4557" s="45" t="str">
        <f t="shared" si="23"/>
        <v/>
      </c>
      <c r="E4557" s="45" t="str">
        <f t="shared" si="24"/>
        <v/>
      </c>
      <c r="F4557" s="59" t="str">
        <f t="shared" si="25"/>
        <v/>
      </c>
      <c r="G4557" s="59" t="str">
        <f t="shared" si="26"/>
        <v/>
      </c>
      <c r="H4557" s="59" t="str">
        <f t="shared" si="27"/>
        <v>28C01406</v>
      </c>
      <c r="I4557" s="59" t="str">
        <f>IF(OR($A4557="",$C4557="",$D4557="",$E4557="",$H4557=""),"",SUMIFS(DATA_GOC!$H:$H,DATA_GOC!$A:$A,"BOM",DATA_GOC!$D:$D,$H4557,DATA_GOC!$E:$E,$C4557,DATA_GOC!$F:$F,"Xuất nội bộ từ téc",DATA_GOC!$B:$B,"&gt;="&amp;$D4557,DATA_GOC!$B:$B,"&lt;="&amp;$E4557))</f>
        <v/>
      </c>
      <c r="J4557" s="59">
        <f t="shared" si="28"/>
        <v>0</v>
      </c>
      <c r="K4557" s="59">
        <f t="shared" si="29"/>
        <v>0</v>
      </c>
      <c r="L4557" s="59">
        <f t="shared" si="30"/>
        <v>0</v>
      </c>
      <c r="M4557" s="59">
        <f t="shared" si="31"/>
        <v>0</v>
      </c>
    </row>
    <row r="4558" ht="15.0" hidden="1" customHeight="1">
      <c r="A4558" s="59">
        <f t="shared" si="20"/>
        <v>73</v>
      </c>
      <c r="B4558" s="59" t="str">
        <f t="shared" si="21"/>
        <v/>
      </c>
      <c r="C4558" s="59" t="str">
        <f t="shared" si="22"/>
        <v/>
      </c>
      <c r="D4558" s="45" t="str">
        <f t="shared" si="23"/>
        <v/>
      </c>
      <c r="E4558" s="45" t="str">
        <f t="shared" si="24"/>
        <v/>
      </c>
      <c r="F4558" s="59" t="str">
        <f t="shared" si="25"/>
        <v/>
      </c>
      <c r="G4558" s="59" t="str">
        <f t="shared" si="26"/>
        <v/>
      </c>
      <c r="H4558" s="59" t="str">
        <f t="shared" si="27"/>
        <v>28C01544</v>
      </c>
      <c r="I4558" s="59" t="str">
        <f>IF(OR($A4558="",$C4558="",$D4558="",$E4558="",$H4558=""),"",SUMIFS(DATA_GOC!$H:$H,DATA_GOC!$A:$A,"BOM",DATA_GOC!$D:$D,$H4558,DATA_GOC!$E:$E,$C4558,DATA_GOC!$F:$F,"Xuất nội bộ từ téc",DATA_GOC!$B:$B,"&gt;="&amp;$D4558,DATA_GOC!$B:$B,"&lt;="&amp;$E4558))</f>
        <v/>
      </c>
      <c r="J4558" s="59">
        <f t="shared" si="28"/>
        <v>0</v>
      </c>
      <c r="K4558" s="59">
        <f t="shared" si="29"/>
        <v>0</v>
      </c>
      <c r="L4558" s="59">
        <f t="shared" si="30"/>
        <v>0</v>
      </c>
      <c r="M4558" s="59">
        <f t="shared" si="31"/>
        <v>0</v>
      </c>
    </row>
    <row r="4559" ht="15.0" hidden="1" customHeight="1">
      <c r="A4559" s="59">
        <f t="shared" si="20"/>
        <v>73</v>
      </c>
      <c r="B4559" s="59" t="str">
        <f t="shared" si="21"/>
        <v/>
      </c>
      <c r="C4559" s="59" t="str">
        <f t="shared" si="22"/>
        <v/>
      </c>
      <c r="D4559" s="45" t="str">
        <f t="shared" si="23"/>
        <v/>
      </c>
      <c r="E4559" s="45" t="str">
        <f t="shared" si="24"/>
        <v/>
      </c>
      <c r="F4559" s="59" t="str">
        <f t="shared" si="25"/>
        <v/>
      </c>
      <c r="G4559" s="59" t="str">
        <f t="shared" si="26"/>
        <v/>
      </c>
      <c r="H4559" s="59" t="str">
        <f t="shared" si="27"/>
        <v>28C01622</v>
      </c>
      <c r="I4559" s="59" t="str">
        <f>IF(OR($A4559="",$C4559="",$D4559="",$E4559="",$H4559=""),"",SUMIFS(DATA_GOC!$H:$H,DATA_GOC!$A:$A,"BOM",DATA_GOC!$D:$D,$H4559,DATA_GOC!$E:$E,$C4559,DATA_GOC!$F:$F,"Xuất nội bộ từ téc",DATA_GOC!$B:$B,"&gt;="&amp;$D4559,DATA_GOC!$B:$B,"&lt;="&amp;$E4559))</f>
        <v/>
      </c>
      <c r="J4559" s="59">
        <f t="shared" si="28"/>
        <v>0</v>
      </c>
      <c r="K4559" s="59">
        <f t="shared" si="29"/>
        <v>0</v>
      </c>
      <c r="L4559" s="59">
        <f t="shared" si="30"/>
        <v>0</v>
      </c>
      <c r="M4559" s="59">
        <f t="shared" si="31"/>
        <v>0</v>
      </c>
    </row>
    <row r="4560" ht="15.0" hidden="1" customHeight="1">
      <c r="A4560" s="59">
        <f t="shared" si="20"/>
        <v>73</v>
      </c>
      <c r="B4560" s="59" t="str">
        <f t="shared" si="21"/>
        <v/>
      </c>
      <c r="C4560" s="59" t="str">
        <f t="shared" si="22"/>
        <v/>
      </c>
      <c r="D4560" s="45" t="str">
        <f t="shared" si="23"/>
        <v/>
      </c>
      <c r="E4560" s="45" t="str">
        <f t="shared" si="24"/>
        <v/>
      </c>
      <c r="F4560" s="59" t="str">
        <f t="shared" si="25"/>
        <v/>
      </c>
      <c r="G4560" s="59" t="str">
        <f t="shared" si="26"/>
        <v/>
      </c>
      <c r="H4560" s="59" t="str">
        <f t="shared" si="27"/>
        <v>28C01647</v>
      </c>
      <c r="I4560" s="59" t="str">
        <f>IF(OR($A4560="",$C4560="",$D4560="",$E4560="",$H4560=""),"",SUMIFS(DATA_GOC!$H:$H,DATA_GOC!$A:$A,"BOM",DATA_GOC!$D:$D,$H4560,DATA_GOC!$E:$E,$C4560,DATA_GOC!$F:$F,"Xuất nội bộ từ téc",DATA_GOC!$B:$B,"&gt;="&amp;$D4560,DATA_GOC!$B:$B,"&lt;="&amp;$E4560))</f>
        <v/>
      </c>
      <c r="J4560" s="59">
        <f t="shared" si="28"/>
        <v>0</v>
      </c>
      <c r="K4560" s="59">
        <f t="shared" si="29"/>
        <v>0</v>
      </c>
      <c r="L4560" s="59">
        <f t="shared" si="30"/>
        <v>0</v>
      </c>
      <c r="M4560" s="59">
        <f t="shared" si="31"/>
        <v>0</v>
      </c>
    </row>
    <row r="4561" ht="15.0" hidden="1" customHeight="1">
      <c r="A4561" s="59">
        <f t="shared" si="20"/>
        <v>73</v>
      </c>
      <c r="B4561" s="59" t="str">
        <f t="shared" si="21"/>
        <v/>
      </c>
      <c r="C4561" s="59" t="str">
        <f t="shared" si="22"/>
        <v/>
      </c>
      <c r="D4561" s="45" t="str">
        <f t="shared" si="23"/>
        <v/>
      </c>
      <c r="E4561" s="45" t="str">
        <f t="shared" si="24"/>
        <v/>
      </c>
      <c r="F4561" s="59" t="str">
        <f t="shared" si="25"/>
        <v/>
      </c>
      <c r="G4561" s="59" t="str">
        <f t="shared" si="26"/>
        <v/>
      </c>
      <c r="H4561" s="59" t="str">
        <f t="shared" si="27"/>
        <v>28C01731</v>
      </c>
      <c r="I4561" s="59" t="str">
        <f>IF(OR($A4561="",$C4561="",$D4561="",$E4561="",$H4561=""),"",SUMIFS(DATA_GOC!$H:$H,DATA_GOC!$A:$A,"BOM",DATA_GOC!$D:$D,$H4561,DATA_GOC!$E:$E,$C4561,DATA_GOC!$F:$F,"Xuất nội bộ từ téc",DATA_GOC!$B:$B,"&gt;="&amp;$D4561,DATA_GOC!$B:$B,"&lt;="&amp;$E4561))</f>
        <v/>
      </c>
      <c r="J4561" s="59">
        <f t="shared" si="28"/>
        <v>0</v>
      </c>
      <c r="K4561" s="59">
        <f t="shared" si="29"/>
        <v>0</v>
      </c>
      <c r="L4561" s="59">
        <f t="shared" si="30"/>
        <v>0</v>
      </c>
      <c r="M4561" s="59">
        <f t="shared" si="31"/>
        <v>0</v>
      </c>
    </row>
    <row r="4562" ht="15.0" hidden="1" customHeight="1">
      <c r="A4562" s="59">
        <f t="shared" si="20"/>
        <v>73</v>
      </c>
      <c r="B4562" s="59" t="str">
        <f t="shared" si="21"/>
        <v/>
      </c>
      <c r="C4562" s="59" t="str">
        <f t="shared" si="22"/>
        <v/>
      </c>
      <c r="D4562" s="45" t="str">
        <f t="shared" si="23"/>
        <v/>
      </c>
      <c r="E4562" s="45" t="str">
        <f t="shared" si="24"/>
        <v/>
      </c>
      <c r="F4562" s="59" t="str">
        <f t="shared" si="25"/>
        <v/>
      </c>
      <c r="G4562" s="59" t="str">
        <f t="shared" si="26"/>
        <v/>
      </c>
      <c r="H4562" s="59" t="str">
        <f t="shared" si="27"/>
        <v>28C01743</v>
      </c>
      <c r="I4562" s="59" t="str">
        <f>IF(OR($A4562="",$C4562="",$D4562="",$E4562="",$H4562=""),"",SUMIFS(DATA_GOC!$H:$H,DATA_GOC!$A:$A,"BOM",DATA_GOC!$D:$D,$H4562,DATA_GOC!$E:$E,$C4562,DATA_GOC!$F:$F,"Xuất nội bộ từ téc",DATA_GOC!$B:$B,"&gt;="&amp;$D4562,DATA_GOC!$B:$B,"&lt;="&amp;$E4562))</f>
        <v/>
      </c>
      <c r="J4562" s="59">
        <f t="shared" si="28"/>
        <v>0</v>
      </c>
      <c r="K4562" s="59">
        <f t="shared" si="29"/>
        <v>0</v>
      </c>
      <c r="L4562" s="59">
        <f t="shared" si="30"/>
        <v>0</v>
      </c>
      <c r="M4562" s="59">
        <f t="shared" si="31"/>
        <v>0</v>
      </c>
    </row>
    <row r="4563" ht="15.0" hidden="1" customHeight="1">
      <c r="A4563" s="59">
        <f t="shared" si="20"/>
        <v>73</v>
      </c>
      <c r="B4563" s="59" t="str">
        <f t="shared" si="21"/>
        <v/>
      </c>
      <c r="C4563" s="59" t="str">
        <f t="shared" si="22"/>
        <v/>
      </c>
      <c r="D4563" s="45" t="str">
        <f t="shared" si="23"/>
        <v/>
      </c>
      <c r="E4563" s="45" t="str">
        <f t="shared" si="24"/>
        <v/>
      </c>
      <c r="F4563" s="59" t="str">
        <f t="shared" si="25"/>
        <v/>
      </c>
      <c r="G4563" s="59" t="str">
        <f t="shared" si="26"/>
        <v/>
      </c>
      <c r="H4563" s="59" t="str">
        <f t="shared" si="27"/>
        <v>28C02106</v>
      </c>
      <c r="I4563" s="59" t="str">
        <f>IF(OR($A4563="",$C4563="",$D4563="",$E4563="",$H4563=""),"",SUMIFS(DATA_GOC!$H:$H,DATA_GOC!$A:$A,"BOM",DATA_GOC!$D:$D,$H4563,DATA_GOC!$E:$E,$C4563,DATA_GOC!$F:$F,"Xuất nội bộ từ téc",DATA_GOC!$B:$B,"&gt;="&amp;$D4563,DATA_GOC!$B:$B,"&lt;="&amp;$E4563))</f>
        <v/>
      </c>
      <c r="J4563" s="59">
        <f t="shared" si="28"/>
        <v>0</v>
      </c>
      <c r="K4563" s="59">
        <f t="shared" si="29"/>
        <v>0</v>
      </c>
      <c r="L4563" s="59">
        <f t="shared" si="30"/>
        <v>0</v>
      </c>
      <c r="M4563" s="59">
        <f t="shared" si="31"/>
        <v>0</v>
      </c>
    </row>
    <row r="4564" ht="15.0" hidden="1" customHeight="1">
      <c r="A4564" s="59">
        <f t="shared" si="20"/>
        <v>73</v>
      </c>
      <c r="B4564" s="59" t="str">
        <f t="shared" si="21"/>
        <v/>
      </c>
      <c r="C4564" s="59" t="str">
        <f t="shared" si="22"/>
        <v/>
      </c>
      <c r="D4564" s="45" t="str">
        <f t="shared" si="23"/>
        <v/>
      </c>
      <c r="E4564" s="45" t="str">
        <f t="shared" si="24"/>
        <v/>
      </c>
      <c r="F4564" s="59" t="str">
        <f t="shared" si="25"/>
        <v/>
      </c>
      <c r="G4564" s="59" t="str">
        <f t="shared" si="26"/>
        <v/>
      </c>
      <c r="H4564" s="59" t="str">
        <f t="shared" si="27"/>
        <v>28C02410</v>
      </c>
      <c r="I4564" s="59" t="str">
        <f>IF(OR($A4564="",$C4564="",$D4564="",$E4564="",$H4564=""),"",SUMIFS(DATA_GOC!$H:$H,DATA_GOC!$A:$A,"BOM",DATA_GOC!$D:$D,$H4564,DATA_GOC!$E:$E,$C4564,DATA_GOC!$F:$F,"Xuất nội bộ từ téc",DATA_GOC!$B:$B,"&gt;="&amp;$D4564,DATA_GOC!$B:$B,"&lt;="&amp;$E4564))</f>
        <v/>
      </c>
      <c r="J4564" s="59">
        <f t="shared" si="28"/>
        <v>0</v>
      </c>
      <c r="K4564" s="59">
        <f t="shared" si="29"/>
        <v>0</v>
      </c>
      <c r="L4564" s="59">
        <f t="shared" si="30"/>
        <v>0</v>
      </c>
      <c r="M4564" s="59">
        <f t="shared" si="31"/>
        <v>0</v>
      </c>
    </row>
    <row r="4565" ht="15.0" hidden="1" customHeight="1">
      <c r="A4565" s="59">
        <f t="shared" si="20"/>
        <v>73</v>
      </c>
      <c r="B4565" s="59" t="str">
        <f t="shared" si="21"/>
        <v/>
      </c>
      <c r="C4565" s="59" t="str">
        <f t="shared" si="22"/>
        <v/>
      </c>
      <c r="D4565" s="45" t="str">
        <f t="shared" si="23"/>
        <v/>
      </c>
      <c r="E4565" s="45" t="str">
        <f t="shared" si="24"/>
        <v/>
      </c>
      <c r="F4565" s="59" t="str">
        <f t="shared" si="25"/>
        <v/>
      </c>
      <c r="G4565" s="59" t="str">
        <f t="shared" si="26"/>
        <v/>
      </c>
      <c r="H4565" s="59" t="str">
        <f t="shared" si="27"/>
        <v>28C02545</v>
      </c>
      <c r="I4565" s="59" t="str">
        <f>IF(OR($A4565="",$C4565="",$D4565="",$E4565="",$H4565=""),"",SUMIFS(DATA_GOC!$H:$H,DATA_GOC!$A:$A,"BOM",DATA_GOC!$D:$D,$H4565,DATA_GOC!$E:$E,$C4565,DATA_GOC!$F:$F,"Xuất nội bộ từ téc",DATA_GOC!$B:$B,"&gt;="&amp;$D4565,DATA_GOC!$B:$B,"&lt;="&amp;$E4565))</f>
        <v/>
      </c>
      <c r="J4565" s="59">
        <f t="shared" si="28"/>
        <v>0</v>
      </c>
      <c r="K4565" s="59">
        <f t="shared" si="29"/>
        <v>0</v>
      </c>
      <c r="L4565" s="59">
        <f t="shared" si="30"/>
        <v>0</v>
      </c>
      <c r="M4565" s="59">
        <f t="shared" si="31"/>
        <v>0</v>
      </c>
    </row>
    <row r="4566" ht="15.0" hidden="1" customHeight="1">
      <c r="A4566" s="59">
        <f t="shared" si="20"/>
        <v>73</v>
      </c>
      <c r="B4566" s="59" t="str">
        <f t="shared" si="21"/>
        <v/>
      </c>
      <c r="C4566" s="59" t="str">
        <f t="shared" si="22"/>
        <v/>
      </c>
      <c r="D4566" s="45" t="str">
        <f t="shared" si="23"/>
        <v/>
      </c>
      <c r="E4566" s="45" t="str">
        <f t="shared" si="24"/>
        <v/>
      </c>
      <c r="F4566" s="59" t="str">
        <f t="shared" si="25"/>
        <v/>
      </c>
      <c r="G4566" s="59" t="str">
        <f t="shared" si="26"/>
        <v/>
      </c>
      <c r="H4566" s="59" t="str">
        <f t="shared" si="27"/>
        <v>28C02574</v>
      </c>
      <c r="I4566" s="59" t="str">
        <f>IF(OR($A4566="",$C4566="",$D4566="",$E4566="",$H4566=""),"",SUMIFS(DATA_GOC!$H:$H,DATA_GOC!$A:$A,"BOM",DATA_GOC!$D:$D,$H4566,DATA_GOC!$E:$E,$C4566,DATA_GOC!$F:$F,"Xuất nội bộ từ téc",DATA_GOC!$B:$B,"&gt;="&amp;$D4566,DATA_GOC!$B:$B,"&lt;="&amp;$E4566))</f>
        <v/>
      </c>
      <c r="J4566" s="59">
        <f t="shared" si="28"/>
        <v>0</v>
      </c>
      <c r="K4566" s="59">
        <f t="shared" si="29"/>
        <v>0</v>
      </c>
      <c r="L4566" s="59">
        <f t="shared" si="30"/>
        <v>0</v>
      </c>
      <c r="M4566" s="59">
        <f t="shared" si="31"/>
        <v>0</v>
      </c>
    </row>
    <row r="4567" ht="15.0" hidden="1" customHeight="1">
      <c r="A4567" s="59">
        <f t="shared" si="20"/>
        <v>73</v>
      </c>
      <c r="B4567" s="59" t="str">
        <f t="shared" si="21"/>
        <v/>
      </c>
      <c r="C4567" s="59" t="str">
        <f t="shared" si="22"/>
        <v/>
      </c>
      <c r="D4567" s="45" t="str">
        <f t="shared" si="23"/>
        <v/>
      </c>
      <c r="E4567" s="45" t="str">
        <f t="shared" si="24"/>
        <v/>
      </c>
      <c r="F4567" s="59" t="str">
        <f t="shared" si="25"/>
        <v/>
      </c>
      <c r="G4567" s="59" t="str">
        <f t="shared" si="26"/>
        <v/>
      </c>
      <c r="H4567" s="59" t="str">
        <f t="shared" si="27"/>
        <v>28C02770</v>
      </c>
      <c r="I4567" s="59" t="str">
        <f>IF(OR($A4567="",$C4567="",$D4567="",$E4567="",$H4567=""),"",SUMIFS(DATA_GOC!$H:$H,DATA_GOC!$A:$A,"BOM",DATA_GOC!$D:$D,$H4567,DATA_GOC!$E:$E,$C4567,DATA_GOC!$F:$F,"Xuất nội bộ từ téc",DATA_GOC!$B:$B,"&gt;="&amp;$D4567,DATA_GOC!$B:$B,"&lt;="&amp;$E4567))</f>
        <v/>
      </c>
      <c r="J4567" s="59">
        <f t="shared" si="28"/>
        <v>0</v>
      </c>
      <c r="K4567" s="59">
        <f t="shared" si="29"/>
        <v>0</v>
      </c>
      <c r="L4567" s="59">
        <f t="shared" si="30"/>
        <v>0</v>
      </c>
      <c r="M4567" s="59">
        <f t="shared" si="31"/>
        <v>0</v>
      </c>
    </row>
    <row r="4568" ht="15.0" hidden="1" customHeight="1">
      <c r="A4568" s="59">
        <f t="shared" si="20"/>
        <v>73</v>
      </c>
      <c r="B4568" s="59" t="str">
        <f t="shared" si="21"/>
        <v/>
      </c>
      <c r="C4568" s="59" t="str">
        <f t="shared" si="22"/>
        <v/>
      </c>
      <c r="D4568" s="45" t="str">
        <f t="shared" si="23"/>
        <v/>
      </c>
      <c r="E4568" s="45" t="str">
        <f t="shared" si="24"/>
        <v/>
      </c>
      <c r="F4568" s="59" t="str">
        <f t="shared" si="25"/>
        <v/>
      </c>
      <c r="G4568" s="59" t="str">
        <f t="shared" si="26"/>
        <v/>
      </c>
      <c r="H4568" s="59" t="str">
        <f t="shared" si="27"/>
        <v>28C02986</v>
      </c>
      <c r="I4568" s="59" t="str">
        <f>IF(OR($A4568="",$C4568="",$D4568="",$E4568="",$H4568=""),"",SUMIFS(DATA_GOC!$H:$H,DATA_GOC!$A:$A,"BOM",DATA_GOC!$D:$D,$H4568,DATA_GOC!$E:$E,$C4568,DATA_GOC!$F:$F,"Xuất nội bộ từ téc",DATA_GOC!$B:$B,"&gt;="&amp;$D4568,DATA_GOC!$B:$B,"&lt;="&amp;$E4568))</f>
        <v/>
      </c>
      <c r="J4568" s="59">
        <f t="shared" si="28"/>
        <v>0</v>
      </c>
      <c r="K4568" s="59">
        <f t="shared" si="29"/>
        <v>0</v>
      </c>
      <c r="L4568" s="59">
        <f t="shared" si="30"/>
        <v>0</v>
      </c>
      <c r="M4568" s="59">
        <f t="shared" si="31"/>
        <v>0</v>
      </c>
    </row>
    <row r="4569" ht="15.0" hidden="1" customHeight="1">
      <c r="A4569" s="59">
        <f t="shared" si="20"/>
        <v>73</v>
      </c>
      <c r="B4569" s="59" t="str">
        <f t="shared" si="21"/>
        <v/>
      </c>
      <c r="C4569" s="59" t="str">
        <f t="shared" si="22"/>
        <v/>
      </c>
      <c r="D4569" s="45" t="str">
        <f t="shared" si="23"/>
        <v/>
      </c>
      <c r="E4569" s="45" t="str">
        <f t="shared" si="24"/>
        <v/>
      </c>
      <c r="F4569" s="59" t="str">
        <f t="shared" si="25"/>
        <v/>
      </c>
      <c r="G4569" s="59" t="str">
        <f t="shared" si="26"/>
        <v/>
      </c>
      <c r="H4569" s="59" t="str">
        <f t="shared" si="27"/>
        <v>28C03261</v>
      </c>
      <c r="I4569" s="59" t="str">
        <f>IF(OR($A4569="",$C4569="",$D4569="",$E4569="",$H4569=""),"",SUMIFS(DATA_GOC!$H:$H,DATA_GOC!$A:$A,"BOM",DATA_GOC!$D:$D,$H4569,DATA_GOC!$E:$E,$C4569,DATA_GOC!$F:$F,"Xuất nội bộ từ téc",DATA_GOC!$B:$B,"&gt;="&amp;$D4569,DATA_GOC!$B:$B,"&lt;="&amp;$E4569))</f>
        <v/>
      </c>
      <c r="J4569" s="59">
        <f t="shared" si="28"/>
        <v>0</v>
      </c>
      <c r="K4569" s="59">
        <f t="shared" si="29"/>
        <v>0</v>
      </c>
      <c r="L4569" s="59">
        <f t="shared" si="30"/>
        <v>0</v>
      </c>
      <c r="M4569" s="59">
        <f t="shared" si="31"/>
        <v>0</v>
      </c>
    </row>
    <row r="4570" ht="15.0" hidden="1" customHeight="1">
      <c r="A4570" s="59">
        <f t="shared" si="20"/>
        <v>73</v>
      </c>
      <c r="B4570" s="59" t="str">
        <f t="shared" si="21"/>
        <v/>
      </c>
      <c r="C4570" s="59" t="str">
        <f t="shared" si="22"/>
        <v/>
      </c>
      <c r="D4570" s="45" t="str">
        <f t="shared" si="23"/>
        <v/>
      </c>
      <c r="E4570" s="45" t="str">
        <f t="shared" si="24"/>
        <v/>
      </c>
      <c r="F4570" s="59" t="str">
        <f t="shared" si="25"/>
        <v/>
      </c>
      <c r="G4570" s="59" t="str">
        <f t="shared" si="26"/>
        <v/>
      </c>
      <c r="H4570" s="59" t="str">
        <f t="shared" si="27"/>
        <v>28C03323</v>
      </c>
      <c r="I4570" s="59" t="str">
        <f>IF(OR($A4570="",$C4570="",$D4570="",$E4570="",$H4570=""),"",SUMIFS(DATA_GOC!$H:$H,DATA_GOC!$A:$A,"BOM",DATA_GOC!$D:$D,$H4570,DATA_GOC!$E:$E,$C4570,DATA_GOC!$F:$F,"Xuất nội bộ từ téc",DATA_GOC!$B:$B,"&gt;="&amp;$D4570,DATA_GOC!$B:$B,"&lt;="&amp;$E4570))</f>
        <v/>
      </c>
      <c r="J4570" s="59">
        <f t="shared" si="28"/>
        <v>0</v>
      </c>
      <c r="K4570" s="59">
        <f t="shared" si="29"/>
        <v>0</v>
      </c>
      <c r="L4570" s="59">
        <f t="shared" si="30"/>
        <v>0</v>
      </c>
      <c r="M4570" s="59">
        <f t="shared" si="31"/>
        <v>0</v>
      </c>
    </row>
    <row r="4571" ht="15.0" hidden="1" customHeight="1">
      <c r="A4571" s="59">
        <f t="shared" si="20"/>
        <v>73</v>
      </c>
      <c r="B4571" s="59" t="str">
        <f t="shared" si="21"/>
        <v/>
      </c>
      <c r="C4571" s="59" t="str">
        <f t="shared" si="22"/>
        <v/>
      </c>
      <c r="D4571" s="45" t="str">
        <f t="shared" si="23"/>
        <v/>
      </c>
      <c r="E4571" s="45" t="str">
        <f t="shared" si="24"/>
        <v/>
      </c>
      <c r="F4571" s="59" t="str">
        <f t="shared" si="25"/>
        <v/>
      </c>
      <c r="G4571" s="59" t="str">
        <f t="shared" si="26"/>
        <v/>
      </c>
      <c r="H4571" s="59" t="str">
        <f t="shared" si="27"/>
        <v>28C03385</v>
      </c>
      <c r="I4571" s="59" t="str">
        <f>IF(OR($A4571="",$C4571="",$D4571="",$E4571="",$H4571=""),"",SUMIFS(DATA_GOC!$H:$H,DATA_GOC!$A:$A,"BOM",DATA_GOC!$D:$D,$H4571,DATA_GOC!$E:$E,$C4571,DATA_GOC!$F:$F,"Xuất nội bộ từ téc",DATA_GOC!$B:$B,"&gt;="&amp;$D4571,DATA_GOC!$B:$B,"&lt;="&amp;$E4571))</f>
        <v/>
      </c>
      <c r="J4571" s="59">
        <f t="shared" si="28"/>
        <v>0</v>
      </c>
      <c r="K4571" s="59">
        <f t="shared" si="29"/>
        <v>0</v>
      </c>
      <c r="L4571" s="59">
        <f t="shared" si="30"/>
        <v>0</v>
      </c>
      <c r="M4571" s="59">
        <f t="shared" si="31"/>
        <v>0</v>
      </c>
    </row>
    <row r="4572" ht="15.0" hidden="1" customHeight="1">
      <c r="A4572" s="59">
        <f t="shared" si="20"/>
        <v>73</v>
      </c>
      <c r="B4572" s="59" t="str">
        <f t="shared" si="21"/>
        <v/>
      </c>
      <c r="C4572" s="59" t="str">
        <f t="shared" si="22"/>
        <v/>
      </c>
      <c r="D4572" s="45" t="str">
        <f t="shared" si="23"/>
        <v/>
      </c>
      <c r="E4572" s="45" t="str">
        <f t="shared" si="24"/>
        <v/>
      </c>
      <c r="F4572" s="59" t="str">
        <f t="shared" si="25"/>
        <v/>
      </c>
      <c r="G4572" s="59" t="str">
        <f t="shared" si="26"/>
        <v/>
      </c>
      <c r="H4572" s="59" t="str">
        <f t="shared" si="27"/>
        <v>28C03652</v>
      </c>
      <c r="I4572" s="59" t="str">
        <f>IF(OR($A4572="",$C4572="",$D4572="",$E4572="",$H4572=""),"",SUMIFS(DATA_GOC!$H:$H,DATA_GOC!$A:$A,"BOM",DATA_GOC!$D:$D,$H4572,DATA_GOC!$E:$E,$C4572,DATA_GOC!$F:$F,"Xuất nội bộ từ téc",DATA_GOC!$B:$B,"&gt;="&amp;$D4572,DATA_GOC!$B:$B,"&lt;="&amp;$E4572))</f>
        <v/>
      </c>
      <c r="J4572" s="59">
        <f t="shared" si="28"/>
        <v>0</v>
      </c>
      <c r="K4572" s="59">
        <f t="shared" si="29"/>
        <v>0</v>
      </c>
      <c r="L4572" s="59">
        <f t="shared" si="30"/>
        <v>0</v>
      </c>
      <c r="M4572" s="59">
        <f t="shared" si="31"/>
        <v>0</v>
      </c>
    </row>
    <row r="4573" ht="15.0" hidden="1" customHeight="1">
      <c r="A4573" s="59">
        <f t="shared" si="20"/>
        <v>73</v>
      </c>
      <c r="B4573" s="59" t="str">
        <f t="shared" si="21"/>
        <v/>
      </c>
      <c r="C4573" s="59" t="str">
        <f t="shared" si="22"/>
        <v/>
      </c>
      <c r="D4573" s="45" t="str">
        <f t="shared" si="23"/>
        <v/>
      </c>
      <c r="E4573" s="45" t="str">
        <f t="shared" si="24"/>
        <v/>
      </c>
      <c r="F4573" s="59" t="str">
        <f t="shared" si="25"/>
        <v/>
      </c>
      <c r="G4573" s="59" t="str">
        <f t="shared" si="26"/>
        <v/>
      </c>
      <c r="H4573" s="59" t="str">
        <f t="shared" si="27"/>
        <v>28C03695</v>
      </c>
      <c r="I4573" s="59" t="str">
        <f>IF(OR($A4573="",$C4573="",$D4573="",$E4573="",$H4573=""),"",SUMIFS(DATA_GOC!$H:$H,DATA_GOC!$A:$A,"BOM",DATA_GOC!$D:$D,$H4573,DATA_GOC!$E:$E,$C4573,DATA_GOC!$F:$F,"Xuất nội bộ từ téc",DATA_GOC!$B:$B,"&gt;="&amp;$D4573,DATA_GOC!$B:$B,"&lt;="&amp;$E4573))</f>
        <v/>
      </c>
      <c r="J4573" s="59">
        <f t="shared" si="28"/>
        <v>0</v>
      </c>
      <c r="K4573" s="59">
        <f t="shared" si="29"/>
        <v>0</v>
      </c>
      <c r="L4573" s="59">
        <f t="shared" si="30"/>
        <v>0</v>
      </c>
      <c r="M4573" s="59">
        <f t="shared" si="31"/>
        <v>0</v>
      </c>
    </row>
    <row r="4574" ht="15.0" hidden="1" customHeight="1">
      <c r="A4574" s="59">
        <f t="shared" si="20"/>
        <v>73</v>
      </c>
      <c r="B4574" s="59" t="str">
        <f t="shared" si="21"/>
        <v/>
      </c>
      <c r="C4574" s="59" t="str">
        <f t="shared" si="22"/>
        <v/>
      </c>
      <c r="D4574" s="45" t="str">
        <f t="shared" si="23"/>
        <v/>
      </c>
      <c r="E4574" s="45" t="str">
        <f t="shared" si="24"/>
        <v/>
      </c>
      <c r="F4574" s="59" t="str">
        <f t="shared" si="25"/>
        <v/>
      </c>
      <c r="G4574" s="59" t="str">
        <f t="shared" si="26"/>
        <v/>
      </c>
      <c r="H4574" s="59" t="str">
        <f t="shared" si="27"/>
        <v>28C03927</v>
      </c>
      <c r="I4574" s="59" t="str">
        <f>IF(OR($A4574="",$C4574="",$D4574="",$E4574="",$H4574=""),"",SUMIFS(DATA_GOC!$H:$H,DATA_GOC!$A:$A,"BOM",DATA_GOC!$D:$D,$H4574,DATA_GOC!$E:$E,$C4574,DATA_GOC!$F:$F,"Xuất nội bộ từ téc",DATA_GOC!$B:$B,"&gt;="&amp;$D4574,DATA_GOC!$B:$B,"&lt;="&amp;$E4574))</f>
        <v/>
      </c>
      <c r="J4574" s="59">
        <f t="shared" si="28"/>
        <v>0</v>
      </c>
      <c r="K4574" s="59">
        <f t="shared" si="29"/>
        <v>0</v>
      </c>
      <c r="L4574" s="59">
        <f t="shared" si="30"/>
        <v>0</v>
      </c>
      <c r="M4574" s="59">
        <f t="shared" si="31"/>
        <v>0</v>
      </c>
    </row>
    <row r="4575" ht="15.0" hidden="1" customHeight="1">
      <c r="A4575" s="59">
        <f t="shared" si="20"/>
        <v>73</v>
      </c>
      <c r="B4575" s="59" t="str">
        <f t="shared" si="21"/>
        <v/>
      </c>
      <c r="C4575" s="59" t="str">
        <f t="shared" si="22"/>
        <v/>
      </c>
      <c r="D4575" s="45" t="str">
        <f t="shared" si="23"/>
        <v/>
      </c>
      <c r="E4575" s="45" t="str">
        <f t="shared" si="24"/>
        <v/>
      </c>
      <c r="F4575" s="59" t="str">
        <f t="shared" si="25"/>
        <v/>
      </c>
      <c r="G4575" s="59" t="str">
        <f t="shared" si="26"/>
        <v/>
      </c>
      <c r="H4575" s="59" t="str">
        <f t="shared" si="27"/>
        <v>28C04509</v>
      </c>
      <c r="I4575" s="59" t="str">
        <f>IF(OR($A4575="",$C4575="",$D4575="",$E4575="",$H4575=""),"",SUMIFS(DATA_GOC!$H:$H,DATA_GOC!$A:$A,"BOM",DATA_GOC!$D:$D,$H4575,DATA_GOC!$E:$E,$C4575,DATA_GOC!$F:$F,"Xuất nội bộ từ téc",DATA_GOC!$B:$B,"&gt;="&amp;$D4575,DATA_GOC!$B:$B,"&lt;="&amp;$E4575))</f>
        <v/>
      </c>
      <c r="J4575" s="59">
        <f t="shared" si="28"/>
        <v>0</v>
      </c>
      <c r="K4575" s="59">
        <f t="shared" si="29"/>
        <v>0</v>
      </c>
      <c r="L4575" s="59">
        <f t="shared" si="30"/>
        <v>0</v>
      </c>
      <c r="M4575" s="59">
        <f t="shared" si="31"/>
        <v>0</v>
      </c>
    </row>
    <row r="4576" ht="15.0" hidden="1" customHeight="1">
      <c r="A4576" s="59">
        <f t="shared" si="20"/>
        <v>73</v>
      </c>
      <c r="B4576" s="59" t="str">
        <f t="shared" si="21"/>
        <v/>
      </c>
      <c r="C4576" s="59" t="str">
        <f t="shared" si="22"/>
        <v/>
      </c>
      <c r="D4576" s="45" t="str">
        <f t="shared" si="23"/>
        <v/>
      </c>
      <c r="E4576" s="45" t="str">
        <f t="shared" si="24"/>
        <v/>
      </c>
      <c r="F4576" s="59" t="str">
        <f t="shared" si="25"/>
        <v/>
      </c>
      <c r="G4576" s="59" t="str">
        <f t="shared" si="26"/>
        <v/>
      </c>
      <c r="H4576" s="59" t="str">
        <f t="shared" si="27"/>
        <v>28C04536</v>
      </c>
      <c r="I4576" s="59" t="str">
        <f>IF(OR($A4576="",$C4576="",$D4576="",$E4576="",$H4576=""),"",SUMIFS(DATA_GOC!$H:$H,DATA_GOC!$A:$A,"BOM",DATA_GOC!$D:$D,$H4576,DATA_GOC!$E:$E,$C4576,DATA_GOC!$F:$F,"Xuất nội bộ từ téc",DATA_GOC!$B:$B,"&gt;="&amp;$D4576,DATA_GOC!$B:$B,"&lt;="&amp;$E4576))</f>
        <v/>
      </c>
      <c r="J4576" s="59">
        <f t="shared" si="28"/>
        <v>0</v>
      </c>
      <c r="K4576" s="59">
        <f t="shared" si="29"/>
        <v>0</v>
      </c>
      <c r="L4576" s="59">
        <f t="shared" si="30"/>
        <v>0</v>
      </c>
      <c r="M4576" s="59">
        <f t="shared" si="31"/>
        <v>0</v>
      </c>
    </row>
    <row r="4577" ht="15.0" hidden="1" customHeight="1">
      <c r="A4577" s="59">
        <f t="shared" si="20"/>
        <v>73</v>
      </c>
      <c r="B4577" s="59" t="str">
        <f t="shared" si="21"/>
        <v/>
      </c>
      <c r="C4577" s="59" t="str">
        <f t="shared" si="22"/>
        <v/>
      </c>
      <c r="D4577" s="45" t="str">
        <f t="shared" si="23"/>
        <v/>
      </c>
      <c r="E4577" s="45" t="str">
        <f t="shared" si="24"/>
        <v/>
      </c>
      <c r="F4577" s="59" t="str">
        <f t="shared" si="25"/>
        <v/>
      </c>
      <c r="G4577" s="59" t="str">
        <f t="shared" si="26"/>
        <v/>
      </c>
      <c r="H4577" s="59" t="str">
        <f t="shared" si="27"/>
        <v>28C04576</v>
      </c>
      <c r="I4577" s="59" t="str">
        <f>IF(OR($A4577="",$C4577="",$D4577="",$E4577="",$H4577=""),"",SUMIFS(DATA_GOC!$H:$H,DATA_GOC!$A:$A,"BOM",DATA_GOC!$D:$D,$H4577,DATA_GOC!$E:$E,$C4577,DATA_GOC!$F:$F,"Xuất nội bộ từ téc",DATA_GOC!$B:$B,"&gt;="&amp;$D4577,DATA_GOC!$B:$B,"&lt;="&amp;$E4577))</f>
        <v/>
      </c>
      <c r="J4577" s="59">
        <f t="shared" si="28"/>
        <v>0</v>
      </c>
      <c r="K4577" s="59">
        <f t="shared" si="29"/>
        <v>0</v>
      </c>
      <c r="L4577" s="59">
        <f t="shared" si="30"/>
        <v>0</v>
      </c>
      <c r="M4577" s="59">
        <f t="shared" si="31"/>
        <v>0</v>
      </c>
    </row>
    <row r="4578" ht="15.0" hidden="1" customHeight="1">
      <c r="A4578" s="59">
        <f t="shared" si="20"/>
        <v>73</v>
      </c>
      <c r="B4578" s="59" t="str">
        <f t="shared" si="21"/>
        <v/>
      </c>
      <c r="C4578" s="59" t="str">
        <f t="shared" si="22"/>
        <v/>
      </c>
      <c r="D4578" s="45" t="str">
        <f t="shared" si="23"/>
        <v/>
      </c>
      <c r="E4578" s="45" t="str">
        <f t="shared" si="24"/>
        <v/>
      </c>
      <c r="F4578" s="59" t="str">
        <f t="shared" si="25"/>
        <v/>
      </c>
      <c r="G4578" s="59" t="str">
        <f t="shared" si="26"/>
        <v/>
      </c>
      <c r="H4578" s="59" t="str">
        <f t="shared" si="27"/>
        <v>28C05090</v>
      </c>
      <c r="I4578" s="59" t="str">
        <f>IF(OR($A4578="",$C4578="",$D4578="",$E4578="",$H4578=""),"",SUMIFS(DATA_GOC!$H:$H,DATA_GOC!$A:$A,"BOM",DATA_GOC!$D:$D,$H4578,DATA_GOC!$E:$E,$C4578,DATA_GOC!$F:$F,"Xuất nội bộ từ téc",DATA_GOC!$B:$B,"&gt;="&amp;$D4578,DATA_GOC!$B:$B,"&lt;="&amp;$E4578))</f>
        <v/>
      </c>
      <c r="J4578" s="59">
        <f t="shared" si="28"/>
        <v>0</v>
      </c>
      <c r="K4578" s="59">
        <f t="shared" si="29"/>
        <v>0</v>
      </c>
      <c r="L4578" s="59">
        <f t="shared" si="30"/>
        <v>0</v>
      </c>
      <c r="M4578" s="59">
        <f t="shared" si="31"/>
        <v>0</v>
      </c>
    </row>
    <row r="4579" ht="15.0" hidden="1" customHeight="1">
      <c r="A4579" s="59">
        <f t="shared" si="20"/>
        <v>73</v>
      </c>
      <c r="B4579" s="59" t="str">
        <f t="shared" si="21"/>
        <v/>
      </c>
      <c r="C4579" s="59" t="str">
        <f t="shared" si="22"/>
        <v/>
      </c>
      <c r="D4579" s="45" t="str">
        <f t="shared" si="23"/>
        <v/>
      </c>
      <c r="E4579" s="45" t="str">
        <f t="shared" si="24"/>
        <v/>
      </c>
      <c r="F4579" s="59" t="str">
        <f t="shared" si="25"/>
        <v/>
      </c>
      <c r="G4579" s="59" t="str">
        <f t="shared" si="26"/>
        <v/>
      </c>
      <c r="H4579" s="59" t="str">
        <f t="shared" si="27"/>
        <v>28C05345</v>
      </c>
      <c r="I4579" s="59" t="str">
        <f>IF(OR($A4579="",$C4579="",$D4579="",$E4579="",$H4579=""),"",SUMIFS(DATA_GOC!$H:$H,DATA_GOC!$A:$A,"BOM",DATA_GOC!$D:$D,$H4579,DATA_GOC!$E:$E,$C4579,DATA_GOC!$F:$F,"Xuất nội bộ từ téc",DATA_GOC!$B:$B,"&gt;="&amp;$D4579,DATA_GOC!$B:$B,"&lt;="&amp;$E4579))</f>
        <v/>
      </c>
      <c r="J4579" s="59">
        <f t="shared" si="28"/>
        <v>0</v>
      </c>
      <c r="K4579" s="59">
        <f t="shared" si="29"/>
        <v>0</v>
      </c>
      <c r="L4579" s="59">
        <f t="shared" si="30"/>
        <v>0</v>
      </c>
      <c r="M4579" s="59">
        <f t="shared" si="31"/>
        <v>0</v>
      </c>
    </row>
    <row r="4580" ht="15.0" hidden="1" customHeight="1">
      <c r="A4580" s="59">
        <f t="shared" si="20"/>
        <v>73</v>
      </c>
      <c r="B4580" s="59" t="str">
        <f t="shared" si="21"/>
        <v/>
      </c>
      <c r="C4580" s="59" t="str">
        <f t="shared" si="22"/>
        <v/>
      </c>
      <c r="D4580" s="45" t="str">
        <f t="shared" si="23"/>
        <v/>
      </c>
      <c r="E4580" s="45" t="str">
        <f t="shared" si="24"/>
        <v/>
      </c>
      <c r="F4580" s="59" t="str">
        <f t="shared" si="25"/>
        <v/>
      </c>
      <c r="G4580" s="59" t="str">
        <f t="shared" si="26"/>
        <v/>
      </c>
      <c r="H4580" s="59" t="str">
        <f t="shared" si="27"/>
        <v>28C05661</v>
      </c>
      <c r="I4580" s="59" t="str">
        <f>IF(OR($A4580="",$C4580="",$D4580="",$E4580="",$H4580=""),"",SUMIFS(DATA_GOC!$H:$H,DATA_GOC!$A:$A,"BOM",DATA_GOC!$D:$D,$H4580,DATA_GOC!$E:$E,$C4580,DATA_GOC!$F:$F,"Xuất nội bộ từ téc",DATA_GOC!$B:$B,"&gt;="&amp;$D4580,DATA_GOC!$B:$B,"&lt;="&amp;$E4580))</f>
        <v/>
      </c>
      <c r="J4580" s="59">
        <f t="shared" si="28"/>
        <v>0</v>
      </c>
      <c r="K4580" s="59">
        <f t="shared" si="29"/>
        <v>0</v>
      </c>
      <c r="L4580" s="59">
        <f t="shared" si="30"/>
        <v>0</v>
      </c>
      <c r="M4580" s="59">
        <f t="shared" si="31"/>
        <v>0</v>
      </c>
    </row>
    <row r="4581" ht="15.0" hidden="1" customHeight="1">
      <c r="A4581" s="59">
        <f t="shared" si="20"/>
        <v>73</v>
      </c>
      <c r="B4581" s="59" t="str">
        <f t="shared" si="21"/>
        <v/>
      </c>
      <c r="C4581" s="59" t="str">
        <f t="shared" si="22"/>
        <v/>
      </c>
      <c r="D4581" s="45" t="str">
        <f t="shared" si="23"/>
        <v/>
      </c>
      <c r="E4581" s="45" t="str">
        <f t="shared" si="24"/>
        <v/>
      </c>
      <c r="F4581" s="59" t="str">
        <f t="shared" si="25"/>
        <v/>
      </c>
      <c r="G4581" s="59" t="str">
        <f t="shared" si="26"/>
        <v/>
      </c>
      <c r="H4581" s="59" t="str">
        <f t="shared" si="27"/>
        <v>28C05739</v>
      </c>
      <c r="I4581" s="59" t="str">
        <f>IF(OR($A4581="",$C4581="",$D4581="",$E4581="",$H4581=""),"",SUMIFS(DATA_GOC!$H:$H,DATA_GOC!$A:$A,"BOM",DATA_GOC!$D:$D,$H4581,DATA_GOC!$E:$E,$C4581,DATA_GOC!$F:$F,"Xuất nội bộ từ téc",DATA_GOC!$B:$B,"&gt;="&amp;$D4581,DATA_GOC!$B:$B,"&lt;="&amp;$E4581))</f>
        <v/>
      </c>
      <c r="J4581" s="59">
        <f t="shared" si="28"/>
        <v>0</v>
      </c>
      <c r="K4581" s="59">
        <f t="shared" si="29"/>
        <v>0</v>
      </c>
      <c r="L4581" s="59">
        <f t="shared" si="30"/>
        <v>0</v>
      </c>
      <c r="M4581" s="59">
        <f t="shared" si="31"/>
        <v>0</v>
      </c>
    </row>
    <row r="4582" ht="15.0" hidden="1" customHeight="1">
      <c r="A4582" s="59">
        <f t="shared" si="20"/>
        <v>73</v>
      </c>
      <c r="B4582" s="59" t="str">
        <f t="shared" si="21"/>
        <v/>
      </c>
      <c r="C4582" s="59" t="str">
        <f t="shared" si="22"/>
        <v/>
      </c>
      <c r="D4582" s="45" t="str">
        <f t="shared" si="23"/>
        <v/>
      </c>
      <c r="E4582" s="45" t="str">
        <f t="shared" si="24"/>
        <v/>
      </c>
      <c r="F4582" s="59" t="str">
        <f t="shared" si="25"/>
        <v/>
      </c>
      <c r="G4582" s="59" t="str">
        <f t="shared" si="26"/>
        <v/>
      </c>
      <c r="H4582" s="59" t="str">
        <f t="shared" si="27"/>
        <v>28C06369</v>
      </c>
      <c r="I4582" s="59" t="str">
        <f>IF(OR($A4582="",$C4582="",$D4582="",$E4582="",$H4582=""),"",SUMIFS(DATA_GOC!$H:$H,DATA_GOC!$A:$A,"BOM",DATA_GOC!$D:$D,$H4582,DATA_GOC!$E:$E,$C4582,DATA_GOC!$F:$F,"Xuất nội bộ từ téc",DATA_GOC!$B:$B,"&gt;="&amp;$D4582,DATA_GOC!$B:$B,"&lt;="&amp;$E4582))</f>
        <v/>
      </c>
      <c r="J4582" s="59">
        <f t="shared" si="28"/>
        <v>0</v>
      </c>
      <c r="K4582" s="59">
        <f t="shared" si="29"/>
        <v>0</v>
      </c>
      <c r="L4582" s="59">
        <f t="shared" si="30"/>
        <v>0</v>
      </c>
      <c r="M4582" s="59">
        <f t="shared" si="31"/>
        <v>0</v>
      </c>
    </row>
    <row r="4583" ht="15.0" hidden="1" customHeight="1">
      <c r="A4583" s="59">
        <f t="shared" si="20"/>
        <v>73</v>
      </c>
      <c r="B4583" s="59" t="str">
        <f t="shared" si="21"/>
        <v/>
      </c>
      <c r="C4583" s="59" t="str">
        <f t="shared" si="22"/>
        <v/>
      </c>
      <c r="D4583" s="45" t="str">
        <f t="shared" si="23"/>
        <v/>
      </c>
      <c r="E4583" s="45" t="str">
        <f t="shared" si="24"/>
        <v/>
      </c>
      <c r="F4583" s="59" t="str">
        <f t="shared" si="25"/>
        <v/>
      </c>
      <c r="G4583" s="59" t="str">
        <f t="shared" si="26"/>
        <v/>
      </c>
      <c r="H4583" s="59" t="str">
        <f t="shared" si="27"/>
        <v>28C06447</v>
      </c>
      <c r="I4583" s="59" t="str">
        <f>IF(OR($A4583="",$C4583="",$D4583="",$E4583="",$H4583=""),"",SUMIFS(DATA_GOC!$H:$H,DATA_GOC!$A:$A,"BOM",DATA_GOC!$D:$D,$H4583,DATA_GOC!$E:$E,$C4583,DATA_GOC!$F:$F,"Xuất nội bộ từ téc",DATA_GOC!$B:$B,"&gt;="&amp;$D4583,DATA_GOC!$B:$B,"&lt;="&amp;$E4583))</f>
        <v/>
      </c>
      <c r="J4583" s="59">
        <f t="shared" si="28"/>
        <v>0</v>
      </c>
      <c r="K4583" s="59">
        <f t="shared" si="29"/>
        <v>0</v>
      </c>
      <c r="L4583" s="59">
        <f t="shared" si="30"/>
        <v>0</v>
      </c>
      <c r="M4583" s="59">
        <f t="shared" si="31"/>
        <v>0</v>
      </c>
    </row>
    <row r="4584" ht="15.0" hidden="1" customHeight="1">
      <c r="A4584" s="59">
        <f t="shared" si="20"/>
        <v>73</v>
      </c>
      <c r="B4584" s="59" t="str">
        <f t="shared" si="21"/>
        <v/>
      </c>
      <c r="C4584" s="59" t="str">
        <f t="shared" si="22"/>
        <v/>
      </c>
      <c r="D4584" s="45" t="str">
        <f t="shared" si="23"/>
        <v/>
      </c>
      <c r="E4584" s="45" t="str">
        <f t="shared" si="24"/>
        <v/>
      </c>
      <c r="F4584" s="59" t="str">
        <f t="shared" si="25"/>
        <v/>
      </c>
      <c r="G4584" s="59" t="str">
        <f t="shared" si="26"/>
        <v/>
      </c>
      <c r="H4584" s="59" t="str">
        <f t="shared" si="27"/>
        <v>28H00003</v>
      </c>
      <c r="I4584" s="59" t="str">
        <f>IF(OR($A4584="",$C4584="",$D4584="",$E4584="",$H4584=""),"",SUMIFS(DATA_GOC!$H:$H,DATA_GOC!$A:$A,"BOM",DATA_GOC!$D:$D,$H4584,DATA_GOC!$E:$E,$C4584,DATA_GOC!$F:$F,"Xuất nội bộ từ téc",DATA_GOC!$B:$B,"&gt;="&amp;$D4584,DATA_GOC!$B:$B,"&lt;="&amp;$E4584))</f>
        <v/>
      </c>
      <c r="J4584" s="59">
        <f t="shared" si="28"/>
        <v>0</v>
      </c>
      <c r="K4584" s="59">
        <f t="shared" si="29"/>
        <v>0</v>
      </c>
      <c r="L4584" s="59">
        <f t="shared" si="30"/>
        <v>0</v>
      </c>
      <c r="M4584" s="59">
        <f t="shared" si="31"/>
        <v>0</v>
      </c>
    </row>
    <row r="4585" ht="15.0" hidden="1" customHeight="1">
      <c r="A4585" s="59">
        <f t="shared" si="20"/>
        <v>73</v>
      </c>
      <c r="B4585" s="59" t="str">
        <f t="shared" si="21"/>
        <v/>
      </c>
      <c r="C4585" s="59" t="str">
        <f t="shared" si="22"/>
        <v/>
      </c>
      <c r="D4585" s="45" t="str">
        <f t="shared" si="23"/>
        <v/>
      </c>
      <c r="E4585" s="45" t="str">
        <f t="shared" si="24"/>
        <v/>
      </c>
      <c r="F4585" s="59" t="str">
        <f t="shared" si="25"/>
        <v/>
      </c>
      <c r="G4585" s="59" t="str">
        <f t="shared" si="26"/>
        <v/>
      </c>
      <c r="H4585" s="59" t="str">
        <f t="shared" si="27"/>
        <v>28H00061</v>
      </c>
      <c r="I4585" s="59" t="str">
        <f>IF(OR($A4585="",$C4585="",$D4585="",$E4585="",$H4585=""),"",SUMIFS(DATA_GOC!$H:$H,DATA_GOC!$A:$A,"BOM",DATA_GOC!$D:$D,$H4585,DATA_GOC!$E:$E,$C4585,DATA_GOC!$F:$F,"Xuất nội bộ từ téc",DATA_GOC!$B:$B,"&gt;="&amp;$D4585,DATA_GOC!$B:$B,"&lt;="&amp;$E4585))</f>
        <v/>
      </c>
      <c r="J4585" s="59">
        <f t="shared" si="28"/>
        <v>0</v>
      </c>
      <c r="K4585" s="59">
        <f t="shared" si="29"/>
        <v>0</v>
      </c>
      <c r="L4585" s="59">
        <f t="shared" si="30"/>
        <v>0</v>
      </c>
      <c r="M4585" s="59">
        <f t="shared" si="31"/>
        <v>0</v>
      </c>
    </row>
    <row r="4586" ht="15.0" hidden="1" customHeight="1">
      <c r="A4586" s="59">
        <f t="shared" si="20"/>
        <v>73</v>
      </c>
      <c r="B4586" s="59" t="str">
        <f t="shared" si="21"/>
        <v/>
      </c>
      <c r="C4586" s="59" t="str">
        <f t="shared" si="22"/>
        <v/>
      </c>
      <c r="D4586" s="45" t="str">
        <f t="shared" si="23"/>
        <v/>
      </c>
      <c r="E4586" s="45" t="str">
        <f t="shared" si="24"/>
        <v/>
      </c>
      <c r="F4586" s="59" t="str">
        <f t="shared" si="25"/>
        <v/>
      </c>
      <c r="G4586" s="59" t="str">
        <f t="shared" si="26"/>
        <v/>
      </c>
      <c r="H4586" s="59" t="str">
        <f t="shared" si="27"/>
        <v>28H00354</v>
      </c>
      <c r="I4586" s="59" t="str">
        <f>IF(OR($A4586="",$C4586="",$D4586="",$E4586="",$H4586=""),"",SUMIFS(DATA_GOC!$H:$H,DATA_GOC!$A:$A,"BOM",DATA_GOC!$D:$D,$H4586,DATA_GOC!$E:$E,$C4586,DATA_GOC!$F:$F,"Xuất nội bộ từ téc",DATA_GOC!$B:$B,"&gt;="&amp;$D4586,DATA_GOC!$B:$B,"&lt;="&amp;$E4586))</f>
        <v/>
      </c>
      <c r="J4586" s="59">
        <f t="shared" si="28"/>
        <v>0</v>
      </c>
      <c r="K4586" s="59">
        <f t="shared" si="29"/>
        <v>0</v>
      </c>
      <c r="L4586" s="59">
        <f t="shared" si="30"/>
        <v>0</v>
      </c>
      <c r="M4586" s="59">
        <f t="shared" si="31"/>
        <v>0</v>
      </c>
    </row>
    <row r="4587" ht="15.0" hidden="1" customHeight="1">
      <c r="A4587" s="59">
        <f t="shared" si="20"/>
        <v>73</v>
      </c>
      <c r="B4587" s="59" t="str">
        <f t="shared" si="21"/>
        <v/>
      </c>
      <c r="C4587" s="59" t="str">
        <f t="shared" si="22"/>
        <v/>
      </c>
      <c r="D4587" s="45" t="str">
        <f t="shared" si="23"/>
        <v/>
      </c>
      <c r="E4587" s="45" t="str">
        <f t="shared" si="24"/>
        <v/>
      </c>
      <c r="F4587" s="59" t="str">
        <f t="shared" si="25"/>
        <v/>
      </c>
      <c r="G4587" s="59" t="str">
        <f t="shared" si="26"/>
        <v/>
      </c>
      <c r="H4587" s="59" t="str">
        <f t="shared" si="27"/>
        <v>28H00603</v>
      </c>
      <c r="I4587" s="59" t="str">
        <f>IF(OR($A4587="",$C4587="",$D4587="",$E4587="",$H4587=""),"",SUMIFS(DATA_GOC!$H:$H,DATA_GOC!$A:$A,"BOM",DATA_GOC!$D:$D,$H4587,DATA_GOC!$E:$E,$C4587,DATA_GOC!$F:$F,"Xuất nội bộ từ téc",DATA_GOC!$B:$B,"&gt;="&amp;$D4587,DATA_GOC!$B:$B,"&lt;="&amp;$E4587))</f>
        <v/>
      </c>
      <c r="J4587" s="59">
        <f t="shared" si="28"/>
        <v>0</v>
      </c>
      <c r="K4587" s="59">
        <f t="shared" si="29"/>
        <v>0</v>
      </c>
      <c r="L4587" s="59">
        <f t="shared" si="30"/>
        <v>0</v>
      </c>
      <c r="M4587" s="59">
        <f t="shared" si="31"/>
        <v>0</v>
      </c>
    </row>
    <row r="4588" ht="15.0" hidden="1" customHeight="1">
      <c r="A4588" s="59">
        <f t="shared" si="20"/>
        <v>73</v>
      </c>
      <c r="B4588" s="59" t="str">
        <f t="shared" si="21"/>
        <v/>
      </c>
      <c r="C4588" s="59" t="str">
        <f t="shared" si="22"/>
        <v/>
      </c>
      <c r="D4588" s="45" t="str">
        <f t="shared" si="23"/>
        <v/>
      </c>
      <c r="E4588" s="45" t="str">
        <f t="shared" si="24"/>
        <v/>
      </c>
      <c r="F4588" s="59" t="str">
        <f t="shared" si="25"/>
        <v/>
      </c>
      <c r="G4588" s="59" t="str">
        <f t="shared" si="26"/>
        <v/>
      </c>
      <c r="H4588" s="59" t="str">
        <f t="shared" si="27"/>
        <v>28H00609</v>
      </c>
      <c r="I4588" s="59" t="str">
        <f>IF(OR($A4588="",$C4588="",$D4588="",$E4588="",$H4588=""),"",SUMIFS(DATA_GOC!$H:$H,DATA_GOC!$A:$A,"BOM",DATA_GOC!$D:$D,$H4588,DATA_GOC!$E:$E,$C4588,DATA_GOC!$F:$F,"Xuất nội bộ từ téc",DATA_GOC!$B:$B,"&gt;="&amp;$D4588,DATA_GOC!$B:$B,"&lt;="&amp;$E4588))</f>
        <v/>
      </c>
      <c r="J4588" s="59">
        <f t="shared" si="28"/>
        <v>0</v>
      </c>
      <c r="K4588" s="59">
        <f t="shared" si="29"/>
        <v>0</v>
      </c>
      <c r="L4588" s="59">
        <f t="shared" si="30"/>
        <v>0</v>
      </c>
      <c r="M4588" s="59">
        <f t="shared" si="31"/>
        <v>0</v>
      </c>
    </row>
    <row r="4589" ht="15.0" hidden="1" customHeight="1">
      <c r="A4589" s="59">
        <f t="shared" si="20"/>
        <v>73</v>
      </c>
      <c r="B4589" s="59" t="str">
        <f t="shared" si="21"/>
        <v/>
      </c>
      <c r="C4589" s="59" t="str">
        <f t="shared" si="22"/>
        <v/>
      </c>
      <c r="D4589" s="45" t="str">
        <f t="shared" si="23"/>
        <v/>
      </c>
      <c r="E4589" s="45" t="str">
        <f t="shared" si="24"/>
        <v/>
      </c>
      <c r="F4589" s="59" t="str">
        <f t="shared" si="25"/>
        <v/>
      </c>
      <c r="G4589" s="59" t="str">
        <f t="shared" si="26"/>
        <v/>
      </c>
      <c r="H4589" s="59" t="str">
        <f t="shared" si="27"/>
        <v>28H00669</v>
      </c>
      <c r="I4589" s="59" t="str">
        <f>IF(OR($A4589="",$C4589="",$D4589="",$E4589="",$H4589=""),"",SUMIFS(DATA_GOC!$H:$H,DATA_GOC!$A:$A,"BOM",DATA_GOC!$D:$D,$H4589,DATA_GOC!$E:$E,$C4589,DATA_GOC!$F:$F,"Xuất nội bộ từ téc",DATA_GOC!$B:$B,"&gt;="&amp;$D4589,DATA_GOC!$B:$B,"&lt;="&amp;$E4589))</f>
        <v/>
      </c>
      <c r="J4589" s="59">
        <f t="shared" si="28"/>
        <v>0</v>
      </c>
      <c r="K4589" s="59">
        <f t="shared" si="29"/>
        <v>0</v>
      </c>
      <c r="L4589" s="59">
        <f t="shared" si="30"/>
        <v>0</v>
      </c>
      <c r="M4589" s="59">
        <f t="shared" si="31"/>
        <v>0</v>
      </c>
    </row>
    <row r="4590" ht="15.0" hidden="1" customHeight="1">
      <c r="A4590" s="59">
        <f t="shared" si="20"/>
        <v>73</v>
      </c>
      <c r="B4590" s="59" t="str">
        <f t="shared" si="21"/>
        <v/>
      </c>
      <c r="C4590" s="59" t="str">
        <f t="shared" si="22"/>
        <v/>
      </c>
      <c r="D4590" s="45" t="str">
        <f t="shared" si="23"/>
        <v/>
      </c>
      <c r="E4590" s="45" t="str">
        <f t="shared" si="24"/>
        <v/>
      </c>
      <c r="F4590" s="59" t="str">
        <f t="shared" si="25"/>
        <v/>
      </c>
      <c r="G4590" s="59" t="str">
        <f t="shared" si="26"/>
        <v/>
      </c>
      <c r="H4590" s="59" t="str">
        <f t="shared" si="27"/>
        <v>28H00680</v>
      </c>
      <c r="I4590" s="59" t="str">
        <f>IF(OR($A4590="",$C4590="",$D4590="",$E4590="",$H4590=""),"",SUMIFS(DATA_GOC!$H:$H,DATA_GOC!$A:$A,"BOM",DATA_GOC!$D:$D,$H4590,DATA_GOC!$E:$E,$C4590,DATA_GOC!$F:$F,"Xuất nội bộ từ téc",DATA_GOC!$B:$B,"&gt;="&amp;$D4590,DATA_GOC!$B:$B,"&lt;="&amp;$E4590))</f>
        <v/>
      </c>
      <c r="J4590" s="59">
        <f t="shared" si="28"/>
        <v>0</v>
      </c>
      <c r="K4590" s="59">
        <f t="shared" si="29"/>
        <v>0</v>
      </c>
      <c r="L4590" s="59">
        <f t="shared" si="30"/>
        <v>0</v>
      </c>
      <c r="M4590" s="59">
        <f t="shared" si="31"/>
        <v>0</v>
      </c>
    </row>
    <row r="4591" ht="15.0" hidden="1" customHeight="1">
      <c r="A4591" s="59">
        <f t="shared" si="20"/>
        <v>73</v>
      </c>
      <c r="B4591" s="59" t="str">
        <f t="shared" si="21"/>
        <v/>
      </c>
      <c r="C4591" s="59" t="str">
        <f t="shared" si="22"/>
        <v/>
      </c>
      <c r="D4591" s="45" t="str">
        <f t="shared" si="23"/>
        <v/>
      </c>
      <c r="E4591" s="45" t="str">
        <f t="shared" si="24"/>
        <v/>
      </c>
      <c r="F4591" s="59" t="str">
        <f t="shared" si="25"/>
        <v/>
      </c>
      <c r="G4591" s="59" t="str">
        <f t="shared" si="26"/>
        <v/>
      </c>
      <c r="H4591" s="59" t="str">
        <f t="shared" si="27"/>
        <v>28H01070</v>
      </c>
      <c r="I4591" s="59" t="str">
        <f>IF(OR($A4591="",$C4591="",$D4591="",$E4591="",$H4591=""),"",SUMIFS(DATA_GOC!$H:$H,DATA_GOC!$A:$A,"BOM",DATA_GOC!$D:$D,$H4591,DATA_GOC!$E:$E,$C4591,DATA_GOC!$F:$F,"Xuất nội bộ từ téc",DATA_GOC!$B:$B,"&gt;="&amp;$D4591,DATA_GOC!$B:$B,"&lt;="&amp;$E4591))</f>
        <v/>
      </c>
      <c r="J4591" s="59">
        <f t="shared" si="28"/>
        <v>0</v>
      </c>
      <c r="K4591" s="59">
        <f t="shared" si="29"/>
        <v>0</v>
      </c>
      <c r="L4591" s="59">
        <f t="shared" si="30"/>
        <v>0</v>
      </c>
      <c r="M4591" s="59">
        <f t="shared" si="31"/>
        <v>0</v>
      </c>
    </row>
    <row r="4592" ht="15.0" hidden="1" customHeight="1">
      <c r="A4592" s="59">
        <f t="shared" si="20"/>
        <v>73</v>
      </c>
      <c r="B4592" s="59" t="str">
        <f t="shared" si="21"/>
        <v/>
      </c>
      <c r="C4592" s="59" t="str">
        <f t="shared" si="22"/>
        <v/>
      </c>
      <c r="D4592" s="45" t="str">
        <f t="shared" si="23"/>
        <v/>
      </c>
      <c r="E4592" s="45" t="str">
        <f t="shared" si="24"/>
        <v/>
      </c>
      <c r="F4592" s="59" t="str">
        <f t="shared" si="25"/>
        <v/>
      </c>
      <c r="G4592" s="59" t="str">
        <f t="shared" si="26"/>
        <v/>
      </c>
      <c r="H4592" s="59" t="str">
        <f t="shared" si="27"/>
        <v>28H01364</v>
      </c>
      <c r="I4592" s="59" t="str">
        <f>IF(OR($A4592="",$C4592="",$D4592="",$E4592="",$H4592=""),"",SUMIFS(DATA_GOC!$H:$H,DATA_GOC!$A:$A,"BOM",DATA_GOC!$D:$D,$H4592,DATA_GOC!$E:$E,$C4592,DATA_GOC!$F:$F,"Xuất nội bộ từ téc",DATA_GOC!$B:$B,"&gt;="&amp;$D4592,DATA_GOC!$B:$B,"&lt;="&amp;$E4592))</f>
        <v/>
      </c>
      <c r="J4592" s="59">
        <f t="shared" si="28"/>
        <v>0</v>
      </c>
      <c r="K4592" s="59">
        <f t="shared" si="29"/>
        <v>0</v>
      </c>
      <c r="L4592" s="59">
        <f t="shared" si="30"/>
        <v>0</v>
      </c>
      <c r="M4592" s="59">
        <f t="shared" si="31"/>
        <v>0</v>
      </c>
    </row>
    <row r="4593" ht="15.0" hidden="1" customHeight="1">
      <c r="A4593" s="59">
        <f t="shared" si="20"/>
        <v>73</v>
      </c>
      <c r="B4593" s="59" t="str">
        <f t="shared" si="21"/>
        <v/>
      </c>
      <c r="C4593" s="59" t="str">
        <f t="shared" si="22"/>
        <v/>
      </c>
      <c r="D4593" s="45" t="str">
        <f t="shared" si="23"/>
        <v/>
      </c>
      <c r="E4593" s="45" t="str">
        <f t="shared" si="24"/>
        <v/>
      </c>
      <c r="F4593" s="59" t="str">
        <f t="shared" si="25"/>
        <v/>
      </c>
      <c r="G4593" s="59" t="str">
        <f t="shared" si="26"/>
        <v/>
      </c>
      <c r="H4593" s="59" t="str">
        <f t="shared" si="27"/>
        <v>29E17269</v>
      </c>
      <c r="I4593" s="59" t="str">
        <f>IF(OR($A4593="",$C4593="",$D4593="",$E4593="",$H4593=""),"",SUMIFS(DATA_GOC!$H:$H,DATA_GOC!$A:$A,"BOM",DATA_GOC!$D:$D,$H4593,DATA_GOC!$E:$E,$C4593,DATA_GOC!$F:$F,"Xuất nội bộ từ téc",DATA_GOC!$B:$B,"&gt;="&amp;$D4593,DATA_GOC!$B:$B,"&lt;="&amp;$E4593))</f>
        <v/>
      </c>
      <c r="J4593" s="59">
        <f t="shared" si="28"/>
        <v>0</v>
      </c>
      <c r="K4593" s="59">
        <f t="shared" si="29"/>
        <v>0</v>
      </c>
      <c r="L4593" s="59">
        <f t="shared" si="30"/>
        <v>0</v>
      </c>
      <c r="M4593" s="59">
        <f t="shared" si="31"/>
        <v>0</v>
      </c>
    </row>
    <row r="4594" ht="15.0" hidden="1" customHeight="1">
      <c r="A4594" s="59">
        <f t="shared" si="20"/>
        <v>73</v>
      </c>
      <c r="B4594" s="59" t="str">
        <f t="shared" si="21"/>
        <v/>
      </c>
      <c r="C4594" s="59" t="str">
        <f t="shared" si="22"/>
        <v/>
      </c>
      <c r="D4594" s="45" t="str">
        <f t="shared" si="23"/>
        <v/>
      </c>
      <c r="E4594" s="45" t="str">
        <f t="shared" si="24"/>
        <v/>
      </c>
      <c r="F4594" s="59" t="str">
        <f t="shared" si="25"/>
        <v/>
      </c>
      <c r="G4594" s="59" t="str">
        <f t="shared" si="26"/>
        <v/>
      </c>
      <c r="H4594" s="59" t="str">
        <f t="shared" si="27"/>
        <v>29E17273</v>
      </c>
      <c r="I4594" s="59" t="str">
        <f>IF(OR($A4594="",$C4594="",$D4594="",$E4594="",$H4594=""),"",SUMIFS(DATA_GOC!$H:$H,DATA_GOC!$A:$A,"BOM",DATA_GOC!$D:$D,$H4594,DATA_GOC!$E:$E,$C4594,DATA_GOC!$F:$F,"Xuất nội bộ từ téc",DATA_GOC!$B:$B,"&gt;="&amp;$D4594,DATA_GOC!$B:$B,"&lt;="&amp;$E4594))</f>
        <v/>
      </c>
      <c r="J4594" s="59">
        <f t="shared" si="28"/>
        <v>0</v>
      </c>
      <c r="K4594" s="59">
        <f t="shared" si="29"/>
        <v>0</v>
      </c>
      <c r="L4594" s="59">
        <f t="shared" si="30"/>
        <v>0</v>
      </c>
      <c r="M4594" s="59">
        <f t="shared" si="31"/>
        <v>0</v>
      </c>
    </row>
    <row r="4595" ht="15.0" hidden="1" customHeight="1">
      <c r="A4595" s="59">
        <f t="shared" si="20"/>
        <v>73</v>
      </c>
      <c r="B4595" s="59" t="str">
        <f t="shared" si="21"/>
        <v/>
      </c>
      <c r="C4595" s="59" t="str">
        <f t="shared" si="22"/>
        <v/>
      </c>
      <c r="D4595" s="45" t="str">
        <f t="shared" si="23"/>
        <v/>
      </c>
      <c r="E4595" s="45" t="str">
        <f t="shared" si="24"/>
        <v/>
      </c>
      <c r="F4595" s="59" t="str">
        <f t="shared" si="25"/>
        <v/>
      </c>
      <c r="G4595" s="59" t="str">
        <f t="shared" si="26"/>
        <v/>
      </c>
      <c r="H4595" s="59" t="str">
        <f t="shared" si="27"/>
        <v>29E17410</v>
      </c>
      <c r="I4595" s="59" t="str">
        <f>IF(OR($A4595="",$C4595="",$D4595="",$E4595="",$H4595=""),"",SUMIFS(DATA_GOC!$H:$H,DATA_GOC!$A:$A,"BOM",DATA_GOC!$D:$D,$H4595,DATA_GOC!$E:$E,$C4595,DATA_GOC!$F:$F,"Xuất nội bộ từ téc",DATA_GOC!$B:$B,"&gt;="&amp;$D4595,DATA_GOC!$B:$B,"&lt;="&amp;$E4595))</f>
        <v/>
      </c>
      <c r="J4595" s="59">
        <f t="shared" si="28"/>
        <v>0</v>
      </c>
      <c r="K4595" s="59">
        <f t="shared" si="29"/>
        <v>0</v>
      </c>
      <c r="L4595" s="59">
        <f t="shared" si="30"/>
        <v>0</v>
      </c>
      <c r="M4595" s="59">
        <f t="shared" si="31"/>
        <v>0</v>
      </c>
    </row>
    <row r="4596" ht="15.0" hidden="1" customHeight="1">
      <c r="A4596" s="59">
        <f t="shared" si="20"/>
        <v>73</v>
      </c>
      <c r="B4596" s="59" t="str">
        <f t="shared" si="21"/>
        <v/>
      </c>
      <c r="C4596" s="59" t="str">
        <f t="shared" si="22"/>
        <v/>
      </c>
      <c r="D4596" s="45" t="str">
        <f t="shared" si="23"/>
        <v/>
      </c>
      <c r="E4596" s="45" t="str">
        <f t="shared" si="24"/>
        <v/>
      </c>
      <c r="F4596" s="59" t="str">
        <f t="shared" si="25"/>
        <v/>
      </c>
      <c r="G4596" s="59" t="str">
        <f t="shared" si="26"/>
        <v/>
      </c>
      <c r="H4596" s="59" t="str">
        <f t="shared" si="27"/>
        <v>29E17417</v>
      </c>
      <c r="I4596" s="59" t="str">
        <f>IF(OR($A4596="",$C4596="",$D4596="",$E4596="",$H4596=""),"",SUMIFS(DATA_GOC!$H:$H,DATA_GOC!$A:$A,"BOM",DATA_GOC!$D:$D,$H4596,DATA_GOC!$E:$E,$C4596,DATA_GOC!$F:$F,"Xuất nội bộ từ téc",DATA_GOC!$B:$B,"&gt;="&amp;$D4596,DATA_GOC!$B:$B,"&lt;="&amp;$E4596))</f>
        <v/>
      </c>
      <c r="J4596" s="59">
        <f t="shared" si="28"/>
        <v>0</v>
      </c>
      <c r="K4596" s="59">
        <f t="shared" si="29"/>
        <v>0</v>
      </c>
      <c r="L4596" s="59">
        <f t="shared" si="30"/>
        <v>0</v>
      </c>
      <c r="M4596" s="59">
        <f t="shared" si="31"/>
        <v>0</v>
      </c>
    </row>
    <row r="4597" ht="15.0" hidden="1" customHeight="1">
      <c r="A4597" s="59">
        <f t="shared" si="20"/>
        <v>73</v>
      </c>
      <c r="B4597" s="59" t="str">
        <f t="shared" si="21"/>
        <v/>
      </c>
      <c r="C4597" s="59" t="str">
        <f t="shared" si="22"/>
        <v/>
      </c>
      <c r="D4597" s="45" t="str">
        <f t="shared" si="23"/>
        <v/>
      </c>
      <c r="E4597" s="45" t="str">
        <f t="shared" si="24"/>
        <v/>
      </c>
      <c r="F4597" s="59" t="str">
        <f t="shared" si="25"/>
        <v/>
      </c>
      <c r="G4597" s="59" t="str">
        <f t="shared" si="26"/>
        <v/>
      </c>
      <c r="H4597" s="59" t="str">
        <f t="shared" si="27"/>
        <v>29E17539</v>
      </c>
      <c r="I4597" s="59" t="str">
        <f>IF(OR($A4597="",$C4597="",$D4597="",$E4597="",$H4597=""),"",SUMIFS(DATA_GOC!$H:$H,DATA_GOC!$A:$A,"BOM",DATA_GOC!$D:$D,$H4597,DATA_GOC!$E:$E,$C4597,DATA_GOC!$F:$F,"Xuất nội bộ từ téc",DATA_GOC!$B:$B,"&gt;="&amp;$D4597,DATA_GOC!$B:$B,"&lt;="&amp;$E4597))</f>
        <v/>
      </c>
      <c r="J4597" s="59">
        <f t="shared" si="28"/>
        <v>0</v>
      </c>
      <c r="K4597" s="59">
        <f t="shared" si="29"/>
        <v>0</v>
      </c>
      <c r="L4597" s="59">
        <f t="shared" si="30"/>
        <v>0</v>
      </c>
      <c r="M4597" s="59">
        <f t="shared" si="31"/>
        <v>0</v>
      </c>
    </row>
    <row r="4598" ht="15.0" hidden="1" customHeight="1">
      <c r="A4598" s="59">
        <f t="shared" si="20"/>
        <v>73</v>
      </c>
      <c r="B4598" s="59" t="str">
        <f t="shared" si="21"/>
        <v/>
      </c>
      <c r="C4598" s="59" t="str">
        <f t="shared" si="22"/>
        <v/>
      </c>
      <c r="D4598" s="45" t="str">
        <f t="shared" si="23"/>
        <v/>
      </c>
      <c r="E4598" s="45" t="str">
        <f t="shared" si="24"/>
        <v/>
      </c>
      <c r="F4598" s="59" t="str">
        <f t="shared" si="25"/>
        <v/>
      </c>
      <c r="G4598" s="59" t="str">
        <f t="shared" si="26"/>
        <v/>
      </c>
      <c r="H4598" s="59" t="str">
        <f t="shared" si="27"/>
        <v>29E18160</v>
      </c>
      <c r="I4598" s="59" t="str">
        <f>IF(OR($A4598="",$C4598="",$D4598="",$E4598="",$H4598=""),"",SUMIFS(DATA_GOC!$H:$H,DATA_GOC!$A:$A,"BOM",DATA_GOC!$D:$D,$H4598,DATA_GOC!$E:$E,$C4598,DATA_GOC!$F:$F,"Xuất nội bộ từ téc",DATA_GOC!$B:$B,"&gt;="&amp;$D4598,DATA_GOC!$B:$B,"&lt;="&amp;$E4598))</f>
        <v/>
      </c>
      <c r="J4598" s="59">
        <f t="shared" si="28"/>
        <v>0</v>
      </c>
      <c r="K4598" s="59">
        <f t="shared" si="29"/>
        <v>0</v>
      </c>
      <c r="L4598" s="59">
        <f t="shared" si="30"/>
        <v>0</v>
      </c>
      <c r="M4598" s="59">
        <f t="shared" si="31"/>
        <v>0</v>
      </c>
    </row>
    <row r="4599" ht="15.0" hidden="1" customHeight="1">
      <c r="A4599" s="59">
        <f t="shared" si="20"/>
        <v>73</v>
      </c>
      <c r="B4599" s="59" t="str">
        <f t="shared" si="21"/>
        <v/>
      </c>
      <c r="C4599" s="59" t="str">
        <f t="shared" si="22"/>
        <v/>
      </c>
      <c r="D4599" s="45" t="str">
        <f t="shared" si="23"/>
        <v/>
      </c>
      <c r="E4599" s="45" t="str">
        <f t="shared" si="24"/>
        <v/>
      </c>
      <c r="F4599" s="59" t="str">
        <f t="shared" si="25"/>
        <v/>
      </c>
      <c r="G4599" s="59" t="str">
        <f t="shared" si="26"/>
        <v/>
      </c>
      <c r="H4599" s="59" t="str">
        <f t="shared" si="27"/>
        <v>Công trình Asphalt</v>
      </c>
      <c r="I4599" s="59" t="str">
        <f>IF(OR($A4599="",$C4599="",$D4599="",$E4599="",$H4599=""),"",SUMIFS(DATA_GOC!$H:$H,DATA_GOC!$A:$A,"BOM",DATA_GOC!$D:$D,$H4599,DATA_GOC!$E:$E,$C4599,DATA_GOC!$F:$F,"Xuất nội bộ từ téc",DATA_GOC!$B:$B,"&gt;="&amp;$D4599,DATA_GOC!$B:$B,"&lt;="&amp;$E4599))</f>
        <v/>
      </c>
      <c r="J4599" s="59">
        <f t="shared" si="28"/>
        <v>0</v>
      </c>
      <c r="K4599" s="59">
        <f t="shared" si="29"/>
        <v>0</v>
      </c>
      <c r="L4599" s="59">
        <f t="shared" si="30"/>
        <v>0</v>
      </c>
      <c r="M4599" s="59">
        <f t="shared" si="31"/>
        <v>0</v>
      </c>
    </row>
    <row r="4600" ht="15.0" hidden="1" customHeight="1">
      <c r="A4600" s="59">
        <f t="shared" si="20"/>
        <v>73</v>
      </c>
      <c r="B4600" s="59" t="str">
        <f t="shared" si="21"/>
        <v/>
      </c>
      <c r="C4600" s="59" t="str">
        <f t="shared" si="22"/>
        <v/>
      </c>
      <c r="D4600" s="45" t="str">
        <f t="shared" si="23"/>
        <v/>
      </c>
      <c r="E4600" s="45" t="str">
        <f t="shared" si="24"/>
        <v/>
      </c>
      <c r="F4600" s="59" t="str">
        <f t="shared" si="25"/>
        <v/>
      </c>
      <c r="G4600" s="59" t="str">
        <f t="shared" si="26"/>
        <v/>
      </c>
      <c r="H4600" s="59" t="str">
        <f t="shared" si="27"/>
        <v>LG53F</v>
      </c>
      <c r="I4600" s="59" t="str">
        <f>IF(OR($A4600="",$C4600="",$D4600="",$E4600="",$H4600=""),"",SUMIFS(DATA_GOC!$H:$H,DATA_GOC!$A:$A,"BOM",DATA_GOC!$D:$D,$H4600,DATA_GOC!$E:$E,$C4600,DATA_GOC!$F:$F,"Xuất nội bộ từ téc",DATA_GOC!$B:$B,"&gt;="&amp;$D4600,DATA_GOC!$B:$B,"&lt;="&amp;$E4600))</f>
        <v/>
      </c>
      <c r="J4600" s="59">
        <f t="shared" si="28"/>
        <v>0</v>
      </c>
      <c r="K4600" s="59">
        <f t="shared" si="29"/>
        <v>0</v>
      </c>
      <c r="L4600" s="59">
        <f t="shared" si="30"/>
        <v>0</v>
      </c>
      <c r="M4600" s="59">
        <f t="shared" si="31"/>
        <v>0</v>
      </c>
    </row>
    <row r="4601" ht="15.0" hidden="1" customHeight="1">
      <c r="A4601" s="59">
        <f t="shared" si="20"/>
        <v>73</v>
      </c>
      <c r="B4601" s="59" t="str">
        <f t="shared" si="21"/>
        <v/>
      </c>
      <c r="C4601" s="59" t="str">
        <f t="shared" si="22"/>
        <v/>
      </c>
      <c r="D4601" s="45" t="str">
        <f t="shared" si="23"/>
        <v/>
      </c>
      <c r="E4601" s="45" t="str">
        <f t="shared" si="24"/>
        <v/>
      </c>
      <c r="F4601" s="59" t="str">
        <f t="shared" si="25"/>
        <v/>
      </c>
      <c r="G4601" s="59" t="str">
        <f t="shared" si="26"/>
        <v/>
      </c>
      <c r="H4601" s="59" t="str">
        <f t="shared" si="27"/>
        <v>Máy phát điện</v>
      </c>
      <c r="I4601" s="59" t="str">
        <f>IF(OR($A4601="",$C4601="",$D4601="",$E4601="",$H4601=""),"",SUMIFS(DATA_GOC!$H:$H,DATA_GOC!$A:$A,"BOM",DATA_GOC!$D:$D,$H4601,DATA_GOC!$E:$E,$C4601,DATA_GOC!$F:$F,"Xuất nội bộ từ téc",DATA_GOC!$B:$B,"&gt;="&amp;$D4601,DATA_GOC!$B:$B,"&lt;="&amp;$E4601))</f>
        <v/>
      </c>
      <c r="J4601" s="59">
        <f t="shared" si="28"/>
        <v>0</v>
      </c>
      <c r="K4601" s="59">
        <f t="shared" si="29"/>
        <v>0</v>
      </c>
      <c r="L4601" s="59">
        <f t="shared" si="30"/>
        <v>0</v>
      </c>
      <c r="M4601" s="59">
        <f t="shared" si="31"/>
        <v>0</v>
      </c>
    </row>
    <row r="4602" ht="15.0" hidden="1" customHeight="1">
      <c r="A4602" s="59">
        <f t="shared" si="20"/>
        <v>73</v>
      </c>
      <c r="B4602" s="59" t="str">
        <f t="shared" si="21"/>
        <v/>
      </c>
      <c r="C4602" s="59" t="str">
        <f t="shared" si="22"/>
        <v/>
      </c>
      <c r="D4602" s="45" t="str">
        <f t="shared" si="23"/>
        <v/>
      </c>
      <c r="E4602" s="45" t="str">
        <f t="shared" si="24"/>
        <v/>
      </c>
      <c r="F4602" s="59" t="str">
        <f t="shared" si="25"/>
        <v/>
      </c>
      <c r="G4602" s="59" t="str">
        <f t="shared" si="26"/>
        <v/>
      </c>
      <c r="H4602" s="59" t="str">
        <f t="shared" si="27"/>
        <v>Máy rải thảm</v>
      </c>
      <c r="I4602" s="59" t="str">
        <f>IF(OR($A4602="",$C4602="",$D4602="",$E4602="",$H4602=""),"",SUMIFS(DATA_GOC!$H:$H,DATA_GOC!$A:$A,"BOM",DATA_GOC!$D:$D,$H4602,DATA_GOC!$E:$E,$C4602,DATA_GOC!$F:$F,"Xuất nội bộ từ téc",DATA_GOC!$B:$B,"&gt;="&amp;$D4602,DATA_GOC!$B:$B,"&lt;="&amp;$E4602))</f>
        <v/>
      </c>
      <c r="J4602" s="59">
        <f t="shared" si="28"/>
        <v>0</v>
      </c>
      <c r="K4602" s="59">
        <f t="shared" si="29"/>
        <v>0</v>
      </c>
      <c r="L4602" s="59">
        <f t="shared" si="30"/>
        <v>0</v>
      </c>
      <c r="M4602" s="59">
        <f t="shared" si="31"/>
        <v>0</v>
      </c>
    </row>
    <row r="4603" ht="15.0" hidden="1" customHeight="1">
      <c r="A4603" s="59">
        <f t="shared" si="20"/>
        <v>73</v>
      </c>
      <c r="B4603" s="59" t="str">
        <f t="shared" si="21"/>
        <v/>
      </c>
      <c r="C4603" s="59" t="str">
        <f t="shared" si="22"/>
        <v/>
      </c>
      <c r="D4603" s="45" t="str">
        <f t="shared" si="23"/>
        <v/>
      </c>
      <c r="E4603" s="45" t="str">
        <f t="shared" si="24"/>
        <v/>
      </c>
      <c r="F4603" s="59" t="str">
        <f t="shared" si="25"/>
        <v/>
      </c>
      <c r="G4603" s="59" t="str">
        <f t="shared" si="26"/>
        <v/>
      </c>
      <c r="H4603" s="59" t="str">
        <f t="shared" si="27"/>
        <v>Xúc Đào</v>
      </c>
      <c r="I4603" s="59" t="str">
        <f>IF(OR($A4603="",$C4603="",$D4603="",$E4603="",$H4603=""),"",SUMIFS(DATA_GOC!$H:$H,DATA_GOC!$A:$A,"BOM",DATA_GOC!$D:$D,$H4603,DATA_GOC!$E:$E,$C4603,DATA_GOC!$F:$F,"Xuất nội bộ từ téc",DATA_GOC!$B:$B,"&gt;="&amp;$D4603,DATA_GOC!$B:$B,"&lt;="&amp;$E4603))</f>
        <v/>
      </c>
      <c r="J4603" s="59">
        <f t="shared" si="28"/>
        <v>0</v>
      </c>
      <c r="K4603" s="59">
        <f t="shared" si="29"/>
        <v>0</v>
      </c>
      <c r="L4603" s="59">
        <f t="shared" si="30"/>
        <v>0</v>
      </c>
      <c r="M4603" s="59">
        <f t="shared" si="31"/>
        <v>0</v>
      </c>
    </row>
    <row r="4604" ht="15.0" hidden="1" customHeight="1">
      <c r="A4604" s="59">
        <f t="shared" si="20"/>
        <v>73</v>
      </c>
      <c r="B4604" s="59" t="str">
        <f t="shared" si="21"/>
        <v/>
      </c>
      <c r="C4604" s="59" t="str">
        <f t="shared" si="22"/>
        <v/>
      </c>
      <c r="D4604" s="45" t="str">
        <f t="shared" si="23"/>
        <v/>
      </c>
      <c r="E4604" s="45" t="str">
        <f t="shared" si="24"/>
        <v/>
      </c>
      <c r="F4604" s="59" t="str">
        <f t="shared" si="25"/>
        <v/>
      </c>
      <c r="G4604" s="59" t="str">
        <f t="shared" si="26"/>
        <v/>
      </c>
      <c r="H4604" s="59" t="str">
        <f t="shared" si="27"/>
        <v>Xúclật asphalt</v>
      </c>
      <c r="I4604" s="59" t="str">
        <f>IF(OR($A4604="",$C4604="",$D4604="",$E4604="",$H4604=""),"",SUMIFS(DATA_GOC!$H:$H,DATA_GOC!$A:$A,"BOM",DATA_GOC!$D:$D,$H4604,DATA_GOC!$E:$E,$C4604,DATA_GOC!$F:$F,"Xuất nội bộ từ téc",DATA_GOC!$B:$B,"&gt;="&amp;$D4604,DATA_GOC!$B:$B,"&lt;="&amp;$E4604))</f>
        <v/>
      </c>
      <c r="J4604" s="59">
        <f t="shared" si="28"/>
        <v>0</v>
      </c>
      <c r="K4604" s="59">
        <f t="shared" si="29"/>
        <v>0</v>
      </c>
      <c r="L4604" s="59">
        <f t="shared" si="30"/>
        <v>0</v>
      </c>
      <c r="M4604" s="59">
        <f t="shared" si="31"/>
        <v>0</v>
      </c>
    </row>
    <row r="4605" ht="15.0" hidden="1" customHeight="1">
      <c r="A4605" s="59">
        <f t="shared" si="20"/>
        <v>73</v>
      </c>
      <c r="B4605" s="59" t="str">
        <f t="shared" si="21"/>
        <v/>
      </c>
      <c r="C4605" s="59" t="str">
        <f t="shared" si="22"/>
        <v/>
      </c>
      <c r="D4605" s="45" t="str">
        <f t="shared" si="23"/>
        <v/>
      </c>
      <c r="E4605" s="45" t="str">
        <f t="shared" si="24"/>
        <v/>
      </c>
      <c r="F4605" s="59" t="str">
        <f t="shared" si="25"/>
        <v/>
      </c>
      <c r="G4605" s="59" t="str">
        <f t="shared" si="26"/>
        <v/>
      </c>
      <c r="H4605" s="59" t="str">
        <f t="shared" si="27"/>
        <v>Xúclật855H</v>
      </c>
      <c r="I4605" s="59" t="str">
        <f>IF(OR($A4605="",$C4605="",$D4605="",$E4605="",$H4605=""),"",SUMIFS(DATA_GOC!$H:$H,DATA_GOC!$A:$A,"BOM",DATA_GOC!$D:$D,$H4605,DATA_GOC!$E:$E,$C4605,DATA_GOC!$F:$F,"Xuất nội bộ từ téc",DATA_GOC!$B:$B,"&gt;="&amp;$D4605,DATA_GOC!$B:$B,"&lt;="&amp;$E4605))</f>
        <v/>
      </c>
      <c r="J4605" s="59">
        <f t="shared" si="28"/>
        <v>0</v>
      </c>
      <c r="K4605" s="59">
        <f t="shared" si="29"/>
        <v>0</v>
      </c>
      <c r="L4605" s="59">
        <f t="shared" si="30"/>
        <v>0</v>
      </c>
      <c r="M4605" s="59">
        <f t="shared" si="31"/>
        <v>0</v>
      </c>
    </row>
    <row r="4606" ht="15.0" hidden="1" customHeight="1">
      <c r="A4606" s="59">
        <f t="shared" si="20"/>
        <v>73</v>
      </c>
      <c r="B4606" s="59" t="str">
        <f t="shared" si="21"/>
        <v/>
      </c>
      <c r="C4606" s="59" t="str">
        <f t="shared" si="22"/>
        <v/>
      </c>
      <c r="D4606" s="45" t="str">
        <f t="shared" si="23"/>
        <v/>
      </c>
      <c r="E4606" s="45" t="str">
        <f t="shared" si="24"/>
        <v/>
      </c>
      <c r="F4606" s="59" t="str">
        <f t="shared" si="25"/>
        <v/>
      </c>
      <c r="G4606" s="59" t="str">
        <f t="shared" si="26"/>
        <v/>
      </c>
      <c r="H4606" s="59" t="str">
        <f t="shared" si="27"/>
        <v>Xúclật855N</v>
      </c>
      <c r="I4606" s="59" t="str">
        <f>IF(OR($A4606="",$C4606="",$D4606="",$E4606="",$H4606=""),"",SUMIFS(DATA_GOC!$H:$H,DATA_GOC!$A:$A,"BOM",DATA_GOC!$D:$D,$H4606,DATA_GOC!$E:$E,$C4606,DATA_GOC!$F:$F,"Xuất nội bộ từ téc",DATA_GOC!$B:$B,"&gt;="&amp;$D4606,DATA_GOC!$B:$B,"&lt;="&amp;$E4606))</f>
        <v/>
      </c>
      <c r="J4606" s="59">
        <f t="shared" si="28"/>
        <v>0</v>
      </c>
      <c r="K4606" s="59">
        <f t="shared" si="29"/>
        <v>0</v>
      </c>
      <c r="L4606" s="59">
        <f t="shared" si="30"/>
        <v>0</v>
      </c>
      <c r="M4606" s="59">
        <f t="shared" si="31"/>
        <v>0</v>
      </c>
    </row>
    <row r="4607" ht="15.0" hidden="1" customHeight="1">
      <c r="A4607" s="59">
        <f t="shared" si="20"/>
        <v>73</v>
      </c>
      <c r="B4607" s="59" t="str">
        <f t="shared" si="21"/>
        <v/>
      </c>
      <c r="C4607" s="59" t="str">
        <f t="shared" si="22"/>
        <v/>
      </c>
      <c r="D4607" s="45" t="str">
        <f t="shared" si="23"/>
        <v/>
      </c>
      <c r="E4607" s="45" t="str">
        <f t="shared" si="24"/>
        <v/>
      </c>
      <c r="F4607" s="59" t="str">
        <f t="shared" si="25"/>
        <v/>
      </c>
      <c r="G4607" s="59" t="str">
        <f t="shared" si="26"/>
        <v/>
      </c>
      <c r="H4607" s="59" t="str">
        <f t="shared" si="27"/>
        <v>Cát nghiền</v>
      </c>
      <c r="I4607" s="59" t="str">
        <f>IF(OR($A4607="",$C4607="",$D4607="",$E4607="",$H4607=""),"",SUMIFS(DATA_GOC!$H:$H,DATA_GOC!$A:$A,"BOM",DATA_GOC!$D:$D,$H4607,DATA_GOC!$E:$E,$C4607,DATA_GOC!$F:$F,"Xuất nội bộ từ téc",DATA_GOC!$B:$B,"&gt;="&amp;$D4607,DATA_GOC!$B:$B,"&lt;="&amp;$E4607))</f>
        <v/>
      </c>
      <c r="J4607" s="59">
        <f t="shared" si="28"/>
        <v>0</v>
      </c>
      <c r="K4607" s="59">
        <f t="shared" si="29"/>
        <v>0</v>
      </c>
      <c r="L4607" s="59">
        <f t="shared" si="30"/>
        <v>0</v>
      </c>
      <c r="M4607" s="59">
        <f t="shared" si="31"/>
        <v>0</v>
      </c>
    </row>
    <row r="4608" ht="15.0" hidden="1" customHeight="1">
      <c r="A4608" s="59">
        <f t="shared" si="20"/>
        <v>73</v>
      </c>
      <c r="B4608" s="59" t="str">
        <f t="shared" si="21"/>
        <v/>
      </c>
      <c r="C4608" s="59" t="str">
        <f t="shared" si="22"/>
        <v/>
      </c>
      <c r="D4608" s="45" t="str">
        <f t="shared" si="23"/>
        <v/>
      </c>
      <c r="E4608" s="45" t="str">
        <f t="shared" si="24"/>
        <v/>
      </c>
      <c r="F4608" s="59" t="str">
        <f t="shared" si="25"/>
        <v/>
      </c>
      <c r="G4608" s="59" t="str">
        <f t="shared" si="26"/>
        <v/>
      </c>
      <c r="H4608" s="59" t="str">
        <f t="shared" si="27"/>
        <v>28C02973</v>
      </c>
      <c r="I4608" s="59" t="str">
        <f>IF(OR($A4608="",$C4608="",$D4608="",$E4608="",$H4608=""),"",SUMIFS(DATA_GOC!$H:$H,DATA_GOC!$A:$A,"BOM",DATA_GOC!$D:$D,$H4608,DATA_GOC!$E:$E,$C4608,DATA_GOC!$F:$F,"Xuất nội bộ từ téc",DATA_GOC!$B:$B,"&gt;="&amp;$D4608,DATA_GOC!$B:$B,"&lt;="&amp;$E4608))</f>
        <v/>
      </c>
      <c r="J4608" s="59">
        <f t="shared" si="28"/>
        <v>0</v>
      </c>
      <c r="K4608" s="59">
        <f t="shared" si="29"/>
        <v>0</v>
      </c>
      <c r="L4608" s="59">
        <f t="shared" si="30"/>
        <v>0</v>
      </c>
      <c r="M4608" s="59">
        <f t="shared" si="31"/>
        <v>0</v>
      </c>
    </row>
    <row r="4609" ht="15.0" hidden="1" customHeight="1">
      <c r="A4609" s="59">
        <f t="shared" si="20"/>
        <v>73</v>
      </c>
      <c r="B4609" s="59" t="str">
        <f t="shared" si="21"/>
        <v/>
      </c>
      <c r="C4609" s="59" t="str">
        <f t="shared" si="22"/>
        <v/>
      </c>
      <c r="D4609" s="45" t="str">
        <f t="shared" si="23"/>
        <v/>
      </c>
      <c r="E4609" s="45" t="str">
        <f t="shared" si="24"/>
        <v/>
      </c>
      <c r="F4609" s="59" t="str">
        <f t="shared" si="25"/>
        <v/>
      </c>
      <c r="G4609" s="59" t="str">
        <f t="shared" si="26"/>
        <v/>
      </c>
      <c r="H4609" s="59" t="str">
        <f t="shared" si="27"/>
        <v>28C03044</v>
      </c>
      <c r="I4609" s="59" t="str">
        <f>IF(OR($A4609="",$C4609="",$D4609="",$E4609="",$H4609=""),"",SUMIFS(DATA_GOC!$H:$H,DATA_GOC!$A:$A,"BOM",DATA_GOC!$D:$D,$H4609,DATA_GOC!$E:$E,$C4609,DATA_GOC!$F:$F,"Xuất nội bộ từ téc",DATA_GOC!$B:$B,"&gt;="&amp;$D4609,DATA_GOC!$B:$B,"&lt;="&amp;$E4609))</f>
        <v/>
      </c>
      <c r="J4609" s="59">
        <f t="shared" si="28"/>
        <v>0</v>
      </c>
      <c r="K4609" s="59">
        <f t="shared" si="29"/>
        <v>0</v>
      </c>
      <c r="L4609" s="59">
        <f t="shared" si="30"/>
        <v>0</v>
      </c>
      <c r="M4609" s="59">
        <f t="shared" si="31"/>
        <v>0</v>
      </c>
    </row>
    <row r="4610" ht="15.0" hidden="1" customHeight="1">
      <c r="A4610" s="59">
        <f t="shared" si="20"/>
        <v>73</v>
      </c>
      <c r="B4610" s="59" t="str">
        <f t="shared" si="21"/>
        <v/>
      </c>
      <c r="C4610" s="59" t="str">
        <f t="shared" si="22"/>
        <v/>
      </c>
      <c r="D4610" s="45" t="str">
        <f t="shared" si="23"/>
        <v/>
      </c>
      <c r="E4610" s="45" t="str">
        <f t="shared" si="24"/>
        <v/>
      </c>
      <c r="F4610" s="59" t="str">
        <f t="shared" si="25"/>
        <v/>
      </c>
      <c r="G4610" s="59" t="str">
        <f t="shared" si="26"/>
        <v/>
      </c>
      <c r="H4610" s="59" t="str">
        <f t="shared" si="27"/>
        <v>Máy lu lốp</v>
      </c>
      <c r="I4610" s="59" t="str">
        <f>IF(OR($A4610="",$C4610="",$D4610="",$E4610="",$H4610=""),"",SUMIFS(DATA_GOC!$H:$H,DATA_GOC!$A:$A,"BOM",DATA_GOC!$D:$D,$H4610,DATA_GOC!$E:$E,$C4610,DATA_GOC!$F:$F,"Xuất nội bộ từ téc",DATA_GOC!$B:$B,"&gt;="&amp;$D4610,DATA_GOC!$B:$B,"&lt;="&amp;$E4610))</f>
        <v/>
      </c>
      <c r="J4610" s="59">
        <f t="shared" si="28"/>
        <v>0</v>
      </c>
      <c r="K4610" s="59">
        <f t="shared" si="29"/>
        <v>0</v>
      </c>
      <c r="L4610" s="59">
        <f t="shared" si="30"/>
        <v>0</v>
      </c>
      <c r="M4610" s="59">
        <f t="shared" si="31"/>
        <v>0</v>
      </c>
    </row>
    <row r="4611" ht="15.0" hidden="1" customHeight="1">
      <c r="A4611" s="59">
        <f t="shared" si="20"/>
        <v>73</v>
      </c>
      <c r="B4611" s="59" t="str">
        <f t="shared" si="21"/>
        <v/>
      </c>
      <c r="C4611" s="59" t="str">
        <f t="shared" si="22"/>
        <v/>
      </c>
      <c r="D4611" s="45" t="str">
        <f t="shared" si="23"/>
        <v/>
      </c>
      <c r="E4611" s="45" t="str">
        <f t="shared" si="24"/>
        <v/>
      </c>
      <c r="F4611" s="59" t="str">
        <f t="shared" si="25"/>
        <v/>
      </c>
      <c r="G4611" s="59" t="str">
        <f t="shared" si="26"/>
        <v/>
      </c>
      <c r="H4611" s="59" t="str">
        <f t="shared" si="27"/>
        <v>Xe 600148</v>
      </c>
      <c r="I4611" s="59" t="str">
        <f>IF(OR($A4611="",$C4611="",$D4611="",$E4611="",$H4611=""),"",SUMIFS(DATA_GOC!$H:$H,DATA_GOC!$A:$A,"BOM",DATA_GOC!$D:$D,$H4611,DATA_GOC!$E:$E,$C4611,DATA_GOC!$F:$F,"Xuất nội bộ từ téc",DATA_GOC!$B:$B,"&gt;="&amp;$D4611,DATA_GOC!$B:$B,"&lt;="&amp;$E4611))</f>
        <v/>
      </c>
      <c r="J4611" s="59">
        <f t="shared" si="28"/>
        <v>0</v>
      </c>
      <c r="K4611" s="59">
        <f t="shared" si="29"/>
        <v>0</v>
      </c>
      <c r="L4611" s="59">
        <f t="shared" si="30"/>
        <v>0</v>
      </c>
      <c r="M4611" s="59">
        <f t="shared" si="31"/>
        <v>0</v>
      </c>
    </row>
    <row r="4612" ht="15.0" hidden="1" customHeight="1">
      <c r="A4612" s="59">
        <f t="shared" si="20"/>
        <v>73</v>
      </c>
      <c r="B4612" s="59" t="str">
        <f t="shared" si="21"/>
        <v/>
      </c>
      <c r="C4612" s="59" t="str">
        <f t="shared" si="22"/>
        <v/>
      </c>
      <c r="D4612" s="45" t="str">
        <f t="shared" si="23"/>
        <v/>
      </c>
      <c r="E4612" s="45" t="str">
        <f t="shared" si="24"/>
        <v/>
      </c>
      <c r="F4612" s="59" t="str">
        <f t="shared" si="25"/>
        <v/>
      </c>
      <c r="G4612" s="59" t="str">
        <f t="shared" si="26"/>
        <v/>
      </c>
      <c r="H4612" s="59" t="str">
        <f t="shared" si="27"/>
        <v>Xe ben mới</v>
      </c>
      <c r="I4612" s="59" t="str">
        <f>IF(OR($A4612="",$C4612="",$D4612="",$E4612="",$H4612=""),"",SUMIFS(DATA_GOC!$H:$H,DATA_GOC!$A:$A,"BOM",DATA_GOC!$D:$D,$H4612,DATA_GOC!$E:$E,$C4612,DATA_GOC!$F:$F,"Xuất nội bộ từ téc",DATA_GOC!$B:$B,"&gt;="&amp;$D4612,DATA_GOC!$B:$B,"&lt;="&amp;$E4612))</f>
        <v/>
      </c>
      <c r="J4612" s="59">
        <f t="shared" si="28"/>
        <v>0</v>
      </c>
      <c r="K4612" s="59">
        <f t="shared" si="29"/>
        <v>0</v>
      </c>
      <c r="L4612" s="59">
        <f t="shared" si="30"/>
        <v>0</v>
      </c>
      <c r="M4612" s="59">
        <f t="shared" si="31"/>
        <v>0</v>
      </c>
    </row>
    <row r="4613" ht="15.0" hidden="1" customHeight="1">
      <c r="A4613" s="59">
        <f t="shared" si="20"/>
        <v>74</v>
      </c>
      <c r="B4613" s="59" t="str">
        <f t="shared" si="21"/>
        <v/>
      </c>
      <c r="C4613" s="59" t="str">
        <f t="shared" si="22"/>
        <v/>
      </c>
      <c r="D4613" s="45" t="str">
        <f t="shared" si="23"/>
        <v/>
      </c>
      <c r="E4613" s="45" t="str">
        <f t="shared" si="24"/>
        <v/>
      </c>
      <c r="F4613" s="59" t="str">
        <f t="shared" si="25"/>
        <v/>
      </c>
      <c r="G4613" s="59" t="str">
        <f t="shared" si="26"/>
        <v/>
      </c>
      <c r="H4613" s="59" t="str">
        <f t="shared" si="27"/>
        <v>19H09482</v>
      </c>
      <c r="I4613" s="59" t="str">
        <f>IF(OR($A4613="",$C4613="",$D4613="",$E4613="",$H4613=""),"",SUMIFS(DATA_GOC!$H:$H,DATA_GOC!$A:$A,"BOM",DATA_GOC!$D:$D,$H4613,DATA_GOC!$E:$E,$C4613,DATA_GOC!$F:$F,"Xuất nội bộ từ téc",DATA_GOC!$B:$B,"&gt;="&amp;$D4613,DATA_GOC!$B:$B,"&lt;="&amp;$E4613))</f>
        <v/>
      </c>
      <c r="J4613" s="59">
        <f t="shared" si="28"/>
        <v>0</v>
      </c>
      <c r="K4613" s="59">
        <f t="shared" si="29"/>
        <v>0</v>
      </c>
      <c r="L4613" s="59">
        <f t="shared" si="30"/>
        <v>0</v>
      </c>
      <c r="M4613" s="59">
        <f t="shared" si="31"/>
        <v>0</v>
      </c>
    </row>
    <row r="4614" ht="15.0" hidden="1" customHeight="1">
      <c r="A4614" s="59">
        <f t="shared" si="20"/>
        <v>74</v>
      </c>
      <c r="B4614" s="59" t="str">
        <f t="shared" si="21"/>
        <v/>
      </c>
      <c r="C4614" s="59" t="str">
        <f t="shared" si="22"/>
        <v/>
      </c>
      <c r="D4614" s="45" t="str">
        <f t="shared" si="23"/>
        <v/>
      </c>
      <c r="E4614" s="45" t="str">
        <f t="shared" si="24"/>
        <v/>
      </c>
      <c r="F4614" s="59" t="str">
        <f t="shared" si="25"/>
        <v/>
      </c>
      <c r="G4614" s="59" t="str">
        <f t="shared" si="26"/>
        <v/>
      </c>
      <c r="H4614" s="59" t="str">
        <f t="shared" si="27"/>
        <v>28A30696</v>
      </c>
      <c r="I4614" s="59" t="str">
        <f>IF(OR($A4614="",$C4614="",$D4614="",$E4614="",$H4614=""),"",SUMIFS(DATA_GOC!$H:$H,DATA_GOC!$A:$A,"BOM",DATA_GOC!$D:$D,$H4614,DATA_GOC!$E:$E,$C4614,DATA_GOC!$F:$F,"Xuất nội bộ từ téc",DATA_GOC!$B:$B,"&gt;="&amp;$D4614,DATA_GOC!$B:$B,"&lt;="&amp;$E4614))</f>
        <v/>
      </c>
      <c r="J4614" s="59">
        <f t="shared" si="28"/>
        <v>0</v>
      </c>
      <c r="K4614" s="59">
        <f t="shared" si="29"/>
        <v>0</v>
      </c>
      <c r="L4614" s="59">
        <f t="shared" si="30"/>
        <v>0</v>
      </c>
      <c r="M4614" s="59">
        <f t="shared" si="31"/>
        <v>0</v>
      </c>
    </row>
    <row r="4615" ht="15.0" hidden="1" customHeight="1">
      <c r="A4615" s="59">
        <f t="shared" si="20"/>
        <v>74</v>
      </c>
      <c r="B4615" s="59" t="str">
        <f t="shared" si="21"/>
        <v/>
      </c>
      <c r="C4615" s="59" t="str">
        <f t="shared" si="22"/>
        <v/>
      </c>
      <c r="D4615" s="45" t="str">
        <f t="shared" si="23"/>
        <v/>
      </c>
      <c r="E4615" s="45" t="str">
        <f t="shared" si="24"/>
        <v/>
      </c>
      <c r="F4615" s="59" t="str">
        <f t="shared" si="25"/>
        <v/>
      </c>
      <c r="G4615" s="59" t="str">
        <f t="shared" si="26"/>
        <v/>
      </c>
      <c r="H4615" s="59" t="str">
        <f t="shared" si="27"/>
        <v>28C00462</v>
      </c>
      <c r="I4615" s="59" t="str">
        <f>IF(OR($A4615="",$C4615="",$D4615="",$E4615="",$H4615=""),"",SUMIFS(DATA_GOC!$H:$H,DATA_GOC!$A:$A,"BOM",DATA_GOC!$D:$D,$H4615,DATA_GOC!$E:$E,$C4615,DATA_GOC!$F:$F,"Xuất nội bộ từ téc",DATA_GOC!$B:$B,"&gt;="&amp;$D4615,DATA_GOC!$B:$B,"&lt;="&amp;$E4615))</f>
        <v/>
      </c>
      <c r="J4615" s="59">
        <f t="shared" si="28"/>
        <v>0</v>
      </c>
      <c r="K4615" s="59">
        <f t="shared" si="29"/>
        <v>0</v>
      </c>
      <c r="L4615" s="59">
        <f t="shared" si="30"/>
        <v>0</v>
      </c>
      <c r="M4615" s="59">
        <f t="shared" si="31"/>
        <v>0</v>
      </c>
    </row>
    <row r="4616" ht="15.0" hidden="1" customHeight="1">
      <c r="A4616" s="59">
        <f t="shared" si="20"/>
        <v>74</v>
      </c>
      <c r="B4616" s="59" t="str">
        <f t="shared" si="21"/>
        <v/>
      </c>
      <c r="C4616" s="59" t="str">
        <f t="shared" si="22"/>
        <v/>
      </c>
      <c r="D4616" s="45" t="str">
        <f t="shared" si="23"/>
        <v/>
      </c>
      <c r="E4616" s="45" t="str">
        <f t="shared" si="24"/>
        <v/>
      </c>
      <c r="F4616" s="59" t="str">
        <f t="shared" si="25"/>
        <v/>
      </c>
      <c r="G4616" s="59" t="str">
        <f t="shared" si="26"/>
        <v/>
      </c>
      <c r="H4616" s="59" t="str">
        <f t="shared" si="27"/>
        <v>28C01165</v>
      </c>
      <c r="I4616" s="59" t="str">
        <f>IF(OR($A4616="",$C4616="",$D4616="",$E4616="",$H4616=""),"",SUMIFS(DATA_GOC!$H:$H,DATA_GOC!$A:$A,"BOM",DATA_GOC!$D:$D,$H4616,DATA_GOC!$E:$E,$C4616,DATA_GOC!$F:$F,"Xuất nội bộ từ téc",DATA_GOC!$B:$B,"&gt;="&amp;$D4616,DATA_GOC!$B:$B,"&lt;="&amp;$E4616))</f>
        <v/>
      </c>
      <c r="J4616" s="59">
        <f t="shared" si="28"/>
        <v>0</v>
      </c>
      <c r="K4616" s="59">
        <f t="shared" si="29"/>
        <v>0</v>
      </c>
      <c r="L4616" s="59">
        <f t="shared" si="30"/>
        <v>0</v>
      </c>
      <c r="M4616" s="59">
        <f t="shared" si="31"/>
        <v>0</v>
      </c>
    </row>
    <row r="4617" ht="15.0" hidden="1" customHeight="1">
      <c r="A4617" s="59">
        <f t="shared" si="20"/>
        <v>74</v>
      </c>
      <c r="B4617" s="59" t="str">
        <f t="shared" si="21"/>
        <v/>
      </c>
      <c r="C4617" s="59" t="str">
        <f t="shared" si="22"/>
        <v/>
      </c>
      <c r="D4617" s="45" t="str">
        <f t="shared" si="23"/>
        <v/>
      </c>
      <c r="E4617" s="45" t="str">
        <f t="shared" si="24"/>
        <v/>
      </c>
      <c r="F4617" s="59" t="str">
        <f t="shared" si="25"/>
        <v/>
      </c>
      <c r="G4617" s="59" t="str">
        <f t="shared" si="26"/>
        <v/>
      </c>
      <c r="H4617" s="59" t="str">
        <f t="shared" si="27"/>
        <v>28C01406</v>
      </c>
      <c r="I4617" s="59" t="str">
        <f>IF(OR($A4617="",$C4617="",$D4617="",$E4617="",$H4617=""),"",SUMIFS(DATA_GOC!$H:$H,DATA_GOC!$A:$A,"BOM",DATA_GOC!$D:$D,$H4617,DATA_GOC!$E:$E,$C4617,DATA_GOC!$F:$F,"Xuất nội bộ từ téc",DATA_GOC!$B:$B,"&gt;="&amp;$D4617,DATA_GOC!$B:$B,"&lt;="&amp;$E4617))</f>
        <v/>
      </c>
      <c r="J4617" s="59">
        <f t="shared" si="28"/>
        <v>0</v>
      </c>
      <c r="K4617" s="59">
        <f t="shared" si="29"/>
        <v>0</v>
      </c>
      <c r="L4617" s="59">
        <f t="shared" si="30"/>
        <v>0</v>
      </c>
      <c r="M4617" s="59">
        <f t="shared" si="31"/>
        <v>0</v>
      </c>
    </row>
    <row r="4618" ht="15.0" hidden="1" customHeight="1">
      <c r="A4618" s="59">
        <f t="shared" si="20"/>
        <v>74</v>
      </c>
      <c r="B4618" s="59" t="str">
        <f t="shared" si="21"/>
        <v/>
      </c>
      <c r="C4618" s="59" t="str">
        <f t="shared" si="22"/>
        <v/>
      </c>
      <c r="D4618" s="45" t="str">
        <f t="shared" si="23"/>
        <v/>
      </c>
      <c r="E4618" s="45" t="str">
        <f t="shared" si="24"/>
        <v/>
      </c>
      <c r="F4618" s="59" t="str">
        <f t="shared" si="25"/>
        <v/>
      </c>
      <c r="G4618" s="59" t="str">
        <f t="shared" si="26"/>
        <v/>
      </c>
      <c r="H4618" s="59" t="str">
        <f t="shared" si="27"/>
        <v>28C01544</v>
      </c>
      <c r="I4618" s="59" t="str">
        <f>IF(OR($A4618="",$C4618="",$D4618="",$E4618="",$H4618=""),"",SUMIFS(DATA_GOC!$H:$H,DATA_GOC!$A:$A,"BOM",DATA_GOC!$D:$D,$H4618,DATA_GOC!$E:$E,$C4618,DATA_GOC!$F:$F,"Xuất nội bộ từ téc",DATA_GOC!$B:$B,"&gt;="&amp;$D4618,DATA_GOC!$B:$B,"&lt;="&amp;$E4618))</f>
        <v/>
      </c>
      <c r="J4618" s="59">
        <f t="shared" si="28"/>
        <v>0</v>
      </c>
      <c r="K4618" s="59">
        <f t="shared" si="29"/>
        <v>0</v>
      </c>
      <c r="L4618" s="59">
        <f t="shared" si="30"/>
        <v>0</v>
      </c>
      <c r="M4618" s="59">
        <f t="shared" si="31"/>
        <v>0</v>
      </c>
    </row>
    <row r="4619" ht="15.0" hidden="1" customHeight="1">
      <c r="A4619" s="59">
        <f t="shared" si="20"/>
        <v>74</v>
      </c>
      <c r="B4619" s="59" t="str">
        <f t="shared" si="21"/>
        <v/>
      </c>
      <c r="C4619" s="59" t="str">
        <f t="shared" si="22"/>
        <v/>
      </c>
      <c r="D4619" s="45" t="str">
        <f t="shared" si="23"/>
        <v/>
      </c>
      <c r="E4619" s="45" t="str">
        <f t="shared" si="24"/>
        <v/>
      </c>
      <c r="F4619" s="59" t="str">
        <f t="shared" si="25"/>
        <v/>
      </c>
      <c r="G4619" s="59" t="str">
        <f t="shared" si="26"/>
        <v/>
      </c>
      <c r="H4619" s="59" t="str">
        <f t="shared" si="27"/>
        <v>28C01622</v>
      </c>
      <c r="I4619" s="59" t="str">
        <f>IF(OR($A4619="",$C4619="",$D4619="",$E4619="",$H4619=""),"",SUMIFS(DATA_GOC!$H:$H,DATA_GOC!$A:$A,"BOM",DATA_GOC!$D:$D,$H4619,DATA_GOC!$E:$E,$C4619,DATA_GOC!$F:$F,"Xuất nội bộ từ téc",DATA_GOC!$B:$B,"&gt;="&amp;$D4619,DATA_GOC!$B:$B,"&lt;="&amp;$E4619))</f>
        <v/>
      </c>
      <c r="J4619" s="59">
        <f t="shared" si="28"/>
        <v>0</v>
      </c>
      <c r="K4619" s="59">
        <f t="shared" si="29"/>
        <v>0</v>
      </c>
      <c r="L4619" s="59">
        <f t="shared" si="30"/>
        <v>0</v>
      </c>
      <c r="M4619" s="59">
        <f t="shared" si="31"/>
        <v>0</v>
      </c>
    </row>
    <row r="4620" ht="15.0" hidden="1" customHeight="1">
      <c r="A4620" s="59">
        <f t="shared" si="20"/>
        <v>74</v>
      </c>
      <c r="B4620" s="59" t="str">
        <f t="shared" si="21"/>
        <v/>
      </c>
      <c r="C4620" s="59" t="str">
        <f t="shared" si="22"/>
        <v/>
      </c>
      <c r="D4620" s="45" t="str">
        <f t="shared" si="23"/>
        <v/>
      </c>
      <c r="E4620" s="45" t="str">
        <f t="shared" si="24"/>
        <v/>
      </c>
      <c r="F4620" s="59" t="str">
        <f t="shared" si="25"/>
        <v/>
      </c>
      <c r="G4620" s="59" t="str">
        <f t="shared" si="26"/>
        <v/>
      </c>
      <c r="H4620" s="59" t="str">
        <f t="shared" si="27"/>
        <v>28C01647</v>
      </c>
      <c r="I4620" s="59" t="str">
        <f>IF(OR($A4620="",$C4620="",$D4620="",$E4620="",$H4620=""),"",SUMIFS(DATA_GOC!$H:$H,DATA_GOC!$A:$A,"BOM",DATA_GOC!$D:$D,$H4620,DATA_GOC!$E:$E,$C4620,DATA_GOC!$F:$F,"Xuất nội bộ từ téc",DATA_GOC!$B:$B,"&gt;="&amp;$D4620,DATA_GOC!$B:$B,"&lt;="&amp;$E4620))</f>
        <v/>
      </c>
      <c r="J4620" s="59">
        <f t="shared" si="28"/>
        <v>0</v>
      </c>
      <c r="K4620" s="59">
        <f t="shared" si="29"/>
        <v>0</v>
      </c>
      <c r="L4620" s="59">
        <f t="shared" si="30"/>
        <v>0</v>
      </c>
      <c r="M4620" s="59">
        <f t="shared" si="31"/>
        <v>0</v>
      </c>
    </row>
    <row r="4621" ht="15.0" hidden="1" customHeight="1">
      <c r="A4621" s="59">
        <f t="shared" si="20"/>
        <v>74</v>
      </c>
      <c r="B4621" s="59" t="str">
        <f t="shared" si="21"/>
        <v/>
      </c>
      <c r="C4621" s="59" t="str">
        <f t="shared" si="22"/>
        <v/>
      </c>
      <c r="D4621" s="45" t="str">
        <f t="shared" si="23"/>
        <v/>
      </c>
      <c r="E4621" s="45" t="str">
        <f t="shared" si="24"/>
        <v/>
      </c>
      <c r="F4621" s="59" t="str">
        <f t="shared" si="25"/>
        <v/>
      </c>
      <c r="G4621" s="59" t="str">
        <f t="shared" si="26"/>
        <v/>
      </c>
      <c r="H4621" s="59" t="str">
        <f t="shared" si="27"/>
        <v>28C01731</v>
      </c>
      <c r="I4621" s="59" t="str">
        <f>IF(OR($A4621="",$C4621="",$D4621="",$E4621="",$H4621=""),"",SUMIFS(DATA_GOC!$H:$H,DATA_GOC!$A:$A,"BOM",DATA_GOC!$D:$D,$H4621,DATA_GOC!$E:$E,$C4621,DATA_GOC!$F:$F,"Xuất nội bộ từ téc",DATA_GOC!$B:$B,"&gt;="&amp;$D4621,DATA_GOC!$B:$B,"&lt;="&amp;$E4621))</f>
        <v/>
      </c>
      <c r="J4621" s="59">
        <f t="shared" si="28"/>
        <v>0</v>
      </c>
      <c r="K4621" s="59">
        <f t="shared" si="29"/>
        <v>0</v>
      </c>
      <c r="L4621" s="59">
        <f t="shared" si="30"/>
        <v>0</v>
      </c>
      <c r="M4621" s="59">
        <f t="shared" si="31"/>
        <v>0</v>
      </c>
    </row>
    <row r="4622" ht="15.0" hidden="1" customHeight="1">
      <c r="A4622" s="59">
        <f t="shared" si="20"/>
        <v>74</v>
      </c>
      <c r="B4622" s="59" t="str">
        <f t="shared" si="21"/>
        <v/>
      </c>
      <c r="C4622" s="59" t="str">
        <f t="shared" si="22"/>
        <v/>
      </c>
      <c r="D4622" s="45" t="str">
        <f t="shared" si="23"/>
        <v/>
      </c>
      <c r="E4622" s="45" t="str">
        <f t="shared" si="24"/>
        <v/>
      </c>
      <c r="F4622" s="59" t="str">
        <f t="shared" si="25"/>
        <v/>
      </c>
      <c r="G4622" s="59" t="str">
        <f t="shared" si="26"/>
        <v/>
      </c>
      <c r="H4622" s="59" t="str">
        <f t="shared" si="27"/>
        <v>28C01743</v>
      </c>
      <c r="I4622" s="59" t="str">
        <f>IF(OR($A4622="",$C4622="",$D4622="",$E4622="",$H4622=""),"",SUMIFS(DATA_GOC!$H:$H,DATA_GOC!$A:$A,"BOM",DATA_GOC!$D:$D,$H4622,DATA_GOC!$E:$E,$C4622,DATA_GOC!$F:$F,"Xuất nội bộ từ téc",DATA_GOC!$B:$B,"&gt;="&amp;$D4622,DATA_GOC!$B:$B,"&lt;="&amp;$E4622))</f>
        <v/>
      </c>
      <c r="J4622" s="59">
        <f t="shared" si="28"/>
        <v>0</v>
      </c>
      <c r="K4622" s="59">
        <f t="shared" si="29"/>
        <v>0</v>
      </c>
      <c r="L4622" s="59">
        <f t="shared" si="30"/>
        <v>0</v>
      </c>
      <c r="M4622" s="59">
        <f t="shared" si="31"/>
        <v>0</v>
      </c>
    </row>
    <row r="4623" ht="15.0" hidden="1" customHeight="1">
      <c r="A4623" s="59">
        <f t="shared" si="20"/>
        <v>74</v>
      </c>
      <c r="B4623" s="59" t="str">
        <f t="shared" si="21"/>
        <v/>
      </c>
      <c r="C4623" s="59" t="str">
        <f t="shared" si="22"/>
        <v/>
      </c>
      <c r="D4623" s="45" t="str">
        <f t="shared" si="23"/>
        <v/>
      </c>
      <c r="E4623" s="45" t="str">
        <f t="shared" si="24"/>
        <v/>
      </c>
      <c r="F4623" s="59" t="str">
        <f t="shared" si="25"/>
        <v/>
      </c>
      <c r="G4623" s="59" t="str">
        <f t="shared" si="26"/>
        <v/>
      </c>
      <c r="H4623" s="59" t="str">
        <f t="shared" si="27"/>
        <v>28C02106</v>
      </c>
      <c r="I4623" s="59" t="str">
        <f>IF(OR($A4623="",$C4623="",$D4623="",$E4623="",$H4623=""),"",SUMIFS(DATA_GOC!$H:$H,DATA_GOC!$A:$A,"BOM",DATA_GOC!$D:$D,$H4623,DATA_GOC!$E:$E,$C4623,DATA_GOC!$F:$F,"Xuất nội bộ từ téc",DATA_GOC!$B:$B,"&gt;="&amp;$D4623,DATA_GOC!$B:$B,"&lt;="&amp;$E4623))</f>
        <v/>
      </c>
      <c r="J4623" s="59">
        <f t="shared" si="28"/>
        <v>0</v>
      </c>
      <c r="K4623" s="59">
        <f t="shared" si="29"/>
        <v>0</v>
      </c>
      <c r="L4623" s="59">
        <f t="shared" si="30"/>
        <v>0</v>
      </c>
      <c r="M4623" s="59">
        <f t="shared" si="31"/>
        <v>0</v>
      </c>
    </row>
    <row r="4624" ht="15.0" hidden="1" customHeight="1">
      <c r="A4624" s="59">
        <f t="shared" si="20"/>
        <v>74</v>
      </c>
      <c r="B4624" s="59" t="str">
        <f t="shared" si="21"/>
        <v/>
      </c>
      <c r="C4624" s="59" t="str">
        <f t="shared" si="22"/>
        <v/>
      </c>
      <c r="D4624" s="45" t="str">
        <f t="shared" si="23"/>
        <v/>
      </c>
      <c r="E4624" s="45" t="str">
        <f t="shared" si="24"/>
        <v/>
      </c>
      <c r="F4624" s="59" t="str">
        <f t="shared" si="25"/>
        <v/>
      </c>
      <c r="G4624" s="59" t="str">
        <f t="shared" si="26"/>
        <v/>
      </c>
      <c r="H4624" s="59" t="str">
        <f t="shared" si="27"/>
        <v>28C02410</v>
      </c>
      <c r="I4624" s="59" t="str">
        <f>IF(OR($A4624="",$C4624="",$D4624="",$E4624="",$H4624=""),"",SUMIFS(DATA_GOC!$H:$H,DATA_GOC!$A:$A,"BOM",DATA_GOC!$D:$D,$H4624,DATA_GOC!$E:$E,$C4624,DATA_GOC!$F:$F,"Xuất nội bộ từ téc",DATA_GOC!$B:$B,"&gt;="&amp;$D4624,DATA_GOC!$B:$B,"&lt;="&amp;$E4624))</f>
        <v/>
      </c>
      <c r="J4624" s="59">
        <f t="shared" si="28"/>
        <v>0</v>
      </c>
      <c r="K4624" s="59">
        <f t="shared" si="29"/>
        <v>0</v>
      </c>
      <c r="L4624" s="59">
        <f t="shared" si="30"/>
        <v>0</v>
      </c>
      <c r="M4624" s="59">
        <f t="shared" si="31"/>
        <v>0</v>
      </c>
    </row>
    <row r="4625" ht="15.0" hidden="1" customHeight="1">
      <c r="A4625" s="59">
        <f t="shared" si="20"/>
        <v>74</v>
      </c>
      <c r="B4625" s="59" t="str">
        <f t="shared" si="21"/>
        <v/>
      </c>
      <c r="C4625" s="59" t="str">
        <f t="shared" si="22"/>
        <v/>
      </c>
      <c r="D4625" s="45" t="str">
        <f t="shared" si="23"/>
        <v/>
      </c>
      <c r="E4625" s="45" t="str">
        <f t="shared" si="24"/>
        <v/>
      </c>
      <c r="F4625" s="59" t="str">
        <f t="shared" si="25"/>
        <v/>
      </c>
      <c r="G4625" s="59" t="str">
        <f t="shared" si="26"/>
        <v/>
      </c>
      <c r="H4625" s="59" t="str">
        <f t="shared" si="27"/>
        <v>28C02545</v>
      </c>
      <c r="I4625" s="59" t="str">
        <f>IF(OR($A4625="",$C4625="",$D4625="",$E4625="",$H4625=""),"",SUMIFS(DATA_GOC!$H:$H,DATA_GOC!$A:$A,"BOM",DATA_GOC!$D:$D,$H4625,DATA_GOC!$E:$E,$C4625,DATA_GOC!$F:$F,"Xuất nội bộ từ téc",DATA_GOC!$B:$B,"&gt;="&amp;$D4625,DATA_GOC!$B:$B,"&lt;="&amp;$E4625))</f>
        <v/>
      </c>
      <c r="J4625" s="59">
        <f t="shared" si="28"/>
        <v>0</v>
      </c>
      <c r="K4625" s="59">
        <f t="shared" si="29"/>
        <v>0</v>
      </c>
      <c r="L4625" s="59">
        <f t="shared" si="30"/>
        <v>0</v>
      </c>
      <c r="M4625" s="59">
        <f t="shared" si="31"/>
        <v>0</v>
      </c>
    </row>
    <row r="4626" ht="15.0" hidden="1" customHeight="1">
      <c r="A4626" s="59">
        <f t="shared" si="20"/>
        <v>74</v>
      </c>
      <c r="B4626" s="59" t="str">
        <f t="shared" si="21"/>
        <v/>
      </c>
      <c r="C4626" s="59" t="str">
        <f t="shared" si="22"/>
        <v/>
      </c>
      <c r="D4626" s="45" t="str">
        <f t="shared" si="23"/>
        <v/>
      </c>
      <c r="E4626" s="45" t="str">
        <f t="shared" si="24"/>
        <v/>
      </c>
      <c r="F4626" s="59" t="str">
        <f t="shared" si="25"/>
        <v/>
      </c>
      <c r="G4626" s="59" t="str">
        <f t="shared" si="26"/>
        <v/>
      </c>
      <c r="H4626" s="59" t="str">
        <f t="shared" si="27"/>
        <v>28C02574</v>
      </c>
      <c r="I4626" s="59" t="str">
        <f>IF(OR($A4626="",$C4626="",$D4626="",$E4626="",$H4626=""),"",SUMIFS(DATA_GOC!$H:$H,DATA_GOC!$A:$A,"BOM",DATA_GOC!$D:$D,$H4626,DATA_GOC!$E:$E,$C4626,DATA_GOC!$F:$F,"Xuất nội bộ từ téc",DATA_GOC!$B:$B,"&gt;="&amp;$D4626,DATA_GOC!$B:$B,"&lt;="&amp;$E4626))</f>
        <v/>
      </c>
      <c r="J4626" s="59">
        <f t="shared" si="28"/>
        <v>0</v>
      </c>
      <c r="K4626" s="59">
        <f t="shared" si="29"/>
        <v>0</v>
      </c>
      <c r="L4626" s="59">
        <f t="shared" si="30"/>
        <v>0</v>
      </c>
      <c r="M4626" s="59">
        <f t="shared" si="31"/>
        <v>0</v>
      </c>
    </row>
    <row r="4627" ht="15.0" hidden="1" customHeight="1">
      <c r="A4627" s="59">
        <f t="shared" si="20"/>
        <v>74</v>
      </c>
      <c r="B4627" s="59" t="str">
        <f t="shared" si="21"/>
        <v/>
      </c>
      <c r="C4627" s="59" t="str">
        <f t="shared" si="22"/>
        <v/>
      </c>
      <c r="D4627" s="45" t="str">
        <f t="shared" si="23"/>
        <v/>
      </c>
      <c r="E4627" s="45" t="str">
        <f t="shared" si="24"/>
        <v/>
      </c>
      <c r="F4627" s="59" t="str">
        <f t="shared" si="25"/>
        <v/>
      </c>
      <c r="G4627" s="59" t="str">
        <f t="shared" si="26"/>
        <v/>
      </c>
      <c r="H4627" s="59" t="str">
        <f t="shared" si="27"/>
        <v>28C02770</v>
      </c>
      <c r="I4627" s="59" t="str">
        <f>IF(OR($A4627="",$C4627="",$D4627="",$E4627="",$H4627=""),"",SUMIFS(DATA_GOC!$H:$H,DATA_GOC!$A:$A,"BOM",DATA_GOC!$D:$D,$H4627,DATA_GOC!$E:$E,$C4627,DATA_GOC!$F:$F,"Xuất nội bộ từ téc",DATA_GOC!$B:$B,"&gt;="&amp;$D4627,DATA_GOC!$B:$B,"&lt;="&amp;$E4627))</f>
        <v/>
      </c>
      <c r="J4627" s="59">
        <f t="shared" si="28"/>
        <v>0</v>
      </c>
      <c r="K4627" s="59">
        <f t="shared" si="29"/>
        <v>0</v>
      </c>
      <c r="L4627" s="59">
        <f t="shared" si="30"/>
        <v>0</v>
      </c>
      <c r="M4627" s="59">
        <f t="shared" si="31"/>
        <v>0</v>
      </c>
    </row>
    <row r="4628" ht="15.0" hidden="1" customHeight="1">
      <c r="A4628" s="59">
        <f t="shared" si="20"/>
        <v>74</v>
      </c>
      <c r="B4628" s="59" t="str">
        <f t="shared" si="21"/>
        <v/>
      </c>
      <c r="C4628" s="59" t="str">
        <f t="shared" si="22"/>
        <v/>
      </c>
      <c r="D4628" s="45" t="str">
        <f t="shared" si="23"/>
        <v/>
      </c>
      <c r="E4628" s="45" t="str">
        <f t="shared" si="24"/>
        <v/>
      </c>
      <c r="F4628" s="59" t="str">
        <f t="shared" si="25"/>
        <v/>
      </c>
      <c r="G4628" s="59" t="str">
        <f t="shared" si="26"/>
        <v/>
      </c>
      <c r="H4628" s="59" t="str">
        <f t="shared" si="27"/>
        <v>28C02986</v>
      </c>
      <c r="I4628" s="59" t="str">
        <f>IF(OR($A4628="",$C4628="",$D4628="",$E4628="",$H4628=""),"",SUMIFS(DATA_GOC!$H:$H,DATA_GOC!$A:$A,"BOM",DATA_GOC!$D:$D,$H4628,DATA_GOC!$E:$E,$C4628,DATA_GOC!$F:$F,"Xuất nội bộ từ téc",DATA_GOC!$B:$B,"&gt;="&amp;$D4628,DATA_GOC!$B:$B,"&lt;="&amp;$E4628))</f>
        <v/>
      </c>
      <c r="J4628" s="59">
        <f t="shared" si="28"/>
        <v>0</v>
      </c>
      <c r="K4628" s="59">
        <f t="shared" si="29"/>
        <v>0</v>
      </c>
      <c r="L4628" s="59">
        <f t="shared" si="30"/>
        <v>0</v>
      </c>
      <c r="M4628" s="59">
        <f t="shared" si="31"/>
        <v>0</v>
      </c>
    </row>
    <row r="4629" ht="15.0" hidden="1" customHeight="1">
      <c r="A4629" s="59">
        <f t="shared" si="20"/>
        <v>74</v>
      </c>
      <c r="B4629" s="59" t="str">
        <f t="shared" si="21"/>
        <v/>
      </c>
      <c r="C4629" s="59" t="str">
        <f t="shared" si="22"/>
        <v/>
      </c>
      <c r="D4629" s="45" t="str">
        <f t="shared" si="23"/>
        <v/>
      </c>
      <c r="E4629" s="45" t="str">
        <f t="shared" si="24"/>
        <v/>
      </c>
      <c r="F4629" s="59" t="str">
        <f t="shared" si="25"/>
        <v/>
      </c>
      <c r="G4629" s="59" t="str">
        <f t="shared" si="26"/>
        <v/>
      </c>
      <c r="H4629" s="59" t="str">
        <f t="shared" si="27"/>
        <v>28C03261</v>
      </c>
      <c r="I4629" s="59" t="str">
        <f>IF(OR($A4629="",$C4629="",$D4629="",$E4629="",$H4629=""),"",SUMIFS(DATA_GOC!$H:$H,DATA_GOC!$A:$A,"BOM",DATA_GOC!$D:$D,$H4629,DATA_GOC!$E:$E,$C4629,DATA_GOC!$F:$F,"Xuất nội bộ từ téc",DATA_GOC!$B:$B,"&gt;="&amp;$D4629,DATA_GOC!$B:$B,"&lt;="&amp;$E4629))</f>
        <v/>
      </c>
      <c r="J4629" s="59">
        <f t="shared" si="28"/>
        <v>0</v>
      </c>
      <c r="K4629" s="59">
        <f t="shared" si="29"/>
        <v>0</v>
      </c>
      <c r="L4629" s="59">
        <f t="shared" si="30"/>
        <v>0</v>
      </c>
      <c r="M4629" s="59">
        <f t="shared" si="31"/>
        <v>0</v>
      </c>
    </row>
    <row r="4630" ht="15.0" hidden="1" customHeight="1">
      <c r="A4630" s="59">
        <f t="shared" si="20"/>
        <v>74</v>
      </c>
      <c r="B4630" s="59" t="str">
        <f t="shared" si="21"/>
        <v/>
      </c>
      <c r="C4630" s="59" t="str">
        <f t="shared" si="22"/>
        <v/>
      </c>
      <c r="D4630" s="45" t="str">
        <f t="shared" si="23"/>
        <v/>
      </c>
      <c r="E4630" s="45" t="str">
        <f t="shared" si="24"/>
        <v/>
      </c>
      <c r="F4630" s="59" t="str">
        <f t="shared" si="25"/>
        <v/>
      </c>
      <c r="G4630" s="59" t="str">
        <f t="shared" si="26"/>
        <v/>
      </c>
      <c r="H4630" s="59" t="str">
        <f t="shared" si="27"/>
        <v>28C03323</v>
      </c>
      <c r="I4630" s="59" t="str">
        <f>IF(OR($A4630="",$C4630="",$D4630="",$E4630="",$H4630=""),"",SUMIFS(DATA_GOC!$H:$H,DATA_GOC!$A:$A,"BOM",DATA_GOC!$D:$D,$H4630,DATA_GOC!$E:$E,$C4630,DATA_GOC!$F:$F,"Xuất nội bộ từ téc",DATA_GOC!$B:$B,"&gt;="&amp;$D4630,DATA_GOC!$B:$B,"&lt;="&amp;$E4630))</f>
        <v/>
      </c>
      <c r="J4630" s="59">
        <f t="shared" si="28"/>
        <v>0</v>
      </c>
      <c r="K4630" s="59">
        <f t="shared" si="29"/>
        <v>0</v>
      </c>
      <c r="L4630" s="59">
        <f t="shared" si="30"/>
        <v>0</v>
      </c>
      <c r="M4630" s="59">
        <f t="shared" si="31"/>
        <v>0</v>
      </c>
    </row>
    <row r="4631" ht="15.0" hidden="1" customHeight="1">
      <c r="A4631" s="59">
        <f t="shared" si="20"/>
        <v>74</v>
      </c>
      <c r="B4631" s="59" t="str">
        <f t="shared" si="21"/>
        <v/>
      </c>
      <c r="C4631" s="59" t="str">
        <f t="shared" si="22"/>
        <v/>
      </c>
      <c r="D4631" s="45" t="str">
        <f t="shared" si="23"/>
        <v/>
      </c>
      <c r="E4631" s="45" t="str">
        <f t="shared" si="24"/>
        <v/>
      </c>
      <c r="F4631" s="59" t="str">
        <f t="shared" si="25"/>
        <v/>
      </c>
      <c r="G4631" s="59" t="str">
        <f t="shared" si="26"/>
        <v/>
      </c>
      <c r="H4631" s="59" t="str">
        <f t="shared" si="27"/>
        <v>28C03385</v>
      </c>
      <c r="I4631" s="59" t="str">
        <f>IF(OR($A4631="",$C4631="",$D4631="",$E4631="",$H4631=""),"",SUMIFS(DATA_GOC!$H:$H,DATA_GOC!$A:$A,"BOM",DATA_GOC!$D:$D,$H4631,DATA_GOC!$E:$E,$C4631,DATA_GOC!$F:$F,"Xuất nội bộ từ téc",DATA_GOC!$B:$B,"&gt;="&amp;$D4631,DATA_GOC!$B:$B,"&lt;="&amp;$E4631))</f>
        <v/>
      </c>
      <c r="J4631" s="59">
        <f t="shared" si="28"/>
        <v>0</v>
      </c>
      <c r="K4631" s="59">
        <f t="shared" si="29"/>
        <v>0</v>
      </c>
      <c r="L4631" s="59">
        <f t="shared" si="30"/>
        <v>0</v>
      </c>
      <c r="M4631" s="59">
        <f t="shared" si="31"/>
        <v>0</v>
      </c>
    </row>
    <row r="4632" ht="15.0" hidden="1" customHeight="1">
      <c r="A4632" s="59">
        <f t="shared" si="20"/>
        <v>74</v>
      </c>
      <c r="B4632" s="59" t="str">
        <f t="shared" si="21"/>
        <v/>
      </c>
      <c r="C4632" s="59" t="str">
        <f t="shared" si="22"/>
        <v/>
      </c>
      <c r="D4632" s="45" t="str">
        <f t="shared" si="23"/>
        <v/>
      </c>
      <c r="E4632" s="45" t="str">
        <f t="shared" si="24"/>
        <v/>
      </c>
      <c r="F4632" s="59" t="str">
        <f t="shared" si="25"/>
        <v/>
      </c>
      <c r="G4632" s="59" t="str">
        <f t="shared" si="26"/>
        <v/>
      </c>
      <c r="H4632" s="59" t="str">
        <f t="shared" si="27"/>
        <v>28C03652</v>
      </c>
      <c r="I4632" s="59" t="str">
        <f>IF(OR($A4632="",$C4632="",$D4632="",$E4632="",$H4632=""),"",SUMIFS(DATA_GOC!$H:$H,DATA_GOC!$A:$A,"BOM",DATA_GOC!$D:$D,$H4632,DATA_GOC!$E:$E,$C4632,DATA_GOC!$F:$F,"Xuất nội bộ từ téc",DATA_GOC!$B:$B,"&gt;="&amp;$D4632,DATA_GOC!$B:$B,"&lt;="&amp;$E4632))</f>
        <v/>
      </c>
      <c r="J4632" s="59">
        <f t="shared" si="28"/>
        <v>0</v>
      </c>
      <c r="K4632" s="59">
        <f t="shared" si="29"/>
        <v>0</v>
      </c>
      <c r="L4632" s="59">
        <f t="shared" si="30"/>
        <v>0</v>
      </c>
      <c r="M4632" s="59">
        <f t="shared" si="31"/>
        <v>0</v>
      </c>
    </row>
    <row r="4633" ht="15.0" hidden="1" customHeight="1">
      <c r="A4633" s="59">
        <f t="shared" si="20"/>
        <v>74</v>
      </c>
      <c r="B4633" s="59" t="str">
        <f t="shared" si="21"/>
        <v/>
      </c>
      <c r="C4633" s="59" t="str">
        <f t="shared" si="22"/>
        <v/>
      </c>
      <c r="D4633" s="45" t="str">
        <f t="shared" si="23"/>
        <v/>
      </c>
      <c r="E4633" s="45" t="str">
        <f t="shared" si="24"/>
        <v/>
      </c>
      <c r="F4633" s="59" t="str">
        <f t="shared" si="25"/>
        <v/>
      </c>
      <c r="G4633" s="59" t="str">
        <f t="shared" si="26"/>
        <v/>
      </c>
      <c r="H4633" s="59" t="str">
        <f t="shared" si="27"/>
        <v>28C03695</v>
      </c>
      <c r="I4633" s="59" t="str">
        <f>IF(OR($A4633="",$C4633="",$D4633="",$E4633="",$H4633=""),"",SUMIFS(DATA_GOC!$H:$H,DATA_GOC!$A:$A,"BOM",DATA_GOC!$D:$D,$H4633,DATA_GOC!$E:$E,$C4633,DATA_GOC!$F:$F,"Xuất nội bộ từ téc",DATA_GOC!$B:$B,"&gt;="&amp;$D4633,DATA_GOC!$B:$B,"&lt;="&amp;$E4633))</f>
        <v/>
      </c>
      <c r="J4633" s="59">
        <f t="shared" si="28"/>
        <v>0</v>
      </c>
      <c r="K4633" s="59">
        <f t="shared" si="29"/>
        <v>0</v>
      </c>
      <c r="L4633" s="59">
        <f t="shared" si="30"/>
        <v>0</v>
      </c>
      <c r="M4633" s="59">
        <f t="shared" si="31"/>
        <v>0</v>
      </c>
    </row>
    <row r="4634" ht="15.0" hidden="1" customHeight="1">
      <c r="A4634" s="59">
        <f t="shared" si="20"/>
        <v>74</v>
      </c>
      <c r="B4634" s="59" t="str">
        <f t="shared" si="21"/>
        <v/>
      </c>
      <c r="C4634" s="59" t="str">
        <f t="shared" si="22"/>
        <v/>
      </c>
      <c r="D4634" s="45" t="str">
        <f t="shared" si="23"/>
        <v/>
      </c>
      <c r="E4634" s="45" t="str">
        <f t="shared" si="24"/>
        <v/>
      </c>
      <c r="F4634" s="59" t="str">
        <f t="shared" si="25"/>
        <v/>
      </c>
      <c r="G4634" s="59" t="str">
        <f t="shared" si="26"/>
        <v/>
      </c>
      <c r="H4634" s="59" t="str">
        <f t="shared" si="27"/>
        <v>28C03927</v>
      </c>
      <c r="I4634" s="59" t="str">
        <f>IF(OR($A4634="",$C4634="",$D4634="",$E4634="",$H4634=""),"",SUMIFS(DATA_GOC!$H:$H,DATA_GOC!$A:$A,"BOM",DATA_GOC!$D:$D,$H4634,DATA_GOC!$E:$E,$C4634,DATA_GOC!$F:$F,"Xuất nội bộ từ téc",DATA_GOC!$B:$B,"&gt;="&amp;$D4634,DATA_GOC!$B:$B,"&lt;="&amp;$E4634))</f>
        <v/>
      </c>
      <c r="J4634" s="59">
        <f t="shared" si="28"/>
        <v>0</v>
      </c>
      <c r="K4634" s="59">
        <f t="shared" si="29"/>
        <v>0</v>
      </c>
      <c r="L4634" s="59">
        <f t="shared" si="30"/>
        <v>0</v>
      </c>
      <c r="M4634" s="59">
        <f t="shared" si="31"/>
        <v>0</v>
      </c>
    </row>
    <row r="4635" ht="15.0" hidden="1" customHeight="1">
      <c r="A4635" s="59">
        <f t="shared" si="20"/>
        <v>74</v>
      </c>
      <c r="B4635" s="59" t="str">
        <f t="shared" si="21"/>
        <v/>
      </c>
      <c r="C4635" s="59" t="str">
        <f t="shared" si="22"/>
        <v/>
      </c>
      <c r="D4635" s="45" t="str">
        <f t="shared" si="23"/>
        <v/>
      </c>
      <c r="E4635" s="45" t="str">
        <f t="shared" si="24"/>
        <v/>
      </c>
      <c r="F4635" s="59" t="str">
        <f t="shared" si="25"/>
        <v/>
      </c>
      <c r="G4635" s="59" t="str">
        <f t="shared" si="26"/>
        <v/>
      </c>
      <c r="H4635" s="59" t="str">
        <f t="shared" si="27"/>
        <v>28C04509</v>
      </c>
      <c r="I4635" s="59" t="str">
        <f>IF(OR($A4635="",$C4635="",$D4635="",$E4635="",$H4635=""),"",SUMIFS(DATA_GOC!$H:$H,DATA_GOC!$A:$A,"BOM",DATA_GOC!$D:$D,$H4635,DATA_GOC!$E:$E,$C4635,DATA_GOC!$F:$F,"Xuất nội bộ từ téc",DATA_GOC!$B:$B,"&gt;="&amp;$D4635,DATA_GOC!$B:$B,"&lt;="&amp;$E4635))</f>
        <v/>
      </c>
      <c r="J4635" s="59">
        <f t="shared" si="28"/>
        <v>0</v>
      </c>
      <c r="K4635" s="59">
        <f t="shared" si="29"/>
        <v>0</v>
      </c>
      <c r="L4635" s="59">
        <f t="shared" si="30"/>
        <v>0</v>
      </c>
      <c r="M4635" s="59">
        <f t="shared" si="31"/>
        <v>0</v>
      </c>
    </row>
    <row r="4636" ht="15.0" hidden="1" customHeight="1">
      <c r="A4636" s="59">
        <f t="shared" si="20"/>
        <v>74</v>
      </c>
      <c r="B4636" s="59" t="str">
        <f t="shared" si="21"/>
        <v/>
      </c>
      <c r="C4636" s="59" t="str">
        <f t="shared" si="22"/>
        <v/>
      </c>
      <c r="D4636" s="45" t="str">
        <f t="shared" si="23"/>
        <v/>
      </c>
      <c r="E4636" s="45" t="str">
        <f t="shared" si="24"/>
        <v/>
      </c>
      <c r="F4636" s="59" t="str">
        <f t="shared" si="25"/>
        <v/>
      </c>
      <c r="G4636" s="59" t="str">
        <f t="shared" si="26"/>
        <v/>
      </c>
      <c r="H4636" s="59" t="str">
        <f t="shared" si="27"/>
        <v>28C04536</v>
      </c>
      <c r="I4636" s="59" t="str">
        <f>IF(OR($A4636="",$C4636="",$D4636="",$E4636="",$H4636=""),"",SUMIFS(DATA_GOC!$H:$H,DATA_GOC!$A:$A,"BOM",DATA_GOC!$D:$D,$H4636,DATA_GOC!$E:$E,$C4636,DATA_GOC!$F:$F,"Xuất nội bộ từ téc",DATA_GOC!$B:$B,"&gt;="&amp;$D4636,DATA_GOC!$B:$B,"&lt;="&amp;$E4636))</f>
        <v/>
      </c>
      <c r="J4636" s="59">
        <f t="shared" si="28"/>
        <v>0</v>
      </c>
      <c r="K4636" s="59">
        <f t="shared" si="29"/>
        <v>0</v>
      </c>
      <c r="L4636" s="59">
        <f t="shared" si="30"/>
        <v>0</v>
      </c>
      <c r="M4636" s="59">
        <f t="shared" si="31"/>
        <v>0</v>
      </c>
    </row>
    <row r="4637" ht="15.0" hidden="1" customHeight="1">
      <c r="A4637" s="59">
        <f t="shared" si="20"/>
        <v>74</v>
      </c>
      <c r="B4637" s="59" t="str">
        <f t="shared" si="21"/>
        <v/>
      </c>
      <c r="C4637" s="59" t="str">
        <f t="shared" si="22"/>
        <v/>
      </c>
      <c r="D4637" s="45" t="str">
        <f t="shared" si="23"/>
        <v/>
      </c>
      <c r="E4637" s="45" t="str">
        <f t="shared" si="24"/>
        <v/>
      </c>
      <c r="F4637" s="59" t="str">
        <f t="shared" si="25"/>
        <v/>
      </c>
      <c r="G4637" s="59" t="str">
        <f t="shared" si="26"/>
        <v/>
      </c>
      <c r="H4637" s="59" t="str">
        <f t="shared" si="27"/>
        <v>28C04576</v>
      </c>
      <c r="I4637" s="59" t="str">
        <f>IF(OR($A4637="",$C4637="",$D4637="",$E4637="",$H4637=""),"",SUMIFS(DATA_GOC!$H:$H,DATA_GOC!$A:$A,"BOM",DATA_GOC!$D:$D,$H4637,DATA_GOC!$E:$E,$C4637,DATA_GOC!$F:$F,"Xuất nội bộ từ téc",DATA_GOC!$B:$B,"&gt;="&amp;$D4637,DATA_GOC!$B:$B,"&lt;="&amp;$E4637))</f>
        <v/>
      </c>
      <c r="J4637" s="59">
        <f t="shared" si="28"/>
        <v>0</v>
      </c>
      <c r="K4637" s="59">
        <f t="shared" si="29"/>
        <v>0</v>
      </c>
      <c r="L4637" s="59">
        <f t="shared" si="30"/>
        <v>0</v>
      </c>
      <c r="M4637" s="59">
        <f t="shared" si="31"/>
        <v>0</v>
      </c>
    </row>
    <row r="4638" ht="15.0" hidden="1" customHeight="1">
      <c r="A4638" s="59">
        <f t="shared" si="20"/>
        <v>74</v>
      </c>
      <c r="B4638" s="59" t="str">
        <f t="shared" si="21"/>
        <v/>
      </c>
      <c r="C4638" s="59" t="str">
        <f t="shared" si="22"/>
        <v/>
      </c>
      <c r="D4638" s="45" t="str">
        <f t="shared" si="23"/>
        <v/>
      </c>
      <c r="E4638" s="45" t="str">
        <f t="shared" si="24"/>
        <v/>
      </c>
      <c r="F4638" s="59" t="str">
        <f t="shared" si="25"/>
        <v/>
      </c>
      <c r="G4638" s="59" t="str">
        <f t="shared" si="26"/>
        <v/>
      </c>
      <c r="H4638" s="59" t="str">
        <f t="shared" si="27"/>
        <v>28C05090</v>
      </c>
      <c r="I4638" s="59" t="str">
        <f>IF(OR($A4638="",$C4638="",$D4638="",$E4638="",$H4638=""),"",SUMIFS(DATA_GOC!$H:$H,DATA_GOC!$A:$A,"BOM",DATA_GOC!$D:$D,$H4638,DATA_GOC!$E:$E,$C4638,DATA_GOC!$F:$F,"Xuất nội bộ từ téc",DATA_GOC!$B:$B,"&gt;="&amp;$D4638,DATA_GOC!$B:$B,"&lt;="&amp;$E4638))</f>
        <v/>
      </c>
      <c r="J4638" s="59">
        <f t="shared" si="28"/>
        <v>0</v>
      </c>
      <c r="K4638" s="59">
        <f t="shared" si="29"/>
        <v>0</v>
      </c>
      <c r="L4638" s="59">
        <f t="shared" si="30"/>
        <v>0</v>
      </c>
      <c r="M4638" s="59">
        <f t="shared" si="31"/>
        <v>0</v>
      </c>
    </row>
    <row r="4639" ht="15.0" hidden="1" customHeight="1">
      <c r="A4639" s="59">
        <f t="shared" si="20"/>
        <v>74</v>
      </c>
      <c r="B4639" s="59" t="str">
        <f t="shared" si="21"/>
        <v/>
      </c>
      <c r="C4639" s="59" t="str">
        <f t="shared" si="22"/>
        <v/>
      </c>
      <c r="D4639" s="45" t="str">
        <f t="shared" si="23"/>
        <v/>
      </c>
      <c r="E4639" s="45" t="str">
        <f t="shared" si="24"/>
        <v/>
      </c>
      <c r="F4639" s="59" t="str">
        <f t="shared" si="25"/>
        <v/>
      </c>
      <c r="G4639" s="59" t="str">
        <f t="shared" si="26"/>
        <v/>
      </c>
      <c r="H4639" s="59" t="str">
        <f t="shared" si="27"/>
        <v>28C05345</v>
      </c>
      <c r="I4639" s="59" t="str">
        <f>IF(OR($A4639="",$C4639="",$D4639="",$E4639="",$H4639=""),"",SUMIFS(DATA_GOC!$H:$H,DATA_GOC!$A:$A,"BOM",DATA_GOC!$D:$D,$H4639,DATA_GOC!$E:$E,$C4639,DATA_GOC!$F:$F,"Xuất nội bộ từ téc",DATA_GOC!$B:$B,"&gt;="&amp;$D4639,DATA_GOC!$B:$B,"&lt;="&amp;$E4639))</f>
        <v/>
      </c>
      <c r="J4639" s="59">
        <f t="shared" si="28"/>
        <v>0</v>
      </c>
      <c r="K4639" s="59">
        <f t="shared" si="29"/>
        <v>0</v>
      </c>
      <c r="L4639" s="59">
        <f t="shared" si="30"/>
        <v>0</v>
      </c>
      <c r="M4639" s="59">
        <f t="shared" si="31"/>
        <v>0</v>
      </c>
    </row>
    <row r="4640" ht="15.0" hidden="1" customHeight="1">
      <c r="A4640" s="59">
        <f t="shared" si="20"/>
        <v>74</v>
      </c>
      <c r="B4640" s="59" t="str">
        <f t="shared" si="21"/>
        <v/>
      </c>
      <c r="C4640" s="59" t="str">
        <f t="shared" si="22"/>
        <v/>
      </c>
      <c r="D4640" s="45" t="str">
        <f t="shared" si="23"/>
        <v/>
      </c>
      <c r="E4640" s="45" t="str">
        <f t="shared" si="24"/>
        <v/>
      </c>
      <c r="F4640" s="59" t="str">
        <f t="shared" si="25"/>
        <v/>
      </c>
      <c r="G4640" s="59" t="str">
        <f t="shared" si="26"/>
        <v/>
      </c>
      <c r="H4640" s="59" t="str">
        <f t="shared" si="27"/>
        <v>28C05661</v>
      </c>
      <c r="I4640" s="59" t="str">
        <f>IF(OR($A4640="",$C4640="",$D4640="",$E4640="",$H4640=""),"",SUMIFS(DATA_GOC!$H:$H,DATA_GOC!$A:$A,"BOM",DATA_GOC!$D:$D,$H4640,DATA_GOC!$E:$E,$C4640,DATA_GOC!$F:$F,"Xuất nội bộ từ téc",DATA_GOC!$B:$B,"&gt;="&amp;$D4640,DATA_GOC!$B:$B,"&lt;="&amp;$E4640))</f>
        <v/>
      </c>
      <c r="J4640" s="59">
        <f t="shared" si="28"/>
        <v>0</v>
      </c>
      <c r="K4640" s="59">
        <f t="shared" si="29"/>
        <v>0</v>
      </c>
      <c r="L4640" s="59">
        <f t="shared" si="30"/>
        <v>0</v>
      </c>
      <c r="M4640" s="59">
        <f t="shared" si="31"/>
        <v>0</v>
      </c>
    </row>
    <row r="4641" ht="15.0" hidden="1" customHeight="1">
      <c r="A4641" s="59">
        <f t="shared" si="20"/>
        <v>74</v>
      </c>
      <c r="B4641" s="59" t="str">
        <f t="shared" si="21"/>
        <v/>
      </c>
      <c r="C4641" s="59" t="str">
        <f t="shared" si="22"/>
        <v/>
      </c>
      <c r="D4641" s="45" t="str">
        <f t="shared" si="23"/>
        <v/>
      </c>
      <c r="E4641" s="45" t="str">
        <f t="shared" si="24"/>
        <v/>
      </c>
      <c r="F4641" s="59" t="str">
        <f t="shared" si="25"/>
        <v/>
      </c>
      <c r="G4641" s="59" t="str">
        <f t="shared" si="26"/>
        <v/>
      </c>
      <c r="H4641" s="59" t="str">
        <f t="shared" si="27"/>
        <v>28C05739</v>
      </c>
      <c r="I4641" s="59" t="str">
        <f>IF(OR($A4641="",$C4641="",$D4641="",$E4641="",$H4641=""),"",SUMIFS(DATA_GOC!$H:$H,DATA_GOC!$A:$A,"BOM",DATA_GOC!$D:$D,$H4641,DATA_GOC!$E:$E,$C4641,DATA_GOC!$F:$F,"Xuất nội bộ từ téc",DATA_GOC!$B:$B,"&gt;="&amp;$D4641,DATA_GOC!$B:$B,"&lt;="&amp;$E4641))</f>
        <v/>
      </c>
      <c r="J4641" s="59">
        <f t="shared" si="28"/>
        <v>0</v>
      </c>
      <c r="K4641" s="59">
        <f t="shared" si="29"/>
        <v>0</v>
      </c>
      <c r="L4641" s="59">
        <f t="shared" si="30"/>
        <v>0</v>
      </c>
      <c r="M4641" s="59">
        <f t="shared" si="31"/>
        <v>0</v>
      </c>
    </row>
    <row r="4642" ht="15.0" hidden="1" customHeight="1">
      <c r="A4642" s="59">
        <f t="shared" si="20"/>
        <v>74</v>
      </c>
      <c r="B4642" s="59" t="str">
        <f t="shared" si="21"/>
        <v/>
      </c>
      <c r="C4642" s="59" t="str">
        <f t="shared" si="22"/>
        <v/>
      </c>
      <c r="D4642" s="45" t="str">
        <f t="shared" si="23"/>
        <v/>
      </c>
      <c r="E4642" s="45" t="str">
        <f t="shared" si="24"/>
        <v/>
      </c>
      <c r="F4642" s="59" t="str">
        <f t="shared" si="25"/>
        <v/>
      </c>
      <c r="G4642" s="59" t="str">
        <f t="shared" si="26"/>
        <v/>
      </c>
      <c r="H4642" s="59" t="str">
        <f t="shared" si="27"/>
        <v>28C06369</v>
      </c>
      <c r="I4642" s="59" t="str">
        <f>IF(OR($A4642="",$C4642="",$D4642="",$E4642="",$H4642=""),"",SUMIFS(DATA_GOC!$H:$H,DATA_GOC!$A:$A,"BOM",DATA_GOC!$D:$D,$H4642,DATA_GOC!$E:$E,$C4642,DATA_GOC!$F:$F,"Xuất nội bộ từ téc",DATA_GOC!$B:$B,"&gt;="&amp;$D4642,DATA_GOC!$B:$B,"&lt;="&amp;$E4642))</f>
        <v/>
      </c>
      <c r="J4642" s="59">
        <f t="shared" si="28"/>
        <v>0</v>
      </c>
      <c r="K4642" s="59">
        <f t="shared" si="29"/>
        <v>0</v>
      </c>
      <c r="L4642" s="59">
        <f t="shared" si="30"/>
        <v>0</v>
      </c>
      <c r="M4642" s="59">
        <f t="shared" si="31"/>
        <v>0</v>
      </c>
    </row>
    <row r="4643" ht="15.0" hidden="1" customHeight="1">
      <c r="A4643" s="59">
        <f t="shared" si="20"/>
        <v>74</v>
      </c>
      <c r="B4643" s="59" t="str">
        <f t="shared" si="21"/>
        <v/>
      </c>
      <c r="C4643" s="59" t="str">
        <f t="shared" si="22"/>
        <v/>
      </c>
      <c r="D4643" s="45" t="str">
        <f t="shared" si="23"/>
        <v/>
      </c>
      <c r="E4643" s="45" t="str">
        <f t="shared" si="24"/>
        <v/>
      </c>
      <c r="F4643" s="59" t="str">
        <f t="shared" si="25"/>
        <v/>
      </c>
      <c r="G4643" s="59" t="str">
        <f t="shared" si="26"/>
        <v/>
      </c>
      <c r="H4643" s="59" t="str">
        <f t="shared" si="27"/>
        <v>28C06447</v>
      </c>
      <c r="I4643" s="59" t="str">
        <f>IF(OR($A4643="",$C4643="",$D4643="",$E4643="",$H4643=""),"",SUMIFS(DATA_GOC!$H:$H,DATA_GOC!$A:$A,"BOM",DATA_GOC!$D:$D,$H4643,DATA_GOC!$E:$E,$C4643,DATA_GOC!$F:$F,"Xuất nội bộ từ téc",DATA_GOC!$B:$B,"&gt;="&amp;$D4643,DATA_GOC!$B:$B,"&lt;="&amp;$E4643))</f>
        <v/>
      </c>
      <c r="J4643" s="59">
        <f t="shared" si="28"/>
        <v>0</v>
      </c>
      <c r="K4643" s="59">
        <f t="shared" si="29"/>
        <v>0</v>
      </c>
      <c r="L4643" s="59">
        <f t="shared" si="30"/>
        <v>0</v>
      </c>
      <c r="M4643" s="59">
        <f t="shared" si="31"/>
        <v>0</v>
      </c>
    </row>
    <row r="4644" ht="15.0" hidden="1" customHeight="1">
      <c r="A4644" s="59">
        <f t="shared" si="20"/>
        <v>74</v>
      </c>
      <c r="B4644" s="59" t="str">
        <f t="shared" si="21"/>
        <v/>
      </c>
      <c r="C4644" s="59" t="str">
        <f t="shared" si="22"/>
        <v/>
      </c>
      <c r="D4644" s="45" t="str">
        <f t="shared" si="23"/>
        <v/>
      </c>
      <c r="E4644" s="45" t="str">
        <f t="shared" si="24"/>
        <v/>
      </c>
      <c r="F4644" s="59" t="str">
        <f t="shared" si="25"/>
        <v/>
      </c>
      <c r="G4644" s="59" t="str">
        <f t="shared" si="26"/>
        <v/>
      </c>
      <c r="H4644" s="59" t="str">
        <f t="shared" si="27"/>
        <v>28H00003</v>
      </c>
      <c r="I4644" s="59" t="str">
        <f>IF(OR($A4644="",$C4644="",$D4644="",$E4644="",$H4644=""),"",SUMIFS(DATA_GOC!$H:$H,DATA_GOC!$A:$A,"BOM",DATA_GOC!$D:$D,$H4644,DATA_GOC!$E:$E,$C4644,DATA_GOC!$F:$F,"Xuất nội bộ từ téc",DATA_GOC!$B:$B,"&gt;="&amp;$D4644,DATA_GOC!$B:$B,"&lt;="&amp;$E4644))</f>
        <v/>
      </c>
      <c r="J4644" s="59">
        <f t="shared" si="28"/>
        <v>0</v>
      </c>
      <c r="K4644" s="59">
        <f t="shared" si="29"/>
        <v>0</v>
      </c>
      <c r="L4644" s="59">
        <f t="shared" si="30"/>
        <v>0</v>
      </c>
      <c r="M4644" s="59">
        <f t="shared" si="31"/>
        <v>0</v>
      </c>
    </row>
    <row r="4645" ht="15.0" hidden="1" customHeight="1">
      <c r="A4645" s="59">
        <f t="shared" si="20"/>
        <v>74</v>
      </c>
      <c r="B4645" s="59" t="str">
        <f t="shared" si="21"/>
        <v/>
      </c>
      <c r="C4645" s="59" t="str">
        <f t="shared" si="22"/>
        <v/>
      </c>
      <c r="D4645" s="45" t="str">
        <f t="shared" si="23"/>
        <v/>
      </c>
      <c r="E4645" s="45" t="str">
        <f t="shared" si="24"/>
        <v/>
      </c>
      <c r="F4645" s="59" t="str">
        <f t="shared" si="25"/>
        <v/>
      </c>
      <c r="G4645" s="59" t="str">
        <f t="shared" si="26"/>
        <v/>
      </c>
      <c r="H4645" s="59" t="str">
        <f t="shared" si="27"/>
        <v>28H00061</v>
      </c>
      <c r="I4645" s="59" t="str">
        <f>IF(OR($A4645="",$C4645="",$D4645="",$E4645="",$H4645=""),"",SUMIFS(DATA_GOC!$H:$H,DATA_GOC!$A:$A,"BOM",DATA_GOC!$D:$D,$H4645,DATA_GOC!$E:$E,$C4645,DATA_GOC!$F:$F,"Xuất nội bộ từ téc",DATA_GOC!$B:$B,"&gt;="&amp;$D4645,DATA_GOC!$B:$B,"&lt;="&amp;$E4645))</f>
        <v/>
      </c>
      <c r="J4645" s="59">
        <f t="shared" si="28"/>
        <v>0</v>
      </c>
      <c r="K4645" s="59">
        <f t="shared" si="29"/>
        <v>0</v>
      </c>
      <c r="L4645" s="59">
        <f t="shared" si="30"/>
        <v>0</v>
      </c>
      <c r="M4645" s="59">
        <f t="shared" si="31"/>
        <v>0</v>
      </c>
    </row>
    <row r="4646" ht="15.0" hidden="1" customHeight="1">
      <c r="A4646" s="59">
        <f t="shared" si="20"/>
        <v>74</v>
      </c>
      <c r="B4646" s="59" t="str">
        <f t="shared" si="21"/>
        <v/>
      </c>
      <c r="C4646" s="59" t="str">
        <f t="shared" si="22"/>
        <v/>
      </c>
      <c r="D4646" s="45" t="str">
        <f t="shared" si="23"/>
        <v/>
      </c>
      <c r="E4646" s="45" t="str">
        <f t="shared" si="24"/>
        <v/>
      </c>
      <c r="F4646" s="59" t="str">
        <f t="shared" si="25"/>
        <v/>
      </c>
      <c r="G4646" s="59" t="str">
        <f t="shared" si="26"/>
        <v/>
      </c>
      <c r="H4646" s="59" t="str">
        <f t="shared" si="27"/>
        <v>28H00354</v>
      </c>
      <c r="I4646" s="59" t="str">
        <f>IF(OR($A4646="",$C4646="",$D4646="",$E4646="",$H4646=""),"",SUMIFS(DATA_GOC!$H:$H,DATA_GOC!$A:$A,"BOM",DATA_GOC!$D:$D,$H4646,DATA_GOC!$E:$E,$C4646,DATA_GOC!$F:$F,"Xuất nội bộ từ téc",DATA_GOC!$B:$B,"&gt;="&amp;$D4646,DATA_GOC!$B:$B,"&lt;="&amp;$E4646))</f>
        <v/>
      </c>
      <c r="J4646" s="59">
        <f t="shared" si="28"/>
        <v>0</v>
      </c>
      <c r="K4646" s="59">
        <f t="shared" si="29"/>
        <v>0</v>
      </c>
      <c r="L4646" s="59">
        <f t="shared" si="30"/>
        <v>0</v>
      </c>
      <c r="M4646" s="59">
        <f t="shared" si="31"/>
        <v>0</v>
      </c>
    </row>
    <row r="4647" ht="15.0" hidden="1" customHeight="1">
      <c r="A4647" s="59">
        <f t="shared" si="20"/>
        <v>74</v>
      </c>
      <c r="B4647" s="59" t="str">
        <f t="shared" si="21"/>
        <v/>
      </c>
      <c r="C4647" s="59" t="str">
        <f t="shared" si="22"/>
        <v/>
      </c>
      <c r="D4647" s="45" t="str">
        <f t="shared" si="23"/>
        <v/>
      </c>
      <c r="E4647" s="45" t="str">
        <f t="shared" si="24"/>
        <v/>
      </c>
      <c r="F4647" s="59" t="str">
        <f t="shared" si="25"/>
        <v/>
      </c>
      <c r="G4647" s="59" t="str">
        <f t="shared" si="26"/>
        <v/>
      </c>
      <c r="H4647" s="59" t="str">
        <f t="shared" si="27"/>
        <v>28H00603</v>
      </c>
      <c r="I4647" s="59" t="str">
        <f>IF(OR($A4647="",$C4647="",$D4647="",$E4647="",$H4647=""),"",SUMIFS(DATA_GOC!$H:$H,DATA_GOC!$A:$A,"BOM",DATA_GOC!$D:$D,$H4647,DATA_GOC!$E:$E,$C4647,DATA_GOC!$F:$F,"Xuất nội bộ từ téc",DATA_GOC!$B:$B,"&gt;="&amp;$D4647,DATA_GOC!$B:$B,"&lt;="&amp;$E4647))</f>
        <v/>
      </c>
      <c r="J4647" s="59">
        <f t="shared" si="28"/>
        <v>0</v>
      </c>
      <c r="K4647" s="59">
        <f t="shared" si="29"/>
        <v>0</v>
      </c>
      <c r="L4647" s="59">
        <f t="shared" si="30"/>
        <v>0</v>
      </c>
      <c r="M4647" s="59">
        <f t="shared" si="31"/>
        <v>0</v>
      </c>
    </row>
    <row r="4648" ht="15.0" hidden="1" customHeight="1">
      <c r="A4648" s="59">
        <f t="shared" si="20"/>
        <v>74</v>
      </c>
      <c r="B4648" s="59" t="str">
        <f t="shared" si="21"/>
        <v/>
      </c>
      <c r="C4648" s="59" t="str">
        <f t="shared" si="22"/>
        <v/>
      </c>
      <c r="D4648" s="45" t="str">
        <f t="shared" si="23"/>
        <v/>
      </c>
      <c r="E4648" s="45" t="str">
        <f t="shared" si="24"/>
        <v/>
      </c>
      <c r="F4648" s="59" t="str">
        <f t="shared" si="25"/>
        <v/>
      </c>
      <c r="G4648" s="59" t="str">
        <f t="shared" si="26"/>
        <v/>
      </c>
      <c r="H4648" s="59" t="str">
        <f t="shared" si="27"/>
        <v>28H00609</v>
      </c>
      <c r="I4648" s="59" t="str">
        <f>IF(OR($A4648="",$C4648="",$D4648="",$E4648="",$H4648=""),"",SUMIFS(DATA_GOC!$H:$H,DATA_GOC!$A:$A,"BOM",DATA_GOC!$D:$D,$H4648,DATA_GOC!$E:$E,$C4648,DATA_GOC!$F:$F,"Xuất nội bộ từ téc",DATA_GOC!$B:$B,"&gt;="&amp;$D4648,DATA_GOC!$B:$B,"&lt;="&amp;$E4648))</f>
        <v/>
      </c>
      <c r="J4648" s="59">
        <f t="shared" si="28"/>
        <v>0</v>
      </c>
      <c r="K4648" s="59">
        <f t="shared" si="29"/>
        <v>0</v>
      </c>
      <c r="L4648" s="59">
        <f t="shared" si="30"/>
        <v>0</v>
      </c>
      <c r="M4648" s="59">
        <f t="shared" si="31"/>
        <v>0</v>
      </c>
    </row>
    <row r="4649" ht="15.0" hidden="1" customHeight="1">
      <c r="A4649" s="59">
        <f t="shared" si="20"/>
        <v>74</v>
      </c>
      <c r="B4649" s="59" t="str">
        <f t="shared" si="21"/>
        <v/>
      </c>
      <c r="C4649" s="59" t="str">
        <f t="shared" si="22"/>
        <v/>
      </c>
      <c r="D4649" s="45" t="str">
        <f t="shared" si="23"/>
        <v/>
      </c>
      <c r="E4649" s="45" t="str">
        <f t="shared" si="24"/>
        <v/>
      </c>
      <c r="F4649" s="59" t="str">
        <f t="shared" si="25"/>
        <v/>
      </c>
      <c r="G4649" s="59" t="str">
        <f t="shared" si="26"/>
        <v/>
      </c>
      <c r="H4649" s="59" t="str">
        <f t="shared" si="27"/>
        <v>28H00669</v>
      </c>
      <c r="I4649" s="59" t="str">
        <f>IF(OR($A4649="",$C4649="",$D4649="",$E4649="",$H4649=""),"",SUMIFS(DATA_GOC!$H:$H,DATA_GOC!$A:$A,"BOM",DATA_GOC!$D:$D,$H4649,DATA_GOC!$E:$E,$C4649,DATA_GOC!$F:$F,"Xuất nội bộ từ téc",DATA_GOC!$B:$B,"&gt;="&amp;$D4649,DATA_GOC!$B:$B,"&lt;="&amp;$E4649))</f>
        <v/>
      </c>
      <c r="J4649" s="59">
        <f t="shared" si="28"/>
        <v>0</v>
      </c>
      <c r="K4649" s="59">
        <f t="shared" si="29"/>
        <v>0</v>
      </c>
      <c r="L4649" s="59">
        <f t="shared" si="30"/>
        <v>0</v>
      </c>
      <c r="M4649" s="59">
        <f t="shared" si="31"/>
        <v>0</v>
      </c>
    </row>
    <row r="4650" ht="15.0" hidden="1" customHeight="1">
      <c r="A4650" s="59">
        <f t="shared" si="20"/>
        <v>74</v>
      </c>
      <c r="B4650" s="59" t="str">
        <f t="shared" si="21"/>
        <v/>
      </c>
      <c r="C4650" s="59" t="str">
        <f t="shared" si="22"/>
        <v/>
      </c>
      <c r="D4650" s="45" t="str">
        <f t="shared" si="23"/>
        <v/>
      </c>
      <c r="E4650" s="45" t="str">
        <f t="shared" si="24"/>
        <v/>
      </c>
      <c r="F4650" s="59" t="str">
        <f t="shared" si="25"/>
        <v/>
      </c>
      <c r="G4650" s="59" t="str">
        <f t="shared" si="26"/>
        <v/>
      </c>
      <c r="H4650" s="59" t="str">
        <f t="shared" si="27"/>
        <v>28H00680</v>
      </c>
      <c r="I4650" s="59" t="str">
        <f>IF(OR($A4650="",$C4650="",$D4650="",$E4650="",$H4650=""),"",SUMIFS(DATA_GOC!$H:$H,DATA_GOC!$A:$A,"BOM",DATA_GOC!$D:$D,$H4650,DATA_GOC!$E:$E,$C4650,DATA_GOC!$F:$F,"Xuất nội bộ từ téc",DATA_GOC!$B:$B,"&gt;="&amp;$D4650,DATA_GOC!$B:$B,"&lt;="&amp;$E4650))</f>
        <v/>
      </c>
      <c r="J4650" s="59">
        <f t="shared" si="28"/>
        <v>0</v>
      </c>
      <c r="K4650" s="59">
        <f t="shared" si="29"/>
        <v>0</v>
      </c>
      <c r="L4650" s="59">
        <f t="shared" si="30"/>
        <v>0</v>
      </c>
      <c r="M4650" s="59">
        <f t="shared" si="31"/>
        <v>0</v>
      </c>
    </row>
    <row r="4651" ht="15.0" hidden="1" customHeight="1">
      <c r="A4651" s="59">
        <f t="shared" si="20"/>
        <v>74</v>
      </c>
      <c r="B4651" s="59" t="str">
        <f t="shared" si="21"/>
        <v/>
      </c>
      <c r="C4651" s="59" t="str">
        <f t="shared" si="22"/>
        <v/>
      </c>
      <c r="D4651" s="45" t="str">
        <f t="shared" si="23"/>
        <v/>
      </c>
      <c r="E4651" s="45" t="str">
        <f t="shared" si="24"/>
        <v/>
      </c>
      <c r="F4651" s="59" t="str">
        <f t="shared" si="25"/>
        <v/>
      </c>
      <c r="G4651" s="59" t="str">
        <f t="shared" si="26"/>
        <v/>
      </c>
      <c r="H4651" s="59" t="str">
        <f t="shared" si="27"/>
        <v>28H01070</v>
      </c>
      <c r="I4651" s="59" t="str">
        <f>IF(OR($A4651="",$C4651="",$D4651="",$E4651="",$H4651=""),"",SUMIFS(DATA_GOC!$H:$H,DATA_GOC!$A:$A,"BOM",DATA_GOC!$D:$D,$H4651,DATA_GOC!$E:$E,$C4651,DATA_GOC!$F:$F,"Xuất nội bộ từ téc",DATA_GOC!$B:$B,"&gt;="&amp;$D4651,DATA_GOC!$B:$B,"&lt;="&amp;$E4651))</f>
        <v/>
      </c>
      <c r="J4651" s="59">
        <f t="shared" si="28"/>
        <v>0</v>
      </c>
      <c r="K4651" s="59">
        <f t="shared" si="29"/>
        <v>0</v>
      </c>
      <c r="L4651" s="59">
        <f t="shared" si="30"/>
        <v>0</v>
      </c>
      <c r="M4651" s="59">
        <f t="shared" si="31"/>
        <v>0</v>
      </c>
    </row>
    <row r="4652" ht="15.0" hidden="1" customHeight="1">
      <c r="A4652" s="59">
        <f t="shared" si="20"/>
        <v>74</v>
      </c>
      <c r="B4652" s="59" t="str">
        <f t="shared" si="21"/>
        <v/>
      </c>
      <c r="C4652" s="59" t="str">
        <f t="shared" si="22"/>
        <v/>
      </c>
      <c r="D4652" s="45" t="str">
        <f t="shared" si="23"/>
        <v/>
      </c>
      <c r="E4652" s="45" t="str">
        <f t="shared" si="24"/>
        <v/>
      </c>
      <c r="F4652" s="59" t="str">
        <f t="shared" si="25"/>
        <v/>
      </c>
      <c r="G4652" s="59" t="str">
        <f t="shared" si="26"/>
        <v/>
      </c>
      <c r="H4652" s="59" t="str">
        <f t="shared" si="27"/>
        <v>28H01364</v>
      </c>
      <c r="I4652" s="59" t="str">
        <f>IF(OR($A4652="",$C4652="",$D4652="",$E4652="",$H4652=""),"",SUMIFS(DATA_GOC!$H:$H,DATA_GOC!$A:$A,"BOM",DATA_GOC!$D:$D,$H4652,DATA_GOC!$E:$E,$C4652,DATA_GOC!$F:$F,"Xuất nội bộ từ téc",DATA_GOC!$B:$B,"&gt;="&amp;$D4652,DATA_GOC!$B:$B,"&lt;="&amp;$E4652))</f>
        <v/>
      </c>
      <c r="J4652" s="59">
        <f t="shared" si="28"/>
        <v>0</v>
      </c>
      <c r="K4652" s="59">
        <f t="shared" si="29"/>
        <v>0</v>
      </c>
      <c r="L4652" s="59">
        <f t="shared" si="30"/>
        <v>0</v>
      </c>
      <c r="M4652" s="59">
        <f t="shared" si="31"/>
        <v>0</v>
      </c>
    </row>
    <row r="4653" ht="15.0" hidden="1" customHeight="1">
      <c r="A4653" s="59">
        <f t="shared" si="20"/>
        <v>74</v>
      </c>
      <c r="B4653" s="59" t="str">
        <f t="shared" si="21"/>
        <v/>
      </c>
      <c r="C4653" s="59" t="str">
        <f t="shared" si="22"/>
        <v/>
      </c>
      <c r="D4653" s="45" t="str">
        <f t="shared" si="23"/>
        <v/>
      </c>
      <c r="E4653" s="45" t="str">
        <f t="shared" si="24"/>
        <v/>
      </c>
      <c r="F4653" s="59" t="str">
        <f t="shared" si="25"/>
        <v/>
      </c>
      <c r="G4653" s="59" t="str">
        <f t="shared" si="26"/>
        <v/>
      </c>
      <c r="H4653" s="59" t="str">
        <f t="shared" si="27"/>
        <v>29E17269</v>
      </c>
      <c r="I4653" s="59" t="str">
        <f>IF(OR($A4653="",$C4653="",$D4653="",$E4653="",$H4653=""),"",SUMIFS(DATA_GOC!$H:$H,DATA_GOC!$A:$A,"BOM",DATA_GOC!$D:$D,$H4653,DATA_GOC!$E:$E,$C4653,DATA_GOC!$F:$F,"Xuất nội bộ từ téc",DATA_GOC!$B:$B,"&gt;="&amp;$D4653,DATA_GOC!$B:$B,"&lt;="&amp;$E4653))</f>
        <v/>
      </c>
      <c r="J4653" s="59">
        <f t="shared" si="28"/>
        <v>0</v>
      </c>
      <c r="K4653" s="59">
        <f t="shared" si="29"/>
        <v>0</v>
      </c>
      <c r="L4653" s="59">
        <f t="shared" si="30"/>
        <v>0</v>
      </c>
      <c r="M4653" s="59">
        <f t="shared" si="31"/>
        <v>0</v>
      </c>
    </row>
    <row r="4654" ht="15.0" hidden="1" customHeight="1">
      <c r="A4654" s="59">
        <f t="shared" si="20"/>
        <v>74</v>
      </c>
      <c r="B4654" s="59" t="str">
        <f t="shared" si="21"/>
        <v/>
      </c>
      <c r="C4654" s="59" t="str">
        <f t="shared" si="22"/>
        <v/>
      </c>
      <c r="D4654" s="45" t="str">
        <f t="shared" si="23"/>
        <v/>
      </c>
      <c r="E4654" s="45" t="str">
        <f t="shared" si="24"/>
        <v/>
      </c>
      <c r="F4654" s="59" t="str">
        <f t="shared" si="25"/>
        <v/>
      </c>
      <c r="G4654" s="59" t="str">
        <f t="shared" si="26"/>
        <v/>
      </c>
      <c r="H4654" s="59" t="str">
        <f t="shared" si="27"/>
        <v>29E17273</v>
      </c>
      <c r="I4654" s="59" t="str">
        <f>IF(OR($A4654="",$C4654="",$D4654="",$E4654="",$H4654=""),"",SUMIFS(DATA_GOC!$H:$H,DATA_GOC!$A:$A,"BOM",DATA_GOC!$D:$D,$H4654,DATA_GOC!$E:$E,$C4654,DATA_GOC!$F:$F,"Xuất nội bộ từ téc",DATA_GOC!$B:$B,"&gt;="&amp;$D4654,DATA_GOC!$B:$B,"&lt;="&amp;$E4654))</f>
        <v/>
      </c>
      <c r="J4654" s="59">
        <f t="shared" si="28"/>
        <v>0</v>
      </c>
      <c r="K4654" s="59">
        <f t="shared" si="29"/>
        <v>0</v>
      </c>
      <c r="L4654" s="59">
        <f t="shared" si="30"/>
        <v>0</v>
      </c>
      <c r="M4654" s="59">
        <f t="shared" si="31"/>
        <v>0</v>
      </c>
    </row>
    <row r="4655" ht="15.0" hidden="1" customHeight="1">
      <c r="A4655" s="59">
        <f t="shared" si="20"/>
        <v>74</v>
      </c>
      <c r="B4655" s="59" t="str">
        <f t="shared" si="21"/>
        <v/>
      </c>
      <c r="C4655" s="59" t="str">
        <f t="shared" si="22"/>
        <v/>
      </c>
      <c r="D4655" s="45" t="str">
        <f t="shared" si="23"/>
        <v/>
      </c>
      <c r="E4655" s="45" t="str">
        <f t="shared" si="24"/>
        <v/>
      </c>
      <c r="F4655" s="59" t="str">
        <f t="shared" si="25"/>
        <v/>
      </c>
      <c r="G4655" s="59" t="str">
        <f t="shared" si="26"/>
        <v/>
      </c>
      <c r="H4655" s="59" t="str">
        <f t="shared" si="27"/>
        <v>29E17410</v>
      </c>
      <c r="I4655" s="59" t="str">
        <f>IF(OR($A4655="",$C4655="",$D4655="",$E4655="",$H4655=""),"",SUMIFS(DATA_GOC!$H:$H,DATA_GOC!$A:$A,"BOM",DATA_GOC!$D:$D,$H4655,DATA_GOC!$E:$E,$C4655,DATA_GOC!$F:$F,"Xuất nội bộ từ téc",DATA_GOC!$B:$B,"&gt;="&amp;$D4655,DATA_GOC!$B:$B,"&lt;="&amp;$E4655))</f>
        <v/>
      </c>
      <c r="J4655" s="59">
        <f t="shared" si="28"/>
        <v>0</v>
      </c>
      <c r="K4655" s="59">
        <f t="shared" si="29"/>
        <v>0</v>
      </c>
      <c r="L4655" s="59">
        <f t="shared" si="30"/>
        <v>0</v>
      </c>
      <c r="M4655" s="59">
        <f t="shared" si="31"/>
        <v>0</v>
      </c>
    </row>
    <row r="4656" ht="15.0" hidden="1" customHeight="1">
      <c r="A4656" s="59">
        <f t="shared" si="20"/>
        <v>74</v>
      </c>
      <c r="B4656" s="59" t="str">
        <f t="shared" si="21"/>
        <v/>
      </c>
      <c r="C4656" s="59" t="str">
        <f t="shared" si="22"/>
        <v/>
      </c>
      <c r="D4656" s="45" t="str">
        <f t="shared" si="23"/>
        <v/>
      </c>
      <c r="E4656" s="45" t="str">
        <f t="shared" si="24"/>
        <v/>
      </c>
      <c r="F4656" s="59" t="str">
        <f t="shared" si="25"/>
        <v/>
      </c>
      <c r="G4656" s="59" t="str">
        <f t="shared" si="26"/>
        <v/>
      </c>
      <c r="H4656" s="59" t="str">
        <f t="shared" si="27"/>
        <v>29E17417</v>
      </c>
      <c r="I4656" s="59" t="str">
        <f>IF(OR($A4656="",$C4656="",$D4656="",$E4656="",$H4656=""),"",SUMIFS(DATA_GOC!$H:$H,DATA_GOC!$A:$A,"BOM",DATA_GOC!$D:$D,$H4656,DATA_GOC!$E:$E,$C4656,DATA_GOC!$F:$F,"Xuất nội bộ từ téc",DATA_GOC!$B:$B,"&gt;="&amp;$D4656,DATA_GOC!$B:$B,"&lt;="&amp;$E4656))</f>
        <v/>
      </c>
      <c r="J4656" s="59">
        <f t="shared" si="28"/>
        <v>0</v>
      </c>
      <c r="K4656" s="59">
        <f t="shared" si="29"/>
        <v>0</v>
      </c>
      <c r="L4656" s="59">
        <f t="shared" si="30"/>
        <v>0</v>
      </c>
      <c r="M4656" s="59">
        <f t="shared" si="31"/>
        <v>0</v>
      </c>
    </row>
    <row r="4657" ht="15.0" hidden="1" customHeight="1">
      <c r="A4657" s="59">
        <f t="shared" si="20"/>
        <v>74</v>
      </c>
      <c r="B4657" s="59" t="str">
        <f t="shared" si="21"/>
        <v/>
      </c>
      <c r="C4657" s="59" t="str">
        <f t="shared" si="22"/>
        <v/>
      </c>
      <c r="D4657" s="45" t="str">
        <f t="shared" si="23"/>
        <v/>
      </c>
      <c r="E4657" s="45" t="str">
        <f t="shared" si="24"/>
        <v/>
      </c>
      <c r="F4657" s="59" t="str">
        <f t="shared" si="25"/>
        <v/>
      </c>
      <c r="G4657" s="59" t="str">
        <f t="shared" si="26"/>
        <v/>
      </c>
      <c r="H4657" s="59" t="str">
        <f t="shared" si="27"/>
        <v>29E17539</v>
      </c>
      <c r="I4657" s="59" t="str">
        <f>IF(OR($A4657="",$C4657="",$D4657="",$E4657="",$H4657=""),"",SUMIFS(DATA_GOC!$H:$H,DATA_GOC!$A:$A,"BOM",DATA_GOC!$D:$D,$H4657,DATA_GOC!$E:$E,$C4657,DATA_GOC!$F:$F,"Xuất nội bộ từ téc",DATA_GOC!$B:$B,"&gt;="&amp;$D4657,DATA_GOC!$B:$B,"&lt;="&amp;$E4657))</f>
        <v/>
      </c>
      <c r="J4657" s="59">
        <f t="shared" si="28"/>
        <v>0</v>
      </c>
      <c r="K4657" s="59">
        <f t="shared" si="29"/>
        <v>0</v>
      </c>
      <c r="L4657" s="59">
        <f t="shared" si="30"/>
        <v>0</v>
      </c>
      <c r="M4657" s="59">
        <f t="shared" si="31"/>
        <v>0</v>
      </c>
    </row>
    <row r="4658" ht="15.0" hidden="1" customHeight="1">
      <c r="A4658" s="59">
        <f t="shared" si="20"/>
        <v>74</v>
      </c>
      <c r="B4658" s="59" t="str">
        <f t="shared" si="21"/>
        <v/>
      </c>
      <c r="C4658" s="59" t="str">
        <f t="shared" si="22"/>
        <v/>
      </c>
      <c r="D4658" s="45" t="str">
        <f t="shared" si="23"/>
        <v/>
      </c>
      <c r="E4658" s="45" t="str">
        <f t="shared" si="24"/>
        <v/>
      </c>
      <c r="F4658" s="59" t="str">
        <f t="shared" si="25"/>
        <v/>
      </c>
      <c r="G4658" s="59" t="str">
        <f t="shared" si="26"/>
        <v/>
      </c>
      <c r="H4658" s="59" t="str">
        <f t="shared" si="27"/>
        <v>29E18160</v>
      </c>
      <c r="I4658" s="59" t="str">
        <f>IF(OR($A4658="",$C4658="",$D4658="",$E4658="",$H4658=""),"",SUMIFS(DATA_GOC!$H:$H,DATA_GOC!$A:$A,"BOM",DATA_GOC!$D:$D,$H4658,DATA_GOC!$E:$E,$C4658,DATA_GOC!$F:$F,"Xuất nội bộ từ téc",DATA_GOC!$B:$B,"&gt;="&amp;$D4658,DATA_GOC!$B:$B,"&lt;="&amp;$E4658))</f>
        <v/>
      </c>
      <c r="J4658" s="59">
        <f t="shared" si="28"/>
        <v>0</v>
      </c>
      <c r="K4658" s="59">
        <f t="shared" si="29"/>
        <v>0</v>
      </c>
      <c r="L4658" s="59">
        <f t="shared" si="30"/>
        <v>0</v>
      </c>
      <c r="M4658" s="59">
        <f t="shared" si="31"/>
        <v>0</v>
      </c>
    </row>
    <row r="4659" ht="15.0" hidden="1" customHeight="1">
      <c r="A4659" s="59">
        <f t="shared" si="20"/>
        <v>74</v>
      </c>
      <c r="B4659" s="59" t="str">
        <f t="shared" si="21"/>
        <v/>
      </c>
      <c r="C4659" s="59" t="str">
        <f t="shared" si="22"/>
        <v/>
      </c>
      <c r="D4659" s="45" t="str">
        <f t="shared" si="23"/>
        <v/>
      </c>
      <c r="E4659" s="45" t="str">
        <f t="shared" si="24"/>
        <v/>
      </c>
      <c r="F4659" s="59" t="str">
        <f t="shared" si="25"/>
        <v/>
      </c>
      <c r="G4659" s="59" t="str">
        <f t="shared" si="26"/>
        <v/>
      </c>
      <c r="H4659" s="59" t="str">
        <f t="shared" si="27"/>
        <v>Công trình Asphalt</v>
      </c>
      <c r="I4659" s="59" t="str">
        <f>IF(OR($A4659="",$C4659="",$D4659="",$E4659="",$H4659=""),"",SUMIFS(DATA_GOC!$H:$H,DATA_GOC!$A:$A,"BOM",DATA_GOC!$D:$D,$H4659,DATA_GOC!$E:$E,$C4659,DATA_GOC!$F:$F,"Xuất nội bộ từ téc",DATA_GOC!$B:$B,"&gt;="&amp;$D4659,DATA_GOC!$B:$B,"&lt;="&amp;$E4659))</f>
        <v/>
      </c>
      <c r="J4659" s="59">
        <f t="shared" si="28"/>
        <v>0</v>
      </c>
      <c r="K4659" s="59">
        <f t="shared" si="29"/>
        <v>0</v>
      </c>
      <c r="L4659" s="59">
        <f t="shared" si="30"/>
        <v>0</v>
      </c>
      <c r="M4659" s="59">
        <f t="shared" si="31"/>
        <v>0</v>
      </c>
    </row>
    <row r="4660" ht="15.0" hidden="1" customHeight="1">
      <c r="A4660" s="59">
        <f t="shared" si="20"/>
        <v>74</v>
      </c>
      <c r="B4660" s="59" t="str">
        <f t="shared" si="21"/>
        <v/>
      </c>
      <c r="C4660" s="59" t="str">
        <f t="shared" si="22"/>
        <v/>
      </c>
      <c r="D4660" s="45" t="str">
        <f t="shared" si="23"/>
        <v/>
      </c>
      <c r="E4660" s="45" t="str">
        <f t="shared" si="24"/>
        <v/>
      </c>
      <c r="F4660" s="59" t="str">
        <f t="shared" si="25"/>
        <v/>
      </c>
      <c r="G4660" s="59" t="str">
        <f t="shared" si="26"/>
        <v/>
      </c>
      <c r="H4660" s="59" t="str">
        <f t="shared" si="27"/>
        <v>LG53F</v>
      </c>
      <c r="I4660" s="59" t="str">
        <f>IF(OR($A4660="",$C4660="",$D4660="",$E4660="",$H4660=""),"",SUMIFS(DATA_GOC!$H:$H,DATA_GOC!$A:$A,"BOM",DATA_GOC!$D:$D,$H4660,DATA_GOC!$E:$E,$C4660,DATA_GOC!$F:$F,"Xuất nội bộ từ téc",DATA_GOC!$B:$B,"&gt;="&amp;$D4660,DATA_GOC!$B:$B,"&lt;="&amp;$E4660))</f>
        <v/>
      </c>
      <c r="J4660" s="59">
        <f t="shared" si="28"/>
        <v>0</v>
      </c>
      <c r="K4660" s="59">
        <f t="shared" si="29"/>
        <v>0</v>
      </c>
      <c r="L4660" s="59">
        <f t="shared" si="30"/>
        <v>0</v>
      </c>
      <c r="M4660" s="59">
        <f t="shared" si="31"/>
        <v>0</v>
      </c>
    </row>
    <row r="4661" ht="15.0" hidden="1" customHeight="1">
      <c r="A4661" s="59">
        <f t="shared" si="20"/>
        <v>74</v>
      </c>
      <c r="B4661" s="59" t="str">
        <f t="shared" si="21"/>
        <v/>
      </c>
      <c r="C4661" s="59" t="str">
        <f t="shared" si="22"/>
        <v/>
      </c>
      <c r="D4661" s="45" t="str">
        <f t="shared" si="23"/>
        <v/>
      </c>
      <c r="E4661" s="45" t="str">
        <f t="shared" si="24"/>
        <v/>
      </c>
      <c r="F4661" s="59" t="str">
        <f t="shared" si="25"/>
        <v/>
      </c>
      <c r="G4661" s="59" t="str">
        <f t="shared" si="26"/>
        <v/>
      </c>
      <c r="H4661" s="59" t="str">
        <f t="shared" si="27"/>
        <v>Máy phát điện</v>
      </c>
      <c r="I4661" s="59" t="str">
        <f>IF(OR($A4661="",$C4661="",$D4661="",$E4661="",$H4661=""),"",SUMIFS(DATA_GOC!$H:$H,DATA_GOC!$A:$A,"BOM",DATA_GOC!$D:$D,$H4661,DATA_GOC!$E:$E,$C4661,DATA_GOC!$F:$F,"Xuất nội bộ từ téc",DATA_GOC!$B:$B,"&gt;="&amp;$D4661,DATA_GOC!$B:$B,"&lt;="&amp;$E4661))</f>
        <v/>
      </c>
      <c r="J4661" s="59">
        <f t="shared" si="28"/>
        <v>0</v>
      </c>
      <c r="K4661" s="59">
        <f t="shared" si="29"/>
        <v>0</v>
      </c>
      <c r="L4661" s="59">
        <f t="shared" si="30"/>
        <v>0</v>
      </c>
      <c r="M4661" s="59">
        <f t="shared" si="31"/>
        <v>0</v>
      </c>
    </row>
    <row r="4662" ht="15.0" hidden="1" customHeight="1">
      <c r="A4662" s="59">
        <f t="shared" si="20"/>
        <v>74</v>
      </c>
      <c r="B4662" s="59" t="str">
        <f t="shared" si="21"/>
        <v/>
      </c>
      <c r="C4662" s="59" t="str">
        <f t="shared" si="22"/>
        <v/>
      </c>
      <c r="D4662" s="45" t="str">
        <f t="shared" si="23"/>
        <v/>
      </c>
      <c r="E4662" s="45" t="str">
        <f t="shared" si="24"/>
        <v/>
      </c>
      <c r="F4662" s="59" t="str">
        <f t="shared" si="25"/>
        <v/>
      </c>
      <c r="G4662" s="59" t="str">
        <f t="shared" si="26"/>
        <v/>
      </c>
      <c r="H4662" s="59" t="str">
        <f t="shared" si="27"/>
        <v>Máy rải thảm</v>
      </c>
      <c r="I4662" s="59" t="str">
        <f>IF(OR($A4662="",$C4662="",$D4662="",$E4662="",$H4662=""),"",SUMIFS(DATA_GOC!$H:$H,DATA_GOC!$A:$A,"BOM",DATA_GOC!$D:$D,$H4662,DATA_GOC!$E:$E,$C4662,DATA_GOC!$F:$F,"Xuất nội bộ từ téc",DATA_GOC!$B:$B,"&gt;="&amp;$D4662,DATA_GOC!$B:$B,"&lt;="&amp;$E4662))</f>
        <v/>
      </c>
      <c r="J4662" s="59">
        <f t="shared" si="28"/>
        <v>0</v>
      </c>
      <c r="K4662" s="59">
        <f t="shared" si="29"/>
        <v>0</v>
      </c>
      <c r="L4662" s="59">
        <f t="shared" si="30"/>
        <v>0</v>
      </c>
      <c r="M4662" s="59">
        <f t="shared" si="31"/>
        <v>0</v>
      </c>
    </row>
    <row r="4663" ht="15.0" hidden="1" customHeight="1">
      <c r="A4663" s="59">
        <f t="shared" si="20"/>
        <v>74</v>
      </c>
      <c r="B4663" s="59" t="str">
        <f t="shared" si="21"/>
        <v/>
      </c>
      <c r="C4663" s="59" t="str">
        <f t="shared" si="22"/>
        <v/>
      </c>
      <c r="D4663" s="45" t="str">
        <f t="shared" si="23"/>
        <v/>
      </c>
      <c r="E4663" s="45" t="str">
        <f t="shared" si="24"/>
        <v/>
      </c>
      <c r="F4663" s="59" t="str">
        <f t="shared" si="25"/>
        <v/>
      </c>
      <c r="G4663" s="59" t="str">
        <f t="shared" si="26"/>
        <v/>
      </c>
      <c r="H4663" s="59" t="str">
        <f t="shared" si="27"/>
        <v>Xúc Đào</v>
      </c>
      <c r="I4663" s="59" t="str">
        <f>IF(OR($A4663="",$C4663="",$D4663="",$E4663="",$H4663=""),"",SUMIFS(DATA_GOC!$H:$H,DATA_GOC!$A:$A,"BOM",DATA_GOC!$D:$D,$H4663,DATA_GOC!$E:$E,$C4663,DATA_GOC!$F:$F,"Xuất nội bộ từ téc",DATA_GOC!$B:$B,"&gt;="&amp;$D4663,DATA_GOC!$B:$B,"&lt;="&amp;$E4663))</f>
        <v/>
      </c>
      <c r="J4663" s="59">
        <f t="shared" si="28"/>
        <v>0</v>
      </c>
      <c r="K4663" s="59">
        <f t="shared" si="29"/>
        <v>0</v>
      </c>
      <c r="L4663" s="59">
        <f t="shared" si="30"/>
        <v>0</v>
      </c>
      <c r="M4663" s="59">
        <f t="shared" si="31"/>
        <v>0</v>
      </c>
    </row>
    <row r="4664" ht="15.0" hidden="1" customHeight="1">
      <c r="A4664" s="59">
        <f t="shared" si="20"/>
        <v>74</v>
      </c>
      <c r="B4664" s="59" t="str">
        <f t="shared" si="21"/>
        <v/>
      </c>
      <c r="C4664" s="59" t="str">
        <f t="shared" si="22"/>
        <v/>
      </c>
      <c r="D4664" s="45" t="str">
        <f t="shared" si="23"/>
        <v/>
      </c>
      <c r="E4664" s="45" t="str">
        <f t="shared" si="24"/>
        <v/>
      </c>
      <c r="F4664" s="59" t="str">
        <f t="shared" si="25"/>
        <v/>
      </c>
      <c r="G4664" s="59" t="str">
        <f t="shared" si="26"/>
        <v/>
      </c>
      <c r="H4664" s="59" t="str">
        <f t="shared" si="27"/>
        <v>Xúclật asphalt</v>
      </c>
      <c r="I4664" s="59" t="str">
        <f>IF(OR($A4664="",$C4664="",$D4664="",$E4664="",$H4664=""),"",SUMIFS(DATA_GOC!$H:$H,DATA_GOC!$A:$A,"BOM",DATA_GOC!$D:$D,$H4664,DATA_GOC!$E:$E,$C4664,DATA_GOC!$F:$F,"Xuất nội bộ từ téc",DATA_GOC!$B:$B,"&gt;="&amp;$D4664,DATA_GOC!$B:$B,"&lt;="&amp;$E4664))</f>
        <v/>
      </c>
      <c r="J4664" s="59">
        <f t="shared" si="28"/>
        <v>0</v>
      </c>
      <c r="K4664" s="59">
        <f t="shared" si="29"/>
        <v>0</v>
      </c>
      <c r="L4664" s="59">
        <f t="shared" si="30"/>
        <v>0</v>
      </c>
      <c r="M4664" s="59">
        <f t="shared" si="31"/>
        <v>0</v>
      </c>
    </row>
    <row r="4665" ht="15.0" hidden="1" customHeight="1">
      <c r="A4665" s="59">
        <f t="shared" si="20"/>
        <v>74</v>
      </c>
      <c r="B4665" s="59" t="str">
        <f t="shared" si="21"/>
        <v/>
      </c>
      <c r="C4665" s="59" t="str">
        <f t="shared" si="22"/>
        <v/>
      </c>
      <c r="D4665" s="45" t="str">
        <f t="shared" si="23"/>
        <v/>
      </c>
      <c r="E4665" s="45" t="str">
        <f t="shared" si="24"/>
        <v/>
      </c>
      <c r="F4665" s="59" t="str">
        <f t="shared" si="25"/>
        <v/>
      </c>
      <c r="G4665" s="59" t="str">
        <f t="shared" si="26"/>
        <v/>
      </c>
      <c r="H4665" s="59" t="str">
        <f t="shared" si="27"/>
        <v>Xúclật855H</v>
      </c>
      <c r="I4665" s="59" t="str">
        <f>IF(OR($A4665="",$C4665="",$D4665="",$E4665="",$H4665=""),"",SUMIFS(DATA_GOC!$H:$H,DATA_GOC!$A:$A,"BOM",DATA_GOC!$D:$D,$H4665,DATA_GOC!$E:$E,$C4665,DATA_GOC!$F:$F,"Xuất nội bộ từ téc",DATA_GOC!$B:$B,"&gt;="&amp;$D4665,DATA_GOC!$B:$B,"&lt;="&amp;$E4665))</f>
        <v/>
      </c>
      <c r="J4665" s="59">
        <f t="shared" si="28"/>
        <v>0</v>
      </c>
      <c r="K4665" s="59">
        <f t="shared" si="29"/>
        <v>0</v>
      </c>
      <c r="L4665" s="59">
        <f t="shared" si="30"/>
        <v>0</v>
      </c>
      <c r="M4665" s="59">
        <f t="shared" si="31"/>
        <v>0</v>
      </c>
    </row>
    <row r="4666" ht="15.0" hidden="1" customHeight="1">
      <c r="A4666" s="59">
        <f t="shared" si="20"/>
        <v>74</v>
      </c>
      <c r="B4666" s="59" t="str">
        <f t="shared" si="21"/>
        <v/>
      </c>
      <c r="C4666" s="59" t="str">
        <f t="shared" si="22"/>
        <v/>
      </c>
      <c r="D4666" s="45" t="str">
        <f t="shared" si="23"/>
        <v/>
      </c>
      <c r="E4666" s="45" t="str">
        <f t="shared" si="24"/>
        <v/>
      </c>
      <c r="F4666" s="59" t="str">
        <f t="shared" si="25"/>
        <v/>
      </c>
      <c r="G4666" s="59" t="str">
        <f t="shared" si="26"/>
        <v/>
      </c>
      <c r="H4666" s="59" t="str">
        <f t="shared" si="27"/>
        <v>Xúclật855N</v>
      </c>
      <c r="I4666" s="59" t="str">
        <f>IF(OR($A4666="",$C4666="",$D4666="",$E4666="",$H4666=""),"",SUMIFS(DATA_GOC!$H:$H,DATA_GOC!$A:$A,"BOM",DATA_GOC!$D:$D,$H4666,DATA_GOC!$E:$E,$C4666,DATA_GOC!$F:$F,"Xuất nội bộ từ téc",DATA_GOC!$B:$B,"&gt;="&amp;$D4666,DATA_GOC!$B:$B,"&lt;="&amp;$E4666))</f>
        <v/>
      </c>
      <c r="J4666" s="59">
        <f t="shared" si="28"/>
        <v>0</v>
      </c>
      <c r="K4666" s="59">
        <f t="shared" si="29"/>
        <v>0</v>
      </c>
      <c r="L4666" s="59">
        <f t="shared" si="30"/>
        <v>0</v>
      </c>
      <c r="M4666" s="59">
        <f t="shared" si="31"/>
        <v>0</v>
      </c>
    </row>
    <row r="4667" ht="15.0" hidden="1" customHeight="1">
      <c r="A4667" s="59">
        <f t="shared" si="20"/>
        <v>74</v>
      </c>
      <c r="B4667" s="59" t="str">
        <f t="shared" si="21"/>
        <v/>
      </c>
      <c r="C4667" s="59" t="str">
        <f t="shared" si="22"/>
        <v/>
      </c>
      <c r="D4667" s="45" t="str">
        <f t="shared" si="23"/>
        <v/>
      </c>
      <c r="E4667" s="45" t="str">
        <f t="shared" si="24"/>
        <v/>
      </c>
      <c r="F4667" s="59" t="str">
        <f t="shared" si="25"/>
        <v/>
      </c>
      <c r="G4667" s="59" t="str">
        <f t="shared" si="26"/>
        <v/>
      </c>
      <c r="H4667" s="59" t="str">
        <f t="shared" si="27"/>
        <v>Cát nghiền</v>
      </c>
      <c r="I4667" s="59" t="str">
        <f>IF(OR($A4667="",$C4667="",$D4667="",$E4667="",$H4667=""),"",SUMIFS(DATA_GOC!$H:$H,DATA_GOC!$A:$A,"BOM",DATA_GOC!$D:$D,$H4667,DATA_GOC!$E:$E,$C4667,DATA_GOC!$F:$F,"Xuất nội bộ từ téc",DATA_GOC!$B:$B,"&gt;="&amp;$D4667,DATA_GOC!$B:$B,"&lt;="&amp;$E4667))</f>
        <v/>
      </c>
      <c r="J4667" s="59">
        <f t="shared" si="28"/>
        <v>0</v>
      </c>
      <c r="K4667" s="59">
        <f t="shared" si="29"/>
        <v>0</v>
      </c>
      <c r="L4667" s="59">
        <f t="shared" si="30"/>
        <v>0</v>
      </c>
      <c r="M4667" s="59">
        <f t="shared" si="31"/>
        <v>0</v>
      </c>
    </row>
    <row r="4668" ht="15.0" hidden="1" customHeight="1">
      <c r="A4668" s="59">
        <f t="shared" si="20"/>
        <v>74</v>
      </c>
      <c r="B4668" s="59" t="str">
        <f t="shared" si="21"/>
        <v/>
      </c>
      <c r="C4668" s="59" t="str">
        <f t="shared" si="22"/>
        <v/>
      </c>
      <c r="D4668" s="45" t="str">
        <f t="shared" si="23"/>
        <v/>
      </c>
      <c r="E4668" s="45" t="str">
        <f t="shared" si="24"/>
        <v/>
      </c>
      <c r="F4668" s="59" t="str">
        <f t="shared" si="25"/>
        <v/>
      </c>
      <c r="G4668" s="59" t="str">
        <f t="shared" si="26"/>
        <v/>
      </c>
      <c r="H4668" s="59" t="str">
        <f t="shared" si="27"/>
        <v>28C02973</v>
      </c>
      <c r="I4668" s="59" t="str">
        <f>IF(OR($A4668="",$C4668="",$D4668="",$E4668="",$H4668=""),"",SUMIFS(DATA_GOC!$H:$H,DATA_GOC!$A:$A,"BOM",DATA_GOC!$D:$D,$H4668,DATA_GOC!$E:$E,$C4668,DATA_GOC!$F:$F,"Xuất nội bộ từ téc",DATA_GOC!$B:$B,"&gt;="&amp;$D4668,DATA_GOC!$B:$B,"&lt;="&amp;$E4668))</f>
        <v/>
      </c>
      <c r="J4668" s="59">
        <f t="shared" si="28"/>
        <v>0</v>
      </c>
      <c r="K4668" s="59">
        <f t="shared" si="29"/>
        <v>0</v>
      </c>
      <c r="L4668" s="59">
        <f t="shared" si="30"/>
        <v>0</v>
      </c>
      <c r="M4668" s="59">
        <f t="shared" si="31"/>
        <v>0</v>
      </c>
    </row>
    <row r="4669" ht="15.0" hidden="1" customHeight="1">
      <c r="A4669" s="59">
        <f t="shared" si="20"/>
        <v>74</v>
      </c>
      <c r="B4669" s="59" t="str">
        <f t="shared" si="21"/>
        <v/>
      </c>
      <c r="C4669" s="59" t="str">
        <f t="shared" si="22"/>
        <v/>
      </c>
      <c r="D4669" s="45" t="str">
        <f t="shared" si="23"/>
        <v/>
      </c>
      <c r="E4669" s="45" t="str">
        <f t="shared" si="24"/>
        <v/>
      </c>
      <c r="F4669" s="59" t="str">
        <f t="shared" si="25"/>
        <v/>
      </c>
      <c r="G4669" s="59" t="str">
        <f t="shared" si="26"/>
        <v/>
      </c>
      <c r="H4669" s="59" t="str">
        <f t="shared" si="27"/>
        <v>28C03044</v>
      </c>
      <c r="I4669" s="59" t="str">
        <f>IF(OR($A4669="",$C4669="",$D4669="",$E4669="",$H4669=""),"",SUMIFS(DATA_GOC!$H:$H,DATA_GOC!$A:$A,"BOM",DATA_GOC!$D:$D,$H4669,DATA_GOC!$E:$E,$C4669,DATA_GOC!$F:$F,"Xuất nội bộ từ téc",DATA_GOC!$B:$B,"&gt;="&amp;$D4669,DATA_GOC!$B:$B,"&lt;="&amp;$E4669))</f>
        <v/>
      </c>
      <c r="J4669" s="59">
        <f t="shared" si="28"/>
        <v>0</v>
      </c>
      <c r="K4669" s="59">
        <f t="shared" si="29"/>
        <v>0</v>
      </c>
      <c r="L4669" s="59">
        <f t="shared" si="30"/>
        <v>0</v>
      </c>
      <c r="M4669" s="59">
        <f t="shared" si="31"/>
        <v>0</v>
      </c>
    </row>
    <row r="4670" ht="15.0" hidden="1" customHeight="1">
      <c r="A4670" s="59">
        <f t="shared" si="20"/>
        <v>74</v>
      </c>
      <c r="B4670" s="59" t="str">
        <f t="shared" si="21"/>
        <v/>
      </c>
      <c r="C4670" s="59" t="str">
        <f t="shared" si="22"/>
        <v/>
      </c>
      <c r="D4670" s="45" t="str">
        <f t="shared" si="23"/>
        <v/>
      </c>
      <c r="E4670" s="45" t="str">
        <f t="shared" si="24"/>
        <v/>
      </c>
      <c r="F4670" s="59" t="str">
        <f t="shared" si="25"/>
        <v/>
      </c>
      <c r="G4670" s="59" t="str">
        <f t="shared" si="26"/>
        <v/>
      </c>
      <c r="H4670" s="59" t="str">
        <f t="shared" si="27"/>
        <v>Máy lu lốp</v>
      </c>
      <c r="I4670" s="59" t="str">
        <f>IF(OR($A4670="",$C4670="",$D4670="",$E4670="",$H4670=""),"",SUMIFS(DATA_GOC!$H:$H,DATA_GOC!$A:$A,"BOM",DATA_GOC!$D:$D,$H4670,DATA_GOC!$E:$E,$C4670,DATA_GOC!$F:$F,"Xuất nội bộ từ téc",DATA_GOC!$B:$B,"&gt;="&amp;$D4670,DATA_GOC!$B:$B,"&lt;="&amp;$E4670))</f>
        <v/>
      </c>
      <c r="J4670" s="59">
        <f t="shared" si="28"/>
        <v>0</v>
      </c>
      <c r="K4670" s="59">
        <f t="shared" si="29"/>
        <v>0</v>
      </c>
      <c r="L4670" s="59">
        <f t="shared" si="30"/>
        <v>0</v>
      </c>
      <c r="M4670" s="59">
        <f t="shared" si="31"/>
        <v>0</v>
      </c>
    </row>
    <row r="4671" ht="15.0" hidden="1" customHeight="1">
      <c r="A4671" s="59">
        <f t="shared" si="20"/>
        <v>74</v>
      </c>
      <c r="B4671" s="59" t="str">
        <f t="shared" si="21"/>
        <v/>
      </c>
      <c r="C4671" s="59" t="str">
        <f t="shared" si="22"/>
        <v/>
      </c>
      <c r="D4671" s="45" t="str">
        <f t="shared" si="23"/>
        <v/>
      </c>
      <c r="E4671" s="45" t="str">
        <f t="shared" si="24"/>
        <v/>
      </c>
      <c r="F4671" s="59" t="str">
        <f t="shared" si="25"/>
        <v/>
      </c>
      <c r="G4671" s="59" t="str">
        <f t="shared" si="26"/>
        <v/>
      </c>
      <c r="H4671" s="59" t="str">
        <f t="shared" si="27"/>
        <v>Xe 600148</v>
      </c>
      <c r="I4671" s="59" t="str">
        <f>IF(OR($A4671="",$C4671="",$D4671="",$E4671="",$H4671=""),"",SUMIFS(DATA_GOC!$H:$H,DATA_GOC!$A:$A,"BOM",DATA_GOC!$D:$D,$H4671,DATA_GOC!$E:$E,$C4671,DATA_GOC!$F:$F,"Xuất nội bộ từ téc",DATA_GOC!$B:$B,"&gt;="&amp;$D4671,DATA_GOC!$B:$B,"&lt;="&amp;$E4671))</f>
        <v/>
      </c>
      <c r="J4671" s="59">
        <f t="shared" si="28"/>
        <v>0</v>
      </c>
      <c r="K4671" s="59">
        <f t="shared" si="29"/>
        <v>0</v>
      </c>
      <c r="L4671" s="59">
        <f t="shared" si="30"/>
        <v>0</v>
      </c>
      <c r="M4671" s="59">
        <f t="shared" si="31"/>
        <v>0</v>
      </c>
    </row>
    <row r="4672" ht="15.0" hidden="1" customHeight="1">
      <c r="A4672" s="59">
        <f t="shared" si="20"/>
        <v>74</v>
      </c>
      <c r="B4672" s="59" t="str">
        <f t="shared" si="21"/>
        <v/>
      </c>
      <c r="C4672" s="59" t="str">
        <f t="shared" si="22"/>
        <v/>
      </c>
      <c r="D4672" s="45" t="str">
        <f t="shared" si="23"/>
        <v/>
      </c>
      <c r="E4672" s="45" t="str">
        <f t="shared" si="24"/>
        <v/>
      </c>
      <c r="F4672" s="59" t="str">
        <f t="shared" si="25"/>
        <v/>
      </c>
      <c r="G4672" s="59" t="str">
        <f t="shared" si="26"/>
        <v/>
      </c>
      <c r="H4672" s="59" t="str">
        <f t="shared" si="27"/>
        <v>Xe ben mới</v>
      </c>
      <c r="I4672" s="59" t="str">
        <f>IF(OR($A4672="",$C4672="",$D4672="",$E4672="",$H4672=""),"",SUMIFS(DATA_GOC!$H:$H,DATA_GOC!$A:$A,"BOM",DATA_GOC!$D:$D,$H4672,DATA_GOC!$E:$E,$C4672,DATA_GOC!$F:$F,"Xuất nội bộ từ téc",DATA_GOC!$B:$B,"&gt;="&amp;$D4672,DATA_GOC!$B:$B,"&lt;="&amp;$E4672))</f>
        <v/>
      </c>
      <c r="J4672" s="59">
        <f t="shared" si="28"/>
        <v>0</v>
      </c>
      <c r="K4672" s="59">
        <f t="shared" si="29"/>
        <v>0</v>
      </c>
      <c r="L4672" s="59">
        <f t="shared" si="30"/>
        <v>0</v>
      </c>
      <c r="M4672" s="59">
        <f t="shared" si="31"/>
        <v>0</v>
      </c>
    </row>
    <row r="4673" ht="15.0" hidden="1" customHeight="1">
      <c r="A4673" s="59">
        <f t="shared" si="20"/>
        <v>75</v>
      </c>
      <c r="B4673" s="59" t="str">
        <f t="shared" si="21"/>
        <v/>
      </c>
      <c r="C4673" s="59" t="str">
        <f t="shared" si="22"/>
        <v/>
      </c>
      <c r="D4673" s="45" t="str">
        <f t="shared" si="23"/>
        <v/>
      </c>
      <c r="E4673" s="45" t="str">
        <f t="shared" si="24"/>
        <v/>
      </c>
      <c r="F4673" s="59" t="str">
        <f t="shared" si="25"/>
        <v/>
      </c>
      <c r="G4673" s="59" t="str">
        <f t="shared" si="26"/>
        <v/>
      </c>
      <c r="H4673" s="59" t="str">
        <f t="shared" si="27"/>
        <v>19H09482</v>
      </c>
      <c r="I4673" s="59" t="str">
        <f>IF(OR($A4673="",$C4673="",$D4673="",$E4673="",$H4673=""),"",SUMIFS(DATA_GOC!$H:$H,DATA_GOC!$A:$A,"BOM",DATA_GOC!$D:$D,$H4673,DATA_GOC!$E:$E,$C4673,DATA_GOC!$F:$F,"Xuất nội bộ từ téc",DATA_GOC!$B:$B,"&gt;="&amp;$D4673,DATA_GOC!$B:$B,"&lt;="&amp;$E4673))</f>
        <v/>
      </c>
      <c r="J4673" s="59">
        <f t="shared" si="28"/>
        <v>0</v>
      </c>
      <c r="K4673" s="59">
        <f t="shared" si="29"/>
        <v>0</v>
      </c>
      <c r="L4673" s="59">
        <f t="shared" si="30"/>
        <v>0</v>
      </c>
      <c r="M4673" s="59">
        <f t="shared" si="31"/>
        <v>0</v>
      </c>
    </row>
    <row r="4674" ht="15.0" hidden="1" customHeight="1">
      <c r="A4674" s="59">
        <f t="shared" si="20"/>
        <v>75</v>
      </c>
      <c r="B4674" s="59" t="str">
        <f t="shared" si="21"/>
        <v/>
      </c>
      <c r="C4674" s="59" t="str">
        <f t="shared" si="22"/>
        <v/>
      </c>
      <c r="D4674" s="45" t="str">
        <f t="shared" si="23"/>
        <v/>
      </c>
      <c r="E4674" s="45" t="str">
        <f t="shared" si="24"/>
        <v/>
      </c>
      <c r="F4674" s="59" t="str">
        <f t="shared" si="25"/>
        <v/>
      </c>
      <c r="G4674" s="59" t="str">
        <f t="shared" si="26"/>
        <v/>
      </c>
      <c r="H4674" s="59" t="str">
        <f t="shared" si="27"/>
        <v>28A30696</v>
      </c>
      <c r="I4674" s="59" t="str">
        <f>IF(OR($A4674="",$C4674="",$D4674="",$E4674="",$H4674=""),"",SUMIFS(DATA_GOC!$H:$H,DATA_GOC!$A:$A,"BOM",DATA_GOC!$D:$D,$H4674,DATA_GOC!$E:$E,$C4674,DATA_GOC!$F:$F,"Xuất nội bộ từ téc",DATA_GOC!$B:$B,"&gt;="&amp;$D4674,DATA_GOC!$B:$B,"&lt;="&amp;$E4674))</f>
        <v/>
      </c>
      <c r="J4674" s="59">
        <f t="shared" si="28"/>
        <v>0</v>
      </c>
      <c r="K4674" s="59">
        <f t="shared" si="29"/>
        <v>0</v>
      </c>
      <c r="L4674" s="59">
        <f t="shared" si="30"/>
        <v>0</v>
      </c>
      <c r="M4674" s="59">
        <f t="shared" si="31"/>
        <v>0</v>
      </c>
    </row>
    <row r="4675" ht="15.0" hidden="1" customHeight="1">
      <c r="A4675" s="59">
        <f t="shared" si="20"/>
        <v>75</v>
      </c>
      <c r="B4675" s="59" t="str">
        <f t="shared" si="21"/>
        <v/>
      </c>
      <c r="C4675" s="59" t="str">
        <f t="shared" si="22"/>
        <v/>
      </c>
      <c r="D4675" s="45" t="str">
        <f t="shared" si="23"/>
        <v/>
      </c>
      <c r="E4675" s="45" t="str">
        <f t="shared" si="24"/>
        <v/>
      </c>
      <c r="F4675" s="59" t="str">
        <f t="shared" si="25"/>
        <v/>
      </c>
      <c r="G4675" s="59" t="str">
        <f t="shared" si="26"/>
        <v/>
      </c>
      <c r="H4675" s="59" t="str">
        <f t="shared" si="27"/>
        <v>28C00462</v>
      </c>
      <c r="I4675" s="59" t="str">
        <f>IF(OR($A4675="",$C4675="",$D4675="",$E4675="",$H4675=""),"",SUMIFS(DATA_GOC!$H:$H,DATA_GOC!$A:$A,"BOM",DATA_GOC!$D:$D,$H4675,DATA_GOC!$E:$E,$C4675,DATA_GOC!$F:$F,"Xuất nội bộ từ téc",DATA_GOC!$B:$B,"&gt;="&amp;$D4675,DATA_GOC!$B:$B,"&lt;="&amp;$E4675))</f>
        <v/>
      </c>
      <c r="J4675" s="59">
        <f t="shared" si="28"/>
        <v>0</v>
      </c>
      <c r="K4675" s="59">
        <f t="shared" si="29"/>
        <v>0</v>
      </c>
      <c r="L4675" s="59">
        <f t="shared" si="30"/>
        <v>0</v>
      </c>
      <c r="M4675" s="59">
        <f t="shared" si="31"/>
        <v>0</v>
      </c>
    </row>
    <row r="4676" ht="15.0" hidden="1" customHeight="1">
      <c r="A4676" s="59">
        <f t="shared" si="20"/>
        <v>75</v>
      </c>
      <c r="B4676" s="59" t="str">
        <f t="shared" si="21"/>
        <v/>
      </c>
      <c r="C4676" s="59" t="str">
        <f t="shared" si="22"/>
        <v/>
      </c>
      <c r="D4676" s="45" t="str">
        <f t="shared" si="23"/>
        <v/>
      </c>
      <c r="E4676" s="45" t="str">
        <f t="shared" si="24"/>
        <v/>
      </c>
      <c r="F4676" s="59" t="str">
        <f t="shared" si="25"/>
        <v/>
      </c>
      <c r="G4676" s="59" t="str">
        <f t="shared" si="26"/>
        <v/>
      </c>
      <c r="H4676" s="59" t="str">
        <f t="shared" si="27"/>
        <v>28C01165</v>
      </c>
      <c r="I4676" s="59" t="str">
        <f>IF(OR($A4676="",$C4676="",$D4676="",$E4676="",$H4676=""),"",SUMIFS(DATA_GOC!$H:$H,DATA_GOC!$A:$A,"BOM",DATA_GOC!$D:$D,$H4676,DATA_GOC!$E:$E,$C4676,DATA_GOC!$F:$F,"Xuất nội bộ từ téc",DATA_GOC!$B:$B,"&gt;="&amp;$D4676,DATA_GOC!$B:$B,"&lt;="&amp;$E4676))</f>
        <v/>
      </c>
      <c r="J4676" s="59">
        <f t="shared" si="28"/>
        <v>0</v>
      </c>
      <c r="K4676" s="59">
        <f t="shared" si="29"/>
        <v>0</v>
      </c>
      <c r="L4676" s="59">
        <f t="shared" si="30"/>
        <v>0</v>
      </c>
      <c r="M4676" s="59">
        <f t="shared" si="31"/>
        <v>0</v>
      </c>
    </row>
    <row r="4677" ht="15.0" hidden="1" customHeight="1">
      <c r="A4677" s="59">
        <f t="shared" si="20"/>
        <v>75</v>
      </c>
      <c r="B4677" s="59" t="str">
        <f t="shared" si="21"/>
        <v/>
      </c>
      <c r="C4677" s="59" t="str">
        <f t="shared" si="22"/>
        <v/>
      </c>
      <c r="D4677" s="45" t="str">
        <f t="shared" si="23"/>
        <v/>
      </c>
      <c r="E4677" s="45" t="str">
        <f t="shared" si="24"/>
        <v/>
      </c>
      <c r="F4677" s="59" t="str">
        <f t="shared" si="25"/>
        <v/>
      </c>
      <c r="G4677" s="59" t="str">
        <f t="shared" si="26"/>
        <v/>
      </c>
      <c r="H4677" s="59" t="str">
        <f t="shared" si="27"/>
        <v>28C01406</v>
      </c>
      <c r="I4677" s="59" t="str">
        <f>IF(OR($A4677="",$C4677="",$D4677="",$E4677="",$H4677=""),"",SUMIFS(DATA_GOC!$H:$H,DATA_GOC!$A:$A,"BOM",DATA_GOC!$D:$D,$H4677,DATA_GOC!$E:$E,$C4677,DATA_GOC!$F:$F,"Xuất nội bộ từ téc",DATA_GOC!$B:$B,"&gt;="&amp;$D4677,DATA_GOC!$B:$B,"&lt;="&amp;$E4677))</f>
        <v/>
      </c>
      <c r="J4677" s="59">
        <f t="shared" si="28"/>
        <v>0</v>
      </c>
      <c r="K4677" s="59">
        <f t="shared" si="29"/>
        <v>0</v>
      </c>
      <c r="L4677" s="59">
        <f t="shared" si="30"/>
        <v>0</v>
      </c>
      <c r="M4677" s="59">
        <f t="shared" si="31"/>
        <v>0</v>
      </c>
    </row>
    <row r="4678" ht="15.0" hidden="1" customHeight="1">
      <c r="A4678" s="59">
        <f t="shared" si="20"/>
        <v>75</v>
      </c>
      <c r="B4678" s="59" t="str">
        <f t="shared" si="21"/>
        <v/>
      </c>
      <c r="C4678" s="59" t="str">
        <f t="shared" si="22"/>
        <v/>
      </c>
      <c r="D4678" s="45" t="str">
        <f t="shared" si="23"/>
        <v/>
      </c>
      <c r="E4678" s="45" t="str">
        <f t="shared" si="24"/>
        <v/>
      </c>
      <c r="F4678" s="59" t="str">
        <f t="shared" si="25"/>
        <v/>
      </c>
      <c r="G4678" s="59" t="str">
        <f t="shared" si="26"/>
        <v/>
      </c>
      <c r="H4678" s="59" t="str">
        <f t="shared" si="27"/>
        <v>28C01544</v>
      </c>
      <c r="I4678" s="59" t="str">
        <f>IF(OR($A4678="",$C4678="",$D4678="",$E4678="",$H4678=""),"",SUMIFS(DATA_GOC!$H:$H,DATA_GOC!$A:$A,"BOM",DATA_GOC!$D:$D,$H4678,DATA_GOC!$E:$E,$C4678,DATA_GOC!$F:$F,"Xuất nội bộ từ téc",DATA_GOC!$B:$B,"&gt;="&amp;$D4678,DATA_GOC!$B:$B,"&lt;="&amp;$E4678))</f>
        <v/>
      </c>
      <c r="J4678" s="59">
        <f t="shared" si="28"/>
        <v>0</v>
      </c>
      <c r="K4678" s="59">
        <f t="shared" si="29"/>
        <v>0</v>
      </c>
      <c r="L4678" s="59">
        <f t="shared" si="30"/>
        <v>0</v>
      </c>
      <c r="M4678" s="59">
        <f t="shared" si="31"/>
        <v>0</v>
      </c>
    </row>
    <row r="4679" ht="15.0" hidden="1" customHeight="1">
      <c r="A4679" s="59">
        <f t="shared" si="20"/>
        <v>75</v>
      </c>
      <c r="B4679" s="59" t="str">
        <f t="shared" si="21"/>
        <v/>
      </c>
      <c r="C4679" s="59" t="str">
        <f t="shared" si="22"/>
        <v/>
      </c>
      <c r="D4679" s="45" t="str">
        <f t="shared" si="23"/>
        <v/>
      </c>
      <c r="E4679" s="45" t="str">
        <f t="shared" si="24"/>
        <v/>
      </c>
      <c r="F4679" s="59" t="str">
        <f t="shared" si="25"/>
        <v/>
      </c>
      <c r="G4679" s="59" t="str">
        <f t="shared" si="26"/>
        <v/>
      </c>
      <c r="H4679" s="59" t="str">
        <f t="shared" si="27"/>
        <v>28C01622</v>
      </c>
      <c r="I4679" s="59" t="str">
        <f>IF(OR($A4679="",$C4679="",$D4679="",$E4679="",$H4679=""),"",SUMIFS(DATA_GOC!$H:$H,DATA_GOC!$A:$A,"BOM",DATA_GOC!$D:$D,$H4679,DATA_GOC!$E:$E,$C4679,DATA_GOC!$F:$F,"Xuất nội bộ từ téc",DATA_GOC!$B:$B,"&gt;="&amp;$D4679,DATA_GOC!$B:$B,"&lt;="&amp;$E4679))</f>
        <v/>
      </c>
      <c r="J4679" s="59">
        <f t="shared" si="28"/>
        <v>0</v>
      </c>
      <c r="K4679" s="59">
        <f t="shared" si="29"/>
        <v>0</v>
      </c>
      <c r="L4679" s="59">
        <f t="shared" si="30"/>
        <v>0</v>
      </c>
      <c r="M4679" s="59">
        <f t="shared" si="31"/>
        <v>0</v>
      </c>
    </row>
    <row r="4680" ht="15.0" hidden="1" customHeight="1">
      <c r="A4680" s="59">
        <f t="shared" si="20"/>
        <v>75</v>
      </c>
      <c r="B4680" s="59" t="str">
        <f t="shared" si="21"/>
        <v/>
      </c>
      <c r="C4680" s="59" t="str">
        <f t="shared" si="22"/>
        <v/>
      </c>
      <c r="D4680" s="45" t="str">
        <f t="shared" si="23"/>
        <v/>
      </c>
      <c r="E4680" s="45" t="str">
        <f t="shared" si="24"/>
        <v/>
      </c>
      <c r="F4680" s="59" t="str">
        <f t="shared" si="25"/>
        <v/>
      </c>
      <c r="G4680" s="59" t="str">
        <f t="shared" si="26"/>
        <v/>
      </c>
      <c r="H4680" s="59" t="str">
        <f t="shared" si="27"/>
        <v>28C01647</v>
      </c>
      <c r="I4680" s="59" t="str">
        <f>IF(OR($A4680="",$C4680="",$D4680="",$E4680="",$H4680=""),"",SUMIFS(DATA_GOC!$H:$H,DATA_GOC!$A:$A,"BOM",DATA_GOC!$D:$D,$H4680,DATA_GOC!$E:$E,$C4680,DATA_GOC!$F:$F,"Xuất nội bộ từ téc",DATA_GOC!$B:$B,"&gt;="&amp;$D4680,DATA_GOC!$B:$B,"&lt;="&amp;$E4680))</f>
        <v/>
      </c>
      <c r="J4680" s="59">
        <f t="shared" si="28"/>
        <v>0</v>
      </c>
      <c r="K4680" s="59">
        <f t="shared" si="29"/>
        <v>0</v>
      </c>
      <c r="L4680" s="59">
        <f t="shared" si="30"/>
        <v>0</v>
      </c>
      <c r="M4680" s="59">
        <f t="shared" si="31"/>
        <v>0</v>
      </c>
    </row>
    <row r="4681" ht="15.0" hidden="1" customHeight="1">
      <c r="A4681" s="59">
        <f t="shared" si="20"/>
        <v>75</v>
      </c>
      <c r="B4681" s="59" t="str">
        <f t="shared" si="21"/>
        <v/>
      </c>
      <c r="C4681" s="59" t="str">
        <f t="shared" si="22"/>
        <v/>
      </c>
      <c r="D4681" s="45" t="str">
        <f t="shared" si="23"/>
        <v/>
      </c>
      <c r="E4681" s="45" t="str">
        <f t="shared" si="24"/>
        <v/>
      </c>
      <c r="F4681" s="59" t="str">
        <f t="shared" si="25"/>
        <v/>
      </c>
      <c r="G4681" s="59" t="str">
        <f t="shared" si="26"/>
        <v/>
      </c>
      <c r="H4681" s="59" t="str">
        <f t="shared" si="27"/>
        <v>28C01731</v>
      </c>
      <c r="I4681" s="59" t="str">
        <f>IF(OR($A4681="",$C4681="",$D4681="",$E4681="",$H4681=""),"",SUMIFS(DATA_GOC!$H:$H,DATA_GOC!$A:$A,"BOM",DATA_GOC!$D:$D,$H4681,DATA_GOC!$E:$E,$C4681,DATA_GOC!$F:$F,"Xuất nội bộ từ téc",DATA_GOC!$B:$B,"&gt;="&amp;$D4681,DATA_GOC!$B:$B,"&lt;="&amp;$E4681))</f>
        <v/>
      </c>
      <c r="J4681" s="59">
        <f t="shared" si="28"/>
        <v>0</v>
      </c>
      <c r="K4681" s="59">
        <f t="shared" si="29"/>
        <v>0</v>
      </c>
      <c r="L4681" s="59">
        <f t="shared" si="30"/>
        <v>0</v>
      </c>
      <c r="M4681" s="59">
        <f t="shared" si="31"/>
        <v>0</v>
      </c>
    </row>
    <row r="4682" ht="15.0" hidden="1" customHeight="1">
      <c r="A4682" s="59">
        <f t="shared" si="20"/>
        <v>75</v>
      </c>
      <c r="B4682" s="59" t="str">
        <f t="shared" si="21"/>
        <v/>
      </c>
      <c r="C4682" s="59" t="str">
        <f t="shared" si="22"/>
        <v/>
      </c>
      <c r="D4682" s="45" t="str">
        <f t="shared" si="23"/>
        <v/>
      </c>
      <c r="E4682" s="45" t="str">
        <f t="shared" si="24"/>
        <v/>
      </c>
      <c r="F4682" s="59" t="str">
        <f t="shared" si="25"/>
        <v/>
      </c>
      <c r="G4682" s="59" t="str">
        <f t="shared" si="26"/>
        <v/>
      </c>
      <c r="H4682" s="59" t="str">
        <f t="shared" si="27"/>
        <v>28C01743</v>
      </c>
      <c r="I4682" s="59" t="str">
        <f>IF(OR($A4682="",$C4682="",$D4682="",$E4682="",$H4682=""),"",SUMIFS(DATA_GOC!$H:$H,DATA_GOC!$A:$A,"BOM",DATA_GOC!$D:$D,$H4682,DATA_GOC!$E:$E,$C4682,DATA_GOC!$F:$F,"Xuất nội bộ từ téc",DATA_GOC!$B:$B,"&gt;="&amp;$D4682,DATA_GOC!$B:$B,"&lt;="&amp;$E4682))</f>
        <v/>
      </c>
      <c r="J4682" s="59">
        <f t="shared" si="28"/>
        <v>0</v>
      </c>
      <c r="K4682" s="59">
        <f t="shared" si="29"/>
        <v>0</v>
      </c>
      <c r="L4682" s="59">
        <f t="shared" si="30"/>
        <v>0</v>
      </c>
      <c r="M4682" s="59">
        <f t="shared" si="31"/>
        <v>0</v>
      </c>
    </row>
    <row r="4683" ht="15.0" hidden="1" customHeight="1">
      <c r="A4683" s="59">
        <f t="shared" si="20"/>
        <v>75</v>
      </c>
      <c r="B4683" s="59" t="str">
        <f t="shared" si="21"/>
        <v/>
      </c>
      <c r="C4683" s="59" t="str">
        <f t="shared" si="22"/>
        <v/>
      </c>
      <c r="D4683" s="45" t="str">
        <f t="shared" si="23"/>
        <v/>
      </c>
      <c r="E4683" s="45" t="str">
        <f t="shared" si="24"/>
        <v/>
      </c>
      <c r="F4683" s="59" t="str">
        <f t="shared" si="25"/>
        <v/>
      </c>
      <c r="G4683" s="59" t="str">
        <f t="shared" si="26"/>
        <v/>
      </c>
      <c r="H4683" s="59" t="str">
        <f t="shared" si="27"/>
        <v>28C02106</v>
      </c>
      <c r="I4683" s="59" t="str">
        <f>IF(OR($A4683="",$C4683="",$D4683="",$E4683="",$H4683=""),"",SUMIFS(DATA_GOC!$H:$H,DATA_GOC!$A:$A,"BOM",DATA_GOC!$D:$D,$H4683,DATA_GOC!$E:$E,$C4683,DATA_GOC!$F:$F,"Xuất nội bộ từ téc",DATA_GOC!$B:$B,"&gt;="&amp;$D4683,DATA_GOC!$B:$B,"&lt;="&amp;$E4683))</f>
        <v/>
      </c>
      <c r="J4683" s="59">
        <f t="shared" si="28"/>
        <v>0</v>
      </c>
      <c r="K4683" s="59">
        <f t="shared" si="29"/>
        <v>0</v>
      </c>
      <c r="L4683" s="59">
        <f t="shared" si="30"/>
        <v>0</v>
      </c>
      <c r="M4683" s="59">
        <f t="shared" si="31"/>
        <v>0</v>
      </c>
    </row>
    <row r="4684" ht="15.0" hidden="1" customHeight="1">
      <c r="A4684" s="59">
        <f t="shared" si="20"/>
        <v>75</v>
      </c>
      <c r="B4684" s="59" t="str">
        <f t="shared" si="21"/>
        <v/>
      </c>
      <c r="C4684" s="59" t="str">
        <f t="shared" si="22"/>
        <v/>
      </c>
      <c r="D4684" s="45" t="str">
        <f t="shared" si="23"/>
        <v/>
      </c>
      <c r="E4684" s="45" t="str">
        <f t="shared" si="24"/>
        <v/>
      </c>
      <c r="F4684" s="59" t="str">
        <f t="shared" si="25"/>
        <v/>
      </c>
      <c r="G4684" s="59" t="str">
        <f t="shared" si="26"/>
        <v/>
      </c>
      <c r="H4684" s="59" t="str">
        <f t="shared" si="27"/>
        <v>28C02410</v>
      </c>
      <c r="I4684" s="59" t="str">
        <f>IF(OR($A4684="",$C4684="",$D4684="",$E4684="",$H4684=""),"",SUMIFS(DATA_GOC!$H:$H,DATA_GOC!$A:$A,"BOM",DATA_GOC!$D:$D,$H4684,DATA_GOC!$E:$E,$C4684,DATA_GOC!$F:$F,"Xuất nội bộ từ téc",DATA_GOC!$B:$B,"&gt;="&amp;$D4684,DATA_GOC!$B:$B,"&lt;="&amp;$E4684))</f>
        <v/>
      </c>
      <c r="J4684" s="59">
        <f t="shared" si="28"/>
        <v>0</v>
      </c>
      <c r="K4684" s="59">
        <f t="shared" si="29"/>
        <v>0</v>
      </c>
      <c r="L4684" s="59">
        <f t="shared" si="30"/>
        <v>0</v>
      </c>
      <c r="M4684" s="59">
        <f t="shared" si="31"/>
        <v>0</v>
      </c>
    </row>
    <row r="4685" ht="15.0" hidden="1" customHeight="1">
      <c r="A4685" s="59">
        <f t="shared" si="20"/>
        <v>75</v>
      </c>
      <c r="B4685" s="59" t="str">
        <f t="shared" si="21"/>
        <v/>
      </c>
      <c r="C4685" s="59" t="str">
        <f t="shared" si="22"/>
        <v/>
      </c>
      <c r="D4685" s="45" t="str">
        <f t="shared" si="23"/>
        <v/>
      </c>
      <c r="E4685" s="45" t="str">
        <f t="shared" si="24"/>
        <v/>
      </c>
      <c r="F4685" s="59" t="str">
        <f t="shared" si="25"/>
        <v/>
      </c>
      <c r="G4685" s="59" t="str">
        <f t="shared" si="26"/>
        <v/>
      </c>
      <c r="H4685" s="59" t="str">
        <f t="shared" si="27"/>
        <v>28C02545</v>
      </c>
      <c r="I4685" s="59" t="str">
        <f>IF(OR($A4685="",$C4685="",$D4685="",$E4685="",$H4685=""),"",SUMIFS(DATA_GOC!$H:$H,DATA_GOC!$A:$A,"BOM",DATA_GOC!$D:$D,$H4685,DATA_GOC!$E:$E,$C4685,DATA_GOC!$F:$F,"Xuất nội bộ từ téc",DATA_GOC!$B:$B,"&gt;="&amp;$D4685,DATA_GOC!$B:$B,"&lt;="&amp;$E4685))</f>
        <v/>
      </c>
      <c r="J4685" s="59">
        <f t="shared" si="28"/>
        <v>0</v>
      </c>
      <c r="K4685" s="59">
        <f t="shared" si="29"/>
        <v>0</v>
      </c>
      <c r="L4685" s="59">
        <f t="shared" si="30"/>
        <v>0</v>
      </c>
      <c r="M4685" s="59">
        <f t="shared" si="31"/>
        <v>0</v>
      </c>
    </row>
    <row r="4686" ht="15.0" hidden="1" customHeight="1">
      <c r="A4686" s="59">
        <f t="shared" si="20"/>
        <v>75</v>
      </c>
      <c r="B4686" s="59" t="str">
        <f t="shared" si="21"/>
        <v/>
      </c>
      <c r="C4686" s="59" t="str">
        <f t="shared" si="22"/>
        <v/>
      </c>
      <c r="D4686" s="45" t="str">
        <f t="shared" si="23"/>
        <v/>
      </c>
      <c r="E4686" s="45" t="str">
        <f t="shared" si="24"/>
        <v/>
      </c>
      <c r="F4686" s="59" t="str">
        <f t="shared" si="25"/>
        <v/>
      </c>
      <c r="G4686" s="59" t="str">
        <f t="shared" si="26"/>
        <v/>
      </c>
      <c r="H4686" s="59" t="str">
        <f t="shared" si="27"/>
        <v>28C02574</v>
      </c>
      <c r="I4686" s="59" t="str">
        <f>IF(OR($A4686="",$C4686="",$D4686="",$E4686="",$H4686=""),"",SUMIFS(DATA_GOC!$H:$H,DATA_GOC!$A:$A,"BOM",DATA_GOC!$D:$D,$H4686,DATA_GOC!$E:$E,$C4686,DATA_GOC!$F:$F,"Xuất nội bộ từ téc",DATA_GOC!$B:$B,"&gt;="&amp;$D4686,DATA_GOC!$B:$B,"&lt;="&amp;$E4686))</f>
        <v/>
      </c>
      <c r="J4686" s="59">
        <f t="shared" si="28"/>
        <v>0</v>
      </c>
      <c r="K4686" s="59">
        <f t="shared" si="29"/>
        <v>0</v>
      </c>
      <c r="L4686" s="59">
        <f t="shared" si="30"/>
        <v>0</v>
      </c>
      <c r="M4686" s="59">
        <f t="shared" si="31"/>
        <v>0</v>
      </c>
    </row>
    <row r="4687" ht="15.0" hidden="1" customHeight="1">
      <c r="A4687" s="59">
        <f t="shared" si="20"/>
        <v>75</v>
      </c>
      <c r="B4687" s="59" t="str">
        <f t="shared" si="21"/>
        <v/>
      </c>
      <c r="C4687" s="59" t="str">
        <f t="shared" si="22"/>
        <v/>
      </c>
      <c r="D4687" s="45" t="str">
        <f t="shared" si="23"/>
        <v/>
      </c>
      <c r="E4687" s="45" t="str">
        <f t="shared" si="24"/>
        <v/>
      </c>
      <c r="F4687" s="59" t="str">
        <f t="shared" si="25"/>
        <v/>
      </c>
      <c r="G4687" s="59" t="str">
        <f t="shared" si="26"/>
        <v/>
      </c>
      <c r="H4687" s="59" t="str">
        <f t="shared" si="27"/>
        <v>28C02770</v>
      </c>
      <c r="I4687" s="59" t="str">
        <f>IF(OR($A4687="",$C4687="",$D4687="",$E4687="",$H4687=""),"",SUMIFS(DATA_GOC!$H:$H,DATA_GOC!$A:$A,"BOM",DATA_GOC!$D:$D,$H4687,DATA_GOC!$E:$E,$C4687,DATA_GOC!$F:$F,"Xuất nội bộ từ téc",DATA_GOC!$B:$B,"&gt;="&amp;$D4687,DATA_GOC!$B:$B,"&lt;="&amp;$E4687))</f>
        <v/>
      </c>
      <c r="J4687" s="59">
        <f t="shared" si="28"/>
        <v>0</v>
      </c>
      <c r="K4687" s="59">
        <f t="shared" si="29"/>
        <v>0</v>
      </c>
      <c r="L4687" s="59">
        <f t="shared" si="30"/>
        <v>0</v>
      </c>
      <c r="M4687" s="59">
        <f t="shared" si="31"/>
        <v>0</v>
      </c>
    </row>
    <row r="4688" ht="15.0" hidden="1" customHeight="1">
      <c r="A4688" s="59">
        <f t="shared" si="20"/>
        <v>75</v>
      </c>
      <c r="B4688" s="59" t="str">
        <f t="shared" si="21"/>
        <v/>
      </c>
      <c r="C4688" s="59" t="str">
        <f t="shared" si="22"/>
        <v/>
      </c>
      <c r="D4688" s="45" t="str">
        <f t="shared" si="23"/>
        <v/>
      </c>
      <c r="E4688" s="45" t="str">
        <f t="shared" si="24"/>
        <v/>
      </c>
      <c r="F4688" s="59" t="str">
        <f t="shared" si="25"/>
        <v/>
      </c>
      <c r="G4688" s="59" t="str">
        <f t="shared" si="26"/>
        <v/>
      </c>
      <c r="H4688" s="59" t="str">
        <f t="shared" si="27"/>
        <v>28C02986</v>
      </c>
      <c r="I4688" s="59" t="str">
        <f>IF(OR($A4688="",$C4688="",$D4688="",$E4688="",$H4688=""),"",SUMIFS(DATA_GOC!$H:$H,DATA_GOC!$A:$A,"BOM",DATA_GOC!$D:$D,$H4688,DATA_GOC!$E:$E,$C4688,DATA_GOC!$F:$F,"Xuất nội bộ từ téc",DATA_GOC!$B:$B,"&gt;="&amp;$D4688,DATA_GOC!$B:$B,"&lt;="&amp;$E4688))</f>
        <v/>
      </c>
      <c r="J4688" s="59">
        <f t="shared" si="28"/>
        <v>0</v>
      </c>
      <c r="K4688" s="59">
        <f t="shared" si="29"/>
        <v>0</v>
      </c>
      <c r="L4688" s="59">
        <f t="shared" si="30"/>
        <v>0</v>
      </c>
      <c r="M4688" s="59">
        <f t="shared" si="31"/>
        <v>0</v>
      </c>
    </row>
    <row r="4689" ht="15.0" hidden="1" customHeight="1">
      <c r="A4689" s="59">
        <f t="shared" si="20"/>
        <v>75</v>
      </c>
      <c r="B4689" s="59" t="str">
        <f t="shared" si="21"/>
        <v/>
      </c>
      <c r="C4689" s="59" t="str">
        <f t="shared" si="22"/>
        <v/>
      </c>
      <c r="D4689" s="45" t="str">
        <f t="shared" si="23"/>
        <v/>
      </c>
      <c r="E4689" s="45" t="str">
        <f t="shared" si="24"/>
        <v/>
      </c>
      <c r="F4689" s="59" t="str">
        <f t="shared" si="25"/>
        <v/>
      </c>
      <c r="G4689" s="59" t="str">
        <f t="shared" si="26"/>
        <v/>
      </c>
      <c r="H4689" s="59" t="str">
        <f t="shared" si="27"/>
        <v>28C03261</v>
      </c>
      <c r="I4689" s="59" t="str">
        <f>IF(OR($A4689="",$C4689="",$D4689="",$E4689="",$H4689=""),"",SUMIFS(DATA_GOC!$H:$H,DATA_GOC!$A:$A,"BOM",DATA_GOC!$D:$D,$H4689,DATA_GOC!$E:$E,$C4689,DATA_GOC!$F:$F,"Xuất nội bộ từ téc",DATA_GOC!$B:$B,"&gt;="&amp;$D4689,DATA_GOC!$B:$B,"&lt;="&amp;$E4689))</f>
        <v/>
      </c>
      <c r="J4689" s="59">
        <f t="shared" si="28"/>
        <v>0</v>
      </c>
      <c r="K4689" s="59">
        <f t="shared" si="29"/>
        <v>0</v>
      </c>
      <c r="L4689" s="59">
        <f t="shared" si="30"/>
        <v>0</v>
      </c>
      <c r="M4689" s="59">
        <f t="shared" si="31"/>
        <v>0</v>
      </c>
    </row>
    <row r="4690" ht="15.0" hidden="1" customHeight="1">
      <c r="A4690" s="59">
        <f t="shared" si="20"/>
        <v>75</v>
      </c>
      <c r="B4690" s="59" t="str">
        <f t="shared" si="21"/>
        <v/>
      </c>
      <c r="C4690" s="59" t="str">
        <f t="shared" si="22"/>
        <v/>
      </c>
      <c r="D4690" s="45" t="str">
        <f t="shared" si="23"/>
        <v/>
      </c>
      <c r="E4690" s="45" t="str">
        <f t="shared" si="24"/>
        <v/>
      </c>
      <c r="F4690" s="59" t="str">
        <f t="shared" si="25"/>
        <v/>
      </c>
      <c r="G4690" s="59" t="str">
        <f t="shared" si="26"/>
        <v/>
      </c>
      <c r="H4690" s="59" t="str">
        <f t="shared" si="27"/>
        <v>28C03323</v>
      </c>
      <c r="I4690" s="59" t="str">
        <f>IF(OR($A4690="",$C4690="",$D4690="",$E4690="",$H4690=""),"",SUMIFS(DATA_GOC!$H:$H,DATA_GOC!$A:$A,"BOM",DATA_GOC!$D:$D,$H4690,DATA_GOC!$E:$E,$C4690,DATA_GOC!$F:$F,"Xuất nội bộ từ téc",DATA_GOC!$B:$B,"&gt;="&amp;$D4690,DATA_GOC!$B:$B,"&lt;="&amp;$E4690))</f>
        <v/>
      </c>
      <c r="J4690" s="59">
        <f t="shared" si="28"/>
        <v>0</v>
      </c>
      <c r="K4690" s="59">
        <f t="shared" si="29"/>
        <v>0</v>
      </c>
      <c r="L4690" s="59">
        <f t="shared" si="30"/>
        <v>0</v>
      </c>
      <c r="M4690" s="59">
        <f t="shared" si="31"/>
        <v>0</v>
      </c>
    </row>
    <row r="4691" ht="15.0" hidden="1" customHeight="1">
      <c r="A4691" s="59">
        <f t="shared" si="20"/>
        <v>75</v>
      </c>
      <c r="B4691" s="59" t="str">
        <f t="shared" si="21"/>
        <v/>
      </c>
      <c r="C4691" s="59" t="str">
        <f t="shared" si="22"/>
        <v/>
      </c>
      <c r="D4691" s="45" t="str">
        <f t="shared" si="23"/>
        <v/>
      </c>
      <c r="E4691" s="45" t="str">
        <f t="shared" si="24"/>
        <v/>
      </c>
      <c r="F4691" s="59" t="str">
        <f t="shared" si="25"/>
        <v/>
      </c>
      <c r="G4691" s="59" t="str">
        <f t="shared" si="26"/>
        <v/>
      </c>
      <c r="H4691" s="59" t="str">
        <f t="shared" si="27"/>
        <v>28C03385</v>
      </c>
      <c r="I4691" s="59" t="str">
        <f>IF(OR($A4691="",$C4691="",$D4691="",$E4691="",$H4691=""),"",SUMIFS(DATA_GOC!$H:$H,DATA_GOC!$A:$A,"BOM",DATA_GOC!$D:$D,$H4691,DATA_GOC!$E:$E,$C4691,DATA_GOC!$F:$F,"Xuất nội bộ từ téc",DATA_GOC!$B:$B,"&gt;="&amp;$D4691,DATA_GOC!$B:$B,"&lt;="&amp;$E4691))</f>
        <v/>
      </c>
      <c r="J4691" s="59">
        <f t="shared" si="28"/>
        <v>0</v>
      </c>
      <c r="K4691" s="59">
        <f t="shared" si="29"/>
        <v>0</v>
      </c>
      <c r="L4691" s="59">
        <f t="shared" si="30"/>
        <v>0</v>
      </c>
      <c r="M4691" s="59">
        <f t="shared" si="31"/>
        <v>0</v>
      </c>
    </row>
    <row r="4692" ht="15.0" hidden="1" customHeight="1">
      <c r="A4692" s="59">
        <f t="shared" si="20"/>
        <v>75</v>
      </c>
      <c r="B4692" s="59" t="str">
        <f t="shared" si="21"/>
        <v/>
      </c>
      <c r="C4692" s="59" t="str">
        <f t="shared" si="22"/>
        <v/>
      </c>
      <c r="D4692" s="45" t="str">
        <f t="shared" si="23"/>
        <v/>
      </c>
      <c r="E4692" s="45" t="str">
        <f t="shared" si="24"/>
        <v/>
      </c>
      <c r="F4692" s="59" t="str">
        <f t="shared" si="25"/>
        <v/>
      </c>
      <c r="G4692" s="59" t="str">
        <f t="shared" si="26"/>
        <v/>
      </c>
      <c r="H4692" s="59" t="str">
        <f t="shared" si="27"/>
        <v>28C03652</v>
      </c>
      <c r="I4692" s="59" t="str">
        <f>IF(OR($A4692="",$C4692="",$D4692="",$E4692="",$H4692=""),"",SUMIFS(DATA_GOC!$H:$H,DATA_GOC!$A:$A,"BOM",DATA_GOC!$D:$D,$H4692,DATA_GOC!$E:$E,$C4692,DATA_GOC!$F:$F,"Xuất nội bộ từ téc",DATA_GOC!$B:$B,"&gt;="&amp;$D4692,DATA_GOC!$B:$B,"&lt;="&amp;$E4692))</f>
        <v/>
      </c>
      <c r="J4692" s="59">
        <f t="shared" si="28"/>
        <v>0</v>
      </c>
      <c r="K4692" s="59">
        <f t="shared" si="29"/>
        <v>0</v>
      </c>
      <c r="L4692" s="59">
        <f t="shared" si="30"/>
        <v>0</v>
      </c>
      <c r="M4692" s="59">
        <f t="shared" si="31"/>
        <v>0</v>
      </c>
    </row>
    <row r="4693" ht="15.0" hidden="1" customHeight="1">
      <c r="A4693" s="59">
        <f t="shared" si="20"/>
        <v>75</v>
      </c>
      <c r="B4693" s="59" t="str">
        <f t="shared" si="21"/>
        <v/>
      </c>
      <c r="C4693" s="59" t="str">
        <f t="shared" si="22"/>
        <v/>
      </c>
      <c r="D4693" s="45" t="str">
        <f t="shared" si="23"/>
        <v/>
      </c>
      <c r="E4693" s="45" t="str">
        <f t="shared" si="24"/>
        <v/>
      </c>
      <c r="F4693" s="59" t="str">
        <f t="shared" si="25"/>
        <v/>
      </c>
      <c r="G4693" s="59" t="str">
        <f t="shared" si="26"/>
        <v/>
      </c>
      <c r="H4693" s="59" t="str">
        <f t="shared" si="27"/>
        <v>28C03695</v>
      </c>
      <c r="I4693" s="59" t="str">
        <f>IF(OR($A4693="",$C4693="",$D4693="",$E4693="",$H4693=""),"",SUMIFS(DATA_GOC!$H:$H,DATA_GOC!$A:$A,"BOM",DATA_GOC!$D:$D,$H4693,DATA_GOC!$E:$E,$C4693,DATA_GOC!$F:$F,"Xuất nội bộ từ téc",DATA_GOC!$B:$B,"&gt;="&amp;$D4693,DATA_GOC!$B:$B,"&lt;="&amp;$E4693))</f>
        <v/>
      </c>
      <c r="J4693" s="59">
        <f t="shared" si="28"/>
        <v>0</v>
      </c>
      <c r="K4693" s="59">
        <f t="shared" si="29"/>
        <v>0</v>
      </c>
      <c r="L4693" s="59">
        <f t="shared" si="30"/>
        <v>0</v>
      </c>
      <c r="M4693" s="59">
        <f t="shared" si="31"/>
        <v>0</v>
      </c>
    </row>
    <row r="4694" ht="15.0" hidden="1" customHeight="1">
      <c r="A4694" s="59">
        <f t="shared" si="20"/>
        <v>75</v>
      </c>
      <c r="B4694" s="59" t="str">
        <f t="shared" si="21"/>
        <v/>
      </c>
      <c r="C4694" s="59" t="str">
        <f t="shared" si="22"/>
        <v/>
      </c>
      <c r="D4694" s="45" t="str">
        <f t="shared" si="23"/>
        <v/>
      </c>
      <c r="E4694" s="45" t="str">
        <f t="shared" si="24"/>
        <v/>
      </c>
      <c r="F4694" s="59" t="str">
        <f t="shared" si="25"/>
        <v/>
      </c>
      <c r="G4694" s="59" t="str">
        <f t="shared" si="26"/>
        <v/>
      </c>
      <c r="H4694" s="59" t="str">
        <f t="shared" si="27"/>
        <v>28C03927</v>
      </c>
      <c r="I4694" s="59" t="str">
        <f>IF(OR($A4694="",$C4694="",$D4694="",$E4694="",$H4694=""),"",SUMIFS(DATA_GOC!$H:$H,DATA_GOC!$A:$A,"BOM",DATA_GOC!$D:$D,$H4694,DATA_GOC!$E:$E,$C4694,DATA_GOC!$F:$F,"Xuất nội bộ từ téc",DATA_GOC!$B:$B,"&gt;="&amp;$D4694,DATA_GOC!$B:$B,"&lt;="&amp;$E4694))</f>
        <v/>
      </c>
      <c r="J4694" s="59">
        <f t="shared" si="28"/>
        <v>0</v>
      </c>
      <c r="K4694" s="59">
        <f t="shared" si="29"/>
        <v>0</v>
      </c>
      <c r="L4694" s="59">
        <f t="shared" si="30"/>
        <v>0</v>
      </c>
      <c r="M4694" s="59">
        <f t="shared" si="31"/>
        <v>0</v>
      </c>
    </row>
    <row r="4695" ht="15.0" hidden="1" customHeight="1">
      <c r="A4695" s="59">
        <f t="shared" si="20"/>
        <v>75</v>
      </c>
      <c r="B4695" s="59" t="str">
        <f t="shared" si="21"/>
        <v/>
      </c>
      <c r="C4695" s="59" t="str">
        <f t="shared" si="22"/>
        <v/>
      </c>
      <c r="D4695" s="45" t="str">
        <f t="shared" si="23"/>
        <v/>
      </c>
      <c r="E4695" s="45" t="str">
        <f t="shared" si="24"/>
        <v/>
      </c>
      <c r="F4695" s="59" t="str">
        <f t="shared" si="25"/>
        <v/>
      </c>
      <c r="G4695" s="59" t="str">
        <f t="shared" si="26"/>
        <v/>
      </c>
      <c r="H4695" s="59" t="str">
        <f t="shared" si="27"/>
        <v>28C04509</v>
      </c>
      <c r="I4695" s="59" t="str">
        <f>IF(OR($A4695="",$C4695="",$D4695="",$E4695="",$H4695=""),"",SUMIFS(DATA_GOC!$H:$H,DATA_GOC!$A:$A,"BOM",DATA_GOC!$D:$D,$H4695,DATA_GOC!$E:$E,$C4695,DATA_GOC!$F:$F,"Xuất nội bộ từ téc",DATA_GOC!$B:$B,"&gt;="&amp;$D4695,DATA_GOC!$B:$B,"&lt;="&amp;$E4695))</f>
        <v/>
      </c>
      <c r="J4695" s="59">
        <f t="shared" si="28"/>
        <v>0</v>
      </c>
      <c r="K4695" s="59">
        <f t="shared" si="29"/>
        <v>0</v>
      </c>
      <c r="L4695" s="59">
        <f t="shared" si="30"/>
        <v>0</v>
      </c>
      <c r="M4695" s="59">
        <f t="shared" si="31"/>
        <v>0</v>
      </c>
    </row>
    <row r="4696" ht="15.0" hidden="1" customHeight="1">
      <c r="A4696" s="59">
        <f t="shared" si="20"/>
        <v>75</v>
      </c>
      <c r="B4696" s="59" t="str">
        <f t="shared" si="21"/>
        <v/>
      </c>
      <c r="C4696" s="59" t="str">
        <f t="shared" si="22"/>
        <v/>
      </c>
      <c r="D4696" s="45" t="str">
        <f t="shared" si="23"/>
        <v/>
      </c>
      <c r="E4696" s="45" t="str">
        <f t="shared" si="24"/>
        <v/>
      </c>
      <c r="F4696" s="59" t="str">
        <f t="shared" si="25"/>
        <v/>
      </c>
      <c r="G4696" s="59" t="str">
        <f t="shared" si="26"/>
        <v/>
      </c>
      <c r="H4696" s="59" t="str">
        <f t="shared" si="27"/>
        <v>28C04536</v>
      </c>
      <c r="I4696" s="59" t="str">
        <f>IF(OR($A4696="",$C4696="",$D4696="",$E4696="",$H4696=""),"",SUMIFS(DATA_GOC!$H:$H,DATA_GOC!$A:$A,"BOM",DATA_GOC!$D:$D,$H4696,DATA_GOC!$E:$E,$C4696,DATA_GOC!$F:$F,"Xuất nội bộ từ téc",DATA_GOC!$B:$B,"&gt;="&amp;$D4696,DATA_GOC!$B:$B,"&lt;="&amp;$E4696))</f>
        <v/>
      </c>
      <c r="J4696" s="59">
        <f t="shared" si="28"/>
        <v>0</v>
      </c>
      <c r="K4696" s="59">
        <f t="shared" si="29"/>
        <v>0</v>
      </c>
      <c r="L4696" s="59">
        <f t="shared" si="30"/>
        <v>0</v>
      </c>
      <c r="M4696" s="59">
        <f t="shared" si="31"/>
        <v>0</v>
      </c>
    </row>
    <row r="4697" ht="15.0" hidden="1" customHeight="1">
      <c r="A4697" s="59">
        <f t="shared" si="20"/>
        <v>75</v>
      </c>
      <c r="B4697" s="59" t="str">
        <f t="shared" si="21"/>
        <v/>
      </c>
      <c r="C4697" s="59" t="str">
        <f t="shared" si="22"/>
        <v/>
      </c>
      <c r="D4697" s="45" t="str">
        <f t="shared" si="23"/>
        <v/>
      </c>
      <c r="E4697" s="45" t="str">
        <f t="shared" si="24"/>
        <v/>
      </c>
      <c r="F4697" s="59" t="str">
        <f t="shared" si="25"/>
        <v/>
      </c>
      <c r="G4697" s="59" t="str">
        <f t="shared" si="26"/>
        <v/>
      </c>
      <c r="H4697" s="59" t="str">
        <f t="shared" si="27"/>
        <v>28C04576</v>
      </c>
      <c r="I4697" s="59" t="str">
        <f>IF(OR($A4697="",$C4697="",$D4697="",$E4697="",$H4697=""),"",SUMIFS(DATA_GOC!$H:$H,DATA_GOC!$A:$A,"BOM",DATA_GOC!$D:$D,$H4697,DATA_GOC!$E:$E,$C4697,DATA_GOC!$F:$F,"Xuất nội bộ từ téc",DATA_GOC!$B:$B,"&gt;="&amp;$D4697,DATA_GOC!$B:$B,"&lt;="&amp;$E4697))</f>
        <v/>
      </c>
      <c r="J4697" s="59">
        <f t="shared" si="28"/>
        <v>0</v>
      </c>
      <c r="K4697" s="59">
        <f t="shared" si="29"/>
        <v>0</v>
      </c>
      <c r="L4697" s="59">
        <f t="shared" si="30"/>
        <v>0</v>
      </c>
      <c r="M4697" s="59">
        <f t="shared" si="31"/>
        <v>0</v>
      </c>
    </row>
    <row r="4698" ht="15.0" hidden="1" customHeight="1">
      <c r="A4698" s="59">
        <f t="shared" si="20"/>
        <v>75</v>
      </c>
      <c r="B4698" s="59" t="str">
        <f t="shared" si="21"/>
        <v/>
      </c>
      <c r="C4698" s="59" t="str">
        <f t="shared" si="22"/>
        <v/>
      </c>
      <c r="D4698" s="45" t="str">
        <f t="shared" si="23"/>
        <v/>
      </c>
      <c r="E4698" s="45" t="str">
        <f t="shared" si="24"/>
        <v/>
      </c>
      <c r="F4698" s="59" t="str">
        <f t="shared" si="25"/>
        <v/>
      </c>
      <c r="G4698" s="59" t="str">
        <f t="shared" si="26"/>
        <v/>
      </c>
      <c r="H4698" s="59" t="str">
        <f t="shared" si="27"/>
        <v>28C05090</v>
      </c>
      <c r="I4698" s="59" t="str">
        <f>IF(OR($A4698="",$C4698="",$D4698="",$E4698="",$H4698=""),"",SUMIFS(DATA_GOC!$H:$H,DATA_GOC!$A:$A,"BOM",DATA_GOC!$D:$D,$H4698,DATA_GOC!$E:$E,$C4698,DATA_GOC!$F:$F,"Xuất nội bộ từ téc",DATA_GOC!$B:$B,"&gt;="&amp;$D4698,DATA_GOC!$B:$B,"&lt;="&amp;$E4698))</f>
        <v/>
      </c>
      <c r="J4698" s="59">
        <f t="shared" si="28"/>
        <v>0</v>
      </c>
      <c r="K4698" s="59">
        <f t="shared" si="29"/>
        <v>0</v>
      </c>
      <c r="L4698" s="59">
        <f t="shared" si="30"/>
        <v>0</v>
      </c>
      <c r="M4698" s="59">
        <f t="shared" si="31"/>
        <v>0</v>
      </c>
    </row>
    <row r="4699" ht="15.0" hidden="1" customHeight="1">
      <c r="A4699" s="59">
        <f t="shared" si="20"/>
        <v>75</v>
      </c>
      <c r="B4699" s="59" t="str">
        <f t="shared" si="21"/>
        <v/>
      </c>
      <c r="C4699" s="59" t="str">
        <f t="shared" si="22"/>
        <v/>
      </c>
      <c r="D4699" s="45" t="str">
        <f t="shared" si="23"/>
        <v/>
      </c>
      <c r="E4699" s="45" t="str">
        <f t="shared" si="24"/>
        <v/>
      </c>
      <c r="F4699" s="59" t="str">
        <f t="shared" si="25"/>
        <v/>
      </c>
      <c r="G4699" s="59" t="str">
        <f t="shared" si="26"/>
        <v/>
      </c>
      <c r="H4699" s="59" t="str">
        <f t="shared" si="27"/>
        <v>28C05345</v>
      </c>
      <c r="I4699" s="59" t="str">
        <f>IF(OR($A4699="",$C4699="",$D4699="",$E4699="",$H4699=""),"",SUMIFS(DATA_GOC!$H:$H,DATA_GOC!$A:$A,"BOM",DATA_GOC!$D:$D,$H4699,DATA_GOC!$E:$E,$C4699,DATA_GOC!$F:$F,"Xuất nội bộ từ téc",DATA_GOC!$B:$B,"&gt;="&amp;$D4699,DATA_GOC!$B:$B,"&lt;="&amp;$E4699))</f>
        <v/>
      </c>
      <c r="J4699" s="59">
        <f t="shared" si="28"/>
        <v>0</v>
      </c>
      <c r="K4699" s="59">
        <f t="shared" si="29"/>
        <v>0</v>
      </c>
      <c r="L4699" s="59">
        <f t="shared" si="30"/>
        <v>0</v>
      </c>
      <c r="M4699" s="59">
        <f t="shared" si="31"/>
        <v>0</v>
      </c>
    </row>
    <row r="4700" ht="15.0" hidden="1" customHeight="1">
      <c r="A4700" s="59">
        <f t="shared" si="20"/>
        <v>75</v>
      </c>
      <c r="B4700" s="59" t="str">
        <f t="shared" si="21"/>
        <v/>
      </c>
      <c r="C4700" s="59" t="str">
        <f t="shared" si="22"/>
        <v/>
      </c>
      <c r="D4700" s="45" t="str">
        <f t="shared" si="23"/>
        <v/>
      </c>
      <c r="E4700" s="45" t="str">
        <f t="shared" si="24"/>
        <v/>
      </c>
      <c r="F4700" s="59" t="str">
        <f t="shared" si="25"/>
        <v/>
      </c>
      <c r="G4700" s="59" t="str">
        <f t="shared" si="26"/>
        <v/>
      </c>
      <c r="H4700" s="59" t="str">
        <f t="shared" si="27"/>
        <v>28C05661</v>
      </c>
      <c r="I4700" s="59" t="str">
        <f>IF(OR($A4700="",$C4700="",$D4700="",$E4700="",$H4700=""),"",SUMIFS(DATA_GOC!$H:$H,DATA_GOC!$A:$A,"BOM",DATA_GOC!$D:$D,$H4700,DATA_GOC!$E:$E,$C4700,DATA_GOC!$F:$F,"Xuất nội bộ từ téc",DATA_GOC!$B:$B,"&gt;="&amp;$D4700,DATA_GOC!$B:$B,"&lt;="&amp;$E4700))</f>
        <v/>
      </c>
      <c r="J4700" s="59">
        <f t="shared" si="28"/>
        <v>0</v>
      </c>
      <c r="K4700" s="59">
        <f t="shared" si="29"/>
        <v>0</v>
      </c>
      <c r="L4700" s="59">
        <f t="shared" si="30"/>
        <v>0</v>
      </c>
      <c r="M4700" s="59">
        <f t="shared" si="31"/>
        <v>0</v>
      </c>
    </row>
    <row r="4701" ht="15.0" hidden="1" customHeight="1">
      <c r="A4701" s="59">
        <f t="shared" si="20"/>
        <v>75</v>
      </c>
      <c r="B4701" s="59" t="str">
        <f t="shared" si="21"/>
        <v/>
      </c>
      <c r="C4701" s="59" t="str">
        <f t="shared" si="22"/>
        <v/>
      </c>
      <c r="D4701" s="45" t="str">
        <f t="shared" si="23"/>
        <v/>
      </c>
      <c r="E4701" s="45" t="str">
        <f t="shared" si="24"/>
        <v/>
      </c>
      <c r="F4701" s="59" t="str">
        <f t="shared" si="25"/>
        <v/>
      </c>
      <c r="G4701" s="59" t="str">
        <f t="shared" si="26"/>
        <v/>
      </c>
      <c r="H4701" s="59" t="str">
        <f t="shared" si="27"/>
        <v>28C05739</v>
      </c>
      <c r="I4701" s="59" t="str">
        <f>IF(OR($A4701="",$C4701="",$D4701="",$E4701="",$H4701=""),"",SUMIFS(DATA_GOC!$H:$H,DATA_GOC!$A:$A,"BOM",DATA_GOC!$D:$D,$H4701,DATA_GOC!$E:$E,$C4701,DATA_GOC!$F:$F,"Xuất nội bộ từ téc",DATA_GOC!$B:$B,"&gt;="&amp;$D4701,DATA_GOC!$B:$B,"&lt;="&amp;$E4701))</f>
        <v/>
      </c>
      <c r="J4701" s="59">
        <f t="shared" si="28"/>
        <v>0</v>
      </c>
      <c r="K4701" s="59">
        <f t="shared" si="29"/>
        <v>0</v>
      </c>
      <c r="L4701" s="59">
        <f t="shared" si="30"/>
        <v>0</v>
      </c>
      <c r="M4701" s="59">
        <f t="shared" si="31"/>
        <v>0</v>
      </c>
    </row>
    <row r="4702" ht="15.0" hidden="1" customHeight="1">
      <c r="A4702" s="59">
        <f t="shared" si="20"/>
        <v>75</v>
      </c>
      <c r="B4702" s="59" t="str">
        <f t="shared" si="21"/>
        <v/>
      </c>
      <c r="C4702" s="59" t="str">
        <f t="shared" si="22"/>
        <v/>
      </c>
      <c r="D4702" s="45" t="str">
        <f t="shared" si="23"/>
        <v/>
      </c>
      <c r="E4702" s="45" t="str">
        <f t="shared" si="24"/>
        <v/>
      </c>
      <c r="F4702" s="59" t="str">
        <f t="shared" si="25"/>
        <v/>
      </c>
      <c r="G4702" s="59" t="str">
        <f t="shared" si="26"/>
        <v/>
      </c>
      <c r="H4702" s="59" t="str">
        <f t="shared" si="27"/>
        <v>28C06369</v>
      </c>
      <c r="I4702" s="59" t="str">
        <f>IF(OR($A4702="",$C4702="",$D4702="",$E4702="",$H4702=""),"",SUMIFS(DATA_GOC!$H:$H,DATA_GOC!$A:$A,"BOM",DATA_GOC!$D:$D,$H4702,DATA_GOC!$E:$E,$C4702,DATA_GOC!$F:$F,"Xuất nội bộ từ téc",DATA_GOC!$B:$B,"&gt;="&amp;$D4702,DATA_GOC!$B:$B,"&lt;="&amp;$E4702))</f>
        <v/>
      </c>
      <c r="J4702" s="59">
        <f t="shared" si="28"/>
        <v>0</v>
      </c>
      <c r="K4702" s="59">
        <f t="shared" si="29"/>
        <v>0</v>
      </c>
      <c r="L4702" s="59">
        <f t="shared" si="30"/>
        <v>0</v>
      </c>
      <c r="M4702" s="59">
        <f t="shared" si="31"/>
        <v>0</v>
      </c>
    </row>
    <row r="4703" ht="15.0" hidden="1" customHeight="1">
      <c r="A4703" s="59">
        <f t="shared" si="20"/>
        <v>75</v>
      </c>
      <c r="B4703" s="59" t="str">
        <f t="shared" si="21"/>
        <v/>
      </c>
      <c r="C4703" s="59" t="str">
        <f t="shared" si="22"/>
        <v/>
      </c>
      <c r="D4703" s="45" t="str">
        <f t="shared" si="23"/>
        <v/>
      </c>
      <c r="E4703" s="45" t="str">
        <f t="shared" si="24"/>
        <v/>
      </c>
      <c r="F4703" s="59" t="str">
        <f t="shared" si="25"/>
        <v/>
      </c>
      <c r="G4703" s="59" t="str">
        <f t="shared" si="26"/>
        <v/>
      </c>
      <c r="H4703" s="59" t="str">
        <f t="shared" si="27"/>
        <v>28C06447</v>
      </c>
      <c r="I4703" s="59" t="str">
        <f>IF(OR($A4703="",$C4703="",$D4703="",$E4703="",$H4703=""),"",SUMIFS(DATA_GOC!$H:$H,DATA_GOC!$A:$A,"BOM",DATA_GOC!$D:$D,$H4703,DATA_GOC!$E:$E,$C4703,DATA_GOC!$F:$F,"Xuất nội bộ từ téc",DATA_GOC!$B:$B,"&gt;="&amp;$D4703,DATA_GOC!$B:$B,"&lt;="&amp;$E4703))</f>
        <v/>
      </c>
      <c r="J4703" s="59">
        <f t="shared" si="28"/>
        <v>0</v>
      </c>
      <c r="K4703" s="59">
        <f t="shared" si="29"/>
        <v>0</v>
      </c>
      <c r="L4703" s="59">
        <f t="shared" si="30"/>
        <v>0</v>
      </c>
      <c r="M4703" s="59">
        <f t="shared" si="31"/>
        <v>0</v>
      </c>
    </row>
    <row r="4704" ht="15.0" hidden="1" customHeight="1">
      <c r="A4704" s="59">
        <f t="shared" si="20"/>
        <v>75</v>
      </c>
      <c r="B4704" s="59" t="str">
        <f t="shared" si="21"/>
        <v/>
      </c>
      <c r="C4704" s="59" t="str">
        <f t="shared" si="22"/>
        <v/>
      </c>
      <c r="D4704" s="45" t="str">
        <f t="shared" si="23"/>
        <v/>
      </c>
      <c r="E4704" s="45" t="str">
        <f t="shared" si="24"/>
        <v/>
      </c>
      <c r="F4704" s="59" t="str">
        <f t="shared" si="25"/>
        <v/>
      </c>
      <c r="G4704" s="59" t="str">
        <f t="shared" si="26"/>
        <v/>
      </c>
      <c r="H4704" s="59" t="str">
        <f t="shared" si="27"/>
        <v>28H00003</v>
      </c>
      <c r="I4704" s="59" t="str">
        <f>IF(OR($A4704="",$C4704="",$D4704="",$E4704="",$H4704=""),"",SUMIFS(DATA_GOC!$H:$H,DATA_GOC!$A:$A,"BOM",DATA_GOC!$D:$D,$H4704,DATA_GOC!$E:$E,$C4704,DATA_GOC!$F:$F,"Xuất nội bộ từ téc",DATA_GOC!$B:$B,"&gt;="&amp;$D4704,DATA_GOC!$B:$B,"&lt;="&amp;$E4704))</f>
        <v/>
      </c>
      <c r="J4704" s="59">
        <f t="shared" si="28"/>
        <v>0</v>
      </c>
      <c r="K4704" s="59">
        <f t="shared" si="29"/>
        <v>0</v>
      </c>
      <c r="L4704" s="59">
        <f t="shared" si="30"/>
        <v>0</v>
      </c>
      <c r="M4704" s="59">
        <f t="shared" si="31"/>
        <v>0</v>
      </c>
    </row>
    <row r="4705" ht="15.0" hidden="1" customHeight="1">
      <c r="A4705" s="59">
        <f t="shared" si="20"/>
        <v>75</v>
      </c>
      <c r="B4705" s="59" t="str">
        <f t="shared" si="21"/>
        <v/>
      </c>
      <c r="C4705" s="59" t="str">
        <f t="shared" si="22"/>
        <v/>
      </c>
      <c r="D4705" s="45" t="str">
        <f t="shared" si="23"/>
        <v/>
      </c>
      <c r="E4705" s="45" t="str">
        <f t="shared" si="24"/>
        <v/>
      </c>
      <c r="F4705" s="59" t="str">
        <f t="shared" si="25"/>
        <v/>
      </c>
      <c r="G4705" s="59" t="str">
        <f t="shared" si="26"/>
        <v/>
      </c>
      <c r="H4705" s="59" t="str">
        <f t="shared" si="27"/>
        <v>28H00061</v>
      </c>
      <c r="I4705" s="59" t="str">
        <f>IF(OR($A4705="",$C4705="",$D4705="",$E4705="",$H4705=""),"",SUMIFS(DATA_GOC!$H:$H,DATA_GOC!$A:$A,"BOM",DATA_GOC!$D:$D,$H4705,DATA_GOC!$E:$E,$C4705,DATA_GOC!$F:$F,"Xuất nội bộ từ téc",DATA_GOC!$B:$B,"&gt;="&amp;$D4705,DATA_GOC!$B:$B,"&lt;="&amp;$E4705))</f>
        <v/>
      </c>
      <c r="J4705" s="59">
        <f t="shared" si="28"/>
        <v>0</v>
      </c>
      <c r="K4705" s="59">
        <f t="shared" si="29"/>
        <v>0</v>
      </c>
      <c r="L4705" s="59">
        <f t="shared" si="30"/>
        <v>0</v>
      </c>
      <c r="M4705" s="59">
        <f t="shared" si="31"/>
        <v>0</v>
      </c>
    </row>
    <row r="4706" ht="15.0" hidden="1" customHeight="1">
      <c r="A4706" s="59">
        <f t="shared" si="20"/>
        <v>75</v>
      </c>
      <c r="B4706" s="59" t="str">
        <f t="shared" si="21"/>
        <v/>
      </c>
      <c r="C4706" s="59" t="str">
        <f t="shared" si="22"/>
        <v/>
      </c>
      <c r="D4706" s="45" t="str">
        <f t="shared" si="23"/>
        <v/>
      </c>
      <c r="E4706" s="45" t="str">
        <f t="shared" si="24"/>
        <v/>
      </c>
      <c r="F4706" s="59" t="str">
        <f t="shared" si="25"/>
        <v/>
      </c>
      <c r="G4706" s="59" t="str">
        <f t="shared" si="26"/>
        <v/>
      </c>
      <c r="H4706" s="59" t="str">
        <f t="shared" si="27"/>
        <v>28H00354</v>
      </c>
      <c r="I4706" s="59" t="str">
        <f>IF(OR($A4706="",$C4706="",$D4706="",$E4706="",$H4706=""),"",SUMIFS(DATA_GOC!$H:$H,DATA_GOC!$A:$A,"BOM",DATA_GOC!$D:$D,$H4706,DATA_GOC!$E:$E,$C4706,DATA_GOC!$F:$F,"Xuất nội bộ từ téc",DATA_GOC!$B:$B,"&gt;="&amp;$D4706,DATA_GOC!$B:$B,"&lt;="&amp;$E4706))</f>
        <v/>
      </c>
      <c r="J4706" s="59">
        <f t="shared" si="28"/>
        <v>0</v>
      </c>
      <c r="K4706" s="59">
        <f t="shared" si="29"/>
        <v>0</v>
      </c>
      <c r="L4706" s="59">
        <f t="shared" si="30"/>
        <v>0</v>
      </c>
      <c r="M4706" s="59">
        <f t="shared" si="31"/>
        <v>0</v>
      </c>
    </row>
    <row r="4707" ht="15.0" hidden="1" customHeight="1">
      <c r="A4707" s="59">
        <f t="shared" si="20"/>
        <v>75</v>
      </c>
      <c r="B4707" s="59" t="str">
        <f t="shared" si="21"/>
        <v/>
      </c>
      <c r="C4707" s="59" t="str">
        <f t="shared" si="22"/>
        <v/>
      </c>
      <c r="D4707" s="45" t="str">
        <f t="shared" si="23"/>
        <v/>
      </c>
      <c r="E4707" s="45" t="str">
        <f t="shared" si="24"/>
        <v/>
      </c>
      <c r="F4707" s="59" t="str">
        <f t="shared" si="25"/>
        <v/>
      </c>
      <c r="G4707" s="59" t="str">
        <f t="shared" si="26"/>
        <v/>
      </c>
      <c r="H4707" s="59" t="str">
        <f t="shared" si="27"/>
        <v>28H00603</v>
      </c>
      <c r="I4707" s="59" t="str">
        <f>IF(OR($A4707="",$C4707="",$D4707="",$E4707="",$H4707=""),"",SUMIFS(DATA_GOC!$H:$H,DATA_GOC!$A:$A,"BOM",DATA_GOC!$D:$D,$H4707,DATA_GOC!$E:$E,$C4707,DATA_GOC!$F:$F,"Xuất nội bộ từ téc",DATA_GOC!$B:$B,"&gt;="&amp;$D4707,DATA_GOC!$B:$B,"&lt;="&amp;$E4707))</f>
        <v/>
      </c>
      <c r="J4707" s="59">
        <f t="shared" si="28"/>
        <v>0</v>
      </c>
      <c r="K4707" s="59">
        <f t="shared" si="29"/>
        <v>0</v>
      </c>
      <c r="L4707" s="59">
        <f t="shared" si="30"/>
        <v>0</v>
      </c>
      <c r="M4707" s="59">
        <f t="shared" si="31"/>
        <v>0</v>
      </c>
    </row>
    <row r="4708" ht="15.0" hidden="1" customHeight="1">
      <c r="A4708" s="59">
        <f t="shared" si="20"/>
        <v>75</v>
      </c>
      <c r="B4708" s="59" t="str">
        <f t="shared" si="21"/>
        <v/>
      </c>
      <c r="C4708" s="59" t="str">
        <f t="shared" si="22"/>
        <v/>
      </c>
      <c r="D4708" s="45" t="str">
        <f t="shared" si="23"/>
        <v/>
      </c>
      <c r="E4708" s="45" t="str">
        <f t="shared" si="24"/>
        <v/>
      </c>
      <c r="F4708" s="59" t="str">
        <f t="shared" si="25"/>
        <v/>
      </c>
      <c r="G4708" s="59" t="str">
        <f t="shared" si="26"/>
        <v/>
      </c>
      <c r="H4708" s="59" t="str">
        <f t="shared" si="27"/>
        <v>28H00609</v>
      </c>
      <c r="I4708" s="59" t="str">
        <f>IF(OR($A4708="",$C4708="",$D4708="",$E4708="",$H4708=""),"",SUMIFS(DATA_GOC!$H:$H,DATA_GOC!$A:$A,"BOM",DATA_GOC!$D:$D,$H4708,DATA_GOC!$E:$E,$C4708,DATA_GOC!$F:$F,"Xuất nội bộ từ téc",DATA_GOC!$B:$B,"&gt;="&amp;$D4708,DATA_GOC!$B:$B,"&lt;="&amp;$E4708))</f>
        <v/>
      </c>
      <c r="J4708" s="59">
        <f t="shared" si="28"/>
        <v>0</v>
      </c>
      <c r="K4708" s="59">
        <f t="shared" si="29"/>
        <v>0</v>
      </c>
      <c r="L4708" s="59">
        <f t="shared" si="30"/>
        <v>0</v>
      </c>
      <c r="M4708" s="59">
        <f t="shared" si="31"/>
        <v>0</v>
      </c>
    </row>
    <row r="4709" ht="15.0" hidden="1" customHeight="1">
      <c r="A4709" s="59">
        <f t="shared" si="20"/>
        <v>75</v>
      </c>
      <c r="B4709" s="59" t="str">
        <f t="shared" si="21"/>
        <v/>
      </c>
      <c r="C4709" s="59" t="str">
        <f t="shared" si="22"/>
        <v/>
      </c>
      <c r="D4709" s="45" t="str">
        <f t="shared" si="23"/>
        <v/>
      </c>
      <c r="E4709" s="45" t="str">
        <f t="shared" si="24"/>
        <v/>
      </c>
      <c r="F4709" s="59" t="str">
        <f t="shared" si="25"/>
        <v/>
      </c>
      <c r="G4709" s="59" t="str">
        <f t="shared" si="26"/>
        <v/>
      </c>
      <c r="H4709" s="59" t="str">
        <f t="shared" si="27"/>
        <v>28H00669</v>
      </c>
      <c r="I4709" s="59" t="str">
        <f>IF(OR($A4709="",$C4709="",$D4709="",$E4709="",$H4709=""),"",SUMIFS(DATA_GOC!$H:$H,DATA_GOC!$A:$A,"BOM",DATA_GOC!$D:$D,$H4709,DATA_GOC!$E:$E,$C4709,DATA_GOC!$F:$F,"Xuất nội bộ từ téc",DATA_GOC!$B:$B,"&gt;="&amp;$D4709,DATA_GOC!$B:$B,"&lt;="&amp;$E4709))</f>
        <v/>
      </c>
      <c r="J4709" s="59">
        <f t="shared" si="28"/>
        <v>0</v>
      </c>
      <c r="K4709" s="59">
        <f t="shared" si="29"/>
        <v>0</v>
      </c>
      <c r="L4709" s="59">
        <f t="shared" si="30"/>
        <v>0</v>
      </c>
      <c r="M4709" s="59">
        <f t="shared" si="31"/>
        <v>0</v>
      </c>
    </row>
    <row r="4710" ht="15.0" hidden="1" customHeight="1">
      <c r="A4710" s="59">
        <f t="shared" si="20"/>
        <v>75</v>
      </c>
      <c r="B4710" s="59" t="str">
        <f t="shared" si="21"/>
        <v/>
      </c>
      <c r="C4710" s="59" t="str">
        <f t="shared" si="22"/>
        <v/>
      </c>
      <c r="D4710" s="45" t="str">
        <f t="shared" si="23"/>
        <v/>
      </c>
      <c r="E4710" s="45" t="str">
        <f t="shared" si="24"/>
        <v/>
      </c>
      <c r="F4710" s="59" t="str">
        <f t="shared" si="25"/>
        <v/>
      </c>
      <c r="G4710" s="59" t="str">
        <f t="shared" si="26"/>
        <v/>
      </c>
      <c r="H4710" s="59" t="str">
        <f t="shared" si="27"/>
        <v>28H00680</v>
      </c>
      <c r="I4710" s="59" t="str">
        <f>IF(OR($A4710="",$C4710="",$D4710="",$E4710="",$H4710=""),"",SUMIFS(DATA_GOC!$H:$H,DATA_GOC!$A:$A,"BOM",DATA_GOC!$D:$D,$H4710,DATA_GOC!$E:$E,$C4710,DATA_GOC!$F:$F,"Xuất nội bộ từ téc",DATA_GOC!$B:$B,"&gt;="&amp;$D4710,DATA_GOC!$B:$B,"&lt;="&amp;$E4710))</f>
        <v/>
      </c>
      <c r="J4710" s="59">
        <f t="shared" si="28"/>
        <v>0</v>
      </c>
      <c r="K4710" s="59">
        <f t="shared" si="29"/>
        <v>0</v>
      </c>
      <c r="L4710" s="59">
        <f t="shared" si="30"/>
        <v>0</v>
      </c>
      <c r="M4710" s="59">
        <f t="shared" si="31"/>
        <v>0</v>
      </c>
    </row>
    <row r="4711" ht="15.0" hidden="1" customHeight="1">
      <c r="A4711" s="59">
        <f t="shared" si="20"/>
        <v>75</v>
      </c>
      <c r="B4711" s="59" t="str">
        <f t="shared" si="21"/>
        <v/>
      </c>
      <c r="C4711" s="59" t="str">
        <f t="shared" si="22"/>
        <v/>
      </c>
      <c r="D4711" s="45" t="str">
        <f t="shared" si="23"/>
        <v/>
      </c>
      <c r="E4711" s="45" t="str">
        <f t="shared" si="24"/>
        <v/>
      </c>
      <c r="F4711" s="59" t="str">
        <f t="shared" si="25"/>
        <v/>
      </c>
      <c r="G4711" s="59" t="str">
        <f t="shared" si="26"/>
        <v/>
      </c>
      <c r="H4711" s="59" t="str">
        <f t="shared" si="27"/>
        <v>28H01070</v>
      </c>
      <c r="I4711" s="59" t="str">
        <f>IF(OR($A4711="",$C4711="",$D4711="",$E4711="",$H4711=""),"",SUMIFS(DATA_GOC!$H:$H,DATA_GOC!$A:$A,"BOM",DATA_GOC!$D:$D,$H4711,DATA_GOC!$E:$E,$C4711,DATA_GOC!$F:$F,"Xuất nội bộ từ téc",DATA_GOC!$B:$B,"&gt;="&amp;$D4711,DATA_GOC!$B:$B,"&lt;="&amp;$E4711))</f>
        <v/>
      </c>
      <c r="J4711" s="59">
        <f t="shared" si="28"/>
        <v>0</v>
      </c>
      <c r="K4711" s="59">
        <f t="shared" si="29"/>
        <v>0</v>
      </c>
      <c r="L4711" s="59">
        <f t="shared" si="30"/>
        <v>0</v>
      </c>
      <c r="M4711" s="59">
        <f t="shared" si="31"/>
        <v>0</v>
      </c>
    </row>
    <row r="4712" ht="15.0" hidden="1" customHeight="1">
      <c r="A4712" s="59">
        <f t="shared" si="20"/>
        <v>75</v>
      </c>
      <c r="B4712" s="59" t="str">
        <f t="shared" si="21"/>
        <v/>
      </c>
      <c r="C4712" s="59" t="str">
        <f t="shared" si="22"/>
        <v/>
      </c>
      <c r="D4712" s="45" t="str">
        <f t="shared" si="23"/>
        <v/>
      </c>
      <c r="E4712" s="45" t="str">
        <f t="shared" si="24"/>
        <v/>
      </c>
      <c r="F4712" s="59" t="str">
        <f t="shared" si="25"/>
        <v/>
      </c>
      <c r="G4712" s="59" t="str">
        <f t="shared" si="26"/>
        <v/>
      </c>
      <c r="H4712" s="59" t="str">
        <f t="shared" si="27"/>
        <v>28H01364</v>
      </c>
      <c r="I4712" s="59" t="str">
        <f>IF(OR($A4712="",$C4712="",$D4712="",$E4712="",$H4712=""),"",SUMIFS(DATA_GOC!$H:$H,DATA_GOC!$A:$A,"BOM",DATA_GOC!$D:$D,$H4712,DATA_GOC!$E:$E,$C4712,DATA_GOC!$F:$F,"Xuất nội bộ từ téc",DATA_GOC!$B:$B,"&gt;="&amp;$D4712,DATA_GOC!$B:$B,"&lt;="&amp;$E4712))</f>
        <v/>
      </c>
      <c r="J4712" s="59">
        <f t="shared" si="28"/>
        <v>0</v>
      </c>
      <c r="K4712" s="59">
        <f t="shared" si="29"/>
        <v>0</v>
      </c>
      <c r="L4712" s="59">
        <f t="shared" si="30"/>
        <v>0</v>
      </c>
      <c r="M4712" s="59">
        <f t="shared" si="31"/>
        <v>0</v>
      </c>
    </row>
    <row r="4713" ht="15.0" hidden="1" customHeight="1">
      <c r="A4713" s="59">
        <f t="shared" si="20"/>
        <v>75</v>
      </c>
      <c r="B4713" s="59" t="str">
        <f t="shared" si="21"/>
        <v/>
      </c>
      <c r="C4713" s="59" t="str">
        <f t="shared" si="22"/>
        <v/>
      </c>
      <c r="D4713" s="45" t="str">
        <f t="shared" si="23"/>
        <v/>
      </c>
      <c r="E4713" s="45" t="str">
        <f t="shared" si="24"/>
        <v/>
      </c>
      <c r="F4713" s="59" t="str">
        <f t="shared" si="25"/>
        <v/>
      </c>
      <c r="G4713" s="59" t="str">
        <f t="shared" si="26"/>
        <v/>
      </c>
      <c r="H4713" s="59" t="str">
        <f t="shared" si="27"/>
        <v>29E17269</v>
      </c>
      <c r="I4713" s="59" t="str">
        <f>IF(OR($A4713="",$C4713="",$D4713="",$E4713="",$H4713=""),"",SUMIFS(DATA_GOC!$H:$H,DATA_GOC!$A:$A,"BOM",DATA_GOC!$D:$D,$H4713,DATA_GOC!$E:$E,$C4713,DATA_GOC!$F:$F,"Xuất nội bộ từ téc",DATA_GOC!$B:$B,"&gt;="&amp;$D4713,DATA_GOC!$B:$B,"&lt;="&amp;$E4713))</f>
        <v/>
      </c>
      <c r="J4713" s="59">
        <f t="shared" si="28"/>
        <v>0</v>
      </c>
      <c r="K4713" s="59">
        <f t="shared" si="29"/>
        <v>0</v>
      </c>
      <c r="L4713" s="59">
        <f t="shared" si="30"/>
        <v>0</v>
      </c>
      <c r="M4713" s="59">
        <f t="shared" si="31"/>
        <v>0</v>
      </c>
    </row>
    <row r="4714" ht="15.0" hidden="1" customHeight="1">
      <c r="A4714" s="59">
        <f t="shared" si="20"/>
        <v>75</v>
      </c>
      <c r="B4714" s="59" t="str">
        <f t="shared" si="21"/>
        <v/>
      </c>
      <c r="C4714" s="59" t="str">
        <f t="shared" si="22"/>
        <v/>
      </c>
      <c r="D4714" s="45" t="str">
        <f t="shared" si="23"/>
        <v/>
      </c>
      <c r="E4714" s="45" t="str">
        <f t="shared" si="24"/>
        <v/>
      </c>
      <c r="F4714" s="59" t="str">
        <f t="shared" si="25"/>
        <v/>
      </c>
      <c r="G4714" s="59" t="str">
        <f t="shared" si="26"/>
        <v/>
      </c>
      <c r="H4714" s="59" t="str">
        <f t="shared" si="27"/>
        <v>29E17273</v>
      </c>
      <c r="I4714" s="59" t="str">
        <f>IF(OR($A4714="",$C4714="",$D4714="",$E4714="",$H4714=""),"",SUMIFS(DATA_GOC!$H:$H,DATA_GOC!$A:$A,"BOM",DATA_GOC!$D:$D,$H4714,DATA_GOC!$E:$E,$C4714,DATA_GOC!$F:$F,"Xuất nội bộ từ téc",DATA_GOC!$B:$B,"&gt;="&amp;$D4714,DATA_GOC!$B:$B,"&lt;="&amp;$E4714))</f>
        <v/>
      </c>
      <c r="J4714" s="59">
        <f t="shared" si="28"/>
        <v>0</v>
      </c>
      <c r="K4714" s="59">
        <f t="shared" si="29"/>
        <v>0</v>
      </c>
      <c r="L4714" s="59">
        <f t="shared" si="30"/>
        <v>0</v>
      </c>
      <c r="M4714" s="59">
        <f t="shared" si="31"/>
        <v>0</v>
      </c>
    </row>
    <row r="4715" ht="15.0" hidden="1" customHeight="1">
      <c r="A4715" s="59">
        <f t="shared" si="20"/>
        <v>75</v>
      </c>
      <c r="B4715" s="59" t="str">
        <f t="shared" si="21"/>
        <v/>
      </c>
      <c r="C4715" s="59" t="str">
        <f t="shared" si="22"/>
        <v/>
      </c>
      <c r="D4715" s="45" t="str">
        <f t="shared" si="23"/>
        <v/>
      </c>
      <c r="E4715" s="45" t="str">
        <f t="shared" si="24"/>
        <v/>
      </c>
      <c r="F4715" s="59" t="str">
        <f t="shared" si="25"/>
        <v/>
      </c>
      <c r="G4715" s="59" t="str">
        <f t="shared" si="26"/>
        <v/>
      </c>
      <c r="H4715" s="59" t="str">
        <f t="shared" si="27"/>
        <v>29E17410</v>
      </c>
      <c r="I4715" s="59" t="str">
        <f>IF(OR($A4715="",$C4715="",$D4715="",$E4715="",$H4715=""),"",SUMIFS(DATA_GOC!$H:$H,DATA_GOC!$A:$A,"BOM",DATA_GOC!$D:$D,$H4715,DATA_GOC!$E:$E,$C4715,DATA_GOC!$F:$F,"Xuất nội bộ từ téc",DATA_GOC!$B:$B,"&gt;="&amp;$D4715,DATA_GOC!$B:$B,"&lt;="&amp;$E4715))</f>
        <v/>
      </c>
      <c r="J4715" s="59">
        <f t="shared" si="28"/>
        <v>0</v>
      </c>
      <c r="K4715" s="59">
        <f t="shared" si="29"/>
        <v>0</v>
      </c>
      <c r="L4715" s="59">
        <f t="shared" si="30"/>
        <v>0</v>
      </c>
      <c r="M4715" s="59">
        <f t="shared" si="31"/>
        <v>0</v>
      </c>
    </row>
    <row r="4716" ht="15.0" hidden="1" customHeight="1">
      <c r="A4716" s="59">
        <f t="shared" si="20"/>
        <v>75</v>
      </c>
      <c r="B4716" s="59" t="str">
        <f t="shared" si="21"/>
        <v/>
      </c>
      <c r="C4716" s="59" t="str">
        <f t="shared" si="22"/>
        <v/>
      </c>
      <c r="D4716" s="45" t="str">
        <f t="shared" si="23"/>
        <v/>
      </c>
      <c r="E4716" s="45" t="str">
        <f t="shared" si="24"/>
        <v/>
      </c>
      <c r="F4716" s="59" t="str">
        <f t="shared" si="25"/>
        <v/>
      </c>
      <c r="G4716" s="59" t="str">
        <f t="shared" si="26"/>
        <v/>
      </c>
      <c r="H4716" s="59" t="str">
        <f t="shared" si="27"/>
        <v>29E17417</v>
      </c>
      <c r="I4716" s="59" t="str">
        <f>IF(OR($A4716="",$C4716="",$D4716="",$E4716="",$H4716=""),"",SUMIFS(DATA_GOC!$H:$H,DATA_GOC!$A:$A,"BOM",DATA_GOC!$D:$D,$H4716,DATA_GOC!$E:$E,$C4716,DATA_GOC!$F:$F,"Xuất nội bộ từ téc",DATA_GOC!$B:$B,"&gt;="&amp;$D4716,DATA_GOC!$B:$B,"&lt;="&amp;$E4716))</f>
        <v/>
      </c>
      <c r="J4716" s="59">
        <f t="shared" si="28"/>
        <v>0</v>
      </c>
      <c r="K4716" s="59">
        <f t="shared" si="29"/>
        <v>0</v>
      </c>
      <c r="L4716" s="59">
        <f t="shared" si="30"/>
        <v>0</v>
      </c>
      <c r="M4716" s="59">
        <f t="shared" si="31"/>
        <v>0</v>
      </c>
    </row>
    <row r="4717" ht="15.0" hidden="1" customHeight="1">
      <c r="A4717" s="59">
        <f t="shared" si="20"/>
        <v>75</v>
      </c>
      <c r="B4717" s="59" t="str">
        <f t="shared" si="21"/>
        <v/>
      </c>
      <c r="C4717" s="59" t="str">
        <f t="shared" si="22"/>
        <v/>
      </c>
      <c r="D4717" s="45" t="str">
        <f t="shared" si="23"/>
        <v/>
      </c>
      <c r="E4717" s="45" t="str">
        <f t="shared" si="24"/>
        <v/>
      </c>
      <c r="F4717" s="59" t="str">
        <f t="shared" si="25"/>
        <v/>
      </c>
      <c r="G4717" s="59" t="str">
        <f t="shared" si="26"/>
        <v/>
      </c>
      <c r="H4717" s="59" t="str">
        <f t="shared" si="27"/>
        <v>29E17539</v>
      </c>
      <c r="I4717" s="59" t="str">
        <f>IF(OR($A4717="",$C4717="",$D4717="",$E4717="",$H4717=""),"",SUMIFS(DATA_GOC!$H:$H,DATA_GOC!$A:$A,"BOM",DATA_GOC!$D:$D,$H4717,DATA_GOC!$E:$E,$C4717,DATA_GOC!$F:$F,"Xuất nội bộ từ téc",DATA_GOC!$B:$B,"&gt;="&amp;$D4717,DATA_GOC!$B:$B,"&lt;="&amp;$E4717))</f>
        <v/>
      </c>
      <c r="J4717" s="59">
        <f t="shared" si="28"/>
        <v>0</v>
      </c>
      <c r="K4717" s="59">
        <f t="shared" si="29"/>
        <v>0</v>
      </c>
      <c r="L4717" s="59">
        <f t="shared" si="30"/>
        <v>0</v>
      </c>
      <c r="M4717" s="59">
        <f t="shared" si="31"/>
        <v>0</v>
      </c>
    </row>
    <row r="4718" ht="15.0" hidden="1" customHeight="1">
      <c r="A4718" s="59">
        <f t="shared" si="20"/>
        <v>75</v>
      </c>
      <c r="B4718" s="59" t="str">
        <f t="shared" si="21"/>
        <v/>
      </c>
      <c r="C4718" s="59" t="str">
        <f t="shared" si="22"/>
        <v/>
      </c>
      <c r="D4718" s="45" t="str">
        <f t="shared" si="23"/>
        <v/>
      </c>
      <c r="E4718" s="45" t="str">
        <f t="shared" si="24"/>
        <v/>
      </c>
      <c r="F4718" s="59" t="str">
        <f t="shared" si="25"/>
        <v/>
      </c>
      <c r="G4718" s="59" t="str">
        <f t="shared" si="26"/>
        <v/>
      </c>
      <c r="H4718" s="59" t="str">
        <f t="shared" si="27"/>
        <v>29E18160</v>
      </c>
      <c r="I4718" s="59" t="str">
        <f>IF(OR($A4718="",$C4718="",$D4718="",$E4718="",$H4718=""),"",SUMIFS(DATA_GOC!$H:$H,DATA_GOC!$A:$A,"BOM",DATA_GOC!$D:$D,$H4718,DATA_GOC!$E:$E,$C4718,DATA_GOC!$F:$F,"Xuất nội bộ từ téc",DATA_GOC!$B:$B,"&gt;="&amp;$D4718,DATA_GOC!$B:$B,"&lt;="&amp;$E4718))</f>
        <v/>
      </c>
      <c r="J4718" s="59">
        <f t="shared" si="28"/>
        <v>0</v>
      </c>
      <c r="K4718" s="59">
        <f t="shared" si="29"/>
        <v>0</v>
      </c>
      <c r="L4718" s="59">
        <f t="shared" si="30"/>
        <v>0</v>
      </c>
      <c r="M4718" s="59">
        <f t="shared" si="31"/>
        <v>0</v>
      </c>
    </row>
    <row r="4719" ht="15.0" hidden="1" customHeight="1">
      <c r="A4719" s="59">
        <f t="shared" si="20"/>
        <v>75</v>
      </c>
      <c r="B4719" s="59" t="str">
        <f t="shared" si="21"/>
        <v/>
      </c>
      <c r="C4719" s="59" t="str">
        <f t="shared" si="22"/>
        <v/>
      </c>
      <c r="D4719" s="45" t="str">
        <f t="shared" si="23"/>
        <v/>
      </c>
      <c r="E4719" s="45" t="str">
        <f t="shared" si="24"/>
        <v/>
      </c>
      <c r="F4719" s="59" t="str">
        <f t="shared" si="25"/>
        <v/>
      </c>
      <c r="G4719" s="59" t="str">
        <f t="shared" si="26"/>
        <v/>
      </c>
      <c r="H4719" s="59" t="str">
        <f t="shared" si="27"/>
        <v>Công trình Asphalt</v>
      </c>
      <c r="I4719" s="59" t="str">
        <f>IF(OR($A4719="",$C4719="",$D4719="",$E4719="",$H4719=""),"",SUMIFS(DATA_GOC!$H:$H,DATA_GOC!$A:$A,"BOM",DATA_GOC!$D:$D,$H4719,DATA_GOC!$E:$E,$C4719,DATA_GOC!$F:$F,"Xuất nội bộ từ téc",DATA_GOC!$B:$B,"&gt;="&amp;$D4719,DATA_GOC!$B:$B,"&lt;="&amp;$E4719))</f>
        <v/>
      </c>
      <c r="J4719" s="59">
        <f t="shared" si="28"/>
        <v>0</v>
      </c>
      <c r="K4719" s="59">
        <f t="shared" si="29"/>
        <v>0</v>
      </c>
      <c r="L4719" s="59">
        <f t="shared" si="30"/>
        <v>0</v>
      </c>
      <c r="M4719" s="59">
        <f t="shared" si="31"/>
        <v>0</v>
      </c>
    </row>
    <row r="4720" ht="15.0" hidden="1" customHeight="1">
      <c r="A4720" s="59">
        <f t="shared" si="20"/>
        <v>75</v>
      </c>
      <c r="B4720" s="59" t="str">
        <f t="shared" si="21"/>
        <v/>
      </c>
      <c r="C4720" s="59" t="str">
        <f t="shared" si="22"/>
        <v/>
      </c>
      <c r="D4720" s="45" t="str">
        <f t="shared" si="23"/>
        <v/>
      </c>
      <c r="E4720" s="45" t="str">
        <f t="shared" si="24"/>
        <v/>
      </c>
      <c r="F4720" s="59" t="str">
        <f t="shared" si="25"/>
        <v/>
      </c>
      <c r="G4720" s="59" t="str">
        <f t="shared" si="26"/>
        <v/>
      </c>
      <c r="H4720" s="59" t="str">
        <f t="shared" si="27"/>
        <v>LG53F</v>
      </c>
      <c r="I4720" s="59" t="str">
        <f>IF(OR($A4720="",$C4720="",$D4720="",$E4720="",$H4720=""),"",SUMIFS(DATA_GOC!$H:$H,DATA_GOC!$A:$A,"BOM",DATA_GOC!$D:$D,$H4720,DATA_GOC!$E:$E,$C4720,DATA_GOC!$F:$F,"Xuất nội bộ từ téc",DATA_GOC!$B:$B,"&gt;="&amp;$D4720,DATA_GOC!$B:$B,"&lt;="&amp;$E4720))</f>
        <v/>
      </c>
      <c r="J4720" s="59">
        <f t="shared" si="28"/>
        <v>0</v>
      </c>
      <c r="K4720" s="59">
        <f t="shared" si="29"/>
        <v>0</v>
      </c>
      <c r="L4720" s="59">
        <f t="shared" si="30"/>
        <v>0</v>
      </c>
      <c r="M4720" s="59">
        <f t="shared" si="31"/>
        <v>0</v>
      </c>
    </row>
    <row r="4721" ht="15.0" hidden="1" customHeight="1">
      <c r="A4721" s="59">
        <f t="shared" si="20"/>
        <v>75</v>
      </c>
      <c r="B4721" s="59" t="str">
        <f t="shared" si="21"/>
        <v/>
      </c>
      <c r="C4721" s="59" t="str">
        <f t="shared" si="22"/>
        <v/>
      </c>
      <c r="D4721" s="45" t="str">
        <f t="shared" si="23"/>
        <v/>
      </c>
      <c r="E4721" s="45" t="str">
        <f t="shared" si="24"/>
        <v/>
      </c>
      <c r="F4721" s="59" t="str">
        <f t="shared" si="25"/>
        <v/>
      </c>
      <c r="G4721" s="59" t="str">
        <f t="shared" si="26"/>
        <v/>
      </c>
      <c r="H4721" s="59" t="str">
        <f t="shared" si="27"/>
        <v>Máy phát điện</v>
      </c>
      <c r="I4721" s="59" t="str">
        <f>IF(OR($A4721="",$C4721="",$D4721="",$E4721="",$H4721=""),"",SUMIFS(DATA_GOC!$H:$H,DATA_GOC!$A:$A,"BOM",DATA_GOC!$D:$D,$H4721,DATA_GOC!$E:$E,$C4721,DATA_GOC!$F:$F,"Xuất nội bộ từ téc",DATA_GOC!$B:$B,"&gt;="&amp;$D4721,DATA_GOC!$B:$B,"&lt;="&amp;$E4721))</f>
        <v/>
      </c>
      <c r="J4721" s="59">
        <f t="shared" si="28"/>
        <v>0</v>
      </c>
      <c r="K4721" s="59">
        <f t="shared" si="29"/>
        <v>0</v>
      </c>
      <c r="L4721" s="59">
        <f t="shared" si="30"/>
        <v>0</v>
      </c>
      <c r="M4721" s="59">
        <f t="shared" si="31"/>
        <v>0</v>
      </c>
    </row>
    <row r="4722" ht="15.0" hidden="1" customHeight="1">
      <c r="A4722" s="59">
        <f t="shared" si="20"/>
        <v>75</v>
      </c>
      <c r="B4722" s="59" t="str">
        <f t="shared" si="21"/>
        <v/>
      </c>
      <c r="C4722" s="59" t="str">
        <f t="shared" si="22"/>
        <v/>
      </c>
      <c r="D4722" s="45" t="str">
        <f t="shared" si="23"/>
        <v/>
      </c>
      <c r="E4722" s="45" t="str">
        <f t="shared" si="24"/>
        <v/>
      </c>
      <c r="F4722" s="59" t="str">
        <f t="shared" si="25"/>
        <v/>
      </c>
      <c r="G4722" s="59" t="str">
        <f t="shared" si="26"/>
        <v/>
      </c>
      <c r="H4722" s="59" t="str">
        <f t="shared" si="27"/>
        <v>Máy rải thảm</v>
      </c>
      <c r="I4722" s="59" t="str">
        <f>IF(OR($A4722="",$C4722="",$D4722="",$E4722="",$H4722=""),"",SUMIFS(DATA_GOC!$H:$H,DATA_GOC!$A:$A,"BOM",DATA_GOC!$D:$D,$H4722,DATA_GOC!$E:$E,$C4722,DATA_GOC!$F:$F,"Xuất nội bộ từ téc",DATA_GOC!$B:$B,"&gt;="&amp;$D4722,DATA_GOC!$B:$B,"&lt;="&amp;$E4722))</f>
        <v/>
      </c>
      <c r="J4722" s="59">
        <f t="shared" si="28"/>
        <v>0</v>
      </c>
      <c r="K4722" s="59">
        <f t="shared" si="29"/>
        <v>0</v>
      </c>
      <c r="L4722" s="59">
        <f t="shared" si="30"/>
        <v>0</v>
      </c>
      <c r="M4722" s="59">
        <f t="shared" si="31"/>
        <v>0</v>
      </c>
    </row>
    <row r="4723" ht="15.0" hidden="1" customHeight="1">
      <c r="A4723" s="59">
        <f t="shared" si="20"/>
        <v>75</v>
      </c>
      <c r="B4723" s="59" t="str">
        <f t="shared" si="21"/>
        <v/>
      </c>
      <c r="C4723" s="59" t="str">
        <f t="shared" si="22"/>
        <v/>
      </c>
      <c r="D4723" s="45" t="str">
        <f t="shared" si="23"/>
        <v/>
      </c>
      <c r="E4723" s="45" t="str">
        <f t="shared" si="24"/>
        <v/>
      </c>
      <c r="F4723" s="59" t="str">
        <f t="shared" si="25"/>
        <v/>
      </c>
      <c r="G4723" s="59" t="str">
        <f t="shared" si="26"/>
        <v/>
      </c>
      <c r="H4723" s="59" t="str">
        <f t="shared" si="27"/>
        <v>Xúc Đào</v>
      </c>
      <c r="I4723" s="59" t="str">
        <f>IF(OR($A4723="",$C4723="",$D4723="",$E4723="",$H4723=""),"",SUMIFS(DATA_GOC!$H:$H,DATA_GOC!$A:$A,"BOM",DATA_GOC!$D:$D,$H4723,DATA_GOC!$E:$E,$C4723,DATA_GOC!$F:$F,"Xuất nội bộ từ téc",DATA_GOC!$B:$B,"&gt;="&amp;$D4723,DATA_GOC!$B:$B,"&lt;="&amp;$E4723))</f>
        <v/>
      </c>
      <c r="J4723" s="59">
        <f t="shared" si="28"/>
        <v>0</v>
      </c>
      <c r="K4723" s="59">
        <f t="shared" si="29"/>
        <v>0</v>
      </c>
      <c r="L4723" s="59">
        <f t="shared" si="30"/>
        <v>0</v>
      </c>
      <c r="M4723" s="59">
        <f t="shared" si="31"/>
        <v>0</v>
      </c>
    </row>
    <row r="4724" ht="15.0" hidden="1" customHeight="1">
      <c r="A4724" s="59">
        <f t="shared" si="20"/>
        <v>75</v>
      </c>
      <c r="B4724" s="59" t="str">
        <f t="shared" si="21"/>
        <v/>
      </c>
      <c r="C4724" s="59" t="str">
        <f t="shared" si="22"/>
        <v/>
      </c>
      <c r="D4724" s="45" t="str">
        <f t="shared" si="23"/>
        <v/>
      </c>
      <c r="E4724" s="45" t="str">
        <f t="shared" si="24"/>
        <v/>
      </c>
      <c r="F4724" s="59" t="str">
        <f t="shared" si="25"/>
        <v/>
      </c>
      <c r="G4724" s="59" t="str">
        <f t="shared" si="26"/>
        <v/>
      </c>
      <c r="H4724" s="59" t="str">
        <f t="shared" si="27"/>
        <v>Xúclật asphalt</v>
      </c>
      <c r="I4724" s="59" t="str">
        <f>IF(OR($A4724="",$C4724="",$D4724="",$E4724="",$H4724=""),"",SUMIFS(DATA_GOC!$H:$H,DATA_GOC!$A:$A,"BOM",DATA_GOC!$D:$D,$H4724,DATA_GOC!$E:$E,$C4724,DATA_GOC!$F:$F,"Xuất nội bộ từ téc",DATA_GOC!$B:$B,"&gt;="&amp;$D4724,DATA_GOC!$B:$B,"&lt;="&amp;$E4724))</f>
        <v/>
      </c>
      <c r="J4724" s="59">
        <f t="shared" si="28"/>
        <v>0</v>
      </c>
      <c r="K4724" s="59">
        <f t="shared" si="29"/>
        <v>0</v>
      </c>
      <c r="L4724" s="59">
        <f t="shared" si="30"/>
        <v>0</v>
      </c>
      <c r="M4724" s="59">
        <f t="shared" si="31"/>
        <v>0</v>
      </c>
    </row>
    <row r="4725" ht="15.0" hidden="1" customHeight="1">
      <c r="A4725" s="59">
        <f t="shared" si="20"/>
        <v>75</v>
      </c>
      <c r="B4725" s="59" t="str">
        <f t="shared" si="21"/>
        <v/>
      </c>
      <c r="C4725" s="59" t="str">
        <f t="shared" si="22"/>
        <v/>
      </c>
      <c r="D4725" s="45" t="str">
        <f t="shared" si="23"/>
        <v/>
      </c>
      <c r="E4725" s="45" t="str">
        <f t="shared" si="24"/>
        <v/>
      </c>
      <c r="F4725" s="59" t="str">
        <f t="shared" si="25"/>
        <v/>
      </c>
      <c r="G4725" s="59" t="str">
        <f t="shared" si="26"/>
        <v/>
      </c>
      <c r="H4725" s="59" t="str">
        <f t="shared" si="27"/>
        <v>Xúclật855H</v>
      </c>
      <c r="I4725" s="59" t="str">
        <f>IF(OR($A4725="",$C4725="",$D4725="",$E4725="",$H4725=""),"",SUMIFS(DATA_GOC!$H:$H,DATA_GOC!$A:$A,"BOM",DATA_GOC!$D:$D,$H4725,DATA_GOC!$E:$E,$C4725,DATA_GOC!$F:$F,"Xuất nội bộ từ téc",DATA_GOC!$B:$B,"&gt;="&amp;$D4725,DATA_GOC!$B:$B,"&lt;="&amp;$E4725))</f>
        <v/>
      </c>
      <c r="J4725" s="59">
        <f t="shared" si="28"/>
        <v>0</v>
      </c>
      <c r="K4725" s="59">
        <f t="shared" si="29"/>
        <v>0</v>
      </c>
      <c r="L4725" s="59">
        <f t="shared" si="30"/>
        <v>0</v>
      </c>
      <c r="M4725" s="59">
        <f t="shared" si="31"/>
        <v>0</v>
      </c>
    </row>
    <row r="4726" ht="15.0" hidden="1" customHeight="1">
      <c r="A4726" s="59">
        <f t="shared" si="20"/>
        <v>75</v>
      </c>
      <c r="B4726" s="59" t="str">
        <f t="shared" si="21"/>
        <v/>
      </c>
      <c r="C4726" s="59" t="str">
        <f t="shared" si="22"/>
        <v/>
      </c>
      <c r="D4726" s="45" t="str">
        <f t="shared" si="23"/>
        <v/>
      </c>
      <c r="E4726" s="45" t="str">
        <f t="shared" si="24"/>
        <v/>
      </c>
      <c r="F4726" s="59" t="str">
        <f t="shared" si="25"/>
        <v/>
      </c>
      <c r="G4726" s="59" t="str">
        <f t="shared" si="26"/>
        <v/>
      </c>
      <c r="H4726" s="59" t="str">
        <f t="shared" si="27"/>
        <v>Xúclật855N</v>
      </c>
      <c r="I4726" s="59" t="str">
        <f>IF(OR($A4726="",$C4726="",$D4726="",$E4726="",$H4726=""),"",SUMIFS(DATA_GOC!$H:$H,DATA_GOC!$A:$A,"BOM",DATA_GOC!$D:$D,$H4726,DATA_GOC!$E:$E,$C4726,DATA_GOC!$F:$F,"Xuất nội bộ từ téc",DATA_GOC!$B:$B,"&gt;="&amp;$D4726,DATA_GOC!$B:$B,"&lt;="&amp;$E4726))</f>
        <v/>
      </c>
      <c r="J4726" s="59">
        <f t="shared" si="28"/>
        <v>0</v>
      </c>
      <c r="K4726" s="59">
        <f t="shared" si="29"/>
        <v>0</v>
      </c>
      <c r="L4726" s="59">
        <f t="shared" si="30"/>
        <v>0</v>
      </c>
      <c r="M4726" s="59">
        <f t="shared" si="31"/>
        <v>0</v>
      </c>
    </row>
    <row r="4727" ht="15.0" hidden="1" customHeight="1">
      <c r="A4727" s="59">
        <f t="shared" si="20"/>
        <v>75</v>
      </c>
      <c r="B4727" s="59" t="str">
        <f t="shared" si="21"/>
        <v/>
      </c>
      <c r="C4727" s="59" t="str">
        <f t="shared" si="22"/>
        <v/>
      </c>
      <c r="D4727" s="45" t="str">
        <f t="shared" si="23"/>
        <v/>
      </c>
      <c r="E4727" s="45" t="str">
        <f t="shared" si="24"/>
        <v/>
      </c>
      <c r="F4727" s="59" t="str">
        <f t="shared" si="25"/>
        <v/>
      </c>
      <c r="G4727" s="59" t="str">
        <f t="shared" si="26"/>
        <v/>
      </c>
      <c r="H4727" s="59" t="str">
        <f t="shared" si="27"/>
        <v>Cát nghiền</v>
      </c>
      <c r="I4727" s="59" t="str">
        <f>IF(OR($A4727="",$C4727="",$D4727="",$E4727="",$H4727=""),"",SUMIFS(DATA_GOC!$H:$H,DATA_GOC!$A:$A,"BOM",DATA_GOC!$D:$D,$H4727,DATA_GOC!$E:$E,$C4727,DATA_GOC!$F:$F,"Xuất nội bộ từ téc",DATA_GOC!$B:$B,"&gt;="&amp;$D4727,DATA_GOC!$B:$B,"&lt;="&amp;$E4727))</f>
        <v/>
      </c>
      <c r="J4727" s="59">
        <f t="shared" si="28"/>
        <v>0</v>
      </c>
      <c r="K4727" s="59">
        <f t="shared" si="29"/>
        <v>0</v>
      </c>
      <c r="L4727" s="59">
        <f t="shared" si="30"/>
        <v>0</v>
      </c>
      <c r="M4727" s="59">
        <f t="shared" si="31"/>
        <v>0</v>
      </c>
    </row>
    <row r="4728" ht="15.0" hidden="1" customHeight="1">
      <c r="A4728" s="59">
        <f t="shared" si="20"/>
        <v>75</v>
      </c>
      <c r="B4728" s="59" t="str">
        <f t="shared" si="21"/>
        <v/>
      </c>
      <c r="C4728" s="59" t="str">
        <f t="shared" si="22"/>
        <v/>
      </c>
      <c r="D4728" s="45" t="str">
        <f t="shared" si="23"/>
        <v/>
      </c>
      <c r="E4728" s="45" t="str">
        <f t="shared" si="24"/>
        <v/>
      </c>
      <c r="F4728" s="59" t="str">
        <f t="shared" si="25"/>
        <v/>
      </c>
      <c r="G4728" s="59" t="str">
        <f t="shared" si="26"/>
        <v/>
      </c>
      <c r="H4728" s="59" t="str">
        <f t="shared" si="27"/>
        <v>28C02973</v>
      </c>
      <c r="I4728" s="59" t="str">
        <f>IF(OR($A4728="",$C4728="",$D4728="",$E4728="",$H4728=""),"",SUMIFS(DATA_GOC!$H:$H,DATA_GOC!$A:$A,"BOM",DATA_GOC!$D:$D,$H4728,DATA_GOC!$E:$E,$C4728,DATA_GOC!$F:$F,"Xuất nội bộ từ téc",DATA_GOC!$B:$B,"&gt;="&amp;$D4728,DATA_GOC!$B:$B,"&lt;="&amp;$E4728))</f>
        <v/>
      </c>
      <c r="J4728" s="59">
        <f t="shared" si="28"/>
        <v>0</v>
      </c>
      <c r="K4728" s="59">
        <f t="shared" si="29"/>
        <v>0</v>
      </c>
      <c r="L4728" s="59">
        <f t="shared" si="30"/>
        <v>0</v>
      </c>
      <c r="M4728" s="59">
        <f t="shared" si="31"/>
        <v>0</v>
      </c>
    </row>
    <row r="4729" ht="15.0" hidden="1" customHeight="1">
      <c r="A4729" s="59">
        <f t="shared" si="20"/>
        <v>75</v>
      </c>
      <c r="B4729" s="59" t="str">
        <f t="shared" si="21"/>
        <v/>
      </c>
      <c r="C4729" s="59" t="str">
        <f t="shared" si="22"/>
        <v/>
      </c>
      <c r="D4729" s="45" t="str">
        <f t="shared" si="23"/>
        <v/>
      </c>
      <c r="E4729" s="45" t="str">
        <f t="shared" si="24"/>
        <v/>
      </c>
      <c r="F4729" s="59" t="str">
        <f t="shared" si="25"/>
        <v/>
      </c>
      <c r="G4729" s="59" t="str">
        <f t="shared" si="26"/>
        <v/>
      </c>
      <c r="H4729" s="59" t="str">
        <f t="shared" si="27"/>
        <v>28C03044</v>
      </c>
      <c r="I4729" s="59" t="str">
        <f>IF(OR($A4729="",$C4729="",$D4729="",$E4729="",$H4729=""),"",SUMIFS(DATA_GOC!$H:$H,DATA_GOC!$A:$A,"BOM",DATA_GOC!$D:$D,$H4729,DATA_GOC!$E:$E,$C4729,DATA_GOC!$F:$F,"Xuất nội bộ từ téc",DATA_GOC!$B:$B,"&gt;="&amp;$D4729,DATA_GOC!$B:$B,"&lt;="&amp;$E4729))</f>
        <v/>
      </c>
      <c r="J4729" s="59">
        <f t="shared" si="28"/>
        <v>0</v>
      </c>
      <c r="K4729" s="59">
        <f t="shared" si="29"/>
        <v>0</v>
      </c>
      <c r="L4729" s="59">
        <f t="shared" si="30"/>
        <v>0</v>
      </c>
      <c r="M4729" s="59">
        <f t="shared" si="31"/>
        <v>0</v>
      </c>
    </row>
    <row r="4730" ht="15.0" hidden="1" customHeight="1">
      <c r="A4730" s="59">
        <f t="shared" si="20"/>
        <v>75</v>
      </c>
      <c r="B4730" s="59" t="str">
        <f t="shared" si="21"/>
        <v/>
      </c>
      <c r="C4730" s="59" t="str">
        <f t="shared" si="22"/>
        <v/>
      </c>
      <c r="D4730" s="45" t="str">
        <f t="shared" si="23"/>
        <v/>
      </c>
      <c r="E4730" s="45" t="str">
        <f t="shared" si="24"/>
        <v/>
      </c>
      <c r="F4730" s="59" t="str">
        <f t="shared" si="25"/>
        <v/>
      </c>
      <c r="G4730" s="59" t="str">
        <f t="shared" si="26"/>
        <v/>
      </c>
      <c r="H4730" s="59" t="str">
        <f t="shared" si="27"/>
        <v>Máy lu lốp</v>
      </c>
      <c r="I4730" s="59" t="str">
        <f>IF(OR($A4730="",$C4730="",$D4730="",$E4730="",$H4730=""),"",SUMIFS(DATA_GOC!$H:$H,DATA_GOC!$A:$A,"BOM",DATA_GOC!$D:$D,$H4730,DATA_GOC!$E:$E,$C4730,DATA_GOC!$F:$F,"Xuất nội bộ từ téc",DATA_GOC!$B:$B,"&gt;="&amp;$D4730,DATA_GOC!$B:$B,"&lt;="&amp;$E4730))</f>
        <v/>
      </c>
      <c r="J4730" s="59">
        <f t="shared" si="28"/>
        <v>0</v>
      </c>
      <c r="K4730" s="59">
        <f t="shared" si="29"/>
        <v>0</v>
      </c>
      <c r="L4730" s="59">
        <f t="shared" si="30"/>
        <v>0</v>
      </c>
      <c r="M4730" s="59">
        <f t="shared" si="31"/>
        <v>0</v>
      </c>
    </row>
    <row r="4731" ht="15.0" hidden="1" customHeight="1">
      <c r="A4731" s="59">
        <f t="shared" si="20"/>
        <v>75</v>
      </c>
      <c r="B4731" s="59" t="str">
        <f t="shared" si="21"/>
        <v/>
      </c>
      <c r="C4731" s="59" t="str">
        <f t="shared" si="22"/>
        <v/>
      </c>
      <c r="D4731" s="45" t="str">
        <f t="shared" si="23"/>
        <v/>
      </c>
      <c r="E4731" s="45" t="str">
        <f t="shared" si="24"/>
        <v/>
      </c>
      <c r="F4731" s="59" t="str">
        <f t="shared" si="25"/>
        <v/>
      </c>
      <c r="G4731" s="59" t="str">
        <f t="shared" si="26"/>
        <v/>
      </c>
      <c r="H4731" s="59" t="str">
        <f t="shared" si="27"/>
        <v>Xe 600148</v>
      </c>
      <c r="I4731" s="59" t="str">
        <f>IF(OR($A4731="",$C4731="",$D4731="",$E4731="",$H4731=""),"",SUMIFS(DATA_GOC!$H:$H,DATA_GOC!$A:$A,"BOM",DATA_GOC!$D:$D,$H4731,DATA_GOC!$E:$E,$C4731,DATA_GOC!$F:$F,"Xuất nội bộ từ téc",DATA_GOC!$B:$B,"&gt;="&amp;$D4731,DATA_GOC!$B:$B,"&lt;="&amp;$E4731))</f>
        <v/>
      </c>
      <c r="J4731" s="59">
        <f t="shared" si="28"/>
        <v>0</v>
      </c>
      <c r="K4731" s="59">
        <f t="shared" si="29"/>
        <v>0</v>
      </c>
      <c r="L4731" s="59">
        <f t="shared" si="30"/>
        <v>0</v>
      </c>
      <c r="M4731" s="59">
        <f t="shared" si="31"/>
        <v>0</v>
      </c>
    </row>
    <row r="4732" ht="15.0" hidden="1" customHeight="1">
      <c r="A4732" s="59">
        <f t="shared" si="20"/>
        <v>75</v>
      </c>
      <c r="B4732" s="59" t="str">
        <f t="shared" si="21"/>
        <v/>
      </c>
      <c r="C4732" s="59" t="str">
        <f t="shared" si="22"/>
        <v/>
      </c>
      <c r="D4732" s="45" t="str">
        <f t="shared" si="23"/>
        <v/>
      </c>
      <c r="E4732" s="45" t="str">
        <f t="shared" si="24"/>
        <v/>
      </c>
      <c r="F4732" s="59" t="str">
        <f t="shared" si="25"/>
        <v/>
      </c>
      <c r="G4732" s="59" t="str">
        <f t="shared" si="26"/>
        <v/>
      </c>
      <c r="H4732" s="59" t="str">
        <f t="shared" si="27"/>
        <v>Xe ben mới</v>
      </c>
      <c r="I4732" s="59" t="str">
        <f>IF(OR($A4732="",$C4732="",$D4732="",$E4732="",$H4732=""),"",SUMIFS(DATA_GOC!$H:$H,DATA_GOC!$A:$A,"BOM",DATA_GOC!$D:$D,$H4732,DATA_GOC!$E:$E,$C4732,DATA_GOC!$F:$F,"Xuất nội bộ từ téc",DATA_GOC!$B:$B,"&gt;="&amp;$D4732,DATA_GOC!$B:$B,"&lt;="&amp;$E4732))</f>
        <v/>
      </c>
      <c r="J4732" s="59">
        <f t="shared" si="28"/>
        <v>0</v>
      </c>
      <c r="K4732" s="59">
        <f t="shared" si="29"/>
        <v>0</v>
      </c>
      <c r="L4732" s="59">
        <f t="shared" si="30"/>
        <v>0</v>
      </c>
      <c r="M4732" s="59">
        <f t="shared" si="31"/>
        <v>0</v>
      </c>
    </row>
    <row r="4733" ht="15.0" hidden="1" customHeight="1">
      <c r="A4733" s="59">
        <f t="shared" si="20"/>
        <v>76</v>
      </c>
      <c r="B4733" s="59" t="str">
        <f t="shared" si="21"/>
        <v/>
      </c>
      <c r="C4733" s="59" t="str">
        <f t="shared" si="22"/>
        <v/>
      </c>
      <c r="D4733" s="45" t="str">
        <f t="shared" si="23"/>
        <v/>
      </c>
      <c r="E4733" s="45" t="str">
        <f t="shared" si="24"/>
        <v/>
      </c>
      <c r="F4733" s="59" t="str">
        <f t="shared" si="25"/>
        <v/>
      </c>
      <c r="G4733" s="59" t="str">
        <f t="shared" si="26"/>
        <v/>
      </c>
      <c r="H4733" s="59" t="str">
        <f t="shared" si="27"/>
        <v>19H09482</v>
      </c>
      <c r="I4733" s="59" t="str">
        <f>IF(OR($A4733="",$C4733="",$D4733="",$E4733="",$H4733=""),"",SUMIFS(DATA_GOC!$H:$H,DATA_GOC!$A:$A,"BOM",DATA_GOC!$D:$D,$H4733,DATA_GOC!$E:$E,$C4733,DATA_GOC!$F:$F,"Xuất nội bộ từ téc",DATA_GOC!$B:$B,"&gt;="&amp;$D4733,DATA_GOC!$B:$B,"&lt;="&amp;$E4733))</f>
        <v/>
      </c>
      <c r="J4733" s="59">
        <f t="shared" si="28"/>
        <v>0</v>
      </c>
      <c r="K4733" s="59">
        <f t="shared" si="29"/>
        <v>0</v>
      </c>
      <c r="L4733" s="59">
        <f t="shared" si="30"/>
        <v>0</v>
      </c>
      <c r="M4733" s="59">
        <f t="shared" si="31"/>
        <v>0</v>
      </c>
    </row>
    <row r="4734" ht="15.0" hidden="1" customHeight="1">
      <c r="A4734" s="59">
        <f t="shared" si="20"/>
        <v>76</v>
      </c>
      <c r="B4734" s="59" t="str">
        <f t="shared" si="21"/>
        <v/>
      </c>
      <c r="C4734" s="59" t="str">
        <f t="shared" si="22"/>
        <v/>
      </c>
      <c r="D4734" s="45" t="str">
        <f t="shared" si="23"/>
        <v/>
      </c>
      <c r="E4734" s="45" t="str">
        <f t="shared" si="24"/>
        <v/>
      </c>
      <c r="F4734" s="59" t="str">
        <f t="shared" si="25"/>
        <v/>
      </c>
      <c r="G4734" s="59" t="str">
        <f t="shared" si="26"/>
        <v/>
      </c>
      <c r="H4734" s="59" t="str">
        <f t="shared" si="27"/>
        <v>28A30696</v>
      </c>
      <c r="I4734" s="59" t="str">
        <f>IF(OR($A4734="",$C4734="",$D4734="",$E4734="",$H4734=""),"",SUMIFS(DATA_GOC!$H:$H,DATA_GOC!$A:$A,"BOM",DATA_GOC!$D:$D,$H4734,DATA_GOC!$E:$E,$C4734,DATA_GOC!$F:$F,"Xuất nội bộ từ téc",DATA_GOC!$B:$B,"&gt;="&amp;$D4734,DATA_GOC!$B:$B,"&lt;="&amp;$E4734))</f>
        <v/>
      </c>
      <c r="J4734" s="59">
        <f t="shared" si="28"/>
        <v>0</v>
      </c>
      <c r="K4734" s="59">
        <f t="shared" si="29"/>
        <v>0</v>
      </c>
      <c r="L4734" s="59">
        <f t="shared" si="30"/>
        <v>0</v>
      </c>
      <c r="M4734" s="59">
        <f t="shared" si="31"/>
        <v>0</v>
      </c>
    </row>
    <row r="4735" ht="15.0" hidden="1" customHeight="1">
      <c r="A4735" s="59">
        <f t="shared" si="20"/>
        <v>76</v>
      </c>
      <c r="B4735" s="59" t="str">
        <f t="shared" si="21"/>
        <v/>
      </c>
      <c r="C4735" s="59" t="str">
        <f t="shared" si="22"/>
        <v/>
      </c>
      <c r="D4735" s="45" t="str">
        <f t="shared" si="23"/>
        <v/>
      </c>
      <c r="E4735" s="45" t="str">
        <f t="shared" si="24"/>
        <v/>
      </c>
      <c r="F4735" s="59" t="str">
        <f t="shared" si="25"/>
        <v/>
      </c>
      <c r="G4735" s="59" t="str">
        <f t="shared" si="26"/>
        <v/>
      </c>
      <c r="H4735" s="59" t="str">
        <f t="shared" si="27"/>
        <v>28C00462</v>
      </c>
      <c r="I4735" s="59" t="str">
        <f>IF(OR($A4735="",$C4735="",$D4735="",$E4735="",$H4735=""),"",SUMIFS(DATA_GOC!$H:$H,DATA_GOC!$A:$A,"BOM",DATA_GOC!$D:$D,$H4735,DATA_GOC!$E:$E,$C4735,DATA_GOC!$F:$F,"Xuất nội bộ từ téc",DATA_GOC!$B:$B,"&gt;="&amp;$D4735,DATA_GOC!$B:$B,"&lt;="&amp;$E4735))</f>
        <v/>
      </c>
      <c r="J4735" s="59">
        <f t="shared" si="28"/>
        <v>0</v>
      </c>
      <c r="K4735" s="59">
        <f t="shared" si="29"/>
        <v>0</v>
      </c>
      <c r="L4735" s="59">
        <f t="shared" si="30"/>
        <v>0</v>
      </c>
      <c r="M4735" s="59">
        <f t="shared" si="31"/>
        <v>0</v>
      </c>
    </row>
    <row r="4736" ht="15.0" hidden="1" customHeight="1">
      <c r="A4736" s="59">
        <f t="shared" si="20"/>
        <v>76</v>
      </c>
      <c r="B4736" s="59" t="str">
        <f t="shared" si="21"/>
        <v/>
      </c>
      <c r="C4736" s="59" t="str">
        <f t="shared" si="22"/>
        <v/>
      </c>
      <c r="D4736" s="45" t="str">
        <f t="shared" si="23"/>
        <v/>
      </c>
      <c r="E4736" s="45" t="str">
        <f t="shared" si="24"/>
        <v/>
      </c>
      <c r="F4736" s="59" t="str">
        <f t="shared" si="25"/>
        <v/>
      </c>
      <c r="G4736" s="59" t="str">
        <f t="shared" si="26"/>
        <v/>
      </c>
      <c r="H4736" s="59" t="str">
        <f t="shared" si="27"/>
        <v>28C01165</v>
      </c>
      <c r="I4736" s="59" t="str">
        <f>IF(OR($A4736="",$C4736="",$D4736="",$E4736="",$H4736=""),"",SUMIFS(DATA_GOC!$H:$H,DATA_GOC!$A:$A,"BOM",DATA_GOC!$D:$D,$H4736,DATA_GOC!$E:$E,$C4736,DATA_GOC!$F:$F,"Xuất nội bộ từ téc",DATA_GOC!$B:$B,"&gt;="&amp;$D4736,DATA_GOC!$B:$B,"&lt;="&amp;$E4736))</f>
        <v/>
      </c>
      <c r="J4736" s="59">
        <f t="shared" si="28"/>
        <v>0</v>
      </c>
      <c r="K4736" s="59">
        <f t="shared" si="29"/>
        <v>0</v>
      </c>
      <c r="L4736" s="59">
        <f t="shared" si="30"/>
        <v>0</v>
      </c>
      <c r="M4736" s="59">
        <f t="shared" si="31"/>
        <v>0</v>
      </c>
    </row>
    <row r="4737" ht="15.0" hidden="1" customHeight="1">
      <c r="A4737" s="59">
        <f t="shared" si="20"/>
        <v>76</v>
      </c>
      <c r="B4737" s="59" t="str">
        <f t="shared" si="21"/>
        <v/>
      </c>
      <c r="C4737" s="59" t="str">
        <f t="shared" si="22"/>
        <v/>
      </c>
      <c r="D4737" s="45" t="str">
        <f t="shared" si="23"/>
        <v/>
      </c>
      <c r="E4737" s="45" t="str">
        <f t="shared" si="24"/>
        <v/>
      </c>
      <c r="F4737" s="59" t="str">
        <f t="shared" si="25"/>
        <v/>
      </c>
      <c r="G4737" s="59" t="str">
        <f t="shared" si="26"/>
        <v/>
      </c>
      <c r="H4737" s="59" t="str">
        <f t="shared" si="27"/>
        <v>28C01406</v>
      </c>
      <c r="I4737" s="59" t="str">
        <f>IF(OR($A4737="",$C4737="",$D4737="",$E4737="",$H4737=""),"",SUMIFS(DATA_GOC!$H:$H,DATA_GOC!$A:$A,"BOM",DATA_GOC!$D:$D,$H4737,DATA_GOC!$E:$E,$C4737,DATA_GOC!$F:$F,"Xuất nội bộ từ téc",DATA_GOC!$B:$B,"&gt;="&amp;$D4737,DATA_GOC!$B:$B,"&lt;="&amp;$E4737))</f>
        <v/>
      </c>
      <c r="J4737" s="59">
        <f t="shared" si="28"/>
        <v>0</v>
      </c>
      <c r="K4737" s="59">
        <f t="shared" si="29"/>
        <v>0</v>
      </c>
      <c r="L4737" s="59">
        <f t="shared" si="30"/>
        <v>0</v>
      </c>
      <c r="M4737" s="59">
        <f t="shared" si="31"/>
        <v>0</v>
      </c>
    </row>
    <row r="4738" ht="15.0" hidden="1" customHeight="1">
      <c r="A4738" s="59">
        <f t="shared" si="20"/>
        <v>76</v>
      </c>
      <c r="B4738" s="59" t="str">
        <f t="shared" si="21"/>
        <v/>
      </c>
      <c r="C4738" s="59" t="str">
        <f t="shared" si="22"/>
        <v/>
      </c>
      <c r="D4738" s="45" t="str">
        <f t="shared" si="23"/>
        <v/>
      </c>
      <c r="E4738" s="45" t="str">
        <f t="shared" si="24"/>
        <v/>
      </c>
      <c r="F4738" s="59" t="str">
        <f t="shared" si="25"/>
        <v/>
      </c>
      <c r="G4738" s="59" t="str">
        <f t="shared" si="26"/>
        <v/>
      </c>
      <c r="H4738" s="59" t="str">
        <f t="shared" si="27"/>
        <v>28C01544</v>
      </c>
      <c r="I4738" s="59" t="str">
        <f>IF(OR($A4738="",$C4738="",$D4738="",$E4738="",$H4738=""),"",SUMIFS(DATA_GOC!$H:$H,DATA_GOC!$A:$A,"BOM",DATA_GOC!$D:$D,$H4738,DATA_GOC!$E:$E,$C4738,DATA_GOC!$F:$F,"Xuất nội bộ từ téc",DATA_GOC!$B:$B,"&gt;="&amp;$D4738,DATA_GOC!$B:$B,"&lt;="&amp;$E4738))</f>
        <v/>
      </c>
      <c r="J4738" s="59">
        <f t="shared" si="28"/>
        <v>0</v>
      </c>
      <c r="K4738" s="59">
        <f t="shared" si="29"/>
        <v>0</v>
      </c>
      <c r="L4738" s="59">
        <f t="shared" si="30"/>
        <v>0</v>
      </c>
      <c r="M4738" s="59">
        <f t="shared" si="31"/>
        <v>0</v>
      </c>
    </row>
    <row r="4739" ht="15.0" hidden="1" customHeight="1">
      <c r="A4739" s="59">
        <f t="shared" si="20"/>
        <v>76</v>
      </c>
      <c r="B4739" s="59" t="str">
        <f t="shared" si="21"/>
        <v/>
      </c>
      <c r="C4739" s="59" t="str">
        <f t="shared" si="22"/>
        <v/>
      </c>
      <c r="D4739" s="45" t="str">
        <f t="shared" si="23"/>
        <v/>
      </c>
      <c r="E4739" s="45" t="str">
        <f t="shared" si="24"/>
        <v/>
      </c>
      <c r="F4739" s="59" t="str">
        <f t="shared" si="25"/>
        <v/>
      </c>
      <c r="G4739" s="59" t="str">
        <f t="shared" si="26"/>
        <v/>
      </c>
      <c r="H4739" s="59" t="str">
        <f t="shared" si="27"/>
        <v>28C01622</v>
      </c>
      <c r="I4739" s="59" t="str">
        <f>IF(OR($A4739="",$C4739="",$D4739="",$E4739="",$H4739=""),"",SUMIFS(DATA_GOC!$H:$H,DATA_GOC!$A:$A,"BOM",DATA_GOC!$D:$D,$H4739,DATA_GOC!$E:$E,$C4739,DATA_GOC!$F:$F,"Xuất nội bộ từ téc",DATA_GOC!$B:$B,"&gt;="&amp;$D4739,DATA_GOC!$B:$B,"&lt;="&amp;$E4739))</f>
        <v/>
      </c>
      <c r="J4739" s="59">
        <f t="shared" si="28"/>
        <v>0</v>
      </c>
      <c r="K4739" s="59">
        <f t="shared" si="29"/>
        <v>0</v>
      </c>
      <c r="L4739" s="59">
        <f t="shared" si="30"/>
        <v>0</v>
      </c>
      <c r="M4739" s="59">
        <f t="shared" si="31"/>
        <v>0</v>
      </c>
    </row>
    <row r="4740" ht="15.0" hidden="1" customHeight="1">
      <c r="A4740" s="59">
        <f t="shared" si="20"/>
        <v>76</v>
      </c>
      <c r="B4740" s="59" t="str">
        <f t="shared" si="21"/>
        <v/>
      </c>
      <c r="C4740" s="59" t="str">
        <f t="shared" si="22"/>
        <v/>
      </c>
      <c r="D4740" s="45" t="str">
        <f t="shared" si="23"/>
        <v/>
      </c>
      <c r="E4740" s="45" t="str">
        <f t="shared" si="24"/>
        <v/>
      </c>
      <c r="F4740" s="59" t="str">
        <f t="shared" si="25"/>
        <v/>
      </c>
      <c r="G4740" s="59" t="str">
        <f t="shared" si="26"/>
        <v/>
      </c>
      <c r="H4740" s="59" t="str">
        <f t="shared" si="27"/>
        <v>28C01647</v>
      </c>
      <c r="I4740" s="59" t="str">
        <f>IF(OR($A4740="",$C4740="",$D4740="",$E4740="",$H4740=""),"",SUMIFS(DATA_GOC!$H:$H,DATA_GOC!$A:$A,"BOM",DATA_GOC!$D:$D,$H4740,DATA_GOC!$E:$E,$C4740,DATA_GOC!$F:$F,"Xuất nội bộ từ téc",DATA_GOC!$B:$B,"&gt;="&amp;$D4740,DATA_GOC!$B:$B,"&lt;="&amp;$E4740))</f>
        <v/>
      </c>
      <c r="J4740" s="59">
        <f t="shared" si="28"/>
        <v>0</v>
      </c>
      <c r="K4740" s="59">
        <f t="shared" si="29"/>
        <v>0</v>
      </c>
      <c r="L4740" s="59">
        <f t="shared" si="30"/>
        <v>0</v>
      </c>
      <c r="M4740" s="59">
        <f t="shared" si="31"/>
        <v>0</v>
      </c>
    </row>
    <row r="4741" ht="15.0" hidden="1" customHeight="1">
      <c r="A4741" s="59">
        <f t="shared" si="20"/>
        <v>76</v>
      </c>
      <c r="B4741" s="59" t="str">
        <f t="shared" si="21"/>
        <v/>
      </c>
      <c r="C4741" s="59" t="str">
        <f t="shared" si="22"/>
        <v/>
      </c>
      <c r="D4741" s="45" t="str">
        <f t="shared" si="23"/>
        <v/>
      </c>
      <c r="E4741" s="45" t="str">
        <f t="shared" si="24"/>
        <v/>
      </c>
      <c r="F4741" s="59" t="str">
        <f t="shared" si="25"/>
        <v/>
      </c>
      <c r="G4741" s="59" t="str">
        <f t="shared" si="26"/>
        <v/>
      </c>
      <c r="H4741" s="59" t="str">
        <f t="shared" si="27"/>
        <v>28C01731</v>
      </c>
      <c r="I4741" s="59" t="str">
        <f>IF(OR($A4741="",$C4741="",$D4741="",$E4741="",$H4741=""),"",SUMIFS(DATA_GOC!$H:$H,DATA_GOC!$A:$A,"BOM",DATA_GOC!$D:$D,$H4741,DATA_GOC!$E:$E,$C4741,DATA_GOC!$F:$F,"Xuất nội bộ từ téc",DATA_GOC!$B:$B,"&gt;="&amp;$D4741,DATA_GOC!$B:$B,"&lt;="&amp;$E4741))</f>
        <v/>
      </c>
      <c r="J4741" s="59">
        <f t="shared" si="28"/>
        <v>0</v>
      </c>
      <c r="K4741" s="59">
        <f t="shared" si="29"/>
        <v>0</v>
      </c>
      <c r="L4741" s="59">
        <f t="shared" si="30"/>
        <v>0</v>
      </c>
      <c r="M4741" s="59">
        <f t="shared" si="31"/>
        <v>0</v>
      </c>
    </row>
    <row r="4742" ht="15.0" hidden="1" customHeight="1">
      <c r="A4742" s="59">
        <f t="shared" si="20"/>
        <v>76</v>
      </c>
      <c r="B4742" s="59" t="str">
        <f t="shared" si="21"/>
        <v/>
      </c>
      <c r="C4742" s="59" t="str">
        <f t="shared" si="22"/>
        <v/>
      </c>
      <c r="D4742" s="45" t="str">
        <f t="shared" si="23"/>
        <v/>
      </c>
      <c r="E4742" s="45" t="str">
        <f t="shared" si="24"/>
        <v/>
      </c>
      <c r="F4742" s="59" t="str">
        <f t="shared" si="25"/>
        <v/>
      </c>
      <c r="G4742" s="59" t="str">
        <f t="shared" si="26"/>
        <v/>
      </c>
      <c r="H4742" s="59" t="str">
        <f t="shared" si="27"/>
        <v>28C01743</v>
      </c>
      <c r="I4742" s="59" t="str">
        <f>IF(OR($A4742="",$C4742="",$D4742="",$E4742="",$H4742=""),"",SUMIFS(DATA_GOC!$H:$H,DATA_GOC!$A:$A,"BOM",DATA_GOC!$D:$D,$H4742,DATA_GOC!$E:$E,$C4742,DATA_GOC!$F:$F,"Xuất nội bộ từ téc",DATA_GOC!$B:$B,"&gt;="&amp;$D4742,DATA_GOC!$B:$B,"&lt;="&amp;$E4742))</f>
        <v/>
      </c>
      <c r="J4742" s="59">
        <f t="shared" si="28"/>
        <v>0</v>
      </c>
      <c r="K4742" s="59">
        <f t="shared" si="29"/>
        <v>0</v>
      </c>
      <c r="L4742" s="59">
        <f t="shared" si="30"/>
        <v>0</v>
      </c>
      <c r="M4742" s="59">
        <f t="shared" si="31"/>
        <v>0</v>
      </c>
    </row>
    <row r="4743" ht="15.0" hidden="1" customHeight="1">
      <c r="A4743" s="59">
        <f t="shared" si="20"/>
        <v>76</v>
      </c>
      <c r="B4743" s="59" t="str">
        <f t="shared" si="21"/>
        <v/>
      </c>
      <c r="C4743" s="59" t="str">
        <f t="shared" si="22"/>
        <v/>
      </c>
      <c r="D4743" s="45" t="str">
        <f t="shared" si="23"/>
        <v/>
      </c>
      <c r="E4743" s="45" t="str">
        <f t="shared" si="24"/>
        <v/>
      </c>
      <c r="F4743" s="59" t="str">
        <f t="shared" si="25"/>
        <v/>
      </c>
      <c r="G4743" s="59" t="str">
        <f t="shared" si="26"/>
        <v/>
      </c>
      <c r="H4743" s="59" t="str">
        <f t="shared" si="27"/>
        <v>28C02106</v>
      </c>
      <c r="I4743" s="59" t="str">
        <f>IF(OR($A4743="",$C4743="",$D4743="",$E4743="",$H4743=""),"",SUMIFS(DATA_GOC!$H:$H,DATA_GOC!$A:$A,"BOM",DATA_GOC!$D:$D,$H4743,DATA_GOC!$E:$E,$C4743,DATA_GOC!$F:$F,"Xuất nội bộ từ téc",DATA_GOC!$B:$B,"&gt;="&amp;$D4743,DATA_GOC!$B:$B,"&lt;="&amp;$E4743))</f>
        <v/>
      </c>
      <c r="J4743" s="59">
        <f t="shared" si="28"/>
        <v>0</v>
      </c>
      <c r="K4743" s="59">
        <f t="shared" si="29"/>
        <v>0</v>
      </c>
      <c r="L4743" s="59">
        <f t="shared" si="30"/>
        <v>0</v>
      </c>
      <c r="M4743" s="59">
        <f t="shared" si="31"/>
        <v>0</v>
      </c>
    </row>
    <row r="4744" ht="15.0" hidden="1" customHeight="1">
      <c r="A4744" s="59">
        <f t="shared" si="20"/>
        <v>76</v>
      </c>
      <c r="B4744" s="59" t="str">
        <f t="shared" si="21"/>
        <v/>
      </c>
      <c r="C4744" s="59" t="str">
        <f t="shared" si="22"/>
        <v/>
      </c>
      <c r="D4744" s="45" t="str">
        <f t="shared" si="23"/>
        <v/>
      </c>
      <c r="E4744" s="45" t="str">
        <f t="shared" si="24"/>
        <v/>
      </c>
      <c r="F4744" s="59" t="str">
        <f t="shared" si="25"/>
        <v/>
      </c>
      <c r="G4744" s="59" t="str">
        <f t="shared" si="26"/>
        <v/>
      </c>
      <c r="H4744" s="59" t="str">
        <f t="shared" si="27"/>
        <v>28C02410</v>
      </c>
      <c r="I4744" s="59" t="str">
        <f>IF(OR($A4744="",$C4744="",$D4744="",$E4744="",$H4744=""),"",SUMIFS(DATA_GOC!$H:$H,DATA_GOC!$A:$A,"BOM",DATA_GOC!$D:$D,$H4744,DATA_GOC!$E:$E,$C4744,DATA_GOC!$F:$F,"Xuất nội bộ từ téc",DATA_GOC!$B:$B,"&gt;="&amp;$D4744,DATA_GOC!$B:$B,"&lt;="&amp;$E4744))</f>
        <v/>
      </c>
      <c r="J4744" s="59">
        <f t="shared" si="28"/>
        <v>0</v>
      </c>
      <c r="K4744" s="59">
        <f t="shared" si="29"/>
        <v>0</v>
      </c>
      <c r="L4744" s="59">
        <f t="shared" si="30"/>
        <v>0</v>
      </c>
      <c r="M4744" s="59">
        <f t="shared" si="31"/>
        <v>0</v>
      </c>
    </row>
    <row r="4745" ht="15.0" hidden="1" customHeight="1">
      <c r="A4745" s="59">
        <f t="shared" si="20"/>
        <v>76</v>
      </c>
      <c r="B4745" s="59" t="str">
        <f t="shared" si="21"/>
        <v/>
      </c>
      <c r="C4745" s="59" t="str">
        <f t="shared" si="22"/>
        <v/>
      </c>
      <c r="D4745" s="45" t="str">
        <f t="shared" si="23"/>
        <v/>
      </c>
      <c r="E4745" s="45" t="str">
        <f t="shared" si="24"/>
        <v/>
      </c>
      <c r="F4745" s="59" t="str">
        <f t="shared" si="25"/>
        <v/>
      </c>
      <c r="G4745" s="59" t="str">
        <f t="shared" si="26"/>
        <v/>
      </c>
      <c r="H4745" s="59" t="str">
        <f t="shared" si="27"/>
        <v>28C02545</v>
      </c>
      <c r="I4745" s="59" t="str">
        <f>IF(OR($A4745="",$C4745="",$D4745="",$E4745="",$H4745=""),"",SUMIFS(DATA_GOC!$H:$H,DATA_GOC!$A:$A,"BOM",DATA_GOC!$D:$D,$H4745,DATA_GOC!$E:$E,$C4745,DATA_GOC!$F:$F,"Xuất nội bộ từ téc",DATA_GOC!$B:$B,"&gt;="&amp;$D4745,DATA_GOC!$B:$B,"&lt;="&amp;$E4745))</f>
        <v/>
      </c>
      <c r="J4745" s="59">
        <f t="shared" si="28"/>
        <v>0</v>
      </c>
      <c r="K4745" s="59">
        <f t="shared" si="29"/>
        <v>0</v>
      </c>
      <c r="L4745" s="59">
        <f t="shared" si="30"/>
        <v>0</v>
      </c>
      <c r="M4745" s="59">
        <f t="shared" si="31"/>
        <v>0</v>
      </c>
    </row>
    <row r="4746" ht="15.0" hidden="1" customHeight="1">
      <c r="A4746" s="59">
        <f t="shared" si="20"/>
        <v>76</v>
      </c>
      <c r="B4746" s="59" t="str">
        <f t="shared" si="21"/>
        <v/>
      </c>
      <c r="C4746" s="59" t="str">
        <f t="shared" si="22"/>
        <v/>
      </c>
      <c r="D4746" s="45" t="str">
        <f t="shared" si="23"/>
        <v/>
      </c>
      <c r="E4746" s="45" t="str">
        <f t="shared" si="24"/>
        <v/>
      </c>
      <c r="F4746" s="59" t="str">
        <f t="shared" si="25"/>
        <v/>
      </c>
      <c r="G4746" s="59" t="str">
        <f t="shared" si="26"/>
        <v/>
      </c>
      <c r="H4746" s="59" t="str">
        <f t="shared" si="27"/>
        <v>28C02574</v>
      </c>
      <c r="I4746" s="59" t="str">
        <f>IF(OR($A4746="",$C4746="",$D4746="",$E4746="",$H4746=""),"",SUMIFS(DATA_GOC!$H:$H,DATA_GOC!$A:$A,"BOM",DATA_GOC!$D:$D,$H4746,DATA_GOC!$E:$E,$C4746,DATA_GOC!$F:$F,"Xuất nội bộ từ téc",DATA_GOC!$B:$B,"&gt;="&amp;$D4746,DATA_GOC!$B:$B,"&lt;="&amp;$E4746))</f>
        <v/>
      </c>
      <c r="J4746" s="59">
        <f t="shared" si="28"/>
        <v>0</v>
      </c>
      <c r="K4746" s="59">
        <f t="shared" si="29"/>
        <v>0</v>
      </c>
      <c r="L4746" s="59">
        <f t="shared" si="30"/>
        <v>0</v>
      </c>
      <c r="M4746" s="59">
        <f t="shared" si="31"/>
        <v>0</v>
      </c>
    </row>
    <row r="4747" ht="15.0" hidden="1" customHeight="1">
      <c r="A4747" s="59">
        <f t="shared" si="20"/>
        <v>76</v>
      </c>
      <c r="B4747" s="59" t="str">
        <f t="shared" si="21"/>
        <v/>
      </c>
      <c r="C4747" s="59" t="str">
        <f t="shared" si="22"/>
        <v/>
      </c>
      <c r="D4747" s="45" t="str">
        <f t="shared" si="23"/>
        <v/>
      </c>
      <c r="E4747" s="45" t="str">
        <f t="shared" si="24"/>
        <v/>
      </c>
      <c r="F4747" s="59" t="str">
        <f t="shared" si="25"/>
        <v/>
      </c>
      <c r="G4747" s="59" t="str">
        <f t="shared" si="26"/>
        <v/>
      </c>
      <c r="H4747" s="59" t="str">
        <f t="shared" si="27"/>
        <v>28C02770</v>
      </c>
      <c r="I4747" s="59" t="str">
        <f>IF(OR($A4747="",$C4747="",$D4747="",$E4747="",$H4747=""),"",SUMIFS(DATA_GOC!$H:$H,DATA_GOC!$A:$A,"BOM",DATA_GOC!$D:$D,$H4747,DATA_GOC!$E:$E,$C4747,DATA_GOC!$F:$F,"Xuất nội bộ từ téc",DATA_GOC!$B:$B,"&gt;="&amp;$D4747,DATA_GOC!$B:$B,"&lt;="&amp;$E4747))</f>
        <v/>
      </c>
      <c r="J4747" s="59">
        <f t="shared" si="28"/>
        <v>0</v>
      </c>
      <c r="K4747" s="59">
        <f t="shared" si="29"/>
        <v>0</v>
      </c>
      <c r="L4747" s="59">
        <f t="shared" si="30"/>
        <v>0</v>
      </c>
      <c r="M4747" s="59">
        <f t="shared" si="31"/>
        <v>0</v>
      </c>
    </row>
    <row r="4748" ht="15.0" hidden="1" customHeight="1">
      <c r="A4748" s="59">
        <f t="shared" si="20"/>
        <v>76</v>
      </c>
      <c r="B4748" s="59" t="str">
        <f t="shared" si="21"/>
        <v/>
      </c>
      <c r="C4748" s="59" t="str">
        <f t="shared" si="22"/>
        <v/>
      </c>
      <c r="D4748" s="45" t="str">
        <f t="shared" si="23"/>
        <v/>
      </c>
      <c r="E4748" s="45" t="str">
        <f t="shared" si="24"/>
        <v/>
      </c>
      <c r="F4748" s="59" t="str">
        <f t="shared" si="25"/>
        <v/>
      </c>
      <c r="G4748" s="59" t="str">
        <f t="shared" si="26"/>
        <v/>
      </c>
      <c r="H4748" s="59" t="str">
        <f t="shared" si="27"/>
        <v>28C02986</v>
      </c>
      <c r="I4748" s="59" t="str">
        <f>IF(OR($A4748="",$C4748="",$D4748="",$E4748="",$H4748=""),"",SUMIFS(DATA_GOC!$H:$H,DATA_GOC!$A:$A,"BOM",DATA_GOC!$D:$D,$H4748,DATA_GOC!$E:$E,$C4748,DATA_GOC!$F:$F,"Xuất nội bộ từ téc",DATA_GOC!$B:$B,"&gt;="&amp;$D4748,DATA_GOC!$B:$B,"&lt;="&amp;$E4748))</f>
        <v/>
      </c>
      <c r="J4748" s="59">
        <f t="shared" si="28"/>
        <v>0</v>
      </c>
      <c r="K4748" s="59">
        <f t="shared" si="29"/>
        <v>0</v>
      </c>
      <c r="L4748" s="59">
        <f t="shared" si="30"/>
        <v>0</v>
      </c>
      <c r="M4748" s="59">
        <f t="shared" si="31"/>
        <v>0</v>
      </c>
    </row>
    <row r="4749" ht="15.0" hidden="1" customHeight="1">
      <c r="A4749" s="59">
        <f t="shared" si="20"/>
        <v>76</v>
      </c>
      <c r="B4749" s="59" t="str">
        <f t="shared" si="21"/>
        <v/>
      </c>
      <c r="C4749" s="59" t="str">
        <f t="shared" si="22"/>
        <v/>
      </c>
      <c r="D4749" s="45" t="str">
        <f t="shared" si="23"/>
        <v/>
      </c>
      <c r="E4749" s="45" t="str">
        <f t="shared" si="24"/>
        <v/>
      </c>
      <c r="F4749" s="59" t="str">
        <f t="shared" si="25"/>
        <v/>
      </c>
      <c r="G4749" s="59" t="str">
        <f t="shared" si="26"/>
        <v/>
      </c>
      <c r="H4749" s="59" t="str">
        <f t="shared" si="27"/>
        <v>28C03261</v>
      </c>
      <c r="I4749" s="59" t="str">
        <f>IF(OR($A4749="",$C4749="",$D4749="",$E4749="",$H4749=""),"",SUMIFS(DATA_GOC!$H:$H,DATA_GOC!$A:$A,"BOM",DATA_GOC!$D:$D,$H4749,DATA_GOC!$E:$E,$C4749,DATA_GOC!$F:$F,"Xuất nội bộ từ téc",DATA_GOC!$B:$B,"&gt;="&amp;$D4749,DATA_GOC!$B:$B,"&lt;="&amp;$E4749))</f>
        <v/>
      </c>
      <c r="J4749" s="59">
        <f t="shared" si="28"/>
        <v>0</v>
      </c>
      <c r="K4749" s="59">
        <f t="shared" si="29"/>
        <v>0</v>
      </c>
      <c r="L4749" s="59">
        <f t="shared" si="30"/>
        <v>0</v>
      </c>
      <c r="M4749" s="59">
        <f t="shared" si="31"/>
        <v>0</v>
      </c>
    </row>
    <row r="4750" ht="15.0" hidden="1" customHeight="1">
      <c r="A4750" s="59">
        <f t="shared" si="20"/>
        <v>76</v>
      </c>
      <c r="B4750" s="59" t="str">
        <f t="shared" si="21"/>
        <v/>
      </c>
      <c r="C4750" s="59" t="str">
        <f t="shared" si="22"/>
        <v/>
      </c>
      <c r="D4750" s="45" t="str">
        <f t="shared" si="23"/>
        <v/>
      </c>
      <c r="E4750" s="45" t="str">
        <f t="shared" si="24"/>
        <v/>
      </c>
      <c r="F4750" s="59" t="str">
        <f t="shared" si="25"/>
        <v/>
      </c>
      <c r="G4750" s="59" t="str">
        <f t="shared" si="26"/>
        <v/>
      </c>
      <c r="H4750" s="59" t="str">
        <f t="shared" si="27"/>
        <v>28C03323</v>
      </c>
      <c r="I4750" s="59" t="str">
        <f>IF(OR($A4750="",$C4750="",$D4750="",$E4750="",$H4750=""),"",SUMIFS(DATA_GOC!$H:$H,DATA_GOC!$A:$A,"BOM",DATA_GOC!$D:$D,$H4750,DATA_GOC!$E:$E,$C4750,DATA_GOC!$F:$F,"Xuất nội bộ từ téc",DATA_GOC!$B:$B,"&gt;="&amp;$D4750,DATA_GOC!$B:$B,"&lt;="&amp;$E4750))</f>
        <v/>
      </c>
      <c r="J4750" s="59">
        <f t="shared" si="28"/>
        <v>0</v>
      </c>
      <c r="K4750" s="59">
        <f t="shared" si="29"/>
        <v>0</v>
      </c>
      <c r="L4750" s="59">
        <f t="shared" si="30"/>
        <v>0</v>
      </c>
      <c r="M4750" s="59">
        <f t="shared" si="31"/>
        <v>0</v>
      </c>
    </row>
    <row r="4751" ht="15.0" hidden="1" customHeight="1">
      <c r="A4751" s="59">
        <f t="shared" si="20"/>
        <v>76</v>
      </c>
      <c r="B4751" s="59" t="str">
        <f t="shared" si="21"/>
        <v/>
      </c>
      <c r="C4751" s="59" t="str">
        <f t="shared" si="22"/>
        <v/>
      </c>
      <c r="D4751" s="45" t="str">
        <f t="shared" si="23"/>
        <v/>
      </c>
      <c r="E4751" s="45" t="str">
        <f t="shared" si="24"/>
        <v/>
      </c>
      <c r="F4751" s="59" t="str">
        <f t="shared" si="25"/>
        <v/>
      </c>
      <c r="G4751" s="59" t="str">
        <f t="shared" si="26"/>
        <v/>
      </c>
      <c r="H4751" s="59" t="str">
        <f t="shared" si="27"/>
        <v>28C03385</v>
      </c>
      <c r="I4751" s="59" t="str">
        <f>IF(OR($A4751="",$C4751="",$D4751="",$E4751="",$H4751=""),"",SUMIFS(DATA_GOC!$H:$H,DATA_GOC!$A:$A,"BOM",DATA_GOC!$D:$D,$H4751,DATA_GOC!$E:$E,$C4751,DATA_GOC!$F:$F,"Xuất nội bộ từ téc",DATA_GOC!$B:$B,"&gt;="&amp;$D4751,DATA_GOC!$B:$B,"&lt;="&amp;$E4751))</f>
        <v/>
      </c>
      <c r="J4751" s="59">
        <f t="shared" si="28"/>
        <v>0</v>
      </c>
      <c r="K4751" s="59">
        <f t="shared" si="29"/>
        <v>0</v>
      </c>
      <c r="L4751" s="59">
        <f t="shared" si="30"/>
        <v>0</v>
      </c>
      <c r="M4751" s="59">
        <f t="shared" si="31"/>
        <v>0</v>
      </c>
    </row>
    <row r="4752" ht="15.0" hidden="1" customHeight="1">
      <c r="A4752" s="59">
        <f t="shared" si="20"/>
        <v>76</v>
      </c>
      <c r="B4752" s="59" t="str">
        <f t="shared" si="21"/>
        <v/>
      </c>
      <c r="C4752" s="59" t="str">
        <f t="shared" si="22"/>
        <v/>
      </c>
      <c r="D4752" s="45" t="str">
        <f t="shared" si="23"/>
        <v/>
      </c>
      <c r="E4752" s="45" t="str">
        <f t="shared" si="24"/>
        <v/>
      </c>
      <c r="F4752" s="59" t="str">
        <f t="shared" si="25"/>
        <v/>
      </c>
      <c r="G4752" s="59" t="str">
        <f t="shared" si="26"/>
        <v/>
      </c>
      <c r="H4752" s="59" t="str">
        <f t="shared" si="27"/>
        <v>28C03652</v>
      </c>
      <c r="I4752" s="59" t="str">
        <f>IF(OR($A4752="",$C4752="",$D4752="",$E4752="",$H4752=""),"",SUMIFS(DATA_GOC!$H:$H,DATA_GOC!$A:$A,"BOM",DATA_GOC!$D:$D,$H4752,DATA_GOC!$E:$E,$C4752,DATA_GOC!$F:$F,"Xuất nội bộ từ téc",DATA_GOC!$B:$B,"&gt;="&amp;$D4752,DATA_GOC!$B:$B,"&lt;="&amp;$E4752))</f>
        <v/>
      </c>
      <c r="J4752" s="59">
        <f t="shared" si="28"/>
        <v>0</v>
      </c>
      <c r="K4752" s="59">
        <f t="shared" si="29"/>
        <v>0</v>
      </c>
      <c r="L4752" s="59">
        <f t="shared" si="30"/>
        <v>0</v>
      </c>
      <c r="M4752" s="59">
        <f t="shared" si="31"/>
        <v>0</v>
      </c>
    </row>
    <row r="4753" ht="15.0" hidden="1" customHeight="1">
      <c r="A4753" s="59">
        <f t="shared" si="20"/>
        <v>76</v>
      </c>
      <c r="B4753" s="59" t="str">
        <f t="shared" si="21"/>
        <v/>
      </c>
      <c r="C4753" s="59" t="str">
        <f t="shared" si="22"/>
        <v/>
      </c>
      <c r="D4753" s="45" t="str">
        <f t="shared" si="23"/>
        <v/>
      </c>
      <c r="E4753" s="45" t="str">
        <f t="shared" si="24"/>
        <v/>
      </c>
      <c r="F4753" s="59" t="str">
        <f t="shared" si="25"/>
        <v/>
      </c>
      <c r="G4753" s="59" t="str">
        <f t="shared" si="26"/>
        <v/>
      </c>
      <c r="H4753" s="59" t="str">
        <f t="shared" si="27"/>
        <v>28C03695</v>
      </c>
      <c r="I4753" s="59" t="str">
        <f>IF(OR($A4753="",$C4753="",$D4753="",$E4753="",$H4753=""),"",SUMIFS(DATA_GOC!$H:$H,DATA_GOC!$A:$A,"BOM",DATA_GOC!$D:$D,$H4753,DATA_GOC!$E:$E,$C4753,DATA_GOC!$F:$F,"Xuất nội bộ từ téc",DATA_GOC!$B:$B,"&gt;="&amp;$D4753,DATA_GOC!$B:$B,"&lt;="&amp;$E4753))</f>
        <v/>
      </c>
      <c r="J4753" s="59">
        <f t="shared" si="28"/>
        <v>0</v>
      </c>
      <c r="K4753" s="59">
        <f t="shared" si="29"/>
        <v>0</v>
      </c>
      <c r="L4753" s="59">
        <f t="shared" si="30"/>
        <v>0</v>
      </c>
      <c r="M4753" s="59">
        <f t="shared" si="31"/>
        <v>0</v>
      </c>
    </row>
    <row r="4754" ht="15.0" hidden="1" customHeight="1">
      <c r="A4754" s="59">
        <f t="shared" si="20"/>
        <v>76</v>
      </c>
      <c r="B4754" s="59" t="str">
        <f t="shared" si="21"/>
        <v/>
      </c>
      <c r="C4754" s="59" t="str">
        <f t="shared" si="22"/>
        <v/>
      </c>
      <c r="D4754" s="45" t="str">
        <f t="shared" si="23"/>
        <v/>
      </c>
      <c r="E4754" s="45" t="str">
        <f t="shared" si="24"/>
        <v/>
      </c>
      <c r="F4754" s="59" t="str">
        <f t="shared" si="25"/>
        <v/>
      </c>
      <c r="G4754" s="59" t="str">
        <f t="shared" si="26"/>
        <v/>
      </c>
      <c r="H4754" s="59" t="str">
        <f t="shared" si="27"/>
        <v>28C03927</v>
      </c>
      <c r="I4754" s="59" t="str">
        <f>IF(OR($A4754="",$C4754="",$D4754="",$E4754="",$H4754=""),"",SUMIFS(DATA_GOC!$H:$H,DATA_GOC!$A:$A,"BOM",DATA_GOC!$D:$D,$H4754,DATA_GOC!$E:$E,$C4754,DATA_GOC!$F:$F,"Xuất nội bộ từ téc",DATA_GOC!$B:$B,"&gt;="&amp;$D4754,DATA_GOC!$B:$B,"&lt;="&amp;$E4754))</f>
        <v/>
      </c>
      <c r="J4754" s="59">
        <f t="shared" si="28"/>
        <v>0</v>
      </c>
      <c r="K4754" s="59">
        <f t="shared" si="29"/>
        <v>0</v>
      </c>
      <c r="L4754" s="59">
        <f t="shared" si="30"/>
        <v>0</v>
      </c>
      <c r="M4754" s="59">
        <f t="shared" si="31"/>
        <v>0</v>
      </c>
    </row>
    <row r="4755" ht="15.0" hidden="1" customHeight="1">
      <c r="A4755" s="59">
        <f t="shared" si="20"/>
        <v>76</v>
      </c>
      <c r="B4755" s="59" t="str">
        <f t="shared" si="21"/>
        <v/>
      </c>
      <c r="C4755" s="59" t="str">
        <f t="shared" si="22"/>
        <v/>
      </c>
      <c r="D4755" s="45" t="str">
        <f t="shared" si="23"/>
        <v/>
      </c>
      <c r="E4755" s="45" t="str">
        <f t="shared" si="24"/>
        <v/>
      </c>
      <c r="F4755" s="59" t="str">
        <f t="shared" si="25"/>
        <v/>
      </c>
      <c r="G4755" s="59" t="str">
        <f t="shared" si="26"/>
        <v/>
      </c>
      <c r="H4755" s="59" t="str">
        <f t="shared" si="27"/>
        <v>28C04509</v>
      </c>
      <c r="I4755" s="59" t="str">
        <f>IF(OR($A4755="",$C4755="",$D4755="",$E4755="",$H4755=""),"",SUMIFS(DATA_GOC!$H:$H,DATA_GOC!$A:$A,"BOM",DATA_GOC!$D:$D,$H4755,DATA_GOC!$E:$E,$C4755,DATA_GOC!$F:$F,"Xuất nội bộ từ téc",DATA_GOC!$B:$B,"&gt;="&amp;$D4755,DATA_GOC!$B:$B,"&lt;="&amp;$E4755))</f>
        <v/>
      </c>
      <c r="J4755" s="59">
        <f t="shared" si="28"/>
        <v>0</v>
      </c>
      <c r="K4755" s="59">
        <f t="shared" si="29"/>
        <v>0</v>
      </c>
      <c r="L4755" s="59">
        <f t="shared" si="30"/>
        <v>0</v>
      </c>
      <c r="M4755" s="59">
        <f t="shared" si="31"/>
        <v>0</v>
      </c>
    </row>
    <row r="4756" ht="15.0" hidden="1" customHeight="1">
      <c r="A4756" s="59">
        <f t="shared" si="20"/>
        <v>76</v>
      </c>
      <c r="B4756" s="59" t="str">
        <f t="shared" si="21"/>
        <v/>
      </c>
      <c r="C4756" s="59" t="str">
        <f t="shared" si="22"/>
        <v/>
      </c>
      <c r="D4756" s="45" t="str">
        <f t="shared" si="23"/>
        <v/>
      </c>
      <c r="E4756" s="45" t="str">
        <f t="shared" si="24"/>
        <v/>
      </c>
      <c r="F4756" s="59" t="str">
        <f t="shared" si="25"/>
        <v/>
      </c>
      <c r="G4756" s="59" t="str">
        <f t="shared" si="26"/>
        <v/>
      </c>
      <c r="H4756" s="59" t="str">
        <f t="shared" si="27"/>
        <v>28C04536</v>
      </c>
      <c r="I4756" s="59" t="str">
        <f>IF(OR($A4756="",$C4756="",$D4756="",$E4756="",$H4756=""),"",SUMIFS(DATA_GOC!$H:$H,DATA_GOC!$A:$A,"BOM",DATA_GOC!$D:$D,$H4756,DATA_GOC!$E:$E,$C4756,DATA_GOC!$F:$F,"Xuất nội bộ từ téc",DATA_GOC!$B:$B,"&gt;="&amp;$D4756,DATA_GOC!$B:$B,"&lt;="&amp;$E4756))</f>
        <v/>
      </c>
      <c r="J4756" s="59">
        <f t="shared" si="28"/>
        <v>0</v>
      </c>
      <c r="K4756" s="59">
        <f t="shared" si="29"/>
        <v>0</v>
      </c>
      <c r="L4756" s="59">
        <f t="shared" si="30"/>
        <v>0</v>
      </c>
      <c r="M4756" s="59">
        <f t="shared" si="31"/>
        <v>0</v>
      </c>
    </row>
    <row r="4757" ht="15.0" hidden="1" customHeight="1">
      <c r="A4757" s="59">
        <f t="shared" si="20"/>
        <v>76</v>
      </c>
      <c r="B4757" s="59" t="str">
        <f t="shared" si="21"/>
        <v/>
      </c>
      <c r="C4757" s="59" t="str">
        <f t="shared" si="22"/>
        <v/>
      </c>
      <c r="D4757" s="45" t="str">
        <f t="shared" si="23"/>
        <v/>
      </c>
      <c r="E4757" s="45" t="str">
        <f t="shared" si="24"/>
        <v/>
      </c>
      <c r="F4757" s="59" t="str">
        <f t="shared" si="25"/>
        <v/>
      </c>
      <c r="G4757" s="59" t="str">
        <f t="shared" si="26"/>
        <v/>
      </c>
      <c r="H4757" s="59" t="str">
        <f t="shared" si="27"/>
        <v>28C04576</v>
      </c>
      <c r="I4757" s="59" t="str">
        <f>IF(OR($A4757="",$C4757="",$D4757="",$E4757="",$H4757=""),"",SUMIFS(DATA_GOC!$H:$H,DATA_GOC!$A:$A,"BOM",DATA_GOC!$D:$D,$H4757,DATA_GOC!$E:$E,$C4757,DATA_GOC!$F:$F,"Xuất nội bộ từ téc",DATA_GOC!$B:$B,"&gt;="&amp;$D4757,DATA_GOC!$B:$B,"&lt;="&amp;$E4757))</f>
        <v/>
      </c>
      <c r="J4757" s="59">
        <f t="shared" si="28"/>
        <v>0</v>
      </c>
      <c r="K4757" s="59">
        <f t="shared" si="29"/>
        <v>0</v>
      </c>
      <c r="L4757" s="59">
        <f t="shared" si="30"/>
        <v>0</v>
      </c>
      <c r="M4757" s="59">
        <f t="shared" si="31"/>
        <v>0</v>
      </c>
    </row>
    <row r="4758" ht="15.0" hidden="1" customHeight="1">
      <c r="A4758" s="59">
        <f t="shared" si="20"/>
        <v>76</v>
      </c>
      <c r="B4758" s="59" t="str">
        <f t="shared" si="21"/>
        <v/>
      </c>
      <c r="C4758" s="59" t="str">
        <f t="shared" si="22"/>
        <v/>
      </c>
      <c r="D4758" s="45" t="str">
        <f t="shared" si="23"/>
        <v/>
      </c>
      <c r="E4758" s="45" t="str">
        <f t="shared" si="24"/>
        <v/>
      </c>
      <c r="F4758" s="59" t="str">
        <f t="shared" si="25"/>
        <v/>
      </c>
      <c r="G4758" s="59" t="str">
        <f t="shared" si="26"/>
        <v/>
      </c>
      <c r="H4758" s="59" t="str">
        <f t="shared" si="27"/>
        <v>28C05090</v>
      </c>
      <c r="I4758" s="59" t="str">
        <f>IF(OR($A4758="",$C4758="",$D4758="",$E4758="",$H4758=""),"",SUMIFS(DATA_GOC!$H:$H,DATA_GOC!$A:$A,"BOM",DATA_GOC!$D:$D,$H4758,DATA_GOC!$E:$E,$C4758,DATA_GOC!$F:$F,"Xuất nội bộ từ téc",DATA_GOC!$B:$B,"&gt;="&amp;$D4758,DATA_GOC!$B:$B,"&lt;="&amp;$E4758))</f>
        <v/>
      </c>
      <c r="J4758" s="59">
        <f t="shared" si="28"/>
        <v>0</v>
      </c>
      <c r="K4758" s="59">
        <f t="shared" si="29"/>
        <v>0</v>
      </c>
      <c r="L4758" s="59">
        <f t="shared" si="30"/>
        <v>0</v>
      </c>
      <c r="M4758" s="59">
        <f t="shared" si="31"/>
        <v>0</v>
      </c>
    </row>
    <row r="4759" ht="15.0" hidden="1" customHeight="1">
      <c r="A4759" s="59">
        <f t="shared" si="20"/>
        <v>76</v>
      </c>
      <c r="B4759" s="59" t="str">
        <f t="shared" si="21"/>
        <v/>
      </c>
      <c r="C4759" s="59" t="str">
        <f t="shared" si="22"/>
        <v/>
      </c>
      <c r="D4759" s="45" t="str">
        <f t="shared" si="23"/>
        <v/>
      </c>
      <c r="E4759" s="45" t="str">
        <f t="shared" si="24"/>
        <v/>
      </c>
      <c r="F4759" s="59" t="str">
        <f t="shared" si="25"/>
        <v/>
      </c>
      <c r="G4759" s="59" t="str">
        <f t="shared" si="26"/>
        <v/>
      </c>
      <c r="H4759" s="59" t="str">
        <f t="shared" si="27"/>
        <v>28C05345</v>
      </c>
      <c r="I4759" s="59" t="str">
        <f>IF(OR($A4759="",$C4759="",$D4759="",$E4759="",$H4759=""),"",SUMIFS(DATA_GOC!$H:$H,DATA_GOC!$A:$A,"BOM",DATA_GOC!$D:$D,$H4759,DATA_GOC!$E:$E,$C4759,DATA_GOC!$F:$F,"Xuất nội bộ từ téc",DATA_GOC!$B:$B,"&gt;="&amp;$D4759,DATA_GOC!$B:$B,"&lt;="&amp;$E4759))</f>
        <v/>
      </c>
      <c r="J4759" s="59">
        <f t="shared" si="28"/>
        <v>0</v>
      </c>
      <c r="K4759" s="59">
        <f t="shared" si="29"/>
        <v>0</v>
      </c>
      <c r="L4759" s="59">
        <f t="shared" si="30"/>
        <v>0</v>
      </c>
      <c r="M4759" s="59">
        <f t="shared" si="31"/>
        <v>0</v>
      </c>
    </row>
    <row r="4760" ht="15.0" hidden="1" customHeight="1">
      <c r="A4760" s="59">
        <f t="shared" si="20"/>
        <v>76</v>
      </c>
      <c r="B4760" s="59" t="str">
        <f t="shared" si="21"/>
        <v/>
      </c>
      <c r="C4760" s="59" t="str">
        <f t="shared" si="22"/>
        <v/>
      </c>
      <c r="D4760" s="45" t="str">
        <f t="shared" si="23"/>
        <v/>
      </c>
      <c r="E4760" s="45" t="str">
        <f t="shared" si="24"/>
        <v/>
      </c>
      <c r="F4760" s="59" t="str">
        <f t="shared" si="25"/>
        <v/>
      </c>
      <c r="G4760" s="59" t="str">
        <f t="shared" si="26"/>
        <v/>
      </c>
      <c r="H4760" s="59" t="str">
        <f t="shared" si="27"/>
        <v>28C05661</v>
      </c>
      <c r="I4760" s="59" t="str">
        <f>IF(OR($A4760="",$C4760="",$D4760="",$E4760="",$H4760=""),"",SUMIFS(DATA_GOC!$H:$H,DATA_GOC!$A:$A,"BOM",DATA_GOC!$D:$D,$H4760,DATA_GOC!$E:$E,$C4760,DATA_GOC!$F:$F,"Xuất nội bộ từ téc",DATA_GOC!$B:$B,"&gt;="&amp;$D4760,DATA_GOC!$B:$B,"&lt;="&amp;$E4760))</f>
        <v/>
      </c>
      <c r="J4760" s="59">
        <f t="shared" si="28"/>
        <v>0</v>
      </c>
      <c r="K4760" s="59">
        <f t="shared" si="29"/>
        <v>0</v>
      </c>
      <c r="L4760" s="59">
        <f t="shared" si="30"/>
        <v>0</v>
      </c>
      <c r="M4760" s="59">
        <f t="shared" si="31"/>
        <v>0</v>
      </c>
    </row>
    <row r="4761" ht="15.0" hidden="1" customHeight="1">
      <c r="A4761" s="59">
        <f t="shared" si="20"/>
        <v>76</v>
      </c>
      <c r="B4761" s="59" t="str">
        <f t="shared" si="21"/>
        <v/>
      </c>
      <c r="C4761" s="59" t="str">
        <f t="shared" si="22"/>
        <v/>
      </c>
      <c r="D4761" s="45" t="str">
        <f t="shared" si="23"/>
        <v/>
      </c>
      <c r="E4761" s="45" t="str">
        <f t="shared" si="24"/>
        <v/>
      </c>
      <c r="F4761" s="59" t="str">
        <f t="shared" si="25"/>
        <v/>
      </c>
      <c r="G4761" s="59" t="str">
        <f t="shared" si="26"/>
        <v/>
      </c>
      <c r="H4761" s="59" t="str">
        <f t="shared" si="27"/>
        <v>28C05739</v>
      </c>
      <c r="I4761" s="59" t="str">
        <f>IF(OR($A4761="",$C4761="",$D4761="",$E4761="",$H4761=""),"",SUMIFS(DATA_GOC!$H:$H,DATA_GOC!$A:$A,"BOM",DATA_GOC!$D:$D,$H4761,DATA_GOC!$E:$E,$C4761,DATA_GOC!$F:$F,"Xuất nội bộ từ téc",DATA_GOC!$B:$B,"&gt;="&amp;$D4761,DATA_GOC!$B:$B,"&lt;="&amp;$E4761))</f>
        <v/>
      </c>
      <c r="J4761" s="59">
        <f t="shared" si="28"/>
        <v>0</v>
      </c>
      <c r="K4761" s="59">
        <f t="shared" si="29"/>
        <v>0</v>
      </c>
      <c r="L4761" s="59">
        <f t="shared" si="30"/>
        <v>0</v>
      </c>
      <c r="M4761" s="59">
        <f t="shared" si="31"/>
        <v>0</v>
      </c>
    </row>
    <row r="4762" ht="15.0" hidden="1" customHeight="1">
      <c r="A4762" s="59">
        <f t="shared" si="20"/>
        <v>76</v>
      </c>
      <c r="B4762" s="59" t="str">
        <f t="shared" si="21"/>
        <v/>
      </c>
      <c r="C4762" s="59" t="str">
        <f t="shared" si="22"/>
        <v/>
      </c>
      <c r="D4762" s="45" t="str">
        <f t="shared" si="23"/>
        <v/>
      </c>
      <c r="E4762" s="45" t="str">
        <f t="shared" si="24"/>
        <v/>
      </c>
      <c r="F4762" s="59" t="str">
        <f t="shared" si="25"/>
        <v/>
      </c>
      <c r="G4762" s="59" t="str">
        <f t="shared" si="26"/>
        <v/>
      </c>
      <c r="H4762" s="59" t="str">
        <f t="shared" si="27"/>
        <v>28C06369</v>
      </c>
      <c r="I4762" s="59" t="str">
        <f>IF(OR($A4762="",$C4762="",$D4762="",$E4762="",$H4762=""),"",SUMIFS(DATA_GOC!$H:$H,DATA_GOC!$A:$A,"BOM",DATA_GOC!$D:$D,$H4762,DATA_GOC!$E:$E,$C4762,DATA_GOC!$F:$F,"Xuất nội bộ từ téc",DATA_GOC!$B:$B,"&gt;="&amp;$D4762,DATA_GOC!$B:$B,"&lt;="&amp;$E4762))</f>
        <v/>
      </c>
      <c r="J4762" s="59">
        <f t="shared" si="28"/>
        <v>0</v>
      </c>
      <c r="K4762" s="59">
        <f t="shared" si="29"/>
        <v>0</v>
      </c>
      <c r="L4762" s="59">
        <f t="shared" si="30"/>
        <v>0</v>
      </c>
      <c r="M4762" s="59">
        <f t="shared" si="31"/>
        <v>0</v>
      </c>
    </row>
    <row r="4763" ht="15.0" hidden="1" customHeight="1">
      <c r="A4763" s="59">
        <f t="shared" si="20"/>
        <v>76</v>
      </c>
      <c r="B4763" s="59" t="str">
        <f t="shared" si="21"/>
        <v/>
      </c>
      <c r="C4763" s="59" t="str">
        <f t="shared" si="22"/>
        <v/>
      </c>
      <c r="D4763" s="45" t="str">
        <f t="shared" si="23"/>
        <v/>
      </c>
      <c r="E4763" s="45" t="str">
        <f t="shared" si="24"/>
        <v/>
      </c>
      <c r="F4763" s="59" t="str">
        <f t="shared" si="25"/>
        <v/>
      </c>
      <c r="G4763" s="59" t="str">
        <f t="shared" si="26"/>
        <v/>
      </c>
      <c r="H4763" s="59" t="str">
        <f t="shared" si="27"/>
        <v>28C06447</v>
      </c>
      <c r="I4763" s="59" t="str">
        <f>IF(OR($A4763="",$C4763="",$D4763="",$E4763="",$H4763=""),"",SUMIFS(DATA_GOC!$H:$H,DATA_GOC!$A:$A,"BOM",DATA_GOC!$D:$D,$H4763,DATA_GOC!$E:$E,$C4763,DATA_GOC!$F:$F,"Xuất nội bộ từ téc",DATA_GOC!$B:$B,"&gt;="&amp;$D4763,DATA_GOC!$B:$B,"&lt;="&amp;$E4763))</f>
        <v/>
      </c>
      <c r="J4763" s="59">
        <f t="shared" si="28"/>
        <v>0</v>
      </c>
      <c r="K4763" s="59">
        <f t="shared" si="29"/>
        <v>0</v>
      </c>
      <c r="L4763" s="59">
        <f t="shared" si="30"/>
        <v>0</v>
      </c>
      <c r="M4763" s="59">
        <f t="shared" si="31"/>
        <v>0</v>
      </c>
    </row>
    <row r="4764" ht="15.0" hidden="1" customHeight="1">
      <c r="A4764" s="59">
        <f t="shared" si="20"/>
        <v>76</v>
      </c>
      <c r="B4764" s="59" t="str">
        <f t="shared" si="21"/>
        <v/>
      </c>
      <c r="C4764" s="59" t="str">
        <f t="shared" si="22"/>
        <v/>
      </c>
      <c r="D4764" s="45" t="str">
        <f t="shared" si="23"/>
        <v/>
      </c>
      <c r="E4764" s="45" t="str">
        <f t="shared" si="24"/>
        <v/>
      </c>
      <c r="F4764" s="59" t="str">
        <f t="shared" si="25"/>
        <v/>
      </c>
      <c r="G4764" s="59" t="str">
        <f t="shared" si="26"/>
        <v/>
      </c>
      <c r="H4764" s="59" t="str">
        <f t="shared" si="27"/>
        <v>28H00003</v>
      </c>
      <c r="I4764" s="59" t="str">
        <f>IF(OR($A4764="",$C4764="",$D4764="",$E4764="",$H4764=""),"",SUMIFS(DATA_GOC!$H:$H,DATA_GOC!$A:$A,"BOM",DATA_GOC!$D:$D,$H4764,DATA_GOC!$E:$E,$C4764,DATA_GOC!$F:$F,"Xuất nội bộ từ téc",DATA_GOC!$B:$B,"&gt;="&amp;$D4764,DATA_GOC!$B:$B,"&lt;="&amp;$E4764))</f>
        <v/>
      </c>
      <c r="J4764" s="59">
        <f t="shared" si="28"/>
        <v>0</v>
      </c>
      <c r="K4764" s="59">
        <f t="shared" si="29"/>
        <v>0</v>
      </c>
      <c r="L4764" s="59">
        <f t="shared" si="30"/>
        <v>0</v>
      </c>
      <c r="M4764" s="59">
        <f t="shared" si="31"/>
        <v>0</v>
      </c>
    </row>
    <row r="4765" ht="15.0" hidden="1" customHeight="1">
      <c r="A4765" s="59">
        <f t="shared" si="20"/>
        <v>76</v>
      </c>
      <c r="B4765" s="59" t="str">
        <f t="shared" si="21"/>
        <v/>
      </c>
      <c r="C4765" s="59" t="str">
        <f t="shared" si="22"/>
        <v/>
      </c>
      <c r="D4765" s="45" t="str">
        <f t="shared" si="23"/>
        <v/>
      </c>
      <c r="E4765" s="45" t="str">
        <f t="shared" si="24"/>
        <v/>
      </c>
      <c r="F4765" s="59" t="str">
        <f t="shared" si="25"/>
        <v/>
      </c>
      <c r="G4765" s="59" t="str">
        <f t="shared" si="26"/>
        <v/>
      </c>
      <c r="H4765" s="59" t="str">
        <f t="shared" si="27"/>
        <v>28H00061</v>
      </c>
      <c r="I4765" s="59" t="str">
        <f>IF(OR($A4765="",$C4765="",$D4765="",$E4765="",$H4765=""),"",SUMIFS(DATA_GOC!$H:$H,DATA_GOC!$A:$A,"BOM",DATA_GOC!$D:$D,$H4765,DATA_GOC!$E:$E,$C4765,DATA_GOC!$F:$F,"Xuất nội bộ từ téc",DATA_GOC!$B:$B,"&gt;="&amp;$D4765,DATA_GOC!$B:$B,"&lt;="&amp;$E4765))</f>
        <v/>
      </c>
      <c r="J4765" s="59">
        <f t="shared" si="28"/>
        <v>0</v>
      </c>
      <c r="K4765" s="59">
        <f t="shared" si="29"/>
        <v>0</v>
      </c>
      <c r="L4765" s="59">
        <f t="shared" si="30"/>
        <v>0</v>
      </c>
      <c r="M4765" s="59">
        <f t="shared" si="31"/>
        <v>0</v>
      </c>
    </row>
    <row r="4766" ht="15.0" hidden="1" customHeight="1">
      <c r="A4766" s="59">
        <f t="shared" si="20"/>
        <v>76</v>
      </c>
      <c r="B4766" s="59" t="str">
        <f t="shared" si="21"/>
        <v/>
      </c>
      <c r="C4766" s="59" t="str">
        <f t="shared" si="22"/>
        <v/>
      </c>
      <c r="D4766" s="45" t="str">
        <f t="shared" si="23"/>
        <v/>
      </c>
      <c r="E4766" s="45" t="str">
        <f t="shared" si="24"/>
        <v/>
      </c>
      <c r="F4766" s="59" t="str">
        <f t="shared" si="25"/>
        <v/>
      </c>
      <c r="G4766" s="59" t="str">
        <f t="shared" si="26"/>
        <v/>
      </c>
      <c r="H4766" s="59" t="str">
        <f t="shared" si="27"/>
        <v>28H00354</v>
      </c>
      <c r="I4766" s="59" t="str">
        <f>IF(OR($A4766="",$C4766="",$D4766="",$E4766="",$H4766=""),"",SUMIFS(DATA_GOC!$H:$H,DATA_GOC!$A:$A,"BOM",DATA_GOC!$D:$D,$H4766,DATA_GOC!$E:$E,$C4766,DATA_GOC!$F:$F,"Xuất nội bộ từ téc",DATA_GOC!$B:$B,"&gt;="&amp;$D4766,DATA_GOC!$B:$B,"&lt;="&amp;$E4766))</f>
        <v/>
      </c>
      <c r="J4766" s="59">
        <f t="shared" si="28"/>
        <v>0</v>
      </c>
      <c r="K4766" s="59">
        <f t="shared" si="29"/>
        <v>0</v>
      </c>
      <c r="L4766" s="59">
        <f t="shared" si="30"/>
        <v>0</v>
      </c>
      <c r="M4766" s="59">
        <f t="shared" si="31"/>
        <v>0</v>
      </c>
    </row>
    <row r="4767" ht="15.0" hidden="1" customHeight="1">
      <c r="A4767" s="59">
        <f t="shared" si="20"/>
        <v>76</v>
      </c>
      <c r="B4767" s="59" t="str">
        <f t="shared" si="21"/>
        <v/>
      </c>
      <c r="C4767" s="59" t="str">
        <f t="shared" si="22"/>
        <v/>
      </c>
      <c r="D4767" s="45" t="str">
        <f t="shared" si="23"/>
        <v/>
      </c>
      <c r="E4767" s="45" t="str">
        <f t="shared" si="24"/>
        <v/>
      </c>
      <c r="F4767" s="59" t="str">
        <f t="shared" si="25"/>
        <v/>
      </c>
      <c r="G4767" s="59" t="str">
        <f t="shared" si="26"/>
        <v/>
      </c>
      <c r="H4767" s="59" t="str">
        <f t="shared" si="27"/>
        <v>28H00603</v>
      </c>
      <c r="I4767" s="59" t="str">
        <f>IF(OR($A4767="",$C4767="",$D4767="",$E4767="",$H4767=""),"",SUMIFS(DATA_GOC!$H:$H,DATA_GOC!$A:$A,"BOM",DATA_GOC!$D:$D,$H4767,DATA_GOC!$E:$E,$C4767,DATA_GOC!$F:$F,"Xuất nội bộ từ téc",DATA_GOC!$B:$B,"&gt;="&amp;$D4767,DATA_GOC!$B:$B,"&lt;="&amp;$E4767))</f>
        <v/>
      </c>
      <c r="J4767" s="59">
        <f t="shared" si="28"/>
        <v>0</v>
      </c>
      <c r="K4767" s="59">
        <f t="shared" si="29"/>
        <v>0</v>
      </c>
      <c r="L4767" s="59">
        <f t="shared" si="30"/>
        <v>0</v>
      </c>
      <c r="M4767" s="59">
        <f t="shared" si="31"/>
        <v>0</v>
      </c>
    </row>
    <row r="4768" ht="15.0" hidden="1" customHeight="1">
      <c r="A4768" s="59">
        <f t="shared" si="20"/>
        <v>76</v>
      </c>
      <c r="B4768" s="59" t="str">
        <f t="shared" si="21"/>
        <v/>
      </c>
      <c r="C4768" s="59" t="str">
        <f t="shared" si="22"/>
        <v/>
      </c>
      <c r="D4768" s="45" t="str">
        <f t="shared" si="23"/>
        <v/>
      </c>
      <c r="E4768" s="45" t="str">
        <f t="shared" si="24"/>
        <v/>
      </c>
      <c r="F4768" s="59" t="str">
        <f t="shared" si="25"/>
        <v/>
      </c>
      <c r="G4768" s="59" t="str">
        <f t="shared" si="26"/>
        <v/>
      </c>
      <c r="H4768" s="59" t="str">
        <f t="shared" si="27"/>
        <v>28H00609</v>
      </c>
      <c r="I4768" s="59" t="str">
        <f>IF(OR($A4768="",$C4768="",$D4768="",$E4768="",$H4768=""),"",SUMIFS(DATA_GOC!$H:$H,DATA_GOC!$A:$A,"BOM",DATA_GOC!$D:$D,$H4768,DATA_GOC!$E:$E,$C4768,DATA_GOC!$F:$F,"Xuất nội bộ từ téc",DATA_GOC!$B:$B,"&gt;="&amp;$D4768,DATA_GOC!$B:$B,"&lt;="&amp;$E4768))</f>
        <v/>
      </c>
      <c r="J4768" s="59">
        <f t="shared" si="28"/>
        <v>0</v>
      </c>
      <c r="K4768" s="59">
        <f t="shared" si="29"/>
        <v>0</v>
      </c>
      <c r="L4768" s="59">
        <f t="shared" si="30"/>
        <v>0</v>
      </c>
      <c r="M4768" s="59">
        <f t="shared" si="31"/>
        <v>0</v>
      </c>
    </row>
    <row r="4769" ht="15.0" hidden="1" customHeight="1">
      <c r="A4769" s="59">
        <f t="shared" si="20"/>
        <v>76</v>
      </c>
      <c r="B4769" s="59" t="str">
        <f t="shared" si="21"/>
        <v/>
      </c>
      <c r="C4769" s="59" t="str">
        <f t="shared" si="22"/>
        <v/>
      </c>
      <c r="D4769" s="45" t="str">
        <f t="shared" si="23"/>
        <v/>
      </c>
      <c r="E4769" s="45" t="str">
        <f t="shared" si="24"/>
        <v/>
      </c>
      <c r="F4769" s="59" t="str">
        <f t="shared" si="25"/>
        <v/>
      </c>
      <c r="G4769" s="59" t="str">
        <f t="shared" si="26"/>
        <v/>
      </c>
      <c r="H4769" s="59" t="str">
        <f t="shared" si="27"/>
        <v>28H00669</v>
      </c>
      <c r="I4769" s="59" t="str">
        <f>IF(OR($A4769="",$C4769="",$D4769="",$E4769="",$H4769=""),"",SUMIFS(DATA_GOC!$H:$H,DATA_GOC!$A:$A,"BOM",DATA_GOC!$D:$D,$H4769,DATA_GOC!$E:$E,$C4769,DATA_GOC!$F:$F,"Xuất nội bộ từ téc",DATA_GOC!$B:$B,"&gt;="&amp;$D4769,DATA_GOC!$B:$B,"&lt;="&amp;$E4769))</f>
        <v/>
      </c>
      <c r="J4769" s="59">
        <f t="shared" si="28"/>
        <v>0</v>
      </c>
      <c r="K4769" s="59">
        <f t="shared" si="29"/>
        <v>0</v>
      </c>
      <c r="L4769" s="59">
        <f t="shared" si="30"/>
        <v>0</v>
      </c>
      <c r="M4769" s="59">
        <f t="shared" si="31"/>
        <v>0</v>
      </c>
    </row>
    <row r="4770" ht="15.0" hidden="1" customHeight="1">
      <c r="A4770" s="59">
        <f t="shared" si="20"/>
        <v>76</v>
      </c>
      <c r="B4770" s="59" t="str">
        <f t="shared" si="21"/>
        <v/>
      </c>
      <c r="C4770" s="59" t="str">
        <f t="shared" si="22"/>
        <v/>
      </c>
      <c r="D4770" s="45" t="str">
        <f t="shared" si="23"/>
        <v/>
      </c>
      <c r="E4770" s="45" t="str">
        <f t="shared" si="24"/>
        <v/>
      </c>
      <c r="F4770" s="59" t="str">
        <f t="shared" si="25"/>
        <v/>
      </c>
      <c r="G4770" s="59" t="str">
        <f t="shared" si="26"/>
        <v/>
      </c>
      <c r="H4770" s="59" t="str">
        <f t="shared" si="27"/>
        <v>28H00680</v>
      </c>
      <c r="I4770" s="59" t="str">
        <f>IF(OR($A4770="",$C4770="",$D4770="",$E4770="",$H4770=""),"",SUMIFS(DATA_GOC!$H:$H,DATA_GOC!$A:$A,"BOM",DATA_GOC!$D:$D,$H4770,DATA_GOC!$E:$E,$C4770,DATA_GOC!$F:$F,"Xuất nội bộ từ téc",DATA_GOC!$B:$B,"&gt;="&amp;$D4770,DATA_GOC!$B:$B,"&lt;="&amp;$E4770))</f>
        <v/>
      </c>
      <c r="J4770" s="59">
        <f t="shared" si="28"/>
        <v>0</v>
      </c>
      <c r="K4770" s="59">
        <f t="shared" si="29"/>
        <v>0</v>
      </c>
      <c r="L4770" s="59">
        <f t="shared" si="30"/>
        <v>0</v>
      </c>
      <c r="M4770" s="59">
        <f t="shared" si="31"/>
        <v>0</v>
      </c>
    </row>
    <row r="4771" ht="15.0" hidden="1" customHeight="1">
      <c r="A4771" s="59">
        <f t="shared" si="20"/>
        <v>76</v>
      </c>
      <c r="B4771" s="59" t="str">
        <f t="shared" si="21"/>
        <v/>
      </c>
      <c r="C4771" s="59" t="str">
        <f t="shared" si="22"/>
        <v/>
      </c>
      <c r="D4771" s="45" t="str">
        <f t="shared" si="23"/>
        <v/>
      </c>
      <c r="E4771" s="45" t="str">
        <f t="shared" si="24"/>
        <v/>
      </c>
      <c r="F4771" s="59" t="str">
        <f t="shared" si="25"/>
        <v/>
      </c>
      <c r="G4771" s="59" t="str">
        <f t="shared" si="26"/>
        <v/>
      </c>
      <c r="H4771" s="59" t="str">
        <f t="shared" si="27"/>
        <v>28H01070</v>
      </c>
      <c r="I4771" s="59" t="str">
        <f>IF(OR($A4771="",$C4771="",$D4771="",$E4771="",$H4771=""),"",SUMIFS(DATA_GOC!$H:$H,DATA_GOC!$A:$A,"BOM",DATA_GOC!$D:$D,$H4771,DATA_GOC!$E:$E,$C4771,DATA_GOC!$F:$F,"Xuất nội bộ từ téc",DATA_GOC!$B:$B,"&gt;="&amp;$D4771,DATA_GOC!$B:$B,"&lt;="&amp;$E4771))</f>
        <v/>
      </c>
      <c r="J4771" s="59">
        <f t="shared" si="28"/>
        <v>0</v>
      </c>
      <c r="K4771" s="59">
        <f t="shared" si="29"/>
        <v>0</v>
      </c>
      <c r="L4771" s="59">
        <f t="shared" si="30"/>
        <v>0</v>
      </c>
      <c r="M4771" s="59">
        <f t="shared" si="31"/>
        <v>0</v>
      </c>
    </row>
    <row r="4772" ht="15.0" hidden="1" customHeight="1">
      <c r="A4772" s="59">
        <f t="shared" si="20"/>
        <v>76</v>
      </c>
      <c r="B4772" s="59" t="str">
        <f t="shared" si="21"/>
        <v/>
      </c>
      <c r="C4772" s="59" t="str">
        <f t="shared" si="22"/>
        <v/>
      </c>
      <c r="D4772" s="45" t="str">
        <f t="shared" si="23"/>
        <v/>
      </c>
      <c r="E4772" s="45" t="str">
        <f t="shared" si="24"/>
        <v/>
      </c>
      <c r="F4772" s="59" t="str">
        <f t="shared" si="25"/>
        <v/>
      </c>
      <c r="G4772" s="59" t="str">
        <f t="shared" si="26"/>
        <v/>
      </c>
      <c r="H4772" s="59" t="str">
        <f t="shared" si="27"/>
        <v>28H01364</v>
      </c>
      <c r="I4772" s="59" t="str">
        <f>IF(OR($A4772="",$C4772="",$D4772="",$E4772="",$H4772=""),"",SUMIFS(DATA_GOC!$H:$H,DATA_GOC!$A:$A,"BOM",DATA_GOC!$D:$D,$H4772,DATA_GOC!$E:$E,$C4772,DATA_GOC!$F:$F,"Xuất nội bộ từ téc",DATA_GOC!$B:$B,"&gt;="&amp;$D4772,DATA_GOC!$B:$B,"&lt;="&amp;$E4772))</f>
        <v/>
      </c>
      <c r="J4772" s="59">
        <f t="shared" si="28"/>
        <v>0</v>
      </c>
      <c r="K4772" s="59">
        <f t="shared" si="29"/>
        <v>0</v>
      </c>
      <c r="L4772" s="59">
        <f t="shared" si="30"/>
        <v>0</v>
      </c>
      <c r="M4772" s="59">
        <f t="shared" si="31"/>
        <v>0</v>
      </c>
    </row>
    <row r="4773" ht="15.0" hidden="1" customHeight="1">
      <c r="A4773" s="59">
        <f t="shared" si="20"/>
        <v>76</v>
      </c>
      <c r="B4773" s="59" t="str">
        <f t="shared" si="21"/>
        <v/>
      </c>
      <c r="C4773" s="59" t="str">
        <f t="shared" si="22"/>
        <v/>
      </c>
      <c r="D4773" s="45" t="str">
        <f t="shared" si="23"/>
        <v/>
      </c>
      <c r="E4773" s="45" t="str">
        <f t="shared" si="24"/>
        <v/>
      </c>
      <c r="F4773" s="59" t="str">
        <f t="shared" si="25"/>
        <v/>
      </c>
      <c r="G4773" s="59" t="str">
        <f t="shared" si="26"/>
        <v/>
      </c>
      <c r="H4773" s="59" t="str">
        <f t="shared" si="27"/>
        <v>29E17269</v>
      </c>
      <c r="I4773" s="59" t="str">
        <f>IF(OR($A4773="",$C4773="",$D4773="",$E4773="",$H4773=""),"",SUMIFS(DATA_GOC!$H:$H,DATA_GOC!$A:$A,"BOM",DATA_GOC!$D:$D,$H4773,DATA_GOC!$E:$E,$C4773,DATA_GOC!$F:$F,"Xuất nội bộ từ téc",DATA_GOC!$B:$B,"&gt;="&amp;$D4773,DATA_GOC!$B:$B,"&lt;="&amp;$E4773))</f>
        <v/>
      </c>
      <c r="J4773" s="59">
        <f t="shared" si="28"/>
        <v>0</v>
      </c>
      <c r="K4773" s="59">
        <f t="shared" si="29"/>
        <v>0</v>
      </c>
      <c r="L4773" s="59">
        <f t="shared" si="30"/>
        <v>0</v>
      </c>
      <c r="M4773" s="59">
        <f t="shared" si="31"/>
        <v>0</v>
      </c>
    </row>
    <row r="4774" ht="15.0" hidden="1" customHeight="1">
      <c r="A4774" s="59">
        <f t="shared" si="20"/>
        <v>76</v>
      </c>
      <c r="B4774" s="59" t="str">
        <f t="shared" si="21"/>
        <v/>
      </c>
      <c r="C4774" s="59" t="str">
        <f t="shared" si="22"/>
        <v/>
      </c>
      <c r="D4774" s="45" t="str">
        <f t="shared" si="23"/>
        <v/>
      </c>
      <c r="E4774" s="45" t="str">
        <f t="shared" si="24"/>
        <v/>
      </c>
      <c r="F4774" s="59" t="str">
        <f t="shared" si="25"/>
        <v/>
      </c>
      <c r="G4774" s="59" t="str">
        <f t="shared" si="26"/>
        <v/>
      </c>
      <c r="H4774" s="59" t="str">
        <f t="shared" si="27"/>
        <v>29E17273</v>
      </c>
      <c r="I4774" s="59" t="str">
        <f>IF(OR($A4774="",$C4774="",$D4774="",$E4774="",$H4774=""),"",SUMIFS(DATA_GOC!$H:$H,DATA_GOC!$A:$A,"BOM",DATA_GOC!$D:$D,$H4774,DATA_GOC!$E:$E,$C4774,DATA_GOC!$F:$F,"Xuất nội bộ từ téc",DATA_GOC!$B:$B,"&gt;="&amp;$D4774,DATA_GOC!$B:$B,"&lt;="&amp;$E4774))</f>
        <v/>
      </c>
      <c r="J4774" s="59">
        <f t="shared" si="28"/>
        <v>0</v>
      </c>
      <c r="K4774" s="59">
        <f t="shared" si="29"/>
        <v>0</v>
      </c>
      <c r="L4774" s="59">
        <f t="shared" si="30"/>
        <v>0</v>
      </c>
      <c r="M4774" s="59">
        <f t="shared" si="31"/>
        <v>0</v>
      </c>
    </row>
    <row r="4775" ht="15.0" hidden="1" customHeight="1">
      <c r="A4775" s="59">
        <f t="shared" si="20"/>
        <v>76</v>
      </c>
      <c r="B4775" s="59" t="str">
        <f t="shared" si="21"/>
        <v/>
      </c>
      <c r="C4775" s="59" t="str">
        <f t="shared" si="22"/>
        <v/>
      </c>
      <c r="D4775" s="45" t="str">
        <f t="shared" si="23"/>
        <v/>
      </c>
      <c r="E4775" s="45" t="str">
        <f t="shared" si="24"/>
        <v/>
      </c>
      <c r="F4775" s="59" t="str">
        <f t="shared" si="25"/>
        <v/>
      </c>
      <c r="G4775" s="59" t="str">
        <f t="shared" si="26"/>
        <v/>
      </c>
      <c r="H4775" s="59" t="str">
        <f t="shared" si="27"/>
        <v>29E17410</v>
      </c>
      <c r="I4775" s="59" t="str">
        <f>IF(OR($A4775="",$C4775="",$D4775="",$E4775="",$H4775=""),"",SUMIFS(DATA_GOC!$H:$H,DATA_GOC!$A:$A,"BOM",DATA_GOC!$D:$D,$H4775,DATA_GOC!$E:$E,$C4775,DATA_GOC!$F:$F,"Xuất nội bộ từ téc",DATA_GOC!$B:$B,"&gt;="&amp;$D4775,DATA_GOC!$B:$B,"&lt;="&amp;$E4775))</f>
        <v/>
      </c>
      <c r="J4775" s="59">
        <f t="shared" si="28"/>
        <v>0</v>
      </c>
      <c r="K4775" s="59">
        <f t="shared" si="29"/>
        <v>0</v>
      </c>
      <c r="L4775" s="59">
        <f t="shared" si="30"/>
        <v>0</v>
      </c>
      <c r="M4775" s="59">
        <f t="shared" si="31"/>
        <v>0</v>
      </c>
    </row>
    <row r="4776" ht="15.0" hidden="1" customHeight="1">
      <c r="A4776" s="59">
        <f t="shared" si="20"/>
        <v>76</v>
      </c>
      <c r="B4776" s="59" t="str">
        <f t="shared" si="21"/>
        <v/>
      </c>
      <c r="C4776" s="59" t="str">
        <f t="shared" si="22"/>
        <v/>
      </c>
      <c r="D4776" s="45" t="str">
        <f t="shared" si="23"/>
        <v/>
      </c>
      <c r="E4776" s="45" t="str">
        <f t="shared" si="24"/>
        <v/>
      </c>
      <c r="F4776" s="59" t="str">
        <f t="shared" si="25"/>
        <v/>
      </c>
      <c r="G4776" s="59" t="str">
        <f t="shared" si="26"/>
        <v/>
      </c>
      <c r="H4776" s="59" t="str">
        <f t="shared" si="27"/>
        <v>29E17417</v>
      </c>
      <c r="I4776" s="59" t="str">
        <f>IF(OR($A4776="",$C4776="",$D4776="",$E4776="",$H4776=""),"",SUMIFS(DATA_GOC!$H:$H,DATA_GOC!$A:$A,"BOM",DATA_GOC!$D:$D,$H4776,DATA_GOC!$E:$E,$C4776,DATA_GOC!$F:$F,"Xuất nội bộ từ téc",DATA_GOC!$B:$B,"&gt;="&amp;$D4776,DATA_GOC!$B:$B,"&lt;="&amp;$E4776))</f>
        <v/>
      </c>
      <c r="J4776" s="59">
        <f t="shared" si="28"/>
        <v>0</v>
      </c>
      <c r="K4776" s="59">
        <f t="shared" si="29"/>
        <v>0</v>
      </c>
      <c r="L4776" s="59">
        <f t="shared" si="30"/>
        <v>0</v>
      </c>
      <c r="M4776" s="59">
        <f t="shared" si="31"/>
        <v>0</v>
      </c>
    </row>
    <row r="4777" ht="15.0" hidden="1" customHeight="1">
      <c r="A4777" s="59">
        <f t="shared" si="20"/>
        <v>76</v>
      </c>
      <c r="B4777" s="59" t="str">
        <f t="shared" si="21"/>
        <v/>
      </c>
      <c r="C4777" s="59" t="str">
        <f t="shared" si="22"/>
        <v/>
      </c>
      <c r="D4777" s="45" t="str">
        <f t="shared" si="23"/>
        <v/>
      </c>
      <c r="E4777" s="45" t="str">
        <f t="shared" si="24"/>
        <v/>
      </c>
      <c r="F4777" s="59" t="str">
        <f t="shared" si="25"/>
        <v/>
      </c>
      <c r="G4777" s="59" t="str">
        <f t="shared" si="26"/>
        <v/>
      </c>
      <c r="H4777" s="59" t="str">
        <f t="shared" si="27"/>
        <v>29E17539</v>
      </c>
      <c r="I4777" s="59" t="str">
        <f>IF(OR($A4777="",$C4777="",$D4777="",$E4777="",$H4777=""),"",SUMIFS(DATA_GOC!$H:$H,DATA_GOC!$A:$A,"BOM",DATA_GOC!$D:$D,$H4777,DATA_GOC!$E:$E,$C4777,DATA_GOC!$F:$F,"Xuất nội bộ từ téc",DATA_GOC!$B:$B,"&gt;="&amp;$D4777,DATA_GOC!$B:$B,"&lt;="&amp;$E4777))</f>
        <v/>
      </c>
      <c r="J4777" s="59">
        <f t="shared" si="28"/>
        <v>0</v>
      </c>
      <c r="K4777" s="59">
        <f t="shared" si="29"/>
        <v>0</v>
      </c>
      <c r="L4777" s="59">
        <f t="shared" si="30"/>
        <v>0</v>
      </c>
      <c r="M4777" s="59">
        <f t="shared" si="31"/>
        <v>0</v>
      </c>
    </row>
    <row r="4778" ht="15.0" hidden="1" customHeight="1">
      <c r="A4778" s="59">
        <f t="shared" si="20"/>
        <v>76</v>
      </c>
      <c r="B4778" s="59" t="str">
        <f t="shared" si="21"/>
        <v/>
      </c>
      <c r="C4778" s="59" t="str">
        <f t="shared" si="22"/>
        <v/>
      </c>
      <c r="D4778" s="45" t="str">
        <f t="shared" si="23"/>
        <v/>
      </c>
      <c r="E4778" s="45" t="str">
        <f t="shared" si="24"/>
        <v/>
      </c>
      <c r="F4778" s="59" t="str">
        <f t="shared" si="25"/>
        <v/>
      </c>
      <c r="G4778" s="59" t="str">
        <f t="shared" si="26"/>
        <v/>
      </c>
      <c r="H4778" s="59" t="str">
        <f t="shared" si="27"/>
        <v>29E18160</v>
      </c>
      <c r="I4778" s="59" t="str">
        <f>IF(OR($A4778="",$C4778="",$D4778="",$E4778="",$H4778=""),"",SUMIFS(DATA_GOC!$H:$H,DATA_GOC!$A:$A,"BOM",DATA_GOC!$D:$D,$H4778,DATA_GOC!$E:$E,$C4778,DATA_GOC!$F:$F,"Xuất nội bộ từ téc",DATA_GOC!$B:$B,"&gt;="&amp;$D4778,DATA_GOC!$B:$B,"&lt;="&amp;$E4778))</f>
        <v/>
      </c>
      <c r="J4778" s="59">
        <f t="shared" si="28"/>
        <v>0</v>
      </c>
      <c r="K4778" s="59">
        <f t="shared" si="29"/>
        <v>0</v>
      </c>
      <c r="L4778" s="59">
        <f t="shared" si="30"/>
        <v>0</v>
      </c>
      <c r="M4778" s="59">
        <f t="shared" si="31"/>
        <v>0</v>
      </c>
    </row>
    <row r="4779" ht="15.0" hidden="1" customHeight="1">
      <c r="A4779" s="59">
        <f t="shared" si="20"/>
        <v>76</v>
      </c>
      <c r="B4779" s="59" t="str">
        <f t="shared" si="21"/>
        <v/>
      </c>
      <c r="C4779" s="59" t="str">
        <f t="shared" si="22"/>
        <v/>
      </c>
      <c r="D4779" s="45" t="str">
        <f t="shared" si="23"/>
        <v/>
      </c>
      <c r="E4779" s="45" t="str">
        <f t="shared" si="24"/>
        <v/>
      </c>
      <c r="F4779" s="59" t="str">
        <f t="shared" si="25"/>
        <v/>
      </c>
      <c r="G4779" s="59" t="str">
        <f t="shared" si="26"/>
        <v/>
      </c>
      <c r="H4779" s="59" t="str">
        <f t="shared" si="27"/>
        <v>Công trình Asphalt</v>
      </c>
      <c r="I4779" s="59" t="str">
        <f>IF(OR($A4779="",$C4779="",$D4779="",$E4779="",$H4779=""),"",SUMIFS(DATA_GOC!$H:$H,DATA_GOC!$A:$A,"BOM",DATA_GOC!$D:$D,$H4779,DATA_GOC!$E:$E,$C4779,DATA_GOC!$F:$F,"Xuất nội bộ từ téc",DATA_GOC!$B:$B,"&gt;="&amp;$D4779,DATA_GOC!$B:$B,"&lt;="&amp;$E4779))</f>
        <v/>
      </c>
      <c r="J4779" s="59">
        <f t="shared" si="28"/>
        <v>0</v>
      </c>
      <c r="K4779" s="59">
        <f t="shared" si="29"/>
        <v>0</v>
      </c>
      <c r="L4779" s="59">
        <f t="shared" si="30"/>
        <v>0</v>
      </c>
      <c r="M4779" s="59">
        <f t="shared" si="31"/>
        <v>0</v>
      </c>
    </row>
    <row r="4780" ht="15.0" hidden="1" customHeight="1">
      <c r="A4780" s="59">
        <f t="shared" si="20"/>
        <v>76</v>
      </c>
      <c r="B4780" s="59" t="str">
        <f t="shared" si="21"/>
        <v/>
      </c>
      <c r="C4780" s="59" t="str">
        <f t="shared" si="22"/>
        <v/>
      </c>
      <c r="D4780" s="45" t="str">
        <f t="shared" si="23"/>
        <v/>
      </c>
      <c r="E4780" s="45" t="str">
        <f t="shared" si="24"/>
        <v/>
      </c>
      <c r="F4780" s="59" t="str">
        <f t="shared" si="25"/>
        <v/>
      </c>
      <c r="G4780" s="59" t="str">
        <f t="shared" si="26"/>
        <v/>
      </c>
      <c r="H4780" s="59" t="str">
        <f t="shared" si="27"/>
        <v>LG53F</v>
      </c>
      <c r="I4780" s="59" t="str">
        <f>IF(OR($A4780="",$C4780="",$D4780="",$E4780="",$H4780=""),"",SUMIFS(DATA_GOC!$H:$H,DATA_GOC!$A:$A,"BOM",DATA_GOC!$D:$D,$H4780,DATA_GOC!$E:$E,$C4780,DATA_GOC!$F:$F,"Xuất nội bộ từ téc",DATA_GOC!$B:$B,"&gt;="&amp;$D4780,DATA_GOC!$B:$B,"&lt;="&amp;$E4780))</f>
        <v/>
      </c>
      <c r="J4780" s="59">
        <f t="shared" si="28"/>
        <v>0</v>
      </c>
      <c r="K4780" s="59">
        <f t="shared" si="29"/>
        <v>0</v>
      </c>
      <c r="L4780" s="59">
        <f t="shared" si="30"/>
        <v>0</v>
      </c>
      <c r="M4780" s="59">
        <f t="shared" si="31"/>
        <v>0</v>
      </c>
    </row>
    <row r="4781" ht="15.0" hidden="1" customHeight="1">
      <c r="A4781" s="59">
        <f t="shared" si="20"/>
        <v>76</v>
      </c>
      <c r="B4781" s="59" t="str">
        <f t="shared" si="21"/>
        <v/>
      </c>
      <c r="C4781" s="59" t="str">
        <f t="shared" si="22"/>
        <v/>
      </c>
      <c r="D4781" s="45" t="str">
        <f t="shared" si="23"/>
        <v/>
      </c>
      <c r="E4781" s="45" t="str">
        <f t="shared" si="24"/>
        <v/>
      </c>
      <c r="F4781" s="59" t="str">
        <f t="shared" si="25"/>
        <v/>
      </c>
      <c r="G4781" s="59" t="str">
        <f t="shared" si="26"/>
        <v/>
      </c>
      <c r="H4781" s="59" t="str">
        <f t="shared" si="27"/>
        <v>Máy phát điện</v>
      </c>
      <c r="I4781" s="59" t="str">
        <f>IF(OR($A4781="",$C4781="",$D4781="",$E4781="",$H4781=""),"",SUMIFS(DATA_GOC!$H:$H,DATA_GOC!$A:$A,"BOM",DATA_GOC!$D:$D,$H4781,DATA_GOC!$E:$E,$C4781,DATA_GOC!$F:$F,"Xuất nội bộ từ téc",DATA_GOC!$B:$B,"&gt;="&amp;$D4781,DATA_GOC!$B:$B,"&lt;="&amp;$E4781))</f>
        <v/>
      </c>
      <c r="J4781" s="59">
        <f t="shared" si="28"/>
        <v>0</v>
      </c>
      <c r="K4781" s="59">
        <f t="shared" si="29"/>
        <v>0</v>
      </c>
      <c r="L4781" s="59">
        <f t="shared" si="30"/>
        <v>0</v>
      </c>
      <c r="M4781" s="59">
        <f t="shared" si="31"/>
        <v>0</v>
      </c>
    </row>
    <row r="4782" ht="15.0" hidden="1" customHeight="1">
      <c r="A4782" s="59">
        <f t="shared" si="20"/>
        <v>76</v>
      </c>
      <c r="B4782" s="59" t="str">
        <f t="shared" si="21"/>
        <v/>
      </c>
      <c r="C4782" s="59" t="str">
        <f t="shared" si="22"/>
        <v/>
      </c>
      <c r="D4782" s="45" t="str">
        <f t="shared" si="23"/>
        <v/>
      </c>
      <c r="E4782" s="45" t="str">
        <f t="shared" si="24"/>
        <v/>
      </c>
      <c r="F4782" s="59" t="str">
        <f t="shared" si="25"/>
        <v/>
      </c>
      <c r="G4782" s="59" t="str">
        <f t="shared" si="26"/>
        <v/>
      </c>
      <c r="H4782" s="59" t="str">
        <f t="shared" si="27"/>
        <v>Máy rải thảm</v>
      </c>
      <c r="I4782" s="59" t="str">
        <f>IF(OR($A4782="",$C4782="",$D4782="",$E4782="",$H4782=""),"",SUMIFS(DATA_GOC!$H:$H,DATA_GOC!$A:$A,"BOM",DATA_GOC!$D:$D,$H4782,DATA_GOC!$E:$E,$C4782,DATA_GOC!$F:$F,"Xuất nội bộ từ téc",DATA_GOC!$B:$B,"&gt;="&amp;$D4782,DATA_GOC!$B:$B,"&lt;="&amp;$E4782))</f>
        <v/>
      </c>
      <c r="J4782" s="59">
        <f t="shared" si="28"/>
        <v>0</v>
      </c>
      <c r="K4782" s="59">
        <f t="shared" si="29"/>
        <v>0</v>
      </c>
      <c r="L4782" s="59">
        <f t="shared" si="30"/>
        <v>0</v>
      </c>
      <c r="M4782" s="59">
        <f t="shared" si="31"/>
        <v>0</v>
      </c>
    </row>
    <row r="4783" ht="15.0" hidden="1" customHeight="1">
      <c r="A4783" s="59">
        <f t="shared" si="20"/>
        <v>76</v>
      </c>
      <c r="B4783" s="59" t="str">
        <f t="shared" si="21"/>
        <v/>
      </c>
      <c r="C4783" s="59" t="str">
        <f t="shared" si="22"/>
        <v/>
      </c>
      <c r="D4783" s="45" t="str">
        <f t="shared" si="23"/>
        <v/>
      </c>
      <c r="E4783" s="45" t="str">
        <f t="shared" si="24"/>
        <v/>
      </c>
      <c r="F4783" s="59" t="str">
        <f t="shared" si="25"/>
        <v/>
      </c>
      <c r="G4783" s="59" t="str">
        <f t="shared" si="26"/>
        <v/>
      </c>
      <c r="H4783" s="59" t="str">
        <f t="shared" si="27"/>
        <v>Xúc Đào</v>
      </c>
      <c r="I4783" s="59" t="str">
        <f>IF(OR($A4783="",$C4783="",$D4783="",$E4783="",$H4783=""),"",SUMIFS(DATA_GOC!$H:$H,DATA_GOC!$A:$A,"BOM",DATA_GOC!$D:$D,$H4783,DATA_GOC!$E:$E,$C4783,DATA_GOC!$F:$F,"Xuất nội bộ từ téc",DATA_GOC!$B:$B,"&gt;="&amp;$D4783,DATA_GOC!$B:$B,"&lt;="&amp;$E4783))</f>
        <v/>
      </c>
      <c r="J4783" s="59">
        <f t="shared" si="28"/>
        <v>0</v>
      </c>
      <c r="K4783" s="59">
        <f t="shared" si="29"/>
        <v>0</v>
      </c>
      <c r="L4783" s="59">
        <f t="shared" si="30"/>
        <v>0</v>
      </c>
      <c r="M4783" s="59">
        <f t="shared" si="31"/>
        <v>0</v>
      </c>
    </row>
    <row r="4784" ht="15.0" hidden="1" customHeight="1">
      <c r="A4784" s="59">
        <f t="shared" si="20"/>
        <v>76</v>
      </c>
      <c r="B4784" s="59" t="str">
        <f t="shared" si="21"/>
        <v/>
      </c>
      <c r="C4784" s="59" t="str">
        <f t="shared" si="22"/>
        <v/>
      </c>
      <c r="D4784" s="45" t="str">
        <f t="shared" si="23"/>
        <v/>
      </c>
      <c r="E4784" s="45" t="str">
        <f t="shared" si="24"/>
        <v/>
      </c>
      <c r="F4784" s="59" t="str">
        <f t="shared" si="25"/>
        <v/>
      </c>
      <c r="G4784" s="59" t="str">
        <f t="shared" si="26"/>
        <v/>
      </c>
      <c r="H4784" s="59" t="str">
        <f t="shared" si="27"/>
        <v>Xúclật asphalt</v>
      </c>
      <c r="I4784" s="59" t="str">
        <f>IF(OR($A4784="",$C4784="",$D4784="",$E4784="",$H4784=""),"",SUMIFS(DATA_GOC!$H:$H,DATA_GOC!$A:$A,"BOM",DATA_GOC!$D:$D,$H4784,DATA_GOC!$E:$E,$C4784,DATA_GOC!$F:$F,"Xuất nội bộ từ téc",DATA_GOC!$B:$B,"&gt;="&amp;$D4784,DATA_GOC!$B:$B,"&lt;="&amp;$E4784))</f>
        <v/>
      </c>
      <c r="J4784" s="59">
        <f t="shared" si="28"/>
        <v>0</v>
      </c>
      <c r="K4784" s="59">
        <f t="shared" si="29"/>
        <v>0</v>
      </c>
      <c r="L4784" s="59">
        <f t="shared" si="30"/>
        <v>0</v>
      </c>
      <c r="M4784" s="59">
        <f t="shared" si="31"/>
        <v>0</v>
      </c>
    </row>
    <row r="4785" ht="15.0" hidden="1" customHeight="1">
      <c r="A4785" s="59">
        <f t="shared" si="20"/>
        <v>76</v>
      </c>
      <c r="B4785" s="59" t="str">
        <f t="shared" si="21"/>
        <v/>
      </c>
      <c r="C4785" s="59" t="str">
        <f t="shared" si="22"/>
        <v/>
      </c>
      <c r="D4785" s="45" t="str">
        <f t="shared" si="23"/>
        <v/>
      </c>
      <c r="E4785" s="45" t="str">
        <f t="shared" si="24"/>
        <v/>
      </c>
      <c r="F4785" s="59" t="str">
        <f t="shared" si="25"/>
        <v/>
      </c>
      <c r="G4785" s="59" t="str">
        <f t="shared" si="26"/>
        <v/>
      </c>
      <c r="H4785" s="59" t="str">
        <f t="shared" si="27"/>
        <v>Xúclật855H</v>
      </c>
      <c r="I4785" s="59" t="str">
        <f>IF(OR($A4785="",$C4785="",$D4785="",$E4785="",$H4785=""),"",SUMIFS(DATA_GOC!$H:$H,DATA_GOC!$A:$A,"BOM",DATA_GOC!$D:$D,$H4785,DATA_GOC!$E:$E,$C4785,DATA_GOC!$F:$F,"Xuất nội bộ từ téc",DATA_GOC!$B:$B,"&gt;="&amp;$D4785,DATA_GOC!$B:$B,"&lt;="&amp;$E4785))</f>
        <v/>
      </c>
      <c r="J4785" s="59">
        <f t="shared" si="28"/>
        <v>0</v>
      </c>
      <c r="K4785" s="59">
        <f t="shared" si="29"/>
        <v>0</v>
      </c>
      <c r="L4785" s="59">
        <f t="shared" si="30"/>
        <v>0</v>
      </c>
      <c r="M4785" s="59">
        <f t="shared" si="31"/>
        <v>0</v>
      </c>
    </row>
    <row r="4786" ht="15.0" hidden="1" customHeight="1">
      <c r="A4786" s="59">
        <f t="shared" si="20"/>
        <v>76</v>
      </c>
      <c r="B4786" s="59" t="str">
        <f t="shared" si="21"/>
        <v/>
      </c>
      <c r="C4786" s="59" t="str">
        <f t="shared" si="22"/>
        <v/>
      </c>
      <c r="D4786" s="45" t="str">
        <f t="shared" si="23"/>
        <v/>
      </c>
      <c r="E4786" s="45" t="str">
        <f t="shared" si="24"/>
        <v/>
      </c>
      <c r="F4786" s="59" t="str">
        <f t="shared" si="25"/>
        <v/>
      </c>
      <c r="G4786" s="59" t="str">
        <f t="shared" si="26"/>
        <v/>
      </c>
      <c r="H4786" s="59" t="str">
        <f t="shared" si="27"/>
        <v>Xúclật855N</v>
      </c>
      <c r="I4786" s="59" t="str">
        <f>IF(OR($A4786="",$C4786="",$D4786="",$E4786="",$H4786=""),"",SUMIFS(DATA_GOC!$H:$H,DATA_GOC!$A:$A,"BOM",DATA_GOC!$D:$D,$H4786,DATA_GOC!$E:$E,$C4786,DATA_GOC!$F:$F,"Xuất nội bộ từ téc",DATA_GOC!$B:$B,"&gt;="&amp;$D4786,DATA_GOC!$B:$B,"&lt;="&amp;$E4786))</f>
        <v/>
      </c>
      <c r="J4786" s="59">
        <f t="shared" si="28"/>
        <v>0</v>
      </c>
      <c r="K4786" s="59">
        <f t="shared" si="29"/>
        <v>0</v>
      </c>
      <c r="L4786" s="59">
        <f t="shared" si="30"/>
        <v>0</v>
      </c>
      <c r="M4786" s="59">
        <f t="shared" si="31"/>
        <v>0</v>
      </c>
    </row>
    <row r="4787" ht="15.0" hidden="1" customHeight="1">
      <c r="A4787" s="59">
        <f t="shared" si="20"/>
        <v>76</v>
      </c>
      <c r="B4787" s="59" t="str">
        <f t="shared" si="21"/>
        <v/>
      </c>
      <c r="C4787" s="59" t="str">
        <f t="shared" si="22"/>
        <v/>
      </c>
      <c r="D4787" s="45" t="str">
        <f t="shared" si="23"/>
        <v/>
      </c>
      <c r="E4787" s="45" t="str">
        <f t="shared" si="24"/>
        <v/>
      </c>
      <c r="F4787" s="59" t="str">
        <f t="shared" si="25"/>
        <v/>
      </c>
      <c r="G4787" s="59" t="str">
        <f t="shared" si="26"/>
        <v/>
      </c>
      <c r="H4787" s="59" t="str">
        <f t="shared" si="27"/>
        <v>Cát nghiền</v>
      </c>
      <c r="I4787" s="59" t="str">
        <f>IF(OR($A4787="",$C4787="",$D4787="",$E4787="",$H4787=""),"",SUMIFS(DATA_GOC!$H:$H,DATA_GOC!$A:$A,"BOM",DATA_GOC!$D:$D,$H4787,DATA_GOC!$E:$E,$C4787,DATA_GOC!$F:$F,"Xuất nội bộ từ téc",DATA_GOC!$B:$B,"&gt;="&amp;$D4787,DATA_GOC!$B:$B,"&lt;="&amp;$E4787))</f>
        <v/>
      </c>
      <c r="J4787" s="59">
        <f t="shared" si="28"/>
        <v>0</v>
      </c>
      <c r="K4787" s="59">
        <f t="shared" si="29"/>
        <v>0</v>
      </c>
      <c r="L4787" s="59">
        <f t="shared" si="30"/>
        <v>0</v>
      </c>
      <c r="M4787" s="59">
        <f t="shared" si="31"/>
        <v>0</v>
      </c>
    </row>
    <row r="4788" ht="15.0" hidden="1" customHeight="1">
      <c r="A4788" s="59">
        <f t="shared" si="20"/>
        <v>76</v>
      </c>
      <c r="B4788" s="59" t="str">
        <f t="shared" si="21"/>
        <v/>
      </c>
      <c r="C4788" s="59" t="str">
        <f t="shared" si="22"/>
        <v/>
      </c>
      <c r="D4788" s="45" t="str">
        <f t="shared" si="23"/>
        <v/>
      </c>
      <c r="E4788" s="45" t="str">
        <f t="shared" si="24"/>
        <v/>
      </c>
      <c r="F4788" s="59" t="str">
        <f t="shared" si="25"/>
        <v/>
      </c>
      <c r="G4788" s="59" t="str">
        <f t="shared" si="26"/>
        <v/>
      </c>
      <c r="H4788" s="59" t="str">
        <f t="shared" si="27"/>
        <v>28C02973</v>
      </c>
      <c r="I4788" s="59" t="str">
        <f>IF(OR($A4788="",$C4788="",$D4788="",$E4788="",$H4788=""),"",SUMIFS(DATA_GOC!$H:$H,DATA_GOC!$A:$A,"BOM",DATA_GOC!$D:$D,$H4788,DATA_GOC!$E:$E,$C4788,DATA_GOC!$F:$F,"Xuất nội bộ từ téc",DATA_GOC!$B:$B,"&gt;="&amp;$D4788,DATA_GOC!$B:$B,"&lt;="&amp;$E4788))</f>
        <v/>
      </c>
      <c r="J4788" s="59">
        <f t="shared" si="28"/>
        <v>0</v>
      </c>
      <c r="K4788" s="59">
        <f t="shared" si="29"/>
        <v>0</v>
      </c>
      <c r="L4788" s="59">
        <f t="shared" si="30"/>
        <v>0</v>
      </c>
      <c r="M4788" s="59">
        <f t="shared" si="31"/>
        <v>0</v>
      </c>
    </row>
    <row r="4789" ht="15.0" hidden="1" customHeight="1">
      <c r="A4789" s="59">
        <f t="shared" si="20"/>
        <v>76</v>
      </c>
      <c r="B4789" s="59" t="str">
        <f t="shared" si="21"/>
        <v/>
      </c>
      <c r="C4789" s="59" t="str">
        <f t="shared" si="22"/>
        <v/>
      </c>
      <c r="D4789" s="45" t="str">
        <f t="shared" si="23"/>
        <v/>
      </c>
      <c r="E4789" s="45" t="str">
        <f t="shared" si="24"/>
        <v/>
      </c>
      <c r="F4789" s="59" t="str">
        <f t="shared" si="25"/>
        <v/>
      </c>
      <c r="G4789" s="59" t="str">
        <f t="shared" si="26"/>
        <v/>
      </c>
      <c r="H4789" s="59" t="str">
        <f t="shared" si="27"/>
        <v>28C03044</v>
      </c>
      <c r="I4789" s="59" t="str">
        <f>IF(OR($A4789="",$C4789="",$D4789="",$E4789="",$H4789=""),"",SUMIFS(DATA_GOC!$H:$H,DATA_GOC!$A:$A,"BOM",DATA_GOC!$D:$D,$H4789,DATA_GOC!$E:$E,$C4789,DATA_GOC!$F:$F,"Xuất nội bộ từ téc",DATA_GOC!$B:$B,"&gt;="&amp;$D4789,DATA_GOC!$B:$B,"&lt;="&amp;$E4789))</f>
        <v/>
      </c>
      <c r="J4789" s="59">
        <f t="shared" si="28"/>
        <v>0</v>
      </c>
      <c r="K4789" s="59">
        <f t="shared" si="29"/>
        <v>0</v>
      </c>
      <c r="L4789" s="59">
        <f t="shared" si="30"/>
        <v>0</v>
      </c>
      <c r="M4789" s="59">
        <f t="shared" si="31"/>
        <v>0</v>
      </c>
    </row>
    <row r="4790" ht="15.0" hidden="1" customHeight="1">
      <c r="A4790" s="59">
        <f t="shared" si="20"/>
        <v>76</v>
      </c>
      <c r="B4790" s="59" t="str">
        <f t="shared" si="21"/>
        <v/>
      </c>
      <c r="C4790" s="59" t="str">
        <f t="shared" si="22"/>
        <v/>
      </c>
      <c r="D4790" s="45" t="str">
        <f t="shared" si="23"/>
        <v/>
      </c>
      <c r="E4790" s="45" t="str">
        <f t="shared" si="24"/>
        <v/>
      </c>
      <c r="F4790" s="59" t="str">
        <f t="shared" si="25"/>
        <v/>
      </c>
      <c r="G4790" s="59" t="str">
        <f t="shared" si="26"/>
        <v/>
      </c>
      <c r="H4790" s="59" t="str">
        <f t="shared" si="27"/>
        <v>Máy lu lốp</v>
      </c>
      <c r="I4790" s="59" t="str">
        <f>IF(OR($A4790="",$C4790="",$D4790="",$E4790="",$H4790=""),"",SUMIFS(DATA_GOC!$H:$H,DATA_GOC!$A:$A,"BOM",DATA_GOC!$D:$D,$H4790,DATA_GOC!$E:$E,$C4790,DATA_GOC!$F:$F,"Xuất nội bộ từ téc",DATA_GOC!$B:$B,"&gt;="&amp;$D4790,DATA_GOC!$B:$B,"&lt;="&amp;$E4790))</f>
        <v/>
      </c>
      <c r="J4790" s="59">
        <f t="shared" si="28"/>
        <v>0</v>
      </c>
      <c r="K4790" s="59">
        <f t="shared" si="29"/>
        <v>0</v>
      </c>
      <c r="L4790" s="59">
        <f t="shared" si="30"/>
        <v>0</v>
      </c>
      <c r="M4790" s="59">
        <f t="shared" si="31"/>
        <v>0</v>
      </c>
    </row>
    <row r="4791" ht="15.0" hidden="1" customHeight="1">
      <c r="A4791" s="59">
        <f t="shared" si="20"/>
        <v>76</v>
      </c>
      <c r="B4791" s="59" t="str">
        <f t="shared" si="21"/>
        <v/>
      </c>
      <c r="C4791" s="59" t="str">
        <f t="shared" si="22"/>
        <v/>
      </c>
      <c r="D4791" s="45" t="str">
        <f t="shared" si="23"/>
        <v/>
      </c>
      <c r="E4791" s="45" t="str">
        <f t="shared" si="24"/>
        <v/>
      </c>
      <c r="F4791" s="59" t="str">
        <f t="shared" si="25"/>
        <v/>
      </c>
      <c r="G4791" s="59" t="str">
        <f t="shared" si="26"/>
        <v/>
      </c>
      <c r="H4791" s="59" t="str">
        <f t="shared" si="27"/>
        <v>Xe 600148</v>
      </c>
      <c r="I4791" s="59" t="str">
        <f>IF(OR($A4791="",$C4791="",$D4791="",$E4791="",$H4791=""),"",SUMIFS(DATA_GOC!$H:$H,DATA_GOC!$A:$A,"BOM",DATA_GOC!$D:$D,$H4791,DATA_GOC!$E:$E,$C4791,DATA_GOC!$F:$F,"Xuất nội bộ từ téc",DATA_GOC!$B:$B,"&gt;="&amp;$D4791,DATA_GOC!$B:$B,"&lt;="&amp;$E4791))</f>
        <v/>
      </c>
      <c r="J4791" s="59">
        <f t="shared" si="28"/>
        <v>0</v>
      </c>
      <c r="K4791" s="59">
        <f t="shared" si="29"/>
        <v>0</v>
      </c>
      <c r="L4791" s="59">
        <f t="shared" si="30"/>
        <v>0</v>
      </c>
      <c r="M4791" s="59">
        <f t="shared" si="31"/>
        <v>0</v>
      </c>
    </row>
    <row r="4792" ht="15.0" hidden="1" customHeight="1">
      <c r="A4792" s="59">
        <f t="shared" si="20"/>
        <v>76</v>
      </c>
      <c r="B4792" s="59" t="str">
        <f t="shared" si="21"/>
        <v/>
      </c>
      <c r="C4792" s="59" t="str">
        <f t="shared" si="22"/>
        <v/>
      </c>
      <c r="D4792" s="45" t="str">
        <f t="shared" si="23"/>
        <v/>
      </c>
      <c r="E4792" s="45" t="str">
        <f t="shared" si="24"/>
        <v/>
      </c>
      <c r="F4792" s="59" t="str">
        <f t="shared" si="25"/>
        <v/>
      </c>
      <c r="G4792" s="59" t="str">
        <f t="shared" si="26"/>
        <v/>
      </c>
      <c r="H4792" s="59" t="str">
        <f t="shared" si="27"/>
        <v>Xe ben mới</v>
      </c>
      <c r="I4792" s="59" t="str">
        <f>IF(OR($A4792="",$C4792="",$D4792="",$E4792="",$H4792=""),"",SUMIFS(DATA_GOC!$H:$H,DATA_GOC!$A:$A,"BOM",DATA_GOC!$D:$D,$H4792,DATA_GOC!$E:$E,$C4792,DATA_GOC!$F:$F,"Xuất nội bộ từ téc",DATA_GOC!$B:$B,"&gt;="&amp;$D4792,DATA_GOC!$B:$B,"&lt;="&amp;$E4792))</f>
        <v/>
      </c>
      <c r="J4792" s="59">
        <f t="shared" si="28"/>
        <v>0</v>
      </c>
      <c r="K4792" s="59">
        <f t="shared" si="29"/>
        <v>0</v>
      </c>
      <c r="L4792" s="59">
        <f t="shared" si="30"/>
        <v>0</v>
      </c>
      <c r="M4792" s="59">
        <f t="shared" si="31"/>
        <v>0</v>
      </c>
    </row>
    <row r="4793" ht="15.0" hidden="1" customHeight="1">
      <c r="A4793" s="59">
        <f t="shared" si="20"/>
        <v>77</v>
      </c>
      <c r="B4793" s="59" t="str">
        <f t="shared" si="21"/>
        <v/>
      </c>
      <c r="C4793" s="59" t="str">
        <f t="shared" si="22"/>
        <v/>
      </c>
      <c r="D4793" s="45" t="str">
        <f t="shared" si="23"/>
        <v/>
      </c>
      <c r="E4793" s="45" t="str">
        <f t="shared" si="24"/>
        <v/>
      </c>
      <c r="F4793" s="59" t="str">
        <f t="shared" si="25"/>
        <v/>
      </c>
      <c r="G4793" s="59" t="str">
        <f t="shared" si="26"/>
        <v/>
      </c>
      <c r="H4793" s="59" t="str">
        <f t="shared" si="27"/>
        <v>19H09482</v>
      </c>
      <c r="I4793" s="59" t="str">
        <f>IF(OR($A4793="",$C4793="",$D4793="",$E4793="",$H4793=""),"",SUMIFS(DATA_GOC!$H:$H,DATA_GOC!$A:$A,"BOM",DATA_GOC!$D:$D,$H4793,DATA_GOC!$E:$E,$C4793,DATA_GOC!$F:$F,"Xuất nội bộ từ téc",DATA_GOC!$B:$B,"&gt;="&amp;$D4793,DATA_GOC!$B:$B,"&lt;="&amp;$E4793))</f>
        <v/>
      </c>
      <c r="J4793" s="59">
        <f t="shared" si="28"/>
        <v>0</v>
      </c>
      <c r="K4793" s="59">
        <f t="shared" si="29"/>
        <v>0</v>
      </c>
      <c r="L4793" s="59">
        <f t="shared" si="30"/>
        <v>0</v>
      </c>
      <c r="M4793" s="59">
        <f t="shared" si="31"/>
        <v>0</v>
      </c>
    </row>
    <row r="4794" ht="15.0" hidden="1" customHeight="1">
      <c r="A4794" s="59">
        <f t="shared" si="20"/>
        <v>77</v>
      </c>
      <c r="B4794" s="59" t="str">
        <f t="shared" si="21"/>
        <v/>
      </c>
      <c r="C4794" s="59" t="str">
        <f t="shared" si="22"/>
        <v/>
      </c>
      <c r="D4794" s="45" t="str">
        <f t="shared" si="23"/>
        <v/>
      </c>
      <c r="E4794" s="45" t="str">
        <f t="shared" si="24"/>
        <v/>
      </c>
      <c r="F4794" s="59" t="str">
        <f t="shared" si="25"/>
        <v/>
      </c>
      <c r="G4794" s="59" t="str">
        <f t="shared" si="26"/>
        <v/>
      </c>
      <c r="H4794" s="59" t="str">
        <f t="shared" si="27"/>
        <v>28A30696</v>
      </c>
      <c r="I4794" s="59" t="str">
        <f>IF(OR($A4794="",$C4794="",$D4794="",$E4794="",$H4794=""),"",SUMIFS(DATA_GOC!$H:$H,DATA_GOC!$A:$A,"BOM",DATA_GOC!$D:$D,$H4794,DATA_GOC!$E:$E,$C4794,DATA_GOC!$F:$F,"Xuất nội bộ từ téc",DATA_GOC!$B:$B,"&gt;="&amp;$D4794,DATA_GOC!$B:$B,"&lt;="&amp;$E4794))</f>
        <v/>
      </c>
      <c r="J4794" s="59">
        <f t="shared" si="28"/>
        <v>0</v>
      </c>
      <c r="K4794" s="59">
        <f t="shared" si="29"/>
        <v>0</v>
      </c>
      <c r="L4794" s="59">
        <f t="shared" si="30"/>
        <v>0</v>
      </c>
      <c r="M4794" s="59">
        <f t="shared" si="31"/>
        <v>0</v>
      </c>
    </row>
    <row r="4795" ht="15.0" hidden="1" customHeight="1">
      <c r="A4795" s="59">
        <f t="shared" si="20"/>
        <v>77</v>
      </c>
      <c r="B4795" s="59" t="str">
        <f t="shared" si="21"/>
        <v/>
      </c>
      <c r="C4795" s="59" t="str">
        <f t="shared" si="22"/>
        <v/>
      </c>
      <c r="D4795" s="45" t="str">
        <f t="shared" si="23"/>
        <v/>
      </c>
      <c r="E4795" s="45" t="str">
        <f t="shared" si="24"/>
        <v/>
      </c>
      <c r="F4795" s="59" t="str">
        <f t="shared" si="25"/>
        <v/>
      </c>
      <c r="G4795" s="59" t="str">
        <f t="shared" si="26"/>
        <v/>
      </c>
      <c r="H4795" s="59" t="str">
        <f t="shared" si="27"/>
        <v>28C00462</v>
      </c>
      <c r="I4795" s="59" t="str">
        <f>IF(OR($A4795="",$C4795="",$D4795="",$E4795="",$H4795=""),"",SUMIFS(DATA_GOC!$H:$H,DATA_GOC!$A:$A,"BOM",DATA_GOC!$D:$D,$H4795,DATA_GOC!$E:$E,$C4795,DATA_GOC!$F:$F,"Xuất nội bộ từ téc",DATA_GOC!$B:$B,"&gt;="&amp;$D4795,DATA_GOC!$B:$B,"&lt;="&amp;$E4795))</f>
        <v/>
      </c>
      <c r="J4795" s="59">
        <f t="shared" si="28"/>
        <v>0</v>
      </c>
      <c r="K4795" s="59">
        <f t="shared" si="29"/>
        <v>0</v>
      </c>
      <c r="L4795" s="59">
        <f t="shared" si="30"/>
        <v>0</v>
      </c>
      <c r="M4795" s="59">
        <f t="shared" si="31"/>
        <v>0</v>
      </c>
    </row>
    <row r="4796" ht="15.0" hidden="1" customHeight="1">
      <c r="A4796" s="59">
        <f t="shared" si="20"/>
        <v>77</v>
      </c>
      <c r="B4796" s="59" t="str">
        <f t="shared" si="21"/>
        <v/>
      </c>
      <c r="C4796" s="59" t="str">
        <f t="shared" si="22"/>
        <v/>
      </c>
      <c r="D4796" s="45" t="str">
        <f t="shared" si="23"/>
        <v/>
      </c>
      <c r="E4796" s="45" t="str">
        <f t="shared" si="24"/>
        <v/>
      </c>
      <c r="F4796" s="59" t="str">
        <f t="shared" si="25"/>
        <v/>
      </c>
      <c r="G4796" s="59" t="str">
        <f t="shared" si="26"/>
        <v/>
      </c>
      <c r="H4796" s="59" t="str">
        <f t="shared" si="27"/>
        <v>28C01165</v>
      </c>
      <c r="I4796" s="59" t="str">
        <f>IF(OR($A4796="",$C4796="",$D4796="",$E4796="",$H4796=""),"",SUMIFS(DATA_GOC!$H:$H,DATA_GOC!$A:$A,"BOM",DATA_GOC!$D:$D,$H4796,DATA_GOC!$E:$E,$C4796,DATA_GOC!$F:$F,"Xuất nội bộ từ téc",DATA_GOC!$B:$B,"&gt;="&amp;$D4796,DATA_GOC!$B:$B,"&lt;="&amp;$E4796))</f>
        <v/>
      </c>
      <c r="J4796" s="59">
        <f t="shared" si="28"/>
        <v>0</v>
      </c>
      <c r="K4796" s="59">
        <f t="shared" si="29"/>
        <v>0</v>
      </c>
      <c r="L4796" s="59">
        <f t="shared" si="30"/>
        <v>0</v>
      </c>
      <c r="M4796" s="59">
        <f t="shared" si="31"/>
        <v>0</v>
      </c>
    </row>
    <row r="4797" ht="15.0" hidden="1" customHeight="1">
      <c r="A4797" s="59">
        <f t="shared" si="20"/>
        <v>77</v>
      </c>
      <c r="B4797" s="59" t="str">
        <f t="shared" si="21"/>
        <v/>
      </c>
      <c r="C4797" s="59" t="str">
        <f t="shared" si="22"/>
        <v/>
      </c>
      <c r="D4797" s="45" t="str">
        <f t="shared" si="23"/>
        <v/>
      </c>
      <c r="E4797" s="45" t="str">
        <f t="shared" si="24"/>
        <v/>
      </c>
      <c r="F4797" s="59" t="str">
        <f t="shared" si="25"/>
        <v/>
      </c>
      <c r="G4797" s="59" t="str">
        <f t="shared" si="26"/>
        <v/>
      </c>
      <c r="H4797" s="59" t="str">
        <f t="shared" si="27"/>
        <v>28C01406</v>
      </c>
      <c r="I4797" s="59" t="str">
        <f>IF(OR($A4797="",$C4797="",$D4797="",$E4797="",$H4797=""),"",SUMIFS(DATA_GOC!$H:$H,DATA_GOC!$A:$A,"BOM",DATA_GOC!$D:$D,$H4797,DATA_GOC!$E:$E,$C4797,DATA_GOC!$F:$F,"Xuất nội bộ từ téc",DATA_GOC!$B:$B,"&gt;="&amp;$D4797,DATA_GOC!$B:$B,"&lt;="&amp;$E4797))</f>
        <v/>
      </c>
      <c r="J4797" s="59">
        <f t="shared" si="28"/>
        <v>0</v>
      </c>
      <c r="K4797" s="59">
        <f t="shared" si="29"/>
        <v>0</v>
      </c>
      <c r="L4797" s="59">
        <f t="shared" si="30"/>
        <v>0</v>
      </c>
      <c r="M4797" s="59">
        <f t="shared" si="31"/>
        <v>0</v>
      </c>
    </row>
    <row r="4798" ht="15.0" hidden="1" customHeight="1">
      <c r="A4798" s="59">
        <f t="shared" si="20"/>
        <v>77</v>
      </c>
      <c r="B4798" s="59" t="str">
        <f t="shared" si="21"/>
        <v/>
      </c>
      <c r="C4798" s="59" t="str">
        <f t="shared" si="22"/>
        <v/>
      </c>
      <c r="D4798" s="45" t="str">
        <f t="shared" si="23"/>
        <v/>
      </c>
      <c r="E4798" s="45" t="str">
        <f t="shared" si="24"/>
        <v/>
      </c>
      <c r="F4798" s="59" t="str">
        <f t="shared" si="25"/>
        <v/>
      </c>
      <c r="G4798" s="59" t="str">
        <f t="shared" si="26"/>
        <v/>
      </c>
      <c r="H4798" s="59" t="str">
        <f t="shared" si="27"/>
        <v>28C01544</v>
      </c>
      <c r="I4798" s="59" t="str">
        <f>IF(OR($A4798="",$C4798="",$D4798="",$E4798="",$H4798=""),"",SUMIFS(DATA_GOC!$H:$H,DATA_GOC!$A:$A,"BOM",DATA_GOC!$D:$D,$H4798,DATA_GOC!$E:$E,$C4798,DATA_GOC!$F:$F,"Xuất nội bộ từ téc",DATA_GOC!$B:$B,"&gt;="&amp;$D4798,DATA_GOC!$B:$B,"&lt;="&amp;$E4798))</f>
        <v/>
      </c>
      <c r="J4798" s="59">
        <f t="shared" si="28"/>
        <v>0</v>
      </c>
      <c r="K4798" s="59">
        <f t="shared" si="29"/>
        <v>0</v>
      </c>
      <c r="L4798" s="59">
        <f t="shared" si="30"/>
        <v>0</v>
      </c>
      <c r="M4798" s="59">
        <f t="shared" si="31"/>
        <v>0</v>
      </c>
    </row>
    <row r="4799" ht="15.0" hidden="1" customHeight="1">
      <c r="A4799" s="59">
        <f t="shared" si="20"/>
        <v>77</v>
      </c>
      <c r="B4799" s="59" t="str">
        <f t="shared" si="21"/>
        <v/>
      </c>
      <c r="C4799" s="59" t="str">
        <f t="shared" si="22"/>
        <v/>
      </c>
      <c r="D4799" s="45" t="str">
        <f t="shared" si="23"/>
        <v/>
      </c>
      <c r="E4799" s="45" t="str">
        <f t="shared" si="24"/>
        <v/>
      </c>
      <c r="F4799" s="59" t="str">
        <f t="shared" si="25"/>
        <v/>
      </c>
      <c r="G4799" s="59" t="str">
        <f t="shared" si="26"/>
        <v/>
      </c>
      <c r="H4799" s="59" t="str">
        <f t="shared" si="27"/>
        <v>28C01622</v>
      </c>
      <c r="I4799" s="59" t="str">
        <f>IF(OR($A4799="",$C4799="",$D4799="",$E4799="",$H4799=""),"",SUMIFS(DATA_GOC!$H:$H,DATA_GOC!$A:$A,"BOM",DATA_GOC!$D:$D,$H4799,DATA_GOC!$E:$E,$C4799,DATA_GOC!$F:$F,"Xuất nội bộ từ téc",DATA_GOC!$B:$B,"&gt;="&amp;$D4799,DATA_GOC!$B:$B,"&lt;="&amp;$E4799))</f>
        <v/>
      </c>
      <c r="J4799" s="59">
        <f t="shared" si="28"/>
        <v>0</v>
      </c>
      <c r="K4799" s="59">
        <f t="shared" si="29"/>
        <v>0</v>
      </c>
      <c r="L4799" s="59">
        <f t="shared" si="30"/>
        <v>0</v>
      </c>
      <c r="M4799" s="59">
        <f t="shared" si="31"/>
        <v>0</v>
      </c>
    </row>
    <row r="4800" ht="15.0" hidden="1" customHeight="1">
      <c r="A4800" s="59">
        <f t="shared" si="20"/>
        <v>77</v>
      </c>
      <c r="B4800" s="59" t="str">
        <f t="shared" si="21"/>
        <v/>
      </c>
      <c r="C4800" s="59" t="str">
        <f t="shared" si="22"/>
        <v/>
      </c>
      <c r="D4800" s="45" t="str">
        <f t="shared" si="23"/>
        <v/>
      </c>
      <c r="E4800" s="45" t="str">
        <f t="shared" si="24"/>
        <v/>
      </c>
      <c r="F4800" s="59" t="str">
        <f t="shared" si="25"/>
        <v/>
      </c>
      <c r="G4800" s="59" t="str">
        <f t="shared" si="26"/>
        <v/>
      </c>
      <c r="H4800" s="59" t="str">
        <f t="shared" si="27"/>
        <v>28C01647</v>
      </c>
      <c r="I4800" s="59" t="str">
        <f>IF(OR($A4800="",$C4800="",$D4800="",$E4800="",$H4800=""),"",SUMIFS(DATA_GOC!$H:$H,DATA_GOC!$A:$A,"BOM",DATA_GOC!$D:$D,$H4800,DATA_GOC!$E:$E,$C4800,DATA_GOC!$F:$F,"Xuất nội bộ từ téc",DATA_GOC!$B:$B,"&gt;="&amp;$D4800,DATA_GOC!$B:$B,"&lt;="&amp;$E4800))</f>
        <v/>
      </c>
      <c r="J4800" s="59">
        <f t="shared" si="28"/>
        <v>0</v>
      </c>
      <c r="K4800" s="59">
        <f t="shared" si="29"/>
        <v>0</v>
      </c>
      <c r="L4800" s="59">
        <f t="shared" si="30"/>
        <v>0</v>
      </c>
      <c r="M4800" s="59">
        <f t="shared" si="31"/>
        <v>0</v>
      </c>
    </row>
    <row r="4801" ht="15.0" hidden="1" customHeight="1">
      <c r="A4801" s="59">
        <f t="shared" si="20"/>
        <v>77</v>
      </c>
      <c r="B4801" s="59" t="str">
        <f t="shared" si="21"/>
        <v/>
      </c>
      <c r="C4801" s="59" t="str">
        <f t="shared" si="22"/>
        <v/>
      </c>
      <c r="D4801" s="45" t="str">
        <f t="shared" si="23"/>
        <v/>
      </c>
      <c r="E4801" s="45" t="str">
        <f t="shared" si="24"/>
        <v/>
      </c>
      <c r="F4801" s="59" t="str">
        <f t="shared" si="25"/>
        <v/>
      </c>
      <c r="G4801" s="59" t="str">
        <f t="shared" si="26"/>
        <v/>
      </c>
      <c r="H4801" s="59" t="str">
        <f t="shared" si="27"/>
        <v>28C01731</v>
      </c>
      <c r="I4801" s="59" t="str">
        <f>IF(OR($A4801="",$C4801="",$D4801="",$E4801="",$H4801=""),"",SUMIFS(DATA_GOC!$H:$H,DATA_GOC!$A:$A,"BOM",DATA_GOC!$D:$D,$H4801,DATA_GOC!$E:$E,$C4801,DATA_GOC!$F:$F,"Xuất nội bộ từ téc",DATA_GOC!$B:$B,"&gt;="&amp;$D4801,DATA_GOC!$B:$B,"&lt;="&amp;$E4801))</f>
        <v/>
      </c>
      <c r="J4801" s="59">
        <f t="shared" si="28"/>
        <v>0</v>
      </c>
      <c r="K4801" s="59">
        <f t="shared" si="29"/>
        <v>0</v>
      </c>
      <c r="L4801" s="59">
        <f t="shared" si="30"/>
        <v>0</v>
      </c>
      <c r="M4801" s="59">
        <f t="shared" si="31"/>
        <v>0</v>
      </c>
    </row>
    <row r="4802" ht="15.0" hidden="1" customHeight="1">
      <c r="A4802" s="59">
        <f t="shared" si="20"/>
        <v>77</v>
      </c>
      <c r="B4802" s="59" t="str">
        <f t="shared" si="21"/>
        <v/>
      </c>
      <c r="C4802" s="59" t="str">
        <f t="shared" si="22"/>
        <v/>
      </c>
      <c r="D4802" s="45" t="str">
        <f t="shared" si="23"/>
        <v/>
      </c>
      <c r="E4802" s="45" t="str">
        <f t="shared" si="24"/>
        <v/>
      </c>
      <c r="F4802" s="59" t="str">
        <f t="shared" si="25"/>
        <v/>
      </c>
      <c r="G4802" s="59" t="str">
        <f t="shared" si="26"/>
        <v/>
      </c>
      <c r="H4802" s="59" t="str">
        <f t="shared" si="27"/>
        <v>28C01743</v>
      </c>
      <c r="I4802" s="59" t="str">
        <f>IF(OR($A4802="",$C4802="",$D4802="",$E4802="",$H4802=""),"",SUMIFS(DATA_GOC!$H:$H,DATA_GOC!$A:$A,"BOM",DATA_GOC!$D:$D,$H4802,DATA_GOC!$E:$E,$C4802,DATA_GOC!$F:$F,"Xuất nội bộ từ téc",DATA_GOC!$B:$B,"&gt;="&amp;$D4802,DATA_GOC!$B:$B,"&lt;="&amp;$E4802))</f>
        <v/>
      </c>
      <c r="J4802" s="59">
        <f t="shared" si="28"/>
        <v>0</v>
      </c>
      <c r="K4802" s="59">
        <f t="shared" si="29"/>
        <v>0</v>
      </c>
      <c r="L4802" s="59">
        <f t="shared" si="30"/>
        <v>0</v>
      </c>
      <c r="M4802" s="59">
        <f t="shared" si="31"/>
        <v>0</v>
      </c>
    </row>
    <row r="4803" ht="15.0" hidden="1" customHeight="1">
      <c r="A4803" s="59">
        <f t="shared" si="20"/>
        <v>77</v>
      </c>
      <c r="B4803" s="59" t="str">
        <f t="shared" si="21"/>
        <v/>
      </c>
      <c r="C4803" s="59" t="str">
        <f t="shared" si="22"/>
        <v/>
      </c>
      <c r="D4803" s="45" t="str">
        <f t="shared" si="23"/>
        <v/>
      </c>
      <c r="E4803" s="45" t="str">
        <f t="shared" si="24"/>
        <v/>
      </c>
      <c r="F4803" s="59" t="str">
        <f t="shared" si="25"/>
        <v/>
      </c>
      <c r="G4803" s="59" t="str">
        <f t="shared" si="26"/>
        <v/>
      </c>
      <c r="H4803" s="59" t="str">
        <f t="shared" si="27"/>
        <v>28C02106</v>
      </c>
      <c r="I4803" s="59" t="str">
        <f>IF(OR($A4803="",$C4803="",$D4803="",$E4803="",$H4803=""),"",SUMIFS(DATA_GOC!$H:$H,DATA_GOC!$A:$A,"BOM",DATA_GOC!$D:$D,$H4803,DATA_GOC!$E:$E,$C4803,DATA_GOC!$F:$F,"Xuất nội bộ từ téc",DATA_GOC!$B:$B,"&gt;="&amp;$D4803,DATA_GOC!$B:$B,"&lt;="&amp;$E4803))</f>
        <v/>
      </c>
      <c r="J4803" s="59">
        <f t="shared" si="28"/>
        <v>0</v>
      </c>
      <c r="K4803" s="59">
        <f t="shared" si="29"/>
        <v>0</v>
      </c>
      <c r="L4803" s="59">
        <f t="shared" si="30"/>
        <v>0</v>
      </c>
      <c r="M4803" s="59">
        <f t="shared" si="31"/>
        <v>0</v>
      </c>
    </row>
    <row r="4804" ht="15.0" hidden="1" customHeight="1">
      <c r="A4804" s="59">
        <f t="shared" si="20"/>
        <v>77</v>
      </c>
      <c r="B4804" s="59" t="str">
        <f t="shared" si="21"/>
        <v/>
      </c>
      <c r="C4804" s="59" t="str">
        <f t="shared" si="22"/>
        <v/>
      </c>
      <c r="D4804" s="45" t="str">
        <f t="shared" si="23"/>
        <v/>
      </c>
      <c r="E4804" s="45" t="str">
        <f t="shared" si="24"/>
        <v/>
      </c>
      <c r="F4804" s="59" t="str">
        <f t="shared" si="25"/>
        <v/>
      </c>
      <c r="G4804" s="59" t="str">
        <f t="shared" si="26"/>
        <v/>
      </c>
      <c r="H4804" s="59" t="str">
        <f t="shared" si="27"/>
        <v>28C02410</v>
      </c>
      <c r="I4804" s="59" t="str">
        <f>IF(OR($A4804="",$C4804="",$D4804="",$E4804="",$H4804=""),"",SUMIFS(DATA_GOC!$H:$H,DATA_GOC!$A:$A,"BOM",DATA_GOC!$D:$D,$H4804,DATA_GOC!$E:$E,$C4804,DATA_GOC!$F:$F,"Xuất nội bộ từ téc",DATA_GOC!$B:$B,"&gt;="&amp;$D4804,DATA_GOC!$B:$B,"&lt;="&amp;$E4804))</f>
        <v/>
      </c>
      <c r="J4804" s="59">
        <f t="shared" si="28"/>
        <v>0</v>
      </c>
      <c r="K4804" s="59">
        <f t="shared" si="29"/>
        <v>0</v>
      </c>
      <c r="L4804" s="59">
        <f t="shared" si="30"/>
        <v>0</v>
      </c>
      <c r="M4804" s="59">
        <f t="shared" si="31"/>
        <v>0</v>
      </c>
    </row>
    <row r="4805" ht="15.0" hidden="1" customHeight="1">
      <c r="A4805" s="59">
        <f t="shared" si="20"/>
        <v>77</v>
      </c>
      <c r="B4805" s="59" t="str">
        <f t="shared" si="21"/>
        <v/>
      </c>
      <c r="C4805" s="59" t="str">
        <f t="shared" si="22"/>
        <v/>
      </c>
      <c r="D4805" s="45" t="str">
        <f t="shared" si="23"/>
        <v/>
      </c>
      <c r="E4805" s="45" t="str">
        <f t="shared" si="24"/>
        <v/>
      </c>
      <c r="F4805" s="59" t="str">
        <f t="shared" si="25"/>
        <v/>
      </c>
      <c r="G4805" s="59" t="str">
        <f t="shared" si="26"/>
        <v/>
      </c>
      <c r="H4805" s="59" t="str">
        <f t="shared" si="27"/>
        <v>28C02545</v>
      </c>
      <c r="I4805" s="59" t="str">
        <f>IF(OR($A4805="",$C4805="",$D4805="",$E4805="",$H4805=""),"",SUMIFS(DATA_GOC!$H:$H,DATA_GOC!$A:$A,"BOM",DATA_GOC!$D:$D,$H4805,DATA_GOC!$E:$E,$C4805,DATA_GOC!$F:$F,"Xuất nội bộ từ téc",DATA_GOC!$B:$B,"&gt;="&amp;$D4805,DATA_GOC!$B:$B,"&lt;="&amp;$E4805))</f>
        <v/>
      </c>
      <c r="J4805" s="59">
        <f t="shared" si="28"/>
        <v>0</v>
      </c>
      <c r="K4805" s="59">
        <f t="shared" si="29"/>
        <v>0</v>
      </c>
      <c r="L4805" s="59">
        <f t="shared" si="30"/>
        <v>0</v>
      </c>
      <c r="M4805" s="59">
        <f t="shared" si="31"/>
        <v>0</v>
      </c>
    </row>
    <row r="4806" ht="15.0" hidden="1" customHeight="1">
      <c r="A4806" s="59">
        <f t="shared" si="20"/>
        <v>77</v>
      </c>
      <c r="B4806" s="59" t="str">
        <f t="shared" si="21"/>
        <v/>
      </c>
      <c r="C4806" s="59" t="str">
        <f t="shared" si="22"/>
        <v/>
      </c>
      <c r="D4806" s="45" t="str">
        <f t="shared" si="23"/>
        <v/>
      </c>
      <c r="E4806" s="45" t="str">
        <f t="shared" si="24"/>
        <v/>
      </c>
      <c r="F4806" s="59" t="str">
        <f t="shared" si="25"/>
        <v/>
      </c>
      <c r="G4806" s="59" t="str">
        <f t="shared" si="26"/>
        <v/>
      </c>
      <c r="H4806" s="59" t="str">
        <f t="shared" si="27"/>
        <v>28C02574</v>
      </c>
      <c r="I4806" s="59" t="str">
        <f>IF(OR($A4806="",$C4806="",$D4806="",$E4806="",$H4806=""),"",SUMIFS(DATA_GOC!$H:$H,DATA_GOC!$A:$A,"BOM",DATA_GOC!$D:$D,$H4806,DATA_GOC!$E:$E,$C4806,DATA_GOC!$F:$F,"Xuất nội bộ từ téc",DATA_GOC!$B:$B,"&gt;="&amp;$D4806,DATA_GOC!$B:$B,"&lt;="&amp;$E4806))</f>
        <v/>
      </c>
      <c r="J4806" s="59">
        <f t="shared" si="28"/>
        <v>0</v>
      </c>
      <c r="K4806" s="59">
        <f t="shared" si="29"/>
        <v>0</v>
      </c>
      <c r="L4806" s="59">
        <f t="shared" si="30"/>
        <v>0</v>
      </c>
      <c r="M4806" s="59">
        <f t="shared" si="31"/>
        <v>0</v>
      </c>
    </row>
    <row r="4807" ht="15.0" hidden="1" customHeight="1">
      <c r="A4807" s="59">
        <f t="shared" si="20"/>
        <v>77</v>
      </c>
      <c r="B4807" s="59" t="str">
        <f t="shared" si="21"/>
        <v/>
      </c>
      <c r="C4807" s="59" t="str">
        <f t="shared" si="22"/>
        <v/>
      </c>
      <c r="D4807" s="45" t="str">
        <f t="shared" si="23"/>
        <v/>
      </c>
      <c r="E4807" s="45" t="str">
        <f t="shared" si="24"/>
        <v/>
      </c>
      <c r="F4807" s="59" t="str">
        <f t="shared" si="25"/>
        <v/>
      </c>
      <c r="G4807" s="59" t="str">
        <f t="shared" si="26"/>
        <v/>
      </c>
      <c r="H4807" s="59" t="str">
        <f t="shared" si="27"/>
        <v>28C02770</v>
      </c>
      <c r="I4807" s="59" t="str">
        <f>IF(OR($A4807="",$C4807="",$D4807="",$E4807="",$H4807=""),"",SUMIFS(DATA_GOC!$H:$H,DATA_GOC!$A:$A,"BOM",DATA_GOC!$D:$D,$H4807,DATA_GOC!$E:$E,$C4807,DATA_GOC!$F:$F,"Xuất nội bộ từ téc",DATA_GOC!$B:$B,"&gt;="&amp;$D4807,DATA_GOC!$B:$B,"&lt;="&amp;$E4807))</f>
        <v/>
      </c>
      <c r="J4807" s="59">
        <f t="shared" si="28"/>
        <v>0</v>
      </c>
      <c r="K4807" s="59">
        <f t="shared" si="29"/>
        <v>0</v>
      </c>
      <c r="L4807" s="59">
        <f t="shared" si="30"/>
        <v>0</v>
      </c>
      <c r="M4807" s="59">
        <f t="shared" si="31"/>
        <v>0</v>
      </c>
    </row>
    <row r="4808" ht="15.0" hidden="1" customHeight="1">
      <c r="A4808" s="59">
        <f t="shared" si="20"/>
        <v>77</v>
      </c>
      <c r="B4808" s="59" t="str">
        <f t="shared" si="21"/>
        <v/>
      </c>
      <c r="C4808" s="59" t="str">
        <f t="shared" si="22"/>
        <v/>
      </c>
      <c r="D4808" s="45" t="str">
        <f t="shared" si="23"/>
        <v/>
      </c>
      <c r="E4808" s="45" t="str">
        <f t="shared" si="24"/>
        <v/>
      </c>
      <c r="F4808" s="59" t="str">
        <f t="shared" si="25"/>
        <v/>
      </c>
      <c r="G4808" s="59" t="str">
        <f t="shared" si="26"/>
        <v/>
      </c>
      <c r="H4808" s="59" t="str">
        <f t="shared" si="27"/>
        <v>28C02986</v>
      </c>
      <c r="I4808" s="59" t="str">
        <f>IF(OR($A4808="",$C4808="",$D4808="",$E4808="",$H4808=""),"",SUMIFS(DATA_GOC!$H:$H,DATA_GOC!$A:$A,"BOM",DATA_GOC!$D:$D,$H4808,DATA_GOC!$E:$E,$C4808,DATA_GOC!$F:$F,"Xuất nội bộ từ téc",DATA_GOC!$B:$B,"&gt;="&amp;$D4808,DATA_GOC!$B:$B,"&lt;="&amp;$E4808))</f>
        <v/>
      </c>
      <c r="J4808" s="59">
        <f t="shared" si="28"/>
        <v>0</v>
      </c>
      <c r="K4808" s="59">
        <f t="shared" si="29"/>
        <v>0</v>
      </c>
      <c r="L4808" s="59">
        <f t="shared" si="30"/>
        <v>0</v>
      </c>
      <c r="M4808" s="59">
        <f t="shared" si="31"/>
        <v>0</v>
      </c>
    </row>
    <row r="4809" ht="15.0" hidden="1" customHeight="1">
      <c r="A4809" s="59">
        <f t="shared" si="20"/>
        <v>77</v>
      </c>
      <c r="B4809" s="59" t="str">
        <f t="shared" si="21"/>
        <v/>
      </c>
      <c r="C4809" s="59" t="str">
        <f t="shared" si="22"/>
        <v/>
      </c>
      <c r="D4809" s="45" t="str">
        <f t="shared" si="23"/>
        <v/>
      </c>
      <c r="E4809" s="45" t="str">
        <f t="shared" si="24"/>
        <v/>
      </c>
      <c r="F4809" s="59" t="str">
        <f t="shared" si="25"/>
        <v/>
      </c>
      <c r="G4809" s="59" t="str">
        <f t="shared" si="26"/>
        <v/>
      </c>
      <c r="H4809" s="59" t="str">
        <f t="shared" si="27"/>
        <v>28C03261</v>
      </c>
      <c r="I4809" s="59" t="str">
        <f>IF(OR($A4809="",$C4809="",$D4809="",$E4809="",$H4809=""),"",SUMIFS(DATA_GOC!$H:$H,DATA_GOC!$A:$A,"BOM",DATA_GOC!$D:$D,$H4809,DATA_GOC!$E:$E,$C4809,DATA_GOC!$F:$F,"Xuất nội bộ từ téc",DATA_GOC!$B:$B,"&gt;="&amp;$D4809,DATA_GOC!$B:$B,"&lt;="&amp;$E4809))</f>
        <v/>
      </c>
      <c r="J4809" s="59">
        <f t="shared" si="28"/>
        <v>0</v>
      </c>
      <c r="K4809" s="59">
        <f t="shared" si="29"/>
        <v>0</v>
      </c>
      <c r="L4809" s="59">
        <f t="shared" si="30"/>
        <v>0</v>
      </c>
      <c r="M4809" s="59">
        <f t="shared" si="31"/>
        <v>0</v>
      </c>
    </row>
    <row r="4810" ht="15.0" hidden="1" customHeight="1">
      <c r="A4810" s="59">
        <f t="shared" si="20"/>
        <v>77</v>
      </c>
      <c r="B4810" s="59" t="str">
        <f t="shared" si="21"/>
        <v/>
      </c>
      <c r="C4810" s="59" t="str">
        <f t="shared" si="22"/>
        <v/>
      </c>
      <c r="D4810" s="45" t="str">
        <f t="shared" si="23"/>
        <v/>
      </c>
      <c r="E4810" s="45" t="str">
        <f t="shared" si="24"/>
        <v/>
      </c>
      <c r="F4810" s="59" t="str">
        <f t="shared" si="25"/>
        <v/>
      </c>
      <c r="G4810" s="59" t="str">
        <f t="shared" si="26"/>
        <v/>
      </c>
      <c r="H4810" s="59" t="str">
        <f t="shared" si="27"/>
        <v>28C03323</v>
      </c>
      <c r="I4810" s="59" t="str">
        <f>IF(OR($A4810="",$C4810="",$D4810="",$E4810="",$H4810=""),"",SUMIFS(DATA_GOC!$H:$H,DATA_GOC!$A:$A,"BOM",DATA_GOC!$D:$D,$H4810,DATA_GOC!$E:$E,$C4810,DATA_GOC!$F:$F,"Xuất nội bộ từ téc",DATA_GOC!$B:$B,"&gt;="&amp;$D4810,DATA_GOC!$B:$B,"&lt;="&amp;$E4810))</f>
        <v/>
      </c>
      <c r="J4810" s="59">
        <f t="shared" si="28"/>
        <v>0</v>
      </c>
      <c r="K4810" s="59">
        <f t="shared" si="29"/>
        <v>0</v>
      </c>
      <c r="L4810" s="59">
        <f t="shared" si="30"/>
        <v>0</v>
      </c>
      <c r="M4810" s="59">
        <f t="shared" si="31"/>
        <v>0</v>
      </c>
    </row>
    <row r="4811" ht="15.0" hidden="1" customHeight="1">
      <c r="A4811" s="59">
        <f t="shared" si="20"/>
        <v>77</v>
      </c>
      <c r="B4811" s="59" t="str">
        <f t="shared" si="21"/>
        <v/>
      </c>
      <c r="C4811" s="59" t="str">
        <f t="shared" si="22"/>
        <v/>
      </c>
      <c r="D4811" s="45" t="str">
        <f t="shared" si="23"/>
        <v/>
      </c>
      <c r="E4811" s="45" t="str">
        <f t="shared" si="24"/>
        <v/>
      </c>
      <c r="F4811" s="59" t="str">
        <f t="shared" si="25"/>
        <v/>
      </c>
      <c r="G4811" s="59" t="str">
        <f t="shared" si="26"/>
        <v/>
      </c>
      <c r="H4811" s="59" t="str">
        <f t="shared" si="27"/>
        <v>28C03385</v>
      </c>
      <c r="I4811" s="59" t="str">
        <f>IF(OR($A4811="",$C4811="",$D4811="",$E4811="",$H4811=""),"",SUMIFS(DATA_GOC!$H:$H,DATA_GOC!$A:$A,"BOM",DATA_GOC!$D:$D,$H4811,DATA_GOC!$E:$E,$C4811,DATA_GOC!$F:$F,"Xuất nội bộ từ téc",DATA_GOC!$B:$B,"&gt;="&amp;$D4811,DATA_GOC!$B:$B,"&lt;="&amp;$E4811))</f>
        <v/>
      </c>
      <c r="J4811" s="59">
        <f t="shared" si="28"/>
        <v>0</v>
      </c>
      <c r="K4811" s="59">
        <f t="shared" si="29"/>
        <v>0</v>
      </c>
      <c r="L4811" s="59">
        <f t="shared" si="30"/>
        <v>0</v>
      </c>
      <c r="M4811" s="59">
        <f t="shared" si="31"/>
        <v>0</v>
      </c>
    </row>
    <row r="4812" ht="15.0" hidden="1" customHeight="1">
      <c r="A4812" s="59">
        <f t="shared" si="20"/>
        <v>77</v>
      </c>
      <c r="B4812" s="59" t="str">
        <f t="shared" si="21"/>
        <v/>
      </c>
      <c r="C4812" s="59" t="str">
        <f t="shared" si="22"/>
        <v/>
      </c>
      <c r="D4812" s="45" t="str">
        <f t="shared" si="23"/>
        <v/>
      </c>
      <c r="E4812" s="45" t="str">
        <f t="shared" si="24"/>
        <v/>
      </c>
      <c r="F4812" s="59" t="str">
        <f t="shared" si="25"/>
        <v/>
      </c>
      <c r="G4812" s="59" t="str">
        <f t="shared" si="26"/>
        <v/>
      </c>
      <c r="H4812" s="59" t="str">
        <f t="shared" si="27"/>
        <v>28C03652</v>
      </c>
      <c r="I4812" s="59" t="str">
        <f>IF(OR($A4812="",$C4812="",$D4812="",$E4812="",$H4812=""),"",SUMIFS(DATA_GOC!$H:$H,DATA_GOC!$A:$A,"BOM",DATA_GOC!$D:$D,$H4812,DATA_GOC!$E:$E,$C4812,DATA_GOC!$F:$F,"Xuất nội bộ từ téc",DATA_GOC!$B:$B,"&gt;="&amp;$D4812,DATA_GOC!$B:$B,"&lt;="&amp;$E4812))</f>
        <v/>
      </c>
      <c r="J4812" s="59">
        <f t="shared" si="28"/>
        <v>0</v>
      </c>
      <c r="K4812" s="59">
        <f t="shared" si="29"/>
        <v>0</v>
      </c>
      <c r="L4812" s="59">
        <f t="shared" si="30"/>
        <v>0</v>
      </c>
      <c r="M4812" s="59">
        <f t="shared" si="31"/>
        <v>0</v>
      </c>
    </row>
    <row r="4813" ht="15.0" hidden="1" customHeight="1">
      <c r="A4813" s="59">
        <f t="shared" si="20"/>
        <v>77</v>
      </c>
      <c r="B4813" s="59" t="str">
        <f t="shared" si="21"/>
        <v/>
      </c>
      <c r="C4813" s="59" t="str">
        <f t="shared" si="22"/>
        <v/>
      </c>
      <c r="D4813" s="45" t="str">
        <f t="shared" si="23"/>
        <v/>
      </c>
      <c r="E4813" s="45" t="str">
        <f t="shared" si="24"/>
        <v/>
      </c>
      <c r="F4813" s="59" t="str">
        <f t="shared" si="25"/>
        <v/>
      </c>
      <c r="G4813" s="59" t="str">
        <f t="shared" si="26"/>
        <v/>
      </c>
      <c r="H4813" s="59" t="str">
        <f t="shared" si="27"/>
        <v>28C03695</v>
      </c>
      <c r="I4813" s="59" t="str">
        <f>IF(OR($A4813="",$C4813="",$D4813="",$E4813="",$H4813=""),"",SUMIFS(DATA_GOC!$H:$H,DATA_GOC!$A:$A,"BOM",DATA_GOC!$D:$D,$H4813,DATA_GOC!$E:$E,$C4813,DATA_GOC!$F:$F,"Xuất nội bộ từ téc",DATA_GOC!$B:$B,"&gt;="&amp;$D4813,DATA_GOC!$B:$B,"&lt;="&amp;$E4813))</f>
        <v/>
      </c>
      <c r="J4813" s="59">
        <f t="shared" si="28"/>
        <v>0</v>
      </c>
      <c r="K4813" s="59">
        <f t="shared" si="29"/>
        <v>0</v>
      </c>
      <c r="L4813" s="59">
        <f t="shared" si="30"/>
        <v>0</v>
      </c>
      <c r="M4813" s="59">
        <f t="shared" si="31"/>
        <v>0</v>
      </c>
    </row>
    <row r="4814" ht="15.0" hidden="1" customHeight="1">
      <c r="A4814" s="59">
        <f t="shared" si="20"/>
        <v>77</v>
      </c>
      <c r="B4814" s="59" t="str">
        <f t="shared" si="21"/>
        <v/>
      </c>
      <c r="C4814" s="59" t="str">
        <f t="shared" si="22"/>
        <v/>
      </c>
      <c r="D4814" s="45" t="str">
        <f t="shared" si="23"/>
        <v/>
      </c>
      <c r="E4814" s="45" t="str">
        <f t="shared" si="24"/>
        <v/>
      </c>
      <c r="F4814" s="59" t="str">
        <f t="shared" si="25"/>
        <v/>
      </c>
      <c r="G4814" s="59" t="str">
        <f t="shared" si="26"/>
        <v/>
      </c>
      <c r="H4814" s="59" t="str">
        <f t="shared" si="27"/>
        <v>28C03927</v>
      </c>
      <c r="I4814" s="59" t="str">
        <f>IF(OR($A4814="",$C4814="",$D4814="",$E4814="",$H4814=""),"",SUMIFS(DATA_GOC!$H:$H,DATA_GOC!$A:$A,"BOM",DATA_GOC!$D:$D,$H4814,DATA_GOC!$E:$E,$C4814,DATA_GOC!$F:$F,"Xuất nội bộ từ téc",DATA_GOC!$B:$B,"&gt;="&amp;$D4814,DATA_GOC!$B:$B,"&lt;="&amp;$E4814))</f>
        <v/>
      </c>
      <c r="J4814" s="59">
        <f t="shared" si="28"/>
        <v>0</v>
      </c>
      <c r="K4814" s="59">
        <f t="shared" si="29"/>
        <v>0</v>
      </c>
      <c r="L4814" s="59">
        <f t="shared" si="30"/>
        <v>0</v>
      </c>
      <c r="M4814" s="59">
        <f t="shared" si="31"/>
        <v>0</v>
      </c>
    </row>
    <row r="4815" ht="15.0" hidden="1" customHeight="1">
      <c r="A4815" s="59">
        <f t="shared" si="20"/>
        <v>77</v>
      </c>
      <c r="B4815" s="59" t="str">
        <f t="shared" si="21"/>
        <v/>
      </c>
      <c r="C4815" s="59" t="str">
        <f t="shared" si="22"/>
        <v/>
      </c>
      <c r="D4815" s="45" t="str">
        <f t="shared" si="23"/>
        <v/>
      </c>
      <c r="E4815" s="45" t="str">
        <f t="shared" si="24"/>
        <v/>
      </c>
      <c r="F4815" s="59" t="str">
        <f t="shared" si="25"/>
        <v/>
      </c>
      <c r="G4815" s="59" t="str">
        <f t="shared" si="26"/>
        <v/>
      </c>
      <c r="H4815" s="59" t="str">
        <f t="shared" si="27"/>
        <v>28C04509</v>
      </c>
      <c r="I4815" s="59" t="str">
        <f>IF(OR($A4815="",$C4815="",$D4815="",$E4815="",$H4815=""),"",SUMIFS(DATA_GOC!$H:$H,DATA_GOC!$A:$A,"BOM",DATA_GOC!$D:$D,$H4815,DATA_GOC!$E:$E,$C4815,DATA_GOC!$F:$F,"Xuất nội bộ từ téc",DATA_GOC!$B:$B,"&gt;="&amp;$D4815,DATA_GOC!$B:$B,"&lt;="&amp;$E4815))</f>
        <v/>
      </c>
      <c r="J4815" s="59">
        <f t="shared" si="28"/>
        <v>0</v>
      </c>
      <c r="K4815" s="59">
        <f t="shared" si="29"/>
        <v>0</v>
      </c>
      <c r="L4815" s="59">
        <f t="shared" si="30"/>
        <v>0</v>
      </c>
      <c r="M4815" s="59">
        <f t="shared" si="31"/>
        <v>0</v>
      </c>
    </row>
    <row r="4816" ht="15.0" hidden="1" customHeight="1">
      <c r="A4816" s="59">
        <f t="shared" si="20"/>
        <v>77</v>
      </c>
      <c r="B4816" s="59" t="str">
        <f t="shared" si="21"/>
        <v/>
      </c>
      <c r="C4816" s="59" t="str">
        <f t="shared" si="22"/>
        <v/>
      </c>
      <c r="D4816" s="45" t="str">
        <f t="shared" si="23"/>
        <v/>
      </c>
      <c r="E4816" s="45" t="str">
        <f t="shared" si="24"/>
        <v/>
      </c>
      <c r="F4816" s="59" t="str">
        <f t="shared" si="25"/>
        <v/>
      </c>
      <c r="G4816" s="59" t="str">
        <f t="shared" si="26"/>
        <v/>
      </c>
      <c r="H4816" s="59" t="str">
        <f t="shared" si="27"/>
        <v>28C04536</v>
      </c>
      <c r="I4816" s="59" t="str">
        <f>IF(OR($A4816="",$C4816="",$D4816="",$E4816="",$H4816=""),"",SUMIFS(DATA_GOC!$H:$H,DATA_GOC!$A:$A,"BOM",DATA_GOC!$D:$D,$H4816,DATA_GOC!$E:$E,$C4816,DATA_GOC!$F:$F,"Xuất nội bộ từ téc",DATA_GOC!$B:$B,"&gt;="&amp;$D4816,DATA_GOC!$B:$B,"&lt;="&amp;$E4816))</f>
        <v/>
      </c>
      <c r="J4816" s="59">
        <f t="shared" si="28"/>
        <v>0</v>
      </c>
      <c r="K4816" s="59">
        <f t="shared" si="29"/>
        <v>0</v>
      </c>
      <c r="L4816" s="59">
        <f t="shared" si="30"/>
        <v>0</v>
      </c>
      <c r="M4816" s="59">
        <f t="shared" si="31"/>
        <v>0</v>
      </c>
    </row>
    <row r="4817" ht="15.0" hidden="1" customHeight="1">
      <c r="A4817" s="59">
        <f t="shared" si="20"/>
        <v>77</v>
      </c>
      <c r="B4817" s="59" t="str">
        <f t="shared" si="21"/>
        <v/>
      </c>
      <c r="C4817" s="59" t="str">
        <f t="shared" si="22"/>
        <v/>
      </c>
      <c r="D4817" s="45" t="str">
        <f t="shared" si="23"/>
        <v/>
      </c>
      <c r="E4817" s="45" t="str">
        <f t="shared" si="24"/>
        <v/>
      </c>
      <c r="F4817" s="59" t="str">
        <f t="shared" si="25"/>
        <v/>
      </c>
      <c r="G4817" s="59" t="str">
        <f t="shared" si="26"/>
        <v/>
      </c>
      <c r="H4817" s="59" t="str">
        <f t="shared" si="27"/>
        <v>28C04576</v>
      </c>
      <c r="I4817" s="59" t="str">
        <f>IF(OR($A4817="",$C4817="",$D4817="",$E4817="",$H4817=""),"",SUMIFS(DATA_GOC!$H:$H,DATA_GOC!$A:$A,"BOM",DATA_GOC!$D:$D,$H4817,DATA_GOC!$E:$E,$C4817,DATA_GOC!$F:$F,"Xuất nội bộ từ téc",DATA_GOC!$B:$B,"&gt;="&amp;$D4817,DATA_GOC!$B:$B,"&lt;="&amp;$E4817))</f>
        <v/>
      </c>
      <c r="J4817" s="59">
        <f t="shared" si="28"/>
        <v>0</v>
      </c>
      <c r="K4817" s="59">
        <f t="shared" si="29"/>
        <v>0</v>
      </c>
      <c r="L4817" s="59">
        <f t="shared" si="30"/>
        <v>0</v>
      </c>
      <c r="M4817" s="59">
        <f t="shared" si="31"/>
        <v>0</v>
      </c>
    </row>
    <row r="4818" ht="15.0" hidden="1" customHeight="1">
      <c r="A4818" s="59">
        <f t="shared" si="20"/>
        <v>77</v>
      </c>
      <c r="B4818" s="59" t="str">
        <f t="shared" si="21"/>
        <v/>
      </c>
      <c r="C4818" s="59" t="str">
        <f t="shared" si="22"/>
        <v/>
      </c>
      <c r="D4818" s="45" t="str">
        <f t="shared" si="23"/>
        <v/>
      </c>
      <c r="E4818" s="45" t="str">
        <f t="shared" si="24"/>
        <v/>
      </c>
      <c r="F4818" s="59" t="str">
        <f t="shared" si="25"/>
        <v/>
      </c>
      <c r="G4818" s="59" t="str">
        <f t="shared" si="26"/>
        <v/>
      </c>
      <c r="H4818" s="59" t="str">
        <f t="shared" si="27"/>
        <v>28C05090</v>
      </c>
      <c r="I4818" s="59" t="str">
        <f>IF(OR($A4818="",$C4818="",$D4818="",$E4818="",$H4818=""),"",SUMIFS(DATA_GOC!$H:$H,DATA_GOC!$A:$A,"BOM",DATA_GOC!$D:$D,$H4818,DATA_GOC!$E:$E,$C4818,DATA_GOC!$F:$F,"Xuất nội bộ từ téc",DATA_GOC!$B:$B,"&gt;="&amp;$D4818,DATA_GOC!$B:$B,"&lt;="&amp;$E4818))</f>
        <v/>
      </c>
      <c r="J4818" s="59">
        <f t="shared" si="28"/>
        <v>0</v>
      </c>
      <c r="K4818" s="59">
        <f t="shared" si="29"/>
        <v>0</v>
      </c>
      <c r="L4818" s="59">
        <f t="shared" si="30"/>
        <v>0</v>
      </c>
      <c r="M4818" s="59">
        <f t="shared" si="31"/>
        <v>0</v>
      </c>
    </row>
    <row r="4819" ht="15.0" hidden="1" customHeight="1">
      <c r="A4819" s="59">
        <f t="shared" si="20"/>
        <v>77</v>
      </c>
      <c r="B4819" s="59" t="str">
        <f t="shared" si="21"/>
        <v/>
      </c>
      <c r="C4819" s="59" t="str">
        <f t="shared" si="22"/>
        <v/>
      </c>
      <c r="D4819" s="45" t="str">
        <f t="shared" si="23"/>
        <v/>
      </c>
      <c r="E4819" s="45" t="str">
        <f t="shared" si="24"/>
        <v/>
      </c>
      <c r="F4819" s="59" t="str">
        <f t="shared" si="25"/>
        <v/>
      </c>
      <c r="G4819" s="59" t="str">
        <f t="shared" si="26"/>
        <v/>
      </c>
      <c r="H4819" s="59" t="str">
        <f t="shared" si="27"/>
        <v>28C05345</v>
      </c>
      <c r="I4819" s="59" t="str">
        <f>IF(OR($A4819="",$C4819="",$D4819="",$E4819="",$H4819=""),"",SUMIFS(DATA_GOC!$H:$H,DATA_GOC!$A:$A,"BOM",DATA_GOC!$D:$D,$H4819,DATA_GOC!$E:$E,$C4819,DATA_GOC!$F:$F,"Xuất nội bộ từ téc",DATA_GOC!$B:$B,"&gt;="&amp;$D4819,DATA_GOC!$B:$B,"&lt;="&amp;$E4819))</f>
        <v/>
      </c>
      <c r="J4819" s="59">
        <f t="shared" si="28"/>
        <v>0</v>
      </c>
      <c r="K4819" s="59">
        <f t="shared" si="29"/>
        <v>0</v>
      </c>
      <c r="L4819" s="59">
        <f t="shared" si="30"/>
        <v>0</v>
      </c>
      <c r="M4819" s="59">
        <f t="shared" si="31"/>
        <v>0</v>
      </c>
    </row>
    <row r="4820" ht="15.0" hidden="1" customHeight="1">
      <c r="A4820" s="59">
        <f t="shared" si="20"/>
        <v>77</v>
      </c>
      <c r="B4820" s="59" t="str">
        <f t="shared" si="21"/>
        <v/>
      </c>
      <c r="C4820" s="59" t="str">
        <f t="shared" si="22"/>
        <v/>
      </c>
      <c r="D4820" s="45" t="str">
        <f t="shared" si="23"/>
        <v/>
      </c>
      <c r="E4820" s="45" t="str">
        <f t="shared" si="24"/>
        <v/>
      </c>
      <c r="F4820" s="59" t="str">
        <f t="shared" si="25"/>
        <v/>
      </c>
      <c r="G4820" s="59" t="str">
        <f t="shared" si="26"/>
        <v/>
      </c>
      <c r="H4820" s="59" t="str">
        <f t="shared" si="27"/>
        <v>28C05661</v>
      </c>
      <c r="I4820" s="59" t="str">
        <f>IF(OR($A4820="",$C4820="",$D4820="",$E4820="",$H4820=""),"",SUMIFS(DATA_GOC!$H:$H,DATA_GOC!$A:$A,"BOM",DATA_GOC!$D:$D,$H4820,DATA_GOC!$E:$E,$C4820,DATA_GOC!$F:$F,"Xuất nội bộ từ téc",DATA_GOC!$B:$B,"&gt;="&amp;$D4820,DATA_GOC!$B:$B,"&lt;="&amp;$E4820))</f>
        <v/>
      </c>
      <c r="J4820" s="59">
        <f t="shared" si="28"/>
        <v>0</v>
      </c>
      <c r="K4820" s="59">
        <f t="shared" si="29"/>
        <v>0</v>
      </c>
      <c r="L4820" s="59">
        <f t="shared" si="30"/>
        <v>0</v>
      </c>
      <c r="M4820" s="59">
        <f t="shared" si="31"/>
        <v>0</v>
      </c>
    </row>
    <row r="4821" ht="15.0" hidden="1" customHeight="1">
      <c r="A4821" s="59">
        <f t="shared" si="20"/>
        <v>77</v>
      </c>
      <c r="B4821" s="59" t="str">
        <f t="shared" si="21"/>
        <v/>
      </c>
      <c r="C4821" s="59" t="str">
        <f t="shared" si="22"/>
        <v/>
      </c>
      <c r="D4821" s="45" t="str">
        <f t="shared" si="23"/>
        <v/>
      </c>
      <c r="E4821" s="45" t="str">
        <f t="shared" si="24"/>
        <v/>
      </c>
      <c r="F4821" s="59" t="str">
        <f t="shared" si="25"/>
        <v/>
      </c>
      <c r="G4821" s="59" t="str">
        <f t="shared" si="26"/>
        <v/>
      </c>
      <c r="H4821" s="59" t="str">
        <f t="shared" si="27"/>
        <v>28C05739</v>
      </c>
      <c r="I4821" s="59" t="str">
        <f>IF(OR($A4821="",$C4821="",$D4821="",$E4821="",$H4821=""),"",SUMIFS(DATA_GOC!$H:$H,DATA_GOC!$A:$A,"BOM",DATA_GOC!$D:$D,$H4821,DATA_GOC!$E:$E,$C4821,DATA_GOC!$F:$F,"Xuất nội bộ từ téc",DATA_GOC!$B:$B,"&gt;="&amp;$D4821,DATA_GOC!$B:$B,"&lt;="&amp;$E4821))</f>
        <v/>
      </c>
      <c r="J4821" s="59">
        <f t="shared" si="28"/>
        <v>0</v>
      </c>
      <c r="K4821" s="59">
        <f t="shared" si="29"/>
        <v>0</v>
      </c>
      <c r="L4821" s="59">
        <f t="shared" si="30"/>
        <v>0</v>
      </c>
      <c r="M4821" s="59">
        <f t="shared" si="31"/>
        <v>0</v>
      </c>
    </row>
    <row r="4822" ht="15.0" hidden="1" customHeight="1">
      <c r="A4822" s="59">
        <f t="shared" si="20"/>
        <v>77</v>
      </c>
      <c r="B4822" s="59" t="str">
        <f t="shared" si="21"/>
        <v/>
      </c>
      <c r="C4822" s="59" t="str">
        <f t="shared" si="22"/>
        <v/>
      </c>
      <c r="D4822" s="45" t="str">
        <f t="shared" si="23"/>
        <v/>
      </c>
      <c r="E4822" s="45" t="str">
        <f t="shared" si="24"/>
        <v/>
      </c>
      <c r="F4822" s="59" t="str">
        <f t="shared" si="25"/>
        <v/>
      </c>
      <c r="G4822" s="59" t="str">
        <f t="shared" si="26"/>
        <v/>
      </c>
      <c r="H4822" s="59" t="str">
        <f t="shared" si="27"/>
        <v>28C06369</v>
      </c>
      <c r="I4822" s="59" t="str">
        <f>IF(OR($A4822="",$C4822="",$D4822="",$E4822="",$H4822=""),"",SUMIFS(DATA_GOC!$H:$H,DATA_GOC!$A:$A,"BOM",DATA_GOC!$D:$D,$H4822,DATA_GOC!$E:$E,$C4822,DATA_GOC!$F:$F,"Xuất nội bộ từ téc",DATA_GOC!$B:$B,"&gt;="&amp;$D4822,DATA_GOC!$B:$B,"&lt;="&amp;$E4822))</f>
        <v/>
      </c>
      <c r="J4822" s="59">
        <f t="shared" si="28"/>
        <v>0</v>
      </c>
      <c r="K4822" s="59">
        <f t="shared" si="29"/>
        <v>0</v>
      </c>
      <c r="L4822" s="59">
        <f t="shared" si="30"/>
        <v>0</v>
      </c>
      <c r="M4822" s="59">
        <f t="shared" si="31"/>
        <v>0</v>
      </c>
    </row>
    <row r="4823" ht="15.0" hidden="1" customHeight="1">
      <c r="A4823" s="59">
        <f t="shared" si="20"/>
        <v>77</v>
      </c>
      <c r="B4823" s="59" t="str">
        <f t="shared" si="21"/>
        <v/>
      </c>
      <c r="C4823" s="59" t="str">
        <f t="shared" si="22"/>
        <v/>
      </c>
      <c r="D4823" s="45" t="str">
        <f t="shared" si="23"/>
        <v/>
      </c>
      <c r="E4823" s="45" t="str">
        <f t="shared" si="24"/>
        <v/>
      </c>
      <c r="F4823" s="59" t="str">
        <f t="shared" si="25"/>
        <v/>
      </c>
      <c r="G4823" s="59" t="str">
        <f t="shared" si="26"/>
        <v/>
      </c>
      <c r="H4823" s="59" t="str">
        <f t="shared" si="27"/>
        <v>28C06447</v>
      </c>
      <c r="I4823" s="59" t="str">
        <f>IF(OR($A4823="",$C4823="",$D4823="",$E4823="",$H4823=""),"",SUMIFS(DATA_GOC!$H:$H,DATA_GOC!$A:$A,"BOM",DATA_GOC!$D:$D,$H4823,DATA_GOC!$E:$E,$C4823,DATA_GOC!$F:$F,"Xuất nội bộ từ téc",DATA_GOC!$B:$B,"&gt;="&amp;$D4823,DATA_GOC!$B:$B,"&lt;="&amp;$E4823))</f>
        <v/>
      </c>
      <c r="J4823" s="59">
        <f t="shared" si="28"/>
        <v>0</v>
      </c>
      <c r="K4823" s="59">
        <f t="shared" si="29"/>
        <v>0</v>
      </c>
      <c r="L4823" s="59">
        <f t="shared" si="30"/>
        <v>0</v>
      </c>
      <c r="M4823" s="59">
        <f t="shared" si="31"/>
        <v>0</v>
      </c>
    </row>
    <row r="4824" ht="15.0" hidden="1" customHeight="1">
      <c r="A4824" s="59">
        <f t="shared" si="20"/>
        <v>77</v>
      </c>
      <c r="B4824" s="59" t="str">
        <f t="shared" si="21"/>
        <v/>
      </c>
      <c r="C4824" s="59" t="str">
        <f t="shared" si="22"/>
        <v/>
      </c>
      <c r="D4824" s="45" t="str">
        <f t="shared" si="23"/>
        <v/>
      </c>
      <c r="E4824" s="45" t="str">
        <f t="shared" si="24"/>
        <v/>
      </c>
      <c r="F4824" s="59" t="str">
        <f t="shared" si="25"/>
        <v/>
      </c>
      <c r="G4824" s="59" t="str">
        <f t="shared" si="26"/>
        <v/>
      </c>
      <c r="H4824" s="59" t="str">
        <f t="shared" si="27"/>
        <v>28H00003</v>
      </c>
      <c r="I4824" s="59" t="str">
        <f>IF(OR($A4824="",$C4824="",$D4824="",$E4824="",$H4824=""),"",SUMIFS(DATA_GOC!$H:$H,DATA_GOC!$A:$A,"BOM",DATA_GOC!$D:$D,$H4824,DATA_GOC!$E:$E,$C4824,DATA_GOC!$F:$F,"Xuất nội bộ từ téc",DATA_GOC!$B:$B,"&gt;="&amp;$D4824,DATA_GOC!$B:$B,"&lt;="&amp;$E4824))</f>
        <v/>
      </c>
      <c r="J4824" s="59">
        <f t="shared" si="28"/>
        <v>0</v>
      </c>
      <c r="K4824" s="59">
        <f t="shared" si="29"/>
        <v>0</v>
      </c>
      <c r="L4824" s="59">
        <f t="shared" si="30"/>
        <v>0</v>
      </c>
      <c r="M4824" s="59">
        <f t="shared" si="31"/>
        <v>0</v>
      </c>
    </row>
    <row r="4825" ht="15.0" hidden="1" customHeight="1">
      <c r="A4825" s="59">
        <f t="shared" si="20"/>
        <v>77</v>
      </c>
      <c r="B4825" s="59" t="str">
        <f t="shared" si="21"/>
        <v/>
      </c>
      <c r="C4825" s="59" t="str">
        <f t="shared" si="22"/>
        <v/>
      </c>
      <c r="D4825" s="45" t="str">
        <f t="shared" si="23"/>
        <v/>
      </c>
      <c r="E4825" s="45" t="str">
        <f t="shared" si="24"/>
        <v/>
      </c>
      <c r="F4825" s="59" t="str">
        <f t="shared" si="25"/>
        <v/>
      </c>
      <c r="G4825" s="59" t="str">
        <f t="shared" si="26"/>
        <v/>
      </c>
      <c r="H4825" s="59" t="str">
        <f t="shared" si="27"/>
        <v>28H00061</v>
      </c>
      <c r="I4825" s="59" t="str">
        <f>IF(OR($A4825="",$C4825="",$D4825="",$E4825="",$H4825=""),"",SUMIFS(DATA_GOC!$H:$H,DATA_GOC!$A:$A,"BOM",DATA_GOC!$D:$D,$H4825,DATA_GOC!$E:$E,$C4825,DATA_GOC!$F:$F,"Xuất nội bộ từ téc",DATA_GOC!$B:$B,"&gt;="&amp;$D4825,DATA_GOC!$B:$B,"&lt;="&amp;$E4825))</f>
        <v/>
      </c>
      <c r="J4825" s="59">
        <f t="shared" si="28"/>
        <v>0</v>
      </c>
      <c r="K4825" s="59">
        <f t="shared" si="29"/>
        <v>0</v>
      </c>
      <c r="L4825" s="59">
        <f t="shared" si="30"/>
        <v>0</v>
      </c>
      <c r="M4825" s="59">
        <f t="shared" si="31"/>
        <v>0</v>
      </c>
    </row>
    <row r="4826" ht="15.0" hidden="1" customHeight="1">
      <c r="A4826" s="59">
        <f t="shared" si="20"/>
        <v>77</v>
      </c>
      <c r="B4826" s="59" t="str">
        <f t="shared" si="21"/>
        <v/>
      </c>
      <c r="C4826" s="59" t="str">
        <f t="shared" si="22"/>
        <v/>
      </c>
      <c r="D4826" s="45" t="str">
        <f t="shared" si="23"/>
        <v/>
      </c>
      <c r="E4826" s="45" t="str">
        <f t="shared" si="24"/>
        <v/>
      </c>
      <c r="F4826" s="59" t="str">
        <f t="shared" si="25"/>
        <v/>
      </c>
      <c r="G4826" s="59" t="str">
        <f t="shared" si="26"/>
        <v/>
      </c>
      <c r="H4826" s="59" t="str">
        <f t="shared" si="27"/>
        <v>28H00354</v>
      </c>
      <c r="I4826" s="59" t="str">
        <f>IF(OR($A4826="",$C4826="",$D4826="",$E4826="",$H4826=""),"",SUMIFS(DATA_GOC!$H:$H,DATA_GOC!$A:$A,"BOM",DATA_GOC!$D:$D,$H4826,DATA_GOC!$E:$E,$C4826,DATA_GOC!$F:$F,"Xuất nội bộ từ téc",DATA_GOC!$B:$B,"&gt;="&amp;$D4826,DATA_GOC!$B:$B,"&lt;="&amp;$E4826))</f>
        <v/>
      </c>
      <c r="J4826" s="59">
        <f t="shared" si="28"/>
        <v>0</v>
      </c>
      <c r="K4826" s="59">
        <f t="shared" si="29"/>
        <v>0</v>
      </c>
      <c r="L4826" s="59">
        <f t="shared" si="30"/>
        <v>0</v>
      </c>
      <c r="M4826" s="59">
        <f t="shared" si="31"/>
        <v>0</v>
      </c>
    </row>
    <row r="4827" ht="15.0" hidden="1" customHeight="1">
      <c r="A4827" s="59">
        <f t="shared" si="20"/>
        <v>77</v>
      </c>
      <c r="B4827" s="59" t="str">
        <f t="shared" si="21"/>
        <v/>
      </c>
      <c r="C4827" s="59" t="str">
        <f t="shared" si="22"/>
        <v/>
      </c>
      <c r="D4827" s="45" t="str">
        <f t="shared" si="23"/>
        <v/>
      </c>
      <c r="E4827" s="45" t="str">
        <f t="shared" si="24"/>
        <v/>
      </c>
      <c r="F4827" s="59" t="str">
        <f t="shared" si="25"/>
        <v/>
      </c>
      <c r="G4827" s="59" t="str">
        <f t="shared" si="26"/>
        <v/>
      </c>
      <c r="H4827" s="59" t="str">
        <f t="shared" si="27"/>
        <v>28H00603</v>
      </c>
      <c r="I4827" s="59" t="str">
        <f>IF(OR($A4827="",$C4827="",$D4827="",$E4827="",$H4827=""),"",SUMIFS(DATA_GOC!$H:$H,DATA_GOC!$A:$A,"BOM",DATA_GOC!$D:$D,$H4827,DATA_GOC!$E:$E,$C4827,DATA_GOC!$F:$F,"Xuất nội bộ từ téc",DATA_GOC!$B:$B,"&gt;="&amp;$D4827,DATA_GOC!$B:$B,"&lt;="&amp;$E4827))</f>
        <v/>
      </c>
      <c r="J4827" s="59">
        <f t="shared" si="28"/>
        <v>0</v>
      </c>
      <c r="K4827" s="59">
        <f t="shared" si="29"/>
        <v>0</v>
      </c>
      <c r="L4827" s="59">
        <f t="shared" si="30"/>
        <v>0</v>
      </c>
      <c r="M4827" s="59">
        <f t="shared" si="31"/>
        <v>0</v>
      </c>
    </row>
    <row r="4828" ht="15.0" hidden="1" customHeight="1">
      <c r="A4828" s="59">
        <f t="shared" si="20"/>
        <v>77</v>
      </c>
      <c r="B4828" s="59" t="str">
        <f t="shared" si="21"/>
        <v/>
      </c>
      <c r="C4828" s="59" t="str">
        <f t="shared" si="22"/>
        <v/>
      </c>
      <c r="D4828" s="45" t="str">
        <f t="shared" si="23"/>
        <v/>
      </c>
      <c r="E4828" s="45" t="str">
        <f t="shared" si="24"/>
        <v/>
      </c>
      <c r="F4828" s="59" t="str">
        <f t="shared" si="25"/>
        <v/>
      </c>
      <c r="G4828" s="59" t="str">
        <f t="shared" si="26"/>
        <v/>
      </c>
      <c r="H4828" s="59" t="str">
        <f t="shared" si="27"/>
        <v>28H00609</v>
      </c>
      <c r="I4828" s="59" t="str">
        <f>IF(OR($A4828="",$C4828="",$D4828="",$E4828="",$H4828=""),"",SUMIFS(DATA_GOC!$H:$H,DATA_GOC!$A:$A,"BOM",DATA_GOC!$D:$D,$H4828,DATA_GOC!$E:$E,$C4828,DATA_GOC!$F:$F,"Xuất nội bộ từ téc",DATA_GOC!$B:$B,"&gt;="&amp;$D4828,DATA_GOC!$B:$B,"&lt;="&amp;$E4828))</f>
        <v/>
      </c>
      <c r="J4828" s="59">
        <f t="shared" si="28"/>
        <v>0</v>
      </c>
      <c r="K4828" s="59">
        <f t="shared" si="29"/>
        <v>0</v>
      </c>
      <c r="L4828" s="59">
        <f t="shared" si="30"/>
        <v>0</v>
      </c>
      <c r="M4828" s="59">
        <f t="shared" si="31"/>
        <v>0</v>
      </c>
    </row>
    <row r="4829" ht="15.0" hidden="1" customHeight="1">
      <c r="A4829" s="59">
        <f t="shared" si="20"/>
        <v>77</v>
      </c>
      <c r="B4829" s="59" t="str">
        <f t="shared" si="21"/>
        <v/>
      </c>
      <c r="C4829" s="59" t="str">
        <f t="shared" si="22"/>
        <v/>
      </c>
      <c r="D4829" s="45" t="str">
        <f t="shared" si="23"/>
        <v/>
      </c>
      <c r="E4829" s="45" t="str">
        <f t="shared" si="24"/>
        <v/>
      </c>
      <c r="F4829" s="59" t="str">
        <f t="shared" si="25"/>
        <v/>
      </c>
      <c r="G4829" s="59" t="str">
        <f t="shared" si="26"/>
        <v/>
      </c>
      <c r="H4829" s="59" t="str">
        <f t="shared" si="27"/>
        <v>28H00669</v>
      </c>
      <c r="I4829" s="59" t="str">
        <f>IF(OR($A4829="",$C4829="",$D4829="",$E4829="",$H4829=""),"",SUMIFS(DATA_GOC!$H:$H,DATA_GOC!$A:$A,"BOM",DATA_GOC!$D:$D,$H4829,DATA_GOC!$E:$E,$C4829,DATA_GOC!$F:$F,"Xuất nội bộ từ téc",DATA_GOC!$B:$B,"&gt;="&amp;$D4829,DATA_GOC!$B:$B,"&lt;="&amp;$E4829))</f>
        <v/>
      </c>
      <c r="J4829" s="59">
        <f t="shared" si="28"/>
        <v>0</v>
      </c>
      <c r="K4829" s="59">
        <f t="shared" si="29"/>
        <v>0</v>
      </c>
      <c r="L4829" s="59">
        <f t="shared" si="30"/>
        <v>0</v>
      </c>
      <c r="M4829" s="59">
        <f t="shared" si="31"/>
        <v>0</v>
      </c>
    </row>
    <row r="4830" ht="15.0" hidden="1" customHeight="1">
      <c r="A4830" s="59">
        <f t="shared" si="20"/>
        <v>77</v>
      </c>
      <c r="B4830" s="59" t="str">
        <f t="shared" si="21"/>
        <v/>
      </c>
      <c r="C4830" s="59" t="str">
        <f t="shared" si="22"/>
        <v/>
      </c>
      <c r="D4830" s="45" t="str">
        <f t="shared" si="23"/>
        <v/>
      </c>
      <c r="E4830" s="45" t="str">
        <f t="shared" si="24"/>
        <v/>
      </c>
      <c r="F4830" s="59" t="str">
        <f t="shared" si="25"/>
        <v/>
      </c>
      <c r="G4830" s="59" t="str">
        <f t="shared" si="26"/>
        <v/>
      </c>
      <c r="H4830" s="59" t="str">
        <f t="shared" si="27"/>
        <v>28H00680</v>
      </c>
      <c r="I4830" s="59" t="str">
        <f>IF(OR($A4830="",$C4830="",$D4830="",$E4830="",$H4830=""),"",SUMIFS(DATA_GOC!$H:$H,DATA_GOC!$A:$A,"BOM",DATA_GOC!$D:$D,$H4830,DATA_GOC!$E:$E,$C4830,DATA_GOC!$F:$F,"Xuất nội bộ từ téc",DATA_GOC!$B:$B,"&gt;="&amp;$D4830,DATA_GOC!$B:$B,"&lt;="&amp;$E4830))</f>
        <v/>
      </c>
      <c r="J4830" s="59">
        <f t="shared" si="28"/>
        <v>0</v>
      </c>
      <c r="K4830" s="59">
        <f t="shared" si="29"/>
        <v>0</v>
      </c>
      <c r="L4830" s="59">
        <f t="shared" si="30"/>
        <v>0</v>
      </c>
      <c r="M4830" s="59">
        <f t="shared" si="31"/>
        <v>0</v>
      </c>
    </row>
    <row r="4831" ht="15.0" hidden="1" customHeight="1">
      <c r="A4831" s="59">
        <f t="shared" si="20"/>
        <v>77</v>
      </c>
      <c r="B4831" s="59" t="str">
        <f t="shared" si="21"/>
        <v/>
      </c>
      <c r="C4831" s="59" t="str">
        <f t="shared" si="22"/>
        <v/>
      </c>
      <c r="D4831" s="45" t="str">
        <f t="shared" si="23"/>
        <v/>
      </c>
      <c r="E4831" s="45" t="str">
        <f t="shared" si="24"/>
        <v/>
      </c>
      <c r="F4831" s="59" t="str">
        <f t="shared" si="25"/>
        <v/>
      </c>
      <c r="G4831" s="59" t="str">
        <f t="shared" si="26"/>
        <v/>
      </c>
      <c r="H4831" s="59" t="str">
        <f t="shared" si="27"/>
        <v>28H01070</v>
      </c>
      <c r="I4831" s="59" t="str">
        <f>IF(OR($A4831="",$C4831="",$D4831="",$E4831="",$H4831=""),"",SUMIFS(DATA_GOC!$H:$H,DATA_GOC!$A:$A,"BOM",DATA_GOC!$D:$D,$H4831,DATA_GOC!$E:$E,$C4831,DATA_GOC!$F:$F,"Xuất nội bộ từ téc",DATA_GOC!$B:$B,"&gt;="&amp;$D4831,DATA_GOC!$B:$B,"&lt;="&amp;$E4831))</f>
        <v/>
      </c>
      <c r="J4831" s="59">
        <f t="shared" si="28"/>
        <v>0</v>
      </c>
      <c r="K4831" s="59">
        <f t="shared" si="29"/>
        <v>0</v>
      </c>
      <c r="L4831" s="59">
        <f t="shared" si="30"/>
        <v>0</v>
      </c>
      <c r="M4831" s="59">
        <f t="shared" si="31"/>
        <v>0</v>
      </c>
    </row>
    <row r="4832" ht="15.0" hidden="1" customHeight="1">
      <c r="A4832" s="59">
        <f t="shared" si="20"/>
        <v>77</v>
      </c>
      <c r="B4832" s="59" t="str">
        <f t="shared" si="21"/>
        <v/>
      </c>
      <c r="C4832" s="59" t="str">
        <f t="shared" si="22"/>
        <v/>
      </c>
      <c r="D4832" s="45" t="str">
        <f t="shared" si="23"/>
        <v/>
      </c>
      <c r="E4832" s="45" t="str">
        <f t="shared" si="24"/>
        <v/>
      </c>
      <c r="F4832" s="59" t="str">
        <f t="shared" si="25"/>
        <v/>
      </c>
      <c r="G4832" s="59" t="str">
        <f t="shared" si="26"/>
        <v/>
      </c>
      <c r="H4832" s="59" t="str">
        <f t="shared" si="27"/>
        <v>28H01364</v>
      </c>
      <c r="I4832" s="59" t="str">
        <f>IF(OR($A4832="",$C4832="",$D4832="",$E4832="",$H4832=""),"",SUMIFS(DATA_GOC!$H:$H,DATA_GOC!$A:$A,"BOM",DATA_GOC!$D:$D,$H4832,DATA_GOC!$E:$E,$C4832,DATA_GOC!$F:$F,"Xuất nội bộ từ téc",DATA_GOC!$B:$B,"&gt;="&amp;$D4832,DATA_GOC!$B:$B,"&lt;="&amp;$E4832))</f>
        <v/>
      </c>
      <c r="J4832" s="59">
        <f t="shared" si="28"/>
        <v>0</v>
      </c>
      <c r="K4832" s="59">
        <f t="shared" si="29"/>
        <v>0</v>
      </c>
      <c r="L4832" s="59">
        <f t="shared" si="30"/>
        <v>0</v>
      </c>
      <c r="M4832" s="59">
        <f t="shared" si="31"/>
        <v>0</v>
      </c>
    </row>
    <row r="4833" ht="15.0" hidden="1" customHeight="1">
      <c r="A4833" s="59">
        <f t="shared" si="20"/>
        <v>77</v>
      </c>
      <c r="B4833" s="59" t="str">
        <f t="shared" si="21"/>
        <v/>
      </c>
      <c r="C4833" s="59" t="str">
        <f t="shared" si="22"/>
        <v/>
      </c>
      <c r="D4833" s="45" t="str">
        <f t="shared" si="23"/>
        <v/>
      </c>
      <c r="E4833" s="45" t="str">
        <f t="shared" si="24"/>
        <v/>
      </c>
      <c r="F4833" s="59" t="str">
        <f t="shared" si="25"/>
        <v/>
      </c>
      <c r="G4833" s="59" t="str">
        <f t="shared" si="26"/>
        <v/>
      </c>
      <c r="H4833" s="59" t="str">
        <f t="shared" si="27"/>
        <v>29E17269</v>
      </c>
      <c r="I4833" s="59" t="str">
        <f>IF(OR($A4833="",$C4833="",$D4833="",$E4833="",$H4833=""),"",SUMIFS(DATA_GOC!$H:$H,DATA_GOC!$A:$A,"BOM",DATA_GOC!$D:$D,$H4833,DATA_GOC!$E:$E,$C4833,DATA_GOC!$F:$F,"Xuất nội bộ từ téc",DATA_GOC!$B:$B,"&gt;="&amp;$D4833,DATA_GOC!$B:$B,"&lt;="&amp;$E4833))</f>
        <v/>
      </c>
      <c r="J4833" s="59">
        <f t="shared" si="28"/>
        <v>0</v>
      </c>
      <c r="K4833" s="59">
        <f t="shared" si="29"/>
        <v>0</v>
      </c>
      <c r="L4833" s="59">
        <f t="shared" si="30"/>
        <v>0</v>
      </c>
      <c r="M4833" s="59">
        <f t="shared" si="31"/>
        <v>0</v>
      </c>
    </row>
    <row r="4834" ht="15.0" hidden="1" customHeight="1">
      <c r="A4834" s="59">
        <f t="shared" si="20"/>
        <v>77</v>
      </c>
      <c r="B4834" s="59" t="str">
        <f t="shared" si="21"/>
        <v/>
      </c>
      <c r="C4834" s="59" t="str">
        <f t="shared" si="22"/>
        <v/>
      </c>
      <c r="D4834" s="45" t="str">
        <f t="shared" si="23"/>
        <v/>
      </c>
      <c r="E4834" s="45" t="str">
        <f t="shared" si="24"/>
        <v/>
      </c>
      <c r="F4834" s="59" t="str">
        <f t="shared" si="25"/>
        <v/>
      </c>
      <c r="G4834" s="59" t="str">
        <f t="shared" si="26"/>
        <v/>
      </c>
      <c r="H4834" s="59" t="str">
        <f t="shared" si="27"/>
        <v>29E17273</v>
      </c>
      <c r="I4834" s="59" t="str">
        <f>IF(OR($A4834="",$C4834="",$D4834="",$E4834="",$H4834=""),"",SUMIFS(DATA_GOC!$H:$H,DATA_GOC!$A:$A,"BOM",DATA_GOC!$D:$D,$H4834,DATA_GOC!$E:$E,$C4834,DATA_GOC!$F:$F,"Xuất nội bộ từ téc",DATA_GOC!$B:$B,"&gt;="&amp;$D4834,DATA_GOC!$B:$B,"&lt;="&amp;$E4834))</f>
        <v/>
      </c>
      <c r="J4834" s="59">
        <f t="shared" si="28"/>
        <v>0</v>
      </c>
      <c r="K4834" s="59">
        <f t="shared" si="29"/>
        <v>0</v>
      </c>
      <c r="L4834" s="59">
        <f t="shared" si="30"/>
        <v>0</v>
      </c>
      <c r="M4834" s="59">
        <f t="shared" si="31"/>
        <v>0</v>
      </c>
    </row>
    <row r="4835" ht="15.0" hidden="1" customHeight="1">
      <c r="A4835" s="59">
        <f t="shared" si="20"/>
        <v>77</v>
      </c>
      <c r="B4835" s="59" t="str">
        <f t="shared" si="21"/>
        <v/>
      </c>
      <c r="C4835" s="59" t="str">
        <f t="shared" si="22"/>
        <v/>
      </c>
      <c r="D4835" s="45" t="str">
        <f t="shared" si="23"/>
        <v/>
      </c>
      <c r="E4835" s="45" t="str">
        <f t="shared" si="24"/>
        <v/>
      </c>
      <c r="F4835" s="59" t="str">
        <f t="shared" si="25"/>
        <v/>
      </c>
      <c r="G4835" s="59" t="str">
        <f t="shared" si="26"/>
        <v/>
      </c>
      <c r="H4835" s="59" t="str">
        <f t="shared" si="27"/>
        <v>29E17410</v>
      </c>
      <c r="I4835" s="59" t="str">
        <f>IF(OR($A4835="",$C4835="",$D4835="",$E4835="",$H4835=""),"",SUMIFS(DATA_GOC!$H:$H,DATA_GOC!$A:$A,"BOM",DATA_GOC!$D:$D,$H4835,DATA_GOC!$E:$E,$C4835,DATA_GOC!$F:$F,"Xuất nội bộ từ téc",DATA_GOC!$B:$B,"&gt;="&amp;$D4835,DATA_GOC!$B:$B,"&lt;="&amp;$E4835))</f>
        <v/>
      </c>
      <c r="J4835" s="59">
        <f t="shared" si="28"/>
        <v>0</v>
      </c>
      <c r="K4835" s="59">
        <f t="shared" si="29"/>
        <v>0</v>
      </c>
      <c r="L4835" s="59">
        <f t="shared" si="30"/>
        <v>0</v>
      </c>
      <c r="M4835" s="59">
        <f t="shared" si="31"/>
        <v>0</v>
      </c>
    </row>
    <row r="4836" ht="15.0" hidden="1" customHeight="1">
      <c r="A4836" s="59">
        <f t="shared" si="20"/>
        <v>77</v>
      </c>
      <c r="B4836" s="59" t="str">
        <f t="shared" si="21"/>
        <v/>
      </c>
      <c r="C4836" s="59" t="str">
        <f t="shared" si="22"/>
        <v/>
      </c>
      <c r="D4836" s="45" t="str">
        <f t="shared" si="23"/>
        <v/>
      </c>
      <c r="E4836" s="45" t="str">
        <f t="shared" si="24"/>
        <v/>
      </c>
      <c r="F4836" s="59" t="str">
        <f t="shared" si="25"/>
        <v/>
      </c>
      <c r="G4836" s="59" t="str">
        <f t="shared" si="26"/>
        <v/>
      </c>
      <c r="H4836" s="59" t="str">
        <f t="shared" si="27"/>
        <v>29E17417</v>
      </c>
      <c r="I4836" s="59" t="str">
        <f>IF(OR($A4836="",$C4836="",$D4836="",$E4836="",$H4836=""),"",SUMIFS(DATA_GOC!$H:$H,DATA_GOC!$A:$A,"BOM",DATA_GOC!$D:$D,$H4836,DATA_GOC!$E:$E,$C4836,DATA_GOC!$F:$F,"Xuất nội bộ từ téc",DATA_GOC!$B:$B,"&gt;="&amp;$D4836,DATA_GOC!$B:$B,"&lt;="&amp;$E4836))</f>
        <v/>
      </c>
      <c r="J4836" s="59">
        <f t="shared" si="28"/>
        <v>0</v>
      </c>
      <c r="K4836" s="59">
        <f t="shared" si="29"/>
        <v>0</v>
      </c>
      <c r="L4836" s="59">
        <f t="shared" si="30"/>
        <v>0</v>
      </c>
      <c r="M4836" s="59">
        <f t="shared" si="31"/>
        <v>0</v>
      </c>
    </row>
    <row r="4837" ht="15.0" hidden="1" customHeight="1">
      <c r="A4837" s="59">
        <f t="shared" si="20"/>
        <v>77</v>
      </c>
      <c r="B4837" s="59" t="str">
        <f t="shared" si="21"/>
        <v/>
      </c>
      <c r="C4837" s="59" t="str">
        <f t="shared" si="22"/>
        <v/>
      </c>
      <c r="D4837" s="45" t="str">
        <f t="shared" si="23"/>
        <v/>
      </c>
      <c r="E4837" s="45" t="str">
        <f t="shared" si="24"/>
        <v/>
      </c>
      <c r="F4837" s="59" t="str">
        <f t="shared" si="25"/>
        <v/>
      </c>
      <c r="G4837" s="59" t="str">
        <f t="shared" si="26"/>
        <v/>
      </c>
      <c r="H4837" s="59" t="str">
        <f t="shared" si="27"/>
        <v>29E17539</v>
      </c>
      <c r="I4837" s="59" t="str">
        <f>IF(OR($A4837="",$C4837="",$D4837="",$E4837="",$H4837=""),"",SUMIFS(DATA_GOC!$H:$H,DATA_GOC!$A:$A,"BOM",DATA_GOC!$D:$D,$H4837,DATA_GOC!$E:$E,$C4837,DATA_GOC!$F:$F,"Xuất nội bộ từ téc",DATA_GOC!$B:$B,"&gt;="&amp;$D4837,DATA_GOC!$B:$B,"&lt;="&amp;$E4837))</f>
        <v/>
      </c>
      <c r="J4837" s="59">
        <f t="shared" si="28"/>
        <v>0</v>
      </c>
      <c r="K4837" s="59">
        <f t="shared" si="29"/>
        <v>0</v>
      </c>
      <c r="L4837" s="59">
        <f t="shared" si="30"/>
        <v>0</v>
      </c>
      <c r="M4837" s="59">
        <f t="shared" si="31"/>
        <v>0</v>
      </c>
    </row>
    <row r="4838" ht="15.0" hidden="1" customHeight="1">
      <c r="A4838" s="59">
        <f t="shared" si="20"/>
        <v>77</v>
      </c>
      <c r="B4838" s="59" t="str">
        <f t="shared" si="21"/>
        <v/>
      </c>
      <c r="C4838" s="59" t="str">
        <f t="shared" si="22"/>
        <v/>
      </c>
      <c r="D4838" s="45" t="str">
        <f t="shared" si="23"/>
        <v/>
      </c>
      <c r="E4838" s="45" t="str">
        <f t="shared" si="24"/>
        <v/>
      </c>
      <c r="F4838" s="59" t="str">
        <f t="shared" si="25"/>
        <v/>
      </c>
      <c r="G4838" s="59" t="str">
        <f t="shared" si="26"/>
        <v/>
      </c>
      <c r="H4838" s="59" t="str">
        <f t="shared" si="27"/>
        <v>29E18160</v>
      </c>
      <c r="I4838" s="59" t="str">
        <f>IF(OR($A4838="",$C4838="",$D4838="",$E4838="",$H4838=""),"",SUMIFS(DATA_GOC!$H:$H,DATA_GOC!$A:$A,"BOM",DATA_GOC!$D:$D,$H4838,DATA_GOC!$E:$E,$C4838,DATA_GOC!$F:$F,"Xuất nội bộ từ téc",DATA_GOC!$B:$B,"&gt;="&amp;$D4838,DATA_GOC!$B:$B,"&lt;="&amp;$E4838))</f>
        <v/>
      </c>
      <c r="J4838" s="59">
        <f t="shared" si="28"/>
        <v>0</v>
      </c>
      <c r="K4838" s="59">
        <f t="shared" si="29"/>
        <v>0</v>
      </c>
      <c r="L4838" s="59">
        <f t="shared" si="30"/>
        <v>0</v>
      </c>
      <c r="M4838" s="59">
        <f t="shared" si="31"/>
        <v>0</v>
      </c>
    </row>
    <row r="4839" ht="15.0" hidden="1" customHeight="1">
      <c r="A4839" s="59">
        <f t="shared" si="20"/>
        <v>77</v>
      </c>
      <c r="B4839" s="59" t="str">
        <f t="shared" si="21"/>
        <v/>
      </c>
      <c r="C4839" s="59" t="str">
        <f t="shared" si="22"/>
        <v/>
      </c>
      <c r="D4839" s="45" t="str">
        <f t="shared" si="23"/>
        <v/>
      </c>
      <c r="E4839" s="45" t="str">
        <f t="shared" si="24"/>
        <v/>
      </c>
      <c r="F4839" s="59" t="str">
        <f t="shared" si="25"/>
        <v/>
      </c>
      <c r="G4839" s="59" t="str">
        <f t="shared" si="26"/>
        <v/>
      </c>
      <c r="H4839" s="59" t="str">
        <f t="shared" si="27"/>
        <v>Công trình Asphalt</v>
      </c>
      <c r="I4839" s="59" t="str">
        <f>IF(OR($A4839="",$C4839="",$D4839="",$E4839="",$H4839=""),"",SUMIFS(DATA_GOC!$H:$H,DATA_GOC!$A:$A,"BOM",DATA_GOC!$D:$D,$H4839,DATA_GOC!$E:$E,$C4839,DATA_GOC!$F:$F,"Xuất nội bộ từ téc",DATA_GOC!$B:$B,"&gt;="&amp;$D4839,DATA_GOC!$B:$B,"&lt;="&amp;$E4839))</f>
        <v/>
      </c>
      <c r="J4839" s="59">
        <f t="shared" si="28"/>
        <v>0</v>
      </c>
      <c r="K4839" s="59">
        <f t="shared" si="29"/>
        <v>0</v>
      </c>
      <c r="L4839" s="59">
        <f t="shared" si="30"/>
        <v>0</v>
      </c>
      <c r="M4839" s="59">
        <f t="shared" si="31"/>
        <v>0</v>
      </c>
    </row>
    <row r="4840" ht="15.0" hidden="1" customHeight="1">
      <c r="A4840" s="59">
        <f t="shared" si="20"/>
        <v>77</v>
      </c>
      <c r="B4840" s="59" t="str">
        <f t="shared" si="21"/>
        <v/>
      </c>
      <c r="C4840" s="59" t="str">
        <f t="shared" si="22"/>
        <v/>
      </c>
      <c r="D4840" s="45" t="str">
        <f t="shared" si="23"/>
        <v/>
      </c>
      <c r="E4840" s="45" t="str">
        <f t="shared" si="24"/>
        <v/>
      </c>
      <c r="F4840" s="59" t="str">
        <f t="shared" si="25"/>
        <v/>
      </c>
      <c r="G4840" s="59" t="str">
        <f t="shared" si="26"/>
        <v/>
      </c>
      <c r="H4840" s="59" t="str">
        <f t="shared" si="27"/>
        <v>LG53F</v>
      </c>
      <c r="I4840" s="59" t="str">
        <f>IF(OR($A4840="",$C4840="",$D4840="",$E4840="",$H4840=""),"",SUMIFS(DATA_GOC!$H:$H,DATA_GOC!$A:$A,"BOM",DATA_GOC!$D:$D,$H4840,DATA_GOC!$E:$E,$C4840,DATA_GOC!$F:$F,"Xuất nội bộ từ téc",DATA_GOC!$B:$B,"&gt;="&amp;$D4840,DATA_GOC!$B:$B,"&lt;="&amp;$E4840))</f>
        <v/>
      </c>
      <c r="J4840" s="59">
        <f t="shared" si="28"/>
        <v>0</v>
      </c>
      <c r="K4840" s="59">
        <f t="shared" si="29"/>
        <v>0</v>
      </c>
      <c r="L4840" s="59">
        <f t="shared" si="30"/>
        <v>0</v>
      </c>
      <c r="M4840" s="59">
        <f t="shared" si="31"/>
        <v>0</v>
      </c>
    </row>
    <row r="4841" ht="15.0" hidden="1" customHeight="1">
      <c r="A4841" s="59">
        <f t="shared" si="20"/>
        <v>77</v>
      </c>
      <c r="B4841" s="59" t="str">
        <f t="shared" si="21"/>
        <v/>
      </c>
      <c r="C4841" s="59" t="str">
        <f t="shared" si="22"/>
        <v/>
      </c>
      <c r="D4841" s="45" t="str">
        <f t="shared" si="23"/>
        <v/>
      </c>
      <c r="E4841" s="45" t="str">
        <f t="shared" si="24"/>
        <v/>
      </c>
      <c r="F4841" s="59" t="str">
        <f t="shared" si="25"/>
        <v/>
      </c>
      <c r="G4841" s="59" t="str">
        <f t="shared" si="26"/>
        <v/>
      </c>
      <c r="H4841" s="59" t="str">
        <f t="shared" si="27"/>
        <v>Máy phát điện</v>
      </c>
      <c r="I4841" s="59" t="str">
        <f>IF(OR($A4841="",$C4841="",$D4841="",$E4841="",$H4841=""),"",SUMIFS(DATA_GOC!$H:$H,DATA_GOC!$A:$A,"BOM",DATA_GOC!$D:$D,$H4841,DATA_GOC!$E:$E,$C4841,DATA_GOC!$F:$F,"Xuất nội bộ từ téc",DATA_GOC!$B:$B,"&gt;="&amp;$D4841,DATA_GOC!$B:$B,"&lt;="&amp;$E4841))</f>
        <v/>
      </c>
      <c r="J4841" s="59">
        <f t="shared" si="28"/>
        <v>0</v>
      </c>
      <c r="K4841" s="59">
        <f t="shared" si="29"/>
        <v>0</v>
      </c>
      <c r="L4841" s="59">
        <f t="shared" si="30"/>
        <v>0</v>
      </c>
      <c r="M4841" s="59">
        <f t="shared" si="31"/>
        <v>0</v>
      </c>
    </row>
    <row r="4842" ht="15.0" hidden="1" customHeight="1">
      <c r="A4842" s="59">
        <f t="shared" si="20"/>
        <v>77</v>
      </c>
      <c r="B4842" s="59" t="str">
        <f t="shared" si="21"/>
        <v/>
      </c>
      <c r="C4842" s="59" t="str">
        <f t="shared" si="22"/>
        <v/>
      </c>
      <c r="D4842" s="45" t="str">
        <f t="shared" si="23"/>
        <v/>
      </c>
      <c r="E4842" s="45" t="str">
        <f t="shared" si="24"/>
        <v/>
      </c>
      <c r="F4842" s="59" t="str">
        <f t="shared" si="25"/>
        <v/>
      </c>
      <c r="G4842" s="59" t="str">
        <f t="shared" si="26"/>
        <v/>
      </c>
      <c r="H4842" s="59" t="str">
        <f t="shared" si="27"/>
        <v>Máy rải thảm</v>
      </c>
      <c r="I4842" s="59" t="str">
        <f>IF(OR($A4842="",$C4842="",$D4842="",$E4842="",$H4842=""),"",SUMIFS(DATA_GOC!$H:$H,DATA_GOC!$A:$A,"BOM",DATA_GOC!$D:$D,$H4842,DATA_GOC!$E:$E,$C4842,DATA_GOC!$F:$F,"Xuất nội bộ từ téc",DATA_GOC!$B:$B,"&gt;="&amp;$D4842,DATA_GOC!$B:$B,"&lt;="&amp;$E4842))</f>
        <v/>
      </c>
      <c r="J4842" s="59">
        <f t="shared" si="28"/>
        <v>0</v>
      </c>
      <c r="K4842" s="59">
        <f t="shared" si="29"/>
        <v>0</v>
      </c>
      <c r="L4842" s="59">
        <f t="shared" si="30"/>
        <v>0</v>
      </c>
      <c r="M4842" s="59">
        <f t="shared" si="31"/>
        <v>0</v>
      </c>
    </row>
    <row r="4843" ht="15.0" hidden="1" customHeight="1">
      <c r="A4843" s="59">
        <f t="shared" si="20"/>
        <v>77</v>
      </c>
      <c r="B4843" s="59" t="str">
        <f t="shared" si="21"/>
        <v/>
      </c>
      <c r="C4843" s="59" t="str">
        <f t="shared" si="22"/>
        <v/>
      </c>
      <c r="D4843" s="45" t="str">
        <f t="shared" si="23"/>
        <v/>
      </c>
      <c r="E4843" s="45" t="str">
        <f t="shared" si="24"/>
        <v/>
      </c>
      <c r="F4843" s="59" t="str">
        <f t="shared" si="25"/>
        <v/>
      </c>
      <c r="G4843" s="59" t="str">
        <f t="shared" si="26"/>
        <v/>
      </c>
      <c r="H4843" s="59" t="str">
        <f t="shared" si="27"/>
        <v>Xúc Đào</v>
      </c>
      <c r="I4843" s="59" t="str">
        <f>IF(OR($A4843="",$C4843="",$D4843="",$E4843="",$H4843=""),"",SUMIFS(DATA_GOC!$H:$H,DATA_GOC!$A:$A,"BOM",DATA_GOC!$D:$D,$H4843,DATA_GOC!$E:$E,$C4843,DATA_GOC!$F:$F,"Xuất nội bộ từ téc",DATA_GOC!$B:$B,"&gt;="&amp;$D4843,DATA_GOC!$B:$B,"&lt;="&amp;$E4843))</f>
        <v/>
      </c>
      <c r="J4843" s="59">
        <f t="shared" si="28"/>
        <v>0</v>
      </c>
      <c r="K4843" s="59">
        <f t="shared" si="29"/>
        <v>0</v>
      </c>
      <c r="L4843" s="59">
        <f t="shared" si="30"/>
        <v>0</v>
      </c>
      <c r="M4843" s="59">
        <f t="shared" si="31"/>
        <v>0</v>
      </c>
    </row>
    <row r="4844" ht="15.0" hidden="1" customHeight="1">
      <c r="A4844" s="59">
        <f t="shared" si="20"/>
        <v>77</v>
      </c>
      <c r="B4844" s="59" t="str">
        <f t="shared" si="21"/>
        <v/>
      </c>
      <c r="C4844" s="59" t="str">
        <f t="shared" si="22"/>
        <v/>
      </c>
      <c r="D4844" s="45" t="str">
        <f t="shared" si="23"/>
        <v/>
      </c>
      <c r="E4844" s="45" t="str">
        <f t="shared" si="24"/>
        <v/>
      </c>
      <c r="F4844" s="59" t="str">
        <f t="shared" si="25"/>
        <v/>
      </c>
      <c r="G4844" s="59" t="str">
        <f t="shared" si="26"/>
        <v/>
      </c>
      <c r="H4844" s="59" t="str">
        <f t="shared" si="27"/>
        <v>Xúclật asphalt</v>
      </c>
      <c r="I4844" s="59" t="str">
        <f>IF(OR($A4844="",$C4844="",$D4844="",$E4844="",$H4844=""),"",SUMIFS(DATA_GOC!$H:$H,DATA_GOC!$A:$A,"BOM",DATA_GOC!$D:$D,$H4844,DATA_GOC!$E:$E,$C4844,DATA_GOC!$F:$F,"Xuất nội bộ từ téc",DATA_GOC!$B:$B,"&gt;="&amp;$D4844,DATA_GOC!$B:$B,"&lt;="&amp;$E4844))</f>
        <v/>
      </c>
      <c r="J4844" s="59">
        <f t="shared" si="28"/>
        <v>0</v>
      </c>
      <c r="K4844" s="59">
        <f t="shared" si="29"/>
        <v>0</v>
      </c>
      <c r="L4844" s="59">
        <f t="shared" si="30"/>
        <v>0</v>
      </c>
      <c r="M4844" s="59">
        <f t="shared" si="31"/>
        <v>0</v>
      </c>
    </row>
    <row r="4845" ht="15.0" hidden="1" customHeight="1">
      <c r="A4845" s="59">
        <f t="shared" si="20"/>
        <v>77</v>
      </c>
      <c r="B4845" s="59" t="str">
        <f t="shared" si="21"/>
        <v/>
      </c>
      <c r="C4845" s="59" t="str">
        <f t="shared" si="22"/>
        <v/>
      </c>
      <c r="D4845" s="45" t="str">
        <f t="shared" si="23"/>
        <v/>
      </c>
      <c r="E4845" s="45" t="str">
        <f t="shared" si="24"/>
        <v/>
      </c>
      <c r="F4845" s="59" t="str">
        <f t="shared" si="25"/>
        <v/>
      </c>
      <c r="G4845" s="59" t="str">
        <f t="shared" si="26"/>
        <v/>
      </c>
      <c r="H4845" s="59" t="str">
        <f t="shared" si="27"/>
        <v>Xúclật855H</v>
      </c>
      <c r="I4845" s="59" t="str">
        <f>IF(OR($A4845="",$C4845="",$D4845="",$E4845="",$H4845=""),"",SUMIFS(DATA_GOC!$H:$H,DATA_GOC!$A:$A,"BOM",DATA_GOC!$D:$D,$H4845,DATA_GOC!$E:$E,$C4845,DATA_GOC!$F:$F,"Xuất nội bộ từ téc",DATA_GOC!$B:$B,"&gt;="&amp;$D4845,DATA_GOC!$B:$B,"&lt;="&amp;$E4845))</f>
        <v/>
      </c>
      <c r="J4845" s="59">
        <f t="shared" si="28"/>
        <v>0</v>
      </c>
      <c r="K4845" s="59">
        <f t="shared" si="29"/>
        <v>0</v>
      </c>
      <c r="L4845" s="59">
        <f t="shared" si="30"/>
        <v>0</v>
      </c>
      <c r="M4845" s="59">
        <f t="shared" si="31"/>
        <v>0</v>
      </c>
    </row>
    <row r="4846" ht="15.0" hidden="1" customHeight="1">
      <c r="A4846" s="59">
        <f t="shared" si="20"/>
        <v>77</v>
      </c>
      <c r="B4846" s="59" t="str">
        <f t="shared" si="21"/>
        <v/>
      </c>
      <c r="C4846" s="59" t="str">
        <f t="shared" si="22"/>
        <v/>
      </c>
      <c r="D4846" s="45" t="str">
        <f t="shared" si="23"/>
        <v/>
      </c>
      <c r="E4846" s="45" t="str">
        <f t="shared" si="24"/>
        <v/>
      </c>
      <c r="F4846" s="59" t="str">
        <f t="shared" si="25"/>
        <v/>
      </c>
      <c r="G4846" s="59" t="str">
        <f t="shared" si="26"/>
        <v/>
      </c>
      <c r="H4846" s="59" t="str">
        <f t="shared" si="27"/>
        <v>Xúclật855N</v>
      </c>
      <c r="I4846" s="59" t="str">
        <f>IF(OR($A4846="",$C4846="",$D4846="",$E4846="",$H4846=""),"",SUMIFS(DATA_GOC!$H:$H,DATA_GOC!$A:$A,"BOM",DATA_GOC!$D:$D,$H4846,DATA_GOC!$E:$E,$C4846,DATA_GOC!$F:$F,"Xuất nội bộ từ téc",DATA_GOC!$B:$B,"&gt;="&amp;$D4846,DATA_GOC!$B:$B,"&lt;="&amp;$E4846))</f>
        <v/>
      </c>
      <c r="J4846" s="59">
        <f t="shared" si="28"/>
        <v>0</v>
      </c>
      <c r="K4846" s="59">
        <f t="shared" si="29"/>
        <v>0</v>
      </c>
      <c r="L4846" s="59">
        <f t="shared" si="30"/>
        <v>0</v>
      </c>
      <c r="M4846" s="59">
        <f t="shared" si="31"/>
        <v>0</v>
      </c>
    </row>
    <row r="4847" ht="15.0" hidden="1" customHeight="1">
      <c r="A4847" s="59">
        <f t="shared" si="20"/>
        <v>77</v>
      </c>
      <c r="B4847" s="59" t="str">
        <f t="shared" si="21"/>
        <v/>
      </c>
      <c r="C4847" s="59" t="str">
        <f t="shared" si="22"/>
        <v/>
      </c>
      <c r="D4847" s="45" t="str">
        <f t="shared" si="23"/>
        <v/>
      </c>
      <c r="E4847" s="45" t="str">
        <f t="shared" si="24"/>
        <v/>
      </c>
      <c r="F4847" s="59" t="str">
        <f t="shared" si="25"/>
        <v/>
      </c>
      <c r="G4847" s="59" t="str">
        <f t="shared" si="26"/>
        <v/>
      </c>
      <c r="H4847" s="59" t="str">
        <f t="shared" si="27"/>
        <v>Cát nghiền</v>
      </c>
      <c r="I4847" s="59" t="str">
        <f>IF(OR($A4847="",$C4847="",$D4847="",$E4847="",$H4847=""),"",SUMIFS(DATA_GOC!$H:$H,DATA_GOC!$A:$A,"BOM",DATA_GOC!$D:$D,$H4847,DATA_GOC!$E:$E,$C4847,DATA_GOC!$F:$F,"Xuất nội bộ từ téc",DATA_GOC!$B:$B,"&gt;="&amp;$D4847,DATA_GOC!$B:$B,"&lt;="&amp;$E4847))</f>
        <v/>
      </c>
      <c r="J4847" s="59">
        <f t="shared" si="28"/>
        <v>0</v>
      </c>
      <c r="K4847" s="59">
        <f t="shared" si="29"/>
        <v>0</v>
      </c>
      <c r="L4847" s="59">
        <f t="shared" si="30"/>
        <v>0</v>
      </c>
      <c r="M4847" s="59">
        <f t="shared" si="31"/>
        <v>0</v>
      </c>
    </row>
    <row r="4848" ht="15.0" hidden="1" customHeight="1">
      <c r="A4848" s="59">
        <f t="shared" si="20"/>
        <v>77</v>
      </c>
      <c r="B4848" s="59" t="str">
        <f t="shared" si="21"/>
        <v/>
      </c>
      <c r="C4848" s="59" t="str">
        <f t="shared" si="22"/>
        <v/>
      </c>
      <c r="D4848" s="45" t="str">
        <f t="shared" si="23"/>
        <v/>
      </c>
      <c r="E4848" s="45" t="str">
        <f t="shared" si="24"/>
        <v/>
      </c>
      <c r="F4848" s="59" t="str">
        <f t="shared" si="25"/>
        <v/>
      </c>
      <c r="G4848" s="59" t="str">
        <f t="shared" si="26"/>
        <v/>
      </c>
      <c r="H4848" s="59" t="str">
        <f t="shared" si="27"/>
        <v>28C02973</v>
      </c>
      <c r="I4848" s="59" t="str">
        <f>IF(OR($A4848="",$C4848="",$D4848="",$E4848="",$H4848=""),"",SUMIFS(DATA_GOC!$H:$H,DATA_GOC!$A:$A,"BOM",DATA_GOC!$D:$D,$H4848,DATA_GOC!$E:$E,$C4848,DATA_GOC!$F:$F,"Xuất nội bộ từ téc",DATA_GOC!$B:$B,"&gt;="&amp;$D4848,DATA_GOC!$B:$B,"&lt;="&amp;$E4848))</f>
        <v/>
      </c>
      <c r="J4848" s="59">
        <f t="shared" si="28"/>
        <v>0</v>
      </c>
      <c r="K4848" s="59">
        <f t="shared" si="29"/>
        <v>0</v>
      </c>
      <c r="L4848" s="59">
        <f t="shared" si="30"/>
        <v>0</v>
      </c>
      <c r="M4848" s="59">
        <f t="shared" si="31"/>
        <v>0</v>
      </c>
    </row>
    <row r="4849" ht="15.0" hidden="1" customHeight="1">
      <c r="A4849" s="59">
        <f t="shared" si="20"/>
        <v>77</v>
      </c>
      <c r="B4849" s="59" t="str">
        <f t="shared" si="21"/>
        <v/>
      </c>
      <c r="C4849" s="59" t="str">
        <f t="shared" si="22"/>
        <v/>
      </c>
      <c r="D4849" s="45" t="str">
        <f t="shared" si="23"/>
        <v/>
      </c>
      <c r="E4849" s="45" t="str">
        <f t="shared" si="24"/>
        <v/>
      </c>
      <c r="F4849" s="59" t="str">
        <f t="shared" si="25"/>
        <v/>
      </c>
      <c r="G4849" s="59" t="str">
        <f t="shared" si="26"/>
        <v/>
      </c>
      <c r="H4849" s="59" t="str">
        <f t="shared" si="27"/>
        <v>28C03044</v>
      </c>
      <c r="I4849" s="59" t="str">
        <f>IF(OR($A4849="",$C4849="",$D4849="",$E4849="",$H4849=""),"",SUMIFS(DATA_GOC!$H:$H,DATA_GOC!$A:$A,"BOM",DATA_GOC!$D:$D,$H4849,DATA_GOC!$E:$E,$C4849,DATA_GOC!$F:$F,"Xuất nội bộ từ téc",DATA_GOC!$B:$B,"&gt;="&amp;$D4849,DATA_GOC!$B:$B,"&lt;="&amp;$E4849))</f>
        <v/>
      </c>
      <c r="J4849" s="59">
        <f t="shared" si="28"/>
        <v>0</v>
      </c>
      <c r="K4849" s="59">
        <f t="shared" si="29"/>
        <v>0</v>
      </c>
      <c r="L4849" s="59">
        <f t="shared" si="30"/>
        <v>0</v>
      </c>
      <c r="M4849" s="59">
        <f t="shared" si="31"/>
        <v>0</v>
      </c>
    </row>
    <row r="4850" ht="15.0" hidden="1" customHeight="1">
      <c r="A4850" s="59">
        <f t="shared" si="20"/>
        <v>77</v>
      </c>
      <c r="B4850" s="59" t="str">
        <f t="shared" si="21"/>
        <v/>
      </c>
      <c r="C4850" s="59" t="str">
        <f t="shared" si="22"/>
        <v/>
      </c>
      <c r="D4850" s="45" t="str">
        <f t="shared" si="23"/>
        <v/>
      </c>
      <c r="E4850" s="45" t="str">
        <f t="shared" si="24"/>
        <v/>
      </c>
      <c r="F4850" s="59" t="str">
        <f t="shared" si="25"/>
        <v/>
      </c>
      <c r="G4850" s="59" t="str">
        <f t="shared" si="26"/>
        <v/>
      </c>
      <c r="H4850" s="59" t="str">
        <f t="shared" si="27"/>
        <v>Máy lu lốp</v>
      </c>
      <c r="I4850" s="59" t="str">
        <f>IF(OR($A4850="",$C4850="",$D4850="",$E4850="",$H4850=""),"",SUMIFS(DATA_GOC!$H:$H,DATA_GOC!$A:$A,"BOM",DATA_GOC!$D:$D,$H4850,DATA_GOC!$E:$E,$C4850,DATA_GOC!$F:$F,"Xuất nội bộ từ téc",DATA_GOC!$B:$B,"&gt;="&amp;$D4850,DATA_GOC!$B:$B,"&lt;="&amp;$E4850))</f>
        <v/>
      </c>
      <c r="J4850" s="59">
        <f t="shared" si="28"/>
        <v>0</v>
      </c>
      <c r="K4850" s="59">
        <f t="shared" si="29"/>
        <v>0</v>
      </c>
      <c r="L4850" s="59">
        <f t="shared" si="30"/>
        <v>0</v>
      </c>
      <c r="M4850" s="59">
        <f t="shared" si="31"/>
        <v>0</v>
      </c>
    </row>
    <row r="4851" ht="15.0" hidden="1" customHeight="1">
      <c r="A4851" s="59">
        <f t="shared" si="20"/>
        <v>77</v>
      </c>
      <c r="B4851" s="59" t="str">
        <f t="shared" si="21"/>
        <v/>
      </c>
      <c r="C4851" s="59" t="str">
        <f t="shared" si="22"/>
        <v/>
      </c>
      <c r="D4851" s="45" t="str">
        <f t="shared" si="23"/>
        <v/>
      </c>
      <c r="E4851" s="45" t="str">
        <f t="shared" si="24"/>
        <v/>
      </c>
      <c r="F4851" s="59" t="str">
        <f t="shared" si="25"/>
        <v/>
      </c>
      <c r="G4851" s="59" t="str">
        <f t="shared" si="26"/>
        <v/>
      </c>
      <c r="H4851" s="59" t="str">
        <f t="shared" si="27"/>
        <v>Xe 600148</v>
      </c>
      <c r="I4851" s="59" t="str">
        <f>IF(OR($A4851="",$C4851="",$D4851="",$E4851="",$H4851=""),"",SUMIFS(DATA_GOC!$H:$H,DATA_GOC!$A:$A,"BOM",DATA_GOC!$D:$D,$H4851,DATA_GOC!$E:$E,$C4851,DATA_GOC!$F:$F,"Xuất nội bộ từ téc",DATA_GOC!$B:$B,"&gt;="&amp;$D4851,DATA_GOC!$B:$B,"&lt;="&amp;$E4851))</f>
        <v/>
      </c>
      <c r="J4851" s="59">
        <f t="shared" si="28"/>
        <v>0</v>
      </c>
      <c r="K4851" s="59">
        <f t="shared" si="29"/>
        <v>0</v>
      </c>
      <c r="L4851" s="59">
        <f t="shared" si="30"/>
        <v>0</v>
      </c>
      <c r="M4851" s="59">
        <f t="shared" si="31"/>
        <v>0</v>
      </c>
    </row>
    <row r="4852" ht="15.0" hidden="1" customHeight="1">
      <c r="A4852" s="59">
        <f t="shared" si="20"/>
        <v>77</v>
      </c>
      <c r="B4852" s="59" t="str">
        <f t="shared" si="21"/>
        <v/>
      </c>
      <c r="C4852" s="59" t="str">
        <f t="shared" si="22"/>
        <v/>
      </c>
      <c r="D4852" s="45" t="str">
        <f t="shared" si="23"/>
        <v/>
      </c>
      <c r="E4852" s="45" t="str">
        <f t="shared" si="24"/>
        <v/>
      </c>
      <c r="F4852" s="59" t="str">
        <f t="shared" si="25"/>
        <v/>
      </c>
      <c r="G4852" s="59" t="str">
        <f t="shared" si="26"/>
        <v/>
      </c>
      <c r="H4852" s="59" t="str">
        <f t="shared" si="27"/>
        <v>Xe ben mới</v>
      </c>
      <c r="I4852" s="59" t="str">
        <f>IF(OR($A4852="",$C4852="",$D4852="",$E4852="",$H4852=""),"",SUMIFS(DATA_GOC!$H:$H,DATA_GOC!$A:$A,"BOM",DATA_GOC!$D:$D,$H4852,DATA_GOC!$E:$E,$C4852,DATA_GOC!$F:$F,"Xuất nội bộ từ téc",DATA_GOC!$B:$B,"&gt;="&amp;$D4852,DATA_GOC!$B:$B,"&lt;="&amp;$E4852))</f>
        <v/>
      </c>
      <c r="J4852" s="59">
        <f t="shared" si="28"/>
        <v>0</v>
      </c>
      <c r="K4852" s="59">
        <f t="shared" si="29"/>
        <v>0</v>
      </c>
      <c r="L4852" s="59">
        <f t="shared" si="30"/>
        <v>0</v>
      </c>
      <c r="M4852" s="59">
        <f t="shared" si="31"/>
        <v>0</v>
      </c>
    </row>
    <row r="4853" ht="15.0" hidden="1" customHeight="1">
      <c r="A4853" s="59">
        <f t="shared" si="20"/>
        <v>78</v>
      </c>
      <c r="B4853" s="59" t="str">
        <f t="shared" si="21"/>
        <v/>
      </c>
      <c r="C4853" s="59" t="str">
        <f t="shared" si="22"/>
        <v/>
      </c>
      <c r="D4853" s="45" t="str">
        <f t="shared" si="23"/>
        <v/>
      </c>
      <c r="E4853" s="45" t="str">
        <f t="shared" si="24"/>
        <v/>
      </c>
      <c r="F4853" s="59" t="str">
        <f t="shared" si="25"/>
        <v/>
      </c>
      <c r="G4853" s="59" t="str">
        <f t="shared" si="26"/>
        <v/>
      </c>
      <c r="H4853" s="59" t="str">
        <f t="shared" si="27"/>
        <v>19H09482</v>
      </c>
      <c r="I4853" s="59" t="str">
        <f>IF(OR($A4853="",$C4853="",$D4853="",$E4853="",$H4853=""),"",SUMIFS(DATA_GOC!$H:$H,DATA_GOC!$A:$A,"BOM",DATA_GOC!$D:$D,$H4853,DATA_GOC!$E:$E,$C4853,DATA_GOC!$F:$F,"Xuất nội bộ từ téc",DATA_GOC!$B:$B,"&gt;="&amp;$D4853,DATA_GOC!$B:$B,"&lt;="&amp;$E4853))</f>
        <v/>
      </c>
      <c r="J4853" s="59">
        <f t="shared" si="28"/>
        <v>0</v>
      </c>
      <c r="K4853" s="59">
        <f t="shared" si="29"/>
        <v>0</v>
      </c>
      <c r="L4853" s="59">
        <f t="shared" si="30"/>
        <v>0</v>
      </c>
      <c r="M4853" s="59">
        <f t="shared" si="31"/>
        <v>0</v>
      </c>
    </row>
    <row r="4854" ht="15.0" hidden="1" customHeight="1">
      <c r="A4854" s="59">
        <f t="shared" si="20"/>
        <v>78</v>
      </c>
      <c r="B4854" s="59" t="str">
        <f t="shared" si="21"/>
        <v/>
      </c>
      <c r="C4854" s="59" t="str">
        <f t="shared" si="22"/>
        <v/>
      </c>
      <c r="D4854" s="45" t="str">
        <f t="shared" si="23"/>
        <v/>
      </c>
      <c r="E4854" s="45" t="str">
        <f t="shared" si="24"/>
        <v/>
      </c>
      <c r="F4854" s="59" t="str">
        <f t="shared" si="25"/>
        <v/>
      </c>
      <c r="G4854" s="59" t="str">
        <f t="shared" si="26"/>
        <v/>
      </c>
      <c r="H4854" s="59" t="str">
        <f t="shared" si="27"/>
        <v>28A30696</v>
      </c>
      <c r="I4854" s="59" t="str">
        <f>IF(OR($A4854="",$C4854="",$D4854="",$E4854="",$H4854=""),"",SUMIFS(DATA_GOC!$H:$H,DATA_GOC!$A:$A,"BOM",DATA_GOC!$D:$D,$H4854,DATA_GOC!$E:$E,$C4854,DATA_GOC!$F:$F,"Xuất nội bộ từ téc",DATA_GOC!$B:$B,"&gt;="&amp;$D4854,DATA_GOC!$B:$B,"&lt;="&amp;$E4854))</f>
        <v/>
      </c>
      <c r="J4854" s="59">
        <f t="shared" si="28"/>
        <v>0</v>
      </c>
      <c r="K4854" s="59">
        <f t="shared" si="29"/>
        <v>0</v>
      </c>
      <c r="L4854" s="59">
        <f t="shared" si="30"/>
        <v>0</v>
      </c>
      <c r="M4854" s="59">
        <f t="shared" si="31"/>
        <v>0</v>
      </c>
    </row>
    <row r="4855" ht="15.0" hidden="1" customHeight="1">
      <c r="A4855" s="59">
        <f t="shared" si="20"/>
        <v>78</v>
      </c>
      <c r="B4855" s="59" t="str">
        <f t="shared" si="21"/>
        <v/>
      </c>
      <c r="C4855" s="59" t="str">
        <f t="shared" si="22"/>
        <v/>
      </c>
      <c r="D4855" s="45" t="str">
        <f t="shared" si="23"/>
        <v/>
      </c>
      <c r="E4855" s="45" t="str">
        <f t="shared" si="24"/>
        <v/>
      </c>
      <c r="F4855" s="59" t="str">
        <f t="shared" si="25"/>
        <v/>
      </c>
      <c r="G4855" s="59" t="str">
        <f t="shared" si="26"/>
        <v/>
      </c>
      <c r="H4855" s="59" t="str">
        <f t="shared" si="27"/>
        <v>28C00462</v>
      </c>
      <c r="I4855" s="59" t="str">
        <f>IF(OR($A4855="",$C4855="",$D4855="",$E4855="",$H4855=""),"",SUMIFS(DATA_GOC!$H:$H,DATA_GOC!$A:$A,"BOM",DATA_GOC!$D:$D,$H4855,DATA_GOC!$E:$E,$C4855,DATA_GOC!$F:$F,"Xuất nội bộ từ téc",DATA_GOC!$B:$B,"&gt;="&amp;$D4855,DATA_GOC!$B:$B,"&lt;="&amp;$E4855))</f>
        <v/>
      </c>
      <c r="J4855" s="59">
        <f t="shared" si="28"/>
        <v>0</v>
      </c>
      <c r="K4855" s="59">
        <f t="shared" si="29"/>
        <v>0</v>
      </c>
      <c r="L4855" s="59">
        <f t="shared" si="30"/>
        <v>0</v>
      </c>
      <c r="M4855" s="59">
        <f t="shared" si="31"/>
        <v>0</v>
      </c>
    </row>
    <row r="4856" ht="15.0" hidden="1" customHeight="1">
      <c r="A4856" s="59">
        <f t="shared" si="20"/>
        <v>78</v>
      </c>
      <c r="B4856" s="59" t="str">
        <f t="shared" si="21"/>
        <v/>
      </c>
      <c r="C4856" s="59" t="str">
        <f t="shared" si="22"/>
        <v/>
      </c>
      <c r="D4856" s="45" t="str">
        <f t="shared" si="23"/>
        <v/>
      </c>
      <c r="E4856" s="45" t="str">
        <f t="shared" si="24"/>
        <v/>
      </c>
      <c r="F4856" s="59" t="str">
        <f t="shared" si="25"/>
        <v/>
      </c>
      <c r="G4856" s="59" t="str">
        <f t="shared" si="26"/>
        <v/>
      </c>
      <c r="H4856" s="59" t="str">
        <f t="shared" si="27"/>
        <v>28C01165</v>
      </c>
      <c r="I4856" s="59" t="str">
        <f>IF(OR($A4856="",$C4856="",$D4856="",$E4856="",$H4856=""),"",SUMIFS(DATA_GOC!$H:$H,DATA_GOC!$A:$A,"BOM",DATA_GOC!$D:$D,$H4856,DATA_GOC!$E:$E,$C4856,DATA_GOC!$F:$F,"Xuất nội bộ từ téc",DATA_GOC!$B:$B,"&gt;="&amp;$D4856,DATA_GOC!$B:$B,"&lt;="&amp;$E4856))</f>
        <v/>
      </c>
      <c r="J4856" s="59">
        <f t="shared" si="28"/>
        <v>0</v>
      </c>
      <c r="K4856" s="59">
        <f t="shared" si="29"/>
        <v>0</v>
      </c>
      <c r="L4856" s="59">
        <f t="shared" si="30"/>
        <v>0</v>
      </c>
      <c r="M4856" s="59">
        <f t="shared" si="31"/>
        <v>0</v>
      </c>
    </row>
    <row r="4857" ht="15.0" hidden="1" customHeight="1">
      <c r="A4857" s="59">
        <f t="shared" si="20"/>
        <v>78</v>
      </c>
      <c r="B4857" s="59" t="str">
        <f t="shared" si="21"/>
        <v/>
      </c>
      <c r="C4857" s="59" t="str">
        <f t="shared" si="22"/>
        <v/>
      </c>
      <c r="D4857" s="45" t="str">
        <f t="shared" si="23"/>
        <v/>
      </c>
      <c r="E4857" s="45" t="str">
        <f t="shared" si="24"/>
        <v/>
      </c>
      <c r="F4857" s="59" t="str">
        <f t="shared" si="25"/>
        <v/>
      </c>
      <c r="G4857" s="59" t="str">
        <f t="shared" si="26"/>
        <v/>
      </c>
      <c r="H4857" s="59" t="str">
        <f t="shared" si="27"/>
        <v>28C01406</v>
      </c>
      <c r="I4857" s="59" t="str">
        <f>IF(OR($A4857="",$C4857="",$D4857="",$E4857="",$H4857=""),"",SUMIFS(DATA_GOC!$H:$H,DATA_GOC!$A:$A,"BOM",DATA_GOC!$D:$D,$H4857,DATA_GOC!$E:$E,$C4857,DATA_GOC!$F:$F,"Xuất nội bộ từ téc",DATA_GOC!$B:$B,"&gt;="&amp;$D4857,DATA_GOC!$B:$B,"&lt;="&amp;$E4857))</f>
        <v/>
      </c>
      <c r="J4857" s="59">
        <f t="shared" si="28"/>
        <v>0</v>
      </c>
      <c r="K4857" s="59">
        <f t="shared" si="29"/>
        <v>0</v>
      </c>
      <c r="L4857" s="59">
        <f t="shared" si="30"/>
        <v>0</v>
      </c>
      <c r="M4857" s="59">
        <f t="shared" si="31"/>
        <v>0</v>
      </c>
    </row>
    <row r="4858" ht="15.0" hidden="1" customHeight="1">
      <c r="A4858" s="59">
        <f t="shared" si="20"/>
        <v>78</v>
      </c>
      <c r="B4858" s="59" t="str">
        <f t="shared" si="21"/>
        <v/>
      </c>
      <c r="C4858" s="59" t="str">
        <f t="shared" si="22"/>
        <v/>
      </c>
      <c r="D4858" s="45" t="str">
        <f t="shared" si="23"/>
        <v/>
      </c>
      <c r="E4858" s="45" t="str">
        <f t="shared" si="24"/>
        <v/>
      </c>
      <c r="F4858" s="59" t="str">
        <f t="shared" si="25"/>
        <v/>
      </c>
      <c r="G4858" s="59" t="str">
        <f t="shared" si="26"/>
        <v/>
      </c>
      <c r="H4858" s="59" t="str">
        <f t="shared" si="27"/>
        <v>28C01544</v>
      </c>
      <c r="I4858" s="59" t="str">
        <f>IF(OR($A4858="",$C4858="",$D4858="",$E4858="",$H4858=""),"",SUMIFS(DATA_GOC!$H:$H,DATA_GOC!$A:$A,"BOM",DATA_GOC!$D:$D,$H4858,DATA_GOC!$E:$E,$C4858,DATA_GOC!$F:$F,"Xuất nội bộ từ téc",DATA_GOC!$B:$B,"&gt;="&amp;$D4858,DATA_GOC!$B:$B,"&lt;="&amp;$E4858))</f>
        <v/>
      </c>
      <c r="J4858" s="59">
        <f t="shared" si="28"/>
        <v>0</v>
      </c>
      <c r="K4858" s="59">
        <f t="shared" si="29"/>
        <v>0</v>
      </c>
      <c r="L4858" s="59">
        <f t="shared" si="30"/>
        <v>0</v>
      </c>
      <c r="M4858" s="59">
        <f t="shared" si="31"/>
        <v>0</v>
      </c>
    </row>
    <row r="4859" ht="15.0" hidden="1" customHeight="1">
      <c r="A4859" s="59">
        <f t="shared" si="20"/>
        <v>78</v>
      </c>
      <c r="B4859" s="59" t="str">
        <f t="shared" si="21"/>
        <v/>
      </c>
      <c r="C4859" s="59" t="str">
        <f t="shared" si="22"/>
        <v/>
      </c>
      <c r="D4859" s="45" t="str">
        <f t="shared" si="23"/>
        <v/>
      </c>
      <c r="E4859" s="45" t="str">
        <f t="shared" si="24"/>
        <v/>
      </c>
      <c r="F4859" s="59" t="str">
        <f t="shared" si="25"/>
        <v/>
      </c>
      <c r="G4859" s="59" t="str">
        <f t="shared" si="26"/>
        <v/>
      </c>
      <c r="H4859" s="59" t="str">
        <f t="shared" si="27"/>
        <v>28C01622</v>
      </c>
      <c r="I4859" s="59" t="str">
        <f>IF(OR($A4859="",$C4859="",$D4859="",$E4859="",$H4859=""),"",SUMIFS(DATA_GOC!$H:$H,DATA_GOC!$A:$A,"BOM",DATA_GOC!$D:$D,$H4859,DATA_GOC!$E:$E,$C4859,DATA_GOC!$F:$F,"Xuất nội bộ từ téc",DATA_GOC!$B:$B,"&gt;="&amp;$D4859,DATA_GOC!$B:$B,"&lt;="&amp;$E4859))</f>
        <v/>
      </c>
      <c r="J4859" s="59">
        <f t="shared" si="28"/>
        <v>0</v>
      </c>
      <c r="K4859" s="59">
        <f t="shared" si="29"/>
        <v>0</v>
      </c>
      <c r="L4859" s="59">
        <f t="shared" si="30"/>
        <v>0</v>
      </c>
      <c r="M4859" s="59">
        <f t="shared" si="31"/>
        <v>0</v>
      </c>
    </row>
    <row r="4860" ht="15.0" hidden="1" customHeight="1">
      <c r="A4860" s="59">
        <f t="shared" si="20"/>
        <v>78</v>
      </c>
      <c r="B4860" s="59" t="str">
        <f t="shared" si="21"/>
        <v/>
      </c>
      <c r="C4860" s="59" t="str">
        <f t="shared" si="22"/>
        <v/>
      </c>
      <c r="D4860" s="45" t="str">
        <f t="shared" si="23"/>
        <v/>
      </c>
      <c r="E4860" s="45" t="str">
        <f t="shared" si="24"/>
        <v/>
      </c>
      <c r="F4860" s="59" t="str">
        <f t="shared" si="25"/>
        <v/>
      </c>
      <c r="G4860" s="59" t="str">
        <f t="shared" si="26"/>
        <v/>
      </c>
      <c r="H4860" s="59" t="str">
        <f t="shared" si="27"/>
        <v>28C01647</v>
      </c>
      <c r="I4860" s="59" t="str">
        <f>IF(OR($A4860="",$C4860="",$D4860="",$E4860="",$H4860=""),"",SUMIFS(DATA_GOC!$H:$H,DATA_GOC!$A:$A,"BOM",DATA_GOC!$D:$D,$H4860,DATA_GOC!$E:$E,$C4860,DATA_GOC!$F:$F,"Xuất nội bộ từ téc",DATA_GOC!$B:$B,"&gt;="&amp;$D4860,DATA_GOC!$B:$B,"&lt;="&amp;$E4860))</f>
        <v/>
      </c>
      <c r="J4860" s="59">
        <f t="shared" si="28"/>
        <v>0</v>
      </c>
      <c r="K4860" s="59">
        <f t="shared" si="29"/>
        <v>0</v>
      </c>
      <c r="L4860" s="59">
        <f t="shared" si="30"/>
        <v>0</v>
      </c>
      <c r="M4860" s="59">
        <f t="shared" si="31"/>
        <v>0</v>
      </c>
    </row>
    <row r="4861" ht="15.0" hidden="1" customHeight="1">
      <c r="A4861" s="59">
        <f t="shared" si="20"/>
        <v>78</v>
      </c>
      <c r="B4861" s="59" t="str">
        <f t="shared" si="21"/>
        <v/>
      </c>
      <c r="C4861" s="59" t="str">
        <f t="shared" si="22"/>
        <v/>
      </c>
      <c r="D4861" s="45" t="str">
        <f t="shared" si="23"/>
        <v/>
      </c>
      <c r="E4861" s="45" t="str">
        <f t="shared" si="24"/>
        <v/>
      </c>
      <c r="F4861" s="59" t="str">
        <f t="shared" si="25"/>
        <v/>
      </c>
      <c r="G4861" s="59" t="str">
        <f t="shared" si="26"/>
        <v/>
      </c>
      <c r="H4861" s="59" t="str">
        <f t="shared" si="27"/>
        <v>28C01731</v>
      </c>
      <c r="I4861" s="59" t="str">
        <f>IF(OR($A4861="",$C4861="",$D4861="",$E4861="",$H4861=""),"",SUMIFS(DATA_GOC!$H:$H,DATA_GOC!$A:$A,"BOM",DATA_GOC!$D:$D,$H4861,DATA_GOC!$E:$E,$C4861,DATA_GOC!$F:$F,"Xuất nội bộ từ téc",DATA_GOC!$B:$B,"&gt;="&amp;$D4861,DATA_GOC!$B:$B,"&lt;="&amp;$E4861))</f>
        <v/>
      </c>
      <c r="J4861" s="59">
        <f t="shared" si="28"/>
        <v>0</v>
      </c>
      <c r="K4861" s="59">
        <f t="shared" si="29"/>
        <v>0</v>
      </c>
      <c r="L4861" s="59">
        <f t="shared" si="30"/>
        <v>0</v>
      </c>
      <c r="M4861" s="59">
        <f t="shared" si="31"/>
        <v>0</v>
      </c>
    </row>
    <row r="4862" ht="15.0" hidden="1" customHeight="1">
      <c r="A4862" s="59">
        <f t="shared" si="20"/>
        <v>78</v>
      </c>
      <c r="B4862" s="59" t="str">
        <f t="shared" si="21"/>
        <v/>
      </c>
      <c r="C4862" s="59" t="str">
        <f t="shared" si="22"/>
        <v/>
      </c>
      <c r="D4862" s="45" t="str">
        <f t="shared" si="23"/>
        <v/>
      </c>
      <c r="E4862" s="45" t="str">
        <f t="shared" si="24"/>
        <v/>
      </c>
      <c r="F4862" s="59" t="str">
        <f t="shared" si="25"/>
        <v/>
      </c>
      <c r="G4862" s="59" t="str">
        <f t="shared" si="26"/>
        <v/>
      </c>
      <c r="H4862" s="59" t="str">
        <f t="shared" si="27"/>
        <v>28C01743</v>
      </c>
      <c r="I4862" s="59" t="str">
        <f>IF(OR($A4862="",$C4862="",$D4862="",$E4862="",$H4862=""),"",SUMIFS(DATA_GOC!$H:$H,DATA_GOC!$A:$A,"BOM",DATA_GOC!$D:$D,$H4862,DATA_GOC!$E:$E,$C4862,DATA_GOC!$F:$F,"Xuất nội bộ từ téc",DATA_GOC!$B:$B,"&gt;="&amp;$D4862,DATA_GOC!$B:$B,"&lt;="&amp;$E4862))</f>
        <v/>
      </c>
      <c r="J4862" s="59">
        <f t="shared" si="28"/>
        <v>0</v>
      </c>
      <c r="K4862" s="59">
        <f t="shared" si="29"/>
        <v>0</v>
      </c>
      <c r="L4862" s="59">
        <f t="shared" si="30"/>
        <v>0</v>
      </c>
      <c r="M4862" s="59">
        <f t="shared" si="31"/>
        <v>0</v>
      </c>
    </row>
    <row r="4863" ht="15.0" hidden="1" customHeight="1">
      <c r="A4863" s="59">
        <f t="shared" si="20"/>
        <v>78</v>
      </c>
      <c r="B4863" s="59" t="str">
        <f t="shared" si="21"/>
        <v/>
      </c>
      <c r="C4863" s="59" t="str">
        <f t="shared" si="22"/>
        <v/>
      </c>
      <c r="D4863" s="45" t="str">
        <f t="shared" si="23"/>
        <v/>
      </c>
      <c r="E4863" s="45" t="str">
        <f t="shared" si="24"/>
        <v/>
      </c>
      <c r="F4863" s="59" t="str">
        <f t="shared" si="25"/>
        <v/>
      </c>
      <c r="G4863" s="59" t="str">
        <f t="shared" si="26"/>
        <v/>
      </c>
      <c r="H4863" s="59" t="str">
        <f t="shared" si="27"/>
        <v>28C02106</v>
      </c>
      <c r="I4863" s="59" t="str">
        <f>IF(OR($A4863="",$C4863="",$D4863="",$E4863="",$H4863=""),"",SUMIFS(DATA_GOC!$H:$H,DATA_GOC!$A:$A,"BOM",DATA_GOC!$D:$D,$H4863,DATA_GOC!$E:$E,$C4863,DATA_GOC!$F:$F,"Xuất nội bộ từ téc",DATA_GOC!$B:$B,"&gt;="&amp;$D4863,DATA_GOC!$B:$B,"&lt;="&amp;$E4863))</f>
        <v/>
      </c>
      <c r="J4863" s="59">
        <f t="shared" si="28"/>
        <v>0</v>
      </c>
      <c r="K4863" s="59">
        <f t="shared" si="29"/>
        <v>0</v>
      </c>
      <c r="L4863" s="59">
        <f t="shared" si="30"/>
        <v>0</v>
      </c>
      <c r="M4863" s="59">
        <f t="shared" si="31"/>
        <v>0</v>
      </c>
    </row>
    <row r="4864" ht="15.0" hidden="1" customHeight="1">
      <c r="A4864" s="59">
        <f t="shared" si="20"/>
        <v>78</v>
      </c>
      <c r="B4864" s="59" t="str">
        <f t="shared" si="21"/>
        <v/>
      </c>
      <c r="C4864" s="59" t="str">
        <f t="shared" si="22"/>
        <v/>
      </c>
      <c r="D4864" s="45" t="str">
        <f t="shared" si="23"/>
        <v/>
      </c>
      <c r="E4864" s="45" t="str">
        <f t="shared" si="24"/>
        <v/>
      </c>
      <c r="F4864" s="59" t="str">
        <f t="shared" si="25"/>
        <v/>
      </c>
      <c r="G4864" s="59" t="str">
        <f t="shared" si="26"/>
        <v/>
      </c>
      <c r="H4864" s="59" t="str">
        <f t="shared" si="27"/>
        <v>28C02410</v>
      </c>
      <c r="I4864" s="59" t="str">
        <f>IF(OR($A4864="",$C4864="",$D4864="",$E4864="",$H4864=""),"",SUMIFS(DATA_GOC!$H:$H,DATA_GOC!$A:$A,"BOM",DATA_GOC!$D:$D,$H4864,DATA_GOC!$E:$E,$C4864,DATA_GOC!$F:$F,"Xuất nội bộ từ téc",DATA_GOC!$B:$B,"&gt;="&amp;$D4864,DATA_GOC!$B:$B,"&lt;="&amp;$E4864))</f>
        <v/>
      </c>
      <c r="J4864" s="59">
        <f t="shared" si="28"/>
        <v>0</v>
      </c>
      <c r="K4864" s="59">
        <f t="shared" si="29"/>
        <v>0</v>
      </c>
      <c r="L4864" s="59">
        <f t="shared" si="30"/>
        <v>0</v>
      </c>
      <c r="M4864" s="59">
        <f t="shared" si="31"/>
        <v>0</v>
      </c>
    </row>
    <row r="4865" ht="15.0" hidden="1" customHeight="1">
      <c r="A4865" s="59">
        <f t="shared" si="20"/>
        <v>78</v>
      </c>
      <c r="B4865" s="59" t="str">
        <f t="shared" si="21"/>
        <v/>
      </c>
      <c r="C4865" s="59" t="str">
        <f t="shared" si="22"/>
        <v/>
      </c>
      <c r="D4865" s="45" t="str">
        <f t="shared" si="23"/>
        <v/>
      </c>
      <c r="E4865" s="45" t="str">
        <f t="shared" si="24"/>
        <v/>
      </c>
      <c r="F4865" s="59" t="str">
        <f t="shared" si="25"/>
        <v/>
      </c>
      <c r="G4865" s="59" t="str">
        <f t="shared" si="26"/>
        <v/>
      </c>
      <c r="H4865" s="59" t="str">
        <f t="shared" si="27"/>
        <v>28C02545</v>
      </c>
      <c r="I4865" s="59" t="str">
        <f>IF(OR($A4865="",$C4865="",$D4865="",$E4865="",$H4865=""),"",SUMIFS(DATA_GOC!$H:$H,DATA_GOC!$A:$A,"BOM",DATA_GOC!$D:$D,$H4865,DATA_GOC!$E:$E,$C4865,DATA_GOC!$F:$F,"Xuất nội bộ từ téc",DATA_GOC!$B:$B,"&gt;="&amp;$D4865,DATA_GOC!$B:$B,"&lt;="&amp;$E4865))</f>
        <v/>
      </c>
      <c r="J4865" s="59">
        <f t="shared" si="28"/>
        <v>0</v>
      </c>
      <c r="K4865" s="59">
        <f t="shared" si="29"/>
        <v>0</v>
      </c>
      <c r="L4865" s="59">
        <f t="shared" si="30"/>
        <v>0</v>
      </c>
      <c r="M4865" s="59">
        <f t="shared" si="31"/>
        <v>0</v>
      </c>
    </row>
    <row r="4866" ht="15.0" hidden="1" customHeight="1">
      <c r="A4866" s="59">
        <f t="shared" si="20"/>
        <v>78</v>
      </c>
      <c r="B4866" s="59" t="str">
        <f t="shared" si="21"/>
        <v/>
      </c>
      <c r="C4866" s="59" t="str">
        <f t="shared" si="22"/>
        <v/>
      </c>
      <c r="D4866" s="45" t="str">
        <f t="shared" si="23"/>
        <v/>
      </c>
      <c r="E4866" s="45" t="str">
        <f t="shared" si="24"/>
        <v/>
      </c>
      <c r="F4866" s="59" t="str">
        <f t="shared" si="25"/>
        <v/>
      </c>
      <c r="G4866" s="59" t="str">
        <f t="shared" si="26"/>
        <v/>
      </c>
      <c r="H4866" s="59" t="str">
        <f t="shared" si="27"/>
        <v>28C02574</v>
      </c>
      <c r="I4866" s="59" t="str">
        <f>IF(OR($A4866="",$C4866="",$D4866="",$E4866="",$H4866=""),"",SUMIFS(DATA_GOC!$H:$H,DATA_GOC!$A:$A,"BOM",DATA_GOC!$D:$D,$H4866,DATA_GOC!$E:$E,$C4866,DATA_GOC!$F:$F,"Xuất nội bộ từ téc",DATA_GOC!$B:$B,"&gt;="&amp;$D4866,DATA_GOC!$B:$B,"&lt;="&amp;$E4866))</f>
        <v/>
      </c>
      <c r="J4866" s="59">
        <f t="shared" si="28"/>
        <v>0</v>
      </c>
      <c r="K4866" s="59">
        <f t="shared" si="29"/>
        <v>0</v>
      </c>
      <c r="L4866" s="59">
        <f t="shared" si="30"/>
        <v>0</v>
      </c>
      <c r="M4866" s="59">
        <f t="shared" si="31"/>
        <v>0</v>
      </c>
    </row>
    <row r="4867" ht="15.0" hidden="1" customHeight="1">
      <c r="A4867" s="59">
        <f t="shared" si="20"/>
        <v>78</v>
      </c>
      <c r="B4867" s="59" t="str">
        <f t="shared" si="21"/>
        <v/>
      </c>
      <c r="C4867" s="59" t="str">
        <f t="shared" si="22"/>
        <v/>
      </c>
      <c r="D4867" s="45" t="str">
        <f t="shared" si="23"/>
        <v/>
      </c>
      <c r="E4867" s="45" t="str">
        <f t="shared" si="24"/>
        <v/>
      </c>
      <c r="F4867" s="59" t="str">
        <f t="shared" si="25"/>
        <v/>
      </c>
      <c r="G4867" s="59" t="str">
        <f t="shared" si="26"/>
        <v/>
      </c>
      <c r="H4867" s="59" t="str">
        <f t="shared" si="27"/>
        <v>28C02770</v>
      </c>
      <c r="I4867" s="59" t="str">
        <f>IF(OR($A4867="",$C4867="",$D4867="",$E4867="",$H4867=""),"",SUMIFS(DATA_GOC!$H:$H,DATA_GOC!$A:$A,"BOM",DATA_GOC!$D:$D,$H4867,DATA_GOC!$E:$E,$C4867,DATA_GOC!$F:$F,"Xuất nội bộ từ téc",DATA_GOC!$B:$B,"&gt;="&amp;$D4867,DATA_GOC!$B:$B,"&lt;="&amp;$E4867))</f>
        <v/>
      </c>
      <c r="J4867" s="59">
        <f t="shared" si="28"/>
        <v>0</v>
      </c>
      <c r="K4867" s="59">
        <f t="shared" si="29"/>
        <v>0</v>
      </c>
      <c r="L4867" s="59">
        <f t="shared" si="30"/>
        <v>0</v>
      </c>
      <c r="M4867" s="59">
        <f t="shared" si="31"/>
        <v>0</v>
      </c>
    </row>
    <row r="4868" ht="15.0" hidden="1" customHeight="1">
      <c r="A4868" s="59">
        <f t="shared" si="20"/>
        <v>78</v>
      </c>
      <c r="B4868" s="59" t="str">
        <f t="shared" si="21"/>
        <v/>
      </c>
      <c r="C4868" s="59" t="str">
        <f t="shared" si="22"/>
        <v/>
      </c>
      <c r="D4868" s="45" t="str">
        <f t="shared" si="23"/>
        <v/>
      </c>
      <c r="E4868" s="45" t="str">
        <f t="shared" si="24"/>
        <v/>
      </c>
      <c r="F4868" s="59" t="str">
        <f t="shared" si="25"/>
        <v/>
      </c>
      <c r="G4868" s="59" t="str">
        <f t="shared" si="26"/>
        <v/>
      </c>
      <c r="H4868" s="59" t="str">
        <f t="shared" si="27"/>
        <v>28C02986</v>
      </c>
      <c r="I4868" s="59" t="str">
        <f>IF(OR($A4868="",$C4868="",$D4868="",$E4868="",$H4868=""),"",SUMIFS(DATA_GOC!$H:$H,DATA_GOC!$A:$A,"BOM",DATA_GOC!$D:$D,$H4868,DATA_GOC!$E:$E,$C4868,DATA_GOC!$F:$F,"Xuất nội bộ từ téc",DATA_GOC!$B:$B,"&gt;="&amp;$D4868,DATA_GOC!$B:$B,"&lt;="&amp;$E4868))</f>
        <v/>
      </c>
      <c r="J4868" s="59">
        <f t="shared" si="28"/>
        <v>0</v>
      </c>
      <c r="K4868" s="59">
        <f t="shared" si="29"/>
        <v>0</v>
      </c>
      <c r="L4868" s="59">
        <f t="shared" si="30"/>
        <v>0</v>
      </c>
      <c r="M4868" s="59">
        <f t="shared" si="31"/>
        <v>0</v>
      </c>
    </row>
    <row r="4869" ht="15.0" hidden="1" customHeight="1">
      <c r="A4869" s="59">
        <f t="shared" si="20"/>
        <v>78</v>
      </c>
      <c r="B4869" s="59" t="str">
        <f t="shared" si="21"/>
        <v/>
      </c>
      <c r="C4869" s="59" t="str">
        <f t="shared" si="22"/>
        <v/>
      </c>
      <c r="D4869" s="45" t="str">
        <f t="shared" si="23"/>
        <v/>
      </c>
      <c r="E4869" s="45" t="str">
        <f t="shared" si="24"/>
        <v/>
      </c>
      <c r="F4869" s="59" t="str">
        <f t="shared" si="25"/>
        <v/>
      </c>
      <c r="G4869" s="59" t="str">
        <f t="shared" si="26"/>
        <v/>
      </c>
      <c r="H4869" s="59" t="str">
        <f t="shared" si="27"/>
        <v>28C03261</v>
      </c>
      <c r="I4869" s="59" t="str">
        <f>IF(OR($A4869="",$C4869="",$D4869="",$E4869="",$H4869=""),"",SUMIFS(DATA_GOC!$H:$H,DATA_GOC!$A:$A,"BOM",DATA_GOC!$D:$D,$H4869,DATA_GOC!$E:$E,$C4869,DATA_GOC!$F:$F,"Xuất nội bộ từ téc",DATA_GOC!$B:$B,"&gt;="&amp;$D4869,DATA_GOC!$B:$B,"&lt;="&amp;$E4869))</f>
        <v/>
      </c>
      <c r="J4869" s="59">
        <f t="shared" si="28"/>
        <v>0</v>
      </c>
      <c r="K4869" s="59">
        <f t="shared" si="29"/>
        <v>0</v>
      </c>
      <c r="L4869" s="59">
        <f t="shared" si="30"/>
        <v>0</v>
      </c>
      <c r="M4869" s="59">
        <f t="shared" si="31"/>
        <v>0</v>
      </c>
    </row>
    <row r="4870" ht="15.0" hidden="1" customHeight="1">
      <c r="A4870" s="59">
        <f t="shared" si="20"/>
        <v>78</v>
      </c>
      <c r="B4870" s="59" t="str">
        <f t="shared" si="21"/>
        <v/>
      </c>
      <c r="C4870" s="59" t="str">
        <f t="shared" si="22"/>
        <v/>
      </c>
      <c r="D4870" s="45" t="str">
        <f t="shared" si="23"/>
        <v/>
      </c>
      <c r="E4870" s="45" t="str">
        <f t="shared" si="24"/>
        <v/>
      </c>
      <c r="F4870" s="59" t="str">
        <f t="shared" si="25"/>
        <v/>
      </c>
      <c r="G4870" s="59" t="str">
        <f t="shared" si="26"/>
        <v/>
      </c>
      <c r="H4870" s="59" t="str">
        <f t="shared" si="27"/>
        <v>28C03323</v>
      </c>
      <c r="I4870" s="59" t="str">
        <f>IF(OR($A4870="",$C4870="",$D4870="",$E4870="",$H4870=""),"",SUMIFS(DATA_GOC!$H:$H,DATA_GOC!$A:$A,"BOM",DATA_GOC!$D:$D,$H4870,DATA_GOC!$E:$E,$C4870,DATA_GOC!$F:$F,"Xuất nội bộ từ téc",DATA_GOC!$B:$B,"&gt;="&amp;$D4870,DATA_GOC!$B:$B,"&lt;="&amp;$E4870))</f>
        <v/>
      </c>
      <c r="J4870" s="59">
        <f t="shared" si="28"/>
        <v>0</v>
      </c>
      <c r="K4870" s="59">
        <f t="shared" si="29"/>
        <v>0</v>
      </c>
      <c r="L4870" s="59">
        <f t="shared" si="30"/>
        <v>0</v>
      </c>
      <c r="M4870" s="59">
        <f t="shared" si="31"/>
        <v>0</v>
      </c>
    </row>
    <row r="4871" ht="15.0" hidden="1" customHeight="1">
      <c r="A4871" s="59">
        <f t="shared" si="20"/>
        <v>78</v>
      </c>
      <c r="B4871" s="59" t="str">
        <f t="shared" si="21"/>
        <v/>
      </c>
      <c r="C4871" s="59" t="str">
        <f t="shared" si="22"/>
        <v/>
      </c>
      <c r="D4871" s="45" t="str">
        <f t="shared" si="23"/>
        <v/>
      </c>
      <c r="E4871" s="45" t="str">
        <f t="shared" si="24"/>
        <v/>
      </c>
      <c r="F4871" s="59" t="str">
        <f t="shared" si="25"/>
        <v/>
      </c>
      <c r="G4871" s="59" t="str">
        <f t="shared" si="26"/>
        <v/>
      </c>
      <c r="H4871" s="59" t="str">
        <f t="shared" si="27"/>
        <v>28C03385</v>
      </c>
      <c r="I4871" s="59" t="str">
        <f>IF(OR($A4871="",$C4871="",$D4871="",$E4871="",$H4871=""),"",SUMIFS(DATA_GOC!$H:$H,DATA_GOC!$A:$A,"BOM",DATA_GOC!$D:$D,$H4871,DATA_GOC!$E:$E,$C4871,DATA_GOC!$F:$F,"Xuất nội bộ từ téc",DATA_GOC!$B:$B,"&gt;="&amp;$D4871,DATA_GOC!$B:$B,"&lt;="&amp;$E4871))</f>
        <v/>
      </c>
      <c r="J4871" s="59">
        <f t="shared" si="28"/>
        <v>0</v>
      </c>
      <c r="K4871" s="59">
        <f t="shared" si="29"/>
        <v>0</v>
      </c>
      <c r="L4871" s="59">
        <f t="shared" si="30"/>
        <v>0</v>
      </c>
      <c r="M4871" s="59">
        <f t="shared" si="31"/>
        <v>0</v>
      </c>
    </row>
    <row r="4872" ht="15.0" hidden="1" customHeight="1">
      <c r="A4872" s="59">
        <f t="shared" si="20"/>
        <v>78</v>
      </c>
      <c r="B4872" s="59" t="str">
        <f t="shared" si="21"/>
        <v/>
      </c>
      <c r="C4872" s="59" t="str">
        <f t="shared" si="22"/>
        <v/>
      </c>
      <c r="D4872" s="45" t="str">
        <f t="shared" si="23"/>
        <v/>
      </c>
      <c r="E4872" s="45" t="str">
        <f t="shared" si="24"/>
        <v/>
      </c>
      <c r="F4872" s="59" t="str">
        <f t="shared" si="25"/>
        <v/>
      </c>
      <c r="G4872" s="59" t="str">
        <f t="shared" si="26"/>
        <v/>
      </c>
      <c r="H4872" s="59" t="str">
        <f t="shared" si="27"/>
        <v>28C03652</v>
      </c>
      <c r="I4872" s="59" t="str">
        <f>IF(OR($A4872="",$C4872="",$D4872="",$E4872="",$H4872=""),"",SUMIFS(DATA_GOC!$H:$H,DATA_GOC!$A:$A,"BOM",DATA_GOC!$D:$D,$H4872,DATA_GOC!$E:$E,$C4872,DATA_GOC!$F:$F,"Xuất nội bộ từ téc",DATA_GOC!$B:$B,"&gt;="&amp;$D4872,DATA_GOC!$B:$B,"&lt;="&amp;$E4872))</f>
        <v/>
      </c>
      <c r="J4872" s="59">
        <f t="shared" si="28"/>
        <v>0</v>
      </c>
      <c r="K4872" s="59">
        <f t="shared" si="29"/>
        <v>0</v>
      </c>
      <c r="L4872" s="59">
        <f t="shared" si="30"/>
        <v>0</v>
      </c>
      <c r="M4872" s="59">
        <f t="shared" si="31"/>
        <v>0</v>
      </c>
    </row>
    <row r="4873" ht="15.0" hidden="1" customHeight="1">
      <c r="A4873" s="59">
        <f t="shared" si="20"/>
        <v>78</v>
      </c>
      <c r="B4873" s="59" t="str">
        <f t="shared" si="21"/>
        <v/>
      </c>
      <c r="C4873" s="59" t="str">
        <f t="shared" si="22"/>
        <v/>
      </c>
      <c r="D4873" s="45" t="str">
        <f t="shared" si="23"/>
        <v/>
      </c>
      <c r="E4873" s="45" t="str">
        <f t="shared" si="24"/>
        <v/>
      </c>
      <c r="F4873" s="59" t="str">
        <f t="shared" si="25"/>
        <v/>
      </c>
      <c r="G4873" s="59" t="str">
        <f t="shared" si="26"/>
        <v/>
      </c>
      <c r="H4873" s="59" t="str">
        <f t="shared" si="27"/>
        <v>28C03695</v>
      </c>
      <c r="I4873" s="59" t="str">
        <f>IF(OR($A4873="",$C4873="",$D4873="",$E4873="",$H4873=""),"",SUMIFS(DATA_GOC!$H:$H,DATA_GOC!$A:$A,"BOM",DATA_GOC!$D:$D,$H4873,DATA_GOC!$E:$E,$C4873,DATA_GOC!$F:$F,"Xuất nội bộ từ téc",DATA_GOC!$B:$B,"&gt;="&amp;$D4873,DATA_GOC!$B:$B,"&lt;="&amp;$E4873))</f>
        <v/>
      </c>
      <c r="J4873" s="59">
        <f t="shared" si="28"/>
        <v>0</v>
      </c>
      <c r="K4873" s="59">
        <f t="shared" si="29"/>
        <v>0</v>
      </c>
      <c r="L4873" s="59">
        <f t="shared" si="30"/>
        <v>0</v>
      </c>
      <c r="M4873" s="59">
        <f t="shared" si="31"/>
        <v>0</v>
      </c>
    </row>
    <row r="4874" ht="15.0" hidden="1" customHeight="1">
      <c r="A4874" s="59">
        <f t="shared" si="20"/>
        <v>78</v>
      </c>
      <c r="B4874" s="59" t="str">
        <f t="shared" si="21"/>
        <v/>
      </c>
      <c r="C4874" s="59" t="str">
        <f t="shared" si="22"/>
        <v/>
      </c>
      <c r="D4874" s="45" t="str">
        <f t="shared" si="23"/>
        <v/>
      </c>
      <c r="E4874" s="45" t="str">
        <f t="shared" si="24"/>
        <v/>
      </c>
      <c r="F4874" s="59" t="str">
        <f t="shared" si="25"/>
        <v/>
      </c>
      <c r="G4874" s="59" t="str">
        <f t="shared" si="26"/>
        <v/>
      </c>
      <c r="H4874" s="59" t="str">
        <f t="shared" si="27"/>
        <v>28C03927</v>
      </c>
      <c r="I4874" s="59" t="str">
        <f>IF(OR($A4874="",$C4874="",$D4874="",$E4874="",$H4874=""),"",SUMIFS(DATA_GOC!$H:$H,DATA_GOC!$A:$A,"BOM",DATA_GOC!$D:$D,$H4874,DATA_GOC!$E:$E,$C4874,DATA_GOC!$F:$F,"Xuất nội bộ từ téc",DATA_GOC!$B:$B,"&gt;="&amp;$D4874,DATA_GOC!$B:$B,"&lt;="&amp;$E4874))</f>
        <v/>
      </c>
      <c r="J4874" s="59">
        <f t="shared" si="28"/>
        <v>0</v>
      </c>
      <c r="K4874" s="59">
        <f t="shared" si="29"/>
        <v>0</v>
      </c>
      <c r="L4874" s="59">
        <f t="shared" si="30"/>
        <v>0</v>
      </c>
      <c r="M4874" s="59">
        <f t="shared" si="31"/>
        <v>0</v>
      </c>
    </row>
    <row r="4875" ht="15.0" hidden="1" customHeight="1">
      <c r="A4875" s="59">
        <f t="shared" si="20"/>
        <v>78</v>
      </c>
      <c r="B4875" s="59" t="str">
        <f t="shared" si="21"/>
        <v/>
      </c>
      <c r="C4875" s="59" t="str">
        <f t="shared" si="22"/>
        <v/>
      </c>
      <c r="D4875" s="45" t="str">
        <f t="shared" si="23"/>
        <v/>
      </c>
      <c r="E4875" s="45" t="str">
        <f t="shared" si="24"/>
        <v/>
      </c>
      <c r="F4875" s="59" t="str">
        <f t="shared" si="25"/>
        <v/>
      </c>
      <c r="G4875" s="59" t="str">
        <f t="shared" si="26"/>
        <v/>
      </c>
      <c r="H4875" s="59" t="str">
        <f t="shared" si="27"/>
        <v>28C04509</v>
      </c>
      <c r="I4875" s="59" t="str">
        <f>IF(OR($A4875="",$C4875="",$D4875="",$E4875="",$H4875=""),"",SUMIFS(DATA_GOC!$H:$H,DATA_GOC!$A:$A,"BOM",DATA_GOC!$D:$D,$H4875,DATA_GOC!$E:$E,$C4875,DATA_GOC!$F:$F,"Xuất nội bộ từ téc",DATA_GOC!$B:$B,"&gt;="&amp;$D4875,DATA_GOC!$B:$B,"&lt;="&amp;$E4875))</f>
        <v/>
      </c>
      <c r="J4875" s="59">
        <f t="shared" si="28"/>
        <v>0</v>
      </c>
      <c r="K4875" s="59">
        <f t="shared" si="29"/>
        <v>0</v>
      </c>
      <c r="L4875" s="59">
        <f t="shared" si="30"/>
        <v>0</v>
      </c>
      <c r="M4875" s="59">
        <f t="shared" si="31"/>
        <v>0</v>
      </c>
    </row>
    <row r="4876" ht="15.0" hidden="1" customHeight="1">
      <c r="A4876" s="59">
        <f t="shared" si="20"/>
        <v>78</v>
      </c>
      <c r="B4876" s="59" t="str">
        <f t="shared" si="21"/>
        <v/>
      </c>
      <c r="C4876" s="59" t="str">
        <f t="shared" si="22"/>
        <v/>
      </c>
      <c r="D4876" s="45" t="str">
        <f t="shared" si="23"/>
        <v/>
      </c>
      <c r="E4876" s="45" t="str">
        <f t="shared" si="24"/>
        <v/>
      </c>
      <c r="F4876" s="59" t="str">
        <f t="shared" si="25"/>
        <v/>
      </c>
      <c r="G4876" s="59" t="str">
        <f t="shared" si="26"/>
        <v/>
      </c>
      <c r="H4876" s="59" t="str">
        <f t="shared" si="27"/>
        <v>28C04536</v>
      </c>
      <c r="I4876" s="59" t="str">
        <f>IF(OR($A4876="",$C4876="",$D4876="",$E4876="",$H4876=""),"",SUMIFS(DATA_GOC!$H:$H,DATA_GOC!$A:$A,"BOM",DATA_GOC!$D:$D,$H4876,DATA_GOC!$E:$E,$C4876,DATA_GOC!$F:$F,"Xuất nội bộ từ téc",DATA_GOC!$B:$B,"&gt;="&amp;$D4876,DATA_GOC!$B:$B,"&lt;="&amp;$E4876))</f>
        <v/>
      </c>
      <c r="J4876" s="59">
        <f t="shared" si="28"/>
        <v>0</v>
      </c>
      <c r="K4876" s="59">
        <f t="shared" si="29"/>
        <v>0</v>
      </c>
      <c r="L4876" s="59">
        <f t="shared" si="30"/>
        <v>0</v>
      </c>
      <c r="M4876" s="59">
        <f t="shared" si="31"/>
        <v>0</v>
      </c>
    </row>
    <row r="4877" ht="15.0" hidden="1" customHeight="1">
      <c r="A4877" s="59">
        <f t="shared" si="20"/>
        <v>78</v>
      </c>
      <c r="B4877" s="59" t="str">
        <f t="shared" si="21"/>
        <v/>
      </c>
      <c r="C4877" s="59" t="str">
        <f t="shared" si="22"/>
        <v/>
      </c>
      <c r="D4877" s="45" t="str">
        <f t="shared" si="23"/>
        <v/>
      </c>
      <c r="E4877" s="45" t="str">
        <f t="shared" si="24"/>
        <v/>
      </c>
      <c r="F4877" s="59" t="str">
        <f t="shared" si="25"/>
        <v/>
      </c>
      <c r="G4877" s="59" t="str">
        <f t="shared" si="26"/>
        <v/>
      </c>
      <c r="H4877" s="59" t="str">
        <f t="shared" si="27"/>
        <v>28C04576</v>
      </c>
      <c r="I4877" s="59" t="str">
        <f>IF(OR($A4877="",$C4877="",$D4877="",$E4877="",$H4877=""),"",SUMIFS(DATA_GOC!$H:$H,DATA_GOC!$A:$A,"BOM",DATA_GOC!$D:$D,$H4877,DATA_GOC!$E:$E,$C4877,DATA_GOC!$F:$F,"Xuất nội bộ từ téc",DATA_GOC!$B:$B,"&gt;="&amp;$D4877,DATA_GOC!$B:$B,"&lt;="&amp;$E4877))</f>
        <v/>
      </c>
      <c r="J4877" s="59">
        <f t="shared" si="28"/>
        <v>0</v>
      </c>
      <c r="K4877" s="59">
        <f t="shared" si="29"/>
        <v>0</v>
      </c>
      <c r="L4877" s="59">
        <f t="shared" si="30"/>
        <v>0</v>
      </c>
      <c r="M4877" s="59">
        <f t="shared" si="31"/>
        <v>0</v>
      </c>
    </row>
    <row r="4878" ht="15.0" hidden="1" customHeight="1">
      <c r="A4878" s="59">
        <f t="shared" si="20"/>
        <v>78</v>
      </c>
      <c r="B4878" s="59" t="str">
        <f t="shared" si="21"/>
        <v/>
      </c>
      <c r="C4878" s="59" t="str">
        <f t="shared" si="22"/>
        <v/>
      </c>
      <c r="D4878" s="45" t="str">
        <f t="shared" si="23"/>
        <v/>
      </c>
      <c r="E4878" s="45" t="str">
        <f t="shared" si="24"/>
        <v/>
      </c>
      <c r="F4878" s="59" t="str">
        <f t="shared" si="25"/>
        <v/>
      </c>
      <c r="G4878" s="59" t="str">
        <f t="shared" si="26"/>
        <v/>
      </c>
      <c r="H4878" s="59" t="str">
        <f t="shared" si="27"/>
        <v>28C05090</v>
      </c>
      <c r="I4878" s="59" t="str">
        <f>IF(OR($A4878="",$C4878="",$D4878="",$E4878="",$H4878=""),"",SUMIFS(DATA_GOC!$H:$H,DATA_GOC!$A:$A,"BOM",DATA_GOC!$D:$D,$H4878,DATA_GOC!$E:$E,$C4878,DATA_GOC!$F:$F,"Xuất nội bộ từ téc",DATA_GOC!$B:$B,"&gt;="&amp;$D4878,DATA_GOC!$B:$B,"&lt;="&amp;$E4878))</f>
        <v/>
      </c>
      <c r="J4878" s="59">
        <f t="shared" si="28"/>
        <v>0</v>
      </c>
      <c r="K4878" s="59">
        <f t="shared" si="29"/>
        <v>0</v>
      </c>
      <c r="L4878" s="59">
        <f t="shared" si="30"/>
        <v>0</v>
      </c>
      <c r="M4878" s="59">
        <f t="shared" si="31"/>
        <v>0</v>
      </c>
    </row>
    <row r="4879" ht="15.0" hidden="1" customHeight="1">
      <c r="A4879" s="59">
        <f t="shared" si="20"/>
        <v>78</v>
      </c>
      <c r="B4879" s="59" t="str">
        <f t="shared" si="21"/>
        <v/>
      </c>
      <c r="C4879" s="59" t="str">
        <f t="shared" si="22"/>
        <v/>
      </c>
      <c r="D4879" s="45" t="str">
        <f t="shared" si="23"/>
        <v/>
      </c>
      <c r="E4879" s="45" t="str">
        <f t="shared" si="24"/>
        <v/>
      </c>
      <c r="F4879" s="59" t="str">
        <f t="shared" si="25"/>
        <v/>
      </c>
      <c r="G4879" s="59" t="str">
        <f t="shared" si="26"/>
        <v/>
      </c>
      <c r="H4879" s="59" t="str">
        <f t="shared" si="27"/>
        <v>28C05345</v>
      </c>
      <c r="I4879" s="59" t="str">
        <f>IF(OR($A4879="",$C4879="",$D4879="",$E4879="",$H4879=""),"",SUMIFS(DATA_GOC!$H:$H,DATA_GOC!$A:$A,"BOM",DATA_GOC!$D:$D,$H4879,DATA_GOC!$E:$E,$C4879,DATA_GOC!$F:$F,"Xuất nội bộ từ téc",DATA_GOC!$B:$B,"&gt;="&amp;$D4879,DATA_GOC!$B:$B,"&lt;="&amp;$E4879))</f>
        <v/>
      </c>
      <c r="J4879" s="59">
        <f t="shared" si="28"/>
        <v>0</v>
      </c>
      <c r="K4879" s="59">
        <f t="shared" si="29"/>
        <v>0</v>
      </c>
      <c r="L4879" s="59">
        <f t="shared" si="30"/>
        <v>0</v>
      </c>
      <c r="M4879" s="59">
        <f t="shared" si="31"/>
        <v>0</v>
      </c>
    </row>
    <row r="4880" ht="15.0" hidden="1" customHeight="1">
      <c r="A4880" s="59">
        <f t="shared" si="20"/>
        <v>78</v>
      </c>
      <c r="B4880" s="59" t="str">
        <f t="shared" si="21"/>
        <v/>
      </c>
      <c r="C4880" s="59" t="str">
        <f t="shared" si="22"/>
        <v/>
      </c>
      <c r="D4880" s="45" t="str">
        <f t="shared" si="23"/>
        <v/>
      </c>
      <c r="E4880" s="45" t="str">
        <f t="shared" si="24"/>
        <v/>
      </c>
      <c r="F4880" s="59" t="str">
        <f t="shared" si="25"/>
        <v/>
      </c>
      <c r="G4880" s="59" t="str">
        <f t="shared" si="26"/>
        <v/>
      </c>
      <c r="H4880" s="59" t="str">
        <f t="shared" si="27"/>
        <v>28C05661</v>
      </c>
      <c r="I4880" s="59" t="str">
        <f>IF(OR($A4880="",$C4880="",$D4880="",$E4880="",$H4880=""),"",SUMIFS(DATA_GOC!$H:$H,DATA_GOC!$A:$A,"BOM",DATA_GOC!$D:$D,$H4880,DATA_GOC!$E:$E,$C4880,DATA_GOC!$F:$F,"Xuất nội bộ từ téc",DATA_GOC!$B:$B,"&gt;="&amp;$D4880,DATA_GOC!$B:$B,"&lt;="&amp;$E4880))</f>
        <v/>
      </c>
      <c r="J4880" s="59">
        <f t="shared" si="28"/>
        <v>0</v>
      </c>
      <c r="K4880" s="59">
        <f t="shared" si="29"/>
        <v>0</v>
      </c>
      <c r="L4880" s="59">
        <f t="shared" si="30"/>
        <v>0</v>
      </c>
      <c r="M4880" s="59">
        <f t="shared" si="31"/>
        <v>0</v>
      </c>
    </row>
    <row r="4881" ht="15.0" hidden="1" customHeight="1">
      <c r="A4881" s="59">
        <f t="shared" si="20"/>
        <v>78</v>
      </c>
      <c r="B4881" s="59" t="str">
        <f t="shared" si="21"/>
        <v/>
      </c>
      <c r="C4881" s="59" t="str">
        <f t="shared" si="22"/>
        <v/>
      </c>
      <c r="D4881" s="45" t="str">
        <f t="shared" si="23"/>
        <v/>
      </c>
      <c r="E4881" s="45" t="str">
        <f t="shared" si="24"/>
        <v/>
      </c>
      <c r="F4881" s="59" t="str">
        <f t="shared" si="25"/>
        <v/>
      </c>
      <c r="G4881" s="59" t="str">
        <f t="shared" si="26"/>
        <v/>
      </c>
      <c r="H4881" s="59" t="str">
        <f t="shared" si="27"/>
        <v>28C05739</v>
      </c>
      <c r="I4881" s="59" t="str">
        <f>IF(OR($A4881="",$C4881="",$D4881="",$E4881="",$H4881=""),"",SUMIFS(DATA_GOC!$H:$H,DATA_GOC!$A:$A,"BOM",DATA_GOC!$D:$D,$H4881,DATA_GOC!$E:$E,$C4881,DATA_GOC!$F:$F,"Xuất nội bộ từ téc",DATA_GOC!$B:$B,"&gt;="&amp;$D4881,DATA_GOC!$B:$B,"&lt;="&amp;$E4881))</f>
        <v/>
      </c>
      <c r="J4881" s="59">
        <f t="shared" si="28"/>
        <v>0</v>
      </c>
      <c r="K4881" s="59">
        <f t="shared" si="29"/>
        <v>0</v>
      </c>
      <c r="L4881" s="59">
        <f t="shared" si="30"/>
        <v>0</v>
      </c>
      <c r="M4881" s="59">
        <f t="shared" si="31"/>
        <v>0</v>
      </c>
    </row>
    <row r="4882" ht="15.0" hidden="1" customHeight="1">
      <c r="A4882" s="59">
        <f t="shared" si="20"/>
        <v>78</v>
      </c>
      <c r="B4882" s="59" t="str">
        <f t="shared" si="21"/>
        <v/>
      </c>
      <c r="C4882" s="59" t="str">
        <f t="shared" si="22"/>
        <v/>
      </c>
      <c r="D4882" s="45" t="str">
        <f t="shared" si="23"/>
        <v/>
      </c>
      <c r="E4882" s="45" t="str">
        <f t="shared" si="24"/>
        <v/>
      </c>
      <c r="F4882" s="59" t="str">
        <f t="shared" si="25"/>
        <v/>
      </c>
      <c r="G4882" s="59" t="str">
        <f t="shared" si="26"/>
        <v/>
      </c>
      <c r="H4882" s="59" t="str">
        <f t="shared" si="27"/>
        <v>28C06369</v>
      </c>
      <c r="I4882" s="59" t="str">
        <f>IF(OR($A4882="",$C4882="",$D4882="",$E4882="",$H4882=""),"",SUMIFS(DATA_GOC!$H:$H,DATA_GOC!$A:$A,"BOM",DATA_GOC!$D:$D,$H4882,DATA_GOC!$E:$E,$C4882,DATA_GOC!$F:$F,"Xuất nội bộ từ téc",DATA_GOC!$B:$B,"&gt;="&amp;$D4882,DATA_GOC!$B:$B,"&lt;="&amp;$E4882))</f>
        <v/>
      </c>
      <c r="J4882" s="59">
        <f t="shared" si="28"/>
        <v>0</v>
      </c>
      <c r="K4882" s="59">
        <f t="shared" si="29"/>
        <v>0</v>
      </c>
      <c r="L4882" s="59">
        <f t="shared" si="30"/>
        <v>0</v>
      </c>
      <c r="M4882" s="59">
        <f t="shared" si="31"/>
        <v>0</v>
      </c>
    </row>
    <row r="4883" ht="15.0" hidden="1" customHeight="1">
      <c r="A4883" s="59">
        <f t="shared" si="20"/>
        <v>78</v>
      </c>
      <c r="B4883" s="59" t="str">
        <f t="shared" si="21"/>
        <v/>
      </c>
      <c r="C4883" s="59" t="str">
        <f t="shared" si="22"/>
        <v/>
      </c>
      <c r="D4883" s="45" t="str">
        <f t="shared" si="23"/>
        <v/>
      </c>
      <c r="E4883" s="45" t="str">
        <f t="shared" si="24"/>
        <v/>
      </c>
      <c r="F4883" s="59" t="str">
        <f t="shared" si="25"/>
        <v/>
      </c>
      <c r="G4883" s="59" t="str">
        <f t="shared" si="26"/>
        <v/>
      </c>
      <c r="H4883" s="59" t="str">
        <f t="shared" si="27"/>
        <v>28C06447</v>
      </c>
      <c r="I4883" s="59" t="str">
        <f>IF(OR($A4883="",$C4883="",$D4883="",$E4883="",$H4883=""),"",SUMIFS(DATA_GOC!$H:$H,DATA_GOC!$A:$A,"BOM",DATA_GOC!$D:$D,$H4883,DATA_GOC!$E:$E,$C4883,DATA_GOC!$F:$F,"Xuất nội bộ từ téc",DATA_GOC!$B:$B,"&gt;="&amp;$D4883,DATA_GOC!$B:$B,"&lt;="&amp;$E4883))</f>
        <v/>
      </c>
      <c r="J4883" s="59">
        <f t="shared" si="28"/>
        <v>0</v>
      </c>
      <c r="K4883" s="59">
        <f t="shared" si="29"/>
        <v>0</v>
      </c>
      <c r="L4883" s="59">
        <f t="shared" si="30"/>
        <v>0</v>
      </c>
      <c r="M4883" s="59">
        <f t="shared" si="31"/>
        <v>0</v>
      </c>
    </row>
    <row r="4884" ht="15.0" hidden="1" customHeight="1">
      <c r="A4884" s="59">
        <f t="shared" si="20"/>
        <v>78</v>
      </c>
      <c r="B4884" s="59" t="str">
        <f t="shared" si="21"/>
        <v/>
      </c>
      <c r="C4884" s="59" t="str">
        <f t="shared" si="22"/>
        <v/>
      </c>
      <c r="D4884" s="45" t="str">
        <f t="shared" si="23"/>
        <v/>
      </c>
      <c r="E4884" s="45" t="str">
        <f t="shared" si="24"/>
        <v/>
      </c>
      <c r="F4884" s="59" t="str">
        <f t="shared" si="25"/>
        <v/>
      </c>
      <c r="G4884" s="59" t="str">
        <f t="shared" si="26"/>
        <v/>
      </c>
      <c r="H4884" s="59" t="str">
        <f t="shared" si="27"/>
        <v>28H00003</v>
      </c>
      <c r="I4884" s="59" t="str">
        <f>IF(OR($A4884="",$C4884="",$D4884="",$E4884="",$H4884=""),"",SUMIFS(DATA_GOC!$H:$H,DATA_GOC!$A:$A,"BOM",DATA_GOC!$D:$D,$H4884,DATA_GOC!$E:$E,$C4884,DATA_GOC!$F:$F,"Xuất nội bộ từ téc",DATA_GOC!$B:$B,"&gt;="&amp;$D4884,DATA_GOC!$B:$B,"&lt;="&amp;$E4884))</f>
        <v/>
      </c>
      <c r="J4884" s="59">
        <f t="shared" si="28"/>
        <v>0</v>
      </c>
      <c r="K4884" s="59">
        <f t="shared" si="29"/>
        <v>0</v>
      </c>
      <c r="L4884" s="59">
        <f t="shared" si="30"/>
        <v>0</v>
      </c>
      <c r="M4884" s="59">
        <f t="shared" si="31"/>
        <v>0</v>
      </c>
    </row>
    <row r="4885" ht="15.0" hidden="1" customHeight="1">
      <c r="A4885" s="59">
        <f t="shared" si="20"/>
        <v>78</v>
      </c>
      <c r="B4885" s="59" t="str">
        <f t="shared" si="21"/>
        <v/>
      </c>
      <c r="C4885" s="59" t="str">
        <f t="shared" si="22"/>
        <v/>
      </c>
      <c r="D4885" s="45" t="str">
        <f t="shared" si="23"/>
        <v/>
      </c>
      <c r="E4885" s="45" t="str">
        <f t="shared" si="24"/>
        <v/>
      </c>
      <c r="F4885" s="59" t="str">
        <f t="shared" si="25"/>
        <v/>
      </c>
      <c r="G4885" s="59" t="str">
        <f t="shared" si="26"/>
        <v/>
      </c>
      <c r="H4885" s="59" t="str">
        <f t="shared" si="27"/>
        <v>28H00061</v>
      </c>
      <c r="I4885" s="59" t="str">
        <f>IF(OR($A4885="",$C4885="",$D4885="",$E4885="",$H4885=""),"",SUMIFS(DATA_GOC!$H:$H,DATA_GOC!$A:$A,"BOM",DATA_GOC!$D:$D,$H4885,DATA_GOC!$E:$E,$C4885,DATA_GOC!$F:$F,"Xuất nội bộ từ téc",DATA_GOC!$B:$B,"&gt;="&amp;$D4885,DATA_GOC!$B:$B,"&lt;="&amp;$E4885))</f>
        <v/>
      </c>
      <c r="J4885" s="59">
        <f t="shared" si="28"/>
        <v>0</v>
      </c>
      <c r="K4885" s="59">
        <f t="shared" si="29"/>
        <v>0</v>
      </c>
      <c r="L4885" s="59">
        <f t="shared" si="30"/>
        <v>0</v>
      </c>
      <c r="M4885" s="59">
        <f t="shared" si="31"/>
        <v>0</v>
      </c>
    </row>
    <row r="4886" ht="15.0" hidden="1" customHeight="1">
      <c r="A4886" s="59">
        <f t="shared" si="20"/>
        <v>78</v>
      </c>
      <c r="B4886" s="59" t="str">
        <f t="shared" si="21"/>
        <v/>
      </c>
      <c r="C4886" s="59" t="str">
        <f t="shared" si="22"/>
        <v/>
      </c>
      <c r="D4886" s="45" t="str">
        <f t="shared" si="23"/>
        <v/>
      </c>
      <c r="E4886" s="45" t="str">
        <f t="shared" si="24"/>
        <v/>
      </c>
      <c r="F4886" s="59" t="str">
        <f t="shared" si="25"/>
        <v/>
      </c>
      <c r="G4886" s="59" t="str">
        <f t="shared" si="26"/>
        <v/>
      </c>
      <c r="H4886" s="59" t="str">
        <f t="shared" si="27"/>
        <v>28H00354</v>
      </c>
      <c r="I4886" s="59" t="str">
        <f>IF(OR($A4886="",$C4886="",$D4886="",$E4886="",$H4886=""),"",SUMIFS(DATA_GOC!$H:$H,DATA_GOC!$A:$A,"BOM",DATA_GOC!$D:$D,$H4886,DATA_GOC!$E:$E,$C4886,DATA_GOC!$F:$F,"Xuất nội bộ từ téc",DATA_GOC!$B:$B,"&gt;="&amp;$D4886,DATA_GOC!$B:$B,"&lt;="&amp;$E4886))</f>
        <v/>
      </c>
      <c r="J4886" s="59">
        <f t="shared" si="28"/>
        <v>0</v>
      </c>
      <c r="K4886" s="59">
        <f t="shared" si="29"/>
        <v>0</v>
      </c>
      <c r="L4886" s="59">
        <f t="shared" si="30"/>
        <v>0</v>
      </c>
      <c r="M4886" s="59">
        <f t="shared" si="31"/>
        <v>0</v>
      </c>
    </row>
    <row r="4887" ht="15.0" hidden="1" customHeight="1">
      <c r="A4887" s="59">
        <f t="shared" si="20"/>
        <v>78</v>
      </c>
      <c r="B4887" s="59" t="str">
        <f t="shared" si="21"/>
        <v/>
      </c>
      <c r="C4887" s="59" t="str">
        <f t="shared" si="22"/>
        <v/>
      </c>
      <c r="D4887" s="45" t="str">
        <f t="shared" si="23"/>
        <v/>
      </c>
      <c r="E4887" s="45" t="str">
        <f t="shared" si="24"/>
        <v/>
      </c>
      <c r="F4887" s="59" t="str">
        <f t="shared" si="25"/>
        <v/>
      </c>
      <c r="G4887" s="59" t="str">
        <f t="shared" si="26"/>
        <v/>
      </c>
      <c r="H4887" s="59" t="str">
        <f t="shared" si="27"/>
        <v>28H00603</v>
      </c>
      <c r="I4887" s="59" t="str">
        <f>IF(OR($A4887="",$C4887="",$D4887="",$E4887="",$H4887=""),"",SUMIFS(DATA_GOC!$H:$H,DATA_GOC!$A:$A,"BOM",DATA_GOC!$D:$D,$H4887,DATA_GOC!$E:$E,$C4887,DATA_GOC!$F:$F,"Xuất nội bộ từ téc",DATA_GOC!$B:$B,"&gt;="&amp;$D4887,DATA_GOC!$B:$B,"&lt;="&amp;$E4887))</f>
        <v/>
      </c>
      <c r="J4887" s="59">
        <f t="shared" si="28"/>
        <v>0</v>
      </c>
      <c r="K4887" s="59">
        <f t="shared" si="29"/>
        <v>0</v>
      </c>
      <c r="L4887" s="59">
        <f t="shared" si="30"/>
        <v>0</v>
      </c>
      <c r="M4887" s="59">
        <f t="shared" si="31"/>
        <v>0</v>
      </c>
    </row>
    <row r="4888" ht="15.0" hidden="1" customHeight="1">
      <c r="A4888" s="59">
        <f t="shared" si="20"/>
        <v>78</v>
      </c>
      <c r="B4888" s="59" t="str">
        <f t="shared" si="21"/>
        <v/>
      </c>
      <c r="C4888" s="59" t="str">
        <f t="shared" si="22"/>
        <v/>
      </c>
      <c r="D4888" s="45" t="str">
        <f t="shared" si="23"/>
        <v/>
      </c>
      <c r="E4888" s="45" t="str">
        <f t="shared" si="24"/>
        <v/>
      </c>
      <c r="F4888" s="59" t="str">
        <f t="shared" si="25"/>
        <v/>
      </c>
      <c r="G4888" s="59" t="str">
        <f t="shared" si="26"/>
        <v/>
      </c>
      <c r="H4888" s="59" t="str">
        <f t="shared" si="27"/>
        <v>28H00609</v>
      </c>
      <c r="I4888" s="59" t="str">
        <f>IF(OR($A4888="",$C4888="",$D4888="",$E4888="",$H4888=""),"",SUMIFS(DATA_GOC!$H:$H,DATA_GOC!$A:$A,"BOM",DATA_GOC!$D:$D,$H4888,DATA_GOC!$E:$E,$C4888,DATA_GOC!$F:$F,"Xuất nội bộ từ téc",DATA_GOC!$B:$B,"&gt;="&amp;$D4888,DATA_GOC!$B:$B,"&lt;="&amp;$E4888))</f>
        <v/>
      </c>
      <c r="J4888" s="59">
        <f t="shared" si="28"/>
        <v>0</v>
      </c>
      <c r="K4888" s="59">
        <f t="shared" si="29"/>
        <v>0</v>
      </c>
      <c r="L4888" s="59">
        <f t="shared" si="30"/>
        <v>0</v>
      </c>
      <c r="M4888" s="59">
        <f t="shared" si="31"/>
        <v>0</v>
      </c>
    </row>
    <row r="4889" ht="15.0" hidden="1" customHeight="1">
      <c r="A4889" s="59">
        <f t="shared" si="20"/>
        <v>78</v>
      </c>
      <c r="B4889" s="59" t="str">
        <f t="shared" si="21"/>
        <v/>
      </c>
      <c r="C4889" s="59" t="str">
        <f t="shared" si="22"/>
        <v/>
      </c>
      <c r="D4889" s="45" t="str">
        <f t="shared" si="23"/>
        <v/>
      </c>
      <c r="E4889" s="45" t="str">
        <f t="shared" si="24"/>
        <v/>
      </c>
      <c r="F4889" s="59" t="str">
        <f t="shared" si="25"/>
        <v/>
      </c>
      <c r="G4889" s="59" t="str">
        <f t="shared" si="26"/>
        <v/>
      </c>
      <c r="H4889" s="59" t="str">
        <f t="shared" si="27"/>
        <v>28H00669</v>
      </c>
      <c r="I4889" s="59" t="str">
        <f>IF(OR($A4889="",$C4889="",$D4889="",$E4889="",$H4889=""),"",SUMIFS(DATA_GOC!$H:$H,DATA_GOC!$A:$A,"BOM",DATA_GOC!$D:$D,$H4889,DATA_GOC!$E:$E,$C4889,DATA_GOC!$F:$F,"Xuất nội bộ từ téc",DATA_GOC!$B:$B,"&gt;="&amp;$D4889,DATA_GOC!$B:$B,"&lt;="&amp;$E4889))</f>
        <v/>
      </c>
      <c r="J4889" s="59">
        <f t="shared" si="28"/>
        <v>0</v>
      </c>
      <c r="K4889" s="59">
        <f t="shared" si="29"/>
        <v>0</v>
      </c>
      <c r="L4889" s="59">
        <f t="shared" si="30"/>
        <v>0</v>
      </c>
      <c r="M4889" s="59">
        <f t="shared" si="31"/>
        <v>0</v>
      </c>
    </row>
    <row r="4890" ht="15.0" hidden="1" customHeight="1">
      <c r="A4890" s="59">
        <f t="shared" si="20"/>
        <v>78</v>
      </c>
      <c r="B4890" s="59" t="str">
        <f t="shared" si="21"/>
        <v/>
      </c>
      <c r="C4890" s="59" t="str">
        <f t="shared" si="22"/>
        <v/>
      </c>
      <c r="D4890" s="45" t="str">
        <f t="shared" si="23"/>
        <v/>
      </c>
      <c r="E4890" s="45" t="str">
        <f t="shared" si="24"/>
        <v/>
      </c>
      <c r="F4890" s="59" t="str">
        <f t="shared" si="25"/>
        <v/>
      </c>
      <c r="G4890" s="59" t="str">
        <f t="shared" si="26"/>
        <v/>
      </c>
      <c r="H4890" s="59" t="str">
        <f t="shared" si="27"/>
        <v>28H00680</v>
      </c>
      <c r="I4890" s="59" t="str">
        <f>IF(OR($A4890="",$C4890="",$D4890="",$E4890="",$H4890=""),"",SUMIFS(DATA_GOC!$H:$H,DATA_GOC!$A:$A,"BOM",DATA_GOC!$D:$D,$H4890,DATA_GOC!$E:$E,$C4890,DATA_GOC!$F:$F,"Xuất nội bộ từ téc",DATA_GOC!$B:$B,"&gt;="&amp;$D4890,DATA_GOC!$B:$B,"&lt;="&amp;$E4890))</f>
        <v/>
      </c>
      <c r="J4890" s="59">
        <f t="shared" si="28"/>
        <v>0</v>
      </c>
      <c r="K4890" s="59">
        <f t="shared" si="29"/>
        <v>0</v>
      </c>
      <c r="L4890" s="59">
        <f t="shared" si="30"/>
        <v>0</v>
      </c>
      <c r="M4890" s="59">
        <f t="shared" si="31"/>
        <v>0</v>
      </c>
    </row>
    <row r="4891" ht="15.0" hidden="1" customHeight="1">
      <c r="A4891" s="59">
        <f t="shared" si="20"/>
        <v>78</v>
      </c>
      <c r="B4891" s="59" t="str">
        <f t="shared" si="21"/>
        <v/>
      </c>
      <c r="C4891" s="59" t="str">
        <f t="shared" si="22"/>
        <v/>
      </c>
      <c r="D4891" s="45" t="str">
        <f t="shared" si="23"/>
        <v/>
      </c>
      <c r="E4891" s="45" t="str">
        <f t="shared" si="24"/>
        <v/>
      </c>
      <c r="F4891" s="59" t="str">
        <f t="shared" si="25"/>
        <v/>
      </c>
      <c r="G4891" s="59" t="str">
        <f t="shared" si="26"/>
        <v/>
      </c>
      <c r="H4891" s="59" t="str">
        <f t="shared" si="27"/>
        <v>28H01070</v>
      </c>
      <c r="I4891" s="59" t="str">
        <f>IF(OR($A4891="",$C4891="",$D4891="",$E4891="",$H4891=""),"",SUMIFS(DATA_GOC!$H:$H,DATA_GOC!$A:$A,"BOM",DATA_GOC!$D:$D,$H4891,DATA_GOC!$E:$E,$C4891,DATA_GOC!$F:$F,"Xuất nội bộ từ téc",DATA_GOC!$B:$B,"&gt;="&amp;$D4891,DATA_GOC!$B:$B,"&lt;="&amp;$E4891))</f>
        <v/>
      </c>
      <c r="J4891" s="59">
        <f t="shared" si="28"/>
        <v>0</v>
      </c>
      <c r="K4891" s="59">
        <f t="shared" si="29"/>
        <v>0</v>
      </c>
      <c r="L4891" s="59">
        <f t="shared" si="30"/>
        <v>0</v>
      </c>
      <c r="M4891" s="59">
        <f t="shared" si="31"/>
        <v>0</v>
      </c>
    </row>
    <row r="4892" ht="15.0" hidden="1" customHeight="1">
      <c r="A4892" s="59">
        <f t="shared" si="20"/>
        <v>78</v>
      </c>
      <c r="B4892" s="59" t="str">
        <f t="shared" si="21"/>
        <v/>
      </c>
      <c r="C4892" s="59" t="str">
        <f t="shared" si="22"/>
        <v/>
      </c>
      <c r="D4892" s="45" t="str">
        <f t="shared" si="23"/>
        <v/>
      </c>
      <c r="E4892" s="45" t="str">
        <f t="shared" si="24"/>
        <v/>
      </c>
      <c r="F4892" s="59" t="str">
        <f t="shared" si="25"/>
        <v/>
      </c>
      <c r="G4892" s="59" t="str">
        <f t="shared" si="26"/>
        <v/>
      </c>
      <c r="H4892" s="59" t="str">
        <f t="shared" si="27"/>
        <v>28H01364</v>
      </c>
      <c r="I4892" s="59" t="str">
        <f>IF(OR($A4892="",$C4892="",$D4892="",$E4892="",$H4892=""),"",SUMIFS(DATA_GOC!$H:$H,DATA_GOC!$A:$A,"BOM",DATA_GOC!$D:$D,$H4892,DATA_GOC!$E:$E,$C4892,DATA_GOC!$F:$F,"Xuất nội bộ từ téc",DATA_GOC!$B:$B,"&gt;="&amp;$D4892,DATA_GOC!$B:$B,"&lt;="&amp;$E4892))</f>
        <v/>
      </c>
      <c r="J4892" s="59">
        <f t="shared" si="28"/>
        <v>0</v>
      </c>
      <c r="K4892" s="59">
        <f t="shared" si="29"/>
        <v>0</v>
      </c>
      <c r="L4892" s="59">
        <f t="shared" si="30"/>
        <v>0</v>
      </c>
      <c r="M4892" s="59">
        <f t="shared" si="31"/>
        <v>0</v>
      </c>
    </row>
    <row r="4893" ht="15.0" hidden="1" customHeight="1">
      <c r="A4893" s="59">
        <f t="shared" si="20"/>
        <v>78</v>
      </c>
      <c r="B4893" s="59" t="str">
        <f t="shared" si="21"/>
        <v/>
      </c>
      <c r="C4893" s="59" t="str">
        <f t="shared" si="22"/>
        <v/>
      </c>
      <c r="D4893" s="45" t="str">
        <f t="shared" si="23"/>
        <v/>
      </c>
      <c r="E4893" s="45" t="str">
        <f t="shared" si="24"/>
        <v/>
      </c>
      <c r="F4893" s="59" t="str">
        <f t="shared" si="25"/>
        <v/>
      </c>
      <c r="G4893" s="59" t="str">
        <f t="shared" si="26"/>
        <v/>
      </c>
      <c r="H4893" s="59" t="str">
        <f t="shared" si="27"/>
        <v>29E17269</v>
      </c>
      <c r="I4893" s="59" t="str">
        <f>IF(OR($A4893="",$C4893="",$D4893="",$E4893="",$H4893=""),"",SUMIFS(DATA_GOC!$H:$H,DATA_GOC!$A:$A,"BOM",DATA_GOC!$D:$D,$H4893,DATA_GOC!$E:$E,$C4893,DATA_GOC!$F:$F,"Xuất nội bộ từ téc",DATA_GOC!$B:$B,"&gt;="&amp;$D4893,DATA_GOC!$B:$B,"&lt;="&amp;$E4893))</f>
        <v/>
      </c>
      <c r="J4893" s="59">
        <f t="shared" si="28"/>
        <v>0</v>
      </c>
      <c r="K4893" s="59">
        <f t="shared" si="29"/>
        <v>0</v>
      </c>
      <c r="L4893" s="59">
        <f t="shared" si="30"/>
        <v>0</v>
      </c>
      <c r="M4893" s="59">
        <f t="shared" si="31"/>
        <v>0</v>
      </c>
    </row>
    <row r="4894" ht="15.0" hidden="1" customHeight="1">
      <c r="A4894" s="59">
        <f t="shared" si="20"/>
        <v>78</v>
      </c>
      <c r="B4894" s="59" t="str">
        <f t="shared" si="21"/>
        <v/>
      </c>
      <c r="C4894" s="59" t="str">
        <f t="shared" si="22"/>
        <v/>
      </c>
      <c r="D4894" s="45" t="str">
        <f t="shared" si="23"/>
        <v/>
      </c>
      <c r="E4894" s="45" t="str">
        <f t="shared" si="24"/>
        <v/>
      </c>
      <c r="F4894" s="59" t="str">
        <f t="shared" si="25"/>
        <v/>
      </c>
      <c r="G4894" s="59" t="str">
        <f t="shared" si="26"/>
        <v/>
      </c>
      <c r="H4894" s="59" t="str">
        <f t="shared" si="27"/>
        <v>29E17273</v>
      </c>
      <c r="I4894" s="59" t="str">
        <f>IF(OR($A4894="",$C4894="",$D4894="",$E4894="",$H4894=""),"",SUMIFS(DATA_GOC!$H:$H,DATA_GOC!$A:$A,"BOM",DATA_GOC!$D:$D,$H4894,DATA_GOC!$E:$E,$C4894,DATA_GOC!$F:$F,"Xuất nội bộ từ téc",DATA_GOC!$B:$B,"&gt;="&amp;$D4894,DATA_GOC!$B:$B,"&lt;="&amp;$E4894))</f>
        <v/>
      </c>
      <c r="J4894" s="59">
        <f t="shared" si="28"/>
        <v>0</v>
      </c>
      <c r="K4894" s="59">
        <f t="shared" si="29"/>
        <v>0</v>
      </c>
      <c r="L4894" s="59">
        <f t="shared" si="30"/>
        <v>0</v>
      </c>
      <c r="M4894" s="59">
        <f t="shared" si="31"/>
        <v>0</v>
      </c>
    </row>
    <row r="4895" ht="15.0" hidden="1" customHeight="1">
      <c r="A4895" s="59">
        <f t="shared" si="20"/>
        <v>78</v>
      </c>
      <c r="B4895" s="59" t="str">
        <f t="shared" si="21"/>
        <v/>
      </c>
      <c r="C4895" s="59" t="str">
        <f t="shared" si="22"/>
        <v/>
      </c>
      <c r="D4895" s="45" t="str">
        <f t="shared" si="23"/>
        <v/>
      </c>
      <c r="E4895" s="45" t="str">
        <f t="shared" si="24"/>
        <v/>
      </c>
      <c r="F4895" s="59" t="str">
        <f t="shared" si="25"/>
        <v/>
      </c>
      <c r="G4895" s="59" t="str">
        <f t="shared" si="26"/>
        <v/>
      </c>
      <c r="H4895" s="59" t="str">
        <f t="shared" si="27"/>
        <v>29E17410</v>
      </c>
      <c r="I4895" s="59" t="str">
        <f>IF(OR($A4895="",$C4895="",$D4895="",$E4895="",$H4895=""),"",SUMIFS(DATA_GOC!$H:$H,DATA_GOC!$A:$A,"BOM",DATA_GOC!$D:$D,$H4895,DATA_GOC!$E:$E,$C4895,DATA_GOC!$F:$F,"Xuất nội bộ từ téc",DATA_GOC!$B:$B,"&gt;="&amp;$D4895,DATA_GOC!$B:$B,"&lt;="&amp;$E4895))</f>
        <v/>
      </c>
      <c r="J4895" s="59">
        <f t="shared" si="28"/>
        <v>0</v>
      </c>
      <c r="K4895" s="59">
        <f t="shared" si="29"/>
        <v>0</v>
      </c>
      <c r="L4895" s="59">
        <f t="shared" si="30"/>
        <v>0</v>
      </c>
      <c r="M4895" s="59">
        <f t="shared" si="31"/>
        <v>0</v>
      </c>
    </row>
    <row r="4896" ht="15.0" hidden="1" customHeight="1">
      <c r="A4896" s="59">
        <f t="shared" si="20"/>
        <v>78</v>
      </c>
      <c r="B4896" s="59" t="str">
        <f t="shared" si="21"/>
        <v/>
      </c>
      <c r="C4896" s="59" t="str">
        <f t="shared" si="22"/>
        <v/>
      </c>
      <c r="D4896" s="45" t="str">
        <f t="shared" si="23"/>
        <v/>
      </c>
      <c r="E4896" s="45" t="str">
        <f t="shared" si="24"/>
        <v/>
      </c>
      <c r="F4896" s="59" t="str">
        <f t="shared" si="25"/>
        <v/>
      </c>
      <c r="G4896" s="59" t="str">
        <f t="shared" si="26"/>
        <v/>
      </c>
      <c r="H4896" s="59" t="str">
        <f t="shared" si="27"/>
        <v>29E17417</v>
      </c>
      <c r="I4896" s="59" t="str">
        <f>IF(OR($A4896="",$C4896="",$D4896="",$E4896="",$H4896=""),"",SUMIFS(DATA_GOC!$H:$H,DATA_GOC!$A:$A,"BOM",DATA_GOC!$D:$D,$H4896,DATA_GOC!$E:$E,$C4896,DATA_GOC!$F:$F,"Xuất nội bộ từ téc",DATA_GOC!$B:$B,"&gt;="&amp;$D4896,DATA_GOC!$B:$B,"&lt;="&amp;$E4896))</f>
        <v/>
      </c>
      <c r="J4896" s="59">
        <f t="shared" si="28"/>
        <v>0</v>
      </c>
      <c r="K4896" s="59">
        <f t="shared" si="29"/>
        <v>0</v>
      </c>
      <c r="L4896" s="59">
        <f t="shared" si="30"/>
        <v>0</v>
      </c>
      <c r="M4896" s="59">
        <f t="shared" si="31"/>
        <v>0</v>
      </c>
    </row>
    <row r="4897" ht="15.0" hidden="1" customHeight="1">
      <c r="A4897" s="59">
        <f t="shared" si="20"/>
        <v>78</v>
      </c>
      <c r="B4897" s="59" t="str">
        <f t="shared" si="21"/>
        <v/>
      </c>
      <c r="C4897" s="59" t="str">
        <f t="shared" si="22"/>
        <v/>
      </c>
      <c r="D4897" s="45" t="str">
        <f t="shared" si="23"/>
        <v/>
      </c>
      <c r="E4897" s="45" t="str">
        <f t="shared" si="24"/>
        <v/>
      </c>
      <c r="F4897" s="59" t="str">
        <f t="shared" si="25"/>
        <v/>
      </c>
      <c r="G4897" s="59" t="str">
        <f t="shared" si="26"/>
        <v/>
      </c>
      <c r="H4897" s="59" t="str">
        <f t="shared" si="27"/>
        <v>29E17539</v>
      </c>
      <c r="I4897" s="59" t="str">
        <f>IF(OR($A4897="",$C4897="",$D4897="",$E4897="",$H4897=""),"",SUMIFS(DATA_GOC!$H:$H,DATA_GOC!$A:$A,"BOM",DATA_GOC!$D:$D,$H4897,DATA_GOC!$E:$E,$C4897,DATA_GOC!$F:$F,"Xuất nội bộ từ téc",DATA_GOC!$B:$B,"&gt;="&amp;$D4897,DATA_GOC!$B:$B,"&lt;="&amp;$E4897))</f>
        <v/>
      </c>
      <c r="J4897" s="59">
        <f t="shared" si="28"/>
        <v>0</v>
      </c>
      <c r="K4897" s="59">
        <f t="shared" si="29"/>
        <v>0</v>
      </c>
      <c r="L4897" s="59">
        <f t="shared" si="30"/>
        <v>0</v>
      </c>
      <c r="M4897" s="59">
        <f t="shared" si="31"/>
        <v>0</v>
      </c>
    </row>
    <row r="4898" ht="15.0" hidden="1" customHeight="1">
      <c r="A4898" s="59">
        <f t="shared" si="20"/>
        <v>78</v>
      </c>
      <c r="B4898" s="59" t="str">
        <f t="shared" si="21"/>
        <v/>
      </c>
      <c r="C4898" s="59" t="str">
        <f t="shared" si="22"/>
        <v/>
      </c>
      <c r="D4898" s="45" t="str">
        <f t="shared" si="23"/>
        <v/>
      </c>
      <c r="E4898" s="45" t="str">
        <f t="shared" si="24"/>
        <v/>
      </c>
      <c r="F4898" s="59" t="str">
        <f t="shared" si="25"/>
        <v/>
      </c>
      <c r="G4898" s="59" t="str">
        <f t="shared" si="26"/>
        <v/>
      </c>
      <c r="H4898" s="59" t="str">
        <f t="shared" si="27"/>
        <v>29E18160</v>
      </c>
      <c r="I4898" s="59" t="str">
        <f>IF(OR($A4898="",$C4898="",$D4898="",$E4898="",$H4898=""),"",SUMIFS(DATA_GOC!$H:$H,DATA_GOC!$A:$A,"BOM",DATA_GOC!$D:$D,$H4898,DATA_GOC!$E:$E,$C4898,DATA_GOC!$F:$F,"Xuất nội bộ từ téc",DATA_GOC!$B:$B,"&gt;="&amp;$D4898,DATA_GOC!$B:$B,"&lt;="&amp;$E4898))</f>
        <v/>
      </c>
      <c r="J4898" s="59">
        <f t="shared" si="28"/>
        <v>0</v>
      </c>
      <c r="K4898" s="59">
        <f t="shared" si="29"/>
        <v>0</v>
      </c>
      <c r="L4898" s="59">
        <f t="shared" si="30"/>
        <v>0</v>
      </c>
      <c r="M4898" s="59">
        <f t="shared" si="31"/>
        <v>0</v>
      </c>
    </row>
    <row r="4899" ht="15.0" hidden="1" customHeight="1">
      <c r="A4899" s="59">
        <f t="shared" si="20"/>
        <v>78</v>
      </c>
      <c r="B4899" s="59" t="str">
        <f t="shared" si="21"/>
        <v/>
      </c>
      <c r="C4899" s="59" t="str">
        <f t="shared" si="22"/>
        <v/>
      </c>
      <c r="D4899" s="45" t="str">
        <f t="shared" si="23"/>
        <v/>
      </c>
      <c r="E4899" s="45" t="str">
        <f t="shared" si="24"/>
        <v/>
      </c>
      <c r="F4899" s="59" t="str">
        <f t="shared" si="25"/>
        <v/>
      </c>
      <c r="G4899" s="59" t="str">
        <f t="shared" si="26"/>
        <v/>
      </c>
      <c r="H4899" s="59" t="str">
        <f t="shared" si="27"/>
        <v>Công trình Asphalt</v>
      </c>
      <c r="I4899" s="59" t="str">
        <f>IF(OR($A4899="",$C4899="",$D4899="",$E4899="",$H4899=""),"",SUMIFS(DATA_GOC!$H:$H,DATA_GOC!$A:$A,"BOM",DATA_GOC!$D:$D,$H4899,DATA_GOC!$E:$E,$C4899,DATA_GOC!$F:$F,"Xuất nội bộ từ téc",DATA_GOC!$B:$B,"&gt;="&amp;$D4899,DATA_GOC!$B:$B,"&lt;="&amp;$E4899))</f>
        <v/>
      </c>
      <c r="J4899" s="59">
        <f t="shared" si="28"/>
        <v>0</v>
      </c>
      <c r="K4899" s="59">
        <f t="shared" si="29"/>
        <v>0</v>
      </c>
      <c r="L4899" s="59">
        <f t="shared" si="30"/>
        <v>0</v>
      </c>
      <c r="M4899" s="59">
        <f t="shared" si="31"/>
        <v>0</v>
      </c>
    </row>
    <row r="4900" ht="15.0" hidden="1" customHeight="1">
      <c r="A4900" s="59">
        <f t="shared" si="20"/>
        <v>78</v>
      </c>
      <c r="B4900" s="59" t="str">
        <f t="shared" si="21"/>
        <v/>
      </c>
      <c r="C4900" s="59" t="str">
        <f t="shared" si="22"/>
        <v/>
      </c>
      <c r="D4900" s="45" t="str">
        <f t="shared" si="23"/>
        <v/>
      </c>
      <c r="E4900" s="45" t="str">
        <f t="shared" si="24"/>
        <v/>
      </c>
      <c r="F4900" s="59" t="str">
        <f t="shared" si="25"/>
        <v/>
      </c>
      <c r="G4900" s="59" t="str">
        <f t="shared" si="26"/>
        <v/>
      </c>
      <c r="H4900" s="59" t="str">
        <f t="shared" si="27"/>
        <v>LG53F</v>
      </c>
      <c r="I4900" s="59" t="str">
        <f>IF(OR($A4900="",$C4900="",$D4900="",$E4900="",$H4900=""),"",SUMIFS(DATA_GOC!$H:$H,DATA_GOC!$A:$A,"BOM",DATA_GOC!$D:$D,$H4900,DATA_GOC!$E:$E,$C4900,DATA_GOC!$F:$F,"Xuất nội bộ từ téc",DATA_GOC!$B:$B,"&gt;="&amp;$D4900,DATA_GOC!$B:$B,"&lt;="&amp;$E4900))</f>
        <v/>
      </c>
      <c r="J4900" s="59">
        <f t="shared" si="28"/>
        <v>0</v>
      </c>
      <c r="K4900" s="59">
        <f t="shared" si="29"/>
        <v>0</v>
      </c>
      <c r="L4900" s="59">
        <f t="shared" si="30"/>
        <v>0</v>
      </c>
      <c r="M4900" s="59">
        <f t="shared" si="31"/>
        <v>0</v>
      </c>
    </row>
    <row r="4901" ht="15.0" hidden="1" customHeight="1">
      <c r="A4901" s="59">
        <f t="shared" si="20"/>
        <v>78</v>
      </c>
      <c r="B4901" s="59" t="str">
        <f t="shared" si="21"/>
        <v/>
      </c>
      <c r="C4901" s="59" t="str">
        <f t="shared" si="22"/>
        <v/>
      </c>
      <c r="D4901" s="45" t="str">
        <f t="shared" si="23"/>
        <v/>
      </c>
      <c r="E4901" s="45" t="str">
        <f t="shared" si="24"/>
        <v/>
      </c>
      <c r="F4901" s="59" t="str">
        <f t="shared" si="25"/>
        <v/>
      </c>
      <c r="G4901" s="59" t="str">
        <f t="shared" si="26"/>
        <v/>
      </c>
      <c r="H4901" s="59" t="str">
        <f t="shared" si="27"/>
        <v>Máy phát điện</v>
      </c>
      <c r="I4901" s="59" t="str">
        <f>IF(OR($A4901="",$C4901="",$D4901="",$E4901="",$H4901=""),"",SUMIFS(DATA_GOC!$H:$H,DATA_GOC!$A:$A,"BOM",DATA_GOC!$D:$D,$H4901,DATA_GOC!$E:$E,$C4901,DATA_GOC!$F:$F,"Xuất nội bộ từ téc",DATA_GOC!$B:$B,"&gt;="&amp;$D4901,DATA_GOC!$B:$B,"&lt;="&amp;$E4901))</f>
        <v/>
      </c>
      <c r="J4901" s="59">
        <f t="shared" si="28"/>
        <v>0</v>
      </c>
      <c r="K4901" s="59">
        <f t="shared" si="29"/>
        <v>0</v>
      </c>
      <c r="L4901" s="59">
        <f t="shared" si="30"/>
        <v>0</v>
      </c>
      <c r="M4901" s="59">
        <f t="shared" si="31"/>
        <v>0</v>
      </c>
    </row>
    <row r="4902" ht="15.0" hidden="1" customHeight="1">
      <c r="A4902" s="59">
        <f t="shared" si="20"/>
        <v>78</v>
      </c>
      <c r="B4902" s="59" t="str">
        <f t="shared" si="21"/>
        <v/>
      </c>
      <c r="C4902" s="59" t="str">
        <f t="shared" si="22"/>
        <v/>
      </c>
      <c r="D4902" s="45" t="str">
        <f t="shared" si="23"/>
        <v/>
      </c>
      <c r="E4902" s="45" t="str">
        <f t="shared" si="24"/>
        <v/>
      </c>
      <c r="F4902" s="59" t="str">
        <f t="shared" si="25"/>
        <v/>
      </c>
      <c r="G4902" s="59" t="str">
        <f t="shared" si="26"/>
        <v/>
      </c>
      <c r="H4902" s="59" t="str">
        <f t="shared" si="27"/>
        <v>Máy rải thảm</v>
      </c>
      <c r="I4902" s="59" t="str">
        <f>IF(OR($A4902="",$C4902="",$D4902="",$E4902="",$H4902=""),"",SUMIFS(DATA_GOC!$H:$H,DATA_GOC!$A:$A,"BOM",DATA_GOC!$D:$D,$H4902,DATA_GOC!$E:$E,$C4902,DATA_GOC!$F:$F,"Xuất nội bộ từ téc",DATA_GOC!$B:$B,"&gt;="&amp;$D4902,DATA_GOC!$B:$B,"&lt;="&amp;$E4902))</f>
        <v/>
      </c>
      <c r="J4902" s="59">
        <f t="shared" si="28"/>
        <v>0</v>
      </c>
      <c r="K4902" s="59">
        <f t="shared" si="29"/>
        <v>0</v>
      </c>
      <c r="L4902" s="59">
        <f t="shared" si="30"/>
        <v>0</v>
      </c>
      <c r="M4902" s="59">
        <f t="shared" si="31"/>
        <v>0</v>
      </c>
    </row>
    <row r="4903" ht="15.0" hidden="1" customHeight="1">
      <c r="A4903" s="59">
        <f t="shared" si="20"/>
        <v>78</v>
      </c>
      <c r="B4903" s="59" t="str">
        <f t="shared" si="21"/>
        <v/>
      </c>
      <c r="C4903" s="59" t="str">
        <f t="shared" si="22"/>
        <v/>
      </c>
      <c r="D4903" s="45" t="str">
        <f t="shared" si="23"/>
        <v/>
      </c>
      <c r="E4903" s="45" t="str">
        <f t="shared" si="24"/>
        <v/>
      </c>
      <c r="F4903" s="59" t="str">
        <f t="shared" si="25"/>
        <v/>
      </c>
      <c r="G4903" s="59" t="str">
        <f t="shared" si="26"/>
        <v/>
      </c>
      <c r="H4903" s="59" t="str">
        <f t="shared" si="27"/>
        <v>Xúc Đào</v>
      </c>
      <c r="I4903" s="59" t="str">
        <f>IF(OR($A4903="",$C4903="",$D4903="",$E4903="",$H4903=""),"",SUMIFS(DATA_GOC!$H:$H,DATA_GOC!$A:$A,"BOM",DATA_GOC!$D:$D,$H4903,DATA_GOC!$E:$E,$C4903,DATA_GOC!$F:$F,"Xuất nội bộ từ téc",DATA_GOC!$B:$B,"&gt;="&amp;$D4903,DATA_GOC!$B:$B,"&lt;="&amp;$E4903))</f>
        <v/>
      </c>
      <c r="J4903" s="59">
        <f t="shared" si="28"/>
        <v>0</v>
      </c>
      <c r="K4903" s="59">
        <f t="shared" si="29"/>
        <v>0</v>
      </c>
      <c r="L4903" s="59">
        <f t="shared" si="30"/>
        <v>0</v>
      </c>
      <c r="M4903" s="59">
        <f t="shared" si="31"/>
        <v>0</v>
      </c>
    </row>
    <row r="4904" ht="15.0" hidden="1" customHeight="1">
      <c r="A4904" s="59">
        <f t="shared" si="20"/>
        <v>78</v>
      </c>
      <c r="B4904" s="59" t="str">
        <f t="shared" si="21"/>
        <v/>
      </c>
      <c r="C4904" s="59" t="str">
        <f t="shared" si="22"/>
        <v/>
      </c>
      <c r="D4904" s="45" t="str">
        <f t="shared" si="23"/>
        <v/>
      </c>
      <c r="E4904" s="45" t="str">
        <f t="shared" si="24"/>
        <v/>
      </c>
      <c r="F4904" s="59" t="str">
        <f t="shared" si="25"/>
        <v/>
      </c>
      <c r="G4904" s="59" t="str">
        <f t="shared" si="26"/>
        <v/>
      </c>
      <c r="H4904" s="59" t="str">
        <f t="shared" si="27"/>
        <v>Xúclật asphalt</v>
      </c>
      <c r="I4904" s="59" t="str">
        <f>IF(OR($A4904="",$C4904="",$D4904="",$E4904="",$H4904=""),"",SUMIFS(DATA_GOC!$H:$H,DATA_GOC!$A:$A,"BOM",DATA_GOC!$D:$D,$H4904,DATA_GOC!$E:$E,$C4904,DATA_GOC!$F:$F,"Xuất nội bộ từ téc",DATA_GOC!$B:$B,"&gt;="&amp;$D4904,DATA_GOC!$B:$B,"&lt;="&amp;$E4904))</f>
        <v/>
      </c>
      <c r="J4904" s="59">
        <f t="shared" si="28"/>
        <v>0</v>
      </c>
      <c r="K4904" s="59">
        <f t="shared" si="29"/>
        <v>0</v>
      </c>
      <c r="L4904" s="59">
        <f t="shared" si="30"/>
        <v>0</v>
      </c>
      <c r="M4904" s="59">
        <f t="shared" si="31"/>
        <v>0</v>
      </c>
    </row>
    <row r="4905" ht="15.0" hidden="1" customHeight="1">
      <c r="A4905" s="59">
        <f t="shared" si="20"/>
        <v>78</v>
      </c>
      <c r="B4905" s="59" t="str">
        <f t="shared" si="21"/>
        <v/>
      </c>
      <c r="C4905" s="59" t="str">
        <f t="shared" si="22"/>
        <v/>
      </c>
      <c r="D4905" s="45" t="str">
        <f t="shared" si="23"/>
        <v/>
      </c>
      <c r="E4905" s="45" t="str">
        <f t="shared" si="24"/>
        <v/>
      </c>
      <c r="F4905" s="59" t="str">
        <f t="shared" si="25"/>
        <v/>
      </c>
      <c r="G4905" s="59" t="str">
        <f t="shared" si="26"/>
        <v/>
      </c>
      <c r="H4905" s="59" t="str">
        <f t="shared" si="27"/>
        <v>Xúclật855H</v>
      </c>
      <c r="I4905" s="59" t="str">
        <f>IF(OR($A4905="",$C4905="",$D4905="",$E4905="",$H4905=""),"",SUMIFS(DATA_GOC!$H:$H,DATA_GOC!$A:$A,"BOM",DATA_GOC!$D:$D,$H4905,DATA_GOC!$E:$E,$C4905,DATA_GOC!$F:$F,"Xuất nội bộ từ téc",DATA_GOC!$B:$B,"&gt;="&amp;$D4905,DATA_GOC!$B:$B,"&lt;="&amp;$E4905))</f>
        <v/>
      </c>
      <c r="J4905" s="59">
        <f t="shared" si="28"/>
        <v>0</v>
      </c>
      <c r="K4905" s="59">
        <f t="shared" si="29"/>
        <v>0</v>
      </c>
      <c r="L4905" s="59">
        <f t="shared" si="30"/>
        <v>0</v>
      </c>
      <c r="M4905" s="59">
        <f t="shared" si="31"/>
        <v>0</v>
      </c>
    </row>
    <row r="4906" ht="15.0" hidden="1" customHeight="1">
      <c r="A4906" s="59">
        <f t="shared" si="20"/>
        <v>78</v>
      </c>
      <c r="B4906" s="59" t="str">
        <f t="shared" si="21"/>
        <v/>
      </c>
      <c r="C4906" s="59" t="str">
        <f t="shared" si="22"/>
        <v/>
      </c>
      <c r="D4906" s="45" t="str">
        <f t="shared" si="23"/>
        <v/>
      </c>
      <c r="E4906" s="45" t="str">
        <f t="shared" si="24"/>
        <v/>
      </c>
      <c r="F4906" s="59" t="str">
        <f t="shared" si="25"/>
        <v/>
      </c>
      <c r="G4906" s="59" t="str">
        <f t="shared" si="26"/>
        <v/>
      </c>
      <c r="H4906" s="59" t="str">
        <f t="shared" si="27"/>
        <v>Xúclật855N</v>
      </c>
      <c r="I4906" s="59" t="str">
        <f>IF(OR($A4906="",$C4906="",$D4906="",$E4906="",$H4906=""),"",SUMIFS(DATA_GOC!$H:$H,DATA_GOC!$A:$A,"BOM",DATA_GOC!$D:$D,$H4906,DATA_GOC!$E:$E,$C4906,DATA_GOC!$F:$F,"Xuất nội bộ từ téc",DATA_GOC!$B:$B,"&gt;="&amp;$D4906,DATA_GOC!$B:$B,"&lt;="&amp;$E4906))</f>
        <v/>
      </c>
      <c r="J4906" s="59">
        <f t="shared" si="28"/>
        <v>0</v>
      </c>
      <c r="K4906" s="59">
        <f t="shared" si="29"/>
        <v>0</v>
      </c>
      <c r="L4906" s="59">
        <f t="shared" si="30"/>
        <v>0</v>
      </c>
      <c r="M4906" s="59">
        <f t="shared" si="31"/>
        <v>0</v>
      </c>
    </row>
    <row r="4907" ht="15.0" hidden="1" customHeight="1">
      <c r="A4907" s="59">
        <f t="shared" si="20"/>
        <v>78</v>
      </c>
      <c r="B4907" s="59" t="str">
        <f t="shared" si="21"/>
        <v/>
      </c>
      <c r="C4907" s="59" t="str">
        <f t="shared" si="22"/>
        <v/>
      </c>
      <c r="D4907" s="45" t="str">
        <f t="shared" si="23"/>
        <v/>
      </c>
      <c r="E4907" s="45" t="str">
        <f t="shared" si="24"/>
        <v/>
      </c>
      <c r="F4907" s="59" t="str">
        <f t="shared" si="25"/>
        <v/>
      </c>
      <c r="G4907" s="59" t="str">
        <f t="shared" si="26"/>
        <v/>
      </c>
      <c r="H4907" s="59" t="str">
        <f t="shared" si="27"/>
        <v>Cát nghiền</v>
      </c>
      <c r="I4907" s="59" t="str">
        <f>IF(OR($A4907="",$C4907="",$D4907="",$E4907="",$H4907=""),"",SUMIFS(DATA_GOC!$H:$H,DATA_GOC!$A:$A,"BOM",DATA_GOC!$D:$D,$H4907,DATA_GOC!$E:$E,$C4907,DATA_GOC!$F:$F,"Xuất nội bộ từ téc",DATA_GOC!$B:$B,"&gt;="&amp;$D4907,DATA_GOC!$B:$B,"&lt;="&amp;$E4907))</f>
        <v/>
      </c>
      <c r="J4907" s="59">
        <f t="shared" si="28"/>
        <v>0</v>
      </c>
      <c r="K4907" s="59">
        <f t="shared" si="29"/>
        <v>0</v>
      </c>
      <c r="L4907" s="59">
        <f t="shared" si="30"/>
        <v>0</v>
      </c>
      <c r="M4907" s="59">
        <f t="shared" si="31"/>
        <v>0</v>
      </c>
    </row>
    <row r="4908" ht="15.0" hidden="1" customHeight="1">
      <c r="A4908" s="59">
        <f t="shared" si="20"/>
        <v>78</v>
      </c>
      <c r="B4908" s="59" t="str">
        <f t="shared" si="21"/>
        <v/>
      </c>
      <c r="C4908" s="59" t="str">
        <f t="shared" si="22"/>
        <v/>
      </c>
      <c r="D4908" s="45" t="str">
        <f t="shared" si="23"/>
        <v/>
      </c>
      <c r="E4908" s="45" t="str">
        <f t="shared" si="24"/>
        <v/>
      </c>
      <c r="F4908" s="59" t="str">
        <f t="shared" si="25"/>
        <v/>
      </c>
      <c r="G4908" s="59" t="str">
        <f t="shared" si="26"/>
        <v/>
      </c>
      <c r="H4908" s="59" t="str">
        <f t="shared" si="27"/>
        <v>28C02973</v>
      </c>
      <c r="I4908" s="59" t="str">
        <f>IF(OR($A4908="",$C4908="",$D4908="",$E4908="",$H4908=""),"",SUMIFS(DATA_GOC!$H:$H,DATA_GOC!$A:$A,"BOM",DATA_GOC!$D:$D,$H4908,DATA_GOC!$E:$E,$C4908,DATA_GOC!$F:$F,"Xuất nội bộ từ téc",DATA_GOC!$B:$B,"&gt;="&amp;$D4908,DATA_GOC!$B:$B,"&lt;="&amp;$E4908))</f>
        <v/>
      </c>
      <c r="J4908" s="59">
        <f t="shared" si="28"/>
        <v>0</v>
      </c>
      <c r="K4908" s="59">
        <f t="shared" si="29"/>
        <v>0</v>
      </c>
      <c r="L4908" s="59">
        <f t="shared" si="30"/>
        <v>0</v>
      </c>
      <c r="M4908" s="59">
        <f t="shared" si="31"/>
        <v>0</v>
      </c>
    </row>
    <row r="4909" ht="15.0" hidden="1" customHeight="1">
      <c r="A4909" s="59">
        <f t="shared" si="20"/>
        <v>78</v>
      </c>
      <c r="B4909" s="59" t="str">
        <f t="shared" si="21"/>
        <v/>
      </c>
      <c r="C4909" s="59" t="str">
        <f t="shared" si="22"/>
        <v/>
      </c>
      <c r="D4909" s="45" t="str">
        <f t="shared" si="23"/>
        <v/>
      </c>
      <c r="E4909" s="45" t="str">
        <f t="shared" si="24"/>
        <v/>
      </c>
      <c r="F4909" s="59" t="str">
        <f t="shared" si="25"/>
        <v/>
      </c>
      <c r="G4909" s="59" t="str">
        <f t="shared" si="26"/>
        <v/>
      </c>
      <c r="H4909" s="59" t="str">
        <f t="shared" si="27"/>
        <v>28C03044</v>
      </c>
      <c r="I4909" s="59" t="str">
        <f>IF(OR($A4909="",$C4909="",$D4909="",$E4909="",$H4909=""),"",SUMIFS(DATA_GOC!$H:$H,DATA_GOC!$A:$A,"BOM",DATA_GOC!$D:$D,$H4909,DATA_GOC!$E:$E,$C4909,DATA_GOC!$F:$F,"Xuất nội bộ từ téc",DATA_GOC!$B:$B,"&gt;="&amp;$D4909,DATA_GOC!$B:$B,"&lt;="&amp;$E4909))</f>
        <v/>
      </c>
      <c r="J4909" s="59">
        <f t="shared" si="28"/>
        <v>0</v>
      </c>
      <c r="K4909" s="59">
        <f t="shared" si="29"/>
        <v>0</v>
      </c>
      <c r="L4909" s="59">
        <f t="shared" si="30"/>
        <v>0</v>
      </c>
      <c r="M4909" s="59">
        <f t="shared" si="31"/>
        <v>0</v>
      </c>
    </row>
    <row r="4910" ht="15.0" hidden="1" customHeight="1">
      <c r="A4910" s="59">
        <f t="shared" si="20"/>
        <v>78</v>
      </c>
      <c r="B4910" s="59" t="str">
        <f t="shared" si="21"/>
        <v/>
      </c>
      <c r="C4910" s="59" t="str">
        <f t="shared" si="22"/>
        <v/>
      </c>
      <c r="D4910" s="45" t="str">
        <f t="shared" si="23"/>
        <v/>
      </c>
      <c r="E4910" s="45" t="str">
        <f t="shared" si="24"/>
        <v/>
      </c>
      <c r="F4910" s="59" t="str">
        <f t="shared" si="25"/>
        <v/>
      </c>
      <c r="G4910" s="59" t="str">
        <f t="shared" si="26"/>
        <v/>
      </c>
      <c r="H4910" s="59" t="str">
        <f t="shared" si="27"/>
        <v>Máy lu lốp</v>
      </c>
      <c r="I4910" s="59" t="str">
        <f>IF(OR($A4910="",$C4910="",$D4910="",$E4910="",$H4910=""),"",SUMIFS(DATA_GOC!$H:$H,DATA_GOC!$A:$A,"BOM",DATA_GOC!$D:$D,$H4910,DATA_GOC!$E:$E,$C4910,DATA_GOC!$F:$F,"Xuất nội bộ từ téc",DATA_GOC!$B:$B,"&gt;="&amp;$D4910,DATA_GOC!$B:$B,"&lt;="&amp;$E4910))</f>
        <v/>
      </c>
      <c r="J4910" s="59">
        <f t="shared" si="28"/>
        <v>0</v>
      </c>
      <c r="K4910" s="59">
        <f t="shared" si="29"/>
        <v>0</v>
      </c>
      <c r="L4910" s="59">
        <f t="shared" si="30"/>
        <v>0</v>
      </c>
      <c r="M4910" s="59">
        <f t="shared" si="31"/>
        <v>0</v>
      </c>
    </row>
    <row r="4911" ht="15.0" hidden="1" customHeight="1">
      <c r="A4911" s="59">
        <f t="shared" si="20"/>
        <v>78</v>
      </c>
      <c r="B4911" s="59" t="str">
        <f t="shared" si="21"/>
        <v/>
      </c>
      <c r="C4911" s="59" t="str">
        <f t="shared" si="22"/>
        <v/>
      </c>
      <c r="D4911" s="45" t="str">
        <f t="shared" si="23"/>
        <v/>
      </c>
      <c r="E4911" s="45" t="str">
        <f t="shared" si="24"/>
        <v/>
      </c>
      <c r="F4911" s="59" t="str">
        <f t="shared" si="25"/>
        <v/>
      </c>
      <c r="G4911" s="59" t="str">
        <f t="shared" si="26"/>
        <v/>
      </c>
      <c r="H4911" s="59" t="str">
        <f t="shared" si="27"/>
        <v>Xe 600148</v>
      </c>
      <c r="I4911" s="59" t="str">
        <f>IF(OR($A4911="",$C4911="",$D4911="",$E4911="",$H4911=""),"",SUMIFS(DATA_GOC!$H:$H,DATA_GOC!$A:$A,"BOM",DATA_GOC!$D:$D,$H4911,DATA_GOC!$E:$E,$C4911,DATA_GOC!$F:$F,"Xuất nội bộ từ téc",DATA_GOC!$B:$B,"&gt;="&amp;$D4911,DATA_GOC!$B:$B,"&lt;="&amp;$E4911))</f>
        <v/>
      </c>
      <c r="J4911" s="59">
        <f t="shared" si="28"/>
        <v>0</v>
      </c>
      <c r="K4911" s="59">
        <f t="shared" si="29"/>
        <v>0</v>
      </c>
      <c r="L4911" s="59">
        <f t="shared" si="30"/>
        <v>0</v>
      </c>
      <c r="M4911" s="59">
        <f t="shared" si="31"/>
        <v>0</v>
      </c>
    </row>
    <row r="4912" ht="15.0" hidden="1" customHeight="1">
      <c r="A4912" s="59">
        <f t="shared" si="20"/>
        <v>78</v>
      </c>
      <c r="B4912" s="59" t="str">
        <f t="shared" si="21"/>
        <v/>
      </c>
      <c r="C4912" s="59" t="str">
        <f t="shared" si="22"/>
        <v/>
      </c>
      <c r="D4912" s="45" t="str">
        <f t="shared" si="23"/>
        <v/>
      </c>
      <c r="E4912" s="45" t="str">
        <f t="shared" si="24"/>
        <v/>
      </c>
      <c r="F4912" s="59" t="str">
        <f t="shared" si="25"/>
        <v/>
      </c>
      <c r="G4912" s="59" t="str">
        <f t="shared" si="26"/>
        <v/>
      </c>
      <c r="H4912" s="59" t="str">
        <f t="shared" si="27"/>
        <v>Xe ben mới</v>
      </c>
      <c r="I4912" s="59" t="str">
        <f>IF(OR($A4912="",$C4912="",$D4912="",$E4912="",$H4912=""),"",SUMIFS(DATA_GOC!$H:$H,DATA_GOC!$A:$A,"BOM",DATA_GOC!$D:$D,$H4912,DATA_GOC!$E:$E,$C4912,DATA_GOC!$F:$F,"Xuất nội bộ từ téc",DATA_GOC!$B:$B,"&gt;="&amp;$D4912,DATA_GOC!$B:$B,"&lt;="&amp;$E4912))</f>
        <v/>
      </c>
      <c r="J4912" s="59">
        <f t="shared" si="28"/>
        <v>0</v>
      </c>
      <c r="K4912" s="59">
        <f t="shared" si="29"/>
        <v>0</v>
      </c>
      <c r="L4912" s="59">
        <f t="shared" si="30"/>
        <v>0</v>
      </c>
      <c r="M4912" s="59">
        <f t="shared" si="31"/>
        <v>0</v>
      </c>
    </row>
    <row r="4913" ht="15.0" hidden="1" customHeight="1">
      <c r="A4913" s="59">
        <f t="shared" si="20"/>
        <v>79</v>
      </c>
      <c r="B4913" s="59" t="str">
        <f t="shared" si="21"/>
        <v/>
      </c>
      <c r="C4913" s="59" t="str">
        <f t="shared" si="22"/>
        <v/>
      </c>
      <c r="D4913" s="45" t="str">
        <f t="shared" si="23"/>
        <v/>
      </c>
      <c r="E4913" s="45" t="str">
        <f t="shared" si="24"/>
        <v/>
      </c>
      <c r="F4913" s="59" t="str">
        <f t="shared" si="25"/>
        <v/>
      </c>
      <c r="G4913" s="59" t="str">
        <f t="shared" si="26"/>
        <v/>
      </c>
      <c r="H4913" s="59" t="str">
        <f t="shared" si="27"/>
        <v>19H09482</v>
      </c>
      <c r="I4913" s="59" t="str">
        <f>IF(OR($A4913="",$C4913="",$D4913="",$E4913="",$H4913=""),"",SUMIFS(DATA_GOC!$H:$H,DATA_GOC!$A:$A,"BOM",DATA_GOC!$D:$D,$H4913,DATA_GOC!$E:$E,$C4913,DATA_GOC!$F:$F,"Xuất nội bộ từ téc",DATA_GOC!$B:$B,"&gt;="&amp;$D4913,DATA_GOC!$B:$B,"&lt;="&amp;$E4913))</f>
        <v/>
      </c>
      <c r="J4913" s="59">
        <f t="shared" si="28"/>
        <v>0</v>
      </c>
      <c r="K4913" s="59">
        <f t="shared" si="29"/>
        <v>0</v>
      </c>
      <c r="L4913" s="59">
        <f t="shared" si="30"/>
        <v>0</v>
      </c>
      <c r="M4913" s="59">
        <f t="shared" si="31"/>
        <v>0</v>
      </c>
    </row>
    <row r="4914" ht="15.0" hidden="1" customHeight="1">
      <c r="A4914" s="59">
        <f t="shared" si="20"/>
        <v>79</v>
      </c>
      <c r="B4914" s="59" t="str">
        <f t="shared" si="21"/>
        <v/>
      </c>
      <c r="C4914" s="59" t="str">
        <f t="shared" si="22"/>
        <v/>
      </c>
      <c r="D4914" s="45" t="str">
        <f t="shared" si="23"/>
        <v/>
      </c>
      <c r="E4914" s="45" t="str">
        <f t="shared" si="24"/>
        <v/>
      </c>
      <c r="F4914" s="59" t="str">
        <f t="shared" si="25"/>
        <v/>
      </c>
      <c r="G4914" s="59" t="str">
        <f t="shared" si="26"/>
        <v/>
      </c>
      <c r="H4914" s="59" t="str">
        <f t="shared" si="27"/>
        <v>28A30696</v>
      </c>
      <c r="I4914" s="59" t="str">
        <f>IF(OR($A4914="",$C4914="",$D4914="",$E4914="",$H4914=""),"",SUMIFS(DATA_GOC!$H:$H,DATA_GOC!$A:$A,"BOM",DATA_GOC!$D:$D,$H4914,DATA_GOC!$E:$E,$C4914,DATA_GOC!$F:$F,"Xuất nội bộ từ téc",DATA_GOC!$B:$B,"&gt;="&amp;$D4914,DATA_GOC!$B:$B,"&lt;="&amp;$E4914))</f>
        <v/>
      </c>
      <c r="J4914" s="59">
        <f t="shared" si="28"/>
        <v>0</v>
      </c>
      <c r="K4914" s="59">
        <f t="shared" si="29"/>
        <v>0</v>
      </c>
      <c r="L4914" s="59">
        <f t="shared" si="30"/>
        <v>0</v>
      </c>
      <c r="M4914" s="59">
        <f t="shared" si="31"/>
        <v>0</v>
      </c>
    </row>
    <row r="4915" ht="15.0" hidden="1" customHeight="1">
      <c r="A4915" s="59">
        <f t="shared" si="20"/>
        <v>79</v>
      </c>
      <c r="B4915" s="59" t="str">
        <f t="shared" si="21"/>
        <v/>
      </c>
      <c r="C4915" s="59" t="str">
        <f t="shared" si="22"/>
        <v/>
      </c>
      <c r="D4915" s="45" t="str">
        <f t="shared" si="23"/>
        <v/>
      </c>
      <c r="E4915" s="45" t="str">
        <f t="shared" si="24"/>
        <v/>
      </c>
      <c r="F4915" s="59" t="str">
        <f t="shared" si="25"/>
        <v/>
      </c>
      <c r="G4915" s="59" t="str">
        <f t="shared" si="26"/>
        <v/>
      </c>
      <c r="H4915" s="59" t="str">
        <f t="shared" si="27"/>
        <v>28C00462</v>
      </c>
      <c r="I4915" s="59" t="str">
        <f>IF(OR($A4915="",$C4915="",$D4915="",$E4915="",$H4915=""),"",SUMIFS(DATA_GOC!$H:$H,DATA_GOC!$A:$A,"BOM",DATA_GOC!$D:$D,$H4915,DATA_GOC!$E:$E,$C4915,DATA_GOC!$F:$F,"Xuất nội bộ từ téc",DATA_GOC!$B:$B,"&gt;="&amp;$D4915,DATA_GOC!$B:$B,"&lt;="&amp;$E4915))</f>
        <v/>
      </c>
      <c r="J4915" s="59">
        <f t="shared" si="28"/>
        <v>0</v>
      </c>
      <c r="K4915" s="59">
        <f t="shared" si="29"/>
        <v>0</v>
      </c>
      <c r="L4915" s="59">
        <f t="shared" si="30"/>
        <v>0</v>
      </c>
      <c r="M4915" s="59">
        <f t="shared" si="31"/>
        <v>0</v>
      </c>
    </row>
    <row r="4916" ht="15.0" hidden="1" customHeight="1">
      <c r="A4916" s="59">
        <f t="shared" si="20"/>
        <v>79</v>
      </c>
      <c r="B4916" s="59" t="str">
        <f t="shared" si="21"/>
        <v/>
      </c>
      <c r="C4916" s="59" t="str">
        <f t="shared" si="22"/>
        <v/>
      </c>
      <c r="D4916" s="45" t="str">
        <f t="shared" si="23"/>
        <v/>
      </c>
      <c r="E4916" s="45" t="str">
        <f t="shared" si="24"/>
        <v/>
      </c>
      <c r="F4916" s="59" t="str">
        <f t="shared" si="25"/>
        <v/>
      </c>
      <c r="G4916" s="59" t="str">
        <f t="shared" si="26"/>
        <v/>
      </c>
      <c r="H4916" s="59" t="str">
        <f t="shared" si="27"/>
        <v>28C01165</v>
      </c>
      <c r="I4916" s="59" t="str">
        <f>IF(OR($A4916="",$C4916="",$D4916="",$E4916="",$H4916=""),"",SUMIFS(DATA_GOC!$H:$H,DATA_GOC!$A:$A,"BOM",DATA_GOC!$D:$D,$H4916,DATA_GOC!$E:$E,$C4916,DATA_GOC!$F:$F,"Xuất nội bộ từ téc",DATA_GOC!$B:$B,"&gt;="&amp;$D4916,DATA_GOC!$B:$B,"&lt;="&amp;$E4916))</f>
        <v/>
      </c>
      <c r="J4916" s="59">
        <f t="shared" si="28"/>
        <v>0</v>
      </c>
      <c r="K4916" s="59">
        <f t="shared" si="29"/>
        <v>0</v>
      </c>
      <c r="L4916" s="59">
        <f t="shared" si="30"/>
        <v>0</v>
      </c>
      <c r="M4916" s="59">
        <f t="shared" si="31"/>
        <v>0</v>
      </c>
    </row>
    <row r="4917" ht="15.0" hidden="1" customHeight="1">
      <c r="A4917" s="59">
        <f t="shared" si="20"/>
        <v>79</v>
      </c>
      <c r="B4917" s="59" t="str">
        <f t="shared" si="21"/>
        <v/>
      </c>
      <c r="C4917" s="59" t="str">
        <f t="shared" si="22"/>
        <v/>
      </c>
      <c r="D4917" s="45" t="str">
        <f t="shared" si="23"/>
        <v/>
      </c>
      <c r="E4917" s="45" t="str">
        <f t="shared" si="24"/>
        <v/>
      </c>
      <c r="F4917" s="59" t="str">
        <f t="shared" si="25"/>
        <v/>
      </c>
      <c r="G4917" s="59" t="str">
        <f t="shared" si="26"/>
        <v/>
      </c>
      <c r="H4917" s="59" t="str">
        <f t="shared" si="27"/>
        <v>28C01406</v>
      </c>
      <c r="I4917" s="59" t="str">
        <f>IF(OR($A4917="",$C4917="",$D4917="",$E4917="",$H4917=""),"",SUMIFS(DATA_GOC!$H:$H,DATA_GOC!$A:$A,"BOM",DATA_GOC!$D:$D,$H4917,DATA_GOC!$E:$E,$C4917,DATA_GOC!$F:$F,"Xuất nội bộ từ téc",DATA_GOC!$B:$B,"&gt;="&amp;$D4917,DATA_GOC!$B:$B,"&lt;="&amp;$E4917))</f>
        <v/>
      </c>
      <c r="J4917" s="59">
        <f t="shared" si="28"/>
        <v>0</v>
      </c>
      <c r="K4917" s="59">
        <f t="shared" si="29"/>
        <v>0</v>
      </c>
      <c r="L4917" s="59">
        <f t="shared" si="30"/>
        <v>0</v>
      </c>
      <c r="M4917" s="59">
        <f t="shared" si="31"/>
        <v>0</v>
      </c>
    </row>
    <row r="4918" ht="15.0" hidden="1" customHeight="1">
      <c r="A4918" s="59">
        <f t="shared" si="20"/>
        <v>79</v>
      </c>
      <c r="B4918" s="59" t="str">
        <f t="shared" si="21"/>
        <v/>
      </c>
      <c r="C4918" s="59" t="str">
        <f t="shared" si="22"/>
        <v/>
      </c>
      <c r="D4918" s="45" t="str">
        <f t="shared" si="23"/>
        <v/>
      </c>
      <c r="E4918" s="45" t="str">
        <f t="shared" si="24"/>
        <v/>
      </c>
      <c r="F4918" s="59" t="str">
        <f t="shared" si="25"/>
        <v/>
      </c>
      <c r="G4918" s="59" t="str">
        <f t="shared" si="26"/>
        <v/>
      </c>
      <c r="H4918" s="59" t="str">
        <f t="shared" si="27"/>
        <v>28C01544</v>
      </c>
      <c r="I4918" s="59" t="str">
        <f>IF(OR($A4918="",$C4918="",$D4918="",$E4918="",$H4918=""),"",SUMIFS(DATA_GOC!$H:$H,DATA_GOC!$A:$A,"BOM",DATA_GOC!$D:$D,$H4918,DATA_GOC!$E:$E,$C4918,DATA_GOC!$F:$F,"Xuất nội bộ từ téc",DATA_GOC!$B:$B,"&gt;="&amp;$D4918,DATA_GOC!$B:$B,"&lt;="&amp;$E4918))</f>
        <v/>
      </c>
      <c r="J4918" s="59">
        <f t="shared" si="28"/>
        <v>0</v>
      </c>
      <c r="K4918" s="59">
        <f t="shared" si="29"/>
        <v>0</v>
      </c>
      <c r="L4918" s="59">
        <f t="shared" si="30"/>
        <v>0</v>
      </c>
      <c r="M4918" s="59">
        <f t="shared" si="31"/>
        <v>0</v>
      </c>
    </row>
    <row r="4919" ht="15.0" hidden="1" customHeight="1">
      <c r="A4919" s="59">
        <f t="shared" si="20"/>
        <v>79</v>
      </c>
      <c r="B4919" s="59" t="str">
        <f t="shared" si="21"/>
        <v/>
      </c>
      <c r="C4919" s="59" t="str">
        <f t="shared" si="22"/>
        <v/>
      </c>
      <c r="D4919" s="45" t="str">
        <f t="shared" si="23"/>
        <v/>
      </c>
      <c r="E4919" s="45" t="str">
        <f t="shared" si="24"/>
        <v/>
      </c>
      <c r="F4919" s="59" t="str">
        <f t="shared" si="25"/>
        <v/>
      </c>
      <c r="G4919" s="59" t="str">
        <f t="shared" si="26"/>
        <v/>
      </c>
      <c r="H4919" s="59" t="str">
        <f t="shared" si="27"/>
        <v>28C01622</v>
      </c>
      <c r="I4919" s="59" t="str">
        <f>IF(OR($A4919="",$C4919="",$D4919="",$E4919="",$H4919=""),"",SUMIFS(DATA_GOC!$H:$H,DATA_GOC!$A:$A,"BOM",DATA_GOC!$D:$D,$H4919,DATA_GOC!$E:$E,$C4919,DATA_GOC!$F:$F,"Xuất nội bộ từ téc",DATA_GOC!$B:$B,"&gt;="&amp;$D4919,DATA_GOC!$B:$B,"&lt;="&amp;$E4919))</f>
        <v/>
      </c>
      <c r="J4919" s="59">
        <f t="shared" si="28"/>
        <v>0</v>
      </c>
      <c r="K4919" s="59">
        <f t="shared" si="29"/>
        <v>0</v>
      </c>
      <c r="L4919" s="59">
        <f t="shared" si="30"/>
        <v>0</v>
      </c>
      <c r="M4919" s="59">
        <f t="shared" si="31"/>
        <v>0</v>
      </c>
    </row>
    <row r="4920" ht="15.0" hidden="1" customHeight="1">
      <c r="A4920" s="59">
        <f t="shared" si="20"/>
        <v>79</v>
      </c>
      <c r="B4920" s="59" t="str">
        <f t="shared" si="21"/>
        <v/>
      </c>
      <c r="C4920" s="59" t="str">
        <f t="shared" si="22"/>
        <v/>
      </c>
      <c r="D4920" s="45" t="str">
        <f t="shared" si="23"/>
        <v/>
      </c>
      <c r="E4920" s="45" t="str">
        <f t="shared" si="24"/>
        <v/>
      </c>
      <c r="F4920" s="59" t="str">
        <f t="shared" si="25"/>
        <v/>
      </c>
      <c r="G4920" s="59" t="str">
        <f t="shared" si="26"/>
        <v/>
      </c>
      <c r="H4920" s="59" t="str">
        <f t="shared" si="27"/>
        <v>28C01647</v>
      </c>
      <c r="I4920" s="59" t="str">
        <f>IF(OR($A4920="",$C4920="",$D4920="",$E4920="",$H4920=""),"",SUMIFS(DATA_GOC!$H:$H,DATA_GOC!$A:$A,"BOM",DATA_GOC!$D:$D,$H4920,DATA_GOC!$E:$E,$C4920,DATA_GOC!$F:$F,"Xuất nội bộ từ téc",DATA_GOC!$B:$B,"&gt;="&amp;$D4920,DATA_GOC!$B:$B,"&lt;="&amp;$E4920))</f>
        <v/>
      </c>
      <c r="J4920" s="59">
        <f t="shared" si="28"/>
        <v>0</v>
      </c>
      <c r="K4920" s="59">
        <f t="shared" si="29"/>
        <v>0</v>
      </c>
      <c r="L4920" s="59">
        <f t="shared" si="30"/>
        <v>0</v>
      </c>
      <c r="M4920" s="59">
        <f t="shared" si="31"/>
        <v>0</v>
      </c>
    </row>
    <row r="4921" ht="15.0" hidden="1" customHeight="1">
      <c r="A4921" s="59">
        <f t="shared" si="20"/>
        <v>79</v>
      </c>
      <c r="B4921" s="59" t="str">
        <f t="shared" si="21"/>
        <v/>
      </c>
      <c r="C4921" s="59" t="str">
        <f t="shared" si="22"/>
        <v/>
      </c>
      <c r="D4921" s="45" t="str">
        <f t="shared" si="23"/>
        <v/>
      </c>
      <c r="E4921" s="45" t="str">
        <f t="shared" si="24"/>
        <v/>
      </c>
      <c r="F4921" s="59" t="str">
        <f t="shared" si="25"/>
        <v/>
      </c>
      <c r="G4921" s="59" t="str">
        <f t="shared" si="26"/>
        <v/>
      </c>
      <c r="H4921" s="59" t="str">
        <f t="shared" si="27"/>
        <v>28C01731</v>
      </c>
      <c r="I4921" s="59" t="str">
        <f>IF(OR($A4921="",$C4921="",$D4921="",$E4921="",$H4921=""),"",SUMIFS(DATA_GOC!$H:$H,DATA_GOC!$A:$A,"BOM",DATA_GOC!$D:$D,$H4921,DATA_GOC!$E:$E,$C4921,DATA_GOC!$F:$F,"Xuất nội bộ từ téc",DATA_GOC!$B:$B,"&gt;="&amp;$D4921,DATA_GOC!$B:$B,"&lt;="&amp;$E4921))</f>
        <v/>
      </c>
      <c r="J4921" s="59">
        <f t="shared" si="28"/>
        <v>0</v>
      </c>
      <c r="K4921" s="59">
        <f t="shared" si="29"/>
        <v>0</v>
      </c>
      <c r="L4921" s="59">
        <f t="shared" si="30"/>
        <v>0</v>
      </c>
      <c r="M4921" s="59">
        <f t="shared" si="31"/>
        <v>0</v>
      </c>
    </row>
    <row r="4922" ht="15.0" hidden="1" customHeight="1">
      <c r="A4922" s="59">
        <f t="shared" si="20"/>
        <v>79</v>
      </c>
      <c r="B4922" s="59" t="str">
        <f t="shared" si="21"/>
        <v/>
      </c>
      <c r="C4922" s="59" t="str">
        <f t="shared" si="22"/>
        <v/>
      </c>
      <c r="D4922" s="45" t="str">
        <f t="shared" si="23"/>
        <v/>
      </c>
      <c r="E4922" s="45" t="str">
        <f t="shared" si="24"/>
        <v/>
      </c>
      <c r="F4922" s="59" t="str">
        <f t="shared" si="25"/>
        <v/>
      </c>
      <c r="G4922" s="59" t="str">
        <f t="shared" si="26"/>
        <v/>
      </c>
      <c r="H4922" s="59" t="str">
        <f t="shared" si="27"/>
        <v>28C01743</v>
      </c>
      <c r="I4922" s="59" t="str">
        <f>IF(OR($A4922="",$C4922="",$D4922="",$E4922="",$H4922=""),"",SUMIFS(DATA_GOC!$H:$H,DATA_GOC!$A:$A,"BOM",DATA_GOC!$D:$D,$H4922,DATA_GOC!$E:$E,$C4922,DATA_GOC!$F:$F,"Xuất nội bộ từ téc",DATA_GOC!$B:$B,"&gt;="&amp;$D4922,DATA_GOC!$B:$B,"&lt;="&amp;$E4922))</f>
        <v/>
      </c>
      <c r="J4922" s="59">
        <f t="shared" si="28"/>
        <v>0</v>
      </c>
      <c r="K4922" s="59">
        <f t="shared" si="29"/>
        <v>0</v>
      </c>
      <c r="L4922" s="59">
        <f t="shared" si="30"/>
        <v>0</v>
      </c>
      <c r="M4922" s="59">
        <f t="shared" si="31"/>
        <v>0</v>
      </c>
    </row>
    <row r="4923" ht="15.0" hidden="1" customHeight="1">
      <c r="A4923" s="59">
        <f t="shared" si="20"/>
        <v>79</v>
      </c>
      <c r="B4923" s="59" t="str">
        <f t="shared" si="21"/>
        <v/>
      </c>
      <c r="C4923" s="59" t="str">
        <f t="shared" si="22"/>
        <v/>
      </c>
      <c r="D4923" s="45" t="str">
        <f t="shared" si="23"/>
        <v/>
      </c>
      <c r="E4923" s="45" t="str">
        <f t="shared" si="24"/>
        <v/>
      </c>
      <c r="F4923" s="59" t="str">
        <f t="shared" si="25"/>
        <v/>
      </c>
      <c r="G4923" s="59" t="str">
        <f t="shared" si="26"/>
        <v/>
      </c>
      <c r="H4923" s="59" t="str">
        <f t="shared" si="27"/>
        <v>28C02106</v>
      </c>
      <c r="I4923" s="59" t="str">
        <f>IF(OR($A4923="",$C4923="",$D4923="",$E4923="",$H4923=""),"",SUMIFS(DATA_GOC!$H:$H,DATA_GOC!$A:$A,"BOM",DATA_GOC!$D:$D,$H4923,DATA_GOC!$E:$E,$C4923,DATA_GOC!$F:$F,"Xuất nội bộ từ téc",DATA_GOC!$B:$B,"&gt;="&amp;$D4923,DATA_GOC!$B:$B,"&lt;="&amp;$E4923))</f>
        <v/>
      </c>
      <c r="J4923" s="59">
        <f t="shared" si="28"/>
        <v>0</v>
      </c>
      <c r="K4923" s="59">
        <f t="shared" si="29"/>
        <v>0</v>
      </c>
      <c r="L4923" s="59">
        <f t="shared" si="30"/>
        <v>0</v>
      </c>
      <c r="M4923" s="59">
        <f t="shared" si="31"/>
        <v>0</v>
      </c>
    </row>
    <row r="4924" ht="15.0" hidden="1" customHeight="1">
      <c r="A4924" s="59">
        <f t="shared" si="20"/>
        <v>79</v>
      </c>
      <c r="B4924" s="59" t="str">
        <f t="shared" si="21"/>
        <v/>
      </c>
      <c r="C4924" s="59" t="str">
        <f t="shared" si="22"/>
        <v/>
      </c>
      <c r="D4924" s="45" t="str">
        <f t="shared" si="23"/>
        <v/>
      </c>
      <c r="E4924" s="45" t="str">
        <f t="shared" si="24"/>
        <v/>
      </c>
      <c r="F4924" s="59" t="str">
        <f t="shared" si="25"/>
        <v/>
      </c>
      <c r="G4924" s="59" t="str">
        <f t="shared" si="26"/>
        <v/>
      </c>
      <c r="H4924" s="59" t="str">
        <f t="shared" si="27"/>
        <v>28C02410</v>
      </c>
      <c r="I4924" s="59" t="str">
        <f>IF(OR($A4924="",$C4924="",$D4924="",$E4924="",$H4924=""),"",SUMIFS(DATA_GOC!$H:$H,DATA_GOC!$A:$A,"BOM",DATA_GOC!$D:$D,$H4924,DATA_GOC!$E:$E,$C4924,DATA_GOC!$F:$F,"Xuất nội bộ từ téc",DATA_GOC!$B:$B,"&gt;="&amp;$D4924,DATA_GOC!$B:$B,"&lt;="&amp;$E4924))</f>
        <v/>
      </c>
      <c r="J4924" s="59">
        <f t="shared" si="28"/>
        <v>0</v>
      </c>
      <c r="K4924" s="59">
        <f t="shared" si="29"/>
        <v>0</v>
      </c>
      <c r="L4924" s="59">
        <f t="shared" si="30"/>
        <v>0</v>
      </c>
      <c r="M4924" s="59">
        <f t="shared" si="31"/>
        <v>0</v>
      </c>
    </row>
    <row r="4925" ht="15.0" hidden="1" customHeight="1">
      <c r="A4925" s="59">
        <f t="shared" si="20"/>
        <v>79</v>
      </c>
      <c r="B4925" s="59" t="str">
        <f t="shared" si="21"/>
        <v/>
      </c>
      <c r="C4925" s="59" t="str">
        <f t="shared" si="22"/>
        <v/>
      </c>
      <c r="D4925" s="45" t="str">
        <f t="shared" si="23"/>
        <v/>
      </c>
      <c r="E4925" s="45" t="str">
        <f t="shared" si="24"/>
        <v/>
      </c>
      <c r="F4925" s="59" t="str">
        <f t="shared" si="25"/>
        <v/>
      </c>
      <c r="G4925" s="59" t="str">
        <f t="shared" si="26"/>
        <v/>
      </c>
      <c r="H4925" s="59" t="str">
        <f t="shared" si="27"/>
        <v>28C02545</v>
      </c>
      <c r="I4925" s="59" t="str">
        <f>IF(OR($A4925="",$C4925="",$D4925="",$E4925="",$H4925=""),"",SUMIFS(DATA_GOC!$H:$H,DATA_GOC!$A:$A,"BOM",DATA_GOC!$D:$D,$H4925,DATA_GOC!$E:$E,$C4925,DATA_GOC!$F:$F,"Xuất nội bộ từ téc",DATA_GOC!$B:$B,"&gt;="&amp;$D4925,DATA_GOC!$B:$B,"&lt;="&amp;$E4925))</f>
        <v/>
      </c>
      <c r="J4925" s="59">
        <f t="shared" si="28"/>
        <v>0</v>
      </c>
      <c r="K4925" s="59">
        <f t="shared" si="29"/>
        <v>0</v>
      </c>
      <c r="L4925" s="59">
        <f t="shared" si="30"/>
        <v>0</v>
      </c>
      <c r="M4925" s="59">
        <f t="shared" si="31"/>
        <v>0</v>
      </c>
    </row>
    <row r="4926" ht="15.0" hidden="1" customHeight="1">
      <c r="A4926" s="59">
        <f t="shared" si="20"/>
        <v>79</v>
      </c>
      <c r="B4926" s="59" t="str">
        <f t="shared" si="21"/>
        <v/>
      </c>
      <c r="C4926" s="59" t="str">
        <f t="shared" si="22"/>
        <v/>
      </c>
      <c r="D4926" s="45" t="str">
        <f t="shared" si="23"/>
        <v/>
      </c>
      <c r="E4926" s="45" t="str">
        <f t="shared" si="24"/>
        <v/>
      </c>
      <c r="F4926" s="59" t="str">
        <f t="shared" si="25"/>
        <v/>
      </c>
      <c r="G4926" s="59" t="str">
        <f t="shared" si="26"/>
        <v/>
      </c>
      <c r="H4926" s="59" t="str">
        <f t="shared" si="27"/>
        <v>28C02574</v>
      </c>
      <c r="I4926" s="59" t="str">
        <f>IF(OR($A4926="",$C4926="",$D4926="",$E4926="",$H4926=""),"",SUMIFS(DATA_GOC!$H:$H,DATA_GOC!$A:$A,"BOM",DATA_GOC!$D:$D,$H4926,DATA_GOC!$E:$E,$C4926,DATA_GOC!$F:$F,"Xuất nội bộ từ téc",DATA_GOC!$B:$B,"&gt;="&amp;$D4926,DATA_GOC!$B:$B,"&lt;="&amp;$E4926))</f>
        <v/>
      </c>
      <c r="J4926" s="59">
        <f t="shared" si="28"/>
        <v>0</v>
      </c>
      <c r="K4926" s="59">
        <f t="shared" si="29"/>
        <v>0</v>
      </c>
      <c r="L4926" s="59">
        <f t="shared" si="30"/>
        <v>0</v>
      </c>
      <c r="M4926" s="59">
        <f t="shared" si="31"/>
        <v>0</v>
      </c>
    </row>
    <row r="4927" ht="15.0" hidden="1" customHeight="1">
      <c r="A4927" s="59">
        <f t="shared" si="20"/>
        <v>79</v>
      </c>
      <c r="B4927" s="59" t="str">
        <f t="shared" si="21"/>
        <v/>
      </c>
      <c r="C4927" s="59" t="str">
        <f t="shared" si="22"/>
        <v/>
      </c>
      <c r="D4927" s="45" t="str">
        <f t="shared" si="23"/>
        <v/>
      </c>
      <c r="E4927" s="45" t="str">
        <f t="shared" si="24"/>
        <v/>
      </c>
      <c r="F4927" s="59" t="str">
        <f t="shared" si="25"/>
        <v/>
      </c>
      <c r="G4927" s="59" t="str">
        <f t="shared" si="26"/>
        <v/>
      </c>
      <c r="H4927" s="59" t="str">
        <f t="shared" si="27"/>
        <v>28C02770</v>
      </c>
      <c r="I4927" s="59" t="str">
        <f>IF(OR($A4927="",$C4927="",$D4927="",$E4927="",$H4927=""),"",SUMIFS(DATA_GOC!$H:$H,DATA_GOC!$A:$A,"BOM",DATA_GOC!$D:$D,$H4927,DATA_GOC!$E:$E,$C4927,DATA_GOC!$F:$F,"Xuất nội bộ từ téc",DATA_GOC!$B:$B,"&gt;="&amp;$D4927,DATA_GOC!$B:$B,"&lt;="&amp;$E4927))</f>
        <v/>
      </c>
      <c r="J4927" s="59">
        <f t="shared" si="28"/>
        <v>0</v>
      </c>
      <c r="K4927" s="59">
        <f t="shared" si="29"/>
        <v>0</v>
      </c>
      <c r="L4927" s="59">
        <f t="shared" si="30"/>
        <v>0</v>
      </c>
      <c r="M4927" s="59">
        <f t="shared" si="31"/>
        <v>0</v>
      </c>
    </row>
    <row r="4928" ht="15.0" hidden="1" customHeight="1">
      <c r="A4928" s="59">
        <f t="shared" si="20"/>
        <v>79</v>
      </c>
      <c r="B4928" s="59" t="str">
        <f t="shared" si="21"/>
        <v/>
      </c>
      <c r="C4928" s="59" t="str">
        <f t="shared" si="22"/>
        <v/>
      </c>
      <c r="D4928" s="45" t="str">
        <f t="shared" si="23"/>
        <v/>
      </c>
      <c r="E4928" s="45" t="str">
        <f t="shared" si="24"/>
        <v/>
      </c>
      <c r="F4928" s="59" t="str">
        <f t="shared" si="25"/>
        <v/>
      </c>
      <c r="G4928" s="59" t="str">
        <f t="shared" si="26"/>
        <v/>
      </c>
      <c r="H4928" s="59" t="str">
        <f t="shared" si="27"/>
        <v>28C02986</v>
      </c>
      <c r="I4928" s="59" t="str">
        <f>IF(OR($A4928="",$C4928="",$D4928="",$E4928="",$H4928=""),"",SUMIFS(DATA_GOC!$H:$H,DATA_GOC!$A:$A,"BOM",DATA_GOC!$D:$D,$H4928,DATA_GOC!$E:$E,$C4928,DATA_GOC!$F:$F,"Xuất nội bộ từ téc",DATA_GOC!$B:$B,"&gt;="&amp;$D4928,DATA_GOC!$B:$B,"&lt;="&amp;$E4928))</f>
        <v/>
      </c>
      <c r="J4928" s="59">
        <f t="shared" si="28"/>
        <v>0</v>
      </c>
      <c r="K4928" s="59">
        <f t="shared" si="29"/>
        <v>0</v>
      </c>
      <c r="L4928" s="59">
        <f t="shared" si="30"/>
        <v>0</v>
      </c>
      <c r="M4928" s="59">
        <f t="shared" si="31"/>
        <v>0</v>
      </c>
    </row>
    <row r="4929" ht="15.0" hidden="1" customHeight="1">
      <c r="A4929" s="59">
        <f t="shared" si="20"/>
        <v>79</v>
      </c>
      <c r="B4929" s="59" t="str">
        <f t="shared" si="21"/>
        <v/>
      </c>
      <c r="C4929" s="59" t="str">
        <f t="shared" si="22"/>
        <v/>
      </c>
      <c r="D4929" s="45" t="str">
        <f t="shared" si="23"/>
        <v/>
      </c>
      <c r="E4929" s="45" t="str">
        <f t="shared" si="24"/>
        <v/>
      </c>
      <c r="F4929" s="59" t="str">
        <f t="shared" si="25"/>
        <v/>
      </c>
      <c r="G4929" s="59" t="str">
        <f t="shared" si="26"/>
        <v/>
      </c>
      <c r="H4929" s="59" t="str">
        <f t="shared" si="27"/>
        <v>28C03261</v>
      </c>
      <c r="I4929" s="59" t="str">
        <f>IF(OR($A4929="",$C4929="",$D4929="",$E4929="",$H4929=""),"",SUMIFS(DATA_GOC!$H:$H,DATA_GOC!$A:$A,"BOM",DATA_GOC!$D:$D,$H4929,DATA_GOC!$E:$E,$C4929,DATA_GOC!$F:$F,"Xuất nội bộ từ téc",DATA_GOC!$B:$B,"&gt;="&amp;$D4929,DATA_GOC!$B:$B,"&lt;="&amp;$E4929))</f>
        <v/>
      </c>
      <c r="J4929" s="59">
        <f t="shared" si="28"/>
        <v>0</v>
      </c>
      <c r="K4929" s="59">
        <f t="shared" si="29"/>
        <v>0</v>
      </c>
      <c r="L4929" s="59">
        <f t="shared" si="30"/>
        <v>0</v>
      </c>
      <c r="M4929" s="59">
        <f t="shared" si="31"/>
        <v>0</v>
      </c>
    </row>
    <row r="4930" ht="15.0" hidden="1" customHeight="1">
      <c r="A4930" s="59">
        <f t="shared" si="20"/>
        <v>79</v>
      </c>
      <c r="B4930" s="59" t="str">
        <f t="shared" si="21"/>
        <v/>
      </c>
      <c r="C4930" s="59" t="str">
        <f t="shared" si="22"/>
        <v/>
      </c>
      <c r="D4930" s="45" t="str">
        <f t="shared" si="23"/>
        <v/>
      </c>
      <c r="E4930" s="45" t="str">
        <f t="shared" si="24"/>
        <v/>
      </c>
      <c r="F4930" s="59" t="str">
        <f t="shared" si="25"/>
        <v/>
      </c>
      <c r="G4930" s="59" t="str">
        <f t="shared" si="26"/>
        <v/>
      </c>
      <c r="H4930" s="59" t="str">
        <f t="shared" si="27"/>
        <v>28C03323</v>
      </c>
      <c r="I4930" s="59" t="str">
        <f>IF(OR($A4930="",$C4930="",$D4930="",$E4930="",$H4930=""),"",SUMIFS(DATA_GOC!$H:$H,DATA_GOC!$A:$A,"BOM",DATA_GOC!$D:$D,$H4930,DATA_GOC!$E:$E,$C4930,DATA_GOC!$F:$F,"Xuất nội bộ từ téc",DATA_GOC!$B:$B,"&gt;="&amp;$D4930,DATA_GOC!$B:$B,"&lt;="&amp;$E4930))</f>
        <v/>
      </c>
      <c r="J4930" s="59">
        <f t="shared" si="28"/>
        <v>0</v>
      </c>
      <c r="K4930" s="59">
        <f t="shared" si="29"/>
        <v>0</v>
      </c>
      <c r="L4930" s="59">
        <f t="shared" si="30"/>
        <v>0</v>
      </c>
      <c r="M4930" s="59">
        <f t="shared" si="31"/>
        <v>0</v>
      </c>
    </row>
    <row r="4931" ht="15.0" hidden="1" customHeight="1">
      <c r="A4931" s="59">
        <f t="shared" si="20"/>
        <v>79</v>
      </c>
      <c r="B4931" s="59" t="str">
        <f t="shared" si="21"/>
        <v/>
      </c>
      <c r="C4931" s="59" t="str">
        <f t="shared" si="22"/>
        <v/>
      </c>
      <c r="D4931" s="45" t="str">
        <f t="shared" si="23"/>
        <v/>
      </c>
      <c r="E4931" s="45" t="str">
        <f t="shared" si="24"/>
        <v/>
      </c>
      <c r="F4931" s="59" t="str">
        <f t="shared" si="25"/>
        <v/>
      </c>
      <c r="G4931" s="59" t="str">
        <f t="shared" si="26"/>
        <v/>
      </c>
      <c r="H4931" s="59" t="str">
        <f t="shared" si="27"/>
        <v>28C03385</v>
      </c>
      <c r="I4931" s="59" t="str">
        <f>IF(OR($A4931="",$C4931="",$D4931="",$E4931="",$H4931=""),"",SUMIFS(DATA_GOC!$H:$H,DATA_GOC!$A:$A,"BOM",DATA_GOC!$D:$D,$H4931,DATA_GOC!$E:$E,$C4931,DATA_GOC!$F:$F,"Xuất nội bộ từ téc",DATA_GOC!$B:$B,"&gt;="&amp;$D4931,DATA_GOC!$B:$B,"&lt;="&amp;$E4931))</f>
        <v/>
      </c>
      <c r="J4931" s="59">
        <f t="shared" si="28"/>
        <v>0</v>
      </c>
      <c r="K4931" s="59">
        <f t="shared" si="29"/>
        <v>0</v>
      </c>
      <c r="L4931" s="59">
        <f t="shared" si="30"/>
        <v>0</v>
      </c>
      <c r="M4931" s="59">
        <f t="shared" si="31"/>
        <v>0</v>
      </c>
    </row>
    <row r="4932" ht="15.0" hidden="1" customHeight="1">
      <c r="A4932" s="59">
        <f t="shared" si="20"/>
        <v>79</v>
      </c>
      <c r="B4932" s="59" t="str">
        <f t="shared" si="21"/>
        <v/>
      </c>
      <c r="C4932" s="59" t="str">
        <f t="shared" si="22"/>
        <v/>
      </c>
      <c r="D4932" s="45" t="str">
        <f t="shared" si="23"/>
        <v/>
      </c>
      <c r="E4932" s="45" t="str">
        <f t="shared" si="24"/>
        <v/>
      </c>
      <c r="F4932" s="59" t="str">
        <f t="shared" si="25"/>
        <v/>
      </c>
      <c r="G4932" s="59" t="str">
        <f t="shared" si="26"/>
        <v/>
      </c>
      <c r="H4932" s="59" t="str">
        <f t="shared" si="27"/>
        <v>28C03652</v>
      </c>
      <c r="I4932" s="59" t="str">
        <f>IF(OR($A4932="",$C4932="",$D4932="",$E4932="",$H4932=""),"",SUMIFS(DATA_GOC!$H:$H,DATA_GOC!$A:$A,"BOM",DATA_GOC!$D:$D,$H4932,DATA_GOC!$E:$E,$C4932,DATA_GOC!$F:$F,"Xuất nội bộ từ téc",DATA_GOC!$B:$B,"&gt;="&amp;$D4932,DATA_GOC!$B:$B,"&lt;="&amp;$E4932))</f>
        <v/>
      </c>
      <c r="J4932" s="59">
        <f t="shared" si="28"/>
        <v>0</v>
      </c>
      <c r="K4932" s="59">
        <f t="shared" si="29"/>
        <v>0</v>
      </c>
      <c r="L4932" s="59">
        <f t="shared" si="30"/>
        <v>0</v>
      </c>
      <c r="M4932" s="59">
        <f t="shared" si="31"/>
        <v>0</v>
      </c>
    </row>
    <row r="4933" ht="15.0" hidden="1" customHeight="1">
      <c r="A4933" s="59">
        <f t="shared" si="20"/>
        <v>79</v>
      </c>
      <c r="B4933" s="59" t="str">
        <f t="shared" si="21"/>
        <v/>
      </c>
      <c r="C4933" s="59" t="str">
        <f t="shared" si="22"/>
        <v/>
      </c>
      <c r="D4933" s="45" t="str">
        <f t="shared" si="23"/>
        <v/>
      </c>
      <c r="E4933" s="45" t="str">
        <f t="shared" si="24"/>
        <v/>
      </c>
      <c r="F4933" s="59" t="str">
        <f t="shared" si="25"/>
        <v/>
      </c>
      <c r="G4933" s="59" t="str">
        <f t="shared" si="26"/>
        <v/>
      </c>
      <c r="H4933" s="59" t="str">
        <f t="shared" si="27"/>
        <v>28C03695</v>
      </c>
      <c r="I4933" s="59" t="str">
        <f>IF(OR($A4933="",$C4933="",$D4933="",$E4933="",$H4933=""),"",SUMIFS(DATA_GOC!$H:$H,DATA_GOC!$A:$A,"BOM",DATA_GOC!$D:$D,$H4933,DATA_GOC!$E:$E,$C4933,DATA_GOC!$F:$F,"Xuất nội bộ từ téc",DATA_GOC!$B:$B,"&gt;="&amp;$D4933,DATA_GOC!$B:$B,"&lt;="&amp;$E4933))</f>
        <v/>
      </c>
      <c r="J4933" s="59">
        <f t="shared" si="28"/>
        <v>0</v>
      </c>
      <c r="K4933" s="59">
        <f t="shared" si="29"/>
        <v>0</v>
      </c>
      <c r="L4933" s="59">
        <f t="shared" si="30"/>
        <v>0</v>
      </c>
      <c r="M4933" s="59">
        <f t="shared" si="31"/>
        <v>0</v>
      </c>
    </row>
    <row r="4934" ht="15.0" hidden="1" customHeight="1">
      <c r="A4934" s="59">
        <f t="shared" si="20"/>
        <v>79</v>
      </c>
      <c r="B4934" s="59" t="str">
        <f t="shared" si="21"/>
        <v/>
      </c>
      <c r="C4934" s="59" t="str">
        <f t="shared" si="22"/>
        <v/>
      </c>
      <c r="D4934" s="45" t="str">
        <f t="shared" si="23"/>
        <v/>
      </c>
      <c r="E4934" s="45" t="str">
        <f t="shared" si="24"/>
        <v/>
      </c>
      <c r="F4934" s="59" t="str">
        <f t="shared" si="25"/>
        <v/>
      </c>
      <c r="G4934" s="59" t="str">
        <f t="shared" si="26"/>
        <v/>
      </c>
      <c r="H4934" s="59" t="str">
        <f t="shared" si="27"/>
        <v>28C03927</v>
      </c>
      <c r="I4934" s="59" t="str">
        <f>IF(OR($A4934="",$C4934="",$D4934="",$E4934="",$H4934=""),"",SUMIFS(DATA_GOC!$H:$H,DATA_GOC!$A:$A,"BOM",DATA_GOC!$D:$D,$H4934,DATA_GOC!$E:$E,$C4934,DATA_GOC!$F:$F,"Xuất nội bộ từ téc",DATA_GOC!$B:$B,"&gt;="&amp;$D4934,DATA_GOC!$B:$B,"&lt;="&amp;$E4934))</f>
        <v/>
      </c>
      <c r="J4934" s="59">
        <f t="shared" si="28"/>
        <v>0</v>
      </c>
      <c r="K4934" s="59">
        <f t="shared" si="29"/>
        <v>0</v>
      </c>
      <c r="L4934" s="59">
        <f t="shared" si="30"/>
        <v>0</v>
      </c>
      <c r="M4934" s="59">
        <f t="shared" si="31"/>
        <v>0</v>
      </c>
    </row>
    <row r="4935" ht="15.0" hidden="1" customHeight="1">
      <c r="A4935" s="59">
        <f t="shared" si="20"/>
        <v>79</v>
      </c>
      <c r="B4935" s="59" t="str">
        <f t="shared" si="21"/>
        <v/>
      </c>
      <c r="C4935" s="59" t="str">
        <f t="shared" si="22"/>
        <v/>
      </c>
      <c r="D4935" s="45" t="str">
        <f t="shared" si="23"/>
        <v/>
      </c>
      <c r="E4935" s="45" t="str">
        <f t="shared" si="24"/>
        <v/>
      </c>
      <c r="F4935" s="59" t="str">
        <f t="shared" si="25"/>
        <v/>
      </c>
      <c r="G4935" s="59" t="str">
        <f t="shared" si="26"/>
        <v/>
      </c>
      <c r="H4935" s="59" t="str">
        <f t="shared" si="27"/>
        <v>28C04509</v>
      </c>
      <c r="I4935" s="59" t="str">
        <f>IF(OR($A4935="",$C4935="",$D4935="",$E4935="",$H4935=""),"",SUMIFS(DATA_GOC!$H:$H,DATA_GOC!$A:$A,"BOM",DATA_GOC!$D:$D,$H4935,DATA_GOC!$E:$E,$C4935,DATA_GOC!$F:$F,"Xuất nội bộ từ téc",DATA_GOC!$B:$B,"&gt;="&amp;$D4935,DATA_GOC!$B:$B,"&lt;="&amp;$E4935))</f>
        <v/>
      </c>
      <c r="J4935" s="59">
        <f t="shared" si="28"/>
        <v>0</v>
      </c>
      <c r="K4935" s="59">
        <f t="shared" si="29"/>
        <v>0</v>
      </c>
      <c r="L4935" s="59">
        <f t="shared" si="30"/>
        <v>0</v>
      </c>
      <c r="M4935" s="59">
        <f t="shared" si="31"/>
        <v>0</v>
      </c>
    </row>
    <row r="4936" ht="15.0" hidden="1" customHeight="1">
      <c r="A4936" s="59">
        <f t="shared" si="20"/>
        <v>79</v>
      </c>
      <c r="B4936" s="59" t="str">
        <f t="shared" si="21"/>
        <v/>
      </c>
      <c r="C4936" s="59" t="str">
        <f t="shared" si="22"/>
        <v/>
      </c>
      <c r="D4936" s="45" t="str">
        <f t="shared" si="23"/>
        <v/>
      </c>
      <c r="E4936" s="45" t="str">
        <f t="shared" si="24"/>
        <v/>
      </c>
      <c r="F4936" s="59" t="str">
        <f t="shared" si="25"/>
        <v/>
      </c>
      <c r="G4936" s="59" t="str">
        <f t="shared" si="26"/>
        <v/>
      </c>
      <c r="H4936" s="59" t="str">
        <f t="shared" si="27"/>
        <v>28C04536</v>
      </c>
      <c r="I4936" s="59" t="str">
        <f>IF(OR($A4936="",$C4936="",$D4936="",$E4936="",$H4936=""),"",SUMIFS(DATA_GOC!$H:$H,DATA_GOC!$A:$A,"BOM",DATA_GOC!$D:$D,$H4936,DATA_GOC!$E:$E,$C4936,DATA_GOC!$F:$F,"Xuất nội bộ từ téc",DATA_GOC!$B:$B,"&gt;="&amp;$D4936,DATA_GOC!$B:$B,"&lt;="&amp;$E4936))</f>
        <v/>
      </c>
      <c r="J4936" s="59">
        <f t="shared" si="28"/>
        <v>0</v>
      </c>
      <c r="K4936" s="59">
        <f t="shared" si="29"/>
        <v>0</v>
      </c>
      <c r="L4936" s="59">
        <f t="shared" si="30"/>
        <v>0</v>
      </c>
      <c r="M4936" s="59">
        <f t="shared" si="31"/>
        <v>0</v>
      </c>
    </row>
    <row r="4937" ht="15.0" hidden="1" customHeight="1">
      <c r="A4937" s="59">
        <f t="shared" si="20"/>
        <v>79</v>
      </c>
      <c r="B4937" s="59" t="str">
        <f t="shared" si="21"/>
        <v/>
      </c>
      <c r="C4937" s="59" t="str">
        <f t="shared" si="22"/>
        <v/>
      </c>
      <c r="D4937" s="45" t="str">
        <f t="shared" si="23"/>
        <v/>
      </c>
      <c r="E4937" s="45" t="str">
        <f t="shared" si="24"/>
        <v/>
      </c>
      <c r="F4937" s="59" t="str">
        <f t="shared" si="25"/>
        <v/>
      </c>
      <c r="G4937" s="59" t="str">
        <f t="shared" si="26"/>
        <v/>
      </c>
      <c r="H4937" s="59" t="str">
        <f t="shared" si="27"/>
        <v>28C04576</v>
      </c>
      <c r="I4937" s="59" t="str">
        <f>IF(OR($A4937="",$C4937="",$D4937="",$E4937="",$H4937=""),"",SUMIFS(DATA_GOC!$H:$H,DATA_GOC!$A:$A,"BOM",DATA_GOC!$D:$D,$H4937,DATA_GOC!$E:$E,$C4937,DATA_GOC!$F:$F,"Xuất nội bộ từ téc",DATA_GOC!$B:$B,"&gt;="&amp;$D4937,DATA_GOC!$B:$B,"&lt;="&amp;$E4937))</f>
        <v/>
      </c>
      <c r="J4937" s="59">
        <f t="shared" si="28"/>
        <v>0</v>
      </c>
      <c r="K4937" s="59">
        <f t="shared" si="29"/>
        <v>0</v>
      </c>
      <c r="L4937" s="59">
        <f t="shared" si="30"/>
        <v>0</v>
      </c>
      <c r="M4937" s="59">
        <f t="shared" si="31"/>
        <v>0</v>
      </c>
    </row>
    <row r="4938" ht="15.0" hidden="1" customHeight="1">
      <c r="A4938" s="59">
        <f t="shared" si="20"/>
        <v>79</v>
      </c>
      <c r="B4938" s="59" t="str">
        <f t="shared" si="21"/>
        <v/>
      </c>
      <c r="C4938" s="59" t="str">
        <f t="shared" si="22"/>
        <v/>
      </c>
      <c r="D4938" s="45" t="str">
        <f t="shared" si="23"/>
        <v/>
      </c>
      <c r="E4938" s="45" t="str">
        <f t="shared" si="24"/>
        <v/>
      </c>
      <c r="F4938" s="59" t="str">
        <f t="shared" si="25"/>
        <v/>
      </c>
      <c r="G4938" s="59" t="str">
        <f t="shared" si="26"/>
        <v/>
      </c>
      <c r="H4938" s="59" t="str">
        <f t="shared" si="27"/>
        <v>28C05090</v>
      </c>
      <c r="I4938" s="59" t="str">
        <f>IF(OR($A4938="",$C4938="",$D4938="",$E4938="",$H4938=""),"",SUMIFS(DATA_GOC!$H:$H,DATA_GOC!$A:$A,"BOM",DATA_GOC!$D:$D,$H4938,DATA_GOC!$E:$E,$C4938,DATA_GOC!$F:$F,"Xuất nội bộ từ téc",DATA_GOC!$B:$B,"&gt;="&amp;$D4938,DATA_GOC!$B:$B,"&lt;="&amp;$E4938))</f>
        <v/>
      </c>
      <c r="J4938" s="59">
        <f t="shared" si="28"/>
        <v>0</v>
      </c>
      <c r="K4938" s="59">
        <f t="shared" si="29"/>
        <v>0</v>
      </c>
      <c r="L4938" s="59">
        <f t="shared" si="30"/>
        <v>0</v>
      </c>
      <c r="M4938" s="59">
        <f t="shared" si="31"/>
        <v>0</v>
      </c>
    </row>
    <row r="4939" ht="15.0" hidden="1" customHeight="1">
      <c r="A4939" s="59">
        <f t="shared" si="20"/>
        <v>79</v>
      </c>
      <c r="B4939" s="59" t="str">
        <f t="shared" si="21"/>
        <v/>
      </c>
      <c r="C4939" s="59" t="str">
        <f t="shared" si="22"/>
        <v/>
      </c>
      <c r="D4939" s="45" t="str">
        <f t="shared" si="23"/>
        <v/>
      </c>
      <c r="E4939" s="45" t="str">
        <f t="shared" si="24"/>
        <v/>
      </c>
      <c r="F4939" s="59" t="str">
        <f t="shared" si="25"/>
        <v/>
      </c>
      <c r="G4939" s="59" t="str">
        <f t="shared" si="26"/>
        <v/>
      </c>
      <c r="H4939" s="59" t="str">
        <f t="shared" si="27"/>
        <v>28C05345</v>
      </c>
      <c r="I4939" s="59" t="str">
        <f>IF(OR($A4939="",$C4939="",$D4939="",$E4939="",$H4939=""),"",SUMIFS(DATA_GOC!$H:$H,DATA_GOC!$A:$A,"BOM",DATA_GOC!$D:$D,$H4939,DATA_GOC!$E:$E,$C4939,DATA_GOC!$F:$F,"Xuất nội bộ từ téc",DATA_GOC!$B:$B,"&gt;="&amp;$D4939,DATA_GOC!$B:$B,"&lt;="&amp;$E4939))</f>
        <v/>
      </c>
      <c r="J4939" s="59">
        <f t="shared" si="28"/>
        <v>0</v>
      </c>
      <c r="K4939" s="59">
        <f t="shared" si="29"/>
        <v>0</v>
      </c>
      <c r="L4939" s="59">
        <f t="shared" si="30"/>
        <v>0</v>
      </c>
      <c r="M4939" s="59">
        <f t="shared" si="31"/>
        <v>0</v>
      </c>
    </row>
    <row r="4940" ht="15.0" hidden="1" customHeight="1">
      <c r="A4940" s="59">
        <f t="shared" si="20"/>
        <v>79</v>
      </c>
      <c r="B4940" s="59" t="str">
        <f t="shared" si="21"/>
        <v/>
      </c>
      <c r="C4940" s="59" t="str">
        <f t="shared" si="22"/>
        <v/>
      </c>
      <c r="D4940" s="45" t="str">
        <f t="shared" si="23"/>
        <v/>
      </c>
      <c r="E4940" s="45" t="str">
        <f t="shared" si="24"/>
        <v/>
      </c>
      <c r="F4940" s="59" t="str">
        <f t="shared" si="25"/>
        <v/>
      </c>
      <c r="G4940" s="59" t="str">
        <f t="shared" si="26"/>
        <v/>
      </c>
      <c r="H4940" s="59" t="str">
        <f t="shared" si="27"/>
        <v>28C05661</v>
      </c>
      <c r="I4940" s="59" t="str">
        <f>IF(OR($A4940="",$C4940="",$D4940="",$E4940="",$H4940=""),"",SUMIFS(DATA_GOC!$H:$H,DATA_GOC!$A:$A,"BOM",DATA_GOC!$D:$D,$H4940,DATA_GOC!$E:$E,$C4940,DATA_GOC!$F:$F,"Xuất nội bộ từ téc",DATA_GOC!$B:$B,"&gt;="&amp;$D4940,DATA_GOC!$B:$B,"&lt;="&amp;$E4940))</f>
        <v/>
      </c>
      <c r="J4940" s="59">
        <f t="shared" si="28"/>
        <v>0</v>
      </c>
      <c r="K4940" s="59">
        <f t="shared" si="29"/>
        <v>0</v>
      </c>
      <c r="L4940" s="59">
        <f t="shared" si="30"/>
        <v>0</v>
      </c>
      <c r="M4940" s="59">
        <f t="shared" si="31"/>
        <v>0</v>
      </c>
    </row>
    <row r="4941" ht="15.0" hidden="1" customHeight="1">
      <c r="A4941" s="59">
        <f t="shared" si="20"/>
        <v>79</v>
      </c>
      <c r="B4941" s="59" t="str">
        <f t="shared" si="21"/>
        <v/>
      </c>
      <c r="C4941" s="59" t="str">
        <f t="shared" si="22"/>
        <v/>
      </c>
      <c r="D4941" s="45" t="str">
        <f t="shared" si="23"/>
        <v/>
      </c>
      <c r="E4941" s="45" t="str">
        <f t="shared" si="24"/>
        <v/>
      </c>
      <c r="F4941" s="59" t="str">
        <f t="shared" si="25"/>
        <v/>
      </c>
      <c r="G4941" s="59" t="str">
        <f t="shared" si="26"/>
        <v/>
      </c>
      <c r="H4941" s="59" t="str">
        <f t="shared" si="27"/>
        <v>28C05739</v>
      </c>
      <c r="I4941" s="59" t="str">
        <f>IF(OR($A4941="",$C4941="",$D4941="",$E4941="",$H4941=""),"",SUMIFS(DATA_GOC!$H:$H,DATA_GOC!$A:$A,"BOM",DATA_GOC!$D:$D,$H4941,DATA_GOC!$E:$E,$C4941,DATA_GOC!$F:$F,"Xuất nội bộ từ téc",DATA_GOC!$B:$B,"&gt;="&amp;$D4941,DATA_GOC!$B:$B,"&lt;="&amp;$E4941))</f>
        <v/>
      </c>
      <c r="J4941" s="59">
        <f t="shared" si="28"/>
        <v>0</v>
      </c>
      <c r="K4941" s="59">
        <f t="shared" si="29"/>
        <v>0</v>
      </c>
      <c r="L4941" s="59">
        <f t="shared" si="30"/>
        <v>0</v>
      </c>
      <c r="M4941" s="59">
        <f t="shared" si="31"/>
        <v>0</v>
      </c>
    </row>
    <row r="4942" ht="15.0" hidden="1" customHeight="1">
      <c r="A4942" s="59">
        <f t="shared" si="20"/>
        <v>79</v>
      </c>
      <c r="B4942" s="59" t="str">
        <f t="shared" si="21"/>
        <v/>
      </c>
      <c r="C4942" s="59" t="str">
        <f t="shared" si="22"/>
        <v/>
      </c>
      <c r="D4942" s="45" t="str">
        <f t="shared" si="23"/>
        <v/>
      </c>
      <c r="E4942" s="45" t="str">
        <f t="shared" si="24"/>
        <v/>
      </c>
      <c r="F4942" s="59" t="str">
        <f t="shared" si="25"/>
        <v/>
      </c>
      <c r="G4942" s="59" t="str">
        <f t="shared" si="26"/>
        <v/>
      </c>
      <c r="H4942" s="59" t="str">
        <f t="shared" si="27"/>
        <v>28C06369</v>
      </c>
      <c r="I4942" s="59" t="str">
        <f>IF(OR($A4942="",$C4942="",$D4942="",$E4942="",$H4942=""),"",SUMIFS(DATA_GOC!$H:$H,DATA_GOC!$A:$A,"BOM",DATA_GOC!$D:$D,$H4942,DATA_GOC!$E:$E,$C4942,DATA_GOC!$F:$F,"Xuất nội bộ từ téc",DATA_GOC!$B:$B,"&gt;="&amp;$D4942,DATA_GOC!$B:$B,"&lt;="&amp;$E4942))</f>
        <v/>
      </c>
      <c r="J4942" s="59">
        <f t="shared" si="28"/>
        <v>0</v>
      </c>
      <c r="K4942" s="59">
        <f t="shared" si="29"/>
        <v>0</v>
      </c>
      <c r="L4942" s="59">
        <f t="shared" si="30"/>
        <v>0</v>
      </c>
      <c r="M4942" s="59">
        <f t="shared" si="31"/>
        <v>0</v>
      </c>
    </row>
    <row r="4943" ht="15.0" hidden="1" customHeight="1">
      <c r="A4943" s="59">
        <f t="shared" si="20"/>
        <v>79</v>
      </c>
      <c r="B4943" s="59" t="str">
        <f t="shared" si="21"/>
        <v/>
      </c>
      <c r="C4943" s="59" t="str">
        <f t="shared" si="22"/>
        <v/>
      </c>
      <c r="D4943" s="45" t="str">
        <f t="shared" si="23"/>
        <v/>
      </c>
      <c r="E4943" s="45" t="str">
        <f t="shared" si="24"/>
        <v/>
      </c>
      <c r="F4943" s="59" t="str">
        <f t="shared" si="25"/>
        <v/>
      </c>
      <c r="G4943" s="59" t="str">
        <f t="shared" si="26"/>
        <v/>
      </c>
      <c r="H4943" s="59" t="str">
        <f t="shared" si="27"/>
        <v>28C06447</v>
      </c>
      <c r="I4943" s="59" t="str">
        <f>IF(OR($A4943="",$C4943="",$D4943="",$E4943="",$H4943=""),"",SUMIFS(DATA_GOC!$H:$H,DATA_GOC!$A:$A,"BOM",DATA_GOC!$D:$D,$H4943,DATA_GOC!$E:$E,$C4943,DATA_GOC!$F:$F,"Xuất nội bộ từ téc",DATA_GOC!$B:$B,"&gt;="&amp;$D4943,DATA_GOC!$B:$B,"&lt;="&amp;$E4943))</f>
        <v/>
      </c>
      <c r="J4943" s="59">
        <f t="shared" si="28"/>
        <v>0</v>
      </c>
      <c r="K4943" s="59">
        <f t="shared" si="29"/>
        <v>0</v>
      </c>
      <c r="L4943" s="59">
        <f t="shared" si="30"/>
        <v>0</v>
      </c>
      <c r="M4943" s="59">
        <f t="shared" si="31"/>
        <v>0</v>
      </c>
    </row>
    <row r="4944" ht="15.0" hidden="1" customHeight="1">
      <c r="A4944" s="59">
        <f t="shared" si="20"/>
        <v>79</v>
      </c>
      <c r="B4944" s="59" t="str">
        <f t="shared" si="21"/>
        <v/>
      </c>
      <c r="C4944" s="59" t="str">
        <f t="shared" si="22"/>
        <v/>
      </c>
      <c r="D4944" s="45" t="str">
        <f t="shared" si="23"/>
        <v/>
      </c>
      <c r="E4944" s="45" t="str">
        <f t="shared" si="24"/>
        <v/>
      </c>
      <c r="F4944" s="59" t="str">
        <f t="shared" si="25"/>
        <v/>
      </c>
      <c r="G4944" s="59" t="str">
        <f t="shared" si="26"/>
        <v/>
      </c>
      <c r="H4944" s="59" t="str">
        <f t="shared" si="27"/>
        <v>28H00003</v>
      </c>
      <c r="I4944" s="59" t="str">
        <f>IF(OR($A4944="",$C4944="",$D4944="",$E4944="",$H4944=""),"",SUMIFS(DATA_GOC!$H:$H,DATA_GOC!$A:$A,"BOM",DATA_GOC!$D:$D,$H4944,DATA_GOC!$E:$E,$C4944,DATA_GOC!$F:$F,"Xuất nội bộ từ téc",DATA_GOC!$B:$B,"&gt;="&amp;$D4944,DATA_GOC!$B:$B,"&lt;="&amp;$E4944))</f>
        <v/>
      </c>
      <c r="J4944" s="59">
        <f t="shared" si="28"/>
        <v>0</v>
      </c>
      <c r="K4944" s="59">
        <f t="shared" si="29"/>
        <v>0</v>
      </c>
      <c r="L4944" s="59">
        <f t="shared" si="30"/>
        <v>0</v>
      </c>
      <c r="M4944" s="59">
        <f t="shared" si="31"/>
        <v>0</v>
      </c>
    </row>
    <row r="4945" ht="15.0" hidden="1" customHeight="1">
      <c r="A4945" s="59">
        <f t="shared" si="20"/>
        <v>79</v>
      </c>
      <c r="B4945" s="59" t="str">
        <f t="shared" si="21"/>
        <v/>
      </c>
      <c r="C4945" s="59" t="str">
        <f t="shared" si="22"/>
        <v/>
      </c>
      <c r="D4945" s="45" t="str">
        <f t="shared" si="23"/>
        <v/>
      </c>
      <c r="E4945" s="45" t="str">
        <f t="shared" si="24"/>
        <v/>
      </c>
      <c r="F4945" s="59" t="str">
        <f t="shared" si="25"/>
        <v/>
      </c>
      <c r="G4945" s="59" t="str">
        <f t="shared" si="26"/>
        <v/>
      </c>
      <c r="H4945" s="59" t="str">
        <f t="shared" si="27"/>
        <v>28H00061</v>
      </c>
      <c r="I4945" s="59" t="str">
        <f>IF(OR($A4945="",$C4945="",$D4945="",$E4945="",$H4945=""),"",SUMIFS(DATA_GOC!$H:$H,DATA_GOC!$A:$A,"BOM",DATA_GOC!$D:$D,$H4945,DATA_GOC!$E:$E,$C4945,DATA_GOC!$F:$F,"Xuất nội bộ từ téc",DATA_GOC!$B:$B,"&gt;="&amp;$D4945,DATA_GOC!$B:$B,"&lt;="&amp;$E4945))</f>
        <v/>
      </c>
      <c r="J4945" s="59">
        <f t="shared" si="28"/>
        <v>0</v>
      </c>
      <c r="K4945" s="59">
        <f t="shared" si="29"/>
        <v>0</v>
      </c>
      <c r="L4945" s="59">
        <f t="shared" si="30"/>
        <v>0</v>
      </c>
      <c r="M4945" s="59">
        <f t="shared" si="31"/>
        <v>0</v>
      </c>
    </row>
    <row r="4946" ht="15.0" hidden="1" customHeight="1">
      <c r="A4946" s="59">
        <f t="shared" si="20"/>
        <v>79</v>
      </c>
      <c r="B4946" s="59" t="str">
        <f t="shared" si="21"/>
        <v/>
      </c>
      <c r="C4946" s="59" t="str">
        <f t="shared" si="22"/>
        <v/>
      </c>
      <c r="D4946" s="45" t="str">
        <f t="shared" si="23"/>
        <v/>
      </c>
      <c r="E4946" s="45" t="str">
        <f t="shared" si="24"/>
        <v/>
      </c>
      <c r="F4946" s="59" t="str">
        <f t="shared" si="25"/>
        <v/>
      </c>
      <c r="G4946" s="59" t="str">
        <f t="shared" si="26"/>
        <v/>
      </c>
      <c r="H4946" s="59" t="str">
        <f t="shared" si="27"/>
        <v>28H00354</v>
      </c>
      <c r="I4946" s="59" t="str">
        <f>IF(OR($A4946="",$C4946="",$D4946="",$E4946="",$H4946=""),"",SUMIFS(DATA_GOC!$H:$H,DATA_GOC!$A:$A,"BOM",DATA_GOC!$D:$D,$H4946,DATA_GOC!$E:$E,$C4946,DATA_GOC!$F:$F,"Xuất nội bộ từ téc",DATA_GOC!$B:$B,"&gt;="&amp;$D4946,DATA_GOC!$B:$B,"&lt;="&amp;$E4946))</f>
        <v/>
      </c>
      <c r="J4946" s="59">
        <f t="shared" si="28"/>
        <v>0</v>
      </c>
      <c r="K4946" s="59">
        <f t="shared" si="29"/>
        <v>0</v>
      </c>
      <c r="L4946" s="59">
        <f t="shared" si="30"/>
        <v>0</v>
      </c>
      <c r="M4946" s="59">
        <f t="shared" si="31"/>
        <v>0</v>
      </c>
    </row>
    <row r="4947" ht="15.0" hidden="1" customHeight="1">
      <c r="A4947" s="59">
        <f t="shared" si="20"/>
        <v>79</v>
      </c>
      <c r="B4947" s="59" t="str">
        <f t="shared" si="21"/>
        <v/>
      </c>
      <c r="C4947" s="59" t="str">
        <f t="shared" si="22"/>
        <v/>
      </c>
      <c r="D4947" s="45" t="str">
        <f t="shared" si="23"/>
        <v/>
      </c>
      <c r="E4947" s="45" t="str">
        <f t="shared" si="24"/>
        <v/>
      </c>
      <c r="F4947" s="59" t="str">
        <f t="shared" si="25"/>
        <v/>
      </c>
      <c r="G4947" s="59" t="str">
        <f t="shared" si="26"/>
        <v/>
      </c>
      <c r="H4947" s="59" t="str">
        <f t="shared" si="27"/>
        <v>28H00603</v>
      </c>
      <c r="I4947" s="59" t="str">
        <f>IF(OR($A4947="",$C4947="",$D4947="",$E4947="",$H4947=""),"",SUMIFS(DATA_GOC!$H:$H,DATA_GOC!$A:$A,"BOM",DATA_GOC!$D:$D,$H4947,DATA_GOC!$E:$E,$C4947,DATA_GOC!$F:$F,"Xuất nội bộ từ téc",DATA_GOC!$B:$B,"&gt;="&amp;$D4947,DATA_GOC!$B:$B,"&lt;="&amp;$E4947))</f>
        <v/>
      </c>
      <c r="J4947" s="59">
        <f t="shared" si="28"/>
        <v>0</v>
      </c>
      <c r="K4947" s="59">
        <f t="shared" si="29"/>
        <v>0</v>
      </c>
      <c r="L4947" s="59">
        <f t="shared" si="30"/>
        <v>0</v>
      </c>
      <c r="M4947" s="59">
        <f t="shared" si="31"/>
        <v>0</v>
      </c>
    </row>
    <row r="4948" ht="15.0" hidden="1" customHeight="1">
      <c r="A4948" s="59">
        <f t="shared" si="20"/>
        <v>79</v>
      </c>
      <c r="B4948" s="59" t="str">
        <f t="shared" si="21"/>
        <v/>
      </c>
      <c r="C4948" s="59" t="str">
        <f t="shared" si="22"/>
        <v/>
      </c>
      <c r="D4948" s="45" t="str">
        <f t="shared" si="23"/>
        <v/>
      </c>
      <c r="E4948" s="45" t="str">
        <f t="shared" si="24"/>
        <v/>
      </c>
      <c r="F4948" s="59" t="str">
        <f t="shared" si="25"/>
        <v/>
      </c>
      <c r="G4948" s="59" t="str">
        <f t="shared" si="26"/>
        <v/>
      </c>
      <c r="H4948" s="59" t="str">
        <f t="shared" si="27"/>
        <v>28H00609</v>
      </c>
      <c r="I4948" s="59" t="str">
        <f>IF(OR($A4948="",$C4948="",$D4948="",$E4948="",$H4948=""),"",SUMIFS(DATA_GOC!$H:$H,DATA_GOC!$A:$A,"BOM",DATA_GOC!$D:$D,$H4948,DATA_GOC!$E:$E,$C4948,DATA_GOC!$F:$F,"Xuất nội bộ từ téc",DATA_GOC!$B:$B,"&gt;="&amp;$D4948,DATA_GOC!$B:$B,"&lt;="&amp;$E4948))</f>
        <v/>
      </c>
      <c r="J4948" s="59">
        <f t="shared" si="28"/>
        <v>0</v>
      </c>
      <c r="K4948" s="59">
        <f t="shared" si="29"/>
        <v>0</v>
      </c>
      <c r="L4948" s="59">
        <f t="shared" si="30"/>
        <v>0</v>
      </c>
      <c r="M4948" s="59">
        <f t="shared" si="31"/>
        <v>0</v>
      </c>
    </row>
    <row r="4949" ht="15.0" hidden="1" customHeight="1">
      <c r="A4949" s="59">
        <f t="shared" si="20"/>
        <v>79</v>
      </c>
      <c r="B4949" s="59" t="str">
        <f t="shared" si="21"/>
        <v/>
      </c>
      <c r="C4949" s="59" t="str">
        <f t="shared" si="22"/>
        <v/>
      </c>
      <c r="D4949" s="45" t="str">
        <f t="shared" si="23"/>
        <v/>
      </c>
      <c r="E4949" s="45" t="str">
        <f t="shared" si="24"/>
        <v/>
      </c>
      <c r="F4949" s="59" t="str">
        <f t="shared" si="25"/>
        <v/>
      </c>
      <c r="G4949" s="59" t="str">
        <f t="shared" si="26"/>
        <v/>
      </c>
      <c r="H4949" s="59" t="str">
        <f t="shared" si="27"/>
        <v>28H00669</v>
      </c>
      <c r="I4949" s="59" t="str">
        <f>IF(OR($A4949="",$C4949="",$D4949="",$E4949="",$H4949=""),"",SUMIFS(DATA_GOC!$H:$H,DATA_GOC!$A:$A,"BOM",DATA_GOC!$D:$D,$H4949,DATA_GOC!$E:$E,$C4949,DATA_GOC!$F:$F,"Xuất nội bộ từ téc",DATA_GOC!$B:$B,"&gt;="&amp;$D4949,DATA_GOC!$B:$B,"&lt;="&amp;$E4949))</f>
        <v/>
      </c>
      <c r="J4949" s="59">
        <f t="shared" si="28"/>
        <v>0</v>
      </c>
      <c r="K4949" s="59">
        <f t="shared" si="29"/>
        <v>0</v>
      </c>
      <c r="L4949" s="59">
        <f t="shared" si="30"/>
        <v>0</v>
      </c>
      <c r="M4949" s="59">
        <f t="shared" si="31"/>
        <v>0</v>
      </c>
    </row>
    <row r="4950" ht="15.0" hidden="1" customHeight="1">
      <c r="A4950" s="59">
        <f t="shared" si="20"/>
        <v>79</v>
      </c>
      <c r="B4950" s="59" t="str">
        <f t="shared" si="21"/>
        <v/>
      </c>
      <c r="C4950" s="59" t="str">
        <f t="shared" si="22"/>
        <v/>
      </c>
      <c r="D4950" s="45" t="str">
        <f t="shared" si="23"/>
        <v/>
      </c>
      <c r="E4950" s="45" t="str">
        <f t="shared" si="24"/>
        <v/>
      </c>
      <c r="F4950" s="59" t="str">
        <f t="shared" si="25"/>
        <v/>
      </c>
      <c r="G4950" s="59" t="str">
        <f t="shared" si="26"/>
        <v/>
      </c>
      <c r="H4950" s="59" t="str">
        <f t="shared" si="27"/>
        <v>28H00680</v>
      </c>
      <c r="I4950" s="59" t="str">
        <f>IF(OR($A4950="",$C4950="",$D4950="",$E4950="",$H4950=""),"",SUMIFS(DATA_GOC!$H:$H,DATA_GOC!$A:$A,"BOM",DATA_GOC!$D:$D,$H4950,DATA_GOC!$E:$E,$C4950,DATA_GOC!$F:$F,"Xuất nội bộ từ téc",DATA_GOC!$B:$B,"&gt;="&amp;$D4950,DATA_GOC!$B:$B,"&lt;="&amp;$E4950))</f>
        <v/>
      </c>
      <c r="J4950" s="59">
        <f t="shared" si="28"/>
        <v>0</v>
      </c>
      <c r="K4950" s="59">
        <f t="shared" si="29"/>
        <v>0</v>
      </c>
      <c r="L4950" s="59">
        <f t="shared" si="30"/>
        <v>0</v>
      </c>
      <c r="M4950" s="59">
        <f t="shared" si="31"/>
        <v>0</v>
      </c>
    </row>
    <row r="4951" ht="15.0" hidden="1" customHeight="1">
      <c r="A4951" s="59">
        <f t="shared" si="20"/>
        <v>79</v>
      </c>
      <c r="B4951" s="59" t="str">
        <f t="shared" si="21"/>
        <v/>
      </c>
      <c r="C4951" s="59" t="str">
        <f t="shared" si="22"/>
        <v/>
      </c>
      <c r="D4951" s="45" t="str">
        <f t="shared" si="23"/>
        <v/>
      </c>
      <c r="E4951" s="45" t="str">
        <f t="shared" si="24"/>
        <v/>
      </c>
      <c r="F4951" s="59" t="str">
        <f t="shared" si="25"/>
        <v/>
      </c>
      <c r="G4951" s="59" t="str">
        <f t="shared" si="26"/>
        <v/>
      </c>
      <c r="H4951" s="59" t="str">
        <f t="shared" si="27"/>
        <v>28H01070</v>
      </c>
      <c r="I4951" s="59" t="str">
        <f>IF(OR($A4951="",$C4951="",$D4951="",$E4951="",$H4951=""),"",SUMIFS(DATA_GOC!$H:$H,DATA_GOC!$A:$A,"BOM",DATA_GOC!$D:$D,$H4951,DATA_GOC!$E:$E,$C4951,DATA_GOC!$F:$F,"Xuất nội bộ từ téc",DATA_GOC!$B:$B,"&gt;="&amp;$D4951,DATA_GOC!$B:$B,"&lt;="&amp;$E4951))</f>
        <v/>
      </c>
      <c r="J4951" s="59">
        <f t="shared" si="28"/>
        <v>0</v>
      </c>
      <c r="K4951" s="59">
        <f t="shared" si="29"/>
        <v>0</v>
      </c>
      <c r="L4951" s="59">
        <f t="shared" si="30"/>
        <v>0</v>
      </c>
      <c r="M4951" s="59">
        <f t="shared" si="31"/>
        <v>0</v>
      </c>
    </row>
    <row r="4952" ht="15.0" hidden="1" customHeight="1">
      <c r="A4952" s="59">
        <f t="shared" si="20"/>
        <v>79</v>
      </c>
      <c r="B4952" s="59" t="str">
        <f t="shared" si="21"/>
        <v/>
      </c>
      <c r="C4952" s="59" t="str">
        <f t="shared" si="22"/>
        <v/>
      </c>
      <c r="D4952" s="45" t="str">
        <f t="shared" si="23"/>
        <v/>
      </c>
      <c r="E4952" s="45" t="str">
        <f t="shared" si="24"/>
        <v/>
      </c>
      <c r="F4952" s="59" t="str">
        <f t="shared" si="25"/>
        <v/>
      </c>
      <c r="G4952" s="59" t="str">
        <f t="shared" si="26"/>
        <v/>
      </c>
      <c r="H4952" s="59" t="str">
        <f t="shared" si="27"/>
        <v>28H01364</v>
      </c>
      <c r="I4952" s="59" t="str">
        <f>IF(OR($A4952="",$C4952="",$D4952="",$E4952="",$H4952=""),"",SUMIFS(DATA_GOC!$H:$H,DATA_GOC!$A:$A,"BOM",DATA_GOC!$D:$D,$H4952,DATA_GOC!$E:$E,$C4952,DATA_GOC!$F:$F,"Xuất nội bộ từ téc",DATA_GOC!$B:$B,"&gt;="&amp;$D4952,DATA_GOC!$B:$B,"&lt;="&amp;$E4952))</f>
        <v/>
      </c>
      <c r="J4952" s="59">
        <f t="shared" si="28"/>
        <v>0</v>
      </c>
      <c r="K4952" s="59">
        <f t="shared" si="29"/>
        <v>0</v>
      </c>
      <c r="L4952" s="59">
        <f t="shared" si="30"/>
        <v>0</v>
      </c>
      <c r="M4952" s="59">
        <f t="shared" si="31"/>
        <v>0</v>
      </c>
    </row>
    <row r="4953" ht="15.0" hidden="1" customHeight="1">
      <c r="A4953" s="59">
        <f t="shared" si="20"/>
        <v>79</v>
      </c>
      <c r="B4953" s="59" t="str">
        <f t="shared" si="21"/>
        <v/>
      </c>
      <c r="C4953" s="59" t="str">
        <f t="shared" si="22"/>
        <v/>
      </c>
      <c r="D4953" s="45" t="str">
        <f t="shared" si="23"/>
        <v/>
      </c>
      <c r="E4953" s="45" t="str">
        <f t="shared" si="24"/>
        <v/>
      </c>
      <c r="F4953" s="59" t="str">
        <f t="shared" si="25"/>
        <v/>
      </c>
      <c r="G4953" s="59" t="str">
        <f t="shared" si="26"/>
        <v/>
      </c>
      <c r="H4953" s="59" t="str">
        <f t="shared" si="27"/>
        <v>29E17269</v>
      </c>
      <c r="I4953" s="59" t="str">
        <f>IF(OR($A4953="",$C4953="",$D4953="",$E4953="",$H4953=""),"",SUMIFS(DATA_GOC!$H:$H,DATA_GOC!$A:$A,"BOM",DATA_GOC!$D:$D,$H4953,DATA_GOC!$E:$E,$C4953,DATA_GOC!$F:$F,"Xuất nội bộ từ téc",DATA_GOC!$B:$B,"&gt;="&amp;$D4953,DATA_GOC!$B:$B,"&lt;="&amp;$E4953))</f>
        <v/>
      </c>
      <c r="J4953" s="59">
        <f t="shared" si="28"/>
        <v>0</v>
      </c>
      <c r="K4953" s="59">
        <f t="shared" si="29"/>
        <v>0</v>
      </c>
      <c r="L4953" s="59">
        <f t="shared" si="30"/>
        <v>0</v>
      </c>
      <c r="M4953" s="59">
        <f t="shared" si="31"/>
        <v>0</v>
      </c>
    </row>
    <row r="4954" ht="15.0" hidden="1" customHeight="1">
      <c r="A4954" s="59">
        <f t="shared" si="20"/>
        <v>79</v>
      </c>
      <c r="B4954" s="59" t="str">
        <f t="shared" si="21"/>
        <v/>
      </c>
      <c r="C4954" s="59" t="str">
        <f t="shared" si="22"/>
        <v/>
      </c>
      <c r="D4954" s="45" t="str">
        <f t="shared" si="23"/>
        <v/>
      </c>
      <c r="E4954" s="45" t="str">
        <f t="shared" si="24"/>
        <v/>
      </c>
      <c r="F4954" s="59" t="str">
        <f t="shared" si="25"/>
        <v/>
      </c>
      <c r="G4954" s="59" t="str">
        <f t="shared" si="26"/>
        <v/>
      </c>
      <c r="H4954" s="59" t="str">
        <f t="shared" si="27"/>
        <v>29E17273</v>
      </c>
      <c r="I4954" s="59" t="str">
        <f>IF(OR($A4954="",$C4954="",$D4954="",$E4954="",$H4954=""),"",SUMIFS(DATA_GOC!$H:$H,DATA_GOC!$A:$A,"BOM",DATA_GOC!$D:$D,$H4954,DATA_GOC!$E:$E,$C4954,DATA_GOC!$F:$F,"Xuất nội bộ từ téc",DATA_GOC!$B:$B,"&gt;="&amp;$D4954,DATA_GOC!$B:$B,"&lt;="&amp;$E4954))</f>
        <v/>
      </c>
      <c r="J4954" s="59">
        <f t="shared" si="28"/>
        <v>0</v>
      </c>
      <c r="K4954" s="59">
        <f t="shared" si="29"/>
        <v>0</v>
      </c>
      <c r="L4954" s="59">
        <f t="shared" si="30"/>
        <v>0</v>
      </c>
      <c r="M4954" s="59">
        <f t="shared" si="31"/>
        <v>0</v>
      </c>
    </row>
    <row r="4955" ht="15.0" hidden="1" customHeight="1">
      <c r="A4955" s="59">
        <f t="shared" si="20"/>
        <v>79</v>
      </c>
      <c r="B4955" s="59" t="str">
        <f t="shared" si="21"/>
        <v/>
      </c>
      <c r="C4955" s="59" t="str">
        <f t="shared" si="22"/>
        <v/>
      </c>
      <c r="D4955" s="45" t="str">
        <f t="shared" si="23"/>
        <v/>
      </c>
      <c r="E4955" s="45" t="str">
        <f t="shared" si="24"/>
        <v/>
      </c>
      <c r="F4955" s="59" t="str">
        <f t="shared" si="25"/>
        <v/>
      </c>
      <c r="G4955" s="59" t="str">
        <f t="shared" si="26"/>
        <v/>
      </c>
      <c r="H4955" s="59" t="str">
        <f t="shared" si="27"/>
        <v>29E17410</v>
      </c>
      <c r="I4955" s="59" t="str">
        <f>IF(OR($A4955="",$C4955="",$D4955="",$E4955="",$H4955=""),"",SUMIFS(DATA_GOC!$H:$H,DATA_GOC!$A:$A,"BOM",DATA_GOC!$D:$D,$H4955,DATA_GOC!$E:$E,$C4955,DATA_GOC!$F:$F,"Xuất nội bộ từ téc",DATA_GOC!$B:$B,"&gt;="&amp;$D4955,DATA_GOC!$B:$B,"&lt;="&amp;$E4955))</f>
        <v/>
      </c>
      <c r="J4955" s="59">
        <f t="shared" si="28"/>
        <v>0</v>
      </c>
      <c r="K4955" s="59">
        <f t="shared" si="29"/>
        <v>0</v>
      </c>
      <c r="L4955" s="59">
        <f t="shared" si="30"/>
        <v>0</v>
      </c>
      <c r="M4955" s="59">
        <f t="shared" si="31"/>
        <v>0</v>
      </c>
    </row>
    <row r="4956" ht="15.0" hidden="1" customHeight="1">
      <c r="A4956" s="59">
        <f t="shared" si="20"/>
        <v>79</v>
      </c>
      <c r="B4956" s="59" t="str">
        <f t="shared" si="21"/>
        <v/>
      </c>
      <c r="C4956" s="59" t="str">
        <f t="shared" si="22"/>
        <v/>
      </c>
      <c r="D4956" s="45" t="str">
        <f t="shared" si="23"/>
        <v/>
      </c>
      <c r="E4956" s="45" t="str">
        <f t="shared" si="24"/>
        <v/>
      </c>
      <c r="F4956" s="59" t="str">
        <f t="shared" si="25"/>
        <v/>
      </c>
      <c r="G4956" s="59" t="str">
        <f t="shared" si="26"/>
        <v/>
      </c>
      <c r="H4956" s="59" t="str">
        <f t="shared" si="27"/>
        <v>29E17417</v>
      </c>
      <c r="I4956" s="59" t="str">
        <f>IF(OR($A4956="",$C4956="",$D4956="",$E4956="",$H4956=""),"",SUMIFS(DATA_GOC!$H:$H,DATA_GOC!$A:$A,"BOM",DATA_GOC!$D:$D,$H4956,DATA_GOC!$E:$E,$C4956,DATA_GOC!$F:$F,"Xuất nội bộ từ téc",DATA_GOC!$B:$B,"&gt;="&amp;$D4956,DATA_GOC!$B:$B,"&lt;="&amp;$E4956))</f>
        <v/>
      </c>
      <c r="J4956" s="59">
        <f t="shared" si="28"/>
        <v>0</v>
      </c>
      <c r="K4956" s="59">
        <f t="shared" si="29"/>
        <v>0</v>
      </c>
      <c r="L4956" s="59">
        <f t="shared" si="30"/>
        <v>0</v>
      </c>
      <c r="M4956" s="59">
        <f t="shared" si="31"/>
        <v>0</v>
      </c>
    </row>
    <row r="4957" ht="15.0" hidden="1" customHeight="1">
      <c r="A4957" s="59">
        <f t="shared" si="20"/>
        <v>79</v>
      </c>
      <c r="B4957" s="59" t="str">
        <f t="shared" si="21"/>
        <v/>
      </c>
      <c r="C4957" s="59" t="str">
        <f t="shared" si="22"/>
        <v/>
      </c>
      <c r="D4957" s="45" t="str">
        <f t="shared" si="23"/>
        <v/>
      </c>
      <c r="E4957" s="45" t="str">
        <f t="shared" si="24"/>
        <v/>
      </c>
      <c r="F4957" s="59" t="str">
        <f t="shared" si="25"/>
        <v/>
      </c>
      <c r="G4957" s="59" t="str">
        <f t="shared" si="26"/>
        <v/>
      </c>
      <c r="H4957" s="59" t="str">
        <f t="shared" si="27"/>
        <v>29E17539</v>
      </c>
      <c r="I4957" s="59" t="str">
        <f>IF(OR($A4957="",$C4957="",$D4957="",$E4957="",$H4957=""),"",SUMIFS(DATA_GOC!$H:$H,DATA_GOC!$A:$A,"BOM",DATA_GOC!$D:$D,$H4957,DATA_GOC!$E:$E,$C4957,DATA_GOC!$F:$F,"Xuất nội bộ từ téc",DATA_GOC!$B:$B,"&gt;="&amp;$D4957,DATA_GOC!$B:$B,"&lt;="&amp;$E4957))</f>
        <v/>
      </c>
      <c r="J4957" s="59">
        <f t="shared" si="28"/>
        <v>0</v>
      </c>
      <c r="K4957" s="59">
        <f t="shared" si="29"/>
        <v>0</v>
      </c>
      <c r="L4957" s="59">
        <f t="shared" si="30"/>
        <v>0</v>
      </c>
      <c r="M4957" s="59">
        <f t="shared" si="31"/>
        <v>0</v>
      </c>
    </row>
    <row r="4958" ht="15.0" hidden="1" customHeight="1">
      <c r="A4958" s="59">
        <f t="shared" si="20"/>
        <v>79</v>
      </c>
      <c r="B4958" s="59" t="str">
        <f t="shared" si="21"/>
        <v/>
      </c>
      <c r="C4958" s="59" t="str">
        <f t="shared" si="22"/>
        <v/>
      </c>
      <c r="D4958" s="45" t="str">
        <f t="shared" si="23"/>
        <v/>
      </c>
      <c r="E4958" s="45" t="str">
        <f t="shared" si="24"/>
        <v/>
      </c>
      <c r="F4958" s="59" t="str">
        <f t="shared" si="25"/>
        <v/>
      </c>
      <c r="G4958" s="59" t="str">
        <f t="shared" si="26"/>
        <v/>
      </c>
      <c r="H4958" s="59" t="str">
        <f t="shared" si="27"/>
        <v>29E18160</v>
      </c>
      <c r="I4958" s="59" t="str">
        <f>IF(OR($A4958="",$C4958="",$D4958="",$E4958="",$H4958=""),"",SUMIFS(DATA_GOC!$H:$H,DATA_GOC!$A:$A,"BOM",DATA_GOC!$D:$D,$H4958,DATA_GOC!$E:$E,$C4958,DATA_GOC!$F:$F,"Xuất nội bộ từ téc",DATA_GOC!$B:$B,"&gt;="&amp;$D4958,DATA_GOC!$B:$B,"&lt;="&amp;$E4958))</f>
        <v/>
      </c>
      <c r="J4958" s="59">
        <f t="shared" si="28"/>
        <v>0</v>
      </c>
      <c r="K4958" s="59">
        <f t="shared" si="29"/>
        <v>0</v>
      </c>
      <c r="L4958" s="59">
        <f t="shared" si="30"/>
        <v>0</v>
      </c>
      <c r="M4958" s="59">
        <f t="shared" si="31"/>
        <v>0</v>
      </c>
    </row>
    <row r="4959" ht="15.0" hidden="1" customHeight="1">
      <c r="A4959" s="59">
        <f t="shared" si="20"/>
        <v>79</v>
      </c>
      <c r="B4959" s="59" t="str">
        <f t="shared" si="21"/>
        <v/>
      </c>
      <c r="C4959" s="59" t="str">
        <f t="shared" si="22"/>
        <v/>
      </c>
      <c r="D4959" s="45" t="str">
        <f t="shared" si="23"/>
        <v/>
      </c>
      <c r="E4959" s="45" t="str">
        <f t="shared" si="24"/>
        <v/>
      </c>
      <c r="F4959" s="59" t="str">
        <f t="shared" si="25"/>
        <v/>
      </c>
      <c r="G4959" s="59" t="str">
        <f t="shared" si="26"/>
        <v/>
      </c>
      <c r="H4959" s="59" t="str">
        <f t="shared" si="27"/>
        <v>Công trình Asphalt</v>
      </c>
      <c r="I4959" s="59" t="str">
        <f>IF(OR($A4959="",$C4959="",$D4959="",$E4959="",$H4959=""),"",SUMIFS(DATA_GOC!$H:$H,DATA_GOC!$A:$A,"BOM",DATA_GOC!$D:$D,$H4959,DATA_GOC!$E:$E,$C4959,DATA_GOC!$F:$F,"Xuất nội bộ từ téc",DATA_GOC!$B:$B,"&gt;="&amp;$D4959,DATA_GOC!$B:$B,"&lt;="&amp;$E4959))</f>
        <v/>
      </c>
      <c r="J4959" s="59">
        <f t="shared" si="28"/>
        <v>0</v>
      </c>
      <c r="K4959" s="59">
        <f t="shared" si="29"/>
        <v>0</v>
      </c>
      <c r="L4959" s="59">
        <f t="shared" si="30"/>
        <v>0</v>
      </c>
      <c r="M4959" s="59">
        <f t="shared" si="31"/>
        <v>0</v>
      </c>
    </row>
    <row r="4960" ht="15.0" hidden="1" customHeight="1">
      <c r="A4960" s="59">
        <f t="shared" si="20"/>
        <v>79</v>
      </c>
      <c r="B4960" s="59" t="str">
        <f t="shared" si="21"/>
        <v/>
      </c>
      <c r="C4960" s="59" t="str">
        <f t="shared" si="22"/>
        <v/>
      </c>
      <c r="D4960" s="45" t="str">
        <f t="shared" si="23"/>
        <v/>
      </c>
      <c r="E4960" s="45" t="str">
        <f t="shared" si="24"/>
        <v/>
      </c>
      <c r="F4960" s="59" t="str">
        <f t="shared" si="25"/>
        <v/>
      </c>
      <c r="G4960" s="59" t="str">
        <f t="shared" si="26"/>
        <v/>
      </c>
      <c r="H4960" s="59" t="str">
        <f t="shared" si="27"/>
        <v>LG53F</v>
      </c>
      <c r="I4960" s="59" t="str">
        <f>IF(OR($A4960="",$C4960="",$D4960="",$E4960="",$H4960=""),"",SUMIFS(DATA_GOC!$H:$H,DATA_GOC!$A:$A,"BOM",DATA_GOC!$D:$D,$H4960,DATA_GOC!$E:$E,$C4960,DATA_GOC!$F:$F,"Xuất nội bộ từ téc",DATA_GOC!$B:$B,"&gt;="&amp;$D4960,DATA_GOC!$B:$B,"&lt;="&amp;$E4960))</f>
        <v/>
      </c>
      <c r="J4960" s="59">
        <f t="shared" si="28"/>
        <v>0</v>
      </c>
      <c r="K4960" s="59">
        <f t="shared" si="29"/>
        <v>0</v>
      </c>
      <c r="L4960" s="59">
        <f t="shared" si="30"/>
        <v>0</v>
      </c>
      <c r="M4960" s="59">
        <f t="shared" si="31"/>
        <v>0</v>
      </c>
    </row>
    <row r="4961" ht="15.0" hidden="1" customHeight="1">
      <c r="A4961" s="59">
        <f t="shared" si="20"/>
        <v>79</v>
      </c>
      <c r="B4961" s="59" t="str">
        <f t="shared" si="21"/>
        <v/>
      </c>
      <c r="C4961" s="59" t="str">
        <f t="shared" si="22"/>
        <v/>
      </c>
      <c r="D4961" s="45" t="str">
        <f t="shared" si="23"/>
        <v/>
      </c>
      <c r="E4961" s="45" t="str">
        <f t="shared" si="24"/>
        <v/>
      </c>
      <c r="F4961" s="59" t="str">
        <f t="shared" si="25"/>
        <v/>
      </c>
      <c r="G4961" s="59" t="str">
        <f t="shared" si="26"/>
        <v/>
      </c>
      <c r="H4961" s="59" t="str">
        <f t="shared" si="27"/>
        <v>Máy phát điện</v>
      </c>
      <c r="I4961" s="59" t="str">
        <f>IF(OR($A4961="",$C4961="",$D4961="",$E4961="",$H4961=""),"",SUMIFS(DATA_GOC!$H:$H,DATA_GOC!$A:$A,"BOM",DATA_GOC!$D:$D,$H4961,DATA_GOC!$E:$E,$C4961,DATA_GOC!$F:$F,"Xuất nội bộ từ téc",DATA_GOC!$B:$B,"&gt;="&amp;$D4961,DATA_GOC!$B:$B,"&lt;="&amp;$E4961))</f>
        <v/>
      </c>
      <c r="J4961" s="59">
        <f t="shared" si="28"/>
        <v>0</v>
      </c>
      <c r="K4961" s="59">
        <f t="shared" si="29"/>
        <v>0</v>
      </c>
      <c r="L4961" s="59">
        <f t="shared" si="30"/>
        <v>0</v>
      </c>
      <c r="M4961" s="59">
        <f t="shared" si="31"/>
        <v>0</v>
      </c>
    </row>
    <row r="4962" ht="15.0" hidden="1" customHeight="1">
      <c r="A4962" s="59">
        <f t="shared" si="20"/>
        <v>79</v>
      </c>
      <c r="B4962" s="59" t="str">
        <f t="shared" si="21"/>
        <v/>
      </c>
      <c r="C4962" s="59" t="str">
        <f t="shared" si="22"/>
        <v/>
      </c>
      <c r="D4962" s="45" t="str">
        <f t="shared" si="23"/>
        <v/>
      </c>
      <c r="E4962" s="45" t="str">
        <f t="shared" si="24"/>
        <v/>
      </c>
      <c r="F4962" s="59" t="str">
        <f t="shared" si="25"/>
        <v/>
      </c>
      <c r="G4962" s="59" t="str">
        <f t="shared" si="26"/>
        <v/>
      </c>
      <c r="H4962" s="59" t="str">
        <f t="shared" si="27"/>
        <v>Máy rải thảm</v>
      </c>
      <c r="I4962" s="59" t="str">
        <f>IF(OR($A4962="",$C4962="",$D4962="",$E4962="",$H4962=""),"",SUMIFS(DATA_GOC!$H:$H,DATA_GOC!$A:$A,"BOM",DATA_GOC!$D:$D,$H4962,DATA_GOC!$E:$E,$C4962,DATA_GOC!$F:$F,"Xuất nội bộ từ téc",DATA_GOC!$B:$B,"&gt;="&amp;$D4962,DATA_GOC!$B:$B,"&lt;="&amp;$E4962))</f>
        <v/>
      </c>
      <c r="J4962" s="59">
        <f t="shared" si="28"/>
        <v>0</v>
      </c>
      <c r="K4962" s="59">
        <f t="shared" si="29"/>
        <v>0</v>
      </c>
      <c r="L4962" s="59">
        <f t="shared" si="30"/>
        <v>0</v>
      </c>
      <c r="M4962" s="59">
        <f t="shared" si="31"/>
        <v>0</v>
      </c>
    </row>
    <row r="4963" ht="15.0" hidden="1" customHeight="1">
      <c r="A4963" s="59">
        <f t="shared" si="20"/>
        <v>79</v>
      </c>
      <c r="B4963" s="59" t="str">
        <f t="shared" si="21"/>
        <v/>
      </c>
      <c r="C4963" s="59" t="str">
        <f t="shared" si="22"/>
        <v/>
      </c>
      <c r="D4963" s="45" t="str">
        <f t="shared" si="23"/>
        <v/>
      </c>
      <c r="E4963" s="45" t="str">
        <f t="shared" si="24"/>
        <v/>
      </c>
      <c r="F4963" s="59" t="str">
        <f t="shared" si="25"/>
        <v/>
      </c>
      <c r="G4963" s="59" t="str">
        <f t="shared" si="26"/>
        <v/>
      </c>
      <c r="H4963" s="59" t="str">
        <f t="shared" si="27"/>
        <v>Xúc Đào</v>
      </c>
      <c r="I4963" s="59" t="str">
        <f>IF(OR($A4963="",$C4963="",$D4963="",$E4963="",$H4963=""),"",SUMIFS(DATA_GOC!$H:$H,DATA_GOC!$A:$A,"BOM",DATA_GOC!$D:$D,$H4963,DATA_GOC!$E:$E,$C4963,DATA_GOC!$F:$F,"Xuất nội bộ từ téc",DATA_GOC!$B:$B,"&gt;="&amp;$D4963,DATA_GOC!$B:$B,"&lt;="&amp;$E4963))</f>
        <v/>
      </c>
      <c r="J4963" s="59">
        <f t="shared" si="28"/>
        <v>0</v>
      </c>
      <c r="K4963" s="59">
        <f t="shared" si="29"/>
        <v>0</v>
      </c>
      <c r="L4963" s="59">
        <f t="shared" si="30"/>
        <v>0</v>
      </c>
      <c r="M4963" s="59">
        <f t="shared" si="31"/>
        <v>0</v>
      </c>
    </row>
    <row r="4964" ht="15.0" hidden="1" customHeight="1">
      <c r="A4964" s="59">
        <f t="shared" si="20"/>
        <v>79</v>
      </c>
      <c r="B4964" s="59" t="str">
        <f t="shared" si="21"/>
        <v/>
      </c>
      <c r="C4964" s="59" t="str">
        <f t="shared" si="22"/>
        <v/>
      </c>
      <c r="D4964" s="45" t="str">
        <f t="shared" si="23"/>
        <v/>
      </c>
      <c r="E4964" s="45" t="str">
        <f t="shared" si="24"/>
        <v/>
      </c>
      <c r="F4964" s="59" t="str">
        <f t="shared" si="25"/>
        <v/>
      </c>
      <c r="G4964" s="59" t="str">
        <f t="shared" si="26"/>
        <v/>
      </c>
      <c r="H4964" s="59" t="str">
        <f t="shared" si="27"/>
        <v>Xúclật asphalt</v>
      </c>
      <c r="I4964" s="59" t="str">
        <f>IF(OR($A4964="",$C4964="",$D4964="",$E4964="",$H4964=""),"",SUMIFS(DATA_GOC!$H:$H,DATA_GOC!$A:$A,"BOM",DATA_GOC!$D:$D,$H4964,DATA_GOC!$E:$E,$C4964,DATA_GOC!$F:$F,"Xuất nội bộ từ téc",DATA_GOC!$B:$B,"&gt;="&amp;$D4964,DATA_GOC!$B:$B,"&lt;="&amp;$E4964))</f>
        <v/>
      </c>
      <c r="J4964" s="59">
        <f t="shared" si="28"/>
        <v>0</v>
      </c>
      <c r="K4964" s="59">
        <f t="shared" si="29"/>
        <v>0</v>
      </c>
      <c r="L4964" s="59">
        <f t="shared" si="30"/>
        <v>0</v>
      </c>
      <c r="M4964" s="59">
        <f t="shared" si="31"/>
        <v>0</v>
      </c>
    </row>
    <row r="4965" ht="15.0" hidden="1" customHeight="1">
      <c r="A4965" s="59">
        <f t="shared" si="20"/>
        <v>79</v>
      </c>
      <c r="B4965" s="59" t="str">
        <f t="shared" si="21"/>
        <v/>
      </c>
      <c r="C4965" s="59" t="str">
        <f t="shared" si="22"/>
        <v/>
      </c>
      <c r="D4965" s="45" t="str">
        <f t="shared" si="23"/>
        <v/>
      </c>
      <c r="E4965" s="45" t="str">
        <f t="shared" si="24"/>
        <v/>
      </c>
      <c r="F4965" s="59" t="str">
        <f t="shared" si="25"/>
        <v/>
      </c>
      <c r="G4965" s="59" t="str">
        <f t="shared" si="26"/>
        <v/>
      </c>
      <c r="H4965" s="59" t="str">
        <f t="shared" si="27"/>
        <v>Xúclật855H</v>
      </c>
      <c r="I4965" s="59" t="str">
        <f>IF(OR($A4965="",$C4965="",$D4965="",$E4965="",$H4965=""),"",SUMIFS(DATA_GOC!$H:$H,DATA_GOC!$A:$A,"BOM",DATA_GOC!$D:$D,$H4965,DATA_GOC!$E:$E,$C4965,DATA_GOC!$F:$F,"Xuất nội bộ từ téc",DATA_GOC!$B:$B,"&gt;="&amp;$D4965,DATA_GOC!$B:$B,"&lt;="&amp;$E4965))</f>
        <v/>
      </c>
      <c r="J4965" s="59">
        <f t="shared" si="28"/>
        <v>0</v>
      </c>
      <c r="K4965" s="59">
        <f t="shared" si="29"/>
        <v>0</v>
      </c>
      <c r="L4965" s="59">
        <f t="shared" si="30"/>
        <v>0</v>
      </c>
      <c r="M4965" s="59">
        <f t="shared" si="31"/>
        <v>0</v>
      </c>
    </row>
    <row r="4966" ht="15.0" hidden="1" customHeight="1">
      <c r="A4966" s="59">
        <f t="shared" si="20"/>
        <v>79</v>
      </c>
      <c r="B4966" s="59" t="str">
        <f t="shared" si="21"/>
        <v/>
      </c>
      <c r="C4966" s="59" t="str">
        <f t="shared" si="22"/>
        <v/>
      </c>
      <c r="D4966" s="45" t="str">
        <f t="shared" si="23"/>
        <v/>
      </c>
      <c r="E4966" s="45" t="str">
        <f t="shared" si="24"/>
        <v/>
      </c>
      <c r="F4966" s="59" t="str">
        <f t="shared" si="25"/>
        <v/>
      </c>
      <c r="G4966" s="59" t="str">
        <f t="shared" si="26"/>
        <v/>
      </c>
      <c r="H4966" s="59" t="str">
        <f t="shared" si="27"/>
        <v>Xúclật855N</v>
      </c>
      <c r="I4966" s="59" t="str">
        <f>IF(OR($A4966="",$C4966="",$D4966="",$E4966="",$H4966=""),"",SUMIFS(DATA_GOC!$H:$H,DATA_GOC!$A:$A,"BOM",DATA_GOC!$D:$D,$H4966,DATA_GOC!$E:$E,$C4966,DATA_GOC!$F:$F,"Xuất nội bộ từ téc",DATA_GOC!$B:$B,"&gt;="&amp;$D4966,DATA_GOC!$B:$B,"&lt;="&amp;$E4966))</f>
        <v/>
      </c>
      <c r="J4966" s="59">
        <f t="shared" si="28"/>
        <v>0</v>
      </c>
      <c r="K4966" s="59">
        <f t="shared" si="29"/>
        <v>0</v>
      </c>
      <c r="L4966" s="59">
        <f t="shared" si="30"/>
        <v>0</v>
      </c>
      <c r="M4966" s="59">
        <f t="shared" si="31"/>
        <v>0</v>
      </c>
    </row>
    <row r="4967" ht="15.0" hidden="1" customHeight="1">
      <c r="A4967" s="59">
        <f t="shared" si="20"/>
        <v>79</v>
      </c>
      <c r="B4967" s="59" t="str">
        <f t="shared" si="21"/>
        <v/>
      </c>
      <c r="C4967" s="59" t="str">
        <f t="shared" si="22"/>
        <v/>
      </c>
      <c r="D4967" s="45" t="str">
        <f t="shared" si="23"/>
        <v/>
      </c>
      <c r="E4967" s="45" t="str">
        <f t="shared" si="24"/>
        <v/>
      </c>
      <c r="F4967" s="59" t="str">
        <f t="shared" si="25"/>
        <v/>
      </c>
      <c r="G4967" s="59" t="str">
        <f t="shared" si="26"/>
        <v/>
      </c>
      <c r="H4967" s="59" t="str">
        <f t="shared" si="27"/>
        <v>Cát nghiền</v>
      </c>
      <c r="I4967" s="59" t="str">
        <f>IF(OR($A4967="",$C4967="",$D4967="",$E4967="",$H4967=""),"",SUMIFS(DATA_GOC!$H:$H,DATA_GOC!$A:$A,"BOM",DATA_GOC!$D:$D,$H4967,DATA_GOC!$E:$E,$C4967,DATA_GOC!$F:$F,"Xuất nội bộ từ téc",DATA_GOC!$B:$B,"&gt;="&amp;$D4967,DATA_GOC!$B:$B,"&lt;="&amp;$E4967))</f>
        <v/>
      </c>
      <c r="J4967" s="59">
        <f t="shared" si="28"/>
        <v>0</v>
      </c>
      <c r="K4967" s="59">
        <f t="shared" si="29"/>
        <v>0</v>
      </c>
      <c r="L4967" s="59">
        <f t="shared" si="30"/>
        <v>0</v>
      </c>
      <c r="M4967" s="59">
        <f t="shared" si="31"/>
        <v>0</v>
      </c>
    </row>
    <row r="4968" ht="15.0" hidden="1" customHeight="1">
      <c r="A4968" s="59">
        <f t="shared" si="20"/>
        <v>79</v>
      </c>
      <c r="B4968" s="59" t="str">
        <f t="shared" si="21"/>
        <v/>
      </c>
      <c r="C4968" s="59" t="str">
        <f t="shared" si="22"/>
        <v/>
      </c>
      <c r="D4968" s="45" t="str">
        <f t="shared" si="23"/>
        <v/>
      </c>
      <c r="E4968" s="45" t="str">
        <f t="shared" si="24"/>
        <v/>
      </c>
      <c r="F4968" s="59" t="str">
        <f t="shared" si="25"/>
        <v/>
      </c>
      <c r="G4968" s="59" t="str">
        <f t="shared" si="26"/>
        <v/>
      </c>
      <c r="H4968" s="59" t="str">
        <f t="shared" si="27"/>
        <v>28C02973</v>
      </c>
      <c r="I4968" s="59" t="str">
        <f>IF(OR($A4968="",$C4968="",$D4968="",$E4968="",$H4968=""),"",SUMIFS(DATA_GOC!$H:$H,DATA_GOC!$A:$A,"BOM",DATA_GOC!$D:$D,$H4968,DATA_GOC!$E:$E,$C4968,DATA_GOC!$F:$F,"Xuất nội bộ từ téc",DATA_GOC!$B:$B,"&gt;="&amp;$D4968,DATA_GOC!$B:$B,"&lt;="&amp;$E4968))</f>
        <v/>
      </c>
      <c r="J4968" s="59">
        <f t="shared" si="28"/>
        <v>0</v>
      </c>
      <c r="K4968" s="59">
        <f t="shared" si="29"/>
        <v>0</v>
      </c>
      <c r="L4968" s="59">
        <f t="shared" si="30"/>
        <v>0</v>
      </c>
      <c r="M4968" s="59">
        <f t="shared" si="31"/>
        <v>0</v>
      </c>
    </row>
    <row r="4969" ht="15.0" hidden="1" customHeight="1">
      <c r="A4969" s="59">
        <f t="shared" si="20"/>
        <v>79</v>
      </c>
      <c r="B4969" s="59" t="str">
        <f t="shared" si="21"/>
        <v/>
      </c>
      <c r="C4969" s="59" t="str">
        <f t="shared" si="22"/>
        <v/>
      </c>
      <c r="D4969" s="45" t="str">
        <f t="shared" si="23"/>
        <v/>
      </c>
      <c r="E4969" s="45" t="str">
        <f t="shared" si="24"/>
        <v/>
      </c>
      <c r="F4969" s="59" t="str">
        <f t="shared" si="25"/>
        <v/>
      </c>
      <c r="G4969" s="59" t="str">
        <f t="shared" si="26"/>
        <v/>
      </c>
      <c r="H4969" s="59" t="str">
        <f t="shared" si="27"/>
        <v>28C03044</v>
      </c>
      <c r="I4969" s="59" t="str">
        <f>IF(OR($A4969="",$C4969="",$D4969="",$E4969="",$H4969=""),"",SUMIFS(DATA_GOC!$H:$H,DATA_GOC!$A:$A,"BOM",DATA_GOC!$D:$D,$H4969,DATA_GOC!$E:$E,$C4969,DATA_GOC!$F:$F,"Xuất nội bộ từ téc",DATA_GOC!$B:$B,"&gt;="&amp;$D4969,DATA_GOC!$B:$B,"&lt;="&amp;$E4969))</f>
        <v/>
      </c>
      <c r="J4969" s="59">
        <f t="shared" si="28"/>
        <v>0</v>
      </c>
      <c r="K4969" s="59">
        <f t="shared" si="29"/>
        <v>0</v>
      </c>
      <c r="L4969" s="59">
        <f t="shared" si="30"/>
        <v>0</v>
      </c>
      <c r="M4969" s="59">
        <f t="shared" si="31"/>
        <v>0</v>
      </c>
    </row>
    <row r="4970" ht="15.0" hidden="1" customHeight="1">
      <c r="A4970" s="59">
        <f t="shared" si="20"/>
        <v>79</v>
      </c>
      <c r="B4970" s="59" t="str">
        <f t="shared" si="21"/>
        <v/>
      </c>
      <c r="C4970" s="59" t="str">
        <f t="shared" si="22"/>
        <v/>
      </c>
      <c r="D4970" s="45" t="str">
        <f t="shared" si="23"/>
        <v/>
      </c>
      <c r="E4970" s="45" t="str">
        <f t="shared" si="24"/>
        <v/>
      </c>
      <c r="F4970" s="59" t="str">
        <f t="shared" si="25"/>
        <v/>
      </c>
      <c r="G4970" s="59" t="str">
        <f t="shared" si="26"/>
        <v/>
      </c>
      <c r="H4970" s="59" t="str">
        <f t="shared" si="27"/>
        <v>Máy lu lốp</v>
      </c>
      <c r="I4970" s="59" t="str">
        <f>IF(OR($A4970="",$C4970="",$D4970="",$E4970="",$H4970=""),"",SUMIFS(DATA_GOC!$H:$H,DATA_GOC!$A:$A,"BOM",DATA_GOC!$D:$D,$H4970,DATA_GOC!$E:$E,$C4970,DATA_GOC!$F:$F,"Xuất nội bộ từ téc",DATA_GOC!$B:$B,"&gt;="&amp;$D4970,DATA_GOC!$B:$B,"&lt;="&amp;$E4970))</f>
        <v/>
      </c>
      <c r="J4970" s="59">
        <f t="shared" si="28"/>
        <v>0</v>
      </c>
      <c r="K4970" s="59">
        <f t="shared" si="29"/>
        <v>0</v>
      </c>
      <c r="L4970" s="59">
        <f t="shared" si="30"/>
        <v>0</v>
      </c>
      <c r="M4970" s="59">
        <f t="shared" si="31"/>
        <v>0</v>
      </c>
    </row>
    <row r="4971" ht="15.0" hidden="1" customHeight="1">
      <c r="A4971" s="59">
        <f t="shared" si="20"/>
        <v>79</v>
      </c>
      <c r="B4971" s="59" t="str">
        <f t="shared" si="21"/>
        <v/>
      </c>
      <c r="C4971" s="59" t="str">
        <f t="shared" si="22"/>
        <v/>
      </c>
      <c r="D4971" s="45" t="str">
        <f t="shared" si="23"/>
        <v/>
      </c>
      <c r="E4971" s="45" t="str">
        <f t="shared" si="24"/>
        <v/>
      </c>
      <c r="F4971" s="59" t="str">
        <f t="shared" si="25"/>
        <v/>
      </c>
      <c r="G4971" s="59" t="str">
        <f t="shared" si="26"/>
        <v/>
      </c>
      <c r="H4971" s="59" t="str">
        <f t="shared" si="27"/>
        <v>Xe 600148</v>
      </c>
      <c r="I4971" s="59" t="str">
        <f>IF(OR($A4971="",$C4971="",$D4971="",$E4971="",$H4971=""),"",SUMIFS(DATA_GOC!$H:$H,DATA_GOC!$A:$A,"BOM",DATA_GOC!$D:$D,$H4971,DATA_GOC!$E:$E,$C4971,DATA_GOC!$F:$F,"Xuất nội bộ từ téc",DATA_GOC!$B:$B,"&gt;="&amp;$D4971,DATA_GOC!$B:$B,"&lt;="&amp;$E4971))</f>
        <v/>
      </c>
      <c r="J4971" s="59">
        <f t="shared" si="28"/>
        <v>0</v>
      </c>
      <c r="K4971" s="59">
        <f t="shared" si="29"/>
        <v>0</v>
      </c>
      <c r="L4971" s="59">
        <f t="shared" si="30"/>
        <v>0</v>
      </c>
      <c r="M4971" s="59">
        <f t="shared" si="31"/>
        <v>0</v>
      </c>
    </row>
    <row r="4972" ht="15.0" hidden="1" customHeight="1">
      <c r="A4972" s="59">
        <f t="shared" si="20"/>
        <v>79</v>
      </c>
      <c r="B4972" s="59" t="str">
        <f t="shared" si="21"/>
        <v/>
      </c>
      <c r="C4972" s="59" t="str">
        <f t="shared" si="22"/>
        <v/>
      </c>
      <c r="D4972" s="45" t="str">
        <f t="shared" si="23"/>
        <v/>
      </c>
      <c r="E4972" s="45" t="str">
        <f t="shared" si="24"/>
        <v/>
      </c>
      <c r="F4972" s="59" t="str">
        <f t="shared" si="25"/>
        <v/>
      </c>
      <c r="G4972" s="59" t="str">
        <f t="shared" si="26"/>
        <v/>
      </c>
      <c r="H4972" s="59" t="str">
        <f t="shared" si="27"/>
        <v>Xe ben mới</v>
      </c>
      <c r="I4972" s="59" t="str">
        <f>IF(OR($A4972="",$C4972="",$D4972="",$E4972="",$H4972=""),"",SUMIFS(DATA_GOC!$H:$H,DATA_GOC!$A:$A,"BOM",DATA_GOC!$D:$D,$H4972,DATA_GOC!$E:$E,$C4972,DATA_GOC!$F:$F,"Xuất nội bộ từ téc",DATA_GOC!$B:$B,"&gt;="&amp;$D4972,DATA_GOC!$B:$B,"&lt;="&amp;$E4972))</f>
        <v/>
      </c>
      <c r="J4972" s="59">
        <f t="shared" si="28"/>
        <v>0</v>
      </c>
      <c r="K4972" s="59">
        <f t="shared" si="29"/>
        <v>0</v>
      </c>
      <c r="L4972" s="59">
        <f t="shared" si="30"/>
        <v>0</v>
      </c>
      <c r="M4972" s="59">
        <f t="shared" si="31"/>
        <v>0</v>
      </c>
    </row>
    <row r="4973" ht="15.0" hidden="1" customHeight="1">
      <c r="A4973" s="59">
        <f t="shared" si="20"/>
        <v>80</v>
      </c>
      <c r="B4973" s="59" t="str">
        <f t="shared" si="21"/>
        <v/>
      </c>
      <c r="C4973" s="59" t="str">
        <f t="shared" si="22"/>
        <v/>
      </c>
      <c r="D4973" s="45" t="str">
        <f t="shared" si="23"/>
        <v/>
      </c>
      <c r="E4973" s="45" t="str">
        <f t="shared" si="24"/>
        <v/>
      </c>
      <c r="F4973" s="59" t="str">
        <f t="shared" si="25"/>
        <v/>
      </c>
      <c r="G4973" s="59" t="str">
        <f t="shared" si="26"/>
        <v/>
      </c>
      <c r="H4973" s="59" t="str">
        <f t="shared" si="27"/>
        <v>19H09482</v>
      </c>
      <c r="I4973" s="59" t="str">
        <f>IF(OR($A4973="",$C4973="",$D4973="",$E4973="",$H4973=""),"",SUMIFS(DATA_GOC!$H:$H,DATA_GOC!$A:$A,"BOM",DATA_GOC!$D:$D,$H4973,DATA_GOC!$E:$E,$C4973,DATA_GOC!$F:$F,"Xuất nội bộ từ téc",DATA_GOC!$B:$B,"&gt;="&amp;$D4973,DATA_GOC!$B:$B,"&lt;="&amp;$E4973))</f>
        <v/>
      </c>
      <c r="J4973" s="59">
        <f t="shared" si="28"/>
        <v>0</v>
      </c>
      <c r="K4973" s="59">
        <f t="shared" si="29"/>
        <v>0</v>
      </c>
      <c r="L4973" s="59">
        <f t="shared" si="30"/>
        <v>0</v>
      </c>
      <c r="M4973" s="59">
        <f t="shared" si="31"/>
        <v>0</v>
      </c>
    </row>
    <row r="4974" ht="15.0" hidden="1" customHeight="1">
      <c r="A4974" s="59">
        <f t="shared" si="20"/>
        <v>80</v>
      </c>
      <c r="B4974" s="59" t="str">
        <f t="shared" si="21"/>
        <v/>
      </c>
      <c r="C4974" s="59" t="str">
        <f t="shared" si="22"/>
        <v/>
      </c>
      <c r="D4974" s="45" t="str">
        <f t="shared" si="23"/>
        <v/>
      </c>
      <c r="E4974" s="45" t="str">
        <f t="shared" si="24"/>
        <v/>
      </c>
      <c r="F4974" s="59" t="str">
        <f t="shared" si="25"/>
        <v/>
      </c>
      <c r="G4974" s="59" t="str">
        <f t="shared" si="26"/>
        <v/>
      </c>
      <c r="H4974" s="59" t="str">
        <f t="shared" si="27"/>
        <v>28A30696</v>
      </c>
      <c r="I4974" s="59" t="str">
        <f>IF(OR($A4974="",$C4974="",$D4974="",$E4974="",$H4974=""),"",SUMIFS(DATA_GOC!$H:$H,DATA_GOC!$A:$A,"BOM",DATA_GOC!$D:$D,$H4974,DATA_GOC!$E:$E,$C4974,DATA_GOC!$F:$F,"Xuất nội bộ từ téc",DATA_GOC!$B:$B,"&gt;="&amp;$D4974,DATA_GOC!$B:$B,"&lt;="&amp;$E4974))</f>
        <v/>
      </c>
      <c r="J4974" s="59">
        <f t="shared" si="28"/>
        <v>0</v>
      </c>
      <c r="K4974" s="59">
        <f t="shared" si="29"/>
        <v>0</v>
      </c>
      <c r="L4974" s="59">
        <f t="shared" si="30"/>
        <v>0</v>
      </c>
      <c r="M4974" s="59">
        <f t="shared" si="31"/>
        <v>0</v>
      </c>
    </row>
    <row r="4975" ht="15.0" hidden="1" customHeight="1">
      <c r="A4975" s="59">
        <f t="shared" si="20"/>
        <v>80</v>
      </c>
      <c r="B4975" s="59" t="str">
        <f t="shared" si="21"/>
        <v/>
      </c>
      <c r="C4975" s="59" t="str">
        <f t="shared" si="22"/>
        <v/>
      </c>
      <c r="D4975" s="45" t="str">
        <f t="shared" si="23"/>
        <v/>
      </c>
      <c r="E4975" s="45" t="str">
        <f t="shared" si="24"/>
        <v/>
      </c>
      <c r="F4975" s="59" t="str">
        <f t="shared" si="25"/>
        <v/>
      </c>
      <c r="G4975" s="59" t="str">
        <f t="shared" si="26"/>
        <v/>
      </c>
      <c r="H4975" s="59" t="str">
        <f t="shared" si="27"/>
        <v>28C00462</v>
      </c>
      <c r="I4975" s="59" t="str">
        <f>IF(OR($A4975="",$C4975="",$D4975="",$E4975="",$H4975=""),"",SUMIFS(DATA_GOC!$H:$H,DATA_GOC!$A:$A,"BOM",DATA_GOC!$D:$D,$H4975,DATA_GOC!$E:$E,$C4975,DATA_GOC!$F:$F,"Xuất nội bộ từ téc",DATA_GOC!$B:$B,"&gt;="&amp;$D4975,DATA_GOC!$B:$B,"&lt;="&amp;$E4975))</f>
        <v/>
      </c>
      <c r="J4975" s="59">
        <f t="shared" si="28"/>
        <v>0</v>
      </c>
      <c r="K4975" s="59">
        <f t="shared" si="29"/>
        <v>0</v>
      </c>
      <c r="L4975" s="59">
        <f t="shared" si="30"/>
        <v>0</v>
      </c>
      <c r="M4975" s="59">
        <f t="shared" si="31"/>
        <v>0</v>
      </c>
    </row>
    <row r="4976" ht="15.0" hidden="1" customHeight="1">
      <c r="A4976" s="59">
        <f t="shared" si="20"/>
        <v>80</v>
      </c>
      <c r="B4976" s="59" t="str">
        <f t="shared" si="21"/>
        <v/>
      </c>
      <c r="C4976" s="59" t="str">
        <f t="shared" si="22"/>
        <v/>
      </c>
      <c r="D4976" s="45" t="str">
        <f t="shared" si="23"/>
        <v/>
      </c>
      <c r="E4976" s="45" t="str">
        <f t="shared" si="24"/>
        <v/>
      </c>
      <c r="F4976" s="59" t="str">
        <f t="shared" si="25"/>
        <v/>
      </c>
      <c r="G4976" s="59" t="str">
        <f t="shared" si="26"/>
        <v/>
      </c>
      <c r="H4976" s="59" t="str">
        <f t="shared" si="27"/>
        <v>28C01165</v>
      </c>
      <c r="I4976" s="59" t="str">
        <f>IF(OR($A4976="",$C4976="",$D4976="",$E4976="",$H4976=""),"",SUMIFS(DATA_GOC!$H:$H,DATA_GOC!$A:$A,"BOM",DATA_GOC!$D:$D,$H4976,DATA_GOC!$E:$E,$C4976,DATA_GOC!$F:$F,"Xuất nội bộ từ téc",DATA_GOC!$B:$B,"&gt;="&amp;$D4976,DATA_GOC!$B:$B,"&lt;="&amp;$E4976))</f>
        <v/>
      </c>
      <c r="J4976" s="59">
        <f t="shared" si="28"/>
        <v>0</v>
      </c>
      <c r="K4976" s="59">
        <f t="shared" si="29"/>
        <v>0</v>
      </c>
      <c r="L4976" s="59">
        <f t="shared" si="30"/>
        <v>0</v>
      </c>
      <c r="M4976" s="59">
        <f t="shared" si="31"/>
        <v>0</v>
      </c>
    </row>
    <row r="4977" ht="15.0" hidden="1" customHeight="1">
      <c r="A4977" s="59">
        <f t="shared" si="20"/>
        <v>80</v>
      </c>
      <c r="B4977" s="59" t="str">
        <f t="shared" si="21"/>
        <v/>
      </c>
      <c r="C4977" s="59" t="str">
        <f t="shared" si="22"/>
        <v/>
      </c>
      <c r="D4977" s="45" t="str">
        <f t="shared" si="23"/>
        <v/>
      </c>
      <c r="E4977" s="45" t="str">
        <f t="shared" si="24"/>
        <v/>
      </c>
      <c r="F4977" s="59" t="str">
        <f t="shared" si="25"/>
        <v/>
      </c>
      <c r="G4977" s="59" t="str">
        <f t="shared" si="26"/>
        <v/>
      </c>
      <c r="H4977" s="59" t="str">
        <f t="shared" si="27"/>
        <v>28C01406</v>
      </c>
      <c r="I4977" s="59" t="str">
        <f>IF(OR($A4977="",$C4977="",$D4977="",$E4977="",$H4977=""),"",SUMIFS(DATA_GOC!$H:$H,DATA_GOC!$A:$A,"BOM",DATA_GOC!$D:$D,$H4977,DATA_GOC!$E:$E,$C4977,DATA_GOC!$F:$F,"Xuất nội bộ từ téc",DATA_GOC!$B:$B,"&gt;="&amp;$D4977,DATA_GOC!$B:$B,"&lt;="&amp;$E4977))</f>
        <v/>
      </c>
      <c r="J4977" s="59">
        <f t="shared" si="28"/>
        <v>0</v>
      </c>
      <c r="K4977" s="59">
        <f t="shared" si="29"/>
        <v>0</v>
      </c>
      <c r="L4977" s="59">
        <f t="shared" si="30"/>
        <v>0</v>
      </c>
      <c r="M4977" s="59">
        <f t="shared" si="31"/>
        <v>0</v>
      </c>
    </row>
    <row r="4978" ht="15.0" hidden="1" customHeight="1">
      <c r="A4978" s="59">
        <f t="shared" si="20"/>
        <v>80</v>
      </c>
      <c r="B4978" s="59" t="str">
        <f t="shared" si="21"/>
        <v/>
      </c>
      <c r="C4978" s="59" t="str">
        <f t="shared" si="22"/>
        <v/>
      </c>
      <c r="D4978" s="45" t="str">
        <f t="shared" si="23"/>
        <v/>
      </c>
      <c r="E4978" s="45" t="str">
        <f t="shared" si="24"/>
        <v/>
      </c>
      <c r="F4978" s="59" t="str">
        <f t="shared" si="25"/>
        <v/>
      </c>
      <c r="G4978" s="59" t="str">
        <f t="shared" si="26"/>
        <v/>
      </c>
      <c r="H4978" s="59" t="str">
        <f t="shared" si="27"/>
        <v>28C01544</v>
      </c>
      <c r="I4978" s="59" t="str">
        <f>IF(OR($A4978="",$C4978="",$D4978="",$E4978="",$H4978=""),"",SUMIFS(DATA_GOC!$H:$H,DATA_GOC!$A:$A,"BOM",DATA_GOC!$D:$D,$H4978,DATA_GOC!$E:$E,$C4978,DATA_GOC!$F:$F,"Xuất nội bộ từ téc",DATA_GOC!$B:$B,"&gt;="&amp;$D4978,DATA_GOC!$B:$B,"&lt;="&amp;$E4978))</f>
        <v/>
      </c>
      <c r="J4978" s="59">
        <f t="shared" si="28"/>
        <v>0</v>
      </c>
      <c r="K4978" s="59">
        <f t="shared" si="29"/>
        <v>0</v>
      </c>
      <c r="L4978" s="59">
        <f t="shared" si="30"/>
        <v>0</v>
      </c>
      <c r="M4978" s="59">
        <f t="shared" si="31"/>
        <v>0</v>
      </c>
    </row>
    <row r="4979" ht="15.0" hidden="1" customHeight="1">
      <c r="A4979" s="59">
        <f t="shared" si="20"/>
        <v>80</v>
      </c>
      <c r="B4979" s="59" t="str">
        <f t="shared" si="21"/>
        <v/>
      </c>
      <c r="C4979" s="59" t="str">
        <f t="shared" si="22"/>
        <v/>
      </c>
      <c r="D4979" s="45" t="str">
        <f t="shared" si="23"/>
        <v/>
      </c>
      <c r="E4979" s="45" t="str">
        <f t="shared" si="24"/>
        <v/>
      </c>
      <c r="F4979" s="59" t="str">
        <f t="shared" si="25"/>
        <v/>
      </c>
      <c r="G4979" s="59" t="str">
        <f t="shared" si="26"/>
        <v/>
      </c>
      <c r="H4979" s="59" t="str">
        <f t="shared" si="27"/>
        <v>28C01622</v>
      </c>
      <c r="I4979" s="59" t="str">
        <f>IF(OR($A4979="",$C4979="",$D4979="",$E4979="",$H4979=""),"",SUMIFS(DATA_GOC!$H:$H,DATA_GOC!$A:$A,"BOM",DATA_GOC!$D:$D,$H4979,DATA_GOC!$E:$E,$C4979,DATA_GOC!$F:$F,"Xuất nội bộ từ téc",DATA_GOC!$B:$B,"&gt;="&amp;$D4979,DATA_GOC!$B:$B,"&lt;="&amp;$E4979))</f>
        <v/>
      </c>
      <c r="J4979" s="59">
        <f t="shared" si="28"/>
        <v>0</v>
      </c>
      <c r="K4979" s="59">
        <f t="shared" si="29"/>
        <v>0</v>
      </c>
      <c r="L4979" s="59">
        <f t="shared" si="30"/>
        <v>0</v>
      </c>
      <c r="M4979" s="59">
        <f t="shared" si="31"/>
        <v>0</v>
      </c>
    </row>
    <row r="4980" ht="15.0" hidden="1" customHeight="1">
      <c r="A4980" s="59">
        <f t="shared" si="20"/>
        <v>80</v>
      </c>
      <c r="B4980" s="59" t="str">
        <f t="shared" si="21"/>
        <v/>
      </c>
      <c r="C4980" s="59" t="str">
        <f t="shared" si="22"/>
        <v/>
      </c>
      <c r="D4980" s="45" t="str">
        <f t="shared" si="23"/>
        <v/>
      </c>
      <c r="E4980" s="45" t="str">
        <f t="shared" si="24"/>
        <v/>
      </c>
      <c r="F4980" s="59" t="str">
        <f t="shared" si="25"/>
        <v/>
      </c>
      <c r="G4980" s="59" t="str">
        <f t="shared" si="26"/>
        <v/>
      </c>
      <c r="H4980" s="59" t="str">
        <f t="shared" si="27"/>
        <v>28C01647</v>
      </c>
      <c r="I4980" s="59" t="str">
        <f>IF(OR($A4980="",$C4980="",$D4980="",$E4980="",$H4980=""),"",SUMIFS(DATA_GOC!$H:$H,DATA_GOC!$A:$A,"BOM",DATA_GOC!$D:$D,$H4980,DATA_GOC!$E:$E,$C4980,DATA_GOC!$F:$F,"Xuất nội bộ từ téc",DATA_GOC!$B:$B,"&gt;="&amp;$D4980,DATA_GOC!$B:$B,"&lt;="&amp;$E4980))</f>
        <v/>
      </c>
      <c r="J4980" s="59">
        <f t="shared" si="28"/>
        <v>0</v>
      </c>
      <c r="K4980" s="59">
        <f t="shared" si="29"/>
        <v>0</v>
      </c>
      <c r="L4980" s="59">
        <f t="shared" si="30"/>
        <v>0</v>
      </c>
      <c r="M4980" s="59">
        <f t="shared" si="31"/>
        <v>0</v>
      </c>
    </row>
    <row r="4981" ht="15.0" hidden="1" customHeight="1">
      <c r="A4981" s="59">
        <f t="shared" si="20"/>
        <v>80</v>
      </c>
      <c r="B4981" s="59" t="str">
        <f t="shared" si="21"/>
        <v/>
      </c>
      <c r="C4981" s="59" t="str">
        <f t="shared" si="22"/>
        <v/>
      </c>
      <c r="D4981" s="45" t="str">
        <f t="shared" si="23"/>
        <v/>
      </c>
      <c r="E4981" s="45" t="str">
        <f t="shared" si="24"/>
        <v/>
      </c>
      <c r="F4981" s="59" t="str">
        <f t="shared" si="25"/>
        <v/>
      </c>
      <c r="G4981" s="59" t="str">
        <f t="shared" si="26"/>
        <v/>
      </c>
      <c r="H4981" s="59" t="str">
        <f t="shared" si="27"/>
        <v>28C01731</v>
      </c>
      <c r="I4981" s="59" t="str">
        <f>IF(OR($A4981="",$C4981="",$D4981="",$E4981="",$H4981=""),"",SUMIFS(DATA_GOC!$H:$H,DATA_GOC!$A:$A,"BOM",DATA_GOC!$D:$D,$H4981,DATA_GOC!$E:$E,$C4981,DATA_GOC!$F:$F,"Xuất nội bộ từ téc",DATA_GOC!$B:$B,"&gt;="&amp;$D4981,DATA_GOC!$B:$B,"&lt;="&amp;$E4981))</f>
        <v/>
      </c>
      <c r="J4981" s="59">
        <f t="shared" si="28"/>
        <v>0</v>
      </c>
      <c r="K4981" s="59">
        <f t="shared" si="29"/>
        <v>0</v>
      </c>
      <c r="L4981" s="59">
        <f t="shared" si="30"/>
        <v>0</v>
      </c>
      <c r="M4981" s="59">
        <f t="shared" si="31"/>
        <v>0</v>
      </c>
    </row>
    <row r="4982" ht="15.0" hidden="1" customHeight="1">
      <c r="A4982" s="59">
        <f t="shared" si="20"/>
        <v>80</v>
      </c>
      <c r="B4982" s="59" t="str">
        <f t="shared" si="21"/>
        <v/>
      </c>
      <c r="C4982" s="59" t="str">
        <f t="shared" si="22"/>
        <v/>
      </c>
      <c r="D4982" s="45" t="str">
        <f t="shared" si="23"/>
        <v/>
      </c>
      <c r="E4982" s="45" t="str">
        <f t="shared" si="24"/>
        <v/>
      </c>
      <c r="F4982" s="59" t="str">
        <f t="shared" si="25"/>
        <v/>
      </c>
      <c r="G4982" s="59" t="str">
        <f t="shared" si="26"/>
        <v/>
      </c>
      <c r="H4982" s="59" t="str">
        <f t="shared" si="27"/>
        <v>28C01743</v>
      </c>
      <c r="I4982" s="59" t="str">
        <f>IF(OR($A4982="",$C4982="",$D4982="",$E4982="",$H4982=""),"",SUMIFS(DATA_GOC!$H:$H,DATA_GOC!$A:$A,"BOM",DATA_GOC!$D:$D,$H4982,DATA_GOC!$E:$E,$C4982,DATA_GOC!$F:$F,"Xuất nội bộ từ téc",DATA_GOC!$B:$B,"&gt;="&amp;$D4982,DATA_GOC!$B:$B,"&lt;="&amp;$E4982))</f>
        <v/>
      </c>
      <c r="J4982" s="59">
        <f t="shared" si="28"/>
        <v>0</v>
      </c>
      <c r="K4982" s="59">
        <f t="shared" si="29"/>
        <v>0</v>
      </c>
      <c r="L4982" s="59">
        <f t="shared" si="30"/>
        <v>0</v>
      </c>
      <c r="M4982" s="59">
        <f t="shared" si="31"/>
        <v>0</v>
      </c>
    </row>
    <row r="4983" ht="15.0" hidden="1" customHeight="1">
      <c r="A4983" s="59">
        <f t="shared" si="20"/>
        <v>80</v>
      </c>
      <c r="B4983" s="59" t="str">
        <f t="shared" si="21"/>
        <v/>
      </c>
      <c r="C4983" s="59" t="str">
        <f t="shared" si="22"/>
        <v/>
      </c>
      <c r="D4983" s="45" t="str">
        <f t="shared" si="23"/>
        <v/>
      </c>
      <c r="E4983" s="45" t="str">
        <f t="shared" si="24"/>
        <v/>
      </c>
      <c r="F4983" s="59" t="str">
        <f t="shared" si="25"/>
        <v/>
      </c>
      <c r="G4983" s="59" t="str">
        <f t="shared" si="26"/>
        <v/>
      </c>
      <c r="H4983" s="59" t="str">
        <f t="shared" si="27"/>
        <v>28C02106</v>
      </c>
      <c r="I4983" s="59" t="str">
        <f>IF(OR($A4983="",$C4983="",$D4983="",$E4983="",$H4983=""),"",SUMIFS(DATA_GOC!$H:$H,DATA_GOC!$A:$A,"BOM",DATA_GOC!$D:$D,$H4983,DATA_GOC!$E:$E,$C4983,DATA_GOC!$F:$F,"Xuất nội bộ từ téc",DATA_GOC!$B:$B,"&gt;="&amp;$D4983,DATA_GOC!$B:$B,"&lt;="&amp;$E4983))</f>
        <v/>
      </c>
      <c r="J4983" s="59">
        <f t="shared" si="28"/>
        <v>0</v>
      </c>
      <c r="K4983" s="59">
        <f t="shared" si="29"/>
        <v>0</v>
      </c>
      <c r="L4983" s="59">
        <f t="shared" si="30"/>
        <v>0</v>
      </c>
      <c r="M4983" s="59">
        <f t="shared" si="31"/>
        <v>0</v>
      </c>
    </row>
    <row r="4984" ht="15.0" hidden="1" customHeight="1">
      <c r="A4984" s="59">
        <f t="shared" si="20"/>
        <v>80</v>
      </c>
      <c r="B4984" s="59" t="str">
        <f t="shared" si="21"/>
        <v/>
      </c>
      <c r="C4984" s="59" t="str">
        <f t="shared" si="22"/>
        <v/>
      </c>
      <c r="D4984" s="45" t="str">
        <f t="shared" si="23"/>
        <v/>
      </c>
      <c r="E4984" s="45" t="str">
        <f t="shared" si="24"/>
        <v/>
      </c>
      <c r="F4984" s="59" t="str">
        <f t="shared" si="25"/>
        <v/>
      </c>
      <c r="G4984" s="59" t="str">
        <f t="shared" si="26"/>
        <v/>
      </c>
      <c r="H4984" s="59" t="str">
        <f t="shared" si="27"/>
        <v>28C02410</v>
      </c>
      <c r="I4984" s="59" t="str">
        <f>IF(OR($A4984="",$C4984="",$D4984="",$E4984="",$H4984=""),"",SUMIFS(DATA_GOC!$H:$H,DATA_GOC!$A:$A,"BOM",DATA_GOC!$D:$D,$H4984,DATA_GOC!$E:$E,$C4984,DATA_GOC!$F:$F,"Xuất nội bộ từ téc",DATA_GOC!$B:$B,"&gt;="&amp;$D4984,DATA_GOC!$B:$B,"&lt;="&amp;$E4984))</f>
        <v/>
      </c>
      <c r="J4984" s="59">
        <f t="shared" si="28"/>
        <v>0</v>
      </c>
      <c r="K4984" s="59">
        <f t="shared" si="29"/>
        <v>0</v>
      </c>
      <c r="L4984" s="59">
        <f t="shared" si="30"/>
        <v>0</v>
      </c>
      <c r="M4984" s="59">
        <f t="shared" si="31"/>
        <v>0</v>
      </c>
    </row>
    <row r="4985" ht="15.0" hidden="1" customHeight="1">
      <c r="A4985" s="59">
        <f t="shared" si="20"/>
        <v>80</v>
      </c>
      <c r="B4985" s="59" t="str">
        <f t="shared" si="21"/>
        <v/>
      </c>
      <c r="C4985" s="59" t="str">
        <f t="shared" si="22"/>
        <v/>
      </c>
      <c r="D4985" s="45" t="str">
        <f t="shared" si="23"/>
        <v/>
      </c>
      <c r="E4985" s="45" t="str">
        <f t="shared" si="24"/>
        <v/>
      </c>
      <c r="F4985" s="59" t="str">
        <f t="shared" si="25"/>
        <v/>
      </c>
      <c r="G4985" s="59" t="str">
        <f t="shared" si="26"/>
        <v/>
      </c>
      <c r="H4985" s="59" t="str">
        <f t="shared" si="27"/>
        <v>28C02545</v>
      </c>
      <c r="I4985" s="59" t="str">
        <f>IF(OR($A4985="",$C4985="",$D4985="",$E4985="",$H4985=""),"",SUMIFS(DATA_GOC!$H:$H,DATA_GOC!$A:$A,"BOM",DATA_GOC!$D:$D,$H4985,DATA_GOC!$E:$E,$C4985,DATA_GOC!$F:$F,"Xuất nội bộ từ téc",DATA_GOC!$B:$B,"&gt;="&amp;$D4985,DATA_GOC!$B:$B,"&lt;="&amp;$E4985))</f>
        <v/>
      </c>
      <c r="J4985" s="59">
        <f t="shared" si="28"/>
        <v>0</v>
      </c>
      <c r="K4985" s="59">
        <f t="shared" si="29"/>
        <v>0</v>
      </c>
      <c r="L4985" s="59">
        <f t="shared" si="30"/>
        <v>0</v>
      </c>
      <c r="M4985" s="59">
        <f t="shared" si="31"/>
        <v>0</v>
      </c>
    </row>
    <row r="4986" ht="15.0" hidden="1" customHeight="1">
      <c r="A4986" s="59">
        <f t="shared" si="20"/>
        <v>80</v>
      </c>
      <c r="B4986" s="59" t="str">
        <f t="shared" si="21"/>
        <v/>
      </c>
      <c r="C4986" s="59" t="str">
        <f t="shared" si="22"/>
        <v/>
      </c>
      <c r="D4986" s="45" t="str">
        <f t="shared" si="23"/>
        <v/>
      </c>
      <c r="E4986" s="45" t="str">
        <f t="shared" si="24"/>
        <v/>
      </c>
      <c r="F4986" s="59" t="str">
        <f t="shared" si="25"/>
        <v/>
      </c>
      <c r="G4986" s="59" t="str">
        <f t="shared" si="26"/>
        <v/>
      </c>
      <c r="H4986" s="59" t="str">
        <f t="shared" si="27"/>
        <v>28C02574</v>
      </c>
      <c r="I4986" s="59" t="str">
        <f>IF(OR($A4986="",$C4986="",$D4986="",$E4986="",$H4986=""),"",SUMIFS(DATA_GOC!$H:$H,DATA_GOC!$A:$A,"BOM",DATA_GOC!$D:$D,$H4986,DATA_GOC!$E:$E,$C4986,DATA_GOC!$F:$F,"Xuất nội bộ từ téc",DATA_GOC!$B:$B,"&gt;="&amp;$D4986,DATA_GOC!$B:$B,"&lt;="&amp;$E4986))</f>
        <v/>
      </c>
      <c r="J4986" s="59">
        <f t="shared" si="28"/>
        <v>0</v>
      </c>
      <c r="K4986" s="59">
        <f t="shared" si="29"/>
        <v>0</v>
      </c>
      <c r="L4986" s="59">
        <f t="shared" si="30"/>
        <v>0</v>
      </c>
      <c r="M4986" s="59">
        <f t="shared" si="31"/>
        <v>0</v>
      </c>
    </row>
    <row r="4987" ht="15.0" hidden="1" customHeight="1">
      <c r="A4987" s="59">
        <f t="shared" si="20"/>
        <v>80</v>
      </c>
      <c r="B4987" s="59" t="str">
        <f t="shared" si="21"/>
        <v/>
      </c>
      <c r="C4987" s="59" t="str">
        <f t="shared" si="22"/>
        <v/>
      </c>
      <c r="D4987" s="45" t="str">
        <f t="shared" si="23"/>
        <v/>
      </c>
      <c r="E4987" s="45" t="str">
        <f t="shared" si="24"/>
        <v/>
      </c>
      <c r="F4987" s="59" t="str">
        <f t="shared" si="25"/>
        <v/>
      </c>
      <c r="G4987" s="59" t="str">
        <f t="shared" si="26"/>
        <v/>
      </c>
      <c r="H4987" s="59" t="str">
        <f t="shared" si="27"/>
        <v>28C02770</v>
      </c>
      <c r="I4987" s="59" t="str">
        <f>IF(OR($A4987="",$C4987="",$D4987="",$E4987="",$H4987=""),"",SUMIFS(DATA_GOC!$H:$H,DATA_GOC!$A:$A,"BOM",DATA_GOC!$D:$D,$H4987,DATA_GOC!$E:$E,$C4987,DATA_GOC!$F:$F,"Xuất nội bộ từ téc",DATA_GOC!$B:$B,"&gt;="&amp;$D4987,DATA_GOC!$B:$B,"&lt;="&amp;$E4987))</f>
        <v/>
      </c>
      <c r="J4987" s="59">
        <f t="shared" si="28"/>
        <v>0</v>
      </c>
      <c r="K4987" s="59">
        <f t="shared" si="29"/>
        <v>0</v>
      </c>
      <c r="L4987" s="59">
        <f t="shared" si="30"/>
        <v>0</v>
      </c>
      <c r="M4987" s="59">
        <f t="shared" si="31"/>
        <v>0</v>
      </c>
    </row>
    <row r="4988" ht="15.0" hidden="1" customHeight="1">
      <c r="A4988" s="59">
        <f t="shared" si="20"/>
        <v>80</v>
      </c>
      <c r="B4988" s="59" t="str">
        <f t="shared" si="21"/>
        <v/>
      </c>
      <c r="C4988" s="59" t="str">
        <f t="shared" si="22"/>
        <v/>
      </c>
      <c r="D4988" s="45" t="str">
        <f t="shared" si="23"/>
        <v/>
      </c>
      <c r="E4988" s="45" t="str">
        <f t="shared" si="24"/>
        <v/>
      </c>
      <c r="F4988" s="59" t="str">
        <f t="shared" si="25"/>
        <v/>
      </c>
      <c r="G4988" s="59" t="str">
        <f t="shared" si="26"/>
        <v/>
      </c>
      <c r="H4988" s="59" t="str">
        <f t="shared" si="27"/>
        <v>28C02986</v>
      </c>
      <c r="I4988" s="59" t="str">
        <f>IF(OR($A4988="",$C4988="",$D4988="",$E4988="",$H4988=""),"",SUMIFS(DATA_GOC!$H:$H,DATA_GOC!$A:$A,"BOM",DATA_GOC!$D:$D,$H4988,DATA_GOC!$E:$E,$C4988,DATA_GOC!$F:$F,"Xuất nội bộ từ téc",DATA_GOC!$B:$B,"&gt;="&amp;$D4988,DATA_GOC!$B:$B,"&lt;="&amp;$E4988))</f>
        <v/>
      </c>
      <c r="J4988" s="59">
        <f t="shared" si="28"/>
        <v>0</v>
      </c>
      <c r="K4988" s="59">
        <f t="shared" si="29"/>
        <v>0</v>
      </c>
      <c r="L4988" s="59">
        <f t="shared" si="30"/>
        <v>0</v>
      </c>
      <c r="M4988" s="59">
        <f t="shared" si="31"/>
        <v>0</v>
      </c>
    </row>
    <row r="4989" ht="15.0" hidden="1" customHeight="1">
      <c r="A4989" s="59">
        <f t="shared" si="20"/>
        <v>80</v>
      </c>
      <c r="B4989" s="59" t="str">
        <f t="shared" si="21"/>
        <v/>
      </c>
      <c r="C4989" s="59" t="str">
        <f t="shared" si="22"/>
        <v/>
      </c>
      <c r="D4989" s="45" t="str">
        <f t="shared" si="23"/>
        <v/>
      </c>
      <c r="E4989" s="45" t="str">
        <f t="shared" si="24"/>
        <v/>
      </c>
      <c r="F4989" s="59" t="str">
        <f t="shared" si="25"/>
        <v/>
      </c>
      <c r="G4989" s="59" t="str">
        <f t="shared" si="26"/>
        <v/>
      </c>
      <c r="H4989" s="59" t="str">
        <f t="shared" si="27"/>
        <v>28C03261</v>
      </c>
      <c r="I4989" s="59" t="str">
        <f>IF(OR($A4989="",$C4989="",$D4989="",$E4989="",$H4989=""),"",SUMIFS(DATA_GOC!$H:$H,DATA_GOC!$A:$A,"BOM",DATA_GOC!$D:$D,$H4989,DATA_GOC!$E:$E,$C4989,DATA_GOC!$F:$F,"Xuất nội bộ từ téc",DATA_GOC!$B:$B,"&gt;="&amp;$D4989,DATA_GOC!$B:$B,"&lt;="&amp;$E4989))</f>
        <v/>
      </c>
      <c r="J4989" s="59">
        <f t="shared" si="28"/>
        <v>0</v>
      </c>
      <c r="K4989" s="59">
        <f t="shared" si="29"/>
        <v>0</v>
      </c>
      <c r="L4989" s="59">
        <f t="shared" si="30"/>
        <v>0</v>
      </c>
      <c r="M4989" s="59">
        <f t="shared" si="31"/>
        <v>0</v>
      </c>
    </row>
    <row r="4990" ht="15.0" hidden="1" customHeight="1">
      <c r="A4990" s="59">
        <f t="shared" si="20"/>
        <v>80</v>
      </c>
      <c r="B4990" s="59" t="str">
        <f t="shared" si="21"/>
        <v/>
      </c>
      <c r="C4990" s="59" t="str">
        <f t="shared" si="22"/>
        <v/>
      </c>
      <c r="D4990" s="45" t="str">
        <f t="shared" si="23"/>
        <v/>
      </c>
      <c r="E4990" s="45" t="str">
        <f t="shared" si="24"/>
        <v/>
      </c>
      <c r="F4990" s="59" t="str">
        <f t="shared" si="25"/>
        <v/>
      </c>
      <c r="G4990" s="59" t="str">
        <f t="shared" si="26"/>
        <v/>
      </c>
      <c r="H4990" s="59" t="str">
        <f t="shared" si="27"/>
        <v>28C03323</v>
      </c>
      <c r="I4990" s="59" t="str">
        <f>IF(OR($A4990="",$C4990="",$D4990="",$E4990="",$H4990=""),"",SUMIFS(DATA_GOC!$H:$H,DATA_GOC!$A:$A,"BOM",DATA_GOC!$D:$D,$H4990,DATA_GOC!$E:$E,$C4990,DATA_GOC!$F:$F,"Xuất nội bộ từ téc",DATA_GOC!$B:$B,"&gt;="&amp;$D4990,DATA_GOC!$B:$B,"&lt;="&amp;$E4990))</f>
        <v/>
      </c>
      <c r="J4990" s="59">
        <f t="shared" si="28"/>
        <v>0</v>
      </c>
      <c r="K4990" s="59">
        <f t="shared" si="29"/>
        <v>0</v>
      </c>
      <c r="L4990" s="59">
        <f t="shared" si="30"/>
        <v>0</v>
      </c>
      <c r="M4990" s="59">
        <f t="shared" si="31"/>
        <v>0</v>
      </c>
    </row>
    <row r="4991" ht="15.0" hidden="1" customHeight="1">
      <c r="A4991" s="59">
        <f t="shared" si="20"/>
        <v>80</v>
      </c>
      <c r="B4991" s="59" t="str">
        <f t="shared" si="21"/>
        <v/>
      </c>
      <c r="C4991" s="59" t="str">
        <f t="shared" si="22"/>
        <v/>
      </c>
      <c r="D4991" s="45" t="str">
        <f t="shared" si="23"/>
        <v/>
      </c>
      <c r="E4991" s="45" t="str">
        <f t="shared" si="24"/>
        <v/>
      </c>
      <c r="F4991" s="59" t="str">
        <f t="shared" si="25"/>
        <v/>
      </c>
      <c r="G4991" s="59" t="str">
        <f t="shared" si="26"/>
        <v/>
      </c>
      <c r="H4991" s="59" t="str">
        <f t="shared" si="27"/>
        <v>28C03385</v>
      </c>
      <c r="I4991" s="59" t="str">
        <f>IF(OR($A4991="",$C4991="",$D4991="",$E4991="",$H4991=""),"",SUMIFS(DATA_GOC!$H:$H,DATA_GOC!$A:$A,"BOM",DATA_GOC!$D:$D,$H4991,DATA_GOC!$E:$E,$C4991,DATA_GOC!$F:$F,"Xuất nội bộ từ téc",DATA_GOC!$B:$B,"&gt;="&amp;$D4991,DATA_GOC!$B:$B,"&lt;="&amp;$E4991))</f>
        <v/>
      </c>
      <c r="J4991" s="59">
        <f t="shared" si="28"/>
        <v>0</v>
      </c>
      <c r="K4991" s="59">
        <f t="shared" si="29"/>
        <v>0</v>
      </c>
      <c r="L4991" s="59">
        <f t="shared" si="30"/>
        <v>0</v>
      </c>
      <c r="M4991" s="59">
        <f t="shared" si="31"/>
        <v>0</v>
      </c>
    </row>
    <row r="4992" ht="15.0" hidden="1" customHeight="1">
      <c r="A4992" s="59">
        <f t="shared" si="20"/>
        <v>80</v>
      </c>
      <c r="B4992" s="59" t="str">
        <f t="shared" si="21"/>
        <v/>
      </c>
      <c r="C4992" s="59" t="str">
        <f t="shared" si="22"/>
        <v/>
      </c>
      <c r="D4992" s="45" t="str">
        <f t="shared" si="23"/>
        <v/>
      </c>
      <c r="E4992" s="45" t="str">
        <f t="shared" si="24"/>
        <v/>
      </c>
      <c r="F4992" s="59" t="str">
        <f t="shared" si="25"/>
        <v/>
      </c>
      <c r="G4992" s="59" t="str">
        <f t="shared" si="26"/>
        <v/>
      </c>
      <c r="H4992" s="59" t="str">
        <f t="shared" si="27"/>
        <v>28C03652</v>
      </c>
      <c r="I4992" s="59" t="str">
        <f>IF(OR($A4992="",$C4992="",$D4992="",$E4992="",$H4992=""),"",SUMIFS(DATA_GOC!$H:$H,DATA_GOC!$A:$A,"BOM",DATA_GOC!$D:$D,$H4992,DATA_GOC!$E:$E,$C4992,DATA_GOC!$F:$F,"Xuất nội bộ từ téc",DATA_GOC!$B:$B,"&gt;="&amp;$D4992,DATA_GOC!$B:$B,"&lt;="&amp;$E4992))</f>
        <v/>
      </c>
      <c r="J4992" s="59">
        <f t="shared" si="28"/>
        <v>0</v>
      </c>
      <c r="K4992" s="59">
        <f t="shared" si="29"/>
        <v>0</v>
      </c>
      <c r="L4992" s="59">
        <f t="shared" si="30"/>
        <v>0</v>
      </c>
      <c r="M4992" s="59">
        <f t="shared" si="31"/>
        <v>0</v>
      </c>
    </row>
    <row r="4993" ht="15.0" hidden="1" customHeight="1">
      <c r="A4993" s="59">
        <f t="shared" si="20"/>
        <v>80</v>
      </c>
      <c r="B4993" s="59" t="str">
        <f t="shared" si="21"/>
        <v/>
      </c>
      <c r="C4993" s="59" t="str">
        <f t="shared" si="22"/>
        <v/>
      </c>
      <c r="D4993" s="45" t="str">
        <f t="shared" si="23"/>
        <v/>
      </c>
      <c r="E4993" s="45" t="str">
        <f t="shared" si="24"/>
        <v/>
      </c>
      <c r="F4993" s="59" t="str">
        <f t="shared" si="25"/>
        <v/>
      </c>
      <c r="G4993" s="59" t="str">
        <f t="shared" si="26"/>
        <v/>
      </c>
      <c r="H4993" s="59" t="str">
        <f t="shared" si="27"/>
        <v>28C03695</v>
      </c>
      <c r="I4993" s="59" t="str">
        <f>IF(OR($A4993="",$C4993="",$D4993="",$E4993="",$H4993=""),"",SUMIFS(DATA_GOC!$H:$H,DATA_GOC!$A:$A,"BOM",DATA_GOC!$D:$D,$H4993,DATA_GOC!$E:$E,$C4993,DATA_GOC!$F:$F,"Xuất nội bộ từ téc",DATA_GOC!$B:$B,"&gt;="&amp;$D4993,DATA_GOC!$B:$B,"&lt;="&amp;$E4993))</f>
        <v/>
      </c>
      <c r="J4993" s="59">
        <f t="shared" si="28"/>
        <v>0</v>
      </c>
      <c r="K4993" s="59">
        <f t="shared" si="29"/>
        <v>0</v>
      </c>
      <c r="L4993" s="59">
        <f t="shared" si="30"/>
        <v>0</v>
      </c>
      <c r="M4993" s="59">
        <f t="shared" si="31"/>
        <v>0</v>
      </c>
    </row>
    <row r="4994" ht="15.0" hidden="1" customHeight="1">
      <c r="A4994" s="59">
        <f t="shared" si="20"/>
        <v>80</v>
      </c>
      <c r="B4994" s="59" t="str">
        <f t="shared" si="21"/>
        <v/>
      </c>
      <c r="C4994" s="59" t="str">
        <f t="shared" si="22"/>
        <v/>
      </c>
      <c r="D4994" s="45" t="str">
        <f t="shared" si="23"/>
        <v/>
      </c>
      <c r="E4994" s="45" t="str">
        <f t="shared" si="24"/>
        <v/>
      </c>
      <c r="F4994" s="59" t="str">
        <f t="shared" si="25"/>
        <v/>
      </c>
      <c r="G4994" s="59" t="str">
        <f t="shared" si="26"/>
        <v/>
      </c>
      <c r="H4994" s="59" t="str">
        <f t="shared" si="27"/>
        <v>28C03927</v>
      </c>
      <c r="I4994" s="59" t="str">
        <f>IF(OR($A4994="",$C4994="",$D4994="",$E4994="",$H4994=""),"",SUMIFS(DATA_GOC!$H:$H,DATA_GOC!$A:$A,"BOM",DATA_GOC!$D:$D,$H4994,DATA_GOC!$E:$E,$C4994,DATA_GOC!$F:$F,"Xuất nội bộ từ téc",DATA_GOC!$B:$B,"&gt;="&amp;$D4994,DATA_GOC!$B:$B,"&lt;="&amp;$E4994))</f>
        <v/>
      </c>
      <c r="J4994" s="59">
        <f t="shared" si="28"/>
        <v>0</v>
      </c>
      <c r="K4994" s="59">
        <f t="shared" si="29"/>
        <v>0</v>
      </c>
      <c r="L4994" s="59">
        <f t="shared" si="30"/>
        <v>0</v>
      </c>
      <c r="M4994" s="59">
        <f t="shared" si="31"/>
        <v>0</v>
      </c>
    </row>
    <row r="4995" ht="15.0" hidden="1" customHeight="1">
      <c r="A4995" s="59">
        <f t="shared" si="20"/>
        <v>80</v>
      </c>
      <c r="B4995" s="59" t="str">
        <f t="shared" si="21"/>
        <v/>
      </c>
      <c r="C4995" s="59" t="str">
        <f t="shared" si="22"/>
        <v/>
      </c>
      <c r="D4995" s="45" t="str">
        <f t="shared" si="23"/>
        <v/>
      </c>
      <c r="E4995" s="45" t="str">
        <f t="shared" si="24"/>
        <v/>
      </c>
      <c r="F4995" s="59" t="str">
        <f t="shared" si="25"/>
        <v/>
      </c>
      <c r="G4995" s="59" t="str">
        <f t="shared" si="26"/>
        <v/>
      </c>
      <c r="H4995" s="59" t="str">
        <f t="shared" si="27"/>
        <v>28C04509</v>
      </c>
      <c r="I4995" s="59" t="str">
        <f>IF(OR($A4995="",$C4995="",$D4995="",$E4995="",$H4995=""),"",SUMIFS(DATA_GOC!$H:$H,DATA_GOC!$A:$A,"BOM",DATA_GOC!$D:$D,$H4995,DATA_GOC!$E:$E,$C4995,DATA_GOC!$F:$F,"Xuất nội bộ từ téc",DATA_GOC!$B:$B,"&gt;="&amp;$D4995,DATA_GOC!$B:$B,"&lt;="&amp;$E4995))</f>
        <v/>
      </c>
      <c r="J4995" s="59">
        <f t="shared" si="28"/>
        <v>0</v>
      </c>
      <c r="K4995" s="59">
        <f t="shared" si="29"/>
        <v>0</v>
      </c>
      <c r="L4995" s="59">
        <f t="shared" si="30"/>
        <v>0</v>
      </c>
      <c r="M4995" s="59">
        <f t="shared" si="31"/>
        <v>0</v>
      </c>
    </row>
    <row r="4996" ht="15.0" hidden="1" customHeight="1">
      <c r="A4996" s="59">
        <f t="shared" si="20"/>
        <v>80</v>
      </c>
      <c r="B4996" s="59" t="str">
        <f t="shared" si="21"/>
        <v/>
      </c>
      <c r="C4996" s="59" t="str">
        <f t="shared" si="22"/>
        <v/>
      </c>
      <c r="D4996" s="45" t="str">
        <f t="shared" si="23"/>
        <v/>
      </c>
      <c r="E4996" s="45" t="str">
        <f t="shared" si="24"/>
        <v/>
      </c>
      <c r="F4996" s="59" t="str">
        <f t="shared" si="25"/>
        <v/>
      </c>
      <c r="G4996" s="59" t="str">
        <f t="shared" si="26"/>
        <v/>
      </c>
      <c r="H4996" s="59" t="str">
        <f t="shared" si="27"/>
        <v>28C04536</v>
      </c>
      <c r="I4996" s="59" t="str">
        <f>IF(OR($A4996="",$C4996="",$D4996="",$E4996="",$H4996=""),"",SUMIFS(DATA_GOC!$H:$H,DATA_GOC!$A:$A,"BOM",DATA_GOC!$D:$D,$H4996,DATA_GOC!$E:$E,$C4996,DATA_GOC!$F:$F,"Xuất nội bộ từ téc",DATA_GOC!$B:$B,"&gt;="&amp;$D4996,DATA_GOC!$B:$B,"&lt;="&amp;$E4996))</f>
        <v/>
      </c>
      <c r="J4996" s="59">
        <f t="shared" si="28"/>
        <v>0</v>
      </c>
      <c r="K4996" s="59">
        <f t="shared" si="29"/>
        <v>0</v>
      </c>
      <c r="L4996" s="59">
        <f t="shared" si="30"/>
        <v>0</v>
      </c>
      <c r="M4996" s="59">
        <f t="shared" si="31"/>
        <v>0</v>
      </c>
    </row>
    <row r="4997" ht="15.0" hidden="1" customHeight="1">
      <c r="A4997" s="59">
        <f t="shared" si="20"/>
        <v>80</v>
      </c>
      <c r="B4997" s="59" t="str">
        <f t="shared" si="21"/>
        <v/>
      </c>
      <c r="C4997" s="59" t="str">
        <f t="shared" si="22"/>
        <v/>
      </c>
      <c r="D4997" s="45" t="str">
        <f t="shared" si="23"/>
        <v/>
      </c>
      <c r="E4997" s="45" t="str">
        <f t="shared" si="24"/>
        <v/>
      </c>
      <c r="F4997" s="59" t="str">
        <f t="shared" si="25"/>
        <v/>
      </c>
      <c r="G4997" s="59" t="str">
        <f t="shared" si="26"/>
        <v/>
      </c>
      <c r="H4997" s="59" t="str">
        <f t="shared" si="27"/>
        <v>28C04576</v>
      </c>
      <c r="I4997" s="59" t="str">
        <f>IF(OR($A4997="",$C4997="",$D4997="",$E4997="",$H4997=""),"",SUMIFS(DATA_GOC!$H:$H,DATA_GOC!$A:$A,"BOM",DATA_GOC!$D:$D,$H4997,DATA_GOC!$E:$E,$C4997,DATA_GOC!$F:$F,"Xuất nội bộ từ téc",DATA_GOC!$B:$B,"&gt;="&amp;$D4997,DATA_GOC!$B:$B,"&lt;="&amp;$E4997))</f>
        <v/>
      </c>
      <c r="J4997" s="59">
        <f t="shared" si="28"/>
        <v>0</v>
      </c>
      <c r="K4997" s="59">
        <f t="shared" si="29"/>
        <v>0</v>
      </c>
      <c r="L4997" s="59">
        <f t="shared" si="30"/>
        <v>0</v>
      </c>
      <c r="M4997" s="59">
        <f t="shared" si="31"/>
        <v>0</v>
      </c>
    </row>
    <row r="4998" ht="15.0" hidden="1" customHeight="1">
      <c r="A4998" s="59">
        <f t="shared" si="20"/>
        <v>80</v>
      </c>
      <c r="B4998" s="59" t="str">
        <f t="shared" si="21"/>
        <v/>
      </c>
      <c r="C4998" s="59" t="str">
        <f t="shared" si="22"/>
        <v/>
      </c>
      <c r="D4998" s="45" t="str">
        <f t="shared" si="23"/>
        <v/>
      </c>
      <c r="E4998" s="45" t="str">
        <f t="shared" si="24"/>
        <v/>
      </c>
      <c r="F4998" s="59" t="str">
        <f t="shared" si="25"/>
        <v/>
      </c>
      <c r="G4998" s="59" t="str">
        <f t="shared" si="26"/>
        <v/>
      </c>
      <c r="H4998" s="59" t="str">
        <f t="shared" si="27"/>
        <v>28C05090</v>
      </c>
      <c r="I4998" s="59" t="str">
        <f>IF(OR($A4998="",$C4998="",$D4998="",$E4998="",$H4998=""),"",SUMIFS(DATA_GOC!$H:$H,DATA_GOC!$A:$A,"BOM",DATA_GOC!$D:$D,$H4998,DATA_GOC!$E:$E,$C4998,DATA_GOC!$F:$F,"Xuất nội bộ từ téc",DATA_GOC!$B:$B,"&gt;="&amp;$D4998,DATA_GOC!$B:$B,"&lt;="&amp;$E4998))</f>
        <v/>
      </c>
      <c r="J4998" s="59">
        <f t="shared" si="28"/>
        <v>0</v>
      </c>
      <c r="K4998" s="59">
        <f t="shared" si="29"/>
        <v>0</v>
      </c>
      <c r="L4998" s="59">
        <f t="shared" si="30"/>
        <v>0</v>
      </c>
      <c r="M4998" s="59">
        <f t="shared" si="31"/>
        <v>0</v>
      </c>
    </row>
    <row r="4999" ht="15.0" hidden="1" customHeight="1">
      <c r="A4999" s="59">
        <f t="shared" si="20"/>
        <v>80</v>
      </c>
      <c r="B4999" s="59" t="str">
        <f t="shared" si="21"/>
        <v/>
      </c>
      <c r="C4999" s="59" t="str">
        <f t="shared" si="22"/>
        <v/>
      </c>
      <c r="D4999" s="45" t="str">
        <f t="shared" si="23"/>
        <v/>
      </c>
      <c r="E4999" s="45" t="str">
        <f t="shared" si="24"/>
        <v/>
      </c>
      <c r="F4999" s="59" t="str">
        <f t="shared" si="25"/>
        <v/>
      </c>
      <c r="G4999" s="59" t="str">
        <f t="shared" si="26"/>
        <v/>
      </c>
      <c r="H4999" s="59" t="str">
        <f t="shared" si="27"/>
        <v>28C05345</v>
      </c>
      <c r="I4999" s="59" t="str">
        <f>IF(OR($A4999="",$C4999="",$D4999="",$E4999="",$H4999=""),"",SUMIFS(DATA_GOC!$H:$H,DATA_GOC!$A:$A,"BOM",DATA_GOC!$D:$D,$H4999,DATA_GOC!$E:$E,$C4999,DATA_GOC!$F:$F,"Xuất nội bộ từ téc",DATA_GOC!$B:$B,"&gt;="&amp;$D4999,DATA_GOC!$B:$B,"&lt;="&amp;$E4999))</f>
        <v/>
      </c>
      <c r="J4999" s="59">
        <f t="shared" si="28"/>
        <v>0</v>
      </c>
      <c r="K4999" s="59">
        <f t="shared" si="29"/>
        <v>0</v>
      </c>
      <c r="L4999" s="59">
        <f t="shared" si="30"/>
        <v>0</v>
      </c>
      <c r="M4999" s="59">
        <f t="shared" si="31"/>
        <v>0</v>
      </c>
    </row>
    <row r="5000" ht="15.0" hidden="1" customHeight="1">
      <c r="A5000" s="59">
        <f t="shared" si="20"/>
        <v>80</v>
      </c>
      <c r="B5000" s="59" t="str">
        <f t="shared" si="21"/>
        <v/>
      </c>
      <c r="C5000" s="59" t="str">
        <f t="shared" si="22"/>
        <v/>
      </c>
      <c r="D5000" s="45" t="str">
        <f t="shared" si="23"/>
        <v/>
      </c>
      <c r="E5000" s="45" t="str">
        <f t="shared" si="24"/>
        <v/>
      </c>
      <c r="F5000" s="59" t="str">
        <f t="shared" si="25"/>
        <v/>
      </c>
      <c r="G5000" s="59" t="str">
        <f t="shared" si="26"/>
        <v/>
      </c>
      <c r="H5000" s="59" t="str">
        <f t="shared" si="27"/>
        <v>28C05661</v>
      </c>
      <c r="I5000" s="59" t="str">
        <f>IF(OR($A5000="",$C5000="",$D5000="",$E5000="",$H5000=""),"",SUMIFS(DATA_GOC!$H:$H,DATA_GOC!$A:$A,"BOM",DATA_GOC!$D:$D,$H5000,DATA_GOC!$E:$E,$C5000,DATA_GOC!$F:$F,"Xuất nội bộ từ téc",DATA_GOC!$B:$B,"&gt;="&amp;$D5000,DATA_GOC!$B:$B,"&lt;="&amp;$E5000))</f>
        <v/>
      </c>
      <c r="J5000" s="59">
        <f t="shared" si="28"/>
        <v>0</v>
      </c>
      <c r="K5000" s="59">
        <f t="shared" si="29"/>
        <v>0</v>
      </c>
      <c r="L5000" s="59">
        <f t="shared" si="30"/>
        <v>0</v>
      </c>
      <c r="M5000" s="59">
        <f t="shared" si="31"/>
        <v>0</v>
      </c>
    </row>
    <row r="5001" ht="15.0" hidden="1" customHeight="1">
      <c r="A5001" s="59">
        <f t="shared" si="20"/>
        <v>80</v>
      </c>
      <c r="B5001" s="59" t="str">
        <f t="shared" si="21"/>
        <v/>
      </c>
      <c r="C5001" s="59" t="str">
        <f t="shared" si="22"/>
        <v/>
      </c>
      <c r="D5001" s="45" t="str">
        <f t="shared" si="23"/>
        <v/>
      </c>
      <c r="E5001" s="45" t="str">
        <f t="shared" si="24"/>
        <v/>
      </c>
      <c r="F5001" s="59" t="str">
        <f t="shared" si="25"/>
        <v/>
      </c>
      <c r="G5001" s="59" t="str">
        <f t="shared" si="26"/>
        <v/>
      </c>
      <c r="H5001" s="59" t="str">
        <f t="shared" si="27"/>
        <v>28C05739</v>
      </c>
      <c r="I5001" s="59" t="str">
        <f>IF(OR($A5001="",$C5001="",$D5001="",$E5001="",$H5001=""),"",SUMIFS(DATA_GOC!$H:$H,DATA_GOC!$A:$A,"BOM",DATA_GOC!$D:$D,$H5001,DATA_GOC!$E:$E,$C5001,DATA_GOC!$F:$F,"Xuất nội bộ từ téc",DATA_GOC!$B:$B,"&gt;="&amp;$D5001,DATA_GOC!$B:$B,"&lt;="&amp;$E5001))</f>
        <v/>
      </c>
      <c r="J5001" s="59">
        <f t="shared" si="28"/>
        <v>0</v>
      </c>
      <c r="K5001" s="59">
        <f t="shared" si="29"/>
        <v>0</v>
      </c>
      <c r="L5001" s="59">
        <f t="shared" si="30"/>
        <v>0</v>
      </c>
      <c r="M5001" s="59">
        <f t="shared" si="31"/>
        <v>0</v>
      </c>
    </row>
    <row r="5002" ht="15.0" hidden="1" customHeight="1">
      <c r="A5002" s="59">
        <f t="shared" si="20"/>
        <v>80</v>
      </c>
      <c r="B5002" s="59" t="str">
        <f t="shared" si="21"/>
        <v/>
      </c>
      <c r="C5002" s="59" t="str">
        <f t="shared" si="22"/>
        <v/>
      </c>
      <c r="D5002" s="45" t="str">
        <f t="shared" si="23"/>
        <v/>
      </c>
      <c r="E5002" s="45" t="str">
        <f t="shared" si="24"/>
        <v/>
      </c>
      <c r="F5002" s="59" t="str">
        <f t="shared" si="25"/>
        <v/>
      </c>
      <c r="G5002" s="59" t="str">
        <f t="shared" si="26"/>
        <v/>
      </c>
      <c r="H5002" s="59" t="str">
        <f t="shared" si="27"/>
        <v>28C06369</v>
      </c>
      <c r="I5002" s="59" t="str">
        <f>IF(OR($A5002="",$C5002="",$D5002="",$E5002="",$H5002=""),"",SUMIFS(DATA_GOC!$H:$H,DATA_GOC!$A:$A,"BOM",DATA_GOC!$D:$D,$H5002,DATA_GOC!$E:$E,$C5002,DATA_GOC!$F:$F,"Xuất nội bộ từ téc",DATA_GOC!$B:$B,"&gt;="&amp;$D5002,DATA_GOC!$B:$B,"&lt;="&amp;$E5002))</f>
        <v/>
      </c>
      <c r="J5002" s="59">
        <f t="shared" si="28"/>
        <v>0</v>
      </c>
      <c r="K5002" s="59">
        <f t="shared" si="29"/>
        <v>0</v>
      </c>
      <c r="L5002" s="59">
        <f t="shared" si="30"/>
        <v>0</v>
      </c>
      <c r="M5002" s="59">
        <f t="shared" si="31"/>
        <v>0</v>
      </c>
    </row>
    <row r="5003" ht="15.0" hidden="1" customHeight="1">
      <c r="A5003" s="59">
        <f t="shared" si="20"/>
        <v>80</v>
      </c>
      <c r="B5003" s="59" t="str">
        <f t="shared" si="21"/>
        <v/>
      </c>
      <c r="C5003" s="59" t="str">
        <f t="shared" si="22"/>
        <v/>
      </c>
      <c r="D5003" s="45" t="str">
        <f t="shared" si="23"/>
        <v/>
      </c>
      <c r="E5003" s="45" t="str">
        <f t="shared" si="24"/>
        <v/>
      </c>
      <c r="F5003" s="59" t="str">
        <f t="shared" si="25"/>
        <v/>
      </c>
      <c r="G5003" s="59" t="str">
        <f t="shared" si="26"/>
        <v/>
      </c>
      <c r="H5003" s="59" t="str">
        <f t="shared" si="27"/>
        <v>28C06447</v>
      </c>
      <c r="I5003" s="59" t="str">
        <f>IF(OR($A5003="",$C5003="",$D5003="",$E5003="",$H5003=""),"",SUMIFS(DATA_GOC!$H:$H,DATA_GOC!$A:$A,"BOM",DATA_GOC!$D:$D,$H5003,DATA_GOC!$E:$E,$C5003,DATA_GOC!$F:$F,"Xuất nội bộ từ téc",DATA_GOC!$B:$B,"&gt;="&amp;$D5003,DATA_GOC!$B:$B,"&lt;="&amp;$E5003))</f>
        <v/>
      </c>
      <c r="J5003" s="59">
        <f t="shared" si="28"/>
        <v>0</v>
      </c>
      <c r="K5003" s="59">
        <f t="shared" si="29"/>
        <v>0</v>
      </c>
      <c r="L5003" s="59">
        <f t="shared" si="30"/>
        <v>0</v>
      </c>
      <c r="M5003" s="59">
        <f t="shared" si="31"/>
        <v>0</v>
      </c>
    </row>
    <row r="5004" ht="15.0" hidden="1" customHeight="1">
      <c r="A5004" s="59">
        <f t="shared" si="20"/>
        <v>80</v>
      </c>
      <c r="B5004" s="59" t="str">
        <f t="shared" si="21"/>
        <v/>
      </c>
      <c r="C5004" s="59" t="str">
        <f t="shared" si="22"/>
        <v/>
      </c>
      <c r="D5004" s="45" t="str">
        <f t="shared" si="23"/>
        <v/>
      </c>
      <c r="E5004" s="45" t="str">
        <f t="shared" si="24"/>
        <v/>
      </c>
      <c r="F5004" s="59" t="str">
        <f t="shared" si="25"/>
        <v/>
      </c>
      <c r="G5004" s="59" t="str">
        <f t="shared" si="26"/>
        <v/>
      </c>
      <c r="H5004" s="59" t="str">
        <f t="shared" si="27"/>
        <v>28H00003</v>
      </c>
      <c r="I5004" s="59" t="str">
        <f>IF(OR($A5004="",$C5004="",$D5004="",$E5004="",$H5004=""),"",SUMIFS(DATA_GOC!$H:$H,DATA_GOC!$A:$A,"BOM",DATA_GOC!$D:$D,$H5004,DATA_GOC!$E:$E,$C5004,DATA_GOC!$F:$F,"Xuất nội bộ từ téc",DATA_GOC!$B:$B,"&gt;="&amp;$D5004,DATA_GOC!$B:$B,"&lt;="&amp;$E5004))</f>
        <v/>
      </c>
      <c r="J5004" s="59">
        <f t="shared" si="28"/>
        <v>0</v>
      </c>
      <c r="K5004" s="59">
        <f t="shared" si="29"/>
        <v>0</v>
      </c>
      <c r="L5004" s="59">
        <f t="shared" si="30"/>
        <v>0</v>
      </c>
      <c r="M5004" s="59">
        <f t="shared" si="31"/>
        <v>0</v>
      </c>
    </row>
    <row r="5005" ht="15.0" hidden="1" customHeight="1">
      <c r="A5005" s="59">
        <f t="shared" si="20"/>
        <v>80</v>
      </c>
      <c r="B5005" s="59" t="str">
        <f t="shared" si="21"/>
        <v/>
      </c>
      <c r="C5005" s="59" t="str">
        <f t="shared" si="22"/>
        <v/>
      </c>
      <c r="D5005" s="45" t="str">
        <f t="shared" si="23"/>
        <v/>
      </c>
      <c r="E5005" s="45" t="str">
        <f t="shared" si="24"/>
        <v/>
      </c>
      <c r="F5005" s="59" t="str">
        <f t="shared" si="25"/>
        <v/>
      </c>
      <c r="G5005" s="59" t="str">
        <f t="shared" si="26"/>
        <v/>
      </c>
      <c r="H5005" s="59" t="str">
        <f t="shared" si="27"/>
        <v>28H00061</v>
      </c>
      <c r="I5005" s="59" t="str">
        <f>IF(OR($A5005="",$C5005="",$D5005="",$E5005="",$H5005=""),"",SUMIFS(DATA_GOC!$H:$H,DATA_GOC!$A:$A,"BOM",DATA_GOC!$D:$D,$H5005,DATA_GOC!$E:$E,$C5005,DATA_GOC!$F:$F,"Xuất nội bộ từ téc",DATA_GOC!$B:$B,"&gt;="&amp;$D5005,DATA_GOC!$B:$B,"&lt;="&amp;$E5005))</f>
        <v/>
      </c>
      <c r="J5005" s="59">
        <f t="shared" si="28"/>
        <v>0</v>
      </c>
      <c r="K5005" s="59">
        <f t="shared" si="29"/>
        <v>0</v>
      </c>
      <c r="L5005" s="59">
        <f t="shared" si="30"/>
        <v>0</v>
      </c>
      <c r="M5005" s="59">
        <f t="shared" si="31"/>
        <v>0</v>
      </c>
    </row>
    <row r="5006" ht="15.0" hidden="1" customHeight="1">
      <c r="A5006" s="59">
        <f t="shared" si="20"/>
        <v>80</v>
      </c>
      <c r="B5006" s="59" t="str">
        <f t="shared" si="21"/>
        <v/>
      </c>
      <c r="C5006" s="59" t="str">
        <f t="shared" si="22"/>
        <v/>
      </c>
      <c r="D5006" s="45" t="str">
        <f t="shared" si="23"/>
        <v/>
      </c>
      <c r="E5006" s="45" t="str">
        <f t="shared" si="24"/>
        <v/>
      </c>
      <c r="F5006" s="59" t="str">
        <f t="shared" si="25"/>
        <v/>
      </c>
      <c r="G5006" s="59" t="str">
        <f t="shared" si="26"/>
        <v/>
      </c>
      <c r="H5006" s="59" t="str">
        <f t="shared" si="27"/>
        <v>28H00354</v>
      </c>
      <c r="I5006" s="59" t="str">
        <f>IF(OR($A5006="",$C5006="",$D5006="",$E5006="",$H5006=""),"",SUMIFS(DATA_GOC!$H:$H,DATA_GOC!$A:$A,"BOM",DATA_GOC!$D:$D,$H5006,DATA_GOC!$E:$E,$C5006,DATA_GOC!$F:$F,"Xuất nội bộ từ téc",DATA_GOC!$B:$B,"&gt;="&amp;$D5006,DATA_GOC!$B:$B,"&lt;="&amp;$E5006))</f>
        <v/>
      </c>
      <c r="J5006" s="59">
        <f t="shared" si="28"/>
        <v>0</v>
      </c>
      <c r="K5006" s="59">
        <f t="shared" si="29"/>
        <v>0</v>
      </c>
      <c r="L5006" s="59">
        <f t="shared" si="30"/>
        <v>0</v>
      </c>
      <c r="M5006" s="59">
        <f t="shared" si="31"/>
        <v>0</v>
      </c>
    </row>
    <row r="5007" ht="15.0" hidden="1" customHeight="1">
      <c r="A5007" s="59">
        <f t="shared" si="20"/>
        <v>80</v>
      </c>
      <c r="B5007" s="59" t="str">
        <f t="shared" si="21"/>
        <v/>
      </c>
      <c r="C5007" s="59" t="str">
        <f t="shared" si="22"/>
        <v/>
      </c>
      <c r="D5007" s="45" t="str">
        <f t="shared" si="23"/>
        <v/>
      </c>
      <c r="E5007" s="45" t="str">
        <f t="shared" si="24"/>
        <v/>
      </c>
      <c r="F5007" s="59" t="str">
        <f t="shared" si="25"/>
        <v/>
      </c>
      <c r="G5007" s="59" t="str">
        <f t="shared" si="26"/>
        <v/>
      </c>
      <c r="H5007" s="59" t="str">
        <f t="shared" si="27"/>
        <v>28H00603</v>
      </c>
      <c r="I5007" s="59" t="str">
        <f>IF(OR($A5007="",$C5007="",$D5007="",$E5007="",$H5007=""),"",SUMIFS(DATA_GOC!$H:$H,DATA_GOC!$A:$A,"BOM",DATA_GOC!$D:$D,$H5007,DATA_GOC!$E:$E,$C5007,DATA_GOC!$F:$F,"Xuất nội bộ từ téc",DATA_GOC!$B:$B,"&gt;="&amp;$D5007,DATA_GOC!$B:$B,"&lt;="&amp;$E5007))</f>
        <v/>
      </c>
      <c r="J5007" s="59">
        <f t="shared" si="28"/>
        <v>0</v>
      </c>
      <c r="K5007" s="59">
        <f t="shared" si="29"/>
        <v>0</v>
      </c>
      <c r="L5007" s="59">
        <f t="shared" si="30"/>
        <v>0</v>
      </c>
      <c r="M5007" s="59">
        <f t="shared" si="31"/>
        <v>0</v>
      </c>
    </row>
    <row r="5008" ht="15.0" hidden="1" customHeight="1">
      <c r="A5008" s="59">
        <f t="shared" si="20"/>
        <v>80</v>
      </c>
      <c r="B5008" s="59" t="str">
        <f t="shared" si="21"/>
        <v/>
      </c>
      <c r="C5008" s="59" t="str">
        <f t="shared" si="22"/>
        <v/>
      </c>
      <c r="D5008" s="45" t="str">
        <f t="shared" si="23"/>
        <v/>
      </c>
      <c r="E5008" s="45" t="str">
        <f t="shared" si="24"/>
        <v/>
      </c>
      <c r="F5008" s="59" t="str">
        <f t="shared" si="25"/>
        <v/>
      </c>
      <c r="G5008" s="59" t="str">
        <f t="shared" si="26"/>
        <v/>
      </c>
      <c r="H5008" s="59" t="str">
        <f t="shared" si="27"/>
        <v>28H00609</v>
      </c>
      <c r="I5008" s="59" t="str">
        <f>IF(OR($A5008="",$C5008="",$D5008="",$E5008="",$H5008=""),"",SUMIFS(DATA_GOC!$H:$H,DATA_GOC!$A:$A,"BOM",DATA_GOC!$D:$D,$H5008,DATA_GOC!$E:$E,$C5008,DATA_GOC!$F:$F,"Xuất nội bộ từ téc",DATA_GOC!$B:$B,"&gt;="&amp;$D5008,DATA_GOC!$B:$B,"&lt;="&amp;$E5008))</f>
        <v/>
      </c>
      <c r="J5008" s="59">
        <f t="shared" si="28"/>
        <v>0</v>
      </c>
      <c r="K5008" s="59">
        <f t="shared" si="29"/>
        <v>0</v>
      </c>
      <c r="L5008" s="59">
        <f t="shared" si="30"/>
        <v>0</v>
      </c>
      <c r="M5008" s="59">
        <f t="shared" si="31"/>
        <v>0</v>
      </c>
    </row>
    <row r="5009" ht="15.0" hidden="1" customHeight="1">
      <c r="A5009" s="59">
        <f t="shared" si="20"/>
        <v>80</v>
      </c>
      <c r="B5009" s="59" t="str">
        <f t="shared" si="21"/>
        <v/>
      </c>
      <c r="C5009" s="59" t="str">
        <f t="shared" si="22"/>
        <v/>
      </c>
      <c r="D5009" s="45" t="str">
        <f t="shared" si="23"/>
        <v/>
      </c>
      <c r="E5009" s="45" t="str">
        <f t="shared" si="24"/>
        <v/>
      </c>
      <c r="F5009" s="59" t="str">
        <f t="shared" si="25"/>
        <v/>
      </c>
      <c r="G5009" s="59" t="str">
        <f t="shared" si="26"/>
        <v/>
      </c>
      <c r="H5009" s="59" t="str">
        <f t="shared" si="27"/>
        <v>28H00669</v>
      </c>
      <c r="I5009" s="59" t="str">
        <f>IF(OR($A5009="",$C5009="",$D5009="",$E5009="",$H5009=""),"",SUMIFS(DATA_GOC!$H:$H,DATA_GOC!$A:$A,"BOM",DATA_GOC!$D:$D,$H5009,DATA_GOC!$E:$E,$C5009,DATA_GOC!$F:$F,"Xuất nội bộ từ téc",DATA_GOC!$B:$B,"&gt;="&amp;$D5009,DATA_GOC!$B:$B,"&lt;="&amp;$E5009))</f>
        <v/>
      </c>
      <c r="J5009" s="59">
        <f t="shared" si="28"/>
        <v>0</v>
      </c>
      <c r="K5009" s="59">
        <f t="shared" si="29"/>
        <v>0</v>
      </c>
      <c r="L5009" s="59">
        <f t="shared" si="30"/>
        <v>0</v>
      </c>
      <c r="M5009" s="59">
        <f t="shared" si="31"/>
        <v>0</v>
      </c>
    </row>
    <row r="5010" ht="15.0" hidden="1" customHeight="1">
      <c r="A5010" s="59">
        <f t="shared" si="20"/>
        <v>80</v>
      </c>
      <c r="B5010" s="59" t="str">
        <f t="shared" si="21"/>
        <v/>
      </c>
      <c r="C5010" s="59" t="str">
        <f t="shared" si="22"/>
        <v/>
      </c>
      <c r="D5010" s="45" t="str">
        <f t="shared" si="23"/>
        <v/>
      </c>
      <c r="E5010" s="45" t="str">
        <f t="shared" si="24"/>
        <v/>
      </c>
      <c r="F5010" s="59" t="str">
        <f t="shared" si="25"/>
        <v/>
      </c>
      <c r="G5010" s="59" t="str">
        <f t="shared" si="26"/>
        <v/>
      </c>
      <c r="H5010" s="59" t="str">
        <f t="shared" si="27"/>
        <v>28H00680</v>
      </c>
      <c r="I5010" s="59" t="str">
        <f>IF(OR($A5010="",$C5010="",$D5010="",$E5010="",$H5010=""),"",SUMIFS(DATA_GOC!$H:$H,DATA_GOC!$A:$A,"BOM",DATA_GOC!$D:$D,$H5010,DATA_GOC!$E:$E,$C5010,DATA_GOC!$F:$F,"Xuất nội bộ từ téc",DATA_GOC!$B:$B,"&gt;="&amp;$D5010,DATA_GOC!$B:$B,"&lt;="&amp;$E5010))</f>
        <v/>
      </c>
      <c r="J5010" s="59">
        <f t="shared" si="28"/>
        <v>0</v>
      </c>
      <c r="K5010" s="59">
        <f t="shared" si="29"/>
        <v>0</v>
      </c>
      <c r="L5010" s="59">
        <f t="shared" si="30"/>
        <v>0</v>
      </c>
      <c r="M5010" s="59">
        <f t="shared" si="31"/>
        <v>0</v>
      </c>
    </row>
    <row r="5011" ht="15.0" hidden="1" customHeight="1">
      <c r="A5011" s="59">
        <f t="shared" si="20"/>
        <v>80</v>
      </c>
      <c r="B5011" s="59" t="str">
        <f t="shared" si="21"/>
        <v/>
      </c>
      <c r="C5011" s="59" t="str">
        <f t="shared" si="22"/>
        <v/>
      </c>
      <c r="D5011" s="45" t="str">
        <f t="shared" si="23"/>
        <v/>
      </c>
      <c r="E5011" s="45" t="str">
        <f t="shared" si="24"/>
        <v/>
      </c>
      <c r="F5011" s="59" t="str">
        <f t="shared" si="25"/>
        <v/>
      </c>
      <c r="G5011" s="59" t="str">
        <f t="shared" si="26"/>
        <v/>
      </c>
      <c r="H5011" s="59" t="str">
        <f t="shared" si="27"/>
        <v>28H01070</v>
      </c>
      <c r="I5011" s="59" t="str">
        <f>IF(OR($A5011="",$C5011="",$D5011="",$E5011="",$H5011=""),"",SUMIFS(DATA_GOC!$H:$H,DATA_GOC!$A:$A,"BOM",DATA_GOC!$D:$D,$H5011,DATA_GOC!$E:$E,$C5011,DATA_GOC!$F:$F,"Xuất nội bộ từ téc",DATA_GOC!$B:$B,"&gt;="&amp;$D5011,DATA_GOC!$B:$B,"&lt;="&amp;$E5011))</f>
        <v/>
      </c>
      <c r="J5011" s="59">
        <f t="shared" si="28"/>
        <v>0</v>
      </c>
      <c r="K5011" s="59">
        <f t="shared" si="29"/>
        <v>0</v>
      </c>
      <c r="L5011" s="59">
        <f t="shared" si="30"/>
        <v>0</v>
      </c>
      <c r="M5011" s="59">
        <f t="shared" si="31"/>
        <v>0</v>
      </c>
    </row>
    <row r="5012" ht="15.0" hidden="1" customHeight="1">
      <c r="A5012" s="59">
        <f t="shared" si="20"/>
        <v>80</v>
      </c>
      <c r="B5012" s="59" t="str">
        <f t="shared" si="21"/>
        <v/>
      </c>
      <c r="C5012" s="59" t="str">
        <f t="shared" si="22"/>
        <v/>
      </c>
      <c r="D5012" s="45" t="str">
        <f t="shared" si="23"/>
        <v/>
      </c>
      <c r="E5012" s="45" t="str">
        <f t="shared" si="24"/>
        <v/>
      </c>
      <c r="F5012" s="59" t="str">
        <f t="shared" si="25"/>
        <v/>
      </c>
      <c r="G5012" s="59" t="str">
        <f t="shared" si="26"/>
        <v/>
      </c>
      <c r="H5012" s="59" t="str">
        <f t="shared" si="27"/>
        <v>28H01364</v>
      </c>
      <c r="I5012" s="59" t="str">
        <f>IF(OR($A5012="",$C5012="",$D5012="",$E5012="",$H5012=""),"",SUMIFS(DATA_GOC!$H:$H,DATA_GOC!$A:$A,"BOM",DATA_GOC!$D:$D,$H5012,DATA_GOC!$E:$E,$C5012,DATA_GOC!$F:$F,"Xuất nội bộ từ téc",DATA_GOC!$B:$B,"&gt;="&amp;$D5012,DATA_GOC!$B:$B,"&lt;="&amp;$E5012))</f>
        <v/>
      </c>
      <c r="J5012" s="59">
        <f t="shared" si="28"/>
        <v>0</v>
      </c>
      <c r="K5012" s="59">
        <f t="shared" si="29"/>
        <v>0</v>
      </c>
      <c r="L5012" s="59">
        <f t="shared" si="30"/>
        <v>0</v>
      </c>
      <c r="M5012" s="59">
        <f t="shared" si="31"/>
        <v>0</v>
      </c>
    </row>
    <row r="5013" ht="15.0" hidden="1" customHeight="1">
      <c r="A5013" s="59">
        <f t="shared" si="20"/>
        <v>80</v>
      </c>
      <c r="B5013" s="59" t="str">
        <f t="shared" si="21"/>
        <v/>
      </c>
      <c r="C5013" s="59" t="str">
        <f t="shared" si="22"/>
        <v/>
      </c>
      <c r="D5013" s="45" t="str">
        <f t="shared" si="23"/>
        <v/>
      </c>
      <c r="E5013" s="45" t="str">
        <f t="shared" si="24"/>
        <v/>
      </c>
      <c r="F5013" s="59" t="str">
        <f t="shared" si="25"/>
        <v/>
      </c>
      <c r="G5013" s="59" t="str">
        <f t="shared" si="26"/>
        <v/>
      </c>
      <c r="H5013" s="59" t="str">
        <f t="shared" si="27"/>
        <v>29E17269</v>
      </c>
      <c r="I5013" s="59" t="str">
        <f>IF(OR($A5013="",$C5013="",$D5013="",$E5013="",$H5013=""),"",SUMIFS(DATA_GOC!$H:$H,DATA_GOC!$A:$A,"BOM",DATA_GOC!$D:$D,$H5013,DATA_GOC!$E:$E,$C5013,DATA_GOC!$F:$F,"Xuất nội bộ từ téc",DATA_GOC!$B:$B,"&gt;="&amp;$D5013,DATA_GOC!$B:$B,"&lt;="&amp;$E5013))</f>
        <v/>
      </c>
      <c r="J5013" s="59">
        <f t="shared" si="28"/>
        <v>0</v>
      </c>
      <c r="K5013" s="59">
        <f t="shared" si="29"/>
        <v>0</v>
      </c>
      <c r="L5013" s="59">
        <f t="shared" si="30"/>
        <v>0</v>
      </c>
      <c r="M5013" s="59">
        <f t="shared" si="31"/>
        <v>0</v>
      </c>
    </row>
    <row r="5014" ht="15.0" hidden="1" customHeight="1">
      <c r="A5014" s="59">
        <f t="shared" si="20"/>
        <v>80</v>
      </c>
      <c r="B5014" s="59" t="str">
        <f t="shared" si="21"/>
        <v/>
      </c>
      <c r="C5014" s="59" t="str">
        <f t="shared" si="22"/>
        <v/>
      </c>
      <c r="D5014" s="45" t="str">
        <f t="shared" si="23"/>
        <v/>
      </c>
      <c r="E5014" s="45" t="str">
        <f t="shared" si="24"/>
        <v/>
      </c>
      <c r="F5014" s="59" t="str">
        <f t="shared" si="25"/>
        <v/>
      </c>
      <c r="G5014" s="59" t="str">
        <f t="shared" si="26"/>
        <v/>
      </c>
      <c r="H5014" s="59" t="str">
        <f t="shared" si="27"/>
        <v>29E17273</v>
      </c>
      <c r="I5014" s="59" t="str">
        <f>IF(OR($A5014="",$C5014="",$D5014="",$E5014="",$H5014=""),"",SUMIFS(DATA_GOC!$H:$H,DATA_GOC!$A:$A,"BOM",DATA_GOC!$D:$D,$H5014,DATA_GOC!$E:$E,$C5014,DATA_GOC!$F:$F,"Xuất nội bộ từ téc",DATA_GOC!$B:$B,"&gt;="&amp;$D5014,DATA_GOC!$B:$B,"&lt;="&amp;$E5014))</f>
        <v/>
      </c>
      <c r="J5014" s="59">
        <f t="shared" si="28"/>
        <v>0</v>
      </c>
      <c r="K5014" s="59">
        <f t="shared" si="29"/>
        <v>0</v>
      </c>
      <c r="L5014" s="59">
        <f t="shared" si="30"/>
        <v>0</v>
      </c>
      <c r="M5014" s="59">
        <f t="shared" si="31"/>
        <v>0</v>
      </c>
    </row>
    <row r="5015" ht="15.0" hidden="1" customHeight="1">
      <c r="A5015" s="59">
        <f t="shared" si="20"/>
        <v>80</v>
      </c>
      <c r="B5015" s="59" t="str">
        <f t="shared" si="21"/>
        <v/>
      </c>
      <c r="C5015" s="59" t="str">
        <f t="shared" si="22"/>
        <v/>
      </c>
      <c r="D5015" s="45" t="str">
        <f t="shared" si="23"/>
        <v/>
      </c>
      <c r="E5015" s="45" t="str">
        <f t="shared" si="24"/>
        <v/>
      </c>
      <c r="F5015" s="59" t="str">
        <f t="shared" si="25"/>
        <v/>
      </c>
      <c r="G5015" s="59" t="str">
        <f t="shared" si="26"/>
        <v/>
      </c>
      <c r="H5015" s="59" t="str">
        <f t="shared" si="27"/>
        <v>29E17410</v>
      </c>
      <c r="I5015" s="59" t="str">
        <f>IF(OR($A5015="",$C5015="",$D5015="",$E5015="",$H5015=""),"",SUMIFS(DATA_GOC!$H:$H,DATA_GOC!$A:$A,"BOM",DATA_GOC!$D:$D,$H5015,DATA_GOC!$E:$E,$C5015,DATA_GOC!$F:$F,"Xuất nội bộ từ téc",DATA_GOC!$B:$B,"&gt;="&amp;$D5015,DATA_GOC!$B:$B,"&lt;="&amp;$E5015))</f>
        <v/>
      </c>
      <c r="J5015" s="59">
        <f t="shared" si="28"/>
        <v>0</v>
      </c>
      <c r="K5015" s="59">
        <f t="shared" si="29"/>
        <v>0</v>
      </c>
      <c r="L5015" s="59">
        <f t="shared" si="30"/>
        <v>0</v>
      </c>
      <c r="M5015" s="59">
        <f t="shared" si="31"/>
        <v>0</v>
      </c>
    </row>
    <row r="5016" ht="15.0" hidden="1" customHeight="1">
      <c r="A5016" s="59">
        <f t="shared" si="20"/>
        <v>80</v>
      </c>
      <c r="B5016" s="59" t="str">
        <f t="shared" si="21"/>
        <v/>
      </c>
      <c r="C5016" s="59" t="str">
        <f t="shared" si="22"/>
        <v/>
      </c>
      <c r="D5016" s="45" t="str">
        <f t="shared" si="23"/>
        <v/>
      </c>
      <c r="E5016" s="45" t="str">
        <f t="shared" si="24"/>
        <v/>
      </c>
      <c r="F5016" s="59" t="str">
        <f t="shared" si="25"/>
        <v/>
      </c>
      <c r="G5016" s="59" t="str">
        <f t="shared" si="26"/>
        <v/>
      </c>
      <c r="H5016" s="59" t="str">
        <f t="shared" si="27"/>
        <v>29E17417</v>
      </c>
      <c r="I5016" s="59" t="str">
        <f>IF(OR($A5016="",$C5016="",$D5016="",$E5016="",$H5016=""),"",SUMIFS(DATA_GOC!$H:$H,DATA_GOC!$A:$A,"BOM",DATA_GOC!$D:$D,$H5016,DATA_GOC!$E:$E,$C5016,DATA_GOC!$F:$F,"Xuất nội bộ từ téc",DATA_GOC!$B:$B,"&gt;="&amp;$D5016,DATA_GOC!$B:$B,"&lt;="&amp;$E5016))</f>
        <v/>
      </c>
      <c r="J5016" s="59">
        <f t="shared" si="28"/>
        <v>0</v>
      </c>
      <c r="K5016" s="59">
        <f t="shared" si="29"/>
        <v>0</v>
      </c>
      <c r="L5016" s="59">
        <f t="shared" si="30"/>
        <v>0</v>
      </c>
      <c r="M5016" s="59">
        <f t="shared" si="31"/>
        <v>0</v>
      </c>
    </row>
    <row r="5017" ht="15.0" hidden="1" customHeight="1">
      <c r="A5017" s="59">
        <f t="shared" si="20"/>
        <v>80</v>
      </c>
      <c r="B5017" s="59" t="str">
        <f t="shared" si="21"/>
        <v/>
      </c>
      <c r="C5017" s="59" t="str">
        <f t="shared" si="22"/>
        <v/>
      </c>
      <c r="D5017" s="45" t="str">
        <f t="shared" si="23"/>
        <v/>
      </c>
      <c r="E5017" s="45" t="str">
        <f t="shared" si="24"/>
        <v/>
      </c>
      <c r="F5017" s="59" t="str">
        <f t="shared" si="25"/>
        <v/>
      </c>
      <c r="G5017" s="59" t="str">
        <f t="shared" si="26"/>
        <v/>
      </c>
      <c r="H5017" s="59" t="str">
        <f t="shared" si="27"/>
        <v>29E17539</v>
      </c>
      <c r="I5017" s="59" t="str">
        <f>IF(OR($A5017="",$C5017="",$D5017="",$E5017="",$H5017=""),"",SUMIFS(DATA_GOC!$H:$H,DATA_GOC!$A:$A,"BOM",DATA_GOC!$D:$D,$H5017,DATA_GOC!$E:$E,$C5017,DATA_GOC!$F:$F,"Xuất nội bộ từ téc",DATA_GOC!$B:$B,"&gt;="&amp;$D5017,DATA_GOC!$B:$B,"&lt;="&amp;$E5017))</f>
        <v/>
      </c>
      <c r="J5017" s="59">
        <f t="shared" si="28"/>
        <v>0</v>
      </c>
      <c r="K5017" s="59">
        <f t="shared" si="29"/>
        <v>0</v>
      </c>
      <c r="L5017" s="59">
        <f t="shared" si="30"/>
        <v>0</v>
      </c>
      <c r="M5017" s="59">
        <f t="shared" si="31"/>
        <v>0</v>
      </c>
    </row>
    <row r="5018" ht="15.0" hidden="1" customHeight="1">
      <c r="A5018" s="59">
        <f t="shared" si="20"/>
        <v>80</v>
      </c>
      <c r="B5018" s="59" t="str">
        <f t="shared" si="21"/>
        <v/>
      </c>
      <c r="C5018" s="59" t="str">
        <f t="shared" si="22"/>
        <v/>
      </c>
      <c r="D5018" s="45" t="str">
        <f t="shared" si="23"/>
        <v/>
      </c>
      <c r="E5018" s="45" t="str">
        <f t="shared" si="24"/>
        <v/>
      </c>
      <c r="F5018" s="59" t="str">
        <f t="shared" si="25"/>
        <v/>
      </c>
      <c r="G5018" s="59" t="str">
        <f t="shared" si="26"/>
        <v/>
      </c>
      <c r="H5018" s="59" t="str">
        <f t="shared" si="27"/>
        <v>29E18160</v>
      </c>
      <c r="I5018" s="59" t="str">
        <f>IF(OR($A5018="",$C5018="",$D5018="",$E5018="",$H5018=""),"",SUMIFS(DATA_GOC!$H:$H,DATA_GOC!$A:$A,"BOM",DATA_GOC!$D:$D,$H5018,DATA_GOC!$E:$E,$C5018,DATA_GOC!$F:$F,"Xuất nội bộ từ téc",DATA_GOC!$B:$B,"&gt;="&amp;$D5018,DATA_GOC!$B:$B,"&lt;="&amp;$E5018))</f>
        <v/>
      </c>
      <c r="J5018" s="59">
        <f t="shared" si="28"/>
        <v>0</v>
      </c>
      <c r="K5018" s="59">
        <f t="shared" si="29"/>
        <v>0</v>
      </c>
      <c r="L5018" s="59">
        <f t="shared" si="30"/>
        <v>0</v>
      </c>
      <c r="M5018" s="59">
        <f t="shared" si="31"/>
        <v>0</v>
      </c>
    </row>
    <row r="5019" ht="15.0" hidden="1" customHeight="1">
      <c r="A5019" s="59">
        <f t="shared" si="20"/>
        <v>80</v>
      </c>
      <c r="B5019" s="59" t="str">
        <f t="shared" si="21"/>
        <v/>
      </c>
      <c r="C5019" s="59" t="str">
        <f t="shared" si="22"/>
        <v/>
      </c>
      <c r="D5019" s="45" t="str">
        <f t="shared" si="23"/>
        <v/>
      </c>
      <c r="E5019" s="45" t="str">
        <f t="shared" si="24"/>
        <v/>
      </c>
      <c r="F5019" s="59" t="str">
        <f t="shared" si="25"/>
        <v/>
      </c>
      <c r="G5019" s="59" t="str">
        <f t="shared" si="26"/>
        <v/>
      </c>
      <c r="H5019" s="59" t="str">
        <f t="shared" si="27"/>
        <v>Công trình Asphalt</v>
      </c>
      <c r="I5019" s="59" t="str">
        <f>IF(OR($A5019="",$C5019="",$D5019="",$E5019="",$H5019=""),"",SUMIFS(DATA_GOC!$H:$H,DATA_GOC!$A:$A,"BOM",DATA_GOC!$D:$D,$H5019,DATA_GOC!$E:$E,$C5019,DATA_GOC!$F:$F,"Xuất nội bộ từ téc",DATA_GOC!$B:$B,"&gt;="&amp;$D5019,DATA_GOC!$B:$B,"&lt;="&amp;$E5019))</f>
        <v/>
      </c>
      <c r="J5019" s="59">
        <f t="shared" si="28"/>
        <v>0</v>
      </c>
      <c r="K5019" s="59">
        <f t="shared" si="29"/>
        <v>0</v>
      </c>
      <c r="L5019" s="59">
        <f t="shared" si="30"/>
        <v>0</v>
      </c>
      <c r="M5019" s="59">
        <f t="shared" si="31"/>
        <v>0</v>
      </c>
    </row>
    <row r="5020" ht="15.0" hidden="1" customHeight="1">
      <c r="A5020" s="59">
        <f t="shared" si="20"/>
        <v>80</v>
      </c>
      <c r="B5020" s="59" t="str">
        <f t="shared" si="21"/>
        <v/>
      </c>
      <c r="C5020" s="59" t="str">
        <f t="shared" si="22"/>
        <v/>
      </c>
      <c r="D5020" s="45" t="str">
        <f t="shared" si="23"/>
        <v/>
      </c>
      <c r="E5020" s="45" t="str">
        <f t="shared" si="24"/>
        <v/>
      </c>
      <c r="F5020" s="59" t="str">
        <f t="shared" si="25"/>
        <v/>
      </c>
      <c r="G5020" s="59" t="str">
        <f t="shared" si="26"/>
        <v/>
      </c>
      <c r="H5020" s="59" t="str">
        <f t="shared" si="27"/>
        <v>LG53F</v>
      </c>
      <c r="I5020" s="59" t="str">
        <f>IF(OR($A5020="",$C5020="",$D5020="",$E5020="",$H5020=""),"",SUMIFS(DATA_GOC!$H:$H,DATA_GOC!$A:$A,"BOM",DATA_GOC!$D:$D,$H5020,DATA_GOC!$E:$E,$C5020,DATA_GOC!$F:$F,"Xuất nội bộ từ téc",DATA_GOC!$B:$B,"&gt;="&amp;$D5020,DATA_GOC!$B:$B,"&lt;="&amp;$E5020))</f>
        <v/>
      </c>
      <c r="J5020" s="59">
        <f t="shared" si="28"/>
        <v>0</v>
      </c>
      <c r="K5020" s="59">
        <f t="shared" si="29"/>
        <v>0</v>
      </c>
      <c r="L5020" s="59">
        <f t="shared" si="30"/>
        <v>0</v>
      </c>
      <c r="M5020" s="59">
        <f t="shared" si="31"/>
        <v>0</v>
      </c>
    </row>
    <row r="5021" ht="15.0" hidden="1" customHeight="1">
      <c r="A5021" s="59">
        <f t="shared" si="20"/>
        <v>80</v>
      </c>
      <c r="B5021" s="59" t="str">
        <f t="shared" si="21"/>
        <v/>
      </c>
      <c r="C5021" s="59" t="str">
        <f t="shared" si="22"/>
        <v/>
      </c>
      <c r="D5021" s="45" t="str">
        <f t="shared" si="23"/>
        <v/>
      </c>
      <c r="E5021" s="45" t="str">
        <f t="shared" si="24"/>
        <v/>
      </c>
      <c r="F5021" s="59" t="str">
        <f t="shared" si="25"/>
        <v/>
      </c>
      <c r="G5021" s="59" t="str">
        <f t="shared" si="26"/>
        <v/>
      </c>
      <c r="H5021" s="59" t="str">
        <f t="shared" si="27"/>
        <v>Máy phát điện</v>
      </c>
      <c r="I5021" s="59" t="str">
        <f>IF(OR($A5021="",$C5021="",$D5021="",$E5021="",$H5021=""),"",SUMIFS(DATA_GOC!$H:$H,DATA_GOC!$A:$A,"BOM",DATA_GOC!$D:$D,$H5021,DATA_GOC!$E:$E,$C5021,DATA_GOC!$F:$F,"Xuất nội bộ từ téc",DATA_GOC!$B:$B,"&gt;="&amp;$D5021,DATA_GOC!$B:$B,"&lt;="&amp;$E5021))</f>
        <v/>
      </c>
      <c r="J5021" s="59">
        <f t="shared" si="28"/>
        <v>0</v>
      </c>
      <c r="K5021" s="59">
        <f t="shared" si="29"/>
        <v>0</v>
      </c>
      <c r="L5021" s="59">
        <f t="shared" si="30"/>
        <v>0</v>
      </c>
      <c r="M5021" s="59">
        <f t="shared" si="31"/>
        <v>0</v>
      </c>
    </row>
    <row r="5022" ht="15.0" hidden="1" customHeight="1">
      <c r="A5022" s="59">
        <f t="shared" si="20"/>
        <v>80</v>
      </c>
      <c r="B5022" s="59" t="str">
        <f t="shared" si="21"/>
        <v/>
      </c>
      <c r="C5022" s="59" t="str">
        <f t="shared" si="22"/>
        <v/>
      </c>
      <c r="D5022" s="45" t="str">
        <f t="shared" si="23"/>
        <v/>
      </c>
      <c r="E5022" s="45" t="str">
        <f t="shared" si="24"/>
        <v/>
      </c>
      <c r="F5022" s="59" t="str">
        <f t="shared" si="25"/>
        <v/>
      </c>
      <c r="G5022" s="59" t="str">
        <f t="shared" si="26"/>
        <v/>
      </c>
      <c r="H5022" s="59" t="str">
        <f t="shared" si="27"/>
        <v>Máy rải thảm</v>
      </c>
      <c r="I5022" s="59" t="str">
        <f>IF(OR($A5022="",$C5022="",$D5022="",$E5022="",$H5022=""),"",SUMIFS(DATA_GOC!$H:$H,DATA_GOC!$A:$A,"BOM",DATA_GOC!$D:$D,$H5022,DATA_GOC!$E:$E,$C5022,DATA_GOC!$F:$F,"Xuất nội bộ từ téc",DATA_GOC!$B:$B,"&gt;="&amp;$D5022,DATA_GOC!$B:$B,"&lt;="&amp;$E5022))</f>
        <v/>
      </c>
      <c r="J5022" s="59">
        <f t="shared" si="28"/>
        <v>0</v>
      </c>
      <c r="K5022" s="59">
        <f t="shared" si="29"/>
        <v>0</v>
      </c>
      <c r="L5022" s="59">
        <f t="shared" si="30"/>
        <v>0</v>
      </c>
      <c r="M5022" s="59">
        <f t="shared" si="31"/>
        <v>0</v>
      </c>
    </row>
    <row r="5023" ht="15.0" hidden="1" customHeight="1">
      <c r="A5023" s="59">
        <f t="shared" si="20"/>
        <v>80</v>
      </c>
      <c r="B5023" s="59" t="str">
        <f t="shared" si="21"/>
        <v/>
      </c>
      <c r="C5023" s="59" t="str">
        <f t="shared" si="22"/>
        <v/>
      </c>
      <c r="D5023" s="45" t="str">
        <f t="shared" si="23"/>
        <v/>
      </c>
      <c r="E5023" s="45" t="str">
        <f t="shared" si="24"/>
        <v/>
      </c>
      <c r="F5023" s="59" t="str">
        <f t="shared" si="25"/>
        <v/>
      </c>
      <c r="G5023" s="59" t="str">
        <f t="shared" si="26"/>
        <v/>
      </c>
      <c r="H5023" s="59" t="str">
        <f t="shared" si="27"/>
        <v>Xúc Đào</v>
      </c>
      <c r="I5023" s="59" t="str">
        <f>IF(OR($A5023="",$C5023="",$D5023="",$E5023="",$H5023=""),"",SUMIFS(DATA_GOC!$H:$H,DATA_GOC!$A:$A,"BOM",DATA_GOC!$D:$D,$H5023,DATA_GOC!$E:$E,$C5023,DATA_GOC!$F:$F,"Xuất nội bộ từ téc",DATA_GOC!$B:$B,"&gt;="&amp;$D5023,DATA_GOC!$B:$B,"&lt;="&amp;$E5023))</f>
        <v/>
      </c>
      <c r="J5023" s="59">
        <f t="shared" si="28"/>
        <v>0</v>
      </c>
      <c r="K5023" s="59">
        <f t="shared" si="29"/>
        <v>0</v>
      </c>
      <c r="L5023" s="59">
        <f t="shared" si="30"/>
        <v>0</v>
      </c>
      <c r="M5023" s="59">
        <f t="shared" si="31"/>
        <v>0</v>
      </c>
    </row>
    <row r="5024" ht="15.0" hidden="1" customHeight="1">
      <c r="A5024" s="59">
        <f t="shared" si="20"/>
        <v>80</v>
      </c>
      <c r="B5024" s="59" t="str">
        <f t="shared" si="21"/>
        <v/>
      </c>
      <c r="C5024" s="59" t="str">
        <f t="shared" si="22"/>
        <v/>
      </c>
      <c r="D5024" s="45" t="str">
        <f t="shared" si="23"/>
        <v/>
      </c>
      <c r="E5024" s="45" t="str">
        <f t="shared" si="24"/>
        <v/>
      </c>
      <c r="F5024" s="59" t="str">
        <f t="shared" si="25"/>
        <v/>
      </c>
      <c r="G5024" s="59" t="str">
        <f t="shared" si="26"/>
        <v/>
      </c>
      <c r="H5024" s="59" t="str">
        <f t="shared" si="27"/>
        <v>Xúclật asphalt</v>
      </c>
      <c r="I5024" s="59" t="str">
        <f>IF(OR($A5024="",$C5024="",$D5024="",$E5024="",$H5024=""),"",SUMIFS(DATA_GOC!$H:$H,DATA_GOC!$A:$A,"BOM",DATA_GOC!$D:$D,$H5024,DATA_GOC!$E:$E,$C5024,DATA_GOC!$F:$F,"Xuất nội bộ từ téc",DATA_GOC!$B:$B,"&gt;="&amp;$D5024,DATA_GOC!$B:$B,"&lt;="&amp;$E5024))</f>
        <v/>
      </c>
      <c r="J5024" s="59">
        <f t="shared" si="28"/>
        <v>0</v>
      </c>
      <c r="K5024" s="59">
        <f t="shared" si="29"/>
        <v>0</v>
      </c>
      <c r="L5024" s="59">
        <f t="shared" si="30"/>
        <v>0</v>
      </c>
      <c r="M5024" s="59">
        <f t="shared" si="31"/>
        <v>0</v>
      </c>
    </row>
    <row r="5025" ht="15.0" hidden="1" customHeight="1">
      <c r="A5025" s="59">
        <f t="shared" si="20"/>
        <v>80</v>
      </c>
      <c r="B5025" s="59" t="str">
        <f t="shared" si="21"/>
        <v/>
      </c>
      <c r="C5025" s="59" t="str">
        <f t="shared" si="22"/>
        <v/>
      </c>
      <c r="D5025" s="45" t="str">
        <f t="shared" si="23"/>
        <v/>
      </c>
      <c r="E5025" s="45" t="str">
        <f t="shared" si="24"/>
        <v/>
      </c>
      <c r="F5025" s="59" t="str">
        <f t="shared" si="25"/>
        <v/>
      </c>
      <c r="G5025" s="59" t="str">
        <f t="shared" si="26"/>
        <v/>
      </c>
      <c r="H5025" s="59" t="str">
        <f t="shared" si="27"/>
        <v>Xúclật855H</v>
      </c>
      <c r="I5025" s="59" t="str">
        <f>IF(OR($A5025="",$C5025="",$D5025="",$E5025="",$H5025=""),"",SUMIFS(DATA_GOC!$H:$H,DATA_GOC!$A:$A,"BOM",DATA_GOC!$D:$D,$H5025,DATA_GOC!$E:$E,$C5025,DATA_GOC!$F:$F,"Xuất nội bộ từ téc",DATA_GOC!$B:$B,"&gt;="&amp;$D5025,DATA_GOC!$B:$B,"&lt;="&amp;$E5025))</f>
        <v/>
      </c>
      <c r="J5025" s="59">
        <f t="shared" si="28"/>
        <v>0</v>
      </c>
      <c r="K5025" s="59">
        <f t="shared" si="29"/>
        <v>0</v>
      </c>
      <c r="L5025" s="59">
        <f t="shared" si="30"/>
        <v>0</v>
      </c>
      <c r="M5025" s="59">
        <f t="shared" si="31"/>
        <v>0</v>
      </c>
    </row>
    <row r="5026" ht="15.0" hidden="1" customHeight="1">
      <c r="A5026" s="59">
        <f t="shared" si="20"/>
        <v>80</v>
      </c>
      <c r="B5026" s="59" t="str">
        <f t="shared" si="21"/>
        <v/>
      </c>
      <c r="C5026" s="59" t="str">
        <f t="shared" si="22"/>
        <v/>
      </c>
      <c r="D5026" s="45" t="str">
        <f t="shared" si="23"/>
        <v/>
      </c>
      <c r="E5026" s="45" t="str">
        <f t="shared" si="24"/>
        <v/>
      </c>
      <c r="F5026" s="59" t="str">
        <f t="shared" si="25"/>
        <v/>
      </c>
      <c r="G5026" s="59" t="str">
        <f t="shared" si="26"/>
        <v/>
      </c>
      <c r="H5026" s="59" t="str">
        <f t="shared" si="27"/>
        <v>Xúclật855N</v>
      </c>
      <c r="I5026" s="59" t="str">
        <f>IF(OR($A5026="",$C5026="",$D5026="",$E5026="",$H5026=""),"",SUMIFS(DATA_GOC!$H:$H,DATA_GOC!$A:$A,"BOM",DATA_GOC!$D:$D,$H5026,DATA_GOC!$E:$E,$C5026,DATA_GOC!$F:$F,"Xuất nội bộ từ téc",DATA_GOC!$B:$B,"&gt;="&amp;$D5026,DATA_GOC!$B:$B,"&lt;="&amp;$E5026))</f>
        <v/>
      </c>
      <c r="J5026" s="59">
        <f t="shared" si="28"/>
        <v>0</v>
      </c>
      <c r="K5026" s="59">
        <f t="shared" si="29"/>
        <v>0</v>
      </c>
      <c r="L5026" s="59">
        <f t="shared" si="30"/>
        <v>0</v>
      </c>
      <c r="M5026" s="59">
        <f t="shared" si="31"/>
        <v>0</v>
      </c>
    </row>
    <row r="5027" ht="15.0" hidden="1" customHeight="1">
      <c r="A5027" s="59">
        <f t="shared" si="20"/>
        <v>80</v>
      </c>
      <c r="B5027" s="59" t="str">
        <f t="shared" si="21"/>
        <v/>
      </c>
      <c r="C5027" s="59" t="str">
        <f t="shared" si="22"/>
        <v/>
      </c>
      <c r="D5027" s="45" t="str">
        <f t="shared" si="23"/>
        <v/>
      </c>
      <c r="E5027" s="45" t="str">
        <f t="shared" si="24"/>
        <v/>
      </c>
      <c r="F5027" s="59" t="str">
        <f t="shared" si="25"/>
        <v/>
      </c>
      <c r="G5027" s="59" t="str">
        <f t="shared" si="26"/>
        <v/>
      </c>
      <c r="H5027" s="59" t="str">
        <f t="shared" si="27"/>
        <v>Cát nghiền</v>
      </c>
      <c r="I5027" s="59" t="str">
        <f>IF(OR($A5027="",$C5027="",$D5027="",$E5027="",$H5027=""),"",SUMIFS(DATA_GOC!$H:$H,DATA_GOC!$A:$A,"BOM",DATA_GOC!$D:$D,$H5027,DATA_GOC!$E:$E,$C5027,DATA_GOC!$F:$F,"Xuất nội bộ từ téc",DATA_GOC!$B:$B,"&gt;="&amp;$D5027,DATA_GOC!$B:$B,"&lt;="&amp;$E5027))</f>
        <v/>
      </c>
      <c r="J5027" s="59">
        <f t="shared" si="28"/>
        <v>0</v>
      </c>
      <c r="K5027" s="59">
        <f t="shared" si="29"/>
        <v>0</v>
      </c>
      <c r="L5027" s="59">
        <f t="shared" si="30"/>
        <v>0</v>
      </c>
      <c r="M5027" s="59">
        <f t="shared" si="31"/>
        <v>0</v>
      </c>
    </row>
    <row r="5028" ht="15.0" hidden="1" customHeight="1">
      <c r="A5028" s="59">
        <f t="shared" si="20"/>
        <v>80</v>
      </c>
      <c r="B5028" s="59" t="str">
        <f t="shared" si="21"/>
        <v/>
      </c>
      <c r="C5028" s="59" t="str">
        <f t="shared" si="22"/>
        <v/>
      </c>
      <c r="D5028" s="45" t="str">
        <f t="shared" si="23"/>
        <v/>
      </c>
      <c r="E5028" s="45" t="str">
        <f t="shared" si="24"/>
        <v/>
      </c>
      <c r="F5028" s="59" t="str">
        <f t="shared" si="25"/>
        <v/>
      </c>
      <c r="G5028" s="59" t="str">
        <f t="shared" si="26"/>
        <v/>
      </c>
      <c r="H5028" s="59" t="str">
        <f t="shared" si="27"/>
        <v>28C02973</v>
      </c>
      <c r="I5028" s="59" t="str">
        <f>IF(OR($A5028="",$C5028="",$D5028="",$E5028="",$H5028=""),"",SUMIFS(DATA_GOC!$H:$H,DATA_GOC!$A:$A,"BOM",DATA_GOC!$D:$D,$H5028,DATA_GOC!$E:$E,$C5028,DATA_GOC!$F:$F,"Xuất nội bộ từ téc",DATA_GOC!$B:$B,"&gt;="&amp;$D5028,DATA_GOC!$B:$B,"&lt;="&amp;$E5028))</f>
        <v/>
      </c>
      <c r="J5028" s="59">
        <f t="shared" si="28"/>
        <v>0</v>
      </c>
      <c r="K5028" s="59">
        <f t="shared" si="29"/>
        <v>0</v>
      </c>
      <c r="L5028" s="59">
        <f t="shared" si="30"/>
        <v>0</v>
      </c>
      <c r="M5028" s="59">
        <f t="shared" si="31"/>
        <v>0</v>
      </c>
    </row>
    <row r="5029" ht="15.0" hidden="1" customHeight="1">
      <c r="A5029" s="59">
        <f t="shared" si="20"/>
        <v>80</v>
      </c>
      <c r="B5029" s="59" t="str">
        <f t="shared" si="21"/>
        <v/>
      </c>
      <c r="C5029" s="59" t="str">
        <f t="shared" si="22"/>
        <v/>
      </c>
      <c r="D5029" s="45" t="str">
        <f t="shared" si="23"/>
        <v/>
      </c>
      <c r="E5029" s="45" t="str">
        <f t="shared" si="24"/>
        <v/>
      </c>
      <c r="F5029" s="59" t="str">
        <f t="shared" si="25"/>
        <v/>
      </c>
      <c r="G5029" s="59" t="str">
        <f t="shared" si="26"/>
        <v/>
      </c>
      <c r="H5029" s="59" t="str">
        <f t="shared" si="27"/>
        <v>28C03044</v>
      </c>
      <c r="I5029" s="59" t="str">
        <f>IF(OR($A5029="",$C5029="",$D5029="",$E5029="",$H5029=""),"",SUMIFS(DATA_GOC!$H:$H,DATA_GOC!$A:$A,"BOM",DATA_GOC!$D:$D,$H5029,DATA_GOC!$E:$E,$C5029,DATA_GOC!$F:$F,"Xuất nội bộ từ téc",DATA_GOC!$B:$B,"&gt;="&amp;$D5029,DATA_GOC!$B:$B,"&lt;="&amp;$E5029))</f>
        <v/>
      </c>
      <c r="J5029" s="59">
        <f t="shared" si="28"/>
        <v>0</v>
      </c>
      <c r="K5029" s="59">
        <f t="shared" si="29"/>
        <v>0</v>
      </c>
      <c r="L5029" s="59">
        <f t="shared" si="30"/>
        <v>0</v>
      </c>
      <c r="M5029" s="59">
        <f t="shared" si="31"/>
        <v>0</v>
      </c>
    </row>
    <row r="5030" ht="15.0" hidden="1" customHeight="1">
      <c r="A5030" s="59">
        <f t="shared" si="20"/>
        <v>80</v>
      </c>
      <c r="B5030" s="59" t="str">
        <f t="shared" si="21"/>
        <v/>
      </c>
      <c r="C5030" s="59" t="str">
        <f t="shared" si="22"/>
        <v/>
      </c>
      <c r="D5030" s="45" t="str">
        <f t="shared" si="23"/>
        <v/>
      </c>
      <c r="E5030" s="45" t="str">
        <f t="shared" si="24"/>
        <v/>
      </c>
      <c r="F5030" s="59" t="str">
        <f t="shared" si="25"/>
        <v/>
      </c>
      <c r="G5030" s="59" t="str">
        <f t="shared" si="26"/>
        <v/>
      </c>
      <c r="H5030" s="59" t="str">
        <f t="shared" si="27"/>
        <v>Máy lu lốp</v>
      </c>
      <c r="I5030" s="59" t="str">
        <f>IF(OR($A5030="",$C5030="",$D5030="",$E5030="",$H5030=""),"",SUMIFS(DATA_GOC!$H:$H,DATA_GOC!$A:$A,"BOM",DATA_GOC!$D:$D,$H5030,DATA_GOC!$E:$E,$C5030,DATA_GOC!$F:$F,"Xuất nội bộ từ téc",DATA_GOC!$B:$B,"&gt;="&amp;$D5030,DATA_GOC!$B:$B,"&lt;="&amp;$E5030))</f>
        <v/>
      </c>
      <c r="J5030" s="59">
        <f t="shared" si="28"/>
        <v>0</v>
      </c>
      <c r="K5030" s="59">
        <f t="shared" si="29"/>
        <v>0</v>
      </c>
      <c r="L5030" s="59">
        <f t="shared" si="30"/>
        <v>0</v>
      </c>
      <c r="M5030" s="59">
        <f t="shared" si="31"/>
        <v>0</v>
      </c>
    </row>
    <row r="5031" ht="15.0" hidden="1" customHeight="1">
      <c r="A5031" s="59">
        <f t="shared" si="20"/>
        <v>80</v>
      </c>
      <c r="B5031" s="59" t="str">
        <f t="shared" si="21"/>
        <v/>
      </c>
      <c r="C5031" s="59" t="str">
        <f t="shared" si="22"/>
        <v/>
      </c>
      <c r="D5031" s="45" t="str">
        <f t="shared" si="23"/>
        <v/>
      </c>
      <c r="E5031" s="45" t="str">
        <f t="shared" si="24"/>
        <v/>
      </c>
      <c r="F5031" s="59" t="str">
        <f t="shared" si="25"/>
        <v/>
      </c>
      <c r="G5031" s="59" t="str">
        <f t="shared" si="26"/>
        <v/>
      </c>
      <c r="H5031" s="59" t="str">
        <f t="shared" si="27"/>
        <v>Xe 600148</v>
      </c>
      <c r="I5031" s="59" t="str">
        <f>IF(OR($A5031="",$C5031="",$D5031="",$E5031="",$H5031=""),"",SUMIFS(DATA_GOC!$H:$H,DATA_GOC!$A:$A,"BOM",DATA_GOC!$D:$D,$H5031,DATA_GOC!$E:$E,$C5031,DATA_GOC!$F:$F,"Xuất nội bộ từ téc",DATA_GOC!$B:$B,"&gt;="&amp;$D5031,DATA_GOC!$B:$B,"&lt;="&amp;$E5031))</f>
        <v/>
      </c>
      <c r="J5031" s="59">
        <f t="shared" si="28"/>
        <v>0</v>
      </c>
      <c r="K5031" s="59">
        <f t="shared" si="29"/>
        <v>0</v>
      </c>
      <c r="L5031" s="59">
        <f t="shared" si="30"/>
        <v>0</v>
      </c>
      <c r="M5031" s="59">
        <f t="shared" si="31"/>
        <v>0</v>
      </c>
    </row>
    <row r="5032" ht="15.0" hidden="1" customHeight="1">
      <c r="A5032" s="59">
        <f t="shared" si="20"/>
        <v>80</v>
      </c>
      <c r="B5032" s="59" t="str">
        <f t="shared" si="21"/>
        <v/>
      </c>
      <c r="C5032" s="59" t="str">
        <f t="shared" si="22"/>
        <v/>
      </c>
      <c r="D5032" s="45" t="str">
        <f t="shared" si="23"/>
        <v/>
      </c>
      <c r="E5032" s="45" t="str">
        <f t="shared" si="24"/>
        <v/>
      </c>
      <c r="F5032" s="59" t="str">
        <f t="shared" si="25"/>
        <v/>
      </c>
      <c r="G5032" s="59" t="str">
        <f t="shared" si="26"/>
        <v/>
      </c>
      <c r="H5032" s="59" t="str">
        <f t="shared" si="27"/>
        <v>Xe ben mới</v>
      </c>
      <c r="I5032" s="59" t="str">
        <f>IF(OR($A5032="",$C5032="",$D5032="",$E5032="",$H5032=""),"",SUMIFS(DATA_GOC!$H:$H,DATA_GOC!$A:$A,"BOM",DATA_GOC!$D:$D,$H5032,DATA_GOC!$E:$E,$C5032,DATA_GOC!$F:$F,"Xuất nội bộ từ téc",DATA_GOC!$B:$B,"&gt;="&amp;$D5032,DATA_GOC!$B:$B,"&lt;="&amp;$E5032))</f>
        <v/>
      </c>
      <c r="J5032" s="59">
        <f t="shared" si="28"/>
        <v>0</v>
      </c>
      <c r="K5032" s="59">
        <f t="shared" si="29"/>
        <v>0</v>
      </c>
      <c r="L5032" s="59">
        <f t="shared" si="30"/>
        <v>0</v>
      </c>
      <c r="M5032" s="59">
        <f t="shared" si="31"/>
        <v>0</v>
      </c>
    </row>
    <row r="5033" ht="15.0" hidden="1" customHeight="1">
      <c r="A5033" s="59">
        <f t="shared" si="20"/>
        <v>81</v>
      </c>
      <c r="B5033" s="59" t="str">
        <f t="shared" si="21"/>
        <v/>
      </c>
      <c r="C5033" s="59" t="str">
        <f t="shared" si="22"/>
        <v/>
      </c>
      <c r="D5033" s="45" t="str">
        <f t="shared" si="23"/>
        <v/>
      </c>
      <c r="E5033" s="45" t="str">
        <f t="shared" si="24"/>
        <v/>
      </c>
      <c r="F5033" s="59" t="str">
        <f t="shared" si="25"/>
        <v/>
      </c>
      <c r="G5033" s="59" t="str">
        <f t="shared" si="26"/>
        <v/>
      </c>
      <c r="H5033" s="59" t="str">
        <f t="shared" si="27"/>
        <v>19H09482</v>
      </c>
      <c r="I5033" s="59" t="str">
        <f>IF(OR($A5033="",$C5033="",$D5033="",$E5033="",$H5033=""),"",SUMIFS(DATA_GOC!$H:$H,DATA_GOC!$A:$A,"BOM",DATA_GOC!$D:$D,$H5033,DATA_GOC!$E:$E,$C5033,DATA_GOC!$F:$F,"Xuất nội bộ từ téc",DATA_GOC!$B:$B,"&gt;="&amp;$D5033,DATA_GOC!$B:$B,"&lt;="&amp;$E5033))</f>
        <v/>
      </c>
      <c r="J5033" s="59">
        <f t="shared" si="28"/>
        <v>0</v>
      </c>
      <c r="K5033" s="59">
        <f t="shared" si="29"/>
        <v>0</v>
      </c>
      <c r="L5033" s="59">
        <f t="shared" si="30"/>
        <v>0</v>
      </c>
      <c r="M5033" s="59">
        <f t="shared" si="31"/>
        <v>0</v>
      </c>
    </row>
    <row r="5034" ht="15.0" hidden="1" customHeight="1">
      <c r="A5034" s="59">
        <f t="shared" si="20"/>
        <v>81</v>
      </c>
      <c r="B5034" s="59" t="str">
        <f t="shared" si="21"/>
        <v/>
      </c>
      <c r="C5034" s="59" t="str">
        <f t="shared" si="22"/>
        <v/>
      </c>
      <c r="D5034" s="45" t="str">
        <f t="shared" si="23"/>
        <v/>
      </c>
      <c r="E5034" s="45" t="str">
        <f t="shared" si="24"/>
        <v/>
      </c>
      <c r="F5034" s="59" t="str">
        <f t="shared" si="25"/>
        <v/>
      </c>
      <c r="G5034" s="59" t="str">
        <f t="shared" si="26"/>
        <v/>
      </c>
      <c r="H5034" s="59" t="str">
        <f t="shared" si="27"/>
        <v>28A30696</v>
      </c>
      <c r="I5034" s="59" t="str">
        <f>IF(OR($A5034="",$C5034="",$D5034="",$E5034="",$H5034=""),"",SUMIFS(DATA_GOC!$H:$H,DATA_GOC!$A:$A,"BOM",DATA_GOC!$D:$D,$H5034,DATA_GOC!$E:$E,$C5034,DATA_GOC!$F:$F,"Xuất nội bộ từ téc",DATA_GOC!$B:$B,"&gt;="&amp;$D5034,DATA_GOC!$B:$B,"&lt;="&amp;$E5034))</f>
        <v/>
      </c>
      <c r="J5034" s="59">
        <f t="shared" si="28"/>
        <v>0</v>
      </c>
      <c r="K5034" s="59">
        <f t="shared" si="29"/>
        <v>0</v>
      </c>
      <c r="L5034" s="59">
        <f t="shared" si="30"/>
        <v>0</v>
      </c>
      <c r="M5034" s="59">
        <f t="shared" si="31"/>
        <v>0</v>
      </c>
    </row>
    <row r="5035" ht="15.0" hidden="1" customHeight="1">
      <c r="A5035" s="59">
        <f t="shared" si="20"/>
        <v>81</v>
      </c>
      <c r="B5035" s="59" t="str">
        <f t="shared" si="21"/>
        <v/>
      </c>
      <c r="C5035" s="59" t="str">
        <f t="shared" si="22"/>
        <v/>
      </c>
      <c r="D5035" s="45" t="str">
        <f t="shared" si="23"/>
        <v/>
      </c>
      <c r="E5035" s="45" t="str">
        <f t="shared" si="24"/>
        <v/>
      </c>
      <c r="F5035" s="59" t="str">
        <f t="shared" si="25"/>
        <v/>
      </c>
      <c r="G5035" s="59" t="str">
        <f t="shared" si="26"/>
        <v/>
      </c>
      <c r="H5035" s="59" t="str">
        <f t="shared" si="27"/>
        <v>28C00462</v>
      </c>
      <c r="I5035" s="59" t="str">
        <f>IF(OR($A5035="",$C5035="",$D5035="",$E5035="",$H5035=""),"",SUMIFS(DATA_GOC!$H:$H,DATA_GOC!$A:$A,"BOM",DATA_GOC!$D:$D,$H5035,DATA_GOC!$E:$E,$C5035,DATA_GOC!$F:$F,"Xuất nội bộ từ téc",DATA_GOC!$B:$B,"&gt;="&amp;$D5035,DATA_GOC!$B:$B,"&lt;="&amp;$E5035))</f>
        <v/>
      </c>
      <c r="J5035" s="59">
        <f t="shared" si="28"/>
        <v>0</v>
      </c>
      <c r="K5035" s="59">
        <f t="shared" si="29"/>
        <v>0</v>
      </c>
      <c r="L5035" s="59">
        <f t="shared" si="30"/>
        <v>0</v>
      </c>
      <c r="M5035" s="59">
        <f t="shared" si="31"/>
        <v>0</v>
      </c>
    </row>
    <row r="5036" ht="15.0" hidden="1" customHeight="1">
      <c r="A5036" s="59">
        <f t="shared" si="20"/>
        <v>81</v>
      </c>
      <c r="B5036" s="59" t="str">
        <f t="shared" si="21"/>
        <v/>
      </c>
      <c r="C5036" s="59" t="str">
        <f t="shared" si="22"/>
        <v/>
      </c>
      <c r="D5036" s="45" t="str">
        <f t="shared" si="23"/>
        <v/>
      </c>
      <c r="E5036" s="45" t="str">
        <f t="shared" si="24"/>
        <v/>
      </c>
      <c r="F5036" s="59" t="str">
        <f t="shared" si="25"/>
        <v/>
      </c>
      <c r="G5036" s="59" t="str">
        <f t="shared" si="26"/>
        <v/>
      </c>
      <c r="H5036" s="59" t="str">
        <f t="shared" si="27"/>
        <v>28C01165</v>
      </c>
      <c r="I5036" s="59" t="str">
        <f>IF(OR($A5036="",$C5036="",$D5036="",$E5036="",$H5036=""),"",SUMIFS(DATA_GOC!$H:$H,DATA_GOC!$A:$A,"BOM",DATA_GOC!$D:$D,$H5036,DATA_GOC!$E:$E,$C5036,DATA_GOC!$F:$F,"Xuất nội bộ từ téc",DATA_GOC!$B:$B,"&gt;="&amp;$D5036,DATA_GOC!$B:$B,"&lt;="&amp;$E5036))</f>
        <v/>
      </c>
      <c r="J5036" s="59">
        <f t="shared" si="28"/>
        <v>0</v>
      </c>
      <c r="K5036" s="59">
        <f t="shared" si="29"/>
        <v>0</v>
      </c>
      <c r="L5036" s="59">
        <f t="shared" si="30"/>
        <v>0</v>
      </c>
      <c r="M5036" s="59">
        <f t="shared" si="31"/>
        <v>0</v>
      </c>
    </row>
    <row r="5037" ht="15.0" hidden="1" customHeight="1">
      <c r="A5037" s="59">
        <f t="shared" si="20"/>
        <v>81</v>
      </c>
      <c r="B5037" s="59" t="str">
        <f t="shared" si="21"/>
        <v/>
      </c>
      <c r="C5037" s="59" t="str">
        <f t="shared" si="22"/>
        <v/>
      </c>
      <c r="D5037" s="45" t="str">
        <f t="shared" si="23"/>
        <v/>
      </c>
      <c r="E5037" s="45" t="str">
        <f t="shared" si="24"/>
        <v/>
      </c>
      <c r="F5037" s="59" t="str">
        <f t="shared" si="25"/>
        <v/>
      </c>
      <c r="G5037" s="59" t="str">
        <f t="shared" si="26"/>
        <v/>
      </c>
      <c r="H5037" s="59" t="str">
        <f t="shared" si="27"/>
        <v>28C01406</v>
      </c>
      <c r="I5037" s="59" t="str">
        <f>IF(OR($A5037="",$C5037="",$D5037="",$E5037="",$H5037=""),"",SUMIFS(DATA_GOC!$H:$H,DATA_GOC!$A:$A,"BOM",DATA_GOC!$D:$D,$H5037,DATA_GOC!$E:$E,$C5037,DATA_GOC!$F:$F,"Xuất nội bộ từ téc",DATA_GOC!$B:$B,"&gt;="&amp;$D5037,DATA_GOC!$B:$B,"&lt;="&amp;$E5037))</f>
        <v/>
      </c>
      <c r="J5037" s="59">
        <f t="shared" si="28"/>
        <v>0</v>
      </c>
      <c r="K5037" s="59">
        <f t="shared" si="29"/>
        <v>0</v>
      </c>
      <c r="L5037" s="59">
        <f t="shared" si="30"/>
        <v>0</v>
      </c>
      <c r="M5037" s="59">
        <f t="shared" si="31"/>
        <v>0</v>
      </c>
    </row>
    <row r="5038" ht="15.0" hidden="1" customHeight="1">
      <c r="A5038" s="59">
        <f t="shared" si="20"/>
        <v>81</v>
      </c>
      <c r="B5038" s="59" t="str">
        <f t="shared" si="21"/>
        <v/>
      </c>
      <c r="C5038" s="59" t="str">
        <f t="shared" si="22"/>
        <v/>
      </c>
      <c r="D5038" s="45" t="str">
        <f t="shared" si="23"/>
        <v/>
      </c>
      <c r="E5038" s="45" t="str">
        <f t="shared" si="24"/>
        <v/>
      </c>
      <c r="F5038" s="59" t="str">
        <f t="shared" si="25"/>
        <v/>
      </c>
      <c r="G5038" s="59" t="str">
        <f t="shared" si="26"/>
        <v/>
      </c>
      <c r="H5038" s="59" t="str">
        <f t="shared" si="27"/>
        <v>28C01544</v>
      </c>
      <c r="I5038" s="59" t="str">
        <f>IF(OR($A5038="",$C5038="",$D5038="",$E5038="",$H5038=""),"",SUMIFS(DATA_GOC!$H:$H,DATA_GOC!$A:$A,"BOM",DATA_GOC!$D:$D,$H5038,DATA_GOC!$E:$E,$C5038,DATA_GOC!$F:$F,"Xuất nội bộ từ téc",DATA_GOC!$B:$B,"&gt;="&amp;$D5038,DATA_GOC!$B:$B,"&lt;="&amp;$E5038))</f>
        <v/>
      </c>
      <c r="J5038" s="59">
        <f t="shared" si="28"/>
        <v>0</v>
      </c>
      <c r="K5038" s="59">
        <f t="shared" si="29"/>
        <v>0</v>
      </c>
      <c r="L5038" s="59">
        <f t="shared" si="30"/>
        <v>0</v>
      </c>
      <c r="M5038" s="59">
        <f t="shared" si="31"/>
        <v>0</v>
      </c>
    </row>
    <row r="5039" ht="15.0" hidden="1" customHeight="1">
      <c r="A5039" s="59">
        <f t="shared" si="20"/>
        <v>81</v>
      </c>
      <c r="B5039" s="59" t="str">
        <f t="shared" si="21"/>
        <v/>
      </c>
      <c r="C5039" s="59" t="str">
        <f t="shared" si="22"/>
        <v/>
      </c>
      <c r="D5039" s="45" t="str">
        <f t="shared" si="23"/>
        <v/>
      </c>
      <c r="E5039" s="45" t="str">
        <f t="shared" si="24"/>
        <v/>
      </c>
      <c r="F5039" s="59" t="str">
        <f t="shared" si="25"/>
        <v/>
      </c>
      <c r="G5039" s="59" t="str">
        <f t="shared" si="26"/>
        <v/>
      </c>
      <c r="H5039" s="59" t="str">
        <f t="shared" si="27"/>
        <v>28C01622</v>
      </c>
      <c r="I5039" s="59" t="str">
        <f>IF(OR($A5039="",$C5039="",$D5039="",$E5039="",$H5039=""),"",SUMIFS(DATA_GOC!$H:$H,DATA_GOC!$A:$A,"BOM",DATA_GOC!$D:$D,$H5039,DATA_GOC!$E:$E,$C5039,DATA_GOC!$F:$F,"Xuất nội bộ từ téc",DATA_GOC!$B:$B,"&gt;="&amp;$D5039,DATA_GOC!$B:$B,"&lt;="&amp;$E5039))</f>
        <v/>
      </c>
      <c r="J5039" s="59">
        <f t="shared" si="28"/>
        <v>0</v>
      </c>
      <c r="K5039" s="59">
        <f t="shared" si="29"/>
        <v>0</v>
      </c>
      <c r="L5039" s="59">
        <f t="shared" si="30"/>
        <v>0</v>
      </c>
      <c r="M5039" s="59">
        <f t="shared" si="31"/>
        <v>0</v>
      </c>
    </row>
    <row r="5040" ht="15.0" hidden="1" customHeight="1">
      <c r="A5040" s="59">
        <f t="shared" si="20"/>
        <v>81</v>
      </c>
      <c r="B5040" s="59" t="str">
        <f t="shared" si="21"/>
        <v/>
      </c>
      <c r="C5040" s="59" t="str">
        <f t="shared" si="22"/>
        <v/>
      </c>
      <c r="D5040" s="45" t="str">
        <f t="shared" si="23"/>
        <v/>
      </c>
      <c r="E5040" s="45" t="str">
        <f t="shared" si="24"/>
        <v/>
      </c>
      <c r="F5040" s="59" t="str">
        <f t="shared" si="25"/>
        <v/>
      </c>
      <c r="G5040" s="59" t="str">
        <f t="shared" si="26"/>
        <v/>
      </c>
      <c r="H5040" s="59" t="str">
        <f t="shared" si="27"/>
        <v>28C01647</v>
      </c>
      <c r="I5040" s="59" t="str">
        <f>IF(OR($A5040="",$C5040="",$D5040="",$E5040="",$H5040=""),"",SUMIFS(DATA_GOC!$H:$H,DATA_GOC!$A:$A,"BOM",DATA_GOC!$D:$D,$H5040,DATA_GOC!$E:$E,$C5040,DATA_GOC!$F:$F,"Xuất nội bộ từ téc",DATA_GOC!$B:$B,"&gt;="&amp;$D5040,DATA_GOC!$B:$B,"&lt;="&amp;$E5040))</f>
        <v/>
      </c>
      <c r="J5040" s="59">
        <f t="shared" si="28"/>
        <v>0</v>
      </c>
      <c r="K5040" s="59">
        <f t="shared" si="29"/>
        <v>0</v>
      </c>
      <c r="L5040" s="59">
        <f t="shared" si="30"/>
        <v>0</v>
      </c>
      <c r="M5040" s="59">
        <f t="shared" si="31"/>
        <v>0</v>
      </c>
    </row>
    <row r="5041" ht="15.0" hidden="1" customHeight="1">
      <c r="A5041" s="59">
        <f t="shared" si="20"/>
        <v>81</v>
      </c>
      <c r="B5041" s="59" t="str">
        <f t="shared" si="21"/>
        <v/>
      </c>
      <c r="C5041" s="59" t="str">
        <f t="shared" si="22"/>
        <v/>
      </c>
      <c r="D5041" s="45" t="str">
        <f t="shared" si="23"/>
        <v/>
      </c>
      <c r="E5041" s="45" t="str">
        <f t="shared" si="24"/>
        <v/>
      </c>
      <c r="F5041" s="59" t="str">
        <f t="shared" si="25"/>
        <v/>
      </c>
      <c r="G5041" s="59" t="str">
        <f t="shared" si="26"/>
        <v/>
      </c>
      <c r="H5041" s="59" t="str">
        <f t="shared" si="27"/>
        <v>28C01731</v>
      </c>
      <c r="I5041" s="59" t="str">
        <f>IF(OR($A5041="",$C5041="",$D5041="",$E5041="",$H5041=""),"",SUMIFS(DATA_GOC!$H:$H,DATA_GOC!$A:$A,"BOM",DATA_GOC!$D:$D,$H5041,DATA_GOC!$E:$E,$C5041,DATA_GOC!$F:$F,"Xuất nội bộ từ téc",DATA_GOC!$B:$B,"&gt;="&amp;$D5041,DATA_GOC!$B:$B,"&lt;="&amp;$E5041))</f>
        <v/>
      </c>
      <c r="J5041" s="59">
        <f t="shared" si="28"/>
        <v>0</v>
      </c>
      <c r="K5041" s="59">
        <f t="shared" si="29"/>
        <v>0</v>
      </c>
      <c r="L5041" s="59">
        <f t="shared" si="30"/>
        <v>0</v>
      </c>
      <c r="M5041" s="59">
        <f t="shared" si="31"/>
        <v>0</v>
      </c>
    </row>
    <row r="5042" ht="15.0" hidden="1" customHeight="1">
      <c r="A5042" s="59">
        <f t="shared" si="20"/>
        <v>81</v>
      </c>
      <c r="B5042" s="59" t="str">
        <f t="shared" si="21"/>
        <v/>
      </c>
      <c r="C5042" s="59" t="str">
        <f t="shared" si="22"/>
        <v/>
      </c>
      <c r="D5042" s="45" t="str">
        <f t="shared" si="23"/>
        <v/>
      </c>
      <c r="E5042" s="45" t="str">
        <f t="shared" si="24"/>
        <v/>
      </c>
      <c r="F5042" s="59" t="str">
        <f t="shared" si="25"/>
        <v/>
      </c>
      <c r="G5042" s="59" t="str">
        <f t="shared" si="26"/>
        <v/>
      </c>
      <c r="H5042" s="59" t="str">
        <f t="shared" si="27"/>
        <v>28C01743</v>
      </c>
      <c r="I5042" s="59" t="str">
        <f>IF(OR($A5042="",$C5042="",$D5042="",$E5042="",$H5042=""),"",SUMIFS(DATA_GOC!$H:$H,DATA_GOC!$A:$A,"BOM",DATA_GOC!$D:$D,$H5042,DATA_GOC!$E:$E,$C5042,DATA_GOC!$F:$F,"Xuất nội bộ từ téc",DATA_GOC!$B:$B,"&gt;="&amp;$D5042,DATA_GOC!$B:$B,"&lt;="&amp;$E5042))</f>
        <v/>
      </c>
      <c r="J5042" s="59">
        <f t="shared" si="28"/>
        <v>0</v>
      </c>
      <c r="K5042" s="59">
        <f t="shared" si="29"/>
        <v>0</v>
      </c>
      <c r="L5042" s="59">
        <f t="shared" si="30"/>
        <v>0</v>
      </c>
      <c r="M5042" s="59">
        <f t="shared" si="31"/>
        <v>0</v>
      </c>
    </row>
    <row r="5043" ht="15.0" hidden="1" customHeight="1">
      <c r="A5043" s="59">
        <f t="shared" si="20"/>
        <v>81</v>
      </c>
      <c r="B5043" s="59" t="str">
        <f t="shared" si="21"/>
        <v/>
      </c>
      <c r="C5043" s="59" t="str">
        <f t="shared" si="22"/>
        <v/>
      </c>
      <c r="D5043" s="45" t="str">
        <f t="shared" si="23"/>
        <v/>
      </c>
      <c r="E5043" s="45" t="str">
        <f t="shared" si="24"/>
        <v/>
      </c>
      <c r="F5043" s="59" t="str">
        <f t="shared" si="25"/>
        <v/>
      </c>
      <c r="G5043" s="59" t="str">
        <f t="shared" si="26"/>
        <v/>
      </c>
      <c r="H5043" s="59" t="str">
        <f t="shared" si="27"/>
        <v>28C02106</v>
      </c>
      <c r="I5043" s="59" t="str">
        <f>IF(OR($A5043="",$C5043="",$D5043="",$E5043="",$H5043=""),"",SUMIFS(DATA_GOC!$H:$H,DATA_GOC!$A:$A,"BOM",DATA_GOC!$D:$D,$H5043,DATA_GOC!$E:$E,$C5043,DATA_GOC!$F:$F,"Xuất nội bộ từ téc",DATA_GOC!$B:$B,"&gt;="&amp;$D5043,DATA_GOC!$B:$B,"&lt;="&amp;$E5043))</f>
        <v/>
      </c>
      <c r="J5043" s="59">
        <f t="shared" si="28"/>
        <v>0</v>
      </c>
      <c r="K5043" s="59">
        <f t="shared" si="29"/>
        <v>0</v>
      </c>
      <c r="L5043" s="59">
        <f t="shared" si="30"/>
        <v>0</v>
      </c>
      <c r="M5043" s="59">
        <f t="shared" si="31"/>
        <v>0</v>
      </c>
    </row>
    <row r="5044" ht="15.0" hidden="1" customHeight="1">
      <c r="A5044" s="59">
        <f t="shared" si="20"/>
        <v>81</v>
      </c>
      <c r="B5044" s="59" t="str">
        <f t="shared" si="21"/>
        <v/>
      </c>
      <c r="C5044" s="59" t="str">
        <f t="shared" si="22"/>
        <v/>
      </c>
      <c r="D5044" s="45" t="str">
        <f t="shared" si="23"/>
        <v/>
      </c>
      <c r="E5044" s="45" t="str">
        <f t="shared" si="24"/>
        <v/>
      </c>
      <c r="F5044" s="59" t="str">
        <f t="shared" si="25"/>
        <v/>
      </c>
      <c r="G5044" s="59" t="str">
        <f t="shared" si="26"/>
        <v/>
      </c>
      <c r="H5044" s="59" t="str">
        <f t="shared" si="27"/>
        <v>28C02410</v>
      </c>
      <c r="I5044" s="59" t="str">
        <f>IF(OR($A5044="",$C5044="",$D5044="",$E5044="",$H5044=""),"",SUMIFS(DATA_GOC!$H:$H,DATA_GOC!$A:$A,"BOM",DATA_GOC!$D:$D,$H5044,DATA_GOC!$E:$E,$C5044,DATA_GOC!$F:$F,"Xuất nội bộ từ téc",DATA_GOC!$B:$B,"&gt;="&amp;$D5044,DATA_GOC!$B:$B,"&lt;="&amp;$E5044))</f>
        <v/>
      </c>
      <c r="J5044" s="59">
        <f t="shared" si="28"/>
        <v>0</v>
      </c>
      <c r="K5044" s="59">
        <f t="shared" si="29"/>
        <v>0</v>
      </c>
      <c r="L5044" s="59">
        <f t="shared" si="30"/>
        <v>0</v>
      </c>
      <c r="M5044" s="59">
        <f t="shared" si="31"/>
        <v>0</v>
      </c>
    </row>
    <row r="5045" ht="15.0" hidden="1" customHeight="1">
      <c r="A5045" s="59">
        <f t="shared" si="20"/>
        <v>81</v>
      </c>
      <c r="B5045" s="59" t="str">
        <f t="shared" si="21"/>
        <v/>
      </c>
      <c r="C5045" s="59" t="str">
        <f t="shared" si="22"/>
        <v/>
      </c>
      <c r="D5045" s="45" t="str">
        <f t="shared" si="23"/>
        <v/>
      </c>
      <c r="E5045" s="45" t="str">
        <f t="shared" si="24"/>
        <v/>
      </c>
      <c r="F5045" s="59" t="str">
        <f t="shared" si="25"/>
        <v/>
      </c>
      <c r="G5045" s="59" t="str">
        <f t="shared" si="26"/>
        <v/>
      </c>
      <c r="H5045" s="59" t="str">
        <f t="shared" si="27"/>
        <v>28C02545</v>
      </c>
      <c r="I5045" s="59" t="str">
        <f>IF(OR($A5045="",$C5045="",$D5045="",$E5045="",$H5045=""),"",SUMIFS(DATA_GOC!$H:$H,DATA_GOC!$A:$A,"BOM",DATA_GOC!$D:$D,$H5045,DATA_GOC!$E:$E,$C5045,DATA_GOC!$F:$F,"Xuất nội bộ từ téc",DATA_GOC!$B:$B,"&gt;="&amp;$D5045,DATA_GOC!$B:$B,"&lt;="&amp;$E5045))</f>
        <v/>
      </c>
      <c r="J5045" s="59">
        <f t="shared" si="28"/>
        <v>0</v>
      </c>
      <c r="K5045" s="59">
        <f t="shared" si="29"/>
        <v>0</v>
      </c>
      <c r="L5045" s="59">
        <f t="shared" si="30"/>
        <v>0</v>
      </c>
      <c r="M5045" s="59">
        <f t="shared" si="31"/>
        <v>0</v>
      </c>
    </row>
    <row r="5046" ht="15.0" hidden="1" customHeight="1">
      <c r="A5046" s="59">
        <f t="shared" si="20"/>
        <v>81</v>
      </c>
      <c r="B5046" s="59" t="str">
        <f t="shared" si="21"/>
        <v/>
      </c>
      <c r="C5046" s="59" t="str">
        <f t="shared" si="22"/>
        <v/>
      </c>
      <c r="D5046" s="45" t="str">
        <f t="shared" si="23"/>
        <v/>
      </c>
      <c r="E5046" s="45" t="str">
        <f t="shared" si="24"/>
        <v/>
      </c>
      <c r="F5046" s="59" t="str">
        <f t="shared" si="25"/>
        <v/>
      </c>
      <c r="G5046" s="59" t="str">
        <f t="shared" si="26"/>
        <v/>
      </c>
      <c r="H5046" s="59" t="str">
        <f t="shared" si="27"/>
        <v>28C02574</v>
      </c>
      <c r="I5046" s="59" t="str">
        <f>IF(OR($A5046="",$C5046="",$D5046="",$E5046="",$H5046=""),"",SUMIFS(DATA_GOC!$H:$H,DATA_GOC!$A:$A,"BOM",DATA_GOC!$D:$D,$H5046,DATA_GOC!$E:$E,$C5046,DATA_GOC!$F:$F,"Xuất nội bộ từ téc",DATA_GOC!$B:$B,"&gt;="&amp;$D5046,DATA_GOC!$B:$B,"&lt;="&amp;$E5046))</f>
        <v/>
      </c>
      <c r="J5046" s="59">
        <f t="shared" si="28"/>
        <v>0</v>
      </c>
      <c r="K5046" s="59">
        <f t="shared" si="29"/>
        <v>0</v>
      </c>
      <c r="L5046" s="59">
        <f t="shared" si="30"/>
        <v>0</v>
      </c>
      <c r="M5046" s="59">
        <f t="shared" si="31"/>
        <v>0</v>
      </c>
    </row>
    <row r="5047" ht="15.0" hidden="1" customHeight="1">
      <c r="A5047" s="59">
        <f t="shared" si="20"/>
        <v>81</v>
      </c>
      <c r="B5047" s="59" t="str">
        <f t="shared" si="21"/>
        <v/>
      </c>
      <c r="C5047" s="59" t="str">
        <f t="shared" si="22"/>
        <v/>
      </c>
      <c r="D5047" s="45" t="str">
        <f t="shared" si="23"/>
        <v/>
      </c>
      <c r="E5047" s="45" t="str">
        <f t="shared" si="24"/>
        <v/>
      </c>
      <c r="F5047" s="59" t="str">
        <f t="shared" si="25"/>
        <v/>
      </c>
      <c r="G5047" s="59" t="str">
        <f t="shared" si="26"/>
        <v/>
      </c>
      <c r="H5047" s="59" t="str">
        <f t="shared" si="27"/>
        <v>28C02770</v>
      </c>
      <c r="I5047" s="59" t="str">
        <f>IF(OR($A5047="",$C5047="",$D5047="",$E5047="",$H5047=""),"",SUMIFS(DATA_GOC!$H:$H,DATA_GOC!$A:$A,"BOM",DATA_GOC!$D:$D,$H5047,DATA_GOC!$E:$E,$C5047,DATA_GOC!$F:$F,"Xuất nội bộ từ téc",DATA_GOC!$B:$B,"&gt;="&amp;$D5047,DATA_GOC!$B:$B,"&lt;="&amp;$E5047))</f>
        <v/>
      </c>
      <c r="J5047" s="59">
        <f t="shared" si="28"/>
        <v>0</v>
      </c>
      <c r="K5047" s="59">
        <f t="shared" si="29"/>
        <v>0</v>
      </c>
      <c r="L5047" s="59">
        <f t="shared" si="30"/>
        <v>0</v>
      </c>
      <c r="M5047" s="59">
        <f t="shared" si="31"/>
        <v>0</v>
      </c>
    </row>
    <row r="5048" ht="15.0" hidden="1" customHeight="1">
      <c r="A5048" s="59">
        <f t="shared" si="20"/>
        <v>81</v>
      </c>
      <c r="B5048" s="59" t="str">
        <f t="shared" si="21"/>
        <v/>
      </c>
      <c r="C5048" s="59" t="str">
        <f t="shared" si="22"/>
        <v/>
      </c>
      <c r="D5048" s="45" t="str">
        <f t="shared" si="23"/>
        <v/>
      </c>
      <c r="E5048" s="45" t="str">
        <f t="shared" si="24"/>
        <v/>
      </c>
      <c r="F5048" s="59" t="str">
        <f t="shared" si="25"/>
        <v/>
      </c>
      <c r="G5048" s="59" t="str">
        <f t="shared" si="26"/>
        <v/>
      </c>
      <c r="H5048" s="59" t="str">
        <f t="shared" si="27"/>
        <v>28C02986</v>
      </c>
      <c r="I5048" s="59" t="str">
        <f>IF(OR($A5048="",$C5048="",$D5048="",$E5048="",$H5048=""),"",SUMIFS(DATA_GOC!$H:$H,DATA_GOC!$A:$A,"BOM",DATA_GOC!$D:$D,$H5048,DATA_GOC!$E:$E,$C5048,DATA_GOC!$F:$F,"Xuất nội bộ từ téc",DATA_GOC!$B:$B,"&gt;="&amp;$D5048,DATA_GOC!$B:$B,"&lt;="&amp;$E5048))</f>
        <v/>
      </c>
      <c r="J5048" s="59">
        <f t="shared" si="28"/>
        <v>0</v>
      </c>
      <c r="K5048" s="59">
        <f t="shared" si="29"/>
        <v>0</v>
      </c>
      <c r="L5048" s="59">
        <f t="shared" si="30"/>
        <v>0</v>
      </c>
      <c r="M5048" s="59">
        <f t="shared" si="31"/>
        <v>0</v>
      </c>
    </row>
    <row r="5049" ht="15.0" hidden="1" customHeight="1">
      <c r="A5049" s="59">
        <f t="shared" si="20"/>
        <v>81</v>
      </c>
      <c r="B5049" s="59" t="str">
        <f t="shared" si="21"/>
        <v/>
      </c>
      <c r="C5049" s="59" t="str">
        <f t="shared" si="22"/>
        <v/>
      </c>
      <c r="D5049" s="45" t="str">
        <f t="shared" si="23"/>
        <v/>
      </c>
      <c r="E5049" s="45" t="str">
        <f t="shared" si="24"/>
        <v/>
      </c>
      <c r="F5049" s="59" t="str">
        <f t="shared" si="25"/>
        <v/>
      </c>
      <c r="G5049" s="59" t="str">
        <f t="shared" si="26"/>
        <v/>
      </c>
      <c r="H5049" s="59" t="str">
        <f t="shared" si="27"/>
        <v>28C03261</v>
      </c>
      <c r="I5049" s="59" t="str">
        <f>IF(OR($A5049="",$C5049="",$D5049="",$E5049="",$H5049=""),"",SUMIFS(DATA_GOC!$H:$H,DATA_GOC!$A:$A,"BOM",DATA_GOC!$D:$D,$H5049,DATA_GOC!$E:$E,$C5049,DATA_GOC!$F:$F,"Xuất nội bộ từ téc",DATA_GOC!$B:$B,"&gt;="&amp;$D5049,DATA_GOC!$B:$B,"&lt;="&amp;$E5049))</f>
        <v/>
      </c>
      <c r="J5049" s="59">
        <f t="shared" si="28"/>
        <v>0</v>
      </c>
      <c r="K5049" s="59">
        <f t="shared" si="29"/>
        <v>0</v>
      </c>
      <c r="L5049" s="59">
        <f t="shared" si="30"/>
        <v>0</v>
      </c>
      <c r="M5049" s="59">
        <f t="shared" si="31"/>
        <v>0</v>
      </c>
    </row>
    <row r="5050" ht="15.0" hidden="1" customHeight="1">
      <c r="A5050" s="59">
        <f t="shared" si="20"/>
        <v>81</v>
      </c>
      <c r="B5050" s="59" t="str">
        <f t="shared" si="21"/>
        <v/>
      </c>
      <c r="C5050" s="59" t="str">
        <f t="shared" si="22"/>
        <v/>
      </c>
      <c r="D5050" s="45" t="str">
        <f t="shared" si="23"/>
        <v/>
      </c>
      <c r="E5050" s="45" t="str">
        <f t="shared" si="24"/>
        <v/>
      </c>
      <c r="F5050" s="59" t="str">
        <f t="shared" si="25"/>
        <v/>
      </c>
      <c r="G5050" s="59" t="str">
        <f t="shared" si="26"/>
        <v/>
      </c>
      <c r="H5050" s="59" t="str">
        <f t="shared" si="27"/>
        <v>28C03323</v>
      </c>
      <c r="I5050" s="59" t="str">
        <f>IF(OR($A5050="",$C5050="",$D5050="",$E5050="",$H5050=""),"",SUMIFS(DATA_GOC!$H:$H,DATA_GOC!$A:$A,"BOM",DATA_GOC!$D:$D,$H5050,DATA_GOC!$E:$E,$C5050,DATA_GOC!$F:$F,"Xuất nội bộ từ téc",DATA_GOC!$B:$B,"&gt;="&amp;$D5050,DATA_GOC!$B:$B,"&lt;="&amp;$E5050))</f>
        <v/>
      </c>
      <c r="J5050" s="59">
        <f t="shared" si="28"/>
        <v>0</v>
      </c>
      <c r="K5050" s="59">
        <f t="shared" si="29"/>
        <v>0</v>
      </c>
      <c r="L5050" s="59">
        <f t="shared" si="30"/>
        <v>0</v>
      </c>
      <c r="M5050" s="59">
        <f t="shared" si="31"/>
        <v>0</v>
      </c>
    </row>
    <row r="5051" ht="15.0" hidden="1" customHeight="1">
      <c r="A5051" s="59">
        <f t="shared" si="20"/>
        <v>81</v>
      </c>
      <c r="B5051" s="59" t="str">
        <f t="shared" si="21"/>
        <v/>
      </c>
      <c r="C5051" s="59" t="str">
        <f t="shared" si="22"/>
        <v/>
      </c>
      <c r="D5051" s="45" t="str">
        <f t="shared" si="23"/>
        <v/>
      </c>
      <c r="E5051" s="45" t="str">
        <f t="shared" si="24"/>
        <v/>
      </c>
      <c r="F5051" s="59" t="str">
        <f t="shared" si="25"/>
        <v/>
      </c>
      <c r="G5051" s="59" t="str">
        <f t="shared" si="26"/>
        <v/>
      </c>
      <c r="H5051" s="59" t="str">
        <f t="shared" si="27"/>
        <v>28C03385</v>
      </c>
      <c r="I5051" s="59" t="str">
        <f>IF(OR($A5051="",$C5051="",$D5051="",$E5051="",$H5051=""),"",SUMIFS(DATA_GOC!$H:$H,DATA_GOC!$A:$A,"BOM",DATA_GOC!$D:$D,$H5051,DATA_GOC!$E:$E,$C5051,DATA_GOC!$F:$F,"Xuất nội bộ từ téc",DATA_GOC!$B:$B,"&gt;="&amp;$D5051,DATA_GOC!$B:$B,"&lt;="&amp;$E5051))</f>
        <v/>
      </c>
      <c r="J5051" s="59">
        <f t="shared" si="28"/>
        <v>0</v>
      </c>
      <c r="K5051" s="59">
        <f t="shared" si="29"/>
        <v>0</v>
      </c>
      <c r="L5051" s="59">
        <f t="shared" si="30"/>
        <v>0</v>
      </c>
      <c r="M5051" s="59">
        <f t="shared" si="31"/>
        <v>0</v>
      </c>
    </row>
    <row r="5052" ht="15.0" hidden="1" customHeight="1">
      <c r="A5052" s="59">
        <f t="shared" si="20"/>
        <v>81</v>
      </c>
      <c r="B5052" s="59" t="str">
        <f t="shared" si="21"/>
        <v/>
      </c>
      <c r="C5052" s="59" t="str">
        <f t="shared" si="22"/>
        <v/>
      </c>
      <c r="D5052" s="45" t="str">
        <f t="shared" si="23"/>
        <v/>
      </c>
      <c r="E5052" s="45" t="str">
        <f t="shared" si="24"/>
        <v/>
      </c>
      <c r="F5052" s="59" t="str">
        <f t="shared" si="25"/>
        <v/>
      </c>
      <c r="G5052" s="59" t="str">
        <f t="shared" si="26"/>
        <v/>
      </c>
      <c r="H5052" s="59" t="str">
        <f t="shared" si="27"/>
        <v>28C03652</v>
      </c>
      <c r="I5052" s="59" t="str">
        <f>IF(OR($A5052="",$C5052="",$D5052="",$E5052="",$H5052=""),"",SUMIFS(DATA_GOC!$H:$H,DATA_GOC!$A:$A,"BOM",DATA_GOC!$D:$D,$H5052,DATA_GOC!$E:$E,$C5052,DATA_GOC!$F:$F,"Xuất nội bộ từ téc",DATA_GOC!$B:$B,"&gt;="&amp;$D5052,DATA_GOC!$B:$B,"&lt;="&amp;$E5052))</f>
        <v/>
      </c>
      <c r="J5052" s="59">
        <f t="shared" si="28"/>
        <v>0</v>
      </c>
      <c r="K5052" s="59">
        <f t="shared" si="29"/>
        <v>0</v>
      </c>
      <c r="L5052" s="59">
        <f t="shared" si="30"/>
        <v>0</v>
      </c>
      <c r="M5052" s="59">
        <f t="shared" si="31"/>
        <v>0</v>
      </c>
    </row>
    <row r="5053" ht="15.0" hidden="1" customHeight="1">
      <c r="A5053" s="59">
        <f t="shared" si="20"/>
        <v>81</v>
      </c>
      <c r="B5053" s="59" t="str">
        <f t="shared" si="21"/>
        <v/>
      </c>
      <c r="C5053" s="59" t="str">
        <f t="shared" si="22"/>
        <v/>
      </c>
      <c r="D5053" s="45" t="str">
        <f t="shared" si="23"/>
        <v/>
      </c>
      <c r="E5053" s="45" t="str">
        <f t="shared" si="24"/>
        <v/>
      </c>
      <c r="F5053" s="59" t="str">
        <f t="shared" si="25"/>
        <v/>
      </c>
      <c r="G5053" s="59" t="str">
        <f t="shared" si="26"/>
        <v/>
      </c>
      <c r="H5053" s="59" t="str">
        <f t="shared" si="27"/>
        <v>28C03695</v>
      </c>
      <c r="I5053" s="59" t="str">
        <f>IF(OR($A5053="",$C5053="",$D5053="",$E5053="",$H5053=""),"",SUMIFS(DATA_GOC!$H:$H,DATA_GOC!$A:$A,"BOM",DATA_GOC!$D:$D,$H5053,DATA_GOC!$E:$E,$C5053,DATA_GOC!$F:$F,"Xuất nội bộ từ téc",DATA_GOC!$B:$B,"&gt;="&amp;$D5053,DATA_GOC!$B:$B,"&lt;="&amp;$E5053))</f>
        <v/>
      </c>
      <c r="J5053" s="59">
        <f t="shared" si="28"/>
        <v>0</v>
      </c>
      <c r="K5053" s="59">
        <f t="shared" si="29"/>
        <v>0</v>
      </c>
      <c r="L5053" s="59">
        <f t="shared" si="30"/>
        <v>0</v>
      </c>
      <c r="M5053" s="59">
        <f t="shared" si="31"/>
        <v>0</v>
      </c>
    </row>
    <row r="5054" ht="15.0" hidden="1" customHeight="1">
      <c r="A5054" s="59">
        <f t="shared" si="20"/>
        <v>81</v>
      </c>
      <c r="B5054" s="59" t="str">
        <f t="shared" si="21"/>
        <v/>
      </c>
      <c r="C5054" s="59" t="str">
        <f t="shared" si="22"/>
        <v/>
      </c>
      <c r="D5054" s="45" t="str">
        <f t="shared" si="23"/>
        <v/>
      </c>
      <c r="E5054" s="45" t="str">
        <f t="shared" si="24"/>
        <v/>
      </c>
      <c r="F5054" s="59" t="str">
        <f t="shared" si="25"/>
        <v/>
      </c>
      <c r="G5054" s="59" t="str">
        <f t="shared" si="26"/>
        <v/>
      </c>
      <c r="H5054" s="59" t="str">
        <f t="shared" si="27"/>
        <v>28C03927</v>
      </c>
      <c r="I5054" s="59" t="str">
        <f>IF(OR($A5054="",$C5054="",$D5054="",$E5054="",$H5054=""),"",SUMIFS(DATA_GOC!$H:$H,DATA_GOC!$A:$A,"BOM",DATA_GOC!$D:$D,$H5054,DATA_GOC!$E:$E,$C5054,DATA_GOC!$F:$F,"Xuất nội bộ từ téc",DATA_GOC!$B:$B,"&gt;="&amp;$D5054,DATA_GOC!$B:$B,"&lt;="&amp;$E5054))</f>
        <v/>
      </c>
      <c r="J5054" s="59">
        <f t="shared" si="28"/>
        <v>0</v>
      </c>
      <c r="K5054" s="59">
        <f t="shared" si="29"/>
        <v>0</v>
      </c>
      <c r="L5054" s="59">
        <f t="shared" si="30"/>
        <v>0</v>
      </c>
      <c r="M5054" s="59">
        <f t="shared" si="31"/>
        <v>0</v>
      </c>
    </row>
    <row r="5055" ht="15.0" hidden="1" customHeight="1">
      <c r="A5055" s="59">
        <f t="shared" si="20"/>
        <v>81</v>
      </c>
      <c r="B5055" s="59" t="str">
        <f t="shared" si="21"/>
        <v/>
      </c>
      <c r="C5055" s="59" t="str">
        <f t="shared" si="22"/>
        <v/>
      </c>
      <c r="D5055" s="45" t="str">
        <f t="shared" si="23"/>
        <v/>
      </c>
      <c r="E5055" s="45" t="str">
        <f t="shared" si="24"/>
        <v/>
      </c>
      <c r="F5055" s="59" t="str">
        <f t="shared" si="25"/>
        <v/>
      </c>
      <c r="G5055" s="59" t="str">
        <f t="shared" si="26"/>
        <v/>
      </c>
      <c r="H5055" s="59" t="str">
        <f t="shared" si="27"/>
        <v>28C04509</v>
      </c>
      <c r="I5055" s="59" t="str">
        <f>IF(OR($A5055="",$C5055="",$D5055="",$E5055="",$H5055=""),"",SUMIFS(DATA_GOC!$H:$H,DATA_GOC!$A:$A,"BOM",DATA_GOC!$D:$D,$H5055,DATA_GOC!$E:$E,$C5055,DATA_GOC!$F:$F,"Xuất nội bộ từ téc",DATA_GOC!$B:$B,"&gt;="&amp;$D5055,DATA_GOC!$B:$B,"&lt;="&amp;$E5055))</f>
        <v/>
      </c>
      <c r="J5055" s="59">
        <f t="shared" si="28"/>
        <v>0</v>
      </c>
      <c r="K5055" s="59">
        <f t="shared" si="29"/>
        <v>0</v>
      </c>
      <c r="L5055" s="59">
        <f t="shared" si="30"/>
        <v>0</v>
      </c>
      <c r="M5055" s="59">
        <f t="shared" si="31"/>
        <v>0</v>
      </c>
    </row>
    <row r="5056" ht="15.0" hidden="1" customHeight="1">
      <c r="A5056" s="59">
        <f t="shared" si="20"/>
        <v>81</v>
      </c>
      <c r="B5056" s="59" t="str">
        <f t="shared" si="21"/>
        <v/>
      </c>
      <c r="C5056" s="59" t="str">
        <f t="shared" si="22"/>
        <v/>
      </c>
      <c r="D5056" s="45" t="str">
        <f t="shared" si="23"/>
        <v/>
      </c>
      <c r="E5056" s="45" t="str">
        <f t="shared" si="24"/>
        <v/>
      </c>
      <c r="F5056" s="59" t="str">
        <f t="shared" si="25"/>
        <v/>
      </c>
      <c r="G5056" s="59" t="str">
        <f t="shared" si="26"/>
        <v/>
      </c>
      <c r="H5056" s="59" t="str">
        <f t="shared" si="27"/>
        <v>28C04536</v>
      </c>
      <c r="I5056" s="59" t="str">
        <f>IF(OR($A5056="",$C5056="",$D5056="",$E5056="",$H5056=""),"",SUMIFS(DATA_GOC!$H:$H,DATA_GOC!$A:$A,"BOM",DATA_GOC!$D:$D,$H5056,DATA_GOC!$E:$E,$C5056,DATA_GOC!$F:$F,"Xuất nội bộ từ téc",DATA_GOC!$B:$B,"&gt;="&amp;$D5056,DATA_GOC!$B:$B,"&lt;="&amp;$E5056))</f>
        <v/>
      </c>
      <c r="J5056" s="59">
        <f t="shared" si="28"/>
        <v>0</v>
      </c>
      <c r="K5056" s="59">
        <f t="shared" si="29"/>
        <v>0</v>
      </c>
      <c r="L5056" s="59">
        <f t="shared" si="30"/>
        <v>0</v>
      </c>
      <c r="M5056" s="59">
        <f t="shared" si="31"/>
        <v>0</v>
      </c>
    </row>
    <row r="5057" ht="15.0" hidden="1" customHeight="1">
      <c r="A5057" s="59">
        <f t="shared" si="20"/>
        <v>81</v>
      </c>
      <c r="B5057" s="59" t="str">
        <f t="shared" si="21"/>
        <v/>
      </c>
      <c r="C5057" s="59" t="str">
        <f t="shared" si="22"/>
        <v/>
      </c>
      <c r="D5057" s="45" t="str">
        <f t="shared" si="23"/>
        <v/>
      </c>
      <c r="E5057" s="45" t="str">
        <f t="shared" si="24"/>
        <v/>
      </c>
      <c r="F5057" s="59" t="str">
        <f t="shared" si="25"/>
        <v/>
      </c>
      <c r="G5057" s="59" t="str">
        <f t="shared" si="26"/>
        <v/>
      </c>
      <c r="H5057" s="59" t="str">
        <f t="shared" si="27"/>
        <v>28C04576</v>
      </c>
      <c r="I5057" s="59" t="str">
        <f>IF(OR($A5057="",$C5057="",$D5057="",$E5057="",$H5057=""),"",SUMIFS(DATA_GOC!$H:$H,DATA_GOC!$A:$A,"BOM",DATA_GOC!$D:$D,$H5057,DATA_GOC!$E:$E,$C5057,DATA_GOC!$F:$F,"Xuất nội bộ từ téc",DATA_GOC!$B:$B,"&gt;="&amp;$D5057,DATA_GOC!$B:$B,"&lt;="&amp;$E5057))</f>
        <v/>
      </c>
      <c r="J5057" s="59">
        <f t="shared" si="28"/>
        <v>0</v>
      </c>
      <c r="K5057" s="59">
        <f t="shared" si="29"/>
        <v>0</v>
      </c>
      <c r="L5057" s="59">
        <f t="shared" si="30"/>
        <v>0</v>
      </c>
      <c r="M5057" s="59">
        <f t="shared" si="31"/>
        <v>0</v>
      </c>
    </row>
    <row r="5058" ht="15.0" hidden="1" customHeight="1">
      <c r="A5058" s="59">
        <f t="shared" si="20"/>
        <v>81</v>
      </c>
      <c r="B5058" s="59" t="str">
        <f t="shared" si="21"/>
        <v/>
      </c>
      <c r="C5058" s="59" t="str">
        <f t="shared" si="22"/>
        <v/>
      </c>
      <c r="D5058" s="45" t="str">
        <f t="shared" si="23"/>
        <v/>
      </c>
      <c r="E5058" s="45" t="str">
        <f t="shared" si="24"/>
        <v/>
      </c>
      <c r="F5058" s="59" t="str">
        <f t="shared" si="25"/>
        <v/>
      </c>
      <c r="G5058" s="59" t="str">
        <f t="shared" si="26"/>
        <v/>
      </c>
      <c r="H5058" s="59" t="str">
        <f t="shared" si="27"/>
        <v>28C05090</v>
      </c>
      <c r="I5058" s="59" t="str">
        <f>IF(OR($A5058="",$C5058="",$D5058="",$E5058="",$H5058=""),"",SUMIFS(DATA_GOC!$H:$H,DATA_GOC!$A:$A,"BOM",DATA_GOC!$D:$D,$H5058,DATA_GOC!$E:$E,$C5058,DATA_GOC!$F:$F,"Xuất nội bộ từ téc",DATA_GOC!$B:$B,"&gt;="&amp;$D5058,DATA_GOC!$B:$B,"&lt;="&amp;$E5058))</f>
        <v/>
      </c>
      <c r="J5058" s="59">
        <f t="shared" si="28"/>
        <v>0</v>
      </c>
      <c r="K5058" s="59">
        <f t="shared" si="29"/>
        <v>0</v>
      </c>
      <c r="L5058" s="59">
        <f t="shared" si="30"/>
        <v>0</v>
      </c>
      <c r="M5058" s="59">
        <f t="shared" si="31"/>
        <v>0</v>
      </c>
    </row>
    <row r="5059" ht="15.0" hidden="1" customHeight="1">
      <c r="A5059" s="59">
        <f t="shared" si="20"/>
        <v>81</v>
      </c>
      <c r="B5059" s="59" t="str">
        <f t="shared" si="21"/>
        <v/>
      </c>
      <c r="C5059" s="59" t="str">
        <f t="shared" si="22"/>
        <v/>
      </c>
      <c r="D5059" s="45" t="str">
        <f t="shared" si="23"/>
        <v/>
      </c>
      <c r="E5059" s="45" t="str">
        <f t="shared" si="24"/>
        <v/>
      </c>
      <c r="F5059" s="59" t="str">
        <f t="shared" si="25"/>
        <v/>
      </c>
      <c r="G5059" s="59" t="str">
        <f t="shared" si="26"/>
        <v/>
      </c>
      <c r="H5059" s="59" t="str">
        <f t="shared" si="27"/>
        <v>28C05345</v>
      </c>
      <c r="I5059" s="59" t="str">
        <f>IF(OR($A5059="",$C5059="",$D5059="",$E5059="",$H5059=""),"",SUMIFS(DATA_GOC!$H:$H,DATA_GOC!$A:$A,"BOM",DATA_GOC!$D:$D,$H5059,DATA_GOC!$E:$E,$C5059,DATA_GOC!$F:$F,"Xuất nội bộ từ téc",DATA_GOC!$B:$B,"&gt;="&amp;$D5059,DATA_GOC!$B:$B,"&lt;="&amp;$E5059))</f>
        <v/>
      </c>
      <c r="J5059" s="59">
        <f t="shared" si="28"/>
        <v>0</v>
      </c>
      <c r="K5059" s="59">
        <f t="shared" si="29"/>
        <v>0</v>
      </c>
      <c r="L5059" s="59">
        <f t="shared" si="30"/>
        <v>0</v>
      </c>
      <c r="M5059" s="59">
        <f t="shared" si="31"/>
        <v>0</v>
      </c>
    </row>
    <row r="5060" ht="15.0" hidden="1" customHeight="1">
      <c r="A5060" s="59">
        <f t="shared" si="20"/>
        <v>81</v>
      </c>
      <c r="B5060" s="59" t="str">
        <f t="shared" si="21"/>
        <v/>
      </c>
      <c r="C5060" s="59" t="str">
        <f t="shared" si="22"/>
        <v/>
      </c>
      <c r="D5060" s="45" t="str">
        <f t="shared" si="23"/>
        <v/>
      </c>
      <c r="E5060" s="45" t="str">
        <f t="shared" si="24"/>
        <v/>
      </c>
      <c r="F5060" s="59" t="str">
        <f t="shared" si="25"/>
        <v/>
      </c>
      <c r="G5060" s="59" t="str">
        <f t="shared" si="26"/>
        <v/>
      </c>
      <c r="H5060" s="59" t="str">
        <f t="shared" si="27"/>
        <v>28C05661</v>
      </c>
      <c r="I5060" s="59" t="str">
        <f>IF(OR($A5060="",$C5060="",$D5060="",$E5060="",$H5060=""),"",SUMIFS(DATA_GOC!$H:$H,DATA_GOC!$A:$A,"BOM",DATA_GOC!$D:$D,$H5060,DATA_GOC!$E:$E,$C5060,DATA_GOC!$F:$F,"Xuất nội bộ từ téc",DATA_GOC!$B:$B,"&gt;="&amp;$D5060,DATA_GOC!$B:$B,"&lt;="&amp;$E5060))</f>
        <v/>
      </c>
      <c r="J5060" s="59">
        <f t="shared" si="28"/>
        <v>0</v>
      </c>
      <c r="K5060" s="59">
        <f t="shared" si="29"/>
        <v>0</v>
      </c>
      <c r="L5060" s="59">
        <f t="shared" si="30"/>
        <v>0</v>
      </c>
      <c r="M5060" s="59">
        <f t="shared" si="31"/>
        <v>0</v>
      </c>
    </row>
    <row r="5061" ht="15.0" hidden="1" customHeight="1">
      <c r="A5061" s="59">
        <f t="shared" si="20"/>
        <v>81</v>
      </c>
      <c r="B5061" s="59" t="str">
        <f t="shared" si="21"/>
        <v/>
      </c>
      <c r="C5061" s="59" t="str">
        <f t="shared" si="22"/>
        <v/>
      </c>
      <c r="D5061" s="45" t="str">
        <f t="shared" si="23"/>
        <v/>
      </c>
      <c r="E5061" s="45" t="str">
        <f t="shared" si="24"/>
        <v/>
      </c>
      <c r="F5061" s="59" t="str">
        <f t="shared" si="25"/>
        <v/>
      </c>
      <c r="G5061" s="59" t="str">
        <f t="shared" si="26"/>
        <v/>
      </c>
      <c r="H5061" s="59" t="str">
        <f t="shared" si="27"/>
        <v>28C05739</v>
      </c>
      <c r="I5061" s="59" t="str">
        <f>IF(OR($A5061="",$C5061="",$D5061="",$E5061="",$H5061=""),"",SUMIFS(DATA_GOC!$H:$H,DATA_GOC!$A:$A,"BOM",DATA_GOC!$D:$D,$H5061,DATA_GOC!$E:$E,$C5061,DATA_GOC!$F:$F,"Xuất nội bộ từ téc",DATA_GOC!$B:$B,"&gt;="&amp;$D5061,DATA_GOC!$B:$B,"&lt;="&amp;$E5061))</f>
        <v/>
      </c>
      <c r="J5061" s="59">
        <f t="shared" si="28"/>
        <v>0</v>
      </c>
      <c r="K5061" s="59">
        <f t="shared" si="29"/>
        <v>0</v>
      </c>
      <c r="L5061" s="59">
        <f t="shared" si="30"/>
        <v>0</v>
      </c>
      <c r="M5061" s="59">
        <f t="shared" si="31"/>
        <v>0</v>
      </c>
    </row>
    <row r="5062" ht="15.0" hidden="1" customHeight="1">
      <c r="A5062" s="59">
        <f t="shared" si="20"/>
        <v>81</v>
      </c>
      <c r="B5062" s="59" t="str">
        <f t="shared" si="21"/>
        <v/>
      </c>
      <c r="C5062" s="59" t="str">
        <f t="shared" si="22"/>
        <v/>
      </c>
      <c r="D5062" s="45" t="str">
        <f t="shared" si="23"/>
        <v/>
      </c>
      <c r="E5062" s="45" t="str">
        <f t="shared" si="24"/>
        <v/>
      </c>
      <c r="F5062" s="59" t="str">
        <f t="shared" si="25"/>
        <v/>
      </c>
      <c r="G5062" s="59" t="str">
        <f t="shared" si="26"/>
        <v/>
      </c>
      <c r="H5062" s="59" t="str">
        <f t="shared" si="27"/>
        <v>28C06369</v>
      </c>
      <c r="I5062" s="59" t="str">
        <f>IF(OR($A5062="",$C5062="",$D5062="",$E5062="",$H5062=""),"",SUMIFS(DATA_GOC!$H:$H,DATA_GOC!$A:$A,"BOM",DATA_GOC!$D:$D,$H5062,DATA_GOC!$E:$E,$C5062,DATA_GOC!$F:$F,"Xuất nội bộ từ téc",DATA_GOC!$B:$B,"&gt;="&amp;$D5062,DATA_GOC!$B:$B,"&lt;="&amp;$E5062))</f>
        <v/>
      </c>
      <c r="J5062" s="59">
        <f t="shared" si="28"/>
        <v>0</v>
      </c>
      <c r="K5062" s="59">
        <f t="shared" si="29"/>
        <v>0</v>
      </c>
      <c r="L5062" s="59">
        <f t="shared" si="30"/>
        <v>0</v>
      </c>
      <c r="M5062" s="59">
        <f t="shared" si="31"/>
        <v>0</v>
      </c>
    </row>
    <row r="5063" ht="15.0" hidden="1" customHeight="1">
      <c r="A5063" s="59">
        <f t="shared" si="20"/>
        <v>81</v>
      </c>
      <c r="B5063" s="59" t="str">
        <f t="shared" si="21"/>
        <v/>
      </c>
      <c r="C5063" s="59" t="str">
        <f t="shared" si="22"/>
        <v/>
      </c>
      <c r="D5063" s="45" t="str">
        <f t="shared" si="23"/>
        <v/>
      </c>
      <c r="E5063" s="45" t="str">
        <f t="shared" si="24"/>
        <v/>
      </c>
      <c r="F5063" s="59" t="str">
        <f t="shared" si="25"/>
        <v/>
      </c>
      <c r="G5063" s="59" t="str">
        <f t="shared" si="26"/>
        <v/>
      </c>
      <c r="H5063" s="59" t="str">
        <f t="shared" si="27"/>
        <v>28C06447</v>
      </c>
      <c r="I5063" s="59" t="str">
        <f>IF(OR($A5063="",$C5063="",$D5063="",$E5063="",$H5063=""),"",SUMIFS(DATA_GOC!$H:$H,DATA_GOC!$A:$A,"BOM",DATA_GOC!$D:$D,$H5063,DATA_GOC!$E:$E,$C5063,DATA_GOC!$F:$F,"Xuất nội bộ từ téc",DATA_GOC!$B:$B,"&gt;="&amp;$D5063,DATA_GOC!$B:$B,"&lt;="&amp;$E5063))</f>
        <v/>
      </c>
      <c r="J5063" s="59">
        <f t="shared" si="28"/>
        <v>0</v>
      </c>
      <c r="K5063" s="59">
        <f t="shared" si="29"/>
        <v>0</v>
      </c>
      <c r="L5063" s="59">
        <f t="shared" si="30"/>
        <v>0</v>
      </c>
      <c r="M5063" s="59">
        <f t="shared" si="31"/>
        <v>0</v>
      </c>
    </row>
    <row r="5064" ht="15.0" hidden="1" customHeight="1">
      <c r="A5064" s="59">
        <f t="shared" si="20"/>
        <v>81</v>
      </c>
      <c r="B5064" s="59" t="str">
        <f t="shared" si="21"/>
        <v/>
      </c>
      <c r="C5064" s="59" t="str">
        <f t="shared" si="22"/>
        <v/>
      </c>
      <c r="D5064" s="45" t="str">
        <f t="shared" si="23"/>
        <v/>
      </c>
      <c r="E5064" s="45" t="str">
        <f t="shared" si="24"/>
        <v/>
      </c>
      <c r="F5064" s="59" t="str">
        <f t="shared" si="25"/>
        <v/>
      </c>
      <c r="G5064" s="59" t="str">
        <f t="shared" si="26"/>
        <v/>
      </c>
      <c r="H5064" s="59" t="str">
        <f t="shared" si="27"/>
        <v>28H00003</v>
      </c>
      <c r="I5064" s="59" t="str">
        <f>IF(OR($A5064="",$C5064="",$D5064="",$E5064="",$H5064=""),"",SUMIFS(DATA_GOC!$H:$H,DATA_GOC!$A:$A,"BOM",DATA_GOC!$D:$D,$H5064,DATA_GOC!$E:$E,$C5064,DATA_GOC!$F:$F,"Xuất nội bộ từ téc",DATA_GOC!$B:$B,"&gt;="&amp;$D5064,DATA_GOC!$B:$B,"&lt;="&amp;$E5064))</f>
        <v/>
      </c>
      <c r="J5064" s="59">
        <f t="shared" si="28"/>
        <v>0</v>
      </c>
      <c r="K5064" s="59">
        <f t="shared" si="29"/>
        <v>0</v>
      </c>
      <c r="L5064" s="59">
        <f t="shared" si="30"/>
        <v>0</v>
      </c>
      <c r="M5064" s="59">
        <f t="shared" si="31"/>
        <v>0</v>
      </c>
    </row>
    <row r="5065" ht="15.0" hidden="1" customHeight="1">
      <c r="A5065" s="59">
        <f t="shared" si="20"/>
        <v>81</v>
      </c>
      <c r="B5065" s="59" t="str">
        <f t="shared" si="21"/>
        <v/>
      </c>
      <c r="C5065" s="59" t="str">
        <f t="shared" si="22"/>
        <v/>
      </c>
      <c r="D5065" s="45" t="str">
        <f t="shared" si="23"/>
        <v/>
      </c>
      <c r="E5065" s="45" t="str">
        <f t="shared" si="24"/>
        <v/>
      </c>
      <c r="F5065" s="59" t="str">
        <f t="shared" si="25"/>
        <v/>
      </c>
      <c r="G5065" s="59" t="str">
        <f t="shared" si="26"/>
        <v/>
      </c>
      <c r="H5065" s="59" t="str">
        <f t="shared" si="27"/>
        <v>28H00061</v>
      </c>
      <c r="I5065" s="59" t="str">
        <f>IF(OR($A5065="",$C5065="",$D5065="",$E5065="",$H5065=""),"",SUMIFS(DATA_GOC!$H:$H,DATA_GOC!$A:$A,"BOM",DATA_GOC!$D:$D,$H5065,DATA_GOC!$E:$E,$C5065,DATA_GOC!$F:$F,"Xuất nội bộ từ téc",DATA_GOC!$B:$B,"&gt;="&amp;$D5065,DATA_GOC!$B:$B,"&lt;="&amp;$E5065))</f>
        <v/>
      </c>
      <c r="J5065" s="59">
        <f t="shared" si="28"/>
        <v>0</v>
      </c>
      <c r="K5065" s="59">
        <f t="shared" si="29"/>
        <v>0</v>
      </c>
      <c r="L5065" s="59">
        <f t="shared" si="30"/>
        <v>0</v>
      </c>
      <c r="M5065" s="59">
        <f t="shared" si="31"/>
        <v>0</v>
      </c>
    </row>
    <row r="5066" ht="15.0" hidden="1" customHeight="1">
      <c r="A5066" s="59">
        <f t="shared" si="20"/>
        <v>81</v>
      </c>
      <c r="B5066" s="59" t="str">
        <f t="shared" si="21"/>
        <v/>
      </c>
      <c r="C5066" s="59" t="str">
        <f t="shared" si="22"/>
        <v/>
      </c>
      <c r="D5066" s="45" t="str">
        <f t="shared" si="23"/>
        <v/>
      </c>
      <c r="E5066" s="45" t="str">
        <f t="shared" si="24"/>
        <v/>
      </c>
      <c r="F5066" s="59" t="str">
        <f t="shared" si="25"/>
        <v/>
      </c>
      <c r="G5066" s="59" t="str">
        <f t="shared" si="26"/>
        <v/>
      </c>
      <c r="H5066" s="59" t="str">
        <f t="shared" si="27"/>
        <v>28H00354</v>
      </c>
      <c r="I5066" s="59" t="str">
        <f>IF(OR($A5066="",$C5066="",$D5066="",$E5066="",$H5066=""),"",SUMIFS(DATA_GOC!$H:$H,DATA_GOC!$A:$A,"BOM",DATA_GOC!$D:$D,$H5066,DATA_GOC!$E:$E,$C5066,DATA_GOC!$F:$F,"Xuất nội bộ từ téc",DATA_GOC!$B:$B,"&gt;="&amp;$D5066,DATA_GOC!$B:$B,"&lt;="&amp;$E5066))</f>
        <v/>
      </c>
      <c r="J5066" s="59">
        <f t="shared" si="28"/>
        <v>0</v>
      </c>
      <c r="K5066" s="59">
        <f t="shared" si="29"/>
        <v>0</v>
      </c>
      <c r="L5066" s="59">
        <f t="shared" si="30"/>
        <v>0</v>
      </c>
      <c r="M5066" s="59">
        <f t="shared" si="31"/>
        <v>0</v>
      </c>
    </row>
    <row r="5067" ht="15.0" hidden="1" customHeight="1">
      <c r="A5067" s="59">
        <f t="shared" si="20"/>
        <v>81</v>
      </c>
      <c r="B5067" s="59" t="str">
        <f t="shared" si="21"/>
        <v/>
      </c>
      <c r="C5067" s="59" t="str">
        <f t="shared" si="22"/>
        <v/>
      </c>
      <c r="D5067" s="45" t="str">
        <f t="shared" si="23"/>
        <v/>
      </c>
      <c r="E5067" s="45" t="str">
        <f t="shared" si="24"/>
        <v/>
      </c>
      <c r="F5067" s="59" t="str">
        <f t="shared" si="25"/>
        <v/>
      </c>
      <c r="G5067" s="59" t="str">
        <f t="shared" si="26"/>
        <v/>
      </c>
      <c r="H5067" s="59" t="str">
        <f t="shared" si="27"/>
        <v>28H00603</v>
      </c>
      <c r="I5067" s="59" t="str">
        <f>IF(OR($A5067="",$C5067="",$D5067="",$E5067="",$H5067=""),"",SUMIFS(DATA_GOC!$H:$H,DATA_GOC!$A:$A,"BOM",DATA_GOC!$D:$D,$H5067,DATA_GOC!$E:$E,$C5067,DATA_GOC!$F:$F,"Xuất nội bộ từ téc",DATA_GOC!$B:$B,"&gt;="&amp;$D5067,DATA_GOC!$B:$B,"&lt;="&amp;$E5067))</f>
        <v/>
      </c>
      <c r="J5067" s="59">
        <f t="shared" si="28"/>
        <v>0</v>
      </c>
      <c r="K5067" s="59">
        <f t="shared" si="29"/>
        <v>0</v>
      </c>
      <c r="L5067" s="59">
        <f t="shared" si="30"/>
        <v>0</v>
      </c>
      <c r="M5067" s="59">
        <f t="shared" si="31"/>
        <v>0</v>
      </c>
    </row>
    <row r="5068" ht="15.0" hidden="1" customHeight="1">
      <c r="A5068" s="59">
        <f t="shared" si="20"/>
        <v>81</v>
      </c>
      <c r="B5068" s="59" t="str">
        <f t="shared" si="21"/>
        <v/>
      </c>
      <c r="C5068" s="59" t="str">
        <f t="shared" si="22"/>
        <v/>
      </c>
      <c r="D5068" s="45" t="str">
        <f t="shared" si="23"/>
        <v/>
      </c>
      <c r="E5068" s="45" t="str">
        <f t="shared" si="24"/>
        <v/>
      </c>
      <c r="F5068" s="59" t="str">
        <f t="shared" si="25"/>
        <v/>
      </c>
      <c r="G5068" s="59" t="str">
        <f t="shared" si="26"/>
        <v/>
      </c>
      <c r="H5068" s="59" t="str">
        <f t="shared" si="27"/>
        <v>28H00609</v>
      </c>
      <c r="I5068" s="59" t="str">
        <f>IF(OR($A5068="",$C5068="",$D5068="",$E5068="",$H5068=""),"",SUMIFS(DATA_GOC!$H:$H,DATA_GOC!$A:$A,"BOM",DATA_GOC!$D:$D,$H5068,DATA_GOC!$E:$E,$C5068,DATA_GOC!$F:$F,"Xuất nội bộ từ téc",DATA_GOC!$B:$B,"&gt;="&amp;$D5068,DATA_GOC!$B:$B,"&lt;="&amp;$E5068))</f>
        <v/>
      </c>
      <c r="J5068" s="59">
        <f t="shared" si="28"/>
        <v>0</v>
      </c>
      <c r="K5068" s="59">
        <f t="shared" si="29"/>
        <v>0</v>
      </c>
      <c r="L5068" s="59">
        <f t="shared" si="30"/>
        <v>0</v>
      </c>
      <c r="M5068" s="59">
        <f t="shared" si="31"/>
        <v>0</v>
      </c>
    </row>
    <row r="5069" ht="15.0" hidden="1" customHeight="1">
      <c r="A5069" s="59">
        <f t="shared" si="20"/>
        <v>81</v>
      </c>
      <c r="B5069" s="59" t="str">
        <f t="shared" si="21"/>
        <v/>
      </c>
      <c r="C5069" s="59" t="str">
        <f t="shared" si="22"/>
        <v/>
      </c>
      <c r="D5069" s="45" t="str">
        <f t="shared" si="23"/>
        <v/>
      </c>
      <c r="E5069" s="45" t="str">
        <f t="shared" si="24"/>
        <v/>
      </c>
      <c r="F5069" s="59" t="str">
        <f t="shared" si="25"/>
        <v/>
      </c>
      <c r="G5069" s="59" t="str">
        <f t="shared" si="26"/>
        <v/>
      </c>
      <c r="H5069" s="59" t="str">
        <f t="shared" si="27"/>
        <v>28H00669</v>
      </c>
      <c r="I5069" s="59" t="str">
        <f>IF(OR($A5069="",$C5069="",$D5069="",$E5069="",$H5069=""),"",SUMIFS(DATA_GOC!$H:$H,DATA_GOC!$A:$A,"BOM",DATA_GOC!$D:$D,$H5069,DATA_GOC!$E:$E,$C5069,DATA_GOC!$F:$F,"Xuất nội bộ từ téc",DATA_GOC!$B:$B,"&gt;="&amp;$D5069,DATA_GOC!$B:$B,"&lt;="&amp;$E5069))</f>
        <v/>
      </c>
      <c r="J5069" s="59">
        <f t="shared" si="28"/>
        <v>0</v>
      </c>
      <c r="K5069" s="59">
        <f t="shared" si="29"/>
        <v>0</v>
      </c>
      <c r="L5069" s="59">
        <f t="shared" si="30"/>
        <v>0</v>
      </c>
      <c r="M5069" s="59">
        <f t="shared" si="31"/>
        <v>0</v>
      </c>
    </row>
    <row r="5070" ht="15.0" hidden="1" customHeight="1">
      <c r="A5070" s="59">
        <f t="shared" si="20"/>
        <v>81</v>
      </c>
      <c r="B5070" s="59" t="str">
        <f t="shared" si="21"/>
        <v/>
      </c>
      <c r="C5070" s="59" t="str">
        <f t="shared" si="22"/>
        <v/>
      </c>
      <c r="D5070" s="45" t="str">
        <f t="shared" si="23"/>
        <v/>
      </c>
      <c r="E5070" s="45" t="str">
        <f t="shared" si="24"/>
        <v/>
      </c>
      <c r="F5070" s="59" t="str">
        <f t="shared" si="25"/>
        <v/>
      </c>
      <c r="G5070" s="59" t="str">
        <f t="shared" si="26"/>
        <v/>
      </c>
      <c r="H5070" s="59" t="str">
        <f t="shared" si="27"/>
        <v>28H00680</v>
      </c>
      <c r="I5070" s="59" t="str">
        <f>IF(OR($A5070="",$C5070="",$D5070="",$E5070="",$H5070=""),"",SUMIFS(DATA_GOC!$H:$H,DATA_GOC!$A:$A,"BOM",DATA_GOC!$D:$D,$H5070,DATA_GOC!$E:$E,$C5070,DATA_GOC!$F:$F,"Xuất nội bộ từ téc",DATA_GOC!$B:$B,"&gt;="&amp;$D5070,DATA_GOC!$B:$B,"&lt;="&amp;$E5070))</f>
        <v/>
      </c>
      <c r="J5070" s="59">
        <f t="shared" si="28"/>
        <v>0</v>
      </c>
      <c r="K5070" s="59">
        <f t="shared" si="29"/>
        <v>0</v>
      </c>
      <c r="L5070" s="59">
        <f t="shared" si="30"/>
        <v>0</v>
      </c>
      <c r="M5070" s="59">
        <f t="shared" si="31"/>
        <v>0</v>
      </c>
    </row>
    <row r="5071" ht="15.0" hidden="1" customHeight="1">
      <c r="A5071" s="59">
        <f t="shared" si="20"/>
        <v>81</v>
      </c>
      <c r="B5071" s="59" t="str">
        <f t="shared" si="21"/>
        <v/>
      </c>
      <c r="C5071" s="59" t="str">
        <f t="shared" si="22"/>
        <v/>
      </c>
      <c r="D5071" s="45" t="str">
        <f t="shared" si="23"/>
        <v/>
      </c>
      <c r="E5071" s="45" t="str">
        <f t="shared" si="24"/>
        <v/>
      </c>
      <c r="F5071" s="59" t="str">
        <f t="shared" si="25"/>
        <v/>
      </c>
      <c r="G5071" s="59" t="str">
        <f t="shared" si="26"/>
        <v/>
      </c>
      <c r="H5071" s="59" t="str">
        <f t="shared" si="27"/>
        <v>28H01070</v>
      </c>
      <c r="I5071" s="59" t="str">
        <f>IF(OR($A5071="",$C5071="",$D5071="",$E5071="",$H5071=""),"",SUMIFS(DATA_GOC!$H:$H,DATA_GOC!$A:$A,"BOM",DATA_GOC!$D:$D,$H5071,DATA_GOC!$E:$E,$C5071,DATA_GOC!$F:$F,"Xuất nội bộ từ téc",DATA_GOC!$B:$B,"&gt;="&amp;$D5071,DATA_GOC!$B:$B,"&lt;="&amp;$E5071))</f>
        <v/>
      </c>
      <c r="J5071" s="59">
        <f t="shared" si="28"/>
        <v>0</v>
      </c>
      <c r="K5071" s="59">
        <f t="shared" si="29"/>
        <v>0</v>
      </c>
      <c r="L5071" s="59">
        <f t="shared" si="30"/>
        <v>0</v>
      </c>
      <c r="M5071" s="59">
        <f t="shared" si="31"/>
        <v>0</v>
      </c>
    </row>
    <row r="5072" ht="15.0" hidden="1" customHeight="1">
      <c r="A5072" s="59">
        <f t="shared" si="20"/>
        <v>81</v>
      </c>
      <c r="B5072" s="59" t="str">
        <f t="shared" si="21"/>
        <v/>
      </c>
      <c r="C5072" s="59" t="str">
        <f t="shared" si="22"/>
        <v/>
      </c>
      <c r="D5072" s="45" t="str">
        <f t="shared" si="23"/>
        <v/>
      </c>
      <c r="E5072" s="45" t="str">
        <f t="shared" si="24"/>
        <v/>
      </c>
      <c r="F5072" s="59" t="str">
        <f t="shared" si="25"/>
        <v/>
      </c>
      <c r="G5072" s="59" t="str">
        <f t="shared" si="26"/>
        <v/>
      </c>
      <c r="H5072" s="59" t="str">
        <f t="shared" si="27"/>
        <v>28H01364</v>
      </c>
      <c r="I5072" s="59" t="str">
        <f>IF(OR($A5072="",$C5072="",$D5072="",$E5072="",$H5072=""),"",SUMIFS(DATA_GOC!$H:$H,DATA_GOC!$A:$A,"BOM",DATA_GOC!$D:$D,$H5072,DATA_GOC!$E:$E,$C5072,DATA_GOC!$F:$F,"Xuất nội bộ từ téc",DATA_GOC!$B:$B,"&gt;="&amp;$D5072,DATA_GOC!$B:$B,"&lt;="&amp;$E5072))</f>
        <v/>
      </c>
      <c r="J5072" s="59">
        <f t="shared" si="28"/>
        <v>0</v>
      </c>
      <c r="K5072" s="59">
        <f t="shared" si="29"/>
        <v>0</v>
      </c>
      <c r="L5072" s="59">
        <f t="shared" si="30"/>
        <v>0</v>
      </c>
      <c r="M5072" s="59">
        <f t="shared" si="31"/>
        <v>0</v>
      </c>
    </row>
    <row r="5073" ht="15.0" hidden="1" customHeight="1">
      <c r="A5073" s="59">
        <f t="shared" si="20"/>
        <v>81</v>
      </c>
      <c r="B5073" s="59" t="str">
        <f t="shared" si="21"/>
        <v/>
      </c>
      <c r="C5073" s="59" t="str">
        <f t="shared" si="22"/>
        <v/>
      </c>
      <c r="D5073" s="45" t="str">
        <f t="shared" si="23"/>
        <v/>
      </c>
      <c r="E5073" s="45" t="str">
        <f t="shared" si="24"/>
        <v/>
      </c>
      <c r="F5073" s="59" t="str">
        <f t="shared" si="25"/>
        <v/>
      </c>
      <c r="G5073" s="59" t="str">
        <f t="shared" si="26"/>
        <v/>
      </c>
      <c r="H5073" s="59" t="str">
        <f t="shared" si="27"/>
        <v>29E17269</v>
      </c>
      <c r="I5073" s="59" t="str">
        <f>IF(OR($A5073="",$C5073="",$D5073="",$E5073="",$H5073=""),"",SUMIFS(DATA_GOC!$H:$H,DATA_GOC!$A:$A,"BOM",DATA_GOC!$D:$D,$H5073,DATA_GOC!$E:$E,$C5073,DATA_GOC!$F:$F,"Xuất nội bộ từ téc",DATA_GOC!$B:$B,"&gt;="&amp;$D5073,DATA_GOC!$B:$B,"&lt;="&amp;$E5073))</f>
        <v/>
      </c>
      <c r="J5073" s="59">
        <f t="shared" si="28"/>
        <v>0</v>
      </c>
      <c r="K5073" s="59">
        <f t="shared" si="29"/>
        <v>0</v>
      </c>
      <c r="L5073" s="59">
        <f t="shared" si="30"/>
        <v>0</v>
      </c>
      <c r="M5073" s="59">
        <f t="shared" si="31"/>
        <v>0</v>
      </c>
    </row>
    <row r="5074" ht="15.0" hidden="1" customHeight="1">
      <c r="A5074" s="59">
        <f t="shared" si="20"/>
        <v>81</v>
      </c>
      <c r="B5074" s="59" t="str">
        <f t="shared" si="21"/>
        <v/>
      </c>
      <c r="C5074" s="59" t="str">
        <f t="shared" si="22"/>
        <v/>
      </c>
      <c r="D5074" s="45" t="str">
        <f t="shared" si="23"/>
        <v/>
      </c>
      <c r="E5074" s="45" t="str">
        <f t="shared" si="24"/>
        <v/>
      </c>
      <c r="F5074" s="59" t="str">
        <f t="shared" si="25"/>
        <v/>
      </c>
      <c r="G5074" s="59" t="str">
        <f t="shared" si="26"/>
        <v/>
      </c>
      <c r="H5074" s="59" t="str">
        <f t="shared" si="27"/>
        <v>29E17273</v>
      </c>
      <c r="I5074" s="59" t="str">
        <f>IF(OR($A5074="",$C5074="",$D5074="",$E5074="",$H5074=""),"",SUMIFS(DATA_GOC!$H:$H,DATA_GOC!$A:$A,"BOM",DATA_GOC!$D:$D,$H5074,DATA_GOC!$E:$E,$C5074,DATA_GOC!$F:$F,"Xuất nội bộ từ téc",DATA_GOC!$B:$B,"&gt;="&amp;$D5074,DATA_GOC!$B:$B,"&lt;="&amp;$E5074))</f>
        <v/>
      </c>
      <c r="J5074" s="59">
        <f t="shared" si="28"/>
        <v>0</v>
      </c>
      <c r="K5074" s="59">
        <f t="shared" si="29"/>
        <v>0</v>
      </c>
      <c r="L5074" s="59">
        <f t="shared" si="30"/>
        <v>0</v>
      </c>
      <c r="M5074" s="59">
        <f t="shared" si="31"/>
        <v>0</v>
      </c>
    </row>
    <row r="5075" ht="15.0" hidden="1" customHeight="1">
      <c r="A5075" s="59">
        <f t="shared" si="20"/>
        <v>81</v>
      </c>
      <c r="B5075" s="59" t="str">
        <f t="shared" si="21"/>
        <v/>
      </c>
      <c r="C5075" s="59" t="str">
        <f t="shared" si="22"/>
        <v/>
      </c>
      <c r="D5075" s="45" t="str">
        <f t="shared" si="23"/>
        <v/>
      </c>
      <c r="E5075" s="45" t="str">
        <f t="shared" si="24"/>
        <v/>
      </c>
      <c r="F5075" s="59" t="str">
        <f t="shared" si="25"/>
        <v/>
      </c>
      <c r="G5075" s="59" t="str">
        <f t="shared" si="26"/>
        <v/>
      </c>
      <c r="H5075" s="59" t="str">
        <f t="shared" si="27"/>
        <v>29E17410</v>
      </c>
      <c r="I5075" s="59" t="str">
        <f>IF(OR($A5075="",$C5075="",$D5075="",$E5075="",$H5075=""),"",SUMIFS(DATA_GOC!$H:$H,DATA_GOC!$A:$A,"BOM",DATA_GOC!$D:$D,$H5075,DATA_GOC!$E:$E,$C5075,DATA_GOC!$F:$F,"Xuất nội bộ từ téc",DATA_GOC!$B:$B,"&gt;="&amp;$D5075,DATA_GOC!$B:$B,"&lt;="&amp;$E5075))</f>
        <v/>
      </c>
      <c r="J5075" s="59">
        <f t="shared" si="28"/>
        <v>0</v>
      </c>
      <c r="K5075" s="59">
        <f t="shared" si="29"/>
        <v>0</v>
      </c>
      <c r="L5075" s="59">
        <f t="shared" si="30"/>
        <v>0</v>
      </c>
      <c r="M5075" s="59">
        <f t="shared" si="31"/>
        <v>0</v>
      </c>
    </row>
    <row r="5076" ht="15.0" hidden="1" customHeight="1">
      <c r="A5076" s="59">
        <f t="shared" si="20"/>
        <v>81</v>
      </c>
      <c r="B5076" s="59" t="str">
        <f t="shared" si="21"/>
        <v/>
      </c>
      <c r="C5076" s="59" t="str">
        <f t="shared" si="22"/>
        <v/>
      </c>
      <c r="D5076" s="45" t="str">
        <f t="shared" si="23"/>
        <v/>
      </c>
      <c r="E5076" s="45" t="str">
        <f t="shared" si="24"/>
        <v/>
      </c>
      <c r="F5076" s="59" t="str">
        <f t="shared" si="25"/>
        <v/>
      </c>
      <c r="G5076" s="59" t="str">
        <f t="shared" si="26"/>
        <v/>
      </c>
      <c r="H5076" s="59" t="str">
        <f t="shared" si="27"/>
        <v>29E17417</v>
      </c>
      <c r="I5076" s="59" t="str">
        <f>IF(OR($A5076="",$C5076="",$D5076="",$E5076="",$H5076=""),"",SUMIFS(DATA_GOC!$H:$H,DATA_GOC!$A:$A,"BOM",DATA_GOC!$D:$D,$H5076,DATA_GOC!$E:$E,$C5076,DATA_GOC!$F:$F,"Xuất nội bộ từ téc",DATA_GOC!$B:$B,"&gt;="&amp;$D5076,DATA_GOC!$B:$B,"&lt;="&amp;$E5076))</f>
        <v/>
      </c>
      <c r="J5076" s="59">
        <f t="shared" si="28"/>
        <v>0</v>
      </c>
      <c r="K5076" s="59">
        <f t="shared" si="29"/>
        <v>0</v>
      </c>
      <c r="L5076" s="59">
        <f t="shared" si="30"/>
        <v>0</v>
      </c>
      <c r="M5076" s="59">
        <f t="shared" si="31"/>
        <v>0</v>
      </c>
    </row>
    <row r="5077" ht="15.0" hidden="1" customHeight="1">
      <c r="A5077" s="59">
        <f t="shared" si="20"/>
        <v>81</v>
      </c>
      <c r="B5077" s="59" t="str">
        <f t="shared" si="21"/>
        <v/>
      </c>
      <c r="C5077" s="59" t="str">
        <f t="shared" si="22"/>
        <v/>
      </c>
      <c r="D5077" s="45" t="str">
        <f t="shared" si="23"/>
        <v/>
      </c>
      <c r="E5077" s="45" t="str">
        <f t="shared" si="24"/>
        <v/>
      </c>
      <c r="F5077" s="59" t="str">
        <f t="shared" si="25"/>
        <v/>
      </c>
      <c r="G5077" s="59" t="str">
        <f t="shared" si="26"/>
        <v/>
      </c>
      <c r="H5077" s="59" t="str">
        <f t="shared" si="27"/>
        <v>29E17539</v>
      </c>
      <c r="I5077" s="59" t="str">
        <f>IF(OR($A5077="",$C5077="",$D5077="",$E5077="",$H5077=""),"",SUMIFS(DATA_GOC!$H:$H,DATA_GOC!$A:$A,"BOM",DATA_GOC!$D:$D,$H5077,DATA_GOC!$E:$E,$C5077,DATA_GOC!$F:$F,"Xuất nội bộ từ téc",DATA_GOC!$B:$B,"&gt;="&amp;$D5077,DATA_GOC!$B:$B,"&lt;="&amp;$E5077))</f>
        <v/>
      </c>
      <c r="J5077" s="59">
        <f t="shared" si="28"/>
        <v>0</v>
      </c>
      <c r="K5077" s="59">
        <f t="shared" si="29"/>
        <v>0</v>
      </c>
      <c r="L5077" s="59">
        <f t="shared" si="30"/>
        <v>0</v>
      </c>
      <c r="M5077" s="59">
        <f t="shared" si="31"/>
        <v>0</v>
      </c>
    </row>
    <row r="5078" ht="15.0" hidden="1" customHeight="1">
      <c r="A5078" s="59">
        <f t="shared" si="20"/>
        <v>81</v>
      </c>
      <c r="B5078" s="59" t="str">
        <f t="shared" si="21"/>
        <v/>
      </c>
      <c r="C5078" s="59" t="str">
        <f t="shared" si="22"/>
        <v/>
      </c>
      <c r="D5078" s="45" t="str">
        <f t="shared" si="23"/>
        <v/>
      </c>
      <c r="E5078" s="45" t="str">
        <f t="shared" si="24"/>
        <v/>
      </c>
      <c r="F5078" s="59" t="str">
        <f t="shared" si="25"/>
        <v/>
      </c>
      <c r="G5078" s="59" t="str">
        <f t="shared" si="26"/>
        <v/>
      </c>
      <c r="H5078" s="59" t="str">
        <f t="shared" si="27"/>
        <v>29E18160</v>
      </c>
      <c r="I5078" s="59" t="str">
        <f>IF(OR($A5078="",$C5078="",$D5078="",$E5078="",$H5078=""),"",SUMIFS(DATA_GOC!$H:$H,DATA_GOC!$A:$A,"BOM",DATA_GOC!$D:$D,$H5078,DATA_GOC!$E:$E,$C5078,DATA_GOC!$F:$F,"Xuất nội bộ từ téc",DATA_GOC!$B:$B,"&gt;="&amp;$D5078,DATA_GOC!$B:$B,"&lt;="&amp;$E5078))</f>
        <v/>
      </c>
      <c r="J5078" s="59">
        <f t="shared" si="28"/>
        <v>0</v>
      </c>
      <c r="K5078" s="59">
        <f t="shared" si="29"/>
        <v>0</v>
      </c>
      <c r="L5078" s="59">
        <f t="shared" si="30"/>
        <v>0</v>
      </c>
      <c r="M5078" s="59">
        <f t="shared" si="31"/>
        <v>0</v>
      </c>
    </row>
    <row r="5079" ht="15.0" hidden="1" customHeight="1">
      <c r="A5079" s="59">
        <f t="shared" si="20"/>
        <v>81</v>
      </c>
      <c r="B5079" s="59" t="str">
        <f t="shared" si="21"/>
        <v/>
      </c>
      <c r="C5079" s="59" t="str">
        <f t="shared" si="22"/>
        <v/>
      </c>
      <c r="D5079" s="45" t="str">
        <f t="shared" si="23"/>
        <v/>
      </c>
      <c r="E5079" s="45" t="str">
        <f t="shared" si="24"/>
        <v/>
      </c>
      <c r="F5079" s="59" t="str">
        <f t="shared" si="25"/>
        <v/>
      </c>
      <c r="G5079" s="59" t="str">
        <f t="shared" si="26"/>
        <v/>
      </c>
      <c r="H5079" s="59" t="str">
        <f t="shared" si="27"/>
        <v>Công trình Asphalt</v>
      </c>
      <c r="I5079" s="59" t="str">
        <f>IF(OR($A5079="",$C5079="",$D5079="",$E5079="",$H5079=""),"",SUMIFS(DATA_GOC!$H:$H,DATA_GOC!$A:$A,"BOM",DATA_GOC!$D:$D,$H5079,DATA_GOC!$E:$E,$C5079,DATA_GOC!$F:$F,"Xuất nội bộ từ téc",DATA_GOC!$B:$B,"&gt;="&amp;$D5079,DATA_GOC!$B:$B,"&lt;="&amp;$E5079))</f>
        <v/>
      </c>
      <c r="J5079" s="59">
        <f t="shared" si="28"/>
        <v>0</v>
      </c>
      <c r="K5079" s="59">
        <f t="shared" si="29"/>
        <v>0</v>
      </c>
      <c r="L5079" s="59">
        <f t="shared" si="30"/>
        <v>0</v>
      </c>
      <c r="M5079" s="59">
        <f t="shared" si="31"/>
        <v>0</v>
      </c>
    </row>
    <row r="5080" ht="15.0" hidden="1" customHeight="1">
      <c r="A5080" s="59">
        <f t="shared" si="20"/>
        <v>81</v>
      </c>
      <c r="B5080" s="59" t="str">
        <f t="shared" si="21"/>
        <v/>
      </c>
      <c r="C5080" s="59" t="str">
        <f t="shared" si="22"/>
        <v/>
      </c>
      <c r="D5080" s="45" t="str">
        <f t="shared" si="23"/>
        <v/>
      </c>
      <c r="E5080" s="45" t="str">
        <f t="shared" si="24"/>
        <v/>
      </c>
      <c r="F5080" s="59" t="str">
        <f t="shared" si="25"/>
        <v/>
      </c>
      <c r="G5080" s="59" t="str">
        <f t="shared" si="26"/>
        <v/>
      </c>
      <c r="H5080" s="59" t="str">
        <f t="shared" si="27"/>
        <v>LG53F</v>
      </c>
      <c r="I5080" s="59" t="str">
        <f>IF(OR($A5080="",$C5080="",$D5080="",$E5080="",$H5080=""),"",SUMIFS(DATA_GOC!$H:$H,DATA_GOC!$A:$A,"BOM",DATA_GOC!$D:$D,$H5080,DATA_GOC!$E:$E,$C5080,DATA_GOC!$F:$F,"Xuất nội bộ từ téc",DATA_GOC!$B:$B,"&gt;="&amp;$D5080,DATA_GOC!$B:$B,"&lt;="&amp;$E5080))</f>
        <v/>
      </c>
      <c r="J5080" s="59">
        <f t="shared" si="28"/>
        <v>0</v>
      </c>
      <c r="K5080" s="59">
        <f t="shared" si="29"/>
        <v>0</v>
      </c>
      <c r="L5080" s="59">
        <f t="shared" si="30"/>
        <v>0</v>
      </c>
      <c r="M5080" s="59">
        <f t="shared" si="31"/>
        <v>0</v>
      </c>
    </row>
    <row r="5081" ht="15.0" hidden="1" customHeight="1">
      <c r="A5081" s="59">
        <f t="shared" si="20"/>
        <v>81</v>
      </c>
      <c r="B5081" s="59" t="str">
        <f t="shared" si="21"/>
        <v/>
      </c>
      <c r="C5081" s="59" t="str">
        <f t="shared" si="22"/>
        <v/>
      </c>
      <c r="D5081" s="45" t="str">
        <f t="shared" si="23"/>
        <v/>
      </c>
      <c r="E5081" s="45" t="str">
        <f t="shared" si="24"/>
        <v/>
      </c>
      <c r="F5081" s="59" t="str">
        <f t="shared" si="25"/>
        <v/>
      </c>
      <c r="G5081" s="59" t="str">
        <f t="shared" si="26"/>
        <v/>
      </c>
      <c r="H5081" s="59" t="str">
        <f t="shared" si="27"/>
        <v>Máy phát điện</v>
      </c>
      <c r="I5081" s="59" t="str">
        <f>IF(OR($A5081="",$C5081="",$D5081="",$E5081="",$H5081=""),"",SUMIFS(DATA_GOC!$H:$H,DATA_GOC!$A:$A,"BOM",DATA_GOC!$D:$D,$H5081,DATA_GOC!$E:$E,$C5081,DATA_GOC!$F:$F,"Xuất nội bộ từ téc",DATA_GOC!$B:$B,"&gt;="&amp;$D5081,DATA_GOC!$B:$B,"&lt;="&amp;$E5081))</f>
        <v/>
      </c>
      <c r="J5081" s="59">
        <f t="shared" si="28"/>
        <v>0</v>
      </c>
      <c r="K5081" s="59">
        <f t="shared" si="29"/>
        <v>0</v>
      </c>
      <c r="L5081" s="59">
        <f t="shared" si="30"/>
        <v>0</v>
      </c>
      <c r="M5081" s="59">
        <f t="shared" si="31"/>
        <v>0</v>
      </c>
    </row>
    <row r="5082" ht="15.0" hidden="1" customHeight="1">
      <c r="A5082" s="59">
        <f t="shared" si="20"/>
        <v>81</v>
      </c>
      <c r="B5082" s="59" t="str">
        <f t="shared" si="21"/>
        <v/>
      </c>
      <c r="C5082" s="59" t="str">
        <f t="shared" si="22"/>
        <v/>
      </c>
      <c r="D5082" s="45" t="str">
        <f t="shared" si="23"/>
        <v/>
      </c>
      <c r="E5082" s="45" t="str">
        <f t="shared" si="24"/>
        <v/>
      </c>
      <c r="F5082" s="59" t="str">
        <f t="shared" si="25"/>
        <v/>
      </c>
      <c r="G5082" s="59" t="str">
        <f t="shared" si="26"/>
        <v/>
      </c>
      <c r="H5082" s="59" t="str">
        <f t="shared" si="27"/>
        <v>Máy rải thảm</v>
      </c>
      <c r="I5082" s="59" t="str">
        <f>IF(OR($A5082="",$C5082="",$D5082="",$E5082="",$H5082=""),"",SUMIFS(DATA_GOC!$H:$H,DATA_GOC!$A:$A,"BOM",DATA_GOC!$D:$D,$H5082,DATA_GOC!$E:$E,$C5082,DATA_GOC!$F:$F,"Xuất nội bộ từ téc",DATA_GOC!$B:$B,"&gt;="&amp;$D5082,DATA_GOC!$B:$B,"&lt;="&amp;$E5082))</f>
        <v/>
      </c>
      <c r="J5082" s="59">
        <f t="shared" si="28"/>
        <v>0</v>
      </c>
      <c r="K5082" s="59">
        <f t="shared" si="29"/>
        <v>0</v>
      </c>
      <c r="L5082" s="59">
        <f t="shared" si="30"/>
        <v>0</v>
      </c>
      <c r="M5082" s="59">
        <f t="shared" si="31"/>
        <v>0</v>
      </c>
    </row>
    <row r="5083" ht="15.0" hidden="1" customHeight="1">
      <c r="A5083" s="59">
        <f t="shared" si="20"/>
        <v>81</v>
      </c>
      <c r="B5083" s="59" t="str">
        <f t="shared" si="21"/>
        <v/>
      </c>
      <c r="C5083" s="59" t="str">
        <f t="shared" si="22"/>
        <v/>
      </c>
      <c r="D5083" s="45" t="str">
        <f t="shared" si="23"/>
        <v/>
      </c>
      <c r="E5083" s="45" t="str">
        <f t="shared" si="24"/>
        <v/>
      </c>
      <c r="F5083" s="59" t="str">
        <f t="shared" si="25"/>
        <v/>
      </c>
      <c r="G5083" s="59" t="str">
        <f t="shared" si="26"/>
        <v/>
      </c>
      <c r="H5083" s="59" t="str">
        <f t="shared" si="27"/>
        <v>Xúc Đào</v>
      </c>
      <c r="I5083" s="59" t="str">
        <f>IF(OR($A5083="",$C5083="",$D5083="",$E5083="",$H5083=""),"",SUMIFS(DATA_GOC!$H:$H,DATA_GOC!$A:$A,"BOM",DATA_GOC!$D:$D,$H5083,DATA_GOC!$E:$E,$C5083,DATA_GOC!$F:$F,"Xuất nội bộ từ téc",DATA_GOC!$B:$B,"&gt;="&amp;$D5083,DATA_GOC!$B:$B,"&lt;="&amp;$E5083))</f>
        <v/>
      </c>
      <c r="J5083" s="59">
        <f t="shared" si="28"/>
        <v>0</v>
      </c>
      <c r="K5083" s="59">
        <f t="shared" si="29"/>
        <v>0</v>
      </c>
      <c r="L5083" s="59">
        <f t="shared" si="30"/>
        <v>0</v>
      </c>
      <c r="M5083" s="59">
        <f t="shared" si="31"/>
        <v>0</v>
      </c>
    </row>
    <row r="5084" ht="15.0" hidden="1" customHeight="1">
      <c r="A5084" s="59">
        <f t="shared" si="20"/>
        <v>81</v>
      </c>
      <c r="B5084" s="59" t="str">
        <f t="shared" si="21"/>
        <v/>
      </c>
      <c r="C5084" s="59" t="str">
        <f t="shared" si="22"/>
        <v/>
      </c>
      <c r="D5084" s="45" t="str">
        <f t="shared" si="23"/>
        <v/>
      </c>
      <c r="E5084" s="45" t="str">
        <f t="shared" si="24"/>
        <v/>
      </c>
      <c r="F5084" s="59" t="str">
        <f t="shared" si="25"/>
        <v/>
      </c>
      <c r="G5084" s="59" t="str">
        <f t="shared" si="26"/>
        <v/>
      </c>
      <c r="H5084" s="59" t="str">
        <f t="shared" si="27"/>
        <v>Xúclật asphalt</v>
      </c>
      <c r="I5084" s="59" t="str">
        <f>IF(OR($A5084="",$C5084="",$D5084="",$E5084="",$H5084=""),"",SUMIFS(DATA_GOC!$H:$H,DATA_GOC!$A:$A,"BOM",DATA_GOC!$D:$D,$H5084,DATA_GOC!$E:$E,$C5084,DATA_GOC!$F:$F,"Xuất nội bộ từ téc",DATA_GOC!$B:$B,"&gt;="&amp;$D5084,DATA_GOC!$B:$B,"&lt;="&amp;$E5084))</f>
        <v/>
      </c>
      <c r="J5084" s="59">
        <f t="shared" si="28"/>
        <v>0</v>
      </c>
      <c r="K5084" s="59">
        <f t="shared" si="29"/>
        <v>0</v>
      </c>
      <c r="L5084" s="59">
        <f t="shared" si="30"/>
        <v>0</v>
      </c>
      <c r="M5084" s="59">
        <f t="shared" si="31"/>
        <v>0</v>
      </c>
    </row>
    <row r="5085" ht="15.0" hidden="1" customHeight="1">
      <c r="A5085" s="59">
        <f t="shared" si="20"/>
        <v>81</v>
      </c>
      <c r="B5085" s="59" t="str">
        <f t="shared" si="21"/>
        <v/>
      </c>
      <c r="C5085" s="59" t="str">
        <f t="shared" si="22"/>
        <v/>
      </c>
      <c r="D5085" s="45" t="str">
        <f t="shared" si="23"/>
        <v/>
      </c>
      <c r="E5085" s="45" t="str">
        <f t="shared" si="24"/>
        <v/>
      </c>
      <c r="F5085" s="59" t="str">
        <f t="shared" si="25"/>
        <v/>
      </c>
      <c r="G5085" s="59" t="str">
        <f t="shared" si="26"/>
        <v/>
      </c>
      <c r="H5085" s="59" t="str">
        <f t="shared" si="27"/>
        <v>Xúclật855H</v>
      </c>
      <c r="I5085" s="59" t="str">
        <f>IF(OR($A5085="",$C5085="",$D5085="",$E5085="",$H5085=""),"",SUMIFS(DATA_GOC!$H:$H,DATA_GOC!$A:$A,"BOM",DATA_GOC!$D:$D,$H5085,DATA_GOC!$E:$E,$C5085,DATA_GOC!$F:$F,"Xuất nội bộ từ téc",DATA_GOC!$B:$B,"&gt;="&amp;$D5085,DATA_GOC!$B:$B,"&lt;="&amp;$E5085))</f>
        <v/>
      </c>
      <c r="J5085" s="59">
        <f t="shared" si="28"/>
        <v>0</v>
      </c>
      <c r="K5085" s="59">
        <f t="shared" si="29"/>
        <v>0</v>
      </c>
      <c r="L5085" s="59">
        <f t="shared" si="30"/>
        <v>0</v>
      </c>
      <c r="M5085" s="59">
        <f t="shared" si="31"/>
        <v>0</v>
      </c>
    </row>
    <row r="5086" ht="15.0" hidden="1" customHeight="1">
      <c r="A5086" s="59">
        <f t="shared" si="20"/>
        <v>81</v>
      </c>
      <c r="B5086" s="59" t="str">
        <f t="shared" si="21"/>
        <v/>
      </c>
      <c r="C5086" s="59" t="str">
        <f t="shared" si="22"/>
        <v/>
      </c>
      <c r="D5086" s="45" t="str">
        <f t="shared" si="23"/>
        <v/>
      </c>
      <c r="E5086" s="45" t="str">
        <f t="shared" si="24"/>
        <v/>
      </c>
      <c r="F5086" s="59" t="str">
        <f t="shared" si="25"/>
        <v/>
      </c>
      <c r="G5086" s="59" t="str">
        <f t="shared" si="26"/>
        <v/>
      </c>
      <c r="H5086" s="59" t="str">
        <f t="shared" si="27"/>
        <v>Xúclật855N</v>
      </c>
      <c r="I5086" s="59" t="str">
        <f>IF(OR($A5086="",$C5086="",$D5086="",$E5086="",$H5086=""),"",SUMIFS(DATA_GOC!$H:$H,DATA_GOC!$A:$A,"BOM",DATA_GOC!$D:$D,$H5086,DATA_GOC!$E:$E,$C5086,DATA_GOC!$F:$F,"Xuất nội bộ từ téc",DATA_GOC!$B:$B,"&gt;="&amp;$D5086,DATA_GOC!$B:$B,"&lt;="&amp;$E5086))</f>
        <v/>
      </c>
      <c r="J5086" s="59">
        <f t="shared" si="28"/>
        <v>0</v>
      </c>
      <c r="K5086" s="59">
        <f t="shared" si="29"/>
        <v>0</v>
      </c>
      <c r="L5086" s="59">
        <f t="shared" si="30"/>
        <v>0</v>
      </c>
      <c r="M5086" s="59">
        <f t="shared" si="31"/>
        <v>0</v>
      </c>
    </row>
    <row r="5087" ht="15.0" hidden="1" customHeight="1">
      <c r="A5087" s="59">
        <f t="shared" si="20"/>
        <v>81</v>
      </c>
      <c r="B5087" s="59" t="str">
        <f t="shared" si="21"/>
        <v/>
      </c>
      <c r="C5087" s="59" t="str">
        <f t="shared" si="22"/>
        <v/>
      </c>
      <c r="D5087" s="45" t="str">
        <f t="shared" si="23"/>
        <v/>
      </c>
      <c r="E5087" s="45" t="str">
        <f t="shared" si="24"/>
        <v/>
      </c>
      <c r="F5087" s="59" t="str">
        <f t="shared" si="25"/>
        <v/>
      </c>
      <c r="G5087" s="59" t="str">
        <f t="shared" si="26"/>
        <v/>
      </c>
      <c r="H5087" s="59" t="str">
        <f t="shared" si="27"/>
        <v>Cát nghiền</v>
      </c>
      <c r="I5087" s="59" t="str">
        <f>IF(OR($A5087="",$C5087="",$D5087="",$E5087="",$H5087=""),"",SUMIFS(DATA_GOC!$H:$H,DATA_GOC!$A:$A,"BOM",DATA_GOC!$D:$D,$H5087,DATA_GOC!$E:$E,$C5087,DATA_GOC!$F:$F,"Xuất nội bộ từ téc",DATA_GOC!$B:$B,"&gt;="&amp;$D5087,DATA_GOC!$B:$B,"&lt;="&amp;$E5087))</f>
        <v/>
      </c>
      <c r="J5087" s="59">
        <f t="shared" si="28"/>
        <v>0</v>
      </c>
      <c r="K5087" s="59">
        <f t="shared" si="29"/>
        <v>0</v>
      </c>
      <c r="L5087" s="59">
        <f t="shared" si="30"/>
        <v>0</v>
      </c>
      <c r="M5087" s="59">
        <f t="shared" si="31"/>
        <v>0</v>
      </c>
    </row>
    <row r="5088" ht="15.0" hidden="1" customHeight="1">
      <c r="A5088" s="59">
        <f t="shared" si="20"/>
        <v>81</v>
      </c>
      <c r="B5088" s="59" t="str">
        <f t="shared" si="21"/>
        <v/>
      </c>
      <c r="C5088" s="59" t="str">
        <f t="shared" si="22"/>
        <v/>
      </c>
      <c r="D5088" s="45" t="str">
        <f t="shared" si="23"/>
        <v/>
      </c>
      <c r="E5088" s="45" t="str">
        <f t="shared" si="24"/>
        <v/>
      </c>
      <c r="F5088" s="59" t="str">
        <f t="shared" si="25"/>
        <v/>
      </c>
      <c r="G5088" s="59" t="str">
        <f t="shared" si="26"/>
        <v/>
      </c>
      <c r="H5088" s="59" t="str">
        <f t="shared" si="27"/>
        <v>28C02973</v>
      </c>
      <c r="I5088" s="59" t="str">
        <f>IF(OR($A5088="",$C5088="",$D5088="",$E5088="",$H5088=""),"",SUMIFS(DATA_GOC!$H:$H,DATA_GOC!$A:$A,"BOM",DATA_GOC!$D:$D,$H5088,DATA_GOC!$E:$E,$C5088,DATA_GOC!$F:$F,"Xuất nội bộ từ téc",DATA_GOC!$B:$B,"&gt;="&amp;$D5088,DATA_GOC!$B:$B,"&lt;="&amp;$E5088))</f>
        <v/>
      </c>
      <c r="J5088" s="59">
        <f t="shared" si="28"/>
        <v>0</v>
      </c>
      <c r="K5088" s="59">
        <f t="shared" si="29"/>
        <v>0</v>
      </c>
      <c r="L5088" s="59">
        <f t="shared" si="30"/>
        <v>0</v>
      </c>
      <c r="M5088" s="59">
        <f t="shared" si="31"/>
        <v>0</v>
      </c>
    </row>
    <row r="5089" ht="15.0" hidden="1" customHeight="1">
      <c r="A5089" s="59">
        <f t="shared" si="20"/>
        <v>81</v>
      </c>
      <c r="B5089" s="59" t="str">
        <f t="shared" si="21"/>
        <v/>
      </c>
      <c r="C5089" s="59" t="str">
        <f t="shared" si="22"/>
        <v/>
      </c>
      <c r="D5089" s="45" t="str">
        <f t="shared" si="23"/>
        <v/>
      </c>
      <c r="E5089" s="45" t="str">
        <f t="shared" si="24"/>
        <v/>
      </c>
      <c r="F5089" s="59" t="str">
        <f t="shared" si="25"/>
        <v/>
      </c>
      <c r="G5089" s="59" t="str">
        <f t="shared" si="26"/>
        <v/>
      </c>
      <c r="H5089" s="59" t="str">
        <f t="shared" si="27"/>
        <v>28C03044</v>
      </c>
      <c r="I5089" s="59" t="str">
        <f>IF(OR($A5089="",$C5089="",$D5089="",$E5089="",$H5089=""),"",SUMIFS(DATA_GOC!$H:$H,DATA_GOC!$A:$A,"BOM",DATA_GOC!$D:$D,$H5089,DATA_GOC!$E:$E,$C5089,DATA_GOC!$F:$F,"Xuất nội bộ từ téc",DATA_GOC!$B:$B,"&gt;="&amp;$D5089,DATA_GOC!$B:$B,"&lt;="&amp;$E5089))</f>
        <v/>
      </c>
      <c r="J5089" s="59">
        <f t="shared" si="28"/>
        <v>0</v>
      </c>
      <c r="K5089" s="59">
        <f t="shared" si="29"/>
        <v>0</v>
      </c>
      <c r="L5089" s="59">
        <f t="shared" si="30"/>
        <v>0</v>
      </c>
      <c r="M5089" s="59">
        <f t="shared" si="31"/>
        <v>0</v>
      </c>
    </row>
    <row r="5090" ht="15.0" hidden="1" customHeight="1">
      <c r="A5090" s="59">
        <f t="shared" si="20"/>
        <v>81</v>
      </c>
      <c r="B5090" s="59" t="str">
        <f t="shared" si="21"/>
        <v/>
      </c>
      <c r="C5090" s="59" t="str">
        <f t="shared" si="22"/>
        <v/>
      </c>
      <c r="D5090" s="45" t="str">
        <f t="shared" si="23"/>
        <v/>
      </c>
      <c r="E5090" s="45" t="str">
        <f t="shared" si="24"/>
        <v/>
      </c>
      <c r="F5090" s="59" t="str">
        <f t="shared" si="25"/>
        <v/>
      </c>
      <c r="G5090" s="59" t="str">
        <f t="shared" si="26"/>
        <v/>
      </c>
      <c r="H5090" s="59" t="str">
        <f t="shared" si="27"/>
        <v>Máy lu lốp</v>
      </c>
      <c r="I5090" s="59" t="str">
        <f>IF(OR($A5090="",$C5090="",$D5090="",$E5090="",$H5090=""),"",SUMIFS(DATA_GOC!$H:$H,DATA_GOC!$A:$A,"BOM",DATA_GOC!$D:$D,$H5090,DATA_GOC!$E:$E,$C5090,DATA_GOC!$F:$F,"Xuất nội bộ từ téc",DATA_GOC!$B:$B,"&gt;="&amp;$D5090,DATA_GOC!$B:$B,"&lt;="&amp;$E5090))</f>
        <v/>
      </c>
      <c r="J5090" s="59">
        <f t="shared" si="28"/>
        <v>0</v>
      </c>
      <c r="K5090" s="59">
        <f t="shared" si="29"/>
        <v>0</v>
      </c>
      <c r="L5090" s="59">
        <f t="shared" si="30"/>
        <v>0</v>
      </c>
      <c r="M5090" s="59">
        <f t="shared" si="31"/>
        <v>0</v>
      </c>
    </row>
    <row r="5091" ht="15.0" hidden="1" customHeight="1">
      <c r="A5091" s="59">
        <f t="shared" si="20"/>
        <v>81</v>
      </c>
      <c r="B5091" s="59" t="str">
        <f t="shared" si="21"/>
        <v/>
      </c>
      <c r="C5091" s="59" t="str">
        <f t="shared" si="22"/>
        <v/>
      </c>
      <c r="D5091" s="45" t="str">
        <f t="shared" si="23"/>
        <v/>
      </c>
      <c r="E5091" s="45" t="str">
        <f t="shared" si="24"/>
        <v/>
      </c>
      <c r="F5091" s="59" t="str">
        <f t="shared" si="25"/>
        <v/>
      </c>
      <c r="G5091" s="59" t="str">
        <f t="shared" si="26"/>
        <v/>
      </c>
      <c r="H5091" s="59" t="str">
        <f t="shared" si="27"/>
        <v>Xe 600148</v>
      </c>
      <c r="I5091" s="59" t="str">
        <f>IF(OR($A5091="",$C5091="",$D5091="",$E5091="",$H5091=""),"",SUMIFS(DATA_GOC!$H:$H,DATA_GOC!$A:$A,"BOM",DATA_GOC!$D:$D,$H5091,DATA_GOC!$E:$E,$C5091,DATA_GOC!$F:$F,"Xuất nội bộ từ téc",DATA_GOC!$B:$B,"&gt;="&amp;$D5091,DATA_GOC!$B:$B,"&lt;="&amp;$E5091))</f>
        <v/>
      </c>
      <c r="J5091" s="59">
        <f t="shared" si="28"/>
        <v>0</v>
      </c>
      <c r="K5091" s="59">
        <f t="shared" si="29"/>
        <v>0</v>
      </c>
      <c r="L5091" s="59">
        <f t="shared" si="30"/>
        <v>0</v>
      </c>
      <c r="M5091" s="59">
        <f t="shared" si="31"/>
        <v>0</v>
      </c>
    </row>
    <row r="5092" ht="15.0" hidden="1" customHeight="1">
      <c r="A5092" s="59">
        <f t="shared" si="20"/>
        <v>81</v>
      </c>
      <c r="B5092" s="59" t="str">
        <f t="shared" si="21"/>
        <v/>
      </c>
      <c r="C5092" s="59" t="str">
        <f t="shared" si="22"/>
        <v/>
      </c>
      <c r="D5092" s="45" t="str">
        <f t="shared" si="23"/>
        <v/>
      </c>
      <c r="E5092" s="45" t="str">
        <f t="shared" si="24"/>
        <v/>
      </c>
      <c r="F5092" s="59" t="str">
        <f t="shared" si="25"/>
        <v/>
      </c>
      <c r="G5092" s="59" t="str">
        <f t="shared" si="26"/>
        <v/>
      </c>
      <c r="H5092" s="59" t="str">
        <f t="shared" si="27"/>
        <v>Xe ben mới</v>
      </c>
      <c r="I5092" s="59" t="str">
        <f>IF(OR($A5092="",$C5092="",$D5092="",$E5092="",$H5092=""),"",SUMIFS(DATA_GOC!$H:$H,DATA_GOC!$A:$A,"BOM",DATA_GOC!$D:$D,$H5092,DATA_GOC!$E:$E,$C5092,DATA_GOC!$F:$F,"Xuất nội bộ từ téc",DATA_GOC!$B:$B,"&gt;="&amp;$D5092,DATA_GOC!$B:$B,"&lt;="&amp;$E5092))</f>
        <v/>
      </c>
      <c r="J5092" s="59">
        <f t="shared" si="28"/>
        <v>0</v>
      </c>
      <c r="K5092" s="59">
        <f t="shared" si="29"/>
        <v>0</v>
      </c>
      <c r="L5092" s="59">
        <f t="shared" si="30"/>
        <v>0</v>
      </c>
      <c r="M5092" s="59">
        <f t="shared" si="31"/>
        <v>0</v>
      </c>
    </row>
    <row r="5093" ht="15.0" hidden="1" customHeight="1">
      <c r="A5093" s="59">
        <f t="shared" si="20"/>
        <v>82</v>
      </c>
      <c r="B5093" s="59" t="str">
        <f t="shared" si="21"/>
        <v/>
      </c>
      <c r="C5093" s="59" t="str">
        <f t="shared" si="22"/>
        <v/>
      </c>
      <c r="D5093" s="45" t="str">
        <f t="shared" si="23"/>
        <v/>
      </c>
      <c r="E5093" s="45" t="str">
        <f t="shared" si="24"/>
        <v/>
      </c>
      <c r="F5093" s="59" t="str">
        <f t="shared" si="25"/>
        <v/>
      </c>
      <c r="G5093" s="59" t="str">
        <f t="shared" si="26"/>
        <v/>
      </c>
      <c r="H5093" s="59" t="str">
        <f t="shared" si="27"/>
        <v>19H09482</v>
      </c>
      <c r="I5093" s="59" t="str">
        <f>IF(OR($A5093="",$C5093="",$D5093="",$E5093="",$H5093=""),"",SUMIFS(DATA_GOC!$H:$H,DATA_GOC!$A:$A,"BOM",DATA_GOC!$D:$D,$H5093,DATA_GOC!$E:$E,$C5093,DATA_GOC!$F:$F,"Xuất nội bộ từ téc",DATA_GOC!$B:$B,"&gt;="&amp;$D5093,DATA_GOC!$B:$B,"&lt;="&amp;$E5093))</f>
        <v/>
      </c>
      <c r="J5093" s="59">
        <f t="shared" si="28"/>
        <v>0</v>
      </c>
      <c r="K5093" s="59">
        <f t="shared" si="29"/>
        <v>0</v>
      </c>
      <c r="L5093" s="59">
        <f t="shared" si="30"/>
        <v>0</v>
      </c>
      <c r="M5093" s="59">
        <f t="shared" si="31"/>
        <v>0</v>
      </c>
    </row>
    <row r="5094" ht="15.0" hidden="1" customHeight="1">
      <c r="A5094" s="59">
        <f t="shared" si="20"/>
        <v>82</v>
      </c>
      <c r="B5094" s="59" t="str">
        <f t="shared" si="21"/>
        <v/>
      </c>
      <c r="C5094" s="59" t="str">
        <f t="shared" si="22"/>
        <v/>
      </c>
      <c r="D5094" s="45" t="str">
        <f t="shared" si="23"/>
        <v/>
      </c>
      <c r="E5094" s="45" t="str">
        <f t="shared" si="24"/>
        <v/>
      </c>
      <c r="F5094" s="59" t="str">
        <f t="shared" si="25"/>
        <v/>
      </c>
      <c r="G5094" s="59" t="str">
        <f t="shared" si="26"/>
        <v/>
      </c>
      <c r="H5094" s="59" t="str">
        <f t="shared" si="27"/>
        <v>28A30696</v>
      </c>
      <c r="I5094" s="59" t="str">
        <f>IF(OR($A5094="",$C5094="",$D5094="",$E5094="",$H5094=""),"",SUMIFS(DATA_GOC!$H:$H,DATA_GOC!$A:$A,"BOM",DATA_GOC!$D:$D,$H5094,DATA_GOC!$E:$E,$C5094,DATA_GOC!$F:$F,"Xuất nội bộ từ téc",DATA_GOC!$B:$B,"&gt;="&amp;$D5094,DATA_GOC!$B:$B,"&lt;="&amp;$E5094))</f>
        <v/>
      </c>
      <c r="J5094" s="59">
        <f t="shared" si="28"/>
        <v>0</v>
      </c>
      <c r="K5094" s="59">
        <f t="shared" si="29"/>
        <v>0</v>
      </c>
      <c r="L5094" s="59">
        <f t="shared" si="30"/>
        <v>0</v>
      </c>
      <c r="M5094" s="59">
        <f t="shared" si="31"/>
        <v>0</v>
      </c>
    </row>
    <row r="5095" ht="15.0" hidden="1" customHeight="1">
      <c r="A5095" s="59">
        <f t="shared" si="20"/>
        <v>82</v>
      </c>
      <c r="B5095" s="59" t="str">
        <f t="shared" si="21"/>
        <v/>
      </c>
      <c r="C5095" s="59" t="str">
        <f t="shared" si="22"/>
        <v/>
      </c>
      <c r="D5095" s="45" t="str">
        <f t="shared" si="23"/>
        <v/>
      </c>
      <c r="E5095" s="45" t="str">
        <f t="shared" si="24"/>
        <v/>
      </c>
      <c r="F5095" s="59" t="str">
        <f t="shared" si="25"/>
        <v/>
      </c>
      <c r="G5095" s="59" t="str">
        <f t="shared" si="26"/>
        <v/>
      </c>
      <c r="H5095" s="59" t="str">
        <f t="shared" si="27"/>
        <v>28C00462</v>
      </c>
      <c r="I5095" s="59" t="str">
        <f>IF(OR($A5095="",$C5095="",$D5095="",$E5095="",$H5095=""),"",SUMIFS(DATA_GOC!$H:$H,DATA_GOC!$A:$A,"BOM",DATA_GOC!$D:$D,$H5095,DATA_GOC!$E:$E,$C5095,DATA_GOC!$F:$F,"Xuất nội bộ từ téc",DATA_GOC!$B:$B,"&gt;="&amp;$D5095,DATA_GOC!$B:$B,"&lt;="&amp;$E5095))</f>
        <v/>
      </c>
      <c r="J5095" s="59">
        <f t="shared" si="28"/>
        <v>0</v>
      </c>
      <c r="K5095" s="59">
        <f t="shared" si="29"/>
        <v>0</v>
      </c>
      <c r="L5095" s="59">
        <f t="shared" si="30"/>
        <v>0</v>
      </c>
      <c r="M5095" s="59">
        <f t="shared" si="31"/>
        <v>0</v>
      </c>
    </row>
    <row r="5096" ht="15.0" hidden="1" customHeight="1">
      <c r="A5096" s="59">
        <f t="shared" si="20"/>
        <v>82</v>
      </c>
      <c r="B5096" s="59" t="str">
        <f t="shared" si="21"/>
        <v/>
      </c>
      <c r="C5096" s="59" t="str">
        <f t="shared" si="22"/>
        <v/>
      </c>
      <c r="D5096" s="45" t="str">
        <f t="shared" si="23"/>
        <v/>
      </c>
      <c r="E5096" s="45" t="str">
        <f t="shared" si="24"/>
        <v/>
      </c>
      <c r="F5096" s="59" t="str">
        <f t="shared" si="25"/>
        <v/>
      </c>
      <c r="G5096" s="59" t="str">
        <f t="shared" si="26"/>
        <v/>
      </c>
      <c r="H5096" s="59" t="str">
        <f t="shared" si="27"/>
        <v>28C01165</v>
      </c>
      <c r="I5096" s="59" t="str">
        <f>IF(OR($A5096="",$C5096="",$D5096="",$E5096="",$H5096=""),"",SUMIFS(DATA_GOC!$H:$H,DATA_GOC!$A:$A,"BOM",DATA_GOC!$D:$D,$H5096,DATA_GOC!$E:$E,$C5096,DATA_GOC!$F:$F,"Xuất nội bộ từ téc",DATA_GOC!$B:$B,"&gt;="&amp;$D5096,DATA_GOC!$B:$B,"&lt;="&amp;$E5096))</f>
        <v/>
      </c>
      <c r="J5096" s="59">
        <f t="shared" si="28"/>
        <v>0</v>
      </c>
      <c r="K5096" s="59">
        <f t="shared" si="29"/>
        <v>0</v>
      </c>
      <c r="L5096" s="59">
        <f t="shared" si="30"/>
        <v>0</v>
      </c>
      <c r="M5096" s="59">
        <f t="shared" si="31"/>
        <v>0</v>
      </c>
    </row>
    <row r="5097" ht="15.0" hidden="1" customHeight="1">
      <c r="A5097" s="59">
        <f t="shared" si="20"/>
        <v>82</v>
      </c>
      <c r="B5097" s="59" t="str">
        <f t="shared" si="21"/>
        <v/>
      </c>
      <c r="C5097" s="59" t="str">
        <f t="shared" si="22"/>
        <v/>
      </c>
      <c r="D5097" s="45" t="str">
        <f t="shared" si="23"/>
        <v/>
      </c>
      <c r="E5097" s="45" t="str">
        <f t="shared" si="24"/>
        <v/>
      </c>
      <c r="F5097" s="59" t="str">
        <f t="shared" si="25"/>
        <v/>
      </c>
      <c r="G5097" s="59" t="str">
        <f t="shared" si="26"/>
        <v/>
      </c>
      <c r="H5097" s="59" t="str">
        <f t="shared" si="27"/>
        <v>28C01406</v>
      </c>
      <c r="I5097" s="59" t="str">
        <f>IF(OR($A5097="",$C5097="",$D5097="",$E5097="",$H5097=""),"",SUMIFS(DATA_GOC!$H:$H,DATA_GOC!$A:$A,"BOM",DATA_GOC!$D:$D,$H5097,DATA_GOC!$E:$E,$C5097,DATA_GOC!$F:$F,"Xuất nội bộ từ téc",DATA_GOC!$B:$B,"&gt;="&amp;$D5097,DATA_GOC!$B:$B,"&lt;="&amp;$E5097))</f>
        <v/>
      </c>
      <c r="J5097" s="59">
        <f t="shared" si="28"/>
        <v>0</v>
      </c>
      <c r="K5097" s="59">
        <f t="shared" si="29"/>
        <v>0</v>
      </c>
      <c r="L5097" s="59">
        <f t="shared" si="30"/>
        <v>0</v>
      </c>
      <c r="M5097" s="59">
        <f t="shared" si="31"/>
        <v>0</v>
      </c>
    </row>
    <row r="5098" ht="15.0" hidden="1" customHeight="1">
      <c r="A5098" s="59">
        <f t="shared" si="20"/>
        <v>82</v>
      </c>
      <c r="B5098" s="59" t="str">
        <f t="shared" si="21"/>
        <v/>
      </c>
      <c r="C5098" s="59" t="str">
        <f t="shared" si="22"/>
        <v/>
      </c>
      <c r="D5098" s="45" t="str">
        <f t="shared" si="23"/>
        <v/>
      </c>
      <c r="E5098" s="45" t="str">
        <f t="shared" si="24"/>
        <v/>
      </c>
      <c r="F5098" s="59" t="str">
        <f t="shared" si="25"/>
        <v/>
      </c>
      <c r="G5098" s="59" t="str">
        <f t="shared" si="26"/>
        <v/>
      </c>
      <c r="H5098" s="59" t="str">
        <f t="shared" si="27"/>
        <v>28C01544</v>
      </c>
      <c r="I5098" s="59" t="str">
        <f>IF(OR($A5098="",$C5098="",$D5098="",$E5098="",$H5098=""),"",SUMIFS(DATA_GOC!$H:$H,DATA_GOC!$A:$A,"BOM",DATA_GOC!$D:$D,$H5098,DATA_GOC!$E:$E,$C5098,DATA_GOC!$F:$F,"Xuất nội bộ từ téc",DATA_GOC!$B:$B,"&gt;="&amp;$D5098,DATA_GOC!$B:$B,"&lt;="&amp;$E5098))</f>
        <v/>
      </c>
      <c r="J5098" s="59">
        <f t="shared" si="28"/>
        <v>0</v>
      </c>
      <c r="K5098" s="59">
        <f t="shared" si="29"/>
        <v>0</v>
      </c>
      <c r="L5098" s="59">
        <f t="shared" si="30"/>
        <v>0</v>
      </c>
      <c r="M5098" s="59">
        <f t="shared" si="31"/>
        <v>0</v>
      </c>
    </row>
    <row r="5099" ht="15.0" hidden="1" customHeight="1">
      <c r="A5099" s="59">
        <f t="shared" si="20"/>
        <v>82</v>
      </c>
      <c r="B5099" s="59" t="str">
        <f t="shared" si="21"/>
        <v/>
      </c>
      <c r="C5099" s="59" t="str">
        <f t="shared" si="22"/>
        <v/>
      </c>
      <c r="D5099" s="45" t="str">
        <f t="shared" si="23"/>
        <v/>
      </c>
      <c r="E5099" s="45" t="str">
        <f t="shared" si="24"/>
        <v/>
      </c>
      <c r="F5099" s="59" t="str">
        <f t="shared" si="25"/>
        <v/>
      </c>
      <c r="G5099" s="59" t="str">
        <f t="shared" si="26"/>
        <v/>
      </c>
      <c r="H5099" s="59" t="str">
        <f t="shared" si="27"/>
        <v>28C01622</v>
      </c>
      <c r="I5099" s="59" t="str">
        <f>IF(OR($A5099="",$C5099="",$D5099="",$E5099="",$H5099=""),"",SUMIFS(DATA_GOC!$H:$H,DATA_GOC!$A:$A,"BOM",DATA_GOC!$D:$D,$H5099,DATA_GOC!$E:$E,$C5099,DATA_GOC!$F:$F,"Xuất nội bộ từ téc",DATA_GOC!$B:$B,"&gt;="&amp;$D5099,DATA_GOC!$B:$B,"&lt;="&amp;$E5099))</f>
        <v/>
      </c>
      <c r="J5099" s="59">
        <f t="shared" si="28"/>
        <v>0</v>
      </c>
      <c r="K5099" s="59">
        <f t="shared" si="29"/>
        <v>0</v>
      </c>
      <c r="L5099" s="59">
        <f t="shared" si="30"/>
        <v>0</v>
      </c>
      <c r="M5099" s="59">
        <f t="shared" si="31"/>
        <v>0</v>
      </c>
    </row>
    <row r="5100" ht="15.0" hidden="1" customHeight="1">
      <c r="A5100" s="59">
        <f t="shared" si="20"/>
        <v>82</v>
      </c>
      <c r="B5100" s="59" t="str">
        <f t="shared" si="21"/>
        <v/>
      </c>
      <c r="C5100" s="59" t="str">
        <f t="shared" si="22"/>
        <v/>
      </c>
      <c r="D5100" s="45" t="str">
        <f t="shared" si="23"/>
        <v/>
      </c>
      <c r="E5100" s="45" t="str">
        <f t="shared" si="24"/>
        <v/>
      </c>
      <c r="F5100" s="59" t="str">
        <f t="shared" si="25"/>
        <v/>
      </c>
      <c r="G5100" s="59" t="str">
        <f t="shared" si="26"/>
        <v/>
      </c>
      <c r="H5100" s="59" t="str">
        <f t="shared" si="27"/>
        <v>28C01647</v>
      </c>
      <c r="I5100" s="59" t="str">
        <f>IF(OR($A5100="",$C5100="",$D5100="",$E5100="",$H5100=""),"",SUMIFS(DATA_GOC!$H:$H,DATA_GOC!$A:$A,"BOM",DATA_GOC!$D:$D,$H5100,DATA_GOC!$E:$E,$C5100,DATA_GOC!$F:$F,"Xuất nội bộ từ téc",DATA_GOC!$B:$B,"&gt;="&amp;$D5100,DATA_GOC!$B:$B,"&lt;="&amp;$E5100))</f>
        <v/>
      </c>
      <c r="J5100" s="59">
        <f t="shared" si="28"/>
        <v>0</v>
      </c>
      <c r="K5100" s="59">
        <f t="shared" si="29"/>
        <v>0</v>
      </c>
      <c r="L5100" s="59">
        <f t="shared" si="30"/>
        <v>0</v>
      </c>
      <c r="M5100" s="59">
        <f t="shared" si="31"/>
        <v>0</v>
      </c>
    </row>
    <row r="5101" ht="15.0" hidden="1" customHeight="1">
      <c r="A5101" s="59">
        <f t="shared" si="20"/>
        <v>82</v>
      </c>
      <c r="B5101" s="59" t="str">
        <f t="shared" si="21"/>
        <v/>
      </c>
      <c r="C5101" s="59" t="str">
        <f t="shared" si="22"/>
        <v/>
      </c>
      <c r="D5101" s="45" t="str">
        <f t="shared" si="23"/>
        <v/>
      </c>
      <c r="E5101" s="45" t="str">
        <f t="shared" si="24"/>
        <v/>
      </c>
      <c r="F5101" s="59" t="str">
        <f t="shared" si="25"/>
        <v/>
      </c>
      <c r="G5101" s="59" t="str">
        <f t="shared" si="26"/>
        <v/>
      </c>
      <c r="H5101" s="59" t="str">
        <f t="shared" si="27"/>
        <v>28C01731</v>
      </c>
      <c r="I5101" s="59" t="str">
        <f>IF(OR($A5101="",$C5101="",$D5101="",$E5101="",$H5101=""),"",SUMIFS(DATA_GOC!$H:$H,DATA_GOC!$A:$A,"BOM",DATA_GOC!$D:$D,$H5101,DATA_GOC!$E:$E,$C5101,DATA_GOC!$F:$F,"Xuất nội bộ từ téc",DATA_GOC!$B:$B,"&gt;="&amp;$D5101,DATA_GOC!$B:$B,"&lt;="&amp;$E5101))</f>
        <v/>
      </c>
      <c r="J5101" s="59">
        <f t="shared" si="28"/>
        <v>0</v>
      </c>
      <c r="K5101" s="59">
        <f t="shared" si="29"/>
        <v>0</v>
      </c>
      <c r="L5101" s="59">
        <f t="shared" si="30"/>
        <v>0</v>
      </c>
      <c r="M5101" s="59">
        <f t="shared" si="31"/>
        <v>0</v>
      </c>
    </row>
    <row r="5102" ht="15.0" hidden="1" customHeight="1">
      <c r="A5102" s="59">
        <f t="shared" si="20"/>
        <v>82</v>
      </c>
      <c r="B5102" s="59" t="str">
        <f t="shared" si="21"/>
        <v/>
      </c>
      <c r="C5102" s="59" t="str">
        <f t="shared" si="22"/>
        <v/>
      </c>
      <c r="D5102" s="45" t="str">
        <f t="shared" si="23"/>
        <v/>
      </c>
      <c r="E5102" s="45" t="str">
        <f t="shared" si="24"/>
        <v/>
      </c>
      <c r="F5102" s="59" t="str">
        <f t="shared" si="25"/>
        <v/>
      </c>
      <c r="G5102" s="59" t="str">
        <f t="shared" si="26"/>
        <v/>
      </c>
      <c r="H5102" s="59" t="str">
        <f t="shared" si="27"/>
        <v>28C01743</v>
      </c>
      <c r="I5102" s="59" t="str">
        <f>IF(OR($A5102="",$C5102="",$D5102="",$E5102="",$H5102=""),"",SUMIFS(DATA_GOC!$H:$H,DATA_GOC!$A:$A,"BOM",DATA_GOC!$D:$D,$H5102,DATA_GOC!$E:$E,$C5102,DATA_GOC!$F:$F,"Xuất nội bộ từ téc",DATA_GOC!$B:$B,"&gt;="&amp;$D5102,DATA_GOC!$B:$B,"&lt;="&amp;$E5102))</f>
        <v/>
      </c>
      <c r="J5102" s="59">
        <f t="shared" si="28"/>
        <v>0</v>
      </c>
      <c r="K5102" s="59">
        <f t="shared" si="29"/>
        <v>0</v>
      </c>
      <c r="L5102" s="59">
        <f t="shared" si="30"/>
        <v>0</v>
      </c>
      <c r="M5102" s="59">
        <f t="shared" si="31"/>
        <v>0</v>
      </c>
    </row>
    <row r="5103" ht="15.0" hidden="1" customHeight="1">
      <c r="A5103" s="59">
        <f t="shared" si="20"/>
        <v>82</v>
      </c>
      <c r="B5103" s="59" t="str">
        <f t="shared" si="21"/>
        <v/>
      </c>
      <c r="C5103" s="59" t="str">
        <f t="shared" si="22"/>
        <v/>
      </c>
      <c r="D5103" s="45" t="str">
        <f t="shared" si="23"/>
        <v/>
      </c>
      <c r="E5103" s="45" t="str">
        <f t="shared" si="24"/>
        <v/>
      </c>
      <c r="F5103" s="59" t="str">
        <f t="shared" si="25"/>
        <v/>
      </c>
      <c r="G5103" s="59" t="str">
        <f t="shared" si="26"/>
        <v/>
      </c>
      <c r="H5103" s="59" t="str">
        <f t="shared" si="27"/>
        <v>28C02106</v>
      </c>
      <c r="I5103" s="59" t="str">
        <f>IF(OR($A5103="",$C5103="",$D5103="",$E5103="",$H5103=""),"",SUMIFS(DATA_GOC!$H:$H,DATA_GOC!$A:$A,"BOM",DATA_GOC!$D:$D,$H5103,DATA_GOC!$E:$E,$C5103,DATA_GOC!$F:$F,"Xuất nội bộ từ téc",DATA_GOC!$B:$B,"&gt;="&amp;$D5103,DATA_GOC!$B:$B,"&lt;="&amp;$E5103))</f>
        <v/>
      </c>
      <c r="J5103" s="59">
        <f t="shared" si="28"/>
        <v>0</v>
      </c>
      <c r="K5103" s="59">
        <f t="shared" si="29"/>
        <v>0</v>
      </c>
      <c r="L5103" s="59">
        <f t="shared" si="30"/>
        <v>0</v>
      </c>
      <c r="M5103" s="59">
        <f t="shared" si="31"/>
        <v>0</v>
      </c>
    </row>
    <row r="5104" ht="15.0" hidden="1" customHeight="1">
      <c r="A5104" s="59">
        <f t="shared" si="20"/>
        <v>82</v>
      </c>
      <c r="B5104" s="59" t="str">
        <f t="shared" si="21"/>
        <v/>
      </c>
      <c r="C5104" s="59" t="str">
        <f t="shared" si="22"/>
        <v/>
      </c>
      <c r="D5104" s="45" t="str">
        <f t="shared" si="23"/>
        <v/>
      </c>
      <c r="E5104" s="45" t="str">
        <f t="shared" si="24"/>
        <v/>
      </c>
      <c r="F5104" s="59" t="str">
        <f t="shared" si="25"/>
        <v/>
      </c>
      <c r="G5104" s="59" t="str">
        <f t="shared" si="26"/>
        <v/>
      </c>
      <c r="H5104" s="59" t="str">
        <f t="shared" si="27"/>
        <v>28C02410</v>
      </c>
      <c r="I5104" s="59" t="str">
        <f>IF(OR($A5104="",$C5104="",$D5104="",$E5104="",$H5104=""),"",SUMIFS(DATA_GOC!$H:$H,DATA_GOC!$A:$A,"BOM",DATA_GOC!$D:$D,$H5104,DATA_GOC!$E:$E,$C5104,DATA_GOC!$F:$F,"Xuất nội bộ từ téc",DATA_GOC!$B:$B,"&gt;="&amp;$D5104,DATA_GOC!$B:$B,"&lt;="&amp;$E5104))</f>
        <v/>
      </c>
      <c r="J5104" s="59">
        <f t="shared" si="28"/>
        <v>0</v>
      </c>
      <c r="K5104" s="59">
        <f t="shared" si="29"/>
        <v>0</v>
      </c>
      <c r="L5104" s="59">
        <f t="shared" si="30"/>
        <v>0</v>
      </c>
      <c r="M5104" s="59">
        <f t="shared" si="31"/>
        <v>0</v>
      </c>
    </row>
    <row r="5105" ht="15.0" hidden="1" customHeight="1">
      <c r="A5105" s="59">
        <f t="shared" si="20"/>
        <v>82</v>
      </c>
      <c r="B5105" s="59" t="str">
        <f t="shared" si="21"/>
        <v/>
      </c>
      <c r="C5105" s="59" t="str">
        <f t="shared" si="22"/>
        <v/>
      </c>
      <c r="D5105" s="45" t="str">
        <f t="shared" si="23"/>
        <v/>
      </c>
      <c r="E5105" s="45" t="str">
        <f t="shared" si="24"/>
        <v/>
      </c>
      <c r="F5105" s="59" t="str">
        <f t="shared" si="25"/>
        <v/>
      </c>
      <c r="G5105" s="59" t="str">
        <f t="shared" si="26"/>
        <v/>
      </c>
      <c r="H5105" s="59" t="str">
        <f t="shared" si="27"/>
        <v>28C02545</v>
      </c>
      <c r="I5105" s="59" t="str">
        <f>IF(OR($A5105="",$C5105="",$D5105="",$E5105="",$H5105=""),"",SUMIFS(DATA_GOC!$H:$H,DATA_GOC!$A:$A,"BOM",DATA_GOC!$D:$D,$H5105,DATA_GOC!$E:$E,$C5105,DATA_GOC!$F:$F,"Xuất nội bộ từ téc",DATA_GOC!$B:$B,"&gt;="&amp;$D5105,DATA_GOC!$B:$B,"&lt;="&amp;$E5105))</f>
        <v/>
      </c>
      <c r="J5105" s="59">
        <f t="shared" si="28"/>
        <v>0</v>
      </c>
      <c r="K5105" s="59">
        <f t="shared" si="29"/>
        <v>0</v>
      </c>
      <c r="L5105" s="59">
        <f t="shared" si="30"/>
        <v>0</v>
      </c>
      <c r="M5105" s="59">
        <f t="shared" si="31"/>
        <v>0</v>
      </c>
    </row>
    <row r="5106" ht="15.0" hidden="1" customHeight="1">
      <c r="A5106" s="59">
        <f t="shared" si="20"/>
        <v>82</v>
      </c>
      <c r="B5106" s="59" t="str">
        <f t="shared" si="21"/>
        <v/>
      </c>
      <c r="C5106" s="59" t="str">
        <f t="shared" si="22"/>
        <v/>
      </c>
      <c r="D5106" s="45" t="str">
        <f t="shared" si="23"/>
        <v/>
      </c>
      <c r="E5106" s="45" t="str">
        <f t="shared" si="24"/>
        <v/>
      </c>
      <c r="F5106" s="59" t="str">
        <f t="shared" si="25"/>
        <v/>
      </c>
      <c r="G5106" s="59" t="str">
        <f t="shared" si="26"/>
        <v/>
      </c>
      <c r="H5106" s="59" t="str">
        <f t="shared" si="27"/>
        <v>28C02574</v>
      </c>
      <c r="I5106" s="59" t="str">
        <f>IF(OR($A5106="",$C5106="",$D5106="",$E5106="",$H5106=""),"",SUMIFS(DATA_GOC!$H:$H,DATA_GOC!$A:$A,"BOM",DATA_GOC!$D:$D,$H5106,DATA_GOC!$E:$E,$C5106,DATA_GOC!$F:$F,"Xuất nội bộ từ téc",DATA_GOC!$B:$B,"&gt;="&amp;$D5106,DATA_GOC!$B:$B,"&lt;="&amp;$E5106))</f>
        <v/>
      </c>
      <c r="J5106" s="59">
        <f t="shared" si="28"/>
        <v>0</v>
      </c>
      <c r="K5106" s="59">
        <f t="shared" si="29"/>
        <v>0</v>
      </c>
      <c r="L5106" s="59">
        <f t="shared" si="30"/>
        <v>0</v>
      </c>
      <c r="M5106" s="59">
        <f t="shared" si="31"/>
        <v>0</v>
      </c>
    </row>
    <row r="5107" ht="15.0" hidden="1" customHeight="1">
      <c r="A5107" s="59">
        <f t="shared" si="20"/>
        <v>82</v>
      </c>
      <c r="B5107" s="59" t="str">
        <f t="shared" si="21"/>
        <v/>
      </c>
      <c r="C5107" s="59" t="str">
        <f t="shared" si="22"/>
        <v/>
      </c>
      <c r="D5107" s="45" t="str">
        <f t="shared" si="23"/>
        <v/>
      </c>
      <c r="E5107" s="45" t="str">
        <f t="shared" si="24"/>
        <v/>
      </c>
      <c r="F5107" s="59" t="str">
        <f t="shared" si="25"/>
        <v/>
      </c>
      <c r="G5107" s="59" t="str">
        <f t="shared" si="26"/>
        <v/>
      </c>
      <c r="H5107" s="59" t="str">
        <f t="shared" si="27"/>
        <v>28C02770</v>
      </c>
      <c r="I5107" s="59" t="str">
        <f>IF(OR($A5107="",$C5107="",$D5107="",$E5107="",$H5107=""),"",SUMIFS(DATA_GOC!$H:$H,DATA_GOC!$A:$A,"BOM",DATA_GOC!$D:$D,$H5107,DATA_GOC!$E:$E,$C5107,DATA_GOC!$F:$F,"Xuất nội bộ từ téc",DATA_GOC!$B:$B,"&gt;="&amp;$D5107,DATA_GOC!$B:$B,"&lt;="&amp;$E5107))</f>
        <v/>
      </c>
      <c r="J5107" s="59">
        <f t="shared" si="28"/>
        <v>0</v>
      </c>
      <c r="K5107" s="59">
        <f t="shared" si="29"/>
        <v>0</v>
      </c>
      <c r="L5107" s="59">
        <f t="shared" si="30"/>
        <v>0</v>
      </c>
      <c r="M5107" s="59">
        <f t="shared" si="31"/>
        <v>0</v>
      </c>
    </row>
    <row r="5108" ht="15.0" hidden="1" customHeight="1">
      <c r="A5108" s="59">
        <f t="shared" si="20"/>
        <v>82</v>
      </c>
      <c r="B5108" s="59" t="str">
        <f t="shared" si="21"/>
        <v/>
      </c>
      <c r="C5108" s="59" t="str">
        <f t="shared" si="22"/>
        <v/>
      </c>
      <c r="D5108" s="45" t="str">
        <f t="shared" si="23"/>
        <v/>
      </c>
      <c r="E5108" s="45" t="str">
        <f t="shared" si="24"/>
        <v/>
      </c>
      <c r="F5108" s="59" t="str">
        <f t="shared" si="25"/>
        <v/>
      </c>
      <c r="G5108" s="59" t="str">
        <f t="shared" si="26"/>
        <v/>
      </c>
      <c r="H5108" s="59" t="str">
        <f t="shared" si="27"/>
        <v>28C02986</v>
      </c>
      <c r="I5108" s="59" t="str">
        <f>IF(OR($A5108="",$C5108="",$D5108="",$E5108="",$H5108=""),"",SUMIFS(DATA_GOC!$H:$H,DATA_GOC!$A:$A,"BOM",DATA_GOC!$D:$D,$H5108,DATA_GOC!$E:$E,$C5108,DATA_GOC!$F:$F,"Xuất nội bộ từ téc",DATA_GOC!$B:$B,"&gt;="&amp;$D5108,DATA_GOC!$B:$B,"&lt;="&amp;$E5108))</f>
        <v/>
      </c>
      <c r="J5108" s="59">
        <f t="shared" si="28"/>
        <v>0</v>
      </c>
      <c r="K5108" s="59">
        <f t="shared" si="29"/>
        <v>0</v>
      </c>
      <c r="L5108" s="59">
        <f t="shared" si="30"/>
        <v>0</v>
      </c>
      <c r="M5108" s="59">
        <f t="shared" si="31"/>
        <v>0</v>
      </c>
    </row>
    <row r="5109" ht="15.0" hidden="1" customHeight="1">
      <c r="A5109" s="59">
        <f t="shared" si="20"/>
        <v>82</v>
      </c>
      <c r="B5109" s="59" t="str">
        <f t="shared" si="21"/>
        <v/>
      </c>
      <c r="C5109" s="59" t="str">
        <f t="shared" si="22"/>
        <v/>
      </c>
      <c r="D5109" s="45" t="str">
        <f t="shared" si="23"/>
        <v/>
      </c>
      <c r="E5109" s="45" t="str">
        <f t="shared" si="24"/>
        <v/>
      </c>
      <c r="F5109" s="59" t="str">
        <f t="shared" si="25"/>
        <v/>
      </c>
      <c r="G5109" s="59" t="str">
        <f t="shared" si="26"/>
        <v/>
      </c>
      <c r="H5109" s="59" t="str">
        <f t="shared" si="27"/>
        <v>28C03261</v>
      </c>
      <c r="I5109" s="59" t="str">
        <f>IF(OR($A5109="",$C5109="",$D5109="",$E5109="",$H5109=""),"",SUMIFS(DATA_GOC!$H:$H,DATA_GOC!$A:$A,"BOM",DATA_GOC!$D:$D,$H5109,DATA_GOC!$E:$E,$C5109,DATA_GOC!$F:$F,"Xuất nội bộ từ téc",DATA_GOC!$B:$B,"&gt;="&amp;$D5109,DATA_GOC!$B:$B,"&lt;="&amp;$E5109))</f>
        <v/>
      </c>
      <c r="J5109" s="59">
        <f t="shared" si="28"/>
        <v>0</v>
      </c>
      <c r="K5109" s="59">
        <f t="shared" si="29"/>
        <v>0</v>
      </c>
      <c r="L5109" s="59">
        <f t="shared" si="30"/>
        <v>0</v>
      </c>
      <c r="M5109" s="59">
        <f t="shared" si="31"/>
        <v>0</v>
      </c>
    </row>
    <row r="5110" ht="15.0" hidden="1" customHeight="1">
      <c r="A5110" s="59">
        <f t="shared" si="20"/>
        <v>82</v>
      </c>
      <c r="B5110" s="59" t="str">
        <f t="shared" si="21"/>
        <v/>
      </c>
      <c r="C5110" s="59" t="str">
        <f t="shared" si="22"/>
        <v/>
      </c>
      <c r="D5110" s="45" t="str">
        <f t="shared" si="23"/>
        <v/>
      </c>
      <c r="E5110" s="45" t="str">
        <f t="shared" si="24"/>
        <v/>
      </c>
      <c r="F5110" s="59" t="str">
        <f t="shared" si="25"/>
        <v/>
      </c>
      <c r="G5110" s="59" t="str">
        <f t="shared" si="26"/>
        <v/>
      </c>
      <c r="H5110" s="59" t="str">
        <f t="shared" si="27"/>
        <v>28C03323</v>
      </c>
      <c r="I5110" s="59" t="str">
        <f>IF(OR($A5110="",$C5110="",$D5110="",$E5110="",$H5110=""),"",SUMIFS(DATA_GOC!$H:$H,DATA_GOC!$A:$A,"BOM",DATA_GOC!$D:$D,$H5110,DATA_GOC!$E:$E,$C5110,DATA_GOC!$F:$F,"Xuất nội bộ từ téc",DATA_GOC!$B:$B,"&gt;="&amp;$D5110,DATA_GOC!$B:$B,"&lt;="&amp;$E5110))</f>
        <v/>
      </c>
      <c r="J5110" s="59">
        <f t="shared" si="28"/>
        <v>0</v>
      </c>
      <c r="K5110" s="59">
        <f t="shared" si="29"/>
        <v>0</v>
      </c>
      <c r="L5110" s="59">
        <f t="shared" si="30"/>
        <v>0</v>
      </c>
      <c r="M5110" s="59">
        <f t="shared" si="31"/>
        <v>0</v>
      </c>
    </row>
    <row r="5111" ht="15.0" hidden="1" customHeight="1">
      <c r="A5111" s="59">
        <f t="shared" si="20"/>
        <v>82</v>
      </c>
      <c r="B5111" s="59" t="str">
        <f t="shared" si="21"/>
        <v/>
      </c>
      <c r="C5111" s="59" t="str">
        <f t="shared" si="22"/>
        <v/>
      </c>
      <c r="D5111" s="45" t="str">
        <f t="shared" si="23"/>
        <v/>
      </c>
      <c r="E5111" s="45" t="str">
        <f t="shared" si="24"/>
        <v/>
      </c>
      <c r="F5111" s="59" t="str">
        <f t="shared" si="25"/>
        <v/>
      </c>
      <c r="G5111" s="59" t="str">
        <f t="shared" si="26"/>
        <v/>
      </c>
      <c r="H5111" s="59" t="str">
        <f t="shared" si="27"/>
        <v>28C03385</v>
      </c>
      <c r="I5111" s="59" t="str">
        <f>IF(OR($A5111="",$C5111="",$D5111="",$E5111="",$H5111=""),"",SUMIFS(DATA_GOC!$H:$H,DATA_GOC!$A:$A,"BOM",DATA_GOC!$D:$D,$H5111,DATA_GOC!$E:$E,$C5111,DATA_GOC!$F:$F,"Xuất nội bộ từ téc",DATA_GOC!$B:$B,"&gt;="&amp;$D5111,DATA_GOC!$B:$B,"&lt;="&amp;$E5111))</f>
        <v/>
      </c>
      <c r="J5111" s="59">
        <f t="shared" si="28"/>
        <v>0</v>
      </c>
      <c r="K5111" s="59">
        <f t="shared" si="29"/>
        <v>0</v>
      </c>
      <c r="L5111" s="59">
        <f t="shared" si="30"/>
        <v>0</v>
      </c>
      <c r="M5111" s="59">
        <f t="shared" si="31"/>
        <v>0</v>
      </c>
    </row>
    <row r="5112" ht="15.0" hidden="1" customHeight="1">
      <c r="A5112" s="59">
        <f t="shared" si="20"/>
        <v>82</v>
      </c>
      <c r="B5112" s="59" t="str">
        <f t="shared" si="21"/>
        <v/>
      </c>
      <c r="C5112" s="59" t="str">
        <f t="shared" si="22"/>
        <v/>
      </c>
      <c r="D5112" s="45" t="str">
        <f t="shared" si="23"/>
        <v/>
      </c>
      <c r="E5112" s="45" t="str">
        <f t="shared" si="24"/>
        <v/>
      </c>
      <c r="F5112" s="59" t="str">
        <f t="shared" si="25"/>
        <v/>
      </c>
      <c r="G5112" s="59" t="str">
        <f t="shared" si="26"/>
        <v/>
      </c>
      <c r="H5112" s="59" t="str">
        <f t="shared" si="27"/>
        <v>28C03652</v>
      </c>
      <c r="I5112" s="59" t="str">
        <f>IF(OR($A5112="",$C5112="",$D5112="",$E5112="",$H5112=""),"",SUMIFS(DATA_GOC!$H:$H,DATA_GOC!$A:$A,"BOM",DATA_GOC!$D:$D,$H5112,DATA_GOC!$E:$E,$C5112,DATA_GOC!$F:$F,"Xuất nội bộ từ téc",DATA_GOC!$B:$B,"&gt;="&amp;$D5112,DATA_GOC!$B:$B,"&lt;="&amp;$E5112))</f>
        <v/>
      </c>
      <c r="J5112" s="59">
        <f t="shared" si="28"/>
        <v>0</v>
      </c>
      <c r="K5112" s="59">
        <f t="shared" si="29"/>
        <v>0</v>
      </c>
      <c r="L5112" s="59">
        <f t="shared" si="30"/>
        <v>0</v>
      </c>
      <c r="M5112" s="59">
        <f t="shared" si="31"/>
        <v>0</v>
      </c>
    </row>
    <row r="5113" ht="15.0" hidden="1" customHeight="1">
      <c r="A5113" s="59">
        <f t="shared" si="20"/>
        <v>82</v>
      </c>
      <c r="B5113" s="59" t="str">
        <f t="shared" si="21"/>
        <v/>
      </c>
      <c r="C5113" s="59" t="str">
        <f t="shared" si="22"/>
        <v/>
      </c>
      <c r="D5113" s="45" t="str">
        <f t="shared" si="23"/>
        <v/>
      </c>
      <c r="E5113" s="45" t="str">
        <f t="shared" si="24"/>
        <v/>
      </c>
      <c r="F5113" s="59" t="str">
        <f t="shared" si="25"/>
        <v/>
      </c>
      <c r="G5113" s="59" t="str">
        <f t="shared" si="26"/>
        <v/>
      </c>
      <c r="H5113" s="59" t="str">
        <f t="shared" si="27"/>
        <v>28C03695</v>
      </c>
      <c r="I5113" s="59" t="str">
        <f>IF(OR($A5113="",$C5113="",$D5113="",$E5113="",$H5113=""),"",SUMIFS(DATA_GOC!$H:$H,DATA_GOC!$A:$A,"BOM",DATA_GOC!$D:$D,$H5113,DATA_GOC!$E:$E,$C5113,DATA_GOC!$F:$F,"Xuất nội bộ từ téc",DATA_GOC!$B:$B,"&gt;="&amp;$D5113,DATA_GOC!$B:$B,"&lt;="&amp;$E5113))</f>
        <v/>
      </c>
      <c r="J5113" s="59">
        <f t="shared" si="28"/>
        <v>0</v>
      </c>
      <c r="K5113" s="59">
        <f t="shared" si="29"/>
        <v>0</v>
      </c>
      <c r="L5113" s="59">
        <f t="shared" si="30"/>
        <v>0</v>
      </c>
      <c r="M5113" s="59">
        <f t="shared" si="31"/>
        <v>0</v>
      </c>
    </row>
    <row r="5114" ht="15.0" hidden="1" customHeight="1">
      <c r="A5114" s="59">
        <f t="shared" si="20"/>
        <v>82</v>
      </c>
      <c r="B5114" s="59" t="str">
        <f t="shared" si="21"/>
        <v/>
      </c>
      <c r="C5114" s="59" t="str">
        <f t="shared" si="22"/>
        <v/>
      </c>
      <c r="D5114" s="45" t="str">
        <f t="shared" si="23"/>
        <v/>
      </c>
      <c r="E5114" s="45" t="str">
        <f t="shared" si="24"/>
        <v/>
      </c>
      <c r="F5114" s="59" t="str">
        <f t="shared" si="25"/>
        <v/>
      </c>
      <c r="G5114" s="59" t="str">
        <f t="shared" si="26"/>
        <v/>
      </c>
      <c r="H5114" s="59" t="str">
        <f t="shared" si="27"/>
        <v>28C03927</v>
      </c>
      <c r="I5114" s="59" t="str">
        <f>IF(OR($A5114="",$C5114="",$D5114="",$E5114="",$H5114=""),"",SUMIFS(DATA_GOC!$H:$H,DATA_GOC!$A:$A,"BOM",DATA_GOC!$D:$D,$H5114,DATA_GOC!$E:$E,$C5114,DATA_GOC!$F:$F,"Xuất nội bộ từ téc",DATA_GOC!$B:$B,"&gt;="&amp;$D5114,DATA_GOC!$B:$B,"&lt;="&amp;$E5114))</f>
        <v/>
      </c>
      <c r="J5114" s="59">
        <f t="shared" si="28"/>
        <v>0</v>
      </c>
      <c r="K5114" s="59">
        <f t="shared" si="29"/>
        <v>0</v>
      </c>
      <c r="L5114" s="59">
        <f t="shared" si="30"/>
        <v>0</v>
      </c>
      <c r="M5114" s="59">
        <f t="shared" si="31"/>
        <v>0</v>
      </c>
    </row>
    <row r="5115" ht="15.0" hidden="1" customHeight="1">
      <c r="A5115" s="59">
        <f t="shared" si="20"/>
        <v>82</v>
      </c>
      <c r="B5115" s="59" t="str">
        <f t="shared" si="21"/>
        <v/>
      </c>
      <c r="C5115" s="59" t="str">
        <f t="shared" si="22"/>
        <v/>
      </c>
      <c r="D5115" s="45" t="str">
        <f t="shared" si="23"/>
        <v/>
      </c>
      <c r="E5115" s="45" t="str">
        <f t="shared" si="24"/>
        <v/>
      </c>
      <c r="F5115" s="59" t="str">
        <f t="shared" si="25"/>
        <v/>
      </c>
      <c r="G5115" s="59" t="str">
        <f t="shared" si="26"/>
        <v/>
      </c>
      <c r="H5115" s="59" t="str">
        <f t="shared" si="27"/>
        <v>28C04509</v>
      </c>
      <c r="I5115" s="59" t="str">
        <f>IF(OR($A5115="",$C5115="",$D5115="",$E5115="",$H5115=""),"",SUMIFS(DATA_GOC!$H:$H,DATA_GOC!$A:$A,"BOM",DATA_GOC!$D:$D,$H5115,DATA_GOC!$E:$E,$C5115,DATA_GOC!$F:$F,"Xuất nội bộ từ téc",DATA_GOC!$B:$B,"&gt;="&amp;$D5115,DATA_GOC!$B:$B,"&lt;="&amp;$E5115))</f>
        <v/>
      </c>
      <c r="J5115" s="59">
        <f t="shared" si="28"/>
        <v>0</v>
      </c>
      <c r="K5115" s="59">
        <f t="shared" si="29"/>
        <v>0</v>
      </c>
      <c r="L5115" s="59">
        <f t="shared" si="30"/>
        <v>0</v>
      </c>
      <c r="M5115" s="59">
        <f t="shared" si="31"/>
        <v>0</v>
      </c>
    </row>
    <row r="5116" ht="15.0" hidden="1" customHeight="1">
      <c r="A5116" s="59">
        <f t="shared" si="20"/>
        <v>82</v>
      </c>
      <c r="B5116" s="59" t="str">
        <f t="shared" si="21"/>
        <v/>
      </c>
      <c r="C5116" s="59" t="str">
        <f t="shared" si="22"/>
        <v/>
      </c>
      <c r="D5116" s="45" t="str">
        <f t="shared" si="23"/>
        <v/>
      </c>
      <c r="E5116" s="45" t="str">
        <f t="shared" si="24"/>
        <v/>
      </c>
      <c r="F5116" s="59" t="str">
        <f t="shared" si="25"/>
        <v/>
      </c>
      <c r="G5116" s="59" t="str">
        <f t="shared" si="26"/>
        <v/>
      </c>
      <c r="H5116" s="59" t="str">
        <f t="shared" si="27"/>
        <v>28C04536</v>
      </c>
      <c r="I5116" s="59" t="str">
        <f>IF(OR($A5116="",$C5116="",$D5116="",$E5116="",$H5116=""),"",SUMIFS(DATA_GOC!$H:$H,DATA_GOC!$A:$A,"BOM",DATA_GOC!$D:$D,$H5116,DATA_GOC!$E:$E,$C5116,DATA_GOC!$F:$F,"Xuất nội bộ từ téc",DATA_GOC!$B:$B,"&gt;="&amp;$D5116,DATA_GOC!$B:$B,"&lt;="&amp;$E5116))</f>
        <v/>
      </c>
      <c r="J5116" s="59">
        <f t="shared" si="28"/>
        <v>0</v>
      </c>
      <c r="K5116" s="59">
        <f t="shared" si="29"/>
        <v>0</v>
      </c>
      <c r="L5116" s="59">
        <f t="shared" si="30"/>
        <v>0</v>
      </c>
      <c r="M5116" s="59">
        <f t="shared" si="31"/>
        <v>0</v>
      </c>
    </row>
    <row r="5117" ht="15.0" hidden="1" customHeight="1">
      <c r="A5117" s="59">
        <f t="shared" si="20"/>
        <v>82</v>
      </c>
      <c r="B5117" s="59" t="str">
        <f t="shared" si="21"/>
        <v/>
      </c>
      <c r="C5117" s="59" t="str">
        <f t="shared" si="22"/>
        <v/>
      </c>
      <c r="D5117" s="45" t="str">
        <f t="shared" si="23"/>
        <v/>
      </c>
      <c r="E5117" s="45" t="str">
        <f t="shared" si="24"/>
        <v/>
      </c>
      <c r="F5117" s="59" t="str">
        <f t="shared" si="25"/>
        <v/>
      </c>
      <c r="G5117" s="59" t="str">
        <f t="shared" si="26"/>
        <v/>
      </c>
      <c r="H5117" s="59" t="str">
        <f t="shared" si="27"/>
        <v>28C04576</v>
      </c>
      <c r="I5117" s="59" t="str">
        <f>IF(OR($A5117="",$C5117="",$D5117="",$E5117="",$H5117=""),"",SUMIFS(DATA_GOC!$H:$H,DATA_GOC!$A:$A,"BOM",DATA_GOC!$D:$D,$H5117,DATA_GOC!$E:$E,$C5117,DATA_GOC!$F:$F,"Xuất nội bộ từ téc",DATA_GOC!$B:$B,"&gt;="&amp;$D5117,DATA_GOC!$B:$B,"&lt;="&amp;$E5117))</f>
        <v/>
      </c>
      <c r="J5117" s="59">
        <f t="shared" si="28"/>
        <v>0</v>
      </c>
      <c r="K5117" s="59">
        <f t="shared" si="29"/>
        <v>0</v>
      </c>
      <c r="L5117" s="59">
        <f t="shared" si="30"/>
        <v>0</v>
      </c>
      <c r="M5117" s="59">
        <f t="shared" si="31"/>
        <v>0</v>
      </c>
    </row>
    <row r="5118" ht="15.0" hidden="1" customHeight="1">
      <c r="A5118" s="59">
        <f t="shared" si="20"/>
        <v>82</v>
      </c>
      <c r="B5118" s="59" t="str">
        <f t="shared" si="21"/>
        <v/>
      </c>
      <c r="C5118" s="59" t="str">
        <f t="shared" si="22"/>
        <v/>
      </c>
      <c r="D5118" s="45" t="str">
        <f t="shared" si="23"/>
        <v/>
      </c>
      <c r="E5118" s="45" t="str">
        <f t="shared" si="24"/>
        <v/>
      </c>
      <c r="F5118" s="59" t="str">
        <f t="shared" si="25"/>
        <v/>
      </c>
      <c r="G5118" s="59" t="str">
        <f t="shared" si="26"/>
        <v/>
      </c>
      <c r="H5118" s="59" t="str">
        <f t="shared" si="27"/>
        <v>28C05090</v>
      </c>
      <c r="I5118" s="59" t="str">
        <f>IF(OR($A5118="",$C5118="",$D5118="",$E5118="",$H5118=""),"",SUMIFS(DATA_GOC!$H:$H,DATA_GOC!$A:$A,"BOM",DATA_GOC!$D:$D,$H5118,DATA_GOC!$E:$E,$C5118,DATA_GOC!$F:$F,"Xuất nội bộ từ téc",DATA_GOC!$B:$B,"&gt;="&amp;$D5118,DATA_GOC!$B:$B,"&lt;="&amp;$E5118))</f>
        <v/>
      </c>
      <c r="J5118" s="59">
        <f t="shared" si="28"/>
        <v>0</v>
      </c>
      <c r="K5118" s="59">
        <f t="shared" si="29"/>
        <v>0</v>
      </c>
      <c r="L5118" s="59">
        <f t="shared" si="30"/>
        <v>0</v>
      </c>
      <c r="M5118" s="59">
        <f t="shared" si="31"/>
        <v>0</v>
      </c>
    </row>
    <row r="5119" ht="15.0" hidden="1" customHeight="1">
      <c r="A5119" s="59">
        <f t="shared" si="20"/>
        <v>82</v>
      </c>
      <c r="B5119" s="59" t="str">
        <f t="shared" si="21"/>
        <v/>
      </c>
      <c r="C5119" s="59" t="str">
        <f t="shared" si="22"/>
        <v/>
      </c>
      <c r="D5119" s="45" t="str">
        <f t="shared" si="23"/>
        <v/>
      </c>
      <c r="E5119" s="45" t="str">
        <f t="shared" si="24"/>
        <v/>
      </c>
      <c r="F5119" s="59" t="str">
        <f t="shared" si="25"/>
        <v/>
      </c>
      <c r="G5119" s="59" t="str">
        <f t="shared" si="26"/>
        <v/>
      </c>
      <c r="H5119" s="59" t="str">
        <f t="shared" si="27"/>
        <v>28C05345</v>
      </c>
      <c r="I5119" s="59" t="str">
        <f>IF(OR($A5119="",$C5119="",$D5119="",$E5119="",$H5119=""),"",SUMIFS(DATA_GOC!$H:$H,DATA_GOC!$A:$A,"BOM",DATA_GOC!$D:$D,$H5119,DATA_GOC!$E:$E,$C5119,DATA_GOC!$F:$F,"Xuất nội bộ từ téc",DATA_GOC!$B:$B,"&gt;="&amp;$D5119,DATA_GOC!$B:$B,"&lt;="&amp;$E5119))</f>
        <v/>
      </c>
      <c r="J5119" s="59">
        <f t="shared" si="28"/>
        <v>0</v>
      </c>
      <c r="K5119" s="59">
        <f t="shared" si="29"/>
        <v>0</v>
      </c>
      <c r="L5119" s="59">
        <f t="shared" si="30"/>
        <v>0</v>
      </c>
      <c r="M5119" s="59">
        <f t="shared" si="31"/>
        <v>0</v>
      </c>
    </row>
    <row r="5120" ht="15.0" hidden="1" customHeight="1">
      <c r="A5120" s="59">
        <f t="shared" si="20"/>
        <v>82</v>
      </c>
      <c r="B5120" s="59" t="str">
        <f t="shared" si="21"/>
        <v/>
      </c>
      <c r="C5120" s="59" t="str">
        <f t="shared" si="22"/>
        <v/>
      </c>
      <c r="D5120" s="45" t="str">
        <f t="shared" si="23"/>
        <v/>
      </c>
      <c r="E5120" s="45" t="str">
        <f t="shared" si="24"/>
        <v/>
      </c>
      <c r="F5120" s="59" t="str">
        <f t="shared" si="25"/>
        <v/>
      </c>
      <c r="G5120" s="59" t="str">
        <f t="shared" si="26"/>
        <v/>
      </c>
      <c r="H5120" s="59" t="str">
        <f t="shared" si="27"/>
        <v>28C05661</v>
      </c>
      <c r="I5120" s="59" t="str">
        <f>IF(OR($A5120="",$C5120="",$D5120="",$E5120="",$H5120=""),"",SUMIFS(DATA_GOC!$H:$H,DATA_GOC!$A:$A,"BOM",DATA_GOC!$D:$D,$H5120,DATA_GOC!$E:$E,$C5120,DATA_GOC!$F:$F,"Xuất nội bộ từ téc",DATA_GOC!$B:$B,"&gt;="&amp;$D5120,DATA_GOC!$B:$B,"&lt;="&amp;$E5120))</f>
        <v/>
      </c>
      <c r="J5120" s="59">
        <f t="shared" si="28"/>
        <v>0</v>
      </c>
      <c r="K5120" s="59">
        <f t="shared" si="29"/>
        <v>0</v>
      </c>
      <c r="L5120" s="59">
        <f t="shared" si="30"/>
        <v>0</v>
      </c>
      <c r="M5120" s="59">
        <f t="shared" si="31"/>
        <v>0</v>
      </c>
    </row>
    <row r="5121" ht="15.0" hidden="1" customHeight="1">
      <c r="A5121" s="59">
        <f t="shared" si="20"/>
        <v>82</v>
      </c>
      <c r="B5121" s="59" t="str">
        <f t="shared" si="21"/>
        <v/>
      </c>
      <c r="C5121" s="59" t="str">
        <f t="shared" si="22"/>
        <v/>
      </c>
      <c r="D5121" s="45" t="str">
        <f t="shared" si="23"/>
        <v/>
      </c>
      <c r="E5121" s="45" t="str">
        <f t="shared" si="24"/>
        <v/>
      </c>
      <c r="F5121" s="59" t="str">
        <f t="shared" si="25"/>
        <v/>
      </c>
      <c r="G5121" s="59" t="str">
        <f t="shared" si="26"/>
        <v/>
      </c>
      <c r="H5121" s="59" t="str">
        <f t="shared" si="27"/>
        <v>28C05739</v>
      </c>
      <c r="I5121" s="59" t="str">
        <f>IF(OR($A5121="",$C5121="",$D5121="",$E5121="",$H5121=""),"",SUMIFS(DATA_GOC!$H:$H,DATA_GOC!$A:$A,"BOM",DATA_GOC!$D:$D,$H5121,DATA_GOC!$E:$E,$C5121,DATA_GOC!$F:$F,"Xuất nội bộ từ téc",DATA_GOC!$B:$B,"&gt;="&amp;$D5121,DATA_GOC!$B:$B,"&lt;="&amp;$E5121))</f>
        <v/>
      </c>
      <c r="J5121" s="59">
        <f t="shared" si="28"/>
        <v>0</v>
      </c>
      <c r="K5121" s="59">
        <f t="shared" si="29"/>
        <v>0</v>
      </c>
      <c r="L5121" s="59">
        <f t="shared" si="30"/>
        <v>0</v>
      </c>
      <c r="M5121" s="59">
        <f t="shared" si="31"/>
        <v>0</v>
      </c>
    </row>
    <row r="5122" ht="15.0" hidden="1" customHeight="1">
      <c r="A5122" s="59">
        <f t="shared" si="20"/>
        <v>82</v>
      </c>
      <c r="B5122" s="59" t="str">
        <f t="shared" si="21"/>
        <v/>
      </c>
      <c r="C5122" s="59" t="str">
        <f t="shared" si="22"/>
        <v/>
      </c>
      <c r="D5122" s="45" t="str">
        <f t="shared" si="23"/>
        <v/>
      </c>
      <c r="E5122" s="45" t="str">
        <f t="shared" si="24"/>
        <v/>
      </c>
      <c r="F5122" s="59" t="str">
        <f t="shared" si="25"/>
        <v/>
      </c>
      <c r="G5122" s="59" t="str">
        <f t="shared" si="26"/>
        <v/>
      </c>
      <c r="H5122" s="59" t="str">
        <f t="shared" si="27"/>
        <v>28C06369</v>
      </c>
      <c r="I5122" s="59" t="str">
        <f>IF(OR($A5122="",$C5122="",$D5122="",$E5122="",$H5122=""),"",SUMIFS(DATA_GOC!$H:$H,DATA_GOC!$A:$A,"BOM",DATA_GOC!$D:$D,$H5122,DATA_GOC!$E:$E,$C5122,DATA_GOC!$F:$F,"Xuất nội bộ từ téc",DATA_GOC!$B:$B,"&gt;="&amp;$D5122,DATA_GOC!$B:$B,"&lt;="&amp;$E5122))</f>
        <v/>
      </c>
      <c r="J5122" s="59">
        <f t="shared" si="28"/>
        <v>0</v>
      </c>
      <c r="K5122" s="59">
        <f t="shared" si="29"/>
        <v>0</v>
      </c>
      <c r="L5122" s="59">
        <f t="shared" si="30"/>
        <v>0</v>
      </c>
      <c r="M5122" s="59">
        <f t="shared" si="31"/>
        <v>0</v>
      </c>
    </row>
    <row r="5123" ht="15.0" hidden="1" customHeight="1">
      <c r="A5123" s="59">
        <f t="shared" si="20"/>
        <v>82</v>
      </c>
      <c r="B5123" s="59" t="str">
        <f t="shared" si="21"/>
        <v/>
      </c>
      <c r="C5123" s="59" t="str">
        <f t="shared" si="22"/>
        <v/>
      </c>
      <c r="D5123" s="45" t="str">
        <f t="shared" si="23"/>
        <v/>
      </c>
      <c r="E5123" s="45" t="str">
        <f t="shared" si="24"/>
        <v/>
      </c>
      <c r="F5123" s="59" t="str">
        <f t="shared" si="25"/>
        <v/>
      </c>
      <c r="G5123" s="59" t="str">
        <f t="shared" si="26"/>
        <v/>
      </c>
      <c r="H5123" s="59" t="str">
        <f t="shared" si="27"/>
        <v>28C06447</v>
      </c>
      <c r="I5123" s="59" t="str">
        <f>IF(OR($A5123="",$C5123="",$D5123="",$E5123="",$H5123=""),"",SUMIFS(DATA_GOC!$H:$H,DATA_GOC!$A:$A,"BOM",DATA_GOC!$D:$D,$H5123,DATA_GOC!$E:$E,$C5123,DATA_GOC!$F:$F,"Xuất nội bộ từ téc",DATA_GOC!$B:$B,"&gt;="&amp;$D5123,DATA_GOC!$B:$B,"&lt;="&amp;$E5123))</f>
        <v/>
      </c>
      <c r="J5123" s="59">
        <f t="shared" si="28"/>
        <v>0</v>
      </c>
      <c r="K5123" s="59">
        <f t="shared" si="29"/>
        <v>0</v>
      </c>
      <c r="L5123" s="59">
        <f t="shared" si="30"/>
        <v>0</v>
      </c>
      <c r="M5123" s="59">
        <f t="shared" si="31"/>
        <v>0</v>
      </c>
    </row>
    <row r="5124" ht="15.0" hidden="1" customHeight="1">
      <c r="A5124" s="59">
        <f t="shared" si="20"/>
        <v>82</v>
      </c>
      <c r="B5124" s="59" t="str">
        <f t="shared" si="21"/>
        <v/>
      </c>
      <c r="C5124" s="59" t="str">
        <f t="shared" si="22"/>
        <v/>
      </c>
      <c r="D5124" s="45" t="str">
        <f t="shared" si="23"/>
        <v/>
      </c>
      <c r="E5124" s="45" t="str">
        <f t="shared" si="24"/>
        <v/>
      </c>
      <c r="F5124" s="59" t="str">
        <f t="shared" si="25"/>
        <v/>
      </c>
      <c r="G5124" s="59" t="str">
        <f t="shared" si="26"/>
        <v/>
      </c>
      <c r="H5124" s="59" t="str">
        <f t="shared" si="27"/>
        <v>28H00003</v>
      </c>
      <c r="I5124" s="59" t="str">
        <f>IF(OR($A5124="",$C5124="",$D5124="",$E5124="",$H5124=""),"",SUMIFS(DATA_GOC!$H:$H,DATA_GOC!$A:$A,"BOM",DATA_GOC!$D:$D,$H5124,DATA_GOC!$E:$E,$C5124,DATA_GOC!$F:$F,"Xuất nội bộ từ téc",DATA_GOC!$B:$B,"&gt;="&amp;$D5124,DATA_GOC!$B:$B,"&lt;="&amp;$E5124))</f>
        <v/>
      </c>
      <c r="J5124" s="59">
        <f t="shared" si="28"/>
        <v>0</v>
      </c>
      <c r="K5124" s="59">
        <f t="shared" si="29"/>
        <v>0</v>
      </c>
      <c r="L5124" s="59">
        <f t="shared" si="30"/>
        <v>0</v>
      </c>
      <c r="M5124" s="59">
        <f t="shared" si="31"/>
        <v>0</v>
      </c>
    </row>
    <row r="5125" ht="15.0" hidden="1" customHeight="1">
      <c r="A5125" s="59">
        <f t="shared" si="20"/>
        <v>82</v>
      </c>
      <c r="B5125" s="59" t="str">
        <f t="shared" si="21"/>
        <v/>
      </c>
      <c r="C5125" s="59" t="str">
        <f t="shared" si="22"/>
        <v/>
      </c>
      <c r="D5125" s="45" t="str">
        <f t="shared" si="23"/>
        <v/>
      </c>
      <c r="E5125" s="45" t="str">
        <f t="shared" si="24"/>
        <v/>
      </c>
      <c r="F5125" s="59" t="str">
        <f t="shared" si="25"/>
        <v/>
      </c>
      <c r="G5125" s="59" t="str">
        <f t="shared" si="26"/>
        <v/>
      </c>
      <c r="H5125" s="59" t="str">
        <f t="shared" si="27"/>
        <v>28H00061</v>
      </c>
      <c r="I5125" s="59" t="str">
        <f>IF(OR($A5125="",$C5125="",$D5125="",$E5125="",$H5125=""),"",SUMIFS(DATA_GOC!$H:$H,DATA_GOC!$A:$A,"BOM",DATA_GOC!$D:$D,$H5125,DATA_GOC!$E:$E,$C5125,DATA_GOC!$F:$F,"Xuất nội bộ từ téc",DATA_GOC!$B:$B,"&gt;="&amp;$D5125,DATA_GOC!$B:$B,"&lt;="&amp;$E5125))</f>
        <v/>
      </c>
      <c r="J5125" s="59">
        <f t="shared" si="28"/>
        <v>0</v>
      </c>
      <c r="K5125" s="59">
        <f t="shared" si="29"/>
        <v>0</v>
      </c>
      <c r="L5125" s="59">
        <f t="shared" si="30"/>
        <v>0</v>
      </c>
      <c r="M5125" s="59">
        <f t="shared" si="31"/>
        <v>0</v>
      </c>
    </row>
    <row r="5126" ht="15.0" hidden="1" customHeight="1">
      <c r="A5126" s="59">
        <f t="shared" si="20"/>
        <v>82</v>
      </c>
      <c r="B5126" s="59" t="str">
        <f t="shared" si="21"/>
        <v/>
      </c>
      <c r="C5126" s="59" t="str">
        <f t="shared" si="22"/>
        <v/>
      </c>
      <c r="D5126" s="45" t="str">
        <f t="shared" si="23"/>
        <v/>
      </c>
      <c r="E5126" s="45" t="str">
        <f t="shared" si="24"/>
        <v/>
      </c>
      <c r="F5126" s="59" t="str">
        <f t="shared" si="25"/>
        <v/>
      </c>
      <c r="G5126" s="59" t="str">
        <f t="shared" si="26"/>
        <v/>
      </c>
      <c r="H5126" s="59" t="str">
        <f t="shared" si="27"/>
        <v>28H00354</v>
      </c>
      <c r="I5126" s="59" t="str">
        <f>IF(OR($A5126="",$C5126="",$D5126="",$E5126="",$H5126=""),"",SUMIFS(DATA_GOC!$H:$H,DATA_GOC!$A:$A,"BOM",DATA_GOC!$D:$D,$H5126,DATA_GOC!$E:$E,$C5126,DATA_GOC!$F:$F,"Xuất nội bộ từ téc",DATA_GOC!$B:$B,"&gt;="&amp;$D5126,DATA_GOC!$B:$B,"&lt;="&amp;$E5126))</f>
        <v/>
      </c>
      <c r="J5126" s="59">
        <f t="shared" si="28"/>
        <v>0</v>
      </c>
      <c r="K5126" s="59">
        <f t="shared" si="29"/>
        <v>0</v>
      </c>
      <c r="L5126" s="59">
        <f t="shared" si="30"/>
        <v>0</v>
      </c>
      <c r="M5126" s="59">
        <f t="shared" si="31"/>
        <v>0</v>
      </c>
    </row>
    <row r="5127" ht="15.0" hidden="1" customHeight="1">
      <c r="A5127" s="59">
        <f t="shared" si="20"/>
        <v>82</v>
      </c>
      <c r="B5127" s="59" t="str">
        <f t="shared" si="21"/>
        <v/>
      </c>
      <c r="C5127" s="59" t="str">
        <f t="shared" si="22"/>
        <v/>
      </c>
      <c r="D5127" s="45" t="str">
        <f t="shared" si="23"/>
        <v/>
      </c>
      <c r="E5127" s="45" t="str">
        <f t="shared" si="24"/>
        <v/>
      </c>
      <c r="F5127" s="59" t="str">
        <f t="shared" si="25"/>
        <v/>
      </c>
      <c r="G5127" s="59" t="str">
        <f t="shared" si="26"/>
        <v/>
      </c>
      <c r="H5127" s="59" t="str">
        <f t="shared" si="27"/>
        <v>28H00603</v>
      </c>
      <c r="I5127" s="59" t="str">
        <f>IF(OR($A5127="",$C5127="",$D5127="",$E5127="",$H5127=""),"",SUMIFS(DATA_GOC!$H:$H,DATA_GOC!$A:$A,"BOM",DATA_GOC!$D:$D,$H5127,DATA_GOC!$E:$E,$C5127,DATA_GOC!$F:$F,"Xuất nội bộ từ téc",DATA_GOC!$B:$B,"&gt;="&amp;$D5127,DATA_GOC!$B:$B,"&lt;="&amp;$E5127))</f>
        <v/>
      </c>
      <c r="J5127" s="59">
        <f t="shared" si="28"/>
        <v>0</v>
      </c>
      <c r="K5127" s="59">
        <f t="shared" si="29"/>
        <v>0</v>
      </c>
      <c r="L5127" s="59">
        <f t="shared" si="30"/>
        <v>0</v>
      </c>
      <c r="M5127" s="59">
        <f t="shared" si="31"/>
        <v>0</v>
      </c>
    </row>
    <row r="5128" ht="15.0" hidden="1" customHeight="1">
      <c r="A5128" s="59">
        <f t="shared" si="20"/>
        <v>82</v>
      </c>
      <c r="B5128" s="59" t="str">
        <f t="shared" si="21"/>
        <v/>
      </c>
      <c r="C5128" s="59" t="str">
        <f t="shared" si="22"/>
        <v/>
      </c>
      <c r="D5128" s="45" t="str">
        <f t="shared" si="23"/>
        <v/>
      </c>
      <c r="E5128" s="45" t="str">
        <f t="shared" si="24"/>
        <v/>
      </c>
      <c r="F5128" s="59" t="str">
        <f t="shared" si="25"/>
        <v/>
      </c>
      <c r="G5128" s="59" t="str">
        <f t="shared" si="26"/>
        <v/>
      </c>
      <c r="H5128" s="59" t="str">
        <f t="shared" si="27"/>
        <v>28H00609</v>
      </c>
      <c r="I5128" s="59" t="str">
        <f>IF(OR($A5128="",$C5128="",$D5128="",$E5128="",$H5128=""),"",SUMIFS(DATA_GOC!$H:$H,DATA_GOC!$A:$A,"BOM",DATA_GOC!$D:$D,$H5128,DATA_GOC!$E:$E,$C5128,DATA_GOC!$F:$F,"Xuất nội bộ từ téc",DATA_GOC!$B:$B,"&gt;="&amp;$D5128,DATA_GOC!$B:$B,"&lt;="&amp;$E5128))</f>
        <v/>
      </c>
      <c r="J5128" s="59">
        <f t="shared" si="28"/>
        <v>0</v>
      </c>
      <c r="K5128" s="59">
        <f t="shared" si="29"/>
        <v>0</v>
      </c>
      <c r="L5128" s="59">
        <f t="shared" si="30"/>
        <v>0</v>
      </c>
      <c r="M5128" s="59">
        <f t="shared" si="31"/>
        <v>0</v>
      </c>
    </row>
    <row r="5129" ht="15.0" hidden="1" customHeight="1">
      <c r="A5129" s="59">
        <f t="shared" si="20"/>
        <v>82</v>
      </c>
      <c r="B5129" s="59" t="str">
        <f t="shared" si="21"/>
        <v/>
      </c>
      <c r="C5129" s="59" t="str">
        <f t="shared" si="22"/>
        <v/>
      </c>
      <c r="D5129" s="45" t="str">
        <f t="shared" si="23"/>
        <v/>
      </c>
      <c r="E5129" s="45" t="str">
        <f t="shared" si="24"/>
        <v/>
      </c>
      <c r="F5129" s="59" t="str">
        <f t="shared" si="25"/>
        <v/>
      </c>
      <c r="G5129" s="59" t="str">
        <f t="shared" si="26"/>
        <v/>
      </c>
      <c r="H5129" s="59" t="str">
        <f t="shared" si="27"/>
        <v>28H00669</v>
      </c>
      <c r="I5129" s="59" t="str">
        <f>IF(OR($A5129="",$C5129="",$D5129="",$E5129="",$H5129=""),"",SUMIFS(DATA_GOC!$H:$H,DATA_GOC!$A:$A,"BOM",DATA_GOC!$D:$D,$H5129,DATA_GOC!$E:$E,$C5129,DATA_GOC!$F:$F,"Xuất nội bộ từ téc",DATA_GOC!$B:$B,"&gt;="&amp;$D5129,DATA_GOC!$B:$B,"&lt;="&amp;$E5129))</f>
        <v/>
      </c>
      <c r="J5129" s="59">
        <f t="shared" si="28"/>
        <v>0</v>
      </c>
      <c r="K5129" s="59">
        <f t="shared" si="29"/>
        <v>0</v>
      </c>
      <c r="L5129" s="59">
        <f t="shared" si="30"/>
        <v>0</v>
      </c>
      <c r="M5129" s="59">
        <f t="shared" si="31"/>
        <v>0</v>
      </c>
    </row>
    <row r="5130" ht="15.0" hidden="1" customHeight="1">
      <c r="A5130" s="59">
        <f t="shared" si="20"/>
        <v>82</v>
      </c>
      <c r="B5130" s="59" t="str">
        <f t="shared" si="21"/>
        <v/>
      </c>
      <c r="C5130" s="59" t="str">
        <f t="shared" si="22"/>
        <v/>
      </c>
      <c r="D5130" s="45" t="str">
        <f t="shared" si="23"/>
        <v/>
      </c>
      <c r="E5130" s="45" t="str">
        <f t="shared" si="24"/>
        <v/>
      </c>
      <c r="F5130" s="59" t="str">
        <f t="shared" si="25"/>
        <v/>
      </c>
      <c r="G5130" s="59" t="str">
        <f t="shared" si="26"/>
        <v/>
      </c>
      <c r="H5130" s="59" t="str">
        <f t="shared" si="27"/>
        <v>28H00680</v>
      </c>
      <c r="I5130" s="59" t="str">
        <f>IF(OR($A5130="",$C5130="",$D5130="",$E5130="",$H5130=""),"",SUMIFS(DATA_GOC!$H:$H,DATA_GOC!$A:$A,"BOM",DATA_GOC!$D:$D,$H5130,DATA_GOC!$E:$E,$C5130,DATA_GOC!$F:$F,"Xuất nội bộ từ téc",DATA_GOC!$B:$B,"&gt;="&amp;$D5130,DATA_GOC!$B:$B,"&lt;="&amp;$E5130))</f>
        <v/>
      </c>
      <c r="J5130" s="59">
        <f t="shared" si="28"/>
        <v>0</v>
      </c>
      <c r="K5130" s="59">
        <f t="shared" si="29"/>
        <v>0</v>
      </c>
      <c r="L5130" s="59">
        <f t="shared" si="30"/>
        <v>0</v>
      </c>
      <c r="M5130" s="59">
        <f t="shared" si="31"/>
        <v>0</v>
      </c>
    </row>
    <row r="5131" ht="15.0" hidden="1" customHeight="1">
      <c r="A5131" s="59">
        <f t="shared" si="20"/>
        <v>82</v>
      </c>
      <c r="B5131" s="59" t="str">
        <f t="shared" si="21"/>
        <v/>
      </c>
      <c r="C5131" s="59" t="str">
        <f t="shared" si="22"/>
        <v/>
      </c>
      <c r="D5131" s="45" t="str">
        <f t="shared" si="23"/>
        <v/>
      </c>
      <c r="E5131" s="45" t="str">
        <f t="shared" si="24"/>
        <v/>
      </c>
      <c r="F5131" s="59" t="str">
        <f t="shared" si="25"/>
        <v/>
      </c>
      <c r="G5131" s="59" t="str">
        <f t="shared" si="26"/>
        <v/>
      </c>
      <c r="H5131" s="59" t="str">
        <f t="shared" si="27"/>
        <v>28H01070</v>
      </c>
      <c r="I5131" s="59" t="str">
        <f>IF(OR($A5131="",$C5131="",$D5131="",$E5131="",$H5131=""),"",SUMIFS(DATA_GOC!$H:$H,DATA_GOC!$A:$A,"BOM",DATA_GOC!$D:$D,$H5131,DATA_GOC!$E:$E,$C5131,DATA_GOC!$F:$F,"Xuất nội bộ từ téc",DATA_GOC!$B:$B,"&gt;="&amp;$D5131,DATA_GOC!$B:$B,"&lt;="&amp;$E5131))</f>
        <v/>
      </c>
      <c r="J5131" s="59">
        <f t="shared" si="28"/>
        <v>0</v>
      </c>
      <c r="K5131" s="59">
        <f t="shared" si="29"/>
        <v>0</v>
      </c>
      <c r="L5131" s="59">
        <f t="shared" si="30"/>
        <v>0</v>
      </c>
      <c r="M5131" s="59">
        <f t="shared" si="31"/>
        <v>0</v>
      </c>
    </row>
    <row r="5132" ht="15.0" hidden="1" customHeight="1">
      <c r="A5132" s="59">
        <f t="shared" si="20"/>
        <v>82</v>
      </c>
      <c r="B5132" s="59" t="str">
        <f t="shared" si="21"/>
        <v/>
      </c>
      <c r="C5132" s="59" t="str">
        <f t="shared" si="22"/>
        <v/>
      </c>
      <c r="D5132" s="45" t="str">
        <f t="shared" si="23"/>
        <v/>
      </c>
      <c r="E5132" s="45" t="str">
        <f t="shared" si="24"/>
        <v/>
      </c>
      <c r="F5132" s="59" t="str">
        <f t="shared" si="25"/>
        <v/>
      </c>
      <c r="G5132" s="59" t="str">
        <f t="shared" si="26"/>
        <v/>
      </c>
      <c r="H5132" s="59" t="str">
        <f t="shared" si="27"/>
        <v>28H01364</v>
      </c>
      <c r="I5132" s="59" t="str">
        <f>IF(OR($A5132="",$C5132="",$D5132="",$E5132="",$H5132=""),"",SUMIFS(DATA_GOC!$H:$H,DATA_GOC!$A:$A,"BOM",DATA_GOC!$D:$D,$H5132,DATA_GOC!$E:$E,$C5132,DATA_GOC!$F:$F,"Xuất nội bộ từ téc",DATA_GOC!$B:$B,"&gt;="&amp;$D5132,DATA_GOC!$B:$B,"&lt;="&amp;$E5132))</f>
        <v/>
      </c>
      <c r="J5132" s="59">
        <f t="shared" si="28"/>
        <v>0</v>
      </c>
      <c r="K5132" s="59">
        <f t="shared" si="29"/>
        <v>0</v>
      </c>
      <c r="L5132" s="59">
        <f t="shared" si="30"/>
        <v>0</v>
      </c>
      <c r="M5132" s="59">
        <f t="shared" si="31"/>
        <v>0</v>
      </c>
    </row>
    <row r="5133" ht="15.0" hidden="1" customHeight="1">
      <c r="A5133" s="59">
        <f t="shared" si="20"/>
        <v>82</v>
      </c>
      <c r="B5133" s="59" t="str">
        <f t="shared" si="21"/>
        <v/>
      </c>
      <c r="C5133" s="59" t="str">
        <f t="shared" si="22"/>
        <v/>
      </c>
      <c r="D5133" s="45" t="str">
        <f t="shared" si="23"/>
        <v/>
      </c>
      <c r="E5133" s="45" t="str">
        <f t="shared" si="24"/>
        <v/>
      </c>
      <c r="F5133" s="59" t="str">
        <f t="shared" si="25"/>
        <v/>
      </c>
      <c r="G5133" s="59" t="str">
        <f t="shared" si="26"/>
        <v/>
      </c>
      <c r="H5133" s="59" t="str">
        <f t="shared" si="27"/>
        <v>29E17269</v>
      </c>
      <c r="I5133" s="59" t="str">
        <f>IF(OR($A5133="",$C5133="",$D5133="",$E5133="",$H5133=""),"",SUMIFS(DATA_GOC!$H:$H,DATA_GOC!$A:$A,"BOM",DATA_GOC!$D:$D,$H5133,DATA_GOC!$E:$E,$C5133,DATA_GOC!$F:$F,"Xuất nội bộ từ téc",DATA_GOC!$B:$B,"&gt;="&amp;$D5133,DATA_GOC!$B:$B,"&lt;="&amp;$E5133))</f>
        <v/>
      </c>
      <c r="J5133" s="59">
        <f t="shared" si="28"/>
        <v>0</v>
      </c>
      <c r="K5133" s="59">
        <f t="shared" si="29"/>
        <v>0</v>
      </c>
      <c r="L5133" s="59">
        <f t="shared" si="30"/>
        <v>0</v>
      </c>
      <c r="M5133" s="59">
        <f t="shared" si="31"/>
        <v>0</v>
      </c>
    </row>
    <row r="5134" ht="15.0" hidden="1" customHeight="1">
      <c r="A5134" s="59">
        <f t="shared" si="20"/>
        <v>82</v>
      </c>
      <c r="B5134" s="59" t="str">
        <f t="shared" si="21"/>
        <v/>
      </c>
      <c r="C5134" s="59" t="str">
        <f t="shared" si="22"/>
        <v/>
      </c>
      <c r="D5134" s="45" t="str">
        <f t="shared" si="23"/>
        <v/>
      </c>
      <c r="E5134" s="45" t="str">
        <f t="shared" si="24"/>
        <v/>
      </c>
      <c r="F5134" s="59" t="str">
        <f t="shared" si="25"/>
        <v/>
      </c>
      <c r="G5134" s="59" t="str">
        <f t="shared" si="26"/>
        <v/>
      </c>
      <c r="H5134" s="59" t="str">
        <f t="shared" si="27"/>
        <v>29E17273</v>
      </c>
      <c r="I5134" s="59" t="str">
        <f>IF(OR($A5134="",$C5134="",$D5134="",$E5134="",$H5134=""),"",SUMIFS(DATA_GOC!$H:$H,DATA_GOC!$A:$A,"BOM",DATA_GOC!$D:$D,$H5134,DATA_GOC!$E:$E,$C5134,DATA_GOC!$F:$F,"Xuất nội bộ từ téc",DATA_GOC!$B:$B,"&gt;="&amp;$D5134,DATA_GOC!$B:$B,"&lt;="&amp;$E5134))</f>
        <v/>
      </c>
      <c r="J5134" s="59">
        <f t="shared" si="28"/>
        <v>0</v>
      </c>
      <c r="K5134" s="59">
        <f t="shared" si="29"/>
        <v>0</v>
      </c>
      <c r="L5134" s="59">
        <f t="shared" si="30"/>
        <v>0</v>
      </c>
      <c r="M5134" s="59">
        <f t="shared" si="31"/>
        <v>0</v>
      </c>
    </row>
    <row r="5135" ht="15.0" hidden="1" customHeight="1">
      <c r="A5135" s="59">
        <f t="shared" si="20"/>
        <v>82</v>
      </c>
      <c r="B5135" s="59" t="str">
        <f t="shared" si="21"/>
        <v/>
      </c>
      <c r="C5135" s="59" t="str">
        <f t="shared" si="22"/>
        <v/>
      </c>
      <c r="D5135" s="45" t="str">
        <f t="shared" si="23"/>
        <v/>
      </c>
      <c r="E5135" s="45" t="str">
        <f t="shared" si="24"/>
        <v/>
      </c>
      <c r="F5135" s="59" t="str">
        <f t="shared" si="25"/>
        <v/>
      </c>
      <c r="G5135" s="59" t="str">
        <f t="shared" si="26"/>
        <v/>
      </c>
      <c r="H5135" s="59" t="str">
        <f t="shared" si="27"/>
        <v>29E17410</v>
      </c>
      <c r="I5135" s="59" t="str">
        <f>IF(OR($A5135="",$C5135="",$D5135="",$E5135="",$H5135=""),"",SUMIFS(DATA_GOC!$H:$H,DATA_GOC!$A:$A,"BOM",DATA_GOC!$D:$D,$H5135,DATA_GOC!$E:$E,$C5135,DATA_GOC!$F:$F,"Xuất nội bộ từ téc",DATA_GOC!$B:$B,"&gt;="&amp;$D5135,DATA_GOC!$B:$B,"&lt;="&amp;$E5135))</f>
        <v/>
      </c>
      <c r="J5135" s="59">
        <f t="shared" si="28"/>
        <v>0</v>
      </c>
      <c r="K5135" s="59">
        <f t="shared" si="29"/>
        <v>0</v>
      </c>
      <c r="L5135" s="59">
        <f t="shared" si="30"/>
        <v>0</v>
      </c>
      <c r="M5135" s="59">
        <f t="shared" si="31"/>
        <v>0</v>
      </c>
    </row>
    <row r="5136" ht="15.0" hidden="1" customHeight="1">
      <c r="A5136" s="59">
        <f t="shared" si="20"/>
        <v>82</v>
      </c>
      <c r="B5136" s="59" t="str">
        <f t="shared" si="21"/>
        <v/>
      </c>
      <c r="C5136" s="59" t="str">
        <f t="shared" si="22"/>
        <v/>
      </c>
      <c r="D5136" s="45" t="str">
        <f t="shared" si="23"/>
        <v/>
      </c>
      <c r="E5136" s="45" t="str">
        <f t="shared" si="24"/>
        <v/>
      </c>
      <c r="F5136" s="59" t="str">
        <f t="shared" si="25"/>
        <v/>
      </c>
      <c r="G5136" s="59" t="str">
        <f t="shared" si="26"/>
        <v/>
      </c>
      <c r="H5136" s="59" t="str">
        <f t="shared" si="27"/>
        <v>29E17417</v>
      </c>
      <c r="I5136" s="59" t="str">
        <f>IF(OR($A5136="",$C5136="",$D5136="",$E5136="",$H5136=""),"",SUMIFS(DATA_GOC!$H:$H,DATA_GOC!$A:$A,"BOM",DATA_GOC!$D:$D,$H5136,DATA_GOC!$E:$E,$C5136,DATA_GOC!$F:$F,"Xuất nội bộ từ téc",DATA_GOC!$B:$B,"&gt;="&amp;$D5136,DATA_GOC!$B:$B,"&lt;="&amp;$E5136))</f>
        <v/>
      </c>
      <c r="J5136" s="59">
        <f t="shared" si="28"/>
        <v>0</v>
      </c>
      <c r="K5136" s="59">
        <f t="shared" si="29"/>
        <v>0</v>
      </c>
      <c r="L5136" s="59">
        <f t="shared" si="30"/>
        <v>0</v>
      </c>
      <c r="M5136" s="59">
        <f t="shared" si="31"/>
        <v>0</v>
      </c>
    </row>
    <row r="5137" ht="15.0" hidden="1" customHeight="1">
      <c r="A5137" s="59">
        <f t="shared" si="20"/>
        <v>82</v>
      </c>
      <c r="B5137" s="59" t="str">
        <f t="shared" si="21"/>
        <v/>
      </c>
      <c r="C5137" s="59" t="str">
        <f t="shared" si="22"/>
        <v/>
      </c>
      <c r="D5137" s="45" t="str">
        <f t="shared" si="23"/>
        <v/>
      </c>
      <c r="E5137" s="45" t="str">
        <f t="shared" si="24"/>
        <v/>
      </c>
      <c r="F5137" s="59" t="str">
        <f t="shared" si="25"/>
        <v/>
      </c>
      <c r="G5137" s="59" t="str">
        <f t="shared" si="26"/>
        <v/>
      </c>
      <c r="H5137" s="59" t="str">
        <f t="shared" si="27"/>
        <v>29E17539</v>
      </c>
      <c r="I5137" s="59" t="str">
        <f>IF(OR($A5137="",$C5137="",$D5137="",$E5137="",$H5137=""),"",SUMIFS(DATA_GOC!$H:$H,DATA_GOC!$A:$A,"BOM",DATA_GOC!$D:$D,$H5137,DATA_GOC!$E:$E,$C5137,DATA_GOC!$F:$F,"Xuất nội bộ từ téc",DATA_GOC!$B:$B,"&gt;="&amp;$D5137,DATA_GOC!$B:$B,"&lt;="&amp;$E5137))</f>
        <v/>
      </c>
      <c r="J5137" s="59">
        <f t="shared" si="28"/>
        <v>0</v>
      </c>
      <c r="K5137" s="59">
        <f t="shared" si="29"/>
        <v>0</v>
      </c>
      <c r="L5137" s="59">
        <f t="shared" si="30"/>
        <v>0</v>
      </c>
      <c r="M5137" s="59">
        <f t="shared" si="31"/>
        <v>0</v>
      </c>
    </row>
    <row r="5138" ht="15.0" hidden="1" customHeight="1">
      <c r="A5138" s="59">
        <f t="shared" si="20"/>
        <v>82</v>
      </c>
      <c r="B5138" s="59" t="str">
        <f t="shared" si="21"/>
        <v/>
      </c>
      <c r="C5138" s="59" t="str">
        <f t="shared" si="22"/>
        <v/>
      </c>
      <c r="D5138" s="45" t="str">
        <f t="shared" si="23"/>
        <v/>
      </c>
      <c r="E5138" s="45" t="str">
        <f t="shared" si="24"/>
        <v/>
      </c>
      <c r="F5138" s="59" t="str">
        <f t="shared" si="25"/>
        <v/>
      </c>
      <c r="G5138" s="59" t="str">
        <f t="shared" si="26"/>
        <v/>
      </c>
      <c r="H5138" s="59" t="str">
        <f t="shared" si="27"/>
        <v>29E18160</v>
      </c>
      <c r="I5138" s="59" t="str">
        <f>IF(OR($A5138="",$C5138="",$D5138="",$E5138="",$H5138=""),"",SUMIFS(DATA_GOC!$H:$H,DATA_GOC!$A:$A,"BOM",DATA_GOC!$D:$D,$H5138,DATA_GOC!$E:$E,$C5138,DATA_GOC!$F:$F,"Xuất nội bộ từ téc",DATA_GOC!$B:$B,"&gt;="&amp;$D5138,DATA_GOC!$B:$B,"&lt;="&amp;$E5138))</f>
        <v/>
      </c>
      <c r="J5138" s="59">
        <f t="shared" si="28"/>
        <v>0</v>
      </c>
      <c r="K5138" s="59">
        <f t="shared" si="29"/>
        <v>0</v>
      </c>
      <c r="L5138" s="59">
        <f t="shared" si="30"/>
        <v>0</v>
      </c>
      <c r="M5138" s="59">
        <f t="shared" si="31"/>
        <v>0</v>
      </c>
    </row>
    <row r="5139" ht="15.0" hidden="1" customHeight="1">
      <c r="A5139" s="59">
        <f t="shared" si="20"/>
        <v>82</v>
      </c>
      <c r="B5139" s="59" t="str">
        <f t="shared" si="21"/>
        <v/>
      </c>
      <c r="C5139" s="59" t="str">
        <f t="shared" si="22"/>
        <v/>
      </c>
      <c r="D5139" s="45" t="str">
        <f t="shared" si="23"/>
        <v/>
      </c>
      <c r="E5139" s="45" t="str">
        <f t="shared" si="24"/>
        <v/>
      </c>
      <c r="F5139" s="59" t="str">
        <f t="shared" si="25"/>
        <v/>
      </c>
      <c r="G5139" s="59" t="str">
        <f t="shared" si="26"/>
        <v/>
      </c>
      <c r="H5139" s="59" t="str">
        <f t="shared" si="27"/>
        <v>Công trình Asphalt</v>
      </c>
      <c r="I5139" s="59" t="str">
        <f>IF(OR($A5139="",$C5139="",$D5139="",$E5139="",$H5139=""),"",SUMIFS(DATA_GOC!$H:$H,DATA_GOC!$A:$A,"BOM",DATA_GOC!$D:$D,$H5139,DATA_GOC!$E:$E,$C5139,DATA_GOC!$F:$F,"Xuất nội bộ từ téc",DATA_GOC!$B:$B,"&gt;="&amp;$D5139,DATA_GOC!$B:$B,"&lt;="&amp;$E5139))</f>
        <v/>
      </c>
      <c r="J5139" s="59">
        <f t="shared" si="28"/>
        <v>0</v>
      </c>
      <c r="K5139" s="59">
        <f t="shared" si="29"/>
        <v>0</v>
      </c>
      <c r="L5139" s="59">
        <f t="shared" si="30"/>
        <v>0</v>
      </c>
      <c r="M5139" s="59">
        <f t="shared" si="31"/>
        <v>0</v>
      </c>
    </row>
    <row r="5140" ht="15.0" hidden="1" customHeight="1">
      <c r="A5140" s="59">
        <f t="shared" si="20"/>
        <v>82</v>
      </c>
      <c r="B5140" s="59" t="str">
        <f t="shared" si="21"/>
        <v/>
      </c>
      <c r="C5140" s="59" t="str">
        <f t="shared" si="22"/>
        <v/>
      </c>
      <c r="D5140" s="45" t="str">
        <f t="shared" si="23"/>
        <v/>
      </c>
      <c r="E5140" s="45" t="str">
        <f t="shared" si="24"/>
        <v/>
      </c>
      <c r="F5140" s="59" t="str">
        <f t="shared" si="25"/>
        <v/>
      </c>
      <c r="G5140" s="59" t="str">
        <f t="shared" si="26"/>
        <v/>
      </c>
      <c r="H5140" s="59" t="str">
        <f t="shared" si="27"/>
        <v>LG53F</v>
      </c>
      <c r="I5140" s="59" t="str">
        <f>IF(OR($A5140="",$C5140="",$D5140="",$E5140="",$H5140=""),"",SUMIFS(DATA_GOC!$H:$H,DATA_GOC!$A:$A,"BOM",DATA_GOC!$D:$D,$H5140,DATA_GOC!$E:$E,$C5140,DATA_GOC!$F:$F,"Xuất nội bộ từ téc",DATA_GOC!$B:$B,"&gt;="&amp;$D5140,DATA_GOC!$B:$B,"&lt;="&amp;$E5140))</f>
        <v/>
      </c>
      <c r="J5140" s="59">
        <f t="shared" si="28"/>
        <v>0</v>
      </c>
      <c r="K5140" s="59">
        <f t="shared" si="29"/>
        <v>0</v>
      </c>
      <c r="L5140" s="59">
        <f t="shared" si="30"/>
        <v>0</v>
      </c>
      <c r="M5140" s="59">
        <f t="shared" si="31"/>
        <v>0</v>
      </c>
    </row>
    <row r="5141" ht="15.0" hidden="1" customHeight="1">
      <c r="A5141" s="59">
        <f t="shared" si="20"/>
        <v>82</v>
      </c>
      <c r="B5141" s="59" t="str">
        <f t="shared" si="21"/>
        <v/>
      </c>
      <c r="C5141" s="59" t="str">
        <f t="shared" si="22"/>
        <v/>
      </c>
      <c r="D5141" s="45" t="str">
        <f t="shared" si="23"/>
        <v/>
      </c>
      <c r="E5141" s="45" t="str">
        <f t="shared" si="24"/>
        <v/>
      </c>
      <c r="F5141" s="59" t="str">
        <f t="shared" si="25"/>
        <v/>
      </c>
      <c r="G5141" s="59" t="str">
        <f t="shared" si="26"/>
        <v/>
      </c>
      <c r="H5141" s="59" t="str">
        <f t="shared" si="27"/>
        <v>Máy phát điện</v>
      </c>
      <c r="I5141" s="59" t="str">
        <f>IF(OR($A5141="",$C5141="",$D5141="",$E5141="",$H5141=""),"",SUMIFS(DATA_GOC!$H:$H,DATA_GOC!$A:$A,"BOM",DATA_GOC!$D:$D,$H5141,DATA_GOC!$E:$E,$C5141,DATA_GOC!$F:$F,"Xuất nội bộ từ téc",DATA_GOC!$B:$B,"&gt;="&amp;$D5141,DATA_GOC!$B:$B,"&lt;="&amp;$E5141))</f>
        <v/>
      </c>
      <c r="J5141" s="59">
        <f t="shared" si="28"/>
        <v>0</v>
      </c>
      <c r="K5141" s="59">
        <f t="shared" si="29"/>
        <v>0</v>
      </c>
      <c r="L5141" s="59">
        <f t="shared" si="30"/>
        <v>0</v>
      </c>
      <c r="M5141" s="59">
        <f t="shared" si="31"/>
        <v>0</v>
      </c>
    </row>
    <row r="5142" ht="15.0" hidden="1" customHeight="1">
      <c r="A5142" s="59">
        <f t="shared" si="20"/>
        <v>82</v>
      </c>
      <c r="B5142" s="59" t="str">
        <f t="shared" si="21"/>
        <v/>
      </c>
      <c r="C5142" s="59" t="str">
        <f t="shared" si="22"/>
        <v/>
      </c>
      <c r="D5142" s="45" t="str">
        <f t="shared" si="23"/>
        <v/>
      </c>
      <c r="E5142" s="45" t="str">
        <f t="shared" si="24"/>
        <v/>
      </c>
      <c r="F5142" s="59" t="str">
        <f t="shared" si="25"/>
        <v/>
      </c>
      <c r="G5142" s="59" t="str">
        <f t="shared" si="26"/>
        <v/>
      </c>
      <c r="H5142" s="59" t="str">
        <f t="shared" si="27"/>
        <v>Máy rải thảm</v>
      </c>
      <c r="I5142" s="59" t="str">
        <f>IF(OR($A5142="",$C5142="",$D5142="",$E5142="",$H5142=""),"",SUMIFS(DATA_GOC!$H:$H,DATA_GOC!$A:$A,"BOM",DATA_GOC!$D:$D,$H5142,DATA_GOC!$E:$E,$C5142,DATA_GOC!$F:$F,"Xuất nội bộ từ téc",DATA_GOC!$B:$B,"&gt;="&amp;$D5142,DATA_GOC!$B:$B,"&lt;="&amp;$E5142))</f>
        <v/>
      </c>
      <c r="J5142" s="59">
        <f t="shared" si="28"/>
        <v>0</v>
      </c>
      <c r="K5142" s="59">
        <f t="shared" si="29"/>
        <v>0</v>
      </c>
      <c r="L5142" s="59">
        <f t="shared" si="30"/>
        <v>0</v>
      </c>
      <c r="M5142" s="59">
        <f t="shared" si="31"/>
        <v>0</v>
      </c>
    </row>
    <row r="5143" ht="15.0" hidden="1" customHeight="1">
      <c r="A5143" s="59">
        <f t="shared" si="20"/>
        <v>82</v>
      </c>
      <c r="B5143" s="59" t="str">
        <f t="shared" si="21"/>
        <v/>
      </c>
      <c r="C5143" s="59" t="str">
        <f t="shared" si="22"/>
        <v/>
      </c>
      <c r="D5143" s="45" t="str">
        <f t="shared" si="23"/>
        <v/>
      </c>
      <c r="E5143" s="45" t="str">
        <f t="shared" si="24"/>
        <v/>
      </c>
      <c r="F5143" s="59" t="str">
        <f t="shared" si="25"/>
        <v/>
      </c>
      <c r="G5143" s="59" t="str">
        <f t="shared" si="26"/>
        <v/>
      </c>
      <c r="H5143" s="59" t="str">
        <f t="shared" si="27"/>
        <v>Xúc Đào</v>
      </c>
      <c r="I5143" s="59" t="str">
        <f>IF(OR($A5143="",$C5143="",$D5143="",$E5143="",$H5143=""),"",SUMIFS(DATA_GOC!$H:$H,DATA_GOC!$A:$A,"BOM",DATA_GOC!$D:$D,$H5143,DATA_GOC!$E:$E,$C5143,DATA_GOC!$F:$F,"Xuất nội bộ từ téc",DATA_GOC!$B:$B,"&gt;="&amp;$D5143,DATA_GOC!$B:$B,"&lt;="&amp;$E5143))</f>
        <v/>
      </c>
      <c r="J5143" s="59">
        <f t="shared" si="28"/>
        <v>0</v>
      </c>
      <c r="K5143" s="59">
        <f t="shared" si="29"/>
        <v>0</v>
      </c>
      <c r="L5143" s="59">
        <f t="shared" si="30"/>
        <v>0</v>
      </c>
      <c r="M5143" s="59">
        <f t="shared" si="31"/>
        <v>0</v>
      </c>
    </row>
    <row r="5144" ht="15.0" hidden="1" customHeight="1">
      <c r="A5144" s="59">
        <f t="shared" si="20"/>
        <v>82</v>
      </c>
      <c r="B5144" s="59" t="str">
        <f t="shared" si="21"/>
        <v/>
      </c>
      <c r="C5144" s="59" t="str">
        <f t="shared" si="22"/>
        <v/>
      </c>
      <c r="D5144" s="45" t="str">
        <f t="shared" si="23"/>
        <v/>
      </c>
      <c r="E5144" s="45" t="str">
        <f t="shared" si="24"/>
        <v/>
      </c>
      <c r="F5144" s="59" t="str">
        <f t="shared" si="25"/>
        <v/>
      </c>
      <c r="G5144" s="59" t="str">
        <f t="shared" si="26"/>
        <v/>
      </c>
      <c r="H5144" s="59" t="str">
        <f t="shared" si="27"/>
        <v>Xúclật asphalt</v>
      </c>
      <c r="I5144" s="59" t="str">
        <f>IF(OR($A5144="",$C5144="",$D5144="",$E5144="",$H5144=""),"",SUMIFS(DATA_GOC!$H:$H,DATA_GOC!$A:$A,"BOM",DATA_GOC!$D:$D,$H5144,DATA_GOC!$E:$E,$C5144,DATA_GOC!$F:$F,"Xuất nội bộ từ téc",DATA_GOC!$B:$B,"&gt;="&amp;$D5144,DATA_GOC!$B:$B,"&lt;="&amp;$E5144))</f>
        <v/>
      </c>
      <c r="J5144" s="59">
        <f t="shared" si="28"/>
        <v>0</v>
      </c>
      <c r="K5144" s="59">
        <f t="shared" si="29"/>
        <v>0</v>
      </c>
      <c r="L5144" s="59">
        <f t="shared" si="30"/>
        <v>0</v>
      </c>
      <c r="M5144" s="59">
        <f t="shared" si="31"/>
        <v>0</v>
      </c>
    </row>
    <row r="5145" ht="15.0" hidden="1" customHeight="1">
      <c r="A5145" s="59">
        <f t="shared" si="20"/>
        <v>82</v>
      </c>
      <c r="B5145" s="59" t="str">
        <f t="shared" si="21"/>
        <v/>
      </c>
      <c r="C5145" s="59" t="str">
        <f t="shared" si="22"/>
        <v/>
      </c>
      <c r="D5145" s="45" t="str">
        <f t="shared" si="23"/>
        <v/>
      </c>
      <c r="E5145" s="45" t="str">
        <f t="shared" si="24"/>
        <v/>
      </c>
      <c r="F5145" s="59" t="str">
        <f t="shared" si="25"/>
        <v/>
      </c>
      <c r="G5145" s="59" t="str">
        <f t="shared" si="26"/>
        <v/>
      </c>
      <c r="H5145" s="59" t="str">
        <f t="shared" si="27"/>
        <v>Xúclật855H</v>
      </c>
      <c r="I5145" s="59" t="str">
        <f>IF(OR($A5145="",$C5145="",$D5145="",$E5145="",$H5145=""),"",SUMIFS(DATA_GOC!$H:$H,DATA_GOC!$A:$A,"BOM",DATA_GOC!$D:$D,$H5145,DATA_GOC!$E:$E,$C5145,DATA_GOC!$F:$F,"Xuất nội bộ từ téc",DATA_GOC!$B:$B,"&gt;="&amp;$D5145,DATA_GOC!$B:$B,"&lt;="&amp;$E5145))</f>
        <v/>
      </c>
      <c r="J5145" s="59">
        <f t="shared" si="28"/>
        <v>0</v>
      </c>
      <c r="K5145" s="59">
        <f t="shared" si="29"/>
        <v>0</v>
      </c>
      <c r="L5145" s="59">
        <f t="shared" si="30"/>
        <v>0</v>
      </c>
      <c r="M5145" s="59">
        <f t="shared" si="31"/>
        <v>0</v>
      </c>
    </row>
    <row r="5146" ht="15.0" hidden="1" customHeight="1">
      <c r="A5146" s="59">
        <f t="shared" si="20"/>
        <v>82</v>
      </c>
      <c r="B5146" s="59" t="str">
        <f t="shared" si="21"/>
        <v/>
      </c>
      <c r="C5146" s="59" t="str">
        <f t="shared" si="22"/>
        <v/>
      </c>
      <c r="D5146" s="45" t="str">
        <f t="shared" si="23"/>
        <v/>
      </c>
      <c r="E5146" s="45" t="str">
        <f t="shared" si="24"/>
        <v/>
      </c>
      <c r="F5146" s="59" t="str">
        <f t="shared" si="25"/>
        <v/>
      </c>
      <c r="G5146" s="59" t="str">
        <f t="shared" si="26"/>
        <v/>
      </c>
      <c r="H5146" s="59" t="str">
        <f t="shared" si="27"/>
        <v>Xúclật855N</v>
      </c>
      <c r="I5146" s="59" t="str">
        <f>IF(OR($A5146="",$C5146="",$D5146="",$E5146="",$H5146=""),"",SUMIFS(DATA_GOC!$H:$H,DATA_GOC!$A:$A,"BOM",DATA_GOC!$D:$D,$H5146,DATA_GOC!$E:$E,$C5146,DATA_GOC!$F:$F,"Xuất nội bộ từ téc",DATA_GOC!$B:$B,"&gt;="&amp;$D5146,DATA_GOC!$B:$B,"&lt;="&amp;$E5146))</f>
        <v/>
      </c>
      <c r="J5146" s="59">
        <f t="shared" si="28"/>
        <v>0</v>
      </c>
      <c r="K5146" s="59">
        <f t="shared" si="29"/>
        <v>0</v>
      </c>
      <c r="L5146" s="59">
        <f t="shared" si="30"/>
        <v>0</v>
      </c>
      <c r="M5146" s="59">
        <f t="shared" si="31"/>
        <v>0</v>
      </c>
    </row>
    <row r="5147" ht="15.0" hidden="1" customHeight="1">
      <c r="A5147" s="59">
        <f t="shared" si="20"/>
        <v>82</v>
      </c>
      <c r="B5147" s="59" t="str">
        <f t="shared" si="21"/>
        <v/>
      </c>
      <c r="C5147" s="59" t="str">
        <f t="shared" si="22"/>
        <v/>
      </c>
      <c r="D5147" s="45" t="str">
        <f t="shared" si="23"/>
        <v/>
      </c>
      <c r="E5147" s="45" t="str">
        <f t="shared" si="24"/>
        <v/>
      </c>
      <c r="F5147" s="59" t="str">
        <f t="shared" si="25"/>
        <v/>
      </c>
      <c r="G5147" s="59" t="str">
        <f t="shared" si="26"/>
        <v/>
      </c>
      <c r="H5147" s="59" t="str">
        <f t="shared" si="27"/>
        <v>Cát nghiền</v>
      </c>
      <c r="I5147" s="59" t="str">
        <f>IF(OR($A5147="",$C5147="",$D5147="",$E5147="",$H5147=""),"",SUMIFS(DATA_GOC!$H:$H,DATA_GOC!$A:$A,"BOM",DATA_GOC!$D:$D,$H5147,DATA_GOC!$E:$E,$C5147,DATA_GOC!$F:$F,"Xuất nội bộ từ téc",DATA_GOC!$B:$B,"&gt;="&amp;$D5147,DATA_GOC!$B:$B,"&lt;="&amp;$E5147))</f>
        <v/>
      </c>
      <c r="J5147" s="59">
        <f t="shared" si="28"/>
        <v>0</v>
      </c>
      <c r="K5147" s="59">
        <f t="shared" si="29"/>
        <v>0</v>
      </c>
      <c r="L5147" s="59">
        <f t="shared" si="30"/>
        <v>0</v>
      </c>
      <c r="M5147" s="59">
        <f t="shared" si="31"/>
        <v>0</v>
      </c>
    </row>
    <row r="5148" ht="15.0" hidden="1" customHeight="1">
      <c r="A5148" s="59">
        <f t="shared" si="20"/>
        <v>82</v>
      </c>
      <c r="B5148" s="59" t="str">
        <f t="shared" si="21"/>
        <v/>
      </c>
      <c r="C5148" s="59" t="str">
        <f t="shared" si="22"/>
        <v/>
      </c>
      <c r="D5148" s="45" t="str">
        <f t="shared" si="23"/>
        <v/>
      </c>
      <c r="E5148" s="45" t="str">
        <f t="shared" si="24"/>
        <v/>
      </c>
      <c r="F5148" s="59" t="str">
        <f t="shared" si="25"/>
        <v/>
      </c>
      <c r="G5148" s="59" t="str">
        <f t="shared" si="26"/>
        <v/>
      </c>
      <c r="H5148" s="59" t="str">
        <f t="shared" si="27"/>
        <v>28C02973</v>
      </c>
      <c r="I5148" s="59" t="str">
        <f>IF(OR($A5148="",$C5148="",$D5148="",$E5148="",$H5148=""),"",SUMIFS(DATA_GOC!$H:$H,DATA_GOC!$A:$A,"BOM",DATA_GOC!$D:$D,$H5148,DATA_GOC!$E:$E,$C5148,DATA_GOC!$F:$F,"Xuất nội bộ từ téc",DATA_GOC!$B:$B,"&gt;="&amp;$D5148,DATA_GOC!$B:$B,"&lt;="&amp;$E5148))</f>
        <v/>
      </c>
      <c r="J5148" s="59">
        <f t="shared" si="28"/>
        <v>0</v>
      </c>
      <c r="K5148" s="59">
        <f t="shared" si="29"/>
        <v>0</v>
      </c>
      <c r="L5148" s="59">
        <f t="shared" si="30"/>
        <v>0</v>
      </c>
      <c r="M5148" s="59">
        <f t="shared" si="31"/>
        <v>0</v>
      </c>
    </row>
    <row r="5149" ht="15.0" hidden="1" customHeight="1">
      <c r="A5149" s="59">
        <f t="shared" si="20"/>
        <v>82</v>
      </c>
      <c r="B5149" s="59" t="str">
        <f t="shared" si="21"/>
        <v/>
      </c>
      <c r="C5149" s="59" t="str">
        <f t="shared" si="22"/>
        <v/>
      </c>
      <c r="D5149" s="45" t="str">
        <f t="shared" si="23"/>
        <v/>
      </c>
      <c r="E5149" s="45" t="str">
        <f t="shared" si="24"/>
        <v/>
      </c>
      <c r="F5149" s="59" t="str">
        <f t="shared" si="25"/>
        <v/>
      </c>
      <c r="G5149" s="59" t="str">
        <f t="shared" si="26"/>
        <v/>
      </c>
      <c r="H5149" s="59" t="str">
        <f t="shared" si="27"/>
        <v>28C03044</v>
      </c>
      <c r="I5149" s="59" t="str">
        <f>IF(OR($A5149="",$C5149="",$D5149="",$E5149="",$H5149=""),"",SUMIFS(DATA_GOC!$H:$H,DATA_GOC!$A:$A,"BOM",DATA_GOC!$D:$D,$H5149,DATA_GOC!$E:$E,$C5149,DATA_GOC!$F:$F,"Xuất nội bộ từ téc",DATA_GOC!$B:$B,"&gt;="&amp;$D5149,DATA_GOC!$B:$B,"&lt;="&amp;$E5149))</f>
        <v/>
      </c>
      <c r="J5149" s="59">
        <f t="shared" si="28"/>
        <v>0</v>
      </c>
      <c r="K5149" s="59">
        <f t="shared" si="29"/>
        <v>0</v>
      </c>
      <c r="L5149" s="59">
        <f t="shared" si="30"/>
        <v>0</v>
      </c>
      <c r="M5149" s="59">
        <f t="shared" si="31"/>
        <v>0</v>
      </c>
    </row>
    <row r="5150" ht="15.0" hidden="1" customHeight="1">
      <c r="A5150" s="59">
        <f t="shared" si="20"/>
        <v>82</v>
      </c>
      <c r="B5150" s="59" t="str">
        <f t="shared" si="21"/>
        <v/>
      </c>
      <c r="C5150" s="59" t="str">
        <f t="shared" si="22"/>
        <v/>
      </c>
      <c r="D5150" s="45" t="str">
        <f t="shared" si="23"/>
        <v/>
      </c>
      <c r="E5150" s="45" t="str">
        <f t="shared" si="24"/>
        <v/>
      </c>
      <c r="F5150" s="59" t="str">
        <f t="shared" si="25"/>
        <v/>
      </c>
      <c r="G5150" s="59" t="str">
        <f t="shared" si="26"/>
        <v/>
      </c>
      <c r="H5150" s="59" t="str">
        <f t="shared" si="27"/>
        <v>Máy lu lốp</v>
      </c>
      <c r="I5150" s="59" t="str">
        <f>IF(OR($A5150="",$C5150="",$D5150="",$E5150="",$H5150=""),"",SUMIFS(DATA_GOC!$H:$H,DATA_GOC!$A:$A,"BOM",DATA_GOC!$D:$D,$H5150,DATA_GOC!$E:$E,$C5150,DATA_GOC!$F:$F,"Xuất nội bộ từ téc",DATA_GOC!$B:$B,"&gt;="&amp;$D5150,DATA_GOC!$B:$B,"&lt;="&amp;$E5150))</f>
        <v/>
      </c>
      <c r="J5150" s="59">
        <f t="shared" si="28"/>
        <v>0</v>
      </c>
      <c r="K5150" s="59">
        <f t="shared" si="29"/>
        <v>0</v>
      </c>
      <c r="L5150" s="59">
        <f t="shared" si="30"/>
        <v>0</v>
      </c>
      <c r="M5150" s="59">
        <f t="shared" si="31"/>
        <v>0</v>
      </c>
    </row>
    <row r="5151" ht="15.0" hidden="1" customHeight="1">
      <c r="A5151" s="59">
        <f t="shared" si="20"/>
        <v>82</v>
      </c>
      <c r="B5151" s="59" t="str">
        <f t="shared" si="21"/>
        <v/>
      </c>
      <c r="C5151" s="59" t="str">
        <f t="shared" si="22"/>
        <v/>
      </c>
      <c r="D5151" s="45" t="str">
        <f t="shared" si="23"/>
        <v/>
      </c>
      <c r="E5151" s="45" t="str">
        <f t="shared" si="24"/>
        <v/>
      </c>
      <c r="F5151" s="59" t="str">
        <f t="shared" si="25"/>
        <v/>
      </c>
      <c r="G5151" s="59" t="str">
        <f t="shared" si="26"/>
        <v/>
      </c>
      <c r="H5151" s="59" t="str">
        <f t="shared" si="27"/>
        <v>Xe 600148</v>
      </c>
      <c r="I5151" s="59" t="str">
        <f>IF(OR($A5151="",$C5151="",$D5151="",$E5151="",$H5151=""),"",SUMIFS(DATA_GOC!$H:$H,DATA_GOC!$A:$A,"BOM",DATA_GOC!$D:$D,$H5151,DATA_GOC!$E:$E,$C5151,DATA_GOC!$F:$F,"Xuất nội bộ từ téc",DATA_GOC!$B:$B,"&gt;="&amp;$D5151,DATA_GOC!$B:$B,"&lt;="&amp;$E5151))</f>
        <v/>
      </c>
      <c r="J5151" s="59">
        <f t="shared" si="28"/>
        <v>0</v>
      </c>
      <c r="K5151" s="59">
        <f t="shared" si="29"/>
        <v>0</v>
      </c>
      <c r="L5151" s="59">
        <f t="shared" si="30"/>
        <v>0</v>
      </c>
      <c r="M5151" s="59">
        <f t="shared" si="31"/>
        <v>0</v>
      </c>
    </row>
    <row r="5152" ht="15.0" hidden="1" customHeight="1">
      <c r="A5152" s="59">
        <f t="shared" si="20"/>
        <v>82</v>
      </c>
      <c r="B5152" s="59" t="str">
        <f t="shared" si="21"/>
        <v/>
      </c>
      <c r="C5152" s="59" t="str">
        <f t="shared" si="22"/>
        <v/>
      </c>
      <c r="D5152" s="45" t="str">
        <f t="shared" si="23"/>
        <v/>
      </c>
      <c r="E5152" s="45" t="str">
        <f t="shared" si="24"/>
        <v/>
      </c>
      <c r="F5152" s="59" t="str">
        <f t="shared" si="25"/>
        <v/>
      </c>
      <c r="G5152" s="59" t="str">
        <f t="shared" si="26"/>
        <v/>
      </c>
      <c r="H5152" s="59" t="str">
        <f t="shared" si="27"/>
        <v>Xe ben mới</v>
      </c>
      <c r="I5152" s="59" t="str">
        <f>IF(OR($A5152="",$C5152="",$D5152="",$E5152="",$H5152=""),"",SUMIFS(DATA_GOC!$H:$H,DATA_GOC!$A:$A,"BOM",DATA_GOC!$D:$D,$H5152,DATA_GOC!$E:$E,$C5152,DATA_GOC!$F:$F,"Xuất nội bộ từ téc",DATA_GOC!$B:$B,"&gt;="&amp;$D5152,DATA_GOC!$B:$B,"&lt;="&amp;$E5152))</f>
        <v/>
      </c>
      <c r="J5152" s="59">
        <f t="shared" si="28"/>
        <v>0</v>
      </c>
      <c r="K5152" s="59">
        <f t="shared" si="29"/>
        <v>0</v>
      </c>
      <c r="L5152" s="59">
        <f t="shared" si="30"/>
        <v>0</v>
      </c>
      <c r="M5152" s="59">
        <f t="shared" si="31"/>
        <v>0</v>
      </c>
    </row>
    <row r="5153" ht="15.0" hidden="1" customHeight="1">
      <c r="A5153" s="59">
        <f t="shared" si="20"/>
        <v>83</v>
      </c>
      <c r="B5153" s="59" t="str">
        <f t="shared" si="21"/>
        <v/>
      </c>
      <c r="C5153" s="59" t="str">
        <f t="shared" si="22"/>
        <v/>
      </c>
      <c r="D5153" s="45" t="str">
        <f t="shared" si="23"/>
        <v/>
      </c>
      <c r="E5153" s="45" t="str">
        <f t="shared" si="24"/>
        <v/>
      </c>
      <c r="F5153" s="59" t="str">
        <f t="shared" si="25"/>
        <v/>
      </c>
      <c r="G5153" s="59" t="str">
        <f t="shared" si="26"/>
        <v/>
      </c>
      <c r="H5153" s="59" t="str">
        <f t="shared" si="27"/>
        <v>19H09482</v>
      </c>
      <c r="I5153" s="59" t="str">
        <f>IF(OR($A5153="",$C5153="",$D5153="",$E5153="",$H5153=""),"",SUMIFS(DATA_GOC!$H:$H,DATA_GOC!$A:$A,"BOM",DATA_GOC!$D:$D,$H5153,DATA_GOC!$E:$E,$C5153,DATA_GOC!$F:$F,"Xuất nội bộ từ téc",DATA_GOC!$B:$B,"&gt;="&amp;$D5153,DATA_GOC!$B:$B,"&lt;="&amp;$E5153))</f>
        <v/>
      </c>
      <c r="J5153" s="59">
        <f t="shared" si="28"/>
        <v>0</v>
      </c>
      <c r="K5153" s="59">
        <f t="shared" si="29"/>
        <v>0</v>
      </c>
      <c r="L5153" s="59">
        <f t="shared" si="30"/>
        <v>0</v>
      </c>
      <c r="M5153" s="59">
        <f t="shared" si="31"/>
        <v>0</v>
      </c>
    </row>
    <row r="5154" ht="15.0" hidden="1" customHeight="1">
      <c r="A5154" s="59">
        <f t="shared" si="20"/>
        <v>83</v>
      </c>
      <c r="B5154" s="59" t="str">
        <f t="shared" si="21"/>
        <v/>
      </c>
      <c r="C5154" s="59" t="str">
        <f t="shared" si="22"/>
        <v/>
      </c>
      <c r="D5154" s="45" t="str">
        <f t="shared" si="23"/>
        <v/>
      </c>
      <c r="E5154" s="45" t="str">
        <f t="shared" si="24"/>
        <v/>
      </c>
      <c r="F5154" s="59" t="str">
        <f t="shared" si="25"/>
        <v/>
      </c>
      <c r="G5154" s="59" t="str">
        <f t="shared" si="26"/>
        <v/>
      </c>
      <c r="H5154" s="59" t="str">
        <f t="shared" si="27"/>
        <v>28A30696</v>
      </c>
      <c r="I5154" s="59" t="str">
        <f>IF(OR($A5154="",$C5154="",$D5154="",$E5154="",$H5154=""),"",SUMIFS(DATA_GOC!$H:$H,DATA_GOC!$A:$A,"BOM",DATA_GOC!$D:$D,$H5154,DATA_GOC!$E:$E,$C5154,DATA_GOC!$F:$F,"Xuất nội bộ từ téc",DATA_GOC!$B:$B,"&gt;="&amp;$D5154,DATA_GOC!$B:$B,"&lt;="&amp;$E5154))</f>
        <v/>
      </c>
      <c r="J5154" s="59">
        <f t="shared" si="28"/>
        <v>0</v>
      </c>
      <c r="K5154" s="59">
        <f t="shared" si="29"/>
        <v>0</v>
      </c>
      <c r="L5154" s="59">
        <f t="shared" si="30"/>
        <v>0</v>
      </c>
      <c r="M5154" s="59">
        <f t="shared" si="31"/>
        <v>0</v>
      </c>
    </row>
    <row r="5155" ht="15.0" hidden="1" customHeight="1">
      <c r="A5155" s="59">
        <f t="shared" si="20"/>
        <v>83</v>
      </c>
      <c r="B5155" s="59" t="str">
        <f t="shared" si="21"/>
        <v/>
      </c>
      <c r="C5155" s="59" t="str">
        <f t="shared" si="22"/>
        <v/>
      </c>
      <c r="D5155" s="45" t="str">
        <f t="shared" si="23"/>
        <v/>
      </c>
      <c r="E5155" s="45" t="str">
        <f t="shared" si="24"/>
        <v/>
      </c>
      <c r="F5155" s="59" t="str">
        <f t="shared" si="25"/>
        <v/>
      </c>
      <c r="G5155" s="59" t="str">
        <f t="shared" si="26"/>
        <v/>
      </c>
      <c r="H5155" s="59" t="str">
        <f t="shared" si="27"/>
        <v>28C00462</v>
      </c>
      <c r="I5155" s="59" t="str">
        <f>IF(OR($A5155="",$C5155="",$D5155="",$E5155="",$H5155=""),"",SUMIFS(DATA_GOC!$H:$H,DATA_GOC!$A:$A,"BOM",DATA_GOC!$D:$D,$H5155,DATA_GOC!$E:$E,$C5155,DATA_GOC!$F:$F,"Xuất nội bộ từ téc",DATA_GOC!$B:$B,"&gt;="&amp;$D5155,DATA_GOC!$B:$B,"&lt;="&amp;$E5155))</f>
        <v/>
      </c>
      <c r="J5155" s="59">
        <f t="shared" si="28"/>
        <v>0</v>
      </c>
      <c r="K5155" s="59">
        <f t="shared" si="29"/>
        <v>0</v>
      </c>
      <c r="L5155" s="59">
        <f t="shared" si="30"/>
        <v>0</v>
      </c>
      <c r="M5155" s="59">
        <f t="shared" si="31"/>
        <v>0</v>
      </c>
    </row>
    <row r="5156" ht="15.0" hidden="1" customHeight="1">
      <c r="A5156" s="59">
        <f t="shared" si="20"/>
        <v>83</v>
      </c>
      <c r="B5156" s="59" t="str">
        <f t="shared" si="21"/>
        <v/>
      </c>
      <c r="C5156" s="59" t="str">
        <f t="shared" si="22"/>
        <v/>
      </c>
      <c r="D5156" s="45" t="str">
        <f t="shared" si="23"/>
        <v/>
      </c>
      <c r="E5156" s="45" t="str">
        <f t="shared" si="24"/>
        <v/>
      </c>
      <c r="F5156" s="59" t="str">
        <f t="shared" si="25"/>
        <v/>
      </c>
      <c r="G5156" s="59" t="str">
        <f t="shared" si="26"/>
        <v/>
      </c>
      <c r="H5156" s="59" t="str">
        <f t="shared" si="27"/>
        <v>28C01165</v>
      </c>
      <c r="I5156" s="59" t="str">
        <f>IF(OR($A5156="",$C5156="",$D5156="",$E5156="",$H5156=""),"",SUMIFS(DATA_GOC!$H:$H,DATA_GOC!$A:$A,"BOM",DATA_GOC!$D:$D,$H5156,DATA_GOC!$E:$E,$C5156,DATA_GOC!$F:$F,"Xuất nội bộ từ téc",DATA_GOC!$B:$B,"&gt;="&amp;$D5156,DATA_GOC!$B:$B,"&lt;="&amp;$E5156))</f>
        <v/>
      </c>
      <c r="J5156" s="59">
        <f t="shared" si="28"/>
        <v>0</v>
      </c>
      <c r="K5156" s="59">
        <f t="shared" si="29"/>
        <v>0</v>
      </c>
      <c r="L5156" s="59">
        <f t="shared" si="30"/>
        <v>0</v>
      </c>
      <c r="M5156" s="59">
        <f t="shared" si="31"/>
        <v>0</v>
      </c>
    </row>
    <row r="5157" ht="15.0" hidden="1" customHeight="1">
      <c r="A5157" s="59">
        <f t="shared" si="20"/>
        <v>83</v>
      </c>
      <c r="B5157" s="59" t="str">
        <f t="shared" si="21"/>
        <v/>
      </c>
      <c r="C5157" s="59" t="str">
        <f t="shared" si="22"/>
        <v/>
      </c>
      <c r="D5157" s="45" t="str">
        <f t="shared" si="23"/>
        <v/>
      </c>
      <c r="E5157" s="45" t="str">
        <f t="shared" si="24"/>
        <v/>
      </c>
      <c r="F5157" s="59" t="str">
        <f t="shared" si="25"/>
        <v/>
      </c>
      <c r="G5157" s="59" t="str">
        <f t="shared" si="26"/>
        <v/>
      </c>
      <c r="H5157" s="59" t="str">
        <f t="shared" si="27"/>
        <v>28C01406</v>
      </c>
      <c r="I5157" s="59" t="str">
        <f>IF(OR($A5157="",$C5157="",$D5157="",$E5157="",$H5157=""),"",SUMIFS(DATA_GOC!$H:$H,DATA_GOC!$A:$A,"BOM",DATA_GOC!$D:$D,$H5157,DATA_GOC!$E:$E,$C5157,DATA_GOC!$F:$F,"Xuất nội bộ từ téc",DATA_GOC!$B:$B,"&gt;="&amp;$D5157,DATA_GOC!$B:$B,"&lt;="&amp;$E5157))</f>
        <v/>
      </c>
      <c r="J5157" s="59">
        <f t="shared" si="28"/>
        <v>0</v>
      </c>
      <c r="K5157" s="59">
        <f t="shared" si="29"/>
        <v>0</v>
      </c>
      <c r="L5157" s="59">
        <f t="shared" si="30"/>
        <v>0</v>
      </c>
      <c r="M5157" s="59">
        <f t="shared" si="31"/>
        <v>0</v>
      </c>
    </row>
    <row r="5158" ht="15.0" hidden="1" customHeight="1">
      <c r="A5158" s="59">
        <f t="shared" si="20"/>
        <v>83</v>
      </c>
      <c r="B5158" s="59" t="str">
        <f t="shared" si="21"/>
        <v/>
      </c>
      <c r="C5158" s="59" t="str">
        <f t="shared" si="22"/>
        <v/>
      </c>
      <c r="D5158" s="45" t="str">
        <f t="shared" si="23"/>
        <v/>
      </c>
      <c r="E5158" s="45" t="str">
        <f t="shared" si="24"/>
        <v/>
      </c>
      <c r="F5158" s="59" t="str">
        <f t="shared" si="25"/>
        <v/>
      </c>
      <c r="G5158" s="59" t="str">
        <f t="shared" si="26"/>
        <v/>
      </c>
      <c r="H5158" s="59" t="str">
        <f t="shared" si="27"/>
        <v>28C01544</v>
      </c>
      <c r="I5158" s="59" t="str">
        <f>IF(OR($A5158="",$C5158="",$D5158="",$E5158="",$H5158=""),"",SUMIFS(DATA_GOC!$H:$H,DATA_GOC!$A:$A,"BOM",DATA_GOC!$D:$D,$H5158,DATA_GOC!$E:$E,$C5158,DATA_GOC!$F:$F,"Xuất nội bộ từ téc",DATA_GOC!$B:$B,"&gt;="&amp;$D5158,DATA_GOC!$B:$B,"&lt;="&amp;$E5158))</f>
        <v/>
      </c>
      <c r="J5158" s="59">
        <f t="shared" si="28"/>
        <v>0</v>
      </c>
      <c r="K5158" s="59">
        <f t="shared" si="29"/>
        <v>0</v>
      </c>
      <c r="L5158" s="59">
        <f t="shared" si="30"/>
        <v>0</v>
      </c>
      <c r="M5158" s="59">
        <f t="shared" si="31"/>
        <v>0</v>
      </c>
    </row>
    <row r="5159" ht="15.0" hidden="1" customHeight="1">
      <c r="A5159" s="59">
        <f t="shared" si="20"/>
        <v>83</v>
      </c>
      <c r="B5159" s="59" t="str">
        <f t="shared" si="21"/>
        <v/>
      </c>
      <c r="C5159" s="59" t="str">
        <f t="shared" si="22"/>
        <v/>
      </c>
      <c r="D5159" s="45" t="str">
        <f t="shared" si="23"/>
        <v/>
      </c>
      <c r="E5159" s="45" t="str">
        <f t="shared" si="24"/>
        <v/>
      </c>
      <c r="F5159" s="59" t="str">
        <f t="shared" si="25"/>
        <v/>
      </c>
      <c r="G5159" s="59" t="str">
        <f t="shared" si="26"/>
        <v/>
      </c>
      <c r="H5159" s="59" t="str">
        <f t="shared" si="27"/>
        <v>28C01622</v>
      </c>
      <c r="I5159" s="59" t="str">
        <f>IF(OR($A5159="",$C5159="",$D5159="",$E5159="",$H5159=""),"",SUMIFS(DATA_GOC!$H:$H,DATA_GOC!$A:$A,"BOM",DATA_GOC!$D:$D,$H5159,DATA_GOC!$E:$E,$C5159,DATA_GOC!$F:$F,"Xuất nội bộ từ téc",DATA_GOC!$B:$B,"&gt;="&amp;$D5159,DATA_GOC!$B:$B,"&lt;="&amp;$E5159))</f>
        <v/>
      </c>
      <c r="J5159" s="59">
        <f t="shared" si="28"/>
        <v>0</v>
      </c>
      <c r="K5159" s="59">
        <f t="shared" si="29"/>
        <v>0</v>
      </c>
      <c r="L5159" s="59">
        <f t="shared" si="30"/>
        <v>0</v>
      </c>
      <c r="M5159" s="59">
        <f t="shared" si="31"/>
        <v>0</v>
      </c>
    </row>
    <row r="5160" ht="15.0" hidden="1" customHeight="1">
      <c r="A5160" s="59">
        <f t="shared" si="20"/>
        <v>83</v>
      </c>
      <c r="B5160" s="59" t="str">
        <f t="shared" si="21"/>
        <v/>
      </c>
      <c r="C5160" s="59" t="str">
        <f t="shared" si="22"/>
        <v/>
      </c>
      <c r="D5160" s="45" t="str">
        <f t="shared" si="23"/>
        <v/>
      </c>
      <c r="E5160" s="45" t="str">
        <f t="shared" si="24"/>
        <v/>
      </c>
      <c r="F5160" s="59" t="str">
        <f t="shared" si="25"/>
        <v/>
      </c>
      <c r="G5160" s="59" t="str">
        <f t="shared" si="26"/>
        <v/>
      </c>
      <c r="H5160" s="59" t="str">
        <f t="shared" si="27"/>
        <v>28C01647</v>
      </c>
      <c r="I5160" s="59" t="str">
        <f>IF(OR($A5160="",$C5160="",$D5160="",$E5160="",$H5160=""),"",SUMIFS(DATA_GOC!$H:$H,DATA_GOC!$A:$A,"BOM",DATA_GOC!$D:$D,$H5160,DATA_GOC!$E:$E,$C5160,DATA_GOC!$F:$F,"Xuất nội bộ từ téc",DATA_GOC!$B:$B,"&gt;="&amp;$D5160,DATA_GOC!$B:$B,"&lt;="&amp;$E5160))</f>
        <v/>
      </c>
      <c r="J5160" s="59">
        <f t="shared" si="28"/>
        <v>0</v>
      </c>
      <c r="K5160" s="59">
        <f t="shared" si="29"/>
        <v>0</v>
      </c>
      <c r="L5160" s="59">
        <f t="shared" si="30"/>
        <v>0</v>
      </c>
      <c r="M5160" s="59">
        <f t="shared" si="31"/>
        <v>0</v>
      </c>
    </row>
    <row r="5161" ht="15.0" hidden="1" customHeight="1">
      <c r="A5161" s="59">
        <f t="shared" si="20"/>
        <v>83</v>
      </c>
      <c r="B5161" s="59" t="str">
        <f t="shared" si="21"/>
        <v/>
      </c>
      <c r="C5161" s="59" t="str">
        <f t="shared" si="22"/>
        <v/>
      </c>
      <c r="D5161" s="45" t="str">
        <f t="shared" si="23"/>
        <v/>
      </c>
      <c r="E5161" s="45" t="str">
        <f t="shared" si="24"/>
        <v/>
      </c>
      <c r="F5161" s="59" t="str">
        <f t="shared" si="25"/>
        <v/>
      </c>
      <c r="G5161" s="59" t="str">
        <f t="shared" si="26"/>
        <v/>
      </c>
      <c r="H5161" s="59" t="str">
        <f t="shared" si="27"/>
        <v>28C01731</v>
      </c>
      <c r="I5161" s="59" t="str">
        <f>IF(OR($A5161="",$C5161="",$D5161="",$E5161="",$H5161=""),"",SUMIFS(DATA_GOC!$H:$H,DATA_GOC!$A:$A,"BOM",DATA_GOC!$D:$D,$H5161,DATA_GOC!$E:$E,$C5161,DATA_GOC!$F:$F,"Xuất nội bộ từ téc",DATA_GOC!$B:$B,"&gt;="&amp;$D5161,DATA_GOC!$B:$B,"&lt;="&amp;$E5161))</f>
        <v/>
      </c>
      <c r="J5161" s="59">
        <f t="shared" si="28"/>
        <v>0</v>
      </c>
      <c r="K5161" s="59">
        <f t="shared" si="29"/>
        <v>0</v>
      </c>
      <c r="L5161" s="59">
        <f t="shared" si="30"/>
        <v>0</v>
      </c>
      <c r="M5161" s="59">
        <f t="shared" si="31"/>
        <v>0</v>
      </c>
    </row>
    <row r="5162" ht="15.0" hidden="1" customHeight="1">
      <c r="A5162" s="59">
        <f t="shared" si="20"/>
        <v>83</v>
      </c>
      <c r="B5162" s="59" t="str">
        <f t="shared" si="21"/>
        <v/>
      </c>
      <c r="C5162" s="59" t="str">
        <f t="shared" si="22"/>
        <v/>
      </c>
      <c r="D5162" s="45" t="str">
        <f t="shared" si="23"/>
        <v/>
      </c>
      <c r="E5162" s="45" t="str">
        <f t="shared" si="24"/>
        <v/>
      </c>
      <c r="F5162" s="59" t="str">
        <f t="shared" si="25"/>
        <v/>
      </c>
      <c r="G5162" s="59" t="str">
        <f t="shared" si="26"/>
        <v/>
      </c>
      <c r="H5162" s="59" t="str">
        <f t="shared" si="27"/>
        <v>28C01743</v>
      </c>
      <c r="I5162" s="59" t="str">
        <f>IF(OR($A5162="",$C5162="",$D5162="",$E5162="",$H5162=""),"",SUMIFS(DATA_GOC!$H:$H,DATA_GOC!$A:$A,"BOM",DATA_GOC!$D:$D,$H5162,DATA_GOC!$E:$E,$C5162,DATA_GOC!$F:$F,"Xuất nội bộ từ téc",DATA_GOC!$B:$B,"&gt;="&amp;$D5162,DATA_GOC!$B:$B,"&lt;="&amp;$E5162))</f>
        <v/>
      </c>
      <c r="J5162" s="59">
        <f t="shared" si="28"/>
        <v>0</v>
      </c>
      <c r="K5162" s="59">
        <f t="shared" si="29"/>
        <v>0</v>
      </c>
      <c r="L5162" s="59">
        <f t="shared" si="30"/>
        <v>0</v>
      </c>
      <c r="M5162" s="59">
        <f t="shared" si="31"/>
        <v>0</v>
      </c>
    </row>
    <row r="5163" ht="15.0" hidden="1" customHeight="1">
      <c r="A5163" s="59">
        <f t="shared" si="20"/>
        <v>83</v>
      </c>
      <c r="B5163" s="59" t="str">
        <f t="shared" si="21"/>
        <v/>
      </c>
      <c r="C5163" s="59" t="str">
        <f t="shared" si="22"/>
        <v/>
      </c>
      <c r="D5163" s="45" t="str">
        <f t="shared" si="23"/>
        <v/>
      </c>
      <c r="E5163" s="45" t="str">
        <f t="shared" si="24"/>
        <v/>
      </c>
      <c r="F5163" s="59" t="str">
        <f t="shared" si="25"/>
        <v/>
      </c>
      <c r="G5163" s="59" t="str">
        <f t="shared" si="26"/>
        <v/>
      </c>
      <c r="H5163" s="59" t="str">
        <f t="shared" si="27"/>
        <v>28C02106</v>
      </c>
      <c r="I5163" s="59" t="str">
        <f>IF(OR($A5163="",$C5163="",$D5163="",$E5163="",$H5163=""),"",SUMIFS(DATA_GOC!$H:$H,DATA_GOC!$A:$A,"BOM",DATA_GOC!$D:$D,$H5163,DATA_GOC!$E:$E,$C5163,DATA_GOC!$F:$F,"Xuất nội bộ từ téc",DATA_GOC!$B:$B,"&gt;="&amp;$D5163,DATA_GOC!$B:$B,"&lt;="&amp;$E5163))</f>
        <v/>
      </c>
      <c r="J5163" s="59">
        <f t="shared" si="28"/>
        <v>0</v>
      </c>
      <c r="K5163" s="59">
        <f t="shared" si="29"/>
        <v>0</v>
      </c>
      <c r="L5163" s="59">
        <f t="shared" si="30"/>
        <v>0</v>
      </c>
      <c r="M5163" s="59">
        <f t="shared" si="31"/>
        <v>0</v>
      </c>
    </row>
    <row r="5164" ht="15.0" hidden="1" customHeight="1">
      <c r="A5164" s="59">
        <f t="shared" si="20"/>
        <v>83</v>
      </c>
      <c r="B5164" s="59" t="str">
        <f t="shared" si="21"/>
        <v/>
      </c>
      <c r="C5164" s="59" t="str">
        <f t="shared" si="22"/>
        <v/>
      </c>
      <c r="D5164" s="45" t="str">
        <f t="shared" si="23"/>
        <v/>
      </c>
      <c r="E5164" s="45" t="str">
        <f t="shared" si="24"/>
        <v/>
      </c>
      <c r="F5164" s="59" t="str">
        <f t="shared" si="25"/>
        <v/>
      </c>
      <c r="G5164" s="59" t="str">
        <f t="shared" si="26"/>
        <v/>
      </c>
      <c r="H5164" s="59" t="str">
        <f t="shared" si="27"/>
        <v>28C02410</v>
      </c>
      <c r="I5164" s="59" t="str">
        <f>IF(OR($A5164="",$C5164="",$D5164="",$E5164="",$H5164=""),"",SUMIFS(DATA_GOC!$H:$H,DATA_GOC!$A:$A,"BOM",DATA_GOC!$D:$D,$H5164,DATA_GOC!$E:$E,$C5164,DATA_GOC!$F:$F,"Xuất nội bộ từ téc",DATA_GOC!$B:$B,"&gt;="&amp;$D5164,DATA_GOC!$B:$B,"&lt;="&amp;$E5164))</f>
        <v/>
      </c>
      <c r="J5164" s="59">
        <f t="shared" si="28"/>
        <v>0</v>
      </c>
      <c r="K5164" s="59">
        <f t="shared" si="29"/>
        <v>0</v>
      </c>
      <c r="L5164" s="59">
        <f t="shared" si="30"/>
        <v>0</v>
      </c>
      <c r="M5164" s="59">
        <f t="shared" si="31"/>
        <v>0</v>
      </c>
    </row>
    <row r="5165" ht="15.0" hidden="1" customHeight="1">
      <c r="A5165" s="59">
        <f t="shared" si="20"/>
        <v>83</v>
      </c>
      <c r="B5165" s="59" t="str">
        <f t="shared" si="21"/>
        <v/>
      </c>
      <c r="C5165" s="59" t="str">
        <f t="shared" si="22"/>
        <v/>
      </c>
      <c r="D5165" s="45" t="str">
        <f t="shared" si="23"/>
        <v/>
      </c>
      <c r="E5165" s="45" t="str">
        <f t="shared" si="24"/>
        <v/>
      </c>
      <c r="F5165" s="59" t="str">
        <f t="shared" si="25"/>
        <v/>
      </c>
      <c r="G5165" s="59" t="str">
        <f t="shared" si="26"/>
        <v/>
      </c>
      <c r="H5165" s="59" t="str">
        <f t="shared" si="27"/>
        <v>28C02545</v>
      </c>
      <c r="I5165" s="59" t="str">
        <f>IF(OR($A5165="",$C5165="",$D5165="",$E5165="",$H5165=""),"",SUMIFS(DATA_GOC!$H:$H,DATA_GOC!$A:$A,"BOM",DATA_GOC!$D:$D,$H5165,DATA_GOC!$E:$E,$C5165,DATA_GOC!$F:$F,"Xuất nội bộ từ téc",DATA_GOC!$B:$B,"&gt;="&amp;$D5165,DATA_GOC!$B:$B,"&lt;="&amp;$E5165))</f>
        <v/>
      </c>
      <c r="J5165" s="59">
        <f t="shared" si="28"/>
        <v>0</v>
      </c>
      <c r="K5165" s="59">
        <f t="shared" si="29"/>
        <v>0</v>
      </c>
      <c r="L5165" s="59">
        <f t="shared" si="30"/>
        <v>0</v>
      </c>
      <c r="M5165" s="59">
        <f t="shared" si="31"/>
        <v>0</v>
      </c>
    </row>
    <row r="5166" ht="15.0" hidden="1" customHeight="1">
      <c r="A5166" s="59">
        <f t="shared" si="20"/>
        <v>83</v>
      </c>
      <c r="B5166" s="59" t="str">
        <f t="shared" si="21"/>
        <v/>
      </c>
      <c r="C5166" s="59" t="str">
        <f t="shared" si="22"/>
        <v/>
      </c>
      <c r="D5166" s="45" t="str">
        <f t="shared" si="23"/>
        <v/>
      </c>
      <c r="E5166" s="45" t="str">
        <f t="shared" si="24"/>
        <v/>
      </c>
      <c r="F5166" s="59" t="str">
        <f t="shared" si="25"/>
        <v/>
      </c>
      <c r="G5166" s="59" t="str">
        <f t="shared" si="26"/>
        <v/>
      </c>
      <c r="H5166" s="59" t="str">
        <f t="shared" si="27"/>
        <v>28C02574</v>
      </c>
      <c r="I5166" s="59" t="str">
        <f>IF(OR($A5166="",$C5166="",$D5166="",$E5166="",$H5166=""),"",SUMIFS(DATA_GOC!$H:$H,DATA_GOC!$A:$A,"BOM",DATA_GOC!$D:$D,$H5166,DATA_GOC!$E:$E,$C5166,DATA_GOC!$F:$F,"Xuất nội bộ từ téc",DATA_GOC!$B:$B,"&gt;="&amp;$D5166,DATA_GOC!$B:$B,"&lt;="&amp;$E5166))</f>
        <v/>
      </c>
      <c r="J5166" s="59">
        <f t="shared" si="28"/>
        <v>0</v>
      </c>
      <c r="K5166" s="59">
        <f t="shared" si="29"/>
        <v>0</v>
      </c>
      <c r="L5166" s="59">
        <f t="shared" si="30"/>
        <v>0</v>
      </c>
      <c r="M5166" s="59">
        <f t="shared" si="31"/>
        <v>0</v>
      </c>
    </row>
    <row r="5167" ht="15.0" hidden="1" customHeight="1">
      <c r="A5167" s="59">
        <f t="shared" si="20"/>
        <v>83</v>
      </c>
      <c r="B5167" s="59" t="str">
        <f t="shared" si="21"/>
        <v/>
      </c>
      <c r="C5167" s="59" t="str">
        <f t="shared" si="22"/>
        <v/>
      </c>
      <c r="D5167" s="45" t="str">
        <f t="shared" si="23"/>
        <v/>
      </c>
      <c r="E5167" s="45" t="str">
        <f t="shared" si="24"/>
        <v/>
      </c>
      <c r="F5167" s="59" t="str">
        <f t="shared" si="25"/>
        <v/>
      </c>
      <c r="G5167" s="59" t="str">
        <f t="shared" si="26"/>
        <v/>
      </c>
      <c r="H5167" s="59" t="str">
        <f t="shared" si="27"/>
        <v>28C02770</v>
      </c>
      <c r="I5167" s="59" t="str">
        <f>IF(OR($A5167="",$C5167="",$D5167="",$E5167="",$H5167=""),"",SUMIFS(DATA_GOC!$H:$H,DATA_GOC!$A:$A,"BOM",DATA_GOC!$D:$D,$H5167,DATA_GOC!$E:$E,$C5167,DATA_GOC!$F:$F,"Xuất nội bộ từ téc",DATA_GOC!$B:$B,"&gt;="&amp;$D5167,DATA_GOC!$B:$B,"&lt;="&amp;$E5167))</f>
        <v/>
      </c>
      <c r="J5167" s="59">
        <f t="shared" si="28"/>
        <v>0</v>
      </c>
      <c r="K5167" s="59">
        <f t="shared" si="29"/>
        <v>0</v>
      </c>
      <c r="L5167" s="59">
        <f t="shared" si="30"/>
        <v>0</v>
      </c>
      <c r="M5167" s="59">
        <f t="shared" si="31"/>
        <v>0</v>
      </c>
    </row>
    <row r="5168" ht="15.0" hidden="1" customHeight="1">
      <c r="A5168" s="59">
        <f t="shared" si="20"/>
        <v>83</v>
      </c>
      <c r="B5168" s="59" t="str">
        <f t="shared" si="21"/>
        <v/>
      </c>
      <c r="C5168" s="59" t="str">
        <f t="shared" si="22"/>
        <v/>
      </c>
      <c r="D5168" s="45" t="str">
        <f t="shared" si="23"/>
        <v/>
      </c>
      <c r="E5168" s="45" t="str">
        <f t="shared" si="24"/>
        <v/>
      </c>
      <c r="F5168" s="59" t="str">
        <f t="shared" si="25"/>
        <v/>
      </c>
      <c r="G5168" s="59" t="str">
        <f t="shared" si="26"/>
        <v/>
      </c>
      <c r="H5168" s="59" t="str">
        <f t="shared" si="27"/>
        <v>28C02986</v>
      </c>
      <c r="I5168" s="59" t="str">
        <f>IF(OR($A5168="",$C5168="",$D5168="",$E5168="",$H5168=""),"",SUMIFS(DATA_GOC!$H:$H,DATA_GOC!$A:$A,"BOM",DATA_GOC!$D:$D,$H5168,DATA_GOC!$E:$E,$C5168,DATA_GOC!$F:$F,"Xuất nội bộ từ téc",DATA_GOC!$B:$B,"&gt;="&amp;$D5168,DATA_GOC!$B:$B,"&lt;="&amp;$E5168))</f>
        <v/>
      </c>
      <c r="J5168" s="59">
        <f t="shared" si="28"/>
        <v>0</v>
      </c>
      <c r="K5168" s="59">
        <f t="shared" si="29"/>
        <v>0</v>
      </c>
      <c r="L5168" s="59">
        <f t="shared" si="30"/>
        <v>0</v>
      </c>
      <c r="M5168" s="59">
        <f t="shared" si="31"/>
        <v>0</v>
      </c>
    </row>
    <row r="5169" ht="15.0" hidden="1" customHeight="1">
      <c r="A5169" s="59">
        <f t="shared" si="20"/>
        <v>83</v>
      </c>
      <c r="B5169" s="59" t="str">
        <f t="shared" si="21"/>
        <v/>
      </c>
      <c r="C5169" s="59" t="str">
        <f t="shared" si="22"/>
        <v/>
      </c>
      <c r="D5169" s="45" t="str">
        <f t="shared" si="23"/>
        <v/>
      </c>
      <c r="E5169" s="45" t="str">
        <f t="shared" si="24"/>
        <v/>
      </c>
      <c r="F5169" s="59" t="str">
        <f t="shared" si="25"/>
        <v/>
      </c>
      <c r="G5169" s="59" t="str">
        <f t="shared" si="26"/>
        <v/>
      </c>
      <c r="H5169" s="59" t="str">
        <f t="shared" si="27"/>
        <v>28C03261</v>
      </c>
      <c r="I5169" s="59" t="str">
        <f>IF(OR($A5169="",$C5169="",$D5169="",$E5169="",$H5169=""),"",SUMIFS(DATA_GOC!$H:$H,DATA_GOC!$A:$A,"BOM",DATA_GOC!$D:$D,$H5169,DATA_GOC!$E:$E,$C5169,DATA_GOC!$F:$F,"Xuất nội bộ từ téc",DATA_GOC!$B:$B,"&gt;="&amp;$D5169,DATA_GOC!$B:$B,"&lt;="&amp;$E5169))</f>
        <v/>
      </c>
      <c r="J5169" s="59">
        <f t="shared" si="28"/>
        <v>0</v>
      </c>
      <c r="K5169" s="59">
        <f t="shared" si="29"/>
        <v>0</v>
      </c>
      <c r="L5169" s="59">
        <f t="shared" si="30"/>
        <v>0</v>
      </c>
      <c r="M5169" s="59">
        <f t="shared" si="31"/>
        <v>0</v>
      </c>
    </row>
    <row r="5170" ht="15.0" hidden="1" customHeight="1">
      <c r="A5170" s="59">
        <f t="shared" si="20"/>
        <v>83</v>
      </c>
      <c r="B5170" s="59" t="str">
        <f t="shared" si="21"/>
        <v/>
      </c>
      <c r="C5170" s="59" t="str">
        <f t="shared" si="22"/>
        <v/>
      </c>
      <c r="D5170" s="45" t="str">
        <f t="shared" si="23"/>
        <v/>
      </c>
      <c r="E5170" s="45" t="str">
        <f t="shared" si="24"/>
        <v/>
      </c>
      <c r="F5170" s="59" t="str">
        <f t="shared" si="25"/>
        <v/>
      </c>
      <c r="G5170" s="59" t="str">
        <f t="shared" si="26"/>
        <v/>
      </c>
      <c r="H5170" s="59" t="str">
        <f t="shared" si="27"/>
        <v>28C03323</v>
      </c>
      <c r="I5170" s="59" t="str">
        <f>IF(OR($A5170="",$C5170="",$D5170="",$E5170="",$H5170=""),"",SUMIFS(DATA_GOC!$H:$H,DATA_GOC!$A:$A,"BOM",DATA_GOC!$D:$D,$H5170,DATA_GOC!$E:$E,$C5170,DATA_GOC!$F:$F,"Xuất nội bộ từ téc",DATA_GOC!$B:$B,"&gt;="&amp;$D5170,DATA_GOC!$B:$B,"&lt;="&amp;$E5170))</f>
        <v/>
      </c>
      <c r="J5170" s="59">
        <f t="shared" si="28"/>
        <v>0</v>
      </c>
      <c r="K5170" s="59">
        <f t="shared" si="29"/>
        <v>0</v>
      </c>
      <c r="L5170" s="59">
        <f t="shared" si="30"/>
        <v>0</v>
      </c>
      <c r="M5170" s="59">
        <f t="shared" si="31"/>
        <v>0</v>
      </c>
    </row>
    <row r="5171" ht="15.0" hidden="1" customHeight="1">
      <c r="A5171" s="59">
        <f t="shared" si="20"/>
        <v>83</v>
      </c>
      <c r="B5171" s="59" t="str">
        <f t="shared" si="21"/>
        <v/>
      </c>
      <c r="C5171" s="59" t="str">
        <f t="shared" si="22"/>
        <v/>
      </c>
      <c r="D5171" s="45" t="str">
        <f t="shared" si="23"/>
        <v/>
      </c>
      <c r="E5171" s="45" t="str">
        <f t="shared" si="24"/>
        <v/>
      </c>
      <c r="F5171" s="59" t="str">
        <f t="shared" si="25"/>
        <v/>
      </c>
      <c r="G5171" s="59" t="str">
        <f t="shared" si="26"/>
        <v/>
      </c>
      <c r="H5171" s="59" t="str">
        <f t="shared" si="27"/>
        <v>28C03385</v>
      </c>
      <c r="I5171" s="59" t="str">
        <f>IF(OR($A5171="",$C5171="",$D5171="",$E5171="",$H5171=""),"",SUMIFS(DATA_GOC!$H:$H,DATA_GOC!$A:$A,"BOM",DATA_GOC!$D:$D,$H5171,DATA_GOC!$E:$E,$C5171,DATA_GOC!$F:$F,"Xuất nội bộ từ téc",DATA_GOC!$B:$B,"&gt;="&amp;$D5171,DATA_GOC!$B:$B,"&lt;="&amp;$E5171))</f>
        <v/>
      </c>
      <c r="J5171" s="59">
        <f t="shared" si="28"/>
        <v>0</v>
      </c>
      <c r="K5171" s="59">
        <f t="shared" si="29"/>
        <v>0</v>
      </c>
      <c r="L5171" s="59">
        <f t="shared" si="30"/>
        <v>0</v>
      </c>
      <c r="M5171" s="59">
        <f t="shared" si="31"/>
        <v>0</v>
      </c>
    </row>
    <row r="5172" ht="15.0" hidden="1" customHeight="1">
      <c r="A5172" s="59">
        <f t="shared" si="20"/>
        <v>83</v>
      </c>
      <c r="B5172" s="59" t="str">
        <f t="shared" si="21"/>
        <v/>
      </c>
      <c r="C5172" s="59" t="str">
        <f t="shared" si="22"/>
        <v/>
      </c>
      <c r="D5172" s="45" t="str">
        <f t="shared" si="23"/>
        <v/>
      </c>
      <c r="E5172" s="45" t="str">
        <f t="shared" si="24"/>
        <v/>
      </c>
      <c r="F5172" s="59" t="str">
        <f t="shared" si="25"/>
        <v/>
      </c>
      <c r="G5172" s="59" t="str">
        <f t="shared" si="26"/>
        <v/>
      </c>
      <c r="H5172" s="59" t="str">
        <f t="shared" si="27"/>
        <v>28C03652</v>
      </c>
      <c r="I5172" s="59" t="str">
        <f>IF(OR($A5172="",$C5172="",$D5172="",$E5172="",$H5172=""),"",SUMIFS(DATA_GOC!$H:$H,DATA_GOC!$A:$A,"BOM",DATA_GOC!$D:$D,$H5172,DATA_GOC!$E:$E,$C5172,DATA_GOC!$F:$F,"Xuất nội bộ từ téc",DATA_GOC!$B:$B,"&gt;="&amp;$D5172,DATA_GOC!$B:$B,"&lt;="&amp;$E5172))</f>
        <v/>
      </c>
      <c r="J5172" s="59">
        <f t="shared" si="28"/>
        <v>0</v>
      </c>
      <c r="K5172" s="59">
        <f t="shared" si="29"/>
        <v>0</v>
      </c>
      <c r="L5172" s="59">
        <f t="shared" si="30"/>
        <v>0</v>
      </c>
      <c r="M5172" s="59">
        <f t="shared" si="31"/>
        <v>0</v>
      </c>
    </row>
    <row r="5173" ht="15.0" hidden="1" customHeight="1">
      <c r="A5173" s="59">
        <f t="shared" si="20"/>
        <v>83</v>
      </c>
      <c r="B5173" s="59" t="str">
        <f t="shared" si="21"/>
        <v/>
      </c>
      <c r="C5173" s="59" t="str">
        <f t="shared" si="22"/>
        <v/>
      </c>
      <c r="D5173" s="45" t="str">
        <f t="shared" si="23"/>
        <v/>
      </c>
      <c r="E5173" s="45" t="str">
        <f t="shared" si="24"/>
        <v/>
      </c>
      <c r="F5173" s="59" t="str">
        <f t="shared" si="25"/>
        <v/>
      </c>
      <c r="G5173" s="59" t="str">
        <f t="shared" si="26"/>
        <v/>
      </c>
      <c r="H5173" s="59" t="str">
        <f t="shared" si="27"/>
        <v>28C03695</v>
      </c>
      <c r="I5173" s="59" t="str">
        <f>IF(OR($A5173="",$C5173="",$D5173="",$E5173="",$H5173=""),"",SUMIFS(DATA_GOC!$H:$H,DATA_GOC!$A:$A,"BOM",DATA_GOC!$D:$D,$H5173,DATA_GOC!$E:$E,$C5173,DATA_GOC!$F:$F,"Xuất nội bộ từ téc",DATA_GOC!$B:$B,"&gt;="&amp;$D5173,DATA_GOC!$B:$B,"&lt;="&amp;$E5173))</f>
        <v/>
      </c>
      <c r="J5173" s="59">
        <f t="shared" si="28"/>
        <v>0</v>
      </c>
      <c r="K5173" s="59">
        <f t="shared" si="29"/>
        <v>0</v>
      </c>
      <c r="L5173" s="59">
        <f t="shared" si="30"/>
        <v>0</v>
      </c>
      <c r="M5173" s="59">
        <f t="shared" si="31"/>
        <v>0</v>
      </c>
    </row>
    <row r="5174" ht="15.0" hidden="1" customHeight="1">
      <c r="A5174" s="59">
        <f t="shared" si="20"/>
        <v>83</v>
      </c>
      <c r="B5174" s="59" t="str">
        <f t="shared" si="21"/>
        <v/>
      </c>
      <c r="C5174" s="59" t="str">
        <f t="shared" si="22"/>
        <v/>
      </c>
      <c r="D5174" s="45" t="str">
        <f t="shared" si="23"/>
        <v/>
      </c>
      <c r="E5174" s="45" t="str">
        <f t="shared" si="24"/>
        <v/>
      </c>
      <c r="F5174" s="59" t="str">
        <f t="shared" si="25"/>
        <v/>
      </c>
      <c r="G5174" s="59" t="str">
        <f t="shared" si="26"/>
        <v/>
      </c>
      <c r="H5174" s="59" t="str">
        <f t="shared" si="27"/>
        <v>28C03927</v>
      </c>
      <c r="I5174" s="59" t="str">
        <f>IF(OR($A5174="",$C5174="",$D5174="",$E5174="",$H5174=""),"",SUMIFS(DATA_GOC!$H:$H,DATA_GOC!$A:$A,"BOM",DATA_GOC!$D:$D,$H5174,DATA_GOC!$E:$E,$C5174,DATA_GOC!$F:$F,"Xuất nội bộ từ téc",DATA_GOC!$B:$B,"&gt;="&amp;$D5174,DATA_GOC!$B:$B,"&lt;="&amp;$E5174))</f>
        <v/>
      </c>
      <c r="J5174" s="59">
        <f t="shared" si="28"/>
        <v>0</v>
      </c>
      <c r="K5174" s="59">
        <f t="shared" si="29"/>
        <v>0</v>
      </c>
      <c r="L5174" s="59">
        <f t="shared" si="30"/>
        <v>0</v>
      </c>
      <c r="M5174" s="59">
        <f t="shared" si="31"/>
        <v>0</v>
      </c>
    </row>
    <row r="5175" ht="15.0" hidden="1" customHeight="1">
      <c r="A5175" s="59">
        <f t="shared" si="20"/>
        <v>83</v>
      </c>
      <c r="B5175" s="59" t="str">
        <f t="shared" si="21"/>
        <v/>
      </c>
      <c r="C5175" s="59" t="str">
        <f t="shared" si="22"/>
        <v/>
      </c>
      <c r="D5175" s="45" t="str">
        <f t="shared" si="23"/>
        <v/>
      </c>
      <c r="E5175" s="45" t="str">
        <f t="shared" si="24"/>
        <v/>
      </c>
      <c r="F5175" s="59" t="str">
        <f t="shared" si="25"/>
        <v/>
      </c>
      <c r="G5175" s="59" t="str">
        <f t="shared" si="26"/>
        <v/>
      </c>
      <c r="H5175" s="59" t="str">
        <f t="shared" si="27"/>
        <v>28C04509</v>
      </c>
      <c r="I5175" s="59" t="str">
        <f>IF(OR($A5175="",$C5175="",$D5175="",$E5175="",$H5175=""),"",SUMIFS(DATA_GOC!$H:$H,DATA_GOC!$A:$A,"BOM",DATA_GOC!$D:$D,$H5175,DATA_GOC!$E:$E,$C5175,DATA_GOC!$F:$F,"Xuất nội bộ từ téc",DATA_GOC!$B:$B,"&gt;="&amp;$D5175,DATA_GOC!$B:$B,"&lt;="&amp;$E5175))</f>
        <v/>
      </c>
      <c r="J5175" s="59">
        <f t="shared" si="28"/>
        <v>0</v>
      </c>
      <c r="K5175" s="59">
        <f t="shared" si="29"/>
        <v>0</v>
      </c>
      <c r="L5175" s="59">
        <f t="shared" si="30"/>
        <v>0</v>
      </c>
      <c r="M5175" s="59">
        <f t="shared" si="31"/>
        <v>0</v>
      </c>
    </row>
    <row r="5176" ht="15.0" hidden="1" customHeight="1">
      <c r="A5176" s="59">
        <f t="shared" si="20"/>
        <v>83</v>
      </c>
      <c r="B5176" s="59" t="str">
        <f t="shared" si="21"/>
        <v/>
      </c>
      <c r="C5176" s="59" t="str">
        <f t="shared" si="22"/>
        <v/>
      </c>
      <c r="D5176" s="45" t="str">
        <f t="shared" si="23"/>
        <v/>
      </c>
      <c r="E5176" s="45" t="str">
        <f t="shared" si="24"/>
        <v/>
      </c>
      <c r="F5176" s="59" t="str">
        <f t="shared" si="25"/>
        <v/>
      </c>
      <c r="G5176" s="59" t="str">
        <f t="shared" si="26"/>
        <v/>
      </c>
      <c r="H5176" s="59" t="str">
        <f t="shared" si="27"/>
        <v>28C04536</v>
      </c>
      <c r="I5176" s="59" t="str">
        <f>IF(OR($A5176="",$C5176="",$D5176="",$E5176="",$H5176=""),"",SUMIFS(DATA_GOC!$H:$H,DATA_GOC!$A:$A,"BOM",DATA_GOC!$D:$D,$H5176,DATA_GOC!$E:$E,$C5176,DATA_GOC!$F:$F,"Xuất nội bộ từ téc",DATA_GOC!$B:$B,"&gt;="&amp;$D5176,DATA_GOC!$B:$B,"&lt;="&amp;$E5176))</f>
        <v/>
      </c>
      <c r="J5176" s="59">
        <f t="shared" si="28"/>
        <v>0</v>
      </c>
      <c r="K5176" s="59">
        <f t="shared" si="29"/>
        <v>0</v>
      </c>
      <c r="L5176" s="59">
        <f t="shared" si="30"/>
        <v>0</v>
      </c>
      <c r="M5176" s="59">
        <f t="shared" si="31"/>
        <v>0</v>
      </c>
    </row>
    <row r="5177" ht="15.0" hidden="1" customHeight="1">
      <c r="A5177" s="59">
        <f t="shared" si="20"/>
        <v>83</v>
      </c>
      <c r="B5177" s="59" t="str">
        <f t="shared" si="21"/>
        <v/>
      </c>
      <c r="C5177" s="59" t="str">
        <f t="shared" si="22"/>
        <v/>
      </c>
      <c r="D5177" s="45" t="str">
        <f t="shared" si="23"/>
        <v/>
      </c>
      <c r="E5177" s="45" t="str">
        <f t="shared" si="24"/>
        <v/>
      </c>
      <c r="F5177" s="59" t="str">
        <f t="shared" si="25"/>
        <v/>
      </c>
      <c r="G5177" s="59" t="str">
        <f t="shared" si="26"/>
        <v/>
      </c>
      <c r="H5177" s="59" t="str">
        <f t="shared" si="27"/>
        <v>28C04576</v>
      </c>
      <c r="I5177" s="59" t="str">
        <f>IF(OR($A5177="",$C5177="",$D5177="",$E5177="",$H5177=""),"",SUMIFS(DATA_GOC!$H:$H,DATA_GOC!$A:$A,"BOM",DATA_GOC!$D:$D,$H5177,DATA_GOC!$E:$E,$C5177,DATA_GOC!$F:$F,"Xuất nội bộ từ téc",DATA_GOC!$B:$B,"&gt;="&amp;$D5177,DATA_GOC!$B:$B,"&lt;="&amp;$E5177))</f>
        <v/>
      </c>
      <c r="J5177" s="59">
        <f t="shared" si="28"/>
        <v>0</v>
      </c>
      <c r="K5177" s="59">
        <f t="shared" si="29"/>
        <v>0</v>
      </c>
      <c r="L5177" s="59">
        <f t="shared" si="30"/>
        <v>0</v>
      </c>
      <c r="M5177" s="59">
        <f t="shared" si="31"/>
        <v>0</v>
      </c>
    </row>
    <row r="5178" ht="15.0" hidden="1" customHeight="1">
      <c r="A5178" s="59">
        <f t="shared" si="20"/>
        <v>83</v>
      </c>
      <c r="B5178" s="59" t="str">
        <f t="shared" si="21"/>
        <v/>
      </c>
      <c r="C5178" s="59" t="str">
        <f t="shared" si="22"/>
        <v/>
      </c>
      <c r="D5178" s="45" t="str">
        <f t="shared" si="23"/>
        <v/>
      </c>
      <c r="E5178" s="45" t="str">
        <f t="shared" si="24"/>
        <v/>
      </c>
      <c r="F5178" s="59" t="str">
        <f t="shared" si="25"/>
        <v/>
      </c>
      <c r="G5178" s="59" t="str">
        <f t="shared" si="26"/>
        <v/>
      </c>
      <c r="H5178" s="59" t="str">
        <f t="shared" si="27"/>
        <v>28C05090</v>
      </c>
      <c r="I5178" s="59" t="str">
        <f>IF(OR($A5178="",$C5178="",$D5178="",$E5178="",$H5178=""),"",SUMIFS(DATA_GOC!$H:$H,DATA_GOC!$A:$A,"BOM",DATA_GOC!$D:$D,$H5178,DATA_GOC!$E:$E,$C5178,DATA_GOC!$F:$F,"Xuất nội bộ từ téc",DATA_GOC!$B:$B,"&gt;="&amp;$D5178,DATA_GOC!$B:$B,"&lt;="&amp;$E5178))</f>
        <v/>
      </c>
      <c r="J5178" s="59">
        <f t="shared" si="28"/>
        <v>0</v>
      </c>
      <c r="K5178" s="59">
        <f t="shared" si="29"/>
        <v>0</v>
      </c>
      <c r="L5178" s="59">
        <f t="shared" si="30"/>
        <v>0</v>
      </c>
      <c r="M5178" s="59">
        <f t="shared" si="31"/>
        <v>0</v>
      </c>
    </row>
    <row r="5179" ht="15.0" hidden="1" customHeight="1">
      <c r="A5179" s="59">
        <f t="shared" si="20"/>
        <v>83</v>
      </c>
      <c r="B5179" s="59" t="str">
        <f t="shared" si="21"/>
        <v/>
      </c>
      <c r="C5179" s="59" t="str">
        <f t="shared" si="22"/>
        <v/>
      </c>
      <c r="D5179" s="45" t="str">
        <f t="shared" si="23"/>
        <v/>
      </c>
      <c r="E5179" s="45" t="str">
        <f t="shared" si="24"/>
        <v/>
      </c>
      <c r="F5179" s="59" t="str">
        <f t="shared" si="25"/>
        <v/>
      </c>
      <c r="G5179" s="59" t="str">
        <f t="shared" si="26"/>
        <v/>
      </c>
      <c r="H5179" s="59" t="str">
        <f t="shared" si="27"/>
        <v>28C05345</v>
      </c>
      <c r="I5179" s="59" t="str">
        <f>IF(OR($A5179="",$C5179="",$D5179="",$E5179="",$H5179=""),"",SUMIFS(DATA_GOC!$H:$H,DATA_GOC!$A:$A,"BOM",DATA_GOC!$D:$D,$H5179,DATA_GOC!$E:$E,$C5179,DATA_GOC!$F:$F,"Xuất nội bộ từ téc",DATA_GOC!$B:$B,"&gt;="&amp;$D5179,DATA_GOC!$B:$B,"&lt;="&amp;$E5179))</f>
        <v/>
      </c>
      <c r="J5179" s="59">
        <f t="shared" si="28"/>
        <v>0</v>
      </c>
      <c r="K5179" s="59">
        <f t="shared" si="29"/>
        <v>0</v>
      </c>
      <c r="L5179" s="59">
        <f t="shared" si="30"/>
        <v>0</v>
      </c>
      <c r="M5179" s="59">
        <f t="shared" si="31"/>
        <v>0</v>
      </c>
    </row>
    <row r="5180" ht="15.0" hidden="1" customHeight="1">
      <c r="A5180" s="59">
        <f t="shared" si="20"/>
        <v>83</v>
      </c>
      <c r="B5180" s="59" t="str">
        <f t="shared" si="21"/>
        <v/>
      </c>
      <c r="C5180" s="59" t="str">
        <f t="shared" si="22"/>
        <v/>
      </c>
      <c r="D5180" s="45" t="str">
        <f t="shared" si="23"/>
        <v/>
      </c>
      <c r="E5180" s="45" t="str">
        <f t="shared" si="24"/>
        <v/>
      </c>
      <c r="F5180" s="59" t="str">
        <f t="shared" si="25"/>
        <v/>
      </c>
      <c r="G5180" s="59" t="str">
        <f t="shared" si="26"/>
        <v/>
      </c>
      <c r="H5180" s="59" t="str">
        <f t="shared" si="27"/>
        <v>28C05661</v>
      </c>
      <c r="I5180" s="59" t="str">
        <f>IF(OR($A5180="",$C5180="",$D5180="",$E5180="",$H5180=""),"",SUMIFS(DATA_GOC!$H:$H,DATA_GOC!$A:$A,"BOM",DATA_GOC!$D:$D,$H5180,DATA_GOC!$E:$E,$C5180,DATA_GOC!$F:$F,"Xuất nội bộ từ téc",DATA_GOC!$B:$B,"&gt;="&amp;$D5180,DATA_GOC!$B:$B,"&lt;="&amp;$E5180))</f>
        <v/>
      </c>
      <c r="J5180" s="59">
        <f t="shared" si="28"/>
        <v>0</v>
      </c>
      <c r="K5180" s="59">
        <f t="shared" si="29"/>
        <v>0</v>
      </c>
      <c r="L5180" s="59">
        <f t="shared" si="30"/>
        <v>0</v>
      </c>
      <c r="M5180" s="59">
        <f t="shared" si="31"/>
        <v>0</v>
      </c>
    </row>
    <row r="5181" ht="15.0" hidden="1" customHeight="1">
      <c r="A5181" s="59">
        <f t="shared" si="20"/>
        <v>83</v>
      </c>
      <c r="B5181" s="59" t="str">
        <f t="shared" si="21"/>
        <v/>
      </c>
      <c r="C5181" s="59" t="str">
        <f t="shared" si="22"/>
        <v/>
      </c>
      <c r="D5181" s="45" t="str">
        <f t="shared" si="23"/>
        <v/>
      </c>
      <c r="E5181" s="45" t="str">
        <f t="shared" si="24"/>
        <v/>
      </c>
      <c r="F5181" s="59" t="str">
        <f t="shared" si="25"/>
        <v/>
      </c>
      <c r="G5181" s="59" t="str">
        <f t="shared" si="26"/>
        <v/>
      </c>
      <c r="H5181" s="59" t="str">
        <f t="shared" si="27"/>
        <v>28C05739</v>
      </c>
      <c r="I5181" s="59" t="str">
        <f>IF(OR($A5181="",$C5181="",$D5181="",$E5181="",$H5181=""),"",SUMIFS(DATA_GOC!$H:$H,DATA_GOC!$A:$A,"BOM",DATA_GOC!$D:$D,$H5181,DATA_GOC!$E:$E,$C5181,DATA_GOC!$F:$F,"Xuất nội bộ từ téc",DATA_GOC!$B:$B,"&gt;="&amp;$D5181,DATA_GOC!$B:$B,"&lt;="&amp;$E5181))</f>
        <v/>
      </c>
      <c r="J5181" s="59">
        <f t="shared" si="28"/>
        <v>0</v>
      </c>
      <c r="K5181" s="59">
        <f t="shared" si="29"/>
        <v>0</v>
      </c>
      <c r="L5181" s="59">
        <f t="shared" si="30"/>
        <v>0</v>
      </c>
      <c r="M5181" s="59">
        <f t="shared" si="31"/>
        <v>0</v>
      </c>
    </row>
    <row r="5182" ht="15.0" hidden="1" customHeight="1">
      <c r="A5182" s="59">
        <f t="shared" si="20"/>
        <v>83</v>
      </c>
      <c r="B5182" s="59" t="str">
        <f t="shared" si="21"/>
        <v/>
      </c>
      <c r="C5182" s="59" t="str">
        <f t="shared" si="22"/>
        <v/>
      </c>
      <c r="D5182" s="45" t="str">
        <f t="shared" si="23"/>
        <v/>
      </c>
      <c r="E5182" s="45" t="str">
        <f t="shared" si="24"/>
        <v/>
      </c>
      <c r="F5182" s="59" t="str">
        <f t="shared" si="25"/>
        <v/>
      </c>
      <c r="G5182" s="59" t="str">
        <f t="shared" si="26"/>
        <v/>
      </c>
      <c r="H5182" s="59" t="str">
        <f t="shared" si="27"/>
        <v>28C06369</v>
      </c>
      <c r="I5182" s="59" t="str">
        <f>IF(OR($A5182="",$C5182="",$D5182="",$E5182="",$H5182=""),"",SUMIFS(DATA_GOC!$H:$H,DATA_GOC!$A:$A,"BOM",DATA_GOC!$D:$D,$H5182,DATA_GOC!$E:$E,$C5182,DATA_GOC!$F:$F,"Xuất nội bộ từ téc",DATA_GOC!$B:$B,"&gt;="&amp;$D5182,DATA_GOC!$B:$B,"&lt;="&amp;$E5182))</f>
        <v/>
      </c>
      <c r="J5182" s="59">
        <f t="shared" si="28"/>
        <v>0</v>
      </c>
      <c r="K5182" s="59">
        <f t="shared" si="29"/>
        <v>0</v>
      </c>
      <c r="L5182" s="59">
        <f t="shared" si="30"/>
        <v>0</v>
      </c>
      <c r="M5182" s="59">
        <f t="shared" si="31"/>
        <v>0</v>
      </c>
    </row>
    <row r="5183" ht="15.0" hidden="1" customHeight="1">
      <c r="A5183" s="59">
        <f t="shared" si="20"/>
        <v>83</v>
      </c>
      <c r="B5183" s="59" t="str">
        <f t="shared" si="21"/>
        <v/>
      </c>
      <c r="C5183" s="59" t="str">
        <f t="shared" si="22"/>
        <v/>
      </c>
      <c r="D5183" s="45" t="str">
        <f t="shared" si="23"/>
        <v/>
      </c>
      <c r="E5183" s="45" t="str">
        <f t="shared" si="24"/>
        <v/>
      </c>
      <c r="F5183" s="59" t="str">
        <f t="shared" si="25"/>
        <v/>
      </c>
      <c r="G5183" s="59" t="str">
        <f t="shared" si="26"/>
        <v/>
      </c>
      <c r="H5183" s="59" t="str">
        <f t="shared" si="27"/>
        <v>28C06447</v>
      </c>
      <c r="I5183" s="59" t="str">
        <f>IF(OR($A5183="",$C5183="",$D5183="",$E5183="",$H5183=""),"",SUMIFS(DATA_GOC!$H:$H,DATA_GOC!$A:$A,"BOM",DATA_GOC!$D:$D,$H5183,DATA_GOC!$E:$E,$C5183,DATA_GOC!$F:$F,"Xuất nội bộ từ téc",DATA_GOC!$B:$B,"&gt;="&amp;$D5183,DATA_GOC!$B:$B,"&lt;="&amp;$E5183))</f>
        <v/>
      </c>
      <c r="J5183" s="59">
        <f t="shared" si="28"/>
        <v>0</v>
      </c>
      <c r="K5183" s="59">
        <f t="shared" si="29"/>
        <v>0</v>
      </c>
      <c r="L5183" s="59">
        <f t="shared" si="30"/>
        <v>0</v>
      </c>
      <c r="M5183" s="59">
        <f t="shared" si="31"/>
        <v>0</v>
      </c>
    </row>
    <row r="5184" ht="15.0" hidden="1" customHeight="1">
      <c r="A5184" s="59">
        <f t="shared" si="20"/>
        <v>83</v>
      </c>
      <c r="B5184" s="59" t="str">
        <f t="shared" si="21"/>
        <v/>
      </c>
      <c r="C5184" s="59" t="str">
        <f t="shared" si="22"/>
        <v/>
      </c>
      <c r="D5184" s="45" t="str">
        <f t="shared" si="23"/>
        <v/>
      </c>
      <c r="E5184" s="45" t="str">
        <f t="shared" si="24"/>
        <v/>
      </c>
      <c r="F5184" s="59" t="str">
        <f t="shared" si="25"/>
        <v/>
      </c>
      <c r="G5184" s="59" t="str">
        <f t="shared" si="26"/>
        <v/>
      </c>
      <c r="H5184" s="59" t="str">
        <f t="shared" si="27"/>
        <v>28H00003</v>
      </c>
      <c r="I5184" s="59" t="str">
        <f>IF(OR($A5184="",$C5184="",$D5184="",$E5184="",$H5184=""),"",SUMIFS(DATA_GOC!$H:$H,DATA_GOC!$A:$A,"BOM",DATA_GOC!$D:$D,$H5184,DATA_GOC!$E:$E,$C5184,DATA_GOC!$F:$F,"Xuất nội bộ từ téc",DATA_GOC!$B:$B,"&gt;="&amp;$D5184,DATA_GOC!$B:$B,"&lt;="&amp;$E5184))</f>
        <v/>
      </c>
      <c r="J5184" s="59">
        <f t="shared" si="28"/>
        <v>0</v>
      </c>
      <c r="K5184" s="59">
        <f t="shared" si="29"/>
        <v>0</v>
      </c>
      <c r="L5184" s="59">
        <f t="shared" si="30"/>
        <v>0</v>
      </c>
      <c r="M5184" s="59">
        <f t="shared" si="31"/>
        <v>0</v>
      </c>
    </row>
    <row r="5185" ht="15.0" hidden="1" customHeight="1">
      <c r="A5185" s="59">
        <f t="shared" si="20"/>
        <v>83</v>
      </c>
      <c r="B5185" s="59" t="str">
        <f t="shared" si="21"/>
        <v/>
      </c>
      <c r="C5185" s="59" t="str">
        <f t="shared" si="22"/>
        <v/>
      </c>
      <c r="D5185" s="45" t="str">
        <f t="shared" si="23"/>
        <v/>
      </c>
      <c r="E5185" s="45" t="str">
        <f t="shared" si="24"/>
        <v/>
      </c>
      <c r="F5185" s="59" t="str">
        <f t="shared" si="25"/>
        <v/>
      </c>
      <c r="G5185" s="59" t="str">
        <f t="shared" si="26"/>
        <v/>
      </c>
      <c r="H5185" s="59" t="str">
        <f t="shared" si="27"/>
        <v>28H00061</v>
      </c>
      <c r="I5185" s="59" t="str">
        <f>IF(OR($A5185="",$C5185="",$D5185="",$E5185="",$H5185=""),"",SUMIFS(DATA_GOC!$H:$H,DATA_GOC!$A:$A,"BOM",DATA_GOC!$D:$D,$H5185,DATA_GOC!$E:$E,$C5185,DATA_GOC!$F:$F,"Xuất nội bộ từ téc",DATA_GOC!$B:$B,"&gt;="&amp;$D5185,DATA_GOC!$B:$B,"&lt;="&amp;$E5185))</f>
        <v/>
      </c>
      <c r="J5185" s="59">
        <f t="shared" si="28"/>
        <v>0</v>
      </c>
      <c r="K5185" s="59">
        <f t="shared" si="29"/>
        <v>0</v>
      </c>
      <c r="L5185" s="59">
        <f t="shared" si="30"/>
        <v>0</v>
      </c>
      <c r="M5185" s="59">
        <f t="shared" si="31"/>
        <v>0</v>
      </c>
    </row>
    <row r="5186" ht="15.0" hidden="1" customHeight="1">
      <c r="A5186" s="59">
        <f t="shared" si="20"/>
        <v>83</v>
      </c>
      <c r="B5186" s="59" t="str">
        <f t="shared" si="21"/>
        <v/>
      </c>
      <c r="C5186" s="59" t="str">
        <f t="shared" si="22"/>
        <v/>
      </c>
      <c r="D5186" s="45" t="str">
        <f t="shared" si="23"/>
        <v/>
      </c>
      <c r="E5186" s="45" t="str">
        <f t="shared" si="24"/>
        <v/>
      </c>
      <c r="F5186" s="59" t="str">
        <f t="shared" si="25"/>
        <v/>
      </c>
      <c r="G5186" s="59" t="str">
        <f t="shared" si="26"/>
        <v/>
      </c>
      <c r="H5186" s="59" t="str">
        <f t="shared" si="27"/>
        <v>28H00354</v>
      </c>
      <c r="I5186" s="59" t="str">
        <f>IF(OR($A5186="",$C5186="",$D5186="",$E5186="",$H5186=""),"",SUMIFS(DATA_GOC!$H:$H,DATA_GOC!$A:$A,"BOM",DATA_GOC!$D:$D,$H5186,DATA_GOC!$E:$E,$C5186,DATA_GOC!$F:$F,"Xuất nội bộ từ téc",DATA_GOC!$B:$B,"&gt;="&amp;$D5186,DATA_GOC!$B:$B,"&lt;="&amp;$E5186))</f>
        <v/>
      </c>
      <c r="J5186" s="59">
        <f t="shared" si="28"/>
        <v>0</v>
      </c>
      <c r="K5186" s="59">
        <f t="shared" si="29"/>
        <v>0</v>
      </c>
      <c r="L5186" s="59">
        <f t="shared" si="30"/>
        <v>0</v>
      </c>
      <c r="M5186" s="59">
        <f t="shared" si="31"/>
        <v>0</v>
      </c>
    </row>
    <row r="5187" ht="15.0" hidden="1" customHeight="1">
      <c r="A5187" s="59">
        <f t="shared" si="20"/>
        <v>83</v>
      </c>
      <c r="B5187" s="59" t="str">
        <f t="shared" si="21"/>
        <v/>
      </c>
      <c r="C5187" s="59" t="str">
        <f t="shared" si="22"/>
        <v/>
      </c>
      <c r="D5187" s="45" t="str">
        <f t="shared" si="23"/>
        <v/>
      </c>
      <c r="E5187" s="45" t="str">
        <f t="shared" si="24"/>
        <v/>
      </c>
      <c r="F5187" s="59" t="str">
        <f t="shared" si="25"/>
        <v/>
      </c>
      <c r="G5187" s="59" t="str">
        <f t="shared" si="26"/>
        <v/>
      </c>
      <c r="H5187" s="59" t="str">
        <f t="shared" si="27"/>
        <v>28H00603</v>
      </c>
      <c r="I5187" s="59" t="str">
        <f>IF(OR($A5187="",$C5187="",$D5187="",$E5187="",$H5187=""),"",SUMIFS(DATA_GOC!$H:$H,DATA_GOC!$A:$A,"BOM",DATA_GOC!$D:$D,$H5187,DATA_GOC!$E:$E,$C5187,DATA_GOC!$F:$F,"Xuất nội bộ từ téc",DATA_GOC!$B:$B,"&gt;="&amp;$D5187,DATA_GOC!$B:$B,"&lt;="&amp;$E5187))</f>
        <v/>
      </c>
      <c r="J5187" s="59">
        <f t="shared" si="28"/>
        <v>0</v>
      </c>
      <c r="K5187" s="59">
        <f t="shared" si="29"/>
        <v>0</v>
      </c>
      <c r="L5187" s="59">
        <f t="shared" si="30"/>
        <v>0</v>
      </c>
      <c r="M5187" s="59">
        <f t="shared" si="31"/>
        <v>0</v>
      </c>
    </row>
    <row r="5188" ht="15.0" hidden="1" customHeight="1">
      <c r="A5188" s="59">
        <f t="shared" si="20"/>
        <v>83</v>
      </c>
      <c r="B5188" s="59" t="str">
        <f t="shared" si="21"/>
        <v/>
      </c>
      <c r="C5188" s="59" t="str">
        <f t="shared" si="22"/>
        <v/>
      </c>
      <c r="D5188" s="45" t="str">
        <f t="shared" si="23"/>
        <v/>
      </c>
      <c r="E5188" s="45" t="str">
        <f t="shared" si="24"/>
        <v/>
      </c>
      <c r="F5188" s="59" t="str">
        <f t="shared" si="25"/>
        <v/>
      </c>
      <c r="G5188" s="59" t="str">
        <f t="shared" si="26"/>
        <v/>
      </c>
      <c r="H5188" s="59" t="str">
        <f t="shared" si="27"/>
        <v>28H00609</v>
      </c>
      <c r="I5188" s="59" t="str">
        <f>IF(OR($A5188="",$C5188="",$D5188="",$E5188="",$H5188=""),"",SUMIFS(DATA_GOC!$H:$H,DATA_GOC!$A:$A,"BOM",DATA_GOC!$D:$D,$H5188,DATA_GOC!$E:$E,$C5188,DATA_GOC!$F:$F,"Xuất nội bộ từ téc",DATA_GOC!$B:$B,"&gt;="&amp;$D5188,DATA_GOC!$B:$B,"&lt;="&amp;$E5188))</f>
        <v/>
      </c>
      <c r="J5188" s="59">
        <f t="shared" si="28"/>
        <v>0</v>
      </c>
      <c r="K5188" s="59">
        <f t="shared" si="29"/>
        <v>0</v>
      </c>
      <c r="L5188" s="59">
        <f t="shared" si="30"/>
        <v>0</v>
      </c>
      <c r="M5188" s="59">
        <f t="shared" si="31"/>
        <v>0</v>
      </c>
    </row>
    <row r="5189" ht="15.0" hidden="1" customHeight="1">
      <c r="A5189" s="59">
        <f t="shared" si="20"/>
        <v>83</v>
      </c>
      <c r="B5189" s="59" t="str">
        <f t="shared" si="21"/>
        <v/>
      </c>
      <c r="C5189" s="59" t="str">
        <f t="shared" si="22"/>
        <v/>
      </c>
      <c r="D5189" s="45" t="str">
        <f t="shared" si="23"/>
        <v/>
      </c>
      <c r="E5189" s="45" t="str">
        <f t="shared" si="24"/>
        <v/>
      </c>
      <c r="F5189" s="59" t="str">
        <f t="shared" si="25"/>
        <v/>
      </c>
      <c r="G5189" s="59" t="str">
        <f t="shared" si="26"/>
        <v/>
      </c>
      <c r="H5189" s="59" t="str">
        <f t="shared" si="27"/>
        <v>28H00669</v>
      </c>
      <c r="I5189" s="59" t="str">
        <f>IF(OR($A5189="",$C5189="",$D5189="",$E5189="",$H5189=""),"",SUMIFS(DATA_GOC!$H:$H,DATA_GOC!$A:$A,"BOM",DATA_GOC!$D:$D,$H5189,DATA_GOC!$E:$E,$C5189,DATA_GOC!$F:$F,"Xuất nội bộ từ téc",DATA_GOC!$B:$B,"&gt;="&amp;$D5189,DATA_GOC!$B:$B,"&lt;="&amp;$E5189))</f>
        <v/>
      </c>
      <c r="J5189" s="59">
        <f t="shared" si="28"/>
        <v>0</v>
      </c>
      <c r="K5189" s="59">
        <f t="shared" si="29"/>
        <v>0</v>
      </c>
      <c r="L5189" s="59">
        <f t="shared" si="30"/>
        <v>0</v>
      </c>
      <c r="M5189" s="59">
        <f t="shared" si="31"/>
        <v>0</v>
      </c>
    </row>
    <row r="5190" ht="15.0" hidden="1" customHeight="1">
      <c r="A5190" s="59">
        <f t="shared" si="20"/>
        <v>83</v>
      </c>
      <c r="B5190" s="59" t="str">
        <f t="shared" si="21"/>
        <v/>
      </c>
      <c r="C5190" s="59" t="str">
        <f t="shared" si="22"/>
        <v/>
      </c>
      <c r="D5190" s="45" t="str">
        <f t="shared" si="23"/>
        <v/>
      </c>
      <c r="E5190" s="45" t="str">
        <f t="shared" si="24"/>
        <v/>
      </c>
      <c r="F5190" s="59" t="str">
        <f t="shared" si="25"/>
        <v/>
      </c>
      <c r="G5190" s="59" t="str">
        <f t="shared" si="26"/>
        <v/>
      </c>
      <c r="H5190" s="59" t="str">
        <f t="shared" si="27"/>
        <v>28H00680</v>
      </c>
      <c r="I5190" s="59" t="str">
        <f>IF(OR($A5190="",$C5190="",$D5190="",$E5190="",$H5190=""),"",SUMIFS(DATA_GOC!$H:$H,DATA_GOC!$A:$A,"BOM",DATA_GOC!$D:$D,$H5190,DATA_GOC!$E:$E,$C5190,DATA_GOC!$F:$F,"Xuất nội bộ từ téc",DATA_GOC!$B:$B,"&gt;="&amp;$D5190,DATA_GOC!$B:$B,"&lt;="&amp;$E5190))</f>
        <v/>
      </c>
      <c r="J5190" s="59">
        <f t="shared" si="28"/>
        <v>0</v>
      </c>
      <c r="K5190" s="59">
        <f t="shared" si="29"/>
        <v>0</v>
      </c>
      <c r="L5190" s="59">
        <f t="shared" si="30"/>
        <v>0</v>
      </c>
      <c r="M5190" s="59">
        <f t="shared" si="31"/>
        <v>0</v>
      </c>
    </row>
    <row r="5191" ht="15.0" hidden="1" customHeight="1">
      <c r="A5191" s="59">
        <f t="shared" si="20"/>
        <v>83</v>
      </c>
      <c r="B5191" s="59" t="str">
        <f t="shared" si="21"/>
        <v/>
      </c>
      <c r="C5191" s="59" t="str">
        <f t="shared" si="22"/>
        <v/>
      </c>
      <c r="D5191" s="45" t="str">
        <f t="shared" si="23"/>
        <v/>
      </c>
      <c r="E5191" s="45" t="str">
        <f t="shared" si="24"/>
        <v/>
      </c>
      <c r="F5191" s="59" t="str">
        <f t="shared" si="25"/>
        <v/>
      </c>
      <c r="G5191" s="59" t="str">
        <f t="shared" si="26"/>
        <v/>
      </c>
      <c r="H5191" s="59" t="str">
        <f t="shared" si="27"/>
        <v>28H01070</v>
      </c>
      <c r="I5191" s="59" t="str">
        <f>IF(OR($A5191="",$C5191="",$D5191="",$E5191="",$H5191=""),"",SUMIFS(DATA_GOC!$H:$H,DATA_GOC!$A:$A,"BOM",DATA_GOC!$D:$D,$H5191,DATA_GOC!$E:$E,$C5191,DATA_GOC!$F:$F,"Xuất nội bộ từ téc",DATA_GOC!$B:$B,"&gt;="&amp;$D5191,DATA_GOC!$B:$B,"&lt;="&amp;$E5191))</f>
        <v/>
      </c>
      <c r="J5191" s="59">
        <f t="shared" si="28"/>
        <v>0</v>
      </c>
      <c r="K5191" s="59">
        <f t="shared" si="29"/>
        <v>0</v>
      </c>
      <c r="L5191" s="59">
        <f t="shared" si="30"/>
        <v>0</v>
      </c>
      <c r="M5191" s="59">
        <f t="shared" si="31"/>
        <v>0</v>
      </c>
    </row>
    <row r="5192" ht="15.0" hidden="1" customHeight="1">
      <c r="A5192" s="59">
        <f t="shared" si="20"/>
        <v>83</v>
      </c>
      <c r="B5192" s="59" t="str">
        <f t="shared" si="21"/>
        <v/>
      </c>
      <c r="C5192" s="59" t="str">
        <f t="shared" si="22"/>
        <v/>
      </c>
      <c r="D5192" s="45" t="str">
        <f t="shared" si="23"/>
        <v/>
      </c>
      <c r="E5192" s="45" t="str">
        <f t="shared" si="24"/>
        <v/>
      </c>
      <c r="F5192" s="59" t="str">
        <f t="shared" si="25"/>
        <v/>
      </c>
      <c r="G5192" s="59" t="str">
        <f t="shared" si="26"/>
        <v/>
      </c>
      <c r="H5192" s="59" t="str">
        <f t="shared" si="27"/>
        <v>28H01364</v>
      </c>
      <c r="I5192" s="59" t="str">
        <f>IF(OR($A5192="",$C5192="",$D5192="",$E5192="",$H5192=""),"",SUMIFS(DATA_GOC!$H:$H,DATA_GOC!$A:$A,"BOM",DATA_GOC!$D:$D,$H5192,DATA_GOC!$E:$E,$C5192,DATA_GOC!$F:$F,"Xuất nội bộ từ téc",DATA_GOC!$B:$B,"&gt;="&amp;$D5192,DATA_GOC!$B:$B,"&lt;="&amp;$E5192))</f>
        <v/>
      </c>
      <c r="J5192" s="59">
        <f t="shared" si="28"/>
        <v>0</v>
      </c>
      <c r="K5192" s="59">
        <f t="shared" si="29"/>
        <v>0</v>
      </c>
      <c r="L5192" s="59">
        <f t="shared" si="30"/>
        <v>0</v>
      </c>
      <c r="M5192" s="59">
        <f t="shared" si="31"/>
        <v>0</v>
      </c>
    </row>
    <row r="5193" ht="15.0" hidden="1" customHeight="1">
      <c r="A5193" s="59">
        <f t="shared" si="20"/>
        <v>83</v>
      </c>
      <c r="B5193" s="59" t="str">
        <f t="shared" si="21"/>
        <v/>
      </c>
      <c r="C5193" s="59" t="str">
        <f t="shared" si="22"/>
        <v/>
      </c>
      <c r="D5193" s="45" t="str">
        <f t="shared" si="23"/>
        <v/>
      </c>
      <c r="E5193" s="45" t="str">
        <f t="shared" si="24"/>
        <v/>
      </c>
      <c r="F5193" s="59" t="str">
        <f t="shared" si="25"/>
        <v/>
      </c>
      <c r="G5193" s="59" t="str">
        <f t="shared" si="26"/>
        <v/>
      </c>
      <c r="H5193" s="59" t="str">
        <f t="shared" si="27"/>
        <v>29E17269</v>
      </c>
      <c r="I5193" s="59" t="str">
        <f>IF(OR($A5193="",$C5193="",$D5193="",$E5193="",$H5193=""),"",SUMIFS(DATA_GOC!$H:$H,DATA_GOC!$A:$A,"BOM",DATA_GOC!$D:$D,$H5193,DATA_GOC!$E:$E,$C5193,DATA_GOC!$F:$F,"Xuất nội bộ từ téc",DATA_GOC!$B:$B,"&gt;="&amp;$D5193,DATA_GOC!$B:$B,"&lt;="&amp;$E5193))</f>
        <v/>
      </c>
      <c r="J5193" s="59">
        <f t="shared" si="28"/>
        <v>0</v>
      </c>
      <c r="K5193" s="59">
        <f t="shared" si="29"/>
        <v>0</v>
      </c>
      <c r="L5193" s="59">
        <f t="shared" si="30"/>
        <v>0</v>
      </c>
      <c r="M5193" s="59">
        <f t="shared" si="31"/>
        <v>0</v>
      </c>
    </row>
    <row r="5194" ht="15.0" hidden="1" customHeight="1">
      <c r="A5194" s="59">
        <f t="shared" si="20"/>
        <v>83</v>
      </c>
      <c r="B5194" s="59" t="str">
        <f t="shared" si="21"/>
        <v/>
      </c>
      <c r="C5194" s="59" t="str">
        <f t="shared" si="22"/>
        <v/>
      </c>
      <c r="D5194" s="45" t="str">
        <f t="shared" si="23"/>
        <v/>
      </c>
      <c r="E5194" s="45" t="str">
        <f t="shared" si="24"/>
        <v/>
      </c>
      <c r="F5194" s="59" t="str">
        <f t="shared" si="25"/>
        <v/>
      </c>
      <c r="G5194" s="59" t="str">
        <f t="shared" si="26"/>
        <v/>
      </c>
      <c r="H5194" s="59" t="str">
        <f t="shared" si="27"/>
        <v>29E17273</v>
      </c>
      <c r="I5194" s="59" t="str">
        <f>IF(OR($A5194="",$C5194="",$D5194="",$E5194="",$H5194=""),"",SUMIFS(DATA_GOC!$H:$H,DATA_GOC!$A:$A,"BOM",DATA_GOC!$D:$D,$H5194,DATA_GOC!$E:$E,$C5194,DATA_GOC!$F:$F,"Xuất nội bộ từ téc",DATA_GOC!$B:$B,"&gt;="&amp;$D5194,DATA_GOC!$B:$B,"&lt;="&amp;$E5194))</f>
        <v/>
      </c>
      <c r="J5194" s="59">
        <f t="shared" si="28"/>
        <v>0</v>
      </c>
      <c r="K5194" s="59">
        <f t="shared" si="29"/>
        <v>0</v>
      </c>
      <c r="L5194" s="59">
        <f t="shared" si="30"/>
        <v>0</v>
      </c>
      <c r="M5194" s="59">
        <f t="shared" si="31"/>
        <v>0</v>
      </c>
    </row>
    <row r="5195" ht="15.0" hidden="1" customHeight="1">
      <c r="A5195" s="59">
        <f t="shared" si="20"/>
        <v>83</v>
      </c>
      <c r="B5195" s="59" t="str">
        <f t="shared" si="21"/>
        <v/>
      </c>
      <c r="C5195" s="59" t="str">
        <f t="shared" si="22"/>
        <v/>
      </c>
      <c r="D5195" s="45" t="str">
        <f t="shared" si="23"/>
        <v/>
      </c>
      <c r="E5195" s="45" t="str">
        <f t="shared" si="24"/>
        <v/>
      </c>
      <c r="F5195" s="59" t="str">
        <f t="shared" si="25"/>
        <v/>
      </c>
      <c r="G5195" s="59" t="str">
        <f t="shared" si="26"/>
        <v/>
      </c>
      <c r="H5195" s="59" t="str">
        <f t="shared" si="27"/>
        <v>29E17410</v>
      </c>
      <c r="I5195" s="59" t="str">
        <f>IF(OR($A5195="",$C5195="",$D5195="",$E5195="",$H5195=""),"",SUMIFS(DATA_GOC!$H:$H,DATA_GOC!$A:$A,"BOM",DATA_GOC!$D:$D,$H5195,DATA_GOC!$E:$E,$C5195,DATA_GOC!$F:$F,"Xuất nội bộ từ téc",DATA_GOC!$B:$B,"&gt;="&amp;$D5195,DATA_GOC!$B:$B,"&lt;="&amp;$E5195))</f>
        <v/>
      </c>
      <c r="J5195" s="59">
        <f t="shared" si="28"/>
        <v>0</v>
      </c>
      <c r="K5195" s="59">
        <f t="shared" si="29"/>
        <v>0</v>
      </c>
      <c r="L5195" s="59">
        <f t="shared" si="30"/>
        <v>0</v>
      </c>
      <c r="M5195" s="59">
        <f t="shared" si="31"/>
        <v>0</v>
      </c>
    </row>
    <row r="5196" ht="15.0" hidden="1" customHeight="1">
      <c r="A5196" s="59">
        <f t="shared" si="20"/>
        <v>83</v>
      </c>
      <c r="B5196" s="59" t="str">
        <f t="shared" si="21"/>
        <v/>
      </c>
      <c r="C5196" s="59" t="str">
        <f t="shared" si="22"/>
        <v/>
      </c>
      <c r="D5196" s="45" t="str">
        <f t="shared" si="23"/>
        <v/>
      </c>
      <c r="E5196" s="45" t="str">
        <f t="shared" si="24"/>
        <v/>
      </c>
      <c r="F5196" s="59" t="str">
        <f t="shared" si="25"/>
        <v/>
      </c>
      <c r="G5196" s="59" t="str">
        <f t="shared" si="26"/>
        <v/>
      </c>
      <c r="H5196" s="59" t="str">
        <f t="shared" si="27"/>
        <v>29E17417</v>
      </c>
      <c r="I5196" s="59" t="str">
        <f>IF(OR($A5196="",$C5196="",$D5196="",$E5196="",$H5196=""),"",SUMIFS(DATA_GOC!$H:$H,DATA_GOC!$A:$A,"BOM",DATA_GOC!$D:$D,$H5196,DATA_GOC!$E:$E,$C5196,DATA_GOC!$F:$F,"Xuất nội bộ từ téc",DATA_GOC!$B:$B,"&gt;="&amp;$D5196,DATA_GOC!$B:$B,"&lt;="&amp;$E5196))</f>
        <v/>
      </c>
      <c r="J5196" s="59">
        <f t="shared" si="28"/>
        <v>0</v>
      </c>
      <c r="K5196" s="59">
        <f t="shared" si="29"/>
        <v>0</v>
      </c>
      <c r="L5196" s="59">
        <f t="shared" si="30"/>
        <v>0</v>
      </c>
      <c r="M5196" s="59">
        <f t="shared" si="31"/>
        <v>0</v>
      </c>
    </row>
    <row r="5197" ht="15.0" hidden="1" customHeight="1">
      <c r="A5197" s="59">
        <f t="shared" si="20"/>
        <v>83</v>
      </c>
      <c r="B5197" s="59" t="str">
        <f t="shared" si="21"/>
        <v/>
      </c>
      <c r="C5197" s="59" t="str">
        <f t="shared" si="22"/>
        <v/>
      </c>
      <c r="D5197" s="45" t="str">
        <f t="shared" si="23"/>
        <v/>
      </c>
      <c r="E5197" s="45" t="str">
        <f t="shared" si="24"/>
        <v/>
      </c>
      <c r="F5197" s="59" t="str">
        <f t="shared" si="25"/>
        <v/>
      </c>
      <c r="G5197" s="59" t="str">
        <f t="shared" si="26"/>
        <v/>
      </c>
      <c r="H5197" s="59" t="str">
        <f t="shared" si="27"/>
        <v>29E17539</v>
      </c>
      <c r="I5197" s="59" t="str">
        <f>IF(OR($A5197="",$C5197="",$D5197="",$E5197="",$H5197=""),"",SUMIFS(DATA_GOC!$H:$H,DATA_GOC!$A:$A,"BOM",DATA_GOC!$D:$D,$H5197,DATA_GOC!$E:$E,$C5197,DATA_GOC!$F:$F,"Xuất nội bộ từ téc",DATA_GOC!$B:$B,"&gt;="&amp;$D5197,DATA_GOC!$B:$B,"&lt;="&amp;$E5197))</f>
        <v/>
      </c>
      <c r="J5197" s="59">
        <f t="shared" si="28"/>
        <v>0</v>
      </c>
      <c r="K5197" s="59">
        <f t="shared" si="29"/>
        <v>0</v>
      </c>
      <c r="L5197" s="59">
        <f t="shared" si="30"/>
        <v>0</v>
      </c>
      <c r="M5197" s="59">
        <f t="shared" si="31"/>
        <v>0</v>
      </c>
    </row>
    <row r="5198" ht="15.0" hidden="1" customHeight="1">
      <c r="A5198" s="59">
        <f t="shared" si="20"/>
        <v>83</v>
      </c>
      <c r="B5198" s="59" t="str">
        <f t="shared" si="21"/>
        <v/>
      </c>
      <c r="C5198" s="59" t="str">
        <f t="shared" si="22"/>
        <v/>
      </c>
      <c r="D5198" s="45" t="str">
        <f t="shared" si="23"/>
        <v/>
      </c>
      <c r="E5198" s="45" t="str">
        <f t="shared" si="24"/>
        <v/>
      </c>
      <c r="F5198" s="59" t="str">
        <f t="shared" si="25"/>
        <v/>
      </c>
      <c r="G5198" s="59" t="str">
        <f t="shared" si="26"/>
        <v/>
      </c>
      <c r="H5198" s="59" t="str">
        <f t="shared" si="27"/>
        <v>29E18160</v>
      </c>
      <c r="I5198" s="59" t="str">
        <f>IF(OR($A5198="",$C5198="",$D5198="",$E5198="",$H5198=""),"",SUMIFS(DATA_GOC!$H:$H,DATA_GOC!$A:$A,"BOM",DATA_GOC!$D:$D,$H5198,DATA_GOC!$E:$E,$C5198,DATA_GOC!$F:$F,"Xuất nội bộ từ téc",DATA_GOC!$B:$B,"&gt;="&amp;$D5198,DATA_GOC!$B:$B,"&lt;="&amp;$E5198))</f>
        <v/>
      </c>
      <c r="J5198" s="59">
        <f t="shared" si="28"/>
        <v>0</v>
      </c>
      <c r="K5198" s="59">
        <f t="shared" si="29"/>
        <v>0</v>
      </c>
      <c r="L5198" s="59">
        <f t="shared" si="30"/>
        <v>0</v>
      </c>
      <c r="M5198" s="59">
        <f t="shared" si="31"/>
        <v>0</v>
      </c>
    </row>
    <row r="5199" ht="15.0" hidden="1" customHeight="1">
      <c r="A5199" s="59">
        <f t="shared" si="20"/>
        <v>83</v>
      </c>
      <c r="B5199" s="59" t="str">
        <f t="shared" si="21"/>
        <v/>
      </c>
      <c r="C5199" s="59" t="str">
        <f t="shared" si="22"/>
        <v/>
      </c>
      <c r="D5199" s="45" t="str">
        <f t="shared" si="23"/>
        <v/>
      </c>
      <c r="E5199" s="45" t="str">
        <f t="shared" si="24"/>
        <v/>
      </c>
      <c r="F5199" s="59" t="str">
        <f t="shared" si="25"/>
        <v/>
      </c>
      <c r="G5199" s="59" t="str">
        <f t="shared" si="26"/>
        <v/>
      </c>
      <c r="H5199" s="59" t="str">
        <f t="shared" si="27"/>
        <v>Công trình Asphalt</v>
      </c>
      <c r="I5199" s="59" t="str">
        <f>IF(OR($A5199="",$C5199="",$D5199="",$E5199="",$H5199=""),"",SUMIFS(DATA_GOC!$H:$H,DATA_GOC!$A:$A,"BOM",DATA_GOC!$D:$D,$H5199,DATA_GOC!$E:$E,$C5199,DATA_GOC!$F:$F,"Xuất nội bộ từ téc",DATA_GOC!$B:$B,"&gt;="&amp;$D5199,DATA_GOC!$B:$B,"&lt;="&amp;$E5199))</f>
        <v/>
      </c>
      <c r="J5199" s="59">
        <f t="shared" si="28"/>
        <v>0</v>
      </c>
      <c r="K5199" s="59">
        <f t="shared" si="29"/>
        <v>0</v>
      </c>
      <c r="L5199" s="59">
        <f t="shared" si="30"/>
        <v>0</v>
      </c>
      <c r="M5199" s="59">
        <f t="shared" si="31"/>
        <v>0</v>
      </c>
    </row>
    <row r="5200" ht="15.0" hidden="1" customHeight="1">
      <c r="A5200" s="59">
        <f t="shared" si="20"/>
        <v>83</v>
      </c>
      <c r="B5200" s="59" t="str">
        <f t="shared" si="21"/>
        <v/>
      </c>
      <c r="C5200" s="59" t="str">
        <f t="shared" si="22"/>
        <v/>
      </c>
      <c r="D5200" s="45" t="str">
        <f t="shared" si="23"/>
        <v/>
      </c>
      <c r="E5200" s="45" t="str">
        <f t="shared" si="24"/>
        <v/>
      </c>
      <c r="F5200" s="59" t="str">
        <f t="shared" si="25"/>
        <v/>
      </c>
      <c r="G5200" s="59" t="str">
        <f t="shared" si="26"/>
        <v/>
      </c>
      <c r="H5200" s="59" t="str">
        <f t="shared" si="27"/>
        <v>LG53F</v>
      </c>
      <c r="I5200" s="59" t="str">
        <f>IF(OR($A5200="",$C5200="",$D5200="",$E5200="",$H5200=""),"",SUMIFS(DATA_GOC!$H:$H,DATA_GOC!$A:$A,"BOM",DATA_GOC!$D:$D,$H5200,DATA_GOC!$E:$E,$C5200,DATA_GOC!$F:$F,"Xuất nội bộ từ téc",DATA_GOC!$B:$B,"&gt;="&amp;$D5200,DATA_GOC!$B:$B,"&lt;="&amp;$E5200))</f>
        <v/>
      </c>
      <c r="J5200" s="59">
        <f t="shared" si="28"/>
        <v>0</v>
      </c>
      <c r="K5200" s="59">
        <f t="shared" si="29"/>
        <v>0</v>
      </c>
      <c r="L5200" s="59">
        <f t="shared" si="30"/>
        <v>0</v>
      </c>
      <c r="M5200" s="59">
        <f t="shared" si="31"/>
        <v>0</v>
      </c>
    </row>
    <row r="5201" ht="15.0" hidden="1" customHeight="1">
      <c r="A5201" s="59">
        <f t="shared" si="20"/>
        <v>83</v>
      </c>
      <c r="B5201" s="59" t="str">
        <f t="shared" si="21"/>
        <v/>
      </c>
      <c r="C5201" s="59" t="str">
        <f t="shared" si="22"/>
        <v/>
      </c>
      <c r="D5201" s="45" t="str">
        <f t="shared" si="23"/>
        <v/>
      </c>
      <c r="E5201" s="45" t="str">
        <f t="shared" si="24"/>
        <v/>
      </c>
      <c r="F5201" s="59" t="str">
        <f t="shared" si="25"/>
        <v/>
      </c>
      <c r="G5201" s="59" t="str">
        <f t="shared" si="26"/>
        <v/>
      </c>
      <c r="H5201" s="59" t="str">
        <f t="shared" si="27"/>
        <v>Máy phát điện</v>
      </c>
      <c r="I5201" s="59" t="str">
        <f>IF(OR($A5201="",$C5201="",$D5201="",$E5201="",$H5201=""),"",SUMIFS(DATA_GOC!$H:$H,DATA_GOC!$A:$A,"BOM",DATA_GOC!$D:$D,$H5201,DATA_GOC!$E:$E,$C5201,DATA_GOC!$F:$F,"Xuất nội bộ từ téc",DATA_GOC!$B:$B,"&gt;="&amp;$D5201,DATA_GOC!$B:$B,"&lt;="&amp;$E5201))</f>
        <v/>
      </c>
      <c r="J5201" s="59">
        <f t="shared" si="28"/>
        <v>0</v>
      </c>
      <c r="K5201" s="59">
        <f t="shared" si="29"/>
        <v>0</v>
      </c>
      <c r="L5201" s="59">
        <f t="shared" si="30"/>
        <v>0</v>
      </c>
      <c r="M5201" s="59">
        <f t="shared" si="31"/>
        <v>0</v>
      </c>
    </row>
    <row r="5202" ht="15.0" hidden="1" customHeight="1">
      <c r="A5202" s="59">
        <f t="shared" si="20"/>
        <v>83</v>
      </c>
      <c r="B5202" s="59" t="str">
        <f t="shared" si="21"/>
        <v/>
      </c>
      <c r="C5202" s="59" t="str">
        <f t="shared" si="22"/>
        <v/>
      </c>
      <c r="D5202" s="45" t="str">
        <f t="shared" si="23"/>
        <v/>
      </c>
      <c r="E5202" s="45" t="str">
        <f t="shared" si="24"/>
        <v/>
      </c>
      <c r="F5202" s="59" t="str">
        <f t="shared" si="25"/>
        <v/>
      </c>
      <c r="G5202" s="59" t="str">
        <f t="shared" si="26"/>
        <v/>
      </c>
      <c r="H5202" s="59" t="str">
        <f t="shared" si="27"/>
        <v>Máy rải thảm</v>
      </c>
      <c r="I5202" s="59" t="str">
        <f>IF(OR($A5202="",$C5202="",$D5202="",$E5202="",$H5202=""),"",SUMIFS(DATA_GOC!$H:$H,DATA_GOC!$A:$A,"BOM",DATA_GOC!$D:$D,$H5202,DATA_GOC!$E:$E,$C5202,DATA_GOC!$F:$F,"Xuất nội bộ từ téc",DATA_GOC!$B:$B,"&gt;="&amp;$D5202,DATA_GOC!$B:$B,"&lt;="&amp;$E5202))</f>
        <v/>
      </c>
      <c r="J5202" s="59">
        <f t="shared" si="28"/>
        <v>0</v>
      </c>
      <c r="K5202" s="59">
        <f t="shared" si="29"/>
        <v>0</v>
      </c>
      <c r="L5202" s="59">
        <f t="shared" si="30"/>
        <v>0</v>
      </c>
      <c r="M5202" s="59">
        <f t="shared" si="31"/>
        <v>0</v>
      </c>
    </row>
    <row r="5203" ht="15.0" hidden="1" customHeight="1">
      <c r="A5203" s="59">
        <f t="shared" si="20"/>
        <v>83</v>
      </c>
      <c r="B5203" s="59" t="str">
        <f t="shared" si="21"/>
        <v/>
      </c>
      <c r="C5203" s="59" t="str">
        <f t="shared" si="22"/>
        <v/>
      </c>
      <c r="D5203" s="45" t="str">
        <f t="shared" si="23"/>
        <v/>
      </c>
      <c r="E5203" s="45" t="str">
        <f t="shared" si="24"/>
        <v/>
      </c>
      <c r="F5203" s="59" t="str">
        <f t="shared" si="25"/>
        <v/>
      </c>
      <c r="G5203" s="59" t="str">
        <f t="shared" si="26"/>
        <v/>
      </c>
      <c r="H5203" s="59" t="str">
        <f t="shared" si="27"/>
        <v>Xúc Đào</v>
      </c>
      <c r="I5203" s="59" t="str">
        <f>IF(OR($A5203="",$C5203="",$D5203="",$E5203="",$H5203=""),"",SUMIFS(DATA_GOC!$H:$H,DATA_GOC!$A:$A,"BOM",DATA_GOC!$D:$D,$H5203,DATA_GOC!$E:$E,$C5203,DATA_GOC!$F:$F,"Xuất nội bộ từ téc",DATA_GOC!$B:$B,"&gt;="&amp;$D5203,DATA_GOC!$B:$B,"&lt;="&amp;$E5203))</f>
        <v/>
      </c>
      <c r="J5203" s="59">
        <f t="shared" si="28"/>
        <v>0</v>
      </c>
      <c r="K5203" s="59">
        <f t="shared" si="29"/>
        <v>0</v>
      </c>
      <c r="L5203" s="59">
        <f t="shared" si="30"/>
        <v>0</v>
      </c>
      <c r="M5203" s="59">
        <f t="shared" si="31"/>
        <v>0</v>
      </c>
    </row>
    <row r="5204" ht="15.0" hidden="1" customHeight="1">
      <c r="A5204" s="59">
        <f t="shared" si="20"/>
        <v>83</v>
      </c>
      <c r="B5204" s="59" t="str">
        <f t="shared" si="21"/>
        <v/>
      </c>
      <c r="C5204" s="59" t="str">
        <f t="shared" si="22"/>
        <v/>
      </c>
      <c r="D5204" s="45" t="str">
        <f t="shared" si="23"/>
        <v/>
      </c>
      <c r="E5204" s="45" t="str">
        <f t="shared" si="24"/>
        <v/>
      </c>
      <c r="F5204" s="59" t="str">
        <f t="shared" si="25"/>
        <v/>
      </c>
      <c r="G5204" s="59" t="str">
        <f t="shared" si="26"/>
        <v/>
      </c>
      <c r="H5204" s="59" t="str">
        <f t="shared" si="27"/>
        <v>Xúclật asphalt</v>
      </c>
      <c r="I5204" s="59" t="str">
        <f>IF(OR($A5204="",$C5204="",$D5204="",$E5204="",$H5204=""),"",SUMIFS(DATA_GOC!$H:$H,DATA_GOC!$A:$A,"BOM",DATA_GOC!$D:$D,$H5204,DATA_GOC!$E:$E,$C5204,DATA_GOC!$F:$F,"Xuất nội bộ từ téc",DATA_GOC!$B:$B,"&gt;="&amp;$D5204,DATA_GOC!$B:$B,"&lt;="&amp;$E5204))</f>
        <v/>
      </c>
      <c r="J5204" s="59">
        <f t="shared" si="28"/>
        <v>0</v>
      </c>
      <c r="K5204" s="59">
        <f t="shared" si="29"/>
        <v>0</v>
      </c>
      <c r="L5204" s="59">
        <f t="shared" si="30"/>
        <v>0</v>
      </c>
      <c r="M5204" s="59">
        <f t="shared" si="31"/>
        <v>0</v>
      </c>
    </row>
    <row r="5205" ht="15.0" hidden="1" customHeight="1">
      <c r="A5205" s="59">
        <f t="shared" si="20"/>
        <v>83</v>
      </c>
      <c r="B5205" s="59" t="str">
        <f t="shared" si="21"/>
        <v/>
      </c>
      <c r="C5205" s="59" t="str">
        <f t="shared" si="22"/>
        <v/>
      </c>
      <c r="D5205" s="45" t="str">
        <f t="shared" si="23"/>
        <v/>
      </c>
      <c r="E5205" s="45" t="str">
        <f t="shared" si="24"/>
        <v/>
      </c>
      <c r="F5205" s="59" t="str">
        <f t="shared" si="25"/>
        <v/>
      </c>
      <c r="G5205" s="59" t="str">
        <f t="shared" si="26"/>
        <v/>
      </c>
      <c r="H5205" s="59" t="str">
        <f t="shared" si="27"/>
        <v>Xúclật855H</v>
      </c>
      <c r="I5205" s="59" t="str">
        <f>IF(OR($A5205="",$C5205="",$D5205="",$E5205="",$H5205=""),"",SUMIFS(DATA_GOC!$H:$H,DATA_GOC!$A:$A,"BOM",DATA_GOC!$D:$D,$H5205,DATA_GOC!$E:$E,$C5205,DATA_GOC!$F:$F,"Xuất nội bộ từ téc",DATA_GOC!$B:$B,"&gt;="&amp;$D5205,DATA_GOC!$B:$B,"&lt;="&amp;$E5205))</f>
        <v/>
      </c>
      <c r="J5205" s="59">
        <f t="shared" si="28"/>
        <v>0</v>
      </c>
      <c r="K5205" s="59">
        <f t="shared" si="29"/>
        <v>0</v>
      </c>
      <c r="L5205" s="59">
        <f t="shared" si="30"/>
        <v>0</v>
      </c>
      <c r="M5205" s="59">
        <f t="shared" si="31"/>
        <v>0</v>
      </c>
    </row>
    <row r="5206" ht="15.0" hidden="1" customHeight="1">
      <c r="A5206" s="59">
        <f t="shared" si="20"/>
        <v>83</v>
      </c>
      <c r="B5206" s="59" t="str">
        <f t="shared" si="21"/>
        <v/>
      </c>
      <c r="C5206" s="59" t="str">
        <f t="shared" si="22"/>
        <v/>
      </c>
      <c r="D5206" s="45" t="str">
        <f t="shared" si="23"/>
        <v/>
      </c>
      <c r="E5206" s="45" t="str">
        <f t="shared" si="24"/>
        <v/>
      </c>
      <c r="F5206" s="59" t="str">
        <f t="shared" si="25"/>
        <v/>
      </c>
      <c r="G5206" s="59" t="str">
        <f t="shared" si="26"/>
        <v/>
      </c>
      <c r="H5206" s="59" t="str">
        <f t="shared" si="27"/>
        <v>Xúclật855N</v>
      </c>
      <c r="I5206" s="59" t="str">
        <f>IF(OR($A5206="",$C5206="",$D5206="",$E5206="",$H5206=""),"",SUMIFS(DATA_GOC!$H:$H,DATA_GOC!$A:$A,"BOM",DATA_GOC!$D:$D,$H5206,DATA_GOC!$E:$E,$C5206,DATA_GOC!$F:$F,"Xuất nội bộ từ téc",DATA_GOC!$B:$B,"&gt;="&amp;$D5206,DATA_GOC!$B:$B,"&lt;="&amp;$E5206))</f>
        <v/>
      </c>
      <c r="J5206" s="59">
        <f t="shared" si="28"/>
        <v>0</v>
      </c>
      <c r="K5206" s="59">
        <f t="shared" si="29"/>
        <v>0</v>
      </c>
      <c r="L5206" s="59">
        <f t="shared" si="30"/>
        <v>0</v>
      </c>
      <c r="M5206" s="59">
        <f t="shared" si="31"/>
        <v>0</v>
      </c>
    </row>
    <row r="5207" ht="15.0" hidden="1" customHeight="1">
      <c r="A5207" s="59">
        <f t="shared" si="20"/>
        <v>83</v>
      </c>
      <c r="B5207" s="59" t="str">
        <f t="shared" si="21"/>
        <v/>
      </c>
      <c r="C5207" s="59" t="str">
        <f t="shared" si="22"/>
        <v/>
      </c>
      <c r="D5207" s="45" t="str">
        <f t="shared" si="23"/>
        <v/>
      </c>
      <c r="E5207" s="45" t="str">
        <f t="shared" si="24"/>
        <v/>
      </c>
      <c r="F5207" s="59" t="str">
        <f t="shared" si="25"/>
        <v/>
      </c>
      <c r="G5207" s="59" t="str">
        <f t="shared" si="26"/>
        <v/>
      </c>
      <c r="H5207" s="59" t="str">
        <f t="shared" si="27"/>
        <v>Cát nghiền</v>
      </c>
      <c r="I5207" s="59" t="str">
        <f>IF(OR($A5207="",$C5207="",$D5207="",$E5207="",$H5207=""),"",SUMIFS(DATA_GOC!$H:$H,DATA_GOC!$A:$A,"BOM",DATA_GOC!$D:$D,$H5207,DATA_GOC!$E:$E,$C5207,DATA_GOC!$F:$F,"Xuất nội bộ từ téc",DATA_GOC!$B:$B,"&gt;="&amp;$D5207,DATA_GOC!$B:$B,"&lt;="&amp;$E5207))</f>
        <v/>
      </c>
      <c r="J5207" s="59">
        <f t="shared" si="28"/>
        <v>0</v>
      </c>
      <c r="K5207" s="59">
        <f t="shared" si="29"/>
        <v>0</v>
      </c>
      <c r="L5207" s="59">
        <f t="shared" si="30"/>
        <v>0</v>
      </c>
      <c r="M5207" s="59">
        <f t="shared" si="31"/>
        <v>0</v>
      </c>
    </row>
    <row r="5208" ht="15.0" hidden="1" customHeight="1">
      <c r="A5208" s="59">
        <f t="shared" si="20"/>
        <v>83</v>
      </c>
      <c r="B5208" s="59" t="str">
        <f t="shared" si="21"/>
        <v/>
      </c>
      <c r="C5208" s="59" t="str">
        <f t="shared" si="22"/>
        <v/>
      </c>
      <c r="D5208" s="45" t="str">
        <f t="shared" si="23"/>
        <v/>
      </c>
      <c r="E5208" s="45" t="str">
        <f t="shared" si="24"/>
        <v/>
      </c>
      <c r="F5208" s="59" t="str">
        <f t="shared" si="25"/>
        <v/>
      </c>
      <c r="G5208" s="59" t="str">
        <f t="shared" si="26"/>
        <v/>
      </c>
      <c r="H5208" s="59" t="str">
        <f t="shared" si="27"/>
        <v>28C02973</v>
      </c>
      <c r="I5208" s="59" t="str">
        <f>IF(OR($A5208="",$C5208="",$D5208="",$E5208="",$H5208=""),"",SUMIFS(DATA_GOC!$H:$H,DATA_GOC!$A:$A,"BOM",DATA_GOC!$D:$D,$H5208,DATA_GOC!$E:$E,$C5208,DATA_GOC!$F:$F,"Xuất nội bộ từ téc",DATA_GOC!$B:$B,"&gt;="&amp;$D5208,DATA_GOC!$B:$B,"&lt;="&amp;$E5208))</f>
        <v/>
      </c>
      <c r="J5208" s="59">
        <f t="shared" si="28"/>
        <v>0</v>
      </c>
      <c r="K5208" s="59">
        <f t="shared" si="29"/>
        <v>0</v>
      </c>
      <c r="L5208" s="59">
        <f t="shared" si="30"/>
        <v>0</v>
      </c>
      <c r="M5208" s="59">
        <f t="shared" si="31"/>
        <v>0</v>
      </c>
    </row>
    <row r="5209" ht="15.0" hidden="1" customHeight="1">
      <c r="A5209" s="59">
        <f t="shared" si="20"/>
        <v>83</v>
      </c>
      <c r="B5209" s="59" t="str">
        <f t="shared" si="21"/>
        <v/>
      </c>
      <c r="C5209" s="59" t="str">
        <f t="shared" si="22"/>
        <v/>
      </c>
      <c r="D5209" s="45" t="str">
        <f t="shared" si="23"/>
        <v/>
      </c>
      <c r="E5209" s="45" t="str">
        <f t="shared" si="24"/>
        <v/>
      </c>
      <c r="F5209" s="59" t="str">
        <f t="shared" si="25"/>
        <v/>
      </c>
      <c r="G5209" s="59" t="str">
        <f t="shared" si="26"/>
        <v/>
      </c>
      <c r="H5209" s="59" t="str">
        <f t="shared" si="27"/>
        <v>28C03044</v>
      </c>
      <c r="I5209" s="59" t="str">
        <f>IF(OR($A5209="",$C5209="",$D5209="",$E5209="",$H5209=""),"",SUMIFS(DATA_GOC!$H:$H,DATA_GOC!$A:$A,"BOM",DATA_GOC!$D:$D,$H5209,DATA_GOC!$E:$E,$C5209,DATA_GOC!$F:$F,"Xuất nội bộ từ téc",DATA_GOC!$B:$B,"&gt;="&amp;$D5209,DATA_GOC!$B:$B,"&lt;="&amp;$E5209))</f>
        <v/>
      </c>
      <c r="J5209" s="59">
        <f t="shared" si="28"/>
        <v>0</v>
      </c>
      <c r="K5209" s="59">
        <f t="shared" si="29"/>
        <v>0</v>
      </c>
      <c r="L5209" s="59">
        <f t="shared" si="30"/>
        <v>0</v>
      </c>
      <c r="M5209" s="59">
        <f t="shared" si="31"/>
        <v>0</v>
      </c>
    </row>
    <row r="5210" ht="15.0" hidden="1" customHeight="1">
      <c r="A5210" s="59">
        <f t="shared" si="20"/>
        <v>83</v>
      </c>
      <c r="B5210" s="59" t="str">
        <f t="shared" si="21"/>
        <v/>
      </c>
      <c r="C5210" s="59" t="str">
        <f t="shared" si="22"/>
        <v/>
      </c>
      <c r="D5210" s="45" t="str">
        <f t="shared" si="23"/>
        <v/>
      </c>
      <c r="E5210" s="45" t="str">
        <f t="shared" si="24"/>
        <v/>
      </c>
      <c r="F5210" s="59" t="str">
        <f t="shared" si="25"/>
        <v/>
      </c>
      <c r="G5210" s="59" t="str">
        <f t="shared" si="26"/>
        <v/>
      </c>
      <c r="H5210" s="59" t="str">
        <f t="shared" si="27"/>
        <v>Máy lu lốp</v>
      </c>
      <c r="I5210" s="59" t="str">
        <f>IF(OR($A5210="",$C5210="",$D5210="",$E5210="",$H5210=""),"",SUMIFS(DATA_GOC!$H:$H,DATA_GOC!$A:$A,"BOM",DATA_GOC!$D:$D,$H5210,DATA_GOC!$E:$E,$C5210,DATA_GOC!$F:$F,"Xuất nội bộ từ téc",DATA_GOC!$B:$B,"&gt;="&amp;$D5210,DATA_GOC!$B:$B,"&lt;="&amp;$E5210))</f>
        <v/>
      </c>
      <c r="J5210" s="59">
        <f t="shared" si="28"/>
        <v>0</v>
      </c>
      <c r="K5210" s="59">
        <f t="shared" si="29"/>
        <v>0</v>
      </c>
      <c r="L5210" s="59">
        <f t="shared" si="30"/>
        <v>0</v>
      </c>
      <c r="M5210" s="59">
        <f t="shared" si="31"/>
        <v>0</v>
      </c>
    </row>
    <row r="5211" ht="15.0" hidden="1" customHeight="1">
      <c r="A5211" s="59">
        <f t="shared" si="20"/>
        <v>83</v>
      </c>
      <c r="B5211" s="59" t="str">
        <f t="shared" si="21"/>
        <v/>
      </c>
      <c r="C5211" s="59" t="str">
        <f t="shared" si="22"/>
        <v/>
      </c>
      <c r="D5211" s="45" t="str">
        <f t="shared" si="23"/>
        <v/>
      </c>
      <c r="E5211" s="45" t="str">
        <f t="shared" si="24"/>
        <v/>
      </c>
      <c r="F5211" s="59" t="str">
        <f t="shared" si="25"/>
        <v/>
      </c>
      <c r="G5211" s="59" t="str">
        <f t="shared" si="26"/>
        <v/>
      </c>
      <c r="H5211" s="59" t="str">
        <f t="shared" si="27"/>
        <v>Xe 600148</v>
      </c>
      <c r="I5211" s="59" t="str">
        <f>IF(OR($A5211="",$C5211="",$D5211="",$E5211="",$H5211=""),"",SUMIFS(DATA_GOC!$H:$H,DATA_GOC!$A:$A,"BOM",DATA_GOC!$D:$D,$H5211,DATA_GOC!$E:$E,$C5211,DATA_GOC!$F:$F,"Xuất nội bộ từ téc",DATA_GOC!$B:$B,"&gt;="&amp;$D5211,DATA_GOC!$B:$B,"&lt;="&amp;$E5211))</f>
        <v/>
      </c>
      <c r="J5211" s="59">
        <f t="shared" si="28"/>
        <v>0</v>
      </c>
      <c r="K5211" s="59">
        <f t="shared" si="29"/>
        <v>0</v>
      </c>
      <c r="L5211" s="59">
        <f t="shared" si="30"/>
        <v>0</v>
      </c>
      <c r="M5211" s="59">
        <f t="shared" si="31"/>
        <v>0</v>
      </c>
    </row>
    <row r="5212" ht="15.0" hidden="1" customHeight="1">
      <c r="A5212" s="59">
        <f t="shared" si="20"/>
        <v>83</v>
      </c>
      <c r="B5212" s="59" t="str">
        <f t="shared" si="21"/>
        <v/>
      </c>
      <c r="C5212" s="59" t="str">
        <f t="shared" si="22"/>
        <v/>
      </c>
      <c r="D5212" s="45" t="str">
        <f t="shared" si="23"/>
        <v/>
      </c>
      <c r="E5212" s="45" t="str">
        <f t="shared" si="24"/>
        <v/>
      </c>
      <c r="F5212" s="59" t="str">
        <f t="shared" si="25"/>
        <v/>
      </c>
      <c r="G5212" s="59" t="str">
        <f t="shared" si="26"/>
        <v/>
      </c>
      <c r="H5212" s="59" t="str">
        <f t="shared" si="27"/>
        <v>Xe ben mới</v>
      </c>
      <c r="I5212" s="59" t="str">
        <f>IF(OR($A5212="",$C5212="",$D5212="",$E5212="",$H5212=""),"",SUMIFS(DATA_GOC!$H:$H,DATA_GOC!$A:$A,"BOM",DATA_GOC!$D:$D,$H5212,DATA_GOC!$E:$E,$C5212,DATA_GOC!$F:$F,"Xuất nội bộ từ téc",DATA_GOC!$B:$B,"&gt;="&amp;$D5212,DATA_GOC!$B:$B,"&lt;="&amp;$E5212))</f>
        <v/>
      </c>
      <c r="J5212" s="59">
        <f t="shared" si="28"/>
        <v>0</v>
      </c>
      <c r="K5212" s="59">
        <f t="shared" si="29"/>
        <v>0</v>
      </c>
      <c r="L5212" s="59">
        <f t="shared" si="30"/>
        <v>0</v>
      </c>
      <c r="M5212" s="59">
        <f t="shared" si="31"/>
        <v>0</v>
      </c>
    </row>
    <row r="5213" ht="15.0" hidden="1" customHeight="1">
      <c r="A5213" s="59">
        <f t="shared" si="20"/>
        <v>84</v>
      </c>
      <c r="B5213" s="59" t="str">
        <f t="shared" si="21"/>
        <v/>
      </c>
      <c r="C5213" s="59" t="str">
        <f t="shared" si="22"/>
        <v/>
      </c>
      <c r="D5213" s="45" t="str">
        <f t="shared" si="23"/>
        <v/>
      </c>
      <c r="E5213" s="45" t="str">
        <f t="shared" si="24"/>
        <v/>
      </c>
      <c r="F5213" s="59" t="str">
        <f t="shared" si="25"/>
        <v/>
      </c>
      <c r="G5213" s="59" t="str">
        <f t="shared" si="26"/>
        <v/>
      </c>
      <c r="H5213" s="59" t="str">
        <f t="shared" si="27"/>
        <v>19H09482</v>
      </c>
      <c r="I5213" s="59" t="str">
        <f>IF(OR($A5213="",$C5213="",$D5213="",$E5213="",$H5213=""),"",SUMIFS(DATA_GOC!$H:$H,DATA_GOC!$A:$A,"BOM",DATA_GOC!$D:$D,$H5213,DATA_GOC!$E:$E,$C5213,DATA_GOC!$F:$F,"Xuất nội bộ từ téc",DATA_GOC!$B:$B,"&gt;="&amp;$D5213,DATA_GOC!$B:$B,"&lt;="&amp;$E5213))</f>
        <v/>
      </c>
      <c r="J5213" s="59">
        <f t="shared" si="28"/>
        <v>0</v>
      </c>
      <c r="K5213" s="59">
        <f t="shared" si="29"/>
        <v>0</v>
      </c>
      <c r="L5213" s="59">
        <f t="shared" si="30"/>
        <v>0</v>
      </c>
      <c r="M5213" s="59">
        <f t="shared" si="31"/>
        <v>0</v>
      </c>
    </row>
    <row r="5214" ht="15.0" hidden="1" customHeight="1">
      <c r="A5214" s="59">
        <f t="shared" si="20"/>
        <v>84</v>
      </c>
      <c r="B5214" s="59" t="str">
        <f t="shared" si="21"/>
        <v/>
      </c>
      <c r="C5214" s="59" t="str">
        <f t="shared" si="22"/>
        <v/>
      </c>
      <c r="D5214" s="45" t="str">
        <f t="shared" si="23"/>
        <v/>
      </c>
      <c r="E5214" s="45" t="str">
        <f t="shared" si="24"/>
        <v/>
      </c>
      <c r="F5214" s="59" t="str">
        <f t="shared" si="25"/>
        <v/>
      </c>
      <c r="G5214" s="59" t="str">
        <f t="shared" si="26"/>
        <v/>
      </c>
      <c r="H5214" s="59" t="str">
        <f t="shared" si="27"/>
        <v>28A30696</v>
      </c>
      <c r="I5214" s="59" t="str">
        <f>IF(OR($A5214="",$C5214="",$D5214="",$E5214="",$H5214=""),"",SUMIFS(DATA_GOC!$H:$H,DATA_GOC!$A:$A,"BOM",DATA_GOC!$D:$D,$H5214,DATA_GOC!$E:$E,$C5214,DATA_GOC!$F:$F,"Xuất nội bộ từ téc",DATA_GOC!$B:$B,"&gt;="&amp;$D5214,DATA_GOC!$B:$B,"&lt;="&amp;$E5214))</f>
        <v/>
      </c>
      <c r="J5214" s="59">
        <f t="shared" si="28"/>
        <v>0</v>
      </c>
      <c r="K5214" s="59">
        <f t="shared" si="29"/>
        <v>0</v>
      </c>
      <c r="L5214" s="59">
        <f t="shared" si="30"/>
        <v>0</v>
      </c>
      <c r="M5214" s="59">
        <f t="shared" si="31"/>
        <v>0</v>
      </c>
    </row>
    <row r="5215" ht="15.0" hidden="1" customHeight="1">
      <c r="A5215" s="59">
        <f t="shared" si="20"/>
        <v>84</v>
      </c>
      <c r="B5215" s="59" t="str">
        <f t="shared" si="21"/>
        <v/>
      </c>
      <c r="C5215" s="59" t="str">
        <f t="shared" si="22"/>
        <v/>
      </c>
      <c r="D5215" s="45" t="str">
        <f t="shared" si="23"/>
        <v/>
      </c>
      <c r="E5215" s="45" t="str">
        <f t="shared" si="24"/>
        <v/>
      </c>
      <c r="F5215" s="59" t="str">
        <f t="shared" si="25"/>
        <v/>
      </c>
      <c r="G5215" s="59" t="str">
        <f t="shared" si="26"/>
        <v/>
      </c>
      <c r="H5215" s="59" t="str">
        <f t="shared" si="27"/>
        <v>28C00462</v>
      </c>
      <c r="I5215" s="59" t="str">
        <f>IF(OR($A5215="",$C5215="",$D5215="",$E5215="",$H5215=""),"",SUMIFS(DATA_GOC!$H:$H,DATA_GOC!$A:$A,"BOM",DATA_GOC!$D:$D,$H5215,DATA_GOC!$E:$E,$C5215,DATA_GOC!$F:$F,"Xuất nội bộ từ téc",DATA_GOC!$B:$B,"&gt;="&amp;$D5215,DATA_GOC!$B:$B,"&lt;="&amp;$E5215))</f>
        <v/>
      </c>
      <c r="J5215" s="59">
        <f t="shared" si="28"/>
        <v>0</v>
      </c>
      <c r="K5215" s="59">
        <f t="shared" si="29"/>
        <v>0</v>
      </c>
      <c r="L5215" s="59">
        <f t="shared" si="30"/>
        <v>0</v>
      </c>
      <c r="M5215" s="59">
        <f t="shared" si="31"/>
        <v>0</v>
      </c>
    </row>
    <row r="5216" ht="15.0" hidden="1" customHeight="1">
      <c r="A5216" s="59">
        <f t="shared" si="20"/>
        <v>84</v>
      </c>
      <c r="B5216" s="59" t="str">
        <f t="shared" si="21"/>
        <v/>
      </c>
      <c r="C5216" s="59" t="str">
        <f t="shared" si="22"/>
        <v/>
      </c>
      <c r="D5216" s="45" t="str">
        <f t="shared" si="23"/>
        <v/>
      </c>
      <c r="E5216" s="45" t="str">
        <f t="shared" si="24"/>
        <v/>
      </c>
      <c r="F5216" s="59" t="str">
        <f t="shared" si="25"/>
        <v/>
      </c>
      <c r="G5216" s="59" t="str">
        <f t="shared" si="26"/>
        <v/>
      </c>
      <c r="H5216" s="59" t="str">
        <f t="shared" si="27"/>
        <v>28C01165</v>
      </c>
      <c r="I5216" s="59" t="str">
        <f>IF(OR($A5216="",$C5216="",$D5216="",$E5216="",$H5216=""),"",SUMIFS(DATA_GOC!$H:$H,DATA_GOC!$A:$A,"BOM",DATA_GOC!$D:$D,$H5216,DATA_GOC!$E:$E,$C5216,DATA_GOC!$F:$F,"Xuất nội bộ từ téc",DATA_GOC!$B:$B,"&gt;="&amp;$D5216,DATA_GOC!$B:$B,"&lt;="&amp;$E5216))</f>
        <v/>
      </c>
      <c r="J5216" s="59">
        <f t="shared" si="28"/>
        <v>0</v>
      </c>
      <c r="K5216" s="59">
        <f t="shared" si="29"/>
        <v>0</v>
      </c>
      <c r="L5216" s="59">
        <f t="shared" si="30"/>
        <v>0</v>
      </c>
      <c r="M5216" s="59">
        <f t="shared" si="31"/>
        <v>0</v>
      </c>
    </row>
    <row r="5217" ht="15.0" hidden="1" customHeight="1">
      <c r="A5217" s="59">
        <f t="shared" si="20"/>
        <v>84</v>
      </c>
      <c r="B5217" s="59" t="str">
        <f t="shared" si="21"/>
        <v/>
      </c>
      <c r="C5217" s="59" t="str">
        <f t="shared" si="22"/>
        <v/>
      </c>
      <c r="D5217" s="45" t="str">
        <f t="shared" si="23"/>
        <v/>
      </c>
      <c r="E5217" s="45" t="str">
        <f t="shared" si="24"/>
        <v/>
      </c>
      <c r="F5217" s="59" t="str">
        <f t="shared" si="25"/>
        <v/>
      </c>
      <c r="G5217" s="59" t="str">
        <f t="shared" si="26"/>
        <v/>
      </c>
      <c r="H5217" s="59" t="str">
        <f t="shared" si="27"/>
        <v>28C01406</v>
      </c>
      <c r="I5217" s="59" t="str">
        <f>IF(OR($A5217="",$C5217="",$D5217="",$E5217="",$H5217=""),"",SUMIFS(DATA_GOC!$H:$H,DATA_GOC!$A:$A,"BOM",DATA_GOC!$D:$D,$H5217,DATA_GOC!$E:$E,$C5217,DATA_GOC!$F:$F,"Xuất nội bộ từ téc",DATA_GOC!$B:$B,"&gt;="&amp;$D5217,DATA_GOC!$B:$B,"&lt;="&amp;$E5217))</f>
        <v/>
      </c>
      <c r="J5217" s="59">
        <f t="shared" si="28"/>
        <v>0</v>
      </c>
      <c r="K5217" s="59">
        <f t="shared" si="29"/>
        <v>0</v>
      </c>
      <c r="L5217" s="59">
        <f t="shared" si="30"/>
        <v>0</v>
      </c>
      <c r="M5217" s="59">
        <f t="shared" si="31"/>
        <v>0</v>
      </c>
    </row>
    <row r="5218" ht="15.0" hidden="1" customHeight="1">
      <c r="A5218" s="59">
        <f t="shared" si="20"/>
        <v>84</v>
      </c>
      <c r="B5218" s="59" t="str">
        <f t="shared" si="21"/>
        <v/>
      </c>
      <c r="C5218" s="59" t="str">
        <f t="shared" si="22"/>
        <v/>
      </c>
      <c r="D5218" s="45" t="str">
        <f t="shared" si="23"/>
        <v/>
      </c>
      <c r="E5218" s="45" t="str">
        <f t="shared" si="24"/>
        <v/>
      </c>
      <c r="F5218" s="59" t="str">
        <f t="shared" si="25"/>
        <v/>
      </c>
      <c r="G5218" s="59" t="str">
        <f t="shared" si="26"/>
        <v/>
      </c>
      <c r="H5218" s="59" t="str">
        <f t="shared" si="27"/>
        <v>28C01544</v>
      </c>
      <c r="I5218" s="59" t="str">
        <f>IF(OR($A5218="",$C5218="",$D5218="",$E5218="",$H5218=""),"",SUMIFS(DATA_GOC!$H:$H,DATA_GOC!$A:$A,"BOM",DATA_GOC!$D:$D,$H5218,DATA_GOC!$E:$E,$C5218,DATA_GOC!$F:$F,"Xuất nội bộ từ téc",DATA_GOC!$B:$B,"&gt;="&amp;$D5218,DATA_GOC!$B:$B,"&lt;="&amp;$E5218))</f>
        <v/>
      </c>
      <c r="J5218" s="59">
        <f t="shared" si="28"/>
        <v>0</v>
      </c>
      <c r="K5218" s="59">
        <f t="shared" si="29"/>
        <v>0</v>
      </c>
      <c r="L5218" s="59">
        <f t="shared" si="30"/>
        <v>0</v>
      </c>
      <c r="M5218" s="59">
        <f t="shared" si="31"/>
        <v>0</v>
      </c>
    </row>
    <row r="5219" ht="15.0" hidden="1" customHeight="1">
      <c r="A5219" s="59">
        <f t="shared" si="20"/>
        <v>84</v>
      </c>
      <c r="B5219" s="59" t="str">
        <f t="shared" si="21"/>
        <v/>
      </c>
      <c r="C5219" s="59" t="str">
        <f t="shared" si="22"/>
        <v/>
      </c>
      <c r="D5219" s="45" t="str">
        <f t="shared" si="23"/>
        <v/>
      </c>
      <c r="E5219" s="45" t="str">
        <f t="shared" si="24"/>
        <v/>
      </c>
      <c r="F5219" s="59" t="str">
        <f t="shared" si="25"/>
        <v/>
      </c>
      <c r="G5219" s="59" t="str">
        <f t="shared" si="26"/>
        <v/>
      </c>
      <c r="H5219" s="59" t="str">
        <f t="shared" si="27"/>
        <v>28C01622</v>
      </c>
      <c r="I5219" s="59" t="str">
        <f>IF(OR($A5219="",$C5219="",$D5219="",$E5219="",$H5219=""),"",SUMIFS(DATA_GOC!$H:$H,DATA_GOC!$A:$A,"BOM",DATA_GOC!$D:$D,$H5219,DATA_GOC!$E:$E,$C5219,DATA_GOC!$F:$F,"Xuất nội bộ từ téc",DATA_GOC!$B:$B,"&gt;="&amp;$D5219,DATA_GOC!$B:$B,"&lt;="&amp;$E5219))</f>
        <v/>
      </c>
      <c r="J5219" s="59">
        <f t="shared" si="28"/>
        <v>0</v>
      </c>
      <c r="K5219" s="59">
        <f t="shared" si="29"/>
        <v>0</v>
      </c>
      <c r="L5219" s="59">
        <f t="shared" si="30"/>
        <v>0</v>
      </c>
      <c r="M5219" s="59">
        <f t="shared" si="31"/>
        <v>0</v>
      </c>
    </row>
    <row r="5220" ht="15.0" hidden="1" customHeight="1">
      <c r="A5220" s="59">
        <f t="shared" si="20"/>
        <v>84</v>
      </c>
      <c r="B5220" s="59" t="str">
        <f t="shared" si="21"/>
        <v/>
      </c>
      <c r="C5220" s="59" t="str">
        <f t="shared" si="22"/>
        <v/>
      </c>
      <c r="D5220" s="45" t="str">
        <f t="shared" si="23"/>
        <v/>
      </c>
      <c r="E5220" s="45" t="str">
        <f t="shared" si="24"/>
        <v/>
      </c>
      <c r="F5220" s="59" t="str">
        <f t="shared" si="25"/>
        <v/>
      </c>
      <c r="G5220" s="59" t="str">
        <f t="shared" si="26"/>
        <v/>
      </c>
      <c r="H5220" s="59" t="str">
        <f t="shared" si="27"/>
        <v>28C01647</v>
      </c>
      <c r="I5220" s="59" t="str">
        <f>IF(OR($A5220="",$C5220="",$D5220="",$E5220="",$H5220=""),"",SUMIFS(DATA_GOC!$H:$H,DATA_GOC!$A:$A,"BOM",DATA_GOC!$D:$D,$H5220,DATA_GOC!$E:$E,$C5220,DATA_GOC!$F:$F,"Xuất nội bộ từ téc",DATA_GOC!$B:$B,"&gt;="&amp;$D5220,DATA_GOC!$B:$B,"&lt;="&amp;$E5220))</f>
        <v/>
      </c>
      <c r="J5220" s="59">
        <f t="shared" si="28"/>
        <v>0</v>
      </c>
      <c r="K5220" s="59">
        <f t="shared" si="29"/>
        <v>0</v>
      </c>
      <c r="L5220" s="59">
        <f t="shared" si="30"/>
        <v>0</v>
      </c>
      <c r="M5220" s="59">
        <f t="shared" si="31"/>
        <v>0</v>
      </c>
    </row>
    <row r="5221" ht="15.0" hidden="1" customHeight="1">
      <c r="A5221" s="59">
        <f t="shared" si="20"/>
        <v>84</v>
      </c>
      <c r="B5221" s="59" t="str">
        <f t="shared" si="21"/>
        <v/>
      </c>
      <c r="C5221" s="59" t="str">
        <f t="shared" si="22"/>
        <v/>
      </c>
      <c r="D5221" s="45" t="str">
        <f t="shared" si="23"/>
        <v/>
      </c>
      <c r="E5221" s="45" t="str">
        <f t="shared" si="24"/>
        <v/>
      </c>
      <c r="F5221" s="59" t="str">
        <f t="shared" si="25"/>
        <v/>
      </c>
      <c r="G5221" s="59" t="str">
        <f t="shared" si="26"/>
        <v/>
      </c>
      <c r="H5221" s="59" t="str">
        <f t="shared" si="27"/>
        <v>28C01731</v>
      </c>
      <c r="I5221" s="59" t="str">
        <f>IF(OR($A5221="",$C5221="",$D5221="",$E5221="",$H5221=""),"",SUMIFS(DATA_GOC!$H:$H,DATA_GOC!$A:$A,"BOM",DATA_GOC!$D:$D,$H5221,DATA_GOC!$E:$E,$C5221,DATA_GOC!$F:$F,"Xuất nội bộ từ téc",DATA_GOC!$B:$B,"&gt;="&amp;$D5221,DATA_GOC!$B:$B,"&lt;="&amp;$E5221))</f>
        <v/>
      </c>
      <c r="J5221" s="59">
        <f t="shared" si="28"/>
        <v>0</v>
      </c>
      <c r="K5221" s="59">
        <f t="shared" si="29"/>
        <v>0</v>
      </c>
      <c r="L5221" s="59">
        <f t="shared" si="30"/>
        <v>0</v>
      </c>
      <c r="M5221" s="59">
        <f t="shared" si="31"/>
        <v>0</v>
      </c>
    </row>
    <row r="5222" ht="15.0" hidden="1" customHeight="1">
      <c r="A5222" s="59">
        <f t="shared" si="20"/>
        <v>84</v>
      </c>
      <c r="B5222" s="59" t="str">
        <f t="shared" si="21"/>
        <v/>
      </c>
      <c r="C5222" s="59" t="str">
        <f t="shared" si="22"/>
        <v/>
      </c>
      <c r="D5222" s="45" t="str">
        <f t="shared" si="23"/>
        <v/>
      </c>
      <c r="E5222" s="45" t="str">
        <f t="shared" si="24"/>
        <v/>
      </c>
      <c r="F5222" s="59" t="str">
        <f t="shared" si="25"/>
        <v/>
      </c>
      <c r="G5222" s="59" t="str">
        <f t="shared" si="26"/>
        <v/>
      </c>
      <c r="H5222" s="59" t="str">
        <f t="shared" si="27"/>
        <v>28C01743</v>
      </c>
      <c r="I5222" s="59" t="str">
        <f>IF(OR($A5222="",$C5222="",$D5222="",$E5222="",$H5222=""),"",SUMIFS(DATA_GOC!$H:$H,DATA_GOC!$A:$A,"BOM",DATA_GOC!$D:$D,$H5222,DATA_GOC!$E:$E,$C5222,DATA_GOC!$F:$F,"Xuất nội bộ từ téc",DATA_GOC!$B:$B,"&gt;="&amp;$D5222,DATA_GOC!$B:$B,"&lt;="&amp;$E5222))</f>
        <v/>
      </c>
      <c r="J5222" s="59">
        <f t="shared" si="28"/>
        <v>0</v>
      </c>
      <c r="K5222" s="59">
        <f t="shared" si="29"/>
        <v>0</v>
      </c>
      <c r="L5222" s="59">
        <f t="shared" si="30"/>
        <v>0</v>
      </c>
      <c r="M5222" s="59">
        <f t="shared" si="31"/>
        <v>0</v>
      </c>
    </row>
    <row r="5223" ht="15.0" hidden="1" customHeight="1">
      <c r="A5223" s="59">
        <f t="shared" si="20"/>
        <v>84</v>
      </c>
      <c r="B5223" s="59" t="str">
        <f t="shared" si="21"/>
        <v/>
      </c>
      <c r="C5223" s="59" t="str">
        <f t="shared" si="22"/>
        <v/>
      </c>
      <c r="D5223" s="45" t="str">
        <f t="shared" si="23"/>
        <v/>
      </c>
      <c r="E5223" s="45" t="str">
        <f t="shared" si="24"/>
        <v/>
      </c>
      <c r="F5223" s="59" t="str">
        <f t="shared" si="25"/>
        <v/>
      </c>
      <c r="G5223" s="59" t="str">
        <f t="shared" si="26"/>
        <v/>
      </c>
      <c r="H5223" s="59" t="str">
        <f t="shared" si="27"/>
        <v>28C02106</v>
      </c>
      <c r="I5223" s="59" t="str">
        <f>IF(OR($A5223="",$C5223="",$D5223="",$E5223="",$H5223=""),"",SUMIFS(DATA_GOC!$H:$H,DATA_GOC!$A:$A,"BOM",DATA_GOC!$D:$D,$H5223,DATA_GOC!$E:$E,$C5223,DATA_GOC!$F:$F,"Xuất nội bộ từ téc",DATA_GOC!$B:$B,"&gt;="&amp;$D5223,DATA_GOC!$B:$B,"&lt;="&amp;$E5223))</f>
        <v/>
      </c>
      <c r="J5223" s="59">
        <f t="shared" si="28"/>
        <v>0</v>
      </c>
      <c r="K5223" s="59">
        <f t="shared" si="29"/>
        <v>0</v>
      </c>
      <c r="L5223" s="59">
        <f t="shared" si="30"/>
        <v>0</v>
      </c>
      <c r="M5223" s="59">
        <f t="shared" si="31"/>
        <v>0</v>
      </c>
    </row>
    <row r="5224" ht="15.0" hidden="1" customHeight="1">
      <c r="A5224" s="59">
        <f t="shared" si="20"/>
        <v>84</v>
      </c>
      <c r="B5224" s="59" t="str">
        <f t="shared" si="21"/>
        <v/>
      </c>
      <c r="C5224" s="59" t="str">
        <f t="shared" si="22"/>
        <v/>
      </c>
      <c r="D5224" s="45" t="str">
        <f t="shared" si="23"/>
        <v/>
      </c>
      <c r="E5224" s="45" t="str">
        <f t="shared" si="24"/>
        <v/>
      </c>
      <c r="F5224" s="59" t="str">
        <f t="shared" si="25"/>
        <v/>
      </c>
      <c r="G5224" s="59" t="str">
        <f t="shared" si="26"/>
        <v/>
      </c>
      <c r="H5224" s="59" t="str">
        <f t="shared" si="27"/>
        <v>28C02410</v>
      </c>
      <c r="I5224" s="59" t="str">
        <f>IF(OR($A5224="",$C5224="",$D5224="",$E5224="",$H5224=""),"",SUMIFS(DATA_GOC!$H:$H,DATA_GOC!$A:$A,"BOM",DATA_GOC!$D:$D,$H5224,DATA_GOC!$E:$E,$C5224,DATA_GOC!$F:$F,"Xuất nội bộ từ téc",DATA_GOC!$B:$B,"&gt;="&amp;$D5224,DATA_GOC!$B:$B,"&lt;="&amp;$E5224))</f>
        <v/>
      </c>
      <c r="J5224" s="59">
        <f t="shared" si="28"/>
        <v>0</v>
      </c>
      <c r="K5224" s="59">
        <f t="shared" si="29"/>
        <v>0</v>
      </c>
      <c r="L5224" s="59">
        <f t="shared" si="30"/>
        <v>0</v>
      </c>
      <c r="M5224" s="59">
        <f t="shared" si="31"/>
        <v>0</v>
      </c>
    </row>
    <row r="5225" ht="15.0" hidden="1" customHeight="1">
      <c r="A5225" s="59">
        <f t="shared" si="20"/>
        <v>84</v>
      </c>
      <c r="B5225" s="59" t="str">
        <f t="shared" si="21"/>
        <v/>
      </c>
      <c r="C5225" s="59" t="str">
        <f t="shared" si="22"/>
        <v/>
      </c>
      <c r="D5225" s="45" t="str">
        <f t="shared" si="23"/>
        <v/>
      </c>
      <c r="E5225" s="45" t="str">
        <f t="shared" si="24"/>
        <v/>
      </c>
      <c r="F5225" s="59" t="str">
        <f t="shared" si="25"/>
        <v/>
      </c>
      <c r="G5225" s="59" t="str">
        <f t="shared" si="26"/>
        <v/>
      </c>
      <c r="H5225" s="59" t="str">
        <f t="shared" si="27"/>
        <v>28C02545</v>
      </c>
      <c r="I5225" s="59" t="str">
        <f>IF(OR($A5225="",$C5225="",$D5225="",$E5225="",$H5225=""),"",SUMIFS(DATA_GOC!$H:$H,DATA_GOC!$A:$A,"BOM",DATA_GOC!$D:$D,$H5225,DATA_GOC!$E:$E,$C5225,DATA_GOC!$F:$F,"Xuất nội bộ từ téc",DATA_GOC!$B:$B,"&gt;="&amp;$D5225,DATA_GOC!$B:$B,"&lt;="&amp;$E5225))</f>
        <v/>
      </c>
      <c r="J5225" s="59">
        <f t="shared" si="28"/>
        <v>0</v>
      </c>
      <c r="K5225" s="59">
        <f t="shared" si="29"/>
        <v>0</v>
      </c>
      <c r="L5225" s="59">
        <f t="shared" si="30"/>
        <v>0</v>
      </c>
      <c r="M5225" s="59">
        <f t="shared" si="31"/>
        <v>0</v>
      </c>
    </row>
    <row r="5226" ht="15.0" hidden="1" customHeight="1">
      <c r="A5226" s="59">
        <f t="shared" si="20"/>
        <v>84</v>
      </c>
      <c r="B5226" s="59" t="str">
        <f t="shared" si="21"/>
        <v/>
      </c>
      <c r="C5226" s="59" t="str">
        <f t="shared" si="22"/>
        <v/>
      </c>
      <c r="D5226" s="45" t="str">
        <f t="shared" si="23"/>
        <v/>
      </c>
      <c r="E5226" s="45" t="str">
        <f t="shared" si="24"/>
        <v/>
      </c>
      <c r="F5226" s="59" t="str">
        <f t="shared" si="25"/>
        <v/>
      </c>
      <c r="G5226" s="59" t="str">
        <f t="shared" si="26"/>
        <v/>
      </c>
      <c r="H5226" s="59" t="str">
        <f t="shared" si="27"/>
        <v>28C02574</v>
      </c>
      <c r="I5226" s="59" t="str">
        <f>IF(OR($A5226="",$C5226="",$D5226="",$E5226="",$H5226=""),"",SUMIFS(DATA_GOC!$H:$H,DATA_GOC!$A:$A,"BOM",DATA_GOC!$D:$D,$H5226,DATA_GOC!$E:$E,$C5226,DATA_GOC!$F:$F,"Xuất nội bộ từ téc",DATA_GOC!$B:$B,"&gt;="&amp;$D5226,DATA_GOC!$B:$B,"&lt;="&amp;$E5226))</f>
        <v/>
      </c>
      <c r="J5226" s="59">
        <f t="shared" si="28"/>
        <v>0</v>
      </c>
      <c r="K5226" s="59">
        <f t="shared" si="29"/>
        <v>0</v>
      </c>
      <c r="L5226" s="59">
        <f t="shared" si="30"/>
        <v>0</v>
      </c>
      <c r="M5226" s="59">
        <f t="shared" si="31"/>
        <v>0</v>
      </c>
    </row>
    <row r="5227" ht="15.0" hidden="1" customHeight="1">
      <c r="A5227" s="59">
        <f t="shared" si="20"/>
        <v>84</v>
      </c>
      <c r="B5227" s="59" t="str">
        <f t="shared" si="21"/>
        <v/>
      </c>
      <c r="C5227" s="59" t="str">
        <f t="shared" si="22"/>
        <v/>
      </c>
      <c r="D5227" s="45" t="str">
        <f t="shared" si="23"/>
        <v/>
      </c>
      <c r="E5227" s="45" t="str">
        <f t="shared" si="24"/>
        <v/>
      </c>
      <c r="F5227" s="59" t="str">
        <f t="shared" si="25"/>
        <v/>
      </c>
      <c r="G5227" s="59" t="str">
        <f t="shared" si="26"/>
        <v/>
      </c>
      <c r="H5227" s="59" t="str">
        <f t="shared" si="27"/>
        <v>28C02770</v>
      </c>
      <c r="I5227" s="59" t="str">
        <f>IF(OR($A5227="",$C5227="",$D5227="",$E5227="",$H5227=""),"",SUMIFS(DATA_GOC!$H:$H,DATA_GOC!$A:$A,"BOM",DATA_GOC!$D:$D,$H5227,DATA_GOC!$E:$E,$C5227,DATA_GOC!$F:$F,"Xuất nội bộ từ téc",DATA_GOC!$B:$B,"&gt;="&amp;$D5227,DATA_GOC!$B:$B,"&lt;="&amp;$E5227))</f>
        <v/>
      </c>
      <c r="J5227" s="59">
        <f t="shared" si="28"/>
        <v>0</v>
      </c>
      <c r="K5227" s="59">
        <f t="shared" si="29"/>
        <v>0</v>
      </c>
      <c r="L5227" s="59">
        <f t="shared" si="30"/>
        <v>0</v>
      </c>
      <c r="M5227" s="59">
        <f t="shared" si="31"/>
        <v>0</v>
      </c>
    </row>
    <row r="5228" ht="15.0" hidden="1" customHeight="1">
      <c r="A5228" s="59">
        <f t="shared" si="20"/>
        <v>84</v>
      </c>
      <c r="B5228" s="59" t="str">
        <f t="shared" si="21"/>
        <v/>
      </c>
      <c r="C5228" s="59" t="str">
        <f t="shared" si="22"/>
        <v/>
      </c>
      <c r="D5228" s="45" t="str">
        <f t="shared" si="23"/>
        <v/>
      </c>
      <c r="E5228" s="45" t="str">
        <f t="shared" si="24"/>
        <v/>
      </c>
      <c r="F5228" s="59" t="str">
        <f t="shared" si="25"/>
        <v/>
      </c>
      <c r="G5228" s="59" t="str">
        <f t="shared" si="26"/>
        <v/>
      </c>
      <c r="H5228" s="59" t="str">
        <f t="shared" si="27"/>
        <v>28C02986</v>
      </c>
      <c r="I5228" s="59" t="str">
        <f>IF(OR($A5228="",$C5228="",$D5228="",$E5228="",$H5228=""),"",SUMIFS(DATA_GOC!$H:$H,DATA_GOC!$A:$A,"BOM",DATA_GOC!$D:$D,$H5228,DATA_GOC!$E:$E,$C5228,DATA_GOC!$F:$F,"Xuất nội bộ từ téc",DATA_GOC!$B:$B,"&gt;="&amp;$D5228,DATA_GOC!$B:$B,"&lt;="&amp;$E5228))</f>
        <v/>
      </c>
      <c r="J5228" s="59">
        <f t="shared" si="28"/>
        <v>0</v>
      </c>
      <c r="K5228" s="59">
        <f t="shared" si="29"/>
        <v>0</v>
      </c>
      <c r="L5228" s="59">
        <f t="shared" si="30"/>
        <v>0</v>
      </c>
      <c r="M5228" s="59">
        <f t="shared" si="31"/>
        <v>0</v>
      </c>
    </row>
    <row r="5229" ht="15.0" hidden="1" customHeight="1">
      <c r="A5229" s="59">
        <f t="shared" si="20"/>
        <v>84</v>
      </c>
      <c r="B5229" s="59" t="str">
        <f t="shared" si="21"/>
        <v/>
      </c>
      <c r="C5229" s="59" t="str">
        <f t="shared" si="22"/>
        <v/>
      </c>
      <c r="D5229" s="45" t="str">
        <f t="shared" si="23"/>
        <v/>
      </c>
      <c r="E5229" s="45" t="str">
        <f t="shared" si="24"/>
        <v/>
      </c>
      <c r="F5229" s="59" t="str">
        <f t="shared" si="25"/>
        <v/>
      </c>
      <c r="G5229" s="59" t="str">
        <f t="shared" si="26"/>
        <v/>
      </c>
      <c r="H5229" s="59" t="str">
        <f t="shared" si="27"/>
        <v>28C03261</v>
      </c>
      <c r="I5229" s="59" t="str">
        <f>IF(OR($A5229="",$C5229="",$D5229="",$E5229="",$H5229=""),"",SUMIFS(DATA_GOC!$H:$H,DATA_GOC!$A:$A,"BOM",DATA_GOC!$D:$D,$H5229,DATA_GOC!$E:$E,$C5229,DATA_GOC!$F:$F,"Xuất nội bộ từ téc",DATA_GOC!$B:$B,"&gt;="&amp;$D5229,DATA_GOC!$B:$B,"&lt;="&amp;$E5229))</f>
        <v/>
      </c>
      <c r="J5229" s="59">
        <f t="shared" si="28"/>
        <v>0</v>
      </c>
      <c r="K5229" s="59">
        <f t="shared" si="29"/>
        <v>0</v>
      </c>
      <c r="L5229" s="59">
        <f t="shared" si="30"/>
        <v>0</v>
      </c>
      <c r="M5229" s="59">
        <f t="shared" si="31"/>
        <v>0</v>
      </c>
    </row>
    <row r="5230" ht="15.0" hidden="1" customHeight="1">
      <c r="A5230" s="59">
        <f t="shared" si="20"/>
        <v>84</v>
      </c>
      <c r="B5230" s="59" t="str">
        <f t="shared" si="21"/>
        <v/>
      </c>
      <c r="C5230" s="59" t="str">
        <f t="shared" si="22"/>
        <v/>
      </c>
      <c r="D5230" s="45" t="str">
        <f t="shared" si="23"/>
        <v/>
      </c>
      <c r="E5230" s="45" t="str">
        <f t="shared" si="24"/>
        <v/>
      </c>
      <c r="F5230" s="59" t="str">
        <f t="shared" si="25"/>
        <v/>
      </c>
      <c r="G5230" s="59" t="str">
        <f t="shared" si="26"/>
        <v/>
      </c>
      <c r="H5230" s="59" t="str">
        <f t="shared" si="27"/>
        <v>28C03323</v>
      </c>
      <c r="I5230" s="59" t="str">
        <f>IF(OR($A5230="",$C5230="",$D5230="",$E5230="",$H5230=""),"",SUMIFS(DATA_GOC!$H:$H,DATA_GOC!$A:$A,"BOM",DATA_GOC!$D:$D,$H5230,DATA_GOC!$E:$E,$C5230,DATA_GOC!$F:$F,"Xuất nội bộ từ téc",DATA_GOC!$B:$B,"&gt;="&amp;$D5230,DATA_GOC!$B:$B,"&lt;="&amp;$E5230))</f>
        <v/>
      </c>
      <c r="J5230" s="59">
        <f t="shared" si="28"/>
        <v>0</v>
      </c>
      <c r="K5230" s="59">
        <f t="shared" si="29"/>
        <v>0</v>
      </c>
      <c r="L5230" s="59">
        <f t="shared" si="30"/>
        <v>0</v>
      </c>
      <c r="M5230" s="59">
        <f t="shared" si="31"/>
        <v>0</v>
      </c>
    </row>
    <row r="5231" ht="15.0" hidden="1" customHeight="1">
      <c r="A5231" s="59">
        <f t="shared" si="20"/>
        <v>84</v>
      </c>
      <c r="B5231" s="59" t="str">
        <f t="shared" si="21"/>
        <v/>
      </c>
      <c r="C5231" s="59" t="str">
        <f t="shared" si="22"/>
        <v/>
      </c>
      <c r="D5231" s="45" t="str">
        <f t="shared" si="23"/>
        <v/>
      </c>
      <c r="E5231" s="45" t="str">
        <f t="shared" si="24"/>
        <v/>
      </c>
      <c r="F5231" s="59" t="str">
        <f t="shared" si="25"/>
        <v/>
      </c>
      <c r="G5231" s="59" t="str">
        <f t="shared" si="26"/>
        <v/>
      </c>
      <c r="H5231" s="59" t="str">
        <f t="shared" si="27"/>
        <v>28C03385</v>
      </c>
      <c r="I5231" s="59" t="str">
        <f>IF(OR($A5231="",$C5231="",$D5231="",$E5231="",$H5231=""),"",SUMIFS(DATA_GOC!$H:$H,DATA_GOC!$A:$A,"BOM",DATA_GOC!$D:$D,$H5231,DATA_GOC!$E:$E,$C5231,DATA_GOC!$F:$F,"Xuất nội bộ từ téc",DATA_GOC!$B:$B,"&gt;="&amp;$D5231,DATA_GOC!$B:$B,"&lt;="&amp;$E5231))</f>
        <v/>
      </c>
      <c r="J5231" s="59">
        <f t="shared" si="28"/>
        <v>0</v>
      </c>
      <c r="K5231" s="59">
        <f t="shared" si="29"/>
        <v>0</v>
      </c>
      <c r="L5231" s="59">
        <f t="shared" si="30"/>
        <v>0</v>
      </c>
      <c r="M5231" s="59">
        <f t="shared" si="31"/>
        <v>0</v>
      </c>
    </row>
    <row r="5232" ht="15.0" hidden="1" customHeight="1">
      <c r="A5232" s="59">
        <f t="shared" si="20"/>
        <v>84</v>
      </c>
      <c r="B5232" s="59" t="str">
        <f t="shared" si="21"/>
        <v/>
      </c>
      <c r="C5232" s="59" t="str">
        <f t="shared" si="22"/>
        <v/>
      </c>
      <c r="D5232" s="45" t="str">
        <f t="shared" si="23"/>
        <v/>
      </c>
      <c r="E5232" s="45" t="str">
        <f t="shared" si="24"/>
        <v/>
      </c>
      <c r="F5232" s="59" t="str">
        <f t="shared" si="25"/>
        <v/>
      </c>
      <c r="G5232" s="59" t="str">
        <f t="shared" si="26"/>
        <v/>
      </c>
      <c r="H5232" s="59" t="str">
        <f t="shared" si="27"/>
        <v>28C03652</v>
      </c>
      <c r="I5232" s="59" t="str">
        <f>IF(OR($A5232="",$C5232="",$D5232="",$E5232="",$H5232=""),"",SUMIFS(DATA_GOC!$H:$H,DATA_GOC!$A:$A,"BOM",DATA_GOC!$D:$D,$H5232,DATA_GOC!$E:$E,$C5232,DATA_GOC!$F:$F,"Xuất nội bộ từ téc",DATA_GOC!$B:$B,"&gt;="&amp;$D5232,DATA_GOC!$B:$B,"&lt;="&amp;$E5232))</f>
        <v/>
      </c>
      <c r="J5232" s="59">
        <f t="shared" si="28"/>
        <v>0</v>
      </c>
      <c r="K5232" s="59">
        <f t="shared" si="29"/>
        <v>0</v>
      </c>
      <c r="L5232" s="59">
        <f t="shared" si="30"/>
        <v>0</v>
      </c>
      <c r="M5232" s="59">
        <f t="shared" si="31"/>
        <v>0</v>
      </c>
    </row>
    <row r="5233" ht="15.0" hidden="1" customHeight="1">
      <c r="A5233" s="59">
        <f t="shared" si="20"/>
        <v>84</v>
      </c>
      <c r="B5233" s="59" t="str">
        <f t="shared" si="21"/>
        <v/>
      </c>
      <c r="C5233" s="59" t="str">
        <f t="shared" si="22"/>
        <v/>
      </c>
      <c r="D5233" s="45" t="str">
        <f t="shared" si="23"/>
        <v/>
      </c>
      <c r="E5233" s="45" t="str">
        <f t="shared" si="24"/>
        <v/>
      </c>
      <c r="F5233" s="59" t="str">
        <f t="shared" si="25"/>
        <v/>
      </c>
      <c r="G5233" s="59" t="str">
        <f t="shared" si="26"/>
        <v/>
      </c>
      <c r="H5233" s="59" t="str">
        <f t="shared" si="27"/>
        <v>28C03695</v>
      </c>
      <c r="I5233" s="59" t="str">
        <f>IF(OR($A5233="",$C5233="",$D5233="",$E5233="",$H5233=""),"",SUMIFS(DATA_GOC!$H:$H,DATA_GOC!$A:$A,"BOM",DATA_GOC!$D:$D,$H5233,DATA_GOC!$E:$E,$C5233,DATA_GOC!$F:$F,"Xuất nội bộ từ téc",DATA_GOC!$B:$B,"&gt;="&amp;$D5233,DATA_GOC!$B:$B,"&lt;="&amp;$E5233))</f>
        <v/>
      </c>
      <c r="J5233" s="59">
        <f t="shared" si="28"/>
        <v>0</v>
      </c>
      <c r="K5233" s="59">
        <f t="shared" si="29"/>
        <v>0</v>
      </c>
      <c r="L5233" s="59">
        <f t="shared" si="30"/>
        <v>0</v>
      </c>
      <c r="M5233" s="59">
        <f t="shared" si="31"/>
        <v>0</v>
      </c>
    </row>
    <row r="5234" ht="15.0" hidden="1" customHeight="1">
      <c r="A5234" s="59">
        <f t="shared" si="20"/>
        <v>84</v>
      </c>
      <c r="B5234" s="59" t="str">
        <f t="shared" si="21"/>
        <v/>
      </c>
      <c r="C5234" s="59" t="str">
        <f t="shared" si="22"/>
        <v/>
      </c>
      <c r="D5234" s="45" t="str">
        <f t="shared" si="23"/>
        <v/>
      </c>
      <c r="E5234" s="45" t="str">
        <f t="shared" si="24"/>
        <v/>
      </c>
      <c r="F5234" s="59" t="str">
        <f t="shared" si="25"/>
        <v/>
      </c>
      <c r="G5234" s="59" t="str">
        <f t="shared" si="26"/>
        <v/>
      </c>
      <c r="H5234" s="59" t="str">
        <f t="shared" si="27"/>
        <v>28C03927</v>
      </c>
      <c r="I5234" s="59" t="str">
        <f>IF(OR($A5234="",$C5234="",$D5234="",$E5234="",$H5234=""),"",SUMIFS(DATA_GOC!$H:$H,DATA_GOC!$A:$A,"BOM",DATA_GOC!$D:$D,$H5234,DATA_GOC!$E:$E,$C5234,DATA_GOC!$F:$F,"Xuất nội bộ từ téc",DATA_GOC!$B:$B,"&gt;="&amp;$D5234,DATA_GOC!$B:$B,"&lt;="&amp;$E5234))</f>
        <v/>
      </c>
      <c r="J5234" s="59">
        <f t="shared" si="28"/>
        <v>0</v>
      </c>
      <c r="K5234" s="59">
        <f t="shared" si="29"/>
        <v>0</v>
      </c>
      <c r="L5234" s="59">
        <f t="shared" si="30"/>
        <v>0</v>
      </c>
      <c r="M5234" s="59">
        <f t="shared" si="31"/>
        <v>0</v>
      </c>
    </row>
    <row r="5235" ht="15.0" hidden="1" customHeight="1">
      <c r="A5235" s="59">
        <f t="shared" si="20"/>
        <v>84</v>
      </c>
      <c r="B5235" s="59" t="str">
        <f t="shared" si="21"/>
        <v/>
      </c>
      <c r="C5235" s="59" t="str">
        <f t="shared" si="22"/>
        <v/>
      </c>
      <c r="D5235" s="45" t="str">
        <f t="shared" si="23"/>
        <v/>
      </c>
      <c r="E5235" s="45" t="str">
        <f t="shared" si="24"/>
        <v/>
      </c>
      <c r="F5235" s="59" t="str">
        <f t="shared" si="25"/>
        <v/>
      </c>
      <c r="G5235" s="59" t="str">
        <f t="shared" si="26"/>
        <v/>
      </c>
      <c r="H5235" s="59" t="str">
        <f t="shared" si="27"/>
        <v>28C04509</v>
      </c>
      <c r="I5235" s="59" t="str">
        <f>IF(OR($A5235="",$C5235="",$D5235="",$E5235="",$H5235=""),"",SUMIFS(DATA_GOC!$H:$H,DATA_GOC!$A:$A,"BOM",DATA_GOC!$D:$D,$H5235,DATA_GOC!$E:$E,$C5235,DATA_GOC!$F:$F,"Xuất nội bộ từ téc",DATA_GOC!$B:$B,"&gt;="&amp;$D5235,DATA_GOC!$B:$B,"&lt;="&amp;$E5235))</f>
        <v/>
      </c>
      <c r="J5235" s="59">
        <f t="shared" si="28"/>
        <v>0</v>
      </c>
      <c r="K5235" s="59">
        <f t="shared" si="29"/>
        <v>0</v>
      </c>
      <c r="L5235" s="59">
        <f t="shared" si="30"/>
        <v>0</v>
      </c>
      <c r="M5235" s="59">
        <f t="shared" si="31"/>
        <v>0</v>
      </c>
    </row>
    <row r="5236" ht="15.0" hidden="1" customHeight="1">
      <c r="A5236" s="59">
        <f t="shared" si="20"/>
        <v>84</v>
      </c>
      <c r="B5236" s="59" t="str">
        <f t="shared" si="21"/>
        <v/>
      </c>
      <c r="C5236" s="59" t="str">
        <f t="shared" si="22"/>
        <v/>
      </c>
      <c r="D5236" s="45" t="str">
        <f t="shared" si="23"/>
        <v/>
      </c>
      <c r="E5236" s="45" t="str">
        <f t="shared" si="24"/>
        <v/>
      </c>
      <c r="F5236" s="59" t="str">
        <f t="shared" si="25"/>
        <v/>
      </c>
      <c r="G5236" s="59" t="str">
        <f t="shared" si="26"/>
        <v/>
      </c>
      <c r="H5236" s="59" t="str">
        <f t="shared" si="27"/>
        <v>28C04536</v>
      </c>
      <c r="I5236" s="59" t="str">
        <f>IF(OR($A5236="",$C5236="",$D5236="",$E5236="",$H5236=""),"",SUMIFS(DATA_GOC!$H:$H,DATA_GOC!$A:$A,"BOM",DATA_GOC!$D:$D,$H5236,DATA_GOC!$E:$E,$C5236,DATA_GOC!$F:$F,"Xuất nội bộ từ téc",DATA_GOC!$B:$B,"&gt;="&amp;$D5236,DATA_GOC!$B:$B,"&lt;="&amp;$E5236))</f>
        <v/>
      </c>
      <c r="J5236" s="59">
        <f t="shared" si="28"/>
        <v>0</v>
      </c>
      <c r="K5236" s="59">
        <f t="shared" si="29"/>
        <v>0</v>
      </c>
      <c r="L5236" s="59">
        <f t="shared" si="30"/>
        <v>0</v>
      </c>
      <c r="M5236" s="59">
        <f t="shared" si="31"/>
        <v>0</v>
      </c>
    </row>
    <row r="5237" ht="15.0" hidden="1" customHeight="1">
      <c r="A5237" s="59">
        <f t="shared" si="20"/>
        <v>84</v>
      </c>
      <c r="B5237" s="59" t="str">
        <f t="shared" si="21"/>
        <v/>
      </c>
      <c r="C5237" s="59" t="str">
        <f t="shared" si="22"/>
        <v/>
      </c>
      <c r="D5237" s="45" t="str">
        <f t="shared" si="23"/>
        <v/>
      </c>
      <c r="E5237" s="45" t="str">
        <f t="shared" si="24"/>
        <v/>
      </c>
      <c r="F5237" s="59" t="str">
        <f t="shared" si="25"/>
        <v/>
      </c>
      <c r="G5237" s="59" t="str">
        <f t="shared" si="26"/>
        <v/>
      </c>
      <c r="H5237" s="59" t="str">
        <f t="shared" si="27"/>
        <v>28C04576</v>
      </c>
      <c r="I5237" s="59" t="str">
        <f>IF(OR($A5237="",$C5237="",$D5237="",$E5237="",$H5237=""),"",SUMIFS(DATA_GOC!$H:$H,DATA_GOC!$A:$A,"BOM",DATA_GOC!$D:$D,$H5237,DATA_GOC!$E:$E,$C5237,DATA_GOC!$F:$F,"Xuất nội bộ từ téc",DATA_GOC!$B:$B,"&gt;="&amp;$D5237,DATA_GOC!$B:$B,"&lt;="&amp;$E5237))</f>
        <v/>
      </c>
      <c r="J5237" s="59">
        <f t="shared" si="28"/>
        <v>0</v>
      </c>
      <c r="K5237" s="59">
        <f t="shared" si="29"/>
        <v>0</v>
      </c>
      <c r="L5237" s="59">
        <f t="shared" si="30"/>
        <v>0</v>
      </c>
      <c r="M5237" s="59">
        <f t="shared" si="31"/>
        <v>0</v>
      </c>
    </row>
    <row r="5238" ht="15.0" hidden="1" customHeight="1">
      <c r="A5238" s="59">
        <f t="shared" si="20"/>
        <v>84</v>
      </c>
      <c r="B5238" s="59" t="str">
        <f t="shared" si="21"/>
        <v/>
      </c>
      <c r="C5238" s="59" t="str">
        <f t="shared" si="22"/>
        <v/>
      </c>
      <c r="D5238" s="45" t="str">
        <f t="shared" si="23"/>
        <v/>
      </c>
      <c r="E5238" s="45" t="str">
        <f t="shared" si="24"/>
        <v/>
      </c>
      <c r="F5238" s="59" t="str">
        <f t="shared" si="25"/>
        <v/>
      </c>
      <c r="G5238" s="59" t="str">
        <f t="shared" si="26"/>
        <v/>
      </c>
      <c r="H5238" s="59" t="str">
        <f t="shared" si="27"/>
        <v>28C05090</v>
      </c>
      <c r="I5238" s="59" t="str">
        <f>IF(OR($A5238="",$C5238="",$D5238="",$E5238="",$H5238=""),"",SUMIFS(DATA_GOC!$H:$H,DATA_GOC!$A:$A,"BOM",DATA_GOC!$D:$D,$H5238,DATA_GOC!$E:$E,$C5238,DATA_GOC!$F:$F,"Xuất nội bộ từ téc",DATA_GOC!$B:$B,"&gt;="&amp;$D5238,DATA_GOC!$B:$B,"&lt;="&amp;$E5238))</f>
        <v/>
      </c>
      <c r="J5238" s="59">
        <f t="shared" si="28"/>
        <v>0</v>
      </c>
      <c r="K5238" s="59">
        <f t="shared" si="29"/>
        <v>0</v>
      </c>
      <c r="L5238" s="59">
        <f t="shared" si="30"/>
        <v>0</v>
      </c>
      <c r="M5238" s="59">
        <f t="shared" si="31"/>
        <v>0</v>
      </c>
    </row>
    <row r="5239" ht="15.0" hidden="1" customHeight="1">
      <c r="A5239" s="59">
        <f t="shared" si="20"/>
        <v>84</v>
      </c>
      <c r="B5239" s="59" t="str">
        <f t="shared" si="21"/>
        <v/>
      </c>
      <c r="C5239" s="59" t="str">
        <f t="shared" si="22"/>
        <v/>
      </c>
      <c r="D5239" s="45" t="str">
        <f t="shared" si="23"/>
        <v/>
      </c>
      <c r="E5239" s="45" t="str">
        <f t="shared" si="24"/>
        <v/>
      </c>
      <c r="F5239" s="59" t="str">
        <f t="shared" si="25"/>
        <v/>
      </c>
      <c r="G5239" s="59" t="str">
        <f t="shared" si="26"/>
        <v/>
      </c>
      <c r="H5239" s="59" t="str">
        <f t="shared" si="27"/>
        <v>28C05345</v>
      </c>
      <c r="I5239" s="59" t="str">
        <f>IF(OR($A5239="",$C5239="",$D5239="",$E5239="",$H5239=""),"",SUMIFS(DATA_GOC!$H:$H,DATA_GOC!$A:$A,"BOM",DATA_GOC!$D:$D,$H5239,DATA_GOC!$E:$E,$C5239,DATA_GOC!$F:$F,"Xuất nội bộ từ téc",DATA_GOC!$B:$B,"&gt;="&amp;$D5239,DATA_GOC!$B:$B,"&lt;="&amp;$E5239))</f>
        <v/>
      </c>
      <c r="J5239" s="59">
        <f t="shared" si="28"/>
        <v>0</v>
      </c>
      <c r="K5239" s="59">
        <f t="shared" si="29"/>
        <v>0</v>
      </c>
      <c r="L5239" s="59">
        <f t="shared" si="30"/>
        <v>0</v>
      </c>
      <c r="M5239" s="59">
        <f t="shared" si="31"/>
        <v>0</v>
      </c>
    </row>
    <row r="5240" ht="15.0" hidden="1" customHeight="1">
      <c r="A5240" s="59">
        <f t="shared" si="20"/>
        <v>84</v>
      </c>
      <c r="B5240" s="59" t="str">
        <f t="shared" si="21"/>
        <v/>
      </c>
      <c r="C5240" s="59" t="str">
        <f t="shared" si="22"/>
        <v/>
      </c>
      <c r="D5240" s="45" t="str">
        <f t="shared" si="23"/>
        <v/>
      </c>
      <c r="E5240" s="45" t="str">
        <f t="shared" si="24"/>
        <v/>
      </c>
      <c r="F5240" s="59" t="str">
        <f t="shared" si="25"/>
        <v/>
      </c>
      <c r="G5240" s="59" t="str">
        <f t="shared" si="26"/>
        <v/>
      </c>
      <c r="H5240" s="59" t="str">
        <f t="shared" si="27"/>
        <v>28C05661</v>
      </c>
      <c r="I5240" s="59" t="str">
        <f>IF(OR($A5240="",$C5240="",$D5240="",$E5240="",$H5240=""),"",SUMIFS(DATA_GOC!$H:$H,DATA_GOC!$A:$A,"BOM",DATA_GOC!$D:$D,$H5240,DATA_GOC!$E:$E,$C5240,DATA_GOC!$F:$F,"Xuất nội bộ từ téc",DATA_GOC!$B:$B,"&gt;="&amp;$D5240,DATA_GOC!$B:$B,"&lt;="&amp;$E5240))</f>
        <v/>
      </c>
      <c r="J5240" s="59">
        <f t="shared" si="28"/>
        <v>0</v>
      </c>
      <c r="K5240" s="59">
        <f t="shared" si="29"/>
        <v>0</v>
      </c>
      <c r="L5240" s="59">
        <f t="shared" si="30"/>
        <v>0</v>
      </c>
      <c r="M5240" s="59">
        <f t="shared" si="31"/>
        <v>0</v>
      </c>
    </row>
    <row r="5241" ht="15.0" hidden="1" customHeight="1">
      <c r="A5241" s="59">
        <f t="shared" si="20"/>
        <v>84</v>
      </c>
      <c r="B5241" s="59" t="str">
        <f t="shared" si="21"/>
        <v/>
      </c>
      <c r="C5241" s="59" t="str">
        <f t="shared" si="22"/>
        <v/>
      </c>
      <c r="D5241" s="45" t="str">
        <f t="shared" si="23"/>
        <v/>
      </c>
      <c r="E5241" s="45" t="str">
        <f t="shared" si="24"/>
        <v/>
      </c>
      <c r="F5241" s="59" t="str">
        <f t="shared" si="25"/>
        <v/>
      </c>
      <c r="G5241" s="59" t="str">
        <f t="shared" si="26"/>
        <v/>
      </c>
      <c r="H5241" s="59" t="str">
        <f t="shared" si="27"/>
        <v>28C05739</v>
      </c>
      <c r="I5241" s="59" t="str">
        <f>IF(OR($A5241="",$C5241="",$D5241="",$E5241="",$H5241=""),"",SUMIFS(DATA_GOC!$H:$H,DATA_GOC!$A:$A,"BOM",DATA_GOC!$D:$D,$H5241,DATA_GOC!$E:$E,$C5241,DATA_GOC!$F:$F,"Xuất nội bộ từ téc",DATA_GOC!$B:$B,"&gt;="&amp;$D5241,DATA_GOC!$B:$B,"&lt;="&amp;$E5241))</f>
        <v/>
      </c>
      <c r="J5241" s="59">
        <f t="shared" si="28"/>
        <v>0</v>
      </c>
      <c r="K5241" s="59">
        <f t="shared" si="29"/>
        <v>0</v>
      </c>
      <c r="L5241" s="59">
        <f t="shared" si="30"/>
        <v>0</v>
      </c>
      <c r="M5241" s="59">
        <f t="shared" si="31"/>
        <v>0</v>
      </c>
    </row>
    <row r="5242" ht="15.0" hidden="1" customHeight="1">
      <c r="A5242" s="59">
        <f t="shared" si="20"/>
        <v>84</v>
      </c>
      <c r="B5242" s="59" t="str">
        <f t="shared" si="21"/>
        <v/>
      </c>
      <c r="C5242" s="59" t="str">
        <f t="shared" si="22"/>
        <v/>
      </c>
      <c r="D5242" s="45" t="str">
        <f t="shared" si="23"/>
        <v/>
      </c>
      <c r="E5242" s="45" t="str">
        <f t="shared" si="24"/>
        <v/>
      </c>
      <c r="F5242" s="59" t="str">
        <f t="shared" si="25"/>
        <v/>
      </c>
      <c r="G5242" s="59" t="str">
        <f t="shared" si="26"/>
        <v/>
      </c>
      <c r="H5242" s="59" t="str">
        <f t="shared" si="27"/>
        <v>28C06369</v>
      </c>
      <c r="I5242" s="59" t="str">
        <f>IF(OR($A5242="",$C5242="",$D5242="",$E5242="",$H5242=""),"",SUMIFS(DATA_GOC!$H:$H,DATA_GOC!$A:$A,"BOM",DATA_GOC!$D:$D,$H5242,DATA_GOC!$E:$E,$C5242,DATA_GOC!$F:$F,"Xuất nội bộ từ téc",DATA_GOC!$B:$B,"&gt;="&amp;$D5242,DATA_GOC!$B:$B,"&lt;="&amp;$E5242))</f>
        <v/>
      </c>
      <c r="J5242" s="59">
        <f t="shared" si="28"/>
        <v>0</v>
      </c>
      <c r="K5242" s="59">
        <f t="shared" si="29"/>
        <v>0</v>
      </c>
      <c r="L5242" s="59">
        <f t="shared" si="30"/>
        <v>0</v>
      </c>
      <c r="M5242" s="59">
        <f t="shared" si="31"/>
        <v>0</v>
      </c>
    </row>
    <row r="5243" ht="15.0" hidden="1" customHeight="1">
      <c r="A5243" s="59">
        <f t="shared" si="20"/>
        <v>84</v>
      </c>
      <c r="B5243" s="59" t="str">
        <f t="shared" si="21"/>
        <v/>
      </c>
      <c r="C5243" s="59" t="str">
        <f t="shared" si="22"/>
        <v/>
      </c>
      <c r="D5243" s="45" t="str">
        <f t="shared" si="23"/>
        <v/>
      </c>
      <c r="E5243" s="45" t="str">
        <f t="shared" si="24"/>
        <v/>
      </c>
      <c r="F5243" s="59" t="str">
        <f t="shared" si="25"/>
        <v/>
      </c>
      <c r="G5243" s="59" t="str">
        <f t="shared" si="26"/>
        <v/>
      </c>
      <c r="H5243" s="59" t="str">
        <f t="shared" si="27"/>
        <v>28C06447</v>
      </c>
      <c r="I5243" s="59" t="str">
        <f>IF(OR($A5243="",$C5243="",$D5243="",$E5243="",$H5243=""),"",SUMIFS(DATA_GOC!$H:$H,DATA_GOC!$A:$A,"BOM",DATA_GOC!$D:$D,$H5243,DATA_GOC!$E:$E,$C5243,DATA_GOC!$F:$F,"Xuất nội bộ từ téc",DATA_GOC!$B:$B,"&gt;="&amp;$D5243,DATA_GOC!$B:$B,"&lt;="&amp;$E5243))</f>
        <v/>
      </c>
      <c r="J5243" s="59">
        <f t="shared" si="28"/>
        <v>0</v>
      </c>
      <c r="K5243" s="59">
        <f t="shared" si="29"/>
        <v>0</v>
      </c>
      <c r="L5243" s="59">
        <f t="shared" si="30"/>
        <v>0</v>
      </c>
      <c r="M5243" s="59">
        <f t="shared" si="31"/>
        <v>0</v>
      </c>
    </row>
    <row r="5244" ht="15.0" hidden="1" customHeight="1">
      <c r="A5244" s="59">
        <f t="shared" si="20"/>
        <v>84</v>
      </c>
      <c r="B5244" s="59" t="str">
        <f t="shared" si="21"/>
        <v/>
      </c>
      <c r="C5244" s="59" t="str">
        <f t="shared" si="22"/>
        <v/>
      </c>
      <c r="D5244" s="45" t="str">
        <f t="shared" si="23"/>
        <v/>
      </c>
      <c r="E5244" s="45" t="str">
        <f t="shared" si="24"/>
        <v/>
      </c>
      <c r="F5244" s="59" t="str">
        <f t="shared" si="25"/>
        <v/>
      </c>
      <c r="G5244" s="59" t="str">
        <f t="shared" si="26"/>
        <v/>
      </c>
      <c r="H5244" s="59" t="str">
        <f t="shared" si="27"/>
        <v>28H00003</v>
      </c>
      <c r="I5244" s="59" t="str">
        <f>IF(OR($A5244="",$C5244="",$D5244="",$E5244="",$H5244=""),"",SUMIFS(DATA_GOC!$H:$H,DATA_GOC!$A:$A,"BOM",DATA_GOC!$D:$D,$H5244,DATA_GOC!$E:$E,$C5244,DATA_GOC!$F:$F,"Xuất nội bộ từ téc",DATA_GOC!$B:$B,"&gt;="&amp;$D5244,DATA_GOC!$B:$B,"&lt;="&amp;$E5244))</f>
        <v/>
      </c>
      <c r="J5244" s="59">
        <f t="shared" si="28"/>
        <v>0</v>
      </c>
      <c r="K5244" s="59">
        <f t="shared" si="29"/>
        <v>0</v>
      </c>
      <c r="L5244" s="59">
        <f t="shared" si="30"/>
        <v>0</v>
      </c>
      <c r="M5244" s="59">
        <f t="shared" si="31"/>
        <v>0</v>
      </c>
    </row>
    <row r="5245" ht="15.0" hidden="1" customHeight="1">
      <c r="A5245" s="59">
        <f t="shared" si="20"/>
        <v>84</v>
      </c>
      <c r="B5245" s="59" t="str">
        <f t="shared" si="21"/>
        <v/>
      </c>
      <c r="C5245" s="59" t="str">
        <f t="shared" si="22"/>
        <v/>
      </c>
      <c r="D5245" s="45" t="str">
        <f t="shared" si="23"/>
        <v/>
      </c>
      <c r="E5245" s="45" t="str">
        <f t="shared" si="24"/>
        <v/>
      </c>
      <c r="F5245" s="59" t="str">
        <f t="shared" si="25"/>
        <v/>
      </c>
      <c r="G5245" s="59" t="str">
        <f t="shared" si="26"/>
        <v/>
      </c>
      <c r="H5245" s="59" t="str">
        <f t="shared" si="27"/>
        <v>28H00061</v>
      </c>
      <c r="I5245" s="59" t="str">
        <f>IF(OR($A5245="",$C5245="",$D5245="",$E5245="",$H5245=""),"",SUMIFS(DATA_GOC!$H:$H,DATA_GOC!$A:$A,"BOM",DATA_GOC!$D:$D,$H5245,DATA_GOC!$E:$E,$C5245,DATA_GOC!$F:$F,"Xuất nội bộ từ téc",DATA_GOC!$B:$B,"&gt;="&amp;$D5245,DATA_GOC!$B:$B,"&lt;="&amp;$E5245))</f>
        <v/>
      </c>
      <c r="J5245" s="59">
        <f t="shared" si="28"/>
        <v>0</v>
      </c>
      <c r="K5245" s="59">
        <f t="shared" si="29"/>
        <v>0</v>
      </c>
      <c r="L5245" s="59">
        <f t="shared" si="30"/>
        <v>0</v>
      </c>
      <c r="M5245" s="59">
        <f t="shared" si="31"/>
        <v>0</v>
      </c>
    </row>
    <row r="5246" ht="15.0" hidden="1" customHeight="1">
      <c r="A5246" s="59">
        <f t="shared" si="20"/>
        <v>84</v>
      </c>
      <c r="B5246" s="59" t="str">
        <f t="shared" si="21"/>
        <v/>
      </c>
      <c r="C5246" s="59" t="str">
        <f t="shared" si="22"/>
        <v/>
      </c>
      <c r="D5246" s="45" t="str">
        <f t="shared" si="23"/>
        <v/>
      </c>
      <c r="E5246" s="45" t="str">
        <f t="shared" si="24"/>
        <v/>
      </c>
      <c r="F5246" s="59" t="str">
        <f t="shared" si="25"/>
        <v/>
      </c>
      <c r="G5246" s="59" t="str">
        <f t="shared" si="26"/>
        <v/>
      </c>
      <c r="H5246" s="59" t="str">
        <f t="shared" si="27"/>
        <v>28H00354</v>
      </c>
      <c r="I5246" s="59" t="str">
        <f>IF(OR($A5246="",$C5246="",$D5246="",$E5246="",$H5246=""),"",SUMIFS(DATA_GOC!$H:$H,DATA_GOC!$A:$A,"BOM",DATA_GOC!$D:$D,$H5246,DATA_GOC!$E:$E,$C5246,DATA_GOC!$F:$F,"Xuất nội bộ từ téc",DATA_GOC!$B:$B,"&gt;="&amp;$D5246,DATA_GOC!$B:$B,"&lt;="&amp;$E5246))</f>
        <v/>
      </c>
      <c r="J5246" s="59">
        <f t="shared" si="28"/>
        <v>0</v>
      </c>
      <c r="K5246" s="59">
        <f t="shared" si="29"/>
        <v>0</v>
      </c>
      <c r="L5246" s="59">
        <f t="shared" si="30"/>
        <v>0</v>
      </c>
      <c r="M5246" s="59">
        <f t="shared" si="31"/>
        <v>0</v>
      </c>
    </row>
    <row r="5247" ht="15.0" hidden="1" customHeight="1">
      <c r="A5247" s="59">
        <f t="shared" si="20"/>
        <v>84</v>
      </c>
      <c r="B5247" s="59" t="str">
        <f t="shared" si="21"/>
        <v/>
      </c>
      <c r="C5247" s="59" t="str">
        <f t="shared" si="22"/>
        <v/>
      </c>
      <c r="D5247" s="45" t="str">
        <f t="shared" si="23"/>
        <v/>
      </c>
      <c r="E5247" s="45" t="str">
        <f t="shared" si="24"/>
        <v/>
      </c>
      <c r="F5247" s="59" t="str">
        <f t="shared" si="25"/>
        <v/>
      </c>
      <c r="G5247" s="59" t="str">
        <f t="shared" si="26"/>
        <v/>
      </c>
      <c r="H5247" s="59" t="str">
        <f t="shared" si="27"/>
        <v>28H00603</v>
      </c>
      <c r="I5247" s="59" t="str">
        <f>IF(OR($A5247="",$C5247="",$D5247="",$E5247="",$H5247=""),"",SUMIFS(DATA_GOC!$H:$H,DATA_GOC!$A:$A,"BOM",DATA_GOC!$D:$D,$H5247,DATA_GOC!$E:$E,$C5247,DATA_GOC!$F:$F,"Xuất nội bộ từ téc",DATA_GOC!$B:$B,"&gt;="&amp;$D5247,DATA_GOC!$B:$B,"&lt;="&amp;$E5247))</f>
        <v/>
      </c>
      <c r="J5247" s="59">
        <f t="shared" si="28"/>
        <v>0</v>
      </c>
      <c r="K5247" s="59">
        <f t="shared" si="29"/>
        <v>0</v>
      </c>
      <c r="L5247" s="59">
        <f t="shared" si="30"/>
        <v>0</v>
      </c>
      <c r="M5247" s="59">
        <f t="shared" si="31"/>
        <v>0</v>
      </c>
    </row>
    <row r="5248" ht="15.0" hidden="1" customHeight="1">
      <c r="A5248" s="59">
        <f t="shared" si="20"/>
        <v>84</v>
      </c>
      <c r="B5248" s="59" t="str">
        <f t="shared" si="21"/>
        <v/>
      </c>
      <c r="C5248" s="59" t="str">
        <f t="shared" si="22"/>
        <v/>
      </c>
      <c r="D5248" s="45" t="str">
        <f t="shared" si="23"/>
        <v/>
      </c>
      <c r="E5248" s="45" t="str">
        <f t="shared" si="24"/>
        <v/>
      </c>
      <c r="F5248" s="59" t="str">
        <f t="shared" si="25"/>
        <v/>
      </c>
      <c r="G5248" s="59" t="str">
        <f t="shared" si="26"/>
        <v/>
      </c>
      <c r="H5248" s="59" t="str">
        <f t="shared" si="27"/>
        <v>28H00609</v>
      </c>
      <c r="I5248" s="59" t="str">
        <f>IF(OR($A5248="",$C5248="",$D5248="",$E5248="",$H5248=""),"",SUMIFS(DATA_GOC!$H:$H,DATA_GOC!$A:$A,"BOM",DATA_GOC!$D:$D,$H5248,DATA_GOC!$E:$E,$C5248,DATA_GOC!$F:$F,"Xuất nội bộ từ téc",DATA_GOC!$B:$B,"&gt;="&amp;$D5248,DATA_GOC!$B:$B,"&lt;="&amp;$E5248))</f>
        <v/>
      </c>
      <c r="J5248" s="59">
        <f t="shared" si="28"/>
        <v>0</v>
      </c>
      <c r="K5248" s="59">
        <f t="shared" si="29"/>
        <v>0</v>
      </c>
      <c r="L5248" s="59">
        <f t="shared" si="30"/>
        <v>0</v>
      </c>
      <c r="M5248" s="59">
        <f t="shared" si="31"/>
        <v>0</v>
      </c>
    </row>
    <row r="5249" ht="15.0" hidden="1" customHeight="1">
      <c r="A5249" s="59">
        <f t="shared" si="20"/>
        <v>84</v>
      </c>
      <c r="B5249" s="59" t="str">
        <f t="shared" si="21"/>
        <v/>
      </c>
      <c r="C5249" s="59" t="str">
        <f t="shared" si="22"/>
        <v/>
      </c>
      <c r="D5249" s="45" t="str">
        <f t="shared" si="23"/>
        <v/>
      </c>
      <c r="E5249" s="45" t="str">
        <f t="shared" si="24"/>
        <v/>
      </c>
      <c r="F5249" s="59" t="str">
        <f t="shared" si="25"/>
        <v/>
      </c>
      <c r="G5249" s="59" t="str">
        <f t="shared" si="26"/>
        <v/>
      </c>
      <c r="H5249" s="59" t="str">
        <f t="shared" si="27"/>
        <v>28H00669</v>
      </c>
      <c r="I5249" s="59" t="str">
        <f>IF(OR($A5249="",$C5249="",$D5249="",$E5249="",$H5249=""),"",SUMIFS(DATA_GOC!$H:$H,DATA_GOC!$A:$A,"BOM",DATA_GOC!$D:$D,$H5249,DATA_GOC!$E:$E,$C5249,DATA_GOC!$F:$F,"Xuất nội bộ từ téc",DATA_GOC!$B:$B,"&gt;="&amp;$D5249,DATA_GOC!$B:$B,"&lt;="&amp;$E5249))</f>
        <v/>
      </c>
      <c r="J5249" s="59">
        <f t="shared" si="28"/>
        <v>0</v>
      </c>
      <c r="K5249" s="59">
        <f t="shared" si="29"/>
        <v>0</v>
      </c>
      <c r="L5249" s="59">
        <f t="shared" si="30"/>
        <v>0</v>
      </c>
      <c r="M5249" s="59">
        <f t="shared" si="31"/>
        <v>0</v>
      </c>
    </row>
    <row r="5250" ht="15.0" hidden="1" customHeight="1">
      <c r="A5250" s="59">
        <f t="shared" si="20"/>
        <v>84</v>
      </c>
      <c r="B5250" s="59" t="str">
        <f t="shared" si="21"/>
        <v/>
      </c>
      <c r="C5250" s="59" t="str">
        <f t="shared" si="22"/>
        <v/>
      </c>
      <c r="D5250" s="45" t="str">
        <f t="shared" si="23"/>
        <v/>
      </c>
      <c r="E5250" s="45" t="str">
        <f t="shared" si="24"/>
        <v/>
      </c>
      <c r="F5250" s="59" t="str">
        <f t="shared" si="25"/>
        <v/>
      </c>
      <c r="G5250" s="59" t="str">
        <f t="shared" si="26"/>
        <v/>
      </c>
      <c r="H5250" s="59" t="str">
        <f t="shared" si="27"/>
        <v>28H00680</v>
      </c>
      <c r="I5250" s="59" t="str">
        <f>IF(OR($A5250="",$C5250="",$D5250="",$E5250="",$H5250=""),"",SUMIFS(DATA_GOC!$H:$H,DATA_GOC!$A:$A,"BOM",DATA_GOC!$D:$D,$H5250,DATA_GOC!$E:$E,$C5250,DATA_GOC!$F:$F,"Xuất nội bộ từ téc",DATA_GOC!$B:$B,"&gt;="&amp;$D5250,DATA_GOC!$B:$B,"&lt;="&amp;$E5250))</f>
        <v/>
      </c>
      <c r="J5250" s="59">
        <f t="shared" si="28"/>
        <v>0</v>
      </c>
      <c r="K5250" s="59">
        <f t="shared" si="29"/>
        <v>0</v>
      </c>
      <c r="L5250" s="59">
        <f t="shared" si="30"/>
        <v>0</v>
      </c>
      <c r="M5250" s="59">
        <f t="shared" si="31"/>
        <v>0</v>
      </c>
    </row>
    <row r="5251" ht="15.0" hidden="1" customHeight="1">
      <c r="A5251" s="59">
        <f t="shared" si="20"/>
        <v>84</v>
      </c>
      <c r="B5251" s="59" t="str">
        <f t="shared" si="21"/>
        <v/>
      </c>
      <c r="C5251" s="59" t="str">
        <f t="shared" si="22"/>
        <v/>
      </c>
      <c r="D5251" s="45" t="str">
        <f t="shared" si="23"/>
        <v/>
      </c>
      <c r="E5251" s="45" t="str">
        <f t="shared" si="24"/>
        <v/>
      </c>
      <c r="F5251" s="59" t="str">
        <f t="shared" si="25"/>
        <v/>
      </c>
      <c r="G5251" s="59" t="str">
        <f t="shared" si="26"/>
        <v/>
      </c>
      <c r="H5251" s="59" t="str">
        <f t="shared" si="27"/>
        <v>28H01070</v>
      </c>
      <c r="I5251" s="59" t="str">
        <f>IF(OR($A5251="",$C5251="",$D5251="",$E5251="",$H5251=""),"",SUMIFS(DATA_GOC!$H:$H,DATA_GOC!$A:$A,"BOM",DATA_GOC!$D:$D,$H5251,DATA_GOC!$E:$E,$C5251,DATA_GOC!$F:$F,"Xuất nội bộ từ téc",DATA_GOC!$B:$B,"&gt;="&amp;$D5251,DATA_GOC!$B:$B,"&lt;="&amp;$E5251))</f>
        <v/>
      </c>
      <c r="J5251" s="59">
        <f t="shared" si="28"/>
        <v>0</v>
      </c>
      <c r="K5251" s="59">
        <f t="shared" si="29"/>
        <v>0</v>
      </c>
      <c r="L5251" s="59">
        <f t="shared" si="30"/>
        <v>0</v>
      </c>
      <c r="M5251" s="59">
        <f t="shared" si="31"/>
        <v>0</v>
      </c>
    </row>
    <row r="5252" ht="15.0" hidden="1" customHeight="1">
      <c r="A5252" s="59">
        <f t="shared" si="20"/>
        <v>84</v>
      </c>
      <c r="B5252" s="59" t="str">
        <f t="shared" si="21"/>
        <v/>
      </c>
      <c r="C5252" s="59" t="str">
        <f t="shared" si="22"/>
        <v/>
      </c>
      <c r="D5252" s="45" t="str">
        <f t="shared" si="23"/>
        <v/>
      </c>
      <c r="E5252" s="45" t="str">
        <f t="shared" si="24"/>
        <v/>
      </c>
      <c r="F5252" s="59" t="str">
        <f t="shared" si="25"/>
        <v/>
      </c>
      <c r="G5252" s="59" t="str">
        <f t="shared" si="26"/>
        <v/>
      </c>
      <c r="H5252" s="59" t="str">
        <f t="shared" si="27"/>
        <v>28H01364</v>
      </c>
      <c r="I5252" s="59" t="str">
        <f>IF(OR($A5252="",$C5252="",$D5252="",$E5252="",$H5252=""),"",SUMIFS(DATA_GOC!$H:$H,DATA_GOC!$A:$A,"BOM",DATA_GOC!$D:$D,$H5252,DATA_GOC!$E:$E,$C5252,DATA_GOC!$F:$F,"Xuất nội bộ từ téc",DATA_GOC!$B:$B,"&gt;="&amp;$D5252,DATA_GOC!$B:$B,"&lt;="&amp;$E5252))</f>
        <v/>
      </c>
      <c r="J5252" s="59">
        <f t="shared" si="28"/>
        <v>0</v>
      </c>
      <c r="K5252" s="59">
        <f t="shared" si="29"/>
        <v>0</v>
      </c>
      <c r="L5252" s="59">
        <f t="shared" si="30"/>
        <v>0</v>
      </c>
      <c r="M5252" s="59">
        <f t="shared" si="31"/>
        <v>0</v>
      </c>
    </row>
    <row r="5253" ht="15.0" hidden="1" customHeight="1">
      <c r="A5253" s="59">
        <f t="shared" si="20"/>
        <v>84</v>
      </c>
      <c r="B5253" s="59" t="str">
        <f t="shared" si="21"/>
        <v/>
      </c>
      <c r="C5253" s="59" t="str">
        <f t="shared" si="22"/>
        <v/>
      </c>
      <c r="D5253" s="45" t="str">
        <f t="shared" si="23"/>
        <v/>
      </c>
      <c r="E5253" s="45" t="str">
        <f t="shared" si="24"/>
        <v/>
      </c>
      <c r="F5253" s="59" t="str">
        <f t="shared" si="25"/>
        <v/>
      </c>
      <c r="G5253" s="59" t="str">
        <f t="shared" si="26"/>
        <v/>
      </c>
      <c r="H5253" s="59" t="str">
        <f t="shared" si="27"/>
        <v>29E17269</v>
      </c>
      <c r="I5253" s="59" t="str">
        <f>IF(OR($A5253="",$C5253="",$D5253="",$E5253="",$H5253=""),"",SUMIFS(DATA_GOC!$H:$H,DATA_GOC!$A:$A,"BOM",DATA_GOC!$D:$D,$H5253,DATA_GOC!$E:$E,$C5253,DATA_GOC!$F:$F,"Xuất nội bộ từ téc",DATA_GOC!$B:$B,"&gt;="&amp;$D5253,DATA_GOC!$B:$B,"&lt;="&amp;$E5253))</f>
        <v/>
      </c>
      <c r="J5253" s="59">
        <f t="shared" si="28"/>
        <v>0</v>
      </c>
      <c r="K5253" s="59">
        <f t="shared" si="29"/>
        <v>0</v>
      </c>
      <c r="L5253" s="59">
        <f t="shared" si="30"/>
        <v>0</v>
      </c>
      <c r="M5253" s="59">
        <f t="shared" si="31"/>
        <v>0</v>
      </c>
    </row>
    <row r="5254" ht="15.0" hidden="1" customHeight="1">
      <c r="A5254" s="59">
        <f t="shared" si="20"/>
        <v>84</v>
      </c>
      <c r="B5254" s="59" t="str">
        <f t="shared" si="21"/>
        <v/>
      </c>
      <c r="C5254" s="59" t="str">
        <f t="shared" si="22"/>
        <v/>
      </c>
      <c r="D5254" s="45" t="str">
        <f t="shared" si="23"/>
        <v/>
      </c>
      <c r="E5254" s="45" t="str">
        <f t="shared" si="24"/>
        <v/>
      </c>
      <c r="F5254" s="59" t="str">
        <f t="shared" si="25"/>
        <v/>
      </c>
      <c r="G5254" s="59" t="str">
        <f t="shared" si="26"/>
        <v/>
      </c>
      <c r="H5254" s="59" t="str">
        <f t="shared" si="27"/>
        <v>29E17273</v>
      </c>
      <c r="I5254" s="59" t="str">
        <f>IF(OR($A5254="",$C5254="",$D5254="",$E5254="",$H5254=""),"",SUMIFS(DATA_GOC!$H:$H,DATA_GOC!$A:$A,"BOM",DATA_GOC!$D:$D,$H5254,DATA_GOC!$E:$E,$C5254,DATA_GOC!$F:$F,"Xuất nội bộ từ téc",DATA_GOC!$B:$B,"&gt;="&amp;$D5254,DATA_GOC!$B:$B,"&lt;="&amp;$E5254))</f>
        <v/>
      </c>
      <c r="J5254" s="59">
        <f t="shared" si="28"/>
        <v>0</v>
      </c>
      <c r="K5254" s="59">
        <f t="shared" si="29"/>
        <v>0</v>
      </c>
      <c r="L5254" s="59">
        <f t="shared" si="30"/>
        <v>0</v>
      </c>
      <c r="M5254" s="59">
        <f t="shared" si="31"/>
        <v>0</v>
      </c>
    </row>
    <row r="5255" ht="15.0" hidden="1" customHeight="1">
      <c r="A5255" s="59">
        <f t="shared" si="20"/>
        <v>84</v>
      </c>
      <c r="B5255" s="59" t="str">
        <f t="shared" si="21"/>
        <v/>
      </c>
      <c r="C5255" s="59" t="str">
        <f t="shared" si="22"/>
        <v/>
      </c>
      <c r="D5255" s="45" t="str">
        <f t="shared" si="23"/>
        <v/>
      </c>
      <c r="E5255" s="45" t="str">
        <f t="shared" si="24"/>
        <v/>
      </c>
      <c r="F5255" s="59" t="str">
        <f t="shared" si="25"/>
        <v/>
      </c>
      <c r="G5255" s="59" t="str">
        <f t="shared" si="26"/>
        <v/>
      </c>
      <c r="H5255" s="59" t="str">
        <f t="shared" si="27"/>
        <v>29E17410</v>
      </c>
      <c r="I5255" s="59" t="str">
        <f>IF(OR($A5255="",$C5255="",$D5255="",$E5255="",$H5255=""),"",SUMIFS(DATA_GOC!$H:$H,DATA_GOC!$A:$A,"BOM",DATA_GOC!$D:$D,$H5255,DATA_GOC!$E:$E,$C5255,DATA_GOC!$F:$F,"Xuất nội bộ từ téc",DATA_GOC!$B:$B,"&gt;="&amp;$D5255,DATA_GOC!$B:$B,"&lt;="&amp;$E5255))</f>
        <v/>
      </c>
      <c r="J5255" s="59">
        <f t="shared" si="28"/>
        <v>0</v>
      </c>
      <c r="K5255" s="59">
        <f t="shared" si="29"/>
        <v>0</v>
      </c>
      <c r="L5255" s="59">
        <f t="shared" si="30"/>
        <v>0</v>
      </c>
      <c r="M5255" s="59">
        <f t="shared" si="31"/>
        <v>0</v>
      </c>
    </row>
    <row r="5256" ht="15.0" hidden="1" customHeight="1">
      <c r="A5256" s="59">
        <f t="shared" si="20"/>
        <v>84</v>
      </c>
      <c r="B5256" s="59" t="str">
        <f t="shared" si="21"/>
        <v/>
      </c>
      <c r="C5256" s="59" t="str">
        <f t="shared" si="22"/>
        <v/>
      </c>
      <c r="D5256" s="45" t="str">
        <f t="shared" si="23"/>
        <v/>
      </c>
      <c r="E5256" s="45" t="str">
        <f t="shared" si="24"/>
        <v/>
      </c>
      <c r="F5256" s="59" t="str">
        <f t="shared" si="25"/>
        <v/>
      </c>
      <c r="G5256" s="59" t="str">
        <f t="shared" si="26"/>
        <v/>
      </c>
      <c r="H5256" s="59" t="str">
        <f t="shared" si="27"/>
        <v>29E17417</v>
      </c>
      <c r="I5256" s="59" t="str">
        <f>IF(OR($A5256="",$C5256="",$D5256="",$E5256="",$H5256=""),"",SUMIFS(DATA_GOC!$H:$H,DATA_GOC!$A:$A,"BOM",DATA_GOC!$D:$D,$H5256,DATA_GOC!$E:$E,$C5256,DATA_GOC!$F:$F,"Xuất nội bộ từ téc",DATA_GOC!$B:$B,"&gt;="&amp;$D5256,DATA_GOC!$B:$B,"&lt;="&amp;$E5256))</f>
        <v/>
      </c>
      <c r="J5256" s="59">
        <f t="shared" si="28"/>
        <v>0</v>
      </c>
      <c r="K5256" s="59">
        <f t="shared" si="29"/>
        <v>0</v>
      </c>
      <c r="L5256" s="59">
        <f t="shared" si="30"/>
        <v>0</v>
      </c>
      <c r="M5256" s="59">
        <f t="shared" si="31"/>
        <v>0</v>
      </c>
    </row>
    <row r="5257" ht="15.0" hidden="1" customHeight="1">
      <c r="A5257" s="59">
        <f t="shared" si="20"/>
        <v>84</v>
      </c>
      <c r="B5257" s="59" t="str">
        <f t="shared" si="21"/>
        <v/>
      </c>
      <c r="C5257" s="59" t="str">
        <f t="shared" si="22"/>
        <v/>
      </c>
      <c r="D5257" s="45" t="str">
        <f t="shared" si="23"/>
        <v/>
      </c>
      <c r="E5257" s="45" t="str">
        <f t="shared" si="24"/>
        <v/>
      </c>
      <c r="F5257" s="59" t="str">
        <f t="shared" si="25"/>
        <v/>
      </c>
      <c r="G5257" s="59" t="str">
        <f t="shared" si="26"/>
        <v/>
      </c>
      <c r="H5257" s="59" t="str">
        <f t="shared" si="27"/>
        <v>29E17539</v>
      </c>
      <c r="I5257" s="59" t="str">
        <f>IF(OR($A5257="",$C5257="",$D5257="",$E5257="",$H5257=""),"",SUMIFS(DATA_GOC!$H:$H,DATA_GOC!$A:$A,"BOM",DATA_GOC!$D:$D,$H5257,DATA_GOC!$E:$E,$C5257,DATA_GOC!$F:$F,"Xuất nội bộ từ téc",DATA_GOC!$B:$B,"&gt;="&amp;$D5257,DATA_GOC!$B:$B,"&lt;="&amp;$E5257))</f>
        <v/>
      </c>
      <c r="J5257" s="59">
        <f t="shared" si="28"/>
        <v>0</v>
      </c>
      <c r="K5257" s="59">
        <f t="shared" si="29"/>
        <v>0</v>
      </c>
      <c r="L5257" s="59">
        <f t="shared" si="30"/>
        <v>0</v>
      </c>
      <c r="M5257" s="59">
        <f t="shared" si="31"/>
        <v>0</v>
      </c>
    </row>
    <row r="5258" ht="15.0" hidden="1" customHeight="1">
      <c r="A5258" s="59">
        <f t="shared" si="20"/>
        <v>84</v>
      </c>
      <c r="B5258" s="59" t="str">
        <f t="shared" si="21"/>
        <v/>
      </c>
      <c r="C5258" s="59" t="str">
        <f t="shared" si="22"/>
        <v/>
      </c>
      <c r="D5258" s="45" t="str">
        <f t="shared" si="23"/>
        <v/>
      </c>
      <c r="E5258" s="45" t="str">
        <f t="shared" si="24"/>
        <v/>
      </c>
      <c r="F5258" s="59" t="str">
        <f t="shared" si="25"/>
        <v/>
      </c>
      <c r="G5258" s="59" t="str">
        <f t="shared" si="26"/>
        <v/>
      </c>
      <c r="H5258" s="59" t="str">
        <f t="shared" si="27"/>
        <v>29E18160</v>
      </c>
      <c r="I5258" s="59" t="str">
        <f>IF(OR($A5258="",$C5258="",$D5258="",$E5258="",$H5258=""),"",SUMIFS(DATA_GOC!$H:$H,DATA_GOC!$A:$A,"BOM",DATA_GOC!$D:$D,$H5258,DATA_GOC!$E:$E,$C5258,DATA_GOC!$F:$F,"Xuất nội bộ từ téc",DATA_GOC!$B:$B,"&gt;="&amp;$D5258,DATA_GOC!$B:$B,"&lt;="&amp;$E5258))</f>
        <v/>
      </c>
      <c r="J5258" s="59">
        <f t="shared" si="28"/>
        <v>0</v>
      </c>
      <c r="K5258" s="59">
        <f t="shared" si="29"/>
        <v>0</v>
      </c>
      <c r="L5258" s="59">
        <f t="shared" si="30"/>
        <v>0</v>
      </c>
      <c r="M5258" s="59">
        <f t="shared" si="31"/>
        <v>0</v>
      </c>
    </row>
    <row r="5259" ht="15.0" hidden="1" customHeight="1">
      <c r="A5259" s="59">
        <f t="shared" si="20"/>
        <v>84</v>
      </c>
      <c r="B5259" s="59" t="str">
        <f t="shared" si="21"/>
        <v/>
      </c>
      <c r="C5259" s="59" t="str">
        <f t="shared" si="22"/>
        <v/>
      </c>
      <c r="D5259" s="45" t="str">
        <f t="shared" si="23"/>
        <v/>
      </c>
      <c r="E5259" s="45" t="str">
        <f t="shared" si="24"/>
        <v/>
      </c>
      <c r="F5259" s="59" t="str">
        <f t="shared" si="25"/>
        <v/>
      </c>
      <c r="G5259" s="59" t="str">
        <f t="shared" si="26"/>
        <v/>
      </c>
      <c r="H5259" s="59" t="str">
        <f t="shared" si="27"/>
        <v>Công trình Asphalt</v>
      </c>
      <c r="I5259" s="59" t="str">
        <f>IF(OR($A5259="",$C5259="",$D5259="",$E5259="",$H5259=""),"",SUMIFS(DATA_GOC!$H:$H,DATA_GOC!$A:$A,"BOM",DATA_GOC!$D:$D,$H5259,DATA_GOC!$E:$E,$C5259,DATA_GOC!$F:$F,"Xuất nội bộ từ téc",DATA_GOC!$B:$B,"&gt;="&amp;$D5259,DATA_GOC!$B:$B,"&lt;="&amp;$E5259))</f>
        <v/>
      </c>
      <c r="J5259" s="59">
        <f t="shared" si="28"/>
        <v>0</v>
      </c>
      <c r="K5259" s="59">
        <f t="shared" si="29"/>
        <v>0</v>
      </c>
      <c r="L5259" s="59">
        <f t="shared" si="30"/>
        <v>0</v>
      </c>
      <c r="M5259" s="59">
        <f t="shared" si="31"/>
        <v>0</v>
      </c>
    </row>
    <row r="5260" ht="15.0" hidden="1" customHeight="1">
      <c r="A5260" s="59">
        <f t="shared" si="20"/>
        <v>84</v>
      </c>
      <c r="B5260" s="59" t="str">
        <f t="shared" si="21"/>
        <v/>
      </c>
      <c r="C5260" s="59" t="str">
        <f t="shared" si="22"/>
        <v/>
      </c>
      <c r="D5260" s="45" t="str">
        <f t="shared" si="23"/>
        <v/>
      </c>
      <c r="E5260" s="45" t="str">
        <f t="shared" si="24"/>
        <v/>
      </c>
      <c r="F5260" s="59" t="str">
        <f t="shared" si="25"/>
        <v/>
      </c>
      <c r="G5260" s="59" t="str">
        <f t="shared" si="26"/>
        <v/>
      </c>
      <c r="H5260" s="59" t="str">
        <f t="shared" si="27"/>
        <v>LG53F</v>
      </c>
      <c r="I5260" s="59" t="str">
        <f>IF(OR($A5260="",$C5260="",$D5260="",$E5260="",$H5260=""),"",SUMIFS(DATA_GOC!$H:$H,DATA_GOC!$A:$A,"BOM",DATA_GOC!$D:$D,$H5260,DATA_GOC!$E:$E,$C5260,DATA_GOC!$F:$F,"Xuất nội bộ từ téc",DATA_GOC!$B:$B,"&gt;="&amp;$D5260,DATA_GOC!$B:$B,"&lt;="&amp;$E5260))</f>
        <v/>
      </c>
      <c r="J5260" s="59">
        <f t="shared" si="28"/>
        <v>0</v>
      </c>
      <c r="K5260" s="59">
        <f t="shared" si="29"/>
        <v>0</v>
      </c>
      <c r="L5260" s="59">
        <f t="shared" si="30"/>
        <v>0</v>
      </c>
      <c r="M5260" s="59">
        <f t="shared" si="31"/>
        <v>0</v>
      </c>
    </row>
    <row r="5261" ht="15.0" hidden="1" customHeight="1">
      <c r="A5261" s="59">
        <f t="shared" si="20"/>
        <v>84</v>
      </c>
      <c r="B5261" s="59" t="str">
        <f t="shared" si="21"/>
        <v/>
      </c>
      <c r="C5261" s="59" t="str">
        <f t="shared" si="22"/>
        <v/>
      </c>
      <c r="D5261" s="45" t="str">
        <f t="shared" si="23"/>
        <v/>
      </c>
      <c r="E5261" s="45" t="str">
        <f t="shared" si="24"/>
        <v/>
      </c>
      <c r="F5261" s="59" t="str">
        <f t="shared" si="25"/>
        <v/>
      </c>
      <c r="G5261" s="59" t="str">
        <f t="shared" si="26"/>
        <v/>
      </c>
      <c r="H5261" s="59" t="str">
        <f t="shared" si="27"/>
        <v>Máy phát điện</v>
      </c>
      <c r="I5261" s="59" t="str">
        <f>IF(OR($A5261="",$C5261="",$D5261="",$E5261="",$H5261=""),"",SUMIFS(DATA_GOC!$H:$H,DATA_GOC!$A:$A,"BOM",DATA_GOC!$D:$D,$H5261,DATA_GOC!$E:$E,$C5261,DATA_GOC!$F:$F,"Xuất nội bộ từ téc",DATA_GOC!$B:$B,"&gt;="&amp;$D5261,DATA_GOC!$B:$B,"&lt;="&amp;$E5261))</f>
        <v/>
      </c>
      <c r="J5261" s="59">
        <f t="shared" si="28"/>
        <v>0</v>
      </c>
      <c r="K5261" s="59">
        <f t="shared" si="29"/>
        <v>0</v>
      </c>
      <c r="L5261" s="59">
        <f t="shared" si="30"/>
        <v>0</v>
      </c>
      <c r="M5261" s="59">
        <f t="shared" si="31"/>
        <v>0</v>
      </c>
    </row>
    <row r="5262" ht="15.0" hidden="1" customHeight="1">
      <c r="A5262" s="59">
        <f t="shared" si="20"/>
        <v>84</v>
      </c>
      <c r="B5262" s="59" t="str">
        <f t="shared" si="21"/>
        <v/>
      </c>
      <c r="C5262" s="59" t="str">
        <f t="shared" si="22"/>
        <v/>
      </c>
      <c r="D5262" s="45" t="str">
        <f t="shared" si="23"/>
        <v/>
      </c>
      <c r="E5262" s="45" t="str">
        <f t="shared" si="24"/>
        <v/>
      </c>
      <c r="F5262" s="59" t="str">
        <f t="shared" si="25"/>
        <v/>
      </c>
      <c r="G5262" s="59" t="str">
        <f t="shared" si="26"/>
        <v/>
      </c>
      <c r="H5262" s="59" t="str">
        <f t="shared" si="27"/>
        <v>Máy rải thảm</v>
      </c>
      <c r="I5262" s="59" t="str">
        <f>IF(OR($A5262="",$C5262="",$D5262="",$E5262="",$H5262=""),"",SUMIFS(DATA_GOC!$H:$H,DATA_GOC!$A:$A,"BOM",DATA_GOC!$D:$D,$H5262,DATA_GOC!$E:$E,$C5262,DATA_GOC!$F:$F,"Xuất nội bộ từ téc",DATA_GOC!$B:$B,"&gt;="&amp;$D5262,DATA_GOC!$B:$B,"&lt;="&amp;$E5262))</f>
        <v/>
      </c>
      <c r="J5262" s="59">
        <f t="shared" si="28"/>
        <v>0</v>
      </c>
      <c r="K5262" s="59">
        <f t="shared" si="29"/>
        <v>0</v>
      </c>
      <c r="L5262" s="59">
        <f t="shared" si="30"/>
        <v>0</v>
      </c>
      <c r="M5262" s="59">
        <f t="shared" si="31"/>
        <v>0</v>
      </c>
    </row>
    <row r="5263" ht="15.0" hidden="1" customHeight="1">
      <c r="A5263" s="59">
        <f t="shared" si="20"/>
        <v>84</v>
      </c>
      <c r="B5263" s="59" t="str">
        <f t="shared" si="21"/>
        <v/>
      </c>
      <c r="C5263" s="59" t="str">
        <f t="shared" si="22"/>
        <v/>
      </c>
      <c r="D5263" s="45" t="str">
        <f t="shared" si="23"/>
        <v/>
      </c>
      <c r="E5263" s="45" t="str">
        <f t="shared" si="24"/>
        <v/>
      </c>
      <c r="F5263" s="59" t="str">
        <f t="shared" si="25"/>
        <v/>
      </c>
      <c r="G5263" s="59" t="str">
        <f t="shared" si="26"/>
        <v/>
      </c>
      <c r="H5263" s="59" t="str">
        <f t="shared" si="27"/>
        <v>Xúc Đào</v>
      </c>
      <c r="I5263" s="59" t="str">
        <f>IF(OR($A5263="",$C5263="",$D5263="",$E5263="",$H5263=""),"",SUMIFS(DATA_GOC!$H:$H,DATA_GOC!$A:$A,"BOM",DATA_GOC!$D:$D,$H5263,DATA_GOC!$E:$E,$C5263,DATA_GOC!$F:$F,"Xuất nội bộ từ téc",DATA_GOC!$B:$B,"&gt;="&amp;$D5263,DATA_GOC!$B:$B,"&lt;="&amp;$E5263))</f>
        <v/>
      </c>
      <c r="J5263" s="59">
        <f t="shared" si="28"/>
        <v>0</v>
      </c>
      <c r="K5263" s="59">
        <f t="shared" si="29"/>
        <v>0</v>
      </c>
      <c r="L5263" s="59">
        <f t="shared" si="30"/>
        <v>0</v>
      </c>
      <c r="M5263" s="59">
        <f t="shared" si="31"/>
        <v>0</v>
      </c>
    </row>
    <row r="5264" ht="15.0" hidden="1" customHeight="1">
      <c r="A5264" s="59">
        <f t="shared" si="20"/>
        <v>84</v>
      </c>
      <c r="B5264" s="59" t="str">
        <f t="shared" si="21"/>
        <v/>
      </c>
      <c r="C5264" s="59" t="str">
        <f t="shared" si="22"/>
        <v/>
      </c>
      <c r="D5264" s="45" t="str">
        <f t="shared" si="23"/>
        <v/>
      </c>
      <c r="E5264" s="45" t="str">
        <f t="shared" si="24"/>
        <v/>
      </c>
      <c r="F5264" s="59" t="str">
        <f t="shared" si="25"/>
        <v/>
      </c>
      <c r="G5264" s="59" t="str">
        <f t="shared" si="26"/>
        <v/>
      </c>
      <c r="H5264" s="59" t="str">
        <f t="shared" si="27"/>
        <v>Xúclật asphalt</v>
      </c>
      <c r="I5264" s="59" t="str">
        <f>IF(OR($A5264="",$C5264="",$D5264="",$E5264="",$H5264=""),"",SUMIFS(DATA_GOC!$H:$H,DATA_GOC!$A:$A,"BOM",DATA_GOC!$D:$D,$H5264,DATA_GOC!$E:$E,$C5264,DATA_GOC!$F:$F,"Xuất nội bộ từ téc",DATA_GOC!$B:$B,"&gt;="&amp;$D5264,DATA_GOC!$B:$B,"&lt;="&amp;$E5264))</f>
        <v/>
      </c>
      <c r="J5264" s="59">
        <f t="shared" si="28"/>
        <v>0</v>
      </c>
      <c r="K5264" s="59">
        <f t="shared" si="29"/>
        <v>0</v>
      </c>
      <c r="L5264" s="59">
        <f t="shared" si="30"/>
        <v>0</v>
      </c>
      <c r="M5264" s="59">
        <f t="shared" si="31"/>
        <v>0</v>
      </c>
    </row>
    <row r="5265" ht="15.0" hidden="1" customHeight="1">
      <c r="A5265" s="59">
        <f t="shared" si="20"/>
        <v>84</v>
      </c>
      <c r="B5265" s="59" t="str">
        <f t="shared" si="21"/>
        <v/>
      </c>
      <c r="C5265" s="59" t="str">
        <f t="shared" si="22"/>
        <v/>
      </c>
      <c r="D5265" s="45" t="str">
        <f t="shared" si="23"/>
        <v/>
      </c>
      <c r="E5265" s="45" t="str">
        <f t="shared" si="24"/>
        <v/>
      </c>
      <c r="F5265" s="59" t="str">
        <f t="shared" si="25"/>
        <v/>
      </c>
      <c r="G5265" s="59" t="str">
        <f t="shared" si="26"/>
        <v/>
      </c>
      <c r="H5265" s="59" t="str">
        <f t="shared" si="27"/>
        <v>Xúclật855H</v>
      </c>
      <c r="I5265" s="59" t="str">
        <f>IF(OR($A5265="",$C5265="",$D5265="",$E5265="",$H5265=""),"",SUMIFS(DATA_GOC!$H:$H,DATA_GOC!$A:$A,"BOM",DATA_GOC!$D:$D,$H5265,DATA_GOC!$E:$E,$C5265,DATA_GOC!$F:$F,"Xuất nội bộ từ téc",DATA_GOC!$B:$B,"&gt;="&amp;$D5265,DATA_GOC!$B:$B,"&lt;="&amp;$E5265))</f>
        <v/>
      </c>
      <c r="J5265" s="59">
        <f t="shared" si="28"/>
        <v>0</v>
      </c>
      <c r="K5265" s="59">
        <f t="shared" si="29"/>
        <v>0</v>
      </c>
      <c r="L5265" s="59">
        <f t="shared" si="30"/>
        <v>0</v>
      </c>
      <c r="M5265" s="59">
        <f t="shared" si="31"/>
        <v>0</v>
      </c>
    </row>
    <row r="5266" ht="15.0" hidden="1" customHeight="1">
      <c r="A5266" s="59">
        <f t="shared" si="20"/>
        <v>84</v>
      </c>
      <c r="B5266" s="59" t="str">
        <f t="shared" si="21"/>
        <v/>
      </c>
      <c r="C5266" s="59" t="str">
        <f t="shared" si="22"/>
        <v/>
      </c>
      <c r="D5266" s="45" t="str">
        <f t="shared" si="23"/>
        <v/>
      </c>
      <c r="E5266" s="45" t="str">
        <f t="shared" si="24"/>
        <v/>
      </c>
      <c r="F5266" s="59" t="str">
        <f t="shared" si="25"/>
        <v/>
      </c>
      <c r="G5266" s="59" t="str">
        <f t="shared" si="26"/>
        <v/>
      </c>
      <c r="H5266" s="59" t="str">
        <f t="shared" si="27"/>
        <v>Xúclật855N</v>
      </c>
      <c r="I5266" s="59" t="str">
        <f>IF(OR($A5266="",$C5266="",$D5266="",$E5266="",$H5266=""),"",SUMIFS(DATA_GOC!$H:$H,DATA_GOC!$A:$A,"BOM",DATA_GOC!$D:$D,$H5266,DATA_GOC!$E:$E,$C5266,DATA_GOC!$F:$F,"Xuất nội bộ từ téc",DATA_GOC!$B:$B,"&gt;="&amp;$D5266,DATA_GOC!$B:$B,"&lt;="&amp;$E5266))</f>
        <v/>
      </c>
      <c r="J5266" s="59">
        <f t="shared" si="28"/>
        <v>0</v>
      </c>
      <c r="K5266" s="59">
        <f t="shared" si="29"/>
        <v>0</v>
      </c>
      <c r="L5266" s="59">
        <f t="shared" si="30"/>
        <v>0</v>
      </c>
      <c r="M5266" s="59">
        <f t="shared" si="31"/>
        <v>0</v>
      </c>
    </row>
    <row r="5267" ht="15.0" hidden="1" customHeight="1">
      <c r="A5267" s="59">
        <f t="shared" si="20"/>
        <v>84</v>
      </c>
      <c r="B5267" s="59" t="str">
        <f t="shared" si="21"/>
        <v/>
      </c>
      <c r="C5267" s="59" t="str">
        <f t="shared" si="22"/>
        <v/>
      </c>
      <c r="D5267" s="45" t="str">
        <f t="shared" si="23"/>
        <v/>
      </c>
      <c r="E5267" s="45" t="str">
        <f t="shared" si="24"/>
        <v/>
      </c>
      <c r="F5267" s="59" t="str">
        <f t="shared" si="25"/>
        <v/>
      </c>
      <c r="G5267" s="59" t="str">
        <f t="shared" si="26"/>
        <v/>
      </c>
      <c r="H5267" s="59" t="str">
        <f t="shared" si="27"/>
        <v>Cát nghiền</v>
      </c>
      <c r="I5267" s="59" t="str">
        <f>IF(OR($A5267="",$C5267="",$D5267="",$E5267="",$H5267=""),"",SUMIFS(DATA_GOC!$H:$H,DATA_GOC!$A:$A,"BOM",DATA_GOC!$D:$D,$H5267,DATA_GOC!$E:$E,$C5267,DATA_GOC!$F:$F,"Xuất nội bộ từ téc",DATA_GOC!$B:$B,"&gt;="&amp;$D5267,DATA_GOC!$B:$B,"&lt;="&amp;$E5267))</f>
        <v/>
      </c>
      <c r="J5267" s="59">
        <f t="shared" si="28"/>
        <v>0</v>
      </c>
      <c r="K5267" s="59">
        <f t="shared" si="29"/>
        <v>0</v>
      </c>
      <c r="L5267" s="59">
        <f t="shared" si="30"/>
        <v>0</v>
      </c>
      <c r="M5267" s="59">
        <f t="shared" si="31"/>
        <v>0</v>
      </c>
    </row>
    <row r="5268" ht="15.0" hidden="1" customHeight="1">
      <c r="A5268" s="59">
        <f t="shared" si="20"/>
        <v>84</v>
      </c>
      <c r="B5268" s="59" t="str">
        <f t="shared" si="21"/>
        <v/>
      </c>
      <c r="C5268" s="59" t="str">
        <f t="shared" si="22"/>
        <v/>
      </c>
      <c r="D5268" s="45" t="str">
        <f t="shared" si="23"/>
        <v/>
      </c>
      <c r="E5268" s="45" t="str">
        <f t="shared" si="24"/>
        <v/>
      </c>
      <c r="F5268" s="59" t="str">
        <f t="shared" si="25"/>
        <v/>
      </c>
      <c r="G5268" s="59" t="str">
        <f t="shared" si="26"/>
        <v/>
      </c>
      <c r="H5268" s="59" t="str">
        <f t="shared" si="27"/>
        <v>28C02973</v>
      </c>
      <c r="I5268" s="59" t="str">
        <f>IF(OR($A5268="",$C5268="",$D5268="",$E5268="",$H5268=""),"",SUMIFS(DATA_GOC!$H:$H,DATA_GOC!$A:$A,"BOM",DATA_GOC!$D:$D,$H5268,DATA_GOC!$E:$E,$C5268,DATA_GOC!$F:$F,"Xuất nội bộ từ téc",DATA_GOC!$B:$B,"&gt;="&amp;$D5268,DATA_GOC!$B:$B,"&lt;="&amp;$E5268))</f>
        <v/>
      </c>
      <c r="J5268" s="59">
        <f t="shared" si="28"/>
        <v>0</v>
      </c>
      <c r="K5268" s="59">
        <f t="shared" si="29"/>
        <v>0</v>
      </c>
      <c r="L5268" s="59">
        <f t="shared" si="30"/>
        <v>0</v>
      </c>
      <c r="M5268" s="59">
        <f t="shared" si="31"/>
        <v>0</v>
      </c>
    </row>
    <row r="5269" ht="15.0" hidden="1" customHeight="1">
      <c r="A5269" s="59">
        <f t="shared" si="20"/>
        <v>84</v>
      </c>
      <c r="B5269" s="59" t="str">
        <f t="shared" si="21"/>
        <v/>
      </c>
      <c r="C5269" s="59" t="str">
        <f t="shared" si="22"/>
        <v/>
      </c>
      <c r="D5269" s="45" t="str">
        <f t="shared" si="23"/>
        <v/>
      </c>
      <c r="E5269" s="45" t="str">
        <f t="shared" si="24"/>
        <v/>
      </c>
      <c r="F5269" s="59" t="str">
        <f t="shared" si="25"/>
        <v/>
      </c>
      <c r="G5269" s="59" t="str">
        <f t="shared" si="26"/>
        <v/>
      </c>
      <c r="H5269" s="59" t="str">
        <f t="shared" si="27"/>
        <v>28C03044</v>
      </c>
      <c r="I5269" s="59" t="str">
        <f>IF(OR($A5269="",$C5269="",$D5269="",$E5269="",$H5269=""),"",SUMIFS(DATA_GOC!$H:$H,DATA_GOC!$A:$A,"BOM",DATA_GOC!$D:$D,$H5269,DATA_GOC!$E:$E,$C5269,DATA_GOC!$F:$F,"Xuất nội bộ từ téc",DATA_GOC!$B:$B,"&gt;="&amp;$D5269,DATA_GOC!$B:$B,"&lt;="&amp;$E5269))</f>
        <v/>
      </c>
      <c r="J5269" s="59">
        <f t="shared" si="28"/>
        <v>0</v>
      </c>
      <c r="K5269" s="59">
        <f t="shared" si="29"/>
        <v>0</v>
      </c>
      <c r="L5269" s="59">
        <f t="shared" si="30"/>
        <v>0</v>
      </c>
      <c r="M5269" s="59">
        <f t="shared" si="31"/>
        <v>0</v>
      </c>
    </row>
    <row r="5270" ht="15.0" hidden="1" customHeight="1">
      <c r="A5270" s="59">
        <f t="shared" si="20"/>
        <v>84</v>
      </c>
      <c r="B5270" s="59" t="str">
        <f t="shared" si="21"/>
        <v/>
      </c>
      <c r="C5270" s="59" t="str">
        <f t="shared" si="22"/>
        <v/>
      </c>
      <c r="D5270" s="45" t="str">
        <f t="shared" si="23"/>
        <v/>
      </c>
      <c r="E5270" s="45" t="str">
        <f t="shared" si="24"/>
        <v/>
      </c>
      <c r="F5270" s="59" t="str">
        <f t="shared" si="25"/>
        <v/>
      </c>
      <c r="G5270" s="59" t="str">
        <f t="shared" si="26"/>
        <v/>
      </c>
      <c r="H5270" s="59" t="str">
        <f t="shared" si="27"/>
        <v>Máy lu lốp</v>
      </c>
      <c r="I5270" s="59" t="str">
        <f>IF(OR($A5270="",$C5270="",$D5270="",$E5270="",$H5270=""),"",SUMIFS(DATA_GOC!$H:$H,DATA_GOC!$A:$A,"BOM",DATA_GOC!$D:$D,$H5270,DATA_GOC!$E:$E,$C5270,DATA_GOC!$F:$F,"Xuất nội bộ từ téc",DATA_GOC!$B:$B,"&gt;="&amp;$D5270,DATA_GOC!$B:$B,"&lt;="&amp;$E5270))</f>
        <v/>
      </c>
      <c r="J5270" s="59">
        <f t="shared" si="28"/>
        <v>0</v>
      </c>
      <c r="K5270" s="59">
        <f t="shared" si="29"/>
        <v>0</v>
      </c>
      <c r="L5270" s="59">
        <f t="shared" si="30"/>
        <v>0</v>
      </c>
      <c r="M5270" s="59">
        <f t="shared" si="31"/>
        <v>0</v>
      </c>
    </row>
    <row r="5271" ht="15.0" hidden="1" customHeight="1">
      <c r="A5271" s="59">
        <f t="shared" si="20"/>
        <v>84</v>
      </c>
      <c r="B5271" s="59" t="str">
        <f t="shared" si="21"/>
        <v/>
      </c>
      <c r="C5271" s="59" t="str">
        <f t="shared" si="22"/>
        <v/>
      </c>
      <c r="D5271" s="45" t="str">
        <f t="shared" si="23"/>
        <v/>
      </c>
      <c r="E5271" s="45" t="str">
        <f t="shared" si="24"/>
        <v/>
      </c>
      <c r="F5271" s="59" t="str">
        <f t="shared" si="25"/>
        <v/>
      </c>
      <c r="G5271" s="59" t="str">
        <f t="shared" si="26"/>
        <v/>
      </c>
      <c r="H5271" s="59" t="str">
        <f t="shared" si="27"/>
        <v>Xe 600148</v>
      </c>
      <c r="I5271" s="59" t="str">
        <f>IF(OR($A5271="",$C5271="",$D5271="",$E5271="",$H5271=""),"",SUMIFS(DATA_GOC!$H:$H,DATA_GOC!$A:$A,"BOM",DATA_GOC!$D:$D,$H5271,DATA_GOC!$E:$E,$C5271,DATA_GOC!$F:$F,"Xuất nội bộ từ téc",DATA_GOC!$B:$B,"&gt;="&amp;$D5271,DATA_GOC!$B:$B,"&lt;="&amp;$E5271))</f>
        <v/>
      </c>
      <c r="J5271" s="59">
        <f t="shared" si="28"/>
        <v>0</v>
      </c>
      <c r="K5271" s="59">
        <f t="shared" si="29"/>
        <v>0</v>
      </c>
      <c r="L5271" s="59">
        <f t="shared" si="30"/>
        <v>0</v>
      </c>
      <c r="M5271" s="59">
        <f t="shared" si="31"/>
        <v>0</v>
      </c>
    </row>
    <row r="5272" ht="15.0" hidden="1" customHeight="1">
      <c r="A5272" s="59">
        <f t="shared" si="20"/>
        <v>84</v>
      </c>
      <c r="B5272" s="59" t="str">
        <f t="shared" si="21"/>
        <v/>
      </c>
      <c r="C5272" s="59" t="str">
        <f t="shared" si="22"/>
        <v/>
      </c>
      <c r="D5272" s="45" t="str">
        <f t="shared" si="23"/>
        <v/>
      </c>
      <c r="E5272" s="45" t="str">
        <f t="shared" si="24"/>
        <v/>
      </c>
      <c r="F5272" s="59" t="str">
        <f t="shared" si="25"/>
        <v/>
      </c>
      <c r="G5272" s="59" t="str">
        <f t="shared" si="26"/>
        <v/>
      </c>
      <c r="H5272" s="59" t="str">
        <f t="shared" si="27"/>
        <v>Xe ben mới</v>
      </c>
      <c r="I5272" s="59" t="str">
        <f>IF(OR($A5272="",$C5272="",$D5272="",$E5272="",$H5272=""),"",SUMIFS(DATA_GOC!$H:$H,DATA_GOC!$A:$A,"BOM",DATA_GOC!$D:$D,$H5272,DATA_GOC!$E:$E,$C5272,DATA_GOC!$F:$F,"Xuất nội bộ từ téc",DATA_GOC!$B:$B,"&gt;="&amp;$D5272,DATA_GOC!$B:$B,"&lt;="&amp;$E5272))</f>
        <v/>
      </c>
      <c r="J5272" s="59">
        <f t="shared" si="28"/>
        <v>0</v>
      </c>
      <c r="K5272" s="59">
        <f t="shared" si="29"/>
        <v>0</v>
      </c>
      <c r="L5272" s="59">
        <f t="shared" si="30"/>
        <v>0</v>
      </c>
      <c r="M5272" s="59">
        <f t="shared" si="31"/>
        <v>0</v>
      </c>
    </row>
    <row r="5273" ht="15.0" hidden="1" customHeight="1">
      <c r="A5273" s="59">
        <f t="shared" si="20"/>
        <v>85</v>
      </c>
      <c r="B5273" s="59" t="str">
        <f t="shared" si="21"/>
        <v/>
      </c>
      <c r="C5273" s="59" t="str">
        <f t="shared" si="22"/>
        <v/>
      </c>
      <c r="D5273" s="45" t="str">
        <f t="shared" si="23"/>
        <v/>
      </c>
      <c r="E5273" s="45" t="str">
        <f t="shared" si="24"/>
        <v/>
      </c>
      <c r="F5273" s="59" t="str">
        <f t="shared" si="25"/>
        <v/>
      </c>
      <c r="G5273" s="59" t="str">
        <f t="shared" si="26"/>
        <v/>
      </c>
      <c r="H5273" s="59" t="str">
        <f t="shared" si="27"/>
        <v>19H09482</v>
      </c>
      <c r="I5273" s="59" t="str">
        <f>IF(OR($A5273="",$C5273="",$D5273="",$E5273="",$H5273=""),"",SUMIFS(DATA_GOC!$H:$H,DATA_GOC!$A:$A,"BOM",DATA_GOC!$D:$D,$H5273,DATA_GOC!$E:$E,$C5273,DATA_GOC!$F:$F,"Xuất nội bộ từ téc",DATA_GOC!$B:$B,"&gt;="&amp;$D5273,DATA_GOC!$B:$B,"&lt;="&amp;$E5273))</f>
        <v/>
      </c>
      <c r="J5273" s="59">
        <f t="shared" si="28"/>
        <v>0</v>
      </c>
      <c r="K5273" s="59">
        <f t="shared" si="29"/>
        <v>0</v>
      </c>
      <c r="L5273" s="59">
        <f t="shared" si="30"/>
        <v>0</v>
      </c>
      <c r="M5273" s="59">
        <f t="shared" si="31"/>
        <v>0</v>
      </c>
    </row>
    <row r="5274" ht="15.0" hidden="1" customHeight="1">
      <c r="A5274" s="59">
        <f t="shared" si="20"/>
        <v>85</v>
      </c>
      <c r="B5274" s="59" t="str">
        <f t="shared" si="21"/>
        <v/>
      </c>
      <c r="C5274" s="59" t="str">
        <f t="shared" si="22"/>
        <v/>
      </c>
      <c r="D5274" s="45" t="str">
        <f t="shared" si="23"/>
        <v/>
      </c>
      <c r="E5274" s="45" t="str">
        <f t="shared" si="24"/>
        <v/>
      </c>
      <c r="F5274" s="59" t="str">
        <f t="shared" si="25"/>
        <v/>
      </c>
      <c r="G5274" s="59" t="str">
        <f t="shared" si="26"/>
        <v/>
      </c>
      <c r="H5274" s="59" t="str">
        <f t="shared" si="27"/>
        <v>28A30696</v>
      </c>
      <c r="I5274" s="59" t="str">
        <f>IF(OR($A5274="",$C5274="",$D5274="",$E5274="",$H5274=""),"",SUMIFS(DATA_GOC!$H:$H,DATA_GOC!$A:$A,"BOM",DATA_GOC!$D:$D,$H5274,DATA_GOC!$E:$E,$C5274,DATA_GOC!$F:$F,"Xuất nội bộ từ téc",DATA_GOC!$B:$B,"&gt;="&amp;$D5274,DATA_GOC!$B:$B,"&lt;="&amp;$E5274))</f>
        <v/>
      </c>
      <c r="J5274" s="59">
        <f t="shared" si="28"/>
        <v>0</v>
      </c>
      <c r="K5274" s="59">
        <f t="shared" si="29"/>
        <v>0</v>
      </c>
      <c r="L5274" s="59">
        <f t="shared" si="30"/>
        <v>0</v>
      </c>
      <c r="M5274" s="59">
        <f t="shared" si="31"/>
        <v>0</v>
      </c>
    </row>
    <row r="5275" ht="15.0" hidden="1" customHeight="1">
      <c r="A5275" s="59">
        <f t="shared" si="20"/>
        <v>85</v>
      </c>
      <c r="B5275" s="59" t="str">
        <f t="shared" si="21"/>
        <v/>
      </c>
      <c r="C5275" s="59" t="str">
        <f t="shared" si="22"/>
        <v/>
      </c>
      <c r="D5275" s="45" t="str">
        <f t="shared" si="23"/>
        <v/>
      </c>
      <c r="E5275" s="45" t="str">
        <f t="shared" si="24"/>
        <v/>
      </c>
      <c r="F5275" s="59" t="str">
        <f t="shared" si="25"/>
        <v/>
      </c>
      <c r="G5275" s="59" t="str">
        <f t="shared" si="26"/>
        <v/>
      </c>
      <c r="H5275" s="59" t="str">
        <f t="shared" si="27"/>
        <v>28C00462</v>
      </c>
      <c r="I5275" s="59" t="str">
        <f>IF(OR($A5275="",$C5275="",$D5275="",$E5275="",$H5275=""),"",SUMIFS(DATA_GOC!$H:$H,DATA_GOC!$A:$A,"BOM",DATA_GOC!$D:$D,$H5275,DATA_GOC!$E:$E,$C5275,DATA_GOC!$F:$F,"Xuất nội bộ từ téc",DATA_GOC!$B:$B,"&gt;="&amp;$D5275,DATA_GOC!$B:$B,"&lt;="&amp;$E5275))</f>
        <v/>
      </c>
      <c r="J5275" s="59">
        <f t="shared" si="28"/>
        <v>0</v>
      </c>
      <c r="K5275" s="59">
        <f t="shared" si="29"/>
        <v>0</v>
      </c>
      <c r="L5275" s="59">
        <f t="shared" si="30"/>
        <v>0</v>
      </c>
      <c r="M5275" s="59">
        <f t="shared" si="31"/>
        <v>0</v>
      </c>
    </row>
    <row r="5276" ht="15.0" hidden="1" customHeight="1">
      <c r="A5276" s="59">
        <f t="shared" si="20"/>
        <v>85</v>
      </c>
      <c r="B5276" s="59" t="str">
        <f t="shared" si="21"/>
        <v/>
      </c>
      <c r="C5276" s="59" t="str">
        <f t="shared" si="22"/>
        <v/>
      </c>
      <c r="D5276" s="45" t="str">
        <f t="shared" si="23"/>
        <v/>
      </c>
      <c r="E5276" s="45" t="str">
        <f t="shared" si="24"/>
        <v/>
      </c>
      <c r="F5276" s="59" t="str">
        <f t="shared" si="25"/>
        <v/>
      </c>
      <c r="G5276" s="59" t="str">
        <f t="shared" si="26"/>
        <v/>
      </c>
      <c r="H5276" s="59" t="str">
        <f t="shared" si="27"/>
        <v>28C01165</v>
      </c>
      <c r="I5276" s="59" t="str">
        <f>IF(OR($A5276="",$C5276="",$D5276="",$E5276="",$H5276=""),"",SUMIFS(DATA_GOC!$H:$H,DATA_GOC!$A:$A,"BOM",DATA_GOC!$D:$D,$H5276,DATA_GOC!$E:$E,$C5276,DATA_GOC!$F:$F,"Xuất nội bộ từ téc",DATA_GOC!$B:$B,"&gt;="&amp;$D5276,DATA_GOC!$B:$B,"&lt;="&amp;$E5276))</f>
        <v/>
      </c>
      <c r="J5276" s="59">
        <f t="shared" si="28"/>
        <v>0</v>
      </c>
      <c r="K5276" s="59">
        <f t="shared" si="29"/>
        <v>0</v>
      </c>
      <c r="L5276" s="59">
        <f t="shared" si="30"/>
        <v>0</v>
      </c>
      <c r="M5276" s="59">
        <f t="shared" si="31"/>
        <v>0</v>
      </c>
    </row>
    <row r="5277" ht="15.0" hidden="1" customHeight="1">
      <c r="A5277" s="59">
        <f t="shared" si="20"/>
        <v>85</v>
      </c>
      <c r="B5277" s="59" t="str">
        <f t="shared" si="21"/>
        <v/>
      </c>
      <c r="C5277" s="59" t="str">
        <f t="shared" si="22"/>
        <v/>
      </c>
      <c r="D5277" s="45" t="str">
        <f t="shared" si="23"/>
        <v/>
      </c>
      <c r="E5277" s="45" t="str">
        <f t="shared" si="24"/>
        <v/>
      </c>
      <c r="F5277" s="59" t="str">
        <f t="shared" si="25"/>
        <v/>
      </c>
      <c r="G5277" s="59" t="str">
        <f t="shared" si="26"/>
        <v/>
      </c>
      <c r="H5277" s="59" t="str">
        <f t="shared" si="27"/>
        <v>28C01406</v>
      </c>
      <c r="I5277" s="59" t="str">
        <f>IF(OR($A5277="",$C5277="",$D5277="",$E5277="",$H5277=""),"",SUMIFS(DATA_GOC!$H:$H,DATA_GOC!$A:$A,"BOM",DATA_GOC!$D:$D,$H5277,DATA_GOC!$E:$E,$C5277,DATA_GOC!$F:$F,"Xuất nội bộ từ téc",DATA_GOC!$B:$B,"&gt;="&amp;$D5277,DATA_GOC!$B:$B,"&lt;="&amp;$E5277))</f>
        <v/>
      </c>
      <c r="J5277" s="59">
        <f t="shared" si="28"/>
        <v>0</v>
      </c>
      <c r="K5277" s="59">
        <f t="shared" si="29"/>
        <v>0</v>
      </c>
      <c r="L5277" s="59">
        <f t="shared" si="30"/>
        <v>0</v>
      </c>
      <c r="M5277" s="59">
        <f t="shared" si="31"/>
        <v>0</v>
      </c>
    </row>
    <row r="5278" ht="15.0" hidden="1" customHeight="1">
      <c r="A5278" s="59">
        <f t="shared" si="20"/>
        <v>85</v>
      </c>
      <c r="B5278" s="59" t="str">
        <f t="shared" si="21"/>
        <v/>
      </c>
      <c r="C5278" s="59" t="str">
        <f t="shared" si="22"/>
        <v/>
      </c>
      <c r="D5278" s="45" t="str">
        <f t="shared" si="23"/>
        <v/>
      </c>
      <c r="E5278" s="45" t="str">
        <f t="shared" si="24"/>
        <v/>
      </c>
      <c r="F5278" s="59" t="str">
        <f t="shared" si="25"/>
        <v/>
      </c>
      <c r="G5278" s="59" t="str">
        <f t="shared" si="26"/>
        <v/>
      </c>
      <c r="H5278" s="59" t="str">
        <f t="shared" si="27"/>
        <v>28C01544</v>
      </c>
      <c r="I5278" s="59" t="str">
        <f>IF(OR($A5278="",$C5278="",$D5278="",$E5278="",$H5278=""),"",SUMIFS(DATA_GOC!$H:$H,DATA_GOC!$A:$A,"BOM",DATA_GOC!$D:$D,$H5278,DATA_GOC!$E:$E,$C5278,DATA_GOC!$F:$F,"Xuất nội bộ từ téc",DATA_GOC!$B:$B,"&gt;="&amp;$D5278,DATA_GOC!$B:$B,"&lt;="&amp;$E5278))</f>
        <v/>
      </c>
      <c r="J5278" s="59">
        <f t="shared" si="28"/>
        <v>0</v>
      </c>
      <c r="K5278" s="59">
        <f t="shared" si="29"/>
        <v>0</v>
      </c>
      <c r="L5278" s="59">
        <f t="shared" si="30"/>
        <v>0</v>
      </c>
      <c r="M5278" s="59">
        <f t="shared" si="31"/>
        <v>0</v>
      </c>
    </row>
    <row r="5279" ht="15.0" hidden="1" customHeight="1">
      <c r="A5279" s="59">
        <f t="shared" si="20"/>
        <v>85</v>
      </c>
      <c r="B5279" s="59" t="str">
        <f t="shared" si="21"/>
        <v/>
      </c>
      <c r="C5279" s="59" t="str">
        <f t="shared" si="22"/>
        <v/>
      </c>
      <c r="D5279" s="45" t="str">
        <f t="shared" si="23"/>
        <v/>
      </c>
      <c r="E5279" s="45" t="str">
        <f t="shared" si="24"/>
        <v/>
      </c>
      <c r="F5279" s="59" t="str">
        <f t="shared" si="25"/>
        <v/>
      </c>
      <c r="G5279" s="59" t="str">
        <f t="shared" si="26"/>
        <v/>
      </c>
      <c r="H5279" s="59" t="str">
        <f t="shared" si="27"/>
        <v>28C01622</v>
      </c>
      <c r="I5279" s="59" t="str">
        <f>IF(OR($A5279="",$C5279="",$D5279="",$E5279="",$H5279=""),"",SUMIFS(DATA_GOC!$H:$H,DATA_GOC!$A:$A,"BOM",DATA_GOC!$D:$D,$H5279,DATA_GOC!$E:$E,$C5279,DATA_GOC!$F:$F,"Xuất nội bộ từ téc",DATA_GOC!$B:$B,"&gt;="&amp;$D5279,DATA_GOC!$B:$B,"&lt;="&amp;$E5279))</f>
        <v/>
      </c>
      <c r="J5279" s="59">
        <f t="shared" si="28"/>
        <v>0</v>
      </c>
      <c r="K5279" s="59">
        <f t="shared" si="29"/>
        <v>0</v>
      </c>
      <c r="L5279" s="59">
        <f t="shared" si="30"/>
        <v>0</v>
      </c>
      <c r="M5279" s="59">
        <f t="shared" si="31"/>
        <v>0</v>
      </c>
    </row>
    <row r="5280" ht="15.0" hidden="1" customHeight="1">
      <c r="A5280" s="59">
        <f t="shared" si="20"/>
        <v>85</v>
      </c>
      <c r="B5280" s="59" t="str">
        <f t="shared" si="21"/>
        <v/>
      </c>
      <c r="C5280" s="59" t="str">
        <f t="shared" si="22"/>
        <v/>
      </c>
      <c r="D5280" s="45" t="str">
        <f t="shared" si="23"/>
        <v/>
      </c>
      <c r="E5280" s="45" t="str">
        <f t="shared" si="24"/>
        <v/>
      </c>
      <c r="F5280" s="59" t="str">
        <f t="shared" si="25"/>
        <v/>
      </c>
      <c r="G5280" s="59" t="str">
        <f t="shared" si="26"/>
        <v/>
      </c>
      <c r="H5280" s="59" t="str">
        <f t="shared" si="27"/>
        <v>28C01647</v>
      </c>
      <c r="I5280" s="59" t="str">
        <f>IF(OR($A5280="",$C5280="",$D5280="",$E5280="",$H5280=""),"",SUMIFS(DATA_GOC!$H:$H,DATA_GOC!$A:$A,"BOM",DATA_GOC!$D:$D,$H5280,DATA_GOC!$E:$E,$C5280,DATA_GOC!$F:$F,"Xuất nội bộ từ téc",DATA_GOC!$B:$B,"&gt;="&amp;$D5280,DATA_GOC!$B:$B,"&lt;="&amp;$E5280))</f>
        <v/>
      </c>
      <c r="J5280" s="59">
        <f t="shared" si="28"/>
        <v>0</v>
      </c>
      <c r="K5280" s="59">
        <f t="shared" si="29"/>
        <v>0</v>
      </c>
      <c r="L5280" s="59">
        <f t="shared" si="30"/>
        <v>0</v>
      </c>
      <c r="M5280" s="59">
        <f t="shared" si="31"/>
        <v>0</v>
      </c>
    </row>
    <row r="5281" ht="15.0" hidden="1" customHeight="1">
      <c r="A5281" s="59">
        <f t="shared" si="20"/>
        <v>85</v>
      </c>
      <c r="B5281" s="59" t="str">
        <f t="shared" si="21"/>
        <v/>
      </c>
      <c r="C5281" s="59" t="str">
        <f t="shared" si="22"/>
        <v/>
      </c>
      <c r="D5281" s="45" t="str">
        <f t="shared" si="23"/>
        <v/>
      </c>
      <c r="E5281" s="45" t="str">
        <f t="shared" si="24"/>
        <v/>
      </c>
      <c r="F5281" s="59" t="str">
        <f t="shared" si="25"/>
        <v/>
      </c>
      <c r="G5281" s="59" t="str">
        <f t="shared" si="26"/>
        <v/>
      </c>
      <c r="H5281" s="59" t="str">
        <f t="shared" si="27"/>
        <v>28C01731</v>
      </c>
      <c r="I5281" s="59" t="str">
        <f>IF(OR($A5281="",$C5281="",$D5281="",$E5281="",$H5281=""),"",SUMIFS(DATA_GOC!$H:$H,DATA_GOC!$A:$A,"BOM",DATA_GOC!$D:$D,$H5281,DATA_GOC!$E:$E,$C5281,DATA_GOC!$F:$F,"Xuất nội bộ từ téc",DATA_GOC!$B:$B,"&gt;="&amp;$D5281,DATA_GOC!$B:$B,"&lt;="&amp;$E5281))</f>
        <v/>
      </c>
      <c r="J5281" s="59">
        <f t="shared" si="28"/>
        <v>0</v>
      </c>
      <c r="K5281" s="59">
        <f t="shared" si="29"/>
        <v>0</v>
      </c>
      <c r="L5281" s="59">
        <f t="shared" si="30"/>
        <v>0</v>
      </c>
      <c r="M5281" s="59">
        <f t="shared" si="31"/>
        <v>0</v>
      </c>
    </row>
    <row r="5282" ht="15.0" hidden="1" customHeight="1">
      <c r="A5282" s="59">
        <f t="shared" si="20"/>
        <v>85</v>
      </c>
      <c r="B5282" s="59" t="str">
        <f t="shared" si="21"/>
        <v/>
      </c>
      <c r="C5282" s="59" t="str">
        <f t="shared" si="22"/>
        <v/>
      </c>
      <c r="D5282" s="45" t="str">
        <f t="shared" si="23"/>
        <v/>
      </c>
      <c r="E5282" s="45" t="str">
        <f t="shared" si="24"/>
        <v/>
      </c>
      <c r="F5282" s="59" t="str">
        <f t="shared" si="25"/>
        <v/>
      </c>
      <c r="G5282" s="59" t="str">
        <f t="shared" si="26"/>
        <v/>
      </c>
      <c r="H5282" s="59" t="str">
        <f t="shared" si="27"/>
        <v>28C01743</v>
      </c>
      <c r="I5282" s="59" t="str">
        <f>IF(OR($A5282="",$C5282="",$D5282="",$E5282="",$H5282=""),"",SUMIFS(DATA_GOC!$H:$H,DATA_GOC!$A:$A,"BOM",DATA_GOC!$D:$D,$H5282,DATA_GOC!$E:$E,$C5282,DATA_GOC!$F:$F,"Xuất nội bộ từ téc",DATA_GOC!$B:$B,"&gt;="&amp;$D5282,DATA_GOC!$B:$B,"&lt;="&amp;$E5282))</f>
        <v/>
      </c>
      <c r="J5282" s="59">
        <f t="shared" si="28"/>
        <v>0</v>
      </c>
      <c r="K5282" s="59">
        <f t="shared" si="29"/>
        <v>0</v>
      </c>
      <c r="L5282" s="59">
        <f t="shared" si="30"/>
        <v>0</v>
      </c>
      <c r="M5282" s="59">
        <f t="shared" si="31"/>
        <v>0</v>
      </c>
    </row>
    <row r="5283" ht="15.0" hidden="1" customHeight="1">
      <c r="A5283" s="59">
        <f t="shared" si="20"/>
        <v>85</v>
      </c>
      <c r="B5283" s="59" t="str">
        <f t="shared" si="21"/>
        <v/>
      </c>
      <c r="C5283" s="59" t="str">
        <f t="shared" si="22"/>
        <v/>
      </c>
      <c r="D5283" s="45" t="str">
        <f t="shared" si="23"/>
        <v/>
      </c>
      <c r="E5283" s="45" t="str">
        <f t="shared" si="24"/>
        <v/>
      </c>
      <c r="F5283" s="59" t="str">
        <f t="shared" si="25"/>
        <v/>
      </c>
      <c r="G5283" s="59" t="str">
        <f t="shared" si="26"/>
        <v/>
      </c>
      <c r="H5283" s="59" t="str">
        <f t="shared" si="27"/>
        <v>28C02106</v>
      </c>
      <c r="I5283" s="59" t="str">
        <f>IF(OR($A5283="",$C5283="",$D5283="",$E5283="",$H5283=""),"",SUMIFS(DATA_GOC!$H:$H,DATA_GOC!$A:$A,"BOM",DATA_GOC!$D:$D,$H5283,DATA_GOC!$E:$E,$C5283,DATA_GOC!$F:$F,"Xuất nội bộ từ téc",DATA_GOC!$B:$B,"&gt;="&amp;$D5283,DATA_GOC!$B:$B,"&lt;="&amp;$E5283))</f>
        <v/>
      </c>
      <c r="J5283" s="59">
        <f t="shared" si="28"/>
        <v>0</v>
      </c>
      <c r="K5283" s="59">
        <f t="shared" si="29"/>
        <v>0</v>
      </c>
      <c r="L5283" s="59">
        <f t="shared" si="30"/>
        <v>0</v>
      </c>
      <c r="M5283" s="59">
        <f t="shared" si="31"/>
        <v>0</v>
      </c>
    </row>
    <row r="5284" ht="15.0" hidden="1" customHeight="1">
      <c r="A5284" s="59">
        <f t="shared" si="20"/>
        <v>85</v>
      </c>
      <c r="B5284" s="59" t="str">
        <f t="shared" si="21"/>
        <v/>
      </c>
      <c r="C5284" s="59" t="str">
        <f t="shared" si="22"/>
        <v/>
      </c>
      <c r="D5284" s="45" t="str">
        <f t="shared" si="23"/>
        <v/>
      </c>
      <c r="E5284" s="45" t="str">
        <f t="shared" si="24"/>
        <v/>
      </c>
      <c r="F5284" s="59" t="str">
        <f t="shared" si="25"/>
        <v/>
      </c>
      <c r="G5284" s="59" t="str">
        <f t="shared" si="26"/>
        <v/>
      </c>
      <c r="H5284" s="59" t="str">
        <f t="shared" si="27"/>
        <v>28C02410</v>
      </c>
      <c r="I5284" s="59" t="str">
        <f>IF(OR($A5284="",$C5284="",$D5284="",$E5284="",$H5284=""),"",SUMIFS(DATA_GOC!$H:$H,DATA_GOC!$A:$A,"BOM",DATA_GOC!$D:$D,$H5284,DATA_GOC!$E:$E,$C5284,DATA_GOC!$F:$F,"Xuất nội bộ từ téc",DATA_GOC!$B:$B,"&gt;="&amp;$D5284,DATA_GOC!$B:$B,"&lt;="&amp;$E5284))</f>
        <v/>
      </c>
      <c r="J5284" s="59">
        <f t="shared" si="28"/>
        <v>0</v>
      </c>
      <c r="K5284" s="59">
        <f t="shared" si="29"/>
        <v>0</v>
      </c>
      <c r="L5284" s="59">
        <f t="shared" si="30"/>
        <v>0</v>
      </c>
      <c r="M5284" s="59">
        <f t="shared" si="31"/>
        <v>0</v>
      </c>
    </row>
    <row r="5285" ht="15.0" hidden="1" customHeight="1">
      <c r="A5285" s="59">
        <f t="shared" si="20"/>
        <v>85</v>
      </c>
      <c r="B5285" s="59" t="str">
        <f t="shared" si="21"/>
        <v/>
      </c>
      <c r="C5285" s="59" t="str">
        <f t="shared" si="22"/>
        <v/>
      </c>
      <c r="D5285" s="45" t="str">
        <f t="shared" si="23"/>
        <v/>
      </c>
      <c r="E5285" s="45" t="str">
        <f t="shared" si="24"/>
        <v/>
      </c>
      <c r="F5285" s="59" t="str">
        <f t="shared" si="25"/>
        <v/>
      </c>
      <c r="G5285" s="59" t="str">
        <f t="shared" si="26"/>
        <v/>
      </c>
      <c r="H5285" s="59" t="str">
        <f t="shared" si="27"/>
        <v>28C02545</v>
      </c>
      <c r="I5285" s="59" t="str">
        <f>IF(OR($A5285="",$C5285="",$D5285="",$E5285="",$H5285=""),"",SUMIFS(DATA_GOC!$H:$H,DATA_GOC!$A:$A,"BOM",DATA_GOC!$D:$D,$H5285,DATA_GOC!$E:$E,$C5285,DATA_GOC!$F:$F,"Xuất nội bộ từ téc",DATA_GOC!$B:$B,"&gt;="&amp;$D5285,DATA_GOC!$B:$B,"&lt;="&amp;$E5285))</f>
        <v/>
      </c>
      <c r="J5285" s="59">
        <f t="shared" si="28"/>
        <v>0</v>
      </c>
      <c r="K5285" s="59">
        <f t="shared" si="29"/>
        <v>0</v>
      </c>
      <c r="L5285" s="59">
        <f t="shared" si="30"/>
        <v>0</v>
      </c>
      <c r="M5285" s="59">
        <f t="shared" si="31"/>
        <v>0</v>
      </c>
    </row>
    <row r="5286" ht="15.0" hidden="1" customHeight="1">
      <c r="A5286" s="59">
        <f t="shared" si="20"/>
        <v>85</v>
      </c>
      <c r="B5286" s="59" t="str">
        <f t="shared" si="21"/>
        <v/>
      </c>
      <c r="C5286" s="59" t="str">
        <f t="shared" si="22"/>
        <v/>
      </c>
      <c r="D5286" s="45" t="str">
        <f t="shared" si="23"/>
        <v/>
      </c>
      <c r="E5286" s="45" t="str">
        <f t="shared" si="24"/>
        <v/>
      </c>
      <c r="F5286" s="59" t="str">
        <f t="shared" si="25"/>
        <v/>
      </c>
      <c r="G5286" s="59" t="str">
        <f t="shared" si="26"/>
        <v/>
      </c>
      <c r="H5286" s="59" t="str">
        <f t="shared" si="27"/>
        <v>28C02574</v>
      </c>
      <c r="I5286" s="59" t="str">
        <f>IF(OR($A5286="",$C5286="",$D5286="",$E5286="",$H5286=""),"",SUMIFS(DATA_GOC!$H:$H,DATA_GOC!$A:$A,"BOM",DATA_GOC!$D:$D,$H5286,DATA_GOC!$E:$E,$C5286,DATA_GOC!$F:$F,"Xuất nội bộ từ téc",DATA_GOC!$B:$B,"&gt;="&amp;$D5286,DATA_GOC!$B:$B,"&lt;="&amp;$E5286))</f>
        <v/>
      </c>
      <c r="J5286" s="59">
        <f t="shared" si="28"/>
        <v>0</v>
      </c>
      <c r="K5286" s="59">
        <f t="shared" si="29"/>
        <v>0</v>
      </c>
      <c r="L5286" s="59">
        <f t="shared" si="30"/>
        <v>0</v>
      </c>
      <c r="M5286" s="59">
        <f t="shared" si="31"/>
        <v>0</v>
      </c>
    </row>
    <row r="5287" ht="15.0" hidden="1" customHeight="1">
      <c r="A5287" s="59">
        <f t="shared" si="20"/>
        <v>85</v>
      </c>
      <c r="B5287" s="59" t="str">
        <f t="shared" si="21"/>
        <v/>
      </c>
      <c r="C5287" s="59" t="str">
        <f t="shared" si="22"/>
        <v/>
      </c>
      <c r="D5287" s="45" t="str">
        <f t="shared" si="23"/>
        <v/>
      </c>
      <c r="E5287" s="45" t="str">
        <f t="shared" si="24"/>
        <v/>
      </c>
      <c r="F5287" s="59" t="str">
        <f t="shared" si="25"/>
        <v/>
      </c>
      <c r="G5287" s="59" t="str">
        <f t="shared" si="26"/>
        <v/>
      </c>
      <c r="H5287" s="59" t="str">
        <f t="shared" si="27"/>
        <v>28C02770</v>
      </c>
      <c r="I5287" s="59" t="str">
        <f>IF(OR($A5287="",$C5287="",$D5287="",$E5287="",$H5287=""),"",SUMIFS(DATA_GOC!$H:$H,DATA_GOC!$A:$A,"BOM",DATA_GOC!$D:$D,$H5287,DATA_GOC!$E:$E,$C5287,DATA_GOC!$F:$F,"Xuất nội bộ từ téc",DATA_GOC!$B:$B,"&gt;="&amp;$D5287,DATA_GOC!$B:$B,"&lt;="&amp;$E5287))</f>
        <v/>
      </c>
      <c r="J5287" s="59">
        <f t="shared" si="28"/>
        <v>0</v>
      </c>
      <c r="K5287" s="59">
        <f t="shared" si="29"/>
        <v>0</v>
      </c>
      <c r="L5287" s="59">
        <f t="shared" si="30"/>
        <v>0</v>
      </c>
      <c r="M5287" s="59">
        <f t="shared" si="31"/>
        <v>0</v>
      </c>
    </row>
    <row r="5288" ht="15.0" hidden="1" customHeight="1">
      <c r="A5288" s="59">
        <f t="shared" si="20"/>
        <v>85</v>
      </c>
      <c r="B5288" s="59" t="str">
        <f t="shared" si="21"/>
        <v/>
      </c>
      <c r="C5288" s="59" t="str">
        <f t="shared" si="22"/>
        <v/>
      </c>
      <c r="D5288" s="45" t="str">
        <f t="shared" si="23"/>
        <v/>
      </c>
      <c r="E5288" s="45" t="str">
        <f t="shared" si="24"/>
        <v/>
      </c>
      <c r="F5288" s="59" t="str">
        <f t="shared" si="25"/>
        <v/>
      </c>
      <c r="G5288" s="59" t="str">
        <f t="shared" si="26"/>
        <v/>
      </c>
      <c r="H5288" s="59" t="str">
        <f t="shared" si="27"/>
        <v>28C02986</v>
      </c>
      <c r="I5288" s="59" t="str">
        <f>IF(OR($A5288="",$C5288="",$D5288="",$E5288="",$H5288=""),"",SUMIFS(DATA_GOC!$H:$H,DATA_GOC!$A:$A,"BOM",DATA_GOC!$D:$D,$H5288,DATA_GOC!$E:$E,$C5288,DATA_GOC!$F:$F,"Xuất nội bộ từ téc",DATA_GOC!$B:$B,"&gt;="&amp;$D5288,DATA_GOC!$B:$B,"&lt;="&amp;$E5288))</f>
        <v/>
      </c>
      <c r="J5288" s="59">
        <f t="shared" si="28"/>
        <v>0</v>
      </c>
      <c r="K5288" s="59">
        <f t="shared" si="29"/>
        <v>0</v>
      </c>
      <c r="L5288" s="59">
        <f t="shared" si="30"/>
        <v>0</v>
      </c>
      <c r="M5288" s="59">
        <f t="shared" si="31"/>
        <v>0</v>
      </c>
    </row>
    <row r="5289" ht="15.0" hidden="1" customHeight="1">
      <c r="A5289" s="59">
        <f t="shared" si="20"/>
        <v>85</v>
      </c>
      <c r="B5289" s="59" t="str">
        <f t="shared" si="21"/>
        <v/>
      </c>
      <c r="C5289" s="59" t="str">
        <f t="shared" si="22"/>
        <v/>
      </c>
      <c r="D5289" s="45" t="str">
        <f t="shared" si="23"/>
        <v/>
      </c>
      <c r="E5289" s="45" t="str">
        <f t="shared" si="24"/>
        <v/>
      </c>
      <c r="F5289" s="59" t="str">
        <f t="shared" si="25"/>
        <v/>
      </c>
      <c r="G5289" s="59" t="str">
        <f t="shared" si="26"/>
        <v/>
      </c>
      <c r="H5289" s="59" t="str">
        <f t="shared" si="27"/>
        <v>28C03261</v>
      </c>
      <c r="I5289" s="59" t="str">
        <f>IF(OR($A5289="",$C5289="",$D5289="",$E5289="",$H5289=""),"",SUMIFS(DATA_GOC!$H:$H,DATA_GOC!$A:$A,"BOM",DATA_GOC!$D:$D,$H5289,DATA_GOC!$E:$E,$C5289,DATA_GOC!$F:$F,"Xuất nội bộ từ téc",DATA_GOC!$B:$B,"&gt;="&amp;$D5289,DATA_GOC!$B:$B,"&lt;="&amp;$E5289))</f>
        <v/>
      </c>
      <c r="J5289" s="59">
        <f t="shared" si="28"/>
        <v>0</v>
      </c>
      <c r="K5289" s="59">
        <f t="shared" si="29"/>
        <v>0</v>
      </c>
      <c r="L5289" s="59">
        <f t="shared" si="30"/>
        <v>0</v>
      </c>
      <c r="M5289" s="59">
        <f t="shared" si="31"/>
        <v>0</v>
      </c>
    </row>
    <row r="5290" ht="15.0" hidden="1" customHeight="1">
      <c r="A5290" s="59">
        <f t="shared" si="20"/>
        <v>85</v>
      </c>
      <c r="B5290" s="59" t="str">
        <f t="shared" si="21"/>
        <v/>
      </c>
      <c r="C5290" s="59" t="str">
        <f t="shared" si="22"/>
        <v/>
      </c>
      <c r="D5290" s="45" t="str">
        <f t="shared" si="23"/>
        <v/>
      </c>
      <c r="E5290" s="45" t="str">
        <f t="shared" si="24"/>
        <v/>
      </c>
      <c r="F5290" s="59" t="str">
        <f t="shared" si="25"/>
        <v/>
      </c>
      <c r="G5290" s="59" t="str">
        <f t="shared" si="26"/>
        <v/>
      </c>
      <c r="H5290" s="59" t="str">
        <f t="shared" si="27"/>
        <v>28C03323</v>
      </c>
      <c r="I5290" s="59" t="str">
        <f>IF(OR($A5290="",$C5290="",$D5290="",$E5290="",$H5290=""),"",SUMIFS(DATA_GOC!$H:$H,DATA_GOC!$A:$A,"BOM",DATA_GOC!$D:$D,$H5290,DATA_GOC!$E:$E,$C5290,DATA_GOC!$F:$F,"Xuất nội bộ từ téc",DATA_GOC!$B:$B,"&gt;="&amp;$D5290,DATA_GOC!$B:$B,"&lt;="&amp;$E5290))</f>
        <v/>
      </c>
      <c r="J5290" s="59">
        <f t="shared" si="28"/>
        <v>0</v>
      </c>
      <c r="K5290" s="59">
        <f t="shared" si="29"/>
        <v>0</v>
      </c>
      <c r="L5290" s="59">
        <f t="shared" si="30"/>
        <v>0</v>
      </c>
      <c r="M5290" s="59">
        <f t="shared" si="31"/>
        <v>0</v>
      </c>
    </row>
    <row r="5291" ht="15.0" hidden="1" customHeight="1">
      <c r="A5291" s="59">
        <f t="shared" si="20"/>
        <v>85</v>
      </c>
      <c r="B5291" s="59" t="str">
        <f t="shared" si="21"/>
        <v/>
      </c>
      <c r="C5291" s="59" t="str">
        <f t="shared" si="22"/>
        <v/>
      </c>
      <c r="D5291" s="45" t="str">
        <f t="shared" si="23"/>
        <v/>
      </c>
      <c r="E5291" s="45" t="str">
        <f t="shared" si="24"/>
        <v/>
      </c>
      <c r="F5291" s="59" t="str">
        <f t="shared" si="25"/>
        <v/>
      </c>
      <c r="G5291" s="59" t="str">
        <f t="shared" si="26"/>
        <v/>
      </c>
      <c r="H5291" s="59" t="str">
        <f t="shared" si="27"/>
        <v>28C03385</v>
      </c>
      <c r="I5291" s="59" t="str">
        <f>IF(OR($A5291="",$C5291="",$D5291="",$E5291="",$H5291=""),"",SUMIFS(DATA_GOC!$H:$H,DATA_GOC!$A:$A,"BOM",DATA_GOC!$D:$D,$H5291,DATA_GOC!$E:$E,$C5291,DATA_GOC!$F:$F,"Xuất nội bộ từ téc",DATA_GOC!$B:$B,"&gt;="&amp;$D5291,DATA_GOC!$B:$B,"&lt;="&amp;$E5291))</f>
        <v/>
      </c>
      <c r="J5291" s="59">
        <f t="shared" si="28"/>
        <v>0</v>
      </c>
      <c r="K5291" s="59">
        <f t="shared" si="29"/>
        <v>0</v>
      </c>
      <c r="L5291" s="59">
        <f t="shared" si="30"/>
        <v>0</v>
      </c>
      <c r="M5291" s="59">
        <f t="shared" si="31"/>
        <v>0</v>
      </c>
    </row>
    <row r="5292" ht="15.0" hidden="1" customHeight="1">
      <c r="A5292" s="59">
        <f t="shared" si="20"/>
        <v>85</v>
      </c>
      <c r="B5292" s="59" t="str">
        <f t="shared" si="21"/>
        <v/>
      </c>
      <c r="C5292" s="59" t="str">
        <f t="shared" si="22"/>
        <v/>
      </c>
      <c r="D5292" s="45" t="str">
        <f t="shared" si="23"/>
        <v/>
      </c>
      <c r="E5292" s="45" t="str">
        <f t="shared" si="24"/>
        <v/>
      </c>
      <c r="F5292" s="59" t="str">
        <f t="shared" si="25"/>
        <v/>
      </c>
      <c r="G5292" s="59" t="str">
        <f t="shared" si="26"/>
        <v/>
      </c>
      <c r="H5292" s="59" t="str">
        <f t="shared" si="27"/>
        <v>28C03652</v>
      </c>
      <c r="I5292" s="59" t="str">
        <f>IF(OR($A5292="",$C5292="",$D5292="",$E5292="",$H5292=""),"",SUMIFS(DATA_GOC!$H:$H,DATA_GOC!$A:$A,"BOM",DATA_GOC!$D:$D,$H5292,DATA_GOC!$E:$E,$C5292,DATA_GOC!$F:$F,"Xuất nội bộ từ téc",DATA_GOC!$B:$B,"&gt;="&amp;$D5292,DATA_GOC!$B:$B,"&lt;="&amp;$E5292))</f>
        <v/>
      </c>
      <c r="J5292" s="59">
        <f t="shared" si="28"/>
        <v>0</v>
      </c>
      <c r="K5292" s="59">
        <f t="shared" si="29"/>
        <v>0</v>
      </c>
      <c r="L5292" s="59">
        <f t="shared" si="30"/>
        <v>0</v>
      </c>
      <c r="M5292" s="59">
        <f t="shared" si="31"/>
        <v>0</v>
      </c>
    </row>
    <row r="5293" ht="15.0" hidden="1" customHeight="1">
      <c r="A5293" s="59">
        <f t="shared" si="20"/>
        <v>85</v>
      </c>
      <c r="B5293" s="59" t="str">
        <f t="shared" si="21"/>
        <v/>
      </c>
      <c r="C5293" s="59" t="str">
        <f t="shared" si="22"/>
        <v/>
      </c>
      <c r="D5293" s="45" t="str">
        <f t="shared" si="23"/>
        <v/>
      </c>
      <c r="E5293" s="45" t="str">
        <f t="shared" si="24"/>
        <v/>
      </c>
      <c r="F5293" s="59" t="str">
        <f t="shared" si="25"/>
        <v/>
      </c>
      <c r="G5293" s="59" t="str">
        <f t="shared" si="26"/>
        <v/>
      </c>
      <c r="H5293" s="59" t="str">
        <f t="shared" si="27"/>
        <v>28C03695</v>
      </c>
      <c r="I5293" s="59" t="str">
        <f>IF(OR($A5293="",$C5293="",$D5293="",$E5293="",$H5293=""),"",SUMIFS(DATA_GOC!$H:$H,DATA_GOC!$A:$A,"BOM",DATA_GOC!$D:$D,$H5293,DATA_GOC!$E:$E,$C5293,DATA_GOC!$F:$F,"Xuất nội bộ từ téc",DATA_GOC!$B:$B,"&gt;="&amp;$D5293,DATA_GOC!$B:$B,"&lt;="&amp;$E5293))</f>
        <v/>
      </c>
      <c r="J5293" s="59">
        <f t="shared" si="28"/>
        <v>0</v>
      </c>
      <c r="K5293" s="59">
        <f t="shared" si="29"/>
        <v>0</v>
      </c>
      <c r="L5293" s="59">
        <f t="shared" si="30"/>
        <v>0</v>
      </c>
      <c r="M5293" s="59">
        <f t="shared" si="31"/>
        <v>0</v>
      </c>
    </row>
    <row r="5294" ht="15.0" hidden="1" customHeight="1">
      <c r="A5294" s="59">
        <f t="shared" si="20"/>
        <v>85</v>
      </c>
      <c r="B5294" s="59" t="str">
        <f t="shared" si="21"/>
        <v/>
      </c>
      <c r="C5294" s="59" t="str">
        <f t="shared" si="22"/>
        <v/>
      </c>
      <c r="D5294" s="45" t="str">
        <f t="shared" si="23"/>
        <v/>
      </c>
      <c r="E5294" s="45" t="str">
        <f t="shared" si="24"/>
        <v/>
      </c>
      <c r="F5294" s="59" t="str">
        <f t="shared" si="25"/>
        <v/>
      </c>
      <c r="G5294" s="59" t="str">
        <f t="shared" si="26"/>
        <v/>
      </c>
      <c r="H5294" s="59" t="str">
        <f t="shared" si="27"/>
        <v>28C03927</v>
      </c>
      <c r="I5294" s="59" t="str">
        <f>IF(OR($A5294="",$C5294="",$D5294="",$E5294="",$H5294=""),"",SUMIFS(DATA_GOC!$H:$H,DATA_GOC!$A:$A,"BOM",DATA_GOC!$D:$D,$H5294,DATA_GOC!$E:$E,$C5294,DATA_GOC!$F:$F,"Xuất nội bộ từ téc",DATA_GOC!$B:$B,"&gt;="&amp;$D5294,DATA_GOC!$B:$B,"&lt;="&amp;$E5294))</f>
        <v/>
      </c>
      <c r="J5294" s="59">
        <f t="shared" si="28"/>
        <v>0</v>
      </c>
      <c r="K5294" s="59">
        <f t="shared" si="29"/>
        <v>0</v>
      </c>
      <c r="L5294" s="59">
        <f t="shared" si="30"/>
        <v>0</v>
      </c>
      <c r="M5294" s="59">
        <f t="shared" si="31"/>
        <v>0</v>
      </c>
    </row>
    <row r="5295" ht="15.0" hidden="1" customHeight="1">
      <c r="A5295" s="59">
        <f t="shared" si="20"/>
        <v>85</v>
      </c>
      <c r="B5295" s="59" t="str">
        <f t="shared" si="21"/>
        <v/>
      </c>
      <c r="C5295" s="59" t="str">
        <f t="shared" si="22"/>
        <v/>
      </c>
      <c r="D5295" s="45" t="str">
        <f t="shared" si="23"/>
        <v/>
      </c>
      <c r="E5295" s="45" t="str">
        <f t="shared" si="24"/>
        <v/>
      </c>
      <c r="F5295" s="59" t="str">
        <f t="shared" si="25"/>
        <v/>
      </c>
      <c r="G5295" s="59" t="str">
        <f t="shared" si="26"/>
        <v/>
      </c>
      <c r="H5295" s="59" t="str">
        <f t="shared" si="27"/>
        <v>28C04509</v>
      </c>
      <c r="I5295" s="59" t="str">
        <f>IF(OR($A5295="",$C5295="",$D5295="",$E5295="",$H5295=""),"",SUMIFS(DATA_GOC!$H:$H,DATA_GOC!$A:$A,"BOM",DATA_GOC!$D:$D,$H5295,DATA_GOC!$E:$E,$C5295,DATA_GOC!$F:$F,"Xuất nội bộ từ téc",DATA_GOC!$B:$B,"&gt;="&amp;$D5295,DATA_GOC!$B:$B,"&lt;="&amp;$E5295))</f>
        <v/>
      </c>
      <c r="J5295" s="59">
        <f t="shared" si="28"/>
        <v>0</v>
      </c>
      <c r="K5295" s="59">
        <f t="shared" si="29"/>
        <v>0</v>
      </c>
      <c r="L5295" s="59">
        <f t="shared" si="30"/>
        <v>0</v>
      </c>
      <c r="M5295" s="59">
        <f t="shared" si="31"/>
        <v>0</v>
      </c>
    </row>
    <row r="5296" ht="15.0" hidden="1" customHeight="1">
      <c r="A5296" s="59">
        <f t="shared" si="20"/>
        <v>85</v>
      </c>
      <c r="B5296" s="59" t="str">
        <f t="shared" si="21"/>
        <v/>
      </c>
      <c r="C5296" s="59" t="str">
        <f t="shared" si="22"/>
        <v/>
      </c>
      <c r="D5296" s="45" t="str">
        <f t="shared" si="23"/>
        <v/>
      </c>
      <c r="E5296" s="45" t="str">
        <f t="shared" si="24"/>
        <v/>
      </c>
      <c r="F5296" s="59" t="str">
        <f t="shared" si="25"/>
        <v/>
      </c>
      <c r="G5296" s="59" t="str">
        <f t="shared" si="26"/>
        <v/>
      </c>
      <c r="H5296" s="59" t="str">
        <f t="shared" si="27"/>
        <v>28C04536</v>
      </c>
      <c r="I5296" s="59" t="str">
        <f>IF(OR($A5296="",$C5296="",$D5296="",$E5296="",$H5296=""),"",SUMIFS(DATA_GOC!$H:$H,DATA_GOC!$A:$A,"BOM",DATA_GOC!$D:$D,$H5296,DATA_GOC!$E:$E,$C5296,DATA_GOC!$F:$F,"Xuất nội bộ từ téc",DATA_GOC!$B:$B,"&gt;="&amp;$D5296,DATA_GOC!$B:$B,"&lt;="&amp;$E5296))</f>
        <v/>
      </c>
      <c r="J5296" s="59">
        <f t="shared" si="28"/>
        <v>0</v>
      </c>
      <c r="K5296" s="59">
        <f t="shared" si="29"/>
        <v>0</v>
      </c>
      <c r="L5296" s="59">
        <f t="shared" si="30"/>
        <v>0</v>
      </c>
      <c r="M5296" s="59">
        <f t="shared" si="31"/>
        <v>0</v>
      </c>
    </row>
    <row r="5297" ht="15.0" hidden="1" customHeight="1">
      <c r="A5297" s="59">
        <f t="shared" si="20"/>
        <v>85</v>
      </c>
      <c r="B5297" s="59" t="str">
        <f t="shared" si="21"/>
        <v/>
      </c>
      <c r="C5297" s="59" t="str">
        <f t="shared" si="22"/>
        <v/>
      </c>
      <c r="D5297" s="45" t="str">
        <f t="shared" si="23"/>
        <v/>
      </c>
      <c r="E5297" s="45" t="str">
        <f t="shared" si="24"/>
        <v/>
      </c>
      <c r="F5297" s="59" t="str">
        <f t="shared" si="25"/>
        <v/>
      </c>
      <c r="G5297" s="59" t="str">
        <f t="shared" si="26"/>
        <v/>
      </c>
      <c r="H5297" s="59" t="str">
        <f t="shared" si="27"/>
        <v>28C04576</v>
      </c>
      <c r="I5297" s="59" t="str">
        <f>IF(OR($A5297="",$C5297="",$D5297="",$E5297="",$H5297=""),"",SUMIFS(DATA_GOC!$H:$H,DATA_GOC!$A:$A,"BOM",DATA_GOC!$D:$D,$H5297,DATA_GOC!$E:$E,$C5297,DATA_GOC!$F:$F,"Xuất nội bộ từ téc",DATA_GOC!$B:$B,"&gt;="&amp;$D5297,DATA_GOC!$B:$B,"&lt;="&amp;$E5297))</f>
        <v/>
      </c>
      <c r="J5297" s="59">
        <f t="shared" si="28"/>
        <v>0</v>
      </c>
      <c r="K5297" s="59">
        <f t="shared" si="29"/>
        <v>0</v>
      </c>
      <c r="L5297" s="59">
        <f t="shared" si="30"/>
        <v>0</v>
      </c>
      <c r="M5297" s="59">
        <f t="shared" si="31"/>
        <v>0</v>
      </c>
    </row>
    <row r="5298" ht="15.0" hidden="1" customHeight="1">
      <c r="A5298" s="59">
        <f t="shared" si="20"/>
        <v>85</v>
      </c>
      <c r="B5298" s="59" t="str">
        <f t="shared" si="21"/>
        <v/>
      </c>
      <c r="C5298" s="59" t="str">
        <f t="shared" si="22"/>
        <v/>
      </c>
      <c r="D5298" s="45" t="str">
        <f t="shared" si="23"/>
        <v/>
      </c>
      <c r="E5298" s="45" t="str">
        <f t="shared" si="24"/>
        <v/>
      </c>
      <c r="F5298" s="59" t="str">
        <f t="shared" si="25"/>
        <v/>
      </c>
      <c r="G5298" s="59" t="str">
        <f t="shared" si="26"/>
        <v/>
      </c>
      <c r="H5298" s="59" t="str">
        <f t="shared" si="27"/>
        <v>28C05090</v>
      </c>
      <c r="I5298" s="59" t="str">
        <f>IF(OR($A5298="",$C5298="",$D5298="",$E5298="",$H5298=""),"",SUMIFS(DATA_GOC!$H:$H,DATA_GOC!$A:$A,"BOM",DATA_GOC!$D:$D,$H5298,DATA_GOC!$E:$E,$C5298,DATA_GOC!$F:$F,"Xuất nội bộ từ téc",DATA_GOC!$B:$B,"&gt;="&amp;$D5298,DATA_GOC!$B:$B,"&lt;="&amp;$E5298))</f>
        <v/>
      </c>
      <c r="J5298" s="59">
        <f t="shared" si="28"/>
        <v>0</v>
      </c>
      <c r="K5298" s="59">
        <f t="shared" si="29"/>
        <v>0</v>
      </c>
      <c r="L5298" s="59">
        <f t="shared" si="30"/>
        <v>0</v>
      </c>
      <c r="M5298" s="59">
        <f t="shared" si="31"/>
        <v>0</v>
      </c>
    </row>
    <row r="5299" ht="15.0" hidden="1" customHeight="1">
      <c r="A5299" s="59">
        <f t="shared" si="20"/>
        <v>85</v>
      </c>
      <c r="B5299" s="59" t="str">
        <f t="shared" si="21"/>
        <v/>
      </c>
      <c r="C5299" s="59" t="str">
        <f t="shared" si="22"/>
        <v/>
      </c>
      <c r="D5299" s="45" t="str">
        <f t="shared" si="23"/>
        <v/>
      </c>
      <c r="E5299" s="45" t="str">
        <f t="shared" si="24"/>
        <v/>
      </c>
      <c r="F5299" s="59" t="str">
        <f t="shared" si="25"/>
        <v/>
      </c>
      <c r="G5299" s="59" t="str">
        <f t="shared" si="26"/>
        <v/>
      </c>
      <c r="H5299" s="59" t="str">
        <f t="shared" si="27"/>
        <v>28C05345</v>
      </c>
      <c r="I5299" s="59" t="str">
        <f>IF(OR($A5299="",$C5299="",$D5299="",$E5299="",$H5299=""),"",SUMIFS(DATA_GOC!$H:$H,DATA_GOC!$A:$A,"BOM",DATA_GOC!$D:$D,$H5299,DATA_GOC!$E:$E,$C5299,DATA_GOC!$F:$F,"Xuất nội bộ từ téc",DATA_GOC!$B:$B,"&gt;="&amp;$D5299,DATA_GOC!$B:$B,"&lt;="&amp;$E5299))</f>
        <v/>
      </c>
      <c r="J5299" s="59">
        <f t="shared" si="28"/>
        <v>0</v>
      </c>
      <c r="K5299" s="59">
        <f t="shared" si="29"/>
        <v>0</v>
      </c>
      <c r="L5299" s="59">
        <f t="shared" si="30"/>
        <v>0</v>
      </c>
      <c r="M5299" s="59">
        <f t="shared" si="31"/>
        <v>0</v>
      </c>
    </row>
    <row r="5300" ht="15.0" hidden="1" customHeight="1">
      <c r="A5300" s="59">
        <f t="shared" si="20"/>
        <v>85</v>
      </c>
      <c r="B5300" s="59" t="str">
        <f t="shared" si="21"/>
        <v/>
      </c>
      <c r="C5300" s="59" t="str">
        <f t="shared" si="22"/>
        <v/>
      </c>
      <c r="D5300" s="45" t="str">
        <f t="shared" si="23"/>
        <v/>
      </c>
      <c r="E5300" s="45" t="str">
        <f t="shared" si="24"/>
        <v/>
      </c>
      <c r="F5300" s="59" t="str">
        <f t="shared" si="25"/>
        <v/>
      </c>
      <c r="G5300" s="59" t="str">
        <f t="shared" si="26"/>
        <v/>
      </c>
      <c r="H5300" s="59" t="str">
        <f t="shared" si="27"/>
        <v>28C05661</v>
      </c>
      <c r="I5300" s="59" t="str">
        <f>IF(OR($A5300="",$C5300="",$D5300="",$E5300="",$H5300=""),"",SUMIFS(DATA_GOC!$H:$H,DATA_GOC!$A:$A,"BOM",DATA_GOC!$D:$D,$H5300,DATA_GOC!$E:$E,$C5300,DATA_GOC!$F:$F,"Xuất nội bộ từ téc",DATA_GOC!$B:$B,"&gt;="&amp;$D5300,DATA_GOC!$B:$B,"&lt;="&amp;$E5300))</f>
        <v/>
      </c>
      <c r="J5300" s="59">
        <f t="shared" si="28"/>
        <v>0</v>
      </c>
      <c r="K5300" s="59">
        <f t="shared" si="29"/>
        <v>0</v>
      </c>
      <c r="L5300" s="59">
        <f t="shared" si="30"/>
        <v>0</v>
      </c>
      <c r="M5300" s="59">
        <f t="shared" si="31"/>
        <v>0</v>
      </c>
    </row>
    <row r="5301" ht="15.0" hidden="1" customHeight="1">
      <c r="A5301" s="59">
        <f t="shared" si="20"/>
        <v>85</v>
      </c>
      <c r="B5301" s="59" t="str">
        <f t="shared" si="21"/>
        <v/>
      </c>
      <c r="C5301" s="59" t="str">
        <f t="shared" si="22"/>
        <v/>
      </c>
      <c r="D5301" s="45" t="str">
        <f t="shared" si="23"/>
        <v/>
      </c>
      <c r="E5301" s="45" t="str">
        <f t="shared" si="24"/>
        <v/>
      </c>
      <c r="F5301" s="59" t="str">
        <f t="shared" si="25"/>
        <v/>
      </c>
      <c r="G5301" s="59" t="str">
        <f t="shared" si="26"/>
        <v/>
      </c>
      <c r="H5301" s="59" t="str">
        <f t="shared" si="27"/>
        <v>28C05739</v>
      </c>
      <c r="I5301" s="59" t="str">
        <f>IF(OR($A5301="",$C5301="",$D5301="",$E5301="",$H5301=""),"",SUMIFS(DATA_GOC!$H:$H,DATA_GOC!$A:$A,"BOM",DATA_GOC!$D:$D,$H5301,DATA_GOC!$E:$E,$C5301,DATA_GOC!$F:$F,"Xuất nội bộ từ téc",DATA_GOC!$B:$B,"&gt;="&amp;$D5301,DATA_GOC!$B:$B,"&lt;="&amp;$E5301))</f>
        <v/>
      </c>
      <c r="J5301" s="59">
        <f t="shared" si="28"/>
        <v>0</v>
      </c>
      <c r="K5301" s="59">
        <f t="shared" si="29"/>
        <v>0</v>
      </c>
      <c r="L5301" s="59">
        <f t="shared" si="30"/>
        <v>0</v>
      </c>
      <c r="M5301" s="59">
        <f t="shared" si="31"/>
        <v>0</v>
      </c>
    </row>
    <row r="5302" ht="15.0" hidden="1" customHeight="1">
      <c r="A5302" s="59">
        <f t="shared" si="20"/>
        <v>85</v>
      </c>
      <c r="B5302" s="59" t="str">
        <f t="shared" si="21"/>
        <v/>
      </c>
      <c r="C5302" s="59" t="str">
        <f t="shared" si="22"/>
        <v/>
      </c>
      <c r="D5302" s="45" t="str">
        <f t="shared" si="23"/>
        <v/>
      </c>
      <c r="E5302" s="45" t="str">
        <f t="shared" si="24"/>
        <v/>
      </c>
      <c r="F5302" s="59" t="str">
        <f t="shared" si="25"/>
        <v/>
      </c>
      <c r="G5302" s="59" t="str">
        <f t="shared" si="26"/>
        <v/>
      </c>
      <c r="H5302" s="59" t="str">
        <f t="shared" si="27"/>
        <v>28C06369</v>
      </c>
      <c r="I5302" s="59" t="str">
        <f>IF(OR($A5302="",$C5302="",$D5302="",$E5302="",$H5302=""),"",SUMIFS(DATA_GOC!$H:$H,DATA_GOC!$A:$A,"BOM",DATA_GOC!$D:$D,$H5302,DATA_GOC!$E:$E,$C5302,DATA_GOC!$F:$F,"Xuất nội bộ từ téc",DATA_GOC!$B:$B,"&gt;="&amp;$D5302,DATA_GOC!$B:$B,"&lt;="&amp;$E5302))</f>
        <v/>
      </c>
      <c r="J5302" s="59">
        <f t="shared" si="28"/>
        <v>0</v>
      </c>
      <c r="K5302" s="59">
        <f t="shared" si="29"/>
        <v>0</v>
      </c>
      <c r="L5302" s="59">
        <f t="shared" si="30"/>
        <v>0</v>
      </c>
      <c r="M5302" s="59">
        <f t="shared" si="31"/>
        <v>0</v>
      </c>
    </row>
    <row r="5303" ht="15.0" hidden="1" customHeight="1">
      <c r="A5303" s="59">
        <f t="shared" si="20"/>
        <v>85</v>
      </c>
      <c r="B5303" s="59" t="str">
        <f t="shared" si="21"/>
        <v/>
      </c>
      <c r="C5303" s="59" t="str">
        <f t="shared" si="22"/>
        <v/>
      </c>
      <c r="D5303" s="45" t="str">
        <f t="shared" si="23"/>
        <v/>
      </c>
      <c r="E5303" s="45" t="str">
        <f t="shared" si="24"/>
        <v/>
      </c>
      <c r="F5303" s="59" t="str">
        <f t="shared" si="25"/>
        <v/>
      </c>
      <c r="G5303" s="59" t="str">
        <f t="shared" si="26"/>
        <v/>
      </c>
      <c r="H5303" s="59" t="str">
        <f t="shared" si="27"/>
        <v>28C06447</v>
      </c>
      <c r="I5303" s="59" t="str">
        <f>IF(OR($A5303="",$C5303="",$D5303="",$E5303="",$H5303=""),"",SUMIFS(DATA_GOC!$H:$H,DATA_GOC!$A:$A,"BOM",DATA_GOC!$D:$D,$H5303,DATA_GOC!$E:$E,$C5303,DATA_GOC!$F:$F,"Xuất nội bộ từ téc",DATA_GOC!$B:$B,"&gt;="&amp;$D5303,DATA_GOC!$B:$B,"&lt;="&amp;$E5303))</f>
        <v/>
      </c>
      <c r="J5303" s="59">
        <f t="shared" si="28"/>
        <v>0</v>
      </c>
      <c r="K5303" s="59">
        <f t="shared" si="29"/>
        <v>0</v>
      </c>
      <c r="L5303" s="59">
        <f t="shared" si="30"/>
        <v>0</v>
      </c>
      <c r="M5303" s="59">
        <f t="shared" si="31"/>
        <v>0</v>
      </c>
    </row>
    <row r="5304" ht="15.0" hidden="1" customHeight="1">
      <c r="A5304" s="59">
        <f t="shared" si="20"/>
        <v>85</v>
      </c>
      <c r="B5304" s="59" t="str">
        <f t="shared" si="21"/>
        <v/>
      </c>
      <c r="C5304" s="59" t="str">
        <f t="shared" si="22"/>
        <v/>
      </c>
      <c r="D5304" s="45" t="str">
        <f t="shared" si="23"/>
        <v/>
      </c>
      <c r="E5304" s="45" t="str">
        <f t="shared" si="24"/>
        <v/>
      </c>
      <c r="F5304" s="59" t="str">
        <f t="shared" si="25"/>
        <v/>
      </c>
      <c r="G5304" s="59" t="str">
        <f t="shared" si="26"/>
        <v/>
      </c>
      <c r="H5304" s="59" t="str">
        <f t="shared" si="27"/>
        <v>28H00003</v>
      </c>
      <c r="I5304" s="59" t="str">
        <f>IF(OR($A5304="",$C5304="",$D5304="",$E5304="",$H5304=""),"",SUMIFS(DATA_GOC!$H:$H,DATA_GOC!$A:$A,"BOM",DATA_GOC!$D:$D,$H5304,DATA_GOC!$E:$E,$C5304,DATA_GOC!$F:$F,"Xuất nội bộ từ téc",DATA_GOC!$B:$B,"&gt;="&amp;$D5304,DATA_GOC!$B:$B,"&lt;="&amp;$E5304))</f>
        <v/>
      </c>
      <c r="J5304" s="59">
        <f t="shared" si="28"/>
        <v>0</v>
      </c>
      <c r="K5304" s="59">
        <f t="shared" si="29"/>
        <v>0</v>
      </c>
      <c r="L5304" s="59">
        <f t="shared" si="30"/>
        <v>0</v>
      </c>
      <c r="M5304" s="59">
        <f t="shared" si="31"/>
        <v>0</v>
      </c>
    </row>
    <row r="5305" ht="15.0" hidden="1" customHeight="1">
      <c r="A5305" s="59">
        <f t="shared" si="20"/>
        <v>85</v>
      </c>
      <c r="B5305" s="59" t="str">
        <f t="shared" si="21"/>
        <v/>
      </c>
      <c r="C5305" s="59" t="str">
        <f t="shared" si="22"/>
        <v/>
      </c>
      <c r="D5305" s="45" t="str">
        <f t="shared" si="23"/>
        <v/>
      </c>
      <c r="E5305" s="45" t="str">
        <f t="shared" si="24"/>
        <v/>
      </c>
      <c r="F5305" s="59" t="str">
        <f t="shared" si="25"/>
        <v/>
      </c>
      <c r="G5305" s="59" t="str">
        <f t="shared" si="26"/>
        <v/>
      </c>
      <c r="H5305" s="59" t="str">
        <f t="shared" si="27"/>
        <v>28H00061</v>
      </c>
      <c r="I5305" s="59" t="str">
        <f>IF(OR($A5305="",$C5305="",$D5305="",$E5305="",$H5305=""),"",SUMIFS(DATA_GOC!$H:$H,DATA_GOC!$A:$A,"BOM",DATA_GOC!$D:$D,$H5305,DATA_GOC!$E:$E,$C5305,DATA_GOC!$F:$F,"Xuất nội bộ từ téc",DATA_GOC!$B:$B,"&gt;="&amp;$D5305,DATA_GOC!$B:$B,"&lt;="&amp;$E5305))</f>
        <v/>
      </c>
      <c r="J5305" s="59">
        <f t="shared" si="28"/>
        <v>0</v>
      </c>
      <c r="K5305" s="59">
        <f t="shared" si="29"/>
        <v>0</v>
      </c>
      <c r="L5305" s="59">
        <f t="shared" si="30"/>
        <v>0</v>
      </c>
      <c r="M5305" s="59">
        <f t="shared" si="31"/>
        <v>0</v>
      </c>
    </row>
    <row r="5306" ht="15.0" hidden="1" customHeight="1">
      <c r="A5306" s="59">
        <f t="shared" si="20"/>
        <v>85</v>
      </c>
      <c r="B5306" s="59" t="str">
        <f t="shared" si="21"/>
        <v/>
      </c>
      <c r="C5306" s="59" t="str">
        <f t="shared" si="22"/>
        <v/>
      </c>
      <c r="D5306" s="45" t="str">
        <f t="shared" si="23"/>
        <v/>
      </c>
      <c r="E5306" s="45" t="str">
        <f t="shared" si="24"/>
        <v/>
      </c>
      <c r="F5306" s="59" t="str">
        <f t="shared" si="25"/>
        <v/>
      </c>
      <c r="G5306" s="59" t="str">
        <f t="shared" si="26"/>
        <v/>
      </c>
      <c r="H5306" s="59" t="str">
        <f t="shared" si="27"/>
        <v>28H00354</v>
      </c>
      <c r="I5306" s="59" t="str">
        <f>IF(OR($A5306="",$C5306="",$D5306="",$E5306="",$H5306=""),"",SUMIFS(DATA_GOC!$H:$H,DATA_GOC!$A:$A,"BOM",DATA_GOC!$D:$D,$H5306,DATA_GOC!$E:$E,$C5306,DATA_GOC!$F:$F,"Xuất nội bộ từ téc",DATA_GOC!$B:$B,"&gt;="&amp;$D5306,DATA_GOC!$B:$B,"&lt;="&amp;$E5306))</f>
        <v/>
      </c>
      <c r="J5306" s="59">
        <f t="shared" si="28"/>
        <v>0</v>
      </c>
      <c r="K5306" s="59">
        <f t="shared" si="29"/>
        <v>0</v>
      </c>
      <c r="L5306" s="59">
        <f t="shared" si="30"/>
        <v>0</v>
      </c>
      <c r="M5306" s="59">
        <f t="shared" si="31"/>
        <v>0</v>
      </c>
    </row>
    <row r="5307" ht="15.0" hidden="1" customHeight="1">
      <c r="A5307" s="59">
        <f t="shared" si="20"/>
        <v>85</v>
      </c>
      <c r="B5307" s="59" t="str">
        <f t="shared" si="21"/>
        <v/>
      </c>
      <c r="C5307" s="59" t="str">
        <f t="shared" si="22"/>
        <v/>
      </c>
      <c r="D5307" s="45" t="str">
        <f t="shared" si="23"/>
        <v/>
      </c>
      <c r="E5307" s="45" t="str">
        <f t="shared" si="24"/>
        <v/>
      </c>
      <c r="F5307" s="59" t="str">
        <f t="shared" si="25"/>
        <v/>
      </c>
      <c r="G5307" s="59" t="str">
        <f t="shared" si="26"/>
        <v/>
      </c>
      <c r="H5307" s="59" t="str">
        <f t="shared" si="27"/>
        <v>28H00603</v>
      </c>
      <c r="I5307" s="59" t="str">
        <f>IF(OR($A5307="",$C5307="",$D5307="",$E5307="",$H5307=""),"",SUMIFS(DATA_GOC!$H:$H,DATA_GOC!$A:$A,"BOM",DATA_GOC!$D:$D,$H5307,DATA_GOC!$E:$E,$C5307,DATA_GOC!$F:$F,"Xuất nội bộ từ téc",DATA_GOC!$B:$B,"&gt;="&amp;$D5307,DATA_GOC!$B:$B,"&lt;="&amp;$E5307))</f>
        <v/>
      </c>
      <c r="J5307" s="59">
        <f t="shared" si="28"/>
        <v>0</v>
      </c>
      <c r="K5307" s="59">
        <f t="shared" si="29"/>
        <v>0</v>
      </c>
      <c r="L5307" s="59">
        <f t="shared" si="30"/>
        <v>0</v>
      </c>
      <c r="M5307" s="59">
        <f t="shared" si="31"/>
        <v>0</v>
      </c>
    </row>
    <row r="5308" ht="15.0" hidden="1" customHeight="1">
      <c r="A5308" s="59">
        <f t="shared" si="20"/>
        <v>85</v>
      </c>
      <c r="B5308" s="59" t="str">
        <f t="shared" si="21"/>
        <v/>
      </c>
      <c r="C5308" s="59" t="str">
        <f t="shared" si="22"/>
        <v/>
      </c>
      <c r="D5308" s="45" t="str">
        <f t="shared" si="23"/>
        <v/>
      </c>
      <c r="E5308" s="45" t="str">
        <f t="shared" si="24"/>
        <v/>
      </c>
      <c r="F5308" s="59" t="str">
        <f t="shared" si="25"/>
        <v/>
      </c>
      <c r="G5308" s="59" t="str">
        <f t="shared" si="26"/>
        <v/>
      </c>
      <c r="H5308" s="59" t="str">
        <f t="shared" si="27"/>
        <v>28H00609</v>
      </c>
      <c r="I5308" s="59" t="str">
        <f>IF(OR($A5308="",$C5308="",$D5308="",$E5308="",$H5308=""),"",SUMIFS(DATA_GOC!$H:$H,DATA_GOC!$A:$A,"BOM",DATA_GOC!$D:$D,$H5308,DATA_GOC!$E:$E,$C5308,DATA_GOC!$F:$F,"Xuất nội bộ từ téc",DATA_GOC!$B:$B,"&gt;="&amp;$D5308,DATA_GOC!$B:$B,"&lt;="&amp;$E5308))</f>
        <v/>
      </c>
      <c r="J5308" s="59">
        <f t="shared" si="28"/>
        <v>0</v>
      </c>
      <c r="K5308" s="59">
        <f t="shared" si="29"/>
        <v>0</v>
      </c>
      <c r="L5308" s="59">
        <f t="shared" si="30"/>
        <v>0</v>
      </c>
      <c r="M5308" s="59">
        <f t="shared" si="31"/>
        <v>0</v>
      </c>
    </row>
    <row r="5309" ht="15.0" hidden="1" customHeight="1">
      <c r="A5309" s="59">
        <f t="shared" si="20"/>
        <v>85</v>
      </c>
      <c r="B5309" s="59" t="str">
        <f t="shared" si="21"/>
        <v/>
      </c>
      <c r="C5309" s="59" t="str">
        <f t="shared" si="22"/>
        <v/>
      </c>
      <c r="D5309" s="45" t="str">
        <f t="shared" si="23"/>
        <v/>
      </c>
      <c r="E5309" s="45" t="str">
        <f t="shared" si="24"/>
        <v/>
      </c>
      <c r="F5309" s="59" t="str">
        <f t="shared" si="25"/>
        <v/>
      </c>
      <c r="G5309" s="59" t="str">
        <f t="shared" si="26"/>
        <v/>
      </c>
      <c r="H5309" s="59" t="str">
        <f t="shared" si="27"/>
        <v>28H00669</v>
      </c>
      <c r="I5309" s="59" t="str">
        <f>IF(OR($A5309="",$C5309="",$D5309="",$E5309="",$H5309=""),"",SUMIFS(DATA_GOC!$H:$H,DATA_GOC!$A:$A,"BOM",DATA_GOC!$D:$D,$H5309,DATA_GOC!$E:$E,$C5309,DATA_GOC!$F:$F,"Xuất nội bộ từ téc",DATA_GOC!$B:$B,"&gt;="&amp;$D5309,DATA_GOC!$B:$B,"&lt;="&amp;$E5309))</f>
        <v/>
      </c>
      <c r="J5309" s="59">
        <f t="shared" si="28"/>
        <v>0</v>
      </c>
      <c r="K5309" s="59">
        <f t="shared" si="29"/>
        <v>0</v>
      </c>
      <c r="L5309" s="59">
        <f t="shared" si="30"/>
        <v>0</v>
      </c>
      <c r="M5309" s="59">
        <f t="shared" si="31"/>
        <v>0</v>
      </c>
    </row>
    <row r="5310" ht="15.0" hidden="1" customHeight="1">
      <c r="A5310" s="59">
        <f t="shared" si="20"/>
        <v>85</v>
      </c>
      <c r="B5310" s="59" t="str">
        <f t="shared" si="21"/>
        <v/>
      </c>
      <c r="C5310" s="59" t="str">
        <f t="shared" si="22"/>
        <v/>
      </c>
      <c r="D5310" s="45" t="str">
        <f t="shared" si="23"/>
        <v/>
      </c>
      <c r="E5310" s="45" t="str">
        <f t="shared" si="24"/>
        <v/>
      </c>
      <c r="F5310" s="59" t="str">
        <f t="shared" si="25"/>
        <v/>
      </c>
      <c r="G5310" s="59" t="str">
        <f t="shared" si="26"/>
        <v/>
      </c>
      <c r="H5310" s="59" t="str">
        <f t="shared" si="27"/>
        <v>28H00680</v>
      </c>
      <c r="I5310" s="59" t="str">
        <f>IF(OR($A5310="",$C5310="",$D5310="",$E5310="",$H5310=""),"",SUMIFS(DATA_GOC!$H:$H,DATA_GOC!$A:$A,"BOM",DATA_GOC!$D:$D,$H5310,DATA_GOC!$E:$E,$C5310,DATA_GOC!$F:$F,"Xuất nội bộ từ téc",DATA_GOC!$B:$B,"&gt;="&amp;$D5310,DATA_GOC!$B:$B,"&lt;="&amp;$E5310))</f>
        <v/>
      </c>
      <c r="J5310" s="59">
        <f t="shared" si="28"/>
        <v>0</v>
      </c>
      <c r="K5310" s="59">
        <f t="shared" si="29"/>
        <v>0</v>
      </c>
      <c r="L5310" s="59">
        <f t="shared" si="30"/>
        <v>0</v>
      </c>
      <c r="M5310" s="59">
        <f t="shared" si="31"/>
        <v>0</v>
      </c>
    </row>
    <row r="5311" ht="15.0" hidden="1" customHeight="1">
      <c r="A5311" s="59">
        <f t="shared" si="20"/>
        <v>85</v>
      </c>
      <c r="B5311" s="59" t="str">
        <f t="shared" si="21"/>
        <v/>
      </c>
      <c r="C5311" s="59" t="str">
        <f t="shared" si="22"/>
        <v/>
      </c>
      <c r="D5311" s="45" t="str">
        <f t="shared" si="23"/>
        <v/>
      </c>
      <c r="E5311" s="45" t="str">
        <f t="shared" si="24"/>
        <v/>
      </c>
      <c r="F5311" s="59" t="str">
        <f t="shared" si="25"/>
        <v/>
      </c>
      <c r="G5311" s="59" t="str">
        <f t="shared" si="26"/>
        <v/>
      </c>
      <c r="H5311" s="59" t="str">
        <f t="shared" si="27"/>
        <v>28H01070</v>
      </c>
      <c r="I5311" s="59" t="str">
        <f>IF(OR($A5311="",$C5311="",$D5311="",$E5311="",$H5311=""),"",SUMIFS(DATA_GOC!$H:$H,DATA_GOC!$A:$A,"BOM",DATA_GOC!$D:$D,$H5311,DATA_GOC!$E:$E,$C5311,DATA_GOC!$F:$F,"Xuất nội bộ từ téc",DATA_GOC!$B:$B,"&gt;="&amp;$D5311,DATA_GOC!$B:$B,"&lt;="&amp;$E5311))</f>
        <v/>
      </c>
      <c r="J5311" s="59">
        <f t="shared" si="28"/>
        <v>0</v>
      </c>
      <c r="K5311" s="59">
        <f t="shared" si="29"/>
        <v>0</v>
      </c>
      <c r="L5311" s="59">
        <f t="shared" si="30"/>
        <v>0</v>
      </c>
      <c r="M5311" s="59">
        <f t="shared" si="31"/>
        <v>0</v>
      </c>
    </row>
    <row r="5312" ht="15.0" hidden="1" customHeight="1">
      <c r="A5312" s="59">
        <f t="shared" si="20"/>
        <v>85</v>
      </c>
      <c r="B5312" s="59" t="str">
        <f t="shared" si="21"/>
        <v/>
      </c>
      <c r="C5312" s="59" t="str">
        <f t="shared" si="22"/>
        <v/>
      </c>
      <c r="D5312" s="45" t="str">
        <f t="shared" si="23"/>
        <v/>
      </c>
      <c r="E5312" s="45" t="str">
        <f t="shared" si="24"/>
        <v/>
      </c>
      <c r="F5312" s="59" t="str">
        <f t="shared" si="25"/>
        <v/>
      </c>
      <c r="G5312" s="59" t="str">
        <f t="shared" si="26"/>
        <v/>
      </c>
      <c r="H5312" s="59" t="str">
        <f t="shared" si="27"/>
        <v>28H01364</v>
      </c>
      <c r="I5312" s="59" t="str">
        <f>IF(OR($A5312="",$C5312="",$D5312="",$E5312="",$H5312=""),"",SUMIFS(DATA_GOC!$H:$H,DATA_GOC!$A:$A,"BOM",DATA_GOC!$D:$D,$H5312,DATA_GOC!$E:$E,$C5312,DATA_GOC!$F:$F,"Xuất nội bộ từ téc",DATA_GOC!$B:$B,"&gt;="&amp;$D5312,DATA_GOC!$B:$B,"&lt;="&amp;$E5312))</f>
        <v/>
      </c>
      <c r="J5312" s="59">
        <f t="shared" si="28"/>
        <v>0</v>
      </c>
      <c r="K5312" s="59">
        <f t="shared" si="29"/>
        <v>0</v>
      </c>
      <c r="L5312" s="59">
        <f t="shared" si="30"/>
        <v>0</v>
      </c>
      <c r="M5312" s="59">
        <f t="shared" si="31"/>
        <v>0</v>
      </c>
    </row>
    <row r="5313" ht="15.0" hidden="1" customHeight="1">
      <c r="A5313" s="59">
        <f t="shared" si="20"/>
        <v>85</v>
      </c>
      <c r="B5313" s="59" t="str">
        <f t="shared" si="21"/>
        <v/>
      </c>
      <c r="C5313" s="59" t="str">
        <f t="shared" si="22"/>
        <v/>
      </c>
      <c r="D5313" s="45" t="str">
        <f t="shared" si="23"/>
        <v/>
      </c>
      <c r="E5313" s="45" t="str">
        <f t="shared" si="24"/>
        <v/>
      </c>
      <c r="F5313" s="59" t="str">
        <f t="shared" si="25"/>
        <v/>
      </c>
      <c r="G5313" s="59" t="str">
        <f t="shared" si="26"/>
        <v/>
      </c>
      <c r="H5313" s="59" t="str">
        <f t="shared" si="27"/>
        <v>29E17269</v>
      </c>
      <c r="I5313" s="59" t="str">
        <f>IF(OR($A5313="",$C5313="",$D5313="",$E5313="",$H5313=""),"",SUMIFS(DATA_GOC!$H:$H,DATA_GOC!$A:$A,"BOM",DATA_GOC!$D:$D,$H5313,DATA_GOC!$E:$E,$C5313,DATA_GOC!$F:$F,"Xuất nội bộ từ téc",DATA_GOC!$B:$B,"&gt;="&amp;$D5313,DATA_GOC!$B:$B,"&lt;="&amp;$E5313))</f>
        <v/>
      </c>
      <c r="J5313" s="59">
        <f t="shared" si="28"/>
        <v>0</v>
      </c>
      <c r="K5313" s="59">
        <f t="shared" si="29"/>
        <v>0</v>
      </c>
      <c r="L5313" s="59">
        <f t="shared" si="30"/>
        <v>0</v>
      </c>
      <c r="M5313" s="59">
        <f t="shared" si="31"/>
        <v>0</v>
      </c>
    </row>
    <row r="5314" ht="15.0" hidden="1" customHeight="1">
      <c r="A5314" s="59">
        <f t="shared" si="20"/>
        <v>85</v>
      </c>
      <c r="B5314" s="59" t="str">
        <f t="shared" si="21"/>
        <v/>
      </c>
      <c r="C5314" s="59" t="str">
        <f t="shared" si="22"/>
        <v/>
      </c>
      <c r="D5314" s="45" t="str">
        <f t="shared" si="23"/>
        <v/>
      </c>
      <c r="E5314" s="45" t="str">
        <f t="shared" si="24"/>
        <v/>
      </c>
      <c r="F5314" s="59" t="str">
        <f t="shared" si="25"/>
        <v/>
      </c>
      <c r="G5314" s="59" t="str">
        <f t="shared" si="26"/>
        <v/>
      </c>
      <c r="H5314" s="59" t="str">
        <f t="shared" si="27"/>
        <v>29E17273</v>
      </c>
      <c r="I5314" s="59" t="str">
        <f>IF(OR($A5314="",$C5314="",$D5314="",$E5314="",$H5314=""),"",SUMIFS(DATA_GOC!$H:$H,DATA_GOC!$A:$A,"BOM",DATA_GOC!$D:$D,$H5314,DATA_GOC!$E:$E,$C5314,DATA_GOC!$F:$F,"Xuất nội bộ từ téc",DATA_GOC!$B:$B,"&gt;="&amp;$D5314,DATA_GOC!$B:$B,"&lt;="&amp;$E5314))</f>
        <v/>
      </c>
      <c r="J5314" s="59">
        <f t="shared" si="28"/>
        <v>0</v>
      </c>
      <c r="K5314" s="59">
        <f t="shared" si="29"/>
        <v>0</v>
      </c>
      <c r="L5314" s="59">
        <f t="shared" si="30"/>
        <v>0</v>
      </c>
      <c r="M5314" s="59">
        <f t="shared" si="31"/>
        <v>0</v>
      </c>
    </row>
    <row r="5315" ht="15.0" hidden="1" customHeight="1">
      <c r="A5315" s="59">
        <f t="shared" si="20"/>
        <v>85</v>
      </c>
      <c r="B5315" s="59" t="str">
        <f t="shared" si="21"/>
        <v/>
      </c>
      <c r="C5315" s="59" t="str">
        <f t="shared" si="22"/>
        <v/>
      </c>
      <c r="D5315" s="45" t="str">
        <f t="shared" si="23"/>
        <v/>
      </c>
      <c r="E5315" s="45" t="str">
        <f t="shared" si="24"/>
        <v/>
      </c>
      <c r="F5315" s="59" t="str">
        <f t="shared" si="25"/>
        <v/>
      </c>
      <c r="G5315" s="59" t="str">
        <f t="shared" si="26"/>
        <v/>
      </c>
      <c r="H5315" s="59" t="str">
        <f t="shared" si="27"/>
        <v>29E17410</v>
      </c>
      <c r="I5315" s="59" t="str">
        <f>IF(OR($A5315="",$C5315="",$D5315="",$E5315="",$H5315=""),"",SUMIFS(DATA_GOC!$H:$H,DATA_GOC!$A:$A,"BOM",DATA_GOC!$D:$D,$H5315,DATA_GOC!$E:$E,$C5315,DATA_GOC!$F:$F,"Xuất nội bộ từ téc",DATA_GOC!$B:$B,"&gt;="&amp;$D5315,DATA_GOC!$B:$B,"&lt;="&amp;$E5315))</f>
        <v/>
      </c>
      <c r="J5315" s="59">
        <f t="shared" si="28"/>
        <v>0</v>
      </c>
      <c r="K5315" s="59">
        <f t="shared" si="29"/>
        <v>0</v>
      </c>
      <c r="L5315" s="59">
        <f t="shared" si="30"/>
        <v>0</v>
      </c>
      <c r="M5315" s="59">
        <f t="shared" si="31"/>
        <v>0</v>
      </c>
    </row>
    <row r="5316" ht="15.0" hidden="1" customHeight="1">
      <c r="A5316" s="59">
        <f t="shared" si="20"/>
        <v>85</v>
      </c>
      <c r="B5316" s="59" t="str">
        <f t="shared" si="21"/>
        <v/>
      </c>
      <c r="C5316" s="59" t="str">
        <f t="shared" si="22"/>
        <v/>
      </c>
      <c r="D5316" s="45" t="str">
        <f t="shared" si="23"/>
        <v/>
      </c>
      <c r="E5316" s="45" t="str">
        <f t="shared" si="24"/>
        <v/>
      </c>
      <c r="F5316" s="59" t="str">
        <f t="shared" si="25"/>
        <v/>
      </c>
      <c r="G5316" s="59" t="str">
        <f t="shared" si="26"/>
        <v/>
      </c>
      <c r="H5316" s="59" t="str">
        <f t="shared" si="27"/>
        <v>29E17417</v>
      </c>
      <c r="I5316" s="59" t="str">
        <f>IF(OR($A5316="",$C5316="",$D5316="",$E5316="",$H5316=""),"",SUMIFS(DATA_GOC!$H:$H,DATA_GOC!$A:$A,"BOM",DATA_GOC!$D:$D,$H5316,DATA_GOC!$E:$E,$C5316,DATA_GOC!$F:$F,"Xuất nội bộ từ téc",DATA_GOC!$B:$B,"&gt;="&amp;$D5316,DATA_GOC!$B:$B,"&lt;="&amp;$E5316))</f>
        <v/>
      </c>
      <c r="J5316" s="59">
        <f t="shared" si="28"/>
        <v>0</v>
      </c>
      <c r="K5316" s="59">
        <f t="shared" si="29"/>
        <v>0</v>
      </c>
      <c r="L5316" s="59">
        <f t="shared" si="30"/>
        <v>0</v>
      </c>
      <c r="M5316" s="59">
        <f t="shared" si="31"/>
        <v>0</v>
      </c>
    </row>
    <row r="5317" ht="15.0" hidden="1" customHeight="1">
      <c r="A5317" s="59">
        <f t="shared" si="20"/>
        <v>85</v>
      </c>
      <c r="B5317" s="59" t="str">
        <f t="shared" si="21"/>
        <v/>
      </c>
      <c r="C5317" s="59" t="str">
        <f t="shared" si="22"/>
        <v/>
      </c>
      <c r="D5317" s="45" t="str">
        <f t="shared" si="23"/>
        <v/>
      </c>
      <c r="E5317" s="45" t="str">
        <f t="shared" si="24"/>
        <v/>
      </c>
      <c r="F5317" s="59" t="str">
        <f t="shared" si="25"/>
        <v/>
      </c>
      <c r="G5317" s="59" t="str">
        <f t="shared" si="26"/>
        <v/>
      </c>
      <c r="H5317" s="59" t="str">
        <f t="shared" si="27"/>
        <v>29E17539</v>
      </c>
      <c r="I5317" s="59" t="str">
        <f>IF(OR($A5317="",$C5317="",$D5317="",$E5317="",$H5317=""),"",SUMIFS(DATA_GOC!$H:$H,DATA_GOC!$A:$A,"BOM",DATA_GOC!$D:$D,$H5317,DATA_GOC!$E:$E,$C5317,DATA_GOC!$F:$F,"Xuất nội bộ từ téc",DATA_GOC!$B:$B,"&gt;="&amp;$D5317,DATA_GOC!$B:$B,"&lt;="&amp;$E5317))</f>
        <v/>
      </c>
      <c r="J5317" s="59">
        <f t="shared" si="28"/>
        <v>0</v>
      </c>
      <c r="K5317" s="59">
        <f t="shared" si="29"/>
        <v>0</v>
      </c>
      <c r="L5317" s="59">
        <f t="shared" si="30"/>
        <v>0</v>
      </c>
      <c r="M5317" s="59">
        <f t="shared" si="31"/>
        <v>0</v>
      </c>
    </row>
    <row r="5318" ht="15.0" hidden="1" customHeight="1">
      <c r="A5318" s="59">
        <f t="shared" si="20"/>
        <v>85</v>
      </c>
      <c r="B5318" s="59" t="str">
        <f t="shared" si="21"/>
        <v/>
      </c>
      <c r="C5318" s="59" t="str">
        <f t="shared" si="22"/>
        <v/>
      </c>
      <c r="D5318" s="45" t="str">
        <f t="shared" si="23"/>
        <v/>
      </c>
      <c r="E5318" s="45" t="str">
        <f t="shared" si="24"/>
        <v/>
      </c>
      <c r="F5318" s="59" t="str">
        <f t="shared" si="25"/>
        <v/>
      </c>
      <c r="G5318" s="59" t="str">
        <f t="shared" si="26"/>
        <v/>
      </c>
      <c r="H5318" s="59" t="str">
        <f t="shared" si="27"/>
        <v>29E18160</v>
      </c>
      <c r="I5318" s="59" t="str">
        <f>IF(OR($A5318="",$C5318="",$D5318="",$E5318="",$H5318=""),"",SUMIFS(DATA_GOC!$H:$H,DATA_GOC!$A:$A,"BOM",DATA_GOC!$D:$D,$H5318,DATA_GOC!$E:$E,$C5318,DATA_GOC!$F:$F,"Xuất nội bộ từ téc",DATA_GOC!$B:$B,"&gt;="&amp;$D5318,DATA_GOC!$B:$B,"&lt;="&amp;$E5318))</f>
        <v/>
      </c>
      <c r="J5318" s="59">
        <f t="shared" si="28"/>
        <v>0</v>
      </c>
      <c r="K5318" s="59">
        <f t="shared" si="29"/>
        <v>0</v>
      </c>
      <c r="L5318" s="59">
        <f t="shared" si="30"/>
        <v>0</v>
      </c>
      <c r="M5318" s="59">
        <f t="shared" si="31"/>
        <v>0</v>
      </c>
    </row>
    <row r="5319" ht="15.0" hidden="1" customHeight="1">
      <c r="A5319" s="59">
        <f t="shared" si="20"/>
        <v>85</v>
      </c>
      <c r="B5319" s="59" t="str">
        <f t="shared" si="21"/>
        <v/>
      </c>
      <c r="C5319" s="59" t="str">
        <f t="shared" si="22"/>
        <v/>
      </c>
      <c r="D5319" s="45" t="str">
        <f t="shared" si="23"/>
        <v/>
      </c>
      <c r="E5319" s="45" t="str">
        <f t="shared" si="24"/>
        <v/>
      </c>
      <c r="F5319" s="59" t="str">
        <f t="shared" si="25"/>
        <v/>
      </c>
      <c r="G5319" s="59" t="str">
        <f t="shared" si="26"/>
        <v/>
      </c>
      <c r="H5319" s="59" t="str">
        <f t="shared" si="27"/>
        <v>Công trình Asphalt</v>
      </c>
      <c r="I5319" s="59" t="str">
        <f>IF(OR($A5319="",$C5319="",$D5319="",$E5319="",$H5319=""),"",SUMIFS(DATA_GOC!$H:$H,DATA_GOC!$A:$A,"BOM",DATA_GOC!$D:$D,$H5319,DATA_GOC!$E:$E,$C5319,DATA_GOC!$F:$F,"Xuất nội bộ từ téc",DATA_GOC!$B:$B,"&gt;="&amp;$D5319,DATA_GOC!$B:$B,"&lt;="&amp;$E5319))</f>
        <v/>
      </c>
      <c r="J5319" s="59">
        <f t="shared" si="28"/>
        <v>0</v>
      </c>
      <c r="K5319" s="59">
        <f t="shared" si="29"/>
        <v>0</v>
      </c>
      <c r="L5319" s="59">
        <f t="shared" si="30"/>
        <v>0</v>
      </c>
      <c r="M5319" s="59">
        <f t="shared" si="31"/>
        <v>0</v>
      </c>
    </row>
    <row r="5320" ht="15.0" hidden="1" customHeight="1">
      <c r="A5320" s="59">
        <f t="shared" si="20"/>
        <v>85</v>
      </c>
      <c r="B5320" s="59" t="str">
        <f t="shared" si="21"/>
        <v/>
      </c>
      <c r="C5320" s="59" t="str">
        <f t="shared" si="22"/>
        <v/>
      </c>
      <c r="D5320" s="45" t="str">
        <f t="shared" si="23"/>
        <v/>
      </c>
      <c r="E5320" s="45" t="str">
        <f t="shared" si="24"/>
        <v/>
      </c>
      <c r="F5320" s="59" t="str">
        <f t="shared" si="25"/>
        <v/>
      </c>
      <c r="G5320" s="59" t="str">
        <f t="shared" si="26"/>
        <v/>
      </c>
      <c r="H5320" s="59" t="str">
        <f t="shared" si="27"/>
        <v>LG53F</v>
      </c>
      <c r="I5320" s="59" t="str">
        <f>IF(OR($A5320="",$C5320="",$D5320="",$E5320="",$H5320=""),"",SUMIFS(DATA_GOC!$H:$H,DATA_GOC!$A:$A,"BOM",DATA_GOC!$D:$D,$H5320,DATA_GOC!$E:$E,$C5320,DATA_GOC!$F:$F,"Xuất nội bộ từ téc",DATA_GOC!$B:$B,"&gt;="&amp;$D5320,DATA_GOC!$B:$B,"&lt;="&amp;$E5320))</f>
        <v/>
      </c>
      <c r="J5320" s="59">
        <f t="shared" si="28"/>
        <v>0</v>
      </c>
      <c r="K5320" s="59">
        <f t="shared" si="29"/>
        <v>0</v>
      </c>
      <c r="L5320" s="59">
        <f t="shared" si="30"/>
        <v>0</v>
      </c>
      <c r="M5320" s="59">
        <f t="shared" si="31"/>
        <v>0</v>
      </c>
    </row>
    <row r="5321" ht="15.0" hidden="1" customHeight="1">
      <c r="A5321" s="59">
        <f t="shared" si="20"/>
        <v>85</v>
      </c>
      <c r="B5321" s="59" t="str">
        <f t="shared" si="21"/>
        <v/>
      </c>
      <c r="C5321" s="59" t="str">
        <f t="shared" si="22"/>
        <v/>
      </c>
      <c r="D5321" s="45" t="str">
        <f t="shared" si="23"/>
        <v/>
      </c>
      <c r="E5321" s="45" t="str">
        <f t="shared" si="24"/>
        <v/>
      </c>
      <c r="F5321" s="59" t="str">
        <f t="shared" si="25"/>
        <v/>
      </c>
      <c r="G5321" s="59" t="str">
        <f t="shared" si="26"/>
        <v/>
      </c>
      <c r="H5321" s="59" t="str">
        <f t="shared" si="27"/>
        <v>Máy phát điện</v>
      </c>
      <c r="I5321" s="59" t="str">
        <f>IF(OR($A5321="",$C5321="",$D5321="",$E5321="",$H5321=""),"",SUMIFS(DATA_GOC!$H:$H,DATA_GOC!$A:$A,"BOM",DATA_GOC!$D:$D,$H5321,DATA_GOC!$E:$E,$C5321,DATA_GOC!$F:$F,"Xuất nội bộ từ téc",DATA_GOC!$B:$B,"&gt;="&amp;$D5321,DATA_GOC!$B:$B,"&lt;="&amp;$E5321))</f>
        <v/>
      </c>
      <c r="J5321" s="59">
        <f t="shared" si="28"/>
        <v>0</v>
      </c>
      <c r="K5321" s="59">
        <f t="shared" si="29"/>
        <v>0</v>
      </c>
      <c r="L5321" s="59">
        <f t="shared" si="30"/>
        <v>0</v>
      </c>
      <c r="M5321" s="59">
        <f t="shared" si="31"/>
        <v>0</v>
      </c>
    </row>
    <row r="5322" ht="15.0" hidden="1" customHeight="1">
      <c r="A5322" s="59">
        <f t="shared" si="20"/>
        <v>85</v>
      </c>
      <c r="B5322" s="59" t="str">
        <f t="shared" si="21"/>
        <v/>
      </c>
      <c r="C5322" s="59" t="str">
        <f t="shared" si="22"/>
        <v/>
      </c>
      <c r="D5322" s="45" t="str">
        <f t="shared" si="23"/>
        <v/>
      </c>
      <c r="E5322" s="45" t="str">
        <f t="shared" si="24"/>
        <v/>
      </c>
      <c r="F5322" s="59" t="str">
        <f t="shared" si="25"/>
        <v/>
      </c>
      <c r="G5322" s="59" t="str">
        <f t="shared" si="26"/>
        <v/>
      </c>
      <c r="H5322" s="59" t="str">
        <f t="shared" si="27"/>
        <v>Máy rải thảm</v>
      </c>
      <c r="I5322" s="59" t="str">
        <f>IF(OR($A5322="",$C5322="",$D5322="",$E5322="",$H5322=""),"",SUMIFS(DATA_GOC!$H:$H,DATA_GOC!$A:$A,"BOM",DATA_GOC!$D:$D,$H5322,DATA_GOC!$E:$E,$C5322,DATA_GOC!$F:$F,"Xuất nội bộ từ téc",DATA_GOC!$B:$B,"&gt;="&amp;$D5322,DATA_GOC!$B:$B,"&lt;="&amp;$E5322))</f>
        <v/>
      </c>
      <c r="J5322" s="59">
        <f t="shared" si="28"/>
        <v>0</v>
      </c>
      <c r="K5322" s="59">
        <f t="shared" si="29"/>
        <v>0</v>
      </c>
      <c r="L5322" s="59">
        <f t="shared" si="30"/>
        <v>0</v>
      </c>
      <c r="M5322" s="59">
        <f t="shared" si="31"/>
        <v>0</v>
      </c>
    </row>
    <row r="5323" ht="15.0" hidden="1" customHeight="1">
      <c r="A5323" s="59">
        <f t="shared" si="20"/>
        <v>85</v>
      </c>
      <c r="B5323" s="59" t="str">
        <f t="shared" si="21"/>
        <v/>
      </c>
      <c r="C5323" s="59" t="str">
        <f t="shared" si="22"/>
        <v/>
      </c>
      <c r="D5323" s="45" t="str">
        <f t="shared" si="23"/>
        <v/>
      </c>
      <c r="E5323" s="45" t="str">
        <f t="shared" si="24"/>
        <v/>
      </c>
      <c r="F5323" s="59" t="str">
        <f t="shared" si="25"/>
        <v/>
      </c>
      <c r="G5323" s="59" t="str">
        <f t="shared" si="26"/>
        <v/>
      </c>
      <c r="H5323" s="59" t="str">
        <f t="shared" si="27"/>
        <v>Xúc Đào</v>
      </c>
      <c r="I5323" s="59" t="str">
        <f>IF(OR($A5323="",$C5323="",$D5323="",$E5323="",$H5323=""),"",SUMIFS(DATA_GOC!$H:$H,DATA_GOC!$A:$A,"BOM",DATA_GOC!$D:$D,$H5323,DATA_GOC!$E:$E,$C5323,DATA_GOC!$F:$F,"Xuất nội bộ từ téc",DATA_GOC!$B:$B,"&gt;="&amp;$D5323,DATA_GOC!$B:$B,"&lt;="&amp;$E5323))</f>
        <v/>
      </c>
      <c r="J5323" s="59">
        <f t="shared" si="28"/>
        <v>0</v>
      </c>
      <c r="K5323" s="59">
        <f t="shared" si="29"/>
        <v>0</v>
      </c>
      <c r="L5323" s="59">
        <f t="shared" si="30"/>
        <v>0</v>
      </c>
      <c r="M5323" s="59">
        <f t="shared" si="31"/>
        <v>0</v>
      </c>
    </row>
    <row r="5324" ht="15.0" hidden="1" customHeight="1">
      <c r="A5324" s="59">
        <f t="shared" si="20"/>
        <v>85</v>
      </c>
      <c r="B5324" s="59" t="str">
        <f t="shared" si="21"/>
        <v/>
      </c>
      <c r="C5324" s="59" t="str">
        <f t="shared" si="22"/>
        <v/>
      </c>
      <c r="D5324" s="45" t="str">
        <f t="shared" si="23"/>
        <v/>
      </c>
      <c r="E5324" s="45" t="str">
        <f t="shared" si="24"/>
        <v/>
      </c>
      <c r="F5324" s="59" t="str">
        <f t="shared" si="25"/>
        <v/>
      </c>
      <c r="G5324" s="59" t="str">
        <f t="shared" si="26"/>
        <v/>
      </c>
      <c r="H5324" s="59" t="str">
        <f t="shared" si="27"/>
        <v>Xúclật asphalt</v>
      </c>
      <c r="I5324" s="59" t="str">
        <f>IF(OR($A5324="",$C5324="",$D5324="",$E5324="",$H5324=""),"",SUMIFS(DATA_GOC!$H:$H,DATA_GOC!$A:$A,"BOM",DATA_GOC!$D:$D,$H5324,DATA_GOC!$E:$E,$C5324,DATA_GOC!$F:$F,"Xuất nội bộ từ téc",DATA_GOC!$B:$B,"&gt;="&amp;$D5324,DATA_GOC!$B:$B,"&lt;="&amp;$E5324))</f>
        <v/>
      </c>
      <c r="J5324" s="59">
        <f t="shared" si="28"/>
        <v>0</v>
      </c>
      <c r="K5324" s="59">
        <f t="shared" si="29"/>
        <v>0</v>
      </c>
      <c r="L5324" s="59">
        <f t="shared" si="30"/>
        <v>0</v>
      </c>
      <c r="M5324" s="59">
        <f t="shared" si="31"/>
        <v>0</v>
      </c>
    </row>
    <row r="5325" ht="15.0" hidden="1" customHeight="1">
      <c r="A5325" s="59">
        <f t="shared" si="20"/>
        <v>85</v>
      </c>
      <c r="B5325" s="59" t="str">
        <f t="shared" si="21"/>
        <v/>
      </c>
      <c r="C5325" s="59" t="str">
        <f t="shared" si="22"/>
        <v/>
      </c>
      <c r="D5325" s="45" t="str">
        <f t="shared" si="23"/>
        <v/>
      </c>
      <c r="E5325" s="45" t="str">
        <f t="shared" si="24"/>
        <v/>
      </c>
      <c r="F5325" s="59" t="str">
        <f t="shared" si="25"/>
        <v/>
      </c>
      <c r="G5325" s="59" t="str">
        <f t="shared" si="26"/>
        <v/>
      </c>
      <c r="H5325" s="59" t="str">
        <f t="shared" si="27"/>
        <v>Xúclật855H</v>
      </c>
      <c r="I5325" s="59" t="str">
        <f>IF(OR($A5325="",$C5325="",$D5325="",$E5325="",$H5325=""),"",SUMIFS(DATA_GOC!$H:$H,DATA_GOC!$A:$A,"BOM",DATA_GOC!$D:$D,$H5325,DATA_GOC!$E:$E,$C5325,DATA_GOC!$F:$F,"Xuất nội bộ từ téc",DATA_GOC!$B:$B,"&gt;="&amp;$D5325,DATA_GOC!$B:$B,"&lt;="&amp;$E5325))</f>
        <v/>
      </c>
      <c r="J5325" s="59">
        <f t="shared" si="28"/>
        <v>0</v>
      </c>
      <c r="K5325" s="59">
        <f t="shared" si="29"/>
        <v>0</v>
      </c>
      <c r="L5325" s="59">
        <f t="shared" si="30"/>
        <v>0</v>
      </c>
      <c r="M5325" s="59">
        <f t="shared" si="31"/>
        <v>0</v>
      </c>
    </row>
    <row r="5326" ht="15.0" hidden="1" customHeight="1">
      <c r="A5326" s="59">
        <f t="shared" si="20"/>
        <v>85</v>
      </c>
      <c r="B5326" s="59" t="str">
        <f t="shared" si="21"/>
        <v/>
      </c>
      <c r="C5326" s="59" t="str">
        <f t="shared" si="22"/>
        <v/>
      </c>
      <c r="D5326" s="45" t="str">
        <f t="shared" si="23"/>
        <v/>
      </c>
      <c r="E5326" s="45" t="str">
        <f t="shared" si="24"/>
        <v/>
      </c>
      <c r="F5326" s="59" t="str">
        <f t="shared" si="25"/>
        <v/>
      </c>
      <c r="G5326" s="59" t="str">
        <f t="shared" si="26"/>
        <v/>
      </c>
      <c r="H5326" s="59" t="str">
        <f t="shared" si="27"/>
        <v>Xúclật855N</v>
      </c>
      <c r="I5326" s="59" t="str">
        <f>IF(OR($A5326="",$C5326="",$D5326="",$E5326="",$H5326=""),"",SUMIFS(DATA_GOC!$H:$H,DATA_GOC!$A:$A,"BOM",DATA_GOC!$D:$D,$H5326,DATA_GOC!$E:$E,$C5326,DATA_GOC!$F:$F,"Xuất nội bộ từ téc",DATA_GOC!$B:$B,"&gt;="&amp;$D5326,DATA_GOC!$B:$B,"&lt;="&amp;$E5326))</f>
        <v/>
      </c>
      <c r="J5326" s="59">
        <f t="shared" si="28"/>
        <v>0</v>
      </c>
      <c r="K5326" s="59">
        <f t="shared" si="29"/>
        <v>0</v>
      </c>
      <c r="L5326" s="59">
        <f t="shared" si="30"/>
        <v>0</v>
      </c>
      <c r="M5326" s="59">
        <f t="shared" si="31"/>
        <v>0</v>
      </c>
    </row>
    <row r="5327" ht="15.0" hidden="1" customHeight="1">
      <c r="A5327" s="59">
        <f t="shared" si="20"/>
        <v>85</v>
      </c>
      <c r="B5327" s="59" t="str">
        <f t="shared" si="21"/>
        <v/>
      </c>
      <c r="C5327" s="59" t="str">
        <f t="shared" si="22"/>
        <v/>
      </c>
      <c r="D5327" s="45" t="str">
        <f t="shared" si="23"/>
        <v/>
      </c>
      <c r="E5327" s="45" t="str">
        <f t="shared" si="24"/>
        <v/>
      </c>
      <c r="F5327" s="59" t="str">
        <f t="shared" si="25"/>
        <v/>
      </c>
      <c r="G5327" s="59" t="str">
        <f t="shared" si="26"/>
        <v/>
      </c>
      <c r="H5327" s="59" t="str">
        <f t="shared" si="27"/>
        <v>Cát nghiền</v>
      </c>
      <c r="I5327" s="59" t="str">
        <f>IF(OR($A5327="",$C5327="",$D5327="",$E5327="",$H5327=""),"",SUMIFS(DATA_GOC!$H:$H,DATA_GOC!$A:$A,"BOM",DATA_GOC!$D:$D,$H5327,DATA_GOC!$E:$E,$C5327,DATA_GOC!$F:$F,"Xuất nội bộ từ téc",DATA_GOC!$B:$B,"&gt;="&amp;$D5327,DATA_GOC!$B:$B,"&lt;="&amp;$E5327))</f>
        <v/>
      </c>
      <c r="J5327" s="59">
        <f t="shared" si="28"/>
        <v>0</v>
      </c>
      <c r="K5327" s="59">
        <f t="shared" si="29"/>
        <v>0</v>
      </c>
      <c r="L5327" s="59">
        <f t="shared" si="30"/>
        <v>0</v>
      </c>
      <c r="M5327" s="59">
        <f t="shared" si="31"/>
        <v>0</v>
      </c>
    </row>
    <row r="5328" ht="15.0" hidden="1" customHeight="1">
      <c r="A5328" s="59">
        <f t="shared" si="20"/>
        <v>85</v>
      </c>
      <c r="B5328" s="59" t="str">
        <f t="shared" si="21"/>
        <v/>
      </c>
      <c r="C5328" s="59" t="str">
        <f t="shared" si="22"/>
        <v/>
      </c>
      <c r="D5328" s="45" t="str">
        <f t="shared" si="23"/>
        <v/>
      </c>
      <c r="E5328" s="45" t="str">
        <f t="shared" si="24"/>
        <v/>
      </c>
      <c r="F5328" s="59" t="str">
        <f t="shared" si="25"/>
        <v/>
      </c>
      <c r="G5328" s="59" t="str">
        <f t="shared" si="26"/>
        <v/>
      </c>
      <c r="H5328" s="59" t="str">
        <f t="shared" si="27"/>
        <v>28C02973</v>
      </c>
      <c r="I5328" s="59" t="str">
        <f>IF(OR($A5328="",$C5328="",$D5328="",$E5328="",$H5328=""),"",SUMIFS(DATA_GOC!$H:$H,DATA_GOC!$A:$A,"BOM",DATA_GOC!$D:$D,$H5328,DATA_GOC!$E:$E,$C5328,DATA_GOC!$F:$F,"Xuất nội bộ từ téc",DATA_GOC!$B:$B,"&gt;="&amp;$D5328,DATA_GOC!$B:$B,"&lt;="&amp;$E5328))</f>
        <v/>
      </c>
      <c r="J5328" s="59">
        <f t="shared" si="28"/>
        <v>0</v>
      </c>
      <c r="K5328" s="59">
        <f t="shared" si="29"/>
        <v>0</v>
      </c>
      <c r="L5328" s="59">
        <f t="shared" si="30"/>
        <v>0</v>
      </c>
      <c r="M5328" s="59">
        <f t="shared" si="31"/>
        <v>0</v>
      </c>
    </row>
    <row r="5329" ht="15.0" hidden="1" customHeight="1">
      <c r="A5329" s="59">
        <f t="shared" si="20"/>
        <v>85</v>
      </c>
      <c r="B5329" s="59" t="str">
        <f t="shared" si="21"/>
        <v/>
      </c>
      <c r="C5329" s="59" t="str">
        <f t="shared" si="22"/>
        <v/>
      </c>
      <c r="D5329" s="45" t="str">
        <f t="shared" si="23"/>
        <v/>
      </c>
      <c r="E5329" s="45" t="str">
        <f t="shared" si="24"/>
        <v/>
      </c>
      <c r="F5329" s="59" t="str">
        <f t="shared" si="25"/>
        <v/>
      </c>
      <c r="G5329" s="59" t="str">
        <f t="shared" si="26"/>
        <v/>
      </c>
      <c r="H5329" s="59" t="str">
        <f t="shared" si="27"/>
        <v>28C03044</v>
      </c>
      <c r="I5329" s="59" t="str">
        <f>IF(OR($A5329="",$C5329="",$D5329="",$E5329="",$H5329=""),"",SUMIFS(DATA_GOC!$H:$H,DATA_GOC!$A:$A,"BOM",DATA_GOC!$D:$D,$H5329,DATA_GOC!$E:$E,$C5329,DATA_GOC!$F:$F,"Xuất nội bộ từ téc",DATA_GOC!$B:$B,"&gt;="&amp;$D5329,DATA_GOC!$B:$B,"&lt;="&amp;$E5329))</f>
        <v/>
      </c>
      <c r="J5329" s="59">
        <f t="shared" si="28"/>
        <v>0</v>
      </c>
      <c r="K5329" s="59">
        <f t="shared" si="29"/>
        <v>0</v>
      </c>
      <c r="L5329" s="59">
        <f t="shared" si="30"/>
        <v>0</v>
      </c>
      <c r="M5329" s="59">
        <f t="shared" si="31"/>
        <v>0</v>
      </c>
    </row>
    <row r="5330" ht="15.0" hidden="1" customHeight="1">
      <c r="A5330" s="59">
        <f t="shared" si="20"/>
        <v>85</v>
      </c>
      <c r="B5330" s="59" t="str">
        <f t="shared" si="21"/>
        <v/>
      </c>
      <c r="C5330" s="59" t="str">
        <f t="shared" si="22"/>
        <v/>
      </c>
      <c r="D5330" s="45" t="str">
        <f t="shared" si="23"/>
        <v/>
      </c>
      <c r="E5330" s="45" t="str">
        <f t="shared" si="24"/>
        <v/>
      </c>
      <c r="F5330" s="59" t="str">
        <f t="shared" si="25"/>
        <v/>
      </c>
      <c r="G5330" s="59" t="str">
        <f t="shared" si="26"/>
        <v/>
      </c>
      <c r="H5330" s="59" t="str">
        <f t="shared" si="27"/>
        <v>Máy lu lốp</v>
      </c>
      <c r="I5330" s="59" t="str">
        <f>IF(OR($A5330="",$C5330="",$D5330="",$E5330="",$H5330=""),"",SUMIFS(DATA_GOC!$H:$H,DATA_GOC!$A:$A,"BOM",DATA_GOC!$D:$D,$H5330,DATA_GOC!$E:$E,$C5330,DATA_GOC!$F:$F,"Xuất nội bộ từ téc",DATA_GOC!$B:$B,"&gt;="&amp;$D5330,DATA_GOC!$B:$B,"&lt;="&amp;$E5330))</f>
        <v/>
      </c>
      <c r="J5330" s="59">
        <f t="shared" si="28"/>
        <v>0</v>
      </c>
      <c r="K5330" s="59">
        <f t="shared" si="29"/>
        <v>0</v>
      </c>
      <c r="L5330" s="59">
        <f t="shared" si="30"/>
        <v>0</v>
      </c>
      <c r="M5330" s="59">
        <f t="shared" si="31"/>
        <v>0</v>
      </c>
    </row>
    <row r="5331" ht="15.0" hidden="1" customHeight="1">
      <c r="A5331" s="59">
        <f t="shared" si="20"/>
        <v>85</v>
      </c>
      <c r="B5331" s="59" t="str">
        <f t="shared" si="21"/>
        <v/>
      </c>
      <c r="C5331" s="59" t="str">
        <f t="shared" si="22"/>
        <v/>
      </c>
      <c r="D5331" s="45" t="str">
        <f t="shared" si="23"/>
        <v/>
      </c>
      <c r="E5331" s="45" t="str">
        <f t="shared" si="24"/>
        <v/>
      </c>
      <c r="F5331" s="59" t="str">
        <f t="shared" si="25"/>
        <v/>
      </c>
      <c r="G5331" s="59" t="str">
        <f t="shared" si="26"/>
        <v/>
      </c>
      <c r="H5331" s="59" t="str">
        <f t="shared" si="27"/>
        <v>Xe 600148</v>
      </c>
      <c r="I5331" s="59" t="str">
        <f>IF(OR($A5331="",$C5331="",$D5331="",$E5331="",$H5331=""),"",SUMIFS(DATA_GOC!$H:$H,DATA_GOC!$A:$A,"BOM",DATA_GOC!$D:$D,$H5331,DATA_GOC!$E:$E,$C5331,DATA_GOC!$F:$F,"Xuất nội bộ từ téc",DATA_GOC!$B:$B,"&gt;="&amp;$D5331,DATA_GOC!$B:$B,"&lt;="&amp;$E5331))</f>
        <v/>
      </c>
      <c r="J5331" s="59">
        <f t="shared" si="28"/>
        <v>0</v>
      </c>
      <c r="K5331" s="59">
        <f t="shared" si="29"/>
        <v>0</v>
      </c>
      <c r="L5331" s="59">
        <f t="shared" si="30"/>
        <v>0</v>
      </c>
      <c r="M5331" s="59">
        <f t="shared" si="31"/>
        <v>0</v>
      </c>
    </row>
    <row r="5332" ht="15.0" hidden="1" customHeight="1">
      <c r="A5332" s="59">
        <f t="shared" si="20"/>
        <v>85</v>
      </c>
      <c r="B5332" s="59" t="str">
        <f t="shared" si="21"/>
        <v/>
      </c>
      <c r="C5332" s="59" t="str">
        <f t="shared" si="22"/>
        <v/>
      </c>
      <c r="D5332" s="45" t="str">
        <f t="shared" si="23"/>
        <v/>
      </c>
      <c r="E5332" s="45" t="str">
        <f t="shared" si="24"/>
        <v/>
      </c>
      <c r="F5332" s="59" t="str">
        <f t="shared" si="25"/>
        <v/>
      </c>
      <c r="G5332" s="59" t="str">
        <f t="shared" si="26"/>
        <v/>
      </c>
      <c r="H5332" s="59" t="str">
        <f t="shared" si="27"/>
        <v>Xe ben mới</v>
      </c>
      <c r="I5332" s="59" t="str">
        <f>IF(OR($A5332="",$C5332="",$D5332="",$E5332="",$H5332=""),"",SUMIFS(DATA_GOC!$H:$H,DATA_GOC!$A:$A,"BOM",DATA_GOC!$D:$D,$H5332,DATA_GOC!$E:$E,$C5332,DATA_GOC!$F:$F,"Xuất nội bộ từ téc",DATA_GOC!$B:$B,"&gt;="&amp;$D5332,DATA_GOC!$B:$B,"&lt;="&amp;$E5332))</f>
        <v/>
      </c>
      <c r="J5332" s="59">
        <f t="shared" si="28"/>
        <v>0</v>
      </c>
      <c r="K5332" s="59">
        <f t="shared" si="29"/>
        <v>0</v>
      </c>
      <c r="L5332" s="59">
        <f t="shared" si="30"/>
        <v>0</v>
      </c>
      <c r="M5332" s="59">
        <f t="shared" si="31"/>
        <v>0</v>
      </c>
    </row>
    <row r="5333" ht="15.0" hidden="1" customHeight="1">
      <c r="A5333" s="59">
        <f t="shared" si="20"/>
        <v>86</v>
      </c>
      <c r="B5333" s="59" t="str">
        <f t="shared" si="21"/>
        <v/>
      </c>
      <c r="C5333" s="59" t="str">
        <f t="shared" si="22"/>
        <v/>
      </c>
      <c r="D5333" s="45" t="str">
        <f t="shared" si="23"/>
        <v/>
      </c>
      <c r="E5333" s="45" t="str">
        <f t="shared" si="24"/>
        <v/>
      </c>
      <c r="F5333" s="59" t="str">
        <f t="shared" si="25"/>
        <v/>
      </c>
      <c r="G5333" s="59" t="str">
        <f t="shared" si="26"/>
        <v/>
      </c>
      <c r="H5333" s="59" t="str">
        <f t="shared" si="27"/>
        <v>19H09482</v>
      </c>
      <c r="I5333" s="59" t="str">
        <f>IF(OR($A5333="",$C5333="",$D5333="",$E5333="",$H5333=""),"",SUMIFS(DATA_GOC!$H:$H,DATA_GOC!$A:$A,"BOM",DATA_GOC!$D:$D,$H5333,DATA_GOC!$E:$E,$C5333,DATA_GOC!$F:$F,"Xuất nội bộ từ téc",DATA_GOC!$B:$B,"&gt;="&amp;$D5333,DATA_GOC!$B:$B,"&lt;="&amp;$E5333))</f>
        <v/>
      </c>
      <c r="J5333" s="59">
        <f t="shared" si="28"/>
        <v>0</v>
      </c>
      <c r="K5333" s="59">
        <f t="shared" si="29"/>
        <v>0</v>
      </c>
      <c r="L5333" s="59">
        <f t="shared" si="30"/>
        <v>0</v>
      </c>
      <c r="M5333" s="59">
        <f t="shared" si="31"/>
        <v>0</v>
      </c>
    </row>
    <row r="5334" ht="15.0" hidden="1" customHeight="1">
      <c r="A5334" s="59">
        <f t="shared" si="20"/>
        <v>86</v>
      </c>
      <c r="B5334" s="59" t="str">
        <f t="shared" si="21"/>
        <v/>
      </c>
      <c r="C5334" s="59" t="str">
        <f t="shared" si="22"/>
        <v/>
      </c>
      <c r="D5334" s="45" t="str">
        <f t="shared" si="23"/>
        <v/>
      </c>
      <c r="E5334" s="45" t="str">
        <f t="shared" si="24"/>
        <v/>
      </c>
      <c r="F5334" s="59" t="str">
        <f t="shared" si="25"/>
        <v/>
      </c>
      <c r="G5334" s="59" t="str">
        <f t="shared" si="26"/>
        <v/>
      </c>
      <c r="H5334" s="59" t="str">
        <f t="shared" si="27"/>
        <v>28A30696</v>
      </c>
      <c r="I5334" s="59" t="str">
        <f>IF(OR($A5334="",$C5334="",$D5334="",$E5334="",$H5334=""),"",SUMIFS(DATA_GOC!$H:$H,DATA_GOC!$A:$A,"BOM",DATA_GOC!$D:$D,$H5334,DATA_GOC!$E:$E,$C5334,DATA_GOC!$F:$F,"Xuất nội bộ từ téc",DATA_GOC!$B:$B,"&gt;="&amp;$D5334,DATA_GOC!$B:$B,"&lt;="&amp;$E5334))</f>
        <v/>
      </c>
      <c r="J5334" s="59">
        <f t="shared" si="28"/>
        <v>0</v>
      </c>
      <c r="K5334" s="59">
        <f t="shared" si="29"/>
        <v>0</v>
      </c>
      <c r="L5334" s="59">
        <f t="shared" si="30"/>
        <v>0</v>
      </c>
      <c r="M5334" s="59">
        <f t="shared" si="31"/>
        <v>0</v>
      </c>
    </row>
    <row r="5335" ht="15.0" hidden="1" customHeight="1">
      <c r="A5335" s="59">
        <f t="shared" si="20"/>
        <v>86</v>
      </c>
      <c r="B5335" s="59" t="str">
        <f t="shared" si="21"/>
        <v/>
      </c>
      <c r="C5335" s="59" t="str">
        <f t="shared" si="22"/>
        <v/>
      </c>
      <c r="D5335" s="45" t="str">
        <f t="shared" si="23"/>
        <v/>
      </c>
      <c r="E5335" s="45" t="str">
        <f t="shared" si="24"/>
        <v/>
      </c>
      <c r="F5335" s="59" t="str">
        <f t="shared" si="25"/>
        <v/>
      </c>
      <c r="G5335" s="59" t="str">
        <f t="shared" si="26"/>
        <v/>
      </c>
      <c r="H5335" s="59" t="str">
        <f t="shared" si="27"/>
        <v>28C00462</v>
      </c>
      <c r="I5335" s="59" t="str">
        <f>IF(OR($A5335="",$C5335="",$D5335="",$E5335="",$H5335=""),"",SUMIFS(DATA_GOC!$H:$H,DATA_GOC!$A:$A,"BOM",DATA_GOC!$D:$D,$H5335,DATA_GOC!$E:$E,$C5335,DATA_GOC!$F:$F,"Xuất nội bộ từ téc",DATA_GOC!$B:$B,"&gt;="&amp;$D5335,DATA_GOC!$B:$B,"&lt;="&amp;$E5335))</f>
        <v/>
      </c>
      <c r="J5335" s="59">
        <f t="shared" si="28"/>
        <v>0</v>
      </c>
      <c r="K5335" s="59">
        <f t="shared" si="29"/>
        <v>0</v>
      </c>
      <c r="L5335" s="59">
        <f t="shared" si="30"/>
        <v>0</v>
      </c>
      <c r="M5335" s="59">
        <f t="shared" si="31"/>
        <v>0</v>
      </c>
    </row>
    <row r="5336" ht="15.0" hidden="1" customHeight="1">
      <c r="A5336" s="59">
        <f t="shared" si="20"/>
        <v>86</v>
      </c>
      <c r="B5336" s="59" t="str">
        <f t="shared" si="21"/>
        <v/>
      </c>
      <c r="C5336" s="59" t="str">
        <f t="shared" si="22"/>
        <v/>
      </c>
      <c r="D5336" s="45" t="str">
        <f t="shared" si="23"/>
        <v/>
      </c>
      <c r="E5336" s="45" t="str">
        <f t="shared" si="24"/>
        <v/>
      </c>
      <c r="F5336" s="59" t="str">
        <f t="shared" si="25"/>
        <v/>
      </c>
      <c r="G5336" s="59" t="str">
        <f t="shared" si="26"/>
        <v/>
      </c>
      <c r="H5336" s="59" t="str">
        <f t="shared" si="27"/>
        <v>28C01165</v>
      </c>
      <c r="I5336" s="59" t="str">
        <f>IF(OR($A5336="",$C5336="",$D5336="",$E5336="",$H5336=""),"",SUMIFS(DATA_GOC!$H:$H,DATA_GOC!$A:$A,"BOM",DATA_GOC!$D:$D,$H5336,DATA_GOC!$E:$E,$C5336,DATA_GOC!$F:$F,"Xuất nội bộ từ téc",DATA_GOC!$B:$B,"&gt;="&amp;$D5336,DATA_GOC!$B:$B,"&lt;="&amp;$E5336))</f>
        <v/>
      </c>
      <c r="J5336" s="59">
        <f t="shared" si="28"/>
        <v>0</v>
      </c>
      <c r="K5336" s="59">
        <f t="shared" si="29"/>
        <v>0</v>
      </c>
      <c r="L5336" s="59">
        <f t="shared" si="30"/>
        <v>0</v>
      </c>
      <c r="M5336" s="59">
        <f t="shared" si="31"/>
        <v>0</v>
      </c>
    </row>
    <row r="5337" ht="15.0" hidden="1" customHeight="1">
      <c r="A5337" s="59">
        <f t="shared" si="20"/>
        <v>86</v>
      </c>
      <c r="B5337" s="59" t="str">
        <f t="shared" si="21"/>
        <v/>
      </c>
      <c r="C5337" s="59" t="str">
        <f t="shared" si="22"/>
        <v/>
      </c>
      <c r="D5337" s="45" t="str">
        <f t="shared" si="23"/>
        <v/>
      </c>
      <c r="E5337" s="45" t="str">
        <f t="shared" si="24"/>
        <v/>
      </c>
      <c r="F5337" s="59" t="str">
        <f t="shared" si="25"/>
        <v/>
      </c>
      <c r="G5337" s="59" t="str">
        <f t="shared" si="26"/>
        <v/>
      </c>
      <c r="H5337" s="59" t="str">
        <f t="shared" si="27"/>
        <v>28C01406</v>
      </c>
      <c r="I5337" s="59" t="str">
        <f>IF(OR($A5337="",$C5337="",$D5337="",$E5337="",$H5337=""),"",SUMIFS(DATA_GOC!$H:$H,DATA_GOC!$A:$A,"BOM",DATA_GOC!$D:$D,$H5337,DATA_GOC!$E:$E,$C5337,DATA_GOC!$F:$F,"Xuất nội bộ từ téc",DATA_GOC!$B:$B,"&gt;="&amp;$D5337,DATA_GOC!$B:$B,"&lt;="&amp;$E5337))</f>
        <v/>
      </c>
      <c r="J5337" s="59">
        <f t="shared" si="28"/>
        <v>0</v>
      </c>
      <c r="K5337" s="59">
        <f t="shared" si="29"/>
        <v>0</v>
      </c>
      <c r="L5337" s="59">
        <f t="shared" si="30"/>
        <v>0</v>
      </c>
      <c r="M5337" s="59">
        <f t="shared" si="31"/>
        <v>0</v>
      </c>
    </row>
    <row r="5338" ht="15.0" hidden="1" customHeight="1">
      <c r="A5338" s="59">
        <f t="shared" si="20"/>
        <v>86</v>
      </c>
      <c r="B5338" s="59" t="str">
        <f t="shared" si="21"/>
        <v/>
      </c>
      <c r="C5338" s="59" t="str">
        <f t="shared" si="22"/>
        <v/>
      </c>
      <c r="D5338" s="45" t="str">
        <f t="shared" si="23"/>
        <v/>
      </c>
      <c r="E5338" s="45" t="str">
        <f t="shared" si="24"/>
        <v/>
      </c>
      <c r="F5338" s="59" t="str">
        <f t="shared" si="25"/>
        <v/>
      </c>
      <c r="G5338" s="59" t="str">
        <f t="shared" si="26"/>
        <v/>
      </c>
      <c r="H5338" s="59" t="str">
        <f t="shared" si="27"/>
        <v>28C01544</v>
      </c>
      <c r="I5338" s="59" t="str">
        <f>IF(OR($A5338="",$C5338="",$D5338="",$E5338="",$H5338=""),"",SUMIFS(DATA_GOC!$H:$H,DATA_GOC!$A:$A,"BOM",DATA_GOC!$D:$D,$H5338,DATA_GOC!$E:$E,$C5338,DATA_GOC!$F:$F,"Xuất nội bộ từ téc",DATA_GOC!$B:$B,"&gt;="&amp;$D5338,DATA_GOC!$B:$B,"&lt;="&amp;$E5338))</f>
        <v/>
      </c>
      <c r="J5338" s="59">
        <f t="shared" si="28"/>
        <v>0</v>
      </c>
      <c r="K5338" s="59">
        <f t="shared" si="29"/>
        <v>0</v>
      </c>
      <c r="L5338" s="59">
        <f t="shared" si="30"/>
        <v>0</v>
      </c>
      <c r="M5338" s="59">
        <f t="shared" si="31"/>
        <v>0</v>
      </c>
    </row>
    <row r="5339" ht="15.0" hidden="1" customHeight="1">
      <c r="A5339" s="59">
        <f t="shared" si="20"/>
        <v>86</v>
      </c>
      <c r="B5339" s="59" t="str">
        <f t="shared" si="21"/>
        <v/>
      </c>
      <c r="C5339" s="59" t="str">
        <f t="shared" si="22"/>
        <v/>
      </c>
      <c r="D5339" s="45" t="str">
        <f t="shared" si="23"/>
        <v/>
      </c>
      <c r="E5339" s="45" t="str">
        <f t="shared" si="24"/>
        <v/>
      </c>
      <c r="F5339" s="59" t="str">
        <f t="shared" si="25"/>
        <v/>
      </c>
      <c r="G5339" s="59" t="str">
        <f t="shared" si="26"/>
        <v/>
      </c>
      <c r="H5339" s="59" t="str">
        <f t="shared" si="27"/>
        <v>28C01622</v>
      </c>
      <c r="I5339" s="59" t="str">
        <f>IF(OR($A5339="",$C5339="",$D5339="",$E5339="",$H5339=""),"",SUMIFS(DATA_GOC!$H:$H,DATA_GOC!$A:$A,"BOM",DATA_GOC!$D:$D,$H5339,DATA_GOC!$E:$E,$C5339,DATA_GOC!$F:$F,"Xuất nội bộ từ téc",DATA_GOC!$B:$B,"&gt;="&amp;$D5339,DATA_GOC!$B:$B,"&lt;="&amp;$E5339))</f>
        <v/>
      </c>
      <c r="J5339" s="59">
        <f t="shared" si="28"/>
        <v>0</v>
      </c>
      <c r="K5339" s="59">
        <f t="shared" si="29"/>
        <v>0</v>
      </c>
      <c r="L5339" s="59">
        <f t="shared" si="30"/>
        <v>0</v>
      </c>
      <c r="M5339" s="59">
        <f t="shared" si="31"/>
        <v>0</v>
      </c>
    </row>
    <row r="5340" ht="15.0" hidden="1" customHeight="1">
      <c r="A5340" s="59">
        <f t="shared" si="20"/>
        <v>86</v>
      </c>
      <c r="B5340" s="59" t="str">
        <f t="shared" si="21"/>
        <v/>
      </c>
      <c r="C5340" s="59" t="str">
        <f t="shared" si="22"/>
        <v/>
      </c>
      <c r="D5340" s="45" t="str">
        <f t="shared" si="23"/>
        <v/>
      </c>
      <c r="E5340" s="45" t="str">
        <f t="shared" si="24"/>
        <v/>
      </c>
      <c r="F5340" s="59" t="str">
        <f t="shared" si="25"/>
        <v/>
      </c>
      <c r="G5340" s="59" t="str">
        <f t="shared" si="26"/>
        <v/>
      </c>
      <c r="H5340" s="59" t="str">
        <f t="shared" si="27"/>
        <v>28C01647</v>
      </c>
      <c r="I5340" s="59" t="str">
        <f>IF(OR($A5340="",$C5340="",$D5340="",$E5340="",$H5340=""),"",SUMIFS(DATA_GOC!$H:$H,DATA_GOC!$A:$A,"BOM",DATA_GOC!$D:$D,$H5340,DATA_GOC!$E:$E,$C5340,DATA_GOC!$F:$F,"Xuất nội bộ từ téc",DATA_GOC!$B:$B,"&gt;="&amp;$D5340,DATA_GOC!$B:$B,"&lt;="&amp;$E5340))</f>
        <v/>
      </c>
      <c r="J5340" s="59">
        <f t="shared" si="28"/>
        <v>0</v>
      </c>
      <c r="K5340" s="59">
        <f t="shared" si="29"/>
        <v>0</v>
      </c>
      <c r="L5340" s="59">
        <f t="shared" si="30"/>
        <v>0</v>
      </c>
      <c r="M5340" s="59">
        <f t="shared" si="31"/>
        <v>0</v>
      </c>
    </row>
    <row r="5341" ht="15.0" hidden="1" customHeight="1">
      <c r="A5341" s="59">
        <f t="shared" si="20"/>
        <v>86</v>
      </c>
      <c r="B5341" s="59" t="str">
        <f t="shared" si="21"/>
        <v/>
      </c>
      <c r="C5341" s="59" t="str">
        <f t="shared" si="22"/>
        <v/>
      </c>
      <c r="D5341" s="45" t="str">
        <f t="shared" si="23"/>
        <v/>
      </c>
      <c r="E5341" s="45" t="str">
        <f t="shared" si="24"/>
        <v/>
      </c>
      <c r="F5341" s="59" t="str">
        <f t="shared" si="25"/>
        <v/>
      </c>
      <c r="G5341" s="59" t="str">
        <f t="shared" si="26"/>
        <v/>
      </c>
      <c r="H5341" s="59" t="str">
        <f t="shared" si="27"/>
        <v>28C01731</v>
      </c>
      <c r="I5341" s="59" t="str">
        <f>IF(OR($A5341="",$C5341="",$D5341="",$E5341="",$H5341=""),"",SUMIFS(DATA_GOC!$H:$H,DATA_GOC!$A:$A,"BOM",DATA_GOC!$D:$D,$H5341,DATA_GOC!$E:$E,$C5341,DATA_GOC!$F:$F,"Xuất nội bộ từ téc",DATA_GOC!$B:$B,"&gt;="&amp;$D5341,DATA_GOC!$B:$B,"&lt;="&amp;$E5341))</f>
        <v/>
      </c>
      <c r="J5341" s="59">
        <f t="shared" si="28"/>
        <v>0</v>
      </c>
      <c r="K5341" s="59">
        <f t="shared" si="29"/>
        <v>0</v>
      </c>
      <c r="L5341" s="59">
        <f t="shared" si="30"/>
        <v>0</v>
      </c>
      <c r="M5341" s="59">
        <f t="shared" si="31"/>
        <v>0</v>
      </c>
    </row>
    <row r="5342" ht="15.0" hidden="1" customHeight="1">
      <c r="A5342" s="59">
        <f t="shared" si="20"/>
        <v>86</v>
      </c>
      <c r="B5342" s="59" t="str">
        <f t="shared" si="21"/>
        <v/>
      </c>
      <c r="C5342" s="59" t="str">
        <f t="shared" si="22"/>
        <v/>
      </c>
      <c r="D5342" s="45" t="str">
        <f t="shared" si="23"/>
        <v/>
      </c>
      <c r="E5342" s="45" t="str">
        <f t="shared" si="24"/>
        <v/>
      </c>
      <c r="F5342" s="59" t="str">
        <f t="shared" si="25"/>
        <v/>
      </c>
      <c r="G5342" s="59" t="str">
        <f t="shared" si="26"/>
        <v/>
      </c>
      <c r="H5342" s="59" t="str">
        <f t="shared" si="27"/>
        <v>28C01743</v>
      </c>
      <c r="I5342" s="59" t="str">
        <f>IF(OR($A5342="",$C5342="",$D5342="",$E5342="",$H5342=""),"",SUMIFS(DATA_GOC!$H:$H,DATA_GOC!$A:$A,"BOM",DATA_GOC!$D:$D,$H5342,DATA_GOC!$E:$E,$C5342,DATA_GOC!$F:$F,"Xuất nội bộ từ téc",DATA_GOC!$B:$B,"&gt;="&amp;$D5342,DATA_GOC!$B:$B,"&lt;="&amp;$E5342))</f>
        <v/>
      </c>
      <c r="J5342" s="59">
        <f t="shared" si="28"/>
        <v>0</v>
      </c>
      <c r="K5342" s="59">
        <f t="shared" si="29"/>
        <v>0</v>
      </c>
      <c r="L5342" s="59">
        <f t="shared" si="30"/>
        <v>0</v>
      </c>
      <c r="M5342" s="59">
        <f t="shared" si="31"/>
        <v>0</v>
      </c>
    </row>
    <row r="5343" ht="15.0" hidden="1" customHeight="1">
      <c r="A5343" s="59">
        <f t="shared" si="20"/>
        <v>86</v>
      </c>
      <c r="B5343" s="59" t="str">
        <f t="shared" si="21"/>
        <v/>
      </c>
      <c r="C5343" s="59" t="str">
        <f t="shared" si="22"/>
        <v/>
      </c>
      <c r="D5343" s="45" t="str">
        <f t="shared" si="23"/>
        <v/>
      </c>
      <c r="E5343" s="45" t="str">
        <f t="shared" si="24"/>
        <v/>
      </c>
      <c r="F5343" s="59" t="str">
        <f t="shared" si="25"/>
        <v/>
      </c>
      <c r="G5343" s="59" t="str">
        <f t="shared" si="26"/>
        <v/>
      </c>
      <c r="H5343" s="59" t="str">
        <f t="shared" si="27"/>
        <v>28C02106</v>
      </c>
      <c r="I5343" s="59" t="str">
        <f>IF(OR($A5343="",$C5343="",$D5343="",$E5343="",$H5343=""),"",SUMIFS(DATA_GOC!$H:$H,DATA_GOC!$A:$A,"BOM",DATA_GOC!$D:$D,$H5343,DATA_GOC!$E:$E,$C5343,DATA_GOC!$F:$F,"Xuất nội bộ từ téc",DATA_GOC!$B:$B,"&gt;="&amp;$D5343,DATA_GOC!$B:$B,"&lt;="&amp;$E5343))</f>
        <v/>
      </c>
      <c r="J5343" s="59">
        <f t="shared" si="28"/>
        <v>0</v>
      </c>
      <c r="K5343" s="59">
        <f t="shared" si="29"/>
        <v>0</v>
      </c>
      <c r="L5343" s="59">
        <f t="shared" si="30"/>
        <v>0</v>
      </c>
      <c r="M5343" s="59">
        <f t="shared" si="31"/>
        <v>0</v>
      </c>
    </row>
    <row r="5344" ht="15.0" hidden="1" customHeight="1">
      <c r="A5344" s="59">
        <f t="shared" si="20"/>
        <v>86</v>
      </c>
      <c r="B5344" s="59" t="str">
        <f t="shared" si="21"/>
        <v/>
      </c>
      <c r="C5344" s="59" t="str">
        <f t="shared" si="22"/>
        <v/>
      </c>
      <c r="D5344" s="45" t="str">
        <f t="shared" si="23"/>
        <v/>
      </c>
      <c r="E5344" s="45" t="str">
        <f t="shared" si="24"/>
        <v/>
      </c>
      <c r="F5344" s="59" t="str">
        <f t="shared" si="25"/>
        <v/>
      </c>
      <c r="G5344" s="59" t="str">
        <f t="shared" si="26"/>
        <v/>
      </c>
      <c r="H5344" s="59" t="str">
        <f t="shared" si="27"/>
        <v>28C02410</v>
      </c>
      <c r="I5344" s="59" t="str">
        <f>IF(OR($A5344="",$C5344="",$D5344="",$E5344="",$H5344=""),"",SUMIFS(DATA_GOC!$H:$H,DATA_GOC!$A:$A,"BOM",DATA_GOC!$D:$D,$H5344,DATA_GOC!$E:$E,$C5344,DATA_GOC!$F:$F,"Xuất nội bộ từ téc",DATA_GOC!$B:$B,"&gt;="&amp;$D5344,DATA_GOC!$B:$B,"&lt;="&amp;$E5344))</f>
        <v/>
      </c>
      <c r="J5344" s="59">
        <f t="shared" si="28"/>
        <v>0</v>
      </c>
      <c r="K5344" s="59">
        <f t="shared" si="29"/>
        <v>0</v>
      </c>
      <c r="L5344" s="59">
        <f t="shared" si="30"/>
        <v>0</v>
      </c>
      <c r="M5344" s="59">
        <f t="shared" si="31"/>
        <v>0</v>
      </c>
    </row>
    <row r="5345" ht="15.0" hidden="1" customHeight="1">
      <c r="A5345" s="59">
        <f t="shared" si="20"/>
        <v>86</v>
      </c>
      <c r="B5345" s="59" t="str">
        <f t="shared" si="21"/>
        <v/>
      </c>
      <c r="C5345" s="59" t="str">
        <f t="shared" si="22"/>
        <v/>
      </c>
      <c r="D5345" s="45" t="str">
        <f t="shared" si="23"/>
        <v/>
      </c>
      <c r="E5345" s="45" t="str">
        <f t="shared" si="24"/>
        <v/>
      </c>
      <c r="F5345" s="59" t="str">
        <f t="shared" si="25"/>
        <v/>
      </c>
      <c r="G5345" s="59" t="str">
        <f t="shared" si="26"/>
        <v/>
      </c>
      <c r="H5345" s="59" t="str">
        <f t="shared" si="27"/>
        <v>28C02545</v>
      </c>
      <c r="I5345" s="59" t="str">
        <f>IF(OR($A5345="",$C5345="",$D5345="",$E5345="",$H5345=""),"",SUMIFS(DATA_GOC!$H:$H,DATA_GOC!$A:$A,"BOM",DATA_GOC!$D:$D,$H5345,DATA_GOC!$E:$E,$C5345,DATA_GOC!$F:$F,"Xuất nội bộ từ téc",DATA_GOC!$B:$B,"&gt;="&amp;$D5345,DATA_GOC!$B:$B,"&lt;="&amp;$E5345))</f>
        <v/>
      </c>
      <c r="J5345" s="59">
        <f t="shared" si="28"/>
        <v>0</v>
      </c>
      <c r="K5345" s="59">
        <f t="shared" si="29"/>
        <v>0</v>
      </c>
      <c r="L5345" s="59">
        <f t="shared" si="30"/>
        <v>0</v>
      </c>
      <c r="M5345" s="59">
        <f t="shared" si="31"/>
        <v>0</v>
      </c>
    </row>
    <row r="5346" ht="15.0" hidden="1" customHeight="1">
      <c r="A5346" s="59">
        <f t="shared" si="20"/>
        <v>86</v>
      </c>
      <c r="B5346" s="59" t="str">
        <f t="shared" si="21"/>
        <v/>
      </c>
      <c r="C5346" s="59" t="str">
        <f t="shared" si="22"/>
        <v/>
      </c>
      <c r="D5346" s="45" t="str">
        <f t="shared" si="23"/>
        <v/>
      </c>
      <c r="E5346" s="45" t="str">
        <f t="shared" si="24"/>
        <v/>
      </c>
      <c r="F5346" s="59" t="str">
        <f t="shared" si="25"/>
        <v/>
      </c>
      <c r="G5346" s="59" t="str">
        <f t="shared" si="26"/>
        <v/>
      </c>
      <c r="H5346" s="59" t="str">
        <f t="shared" si="27"/>
        <v>28C02574</v>
      </c>
      <c r="I5346" s="59" t="str">
        <f>IF(OR($A5346="",$C5346="",$D5346="",$E5346="",$H5346=""),"",SUMIFS(DATA_GOC!$H:$H,DATA_GOC!$A:$A,"BOM",DATA_GOC!$D:$D,$H5346,DATA_GOC!$E:$E,$C5346,DATA_GOC!$F:$F,"Xuất nội bộ từ téc",DATA_GOC!$B:$B,"&gt;="&amp;$D5346,DATA_GOC!$B:$B,"&lt;="&amp;$E5346))</f>
        <v/>
      </c>
      <c r="J5346" s="59">
        <f t="shared" si="28"/>
        <v>0</v>
      </c>
      <c r="K5346" s="59">
        <f t="shared" si="29"/>
        <v>0</v>
      </c>
      <c r="L5346" s="59">
        <f t="shared" si="30"/>
        <v>0</v>
      </c>
      <c r="M5346" s="59">
        <f t="shared" si="31"/>
        <v>0</v>
      </c>
    </row>
    <row r="5347" ht="15.0" hidden="1" customHeight="1">
      <c r="A5347" s="59">
        <f t="shared" si="20"/>
        <v>86</v>
      </c>
      <c r="B5347" s="59" t="str">
        <f t="shared" si="21"/>
        <v/>
      </c>
      <c r="C5347" s="59" t="str">
        <f t="shared" si="22"/>
        <v/>
      </c>
      <c r="D5347" s="45" t="str">
        <f t="shared" si="23"/>
        <v/>
      </c>
      <c r="E5347" s="45" t="str">
        <f t="shared" si="24"/>
        <v/>
      </c>
      <c r="F5347" s="59" t="str">
        <f t="shared" si="25"/>
        <v/>
      </c>
      <c r="G5347" s="59" t="str">
        <f t="shared" si="26"/>
        <v/>
      </c>
      <c r="H5347" s="59" t="str">
        <f t="shared" si="27"/>
        <v>28C02770</v>
      </c>
      <c r="I5347" s="59" t="str">
        <f>IF(OR($A5347="",$C5347="",$D5347="",$E5347="",$H5347=""),"",SUMIFS(DATA_GOC!$H:$H,DATA_GOC!$A:$A,"BOM",DATA_GOC!$D:$D,$H5347,DATA_GOC!$E:$E,$C5347,DATA_GOC!$F:$F,"Xuất nội bộ từ téc",DATA_GOC!$B:$B,"&gt;="&amp;$D5347,DATA_GOC!$B:$B,"&lt;="&amp;$E5347))</f>
        <v/>
      </c>
      <c r="J5347" s="59">
        <f t="shared" si="28"/>
        <v>0</v>
      </c>
      <c r="K5347" s="59">
        <f t="shared" si="29"/>
        <v>0</v>
      </c>
      <c r="L5347" s="59">
        <f t="shared" si="30"/>
        <v>0</v>
      </c>
      <c r="M5347" s="59">
        <f t="shared" si="31"/>
        <v>0</v>
      </c>
    </row>
    <row r="5348" ht="15.0" hidden="1" customHeight="1">
      <c r="A5348" s="59">
        <f t="shared" si="20"/>
        <v>86</v>
      </c>
      <c r="B5348" s="59" t="str">
        <f t="shared" si="21"/>
        <v/>
      </c>
      <c r="C5348" s="59" t="str">
        <f t="shared" si="22"/>
        <v/>
      </c>
      <c r="D5348" s="45" t="str">
        <f t="shared" si="23"/>
        <v/>
      </c>
      <c r="E5348" s="45" t="str">
        <f t="shared" si="24"/>
        <v/>
      </c>
      <c r="F5348" s="59" t="str">
        <f t="shared" si="25"/>
        <v/>
      </c>
      <c r="G5348" s="59" t="str">
        <f t="shared" si="26"/>
        <v/>
      </c>
      <c r="H5348" s="59" t="str">
        <f t="shared" si="27"/>
        <v>28C02986</v>
      </c>
      <c r="I5348" s="59" t="str">
        <f>IF(OR($A5348="",$C5348="",$D5348="",$E5348="",$H5348=""),"",SUMIFS(DATA_GOC!$H:$H,DATA_GOC!$A:$A,"BOM",DATA_GOC!$D:$D,$H5348,DATA_GOC!$E:$E,$C5348,DATA_GOC!$F:$F,"Xuất nội bộ từ téc",DATA_GOC!$B:$B,"&gt;="&amp;$D5348,DATA_GOC!$B:$B,"&lt;="&amp;$E5348))</f>
        <v/>
      </c>
      <c r="J5348" s="59">
        <f t="shared" si="28"/>
        <v>0</v>
      </c>
      <c r="K5348" s="59">
        <f t="shared" si="29"/>
        <v>0</v>
      </c>
      <c r="L5348" s="59">
        <f t="shared" si="30"/>
        <v>0</v>
      </c>
      <c r="M5348" s="59">
        <f t="shared" si="31"/>
        <v>0</v>
      </c>
    </row>
    <row r="5349" ht="15.0" hidden="1" customHeight="1">
      <c r="A5349" s="59">
        <f t="shared" si="20"/>
        <v>86</v>
      </c>
      <c r="B5349" s="59" t="str">
        <f t="shared" si="21"/>
        <v/>
      </c>
      <c r="C5349" s="59" t="str">
        <f t="shared" si="22"/>
        <v/>
      </c>
      <c r="D5349" s="45" t="str">
        <f t="shared" si="23"/>
        <v/>
      </c>
      <c r="E5349" s="45" t="str">
        <f t="shared" si="24"/>
        <v/>
      </c>
      <c r="F5349" s="59" t="str">
        <f t="shared" si="25"/>
        <v/>
      </c>
      <c r="G5349" s="59" t="str">
        <f t="shared" si="26"/>
        <v/>
      </c>
      <c r="H5349" s="59" t="str">
        <f t="shared" si="27"/>
        <v>28C03261</v>
      </c>
      <c r="I5349" s="59" t="str">
        <f>IF(OR($A5349="",$C5349="",$D5349="",$E5349="",$H5349=""),"",SUMIFS(DATA_GOC!$H:$H,DATA_GOC!$A:$A,"BOM",DATA_GOC!$D:$D,$H5349,DATA_GOC!$E:$E,$C5349,DATA_GOC!$F:$F,"Xuất nội bộ từ téc",DATA_GOC!$B:$B,"&gt;="&amp;$D5349,DATA_GOC!$B:$B,"&lt;="&amp;$E5349))</f>
        <v/>
      </c>
      <c r="J5349" s="59">
        <f t="shared" si="28"/>
        <v>0</v>
      </c>
      <c r="K5349" s="59">
        <f t="shared" si="29"/>
        <v>0</v>
      </c>
      <c r="L5349" s="59">
        <f t="shared" si="30"/>
        <v>0</v>
      </c>
      <c r="M5349" s="59">
        <f t="shared" si="31"/>
        <v>0</v>
      </c>
    </row>
    <row r="5350" ht="15.0" hidden="1" customHeight="1">
      <c r="A5350" s="59">
        <f t="shared" si="20"/>
        <v>86</v>
      </c>
      <c r="B5350" s="59" t="str">
        <f t="shared" si="21"/>
        <v/>
      </c>
      <c r="C5350" s="59" t="str">
        <f t="shared" si="22"/>
        <v/>
      </c>
      <c r="D5350" s="45" t="str">
        <f t="shared" si="23"/>
        <v/>
      </c>
      <c r="E5350" s="45" t="str">
        <f t="shared" si="24"/>
        <v/>
      </c>
      <c r="F5350" s="59" t="str">
        <f t="shared" si="25"/>
        <v/>
      </c>
      <c r="G5350" s="59" t="str">
        <f t="shared" si="26"/>
        <v/>
      </c>
      <c r="H5350" s="59" t="str">
        <f t="shared" si="27"/>
        <v>28C03323</v>
      </c>
      <c r="I5350" s="59" t="str">
        <f>IF(OR($A5350="",$C5350="",$D5350="",$E5350="",$H5350=""),"",SUMIFS(DATA_GOC!$H:$H,DATA_GOC!$A:$A,"BOM",DATA_GOC!$D:$D,$H5350,DATA_GOC!$E:$E,$C5350,DATA_GOC!$F:$F,"Xuất nội bộ từ téc",DATA_GOC!$B:$B,"&gt;="&amp;$D5350,DATA_GOC!$B:$B,"&lt;="&amp;$E5350))</f>
        <v/>
      </c>
      <c r="J5350" s="59">
        <f t="shared" si="28"/>
        <v>0</v>
      </c>
      <c r="K5350" s="59">
        <f t="shared" si="29"/>
        <v>0</v>
      </c>
      <c r="L5350" s="59">
        <f t="shared" si="30"/>
        <v>0</v>
      </c>
      <c r="M5350" s="59">
        <f t="shared" si="31"/>
        <v>0</v>
      </c>
    </row>
    <row r="5351" ht="15.0" hidden="1" customHeight="1">
      <c r="A5351" s="59">
        <f t="shared" si="20"/>
        <v>86</v>
      </c>
      <c r="B5351" s="59" t="str">
        <f t="shared" si="21"/>
        <v/>
      </c>
      <c r="C5351" s="59" t="str">
        <f t="shared" si="22"/>
        <v/>
      </c>
      <c r="D5351" s="45" t="str">
        <f t="shared" si="23"/>
        <v/>
      </c>
      <c r="E5351" s="45" t="str">
        <f t="shared" si="24"/>
        <v/>
      </c>
      <c r="F5351" s="59" t="str">
        <f t="shared" si="25"/>
        <v/>
      </c>
      <c r="G5351" s="59" t="str">
        <f t="shared" si="26"/>
        <v/>
      </c>
      <c r="H5351" s="59" t="str">
        <f t="shared" si="27"/>
        <v>28C03385</v>
      </c>
      <c r="I5351" s="59" t="str">
        <f>IF(OR($A5351="",$C5351="",$D5351="",$E5351="",$H5351=""),"",SUMIFS(DATA_GOC!$H:$H,DATA_GOC!$A:$A,"BOM",DATA_GOC!$D:$D,$H5351,DATA_GOC!$E:$E,$C5351,DATA_GOC!$F:$F,"Xuất nội bộ từ téc",DATA_GOC!$B:$B,"&gt;="&amp;$D5351,DATA_GOC!$B:$B,"&lt;="&amp;$E5351))</f>
        <v/>
      </c>
      <c r="J5351" s="59">
        <f t="shared" si="28"/>
        <v>0</v>
      </c>
      <c r="K5351" s="59">
        <f t="shared" si="29"/>
        <v>0</v>
      </c>
      <c r="L5351" s="59">
        <f t="shared" si="30"/>
        <v>0</v>
      </c>
      <c r="M5351" s="59">
        <f t="shared" si="31"/>
        <v>0</v>
      </c>
    </row>
    <row r="5352" ht="15.0" hidden="1" customHeight="1">
      <c r="A5352" s="59">
        <f t="shared" si="20"/>
        <v>86</v>
      </c>
      <c r="B5352" s="59" t="str">
        <f t="shared" si="21"/>
        <v/>
      </c>
      <c r="C5352" s="59" t="str">
        <f t="shared" si="22"/>
        <v/>
      </c>
      <c r="D5352" s="45" t="str">
        <f t="shared" si="23"/>
        <v/>
      </c>
      <c r="E5352" s="45" t="str">
        <f t="shared" si="24"/>
        <v/>
      </c>
      <c r="F5352" s="59" t="str">
        <f t="shared" si="25"/>
        <v/>
      </c>
      <c r="G5352" s="59" t="str">
        <f t="shared" si="26"/>
        <v/>
      </c>
      <c r="H5352" s="59" t="str">
        <f t="shared" si="27"/>
        <v>28C03652</v>
      </c>
      <c r="I5352" s="59" t="str">
        <f>IF(OR($A5352="",$C5352="",$D5352="",$E5352="",$H5352=""),"",SUMIFS(DATA_GOC!$H:$H,DATA_GOC!$A:$A,"BOM",DATA_GOC!$D:$D,$H5352,DATA_GOC!$E:$E,$C5352,DATA_GOC!$F:$F,"Xuất nội bộ từ téc",DATA_GOC!$B:$B,"&gt;="&amp;$D5352,DATA_GOC!$B:$B,"&lt;="&amp;$E5352))</f>
        <v/>
      </c>
      <c r="J5352" s="59">
        <f t="shared" si="28"/>
        <v>0</v>
      </c>
      <c r="K5352" s="59">
        <f t="shared" si="29"/>
        <v>0</v>
      </c>
      <c r="L5352" s="59">
        <f t="shared" si="30"/>
        <v>0</v>
      </c>
      <c r="M5352" s="59">
        <f t="shared" si="31"/>
        <v>0</v>
      </c>
    </row>
    <row r="5353" ht="15.0" hidden="1" customHeight="1">
      <c r="A5353" s="59">
        <f t="shared" si="20"/>
        <v>86</v>
      </c>
      <c r="B5353" s="59" t="str">
        <f t="shared" si="21"/>
        <v/>
      </c>
      <c r="C5353" s="59" t="str">
        <f t="shared" si="22"/>
        <v/>
      </c>
      <c r="D5353" s="45" t="str">
        <f t="shared" si="23"/>
        <v/>
      </c>
      <c r="E5353" s="45" t="str">
        <f t="shared" si="24"/>
        <v/>
      </c>
      <c r="F5353" s="59" t="str">
        <f t="shared" si="25"/>
        <v/>
      </c>
      <c r="G5353" s="59" t="str">
        <f t="shared" si="26"/>
        <v/>
      </c>
      <c r="H5353" s="59" t="str">
        <f t="shared" si="27"/>
        <v>28C03695</v>
      </c>
      <c r="I5353" s="59" t="str">
        <f>IF(OR($A5353="",$C5353="",$D5353="",$E5353="",$H5353=""),"",SUMIFS(DATA_GOC!$H:$H,DATA_GOC!$A:$A,"BOM",DATA_GOC!$D:$D,$H5353,DATA_GOC!$E:$E,$C5353,DATA_GOC!$F:$F,"Xuất nội bộ từ téc",DATA_GOC!$B:$B,"&gt;="&amp;$D5353,DATA_GOC!$B:$B,"&lt;="&amp;$E5353))</f>
        <v/>
      </c>
      <c r="J5353" s="59">
        <f t="shared" si="28"/>
        <v>0</v>
      </c>
      <c r="K5353" s="59">
        <f t="shared" si="29"/>
        <v>0</v>
      </c>
      <c r="L5353" s="59">
        <f t="shared" si="30"/>
        <v>0</v>
      </c>
      <c r="M5353" s="59">
        <f t="shared" si="31"/>
        <v>0</v>
      </c>
    </row>
    <row r="5354" ht="15.0" hidden="1" customHeight="1">
      <c r="A5354" s="59">
        <f t="shared" si="20"/>
        <v>86</v>
      </c>
      <c r="B5354" s="59" t="str">
        <f t="shared" si="21"/>
        <v/>
      </c>
      <c r="C5354" s="59" t="str">
        <f t="shared" si="22"/>
        <v/>
      </c>
      <c r="D5354" s="45" t="str">
        <f t="shared" si="23"/>
        <v/>
      </c>
      <c r="E5354" s="45" t="str">
        <f t="shared" si="24"/>
        <v/>
      </c>
      <c r="F5354" s="59" t="str">
        <f t="shared" si="25"/>
        <v/>
      </c>
      <c r="G5354" s="59" t="str">
        <f t="shared" si="26"/>
        <v/>
      </c>
      <c r="H5354" s="59" t="str">
        <f t="shared" si="27"/>
        <v>28C03927</v>
      </c>
      <c r="I5354" s="59" t="str">
        <f>IF(OR($A5354="",$C5354="",$D5354="",$E5354="",$H5354=""),"",SUMIFS(DATA_GOC!$H:$H,DATA_GOC!$A:$A,"BOM",DATA_GOC!$D:$D,$H5354,DATA_GOC!$E:$E,$C5354,DATA_GOC!$F:$F,"Xuất nội bộ từ téc",DATA_GOC!$B:$B,"&gt;="&amp;$D5354,DATA_GOC!$B:$B,"&lt;="&amp;$E5354))</f>
        <v/>
      </c>
      <c r="J5354" s="59">
        <f t="shared" si="28"/>
        <v>0</v>
      </c>
      <c r="K5354" s="59">
        <f t="shared" si="29"/>
        <v>0</v>
      </c>
      <c r="L5354" s="59">
        <f t="shared" si="30"/>
        <v>0</v>
      </c>
      <c r="M5354" s="59">
        <f t="shared" si="31"/>
        <v>0</v>
      </c>
    </row>
    <row r="5355" ht="15.0" hidden="1" customHeight="1">
      <c r="A5355" s="59">
        <f t="shared" si="20"/>
        <v>86</v>
      </c>
      <c r="B5355" s="59" t="str">
        <f t="shared" si="21"/>
        <v/>
      </c>
      <c r="C5355" s="59" t="str">
        <f t="shared" si="22"/>
        <v/>
      </c>
      <c r="D5355" s="45" t="str">
        <f t="shared" si="23"/>
        <v/>
      </c>
      <c r="E5355" s="45" t="str">
        <f t="shared" si="24"/>
        <v/>
      </c>
      <c r="F5355" s="59" t="str">
        <f t="shared" si="25"/>
        <v/>
      </c>
      <c r="G5355" s="59" t="str">
        <f t="shared" si="26"/>
        <v/>
      </c>
      <c r="H5355" s="59" t="str">
        <f t="shared" si="27"/>
        <v>28C04509</v>
      </c>
      <c r="I5355" s="59" t="str">
        <f>IF(OR($A5355="",$C5355="",$D5355="",$E5355="",$H5355=""),"",SUMIFS(DATA_GOC!$H:$H,DATA_GOC!$A:$A,"BOM",DATA_GOC!$D:$D,$H5355,DATA_GOC!$E:$E,$C5355,DATA_GOC!$F:$F,"Xuất nội bộ từ téc",DATA_GOC!$B:$B,"&gt;="&amp;$D5355,DATA_GOC!$B:$B,"&lt;="&amp;$E5355))</f>
        <v/>
      </c>
      <c r="J5355" s="59">
        <f t="shared" si="28"/>
        <v>0</v>
      </c>
      <c r="K5355" s="59">
        <f t="shared" si="29"/>
        <v>0</v>
      </c>
      <c r="L5355" s="59">
        <f t="shared" si="30"/>
        <v>0</v>
      </c>
      <c r="M5355" s="59">
        <f t="shared" si="31"/>
        <v>0</v>
      </c>
    </row>
    <row r="5356" ht="15.0" hidden="1" customHeight="1">
      <c r="A5356" s="59">
        <f t="shared" si="20"/>
        <v>86</v>
      </c>
      <c r="B5356" s="59" t="str">
        <f t="shared" si="21"/>
        <v/>
      </c>
      <c r="C5356" s="59" t="str">
        <f t="shared" si="22"/>
        <v/>
      </c>
      <c r="D5356" s="45" t="str">
        <f t="shared" si="23"/>
        <v/>
      </c>
      <c r="E5356" s="45" t="str">
        <f t="shared" si="24"/>
        <v/>
      </c>
      <c r="F5356" s="59" t="str">
        <f t="shared" si="25"/>
        <v/>
      </c>
      <c r="G5356" s="59" t="str">
        <f t="shared" si="26"/>
        <v/>
      </c>
      <c r="H5356" s="59" t="str">
        <f t="shared" si="27"/>
        <v>28C04536</v>
      </c>
      <c r="I5356" s="59" t="str">
        <f>IF(OR($A5356="",$C5356="",$D5356="",$E5356="",$H5356=""),"",SUMIFS(DATA_GOC!$H:$H,DATA_GOC!$A:$A,"BOM",DATA_GOC!$D:$D,$H5356,DATA_GOC!$E:$E,$C5356,DATA_GOC!$F:$F,"Xuất nội bộ từ téc",DATA_GOC!$B:$B,"&gt;="&amp;$D5356,DATA_GOC!$B:$B,"&lt;="&amp;$E5356))</f>
        <v/>
      </c>
      <c r="J5356" s="59">
        <f t="shared" si="28"/>
        <v>0</v>
      </c>
      <c r="K5356" s="59">
        <f t="shared" si="29"/>
        <v>0</v>
      </c>
      <c r="L5356" s="59">
        <f t="shared" si="30"/>
        <v>0</v>
      </c>
      <c r="M5356" s="59">
        <f t="shared" si="31"/>
        <v>0</v>
      </c>
    </row>
    <row r="5357" ht="15.0" hidden="1" customHeight="1">
      <c r="A5357" s="59">
        <f t="shared" si="20"/>
        <v>86</v>
      </c>
      <c r="B5357" s="59" t="str">
        <f t="shared" si="21"/>
        <v/>
      </c>
      <c r="C5357" s="59" t="str">
        <f t="shared" si="22"/>
        <v/>
      </c>
      <c r="D5357" s="45" t="str">
        <f t="shared" si="23"/>
        <v/>
      </c>
      <c r="E5357" s="45" t="str">
        <f t="shared" si="24"/>
        <v/>
      </c>
      <c r="F5357" s="59" t="str">
        <f t="shared" si="25"/>
        <v/>
      </c>
      <c r="G5357" s="59" t="str">
        <f t="shared" si="26"/>
        <v/>
      </c>
      <c r="H5357" s="59" t="str">
        <f t="shared" si="27"/>
        <v>28C04576</v>
      </c>
      <c r="I5357" s="59" t="str">
        <f>IF(OR($A5357="",$C5357="",$D5357="",$E5357="",$H5357=""),"",SUMIFS(DATA_GOC!$H:$H,DATA_GOC!$A:$A,"BOM",DATA_GOC!$D:$D,$H5357,DATA_GOC!$E:$E,$C5357,DATA_GOC!$F:$F,"Xuất nội bộ từ téc",DATA_GOC!$B:$B,"&gt;="&amp;$D5357,DATA_GOC!$B:$B,"&lt;="&amp;$E5357))</f>
        <v/>
      </c>
      <c r="J5357" s="59">
        <f t="shared" si="28"/>
        <v>0</v>
      </c>
      <c r="K5357" s="59">
        <f t="shared" si="29"/>
        <v>0</v>
      </c>
      <c r="L5357" s="59">
        <f t="shared" si="30"/>
        <v>0</v>
      </c>
      <c r="M5357" s="59">
        <f t="shared" si="31"/>
        <v>0</v>
      </c>
    </row>
    <row r="5358" ht="15.0" hidden="1" customHeight="1">
      <c r="A5358" s="59">
        <f t="shared" si="20"/>
        <v>86</v>
      </c>
      <c r="B5358" s="59" t="str">
        <f t="shared" si="21"/>
        <v/>
      </c>
      <c r="C5358" s="59" t="str">
        <f t="shared" si="22"/>
        <v/>
      </c>
      <c r="D5358" s="45" t="str">
        <f t="shared" si="23"/>
        <v/>
      </c>
      <c r="E5358" s="45" t="str">
        <f t="shared" si="24"/>
        <v/>
      </c>
      <c r="F5358" s="59" t="str">
        <f t="shared" si="25"/>
        <v/>
      </c>
      <c r="G5358" s="59" t="str">
        <f t="shared" si="26"/>
        <v/>
      </c>
      <c r="H5358" s="59" t="str">
        <f t="shared" si="27"/>
        <v>28C05090</v>
      </c>
      <c r="I5358" s="59" t="str">
        <f>IF(OR($A5358="",$C5358="",$D5358="",$E5358="",$H5358=""),"",SUMIFS(DATA_GOC!$H:$H,DATA_GOC!$A:$A,"BOM",DATA_GOC!$D:$D,$H5358,DATA_GOC!$E:$E,$C5358,DATA_GOC!$F:$F,"Xuất nội bộ từ téc",DATA_GOC!$B:$B,"&gt;="&amp;$D5358,DATA_GOC!$B:$B,"&lt;="&amp;$E5358))</f>
        <v/>
      </c>
      <c r="J5358" s="59">
        <f t="shared" si="28"/>
        <v>0</v>
      </c>
      <c r="K5358" s="59">
        <f t="shared" si="29"/>
        <v>0</v>
      </c>
      <c r="L5358" s="59">
        <f t="shared" si="30"/>
        <v>0</v>
      </c>
      <c r="M5358" s="59">
        <f t="shared" si="31"/>
        <v>0</v>
      </c>
    </row>
    <row r="5359" ht="15.0" hidden="1" customHeight="1">
      <c r="A5359" s="59">
        <f t="shared" si="20"/>
        <v>86</v>
      </c>
      <c r="B5359" s="59" t="str">
        <f t="shared" si="21"/>
        <v/>
      </c>
      <c r="C5359" s="59" t="str">
        <f t="shared" si="22"/>
        <v/>
      </c>
      <c r="D5359" s="45" t="str">
        <f t="shared" si="23"/>
        <v/>
      </c>
      <c r="E5359" s="45" t="str">
        <f t="shared" si="24"/>
        <v/>
      </c>
      <c r="F5359" s="59" t="str">
        <f t="shared" si="25"/>
        <v/>
      </c>
      <c r="G5359" s="59" t="str">
        <f t="shared" si="26"/>
        <v/>
      </c>
      <c r="H5359" s="59" t="str">
        <f t="shared" si="27"/>
        <v>28C05345</v>
      </c>
      <c r="I5359" s="59" t="str">
        <f>IF(OR($A5359="",$C5359="",$D5359="",$E5359="",$H5359=""),"",SUMIFS(DATA_GOC!$H:$H,DATA_GOC!$A:$A,"BOM",DATA_GOC!$D:$D,$H5359,DATA_GOC!$E:$E,$C5359,DATA_GOC!$F:$F,"Xuất nội bộ từ téc",DATA_GOC!$B:$B,"&gt;="&amp;$D5359,DATA_GOC!$B:$B,"&lt;="&amp;$E5359))</f>
        <v/>
      </c>
      <c r="J5359" s="59">
        <f t="shared" si="28"/>
        <v>0</v>
      </c>
      <c r="K5359" s="59">
        <f t="shared" si="29"/>
        <v>0</v>
      </c>
      <c r="L5359" s="59">
        <f t="shared" si="30"/>
        <v>0</v>
      </c>
      <c r="M5359" s="59">
        <f t="shared" si="31"/>
        <v>0</v>
      </c>
    </row>
    <row r="5360" ht="15.0" hidden="1" customHeight="1">
      <c r="A5360" s="59">
        <f t="shared" si="20"/>
        <v>86</v>
      </c>
      <c r="B5360" s="59" t="str">
        <f t="shared" si="21"/>
        <v/>
      </c>
      <c r="C5360" s="59" t="str">
        <f t="shared" si="22"/>
        <v/>
      </c>
      <c r="D5360" s="45" t="str">
        <f t="shared" si="23"/>
        <v/>
      </c>
      <c r="E5360" s="45" t="str">
        <f t="shared" si="24"/>
        <v/>
      </c>
      <c r="F5360" s="59" t="str">
        <f t="shared" si="25"/>
        <v/>
      </c>
      <c r="G5360" s="59" t="str">
        <f t="shared" si="26"/>
        <v/>
      </c>
      <c r="H5360" s="59" t="str">
        <f t="shared" si="27"/>
        <v>28C05661</v>
      </c>
      <c r="I5360" s="59" t="str">
        <f>IF(OR($A5360="",$C5360="",$D5360="",$E5360="",$H5360=""),"",SUMIFS(DATA_GOC!$H:$H,DATA_GOC!$A:$A,"BOM",DATA_GOC!$D:$D,$H5360,DATA_GOC!$E:$E,$C5360,DATA_GOC!$F:$F,"Xuất nội bộ từ téc",DATA_GOC!$B:$B,"&gt;="&amp;$D5360,DATA_GOC!$B:$B,"&lt;="&amp;$E5360))</f>
        <v/>
      </c>
      <c r="J5360" s="59">
        <f t="shared" si="28"/>
        <v>0</v>
      </c>
      <c r="K5360" s="59">
        <f t="shared" si="29"/>
        <v>0</v>
      </c>
      <c r="L5360" s="59">
        <f t="shared" si="30"/>
        <v>0</v>
      </c>
      <c r="M5360" s="59">
        <f t="shared" si="31"/>
        <v>0</v>
      </c>
    </row>
    <row r="5361" ht="15.0" hidden="1" customHeight="1">
      <c r="A5361" s="59">
        <f t="shared" si="20"/>
        <v>86</v>
      </c>
      <c r="B5361" s="59" t="str">
        <f t="shared" si="21"/>
        <v/>
      </c>
      <c r="C5361" s="59" t="str">
        <f t="shared" si="22"/>
        <v/>
      </c>
      <c r="D5361" s="45" t="str">
        <f t="shared" si="23"/>
        <v/>
      </c>
      <c r="E5361" s="45" t="str">
        <f t="shared" si="24"/>
        <v/>
      </c>
      <c r="F5361" s="59" t="str">
        <f t="shared" si="25"/>
        <v/>
      </c>
      <c r="G5361" s="59" t="str">
        <f t="shared" si="26"/>
        <v/>
      </c>
      <c r="H5361" s="59" t="str">
        <f t="shared" si="27"/>
        <v>28C05739</v>
      </c>
      <c r="I5361" s="59" t="str">
        <f>IF(OR($A5361="",$C5361="",$D5361="",$E5361="",$H5361=""),"",SUMIFS(DATA_GOC!$H:$H,DATA_GOC!$A:$A,"BOM",DATA_GOC!$D:$D,$H5361,DATA_GOC!$E:$E,$C5361,DATA_GOC!$F:$F,"Xuất nội bộ từ téc",DATA_GOC!$B:$B,"&gt;="&amp;$D5361,DATA_GOC!$B:$B,"&lt;="&amp;$E5361))</f>
        <v/>
      </c>
      <c r="J5361" s="59">
        <f t="shared" si="28"/>
        <v>0</v>
      </c>
      <c r="K5361" s="59">
        <f t="shared" si="29"/>
        <v>0</v>
      </c>
      <c r="L5361" s="59">
        <f t="shared" si="30"/>
        <v>0</v>
      </c>
      <c r="M5361" s="59">
        <f t="shared" si="31"/>
        <v>0</v>
      </c>
    </row>
    <row r="5362" ht="15.0" hidden="1" customHeight="1">
      <c r="A5362" s="59">
        <f t="shared" si="20"/>
        <v>86</v>
      </c>
      <c r="B5362" s="59" t="str">
        <f t="shared" si="21"/>
        <v/>
      </c>
      <c r="C5362" s="59" t="str">
        <f t="shared" si="22"/>
        <v/>
      </c>
      <c r="D5362" s="45" t="str">
        <f t="shared" si="23"/>
        <v/>
      </c>
      <c r="E5362" s="45" t="str">
        <f t="shared" si="24"/>
        <v/>
      </c>
      <c r="F5362" s="59" t="str">
        <f t="shared" si="25"/>
        <v/>
      </c>
      <c r="G5362" s="59" t="str">
        <f t="shared" si="26"/>
        <v/>
      </c>
      <c r="H5362" s="59" t="str">
        <f t="shared" si="27"/>
        <v>28C06369</v>
      </c>
      <c r="I5362" s="59" t="str">
        <f>IF(OR($A5362="",$C5362="",$D5362="",$E5362="",$H5362=""),"",SUMIFS(DATA_GOC!$H:$H,DATA_GOC!$A:$A,"BOM",DATA_GOC!$D:$D,$H5362,DATA_GOC!$E:$E,$C5362,DATA_GOC!$F:$F,"Xuất nội bộ từ téc",DATA_GOC!$B:$B,"&gt;="&amp;$D5362,DATA_GOC!$B:$B,"&lt;="&amp;$E5362))</f>
        <v/>
      </c>
      <c r="J5362" s="59">
        <f t="shared" si="28"/>
        <v>0</v>
      </c>
      <c r="K5362" s="59">
        <f t="shared" si="29"/>
        <v>0</v>
      </c>
      <c r="L5362" s="59">
        <f t="shared" si="30"/>
        <v>0</v>
      </c>
      <c r="M5362" s="59">
        <f t="shared" si="31"/>
        <v>0</v>
      </c>
    </row>
    <row r="5363" ht="15.0" hidden="1" customHeight="1">
      <c r="A5363" s="59">
        <f t="shared" si="20"/>
        <v>86</v>
      </c>
      <c r="B5363" s="59" t="str">
        <f t="shared" si="21"/>
        <v/>
      </c>
      <c r="C5363" s="59" t="str">
        <f t="shared" si="22"/>
        <v/>
      </c>
      <c r="D5363" s="45" t="str">
        <f t="shared" si="23"/>
        <v/>
      </c>
      <c r="E5363" s="45" t="str">
        <f t="shared" si="24"/>
        <v/>
      </c>
      <c r="F5363" s="59" t="str">
        <f t="shared" si="25"/>
        <v/>
      </c>
      <c r="G5363" s="59" t="str">
        <f t="shared" si="26"/>
        <v/>
      </c>
      <c r="H5363" s="59" t="str">
        <f t="shared" si="27"/>
        <v>28C06447</v>
      </c>
      <c r="I5363" s="59" t="str">
        <f>IF(OR($A5363="",$C5363="",$D5363="",$E5363="",$H5363=""),"",SUMIFS(DATA_GOC!$H:$H,DATA_GOC!$A:$A,"BOM",DATA_GOC!$D:$D,$H5363,DATA_GOC!$E:$E,$C5363,DATA_GOC!$F:$F,"Xuất nội bộ từ téc",DATA_GOC!$B:$B,"&gt;="&amp;$D5363,DATA_GOC!$B:$B,"&lt;="&amp;$E5363))</f>
        <v/>
      </c>
      <c r="J5363" s="59">
        <f t="shared" si="28"/>
        <v>0</v>
      </c>
      <c r="K5363" s="59">
        <f t="shared" si="29"/>
        <v>0</v>
      </c>
      <c r="L5363" s="59">
        <f t="shared" si="30"/>
        <v>0</v>
      </c>
      <c r="M5363" s="59">
        <f t="shared" si="31"/>
        <v>0</v>
      </c>
    </row>
    <row r="5364" ht="15.0" hidden="1" customHeight="1">
      <c r="A5364" s="59">
        <f t="shared" si="20"/>
        <v>86</v>
      </c>
      <c r="B5364" s="59" t="str">
        <f t="shared" si="21"/>
        <v/>
      </c>
      <c r="C5364" s="59" t="str">
        <f t="shared" si="22"/>
        <v/>
      </c>
      <c r="D5364" s="45" t="str">
        <f t="shared" si="23"/>
        <v/>
      </c>
      <c r="E5364" s="45" t="str">
        <f t="shared" si="24"/>
        <v/>
      </c>
      <c r="F5364" s="59" t="str">
        <f t="shared" si="25"/>
        <v/>
      </c>
      <c r="G5364" s="59" t="str">
        <f t="shared" si="26"/>
        <v/>
      </c>
      <c r="H5364" s="59" t="str">
        <f t="shared" si="27"/>
        <v>28H00003</v>
      </c>
      <c r="I5364" s="59" t="str">
        <f>IF(OR($A5364="",$C5364="",$D5364="",$E5364="",$H5364=""),"",SUMIFS(DATA_GOC!$H:$H,DATA_GOC!$A:$A,"BOM",DATA_GOC!$D:$D,$H5364,DATA_GOC!$E:$E,$C5364,DATA_GOC!$F:$F,"Xuất nội bộ từ téc",DATA_GOC!$B:$B,"&gt;="&amp;$D5364,DATA_GOC!$B:$B,"&lt;="&amp;$E5364))</f>
        <v/>
      </c>
      <c r="J5364" s="59">
        <f t="shared" si="28"/>
        <v>0</v>
      </c>
      <c r="K5364" s="59">
        <f t="shared" si="29"/>
        <v>0</v>
      </c>
      <c r="L5364" s="59">
        <f t="shared" si="30"/>
        <v>0</v>
      </c>
      <c r="M5364" s="59">
        <f t="shared" si="31"/>
        <v>0</v>
      </c>
    </row>
    <row r="5365" ht="15.0" hidden="1" customHeight="1">
      <c r="A5365" s="59">
        <f t="shared" si="20"/>
        <v>86</v>
      </c>
      <c r="B5365" s="59" t="str">
        <f t="shared" si="21"/>
        <v/>
      </c>
      <c r="C5365" s="59" t="str">
        <f t="shared" si="22"/>
        <v/>
      </c>
      <c r="D5365" s="45" t="str">
        <f t="shared" si="23"/>
        <v/>
      </c>
      <c r="E5365" s="45" t="str">
        <f t="shared" si="24"/>
        <v/>
      </c>
      <c r="F5365" s="59" t="str">
        <f t="shared" si="25"/>
        <v/>
      </c>
      <c r="G5365" s="59" t="str">
        <f t="shared" si="26"/>
        <v/>
      </c>
      <c r="H5365" s="59" t="str">
        <f t="shared" si="27"/>
        <v>28H00061</v>
      </c>
      <c r="I5365" s="59" t="str">
        <f>IF(OR($A5365="",$C5365="",$D5365="",$E5365="",$H5365=""),"",SUMIFS(DATA_GOC!$H:$H,DATA_GOC!$A:$A,"BOM",DATA_GOC!$D:$D,$H5365,DATA_GOC!$E:$E,$C5365,DATA_GOC!$F:$F,"Xuất nội bộ từ téc",DATA_GOC!$B:$B,"&gt;="&amp;$D5365,DATA_GOC!$B:$B,"&lt;="&amp;$E5365))</f>
        <v/>
      </c>
      <c r="J5365" s="59">
        <f t="shared" si="28"/>
        <v>0</v>
      </c>
      <c r="K5365" s="59">
        <f t="shared" si="29"/>
        <v>0</v>
      </c>
      <c r="L5365" s="59">
        <f t="shared" si="30"/>
        <v>0</v>
      </c>
      <c r="M5365" s="59">
        <f t="shared" si="31"/>
        <v>0</v>
      </c>
    </row>
    <row r="5366" ht="15.0" hidden="1" customHeight="1">
      <c r="A5366" s="59">
        <f t="shared" si="20"/>
        <v>86</v>
      </c>
      <c r="B5366" s="59" t="str">
        <f t="shared" si="21"/>
        <v/>
      </c>
      <c r="C5366" s="59" t="str">
        <f t="shared" si="22"/>
        <v/>
      </c>
      <c r="D5366" s="45" t="str">
        <f t="shared" si="23"/>
        <v/>
      </c>
      <c r="E5366" s="45" t="str">
        <f t="shared" si="24"/>
        <v/>
      </c>
      <c r="F5366" s="59" t="str">
        <f t="shared" si="25"/>
        <v/>
      </c>
      <c r="G5366" s="59" t="str">
        <f t="shared" si="26"/>
        <v/>
      </c>
      <c r="H5366" s="59" t="str">
        <f t="shared" si="27"/>
        <v>28H00354</v>
      </c>
      <c r="I5366" s="59" t="str">
        <f>IF(OR($A5366="",$C5366="",$D5366="",$E5366="",$H5366=""),"",SUMIFS(DATA_GOC!$H:$H,DATA_GOC!$A:$A,"BOM",DATA_GOC!$D:$D,$H5366,DATA_GOC!$E:$E,$C5366,DATA_GOC!$F:$F,"Xuất nội bộ từ téc",DATA_GOC!$B:$B,"&gt;="&amp;$D5366,DATA_GOC!$B:$B,"&lt;="&amp;$E5366))</f>
        <v/>
      </c>
      <c r="J5366" s="59">
        <f t="shared" si="28"/>
        <v>0</v>
      </c>
      <c r="K5366" s="59">
        <f t="shared" si="29"/>
        <v>0</v>
      </c>
      <c r="L5366" s="59">
        <f t="shared" si="30"/>
        <v>0</v>
      </c>
      <c r="M5366" s="59">
        <f t="shared" si="31"/>
        <v>0</v>
      </c>
    </row>
    <row r="5367" ht="15.0" hidden="1" customHeight="1">
      <c r="A5367" s="59">
        <f t="shared" si="20"/>
        <v>86</v>
      </c>
      <c r="B5367" s="59" t="str">
        <f t="shared" si="21"/>
        <v/>
      </c>
      <c r="C5367" s="59" t="str">
        <f t="shared" si="22"/>
        <v/>
      </c>
      <c r="D5367" s="45" t="str">
        <f t="shared" si="23"/>
        <v/>
      </c>
      <c r="E5367" s="45" t="str">
        <f t="shared" si="24"/>
        <v/>
      </c>
      <c r="F5367" s="59" t="str">
        <f t="shared" si="25"/>
        <v/>
      </c>
      <c r="G5367" s="59" t="str">
        <f t="shared" si="26"/>
        <v/>
      </c>
      <c r="H5367" s="59" t="str">
        <f t="shared" si="27"/>
        <v>28H00603</v>
      </c>
      <c r="I5367" s="59" t="str">
        <f>IF(OR($A5367="",$C5367="",$D5367="",$E5367="",$H5367=""),"",SUMIFS(DATA_GOC!$H:$H,DATA_GOC!$A:$A,"BOM",DATA_GOC!$D:$D,$H5367,DATA_GOC!$E:$E,$C5367,DATA_GOC!$F:$F,"Xuất nội bộ từ téc",DATA_GOC!$B:$B,"&gt;="&amp;$D5367,DATA_GOC!$B:$B,"&lt;="&amp;$E5367))</f>
        <v/>
      </c>
      <c r="J5367" s="59">
        <f t="shared" si="28"/>
        <v>0</v>
      </c>
      <c r="K5367" s="59">
        <f t="shared" si="29"/>
        <v>0</v>
      </c>
      <c r="L5367" s="59">
        <f t="shared" si="30"/>
        <v>0</v>
      </c>
      <c r="M5367" s="59">
        <f t="shared" si="31"/>
        <v>0</v>
      </c>
    </row>
    <row r="5368" ht="15.0" hidden="1" customHeight="1">
      <c r="A5368" s="59">
        <f t="shared" si="20"/>
        <v>86</v>
      </c>
      <c r="B5368" s="59" t="str">
        <f t="shared" si="21"/>
        <v/>
      </c>
      <c r="C5368" s="59" t="str">
        <f t="shared" si="22"/>
        <v/>
      </c>
      <c r="D5368" s="45" t="str">
        <f t="shared" si="23"/>
        <v/>
      </c>
      <c r="E5368" s="45" t="str">
        <f t="shared" si="24"/>
        <v/>
      </c>
      <c r="F5368" s="59" t="str">
        <f t="shared" si="25"/>
        <v/>
      </c>
      <c r="G5368" s="59" t="str">
        <f t="shared" si="26"/>
        <v/>
      </c>
      <c r="H5368" s="59" t="str">
        <f t="shared" si="27"/>
        <v>28H00609</v>
      </c>
      <c r="I5368" s="59" t="str">
        <f>IF(OR($A5368="",$C5368="",$D5368="",$E5368="",$H5368=""),"",SUMIFS(DATA_GOC!$H:$H,DATA_GOC!$A:$A,"BOM",DATA_GOC!$D:$D,$H5368,DATA_GOC!$E:$E,$C5368,DATA_GOC!$F:$F,"Xuất nội bộ từ téc",DATA_GOC!$B:$B,"&gt;="&amp;$D5368,DATA_GOC!$B:$B,"&lt;="&amp;$E5368))</f>
        <v/>
      </c>
      <c r="J5368" s="59">
        <f t="shared" si="28"/>
        <v>0</v>
      </c>
      <c r="K5368" s="59">
        <f t="shared" si="29"/>
        <v>0</v>
      </c>
      <c r="L5368" s="59">
        <f t="shared" si="30"/>
        <v>0</v>
      </c>
      <c r="M5368" s="59">
        <f t="shared" si="31"/>
        <v>0</v>
      </c>
    </row>
    <row r="5369" ht="15.0" hidden="1" customHeight="1">
      <c r="A5369" s="59">
        <f t="shared" si="20"/>
        <v>86</v>
      </c>
      <c r="B5369" s="59" t="str">
        <f t="shared" si="21"/>
        <v/>
      </c>
      <c r="C5369" s="59" t="str">
        <f t="shared" si="22"/>
        <v/>
      </c>
      <c r="D5369" s="45" t="str">
        <f t="shared" si="23"/>
        <v/>
      </c>
      <c r="E5369" s="45" t="str">
        <f t="shared" si="24"/>
        <v/>
      </c>
      <c r="F5369" s="59" t="str">
        <f t="shared" si="25"/>
        <v/>
      </c>
      <c r="G5369" s="59" t="str">
        <f t="shared" si="26"/>
        <v/>
      </c>
      <c r="H5369" s="59" t="str">
        <f t="shared" si="27"/>
        <v>28H00669</v>
      </c>
      <c r="I5369" s="59" t="str">
        <f>IF(OR($A5369="",$C5369="",$D5369="",$E5369="",$H5369=""),"",SUMIFS(DATA_GOC!$H:$H,DATA_GOC!$A:$A,"BOM",DATA_GOC!$D:$D,$H5369,DATA_GOC!$E:$E,$C5369,DATA_GOC!$F:$F,"Xuất nội bộ từ téc",DATA_GOC!$B:$B,"&gt;="&amp;$D5369,DATA_GOC!$B:$B,"&lt;="&amp;$E5369))</f>
        <v/>
      </c>
      <c r="J5369" s="59">
        <f t="shared" si="28"/>
        <v>0</v>
      </c>
      <c r="K5369" s="59">
        <f t="shared" si="29"/>
        <v>0</v>
      </c>
      <c r="L5369" s="59">
        <f t="shared" si="30"/>
        <v>0</v>
      </c>
      <c r="M5369" s="59">
        <f t="shared" si="31"/>
        <v>0</v>
      </c>
    </row>
    <row r="5370" ht="15.0" hidden="1" customHeight="1">
      <c r="A5370" s="59">
        <f t="shared" si="20"/>
        <v>86</v>
      </c>
      <c r="B5370" s="59" t="str">
        <f t="shared" si="21"/>
        <v/>
      </c>
      <c r="C5370" s="59" t="str">
        <f t="shared" si="22"/>
        <v/>
      </c>
      <c r="D5370" s="45" t="str">
        <f t="shared" si="23"/>
        <v/>
      </c>
      <c r="E5370" s="45" t="str">
        <f t="shared" si="24"/>
        <v/>
      </c>
      <c r="F5370" s="59" t="str">
        <f t="shared" si="25"/>
        <v/>
      </c>
      <c r="G5370" s="59" t="str">
        <f t="shared" si="26"/>
        <v/>
      </c>
      <c r="H5370" s="59" t="str">
        <f t="shared" si="27"/>
        <v>28H00680</v>
      </c>
      <c r="I5370" s="59" t="str">
        <f>IF(OR($A5370="",$C5370="",$D5370="",$E5370="",$H5370=""),"",SUMIFS(DATA_GOC!$H:$H,DATA_GOC!$A:$A,"BOM",DATA_GOC!$D:$D,$H5370,DATA_GOC!$E:$E,$C5370,DATA_GOC!$F:$F,"Xuất nội bộ từ téc",DATA_GOC!$B:$B,"&gt;="&amp;$D5370,DATA_GOC!$B:$B,"&lt;="&amp;$E5370))</f>
        <v/>
      </c>
      <c r="J5370" s="59">
        <f t="shared" si="28"/>
        <v>0</v>
      </c>
      <c r="K5370" s="59">
        <f t="shared" si="29"/>
        <v>0</v>
      </c>
      <c r="L5370" s="59">
        <f t="shared" si="30"/>
        <v>0</v>
      </c>
      <c r="M5370" s="59">
        <f t="shared" si="31"/>
        <v>0</v>
      </c>
    </row>
    <row r="5371" ht="15.0" hidden="1" customHeight="1">
      <c r="A5371" s="59">
        <f t="shared" si="20"/>
        <v>86</v>
      </c>
      <c r="B5371" s="59" t="str">
        <f t="shared" si="21"/>
        <v/>
      </c>
      <c r="C5371" s="59" t="str">
        <f t="shared" si="22"/>
        <v/>
      </c>
      <c r="D5371" s="45" t="str">
        <f t="shared" si="23"/>
        <v/>
      </c>
      <c r="E5371" s="45" t="str">
        <f t="shared" si="24"/>
        <v/>
      </c>
      <c r="F5371" s="59" t="str">
        <f t="shared" si="25"/>
        <v/>
      </c>
      <c r="G5371" s="59" t="str">
        <f t="shared" si="26"/>
        <v/>
      </c>
      <c r="H5371" s="59" t="str">
        <f t="shared" si="27"/>
        <v>28H01070</v>
      </c>
      <c r="I5371" s="59" t="str">
        <f>IF(OR($A5371="",$C5371="",$D5371="",$E5371="",$H5371=""),"",SUMIFS(DATA_GOC!$H:$H,DATA_GOC!$A:$A,"BOM",DATA_GOC!$D:$D,$H5371,DATA_GOC!$E:$E,$C5371,DATA_GOC!$F:$F,"Xuất nội bộ từ téc",DATA_GOC!$B:$B,"&gt;="&amp;$D5371,DATA_GOC!$B:$B,"&lt;="&amp;$E5371))</f>
        <v/>
      </c>
      <c r="J5371" s="59">
        <f t="shared" si="28"/>
        <v>0</v>
      </c>
      <c r="K5371" s="59">
        <f t="shared" si="29"/>
        <v>0</v>
      </c>
      <c r="L5371" s="59">
        <f t="shared" si="30"/>
        <v>0</v>
      </c>
      <c r="M5371" s="59">
        <f t="shared" si="31"/>
        <v>0</v>
      </c>
    </row>
    <row r="5372" ht="15.0" hidden="1" customHeight="1">
      <c r="A5372" s="59">
        <f t="shared" si="20"/>
        <v>86</v>
      </c>
      <c r="B5372" s="59" t="str">
        <f t="shared" si="21"/>
        <v/>
      </c>
      <c r="C5372" s="59" t="str">
        <f t="shared" si="22"/>
        <v/>
      </c>
      <c r="D5372" s="45" t="str">
        <f t="shared" si="23"/>
        <v/>
      </c>
      <c r="E5372" s="45" t="str">
        <f t="shared" si="24"/>
        <v/>
      </c>
      <c r="F5372" s="59" t="str">
        <f t="shared" si="25"/>
        <v/>
      </c>
      <c r="G5372" s="59" t="str">
        <f t="shared" si="26"/>
        <v/>
      </c>
      <c r="H5372" s="59" t="str">
        <f t="shared" si="27"/>
        <v>28H01364</v>
      </c>
      <c r="I5372" s="59" t="str">
        <f>IF(OR($A5372="",$C5372="",$D5372="",$E5372="",$H5372=""),"",SUMIFS(DATA_GOC!$H:$H,DATA_GOC!$A:$A,"BOM",DATA_GOC!$D:$D,$H5372,DATA_GOC!$E:$E,$C5372,DATA_GOC!$F:$F,"Xuất nội bộ từ téc",DATA_GOC!$B:$B,"&gt;="&amp;$D5372,DATA_GOC!$B:$B,"&lt;="&amp;$E5372))</f>
        <v/>
      </c>
      <c r="J5372" s="59">
        <f t="shared" si="28"/>
        <v>0</v>
      </c>
      <c r="K5372" s="59">
        <f t="shared" si="29"/>
        <v>0</v>
      </c>
      <c r="L5372" s="59">
        <f t="shared" si="30"/>
        <v>0</v>
      </c>
      <c r="M5372" s="59">
        <f t="shared" si="31"/>
        <v>0</v>
      </c>
    </row>
    <row r="5373" ht="15.0" hidden="1" customHeight="1">
      <c r="A5373" s="59">
        <f t="shared" si="20"/>
        <v>86</v>
      </c>
      <c r="B5373" s="59" t="str">
        <f t="shared" si="21"/>
        <v/>
      </c>
      <c r="C5373" s="59" t="str">
        <f t="shared" si="22"/>
        <v/>
      </c>
      <c r="D5373" s="45" t="str">
        <f t="shared" si="23"/>
        <v/>
      </c>
      <c r="E5373" s="45" t="str">
        <f t="shared" si="24"/>
        <v/>
      </c>
      <c r="F5373" s="59" t="str">
        <f t="shared" si="25"/>
        <v/>
      </c>
      <c r="G5373" s="59" t="str">
        <f t="shared" si="26"/>
        <v/>
      </c>
      <c r="H5373" s="59" t="str">
        <f t="shared" si="27"/>
        <v>29E17269</v>
      </c>
      <c r="I5373" s="59" t="str">
        <f>IF(OR($A5373="",$C5373="",$D5373="",$E5373="",$H5373=""),"",SUMIFS(DATA_GOC!$H:$H,DATA_GOC!$A:$A,"BOM",DATA_GOC!$D:$D,$H5373,DATA_GOC!$E:$E,$C5373,DATA_GOC!$F:$F,"Xuất nội bộ từ téc",DATA_GOC!$B:$B,"&gt;="&amp;$D5373,DATA_GOC!$B:$B,"&lt;="&amp;$E5373))</f>
        <v/>
      </c>
      <c r="J5373" s="59">
        <f t="shared" si="28"/>
        <v>0</v>
      </c>
      <c r="K5373" s="59">
        <f t="shared" si="29"/>
        <v>0</v>
      </c>
      <c r="L5373" s="59">
        <f t="shared" si="30"/>
        <v>0</v>
      </c>
      <c r="M5373" s="59">
        <f t="shared" si="31"/>
        <v>0</v>
      </c>
    </row>
    <row r="5374" ht="15.0" hidden="1" customHeight="1">
      <c r="A5374" s="59">
        <f t="shared" si="20"/>
        <v>86</v>
      </c>
      <c r="B5374" s="59" t="str">
        <f t="shared" si="21"/>
        <v/>
      </c>
      <c r="C5374" s="59" t="str">
        <f t="shared" si="22"/>
        <v/>
      </c>
      <c r="D5374" s="45" t="str">
        <f t="shared" si="23"/>
        <v/>
      </c>
      <c r="E5374" s="45" t="str">
        <f t="shared" si="24"/>
        <v/>
      </c>
      <c r="F5374" s="59" t="str">
        <f t="shared" si="25"/>
        <v/>
      </c>
      <c r="G5374" s="59" t="str">
        <f t="shared" si="26"/>
        <v/>
      </c>
      <c r="H5374" s="59" t="str">
        <f t="shared" si="27"/>
        <v>29E17273</v>
      </c>
      <c r="I5374" s="59" t="str">
        <f>IF(OR($A5374="",$C5374="",$D5374="",$E5374="",$H5374=""),"",SUMIFS(DATA_GOC!$H:$H,DATA_GOC!$A:$A,"BOM",DATA_GOC!$D:$D,$H5374,DATA_GOC!$E:$E,$C5374,DATA_GOC!$F:$F,"Xuất nội bộ từ téc",DATA_GOC!$B:$B,"&gt;="&amp;$D5374,DATA_GOC!$B:$B,"&lt;="&amp;$E5374))</f>
        <v/>
      </c>
      <c r="J5374" s="59">
        <f t="shared" si="28"/>
        <v>0</v>
      </c>
      <c r="K5374" s="59">
        <f t="shared" si="29"/>
        <v>0</v>
      </c>
      <c r="L5374" s="59">
        <f t="shared" si="30"/>
        <v>0</v>
      </c>
      <c r="M5374" s="59">
        <f t="shared" si="31"/>
        <v>0</v>
      </c>
    </row>
    <row r="5375" ht="15.0" hidden="1" customHeight="1">
      <c r="A5375" s="59">
        <f t="shared" si="20"/>
        <v>86</v>
      </c>
      <c r="B5375" s="59" t="str">
        <f t="shared" si="21"/>
        <v/>
      </c>
      <c r="C5375" s="59" t="str">
        <f t="shared" si="22"/>
        <v/>
      </c>
      <c r="D5375" s="45" t="str">
        <f t="shared" si="23"/>
        <v/>
      </c>
      <c r="E5375" s="45" t="str">
        <f t="shared" si="24"/>
        <v/>
      </c>
      <c r="F5375" s="59" t="str">
        <f t="shared" si="25"/>
        <v/>
      </c>
      <c r="G5375" s="59" t="str">
        <f t="shared" si="26"/>
        <v/>
      </c>
      <c r="H5375" s="59" t="str">
        <f t="shared" si="27"/>
        <v>29E17410</v>
      </c>
      <c r="I5375" s="59" t="str">
        <f>IF(OR($A5375="",$C5375="",$D5375="",$E5375="",$H5375=""),"",SUMIFS(DATA_GOC!$H:$H,DATA_GOC!$A:$A,"BOM",DATA_GOC!$D:$D,$H5375,DATA_GOC!$E:$E,$C5375,DATA_GOC!$F:$F,"Xuất nội bộ từ téc",DATA_GOC!$B:$B,"&gt;="&amp;$D5375,DATA_GOC!$B:$B,"&lt;="&amp;$E5375))</f>
        <v/>
      </c>
      <c r="J5375" s="59">
        <f t="shared" si="28"/>
        <v>0</v>
      </c>
      <c r="K5375" s="59">
        <f t="shared" si="29"/>
        <v>0</v>
      </c>
      <c r="L5375" s="59">
        <f t="shared" si="30"/>
        <v>0</v>
      </c>
      <c r="M5375" s="59">
        <f t="shared" si="31"/>
        <v>0</v>
      </c>
    </row>
    <row r="5376" ht="15.0" hidden="1" customHeight="1">
      <c r="A5376" s="59">
        <f t="shared" si="20"/>
        <v>86</v>
      </c>
      <c r="B5376" s="59" t="str">
        <f t="shared" si="21"/>
        <v/>
      </c>
      <c r="C5376" s="59" t="str">
        <f t="shared" si="22"/>
        <v/>
      </c>
      <c r="D5376" s="45" t="str">
        <f t="shared" si="23"/>
        <v/>
      </c>
      <c r="E5376" s="45" t="str">
        <f t="shared" si="24"/>
        <v/>
      </c>
      <c r="F5376" s="59" t="str">
        <f t="shared" si="25"/>
        <v/>
      </c>
      <c r="G5376" s="59" t="str">
        <f t="shared" si="26"/>
        <v/>
      </c>
      <c r="H5376" s="59" t="str">
        <f t="shared" si="27"/>
        <v>29E17417</v>
      </c>
      <c r="I5376" s="59" t="str">
        <f>IF(OR($A5376="",$C5376="",$D5376="",$E5376="",$H5376=""),"",SUMIFS(DATA_GOC!$H:$H,DATA_GOC!$A:$A,"BOM",DATA_GOC!$D:$D,$H5376,DATA_GOC!$E:$E,$C5376,DATA_GOC!$F:$F,"Xuất nội bộ từ téc",DATA_GOC!$B:$B,"&gt;="&amp;$D5376,DATA_GOC!$B:$B,"&lt;="&amp;$E5376))</f>
        <v/>
      </c>
      <c r="J5376" s="59">
        <f t="shared" si="28"/>
        <v>0</v>
      </c>
      <c r="K5376" s="59">
        <f t="shared" si="29"/>
        <v>0</v>
      </c>
      <c r="L5376" s="59">
        <f t="shared" si="30"/>
        <v>0</v>
      </c>
      <c r="M5376" s="59">
        <f t="shared" si="31"/>
        <v>0</v>
      </c>
    </row>
    <row r="5377" ht="15.0" hidden="1" customHeight="1">
      <c r="A5377" s="59">
        <f t="shared" si="20"/>
        <v>86</v>
      </c>
      <c r="B5377" s="59" t="str">
        <f t="shared" si="21"/>
        <v/>
      </c>
      <c r="C5377" s="59" t="str">
        <f t="shared" si="22"/>
        <v/>
      </c>
      <c r="D5377" s="45" t="str">
        <f t="shared" si="23"/>
        <v/>
      </c>
      <c r="E5377" s="45" t="str">
        <f t="shared" si="24"/>
        <v/>
      </c>
      <c r="F5377" s="59" t="str">
        <f t="shared" si="25"/>
        <v/>
      </c>
      <c r="G5377" s="59" t="str">
        <f t="shared" si="26"/>
        <v/>
      </c>
      <c r="H5377" s="59" t="str">
        <f t="shared" si="27"/>
        <v>29E17539</v>
      </c>
      <c r="I5377" s="59" t="str">
        <f>IF(OR($A5377="",$C5377="",$D5377="",$E5377="",$H5377=""),"",SUMIFS(DATA_GOC!$H:$H,DATA_GOC!$A:$A,"BOM",DATA_GOC!$D:$D,$H5377,DATA_GOC!$E:$E,$C5377,DATA_GOC!$F:$F,"Xuất nội bộ từ téc",DATA_GOC!$B:$B,"&gt;="&amp;$D5377,DATA_GOC!$B:$B,"&lt;="&amp;$E5377))</f>
        <v/>
      </c>
      <c r="J5377" s="59">
        <f t="shared" si="28"/>
        <v>0</v>
      </c>
      <c r="K5377" s="59">
        <f t="shared" si="29"/>
        <v>0</v>
      </c>
      <c r="L5377" s="59">
        <f t="shared" si="30"/>
        <v>0</v>
      </c>
      <c r="M5377" s="59">
        <f t="shared" si="31"/>
        <v>0</v>
      </c>
    </row>
    <row r="5378" ht="15.0" hidden="1" customHeight="1">
      <c r="A5378" s="59">
        <f t="shared" si="20"/>
        <v>86</v>
      </c>
      <c r="B5378" s="59" t="str">
        <f t="shared" si="21"/>
        <v/>
      </c>
      <c r="C5378" s="59" t="str">
        <f t="shared" si="22"/>
        <v/>
      </c>
      <c r="D5378" s="45" t="str">
        <f t="shared" si="23"/>
        <v/>
      </c>
      <c r="E5378" s="45" t="str">
        <f t="shared" si="24"/>
        <v/>
      </c>
      <c r="F5378" s="59" t="str">
        <f t="shared" si="25"/>
        <v/>
      </c>
      <c r="G5378" s="59" t="str">
        <f t="shared" si="26"/>
        <v/>
      </c>
      <c r="H5378" s="59" t="str">
        <f t="shared" si="27"/>
        <v>29E18160</v>
      </c>
      <c r="I5378" s="59" t="str">
        <f>IF(OR($A5378="",$C5378="",$D5378="",$E5378="",$H5378=""),"",SUMIFS(DATA_GOC!$H:$H,DATA_GOC!$A:$A,"BOM",DATA_GOC!$D:$D,$H5378,DATA_GOC!$E:$E,$C5378,DATA_GOC!$F:$F,"Xuất nội bộ từ téc",DATA_GOC!$B:$B,"&gt;="&amp;$D5378,DATA_GOC!$B:$B,"&lt;="&amp;$E5378))</f>
        <v/>
      </c>
      <c r="J5378" s="59">
        <f t="shared" si="28"/>
        <v>0</v>
      </c>
      <c r="K5378" s="59">
        <f t="shared" si="29"/>
        <v>0</v>
      </c>
      <c r="L5378" s="59">
        <f t="shared" si="30"/>
        <v>0</v>
      </c>
      <c r="M5378" s="59">
        <f t="shared" si="31"/>
        <v>0</v>
      </c>
    </row>
    <row r="5379" ht="15.0" hidden="1" customHeight="1">
      <c r="A5379" s="59">
        <f t="shared" si="20"/>
        <v>86</v>
      </c>
      <c r="B5379" s="59" t="str">
        <f t="shared" si="21"/>
        <v/>
      </c>
      <c r="C5379" s="59" t="str">
        <f t="shared" si="22"/>
        <v/>
      </c>
      <c r="D5379" s="45" t="str">
        <f t="shared" si="23"/>
        <v/>
      </c>
      <c r="E5379" s="45" t="str">
        <f t="shared" si="24"/>
        <v/>
      </c>
      <c r="F5379" s="59" t="str">
        <f t="shared" si="25"/>
        <v/>
      </c>
      <c r="G5379" s="59" t="str">
        <f t="shared" si="26"/>
        <v/>
      </c>
      <c r="H5379" s="59" t="str">
        <f t="shared" si="27"/>
        <v>Công trình Asphalt</v>
      </c>
      <c r="I5379" s="59" t="str">
        <f>IF(OR($A5379="",$C5379="",$D5379="",$E5379="",$H5379=""),"",SUMIFS(DATA_GOC!$H:$H,DATA_GOC!$A:$A,"BOM",DATA_GOC!$D:$D,$H5379,DATA_GOC!$E:$E,$C5379,DATA_GOC!$F:$F,"Xuất nội bộ từ téc",DATA_GOC!$B:$B,"&gt;="&amp;$D5379,DATA_GOC!$B:$B,"&lt;="&amp;$E5379))</f>
        <v/>
      </c>
      <c r="J5379" s="59">
        <f t="shared" si="28"/>
        <v>0</v>
      </c>
      <c r="K5379" s="59">
        <f t="shared" si="29"/>
        <v>0</v>
      </c>
      <c r="L5379" s="59">
        <f t="shared" si="30"/>
        <v>0</v>
      </c>
      <c r="M5379" s="59">
        <f t="shared" si="31"/>
        <v>0</v>
      </c>
    </row>
    <row r="5380" ht="15.0" hidden="1" customHeight="1">
      <c r="A5380" s="59">
        <f t="shared" si="20"/>
        <v>86</v>
      </c>
      <c r="B5380" s="59" t="str">
        <f t="shared" si="21"/>
        <v/>
      </c>
      <c r="C5380" s="59" t="str">
        <f t="shared" si="22"/>
        <v/>
      </c>
      <c r="D5380" s="45" t="str">
        <f t="shared" si="23"/>
        <v/>
      </c>
      <c r="E5380" s="45" t="str">
        <f t="shared" si="24"/>
        <v/>
      </c>
      <c r="F5380" s="59" t="str">
        <f t="shared" si="25"/>
        <v/>
      </c>
      <c r="G5380" s="59" t="str">
        <f t="shared" si="26"/>
        <v/>
      </c>
      <c r="H5380" s="59" t="str">
        <f t="shared" si="27"/>
        <v>LG53F</v>
      </c>
      <c r="I5380" s="59" t="str">
        <f>IF(OR($A5380="",$C5380="",$D5380="",$E5380="",$H5380=""),"",SUMIFS(DATA_GOC!$H:$H,DATA_GOC!$A:$A,"BOM",DATA_GOC!$D:$D,$H5380,DATA_GOC!$E:$E,$C5380,DATA_GOC!$F:$F,"Xuất nội bộ từ téc",DATA_GOC!$B:$B,"&gt;="&amp;$D5380,DATA_GOC!$B:$B,"&lt;="&amp;$E5380))</f>
        <v/>
      </c>
      <c r="J5380" s="59">
        <f t="shared" si="28"/>
        <v>0</v>
      </c>
      <c r="K5380" s="59">
        <f t="shared" si="29"/>
        <v>0</v>
      </c>
      <c r="L5380" s="59">
        <f t="shared" si="30"/>
        <v>0</v>
      </c>
      <c r="M5380" s="59">
        <f t="shared" si="31"/>
        <v>0</v>
      </c>
    </row>
    <row r="5381" ht="15.0" hidden="1" customHeight="1">
      <c r="A5381" s="59">
        <f t="shared" si="20"/>
        <v>86</v>
      </c>
      <c r="B5381" s="59" t="str">
        <f t="shared" si="21"/>
        <v/>
      </c>
      <c r="C5381" s="59" t="str">
        <f t="shared" si="22"/>
        <v/>
      </c>
      <c r="D5381" s="45" t="str">
        <f t="shared" si="23"/>
        <v/>
      </c>
      <c r="E5381" s="45" t="str">
        <f t="shared" si="24"/>
        <v/>
      </c>
      <c r="F5381" s="59" t="str">
        <f t="shared" si="25"/>
        <v/>
      </c>
      <c r="G5381" s="59" t="str">
        <f t="shared" si="26"/>
        <v/>
      </c>
      <c r="H5381" s="59" t="str">
        <f t="shared" si="27"/>
        <v>Máy phát điện</v>
      </c>
      <c r="I5381" s="59" t="str">
        <f>IF(OR($A5381="",$C5381="",$D5381="",$E5381="",$H5381=""),"",SUMIFS(DATA_GOC!$H:$H,DATA_GOC!$A:$A,"BOM",DATA_GOC!$D:$D,$H5381,DATA_GOC!$E:$E,$C5381,DATA_GOC!$F:$F,"Xuất nội bộ từ téc",DATA_GOC!$B:$B,"&gt;="&amp;$D5381,DATA_GOC!$B:$B,"&lt;="&amp;$E5381))</f>
        <v/>
      </c>
      <c r="J5381" s="59">
        <f t="shared" si="28"/>
        <v>0</v>
      </c>
      <c r="K5381" s="59">
        <f t="shared" si="29"/>
        <v>0</v>
      </c>
      <c r="L5381" s="59">
        <f t="shared" si="30"/>
        <v>0</v>
      </c>
      <c r="M5381" s="59">
        <f t="shared" si="31"/>
        <v>0</v>
      </c>
    </row>
    <row r="5382" ht="15.0" hidden="1" customHeight="1">
      <c r="A5382" s="59">
        <f t="shared" si="20"/>
        <v>86</v>
      </c>
      <c r="B5382" s="59" t="str">
        <f t="shared" si="21"/>
        <v/>
      </c>
      <c r="C5382" s="59" t="str">
        <f t="shared" si="22"/>
        <v/>
      </c>
      <c r="D5382" s="45" t="str">
        <f t="shared" si="23"/>
        <v/>
      </c>
      <c r="E5382" s="45" t="str">
        <f t="shared" si="24"/>
        <v/>
      </c>
      <c r="F5382" s="59" t="str">
        <f t="shared" si="25"/>
        <v/>
      </c>
      <c r="G5382" s="59" t="str">
        <f t="shared" si="26"/>
        <v/>
      </c>
      <c r="H5382" s="59" t="str">
        <f t="shared" si="27"/>
        <v>Máy rải thảm</v>
      </c>
      <c r="I5382" s="59" t="str">
        <f>IF(OR($A5382="",$C5382="",$D5382="",$E5382="",$H5382=""),"",SUMIFS(DATA_GOC!$H:$H,DATA_GOC!$A:$A,"BOM",DATA_GOC!$D:$D,$H5382,DATA_GOC!$E:$E,$C5382,DATA_GOC!$F:$F,"Xuất nội bộ từ téc",DATA_GOC!$B:$B,"&gt;="&amp;$D5382,DATA_GOC!$B:$B,"&lt;="&amp;$E5382))</f>
        <v/>
      </c>
      <c r="J5382" s="59">
        <f t="shared" si="28"/>
        <v>0</v>
      </c>
      <c r="K5382" s="59">
        <f t="shared" si="29"/>
        <v>0</v>
      </c>
      <c r="L5382" s="59">
        <f t="shared" si="30"/>
        <v>0</v>
      </c>
      <c r="M5382" s="59">
        <f t="shared" si="31"/>
        <v>0</v>
      </c>
    </row>
    <row r="5383" ht="15.0" hidden="1" customHeight="1">
      <c r="A5383" s="59">
        <f t="shared" si="20"/>
        <v>86</v>
      </c>
      <c r="B5383" s="59" t="str">
        <f t="shared" si="21"/>
        <v/>
      </c>
      <c r="C5383" s="59" t="str">
        <f t="shared" si="22"/>
        <v/>
      </c>
      <c r="D5383" s="45" t="str">
        <f t="shared" si="23"/>
        <v/>
      </c>
      <c r="E5383" s="45" t="str">
        <f t="shared" si="24"/>
        <v/>
      </c>
      <c r="F5383" s="59" t="str">
        <f t="shared" si="25"/>
        <v/>
      </c>
      <c r="G5383" s="59" t="str">
        <f t="shared" si="26"/>
        <v/>
      </c>
      <c r="H5383" s="59" t="str">
        <f t="shared" si="27"/>
        <v>Xúc Đào</v>
      </c>
      <c r="I5383" s="59" t="str">
        <f>IF(OR($A5383="",$C5383="",$D5383="",$E5383="",$H5383=""),"",SUMIFS(DATA_GOC!$H:$H,DATA_GOC!$A:$A,"BOM",DATA_GOC!$D:$D,$H5383,DATA_GOC!$E:$E,$C5383,DATA_GOC!$F:$F,"Xuất nội bộ từ téc",DATA_GOC!$B:$B,"&gt;="&amp;$D5383,DATA_GOC!$B:$B,"&lt;="&amp;$E5383))</f>
        <v/>
      </c>
      <c r="J5383" s="59">
        <f t="shared" si="28"/>
        <v>0</v>
      </c>
      <c r="K5383" s="59">
        <f t="shared" si="29"/>
        <v>0</v>
      </c>
      <c r="L5383" s="59">
        <f t="shared" si="30"/>
        <v>0</v>
      </c>
      <c r="M5383" s="59">
        <f t="shared" si="31"/>
        <v>0</v>
      </c>
    </row>
    <row r="5384" ht="15.0" hidden="1" customHeight="1">
      <c r="A5384" s="59">
        <f t="shared" si="20"/>
        <v>86</v>
      </c>
      <c r="B5384" s="59" t="str">
        <f t="shared" si="21"/>
        <v/>
      </c>
      <c r="C5384" s="59" t="str">
        <f t="shared" si="22"/>
        <v/>
      </c>
      <c r="D5384" s="45" t="str">
        <f t="shared" si="23"/>
        <v/>
      </c>
      <c r="E5384" s="45" t="str">
        <f t="shared" si="24"/>
        <v/>
      </c>
      <c r="F5384" s="59" t="str">
        <f t="shared" si="25"/>
        <v/>
      </c>
      <c r="G5384" s="59" t="str">
        <f t="shared" si="26"/>
        <v/>
      </c>
      <c r="H5384" s="59" t="str">
        <f t="shared" si="27"/>
        <v>Xúclật asphalt</v>
      </c>
      <c r="I5384" s="59" t="str">
        <f>IF(OR($A5384="",$C5384="",$D5384="",$E5384="",$H5384=""),"",SUMIFS(DATA_GOC!$H:$H,DATA_GOC!$A:$A,"BOM",DATA_GOC!$D:$D,$H5384,DATA_GOC!$E:$E,$C5384,DATA_GOC!$F:$F,"Xuất nội bộ từ téc",DATA_GOC!$B:$B,"&gt;="&amp;$D5384,DATA_GOC!$B:$B,"&lt;="&amp;$E5384))</f>
        <v/>
      </c>
      <c r="J5384" s="59">
        <f t="shared" si="28"/>
        <v>0</v>
      </c>
      <c r="K5384" s="59">
        <f t="shared" si="29"/>
        <v>0</v>
      </c>
      <c r="L5384" s="59">
        <f t="shared" si="30"/>
        <v>0</v>
      </c>
      <c r="M5384" s="59">
        <f t="shared" si="31"/>
        <v>0</v>
      </c>
    </row>
    <row r="5385" ht="15.0" hidden="1" customHeight="1">
      <c r="A5385" s="59">
        <f t="shared" si="20"/>
        <v>86</v>
      </c>
      <c r="B5385" s="59" t="str">
        <f t="shared" si="21"/>
        <v/>
      </c>
      <c r="C5385" s="59" t="str">
        <f t="shared" si="22"/>
        <v/>
      </c>
      <c r="D5385" s="45" t="str">
        <f t="shared" si="23"/>
        <v/>
      </c>
      <c r="E5385" s="45" t="str">
        <f t="shared" si="24"/>
        <v/>
      </c>
      <c r="F5385" s="59" t="str">
        <f t="shared" si="25"/>
        <v/>
      </c>
      <c r="G5385" s="59" t="str">
        <f t="shared" si="26"/>
        <v/>
      </c>
      <c r="H5385" s="59" t="str">
        <f t="shared" si="27"/>
        <v>Xúclật855H</v>
      </c>
      <c r="I5385" s="59" t="str">
        <f>IF(OR($A5385="",$C5385="",$D5385="",$E5385="",$H5385=""),"",SUMIFS(DATA_GOC!$H:$H,DATA_GOC!$A:$A,"BOM",DATA_GOC!$D:$D,$H5385,DATA_GOC!$E:$E,$C5385,DATA_GOC!$F:$F,"Xuất nội bộ từ téc",DATA_GOC!$B:$B,"&gt;="&amp;$D5385,DATA_GOC!$B:$B,"&lt;="&amp;$E5385))</f>
        <v/>
      </c>
      <c r="J5385" s="59">
        <f t="shared" si="28"/>
        <v>0</v>
      </c>
      <c r="K5385" s="59">
        <f t="shared" si="29"/>
        <v>0</v>
      </c>
      <c r="L5385" s="59">
        <f t="shared" si="30"/>
        <v>0</v>
      </c>
      <c r="M5385" s="59">
        <f t="shared" si="31"/>
        <v>0</v>
      </c>
    </row>
    <row r="5386" ht="15.0" hidden="1" customHeight="1">
      <c r="A5386" s="59">
        <f t="shared" si="20"/>
        <v>86</v>
      </c>
      <c r="B5386" s="59" t="str">
        <f t="shared" si="21"/>
        <v/>
      </c>
      <c r="C5386" s="59" t="str">
        <f t="shared" si="22"/>
        <v/>
      </c>
      <c r="D5386" s="45" t="str">
        <f t="shared" si="23"/>
        <v/>
      </c>
      <c r="E5386" s="45" t="str">
        <f t="shared" si="24"/>
        <v/>
      </c>
      <c r="F5386" s="59" t="str">
        <f t="shared" si="25"/>
        <v/>
      </c>
      <c r="G5386" s="59" t="str">
        <f t="shared" si="26"/>
        <v/>
      </c>
      <c r="H5386" s="59" t="str">
        <f t="shared" si="27"/>
        <v>Xúclật855N</v>
      </c>
      <c r="I5386" s="59" t="str">
        <f>IF(OR($A5386="",$C5386="",$D5386="",$E5386="",$H5386=""),"",SUMIFS(DATA_GOC!$H:$H,DATA_GOC!$A:$A,"BOM",DATA_GOC!$D:$D,$H5386,DATA_GOC!$E:$E,$C5386,DATA_GOC!$F:$F,"Xuất nội bộ từ téc",DATA_GOC!$B:$B,"&gt;="&amp;$D5386,DATA_GOC!$B:$B,"&lt;="&amp;$E5386))</f>
        <v/>
      </c>
      <c r="J5386" s="59">
        <f t="shared" si="28"/>
        <v>0</v>
      </c>
      <c r="K5386" s="59">
        <f t="shared" si="29"/>
        <v>0</v>
      </c>
      <c r="L5386" s="59">
        <f t="shared" si="30"/>
        <v>0</v>
      </c>
      <c r="M5386" s="59">
        <f t="shared" si="31"/>
        <v>0</v>
      </c>
    </row>
    <row r="5387" ht="15.0" hidden="1" customHeight="1">
      <c r="A5387" s="59">
        <f t="shared" si="20"/>
        <v>86</v>
      </c>
      <c r="B5387" s="59" t="str">
        <f t="shared" si="21"/>
        <v/>
      </c>
      <c r="C5387" s="59" t="str">
        <f t="shared" si="22"/>
        <v/>
      </c>
      <c r="D5387" s="45" t="str">
        <f t="shared" si="23"/>
        <v/>
      </c>
      <c r="E5387" s="45" t="str">
        <f t="shared" si="24"/>
        <v/>
      </c>
      <c r="F5387" s="59" t="str">
        <f t="shared" si="25"/>
        <v/>
      </c>
      <c r="G5387" s="59" t="str">
        <f t="shared" si="26"/>
        <v/>
      </c>
      <c r="H5387" s="59" t="str">
        <f t="shared" si="27"/>
        <v>Cát nghiền</v>
      </c>
      <c r="I5387" s="59" t="str">
        <f>IF(OR($A5387="",$C5387="",$D5387="",$E5387="",$H5387=""),"",SUMIFS(DATA_GOC!$H:$H,DATA_GOC!$A:$A,"BOM",DATA_GOC!$D:$D,$H5387,DATA_GOC!$E:$E,$C5387,DATA_GOC!$F:$F,"Xuất nội bộ từ téc",DATA_GOC!$B:$B,"&gt;="&amp;$D5387,DATA_GOC!$B:$B,"&lt;="&amp;$E5387))</f>
        <v/>
      </c>
      <c r="J5387" s="59">
        <f t="shared" si="28"/>
        <v>0</v>
      </c>
      <c r="K5387" s="59">
        <f t="shared" si="29"/>
        <v>0</v>
      </c>
      <c r="L5387" s="59">
        <f t="shared" si="30"/>
        <v>0</v>
      </c>
      <c r="M5387" s="59">
        <f t="shared" si="31"/>
        <v>0</v>
      </c>
    </row>
    <row r="5388" ht="15.0" hidden="1" customHeight="1">
      <c r="A5388" s="59">
        <f t="shared" si="20"/>
        <v>86</v>
      </c>
      <c r="B5388" s="59" t="str">
        <f t="shared" si="21"/>
        <v/>
      </c>
      <c r="C5388" s="59" t="str">
        <f t="shared" si="22"/>
        <v/>
      </c>
      <c r="D5388" s="45" t="str">
        <f t="shared" si="23"/>
        <v/>
      </c>
      <c r="E5388" s="45" t="str">
        <f t="shared" si="24"/>
        <v/>
      </c>
      <c r="F5388" s="59" t="str">
        <f t="shared" si="25"/>
        <v/>
      </c>
      <c r="G5388" s="59" t="str">
        <f t="shared" si="26"/>
        <v/>
      </c>
      <c r="H5388" s="59" t="str">
        <f t="shared" si="27"/>
        <v>28C02973</v>
      </c>
      <c r="I5388" s="59" t="str">
        <f>IF(OR($A5388="",$C5388="",$D5388="",$E5388="",$H5388=""),"",SUMIFS(DATA_GOC!$H:$H,DATA_GOC!$A:$A,"BOM",DATA_GOC!$D:$D,$H5388,DATA_GOC!$E:$E,$C5388,DATA_GOC!$F:$F,"Xuất nội bộ từ téc",DATA_GOC!$B:$B,"&gt;="&amp;$D5388,DATA_GOC!$B:$B,"&lt;="&amp;$E5388))</f>
        <v/>
      </c>
      <c r="J5388" s="59">
        <f t="shared" si="28"/>
        <v>0</v>
      </c>
      <c r="K5388" s="59">
        <f t="shared" si="29"/>
        <v>0</v>
      </c>
      <c r="L5388" s="59">
        <f t="shared" si="30"/>
        <v>0</v>
      </c>
      <c r="M5388" s="59">
        <f t="shared" si="31"/>
        <v>0</v>
      </c>
    </row>
    <row r="5389" ht="15.0" hidden="1" customHeight="1">
      <c r="A5389" s="59">
        <f t="shared" si="20"/>
        <v>86</v>
      </c>
      <c r="B5389" s="59" t="str">
        <f t="shared" si="21"/>
        <v/>
      </c>
      <c r="C5389" s="59" t="str">
        <f t="shared" si="22"/>
        <v/>
      </c>
      <c r="D5389" s="45" t="str">
        <f t="shared" si="23"/>
        <v/>
      </c>
      <c r="E5389" s="45" t="str">
        <f t="shared" si="24"/>
        <v/>
      </c>
      <c r="F5389" s="59" t="str">
        <f t="shared" si="25"/>
        <v/>
      </c>
      <c r="G5389" s="59" t="str">
        <f t="shared" si="26"/>
        <v/>
      </c>
      <c r="H5389" s="59" t="str">
        <f t="shared" si="27"/>
        <v>28C03044</v>
      </c>
      <c r="I5389" s="59" t="str">
        <f>IF(OR($A5389="",$C5389="",$D5389="",$E5389="",$H5389=""),"",SUMIFS(DATA_GOC!$H:$H,DATA_GOC!$A:$A,"BOM",DATA_GOC!$D:$D,$H5389,DATA_GOC!$E:$E,$C5389,DATA_GOC!$F:$F,"Xuất nội bộ từ téc",DATA_GOC!$B:$B,"&gt;="&amp;$D5389,DATA_GOC!$B:$B,"&lt;="&amp;$E5389))</f>
        <v/>
      </c>
      <c r="J5389" s="59">
        <f t="shared" si="28"/>
        <v>0</v>
      </c>
      <c r="K5389" s="59">
        <f t="shared" si="29"/>
        <v>0</v>
      </c>
      <c r="L5389" s="59">
        <f t="shared" si="30"/>
        <v>0</v>
      </c>
      <c r="M5389" s="59">
        <f t="shared" si="31"/>
        <v>0</v>
      </c>
    </row>
    <row r="5390" ht="15.0" hidden="1" customHeight="1">
      <c r="A5390" s="59">
        <f t="shared" si="20"/>
        <v>86</v>
      </c>
      <c r="B5390" s="59" t="str">
        <f t="shared" si="21"/>
        <v/>
      </c>
      <c r="C5390" s="59" t="str">
        <f t="shared" si="22"/>
        <v/>
      </c>
      <c r="D5390" s="45" t="str">
        <f t="shared" si="23"/>
        <v/>
      </c>
      <c r="E5390" s="45" t="str">
        <f t="shared" si="24"/>
        <v/>
      </c>
      <c r="F5390" s="59" t="str">
        <f t="shared" si="25"/>
        <v/>
      </c>
      <c r="G5390" s="59" t="str">
        <f t="shared" si="26"/>
        <v/>
      </c>
      <c r="H5390" s="59" t="str">
        <f t="shared" si="27"/>
        <v>Máy lu lốp</v>
      </c>
      <c r="I5390" s="59" t="str">
        <f>IF(OR($A5390="",$C5390="",$D5390="",$E5390="",$H5390=""),"",SUMIFS(DATA_GOC!$H:$H,DATA_GOC!$A:$A,"BOM",DATA_GOC!$D:$D,$H5390,DATA_GOC!$E:$E,$C5390,DATA_GOC!$F:$F,"Xuất nội bộ từ téc",DATA_GOC!$B:$B,"&gt;="&amp;$D5390,DATA_GOC!$B:$B,"&lt;="&amp;$E5390))</f>
        <v/>
      </c>
      <c r="J5390" s="59">
        <f t="shared" si="28"/>
        <v>0</v>
      </c>
      <c r="K5390" s="59">
        <f t="shared" si="29"/>
        <v>0</v>
      </c>
      <c r="L5390" s="59">
        <f t="shared" si="30"/>
        <v>0</v>
      </c>
      <c r="M5390" s="59">
        <f t="shared" si="31"/>
        <v>0</v>
      </c>
    </row>
    <row r="5391" ht="15.0" hidden="1" customHeight="1">
      <c r="A5391" s="59">
        <f t="shared" si="20"/>
        <v>86</v>
      </c>
      <c r="B5391" s="59" t="str">
        <f t="shared" si="21"/>
        <v/>
      </c>
      <c r="C5391" s="59" t="str">
        <f t="shared" si="22"/>
        <v/>
      </c>
      <c r="D5391" s="45" t="str">
        <f t="shared" si="23"/>
        <v/>
      </c>
      <c r="E5391" s="45" t="str">
        <f t="shared" si="24"/>
        <v/>
      </c>
      <c r="F5391" s="59" t="str">
        <f t="shared" si="25"/>
        <v/>
      </c>
      <c r="G5391" s="59" t="str">
        <f t="shared" si="26"/>
        <v/>
      </c>
      <c r="H5391" s="59" t="str">
        <f t="shared" si="27"/>
        <v>Xe 600148</v>
      </c>
      <c r="I5391" s="59" t="str">
        <f>IF(OR($A5391="",$C5391="",$D5391="",$E5391="",$H5391=""),"",SUMIFS(DATA_GOC!$H:$H,DATA_GOC!$A:$A,"BOM",DATA_GOC!$D:$D,$H5391,DATA_GOC!$E:$E,$C5391,DATA_GOC!$F:$F,"Xuất nội bộ từ téc",DATA_GOC!$B:$B,"&gt;="&amp;$D5391,DATA_GOC!$B:$B,"&lt;="&amp;$E5391))</f>
        <v/>
      </c>
      <c r="J5391" s="59">
        <f t="shared" si="28"/>
        <v>0</v>
      </c>
      <c r="K5391" s="59">
        <f t="shared" si="29"/>
        <v>0</v>
      </c>
      <c r="L5391" s="59">
        <f t="shared" si="30"/>
        <v>0</v>
      </c>
      <c r="M5391" s="59">
        <f t="shared" si="31"/>
        <v>0</v>
      </c>
    </row>
    <row r="5392" ht="15.0" hidden="1" customHeight="1">
      <c r="A5392" s="59">
        <f t="shared" si="20"/>
        <v>86</v>
      </c>
      <c r="B5392" s="59" t="str">
        <f t="shared" si="21"/>
        <v/>
      </c>
      <c r="C5392" s="59" t="str">
        <f t="shared" si="22"/>
        <v/>
      </c>
      <c r="D5392" s="45" t="str">
        <f t="shared" si="23"/>
        <v/>
      </c>
      <c r="E5392" s="45" t="str">
        <f t="shared" si="24"/>
        <v/>
      </c>
      <c r="F5392" s="59" t="str">
        <f t="shared" si="25"/>
        <v/>
      </c>
      <c r="G5392" s="59" t="str">
        <f t="shared" si="26"/>
        <v/>
      </c>
      <c r="H5392" s="59" t="str">
        <f t="shared" si="27"/>
        <v>Xe ben mới</v>
      </c>
      <c r="I5392" s="59" t="str">
        <f>IF(OR($A5392="",$C5392="",$D5392="",$E5392="",$H5392=""),"",SUMIFS(DATA_GOC!$H:$H,DATA_GOC!$A:$A,"BOM",DATA_GOC!$D:$D,$H5392,DATA_GOC!$E:$E,$C5392,DATA_GOC!$F:$F,"Xuất nội bộ từ téc",DATA_GOC!$B:$B,"&gt;="&amp;$D5392,DATA_GOC!$B:$B,"&lt;="&amp;$E5392))</f>
        <v/>
      </c>
      <c r="J5392" s="59">
        <f t="shared" si="28"/>
        <v>0</v>
      </c>
      <c r="K5392" s="59">
        <f t="shared" si="29"/>
        <v>0</v>
      </c>
      <c r="L5392" s="59">
        <f t="shared" si="30"/>
        <v>0</v>
      </c>
      <c r="M5392" s="59">
        <f t="shared" si="31"/>
        <v>0</v>
      </c>
    </row>
    <row r="5393" ht="15.0" hidden="1" customHeight="1">
      <c r="A5393" s="59">
        <f t="shared" si="20"/>
        <v>87</v>
      </c>
      <c r="B5393" s="59" t="str">
        <f t="shared" si="21"/>
        <v/>
      </c>
      <c r="C5393" s="59" t="str">
        <f t="shared" si="22"/>
        <v/>
      </c>
      <c r="D5393" s="45" t="str">
        <f t="shared" si="23"/>
        <v/>
      </c>
      <c r="E5393" s="45" t="str">
        <f t="shared" si="24"/>
        <v/>
      </c>
      <c r="F5393" s="59" t="str">
        <f t="shared" si="25"/>
        <v/>
      </c>
      <c r="G5393" s="59" t="str">
        <f t="shared" si="26"/>
        <v/>
      </c>
      <c r="H5393" s="59" t="str">
        <f t="shared" si="27"/>
        <v>19H09482</v>
      </c>
      <c r="I5393" s="59" t="str">
        <f>IF(OR($A5393="",$C5393="",$D5393="",$E5393="",$H5393=""),"",SUMIFS(DATA_GOC!$H:$H,DATA_GOC!$A:$A,"BOM",DATA_GOC!$D:$D,$H5393,DATA_GOC!$E:$E,$C5393,DATA_GOC!$F:$F,"Xuất nội bộ từ téc",DATA_GOC!$B:$B,"&gt;="&amp;$D5393,DATA_GOC!$B:$B,"&lt;="&amp;$E5393))</f>
        <v/>
      </c>
      <c r="J5393" s="59">
        <f t="shared" si="28"/>
        <v>0</v>
      </c>
      <c r="K5393" s="59">
        <f t="shared" si="29"/>
        <v>0</v>
      </c>
      <c r="L5393" s="59">
        <f t="shared" si="30"/>
        <v>0</v>
      </c>
      <c r="M5393" s="59">
        <f t="shared" si="31"/>
        <v>0</v>
      </c>
    </row>
    <row r="5394" ht="15.0" hidden="1" customHeight="1">
      <c r="A5394" s="59">
        <f t="shared" si="20"/>
        <v>87</v>
      </c>
      <c r="B5394" s="59" t="str">
        <f t="shared" si="21"/>
        <v/>
      </c>
      <c r="C5394" s="59" t="str">
        <f t="shared" si="22"/>
        <v/>
      </c>
      <c r="D5394" s="45" t="str">
        <f t="shared" si="23"/>
        <v/>
      </c>
      <c r="E5394" s="45" t="str">
        <f t="shared" si="24"/>
        <v/>
      </c>
      <c r="F5394" s="59" t="str">
        <f t="shared" si="25"/>
        <v/>
      </c>
      <c r="G5394" s="59" t="str">
        <f t="shared" si="26"/>
        <v/>
      </c>
      <c r="H5394" s="59" t="str">
        <f t="shared" si="27"/>
        <v>28A30696</v>
      </c>
      <c r="I5394" s="59" t="str">
        <f>IF(OR($A5394="",$C5394="",$D5394="",$E5394="",$H5394=""),"",SUMIFS(DATA_GOC!$H:$H,DATA_GOC!$A:$A,"BOM",DATA_GOC!$D:$D,$H5394,DATA_GOC!$E:$E,$C5394,DATA_GOC!$F:$F,"Xuất nội bộ từ téc",DATA_GOC!$B:$B,"&gt;="&amp;$D5394,DATA_GOC!$B:$B,"&lt;="&amp;$E5394))</f>
        <v/>
      </c>
      <c r="J5394" s="59">
        <f t="shared" si="28"/>
        <v>0</v>
      </c>
      <c r="K5394" s="59">
        <f t="shared" si="29"/>
        <v>0</v>
      </c>
      <c r="L5394" s="59">
        <f t="shared" si="30"/>
        <v>0</v>
      </c>
      <c r="M5394" s="59">
        <f t="shared" si="31"/>
        <v>0</v>
      </c>
    </row>
    <row r="5395" ht="15.0" hidden="1" customHeight="1">
      <c r="A5395" s="59">
        <f t="shared" si="20"/>
        <v>87</v>
      </c>
      <c r="B5395" s="59" t="str">
        <f t="shared" si="21"/>
        <v/>
      </c>
      <c r="C5395" s="59" t="str">
        <f t="shared" si="22"/>
        <v/>
      </c>
      <c r="D5395" s="45" t="str">
        <f t="shared" si="23"/>
        <v/>
      </c>
      <c r="E5395" s="45" t="str">
        <f t="shared" si="24"/>
        <v/>
      </c>
      <c r="F5395" s="59" t="str">
        <f t="shared" si="25"/>
        <v/>
      </c>
      <c r="G5395" s="59" t="str">
        <f t="shared" si="26"/>
        <v/>
      </c>
      <c r="H5395" s="59" t="str">
        <f t="shared" si="27"/>
        <v>28C00462</v>
      </c>
      <c r="I5395" s="59" t="str">
        <f>IF(OR($A5395="",$C5395="",$D5395="",$E5395="",$H5395=""),"",SUMIFS(DATA_GOC!$H:$H,DATA_GOC!$A:$A,"BOM",DATA_GOC!$D:$D,$H5395,DATA_GOC!$E:$E,$C5395,DATA_GOC!$F:$F,"Xuất nội bộ từ téc",DATA_GOC!$B:$B,"&gt;="&amp;$D5395,DATA_GOC!$B:$B,"&lt;="&amp;$E5395))</f>
        <v/>
      </c>
      <c r="J5395" s="59">
        <f t="shared" si="28"/>
        <v>0</v>
      </c>
      <c r="K5395" s="59">
        <f t="shared" si="29"/>
        <v>0</v>
      </c>
      <c r="L5395" s="59">
        <f t="shared" si="30"/>
        <v>0</v>
      </c>
      <c r="M5395" s="59">
        <f t="shared" si="31"/>
        <v>0</v>
      </c>
    </row>
    <row r="5396" ht="15.0" hidden="1" customHeight="1">
      <c r="A5396" s="59">
        <f t="shared" si="20"/>
        <v>87</v>
      </c>
      <c r="B5396" s="59" t="str">
        <f t="shared" si="21"/>
        <v/>
      </c>
      <c r="C5396" s="59" t="str">
        <f t="shared" si="22"/>
        <v/>
      </c>
      <c r="D5396" s="45" t="str">
        <f t="shared" si="23"/>
        <v/>
      </c>
      <c r="E5396" s="45" t="str">
        <f t="shared" si="24"/>
        <v/>
      </c>
      <c r="F5396" s="59" t="str">
        <f t="shared" si="25"/>
        <v/>
      </c>
      <c r="G5396" s="59" t="str">
        <f t="shared" si="26"/>
        <v/>
      </c>
      <c r="H5396" s="59" t="str">
        <f t="shared" si="27"/>
        <v>28C01165</v>
      </c>
      <c r="I5396" s="59" t="str">
        <f>IF(OR($A5396="",$C5396="",$D5396="",$E5396="",$H5396=""),"",SUMIFS(DATA_GOC!$H:$H,DATA_GOC!$A:$A,"BOM",DATA_GOC!$D:$D,$H5396,DATA_GOC!$E:$E,$C5396,DATA_GOC!$F:$F,"Xuất nội bộ từ téc",DATA_GOC!$B:$B,"&gt;="&amp;$D5396,DATA_GOC!$B:$B,"&lt;="&amp;$E5396))</f>
        <v/>
      </c>
      <c r="J5396" s="59">
        <f t="shared" si="28"/>
        <v>0</v>
      </c>
      <c r="K5396" s="59">
        <f t="shared" si="29"/>
        <v>0</v>
      </c>
      <c r="L5396" s="59">
        <f t="shared" si="30"/>
        <v>0</v>
      </c>
      <c r="M5396" s="59">
        <f t="shared" si="31"/>
        <v>0</v>
      </c>
    </row>
    <row r="5397" ht="15.0" hidden="1" customHeight="1">
      <c r="A5397" s="59">
        <f t="shared" si="20"/>
        <v>87</v>
      </c>
      <c r="B5397" s="59" t="str">
        <f t="shared" si="21"/>
        <v/>
      </c>
      <c r="C5397" s="59" t="str">
        <f t="shared" si="22"/>
        <v/>
      </c>
      <c r="D5397" s="45" t="str">
        <f t="shared" si="23"/>
        <v/>
      </c>
      <c r="E5397" s="45" t="str">
        <f t="shared" si="24"/>
        <v/>
      </c>
      <c r="F5397" s="59" t="str">
        <f t="shared" si="25"/>
        <v/>
      </c>
      <c r="G5397" s="59" t="str">
        <f t="shared" si="26"/>
        <v/>
      </c>
      <c r="H5397" s="59" t="str">
        <f t="shared" si="27"/>
        <v>28C01406</v>
      </c>
      <c r="I5397" s="59" t="str">
        <f>IF(OR($A5397="",$C5397="",$D5397="",$E5397="",$H5397=""),"",SUMIFS(DATA_GOC!$H:$H,DATA_GOC!$A:$A,"BOM",DATA_GOC!$D:$D,$H5397,DATA_GOC!$E:$E,$C5397,DATA_GOC!$F:$F,"Xuất nội bộ từ téc",DATA_GOC!$B:$B,"&gt;="&amp;$D5397,DATA_GOC!$B:$B,"&lt;="&amp;$E5397))</f>
        <v/>
      </c>
      <c r="J5397" s="59">
        <f t="shared" si="28"/>
        <v>0</v>
      </c>
      <c r="K5397" s="59">
        <f t="shared" si="29"/>
        <v>0</v>
      </c>
      <c r="L5397" s="59">
        <f t="shared" si="30"/>
        <v>0</v>
      </c>
      <c r="M5397" s="59">
        <f t="shared" si="31"/>
        <v>0</v>
      </c>
    </row>
    <row r="5398" ht="15.0" hidden="1" customHeight="1">
      <c r="A5398" s="59">
        <f t="shared" si="20"/>
        <v>87</v>
      </c>
      <c r="B5398" s="59" t="str">
        <f t="shared" si="21"/>
        <v/>
      </c>
      <c r="C5398" s="59" t="str">
        <f t="shared" si="22"/>
        <v/>
      </c>
      <c r="D5398" s="45" t="str">
        <f t="shared" si="23"/>
        <v/>
      </c>
      <c r="E5398" s="45" t="str">
        <f t="shared" si="24"/>
        <v/>
      </c>
      <c r="F5398" s="59" t="str">
        <f t="shared" si="25"/>
        <v/>
      </c>
      <c r="G5398" s="59" t="str">
        <f t="shared" si="26"/>
        <v/>
      </c>
      <c r="H5398" s="59" t="str">
        <f t="shared" si="27"/>
        <v>28C01544</v>
      </c>
      <c r="I5398" s="59" t="str">
        <f>IF(OR($A5398="",$C5398="",$D5398="",$E5398="",$H5398=""),"",SUMIFS(DATA_GOC!$H:$H,DATA_GOC!$A:$A,"BOM",DATA_GOC!$D:$D,$H5398,DATA_GOC!$E:$E,$C5398,DATA_GOC!$F:$F,"Xuất nội bộ từ téc",DATA_GOC!$B:$B,"&gt;="&amp;$D5398,DATA_GOC!$B:$B,"&lt;="&amp;$E5398))</f>
        <v/>
      </c>
      <c r="J5398" s="59">
        <f t="shared" si="28"/>
        <v>0</v>
      </c>
      <c r="K5398" s="59">
        <f t="shared" si="29"/>
        <v>0</v>
      </c>
      <c r="L5398" s="59">
        <f t="shared" si="30"/>
        <v>0</v>
      </c>
      <c r="M5398" s="59">
        <f t="shared" si="31"/>
        <v>0</v>
      </c>
    </row>
    <row r="5399" ht="15.0" hidden="1" customHeight="1">
      <c r="A5399" s="59">
        <f t="shared" si="20"/>
        <v>87</v>
      </c>
      <c r="B5399" s="59" t="str">
        <f t="shared" si="21"/>
        <v/>
      </c>
      <c r="C5399" s="59" t="str">
        <f t="shared" si="22"/>
        <v/>
      </c>
      <c r="D5399" s="45" t="str">
        <f t="shared" si="23"/>
        <v/>
      </c>
      <c r="E5399" s="45" t="str">
        <f t="shared" si="24"/>
        <v/>
      </c>
      <c r="F5399" s="59" t="str">
        <f t="shared" si="25"/>
        <v/>
      </c>
      <c r="G5399" s="59" t="str">
        <f t="shared" si="26"/>
        <v/>
      </c>
      <c r="H5399" s="59" t="str">
        <f t="shared" si="27"/>
        <v>28C01622</v>
      </c>
      <c r="I5399" s="59" t="str">
        <f>IF(OR($A5399="",$C5399="",$D5399="",$E5399="",$H5399=""),"",SUMIFS(DATA_GOC!$H:$H,DATA_GOC!$A:$A,"BOM",DATA_GOC!$D:$D,$H5399,DATA_GOC!$E:$E,$C5399,DATA_GOC!$F:$F,"Xuất nội bộ từ téc",DATA_GOC!$B:$B,"&gt;="&amp;$D5399,DATA_GOC!$B:$B,"&lt;="&amp;$E5399))</f>
        <v/>
      </c>
      <c r="J5399" s="59">
        <f t="shared" si="28"/>
        <v>0</v>
      </c>
      <c r="K5399" s="59">
        <f t="shared" si="29"/>
        <v>0</v>
      </c>
      <c r="L5399" s="59">
        <f t="shared" si="30"/>
        <v>0</v>
      </c>
      <c r="M5399" s="59">
        <f t="shared" si="31"/>
        <v>0</v>
      </c>
    </row>
    <row r="5400" ht="15.0" hidden="1" customHeight="1">
      <c r="A5400" s="59">
        <f t="shared" si="20"/>
        <v>87</v>
      </c>
      <c r="B5400" s="59" t="str">
        <f t="shared" si="21"/>
        <v/>
      </c>
      <c r="C5400" s="59" t="str">
        <f t="shared" si="22"/>
        <v/>
      </c>
      <c r="D5400" s="45" t="str">
        <f t="shared" si="23"/>
        <v/>
      </c>
      <c r="E5400" s="45" t="str">
        <f t="shared" si="24"/>
        <v/>
      </c>
      <c r="F5400" s="59" t="str">
        <f t="shared" si="25"/>
        <v/>
      </c>
      <c r="G5400" s="59" t="str">
        <f t="shared" si="26"/>
        <v/>
      </c>
      <c r="H5400" s="59" t="str">
        <f t="shared" si="27"/>
        <v>28C01647</v>
      </c>
      <c r="I5400" s="59" t="str">
        <f>IF(OR($A5400="",$C5400="",$D5400="",$E5400="",$H5400=""),"",SUMIFS(DATA_GOC!$H:$H,DATA_GOC!$A:$A,"BOM",DATA_GOC!$D:$D,$H5400,DATA_GOC!$E:$E,$C5400,DATA_GOC!$F:$F,"Xuất nội bộ từ téc",DATA_GOC!$B:$B,"&gt;="&amp;$D5400,DATA_GOC!$B:$B,"&lt;="&amp;$E5400))</f>
        <v/>
      </c>
      <c r="J5400" s="59">
        <f t="shared" si="28"/>
        <v>0</v>
      </c>
      <c r="K5400" s="59">
        <f t="shared" si="29"/>
        <v>0</v>
      </c>
      <c r="L5400" s="59">
        <f t="shared" si="30"/>
        <v>0</v>
      </c>
      <c r="M5400" s="59">
        <f t="shared" si="31"/>
        <v>0</v>
      </c>
    </row>
    <row r="5401" ht="15.0" hidden="1" customHeight="1">
      <c r="A5401" s="59">
        <f t="shared" si="20"/>
        <v>87</v>
      </c>
      <c r="B5401" s="59" t="str">
        <f t="shared" si="21"/>
        <v/>
      </c>
      <c r="C5401" s="59" t="str">
        <f t="shared" si="22"/>
        <v/>
      </c>
      <c r="D5401" s="45" t="str">
        <f t="shared" si="23"/>
        <v/>
      </c>
      <c r="E5401" s="45" t="str">
        <f t="shared" si="24"/>
        <v/>
      </c>
      <c r="F5401" s="59" t="str">
        <f t="shared" si="25"/>
        <v/>
      </c>
      <c r="G5401" s="59" t="str">
        <f t="shared" si="26"/>
        <v/>
      </c>
      <c r="H5401" s="59" t="str">
        <f t="shared" si="27"/>
        <v>28C01731</v>
      </c>
      <c r="I5401" s="59" t="str">
        <f>IF(OR($A5401="",$C5401="",$D5401="",$E5401="",$H5401=""),"",SUMIFS(DATA_GOC!$H:$H,DATA_GOC!$A:$A,"BOM",DATA_GOC!$D:$D,$H5401,DATA_GOC!$E:$E,$C5401,DATA_GOC!$F:$F,"Xuất nội bộ từ téc",DATA_GOC!$B:$B,"&gt;="&amp;$D5401,DATA_GOC!$B:$B,"&lt;="&amp;$E5401))</f>
        <v/>
      </c>
      <c r="J5401" s="59">
        <f t="shared" si="28"/>
        <v>0</v>
      </c>
      <c r="K5401" s="59">
        <f t="shared" si="29"/>
        <v>0</v>
      </c>
      <c r="L5401" s="59">
        <f t="shared" si="30"/>
        <v>0</v>
      </c>
      <c r="M5401" s="59">
        <f t="shared" si="31"/>
        <v>0</v>
      </c>
    </row>
    <row r="5402" ht="15.0" hidden="1" customHeight="1">
      <c r="A5402" s="59">
        <f t="shared" si="20"/>
        <v>87</v>
      </c>
      <c r="B5402" s="59" t="str">
        <f t="shared" si="21"/>
        <v/>
      </c>
      <c r="C5402" s="59" t="str">
        <f t="shared" si="22"/>
        <v/>
      </c>
      <c r="D5402" s="45" t="str">
        <f t="shared" si="23"/>
        <v/>
      </c>
      <c r="E5402" s="45" t="str">
        <f t="shared" si="24"/>
        <v/>
      </c>
      <c r="F5402" s="59" t="str">
        <f t="shared" si="25"/>
        <v/>
      </c>
      <c r="G5402" s="59" t="str">
        <f t="shared" si="26"/>
        <v/>
      </c>
      <c r="H5402" s="59" t="str">
        <f t="shared" si="27"/>
        <v>28C01743</v>
      </c>
      <c r="I5402" s="59" t="str">
        <f>IF(OR($A5402="",$C5402="",$D5402="",$E5402="",$H5402=""),"",SUMIFS(DATA_GOC!$H:$H,DATA_GOC!$A:$A,"BOM",DATA_GOC!$D:$D,$H5402,DATA_GOC!$E:$E,$C5402,DATA_GOC!$F:$F,"Xuất nội bộ từ téc",DATA_GOC!$B:$B,"&gt;="&amp;$D5402,DATA_GOC!$B:$B,"&lt;="&amp;$E5402))</f>
        <v/>
      </c>
      <c r="J5402" s="59">
        <f t="shared" si="28"/>
        <v>0</v>
      </c>
      <c r="K5402" s="59">
        <f t="shared" si="29"/>
        <v>0</v>
      </c>
      <c r="L5402" s="59">
        <f t="shared" si="30"/>
        <v>0</v>
      </c>
      <c r="M5402" s="59">
        <f t="shared" si="31"/>
        <v>0</v>
      </c>
    </row>
    <row r="5403" ht="15.0" hidden="1" customHeight="1">
      <c r="A5403" s="59">
        <f t="shared" si="20"/>
        <v>87</v>
      </c>
      <c r="B5403" s="59" t="str">
        <f t="shared" si="21"/>
        <v/>
      </c>
      <c r="C5403" s="59" t="str">
        <f t="shared" si="22"/>
        <v/>
      </c>
      <c r="D5403" s="45" t="str">
        <f t="shared" si="23"/>
        <v/>
      </c>
      <c r="E5403" s="45" t="str">
        <f t="shared" si="24"/>
        <v/>
      </c>
      <c r="F5403" s="59" t="str">
        <f t="shared" si="25"/>
        <v/>
      </c>
      <c r="G5403" s="59" t="str">
        <f t="shared" si="26"/>
        <v/>
      </c>
      <c r="H5403" s="59" t="str">
        <f t="shared" si="27"/>
        <v>28C02106</v>
      </c>
      <c r="I5403" s="59" t="str">
        <f>IF(OR($A5403="",$C5403="",$D5403="",$E5403="",$H5403=""),"",SUMIFS(DATA_GOC!$H:$H,DATA_GOC!$A:$A,"BOM",DATA_GOC!$D:$D,$H5403,DATA_GOC!$E:$E,$C5403,DATA_GOC!$F:$F,"Xuất nội bộ từ téc",DATA_GOC!$B:$B,"&gt;="&amp;$D5403,DATA_GOC!$B:$B,"&lt;="&amp;$E5403))</f>
        <v/>
      </c>
      <c r="J5403" s="59">
        <f t="shared" si="28"/>
        <v>0</v>
      </c>
      <c r="K5403" s="59">
        <f t="shared" si="29"/>
        <v>0</v>
      </c>
      <c r="L5403" s="59">
        <f t="shared" si="30"/>
        <v>0</v>
      </c>
      <c r="M5403" s="59">
        <f t="shared" si="31"/>
        <v>0</v>
      </c>
    </row>
    <row r="5404" ht="15.0" hidden="1" customHeight="1">
      <c r="A5404" s="59">
        <f t="shared" si="20"/>
        <v>87</v>
      </c>
      <c r="B5404" s="59" t="str">
        <f t="shared" si="21"/>
        <v/>
      </c>
      <c r="C5404" s="59" t="str">
        <f t="shared" si="22"/>
        <v/>
      </c>
      <c r="D5404" s="45" t="str">
        <f t="shared" si="23"/>
        <v/>
      </c>
      <c r="E5404" s="45" t="str">
        <f t="shared" si="24"/>
        <v/>
      </c>
      <c r="F5404" s="59" t="str">
        <f t="shared" si="25"/>
        <v/>
      </c>
      <c r="G5404" s="59" t="str">
        <f t="shared" si="26"/>
        <v/>
      </c>
      <c r="H5404" s="59" t="str">
        <f t="shared" si="27"/>
        <v>28C02410</v>
      </c>
      <c r="I5404" s="59" t="str">
        <f>IF(OR($A5404="",$C5404="",$D5404="",$E5404="",$H5404=""),"",SUMIFS(DATA_GOC!$H:$H,DATA_GOC!$A:$A,"BOM",DATA_GOC!$D:$D,$H5404,DATA_GOC!$E:$E,$C5404,DATA_GOC!$F:$F,"Xuất nội bộ từ téc",DATA_GOC!$B:$B,"&gt;="&amp;$D5404,DATA_GOC!$B:$B,"&lt;="&amp;$E5404))</f>
        <v/>
      </c>
      <c r="J5404" s="59">
        <f t="shared" si="28"/>
        <v>0</v>
      </c>
      <c r="K5404" s="59">
        <f t="shared" si="29"/>
        <v>0</v>
      </c>
      <c r="L5404" s="59">
        <f t="shared" si="30"/>
        <v>0</v>
      </c>
      <c r="M5404" s="59">
        <f t="shared" si="31"/>
        <v>0</v>
      </c>
    </row>
    <row r="5405" ht="15.0" hidden="1" customHeight="1">
      <c r="A5405" s="59">
        <f t="shared" si="20"/>
        <v>87</v>
      </c>
      <c r="B5405" s="59" t="str">
        <f t="shared" si="21"/>
        <v/>
      </c>
      <c r="C5405" s="59" t="str">
        <f t="shared" si="22"/>
        <v/>
      </c>
      <c r="D5405" s="45" t="str">
        <f t="shared" si="23"/>
        <v/>
      </c>
      <c r="E5405" s="45" t="str">
        <f t="shared" si="24"/>
        <v/>
      </c>
      <c r="F5405" s="59" t="str">
        <f t="shared" si="25"/>
        <v/>
      </c>
      <c r="G5405" s="59" t="str">
        <f t="shared" si="26"/>
        <v/>
      </c>
      <c r="H5405" s="59" t="str">
        <f t="shared" si="27"/>
        <v>28C02545</v>
      </c>
      <c r="I5405" s="59" t="str">
        <f>IF(OR($A5405="",$C5405="",$D5405="",$E5405="",$H5405=""),"",SUMIFS(DATA_GOC!$H:$H,DATA_GOC!$A:$A,"BOM",DATA_GOC!$D:$D,$H5405,DATA_GOC!$E:$E,$C5405,DATA_GOC!$F:$F,"Xuất nội bộ từ téc",DATA_GOC!$B:$B,"&gt;="&amp;$D5405,DATA_GOC!$B:$B,"&lt;="&amp;$E5405))</f>
        <v/>
      </c>
      <c r="J5405" s="59">
        <f t="shared" si="28"/>
        <v>0</v>
      </c>
      <c r="K5405" s="59">
        <f t="shared" si="29"/>
        <v>0</v>
      </c>
      <c r="L5405" s="59">
        <f t="shared" si="30"/>
        <v>0</v>
      </c>
      <c r="M5405" s="59">
        <f t="shared" si="31"/>
        <v>0</v>
      </c>
    </row>
    <row r="5406" ht="15.0" hidden="1" customHeight="1">
      <c r="A5406" s="59">
        <f t="shared" si="20"/>
        <v>87</v>
      </c>
      <c r="B5406" s="59" t="str">
        <f t="shared" si="21"/>
        <v/>
      </c>
      <c r="C5406" s="59" t="str">
        <f t="shared" si="22"/>
        <v/>
      </c>
      <c r="D5406" s="45" t="str">
        <f t="shared" si="23"/>
        <v/>
      </c>
      <c r="E5406" s="45" t="str">
        <f t="shared" si="24"/>
        <v/>
      </c>
      <c r="F5406" s="59" t="str">
        <f t="shared" si="25"/>
        <v/>
      </c>
      <c r="G5406" s="59" t="str">
        <f t="shared" si="26"/>
        <v/>
      </c>
      <c r="H5406" s="59" t="str">
        <f t="shared" si="27"/>
        <v>28C02574</v>
      </c>
      <c r="I5406" s="59" t="str">
        <f>IF(OR($A5406="",$C5406="",$D5406="",$E5406="",$H5406=""),"",SUMIFS(DATA_GOC!$H:$H,DATA_GOC!$A:$A,"BOM",DATA_GOC!$D:$D,$H5406,DATA_GOC!$E:$E,$C5406,DATA_GOC!$F:$F,"Xuất nội bộ từ téc",DATA_GOC!$B:$B,"&gt;="&amp;$D5406,DATA_GOC!$B:$B,"&lt;="&amp;$E5406))</f>
        <v/>
      </c>
      <c r="J5406" s="59">
        <f t="shared" si="28"/>
        <v>0</v>
      </c>
      <c r="K5406" s="59">
        <f t="shared" si="29"/>
        <v>0</v>
      </c>
      <c r="L5406" s="59">
        <f t="shared" si="30"/>
        <v>0</v>
      </c>
      <c r="M5406" s="59">
        <f t="shared" si="31"/>
        <v>0</v>
      </c>
    </row>
    <row r="5407" ht="15.0" hidden="1" customHeight="1">
      <c r="A5407" s="59">
        <f t="shared" si="20"/>
        <v>87</v>
      </c>
      <c r="B5407" s="59" t="str">
        <f t="shared" si="21"/>
        <v/>
      </c>
      <c r="C5407" s="59" t="str">
        <f t="shared" si="22"/>
        <v/>
      </c>
      <c r="D5407" s="45" t="str">
        <f t="shared" si="23"/>
        <v/>
      </c>
      <c r="E5407" s="45" t="str">
        <f t="shared" si="24"/>
        <v/>
      </c>
      <c r="F5407" s="59" t="str">
        <f t="shared" si="25"/>
        <v/>
      </c>
      <c r="G5407" s="59" t="str">
        <f t="shared" si="26"/>
        <v/>
      </c>
      <c r="H5407" s="59" t="str">
        <f t="shared" si="27"/>
        <v>28C02770</v>
      </c>
      <c r="I5407" s="59" t="str">
        <f>IF(OR($A5407="",$C5407="",$D5407="",$E5407="",$H5407=""),"",SUMIFS(DATA_GOC!$H:$H,DATA_GOC!$A:$A,"BOM",DATA_GOC!$D:$D,$H5407,DATA_GOC!$E:$E,$C5407,DATA_GOC!$F:$F,"Xuất nội bộ từ téc",DATA_GOC!$B:$B,"&gt;="&amp;$D5407,DATA_GOC!$B:$B,"&lt;="&amp;$E5407))</f>
        <v/>
      </c>
      <c r="J5407" s="59">
        <f t="shared" si="28"/>
        <v>0</v>
      </c>
      <c r="K5407" s="59">
        <f t="shared" si="29"/>
        <v>0</v>
      </c>
      <c r="L5407" s="59">
        <f t="shared" si="30"/>
        <v>0</v>
      </c>
      <c r="M5407" s="59">
        <f t="shared" si="31"/>
        <v>0</v>
      </c>
    </row>
    <row r="5408" ht="15.0" hidden="1" customHeight="1">
      <c r="A5408" s="59">
        <f t="shared" si="20"/>
        <v>87</v>
      </c>
      <c r="B5408" s="59" t="str">
        <f t="shared" si="21"/>
        <v/>
      </c>
      <c r="C5408" s="59" t="str">
        <f t="shared" si="22"/>
        <v/>
      </c>
      <c r="D5408" s="45" t="str">
        <f t="shared" si="23"/>
        <v/>
      </c>
      <c r="E5408" s="45" t="str">
        <f t="shared" si="24"/>
        <v/>
      </c>
      <c r="F5408" s="59" t="str">
        <f t="shared" si="25"/>
        <v/>
      </c>
      <c r="G5408" s="59" t="str">
        <f t="shared" si="26"/>
        <v/>
      </c>
      <c r="H5408" s="59" t="str">
        <f t="shared" si="27"/>
        <v>28C02986</v>
      </c>
      <c r="I5408" s="59" t="str">
        <f>IF(OR($A5408="",$C5408="",$D5408="",$E5408="",$H5408=""),"",SUMIFS(DATA_GOC!$H:$H,DATA_GOC!$A:$A,"BOM",DATA_GOC!$D:$D,$H5408,DATA_GOC!$E:$E,$C5408,DATA_GOC!$F:$F,"Xuất nội bộ từ téc",DATA_GOC!$B:$B,"&gt;="&amp;$D5408,DATA_GOC!$B:$B,"&lt;="&amp;$E5408))</f>
        <v/>
      </c>
      <c r="J5408" s="59">
        <f t="shared" si="28"/>
        <v>0</v>
      </c>
      <c r="K5408" s="59">
        <f t="shared" si="29"/>
        <v>0</v>
      </c>
      <c r="L5408" s="59">
        <f t="shared" si="30"/>
        <v>0</v>
      </c>
      <c r="M5408" s="59">
        <f t="shared" si="31"/>
        <v>0</v>
      </c>
    </row>
    <row r="5409" ht="15.0" hidden="1" customHeight="1">
      <c r="A5409" s="59">
        <f t="shared" si="20"/>
        <v>87</v>
      </c>
      <c r="B5409" s="59" t="str">
        <f t="shared" si="21"/>
        <v/>
      </c>
      <c r="C5409" s="59" t="str">
        <f t="shared" si="22"/>
        <v/>
      </c>
      <c r="D5409" s="45" t="str">
        <f t="shared" si="23"/>
        <v/>
      </c>
      <c r="E5409" s="45" t="str">
        <f t="shared" si="24"/>
        <v/>
      </c>
      <c r="F5409" s="59" t="str">
        <f t="shared" si="25"/>
        <v/>
      </c>
      <c r="G5409" s="59" t="str">
        <f t="shared" si="26"/>
        <v/>
      </c>
      <c r="H5409" s="59" t="str">
        <f t="shared" si="27"/>
        <v>28C03261</v>
      </c>
      <c r="I5409" s="59" t="str">
        <f>IF(OR($A5409="",$C5409="",$D5409="",$E5409="",$H5409=""),"",SUMIFS(DATA_GOC!$H:$H,DATA_GOC!$A:$A,"BOM",DATA_GOC!$D:$D,$H5409,DATA_GOC!$E:$E,$C5409,DATA_GOC!$F:$F,"Xuất nội bộ từ téc",DATA_GOC!$B:$B,"&gt;="&amp;$D5409,DATA_GOC!$B:$B,"&lt;="&amp;$E5409))</f>
        <v/>
      </c>
      <c r="J5409" s="59">
        <f t="shared" si="28"/>
        <v>0</v>
      </c>
      <c r="K5409" s="59">
        <f t="shared" si="29"/>
        <v>0</v>
      </c>
      <c r="L5409" s="59">
        <f t="shared" si="30"/>
        <v>0</v>
      </c>
      <c r="M5409" s="59">
        <f t="shared" si="31"/>
        <v>0</v>
      </c>
    </row>
    <row r="5410" ht="15.0" hidden="1" customHeight="1">
      <c r="A5410" s="59">
        <f t="shared" si="20"/>
        <v>87</v>
      </c>
      <c r="B5410" s="59" t="str">
        <f t="shared" si="21"/>
        <v/>
      </c>
      <c r="C5410" s="59" t="str">
        <f t="shared" si="22"/>
        <v/>
      </c>
      <c r="D5410" s="45" t="str">
        <f t="shared" si="23"/>
        <v/>
      </c>
      <c r="E5410" s="45" t="str">
        <f t="shared" si="24"/>
        <v/>
      </c>
      <c r="F5410" s="59" t="str">
        <f t="shared" si="25"/>
        <v/>
      </c>
      <c r="G5410" s="59" t="str">
        <f t="shared" si="26"/>
        <v/>
      </c>
      <c r="H5410" s="59" t="str">
        <f t="shared" si="27"/>
        <v>28C03323</v>
      </c>
      <c r="I5410" s="59" t="str">
        <f>IF(OR($A5410="",$C5410="",$D5410="",$E5410="",$H5410=""),"",SUMIFS(DATA_GOC!$H:$H,DATA_GOC!$A:$A,"BOM",DATA_GOC!$D:$D,$H5410,DATA_GOC!$E:$E,$C5410,DATA_GOC!$F:$F,"Xuất nội bộ từ téc",DATA_GOC!$B:$B,"&gt;="&amp;$D5410,DATA_GOC!$B:$B,"&lt;="&amp;$E5410))</f>
        <v/>
      </c>
      <c r="J5410" s="59">
        <f t="shared" si="28"/>
        <v>0</v>
      </c>
      <c r="K5410" s="59">
        <f t="shared" si="29"/>
        <v>0</v>
      </c>
      <c r="L5410" s="59">
        <f t="shared" si="30"/>
        <v>0</v>
      </c>
      <c r="M5410" s="59">
        <f t="shared" si="31"/>
        <v>0</v>
      </c>
    </row>
    <row r="5411" ht="15.0" hidden="1" customHeight="1">
      <c r="A5411" s="59">
        <f t="shared" si="20"/>
        <v>87</v>
      </c>
      <c r="B5411" s="59" t="str">
        <f t="shared" si="21"/>
        <v/>
      </c>
      <c r="C5411" s="59" t="str">
        <f t="shared" si="22"/>
        <v/>
      </c>
      <c r="D5411" s="45" t="str">
        <f t="shared" si="23"/>
        <v/>
      </c>
      <c r="E5411" s="45" t="str">
        <f t="shared" si="24"/>
        <v/>
      </c>
      <c r="F5411" s="59" t="str">
        <f t="shared" si="25"/>
        <v/>
      </c>
      <c r="G5411" s="59" t="str">
        <f t="shared" si="26"/>
        <v/>
      </c>
      <c r="H5411" s="59" t="str">
        <f t="shared" si="27"/>
        <v>28C03385</v>
      </c>
      <c r="I5411" s="59" t="str">
        <f>IF(OR($A5411="",$C5411="",$D5411="",$E5411="",$H5411=""),"",SUMIFS(DATA_GOC!$H:$H,DATA_GOC!$A:$A,"BOM",DATA_GOC!$D:$D,$H5411,DATA_GOC!$E:$E,$C5411,DATA_GOC!$F:$F,"Xuất nội bộ từ téc",DATA_GOC!$B:$B,"&gt;="&amp;$D5411,DATA_GOC!$B:$B,"&lt;="&amp;$E5411))</f>
        <v/>
      </c>
      <c r="J5411" s="59">
        <f t="shared" si="28"/>
        <v>0</v>
      </c>
      <c r="K5411" s="59">
        <f t="shared" si="29"/>
        <v>0</v>
      </c>
      <c r="L5411" s="59">
        <f t="shared" si="30"/>
        <v>0</v>
      </c>
      <c r="M5411" s="59">
        <f t="shared" si="31"/>
        <v>0</v>
      </c>
    </row>
    <row r="5412" ht="15.0" hidden="1" customHeight="1">
      <c r="A5412" s="59">
        <f t="shared" si="20"/>
        <v>87</v>
      </c>
      <c r="B5412" s="59" t="str">
        <f t="shared" si="21"/>
        <v/>
      </c>
      <c r="C5412" s="59" t="str">
        <f t="shared" si="22"/>
        <v/>
      </c>
      <c r="D5412" s="45" t="str">
        <f t="shared" si="23"/>
        <v/>
      </c>
      <c r="E5412" s="45" t="str">
        <f t="shared" si="24"/>
        <v/>
      </c>
      <c r="F5412" s="59" t="str">
        <f t="shared" si="25"/>
        <v/>
      </c>
      <c r="G5412" s="59" t="str">
        <f t="shared" si="26"/>
        <v/>
      </c>
      <c r="H5412" s="59" t="str">
        <f t="shared" si="27"/>
        <v>28C03652</v>
      </c>
      <c r="I5412" s="59" t="str">
        <f>IF(OR($A5412="",$C5412="",$D5412="",$E5412="",$H5412=""),"",SUMIFS(DATA_GOC!$H:$H,DATA_GOC!$A:$A,"BOM",DATA_GOC!$D:$D,$H5412,DATA_GOC!$E:$E,$C5412,DATA_GOC!$F:$F,"Xuất nội bộ từ téc",DATA_GOC!$B:$B,"&gt;="&amp;$D5412,DATA_GOC!$B:$B,"&lt;="&amp;$E5412))</f>
        <v/>
      </c>
      <c r="J5412" s="59">
        <f t="shared" si="28"/>
        <v>0</v>
      </c>
      <c r="K5412" s="59">
        <f t="shared" si="29"/>
        <v>0</v>
      </c>
      <c r="L5412" s="59">
        <f t="shared" si="30"/>
        <v>0</v>
      </c>
      <c r="M5412" s="59">
        <f t="shared" si="31"/>
        <v>0</v>
      </c>
    </row>
    <row r="5413" ht="15.0" hidden="1" customHeight="1">
      <c r="A5413" s="59">
        <f t="shared" si="20"/>
        <v>87</v>
      </c>
      <c r="B5413" s="59" t="str">
        <f t="shared" si="21"/>
        <v/>
      </c>
      <c r="C5413" s="59" t="str">
        <f t="shared" si="22"/>
        <v/>
      </c>
      <c r="D5413" s="45" t="str">
        <f t="shared" si="23"/>
        <v/>
      </c>
      <c r="E5413" s="45" t="str">
        <f t="shared" si="24"/>
        <v/>
      </c>
      <c r="F5413" s="59" t="str">
        <f t="shared" si="25"/>
        <v/>
      </c>
      <c r="G5413" s="59" t="str">
        <f t="shared" si="26"/>
        <v/>
      </c>
      <c r="H5413" s="59" t="str">
        <f t="shared" si="27"/>
        <v>28C03695</v>
      </c>
      <c r="I5413" s="59" t="str">
        <f>IF(OR($A5413="",$C5413="",$D5413="",$E5413="",$H5413=""),"",SUMIFS(DATA_GOC!$H:$H,DATA_GOC!$A:$A,"BOM",DATA_GOC!$D:$D,$H5413,DATA_GOC!$E:$E,$C5413,DATA_GOC!$F:$F,"Xuất nội bộ từ téc",DATA_GOC!$B:$B,"&gt;="&amp;$D5413,DATA_GOC!$B:$B,"&lt;="&amp;$E5413))</f>
        <v/>
      </c>
      <c r="J5413" s="59">
        <f t="shared" si="28"/>
        <v>0</v>
      </c>
      <c r="K5413" s="59">
        <f t="shared" si="29"/>
        <v>0</v>
      </c>
      <c r="L5413" s="59">
        <f t="shared" si="30"/>
        <v>0</v>
      </c>
      <c r="M5413" s="59">
        <f t="shared" si="31"/>
        <v>0</v>
      </c>
    </row>
    <row r="5414" ht="15.0" hidden="1" customHeight="1">
      <c r="A5414" s="59">
        <f t="shared" si="20"/>
        <v>87</v>
      </c>
      <c r="B5414" s="59" t="str">
        <f t="shared" si="21"/>
        <v/>
      </c>
      <c r="C5414" s="59" t="str">
        <f t="shared" si="22"/>
        <v/>
      </c>
      <c r="D5414" s="45" t="str">
        <f t="shared" si="23"/>
        <v/>
      </c>
      <c r="E5414" s="45" t="str">
        <f t="shared" si="24"/>
        <v/>
      </c>
      <c r="F5414" s="59" t="str">
        <f t="shared" si="25"/>
        <v/>
      </c>
      <c r="G5414" s="59" t="str">
        <f t="shared" si="26"/>
        <v/>
      </c>
      <c r="H5414" s="59" t="str">
        <f t="shared" si="27"/>
        <v>28C03927</v>
      </c>
      <c r="I5414" s="59" t="str">
        <f>IF(OR($A5414="",$C5414="",$D5414="",$E5414="",$H5414=""),"",SUMIFS(DATA_GOC!$H:$H,DATA_GOC!$A:$A,"BOM",DATA_GOC!$D:$D,$H5414,DATA_GOC!$E:$E,$C5414,DATA_GOC!$F:$F,"Xuất nội bộ từ téc",DATA_GOC!$B:$B,"&gt;="&amp;$D5414,DATA_GOC!$B:$B,"&lt;="&amp;$E5414))</f>
        <v/>
      </c>
      <c r="J5414" s="59">
        <f t="shared" si="28"/>
        <v>0</v>
      </c>
      <c r="K5414" s="59">
        <f t="shared" si="29"/>
        <v>0</v>
      </c>
      <c r="L5414" s="59">
        <f t="shared" si="30"/>
        <v>0</v>
      </c>
      <c r="M5414" s="59">
        <f t="shared" si="31"/>
        <v>0</v>
      </c>
    </row>
    <row r="5415" ht="15.0" hidden="1" customHeight="1">
      <c r="A5415" s="59">
        <f t="shared" si="20"/>
        <v>87</v>
      </c>
      <c r="B5415" s="59" t="str">
        <f t="shared" si="21"/>
        <v/>
      </c>
      <c r="C5415" s="59" t="str">
        <f t="shared" si="22"/>
        <v/>
      </c>
      <c r="D5415" s="45" t="str">
        <f t="shared" si="23"/>
        <v/>
      </c>
      <c r="E5415" s="45" t="str">
        <f t="shared" si="24"/>
        <v/>
      </c>
      <c r="F5415" s="59" t="str">
        <f t="shared" si="25"/>
        <v/>
      </c>
      <c r="G5415" s="59" t="str">
        <f t="shared" si="26"/>
        <v/>
      </c>
      <c r="H5415" s="59" t="str">
        <f t="shared" si="27"/>
        <v>28C04509</v>
      </c>
      <c r="I5415" s="59" t="str">
        <f>IF(OR($A5415="",$C5415="",$D5415="",$E5415="",$H5415=""),"",SUMIFS(DATA_GOC!$H:$H,DATA_GOC!$A:$A,"BOM",DATA_GOC!$D:$D,$H5415,DATA_GOC!$E:$E,$C5415,DATA_GOC!$F:$F,"Xuất nội bộ từ téc",DATA_GOC!$B:$B,"&gt;="&amp;$D5415,DATA_GOC!$B:$B,"&lt;="&amp;$E5415))</f>
        <v/>
      </c>
      <c r="J5415" s="59">
        <f t="shared" si="28"/>
        <v>0</v>
      </c>
      <c r="K5415" s="59">
        <f t="shared" si="29"/>
        <v>0</v>
      </c>
      <c r="L5415" s="59">
        <f t="shared" si="30"/>
        <v>0</v>
      </c>
      <c r="M5415" s="59">
        <f t="shared" si="31"/>
        <v>0</v>
      </c>
    </row>
    <row r="5416" ht="15.0" hidden="1" customHeight="1">
      <c r="A5416" s="59">
        <f t="shared" si="20"/>
        <v>87</v>
      </c>
      <c r="B5416" s="59" t="str">
        <f t="shared" si="21"/>
        <v/>
      </c>
      <c r="C5416" s="59" t="str">
        <f t="shared" si="22"/>
        <v/>
      </c>
      <c r="D5416" s="45" t="str">
        <f t="shared" si="23"/>
        <v/>
      </c>
      <c r="E5416" s="45" t="str">
        <f t="shared" si="24"/>
        <v/>
      </c>
      <c r="F5416" s="59" t="str">
        <f t="shared" si="25"/>
        <v/>
      </c>
      <c r="G5416" s="59" t="str">
        <f t="shared" si="26"/>
        <v/>
      </c>
      <c r="H5416" s="59" t="str">
        <f t="shared" si="27"/>
        <v>28C04536</v>
      </c>
      <c r="I5416" s="59" t="str">
        <f>IF(OR($A5416="",$C5416="",$D5416="",$E5416="",$H5416=""),"",SUMIFS(DATA_GOC!$H:$H,DATA_GOC!$A:$A,"BOM",DATA_GOC!$D:$D,$H5416,DATA_GOC!$E:$E,$C5416,DATA_GOC!$F:$F,"Xuất nội bộ từ téc",DATA_GOC!$B:$B,"&gt;="&amp;$D5416,DATA_GOC!$B:$B,"&lt;="&amp;$E5416))</f>
        <v/>
      </c>
      <c r="J5416" s="59">
        <f t="shared" si="28"/>
        <v>0</v>
      </c>
      <c r="K5416" s="59">
        <f t="shared" si="29"/>
        <v>0</v>
      </c>
      <c r="L5416" s="59">
        <f t="shared" si="30"/>
        <v>0</v>
      </c>
      <c r="M5416" s="59">
        <f t="shared" si="31"/>
        <v>0</v>
      </c>
    </row>
    <row r="5417" ht="15.0" hidden="1" customHeight="1">
      <c r="A5417" s="59">
        <f t="shared" si="20"/>
        <v>87</v>
      </c>
      <c r="B5417" s="59" t="str">
        <f t="shared" si="21"/>
        <v/>
      </c>
      <c r="C5417" s="59" t="str">
        <f t="shared" si="22"/>
        <v/>
      </c>
      <c r="D5417" s="45" t="str">
        <f t="shared" si="23"/>
        <v/>
      </c>
      <c r="E5417" s="45" t="str">
        <f t="shared" si="24"/>
        <v/>
      </c>
      <c r="F5417" s="59" t="str">
        <f t="shared" si="25"/>
        <v/>
      </c>
      <c r="G5417" s="59" t="str">
        <f t="shared" si="26"/>
        <v/>
      </c>
      <c r="H5417" s="59" t="str">
        <f t="shared" si="27"/>
        <v>28C04576</v>
      </c>
      <c r="I5417" s="59" t="str">
        <f>IF(OR($A5417="",$C5417="",$D5417="",$E5417="",$H5417=""),"",SUMIFS(DATA_GOC!$H:$H,DATA_GOC!$A:$A,"BOM",DATA_GOC!$D:$D,$H5417,DATA_GOC!$E:$E,$C5417,DATA_GOC!$F:$F,"Xuất nội bộ từ téc",DATA_GOC!$B:$B,"&gt;="&amp;$D5417,DATA_GOC!$B:$B,"&lt;="&amp;$E5417))</f>
        <v/>
      </c>
      <c r="J5417" s="59">
        <f t="shared" si="28"/>
        <v>0</v>
      </c>
      <c r="K5417" s="59">
        <f t="shared" si="29"/>
        <v>0</v>
      </c>
      <c r="L5417" s="59">
        <f t="shared" si="30"/>
        <v>0</v>
      </c>
      <c r="M5417" s="59">
        <f t="shared" si="31"/>
        <v>0</v>
      </c>
    </row>
    <row r="5418" ht="15.0" hidden="1" customHeight="1">
      <c r="A5418" s="59">
        <f t="shared" si="20"/>
        <v>87</v>
      </c>
      <c r="B5418" s="59" t="str">
        <f t="shared" si="21"/>
        <v/>
      </c>
      <c r="C5418" s="59" t="str">
        <f t="shared" si="22"/>
        <v/>
      </c>
      <c r="D5418" s="45" t="str">
        <f t="shared" si="23"/>
        <v/>
      </c>
      <c r="E5418" s="45" t="str">
        <f t="shared" si="24"/>
        <v/>
      </c>
      <c r="F5418" s="59" t="str">
        <f t="shared" si="25"/>
        <v/>
      </c>
      <c r="G5418" s="59" t="str">
        <f t="shared" si="26"/>
        <v/>
      </c>
      <c r="H5418" s="59" t="str">
        <f t="shared" si="27"/>
        <v>28C05090</v>
      </c>
      <c r="I5418" s="59" t="str">
        <f>IF(OR($A5418="",$C5418="",$D5418="",$E5418="",$H5418=""),"",SUMIFS(DATA_GOC!$H:$H,DATA_GOC!$A:$A,"BOM",DATA_GOC!$D:$D,$H5418,DATA_GOC!$E:$E,$C5418,DATA_GOC!$F:$F,"Xuất nội bộ từ téc",DATA_GOC!$B:$B,"&gt;="&amp;$D5418,DATA_GOC!$B:$B,"&lt;="&amp;$E5418))</f>
        <v/>
      </c>
      <c r="J5418" s="59">
        <f t="shared" si="28"/>
        <v>0</v>
      </c>
      <c r="K5418" s="59">
        <f t="shared" si="29"/>
        <v>0</v>
      </c>
      <c r="L5418" s="59">
        <f t="shared" si="30"/>
        <v>0</v>
      </c>
      <c r="M5418" s="59">
        <f t="shared" si="31"/>
        <v>0</v>
      </c>
    </row>
    <row r="5419" ht="15.0" hidden="1" customHeight="1">
      <c r="A5419" s="59">
        <f t="shared" si="20"/>
        <v>87</v>
      </c>
      <c r="B5419" s="59" t="str">
        <f t="shared" si="21"/>
        <v/>
      </c>
      <c r="C5419" s="59" t="str">
        <f t="shared" si="22"/>
        <v/>
      </c>
      <c r="D5419" s="45" t="str">
        <f t="shared" si="23"/>
        <v/>
      </c>
      <c r="E5419" s="45" t="str">
        <f t="shared" si="24"/>
        <v/>
      </c>
      <c r="F5419" s="59" t="str">
        <f t="shared" si="25"/>
        <v/>
      </c>
      <c r="G5419" s="59" t="str">
        <f t="shared" si="26"/>
        <v/>
      </c>
      <c r="H5419" s="59" t="str">
        <f t="shared" si="27"/>
        <v>28C05345</v>
      </c>
      <c r="I5419" s="59" t="str">
        <f>IF(OR($A5419="",$C5419="",$D5419="",$E5419="",$H5419=""),"",SUMIFS(DATA_GOC!$H:$H,DATA_GOC!$A:$A,"BOM",DATA_GOC!$D:$D,$H5419,DATA_GOC!$E:$E,$C5419,DATA_GOC!$F:$F,"Xuất nội bộ từ téc",DATA_GOC!$B:$B,"&gt;="&amp;$D5419,DATA_GOC!$B:$B,"&lt;="&amp;$E5419))</f>
        <v/>
      </c>
      <c r="J5419" s="59">
        <f t="shared" si="28"/>
        <v>0</v>
      </c>
      <c r="K5419" s="59">
        <f t="shared" si="29"/>
        <v>0</v>
      </c>
      <c r="L5419" s="59">
        <f t="shared" si="30"/>
        <v>0</v>
      </c>
      <c r="M5419" s="59">
        <f t="shared" si="31"/>
        <v>0</v>
      </c>
    </row>
    <row r="5420" ht="15.0" hidden="1" customHeight="1">
      <c r="A5420" s="59">
        <f t="shared" si="20"/>
        <v>87</v>
      </c>
      <c r="B5420" s="59" t="str">
        <f t="shared" si="21"/>
        <v/>
      </c>
      <c r="C5420" s="59" t="str">
        <f t="shared" si="22"/>
        <v/>
      </c>
      <c r="D5420" s="45" t="str">
        <f t="shared" si="23"/>
        <v/>
      </c>
      <c r="E5420" s="45" t="str">
        <f t="shared" si="24"/>
        <v/>
      </c>
      <c r="F5420" s="59" t="str">
        <f t="shared" si="25"/>
        <v/>
      </c>
      <c r="G5420" s="59" t="str">
        <f t="shared" si="26"/>
        <v/>
      </c>
      <c r="H5420" s="59" t="str">
        <f t="shared" si="27"/>
        <v>28C05661</v>
      </c>
      <c r="I5420" s="59" t="str">
        <f>IF(OR($A5420="",$C5420="",$D5420="",$E5420="",$H5420=""),"",SUMIFS(DATA_GOC!$H:$H,DATA_GOC!$A:$A,"BOM",DATA_GOC!$D:$D,$H5420,DATA_GOC!$E:$E,$C5420,DATA_GOC!$F:$F,"Xuất nội bộ từ téc",DATA_GOC!$B:$B,"&gt;="&amp;$D5420,DATA_GOC!$B:$B,"&lt;="&amp;$E5420))</f>
        <v/>
      </c>
      <c r="J5420" s="59">
        <f t="shared" si="28"/>
        <v>0</v>
      </c>
      <c r="K5420" s="59">
        <f t="shared" si="29"/>
        <v>0</v>
      </c>
      <c r="L5420" s="59">
        <f t="shared" si="30"/>
        <v>0</v>
      </c>
      <c r="M5420" s="59">
        <f t="shared" si="31"/>
        <v>0</v>
      </c>
    </row>
    <row r="5421" ht="15.0" hidden="1" customHeight="1">
      <c r="A5421" s="59">
        <f t="shared" si="20"/>
        <v>87</v>
      </c>
      <c r="B5421" s="59" t="str">
        <f t="shared" si="21"/>
        <v/>
      </c>
      <c r="C5421" s="59" t="str">
        <f t="shared" si="22"/>
        <v/>
      </c>
      <c r="D5421" s="45" t="str">
        <f t="shared" si="23"/>
        <v/>
      </c>
      <c r="E5421" s="45" t="str">
        <f t="shared" si="24"/>
        <v/>
      </c>
      <c r="F5421" s="59" t="str">
        <f t="shared" si="25"/>
        <v/>
      </c>
      <c r="G5421" s="59" t="str">
        <f t="shared" si="26"/>
        <v/>
      </c>
      <c r="H5421" s="59" t="str">
        <f t="shared" si="27"/>
        <v>28C05739</v>
      </c>
      <c r="I5421" s="59" t="str">
        <f>IF(OR($A5421="",$C5421="",$D5421="",$E5421="",$H5421=""),"",SUMIFS(DATA_GOC!$H:$H,DATA_GOC!$A:$A,"BOM",DATA_GOC!$D:$D,$H5421,DATA_GOC!$E:$E,$C5421,DATA_GOC!$F:$F,"Xuất nội bộ từ téc",DATA_GOC!$B:$B,"&gt;="&amp;$D5421,DATA_GOC!$B:$B,"&lt;="&amp;$E5421))</f>
        <v/>
      </c>
      <c r="J5421" s="59">
        <f t="shared" si="28"/>
        <v>0</v>
      </c>
      <c r="K5421" s="59">
        <f t="shared" si="29"/>
        <v>0</v>
      </c>
      <c r="L5421" s="59">
        <f t="shared" si="30"/>
        <v>0</v>
      </c>
      <c r="M5421" s="59">
        <f t="shared" si="31"/>
        <v>0</v>
      </c>
    </row>
    <row r="5422" ht="15.0" hidden="1" customHeight="1">
      <c r="A5422" s="59">
        <f t="shared" si="20"/>
        <v>87</v>
      </c>
      <c r="B5422" s="59" t="str">
        <f t="shared" si="21"/>
        <v/>
      </c>
      <c r="C5422" s="59" t="str">
        <f t="shared" si="22"/>
        <v/>
      </c>
      <c r="D5422" s="45" t="str">
        <f t="shared" si="23"/>
        <v/>
      </c>
      <c r="E5422" s="45" t="str">
        <f t="shared" si="24"/>
        <v/>
      </c>
      <c r="F5422" s="59" t="str">
        <f t="shared" si="25"/>
        <v/>
      </c>
      <c r="G5422" s="59" t="str">
        <f t="shared" si="26"/>
        <v/>
      </c>
      <c r="H5422" s="59" t="str">
        <f t="shared" si="27"/>
        <v>28C06369</v>
      </c>
      <c r="I5422" s="59" t="str">
        <f>IF(OR($A5422="",$C5422="",$D5422="",$E5422="",$H5422=""),"",SUMIFS(DATA_GOC!$H:$H,DATA_GOC!$A:$A,"BOM",DATA_GOC!$D:$D,$H5422,DATA_GOC!$E:$E,$C5422,DATA_GOC!$F:$F,"Xuất nội bộ từ téc",DATA_GOC!$B:$B,"&gt;="&amp;$D5422,DATA_GOC!$B:$B,"&lt;="&amp;$E5422))</f>
        <v/>
      </c>
      <c r="J5422" s="59">
        <f t="shared" si="28"/>
        <v>0</v>
      </c>
      <c r="K5422" s="59">
        <f t="shared" si="29"/>
        <v>0</v>
      </c>
      <c r="L5422" s="59">
        <f t="shared" si="30"/>
        <v>0</v>
      </c>
      <c r="M5422" s="59">
        <f t="shared" si="31"/>
        <v>0</v>
      </c>
    </row>
    <row r="5423" ht="15.0" hidden="1" customHeight="1">
      <c r="A5423" s="59">
        <f t="shared" si="20"/>
        <v>87</v>
      </c>
      <c r="B5423" s="59" t="str">
        <f t="shared" si="21"/>
        <v/>
      </c>
      <c r="C5423" s="59" t="str">
        <f t="shared" si="22"/>
        <v/>
      </c>
      <c r="D5423" s="45" t="str">
        <f t="shared" si="23"/>
        <v/>
      </c>
      <c r="E5423" s="45" t="str">
        <f t="shared" si="24"/>
        <v/>
      </c>
      <c r="F5423" s="59" t="str">
        <f t="shared" si="25"/>
        <v/>
      </c>
      <c r="G5423" s="59" t="str">
        <f t="shared" si="26"/>
        <v/>
      </c>
      <c r="H5423" s="59" t="str">
        <f t="shared" si="27"/>
        <v>28C06447</v>
      </c>
      <c r="I5423" s="59" t="str">
        <f>IF(OR($A5423="",$C5423="",$D5423="",$E5423="",$H5423=""),"",SUMIFS(DATA_GOC!$H:$H,DATA_GOC!$A:$A,"BOM",DATA_GOC!$D:$D,$H5423,DATA_GOC!$E:$E,$C5423,DATA_GOC!$F:$F,"Xuất nội bộ từ téc",DATA_GOC!$B:$B,"&gt;="&amp;$D5423,DATA_GOC!$B:$B,"&lt;="&amp;$E5423))</f>
        <v/>
      </c>
      <c r="J5423" s="59">
        <f t="shared" si="28"/>
        <v>0</v>
      </c>
      <c r="K5423" s="59">
        <f t="shared" si="29"/>
        <v>0</v>
      </c>
      <c r="L5423" s="59">
        <f t="shared" si="30"/>
        <v>0</v>
      </c>
      <c r="M5423" s="59">
        <f t="shared" si="31"/>
        <v>0</v>
      </c>
    </row>
    <row r="5424" ht="15.0" hidden="1" customHeight="1">
      <c r="A5424" s="59">
        <f t="shared" si="20"/>
        <v>87</v>
      </c>
      <c r="B5424" s="59" t="str">
        <f t="shared" si="21"/>
        <v/>
      </c>
      <c r="C5424" s="59" t="str">
        <f t="shared" si="22"/>
        <v/>
      </c>
      <c r="D5424" s="45" t="str">
        <f t="shared" si="23"/>
        <v/>
      </c>
      <c r="E5424" s="45" t="str">
        <f t="shared" si="24"/>
        <v/>
      </c>
      <c r="F5424" s="59" t="str">
        <f t="shared" si="25"/>
        <v/>
      </c>
      <c r="G5424" s="59" t="str">
        <f t="shared" si="26"/>
        <v/>
      </c>
      <c r="H5424" s="59" t="str">
        <f t="shared" si="27"/>
        <v>28H00003</v>
      </c>
      <c r="I5424" s="59" t="str">
        <f>IF(OR($A5424="",$C5424="",$D5424="",$E5424="",$H5424=""),"",SUMIFS(DATA_GOC!$H:$H,DATA_GOC!$A:$A,"BOM",DATA_GOC!$D:$D,$H5424,DATA_GOC!$E:$E,$C5424,DATA_GOC!$F:$F,"Xuất nội bộ từ téc",DATA_GOC!$B:$B,"&gt;="&amp;$D5424,DATA_GOC!$B:$B,"&lt;="&amp;$E5424))</f>
        <v/>
      </c>
      <c r="J5424" s="59">
        <f t="shared" si="28"/>
        <v>0</v>
      </c>
      <c r="K5424" s="59">
        <f t="shared" si="29"/>
        <v>0</v>
      </c>
      <c r="L5424" s="59">
        <f t="shared" si="30"/>
        <v>0</v>
      </c>
      <c r="M5424" s="59">
        <f t="shared" si="31"/>
        <v>0</v>
      </c>
    </row>
    <row r="5425" ht="15.0" hidden="1" customHeight="1">
      <c r="A5425" s="59">
        <f t="shared" si="20"/>
        <v>87</v>
      </c>
      <c r="B5425" s="59" t="str">
        <f t="shared" si="21"/>
        <v/>
      </c>
      <c r="C5425" s="59" t="str">
        <f t="shared" si="22"/>
        <v/>
      </c>
      <c r="D5425" s="45" t="str">
        <f t="shared" si="23"/>
        <v/>
      </c>
      <c r="E5425" s="45" t="str">
        <f t="shared" si="24"/>
        <v/>
      </c>
      <c r="F5425" s="59" t="str">
        <f t="shared" si="25"/>
        <v/>
      </c>
      <c r="G5425" s="59" t="str">
        <f t="shared" si="26"/>
        <v/>
      </c>
      <c r="H5425" s="59" t="str">
        <f t="shared" si="27"/>
        <v>28H00061</v>
      </c>
      <c r="I5425" s="59" t="str">
        <f>IF(OR($A5425="",$C5425="",$D5425="",$E5425="",$H5425=""),"",SUMIFS(DATA_GOC!$H:$H,DATA_GOC!$A:$A,"BOM",DATA_GOC!$D:$D,$H5425,DATA_GOC!$E:$E,$C5425,DATA_GOC!$F:$F,"Xuất nội bộ từ téc",DATA_GOC!$B:$B,"&gt;="&amp;$D5425,DATA_GOC!$B:$B,"&lt;="&amp;$E5425))</f>
        <v/>
      </c>
      <c r="J5425" s="59">
        <f t="shared" si="28"/>
        <v>0</v>
      </c>
      <c r="K5425" s="59">
        <f t="shared" si="29"/>
        <v>0</v>
      </c>
      <c r="L5425" s="59">
        <f t="shared" si="30"/>
        <v>0</v>
      </c>
      <c r="M5425" s="59">
        <f t="shared" si="31"/>
        <v>0</v>
      </c>
    </row>
    <row r="5426" ht="15.0" hidden="1" customHeight="1">
      <c r="A5426" s="59">
        <f t="shared" si="20"/>
        <v>87</v>
      </c>
      <c r="B5426" s="59" t="str">
        <f t="shared" si="21"/>
        <v/>
      </c>
      <c r="C5426" s="59" t="str">
        <f t="shared" si="22"/>
        <v/>
      </c>
      <c r="D5426" s="45" t="str">
        <f t="shared" si="23"/>
        <v/>
      </c>
      <c r="E5426" s="45" t="str">
        <f t="shared" si="24"/>
        <v/>
      </c>
      <c r="F5426" s="59" t="str">
        <f t="shared" si="25"/>
        <v/>
      </c>
      <c r="G5426" s="59" t="str">
        <f t="shared" si="26"/>
        <v/>
      </c>
      <c r="H5426" s="59" t="str">
        <f t="shared" si="27"/>
        <v>28H00354</v>
      </c>
      <c r="I5426" s="59" t="str">
        <f>IF(OR($A5426="",$C5426="",$D5426="",$E5426="",$H5426=""),"",SUMIFS(DATA_GOC!$H:$H,DATA_GOC!$A:$A,"BOM",DATA_GOC!$D:$D,$H5426,DATA_GOC!$E:$E,$C5426,DATA_GOC!$F:$F,"Xuất nội bộ từ téc",DATA_GOC!$B:$B,"&gt;="&amp;$D5426,DATA_GOC!$B:$B,"&lt;="&amp;$E5426))</f>
        <v/>
      </c>
      <c r="J5426" s="59">
        <f t="shared" si="28"/>
        <v>0</v>
      </c>
      <c r="K5426" s="59">
        <f t="shared" si="29"/>
        <v>0</v>
      </c>
      <c r="L5426" s="59">
        <f t="shared" si="30"/>
        <v>0</v>
      </c>
      <c r="M5426" s="59">
        <f t="shared" si="31"/>
        <v>0</v>
      </c>
    </row>
    <row r="5427" ht="15.0" hidden="1" customHeight="1">
      <c r="A5427" s="59">
        <f t="shared" si="20"/>
        <v>87</v>
      </c>
      <c r="B5427" s="59" t="str">
        <f t="shared" si="21"/>
        <v/>
      </c>
      <c r="C5427" s="59" t="str">
        <f t="shared" si="22"/>
        <v/>
      </c>
      <c r="D5427" s="45" t="str">
        <f t="shared" si="23"/>
        <v/>
      </c>
      <c r="E5427" s="45" t="str">
        <f t="shared" si="24"/>
        <v/>
      </c>
      <c r="F5427" s="59" t="str">
        <f t="shared" si="25"/>
        <v/>
      </c>
      <c r="G5427" s="59" t="str">
        <f t="shared" si="26"/>
        <v/>
      </c>
      <c r="H5427" s="59" t="str">
        <f t="shared" si="27"/>
        <v>28H00603</v>
      </c>
      <c r="I5427" s="59" t="str">
        <f>IF(OR($A5427="",$C5427="",$D5427="",$E5427="",$H5427=""),"",SUMIFS(DATA_GOC!$H:$H,DATA_GOC!$A:$A,"BOM",DATA_GOC!$D:$D,$H5427,DATA_GOC!$E:$E,$C5427,DATA_GOC!$F:$F,"Xuất nội bộ từ téc",DATA_GOC!$B:$B,"&gt;="&amp;$D5427,DATA_GOC!$B:$B,"&lt;="&amp;$E5427))</f>
        <v/>
      </c>
      <c r="J5427" s="59">
        <f t="shared" si="28"/>
        <v>0</v>
      </c>
      <c r="K5427" s="59">
        <f t="shared" si="29"/>
        <v>0</v>
      </c>
      <c r="L5427" s="59">
        <f t="shared" si="30"/>
        <v>0</v>
      </c>
      <c r="M5427" s="59">
        <f t="shared" si="31"/>
        <v>0</v>
      </c>
    </row>
    <row r="5428" ht="15.0" hidden="1" customHeight="1">
      <c r="A5428" s="59">
        <f t="shared" si="20"/>
        <v>87</v>
      </c>
      <c r="B5428" s="59" t="str">
        <f t="shared" si="21"/>
        <v/>
      </c>
      <c r="C5428" s="59" t="str">
        <f t="shared" si="22"/>
        <v/>
      </c>
      <c r="D5428" s="45" t="str">
        <f t="shared" si="23"/>
        <v/>
      </c>
      <c r="E5428" s="45" t="str">
        <f t="shared" si="24"/>
        <v/>
      </c>
      <c r="F5428" s="59" t="str">
        <f t="shared" si="25"/>
        <v/>
      </c>
      <c r="G5428" s="59" t="str">
        <f t="shared" si="26"/>
        <v/>
      </c>
      <c r="H5428" s="59" t="str">
        <f t="shared" si="27"/>
        <v>28H00609</v>
      </c>
      <c r="I5428" s="59" t="str">
        <f>IF(OR($A5428="",$C5428="",$D5428="",$E5428="",$H5428=""),"",SUMIFS(DATA_GOC!$H:$H,DATA_GOC!$A:$A,"BOM",DATA_GOC!$D:$D,$H5428,DATA_GOC!$E:$E,$C5428,DATA_GOC!$F:$F,"Xuất nội bộ từ téc",DATA_GOC!$B:$B,"&gt;="&amp;$D5428,DATA_GOC!$B:$B,"&lt;="&amp;$E5428))</f>
        <v/>
      </c>
      <c r="J5428" s="59">
        <f t="shared" si="28"/>
        <v>0</v>
      </c>
      <c r="K5428" s="59">
        <f t="shared" si="29"/>
        <v>0</v>
      </c>
      <c r="L5428" s="59">
        <f t="shared" si="30"/>
        <v>0</v>
      </c>
      <c r="M5428" s="59">
        <f t="shared" si="31"/>
        <v>0</v>
      </c>
    </row>
    <row r="5429" ht="15.0" hidden="1" customHeight="1">
      <c r="A5429" s="59">
        <f t="shared" si="20"/>
        <v>87</v>
      </c>
      <c r="B5429" s="59" t="str">
        <f t="shared" si="21"/>
        <v/>
      </c>
      <c r="C5429" s="59" t="str">
        <f t="shared" si="22"/>
        <v/>
      </c>
      <c r="D5429" s="45" t="str">
        <f t="shared" si="23"/>
        <v/>
      </c>
      <c r="E5429" s="45" t="str">
        <f t="shared" si="24"/>
        <v/>
      </c>
      <c r="F5429" s="59" t="str">
        <f t="shared" si="25"/>
        <v/>
      </c>
      <c r="G5429" s="59" t="str">
        <f t="shared" si="26"/>
        <v/>
      </c>
      <c r="H5429" s="59" t="str">
        <f t="shared" si="27"/>
        <v>28H00669</v>
      </c>
      <c r="I5429" s="59" t="str">
        <f>IF(OR($A5429="",$C5429="",$D5429="",$E5429="",$H5429=""),"",SUMIFS(DATA_GOC!$H:$H,DATA_GOC!$A:$A,"BOM",DATA_GOC!$D:$D,$H5429,DATA_GOC!$E:$E,$C5429,DATA_GOC!$F:$F,"Xuất nội bộ từ téc",DATA_GOC!$B:$B,"&gt;="&amp;$D5429,DATA_GOC!$B:$B,"&lt;="&amp;$E5429))</f>
        <v/>
      </c>
      <c r="J5429" s="59">
        <f t="shared" si="28"/>
        <v>0</v>
      </c>
      <c r="K5429" s="59">
        <f t="shared" si="29"/>
        <v>0</v>
      </c>
      <c r="L5429" s="59">
        <f t="shared" si="30"/>
        <v>0</v>
      </c>
      <c r="M5429" s="59">
        <f t="shared" si="31"/>
        <v>0</v>
      </c>
    </row>
    <row r="5430" ht="15.0" hidden="1" customHeight="1">
      <c r="A5430" s="59">
        <f t="shared" si="20"/>
        <v>87</v>
      </c>
      <c r="B5430" s="59" t="str">
        <f t="shared" si="21"/>
        <v/>
      </c>
      <c r="C5430" s="59" t="str">
        <f t="shared" si="22"/>
        <v/>
      </c>
      <c r="D5430" s="45" t="str">
        <f t="shared" si="23"/>
        <v/>
      </c>
      <c r="E5430" s="45" t="str">
        <f t="shared" si="24"/>
        <v/>
      </c>
      <c r="F5430" s="59" t="str">
        <f t="shared" si="25"/>
        <v/>
      </c>
      <c r="G5430" s="59" t="str">
        <f t="shared" si="26"/>
        <v/>
      </c>
      <c r="H5430" s="59" t="str">
        <f t="shared" si="27"/>
        <v>28H00680</v>
      </c>
      <c r="I5430" s="59" t="str">
        <f>IF(OR($A5430="",$C5430="",$D5430="",$E5430="",$H5430=""),"",SUMIFS(DATA_GOC!$H:$H,DATA_GOC!$A:$A,"BOM",DATA_GOC!$D:$D,$H5430,DATA_GOC!$E:$E,$C5430,DATA_GOC!$F:$F,"Xuất nội bộ từ téc",DATA_GOC!$B:$B,"&gt;="&amp;$D5430,DATA_GOC!$B:$B,"&lt;="&amp;$E5430))</f>
        <v/>
      </c>
      <c r="J5430" s="59">
        <f t="shared" si="28"/>
        <v>0</v>
      </c>
      <c r="K5430" s="59">
        <f t="shared" si="29"/>
        <v>0</v>
      </c>
      <c r="L5430" s="59">
        <f t="shared" si="30"/>
        <v>0</v>
      </c>
      <c r="M5430" s="59">
        <f t="shared" si="31"/>
        <v>0</v>
      </c>
    </row>
    <row r="5431" ht="15.0" hidden="1" customHeight="1">
      <c r="A5431" s="59">
        <f t="shared" si="20"/>
        <v>87</v>
      </c>
      <c r="B5431" s="59" t="str">
        <f t="shared" si="21"/>
        <v/>
      </c>
      <c r="C5431" s="59" t="str">
        <f t="shared" si="22"/>
        <v/>
      </c>
      <c r="D5431" s="45" t="str">
        <f t="shared" si="23"/>
        <v/>
      </c>
      <c r="E5431" s="45" t="str">
        <f t="shared" si="24"/>
        <v/>
      </c>
      <c r="F5431" s="59" t="str">
        <f t="shared" si="25"/>
        <v/>
      </c>
      <c r="G5431" s="59" t="str">
        <f t="shared" si="26"/>
        <v/>
      </c>
      <c r="H5431" s="59" t="str">
        <f t="shared" si="27"/>
        <v>28H01070</v>
      </c>
      <c r="I5431" s="59" t="str">
        <f>IF(OR($A5431="",$C5431="",$D5431="",$E5431="",$H5431=""),"",SUMIFS(DATA_GOC!$H:$H,DATA_GOC!$A:$A,"BOM",DATA_GOC!$D:$D,$H5431,DATA_GOC!$E:$E,$C5431,DATA_GOC!$F:$F,"Xuất nội bộ từ téc",DATA_GOC!$B:$B,"&gt;="&amp;$D5431,DATA_GOC!$B:$B,"&lt;="&amp;$E5431))</f>
        <v/>
      </c>
      <c r="J5431" s="59">
        <f t="shared" si="28"/>
        <v>0</v>
      </c>
      <c r="K5431" s="59">
        <f t="shared" si="29"/>
        <v>0</v>
      </c>
      <c r="L5431" s="59">
        <f t="shared" si="30"/>
        <v>0</v>
      </c>
      <c r="M5431" s="59">
        <f t="shared" si="31"/>
        <v>0</v>
      </c>
    </row>
    <row r="5432" ht="15.0" hidden="1" customHeight="1">
      <c r="A5432" s="59">
        <f t="shared" si="20"/>
        <v>87</v>
      </c>
      <c r="B5432" s="59" t="str">
        <f t="shared" si="21"/>
        <v/>
      </c>
      <c r="C5432" s="59" t="str">
        <f t="shared" si="22"/>
        <v/>
      </c>
      <c r="D5432" s="45" t="str">
        <f t="shared" si="23"/>
        <v/>
      </c>
      <c r="E5432" s="45" t="str">
        <f t="shared" si="24"/>
        <v/>
      </c>
      <c r="F5432" s="59" t="str">
        <f t="shared" si="25"/>
        <v/>
      </c>
      <c r="G5432" s="59" t="str">
        <f t="shared" si="26"/>
        <v/>
      </c>
      <c r="H5432" s="59" t="str">
        <f t="shared" si="27"/>
        <v>28H01364</v>
      </c>
      <c r="I5432" s="59" t="str">
        <f>IF(OR($A5432="",$C5432="",$D5432="",$E5432="",$H5432=""),"",SUMIFS(DATA_GOC!$H:$H,DATA_GOC!$A:$A,"BOM",DATA_GOC!$D:$D,$H5432,DATA_GOC!$E:$E,$C5432,DATA_GOC!$F:$F,"Xuất nội bộ từ téc",DATA_GOC!$B:$B,"&gt;="&amp;$D5432,DATA_GOC!$B:$B,"&lt;="&amp;$E5432))</f>
        <v/>
      </c>
      <c r="J5432" s="59">
        <f t="shared" si="28"/>
        <v>0</v>
      </c>
      <c r="K5432" s="59">
        <f t="shared" si="29"/>
        <v>0</v>
      </c>
      <c r="L5432" s="59">
        <f t="shared" si="30"/>
        <v>0</v>
      </c>
      <c r="M5432" s="59">
        <f t="shared" si="31"/>
        <v>0</v>
      </c>
    </row>
    <row r="5433" ht="15.0" hidden="1" customHeight="1">
      <c r="A5433" s="59">
        <f t="shared" si="20"/>
        <v>87</v>
      </c>
      <c r="B5433" s="59" t="str">
        <f t="shared" si="21"/>
        <v/>
      </c>
      <c r="C5433" s="59" t="str">
        <f t="shared" si="22"/>
        <v/>
      </c>
      <c r="D5433" s="45" t="str">
        <f t="shared" si="23"/>
        <v/>
      </c>
      <c r="E5433" s="45" t="str">
        <f t="shared" si="24"/>
        <v/>
      </c>
      <c r="F5433" s="59" t="str">
        <f t="shared" si="25"/>
        <v/>
      </c>
      <c r="G5433" s="59" t="str">
        <f t="shared" si="26"/>
        <v/>
      </c>
      <c r="H5433" s="59" t="str">
        <f t="shared" si="27"/>
        <v>29E17269</v>
      </c>
      <c r="I5433" s="59" t="str">
        <f>IF(OR($A5433="",$C5433="",$D5433="",$E5433="",$H5433=""),"",SUMIFS(DATA_GOC!$H:$H,DATA_GOC!$A:$A,"BOM",DATA_GOC!$D:$D,$H5433,DATA_GOC!$E:$E,$C5433,DATA_GOC!$F:$F,"Xuất nội bộ từ téc",DATA_GOC!$B:$B,"&gt;="&amp;$D5433,DATA_GOC!$B:$B,"&lt;="&amp;$E5433))</f>
        <v/>
      </c>
      <c r="J5433" s="59">
        <f t="shared" si="28"/>
        <v>0</v>
      </c>
      <c r="K5433" s="59">
        <f t="shared" si="29"/>
        <v>0</v>
      </c>
      <c r="L5433" s="59">
        <f t="shared" si="30"/>
        <v>0</v>
      </c>
      <c r="M5433" s="59">
        <f t="shared" si="31"/>
        <v>0</v>
      </c>
    </row>
    <row r="5434" ht="15.0" hidden="1" customHeight="1">
      <c r="A5434" s="59">
        <f t="shared" si="20"/>
        <v>87</v>
      </c>
      <c r="B5434" s="59" t="str">
        <f t="shared" si="21"/>
        <v/>
      </c>
      <c r="C5434" s="59" t="str">
        <f t="shared" si="22"/>
        <v/>
      </c>
      <c r="D5434" s="45" t="str">
        <f t="shared" si="23"/>
        <v/>
      </c>
      <c r="E5434" s="45" t="str">
        <f t="shared" si="24"/>
        <v/>
      </c>
      <c r="F5434" s="59" t="str">
        <f t="shared" si="25"/>
        <v/>
      </c>
      <c r="G5434" s="59" t="str">
        <f t="shared" si="26"/>
        <v/>
      </c>
      <c r="H5434" s="59" t="str">
        <f t="shared" si="27"/>
        <v>29E17273</v>
      </c>
      <c r="I5434" s="59" t="str">
        <f>IF(OR($A5434="",$C5434="",$D5434="",$E5434="",$H5434=""),"",SUMIFS(DATA_GOC!$H:$H,DATA_GOC!$A:$A,"BOM",DATA_GOC!$D:$D,$H5434,DATA_GOC!$E:$E,$C5434,DATA_GOC!$F:$F,"Xuất nội bộ từ téc",DATA_GOC!$B:$B,"&gt;="&amp;$D5434,DATA_GOC!$B:$B,"&lt;="&amp;$E5434))</f>
        <v/>
      </c>
      <c r="J5434" s="59">
        <f t="shared" si="28"/>
        <v>0</v>
      </c>
      <c r="K5434" s="59">
        <f t="shared" si="29"/>
        <v>0</v>
      </c>
      <c r="L5434" s="59">
        <f t="shared" si="30"/>
        <v>0</v>
      </c>
      <c r="M5434" s="59">
        <f t="shared" si="31"/>
        <v>0</v>
      </c>
    </row>
    <row r="5435" ht="15.0" hidden="1" customHeight="1">
      <c r="A5435" s="59">
        <f t="shared" si="20"/>
        <v>87</v>
      </c>
      <c r="B5435" s="59" t="str">
        <f t="shared" si="21"/>
        <v/>
      </c>
      <c r="C5435" s="59" t="str">
        <f t="shared" si="22"/>
        <v/>
      </c>
      <c r="D5435" s="45" t="str">
        <f t="shared" si="23"/>
        <v/>
      </c>
      <c r="E5435" s="45" t="str">
        <f t="shared" si="24"/>
        <v/>
      </c>
      <c r="F5435" s="59" t="str">
        <f t="shared" si="25"/>
        <v/>
      </c>
      <c r="G5435" s="59" t="str">
        <f t="shared" si="26"/>
        <v/>
      </c>
      <c r="H5435" s="59" t="str">
        <f t="shared" si="27"/>
        <v>29E17410</v>
      </c>
      <c r="I5435" s="59" t="str">
        <f>IF(OR($A5435="",$C5435="",$D5435="",$E5435="",$H5435=""),"",SUMIFS(DATA_GOC!$H:$H,DATA_GOC!$A:$A,"BOM",DATA_GOC!$D:$D,$H5435,DATA_GOC!$E:$E,$C5435,DATA_GOC!$F:$F,"Xuất nội bộ từ téc",DATA_GOC!$B:$B,"&gt;="&amp;$D5435,DATA_GOC!$B:$B,"&lt;="&amp;$E5435))</f>
        <v/>
      </c>
      <c r="J5435" s="59">
        <f t="shared" si="28"/>
        <v>0</v>
      </c>
      <c r="K5435" s="59">
        <f t="shared" si="29"/>
        <v>0</v>
      </c>
      <c r="L5435" s="59">
        <f t="shared" si="30"/>
        <v>0</v>
      </c>
      <c r="M5435" s="59">
        <f t="shared" si="31"/>
        <v>0</v>
      </c>
    </row>
    <row r="5436" ht="15.0" hidden="1" customHeight="1">
      <c r="A5436" s="59">
        <f t="shared" si="20"/>
        <v>87</v>
      </c>
      <c r="B5436" s="59" t="str">
        <f t="shared" si="21"/>
        <v/>
      </c>
      <c r="C5436" s="59" t="str">
        <f t="shared" si="22"/>
        <v/>
      </c>
      <c r="D5436" s="45" t="str">
        <f t="shared" si="23"/>
        <v/>
      </c>
      <c r="E5436" s="45" t="str">
        <f t="shared" si="24"/>
        <v/>
      </c>
      <c r="F5436" s="59" t="str">
        <f t="shared" si="25"/>
        <v/>
      </c>
      <c r="G5436" s="59" t="str">
        <f t="shared" si="26"/>
        <v/>
      </c>
      <c r="H5436" s="59" t="str">
        <f t="shared" si="27"/>
        <v>29E17417</v>
      </c>
      <c r="I5436" s="59" t="str">
        <f>IF(OR($A5436="",$C5436="",$D5436="",$E5436="",$H5436=""),"",SUMIFS(DATA_GOC!$H:$H,DATA_GOC!$A:$A,"BOM",DATA_GOC!$D:$D,$H5436,DATA_GOC!$E:$E,$C5436,DATA_GOC!$F:$F,"Xuất nội bộ từ téc",DATA_GOC!$B:$B,"&gt;="&amp;$D5436,DATA_GOC!$B:$B,"&lt;="&amp;$E5436))</f>
        <v/>
      </c>
      <c r="J5436" s="59">
        <f t="shared" si="28"/>
        <v>0</v>
      </c>
      <c r="K5436" s="59">
        <f t="shared" si="29"/>
        <v>0</v>
      </c>
      <c r="L5436" s="59">
        <f t="shared" si="30"/>
        <v>0</v>
      </c>
      <c r="M5436" s="59">
        <f t="shared" si="31"/>
        <v>0</v>
      </c>
    </row>
    <row r="5437" ht="15.0" hidden="1" customHeight="1">
      <c r="A5437" s="59">
        <f t="shared" si="20"/>
        <v>87</v>
      </c>
      <c r="B5437" s="59" t="str">
        <f t="shared" si="21"/>
        <v/>
      </c>
      <c r="C5437" s="59" t="str">
        <f t="shared" si="22"/>
        <v/>
      </c>
      <c r="D5437" s="45" t="str">
        <f t="shared" si="23"/>
        <v/>
      </c>
      <c r="E5437" s="45" t="str">
        <f t="shared" si="24"/>
        <v/>
      </c>
      <c r="F5437" s="59" t="str">
        <f t="shared" si="25"/>
        <v/>
      </c>
      <c r="G5437" s="59" t="str">
        <f t="shared" si="26"/>
        <v/>
      </c>
      <c r="H5437" s="59" t="str">
        <f t="shared" si="27"/>
        <v>29E17539</v>
      </c>
      <c r="I5437" s="59" t="str">
        <f>IF(OR($A5437="",$C5437="",$D5437="",$E5437="",$H5437=""),"",SUMIFS(DATA_GOC!$H:$H,DATA_GOC!$A:$A,"BOM",DATA_GOC!$D:$D,$H5437,DATA_GOC!$E:$E,$C5437,DATA_GOC!$F:$F,"Xuất nội bộ từ téc",DATA_GOC!$B:$B,"&gt;="&amp;$D5437,DATA_GOC!$B:$B,"&lt;="&amp;$E5437))</f>
        <v/>
      </c>
      <c r="J5437" s="59">
        <f t="shared" si="28"/>
        <v>0</v>
      </c>
      <c r="K5437" s="59">
        <f t="shared" si="29"/>
        <v>0</v>
      </c>
      <c r="L5437" s="59">
        <f t="shared" si="30"/>
        <v>0</v>
      </c>
      <c r="M5437" s="59">
        <f t="shared" si="31"/>
        <v>0</v>
      </c>
    </row>
    <row r="5438" ht="15.0" hidden="1" customHeight="1">
      <c r="A5438" s="59">
        <f t="shared" si="20"/>
        <v>87</v>
      </c>
      <c r="B5438" s="59" t="str">
        <f t="shared" si="21"/>
        <v/>
      </c>
      <c r="C5438" s="59" t="str">
        <f t="shared" si="22"/>
        <v/>
      </c>
      <c r="D5438" s="45" t="str">
        <f t="shared" si="23"/>
        <v/>
      </c>
      <c r="E5438" s="45" t="str">
        <f t="shared" si="24"/>
        <v/>
      </c>
      <c r="F5438" s="59" t="str">
        <f t="shared" si="25"/>
        <v/>
      </c>
      <c r="G5438" s="59" t="str">
        <f t="shared" si="26"/>
        <v/>
      </c>
      <c r="H5438" s="59" t="str">
        <f t="shared" si="27"/>
        <v>29E18160</v>
      </c>
      <c r="I5438" s="59" t="str">
        <f>IF(OR($A5438="",$C5438="",$D5438="",$E5438="",$H5438=""),"",SUMIFS(DATA_GOC!$H:$H,DATA_GOC!$A:$A,"BOM",DATA_GOC!$D:$D,$H5438,DATA_GOC!$E:$E,$C5438,DATA_GOC!$F:$F,"Xuất nội bộ từ téc",DATA_GOC!$B:$B,"&gt;="&amp;$D5438,DATA_GOC!$B:$B,"&lt;="&amp;$E5438))</f>
        <v/>
      </c>
      <c r="J5438" s="59">
        <f t="shared" si="28"/>
        <v>0</v>
      </c>
      <c r="K5438" s="59">
        <f t="shared" si="29"/>
        <v>0</v>
      </c>
      <c r="L5438" s="59">
        <f t="shared" si="30"/>
        <v>0</v>
      </c>
      <c r="M5438" s="59">
        <f t="shared" si="31"/>
        <v>0</v>
      </c>
    </row>
    <row r="5439" ht="15.0" hidden="1" customHeight="1">
      <c r="A5439" s="59">
        <f t="shared" si="20"/>
        <v>87</v>
      </c>
      <c r="B5439" s="59" t="str">
        <f t="shared" si="21"/>
        <v/>
      </c>
      <c r="C5439" s="59" t="str">
        <f t="shared" si="22"/>
        <v/>
      </c>
      <c r="D5439" s="45" t="str">
        <f t="shared" si="23"/>
        <v/>
      </c>
      <c r="E5439" s="45" t="str">
        <f t="shared" si="24"/>
        <v/>
      </c>
      <c r="F5439" s="59" t="str">
        <f t="shared" si="25"/>
        <v/>
      </c>
      <c r="G5439" s="59" t="str">
        <f t="shared" si="26"/>
        <v/>
      </c>
      <c r="H5439" s="59" t="str">
        <f t="shared" si="27"/>
        <v>Công trình Asphalt</v>
      </c>
      <c r="I5439" s="59" t="str">
        <f>IF(OR($A5439="",$C5439="",$D5439="",$E5439="",$H5439=""),"",SUMIFS(DATA_GOC!$H:$H,DATA_GOC!$A:$A,"BOM",DATA_GOC!$D:$D,$H5439,DATA_GOC!$E:$E,$C5439,DATA_GOC!$F:$F,"Xuất nội bộ từ téc",DATA_GOC!$B:$B,"&gt;="&amp;$D5439,DATA_GOC!$B:$B,"&lt;="&amp;$E5439))</f>
        <v/>
      </c>
      <c r="J5439" s="59">
        <f t="shared" si="28"/>
        <v>0</v>
      </c>
      <c r="K5439" s="59">
        <f t="shared" si="29"/>
        <v>0</v>
      </c>
      <c r="L5439" s="59">
        <f t="shared" si="30"/>
        <v>0</v>
      </c>
      <c r="M5439" s="59">
        <f t="shared" si="31"/>
        <v>0</v>
      </c>
    </row>
    <row r="5440" ht="15.0" hidden="1" customHeight="1">
      <c r="A5440" s="59">
        <f t="shared" si="20"/>
        <v>87</v>
      </c>
      <c r="B5440" s="59" t="str">
        <f t="shared" si="21"/>
        <v/>
      </c>
      <c r="C5440" s="59" t="str">
        <f t="shared" si="22"/>
        <v/>
      </c>
      <c r="D5440" s="45" t="str">
        <f t="shared" si="23"/>
        <v/>
      </c>
      <c r="E5440" s="45" t="str">
        <f t="shared" si="24"/>
        <v/>
      </c>
      <c r="F5440" s="59" t="str">
        <f t="shared" si="25"/>
        <v/>
      </c>
      <c r="G5440" s="59" t="str">
        <f t="shared" si="26"/>
        <v/>
      </c>
      <c r="H5440" s="59" t="str">
        <f t="shared" si="27"/>
        <v>LG53F</v>
      </c>
      <c r="I5440" s="59" t="str">
        <f>IF(OR($A5440="",$C5440="",$D5440="",$E5440="",$H5440=""),"",SUMIFS(DATA_GOC!$H:$H,DATA_GOC!$A:$A,"BOM",DATA_GOC!$D:$D,$H5440,DATA_GOC!$E:$E,$C5440,DATA_GOC!$F:$F,"Xuất nội bộ từ téc",DATA_GOC!$B:$B,"&gt;="&amp;$D5440,DATA_GOC!$B:$B,"&lt;="&amp;$E5440))</f>
        <v/>
      </c>
      <c r="J5440" s="59">
        <f t="shared" si="28"/>
        <v>0</v>
      </c>
      <c r="K5440" s="59">
        <f t="shared" si="29"/>
        <v>0</v>
      </c>
      <c r="L5440" s="59">
        <f t="shared" si="30"/>
        <v>0</v>
      </c>
      <c r="M5440" s="59">
        <f t="shared" si="31"/>
        <v>0</v>
      </c>
    </row>
    <row r="5441" ht="15.0" hidden="1" customHeight="1">
      <c r="A5441" s="59">
        <f t="shared" si="20"/>
        <v>87</v>
      </c>
      <c r="B5441" s="59" t="str">
        <f t="shared" si="21"/>
        <v/>
      </c>
      <c r="C5441" s="59" t="str">
        <f t="shared" si="22"/>
        <v/>
      </c>
      <c r="D5441" s="45" t="str">
        <f t="shared" si="23"/>
        <v/>
      </c>
      <c r="E5441" s="45" t="str">
        <f t="shared" si="24"/>
        <v/>
      </c>
      <c r="F5441" s="59" t="str">
        <f t="shared" si="25"/>
        <v/>
      </c>
      <c r="G5441" s="59" t="str">
        <f t="shared" si="26"/>
        <v/>
      </c>
      <c r="H5441" s="59" t="str">
        <f t="shared" si="27"/>
        <v>Máy phát điện</v>
      </c>
      <c r="I5441" s="59" t="str">
        <f>IF(OR($A5441="",$C5441="",$D5441="",$E5441="",$H5441=""),"",SUMIFS(DATA_GOC!$H:$H,DATA_GOC!$A:$A,"BOM",DATA_GOC!$D:$D,$H5441,DATA_GOC!$E:$E,$C5441,DATA_GOC!$F:$F,"Xuất nội bộ từ téc",DATA_GOC!$B:$B,"&gt;="&amp;$D5441,DATA_GOC!$B:$B,"&lt;="&amp;$E5441))</f>
        <v/>
      </c>
      <c r="J5441" s="59">
        <f t="shared" si="28"/>
        <v>0</v>
      </c>
      <c r="K5441" s="59">
        <f t="shared" si="29"/>
        <v>0</v>
      </c>
      <c r="L5441" s="59">
        <f t="shared" si="30"/>
        <v>0</v>
      </c>
      <c r="M5441" s="59">
        <f t="shared" si="31"/>
        <v>0</v>
      </c>
    </row>
    <row r="5442" ht="15.0" hidden="1" customHeight="1">
      <c r="A5442" s="59">
        <f t="shared" si="20"/>
        <v>87</v>
      </c>
      <c r="B5442" s="59" t="str">
        <f t="shared" si="21"/>
        <v/>
      </c>
      <c r="C5442" s="59" t="str">
        <f t="shared" si="22"/>
        <v/>
      </c>
      <c r="D5442" s="45" t="str">
        <f t="shared" si="23"/>
        <v/>
      </c>
      <c r="E5442" s="45" t="str">
        <f t="shared" si="24"/>
        <v/>
      </c>
      <c r="F5442" s="59" t="str">
        <f t="shared" si="25"/>
        <v/>
      </c>
      <c r="G5442" s="59" t="str">
        <f t="shared" si="26"/>
        <v/>
      </c>
      <c r="H5442" s="59" t="str">
        <f t="shared" si="27"/>
        <v>Máy rải thảm</v>
      </c>
      <c r="I5442" s="59" t="str">
        <f>IF(OR($A5442="",$C5442="",$D5442="",$E5442="",$H5442=""),"",SUMIFS(DATA_GOC!$H:$H,DATA_GOC!$A:$A,"BOM",DATA_GOC!$D:$D,$H5442,DATA_GOC!$E:$E,$C5442,DATA_GOC!$F:$F,"Xuất nội bộ từ téc",DATA_GOC!$B:$B,"&gt;="&amp;$D5442,DATA_GOC!$B:$B,"&lt;="&amp;$E5442))</f>
        <v/>
      </c>
      <c r="J5442" s="59">
        <f t="shared" si="28"/>
        <v>0</v>
      </c>
      <c r="K5442" s="59">
        <f t="shared" si="29"/>
        <v>0</v>
      </c>
      <c r="L5442" s="59">
        <f t="shared" si="30"/>
        <v>0</v>
      </c>
      <c r="M5442" s="59">
        <f t="shared" si="31"/>
        <v>0</v>
      </c>
    </row>
    <row r="5443" ht="15.0" hidden="1" customHeight="1">
      <c r="A5443" s="59">
        <f t="shared" si="20"/>
        <v>87</v>
      </c>
      <c r="B5443" s="59" t="str">
        <f t="shared" si="21"/>
        <v/>
      </c>
      <c r="C5443" s="59" t="str">
        <f t="shared" si="22"/>
        <v/>
      </c>
      <c r="D5443" s="45" t="str">
        <f t="shared" si="23"/>
        <v/>
      </c>
      <c r="E5443" s="45" t="str">
        <f t="shared" si="24"/>
        <v/>
      </c>
      <c r="F5443" s="59" t="str">
        <f t="shared" si="25"/>
        <v/>
      </c>
      <c r="G5443" s="59" t="str">
        <f t="shared" si="26"/>
        <v/>
      </c>
      <c r="H5443" s="59" t="str">
        <f t="shared" si="27"/>
        <v>Xúc Đào</v>
      </c>
      <c r="I5443" s="59" t="str">
        <f>IF(OR($A5443="",$C5443="",$D5443="",$E5443="",$H5443=""),"",SUMIFS(DATA_GOC!$H:$H,DATA_GOC!$A:$A,"BOM",DATA_GOC!$D:$D,$H5443,DATA_GOC!$E:$E,$C5443,DATA_GOC!$F:$F,"Xuất nội bộ từ téc",DATA_GOC!$B:$B,"&gt;="&amp;$D5443,DATA_GOC!$B:$B,"&lt;="&amp;$E5443))</f>
        <v/>
      </c>
      <c r="J5443" s="59">
        <f t="shared" si="28"/>
        <v>0</v>
      </c>
      <c r="K5443" s="59">
        <f t="shared" si="29"/>
        <v>0</v>
      </c>
      <c r="L5443" s="59">
        <f t="shared" si="30"/>
        <v>0</v>
      </c>
      <c r="M5443" s="59">
        <f t="shared" si="31"/>
        <v>0</v>
      </c>
    </row>
    <row r="5444" ht="15.0" hidden="1" customHeight="1">
      <c r="A5444" s="59">
        <f t="shared" si="20"/>
        <v>87</v>
      </c>
      <c r="B5444" s="59" t="str">
        <f t="shared" si="21"/>
        <v/>
      </c>
      <c r="C5444" s="59" t="str">
        <f t="shared" si="22"/>
        <v/>
      </c>
      <c r="D5444" s="45" t="str">
        <f t="shared" si="23"/>
        <v/>
      </c>
      <c r="E5444" s="45" t="str">
        <f t="shared" si="24"/>
        <v/>
      </c>
      <c r="F5444" s="59" t="str">
        <f t="shared" si="25"/>
        <v/>
      </c>
      <c r="G5444" s="59" t="str">
        <f t="shared" si="26"/>
        <v/>
      </c>
      <c r="H5444" s="59" t="str">
        <f t="shared" si="27"/>
        <v>Xúclật asphalt</v>
      </c>
      <c r="I5444" s="59" t="str">
        <f>IF(OR($A5444="",$C5444="",$D5444="",$E5444="",$H5444=""),"",SUMIFS(DATA_GOC!$H:$H,DATA_GOC!$A:$A,"BOM",DATA_GOC!$D:$D,$H5444,DATA_GOC!$E:$E,$C5444,DATA_GOC!$F:$F,"Xuất nội bộ từ téc",DATA_GOC!$B:$B,"&gt;="&amp;$D5444,DATA_GOC!$B:$B,"&lt;="&amp;$E5444))</f>
        <v/>
      </c>
      <c r="J5444" s="59">
        <f t="shared" si="28"/>
        <v>0</v>
      </c>
      <c r="K5444" s="59">
        <f t="shared" si="29"/>
        <v>0</v>
      </c>
      <c r="L5444" s="59">
        <f t="shared" si="30"/>
        <v>0</v>
      </c>
      <c r="M5444" s="59">
        <f t="shared" si="31"/>
        <v>0</v>
      </c>
    </row>
    <row r="5445" ht="15.0" hidden="1" customHeight="1">
      <c r="A5445" s="59">
        <f t="shared" si="20"/>
        <v>87</v>
      </c>
      <c r="B5445" s="59" t="str">
        <f t="shared" si="21"/>
        <v/>
      </c>
      <c r="C5445" s="59" t="str">
        <f t="shared" si="22"/>
        <v/>
      </c>
      <c r="D5445" s="45" t="str">
        <f t="shared" si="23"/>
        <v/>
      </c>
      <c r="E5445" s="45" t="str">
        <f t="shared" si="24"/>
        <v/>
      </c>
      <c r="F5445" s="59" t="str">
        <f t="shared" si="25"/>
        <v/>
      </c>
      <c r="G5445" s="59" t="str">
        <f t="shared" si="26"/>
        <v/>
      </c>
      <c r="H5445" s="59" t="str">
        <f t="shared" si="27"/>
        <v>Xúclật855H</v>
      </c>
      <c r="I5445" s="59" t="str">
        <f>IF(OR($A5445="",$C5445="",$D5445="",$E5445="",$H5445=""),"",SUMIFS(DATA_GOC!$H:$H,DATA_GOC!$A:$A,"BOM",DATA_GOC!$D:$D,$H5445,DATA_GOC!$E:$E,$C5445,DATA_GOC!$F:$F,"Xuất nội bộ từ téc",DATA_GOC!$B:$B,"&gt;="&amp;$D5445,DATA_GOC!$B:$B,"&lt;="&amp;$E5445))</f>
        <v/>
      </c>
      <c r="J5445" s="59">
        <f t="shared" si="28"/>
        <v>0</v>
      </c>
      <c r="K5445" s="59">
        <f t="shared" si="29"/>
        <v>0</v>
      </c>
      <c r="L5445" s="59">
        <f t="shared" si="30"/>
        <v>0</v>
      </c>
      <c r="M5445" s="59">
        <f t="shared" si="31"/>
        <v>0</v>
      </c>
    </row>
    <row r="5446" ht="15.0" hidden="1" customHeight="1">
      <c r="A5446" s="59">
        <f t="shared" si="20"/>
        <v>87</v>
      </c>
      <c r="B5446" s="59" t="str">
        <f t="shared" si="21"/>
        <v/>
      </c>
      <c r="C5446" s="59" t="str">
        <f t="shared" si="22"/>
        <v/>
      </c>
      <c r="D5446" s="45" t="str">
        <f t="shared" si="23"/>
        <v/>
      </c>
      <c r="E5446" s="45" t="str">
        <f t="shared" si="24"/>
        <v/>
      </c>
      <c r="F5446" s="59" t="str">
        <f t="shared" si="25"/>
        <v/>
      </c>
      <c r="G5446" s="59" t="str">
        <f t="shared" si="26"/>
        <v/>
      </c>
      <c r="H5446" s="59" t="str">
        <f t="shared" si="27"/>
        <v>Xúclật855N</v>
      </c>
      <c r="I5446" s="59" t="str">
        <f>IF(OR($A5446="",$C5446="",$D5446="",$E5446="",$H5446=""),"",SUMIFS(DATA_GOC!$H:$H,DATA_GOC!$A:$A,"BOM",DATA_GOC!$D:$D,$H5446,DATA_GOC!$E:$E,$C5446,DATA_GOC!$F:$F,"Xuất nội bộ từ téc",DATA_GOC!$B:$B,"&gt;="&amp;$D5446,DATA_GOC!$B:$B,"&lt;="&amp;$E5446))</f>
        <v/>
      </c>
      <c r="J5446" s="59">
        <f t="shared" si="28"/>
        <v>0</v>
      </c>
      <c r="K5446" s="59">
        <f t="shared" si="29"/>
        <v>0</v>
      </c>
      <c r="L5446" s="59">
        <f t="shared" si="30"/>
        <v>0</v>
      </c>
      <c r="M5446" s="59">
        <f t="shared" si="31"/>
        <v>0</v>
      </c>
    </row>
    <row r="5447" ht="15.0" hidden="1" customHeight="1">
      <c r="A5447" s="59">
        <f t="shared" si="20"/>
        <v>87</v>
      </c>
      <c r="B5447" s="59" t="str">
        <f t="shared" si="21"/>
        <v/>
      </c>
      <c r="C5447" s="59" t="str">
        <f t="shared" si="22"/>
        <v/>
      </c>
      <c r="D5447" s="45" t="str">
        <f t="shared" si="23"/>
        <v/>
      </c>
      <c r="E5447" s="45" t="str">
        <f t="shared" si="24"/>
        <v/>
      </c>
      <c r="F5447" s="59" t="str">
        <f t="shared" si="25"/>
        <v/>
      </c>
      <c r="G5447" s="59" t="str">
        <f t="shared" si="26"/>
        <v/>
      </c>
      <c r="H5447" s="59" t="str">
        <f t="shared" si="27"/>
        <v>Cát nghiền</v>
      </c>
      <c r="I5447" s="59" t="str">
        <f>IF(OR($A5447="",$C5447="",$D5447="",$E5447="",$H5447=""),"",SUMIFS(DATA_GOC!$H:$H,DATA_GOC!$A:$A,"BOM",DATA_GOC!$D:$D,$H5447,DATA_GOC!$E:$E,$C5447,DATA_GOC!$F:$F,"Xuất nội bộ từ téc",DATA_GOC!$B:$B,"&gt;="&amp;$D5447,DATA_GOC!$B:$B,"&lt;="&amp;$E5447))</f>
        <v/>
      </c>
      <c r="J5447" s="59">
        <f t="shared" si="28"/>
        <v>0</v>
      </c>
      <c r="K5447" s="59">
        <f t="shared" si="29"/>
        <v>0</v>
      </c>
      <c r="L5447" s="59">
        <f t="shared" si="30"/>
        <v>0</v>
      </c>
      <c r="M5447" s="59">
        <f t="shared" si="31"/>
        <v>0</v>
      </c>
    </row>
    <row r="5448" ht="15.0" hidden="1" customHeight="1">
      <c r="A5448" s="59">
        <f t="shared" si="20"/>
        <v>87</v>
      </c>
      <c r="B5448" s="59" t="str">
        <f t="shared" si="21"/>
        <v/>
      </c>
      <c r="C5448" s="59" t="str">
        <f t="shared" si="22"/>
        <v/>
      </c>
      <c r="D5448" s="45" t="str">
        <f t="shared" si="23"/>
        <v/>
      </c>
      <c r="E5448" s="45" t="str">
        <f t="shared" si="24"/>
        <v/>
      </c>
      <c r="F5448" s="59" t="str">
        <f t="shared" si="25"/>
        <v/>
      </c>
      <c r="G5448" s="59" t="str">
        <f t="shared" si="26"/>
        <v/>
      </c>
      <c r="H5448" s="59" t="str">
        <f t="shared" si="27"/>
        <v>28C02973</v>
      </c>
      <c r="I5448" s="59" t="str">
        <f>IF(OR($A5448="",$C5448="",$D5448="",$E5448="",$H5448=""),"",SUMIFS(DATA_GOC!$H:$H,DATA_GOC!$A:$A,"BOM",DATA_GOC!$D:$D,$H5448,DATA_GOC!$E:$E,$C5448,DATA_GOC!$F:$F,"Xuất nội bộ từ téc",DATA_GOC!$B:$B,"&gt;="&amp;$D5448,DATA_GOC!$B:$B,"&lt;="&amp;$E5448))</f>
        <v/>
      </c>
      <c r="J5448" s="59">
        <f t="shared" si="28"/>
        <v>0</v>
      </c>
      <c r="K5448" s="59">
        <f t="shared" si="29"/>
        <v>0</v>
      </c>
      <c r="L5448" s="59">
        <f t="shared" si="30"/>
        <v>0</v>
      </c>
      <c r="M5448" s="59">
        <f t="shared" si="31"/>
        <v>0</v>
      </c>
    </row>
    <row r="5449" ht="15.0" hidden="1" customHeight="1">
      <c r="A5449" s="59">
        <f t="shared" si="20"/>
        <v>87</v>
      </c>
      <c r="B5449" s="59" t="str">
        <f t="shared" si="21"/>
        <v/>
      </c>
      <c r="C5449" s="59" t="str">
        <f t="shared" si="22"/>
        <v/>
      </c>
      <c r="D5449" s="45" t="str">
        <f t="shared" si="23"/>
        <v/>
      </c>
      <c r="E5449" s="45" t="str">
        <f t="shared" si="24"/>
        <v/>
      </c>
      <c r="F5449" s="59" t="str">
        <f t="shared" si="25"/>
        <v/>
      </c>
      <c r="G5449" s="59" t="str">
        <f t="shared" si="26"/>
        <v/>
      </c>
      <c r="H5449" s="59" t="str">
        <f t="shared" si="27"/>
        <v>28C03044</v>
      </c>
      <c r="I5449" s="59" t="str">
        <f>IF(OR($A5449="",$C5449="",$D5449="",$E5449="",$H5449=""),"",SUMIFS(DATA_GOC!$H:$H,DATA_GOC!$A:$A,"BOM",DATA_GOC!$D:$D,$H5449,DATA_GOC!$E:$E,$C5449,DATA_GOC!$F:$F,"Xuất nội bộ từ téc",DATA_GOC!$B:$B,"&gt;="&amp;$D5449,DATA_GOC!$B:$B,"&lt;="&amp;$E5449))</f>
        <v/>
      </c>
      <c r="J5449" s="59">
        <f t="shared" si="28"/>
        <v>0</v>
      </c>
      <c r="K5449" s="59">
        <f t="shared" si="29"/>
        <v>0</v>
      </c>
      <c r="L5449" s="59">
        <f t="shared" si="30"/>
        <v>0</v>
      </c>
      <c r="M5449" s="59">
        <f t="shared" si="31"/>
        <v>0</v>
      </c>
    </row>
    <row r="5450" ht="15.0" hidden="1" customHeight="1">
      <c r="A5450" s="59">
        <f t="shared" si="20"/>
        <v>87</v>
      </c>
      <c r="B5450" s="59" t="str">
        <f t="shared" si="21"/>
        <v/>
      </c>
      <c r="C5450" s="59" t="str">
        <f t="shared" si="22"/>
        <v/>
      </c>
      <c r="D5450" s="45" t="str">
        <f t="shared" si="23"/>
        <v/>
      </c>
      <c r="E5450" s="45" t="str">
        <f t="shared" si="24"/>
        <v/>
      </c>
      <c r="F5450" s="59" t="str">
        <f t="shared" si="25"/>
        <v/>
      </c>
      <c r="G5450" s="59" t="str">
        <f t="shared" si="26"/>
        <v/>
      </c>
      <c r="H5450" s="59" t="str">
        <f t="shared" si="27"/>
        <v>Máy lu lốp</v>
      </c>
      <c r="I5450" s="59" t="str">
        <f>IF(OR($A5450="",$C5450="",$D5450="",$E5450="",$H5450=""),"",SUMIFS(DATA_GOC!$H:$H,DATA_GOC!$A:$A,"BOM",DATA_GOC!$D:$D,$H5450,DATA_GOC!$E:$E,$C5450,DATA_GOC!$F:$F,"Xuất nội bộ từ téc",DATA_GOC!$B:$B,"&gt;="&amp;$D5450,DATA_GOC!$B:$B,"&lt;="&amp;$E5450))</f>
        <v/>
      </c>
      <c r="J5450" s="59">
        <f t="shared" si="28"/>
        <v>0</v>
      </c>
      <c r="K5450" s="59">
        <f t="shared" si="29"/>
        <v>0</v>
      </c>
      <c r="L5450" s="59">
        <f t="shared" si="30"/>
        <v>0</v>
      </c>
      <c r="M5450" s="59">
        <f t="shared" si="31"/>
        <v>0</v>
      </c>
    </row>
    <row r="5451" ht="15.0" hidden="1" customHeight="1">
      <c r="A5451" s="59">
        <f t="shared" si="20"/>
        <v>87</v>
      </c>
      <c r="B5451" s="59" t="str">
        <f t="shared" si="21"/>
        <v/>
      </c>
      <c r="C5451" s="59" t="str">
        <f t="shared" si="22"/>
        <v/>
      </c>
      <c r="D5451" s="45" t="str">
        <f t="shared" si="23"/>
        <v/>
      </c>
      <c r="E5451" s="45" t="str">
        <f t="shared" si="24"/>
        <v/>
      </c>
      <c r="F5451" s="59" t="str">
        <f t="shared" si="25"/>
        <v/>
      </c>
      <c r="G5451" s="59" t="str">
        <f t="shared" si="26"/>
        <v/>
      </c>
      <c r="H5451" s="59" t="str">
        <f t="shared" si="27"/>
        <v>Xe 600148</v>
      </c>
      <c r="I5451" s="59" t="str">
        <f>IF(OR($A5451="",$C5451="",$D5451="",$E5451="",$H5451=""),"",SUMIFS(DATA_GOC!$H:$H,DATA_GOC!$A:$A,"BOM",DATA_GOC!$D:$D,$H5451,DATA_GOC!$E:$E,$C5451,DATA_GOC!$F:$F,"Xuất nội bộ từ téc",DATA_GOC!$B:$B,"&gt;="&amp;$D5451,DATA_GOC!$B:$B,"&lt;="&amp;$E5451))</f>
        <v/>
      </c>
      <c r="J5451" s="59">
        <f t="shared" si="28"/>
        <v>0</v>
      </c>
      <c r="K5451" s="59">
        <f t="shared" si="29"/>
        <v>0</v>
      </c>
      <c r="L5451" s="59">
        <f t="shared" si="30"/>
        <v>0</v>
      </c>
      <c r="M5451" s="59">
        <f t="shared" si="31"/>
        <v>0</v>
      </c>
    </row>
    <row r="5452" ht="15.0" hidden="1" customHeight="1">
      <c r="A5452" s="59">
        <f t="shared" si="20"/>
        <v>87</v>
      </c>
      <c r="B5452" s="59" t="str">
        <f t="shared" si="21"/>
        <v/>
      </c>
      <c r="C5452" s="59" t="str">
        <f t="shared" si="22"/>
        <v/>
      </c>
      <c r="D5452" s="45" t="str">
        <f t="shared" si="23"/>
        <v/>
      </c>
      <c r="E5452" s="45" t="str">
        <f t="shared" si="24"/>
        <v/>
      </c>
      <c r="F5452" s="59" t="str">
        <f t="shared" si="25"/>
        <v/>
      </c>
      <c r="G5452" s="59" t="str">
        <f t="shared" si="26"/>
        <v/>
      </c>
      <c r="H5452" s="59" t="str">
        <f t="shared" si="27"/>
        <v>Xe ben mới</v>
      </c>
      <c r="I5452" s="59" t="str">
        <f>IF(OR($A5452="",$C5452="",$D5452="",$E5452="",$H5452=""),"",SUMIFS(DATA_GOC!$H:$H,DATA_GOC!$A:$A,"BOM",DATA_GOC!$D:$D,$H5452,DATA_GOC!$E:$E,$C5452,DATA_GOC!$F:$F,"Xuất nội bộ từ téc",DATA_GOC!$B:$B,"&gt;="&amp;$D5452,DATA_GOC!$B:$B,"&lt;="&amp;$E5452))</f>
        <v/>
      </c>
      <c r="J5452" s="59">
        <f t="shared" si="28"/>
        <v>0</v>
      </c>
      <c r="K5452" s="59">
        <f t="shared" si="29"/>
        <v>0</v>
      </c>
      <c r="L5452" s="59">
        <f t="shared" si="30"/>
        <v>0</v>
      </c>
      <c r="M5452" s="59">
        <f t="shared" si="31"/>
        <v>0</v>
      </c>
    </row>
    <row r="5453" ht="15.0" hidden="1" customHeight="1">
      <c r="A5453" s="59">
        <f t="shared" si="20"/>
        <v>88</v>
      </c>
      <c r="B5453" s="59" t="str">
        <f t="shared" si="21"/>
        <v/>
      </c>
      <c r="C5453" s="59" t="str">
        <f t="shared" si="22"/>
        <v/>
      </c>
      <c r="D5453" s="45" t="str">
        <f t="shared" si="23"/>
        <v/>
      </c>
      <c r="E5453" s="45" t="str">
        <f t="shared" si="24"/>
        <v/>
      </c>
      <c r="F5453" s="59" t="str">
        <f t="shared" si="25"/>
        <v/>
      </c>
      <c r="G5453" s="59" t="str">
        <f t="shared" si="26"/>
        <v/>
      </c>
      <c r="H5453" s="59" t="str">
        <f t="shared" si="27"/>
        <v>19H09482</v>
      </c>
      <c r="I5453" s="59" t="str">
        <f>IF(OR($A5453="",$C5453="",$D5453="",$E5453="",$H5453=""),"",SUMIFS(DATA_GOC!$H:$H,DATA_GOC!$A:$A,"BOM",DATA_GOC!$D:$D,$H5453,DATA_GOC!$E:$E,$C5453,DATA_GOC!$F:$F,"Xuất nội bộ từ téc",DATA_GOC!$B:$B,"&gt;="&amp;$D5453,DATA_GOC!$B:$B,"&lt;="&amp;$E5453))</f>
        <v/>
      </c>
      <c r="J5453" s="59">
        <f t="shared" si="28"/>
        <v>0</v>
      </c>
      <c r="K5453" s="59">
        <f t="shared" si="29"/>
        <v>0</v>
      </c>
      <c r="L5453" s="59">
        <f t="shared" si="30"/>
        <v>0</v>
      </c>
      <c r="M5453" s="59">
        <f t="shared" si="31"/>
        <v>0</v>
      </c>
    </row>
    <row r="5454" ht="15.0" hidden="1" customHeight="1">
      <c r="A5454" s="59">
        <f t="shared" si="20"/>
        <v>88</v>
      </c>
      <c r="B5454" s="59" t="str">
        <f t="shared" si="21"/>
        <v/>
      </c>
      <c r="C5454" s="59" t="str">
        <f t="shared" si="22"/>
        <v/>
      </c>
      <c r="D5454" s="45" t="str">
        <f t="shared" si="23"/>
        <v/>
      </c>
      <c r="E5454" s="45" t="str">
        <f t="shared" si="24"/>
        <v/>
      </c>
      <c r="F5454" s="59" t="str">
        <f t="shared" si="25"/>
        <v/>
      </c>
      <c r="G5454" s="59" t="str">
        <f t="shared" si="26"/>
        <v/>
      </c>
      <c r="H5454" s="59" t="str">
        <f t="shared" si="27"/>
        <v>28A30696</v>
      </c>
      <c r="I5454" s="59" t="str">
        <f>IF(OR($A5454="",$C5454="",$D5454="",$E5454="",$H5454=""),"",SUMIFS(DATA_GOC!$H:$H,DATA_GOC!$A:$A,"BOM",DATA_GOC!$D:$D,$H5454,DATA_GOC!$E:$E,$C5454,DATA_GOC!$F:$F,"Xuất nội bộ từ téc",DATA_GOC!$B:$B,"&gt;="&amp;$D5454,DATA_GOC!$B:$B,"&lt;="&amp;$E5454))</f>
        <v/>
      </c>
      <c r="J5454" s="59">
        <f t="shared" si="28"/>
        <v>0</v>
      </c>
      <c r="K5454" s="59">
        <f t="shared" si="29"/>
        <v>0</v>
      </c>
      <c r="L5454" s="59">
        <f t="shared" si="30"/>
        <v>0</v>
      </c>
      <c r="M5454" s="59">
        <f t="shared" si="31"/>
        <v>0</v>
      </c>
    </row>
    <row r="5455" ht="15.0" hidden="1" customHeight="1">
      <c r="A5455" s="59">
        <f t="shared" si="20"/>
        <v>88</v>
      </c>
      <c r="B5455" s="59" t="str">
        <f t="shared" si="21"/>
        <v/>
      </c>
      <c r="C5455" s="59" t="str">
        <f t="shared" si="22"/>
        <v/>
      </c>
      <c r="D5455" s="45" t="str">
        <f t="shared" si="23"/>
        <v/>
      </c>
      <c r="E5455" s="45" t="str">
        <f t="shared" si="24"/>
        <v/>
      </c>
      <c r="F5455" s="59" t="str">
        <f t="shared" si="25"/>
        <v/>
      </c>
      <c r="G5455" s="59" t="str">
        <f t="shared" si="26"/>
        <v/>
      </c>
      <c r="H5455" s="59" t="str">
        <f t="shared" si="27"/>
        <v>28C00462</v>
      </c>
      <c r="I5455" s="59" t="str">
        <f>IF(OR($A5455="",$C5455="",$D5455="",$E5455="",$H5455=""),"",SUMIFS(DATA_GOC!$H:$H,DATA_GOC!$A:$A,"BOM",DATA_GOC!$D:$D,$H5455,DATA_GOC!$E:$E,$C5455,DATA_GOC!$F:$F,"Xuất nội bộ từ téc",DATA_GOC!$B:$B,"&gt;="&amp;$D5455,DATA_GOC!$B:$B,"&lt;="&amp;$E5455))</f>
        <v/>
      </c>
      <c r="J5455" s="59">
        <f t="shared" si="28"/>
        <v>0</v>
      </c>
      <c r="K5455" s="59">
        <f t="shared" si="29"/>
        <v>0</v>
      </c>
      <c r="L5455" s="59">
        <f t="shared" si="30"/>
        <v>0</v>
      </c>
      <c r="M5455" s="59">
        <f t="shared" si="31"/>
        <v>0</v>
      </c>
    </row>
    <row r="5456" ht="15.0" hidden="1" customHeight="1">
      <c r="A5456" s="59">
        <f t="shared" si="20"/>
        <v>88</v>
      </c>
      <c r="B5456" s="59" t="str">
        <f t="shared" si="21"/>
        <v/>
      </c>
      <c r="C5456" s="59" t="str">
        <f t="shared" si="22"/>
        <v/>
      </c>
      <c r="D5456" s="45" t="str">
        <f t="shared" si="23"/>
        <v/>
      </c>
      <c r="E5456" s="45" t="str">
        <f t="shared" si="24"/>
        <v/>
      </c>
      <c r="F5456" s="59" t="str">
        <f t="shared" si="25"/>
        <v/>
      </c>
      <c r="G5456" s="59" t="str">
        <f t="shared" si="26"/>
        <v/>
      </c>
      <c r="H5456" s="59" t="str">
        <f t="shared" si="27"/>
        <v>28C01165</v>
      </c>
      <c r="I5456" s="59" t="str">
        <f>IF(OR($A5456="",$C5456="",$D5456="",$E5456="",$H5456=""),"",SUMIFS(DATA_GOC!$H:$H,DATA_GOC!$A:$A,"BOM",DATA_GOC!$D:$D,$H5456,DATA_GOC!$E:$E,$C5456,DATA_GOC!$F:$F,"Xuất nội bộ từ téc",DATA_GOC!$B:$B,"&gt;="&amp;$D5456,DATA_GOC!$B:$B,"&lt;="&amp;$E5456))</f>
        <v/>
      </c>
      <c r="J5456" s="59">
        <f t="shared" si="28"/>
        <v>0</v>
      </c>
      <c r="K5456" s="59">
        <f t="shared" si="29"/>
        <v>0</v>
      </c>
      <c r="L5456" s="59">
        <f t="shared" si="30"/>
        <v>0</v>
      </c>
      <c r="M5456" s="59">
        <f t="shared" si="31"/>
        <v>0</v>
      </c>
    </row>
    <row r="5457" ht="15.0" hidden="1" customHeight="1">
      <c r="A5457" s="59">
        <f t="shared" si="20"/>
        <v>88</v>
      </c>
      <c r="B5457" s="59" t="str">
        <f t="shared" si="21"/>
        <v/>
      </c>
      <c r="C5457" s="59" t="str">
        <f t="shared" si="22"/>
        <v/>
      </c>
      <c r="D5457" s="45" t="str">
        <f t="shared" si="23"/>
        <v/>
      </c>
      <c r="E5457" s="45" t="str">
        <f t="shared" si="24"/>
        <v/>
      </c>
      <c r="F5457" s="59" t="str">
        <f t="shared" si="25"/>
        <v/>
      </c>
      <c r="G5457" s="59" t="str">
        <f t="shared" si="26"/>
        <v/>
      </c>
      <c r="H5457" s="59" t="str">
        <f t="shared" si="27"/>
        <v>28C01406</v>
      </c>
      <c r="I5457" s="59" t="str">
        <f>IF(OR($A5457="",$C5457="",$D5457="",$E5457="",$H5457=""),"",SUMIFS(DATA_GOC!$H:$H,DATA_GOC!$A:$A,"BOM",DATA_GOC!$D:$D,$H5457,DATA_GOC!$E:$E,$C5457,DATA_GOC!$F:$F,"Xuất nội bộ từ téc",DATA_GOC!$B:$B,"&gt;="&amp;$D5457,DATA_GOC!$B:$B,"&lt;="&amp;$E5457))</f>
        <v/>
      </c>
      <c r="J5457" s="59">
        <f t="shared" si="28"/>
        <v>0</v>
      </c>
      <c r="K5457" s="59">
        <f t="shared" si="29"/>
        <v>0</v>
      </c>
      <c r="L5457" s="59">
        <f t="shared" si="30"/>
        <v>0</v>
      </c>
      <c r="M5457" s="59">
        <f t="shared" si="31"/>
        <v>0</v>
      </c>
    </row>
    <row r="5458" ht="15.0" hidden="1" customHeight="1">
      <c r="A5458" s="59">
        <f t="shared" si="20"/>
        <v>88</v>
      </c>
      <c r="B5458" s="59" t="str">
        <f t="shared" si="21"/>
        <v/>
      </c>
      <c r="C5458" s="59" t="str">
        <f t="shared" si="22"/>
        <v/>
      </c>
      <c r="D5458" s="45" t="str">
        <f t="shared" si="23"/>
        <v/>
      </c>
      <c r="E5458" s="45" t="str">
        <f t="shared" si="24"/>
        <v/>
      </c>
      <c r="F5458" s="59" t="str">
        <f t="shared" si="25"/>
        <v/>
      </c>
      <c r="G5458" s="59" t="str">
        <f t="shared" si="26"/>
        <v/>
      </c>
      <c r="H5458" s="59" t="str">
        <f t="shared" si="27"/>
        <v>28C01544</v>
      </c>
      <c r="I5458" s="59" t="str">
        <f>IF(OR($A5458="",$C5458="",$D5458="",$E5458="",$H5458=""),"",SUMIFS(DATA_GOC!$H:$H,DATA_GOC!$A:$A,"BOM",DATA_GOC!$D:$D,$H5458,DATA_GOC!$E:$E,$C5458,DATA_GOC!$F:$F,"Xuất nội bộ từ téc",DATA_GOC!$B:$B,"&gt;="&amp;$D5458,DATA_GOC!$B:$B,"&lt;="&amp;$E5458))</f>
        <v/>
      </c>
      <c r="J5458" s="59">
        <f t="shared" si="28"/>
        <v>0</v>
      </c>
      <c r="K5458" s="59">
        <f t="shared" si="29"/>
        <v>0</v>
      </c>
      <c r="L5458" s="59">
        <f t="shared" si="30"/>
        <v>0</v>
      </c>
      <c r="M5458" s="59">
        <f t="shared" si="31"/>
        <v>0</v>
      </c>
    </row>
    <row r="5459" ht="15.0" hidden="1" customHeight="1">
      <c r="A5459" s="59">
        <f t="shared" si="20"/>
        <v>88</v>
      </c>
      <c r="B5459" s="59" t="str">
        <f t="shared" si="21"/>
        <v/>
      </c>
      <c r="C5459" s="59" t="str">
        <f t="shared" si="22"/>
        <v/>
      </c>
      <c r="D5459" s="45" t="str">
        <f t="shared" si="23"/>
        <v/>
      </c>
      <c r="E5459" s="45" t="str">
        <f t="shared" si="24"/>
        <v/>
      </c>
      <c r="F5459" s="59" t="str">
        <f t="shared" si="25"/>
        <v/>
      </c>
      <c r="G5459" s="59" t="str">
        <f t="shared" si="26"/>
        <v/>
      </c>
      <c r="H5459" s="59" t="str">
        <f t="shared" si="27"/>
        <v>28C01622</v>
      </c>
      <c r="I5459" s="59" t="str">
        <f>IF(OR($A5459="",$C5459="",$D5459="",$E5459="",$H5459=""),"",SUMIFS(DATA_GOC!$H:$H,DATA_GOC!$A:$A,"BOM",DATA_GOC!$D:$D,$H5459,DATA_GOC!$E:$E,$C5459,DATA_GOC!$F:$F,"Xuất nội bộ từ téc",DATA_GOC!$B:$B,"&gt;="&amp;$D5459,DATA_GOC!$B:$B,"&lt;="&amp;$E5459))</f>
        <v/>
      </c>
      <c r="J5459" s="59">
        <f t="shared" si="28"/>
        <v>0</v>
      </c>
      <c r="K5459" s="59">
        <f t="shared" si="29"/>
        <v>0</v>
      </c>
      <c r="L5459" s="59">
        <f t="shared" si="30"/>
        <v>0</v>
      </c>
      <c r="M5459" s="59">
        <f t="shared" si="31"/>
        <v>0</v>
      </c>
    </row>
    <row r="5460" ht="15.0" hidden="1" customHeight="1">
      <c r="A5460" s="59">
        <f t="shared" si="20"/>
        <v>88</v>
      </c>
      <c r="B5460" s="59" t="str">
        <f t="shared" si="21"/>
        <v/>
      </c>
      <c r="C5460" s="59" t="str">
        <f t="shared" si="22"/>
        <v/>
      </c>
      <c r="D5460" s="45" t="str">
        <f t="shared" si="23"/>
        <v/>
      </c>
      <c r="E5460" s="45" t="str">
        <f t="shared" si="24"/>
        <v/>
      </c>
      <c r="F5460" s="59" t="str">
        <f t="shared" si="25"/>
        <v/>
      </c>
      <c r="G5460" s="59" t="str">
        <f t="shared" si="26"/>
        <v/>
      </c>
      <c r="H5460" s="59" t="str">
        <f t="shared" si="27"/>
        <v>28C01647</v>
      </c>
      <c r="I5460" s="59" t="str">
        <f>IF(OR($A5460="",$C5460="",$D5460="",$E5460="",$H5460=""),"",SUMIFS(DATA_GOC!$H:$H,DATA_GOC!$A:$A,"BOM",DATA_GOC!$D:$D,$H5460,DATA_GOC!$E:$E,$C5460,DATA_GOC!$F:$F,"Xuất nội bộ từ téc",DATA_GOC!$B:$B,"&gt;="&amp;$D5460,DATA_GOC!$B:$B,"&lt;="&amp;$E5460))</f>
        <v/>
      </c>
      <c r="J5460" s="59">
        <f t="shared" si="28"/>
        <v>0</v>
      </c>
      <c r="K5460" s="59">
        <f t="shared" si="29"/>
        <v>0</v>
      </c>
      <c r="L5460" s="59">
        <f t="shared" si="30"/>
        <v>0</v>
      </c>
      <c r="M5460" s="59">
        <f t="shared" si="31"/>
        <v>0</v>
      </c>
    </row>
    <row r="5461" ht="15.0" hidden="1" customHeight="1">
      <c r="A5461" s="59">
        <f t="shared" si="20"/>
        <v>88</v>
      </c>
      <c r="B5461" s="59" t="str">
        <f t="shared" si="21"/>
        <v/>
      </c>
      <c r="C5461" s="59" t="str">
        <f t="shared" si="22"/>
        <v/>
      </c>
      <c r="D5461" s="45" t="str">
        <f t="shared" si="23"/>
        <v/>
      </c>
      <c r="E5461" s="45" t="str">
        <f t="shared" si="24"/>
        <v/>
      </c>
      <c r="F5461" s="59" t="str">
        <f t="shared" si="25"/>
        <v/>
      </c>
      <c r="G5461" s="59" t="str">
        <f t="shared" si="26"/>
        <v/>
      </c>
      <c r="H5461" s="59" t="str">
        <f t="shared" si="27"/>
        <v>28C01731</v>
      </c>
      <c r="I5461" s="59" t="str">
        <f>IF(OR($A5461="",$C5461="",$D5461="",$E5461="",$H5461=""),"",SUMIFS(DATA_GOC!$H:$H,DATA_GOC!$A:$A,"BOM",DATA_GOC!$D:$D,$H5461,DATA_GOC!$E:$E,$C5461,DATA_GOC!$F:$F,"Xuất nội bộ từ téc",DATA_GOC!$B:$B,"&gt;="&amp;$D5461,DATA_GOC!$B:$B,"&lt;="&amp;$E5461))</f>
        <v/>
      </c>
      <c r="J5461" s="59">
        <f t="shared" si="28"/>
        <v>0</v>
      </c>
      <c r="K5461" s="59">
        <f t="shared" si="29"/>
        <v>0</v>
      </c>
      <c r="L5461" s="59">
        <f t="shared" si="30"/>
        <v>0</v>
      </c>
      <c r="M5461" s="59">
        <f t="shared" si="31"/>
        <v>0</v>
      </c>
    </row>
    <row r="5462" ht="15.0" hidden="1" customHeight="1">
      <c r="A5462" s="59">
        <f t="shared" si="20"/>
        <v>88</v>
      </c>
      <c r="B5462" s="59" t="str">
        <f t="shared" si="21"/>
        <v/>
      </c>
      <c r="C5462" s="59" t="str">
        <f t="shared" si="22"/>
        <v/>
      </c>
      <c r="D5462" s="45" t="str">
        <f t="shared" si="23"/>
        <v/>
      </c>
      <c r="E5462" s="45" t="str">
        <f t="shared" si="24"/>
        <v/>
      </c>
      <c r="F5462" s="59" t="str">
        <f t="shared" si="25"/>
        <v/>
      </c>
      <c r="G5462" s="59" t="str">
        <f t="shared" si="26"/>
        <v/>
      </c>
      <c r="H5462" s="59" t="str">
        <f t="shared" si="27"/>
        <v>28C01743</v>
      </c>
      <c r="I5462" s="59" t="str">
        <f>IF(OR($A5462="",$C5462="",$D5462="",$E5462="",$H5462=""),"",SUMIFS(DATA_GOC!$H:$H,DATA_GOC!$A:$A,"BOM",DATA_GOC!$D:$D,$H5462,DATA_GOC!$E:$E,$C5462,DATA_GOC!$F:$F,"Xuất nội bộ từ téc",DATA_GOC!$B:$B,"&gt;="&amp;$D5462,DATA_GOC!$B:$B,"&lt;="&amp;$E5462))</f>
        <v/>
      </c>
      <c r="J5462" s="59">
        <f t="shared" si="28"/>
        <v>0</v>
      </c>
      <c r="K5462" s="59">
        <f t="shared" si="29"/>
        <v>0</v>
      </c>
      <c r="L5462" s="59">
        <f t="shared" si="30"/>
        <v>0</v>
      </c>
      <c r="M5462" s="59">
        <f t="shared" si="31"/>
        <v>0</v>
      </c>
    </row>
    <row r="5463" ht="15.0" hidden="1" customHeight="1">
      <c r="A5463" s="59">
        <f t="shared" si="20"/>
        <v>88</v>
      </c>
      <c r="B5463" s="59" t="str">
        <f t="shared" si="21"/>
        <v/>
      </c>
      <c r="C5463" s="59" t="str">
        <f t="shared" si="22"/>
        <v/>
      </c>
      <c r="D5463" s="45" t="str">
        <f t="shared" si="23"/>
        <v/>
      </c>
      <c r="E5463" s="45" t="str">
        <f t="shared" si="24"/>
        <v/>
      </c>
      <c r="F5463" s="59" t="str">
        <f t="shared" si="25"/>
        <v/>
      </c>
      <c r="G5463" s="59" t="str">
        <f t="shared" si="26"/>
        <v/>
      </c>
      <c r="H5463" s="59" t="str">
        <f t="shared" si="27"/>
        <v>28C02106</v>
      </c>
      <c r="I5463" s="59" t="str">
        <f>IF(OR($A5463="",$C5463="",$D5463="",$E5463="",$H5463=""),"",SUMIFS(DATA_GOC!$H:$H,DATA_GOC!$A:$A,"BOM",DATA_GOC!$D:$D,$H5463,DATA_GOC!$E:$E,$C5463,DATA_GOC!$F:$F,"Xuất nội bộ từ téc",DATA_GOC!$B:$B,"&gt;="&amp;$D5463,DATA_GOC!$B:$B,"&lt;="&amp;$E5463))</f>
        <v/>
      </c>
      <c r="J5463" s="59">
        <f t="shared" si="28"/>
        <v>0</v>
      </c>
      <c r="K5463" s="59">
        <f t="shared" si="29"/>
        <v>0</v>
      </c>
      <c r="L5463" s="59">
        <f t="shared" si="30"/>
        <v>0</v>
      </c>
      <c r="M5463" s="59">
        <f t="shared" si="31"/>
        <v>0</v>
      </c>
    </row>
    <row r="5464" ht="15.0" hidden="1" customHeight="1">
      <c r="A5464" s="59">
        <f t="shared" si="20"/>
        <v>88</v>
      </c>
      <c r="B5464" s="59" t="str">
        <f t="shared" si="21"/>
        <v/>
      </c>
      <c r="C5464" s="59" t="str">
        <f t="shared" si="22"/>
        <v/>
      </c>
      <c r="D5464" s="45" t="str">
        <f t="shared" si="23"/>
        <v/>
      </c>
      <c r="E5464" s="45" t="str">
        <f t="shared" si="24"/>
        <v/>
      </c>
      <c r="F5464" s="59" t="str">
        <f t="shared" si="25"/>
        <v/>
      </c>
      <c r="G5464" s="59" t="str">
        <f t="shared" si="26"/>
        <v/>
      </c>
      <c r="H5464" s="59" t="str">
        <f t="shared" si="27"/>
        <v>28C02410</v>
      </c>
      <c r="I5464" s="59" t="str">
        <f>IF(OR($A5464="",$C5464="",$D5464="",$E5464="",$H5464=""),"",SUMIFS(DATA_GOC!$H:$H,DATA_GOC!$A:$A,"BOM",DATA_GOC!$D:$D,$H5464,DATA_GOC!$E:$E,$C5464,DATA_GOC!$F:$F,"Xuất nội bộ từ téc",DATA_GOC!$B:$B,"&gt;="&amp;$D5464,DATA_GOC!$B:$B,"&lt;="&amp;$E5464))</f>
        <v/>
      </c>
      <c r="J5464" s="59">
        <f t="shared" si="28"/>
        <v>0</v>
      </c>
      <c r="K5464" s="59">
        <f t="shared" si="29"/>
        <v>0</v>
      </c>
      <c r="L5464" s="59">
        <f t="shared" si="30"/>
        <v>0</v>
      </c>
      <c r="M5464" s="59">
        <f t="shared" si="31"/>
        <v>0</v>
      </c>
    </row>
    <row r="5465" ht="15.0" hidden="1" customHeight="1">
      <c r="A5465" s="59">
        <f t="shared" si="20"/>
        <v>88</v>
      </c>
      <c r="B5465" s="59" t="str">
        <f t="shared" si="21"/>
        <v/>
      </c>
      <c r="C5465" s="59" t="str">
        <f t="shared" si="22"/>
        <v/>
      </c>
      <c r="D5465" s="45" t="str">
        <f t="shared" si="23"/>
        <v/>
      </c>
      <c r="E5465" s="45" t="str">
        <f t="shared" si="24"/>
        <v/>
      </c>
      <c r="F5465" s="59" t="str">
        <f t="shared" si="25"/>
        <v/>
      </c>
      <c r="G5465" s="59" t="str">
        <f t="shared" si="26"/>
        <v/>
      </c>
      <c r="H5465" s="59" t="str">
        <f t="shared" si="27"/>
        <v>28C02545</v>
      </c>
      <c r="I5465" s="59" t="str">
        <f>IF(OR($A5465="",$C5465="",$D5465="",$E5465="",$H5465=""),"",SUMIFS(DATA_GOC!$H:$H,DATA_GOC!$A:$A,"BOM",DATA_GOC!$D:$D,$H5465,DATA_GOC!$E:$E,$C5465,DATA_GOC!$F:$F,"Xuất nội bộ từ téc",DATA_GOC!$B:$B,"&gt;="&amp;$D5465,DATA_GOC!$B:$B,"&lt;="&amp;$E5465))</f>
        <v/>
      </c>
      <c r="J5465" s="59">
        <f t="shared" si="28"/>
        <v>0</v>
      </c>
      <c r="K5465" s="59">
        <f t="shared" si="29"/>
        <v>0</v>
      </c>
      <c r="L5465" s="59">
        <f t="shared" si="30"/>
        <v>0</v>
      </c>
      <c r="M5465" s="59">
        <f t="shared" si="31"/>
        <v>0</v>
      </c>
    </row>
    <row r="5466" ht="15.0" hidden="1" customHeight="1">
      <c r="A5466" s="59">
        <f t="shared" si="20"/>
        <v>88</v>
      </c>
      <c r="B5466" s="59" t="str">
        <f t="shared" si="21"/>
        <v/>
      </c>
      <c r="C5466" s="59" t="str">
        <f t="shared" si="22"/>
        <v/>
      </c>
      <c r="D5466" s="45" t="str">
        <f t="shared" si="23"/>
        <v/>
      </c>
      <c r="E5466" s="45" t="str">
        <f t="shared" si="24"/>
        <v/>
      </c>
      <c r="F5466" s="59" t="str">
        <f t="shared" si="25"/>
        <v/>
      </c>
      <c r="G5466" s="59" t="str">
        <f t="shared" si="26"/>
        <v/>
      </c>
      <c r="H5466" s="59" t="str">
        <f t="shared" si="27"/>
        <v>28C02574</v>
      </c>
      <c r="I5466" s="59" t="str">
        <f>IF(OR($A5466="",$C5466="",$D5466="",$E5466="",$H5466=""),"",SUMIFS(DATA_GOC!$H:$H,DATA_GOC!$A:$A,"BOM",DATA_GOC!$D:$D,$H5466,DATA_GOC!$E:$E,$C5466,DATA_GOC!$F:$F,"Xuất nội bộ từ téc",DATA_GOC!$B:$B,"&gt;="&amp;$D5466,DATA_GOC!$B:$B,"&lt;="&amp;$E5466))</f>
        <v/>
      </c>
      <c r="J5466" s="59">
        <f t="shared" si="28"/>
        <v>0</v>
      </c>
      <c r="K5466" s="59">
        <f t="shared" si="29"/>
        <v>0</v>
      </c>
      <c r="L5466" s="59">
        <f t="shared" si="30"/>
        <v>0</v>
      </c>
      <c r="M5466" s="59">
        <f t="shared" si="31"/>
        <v>0</v>
      </c>
    </row>
    <row r="5467" ht="15.0" hidden="1" customHeight="1">
      <c r="A5467" s="59">
        <f t="shared" si="20"/>
        <v>88</v>
      </c>
      <c r="B5467" s="59" t="str">
        <f t="shared" si="21"/>
        <v/>
      </c>
      <c r="C5467" s="59" t="str">
        <f t="shared" si="22"/>
        <v/>
      </c>
      <c r="D5467" s="45" t="str">
        <f t="shared" si="23"/>
        <v/>
      </c>
      <c r="E5467" s="45" t="str">
        <f t="shared" si="24"/>
        <v/>
      </c>
      <c r="F5467" s="59" t="str">
        <f t="shared" si="25"/>
        <v/>
      </c>
      <c r="G5467" s="59" t="str">
        <f t="shared" si="26"/>
        <v/>
      </c>
      <c r="H5467" s="59" t="str">
        <f t="shared" si="27"/>
        <v>28C02770</v>
      </c>
      <c r="I5467" s="59" t="str">
        <f>IF(OR($A5467="",$C5467="",$D5467="",$E5467="",$H5467=""),"",SUMIFS(DATA_GOC!$H:$H,DATA_GOC!$A:$A,"BOM",DATA_GOC!$D:$D,$H5467,DATA_GOC!$E:$E,$C5467,DATA_GOC!$F:$F,"Xuất nội bộ từ téc",DATA_GOC!$B:$B,"&gt;="&amp;$D5467,DATA_GOC!$B:$B,"&lt;="&amp;$E5467))</f>
        <v/>
      </c>
      <c r="J5467" s="59">
        <f t="shared" si="28"/>
        <v>0</v>
      </c>
      <c r="K5467" s="59">
        <f t="shared" si="29"/>
        <v>0</v>
      </c>
      <c r="L5467" s="59">
        <f t="shared" si="30"/>
        <v>0</v>
      </c>
      <c r="M5467" s="59">
        <f t="shared" si="31"/>
        <v>0</v>
      </c>
    </row>
    <row r="5468" ht="15.0" hidden="1" customHeight="1">
      <c r="A5468" s="59">
        <f t="shared" si="20"/>
        <v>88</v>
      </c>
      <c r="B5468" s="59" t="str">
        <f t="shared" si="21"/>
        <v/>
      </c>
      <c r="C5468" s="59" t="str">
        <f t="shared" si="22"/>
        <v/>
      </c>
      <c r="D5468" s="45" t="str">
        <f t="shared" si="23"/>
        <v/>
      </c>
      <c r="E5468" s="45" t="str">
        <f t="shared" si="24"/>
        <v/>
      </c>
      <c r="F5468" s="59" t="str">
        <f t="shared" si="25"/>
        <v/>
      </c>
      <c r="G5468" s="59" t="str">
        <f t="shared" si="26"/>
        <v/>
      </c>
      <c r="H5468" s="59" t="str">
        <f t="shared" si="27"/>
        <v>28C02986</v>
      </c>
      <c r="I5468" s="59" t="str">
        <f>IF(OR($A5468="",$C5468="",$D5468="",$E5468="",$H5468=""),"",SUMIFS(DATA_GOC!$H:$H,DATA_GOC!$A:$A,"BOM",DATA_GOC!$D:$D,$H5468,DATA_GOC!$E:$E,$C5468,DATA_GOC!$F:$F,"Xuất nội bộ từ téc",DATA_GOC!$B:$B,"&gt;="&amp;$D5468,DATA_GOC!$B:$B,"&lt;="&amp;$E5468))</f>
        <v/>
      </c>
      <c r="J5468" s="59">
        <f t="shared" si="28"/>
        <v>0</v>
      </c>
      <c r="K5468" s="59">
        <f t="shared" si="29"/>
        <v>0</v>
      </c>
      <c r="L5468" s="59">
        <f t="shared" si="30"/>
        <v>0</v>
      </c>
      <c r="M5468" s="59">
        <f t="shared" si="31"/>
        <v>0</v>
      </c>
    </row>
    <row r="5469" ht="15.0" hidden="1" customHeight="1">
      <c r="A5469" s="59">
        <f t="shared" si="20"/>
        <v>88</v>
      </c>
      <c r="B5469" s="59" t="str">
        <f t="shared" si="21"/>
        <v/>
      </c>
      <c r="C5469" s="59" t="str">
        <f t="shared" si="22"/>
        <v/>
      </c>
      <c r="D5469" s="45" t="str">
        <f t="shared" si="23"/>
        <v/>
      </c>
      <c r="E5469" s="45" t="str">
        <f t="shared" si="24"/>
        <v/>
      </c>
      <c r="F5469" s="59" t="str">
        <f t="shared" si="25"/>
        <v/>
      </c>
      <c r="G5469" s="59" t="str">
        <f t="shared" si="26"/>
        <v/>
      </c>
      <c r="H5469" s="59" t="str">
        <f t="shared" si="27"/>
        <v>28C03261</v>
      </c>
      <c r="I5469" s="59" t="str">
        <f>IF(OR($A5469="",$C5469="",$D5469="",$E5469="",$H5469=""),"",SUMIFS(DATA_GOC!$H:$H,DATA_GOC!$A:$A,"BOM",DATA_GOC!$D:$D,$H5469,DATA_GOC!$E:$E,$C5469,DATA_GOC!$F:$F,"Xuất nội bộ từ téc",DATA_GOC!$B:$B,"&gt;="&amp;$D5469,DATA_GOC!$B:$B,"&lt;="&amp;$E5469))</f>
        <v/>
      </c>
      <c r="J5469" s="59">
        <f t="shared" si="28"/>
        <v>0</v>
      </c>
      <c r="K5469" s="59">
        <f t="shared" si="29"/>
        <v>0</v>
      </c>
      <c r="L5469" s="59">
        <f t="shared" si="30"/>
        <v>0</v>
      </c>
      <c r="M5469" s="59">
        <f t="shared" si="31"/>
        <v>0</v>
      </c>
    </row>
    <row r="5470" ht="15.0" hidden="1" customHeight="1">
      <c r="A5470" s="59">
        <f t="shared" si="20"/>
        <v>88</v>
      </c>
      <c r="B5470" s="59" t="str">
        <f t="shared" si="21"/>
        <v/>
      </c>
      <c r="C5470" s="59" t="str">
        <f t="shared" si="22"/>
        <v/>
      </c>
      <c r="D5470" s="45" t="str">
        <f t="shared" si="23"/>
        <v/>
      </c>
      <c r="E5470" s="45" t="str">
        <f t="shared" si="24"/>
        <v/>
      </c>
      <c r="F5470" s="59" t="str">
        <f t="shared" si="25"/>
        <v/>
      </c>
      <c r="G5470" s="59" t="str">
        <f t="shared" si="26"/>
        <v/>
      </c>
      <c r="H5470" s="59" t="str">
        <f t="shared" si="27"/>
        <v>28C03323</v>
      </c>
      <c r="I5470" s="59" t="str">
        <f>IF(OR($A5470="",$C5470="",$D5470="",$E5470="",$H5470=""),"",SUMIFS(DATA_GOC!$H:$H,DATA_GOC!$A:$A,"BOM",DATA_GOC!$D:$D,$H5470,DATA_GOC!$E:$E,$C5470,DATA_GOC!$F:$F,"Xuất nội bộ từ téc",DATA_GOC!$B:$B,"&gt;="&amp;$D5470,DATA_GOC!$B:$B,"&lt;="&amp;$E5470))</f>
        <v/>
      </c>
      <c r="J5470" s="59">
        <f t="shared" si="28"/>
        <v>0</v>
      </c>
      <c r="K5470" s="59">
        <f t="shared" si="29"/>
        <v>0</v>
      </c>
      <c r="L5470" s="59">
        <f t="shared" si="30"/>
        <v>0</v>
      </c>
      <c r="M5470" s="59">
        <f t="shared" si="31"/>
        <v>0</v>
      </c>
    </row>
    <row r="5471" ht="15.0" hidden="1" customHeight="1">
      <c r="A5471" s="59">
        <f t="shared" si="20"/>
        <v>88</v>
      </c>
      <c r="B5471" s="59" t="str">
        <f t="shared" si="21"/>
        <v/>
      </c>
      <c r="C5471" s="59" t="str">
        <f t="shared" si="22"/>
        <v/>
      </c>
      <c r="D5471" s="45" t="str">
        <f t="shared" si="23"/>
        <v/>
      </c>
      <c r="E5471" s="45" t="str">
        <f t="shared" si="24"/>
        <v/>
      </c>
      <c r="F5471" s="59" t="str">
        <f t="shared" si="25"/>
        <v/>
      </c>
      <c r="G5471" s="59" t="str">
        <f t="shared" si="26"/>
        <v/>
      </c>
      <c r="H5471" s="59" t="str">
        <f t="shared" si="27"/>
        <v>28C03385</v>
      </c>
      <c r="I5471" s="59" t="str">
        <f>IF(OR($A5471="",$C5471="",$D5471="",$E5471="",$H5471=""),"",SUMIFS(DATA_GOC!$H:$H,DATA_GOC!$A:$A,"BOM",DATA_GOC!$D:$D,$H5471,DATA_GOC!$E:$E,$C5471,DATA_GOC!$F:$F,"Xuất nội bộ từ téc",DATA_GOC!$B:$B,"&gt;="&amp;$D5471,DATA_GOC!$B:$B,"&lt;="&amp;$E5471))</f>
        <v/>
      </c>
      <c r="J5471" s="59">
        <f t="shared" si="28"/>
        <v>0</v>
      </c>
      <c r="K5471" s="59">
        <f t="shared" si="29"/>
        <v>0</v>
      </c>
      <c r="L5471" s="59">
        <f t="shared" si="30"/>
        <v>0</v>
      </c>
      <c r="M5471" s="59">
        <f t="shared" si="31"/>
        <v>0</v>
      </c>
    </row>
    <row r="5472" ht="15.0" hidden="1" customHeight="1">
      <c r="A5472" s="59">
        <f t="shared" si="20"/>
        <v>88</v>
      </c>
      <c r="B5472" s="59" t="str">
        <f t="shared" si="21"/>
        <v/>
      </c>
      <c r="C5472" s="59" t="str">
        <f t="shared" si="22"/>
        <v/>
      </c>
      <c r="D5472" s="45" t="str">
        <f t="shared" si="23"/>
        <v/>
      </c>
      <c r="E5472" s="45" t="str">
        <f t="shared" si="24"/>
        <v/>
      </c>
      <c r="F5472" s="59" t="str">
        <f t="shared" si="25"/>
        <v/>
      </c>
      <c r="G5472" s="59" t="str">
        <f t="shared" si="26"/>
        <v/>
      </c>
      <c r="H5472" s="59" t="str">
        <f t="shared" si="27"/>
        <v>28C03652</v>
      </c>
      <c r="I5472" s="59" t="str">
        <f>IF(OR($A5472="",$C5472="",$D5472="",$E5472="",$H5472=""),"",SUMIFS(DATA_GOC!$H:$H,DATA_GOC!$A:$A,"BOM",DATA_GOC!$D:$D,$H5472,DATA_GOC!$E:$E,$C5472,DATA_GOC!$F:$F,"Xuất nội bộ từ téc",DATA_GOC!$B:$B,"&gt;="&amp;$D5472,DATA_GOC!$B:$B,"&lt;="&amp;$E5472))</f>
        <v/>
      </c>
      <c r="J5472" s="59">
        <f t="shared" si="28"/>
        <v>0</v>
      </c>
      <c r="K5472" s="59">
        <f t="shared" si="29"/>
        <v>0</v>
      </c>
      <c r="L5472" s="59">
        <f t="shared" si="30"/>
        <v>0</v>
      </c>
      <c r="M5472" s="59">
        <f t="shared" si="31"/>
        <v>0</v>
      </c>
    </row>
    <row r="5473" ht="15.0" hidden="1" customHeight="1">
      <c r="A5473" s="59">
        <f t="shared" si="20"/>
        <v>88</v>
      </c>
      <c r="B5473" s="59" t="str">
        <f t="shared" si="21"/>
        <v/>
      </c>
      <c r="C5473" s="59" t="str">
        <f t="shared" si="22"/>
        <v/>
      </c>
      <c r="D5473" s="45" t="str">
        <f t="shared" si="23"/>
        <v/>
      </c>
      <c r="E5473" s="45" t="str">
        <f t="shared" si="24"/>
        <v/>
      </c>
      <c r="F5473" s="59" t="str">
        <f t="shared" si="25"/>
        <v/>
      </c>
      <c r="G5473" s="59" t="str">
        <f t="shared" si="26"/>
        <v/>
      </c>
      <c r="H5473" s="59" t="str">
        <f t="shared" si="27"/>
        <v>28C03695</v>
      </c>
      <c r="I5473" s="59" t="str">
        <f>IF(OR($A5473="",$C5473="",$D5473="",$E5473="",$H5473=""),"",SUMIFS(DATA_GOC!$H:$H,DATA_GOC!$A:$A,"BOM",DATA_GOC!$D:$D,$H5473,DATA_GOC!$E:$E,$C5473,DATA_GOC!$F:$F,"Xuất nội bộ từ téc",DATA_GOC!$B:$B,"&gt;="&amp;$D5473,DATA_GOC!$B:$B,"&lt;="&amp;$E5473))</f>
        <v/>
      </c>
      <c r="J5473" s="59">
        <f t="shared" si="28"/>
        <v>0</v>
      </c>
      <c r="K5473" s="59">
        <f t="shared" si="29"/>
        <v>0</v>
      </c>
      <c r="L5473" s="59">
        <f t="shared" si="30"/>
        <v>0</v>
      </c>
      <c r="M5473" s="59">
        <f t="shared" si="31"/>
        <v>0</v>
      </c>
    </row>
    <row r="5474" ht="15.0" hidden="1" customHeight="1">
      <c r="A5474" s="59">
        <f t="shared" si="20"/>
        <v>88</v>
      </c>
      <c r="B5474" s="59" t="str">
        <f t="shared" si="21"/>
        <v/>
      </c>
      <c r="C5474" s="59" t="str">
        <f t="shared" si="22"/>
        <v/>
      </c>
      <c r="D5474" s="45" t="str">
        <f t="shared" si="23"/>
        <v/>
      </c>
      <c r="E5474" s="45" t="str">
        <f t="shared" si="24"/>
        <v/>
      </c>
      <c r="F5474" s="59" t="str">
        <f t="shared" si="25"/>
        <v/>
      </c>
      <c r="G5474" s="59" t="str">
        <f t="shared" si="26"/>
        <v/>
      </c>
      <c r="H5474" s="59" t="str">
        <f t="shared" si="27"/>
        <v>28C03927</v>
      </c>
      <c r="I5474" s="59" t="str">
        <f>IF(OR($A5474="",$C5474="",$D5474="",$E5474="",$H5474=""),"",SUMIFS(DATA_GOC!$H:$H,DATA_GOC!$A:$A,"BOM",DATA_GOC!$D:$D,$H5474,DATA_GOC!$E:$E,$C5474,DATA_GOC!$F:$F,"Xuất nội bộ từ téc",DATA_GOC!$B:$B,"&gt;="&amp;$D5474,DATA_GOC!$B:$B,"&lt;="&amp;$E5474))</f>
        <v/>
      </c>
      <c r="J5474" s="59">
        <f t="shared" si="28"/>
        <v>0</v>
      </c>
      <c r="K5474" s="59">
        <f t="shared" si="29"/>
        <v>0</v>
      </c>
      <c r="L5474" s="59">
        <f t="shared" si="30"/>
        <v>0</v>
      </c>
      <c r="M5474" s="59">
        <f t="shared" si="31"/>
        <v>0</v>
      </c>
    </row>
    <row r="5475" ht="15.0" hidden="1" customHeight="1">
      <c r="A5475" s="59">
        <f t="shared" si="20"/>
        <v>88</v>
      </c>
      <c r="B5475" s="59" t="str">
        <f t="shared" si="21"/>
        <v/>
      </c>
      <c r="C5475" s="59" t="str">
        <f t="shared" si="22"/>
        <v/>
      </c>
      <c r="D5475" s="45" t="str">
        <f t="shared" si="23"/>
        <v/>
      </c>
      <c r="E5475" s="45" t="str">
        <f t="shared" si="24"/>
        <v/>
      </c>
      <c r="F5475" s="59" t="str">
        <f t="shared" si="25"/>
        <v/>
      </c>
      <c r="G5475" s="59" t="str">
        <f t="shared" si="26"/>
        <v/>
      </c>
      <c r="H5475" s="59" t="str">
        <f t="shared" si="27"/>
        <v>28C04509</v>
      </c>
      <c r="I5475" s="59" t="str">
        <f>IF(OR($A5475="",$C5475="",$D5475="",$E5475="",$H5475=""),"",SUMIFS(DATA_GOC!$H:$H,DATA_GOC!$A:$A,"BOM",DATA_GOC!$D:$D,$H5475,DATA_GOC!$E:$E,$C5475,DATA_GOC!$F:$F,"Xuất nội bộ từ téc",DATA_GOC!$B:$B,"&gt;="&amp;$D5475,DATA_GOC!$B:$B,"&lt;="&amp;$E5475))</f>
        <v/>
      </c>
      <c r="J5475" s="59">
        <f t="shared" si="28"/>
        <v>0</v>
      </c>
      <c r="K5475" s="59">
        <f t="shared" si="29"/>
        <v>0</v>
      </c>
      <c r="L5475" s="59">
        <f t="shared" si="30"/>
        <v>0</v>
      </c>
      <c r="M5475" s="59">
        <f t="shared" si="31"/>
        <v>0</v>
      </c>
    </row>
    <row r="5476" ht="15.0" hidden="1" customHeight="1">
      <c r="A5476" s="59">
        <f t="shared" si="20"/>
        <v>88</v>
      </c>
      <c r="B5476" s="59" t="str">
        <f t="shared" si="21"/>
        <v/>
      </c>
      <c r="C5476" s="59" t="str">
        <f t="shared" si="22"/>
        <v/>
      </c>
      <c r="D5476" s="45" t="str">
        <f t="shared" si="23"/>
        <v/>
      </c>
      <c r="E5476" s="45" t="str">
        <f t="shared" si="24"/>
        <v/>
      </c>
      <c r="F5476" s="59" t="str">
        <f t="shared" si="25"/>
        <v/>
      </c>
      <c r="G5476" s="59" t="str">
        <f t="shared" si="26"/>
        <v/>
      </c>
      <c r="H5476" s="59" t="str">
        <f t="shared" si="27"/>
        <v>28C04536</v>
      </c>
      <c r="I5476" s="59" t="str">
        <f>IF(OR($A5476="",$C5476="",$D5476="",$E5476="",$H5476=""),"",SUMIFS(DATA_GOC!$H:$H,DATA_GOC!$A:$A,"BOM",DATA_GOC!$D:$D,$H5476,DATA_GOC!$E:$E,$C5476,DATA_GOC!$F:$F,"Xuất nội bộ từ téc",DATA_GOC!$B:$B,"&gt;="&amp;$D5476,DATA_GOC!$B:$B,"&lt;="&amp;$E5476))</f>
        <v/>
      </c>
      <c r="J5476" s="59">
        <f t="shared" si="28"/>
        <v>0</v>
      </c>
      <c r="K5476" s="59">
        <f t="shared" si="29"/>
        <v>0</v>
      </c>
      <c r="L5476" s="59">
        <f t="shared" si="30"/>
        <v>0</v>
      </c>
      <c r="M5476" s="59">
        <f t="shared" si="31"/>
        <v>0</v>
      </c>
    </row>
    <row r="5477" ht="15.0" hidden="1" customHeight="1">
      <c r="A5477" s="59">
        <f t="shared" si="20"/>
        <v>88</v>
      </c>
      <c r="B5477" s="59" t="str">
        <f t="shared" si="21"/>
        <v/>
      </c>
      <c r="C5477" s="59" t="str">
        <f t="shared" si="22"/>
        <v/>
      </c>
      <c r="D5477" s="45" t="str">
        <f t="shared" si="23"/>
        <v/>
      </c>
      <c r="E5477" s="45" t="str">
        <f t="shared" si="24"/>
        <v/>
      </c>
      <c r="F5477" s="59" t="str">
        <f t="shared" si="25"/>
        <v/>
      </c>
      <c r="G5477" s="59" t="str">
        <f t="shared" si="26"/>
        <v/>
      </c>
      <c r="H5477" s="59" t="str">
        <f t="shared" si="27"/>
        <v>28C04576</v>
      </c>
      <c r="I5477" s="59" t="str">
        <f>IF(OR($A5477="",$C5477="",$D5477="",$E5477="",$H5477=""),"",SUMIFS(DATA_GOC!$H:$H,DATA_GOC!$A:$A,"BOM",DATA_GOC!$D:$D,$H5477,DATA_GOC!$E:$E,$C5477,DATA_GOC!$F:$F,"Xuất nội bộ từ téc",DATA_GOC!$B:$B,"&gt;="&amp;$D5477,DATA_GOC!$B:$B,"&lt;="&amp;$E5477))</f>
        <v/>
      </c>
      <c r="J5477" s="59">
        <f t="shared" si="28"/>
        <v>0</v>
      </c>
      <c r="K5477" s="59">
        <f t="shared" si="29"/>
        <v>0</v>
      </c>
      <c r="L5477" s="59">
        <f t="shared" si="30"/>
        <v>0</v>
      </c>
      <c r="M5477" s="59">
        <f t="shared" si="31"/>
        <v>0</v>
      </c>
    </row>
    <row r="5478" ht="15.0" hidden="1" customHeight="1">
      <c r="A5478" s="59">
        <f t="shared" si="20"/>
        <v>88</v>
      </c>
      <c r="B5478" s="59" t="str">
        <f t="shared" si="21"/>
        <v/>
      </c>
      <c r="C5478" s="59" t="str">
        <f t="shared" si="22"/>
        <v/>
      </c>
      <c r="D5478" s="45" t="str">
        <f t="shared" si="23"/>
        <v/>
      </c>
      <c r="E5478" s="45" t="str">
        <f t="shared" si="24"/>
        <v/>
      </c>
      <c r="F5478" s="59" t="str">
        <f t="shared" si="25"/>
        <v/>
      </c>
      <c r="G5478" s="59" t="str">
        <f t="shared" si="26"/>
        <v/>
      </c>
      <c r="H5478" s="59" t="str">
        <f t="shared" si="27"/>
        <v>28C05090</v>
      </c>
      <c r="I5478" s="59" t="str">
        <f>IF(OR($A5478="",$C5478="",$D5478="",$E5478="",$H5478=""),"",SUMIFS(DATA_GOC!$H:$H,DATA_GOC!$A:$A,"BOM",DATA_GOC!$D:$D,$H5478,DATA_GOC!$E:$E,$C5478,DATA_GOC!$F:$F,"Xuất nội bộ từ téc",DATA_GOC!$B:$B,"&gt;="&amp;$D5478,DATA_GOC!$B:$B,"&lt;="&amp;$E5478))</f>
        <v/>
      </c>
      <c r="J5478" s="59">
        <f t="shared" si="28"/>
        <v>0</v>
      </c>
      <c r="K5478" s="59">
        <f t="shared" si="29"/>
        <v>0</v>
      </c>
      <c r="L5478" s="59">
        <f t="shared" si="30"/>
        <v>0</v>
      </c>
      <c r="M5478" s="59">
        <f t="shared" si="31"/>
        <v>0</v>
      </c>
    </row>
    <row r="5479" ht="15.0" hidden="1" customHeight="1">
      <c r="A5479" s="59">
        <f t="shared" si="20"/>
        <v>88</v>
      </c>
      <c r="B5479" s="59" t="str">
        <f t="shared" si="21"/>
        <v/>
      </c>
      <c r="C5479" s="59" t="str">
        <f t="shared" si="22"/>
        <v/>
      </c>
      <c r="D5479" s="45" t="str">
        <f t="shared" si="23"/>
        <v/>
      </c>
      <c r="E5479" s="45" t="str">
        <f t="shared" si="24"/>
        <v/>
      </c>
      <c r="F5479" s="59" t="str">
        <f t="shared" si="25"/>
        <v/>
      </c>
      <c r="G5479" s="59" t="str">
        <f t="shared" si="26"/>
        <v/>
      </c>
      <c r="H5479" s="59" t="str">
        <f t="shared" si="27"/>
        <v>28C05345</v>
      </c>
      <c r="I5479" s="59" t="str">
        <f>IF(OR($A5479="",$C5479="",$D5479="",$E5479="",$H5479=""),"",SUMIFS(DATA_GOC!$H:$H,DATA_GOC!$A:$A,"BOM",DATA_GOC!$D:$D,$H5479,DATA_GOC!$E:$E,$C5479,DATA_GOC!$F:$F,"Xuất nội bộ từ téc",DATA_GOC!$B:$B,"&gt;="&amp;$D5479,DATA_GOC!$B:$B,"&lt;="&amp;$E5479))</f>
        <v/>
      </c>
      <c r="J5479" s="59">
        <f t="shared" si="28"/>
        <v>0</v>
      </c>
      <c r="K5479" s="59">
        <f t="shared" si="29"/>
        <v>0</v>
      </c>
      <c r="L5479" s="59">
        <f t="shared" si="30"/>
        <v>0</v>
      </c>
      <c r="M5479" s="59">
        <f t="shared" si="31"/>
        <v>0</v>
      </c>
    </row>
    <row r="5480" ht="15.0" hidden="1" customHeight="1">
      <c r="A5480" s="59">
        <f t="shared" si="20"/>
        <v>88</v>
      </c>
      <c r="B5480" s="59" t="str">
        <f t="shared" si="21"/>
        <v/>
      </c>
      <c r="C5480" s="59" t="str">
        <f t="shared" si="22"/>
        <v/>
      </c>
      <c r="D5480" s="45" t="str">
        <f t="shared" si="23"/>
        <v/>
      </c>
      <c r="E5480" s="45" t="str">
        <f t="shared" si="24"/>
        <v/>
      </c>
      <c r="F5480" s="59" t="str">
        <f t="shared" si="25"/>
        <v/>
      </c>
      <c r="G5480" s="59" t="str">
        <f t="shared" si="26"/>
        <v/>
      </c>
      <c r="H5480" s="59" t="str">
        <f t="shared" si="27"/>
        <v>28C05661</v>
      </c>
      <c r="I5480" s="59" t="str">
        <f>IF(OR($A5480="",$C5480="",$D5480="",$E5480="",$H5480=""),"",SUMIFS(DATA_GOC!$H:$H,DATA_GOC!$A:$A,"BOM",DATA_GOC!$D:$D,$H5480,DATA_GOC!$E:$E,$C5480,DATA_GOC!$F:$F,"Xuất nội bộ từ téc",DATA_GOC!$B:$B,"&gt;="&amp;$D5480,DATA_GOC!$B:$B,"&lt;="&amp;$E5480))</f>
        <v/>
      </c>
      <c r="J5480" s="59">
        <f t="shared" si="28"/>
        <v>0</v>
      </c>
      <c r="K5480" s="59">
        <f t="shared" si="29"/>
        <v>0</v>
      </c>
      <c r="L5480" s="59">
        <f t="shared" si="30"/>
        <v>0</v>
      </c>
      <c r="M5480" s="59">
        <f t="shared" si="31"/>
        <v>0</v>
      </c>
    </row>
    <row r="5481" ht="15.0" hidden="1" customHeight="1">
      <c r="A5481" s="59">
        <f t="shared" si="20"/>
        <v>88</v>
      </c>
      <c r="B5481" s="59" t="str">
        <f t="shared" si="21"/>
        <v/>
      </c>
      <c r="C5481" s="59" t="str">
        <f t="shared" si="22"/>
        <v/>
      </c>
      <c r="D5481" s="45" t="str">
        <f t="shared" si="23"/>
        <v/>
      </c>
      <c r="E5481" s="45" t="str">
        <f t="shared" si="24"/>
        <v/>
      </c>
      <c r="F5481" s="59" t="str">
        <f t="shared" si="25"/>
        <v/>
      </c>
      <c r="G5481" s="59" t="str">
        <f t="shared" si="26"/>
        <v/>
      </c>
      <c r="H5481" s="59" t="str">
        <f t="shared" si="27"/>
        <v>28C05739</v>
      </c>
      <c r="I5481" s="59" t="str">
        <f>IF(OR($A5481="",$C5481="",$D5481="",$E5481="",$H5481=""),"",SUMIFS(DATA_GOC!$H:$H,DATA_GOC!$A:$A,"BOM",DATA_GOC!$D:$D,$H5481,DATA_GOC!$E:$E,$C5481,DATA_GOC!$F:$F,"Xuất nội bộ từ téc",DATA_GOC!$B:$B,"&gt;="&amp;$D5481,DATA_GOC!$B:$B,"&lt;="&amp;$E5481))</f>
        <v/>
      </c>
      <c r="J5481" s="59">
        <f t="shared" si="28"/>
        <v>0</v>
      </c>
      <c r="K5481" s="59">
        <f t="shared" si="29"/>
        <v>0</v>
      </c>
      <c r="L5481" s="59">
        <f t="shared" si="30"/>
        <v>0</v>
      </c>
      <c r="M5481" s="59">
        <f t="shared" si="31"/>
        <v>0</v>
      </c>
    </row>
    <row r="5482" ht="15.0" hidden="1" customHeight="1">
      <c r="A5482" s="59">
        <f t="shared" si="20"/>
        <v>88</v>
      </c>
      <c r="B5482" s="59" t="str">
        <f t="shared" si="21"/>
        <v/>
      </c>
      <c r="C5482" s="59" t="str">
        <f t="shared" si="22"/>
        <v/>
      </c>
      <c r="D5482" s="45" t="str">
        <f t="shared" si="23"/>
        <v/>
      </c>
      <c r="E5482" s="45" t="str">
        <f t="shared" si="24"/>
        <v/>
      </c>
      <c r="F5482" s="59" t="str">
        <f t="shared" si="25"/>
        <v/>
      </c>
      <c r="G5482" s="59" t="str">
        <f t="shared" si="26"/>
        <v/>
      </c>
      <c r="H5482" s="59" t="str">
        <f t="shared" si="27"/>
        <v>28C06369</v>
      </c>
      <c r="I5482" s="59" t="str">
        <f>IF(OR($A5482="",$C5482="",$D5482="",$E5482="",$H5482=""),"",SUMIFS(DATA_GOC!$H:$H,DATA_GOC!$A:$A,"BOM",DATA_GOC!$D:$D,$H5482,DATA_GOC!$E:$E,$C5482,DATA_GOC!$F:$F,"Xuất nội bộ từ téc",DATA_GOC!$B:$B,"&gt;="&amp;$D5482,DATA_GOC!$B:$B,"&lt;="&amp;$E5482))</f>
        <v/>
      </c>
      <c r="J5482" s="59">
        <f t="shared" si="28"/>
        <v>0</v>
      </c>
      <c r="K5482" s="59">
        <f t="shared" si="29"/>
        <v>0</v>
      </c>
      <c r="L5482" s="59">
        <f t="shared" si="30"/>
        <v>0</v>
      </c>
      <c r="M5482" s="59">
        <f t="shared" si="31"/>
        <v>0</v>
      </c>
    </row>
    <row r="5483" ht="15.0" hidden="1" customHeight="1">
      <c r="A5483" s="59">
        <f t="shared" si="20"/>
        <v>88</v>
      </c>
      <c r="B5483" s="59" t="str">
        <f t="shared" si="21"/>
        <v/>
      </c>
      <c r="C5483" s="59" t="str">
        <f t="shared" si="22"/>
        <v/>
      </c>
      <c r="D5483" s="45" t="str">
        <f t="shared" si="23"/>
        <v/>
      </c>
      <c r="E5483" s="45" t="str">
        <f t="shared" si="24"/>
        <v/>
      </c>
      <c r="F5483" s="59" t="str">
        <f t="shared" si="25"/>
        <v/>
      </c>
      <c r="G5483" s="59" t="str">
        <f t="shared" si="26"/>
        <v/>
      </c>
      <c r="H5483" s="59" t="str">
        <f t="shared" si="27"/>
        <v>28C06447</v>
      </c>
      <c r="I5483" s="59" t="str">
        <f>IF(OR($A5483="",$C5483="",$D5483="",$E5483="",$H5483=""),"",SUMIFS(DATA_GOC!$H:$H,DATA_GOC!$A:$A,"BOM",DATA_GOC!$D:$D,$H5483,DATA_GOC!$E:$E,$C5483,DATA_GOC!$F:$F,"Xuất nội bộ từ téc",DATA_GOC!$B:$B,"&gt;="&amp;$D5483,DATA_GOC!$B:$B,"&lt;="&amp;$E5483))</f>
        <v/>
      </c>
      <c r="J5483" s="59">
        <f t="shared" si="28"/>
        <v>0</v>
      </c>
      <c r="K5483" s="59">
        <f t="shared" si="29"/>
        <v>0</v>
      </c>
      <c r="L5483" s="59">
        <f t="shared" si="30"/>
        <v>0</v>
      </c>
      <c r="M5483" s="59">
        <f t="shared" si="31"/>
        <v>0</v>
      </c>
    </row>
    <row r="5484" ht="15.0" hidden="1" customHeight="1">
      <c r="A5484" s="59">
        <f t="shared" si="20"/>
        <v>88</v>
      </c>
      <c r="B5484" s="59" t="str">
        <f t="shared" si="21"/>
        <v/>
      </c>
      <c r="C5484" s="59" t="str">
        <f t="shared" si="22"/>
        <v/>
      </c>
      <c r="D5484" s="45" t="str">
        <f t="shared" si="23"/>
        <v/>
      </c>
      <c r="E5484" s="45" t="str">
        <f t="shared" si="24"/>
        <v/>
      </c>
      <c r="F5484" s="59" t="str">
        <f t="shared" si="25"/>
        <v/>
      </c>
      <c r="G5484" s="59" t="str">
        <f t="shared" si="26"/>
        <v/>
      </c>
      <c r="H5484" s="59" t="str">
        <f t="shared" si="27"/>
        <v>28H00003</v>
      </c>
      <c r="I5484" s="59" t="str">
        <f>IF(OR($A5484="",$C5484="",$D5484="",$E5484="",$H5484=""),"",SUMIFS(DATA_GOC!$H:$H,DATA_GOC!$A:$A,"BOM",DATA_GOC!$D:$D,$H5484,DATA_GOC!$E:$E,$C5484,DATA_GOC!$F:$F,"Xuất nội bộ từ téc",DATA_GOC!$B:$B,"&gt;="&amp;$D5484,DATA_GOC!$B:$B,"&lt;="&amp;$E5484))</f>
        <v/>
      </c>
      <c r="J5484" s="59">
        <f t="shared" si="28"/>
        <v>0</v>
      </c>
      <c r="K5484" s="59">
        <f t="shared" si="29"/>
        <v>0</v>
      </c>
      <c r="L5484" s="59">
        <f t="shared" si="30"/>
        <v>0</v>
      </c>
      <c r="M5484" s="59">
        <f t="shared" si="31"/>
        <v>0</v>
      </c>
    </row>
    <row r="5485" ht="15.0" hidden="1" customHeight="1">
      <c r="A5485" s="59">
        <f t="shared" si="20"/>
        <v>88</v>
      </c>
      <c r="B5485" s="59" t="str">
        <f t="shared" si="21"/>
        <v/>
      </c>
      <c r="C5485" s="59" t="str">
        <f t="shared" si="22"/>
        <v/>
      </c>
      <c r="D5485" s="45" t="str">
        <f t="shared" si="23"/>
        <v/>
      </c>
      <c r="E5485" s="45" t="str">
        <f t="shared" si="24"/>
        <v/>
      </c>
      <c r="F5485" s="59" t="str">
        <f t="shared" si="25"/>
        <v/>
      </c>
      <c r="G5485" s="59" t="str">
        <f t="shared" si="26"/>
        <v/>
      </c>
      <c r="H5485" s="59" t="str">
        <f t="shared" si="27"/>
        <v>28H00061</v>
      </c>
      <c r="I5485" s="59" t="str">
        <f>IF(OR($A5485="",$C5485="",$D5485="",$E5485="",$H5485=""),"",SUMIFS(DATA_GOC!$H:$H,DATA_GOC!$A:$A,"BOM",DATA_GOC!$D:$D,$H5485,DATA_GOC!$E:$E,$C5485,DATA_GOC!$F:$F,"Xuất nội bộ từ téc",DATA_GOC!$B:$B,"&gt;="&amp;$D5485,DATA_GOC!$B:$B,"&lt;="&amp;$E5485))</f>
        <v/>
      </c>
      <c r="J5485" s="59">
        <f t="shared" si="28"/>
        <v>0</v>
      </c>
      <c r="K5485" s="59">
        <f t="shared" si="29"/>
        <v>0</v>
      </c>
      <c r="L5485" s="59">
        <f t="shared" si="30"/>
        <v>0</v>
      </c>
      <c r="M5485" s="59">
        <f t="shared" si="31"/>
        <v>0</v>
      </c>
    </row>
    <row r="5486" ht="15.0" hidden="1" customHeight="1">
      <c r="A5486" s="59">
        <f t="shared" si="20"/>
        <v>88</v>
      </c>
      <c r="B5486" s="59" t="str">
        <f t="shared" si="21"/>
        <v/>
      </c>
      <c r="C5486" s="59" t="str">
        <f t="shared" si="22"/>
        <v/>
      </c>
      <c r="D5486" s="45" t="str">
        <f t="shared" si="23"/>
        <v/>
      </c>
      <c r="E5486" s="45" t="str">
        <f t="shared" si="24"/>
        <v/>
      </c>
      <c r="F5486" s="59" t="str">
        <f t="shared" si="25"/>
        <v/>
      </c>
      <c r="G5486" s="59" t="str">
        <f t="shared" si="26"/>
        <v/>
      </c>
      <c r="H5486" s="59" t="str">
        <f t="shared" si="27"/>
        <v>28H00354</v>
      </c>
      <c r="I5486" s="59" t="str">
        <f>IF(OR($A5486="",$C5486="",$D5486="",$E5486="",$H5486=""),"",SUMIFS(DATA_GOC!$H:$H,DATA_GOC!$A:$A,"BOM",DATA_GOC!$D:$D,$H5486,DATA_GOC!$E:$E,$C5486,DATA_GOC!$F:$F,"Xuất nội bộ từ téc",DATA_GOC!$B:$B,"&gt;="&amp;$D5486,DATA_GOC!$B:$B,"&lt;="&amp;$E5486))</f>
        <v/>
      </c>
      <c r="J5486" s="59">
        <f t="shared" si="28"/>
        <v>0</v>
      </c>
      <c r="K5486" s="59">
        <f t="shared" si="29"/>
        <v>0</v>
      </c>
      <c r="L5486" s="59">
        <f t="shared" si="30"/>
        <v>0</v>
      </c>
      <c r="M5486" s="59">
        <f t="shared" si="31"/>
        <v>0</v>
      </c>
    </row>
    <row r="5487" ht="15.0" hidden="1" customHeight="1">
      <c r="A5487" s="59">
        <f t="shared" si="20"/>
        <v>88</v>
      </c>
      <c r="B5487" s="59" t="str">
        <f t="shared" si="21"/>
        <v/>
      </c>
      <c r="C5487" s="59" t="str">
        <f t="shared" si="22"/>
        <v/>
      </c>
      <c r="D5487" s="45" t="str">
        <f t="shared" si="23"/>
        <v/>
      </c>
      <c r="E5487" s="45" t="str">
        <f t="shared" si="24"/>
        <v/>
      </c>
      <c r="F5487" s="59" t="str">
        <f t="shared" si="25"/>
        <v/>
      </c>
      <c r="G5487" s="59" t="str">
        <f t="shared" si="26"/>
        <v/>
      </c>
      <c r="H5487" s="59" t="str">
        <f t="shared" si="27"/>
        <v>28H00603</v>
      </c>
      <c r="I5487" s="59" t="str">
        <f>IF(OR($A5487="",$C5487="",$D5487="",$E5487="",$H5487=""),"",SUMIFS(DATA_GOC!$H:$H,DATA_GOC!$A:$A,"BOM",DATA_GOC!$D:$D,$H5487,DATA_GOC!$E:$E,$C5487,DATA_GOC!$F:$F,"Xuất nội bộ từ téc",DATA_GOC!$B:$B,"&gt;="&amp;$D5487,DATA_GOC!$B:$B,"&lt;="&amp;$E5487))</f>
        <v/>
      </c>
      <c r="J5487" s="59">
        <f t="shared" si="28"/>
        <v>0</v>
      </c>
      <c r="K5487" s="59">
        <f t="shared" si="29"/>
        <v>0</v>
      </c>
      <c r="L5487" s="59">
        <f t="shared" si="30"/>
        <v>0</v>
      </c>
      <c r="M5487" s="59">
        <f t="shared" si="31"/>
        <v>0</v>
      </c>
    </row>
    <row r="5488" ht="15.0" hidden="1" customHeight="1">
      <c r="A5488" s="59">
        <f t="shared" si="20"/>
        <v>88</v>
      </c>
      <c r="B5488" s="59" t="str">
        <f t="shared" si="21"/>
        <v/>
      </c>
      <c r="C5488" s="59" t="str">
        <f t="shared" si="22"/>
        <v/>
      </c>
      <c r="D5488" s="45" t="str">
        <f t="shared" si="23"/>
        <v/>
      </c>
      <c r="E5488" s="45" t="str">
        <f t="shared" si="24"/>
        <v/>
      </c>
      <c r="F5488" s="59" t="str">
        <f t="shared" si="25"/>
        <v/>
      </c>
      <c r="G5488" s="59" t="str">
        <f t="shared" si="26"/>
        <v/>
      </c>
      <c r="H5488" s="59" t="str">
        <f t="shared" si="27"/>
        <v>28H00609</v>
      </c>
      <c r="I5488" s="59" t="str">
        <f>IF(OR($A5488="",$C5488="",$D5488="",$E5488="",$H5488=""),"",SUMIFS(DATA_GOC!$H:$H,DATA_GOC!$A:$A,"BOM",DATA_GOC!$D:$D,$H5488,DATA_GOC!$E:$E,$C5488,DATA_GOC!$F:$F,"Xuất nội bộ từ téc",DATA_GOC!$B:$B,"&gt;="&amp;$D5488,DATA_GOC!$B:$B,"&lt;="&amp;$E5488))</f>
        <v/>
      </c>
      <c r="J5488" s="59">
        <f t="shared" si="28"/>
        <v>0</v>
      </c>
      <c r="K5488" s="59">
        <f t="shared" si="29"/>
        <v>0</v>
      </c>
      <c r="L5488" s="59">
        <f t="shared" si="30"/>
        <v>0</v>
      </c>
      <c r="M5488" s="59">
        <f t="shared" si="31"/>
        <v>0</v>
      </c>
    </row>
    <row r="5489" ht="15.0" hidden="1" customHeight="1">
      <c r="A5489" s="59">
        <f t="shared" si="20"/>
        <v>88</v>
      </c>
      <c r="B5489" s="59" t="str">
        <f t="shared" si="21"/>
        <v/>
      </c>
      <c r="C5489" s="59" t="str">
        <f t="shared" si="22"/>
        <v/>
      </c>
      <c r="D5489" s="45" t="str">
        <f t="shared" si="23"/>
        <v/>
      </c>
      <c r="E5489" s="45" t="str">
        <f t="shared" si="24"/>
        <v/>
      </c>
      <c r="F5489" s="59" t="str">
        <f t="shared" si="25"/>
        <v/>
      </c>
      <c r="G5489" s="59" t="str">
        <f t="shared" si="26"/>
        <v/>
      </c>
      <c r="H5489" s="59" t="str">
        <f t="shared" si="27"/>
        <v>28H00669</v>
      </c>
      <c r="I5489" s="59" t="str">
        <f>IF(OR($A5489="",$C5489="",$D5489="",$E5489="",$H5489=""),"",SUMIFS(DATA_GOC!$H:$H,DATA_GOC!$A:$A,"BOM",DATA_GOC!$D:$D,$H5489,DATA_GOC!$E:$E,$C5489,DATA_GOC!$F:$F,"Xuất nội bộ từ téc",DATA_GOC!$B:$B,"&gt;="&amp;$D5489,DATA_GOC!$B:$B,"&lt;="&amp;$E5489))</f>
        <v/>
      </c>
      <c r="J5489" s="59">
        <f t="shared" si="28"/>
        <v>0</v>
      </c>
      <c r="K5489" s="59">
        <f t="shared" si="29"/>
        <v>0</v>
      </c>
      <c r="L5489" s="59">
        <f t="shared" si="30"/>
        <v>0</v>
      </c>
      <c r="M5489" s="59">
        <f t="shared" si="31"/>
        <v>0</v>
      </c>
    </row>
    <row r="5490" ht="15.0" hidden="1" customHeight="1">
      <c r="A5490" s="59">
        <f t="shared" si="20"/>
        <v>88</v>
      </c>
      <c r="B5490" s="59" t="str">
        <f t="shared" si="21"/>
        <v/>
      </c>
      <c r="C5490" s="59" t="str">
        <f t="shared" si="22"/>
        <v/>
      </c>
      <c r="D5490" s="45" t="str">
        <f t="shared" si="23"/>
        <v/>
      </c>
      <c r="E5490" s="45" t="str">
        <f t="shared" si="24"/>
        <v/>
      </c>
      <c r="F5490" s="59" t="str">
        <f t="shared" si="25"/>
        <v/>
      </c>
      <c r="G5490" s="59" t="str">
        <f t="shared" si="26"/>
        <v/>
      </c>
      <c r="H5490" s="59" t="str">
        <f t="shared" si="27"/>
        <v>28H00680</v>
      </c>
      <c r="I5490" s="59" t="str">
        <f>IF(OR($A5490="",$C5490="",$D5490="",$E5490="",$H5490=""),"",SUMIFS(DATA_GOC!$H:$H,DATA_GOC!$A:$A,"BOM",DATA_GOC!$D:$D,$H5490,DATA_GOC!$E:$E,$C5490,DATA_GOC!$F:$F,"Xuất nội bộ từ téc",DATA_GOC!$B:$B,"&gt;="&amp;$D5490,DATA_GOC!$B:$B,"&lt;="&amp;$E5490))</f>
        <v/>
      </c>
      <c r="J5490" s="59">
        <f t="shared" si="28"/>
        <v>0</v>
      </c>
      <c r="K5490" s="59">
        <f t="shared" si="29"/>
        <v>0</v>
      </c>
      <c r="L5490" s="59">
        <f t="shared" si="30"/>
        <v>0</v>
      </c>
      <c r="M5490" s="59">
        <f t="shared" si="31"/>
        <v>0</v>
      </c>
    </row>
    <row r="5491" ht="15.0" hidden="1" customHeight="1">
      <c r="A5491" s="59">
        <f t="shared" si="20"/>
        <v>88</v>
      </c>
      <c r="B5491" s="59" t="str">
        <f t="shared" si="21"/>
        <v/>
      </c>
      <c r="C5491" s="59" t="str">
        <f t="shared" si="22"/>
        <v/>
      </c>
      <c r="D5491" s="45" t="str">
        <f t="shared" si="23"/>
        <v/>
      </c>
      <c r="E5491" s="45" t="str">
        <f t="shared" si="24"/>
        <v/>
      </c>
      <c r="F5491" s="59" t="str">
        <f t="shared" si="25"/>
        <v/>
      </c>
      <c r="G5491" s="59" t="str">
        <f t="shared" si="26"/>
        <v/>
      </c>
      <c r="H5491" s="59" t="str">
        <f t="shared" si="27"/>
        <v>28H01070</v>
      </c>
      <c r="I5491" s="59" t="str">
        <f>IF(OR($A5491="",$C5491="",$D5491="",$E5491="",$H5491=""),"",SUMIFS(DATA_GOC!$H:$H,DATA_GOC!$A:$A,"BOM",DATA_GOC!$D:$D,$H5491,DATA_GOC!$E:$E,$C5491,DATA_GOC!$F:$F,"Xuất nội bộ từ téc",DATA_GOC!$B:$B,"&gt;="&amp;$D5491,DATA_GOC!$B:$B,"&lt;="&amp;$E5491))</f>
        <v/>
      </c>
      <c r="J5491" s="59">
        <f t="shared" si="28"/>
        <v>0</v>
      </c>
      <c r="K5491" s="59">
        <f t="shared" si="29"/>
        <v>0</v>
      </c>
      <c r="L5491" s="59">
        <f t="shared" si="30"/>
        <v>0</v>
      </c>
      <c r="M5491" s="59">
        <f t="shared" si="31"/>
        <v>0</v>
      </c>
    </row>
    <row r="5492" ht="15.0" hidden="1" customHeight="1">
      <c r="A5492" s="59">
        <f t="shared" si="20"/>
        <v>88</v>
      </c>
      <c r="B5492" s="59" t="str">
        <f t="shared" si="21"/>
        <v/>
      </c>
      <c r="C5492" s="59" t="str">
        <f t="shared" si="22"/>
        <v/>
      </c>
      <c r="D5492" s="45" t="str">
        <f t="shared" si="23"/>
        <v/>
      </c>
      <c r="E5492" s="45" t="str">
        <f t="shared" si="24"/>
        <v/>
      </c>
      <c r="F5492" s="59" t="str">
        <f t="shared" si="25"/>
        <v/>
      </c>
      <c r="G5492" s="59" t="str">
        <f t="shared" si="26"/>
        <v/>
      </c>
      <c r="H5492" s="59" t="str">
        <f t="shared" si="27"/>
        <v>28H01364</v>
      </c>
      <c r="I5492" s="59" t="str">
        <f>IF(OR($A5492="",$C5492="",$D5492="",$E5492="",$H5492=""),"",SUMIFS(DATA_GOC!$H:$H,DATA_GOC!$A:$A,"BOM",DATA_GOC!$D:$D,$H5492,DATA_GOC!$E:$E,$C5492,DATA_GOC!$F:$F,"Xuất nội bộ từ téc",DATA_GOC!$B:$B,"&gt;="&amp;$D5492,DATA_GOC!$B:$B,"&lt;="&amp;$E5492))</f>
        <v/>
      </c>
      <c r="J5492" s="59">
        <f t="shared" si="28"/>
        <v>0</v>
      </c>
      <c r="K5492" s="59">
        <f t="shared" si="29"/>
        <v>0</v>
      </c>
      <c r="L5492" s="59">
        <f t="shared" si="30"/>
        <v>0</v>
      </c>
      <c r="M5492" s="59">
        <f t="shared" si="31"/>
        <v>0</v>
      </c>
    </row>
    <row r="5493" ht="15.0" hidden="1" customHeight="1">
      <c r="A5493" s="59">
        <f t="shared" si="20"/>
        <v>88</v>
      </c>
      <c r="B5493" s="59" t="str">
        <f t="shared" si="21"/>
        <v/>
      </c>
      <c r="C5493" s="59" t="str">
        <f t="shared" si="22"/>
        <v/>
      </c>
      <c r="D5493" s="45" t="str">
        <f t="shared" si="23"/>
        <v/>
      </c>
      <c r="E5493" s="45" t="str">
        <f t="shared" si="24"/>
        <v/>
      </c>
      <c r="F5493" s="59" t="str">
        <f t="shared" si="25"/>
        <v/>
      </c>
      <c r="G5493" s="59" t="str">
        <f t="shared" si="26"/>
        <v/>
      </c>
      <c r="H5493" s="59" t="str">
        <f t="shared" si="27"/>
        <v>29E17269</v>
      </c>
      <c r="I5493" s="59" t="str">
        <f>IF(OR($A5493="",$C5493="",$D5493="",$E5493="",$H5493=""),"",SUMIFS(DATA_GOC!$H:$H,DATA_GOC!$A:$A,"BOM",DATA_GOC!$D:$D,$H5493,DATA_GOC!$E:$E,$C5493,DATA_GOC!$F:$F,"Xuất nội bộ từ téc",DATA_GOC!$B:$B,"&gt;="&amp;$D5493,DATA_GOC!$B:$B,"&lt;="&amp;$E5493))</f>
        <v/>
      </c>
      <c r="J5493" s="59">
        <f t="shared" si="28"/>
        <v>0</v>
      </c>
      <c r="K5493" s="59">
        <f t="shared" si="29"/>
        <v>0</v>
      </c>
      <c r="L5493" s="59">
        <f t="shared" si="30"/>
        <v>0</v>
      </c>
      <c r="M5493" s="59">
        <f t="shared" si="31"/>
        <v>0</v>
      </c>
    </row>
    <row r="5494" ht="15.0" hidden="1" customHeight="1">
      <c r="A5494" s="59">
        <f t="shared" si="20"/>
        <v>88</v>
      </c>
      <c r="B5494" s="59" t="str">
        <f t="shared" si="21"/>
        <v/>
      </c>
      <c r="C5494" s="59" t="str">
        <f t="shared" si="22"/>
        <v/>
      </c>
      <c r="D5494" s="45" t="str">
        <f t="shared" si="23"/>
        <v/>
      </c>
      <c r="E5494" s="45" t="str">
        <f t="shared" si="24"/>
        <v/>
      </c>
      <c r="F5494" s="59" t="str">
        <f t="shared" si="25"/>
        <v/>
      </c>
      <c r="G5494" s="59" t="str">
        <f t="shared" si="26"/>
        <v/>
      </c>
      <c r="H5494" s="59" t="str">
        <f t="shared" si="27"/>
        <v>29E17273</v>
      </c>
      <c r="I5494" s="59" t="str">
        <f>IF(OR($A5494="",$C5494="",$D5494="",$E5494="",$H5494=""),"",SUMIFS(DATA_GOC!$H:$H,DATA_GOC!$A:$A,"BOM",DATA_GOC!$D:$D,$H5494,DATA_GOC!$E:$E,$C5494,DATA_GOC!$F:$F,"Xuất nội bộ từ téc",DATA_GOC!$B:$B,"&gt;="&amp;$D5494,DATA_GOC!$B:$B,"&lt;="&amp;$E5494))</f>
        <v/>
      </c>
      <c r="J5494" s="59">
        <f t="shared" si="28"/>
        <v>0</v>
      </c>
      <c r="K5494" s="59">
        <f t="shared" si="29"/>
        <v>0</v>
      </c>
      <c r="L5494" s="59">
        <f t="shared" si="30"/>
        <v>0</v>
      </c>
      <c r="M5494" s="59">
        <f t="shared" si="31"/>
        <v>0</v>
      </c>
    </row>
    <row r="5495" ht="15.0" hidden="1" customHeight="1">
      <c r="A5495" s="59">
        <f t="shared" si="20"/>
        <v>88</v>
      </c>
      <c r="B5495" s="59" t="str">
        <f t="shared" si="21"/>
        <v/>
      </c>
      <c r="C5495" s="59" t="str">
        <f t="shared" si="22"/>
        <v/>
      </c>
      <c r="D5495" s="45" t="str">
        <f t="shared" si="23"/>
        <v/>
      </c>
      <c r="E5495" s="45" t="str">
        <f t="shared" si="24"/>
        <v/>
      </c>
      <c r="F5495" s="59" t="str">
        <f t="shared" si="25"/>
        <v/>
      </c>
      <c r="G5495" s="59" t="str">
        <f t="shared" si="26"/>
        <v/>
      </c>
      <c r="H5495" s="59" t="str">
        <f t="shared" si="27"/>
        <v>29E17410</v>
      </c>
      <c r="I5495" s="59" t="str">
        <f>IF(OR($A5495="",$C5495="",$D5495="",$E5495="",$H5495=""),"",SUMIFS(DATA_GOC!$H:$H,DATA_GOC!$A:$A,"BOM",DATA_GOC!$D:$D,$H5495,DATA_GOC!$E:$E,$C5495,DATA_GOC!$F:$F,"Xuất nội bộ từ téc",DATA_GOC!$B:$B,"&gt;="&amp;$D5495,DATA_GOC!$B:$B,"&lt;="&amp;$E5495))</f>
        <v/>
      </c>
      <c r="J5495" s="59">
        <f t="shared" si="28"/>
        <v>0</v>
      </c>
      <c r="K5495" s="59">
        <f t="shared" si="29"/>
        <v>0</v>
      </c>
      <c r="L5495" s="59">
        <f t="shared" si="30"/>
        <v>0</v>
      </c>
      <c r="M5495" s="59">
        <f t="shared" si="31"/>
        <v>0</v>
      </c>
    </row>
    <row r="5496" ht="15.0" hidden="1" customHeight="1">
      <c r="A5496" s="59">
        <f t="shared" si="20"/>
        <v>88</v>
      </c>
      <c r="B5496" s="59" t="str">
        <f t="shared" si="21"/>
        <v/>
      </c>
      <c r="C5496" s="59" t="str">
        <f t="shared" si="22"/>
        <v/>
      </c>
      <c r="D5496" s="45" t="str">
        <f t="shared" si="23"/>
        <v/>
      </c>
      <c r="E5496" s="45" t="str">
        <f t="shared" si="24"/>
        <v/>
      </c>
      <c r="F5496" s="59" t="str">
        <f t="shared" si="25"/>
        <v/>
      </c>
      <c r="G5496" s="59" t="str">
        <f t="shared" si="26"/>
        <v/>
      </c>
      <c r="H5496" s="59" t="str">
        <f t="shared" si="27"/>
        <v>29E17417</v>
      </c>
      <c r="I5496" s="59" t="str">
        <f>IF(OR($A5496="",$C5496="",$D5496="",$E5496="",$H5496=""),"",SUMIFS(DATA_GOC!$H:$H,DATA_GOC!$A:$A,"BOM",DATA_GOC!$D:$D,$H5496,DATA_GOC!$E:$E,$C5496,DATA_GOC!$F:$F,"Xuất nội bộ từ téc",DATA_GOC!$B:$B,"&gt;="&amp;$D5496,DATA_GOC!$B:$B,"&lt;="&amp;$E5496))</f>
        <v/>
      </c>
      <c r="J5496" s="59">
        <f t="shared" si="28"/>
        <v>0</v>
      </c>
      <c r="K5496" s="59">
        <f t="shared" si="29"/>
        <v>0</v>
      </c>
      <c r="L5496" s="59">
        <f t="shared" si="30"/>
        <v>0</v>
      </c>
      <c r="M5496" s="59">
        <f t="shared" si="31"/>
        <v>0</v>
      </c>
    </row>
    <row r="5497" ht="15.0" hidden="1" customHeight="1">
      <c r="A5497" s="59">
        <f t="shared" si="20"/>
        <v>88</v>
      </c>
      <c r="B5497" s="59" t="str">
        <f t="shared" si="21"/>
        <v/>
      </c>
      <c r="C5497" s="59" t="str">
        <f t="shared" si="22"/>
        <v/>
      </c>
      <c r="D5497" s="45" t="str">
        <f t="shared" si="23"/>
        <v/>
      </c>
      <c r="E5497" s="45" t="str">
        <f t="shared" si="24"/>
        <v/>
      </c>
      <c r="F5497" s="59" t="str">
        <f t="shared" si="25"/>
        <v/>
      </c>
      <c r="G5497" s="59" t="str">
        <f t="shared" si="26"/>
        <v/>
      </c>
      <c r="H5497" s="59" t="str">
        <f t="shared" si="27"/>
        <v>29E17539</v>
      </c>
      <c r="I5497" s="59" t="str">
        <f>IF(OR($A5497="",$C5497="",$D5497="",$E5497="",$H5497=""),"",SUMIFS(DATA_GOC!$H:$H,DATA_GOC!$A:$A,"BOM",DATA_GOC!$D:$D,$H5497,DATA_GOC!$E:$E,$C5497,DATA_GOC!$F:$F,"Xuất nội bộ từ téc",DATA_GOC!$B:$B,"&gt;="&amp;$D5497,DATA_GOC!$B:$B,"&lt;="&amp;$E5497))</f>
        <v/>
      </c>
      <c r="J5497" s="59">
        <f t="shared" si="28"/>
        <v>0</v>
      </c>
      <c r="K5497" s="59">
        <f t="shared" si="29"/>
        <v>0</v>
      </c>
      <c r="L5497" s="59">
        <f t="shared" si="30"/>
        <v>0</v>
      </c>
      <c r="M5497" s="59">
        <f t="shared" si="31"/>
        <v>0</v>
      </c>
    </row>
    <row r="5498" ht="15.0" hidden="1" customHeight="1">
      <c r="A5498" s="59">
        <f t="shared" si="20"/>
        <v>88</v>
      </c>
      <c r="B5498" s="59" t="str">
        <f t="shared" si="21"/>
        <v/>
      </c>
      <c r="C5498" s="59" t="str">
        <f t="shared" si="22"/>
        <v/>
      </c>
      <c r="D5498" s="45" t="str">
        <f t="shared" si="23"/>
        <v/>
      </c>
      <c r="E5498" s="45" t="str">
        <f t="shared" si="24"/>
        <v/>
      </c>
      <c r="F5498" s="59" t="str">
        <f t="shared" si="25"/>
        <v/>
      </c>
      <c r="G5498" s="59" t="str">
        <f t="shared" si="26"/>
        <v/>
      </c>
      <c r="H5498" s="59" t="str">
        <f t="shared" si="27"/>
        <v>29E18160</v>
      </c>
      <c r="I5498" s="59" t="str">
        <f>IF(OR($A5498="",$C5498="",$D5498="",$E5498="",$H5498=""),"",SUMIFS(DATA_GOC!$H:$H,DATA_GOC!$A:$A,"BOM",DATA_GOC!$D:$D,$H5498,DATA_GOC!$E:$E,$C5498,DATA_GOC!$F:$F,"Xuất nội bộ từ téc",DATA_GOC!$B:$B,"&gt;="&amp;$D5498,DATA_GOC!$B:$B,"&lt;="&amp;$E5498))</f>
        <v/>
      </c>
      <c r="J5498" s="59">
        <f t="shared" si="28"/>
        <v>0</v>
      </c>
      <c r="K5498" s="59">
        <f t="shared" si="29"/>
        <v>0</v>
      </c>
      <c r="L5498" s="59">
        <f t="shared" si="30"/>
        <v>0</v>
      </c>
      <c r="M5498" s="59">
        <f t="shared" si="31"/>
        <v>0</v>
      </c>
    </row>
    <row r="5499" ht="15.0" hidden="1" customHeight="1">
      <c r="A5499" s="59">
        <f t="shared" si="20"/>
        <v>88</v>
      </c>
      <c r="B5499" s="59" t="str">
        <f t="shared" si="21"/>
        <v/>
      </c>
      <c r="C5499" s="59" t="str">
        <f t="shared" si="22"/>
        <v/>
      </c>
      <c r="D5499" s="45" t="str">
        <f t="shared" si="23"/>
        <v/>
      </c>
      <c r="E5499" s="45" t="str">
        <f t="shared" si="24"/>
        <v/>
      </c>
      <c r="F5499" s="59" t="str">
        <f t="shared" si="25"/>
        <v/>
      </c>
      <c r="G5499" s="59" t="str">
        <f t="shared" si="26"/>
        <v/>
      </c>
      <c r="H5499" s="59" t="str">
        <f t="shared" si="27"/>
        <v>Công trình Asphalt</v>
      </c>
      <c r="I5499" s="59" t="str">
        <f>IF(OR($A5499="",$C5499="",$D5499="",$E5499="",$H5499=""),"",SUMIFS(DATA_GOC!$H:$H,DATA_GOC!$A:$A,"BOM",DATA_GOC!$D:$D,$H5499,DATA_GOC!$E:$E,$C5499,DATA_GOC!$F:$F,"Xuất nội bộ từ téc",DATA_GOC!$B:$B,"&gt;="&amp;$D5499,DATA_GOC!$B:$B,"&lt;="&amp;$E5499))</f>
        <v/>
      </c>
      <c r="J5499" s="59">
        <f t="shared" si="28"/>
        <v>0</v>
      </c>
      <c r="K5499" s="59">
        <f t="shared" si="29"/>
        <v>0</v>
      </c>
      <c r="L5499" s="59">
        <f t="shared" si="30"/>
        <v>0</v>
      </c>
      <c r="M5499" s="59">
        <f t="shared" si="31"/>
        <v>0</v>
      </c>
    </row>
    <row r="5500" ht="15.0" hidden="1" customHeight="1">
      <c r="A5500" s="59">
        <f t="shared" si="20"/>
        <v>88</v>
      </c>
      <c r="B5500" s="59" t="str">
        <f t="shared" si="21"/>
        <v/>
      </c>
      <c r="C5500" s="59" t="str">
        <f t="shared" si="22"/>
        <v/>
      </c>
      <c r="D5500" s="45" t="str">
        <f t="shared" si="23"/>
        <v/>
      </c>
      <c r="E5500" s="45" t="str">
        <f t="shared" si="24"/>
        <v/>
      </c>
      <c r="F5500" s="59" t="str">
        <f t="shared" si="25"/>
        <v/>
      </c>
      <c r="G5500" s="59" t="str">
        <f t="shared" si="26"/>
        <v/>
      </c>
      <c r="H5500" s="59" t="str">
        <f t="shared" si="27"/>
        <v>LG53F</v>
      </c>
      <c r="I5500" s="59" t="str">
        <f>IF(OR($A5500="",$C5500="",$D5500="",$E5500="",$H5500=""),"",SUMIFS(DATA_GOC!$H:$H,DATA_GOC!$A:$A,"BOM",DATA_GOC!$D:$D,$H5500,DATA_GOC!$E:$E,$C5500,DATA_GOC!$F:$F,"Xuất nội bộ từ téc",DATA_GOC!$B:$B,"&gt;="&amp;$D5500,DATA_GOC!$B:$B,"&lt;="&amp;$E5500))</f>
        <v/>
      </c>
      <c r="J5500" s="59">
        <f t="shared" si="28"/>
        <v>0</v>
      </c>
      <c r="K5500" s="59">
        <f t="shared" si="29"/>
        <v>0</v>
      </c>
      <c r="L5500" s="59">
        <f t="shared" si="30"/>
        <v>0</v>
      </c>
      <c r="M5500" s="59">
        <f t="shared" si="31"/>
        <v>0</v>
      </c>
    </row>
    <row r="5501" ht="15.0" hidden="1" customHeight="1">
      <c r="A5501" s="59">
        <f t="shared" si="20"/>
        <v>88</v>
      </c>
      <c r="B5501" s="59" t="str">
        <f t="shared" si="21"/>
        <v/>
      </c>
      <c r="C5501" s="59" t="str">
        <f t="shared" si="22"/>
        <v/>
      </c>
      <c r="D5501" s="45" t="str">
        <f t="shared" si="23"/>
        <v/>
      </c>
      <c r="E5501" s="45" t="str">
        <f t="shared" si="24"/>
        <v/>
      </c>
      <c r="F5501" s="59" t="str">
        <f t="shared" si="25"/>
        <v/>
      </c>
      <c r="G5501" s="59" t="str">
        <f t="shared" si="26"/>
        <v/>
      </c>
      <c r="H5501" s="59" t="str">
        <f t="shared" si="27"/>
        <v>Máy phát điện</v>
      </c>
      <c r="I5501" s="59" t="str">
        <f>IF(OR($A5501="",$C5501="",$D5501="",$E5501="",$H5501=""),"",SUMIFS(DATA_GOC!$H:$H,DATA_GOC!$A:$A,"BOM",DATA_GOC!$D:$D,$H5501,DATA_GOC!$E:$E,$C5501,DATA_GOC!$F:$F,"Xuất nội bộ từ téc",DATA_GOC!$B:$B,"&gt;="&amp;$D5501,DATA_GOC!$B:$B,"&lt;="&amp;$E5501))</f>
        <v/>
      </c>
      <c r="J5501" s="59">
        <f t="shared" si="28"/>
        <v>0</v>
      </c>
      <c r="K5501" s="59">
        <f t="shared" si="29"/>
        <v>0</v>
      </c>
      <c r="L5501" s="59">
        <f t="shared" si="30"/>
        <v>0</v>
      </c>
      <c r="M5501" s="59">
        <f t="shared" si="31"/>
        <v>0</v>
      </c>
    </row>
    <row r="5502" ht="15.0" hidden="1" customHeight="1">
      <c r="A5502" s="59">
        <f t="shared" si="20"/>
        <v>88</v>
      </c>
      <c r="B5502" s="59" t="str">
        <f t="shared" si="21"/>
        <v/>
      </c>
      <c r="C5502" s="59" t="str">
        <f t="shared" si="22"/>
        <v/>
      </c>
      <c r="D5502" s="45" t="str">
        <f t="shared" si="23"/>
        <v/>
      </c>
      <c r="E5502" s="45" t="str">
        <f t="shared" si="24"/>
        <v/>
      </c>
      <c r="F5502" s="59" t="str">
        <f t="shared" si="25"/>
        <v/>
      </c>
      <c r="G5502" s="59" t="str">
        <f t="shared" si="26"/>
        <v/>
      </c>
      <c r="H5502" s="59" t="str">
        <f t="shared" si="27"/>
        <v>Máy rải thảm</v>
      </c>
      <c r="I5502" s="59" t="str">
        <f>IF(OR($A5502="",$C5502="",$D5502="",$E5502="",$H5502=""),"",SUMIFS(DATA_GOC!$H:$H,DATA_GOC!$A:$A,"BOM",DATA_GOC!$D:$D,$H5502,DATA_GOC!$E:$E,$C5502,DATA_GOC!$F:$F,"Xuất nội bộ từ téc",DATA_GOC!$B:$B,"&gt;="&amp;$D5502,DATA_GOC!$B:$B,"&lt;="&amp;$E5502))</f>
        <v/>
      </c>
      <c r="J5502" s="59">
        <f t="shared" si="28"/>
        <v>0</v>
      </c>
      <c r="K5502" s="59">
        <f t="shared" si="29"/>
        <v>0</v>
      </c>
      <c r="L5502" s="59">
        <f t="shared" si="30"/>
        <v>0</v>
      </c>
      <c r="M5502" s="59">
        <f t="shared" si="31"/>
        <v>0</v>
      </c>
    </row>
    <row r="5503" ht="15.0" hidden="1" customHeight="1">
      <c r="A5503" s="59">
        <f t="shared" si="20"/>
        <v>88</v>
      </c>
      <c r="B5503" s="59" t="str">
        <f t="shared" si="21"/>
        <v/>
      </c>
      <c r="C5503" s="59" t="str">
        <f t="shared" si="22"/>
        <v/>
      </c>
      <c r="D5503" s="45" t="str">
        <f t="shared" si="23"/>
        <v/>
      </c>
      <c r="E5503" s="45" t="str">
        <f t="shared" si="24"/>
        <v/>
      </c>
      <c r="F5503" s="59" t="str">
        <f t="shared" si="25"/>
        <v/>
      </c>
      <c r="G5503" s="59" t="str">
        <f t="shared" si="26"/>
        <v/>
      </c>
      <c r="H5503" s="59" t="str">
        <f t="shared" si="27"/>
        <v>Xúc Đào</v>
      </c>
      <c r="I5503" s="59" t="str">
        <f>IF(OR($A5503="",$C5503="",$D5503="",$E5503="",$H5503=""),"",SUMIFS(DATA_GOC!$H:$H,DATA_GOC!$A:$A,"BOM",DATA_GOC!$D:$D,$H5503,DATA_GOC!$E:$E,$C5503,DATA_GOC!$F:$F,"Xuất nội bộ từ téc",DATA_GOC!$B:$B,"&gt;="&amp;$D5503,DATA_GOC!$B:$B,"&lt;="&amp;$E5503))</f>
        <v/>
      </c>
      <c r="J5503" s="59">
        <f t="shared" si="28"/>
        <v>0</v>
      </c>
      <c r="K5503" s="59">
        <f t="shared" si="29"/>
        <v>0</v>
      </c>
      <c r="L5503" s="59">
        <f t="shared" si="30"/>
        <v>0</v>
      </c>
      <c r="M5503" s="59">
        <f t="shared" si="31"/>
        <v>0</v>
      </c>
    </row>
    <row r="5504" ht="15.0" hidden="1" customHeight="1">
      <c r="A5504" s="59">
        <f t="shared" si="20"/>
        <v>88</v>
      </c>
      <c r="B5504" s="59" t="str">
        <f t="shared" si="21"/>
        <v/>
      </c>
      <c r="C5504" s="59" t="str">
        <f t="shared" si="22"/>
        <v/>
      </c>
      <c r="D5504" s="45" t="str">
        <f t="shared" si="23"/>
        <v/>
      </c>
      <c r="E5504" s="45" t="str">
        <f t="shared" si="24"/>
        <v/>
      </c>
      <c r="F5504" s="59" t="str">
        <f t="shared" si="25"/>
        <v/>
      </c>
      <c r="G5504" s="59" t="str">
        <f t="shared" si="26"/>
        <v/>
      </c>
      <c r="H5504" s="59" t="str">
        <f t="shared" si="27"/>
        <v>Xúclật asphalt</v>
      </c>
      <c r="I5504" s="59" t="str">
        <f>IF(OR($A5504="",$C5504="",$D5504="",$E5504="",$H5504=""),"",SUMIFS(DATA_GOC!$H:$H,DATA_GOC!$A:$A,"BOM",DATA_GOC!$D:$D,$H5504,DATA_GOC!$E:$E,$C5504,DATA_GOC!$F:$F,"Xuất nội bộ từ téc",DATA_GOC!$B:$B,"&gt;="&amp;$D5504,DATA_GOC!$B:$B,"&lt;="&amp;$E5504))</f>
        <v/>
      </c>
      <c r="J5504" s="59">
        <f t="shared" si="28"/>
        <v>0</v>
      </c>
      <c r="K5504" s="59">
        <f t="shared" si="29"/>
        <v>0</v>
      </c>
      <c r="L5504" s="59">
        <f t="shared" si="30"/>
        <v>0</v>
      </c>
      <c r="M5504" s="59">
        <f t="shared" si="31"/>
        <v>0</v>
      </c>
    </row>
    <row r="5505" ht="15.0" hidden="1" customHeight="1">
      <c r="A5505" s="59">
        <f t="shared" si="20"/>
        <v>88</v>
      </c>
      <c r="B5505" s="59" t="str">
        <f t="shared" si="21"/>
        <v/>
      </c>
      <c r="C5505" s="59" t="str">
        <f t="shared" si="22"/>
        <v/>
      </c>
      <c r="D5505" s="45" t="str">
        <f t="shared" si="23"/>
        <v/>
      </c>
      <c r="E5505" s="45" t="str">
        <f t="shared" si="24"/>
        <v/>
      </c>
      <c r="F5505" s="59" t="str">
        <f t="shared" si="25"/>
        <v/>
      </c>
      <c r="G5505" s="59" t="str">
        <f t="shared" si="26"/>
        <v/>
      </c>
      <c r="H5505" s="59" t="str">
        <f t="shared" si="27"/>
        <v>Xúclật855H</v>
      </c>
      <c r="I5505" s="59" t="str">
        <f>IF(OR($A5505="",$C5505="",$D5505="",$E5505="",$H5505=""),"",SUMIFS(DATA_GOC!$H:$H,DATA_GOC!$A:$A,"BOM",DATA_GOC!$D:$D,$H5505,DATA_GOC!$E:$E,$C5505,DATA_GOC!$F:$F,"Xuất nội bộ từ téc",DATA_GOC!$B:$B,"&gt;="&amp;$D5505,DATA_GOC!$B:$B,"&lt;="&amp;$E5505))</f>
        <v/>
      </c>
      <c r="J5505" s="59">
        <f t="shared" si="28"/>
        <v>0</v>
      </c>
      <c r="K5505" s="59">
        <f t="shared" si="29"/>
        <v>0</v>
      </c>
      <c r="L5505" s="59">
        <f t="shared" si="30"/>
        <v>0</v>
      </c>
      <c r="M5505" s="59">
        <f t="shared" si="31"/>
        <v>0</v>
      </c>
    </row>
    <row r="5506" ht="15.0" hidden="1" customHeight="1">
      <c r="A5506" s="59">
        <f t="shared" si="20"/>
        <v>88</v>
      </c>
      <c r="B5506" s="59" t="str">
        <f t="shared" si="21"/>
        <v/>
      </c>
      <c r="C5506" s="59" t="str">
        <f t="shared" si="22"/>
        <v/>
      </c>
      <c r="D5506" s="45" t="str">
        <f t="shared" si="23"/>
        <v/>
      </c>
      <c r="E5506" s="45" t="str">
        <f t="shared" si="24"/>
        <v/>
      </c>
      <c r="F5506" s="59" t="str">
        <f t="shared" si="25"/>
        <v/>
      </c>
      <c r="G5506" s="59" t="str">
        <f t="shared" si="26"/>
        <v/>
      </c>
      <c r="H5506" s="59" t="str">
        <f t="shared" si="27"/>
        <v>Xúclật855N</v>
      </c>
      <c r="I5506" s="59" t="str">
        <f>IF(OR($A5506="",$C5506="",$D5506="",$E5506="",$H5506=""),"",SUMIFS(DATA_GOC!$H:$H,DATA_GOC!$A:$A,"BOM",DATA_GOC!$D:$D,$H5506,DATA_GOC!$E:$E,$C5506,DATA_GOC!$F:$F,"Xuất nội bộ từ téc",DATA_GOC!$B:$B,"&gt;="&amp;$D5506,DATA_GOC!$B:$B,"&lt;="&amp;$E5506))</f>
        <v/>
      </c>
      <c r="J5506" s="59">
        <f t="shared" si="28"/>
        <v>0</v>
      </c>
      <c r="K5506" s="59">
        <f t="shared" si="29"/>
        <v>0</v>
      </c>
      <c r="L5506" s="59">
        <f t="shared" si="30"/>
        <v>0</v>
      </c>
      <c r="M5506" s="59">
        <f t="shared" si="31"/>
        <v>0</v>
      </c>
    </row>
    <row r="5507" ht="15.0" hidden="1" customHeight="1">
      <c r="A5507" s="59">
        <f t="shared" si="20"/>
        <v>88</v>
      </c>
      <c r="B5507" s="59" t="str">
        <f t="shared" si="21"/>
        <v/>
      </c>
      <c r="C5507" s="59" t="str">
        <f t="shared" si="22"/>
        <v/>
      </c>
      <c r="D5507" s="45" t="str">
        <f t="shared" si="23"/>
        <v/>
      </c>
      <c r="E5507" s="45" t="str">
        <f t="shared" si="24"/>
        <v/>
      </c>
      <c r="F5507" s="59" t="str">
        <f t="shared" si="25"/>
        <v/>
      </c>
      <c r="G5507" s="59" t="str">
        <f t="shared" si="26"/>
        <v/>
      </c>
      <c r="H5507" s="59" t="str">
        <f t="shared" si="27"/>
        <v>Cát nghiền</v>
      </c>
      <c r="I5507" s="59" t="str">
        <f>IF(OR($A5507="",$C5507="",$D5507="",$E5507="",$H5507=""),"",SUMIFS(DATA_GOC!$H:$H,DATA_GOC!$A:$A,"BOM",DATA_GOC!$D:$D,$H5507,DATA_GOC!$E:$E,$C5507,DATA_GOC!$F:$F,"Xuất nội bộ từ téc",DATA_GOC!$B:$B,"&gt;="&amp;$D5507,DATA_GOC!$B:$B,"&lt;="&amp;$E5507))</f>
        <v/>
      </c>
      <c r="J5507" s="59">
        <f t="shared" si="28"/>
        <v>0</v>
      </c>
      <c r="K5507" s="59">
        <f t="shared" si="29"/>
        <v>0</v>
      </c>
      <c r="L5507" s="59">
        <f t="shared" si="30"/>
        <v>0</v>
      </c>
      <c r="M5507" s="59">
        <f t="shared" si="31"/>
        <v>0</v>
      </c>
    </row>
    <row r="5508" ht="15.0" hidden="1" customHeight="1">
      <c r="A5508" s="59">
        <f t="shared" si="20"/>
        <v>88</v>
      </c>
      <c r="B5508" s="59" t="str">
        <f t="shared" si="21"/>
        <v/>
      </c>
      <c r="C5508" s="59" t="str">
        <f t="shared" si="22"/>
        <v/>
      </c>
      <c r="D5508" s="45" t="str">
        <f t="shared" si="23"/>
        <v/>
      </c>
      <c r="E5508" s="45" t="str">
        <f t="shared" si="24"/>
        <v/>
      </c>
      <c r="F5508" s="59" t="str">
        <f t="shared" si="25"/>
        <v/>
      </c>
      <c r="G5508" s="59" t="str">
        <f t="shared" si="26"/>
        <v/>
      </c>
      <c r="H5508" s="59" t="str">
        <f t="shared" si="27"/>
        <v>28C02973</v>
      </c>
      <c r="I5508" s="59" t="str">
        <f>IF(OR($A5508="",$C5508="",$D5508="",$E5508="",$H5508=""),"",SUMIFS(DATA_GOC!$H:$H,DATA_GOC!$A:$A,"BOM",DATA_GOC!$D:$D,$H5508,DATA_GOC!$E:$E,$C5508,DATA_GOC!$F:$F,"Xuất nội bộ từ téc",DATA_GOC!$B:$B,"&gt;="&amp;$D5508,DATA_GOC!$B:$B,"&lt;="&amp;$E5508))</f>
        <v/>
      </c>
      <c r="J5508" s="59">
        <f t="shared" si="28"/>
        <v>0</v>
      </c>
      <c r="K5508" s="59">
        <f t="shared" si="29"/>
        <v>0</v>
      </c>
      <c r="L5508" s="59">
        <f t="shared" si="30"/>
        <v>0</v>
      </c>
      <c r="M5508" s="59">
        <f t="shared" si="31"/>
        <v>0</v>
      </c>
    </row>
    <row r="5509" ht="15.0" hidden="1" customHeight="1">
      <c r="A5509" s="59">
        <f t="shared" si="20"/>
        <v>88</v>
      </c>
      <c r="B5509" s="59" t="str">
        <f t="shared" si="21"/>
        <v/>
      </c>
      <c r="C5509" s="59" t="str">
        <f t="shared" si="22"/>
        <v/>
      </c>
      <c r="D5509" s="45" t="str">
        <f t="shared" si="23"/>
        <v/>
      </c>
      <c r="E5509" s="45" t="str">
        <f t="shared" si="24"/>
        <v/>
      </c>
      <c r="F5509" s="59" t="str">
        <f t="shared" si="25"/>
        <v/>
      </c>
      <c r="G5509" s="59" t="str">
        <f t="shared" si="26"/>
        <v/>
      </c>
      <c r="H5509" s="59" t="str">
        <f t="shared" si="27"/>
        <v>28C03044</v>
      </c>
      <c r="I5509" s="59" t="str">
        <f>IF(OR($A5509="",$C5509="",$D5509="",$E5509="",$H5509=""),"",SUMIFS(DATA_GOC!$H:$H,DATA_GOC!$A:$A,"BOM",DATA_GOC!$D:$D,$H5509,DATA_GOC!$E:$E,$C5509,DATA_GOC!$F:$F,"Xuất nội bộ từ téc",DATA_GOC!$B:$B,"&gt;="&amp;$D5509,DATA_GOC!$B:$B,"&lt;="&amp;$E5509))</f>
        <v/>
      </c>
      <c r="J5509" s="59">
        <f t="shared" si="28"/>
        <v>0</v>
      </c>
      <c r="K5509" s="59">
        <f t="shared" si="29"/>
        <v>0</v>
      </c>
      <c r="L5509" s="59">
        <f t="shared" si="30"/>
        <v>0</v>
      </c>
      <c r="M5509" s="59">
        <f t="shared" si="31"/>
        <v>0</v>
      </c>
    </row>
    <row r="5510" ht="15.0" hidden="1" customHeight="1">
      <c r="A5510" s="59">
        <f t="shared" si="20"/>
        <v>88</v>
      </c>
      <c r="B5510" s="59" t="str">
        <f t="shared" si="21"/>
        <v/>
      </c>
      <c r="C5510" s="59" t="str">
        <f t="shared" si="22"/>
        <v/>
      </c>
      <c r="D5510" s="45" t="str">
        <f t="shared" si="23"/>
        <v/>
      </c>
      <c r="E5510" s="45" t="str">
        <f t="shared" si="24"/>
        <v/>
      </c>
      <c r="F5510" s="59" t="str">
        <f t="shared" si="25"/>
        <v/>
      </c>
      <c r="G5510" s="59" t="str">
        <f t="shared" si="26"/>
        <v/>
      </c>
      <c r="H5510" s="59" t="str">
        <f t="shared" si="27"/>
        <v>Máy lu lốp</v>
      </c>
      <c r="I5510" s="59" t="str">
        <f>IF(OR($A5510="",$C5510="",$D5510="",$E5510="",$H5510=""),"",SUMIFS(DATA_GOC!$H:$H,DATA_GOC!$A:$A,"BOM",DATA_GOC!$D:$D,$H5510,DATA_GOC!$E:$E,$C5510,DATA_GOC!$F:$F,"Xuất nội bộ từ téc",DATA_GOC!$B:$B,"&gt;="&amp;$D5510,DATA_GOC!$B:$B,"&lt;="&amp;$E5510))</f>
        <v/>
      </c>
      <c r="J5510" s="59">
        <f t="shared" si="28"/>
        <v>0</v>
      </c>
      <c r="K5510" s="59">
        <f t="shared" si="29"/>
        <v>0</v>
      </c>
      <c r="L5510" s="59">
        <f t="shared" si="30"/>
        <v>0</v>
      </c>
      <c r="M5510" s="59">
        <f t="shared" si="31"/>
        <v>0</v>
      </c>
    </row>
    <row r="5511" ht="15.0" hidden="1" customHeight="1">
      <c r="A5511" s="59">
        <f t="shared" si="20"/>
        <v>88</v>
      </c>
      <c r="B5511" s="59" t="str">
        <f t="shared" si="21"/>
        <v/>
      </c>
      <c r="C5511" s="59" t="str">
        <f t="shared" si="22"/>
        <v/>
      </c>
      <c r="D5511" s="45" t="str">
        <f t="shared" si="23"/>
        <v/>
      </c>
      <c r="E5511" s="45" t="str">
        <f t="shared" si="24"/>
        <v/>
      </c>
      <c r="F5511" s="59" t="str">
        <f t="shared" si="25"/>
        <v/>
      </c>
      <c r="G5511" s="59" t="str">
        <f t="shared" si="26"/>
        <v/>
      </c>
      <c r="H5511" s="59" t="str">
        <f t="shared" si="27"/>
        <v>Xe 600148</v>
      </c>
      <c r="I5511" s="59" t="str">
        <f>IF(OR($A5511="",$C5511="",$D5511="",$E5511="",$H5511=""),"",SUMIFS(DATA_GOC!$H:$H,DATA_GOC!$A:$A,"BOM",DATA_GOC!$D:$D,$H5511,DATA_GOC!$E:$E,$C5511,DATA_GOC!$F:$F,"Xuất nội bộ từ téc",DATA_GOC!$B:$B,"&gt;="&amp;$D5511,DATA_GOC!$B:$B,"&lt;="&amp;$E5511))</f>
        <v/>
      </c>
      <c r="J5511" s="59">
        <f t="shared" si="28"/>
        <v>0</v>
      </c>
      <c r="K5511" s="59">
        <f t="shared" si="29"/>
        <v>0</v>
      </c>
      <c r="L5511" s="59">
        <f t="shared" si="30"/>
        <v>0</v>
      </c>
      <c r="M5511" s="59">
        <f t="shared" si="31"/>
        <v>0</v>
      </c>
    </row>
    <row r="5512" ht="15.0" hidden="1" customHeight="1">
      <c r="A5512" s="59">
        <f t="shared" si="20"/>
        <v>88</v>
      </c>
      <c r="B5512" s="59" t="str">
        <f t="shared" si="21"/>
        <v/>
      </c>
      <c r="C5512" s="59" t="str">
        <f t="shared" si="22"/>
        <v/>
      </c>
      <c r="D5512" s="45" t="str">
        <f t="shared" si="23"/>
        <v/>
      </c>
      <c r="E5512" s="45" t="str">
        <f t="shared" si="24"/>
        <v/>
      </c>
      <c r="F5512" s="59" t="str">
        <f t="shared" si="25"/>
        <v/>
      </c>
      <c r="G5512" s="59" t="str">
        <f t="shared" si="26"/>
        <v/>
      </c>
      <c r="H5512" s="59" t="str">
        <f t="shared" si="27"/>
        <v>Xe ben mới</v>
      </c>
      <c r="I5512" s="59" t="str">
        <f>IF(OR($A5512="",$C5512="",$D5512="",$E5512="",$H5512=""),"",SUMIFS(DATA_GOC!$H:$H,DATA_GOC!$A:$A,"BOM",DATA_GOC!$D:$D,$H5512,DATA_GOC!$E:$E,$C5512,DATA_GOC!$F:$F,"Xuất nội bộ từ téc",DATA_GOC!$B:$B,"&gt;="&amp;$D5512,DATA_GOC!$B:$B,"&lt;="&amp;$E5512))</f>
        <v/>
      </c>
      <c r="J5512" s="59">
        <f t="shared" si="28"/>
        <v>0</v>
      </c>
      <c r="K5512" s="59">
        <f t="shared" si="29"/>
        <v>0</v>
      </c>
      <c r="L5512" s="59">
        <f t="shared" si="30"/>
        <v>0</v>
      </c>
      <c r="M5512" s="59">
        <f t="shared" si="31"/>
        <v>0</v>
      </c>
    </row>
    <row r="5513" ht="15.0" hidden="1" customHeight="1">
      <c r="A5513" s="59">
        <f t="shared" si="20"/>
        <v>89</v>
      </c>
      <c r="B5513" s="59" t="str">
        <f t="shared" si="21"/>
        <v/>
      </c>
      <c r="C5513" s="59" t="str">
        <f t="shared" si="22"/>
        <v/>
      </c>
      <c r="D5513" s="45" t="str">
        <f t="shared" si="23"/>
        <v/>
      </c>
      <c r="E5513" s="45" t="str">
        <f t="shared" si="24"/>
        <v/>
      </c>
      <c r="F5513" s="59" t="str">
        <f t="shared" si="25"/>
        <v/>
      </c>
      <c r="G5513" s="59" t="str">
        <f t="shared" si="26"/>
        <v/>
      </c>
      <c r="H5513" s="59" t="str">
        <f t="shared" si="27"/>
        <v>19H09482</v>
      </c>
      <c r="I5513" s="59" t="str">
        <f>IF(OR($A5513="",$C5513="",$D5513="",$E5513="",$H5513=""),"",SUMIFS(DATA_GOC!$H:$H,DATA_GOC!$A:$A,"BOM",DATA_GOC!$D:$D,$H5513,DATA_GOC!$E:$E,$C5513,DATA_GOC!$F:$F,"Xuất nội bộ từ téc",DATA_GOC!$B:$B,"&gt;="&amp;$D5513,DATA_GOC!$B:$B,"&lt;="&amp;$E5513))</f>
        <v/>
      </c>
      <c r="J5513" s="59">
        <f t="shared" si="28"/>
        <v>0</v>
      </c>
      <c r="K5513" s="59">
        <f t="shared" si="29"/>
        <v>0</v>
      </c>
      <c r="L5513" s="59">
        <f t="shared" si="30"/>
        <v>0</v>
      </c>
      <c r="M5513" s="59">
        <f t="shared" si="31"/>
        <v>0</v>
      </c>
    </row>
    <row r="5514" ht="15.0" hidden="1" customHeight="1">
      <c r="A5514" s="59">
        <f t="shared" si="20"/>
        <v>89</v>
      </c>
      <c r="B5514" s="59" t="str">
        <f t="shared" si="21"/>
        <v/>
      </c>
      <c r="C5514" s="59" t="str">
        <f t="shared" si="22"/>
        <v/>
      </c>
      <c r="D5514" s="45" t="str">
        <f t="shared" si="23"/>
        <v/>
      </c>
      <c r="E5514" s="45" t="str">
        <f t="shared" si="24"/>
        <v/>
      </c>
      <c r="F5514" s="59" t="str">
        <f t="shared" si="25"/>
        <v/>
      </c>
      <c r="G5514" s="59" t="str">
        <f t="shared" si="26"/>
        <v/>
      </c>
      <c r="H5514" s="59" t="str">
        <f t="shared" si="27"/>
        <v>28A30696</v>
      </c>
      <c r="I5514" s="59" t="str">
        <f>IF(OR($A5514="",$C5514="",$D5514="",$E5514="",$H5514=""),"",SUMIFS(DATA_GOC!$H:$H,DATA_GOC!$A:$A,"BOM",DATA_GOC!$D:$D,$H5514,DATA_GOC!$E:$E,$C5514,DATA_GOC!$F:$F,"Xuất nội bộ từ téc",DATA_GOC!$B:$B,"&gt;="&amp;$D5514,DATA_GOC!$B:$B,"&lt;="&amp;$E5514))</f>
        <v/>
      </c>
      <c r="J5514" s="59">
        <f t="shared" si="28"/>
        <v>0</v>
      </c>
      <c r="K5514" s="59">
        <f t="shared" si="29"/>
        <v>0</v>
      </c>
      <c r="L5514" s="59">
        <f t="shared" si="30"/>
        <v>0</v>
      </c>
      <c r="M5514" s="59">
        <f t="shared" si="31"/>
        <v>0</v>
      </c>
    </row>
    <row r="5515" ht="15.0" hidden="1" customHeight="1">
      <c r="A5515" s="59">
        <f t="shared" si="20"/>
        <v>89</v>
      </c>
      <c r="B5515" s="59" t="str">
        <f t="shared" si="21"/>
        <v/>
      </c>
      <c r="C5515" s="59" t="str">
        <f t="shared" si="22"/>
        <v/>
      </c>
      <c r="D5515" s="45" t="str">
        <f t="shared" si="23"/>
        <v/>
      </c>
      <c r="E5515" s="45" t="str">
        <f t="shared" si="24"/>
        <v/>
      </c>
      <c r="F5515" s="59" t="str">
        <f t="shared" si="25"/>
        <v/>
      </c>
      <c r="G5515" s="59" t="str">
        <f t="shared" si="26"/>
        <v/>
      </c>
      <c r="H5515" s="59" t="str">
        <f t="shared" si="27"/>
        <v>28C00462</v>
      </c>
      <c r="I5515" s="59" t="str">
        <f>IF(OR($A5515="",$C5515="",$D5515="",$E5515="",$H5515=""),"",SUMIFS(DATA_GOC!$H:$H,DATA_GOC!$A:$A,"BOM",DATA_GOC!$D:$D,$H5515,DATA_GOC!$E:$E,$C5515,DATA_GOC!$F:$F,"Xuất nội bộ từ téc",DATA_GOC!$B:$B,"&gt;="&amp;$D5515,DATA_GOC!$B:$B,"&lt;="&amp;$E5515))</f>
        <v/>
      </c>
      <c r="J5515" s="59">
        <f t="shared" si="28"/>
        <v>0</v>
      </c>
      <c r="K5515" s="59">
        <f t="shared" si="29"/>
        <v>0</v>
      </c>
      <c r="L5515" s="59">
        <f t="shared" si="30"/>
        <v>0</v>
      </c>
      <c r="M5515" s="59">
        <f t="shared" si="31"/>
        <v>0</v>
      </c>
    </row>
    <row r="5516" ht="15.0" hidden="1" customHeight="1">
      <c r="A5516" s="59">
        <f t="shared" si="20"/>
        <v>89</v>
      </c>
      <c r="B5516" s="59" t="str">
        <f t="shared" si="21"/>
        <v/>
      </c>
      <c r="C5516" s="59" t="str">
        <f t="shared" si="22"/>
        <v/>
      </c>
      <c r="D5516" s="45" t="str">
        <f t="shared" si="23"/>
        <v/>
      </c>
      <c r="E5516" s="45" t="str">
        <f t="shared" si="24"/>
        <v/>
      </c>
      <c r="F5516" s="59" t="str">
        <f t="shared" si="25"/>
        <v/>
      </c>
      <c r="G5516" s="59" t="str">
        <f t="shared" si="26"/>
        <v/>
      </c>
      <c r="H5516" s="59" t="str">
        <f t="shared" si="27"/>
        <v>28C01165</v>
      </c>
      <c r="I5516" s="59" t="str">
        <f>IF(OR($A5516="",$C5516="",$D5516="",$E5516="",$H5516=""),"",SUMIFS(DATA_GOC!$H:$H,DATA_GOC!$A:$A,"BOM",DATA_GOC!$D:$D,$H5516,DATA_GOC!$E:$E,$C5516,DATA_GOC!$F:$F,"Xuất nội bộ từ téc",DATA_GOC!$B:$B,"&gt;="&amp;$D5516,DATA_GOC!$B:$B,"&lt;="&amp;$E5516))</f>
        <v/>
      </c>
      <c r="J5516" s="59">
        <f t="shared" si="28"/>
        <v>0</v>
      </c>
      <c r="K5516" s="59">
        <f t="shared" si="29"/>
        <v>0</v>
      </c>
      <c r="L5516" s="59">
        <f t="shared" si="30"/>
        <v>0</v>
      </c>
      <c r="M5516" s="59">
        <f t="shared" si="31"/>
        <v>0</v>
      </c>
    </row>
    <row r="5517" ht="15.0" hidden="1" customHeight="1">
      <c r="A5517" s="59">
        <f t="shared" si="20"/>
        <v>89</v>
      </c>
      <c r="B5517" s="59" t="str">
        <f t="shared" si="21"/>
        <v/>
      </c>
      <c r="C5517" s="59" t="str">
        <f t="shared" si="22"/>
        <v/>
      </c>
      <c r="D5517" s="45" t="str">
        <f t="shared" si="23"/>
        <v/>
      </c>
      <c r="E5517" s="45" t="str">
        <f t="shared" si="24"/>
        <v/>
      </c>
      <c r="F5517" s="59" t="str">
        <f t="shared" si="25"/>
        <v/>
      </c>
      <c r="G5517" s="59" t="str">
        <f t="shared" si="26"/>
        <v/>
      </c>
      <c r="H5517" s="59" t="str">
        <f t="shared" si="27"/>
        <v>28C01406</v>
      </c>
      <c r="I5517" s="59" t="str">
        <f>IF(OR($A5517="",$C5517="",$D5517="",$E5517="",$H5517=""),"",SUMIFS(DATA_GOC!$H:$H,DATA_GOC!$A:$A,"BOM",DATA_GOC!$D:$D,$H5517,DATA_GOC!$E:$E,$C5517,DATA_GOC!$F:$F,"Xuất nội bộ từ téc",DATA_GOC!$B:$B,"&gt;="&amp;$D5517,DATA_GOC!$B:$B,"&lt;="&amp;$E5517))</f>
        <v/>
      </c>
      <c r="J5517" s="59">
        <f t="shared" si="28"/>
        <v>0</v>
      </c>
      <c r="K5517" s="59">
        <f t="shared" si="29"/>
        <v>0</v>
      </c>
      <c r="L5517" s="59">
        <f t="shared" si="30"/>
        <v>0</v>
      </c>
      <c r="M5517" s="59">
        <f t="shared" si="31"/>
        <v>0</v>
      </c>
    </row>
    <row r="5518" ht="15.0" hidden="1" customHeight="1">
      <c r="A5518" s="59">
        <f t="shared" si="20"/>
        <v>89</v>
      </c>
      <c r="B5518" s="59" t="str">
        <f t="shared" si="21"/>
        <v/>
      </c>
      <c r="C5518" s="59" t="str">
        <f t="shared" si="22"/>
        <v/>
      </c>
      <c r="D5518" s="45" t="str">
        <f t="shared" si="23"/>
        <v/>
      </c>
      <c r="E5518" s="45" t="str">
        <f t="shared" si="24"/>
        <v/>
      </c>
      <c r="F5518" s="59" t="str">
        <f t="shared" si="25"/>
        <v/>
      </c>
      <c r="G5518" s="59" t="str">
        <f t="shared" si="26"/>
        <v/>
      </c>
      <c r="H5518" s="59" t="str">
        <f t="shared" si="27"/>
        <v>28C01544</v>
      </c>
      <c r="I5518" s="59" t="str">
        <f>IF(OR($A5518="",$C5518="",$D5518="",$E5518="",$H5518=""),"",SUMIFS(DATA_GOC!$H:$H,DATA_GOC!$A:$A,"BOM",DATA_GOC!$D:$D,$H5518,DATA_GOC!$E:$E,$C5518,DATA_GOC!$F:$F,"Xuất nội bộ từ téc",DATA_GOC!$B:$B,"&gt;="&amp;$D5518,DATA_GOC!$B:$B,"&lt;="&amp;$E5518))</f>
        <v/>
      </c>
      <c r="J5518" s="59">
        <f t="shared" si="28"/>
        <v>0</v>
      </c>
      <c r="K5518" s="59">
        <f t="shared" si="29"/>
        <v>0</v>
      </c>
      <c r="L5518" s="59">
        <f t="shared" si="30"/>
        <v>0</v>
      </c>
      <c r="M5518" s="59">
        <f t="shared" si="31"/>
        <v>0</v>
      </c>
    </row>
    <row r="5519" ht="15.0" hidden="1" customHeight="1">
      <c r="A5519" s="59">
        <f t="shared" si="20"/>
        <v>89</v>
      </c>
      <c r="B5519" s="59" t="str">
        <f t="shared" si="21"/>
        <v/>
      </c>
      <c r="C5519" s="59" t="str">
        <f t="shared" si="22"/>
        <v/>
      </c>
      <c r="D5519" s="45" t="str">
        <f t="shared" si="23"/>
        <v/>
      </c>
      <c r="E5519" s="45" t="str">
        <f t="shared" si="24"/>
        <v/>
      </c>
      <c r="F5519" s="59" t="str">
        <f t="shared" si="25"/>
        <v/>
      </c>
      <c r="G5519" s="59" t="str">
        <f t="shared" si="26"/>
        <v/>
      </c>
      <c r="H5519" s="59" t="str">
        <f t="shared" si="27"/>
        <v>28C01622</v>
      </c>
      <c r="I5519" s="59" t="str">
        <f>IF(OR($A5519="",$C5519="",$D5519="",$E5519="",$H5519=""),"",SUMIFS(DATA_GOC!$H:$H,DATA_GOC!$A:$A,"BOM",DATA_GOC!$D:$D,$H5519,DATA_GOC!$E:$E,$C5519,DATA_GOC!$F:$F,"Xuất nội bộ từ téc",DATA_GOC!$B:$B,"&gt;="&amp;$D5519,DATA_GOC!$B:$B,"&lt;="&amp;$E5519))</f>
        <v/>
      </c>
      <c r="J5519" s="59">
        <f t="shared" si="28"/>
        <v>0</v>
      </c>
      <c r="K5519" s="59">
        <f t="shared" si="29"/>
        <v>0</v>
      </c>
      <c r="L5519" s="59">
        <f t="shared" si="30"/>
        <v>0</v>
      </c>
      <c r="M5519" s="59">
        <f t="shared" si="31"/>
        <v>0</v>
      </c>
    </row>
    <row r="5520" ht="15.0" hidden="1" customHeight="1">
      <c r="A5520" s="59">
        <f t="shared" si="20"/>
        <v>89</v>
      </c>
      <c r="B5520" s="59" t="str">
        <f t="shared" si="21"/>
        <v/>
      </c>
      <c r="C5520" s="59" t="str">
        <f t="shared" si="22"/>
        <v/>
      </c>
      <c r="D5520" s="45" t="str">
        <f t="shared" si="23"/>
        <v/>
      </c>
      <c r="E5520" s="45" t="str">
        <f t="shared" si="24"/>
        <v/>
      </c>
      <c r="F5520" s="59" t="str">
        <f t="shared" si="25"/>
        <v/>
      </c>
      <c r="G5520" s="59" t="str">
        <f t="shared" si="26"/>
        <v/>
      </c>
      <c r="H5520" s="59" t="str">
        <f t="shared" si="27"/>
        <v>28C01647</v>
      </c>
      <c r="I5520" s="59" t="str">
        <f>IF(OR($A5520="",$C5520="",$D5520="",$E5520="",$H5520=""),"",SUMIFS(DATA_GOC!$H:$H,DATA_GOC!$A:$A,"BOM",DATA_GOC!$D:$D,$H5520,DATA_GOC!$E:$E,$C5520,DATA_GOC!$F:$F,"Xuất nội bộ từ téc",DATA_GOC!$B:$B,"&gt;="&amp;$D5520,DATA_GOC!$B:$B,"&lt;="&amp;$E5520))</f>
        <v/>
      </c>
      <c r="J5520" s="59">
        <f t="shared" si="28"/>
        <v>0</v>
      </c>
      <c r="K5520" s="59">
        <f t="shared" si="29"/>
        <v>0</v>
      </c>
      <c r="L5520" s="59">
        <f t="shared" si="30"/>
        <v>0</v>
      </c>
      <c r="M5520" s="59">
        <f t="shared" si="31"/>
        <v>0</v>
      </c>
    </row>
    <row r="5521" ht="15.0" hidden="1" customHeight="1">
      <c r="A5521" s="59">
        <f t="shared" si="20"/>
        <v>89</v>
      </c>
      <c r="B5521" s="59" t="str">
        <f t="shared" si="21"/>
        <v/>
      </c>
      <c r="C5521" s="59" t="str">
        <f t="shared" si="22"/>
        <v/>
      </c>
      <c r="D5521" s="45" t="str">
        <f t="shared" si="23"/>
        <v/>
      </c>
      <c r="E5521" s="45" t="str">
        <f t="shared" si="24"/>
        <v/>
      </c>
      <c r="F5521" s="59" t="str">
        <f t="shared" si="25"/>
        <v/>
      </c>
      <c r="G5521" s="59" t="str">
        <f t="shared" si="26"/>
        <v/>
      </c>
      <c r="H5521" s="59" t="str">
        <f t="shared" si="27"/>
        <v>28C01731</v>
      </c>
      <c r="I5521" s="59" t="str">
        <f>IF(OR($A5521="",$C5521="",$D5521="",$E5521="",$H5521=""),"",SUMIFS(DATA_GOC!$H:$H,DATA_GOC!$A:$A,"BOM",DATA_GOC!$D:$D,$H5521,DATA_GOC!$E:$E,$C5521,DATA_GOC!$F:$F,"Xuất nội bộ từ téc",DATA_GOC!$B:$B,"&gt;="&amp;$D5521,DATA_GOC!$B:$B,"&lt;="&amp;$E5521))</f>
        <v/>
      </c>
      <c r="J5521" s="59">
        <f t="shared" si="28"/>
        <v>0</v>
      </c>
      <c r="K5521" s="59">
        <f t="shared" si="29"/>
        <v>0</v>
      </c>
      <c r="L5521" s="59">
        <f t="shared" si="30"/>
        <v>0</v>
      </c>
      <c r="M5521" s="59">
        <f t="shared" si="31"/>
        <v>0</v>
      </c>
    </row>
    <row r="5522" ht="15.0" hidden="1" customHeight="1">
      <c r="A5522" s="59">
        <f t="shared" si="20"/>
        <v>89</v>
      </c>
      <c r="B5522" s="59" t="str">
        <f t="shared" si="21"/>
        <v/>
      </c>
      <c r="C5522" s="59" t="str">
        <f t="shared" si="22"/>
        <v/>
      </c>
      <c r="D5522" s="45" t="str">
        <f t="shared" si="23"/>
        <v/>
      </c>
      <c r="E5522" s="45" t="str">
        <f t="shared" si="24"/>
        <v/>
      </c>
      <c r="F5522" s="59" t="str">
        <f t="shared" si="25"/>
        <v/>
      </c>
      <c r="G5522" s="59" t="str">
        <f t="shared" si="26"/>
        <v/>
      </c>
      <c r="H5522" s="59" t="str">
        <f t="shared" si="27"/>
        <v>28C01743</v>
      </c>
      <c r="I5522" s="59" t="str">
        <f>IF(OR($A5522="",$C5522="",$D5522="",$E5522="",$H5522=""),"",SUMIFS(DATA_GOC!$H:$H,DATA_GOC!$A:$A,"BOM",DATA_GOC!$D:$D,$H5522,DATA_GOC!$E:$E,$C5522,DATA_GOC!$F:$F,"Xuất nội bộ từ téc",DATA_GOC!$B:$B,"&gt;="&amp;$D5522,DATA_GOC!$B:$B,"&lt;="&amp;$E5522))</f>
        <v/>
      </c>
      <c r="J5522" s="59">
        <f t="shared" si="28"/>
        <v>0</v>
      </c>
      <c r="K5522" s="59">
        <f t="shared" si="29"/>
        <v>0</v>
      </c>
      <c r="L5522" s="59">
        <f t="shared" si="30"/>
        <v>0</v>
      </c>
      <c r="M5522" s="59">
        <f t="shared" si="31"/>
        <v>0</v>
      </c>
    </row>
    <row r="5523" ht="15.0" hidden="1" customHeight="1">
      <c r="A5523" s="59">
        <f t="shared" si="20"/>
        <v>89</v>
      </c>
      <c r="B5523" s="59" t="str">
        <f t="shared" si="21"/>
        <v/>
      </c>
      <c r="C5523" s="59" t="str">
        <f t="shared" si="22"/>
        <v/>
      </c>
      <c r="D5523" s="45" t="str">
        <f t="shared" si="23"/>
        <v/>
      </c>
      <c r="E5523" s="45" t="str">
        <f t="shared" si="24"/>
        <v/>
      </c>
      <c r="F5523" s="59" t="str">
        <f t="shared" si="25"/>
        <v/>
      </c>
      <c r="G5523" s="59" t="str">
        <f t="shared" si="26"/>
        <v/>
      </c>
      <c r="H5523" s="59" t="str">
        <f t="shared" si="27"/>
        <v>28C02106</v>
      </c>
      <c r="I5523" s="59" t="str">
        <f>IF(OR($A5523="",$C5523="",$D5523="",$E5523="",$H5523=""),"",SUMIFS(DATA_GOC!$H:$H,DATA_GOC!$A:$A,"BOM",DATA_GOC!$D:$D,$H5523,DATA_GOC!$E:$E,$C5523,DATA_GOC!$F:$F,"Xuất nội bộ từ téc",DATA_GOC!$B:$B,"&gt;="&amp;$D5523,DATA_GOC!$B:$B,"&lt;="&amp;$E5523))</f>
        <v/>
      </c>
      <c r="J5523" s="59">
        <f t="shared" si="28"/>
        <v>0</v>
      </c>
      <c r="K5523" s="59">
        <f t="shared" si="29"/>
        <v>0</v>
      </c>
      <c r="L5523" s="59">
        <f t="shared" si="30"/>
        <v>0</v>
      </c>
      <c r="M5523" s="59">
        <f t="shared" si="31"/>
        <v>0</v>
      </c>
    </row>
    <row r="5524" ht="15.0" hidden="1" customHeight="1">
      <c r="A5524" s="59">
        <f t="shared" si="20"/>
        <v>89</v>
      </c>
      <c r="B5524" s="59" t="str">
        <f t="shared" si="21"/>
        <v/>
      </c>
      <c r="C5524" s="59" t="str">
        <f t="shared" si="22"/>
        <v/>
      </c>
      <c r="D5524" s="45" t="str">
        <f t="shared" si="23"/>
        <v/>
      </c>
      <c r="E5524" s="45" t="str">
        <f t="shared" si="24"/>
        <v/>
      </c>
      <c r="F5524" s="59" t="str">
        <f t="shared" si="25"/>
        <v/>
      </c>
      <c r="G5524" s="59" t="str">
        <f t="shared" si="26"/>
        <v/>
      </c>
      <c r="H5524" s="59" t="str">
        <f t="shared" si="27"/>
        <v>28C02410</v>
      </c>
      <c r="I5524" s="59" t="str">
        <f>IF(OR($A5524="",$C5524="",$D5524="",$E5524="",$H5524=""),"",SUMIFS(DATA_GOC!$H:$H,DATA_GOC!$A:$A,"BOM",DATA_GOC!$D:$D,$H5524,DATA_GOC!$E:$E,$C5524,DATA_GOC!$F:$F,"Xuất nội bộ từ téc",DATA_GOC!$B:$B,"&gt;="&amp;$D5524,DATA_GOC!$B:$B,"&lt;="&amp;$E5524))</f>
        <v/>
      </c>
      <c r="J5524" s="59">
        <f t="shared" si="28"/>
        <v>0</v>
      </c>
      <c r="K5524" s="59">
        <f t="shared" si="29"/>
        <v>0</v>
      </c>
      <c r="L5524" s="59">
        <f t="shared" si="30"/>
        <v>0</v>
      </c>
      <c r="M5524" s="59">
        <f t="shared" si="31"/>
        <v>0</v>
      </c>
    </row>
    <row r="5525" ht="15.0" hidden="1" customHeight="1">
      <c r="A5525" s="59">
        <f t="shared" si="20"/>
        <v>89</v>
      </c>
      <c r="B5525" s="59" t="str">
        <f t="shared" si="21"/>
        <v/>
      </c>
      <c r="C5525" s="59" t="str">
        <f t="shared" si="22"/>
        <v/>
      </c>
      <c r="D5525" s="45" t="str">
        <f t="shared" si="23"/>
        <v/>
      </c>
      <c r="E5525" s="45" t="str">
        <f t="shared" si="24"/>
        <v/>
      </c>
      <c r="F5525" s="59" t="str">
        <f t="shared" si="25"/>
        <v/>
      </c>
      <c r="G5525" s="59" t="str">
        <f t="shared" si="26"/>
        <v/>
      </c>
      <c r="H5525" s="59" t="str">
        <f t="shared" si="27"/>
        <v>28C02545</v>
      </c>
      <c r="I5525" s="59" t="str">
        <f>IF(OR($A5525="",$C5525="",$D5525="",$E5525="",$H5525=""),"",SUMIFS(DATA_GOC!$H:$H,DATA_GOC!$A:$A,"BOM",DATA_GOC!$D:$D,$H5525,DATA_GOC!$E:$E,$C5525,DATA_GOC!$F:$F,"Xuất nội bộ từ téc",DATA_GOC!$B:$B,"&gt;="&amp;$D5525,DATA_GOC!$B:$B,"&lt;="&amp;$E5525))</f>
        <v/>
      </c>
      <c r="J5525" s="59">
        <f t="shared" si="28"/>
        <v>0</v>
      </c>
      <c r="K5525" s="59">
        <f t="shared" si="29"/>
        <v>0</v>
      </c>
      <c r="L5525" s="59">
        <f t="shared" si="30"/>
        <v>0</v>
      </c>
      <c r="M5525" s="59">
        <f t="shared" si="31"/>
        <v>0</v>
      </c>
    </row>
    <row r="5526" ht="15.0" hidden="1" customHeight="1">
      <c r="A5526" s="59">
        <f t="shared" si="20"/>
        <v>89</v>
      </c>
      <c r="B5526" s="59" t="str">
        <f t="shared" si="21"/>
        <v/>
      </c>
      <c r="C5526" s="59" t="str">
        <f t="shared" si="22"/>
        <v/>
      </c>
      <c r="D5526" s="45" t="str">
        <f t="shared" si="23"/>
        <v/>
      </c>
      <c r="E5526" s="45" t="str">
        <f t="shared" si="24"/>
        <v/>
      </c>
      <c r="F5526" s="59" t="str">
        <f t="shared" si="25"/>
        <v/>
      </c>
      <c r="G5526" s="59" t="str">
        <f t="shared" si="26"/>
        <v/>
      </c>
      <c r="H5526" s="59" t="str">
        <f t="shared" si="27"/>
        <v>28C02574</v>
      </c>
      <c r="I5526" s="59" t="str">
        <f>IF(OR($A5526="",$C5526="",$D5526="",$E5526="",$H5526=""),"",SUMIFS(DATA_GOC!$H:$H,DATA_GOC!$A:$A,"BOM",DATA_GOC!$D:$D,$H5526,DATA_GOC!$E:$E,$C5526,DATA_GOC!$F:$F,"Xuất nội bộ từ téc",DATA_GOC!$B:$B,"&gt;="&amp;$D5526,DATA_GOC!$B:$B,"&lt;="&amp;$E5526))</f>
        <v/>
      </c>
      <c r="J5526" s="59">
        <f t="shared" si="28"/>
        <v>0</v>
      </c>
      <c r="K5526" s="59">
        <f t="shared" si="29"/>
        <v>0</v>
      </c>
      <c r="L5526" s="59">
        <f t="shared" si="30"/>
        <v>0</v>
      </c>
      <c r="M5526" s="59">
        <f t="shared" si="31"/>
        <v>0</v>
      </c>
    </row>
    <row r="5527" ht="15.0" hidden="1" customHeight="1">
      <c r="A5527" s="59">
        <f t="shared" si="20"/>
        <v>89</v>
      </c>
      <c r="B5527" s="59" t="str">
        <f t="shared" si="21"/>
        <v/>
      </c>
      <c r="C5527" s="59" t="str">
        <f t="shared" si="22"/>
        <v/>
      </c>
      <c r="D5527" s="45" t="str">
        <f t="shared" si="23"/>
        <v/>
      </c>
      <c r="E5527" s="45" t="str">
        <f t="shared" si="24"/>
        <v/>
      </c>
      <c r="F5527" s="59" t="str">
        <f t="shared" si="25"/>
        <v/>
      </c>
      <c r="G5527" s="59" t="str">
        <f t="shared" si="26"/>
        <v/>
      </c>
      <c r="H5527" s="59" t="str">
        <f t="shared" si="27"/>
        <v>28C02770</v>
      </c>
      <c r="I5527" s="59" t="str">
        <f>IF(OR($A5527="",$C5527="",$D5527="",$E5527="",$H5527=""),"",SUMIFS(DATA_GOC!$H:$H,DATA_GOC!$A:$A,"BOM",DATA_GOC!$D:$D,$H5527,DATA_GOC!$E:$E,$C5527,DATA_GOC!$F:$F,"Xuất nội bộ từ téc",DATA_GOC!$B:$B,"&gt;="&amp;$D5527,DATA_GOC!$B:$B,"&lt;="&amp;$E5527))</f>
        <v/>
      </c>
      <c r="J5527" s="59">
        <f t="shared" si="28"/>
        <v>0</v>
      </c>
      <c r="K5527" s="59">
        <f t="shared" si="29"/>
        <v>0</v>
      </c>
      <c r="L5527" s="59">
        <f t="shared" si="30"/>
        <v>0</v>
      </c>
      <c r="M5527" s="59">
        <f t="shared" si="31"/>
        <v>0</v>
      </c>
    </row>
    <row r="5528" ht="15.0" hidden="1" customHeight="1">
      <c r="A5528" s="59">
        <f t="shared" si="20"/>
        <v>89</v>
      </c>
      <c r="B5528" s="59" t="str">
        <f t="shared" si="21"/>
        <v/>
      </c>
      <c r="C5528" s="59" t="str">
        <f t="shared" si="22"/>
        <v/>
      </c>
      <c r="D5528" s="45" t="str">
        <f t="shared" si="23"/>
        <v/>
      </c>
      <c r="E5528" s="45" t="str">
        <f t="shared" si="24"/>
        <v/>
      </c>
      <c r="F5528" s="59" t="str">
        <f t="shared" si="25"/>
        <v/>
      </c>
      <c r="G5528" s="59" t="str">
        <f t="shared" si="26"/>
        <v/>
      </c>
      <c r="H5528" s="59" t="str">
        <f t="shared" si="27"/>
        <v>28C02986</v>
      </c>
      <c r="I5528" s="59" t="str">
        <f>IF(OR($A5528="",$C5528="",$D5528="",$E5528="",$H5528=""),"",SUMIFS(DATA_GOC!$H:$H,DATA_GOC!$A:$A,"BOM",DATA_GOC!$D:$D,$H5528,DATA_GOC!$E:$E,$C5528,DATA_GOC!$F:$F,"Xuất nội bộ từ téc",DATA_GOC!$B:$B,"&gt;="&amp;$D5528,DATA_GOC!$B:$B,"&lt;="&amp;$E5528))</f>
        <v/>
      </c>
      <c r="J5528" s="59">
        <f t="shared" si="28"/>
        <v>0</v>
      </c>
      <c r="K5528" s="59">
        <f t="shared" si="29"/>
        <v>0</v>
      </c>
      <c r="L5528" s="59">
        <f t="shared" si="30"/>
        <v>0</v>
      </c>
      <c r="M5528" s="59">
        <f t="shared" si="31"/>
        <v>0</v>
      </c>
    </row>
    <row r="5529" ht="15.0" hidden="1" customHeight="1">
      <c r="A5529" s="59">
        <f t="shared" si="20"/>
        <v>89</v>
      </c>
      <c r="B5529" s="59" t="str">
        <f t="shared" si="21"/>
        <v/>
      </c>
      <c r="C5529" s="59" t="str">
        <f t="shared" si="22"/>
        <v/>
      </c>
      <c r="D5529" s="45" t="str">
        <f t="shared" si="23"/>
        <v/>
      </c>
      <c r="E5529" s="45" t="str">
        <f t="shared" si="24"/>
        <v/>
      </c>
      <c r="F5529" s="59" t="str">
        <f t="shared" si="25"/>
        <v/>
      </c>
      <c r="G5529" s="59" t="str">
        <f t="shared" si="26"/>
        <v/>
      </c>
      <c r="H5529" s="59" t="str">
        <f t="shared" si="27"/>
        <v>28C03261</v>
      </c>
      <c r="I5529" s="59" t="str">
        <f>IF(OR($A5529="",$C5529="",$D5529="",$E5529="",$H5529=""),"",SUMIFS(DATA_GOC!$H:$H,DATA_GOC!$A:$A,"BOM",DATA_GOC!$D:$D,$H5529,DATA_GOC!$E:$E,$C5529,DATA_GOC!$F:$F,"Xuất nội bộ từ téc",DATA_GOC!$B:$B,"&gt;="&amp;$D5529,DATA_GOC!$B:$B,"&lt;="&amp;$E5529))</f>
        <v/>
      </c>
      <c r="J5529" s="59">
        <f t="shared" si="28"/>
        <v>0</v>
      </c>
      <c r="K5529" s="59">
        <f t="shared" si="29"/>
        <v>0</v>
      </c>
      <c r="L5529" s="59">
        <f t="shared" si="30"/>
        <v>0</v>
      </c>
      <c r="M5529" s="59">
        <f t="shared" si="31"/>
        <v>0</v>
      </c>
    </row>
    <row r="5530" ht="15.0" hidden="1" customHeight="1">
      <c r="A5530" s="59">
        <f t="shared" si="20"/>
        <v>89</v>
      </c>
      <c r="B5530" s="59" t="str">
        <f t="shared" si="21"/>
        <v/>
      </c>
      <c r="C5530" s="59" t="str">
        <f t="shared" si="22"/>
        <v/>
      </c>
      <c r="D5530" s="45" t="str">
        <f t="shared" si="23"/>
        <v/>
      </c>
      <c r="E5530" s="45" t="str">
        <f t="shared" si="24"/>
        <v/>
      </c>
      <c r="F5530" s="59" t="str">
        <f t="shared" si="25"/>
        <v/>
      </c>
      <c r="G5530" s="59" t="str">
        <f t="shared" si="26"/>
        <v/>
      </c>
      <c r="H5530" s="59" t="str">
        <f t="shared" si="27"/>
        <v>28C03323</v>
      </c>
      <c r="I5530" s="59" t="str">
        <f>IF(OR($A5530="",$C5530="",$D5530="",$E5530="",$H5530=""),"",SUMIFS(DATA_GOC!$H:$H,DATA_GOC!$A:$A,"BOM",DATA_GOC!$D:$D,$H5530,DATA_GOC!$E:$E,$C5530,DATA_GOC!$F:$F,"Xuất nội bộ từ téc",DATA_GOC!$B:$B,"&gt;="&amp;$D5530,DATA_GOC!$B:$B,"&lt;="&amp;$E5530))</f>
        <v/>
      </c>
      <c r="J5530" s="59">
        <f t="shared" si="28"/>
        <v>0</v>
      </c>
      <c r="K5530" s="59">
        <f t="shared" si="29"/>
        <v>0</v>
      </c>
      <c r="L5530" s="59">
        <f t="shared" si="30"/>
        <v>0</v>
      </c>
      <c r="M5530" s="59">
        <f t="shared" si="31"/>
        <v>0</v>
      </c>
    </row>
    <row r="5531" ht="15.0" hidden="1" customHeight="1">
      <c r="A5531" s="59">
        <f t="shared" si="20"/>
        <v>89</v>
      </c>
      <c r="B5531" s="59" t="str">
        <f t="shared" si="21"/>
        <v/>
      </c>
      <c r="C5531" s="59" t="str">
        <f t="shared" si="22"/>
        <v/>
      </c>
      <c r="D5531" s="45" t="str">
        <f t="shared" si="23"/>
        <v/>
      </c>
      <c r="E5531" s="45" t="str">
        <f t="shared" si="24"/>
        <v/>
      </c>
      <c r="F5531" s="59" t="str">
        <f t="shared" si="25"/>
        <v/>
      </c>
      <c r="G5531" s="59" t="str">
        <f t="shared" si="26"/>
        <v/>
      </c>
      <c r="H5531" s="59" t="str">
        <f t="shared" si="27"/>
        <v>28C03385</v>
      </c>
      <c r="I5531" s="59" t="str">
        <f>IF(OR($A5531="",$C5531="",$D5531="",$E5531="",$H5531=""),"",SUMIFS(DATA_GOC!$H:$H,DATA_GOC!$A:$A,"BOM",DATA_GOC!$D:$D,$H5531,DATA_GOC!$E:$E,$C5531,DATA_GOC!$F:$F,"Xuất nội bộ từ téc",DATA_GOC!$B:$B,"&gt;="&amp;$D5531,DATA_GOC!$B:$B,"&lt;="&amp;$E5531))</f>
        <v/>
      </c>
      <c r="J5531" s="59">
        <f t="shared" si="28"/>
        <v>0</v>
      </c>
      <c r="K5531" s="59">
        <f t="shared" si="29"/>
        <v>0</v>
      </c>
      <c r="L5531" s="59">
        <f t="shared" si="30"/>
        <v>0</v>
      </c>
      <c r="M5531" s="59">
        <f t="shared" si="31"/>
        <v>0</v>
      </c>
    </row>
    <row r="5532" ht="15.0" hidden="1" customHeight="1">
      <c r="A5532" s="59">
        <f t="shared" si="20"/>
        <v>89</v>
      </c>
      <c r="B5532" s="59" t="str">
        <f t="shared" si="21"/>
        <v/>
      </c>
      <c r="C5532" s="59" t="str">
        <f t="shared" si="22"/>
        <v/>
      </c>
      <c r="D5532" s="45" t="str">
        <f t="shared" si="23"/>
        <v/>
      </c>
      <c r="E5532" s="45" t="str">
        <f t="shared" si="24"/>
        <v/>
      </c>
      <c r="F5532" s="59" t="str">
        <f t="shared" si="25"/>
        <v/>
      </c>
      <c r="G5532" s="59" t="str">
        <f t="shared" si="26"/>
        <v/>
      </c>
      <c r="H5532" s="59" t="str">
        <f t="shared" si="27"/>
        <v>28C03652</v>
      </c>
      <c r="I5532" s="59" t="str">
        <f>IF(OR($A5532="",$C5532="",$D5532="",$E5532="",$H5532=""),"",SUMIFS(DATA_GOC!$H:$H,DATA_GOC!$A:$A,"BOM",DATA_GOC!$D:$D,$H5532,DATA_GOC!$E:$E,$C5532,DATA_GOC!$F:$F,"Xuất nội bộ từ téc",DATA_GOC!$B:$B,"&gt;="&amp;$D5532,DATA_GOC!$B:$B,"&lt;="&amp;$E5532))</f>
        <v/>
      </c>
      <c r="J5532" s="59">
        <f t="shared" si="28"/>
        <v>0</v>
      </c>
      <c r="K5532" s="59">
        <f t="shared" si="29"/>
        <v>0</v>
      </c>
      <c r="L5532" s="59">
        <f t="shared" si="30"/>
        <v>0</v>
      </c>
      <c r="M5532" s="59">
        <f t="shared" si="31"/>
        <v>0</v>
      </c>
    </row>
    <row r="5533" ht="15.0" hidden="1" customHeight="1">
      <c r="A5533" s="59">
        <f t="shared" si="20"/>
        <v>89</v>
      </c>
      <c r="B5533" s="59" t="str">
        <f t="shared" si="21"/>
        <v/>
      </c>
      <c r="C5533" s="59" t="str">
        <f t="shared" si="22"/>
        <v/>
      </c>
      <c r="D5533" s="45" t="str">
        <f t="shared" si="23"/>
        <v/>
      </c>
      <c r="E5533" s="45" t="str">
        <f t="shared" si="24"/>
        <v/>
      </c>
      <c r="F5533" s="59" t="str">
        <f t="shared" si="25"/>
        <v/>
      </c>
      <c r="G5533" s="59" t="str">
        <f t="shared" si="26"/>
        <v/>
      </c>
      <c r="H5533" s="59" t="str">
        <f t="shared" si="27"/>
        <v>28C03695</v>
      </c>
      <c r="I5533" s="59" t="str">
        <f>IF(OR($A5533="",$C5533="",$D5533="",$E5533="",$H5533=""),"",SUMIFS(DATA_GOC!$H:$H,DATA_GOC!$A:$A,"BOM",DATA_GOC!$D:$D,$H5533,DATA_GOC!$E:$E,$C5533,DATA_GOC!$F:$F,"Xuất nội bộ từ téc",DATA_GOC!$B:$B,"&gt;="&amp;$D5533,DATA_GOC!$B:$B,"&lt;="&amp;$E5533))</f>
        <v/>
      </c>
      <c r="J5533" s="59">
        <f t="shared" si="28"/>
        <v>0</v>
      </c>
      <c r="K5533" s="59">
        <f t="shared" si="29"/>
        <v>0</v>
      </c>
      <c r="L5533" s="59">
        <f t="shared" si="30"/>
        <v>0</v>
      </c>
      <c r="M5533" s="59">
        <f t="shared" si="31"/>
        <v>0</v>
      </c>
    </row>
    <row r="5534" ht="15.0" hidden="1" customHeight="1">
      <c r="A5534" s="59">
        <f t="shared" si="20"/>
        <v>89</v>
      </c>
      <c r="B5534" s="59" t="str">
        <f t="shared" si="21"/>
        <v/>
      </c>
      <c r="C5534" s="59" t="str">
        <f t="shared" si="22"/>
        <v/>
      </c>
      <c r="D5534" s="45" t="str">
        <f t="shared" si="23"/>
        <v/>
      </c>
      <c r="E5534" s="45" t="str">
        <f t="shared" si="24"/>
        <v/>
      </c>
      <c r="F5534" s="59" t="str">
        <f t="shared" si="25"/>
        <v/>
      </c>
      <c r="G5534" s="59" t="str">
        <f t="shared" si="26"/>
        <v/>
      </c>
      <c r="H5534" s="59" t="str">
        <f t="shared" si="27"/>
        <v>28C03927</v>
      </c>
      <c r="I5534" s="59" t="str">
        <f>IF(OR($A5534="",$C5534="",$D5534="",$E5534="",$H5534=""),"",SUMIFS(DATA_GOC!$H:$H,DATA_GOC!$A:$A,"BOM",DATA_GOC!$D:$D,$H5534,DATA_GOC!$E:$E,$C5534,DATA_GOC!$F:$F,"Xuất nội bộ từ téc",DATA_GOC!$B:$B,"&gt;="&amp;$D5534,DATA_GOC!$B:$B,"&lt;="&amp;$E5534))</f>
        <v/>
      </c>
      <c r="J5534" s="59">
        <f t="shared" si="28"/>
        <v>0</v>
      </c>
      <c r="K5534" s="59">
        <f t="shared" si="29"/>
        <v>0</v>
      </c>
      <c r="L5534" s="59">
        <f t="shared" si="30"/>
        <v>0</v>
      </c>
      <c r="M5534" s="59">
        <f t="shared" si="31"/>
        <v>0</v>
      </c>
    </row>
    <row r="5535" ht="15.0" hidden="1" customHeight="1">
      <c r="A5535" s="59">
        <f t="shared" si="20"/>
        <v>89</v>
      </c>
      <c r="B5535" s="59" t="str">
        <f t="shared" si="21"/>
        <v/>
      </c>
      <c r="C5535" s="59" t="str">
        <f t="shared" si="22"/>
        <v/>
      </c>
      <c r="D5535" s="45" t="str">
        <f t="shared" si="23"/>
        <v/>
      </c>
      <c r="E5535" s="45" t="str">
        <f t="shared" si="24"/>
        <v/>
      </c>
      <c r="F5535" s="59" t="str">
        <f t="shared" si="25"/>
        <v/>
      </c>
      <c r="G5535" s="59" t="str">
        <f t="shared" si="26"/>
        <v/>
      </c>
      <c r="H5535" s="59" t="str">
        <f t="shared" si="27"/>
        <v>28C04509</v>
      </c>
      <c r="I5535" s="59" t="str">
        <f>IF(OR($A5535="",$C5535="",$D5535="",$E5535="",$H5535=""),"",SUMIFS(DATA_GOC!$H:$H,DATA_GOC!$A:$A,"BOM",DATA_GOC!$D:$D,$H5535,DATA_GOC!$E:$E,$C5535,DATA_GOC!$F:$F,"Xuất nội bộ từ téc",DATA_GOC!$B:$B,"&gt;="&amp;$D5535,DATA_GOC!$B:$B,"&lt;="&amp;$E5535))</f>
        <v/>
      </c>
      <c r="J5535" s="59">
        <f t="shared" si="28"/>
        <v>0</v>
      </c>
      <c r="K5535" s="59">
        <f t="shared" si="29"/>
        <v>0</v>
      </c>
      <c r="L5535" s="59">
        <f t="shared" si="30"/>
        <v>0</v>
      </c>
      <c r="M5535" s="59">
        <f t="shared" si="31"/>
        <v>0</v>
      </c>
    </row>
    <row r="5536" ht="15.0" hidden="1" customHeight="1">
      <c r="A5536" s="59">
        <f t="shared" si="20"/>
        <v>89</v>
      </c>
      <c r="B5536" s="59" t="str">
        <f t="shared" si="21"/>
        <v/>
      </c>
      <c r="C5536" s="59" t="str">
        <f t="shared" si="22"/>
        <v/>
      </c>
      <c r="D5536" s="45" t="str">
        <f t="shared" si="23"/>
        <v/>
      </c>
      <c r="E5536" s="45" t="str">
        <f t="shared" si="24"/>
        <v/>
      </c>
      <c r="F5536" s="59" t="str">
        <f t="shared" si="25"/>
        <v/>
      </c>
      <c r="G5536" s="59" t="str">
        <f t="shared" si="26"/>
        <v/>
      </c>
      <c r="H5536" s="59" t="str">
        <f t="shared" si="27"/>
        <v>28C04536</v>
      </c>
      <c r="I5536" s="59" t="str">
        <f>IF(OR($A5536="",$C5536="",$D5536="",$E5536="",$H5536=""),"",SUMIFS(DATA_GOC!$H:$H,DATA_GOC!$A:$A,"BOM",DATA_GOC!$D:$D,$H5536,DATA_GOC!$E:$E,$C5536,DATA_GOC!$F:$F,"Xuất nội bộ từ téc",DATA_GOC!$B:$B,"&gt;="&amp;$D5536,DATA_GOC!$B:$B,"&lt;="&amp;$E5536))</f>
        <v/>
      </c>
      <c r="J5536" s="59">
        <f t="shared" si="28"/>
        <v>0</v>
      </c>
      <c r="K5536" s="59">
        <f t="shared" si="29"/>
        <v>0</v>
      </c>
      <c r="L5536" s="59">
        <f t="shared" si="30"/>
        <v>0</v>
      </c>
      <c r="M5536" s="59">
        <f t="shared" si="31"/>
        <v>0</v>
      </c>
    </row>
    <row r="5537" ht="15.0" hidden="1" customHeight="1">
      <c r="A5537" s="59">
        <f t="shared" si="20"/>
        <v>89</v>
      </c>
      <c r="B5537" s="59" t="str">
        <f t="shared" si="21"/>
        <v/>
      </c>
      <c r="C5537" s="59" t="str">
        <f t="shared" si="22"/>
        <v/>
      </c>
      <c r="D5537" s="45" t="str">
        <f t="shared" si="23"/>
        <v/>
      </c>
      <c r="E5537" s="45" t="str">
        <f t="shared" si="24"/>
        <v/>
      </c>
      <c r="F5537" s="59" t="str">
        <f t="shared" si="25"/>
        <v/>
      </c>
      <c r="G5537" s="59" t="str">
        <f t="shared" si="26"/>
        <v/>
      </c>
      <c r="H5537" s="59" t="str">
        <f t="shared" si="27"/>
        <v>28C04576</v>
      </c>
      <c r="I5537" s="59" t="str">
        <f>IF(OR($A5537="",$C5537="",$D5537="",$E5537="",$H5537=""),"",SUMIFS(DATA_GOC!$H:$H,DATA_GOC!$A:$A,"BOM",DATA_GOC!$D:$D,$H5537,DATA_GOC!$E:$E,$C5537,DATA_GOC!$F:$F,"Xuất nội bộ từ téc",DATA_GOC!$B:$B,"&gt;="&amp;$D5537,DATA_GOC!$B:$B,"&lt;="&amp;$E5537))</f>
        <v/>
      </c>
      <c r="J5537" s="59">
        <f t="shared" si="28"/>
        <v>0</v>
      </c>
      <c r="K5537" s="59">
        <f t="shared" si="29"/>
        <v>0</v>
      </c>
      <c r="L5537" s="59">
        <f t="shared" si="30"/>
        <v>0</v>
      </c>
      <c r="M5537" s="59">
        <f t="shared" si="31"/>
        <v>0</v>
      </c>
    </row>
    <row r="5538" ht="15.0" hidden="1" customHeight="1">
      <c r="A5538" s="59">
        <f t="shared" si="20"/>
        <v>89</v>
      </c>
      <c r="B5538" s="59" t="str">
        <f t="shared" si="21"/>
        <v/>
      </c>
      <c r="C5538" s="59" t="str">
        <f t="shared" si="22"/>
        <v/>
      </c>
      <c r="D5538" s="45" t="str">
        <f t="shared" si="23"/>
        <v/>
      </c>
      <c r="E5538" s="45" t="str">
        <f t="shared" si="24"/>
        <v/>
      </c>
      <c r="F5538" s="59" t="str">
        <f t="shared" si="25"/>
        <v/>
      </c>
      <c r="G5538" s="59" t="str">
        <f t="shared" si="26"/>
        <v/>
      </c>
      <c r="H5538" s="59" t="str">
        <f t="shared" si="27"/>
        <v>28C05090</v>
      </c>
      <c r="I5538" s="59" t="str">
        <f>IF(OR($A5538="",$C5538="",$D5538="",$E5538="",$H5538=""),"",SUMIFS(DATA_GOC!$H:$H,DATA_GOC!$A:$A,"BOM",DATA_GOC!$D:$D,$H5538,DATA_GOC!$E:$E,$C5538,DATA_GOC!$F:$F,"Xuất nội bộ từ téc",DATA_GOC!$B:$B,"&gt;="&amp;$D5538,DATA_GOC!$B:$B,"&lt;="&amp;$E5538))</f>
        <v/>
      </c>
      <c r="J5538" s="59">
        <f t="shared" si="28"/>
        <v>0</v>
      </c>
      <c r="K5538" s="59">
        <f t="shared" si="29"/>
        <v>0</v>
      </c>
      <c r="L5538" s="59">
        <f t="shared" si="30"/>
        <v>0</v>
      </c>
      <c r="M5538" s="59">
        <f t="shared" si="31"/>
        <v>0</v>
      </c>
    </row>
    <row r="5539" ht="15.0" hidden="1" customHeight="1">
      <c r="A5539" s="59">
        <f t="shared" si="20"/>
        <v>89</v>
      </c>
      <c r="B5539" s="59" t="str">
        <f t="shared" si="21"/>
        <v/>
      </c>
      <c r="C5539" s="59" t="str">
        <f t="shared" si="22"/>
        <v/>
      </c>
      <c r="D5539" s="45" t="str">
        <f t="shared" si="23"/>
        <v/>
      </c>
      <c r="E5539" s="45" t="str">
        <f t="shared" si="24"/>
        <v/>
      </c>
      <c r="F5539" s="59" t="str">
        <f t="shared" si="25"/>
        <v/>
      </c>
      <c r="G5539" s="59" t="str">
        <f t="shared" si="26"/>
        <v/>
      </c>
      <c r="H5539" s="59" t="str">
        <f t="shared" si="27"/>
        <v>28C05345</v>
      </c>
      <c r="I5539" s="59" t="str">
        <f>IF(OR($A5539="",$C5539="",$D5539="",$E5539="",$H5539=""),"",SUMIFS(DATA_GOC!$H:$H,DATA_GOC!$A:$A,"BOM",DATA_GOC!$D:$D,$H5539,DATA_GOC!$E:$E,$C5539,DATA_GOC!$F:$F,"Xuất nội bộ từ téc",DATA_GOC!$B:$B,"&gt;="&amp;$D5539,DATA_GOC!$B:$B,"&lt;="&amp;$E5539))</f>
        <v/>
      </c>
      <c r="J5539" s="59">
        <f t="shared" si="28"/>
        <v>0</v>
      </c>
      <c r="K5539" s="59">
        <f t="shared" si="29"/>
        <v>0</v>
      </c>
      <c r="L5539" s="59">
        <f t="shared" si="30"/>
        <v>0</v>
      </c>
      <c r="M5539" s="59">
        <f t="shared" si="31"/>
        <v>0</v>
      </c>
    </row>
    <row r="5540" ht="15.0" hidden="1" customHeight="1">
      <c r="A5540" s="59">
        <f t="shared" si="20"/>
        <v>89</v>
      </c>
      <c r="B5540" s="59" t="str">
        <f t="shared" si="21"/>
        <v/>
      </c>
      <c r="C5540" s="59" t="str">
        <f t="shared" si="22"/>
        <v/>
      </c>
      <c r="D5540" s="45" t="str">
        <f t="shared" si="23"/>
        <v/>
      </c>
      <c r="E5540" s="45" t="str">
        <f t="shared" si="24"/>
        <v/>
      </c>
      <c r="F5540" s="59" t="str">
        <f t="shared" si="25"/>
        <v/>
      </c>
      <c r="G5540" s="59" t="str">
        <f t="shared" si="26"/>
        <v/>
      </c>
      <c r="H5540" s="59" t="str">
        <f t="shared" si="27"/>
        <v>28C05661</v>
      </c>
      <c r="I5540" s="59" t="str">
        <f>IF(OR($A5540="",$C5540="",$D5540="",$E5540="",$H5540=""),"",SUMIFS(DATA_GOC!$H:$H,DATA_GOC!$A:$A,"BOM",DATA_GOC!$D:$D,$H5540,DATA_GOC!$E:$E,$C5540,DATA_GOC!$F:$F,"Xuất nội bộ từ téc",DATA_GOC!$B:$B,"&gt;="&amp;$D5540,DATA_GOC!$B:$B,"&lt;="&amp;$E5540))</f>
        <v/>
      </c>
      <c r="J5540" s="59">
        <f t="shared" si="28"/>
        <v>0</v>
      </c>
      <c r="K5540" s="59">
        <f t="shared" si="29"/>
        <v>0</v>
      </c>
      <c r="L5540" s="59">
        <f t="shared" si="30"/>
        <v>0</v>
      </c>
      <c r="M5540" s="59">
        <f t="shared" si="31"/>
        <v>0</v>
      </c>
    </row>
    <row r="5541" ht="15.0" hidden="1" customHeight="1">
      <c r="A5541" s="59">
        <f t="shared" si="20"/>
        <v>89</v>
      </c>
      <c r="B5541" s="59" t="str">
        <f t="shared" si="21"/>
        <v/>
      </c>
      <c r="C5541" s="59" t="str">
        <f t="shared" si="22"/>
        <v/>
      </c>
      <c r="D5541" s="45" t="str">
        <f t="shared" si="23"/>
        <v/>
      </c>
      <c r="E5541" s="45" t="str">
        <f t="shared" si="24"/>
        <v/>
      </c>
      <c r="F5541" s="59" t="str">
        <f t="shared" si="25"/>
        <v/>
      </c>
      <c r="G5541" s="59" t="str">
        <f t="shared" si="26"/>
        <v/>
      </c>
      <c r="H5541" s="59" t="str">
        <f t="shared" si="27"/>
        <v>28C05739</v>
      </c>
      <c r="I5541" s="59" t="str">
        <f>IF(OR($A5541="",$C5541="",$D5541="",$E5541="",$H5541=""),"",SUMIFS(DATA_GOC!$H:$H,DATA_GOC!$A:$A,"BOM",DATA_GOC!$D:$D,$H5541,DATA_GOC!$E:$E,$C5541,DATA_GOC!$F:$F,"Xuất nội bộ từ téc",DATA_GOC!$B:$B,"&gt;="&amp;$D5541,DATA_GOC!$B:$B,"&lt;="&amp;$E5541))</f>
        <v/>
      </c>
      <c r="J5541" s="59">
        <f t="shared" si="28"/>
        <v>0</v>
      </c>
      <c r="K5541" s="59">
        <f t="shared" si="29"/>
        <v>0</v>
      </c>
      <c r="L5541" s="59">
        <f t="shared" si="30"/>
        <v>0</v>
      </c>
      <c r="M5541" s="59">
        <f t="shared" si="31"/>
        <v>0</v>
      </c>
    </row>
    <row r="5542" ht="15.0" hidden="1" customHeight="1">
      <c r="A5542" s="59">
        <f t="shared" si="20"/>
        <v>89</v>
      </c>
      <c r="B5542" s="59" t="str">
        <f t="shared" si="21"/>
        <v/>
      </c>
      <c r="C5542" s="59" t="str">
        <f t="shared" si="22"/>
        <v/>
      </c>
      <c r="D5542" s="45" t="str">
        <f t="shared" si="23"/>
        <v/>
      </c>
      <c r="E5542" s="45" t="str">
        <f t="shared" si="24"/>
        <v/>
      </c>
      <c r="F5542" s="59" t="str">
        <f t="shared" si="25"/>
        <v/>
      </c>
      <c r="G5542" s="59" t="str">
        <f t="shared" si="26"/>
        <v/>
      </c>
      <c r="H5542" s="59" t="str">
        <f t="shared" si="27"/>
        <v>28C06369</v>
      </c>
      <c r="I5542" s="59" t="str">
        <f>IF(OR($A5542="",$C5542="",$D5542="",$E5542="",$H5542=""),"",SUMIFS(DATA_GOC!$H:$H,DATA_GOC!$A:$A,"BOM",DATA_GOC!$D:$D,$H5542,DATA_GOC!$E:$E,$C5542,DATA_GOC!$F:$F,"Xuất nội bộ từ téc",DATA_GOC!$B:$B,"&gt;="&amp;$D5542,DATA_GOC!$B:$B,"&lt;="&amp;$E5542))</f>
        <v/>
      </c>
      <c r="J5542" s="59">
        <f t="shared" si="28"/>
        <v>0</v>
      </c>
      <c r="K5542" s="59">
        <f t="shared" si="29"/>
        <v>0</v>
      </c>
      <c r="L5542" s="59">
        <f t="shared" si="30"/>
        <v>0</v>
      </c>
      <c r="M5542" s="59">
        <f t="shared" si="31"/>
        <v>0</v>
      </c>
    </row>
    <row r="5543" ht="15.0" hidden="1" customHeight="1">
      <c r="A5543" s="59">
        <f t="shared" si="20"/>
        <v>89</v>
      </c>
      <c r="B5543" s="59" t="str">
        <f t="shared" si="21"/>
        <v/>
      </c>
      <c r="C5543" s="59" t="str">
        <f t="shared" si="22"/>
        <v/>
      </c>
      <c r="D5543" s="45" t="str">
        <f t="shared" si="23"/>
        <v/>
      </c>
      <c r="E5543" s="45" t="str">
        <f t="shared" si="24"/>
        <v/>
      </c>
      <c r="F5543" s="59" t="str">
        <f t="shared" si="25"/>
        <v/>
      </c>
      <c r="G5543" s="59" t="str">
        <f t="shared" si="26"/>
        <v/>
      </c>
      <c r="H5543" s="59" t="str">
        <f t="shared" si="27"/>
        <v>28C06447</v>
      </c>
      <c r="I5543" s="59" t="str">
        <f>IF(OR($A5543="",$C5543="",$D5543="",$E5543="",$H5543=""),"",SUMIFS(DATA_GOC!$H:$H,DATA_GOC!$A:$A,"BOM",DATA_GOC!$D:$D,$H5543,DATA_GOC!$E:$E,$C5543,DATA_GOC!$F:$F,"Xuất nội bộ từ téc",DATA_GOC!$B:$B,"&gt;="&amp;$D5543,DATA_GOC!$B:$B,"&lt;="&amp;$E5543))</f>
        <v/>
      </c>
      <c r="J5543" s="59">
        <f t="shared" si="28"/>
        <v>0</v>
      </c>
      <c r="K5543" s="59">
        <f t="shared" si="29"/>
        <v>0</v>
      </c>
      <c r="L5543" s="59">
        <f t="shared" si="30"/>
        <v>0</v>
      </c>
      <c r="M5543" s="59">
        <f t="shared" si="31"/>
        <v>0</v>
      </c>
    </row>
    <row r="5544" ht="15.0" hidden="1" customHeight="1">
      <c r="A5544" s="59">
        <f t="shared" si="20"/>
        <v>89</v>
      </c>
      <c r="B5544" s="59" t="str">
        <f t="shared" si="21"/>
        <v/>
      </c>
      <c r="C5544" s="59" t="str">
        <f t="shared" si="22"/>
        <v/>
      </c>
      <c r="D5544" s="45" t="str">
        <f t="shared" si="23"/>
        <v/>
      </c>
      <c r="E5544" s="45" t="str">
        <f t="shared" si="24"/>
        <v/>
      </c>
      <c r="F5544" s="59" t="str">
        <f t="shared" si="25"/>
        <v/>
      </c>
      <c r="G5544" s="59" t="str">
        <f t="shared" si="26"/>
        <v/>
      </c>
      <c r="H5544" s="59" t="str">
        <f t="shared" si="27"/>
        <v>28H00003</v>
      </c>
      <c r="I5544" s="59" t="str">
        <f>IF(OR($A5544="",$C5544="",$D5544="",$E5544="",$H5544=""),"",SUMIFS(DATA_GOC!$H:$H,DATA_GOC!$A:$A,"BOM",DATA_GOC!$D:$D,$H5544,DATA_GOC!$E:$E,$C5544,DATA_GOC!$F:$F,"Xuất nội bộ từ téc",DATA_GOC!$B:$B,"&gt;="&amp;$D5544,DATA_GOC!$B:$B,"&lt;="&amp;$E5544))</f>
        <v/>
      </c>
      <c r="J5544" s="59">
        <f t="shared" si="28"/>
        <v>0</v>
      </c>
      <c r="K5544" s="59">
        <f t="shared" si="29"/>
        <v>0</v>
      </c>
      <c r="L5544" s="59">
        <f t="shared" si="30"/>
        <v>0</v>
      </c>
      <c r="M5544" s="59">
        <f t="shared" si="31"/>
        <v>0</v>
      </c>
    </row>
    <row r="5545" ht="15.0" hidden="1" customHeight="1">
      <c r="A5545" s="59">
        <f t="shared" si="20"/>
        <v>89</v>
      </c>
      <c r="B5545" s="59" t="str">
        <f t="shared" si="21"/>
        <v/>
      </c>
      <c r="C5545" s="59" t="str">
        <f t="shared" si="22"/>
        <v/>
      </c>
      <c r="D5545" s="45" t="str">
        <f t="shared" si="23"/>
        <v/>
      </c>
      <c r="E5545" s="45" t="str">
        <f t="shared" si="24"/>
        <v/>
      </c>
      <c r="F5545" s="59" t="str">
        <f t="shared" si="25"/>
        <v/>
      </c>
      <c r="G5545" s="59" t="str">
        <f t="shared" si="26"/>
        <v/>
      </c>
      <c r="H5545" s="59" t="str">
        <f t="shared" si="27"/>
        <v>28H00061</v>
      </c>
      <c r="I5545" s="59" t="str">
        <f>IF(OR($A5545="",$C5545="",$D5545="",$E5545="",$H5545=""),"",SUMIFS(DATA_GOC!$H:$H,DATA_GOC!$A:$A,"BOM",DATA_GOC!$D:$D,$H5545,DATA_GOC!$E:$E,$C5545,DATA_GOC!$F:$F,"Xuất nội bộ từ téc",DATA_GOC!$B:$B,"&gt;="&amp;$D5545,DATA_GOC!$B:$B,"&lt;="&amp;$E5545))</f>
        <v/>
      </c>
      <c r="J5545" s="59">
        <f t="shared" si="28"/>
        <v>0</v>
      </c>
      <c r="K5545" s="59">
        <f t="shared" si="29"/>
        <v>0</v>
      </c>
      <c r="L5545" s="59">
        <f t="shared" si="30"/>
        <v>0</v>
      </c>
      <c r="M5545" s="59">
        <f t="shared" si="31"/>
        <v>0</v>
      </c>
    </row>
    <row r="5546" ht="15.0" hidden="1" customHeight="1">
      <c r="A5546" s="59">
        <f t="shared" si="20"/>
        <v>89</v>
      </c>
      <c r="B5546" s="59" t="str">
        <f t="shared" si="21"/>
        <v/>
      </c>
      <c r="C5546" s="59" t="str">
        <f t="shared" si="22"/>
        <v/>
      </c>
      <c r="D5546" s="45" t="str">
        <f t="shared" si="23"/>
        <v/>
      </c>
      <c r="E5546" s="45" t="str">
        <f t="shared" si="24"/>
        <v/>
      </c>
      <c r="F5546" s="59" t="str">
        <f t="shared" si="25"/>
        <v/>
      </c>
      <c r="G5546" s="59" t="str">
        <f t="shared" si="26"/>
        <v/>
      </c>
      <c r="H5546" s="59" t="str">
        <f t="shared" si="27"/>
        <v>28H00354</v>
      </c>
      <c r="I5546" s="59" t="str">
        <f>IF(OR($A5546="",$C5546="",$D5546="",$E5546="",$H5546=""),"",SUMIFS(DATA_GOC!$H:$H,DATA_GOC!$A:$A,"BOM",DATA_GOC!$D:$D,$H5546,DATA_GOC!$E:$E,$C5546,DATA_GOC!$F:$F,"Xuất nội bộ từ téc",DATA_GOC!$B:$B,"&gt;="&amp;$D5546,DATA_GOC!$B:$B,"&lt;="&amp;$E5546))</f>
        <v/>
      </c>
      <c r="J5546" s="59">
        <f t="shared" si="28"/>
        <v>0</v>
      </c>
      <c r="K5546" s="59">
        <f t="shared" si="29"/>
        <v>0</v>
      </c>
      <c r="L5546" s="59">
        <f t="shared" si="30"/>
        <v>0</v>
      </c>
      <c r="M5546" s="59">
        <f t="shared" si="31"/>
        <v>0</v>
      </c>
    </row>
    <row r="5547" ht="15.0" hidden="1" customHeight="1">
      <c r="A5547" s="59">
        <f t="shared" si="20"/>
        <v>89</v>
      </c>
      <c r="B5547" s="59" t="str">
        <f t="shared" si="21"/>
        <v/>
      </c>
      <c r="C5547" s="59" t="str">
        <f t="shared" si="22"/>
        <v/>
      </c>
      <c r="D5547" s="45" t="str">
        <f t="shared" si="23"/>
        <v/>
      </c>
      <c r="E5547" s="45" t="str">
        <f t="shared" si="24"/>
        <v/>
      </c>
      <c r="F5547" s="59" t="str">
        <f t="shared" si="25"/>
        <v/>
      </c>
      <c r="G5547" s="59" t="str">
        <f t="shared" si="26"/>
        <v/>
      </c>
      <c r="H5547" s="59" t="str">
        <f t="shared" si="27"/>
        <v>28H00603</v>
      </c>
      <c r="I5547" s="59" t="str">
        <f>IF(OR($A5547="",$C5547="",$D5547="",$E5547="",$H5547=""),"",SUMIFS(DATA_GOC!$H:$H,DATA_GOC!$A:$A,"BOM",DATA_GOC!$D:$D,$H5547,DATA_GOC!$E:$E,$C5547,DATA_GOC!$F:$F,"Xuất nội bộ từ téc",DATA_GOC!$B:$B,"&gt;="&amp;$D5547,DATA_GOC!$B:$B,"&lt;="&amp;$E5547))</f>
        <v/>
      </c>
      <c r="J5547" s="59">
        <f t="shared" si="28"/>
        <v>0</v>
      </c>
      <c r="K5547" s="59">
        <f t="shared" si="29"/>
        <v>0</v>
      </c>
      <c r="L5547" s="59">
        <f t="shared" si="30"/>
        <v>0</v>
      </c>
      <c r="M5547" s="59">
        <f t="shared" si="31"/>
        <v>0</v>
      </c>
    </row>
    <row r="5548" ht="15.0" hidden="1" customHeight="1">
      <c r="A5548" s="59">
        <f t="shared" si="20"/>
        <v>89</v>
      </c>
      <c r="B5548" s="59" t="str">
        <f t="shared" si="21"/>
        <v/>
      </c>
      <c r="C5548" s="59" t="str">
        <f t="shared" si="22"/>
        <v/>
      </c>
      <c r="D5548" s="45" t="str">
        <f t="shared" si="23"/>
        <v/>
      </c>
      <c r="E5548" s="45" t="str">
        <f t="shared" si="24"/>
        <v/>
      </c>
      <c r="F5548" s="59" t="str">
        <f t="shared" si="25"/>
        <v/>
      </c>
      <c r="G5548" s="59" t="str">
        <f t="shared" si="26"/>
        <v/>
      </c>
      <c r="H5548" s="59" t="str">
        <f t="shared" si="27"/>
        <v>28H00609</v>
      </c>
      <c r="I5548" s="59" t="str">
        <f>IF(OR($A5548="",$C5548="",$D5548="",$E5548="",$H5548=""),"",SUMIFS(DATA_GOC!$H:$H,DATA_GOC!$A:$A,"BOM",DATA_GOC!$D:$D,$H5548,DATA_GOC!$E:$E,$C5548,DATA_GOC!$F:$F,"Xuất nội bộ từ téc",DATA_GOC!$B:$B,"&gt;="&amp;$D5548,DATA_GOC!$B:$B,"&lt;="&amp;$E5548))</f>
        <v/>
      </c>
      <c r="J5548" s="59">
        <f t="shared" si="28"/>
        <v>0</v>
      </c>
      <c r="K5548" s="59">
        <f t="shared" si="29"/>
        <v>0</v>
      </c>
      <c r="L5548" s="59">
        <f t="shared" si="30"/>
        <v>0</v>
      </c>
      <c r="M5548" s="59">
        <f t="shared" si="31"/>
        <v>0</v>
      </c>
    </row>
    <row r="5549" ht="15.0" hidden="1" customHeight="1">
      <c r="A5549" s="59">
        <f t="shared" si="20"/>
        <v>89</v>
      </c>
      <c r="B5549" s="59" t="str">
        <f t="shared" si="21"/>
        <v/>
      </c>
      <c r="C5549" s="59" t="str">
        <f t="shared" si="22"/>
        <v/>
      </c>
      <c r="D5549" s="45" t="str">
        <f t="shared" si="23"/>
        <v/>
      </c>
      <c r="E5549" s="45" t="str">
        <f t="shared" si="24"/>
        <v/>
      </c>
      <c r="F5549" s="59" t="str">
        <f t="shared" si="25"/>
        <v/>
      </c>
      <c r="G5549" s="59" t="str">
        <f t="shared" si="26"/>
        <v/>
      </c>
      <c r="H5549" s="59" t="str">
        <f t="shared" si="27"/>
        <v>28H00669</v>
      </c>
      <c r="I5549" s="59" t="str">
        <f>IF(OR($A5549="",$C5549="",$D5549="",$E5549="",$H5549=""),"",SUMIFS(DATA_GOC!$H:$H,DATA_GOC!$A:$A,"BOM",DATA_GOC!$D:$D,$H5549,DATA_GOC!$E:$E,$C5549,DATA_GOC!$F:$F,"Xuất nội bộ từ téc",DATA_GOC!$B:$B,"&gt;="&amp;$D5549,DATA_GOC!$B:$B,"&lt;="&amp;$E5549))</f>
        <v/>
      </c>
      <c r="J5549" s="59">
        <f t="shared" si="28"/>
        <v>0</v>
      </c>
      <c r="K5549" s="59">
        <f t="shared" si="29"/>
        <v>0</v>
      </c>
      <c r="L5549" s="59">
        <f t="shared" si="30"/>
        <v>0</v>
      </c>
      <c r="M5549" s="59">
        <f t="shared" si="31"/>
        <v>0</v>
      </c>
    </row>
    <row r="5550" ht="15.0" hidden="1" customHeight="1">
      <c r="A5550" s="59">
        <f t="shared" si="20"/>
        <v>89</v>
      </c>
      <c r="B5550" s="59" t="str">
        <f t="shared" si="21"/>
        <v/>
      </c>
      <c r="C5550" s="59" t="str">
        <f t="shared" si="22"/>
        <v/>
      </c>
      <c r="D5550" s="45" t="str">
        <f t="shared" si="23"/>
        <v/>
      </c>
      <c r="E5550" s="45" t="str">
        <f t="shared" si="24"/>
        <v/>
      </c>
      <c r="F5550" s="59" t="str">
        <f t="shared" si="25"/>
        <v/>
      </c>
      <c r="G5550" s="59" t="str">
        <f t="shared" si="26"/>
        <v/>
      </c>
      <c r="H5550" s="59" t="str">
        <f t="shared" si="27"/>
        <v>28H00680</v>
      </c>
      <c r="I5550" s="59" t="str">
        <f>IF(OR($A5550="",$C5550="",$D5550="",$E5550="",$H5550=""),"",SUMIFS(DATA_GOC!$H:$H,DATA_GOC!$A:$A,"BOM",DATA_GOC!$D:$D,$H5550,DATA_GOC!$E:$E,$C5550,DATA_GOC!$F:$F,"Xuất nội bộ từ téc",DATA_GOC!$B:$B,"&gt;="&amp;$D5550,DATA_GOC!$B:$B,"&lt;="&amp;$E5550))</f>
        <v/>
      </c>
      <c r="J5550" s="59">
        <f t="shared" si="28"/>
        <v>0</v>
      </c>
      <c r="K5550" s="59">
        <f t="shared" si="29"/>
        <v>0</v>
      </c>
      <c r="L5550" s="59">
        <f t="shared" si="30"/>
        <v>0</v>
      </c>
      <c r="M5550" s="59">
        <f t="shared" si="31"/>
        <v>0</v>
      </c>
    </row>
    <row r="5551" ht="15.0" hidden="1" customHeight="1">
      <c r="A5551" s="59">
        <f t="shared" si="20"/>
        <v>89</v>
      </c>
      <c r="B5551" s="59" t="str">
        <f t="shared" si="21"/>
        <v/>
      </c>
      <c r="C5551" s="59" t="str">
        <f t="shared" si="22"/>
        <v/>
      </c>
      <c r="D5551" s="45" t="str">
        <f t="shared" si="23"/>
        <v/>
      </c>
      <c r="E5551" s="45" t="str">
        <f t="shared" si="24"/>
        <v/>
      </c>
      <c r="F5551" s="59" t="str">
        <f t="shared" si="25"/>
        <v/>
      </c>
      <c r="G5551" s="59" t="str">
        <f t="shared" si="26"/>
        <v/>
      </c>
      <c r="H5551" s="59" t="str">
        <f t="shared" si="27"/>
        <v>28H01070</v>
      </c>
      <c r="I5551" s="59" t="str">
        <f>IF(OR($A5551="",$C5551="",$D5551="",$E5551="",$H5551=""),"",SUMIFS(DATA_GOC!$H:$H,DATA_GOC!$A:$A,"BOM",DATA_GOC!$D:$D,$H5551,DATA_GOC!$E:$E,$C5551,DATA_GOC!$F:$F,"Xuất nội bộ từ téc",DATA_GOC!$B:$B,"&gt;="&amp;$D5551,DATA_GOC!$B:$B,"&lt;="&amp;$E5551))</f>
        <v/>
      </c>
      <c r="J5551" s="59">
        <f t="shared" si="28"/>
        <v>0</v>
      </c>
      <c r="K5551" s="59">
        <f t="shared" si="29"/>
        <v>0</v>
      </c>
      <c r="L5551" s="59">
        <f t="shared" si="30"/>
        <v>0</v>
      </c>
      <c r="M5551" s="59">
        <f t="shared" si="31"/>
        <v>0</v>
      </c>
    </row>
    <row r="5552" ht="15.0" hidden="1" customHeight="1">
      <c r="A5552" s="59">
        <f t="shared" si="20"/>
        <v>89</v>
      </c>
      <c r="B5552" s="59" t="str">
        <f t="shared" si="21"/>
        <v/>
      </c>
      <c r="C5552" s="59" t="str">
        <f t="shared" si="22"/>
        <v/>
      </c>
      <c r="D5552" s="45" t="str">
        <f t="shared" si="23"/>
        <v/>
      </c>
      <c r="E5552" s="45" t="str">
        <f t="shared" si="24"/>
        <v/>
      </c>
      <c r="F5552" s="59" t="str">
        <f t="shared" si="25"/>
        <v/>
      </c>
      <c r="G5552" s="59" t="str">
        <f t="shared" si="26"/>
        <v/>
      </c>
      <c r="H5552" s="59" t="str">
        <f t="shared" si="27"/>
        <v>28H01364</v>
      </c>
      <c r="I5552" s="59" t="str">
        <f>IF(OR($A5552="",$C5552="",$D5552="",$E5552="",$H5552=""),"",SUMIFS(DATA_GOC!$H:$H,DATA_GOC!$A:$A,"BOM",DATA_GOC!$D:$D,$H5552,DATA_GOC!$E:$E,$C5552,DATA_GOC!$F:$F,"Xuất nội bộ từ téc",DATA_GOC!$B:$B,"&gt;="&amp;$D5552,DATA_GOC!$B:$B,"&lt;="&amp;$E5552))</f>
        <v/>
      </c>
      <c r="J5552" s="59">
        <f t="shared" si="28"/>
        <v>0</v>
      </c>
      <c r="K5552" s="59">
        <f t="shared" si="29"/>
        <v>0</v>
      </c>
      <c r="L5552" s="59">
        <f t="shared" si="30"/>
        <v>0</v>
      </c>
      <c r="M5552" s="59">
        <f t="shared" si="31"/>
        <v>0</v>
      </c>
    </row>
    <row r="5553" ht="15.0" hidden="1" customHeight="1">
      <c r="A5553" s="59">
        <f t="shared" si="20"/>
        <v>89</v>
      </c>
      <c r="B5553" s="59" t="str">
        <f t="shared" si="21"/>
        <v/>
      </c>
      <c r="C5553" s="59" t="str">
        <f t="shared" si="22"/>
        <v/>
      </c>
      <c r="D5553" s="45" t="str">
        <f t="shared" si="23"/>
        <v/>
      </c>
      <c r="E5553" s="45" t="str">
        <f t="shared" si="24"/>
        <v/>
      </c>
      <c r="F5553" s="59" t="str">
        <f t="shared" si="25"/>
        <v/>
      </c>
      <c r="G5553" s="59" t="str">
        <f t="shared" si="26"/>
        <v/>
      </c>
      <c r="H5553" s="59" t="str">
        <f t="shared" si="27"/>
        <v>29E17269</v>
      </c>
      <c r="I5553" s="59" t="str">
        <f>IF(OR($A5553="",$C5553="",$D5553="",$E5553="",$H5553=""),"",SUMIFS(DATA_GOC!$H:$H,DATA_GOC!$A:$A,"BOM",DATA_GOC!$D:$D,$H5553,DATA_GOC!$E:$E,$C5553,DATA_GOC!$F:$F,"Xuất nội bộ từ téc",DATA_GOC!$B:$B,"&gt;="&amp;$D5553,DATA_GOC!$B:$B,"&lt;="&amp;$E5553))</f>
        <v/>
      </c>
      <c r="J5553" s="59">
        <f t="shared" si="28"/>
        <v>0</v>
      </c>
      <c r="K5553" s="59">
        <f t="shared" si="29"/>
        <v>0</v>
      </c>
      <c r="L5553" s="59">
        <f t="shared" si="30"/>
        <v>0</v>
      </c>
      <c r="M5553" s="59">
        <f t="shared" si="31"/>
        <v>0</v>
      </c>
    </row>
    <row r="5554" ht="15.0" hidden="1" customHeight="1">
      <c r="A5554" s="59">
        <f t="shared" si="20"/>
        <v>89</v>
      </c>
      <c r="B5554" s="59" t="str">
        <f t="shared" si="21"/>
        <v/>
      </c>
      <c r="C5554" s="59" t="str">
        <f t="shared" si="22"/>
        <v/>
      </c>
      <c r="D5554" s="45" t="str">
        <f t="shared" si="23"/>
        <v/>
      </c>
      <c r="E5554" s="45" t="str">
        <f t="shared" si="24"/>
        <v/>
      </c>
      <c r="F5554" s="59" t="str">
        <f t="shared" si="25"/>
        <v/>
      </c>
      <c r="G5554" s="59" t="str">
        <f t="shared" si="26"/>
        <v/>
      </c>
      <c r="H5554" s="59" t="str">
        <f t="shared" si="27"/>
        <v>29E17273</v>
      </c>
      <c r="I5554" s="59" t="str">
        <f>IF(OR($A5554="",$C5554="",$D5554="",$E5554="",$H5554=""),"",SUMIFS(DATA_GOC!$H:$H,DATA_GOC!$A:$A,"BOM",DATA_GOC!$D:$D,$H5554,DATA_GOC!$E:$E,$C5554,DATA_GOC!$F:$F,"Xuất nội bộ từ téc",DATA_GOC!$B:$B,"&gt;="&amp;$D5554,DATA_GOC!$B:$B,"&lt;="&amp;$E5554))</f>
        <v/>
      </c>
      <c r="J5554" s="59">
        <f t="shared" si="28"/>
        <v>0</v>
      </c>
      <c r="K5554" s="59">
        <f t="shared" si="29"/>
        <v>0</v>
      </c>
      <c r="L5554" s="59">
        <f t="shared" si="30"/>
        <v>0</v>
      </c>
      <c r="M5554" s="59">
        <f t="shared" si="31"/>
        <v>0</v>
      </c>
    </row>
    <row r="5555" ht="15.0" hidden="1" customHeight="1">
      <c r="A5555" s="59">
        <f t="shared" si="20"/>
        <v>89</v>
      </c>
      <c r="B5555" s="59" t="str">
        <f t="shared" si="21"/>
        <v/>
      </c>
      <c r="C5555" s="59" t="str">
        <f t="shared" si="22"/>
        <v/>
      </c>
      <c r="D5555" s="45" t="str">
        <f t="shared" si="23"/>
        <v/>
      </c>
      <c r="E5555" s="45" t="str">
        <f t="shared" si="24"/>
        <v/>
      </c>
      <c r="F5555" s="59" t="str">
        <f t="shared" si="25"/>
        <v/>
      </c>
      <c r="G5555" s="59" t="str">
        <f t="shared" si="26"/>
        <v/>
      </c>
      <c r="H5555" s="59" t="str">
        <f t="shared" si="27"/>
        <v>29E17410</v>
      </c>
      <c r="I5555" s="59" t="str">
        <f>IF(OR($A5555="",$C5555="",$D5555="",$E5555="",$H5555=""),"",SUMIFS(DATA_GOC!$H:$H,DATA_GOC!$A:$A,"BOM",DATA_GOC!$D:$D,$H5555,DATA_GOC!$E:$E,$C5555,DATA_GOC!$F:$F,"Xuất nội bộ từ téc",DATA_GOC!$B:$B,"&gt;="&amp;$D5555,DATA_GOC!$B:$B,"&lt;="&amp;$E5555))</f>
        <v/>
      </c>
      <c r="J5555" s="59">
        <f t="shared" si="28"/>
        <v>0</v>
      </c>
      <c r="K5555" s="59">
        <f t="shared" si="29"/>
        <v>0</v>
      </c>
      <c r="L5555" s="59">
        <f t="shared" si="30"/>
        <v>0</v>
      </c>
      <c r="M5555" s="59">
        <f t="shared" si="31"/>
        <v>0</v>
      </c>
    </row>
    <row r="5556" ht="15.0" hidden="1" customHeight="1">
      <c r="A5556" s="59">
        <f t="shared" si="20"/>
        <v>89</v>
      </c>
      <c r="B5556" s="59" t="str">
        <f t="shared" si="21"/>
        <v/>
      </c>
      <c r="C5556" s="59" t="str">
        <f t="shared" si="22"/>
        <v/>
      </c>
      <c r="D5556" s="45" t="str">
        <f t="shared" si="23"/>
        <v/>
      </c>
      <c r="E5556" s="45" t="str">
        <f t="shared" si="24"/>
        <v/>
      </c>
      <c r="F5556" s="59" t="str">
        <f t="shared" si="25"/>
        <v/>
      </c>
      <c r="G5556" s="59" t="str">
        <f t="shared" si="26"/>
        <v/>
      </c>
      <c r="H5556" s="59" t="str">
        <f t="shared" si="27"/>
        <v>29E17417</v>
      </c>
      <c r="I5556" s="59" t="str">
        <f>IF(OR($A5556="",$C5556="",$D5556="",$E5556="",$H5556=""),"",SUMIFS(DATA_GOC!$H:$H,DATA_GOC!$A:$A,"BOM",DATA_GOC!$D:$D,$H5556,DATA_GOC!$E:$E,$C5556,DATA_GOC!$F:$F,"Xuất nội bộ từ téc",DATA_GOC!$B:$B,"&gt;="&amp;$D5556,DATA_GOC!$B:$B,"&lt;="&amp;$E5556))</f>
        <v/>
      </c>
      <c r="J5556" s="59">
        <f t="shared" si="28"/>
        <v>0</v>
      </c>
      <c r="K5556" s="59">
        <f t="shared" si="29"/>
        <v>0</v>
      </c>
      <c r="L5556" s="59">
        <f t="shared" si="30"/>
        <v>0</v>
      </c>
      <c r="M5556" s="59">
        <f t="shared" si="31"/>
        <v>0</v>
      </c>
    </row>
    <row r="5557" ht="15.0" hidden="1" customHeight="1">
      <c r="A5557" s="59">
        <f t="shared" si="20"/>
        <v>89</v>
      </c>
      <c r="B5557" s="59" t="str">
        <f t="shared" si="21"/>
        <v/>
      </c>
      <c r="C5557" s="59" t="str">
        <f t="shared" si="22"/>
        <v/>
      </c>
      <c r="D5557" s="45" t="str">
        <f t="shared" si="23"/>
        <v/>
      </c>
      <c r="E5557" s="45" t="str">
        <f t="shared" si="24"/>
        <v/>
      </c>
      <c r="F5557" s="59" t="str">
        <f t="shared" si="25"/>
        <v/>
      </c>
      <c r="G5557" s="59" t="str">
        <f t="shared" si="26"/>
        <v/>
      </c>
      <c r="H5557" s="59" t="str">
        <f t="shared" si="27"/>
        <v>29E17539</v>
      </c>
      <c r="I5557" s="59" t="str">
        <f>IF(OR($A5557="",$C5557="",$D5557="",$E5557="",$H5557=""),"",SUMIFS(DATA_GOC!$H:$H,DATA_GOC!$A:$A,"BOM",DATA_GOC!$D:$D,$H5557,DATA_GOC!$E:$E,$C5557,DATA_GOC!$F:$F,"Xuất nội bộ từ téc",DATA_GOC!$B:$B,"&gt;="&amp;$D5557,DATA_GOC!$B:$B,"&lt;="&amp;$E5557))</f>
        <v/>
      </c>
      <c r="J5557" s="59">
        <f t="shared" si="28"/>
        <v>0</v>
      </c>
      <c r="K5557" s="59">
        <f t="shared" si="29"/>
        <v>0</v>
      </c>
      <c r="L5557" s="59">
        <f t="shared" si="30"/>
        <v>0</v>
      </c>
      <c r="M5557" s="59">
        <f t="shared" si="31"/>
        <v>0</v>
      </c>
    </row>
    <row r="5558" ht="15.0" hidden="1" customHeight="1">
      <c r="A5558" s="59">
        <f t="shared" si="20"/>
        <v>89</v>
      </c>
      <c r="B5558" s="59" t="str">
        <f t="shared" si="21"/>
        <v/>
      </c>
      <c r="C5558" s="59" t="str">
        <f t="shared" si="22"/>
        <v/>
      </c>
      <c r="D5558" s="45" t="str">
        <f t="shared" si="23"/>
        <v/>
      </c>
      <c r="E5558" s="45" t="str">
        <f t="shared" si="24"/>
        <v/>
      </c>
      <c r="F5558" s="59" t="str">
        <f t="shared" si="25"/>
        <v/>
      </c>
      <c r="G5558" s="59" t="str">
        <f t="shared" si="26"/>
        <v/>
      </c>
      <c r="H5558" s="59" t="str">
        <f t="shared" si="27"/>
        <v>29E18160</v>
      </c>
      <c r="I5558" s="59" t="str">
        <f>IF(OR($A5558="",$C5558="",$D5558="",$E5558="",$H5558=""),"",SUMIFS(DATA_GOC!$H:$H,DATA_GOC!$A:$A,"BOM",DATA_GOC!$D:$D,$H5558,DATA_GOC!$E:$E,$C5558,DATA_GOC!$F:$F,"Xuất nội bộ từ téc",DATA_GOC!$B:$B,"&gt;="&amp;$D5558,DATA_GOC!$B:$B,"&lt;="&amp;$E5558))</f>
        <v/>
      </c>
      <c r="J5558" s="59">
        <f t="shared" si="28"/>
        <v>0</v>
      </c>
      <c r="K5558" s="59">
        <f t="shared" si="29"/>
        <v>0</v>
      </c>
      <c r="L5558" s="59">
        <f t="shared" si="30"/>
        <v>0</v>
      </c>
      <c r="M5558" s="59">
        <f t="shared" si="31"/>
        <v>0</v>
      </c>
    </row>
    <row r="5559" ht="15.0" hidden="1" customHeight="1">
      <c r="A5559" s="59">
        <f t="shared" si="20"/>
        <v>89</v>
      </c>
      <c r="B5559" s="59" t="str">
        <f t="shared" si="21"/>
        <v/>
      </c>
      <c r="C5559" s="59" t="str">
        <f t="shared" si="22"/>
        <v/>
      </c>
      <c r="D5559" s="45" t="str">
        <f t="shared" si="23"/>
        <v/>
      </c>
      <c r="E5559" s="45" t="str">
        <f t="shared" si="24"/>
        <v/>
      </c>
      <c r="F5559" s="59" t="str">
        <f t="shared" si="25"/>
        <v/>
      </c>
      <c r="G5559" s="59" t="str">
        <f t="shared" si="26"/>
        <v/>
      </c>
      <c r="H5559" s="59" t="str">
        <f t="shared" si="27"/>
        <v>Công trình Asphalt</v>
      </c>
      <c r="I5559" s="59" t="str">
        <f>IF(OR($A5559="",$C5559="",$D5559="",$E5559="",$H5559=""),"",SUMIFS(DATA_GOC!$H:$H,DATA_GOC!$A:$A,"BOM",DATA_GOC!$D:$D,$H5559,DATA_GOC!$E:$E,$C5559,DATA_GOC!$F:$F,"Xuất nội bộ từ téc",DATA_GOC!$B:$B,"&gt;="&amp;$D5559,DATA_GOC!$B:$B,"&lt;="&amp;$E5559))</f>
        <v/>
      </c>
      <c r="J5559" s="59">
        <f t="shared" si="28"/>
        <v>0</v>
      </c>
      <c r="K5559" s="59">
        <f t="shared" si="29"/>
        <v>0</v>
      </c>
      <c r="L5559" s="59">
        <f t="shared" si="30"/>
        <v>0</v>
      </c>
      <c r="M5559" s="59">
        <f t="shared" si="31"/>
        <v>0</v>
      </c>
    </row>
    <row r="5560" ht="15.0" hidden="1" customHeight="1">
      <c r="A5560" s="59">
        <f t="shared" si="20"/>
        <v>89</v>
      </c>
      <c r="B5560" s="59" t="str">
        <f t="shared" si="21"/>
        <v/>
      </c>
      <c r="C5560" s="59" t="str">
        <f t="shared" si="22"/>
        <v/>
      </c>
      <c r="D5560" s="45" t="str">
        <f t="shared" si="23"/>
        <v/>
      </c>
      <c r="E5560" s="45" t="str">
        <f t="shared" si="24"/>
        <v/>
      </c>
      <c r="F5560" s="59" t="str">
        <f t="shared" si="25"/>
        <v/>
      </c>
      <c r="G5560" s="59" t="str">
        <f t="shared" si="26"/>
        <v/>
      </c>
      <c r="H5560" s="59" t="str">
        <f t="shared" si="27"/>
        <v>LG53F</v>
      </c>
      <c r="I5560" s="59" t="str">
        <f>IF(OR($A5560="",$C5560="",$D5560="",$E5560="",$H5560=""),"",SUMIFS(DATA_GOC!$H:$H,DATA_GOC!$A:$A,"BOM",DATA_GOC!$D:$D,$H5560,DATA_GOC!$E:$E,$C5560,DATA_GOC!$F:$F,"Xuất nội bộ từ téc",DATA_GOC!$B:$B,"&gt;="&amp;$D5560,DATA_GOC!$B:$B,"&lt;="&amp;$E5560))</f>
        <v/>
      </c>
      <c r="J5560" s="59">
        <f t="shared" si="28"/>
        <v>0</v>
      </c>
      <c r="K5560" s="59">
        <f t="shared" si="29"/>
        <v>0</v>
      </c>
      <c r="L5560" s="59">
        <f t="shared" si="30"/>
        <v>0</v>
      </c>
      <c r="M5560" s="59">
        <f t="shared" si="31"/>
        <v>0</v>
      </c>
    </row>
    <row r="5561" ht="15.0" hidden="1" customHeight="1">
      <c r="A5561" s="59">
        <f t="shared" si="20"/>
        <v>89</v>
      </c>
      <c r="B5561" s="59" t="str">
        <f t="shared" si="21"/>
        <v/>
      </c>
      <c r="C5561" s="59" t="str">
        <f t="shared" si="22"/>
        <v/>
      </c>
      <c r="D5561" s="45" t="str">
        <f t="shared" si="23"/>
        <v/>
      </c>
      <c r="E5561" s="45" t="str">
        <f t="shared" si="24"/>
        <v/>
      </c>
      <c r="F5561" s="59" t="str">
        <f t="shared" si="25"/>
        <v/>
      </c>
      <c r="G5561" s="59" t="str">
        <f t="shared" si="26"/>
        <v/>
      </c>
      <c r="H5561" s="59" t="str">
        <f t="shared" si="27"/>
        <v>Máy phát điện</v>
      </c>
      <c r="I5561" s="59" t="str">
        <f>IF(OR($A5561="",$C5561="",$D5561="",$E5561="",$H5561=""),"",SUMIFS(DATA_GOC!$H:$H,DATA_GOC!$A:$A,"BOM",DATA_GOC!$D:$D,$H5561,DATA_GOC!$E:$E,$C5561,DATA_GOC!$F:$F,"Xuất nội bộ từ téc",DATA_GOC!$B:$B,"&gt;="&amp;$D5561,DATA_GOC!$B:$B,"&lt;="&amp;$E5561))</f>
        <v/>
      </c>
      <c r="J5561" s="59">
        <f t="shared" si="28"/>
        <v>0</v>
      </c>
      <c r="K5561" s="59">
        <f t="shared" si="29"/>
        <v>0</v>
      </c>
      <c r="L5561" s="59">
        <f t="shared" si="30"/>
        <v>0</v>
      </c>
      <c r="M5561" s="59">
        <f t="shared" si="31"/>
        <v>0</v>
      </c>
    </row>
    <row r="5562" ht="15.0" hidden="1" customHeight="1">
      <c r="A5562" s="59">
        <f t="shared" si="20"/>
        <v>89</v>
      </c>
      <c r="B5562" s="59" t="str">
        <f t="shared" si="21"/>
        <v/>
      </c>
      <c r="C5562" s="59" t="str">
        <f t="shared" si="22"/>
        <v/>
      </c>
      <c r="D5562" s="45" t="str">
        <f t="shared" si="23"/>
        <v/>
      </c>
      <c r="E5562" s="45" t="str">
        <f t="shared" si="24"/>
        <v/>
      </c>
      <c r="F5562" s="59" t="str">
        <f t="shared" si="25"/>
        <v/>
      </c>
      <c r="G5562" s="59" t="str">
        <f t="shared" si="26"/>
        <v/>
      </c>
      <c r="H5562" s="59" t="str">
        <f t="shared" si="27"/>
        <v>Máy rải thảm</v>
      </c>
      <c r="I5562" s="59" t="str">
        <f>IF(OR($A5562="",$C5562="",$D5562="",$E5562="",$H5562=""),"",SUMIFS(DATA_GOC!$H:$H,DATA_GOC!$A:$A,"BOM",DATA_GOC!$D:$D,$H5562,DATA_GOC!$E:$E,$C5562,DATA_GOC!$F:$F,"Xuất nội bộ từ téc",DATA_GOC!$B:$B,"&gt;="&amp;$D5562,DATA_GOC!$B:$B,"&lt;="&amp;$E5562))</f>
        <v/>
      </c>
      <c r="J5562" s="59">
        <f t="shared" si="28"/>
        <v>0</v>
      </c>
      <c r="K5562" s="59">
        <f t="shared" si="29"/>
        <v>0</v>
      </c>
      <c r="L5562" s="59">
        <f t="shared" si="30"/>
        <v>0</v>
      </c>
      <c r="M5562" s="59">
        <f t="shared" si="31"/>
        <v>0</v>
      </c>
    </row>
    <row r="5563" ht="15.0" hidden="1" customHeight="1">
      <c r="A5563" s="59">
        <f t="shared" si="20"/>
        <v>89</v>
      </c>
      <c r="B5563" s="59" t="str">
        <f t="shared" si="21"/>
        <v/>
      </c>
      <c r="C5563" s="59" t="str">
        <f t="shared" si="22"/>
        <v/>
      </c>
      <c r="D5563" s="45" t="str">
        <f t="shared" si="23"/>
        <v/>
      </c>
      <c r="E5563" s="45" t="str">
        <f t="shared" si="24"/>
        <v/>
      </c>
      <c r="F5563" s="59" t="str">
        <f t="shared" si="25"/>
        <v/>
      </c>
      <c r="G5563" s="59" t="str">
        <f t="shared" si="26"/>
        <v/>
      </c>
      <c r="H5563" s="59" t="str">
        <f t="shared" si="27"/>
        <v>Xúc Đào</v>
      </c>
      <c r="I5563" s="59" t="str">
        <f>IF(OR($A5563="",$C5563="",$D5563="",$E5563="",$H5563=""),"",SUMIFS(DATA_GOC!$H:$H,DATA_GOC!$A:$A,"BOM",DATA_GOC!$D:$D,$H5563,DATA_GOC!$E:$E,$C5563,DATA_GOC!$F:$F,"Xuất nội bộ từ téc",DATA_GOC!$B:$B,"&gt;="&amp;$D5563,DATA_GOC!$B:$B,"&lt;="&amp;$E5563))</f>
        <v/>
      </c>
      <c r="J5563" s="59">
        <f t="shared" si="28"/>
        <v>0</v>
      </c>
      <c r="K5563" s="59">
        <f t="shared" si="29"/>
        <v>0</v>
      </c>
      <c r="L5563" s="59">
        <f t="shared" si="30"/>
        <v>0</v>
      </c>
      <c r="M5563" s="59">
        <f t="shared" si="31"/>
        <v>0</v>
      </c>
    </row>
    <row r="5564" ht="15.0" hidden="1" customHeight="1">
      <c r="A5564" s="59">
        <f t="shared" si="20"/>
        <v>89</v>
      </c>
      <c r="B5564" s="59" t="str">
        <f t="shared" si="21"/>
        <v/>
      </c>
      <c r="C5564" s="59" t="str">
        <f t="shared" si="22"/>
        <v/>
      </c>
      <c r="D5564" s="45" t="str">
        <f t="shared" si="23"/>
        <v/>
      </c>
      <c r="E5564" s="45" t="str">
        <f t="shared" si="24"/>
        <v/>
      </c>
      <c r="F5564" s="59" t="str">
        <f t="shared" si="25"/>
        <v/>
      </c>
      <c r="G5564" s="59" t="str">
        <f t="shared" si="26"/>
        <v/>
      </c>
      <c r="H5564" s="59" t="str">
        <f t="shared" si="27"/>
        <v>Xúclật asphalt</v>
      </c>
      <c r="I5564" s="59" t="str">
        <f>IF(OR($A5564="",$C5564="",$D5564="",$E5564="",$H5564=""),"",SUMIFS(DATA_GOC!$H:$H,DATA_GOC!$A:$A,"BOM",DATA_GOC!$D:$D,$H5564,DATA_GOC!$E:$E,$C5564,DATA_GOC!$F:$F,"Xuất nội bộ từ téc",DATA_GOC!$B:$B,"&gt;="&amp;$D5564,DATA_GOC!$B:$B,"&lt;="&amp;$E5564))</f>
        <v/>
      </c>
      <c r="J5564" s="59">
        <f t="shared" si="28"/>
        <v>0</v>
      </c>
      <c r="K5564" s="59">
        <f t="shared" si="29"/>
        <v>0</v>
      </c>
      <c r="L5564" s="59">
        <f t="shared" si="30"/>
        <v>0</v>
      </c>
      <c r="M5564" s="59">
        <f t="shared" si="31"/>
        <v>0</v>
      </c>
    </row>
    <row r="5565" ht="15.0" hidden="1" customHeight="1">
      <c r="A5565" s="59">
        <f t="shared" si="20"/>
        <v>89</v>
      </c>
      <c r="B5565" s="59" t="str">
        <f t="shared" si="21"/>
        <v/>
      </c>
      <c r="C5565" s="59" t="str">
        <f t="shared" si="22"/>
        <v/>
      </c>
      <c r="D5565" s="45" t="str">
        <f t="shared" si="23"/>
        <v/>
      </c>
      <c r="E5565" s="45" t="str">
        <f t="shared" si="24"/>
        <v/>
      </c>
      <c r="F5565" s="59" t="str">
        <f t="shared" si="25"/>
        <v/>
      </c>
      <c r="G5565" s="59" t="str">
        <f t="shared" si="26"/>
        <v/>
      </c>
      <c r="H5565" s="59" t="str">
        <f t="shared" si="27"/>
        <v>Xúclật855H</v>
      </c>
      <c r="I5565" s="59" t="str">
        <f>IF(OR($A5565="",$C5565="",$D5565="",$E5565="",$H5565=""),"",SUMIFS(DATA_GOC!$H:$H,DATA_GOC!$A:$A,"BOM",DATA_GOC!$D:$D,$H5565,DATA_GOC!$E:$E,$C5565,DATA_GOC!$F:$F,"Xuất nội bộ từ téc",DATA_GOC!$B:$B,"&gt;="&amp;$D5565,DATA_GOC!$B:$B,"&lt;="&amp;$E5565))</f>
        <v/>
      </c>
      <c r="J5565" s="59">
        <f t="shared" si="28"/>
        <v>0</v>
      </c>
      <c r="K5565" s="59">
        <f t="shared" si="29"/>
        <v>0</v>
      </c>
      <c r="L5565" s="59">
        <f t="shared" si="30"/>
        <v>0</v>
      </c>
      <c r="M5565" s="59">
        <f t="shared" si="31"/>
        <v>0</v>
      </c>
    </row>
    <row r="5566" ht="15.0" hidden="1" customHeight="1">
      <c r="A5566" s="59">
        <f t="shared" si="20"/>
        <v>89</v>
      </c>
      <c r="B5566" s="59" t="str">
        <f t="shared" si="21"/>
        <v/>
      </c>
      <c r="C5566" s="59" t="str">
        <f t="shared" si="22"/>
        <v/>
      </c>
      <c r="D5566" s="45" t="str">
        <f t="shared" si="23"/>
        <v/>
      </c>
      <c r="E5566" s="45" t="str">
        <f t="shared" si="24"/>
        <v/>
      </c>
      <c r="F5566" s="59" t="str">
        <f t="shared" si="25"/>
        <v/>
      </c>
      <c r="G5566" s="59" t="str">
        <f t="shared" si="26"/>
        <v/>
      </c>
      <c r="H5566" s="59" t="str">
        <f t="shared" si="27"/>
        <v>Xúclật855N</v>
      </c>
      <c r="I5566" s="59" t="str">
        <f>IF(OR($A5566="",$C5566="",$D5566="",$E5566="",$H5566=""),"",SUMIFS(DATA_GOC!$H:$H,DATA_GOC!$A:$A,"BOM",DATA_GOC!$D:$D,$H5566,DATA_GOC!$E:$E,$C5566,DATA_GOC!$F:$F,"Xuất nội bộ từ téc",DATA_GOC!$B:$B,"&gt;="&amp;$D5566,DATA_GOC!$B:$B,"&lt;="&amp;$E5566))</f>
        <v/>
      </c>
      <c r="J5566" s="59">
        <f t="shared" si="28"/>
        <v>0</v>
      </c>
      <c r="K5566" s="59">
        <f t="shared" si="29"/>
        <v>0</v>
      </c>
      <c r="L5566" s="59">
        <f t="shared" si="30"/>
        <v>0</v>
      </c>
      <c r="M5566" s="59">
        <f t="shared" si="31"/>
        <v>0</v>
      </c>
    </row>
    <row r="5567" ht="15.0" hidden="1" customHeight="1">
      <c r="A5567" s="59">
        <f t="shared" si="20"/>
        <v>89</v>
      </c>
      <c r="B5567" s="59" t="str">
        <f t="shared" si="21"/>
        <v/>
      </c>
      <c r="C5567" s="59" t="str">
        <f t="shared" si="22"/>
        <v/>
      </c>
      <c r="D5567" s="45" t="str">
        <f t="shared" si="23"/>
        <v/>
      </c>
      <c r="E5567" s="45" t="str">
        <f t="shared" si="24"/>
        <v/>
      </c>
      <c r="F5567" s="59" t="str">
        <f t="shared" si="25"/>
        <v/>
      </c>
      <c r="G5567" s="59" t="str">
        <f t="shared" si="26"/>
        <v/>
      </c>
      <c r="H5567" s="59" t="str">
        <f t="shared" si="27"/>
        <v>Cát nghiền</v>
      </c>
      <c r="I5567" s="59" t="str">
        <f>IF(OR($A5567="",$C5567="",$D5567="",$E5567="",$H5567=""),"",SUMIFS(DATA_GOC!$H:$H,DATA_GOC!$A:$A,"BOM",DATA_GOC!$D:$D,$H5567,DATA_GOC!$E:$E,$C5567,DATA_GOC!$F:$F,"Xuất nội bộ từ téc",DATA_GOC!$B:$B,"&gt;="&amp;$D5567,DATA_GOC!$B:$B,"&lt;="&amp;$E5567))</f>
        <v/>
      </c>
      <c r="J5567" s="59">
        <f t="shared" si="28"/>
        <v>0</v>
      </c>
      <c r="K5567" s="59">
        <f t="shared" si="29"/>
        <v>0</v>
      </c>
      <c r="L5567" s="59">
        <f t="shared" si="30"/>
        <v>0</v>
      </c>
      <c r="M5567" s="59">
        <f t="shared" si="31"/>
        <v>0</v>
      </c>
    </row>
    <row r="5568" ht="15.0" hidden="1" customHeight="1">
      <c r="A5568" s="59">
        <f t="shared" si="20"/>
        <v>89</v>
      </c>
      <c r="B5568" s="59" t="str">
        <f t="shared" si="21"/>
        <v/>
      </c>
      <c r="C5568" s="59" t="str">
        <f t="shared" si="22"/>
        <v/>
      </c>
      <c r="D5568" s="45" t="str">
        <f t="shared" si="23"/>
        <v/>
      </c>
      <c r="E5568" s="45" t="str">
        <f t="shared" si="24"/>
        <v/>
      </c>
      <c r="F5568" s="59" t="str">
        <f t="shared" si="25"/>
        <v/>
      </c>
      <c r="G5568" s="59" t="str">
        <f t="shared" si="26"/>
        <v/>
      </c>
      <c r="H5568" s="59" t="str">
        <f t="shared" si="27"/>
        <v>28C02973</v>
      </c>
      <c r="I5568" s="59" t="str">
        <f>IF(OR($A5568="",$C5568="",$D5568="",$E5568="",$H5568=""),"",SUMIFS(DATA_GOC!$H:$H,DATA_GOC!$A:$A,"BOM",DATA_GOC!$D:$D,$H5568,DATA_GOC!$E:$E,$C5568,DATA_GOC!$F:$F,"Xuất nội bộ từ téc",DATA_GOC!$B:$B,"&gt;="&amp;$D5568,DATA_GOC!$B:$B,"&lt;="&amp;$E5568))</f>
        <v/>
      </c>
      <c r="J5568" s="59">
        <f t="shared" si="28"/>
        <v>0</v>
      </c>
      <c r="K5568" s="59">
        <f t="shared" si="29"/>
        <v>0</v>
      </c>
      <c r="L5568" s="59">
        <f t="shared" si="30"/>
        <v>0</v>
      </c>
      <c r="M5568" s="59">
        <f t="shared" si="31"/>
        <v>0</v>
      </c>
    </row>
    <row r="5569" ht="15.0" hidden="1" customHeight="1">
      <c r="A5569" s="59">
        <f t="shared" si="20"/>
        <v>89</v>
      </c>
      <c r="B5569" s="59" t="str">
        <f t="shared" si="21"/>
        <v/>
      </c>
      <c r="C5569" s="59" t="str">
        <f t="shared" si="22"/>
        <v/>
      </c>
      <c r="D5569" s="45" t="str">
        <f t="shared" si="23"/>
        <v/>
      </c>
      <c r="E5569" s="45" t="str">
        <f t="shared" si="24"/>
        <v/>
      </c>
      <c r="F5569" s="59" t="str">
        <f t="shared" si="25"/>
        <v/>
      </c>
      <c r="G5569" s="59" t="str">
        <f t="shared" si="26"/>
        <v/>
      </c>
      <c r="H5569" s="59" t="str">
        <f t="shared" si="27"/>
        <v>28C03044</v>
      </c>
      <c r="I5569" s="59" t="str">
        <f>IF(OR($A5569="",$C5569="",$D5569="",$E5569="",$H5569=""),"",SUMIFS(DATA_GOC!$H:$H,DATA_GOC!$A:$A,"BOM",DATA_GOC!$D:$D,$H5569,DATA_GOC!$E:$E,$C5569,DATA_GOC!$F:$F,"Xuất nội bộ từ téc",DATA_GOC!$B:$B,"&gt;="&amp;$D5569,DATA_GOC!$B:$B,"&lt;="&amp;$E5569))</f>
        <v/>
      </c>
      <c r="J5569" s="59">
        <f t="shared" si="28"/>
        <v>0</v>
      </c>
      <c r="K5569" s="59">
        <f t="shared" si="29"/>
        <v>0</v>
      </c>
      <c r="L5569" s="59">
        <f t="shared" si="30"/>
        <v>0</v>
      </c>
      <c r="M5569" s="59">
        <f t="shared" si="31"/>
        <v>0</v>
      </c>
    </row>
    <row r="5570" ht="15.0" hidden="1" customHeight="1">
      <c r="A5570" s="59">
        <f t="shared" si="20"/>
        <v>89</v>
      </c>
      <c r="B5570" s="59" t="str">
        <f t="shared" si="21"/>
        <v/>
      </c>
      <c r="C5570" s="59" t="str">
        <f t="shared" si="22"/>
        <v/>
      </c>
      <c r="D5570" s="45" t="str">
        <f t="shared" si="23"/>
        <v/>
      </c>
      <c r="E5570" s="45" t="str">
        <f t="shared" si="24"/>
        <v/>
      </c>
      <c r="F5570" s="59" t="str">
        <f t="shared" si="25"/>
        <v/>
      </c>
      <c r="G5570" s="59" t="str">
        <f t="shared" si="26"/>
        <v/>
      </c>
      <c r="H5570" s="59" t="str">
        <f t="shared" si="27"/>
        <v>Máy lu lốp</v>
      </c>
      <c r="I5570" s="59" t="str">
        <f>IF(OR($A5570="",$C5570="",$D5570="",$E5570="",$H5570=""),"",SUMIFS(DATA_GOC!$H:$H,DATA_GOC!$A:$A,"BOM",DATA_GOC!$D:$D,$H5570,DATA_GOC!$E:$E,$C5570,DATA_GOC!$F:$F,"Xuất nội bộ từ téc",DATA_GOC!$B:$B,"&gt;="&amp;$D5570,DATA_GOC!$B:$B,"&lt;="&amp;$E5570))</f>
        <v/>
      </c>
      <c r="J5570" s="59">
        <f t="shared" si="28"/>
        <v>0</v>
      </c>
      <c r="K5570" s="59">
        <f t="shared" si="29"/>
        <v>0</v>
      </c>
      <c r="L5570" s="59">
        <f t="shared" si="30"/>
        <v>0</v>
      </c>
      <c r="M5570" s="59">
        <f t="shared" si="31"/>
        <v>0</v>
      </c>
    </row>
    <row r="5571" ht="15.0" hidden="1" customHeight="1">
      <c r="A5571" s="59">
        <f t="shared" si="20"/>
        <v>89</v>
      </c>
      <c r="B5571" s="59" t="str">
        <f t="shared" si="21"/>
        <v/>
      </c>
      <c r="C5571" s="59" t="str">
        <f t="shared" si="22"/>
        <v/>
      </c>
      <c r="D5571" s="45" t="str">
        <f t="shared" si="23"/>
        <v/>
      </c>
      <c r="E5571" s="45" t="str">
        <f t="shared" si="24"/>
        <v/>
      </c>
      <c r="F5571" s="59" t="str">
        <f t="shared" si="25"/>
        <v/>
      </c>
      <c r="G5571" s="59" t="str">
        <f t="shared" si="26"/>
        <v/>
      </c>
      <c r="H5571" s="59" t="str">
        <f t="shared" si="27"/>
        <v>Xe 600148</v>
      </c>
      <c r="I5571" s="59" t="str">
        <f>IF(OR($A5571="",$C5571="",$D5571="",$E5571="",$H5571=""),"",SUMIFS(DATA_GOC!$H:$H,DATA_GOC!$A:$A,"BOM",DATA_GOC!$D:$D,$H5571,DATA_GOC!$E:$E,$C5571,DATA_GOC!$F:$F,"Xuất nội bộ từ téc",DATA_GOC!$B:$B,"&gt;="&amp;$D5571,DATA_GOC!$B:$B,"&lt;="&amp;$E5571))</f>
        <v/>
      </c>
      <c r="J5571" s="59">
        <f t="shared" si="28"/>
        <v>0</v>
      </c>
      <c r="K5571" s="59">
        <f t="shared" si="29"/>
        <v>0</v>
      </c>
      <c r="L5571" s="59">
        <f t="shared" si="30"/>
        <v>0</v>
      </c>
      <c r="M5571" s="59">
        <f t="shared" si="31"/>
        <v>0</v>
      </c>
    </row>
    <row r="5572" ht="15.0" hidden="1" customHeight="1">
      <c r="A5572" s="59">
        <f t="shared" si="20"/>
        <v>89</v>
      </c>
      <c r="B5572" s="59" t="str">
        <f t="shared" si="21"/>
        <v/>
      </c>
      <c r="C5572" s="59" t="str">
        <f t="shared" si="22"/>
        <v/>
      </c>
      <c r="D5572" s="45" t="str">
        <f t="shared" si="23"/>
        <v/>
      </c>
      <c r="E5572" s="45" t="str">
        <f t="shared" si="24"/>
        <v/>
      </c>
      <c r="F5572" s="59" t="str">
        <f t="shared" si="25"/>
        <v/>
      </c>
      <c r="G5572" s="59" t="str">
        <f t="shared" si="26"/>
        <v/>
      </c>
      <c r="H5572" s="59" t="str">
        <f t="shared" si="27"/>
        <v>Xe ben mới</v>
      </c>
      <c r="I5572" s="59" t="str">
        <f>IF(OR($A5572="",$C5572="",$D5572="",$E5572="",$H5572=""),"",SUMIFS(DATA_GOC!$H:$H,DATA_GOC!$A:$A,"BOM",DATA_GOC!$D:$D,$H5572,DATA_GOC!$E:$E,$C5572,DATA_GOC!$F:$F,"Xuất nội bộ từ téc",DATA_GOC!$B:$B,"&gt;="&amp;$D5572,DATA_GOC!$B:$B,"&lt;="&amp;$E5572))</f>
        <v/>
      </c>
      <c r="J5572" s="59">
        <f t="shared" si="28"/>
        <v>0</v>
      </c>
      <c r="K5572" s="59">
        <f t="shared" si="29"/>
        <v>0</v>
      </c>
      <c r="L5572" s="59">
        <f t="shared" si="30"/>
        <v>0</v>
      </c>
      <c r="M5572" s="59">
        <f t="shared" si="31"/>
        <v>0</v>
      </c>
    </row>
    <row r="5573" ht="15.0" hidden="1" customHeight="1">
      <c r="A5573" s="59">
        <f t="shared" si="20"/>
        <v>90</v>
      </c>
      <c r="B5573" s="59" t="str">
        <f t="shared" si="21"/>
        <v/>
      </c>
      <c r="C5573" s="59" t="str">
        <f t="shared" si="22"/>
        <v/>
      </c>
      <c r="D5573" s="45" t="str">
        <f t="shared" si="23"/>
        <v/>
      </c>
      <c r="E5573" s="45" t="str">
        <f t="shared" si="24"/>
        <v/>
      </c>
      <c r="F5573" s="59" t="str">
        <f t="shared" si="25"/>
        <v/>
      </c>
      <c r="G5573" s="59" t="str">
        <f t="shared" si="26"/>
        <v/>
      </c>
      <c r="H5573" s="59" t="str">
        <f t="shared" si="27"/>
        <v>19H09482</v>
      </c>
      <c r="I5573" s="59" t="str">
        <f>IF(OR($A5573="",$C5573="",$D5573="",$E5573="",$H5573=""),"",SUMIFS(DATA_GOC!$H:$H,DATA_GOC!$A:$A,"BOM",DATA_GOC!$D:$D,$H5573,DATA_GOC!$E:$E,$C5573,DATA_GOC!$F:$F,"Xuất nội bộ từ téc",DATA_GOC!$B:$B,"&gt;="&amp;$D5573,DATA_GOC!$B:$B,"&lt;="&amp;$E5573))</f>
        <v/>
      </c>
      <c r="J5573" s="59">
        <f t="shared" si="28"/>
        <v>0</v>
      </c>
      <c r="K5573" s="59">
        <f t="shared" si="29"/>
        <v>0</v>
      </c>
      <c r="L5573" s="59">
        <f t="shared" si="30"/>
        <v>0</v>
      </c>
      <c r="M5573" s="59">
        <f t="shared" si="31"/>
        <v>0</v>
      </c>
    </row>
    <row r="5574" ht="15.0" hidden="1" customHeight="1">
      <c r="A5574" s="59">
        <f t="shared" si="20"/>
        <v>90</v>
      </c>
      <c r="B5574" s="59" t="str">
        <f t="shared" si="21"/>
        <v/>
      </c>
      <c r="C5574" s="59" t="str">
        <f t="shared" si="22"/>
        <v/>
      </c>
      <c r="D5574" s="45" t="str">
        <f t="shared" si="23"/>
        <v/>
      </c>
      <c r="E5574" s="45" t="str">
        <f t="shared" si="24"/>
        <v/>
      </c>
      <c r="F5574" s="59" t="str">
        <f t="shared" si="25"/>
        <v/>
      </c>
      <c r="G5574" s="59" t="str">
        <f t="shared" si="26"/>
        <v/>
      </c>
      <c r="H5574" s="59" t="str">
        <f t="shared" si="27"/>
        <v>28A30696</v>
      </c>
      <c r="I5574" s="59" t="str">
        <f>IF(OR($A5574="",$C5574="",$D5574="",$E5574="",$H5574=""),"",SUMIFS(DATA_GOC!$H:$H,DATA_GOC!$A:$A,"BOM",DATA_GOC!$D:$D,$H5574,DATA_GOC!$E:$E,$C5574,DATA_GOC!$F:$F,"Xuất nội bộ từ téc",DATA_GOC!$B:$B,"&gt;="&amp;$D5574,DATA_GOC!$B:$B,"&lt;="&amp;$E5574))</f>
        <v/>
      </c>
      <c r="J5574" s="59">
        <f t="shared" si="28"/>
        <v>0</v>
      </c>
      <c r="K5574" s="59">
        <f t="shared" si="29"/>
        <v>0</v>
      </c>
      <c r="L5574" s="59">
        <f t="shared" si="30"/>
        <v>0</v>
      </c>
      <c r="M5574" s="59">
        <f t="shared" si="31"/>
        <v>0</v>
      </c>
    </row>
    <row r="5575" ht="15.0" hidden="1" customHeight="1">
      <c r="A5575" s="59">
        <f t="shared" si="20"/>
        <v>90</v>
      </c>
      <c r="B5575" s="59" t="str">
        <f t="shared" si="21"/>
        <v/>
      </c>
      <c r="C5575" s="59" t="str">
        <f t="shared" si="22"/>
        <v/>
      </c>
      <c r="D5575" s="45" t="str">
        <f t="shared" si="23"/>
        <v/>
      </c>
      <c r="E5575" s="45" t="str">
        <f t="shared" si="24"/>
        <v/>
      </c>
      <c r="F5575" s="59" t="str">
        <f t="shared" si="25"/>
        <v/>
      </c>
      <c r="G5575" s="59" t="str">
        <f t="shared" si="26"/>
        <v/>
      </c>
      <c r="H5575" s="59" t="str">
        <f t="shared" si="27"/>
        <v>28C00462</v>
      </c>
      <c r="I5575" s="59" t="str">
        <f>IF(OR($A5575="",$C5575="",$D5575="",$E5575="",$H5575=""),"",SUMIFS(DATA_GOC!$H:$H,DATA_GOC!$A:$A,"BOM",DATA_GOC!$D:$D,$H5575,DATA_GOC!$E:$E,$C5575,DATA_GOC!$F:$F,"Xuất nội bộ từ téc",DATA_GOC!$B:$B,"&gt;="&amp;$D5575,DATA_GOC!$B:$B,"&lt;="&amp;$E5575))</f>
        <v/>
      </c>
      <c r="J5575" s="59">
        <f t="shared" si="28"/>
        <v>0</v>
      </c>
      <c r="K5575" s="59">
        <f t="shared" si="29"/>
        <v>0</v>
      </c>
      <c r="L5575" s="59">
        <f t="shared" si="30"/>
        <v>0</v>
      </c>
      <c r="M5575" s="59">
        <f t="shared" si="31"/>
        <v>0</v>
      </c>
    </row>
    <row r="5576" ht="15.0" hidden="1" customHeight="1">
      <c r="A5576" s="59">
        <f t="shared" si="20"/>
        <v>90</v>
      </c>
      <c r="B5576" s="59" t="str">
        <f t="shared" si="21"/>
        <v/>
      </c>
      <c r="C5576" s="59" t="str">
        <f t="shared" si="22"/>
        <v/>
      </c>
      <c r="D5576" s="45" t="str">
        <f t="shared" si="23"/>
        <v/>
      </c>
      <c r="E5576" s="45" t="str">
        <f t="shared" si="24"/>
        <v/>
      </c>
      <c r="F5576" s="59" t="str">
        <f t="shared" si="25"/>
        <v/>
      </c>
      <c r="G5576" s="59" t="str">
        <f t="shared" si="26"/>
        <v/>
      </c>
      <c r="H5576" s="59" t="str">
        <f t="shared" si="27"/>
        <v>28C01165</v>
      </c>
      <c r="I5576" s="59" t="str">
        <f>IF(OR($A5576="",$C5576="",$D5576="",$E5576="",$H5576=""),"",SUMIFS(DATA_GOC!$H:$H,DATA_GOC!$A:$A,"BOM",DATA_GOC!$D:$D,$H5576,DATA_GOC!$E:$E,$C5576,DATA_GOC!$F:$F,"Xuất nội bộ từ téc",DATA_GOC!$B:$B,"&gt;="&amp;$D5576,DATA_GOC!$B:$B,"&lt;="&amp;$E5576))</f>
        <v/>
      </c>
      <c r="J5576" s="59">
        <f t="shared" si="28"/>
        <v>0</v>
      </c>
      <c r="K5576" s="59">
        <f t="shared" si="29"/>
        <v>0</v>
      </c>
      <c r="L5576" s="59">
        <f t="shared" si="30"/>
        <v>0</v>
      </c>
      <c r="M5576" s="59">
        <f t="shared" si="31"/>
        <v>0</v>
      </c>
    </row>
    <row r="5577" ht="15.0" hidden="1" customHeight="1">
      <c r="A5577" s="59">
        <f t="shared" si="20"/>
        <v>90</v>
      </c>
      <c r="B5577" s="59" t="str">
        <f t="shared" si="21"/>
        <v/>
      </c>
      <c r="C5577" s="59" t="str">
        <f t="shared" si="22"/>
        <v/>
      </c>
      <c r="D5577" s="45" t="str">
        <f t="shared" si="23"/>
        <v/>
      </c>
      <c r="E5577" s="45" t="str">
        <f t="shared" si="24"/>
        <v/>
      </c>
      <c r="F5577" s="59" t="str">
        <f t="shared" si="25"/>
        <v/>
      </c>
      <c r="G5577" s="59" t="str">
        <f t="shared" si="26"/>
        <v/>
      </c>
      <c r="H5577" s="59" t="str">
        <f t="shared" si="27"/>
        <v>28C01406</v>
      </c>
      <c r="I5577" s="59" t="str">
        <f>IF(OR($A5577="",$C5577="",$D5577="",$E5577="",$H5577=""),"",SUMIFS(DATA_GOC!$H:$H,DATA_GOC!$A:$A,"BOM",DATA_GOC!$D:$D,$H5577,DATA_GOC!$E:$E,$C5577,DATA_GOC!$F:$F,"Xuất nội bộ từ téc",DATA_GOC!$B:$B,"&gt;="&amp;$D5577,DATA_GOC!$B:$B,"&lt;="&amp;$E5577))</f>
        <v/>
      </c>
      <c r="J5577" s="59">
        <f t="shared" si="28"/>
        <v>0</v>
      </c>
      <c r="K5577" s="59">
        <f t="shared" si="29"/>
        <v>0</v>
      </c>
      <c r="L5577" s="59">
        <f t="shared" si="30"/>
        <v>0</v>
      </c>
      <c r="M5577" s="59">
        <f t="shared" si="31"/>
        <v>0</v>
      </c>
    </row>
    <row r="5578" ht="15.0" hidden="1" customHeight="1">
      <c r="A5578" s="59">
        <f t="shared" si="20"/>
        <v>90</v>
      </c>
      <c r="B5578" s="59" t="str">
        <f t="shared" si="21"/>
        <v/>
      </c>
      <c r="C5578" s="59" t="str">
        <f t="shared" si="22"/>
        <v/>
      </c>
      <c r="D5578" s="45" t="str">
        <f t="shared" si="23"/>
        <v/>
      </c>
      <c r="E5578" s="45" t="str">
        <f t="shared" si="24"/>
        <v/>
      </c>
      <c r="F5578" s="59" t="str">
        <f t="shared" si="25"/>
        <v/>
      </c>
      <c r="G5578" s="59" t="str">
        <f t="shared" si="26"/>
        <v/>
      </c>
      <c r="H5578" s="59" t="str">
        <f t="shared" si="27"/>
        <v>28C01544</v>
      </c>
      <c r="I5578" s="59" t="str">
        <f>IF(OR($A5578="",$C5578="",$D5578="",$E5578="",$H5578=""),"",SUMIFS(DATA_GOC!$H:$H,DATA_GOC!$A:$A,"BOM",DATA_GOC!$D:$D,$H5578,DATA_GOC!$E:$E,$C5578,DATA_GOC!$F:$F,"Xuất nội bộ từ téc",DATA_GOC!$B:$B,"&gt;="&amp;$D5578,DATA_GOC!$B:$B,"&lt;="&amp;$E5578))</f>
        <v/>
      </c>
      <c r="J5578" s="59">
        <f t="shared" si="28"/>
        <v>0</v>
      </c>
      <c r="K5578" s="59">
        <f t="shared" si="29"/>
        <v>0</v>
      </c>
      <c r="L5578" s="59">
        <f t="shared" si="30"/>
        <v>0</v>
      </c>
      <c r="M5578" s="59">
        <f t="shared" si="31"/>
        <v>0</v>
      </c>
    </row>
    <row r="5579" ht="15.0" hidden="1" customHeight="1">
      <c r="A5579" s="59">
        <f t="shared" si="20"/>
        <v>90</v>
      </c>
      <c r="B5579" s="59" t="str">
        <f t="shared" si="21"/>
        <v/>
      </c>
      <c r="C5579" s="59" t="str">
        <f t="shared" si="22"/>
        <v/>
      </c>
      <c r="D5579" s="45" t="str">
        <f t="shared" si="23"/>
        <v/>
      </c>
      <c r="E5579" s="45" t="str">
        <f t="shared" si="24"/>
        <v/>
      </c>
      <c r="F5579" s="59" t="str">
        <f t="shared" si="25"/>
        <v/>
      </c>
      <c r="G5579" s="59" t="str">
        <f t="shared" si="26"/>
        <v/>
      </c>
      <c r="H5579" s="59" t="str">
        <f t="shared" si="27"/>
        <v>28C01622</v>
      </c>
      <c r="I5579" s="59" t="str">
        <f>IF(OR($A5579="",$C5579="",$D5579="",$E5579="",$H5579=""),"",SUMIFS(DATA_GOC!$H:$H,DATA_GOC!$A:$A,"BOM",DATA_GOC!$D:$D,$H5579,DATA_GOC!$E:$E,$C5579,DATA_GOC!$F:$F,"Xuất nội bộ từ téc",DATA_GOC!$B:$B,"&gt;="&amp;$D5579,DATA_GOC!$B:$B,"&lt;="&amp;$E5579))</f>
        <v/>
      </c>
      <c r="J5579" s="59">
        <f t="shared" si="28"/>
        <v>0</v>
      </c>
      <c r="K5579" s="59">
        <f t="shared" si="29"/>
        <v>0</v>
      </c>
      <c r="L5579" s="59">
        <f t="shared" si="30"/>
        <v>0</v>
      </c>
      <c r="M5579" s="59">
        <f t="shared" si="31"/>
        <v>0</v>
      </c>
    </row>
    <row r="5580" ht="15.0" hidden="1" customHeight="1">
      <c r="A5580" s="59">
        <f t="shared" si="20"/>
        <v>90</v>
      </c>
      <c r="B5580" s="59" t="str">
        <f t="shared" si="21"/>
        <v/>
      </c>
      <c r="C5580" s="59" t="str">
        <f t="shared" si="22"/>
        <v/>
      </c>
      <c r="D5580" s="45" t="str">
        <f t="shared" si="23"/>
        <v/>
      </c>
      <c r="E5580" s="45" t="str">
        <f t="shared" si="24"/>
        <v/>
      </c>
      <c r="F5580" s="59" t="str">
        <f t="shared" si="25"/>
        <v/>
      </c>
      <c r="G5580" s="59" t="str">
        <f t="shared" si="26"/>
        <v/>
      </c>
      <c r="H5580" s="59" t="str">
        <f t="shared" si="27"/>
        <v>28C01647</v>
      </c>
      <c r="I5580" s="59" t="str">
        <f>IF(OR($A5580="",$C5580="",$D5580="",$E5580="",$H5580=""),"",SUMIFS(DATA_GOC!$H:$H,DATA_GOC!$A:$A,"BOM",DATA_GOC!$D:$D,$H5580,DATA_GOC!$E:$E,$C5580,DATA_GOC!$F:$F,"Xuất nội bộ từ téc",DATA_GOC!$B:$B,"&gt;="&amp;$D5580,DATA_GOC!$B:$B,"&lt;="&amp;$E5580))</f>
        <v/>
      </c>
      <c r="J5580" s="59">
        <f t="shared" si="28"/>
        <v>0</v>
      </c>
      <c r="K5580" s="59">
        <f t="shared" si="29"/>
        <v>0</v>
      </c>
      <c r="L5580" s="59">
        <f t="shared" si="30"/>
        <v>0</v>
      </c>
      <c r="M5580" s="59">
        <f t="shared" si="31"/>
        <v>0</v>
      </c>
    </row>
    <row r="5581" ht="15.0" hidden="1" customHeight="1">
      <c r="A5581" s="59">
        <f t="shared" si="20"/>
        <v>90</v>
      </c>
      <c r="B5581" s="59" t="str">
        <f t="shared" si="21"/>
        <v/>
      </c>
      <c r="C5581" s="59" t="str">
        <f t="shared" si="22"/>
        <v/>
      </c>
      <c r="D5581" s="45" t="str">
        <f t="shared" si="23"/>
        <v/>
      </c>
      <c r="E5581" s="45" t="str">
        <f t="shared" si="24"/>
        <v/>
      </c>
      <c r="F5581" s="59" t="str">
        <f t="shared" si="25"/>
        <v/>
      </c>
      <c r="G5581" s="59" t="str">
        <f t="shared" si="26"/>
        <v/>
      </c>
      <c r="H5581" s="59" t="str">
        <f t="shared" si="27"/>
        <v>28C01731</v>
      </c>
      <c r="I5581" s="59" t="str">
        <f>IF(OR($A5581="",$C5581="",$D5581="",$E5581="",$H5581=""),"",SUMIFS(DATA_GOC!$H:$H,DATA_GOC!$A:$A,"BOM",DATA_GOC!$D:$D,$H5581,DATA_GOC!$E:$E,$C5581,DATA_GOC!$F:$F,"Xuất nội bộ từ téc",DATA_GOC!$B:$B,"&gt;="&amp;$D5581,DATA_GOC!$B:$B,"&lt;="&amp;$E5581))</f>
        <v/>
      </c>
      <c r="J5581" s="59">
        <f t="shared" si="28"/>
        <v>0</v>
      </c>
      <c r="K5581" s="59">
        <f t="shared" si="29"/>
        <v>0</v>
      </c>
      <c r="L5581" s="59">
        <f t="shared" si="30"/>
        <v>0</v>
      </c>
      <c r="M5581" s="59">
        <f t="shared" si="31"/>
        <v>0</v>
      </c>
    </row>
    <row r="5582" ht="15.0" hidden="1" customHeight="1">
      <c r="A5582" s="59">
        <f t="shared" si="20"/>
        <v>90</v>
      </c>
      <c r="B5582" s="59" t="str">
        <f t="shared" si="21"/>
        <v/>
      </c>
      <c r="C5582" s="59" t="str">
        <f t="shared" si="22"/>
        <v/>
      </c>
      <c r="D5582" s="45" t="str">
        <f t="shared" si="23"/>
        <v/>
      </c>
      <c r="E5582" s="45" t="str">
        <f t="shared" si="24"/>
        <v/>
      </c>
      <c r="F5582" s="59" t="str">
        <f t="shared" si="25"/>
        <v/>
      </c>
      <c r="G5582" s="59" t="str">
        <f t="shared" si="26"/>
        <v/>
      </c>
      <c r="H5582" s="59" t="str">
        <f t="shared" si="27"/>
        <v>28C01743</v>
      </c>
      <c r="I5582" s="59" t="str">
        <f>IF(OR($A5582="",$C5582="",$D5582="",$E5582="",$H5582=""),"",SUMIFS(DATA_GOC!$H:$H,DATA_GOC!$A:$A,"BOM",DATA_GOC!$D:$D,$H5582,DATA_GOC!$E:$E,$C5582,DATA_GOC!$F:$F,"Xuất nội bộ từ téc",DATA_GOC!$B:$B,"&gt;="&amp;$D5582,DATA_GOC!$B:$B,"&lt;="&amp;$E5582))</f>
        <v/>
      </c>
      <c r="J5582" s="59">
        <f t="shared" si="28"/>
        <v>0</v>
      </c>
      <c r="K5582" s="59">
        <f t="shared" si="29"/>
        <v>0</v>
      </c>
      <c r="L5582" s="59">
        <f t="shared" si="30"/>
        <v>0</v>
      </c>
      <c r="M5582" s="59">
        <f t="shared" si="31"/>
        <v>0</v>
      </c>
    </row>
    <row r="5583" ht="15.0" hidden="1" customHeight="1">
      <c r="A5583" s="59">
        <f t="shared" si="20"/>
        <v>90</v>
      </c>
      <c r="B5583" s="59" t="str">
        <f t="shared" si="21"/>
        <v/>
      </c>
      <c r="C5583" s="59" t="str">
        <f t="shared" si="22"/>
        <v/>
      </c>
      <c r="D5583" s="45" t="str">
        <f t="shared" si="23"/>
        <v/>
      </c>
      <c r="E5583" s="45" t="str">
        <f t="shared" si="24"/>
        <v/>
      </c>
      <c r="F5583" s="59" t="str">
        <f t="shared" si="25"/>
        <v/>
      </c>
      <c r="G5583" s="59" t="str">
        <f t="shared" si="26"/>
        <v/>
      </c>
      <c r="H5583" s="59" t="str">
        <f t="shared" si="27"/>
        <v>28C02106</v>
      </c>
      <c r="I5583" s="59" t="str">
        <f>IF(OR($A5583="",$C5583="",$D5583="",$E5583="",$H5583=""),"",SUMIFS(DATA_GOC!$H:$H,DATA_GOC!$A:$A,"BOM",DATA_GOC!$D:$D,$H5583,DATA_GOC!$E:$E,$C5583,DATA_GOC!$F:$F,"Xuất nội bộ từ téc",DATA_GOC!$B:$B,"&gt;="&amp;$D5583,DATA_GOC!$B:$B,"&lt;="&amp;$E5583))</f>
        <v/>
      </c>
      <c r="J5583" s="59">
        <f t="shared" si="28"/>
        <v>0</v>
      </c>
      <c r="K5583" s="59">
        <f t="shared" si="29"/>
        <v>0</v>
      </c>
      <c r="L5583" s="59">
        <f t="shared" si="30"/>
        <v>0</v>
      </c>
      <c r="M5583" s="59">
        <f t="shared" si="31"/>
        <v>0</v>
      </c>
    </row>
    <row r="5584" ht="15.0" hidden="1" customHeight="1">
      <c r="A5584" s="59">
        <f t="shared" si="20"/>
        <v>90</v>
      </c>
      <c r="B5584" s="59" t="str">
        <f t="shared" si="21"/>
        <v/>
      </c>
      <c r="C5584" s="59" t="str">
        <f t="shared" si="22"/>
        <v/>
      </c>
      <c r="D5584" s="45" t="str">
        <f t="shared" si="23"/>
        <v/>
      </c>
      <c r="E5584" s="45" t="str">
        <f t="shared" si="24"/>
        <v/>
      </c>
      <c r="F5584" s="59" t="str">
        <f t="shared" si="25"/>
        <v/>
      </c>
      <c r="G5584" s="59" t="str">
        <f t="shared" si="26"/>
        <v/>
      </c>
      <c r="H5584" s="59" t="str">
        <f t="shared" si="27"/>
        <v>28C02410</v>
      </c>
      <c r="I5584" s="59" t="str">
        <f>IF(OR($A5584="",$C5584="",$D5584="",$E5584="",$H5584=""),"",SUMIFS(DATA_GOC!$H:$H,DATA_GOC!$A:$A,"BOM",DATA_GOC!$D:$D,$H5584,DATA_GOC!$E:$E,$C5584,DATA_GOC!$F:$F,"Xuất nội bộ từ téc",DATA_GOC!$B:$B,"&gt;="&amp;$D5584,DATA_GOC!$B:$B,"&lt;="&amp;$E5584))</f>
        <v/>
      </c>
      <c r="J5584" s="59">
        <f t="shared" si="28"/>
        <v>0</v>
      </c>
      <c r="K5584" s="59">
        <f t="shared" si="29"/>
        <v>0</v>
      </c>
      <c r="L5584" s="59">
        <f t="shared" si="30"/>
        <v>0</v>
      </c>
      <c r="M5584" s="59">
        <f t="shared" si="31"/>
        <v>0</v>
      </c>
    </row>
    <row r="5585" ht="15.0" hidden="1" customHeight="1">
      <c r="A5585" s="59">
        <f t="shared" si="20"/>
        <v>90</v>
      </c>
      <c r="B5585" s="59" t="str">
        <f t="shared" si="21"/>
        <v/>
      </c>
      <c r="C5585" s="59" t="str">
        <f t="shared" si="22"/>
        <v/>
      </c>
      <c r="D5585" s="45" t="str">
        <f t="shared" si="23"/>
        <v/>
      </c>
      <c r="E5585" s="45" t="str">
        <f t="shared" si="24"/>
        <v/>
      </c>
      <c r="F5585" s="59" t="str">
        <f t="shared" si="25"/>
        <v/>
      </c>
      <c r="G5585" s="59" t="str">
        <f t="shared" si="26"/>
        <v/>
      </c>
      <c r="H5585" s="59" t="str">
        <f t="shared" si="27"/>
        <v>28C02545</v>
      </c>
      <c r="I5585" s="59" t="str">
        <f>IF(OR($A5585="",$C5585="",$D5585="",$E5585="",$H5585=""),"",SUMIFS(DATA_GOC!$H:$H,DATA_GOC!$A:$A,"BOM",DATA_GOC!$D:$D,$H5585,DATA_GOC!$E:$E,$C5585,DATA_GOC!$F:$F,"Xuất nội bộ từ téc",DATA_GOC!$B:$B,"&gt;="&amp;$D5585,DATA_GOC!$B:$B,"&lt;="&amp;$E5585))</f>
        <v/>
      </c>
      <c r="J5585" s="59">
        <f t="shared" si="28"/>
        <v>0</v>
      </c>
      <c r="K5585" s="59">
        <f t="shared" si="29"/>
        <v>0</v>
      </c>
      <c r="L5585" s="59">
        <f t="shared" si="30"/>
        <v>0</v>
      </c>
      <c r="M5585" s="59">
        <f t="shared" si="31"/>
        <v>0</v>
      </c>
    </row>
    <row r="5586" ht="15.0" hidden="1" customHeight="1">
      <c r="A5586" s="59">
        <f t="shared" si="20"/>
        <v>90</v>
      </c>
      <c r="B5586" s="59" t="str">
        <f t="shared" si="21"/>
        <v/>
      </c>
      <c r="C5586" s="59" t="str">
        <f t="shared" si="22"/>
        <v/>
      </c>
      <c r="D5586" s="45" t="str">
        <f t="shared" si="23"/>
        <v/>
      </c>
      <c r="E5586" s="45" t="str">
        <f t="shared" si="24"/>
        <v/>
      </c>
      <c r="F5586" s="59" t="str">
        <f t="shared" si="25"/>
        <v/>
      </c>
      <c r="G5586" s="59" t="str">
        <f t="shared" si="26"/>
        <v/>
      </c>
      <c r="H5586" s="59" t="str">
        <f t="shared" si="27"/>
        <v>28C02574</v>
      </c>
      <c r="I5586" s="59" t="str">
        <f>IF(OR($A5586="",$C5586="",$D5586="",$E5586="",$H5586=""),"",SUMIFS(DATA_GOC!$H:$H,DATA_GOC!$A:$A,"BOM",DATA_GOC!$D:$D,$H5586,DATA_GOC!$E:$E,$C5586,DATA_GOC!$F:$F,"Xuất nội bộ từ téc",DATA_GOC!$B:$B,"&gt;="&amp;$D5586,DATA_GOC!$B:$B,"&lt;="&amp;$E5586))</f>
        <v/>
      </c>
      <c r="J5586" s="59">
        <f t="shared" si="28"/>
        <v>0</v>
      </c>
      <c r="K5586" s="59">
        <f t="shared" si="29"/>
        <v>0</v>
      </c>
      <c r="L5586" s="59">
        <f t="shared" si="30"/>
        <v>0</v>
      </c>
      <c r="M5586" s="59">
        <f t="shared" si="31"/>
        <v>0</v>
      </c>
    </row>
    <row r="5587" ht="15.0" hidden="1" customHeight="1">
      <c r="A5587" s="59">
        <f t="shared" si="20"/>
        <v>90</v>
      </c>
      <c r="B5587" s="59" t="str">
        <f t="shared" si="21"/>
        <v/>
      </c>
      <c r="C5587" s="59" t="str">
        <f t="shared" si="22"/>
        <v/>
      </c>
      <c r="D5587" s="45" t="str">
        <f t="shared" si="23"/>
        <v/>
      </c>
      <c r="E5587" s="45" t="str">
        <f t="shared" si="24"/>
        <v/>
      </c>
      <c r="F5587" s="59" t="str">
        <f t="shared" si="25"/>
        <v/>
      </c>
      <c r="G5587" s="59" t="str">
        <f t="shared" si="26"/>
        <v/>
      </c>
      <c r="H5587" s="59" t="str">
        <f t="shared" si="27"/>
        <v>28C02770</v>
      </c>
      <c r="I5587" s="59" t="str">
        <f>IF(OR($A5587="",$C5587="",$D5587="",$E5587="",$H5587=""),"",SUMIFS(DATA_GOC!$H:$H,DATA_GOC!$A:$A,"BOM",DATA_GOC!$D:$D,$H5587,DATA_GOC!$E:$E,$C5587,DATA_GOC!$F:$F,"Xuất nội bộ từ téc",DATA_GOC!$B:$B,"&gt;="&amp;$D5587,DATA_GOC!$B:$B,"&lt;="&amp;$E5587))</f>
        <v/>
      </c>
      <c r="J5587" s="59">
        <f t="shared" si="28"/>
        <v>0</v>
      </c>
      <c r="K5587" s="59">
        <f t="shared" si="29"/>
        <v>0</v>
      </c>
      <c r="L5587" s="59">
        <f t="shared" si="30"/>
        <v>0</v>
      </c>
      <c r="M5587" s="59">
        <f t="shared" si="31"/>
        <v>0</v>
      </c>
    </row>
    <row r="5588" ht="15.0" hidden="1" customHeight="1">
      <c r="A5588" s="59">
        <f t="shared" si="20"/>
        <v>90</v>
      </c>
      <c r="B5588" s="59" t="str">
        <f t="shared" si="21"/>
        <v/>
      </c>
      <c r="C5588" s="59" t="str">
        <f t="shared" si="22"/>
        <v/>
      </c>
      <c r="D5588" s="45" t="str">
        <f t="shared" si="23"/>
        <v/>
      </c>
      <c r="E5588" s="45" t="str">
        <f t="shared" si="24"/>
        <v/>
      </c>
      <c r="F5588" s="59" t="str">
        <f t="shared" si="25"/>
        <v/>
      </c>
      <c r="G5588" s="59" t="str">
        <f t="shared" si="26"/>
        <v/>
      </c>
      <c r="H5588" s="59" t="str">
        <f t="shared" si="27"/>
        <v>28C02986</v>
      </c>
      <c r="I5588" s="59" t="str">
        <f>IF(OR($A5588="",$C5588="",$D5588="",$E5588="",$H5588=""),"",SUMIFS(DATA_GOC!$H:$H,DATA_GOC!$A:$A,"BOM",DATA_GOC!$D:$D,$H5588,DATA_GOC!$E:$E,$C5588,DATA_GOC!$F:$F,"Xuất nội bộ từ téc",DATA_GOC!$B:$B,"&gt;="&amp;$D5588,DATA_GOC!$B:$B,"&lt;="&amp;$E5588))</f>
        <v/>
      </c>
      <c r="J5588" s="59">
        <f t="shared" si="28"/>
        <v>0</v>
      </c>
      <c r="K5588" s="59">
        <f t="shared" si="29"/>
        <v>0</v>
      </c>
      <c r="L5588" s="59">
        <f t="shared" si="30"/>
        <v>0</v>
      </c>
      <c r="M5588" s="59">
        <f t="shared" si="31"/>
        <v>0</v>
      </c>
    </row>
    <row r="5589" ht="15.0" hidden="1" customHeight="1">
      <c r="A5589" s="59">
        <f t="shared" si="20"/>
        <v>90</v>
      </c>
      <c r="B5589" s="59" t="str">
        <f t="shared" si="21"/>
        <v/>
      </c>
      <c r="C5589" s="59" t="str">
        <f t="shared" si="22"/>
        <v/>
      </c>
      <c r="D5589" s="45" t="str">
        <f t="shared" si="23"/>
        <v/>
      </c>
      <c r="E5589" s="45" t="str">
        <f t="shared" si="24"/>
        <v/>
      </c>
      <c r="F5589" s="59" t="str">
        <f t="shared" si="25"/>
        <v/>
      </c>
      <c r="G5589" s="59" t="str">
        <f t="shared" si="26"/>
        <v/>
      </c>
      <c r="H5589" s="59" t="str">
        <f t="shared" si="27"/>
        <v>28C03261</v>
      </c>
      <c r="I5589" s="59" t="str">
        <f>IF(OR($A5589="",$C5589="",$D5589="",$E5589="",$H5589=""),"",SUMIFS(DATA_GOC!$H:$H,DATA_GOC!$A:$A,"BOM",DATA_GOC!$D:$D,$H5589,DATA_GOC!$E:$E,$C5589,DATA_GOC!$F:$F,"Xuất nội bộ từ téc",DATA_GOC!$B:$B,"&gt;="&amp;$D5589,DATA_GOC!$B:$B,"&lt;="&amp;$E5589))</f>
        <v/>
      </c>
      <c r="J5589" s="59">
        <f t="shared" si="28"/>
        <v>0</v>
      </c>
      <c r="K5589" s="59">
        <f t="shared" si="29"/>
        <v>0</v>
      </c>
      <c r="L5589" s="59">
        <f t="shared" si="30"/>
        <v>0</v>
      </c>
      <c r="M5589" s="59">
        <f t="shared" si="31"/>
        <v>0</v>
      </c>
    </row>
    <row r="5590" ht="15.0" hidden="1" customHeight="1">
      <c r="A5590" s="59">
        <f t="shared" si="20"/>
        <v>90</v>
      </c>
      <c r="B5590" s="59" t="str">
        <f t="shared" si="21"/>
        <v/>
      </c>
      <c r="C5590" s="59" t="str">
        <f t="shared" si="22"/>
        <v/>
      </c>
      <c r="D5590" s="45" t="str">
        <f t="shared" si="23"/>
        <v/>
      </c>
      <c r="E5590" s="45" t="str">
        <f t="shared" si="24"/>
        <v/>
      </c>
      <c r="F5590" s="59" t="str">
        <f t="shared" si="25"/>
        <v/>
      </c>
      <c r="G5590" s="59" t="str">
        <f t="shared" si="26"/>
        <v/>
      </c>
      <c r="H5590" s="59" t="str">
        <f t="shared" si="27"/>
        <v>28C03323</v>
      </c>
      <c r="I5590" s="59" t="str">
        <f>IF(OR($A5590="",$C5590="",$D5590="",$E5590="",$H5590=""),"",SUMIFS(DATA_GOC!$H:$H,DATA_GOC!$A:$A,"BOM",DATA_GOC!$D:$D,$H5590,DATA_GOC!$E:$E,$C5590,DATA_GOC!$F:$F,"Xuất nội bộ từ téc",DATA_GOC!$B:$B,"&gt;="&amp;$D5590,DATA_GOC!$B:$B,"&lt;="&amp;$E5590))</f>
        <v/>
      </c>
      <c r="J5590" s="59">
        <f t="shared" si="28"/>
        <v>0</v>
      </c>
      <c r="K5590" s="59">
        <f t="shared" si="29"/>
        <v>0</v>
      </c>
      <c r="L5590" s="59">
        <f t="shared" si="30"/>
        <v>0</v>
      </c>
      <c r="M5590" s="59">
        <f t="shared" si="31"/>
        <v>0</v>
      </c>
    </row>
    <row r="5591" ht="15.0" hidden="1" customHeight="1">
      <c r="A5591" s="59">
        <f t="shared" si="20"/>
        <v>90</v>
      </c>
      <c r="B5591" s="59" t="str">
        <f t="shared" si="21"/>
        <v/>
      </c>
      <c r="C5591" s="59" t="str">
        <f t="shared" si="22"/>
        <v/>
      </c>
      <c r="D5591" s="45" t="str">
        <f t="shared" si="23"/>
        <v/>
      </c>
      <c r="E5591" s="45" t="str">
        <f t="shared" si="24"/>
        <v/>
      </c>
      <c r="F5591" s="59" t="str">
        <f t="shared" si="25"/>
        <v/>
      </c>
      <c r="G5591" s="59" t="str">
        <f t="shared" si="26"/>
        <v/>
      </c>
      <c r="H5591" s="59" t="str">
        <f t="shared" si="27"/>
        <v>28C03385</v>
      </c>
      <c r="I5591" s="59" t="str">
        <f>IF(OR($A5591="",$C5591="",$D5591="",$E5591="",$H5591=""),"",SUMIFS(DATA_GOC!$H:$H,DATA_GOC!$A:$A,"BOM",DATA_GOC!$D:$D,$H5591,DATA_GOC!$E:$E,$C5591,DATA_GOC!$F:$F,"Xuất nội bộ từ téc",DATA_GOC!$B:$B,"&gt;="&amp;$D5591,DATA_GOC!$B:$B,"&lt;="&amp;$E5591))</f>
        <v/>
      </c>
      <c r="J5591" s="59">
        <f t="shared" si="28"/>
        <v>0</v>
      </c>
      <c r="K5591" s="59">
        <f t="shared" si="29"/>
        <v>0</v>
      </c>
      <c r="L5591" s="59">
        <f t="shared" si="30"/>
        <v>0</v>
      </c>
      <c r="M5591" s="59">
        <f t="shared" si="31"/>
        <v>0</v>
      </c>
    </row>
    <row r="5592" ht="15.0" hidden="1" customHeight="1">
      <c r="A5592" s="59">
        <f t="shared" si="20"/>
        <v>90</v>
      </c>
      <c r="B5592" s="59" t="str">
        <f t="shared" si="21"/>
        <v/>
      </c>
      <c r="C5592" s="59" t="str">
        <f t="shared" si="22"/>
        <v/>
      </c>
      <c r="D5592" s="45" t="str">
        <f t="shared" si="23"/>
        <v/>
      </c>
      <c r="E5592" s="45" t="str">
        <f t="shared" si="24"/>
        <v/>
      </c>
      <c r="F5592" s="59" t="str">
        <f t="shared" si="25"/>
        <v/>
      </c>
      <c r="G5592" s="59" t="str">
        <f t="shared" si="26"/>
        <v/>
      </c>
      <c r="H5592" s="59" t="str">
        <f t="shared" si="27"/>
        <v>28C03652</v>
      </c>
      <c r="I5592" s="59" t="str">
        <f>IF(OR($A5592="",$C5592="",$D5592="",$E5592="",$H5592=""),"",SUMIFS(DATA_GOC!$H:$H,DATA_GOC!$A:$A,"BOM",DATA_GOC!$D:$D,$H5592,DATA_GOC!$E:$E,$C5592,DATA_GOC!$F:$F,"Xuất nội bộ từ téc",DATA_GOC!$B:$B,"&gt;="&amp;$D5592,DATA_GOC!$B:$B,"&lt;="&amp;$E5592))</f>
        <v/>
      </c>
      <c r="J5592" s="59">
        <f t="shared" si="28"/>
        <v>0</v>
      </c>
      <c r="K5592" s="59">
        <f t="shared" si="29"/>
        <v>0</v>
      </c>
      <c r="L5592" s="59">
        <f t="shared" si="30"/>
        <v>0</v>
      </c>
      <c r="M5592" s="59">
        <f t="shared" si="31"/>
        <v>0</v>
      </c>
    </row>
    <row r="5593" ht="15.0" hidden="1" customHeight="1">
      <c r="A5593" s="59">
        <f t="shared" si="20"/>
        <v>90</v>
      </c>
      <c r="B5593" s="59" t="str">
        <f t="shared" si="21"/>
        <v/>
      </c>
      <c r="C5593" s="59" t="str">
        <f t="shared" si="22"/>
        <v/>
      </c>
      <c r="D5593" s="45" t="str">
        <f t="shared" si="23"/>
        <v/>
      </c>
      <c r="E5593" s="45" t="str">
        <f t="shared" si="24"/>
        <v/>
      </c>
      <c r="F5593" s="59" t="str">
        <f t="shared" si="25"/>
        <v/>
      </c>
      <c r="G5593" s="59" t="str">
        <f t="shared" si="26"/>
        <v/>
      </c>
      <c r="H5593" s="59" t="str">
        <f t="shared" si="27"/>
        <v>28C03695</v>
      </c>
      <c r="I5593" s="59" t="str">
        <f>IF(OR($A5593="",$C5593="",$D5593="",$E5593="",$H5593=""),"",SUMIFS(DATA_GOC!$H:$H,DATA_GOC!$A:$A,"BOM",DATA_GOC!$D:$D,$H5593,DATA_GOC!$E:$E,$C5593,DATA_GOC!$F:$F,"Xuất nội bộ từ téc",DATA_GOC!$B:$B,"&gt;="&amp;$D5593,DATA_GOC!$B:$B,"&lt;="&amp;$E5593))</f>
        <v/>
      </c>
      <c r="J5593" s="59">
        <f t="shared" si="28"/>
        <v>0</v>
      </c>
      <c r="K5593" s="59">
        <f t="shared" si="29"/>
        <v>0</v>
      </c>
      <c r="L5593" s="59">
        <f t="shared" si="30"/>
        <v>0</v>
      </c>
      <c r="M5593" s="59">
        <f t="shared" si="31"/>
        <v>0</v>
      </c>
    </row>
    <row r="5594" ht="15.0" hidden="1" customHeight="1">
      <c r="A5594" s="59">
        <f t="shared" si="20"/>
        <v>90</v>
      </c>
      <c r="B5594" s="59" t="str">
        <f t="shared" si="21"/>
        <v/>
      </c>
      <c r="C5594" s="59" t="str">
        <f t="shared" si="22"/>
        <v/>
      </c>
      <c r="D5594" s="45" t="str">
        <f t="shared" si="23"/>
        <v/>
      </c>
      <c r="E5594" s="45" t="str">
        <f t="shared" si="24"/>
        <v/>
      </c>
      <c r="F5594" s="59" t="str">
        <f t="shared" si="25"/>
        <v/>
      </c>
      <c r="G5594" s="59" t="str">
        <f t="shared" si="26"/>
        <v/>
      </c>
      <c r="H5594" s="59" t="str">
        <f t="shared" si="27"/>
        <v>28C03927</v>
      </c>
      <c r="I5594" s="59" t="str">
        <f>IF(OR($A5594="",$C5594="",$D5594="",$E5594="",$H5594=""),"",SUMIFS(DATA_GOC!$H:$H,DATA_GOC!$A:$A,"BOM",DATA_GOC!$D:$D,$H5594,DATA_GOC!$E:$E,$C5594,DATA_GOC!$F:$F,"Xuất nội bộ từ téc",DATA_GOC!$B:$B,"&gt;="&amp;$D5594,DATA_GOC!$B:$B,"&lt;="&amp;$E5594))</f>
        <v/>
      </c>
      <c r="J5594" s="59">
        <f t="shared" si="28"/>
        <v>0</v>
      </c>
      <c r="K5594" s="59">
        <f t="shared" si="29"/>
        <v>0</v>
      </c>
      <c r="L5594" s="59">
        <f t="shared" si="30"/>
        <v>0</v>
      </c>
      <c r="M5594" s="59">
        <f t="shared" si="31"/>
        <v>0</v>
      </c>
    </row>
    <row r="5595" ht="15.0" hidden="1" customHeight="1">
      <c r="A5595" s="59">
        <f t="shared" si="20"/>
        <v>90</v>
      </c>
      <c r="B5595" s="59" t="str">
        <f t="shared" si="21"/>
        <v/>
      </c>
      <c r="C5595" s="59" t="str">
        <f t="shared" si="22"/>
        <v/>
      </c>
      <c r="D5595" s="45" t="str">
        <f t="shared" si="23"/>
        <v/>
      </c>
      <c r="E5595" s="45" t="str">
        <f t="shared" si="24"/>
        <v/>
      </c>
      <c r="F5595" s="59" t="str">
        <f t="shared" si="25"/>
        <v/>
      </c>
      <c r="G5595" s="59" t="str">
        <f t="shared" si="26"/>
        <v/>
      </c>
      <c r="H5595" s="59" t="str">
        <f t="shared" si="27"/>
        <v>28C04509</v>
      </c>
      <c r="I5595" s="59" t="str">
        <f>IF(OR($A5595="",$C5595="",$D5595="",$E5595="",$H5595=""),"",SUMIFS(DATA_GOC!$H:$H,DATA_GOC!$A:$A,"BOM",DATA_GOC!$D:$D,$H5595,DATA_GOC!$E:$E,$C5595,DATA_GOC!$F:$F,"Xuất nội bộ từ téc",DATA_GOC!$B:$B,"&gt;="&amp;$D5595,DATA_GOC!$B:$B,"&lt;="&amp;$E5595))</f>
        <v/>
      </c>
      <c r="J5595" s="59">
        <f t="shared" si="28"/>
        <v>0</v>
      </c>
      <c r="K5595" s="59">
        <f t="shared" si="29"/>
        <v>0</v>
      </c>
      <c r="L5595" s="59">
        <f t="shared" si="30"/>
        <v>0</v>
      </c>
      <c r="M5595" s="59">
        <f t="shared" si="31"/>
        <v>0</v>
      </c>
    </row>
    <row r="5596" ht="15.0" hidden="1" customHeight="1">
      <c r="A5596" s="59">
        <f t="shared" si="20"/>
        <v>90</v>
      </c>
      <c r="B5596" s="59" t="str">
        <f t="shared" si="21"/>
        <v/>
      </c>
      <c r="C5596" s="59" t="str">
        <f t="shared" si="22"/>
        <v/>
      </c>
      <c r="D5596" s="45" t="str">
        <f t="shared" si="23"/>
        <v/>
      </c>
      <c r="E5596" s="45" t="str">
        <f t="shared" si="24"/>
        <v/>
      </c>
      <c r="F5596" s="59" t="str">
        <f t="shared" si="25"/>
        <v/>
      </c>
      <c r="G5596" s="59" t="str">
        <f t="shared" si="26"/>
        <v/>
      </c>
      <c r="H5596" s="59" t="str">
        <f t="shared" si="27"/>
        <v>28C04536</v>
      </c>
      <c r="I5596" s="59" t="str">
        <f>IF(OR($A5596="",$C5596="",$D5596="",$E5596="",$H5596=""),"",SUMIFS(DATA_GOC!$H:$H,DATA_GOC!$A:$A,"BOM",DATA_GOC!$D:$D,$H5596,DATA_GOC!$E:$E,$C5596,DATA_GOC!$F:$F,"Xuất nội bộ từ téc",DATA_GOC!$B:$B,"&gt;="&amp;$D5596,DATA_GOC!$B:$B,"&lt;="&amp;$E5596))</f>
        <v/>
      </c>
      <c r="J5596" s="59">
        <f t="shared" si="28"/>
        <v>0</v>
      </c>
      <c r="K5596" s="59">
        <f t="shared" si="29"/>
        <v>0</v>
      </c>
      <c r="L5596" s="59">
        <f t="shared" si="30"/>
        <v>0</v>
      </c>
      <c r="M5596" s="59">
        <f t="shared" si="31"/>
        <v>0</v>
      </c>
    </row>
    <row r="5597" ht="15.0" hidden="1" customHeight="1">
      <c r="A5597" s="59">
        <f t="shared" si="20"/>
        <v>90</v>
      </c>
      <c r="B5597" s="59" t="str">
        <f t="shared" si="21"/>
        <v/>
      </c>
      <c r="C5597" s="59" t="str">
        <f t="shared" si="22"/>
        <v/>
      </c>
      <c r="D5597" s="45" t="str">
        <f t="shared" si="23"/>
        <v/>
      </c>
      <c r="E5597" s="45" t="str">
        <f t="shared" si="24"/>
        <v/>
      </c>
      <c r="F5597" s="59" t="str">
        <f t="shared" si="25"/>
        <v/>
      </c>
      <c r="G5597" s="59" t="str">
        <f t="shared" si="26"/>
        <v/>
      </c>
      <c r="H5597" s="59" t="str">
        <f t="shared" si="27"/>
        <v>28C04576</v>
      </c>
      <c r="I5597" s="59" t="str">
        <f>IF(OR($A5597="",$C5597="",$D5597="",$E5597="",$H5597=""),"",SUMIFS(DATA_GOC!$H:$H,DATA_GOC!$A:$A,"BOM",DATA_GOC!$D:$D,$H5597,DATA_GOC!$E:$E,$C5597,DATA_GOC!$F:$F,"Xuất nội bộ từ téc",DATA_GOC!$B:$B,"&gt;="&amp;$D5597,DATA_GOC!$B:$B,"&lt;="&amp;$E5597))</f>
        <v/>
      </c>
      <c r="J5597" s="59">
        <f t="shared" si="28"/>
        <v>0</v>
      </c>
      <c r="K5597" s="59">
        <f t="shared" si="29"/>
        <v>0</v>
      </c>
      <c r="L5597" s="59">
        <f t="shared" si="30"/>
        <v>0</v>
      </c>
      <c r="M5597" s="59">
        <f t="shared" si="31"/>
        <v>0</v>
      </c>
    </row>
    <row r="5598" ht="15.0" hidden="1" customHeight="1">
      <c r="A5598" s="59">
        <f t="shared" si="20"/>
        <v>90</v>
      </c>
      <c r="B5598" s="59" t="str">
        <f t="shared" si="21"/>
        <v/>
      </c>
      <c r="C5598" s="59" t="str">
        <f t="shared" si="22"/>
        <v/>
      </c>
      <c r="D5598" s="45" t="str">
        <f t="shared" si="23"/>
        <v/>
      </c>
      <c r="E5598" s="45" t="str">
        <f t="shared" si="24"/>
        <v/>
      </c>
      <c r="F5598" s="59" t="str">
        <f t="shared" si="25"/>
        <v/>
      </c>
      <c r="G5598" s="59" t="str">
        <f t="shared" si="26"/>
        <v/>
      </c>
      <c r="H5598" s="59" t="str">
        <f t="shared" si="27"/>
        <v>28C05090</v>
      </c>
      <c r="I5598" s="59" t="str">
        <f>IF(OR($A5598="",$C5598="",$D5598="",$E5598="",$H5598=""),"",SUMIFS(DATA_GOC!$H:$H,DATA_GOC!$A:$A,"BOM",DATA_GOC!$D:$D,$H5598,DATA_GOC!$E:$E,$C5598,DATA_GOC!$F:$F,"Xuất nội bộ từ téc",DATA_GOC!$B:$B,"&gt;="&amp;$D5598,DATA_GOC!$B:$B,"&lt;="&amp;$E5598))</f>
        <v/>
      </c>
      <c r="J5598" s="59">
        <f t="shared" si="28"/>
        <v>0</v>
      </c>
      <c r="K5598" s="59">
        <f t="shared" si="29"/>
        <v>0</v>
      </c>
      <c r="L5598" s="59">
        <f t="shared" si="30"/>
        <v>0</v>
      </c>
      <c r="M5598" s="59">
        <f t="shared" si="31"/>
        <v>0</v>
      </c>
    </row>
    <row r="5599" ht="15.0" hidden="1" customHeight="1">
      <c r="A5599" s="59">
        <f t="shared" si="20"/>
        <v>90</v>
      </c>
      <c r="B5599" s="59" t="str">
        <f t="shared" si="21"/>
        <v/>
      </c>
      <c r="C5599" s="59" t="str">
        <f t="shared" si="22"/>
        <v/>
      </c>
      <c r="D5599" s="45" t="str">
        <f t="shared" si="23"/>
        <v/>
      </c>
      <c r="E5599" s="45" t="str">
        <f t="shared" si="24"/>
        <v/>
      </c>
      <c r="F5599" s="59" t="str">
        <f t="shared" si="25"/>
        <v/>
      </c>
      <c r="G5599" s="59" t="str">
        <f t="shared" si="26"/>
        <v/>
      </c>
      <c r="H5599" s="59" t="str">
        <f t="shared" si="27"/>
        <v>28C05345</v>
      </c>
      <c r="I5599" s="59" t="str">
        <f>IF(OR($A5599="",$C5599="",$D5599="",$E5599="",$H5599=""),"",SUMIFS(DATA_GOC!$H:$H,DATA_GOC!$A:$A,"BOM",DATA_GOC!$D:$D,$H5599,DATA_GOC!$E:$E,$C5599,DATA_GOC!$F:$F,"Xuất nội bộ từ téc",DATA_GOC!$B:$B,"&gt;="&amp;$D5599,DATA_GOC!$B:$B,"&lt;="&amp;$E5599))</f>
        <v/>
      </c>
      <c r="J5599" s="59">
        <f t="shared" si="28"/>
        <v>0</v>
      </c>
      <c r="K5599" s="59">
        <f t="shared" si="29"/>
        <v>0</v>
      </c>
      <c r="L5599" s="59">
        <f t="shared" si="30"/>
        <v>0</v>
      </c>
      <c r="M5599" s="59">
        <f t="shared" si="31"/>
        <v>0</v>
      </c>
    </row>
    <row r="5600" ht="15.0" hidden="1" customHeight="1">
      <c r="A5600" s="59">
        <f t="shared" si="20"/>
        <v>90</v>
      </c>
      <c r="B5600" s="59" t="str">
        <f t="shared" si="21"/>
        <v/>
      </c>
      <c r="C5600" s="59" t="str">
        <f t="shared" si="22"/>
        <v/>
      </c>
      <c r="D5600" s="45" t="str">
        <f t="shared" si="23"/>
        <v/>
      </c>
      <c r="E5600" s="45" t="str">
        <f t="shared" si="24"/>
        <v/>
      </c>
      <c r="F5600" s="59" t="str">
        <f t="shared" si="25"/>
        <v/>
      </c>
      <c r="G5600" s="59" t="str">
        <f t="shared" si="26"/>
        <v/>
      </c>
      <c r="H5600" s="59" t="str">
        <f t="shared" si="27"/>
        <v>28C05661</v>
      </c>
      <c r="I5600" s="59" t="str">
        <f>IF(OR($A5600="",$C5600="",$D5600="",$E5600="",$H5600=""),"",SUMIFS(DATA_GOC!$H:$H,DATA_GOC!$A:$A,"BOM",DATA_GOC!$D:$D,$H5600,DATA_GOC!$E:$E,$C5600,DATA_GOC!$F:$F,"Xuất nội bộ từ téc",DATA_GOC!$B:$B,"&gt;="&amp;$D5600,DATA_GOC!$B:$B,"&lt;="&amp;$E5600))</f>
        <v/>
      </c>
      <c r="J5600" s="59">
        <f t="shared" si="28"/>
        <v>0</v>
      </c>
      <c r="K5600" s="59">
        <f t="shared" si="29"/>
        <v>0</v>
      </c>
      <c r="L5600" s="59">
        <f t="shared" si="30"/>
        <v>0</v>
      </c>
      <c r="M5600" s="59">
        <f t="shared" si="31"/>
        <v>0</v>
      </c>
    </row>
    <row r="5601" ht="15.0" hidden="1" customHeight="1">
      <c r="A5601" s="59">
        <f t="shared" si="20"/>
        <v>90</v>
      </c>
      <c r="B5601" s="59" t="str">
        <f t="shared" si="21"/>
        <v/>
      </c>
      <c r="C5601" s="59" t="str">
        <f t="shared" si="22"/>
        <v/>
      </c>
      <c r="D5601" s="45" t="str">
        <f t="shared" si="23"/>
        <v/>
      </c>
      <c r="E5601" s="45" t="str">
        <f t="shared" si="24"/>
        <v/>
      </c>
      <c r="F5601" s="59" t="str">
        <f t="shared" si="25"/>
        <v/>
      </c>
      <c r="G5601" s="59" t="str">
        <f t="shared" si="26"/>
        <v/>
      </c>
      <c r="H5601" s="59" t="str">
        <f t="shared" si="27"/>
        <v>28C05739</v>
      </c>
      <c r="I5601" s="59" t="str">
        <f>IF(OR($A5601="",$C5601="",$D5601="",$E5601="",$H5601=""),"",SUMIFS(DATA_GOC!$H:$H,DATA_GOC!$A:$A,"BOM",DATA_GOC!$D:$D,$H5601,DATA_GOC!$E:$E,$C5601,DATA_GOC!$F:$F,"Xuất nội bộ từ téc",DATA_GOC!$B:$B,"&gt;="&amp;$D5601,DATA_GOC!$B:$B,"&lt;="&amp;$E5601))</f>
        <v/>
      </c>
      <c r="J5601" s="59">
        <f t="shared" si="28"/>
        <v>0</v>
      </c>
      <c r="K5601" s="59">
        <f t="shared" si="29"/>
        <v>0</v>
      </c>
      <c r="L5601" s="59">
        <f t="shared" si="30"/>
        <v>0</v>
      </c>
      <c r="M5601" s="59">
        <f t="shared" si="31"/>
        <v>0</v>
      </c>
    </row>
    <row r="5602" ht="15.0" hidden="1" customHeight="1">
      <c r="A5602" s="59">
        <f t="shared" si="20"/>
        <v>90</v>
      </c>
      <c r="B5602" s="59" t="str">
        <f t="shared" si="21"/>
        <v/>
      </c>
      <c r="C5602" s="59" t="str">
        <f t="shared" si="22"/>
        <v/>
      </c>
      <c r="D5602" s="45" t="str">
        <f t="shared" si="23"/>
        <v/>
      </c>
      <c r="E5602" s="45" t="str">
        <f t="shared" si="24"/>
        <v/>
      </c>
      <c r="F5602" s="59" t="str">
        <f t="shared" si="25"/>
        <v/>
      </c>
      <c r="G5602" s="59" t="str">
        <f t="shared" si="26"/>
        <v/>
      </c>
      <c r="H5602" s="59" t="str">
        <f t="shared" si="27"/>
        <v>28C06369</v>
      </c>
      <c r="I5602" s="59" t="str">
        <f>IF(OR($A5602="",$C5602="",$D5602="",$E5602="",$H5602=""),"",SUMIFS(DATA_GOC!$H:$H,DATA_GOC!$A:$A,"BOM",DATA_GOC!$D:$D,$H5602,DATA_GOC!$E:$E,$C5602,DATA_GOC!$F:$F,"Xuất nội bộ từ téc",DATA_GOC!$B:$B,"&gt;="&amp;$D5602,DATA_GOC!$B:$B,"&lt;="&amp;$E5602))</f>
        <v/>
      </c>
      <c r="J5602" s="59">
        <f t="shared" si="28"/>
        <v>0</v>
      </c>
      <c r="K5602" s="59">
        <f t="shared" si="29"/>
        <v>0</v>
      </c>
      <c r="L5602" s="59">
        <f t="shared" si="30"/>
        <v>0</v>
      </c>
      <c r="M5602" s="59">
        <f t="shared" si="31"/>
        <v>0</v>
      </c>
    </row>
    <row r="5603" ht="15.0" hidden="1" customHeight="1">
      <c r="A5603" s="59">
        <f t="shared" si="20"/>
        <v>90</v>
      </c>
      <c r="B5603" s="59" t="str">
        <f t="shared" si="21"/>
        <v/>
      </c>
      <c r="C5603" s="59" t="str">
        <f t="shared" si="22"/>
        <v/>
      </c>
      <c r="D5603" s="45" t="str">
        <f t="shared" si="23"/>
        <v/>
      </c>
      <c r="E5603" s="45" t="str">
        <f t="shared" si="24"/>
        <v/>
      </c>
      <c r="F5603" s="59" t="str">
        <f t="shared" si="25"/>
        <v/>
      </c>
      <c r="G5603" s="59" t="str">
        <f t="shared" si="26"/>
        <v/>
      </c>
      <c r="H5603" s="59" t="str">
        <f t="shared" si="27"/>
        <v>28C06447</v>
      </c>
      <c r="I5603" s="59" t="str">
        <f>IF(OR($A5603="",$C5603="",$D5603="",$E5603="",$H5603=""),"",SUMIFS(DATA_GOC!$H:$H,DATA_GOC!$A:$A,"BOM",DATA_GOC!$D:$D,$H5603,DATA_GOC!$E:$E,$C5603,DATA_GOC!$F:$F,"Xuất nội bộ từ téc",DATA_GOC!$B:$B,"&gt;="&amp;$D5603,DATA_GOC!$B:$B,"&lt;="&amp;$E5603))</f>
        <v/>
      </c>
      <c r="J5603" s="59">
        <f t="shared" si="28"/>
        <v>0</v>
      </c>
      <c r="K5603" s="59">
        <f t="shared" si="29"/>
        <v>0</v>
      </c>
      <c r="L5603" s="59">
        <f t="shared" si="30"/>
        <v>0</v>
      </c>
      <c r="M5603" s="59">
        <f t="shared" si="31"/>
        <v>0</v>
      </c>
    </row>
    <row r="5604" ht="15.0" hidden="1" customHeight="1">
      <c r="A5604" s="59">
        <f t="shared" si="20"/>
        <v>90</v>
      </c>
      <c r="B5604" s="59" t="str">
        <f t="shared" si="21"/>
        <v/>
      </c>
      <c r="C5604" s="59" t="str">
        <f t="shared" si="22"/>
        <v/>
      </c>
      <c r="D5604" s="45" t="str">
        <f t="shared" si="23"/>
        <v/>
      </c>
      <c r="E5604" s="45" t="str">
        <f t="shared" si="24"/>
        <v/>
      </c>
      <c r="F5604" s="59" t="str">
        <f t="shared" si="25"/>
        <v/>
      </c>
      <c r="G5604" s="59" t="str">
        <f t="shared" si="26"/>
        <v/>
      </c>
      <c r="H5604" s="59" t="str">
        <f t="shared" si="27"/>
        <v>28H00003</v>
      </c>
      <c r="I5604" s="59" t="str">
        <f>IF(OR($A5604="",$C5604="",$D5604="",$E5604="",$H5604=""),"",SUMIFS(DATA_GOC!$H:$H,DATA_GOC!$A:$A,"BOM",DATA_GOC!$D:$D,$H5604,DATA_GOC!$E:$E,$C5604,DATA_GOC!$F:$F,"Xuất nội bộ từ téc",DATA_GOC!$B:$B,"&gt;="&amp;$D5604,DATA_GOC!$B:$B,"&lt;="&amp;$E5604))</f>
        <v/>
      </c>
      <c r="J5604" s="59">
        <f t="shared" si="28"/>
        <v>0</v>
      </c>
      <c r="K5604" s="59">
        <f t="shared" si="29"/>
        <v>0</v>
      </c>
      <c r="L5604" s="59">
        <f t="shared" si="30"/>
        <v>0</v>
      </c>
      <c r="M5604" s="59">
        <f t="shared" si="31"/>
        <v>0</v>
      </c>
    </row>
    <row r="5605" ht="15.0" hidden="1" customHeight="1">
      <c r="A5605" s="59">
        <f t="shared" si="20"/>
        <v>90</v>
      </c>
      <c r="B5605" s="59" t="str">
        <f t="shared" si="21"/>
        <v/>
      </c>
      <c r="C5605" s="59" t="str">
        <f t="shared" si="22"/>
        <v/>
      </c>
      <c r="D5605" s="45" t="str">
        <f t="shared" si="23"/>
        <v/>
      </c>
      <c r="E5605" s="45" t="str">
        <f t="shared" si="24"/>
        <v/>
      </c>
      <c r="F5605" s="59" t="str">
        <f t="shared" si="25"/>
        <v/>
      </c>
      <c r="G5605" s="59" t="str">
        <f t="shared" si="26"/>
        <v/>
      </c>
      <c r="H5605" s="59" t="str">
        <f t="shared" si="27"/>
        <v>28H00061</v>
      </c>
      <c r="I5605" s="59" t="str">
        <f>IF(OR($A5605="",$C5605="",$D5605="",$E5605="",$H5605=""),"",SUMIFS(DATA_GOC!$H:$H,DATA_GOC!$A:$A,"BOM",DATA_GOC!$D:$D,$H5605,DATA_GOC!$E:$E,$C5605,DATA_GOC!$F:$F,"Xuất nội bộ từ téc",DATA_GOC!$B:$B,"&gt;="&amp;$D5605,DATA_GOC!$B:$B,"&lt;="&amp;$E5605))</f>
        <v/>
      </c>
      <c r="J5605" s="59">
        <f t="shared" si="28"/>
        <v>0</v>
      </c>
      <c r="K5605" s="59">
        <f t="shared" si="29"/>
        <v>0</v>
      </c>
      <c r="L5605" s="59">
        <f t="shared" si="30"/>
        <v>0</v>
      </c>
      <c r="M5605" s="59">
        <f t="shared" si="31"/>
        <v>0</v>
      </c>
    </row>
    <row r="5606" ht="15.0" hidden="1" customHeight="1">
      <c r="A5606" s="59">
        <f t="shared" si="20"/>
        <v>90</v>
      </c>
      <c r="B5606" s="59" t="str">
        <f t="shared" si="21"/>
        <v/>
      </c>
      <c r="C5606" s="59" t="str">
        <f t="shared" si="22"/>
        <v/>
      </c>
      <c r="D5606" s="45" t="str">
        <f t="shared" si="23"/>
        <v/>
      </c>
      <c r="E5606" s="45" t="str">
        <f t="shared" si="24"/>
        <v/>
      </c>
      <c r="F5606" s="59" t="str">
        <f t="shared" si="25"/>
        <v/>
      </c>
      <c r="G5606" s="59" t="str">
        <f t="shared" si="26"/>
        <v/>
      </c>
      <c r="H5606" s="59" t="str">
        <f t="shared" si="27"/>
        <v>28H00354</v>
      </c>
      <c r="I5606" s="59" t="str">
        <f>IF(OR($A5606="",$C5606="",$D5606="",$E5606="",$H5606=""),"",SUMIFS(DATA_GOC!$H:$H,DATA_GOC!$A:$A,"BOM",DATA_GOC!$D:$D,$H5606,DATA_GOC!$E:$E,$C5606,DATA_GOC!$F:$F,"Xuất nội bộ từ téc",DATA_GOC!$B:$B,"&gt;="&amp;$D5606,DATA_GOC!$B:$B,"&lt;="&amp;$E5606))</f>
        <v/>
      </c>
      <c r="J5606" s="59">
        <f t="shared" si="28"/>
        <v>0</v>
      </c>
      <c r="K5606" s="59">
        <f t="shared" si="29"/>
        <v>0</v>
      </c>
      <c r="L5606" s="59">
        <f t="shared" si="30"/>
        <v>0</v>
      </c>
      <c r="M5606" s="59">
        <f t="shared" si="31"/>
        <v>0</v>
      </c>
    </row>
    <row r="5607" ht="15.0" hidden="1" customHeight="1">
      <c r="A5607" s="59">
        <f t="shared" si="20"/>
        <v>90</v>
      </c>
      <c r="B5607" s="59" t="str">
        <f t="shared" si="21"/>
        <v/>
      </c>
      <c r="C5607" s="59" t="str">
        <f t="shared" si="22"/>
        <v/>
      </c>
      <c r="D5607" s="45" t="str">
        <f t="shared" si="23"/>
        <v/>
      </c>
      <c r="E5607" s="45" t="str">
        <f t="shared" si="24"/>
        <v/>
      </c>
      <c r="F5607" s="59" t="str">
        <f t="shared" si="25"/>
        <v/>
      </c>
      <c r="G5607" s="59" t="str">
        <f t="shared" si="26"/>
        <v/>
      </c>
      <c r="H5607" s="59" t="str">
        <f t="shared" si="27"/>
        <v>28H00603</v>
      </c>
      <c r="I5607" s="59" t="str">
        <f>IF(OR($A5607="",$C5607="",$D5607="",$E5607="",$H5607=""),"",SUMIFS(DATA_GOC!$H:$H,DATA_GOC!$A:$A,"BOM",DATA_GOC!$D:$D,$H5607,DATA_GOC!$E:$E,$C5607,DATA_GOC!$F:$F,"Xuất nội bộ từ téc",DATA_GOC!$B:$B,"&gt;="&amp;$D5607,DATA_GOC!$B:$B,"&lt;="&amp;$E5607))</f>
        <v/>
      </c>
      <c r="J5607" s="59">
        <f t="shared" si="28"/>
        <v>0</v>
      </c>
      <c r="K5607" s="59">
        <f t="shared" si="29"/>
        <v>0</v>
      </c>
      <c r="L5607" s="59">
        <f t="shared" si="30"/>
        <v>0</v>
      </c>
      <c r="M5607" s="59">
        <f t="shared" si="31"/>
        <v>0</v>
      </c>
    </row>
    <row r="5608" ht="15.0" hidden="1" customHeight="1">
      <c r="A5608" s="59">
        <f t="shared" si="20"/>
        <v>90</v>
      </c>
      <c r="B5608" s="59" t="str">
        <f t="shared" si="21"/>
        <v/>
      </c>
      <c r="C5608" s="59" t="str">
        <f t="shared" si="22"/>
        <v/>
      </c>
      <c r="D5608" s="45" t="str">
        <f t="shared" si="23"/>
        <v/>
      </c>
      <c r="E5608" s="45" t="str">
        <f t="shared" si="24"/>
        <v/>
      </c>
      <c r="F5608" s="59" t="str">
        <f t="shared" si="25"/>
        <v/>
      </c>
      <c r="G5608" s="59" t="str">
        <f t="shared" si="26"/>
        <v/>
      </c>
      <c r="H5608" s="59" t="str">
        <f t="shared" si="27"/>
        <v>28H00609</v>
      </c>
      <c r="I5608" s="59" t="str">
        <f>IF(OR($A5608="",$C5608="",$D5608="",$E5608="",$H5608=""),"",SUMIFS(DATA_GOC!$H:$H,DATA_GOC!$A:$A,"BOM",DATA_GOC!$D:$D,$H5608,DATA_GOC!$E:$E,$C5608,DATA_GOC!$F:$F,"Xuất nội bộ từ téc",DATA_GOC!$B:$B,"&gt;="&amp;$D5608,DATA_GOC!$B:$B,"&lt;="&amp;$E5608))</f>
        <v/>
      </c>
      <c r="J5608" s="59">
        <f t="shared" si="28"/>
        <v>0</v>
      </c>
      <c r="K5608" s="59">
        <f t="shared" si="29"/>
        <v>0</v>
      </c>
      <c r="L5608" s="59">
        <f t="shared" si="30"/>
        <v>0</v>
      </c>
      <c r="M5608" s="59">
        <f t="shared" si="31"/>
        <v>0</v>
      </c>
    </row>
    <row r="5609" ht="15.0" hidden="1" customHeight="1">
      <c r="A5609" s="59">
        <f t="shared" si="20"/>
        <v>90</v>
      </c>
      <c r="B5609" s="59" t="str">
        <f t="shared" si="21"/>
        <v/>
      </c>
      <c r="C5609" s="59" t="str">
        <f t="shared" si="22"/>
        <v/>
      </c>
      <c r="D5609" s="45" t="str">
        <f t="shared" si="23"/>
        <v/>
      </c>
      <c r="E5609" s="45" t="str">
        <f t="shared" si="24"/>
        <v/>
      </c>
      <c r="F5609" s="59" t="str">
        <f t="shared" si="25"/>
        <v/>
      </c>
      <c r="G5609" s="59" t="str">
        <f t="shared" si="26"/>
        <v/>
      </c>
      <c r="H5609" s="59" t="str">
        <f t="shared" si="27"/>
        <v>28H00669</v>
      </c>
      <c r="I5609" s="59" t="str">
        <f>IF(OR($A5609="",$C5609="",$D5609="",$E5609="",$H5609=""),"",SUMIFS(DATA_GOC!$H:$H,DATA_GOC!$A:$A,"BOM",DATA_GOC!$D:$D,$H5609,DATA_GOC!$E:$E,$C5609,DATA_GOC!$F:$F,"Xuất nội bộ từ téc",DATA_GOC!$B:$B,"&gt;="&amp;$D5609,DATA_GOC!$B:$B,"&lt;="&amp;$E5609))</f>
        <v/>
      </c>
      <c r="J5609" s="59">
        <f t="shared" si="28"/>
        <v>0</v>
      </c>
      <c r="K5609" s="59">
        <f t="shared" si="29"/>
        <v>0</v>
      </c>
      <c r="L5609" s="59">
        <f t="shared" si="30"/>
        <v>0</v>
      </c>
      <c r="M5609" s="59">
        <f t="shared" si="31"/>
        <v>0</v>
      </c>
    </row>
    <row r="5610" ht="15.0" hidden="1" customHeight="1">
      <c r="A5610" s="59">
        <f t="shared" si="20"/>
        <v>90</v>
      </c>
      <c r="B5610" s="59" t="str">
        <f t="shared" si="21"/>
        <v/>
      </c>
      <c r="C5610" s="59" t="str">
        <f t="shared" si="22"/>
        <v/>
      </c>
      <c r="D5610" s="45" t="str">
        <f t="shared" si="23"/>
        <v/>
      </c>
      <c r="E5610" s="45" t="str">
        <f t="shared" si="24"/>
        <v/>
      </c>
      <c r="F5610" s="59" t="str">
        <f t="shared" si="25"/>
        <v/>
      </c>
      <c r="G5610" s="59" t="str">
        <f t="shared" si="26"/>
        <v/>
      </c>
      <c r="H5610" s="59" t="str">
        <f t="shared" si="27"/>
        <v>28H00680</v>
      </c>
      <c r="I5610" s="59" t="str">
        <f>IF(OR($A5610="",$C5610="",$D5610="",$E5610="",$H5610=""),"",SUMIFS(DATA_GOC!$H:$H,DATA_GOC!$A:$A,"BOM",DATA_GOC!$D:$D,$H5610,DATA_GOC!$E:$E,$C5610,DATA_GOC!$F:$F,"Xuất nội bộ từ téc",DATA_GOC!$B:$B,"&gt;="&amp;$D5610,DATA_GOC!$B:$B,"&lt;="&amp;$E5610))</f>
        <v/>
      </c>
      <c r="J5610" s="59">
        <f t="shared" si="28"/>
        <v>0</v>
      </c>
      <c r="K5610" s="59">
        <f t="shared" si="29"/>
        <v>0</v>
      </c>
      <c r="L5610" s="59">
        <f t="shared" si="30"/>
        <v>0</v>
      </c>
      <c r="M5610" s="59">
        <f t="shared" si="31"/>
        <v>0</v>
      </c>
    </row>
    <row r="5611" ht="15.0" hidden="1" customHeight="1">
      <c r="A5611" s="59">
        <f t="shared" si="20"/>
        <v>90</v>
      </c>
      <c r="B5611" s="59" t="str">
        <f t="shared" si="21"/>
        <v/>
      </c>
      <c r="C5611" s="59" t="str">
        <f t="shared" si="22"/>
        <v/>
      </c>
      <c r="D5611" s="45" t="str">
        <f t="shared" si="23"/>
        <v/>
      </c>
      <c r="E5611" s="45" t="str">
        <f t="shared" si="24"/>
        <v/>
      </c>
      <c r="F5611" s="59" t="str">
        <f t="shared" si="25"/>
        <v/>
      </c>
      <c r="G5611" s="59" t="str">
        <f t="shared" si="26"/>
        <v/>
      </c>
      <c r="H5611" s="59" t="str">
        <f t="shared" si="27"/>
        <v>28H01070</v>
      </c>
      <c r="I5611" s="59" t="str">
        <f>IF(OR($A5611="",$C5611="",$D5611="",$E5611="",$H5611=""),"",SUMIFS(DATA_GOC!$H:$H,DATA_GOC!$A:$A,"BOM",DATA_GOC!$D:$D,$H5611,DATA_GOC!$E:$E,$C5611,DATA_GOC!$F:$F,"Xuất nội bộ từ téc",DATA_GOC!$B:$B,"&gt;="&amp;$D5611,DATA_GOC!$B:$B,"&lt;="&amp;$E5611))</f>
        <v/>
      </c>
      <c r="J5611" s="59">
        <f t="shared" si="28"/>
        <v>0</v>
      </c>
      <c r="K5611" s="59">
        <f t="shared" si="29"/>
        <v>0</v>
      </c>
      <c r="L5611" s="59">
        <f t="shared" si="30"/>
        <v>0</v>
      </c>
      <c r="M5611" s="59">
        <f t="shared" si="31"/>
        <v>0</v>
      </c>
    </row>
    <row r="5612" ht="15.0" hidden="1" customHeight="1">
      <c r="A5612" s="59">
        <f t="shared" si="20"/>
        <v>90</v>
      </c>
      <c r="B5612" s="59" t="str">
        <f t="shared" si="21"/>
        <v/>
      </c>
      <c r="C5612" s="59" t="str">
        <f t="shared" si="22"/>
        <v/>
      </c>
      <c r="D5612" s="45" t="str">
        <f t="shared" si="23"/>
        <v/>
      </c>
      <c r="E5612" s="45" t="str">
        <f t="shared" si="24"/>
        <v/>
      </c>
      <c r="F5612" s="59" t="str">
        <f t="shared" si="25"/>
        <v/>
      </c>
      <c r="G5612" s="59" t="str">
        <f t="shared" si="26"/>
        <v/>
      </c>
      <c r="H5612" s="59" t="str">
        <f t="shared" si="27"/>
        <v>28H01364</v>
      </c>
      <c r="I5612" s="59" t="str">
        <f>IF(OR($A5612="",$C5612="",$D5612="",$E5612="",$H5612=""),"",SUMIFS(DATA_GOC!$H:$H,DATA_GOC!$A:$A,"BOM",DATA_GOC!$D:$D,$H5612,DATA_GOC!$E:$E,$C5612,DATA_GOC!$F:$F,"Xuất nội bộ từ téc",DATA_GOC!$B:$B,"&gt;="&amp;$D5612,DATA_GOC!$B:$B,"&lt;="&amp;$E5612))</f>
        <v/>
      </c>
      <c r="J5612" s="59">
        <f t="shared" si="28"/>
        <v>0</v>
      </c>
      <c r="K5612" s="59">
        <f t="shared" si="29"/>
        <v>0</v>
      </c>
      <c r="L5612" s="59">
        <f t="shared" si="30"/>
        <v>0</v>
      </c>
      <c r="M5612" s="59">
        <f t="shared" si="31"/>
        <v>0</v>
      </c>
    </row>
    <row r="5613" ht="15.0" hidden="1" customHeight="1">
      <c r="A5613" s="59">
        <f t="shared" si="20"/>
        <v>90</v>
      </c>
      <c r="B5613" s="59" t="str">
        <f t="shared" si="21"/>
        <v/>
      </c>
      <c r="C5613" s="59" t="str">
        <f t="shared" si="22"/>
        <v/>
      </c>
      <c r="D5613" s="45" t="str">
        <f t="shared" si="23"/>
        <v/>
      </c>
      <c r="E5613" s="45" t="str">
        <f t="shared" si="24"/>
        <v/>
      </c>
      <c r="F5613" s="59" t="str">
        <f t="shared" si="25"/>
        <v/>
      </c>
      <c r="G5613" s="59" t="str">
        <f t="shared" si="26"/>
        <v/>
      </c>
      <c r="H5613" s="59" t="str">
        <f t="shared" si="27"/>
        <v>29E17269</v>
      </c>
      <c r="I5613" s="59" t="str">
        <f>IF(OR($A5613="",$C5613="",$D5613="",$E5613="",$H5613=""),"",SUMIFS(DATA_GOC!$H:$H,DATA_GOC!$A:$A,"BOM",DATA_GOC!$D:$D,$H5613,DATA_GOC!$E:$E,$C5613,DATA_GOC!$F:$F,"Xuất nội bộ từ téc",DATA_GOC!$B:$B,"&gt;="&amp;$D5613,DATA_GOC!$B:$B,"&lt;="&amp;$E5613))</f>
        <v/>
      </c>
      <c r="J5613" s="59">
        <f t="shared" si="28"/>
        <v>0</v>
      </c>
      <c r="K5613" s="59">
        <f t="shared" si="29"/>
        <v>0</v>
      </c>
      <c r="L5613" s="59">
        <f t="shared" si="30"/>
        <v>0</v>
      </c>
      <c r="M5613" s="59">
        <f t="shared" si="31"/>
        <v>0</v>
      </c>
    </row>
    <row r="5614" ht="15.0" hidden="1" customHeight="1">
      <c r="A5614" s="59">
        <f t="shared" si="20"/>
        <v>90</v>
      </c>
      <c r="B5614" s="59" t="str">
        <f t="shared" si="21"/>
        <v/>
      </c>
      <c r="C5614" s="59" t="str">
        <f t="shared" si="22"/>
        <v/>
      </c>
      <c r="D5614" s="45" t="str">
        <f t="shared" si="23"/>
        <v/>
      </c>
      <c r="E5614" s="45" t="str">
        <f t="shared" si="24"/>
        <v/>
      </c>
      <c r="F5614" s="59" t="str">
        <f t="shared" si="25"/>
        <v/>
      </c>
      <c r="G5614" s="59" t="str">
        <f t="shared" si="26"/>
        <v/>
      </c>
      <c r="H5614" s="59" t="str">
        <f t="shared" si="27"/>
        <v>29E17273</v>
      </c>
      <c r="I5614" s="59" t="str">
        <f>IF(OR($A5614="",$C5614="",$D5614="",$E5614="",$H5614=""),"",SUMIFS(DATA_GOC!$H:$H,DATA_GOC!$A:$A,"BOM",DATA_GOC!$D:$D,$H5614,DATA_GOC!$E:$E,$C5614,DATA_GOC!$F:$F,"Xuất nội bộ từ téc",DATA_GOC!$B:$B,"&gt;="&amp;$D5614,DATA_GOC!$B:$B,"&lt;="&amp;$E5614))</f>
        <v/>
      </c>
      <c r="J5614" s="59">
        <f t="shared" si="28"/>
        <v>0</v>
      </c>
      <c r="K5614" s="59">
        <f t="shared" si="29"/>
        <v>0</v>
      </c>
      <c r="L5614" s="59">
        <f t="shared" si="30"/>
        <v>0</v>
      </c>
      <c r="M5614" s="59">
        <f t="shared" si="31"/>
        <v>0</v>
      </c>
    </row>
    <row r="5615" ht="15.0" hidden="1" customHeight="1">
      <c r="A5615" s="59">
        <f t="shared" si="20"/>
        <v>90</v>
      </c>
      <c r="B5615" s="59" t="str">
        <f t="shared" si="21"/>
        <v/>
      </c>
      <c r="C5615" s="59" t="str">
        <f t="shared" si="22"/>
        <v/>
      </c>
      <c r="D5615" s="45" t="str">
        <f t="shared" si="23"/>
        <v/>
      </c>
      <c r="E5615" s="45" t="str">
        <f t="shared" si="24"/>
        <v/>
      </c>
      <c r="F5615" s="59" t="str">
        <f t="shared" si="25"/>
        <v/>
      </c>
      <c r="G5615" s="59" t="str">
        <f t="shared" si="26"/>
        <v/>
      </c>
      <c r="H5615" s="59" t="str">
        <f t="shared" si="27"/>
        <v>29E17410</v>
      </c>
      <c r="I5615" s="59" t="str">
        <f>IF(OR($A5615="",$C5615="",$D5615="",$E5615="",$H5615=""),"",SUMIFS(DATA_GOC!$H:$H,DATA_GOC!$A:$A,"BOM",DATA_GOC!$D:$D,$H5615,DATA_GOC!$E:$E,$C5615,DATA_GOC!$F:$F,"Xuất nội bộ từ téc",DATA_GOC!$B:$B,"&gt;="&amp;$D5615,DATA_GOC!$B:$B,"&lt;="&amp;$E5615))</f>
        <v/>
      </c>
      <c r="J5615" s="59">
        <f t="shared" si="28"/>
        <v>0</v>
      </c>
      <c r="K5615" s="59">
        <f t="shared" si="29"/>
        <v>0</v>
      </c>
      <c r="L5615" s="59">
        <f t="shared" si="30"/>
        <v>0</v>
      </c>
      <c r="M5615" s="59">
        <f t="shared" si="31"/>
        <v>0</v>
      </c>
    </row>
    <row r="5616" ht="15.0" hidden="1" customHeight="1">
      <c r="A5616" s="59">
        <f t="shared" si="20"/>
        <v>90</v>
      </c>
      <c r="B5616" s="59" t="str">
        <f t="shared" si="21"/>
        <v/>
      </c>
      <c r="C5616" s="59" t="str">
        <f t="shared" si="22"/>
        <v/>
      </c>
      <c r="D5616" s="45" t="str">
        <f t="shared" si="23"/>
        <v/>
      </c>
      <c r="E5616" s="45" t="str">
        <f t="shared" si="24"/>
        <v/>
      </c>
      <c r="F5616" s="59" t="str">
        <f t="shared" si="25"/>
        <v/>
      </c>
      <c r="G5616" s="59" t="str">
        <f t="shared" si="26"/>
        <v/>
      </c>
      <c r="H5616" s="59" t="str">
        <f t="shared" si="27"/>
        <v>29E17417</v>
      </c>
      <c r="I5616" s="59" t="str">
        <f>IF(OR($A5616="",$C5616="",$D5616="",$E5616="",$H5616=""),"",SUMIFS(DATA_GOC!$H:$H,DATA_GOC!$A:$A,"BOM",DATA_GOC!$D:$D,$H5616,DATA_GOC!$E:$E,$C5616,DATA_GOC!$F:$F,"Xuất nội bộ từ téc",DATA_GOC!$B:$B,"&gt;="&amp;$D5616,DATA_GOC!$B:$B,"&lt;="&amp;$E5616))</f>
        <v/>
      </c>
      <c r="J5616" s="59">
        <f t="shared" si="28"/>
        <v>0</v>
      </c>
      <c r="K5616" s="59">
        <f t="shared" si="29"/>
        <v>0</v>
      </c>
      <c r="L5616" s="59">
        <f t="shared" si="30"/>
        <v>0</v>
      </c>
      <c r="M5616" s="59">
        <f t="shared" si="31"/>
        <v>0</v>
      </c>
    </row>
    <row r="5617" ht="15.0" hidden="1" customHeight="1">
      <c r="A5617" s="59">
        <f t="shared" si="20"/>
        <v>90</v>
      </c>
      <c r="B5617" s="59" t="str">
        <f t="shared" si="21"/>
        <v/>
      </c>
      <c r="C5617" s="59" t="str">
        <f t="shared" si="22"/>
        <v/>
      </c>
      <c r="D5617" s="45" t="str">
        <f t="shared" si="23"/>
        <v/>
      </c>
      <c r="E5617" s="45" t="str">
        <f t="shared" si="24"/>
        <v/>
      </c>
      <c r="F5617" s="59" t="str">
        <f t="shared" si="25"/>
        <v/>
      </c>
      <c r="G5617" s="59" t="str">
        <f t="shared" si="26"/>
        <v/>
      </c>
      <c r="H5617" s="59" t="str">
        <f t="shared" si="27"/>
        <v>29E17539</v>
      </c>
      <c r="I5617" s="59" t="str">
        <f>IF(OR($A5617="",$C5617="",$D5617="",$E5617="",$H5617=""),"",SUMIFS(DATA_GOC!$H:$H,DATA_GOC!$A:$A,"BOM",DATA_GOC!$D:$D,$H5617,DATA_GOC!$E:$E,$C5617,DATA_GOC!$F:$F,"Xuất nội bộ từ téc",DATA_GOC!$B:$B,"&gt;="&amp;$D5617,DATA_GOC!$B:$B,"&lt;="&amp;$E5617))</f>
        <v/>
      </c>
      <c r="J5617" s="59">
        <f t="shared" si="28"/>
        <v>0</v>
      </c>
      <c r="K5617" s="59">
        <f t="shared" si="29"/>
        <v>0</v>
      </c>
      <c r="L5617" s="59">
        <f t="shared" si="30"/>
        <v>0</v>
      </c>
      <c r="M5617" s="59">
        <f t="shared" si="31"/>
        <v>0</v>
      </c>
    </row>
    <row r="5618" ht="15.0" hidden="1" customHeight="1">
      <c r="A5618" s="59">
        <f t="shared" si="20"/>
        <v>90</v>
      </c>
      <c r="B5618" s="59" t="str">
        <f t="shared" si="21"/>
        <v/>
      </c>
      <c r="C5618" s="59" t="str">
        <f t="shared" si="22"/>
        <v/>
      </c>
      <c r="D5618" s="45" t="str">
        <f t="shared" si="23"/>
        <v/>
      </c>
      <c r="E5618" s="45" t="str">
        <f t="shared" si="24"/>
        <v/>
      </c>
      <c r="F5618" s="59" t="str">
        <f t="shared" si="25"/>
        <v/>
      </c>
      <c r="G5618" s="59" t="str">
        <f t="shared" si="26"/>
        <v/>
      </c>
      <c r="H5618" s="59" t="str">
        <f t="shared" si="27"/>
        <v>29E18160</v>
      </c>
      <c r="I5618" s="59" t="str">
        <f>IF(OR($A5618="",$C5618="",$D5618="",$E5618="",$H5618=""),"",SUMIFS(DATA_GOC!$H:$H,DATA_GOC!$A:$A,"BOM",DATA_GOC!$D:$D,$H5618,DATA_GOC!$E:$E,$C5618,DATA_GOC!$F:$F,"Xuất nội bộ từ téc",DATA_GOC!$B:$B,"&gt;="&amp;$D5618,DATA_GOC!$B:$B,"&lt;="&amp;$E5618))</f>
        <v/>
      </c>
      <c r="J5618" s="59">
        <f t="shared" si="28"/>
        <v>0</v>
      </c>
      <c r="K5618" s="59">
        <f t="shared" si="29"/>
        <v>0</v>
      </c>
      <c r="L5618" s="59">
        <f t="shared" si="30"/>
        <v>0</v>
      </c>
      <c r="M5618" s="59">
        <f t="shared" si="31"/>
        <v>0</v>
      </c>
    </row>
    <row r="5619" ht="15.0" hidden="1" customHeight="1">
      <c r="A5619" s="59">
        <f t="shared" si="20"/>
        <v>90</v>
      </c>
      <c r="B5619" s="59" t="str">
        <f t="shared" si="21"/>
        <v/>
      </c>
      <c r="C5619" s="59" t="str">
        <f t="shared" si="22"/>
        <v/>
      </c>
      <c r="D5619" s="45" t="str">
        <f t="shared" si="23"/>
        <v/>
      </c>
      <c r="E5619" s="45" t="str">
        <f t="shared" si="24"/>
        <v/>
      </c>
      <c r="F5619" s="59" t="str">
        <f t="shared" si="25"/>
        <v/>
      </c>
      <c r="G5619" s="59" t="str">
        <f t="shared" si="26"/>
        <v/>
      </c>
      <c r="H5619" s="59" t="str">
        <f t="shared" si="27"/>
        <v>Công trình Asphalt</v>
      </c>
      <c r="I5619" s="59" t="str">
        <f>IF(OR($A5619="",$C5619="",$D5619="",$E5619="",$H5619=""),"",SUMIFS(DATA_GOC!$H:$H,DATA_GOC!$A:$A,"BOM",DATA_GOC!$D:$D,$H5619,DATA_GOC!$E:$E,$C5619,DATA_GOC!$F:$F,"Xuất nội bộ từ téc",DATA_GOC!$B:$B,"&gt;="&amp;$D5619,DATA_GOC!$B:$B,"&lt;="&amp;$E5619))</f>
        <v/>
      </c>
      <c r="J5619" s="59">
        <f t="shared" si="28"/>
        <v>0</v>
      </c>
      <c r="K5619" s="59">
        <f t="shared" si="29"/>
        <v>0</v>
      </c>
      <c r="L5619" s="59">
        <f t="shared" si="30"/>
        <v>0</v>
      </c>
      <c r="M5619" s="59">
        <f t="shared" si="31"/>
        <v>0</v>
      </c>
    </row>
    <row r="5620" ht="15.0" hidden="1" customHeight="1">
      <c r="A5620" s="59">
        <f t="shared" si="20"/>
        <v>90</v>
      </c>
      <c r="B5620" s="59" t="str">
        <f t="shared" si="21"/>
        <v/>
      </c>
      <c r="C5620" s="59" t="str">
        <f t="shared" si="22"/>
        <v/>
      </c>
      <c r="D5620" s="45" t="str">
        <f t="shared" si="23"/>
        <v/>
      </c>
      <c r="E5620" s="45" t="str">
        <f t="shared" si="24"/>
        <v/>
      </c>
      <c r="F5620" s="59" t="str">
        <f t="shared" si="25"/>
        <v/>
      </c>
      <c r="G5620" s="59" t="str">
        <f t="shared" si="26"/>
        <v/>
      </c>
      <c r="H5620" s="59" t="str">
        <f t="shared" si="27"/>
        <v>LG53F</v>
      </c>
      <c r="I5620" s="59" t="str">
        <f>IF(OR($A5620="",$C5620="",$D5620="",$E5620="",$H5620=""),"",SUMIFS(DATA_GOC!$H:$H,DATA_GOC!$A:$A,"BOM",DATA_GOC!$D:$D,$H5620,DATA_GOC!$E:$E,$C5620,DATA_GOC!$F:$F,"Xuất nội bộ từ téc",DATA_GOC!$B:$B,"&gt;="&amp;$D5620,DATA_GOC!$B:$B,"&lt;="&amp;$E5620))</f>
        <v/>
      </c>
      <c r="J5620" s="59">
        <f t="shared" si="28"/>
        <v>0</v>
      </c>
      <c r="K5620" s="59">
        <f t="shared" si="29"/>
        <v>0</v>
      </c>
      <c r="L5620" s="59">
        <f t="shared" si="30"/>
        <v>0</v>
      </c>
      <c r="M5620" s="59">
        <f t="shared" si="31"/>
        <v>0</v>
      </c>
    </row>
    <row r="5621" ht="15.0" hidden="1" customHeight="1">
      <c r="A5621" s="59">
        <f t="shared" si="20"/>
        <v>90</v>
      </c>
      <c r="B5621" s="59" t="str">
        <f t="shared" si="21"/>
        <v/>
      </c>
      <c r="C5621" s="59" t="str">
        <f t="shared" si="22"/>
        <v/>
      </c>
      <c r="D5621" s="45" t="str">
        <f t="shared" si="23"/>
        <v/>
      </c>
      <c r="E5621" s="45" t="str">
        <f t="shared" si="24"/>
        <v/>
      </c>
      <c r="F5621" s="59" t="str">
        <f t="shared" si="25"/>
        <v/>
      </c>
      <c r="G5621" s="59" t="str">
        <f t="shared" si="26"/>
        <v/>
      </c>
      <c r="H5621" s="59" t="str">
        <f t="shared" si="27"/>
        <v>Máy phát điện</v>
      </c>
      <c r="I5621" s="59" t="str">
        <f>IF(OR($A5621="",$C5621="",$D5621="",$E5621="",$H5621=""),"",SUMIFS(DATA_GOC!$H:$H,DATA_GOC!$A:$A,"BOM",DATA_GOC!$D:$D,$H5621,DATA_GOC!$E:$E,$C5621,DATA_GOC!$F:$F,"Xuất nội bộ từ téc",DATA_GOC!$B:$B,"&gt;="&amp;$D5621,DATA_GOC!$B:$B,"&lt;="&amp;$E5621))</f>
        <v/>
      </c>
      <c r="J5621" s="59">
        <f t="shared" si="28"/>
        <v>0</v>
      </c>
      <c r="K5621" s="59">
        <f t="shared" si="29"/>
        <v>0</v>
      </c>
      <c r="L5621" s="59">
        <f t="shared" si="30"/>
        <v>0</v>
      </c>
      <c r="M5621" s="59">
        <f t="shared" si="31"/>
        <v>0</v>
      </c>
    </row>
    <row r="5622" ht="15.0" hidden="1" customHeight="1">
      <c r="A5622" s="59">
        <f t="shared" si="20"/>
        <v>90</v>
      </c>
      <c r="B5622" s="59" t="str">
        <f t="shared" si="21"/>
        <v/>
      </c>
      <c r="C5622" s="59" t="str">
        <f t="shared" si="22"/>
        <v/>
      </c>
      <c r="D5622" s="45" t="str">
        <f t="shared" si="23"/>
        <v/>
      </c>
      <c r="E5622" s="45" t="str">
        <f t="shared" si="24"/>
        <v/>
      </c>
      <c r="F5622" s="59" t="str">
        <f t="shared" si="25"/>
        <v/>
      </c>
      <c r="G5622" s="59" t="str">
        <f t="shared" si="26"/>
        <v/>
      </c>
      <c r="H5622" s="59" t="str">
        <f t="shared" si="27"/>
        <v>Máy rải thảm</v>
      </c>
      <c r="I5622" s="59" t="str">
        <f>IF(OR($A5622="",$C5622="",$D5622="",$E5622="",$H5622=""),"",SUMIFS(DATA_GOC!$H:$H,DATA_GOC!$A:$A,"BOM",DATA_GOC!$D:$D,$H5622,DATA_GOC!$E:$E,$C5622,DATA_GOC!$F:$F,"Xuất nội bộ từ téc",DATA_GOC!$B:$B,"&gt;="&amp;$D5622,DATA_GOC!$B:$B,"&lt;="&amp;$E5622))</f>
        <v/>
      </c>
      <c r="J5622" s="59">
        <f t="shared" si="28"/>
        <v>0</v>
      </c>
      <c r="K5622" s="59">
        <f t="shared" si="29"/>
        <v>0</v>
      </c>
      <c r="L5622" s="59">
        <f t="shared" si="30"/>
        <v>0</v>
      </c>
      <c r="M5622" s="59">
        <f t="shared" si="31"/>
        <v>0</v>
      </c>
    </row>
    <row r="5623" ht="15.0" hidden="1" customHeight="1">
      <c r="A5623" s="59">
        <f t="shared" si="20"/>
        <v>90</v>
      </c>
      <c r="B5623" s="59" t="str">
        <f t="shared" si="21"/>
        <v/>
      </c>
      <c r="C5623" s="59" t="str">
        <f t="shared" si="22"/>
        <v/>
      </c>
      <c r="D5623" s="45" t="str">
        <f t="shared" si="23"/>
        <v/>
      </c>
      <c r="E5623" s="45" t="str">
        <f t="shared" si="24"/>
        <v/>
      </c>
      <c r="F5623" s="59" t="str">
        <f t="shared" si="25"/>
        <v/>
      </c>
      <c r="G5623" s="59" t="str">
        <f t="shared" si="26"/>
        <v/>
      </c>
      <c r="H5623" s="59" t="str">
        <f t="shared" si="27"/>
        <v>Xúc Đào</v>
      </c>
      <c r="I5623" s="59" t="str">
        <f>IF(OR($A5623="",$C5623="",$D5623="",$E5623="",$H5623=""),"",SUMIFS(DATA_GOC!$H:$H,DATA_GOC!$A:$A,"BOM",DATA_GOC!$D:$D,$H5623,DATA_GOC!$E:$E,$C5623,DATA_GOC!$F:$F,"Xuất nội bộ từ téc",DATA_GOC!$B:$B,"&gt;="&amp;$D5623,DATA_GOC!$B:$B,"&lt;="&amp;$E5623))</f>
        <v/>
      </c>
      <c r="J5623" s="59">
        <f t="shared" si="28"/>
        <v>0</v>
      </c>
      <c r="K5623" s="59">
        <f t="shared" si="29"/>
        <v>0</v>
      </c>
      <c r="L5623" s="59">
        <f t="shared" si="30"/>
        <v>0</v>
      </c>
      <c r="M5623" s="59">
        <f t="shared" si="31"/>
        <v>0</v>
      </c>
    </row>
    <row r="5624" ht="15.0" hidden="1" customHeight="1">
      <c r="A5624" s="59">
        <f t="shared" si="20"/>
        <v>90</v>
      </c>
      <c r="B5624" s="59" t="str">
        <f t="shared" si="21"/>
        <v/>
      </c>
      <c r="C5624" s="59" t="str">
        <f t="shared" si="22"/>
        <v/>
      </c>
      <c r="D5624" s="45" t="str">
        <f t="shared" si="23"/>
        <v/>
      </c>
      <c r="E5624" s="45" t="str">
        <f t="shared" si="24"/>
        <v/>
      </c>
      <c r="F5624" s="59" t="str">
        <f t="shared" si="25"/>
        <v/>
      </c>
      <c r="G5624" s="59" t="str">
        <f t="shared" si="26"/>
        <v/>
      </c>
      <c r="H5624" s="59" t="str">
        <f t="shared" si="27"/>
        <v>Xúclật asphalt</v>
      </c>
      <c r="I5624" s="59" t="str">
        <f>IF(OR($A5624="",$C5624="",$D5624="",$E5624="",$H5624=""),"",SUMIFS(DATA_GOC!$H:$H,DATA_GOC!$A:$A,"BOM",DATA_GOC!$D:$D,$H5624,DATA_GOC!$E:$E,$C5624,DATA_GOC!$F:$F,"Xuất nội bộ từ téc",DATA_GOC!$B:$B,"&gt;="&amp;$D5624,DATA_GOC!$B:$B,"&lt;="&amp;$E5624))</f>
        <v/>
      </c>
      <c r="J5624" s="59">
        <f t="shared" si="28"/>
        <v>0</v>
      </c>
      <c r="K5624" s="59">
        <f t="shared" si="29"/>
        <v>0</v>
      </c>
      <c r="L5624" s="59">
        <f t="shared" si="30"/>
        <v>0</v>
      </c>
      <c r="M5624" s="59">
        <f t="shared" si="31"/>
        <v>0</v>
      </c>
    </row>
    <row r="5625" ht="15.0" hidden="1" customHeight="1">
      <c r="A5625" s="59">
        <f t="shared" si="20"/>
        <v>90</v>
      </c>
      <c r="B5625" s="59" t="str">
        <f t="shared" si="21"/>
        <v/>
      </c>
      <c r="C5625" s="59" t="str">
        <f t="shared" si="22"/>
        <v/>
      </c>
      <c r="D5625" s="45" t="str">
        <f t="shared" si="23"/>
        <v/>
      </c>
      <c r="E5625" s="45" t="str">
        <f t="shared" si="24"/>
        <v/>
      </c>
      <c r="F5625" s="59" t="str">
        <f t="shared" si="25"/>
        <v/>
      </c>
      <c r="G5625" s="59" t="str">
        <f t="shared" si="26"/>
        <v/>
      </c>
      <c r="H5625" s="59" t="str">
        <f t="shared" si="27"/>
        <v>Xúclật855H</v>
      </c>
      <c r="I5625" s="59" t="str">
        <f>IF(OR($A5625="",$C5625="",$D5625="",$E5625="",$H5625=""),"",SUMIFS(DATA_GOC!$H:$H,DATA_GOC!$A:$A,"BOM",DATA_GOC!$D:$D,$H5625,DATA_GOC!$E:$E,$C5625,DATA_GOC!$F:$F,"Xuất nội bộ từ téc",DATA_GOC!$B:$B,"&gt;="&amp;$D5625,DATA_GOC!$B:$B,"&lt;="&amp;$E5625))</f>
        <v/>
      </c>
      <c r="J5625" s="59">
        <f t="shared" si="28"/>
        <v>0</v>
      </c>
      <c r="K5625" s="59">
        <f t="shared" si="29"/>
        <v>0</v>
      </c>
      <c r="L5625" s="59">
        <f t="shared" si="30"/>
        <v>0</v>
      </c>
      <c r="M5625" s="59">
        <f t="shared" si="31"/>
        <v>0</v>
      </c>
    </row>
    <row r="5626" ht="15.0" hidden="1" customHeight="1">
      <c r="A5626" s="59">
        <f t="shared" si="20"/>
        <v>90</v>
      </c>
      <c r="B5626" s="59" t="str">
        <f t="shared" si="21"/>
        <v/>
      </c>
      <c r="C5626" s="59" t="str">
        <f t="shared" si="22"/>
        <v/>
      </c>
      <c r="D5626" s="45" t="str">
        <f t="shared" si="23"/>
        <v/>
      </c>
      <c r="E5626" s="45" t="str">
        <f t="shared" si="24"/>
        <v/>
      </c>
      <c r="F5626" s="59" t="str">
        <f t="shared" si="25"/>
        <v/>
      </c>
      <c r="G5626" s="59" t="str">
        <f t="shared" si="26"/>
        <v/>
      </c>
      <c r="H5626" s="59" t="str">
        <f t="shared" si="27"/>
        <v>Xúclật855N</v>
      </c>
      <c r="I5626" s="59" t="str">
        <f>IF(OR($A5626="",$C5626="",$D5626="",$E5626="",$H5626=""),"",SUMIFS(DATA_GOC!$H:$H,DATA_GOC!$A:$A,"BOM",DATA_GOC!$D:$D,$H5626,DATA_GOC!$E:$E,$C5626,DATA_GOC!$F:$F,"Xuất nội bộ từ téc",DATA_GOC!$B:$B,"&gt;="&amp;$D5626,DATA_GOC!$B:$B,"&lt;="&amp;$E5626))</f>
        <v/>
      </c>
      <c r="J5626" s="59">
        <f t="shared" si="28"/>
        <v>0</v>
      </c>
      <c r="K5626" s="59">
        <f t="shared" si="29"/>
        <v>0</v>
      </c>
      <c r="L5626" s="59">
        <f t="shared" si="30"/>
        <v>0</v>
      </c>
      <c r="M5626" s="59">
        <f t="shared" si="31"/>
        <v>0</v>
      </c>
    </row>
    <row r="5627" ht="15.0" hidden="1" customHeight="1">
      <c r="A5627" s="59">
        <f t="shared" si="20"/>
        <v>90</v>
      </c>
      <c r="B5627" s="59" t="str">
        <f t="shared" si="21"/>
        <v/>
      </c>
      <c r="C5627" s="59" t="str">
        <f t="shared" si="22"/>
        <v/>
      </c>
      <c r="D5627" s="45" t="str">
        <f t="shared" si="23"/>
        <v/>
      </c>
      <c r="E5627" s="45" t="str">
        <f t="shared" si="24"/>
        <v/>
      </c>
      <c r="F5627" s="59" t="str">
        <f t="shared" si="25"/>
        <v/>
      </c>
      <c r="G5627" s="59" t="str">
        <f t="shared" si="26"/>
        <v/>
      </c>
      <c r="H5627" s="59" t="str">
        <f t="shared" si="27"/>
        <v>Cát nghiền</v>
      </c>
      <c r="I5627" s="59" t="str">
        <f>IF(OR($A5627="",$C5627="",$D5627="",$E5627="",$H5627=""),"",SUMIFS(DATA_GOC!$H:$H,DATA_GOC!$A:$A,"BOM",DATA_GOC!$D:$D,$H5627,DATA_GOC!$E:$E,$C5627,DATA_GOC!$F:$F,"Xuất nội bộ từ téc",DATA_GOC!$B:$B,"&gt;="&amp;$D5627,DATA_GOC!$B:$B,"&lt;="&amp;$E5627))</f>
        <v/>
      </c>
      <c r="J5627" s="59">
        <f t="shared" si="28"/>
        <v>0</v>
      </c>
      <c r="K5627" s="59">
        <f t="shared" si="29"/>
        <v>0</v>
      </c>
      <c r="L5627" s="59">
        <f t="shared" si="30"/>
        <v>0</v>
      </c>
      <c r="M5627" s="59">
        <f t="shared" si="31"/>
        <v>0</v>
      </c>
    </row>
    <row r="5628" ht="15.0" hidden="1" customHeight="1">
      <c r="A5628" s="59">
        <f t="shared" si="20"/>
        <v>90</v>
      </c>
      <c r="B5628" s="59" t="str">
        <f t="shared" si="21"/>
        <v/>
      </c>
      <c r="C5628" s="59" t="str">
        <f t="shared" si="22"/>
        <v/>
      </c>
      <c r="D5628" s="45" t="str">
        <f t="shared" si="23"/>
        <v/>
      </c>
      <c r="E5628" s="45" t="str">
        <f t="shared" si="24"/>
        <v/>
      </c>
      <c r="F5628" s="59" t="str">
        <f t="shared" si="25"/>
        <v/>
      </c>
      <c r="G5628" s="59" t="str">
        <f t="shared" si="26"/>
        <v/>
      </c>
      <c r="H5628" s="59" t="str">
        <f t="shared" si="27"/>
        <v>28C02973</v>
      </c>
      <c r="I5628" s="59" t="str">
        <f>IF(OR($A5628="",$C5628="",$D5628="",$E5628="",$H5628=""),"",SUMIFS(DATA_GOC!$H:$H,DATA_GOC!$A:$A,"BOM",DATA_GOC!$D:$D,$H5628,DATA_GOC!$E:$E,$C5628,DATA_GOC!$F:$F,"Xuất nội bộ từ téc",DATA_GOC!$B:$B,"&gt;="&amp;$D5628,DATA_GOC!$B:$B,"&lt;="&amp;$E5628))</f>
        <v/>
      </c>
      <c r="J5628" s="59">
        <f t="shared" si="28"/>
        <v>0</v>
      </c>
      <c r="K5628" s="59">
        <f t="shared" si="29"/>
        <v>0</v>
      </c>
      <c r="L5628" s="59">
        <f t="shared" si="30"/>
        <v>0</v>
      </c>
      <c r="M5628" s="59">
        <f t="shared" si="31"/>
        <v>0</v>
      </c>
    </row>
    <row r="5629" ht="15.0" hidden="1" customHeight="1">
      <c r="A5629" s="59">
        <f t="shared" si="20"/>
        <v>90</v>
      </c>
      <c r="B5629" s="59" t="str">
        <f t="shared" si="21"/>
        <v/>
      </c>
      <c r="C5629" s="59" t="str">
        <f t="shared" si="22"/>
        <v/>
      </c>
      <c r="D5629" s="45" t="str">
        <f t="shared" si="23"/>
        <v/>
      </c>
      <c r="E5629" s="45" t="str">
        <f t="shared" si="24"/>
        <v/>
      </c>
      <c r="F5629" s="59" t="str">
        <f t="shared" si="25"/>
        <v/>
      </c>
      <c r="G5629" s="59" t="str">
        <f t="shared" si="26"/>
        <v/>
      </c>
      <c r="H5629" s="59" t="str">
        <f t="shared" si="27"/>
        <v>28C03044</v>
      </c>
      <c r="I5629" s="59" t="str">
        <f>IF(OR($A5629="",$C5629="",$D5629="",$E5629="",$H5629=""),"",SUMIFS(DATA_GOC!$H:$H,DATA_GOC!$A:$A,"BOM",DATA_GOC!$D:$D,$H5629,DATA_GOC!$E:$E,$C5629,DATA_GOC!$F:$F,"Xuất nội bộ từ téc",DATA_GOC!$B:$B,"&gt;="&amp;$D5629,DATA_GOC!$B:$B,"&lt;="&amp;$E5629))</f>
        <v/>
      </c>
      <c r="J5629" s="59">
        <f t="shared" si="28"/>
        <v>0</v>
      </c>
      <c r="K5629" s="59">
        <f t="shared" si="29"/>
        <v>0</v>
      </c>
      <c r="L5629" s="59">
        <f t="shared" si="30"/>
        <v>0</v>
      </c>
      <c r="M5629" s="59">
        <f t="shared" si="31"/>
        <v>0</v>
      </c>
    </row>
    <row r="5630" ht="15.0" hidden="1" customHeight="1">
      <c r="A5630" s="59">
        <f t="shared" si="20"/>
        <v>90</v>
      </c>
      <c r="B5630" s="59" t="str">
        <f t="shared" si="21"/>
        <v/>
      </c>
      <c r="C5630" s="59" t="str">
        <f t="shared" si="22"/>
        <v/>
      </c>
      <c r="D5630" s="45" t="str">
        <f t="shared" si="23"/>
        <v/>
      </c>
      <c r="E5630" s="45" t="str">
        <f t="shared" si="24"/>
        <v/>
      </c>
      <c r="F5630" s="59" t="str">
        <f t="shared" si="25"/>
        <v/>
      </c>
      <c r="G5630" s="59" t="str">
        <f t="shared" si="26"/>
        <v/>
      </c>
      <c r="H5630" s="59" t="str">
        <f t="shared" si="27"/>
        <v>Máy lu lốp</v>
      </c>
      <c r="I5630" s="59" t="str">
        <f>IF(OR($A5630="",$C5630="",$D5630="",$E5630="",$H5630=""),"",SUMIFS(DATA_GOC!$H:$H,DATA_GOC!$A:$A,"BOM",DATA_GOC!$D:$D,$H5630,DATA_GOC!$E:$E,$C5630,DATA_GOC!$F:$F,"Xuất nội bộ từ téc",DATA_GOC!$B:$B,"&gt;="&amp;$D5630,DATA_GOC!$B:$B,"&lt;="&amp;$E5630))</f>
        <v/>
      </c>
      <c r="J5630" s="59">
        <f t="shared" si="28"/>
        <v>0</v>
      </c>
      <c r="K5630" s="59">
        <f t="shared" si="29"/>
        <v>0</v>
      </c>
      <c r="L5630" s="59">
        <f t="shared" si="30"/>
        <v>0</v>
      </c>
      <c r="M5630" s="59">
        <f t="shared" si="31"/>
        <v>0</v>
      </c>
    </row>
    <row r="5631" ht="15.0" hidden="1" customHeight="1">
      <c r="A5631" s="59">
        <f t="shared" si="20"/>
        <v>90</v>
      </c>
      <c r="B5631" s="59" t="str">
        <f t="shared" si="21"/>
        <v/>
      </c>
      <c r="C5631" s="59" t="str">
        <f t="shared" si="22"/>
        <v/>
      </c>
      <c r="D5631" s="45" t="str">
        <f t="shared" si="23"/>
        <v/>
      </c>
      <c r="E5631" s="45" t="str">
        <f t="shared" si="24"/>
        <v/>
      </c>
      <c r="F5631" s="59" t="str">
        <f t="shared" si="25"/>
        <v/>
      </c>
      <c r="G5631" s="59" t="str">
        <f t="shared" si="26"/>
        <v/>
      </c>
      <c r="H5631" s="59" t="str">
        <f t="shared" si="27"/>
        <v>Xe 600148</v>
      </c>
      <c r="I5631" s="59" t="str">
        <f>IF(OR($A5631="",$C5631="",$D5631="",$E5631="",$H5631=""),"",SUMIFS(DATA_GOC!$H:$H,DATA_GOC!$A:$A,"BOM",DATA_GOC!$D:$D,$H5631,DATA_GOC!$E:$E,$C5631,DATA_GOC!$F:$F,"Xuất nội bộ từ téc",DATA_GOC!$B:$B,"&gt;="&amp;$D5631,DATA_GOC!$B:$B,"&lt;="&amp;$E5631))</f>
        <v/>
      </c>
      <c r="J5631" s="59">
        <f t="shared" si="28"/>
        <v>0</v>
      </c>
      <c r="K5631" s="59">
        <f t="shared" si="29"/>
        <v>0</v>
      </c>
      <c r="L5631" s="59">
        <f t="shared" si="30"/>
        <v>0</v>
      </c>
      <c r="M5631" s="59">
        <f t="shared" si="31"/>
        <v>0</v>
      </c>
    </row>
    <row r="5632" ht="15.0" hidden="1" customHeight="1">
      <c r="A5632" s="59">
        <f t="shared" si="20"/>
        <v>90</v>
      </c>
      <c r="B5632" s="59" t="str">
        <f t="shared" si="21"/>
        <v/>
      </c>
      <c r="C5632" s="59" t="str">
        <f t="shared" si="22"/>
        <v/>
      </c>
      <c r="D5632" s="45" t="str">
        <f t="shared" si="23"/>
        <v/>
      </c>
      <c r="E5632" s="45" t="str">
        <f t="shared" si="24"/>
        <v/>
      </c>
      <c r="F5632" s="59" t="str">
        <f t="shared" si="25"/>
        <v/>
      </c>
      <c r="G5632" s="59" t="str">
        <f t="shared" si="26"/>
        <v/>
      </c>
      <c r="H5632" s="59" t="str">
        <f t="shared" si="27"/>
        <v>Xe ben mới</v>
      </c>
      <c r="I5632" s="59" t="str">
        <f>IF(OR($A5632="",$C5632="",$D5632="",$E5632="",$H5632=""),"",SUMIFS(DATA_GOC!$H:$H,DATA_GOC!$A:$A,"BOM",DATA_GOC!$D:$D,$H5632,DATA_GOC!$E:$E,$C5632,DATA_GOC!$F:$F,"Xuất nội bộ từ téc",DATA_GOC!$B:$B,"&gt;="&amp;$D5632,DATA_GOC!$B:$B,"&lt;="&amp;$E5632))</f>
        <v/>
      </c>
      <c r="J5632" s="59">
        <f t="shared" si="28"/>
        <v>0</v>
      </c>
      <c r="K5632" s="59">
        <f t="shared" si="29"/>
        <v>0</v>
      </c>
      <c r="L5632" s="59">
        <f t="shared" si="30"/>
        <v>0</v>
      </c>
      <c r="M5632" s="59">
        <f t="shared" si="31"/>
        <v>0</v>
      </c>
    </row>
    <row r="5633" ht="15.0" hidden="1" customHeight="1">
      <c r="A5633" s="59">
        <f t="shared" si="20"/>
        <v>91</v>
      </c>
      <c r="B5633" s="59" t="str">
        <f t="shared" si="21"/>
        <v/>
      </c>
      <c r="C5633" s="59" t="str">
        <f t="shared" si="22"/>
        <v/>
      </c>
      <c r="D5633" s="45" t="str">
        <f t="shared" si="23"/>
        <v/>
      </c>
      <c r="E5633" s="45" t="str">
        <f t="shared" si="24"/>
        <v/>
      </c>
      <c r="F5633" s="59" t="str">
        <f t="shared" si="25"/>
        <v/>
      </c>
      <c r="G5633" s="59" t="str">
        <f t="shared" si="26"/>
        <v/>
      </c>
      <c r="H5633" s="59" t="str">
        <f t="shared" si="27"/>
        <v>19H09482</v>
      </c>
      <c r="I5633" s="59" t="str">
        <f>IF(OR($A5633="",$C5633="",$D5633="",$E5633="",$H5633=""),"",SUMIFS(DATA_GOC!$H:$H,DATA_GOC!$A:$A,"BOM",DATA_GOC!$D:$D,$H5633,DATA_GOC!$E:$E,$C5633,DATA_GOC!$F:$F,"Xuất nội bộ từ téc",DATA_GOC!$B:$B,"&gt;="&amp;$D5633,DATA_GOC!$B:$B,"&lt;="&amp;$E5633))</f>
        <v/>
      </c>
      <c r="J5633" s="59">
        <f t="shared" si="28"/>
        <v>0</v>
      </c>
      <c r="K5633" s="59">
        <f t="shared" si="29"/>
        <v>0</v>
      </c>
      <c r="L5633" s="59">
        <f t="shared" si="30"/>
        <v>0</v>
      </c>
      <c r="M5633" s="59">
        <f t="shared" si="31"/>
        <v>0</v>
      </c>
    </row>
    <row r="5634" ht="15.0" hidden="1" customHeight="1">
      <c r="A5634" s="59">
        <f t="shared" si="20"/>
        <v>91</v>
      </c>
      <c r="B5634" s="59" t="str">
        <f t="shared" si="21"/>
        <v/>
      </c>
      <c r="C5634" s="59" t="str">
        <f t="shared" si="22"/>
        <v/>
      </c>
      <c r="D5634" s="45" t="str">
        <f t="shared" si="23"/>
        <v/>
      </c>
      <c r="E5634" s="45" t="str">
        <f t="shared" si="24"/>
        <v/>
      </c>
      <c r="F5634" s="59" t="str">
        <f t="shared" si="25"/>
        <v/>
      </c>
      <c r="G5634" s="59" t="str">
        <f t="shared" si="26"/>
        <v/>
      </c>
      <c r="H5634" s="59" t="str">
        <f t="shared" si="27"/>
        <v>28A30696</v>
      </c>
      <c r="I5634" s="59" t="str">
        <f>IF(OR($A5634="",$C5634="",$D5634="",$E5634="",$H5634=""),"",SUMIFS(DATA_GOC!$H:$H,DATA_GOC!$A:$A,"BOM",DATA_GOC!$D:$D,$H5634,DATA_GOC!$E:$E,$C5634,DATA_GOC!$F:$F,"Xuất nội bộ từ téc",DATA_GOC!$B:$B,"&gt;="&amp;$D5634,DATA_GOC!$B:$B,"&lt;="&amp;$E5634))</f>
        <v/>
      </c>
      <c r="J5634" s="59">
        <f t="shared" si="28"/>
        <v>0</v>
      </c>
      <c r="K5634" s="59">
        <f t="shared" si="29"/>
        <v>0</v>
      </c>
      <c r="L5634" s="59">
        <f t="shared" si="30"/>
        <v>0</v>
      </c>
      <c r="M5634" s="59">
        <f t="shared" si="31"/>
        <v>0</v>
      </c>
    </row>
    <row r="5635" ht="15.0" hidden="1" customHeight="1">
      <c r="A5635" s="59">
        <f t="shared" si="20"/>
        <v>91</v>
      </c>
      <c r="B5635" s="59" t="str">
        <f t="shared" si="21"/>
        <v/>
      </c>
      <c r="C5635" s="59" t="str">
        <f t="shared" si="22"/>
        <v/>
      </c>
      <c r="D5635" s="45" t="str">
        <f t="shared" si="23"/>
        <v/>
      </c>
      <c r="E5635" s="45" t="str">
        <f t="shared" si="24"/>
        <v/>
      </c>
      <c r="F5635" s="59" t="str">
        <f t="shared" si="25"/>
        <v/>
      </c>
      <c r="G5635" s="59" t="str">
        <f t="shared" si="26"/>
        <v/>
      </c>
      <c r="H5635" s="59" t="str">
        <f t="shared" si="27"/>
        <v>28C00462</v>
      </c>
      <c r="I5635" s="59" t="str">
        <f>IF(OR($A5635="",$C5635="",$D5635="",$E5635="",$H5635=""),"",SUMIFS(DATA_GOC!$H:$H,DATA_GOC!$A:$A,"BOM",DATA_GOC!$D:$D,$H5635,DATA_GOC!$E:$E,$C5635,DATA_GOC!$F:$F,"Xuất nội bộ từ téc",DATA_GOC!$B:$B,"&gt;="&amp;$D5635,DATA_GOC!$B:$B,"&lt;="&amp;$E5635))</f>
        <v/>
      </c>
      <c r="J5635" s="59">
        <f t="shared" si="28"/>
        <v>0</v>
      </c>
      <c r="K5635" s="59">
        <f t="shared" si="29"/>
        <v>0</v>
      </c>
      <c r="L5635" s="59">
        <f t="shared" si="30"/>
        <v>0</v>
      </c>
      <c r="M5635" s="59">
        <f t="shared" si="31"/>
        <v>0</v>
      </c>
    </row>
    <row r="5636" ht="15.0" hidden="1" customHeight="1">
      <c r="A5636" s="59">
        <f t="shared" si="20"/>
        <v>91</v>
      </c>
      <c r="B5636" s="59" t="str">
        <f t="shared" si="21"/>
        <v/>
      </c>
      <c r="C5636" s="59" t="str">
        <f t="shared" si="22"/>
        <v/>
      </c>
      <c r="D5636" s="45" t="str">
        <f t="shared" si="23"/>
        <v/>
      </c>
      <c r="E5636" s="45" t="str">
        <f t="shared" si="24"/>
        <v/>
      </c>
      <c r="F5636" s="59" t="str">
        <f t="shared" si="25"/>
        <v/>
      </c>
      <c r="G5636" s="59" t="str">
        <f t="shared" si="26"/>
        <v/>
      </c>
      <c r="H5636" s="59" t="str">
        <f t="shared" si="27"/>
        <v>28C01165</v>
      </c>
      <c r="I5636" s="59" t="str">
        <f>IF(OR($A5636="",$C5636="",$D5636="",$E5636="",$H5636=""),"",SUMIFS(DATA_GOC!$H:$H,DATA_GOC!$A:$A,"BOM",DATA_GOC!$D:$D,$H5636,DATA_GOC!$E:$E,$C5636,DATA_GOC!$F:$F,"Xuất nội bộ từ téc",DATA_GOC!$B:$B,"&gt;="&amp;$D5636,DATA_GOC!$B:$B,"&lt;="&amp;$E5636))</f>
        <v/>
      </c>
      <c r="J5636" s="59">
        <f t="shared" si="28"/>
        <v>0</v>
      </c>
      <c r="K5636" s="59">
        <f t="shared" si="29"/>
        <v>0</v>
      </c>
      <c r="L5636" s="59">
        <f t="shared" si="30"/>
        <v>0</v>
      </c>
      <c r="M5636" s="59">
        <f t="shared" si="31"/>
        <v>0</v>
      </c>
    </row>
    <row r="5637" ht="15.0" hidden="1" customHeight="1">
      <c r="A5637" s="59">
        <f t="shared" si="20"/>
        <v>91</v>
      </c>
      <c r="B5637" s="59" t="str">
        <f t="shared" si="21"/>
        <v/>
      </c>
      <c r="C5637" s="59" t="str">
        <f t="shared" si="22"/>
        <v/>
      </c>
      <c r="D5637" s="45" t="str">
        <f t="shared" si="23"/>
        <v/>
      </c>
      <c r="E5637" s="45" t="str">
        <f t="shared" si="24"/>
        <v/>
      </c>
      <c r="F5637" s="59" t="str">
        <f t="shared" si="25"/>
        <v/>
      </c>
      <c r="G5637" s="59" t="str">
        <f t="shared" si="26"/>
        <v/>
      </c>
      <c r="H5637" s="59" t="str">
        <f t="shared" si="27"/>
        <v>28C01406</v>
      </c>
      <c r="I5637" s="59" t="str">
        <f>IF(OR($A5637="",$C5637="",$D5637="",$E5637="",$H5637=""),"",SUMIFS(DATA_GOC!$H:$H,DATA_GOC!$A:$A,"BOM",DATA_GOC!$D:$D,$H5637,DATA_GOC!$E:$E,$C5637,DATA_GOC!$F:$F,"Xuất nội bộ từ téc",DATA_GOC!$B:$B,"&gt;="&amp;$D5637,DATA_GOC!$B:$B,"&lt;="&amp;$E5637))</f>
        <v/>
      </c>
      <c r="J5637" s="59">
        <f t="shared" si="28"/>
        <v>0</v>
      </c>
      <c r="K5637" s="59">
        <f t="shared" si="29"/>
        <v>0</v>
      </c>
      <c r="L5637" s="59">
        <f t="shared" si="30"/>
        <v>0</v>
      </c>
      <c r="M5637" s="59">
        <f t="shared" si="31"/>
        <v>0</v>
      </c>
    </row>
    <row r="5638" ht="15.0" hidden="1" customHeight="1">
      <c r="A5638" s="59">
        <f t="shared" si="20"/>
        <v>91</v>
      </c>
      <c r="B5638" s="59" t="str">
        <f t="shared" si="21"/>
        <v/>
      </c>
      <c r="C5638" s="59" t="str">
        <f t="shared" si="22"/>
        <v/>
      </c>
      <c r="D5638" s="45" t="str">
        <f t="shared" si="23"/>
        <v/>
      </c>
      <c r="E5638" s="45" t="str">
        <f t="shared" si="24"/>
        <v/>
      </c>
      <c r="F5638" s="59" t="str">
        <f t="shared" si="25"/>
        <v/>
      </c>
      <c r="G5638" s="59" t="str">
        <f t="shared" si="26"/>
        <v/>
      </c>
      <c r="H5638" s="59" t="str">
        <f t="shared" si="27"/>
        <v>28C01544</v>
      </c>
      <c r="I5638" s="59" t="str">
        <f>IF(OR($A5638="",$C5638="",$D5638="",$E5638="",$H5638=""),"",SUMIFS(DATA_GOC!$H:$H,DATA_GOC!$A:$A,"BOM",DATA_GOC!$D:$D,$H5638,DATA_GOC!$E:$E,$C5638,DATA_GOC!$F:$F,"Xuất nội bộ từ téc",DATA_GOC!$B:$B,"&gt;="&amp;$D5638,DATA_GOC!$B:$B,"&lt;="&amp;$E5638))</f>
        <v/>
      </c>
      <c r="J5638" s="59">
        <f t="shared" si="28"/>
        <v>0</v>
      </c>
      <c r="K5638" s="59">
        <f t="shared" si="29"/>
        <v>0</v>
      </c>
      <c r="L5638" s="59">
        <f t="shared" si="30"/>
        <v>0</v>
      </c>
      <c r="M5638" s="59">
        <f t="shared" si="31"/>
        <v>0</v>
      </c>
    </row>
    <row r="5639" ht="15.0" hidden="1" customHeight="1">
      <c r="A5639" s="59">
        <f t="shared" si="20"/>
        <v>91</v>
      </c>
      <c r="B5639" s="59" t="str">
        <f t="shared" si="21"/>
        <v/>
      </c>
      <c r="C5639" s="59" t="str">
        <f t="shared" si="22"/>
        <v/>
      </c>
      <c r="D5639" s="45" t="str">
        <f t="shared" si="23"/>
        <v/>
      </c>
      <c r="E5639" s="45" t="str">
        <f t="shared" si="24"/>
        <v/>
      </c>
      <c r="F5639" s="59" t="str">
        <f t="shared" si="25"/>
        <v/>
      </c>
      <c r="G5639" s="59" t="str">
        <f t="shared" si="26"/>
        <v/>
      </c>
      <c r="H5639" s="59" t="str">
        <f t="shared" si="27"/>
        <v>28C01622</v>
      </c>
      <c r="I5639" s="59" t="str">
        <f>IF(OR($A5639="",$C5639="",$D5639="",$E5639="",$H5639=""),"",SUMIFS(DATA_GOC!$H:$H,DATA_GOC!$A:$A,"BOM",DATA_GOC!$D:$D,$H5639,DATA_GOC!$E:$E,$C5639,DATA_GOC!$F:$F,"Xuất nội bộ từ téc",DATA_GOC!$B:$B,"&gt;="&amp;$D5639,DATA_GOC!$B:$B,"&lt;="&amp;$E5639))</f>
        <v/>
      </c>
      <c r="J5639" s="59">
        <f t="shared" si="28"/>
        <v>0</v>
      </c>
      <c r="K5639" s="59">
        <f t="shared" si="29"/>
        <v>0</v>
      </c>
      <c r="L5639" s="59">
        <f t="shared" si="30"/>
        <v>0</v>
      </c>
      <c r="M5639" s="59">
        <f t="shared" si="31"/>
        <v>0</v>
      </c>
    </row>
    <row r="5640" ht="15.0" hidden="1" customHeight="1">
      <c r="A5640" s="59">
        <f t="shared" si="20"/>
        <v>91</v>
      </c>
      <c r="B5640" s="59" t="str">
        <f t="shared" si="21"/>
        <v/>
      </c>
      <c r="C5640" s="59" t="str">
        <f t="shared" si="22"/>
        <v/>
      </c>
      <c r="D5640" s="45" t="str">
        <f t="shared" si="23"/>
        <v/>
      </c>
      <c r="E5640" s="45" t="str">
        <f t="shared" si="24"/>
        <v/>
      </c>
      <c r="F5640" s="59" t="str">
        <f t="shared" si="25"/>
        <v/>
      </c>
      <c r="G5640" s="59" t="str">
        <f t="shared" si="26"/>
        <v/>
      </c>
      <c r="H5640" s="59" t="str">
        <f t="shared" si="27"/>
        <v>28C01647</v>
      </c>
      <c r="I5640" s="59" t="str">
        <f>IF(OR($A5640="",$C5640="",$D5640="",$E5640="",$H5640=""),"",SUMIFS(DATA_GOC!$H:$H,DATA_GOC!$A:$A,"BOM",DATA_GOC!$D:$D,$H5640,DATA_GOC!$E:$E,$C5640,DATA_GOC!$F:$F,"Xuất nội bộ từ téc",DATA_GOC!$B:$B,"&gt;="&amp;$D5640,DATA_GOC!$B:$B,"&lt;="&amp;$E5640))</f>
        <v/>
      </c>
      <c r="J5640" s="59">
        <f t="shared" si="28"/>
        <v>0</v>
      </c>
      <c r="K5640" s="59">
        <f t="shared" si="29"/>
        <v>0</v>
      </c>
      <c r="L5640" s="59">
        <f t="shared" si="30"/>
        <v>0</v>
      </c>
      <c r="M5640" s="59">
        <f t="shared" si="31"/>
        <v>0</v>
      </c>
    </row>
    <row r="5641" ht="15.0" hidden="1" customHeight="1">
      <c r="A5641" s="59">
        <f t="shared" si="20"/>
        <v>91</v>
      </c>
      <c r="B5641" s="59" t="str">
        <f t="shared" si="21"/>
        <v/>
      </c>
      <c r="C5641" s="59" t="str">
        <f t="shared" si="22"/>
        <v/>
      </c>
      <c r="D5641" s="45" t="str">
        <f t="shared" si="23"/>
        <v/>
      </c>
      <c r="E5641" s="45" t="str">
        <f t="shared" si="24"/>
        <v/>
      </c>
      <c r="F5641" s="59" t="str">
        <f t="shared" si="25"/>
        <v/>
      </c>
      <c r="G5641" s="59" t="str">
        <f t="shared" si="26"/>
        <v/>
      </c>
      <c r="H5641" s="59" t="str">
        <f t="shared" si="27"/>
        <v>28C01731</v>
      </c>
      <c r="I5641" s="59" t="str">
        <f>IF(OR($A5641="",$C5641="",$D5641="",$E5641="",$H5641=""),"",SUMIFS(DATA_GOC!$H:$H,DATA_GOC!$A:$A,"BOM",DATA_GOC!$D:$D,$H5641,DATA_GOC!$E:$E,$C5641,DATA_GOC!$F:$F,"Xuất nội bộ từ téc",DATA_GOC!$B:$B,"&gt;="&amp;$D5641,DATA_GOC!$B:$B,"&lt;="&amp;$E5641))</f>
        <v/>
      </c>
      <c r="J5641" s="59">
        <f t="shared" si="28"/>
        <v>0</v>
      </c>
      <c r="K5641" s="59">
        <f t="shared" si="29"/>
        <v>0</v>
      </c>
      <c r="L5641" s="59">
        <f t="shared" si="30"/>
        <v>0</v>
      </c>
      <c r="M5641" s="59">
        <f t="shared" si="31"/>
        <v>0</v>
      </c>
    </row>
    <row r="5642" ht="15.0" hidden="1" customHeight="1">
      <c r="A5642" s="59">
        <f t="shared" si="20"/>
        <v>91</v>
      </c>
      <c r="B5642" s="59" t="str">
        <f t="shared" si="21"/>
        <v/>
      </c>
      <c r="C5642" s="59" t="str">
        <f t="shared" si="22"/>
        <v/>
      </c>
      <c r="D5642" s="45" t="str">
        <f t="shared" si="23"/>
        <v/>
      </c>
      <c r="E5642" s="45" t="str">
        <f t="shared" si="24"/>
        <v/>
      </c>
      <c r="F5642" s="59" t="str">
        <f t="shared" si="25"/>
        <v/>
      </c>
      <c r="G5642" s="59" t="str">
        <f t="shared" si="26"/>
        <v/>
      </c>
      <c r="H5642" s="59" t="str">
        <f t="shared" si="27"/>
        <v>28C01743</v>
      </c>
      <c r="I5642" s="59" t="str">
        <f>IF(OR($A5642="",$C5642="",$D5642="",$E5642="",$H5642=""),"",SUMIFS(DATA_GOC!$H:$H,DATA_GOC!$A:$A,"BOM",DATA_GOC!$D:$D,$H5642,DATA_GOC!$E:$E,$C5642,DATA_GOC!$F:$F,"Xuất nội bộ từ téc",DATA_GOC!$B:$B,"&gt;="&amp;$D5642,DATA_GOC!$B:$B,"&lt;="&amp;$E5642))</f>
        <v/>
      </c>
      <c r="J5642" s="59">
        <f t="shared" si="28"/>
        <v>0</v>
      </c>
      <c r="K5642" s="59">
        <f t="shared" si="29"/>
        <v>0</v>
      </c>
      <c r="L5642" s="59">
        <f t="shared" si="30"/>
        <v>0</v>
      </c>
      <c r="M5642" s="59">
        <f t="shared" si="31"/>
        <v>0</v>
      </c>
    </row>
    <row r="5643" ht="15.0" hidden="1" customHeight="1">
      <c r="A5643" s="59">
        <f t="shared" si="20"/>
        <v>91</v>
      </c>
      <c r="B5643" s="59" t="str">
        <f t="shared" si="21"/>
        <v/>
      </c>
      <c r="C5643" s="59" t="str">
        <f t="shared" si="22"/>
        <v/>
      </c>
      <c r="D5643" s="45" t="str">
        <f t="shared" si="23"/>
        <v/>
      </c>
      <c r="E5643" s="45" t="str">
        <f t="shared" si="24"/>
        <v/>
      </c>
      <c r="F5643" s="59" t="str">
        <f t="shared" si="25"/>
        <v/>
      </c>
      <c r="G5643" s="59" t="str">
        <f t="shared" si="26"/>
        <v/>
      </c>
      <c r="H5643" s="59" t="str">
        <f t="shared" si="27"/>
        <v>28C02106</v>
      </c>
      <c r="I5643" s="59" t="str">
        <f>IF(OR($A5643="",$C5643="",$D5643="",$E5643="",$H5643=""),"",SUMIFS(DATA_GOC!$H:$H,DATA_GOC!$A:$A,"BOM",DATA_GOC!$D:$D,$H5643,DATA_GOC!$E:$E,$C5643,DATA_GOC!$F:$F,"Xuất nội bộ từ téc",DATA_GOC!$B:$B,"&gt;="&amp;$D5643,DATA_GOC!$B:$B,"&lt;="&amp;$E5643))</f>
        <v/>
      </c>
      <c r="J5643" s="59">
        <f t="shared" si="28"/>
        <v>0</v>
      </c>
      <c r="K5643" s="59">
        <f t="shared" si="29"/>
        <v>0</v>
      </c>
      <c r="L5643" s="59">
        <f t="shared" si="30"/>
        <v>0</v>
      </c>
      <c r="M5643" s="59">
        <f t="shared" si="31"/>
        <v>0</v>
      </c>
    </row>
    <row r="5644" ht="15.0" hidden="1" customHeight="1">
      <c r="A5644" s="59">
        <f t="shared" si="20"/>
        <v>91</v>
      </c>
      <c r="B5644" s="59" t="str">
        <f t="shared" si="21"/>
        <v/>
      </c>
      <c r="C5644" s="59" t="str">
        <f t="shared" si="22"/>
        <v/>
      </c>
      <c r="D5644" s="45" t="str">
        <f t="shared" si="23"/>
        <v/>
      </c>
      <c r="E5644" s="45" t="str">
        <f t="shared" si="24"/>
        <v/>
      </c>
      <c r="F5644" s="59" t="str">
        <f t="shared" si="25"/>
        <v/>
      </c>
      <c r="G5644" s="59" t="str">
        <f t="shared" si="26"/>
        <v/>
      </c>
      <c r="H5644" s="59" t="str">
        <f t="shared" si="27"/>
        <v>28C02410</v>
      </c>
      <c r="I5644" s="59" t="str">
        <f>IF(OR($A5644="",$C5644="",$D5644="",$E5644="",$H5644=""),"",SUMIFS(DATA_GOC!$H:$H,DATA_GOC!$A:$A,"BOM",DATA_GOC!$D:$D,$H5644,DATA_GOC!$E:$E,$C5644,DATA_GOC!$F:$F,"Xuất nội bộ từ téc",DATA_GOC!$B:$B,"&gt;="&amp;$D5644,DATA_GOC!$B:$B,"&lt;="&amp;$E5644))</f>
        <v/>
      </c>
      <c r="J5644" s="59">
        <f t="shared" si="28"/>
        <v>0</v>
      </c>
      <c r="K5644" s="59">
        <f t="shared" si="29"/>
        <v>0</v>
      </c>
      <c r="L5644" s="59">
        <f t="shared" si="30"/>
        <v>0</v>
      </c>
      <c r="M5644" s="59">
        <f t="shared" si="31"/>
        <v>0</v>
      </c>
    </row>
    <row r="5645" ht="15.0" hidden="1" customHeight="1">
      <c r="A5645" s="59">
        <f t="shared" si="20"/>
        <v>91</v>
      </c>
      <c r="B5645" s="59" t="str">
        <f t="shared" si="21"/>
        <v/>
      </c>
      <c r="C5645" s="59" t="str">
        <f t="shared" si="22"/>
        <v/>
      </c>
      <c r="D5645" s="45" t="str">
        <f t="shared" si="23"/>
        <v/>
      </c>
      <c r="E5645" s="45" t="str">
        <f t="shared" si="24"/>
        <v/>
      </c>
      <c r="F5645" s="59" t="str">
        <f t="shared" si="25"/>
        <v/>
      </c>
      <c r="G5645" s="59" t="str">
        <f t="shared" si="26"/>
        <v/>
      </c>
      <c r="H5645" s="59" t="str">
        <f t="shared" si="27"/>
        <v>28C02545</v>
      </c>
      <c r="I5645" s="59" t="str">
        <f>IF(OR($A5645="",$C5645="",$D5645="",$E5645="",$H5645=""),"",SUMIFS(DATA_GOC!$H:$H,DATA_GOC!$A:$A,"BOM",DATA_GOC!$D:$D,$H5645,DATA_GOC!$E:$E,$C5645,DATA_GOC!$F:$F,"Xuất nội bộ từ téc",DATA_GOC!$B:$B,"&gt;="&amp;$D5645,DATA_GOC!$B:$B,"&lt;="&amp;$E5645))</f>
        <v/>
      </c>
      <c r="J5645" s="59">
        <f t="shared" si="28"/>
        <v>0</v>
      </c>
      <c r="K5645" s="59">
        <f t="shared" si="29"/>
        <v>0</v>
      </c>
      <c r="L5645" s="59">
        <f t="shared" si="30"/>
        <v>0</v>
      </c>
      <c r="M5645" s="59">
        <f t="shared" si="31"/>
        <v>0</v>
      </c>
    </row>
    <row r="5646" ht="15.0" hidden="1" customHeight="1">
      <c r="A5646" s="59">
        <f t="shared" si="20"/>
        <v>91</v>
      </c>
      <c r="B5646" s="59" t="str">
        <f t="shared" si="21"/>
        <v/>
      </c>
      <c r="C5646" s="59" t="str">
        <f t="shared" si="22"/>
        <v/>
      </c>
      <c r="D5646" s="45" t="str">
        <f t="shared" si="23"/>
        <v/>
      </c>
      <c r="E5646" s="45" t="str">
        <f t="shared" si="24"/>
        <v/>
      </c>
      <c r="F5646" s="59" t="str">
        <f t="shared" si="25"/>
        <v/>
      </c>
      <c r="G5646" s="59" t="str">
        <f t="shared" si="26"/>
        <v/>
      </c>
      <c r="H5646" s="59" t="str">
        <f t="shared" si="27"/>
        <v>28C02574</v>
      </c>
      <c r="I5646" s="59" t="str">
        <f>IF(OR($A5646="",$C5646="",$D5646="",$E5646="",$H5646=""),"",SUMIFS(DATA_GOC!$H:$H,DATA_GOC!$A:$A,"BOM",DATA_GOC!$D:$D,$H5646,DATA_GOC!$E:$E,$C5646,DATA_GOC!$F:$F,"Xuất nội bộ từ téc",DATA_GOC!$B:$B,"&gt;="&amp;$D5646,DATA_GOC!$B:$B,"&lt;="&amp;$E5646))</f>
        <v/>
      </c>
      <c r="J5646" s="59">
        <f t="shared" si="28"/>
        <v>0</v>
      </c>
      <c r="K5646" s="59">
        <f t="shared" si="29"/>
        <v>0</v>
      </c>
      <c r="L5646" s="59">
        <f t="shared" si="30"/>
        <v>0</v>
      </c>
      <c r="M5646" s="59">
        <f t="shared" si="31"/>
        <v>0</v>
      </c>
    </row>
    <row r="5647" ht="15.0" hidden="1" customHeight="1">
      <c r="A5647" s="59">
        <f t="shared" si="20"/>
        <v>91</v>
      </c>
      <c r="B5647" s="59" t="str">
        <f t="shared" si="21"/>
        <v/>
      </c>
      <c r="C5647" s="59" t="str">
        <f t="shared" si="22"/>
        <v/>
      </c>
      <c r="D5647" s="45" t="str">
        <f t="shared" si="23"/>
        <v/>
      </c>
      <c r="E5647" s="45" t="str">
        <f t="shared" si="24"/>
        <v/>
      </c>
      <c r="F5647" s="59" t="str">
        <f t="shared" si="25"/>
        <v/>
      </c>
      <c r="G5647" s="59" t="str">
        <f t="shared" si="26"/>
        <v/>
      </c>
      <c r="H5647" s="59" t="str">
        <f t="shared" si="27"/>
        <v>28C02770</v>
      </c>
      <c r="I5647" s="59" t="str">
        <f>IF(OR($A5647="",$C5647="",$D5647="",$E5647="",$H5647=""),"",SUMIFS(DATA_GOC!$H:$H,DATA_GOC!$A:$A,"BOM",DATA_GOC!$D:$D,$H5647,DATA_GOC!$E:$E,$C5647,DATA_GOC!$F:$F,"Xuất nội bộ từ téc",DATA_GOC!$B:$B,"&gt;="&amp;$D5647,DATA_GOC!$B:$B,"&lt;="&amp;$E5647))</f>
        <v/>
      </c>
      <c r="J5647" s="59">
        <f t="shared" si="28"/>
        <v>0</v>
      </c>
      <c r="K5647" s="59">
        <f t="shared" si="29"/>
        <v>0</v>
      </c>
      <c r="L5647" s="59">
        <f t="shared" si="30"/>
        <v>0</v>
      </c>
      <c r="M5647" s="59">
        <f t="shared" si="31"/>
        <v>0</v>
      </c>
    </row>
    <row r="5648" ht="15.0" hidden="1" customHeight="1">
      <c r="A5648" s="59">
        <f t="shared" si="20"/>
        <v>91</v>
      </c>
      <c r="B5648" s="59" t="str">
        <f t="shared" si="21"/>
        <v/>
      </c>
      <c r="C5648" s="59" t="str">
        <f t="shared" si="22"/>
        <v/>
      </c>
      <c r="D5648" s="45" t="str">
        <f t="shared" si="23"/>
        <v/>
      </c>
      <c r="E5648" s="45" t="str">
        <f t="shared" si="24"/>
        <v/>
      </c>
      <c r="F5648" s="59" t="str">
        <f t="shared" si="25"/>
        <v/>
      </c>
      <c r="G5648" s="59" t="str">
        <f t="shared" si="26"/>
        <v/>
      </c>
      <c r="H5648" s="59" t="str">
        <f t="shared" si="27"/>
        <v>28C02986</v>
      </c>
      <c r="I5648" s="59" t="str">
        <f>IF(OR($A5648="",$C5648="",$D5648="",$E5648="",$H5648=""),"",SUMIFS(DATA_GOC!$H:$H,DATA_GOC!$A:$A,"BOM",DATA_GOC!$D:$D,$H5648,DATA_GOC!$E:$E,$C5648,DATA_GOC!$F:$F,"Xuất nội bộ từ téc",DATA_GOC!$B:$B,"&gt;="&amp;$D5648,DATA_GOC!$B:$B,"&lt;="&amp;$E5648))</f>
        <v/>
      </c>
      <c r="J5648" s="59">
        <f t="shared" si="28"/>
        <v>0</v>
      </c>
      <c r="K5648" s="59">
        <f t="shared" si="29"/>
        <v>0</v>
      </c>
      <c r="L5648" s="59">
        <f t="shared" si="30"/>
        <v>0</v>
      </c>
      <c r="M5648" s="59">
        <f t="shared" si="31"/>
        <v>0</v>
      </c>
    </row>
    <row r="5649" ht="15.0" hidden="1" customHeight="1">
      <c r="A5649" s="59">
        <f t="shared" si="20"/>
        <v>91</v>
      </c>
      <c r="B5649" s="59" t="str">
        <f t="shared" si="21"/>
        <v/>
      </c>
      <c r="C5649" s="59" t="str">
        <f t="shared" si="22"/>
        <v/>
      </c>
      <c r="D5649" s="45" t="str">
        <f t="shared" si="23"/>
        <v/>
      </c>
      <c r="E5649" s="45" t="str">
        <f t="shared" si="24"/>
        <v/>
      </c>
      <c r="F5649" s="59" t="str">
        <f t="shared" si="25"/>
        <v/>
      </c>
      <c r="G5649" s="59" t="str">
        <f t="shared" si="26"/>
        <v/>
      </c>
      <c r="H5649" s="59" t="str">
        <f t="shared" si="27"/>
        <v>28C03261</v>
      </c>
      <c r="I5649" s="59" t="str">
        <f>IF(OR($A5649="",$C5649="",$D5649="",$E5649="",$H5649=""),"",SUMIFS(DATA_GOC!$H:$H,DATA_GOC!$A:$A,"BOM",DATA_GOC!$D:$D,$H5649,DATA_GOC!$E:$E,$C5649,DATA_GOC!$F:$F,"Xuất nội bộ từ téc",DATA_GOC!$B:$B,"&gt;="&amp;$D5649,DATA_GOC!$B:$B,"&lt;="&amp;$E5649))</f>
        <v/>
      </c>
      <c r="J5649" s="59">
        <f t="shared" si="28"/>
        <v>0</v>
      </c>
      <c r="K5649" s="59">
        <f t="shared" si="29"/>
        <v>0</v>
      </c>
      <c r="L5649" s="59">
        <f t="shared" si="30"/>
        <v>0</v>
      </c>
      <c r="M5649" s="59">
        <f t="shared" si="31"/>
        <v>0</v>
      </c>
    </row>
    <row r="5650" ht="15.0" hidden="1" customHeight="1">
      <c r="A5650" s="59">
        <f t="shared" si="20"/>
        <v>91</v>
      </c>
      <c r="B5650" s="59" t="str">
        <f t="shared" si="21"/>
        <v/>
      </c>
      <c r="C5650" s="59" t="str">
        <f t="shared" si="22"/>
        <v/>
      </c>
      <c r="D5650" s="45" t="str">
        <f t="shared" si="23"/>
        <v/>
      </c>
      <c r="E5650" s="45" t="str">
        <f t="shared" si="24"/>
        <v/>
      </c>
      <c r="F5650" s="59" t="str">
        <f t="shared" si="25"/>
        <v/>
      </c>
      <c r="G5650" s="59" t="str">
        <f t="shared" si="26"/>
        <v/>
      </c>
      <c r="H5650" s="59" t="str">
        <f t="shared" si="27"/>
        <v>28C03323</v>
      </c>
      <c r="I5650" s="59" t="str">
        <f>IF(OR($A5650="",$C5650="",$D5650="",$E5650="",$H5650=""),"",SUMIFS(DATA_GOC!$H:$H,DATA_GOC!$A:$A,"BOM",DATA_GOC!$D:$D,$H5650,DATA_GOC!$E:$E,$C5650,DATA_GOC!$F:$F,"Xuất nội bộ từ téc",DATA_GOC!$B:$B,"&gt;="&amp;$D5650,DATA_GOC!$B:$B,"&lt;="&amp;$E5650))</f>
        <v/>
      </c>
      <c r="J5650" s="59">
        <f t="shared" si="28"/>
        <v>0</v>
      </c>
      <c r="K5650" s="59">
        <f t="shared" si="29"/>
        <v>0</v>
      </c>
      <c r="L5650" s="59">
        <f t="shared" si="30"/>
        <v>0</v>
      </c>
      <c r="M5650" s="59">
        <f t="shared" si="31"/>
        <v>0</v>
      </c>
    </row>
    <row r="5651" ht="15.0" hidden="1" customHeight="1">
      <c r="A5651" s="59">
        <f t="shared" si="20"/>
        <v>91</v>
      </c>
      <c r="B5651" s="59" t="str">
        <f t="shared" si="21"/>
        <v/>
      </c>
      <c r="C5651" s="59" t="str">
        <f t="shared" si="22"/>
        <v/>
      </c>
      <c r="D5651" s="45" t="str">
        <f t="shared" si="23"/>
        <v/>
      </c>
      <c r="E5651" s="45" t="str">
        <f t="shared" si="24"/>
        <v/>
      </c>
      <c r="F5651" s="59" t="str">
        <f t="shared" si="25"/>
        <v/>
      </c>
      <c r="G5651" s="59" t="str">
        <f t="shared" si="26"/>
        <v/>
      </c>
      <c r="H5651" s="59" t="str">
        <f t="shared" si="27"/>
        <v>28C03385</v>
      </c>
      <c r="I5651" s="59" t="str">
        <f>IF(OR($A5651="",$C5651="",$D5651="",$E5651="",$H5651=""),"",SUMIFS(DATA_GOC!$H:$H,DATA_GOC!$A:$A,"BOM",DATA_GOC!$D:$D,$H5651,DATA_GOC!$E:$E,$C5651,DATA_GOC!$F:$F,"Xuất nội bộ từ téc",DATA_GOC!$B:$B,"&gt;="&amp;$D5651,DATA_GOC!$B:$B,"&lt;="&amp;$E5651))</f>
        <v/>
      </c>
      <c r="J5651" s="59">
        <f t="shared" si="28"/>
        <v>0</v>
      </c>
      <c r="K5651" s="59">
        <f t="shared" si="29"/>
        <v>0</v>
      </c>
      <c r="L5651" s="59">
        <f t="shared" si="30"/>
        <v>0</v>
      </c>
      <c r="M5651" s="59">
        <f t="shared" si="31"/>
        <v>0</v>
      </c>
    </row>
    <row r="5652" ht="15.0" hidden="1" customHeight="1">
      <c r="A5652" s="59">
        <f t="shared" si="20"/>
        <v>91</v>
      </c>
      <c r="B5652" s="59" t="str">
        <f t="shared" si="21"/>
        <v/>
      </c>
      <c r="C5652" s="59" t="str">
        <f t="shared" si="22"/>
        <v/>
      </c>
      <c r="D5652" s="45" t="str">
        <f t="shared" si="23"/>
        <v/>
      </c>
      <c r="E5652" s="45" t="str">
        <f t="shared" si="24"/>
        <v/>
      </c>
      <c r="F5652" s="59" t="str">
        <f t="shared" si="25"/>
        <v/>
      </c>
      <c r="G5652" s="59" t="str">
        <f t="shared" si="26"/>
        <v/>
      </c>
      <c r="H5652" s="59" t="str">
        <f t="shared" si="27"/>
        <v>28C03652</v>
      </c>
      <c r="I5652" s="59" t="str">
        <f>IF(OR($A5652="",$C5652="",$D5652="",$E5652="",$H5652=""),"",SUMIFS(DATA_GOC!$H:$H,DATA_GOC!$A:$A,"BOM",DATA_GOC!$D:$D,$H5652,DATA_GOC!$E:$E,$C5652,DATA_GOC!$F:$F,"Xuất nội bộ từ téc",DATA_GOC!$B:$B,"&gt;="&amp;$D5652,DATA_GOC!$B:$B,"&lt;="&amp;$E5652))</f>
        <v/>
      </c>
      <c r="J5652" s="59">
        <f t="shared" si="28"/>
        <v>0</v>
      </c>
      <c r="K5652" s="59">
        <f t="shared" si="29"/>
        <v>0</v>
      </c>
      <c r="L5652" s="59">
        <f t="shared" si="30"/>
        <v>0</v>
      </c>
      <c r="M5652" s="59">
        <f t="shared" si="31"/>
        <v>0</v>
      </c>
    </row>
    <row r="5653" ht="15.0" hidden="1" customHeight="1">
      <c r="A5653" s="59">
        <f t="shared" si="20"/>
        <v>91</v>
      </c>
      <c r="B5653" s="59" t="str">
        <f t="shared" si="21"/>
        <v/>
      </c>
      <c r="C5653" s="59" t="str">
        <f t="shared" si="22"/>
        <v/>
      </c>
      <c r="D5653" s="45" t="str">
        <f t="shared" si="23"/>
        <v/>
      </c>
      <c r="E5653" s="45" t="str">
        <f t="shared" si="24"/>
        <v/>
      </c>
      <c r="F5653" s="59" t="str">
        <f t="shared" si="25"/>
        <v/>
      </c>
      <c r="G5653" s="59" t="str">
        <f t="shared" si="26"/>
        <v/>
      </c>
      <c r="H5653" s="59" t="str">
        <f t="shared" si="27"/>
        <v>28C03695</v>
      </c>
      <c r="I5653" s="59" t="str">
        <f>IF(OR($A5653="",$C5653="",$D5653="",$E5653="",$H5653=""),"",SUMIFS(DATA_GOC!$H:$H,DATA_GOC!$A:$A,"BOM",DATA_GOC!$D:$D,$H5653,DATA_GOC!$E:$E,$C5653,DATA_GOC!$F:$F,"Xuất nội bộ từ téc",DATA_GOC!$B:$B,"&gt;="&amp;$D5653,DATA_GOC!$B:$B,"&lt;="&amp;$E5653))</f>
        <v/>
      </c>
      <c r="J5653" s="59">
        <f t="shared" si="28"/>
        <v>0</v>
      </c>
      <c r="K5653" s="59">
        <f t="shared" si="29"/>
        <v>0</v>
      </c>
      <c r="L5653" s="59">
        <f t="shared" si="30"/>
        <v>0</v>
      </c>
      <c r="M5653" s="59">
        <f t="shared" si="31"/>
        <v>0</v>
      </c>
    </row>
    <row r="5654" ht="15.0" hidden="1" customHeight="1">
      <c r="A5654" s="59">
        <f t="shared" si="20"/>
        <v>91</v>
      </c>
      <c r="B5654" s="59" t="str">
        <f t="shared" si="21"/>
        <v/>
      </c>
      <c r="C5654" s="59" t="str">
        <f t="shared" si="22"/>
        <v/>
      </c>
      <c r="D5654" s="45" t="str">
        <f t="shared" si="23"/>
        <v/>
      </c>
      <c r="E5654" s="45" t="str">
        <f t="shared" si="24"/>
        <v/>
      </c>
      <c r="F5654" s="59" t="str">
        <f t="shared" si="25"/>
        <v/>
      </c>
      <c r="G5654" s="59" t="str">
        <f t="shared" si="26"/>
        <v/>
      </c>
      <c r="H5654" s="59" t="str">
        <f t="shared" si="27"/>
        <v>28C03927</v>
      </c>
      <c r="I5654" s="59" t="str">
        <f>IF(OR($A5654="",$C5654="",$D5654="",$E5654="",$H5654=""),"",SUMIFS(DATA_GOC!$H:$H,DATA_GOC!$A:$A,"BOM",DATA_GOC!$D:$D,$H5654,DATA_GOC!$E:$E,$C5654,DATA_GOC!$F:$F,"Xuất nội bộ từ téc",DATA_GOC!$B:$B,"&gt;="&amp;$D5654,DATA_GOC!$B:$B,"&lt;="&amp;$E5654))</f>
        <v/>
      </c>
      <c r="J5654" s="59">
        <f t="shared" si="28"/>
        <v>0</v>
      </c>
      <c r="K5654" s="59">
        <f t="shared" si="29"/>
        <v>0</v>
      </c>
      <c r="L5654" s="59">
        <f t="shared" si="30"/>
        <v>0</v>
      </c>
      <c r="M5654" s="59">
        <f t="shared" si="31"/>
        <v>0</v>
      </c>
    </row>
    <row r="5655" ht="15.0" hidden="1" customHeight="1">
      <c r="A5655" s="59">
        <f t="shared" si="20"/>
        <v>91</v>
      </c>
      <c r="B5655" s="59" t="str">
        <f t="shared" si="21"/>
        <v/>
      </c>
      <c r="C5655" s="59" t="str">
        <f t="shared" si="22"/>
        <v/>
      </c>
      <c r="D5655" s="45" t="str">
        <f t="shared" si="23"/>
        <v/>
      </c>
      <c r="E5655" s="45" t="str">
        <f t="shared" si="24"/>
        <v/>
      </c>
      <c r="F5655" s="59" t="str">
        <f t="shared" si="25"/>
        <v/>
      </c>
      <c r="G5655" s="59" t="str">
        <f t="shared" si="26"/>
        <v/>
      </c>
      <c r="H5655" s="59" t="str">
        <f t="shared" si="27"/>
        <v>28C04509</v>
      </c>
      <c r="I5655" s="59" t="str">
        <f>IF(OR($A5655="",$C5655="",$D5655="",$E5655="",$H5655=""),"",SUMIFS(DATA_GOC!$H:$H,DATA_GOC!$A:$A,"BOM",DATA_GOC!$D:$D,$H5655,DATA_GOC!$E:$E,$C5655,DATA_GOC!$F:$F,"Xuất nội bộ từ téc",DATA_GOC!$B:$B,"&gt;="&amp;$D5655,DATA_GOC!$B:$B,"&lt;="&amp;$E5655))</f>
        <v/>
      </c>
      <c r="J5655" s="59">
        <f t="shared" si="28"/>
        <v>0</v>
      </c>
      <c r="K5655" s="59">
        <f t="shared" si="29"/>
        <v>0</v>
      </c>
      <c r="L5655" s="59">
        <f t="shared" si="30"/>
        <v>0</v>
      </c>
      <c r="M5655" s="59">
        <f t="shared" si="31"/>
        <v>0</v>
      </c>
    </row>
    <row r="5656" ht="15.0" hidden="1" customHeight="1">
      <c r="A5656" s="59">
        <f t="shared" si="20"/>
        <v>91</v>
      </c>
      <c r="B5656" s="59" t="str">
        <f t="shared" si="21"/>
        <v/>
      </c>
      <c r="C5656" s="59" t="str">
        <f t="shared" si="22"/>
        <v/>
      </c>
      <c r="D5656" s="45" t="str">
        <f t="shared" si="23"/>
        <v/>
      </c>
      <c r="E5656" s="45" t="str">
        <f t="shared" si="24"/>
        <v/>
      </c>
      <c r="F5656" s="59" t="str">
        <f t="shared" si="25"/>
        <v/>
      </c>
      <c r="G5656" s="59" t="str">
        <f t="shared" si="26"/>
        <v/>
      </c>
      <c r="H5656" s="59" t="str">
        <f t="shared" si="27"/>
        <v>28C04536</v>
      </c>
      <c r="I5656" s="59" t="str">
        <f>IF(OR($A5656="",$C5656="",$D5656="",$E5656="",$H5656=""),"",SUMIFS(DATA_GOC!$H:$H,DATA_GOC!$A:$A,"BOM",DATA_GOC!$D:$D,$H5656,DATA_GOC!$E:$E,$C5656,DATA_GOC!$F:$F,"Xuất nội bộ từ téc",DATA_GOC!$B:$B,"&gt;="&amp;$D5656,DATA_GOC!$B:$B,"&lt;="&amp;$E5656))</f>
        <v/>
      </c>
      <c r="J5656" s="59">
        <f t="shared" si="28"/>
        <v>0</v>
      </c>
      <c r="K5656" s="59">
        <f t="shared" si="29"/>
        <v>0</v>
      </c>
      <c r="L5656" s="59">
        <f t="shared" si="30"/>
        <v>0</v>
      </c>
      <c r="M5656" s="59">
        <f t="shared" si="31"/>
        <v>0</v>
      </c>
    </row>
    <row r="5657" ht="15.0" hidden="1" customHeight="1">
      <c r="A5657" s="59">
        <f t="shared" si="20"/>
        <v>91</v>
      </c>
      <c r="B5657" s="59" t="str">
        <f t="shared" si="21"/>
        <v/>
      </c>
      <c r="C5657" s="59" t="str">
        <f t="shared" si="22"/>
        <v/>
      </c>
      <c r="D5657" s="45" t="str">
        <f t="shared" si="23"/>
        <v/>
      </c>
      <c r="E5657" s="45" t="str">
        <f t="shared" si="24"/>
        <v/>
      </c>
      <c r="F5657" s="59" t="str">
        <f t="shared" si="25"/>
        <v/>
      </c>
      <c r="G5657" s="59" t="str">
        <f t="shared" si="26"/>
        <v/>
      </c>
      <c r="H5657" s="59" t="str">
        <f t="shared" si="27"/>
        <v>28C04576</v>
      </c>
      <c r="I5657" s="59" t="str">
        <f>IF(OR($A5657="",$C5657="",$D5657="",$E5657="",$H5657=""),"",SUMIFS(DATA_GOC!$H:$H,DATA_GOC!$A:$A,"BOM",DATA_GOC!$D:$D,$H5657,DATA_GOC!$E:$E,$C5657,DATA_GOC!$F:$F,"Xuất nội bộ từ téc",DATA_GOC!$B:$B,"&gt;="&amp;$D5657,DATA_GOC!$B:$B,"&lt;="&amp;$E5657))</f>
        <v/>
      </c>
      <c r="J5657" s="59">
        <f t="shared" si="28"/>
        <v>0</v>
      </c>
      <c r="K5657" s="59">
        <f t="shared" si="29"/>
        <v>0</v>
      </c>
      <c r="L5657" s="59">
        <f t="shared" si="30"/>
        <v>0</v>
      </c>
      <c r="M5657" s="59">
        <f t="shared" si="31"/>
        <v>0</v>
      </c>
    </row>
    <row r="5658" ht="15.0" hidden="1" customHeight="1">
      <c r="A5658" s="59">
        <f t="shared" si="20"/>
        <v>91</v>
      </c>
      <c r="B5658" s="59" t="str">
        <f t="shared" si="21"/>
        <v/>
      </c>
      <c r="C5658" s="59" t="str">
        <f t="shared" si="22"/>
        <v/>
      </c>
      <c r="D5658" s="45" t="str">
        <f t="shared" si="23"/>
        <v/>
      </c>
      <c r="E5658" s="45" t="str">
        <f t="shared" si="24"/>
        <v/>
      </c>
      <c r="F5658" s="59" t="str">
        <f t="shared" si="25"/>
        <v/>
      </c>
      <c r="G5658" s="59" t="str">
        <f t="shared" si="26"/>
        <v/>
      </c>
      <c r="H5658" s="59" t="str">
        <f t="shared" si="27"/>
        <v>28C05090</v>
      </c>
      <c r="I5658" s="59" t="str">
        <f>IF(OR($A5658="",$C5658="",$D5658="",$E5658="",$H5658=""),"",SUMIFS(DATA_GOC!$H:$H,DATA_GOC!$A:$A,"BOM",DATA_GOC!$D:$D,$H5658,DATA_GOC!$E:$E,$C5658,DATA_GOC!$F:$F,"Xuất nội bộ từ téc",DATA_GOC!$B:$B,"&gt;="&amp;$D5658,DATA_GOC!$B:$B,"&lt;="&amp;$E5658))</f>
        <v/>
      </c>
      <c r="J5658" s="59">
        <f t="shared" si="28"/>
        <v>0</v>
      </c>
      <c r="K5658" s="59">
        <f t="shared" si="29"/>
        <v>0</v>
      </c>
      <c r="L5658" s="59">
        <f t="shared" si="30"/>
        <v>0</v>
      </c>
      <c r="M5658" s="59">
        <f t="shared" si="31"/>
        <v>0</v>
      </c>
    </row>
    <row r="5659" ht="15.0" hidden="1" customHeight="1">
      <c r="A5659" s="59">
        <f t="shared" si="20"/>
        <v>91</v>
      </c>
      <c r="B5659" s="59" t="str">
        <f t="shared" si="21"/>
        <v/>
      </c>
      <c r="C5659" s="59" t="str">
        <f t="shared" si="22"/>
        <v/>
      </c>
      <c r="D5659" s="45" t="str">
        <f t="shared" si="23"/>
        <v/>
      </c>
      <c r="E5659" s="45" t="str">
        <f t="shared" si="24"/>
        <v/>
      </c>
      <c r="F5659" s="59" t="str">
        <f t="shared" si="25"/>
        <v/>
      </c>
      <c r="G5659" s="59" t="str">
        <f t="shared" si="26"/>
        <v/>
      </c>
      <c r="H5659" s="59" t="str">
        <f t="shared" si="27"/>
        <v>28C05345</v>
      </c>
      <c r="I5659" s="59" t="str">
        <f>IF(OR($A5659="",$C5659="",$D5659="",$E5659="",$H5659=""),"",SUMIFS(DATA_GOC!$H:$H,DATA_GOC!$A:$A,"BOM",DATA_GOC!$D:$D,$H5659,DATA_GOC!$E:$E,$C5659,DATA_GOC!$F:$F,"Xuất nội bộ từ téc",DATA_GOC!$B:$B,"&gt;="&amp;$D5659,DATA_GOC!$B:$B,"&lt;="&amp;$E5659))</f>
        <v/>
      </c>
      <c r="J5659" s="59">
        <f t="shared" si="28"/>
        <v>0</v>
      </c>
      <c r="K5659" s="59">
        <f t="shared" si="29"/>
        <v>0</v>
      </c>
      <c r="L5659" s="59">
        <f t="shared" si="30"/>
        <v>0</v>
      </c>
      <c r="M5659" s="59">
        <f t="shared" si="31"/>
        <v>0</v>
      </c>
    </row>
    <row r="5660" ht="15.0" hidden="1" customHeight="1">
      <c r="A5660" s="59">
        <f t="shared" si="20"/>
        <v>91</v>
      </c>
      <c r="B5660" s="59" t="str">
        <f t="shared" si="21"/>
        <v/>
      </c>
      <c r="C5660" s="59" t="str">
        <f t="shared" si="22"/>
        <v/>
      </c>
      <c r="D5660" s="45" t="str">
        <f t="shared" si="23"/>
        <v/>
      </c>
      <c r="E5660" s="45" t="str">
        <f t="shared" si="24"/>
        <v/>
      </c>
      <c r="F5660" s="59" t="str">
        <f t="shared" si="25"/>
        <v/>
      </c>
      <c r="G5660" s="59" t="str">
        <f t="shared" si="26"/>
        <v/>
      </c>
      <c r="H5660" s="59" t="str">
        <f t="shared" si="27"/>
        <v>28C05661</v>
      </c>
      <c r="I5660" s="59" t="str">
        <f>IF(OR($A5660="",$C5660="",$D5660="",$E5660="",$H5660=""),"",SUMIFS(DATA_GOC!$H:$H,DATA_GOC!$A:$A,"BOM",DATA_GOC!$D:$D,$H5660,DATA_GOC!$E:$E,$C5660,DATA_GOC!$F:$F,"Xuất nội bộ từ téc",DATA_GOC!$B:$B,"&gt;="&amp;$D5660,DATA_GOC!$B:$B,"&lt;="&amp;$E5660))</f>
        <v/>
      </c>
      <c r="J5660" s="59">
        <f t="shared" si="28"/>
        <v>0</v>
      </c>
      <c r="K5660" s="59">
        <f t="shared" si="29"/>
        <v>0</v>
      </c>
      <c r="L5660" s="59">
        <f t="shared" si="30"/>
        <v>0</v>
      </c>
      <c r="M5660" s="59">
        <f t="shared" si="31"/>
        <v>0</v>
      </c>
    </row>
    <row r="5661" ht="15.0" hidden="1" customHeight="1">
      <c r="A5661" s="59">
        <f t="shared" si="20"/>
        <v>91</v>
      </c>
      <c r="B5661" s="59" t="str">
        <f t="shared" si="21"/>
        <v/>
      </c>
      <c r="C5661" s="59" t="str">
        <f t="shared" si="22"/>
        <v/>
      </c>
      <c r="D5661" s="45" t="str">
        <f t="shared" si="23"/>
        <v/>
      </c>
      <c r="E5661" s="45" t="str">
        <f t="shared" si="24"/>
        <v/>
      </c>
      <c r="F5661" s="59" t="str">
        <f t="shared" si="25"/>
        <v/>
      </c>
      <c r="G5661" s="59" t="str">
        <f t="shared" si="26"/>
        <v/>
      </c>
      <c r="H5661" s="59" t="str">
        <f t="shared" si="27"/>
        <v>28C05739</v>
      </c>
      <c r="I5661" s="59" t="str">
        <f>IF(OR($A5661="",$C5661="",$D5661="",$E5661="",$H5661=""),"",SUMIFS(DATA_GOC!$H:$H,DATA_GOC!$A:$A,"BOM",DATA_GOC!$D:$D,$H5661,DATA_GOC!$E:$E,$C5661,DATA_GOC!$F:$F,"Xuất nội bộ từ téc",DATA_GOC!$B:$B,"&gt;="&amp;$D5661,DATA_GOC!$B:$B,"&lt;="&amp;$E5661))</f>
        <v/>
      </c>
      <c r="J5661" s="59">
        <f t="shared" si="28"/>
        <v>0</v>
      </c>
      <c r="K5661" s="59">
        <f t="shared" si="29"/>
        <v>0</v>
      </c>
      <c r="L5661" s="59">
        <f t="shared" si="30"/>
        <v>0</v>
      </c>
      <c r="M5661" s="59">
        <f t="shared" si="31"/>
        <v>0</v>
      </c>
    </row>
    <row r="5662" ht="15.0" hidden="1" customHeight="1">
      <c r="A5662" s="59">
        <f t="shared" si="20"/>
        <v>91</v>
      </c>
      <c r="B5662" s="59" t="str">
        <f t="shared" si="21"/>
        <v/>
      </c>
      <c r="C5662" s="59" t="str">
        <f t="shared" si="22"/>
        <v/>
      </c>
      <c r="D5662" s="45" t="str">
        <f t="shared" si="23"/>
        <v/>
      </c>
      <c r="E5662" s="45" t="str">
        <f t="shared" si="24"/>
        <v/>
      </c>
      <c r="F5662" s="59" t="str">
        <f t="shared" si="25"/>
        <v/>
      </c>
      <c r="G5662" s="59" t="str">
        <f t="shared" si="26"/>
        <v/>
      </c>
      <c r="H5662" s="59" t="str">
        <f t="shared" si="27"/>
        <v>28C06369</v>
      </c>
      <c r="I5662" s="59" t="str">
        <f>IF(OR($A5662="",$C5662="",$D5662="",$E5662="",$H5662=""),"",SUMIFS(DATA_GOC!$H:$H,DATA_GOC!$A:$A,"BOM",DATA_GOC!$D:$D,$H5662,DATA_GOC!$E:$E,$C5662,DATA_GOC!$F:$F,"Xuất nội bộ từ téc",DATA_GOC!$B:$B,"&gt;="&amp;$D5662,DATA_GOC!$B:$B,"&lt;="&amp;$E5662))</f>
        <v/>
      </c>
      <c r="J5662" s="59">
        <f t="shared" si="28"/>
        <v>0</v>
      </c>
      <c r="K5662" s="59">
        <f t="shared" si="29"/>
        <v>0</v>
      </c>
      <c r="L5662" s="59">
        <f t="shared" si="30"/>
        <v>0</v>
      </c>
      <c r="M5662" s="59">
        <f t="shared" si="31"/>
        <v>0</v>
      </c>
    </row>
    <row r="5663" ht="15.0" hidden="1" customHeight="1">
      <c r="A5663" s="59">
        <f t="shared" si="20"/>
        <v>91</v>
      </c>
      <c r="B5663" s="59" t="str">
        <f t="shared" si="21"/>
        <v/>
      </c>
      <c r="C5663" s="59" t="str">
        <f t="shared" si="22"/>
        <v/>
      </c>
      <c r="D5663" s="45" t="str">
        <f t="shared" si="23"/>
        <v/>
      </c>
      <c r="E5663" s="45" t="str">
        <f t="shared" si="24"/>
        <v/>
      </c>
      <c r="F5663" s="59" t="str">
        <f t="shared" si="25"/>
        <v/>
      </c>
      <c r="G5663" s="59" t="str">
        <f t="shared" si="26"/>
        <v/>
      </c>
      <c r="H5663" s="59" t="str">
        <f t="shared" si="27"/>
        <v>28C06447</v>
      </c>
      <c r="I5663" s="59" t="str">
        <f>IF(OR($A5663="",$C5663="",$D5663="",$E5663="",$H5663=""),"",SUMIFS(DATA_GOC!$H:$H,DATA_GOC!$A:$A,"BOM",DATA_GOC!$D:$D,$H5663,DATA_GOC!$E:$E,$C5663,DATA_GOC!$F:$F,"Xuất nội bộ từ téc",DATA_GOC!$B:$B,"&gt;="&amp;$D5663,DATA_GOC!$B:$B,"&lt;="&amp;$E5663))</f>
        <v/>
      </c>
      <c r="J5663" s="59">
        <f t="shared" si="28"/>
        <v>0</v>
      </c>
      <c r="K5663" s="59">
        <f t="shared" si="29"/>
        <v>0</v>
      </c>
      <c r="L5663" s="59">
        <f t="shared" si="30"/>
        <v>0</v>
      </c>
      <c r="M5663" s="59">
        <f t="shared" si="31"/>
        <v>0</v>
      </c>
    </row>
    <row r="5664" ht="15.0" hidden="1" customHeight="1">
      <c r="A5664" s="59">
        <f t="shared" si="20"/>
        <v>91</v>
      </c>
      <c r="B5664" s="59" t="str">
        <f t="shared" si="21"/>
        <v/>
      </c>
      <c r="C5664" s="59" t="str">
        <f t="shared" si="22"/>
        <v/>
      </c>
      <c r="D5664" s="45" t="str">
        <f t="shared" si="23"/>
        <v/>
      </c>
      <c r="E5664" s="45" t="str">
        <f t="shared" si="24"/>
        <v/>
      </c>
      <c r="F5664" s="59" t="str">
        <f t="shared" si="25"/>
        <v/>
      </c>
      <c r="G5664" s="59" t="str">
        <f t="shared" si="26"/>
        <v/>
      </c>
      <c r="H5664" s="59" t="str">
        <f t="shared" si="27"/>
        <v>28H00003</v>
      </c>
      <c r="I5664" s="59" t="str">
        <f>IF(OR($A5664="",$C5664="",$D5664="",$E5664="",$H5664=""),"",SUMIFS(DATA_GOC!$H:$H,DATA_GOC!$A:$A,"BOM",DATA_GOC!$D:$D,$H5664,DATA_GOC!$E:$E,$C5664,DATA_GOC!$F:$F,"Xuất nội bộ từ téc",DATA_GOC!$B:$B,"&gt;="&amp;$D5664,DATA_GOC!$B:$B,"&lt;="&amp;$E5664))</f>
        <v/>
      </c>
      <c r="J5664" s="59">
        <f t="shared" si="28"/>
        <v>0</v>
      </c>
      <c r="K5664" s="59">
        <f t="shared" si="29"/>
        <v>0</v>
      </c>
      <c r="L5664" s="59">
        <f t="shared" si="30"/>
        <v>0</v>
      </c>
      <c r="M5664" s="59">
        <f t="shared" si="31"/>
        <v>0</v>
      </c>
    </row>
    <row r="5665" ht="15.0" hidden="1" customHeight="1">
      <c r="A5665" s="59">
        <f t="shared" si="20"/>
        <v>91</v>
      </c>
      <c r="B5665" s="59" t="str">
        <f t="shared" si="21"/>
        <v/>
      </c>
      <c r="C5665" s="59" t="str">
        <f t="shared" si="22"/>
        <v/>
      </c>
      <c r="D5665" s="45" t="str">
        <f t="shared" si="23"/>
        <v/>
      </c>
      <c r="E5665" s="45" t="str">
        <f t="shared" si="24"/>
        <v/>
      </c>
      <c r="F5665" s="59" t="str">
        <f t="shared" si="25"/>
        <v/>
      </c>
      <c r="G5665" s="59" t="str">
        <f t="shared" si="26"/>
        <v/>
      </c>
      <c r="H5665" s="59" t="str">
        <f t="shared" si="27"/>
        <v>28H00061</v>
      </c>
      <c r="I5665" s="59" t="str">
        <f>IF(OR($A5665="",$C5665="",$D5665="",$E5665="",$H5665=""),"",SUMIFS(DATA_GOC!$H:$H,DATA_GOC!$A:$A,"BOM",DATA_GOC!$D:$D,$H5665,DATA_GOC!$E:$E,$C5665,DATA_GOC!$F:$F,"Xuất nội bộ từ téc",DATA_GOC!$B:$B,"&gt;="&amp;$D5665,DATA_GOC!$B:$B,"&lt;="&amp;$E5665))</f>
        <v/>
      </c>
      <c r="J5665" s="59">
        <f t="shared" si="28"/>
        <v>0</v>
      </c>
      <c r="K5665" s="59">
        <f t="shared" si="29"/>
        <v>0</v>
      </c>
      <c r="L5665" s="59">
        <f t="shared" si="30"/>
        <v>0</v>
      </c>
      <c r="M5665" s="59">
        <f t="shared" si="31"/>
        <v>0</v>
      </c>
    </row>
    <row r="5666" ht="15.0" hidden="1" customHeight="1">
      <c r="A5666" s="59">
        <f t="shared" si="20"/>
        <v>91</v>
      </c>
      <c r="B5666" s="59" t="str">
        <f t="shared" si="21"/>
        <v/>
      </c>
      <c r="C5666" s="59" t="str">
        <f t="shared" si="22"/>
        <v/>
      </c>
      <c r="D5666" s="45" t="str">
        <f t="shared" si="23"/>
        <v/>
      </c>
      <c r="E5666" s="45" t="str">
        <f t="shared" si="24"/>
        <v/>
      </c>
      <c r="F5666" s="59" t="str">
        <f t="shared" si="25"/>
        <v/>
      </c>
      <c r="G5666" s="59" t="str">
        <f t="shared" si="26"/>
        <v/>
      </c>
      <c r="H5666" s="59" t="str">
        <f t="shared" si="27"/>
        <v>28H00354</v>
      </c>
      <c r="I5666" s="59" t="str">
        <f>IF(OR($A5666="",$C5666="",$D5666="",$E5666="",$H5666=""),"",SUMIFS(DATA_GOC!$H:$H,DATA_GOC!$A:$A,"BOM",DATA_GOC!$D:$D,$H5666,DATA_GOC!$E:$E,$C5666,DATA_GOC!$F:$F,"Xuất nội bộ từ téc",DATA_GOC!$B:$B,"&gt;="&amp;$D5666,DATA_GOC!$B:$B,"&lt;="&amp;$E5666))</f>
        <v/>
      </c>
      <c r="J5666" s="59">
        <f t="shared" si="28"/>
        <v>0</v>
      </c>
      <c r="K5666" s="59">
        <f t="shared" si="29"/>
        <v>0</v>
      </c>
      <c r="L5666" s="59">
        <f t="shared" si="30"/>
        <v>0</v>
      </c>
      <c r="M5666" s="59">
        <f t="shared" si="31"/>
        <v>0</v>
      </c>
    </row>
    <row r="5667" ht="15.0" hidden="1" customHeight="1">
      <c r="A5667" s="59">
        <f t="shared" si="20"/>
        <v>91</v>
      </c>
      <c r="B5667" s="59" t="str">
        <f t="shared" si="21"/>
        <v/>
      </c>
      <c r="C5667" s="59" t="str">
        <f t="shared" si="22"/>
        <v/>
      </c>
      <c r="D5667" s="45" t="str">
        <f t="shared" si="23"/>
        <v/>
      </c>
      <c r="E5667" s="45" t="str">
        <f t="shared" si="24"/>
        <v/>
      </c>
      <c r="F5667" s="59" t="str">
        <f t="shared" si="25"/>
        <v/>
      </c>
      <c r="G5667" s="59" t="str">
        <f t="shared" si="26"/>
        <v/>
      </c>
      <c r="H5667" s="59" t="str">
        <f t="shared" si="27"/>
        <v>28H00603</v>
      </c>
      <c r="I5667" s="59" t="str">
        <f>IF(OR($A5667="",$C5667="",$D5667="",$E5667="",$H5667=""),"",SUMIFS(DATA_GOC!$H:$H,DATA_GOC!$A:$A,"BOM",DATA_GOC!$D:$D,$H5667,DATA_GOC!$E:$E,$C5667,DATA_GOC!$F:$F,"Xuất nội bộ từ téc",DATA_GOC!$B:$B,"&gt;="&amp;$D5667,DATA_GOC!$B:$B,"&lt;="&amp;$E5667))</f>
        <v/>
      </c>
      <c r="J5667" s="59">
        <f t="shared" si="28"/>
        <v>0</v>
      </c>
      <c r="K5667" s="59">
        <f t="shared" si="29"/>
        <v>0</v>
      </c>
      <c r="L5667" s="59">
        <f t="shared" si="30"/>
        <v>0</v>
      </c>
      <c r="M5667" s="59">
        <f t="shared" si="31"/>
        <v>0</v>
      </c>
    </row>
    <row r="5668" ht="15.0" hidden="1" customHeight="1">
      <c r="A5668" s="59">
        <f t="shared" si="20"/>
        <v>91</v>
      </c>
      <c r="B5668" s="59" t="str">
        <f t="shared" si="21"/>
        <v/>
      </c>
      <c r="C5668" s="59" t="str">
        <f t="shared" si="22"/>
        <v/>
      </c>
      <c r="D5668" s="45" t="str">
        <f t="shared" si="23"/>
        <v/>
      </c>
      <c r="E5668" s="45" t="str">
        <f t="shared" si="24"/>
        <v/>
      </c>
      <c r="F5668" s="59" t="str">
        <f t="shared" si="25"/>
        <v/>
      </c>
      <c r="G5668" s="59" t="str">
        <f t="shared" si="26"/>
        <v/>
      </c>
      <c r="H5668" s="59" t="str">
        <f t="shared" si="27"/>
        <v>28H00609</v>
      </c>
      <c r="I5668" s="59" t="str">
        <f>IF(OR($A5668="",$C5668="",$D5668="",$E5668="",$H5668=""),"",SUMIFS(DATA_GOC!$H:$H,DATA_GOC!$A:$A,"BOM",DATA_GOC!$D:$D,$H5668,DATA_GOC!$E:$E,$C5668,DATA_GOC!$F:$F,"Xuất nội bộ từ téc",DATA_GOC!$B:$B,"&gt;="&amp;$D5668,DATA_GOC!$B:$B,"&lt;="&amp;$E5668))</f>
        <v/>
      </c>
      <c r="J5668" s="59">
        <f t="shared" si="28"/>
        <v>0</v>
      </c>
      <c r="K5668" s="59">
        <f t="shared" si="29"/>
        <v>0</v>
      </c>
      <c r="L5668" s="59">
        <f t="shared" si="30"/>
        <v>0</v>
      </c>
      <c r="M5668" s="59">
        <f t="shared" si="31"/>
        <v>0</v>
      </c>
    </row>
    <row r="5669" ht="15.0" hidden="1" customHeight="1">
      <c r="A5669" s="59">
        <f t="shared" si="20"/>
        <v>91</v>
      </c>
      <c r="B5669" s="59" t="str">
        <f t="shared" si="21"/>
        <v/>
      </c>
      <c r="C5669" s="59" t="str">
        <f t="shared" si="22"/>
        <v/>
      </c>
      <c r="D5669" s="45" t="str">
        <f t="shared" si="23"/>
        <v/>
      </c>
      <c r="E5669" s="45" t="str">
        <f t="shared" si="24"/>
        <v/>
      </c>
      <c r="F5669" s="59" t="str">
        <f t="shared" si="25"/>
        <v/>
      </c>
      <c r="G5669" s="59" t="str">
        <f t="shared" si="26"/>
        <v/>
      </c>
      <c r="H5669" s="59" t="str">
        <f t="shared" si="27"/>
        <v>28H00669</v>
      </c>
      <c r="I5669" s="59" t="str">
        <f>IF(OR($A5669="",$C5669="",$D5669="",$E5669="",$H5669=""),"",SUMIFS(DATA_GOC!$H:$H,DATA_GOC!$A:$A,"BOM",DATA_GOC!$D:$D,$H5669,DATA_GOC!$E:$E,$C5669,DATA_GOC!$F:$F,"Xuất nội bộ từ téc",DATA_GOC!$B:$B,"&gt;="&amp;$D5669,DATA_GOC!$B:$B,"&lt;="&amp;$E5669))</f>
        <v/>
      </c>
      <c r="J5669" s="59">
        <f t="shared" si="28"/>
        <v>0</v>
      </c>
      <c r="K5669" s="59">
        <f t="shared" si="29"/>
        <v>0</v>
      </c>
      <c r="L5669" s="59">
        <f t="shared" si="30"/>
        <v>0</v>
      </c>
      <c r="M5669" s="59">
        <f t="shared" si="31"/>
        <v>0</v>
      </c>
    </row>
    <row r="5670" ht="15.0" hidden="1" customHeight="1">
      <c r="A5670" s="59">
        <f t="shared" si="20"/>
        <v>91</v>
      </c>
      <c r="B5670" s="59" t="str">
        <f t="shared" si="21"/>
        <v/>
      </c>
      <c r="C5670" s="59" t="str">
        <f t="shared" si="22"/>
        <v/>
      </c>
      <c r="D5670" s="45" t="str">
        <f t="shared" si="23"/>
        <v/>
      </c>
      <c r="E5670" s="45" t="str">
        <f t="shared" si="24"/>
        <v/>
      </c>
      <c r="F5670" s="59" t="str">
        <f t="shared" si="25"/>
        <v/>
      </c>
      <c r="G5670" s="59" t="str">
        <f t="shared" si="26"/>
        <v/>
      </c>
      <c r="H5670" s="59" t="str">
        <f t="shared" si="27"/>
        <v>28H00680</v>
      </c>
      <c r="I5670" s="59" t="str">
        <f>IF(OR($A5670="",$C5670="",$D5670="",$E5670="",$H5670=""),"",SUMIFS(DATA_GOC!$H:$H,DATA_GOC!$A:$A,"BOM",DATA_GOC!$D:$D,$H5670,DATA_GOC!$E:$E,$C5670,DATA_GOC!$F:$F,"Xuất nội bộ từ téc",DATA_GOC!$B:$B,"&gt;="&amp;$D5670,DATA_GOC!$B:$B,"&lt;="&amp;$E5670))</f>
        <v/>
      </c>
      <c r="J5670" s="59">
        <f t="shared" si="28"/>
        <v>0</v>
      </c>
      <c r="K5670" s="59">
        <f t="shared" si="29"/>
        <v>0</v>
      </c>
      <c r="L5670" s="59">
        <f t="shared" si="30"/>
        <v>0</v>
      </c>
      <c r="M5670" s="59">
        <f t="shared" si="31"/>
        <v>0</v>
      </c>
    </row>
    <row r="5671" ht="15.0" hidden="1" customHeight="1">
      <c r="A5671" s="59">
        <f t="shared" si="20"/>
        <v>91</v>
      </c>
      <c r="B5671" s="59" t="str">
        <f t="shared" si="21"/>
        <v/>
      </c>
      <c r="C5671" s="59" t="str">
        <f t="shared" si="22"/>
        <v/>
      </c>
      <c r="D5671" s="45" t="str">
        <f t="shared" si="23"/>
        <v/>
      </c>
      <c r="E5671" s="45" t="str">
        <f t="shared" si="24"/>
        <v/>
      </c>
      <c r="F5671" s="59" t="str">
        <f t="shared" si="25"/>
        <v/>
      </c>
      <c r="G5671" s="59" t="str">
        <f t="shared" si="26"/>
        <v/>
      </c>
      <c r="H5671" s="59" t="str">
        <f t="shared" si="27"/>
        <v>28H01070</v>
      </c>
      <c r="I5671" s="59" t="str">
        <f>IF(OR($A5671="",$C5671="",$D5671="",$E5671="",$H5671=""),"",SUMIFS(DATA_GOC!$H:$H,DATA_GOC!$A:$A,"BOM",DATA_GOC!$D:$D,$H5671,DATA_GOC!$E:$E,$C5671,DATA_GOC!$F:$F,"Xuất nội bộ từ téc",DATA_GOC!$B:$B,"&gt;="&amp;$D5671,DATA_GOC!$B:$B,"&lt;="&amp;$E5671))</f>
        <v/>
      </c>
      <c r="J5671" s="59">
        <f t="shared" si="28"/>
        <v>0</v>
      </c>
      <c r="K5671" s="59">
        <f t="shared" si="29"/>
        <v>0</v>
      </c>
      <c r="L5671" s="59">
        <f t="shared" si="30"/>
        <v>0</v>
      </c>
      <c r="M5671" s="59">
        <f t="shared" si="31"/>
        <v>0</v>
      </c>
    </row>
    <row r="5672" ht="15.0" hidden="1" customHeight="1">
      <c r="A5672" s="59">
        <f t="shared" si="20"/>
        <v>91</v>
      </c>
      <c r="B5672" s="59" t="str">
        <f t="shared" si="21"/>
        <v/>
      </c>
      <c r="C5672" s="59" t="str">
        <f t="shared" si="22"/>
        <v/>
      </c>
      <c r="D5672" s="45" t="str">
        <f t="shared" si="23"/>
        <v/>
      </c>
      <c r="E5672" s="45" t="str">
        <f t="shared" si="24"/>
        <v/>
      </c>
      <c r="F5672" s="59" t="str">
        <f t="shared" si="25"/>
        <v/>
      </c>
      <c r="G5672" s="59" t="str">
        <f t="shared" si="26"/>
        <v/>
      </c>
      <c r="H5672" s="59" t="str">
        <f t="shared" si="27"/>
        <v>28H01364</v>
      </c>
      <c r="I5672" s="59" t="str">
        <f>IF(OR($A5672="",$C5672="",$D5672="",$E5672="",$H5672=""),"",SUMIFS(DATA_GOC!$H:$H,DATA_GOC!$A:$A,"BOM",DATA_GOC!$D:$D,$H5672,DATA_GOC!$E:$E,$C5672,DATA_GOC!$F:$F,"Xuất nội bộ từ téc",DATA_GOC!$B:$B,"&gt;="&amp;$D5672,DATA_GOC!$B:$B,"&lt;="&amp;$E5672))</f>
        <v/>
      </c>
      <c r="J5672" s="59">
        <f t="shared" si="28"/>
        <v>0</v>
      </c>
      <c r="K5672" s="59">
        <f t="shared" si="29"/>
        <v>0</v>
      </c>
      <c r="L5672" s="59">
        <f t="shared" si="30"/>
        <v>0</v>
      </c>
      <c r="M5672" s="59">
        <f t="shared" si="31"/>
        <v>0</v>
      </c>
    </row>
    <row r="5673" ht="15.0" hidden="1" customHeight="1">
      <c r="A5673" s="59">
        <f t="shared" si="20"/>
        <v>91</v>
      </c>
      <c r="B5673" s="59" t="str">
        <f t="shared" si="21"/>
        <v/>
      </c>
      <c r="C5673" s="59" t="str">
        <f t="shared" si="22"/>
        <v/>
      </c>
      <c r="D5673" s="45" t="str">
        <f t="shared" si="23"/>
        <v/>
      </c>
      <c r="E5673" s="45" t="str">
        <f t="shared" si="24"/>
        <v/>
      </c>
      <c r="F5673" s="59" t="str">
        <f t="shared" si="25"/>
        <v/>
      </c>
      <c r="G5673" s="59" t="str">
        <f t="shared" si="26"/>
        <v/>
      </c>
      <c r="H5673" s="59" t="str">
        <f t="shared" si="27"/>
        <v>29E17269</v>
      </c>
      <c r="I5673" s="59" t="str">
        <f>IF(OR($A5673="",$C5673="",$D5673="",$E5673="",$H5673=""),"",SUMIFS(DATA_GOC!$H:$H,DATA_GOC!$A:$A,"BOM",DATA_GOC!$D:$D,$H5673,DATA_GOC!$E:$E,$C5673,DATA_GOC!$F:$F,"Xuất nội bộ từ téc",DATA_GOC!$B:$B,"&gt;="&amp;$D5673,DATA_GOC!$B:$B,"&lt;="&amp;$E5673))</f>
        <v/>
      </c>
      <c r="J5673" s="59">
        <f t="shared" si="28"/>
        <v>0</v>
      </c>
      <c r="K5673" s="59">
        <f t="shared" si="29"/>
        <v>0</v>
      </c>
      <c r="L5673" s="59">
        <f t="shared" si="30"/>
        <v>0</v>
      </c>
      <c r="M5673" s="59">
        <f t="shared" si="31"/>
        <v>0</v>
      </c>
    </row>
    <row r="5674" ht="15.0" hidden="1" customHeight="1">
      <c r="A5674" s="59">
        <f t="shared" si="20"/>
        <v>91</v>
      </c>
      <c r="B5674" s="59" t="str">
        <f t="shared" si="21"/>
        <v/>
      </c>
      <c r="C5674" s="59" t="str">
        <f t="shared" si="22"/>
        <v/>
      </c>
      <c r="D5674" s="45" t="str">
        <f t="shared" si="23"/>
        <v/>
      </c>
      <c r="E5674" s="45" t="str">
        <f t="shared" si="24"/>
        <v/>
      </c>
      <c r="F5674" s="59" t="str">
        <f t="shared" si="25"/>
        <v/>
      </c>
      <c r="G5674" s="59" t="str">
        <f t="shared" si="26"/>
        <v/>
      </c>
      <c r="H5674" s="59" t="str">
        <f t="shared" si="27"/>
        <v>29E17273</v>
      </c>
      <c r="I5674" s="59" t="str">
        <f>IF(OR($A5674="",$C5674="",$D5674="",$E5674="",$H5674=""),"",SUMIFS(DATA_GOC!$H:$H,DATA_GOC!$A:$A,"BOM",DATA_GOC!$D:$D,$H5674,DATA_GOC!$E:$E,$C5674,DATA_GOC!$F:$F,"Xuất nội bộ từ téc",DATA_GOC!$B:$B,"&gt;="&amp;$D5674,DATA_GOC!$B:$B,"&lt;="&amp;$E5674))</f>
        <v/>
      </c>
      <c r="J5674" s="59">
        <f t="shared" si="28"/>
        <v>0</v>
      </c>
      <c r="K5674" s="59">
        <f t="shared" si="29"/>
        <v>0</v>
      </c>
      <c r="L5674" s="59">
        <f t="shared" si="30"/>
        <v>0</v>
      </c>
      <c r="M5674" s="59">
        <f t="shared" si="31"/>
        <v>0</v>
      </c>
    </row>
    <row r="5675" ht="15.0" hidden="1" customHeight="1">
      <c r="A5675" s="59">
        <f t="shared" si="20"/>
        <v>91</v>
      </c>
      <c r="B5675" s="59" t="str">
        <f t="shared" si="21"/>
        <v/>
      </c>
      <c r="C5675" s="59" t="str">
        <f t="shared" si="22"/>
        <v/>
      </c>
      <c r="D5675" s="45" t="str">
        <f t="shared" si="23"/>
        <v/>
      </c>
      <c r="E5675" s="45" t="str">
        <f t="shared" si="24"/>
        <v/>
      </c>
      <c r="F5675" s="59" t="str">
        <f t="shared" si="25"/>
        <v/>
      </c>
      <c r="G5675" s="59" t="str">
        <f t="shared" si="26"/>
        <v/>
      </c>
      <c r="H5675" s="59" t="str">
        <f t="shared" si="27"/>
        <v>29E17410</v>
      </c>
      <c r="I5675" s="59" t="str">
        <f>IF(OR($A5675="",$C5675="",$D5675="",$E5675="",$H5675=""),"",SUMIFS(DATA_GOC!$H:$H,DATA_GOC!$A:$A,"BOM",DATA_GOC!$D:$D,$H5675,DATA_GOC!$E:$E,$C5675,DATA_GOC!$F:$F,"Xuất nội bộ từ téc",DATA_GOC!$B:$B,"&gt;="&amp;$D5675,DATA_GOC!$B:$B,"&lt;="&amp;$E5675))</f>
        <v/>
      </c>
      <c r="J5675" s="59">
        <f t="shared" si="28"/>
        <v>0</v>
      </c>
      <c r="K5675" s="59">
        <f t="shared" si="29"/>
        <v>0</v>
      </c>
      <c r="L5675" s="59">
        <f t="shared" si="30"/>
        <v>0</v>
      </c>
      <c r="M5675" s="59">
        <f t="shared" si="31"/>
        <v>0</v>
      </c>
    </row>
    <row r="5676" ht="15.0" hidden="1" customHeight="1">
      <c r="A5676" s="59">
        <f t="shared" si="20"/>
        <v>91</v>
      </c>
      <c r="B5676" s="59" t="str">
        <f t="shared" si="21"/>
        <v/>
      </c>
      <c r="C5676" s="59" t="str">
        <f t="shared" si="22"/>
        <v/>
      </c>
      <c r="D5676" s="45" t="str">
        <f t="shared" si="23"/>
        <v/>
      </c>
      <c r="E5676" s="45" t="str">
        <f t="shared" si="24"/>
        <v/>
      </c>
      <c r="F5676" s="59" t="str">
        <f t="shared" si="25"/>
        <v/>
      </c>
      <c r="G5676" s="59" t="str">
        <f t="shared" si="26"/>
        <v/>
      </c>
      <c r="H5676" s="59" t="str">
        <f t="shared" si="27"/>
        <v>29E17417</v>
      </c>
      <c r="I5676" s="59" t="str">
        <f>IF(OR($A5676="",$C5676="",$D5676="",$E5676="",$H5676=""),"",SUMIFS(DATA_GOC!$H:$H,DATA_GOC!$A:$A,"BOM",DATA_GOC!$D:$D,$H5676,DATA_GOC!$E:$E,$C5676,DATA_GOC!$F:$F,"Xuất nội bộ từ téc",DATA_GOC!$B:$B,"&gt;="&amp;$D5676,DATA_GOC!$B:$B,"&lt;="&amp;$E5676))</f>
        <v/>
      </c>
      <c r="J5676" s="59">
        <f t="shared" si="28"/>
        <v>0</v>
      </c>
      <c r="K5676" s="59">
        <f t="shared" si="29"/>
        <v>0</v>
      </c>
      <c r="L5676" s="59">
        <f t="shared" si="30"/>
        <v>0</v>
      </c>
      <c r="M5676" s="59">
        <f t="shared" si="31"/>
        <v>0</v>
      </c>
    </row>
    <row r="5677" ht="15.0" hidden="1" customHeight="1">
      <c r="A5677" s="59">
        <f t="shared" si="20"/>
        <v>91</v>
      </c>
      <c r="B5677" s="59" t="str">
        <f t="shared" si="21"/>
        <v/>
      </c>
      <c r="C5677" s="59" t="str">
        <f t="shared" si="22"/>
        <v/>
      </c>
      <c r="D5677" s="45" t="str">
        <f t="shared" si="23"/>
        <v/>
      </c>
      <c r="E5677" s="45" t="str">
        <f t="shared" si="24"/>
        <v/>
      </c>
      <c r="F5677" s="59" t="str">
        <f t="shared" si="25"/>
        <v/>
      </c>
      <c r="G5677" s="59" t="str">
        <f t="shared" si="26"/>
        <v/>
      </c>
      <c r="H5677" s="59" t="str">
        <f t="shared" si="27"/>
        <v>29E17539</v>
      </c>
      <c r="I5677" s="59" t="str">
        <f>IF(OR($A5677="",$C5677="",$D5677="",$E5677="",$H5677=""),"",SUMIFS(DATA_GOC!$H:$H,DATA_GOC!$A:$A,"BOM",DATA_GOC!$D:$D,$H5677,DATA_GOC!$E:$E,$C5677,DATA_GOC!$F:$F,"Xuất nội bộ từ téc",DATA_GOC!$B:$B,"&gt;="&amp;$D5677,DATA_GOC!$B:$B,"&lt;="&amp;$E5677))</f>
        <v/>
      </c>
      <c r="J5677" s="59">
        <f t="shared" si="28"/>
        <v>0</v>
      </c>
      <c r="K5677" s="59">
        <f t="shared" si="29"/>
        <v>0</v>
      </c>
      <c r="L5677" s="59">
        <f t="shared" si="30"/>
        <v>0</v>
      </c>
      <c r="M5677" s="59">
        <f t="shared" si="31"/>
        <v>0</v>
      </c>
    </row>
    <row r="5678" ht="15.0" hidden="1" customHeight="1">
      <c r="A5678" s="59">
        <f t="shared" si="20"/>
        <v>91</v>
      </c>
      <c r="B5678" s="59" t="str">
        <f t="shared" si="21"/>
        <v/>
      </c>
      <c r="C5678" s="59" t="str">
        <f t="shared" si="22"/>
        <v/>
      </c>
      <c r="D5678" s="45" t="str">
        <f t="shared" si="23"/>
        <v/>
      </c>
      <c r="E5678" s="45" t="str">
        <f t="shared" si="24"/>
        <v/>
      </c>
      <c r="F5678" s="59" t="str">
        <f t="shared" si="25"/>
        <v/>
      </c>
      <c r="G5678" s="59" t="str">
        <f t="shared" si="26"/>
        <v/>
      </c>
      <c r="H5678" s="59" t="str">
        <f t="shared" si="27"/>
        <v>29E18160</v>
      </c>
      <c r="I5678" s="59" t="str">
        <f>IF(OR($A5678="",$C5678="",$D5678="",$E5678="",$H5678=""),"",SUMIFS(DATA_GOC!$H:$H,DATA_GOC!$A:$A,"BOM",DATA_GOC!$D:$D,$H5678,DATA_GOC!$E:$E,$C5678,DATA_GOC!$F:$F,"Xuất nội bộ từ téc",DATA_GOC!$B:$B,"&gt;="&amp;$D5678,DATA_GOC!$B:$B,"&lt;="&amp;$E5678))</f>
        <v/>
      </c>
      <c r="J5678" s="59">
        <f t="shared" si="28"/>
        <v>0</v>
      </c>
      <c r="K5678" s="59">
        <f t="shared" si="29"/>
        <v>0</v>
      </c>
      <c r="L5678" s="59">
        <f t="shared" si="30"/>
        <v>0</v>
      </c>
      <c r="M5678" s="59">
        <f t="shared" si="31"/>
        <v>0</v>
      </c>
    </row>
    <row r="5679" ht="15.0" hidden="1" customHeight="1">
      <c r="A5679" s="59">
        <f t="shared" si="20"/>
        <v>91</v>
      </c>
      <c r="B5679" s="59" t="str">
        <f t="shared" si="21"/>
        <v/>
      </c>
      <c r="C5679" s="59" t="str">
        <f t="shared" si="22"/>
        <v/>
      </c>
      <c r="D5679" s="45" t="str">
        <f t="shared" si="23"/>
        <v/>
      </c>
      <c r="E5679" s="45" t="str">
        <f t="shared" si="24"/>
        <v/>
      </c>
      <c r="F5679" s="59" t="str">
        <f t="shared" si="25"/>
        <v/>
      </c>
      <c r="G5679" s="59" t="str">
        <f t="shared" si="26"/>
        <v/>
      </c>
      <c r="H5679" s="59" t="str">
        <f t="shared" si="27"/>
        <v>Công trình Asphalt</v>
      </c>
      <c r="I5679" s="59" t="str">
        <f>IF(OR($A5679="",$C5679="",$D5679="",$E5679="",$H5679=""),"",SUMIFS(DATA_GOC!$H:$H,DATA_GOC!$A:$A,"BOM",DATA_GOC!$D:$D,$H5679,DATA_GOC!$E:$E,$C5679,DATA_GOC!$F:$F,"Xuất nội bộ từ téc",DATA_GOC!$B:$B,"&gt;="&amp;$D5679,DATA_GOC!$B:$B,"&lt;="&amp;$E5679))</f>
        <v/>
      </c>
      <c r="J5679" s="59">
        <f t="shared" si="28"/>
        <v>0</v>
      </c>
      <c r="K5679" s="59">
        <f t="shared" si="29"/>
        <v>0</v>
      </c>
      <c r="L5679" s="59">
        <f t="shared" si="30"/>
        <v>0</v>
      </c>
      <c r="M5679" s="59">
        <f t="shared" si="31"/>
        <v>0</v>
      </c>
    </row>
    <row r="5680" ht="15.0" hidden="1" customHeight="1">
      <c r="A5680" s="59">
        <f t="shared" si="20"/>
        <v>91</v>
      </c>
      <c r="B5680" s="59" t="str">
        <f t="shared" si="21"/>
        <v/>
      </c>
      <c r="C5680" s="59" t="str">
        <f t="shared" si="22"/>
        <v/>
      </c>
      <c r="D5680" s="45" t="str">
        <f t="shared" si="23"/>
        <v/>
      </c>
      <c r="E5680" s="45" t="str">
        <f t="shared" si="24"/>
        <v/>
      </c>
      <c r="F5680" s="59" t="str">
        <f t="shared" si="25"/>
        <v/>
      </c>
      <c r="G5680" s="59" t="str">
        <f t="shared" si="26"/>
        <v/>
      </c>
      <c r="H5680" s="59" t="str">
        <f t="shared" si="27"/>
        <v>LG53F</v>
      </c>
      <c r="I5680" s="59" t="str">
        <f>IF(OR($A5680="",$C5680="",$D5680="",$E5680="",$H5680=""),"",SUMIFS(DATA_GOC!$H:$H,DATA_GOC!$A:$A,"BOM",DATA_GOC!$D:$D,$H5680,DATA_GOC!$E:$E,$C5680,DATA_GOC!$F:$F,"Xuất nội bộ từ téc",DATA_GOC!$B:$B,"&gt;="&amp;$D5680,DATA_GOC!$B:$B,"&lt;="&amp;$E5680))</f>
        <v/>
      </c>
      <c r="J5680" s="59">
        <f t="shared" si="28"/>
        <v>0</v>
      </c>
      <c r="K5680" s="59">
        <f t="shared" si="29"/>
        <v>0</v>
      </c>
      <c r="L5680" s="59">
        <f t="shared" si="30"/>
        <v>0</v>
      </c>
      <c r="M5680" s="59">
        <f t="shared" si="31"/>
        <v>0</v>
      </c>
    </row>
    <row r="5681" ht="15.0" hidden="1" customHeight="1">
      <c r="A5681" s="59">
        <f t="shared" si="20"/>
        <v>91</v>
      </c>
      <c r="B5681" s="59" t="str">
        <f t="shared" si="21"/>
        <v/>
      </c>
      <c r="C5681" s="59" t="str">
        <f t="shared" si="22"/>
        <v/>
      </c>
      <c r="D5681" s="45" t="str">
        <f t="shared" si="23"/>
        <v/>
      </c>
      <c r="E5681" s="45" t="str">
        <f t="shared" si="24"/>
        <v/>
      </c>
      <c r="F5681" s="59" t="str">
        <f t="shared" si="25"/>
        <v/>
      </c>
      <c r="G5681" s="59" t="str">
        <f t="shared" si="26"/>
        <v/>
      </c>
      <c r="H5681" s="59" t="str">
        <f t="shared" si="27"/>
        <v>Máy phát điện</v>
      </c>
      <c r="I5681" s="59" t="str">
        <f>IF(OR($A5681="",$C5681="",$D5681="",$E5681="",$H5681=""),"",SUMIFS(DATA_GOC!$H:$H,DATA_GOC!$A:$A,"BOM",DATA_GOC!$D:$D,$H5681,DATA_GOC!$E:$E,$C5681,DATA_GOC!$F:$F,"Xuất nội bộ từ téc",DATA_GOC!$B:$B,"&gt;="&amp;$D5681,DATA_GOC!$B:$B,"&lt;="&amp;$E5681))</f>
        <v/>
      </c>
      <c r="J5681" s="59">
        <f t="shared" si="28"/>
        <v>0</v>
      </c>
      <c r="K5681" s="59">
        <f t="shared" si="29"/>
        <v>0</v>
      </c>
      <c r="L5681" s="59">
        <f t="shared" si="30"/>
        <v>0</v>
      </c>
      <c r="M5681" s="59">
        <f t="shared" si="31"/>
        <v>0</v>
      </c>
    </row>
    <row r="5682" ht="15.0" hidden="1" customHeight="1">
      <c r="A5682" s="59">
        <f t="shared" si="20"/>
        <v>91</v>
      </c>
      <c r="B5682" s="59" t="str">
        <f t="shared" si="21"/>
        <v/>
      </c>
      <c r="C5682" s="59" t="str">
        <f t="shared" si="22"/>
        <v/>
      </c>
      <c r="D5682" s="45" t="str">
        <f t="shared" si="23"/>
        <v/>
      </c>
      <c r="E5682" s="45" t="str">
        <f t="shared" si="24"/>
        <v/>
      </c>
      <c r="F5682" s="59" t="str">
        <f t="shared" si="25"/>
        <v/>
      </c>
      <c r="G5682" s="59" t="str">
        <f t="shared" si="26"/>
        <v/>
      </c>
      <c r="H5682" s="59" t="str">
        <f t="shared" si="27"/>
        <v>Máy rải thảm</v>
      </c>
      <c r="I5682" s="59" t="str">
        <f>IF(OR($A5682="",$C5682="",$D5682="",$E5682="",$H5682=""),"",SUMIFS(DATA_GOC!$H:$H,DATA_GOC!$A:$A,"BOM",DATA_GOC!$D:$D,$H5682,DATA_GOC!$E:$E,$C5682,DATA_GOC!$F:$F,"Xuất nội bộ từ téc",DATA_GOC!$B:$B,"&gt;="&amp;$D5682,DATA_GOC!$B:$B,"&lt;="&amp;$E5682))</f>
        <v/>
      </c>
      <c r="J5682" s="59">
        <f t="shared" si="28"/>
        <v>0</v>
      </c>
      <c r="K5682" s="59">
        <f t="shared" si="29"/>
        <v>0</v>
      </c>
      <c r="L5682" s="59">
        <f t="shared" si="30"/>
        <v>0</v>
      </c>
      <c r="M5682" s="59">
        <f t="shared" si="31"/>
        <v>0</v>
      </c>
    </row>
    <row r="5683" ht="15.0" hidden="1" customHeight="1">
      <c r="A5683" s="59">
        <f t="shared" si="20"/>
        <v>91</v>
      </c>
      <c r="B5683" s="59" t="str">
        <f t="shared" si="21"/>
        <v/>
      </c>
      <c r="C5683" s="59" t="str">
        <f t="shared" si="22"/>
        <v/>
      </c>
      <c r="D5683" s="45" t="str">
        <f t="shared" si="23"/>
        <v/>
      </c>
      <c r="E5683" s="45" t="str">
        <f t="shared" si="24"/>
        <v/>
      </c>
      <c r="F5683" s="59" t="str">
        <f t="shared" si="25"/>
        <v/>
      </c>
      <c r="G5683" s="59" t="str">
        <f t="shared" si="26"/>
        <v/>
      </c>
      <c r="H5683" s="59" t="str">
        <f t="shared" si="27"/>
        <v>Xúc Đào</v>
      </c>
      <c r="I5683" s="59" t="str">
        <f>IF(OR($A5683="",$C5683="",$D5683="",$E5683="",$H5683=""),"",SUMIFS(DATA_GOC!$H:$H,DATA_GOC!$A:$A,"BOM",DATA_GOC!$D:$D,$H5683,DATA_GOC!$E:$E,$C5683,DATA_GOC!$F:$F,"Xuất nội bộ từ téc",DATA_GOC!$B:$B,"&gt;="&amp;$D5683,DATA_GOC!$B:$B,"&lt;="&amp;$E5683))</f>
        <v/>
      </c>
      <c r="J5683" s="59">
        <f t="shared" si="28"/>
        <v>0</v>
      </c>
      <c r="K5683" s="59">
        <f t="shared" si="29"/>
        <v>0</v>
      </c>
      <c r="L5683" s="59">
        <f t="shared" si="30"/>
        <v>0</v>
      </c>
      <c r="M5683" s="59">
        <f t="shared" si="31"/>
        <v>0</v>
      </c>
    </row>
    <row r="5684" ht="15.0" hidden="1" customHeight="1">
      <c r="A5684" s="59">
        <f t="shared" si="20"/>
        <v>91</v>
      </c>
      <c r="B5684" s="59" t="str">
        <f t="shared" si="21"/>
        <v/>
      </c>
      <c r="C5684" s="59" t="str">
        <f t="shared" si="22"/>
        <v/>
      </c>
      <c r="D5684" s="45" t="str">
        <f t="shared" si="23"/>
        <v/>
      </c>
      <c r="E5684" s="45" t="str">
        <f t="shared" si="24"/>
        <v/>
      </c>
      <c r="F5684" s="59" t="str">
        <f t="shared" si="25"/>
        <v/>
      </c>
      <c r="G5684" s="59" t="str">
        <f t="shared" si="26"/>
        <v/>
      </c>
      <c r="H5684" s="59" t="str">
        <f t="shared" si="27"/>
        <v>Xúclật asphalt</v>
      </c>
      <c r="I5684" s="59" t="str">
        <f>IF(OR($A5684="",$C5684="",$D5684="",$E5684="",$H5684=""),"",SUMIFS(DATA_GOC!$H:$H,DATA_GOC!$A:$A,"BOM",DATA_GOC!$D:$D,$H5684,DATA_GOC!$E:$E,$C5684,DATA_GOC!$F:$F,"Xuất nội bộ từ téc",DATA_GOC!$B:$B,"&gt;="&amp;$D5684,DATA_GOC!$B:$B,"&lt;="&amp;$E5684))</f>
        <v/>
      </c>
      <c r="J5684" s="59">
        <f t="shared" si="28"/>
        <v>0</v>
      </c>
      <c r="K5684" s="59">
        <f t="shared" si="29"/>
        <v>0</v>
      </c>
      <c r="L5684" s="59">
        <f t="shared" si="30"/>
        <v>0</v>
      </c>
      <c r="M5684" s="59">
        <f t="shared" si="31"/>
        <v>0</v>
      </c>
    </row>
    <row r="5685" ht="15.0" hidden="1" customHeight="1">
      <c r="A5685" s="59">
        <f t="shared" si="20"/>
        <v>91</v>
      </c>
      <c r="B5685" s="59" t="str">
        <f t="shared" si="21"/>
        <v/>
      </c>
      <c r="C5685" s="59" t="str">
        <f t="shared" si="22"/>
        <v/>
      </c>
      <c r="D5685" s="45" t="str">
        <f t="shared" si="23"/>
        <v/>
      </c>
      <c r="E5685" s="45" t="str">
        <f t="shared" si="24"/>
        <v/>
      </c>
      <c r="F5685" s="59" t="str">
        <f t="shared" si="25"/>
        <v/>
      </c>
      <c r="G5685" s="59" t="str">
        <f t="shared" si="26"/>
        <v/>
      </c>
      <c r="H5685" s="59" t="str">
        <f t="shared" si="27"/>
        <v>Xúclật855H</v>
      </c>
      <c r="I5685" s="59" t="str">
        <f>IF(OR($A5685="",$C5685="",$D5685="",$E5685="",$H5685=""),"",SUMIFS(DATA_GOC!$H:$H,DATA_GOC!$A:$A,"BOM",DATA_GOC!$D:$D,$H5685,DATA_GOC!$E:$E,$C5685,DATA_GOC!$F:$F,"Xuất nội bộ từ téc",DATA_GOC!$B:$B,"&gt;="&amp;$D5685,DATA_GOC!$B:$B,"&lt;="&amp;$E5685))</f>
        <v/>
      </c>
      <c r="J5685" s="59">
        <f t="shared" si="28"/>
        <v>0</v>
      </c>
      <c r="K5685" s="59">
        <f t="shared" si="29"/>
        <v>0</v>
      </c>
      <c r="L5685" s="59">
        <f t="shared" si="30"/>
        <v>0</v>
      </c>
      <c r="M5685" s="59">
        <f t="shared" si="31"/>
        <v>0</v>
      </c>
    </row>
    <row r="5686" ht="15.0" hidden="1" customHeight="1">
      <c r="A5686" s="59">
        <f t="shared" si="20"/>
        <v>91</v>
      </c>
      <c r="B5686" s="59" t="str">
        <f t="shared" si="21"/>
        <v/>
      </c>
      <c r="C5686" s="59" t="str">
        <f t="shared" si="22"/>
        <v/>
      </c>
      <c r="D5686" s="45" t="str">
        <f t="shared" si="23"/>
        <v/>
      </c>
      <c r="E5686" s="45" t="str">
        <f t="shared" si="24"/>
        <v/>
      </c>
      <c r="F5686" s="59" t="str">
        <f t="shared" si="25"/>
        <v/>
      </c>
      <c r="G5686" s="59" t="str">
        <f t="shared" si="26"/>
        <v/>
      </c>
      <c r="H5686" s="59" t="str">
        <f t="shared" si="27"/>
        <v>Xúclật855N</v>
      </c>
      <c r="I5686" s="59" t="str">
        <f>IF(OR($A5686="",$C5686="",$D5686="",$E5686="",$H5686=""),"",SUMIFS(DATA_GOC!$H:$H,DATA_GOC!$A:$A,"BOM",DATA_GOC!$D:$D,$H5686,DATA_GOC!$E:$E,$C5686,DATA_GOC!$F:$F,"Xuất nội bộ từ téc",DATA_GOC!$B:$B,"&gt;="&amp;$D5686,DATA_GOC!$B:$B,"&lt;="&amp;$E5686))</f>
        <v/>
      </c>
      <c r="J5686" s="59">
        <f t="shared" si="28"/>
        <v>0</v>
      </c>
      <c r="K5686" s="59">
        <f t="shared" si="29"/>
        <v>0</v>
      </c>
      <c r="L5686" s="59">
        <f t="shared" si="30"/>
        <v>0</v>
      </c>
      <c r="M5686" s="59">
        <f t="shared" si="31"/>
        <v>0</v>
      </c>
    </row>
    <row r="5687" ht="15.0" hidden="1" customHeight="1">
      <c r="A5687" s="59">
        <f t="shared" si="20"/>
        <v>91</v>
      </c>
      <c r="B5687" s="59" t="str">
        <f t="shared" si="21"/>
        <v/>
      </c>
      <c r="C5687" s="59" t="str">
        <f t="shared" si="22"/>
        <v/>
      </c>
      <c r="D5687" s="45" t="str">
        <f t="shared" si="23"/>
        <v/>
      </c>
      <c r="E5687" s="45" t="str">
        <f t="shared" si="24"/>
        <v/>
      </c>
      <c r="F5687" s="59" t="str">
        <f t="shared" si="25"/>
        <v/>
      </c>
      <c r="G5687" s="59" t="str">
        <f t="shared" si="26"/>
        <v/>
      </c>
      <c r="H5687" s="59" t="str">
        <f t="shared" si="27"/>
        <v>Cát nghiền</v>
      </c>
      <c r="I5687" s="59" t="str">
        <f>IF(OR($A5687="",$C5687="",$D5687="",$E5687="",$H5687=""),"",SUMIFS(DATA_GOC!$H:$H,DATA_GOC!$A:$A,"BOM",DATA_GOC!$D:$D,$H5687,DATA_GOC!$E:$E,$C5687,DATA_GOC!$F:$F,"Xuất nội bộ từ téc",DATA_GOC!$B:$B,"&gt;="&amp;$D5687,DATA_GOC!$B:$B,"&lt;="&amp;$E5687))</f>
        <v/>
      </c>
      <c r="J5687" s="59">
        <f t="shared" si="28"/>
        <v>0</v>
      </c>
      <c r="K5687" s="59">
        <f t="shared" si="29"/>
        <v>0</v>
      </c>
      <c r="L5687" s="59">
        <f t="shared" si="30"/>
        <v>0</v>
      </c>
      <c r="M5687" s="59">
        <f t="shared" si="31"/>
        <v>0</v>
      </c>
    </row>
    <row r="5688" ht="15.0" hidden="1" customHeight="1">
      <c r="A5688" s="59">
        <f t="shared" si="20"/>
        <v>91</v>
      </c>
      <c r="B5688" s="59" t="str">
        <f t="shared" si="21"/>
        <v/>
      </c>
      <c r="C5688" s="59" t="str">
        <f t="shared" si="22"/>
        <v/>
      </c>
      <c r="D5688" s="45" t="str">
        <f t="shared" si="23"/>
        <v/>
      </c>
      <c r="E5688" s="45" t="str">
        <f t="shared" si="24"/>
        <v/>
      </c>
      <c r="F5688" s="59" t="str">
        <f t="shared" si="25"/>
        <v/>
      </c>
      <c r="G5688" s="59" t="str">
        <f t="shared" si="26"/>
        <v/>
      </c>
      <c r="H5688" s="59" t="str">
        <f t="shared" si="27"/>
        <v>28C02973</v>
      </c>
      <c r="I5688" s="59" t="str">
        <f>IF(OR($A5688="",$C5688="",$D5688="",$E5688="",$H5688=""),"",SUMIFS(DATA_GOC!$H:$H,DATA_GOC!$A:$A,"BOM",DATA_GOC!$D:$D,$H5688,DATA_GOC!$E:$E,$C5688,DATA_GOC!$F:$F,"Xuất nội bộ từ téc",DATA_GOC!$B:$B,"&gt;="&amp;$D5688,DATA_GOC!$B:$B,"&lt;="&amp;$E5688))</f>
        <v/>
      </c>
      <c r="J5688" s="59">
        <f t="shared" si="28"/>
        <v>0</v>
      </c>
      <c r="K5688" s="59">
        <f t="shared" si="29"/>
        <v>0</v>
      </c>
      <c r="L5688" s="59">
        <f t="shared" si="30"/>
        <v>0</v>
      </c>
      <c r="M5688" s="59">
        <f t="shared" si="31"/>
        <v>0</v>
      </c>
    </row>
    <row r="5689" ht="15.0" hidden="1" customHeight="1">
      <c r="A5689" s="59">
        <f t="shared" si="20"/>
        <v>91</v>
      </c>
      <c r="B5689" s="59" t="str">
        <f t="shared" si="21"/>
        <v/>
      </c>
      <c r="C5689" s="59" t="str">
        <f t="shared" si="22"/>
        <v/>
      </c>
      <c r="D5689" s="45" t="str">
        <f t="shared" si="23"/>
        <v/>
      </c>
      <c r="E5689" s="45" t="str">
        <f t="shared" si="24"/>
        <v/>
      </c>
      <c r="F5689" s="59" t="str">
        <f t="shared" si="25"/>
        <v/>
      </c>
      <c r="G5689" s="59" t="str">
        <f t="shared" si="26"/>
        <v/>
      </c>
      <c r="H5689" s="59" t="str">
        <f t="shared" si="27"/>
        <v>28C03044</v>
      </c>
      <c r="I5689" s="59" t="str">
        <f>IF(OR($A5689="",$C5689="",$D5689="",$E5689="",$H5689=""),"",SUMIFS(DATA_GOC!$H:$H,DATA_GOC!$A:$A,"BOM",DATA_GOC!$D:$D,$H5689,DATA_GOC!$E:$E,$C5689,DATA_GOC!$F:$F,"Xuất nội bộ từ téc",DATA_GOC!$B:$B,"&gt;="&amp;$D5689,DATA_GOC!$B:$B,"&lt;="&amp;$E5689))</f>
        <v/>
      </c>
      <c r="J5689" s="59">
        <f t="shared" si="28"/>
        <v>0</v>
      </c>
      <c r="K5689" s="59">
        <f t="shared" si="29"/>
        <v>0</v>
      </c>
      <c r="L5689" s="59">
        <f t="shared" si="30"/>
        <v>0</v>
      </c>
      <c r="M5689" s="59">
        <f t="shared" si="31"/>
        <v>0</v>
      </c>
    </row>
    <row r="5690" ht="15.0" hidden="1" customHeight="1">
      <c r="A5690" s="59">
        <f t="shared" si="20"/>
        <v>91</v>
      </c>
      <c r="B5690" s="59" t="str">
        <f t="shared" si="21"/>
        <v/>
      </c>
      <c r="C5690" s="59" t="str">
        <f t="shared" si="22"/>
        <v/>
      </c>
      <c r="D5690" s="45" t="str">
        <f t="shared" si="23"/>
        <v/>
      </c>
      <c r="E5690" s="45" t="str">
        <f t="shared" si="24"/>
        <v/>
      </c>
      <c r="F5690" s="59" t="str">
        <f t="shared" si="25"/>
        <v/>
      </c>
      <c r="G5690" s="59" t="str">
        <f t="shared" si="26"/>
        <v/>
      </c>
      <c r="H5690" s="59" t="str">
        <f t="shared" si="27"/>
        <v>Máy lu lốp</v>
      </c>
      <c r="I5690" s="59" t="str">
        <f>IF(OR($A5690="",$C5690="",$D5690="",$E5690="",$H5690=""),"",SUMIFS(DATA_GOC!$H:$H,DATA_GOC!$A:$A,"BOM",DATA_GOC!$D:$D,$H5690,DATA_GOC!$E:$E,$C5690,DATA_GOC!$F:$F,"Xuất nội bộ từ téc",DATA_GOC!$B:$B,"&gt;="&amp;$D5690,DATA_GOC!$B:$B,"&lt;="&amp;$E5690))</f>
        <v/>
      </c>
      <c r="J5690" s="59">
        <f t="shared" si="28"/>
        <v>0</v>
      </c>
      <c r="K5690" s="59">
        <f t="shared" si="29"/>
        <v>0</v>
      </c>
      <c r="L5690" s="59">
        <f t="shared" si="30"/>
        <v>0</v>
      </c>
      <c r="M5690" s="59">
        <f t="shared" si="31"/>
        <v>0</v>
      </c>
    </row>
    <row r="5691" ht="15.0" hidden="1" customHeight="1">
      <c r="A5691" s="59">
        <f t="shared" si="20"/>
        <v>91</v>
      </c>
      <c r="B5691" s="59" t="str">
        <f t="shared" si="21"/>
        <v/>
      </c>
      <c r="C5691" s="59" t="str">
        <f t="shared" si="22"/>
        <v/>
      </c>
      <c r="D5691" s="45" t="str">
        <f t="shared" si="23"/>
        <v/>
      </c>
      <c r="E5691" s="45" t="str">
        <f t="shared" si="24"/>
        <v/>
      </c>
      <c r="F5691" s="59" t="str">
        <f t="shared" si="25"/>
        <v/>
      </c>
      <c r="G5691" s="59" t="str">
        <f t="shared" si="26"/>
        <v/>
      </c>
      <c r="H5691" s="59" t="str">
        <f t="shared" si="27"/>
        <v>Xe 600148</v>
      </c>
      <c r="I5691" s="59" t="str">
        <f>IF(OR($A5691="",$C5691="",$D5691="",$E5691="",$H5691=""),"",SUMIFS(DATA_GOC!$H:$H,DATA_GOC!$A:$A,"BOM",DATA_GOC!$D:$D,$H5691,DATA_GOC!$E:$E,$C5691,DATA_GOC!$F:$F,"Xuất nội bộ từ téc",DATA_GOC!$B:$B,"&gt;="&amp;$D5691,DATA_GOC!$B:$B,"&lt;="&amp;$E5691))</f>
        <v/>
      </c>
      <c r="J5691" s="59">
        <f t="shared" si="28"/>
        <v>0</v>
      </c>
      <c r="K5691" s="59">
        <f t="shared" si="29"/>
        <v>0</v>
      </c>
      <c r="L5691" s="59">
        <f t="shared" si="30"/>
        <v>0</v>
      </c>
      <c r="M5691" s="59">
        <f t="shared" si="31"/>
        <v>0</v>
      </c>
    </row>
    <row r="5692" ht="15.0" hidden="1" customHeight="1">
      <c r="A5692" s="59">
        <f t="shared" si="20"/>
        <v>91</v>
      </c>
      <c r="B5692" s="59" t="str">
        <f t="shared" si="21"/>
        <v/>
      </c>
      <c r="C5692" s="59" t="str">
        <f t="shared" si="22"/>
        <v/>
      </c>
      <c r="D5692" s="45" t="str">
        <f t="shared" si="23"/>
        <v/>
      </c>
      <c r="E5692" s="45" t="str">
        <f t="shared" si="24"/>
        <v/>
      </c>
      <c r="F5692" s="59" t="str">
        <f t="shared" si="25"/>
        <v/>
      </c>
      <c r="G5692" s="59" t="str">
        <f t="shared" si="26"/>
        <v/>
      </c>
      <c r="H5692" s="59" t="str">
        <f t="shared" si="27"/>
        <v>Xe ben mới</v>
      </c>
      <c r="I5692" s="59" t="str">
        <f>IF(OR($A5692="",$C5692="",$D5692="",$E5692="",$H5692=""),"",SUMIFS(DATA_GOC!$H:$H,DATA_GOC!$A:$A,"BOM",DATA_GOC!$D:$D,$H5692,DATA_GOC!$E:$E,$C5692,DATA_GOC!$F:$F,"Xuất nội bộ từ téc",DATA_GOC!$B:$B,"&gt;="&amp;$D5692,DATA_GOC!$B:$B,"&lt;="&amp;$E5692))</f>
        <v/>
      </c>
      <c r="J5692" s="59">
        <f t="shared" si="28"/>
        <v>0</v>
      </c>
      <c r="K5692" s="59">
        <f t="shared" si="29"/>
        <v>0</v>
      </c>
      <c r="L5692" s="59">
        <f t="shared" si="30"/>
        <v>0</v>
      </c>
      <c r="M5692" s="59">
        <f t="shared" si="31"/>
        <v>0</v>
      </c>
    </row>
    <row r="5693" ht="15.0" hidden="1" customHeight="1">
      <c r="A5693" s="59">
        <f t="shared" si="20"/>
        <v>92</v>
      </c>
      <c r="B5693" s="59" t="str">
        <f t="shared" si="21"/>
        <v/>
      </c>
      <c r="C5693" s="59" t="str">
        <f t="shared" si="22"/>
        <v/>
      </c>
      <c r="D5693" s="45" t="str">
        <f t="shared" si="23"/>
        <v/>
      </c>
      <c r="E5693" s="45" t="str">
        <f t="shared" si="24"/>
        <v/>
      </c>
      <c r="F5693" s="59" t="str">
        <f t="shared" si="25"/>
        <v/>
      </c>
      <c r="G5693" s="59" t="str">
        <f t="shared" si="26"/>
        <v/>
      </c>
      <c r="H5693" s="59" t="str">
        <f t="shared" si="27"/>
        <v>19H09482</v>
      </c>
      <c r="I5693" s="59" t="str">
        <f>IF(OR($A5693="",$C5693="",$D5693="",$E5693="",$H5693=""),"",SUMIFS(DATA_GOC!$H:$H,DATA_GOC!$A:$A,"BOM",DATA_GOC!$D:$D,$H5693,DATA_GOC!$E:$E,$C5693,DATA_GOC!$F:$F,"Xuất nội bộ từ téc",DATA_GOC!$B:$B,"&gt;="&amp;$D5693,DATA_GOC!$B:$B,"&lt;="&amp;$E5693))</f>
        <v/>
      </c>
      <c r="J5693" s="59">
        <f t="shared" si="28"/>
        <v>0</v>
      </c>
      <c r="K5693" s="59">
        <f t="shared" si="29"/>
        <v>0</v>
      </c>
      <c r="L5693" s="59">
        <f t="shared" si="30"/>
        <v>0</v>
      </c>
      <c r="M5693" s="59">
        <f t="shared" si="31"/>
        <v>0</v>
      </c>
    </row>
    <row r="5694" ht="15.0" hidden="1" customHeight="1">
      <c r="A5694" s="59">
        <f t="shared" si="20"/>
        <v>92</v>
      </c>
      <c r="B5694" s="59" t="str">
        <f t="shared" si="21"/>
        <v/>
      </c>
      <c r="C5694" s="59" t="str">
        <f t="shared" si="22"/>
        <v/>
      </c>
      <c r="D5694" s="45" t="str">
        <f t="shared" si="23"/>
        <v/>
      </c>
      <c r="E5694" s="45" t="str">
        <f t="shared" si="24"/>
        <v/>
      </c>
      <c r="F5694" s="59" t="str">
        <f t="shared" si="25"/>
        <v/>
      </c>
      <c r="G5694" s="59" t="str">
        <f t="shared" si="26"/>
        <v/>
      </c>
      <c r="H5694" s="59" t="str">
        <f t="shared" si="27"/>
        <v>28A30696</v>
      </c>
      <c r="I5694" s="59" t="str">
        <f>IF(OR($A5694="",$C5694="",$D5694="",$E5694="",$H5694=""),"",SUMIFS(DATA_GOC!$H:$H,DATA_GOC!$A:$A,"BOM",DATA_GOC!$D:$D,$H5694,DATA_GOC!$E:$E,$C5694,DATA_GOC!$F:$F,"Xuất nội bộ từ téc",DATA_GOC!$B:$B,"&gt;="&amp;$D5694,DATA_GOC!$B:$B,"&lt;="&amp;$E5694))</f>
        <v/>
      </c>
      <c r="J5694" s="59">
        <f t="shared" si="28"/>
        <v>0</v>
      </c>
      <c r="K5694" s="59">
        <f t="shared" si="29"/>
        <v>0</v>
      </c>
      <c r="L5694" s="59">
        <f t="shared" si="30"/>
        <v>0</v>
      </c>
      <c r="M5694" s="59">
        <f t="shared" si="31"/>
        <v>0</v>
      </c>
    </row>
    <row r="5695" ht="15.0" hidden="1" customHeight="1">
      <c r="A5695" s="59">
        <f t="shared" si="20"/>
        <v>92</v>
      </c>
      <c r="B5695" s="59" t="str">
        <f t="shared" si="21"/>
        <v/>
      </c>
      <c r="C5695" s="59" t="str">
        <f t="shared" si="22"/>
        <v/>
      </c>
      <c r="D5695" s="45" t="str">
        <f t="shared" si="23"/>
        <v/>
      </c>
      <c r="E5695" s="45" t="str">
        <f t="shared" si="24"/>
        <v/>
      </c>
      <c r="F5695" s="59" t="str">
        <f t="shared" si="25"/>
        <v/>
      </c>
      <c r="G5695" s="59" t="str">
        <f t="shared" si="26"/>
        <v/>
      </c>
      <c r="H5695" s="59" t="str">
        <f t="shared" si="27"/>
        <v>28C00462</v>
      </c>
      <c r="I5695" s="59" t="str">
        <f>IF(OR($A5695="",$C5695="",$D5695="",$E5695="",$H5695=""),"",SUMIFS(DATA_GOC!$H:$H,DATA_GOC!$A:$A,"BOM",DATA_GOC!$D:$D,$H5695,DATA_GOC!$E:$E,$C5695,DATA_GOC!$F:$F,"Xuất nội bộ từ téc",DATA_GOC!$B:$B,"&gt;="&amp;$D5695,DATA_GOC!$B:$B,"&lt;="&amp;$E5695))</f>
        <v/>
      </c>
      <c r="J5695" s="59">
        <f t="shared" si="28"/>
        <v>0</v>
      </c>
      <c r="K5695" s="59">
        <f t="shared" si="29"/>
        <v>0</v>
      </c>
      <c r="L5695" s="59">
        <f t="shared" si="30"/>
        <v>0</v>
      </c>
      <c r="M5695" s="59">
        <f t="shared" si="31"/>
        <v>0</v>
      </c>
    </row>
    <row r="5696" ht="15.0" hidden="1" customHeight="1">
      <c r="A5696" s="59">
        <f t="shared" si="20"/>
        <v>92</v>
      </c>
      <c r="B5696" s="59" t="str">
        <f t="shared" si="21"/>
        <v/>
      </c>
      <c r="C5696" s="59" t="str">
        <f t="shared" si="22"/>
        <v/>
      </c>
      <c r="D5696" s="45" t="str">
        <f t="shared" si="23"/>
        <v/>
      </c>
      <c r="E5696" s="45" t="str">
        <f t="shared" si="24"/>
        <v/>
      </c>
      <c r="F5696" s="59" t="str">
        <f t="shared" si="25"/>
        <v/>
      </c>
      <c r="G5696" s="59" t="str">
        <f t="shared" si="26"/>
        <v/>
      </c>
      <c r="H5696" s="59" t="str">
        <f t="shared" si="27"/>
        <v>28C01165</v>
      </c>
      <c r="I5696" s="59" t="str">
        <f>IF(OR($A5696="",$C5696="",$D5696="",$E5696="",$H5696=""),"",SUMIFS(DATA_GOC!$H:$H,DATA_GOC!$A:$A,"BOM",DATA_GOC!$D:$D,$H5696,DATA_GOC!$E:$E,$C5696,DATA_GOC!$F:$F,"Xuất nội bộ từ téc",DATA_GOC!$B:$B,"&gt;="&amp;$D5696,DATA_GOC!$B:$B,"&lt;="&amp;$E5696))</f>
        <v/>
      </c>
      <c r="J5696" s="59">
        <f t="shared" si="28"/>
        <v>0</v>
      </c>
      <c r="K5696" s="59">
        <f t="shared" si="29"/>
        <v>0</v>
      </c>
      <c r="L5696" s="59">
        <f t="shared" si="30"/>
        <v>0</v>
      </c>
      <c r="M5696" s="59">
        <f t="shared" si="31"/>
        <v>0</v>
      </c>
    </row>
    <row r="5697" ht="15.0" hidden="1" customHeight="1">
      <c r="A5697" s="59">
        <f t="shared" si="20"/>
        <v>92</v>
      </c>
      <c r="B5697" s="59" t="str">
        <f t="shared" si="21"/>
        <v/>
      </c>
      <c r="C5697" s="59" t="str">
        <f t="shared" si="22"/>
        <v/>
      </c>
      <c r="D5697" s="45" t="str">
        <f t="shared" si="23"/>
        <v/>
      </c>
      <c r="E5697" s="45" t="str">
        <f t="shared" si="24"/>
        <v/>
      </c>
      <c r="F5697" s="59" t="str">
        <f t="shared" si="25"/>
        <v/>
      </c>
      <c r="G5697" s="59" t="str">
        <f t="shared" si="26"/>
        <v/>
      </c>
      <c r="H5697" s="59" t="str">
        <f t="shared" si="27"/>
        <v>28C01406</v>
      </c>
      <c r="I5697" s="59" t="str">
        <f>IF(OR($A5697="",$C5697="",$D5697="",$E5697="",$H5697=""),"",SUMIFS(DATA_GOC!$H:$H,DATA_GOC!$A:$A,"BOM",DATA_GOC!$D:$D,$H5697,DATA_GOC!$E:$E,$C5697,DATA_GOC!$F:$F,"Xuất nội bộ từ téc",DATA_GOC!$B:$B,"&gt;="&amp;$D5697,DATA_GOC!$B:$B,"&lt;="&amp;$E5697))</f>
        <v/>
      </c>
      <c r="J5697" s="59">
        <f t="shared" si="28"/>
        <v>0</v>
      </c>
      <c r="K5697" s="59">
        <f t="shared" si="29"/>
        <v>0</v>
      </c>
      <c r="L5697" s="59">
        <f t="shared" si="30"/>
        <v>0</v>
      </c>
      <c r="M5697" s="59">
        <f t="shared" si="31"/>
        <v>0</v>
      </c>
    </row>
    <row r="5698" ht="15.0" hidden="1" customHeight="1">
      <c r="A5698" s="59">
        <f t="shared" si="20"/>
        <v>92</v>
      </c>
      <c r="B5698" s="59" t="str">
        <f t="shared" si="21"/>
        <v/>
      </c>
      <c r="C5698" s="59" t="str">
        <f t="shared" si="22"/>
        <v/>
      </c>
      <c r="D5698" s="45" t="str">
        <f t="shared" si="23"/>
        <v/>
      </c>
      <c r="E5698" s="45" t="str">
        <f t="shared" si="24"/>
        <v/>
      </c>
      <c r="F5698" s="59" t="str">
        <f t="shared" si="25"/>
        <v/>
      </c>
      <c r="G5698" s="59" t="str">
        <f t="shared" si="26"/>
        <v/>
      </c>
      <c r="H5698" s="59" t="str">
        <f t="shared" si="27"/>
        <v>28C01544</v>
      </c>
      <c r="I5698" s="59" t="str">
        <f>IF(OR($A5698="",$C5698="",$D5698="",$E5698="",$H5698=""),"",SUMIFS(DATA_GOC!$H:$H,DATA_GOC!$A:$A,"BOM",DATA_GOC!$D:$D,$H5698,DATA_GOC!$E:$E,$C5698,DATA_GOC!$F:$F,"Xuất nội bộ từ téc",DATA_GOC!$B:$B,"&gt;="&amp;$D5698,DATA_GOC!$B:$B,"&lt;="&amp;$E5698))</f>
        <v/>
      </c>
      <c r="J5698" s="59">
        <f t="shared" si="28"/>
        <v>0</v>
      </c>
      <c r="K5698" s="59">
        <f t="shared" si="29"/>
        <v>0</v>
      </c>
      <c r="L5698" s="59">
        <f t="shared" si="30"/>
        <v>0</v>
      </c>
      <c r="M5698" s="59">
        <f t="shared" si="31"/>
        <v>0</v>
      </c>
    </row>
    <row r="5699" ht="15.0" hidden="1" customHeight="1">
      <c r="A5699" s="59">
        <f t="shared" si="20"/>
        <v>92</v>
      </c>
      <c r="B5699" s="59" t="str">
        <f t="shared" si="21"/>
        <v/>
      </c>
      <c r="C5699" s="59" t="str">
        <f t="shared" si="22"/>
        <v/>
      </c>
      <c r="D5699" s="45" t="str">
        <f t="shared" si="23"/>
        <v/>
      </c>
      <c r="E5699" s="45" t="str">
        <f t="shared" si="24"/>
        <v/>
      </c>
      <c r="F5699" s="59" t="str">
        <f t="shared" si="25"/>
        <v/>
      </c>
      <c r="G5699" s="59" t="str">
        <f t="shared" si="26"/>
        <v/>
      </c>
      <c r="H5699" s="59" t="str">
        <f t="shared" si="27"/>
        <v>28C01622</v>
      </c>
      <c r="I5699" s="59" t="str">
        <f>IF(OR($A5699="",$C5699="",$D5699="",$E5699="",$H5699=""),"",SUMIFS(DATA_GOC!$H:$H,DATA_GOC!$A:$A,"BOM",DATA_GOC!$D:$D,$H5699,DATA_GOC!$E:$E,$C5699,DATA_GOC!$F:$F,"Xuất nội bộ từ téc",DATA_GOC!$B:$B,"&gt;="&amp;$D5699,DATA_GOC!$B:$B,"&lt;="&amp;$E5699))</f>
        <v/>
      </c>
      <c r="J5699" s="59">
        <f t="shared" si="28"/>
        <v>0</v>
      </c>
      <c r="K5699" s="59">
        <f t="shared" si="29"/>
        <v>0</v>
      </c>
      <c r="L5699" s="59">
        <f t="shared" si="30"/>
        <v>0</v>
      </c>
      <c r="M5699" s="59">
        <f t="shared" si="31"/>
        <v>0</v>
      </c>
    </row>
    <row r="5700" ht="15.0" hidden="1" customHeight="1">
      <c r="A5700" s="59">
        <f t="shared" si="20"/>
        <v>92</v>
      </c>
      <c r="B5700" s="59" t="str">
        <f t="shared" si="21"/>
        <v/>
      </c>
      <c r="C5700" s="59" t="str">
        <f t="shared" si="22"/>
        <v/>
      </c>
      <c r="D5700" s="45" t="str">
        <f t="shared" si="23"/>
        <v/>
      </c>
      <c r="E5700" s="45" t="str">
        <f t="shared" si="24"/>
        <v/>
      </c>
      <c r="F5700" s="59" t="str">
        <f t="shared" si="25"/>
        <v/>
      </c>
      <c r="G5700" s="59" t="str">
        <f t="shared" si="26"/>
        <v/>
      </c>
      <c r="H5700" s="59" t="str">
        <f t="shared" si="27"/>
        <v>28C01647</v>
      </c>
      <c r="I5700" s="59" t="str">
        <f>IF(OR($A5700="",$C5700="",$D5700="",$E5700="",$H5700=""),"",SUMIFS(DATA_GOC!$H:$H,DATA_GOC!$A:$A,"BOM",DATA_GOC!$D:$D,$H5700,DATA_GOC!$E:$E,$C5700,DATA_GOC!$F:$F,"Xuất nội bộ từ téc",DATA_GOC!$B:$B,"&gt;="&amp;$D5700,DATA_GOC!$B:$B,"&lt;="&amp;$E5700))</f>
        <v/>
      </c>
      <c r="J5700" s="59">
        <f t="shared" si="28"/>
        <v>0</v>
      </c>
      <c r="K5700" s="59">
        <f t="shared" si="29"/>
        <v>0</v>
      </c>
      <c r="L5700" s="59">
        <f t="shared" si="30"/>
        <v>0</v>
      </c>
      <c r="M5700" s="59">
        <f t="shared" si="31"/>
        <v>0</v>
      </c>
    </row>
    <row r="5701" ht="15.0" hidden="1" customHeight="1">
      <c r="A5701" s="59">
        <f t="shared" si="20"/>
        <v>92</v>
      </c>
      <c r="B5701" s="59" t="str">
        <f t="shared" si="21"/>
        <v/>
      </c>
      <c r="C5701" s="59" t="str">
        <f t="shared" si="22"/>
        <v/>
      </c>
      <c r="D5701" s="45" t="str">
        <f t="shared" si="23"/>
        <v/>
      </c>
      <c r="E5701" s="45" t="str">
        <f t="shared" si="24"/>
        <v/>
      </c>
      <c r="F5701" s="59" t="str">
        <f t="shared" si="25"/>
        <v/>
      </c>
      <c r="G5701" s="59" t="str">
        <f t="shared" si="26"/>
        <v/>
      </c>
      <c r="H5701" s="59" t="str">
        <f t="shared" si="27"/>
        <v>28C01731</v>
      </c>
      <c r="I5701" s="59" t="str">
        <f>IF(OR($A5701="",$C5701="",$D5701="",$E5701="",$H5701=""),"",SUMIFS(DATA_GOC!$H:$H,DATA_GOC!$A:$A,"BOM",DATA_GOC!$D:$D,$H5701,DATA_GOC!$E:$E,$C5701,DATA_GOC!$F:$F,"Xuất nội bộ từ téc",DATA_GOC!$B:$B,"&gt;="&amp;$D5701,DATA_GOC!$B:$B,"&lt;="&amp;$E5701))</f>
        <v/>
      </c>
      <c r="J5701" s="59">
        <f t="shared" si="28"/>
        <v>0</v>
      </c>
      <c r="K5701" s="59">
        <f t="shared" si="29"/>
        <v>0</v>
      </c>
      <c r="L5701" s="59">
        <f t="shared" si="30"/>
        <v>0</v>
      </c>
      <c r="M5701" s="59">
        <f t="shared" si="31"/>
        <v>0</v>
      </c>
    </row>
    <row r="5702" ht="15.0" hidden="1" customHeight="1">
      <c r="A5702" s="59">
        <f t="shared" si="20"/>
        <v>92</v>
      </c>
      <c r="B5702" s="59" t="str">
        <f t="shared" si="21"/>
        <v/>
      </c>
      <c r="C5702" s="59" t="str">
        <f t="shared" si="22"/>
        <v/>
      </c>
      <c r="D5702" s="45" t="str">
        <f t="shared" si="23"/>
        <v/>
      </c>
      <c r="E5702" s="45" t="str">
        <f t="shared" si="24"/>
        <v/>
      </c>
      <c r="F5702" s="59" t="str">
        <f t="shared" si="25"/>
        <v/>
      </c>
      <c r="G5702" s="59" t="str">
        <f t="shared" si="26"/>
        <v/>
      </c>
      <c r="H5702" s="59" t="str">
        <f t="shared" si="27"/>
        <v>28C01743</v>
      </c>
      <c r="I5702" s="59" t="str">
        <f>IF(OR($A5702="",$C5702="",$D5702="",$E5702="",$H5702=""),"",SUMIFS(DATA_GOC!$H:$H,DATA_GOC!$A:$A,"BOM",DATA_GOC!$D:$D,$H5702,DATA_GOC!$E:$E,$C5702,DATA_GOC!$F:$F,"Xuất nội bộ từ téc",DATA_GOC!$B:$B,"&gt;="&amp;$D5702,DATA_GOC!$B:$B,"&lt;="&amp;$E5702))</f>
        <v/>
      </c>
      <c r="J5702" s="59">
        <f t="shared" si="28"/>
        <v>0</v>
      </c>
      <c r="K5702" s="59">
        <f t="shared" si="29"/>
        <v>0</v>
      </c>
      <c r="L5702" s="59">
        <f t="shared" si="30"/>
        <v>0</v>
      </c>
      <c r="M5702" s="59">
        <f t="shared" si="31"/>
        <v>0</v>
      </c>
    </row>
    <row r="5703" ht="15.0" hidden="1" customHeight="1">
      <c r="A5703" s="59">
        <f t="shared" si="20"/>
        <v>92</v>
      </c>
      <c r="B5703" s="59" t="str">
        <f t="shared" si="21"/>
        <v/>
      </c>
      <c r="C5703" s="59" t="str">
        <f t="shared" si="22"/>
        <v/>
      </c>
      <c r="D5703" s="45" t="str">
        <f t="shared" si="23"/>
        <v/>
      </c>
      <c r="E5703" s="45" t="str">
        <f t="shared" si="24"/>
        <v/>
      </c>
      <c r="F5703" s="59" t="str">
        <f t="shared" si="25"/>
        <v/>
      </c>
      <c r="G5703" s="59" t="str">
        <f t="shared" si="26"/>
        <v/>
      </c>
      <c r="H5703" s="59" t="str">
        <f t="shared" si="27"/>
        <v>28C02106</v>
      </c>
      <c r="I5703" s="59" t="str">
        <f>IF(OR($A5703="",$C5703="",$D5703="",$E5703="",$H5703=""),"",SUMIFS(DATA_GOC!$H:$H,DATA_GOC!$A:$A,"BOM",DATA_GOC!$D:$D,$H5703,DATA_GOC!$E:$E,$C5703,DATA_GOC!$F:$F,"Xuất nội bộ từ téc",DATA_GOC!$B:$B,"&gt;="&amp;$D5703,DATA_GOC!$B:$B,"&lt;="&amp;$E5703))</f>
        <v/>
      </c>
      <c r="J5703" s="59">
        <f t="shared" si="28"/>
        <v>0</v>
      </c>
      <c r="K5703" s="59">
        <f t="shared" si="29"/>
        <v>0</v>
      </c>
      <c r="L5703" s="59">
        <f t="shared" si="30"/>
        <v>0</v>
      </c>
      <c r="M5703" s="59">
        <f t="shared" si="31"/>
        <v>0</v>
      </c>
    </row>
    <row r="5704" ht="15.0" hidden="1" customHeight="1">
      <c r="A5704" s="59">
        <f t="shared" si="20"/>
        <v>92</v>
      </c>
      <c r="B5704" s="59" t="str">
        <f t="shared" si="21"/>
        <v/>
      </c>
      <c r="C5704" s="59" t="str">
        <f t="shared" si="22"/>
        <v/>
      </c>
      <c r="D5704" s="45" t="str">
        <f t="shared" si="23"/>
        <v/>
      </c>
      <c r="E5704" s="45" t="str">
        <f t="shared" si="24"/>
        <v/>
      </c>
      <c r="F5704" s="59" t="str">
        <f t="shared" si="25"/>
        <v/>
      </c>
      <c r="G5704" s="59" t="str">
        <f t="shared" si="26"/>
        <v/>
      </c>
      <c r="H5704" s="59" t="str">
        <f t="shared" si="27"/>
        <v>28C02410</v>
      </c>
      <c r="I5704" s="59" t="str">
        <f>IF(OR($A5704="",$C5704="",$D5704="",$E5704="",$H5704=""),"",SUMIFS(DATA_GOC!$H:$H,DATA_GOC!$A:$A,"BOM",DATA_GOC!$D:$D,$H5704,DATA_GOC!$E:$E,$C5704,DATA_GOC!$F:$F,"Xuất nội bộ từ téc",DATA_GOC!$B:$B,"&gt;="&amp;$D5704,DATA_GOC!$B:$B,"&lt;="&amp;$E5704))</f>
        <v/>
      </c>
      <c r="J5704" s="59">
        <f t="shared" si="28"/>
        <v>0</v>
      </c>
      <c r="K5704" s="59">
        <f t="shared" si="29"/>
        <v>0</v>
      </c>
      <c r="L5704" s="59">
        <f t="shared" si="30"/>
        <v>0</v>
      </c>
      <c r="M5704" s="59">
        <f t="shared" si="31"/>
        <v>0</v>
      </c>
    </row>
    <row r="5705" ht="15.0" hidden="1" customHeight="1">
      <c r="A5705" s="59">
        <f t="shared" si="20"/>
        <v>92</v>
      </c>
      <c r="B5705" s="59" t="str">
        <f t="shared" si="21"/>
        <v/>
      </c>
      <c r="C5705" s="59" t="str">
        <f t="shared" si="22"/>
        <v/>
      </c>
      <c r="D5705" s="45" t="str">
        <f t="shared" si="23"/>
        <v/>
      </c>
      <c r="E5705" s="45" t="str">
        <f t="shared" si="24"/>
        <v/>
      </c>
      <c r="F5705" s="59" t="str">
        <f t="shared" si="25"/>
        <v/>
      </c>
      <c r="G5705" s="59" t="str">
        <f t="shared" si="26"/>
        <v/>
      </c>
      <c r="H5705" s="59" t="str">
        <f t="shared" si="27"/>
        <v>28C02545</v>
      </c>
      <c r="I5705" s="59" t="str">
        <f>IF(OR($A5705="",$C5705="",$D5705="",$E5705="",$H5705=""),"",SUMIFS(DATA_GOC!$H:$H,DATA_GOC!$A:$A,"BOM",DATA_GOC!$D:$D,$H5705,DATA_GOC!$E:$E,$C5705,DATA_GOC!$F:$F,"Xuất nội bộ từ téc",DATA_GOC!$B:$B,"&gt;="&amp;$D5705,DATA_GOC!$B:$B,"&lt;="&amp;$E5705))</f>
        <v/>
      </c>
      <c r="J5705" s="59">
        <f t="shared" si="28"/>
        <v>0</v>
      </c>
      <c r="K5705" s="59">
        <f t="shared" si="29"/>
        <v>0</v>
      </c>
      <c r="L5705" s="59">
        <f t="shared" si="30"/>
        <v>0</v>
      </c>
      <c r="M5705" s="59">
        <f t="shared" si="31"/>
        <v>0</v>
      </c>
    </row>
    <row r="5706" ht="15.0" hidden="1" customHeight="1">
      <c r="A5706" s="59">
        <f t="shared" si="20"/>
        <v>92</v>
      </c>
      <c r="B5706" s="59" t="str">
        <f t="shared" si="21"/>
        <v/>
      </c>
      <c r="C5706" s="59" t="str">
        <f t="shared" si="22"/>
        <v/>
      </c>
      <c r="D5706" s="45" t="str">
        <f t="shared" si="23"/>
        <v/>
      </c>
      <c r="E5706" s="45" t="str">
        <f t="shared" si="24"/>
        <v/>
      </c>
      <c r="F5706" s="59" t="str">
        <f t="shared" si="25"/>
        <v/>
      </c>
      <c r="G5706" s="59" t="str">
        <f t="shared" si="26"/>
        <v/>
      </c>
      <c r="H5706" s="59" t="str">
        <f t="shared" si="27"/>
        <v>28C02574</v>
      </c>
      <c r="I5706" s="59" t="str">
        <f>IF(OR($A5706="",$C5706="",$D5706="",$E5706="",$H5706=""),"",SUMIFS(DATA_GOC!$H:$H,DATA_GOC!$A:$A,"BOM",DATA_GOC!$D:$D,$H5706,DATA_GOC!$E:$E,$C5706,DATA_GOC!$F:$F,"Xuất nội bộ từ téc",DATA_GOC!$B:$B,"&gt;="&amp;$D5706,DATA_GOC!$B:$B,"&lt;="&amp;$E5706))</f>
        <v/>
      </c>
      <c r="J5706" s="59">
        <f t="shared" si="28"/>
        <v>0</v>
      </c>
      <c r="K5706" s="59">
        <f t="shared" si="29"/>
        <v>0</v>
      </c>
      <c r="L5706" s="59">
        <f t="shared" si="30"/>
        <v>0</v>
      </c>
      <c r="M5706" s="59">
        <f t="shared" si="31"/>
        <v>0</v>
      </c>
    </row>
    <row r="5707" ht="15.0" hidden="1" customHeight="1">
      <c r="A5707" s="59">
        <f t="shared" si="20"/>
        <v>92</v>
      </c>
      <c r="B5707" s="59" t="str">
        <f t="shared" si="21"/>
        <v/>
      </c>
      <c r="C5707" s="59" t="str">
        <f t="shared" si="22"/>
        <v/>
      </c>
      <c r="D5707" s="45" t="str">
        <f t="shared" si="23"/>
        <v/>
      </c>
      <c r="E5707" s="45" t="str">
        <f t="shared" si="24"/>
        <v/>
      </c>
      <c r="F5707" s="59" t="str">
        <f t="shared" si="25"/>
        <v/>
      </c>
      <c r="G5707" s="59" t="str">
        <f t="shared" si="26"/>
        <v/>
      </c>
      <c r="H5707" s="59" t="str">
        <f t="shared" si="27"/>
        <v>28C02770</v>
      </c>
      <c r="I5707" s="59" t="str">
        <f>IF(OR($A5707="",$C5707="",$D5707="",$E5707="",$H5707=""),"",SUMIFS(DATA_GOC!$H:$H,DATA_GOC!$A:$A,"BOM",DATA_GOC!$D:$D,$H5707,DATA_GOC!$E:$E,$C5707,DATA_GOC!$F:$F,"Xuất nội bộ từ téc",DATA_GOC!$B:$B,"&gt;="&amp;$D5707,DATA_GOC!$B:$B,"&lt;="&amp;$E5707))</f>
        <v/>
      </c>
      <c r="J5707" s="59">
        <f t="shared" si="28"/>
        <v>0</v>
      </c>
      <c r="K5707" s="59">
        <f t="shared" si="29"/>
        <v>0</v>
      </c>
      <c r="L5707" s="59">
        <f t="shared" si="30"/>
        <v>0</v>
      </c>
      <c r="M5707" s="59">
        <f t="shared" si="31"/>
        <v>0</v>
      </c>
    </row>
    <row r="5708" ht="15.0" hidden="1" customHeight="1">
      <c r="A5708" s="59">
        <f t="shared" si="20"/>
        <v>92</v>
      </c>
      <c r="B5708" s="59" t="str">
        <f t="shared" si="21"/>
        <v/>
      </c>
      <c r="C5708" s="59" t="str">
        <f t="shared" si="22"/>
        <v/>
      </c>
      <c r="D5708" s="45" t="str">
        <f t="shared" si="23"/>
        <v/>
      </c>
      <c r="E5708" s="45" t="str">
        <f t="shared" si="24"/>
        <v/>
      </c>
      <c r="F5708" s="59" t="str">
        <f t="shared" si="25"/>
        <v/>
      </c>
      <c r="G5708" s="59" t="str">
        <f t="shared" si="26"/>
        <v/>
      </c>
      <c r="H5708" s="59" t="str">
        <f t="shared" si="27"/>
        <v>28C02986</v>
      </c>
      <c r="I5708" s="59" t="str">
        <f>IF(OR($A5708="",$C5708="",$D5708="",$E5708="",$H5708=""),"",SUMIFS(DATA_GOC!$H:$H,DATA_GOC!$A:$A,"BOM",DATA_GOC!$D:$D,$H5708,DATA_GOC!$E:$E,$C5708,DATA_GOC!$F:$F,"Xuất nội bộ từ téc",DATA_GOC!$B:$B,"&gt;="&amp;$D5708,DATA_GOC!$B:$B,"&lt;="&amp;$E5708))</f>
        <v/>
      </c>
      <c r="J5708" s="59">
        <f t="shared" si="28"/>
        <v>0</v>
      </c>
      <c r="K5708" s="59">
        <f t="shared" si="29"/>
        <v>0</v>
      </c>
      <c r="L5708" s="59">
        <f t="shared" si="30"/>
        <v>0</v>
      </c>
      <c r="M5708" s="59">
        <f t="shared" si="31"/>
        <v>0</v>
      </c>
    </row>
    <row r="5709" ht="15.0" hidden="1" customHeight="1">
      <c r="A5709" s="59">
        <f t="shared" si="20"/>
        <v>92</v>
      </c>
      <c r="B5709" s="59" t="str">
        <f t="shared" si="21"/>
        <v/>
      </c>
      <c r="C5709" s="59" t="str">
        <f t="shared" si="22"/>
        <v/>
      </c>
      <c r="D5709" s="45" t="str">
        <f t="shared" si="23"/>
        <v/>
      </c>
      <c r="E5709" s="45" t="str">
        <f t="shared" si="24"/>
        <v/>
      </c>
      <c r="F5709" s="59" t="str">
        <f t="shared" si="25"/>
        <v/>
      </c>
      <c r="G5709" s="59" t="str">
        <f t="shared" si="26"/>
        <v/>
      </c>
      <c r="H5709" s="59" t="str">
        <f t="shared" si="27"/>
        <v>28C03261</v>
      </c>
      <c r="I5709" s="59" t="str">
        <f>IF(OR($A5709="",$C5709="",$D5709="",$E5709="",$H5709=""),"",SUMIFS(DATA_GOC!$H:$H,DATA_GOC!$A:$A,"BOM",DATA_GOC!$D:$D,$H5709,DATA_GOC!$E:$E,$C5709,DATA_GOC!$F:$F,"Xuất nội bộ từ téc",DATA_GOC!$B:$B,"&gt;="&amp;$D5709,DATA_GOC!$B:$B,"&lt;="&amp;$E5709))</f>
        <v/>
      </c>
      <c r="J5709" s="59">
        <f t="shared" si="28"/>
        <v>0</v>
      </c>
      <c r="K5709" s="59">
        <f t="shared" si="29"/>
        <v>0</v>
      </c>
      <c r="L5709" s="59">
        <f t="shared" si="30"/>
        <v>0</v>
      </c>
      <c r="M5709" s="59">
        <f t="shared" si="31"/>
        <v>0</v>
      </c>
    </row>
    <row r="5710" ht="15.0" hidden="1" customHeight="1">
      <c r="A5710" s="59">
        <f t="shared" si="20"/>
        <v>92</v>
      </c>
      <c r="B5710" s="59" t="str">
        <f t="shared" si="21"/>
        <v/>
      </c>
      <c r="C5710" s="59" t="str">
        <f t="shared" si="22"/>
        <v/>
      </c>
      <c r="D5710" s="45" t="str">
        <f t="shared" si="23"/>
        <v/>
      </c>
      <c r="E5710" s="45" t="str">
        <f t="shared" si="24"/>
        <v/>
      </c>
      <c r="F5710" s="59" t="str">
        <f t="shared" si="25"/>
        <v/>
      </c>
      <c r="G5710" s="59" t="str">
        <f t="shared" si="26"/>
        <v/>
      </c>
      <c r="H5710" s="59" t="str">
        <f t="shared" si="27"/>
        <v>28C03323</v>
      </c>
      <c r="I5710" s="59" t="str">
        <f>IF(OR($A5710="",$C5710="",$D5710="",$E5710="",$H5710=""),"",SUMIFS(DATA_GOC!$H:$H,DATA_GOC!$A:$A,"BOM",DATA_GOC!$D:$D,$H5710,DATA_GOC!$E:$E,$C5710,DATA_GOC!$F:$F,"Xuất nội bộ từ téc",DATA_GOC!$B:$B,"&gt;="&amp;$D5710,DATA_GOC!$B:$B,"&lt;="&amp;$E5710))</f>
        <v/>
      </c>
      <c r="J5710" s="59">
        <f t="shared" si="28"/>
        <v>0</v>
      </c>
      <c r="K5710" s="59">
        <f t="shared" si="29"/>
        <v>0</v>
      </c>
      <c r="L5710" s="59">
        <f t="shared" si="30"/>
        <v>0</v>
      </c>
      <c r="M5710" s="59">
        <f t="shared" si="31"/>
        <v>0</v>
      </c>
    </row>
    <row r="5711" ht="15.0" hidden="1" customHeight="1">
      <c r="A5711" s="59">
        <f t="shared" si="20"/>
        <v>92</v>
      </c>
      <c r="B5711" s="59" t="str">
        <f t="shared" si="21"/>
        <v/>
      </c>
      <c r="C5711" s="59" t="str">
        <f t="shared" si="22"/>
        <v/>
      </c>
      <c r="D5711" s="45" t="str">
        <f t="shared" si="23"/>
        <v/>
      </c>
      <c r="E5711" s="45" t="str">
        <f t="shared" si="24"/>
        <v/>
      </c>
      <c r="F5711" s="59" t="str">
        <f t="shared" si="25"/>
        <v/>
      </c>
      <c r="G5711" s="59" t="str">
        <f t="shared" si="26"/>
        <v/>
      </c>
      <c r="H5711" s="59" t="str">
        <f t="shared" si="27"/>
        <v>28C03385</v>
      </c>
      <c r="I5711" s="59" t="str">
        <f>IF(OR($A5711="",$C5711="",$D5711="",$E5711="",$H5711=""),"",SUMIFS(DATA_GOC!$H:$H,DATA_GOC!$A:$A,"BOM",DATA_GOC!$D:$D,$H5711,DATA_GOC!$E:$E,$C5711,DATA_GOC!$F:$F,"Xuất nội bộ từ téc",DATA_GOC!$B:$B,"&gt;="&amp;$D5711,DATA_GOC!$B:$B,"&lt;="&amp;$E5711))</f>
        <v/>
      </c>
      <c r="J5711" s="59">
        <f t="shared" si="28"/>
        <v>0</v>
      </c>
      <c r="K5711" s="59">
        <f t="shared" si="29"/>
        <v>0</v>
      </c>
      <c r="L5711" s="59">
        <f t="shared" si="30"/>
        <v>0</v>
      </c>
      <c r="M5711" s="59">
        <f t="shared" si="31"/>
        <v>0</v>
      </c>
    </row>
    <row r="5712" ht="15.0" hidden="1" customHeight="1">
      <c r="A5712" s="59">
        <f t="shared" si="20"/>
        <v>92</v>
      </c>
      <c r="B5712" s="59" t="str">
        <f t="shared" si="21"/>
        <v/>
      </c>
      <c r="C5712" s="59" t="str">
        <f t="shared" si="22"/>
        <v/>
      </c>
      <c r="D5712" s="45" t="str">
        <f t="shared" si="23"/>
        <v/>
      </c>
      <c r="E5712" s="45" t="str">
        <f t="shared" si="24"/>
        <v/>
      </c>
      <c r="F5712" s="59" t="str">
        <f t="shared" si="25"/>
        <v/>
      </c>
      <c r="G5712" s="59" t="str">
        <f t="shared" si="26"/>
        <v/>
      </c>
      <c r="H5712" s="59" t="str">
        <f t="shared" si="27"/>
        <v>28C03652</v>
      </c>
      <c r="I5712" s="59" t="str">
        <f>IF(OR($A5712="",$C5712="",$D5712="",$E5712="",$H5712=""),"",SUMIFS(DATA_GOC!$H:$H,DATA_GOC!$A:$A,"BOM",DATA_GOC!$D:$D,$H5712,DATA_GOC!$E:$E,$C5712,DATA_GOC!$F:$F,"Xuất nội bộ từ téc",DATA_GOC!$B:$B,"&gt;="&amp;$D5712,DATA_GOC!$B:$B,"&lt;="&amp;$E5712))</f>
        <v/>
      </c>
      <c r="J5712" s="59">
        <f t="shared" si="28"/>
        <v>0</v>
      </c>
      <c r="K5712" s="59">
        <f t="shared" si="29"/>
        <v>0</v>
      </c>
      <c r="L5712" s="59">
        <f t="shared" si="30"/>
        <v>0</v>
      </c>
      <c r="M5712" s="59">
        <f t="shared" si="31"/>
        <v>0</v>
      </c>
    </row>
    <row r="5713" ht="15.0" hidden="1" customHeight="1">
      <c r="A5713" s="59">
        <f t="shared" si="20"/>
        <v>92</v>
      </c>
      <c r="B5713" s="59" t="str">
        <f t="shared" si="21"/>
        <v/>
      </c>
      <c r="C5713" s="59" t="str">
        <f t="shared" si="22"/>
        <v/>
      </c>
      <c r="D5713" s="45" t="str">
        <f t="shared" si="23"/>
        <v/>
      </c>
      <c r="E5713" s="45" t="str">
        <f t="shared" si="24"/>
        <v/>
      </c>
      <c r="F5713" s="59" t="str">
        <f t="shared" si="25"/>
        <v/>
      </c>
      <c r="G5713" s="59" t="str">
        <f t="shared" si="26"/>
        <v/>
      </c>
      <c r="H5713" s="59" t="str">
        <f t="shared" si="27"/>
        <v>28C03695</v>
      </c>
      <c r="I5713" s="59" t="str">
        <f>IF(OR($A5713="",$C5713="",$D5713="",$E5713="",$H5713=""),"",SUMIFS(DATA_GOC!$H:$H,DATA_GOC!$A:$A,"BOM",DATA_GOC!$D:$D,$H5713,DATA_GOC!$E:$E,$C5713,DATA_GOC!$F:$F,"Xuất nội bộ từ téc",DATA_GOC!$B:$B,"&gt;="&amp;$D5713,DATA_GOC!$B:$B,"&lt;="&amp;$E5713))</f>
        <v/>
      </c>
      <c r="J5713" s="59">
        <f t="shared" si="28"/>
        <v>0</v>
      </c>
      <c r="K5713" s="59">
        <f t="shared" si="29"/>
        <v>0</v>
      </c>
      <c r="L5713" s="59">
        <f t="shared" si="30"/>
        <v>0</v>
      </c>
      <c r="M5713" s="59">
        <f t="shared" si="31"/>
        <v>0</v>
      </c>
    </row>
    <row r="5714" ht="15.0" hidden="1" customHeight="1">
      <c r="A5714" s="59">
        <f t="shared" si="20"/>
        <v>92</v>
      </c>
      <c r="B5714" s="59" t="str">
        <f t="shared" si="21"/>
        <v/>
      </c>
      <c r="C5714" s="59" t="str">
        <f t="shared" si="22"/>
        <v/>
      </c>
      <c r="D5714" s="45" t="str">
        <f t="shared" si="23"/>
        <v/>
      </c>
      <c r="E5714" s="45" t="str">
        <f t="shared" si="24"/>
        <v/>
      </c>
      <c r="F5714" s="59" t="str">
        <f t="shared" si="25"/>
        <v/>
      </c>
      <c r="G5714" s="59" t="str">
        <f t="shared" si="26"/>
        <v/>
      </c>
      <c r="H5714" s="59" t="str">
        <f t="shared" si="27"/>
        <v>28C03927</v>
      </c>
      <c r="I5714" s="59" t="str">
        <f>IF(OR($A5714="",$C5714="",$D5714="",$E5714="",$H5714=""),"",SUMIFS(DATA_GOC!$H:$H,DATA_GOC!$A:$A,"BOM",DATA_GOC!$D:$D,$H5714,DATA_GOC!$E:$E,$C5714,DATA_GOC!$F:$F,"Xuất nội bộ từ téc",DATA_GOC!$B:$B,"&gt;="&amp;$D5714,DATA_GOC!$B:$B,"&lt;="&amp;$E5714))</f>
        <v/>
      </c>
      <c r="J5714" s="59">
        <f t="shared" si="28"/>
        <v>0</v>
      </c>
      <c r="K5714" s="59">
        <f t="shared" si="29"/>
        <v>0</v>
      </c>
      <c r="L5714" s="59">
        <f t="shared" si="30"/>
        <v>0</v>
      </c>
      <c r="M5714" s="59">
        <f t="shared" si="31"/>
        <v>0</v>
      </c>
    </row>
    <row r="5715" ht="15.0" hidden="1" customHeight="1">
      <c r="A5715" s="59">
        <f t="shared" si="20"/>
        <v>92</v>
      </c>
      <c r="B5715" s="59" t="str">
        <f t="shared" si="21"/>
        <v/>
      </c>
      <c r="C5715" s="59" t="str">
        <f t="shared" si="22"/>
        <v/>
      </c>
      <c r="D5715" s="45" t="str">
        <f t="shared" si="23"/>
        <v/>
      </c>
      <c r="E5715" s="45" t="str">
        <f t="shared" si="24"/>
        <v/>
      </c>
      <c r="F5715" s="59" t="str">
        <f t="shared" si="25"/>
        <v/>
      </c>
      <c r="G5715" s="59" t="str">
        <f t="shared" si="26"/>
        <v/>
      </c>
      <c r="H5715" s="59" t="str">
        <f t="shared" si="27"/>
        <v>28C04509</v>
      </c>
      <c r="I5715" s="59" t="str">
        <f>IF(OR($A5715="",$C5715="",$D5715="",$E5715="",$H5715=""),"",SUMIFS(DATA_GOC!$H:$H,DATA_GOC!$A:$A,"BOM",DATA_GOC!$D:$D,$H5715,DATA_GOC!$E:$E,$C5715,DATA_GOC!$F:$F,"Xuất nội bộ từ téc",DATA_GOC!$B:$B,"&gt;="&amp;$D5715,DATA_GOC!$B:$B,"&lt;="&amp;$E5715))</f>
        <v/>
      </c>
      <c r="J5715" s="59">
        <f t="shared" si="28"/>
        <v>0</v>
      </c>
      <c r="K5715" s="59">
        <f t="shared" si="29"/>
        <v>0</v>
      </c>
      <c r="L5715" s="59">
        <f t="shared" si="30"/>
        <v>0</v>
      </c>
      <c r="M5715" s="59">
        <f t="shared" si="31"/>
        <v>0</v>
      </c>
    </row>
    <row r="5716" ht="15.0" hidden="1" customHeight="1">
      <c r="A5716" s="59">
        <f t="shared" si="20"/>
        <v>92</v>
      </c>
      <c r="B5716" s="59" t="str">
        <f t="shared" si="21"/>
        <v/>
      </c>
      <c r="C5716" s="59" t="str">
        <f t="shared" si="22"/>
        <v/>
      </c>
      <c r="D5716" s="45" t="str">
        <f t="shared" si="23"/>
        <v/>
      </c>
      <c r="E5716" s="45" t="str">
        <f t="shared" si="24"/>
        <v/>
      </c>
      <c r="F5716" s="59" t="str">
        <f t="shared" si="25"/>
        <v/>
      </c>
      <c r="G5716" s="59" t="str">
        <f t="shared" si="26"/>
        <v/>
      </c>
      <c r="H5716" s="59" t="str">
        <f t="shared" si="27"/>
        <v>28C04536</v>
      </c>
      <c r="I5716" s="59" t="str">
        <f>IF(OR($A5716="",$C5716="",$D5716="",$E5716="",$H5716=""),"",SUMIFS(DATA_GOC!$H:$H,DATA_GOC!$A:$A,"BOM",DATA_GOC!$D:$D,$H5716,DATA_GOC!$E:$E,$C5716,DATA_GOC!$F:$F,"Xuất nội bộ từ téc",DATA_GOC!$B:$B,"&gt;="&amp;$D5716,DATA_GOC!$B:$B,"&lt;="&amp;$E5716))</f>
        <v/>
      </c>
      <c r="J5716" s="59">
        <f t="shared" si="28"/>
        <v>0</v>
      </c>
      <c r="K5716" s="59">
        <f t="shared" si="29"/>
        <v>0</v>
      </c>
      <c r="L5716" s="59">
        <f t="shared" si="30"/>
        <v>0</v>
      </c>
      <c r="M5716" s="59">
        <f t="shared" si="31"/>
        <v>0</v>
      </c>
    </row>
    <row r="5717" ht="15.0" hidden="1" customHeight="1">
      <c r="A5717" s="59">
        <f t="shared" si="20"/>
        <v>92</v>
      </c>
      <c r="B5717" s="59" t="str">
        <f t="shared" si="21"/>
        <v/>
      </c>
      <c r="C5717" s="59" t="str">
        <f t="shared" si="22"/>
        <v/>
      </c>
      <c r="D5717" s="45" t="str">
        <f t="shared" si="23"/>
        <v/>
      </c>
      <c r="E5717" s="45" t="str">
        <f t="shared" si="24"/>
        <v/>
      </c>
      <c r="F5717" s="59" t="str">
        <f t="shared" si="25"/>
        <v/>
      </c>
      <c r="G5717" s="59" t="str">
        <f t="shared" si="26"/>
        <v/>
      </c>
      <c r="H5717" s="59" t="str">
        <f t="shared" si="27"/>
        <v>28C04576</v>
      </c>
      <c r="I5717" s="59" t="str">
        <f>IF(OR($A5717="",$C5717="",$D5717="",$E5717="",$H5717=""),"",SUMIFS(DATA_GOC!$H:$H,DATA_GOC!$A:$A,"BOM",DATA_GOC!$D:$D,$H5717,DATA_GOC!$E:$E,$C5717,DATA_GOC!$F:$F,"Xuất nội bộ từ téc",DATA_GOC!$B:$B,"&gt;="&amp;$D5717,DATA_GOC!$B:$B,"&lt;="&amp;$E5717))</f>
        <v/>
      </c>
      <c r="J5717" s="59">
        <f t="shared" si="28"/>
        <v>0</v>
      </c>
      <c r="K5717" s="59">
        <f t="shared" si="29"/>
        <v>0</v>
      </c>
      <c r="L5717" s="59">
        <f t="shared" si="30"/>
        <v>0</v>
      </c>
      <c r="M5717" s="59">
        <f t="shared" si="31"/>
        <v>0</v>
      </c>
    </row>
    <row r="5718" ht="15.0" hidden="1" customHeight="1">
      <c r="A5718" s="59">
        <f t="shared" si="20"/>
        <v>92</v>
      </c>
      <c r="B5718" s="59" t="str">
        <f t="shared" si="21"/>
        <v/>
      </c>
      <c r="C5718" s="59" t="str">
        <f t="shared" si="22"/>
        <v/>
      </c>
      <c r="D5718" s="45" t="str">
        <f t="shared" si="23"/>
        <v/>
      </c>
      <c r="E5718" s="45" t="str">
        <f t="shared" si="24"/>
        <v/>
      </c>
      <c r="F5718" s="59" t="str">
        <f t="shared" si="25"/>
        <v/>
      </c>
      <c r="G5718" s="59" t="str">
        <f t="shared" si="26"/>
        <v/>
      </c>
      <c r="H5718" s="59" t="str">
        <f t="shared" si="27"/>
        <v>28C05090</v>
      </c>
      <c r="I5718" s="59" t="str">
        <f>IF(OR($A5718="",$C5718="",$D5718="",$E5718="",$H5718=""),"",SUMIFS(DATA_GOC!$H:$H,DATA_GOC!$A:$A,"BOM",DATA_GOC!$D:$D,$H5718,DATA_GOC!$E:$E,$C5718,DATA_GOC!$F:$F,"Xuất nội bộ từ téc",DATA_GOC!$B:$B,"&gt;="&amp;$D5718,DATA_GOC!$B:$B,"&lt;="&amp;$E5718))</f>
        <v/>
      </c>
      <c r="J5718" s="59">
        <f t="shared" si="28"/>
        <v>0</v>
      </c>
      <c r="K5718" s="59">
        <f t="shared" si="29"/>
        <v>0</v>
      </c>
      <c r="L5718" s="59">
        <f t="shared" si="30"/>
        <v>0</v>
      </c>
      <c r="M5718" s="59">
        <f t="shared" si="31"/>
        <v>0</v>
      </c>
    </row>
    <row r="5719" ht="15.0" hidden="1" customHeight="1">
      <c r="A5719" s="59">
        <f t="shared" si="20"/>
        <v>92</v>
      </c>
      <c r="B5719" s="59" t="str">
        <f t="shared" si="21"/>
        <v/>
      </c>
      <c r="C5719" s="59" t="str">
        <f t="shared" si="22"/>
        <v/>
      </c>
      <c r="D5719" s="45" t="str">
        <f t="shared" si="23"/>
        <v/>
      </c>
      <c r="E5719" s="45" t="str">
        <f t="shared" si="24"/>
        <v/>
      </c>
      <c r="F5719" s="59" t="str">
        <f t="shared" si="25"/>
        <v/>
      </c>
      <c r="G5719" s="59" t="str">
        <f t="shared" si="26"/>
        <v/>
      </c>
      <c r="H5719" s="59" t="str">
        <f t="shared" si="27"/>
        <v>28C05345</v>
      </c>
      <c r="I5719" s="59" t="str">
        <f>IF(OR($A5719="",$C5719="",$D5719="",$E5719="",$H5719=""),"",SUMIFS(DATA_GOC!$H:$H,DATA_GOC!$A:$A,"BOM",DATA_GOC!$D:$D,$H5719,DATA_GOC!$E:$E,$C5719,DATA_GOC!$F:$F,"Xuất nội bộ từ téc",DATA_GOC!$B:$B,"&gt;="&amp;$D5719,DATA_GOC!$B:$B,"&lt;="&amp;$E5719))</f>
        <v/>
      </c>
      <c r="J5719" s="59">
        <f t="shared" si="28"/>
        <v>0</v>
      </c>
      <c r="K5719" s="59">
        <f t="shared" si="29"/>
        <v>0</v>
      </c>
      <c r="L5719" s="59">
        <f t="shared" si="30"/>
        <v>0</v>
      </c>
      <c r="M5719" s="59">
        <f t="shared" si="31"/>
        <v>0</v>
      </c>
    </row>
    <row r="5720" ht="15.0" hidden="1" customHeight="1">
      <c r="A5720" s="59">
        <f t="shared" si="20"/>
        <v>92</v>
      </c>
      <c r="B5720" s="59" t="str">
        <f t="shared" si="21"/>
        <v/>
      </c>
      <c r="C5720" s="59" t="str">
        <f t="shared" si="22"/>
        <v/>
      </c>
      <c r="D5720" s="45" t="str">
        <f t="shared" si="23"/>
        <v/>
      </c>
      <c r="E5720" s="45" t="str">
        <f t="shared" si="24"/>
        <v/>
      </c>
      <c r="F5720" s="59" t="str">
        <f t="shared" si="25"/>
        <v/>
      </c>
      <c r="G5720" s="59" t="str">
        <f t="shared" si="26"/>
        <v/>
      </c>
      <c r="H5720" s="59" t="str">
        <f t="shared" si="27"/>
        <v>28C05661</v>
      </c>
      <c r="I5720" s="59" t="str">
        <f>IF(OR($A5720="",$C5720="",$D5720="",$E5720="",$H5720=""),"",SUMIFS(DATA_GOC!$H:$H,DATA_GOC!$A:$A,"BOM",DATA_GOC!$D:$D,$H5720,DATA_GOC!$E:$E,$C5720,DATA_GOC!$F:$F,"Xuất nội bộ từ téc",DATA_GOC!$B:$B,"&gt;="&amp;$D5720,DATA_GOC!$B:$B,"&lt;="&amp;$E5720))</f>
        <v/>
      </c>
      <c r="J5720" s="59">
        <f t="shared" si="28"/>
        <v>0</v>
      </c>
      <c r="K5720" s="59">
        <f t="shared" si="29"/>
        <v>0</v>
      </c>
      <c r="L5720" s="59">
        <f t="shared" si="30"/>
        <v>0</v>
      </c>
      <c r="M5720" s="59">
        <f t="shared" si="31"/>
        <v>0</v>
      </c>
    </row>
    <row r="5721" ht="15.0" hidden="1" customHeight="1">
      <c r="A5721" s="59">
        <f t="shared" si="20"/>
        <v>92</v>
      </c>
      <c r="B5721" s="59" t="str">
        <f t="shared" si="21"/>
        <v/>
      </c>
      <c r="C5721" s="59" t="str">
        <f t="shared" si="22"/>
        <v/>
      </c>
      <c r="D5721" s="45" t="str">
        <f t="shared" si="23"/>
        <v/>
      </c>
      <c r="E5721" s="45" t="str">
        <f t="shared" si="24"/>
        <v/>
      </c>
      <c r="F5721" s="59" t="str">
        <f t="shared" si="25"/>
        <v/>
      </c>
      <c r="G5721" s="59" t="str">
        <f t="shared" si="26"/>
        <v/>
      </c>
      <c r="H5721" s="59" t="str">
        <f t="shared" si="27"/>
        <v>28C05739</v>
      </c>
      <c r="I5721" s="59" t="str">
        <f>IF(OR($A5721="",$C5721="",$D5721="",$E5721="",$H5721=""),"",SUMIFS(DATA_GOC!$H:$H,DATA_GOC!$A:$A,"BOM",DATA_GOC!$D:$D,$H5721,DATA_GOC!$E:$E,$C5721,DATA_GOC!$F:$F,"Xuất nội bộ từ téc",DATA_GOC!$B:$B,"&gt;="&amp;$D5721,DATA_GOC!$B:$B,"&lt;="&amp;$E5721))</f>
        <v/>
      </c>
      <c r="J5721" s="59">
        <f t="shared" si="28"/>
        <v>0</v>
      </c>
      <c r="K5721" s="59">
        <f t="shared" si="29"/>
        <v>0</v>
      </c>
      <c r="L5721" s="59">
        <f t="shared" si="30"/>
        <v>0</v>
      </c>
      <c r="M5721" s="59">
        <f t="shared" si="31"/>
        <v>0</v>
      </c>
    </row>
    <row r="5722" ht="15.0" hidden="1" customHeight="1">
      <c r="A5722" s="59">
        <f t="shared" si="20"/>
        <v>92</v>
      </c>
      <c r="B5722" s="59" t="str">
        <f t="shared" si="21"/>
        <v/>
      </c>
      <c r="C5722" s="59" t="str">
        <f t="shared" si="22"/>
        <v/>
      </c>
      <c r="D5722" s="45" t="str">
        <f t="shared" si="23"/>
        <v/>
      </c>
      <c r="E5722" s="45" t="str">
        <f t="shared" si="24"/>
        <v/>
      </c>
      <c r="F5722" s="59" t="str">
        <f t="shared" si="25"/>
        <v/>
      </c>
      <c r="G5722" s="59" t="str">
        <f t="shared" si="26"/>
        <v/>
      </c>
      <c r="H5722" s="59" t="str">
        <f t="shared" si="27"/>
        <v>28C06369</v>
      </c>
      <c r="I5722" s="59" t="str">
        <f>IF(OR($A5722="",$C5722="",$D5722="",$E5722="",$H5722=""),"",SUMIFS(DATA_GOC!$H:$H,DATA_GOC!$A:$A,"BOM",DATA_GOC!$D:$D,$H5722,DATA_GOC!$E:$E,$C5722,DATA_GOC!$F:$F,"Xuất nội bộ từ téc",DATA_GOC!$B:$B,"&gt;="&amp;$D5722,DATA_GOC!$B:$B,"&lt;="&amp;$E5722))</f>
        <v/>
      </c>
      <c r="J5722" s="59">
        <f t="shared" si="28"/>
        <v>0</v>
      </c>
      <c r="K5722" s="59">
        <f t="shared" si="29"/>
        <v>0</v>
      </c>
      <c r="L5722" s="59">
        <f t="shared" si="30"/>
        <v>0</v>
      </c>
      <c r="M5722" s="59">
        <f t="shared" si="31"/>
        <v>0</v>
      </c>
    </row>
    <row r="5723" ht="15.0" hidden="1" customHeight="1">
      <c r="A5723" s="59">
        <f t="shared" si="20"/>
        <v>92</v>
      </c>
      <c r="B5723" s="59" t="str">
        <f t="shared" si="21"/>
        <v/>
      </c>
      <c r="C5723" s="59" t="str">
        <f t="shared" si="22"/>
        <v/>
      </c>
      <c r="D5723" s="45" t="str">
        <f t="shared" si="23"/>
        <v/>
      </c>
      <c r="E5723" s="45" t="str">
        <f t="shared" si="24"/>
        <v/>
      </c>
      <c r="F5723" s="59" t="str">
        <f t="shared" si="25"/>
        <v/>
      </c>
      <c r="G5723" s="59" t="str">
        <f t="shared" si="26"/>
        <v/>
      </c>
      <c r="H5723" s="59" t="str">
        <f t="shared" si="27"/>
        <v>28C06447</v>
      </c>
      <c r="I5723" s="59" t="str">
        <f>IF(OR($A5723="",$C5723="",$D5723="",$E5723="",$H5723=""),"",SUMIFS(DATA_GOC!$H:$H,DATA_GOC!$A:$A,"BOM",DATA_GOC!$D:$D,$H5723,DATA_GOC!$E:$E,$C5723,DATA_GOC!$F:$F,"Xuất nội bộ từ téc",DATA_GOC!$B:$B,"&gt;="&amp;$D5723,DATA_GOC!$B:$B,"&lt;="&amp;$E5723))</f>
        <v/>
      </c>
      <c r="J5723" s="59">
        <f t="shared" si="28"/>
        <v>0</v>
      </c>
      <c r="K5723" s="59">
        <f t="shared" si="29"/>
        <v>0</v>
      </c>
      <c r="L5723" s="59">
        <f t="shared" si="30"/>
        <v>0</v>
      </c>
      <c r="M5723" s="59">
        <f t="shared" si="31"/>
        <v>0</v>
      </c>
    </row>
    <row r="5724" ht="15.0" hidden="1" customHeight="1">
      <c r="A5724" s="59">
        <f t="shared" si="20"/>
        <v>92</v>
      </c>
      <c r="B5724" s="59" t="str">
        <f t="shared" si="21"/>
        <v/>
      </c>
      <c r="C5724" s="59" t="str">
        <f t="shared" si="22"/>
        <v/>
      </c>
      <c r="D5724" s="45" t="str">
        <f t="shared" si="23"/>
        <v/>
      </c>
      <c r="E5724" s="45" t="str">
        <f t="shared" si="24"/>
        <v/>
      </c>
      <c r="F5724" s="59" t="str">
        <f t="shared" si="25"/>
        <v/>
      </c>
      <c r="G5724" s="59" t="str">
        <f t="shared" si="26"/>
        <v/>
      </c>
      <c r="H5724" s="59" t="str">
        <f t="shared" si="27"/>
        <v>28H00003</v>
      </c>
      <c r="I5724" s="59" t="str">
        <f>IF(OR($A5724="",$C5724="",$D5724="",$E5724="",$H5724=""),"",SUMIFS(DATA_GOC!$H:$H,DATA_GOC!$A:$A,"BOM",DATA_GOC!$D:$D,$H5724,DATA_GOC!$E:$E,$C5724,DATA_GOC!$F:$F,"Xuất nội bộ từ téc",DATA_GOC!$B:$B,"&gt;="&amp;$D5724,DATA_GOC!$B:$B,"&lt;="&amp;$E5724))</f>
        <v/>
      </c>
      <c r="J5724" s="59">
        <f t="shared" si="28"/>
        <v>0</v>
      </c>
      <c r="K5724" s="59">
        <f t="shared" si="29"/>
        <v>0</v>
      </c>
      <c r="L5724" s="59">
        <f t="shared" si="30"/>
        <v>0</v>
      </c>
      <c r="M5724" s="59">
        <f t="shared" si="31"/>
        <v>0</v>
      </c>
    </row>
    <row r="5725" ht="15.0" hidden="1" customHeight="1">
      <c r="A5725" s="59">
        <f t="shared" si="20"/>
        <v>92</v>
      </c>
      <c r="B5725" s="59" t="str">
        <f t="shared" si="21"/>
        <v/>
      </c>
      <c r="C5725" s="59" t="str">
        <f t="shared" si="22"/>
        <v/>
      </c>
      <c r="D5725" s="45" t="str">
        <f t="shared" si="23"/>
        <v/>
      </c>
      <c r="E5725" s="45" t="str">
        <f t="shared" si="24"/>
        <v/>
      </c>
      <c r="F5725" s="59" t="str">
        <f t="shared" si="25"/>
        <v/>
      </c>
      <c r="G5725" s="59" t="str">
        <f t="shared" si="26"/>
        <v/>
      </c>
      <c r="H5725" s="59" t="str">
        <f t="shared" si="27"/>
        <v>28H00061</v>
      </c>
      <c r="I5725" s="59" t="str">
        <f>IF(OR($A5725="",$C5725="",$D5725="",$E5725="",$H5725=""),"",SUMIFS(DATA_GOC!$H:$H,DATA_GOC!$A:$A,"BOM",DATA_GOC!$D:$D,$H5725,DATA_GOC!$E:$E,$C5725,DATA_GOC!$F:$F,"Xuất nội bộ từ téc",DATA_GOC!$B:$B,"&gt;="&amp;$D5725,DATA_GOC!$B:$B,"&lt;="&amp;$E5725))</f>
        <v/>
      </c>
      <c r="J5725" s="59">
        <f t="shared" si="28"/>
        <v>0</v>
      </c>
      <c r="K5725" s="59">
        <f t="shared" si="29"/>
        <v>0</v>
      </c>
      <c r="L5725" s="59">
        <f t="shared" si="30"/>
        <v>0</v>
      </c>
      <c r="M5725" s="59">
        <f t="shared" si="31"/>
        <v>0</v>
      </c>
    </row>
    <row r="5726" ht="15.0" hidden="1" customHeight="1">
      <c r="A5726" s="59">
        <f t="shared" si="20"/>
        <v>92</v>
      </c>
      <c r="B5726" s="59" t="str">
        <f t="shared" si="21"/>
        <v/>
      </c>
      <c r="C5726" s="59" t="str">
        <f t="shared" si="22"/>
        <v/>
      </c>
      <c r="D5726" s="45" t="str">
        <f t="shared" si="23"/>
        <v/>
      </c>
      <c r="E5726" s="45" t="str">
        <f t="shared" si="24"/>
        <v/>
      </c>
      <c r="F5726" s="59" t="str">
        <f t="shared" si="25"/>
        <v/>
      </c>
      <c r="G5726" s="59" t="str">
        <f t="shared" si="26"/>
        <v/>
      </c>
      <c r="H5726" s="59" t="str">
        <f t="shared" si="27"/>
        <v>28H00354</v>
      </c>
      <c r="I5726" s="59" t="str">
        <f>IF(OR($A5726="",$C5726="",$D5726="",$E5726="",$H5726=""),"",SUMIFS(DATA_GOC!$H:$H,DATA_GOC!$A:$A,"BOM",DATA_GOC!$D:$D,$H5726,DATA_GOC!$E:$E,$C5726,DATA_GOC!$F:$F,"Xuất nội bộ từ téc",DATA_GOC!$B:$B,"&gt;="&amp;$D5726,DATA_GOC!$B:$B,"&lt;="&amp;$E5726))</f>
        <v/>
      </c>
      <c r="J5726" s="59">
        <f t="shared" si="28"/>
        <v>0</v>
      </c>
      <c r="K5726" s="59">
        <f t="shared" si="29"/>
        <v>0</v>
      </c>
      <c r="L5726" s="59">
        <f t="shared" si="30"/>
        <v>0</v>
      </c>
      <c r="M5726" s="59">
        <f t="shared" si="31"/>
        <v>0</v>
      </c>
    </row>
    <row r="5727" ht="15.0" hidden="1" customHeight="1">
      <c r="A5727" s="59">
        <f t="shared" si="20"/>
        <v>92</v>
      </c>
      <c r="B5727" s="59" t="str">
        <f t="shared" si="21"/>
        <v/>
      </c>
      <c r="C5727" s="59" t="str">
        <f t="shared" si="22"/>
        <v/>
      </c>
      <c r="D5727" s="45" t="str">
        <f t="shared" si="23"/>
        <v/>
      </c>
      <c r="E5727" s="45" t="str">
        <f t="shared" si="24"/>
        <v/>
      </c>
      <c r="F5727" s="59" t="str">
        <f t="shared" si="25"/>
        <v/>
      </c>
      <c r="G5727" s="59" t="str">
        <f t="shared" si="26"/>
        <v/>
      </c>
      <c r="H5727" s="59" t="str">
        <f t="shared" si="27"/>
        <v>28H00603</v>
      </c>
      <c r="I5727" s="59" t="str">
        <f>IF(OR($A5727="",$C5727="",$D5727="",$E5727="",$H5727=""),"",SUMIFS(DATA_GOC!$H:$H,DATA_GOC!$A:$A,"BOM",DATA_GOC!$D:$D,$H5727,DATA_GOC!$E:$E,$C5727,DATA_GOC!$F:$F,"Xuất nội bộ từ téc",DATA_GOC!$B:$B,"&gt;="&amp;$D5727,DATA_GOC!$B:$B,"&lt;="&amp;$E5727))</f>
        <v/>
      </c>
      <c r="J5727" s="59">
        <f t="shared" si="28"/>
        <v>0</v>
      </c>
      <c r="K5727" s="59">
        <f t="shared" si="29"/>
        <v>0</v>
      </c>
      <c r="L5727" s="59">
        <f t="shared" si="30"/>
        <v>0</v>
      </c>
      <c r="M5727" s="59">
        <f t="shared" si="31"/>
        <v>0</v>
      </c>
    </row>
    <row r="5728" ht="15.0" hidden="1" customHeight="1">
      <c r="A5728" s="59">
        <f t="shared" si="20"/>
        <v>92</v>
      </c>
      <c r="B5728" s="59" t="str">
        <f t="shared" si="21"/>
        <v/>
      </c>
      <c r="C5728" s="59" t="str">
        <f t="shared" si="22"/>
        <v/>
      </c>
      <c r="D5728" s="45" t="str">
        <f t="shared" si="23"/>
        <v/>
      </c>
      <c r="E5728" s="45" t="str">
        <f t="shared" si="24"/>
        <v/>
      </c>
      <c r="F5728" s="59" t="str">
        <f t="shared" si="25"/>
        <v/>
      </c>
      <c r="G5728" s="59" t="str">
        <f t="shared" si="26"/>
        <v/>
      </c>
      <c r="H5728" s="59" t="str">
        <f t="shared" si="27"/>
        <v>28H00609</v>
      </c>
      <c r="I5728" s="59" t="str">
        <f>IF(OR($A5728="",$C5728="",$D5728="",$E5728="",$H5728=""),"",SUMIFS(DATA_GOC!$H:$H,DATA_GOC!$A:$A,"BOM",DATA_GOC!$D:$D,$H5728,DATA_GOC!$E:$E,$C5728,DATA_GOC!$F:$F,"Xuất nội bộ từ téc",DATA_GOC!$B:$B,"&gt;="&amp;$D5728,DATA_GOC!$B:$B,"&lt;="&amp;$E5728))</f>
        <v/>
      </c>
      <c r="J5728" s="59">
        <f t="shared" si="28"/>
        <v>0</v>
      </c>
      <c r="K5728" s="59">
        <f t="shared" si="29"/>
        <v>0</v>
      </c>
      <c r="L5728" s="59">
        <f t="shared" si="30"/>
        <v>0</v>
      </c>
      <c r="M5728" s="59">
        <f t="shared" si="31"/>
        <v>0</v>
      </c>
    </row>
    <row r="5729" ht="15.0" hidden="1" customHeight="1">
      <c r="A5729" s="59">
        <f t="shared" si="20"/>
        <v>92</v>
      </c>
      <c r="B5729" s="59" t="str">
        <f t="shared" si="21"/>
        <v/>
      </c>
      <c r="C5729" s="59" t="str">
        <f t="shared" si="22"/>
        <v/>
      </c>
      <c r="D5729" s="45" t="str">
        <f t="shared" si="23"/>
        <v/>
      </c>
      <c r="E5729" s="45" t="str">
        <f t="shared" si="24"/>
        <v/>
      </c>
      <c r="F5729" s="59" t="str">
        <f t="shared" si="25"/>
        <v/>
      </c>
      <c r="G5729" s="59" t="str">
        <f t="shared" si="26"/>
        <v/>
      </c>
      <c r="H5729" s="59" t="str">
        <f t="shared" si="27"/>
        <v>28H00669</v>
      </c>
      <c r="I5729" s="59" t="str">
        <f>IF(OR($A5729="",$C5729="",$D5729="",$E5729="",$H5729=""),"",SUMIFS(DATA_GOC!$H:$H,DATA_GOC!$A:$A,"BOM",DATA_GOC!$D:$D,$H5729,DATA_GOC!$E:$E,$C5729,DATA_GOC!$F:$F,"Xuất nội bộ từ téc",DATA_GOC!$B:$B,"&gt;="&amp;$D5729,DATA_GOC!$B:$B,"&lt;="&amp;$E5729))</f>
        <v/>
      </c>
      <c r="J5729" s="59">
        <f t="shared" si="28"/>
        <v>0</v>
      </c>
      <c r="K5729" s="59">
        <f t="shared" si="29"/>
        <v>0</v>
      </c>
      <c r="L5729" s="59">
        <f t="shared" si="30"/>
        <v>0</v>
      </c>
      <c r="M5729" s="59">
        <f t="shared" si="31"/>
        <v>0</v>
      </c>
    </row>
    <row r="5730" ht="15.0" hidden="1" customHeight="1">
      <c r="A5730" s="59">
        <f t="shared" si="20"/>
        <v>92</v>
      </c>
      <c r="B5730" s="59" t="str">
        <f t="shared" si="21"/>
        <v/>
      </c>
      <c r="C5730" s="59" t="str">
        <f t="shared" si="22"/>
        <v/>
      </c>
      <c r="D5730" s="45" t="str">
        <f t="shared" si="23"/>
        <v/>
      </c>
      <c r="E5730" s="45" t="str">
        <f t="shared" si="24"/>
        <v/>
      </c>
      <c r="F5730" s="59" t="str">
        <f t="shared" si="25"/>
        <v/>
      </c>
      <c r="G5730" s="59" t="str">
        <f t="shared" si="26"/>
        <v/>
      </c>
      <c r="H5730" s="59" t="str">
        <f t="shared" si="27"/>
        <v>28H00680</v>
      </c>
      <c r="I5730" s="59" t="str">
        <f>IF(OR($A5730="",$C5730="",$D5730="",$E5730="",$H5730=""),"",SUMIFS(DATA_GOC!$H:$H,DATA_GOC!$A:$A,"BOM",DATA_GOC!$D:$D,$H5730,DATA_GOC!$E:$E,$C5730,DATA_GOC!$F:$F,"Xuất nội bộ từ téc",DATA_GOC!$B:$B,"&gt;="&amp;$D5730,DATA_GOC!$B:$B,"&lt;="&amp;$E5730))</f>
        <v/>
      </c>
      <c r="J5730" s="59">
        <f t="shared" si="28"/>
        <v>0</v>
      </c>
      <c r="K5730" s="59">
        <f t="shared" si="29"/>
        <v>0</v>
      </c>
      <c r="L5730" s="59">
        <f t="shared" si="30"/>
        <v>0</v>
      </c>
      <c r="M5730" s="59">
        <f t="shared" si="31"/>
        <v>0</v>
      </c>
    </row>
    <row r="5731" ht="15.0" hidden="1" customHeight="1">
      <c r="A5731" s="59">
        <f t="shared" si="20"/>
        <v>92</v>
      </c>
      <c r="B5731" s="59" t="str">
        <f t="shared" si="21"/>
        <v/>
      </c>
      <c r="C5731" s="59" t="str">
        <f t="shared" si="22"/>
        <v/>
      </c>
      <c r="D5731" s="45" t="str">
        <f t="shared" si="23"/>
        <v/>
      </c>
      <c r="E5731" s="45" t="str">
        <f t="shared" si="24"/>
        <v/>
      </c>
      <c r="F5731" s="59" t="str">
        <f t="shared" si="25"/>
        <v/>
      </c>
      <c r="G5731" s="59" t="str">
        <f t="shared" si="26"/>
        <v/>
      </c>
      <c r="H5731" s="59" t="str">
        <f t="shared" si="27"/>
        <v>28H01070</v>
      </c>
      <c r="I5731" s="59" t="str">
        <f>IF(OR($A5731="",$C5731="",$D5731="",$E5731="",$H5731=""),"",SUMIFS(DATA_GOC!$H:$H,DATA_GOC!$A:$A,"BOM",DATA_GOC!$D:$D,$H5731,DATA_GOC!$E:$E,$C5731,DATA_GOC!$F:$F,"Xuất nội bộ từ téc",DATA_GOC!$B:$B,"&gt;="&amp;$D5731,DATA_GOC!$B:$B,"&lt;="&amp;$E5731))</f>
        <v/>
      </c>
      <c r="J5731" s="59">
        <f t="shared" si="28"/>
        <v>0</v>
      </c>
      <c r="K5731" s="59">
        <f t="shared" si="29"/>
        <v>0</v>
      </c>
      <c r="L5731" s="59">
        <f t="shared" si="30"/>
        <v>0</v>
      </c>
      <c r="M5731" s="59">
        <f t="shared" si="31"/>
        <v>0</v>
      </c>
    </row>
    <row r="5732" ht="15.0" hidden="1" customHeight="1">
      <c r="A5732" s="59">
        <f t="shared" si="20"/>
        <v>92</v>
      </c>
      <c r="B5732" s="59" t="str">
        <f t="shared" si="21"/>
        <v/>
      </c>
      <c r="C5732" s="59" t="str">
        <f t="shared" si="22"/>
        <v/>
      </c>
      <c r="D5732" s="45" t="str">
        <f t="shared" si="23"/>
        <v/>
      </c>
      <c r="E5732" s="45" t="str">
        <f t="shared" si="24"/>
        <v/>
      </c>
      <c r="F5732" s="59" t="str">
        <f t="shared" si="25"/>
        <v/>
      </c>
      <c r="G5732" s="59" t="str">
        <f t="shared" si="26"/>
        <v/>
      </c>
      <c r="H5732" s="59" t="str">
        <f t="shared" si="27"/>
        <v>28H01364</v>
      </c>
      <c r="I5732" s="59" t="str">
        <f>IF(OR($A5732="",$C5732="",$D5732="",$E5732="",$H5732=""),"",SUMIFS(DATA_GOC!$H:$H,DATA_GOC!$A:$A,"BOM",DATA_GOC!$D:$D,$H5732,DATA_GOC!$E:$E,$C5732,DATA_GOC!$F:$F,"Xuất nội bộ từ téc",DATA_GOC!$B:$B,"&gt;="&amp;$D5732,DATA_GOC!$B:$B,"&lt;="&amp;$E5732))</f>
        <v/>
      </c>
      <c r="J5732" s="59">
        <f t="shared" si="28"/>
        <v>0</v>
      </c>
      <c r="K5732" s="59">
        <f t="shared" si="29"/>
        <v>0</v>
      </c>
      <c r="L5732" s="59">
        <f t="shared" si="30"/>
        <v>0</v>
      </c>
      <c r="M5732" s="59">
        <f t="shared" si="31"/>
        <v>0</v>
      </c>
    </row>
    <row r="5733" ht="15.0" hidden="1" customHeight="1">
      <c r="A5733" s="59">
        <f t="shared" si="20"/>
        <v>92</v>
      </c>
      <c r="B5733" s="59" t="str">
        <f t="shared" si="21"/>
        <v/>
      </c>
      <c r="C5733" s="59" t="str">
        <f t="shared" si="22"/>
        <v/>
      </c>
      <c r="D5733" s="45" t="str">
        <f t="shared" si="23"/>
        <v/>
      </c>
      <c r="E5733" s="45" t="str">
        <f t="shared" si="24"/>
        <v/>
      </c>
      <c r="F5733" s="59" t="str">
        <f t="shared" si="25"/>
        <v/>
      </c>
      <c r="G5733" s="59" t="str">
        <f t="shared" si="26"/>
        <v/>
      </c>
      <c r="H5733" s="59" t="str">
        <f t="shared" si="27"/>
        <v>29E17269</v>
      </c>
      <c r="I5733" s="59" t="str">
        <f>IF(OR($A5733="",$C5733="",$D5733="",$E5733="",$H5733=""),"",SUMIFS(DATA_GOC!$H:$H,DATA_GOC!$A:$A,"BOM",DATA_GOC!$D:$D,$H5733,DATA_GOC!$E:$E,$C5733,DATA_GOC!$F:$F,"Xuất nội bộ từ téc",DATA_GOC!$B:$B,"&gt;="&amp;$D5733,DATA_GOC!$B:$B,"&lt;="&amp;$E5733))</f>
        <v/>
      </c>
      <c r="J5733" s="59">
        <f t="shared" si="28"/>
        <v>0</v>
      </c>
      <c r="K5733" s="59">
        <f t="shared" si="29"/>
        <v>0</v>
      </c>
      <c r="L5733" s="59">
        <f t="shared" si="30"/>
        <v>0</v>
      </c>
      <c r="M5733" s="59">
        <f t="shared" si="31"/>
        <v>0</v>
      </c>
    </row>
    <row r="5734" ht="15.0" hidden="1" customHeight="1">
      <c r="A5734" s="59">
        <f t="shared" si="20"/>
        <v>92</v>
      </c>
      <c r="B5734" s="59" t="str">
        <f t="shared" si="21"/>
        <v/>
      </c>
      <c r="C5734" s="59" t="str">
        <f t="shared" si="22"/>
        <v/>
      </c>
      <c r="D5734" s="45" t="str">
        <f t="shared" si="23"/>
        <v/>
      </c>
      <c r="E5734" s="45" t="str">
        <f t="shared" si="24"/>
        <v/>
      </c>
      <c r="F5734" s="59" t="str">
        <f t="shared" si="25"/>
        <v/>
      </c>
      <c r="G5734" s="59" t="str">
        <f t="shared" si="26"/>
        <v/>
      </c>
      <c r="H5734" s="59" t="str">
        <f t="shared" si="27"/>
        <v>29E17273</v>
      </c>
      <c r="I5734" s="59" t="str">
        <f>IF(OR($A5734="",$C5734="",$D5734="",$E5734="",$H5734=""),"",SUMIFS(DATA_GOC!$H:$H,DATA_GOC!$A:$A,"BOM",DATA_GOC!$D:$D,$H5734,DATA_GOC!$E:$E,$C5734,DATA_GOC!$F:$F,"Xuất nội bộ từ téc",DATA_GOC!$B:$B,"&gt;="&amp;$D5734,DATA_GOC!$B:$B,"&lt;="&amp;$E5734))</f>
        <v/>
      </c>
      <c r="J5734" s="59">
        <f t="shared" si="28"/>
        <v>0</v>
      </c>
      <c r="K5734" s="59">
        <f t="shared" si="29"/>
        <v>0</v>
      </c>
      <c r="L5734" s="59">
        <f t="shared" si="30"/>
        <v>0</v>
      </c>
      <c r="M5734" s="59">
        <f t="shared" si="31"/>
        <v>0</v>
      </c>
    </row>
    <row r="5735" ht="15.0" hidden="1" customHeight="1">
      <c r="A5735" s="59">
        <f t="shared" si="20"/>
        <v>92</v>
      </c>
      <c r="B5735" s="59" t="str">
        <f t="shared" si="21"/>
        <v/>
      </c>
      <c r="C5735" s="59" t="str">
        <f t="shared" si="22"/>
        <v/>
      </c>
      <c r="D5735" s="45" t="str">
        <f t="shared" si="23"/>
        <v/>
      </c>
      <c r="E5735" s="45" t="str">
        <f t="shared" si="24"/>
        <v/>
      </c>
      <c r="F5735" s="59" t="str">
        <f t="shared" si="25"/>
        <v/>
      </c>
      <c r="G5735" s="59" t="str">
        <f t="shared" si="26"/>
        <v/>
      </c>
      <c r="H5735" s="59" t="str">
        <f t="shared" si="27"/>
        <v>29E17410</v>
      </c>
      <c r="I5735" s="59" t="str">
        <f>IF(OR($A5735="",$C5735="",$D5735="",$E5735="",$H5735=""),"",SUMIFS(DATA_GOC!$H:$H,DATA_GOC!$A:$A,"BOM",DATA_GOC!$D:$D,$H5735,DATA_GOC!$E:$E,$C5735,DATA_GOC!$F:$F,"Xuất nội bộ từ téc",DATA_GOC!$B:$B,"&gt;="&amp;$D5735,DATA_GOC!$B:$B,"&lt;="&amp;$E5735))</f>
        <v/>
      </c>
      <c r="J5735" s="59">
        <f t="shared" si="28"/>
        <v>0</v>
      </c>
      <c r="K5735" s="59">
        <f t="shared" si="29"/>
        <v>0</v>
      </c>
      <c r="L5735" s="59">
        <f t="shared" si="30"/>
        <v>0</v>
      </c>
      <c r="M5735" s="59">
        <f t="shared" si="31"/>
        <v>0</v>
      </c>
    </row>
    <row r="5736" ht="15.0" hidden="1" customHeight="1">
      <c r="A5736" s="59">
        <f t="shared" si="20"/>
        <v>92</v>
      </c>
      <c r="B5736" s="59" t="str">
        <f t="shared" si="21"/>
        <v/>
      </c>
      <c r="C5736" s="59" t="str">
        <f t="shared" si="22"/>
        <v/>
      </c>
      <c r="D5736" s="45" t="str">
        <f t="shared" si="23"/>
        <v/>
      </c>
      <c r="E5736" s="45" t="str">
        <f t="shared" si="24"/>
        <v/>
      </c>
      <c r="F5736" s="59" t="str">
        <f t="shared" si="25"/>
        <v/>
      </c>
      <c r="G5736" s="59" t="str">
        <f t="shared" si="26"/>
        <v/>
      </c>
      <c r="H5736" s="59" t="str">
        <f t="shared" si="27"/>
        <v>29E17417</v>
      </c>
      <c r="I5736" s="59" t="str">
        <f>IF(OR($A5736="",$C5736="",$D5736="",$E5736="",$H5736=""),"",SUMIFS(DATA_GOC!$H:$H,DATA_GOC!$A:$A,"BOM",DATA_GOC!$D:$D,$H5736,DATA_GOC!$E:$E,$C5736,DATA_GOC!$F:$F,"Xuất nội bộ từ téc",DATA_GOC!$B:$B,"&gt;="&amp;$D5736,DATA_GOC!$B:$B,"&lt;="&amp;$E5736))</f>
        <v/>
      </c>
      <c r="J5736" s="59">
        <f t="shared" si="28"/>
        <v>0</v>
      </c>
      <c r="K5736" s="59">
        <f t="shared" si="29"/>
        <v>0</v>
      </c>
      <c r="L5736" s="59">
        <f t="shared" si="30"/>
        <v>0</v>
      </c>
      <c r="M5736" s="59">
        <f t="shared" si="31"/>
        <v>0</v>
      </c>
    </row>
    <row r="5737" ht="15.0" hidden="1" customHeight="1">
      <c r="A5737" s="59">
        <f t="shared" si="20"/>
        <v>92</v>
      </c>
      <c r="B5737" s="59" t="str">
        <f t="shared" si="21"/>
        <v/>
      </c>
      <c r="C5737" s="59" t="str">
        <f t="shared" si="22"/>
        <v/>
      </c>
      <c r="D5737" s="45" t="str">
        <f t="shared" si="23"/>
        <v/>
      </c>
      <c r="E5737" s="45" t="str">
        <f t="shared" si="24"/>
        <v/>
      </c>
      <c r="F5737" s="59" t="str">
        <f t="shared" si="25"/>
        <v/>
      </c>
      <c r="G5737" s="59" t="str">
        <f t="shared" si="26"/>
        <v/>
      </c>
      <c r="H5737" s="59" t="str">
        <f t="shared" si="27"/>
        <v>29E17539</v>
      </c>
      <c r="I5737" s="59" t="str">
        <f>IF(OR($A5737="",$C5737="",$D5737="",$E5737="",$H5737=""),"",SUMIFS(DATA_GOC!$H:$H,DATA_GOC!$A:$A,"BOM",DATA_GOC!$D:$D,$H5737,DATA_GOC!$E:$E,$C5737,DATA_GOC!$F:$F,"Xuất nội bộ từ téc",DATA_GOC!$B:$B,"&gt;="&amp;$D5737,DATA_GOC!$B:$B,"&lt;="&amp;$E5737))</f>
        <v/>
      </c>
      <c r="J5737" s="59">
        <f t="shared" si="28"/>
        <v>0</v>
      </c>
      <c r="K5737" s="59">
        <f t="shared" si="29"/>
        <v>0</v>
      </c>
      <c r="L5737" s="59">
        <f t="shared" si="30"/>
        <v>0</v>
      </c>
      <c r="M5737" s="59">
        <f t="shared" si="31"/>
        <v>0</v>
      </c>
    </row>
    <row r="5738" ht="15.0" hidden="1" customHeight="1">
      <c r="A5738" s="59">
        <f t="shared" si="20"/>
        <v>92</v>
      </c>
      <c r="B5738" s="59" t="str">
        <f t="shared" si="21"/>
        <v/>
      </c>
      <c r="C5738" s="59" t="str">
        <f t="shared" si="22"/>
        <v/>
      </c>
      <c r="D5738" s="45" t="str">
        <f t="shared" si="23"/>
        <v/>
      </c>
      <c r="E5738" s="45" t="str">
        <f t="shared" si="24"/>
        <v/>
      </c>
      <c r="F5738" s="59" t="str">
        <f t="shared" si="25"/>
        <v/>
      </c>
      <c r="G5738" s="59" t="str">
        <f t="shared" si="26"/>
        <v/>
      </c>
      <c r="H5738" s="59" t="str">
        <f t="shared" si="27"/>
        <v>29E18160</v>
      </c>
      <c r="I5738" s="59" t="str">
        <f>IF(OR($A5738="",$C5738="",$D5738="",$E5738="",$H5738=""),"",SUMIFS(DATA_GOC!$H:$H,DATA_GOC!$A:$A,"BOM",DATA_GOC!$D:$D,$H5738,DATA_GOC!$E:$E,$C5738,DATA_GOC!$F:$F,"Xuất nội bộ từ téc",DATA_GOC!$B:$B,"&gt;="&amp;$D5738,DATA_GOC!$B:$B,"&lt;="&amp;$E5738))</f>
        <v/>
      </c>
      <c r="J5738" s="59">
        <f t="shared" si="28"/>
        <v>0</v>
      </c>
      <c r="K5738" s="59">
        <f t="shared" si="29"/>
        <v>0</v>
      </c>
      <c r="L5738" s="59">
        <f t="shared" si="30"/>
        <v>0</v>
      </c>
      <c r="M5738" s="59">
        <f t="shared" si="31"/>
        <v>0</v>
      </c>
    </row>
    <row r="5739" ht="15.0" hidden="1" customHeight="1">
      <c r="A5739" s="59">
        <f t="shared" si="20"/>
        <v>92</v>
      </c>
      <c r="B5739" s="59" t="str">
        <f t="shared" si="21"/>
        <v/>
      </c>
      <c r="C5739" s="59" t="str">
        <f t="shared" si="22"/>
        <v/>
      </c>
      <c r="D5739" s="45" t="str">
        <f t="shared" si="23"/>
        <v/>
      </c>
      <c r="E5739" s="45" t="str">
        <f t="shared" si="24"/>
        <v/>
      </c>
      <c r="F5739" s="59" t="str">
        <f t="shared" si="25"/>
        <v/>
      </c>
      <c r="G5739" s="59" t="str">
        <f t="shared" si="26"/>
        <v/>
      </c>
      <c r="H5739" s="59" t="str">
        <f t="shared" si="27"/>
        <v>Công trình Asphalt</v>
      </c>
      <c r="I5739" s="59" t="str">
        <f>IF(OR($A5739="",$C5739="",$D5739="",$E5739="",$H5739=""),"",SUMIFS(DATA_GOC!$H:$H,DATA_GOC!$A:$A,"BOM",DATA_GOC!$D:$D,$H5739,DATA_GOC!$E:$E,$C5739,DATA_GOC!$F:$F,"Xuất nội bộ từ téc",DATA_GOC!$B:$B,"&gt;="&amp;$D5739,DATA_GOC!$B:$B,"&lt;="&amp;$E5739))</f>
        <v/>
      </c>
      <c r="J5739" s="59">
        <f t="shared" si="28"/>
        <v>0</v>
      </c>
      <c r="K5739" s="59">
        <f t="shared" si="29"/>
        <v>0</v>
      </c>
      <c r="L5739" s="59">
        <f t="shared" si="30"/>
        <v>0</v>
      </c>
      <c r="M5739" s="59">
        <f t="shared" si="31"/>
        <v>0</v>
      </c>
    </row>
    <row r="5740" ht="15.0" hidden="1" customHeight="1">
      <c r="A5740" s="59">
        <f t="shared" si="20"/>
        <v>92</v>
      </c>
      <c r="B5740" s="59" t="str">
        <f t="shared" si="21"/>
        <v/>
      </c>
      <c r="C5740" s="59" t="str">
        <f t="shared" si="22"/>
        <v/>
      </c>
      <c r="D5740" s="45" t="str">
        <f t="shared" si="23"/>
        <v/>
      </c>
      <c r="E5740" s="45" t="str">
        <f t="shared" si="24"/>
        <v/>
      </c>
      <c r="F5740" s="59" t="str">
        <f t="shared" si="25"/>
        <v/>
      </c>
      <c r="G5740" s="59" t="str">
        <f t="shared" si="26"/>
        <v/>
      </c>
      <c r="H5740" s="59" t="str">
        <f t="shared" si="27"/>
        <v>LG53F</v>
      </c>
      <c r="I5740" s="59" t="str">
        <f>IF(OR($A5740="",$C5740="",$D5740="",$E5740="",$H5740=""),"",SUMIFS(DATA_GOC!$H:$H,DATA_GOC!$A:$A,"BOM",DATA_GOC!$D:$D,$H5740,DATA_GOC!$E:$E,$C5740,DATA_GOC!$F:$F,"Xuất nội bộ từ téc",DATA_GOC!$B:$B,"&gt;="&amp;$D5740,DATA_GOC!$B:$B,"&lt;="&amp;$E5740))</f>
        <v/>
      </c>
      <c r="J5740" s="59">
        <f t="shared" si="28"/>
        <v>0</v>
      </c>
      <c r="K5740" s="59">
        <f t="shared" si="29"/>
        <v>0</v>
      </c>
      <c r="L5740" s="59">
        <f t="shared" si="30"/>
        <v>0</v>
      </c>
      <c r="M5740" s="59">
        <f t="shared" si="31"/>
        <v>0</v>
      </c>
    </row>
    <row r="5741" ht="15.0" hidden="1" customHeight="1">
      <c r="A5741" s="59">
        <f t="shared" si="20"/>
        <v>92</v>
      </c>
      <c r="B5741" s="59" t="str">
        <f t="shared" si="21"/>
        <v/>
      </c>
      <c r="C5741" s="59" t="str">
        <f t="shared" si="22"/>
        <v/>
      </c>
      <c r="D5741" s="45" t="str">
        <f t="shared" si="23"/>
        <v/>
      </c>
      <c r="E5741" s="45" t="str">
        <f t="shared" si="24"/>
        <v/>
      </c>
      <c r="F5741" s="59" t="str">
        <f t="shared" si="25"/>
        <v/>
      </c>
      <c r="G5741" s="59" t="str">
        <f t="shared" si="26"/>
        <v/>
      </c>
      <c r="H5741" s="59" t="str">
        <f t="shared" si="27"/>
        <v>Máy phát điện</v>
      </c>
      <c r="I5741" s="59" t="str">
        <f>IF(OR($A5741="",$C5741="",$D5741="",$E5741="",$H5741=""),"",SUMIFS(DATA_GOC!$H:$H,DATA_GOC!$A:$A,"BOM",DATA_GOC!$D:$D,$H5741,DATA_GOC!$E:$E,$C5741,DATA_GOC!$F:$F,"Xuất nội bộ từ téc",DATA_GOC!$B:$B,"&gt;="&amp;$D5741,DATA_GOC!$B:$B,"&lt;="&amp;$E5741))</f>
        <v/>
      </c>
      <c r="J5741" s="59">
        <f t="shared" si="28"/>
        <v>0</v>
      </c>
      <c r="K5741" s="59">
        <f t="shared" si="29"/>
        <v>0</v>
      </c>
      <c r="L5741" s="59">
        <f t="shared" si="30"/>
        <v>0</v>
      </c>
      <c r="M5741" s="59">
        <f t="shared" si="31"/>
        <v>0</v>
      </c>
    </row>
    <row r="5742" ht="15.0" hidden="1" customHeight="1">
      <c r="A5742" s="59">
        <f t="shared" si="20"/>
        <v>92</v>
      </c>
      <c r="B5742" s="59" t="str">
        <f t="shared" si="21"/>
        <v/>
      </c>
      <c r="C5742" s="59" t="str">
        <f t="shared" si="22"/>
        <v/>
      </c>
      <c r="D5742" s="45" t="str">
        <f t="shared" si="23"/>
        <v/>
      </c>
      <c r="E5742" s="45" t="str">
        <f t="shared" si="24"/>
        <v/>
      </c>
      <c r="F5742" s="59" t="str">
        <f t="shared" si="25"/>
        <v/>
      </c>
      <c r="G5742" s="59" t="str">
        <f t="shared" si="26"/>
        <v/>
      </c>
      <c r="H5742" s="59" t="str">
        <f t="shared" si="27"/>
        <v>Máy rải thảm</v>
      </c>
      <c r="I5742" s="59" t="str">
        <f>IF(OR($A5742="",$C5742="",$D5742="",$E5742="",$H5742=""),"",SUMIFS(DATA_GOC!$H:$H,DATA_GOC!$A:$A,"BOM",DATA_GOC!$D:$D,$H5742,DATA_GOC!$E:$E,$C5742,DATA_GOC!$F:$F,"Xuất nội bộ từ téc",DATA_GOC!$B:$B,"&gt;="&amp;$D5742,DATA_GOC!$B:$B,"&lt;="&amp;$E5742))</f>
        <v/>
      </c>
      <c r="J5742" s="59">
        <f t="shared" si="28"/>
        <v>0</v>
      </c>
      <c r="K5742" s="59">
        <f t="shared" si="29"/>
        <v>0</v>
      </c>
      <c r="L5742" s="59">
        <f t="shared" si="30"/>
        <v>0</v>
      </c>
      <c r="M5742" s="59">
        <f t="shared" si="31"/>
        <v>0</v>
      </c>
    </row>
    <row r="5743" ht="15.0" hidden="1" customHeight="1">
      <c r="A5743" s="59">
        <f t="shared" si="20"/>
        <v>92</v>
      </c>
      <c r="B5743" s="59" t="str">
        <f t="shared" si="21"/>
        <v/>
      </c>
      <c r="C5743" s="59" t="str">
        <f t="shared" si="22"/>
        <v/>
      </c>
      <c r="D5743" s="45" t="str">
        <f t="shared" si="23"/>
        <v/>
      </c>
      <c r="E5743" s="45" t="str">
        <f t="shared" si="24"/>
        <v/>
      </c>
      <c r="F5743" s="59" t="str">
        <f t="shared" si="25"/>
        <v/>
      </c>
      <c r="G5743" s="59" t="str">
        <f t="shared" si="26"/>
        <v/>
      </c>
      <c r="H5743" s="59" t="str">
        <f t="shared" si="27"/>
        <v>Xúc Đào</v>
      </c>
      <c r="I5743" s="59" t="str">
        <f>IF(OR($A5743="",$C5743="",$D5743="",$E5743="",$H5743=""),"",SUMIFS(DATA_GOC!$H:$H,DATA_GOC!$A:$A,"BOM",DATA_GOC!$D:$D,$H5743,DATA_GOC!$E:$E,$C5743,DATA_GOC!$F:$F,"Xuất nội bộ từ téc",DATA_GOC!$B:$B,"&gt;="&amp;$D5743,DATA_GOC!$B:$B,"&lt;="&amp;$E5743))</f>
        <v/>
      </c>
      <c r="J5743" s="59">
        <f t="shared" si="28"/>
        <v>0</v>
      </c>
      <c r="K5743" s="59">
        <f t="shared" si="29"/>
        <v>0</v>
      </c>
      <c r="L5743" s="59">
        <f t="shared" si="30"/>
        <v>0</v>
      </c>
      <c r="M5743" s="59">
        <f t="shared" si="31"/>
        <v>0</v>
      </c>
    </row>
    <row r="5744" ht="15.0" hidden="1" customHeight="1">
      <c r="A5744" s="59">
        <f t="shared" si="20"/>
        <v>92</v>
      </c>
      <c r="B5744" s="59" t="str">
        <f t="shared" si="21"/>
        <v/>
      </c>
      <c r="C5744" s="59" t="str">
        <f t="shared" si="22"/>
        <v/>
      </c>
      <c r="D5744" s="45" t="str">
        <f t="shared" si="23"/>
        <v/>
      </c>
      <c r="E5744" s="45" t="str">
        <f t="shared" si="24"/>
        <v/>
      </c>
      <c r="F5744" s="59" t="str">
        <f t="shared" si="25"/>
        <v/>
      </c>
      <c r="G5744" s="59" t="str">
        <f t="shared" si="26"/>
        <v/>
      </c>
      <c r="H5744" s="59" t="str">
        <f t="shared" si="27"/>
        <v>Xúclật asphalt</v>
      </c>
      <c r="I5744" s="59" t="str">
        <f>IF(OR($A5744="",$C5744="",$D5744="",$E5744="",$H5744=""),"",SUMIFS(DATA_GOC!$H:$H,DATA_GOC!$A:$A,"BOM",DATA_GOC!$D:$D,$H5744,DATA_GOC!$E:$E,$C5744,DATA_GOC!$F:$F,"Xuất nội bộ từ téc",DATA_GOC!$B:$B,"&gt;="&amp;$D5744,DATA_GOC!$B:$B,"&lt;="&amp;$E5744))</f>
        <v/>
      </c>
      <c r="J5744" s="59">
        <f t="shared" si="28"/>
        <v>0</v>
      </c>
      <c r="K5744" s="59">
        <f t="shared" si="29"/>
        <v>0</v>
      </c>
      <c r="L5744" s="59">
        <f t="shared" si="30"/>
        <v>0</v>
      </c>
      <c r="M5744" s="59">
        <f t="shared" si="31"/>
        <v>0</v>
      </c>
    </row>
    <row r="5745" ht="15.0" hidden="1" customHeight="1">
      <c r="A5745" s="59">
        <f t="shared" si="20"/>
        <v>92</v>
      </c>
      <c r="B5745" s="59" t="str">
        <f t="shared" si="21"/>
        <v/>
      </c>
      <c r="C5745" s="59" t="str">
        <f t="shared" si="22"/>
        <v/>
      </c>
      <c r="D5745" s="45" t="str">
        <f t="shared" si="23"/>
        <v/>
      </c>
      <c r="E5745" s="45" t="str">
        <f t="shared" si="24"/>
        <v/>
      </c>
      <c r="F5745" s="59" t="str">
        <f t="shared" si="25"/>
        <v/>
      </c>
      <c r="G5745" s="59" t="str">
        <f t="shared" si="26"/>
        <v/>
      </c>
      <c r="H5745" s="59" t="str">
        <f t="shared" si="27"/>
        <v>Xúclật855H</v>
      </c>
      <c r="I5745" s="59" t="str">
        <f>IF(OR($A5745="",$C5745="",$D5745="",$E5745="",$H5745=""),"",SUMIFS(DATA_GOC!$H:$H,DATA_GOC!$A:$A,"BOM",DATA_GOC!$D:$D,$H5745,DATA_GOC!$E:$E,$C5745,DATA_GOC!$F:$F,"Xuất nội bộ từ téc",DATA_GOC!$B:$B,"&gt;="&amp;$D5745,DATA_GOC!$B:$B,"&lt;="&amp;$E5745))</f>
        <v/>
      </c>
      <c r="J5745" s="59">
        <f t="shared" si="28"/>
        <v>0</v>
      </c>
      <c r="K5745" s="59">
        <f t="shared" si="29"/>
        <v>0</v>
      </c>
      <c r="L5745" s="59">
        <f t="shared" si="30"/>
        <v>0</v>
      </c>
      <c r="M5745" s="59">
        <f t="shared" si="31"/>
        <v>0</v>
      </c>
    </row>
    <row r="5746" ht="15.0" hidden="1" customHeight="1">
      <c r="A5746" s="59">
        <f t="shared" si="20"/>
        <v>92</v>
      </c>
      <c r="B5746" s="59" t="str">
        <f t="shared" si="21"/>
        <v/>
      </c>
      <c r="C5746" s="59" t="str">
        <f t="shared" si="22"/>
        <v/>
      </c>
      <c r="D5746" s="45" t="str">
        <f t="shared" si="23"/>
        <v/>
      </c>
      <c r="E5746" s="45" t="str">
        <f t="shared" si="24"/>
        <v/>
      </c>
      <c r="F5746" s="59" t="str">
        <f t="shared" si="25"/>
        <v/>
      </c>
      <c r="G5746" s="59" t="str">
        <f t="shared" si="26"/>
        <v/>
      </c>
      <c r="H5746" s="59" t="str">
        <f t="shared" si="27"/>
        <v>Xúclật855N</v>
      </c>
      <c r="I5746" s="59" t="str">
        <f>IF(OR($A5746="",$C5746="",$D5746="",$E5746="",$H5746=""),"",SUMIFS(DATA_GOC!$H:$H,DATA_GOC!$A:$A,"BOM",DATA_GOC!$D:$D,$H5746,DATA_GOC!$E:$E,$C5746,DATA_GOC!$F:$F,"Xuất nội bộ từ téc",DATA_GOC!$B:$B,"&gt;="&amp;$D5746,DATA_GOC!$B:$B,"&lt;="&amp;$E5746))</f>
        <v/>
      </c>
      <c r="J5746" s="59">
        <f t="shared" si="28"/>
        <v>0</v>
      </c>
      <c r="K5746" s="59">
        <f t="shared" si="29"/>
        <v>0</v>
      </c>
      <c r="L5746" s="59">
        <f t="shared" si="30"/>
        <v>0</v>
      </c>
      <c r="M5746" s="59">
        <f t="shared" si="31"/>
        <v>0</v>
      </c>
    </row>
    <row r="5747" ht="15.0" hidden="1" customHeight="1">
      <c r="A5747" s="59">
        <f t="shared" si="20"/>
        <v>92</v>
      </c>
      <c r="B5747" s="59" t="str">
        <f t="shared" si="21"/>
        <v/>
      </c>
      <c r="C5747" s="59" t="str">
        <f t="shared" si="22"/>
        <v/>
      </c>
      <c r="D5747" s="45" t="str">
        <f t="shared" si="23"/>
        <v/>
      </c>
      <c r="E5747" s="45" t="str">
        <f t="shared" si="24"/>
        <v/>
      </c>
      <c r="F5747" s="59" t="str">
        <f t="shared" si="25"/>
        <v/>
      </c>
      <c r="G5747" s="59" t="str">
        <f t="shared" si="26"/>
        <v/>
      </c>
      <c r="H5747" s="59" t="str">
        <f t="shared" si="27"/>
        <v>Cát nghiền</v>
      </c>
      <c r="I5747" s="59" t="str">
        <f>IF(OR($A5747="",$C5747="",$D5747="",$E5747="",$H5747=""),"",SUMIFS(DATA_GOC!$H:$H,DATA_GOC!$A:$A,"BOM",DATA_GOC!$D:$D,$H5747,DATA_GOC!$E:$E,$C5747,DATA_GOC!$F:$F,"Xuất nội bộ từ téc",DATA_GOC!$B:$B,"&gt;="&amp;$D5747,DATA_GOC!$B:$B,"&lt;="&amp;$E5747))</f>
        <v/>
      </c>
      <c r="J5747" s="59">
        <f t="shared" si="28"/>
        <v>0</v>
      </c>
      <c r="K5747" s="59">
        <f t="shared" si="29"/>
        <v>0</v>
      </c>
      <c r="L5747" s="59">
        <f t="shared" si="30"/>
        <v>0</v>
      </c>
      <c r="M5747" s="59">
        <f t="shared" si="31"/>
        <v>0</v>
      </c>
    </row>
    <row r="5748" ht="15.0" hidden="1" customHeight="1">
      <c r="A5748" s="59">
        <f t="shared" si="20"/>
        <v>92</v>
      </c>
      <c r="B5748" s="59" t="str">
        <f t="shared" si="21"/>
        <v/>
      </c>
      <c r="C5748" s="59" t="str">
        <f t="shared" si="22"/>
        <v/>
      </c>
      <c r="D5748" s="45" t="str">
        <f t="shared" si="23"/>
        <v/>
      </c>
      <c r="E5748" s="45" t="str">
        <f t="shared" si="24"/>
        <v/>
      </c>
      <c r="F5748" s="59" t="str">
        <f t="shared" si="25"/>
        <v/>
      </c>
      <c r="G5748" s="59" t="str">
        <f t="shared" si="26"/>
        <v/>
      </c>
      <c r="H5748" s="59" t="str">
        <f t="shared" si="27"/>
        <v>28C02973</v>
      </c>
      <c r="I5748" s="59" t="str">
        <f>IF(OR($A5748="",$C5748="",$D5748="",$E5748="",$H5748=""),"",SUMIFS(DATA_GOC!$H:$H,DATA_GOC!$A:$A,"BOM",DATA_GOC!$D:$D,$H5748,DATA_GOC!$E:$E,$C5748,DATA_GOC!$F:$F,"Xuất nội bộ từ téc",DATA_GOC!$B:$B,"&gt;="&amp;$D5748,DATA_GOC!$B:$B,"&lt;="&amp;$E5748))</f>
        <v/>
      </c>
      <c r="J5748" s="59">
        <f t="shared" si="28"/>
        <v>0</v>
      </c>
      <c r="K5748" s="59">
        <f t="shared" si="29"/>
        <v>0</v>
      </c>
      <c r="L5748" s="59">
        <f t="shared" si="30"/>
        <v>0</v>
      </c>
      <c r="M5748" s="59">
        <f t="shared" si="31"/>
        <v>0</v>
      </c>
    </row>
    <row r="5749" ht="15.0" hidden="1" customHeight="1">
      <c r="A5749" s="59">
        <f t="shared" si="20"/>
        <v>92</v>
      </c>
      <c r="B5749" s="59" t="str">
        <f t="shared" si="21"/>
        <v/>
      </c>
      <c r="C5749" s="59" t="str">
        <f t="shared" si="22"/>
        <v/>
      </c>
      <c r="D5749" s="45" t="str">
        <f t="shared" si="23"/>
        <v/>
      </c>
      <c r="E5749" s="45" t="str">
        <f t="shared" si="24"/>
        <v/>
      </c>
      <c r="F5749" s="59" t="str">
        <f t="shared" si="25"/>
        <v/>
      </c>
      <c r="G5749" s="59" t="str">
        <f t="shared" si="26"/>
        <v/>
      </c>
      <c r="H5749" s="59" t="str">
        <f t="shared" si="27"/>
        <v>28C03044</v>
      </c>
      <c r="I5749" s="59" t="str">
        <f>IF(OR($A5749="",$C5749="",$D5749="",$E5749="",$H5749=""),"",SUMIFS(DATA_GOC!$H:$H,DATA_GOC!$A:$A,"BOM",DATA_GOC!$D:$D,$H5749,DATA_GOC!$E:$E,$C5749,DATA_GOC!$F:$F,"Xuất nội bộ từ téc",DATA_GOC!$B:$B,"&gt;="&amp;$D5749,DATA_GOC!$B:$B,"&lt;="&amp;$E5749))</f>
        <v/>
      </c>
      <c r="J5749" s="59">
        <f t="shared" si="28"/>
        <v>0</v>
      </c>
      <c r="K5749" s="59">
        <f t="shared" si="29"/>
        <v>0</v>
      </c>
      <c r="L5749" s="59">
        <f t="shared" si="30"/>
        <v>0</v>
      </c>
      <c r="M5749" s="59">
        <f t="shared" si="31"/>
        <v>0</v>
      </c>
    </row>
    <row r="5750" ht="15.0" hidden="1" customHeight="1">
      <c r="A5750" s="59">
        <f t="shared" si="20"/>
        <v>92</v>
      </c>
      <c r="B5750" s="59" t="str">
        <f t="shared" si="21"/>
        <v/>
      </c>
      <c r="C5750" s="59" t="str">
        <f t="shared" si="22"/>
        <v/>
      </c>
      <c r="D5750" s="45" t="str">
        <f t="shared" si="23"/>
        <v/>
      </c>
      <c r="E5750" s="45" t="str">
        <f t="shared" si="24"/>
        <v/>
      </c>
      <c r="F5750" s="59" t="str">
        <f t="shared" si="25"/>
        <v/>
      </c>
      <c r="G5750" s="59" t="str">
        <f t="shared" si="26"/>
        <v/>
      </c>
      <c r="H5750" s="59" t="str">
        <f t="shared" si="27"/>
        <v>Máy lu lốp</v>
      </c>
      <c r="I5750" s="59" t="str">
        <f>IF(OR($A5750="",$C5750="",$D5750="",$E5750="",$H5750=""),"",SUMIFS(DATA_GOC!$H:$H,DATA_GOC!$A:$A,"BOM",DATA_GOC!$D:$D,$H5750,DATA_GOC!$E:$E,$C5750,DATA_GOC!$F:$F,"Xuất nội bộ từ téc",DATA_GOC!$B:$B,"&gt;="&amp;$D5750,DATA_GOC!$B:$B,"&lt;="&amp;$E5750))</f>
        <v/>
      </c>
      <c r="J5750" s="59">
        <f t="shared" si="28"/>
        <v>0</v>
      </c>
      <c r="K5750" s="59">
        <f t="shared" si="29"/>
        <v>0</v>
      </c>
      <c r="L5750" s="59">
        <f t="shared" si="30"/>
        <v>0</v>
      </c>
      <c r="M5750" s="59">
        <f t="shared" si="31"/>
        <v>0</v>
      </c>
    </row>
    <row r="5751" ht="15.0" hidden="1" customHeight="1">
      <c r="A5751" s="59">
        <f t="shared" si="20"/>
        <v>92</v>
      </c>
      <c r="B5751" s="59" t="str">
        <f t="shared" si="21"/>
        <v/>
      </c>
      <c r="C5751" s="59" t="str">
        <f t="shared" si="22"/>
        <v/>
      </c>
      <c r="D5751" s="45" t="str">
        <f t="shared" si="23"/>
        <v/>
      </c>
      <c r="E5751" s="45" t="str">
        <f t="shared" si="24"/>
        <v/>
      </c>
      <c r="F5751" s="59" t="str">
        <f t="shared" si="25"/>
        <v/>
      </c>
      <c r="G5751" s="59" t="str">
        <f t="shared" si="26"/>
        <v/>
      </c>
      <c r="H5751" s="59" t="str">
        <f t="shared" si="27"/>
        <v>Xe 600148</v>
      </c>
      <c r="I5751" s="59" t="str">
        <f>IF(OR($A5751="",$C5751="",$D5751="",$E5751="",$H5751=""),"",SUMIFS(DATA_GOC!$H:$H,DATA_GOC!$A:$A,"BOM",DATA_GOC!$D:$D,$H5751,DATA_GOC!$E:$E,$C5751,DATA_GOC!$F:$F,"Xuất nội bộ từ téc",DATA_GOC!$B:$B,"&gt;="&amp;$D5751,DATA_GOC!$B:$B,"&lt;="&amp;$E5751))</f>
        <v/>
      </c>
      <c r="J5751" s="59">
        <f t="shared" si="28"/>
        <v>0</v>
      </c>
      <c r="K5751" s="59">
        <f t="shared" si="29"/>
        <v>0</v>
      </c>
      <c r="L5751" s="59">
        <f t="shared" si="30"/>
        <v>0</v>
      </c>
      <c r="M5751" s="59">
        <f t="shared" si="31"/>
        <v>0</v>
      </c>
    </row>
    <row r="5752" ht="15.0" hidden="1" customHeight="1">
      <c r="A5752" s="59">
        <f t="shared" si="20"/>
        <v>92</v>
      </c>
      <c r="B5752" s="59" t="str">
        <f t="shared" si="21"/>
        <v/>
      </c>
      <c r="C5752" s="59" t="str">
        <f t="shared" si="22"/>
        <v/>
      </c>
      <c r="D5752" s="45" t="str">
        <f t="shared" si="23"/>
        <v/>
      </c>
      <c r="E5752" s="45" t="str">
        <f t="shared" si="24"/>
        <v/>
      </c>
      <c r="F5752" s="59" t="str">
        <f t="shared" si="25"/>
        <v/>
      </c>
      <c r="G5752" s="59" t="str">
        <f t="shared" si="26"/>
        <v/>
      </c>
      <c r="H5752" s="59" t="str">
        <f t="shared" si="27"/>
        <v>Xe ben mới</v>
      </c>
      <c r="I5752" s="59" t="str">
        <f>IF(OR($A5752="",$C5752="",$D5752="",$E5752="",$H5752=""),"",SUMIFS(DATA_GOC!$H:$H,DATA_GOC!$A:$A,"BOM",DATA_GOC!$D:$D,$H5752,DATA_GOC!$E:$E,$C5752,DATA_GOC!$F:$F,"Xuất nội bộ từ téc",DATA_GOC!$B:$B,"&gt;="&amp;$D5752,DATA_GOC!$B:$B,"&lt;="&amp;$E5752))</f>
        <v/>
      </c>
      <c r="J5752" s="59">
        <f t="shared" si="28"/>
        <v>0</v>
      </c>
      <c r="K5752" s="59">
        <f t="shared" si="29"/>
        <v>0</v>
      </c>
      <c r="L5752" s="59">
        <f t="shared" si="30"/>
        <v>0</v>
      </c>
      <c r="M5752" s="59">
        <f t="shared" si="31"/>
        <v>0</v>
      </c>
    </row>
    <row r="5753" ht="15.0" hidden="1" customHeight="1">
      <c r="A5753" s="59">
        <f t="shared" si="20"/>
        <v>93</v>
      </c>
      <c r="B5753" s="59" t="str">
        <f t="shared" si="21"/>
        <v/>
      </c>
      <c r="C5753" s="59" t="str">
        <f t="shared" si="22"/>
        <v/>
      </c>
      <c r="D5753" s="45" t="str">
        <f t="shared" si="23"/>
        <v/>
      </c>
      <c r="E5753" s="45" t="str">
        <f t="shared" si="24"/>
        <v/>
      </c>
      <c r="F5753" s="59" t="str">
        <f t="shared" si="25"/>
        <v/>
      </c>
      <c r="G5753" s="59" t="str">
        <f t="shared" si="26"/>
        <v/>
      </c>
      <c r="H5753" s="59" t="str">
        <f t="shared" si="27"/>
        <v>19H09482</v>
      </c>
      <c r="I5753" s="59" t="str">
        <f>IF(OR($A5753="",$C5753="",$D5753="",$E5753="",$H5753=""),"",SUMIFS(DATA_GOC!$H:$H,DATA_GOC!$A:$A,"BOM",DATA_GOC!$D:$D,$H5753,DATA_GOC!$E:$E,$C5753,DATA_GOC!$F:$F,"Xuất nội bộ từ téc",DATA_GOC!$B:$B,"&gt;="&amp;$D5753,DATA_GOC!$B:$B,"&lt;="&amp;$E5753))</f>
        <v/>
      </c>
      <c r="J5753" s="59">
        <f t="shared" si="28"/>
        <v>0</v>
      </c>
      <c r="K5753" s="59">
        <f t="shared" si="29"/>
        <v>0</v>
      </c>
      <c r="L5753" s="59">
        <f t="shared" si="30"/>
        <v>0</v>
      </c>
      <c r="M5753" s="59">
        <f t="shared" si="31"/>
        <v>0</v>
      </c>
    </row>
    <row r="5754" ht="15.0" hidden="1" customHeight="1">
      <c r="A5754" s="59">
        <f t="shared" si="20"/>
        <v>93</v>
      </c>
      <c r="B5754" s="59" t="str">
        <f t="shared" si="21"/>
        <v/>
      </c>
      <c r="C5754" s="59" t="str">
        <f t="shared" si="22"/>
        <v/>
      </c>
      <c r="D5754" s="45" t="str">
        <f t="shared" si="23"/>
        <v/>
      </c>
      <c r="E5754" s="45" t="str">
        <f t="shared" si="24"/>
        <v/>
      </c>
      <c r="F5754" s="59" t="str">
        <f t="shared" si="25"/>
        <v/>
      </c>
      <c r="G5754" s="59" t="str">
        <f t="shared" si="26"/>
        <v/>
      </c>
      <c r="H5754" s="59" t="str">
        <f t="shared" si="27"/>
        <v>28A30696</v>
      </c>
      <c r="I5754" s="59" t="str">
        <f>IF(OR($A5754="",$C5754="",$D5754="",$E5754="",$H5754=""),"",SUMIFS(DATA_GOC!$H:$H,DATA_GOC!$A:$A,"BOM",DATA_GOC!$D:$D,$H5754,DATA_GOC!$E:$E,$C5754,DATA_GOC!$F:$F,"Xuất nội bộ từ téc",DATA_GOC!$B:$B,"&gt;="&amp;$D5754,DATA_GOC!$B:$B,"&lt;="&amp;$E5754))</f>
        <v/>
      </c>
      <c r="J5754" s="59">
        <f t="shared" si="28"/>
        <v>0</v>
      </c>
      <c r="K5754" s="59">
        <f t="shared" si="29"/>
        <v>0</v>
      </c>
      <c r="L5754" s="59">
        <f t="shared" si="30"/>
        <v>0</v>
      </c>
      <c r="M5754" s="59">
        <f t="shared" si="31"/>
        <v>0</v>
      </c>
    </row>
    <row r="5755" ht="15.0" hidden="1" customHeight="1">
      <c r="A5755" s="59">
        <f t="shared" si="20"/>
        <v>93</v>
      </c>
      <c r="B5755" s="59" t="str">
        <f t="shared" si="21"/>
        <v/>
      </c>
      <c r="C5755" s="59" t="str">
        <f t="shared" si="22"/>
        <v/>
      </c>
      <c r="D5755" s="45" t="str">
        <f t="shared" si="23"/>
        <v/>
      </c>
      <c r="E5755" s="45" t="str">
        <f t="shared" si="24"/>
        <v/>
      </c>
      <c r="F5755" s="59" t="str">
        <f t="shared" si="25"/>
        <v/>
      </c>
      <c r="G5755" s="59" t="str">
        <f t="shared" si="26"/>
        <v/>
      </c>
      <c r="H5755" s="59" t="str">
        <f t="shared" si="27"/>
        <v>28C00462</v>
      </c>
      <c r="I5755" s="59" t="str">
        <f>IF(OR($A5755="",$C5755="",$D5755="",$E5755="",$H5755=""),"",SUMIFS(DATA_GOC!$H:$H,DATA_GOC!$A:$A,"BOM",DATA_GOC!$D:$D,$H5755,DATA_GOC!$E:$E,$C5755,DATA_GOC!$F:$F,"Xuất nội bộ từ téc",DATA_GOC!$B:$B,"&gt;="&amp;$D5755,DATA_GOC!$B:$B,"&lt;="&amp;$E5755))</f>
        <v/>
      </c>
      <c r="J5755" s="59">
        <f t="shared" si="28"/>
        <v>0</v>
      </c>
      <c r="K5755" s="59">
        <f t="shared" si="29"/>
        <v>0</v>
      </c>
      <c r="L5755" s="59">
        <f t="shared" si="30"/>
        <v>0</v>
      </c>
      <c r="M5755" s="59">
        <f t="shared" si="31"/>
        <v>0</v>
      </c>
    </row>
    <row r="5756" ht="15.0" hidden="1" customHeight="1">
      <c r="A5756" s="59">
        <f t="shared" si="20"/>
        <v>93</v>
      </c>
      <c r="B5756" s="59" t="str">
        <f t="shared" si="21"/>
        <v/>
      </c>
      <c r="C5756" s="59" t="str">
        <f t="shared" si="22"/>
        <v/>
      </c>
      <c r="D5756" s="45" t="str">
        <f t="shared" si="23"/>
        <v/>
      </c>
      <c r="E5756" s="45" t="str">
        <f t="shared" si="24"/>
        <v/>
      </c>
      <c r="F5756" s="59" t="str">
        <f t="shared" si="25"/>
        <v/>
      </c>
      <c r="G5756" s="59" t="str">
        <f t="shared" si="26"/>
        <v/>
      </c>
      <c r="H5756" s="59" t="str">
        <f t="shared" si="27"/>
        <v>28C01165</v>
      </c>
      <c r="I5756" s="59" t="str">
        <f>IF(OR($A5756="",$C5756="",$D5756="",$E5756="",$H5756=""),"",SUMIFS(DATA_GOC!$H:$H,DATA_GOC!$A:$A,"BOM",DATA_GOC!$D:$D,$H5756,DATA_GOC!$E:$E,$C5756,DATA_GOC!$F:$F,"Xuất nội bộ từ téc",DATA_GOC!$B:$B,"&gt;="&amp;$D5756,DATA_GOC!$B:$B,"&lt;="&amp;$E5756))</f>
        <v/>
      </c>
      <c r="J5756" s="59">
        <f t="shared" si="28"/>
        <v>0</v>
      </c>
      <c r="K5756" s="59">
        <f t="shared" si="29"/>
        <v>0</v>
      </c>
      <c r="L5756" s="59">
        <f t="shared" si="30"/>
        <v>0</v>
      </c>
      <c r="M5756" s="59">
        <f t="shared" si="31"/>
        <v>0</v>
      </c>
    </row>
    <row r="5757" ht="15.0" hidden="1" customHeight="1">
      <c r="A5757" s="59">
        <f t="shared" si="20"/>
        <v>93</v>
      </c>
      <c r="B5757" s="59" t="str">
        <f t="shared" si="21"/>
        <v/>
      </c>
      <c r="C5757" s="59" t="str">
        <f t="shared" si="22"/>
        <v/>
      </c>
      <c r="D5757" s="45" t="str">
        <f t="shared" si="23"/>
        <v/>
      </c>
      <c r="E5757" s="45" t="str">
        <f t="shared" si="24"/>
        <v/>
      </c>
      <c r="F5757" s="59" t="str">
        <f t="shared" si="25"/>
        <v/>
      </c>
      <c r="G5757" s="59" t="str">
        <f t="shared" si="26"/>
        <v/>
      </c>
      <c r="H5757" s="59" t="str">
        <f t="shared" si="27"/>
        <v>28C01406</v>
      </c>
      <c r="I5757" s="59" t="str">
        <f>IF(OR($A5757="",$C5757="",$D5757="",$E5757="",$H5757=""),"",SUMIFS(DATA_GOC!$H:$H,DATA_GOC!$A:$A,"BOM",DATA_GOC!$D:$D,$H5757,DATA_GOC!$E:$E,$C5757,DATA_GOC!$F:$F,"Xuất nội bộ từ téc",DATA_GOC!$B:$B,"&gt;="&amp;$D5757,DATA_GOC!$B:$B,"&lt;="&amp;$E5757))</f>
        <v/>
      </c>
      <c r="J5757" s="59">
        <f t="shared" si="28"/>
        <v>0</v>
      </c>
      <c r="K5757" s="59">
        <f t="shared" si="29"/>
        <v>0</v>
      </c>
      <c r="L5757" s="59">
        <f t="shared" si="30"/>
        <v>0</v>
      </c>
      <c r="M5757" s="59">
        <f t="shared" si="31"/>
        <v>0</v>
      </c>
    </row>
    <row r="5758" ht="15.0" hidden="1" customHeight="1">
      <c r="A5758" s="59">
        <f t="shared" si="20"/>
        <v>93</v>
      </c>
      <c r="B5758" s="59" t="str">
        <f t="shared" si="21"/>
        <v/>
      </c>
      <c r="C5758" s="59" t="str">
        <f t="shared" si="22"/>
        <v/>
      </c>
      <c r="D5758" s="45" t="str">
        <f t="shared" si="23"/>
        <v/>
      </c>
      <c r="E5758" s="45" t="str">
        <f t="shared" si="24"/>
        <v/>
      </c>
      <c r="F5758" s="59" t="str">
        <f t="shared" si="25"/>
        <v/>
      </c>
      <c r="G5758" s="59" t="str">
        <f t="shared" si="26"/>
        <v/>
      </c>
      <c r="H5758" s="59" t="str">
        <f t="shared" si="27"/>
        <v>28C01544</v>
      </c>
      <c r="I5758" s="59" t="str">
        <f>IF(OR($A5758="",$C5758="",$D5758="",$E5758="",$H5758=""),"",SUMIFS(DATA_GOC!$H:$H,DATA_GOC!$A:$A,"BOM",DATA_GOC!$D:$D,$H5758,DATA_GOC!$E:$E,$C5758,DATA_GOC!$F:$F,"Xuất nội bộ từ téc",DATA_GOC!$B:$B,"&gt;="&amp;$D5758,DATA_GOC!$B:$B,"&lt;="&amp;$E5758))</f>
        <v/>
      </c>
      <c r="J5758" s="59">
        <f t="shared" si="28"/>
        <v>0</v>
      </c>
      <c r="K5758" s="59">
        <f t="shared" si="29"/>
        <v>0</v>
      </c>
      <c r="L5758" s="59">
        <f t="shared" si="30"/>
        <v>0</v>
      </c>
      <c r="M5758" s="59">
        <f t="shared" si="31"/>
        <v>0</v>
      </c>
    </row>
    <row r="5759" ht="15.0" hidden="1" customHeight="1">
      <c r="A5759" s="59">
        <f t="shared" si="20"/>
        <v>93</v>
      </c>
      <c r="B5759" s="59" t="str">
        <f t="shared" si="21"/>
        <v/>
      </c>
      <c r="C5759" s="59" t="str">
        <f t="shared" si="22"/>
        <v/>
      </c>
      <c r="D5759" s="45" t="str">
        <f t="shared" si="23"/>
        <v/>
      </c>
      <c r="E5759" s="45" t="str">
        <f t="shared" si="24"/>
        <v/>
      </c>
      <c r="F5759" s="59" t="str">
        <f t="shared" si="25"/>
        <v/>
      </c>
      <c r="G5759" s="59" t="str">
        <f t="shared" si="26"/>
        <v/>
      </c>
      <c r="H5759" s="59" t="str">
        <f t="shared" si="27"/>
        <v>28C01622</v>
      </c>
      <c r="I5759" s="59" t="str">
        <f>IF(OR($A5759="",$C5759="",$D5759="",$E5759="",$H5759=""),"",SUMIFS(DATA_GOC!$H:$H,DATA_GOC!$A:$A,"BOM",DATA_GOC!$D:$D,$H5759,DATA_GOC!$E:$E,$C5759,DATA_GOC!$F:$F,"Xuất nội bộ từ téc",DATA_GOC!$B:$B,"&gt;="&amp;$D5759,DATA_GOC!$B:$B,"&lt;="&amp;$E5759))</f>
        <v/>
      </c>
      <c r="J5759" s="59">
        <f t="shared" si="28"/>
        <v>0</v>
      </c>
      <c r="K5759" s="59">
        <f t="shared" si="29"/>
        <v>0</v>
      </c>
      <c r="L5759" s="59">
        <f t="shared" si="30"/>
        <v>0</v>
      </c>
      <c r="M5759" s="59">
        <f t="shared" si="31"/>
        <v>0</v>
      </c>
    </row>
    <row r="5760" ht="15.0" hidden="1" customHeight="1">
      <c r="A5760" s="59">
        <f t="shared" si="20"/>
        <v>93</v>
      </c>
      <c r="B5760" s="59" t="str">
        <f t="shared" si="21"/>
        <v/>
      </c>
      <c r="C5760" s="59" t="str">
        <f t="shared" si="22"/>
        <v/>
      </c>
      <c r="D5760" s="45" t="str">
        <f t="shared" si="23"/>
        <v/>
      </c>
      <c r="E5760" s="45" t="str">
        <f t="shared" si="24"/>
        <v/>
      </c>
      <c r="F5760" s="59" t="str">
        <f t="shared" si="25"/>
        <v/>
      </c>
      <c r="G5760" s="59" t="str">
        <f t="shared" si="26"/>
        <v/>
      </c>
      <c r="H5760" s="59" t="str">
        <f t="shared" si="27"/>
        <v>28C01647</v>
      </c>
      <c r="I5760" s="59" t="str">
        <f>IF(OR($A5760="",$C5760="",$D5760="",$E5760="",$H5760=""),"",SUMIFS(DATA_GOC!$H:$H,DATA_GOC!$A:$A,"BOM",DATA_GOC!$D:$D,$H5760,DATA_GOC!$E:$E,$C5760,DATA_GOC!$F:$F,"Xuất nội bộ từ téc",DATA_GOC!$B:$B,"&gt;="&amp;$D5760,DATA_GOC!$B:$B,"&lt;="&amp;$E5760))</f>
        <v/>
      </c>
      <c r="J5760" s="59">
        <f t="shared" si="28"/>
        <v>0</v>
      </c>
      <c r="K5760" s="59">
        <f t="shared" si="29"/>
        <v>0</v>
      </c>
      <c r="L5760" s="59">
        <f t="shared" si="30"/>
        <v>0</v>
      </c>
      <c r="M5760" s="59">
        <f t="shared" si="31"/>
        <v>0</v>
      </c>
    </row>
    <row r="5761" ht="15.0" hidden="1" customHeight="1">
      <c r="A5761" s="59">
        <f t="shared" si="20"/>
        <v>93</v>
      </c>
      <c r="B5761" s="59" t="str">
        <f t="shared" si="21"/>
        <v/>
      </c>
      <c r="C5761" s="59" t="str">
        <f t="shared" si="22"/>
        <v/>
      </c>
      <c r="D5761" s="45" t="str">
        <f t="shared" si="23"/>
        <v/>
      </c>
      <c r="E5761" s="45" t="str">
        <f t="shared" si="24"/>
        <v/>
      </c>
      <c r="F5761" s="59" t="str">
        <f t="shared" si="25"/>
        <v/>
      </c>
      <c r="G5761" s="59" t="str">
        <f t="shared" si="26"/>
        <v/>
      </c>
      <c r="H5761" s="59" t="str">
        <f t="shared" si="27"/>
        <v>28C01731</v>
      </c>
      <c r="I5761" s="59" t="str">
        <f>IF(OR($A5761="",$C5761="",$D5761="",$E5761="",$H5761=""),"",SUMIFS(DATA_GOC!$H:$H,DATA_GOC!$A:$A,"BOM",DATA_GOC!$D:$D,$H5761,DATA_GOC!$E:$E,$C5761,DATA_GOC!$F:$F,"Xuất nội bộ từ téc",DATA_GOC!$B:$B,"&gt;="&amp;$D5761,DATA_GOC!$B:$B,"&lt;="&amp;$E5761))</f>
        <v/>
      </c>
      <c r="J5761" s="59">
        <f t="shared" si="28"/>
        <v>0</v>
      </c>
      <c r="K5761" s="59">
        <f t="shared" si="29"/>
        <v>0</v>
      </c>
      <c r="L5761" s="59">
        <f t="shared" si="30"/>
        <v>0</v>
      </c>
      <c r="M5761" s="59">
        <f t="shared" si="31"/>
        <v>0</v>
      </c>
    </row>
    <row r="5762" ht="15.0" hidden="1" customHeight="1">
      <c r="A5762" s="59">
        <f t="shared" si="20"/>
        <v>93</v>
      </c>
      <c r="B5762" s="59" t="str">
        <f t="shared" si="21"/>
        <v/>
      </c>
      <c r="C5762" s="59" t="str">
        <f t="shared" si="22"/>
        <v/>
      </c>
      <c r="D5762" s="45" t="str">
        <f t="shared" si="23"/>
        <v/>
      </c>
      <c r="E5762" s="45" t="str">
        <f t="shared" si="24"/>
        <v/>
      </c>
      <c r="F5762" s="59" t="str">
        <f t="shared" si="25"/>
        <v/>
      </c>
      <c r="G5762" s="59" t="str">
        <f t="shared" si="26"/>
        <v/>
      </c>
      <c r="H5762" s="59" t="str">
        <f t="shared" si="27"/>
        <v>28C01743</v>
      </c>
      <c r="I5762" s="59" t="str">
        <f>IF(OR($A5762="",$C5762="",$D5762="",$E5762="",$H5762=""),"",SUMIFS(DATA_GOC!$H:$H,DATA_GOC!$A:$A,"BOM",DATA_GOC!$D:$D,$H5762,DATA_GOC!$E:$E,$C5762,DATA_GOC!$F:$F,"Xuất nội bộ từ téc",DATA_GOC!$B:$B,"&gt;="&amp;$D5762,DATA_GOC!$B:$B,"&lt;="&amp;$E5762))</f>
        <v/>
      </c>
      <c r="J5762" s="59">
        <f t="shared" si="28"/>
        <v>0</v>
      </c>
      <c r="K5762" s="59">
        <f t="shared" si="29"/>
        <v>0</v>
      </c>
      <c r="L5762" s="59">
        <f t="shared" si="30"/>
        <v>0</v>
      </c>
      <c r="M5762" s="59">
        <f t="shared" si="31"/>
        <v>0</v>
      </c>
    </row>
    <row r="5763" ht="15.0" hidden="1" customHeight="1">
      <c r="A5763" s="59">
        <f t="shared" si="20"/>
        <v>93</v>
      </c>
      <c r="B5763" s="59" t="str">
        <f t="shared" si="21"/>
        <v/>
      </c>
      <c r="C5763" s="59" t="str">
        <f t="shared" si="22"/>
        <v/>
      </c>
      <c r="D5763" s="45" t="str">
        <f t="shared" si="23"/>
        <v/>
      </c>
      <c r="E5763" s="45" t="str">
        <f t="shared" si="24"/>
        <v/>
      </c>
      <c r="F5763" s="59" t="str">
        <f t="shared" si="25"/>
        <v/>
      </c>
      <c r="G5763" s="59" t="str">
        <f t="shared" si="26"/>
        <v/>
      </c>
      <c r="H5763" s="59" t="str">
        <f t="shared" si="27"/>
        <v>28C02106</v>
      </c>
      <c r="I5763" s="59" t="str">
        <f>IF(OR($A5763="",$C5763="",$D5763="",$E5763="",$H5763=""),"",SUMIFS(DATA_GOC!$H:$H,DATA_GOC!$A:$A,"BOM",DATA_GOC!$D:$D,$H5763,DATA_GOC!$E:$E,$C5763,DATA_GOC!$F:$F,"Xuất nội bộ từ téc",DATA_GOC!$B:$B,"&gt;="&amp;$D5763,DATA_GOC!$B:$B,"&lt;="&amp;$E5763))</f>
        <v/>
      </c>
      <c r="J5763" s="59">
        <f t="shared" si="28"/>
        <v>0</v>
      </c>
      <c r="K5763" s="59">
        <f t="shared" si="29"/>
        <v>0</v>
      </c>
      <c r="L5763" s="59">
        <f t="shared" si="30"/>
        <v>0</v>
      </c>
      <c r="M5763" s="59">
        <f t="shared" si="31"/>
        <v>0</v>
      </c>
    </row>
    <row r="5764" ht="15.0" hidden="1" customHeight="1">
      <c r="A5764" s="59">
        <f t="shared" si="20"/>
        <v>93</v>
      </c>
      <c r="B5764" s="59" t="str">
        <f t="shared" si="21"/>
        <v/>
      </c>
      <c r="C5764" s="59" t="str">
        <f t="shared" si="22"/>
        <v/>
      </c>
      <c r="D5764" s="45" t="str">
        <f t="shared" si="23"/>
        <v/>
      </c>
      <c r="E5764" s="45" t="str">
        <f t="shared" si="24"/>
        <v/>
      </c>
      <c r="F5764" s="59" t="str">
        <f t="shared" si="25"/>
        <v/>
      </c>
      <c r="G5764" s="59" t="str">
        <f t="shared" si="26"/>
        <v/>
      </c>
      <c r="H5764" s="59" t="str">
        <f t="shared" si="27"/>
        <v>28C02410</v>
      </c>
      <c r="I5764" s="59" t="str">
        <f>IF(OR($A5764="",$C5764="",$D5764="",$E5764="",$H5764=""),"",SUMIFS(DATA_GOC!$H:$H,DATA_GOC!$A:$A,"BOM",DATA_GOC!$D:$D,$H5764,DATA_GOC!$E:$E,$C5764,DATA_GOC!$F:$F,"Xuất nội bộ từ téc",DATA_GOC!$B:$B,"&gt;="&amp;$D5764,DATA_GOC!$B:$B,"&lt;="&amp;$E5764))</f>
        <v/>
      </c>
      <c r="J5764" s="59">
        <f t="shared" si="28"/>
        <v>0</v>
      </c>
      <c r="K5764" s="59">
        <f t="shared" si="29"/>
        <v>0</v>
      </c>
      <c r="L5764" s="59">
        <f t="shared" si="30"/>
        <v>0</v>
      </c>
      <c r="M5764" s="59">
        <f t="shared" si="31"/>
        <v>0</v>
      </c>
    </row>
    <row r="5765" ht="15.0" hidden="1" customHeight="1">
      <c r="A5765" s="59">
        <f t="shared" si="20"/>
        <v>93</v>
      </c>
      <c r="B5765" s="59" t="str">
        <f t="shared" si="21"/>
        <v/>
      </c>
      <c r="C5765" s="59" t="str">
        <f t="shared" si="22"/>
        <v/>
      </c>
      <c r="D5765" s="45" t="str">
        <f t="shared" si="23"/>
        <v/>
      </c>
      <c r="E5765" s="45" t="str">
        <f t="shared" si="24"/>
        <v/>
      </c>
      <c r="F5765" s="59" t="str">
        <f t="shared" si="25"/>
        <v/>
      </c>
      <c r="G5765" s="59" t="str">
        <f t="shared" si="26"/>
        <v/>
      </c>
      <c r="H5765" s="59" t="str">
        <f t="shared" si="27"/>
        <v>28C02545</v>
      </c>
      <c r="I5765" s="59" t="str">
        <f>IF(OR($A5765="",$C5765="",$D5765="",$E5765="",$H5765=""),"",SUMIFS(DATA_GOC!$H:$H,DATA_GOC!$A:$A,"BOM",DATA_GOC!$D:$D,$H5765,DATA_GOC!$E:$E,$C5765,DATA_GOC!$F:$F,"Xuất nội bộ từ téc",DATA_GOC!$B:$B,"&gt;="&amp;$D5765,DATA_GOC!$B:$B,"&lt;="&amp;$E5765))</f>
        <v/>
      </c>
      <c r="J5765" s="59">
        <f t="shared" si="28"/>
        <v>0</v>
      </c>
      <c r="K5765" s="59">
        <f t="shared" si="29"/>
        <v>0</v>
      </c>
      <c r="L5765" s="59">
        <f t="shared" si="30"/>
        <v>0</v>
      </c>
      <c r="M5765" s="59">
        <f t="shared" si="31"/>
        <v>0</v>
      </c>
    </row>
    <row r="5766" ht="15.0" hidden="1" customHeight="1">
      <c r="A5766" s="59">
        <f t="shared" si="20"/>
        <v>93</v>
      </c>
      <c r="B5766" s="59" t="str">
        <f t="shared" si="21"/>
        <v/>
      </c>
      <c r="C5766" s="59" t="str">
        <f t="shared" si="22"/>
        <v/>
      </c>
      <c r="D5766" s="45" t="str">
        <f t="shared" si="23"/>
        <v/>
      </c>
      <c r="E5766" s="45" t="str">
        <f t="shared" si="24"/>
        <v/>
      </c>
      <c r="F5766" s="59" t="str">
        <f t="shared" si="25"/>
        <v/>
      </c>
      <c r="G5766" s="59" t="str">
        <f t="shared" si="26"/>
        <v/>
      </c>
      <c r="H5766" s="59" t="str">
        <f t="shared" si="27"/>
        <v>28C02574</v>
      </c>
      <c r="I5766" s="59" t="str">
        <f>IF(OR($A5766="",$C5766="",$D5766="",$E5766="",$H5766=""),"",SUMIFS(DATA_GOC!$H:$H,DATA_GOC!$A:$A,"BOM",DATA_GOC!$D:$D,$H5766,DATA_GOC!$E:$E,$C5766,DATA_GOC!$F:$F,"Xuất nội bộ từ téc",DATA_GOC!$B:$B,"&gt;="&amp;$D5766,DATA_GOC!$B:$B,"&lt;="&amp;$E5766))</f>
        <v/>
      </c>
      <c r="J5766" s="59">
        <f t="shared" si="28"/>
        <v>0</v>
      </c>
      <c r="K5766" s="59">
        <f t="shared" si="29"/>
        <v>0</v>
      </c>
      <c r="L5766" s="59">
        <f t="shared" si="30"/>
        <v>0</v>
      </c>
      <c r="M5766" s="59">
        <f t="shared" si="31"/>
        <v>0</v>
      </c>
    </row>
    <row r="5767" ht="15.0" hidden="1" customHeight="1">
      <c r="A5767" s="59">
        <f t="shared" si="20"/>
        <v>93</v>
      </c>
      <c r="B5767" s="59" t="str">
        <f t="shared" si="21"/>
        <v/>
      </c>
      <c r="C5767" s="59" t="str">
        <f t="shared" si="22"/>
        <v/>
      </c>
      <c r="D5767" s="45" t="str">
        <f t="shared" si="23"/>
        <v/>
      </c>
      <c r="E5767" s="45" t="str">
        <f t="shared" si="24"/>
        <v/>
      </c>
      <c r="F5767" s="59" t="str">
        <f t="shared" si="25"/>
        <v/>
      </c>
      <c r="G5767" s="59" t="str">
        <f t="shared" si="26"/>
        <v/>
      </c>
      <c r="H5767" s="59" t="str">
        <f t="shared" si="27"/>
        <v>28C02770</v>
      </c>
      <c r="I5767" s="59" t="str">
        <f>IF(OR($A5767="",$C5767="",$D5767="",$E5767="",$H5767=""),"",SUMIFS(DATA_GOC!$H:$H,DATA_GOC!$A:$A,"BOM",DATA_GOC!$D:$D,$H5767,DATA_GOC!$E:$E,$C5767,DATA_GOC!$F:$F,"Xuất nội bộ từ téc",DATA_GOC!$B:$B,"&gt;="&amp;$D5767,DATA_GOC!$B:$B,"&lt;="&amp;$E5767))</f>
        <v/>
      </c>
      <c r="J5767" s="59">
        <f t="shared" si="28"/>
        <v>0</v>
      </c>
      <c r="K5767" s="59">
        <f t="shared" si="29"/>
        <v>0</v>
      </c>
      <c r="L5767" s="59">
        <f t="shared" si="30"/>
        <v>0</v>
      </c>
      <c r="M5767" s="59">
        <f t="shared" si="31"/>
        <v>0</v>
      </c>
    </row>
    <row r="5768" ht="15.0" hidden="1" customHeight="1">
      <c r="A5768" s="59">
        <f t="shared" si="20"/>
        <v>93</v>
      </c>
      <c r="B5768" s="59" t="str">
        <f t="shared" si="21"/>
        <v/>
      </c>
      <c r="C5768" s="59" t="str">
        <f t="shared" si="22"/>
        <v/>
      </c>
      <c r="D5768" s="45" t="str">
        <f t="shared" si="23"/>
        <v/>
      </c>
      <c r="E5768" s="45" t="str">
        <f t="shared" si="24"/>
        <v/>
      </c>
      <c r="F5768" s="59" t="str">
        <f t="shared" si="25"/>
        <v/>
      </c>
      <c r="G5768" s="59" t="str">
        <f t="shared" si="26"/>
        <v/>
      </c>
      <c r="H5768" s="59" t="str">
        <f t="shared" si="27"/>
        <v>28C02986</v>
      </c>
      <c r="I5768" s="59" t="str">
        <f>IF(OR($A5768="",$C5768="",$D5768="",$E5768="",$H5768=""),"",SUMIFS(DATA_GOC!$H:$H,DATA_GOC!$A:$A,"BOM",DATA_GOC!$D:$D,$H5768,DATA_GOC!$E:$E,$C5768,DATA_GOC!$F:$F,"Xuất nội bộ từ téc",DATA_GOC!$B:$B,"&gt;="&amp;$D5768,DATA_GOC!$B:$B,"&lt;="&amp;$E5768))</f>
        <v/>
      </c>
      <c r="J5768" s="59">
        <f t="shared" si="28"/>
        <v>0</v>
      </c>
      <c r="K5768" s="59">
        <f t="shared" si="29"/>
        <v>0</v>
      </c>
      <c r="L5768" s="59">
        <f t="shared" si="30"/>
        <v>0</v>
      </c>
      <c r="M5768" s="59">
        <f t="shared" si="31"/>
        <v>0</v>
      </c>
    </row>
    <row r="5769" ht="15.0" hidden="1" customHeight="1">
      <c r="A5769" s="59">
        <f t="shared" si="20"/>
        <v>93</v>
      </c>
      <c r="B5769" s="59" t="str">
        <f t="shared" si="21"/>
        <v/>
      </c>
      <c r="C5769" s="59" t="str">
        <f t="shared" si="22"/>
        <v/>
      </c>
      <c r="D5769" s="45" t="str">
        <f t="shared" si="23"/>
        <v/>
      </c>
      <c r="E5769" s="45" t="str">
        <f t="shared" si="24"/>
        <v/>
      </c>
      <c r="F5769" s="59" t="str">
        <f t="shared" si="25"/>
        <v/>
      </c>
      <c r="G5769" s="59" t="str">
        <f t="shared" si="26"/>
        <v/>
      </c>
      <c r="H5769" s="59" t="str">
        <f t="shared" si="27"/>
        <v>28C03261</v>
      </c>
      <c r="I5769" s="59" t="str">
        <f>IF(OR($A5769="",$C5769="",$D5769="",$E5769="",$H5769=""),"",SUMIFS(DATA_GOC!$H:$H,DATA_GOC!$A:$A,"BOM",DATA_GOC!$D:$D,$H5769,DATA_GOC!$E:$E,$C5769,DATA_GOC!$F:$F,"Xuất nội bộ từ téc",DATA_GOC!$B:$B,"&gt;="&amp;$D5769,DATA_GOC!$B:$B,"&lt;="&amp;$E5769))</f>
        <v/>
      </c>
      <c r="J5769" s="59">
        <f t="shared" si="28"/>
        <v>0</v>
      </c>
      <c r="K5769" s="59">
        <f t="shared" si="29"/>
        <v>0</v>
      </c>
      <c r="L5769" s="59">
        <f t="shared" si="30"/>
        <v>0</v>
      </c>
      <c r="M5769" s="59">
        <f t="shared" si="31"/>
        <v>0</v>
      </c>
    </row>
    <row r="5770" ht="15.0" hidden="1" customHeight="1">
      <c r="A5770" s="59">
        <f t="shared" si="20"/>
        <v>93</v>
      </c>
      <c r="B5770" s="59" t="str">
        <f t="shared" si="21"/>
        <v/>
      </c>
      <c r="C5770" s="59" t="str">
        <f t="shared" si="22"/>
        <v/>
      </c>
      <c r="D5770" s="45" t="str">
        <f t="shared" si="23"/>
        <v/>
      </c>
      <c r="E5770" s="45" t="str">
        <f t="shared" si="24"/>
        <v/>
      </c>
      <c r="F5770" s="59" t="str">
        <f t="shared" si="25"/>
        <v/>
      </c>
      <c r="G5770" s="59" t="str">
        <f t="shared" si="26"/>
        <v/>
      </c>
      <c r="H5770" s="59" t="str">
        <f t="shared" si="27"/>
        <v>28C03323</v>
      </c>
      <c r="I5770" s="59" t="str">
        <f>IF(OR($A5770="",$C5770="",$D5770="",$E5770="",$H5770=""),"",SUMIFS(DATA_GOC!$H:$H,DATA_GOC!$A:$A,"BOM",DATA_GOC!$D:$D,$H5770,DATA_GOC!$E:$E,$C5770,DATA_GOC!$F:$F,"Xuất nội bộ từ téc",DATA_GOC!$B:$B,"&gt;="&amp;$D5770,DATA_GOC!$B:$B,"&lt;="&amp;$E5770))</f>
        <v/>
      </c>
      <c r="J5770" s="59">
        <f t="shared" si="28"/>
        <v>0</v>
      </c>
      <c r="K5770" s="59">
        <f t="shared" si="29"/>
        <v>0</v>
      </c>
      <c r="L5770" s="59">
        <f t="shared" si="30"/>
        <v>0</v>
      </c>
      <c r="M5770" s="59">
        <f t="shared" si="31"/>
        <v>0</v>
      </c>
    </row>
    <row r="5771" ht="15.0" hidden="1" customHeight="1">
      <c r="A5771" s="59">
        <f t="shared" si="20"/>
        <v>93</v>
      </c>
      <c r="B5771" s="59" t="str">
        <f t="shared" si="21"/>
        <v/>
      </c>
      <c r="C5771" s="59" t="str">
        <f t="shared" si="22"/>
        <v/>
      </c>
      <c r="D5771" s="45" t="str">
        <f t="shared" si="23"/>
        <v/>
      </c>
      <c r="E5771" s="45" t="str">
        <f t="shared" si="24"/>
        <v/>
      </c>
      <c r="F5771" s="59" t="str">
        <f t="shared" si="25"/>
        <v/>
      </c>
      <c r="G5771" s="59" t="str">
        <f t="shared" si="26"/>
        <v/>
      </c>
      <c r="H5771" s="59" t="str">
        <f t="shared" si="27"/>
        <v>28C03385</v>
      </c>
      <c r="I5771" s="59" t="str">
        <f>IF(OR($A5771="",$C5771="",$D5771="",$E5771="",$H5771=""),"",SUMIFS(DATA_GOC!$H:$H,DATA_GOC!$A:$A,"BOM",DATA_GOC!$D:$D,$H5771,DATA_GOC!$E:$E,$C5771,DATA_GOC!$F:$F,"Xuất nội bộ từ téc",DATA_GOC!$B:$B,"&gt;="&amp;$D5771,DATA_GOC!$B:$B,"&lt;="&amp;$E5771))</f>
        <v/>
      </c>
      <c r="J5771" s="59">
        <f t="shared" si="28"/>
        <v>0</v>
      </c>
      <c r="K5771" s="59">
        <f t="shared" si="29"/>
        <v>0</v>
      </c>
      <c r="L5771" s="59">
        <f t="shared" si="30"/>
        <v>0</v>
      </c>
      <c r="M5771" s="59">
        <f t="shared" si="31"/>
        <v>0</v>
      </c>
    </row>
    <row r="5772" ht="15.0" hidden="1" customHeight="1">
      <c r="A5772" s="59">
        <f t="shared" si="20"/>
        <v>93</v>
      </c>
      <c r="B5772" s="59" t="str">
        <f t="shared" si="21"/>
        <v/>
      </c>
      <c r="C5772" s="59" t="str">
        <f t="shared" si="22"/>
        <v/>
      </c>
      <c r="D5772" s="45" t="str">
        <f t="shared" si="23"/>
        <v/>
      </c>
      <c r="E5772" s="45" t="str">
        <f t="shared" si="24"/>
        <v/>
      </c>
      <c r="F5772" s="59" t="str">
        <f t="shared" si="25"/>
        <v/>
      </c>
      <c r="G5772" s="59" t="str">
        <f t="shared" si="26"/>
        <v/>
      </c>
      <c r="H5772" s="59" t="str">
        <f t="shared" si="27"/>
        <v>28C03652</v>
      </c>
      <c r="I5772" s="59" t="str">
        <f>IF(OR($A5772="",$C5772="",$D5772="",$E5772="",$H5772=""),"",SUMIFS(DATA_GOC!$H:$H,DATA_GOC!$A:$A,"BOM",DATA_GOC!$D:$D,$H5772,DATA_GOC!$E:$E,$C5772,DATA_GOC!$F:$F,"Xuất nội bộ từ téc",DATA_GOC!$B:$B,"&gt;="&amp;$D5772,DATA_GOC!$B:$B,"&lt;="&amp;$E5772))</f>
        <v/>
      </c>
      <c r="J5772" s="59">
        <f t="shared" si="28"/>
        <v>0</v>
      </c>
      <c r="K5772" s="59">
        <f t="shared" si="29"/>
        <v>0</v>
      </c>
      <c r="L5772" s="59">
        <f t="shared" si="30"/>
        <v>0</v>
      </c>
      <c r="M5772" s="59">
        <f t="shared" si="31"/>
        <v>0</v>
      </c>
    </row>
    <row r="5773" ht="15.0" hidden="1" customHeight="1">
      <c r="A5773" s="59">
        <f t="shared" si="20"/>
        <v>93</v>
      </c>
      <c r="B5773" s="59" t="str">
        <f t="shared" si="21"/>
        <v/>
      </c>
      <c r="C5773" s="59" t="str">
        <f t="shared" si="22"/>
        <v/>
      </c>
      <c r="D5773" s="45" t="str">
        <f t="shared" si="23"/>
        <v/>
      </c>
      <c r="E5773" s="45" t="str">
        <f t="shared" si="24"/>
        <v/>
      </c>
      <c r="F5773" s="59" t="str">
        <f t="shared" si="25"/>
        <v/>
      </c>
      <c r="G5773" s="59" t="str">
        <f t="shared" si="26"/>
        <v/>
      </c>
      <c r="H5773" s="59" t="str">
        <f t="shared" si="27"/>
        <v>28C03695</v>
      </c>
      <c r="I5773" s="59" t="str">
        <f>IF(OR($A5773="",$C5773="",$D5773="",$E5773="",$H5773=""),"",SUMIFS(DATA_GOC!$H:$H,DATA_GOC!$A:$A,"BOM",DATA_GOC!$D:$D,$H5773,DATA_GOC!$E:$E,$C5773,DATA_GOC!$F:$F,"Xuất nội bộ từ téc",DATA_GOC!$B:$B,"&gt;="&amp;$D5773,DATA_GOC!$B:$B,"&lt;="&amp;$E5773))</f>
        <v/>
      </c>
      <c r="J5773" s="59">
        <f t="shared" si="28"/>
        <v>0</v>
      </c>
      <c r="K5773" s="59">
        <f t="shared" si="29"/>
        <v>0</v>
      </c>
      <c r="L5773" s="59">
        <f t="shared" si="30"/>
        <v>0</v>
      </c>
      <c r="M5773" s="59">
        <f t="shared" si="31"/>
        <v>0</v>
      </c>
    </row>
    <row r="5774" ht="15.0" hidden="1" customHeight="1">
      <c r="A5774" s="59">
        <f t="shared" si="20"/>
        <v>93</v>
      </c>
      <c r="B5774" s="59" t="str">
        <f t="shared" si="21"/>
        <v/>
      </c>
      <c r="C5774" s="59" t="str">
        <f t="shared" si="22"/>
        <v/>
      </c>
      <c r="D5774" s="45" t="str">
        <f t="shared" si="23"/>
        <v/>
      </c>
      <c r="E5774" s="45" t="str">
        <f t="shared" si="24"/>
        <v/>
      </c>
      <c r="F5774" s="59" t="str">
        <f t="shared" si="25"/>
        <v/>
      </c>
      <c r="G5774" s="59" t="str">
        <f t="shared" si="26"/>
        <v/>
      </c>
      <c r="H5774" s="59" t="str">
        <f t="shared" si="27"/>
        <v>28C03927</v>
      </c>
      <c r="I5774" s="59" t="str">
        <f>IF(OR($A5774="",$C5774="",$D5774="",$E5774="",$H5774=""),"",SUMIFS(DATA_GOC!$H:$H,DATA_GOC!$A:$A,"BOM",DATA_GOC!$D:$D,$H5774,DATA_GOC!$E:$E,$C5774,DATA_GOC!$F:$F,"Xuất nội bộ từ téc",DATA_GOC!$B:$B,"&gt;="&amp;$D5774,DATA_GOC!$B:$B,"&lt;="&amp;$E5774))</f>
        <v/>
      </c>
      <c r="J5774" s="59">
        <f t="shared" si="28"/>
        <v>0</v>
      </c>
      <c r="K5774" s="59">
        <f t="shared" si="29"/>
        <v>0</v>
      </c>
      <c r="L5774" s="59">
        <f t="shared" si="30"/>
        <v>0</v>
      </c>
      <c r="M5774" s="59">
        <f t="shared" si="31"/>
        <v>0</v>
      </c>
    </row>
    <row r="5775" ht="15.0" hidden="1" customHeight="1">
      <c r="A5775" s="59">
        <f t="shared" si="20"/>
        <v>93</v>
      </c>
      <c r="B5775" s="59" t="str">
        <f t="shared" si="21"/>
        <v/>
      </c>
      <c r="C5775" s="59" t="str">
        <f t="shared" si="22"/>
        <v/>
      </c>
      <c r="D5775" s="45" t="str">
        <f t="shared" si="23"/>
        <v/>
      </c>
      <c r="E5775" s="45" t="str">
        <f t="shared" si="24"/>
        <v/>
      </c>
      <c r="F5775" s="59" t="str">
        <f t="shared" si="25"/>
        <v/>
      </c>
      <c r="G5775" s="59" t="str">
        <f t="shared" si="26"/>
        <v/>
      </c>
      <c r="H5775" s="59" t="str">
        <f t="shared" si="27"/>
        <v>28C04509</v>
      </c>
      <c r="I5775" s="59" t="str">
        <f>IF(OR($A5775="",$C5775="",$D5775="",$E5775="",$H5775=""),"",SUMIFS(DATA_GOC!$H:$H,DATA_GOC!$A:$A,"BOM",DATA_GOC!$D:$D,$H5775,DATA_GOC!$E:$E,$C5775,DATA_GOC!$F:$F,"Xuất nội bộ từ téc",DATA_GOC!$B:$B,"&gt;="&amp;$D5775,DATA_GOC!$B:$B,"&lt;="&amp;$E5775))</f>
        <v/>
      </c>
      <c r="J5775" s="59">
        <f t="shared" si="28"/>
        <v>0</v>
      </c>
      <c r="K5775" s="59">
        <f t="shared" si="29"/>
        <v>0</v>
      </c>
      <c r="L5775" s="59">
        <f t="shared" si="30"/>
        <v>0</v>
      </c>
      <c r="M5775" s="59">
        <f t="shared" si="31"/>
        <v>0</v>
      </c>
    </row>
    <row r="5776" ht="15.0" hidden="1" customHeight="1">
      <c r="A5776" s="59">
        <f t="shared" si="20"/>
        <v>93</v>
      </c>
      <c r="B5776" s="59" t="str">
        <f t="shared" si="21"/>
        <v/>
      </c>
      <c r="C5776" s="59" t="str">
        <f t="shared" si="22"/>
        <v/>
      </c>
      <c r="D5776" s="45" t="str">
        <f t="shared" si="23"/>
        <v/>
      </c>
      <c r="E5776" s="45" t="str">
        <f t="shared" si="24"/>
        <v/>
      </c>
      <c r="F5776" s="59" t="str">
        <f t="shared" si="25"/>
        <v/>
      </c>
      <c r="G5776" s="59" t="str">
        <f t="shared" si="26"/>
        <v/>
      </c>
      <c r="H5776" s="59" t="str">
        <f t="shared" si="27"/>
        <v>28C04536</v>
      </c>
      <c r="I5776" s="59" t="str">
        <f>IF(OR($A5776="",$C5776="",$D5776="",$E5776="",$H5776=""),"",SUMIFS(DATA_GOC!$H:$H,DATA_GOC!$A:$A,"BOM",DATA_GOC!$D:$D,$H5776,DATA_GOC!$E:$E,$C5776,DATA_GOC!$F:$F,"Xuất nội bộ từ téc",DATA_GOC!$B:$B,"&gt;="&amp;$D5776,DATA_GOC!$B:$B,"&lt;="&amp;$E5776))</f>
        <v/>
      </c>
      <c r="J5776" s="59">
        <f t="shared" si="28"/>
        <v>0</v>
      </c>
      <c r="K5776" s="59">
        <f t="shared" si="29"/>
        <v>0</v>
      </c>
      <c r="L5776" s="59">
        <f t="shared" si="30"/>
        <v>0</v>
      </c>
      <c r="M5776" s="59">
        <f t="shared" si="31"/>
        <v>0</v>
      </c>
    </row>
    <row r="5777" ht="15.0" hidden="1" customHeight="1">
      <c r="A5777" s="59">
        <f t="shared" si="20"/>
        <v>93</v>
      </c>
      <c r="B5777" s="59" t="str">
        <f t="shared" si="21"/>
        <v/>
      </c>
      <c r="C5777" s="59" t="str">
        <f t="shared" si="22"/>
        <v/>
      </c>
      <c r="D5777" s="45" t="str">
        <f t="shared" si="23"/>
        <v/>
      </c>
      <c r="E5777" s="45" t="str">
        <f t="shared" si="24"/>
        <v/>
      </c>
      <c r="F5777" s="59" t="str">
        <f t="shared" si="25"/>
        <v/>
      </c>
      <c r="G5777" s="59" t="str">
        <f t="shared" si="26"/>
        <v/>
      </c>
      <c r="H5777" s="59" t="str">
        <f t="shared" si="27"/>
        <v>28C04576</v>
      </c>
      <c r="I5777" s="59" t="str">
        <f>IF(OR($A5777="",$C5777="",$D5777="",$E5777="",$H5777=""),"",SUMIFS(DATA_GOC!$H:$H,DATA_GOC!$A:$A,"BOM",DATA_GOC!$D:$D,$H5777,DATA_GOC!$E:$E,$C5777,DATA_GOC!$F:$F,"Xuất nội bộ từ téc",DATA_GOC!$B:$B,"&gt;="&amp;$D5777,DATA_GOC!$B:$B,"&lt;="&amp;$E5777))</f>
        <v/>
      </c>
      <c r="J5777" s="59">
        <f t="shared" si="28"/>
        <v>0</v>
      </c>
      <c r="K5777" s="59">
        <f t="shared" si="29"/>
        <v>0</v>
      </c>
      <c r="L5777" s="59">
        <f t="shared" si="30"/>
        <v>0</v>
      </c>
      <c r="M5777" s="59">
        <f t="shared" si="31"/>
        <v>0</v>
      </c>
    </row>
    <row r="5778" ht="15.0" hidden="1" customHeight="1">
      <c r="A5778" s="59">
        <f t="shared" si="20"/>
        <v>93</v>
      </c>
      <c r="B5778" s="59" t="str">
        <f t="shared" si="21"/>
        <v/>
      </c>
      <c r="C5778" s="59" t="str">
        <f t="shared" si="22"/>
        <v/>
      </c>
      <c r="D5778" s="45" t="str">
        <f t="shared" si="23"/>
        <v/>
      </c>
      <c r="E5778" s="45" t="str">
        <f t="shared" si="24"/>
        <v/>
      </c>
      <c r="F5778" s="59" t="str">
        <f t="shared" si="25"/>
        <v/>
      </c>
      <c r="G5778" s="59" t="str">
        <f t="shared" si="26"/>
        <v/>
      </c>
      <c r="H5778" s="59" t="str">
        <f t="shared" si="27"/>
        <v>28C05090</v>
      </c>
      <c r="I5778" s="59" t="str">
        <f>IF(OR($A5778="",$C5778="",$D5778="",$E5778="",$H5778=""),"",SUMIFS(DATA_GOC!$H:$H,DATA_GOC!$A:$A,"BOM",DATA_GOC!$D:$D,$H5778,DATA_GOC!$E:$E,$C5778,DATA_GOC!$F:$F,"Xuất nội bộ từ téc",DATA_GOC!$B:$B,"&gt;="&amp;$D5778,DATA_GOC!$B:$B,"&lt;="&amp;$E5778))</f>
        <v/>
      </c>
      <c r="J5778" s="59">
        <f t="shared" si="28"/>
        <v>0</v>
      </c>
      <c r="K5778" s="59">
        <f t="shared" si="29"/>
        <v>0</v>
      </c>
      <c r="L5778" s="59">
        <f t="shared" si="30"/>
        <v>0</v>
      </c>
      <c r="M5778" s="59">
        <f t="shared" si="31"/>
        <v>0</v>
      </c>
    </row>
    <row r="5779" ht="15.0" hidden="1" customHeight="1">
      <c r="A5779" s="59">
        <f t="shared" si="20"/>
        <v>93</v>
      </c>
      <c r="B5779" s="59" t="str">
        <f t="shared" si="21"/>
        <v/>
      </c>
      <c r="C5779" s="59" t="str">
        <f t="shared" si="22"/>
        <v/>
      </c>
      <c r="D5779" s="45" t="str">
        <f t="shared" si="23"/>
        <v/>
      </c>
      <c r="E5779" s="45" t="str">
        <f t="shared" si="24"/>
        <v/>
      </c>
      <c r="F5779" s="59" t="str">
        <f t="shared" si="25"/>
        <v/>
      </c>
      <c r="G5779" s="59" t="str">
        <f t="shared" si="26"/>
        <v/>
      </c>
      <c r="H5779" s="59" t="str">
        <f t="shared" si="27"/>
        <v>28C05345</v>
      </c>
      <c r="I5779" s="59" t="str">
        <f>IF(OR($A5779="",$C5779="",$D5779="",$E5779="",$H5779=""),"",SUMIFS(DATA_GOC!$H:$H,DATA_GOC!$A:$A,"BOM",DATA_GOC!$D:$D,$H5779,DATA_GOC!$E:$E,$C5779,DATA_GOC!$F:$F,"Xuất nội bộ từ téc",DATA_GOC!$B:$B,"&gt;="&amp;$D5779,DATA_GOC!$B:$B,"&lt;="&amp;$E5779))</f>
        <v/>
      </c>
      <c r="J5779" s="59">
        <f t="shared" si="28"/>
        <v>0</v>
      </c>
      <c r="K5779" s="59">
        <f t="shared" si="29"/>
        <v>0</v>
      </c>
      <c r="L5779" s="59">
        <f t="shared" si="30"/>
        <v>0</v>
      </c>
      <c r="M5779" s="59">
        <f t="shared" si="31"/>
        <v>0</v>
      </c>
    </row>
    <row r="5780" ht="15.0" hidden="1" customHeight="1">
      <c r="A5780" s="59">
        <f t="shared" si="20"/>
        <v>93</v>
      </c>
      <c r="B5780" s="59" t="str">
        <f t="shared" si="21"/>
        <v/>
      </c>
      <c r="C5780" s="59" t="str">
        <f t="shared" si="22"/>
        <v/>
      </c>
      <c r="D5780" s="45" t="str">
        <f t="shared" si="23"/>
        <v/>
      </c>
      <c r="E5780" s="45" t="str">
        <f t="shared" si="24"/>
        <v/>
      </c>
      <c r="F5780" s="59" t="str">
        <f t="shared" si="25"/>
        <v/>
      </c>
      <c r="G5780" s="59" t="str">
        <f t="shared" si="26"/>
        <v/>
      </c>
      <c r="H5780" s="59" t="str">
        <f t="shared" si="27"/>
        <v>28C05661</v>
      </c>
      <c r="I5780" s="59" t="str">
        <f>IF(OR($A5780="",$C5780="",$D5780="",$E5780="",$H5780=""),"",SUMIFS(DATA_GOC!$H:$H,DATA_GOC!$A:$A,"BOM",DATA_GOC!$D:$D,$H5780,DATA_GOC!$E:$E,$C5780,DATA_GOC!$F:$F,"Xuất nội bộ từ téc",DATA_GOC!$B:$B,"&gt;="&amp;$D5780,DATA_GOC!$B:$B,"&lt;="&amp;$E5780))</f>
        <v/>
      </c>
      <c r="J5780" s="59">
        <f t="shared" si="28"/>
        <v>0</v>
      </c>
      <c r="K5780" s="59">
        <f t="shared" si="29"/>
        <v>0</v>
      </c>
      <c r="L5780" s="59">
        <f t="shared" si="30"/>
        <v>0</v>
      </c>
      <c r="M5780" s="59">
        <f t="shared" si="31"/>
        <v>0</v>
      </c>
    </row>
    <row r="5781" ht="15.0" hidden="1" customHeight="1">
      <c r="A5781" s="59">
        <f t="shared" si="20"/>
        <v>93</v>
      </c>
      <c r="B5781" s="59" t="str">
        <f t="shared" si="21"/>
        <v/>
      </c>
      <c r="C5781" s="59" t="str">
        <f t="shared" si="22"/>
        <v/>
      </c>
      <c r="D5781" s="45" t="str">
        <f t="shared" si="23"/>
        <v/>
      </c>
      <c r="E5781" s="45" t="str">
        <f t="shared" si="24"/>
        <v/>
      </c>
      <c r="F5781" s="59" t="str">
        <f t="shared" si="25"/>
        <v/>
      </c>
      <c r="G5781" s="59" t="str">
        <f t="shared" si="26"/>
        <v/>
      </c>
      <c r="H5781" s="59" t="str">
        <f t="shared" si="27"/>
        <v>28C05739</v>
      </c>
      <c r="I5781" s="59" t="str">
        <f>IF(OR($A5781="",$C5781="",$D5781="",$E5781="",$H5781=""),"",SUMIFS(DATA_GOC!$H:$H,DATA_GOC!$A:$A,"BOM",DATA_GOC!$D:$D,$H5781,DATA_GOC!$E:$E,$C5781,DATA_GOC!$F:$F,"Xuất nội bộ từ téc",DATA_GOC!$B:$B,"&gt;="&amp;$D5781,DATA_GOC!$B:$B,"&lt;="&amp;$E5781))</f>
        <v/>
      </c>
      <c r="J5781" s="59">
        <f t="shared" si="28"/>
        <v>0</v>
      </c>
      <c r="K5781" s="59">
        <f t="shared" si="29"/>
        <v>0</v>
      </c>
      <c r="L5781" s="59">
        <f t="shared" si="30"/>
        <v>0</v>
      </c>
      <c r="M5781" s="59">
        <f t="shared" si="31"/>
        <v>0</v>
      </c>
    </row>
    <row r="5782" ht="15.0" hidden="1" customHeight="1">
      <c r="A5782" s="59">
        <f t="shared" si="20"/>
        <v>93</v>
      </c>
      <c r="B5782" s="59" t="str">
        <f t="shared" si="21"/>
        <v/>
      </c>
      <c r="C5782" s="59" t="str">
        <f t="shared" si="22"/>
        <v/>
      </c>
      <c r="D5782" s="45" t="str">
        <f t="shared" si="23"/>
        <v/>
      </c>
      <c r="E5782" s="45" t="str">
        <f t="shared" si="24"/>
        <v/>
      </c>
      <c r="F5782" s="59" t="str">
        <f t="shared" si="25"/>
        <v/>
      </c>
      <c r="G5782" s="59" t="str">
        <f t="shared" si="26"/>
        <v/>
      </c>
      <c r="H5782" s="59" t="str">
        <f t="shared" si="27"/>
        <v>28C06369</v>
      </c>
      <c r="I5782" s="59" t="str">
        <f>IF(OR($A5782="",$C5782="",$D5782="",$E5782="",$H5782=""),"",SUMIFS(DATA_GOC!$H:$H,DATA_GOC!$A:$A,"BOM",DATA_GOC!$D:$D,$H5782,DATA_GOC!$E:$E,$C5782,DATA_GOC!$F:$F,"Xuất nội bộ từ téc",DATA_GOC!$B:$B,"&gt;="&amp;$D5782,DATA_GOC!$B:$B,"&lt;="&amp;$E5782))</f>
        <v/>
      </c>
      <c r="J5782" s="59">
        <f t="shared" si="28"/>
        <v>0</v>
      </c>
      <c r="K5782" s="59">
        <f t="shared" si="29"/>
        <v>0</v>
      </c>
      <c r="L5782" s="59">
        <f t="shared" si="30"/>
        <v>0</v>
      </c>
      <c r="M5782" s="59">
        <f t="shared" si="31"/>
        <v>0</v>
      </c>
    </row>
    <row r="5783" ht="15.0" hidden="1" customHeight="1">
      <c r="A5783" s="59">
        <f t="shared" si="20"/>
        <v>93</v>
      </c>
      <c r="B5783" s="59" t="str">
        <f t="shared" si="21"/>
        <v/>
      </c>
      <c r="C5783" s="59" t="str">
        <f t="shared" si="22"/>
        <v/>
      </c>
      <c r="D5783" s="45" t="str">
        <f t="shared" si="23"/>
        <v/>
      </c>
      <c r="E5783" s="45" t="str">
        <f t="shared" si="24"/>
        <v/>
      </c>
      <c r="F5783" s="59" t="str">
        <f t="shared" si="25"/>
        <v/>
      </c>
      <c r="G5783" s="59" t="str">
        <f t="shared" si="26"/>
        <v/>
      </c>
      <c r="H5783" s="59" t="str">
        <f t="shared" si="27"/>
        <v>28C06447</v>
      </c>
      <c r="I5783" s="59" t="str">
        <f>IF(OR($A5783="",$C5783="",$D5783="",$E5783="",$H5783=""),"",SUMIFS(DATA_GOC!$H:$H,DATA_GOC!$A:$A,"BOM",DATA_GOC!$D:$D,$H5783,DATA_GOC!$E:$E,$C5783,DATA_GOC!$F:$F,"Xuất nội bộ từ téc",DATA_GOC!$B:$B,"&gt;="&amp;$D5783,DATA_GOC!$B:$B,"&lt;="&amp;$E5783))</f>
        <v/>
      </c>
      <c r="J5783" s="59">
        <f t="shared" si="28"/>
        <v>0</v>
      </c>
      <c r="K5783" s="59">
        <f t="shared" si="29"/>
        <v>0</v>
      </c>
      <c r="L5783" s="59">
        <f t="shared" si="30"/>
        <v>0</v>
      </c>
      <c r="M5783" s="59">
        <f t="shared" si="31"/>
        <v>0</v>
      </c>
    </row>
    <row r="5784" ht="15.0" hidden="1" customHeight="1">
      <c r="A5784" s="59">
        <f t="shared" si="20"/>
        <v>93</v>
      </c>
      <c r="B5784" s="59" t="str">
        <f t="shared" si="21"/>
        <v/>
      </c>
      <c r="C5784" s="59" t="str">
        <f t="shared" si="22"/>
        <v/>
      </c>
      <c r="D5784" s="45" t="str">
        <f t="shared" si="23"/>
        <v/>
      </c>
      <c r="E5784" s="45" t="str">
        <f t="shared" si="24"/>
        <v/>
      </c>
      <c r="F5784" s="59" t="str">
        <f t="shared" si="25"/>
        <v/>
      </c>
      <c r="G5784" s="59" t="str">
        <f t="shared" si="26"/>
        <v/>
      </c>
      <c r="H5784" s="59" t="str">
        <f t="shared" si="27"/>
        <v>28H00003</v>
      </c>
      <c r="I5784" s="59" t="str">
        <f>IF(OR($A5784="",$C5784="",$D5784="",$E5784="",$H5784=""),"",SUMIFS(DATA_GOC!$H:$H,DATA_GOC!$A:$A,"BOM",DATA_GOC!$D:$D,$H5784,DATA_GOC!$E:$E,$C5784,DATA_GOC!$F:$F,"Xuất nội bộ từ téc",DATA_GOC!$B:$B,"&gt;="&amp;$D5784,DATA_GOC!$B:$B,"&lt;="&amp;$E5784))</f>
        <v/>
      </c>
      <c r="J5784" s="59">
        <f t="shared" si="28"/>
        <v>0</v>
      </c>
      <c r="K5784" s="59">
        <f t="shared" si="29"/>
        <v>0</v>
      </c>
      <c r="L5784" s="59">
        <f t="shared" si="30"/>
        <v>0</v>
      </c>
      <c r="M5784" s="59">
        <f t="shared" si="31"/>
        <v>0</v>
      </c>
    </row>
    <row r="5785" ht="15.0" hidden="1" customHeight="1">
      <c r="A5785" s="59">
        <f t="shared" si="20"/>
        <v>93</v>
      </c>
      <c r="B5785" s="59" t="str">
        <f t="shared" si="21"/>
        <v/>
      </c>
      <c r="C5785" s="59" t="str">
        <f t="shared" si="22"/>
        <v/>
      </c>
      <c r="D5785" s="45" t="str">
        <f t="shared" si="23"/>
        <v/>
      </c>
      <c r="E5785" s="45" t="str">
        <f t="shared" si="24"/>
        <v/>
      </c>
      <c r="F5785" s="59" t="str">
        <f t="shared" si="25"/>
        <v/>
      </c>
      <c r="G5785" s="59" t="str">
        <f t="shared" si="26"/>
        <v/>
      </c>
      <c r="H5785" s="59" t="str">
        <f t="shared" si="27"/>
        <v>28H00061</v>
      </c>
      <c r="I5785" s="59" t="str">
        <f>IF(OR($A5785="",$C5785="",$D5785="",$E5785="",$H5785=""),"",SUMIFS(DATA_GOC!$H:$H,DATA_GOC!$A:$A,"BOM",DATA_GOC!$D:$D,$H5785,DATA_GOC!$E:$E,$C5785,DATA_GOC!$F:$F,"Xuất nội bộ từ téc",DATA_GOC!$B:$B,"&gt;="&amp;$D5785,DATA_GOC!$B:$B,"&lt;="&amp;$E5785))</f>
        <v/>
      </c>
      <c r="J5785" s="59">
        <f t="shared" si="28"/>
        <v>0</v>
      </c>
      <c r="K5785" s="59">
        <f t="shared" si="29"/>
        <v>0</v>
      </c>
      <c r="L5785" s="59">
        <f t="shared" si="30"/>
        <v>0</v>
      </c>
      <c r="M5785" s="59">
        <f t="shared" si="31"/>
        <v>0</v>
      </c>
    </row>
    <row r="5786" ht="15.0" hidden="1" customHeight="1">
      <c r="A5786" s="59">
        <f t="shared" si="20"/>
        <v>93</v>
      </c>
      <c r="B5786" s="59" t="str">
        <f t="shared" si="21"/>
        <v/>
      </c>
      <c r="C5786" s="59" t="str">
        <f t="shared" si="22"/>
        <v/>
      </c>
      <c r="D5786" s="45" t="str">
        <f t="shared" si="23"/>
        <v/>
      </c>
      <c r="E5786" s="45" t="str">
        <f t="shared" si="24"/>
        <v/>
      </c>
      <c r="F5786" s="59" t="str">
        <f t="shared" si="25"/>
        <v/>
      </c>
      <c r="G5786" s="59" t="str">
        <f t="shared" si="26"/>
        <v/>
      </c>
      <c r="H5786" s="59" t="str">
        <f t="shared" si="27"/>
        <v>28H00354</v>
      </c>
      <c r="I5786" s="59" t="str">
        <f>IF(OR($A5786="",$C5786="",$D5786="",$E5786="",$H5786=""),"",SUMIFS(DATA_GOC!$H:$H,DATA_GOC!$A:$A,"BOM",DATA_GOC!$D:$D,$H5786,DATA_GOC!$E:$E,$C5786,DATA_GOC!$F:$F,"Xuất nội bộ từ téc",DATA_GOC!$B:$B,"&gt;="&amp;$D5786,DATA_GOC!$B:$B,"&lt;="&amp;$E5786))</f>
        <v/>
      </c>
      <c r="J5786" s="59">
        <f t="shared" si="28"/>
        <v>0</v>
      </c>
      <c r="K5786" s="59">
        <f t="shared" si="29"/>
        <v>0</v>
      </c>
      <c r="L5786" s="59">
        <f t="shared" si="30"/>
        <v>0</v>
      </c>
      <c r="M5786" s="59">
        <f t="shared" si="31"/>
        <v>0</v>
      </c>
    </row>
    <row r="5787" ht="15.0" hidden="1" customHeight="1">
      <c r="A5787" s="59">
        <f t="shared" si="20"/>
        <v>93</v>
      </c>
      <c r="B5787" s="59" t="str">
        <f t="shared" si="21"/>
        <v/>
      </c>
      <c r="C5787" s="59" t="str">
        <f t="shared" si="22"/>
        <v/>
      </c>
      <c r="D5787" s="45" t="str">
        <f t="shared" si="23"/>
        <v/>
      </c>
      <c r="E5787" s="45" t="str">
        <f t="shared" si="24"/>
        <v/>
      </c>
      <c r="F5787" s="59" t="str">
        <f t="shared" si="25"/>
        <v/>
      </c>
      <c r="G5787" s="59" t="str">
        <f t="shared" si="26"/>
        <v/>
      </c>
      <c r="H5787" s="59" t="str">
        <f t="shared" si="27"/>
        <v>28H00603</v>
      </c>
      <c r="I5787" s="59" t="str">
        <f>IF(OR($A5787="",$C5787="",$D5787="",$E5787="",$H5787=""),"",SUMIFS(DATA_GOC!$H:$H,DATA_GOC!$A:$A,"BOM",DATA_GOC!$D:$D,$H5787,DATA_GOC!$E:$E,$C5787,DATA_GOC!$F:$F,"Xuất nội bộ từ téc",DATA_GOC!$B:$B,"&gt;="&amp;$D5787,DATA_GOC!$B:$B,"&lt;="&amp;$E5787))</f>
        <v/>
      </c>
      <c r="J5787" s="59">
        <f t="shared" si="28"/>
        <v>0</v>
      </c>
      <c r="K5787" s="59">
        <f t="shared" si="29"/>
        <v>0</v>
      </c>
      <c r="L5787" s="59">
        <f t="shared" si="30"/>
        <v>0</v>
      </c>
      <c r="M5787" s="59">
        <f t="shared" si="31"/>
        <v>0</v>
      </c>
    </row>
    <row r="5788" ht="15.0" hidden="1" customHeight="1">
      <c r="A5788" s="59">
        <f t="shared" si="20"/>
        <v>93</v>
      </c>
      <c r="B5788" s="59" t="str">
        <f t="shared" si="21"/>
        <v/>
      </c>
      <c r="C5788" s="59" t="str">
        <f t="shared" si="22"/>
        <v/>
      </c>
      <c r="D5788" s="45" t="str">
        <f t="shared" si="23"/>
        <v/>
      </c>
      <c r="E5788" s="45" t="str">
        <f t="shared" si="24"/>
        <v/>
      </c>
      <c r="F5788" s="59" t="str">
        <f t="shared" si="25"/>
        <v/>
      </c>
      <c r="G5788" s="59" t="str">
        <f t="shared" si="26"/>
        <v/>
      </c>
      <c r="H5788" s="59" t="str">
        <f t="shared" si="27"/>
        <v>28H00609</v>
      </c>
      <c r="I5788" s="59" t="str">
        <f>IF(OR($A5788="",$C5788="",$D5788="",$E5788="",$H5788=""),"",SUMIFS(DATA_GOC!$H:$H,DATA_GOC!$A:$A,"BOM",DATA_GOC!$D:$D,$H5788,DATA_GOC!$E:$E,$C5788,DATA_GOC!$F:$F,"Xuất nội bộ từ téc",DATA_GOC!$B:$B,"&gt;="&amp;$D5788,DATA_GOC!$B:$B,"&lt;="&amp;$E5788))</f>
        <v/>
      </c>
      <c r="J5788" s="59">
        <f t="shared" si="28"/>
        <v>0</v>
      </c>
      <c r="K5788" s="59">
        <f t="shared" si="29"/>
        <v>0</v>
      </c>
      <c r="L5788" s="59">
        <f t="shared" si="30"/>
        <v>0</v>
      </c>
      <c r="M5788" s="59">
        <f t="shared" si="31"/>
        <v>0</v>
      </c>
    </row>
    <row r="5789" ht="15.0" hidden="1" customHeight="1">
      <c r="A5789" s="59">
        <f t="shared" si="20"/>
        <v>93</v>
      </c>
      <c r="B5789" s="59" t="str">
        <f t="shared" si="21"/>
        <v/>
      </c>
      <c r="C5789" s="59" t="str">
        <f t="shared" si="22"/>
        <v/>
      </c>
      <c r="D5789" s="45" t="str">
        <f t="shared" si="23"/>
        <v/>
      </c>
      <c r="E5789" s="45" t="str">
        <f t="shared" si="24"/>
        <v/>
      </c>
      <c r="F5789" s="59" t="str">
        <f t="shared" si="25"/>
        <v/>
      </c>
      <c r="G5789" s="59" t="str">
        <f t="shared" si="26"/>
        <v/>
      </c>
      <c r="H5789" s="59" t="str">
        <f t="shared" si="27"/>
        <v>28H00669</v>
      </c>
      <c r="I5789" s="59" t="str">
        <f>IF(OR($A5789="",$C5789="",$D5789="",$E5789="",$H5789=""),"",SUMIFS(DATA_GOC!$H:$H,DATA_GOC!$A:$A,"BOM",DATA_GOC!$D:$D,$H5789,DATA_GOC!$E:$E,$C5789,DATA_GOC!$F:$F,"Xuất nội bộ từ téc",DATA_GOC!$B:$B,"&gt;="&amp;$D5789,DATA_GOC!$B:$B,"&lt;="&amp;$E5789))</f>
        <v/>
      </c>
      <c r="J5789" s="59">
        <f t="shared" si="28"/>
        <v>0</v>
      </c>
      <c r="K5789" s="59">
        <f t="shared" si="29"/>
        <v>0</v>
      </c>
      <c r="L5789" s="59">
        <f t="shared" si="30"/>
        <v>0</v>
      </c>
      <c r="M5789" s="59">
        <f t="shared" si="31"/>
        <v>0</v>
      </c>
    </row>
    <row r="5790" ht="15.0" hidden="1" customHeight="1">
      <c r="A5790" s="59">
        <f t="shared" si="20"/>
        <v>93</v>
      </c>
      <c r="B5790" s="59" t="str">
        <f t="shared" si="21"/>
        <v/>
      </c>
      <c r="C5790" s="59" t="str">
        <f t="shared" si="22"/>
        <v/>
      </c>
      <c r="D5790" s="45" t="str">
        <f t="shared" si="23"/>
        <v/>
      </c>
      <c r="E5790" s="45" t="str">
        <f t="shared" si="24"/>
        <v/>
      </c>
      <c r="F5790" s="59" t="str">
        <f t="shared" si="25"/>
        <v/>
      </c>
      <c r="G5790" s="59" t="str">
        <f t="shared" si="26"/>
        <v/>
      </c>
      <c r="H5790" s="59" t="str">
        <f t="shared" si="27"/>
        <v>28H00680</v>
      </c>
      <c r="I5790" s="59" t="str">
        <f>IF(OR($A5790="",$C5790="",$D5790="",$E5790="",$H5790=""),"",SUMIFS(DATA_GOC!$H:$H,DATA_GOC!$A:$A,"BOM",DATA_GOC!$D:$D,$H5790,DATA_GOC!$E:$E,$C5790,DATA_GOC!$F:$F,"Xuất nội bộ từ téc",DATA_GOC!$B:$B,"&gt;="&amp;$D5790,DATA_GOC!$B:$B,"&lt;="&amp;$E5790))</f>
        <v/>
      </c>
      <c r="J5790" s="59">
        <f t="shared" si="28"/>
        <v>0</v>
      </c>
      <c r="K5790" s="59">
        <f t="shared" si="29"/>
        <v>0</v>
      </c>
      <c r="L5790" s="59">
        <f t="shared" si="30"/>
        <v>0</v>
      </c>
      <c r="M5790" s="59">
        <f t="shared" si="31"/>
        <v>0</v>
      </c>
    </row>
    <row r="5791" ht="15.0" hidden="1" customHeight="1">
      <c r="A5791" s="59">
        <f t="shared" si="20"/>
        <v>93</v>
      </c>
      <c r="B5791" s="59" t="str">
        <f t="shared" si="21"/>
        <v/>
      </c>
      <c r="C5791" s="59" t="str">
        <f t="shared" si="22"/>
        <v/>
      </c>
      <c r="D5791" s="45" t="str">
        <f t="shared" si="23"/>
        <v/>
      </c>
      <c r="E5791" s="45" t="str">
        <f t="shared" si="24"/>
        <v/>
      </c>
      <c r="F5791" s="59" t="str">
        <f t="shared" si="25"/>
        <v/>
      </c>
      <c r="G5791" s="59" t="str">
        <f t="shared" si="26"/>
        <v/>
      </c>
      <c r="H5791" s="59" t="str">
        <f t="shared" si="27"/>
        <v>28H01070</v>
      </c>
      <c r="I5791" s="59" t="str">
        <f>IF(OR($A5791="",$C5791="",$D5791="",$E5791="",$H5791=""),"",SUMIFS(DATA_GOC!$H:$H,DATA_GOC!$A:$A,"BOM",DATA_GOC!$D:$D,$H5791,DATA_GOC!$E:$E,$C5791,DATA_GOC!$F:$F,"Xuất nội bộ từ téc",DATA_GOC!$B:$B,"&gt;="&amp;$D5791,DATA_GOC!$B:$B,"&lt;="&amp;$E5791))</f>
        <v/>
      </c>
      <c r="J5791" s="59">
        <f t="shared" si="28"/>
        <v>0</v>
      </c>
      <c r="K5791" s="59">
        <f t="shared" si="29"/>
        <v>0</v>
      </c>
      <c r="L5791" s="59">
        <f t="shared" si="30"/>
        <v>0</v>
      </c>
      <c r="M5791" s="59">
        <f t="shared" si="31"/>
        <v>0</v>
      </c>
    </row>
    <row r="5792" ht="15.0" hidden="1" customHeight="1">
      <c r="A5792" s="59">
        <f t="shared" si="20"/>
        <v>93</v>
      </c>
      <c r="B5792" s="59" t="str">
        <f t="shared" si="21"/>
        <v/>
      </c>
      <c r="C5792" s="59" t="str">
        <f t="shared" si="22"/>
        <v/>
      </c>
      <c r="D5792" s="45" t="str">
        <f t="shared" si="23"/>
        <v/>
      </c>
      <c r="E5792" s="45" t="str">
        <f t="shared" si="24"/>
        <v/>
      </c>
      <c r="F5792" s="59" t="str">
        <f t="shared" si="25"/>
        <v/>
      </c>
      <c r="G5792" s="59" t="str">
        <f t="shared" si="26"/>
        <v/>
      </c>
      <c r="H5792" s="59" t="str">
        <f t="shared" si="27"/>
        <v>28H01364</v>
      </c>
      <c r="I5792" s="59" t="str">
        <f>IF(OR($A5792="",$C5792="",$D5792="",$E5792="",$H5792=""),"",SUMIFS(DATA_GOC!$H:$H,DATA_GOC!$A:$A,"BOM",DATA_GOC!$D:$D,$H5792,DATA_GOC!$E:$E,$C5792,DATA_GOC!$F:$F,"Xuất nội bộ từ téc",DATA_GOC!$B:$B,"&gt;="&amp;$D5792,DATA_GOC!$B:$B,"&lt;="&amp;$E5792))</f>
        <v/>
      </c>
      <c r="J5792" s="59">
        <f t="shared" si="28"/>
        <v>0</v>
      </c>
      <c r="K5792" s="59">
        <f t="shared" si="29"/>
        <v>0</v>
      </c>
      <c r="L5792" s="59">
        <f t="shared" si="30"/>
        <v>0</v>
      </c>
      <c r="M5792" s="59">
        <f t="shared" si="31"/>
        <v>0</v>
      </c>
    </row>
    <row r="5793" ht="15.0" hidden="1" customHeight="1">
      <c r="A5793" s="59">
        <f t="shared" si="20"/>
        <v>93</v>
      </c>
      <c r="B5793" s="59" t="str">
        <f t="shared" si="21"/>
        <v/>
      </c>
      <c r="C5793" s="59" t="str">
        <f t="shared" si="22"/>
        <v/>
      </c>
      <c r="D5793" s="45" t="str">
        <f t="shared" si="23"/>
        <v/>
      </c>
      <c r="E5793" s="45" t="str">
        <f t="shared" si="24"/>
        <v/>
      </c>
      <c r="F5793" s="59" t="str">
        <f t="shared" si="25"/>
        <v/>
      </c>
      <c r="G5793" s="59" t="str">
        <f t="shared" si="26"/>
        <v/>
      </c>
      <c r="H5793" s="59" t="str">
        <f t="shared" si="27"/>
        <v>29E17269</v>
      </c>
      <c r="I5793" s="59" t="str">
        <f>IF(OR($A5793="",$C5793="",$D5793="",$E5793="",$H5793=""),"",SUMIFS(DATA_GOC!$H:$H,DATA_GOC!$A:$A,"BOM",DATA_GOC!$D:$D,$H5793,DATA_GOC!$E:$E,$C5793,DATA_GOC!$F:$F,"Xuất nội bộ từ téc",DATA_GOC!$B:$B,"&gt;="&amp;$D5793,DATA_GOC!$B:$B,"&lt;="&amp;$E5793))</f>
        <v/>
      </c>
      <c r="J5793" s="59">
        <f t="shared" si="28"/>
        <v>0</v>
      </c>
      <c r="K5793" s="59">
        <f t="shared" si="29"/>
        <v>0</v>
      </c>
      <c r="L5793" s="59">
        <f t="shared" si="30"/>
        <v>0</v>
      </c>
      <c r="M5793" s="59">
        <f t="shared" si="31"/>
        <v>0</v>
      </c>
    </row>
    <row r="5794" ht="15.0" hidden="1" customHeight="1">
      <c r="A5794" s="59">
        <f t="shared" si="20"/>
        <v>93</v>
      </c>
      <c r="B5794" s="59" t="str">
        <f t="shared" si="21"/>
        <v/>
      </c>
      <c r="C5794" s="59" t="str">
        <f t="shared" si="22"/>
        <v/>
      </c>
      <c r="D5794" s="45" t="str">
        <f t="shared" si="23"/>
        <v/>
      </c>
      <c r="E5794" s="45" t="str">
        <f t="shared" si="24"/>
        <v/>
      </c>
      <c r="F5794" s="59" t="str">
        <f t="shared" si="25"/>
        <v/>
      </c>
      <c r="G5794" s="59" t="str">
        <f t="shared" si="26"/>
        <v/>
      </c>
      <c r="H5794" s="59" t="str">
        <f t="shared" si="27"/>
        <v>29E17273</v>
      </c>
      <c r="I5794" s="59" t="str">
        <f>IF(OR($A5794="",$C5794="",$D5794="",$E5794="",$H5794=""),"",SUMIFS(DATA_GOC!$H:$H,DATA_GOC!$A:$A,"BOM",DATA_GOC!$D:$D,$H5794,DATA_GOC!$E:$E,$C5794,DATA_GOC!$F:$F,"Xuất nội bộ từ téc",DATA_GOC!$B:$B,"&gt;="&amp;$D5794,DATA_GOC!$B:$B,"&lt;="&amp;$E5794))</f>
        <v/>
      </c>
      <c r="J5794" s="59">
        <f t="shared" si="28"/>
        <v>0</v>
      </c>
      <c r="K5794" s="59">
        <f t="shared" si="29"/>
        <v>0</v>
      </c>
      <c r="L5794" s="59">
        <f t="shared" si="30"/>
        <v>0</v>
      </c>
      <c r="M5794" s="59">
        <f t="shared" si="31"/>
        <v>0</v>
      </c>
    </row>
    <row r="5795" ht="15.0" hidden="1" customHeight="1">
      <c r="A5795" s="59">
        <f t="shared" si="20"/>
        <v>93</v>
      </c>
      <c r="B5795" s="59" t="str">
        <f t="shared" si="21"/>
        <v/>
      </c>
      <c r="C5795" s="59" t="str">
        <f t="shared" si="22"/>
        <v/>
      </c>
      <c r="D5795" s="45" t="str">
        <f t="shared" si="23"/>
        <v/>
      </c>
      <c r="E5795" s="45" t="str">
        <f t="shared" si="24"/>
        <v/>
      </c>
      <c r="F5795" s="59" t="str">
        <f t="shared" si="25"/>
        <v/>
      </c>
      <c r="G5795" s="59" t="str">
        <f t="shared" si="26"/>
        <v/>
      </c>
      <c r="H5795" s="59" t="str">
        <f t="shared" si="27"/>
        <v>29E17410</v>
      </c>
      <c r="I5795" s="59" t="str">
        <f>IF(OR($A5795="",$C5795="",$D5795="",$E5795="",$H5795=""),"",SUMIFS(DATA_GOC!$H:$H,DATA_GOC!$A:$A,"BOM",DATA_GOC!$D:$D,$H5795,DATA_GOC!$E:$E,$C5795,DATA_GOC!$F:$F,"Xuất nội bộ từ téc",DATA_GOC!$B:$B,"&gt;="&amp;$D5795,DATA_GOC!$B:$B,"&lt;="&amp;$E5795))</f>
        <v/>
      </c>
      <c r="J5795" s="59">
        <f t="shared" si="28"/>
        <v>0</v>
      </c>
      <c r="K5795" s="59">
        <f t="shared" si="29"/>
        <v>0</v>
      </c>
      <c r="L5795" s="59">
        <f t="shared" si="30"/>
        <v>0</v>
      </c>
      <c r="M5795" s="59">
        <f t="shared" si="31"/>
        <v>0</v>
      </c>
    </row>
    <row r="5796" ht="15.0" hidden="1" customHeight="1">
      <c r="A5796" s="59">
        <f t="shared" si="20"/>
        <v>93</v>
      </c>
      <c r="B5796" s="59" t="str">
        <f t="shared" si="21"/>
        <v/>
      </c>
      <c r="C5796" s="59" t="str">
        <f t="shared" si="22"/>
        <v/>
      </c>
      <c r="D5796" s="45" t="str">
        <f t="shared" si="23"/>
        <v/>
      </c>
      <c r="E5796" s="45" t="str">
        <f t="shared" si="24"/>
        <v/>
      </c>
      <c r="F5796" s="59" t="str">
        <f t="shared" si="25"/>
        <v/>
      </c>
      <c r="G5796" s="59" t="str">
        <f t="shared" si="26"/>
        <v/>
      </c>
      <c r="H5796" s="59" t="str">
        <f t="shared" si="27"/>
        <v>29E17417</v>
      </c>
      <c r="I5796" s="59" t="str">
        <f>IF(OR($A5796="",$C5796="",$D5796="",$E5796="",$H5796=""),"",SUMIFS(DATA_GOC!$H:$H,DATA_GOC!$A:$A,"BOM",DATA_GOC!$D:$D,$H5796,DATA_GOC!$E:$E,$C5796,DATA_GOC!$F:$F,"Xuất nội bộ từ téc",DATA_GOC!$B:$B,"&gt;="&amp;$D5796,DATA_GOC!$B:$B,"&lt;="&amp;$E5796))</f>
        <v/>
      </c>
      <c r="J5796" s="59">
        <f t="shared" si="28"/>
        <v>0</v>
      </c>
      <c r="K5796" s="59">
        <f t="shared" si="29"/>
        <v>0</v>
      </c>
      <c r="L5796" s="59">
        <f t="shared" si="30"/>
        <v>0</v>
      </c>
      <c r="M5796" s="59">
        <f t="shared" si="31"/>
        <v>0</v>
      </c>
    </row>
    <row r="5797" ht="15.0" hidden="1" customHeight="1">
      <c r="A5797" s="59">
        <f t="shared" si="20"/>
        <v>93</v>
      </c>
      <c r="B5797" s="59" t="str">
        <f t="shared" si="21"/>
        <v/>
      </c>
      <c r="C5797" s="59" t="str">
        <f t="shared" si="22"/>
        <v/>
      </c>
      <c r="D5797" s="45" t="str">
        <f t="shared" si="23"/>
        <v/>
      </c>
      <c r="E5797" s="45" t="str">
        <f t="shared" si="24"/>
        <v/>
      </c>
      <c r="F5797" s="59" t="str">
        <f t="shared" si="25"/>
        <v/>
      </c>
      <c r="G5797" s="59" t="str">
        <f t="shared" si="26"/>
        <v/>
      </c>
      <c r="H5797" s="59" t="str">
        <f t="shared" si="27"/>
        <v>29E17539</v>
      </c>
      <c r="I5797" s="59" t="str">
        <f>IF(OR($A5797="",$C5797="",$D5797="",$E5797="",$H5797=""),"",SUMIFS(DATA_GOC!$H:$H,DATA_GOC!$A:$A,"BOM",DATA_GOC!$D:$D,$H5797,DATA_GOC!$E:$E,$C5797,DATA_GOC!$F:$F,"Xuất nội bộ từ téc",DATA_GOC!$B:$B,"&gt;="&amp;$D5797,DATA_GOC!$B:$B,"&lt;="&amp;$E5797))</f>
        <v/>
      </c>
      <c r="J5797" s="59">
        <f t="shared" si="28"/>
        <v>0</v>
      </c>
      <c r="K5797" s="59">
        <f t="shared" si="29"/>
        <v>0</v>
      </c>
      <c r="L5797" s="59">
        <f t="shared" si="30"/>
        <v>0</v>
      </c>
      <c r="M5797" s="59">
        <f t="shared" si="31"/>
        <v>0</v>
      </c>
    </row>
    <row r="5798" ht="15.0" hidden="1" customHeight="1">
      <c r="A5798" s="59">
        <f t="shared" si="20"/>
        <v>93</v>
      </c>
      <c r="B5798" s="59" t="str">
        <f t="shared" si="21"/>
        <v/>
      </c>
      <c r="C5798" s="59" t="str">
        <f t="shared" si="22"/>
        <v/>
      </c>
      <c r="D5798" s="45" t="str">
        <f t="shared" si="23"/>
        <v/>
      </c>
      <c r="E5798" s="45" t="str">
        <f t="shared" si="24"/>
        <v/>
      </c>
      <c r="F5798" s="59" t="str">
        <f t="shared" si="25"/>
        <v/>
      </c>
      <c r="G5798" s="59" t="str">
        <f t="shared" si="26"/>
        <v/>
      </c>
      <c r="H5798" s="59" t="str">
        <f t="shared" si="27"/>
        <v>29E18160</v>
      </c>
      <c r="I5798" s="59" t="str">
        <f>IF(OR($A5798="",$C5798="",$D5798="",$E5798="",$H5798=""),"",SUMIFS(DATA_GOC!$H:$H,DATA_GOC!$A:$A,"BOM",DATA_GOC!$D:$D,$H5798,DATA_GOC!$E:$E,$C5798,DATA_GOC!$F:$F,"Xuất nội bộ từ téc",DATA_GOC!$B:$B,"&gt;="&amp;$D5798,DATA_GOC!$B:$B,"&lt;="&amp;$E5798))</f>
        <v/>
      </c>
      <c r="J5798" s="59">
        <f t="shared" si="28"/>
        <v>0</v>
      </c>
      <c r="K5798" s="59">
        <f t="shared" si="29"/>
        <v>0</v>
      </c>
      <c r="L5798" s="59">
        <f t="shared" si="30"/>
        <v>0</v>
      </c>
      <c r="M5798" s="59">
        <f t="shared" si="31"/>
        <v>0</v>
      </c>
    </row>
    <row r="5799" ht="15.0" hidden="1" customHeight="1">
      <c r="A5799" s="59">
        <f t="shared" si="20"/>
        <v>93</v>
      </c>
      <c r="B5799" s="59" t="str">
        <f t="shared" si="21"/>
        <v/>
      </c>
      <c r="C5799" s="59" t="str">
        <f t="shared" si="22"/>
        <v/>
      </c>
      <c r="D5799" s="45" t="str">
        <f t="shared" si="23"/>
        <v/>
      </c>
      <c r="E5799" s="45" t="str">
        <f t="shared" si="24"/>
        <v/>
      </c>
      <c r="F5799" s="59" t="str">
        <f t="shared" si="25"/>
        <v/>
      </c>
      <c r="G5799" s="59" t="str">
        <f t="shared" si="26"/>
        <v/>
      </c>
      <c r="H5799" s="59" t="str">
        <f t="shared" si="27"/>
        <v>Công trình Asphalt</v>
      </c>
      <c r="I5799" s="59" t="str">
        <f>IF(OR($A5799="",$C5799="",$D5799="",$E5799="",$H5799=""),"",SUMIFS(DATA_GOC!$H:$H,DATA_GOC!$A:$A,"BOM",DATA_GOC!$D:$D,$H5799,DATA_GOC!$E:$E,$C5799,DATA_GOC!$F:$F,"Xuất nội bộ từ téc",DATA_GOC!$B:$B,"&gt;="&amp;$D5799,DATA_GOC!$B:$B,"&lt;="&amp;$E5799))</f>
        <v/>
      </c>
      <c r="J5799" s="59">
        <f t="shared" si="28"/>
        <v>0</v>
      </c>
      <c r="K5799" s="59">
        <f t="shared" si="29"/>
        <v>0</v>
      </c>
      <c r="L5799" s="59">
        <f t="shared" si="30"/>
        <v>0</v>
      </c>
      <c r="M5799" s="59">
        <f t="shared" si="31"/>
        <v>0</v>
      </c>
    </row>
    <row r="5800" ht="15.0" hidden="1" customHeight="1">
      <c r="A5800" s="59">
        <f t="shared" si="20"/>
        <v>93</v>
      </c>
      <c r="B5800" s="59" t="str">
        <f t="shared" si="21"/>
        <v/>
      </c>
      <c r="C5800" s="59" t="str">
        <f t="shared" si="22"/>
        <v/>
      </c>
      <c r="D5800" s="45" t="str">
        <f t="shared" si="23"/>
        <v/>
      </c>
      <c r="E5800" s="45" t="str">
        <f t="shared" si="24"/>
        <v/>
      </c>
      <c r="F5800" s="59" t="str">
        <f t="shared" si="25"/>
        <v/>
      </c>
      <c r="G5800" s="59" t="str">
        <f t="shared" si="26"/>
        <v/>
      </c>
      <c r="H5800" s="59" t="str">
        <f t="shared" si="27"/>
        <v>LG53F</v>
      </c>
      <c r="I5800" s="59" t="str">
        <f>IF(OR($A5800="",$C5800="",$D5800="",$E5800="",$H5800=""),"",SUMIFS(DATA_GOC!$H:$H,DATA_GOC!$A:$A,"BOM",DATA_GOC!$D:$D,$H5800,DATA_GOC!$E:$E,$C5800,DATA_GOC!$F:$F,"Xuất nội bộ từ téc",DATA_GOC!$B:$B,"&gt;="&amp;$D5800,DATA_GOC!$B:$B,"&lt;="&amp;$E5800))</f>
        <v/>
      </c>
      <c r="J5800" s="59">
        <f t="shared" si="28"/>
        <v>0</v>
      </c>
      <c r="K5800" s="59">
        <f t="shared" si="29"/>
        <v>0</v>
      </c>
      <c r="L5800" s="59">
        <f t="shared" si="30"/>
        <v>0</v>
      </c>
      <c r="M5800" s="59">
        <f t="shared" si="31"/>
        <v>0</v>
      </c>
    </row>
    <row r="5801" ht="15.0" hidden="1" customHeight="1">
      <c r="A5801" s="59">
        <f t="shared" si="20"/>
        <v>93</v>
      </c>
      <c r="B5801" s="59" t="str">
        <f t="shared" si="21"/>
        <v/>
      </c>
      <c r="C5801" s="59" t="str">
        <f t="shared" si="22"/>
        <v/>
      </c>
      <c r="D5801" s="45" t="str">
        <f t="shared" si="23"/>
        <v/>
      </c>
      <c r="E5801" s="45" t="str">
        <f t="shared" si="24"/>
        <v/>
      </c>
      <c r="F5801" s="59" t="str">
        <f t="shared" si="25"/>
        <v/>
      </c>
      <c r="G5801" s="59" t="str">
        <f t="shared" si="26"/>
        <v/>
      </c>
      <c r="H5801" s="59" t="str">
        <f t="shared" si="27"/>
        <v>Máy phát điện</v>
      </c>
      <c r="I5801" s="59" t="str">
        <f>IF(OR($A5801="",$C5801="",$D5801="",$E5801="",$H5801=""),"",SUMIFS(DATA_GOC!$H:$H,DATA_GOC!$A:$A,"BOM",DATA_GOC!$D:$D,$H5801,DATA_GOC!$E:$E,$C5801,DATA_GOC!$F:$F,"Xuất nội bộ từ téc",DATA_GOC!$B:$B,"&gt;="&amp;$D5801,DATA_GOC!$B:$B,"&lt;="&amp;$E5801))</f>
        <v/>
      </c>
      <c r="J5801" s="59">
        <f t="shared" si="28"/>
        <v>0</v>
      </c>
      <c r="K5801" s="59">
        <f t="shared" si="29"/>
        <v>0</v>
      </c>
      <c r="L5801" s="59">
        <f t="shared" si="30"/>
        <v>0</v>
      </c>
      <c r="M5801" s="59">
        <f t="shared" si="31"/>
        <v>0</v>
      </c>
    </row>
    <row r="5802" ht="15.0" hidden="1" customHeight="1">
      <c r="A5802" s="59">
        <f t="shared" si="20"/>
        <v>93</v>
      </c>
      <c r="B5802" s="59" t="str">
        <f t="shared" si="21"/>
        <v/>
      </c>
      <c r="C5802" s="59" t="str">
        <f t="shared" si="22"/>
        <v/>
      </c>
      <c r="D5802" s="45" t="str">
        <f t="shared" si="23"/>
        <v/>
      </c>
      <c r="E5802" s="45" t="str">
        <f t="shared" si="24"/>
        <v/>
      </c>
      <c r="F5802" s="59" t="str">
        <f t="shared" si="25"/>
        <v/>
      </c>
      <c r="G5802" s="59" t="str">
        <f t="shared" si="26"/>
        <v/>
      </c>
      <c r="H5802" s="59" t="str">
        <f t="shared" si="27"/>
        <v>Máy rải thảm</v>
      </c>
      <c r="I5802" s="59" t="str">
        <f>IF(OR($A5802="",$C5802="",$D5802="",$E5802="",$H5802=""),"",SUMIFS(DATA_GOC!$H:$H,DATA_GOC!$A:$A,"BOM",DATA_GOC!$D:$D,$H5802,DATA_GOC!$E:$E,$C5802,DATA_GOC!$F:$F,"Xuất nội bộ từ téc",DATA_GOC!$B:$B,"&gt;="&amp;$D5802,DATA_GOC!$B:$B,"&lt;="&amp;$E5802))</f>
        <v/>
      </c>
      <c r="J5802" s="59">
        <f t="shared" si="28"/>
        <v>0</v>
      </c>
      <c r="K5802" s="59">
        <f t="shared" si="29"/>
        <v>0</v>
      </c>
      <c r="L5802" s="59">
        <f t="shared" si="30"/>
        <v>0</v>
      </c>
      <c r="M5802" s="59">
        <f t="shared" si="31"/>
        <v>0</v>
      </c>
    </row>
    <row r="5803" ht="15.0" hidden="1" customHeight="1">
      <c r="A5803" s="59">
        <f t="shared" si="20"/>
        <v>93</v>
      </c>
      <c r="B5803" s="59" t="str">
        <f t="shared" si="21"/>
        <v/>
      </c>
      <c r="C5803" s="59" t="str">
        <f t="shared" si="22"/>
        <v/>
      </c>
      <c r="D5803" s="45" t="str">
        <f t="shared" si="23"/>
        <v/>
      </c>
      <c r="E5803" s="45" t="str">
        <f t="shared" si="24"/>
        <v/>
      </c>
      <c r="F5803" s="59" t="str">
        <f t="shared" si="25"/>
        <v/>
      </c>
      <c r="G5803" s="59" t="str">
        <f t="shared" si="26"/>
        <v/>
      </c>
      <c r="H5803" s="59" t="str">
        <f t="shared" si="27"/>
        <v>Xúc Đào</v>
      </c>
      <c r="I5803" s="59" t="str">
        <f>IF(OR($A5803="",$C5803="",$D5803="",$E5803="",$H5803=""),"",SUMIFS(DATA_GOC!$H:$H,DATA_GOC!$A:$A,"BOM",DATA_GOC!$D:$D,$H5803,DATA_GOC!$E:$E,$C5803,DATA_GOC!$F:$F,"Xuất nội bộ từ téc",DATA_GOC!$B:$B,"&gt;="&amp;$D5803,DATA_GOC!$B:$B,"&lt;="&amp;$E5803))</f>
        <v/>
      </c>
      <c r="J5803" s="59">
        <f t="shared" si="28"/>
        <v>0</v>
      </c>
      <c r="K5803" s="59">
        <f t="shared" si="29"/>
        <v>0</v>
      </c>
      <c r="L5803" s="59">
        <f t="shared" si="30"/>
        <v>0</v>
      </c>
      <c r="M5803" s="59">
        <f t="shared" si="31"/>
        <v>0</v>
      </c>
    </row>
    <row r="5804" ht="15.0" hidden="1" customHeight="1">
      <c r="A5804" s="59">
        <f t="shared" si="20"/>
        <v>93</v>
      </c>
      <c r="B5804" s="59" t="str">
        <f t="shared" si="21"/>
        <v/>
      </c>
      <c r="C5804" s="59" t="str">
        <f t="shared" si="22"/>
        <v/>
      </c>
      <c r="D5804" s="45" t="str">
        <f t="shared" si="23"/>
        <v/>
      </c>
      <c r="E5804" s="45" t="str">
        <f t="shared" si="24"/>
        <v/>
      </c>
      <c r="F5804" s="59" t="str">
        <f t="shared" si="25"/>
        <v/>
      </c>
      <c r="G5804" s="59" t="str">
        <f t="shared" si="26"/>
        <v/>
      </c>
      <c r="H5804" s="59" t="str">
        <f t="shared" si="27"/>
        <v>Xúclật asphalt</v>
      </c>
      <c r="I5804" s="59" t="str">
        <f>IF(OR($A5804="",$C5804="",$D5804="",$E5804="",$H5804=""),"",SUMIFS(DATA_GOC!$H:$H,DATA_GOC!$A:$A,"BOM",DATA_GOC!$D:$D,$H5804,DATA_GOC!$E:$E,$C5804,DATA_GOC!$F:$F,"Xuất nội bộ từ téc",DATA_GOC!$B:$B,"&gt;="&amp;$D5804,DATA_GOC!$B:$B,"&lt;="&amp;$E5804))</f>
        <v/>
      </c>
      <c r="J5804" s="59">
        <f t="shared" si="28"/>
        <v>0</v>
      </c>
      <c r="K5804" s="59">
        <f t="shared" si="29"/>
        <v>0</v>
      </c>
      <c r="L5804" s="59">
        <f t="shared" si="30"/>
        <v>0</v>
      </c>
      <c r="M5804" s="59">
        <f t="shared" si="31"/>
        <v>0</v>
      </c>
    </row>
    <row r="5805" ht="15.0" hidden="1" customHeight="1">
      <c r="A5805" s="59">
        <f t="shared" si="20"/>
        <v>93</v>
      </c>
      <c r="B5805" s="59" t="str">
        <f t="shared" si="21"/>
        <v/>
      </c>
      <c r="C5805" s="59" t="str">
        <f t="shared" si="22"/>
        <v/>
      </c>
      <c r="D5805" s="45" t="str">
        <f t="shared" si="23"/>
        <v/>
      </c>
      <c r="E5805" s="45" t="str">
        <f t="shared" si="24"/>
        <v/>
      </c>
      <c r="F5805" s="59" t="str">
        <f t="shared" si="25"/>
        <v/>
      </c>
      <c r="G5805" s="59" t="str">
        <f t="shared" si="26"/>
        <v/>
      </c>
      <c r="H5805" s="59" t="str">
        <f t="shared" si="27"/>
        <v>Xúclật855H</v>
      </c>
      <c r="I5805" s="59" t="str">
        <f>IF(OR($A5805="",$C5805="",$D5805="",$E5805="",$H5805=""),"",SUMIFS(DATA_GOC!$H:$H,DATA_GOC!$A:$A,"BOM",DATA_GOC!$D:$D,$H5805,DATA_GOC!$E:$E,$C5805,DATA_GOC!$F:$F,"Xuất nội bộ từ téc",DATA_GOC!$B:$B,"&gt;="&amp;$D5805,DATA_GOC!$B:$B,"&lt;="&amp;$E5805))</f>
        <v/>
      </c>
      <c r="J5805" s="59">
        <f t="shared" si="28"/>
        <v>0</v>
      </c>
      <c r="K5805" s="59">
        <f t="shared" si="29"/>
        <v>0</v>
      </c>
      <c r="L5805" s="59">
        <f t="shared" si="30"/>
        <v>0</v>
      </c>
      <c r="M5805" s="59">
        <f t="shared" si="31"/>
        <v>0</v>
      </c>
    </row>
    <row r="5806" ht="15.0" hidden="1" customHeight="1">
      <c r="A5806" s="59">
        <f t="shared" si="20"/>
        <v>93</v>
      </c>
      <c r="B5806" s="59" t="str">
        <f t="shared" si="21"/>
        <v/>
      </c>
      <c r="C5806" s="59" t="str">
        <f t="shared" si="22"/>
        <v/>
      </c>
      <c r="D5806" s="45" t="str">
        <f t="shared" si="23"/>
        <v/>
      </c>
      <c r="E5806" s="45" t="str">
        <f t="shared" si="24"/>
        <v/>
      </c>
      <c r="F5806" s="59" t="str">
        <f t="shared" si="25"/>
        <v/>
      </c>
      <c r="G5806" s="59" t="str">
        <f t="shared" si="26"/>
        <v/>
      </c>
      <c r="H5806" s="59" t="str">
        <f t="shared" si="27"/>
        <v>Xúclật855N</v>
      </c>
      <c r="I5806" s="59" t="str">
        <f>IF(OR($A5806="",$C5806="",$D5806="",$E5806="",$H5806=""),"",SUMIFS(DATA_GOC!$H:$H,DATA_GOC!$A:$A,"BOM",DATA_GOC!$D:$D,$H5806,DATA_GOC!$E:$E,$C5806,DATA_GOC!$F:$F,"Xuất nội bộ từ téc",DATA_GOC!$B:$B,"&gt;="&amp;$D5806,DATA_GOC!$B:$B,"&lt;="&amp;$E5806))</f>
        <v/>
      </c>
      <c r="J5806" s="59">
        <f t="shared" si="28"/>
        <v>0</v>
      </c>
      <c r="K5806" s="59">
        <f t="shared" si="29"/>
        <v>0</v>
      </c>
      <c r="L5806" s="59">
        <f t="shared" si="30"/>
        <v>0</v>
      </c>
      <c r="M5806" s="59">
        <f t="shared" si="31"/>
        <v>0</v>
      </c>
    </row>
    <row r="5807" ht="15.0" hidden="1" customHeight="1">
      <c r="A5807" s="59">
        <f t="shared" si="20"/>
        <v>93</v>
      </c>
      <c r="B5807" s="59" t="str">
        <f t="shared" si="21"/>
        <v/>
      </c>
      <c r="C5807" s="59" t="str">
        <f t="shared" si="22"/>
        <v/>
      </c>
      <c r="D5807" s="45" t="str">
        <f t="shared" si="23"/>
        <v/>
      </c>
      <c r="E5807" s="45" t="str">
        <f t="shared" si="24"/>
        <v/>
      </c>
      <c r="F5807" s="59" t="str">
        <f t="shared" si="25"/>
        <v/>
      </c>
      <c r="G5807" s="59" t="str">
        <f t="shared" si="26"/>
        <v/>
      </c>
      <c r="H5807" s="59" t="str">
        <f t="shared" si="27"/>
        <v>Cát nghiền</v>
      </c>
      <c r="I5807" s="59" t="str">
        <f>IF(OR($A5807="",$C5807="",$D5807="",$E5807="",$H5807=""),"",SUMIFS(DATA_GOC!$H:$H,DATA_GOC!$A:$A,"BOM",DATA_GOC!$D:$D,$H5807,DATA_GOC!$E:$E,$C5807,DATA_GOC!$F:$F,"Xuất nội bộ từ téc",DATA_GOC!$B:$B,"&gt;="&amp;$D5807,DATA_GOC!$B:$B,"&lt;="&amp;$E5807))</f>
        <v/>
      </c>
      <c r="J5807" s="59">
        <f t="shared" si="28"/>
        <v>0</v>
      </c>
      <c r="K5807" s="59">
        <f t="shared" si="29"/>
        <v>0</v>
      </c>
      <c r="L5807" s="59">
        <f t="shared" si="30"/>
        <v>0</v>
      </c>
      <c r="M5807" s="59">
        <f t="shared" si="31"/>
        <v>0</v>
      </c>
    </row>
    <row r="5808" ht="15.0" hidden="1" customHeight="1">
      <c r="A5808" s="59">
        <f t="shared" si="20"/>
        <v>93</v>
      </c>
      <c r="B5808" s="59" t="str">
        <f t="shared" si="21"/>
        <v/>
      </c>
      <c r="C5808" s="59" t="str">
        <f t="shared" si="22"/>
        <v/>
      </c>
      <c r="D5808" s="45" t="str">
        <f t="shared" si="23"/>
        <v/>
      </c>
      <c r="E5808" s="45" t="str">
        <f t="shared" si="24"/>
        <v/>
      </c>
      <c r="F5808" s="59" t="str">
        <f t="shared" si="25"/>
        <v/>
      </c>
      <c r="G5808" s="59" t="str">
        <f t="shared" si="26"/>
        <v/>
      </c>
      <c r="H5808" s="59" t="str">
        <f t="shared" si="27"/>
        <v>28C02973</v>
      </c>
      <c r="I5808" s="59" t="str">
        <f>IF(OR($A5808="",$C5808="",$D5808="",$E5808="",$H5808=""),"",SUMIFS(DATA_GOC!$H:$H,DATA_GOC!$A:$A,"BOM",DATA_GOC!$D:$D,$H5808,DATA_GOC!$E:$E,$C5808,DATA_GOC!$F:$F,"Xuất nội bộ từ téc",DATA_GOC!$B:$B,"&gt;="&amp;$D5808,DATA_GOC!$B:$B,"&lt;="&amp;$E5808))</f>
        <v/>
      </c>
      <c r="J5808" s="59">
        <f t="shared" si="28"/>
        <v>0</v>
      </c>
      <c r="K5808" s="59">
        <f t="shared" si="29"/>
        <v>0</v>
      </c>
      <c r="L5808" s="59">
        <f t="shared" si="30"/>
        <v>0</v>
      </c>
      <c r="M5808" s="59">
        <f t="shared" si="31"/>
        <v>0</v>
      </c>
    </row>
    <row r="5809" ht="15.0" hidden="1" customHeight="1">
      <c r="A5809" s="59">
        <f t="shared" si="20"/>
        <v>93</v>
      </c>
      <c r="B5809" s="59" t="str">
        <f t="shared" si="21"/>
        <v/>
      </c>
      <c r="C5809" s="59" t="str">
        <f t="shared" si="22"/>
        <v/>
      </c>
      <c r="D5809" s="45" t="str">
        <f t="shared" si="23"/>
        <v/>
      </c>
      <c r="E5809" s="45" t="str">
        <f t="shared" si="24"/>
        <v/>
      </c>
      <c r="F5809" s="59" t="str">
        <f t="shared" si="25"/>
        <v/>
      </c>
      <c r="G5809" s="59" t="str">
        <f t="shared" si="26"/>
        <v/>
      </c>
      <c r="H5809" s="59" t="str">
        <f t="shared" si="27"/>
        <v>28C03044</v>
      </c>
      <c r="I5809" s="59" t="str">
        <f>IF(OR($A5809="",$C5809="",$D5809="",$E5809="",$H5809=""),"",SUMIFS(DATA_GOC!$H:$H,DATA_GOC!$A:$A,"BOM",DATA_GOC!$D:$D,$H5809,DATA_GOC!$E:$E,$C5809,DATA_GOC!$F:$F,"Xuất nội bộ từ téc",DATA_GOC!$B:$B,"&gt;="&amp;$D5809,DATA_GOC!$B:$B,"&lt;="&amp;$E5809))</f>
        <v/>
      </c>
      <c r="J5809" s="59">
        <f t="shared" si="28"/>
        <v>0</v>
      </c>
      <c r="K5809" s="59">
        <f t="shared" si="29"/>
        <v>0</v>
      </c>
      <c r="L5809" s="59">
        <f t="shared" si="30"/>
        <v>0</v>
      </c>
      <c r="M5809" s="59">
        <f t="shared" si="31"/>
        <v>0</v>
      </c>
    </row>
    <row r="5810" ht="15.0" hidden="1" customHeight="1">
      <c r="A5810" s="59">
        <f t="shared" si="20"/>
        <v>93</v>
      </c>
      <c r="B5810" s="59" t="str">
        <f t="shared" si="21"/>
        <v/>
      </c>
      <c r="C5810" s="59" t="str">
        <f t="shared" si="22"/>
        <v/>
      </c>
      <c r="D5810" s="45" t="str">
        <f t="shared" si="23"/>
        <v/>
      </c>
      <c r="E5810" s="45" t="str">
        <f t="shared" si="24"/>
        <v/>
      </c>
      <c r="F5810" s="59" t="str">
        <f t="shared" si="25"/>
        <v/>
      </c>
      <c r="G5810" s="59" t="str">
        <f t="shared" si="26"/>
        <v/>
      </c>
      <c r="H5810" s="59" t="str">
        <f t="shared" si="27"/>
        <v>Máy lu lốp</v>
      </c>
      <c r="I5810" s="59" t="str">
        <f>IF(OR($A5810="",$C5810="",$D5810="",$E5810="",$H5810=""),"",SUMIFS(DATA_GOC!$H:$H,DATA_GOC!$A:$A,"BOM",DATA_GOC!$D:$D,$H5810,DATA_GOC!$E:$E,$C5810,DATA_GOC!$F:$F,"Xuất nội bộ từ téc",DATA_GOC!$B:$B,"&gt;="&amp;$D5810,DATA_GOC!$B:$B,"&lt;="&amp;$E5810))</f>
        <v/>
      </c>
      <c r="J5810" s="59">
        <f t="shared" si="28"/>
        <v>0</v>
      </c>
      <c r="K5810" s="59">
        <f t="shared" si="29"/>
        <v>0</v>
      </c>
      <c r="L5810" s="59">
        <f t="shared" si="30"/>
        <v>0</v>
      </c>
      <c r="M5810" s="59">
        <f t="shared" si="31"/>
        <v>0</v>
      </c>
    </row>
    <row r="5811" ht="15.0" hidden="1" customHeight="1">
      <c r="A5811" s="59">
        <f t="shared" si="20"/>
        <v>93</v>
      </c>
      <c r="B5811" s="59" t="str">
        <f t="shared" si="21"/>
        <v/>
      </c>
      <c r="C5811" s="59" t="str">
        <f t="shared" si="22"/>
        <v/>
      </c>
      <c r="D5811" s="45" t="str">
        <f t="shared" si="23"/>
        <v/>
      </c>
      <c r="E5811" s="45" t="str">
        <f t="shared" si="24"/>
        <v/>
      </c>
      <c r="F5811" s="59" t="str">
        <f t="shared" si="25"/>
        <v/>
      </c>
      <c r="G5811" s="59" t="str">
        <f t="shared" si="26"/>
        <v/>
      </c>
      <c r="H5811" s="59" t="str">
        <f t="shared" si="27"/>
        <v>Xe 600148</v>
      </c>
      <c r="I5811" s="59" t="str">
        <f>IF(OR($A5811="",$C5811="",$D5811="",$E5811="",$H5811=""),"",SUMIFS(DATA_GOC!$H:$H,DATA_GOC!$A:$A,"BOM",DATA_GOC!$D:$D,$H5811,DATA_GOC!$E:$E,$C5811,DATA_GOC!$F:$F,"Xuất nội bộ từ téc",DATA_GOC!$B:$B,"&gt;="&amp;$D5811,DATA_GOC!$B:$B,"&lt;="&amp;$E5811))</f>
        <v/>
      </c>
      <c r="J5811" s="59">
        <f t="shared" si="28"/>
        <v>0</v>
      </c>
      <c r="K5811" s="59">
        <f t="shared" si="29"/>
        <v>0</v>
      </c>
      <c r="L5811" s="59">
        <f t="shared" si="30"/>
        <v>0</v>
      </c>
      <c r="M5811" s="59">
        <f t="shared" si="31"/>
        <v>0</v>
      </c>
    </row>
    <row r="5812" ht="15.0" hidden="1" customHeight="1">
      <c r="A5812" s="59">
        <f t="shared" si="20"/>
        <v>93</v>
      </c>
      <c r="B5812" s="59" t="str">
        <f t="shared" si="21"/>
        <v/>
      </c>
      <c r="C5812" s="59" t="str">
        <f t="shared" si="22"/>
        <v/>
      </c>
      <c r="D5812" s="45" t="str">
        <f t="shared" si="23"/>
        <v/>
      </c>
      <c r="E5812" s="45" t="str">
        <f t="shared" si="24"/>
        <v/>
      </c>
      <c r="F5812" s="59" t="str">
        <f t="shared" si="25"/>
        <v/>
      </c>
      <c r="G5812" s="59" t="str">
        <f t="shared" si="26"/>
        <v/>
      </c>
      <c r="H5812" s="59" t="str">
        <f t="shared" si="27"/>
        <v>Xe ben mới</v>
      </c>
      <c r="I5812" s="59" t="str">
        <f>IF(OR($A5812="",$C5812="",$D5812="",$E5812="",$H5812=""),"",SUMIFS(DATA_GOC!$H:$H,DATA_GOC!$A:$A,"BOM",DATA_GOC!$D:$D,$H5812,DATA_GOC!$E:$E,$C5812,DATA_GOC!$F:$F,"Xuất nội bộ từ téc",DATA_GOC!$B:$B,"&gt;="&amp;$D5812,DATA_GOC!$B:$B,"&lt;="&amp;$E5812))</f>
        <v/>
      </c>
      <c r="J5812" s="59">
        <f t="shared" si="28"/>
        <v>0</v>
      </c>
      <c r="K5812" s="59">
        <f t="shared" si="29"/>
        <v>0</v>
      </c>
      <c r="L5812" s="59">
        <f t="shared" si="30"/>
        <v>0</v>
      </c>
      <c r="M5812" s="59">
        <f t="shared" si="31"/>
        <v>0</v>
      </c>
    </row>
    <row r="5813" ht="15.0" hidden="1" customHeight="1">
      <c r="A5813" s="59">
        <f t="shared" si="20"/>
        <v>94</v>
      </c>
      <c r="B5813" s="59" t="str">
        <f t="shared" si="21"/>
        <v/>
      </c>
      <c r="C5813" s="59" t="str">
        <f t="shared" si="22"/>
        <v/>
      </c>
      <c r="D5813" s="45" t="str">
        <f t="shared" si="23"/>
        <v/>
      </c>
      <c r="E5813" s="45" t="str">
        <f t="shared" si="24"/>
        <v/>
      </c>
      <c r="F5813" s="59" t="str">
        <f t="shared" si="25"/>
        <v/>
      </c>
      <c r="G5813" s="59" t="str">
        <f t="shared" si="26"/>
        <v/>
      </c>
      <c r="H5813" s="59" t="str">
        <f t="shared" si="27"/>
        <v>19H09482</v>
      </c>
      <c r="I5813" s="59" t="str">
        <f>IF(OR($A5813="",$C5813="",$D5813="",$E5813="",$H5813=""),"",SUMIFS(DATA_GOC!$H:$H,DATA_GOC!$A:$A,"BOM",DATA_GOC!$D:$D,$H5813,DATA_GOC!$E:$E,$C5813,DATA_GOC!$F:$F,"Xuất nội bộ từ téc",DATA_GOC!$B:$B,"&gt;="&amp;$D5813,DATA_GOC!$B:$B,"&lt;="&amp;$E5813))</f>
        <v/>
      </c>
      <c r="J5813" s="59">
        <f t="shared" si="28"/>
        <v>0</v>
      </c>
      <c r="K5813" s="59">
        <f t="shared" si="29"/>
        <v>0</v>
      </c>
      <c r="L5813" s="59">
        <f t="shared" si="30"/>
        <v>0</v>
      </c>
      <c r="M5813" s="59">
        <f t="shared" si="31"/>
        <v>0</v>
      </c>
    </row>
    <row r="5814" ht="15.0" hidden="1" customHeight="1">
      <c r="A5814" s="59">
        <f t="shared" si="20"/>
        <v>94</v>
      </c>
      <c r="B5814" s="59" t="str">
        <f t="shared" si="21"/>
        <v/>
      </c>
      <c r="C5814" s="59" t="str">
        <f t="shared" si="22"/>
        <v/>
      </c>
      <c r="D5814" s="45" t="str">
        <f t="shared" si="23"/>
        <v/>
      </c>
      <c r="E5814" s="45" t="str">
        <f t="shared" si="24"/>
        <v/>
      </c>
      <c r="F5814" s="59" t="str">
        <f t="shared" si="25"/>
        <v/>
      </c>
      <c r="G5814" s="59" t="str">
        <f t="shared" si="26"/>
        <v/>
      </c>
      <c r="H5814" s="59" t="str">
        <f t="shared" si="27"/>
        <v>28A30696</v>
      </c>
      <c r="I5814" s="59" t="str">
        <f>IF(OR($A5814="",$C5814="",$D5814="",$E5814="",$H5814=""),"",SUMIFS(DATA_GOC!$H:$H,DATA_GOC!$A:$A,"BOM",DATA_GOC!$D:$D,$H5814,DATA_GOC!$E:$E,$C5814,DATA_GOC!$F:$F,"Xuất nội bộ từ téc",DATA_GOC!$B:$B,"&gt;="&amp;$D5814,DATA_GOC!$B:$B,"&lt;="&amp;$E5814))</f>
        <v/>
      </c>
      <c r="J5814" s="59">
        <f t="shared" si="28"/>
        <v>0</v>
      </c>
      <c r="K5814" s="59">
        <f t="shared" si="29"/>
        <v>0</v>
      </c>
      <c r="L5814" s="59">
        <f t="shared" si="30"/>
        <v>0</v>
      </c>
      <c r="M5814" s="59">
        <f t="shared" si="31"/>
        <v>0</v>
      </c>
    </row>
    <row r="5815" ht="15.0" hidden="1" customHeight="1">
      <c r="A5815" s="59">
        <f t="shared" si="20"/>
        <v>94</v>
      </c>
      <c r="B5815" s="59" t="str">
        <f t="shared" si="21"/>
        <v/>
      </c>
      <c r="C5815" s="59" t="str">
        <f t="shared" si="22"/>
        <v/>
      </c>
      <c r="D5815" s="45" t="str">
        <f t="shared" si="23"/>
        <v/>
      </c>
      <c r="E5815" s="45" t="str">
        <f t="shared" si="24"/>
        <v/>
      </c>
      <c r="F5815" s="59" t="str">
        <f t="shared" si="25"/>
        <v/>
      </c>
      <c r="G5815" s="59" t="str">
        <f t="shared" si="26"/>
        <v/>
      </c>
      <c r="H5815" s="59" t="str">
        <f t="shared" si="27"/>
        <v>28C00462</v>
      </c>
      <c r="I5815" s="59" t="str">
        <f>IF(OR($A5815="",$C5815="",$D5815="",$E5815="",$H5815=""),"",SUMIFS(DATA_GOC!$H:$H,DATA_GOC!$A:$A,"BOM",DATA_GOC!$D:$D,$H5815,DATA_GOC!$E:$E,$C5815,DATA_GOC!$F:$F,"Xuất nội bộ từ téc",DATA_GOC!$B:$B,"&gt;="&amp;$D5815,DATA_GOC!$B:$B,"&lt;="&amp;$E5815))</f>
        <v/>
      </c>
      <c r="J5815" s="59">
        <f t="shared" si="28"/>
        <v>0</v>
      </c>
      <c r="K5815" s="59">
        <f t="shared" si="29"/>
        <v>0</v>
      </c>
      <c r="L5815" s="59">
        <f t="shared" si="30"/>
        <v>0</v>
      </c>
      <c r="M5815" s="59">
        <f t="shared" si="31"/>
        <v>0</v>
      </c>
    </row>
    <row r="5816" ht="15.0" hidden="1" customHeight="1">
      <c r="A5816" s="59">
        <f t="shared" si="20"/>
        <v>94</v>
      </c>
      <c r="B5816" s="59" t="str">
        <f t="shared" si="21"/>
        <v/>
      </c>
      <c r="C5816" s="59" t="str">
        <f t="shared" si="22"/>
        <v/>
      </c>
      <c r="D5816" s="45" t="str">
        <f t="shared" si="23"/>
        <v/>
      </c>
      <c r="E5816" s="45" t="str">
        <f t="shared" si="24"/>
        <v/>
      </c>
      <c r="F5816" s="59" t="str">
        <f t="shared" si="25"/>
        <v/>
      </c>
      <c r="G5816" s="59" t="str">
        <f t="shared" si="26"/>
        <v/>
      </c>
      <c r="H5816" s="59" t="str">
        <f t="shared" si="27"/>
        <v>28C01165</v>
      </c>
      <c r="I5816" s="59" t="str">
        <f>IF(OR($A5816="",$C5816="",$D5816="",$E5816="",$H5816=""),"",SUMIFS(DATA_GOC!$H:$H,DATA_GOC!$A:$A,"BOM",DATA_GOC!$D:$D,$H5816,DATA_GOC!$E:$E,$C5816,DATA_GOC!$F:$F,"Xuất nội bộ từ téc",DATA_GOC!$B:$B,"&gt;="&amp;$D5816,DATA_GOC!$B:$B,"&lt;="&amp;$E5816))</f>
        <v/>
      </c>
      <c r="J5816" s="59">
        <f t="shared" si="28"/>
        <v>0</v>
      </c>
      <c r="K5816" s="59">
        <f t="shared" si="29"/>
        <v>0</v>
      </c>
      <c r="L5816" s="59">
        <f t="shared" si="30"/>
        <v>0</v>
      </c>
      <c r="M5816" s="59">
        <f t="shared" si="31"/>
        <v>0</v>
      </c>
    </row>
    <row r="5817" ht="15.0" hidden="1" customHeight="1">
      <c r="A5817" s="59">
        <f t="shared" si="20"/>
        <v>94</v>
      </c>
      <c r="B5817" s="59" t="str">
        <f t="shared" si="21"/>
        <v/>
      </c>
      <c r="C5817" s="59" t="str">
        <f t="shared" si="22"/>
        <v/>
      </c>
      <c r="D5817" s="45" t="str">
        <f t="shared" si="23"/>
        <v/>
      </c>
      <c r="E5817" s="45" t="str">
        <f t="shared" si="24"/>
        <v/>
      </c>
      <c r="F5817" s="59" t="str">
        <f t="shared" si="25"/>
        <v/>
      </c>
      <c r="G5817" s="59" t="str">
        <f t="shared" si="26"/>
        <v/>
      </c>
      <c r="H5817" s="59" t="str">
        <f t="shared" si="27"/>
        <v>28C01406</v>
      </c>
      <c r="I5817" s="59" t="str">
        <f>IF(OR($A5817="",$C5817="",$D5817="",$E5817="",$H5817=""),"",SUMIFS(DATA_GOC!$H:$H,DATA_GOC!$A:$A,"BOM",DATA_GOC!$D:$D,$H5817,DATA_GOC!$E:$E,$C5817,DATA_GOC!$F:$F,"Xuất nội bộ từ téc",DATA_GOC!$B:$B,"&gt;="&amp;$D5817,DATA_GOC!$B:$B,"&lt;="&amp;$E5817))</f>
        <v/>
      </c>
      <c r="J5817" s="59">
        <f t="shared" si="28"/>
        <v>0</v>
      </c>
      <c r="K5817" s="59">
        <f t="shared" si="29"/>
        <v>0</v>
      </c>
      <c r="L5817" s="59">
        <f t="shared" si="30"/>
        <v>0</v>
      </c>
      <c r="M5817" s="59">
        <f t="shared" si="31"/>
        <v>0</v>
      </c>
    </row>
    <row r="5818" ht="15.0" hidden="1" customHeight="1">
      <c r="A5818" s="59">
        <f t="shared" si="20"/>
        <v>94</v>
      </c>
      <c r="B5818" s="59" t="str">
        <f t="shared" si="21"/>
        <v/>
      </c>
      <c r="C5818" s="59" t="str">
        <f t="shared" si="22"/>
        <v/>
      </c>
      <c r="D5818" s="45" t="str">
        <f t="shared" si="23"/>
        <v/>
      </c>
      <c r="E5818" s="45" t="str">
        <f t="shared" si="24"/>
        <v/>
      </c>
      <c r="F5818" s="59" t="str">
        <f t="shared" si="25"/>
        <v/>
      </c>
      <c r="G5818" s="59" t="str">
        <f t="shared" si="26"/>
        <v/>
      </c>
      <c r="H5818" s="59" t="str">
        <f t="shared" si="27"/>
        <v>28C01544</v>
      </c>
      <c r="I5818" s="59" t="str">
        <f>IF(OR($A5818="",$C5818="",$D5818="",$E5818="",$H5818=""),"",SUMIFS(DATA_GOC!$H:$H,DATA_GOC!$A:$A,"BOM",DATA_GOC!$D:$D,$H5818,DATA_GOC!$E:$E,$C5818,DATA_GOC!$F:$F,"Xuất nội bộ từ téc",DATA_GOC!$B:$B,"&gt;="&amp;$D5818,DATA_GOC!$B:$B,"&lt;="&amp;$E5818))</f>
        <v/>
      </c>
      <c r="J5818" s="59">
        <f t="shared" si="28"/>
        <v>0</v>
      </c>
      <c r="K5818" s="59">
        <f t="shared" si="29"/>
        <v>0</v>
      </c>
      <c r="L5818" s="59">
        <f t="shared" si="30"/>
        <v>0</v>
      </c>
      <c r="M5818" s="59">
        <f t="shared" si="31"/>
        <v>0</v>
      </c>
    </row>
    <row r="5819" ht="15.0" hidden="1" customHeight="1">
      <c r="A5819" s="59">
        <f t="shared" si="20"/>
        <v>94</v>
      </c>
      <c r="B5819" s="59" t="str">
        <f t="shared" si="21"/>
        <v/>
      </c>
      <c r="C5819" s="59" t="str">
        <f t="shared" si="22"/>
        <v/>
      </c>
      <c r="D5819" s="45" t="str">
        <f t="shared" si="23"/>
        <v/>
      </c>
      <c r="E5819" s="45" t="str">
        <f t="shared" si="24"/>
        <v/>
      </c>
      <c r="F5819" s="59" t="str">
        <f t="shared" si="25"/>
        <v/>
      </c>
      <c r="G5819" s="59" t="str">
        <f t="shared" si="26"/>
        <v/>
      </c>
      <c r="H5819" s="59" t="str">
        <f t="shared" si="27"/>
        <v>28C01622</v>
      </c>
      <c r="I5819" s="59" t="str">
        <f>IF(OR($A5819="",$C5819="",$D5819="",$E5819="",$H5819=""),"",SUMIFS(DATA_GOC!$H:$H,DATA_GOC!$A:$A,"BOM",DATA_GOC!$D:$D,$H5819,DATA_GOC!$E:$E,$C5819,DATA_GOC!$F:$F,"Xuất nội bộ từ téc",DATA_GOC!$B:$B,"&gt;="&amp;$D5819,DATA_GOC!$B:$B,"&lt;="&amp;$E5819))</f>
        <v/>
      </c>
      <c r="J5819" s="59">
        <f t="shared" si="28"/>
        <v>0</v>
      </c>
      <c r="K5819" s="59">
        <f t="shared" si="29"/>
        <v>0</v>
      </c>
      <c r="L5819" s="59">
        <f t="shared" si="30"/>
        <v>0</v>
      </c>
      <c r="M5819" s="59">
        <f t="shared" si="31"/>
        <v>0</v>
      </c>
    </row>
    <row r="5820" ht="15.0" hidden="1" customHeight="1">
      <c r="A5820" s="59">
        <f t="shared" si="20"/>
        <v>94</v>
      </c>
      <c r="B5820" s="59" t="str">
        <f t="shared" si="21"/>
        <v/>
      </c>
      <c r="C5820" s="59" t="str">
        <f t="shared" si="22"/>
        <v/>
      </c>
      <c r="D5820" s="45" t="str">
        <f t="shared" si="23"/>
        <v/>
      </c>
      <c r="E5820" s="45" t="str">
        <f t="shared" si="24"/>
        <v/>
      </c>
      <c r="F5820" s="59" t="str">
        <f t="shared" si="25"/>
        <v/>
      </c>
      <c r="G5820" s="59" t="str">
        <f t="shared" si="26"/>
        <v/>
      </c>
      <c r="H5820" s="59" t="str">
        <f t="shared" si="27"/>
        <v>28C01647</v>
      </c>
      <c r="I5820" s="59" t="str">
        <f>IF(OR($A5820="",$C5820="",$D5820="",$E5820="",$H5820=""),"",SUMIFS(DATA_GOC!$H:$H,DATA_GOC!$A:$A,"BOM",DATA_GOC!$D:$D,$H5820,DATA_GOC!$E:$E,$C5820,DATA_GOC!$F:$F,"Xuất nội bộ từ téc",DATA_GOC!$B:$B,"&gt;="&amp;$D5820,DATA_GOC!$B:$B,"&lt;="&amp;$E5820))</f>
        <v/>
      </c>
      <c r="J5820" s="59">
        <f t="shared" si="28"/>
        <v>0</v>
      </c>
      <c r="K5820" s="59">
        <f t="shared" si="29"/>
        <v>0</v>
      </c>
      <c r="L5820" s="59">
        <f t="shared" si="30"/>
        <v>0</v>
      </c>
      <c r="M5820" s="59">
        <f t="shared" si="31"/>
        <v>0</v>
      </c>
    </row>
    <row r="5821" ht="15.0" hidden="1" customHeight="1">
      <c r="A5821" s="59">
        <f t="shared" si="20"/>
        <v>94</v>
      </c>
      <c r="B5821" s="59" t="str">
        <f t="shared" si="21"/>
        <v/>
      </c>
      <c r="C5821" s="59" t="str">
        <f t="shared" si="22"/>
        <v/>
      </c>
      <c r="D5821" s="45" t="str">
        <f t="shared" si="23"/>
        <v/>
      </c>
      <c r="E5821" s="45" t="str">
        <f t="shared" si="24"/>
        <v/>
      </c>
      <c r="F5821" s="59" t="str">
        <f t="shared" si="25"/>
        <v/>
      </c>
      <c r="G5821" s="59" t="str">
        <f t="shared" si="26"/>
        <v/>
      </c>
      <c r="H5821" s="59" t="str">
        <f t="shared" si="27"/>
        <v>28C01731</v>
      </c>
      <c r="I5821" s="59" t="str">
        <f>IF(OR($A5821="",$C5821="",$D5821="",$E5821="",$H5821=""),"",SUMIFS(DATA_GOC!$H:$H,DATA_GOC!$A:$A,"BOM",DATA_GOC!$D:$D,$H5821,DATA_GOC!$E:$E,$C5821,DATA_GOC!$F:$F,"Xuất nội bộ từ téc",DATA_GOC!$B:$B,"&gt;="&amp;$D5821,DATA_GOC!$B:$B,"&lt;="&amp;$E5821))</f>
        <v/>
      </c>
      <c r="J5821" s="59">
        <f t="shared" si="28"/>
        <v>0</v>
      </c>
      <c r="K5821" s="59">
        <f t="shared" si="29"/>
        <v>0</v>
      </c>
      <c r="L5821" s="59">
        <f t="shared" si="30"/>
        <v>0</v>
      </c>
      <c r="M5821" s="59">
        <f t="shared" si="31"/>
        <v>0</v>
      </c>
    </row>
    <row r="5822" ht="15.0" hidden="1" customHeight="1">
      <c r="A5822" s="59">
        <f t="shared" si="20"/>
        <v>94</v>
      </c>
      <c r="B5822" s="59" t="str">
        <f t="shared" si="21"/>
        <v/>
      </c>
      <c r="C5822" s="59" t="str">
        <f t="shared" si="22"/>
        <v/>
      </c>
      <c r="D5822" s="45" t="str">
        <f t="shared" si="23"/>
        <v/>
      </c>
      <c r="E5822" s="45" t="str">
        <f t="shared" si="24"/>
        <v/>
      </c>
      <c r="F5822" s="59" t="str">
        <f t="shared" si="25"/>
        <v/>
      </c>
      <c r="G5822" s="59" t="str">
        <f t="shared" si="26"/>
        <v/>
      </c>
      <c r="H5822" s="59" t="str">
        <f t="shared" si="27"/>
        <v>28C01743</v>
      </c>
      <c r="I5822" s="59" t="str">
        <f>IF(OR($A5822="",$C5822="",$D5822="",$E5822="",$H5822=""),"",SUMIFS(DATA_GOC!$H:$H,DATA_GOC!$A:$A,"BOM",DATA_GOC!$D:$D,$H5822,DATA_GOC!$E:$E,$C5822,DATA_GOC!$F:$F,"Xuất nội bộ từ téc",DATA_GOC!$B:$B,"&gt;="&amp;$D5822,DATA_GOC!$B:$B,"&lt;="&amp;$E5822))</f>
        <v/>
      </c>
      <c r="J5822" s="59">
        <f t="shared" si="28"/>
        <v>0</v>
      </c>
      <c r="K5822" s="59">
        <f t="shared" si="29"/>
        <v>0</v>
      </c>
      <c r="L5822" s="59">
        <f t="shared" si="30"/>
        <v>0</v>
      </c>
      <c r="M5822" s="59">
        <f t="shared" si="31"/>
        <v>0</v>
      </c>
    </row>
    <row r="5823" ht="15.0" hidden="1" customHeight="1">
      <c r="A5823" s="59">
        <f t="shared" si="20"/>
        <v>94</v>
      </c>
      <c r="B5823" s="59" t="str">
        <f t="shared" si="21"/>
        <v/>
      </c>
      <c r="C5823" s="59" t="str">
        <f t="shared" si="22"/>
        <v/>
      </c>
      <c r="D5823" s="45" t="str">
        <f t="shared" si="23"/>
        <v/>
      </c>
      <c r="E5823" s="45" t="str">
        <f t="shared" si="24"/>
        <v/>
      </c>
      <c r="F5823" s="59" t="str">
        <f t="shared" si="25"/>
        <v/>
      </c>
      <c r="G5823" s="59" t="str">
        <f t="shared" si="26"/>
        <v/>
      </c>
      <c r="H5823" s="59" t="str">
        <f t="shared" si="27"/>
        <v>28C02106</v>
      </c>
      <c r="I5823" s="59" t="str">
        <f>IF(OR($A5823="",$C5823="",$D5823="",$E5823="",$H5823=""),"",SUMIFS(DATA_GOC!$H:$H,DATA_GOC!$A:$A,"BOM",DATA_GOC!$D:$D,$H5823,DATA_GOC!$E:$E,$C5823,DATA_GOC!$F:$F,"Xuất nội bộ từ téc",DATA_GOC!$B:$B,"&gt;="&amp;$D5823,DATA_GOC!$B:$B,"&lt;="&amp;$E5823))</f>
        <v/>
      </c>
      <c r="J5823" s="59">
        <f t="shared" si="28"/>
        <v>0</v>
      </c>
      <c r="K5823" s="59">
        <f t="shared" si="29"/>
        <v>0</v>
      </c>
      <c r="L5823" s="59">
        <f t="shared" si="30"/>
        <v>0</v>
      </c>
      <c r="M5823" s="59">
        <f t="shared" si="31"/>
        <v>0</v>
      </c>
    </row>
    <row r="5824" ht="15.0" hidden="1" customHeight="1">
      <c r="A5824" s="59">
        <f t="shared" si="20"/>
        <v>94</v>
      </c>
      <c r="B5824" s="59" t="str">
        <f t="shared" si="21"/>
        <v/>
      </c>
      <c r="C5824" s="59" t="str">
        <f t="shared" si="22"/>
        <v/>
      </c>
      <c r="D5824" s="45" t="str">
        <f t="shared" si="23"/>
        <v/>
      </c>
      <c r="E5824" s="45" t="str">
        <f t="shared" si="24"/>
        <v/>
      </c>
      <c r="F5824" s="59" t="str">
        <f t="shared" si="25"/>
        <v/>
      </c>
      <c r="G5824" s="59" t="str">
        <f t="shared" si="26"/>
        <v/>
      </c>
      <c r="H5824" s="59" t="str">
        <f t="shared" si="27"/>
        <v>28C02410</v>
      </c>
      <c r="I5824" s="59" t="str">
        <f>IF(OR($A5824="",$C5824="",$D5824="",$E5824="",$H5824=""),"",SUMIFS(DATA_GOC!$H:$H,DATA_GOC!$A:$A,"BOM",DATA_GOC!$D:$D,$H5824,DATA_GOC!$E:$E,$C5824,DATA_GOC!$F:$F,"Xuất nội bộ từ téc",DATA_GOC!$B:$B,"&gt;="&amp;$D5824,DATA_GOC!$B:$B,"&lt;="&amp;$E5824))</f>
        <v/>
      </c>
      <c r="J5824" s="59">
        <f t="shared" si="28"/>
        <v>0</v>
      </c>
      <c r="K5824" s="59">
        <f t="shared" si="29"/>
        <v>0</v>
      </c>
      <c r="L5824" s="59">
        <f t="shared" si="30"/>
        <v>0</v>
      </c>
      <c r="M5824" s="59">
        <f t="shared" si="31"/>
        <v>0</v>
      </c>
    </row>
    <row r="5825" ht="15.0" hidden="1" customHeight="1">
      <c r="A5825" s="59">
        <f t="shared" si="20"/>
        <v>94</v>
      </c>
      <c r="B5825" s="59" t="str">
        <f t="shared" si="21"/>
        <v/>
      </c>
      <c r="C5825" s="59" t="str">
        <f t="shared" si="22"/>
        <v/>
      </c>
      <c r="D5825" s="45" t="str">
        <f t="shared" si="23"/>
        <v/>
      </c>
      <c r="E5825" s="45" t="str">
        <f t="shared" si="24"/>
        <v/>
      </c>
      <c r="F5825" s="59" t="str">
        <f t="shared" si="25"/>
        <v/>
      </c>
      <c r="G5825" s="59" t="str">
        <f t="shared" si="26"/>
        <v/>
      </c>
      <c r="H5825" s="59" t="str">
        <f t="shared" si="27"/>
        <v>28C02545</v>
      </c>
      <c r="I5825" s="59" t="str">
        <f>IF(OR($A5825="",$C5825="",$D5825="",$E5825="",$H5825=""),"",SUMIFS(DATA_GOC!$H:$H,DATA_GOC!$A:$A,"BOM",DATA_GOC!$D:$D,$H5825,DATA_GOC!$E:$E,$C5825,DATA_GOC!$F:$F,"Xuất nội bộ từ téc",DATA_GOC!$B:$B,"&gt;="&amp;$D5825,DATA_GOC!$B:$B,"&lt;="&amp;$E5825))</f>
        <v/>
      </c>
      <c r="J5825" s="59">
        <f t="shared" si="28"/>
        <v>0</v>
      </c>
      <c r="K5825" s="59">
        <f t="shared" si="29"/>
        <v>0</v>
      </c>
      <c r="L5825" s="59">
        <f t="shared" si="30"/>
        <v>0</v>
      </c>
      <c r="M5825" s="59">
        <f t="shared" si="31"/>
        <v>0</v>
      </c>
    </row>
    <row r="5826" ht="15.0" hidden="1" customHeight="1">
      <c r="A5826" s="59">
        <f t="shared" si="20"/>
        <v>94</v>
      </c>
      <c r="B5826" s="59" t="str">
        <f t="shared" si="21"/>
        <v/>
      </c>
      <c r="C5826" s="59" t="str">
        <f t="shared" si="22"/>
        <v/>
      </c>
      <c r="D5826" s="45" t="str">
        <f t="shared" si="23"/>
        <v/>
      </c>
      <c r="E5826" s="45" t="str">
        <f t="shared" si="24"/>
        <v/>
      </c>
      <c r="F5826" s="59" t="str">
        <f t="shared" si="25"/>
        <v/>
      </c>
      <c r="G5826" s="59" t="str">
        <f t="shared" si="26"/>
        <v/>
      </c>
      <c r="H5826" s="59" t="str">
        <f t="shared" si="27"/>
        <v>28C02574</v>
      </c>
      <c r="I5826" s="59" t="str">
        <f>IF(OR($A5826="",$C5826="",$D5826="",$E5826="",$H5826=""),"",SUMIFS(DATA_GOC!$H:$H,DATA_GOC!$A:$A,"BOM",DATA_GOC!$D:$D,$H5826,DATA_GOC!$E:$E,$C5826,DATA_GOC!$F:$F,"Xuất nội bộ từ téc",DATA_GOC!$B:$B,"&gt;="&amp;$D5826,DATA_GOC!$B:$B,"&lt;="&amp;$E5826))</f>
        <v/>
      </c>
      <c r="J5826" s="59">
        <f t="shared" si="28"/>
        <v>0</v>
      </c>
      <c r="K5826" s="59">
        <f t="shared" si="29"/>
        <v>0</v>
      </c>
      <c r="L5826" s="59">
        <f t="shared" si="30"/>
        <v>0</v>
      </c>
      <c r="M5826" s="59">
        <f t="shared" si="31"/>
        <v>0</v>
      </c>
    </row>
    <row r="5827" ht="15.0" hidden="1" customHeight="1">
      <c r="A5827" s="59">
        <f t="shared" si="20"/>
        <v>94</v>
      </c>
      <c r="B5827" s="59" t="str">
        <f t="shared" si="21"/>
        <v/>
      </c>
      <c r="C5827" s="59" t="str">
        <f t="shared" si="22"/>
        <v/>
      </c>
      <c r="D5827" s="45" t="str">
        <f t="shared" si="23"/>
        <v/>
      </c>
      <c r="E5827" s="45" t="str">
        <f t="shared" si="24"/>
        <v/>
      </c>
      <c r="F5827" s="59" t="str">
        <f t="shared" si="25"/>
        <v/>
      </c>
      <c r="G5827" s="59" t="str">
        <f t="shared" si="26"/>
        <v/>
      </c>
      <c r="H5827" s="59" t="str">
        <f t="shared" si="27"/>
        <v>28C02770</v>
      </c>
      <c r="I5827" s="59" t="str">
        <f>IF(OR($A5827="",$C5827="",$D5827="",$E5827="",$H5827=""),"",SUMIFS(DATA_GOC!$H:$H,DATA_GOC!$A:$A,"BOM",DATA_GOC!$D:$D,$H5827,DATA_GOC!$E:$E,$C5827,DATA_GOC!$F:$F,"Xuất nội bộ từ téc",DATA_GOC!$B:$B,"&gt;="&amp;$D5827,DATA_GOC!$B:$B,"&lt;="&amp;$E5827))</f>
        <v/>
      </c>
      <c r="J5827" s="59">
        <f t="shared" si="28"/>
        <v>0</v>
      </c>
      <c r="K5827" s="59">
        <f t="shared" si="29"/>
        <v>0</v>
      </c>
      <c r="L5827" s="59">
        <f t="shared" si="30"/>
        <v>0</v>
      </c>
      <c r="M5827" s="59">
        <f t="shared" si="31"/>
        <v>0</v>
      </c>
    </row>
    <row r="5828" ht="15.0" hidden="1" customHeight="1">
      <c r="A5828" s="59">
        <f t="shared" si="20"/>
        <v>94</v>
      </c>
      <c r="B5828" s="59" t="str">
        <f t="shared" si="21"/>
        <v/>
      </c>
      <c r="C5828" s="59" t="str">
        <f t="shared" si="22"/>
        <v/>
      </c>
      <c r="D5828" s="45" t="str">
        <f t="shared" si="23"/>
        <v/>
      </c>
      <c r="E5828" s="45" t="str">
        <f t="shared" si="24"/>
        <v/>
      </c>
      <c r="F5828" s="59" t="str">
        <f t="shared" si="25"/>
        <v/>
      </c>
      <c r="G5828" s="59" t="str">
        <f t="shared" si="26"/>
        <v/>
      </c>
      <c r="H5828" s="59" t="str">
        <f t="shared" si="27"/>
        <v>28C02986</v>
      </c>
      <c r="I5828" s="59" t="str">
        <f>IF(OR($A5828="",$C5828="",$D5828="",$E5828="",$H5828=""),"",SUMIFS(DATA_GOC!$H:$H,DATA_GOC!$A:$A,"BOM",DATA_GOC!$D:$D,$H5828,DATA_GOC!$E:$E,$C5828,DATA_GOC!$F:$F,"Xuất nội bộ từ téc",DATA_GOC!$B:$B,"&gt;="&amp;$D5828,DATA_GOC!$B:$B,"&lt;="&amp;$E5828))</f>
        <v/>
      </c>
      <c r="J5828" s="59">
        <f t="shared" si="28"/>
        <v>0</v>
      </c>
      <c r="K5828" s="59">
        <f t="shared" si="29"/>
        <v>0</v>
      </c>
      <c r="L5828" s="59">
        <f t="shared" si="30"/>
        <v>0</v>
      </c>
      <c r="M5828" s="59">
        <f t="shared" si="31"/>
        <v>0</v>
      </c>
    </row>
    <row r="5829" ht="15.0" hidden="1" customHeight="1">
      <c r="A5829" s="59">
        <f t="shared" si="20"/>
        <v>94</v>
      </c>
      <c r="B5829" s="59" t="str">
        <f t="shared" si="21"/>
        <v/>
      </c>
      <c r="C5829" s="59" t="str">
        <f t="shared" si="22"/>
        <v/>
      </c>
      <c r="D5829" s="45" t="str">
        <f t="shared" si="23"/>
        <v/>
      </c>
      <c r="E5829" s="45" t="str">
        <f t="shared" si="24"/>
        <v/>
      </c>
      <c r="F5829" s="59" t="str">
        <f t="shared" si="25"/>
        <v/>
      </c>
      <c r="G5829" s="59" t="str">
        <f t="shared" si="26"/>
        <v/>
      </c>
      <c r="H5829" s="59" t="str">
        <f t="shared" si="27"/>
        <v>28C03261</v>
      </c>
      <c r="I5829" s="59" t="str">
        <f>IF(OR($A5829="",$C5829="",$D5829="",$E5829="",$H5829=""),"",SUMIFS(DATA_GOC!$H:$H,DATA_GOC!$A:$A,"BOM",DATA_GOC!$D:$D,$H5829,DATA_GOC!$E:$E,$C5829,DATA_GOC!$F:$F,"Xuất nội bộ từ téc",DATA_GOC!$B:$B,"&gt;="&amp;$D5829,DATA_GOC!$B:$B,"&lt;="&amp;$E5829))</f>
        <v/>
      </c>
      <c r="J5829" s="59">
        <f t="shared" si="28"/>
        <v>0</v>
      </c>
      <c r="K5829" s="59">
        <f t="shared" si="29"/>
        <v>0</v>
      </c>
      <c r="L5829" s="59">
        <f t="shared" si="30"/>
        <v>0</v>
      </c>
      <c r="M5829" s="59">
        <f t="shared" si="31"/>
        <v>0</v>
      </c>
    </row>
    <row r="5830" ht="15.0" hidden="1" customHeight="1">
      <c r="A5830" s="59">
        <f t="shared" si="20"/>
        <v>94</v>
      </c>
      <c r="B5830" s="59" t="str">
        <f t="shared" si="21"/>
        <v/>
      </c>
      <c r="C5830" s="59" t="str">
        <f t="shared" si="22"/>
        <v/>
      </c>
      <c r="D5830" s="45" t="str">
        <f t="shared" si="23"/>
        <v/>
      </c>
      <c r="E5830" s="45" t="str">
        <f t="shared" si="24"/>
        <v/>
      </c>
      <c r="F5830" s="59" t="str">
        <f t="shared" si="25"/>
        <v/>
      </c>
      <c r="G5830" s="59" t="str">
        <f t="shared" si="26"/>
        <v/>
      </c>
      <c r="H5830" s="59" t="str">
        <f t="shared" si="27"/>
        <v>28C03323</v>
      </c>
      <c r="I5830" s="59" t="str">
        <f>IF(OR($A5830="",$C5830="",$D5830="",$E5830="",$H5830=""),"",SUMIFS(DATA_GOC!$H:$H,DATA_GOC!$A:$A,"BOM",DATA_GOC!$D:$D,$H5830,DATA_GOC!$E:$E,$C5830,DATA_GOC!$F:$F,"Xuất nội bộ từ téc",DATA_GOC!$B:$B,"&gt;="&amp;$D5830,DATA_GOC!$B:$B,"&lt;="&amp;$E5830))</f>
        <v/>
      </c>
      <c r="J5830" s="59">
        <f t="shared" si="28"/>
        <v>0</v>
      </c>
      <c r="K5830" s="59">
        <f t="shared" si="29"/>
        <v>0</v>
      </c>
      <c r="L5830" s="59">
        <f t="shared" si="30"/>
        <v>0</v>
      </c>
      <c r="M5830" s="59">
        <f t="shared" si="31"/>
        <v>0</v>
      </c>
    </row>
    <row r="5831" ht="15.0" hidden="1" customHeight="1">
      <c r="A5831" s="59">
        <f t="shared" si="20"/>
        <v>94</v>
      </c>
      <c r="B5831" s="59" t="str">
        <f t="shared" si="21"/>
        <v/>
      </c>
      <c r="C5831" s="59" t="str">
        <f t="shared" si="22"/>
        <v/>
      </c>
      <c r="D5831" s="45" t="str">
        <f t="shared" si="23"/>
        <v/>
      </c>
      <c r="E5831" s="45" t="str">
        <f t="shared" si="24"/>
        <v/>
      </c>
      <c r="F5831" s="59" t="str">
        <f t="shared" si="25"/>
        <v/>
      </c>
      <c r="G5831" s="59" t="str">
        <f t="shared" si="26"/>
        <v/>
      </c>
      <c r="H5831" s="59" t="str">
        <f t="shared" si="27"/>
        <v>28C03385</v>
      </c>
      <c r="I5831" s="59" t="str">
        <f>IF(OR($A5831="",$C5831="",$D5831="",$E5831="",$H5831=""),"",SUMIFS(DATA_GOC!$H:$H,DATA_GOC!$A:$A,"BOM",DATA_GOC!$D:$D,$H5831,DATA_GOC!$E:$E,$C5831,DATA_GOC!$F:$F,"Xuất nội bộ từ téc",DATA_GOC!$B:$B,"&gt;="&amp;$D5831,DATA_GOC!$B:$B,"&lt;="&amp;$E5831))</f>
        <v/>
      </c>
      <c r="J5831" s="59">
        <f t="shared" si="28"/>
        <v>0</v>
      </c>
      <c r="K5831" s="59">
        <f t="shared" si="29"/>
        <v>0</v>
      </c>
      <c r="L5831" s="59">
        <f t="shared" si="30"/>
        <v>0</v>
      </c>
      <c r="M5831" s="59">
        <f t="shared" si="31"/>
        <v>0</v>
      </c>
    </row>
    <row r="5832" ht="15.0" hidden="1" customHeight="1">
      <c r="A5832" s="59">
        <f t="shared" si="20"/>
        <v>94</v>
      </c>
      <c r="B5832" s="59" t="str">
        <f t="shared" si="21"/>
        <v/>
      </c>
      <c r="C5832" s="59" t="str">
        <f t="shared" si="22"/>
        <v/>
      </c>
      <c r="D5832" s="45" t="str">
        <f t="shared" si="23"/>
        <v/>
      </c>
      <c r="E5832" s="45" t="str">
        <f t="shared" si="24"/>
        <v/>
      </c>
      <c r="F5832" s="59" t="str">
        <f t="shared" si="25"/>
        <v/>
      </c>
      <c r="G5832" s="59" t="str">
        <f t="shared" si="26"/>
        <v/>
      </c>
      <c r="H5832" s="59" t="str">
        <f t="shared" si="27"/>
        <v>28C03652</v>
      </c>
      <c r="I5832" s="59" t="str">
        <f>IF(OR($A5832="",$C5832="",$D5832="",$E5832="",$H5832=""),"",SUMIFS(DATA_GOC!$H:$H,DATA_GOC!$A:$A,"BOM",DATA_GOC!$D:$D,$H5832,DATA_GOC!$E:$E,$C5832,DATA_GOC!$F:$F,"Xuất nội bộ từ téc",DATA_GOC!$B:$B,"&gt;="&amp;$D5832,DATA_GOC!$B:$B,"&lt;="&amp;$E5832))</f>
        <v/>
      </c>
      <c r="J5832" s="59">
        <f t="shared" si="28"/>
        <v>0</v>
      </c>
      <c r="K5832" s="59">
        <f t="shared" si="29"/>
        <v>0</v>
      </c>
      <c r="L5832" s="59">
        <f t="shared" si="30"/>
        <v>0</v>
      </c>
      <c r="M5832" s="59">
        <f t="shared" si="31"/>
        <v>0</v>
      </c>
    </row>
    <row r="5833" ht="15.0" hidden="1" customHeight="1">
      <c r="A5833" s="59">
        <f t="shared" si="20"/>
        <v>94</v>
      </c>
      <c r="B5833" s="59" t="str">
        <f t="shared" si="21"/>
        <v/>
      </c>
      <c r="C5833" s="59" t="str">
        <f t="shared" si="22"/>
        <v/>
      </c>
      <c r="D5833" s="45" t="str">
        <f t="shared" si="23"/>
        <v/>
      </c>
      <c r="E5833" s="45" t="str">
        <f t="shared" si="24"/>
        <v/>
      </c>
      <c r="F5833" s="59" t="str">
        <f t="shared" si="25"/>
        <v/>
      </c>
      <c r="G5833" s="59" t="str">
        <f t="shared" si="26"/>
        <v/>
      </c>
      <c r="H5833" s="59" t="str">
        <f t="shared" si="27"/>
        <v>28C03695</v>
      </c>
      <c r="I5833" s="59" t="str">
        <f>IF(OR($A5833="",$C5833="",$D5833="",$E5833="",$H5833=""),"",SUMIFS(DATA_GOC!$H:$H,DATA_GOC!$A:$A,"BOM",DATA_GOC!$D:$D,$H5833,DATA_GOC!$E:$E,$C5833,DATA_GOC!$F:$F,"Xuất nội bộ từ téc",DATA_GOC!$B:$B,"&gt;="&amp;$D5833,DATA_GOC!$B:$B,"&lt;="&amp;$E5833))</f>
        <v/>
      </c>
      <c r="J5833" s="59">
        <f t="shared" si="28"/>
        <v>0</v>
      </c>
      <c r="K5833" s="59">
        <f t="shared" si="29"/>
        <v>0</v>
      </c>
      <c r="L5833" s="59">
        <f t="shared" si="30"/>
        <v>0</v>
      </c>
      <c r="M5833" s="59">
        <f t="shared" si="31"/>
        <v>0</v>
      </c>
    </row>
    <row r="5834" ht="15.0" hidden="1" customHeight="1">
      <c r="A5834" s="59">
        <f t="shared" si="20"/>
        <v>94</v>
      </c>
      <c r="B5834" s="59" t="str">
        <f t="shared" si="21"/>
        <v/>
      </c>
      <c r="C5834" s="59" t="str">
        <f t="shared" si="22"/>
        <v/>
      </c>
      <c r="D5834" s="45" t="str">
        <f t="shared" si="23"/>
        <v/>
      </c>
      <c r="E5834" s="45" t="str">
        <f t="shared" si="24"/>
        <v/>
      </c>
      <c r="F5834" s="59" t="str">
        <f t="shared" si="25"/>
        <v/>
      </c>
      <c r="G5834" s="59" t="str">
        <f t="shared" si="26"/>
        <v/>
      </c>
      <c r="H5834" s="59" t="str">
        <f t="shared" si="27"/>
        <v>28C03927</v>
      </c>
      <c r="I5834" s="59" t="str">
        <f>IF(OR($A5834="",$C5834="",$D5834="",$E5834="",$H5834=""),"",SUMIFS(DATA_GOC!$H:$H,DATA_GOC!$A:$A,"BOM",DATA_GOC!$D:$D,$H5834,DATA_GOC!$E:$E,$C5834,DATA_GOC!$F:$F,"Xuất nội bộ từ téc",DATA_GOC!$B:$B,"&gt;="&amp;$D5834,DATA_GOC!$B:$B,"&lt;="&amp;$E5834))</f>
        <v/>
      </c>
      <c r="J5834" s="59">
        <f t="shared" si="28"/>
        <v>0</v>
      </c>
      <c r="K5834" s="59">
        <f t="shared" si="29"/>
        <v>0</v>
      </c>
      <c r="L5834" s="59">
        <f t="shared" si="30"/>
        <v>0</v>
      </c>
      <c r="M5834" s="59">
        <f t="shared" si="31"/>
        <v>0</v>
      </c>
    </row>
    <row r="5835" ht="15.0" hidden="1" customHeight="1">
      <c r="A5835" s="59">
        <f t="shared" si="20"/>
        <v>94</v>
      </c>
      <c r="B5835" s="59" t="str">
        <f t="shared" si="21"/>
        <v/>
      </c>
      <c r="C5835" s="59" t="str">
        <f t="shared" si="22"/>
        <v/>
      </c>
      <c r="D5835" s="45" t="str">
        <f t="shared" si="23"/>
        <v/>
      </c>
      <c r="E5835" s="45" t="str">
        <f t="shared" si="24"/>
        <v/>
      </c>
      <c r="F5835" s="59" t="str">
        <f t="shared" si="25"/>
        <v/>
      </c>
      <c r="G5835" s="59" t="str">
        <f t="shared" si="26"/>
        <v/>
      </c>
      <c r="H5835" s="59" t="str">
        <f t="shared" si="27"/>
        <v>28C04509</v>
      </c>
      <c r="I5835" s="59" t="str">
        <f>IF(OR($A5835="",$C5835="",$D5835="",$E5835="",$H5835=""),"",SUMIFS(DATA_GOC!$H:$H,DATA_GOC!$A:$A,"BOM",DATA_GOC!$D:$D,$H5835,DATA_GOC!$E:$E,$C5835,DATA_GOC!$F:$F,"Xuất nội bộ từ téc",DATA_GOC!$B:$B,"&gt;="&amp;$D5835,DATA_GOC!$B:$B,"&lt;="&amp;$E5835))</f>
        <v/>
      </c>
      <c r="J5835" s="59">
        <f t="shared" si="28"/>
        <v>0</v>
      </c>
      <c r="K5835" s="59">
        <f t="shared" si="29"/>
        <v>0</v>
      </c>
      <c r="L5835" s="59">
        <f t="shared" si="30"/>
        <v>0</v>
      </c>
      <c r="M5835" s="59">
        <f t="shared" si="31"/>
        <v>0</v>
      </c>
    </row>
    <row r="5836" ht="15.0" hidden="1" customHeight="1">
      <c r="A5836" s="59">
        <f t="shared" si="20"/>
        <v>94</v>
      </c>
      <c r="B5836" s="59" t="str">
        <f t="shared" si="21"/>
        <v/>
      </c>
      <c r="C5836" s="59" t="str">
        <f t="shared" si="22"/>
        <v/>
      </c>
      <c r="D5836" s="45" t="str">
        <f t="shared" si="23"/>
        <v/>
      </c>
      <c r="E5836" s="45" t="str">
        <f t="shared" si="24"/>
        <v/>
      </c>
      <c r="F5836" s="59" t="str">
        <f t="shared" si="25"/>
        <v/>
      </c>
      <c r="G5836" s="59" t="str">
        <f t="shared" si="26"/>
        <v/>
      </c>
      <c r="H5836" s="59" t="str">
        <f t="shared" si="27"/>
        <v>28C04536</v>
      </c>
      <c r="I5836" s="59" t="str">
        <f>IF(OR($A5836="",$C5836="",$D5836="",$E5836="",$H5836=""),"",SUMIFS(DATA_GOC!$H:$H,DATA_GOC!$A:$A,"BOM",DATA_GOC!$D:$D,$H5836,DATA_GOC!$E:$E,$C5836,DATA_GOC!$F:$F,"Xuất nội bộ từ téc",DATA_GOC!$B:$B,"&gt;="&amp;$D5836,DATA_GOC!$B:$B,"&lt;="&amp;$E5836))</f>
        <v/>
      </c>
      <c r="J5836" s="59">
        <f t="shared" si="28"/>
        <v>0</v>
      </c>
      <c r="K5836" s="59">
        <f t="shared" si="29"/>
        <v>0</v>
      </c>
      <c r="L5836" s="59">
        <f t="shared" si="30"/>
        <v>0</v>
      </c>
      <c r="M5836" s="59">
        <f t="shared" si="31"/>
        <v>0</v>
      </c>
    </row>
    <row r="5837" ht="15.0" hidden="1" customHeight="1">
      <c r="A5837" s="59">
        <f t="shared" si="20"/>
        <v>94</v>
      </c>
      <c r="B5837" s="59" t="str">
        <f t="shared" si="21"/>
        <v/>
      </c>
      <c r="C5837" s="59" t="str">
        <f t="shared" si="22"/>
        <v/>
      </c>
      <c r="D5837" s="45" t="str">
        <f t="shared" si="23"/>
        <v/>
      </c>
      <c r="E5837" s="45" t="str">
        <f t="shared" si="24"/>
        <v/>
      </c>
      <c r="F5837" s="59" t="str">
        <f t="shared" si="25"/>
        <v/>
      </c>
      <c r="G5837" s="59" t="str">
        <f t="shared" si="26"/>
        <v/>
      </c>
      <c r="H5837" s="59" t="str">
        <f t="shared" si="27"/>
        <v>28C04576</v>
      </c>
      <c r="I5837" s="59" t="str">
        <f>IF(OR($A5837="",$C5837="",$D5837="",$E5837="",$H5837=""),"",SUMIFS(DATA_GOC!$H:$H,DATA_GOC!$A:$A,"BOM",DATA_GOC!$D:$D,$H5837,DATA_GOC!$E:$E,$C5837,DATA_GOC!$F:$F,"Xuất nội bộ từ téc",DATA_GOC!$B:$B,"&gt;="&amp;$D5837,DATA_GOC!$B:$B,"&lt;="&amp;$E5837))</f>
        <v/>
      </c>
      <c r="J5837" s="59">
        <f t="shared" si="28"/>
        <v>0</v>
      </c>
      <c r="K5837" s="59">
        <f t="shared" si="29"/>
        <v>0</v>
      </c>
      <c r="L5837" s="59">
        <f t="shared" si="30"/>
        <v>0</v>
      </c>
      <c r="M5837" s="59">
        <f t="shared" si="31"/>
        <v>0</v>
      </c>
    </row>
    <row r="5838" ht="15.0" hidden="1" customHeight="1">
      <c r="A5838" s="59">
        <f t="shared" si="20"/>
        <v>94</v>
      </c>
      <c r="B5838" s="59" t="str">
        <f t="shared" si="21"/>
        <v/>
      </c>
      <c r="C5838" s="59" t="str">
        <f t="shared" si="22"/>
        <v/>
      </c>
      <c r="D5838" s="45" t="str">
        <f t="shared" si="23"/>
        <v/>
      </c>
      <c r="E5838" s="45" t="str">
        <f t="shared" si="24"/>
        <v/>
      </c>
      <c r="F5838" s="59" t="str">
        <f t="shared" si="25"/>
        <v/>
      </c>
      <c r="G5838" s="59" t="str">
        <f t="shared" si="26"/>
        <v/>
      </c>
      <c r="H5838" s="59" t="str">
        <f t="shared" si="27"/>
        <v>28C05090</v>
      </c>
      <c r="I5838" s="59" t="str">
        <f>IF(OR($A5838="",$C5838="",$D5838="",$E5838="",$H5838=""),"",SUMIFS(DATA_GOC!$H:$H,DATA_GOC!$A:$A,"BOM",DATA_GOC!$D:$D,$H5838,DATA_GOC!$E:$E,$C5838,DATA_GOC!$F:$F,"Xuất nội bộ từ téc",DATA_GOC!$B:$B,"&gt;="&amp;$D5838,DATA_GOC!$B:$B,"&lt;="&amp;$E5838))</f>
        <v/>
      </c>
      <c r="J5838" s="59">
        <f t="shared" si="28"/>
        <v>0</v>
      </c>
      <c r="K5838" s="59">
        <f t="shared" si="29"/>
        <v>0</v>
      </c>
      <c r="L5838" s="59">
        <f t="shared" si="30"/>
        <v>0</v>
      </c>
      <c r="M5838" s="59">
        <f t="shared" si="31"/>
        <v>0</v>
      </c>
    </row>
    <row r="5839" ht="15.0" hidden="1" customHeight="1">
      <c r="A5839" s="59">
        <f t="shared" si="20"/>
        <v>94</v>
      </c>
      <c r="B5839" s="59" t="str">
        <f t="shared" si="21"/>
        <v/>
      </c>
      <c r="C5839" s="59" t="str">
        <f t="shared" si="22"/>
        <v/>
      </c>
      <c r="D5839" s="45" t="str">
        <f t="shared" si="23"/>
        <v/>
      </c>
      <c r="E5839" s="45" t="str">
        <f t="shared" si="24"/>
        <v/>
      </c>
      <c r="F5839" s="59" t="str">
        <f t="shared" si="25"/>
        <v/>
      </c>
      <c r="G5839" s="59" t="str">
        <f t="shared" si="26"/>
        <v/>
      </c>
      <c r="H5839" s="59" t="str">
        <f t="shared" si="27"/>
        <v>28C05345</v>
      </c>
      <c r="I5839" s="59" t="str">
        <f>IF(OR($A5839="",$C5839="",$D5839="",$E5839="",$H5839=""),"",SUMIFS(DATA_GOC!$H:$H,DATA_GOC!$A:$A,"BOM",DATA_GOC!$D:$D,$H5839,DATA_GOC!$E:$E,$C5839,DATA_GOC!$F:$F,"Xuất nội bộ từ téc",DATA_GOC!$B:$B,"&gt;="&amp;$D5839,DATA_GOC!$B:$B,"&lt;="&amp;$E5839))</f>
        <v/>
      </c>
      <c r="J5839" s="59">
        <f t="shared" si="28"/>
        <v>0</v>
      </c>
      <c r="K5839" s="59">
        <f t="shared" si="29"/>
        <v>0</v>
      </c>
      <c r="L5839" s="59">
        <f t="shared" si="30"/>
        <v>0</v>
      </c>
      <c r="M5839" s="59">
        <f t="shared" si="31"/>
        <v>0</v>
      </c>
    </row>
    <row r="5840" ht="15.0" hidden="1" customHeight="1">
      <c r="A5840" s="59">
        <f t="shared" si="20"/>
        <v>94</v>
      </c>
      <c r="B5840" s="59" t="str">
        <f t="shared" si="21"/>
        <v/>
      </c>
      <c r="C5840" s="59" t="str">
        <f t="shared" si="22"/>
        <v/>
      </c>
      <c r="D5840" s="45" t="str">
        <f t="shared" si="23"/>
        <v/>
      </c>
      <c r="E5840" s="45" t="str">
        <f t="shared" si="24"/>
        <v/>
      </c>
      <c r="F5840" s="59" t="str">
        <f t="shared" si="25"/>
        <v/>
      </c>
      <c r="G5840" s="59" t="str">
        <f t="shared" si="26"/>
        <v/>
      </c>
      <c r="H5840" s="59" t="str">
        <f t="shared" si="27"/>
        <v>28C05661</v>
      </c>
      <c r="I5840" s="59" t="str">
        <f>IF(OR($A5840="",$C5840="",$D5840="",$E5840="",$H5840=""),"",SUMIFS(DATA_GOC!$H:$H,DATA_GOC!$A:$A,"BOM",DATA_GOC!$D:$D,$H5840,DATA_GOC!$E:$E,$C5840,DATA_GOC!$F:$F,"Xuất nội bộ từ téc",DATA_GOC!$B:$B,"&gt;="&amp;$D5840,DATA_GOC!$B:$B,"&lt;="&amp;$E5840))</f>
        <v/>
      </c>
      <c r="J5840" s="59">
        <f t="shared" si="28"/>
        <v>0</v>
      </c>
      <c r="K5840" s="59">
        <f t="shared" si="29"/>
        <v>0</v>
      </c>
      <c r="L5840" s="59">
        <f t="shared" si="30"/>
        <v>0</v>
      </c>
      <c r="M5840" s="59">
        <f t="shared" si="31"/>
        <v>0</v>
      </c>
    </row>
    <row r="5841" ht="15.0" hidden="1" customHeight="1">
      <c r="A5841" s="59">
        <f t="shared" si="20"/>
        <v>94</v>
      </c>
      <c r="B5841" s="59" t="str">
        <f t="shared" si="21"/>
        <v/>
      </c>
      <c r="C5841" s="59" t="str">
        <f t="shared" si="22"/>
        <v/>
      </c>
      <c r="D5841" s="45" t="str">
        <f t="shared" si="23"/>
        <v/>
      </c>
      <c r="E5841" s="45" t="str">
        <f t="shared" si="24"/>
        <v/>
      </c>
      <c r="F5841" s="59" t="str">
        <f t="shared" si="25"/>
        <v/>
      </c>
      <c r="G5841" s="59" t="str">
        <f t="shared" si="26"/>
        <v/>
      </c>
      <c r="H5841" s="59" t="str">
        <f t="shared" si="27"/>
        <v>28C05739</v>
      </c>
      <c r="I5841" s="59" t="str">
        <f>IF(OR($A5841="",$C5841="",$D5841="",$E5841="",$H5841=""),"",SUMIFS(DATA_GOC!$H:$H,DATA_GOC!$A:$A,"BOM",DATA_GOC!$D:$D,$H5841,DATA_GOC!$E:$E,$C5841,DATA_GOC!$F:$F,"Xuất nội bộ từ téc",DATA_GOC!$B:$B,"&gt;="&amp;$D5841,DATA_GOC!$B:$B,"&lt;="&amp;$E5841))</f>
        <v/>
      </c>
      <c r="J5841" s="59">
        <f t="shared" si="28"/>
        <v>0</v>
      </c>
      <c r="K5841" s="59">
        <f t="shared" si="29"/>
        <v>0</v>
      </c>
      <c r="L5841" s="59">
        <f t="shared" si="30"/>
        <v>0</v>
      </c>
      <c r="M5841" s="59">
        <f t="shared" si="31"/>
        <v>0</v>
      </c>
    </row>
    <row r="5842" ht="15.0" hidden="1" customHeight="1">
      <c r="A5842" s="59">
        <f t="shared" si="20"/>
        <v>94</v>
      </c>
      <c r="B5842" s="59" t="str">
        <f t="shared" si="21"/>
        <v/>
      </c>
      <c r="C5842" s="59" t="str">
        <f t="shared" si="22"/>
        <v/>
      </c>
      <c r="D5842" s="45" t="str">
        <f t="shared" si="23"/>
        <v/>
      </c>
      <c r="E5842" s="45" t="str">
        <f t="shared" si="24"/>
        <v/>
      </c>
      <c r="F5842" s="59" t="str">
        <f t="shared" si="25"/>
        <v/>
      </c>
      <c r="G5842" s="59" t="str">
        <f t="shared" si="26"/>
        <v/>
      </c>
      <c r="H5842" s="59" t="str">
        <f t="shared" si="27"/>
        <v>28C06369</v>
      </c>
      <c r="I5842" s="59" t="str">
        <f>IF(OR($A5842="",$C5842="",$D5842="",$E5842="",$H5842=""),"",SUMIFS(DATA_GOC!$H:$H,DATA_GOC!$A:$A,"BOM",DATA_GOC!$D:$D,$H5842,DATA_GOC!$E:$E,$C5842,DATA_GOC!$F:$F,"Xuất nội bộ từ téc",DATA_GOC!$B:$B,"&gt;="&amp;$D5842,DATA_GOC!$B:$B,"&lt;="&amp;$E5842))</f>
        <v/>
      </c>
      <c r="J5842" s="59">
        <f t="shared" si="28"/>
        <v>0</v>
      </c>
      <c r="K5842" s="59">
        <f t="shared" si="29"/>
        <v>0</v>
      </c>
      <c r="L5842" s="59">
        <f t="shared" si="30"/>
        <v>0</v>
      </c>
      <c r="M5842" s="59">
        <f t="shared" si="31"/>
        <v>0</v>
      </c>
    </row>
    <row r="5843" ht="15.0" hidden="1" customHeight="1">
      <c r="A5843" s="59">
        <f t="shared" si="20"/>
        <v>94</v>
      </c>
      <c r="B5843" s="59" t="str">
        <f t="shared" si="21"/>
        <v/>
      </c>
      <c r="C5843" s="59" t="str">
        <f t="shared" si="22"/>
        <v/>
      </c>
      <c r="D5843" s="45" t="str">
        <f t="shared" si="23"/>
        <v/>
      </c>
      <c r="E5843" s="45" t="str">
        <f t="shared" si="24"/>
        <v/>
      </c>
      <c r="F5843" s="59" t="str">
        <f t="shared" si="25"/>
        <v/>
      </c>
      <c r="G5843" s="59" t="str">
        <f t="shared" si="26"/>
        <v/>
      </c>
      <c r="H5843" s="59" t="str">
        <f t="shared" si="27"/>
        <v>28C06447</v>
      </c>
      <c r="I5843" s="59" t="str">
        <f>IF(OR($A5843="",$C5843="",$D5843="",$E5843="",$H5843=""),"",SUMIFS(DATA_GOC!$H:$H,DATA_GOC!$A:$A,"BOM",DATA_GOC!$D:$D,$H5843,DATA_GOC!$E:$E,$C5843,DATA_GOC!$F:$F,"Xuất nội bộ từ téc",DATA_GOC!$B:$B,"&gt;="&amp;$D5843,DATA_GOC!$B:$B,"&lt;="&amp;$E5843))</f>
        <v/>
      </c>
      <c r="J5843" s="59">
        <f t="shared" si="28"/>
        <v>0</v>
      </c>
      <c r="K5843" s="59">
        <f t="shared" si="29"/>
        <v>0</v>
      </c>
      <c r="L5843" s="59">
        <f t="shared" si="30"/>
        <v>0</v>
      </c>
      <c r="M5843" s="59">
        <f t="shared" si="31"/>
        <v>0</v>
      </c>
    </row>
    <row r="5844" ht="15.0" hidden="1" customHeight="1">
      <c r="A5844" s="59">
        <f t="shared" si="20"/>
        <v>94</v>
      </c>
      <c r="B5844" s="59" t="str">
        <f t="shared" si="21"/>
        <v/>
      </c>
      <c r="C5844" s="59" t="str">
        <f t="shared" si="22"/>
        <v/>
      </c>
      <c r="D5844" s="45" t="str">
        <f t="shared" si="23"/>
        <v/>
      </c>
      <c r="E5844" s="45" t="str">
        <f t="shared" si="24"/>
        <v/>
      </c>
      <c r="F5844" s="59" t="str">
        <f t="shared" si="25"/>
        <v/>
      </c>
      <c r="G5844" s="59" t="str">
        <f t="shared" si="26"/>
        <v/>
      </c>
      <c r="H5844" s="59" t="str">
        <f t="shared" si="27"/>
        <v>28H00003</v>
      </c>
      <c r="I5844" s="59" t="str">
        <f>IF(OR($A5844="",$C5844="",$D5844="",$E5844="",$H5844=""),"",SUMIFS(DATA_GOC!$H:$H,DATA_GOC!$A:$A,"BOM",DATA_GOC!$D:$D,$H5844,DATA_GOC!$E:$E,$C5844,DATA_GOC!$F:$F,"Xuất nội bộ từ téc",DATA_GOC!$B:$B,"&gt;="&amp;$D5844,DATA_GOC!$B:$B,"&lt;="&amp;$E5844))</f>
        <v/>
      </c>
      <c r="J5844" s="59">
        <f t="shared" si="28"/>
        <v>0</v>
      </c>
      <c r="K5844" s="59">
        <f t="shared" si="29"/>
        <v>0</v>
      </c>
      <c r="L5844" s="59">
        <f t="shared" si="30"/>
        <v>0</v>
      </c>
      <c r="M5844" s="59">
        <f t="shared" si="31"/>
        <v>0</v>
      </c>
    </row>
    <row r="5845" ht="15.0" hidden="1" customHeight="1">
      <c r="A5845" s="59">
        <f t="shared" si="20"/>
        <v>94</v>
      </c>
      <c r="B5845" s="59" t="str">
        <f t="shared" si="21"/>
        <v/>
      </c>
      <c r="C5845" s="59" t="str">
        <f t="shared" si="22"/>
        <v/>
      </c>
      <c r="D5845" s="45" t="str">
        <f t="shared" si="23"/>
        <v/>
      </c>
      <c r="E5845" s="45" t="str">
        <f t="shared" si="24"/>
        <v/>
      </c>
      <c r="F5845" s="59" t="str">
        <f t="shared" si="25"/>
        <v/>
      </c>
      <c r="G5845" s="59" t="str">
        <f t="shared" si="26"/>
        <v/>
      </c>
      <c r="H5845" s="59" t="str">
        <f t="shared" si="27"/>
        <v>28H00061</v>
      </c>
      <c r="I5845" s="59" t="str">
        <f>IF(OR($A5845="",$C5845="",$D5845="",$E5845="",$H5845=""),"",SUMIFS(DATA_GOC!$H:$H,DATA_GOC!$A:$A,"BOM",DATA_GOC!$D:$D,$H5845,DATA_GOC!$E:$E,$C5845,DATA_GOC!$F:$F,"Xuất nội bộ từ téc",DATA_GOC!$B:$B,"&gt;="&amp;$D5845,DATA_GOC!$B:$B,"&lt;="&amp;$E5845))</f>
        <v/>
      </c>
      <c r="J5845" s="59">
        <f t="shared" si="28"/>
        <v>0</v>
      </c>
      <c r="K5845" s="59">
        <f t="shared" si="29"/>
        <v>0</v>
      </c>
      <c r="L5845" s="59">
        <f t="shared" si="30"/>
        <v>0</v>
      </c>
      <c r="M5845" s="59">
        <f t="shared" si="31"/>
        <v>0</v>
      </c>
    </row>
    <row r="5846" ht="15.0" hidden="1" customHeight="1">
      <c r="A5846" s="59">
        <f t="shared" si="20"/>
        <v>94</v>
      </c>
      <c r="B5846" s="59" t="str">
        <f t="shared" si="21"/>
        <v/>
      </c>
      <c r="C5846" s="59" t="str">
        <f t="shared" si="22"/>
        <v/>
      </c>
      <c r="D5846" s="45" t="str">
        <f t="shared" si="23"/>
        <v/>
      </c>
      <c r="E5846" s="45" t="str">
        <f t="shared" si="24"/>
        <v/>
      </c>
      <c r="F5846" s="59" t="str">
        <f t="shared" si="25"/>
        <v/>
      </c>
      <c r="G5846" s="59" t="str">
        <f t="shared" si="26"/>
        <v/>
      </c>
      <c r="H5846" s="59" t="str">
        <f t="shared" si="27"/>
        <v>28H00354</v>
      </c>
      <c r="I5846" s="59" t="str">
        <f>IF(OR($A5846="",$C5846="",$D5846="",$E5846="",$H5846=""),"",SUMIFS(DATA_GOC!$H:$H,DATA_GOC!$A:$A,"BOM",DATA_GOC!$D:$D,$H5846,DATA_GOC!$E:$E,$C5846,DATA_GOC!$F:$F,"Xuất nội bộ từ téc",DATA_GOC!$B:$B,"&gt;="&amp;$D5846,DATA_GOC!$B:$B,"&lt;="&amp;$E5846))</f>
        <v/>
      </c>
      <c r="J5846" s="59">
        <f t="shared" si="28"/>
        <v>0</v>
      </c>
      <c r="K5846" s="59">
        <f t="shared" si="29"/>
        <v>0</v>
      </c>
      <c r="L5846" s="59">
        <f t="shared" si="30"/>
        <v>0</v>
      </c>
      <c r="M5846" s="59">
        <f t="shared" si="31"/>
        <v>0</v>
      </c>
    </row>
    <row r="5847" ht="15.0" hidden="1" customHeight="1">
      <c r="A5847" s="59">
        <f t="shared" si="20"/>
        <v>94</v>
      </c>
      <c r="B5847" s="59" t="str">
        <f t="shared" si="21"/>
        <v/>
      </c>
      <c r="C5847" s="59" t="str">
        <f t="shared" si="22"/>
        <v/>
      </c>
      <c r="D5847" s="45" t="str">
        <f t="shared" si="23"/>
        <v/>
      </c>
      <c r="E5847" s="45" t="str">
        <f t="shared" si="24"/>
        <v/>
      </c>
      <c r="F5847" s="59" t="str">
        <f t="shared" si="25"/>
        <v/>
      </c>
      <c r="G5847" s="59" t="str">
        <f t="shared" si="26"/>
        <v/>
      </c>
      <c r="H5847" s="59" t="str">
        <f t="shared" si="27"/>
        <v>28H00603</v>
      </c>
      <c r="I5847" s="59" t="str">
        <f>IF(OR($A5847="",$C5847="",$D5847="",$E5847="",$H5847=""),"",SUMIFS(DATA_GOC!$H:$H,DATA_GOC!$A:$A,"BOM",DATA_GOC!$D:$D,$H5847,DATA_GOC!$E:$E,$C5847,DATA_GOC!$F:$F,"Xuất nội bộ từ téc",DATA_GOC!$B:$B,"&gt;="&amp;$D5847,DATA_GOC!$B:$B,"&lt;="&amp;$E5847))</f>
        <v/>
      </c>
      <c r="J5847" s="59">
        <f t="shared" si="28"/>
        <v>0</v>
      </c>
      <c r="K5847" s="59">
        <f t="shared" si="29"/>
        <v>0</v>
      </c>
      <c r="L5847" s="59">
        <f t="shared" si="30"/>
        <v>0</v>
      </c>
      <c r="M5847" s="59">
        <f t="shared" si="31"/>
        <v>0</v>
      </c>
    </row>
    <row r="5848" ht="15.0" hidden="1" customHeight="1">
      <c r="A5848" s="59">
        <f t="shared" si="20"/>
        <v>94</v>
      </c>
      <c r="B5848" s="59" t="str">
        <f t="shared" si="21"/>
        <v/>
      </c>
      <c r="C5848" s="59" t="str">
        <f t="shared" si="22"/>
        <v/>
      </c>
      <c r="D5848" s="45" t="str">
        <f t="shared" si="23"/>
        <v/>
      </c>
      <c r="E5848" s="45" t="str">
        <f t="shared" si="24"/>
        <v/>
      </c>
      <c r="F5848" s="59" t="str">
        <f t="shared" si="25"/>
        <v/>
      </c>
      <c r="G5848" s="59" t="str">
        <f t="shared" si="26"/>
        <v/>
      </c>
      <c r="H5848" s="59" t="str">
        <f t="shared" si="27"/>
        <v>28H00609</v>
      </c>
      <c r="I5848" s="59" t="str">
        <f>IF(OR($A5848="",$C5848="",$D5848="",$E5848="",$H5848=""),"",SUMIFS(DATA_GOC!$H:$H,DATA_GOC!$A:$A,"BOM",DATA_GOC!$D:$D,$H5848,DATA_GOC!$E:$E,$C5848,DATA_GOC!$F:$F,"Xuất nội bộ từ téc",DATA_GOC!$B:$B,"&gt;="&amp;$D5848,DATA_GOC!$B:$B,"&lt;="&amp;$E5848))</f>
        <v/>
      </c>
      <c r="J5848" s="59">
        <f t="shared" si="28"/>
        <v>0</v>
      </c>
      <c r="K5848" s="59">
        <f t="shared" si="29"/>
        <v>0</v>
      </c>
      <c r="L5848" s="59">
        <f t="shared" si="30"/>
        <v>0</v>
      </c>
      <c r="M5848" s="59">
        <f t="shared" si="31"/>
        <v>0</v>
      </c>
    </row>
    <row r="5849" ht="15.0" hidden="1" customHeight="1">
      <c r="A5849" s="59">
        <f t="shared" si="20"/>
        <v>94</v>
      </c>
      <c r="B5849" s="59" t="str">
        <f t="shared" si="21"/>
        <v/>
      </c>
      <c r="C5849" s="59" t="str">
        <f t="shared" si="22"/>
        <v/>
      </c>
      <c r="D5849" s="45" t="str">
        <f t="shared" si="23"/>
        <v/>
      </c>
      <c r="E5849" s="45" t="str">
        <f t="shared" si="24"/>
        <v/>
      </c>
      <c r="F5849" s="59" t="str">
        <f t="shared" si="25"/>
        <v/>
      </c>
      <c r="G5849" s="59" t="str">
        <f t="shared" si="26"/>
        <v/>
      </c>
      <c r="H5849" s="59" t="str">
        <f t="shared" si="27"/>
        <v>28H00669</v>
      </c>
      <c r="I5849" s="59" t="str">
        <f>IF(OR($A5849="",$C5849="",$D5849="",$E5849="",$H5849=""),"",SUMIFS(DATA_GOC!$H:$H,DATA_GOC!$A:$A,"BOM",DATA_GOC!$D:$D,$H5849,DATA_GOC!$E:$E,$C5849,DATA_GOC!$F:$F,"Xuất nội bộ từ téc",DATA_GOC!$B:$B,"&gt;="&amp;$D5849,DATA_GOC!$B:$B,"&lt;="&amp;$E5849))</f>
        <v/>
      </c>
      <c r="J5849" s="59">
        <f t="shared" si="28"/>
        <v>0</v>
      </c>
      <c r="K5849" s="59">
        <f t="shared" si="29"/>
        <v>0</v>
      </c>
      <c r="L5849" s="59">
        <f t="shared" si="30"/>
        <v>0</v>
      </c>
      <c r="M5849" s="59">
        <f t="shared" si="31"/>
        <v>0</v>
      </c>
    </row>
    <row r="5850" ht="15.0" hidden="1" customHeight="1">
      <c r="A5850" s="59">
        <f t="shared" si="20"/>
        <v>94</v>
      </c>
      <c r="B5850" s="59" t="str">
        <f t="shared" si="21"/>
        <v/>
      </c>
      <c r="C5850" s="59" t="str">
        <f t="shared" si="22"/>
        <v/>
      </c>
      <c r="D5850" s="45" t="str">
        <f t="shared" si="23"/>
        <v/>
      </c>
      <c r="E5850" s="45" t="str">
        <f t="shared" si="24"/>
        <v/>
      </c>
      <c r="F5850" s="59" t="str">
        <f t="shared" si="25"/>
        <v/>
      </c>
      <c r="G5850" s="59" t="str">
        <f t="shared" si="26"/>
        <v/>
      </c>
      <c r="H5850" s="59" t="str">
        <f t="shared" si="27"/>
        <v>28H00680</v>
      </c>
      <c r="I5850" s="59" t="str">
        <f>IF(OR($A5850="",$C5850="",$D5850="",$E5850="",$H5850=""),"",SUMIFS(DATA_GOC!$H:$H,DATA_GOC!$A:$A,"BOM",DATA_GOC!$D:$D,$H5850,DATA_GOC!$E:$E,$C5850,DATA_GOC!$F:$F,"Xuất nội bộ từ téc",DATA_GOC!$B:$B,"&gt;="&amp;$D5850,DATA_GOC!$B:$B,"&lt;="&amp;$E5850))</f>
        <v/>
      </c>
      <c r="J5850" s="59">
        <f t="shared" si="28"/>
        <v>0</v>
      </c>
      <c r="K5850" s="59">
        <f t="shared" si="29"/>
        <v>0</v>
      </c>
      <c r="L5850" s="59">
        <f t="shared" si="30"/>
        <v>0</v>
      </c>
      <c r="M5850" s="59">
        <f t="shared" si="31"/>
        <v>0</v>
      </c>
    </row>
    <row r="5851" ht="15.0" hidden="1" customHeight="1">
      <c r="A5851" s="59">
        <f t="shared" si="20"/>
        <v>94</v>
      </c>
      <c r="B5851" s="59" t="str">
        <f t="shared" si="21"/>
        <v/>
      </c>
      <c r="C5851" s="59" t="str">
        <f t="shared" si="22"/>
        <v/>
      </c>
      <c r="D5851" s="45" t="str">
        <f t="shared" si="23"/>
        <v/>
      </c>
      <c r="E5851" s="45" t="str">
        <f t="shared" si="24"/>
        <v/>
      </c>
      <c r="F5851" s="59" t="str">
        <f t="shared" si="25"/>
        <v/>
      </c>
      <c r="G5851" s="59" t="str">
        <f t="shared" si="26"/>
        <v/>
      </c>
      <c r="H5851" s="59" t="str">
        <f t="shared" si="27"/>
        <v>28H01070</v>
      </c>
      <c r="I5851" s="59" t="str">
        <f>IF(OR($A5851="",$C5851="",$D5851="",$E5851="",$H5851=""),"",SUMIFS(DATA_GOC!$H:$H,DATA_GOC!$A:$A,"BOM",DATA_GOC!$D:$D,$H5851,DATA_GOC!$E:$E,$C5851,DATA_GOC!$F:$F,"Xuất nội bộ từ téc",DATA_GOC!$B:$B,"&gt;="&amp;$D5851,DATA_GOC!$B:$B,"&lt;="&amp;$E5851))</f>
        <v/>
      </c>
      <c r="J5851" s="59">
        <f t="shared" si="28"/>
        <v>0</v>
      </c>
      <c r="K5851" s="59">
        <f t="shared" si="29"/>
        <v>0</v>
      </c>
      <c r="L5851" s="59">
        <f t="shared" si="30"/>
        <v>0</v>
      </c>
      <c r="M5851" s="59">
        <f t="shared" si="31"/>
        <v>0</v>
      </c>
    </row>
    <row r="5852" ht="15.0" hidden="1" customHeight="1">
      <c r="A5852" s="59">
        <f t="shared" si="20"/>
        <v>94</v>
      </c>
      <c r="B5852" s="59" t="str">
        <f t="shared" si="21"/>
        <v/>
      </c>
      <c r="C5852" s="59" t="str">
        <f t="shared" si="22"/>
        <v/>
      </c>
      <c r="D5852" s="45" t="str">
        <f t="shared" si="23"/>
        <v/>
      </c>
      <c r="E5852" s="45" t="str">
        <f t="shared" si="24"/>
        <v/>
      </c>
      <c r="F5852" s="59" t="str">
        <f t="shared" si="25"/>
        <v/>
      </c>
      <c r="G5852" s="59" t="str">
        <f t="shared" si="26"/>
        <v/>
      </c>
      <c r="H5852" s="59" t="str">
        <f t="shared" si="27"/>
        <v>28H01364</v>
      </c>
      <c r="I5852" s="59" t="str">
        <f>IF(OR($A5852="",$C5852="",$D5852="",$E5852="",$H5852=""),"",SUMIFS(DATA_GOC!$H:$H,DATA_GOC!$A:$A,"BOM",DATA_GOC!$D:$D,$H5852,DATA_GOC!$E:$E,$C5852,DATA_GOC!$F:$F,"Xuất nội bộ từ téc",DATA_GOC!$B:$B,"&gt;="&amp;$D5852,DATA_GOC!$B:$B,"&lt;="&amp;$E5852))</f>
        <v/>
      </c>
      <c r="J5852" s="59">
        <f t="shared" si="28"/>
        <v>0</v>
      </c>
      <c r="K5852" s="59">
        <f t="shared" si="29"/>
        <v>0</v>
      </c>
      <c r="L5852" s="59">
        <f t="shared" si="30"/>
        <v>0</v>
      </c>
      <c r="M5852" s="59">
        <f t="shared" si="31"/>
        <v>0</v>
      </c>
    </row>
    <row r="5853" ht="15.0" hidden="1" customHeight="1">
      <c r="A5853" s="59">
        <f t="shared" si="20"/>
        <v>94</v>
      </c>
      <c r="B5853" s="59" t="str">
        <f t="shared" si="21"/>
        <v/>
      </c>
      <c r="C5853" s="59" t="str">
        <f t="shared" si="22"/>
        <v/>
      </c>
      <c r="D5853" s="45" t="str">
        <f t="shared" si="23"/>
        <v/>
      </c>
      <c r="E5853" s="45" t="str">
        <f t="shared" si="24"/>
        <v/>
      </c>
      <c r="F5853" s="59" t="str">
        <f t="shared" si="25"/>
        <v/>
      </c>
      <c r="G5853" s="59" t="str">
        <f t="shared" si="26"/>
        <v/>
      </c>
      <c r="H5853" s="59" t="str">
        <f t="shared" si="27"/>
        <v>29E17269</v>
      </c>
      <c r="I5853" s="59" t="str">
        <f>IF(OR($A5853="",$C5853="",$D5853="",$E5853="",$H5853=""),"",SUMIFS(DATA_GOC!$H:$H,DATA_GOC!$A:$A,"BOM",DATA_GOC!$D:$D,$H5853,DATA_GOC!$E:$E,$C5853,DATA_GOC!$F:$F,"Xuất nội bộ từ téc",DATA_GOC!$B:$B,"&gt;="&amp;$D5853,DATA_GOC!$B:$B,"&lt;="&amp;$E5853))</f>
        <v/>
      </c>
      <c r="J5853" s="59">
        <f t="shared" si="28"/>
        <v>0</v>
      </c>
      <c r="K5853" s="59">
        <f t="shared" si="29"/>
        <v>0</v>
      </c>
      <c r="L5853" s="59">
        <f t="shared" si="30"/>
        <v>0</v>
      </c>
      <c r="M5853" s="59">
        <f t="shared" si="31"/>
        <v>0</v>
      </c>
    </row>
    <row r="5854" ht="15.0" hidden="1" customHeight="1">
      <c r="A5854" s="59">
        <f t="shared" si="20"/>
        <v>94</v>
      </c>
      <c r="B5854" s="59" t="str">
        <f t="shared" si="21"/>
        <v/>
      </c>
      <c r="C5854" s="59" t="str">
        <f t="shared" si="22"/>
        <v/>
      </c>
      <c r="D5854" s="45" t="str">
        <f t="shared" si="23"/>
        <v/>
      </c>
      <c r="E5854" s="45" t="str">
        <f t="shared" si="24"/>
        <v/>
      </c>
      <c r="F5854" s="59" t="str">
        <f t="shared" si="25"/>
        <v/>
      </c>
      <c r="G5854" s="59" t="str">
        <f t="shared" si="26"/>
        <v/>
      </c>
      <c r="H5854" s="59" t="str">
        <f t="shared" si="27"/>
        <v>29E17273</v>
      </c>
      <c r="I5854" s="59" t="str">
        <f>IF(OR($A5854="",$C5854="",$D5854="",$E5854="",$H5854=""),"",SUMIFS(DATA_GOC!$H:$H,DATA_GOC!$A:$A,"BOM",DATA_GOC!$D:$D,$H5854,DATA_GOC!$E:$E,$C5854,DATA_GOC!$F:$F,"Xuất nội bộ từ téc",DATA_GOC!$B:$B,"&gt;="&amp;$D5854,DATA_GOC!$B:$B,"&lt;="&amp;$E5854))</f>
        <v/>
      </c>
      <c r="J5854" s="59">
        <f t="shared" si="28"/>
        <v>0</v>
      </c>
      <c r="K5854" s="59">
        <f t="shared" si="29"/>
        <v>0</v>
      </c>
      <c r="L5854" s="59">
        <f t="shared" si="30"/>
        <v>0</v>
      </c>
      <c r="M5854" s="59">
        <f t="shared" si="31"/>
        <v>0</v>
      </c>
    </row>
    <row r="5855" ht="15.0" hidden="1" customHeight="1">
      <c r="A5855" s="59">
        <f t="shared" si="20"/>
        <v>94</v>
      </c>
      <c r="B5855" s="59" t="str">
        <f t="shared" si="21"/>
        <v/>
      </c>
      <c r="C5855" s="59" t="str">
        <f t="shared" si="22"/>
        <v/>
      </c>
      <c r="D5855" s="45" t="str">
        <f t="shared" si="23"/>
        <v/>
      </c>
      <c r="E5855" s="45" t="str">
        <f t="shared" si="24"/>
        <v/>
      </c>
      <c r="F5855" s="59" t="str">
        <f t="shared" si="25"/>
        <v/>
      </c>
      <c r="G5855" s="59" t="str">
        <f t="shared" si="26"/>
        <v/>
      </c>
      <c r="H5855" s="59" t="str">
        <f t="shared" si="27"/>
        <v>29E17410</v>
      </c>
      <c r="I5855" s="59" t="str">
        <f>IF(OR($A5855="",$C5855="",$D5855="",$E5855="",$H5855=""),"",SUMIFS(DATA_GOC!$H:$H,DATA_GOC!$A:$A,"BOM",DATA_GOC!$D:$D,$H5855,DATA_GOC!$E:$E,$C5855,DATA_GOC!$F:$F,"Xuất nội bộ từ téc",DATA_GOC!$B:$B,"&gt;="&amp;$D5855,DATA_GOC!$B:$B,"&lt;="&amp;$E5855))</f>
        <v/>
      </c>
      <c r="J5855" s="59">
        <f t="shared" si="28"/>
        <v>0</v>
      </c>
      <c r="K5855" s="59">
        <f t="shared" si="29"/>
        <v>0</v>
      </c>
      <c r="L5855" s="59">
        <f t="shared" si="30"/>
        <v>0</v>
      </c>
      <c r="M5855" s="59">
        <f t="shared" si="31"/>
        <v>0</v>
      </c>
    </row>
    <row r="5856" ht="15.0" hidden="1" customHeight="1">
      <c r="A5856" s="59">
        <f t="shared" si="20"/>
        <v>94</v>
      </c>
      <c r="B5856" s="59" t="str">
        <f t="shared" si="21"/>
        <v/>
      </c>
      <c r="C5856" s="59" t="str">
        <f t="shared" si="22"/>
        <v/>
      </c>
      <c r="D5856" s="45" t="str">
        <f t="shared" si="23"/>
        <v/>
      </c>
      <c r="E5856" s="45" t="str">
        <f t="shared" si="24"/>
        <v/>
      </c>
      <c r="F5856" s="59" t="str">
        <f t="shared" si="25"/>
        <v/>
      </c>
      <c r="G5856" s="59" t="str">
        <f t="shared" si="26"/>
        <v/>
      </c>
      <c r="H5856" s="59" t="str">
        <f t="shared" si="27"/>
        <v>29E17417</v>
      </c>
      <c r="I5856" s="59" t="str">
        <f>IF(OR($A5856="",$C5856="",$D5856="",$E5856="",$H5856=""),"",SUMIFS(DATA_GOC!$H:$H,DATA_GOC!$A:$A,"BOM",DATA_GOC!$D:$D,$H5856,DATA_GOC!$E:$E,$C5856,DATA_GOC!$F:$F,"Xuất nội bộ từ téc",DATA_GOC!$B:$B,"&gt;="&amp;$D5856,DATA_GOC!$B:$B,"&lt;="&amp;$E5856))</f>
        <v/>
      </c>
      <c r="J5856" s="59">
        <f t="shared" si="28"/>
        <v>0</v>
      </c>
      <c r="K5856" s="59">
        <f t="shared" si="29"/>
        <v>0</v>
      </c>
      <c r="L5856" s="59">
        <f t="shared" si="30"/>
        <v>0</v>
      </c>
      <c r="M5856" s="59">
        <f t="shared" si="31"/>
        <v>0</v>
      </c>
    </row>
    <row r="5857" ht="15.0" hidden="1" customHeight="1">
      <c r="A5857" s="59">
        <f t="shared" si="20"/>
        <v>94</v>
      </c>
      <c r="B5857" s="59" t="str">
        <f t="shared" si="21"/>
        <v/>
      </c>
      <c r="C5857" s="59" t="str">
        <f t="shared" si="22"/>
        <v/>
      </c>
      <c r="D5857" s="45" t="str">
        <f t="shared" si="23"/>
        <v/>
      </c>
      <c r="E5857" s="45" t="str">
        <f t="shared" si="24"/>
        <v/>
      </c>
      <c r="F5857" s="59" t="str">
        <f t="shared" si="25"/>
        <v/>
      </c>
      <c r="G5857" s="59" t="str">
        <f t="shared" si="26"/>
        <v/>
      </c>
      <c r="H5857" s="59" t="str">
        <f t="shared" si="27"/>
        <v>29E17539</v>
      </c>
      <c r="I5857" s="59" t="str">
        <f>IF(OR($A5857="",$C5857="",$D5857="",$E5857="",$H5857=""),"",SUMIFS(DATA_GOC!$H:$H,DATA_GOC!$A:$A,"BOM",DATA_GOC!$D:$D,$H5857,DATA_GOC!$E:$E,$C5857,DATA_GOC!$F:$F,"Xuất nội bộ từ téc",DATA_GOC!$B:$B,"&gt;="&amp;$D5857,DATA_GOC!$B:$B,"&lt;="&amp;$E5857))</f>
        <v/>
      </c>
      <c r="J5857" s="59">
        <f t="shared" si="28"/>
        <v>0</v>
      </c>
      <c r="K5857" s="59">
        <f t="shared" si="29"/>
        <v>0</v>
      </c>
      <c r="L5857" s="59">
        <f t="shared" si="30"/>
        <v>0</v>
      </c>
      <c r="M5857" s="59">
        <f t="shared" si="31"/>
        <v>0</v>
      </c>
    </row>
    <row r="5858" ht="15.0" hidden="1" customHeight="1">
      <c r="A5858" s="59">
        <f t="shared" si="20"/>
        <v>94</v>
      </c>
      <c r="B5858" s="59" t="str">
        <f t="shared" si="21"/>
        <v/>
      </c>
      <c r="C5858" s="59" t="str">
        <f t="shared" si="22"/>
        <v/>
      </c>
      <c r="D5858" s="45" t="str">
        <f t="shared" si="23"/>
        <v/>
      </c>
      <c r="E5858" s="45" t="str">
        <f t="shared" si="24"/>
        <v/>
      </c>
      <c r="F5858" s="59" t="str">
        <f t="shared" si="25"/>
        <v/>
      </c>
      <c r="G5858" s="59" t="str">
        <f t="shared" si="26"/>
        <v/>
      </c>
      <c r="H5858" s="59" t="str">
        <f t="shared" si="27"/>
        <v>29E18160</v>
      </c>
      <c r="I5858" s="59" t="str">
        <f>IF(OR($A5858="",$C5858="",$D5858="",$E5858="",$H5858=""),"",SUMIFS(DATA_GOC!$H:$H,DATA_GOC!$A:$A,"BOM",DATA_GOC!$D:$D,$H5858,DATA_GOC!$E:$E,$C5858,DATA_GOC!$F:$F,"Xuất nội bộ từ téc",DATA_GOC!$B:$B,"&gt;="&amp;$D5858,DATA_GOC!$B:$B,"&lt;="&amp;$E5858))</f>
        <v/>
      </c>
      <c r="J5858" s="59">
        <f t="shared" si="28"/>
        <v>0</v>
      </c>
      <c r="K5858" s="59">
        <f t="shared" si="29"/>
        <v>0</v>
      </c>
      <c r="L5858" s="59">
        <f t="shared" si="30"/>
        <v>0</v>
      </c>
      <c r="M5858" s="59">
        <f t="shared" si="31"/>
        <v>0</v>
      </c>
    </row>
    <row r="5859" ht="15.0" hidden="1" customHeight="1">
      <c r="A5859" s="59">
        <f t="shared" si="20"/>
        <v>94</v>
      </c>
      <c r="B5859" s="59" t="str">
        <f t="shared" si="21"/>
        <v/>
      </c>
      <c r="C5859" s="59" t="str">
        <f t="shared" si="22"/>
        <v/>
      </c>
      <c r="D5859" s="45" t="str">
        <f t="shared" si="23"/>
        <v/>
      </c>
      <c r="E5859" s="45" t="str">
        <f t="shared" si="24"/>
        <v/>
      </c>
      <c r="F5859" s="59" t="str">
        <f t="shared" si="25"/>
        <v/>
      </c>
      <c r="G5859" s="59" t="str">
        <f t="shared" si="26"/>
        <v/>
      </c>
      <c r="H5859" s="59" t="str">
        <f t="shared" si="27"/>
        <v>Công trình Asphalt</v>
      </c>
      <c r="I5859" s="59" t="str">
        <f>IF(OR($A5859="",$C5859="",$D5859="",$E5859="",$H5859=""),"",SUMIFS(DATA_GOC!$H:$H,DATA_GOC!$A:$A,"BOM",DATA_GOC!$D:$D,$H5859,DATA_GOC!$E:$E,$C5859,DATA_GOC!$F:$F,"Xuất nội bộ từ téc",DATA_GOC!$B:$B,"&gt;="&amp;$D5859,DATA_GOC!$B:$B,"&lt;="&amp;$E5859))</f>
        <v/>
      </c>
      <c r="J5859" s="59">
        <f t="shared" si="28"/>
        <v>0</v>
      </c>
      <c r="K5859" s="59">
        <f t="shared" si="29"/>
        <v>0</v>
      </c>
      <c r="L5859" s="59">
        <f t="shared" si="30"/>
        <v>0</v>
      </c>
      <c r="M5859" s="59">
        <f t="shared" si="31"/>
        <v>0</v>
      </c>
    </row>
    <row r="5860" ht="15.0" hidden="1" customHeight="1">
      <c r="A5860" s="59">
        <f t="shared" si="20"/>
        <v>94</v>
      </c>
      <c r="B5860" s="59" t="str">
        <f t="shared" si="21"/>
        <v/>
      </c>
      <c r="C5860" s="59" t="str">
        <f t="shared" si="22"/>
        <v/>
      </c>
      <c r="D5860" s="45" t="str">
        <f t="shared" si="23"/>
        <v/>
      </c>
      <c r="E5860" s="45" t="str">
        <f t="shared" si="24"/>
        <v/>
      </c>
      <c r="F5860" s="59" t="str">
        <f t="shared" si="25"/>
        <v/>
      </c>
      <c r="G5860" s="59" t="str">
        <f t="shared" si="26"/>
        <v/>
      </c>
      <c r="H5860" s="59" t="str">
        <f t="shared" si="27"/>
        <v>LG53F</v>
      </c>
      <c r="I5860" s="59" t="str">
        <f>IF(OR($A5860="",$C5860="",$D5860="",$E5860="",$H5860=""),"",SUMIFS(DATA_GOC!$H:$H,DATA_GOC!$A:$A,"BOM",DATA_GOC!$D:$D,$H5860,DATA_GOC!$E:$E,$C5860,DATA_GOC!$F:$F,"Xuất nội bộ từ téc",DATA_GOC!$B:$B,"&gt;="&amp;$D5860,DATA_GOC!$B:$B,"&lt;="&amp;$E5860))</f>
        <v/>
      </c>
      <c r="J5860" s="59">
        <f t="shared" si="28"/>
        <v>0</v>
      </c>
      <c r="K5860" s="59">
        <f t="shared" si="29"/>
        <v>0</v>
      </c>
      <c r="L5860" s="59">
        <f t="shared" si="30"/>
        <v>0</v>
      </c>
      <c r="M5860" s="59">
        <f t="shared" si="31"/>
        <v>0</v>
      </c>
    </row>
    <row r="5861" ht="15.0" hidden="1" customHeight="1">
      <c r="A5861" s="59">
        <f t="shared" si="20"/>
        <v>94</v>
      </c>
      <c r="B5861" s="59" t="str">
        <f t="shared" si="21"/>
        <v/>
      </c>
      <c r="C5861" s="59" t="str">
        <f t="shared" si="22"/>
        <v/>
      </c>
      <c r="D5861" s="45" t="str">
        <f t="shared" si="23"/>
        <v/>
      </c>
      <c r="E5861" s="45" t="str">
        <f t="shared" si="24"/>
        <v/>
      </c>
      <c r="F5861" s="59" t="str">
        <f t="shared" si="25"/>
        <v/>
      </c>
      <c r="G5861" s="59" t="str">
        <f t="shared" si="26"/>
        <v/>
      </c>
      <c r="H5861" s="59" t="str">
        <f t="shared" si="27"/>
        <v>Máy phát điện</v>
      </c>
      <c r="I5861" s="59" t="str">
        <f>IF(OR($A5861="",$C5861="",$D5861="",$E5861="",$H5861=""),"",SUMIFS(DATA_GOC!$H:$H,DATA_GOC!$A:$A,"BOM",DATA_GOC!$D:$D,$H5861,DATA_GOC!$E:$E,$C5861,DATA_GOC!$F:$F,"Xuất nội bộ từ téc",DATA_GOC!$B:$B,"&gt;="&amp;$D5861,DATA_GOC!$B:$B,"&lt;="&amp;$E5861))</f>
        <v/>
      </c>
      <c r="J5861" s="59">
        <f t="shared" si="28"/>
        <v>0</v>
      </c>
      <c r="K5861" s="59">
        <f t="shared" si="29"/>
        <v>0</v>
      </c>
      <c r="L5861" s="59">
        <f t="shared" si="30"/>
        <v>0</v>
      </c>
      <c r="M5861" s="59">
        <f t="shared" si="31"/>
        <v>0</v>
      </c>
    </row>
    <row r="5862" ht="15.0" hidden="1" customHeight="1">
      <c r="A5862" s="59">
        <f t="shared" si="20"/>
        <v>94</v>
      </c>
      <c r="B5862" s="59" t="str">
        <f t="shared" si="21"/>
        <v/>
      </c>
      <c r="C5862" s="59" t="str">
        <f t="shared" si="22"/>
        <v/>
      </c>
      <c r="D5862" s="45" t="str">
        <f t="shared" si="23"/>
        <v/>
      </c>
      <c r="E5862" s="45" t="str">
        <f t="shared" si="24"/>
        <v/>
      </c>
      <c r="F5862" s="59" t="str">
        <f t="shared" si="25"/>
        <v/>
      </c>
      <c r="G5862" s="59" t="str">
        <f t="shared" si="26"/>
        <v/>
      </c>
      <c r="H5862" s="59" t="str">
        <f t="shared" si="27"/>
        <v>Máy rải thảm</v>
      </c>
      <c r="I5862" s="59" t="str">
        <f>IF(OR($A5862="",$C5862="",$D5862="",$E5862="",$H5862=""),"",SUMIFS(DATA_GOC!$H:$H,DATA_GOC!$A:$A,"BOM",DATA_GOC!$D:$D,$H5862,DATA_GOC!$E:$E,$C5862,DATA_GOC!$F:$F,"Xuất nội bộ từ téc",DATA_GOC!$B:$B,"&gt;="&amp;$D5862,DATA_GOC!$B:$B,"&lt;="&amp;$E5862))</f>
        <v/>
      </c>
      <c r="J5862" s="59">
        <f t="shared" si="28"/>
        <v>0</v>
      </c>
      <c r="K5862" s="59">
        <f t="shared" si="29"/>
        <v>0</v>
      </c>
      <c r="L5862" s="59">
        <f t="shared" si="30"/>
        <v>0</v>
      </c>
      <c r="M5862" s="59">
        <f t="shared" si="31"/>
        <v>0</v>
      </c>
    </row>
    <row r="5863" ht="15.0" hidden="1" customHeight="1">
      <c r="A5863" s="59">
        <f t="shared" si="20"/>
        <v>94</v>
      </c>
      <c r="B5863" s="59" t="str">
        <f t="shared" si="21"/>
        <v/>
      </c>
      <c r="C5863" s="59" t="str">
        <f t="shared" si="22"/>
        <v/>
      </c>
      <c r="D5863" s="45" t="str">
        <f t="shared" si="23"/>
        <v/>
      </c>
      <c r="E5863" s="45" t="str">
        <f t="shared" si="24"/>
        <v/>
      </c>
      <c r="F5863" s="59" t="str">
        <f t="shared" si="25"/>
        <v/>
      </c>
      <c r="G5863" s="59" t="str">
        <f t="shared" si="26"/>
        <v/>
      </c>
      <c r="H5863" s="59" t="str">
        <f t="shared" si="27"/>
        <v>Xúc Đào</v>
      </c>
      <c r="I5863" s="59" t="str">
        <f>IF(OR($A5863="",$C5863="",$D5863="",$E5863="",$H5863=""),"",SUMIFS(DATA_GOC!$H:$H,DATA_GOC!$A:$A,"BOM",DATA_GOC!$D:$D,$H5863,DATA_GOC!$E:$E,$C5863,DATA_GOC!$F:$F,"Xuất nội bộ từ téc",DATA_GOC!$B:$B,"&gt;="&amp;$D5863,DATA_GOC!$B:$B,"&lt;="&amp;$E5863))</f>
        <v/>
      </c>
      <c r="J5863" s="59">
        <f t="shared" si="28"/>
        <v>0</v>
      </c>
      <c r="K5863" s="59">
        <f t="shared" si="29"/>
        <v>0</v>
      </c>
      <c r="L5863" s="59">
        <f t="shared" si="30"/>
        <v>0</v>
      </c>
      <c r="M5863" s="59">
        <f t="shared" si="31"/>
        <v>0</v>
      </c>
    </row>
    <row r="5864" ht="15.0" hidden="1" customHeight="1">
      <c r="A5864" s="59">
        <f t="shared" si="20"/>
        <v>94</v>
      </c>
      <c r="B5864" s="59" t="str">
        <f t="shared" si="21"/>
        <v/>
      </c>
      <c r="C5864" s="59" t="str">
        <f t="shared" si="22"/>
        <v/>
      </c>
      <c r="D5864" s="45" t="str">
        <f t="shared" si="23"/>
        <v/>
      </c>
      <c r="E5864" s="45" t="str">
        <f t="shared" si="24"/>
        <v/>
      </c>
      <c r="F5864" s="59" t="str">
        <f t="shared" si="25"/>
        <v/>
      </c>
      <c r="G5864" s="59" t="str">
        <f t="shared" si="26"/>
        <v/>
      </c>
      <c r="H5864" s="59" t="str">
        <f t="shared" si="27"/>
        <v>Xúclật asphalt</v>
      </c>
      <c r="I5864" s="59" t="str">
        <f>IF(OR($A5864="",$C5864="",$D5864="",$E5864="",$H5864=""),"",SUMIFS(DATA_GOC!$H:$H,DATA_GOC!$A:$A,"BOM",DATA_GOC!$D:$D,$H5864,DATA_GOC!$E:$E,$C5864,DATA_GOC!$F:$F,"Xuất nội bộ từ téc",DATA_GOC!$B:$B,"&gt;="&amp;$D5864,DATA_GOC!$B:$B,"&lt;="&amp;$E5864))</f>
        <v/>
      </c>
      <c r="J5864" s="59">
        <f t="shared" si="28"/>
        <v>0</v>
      </c>
      <c r="K5864" s="59">
        <f t="shared" si="29"/>
        <v>0</v>
      </c>
      <c r="L5864" s="59">
        <f t="shared" si="30"/>
        <v>0</v>
      </c>
      <c r="M5864" s="59">
        <f t="shared" si="31"/>
        <v>0</v>
      </c>
    </row>
    <row r="5865" ht="15.0" hidden="1" customHeight="1">
      <c r="A5865" s="59">
        <f t="shared" si="20"/>
        <v>94</v>
      </c>
      <c r="B5865" s="59" t="str">
        <f t="shared" si="21"/>
        <v/>
      </c>
      <c r="C5865" s="59" t="str">
        <f t="shared" si="22"/>
        <v/>
      </c>
      <c r="D5865" s="45" t="str">
        <f t="shared" si="23"/>
        <v/>
      </c>
      <c r="E5865" s="45" t="str">
        <f t="shared" si="24"/>
        <v/>
      </c>
      <c r="F5865" s="59" t="str">
        <f t="shared" si="25"/>
        <v/>
      </c>
      <c r="G5865" s="59" t="str">
        <f t="shared" si="26"/>
        <v/>
      </c>
      <c r="H5865" s="59" t="str">
        <f t="shared" si="27"/>
        <v>Xúclật855H</v>
      </c>
      <c r="I5865" s="59" t="str">
        <f>IF(OR($A5865="",$C5865="",$D5865="",$E5865="",$H5865=""),"",SUMIFS(DATA_GOC!$H:$H,DATA_GOC!$A:$A,"BOM",DATA_GOC!$D:$D,$H5865,DATA_GOC!$E:$E,$C5865,DATA_GOC!$F:$F,"Xuất nội bộ từ téc",DATA_GOC!$B:$B,"&gt;="&amp;$D5865,DATA_GOC!$B:$B,"&lt;="&amp;$E5865))</f>
        <v/>
      </c>
      <c r="J5865" s="59">
        <f t="shared" si="28"/>
        <v>0</v>
      </c>
      <c r="K5865" s="59">
        <f t="shared" si="29"/>
        <v>0</v>
      </c>
      <c r="L5865" s="59">
        <f t="shared" si="30"/>
        <v>0</v>
      </c>
      <c r="M5865" s="59">
        <f t="shared" si="31"/>
        <v>0</v>
      </c>
    </row>
    <row r="5866" ht="15.0" hidden="1" customHeight="1">
      <c r="A5866" s="59">
        <f t="shared" si="20"/>
        <v>94</v>
      </c>
      <c r="B5866" s="59" t="str">
        <f t="shared" si="21"/>
        <v/>
      </c>
      <c r="C5866" s="59" t="str">
        <f t="shared" si="22"/>
        <v/>
      </c>
      <c r="D5866" s="45" t="str">
        <f t="shared" si="23"/>
        <v/>
      </c>
      <c r="E5866" s="45" t="str">
        <f t="shared" si="24"/>
        <v/>
      </c>
      <c r="F5866" s="59" t="str">
        <f t="shared" si="25"/>
        <v/>
      </c>
      <c r="G5866" s="59" t="str">
        <f t="shared" si="26"/>
        <v/>
      </c>
      <c r="H5866" s="59" t="str">
        <f t="shared" si="27"/>
        <v>Xúclật855N</v>
      </c>
      <c r="I5866" s="59" t="str">
        <f>IF(OR($A5866="",$C5866="",$D5866="",$E5866="",$H5866=""),"",SUMIFS(DATA_GOC!$H:$H,DATA_GOC!$A:$A,"BOM",DATA_GOC!$D:$D,$H5866,DATA_GOC!$E:$E,$C5866,DATA_GOC!$F:$F,"Xuất nội bộ từ téc",DATA_GOC!$B:$B,"&gt;="&amp;$D5866,DATA_GOC!$B:$B,"&lt;="&amp;$E5866))</f>
        <v/>
      </c>
      <c r="J5866" s="59">
        <f t="shared" si="28"/>
        <v>0</v>
      </c>
      <c r="K5866" s="59">
        <f t="shared" si="29"/>
        <v>0</v>
      </c>
      <c r="L5866" s="59">
        <f t="shared" si="30"/>
        <v>0</v>
      </c>
      <c r="M5866" s="59">
        <f t="shared" si="31"/>
        <v>0</v>
      </c>
    </row>
    <row r="5867" ht="15.0" hidden="1" customHeight="1">
      <c r="A5867" s="59">
        <f t="shared" si="20"/>
        <v>94</v>
      </c>
      <c r="B5867" s="59" t="str">
        <f t="shared" si="21"/>
        <v/>
      </c>
      <c r="C5867" s="59" t="str">
        <f t="shared" si="22"/>
        <v/>
      </c>
      <c r="D5867" s="45" t="str">
        <f t="shared" si="23"/>
        <v/>
      </c>
      <c r="E5867" s="45" t="str">
        <f t="shared" si="24"/>
        <v/>
      </c>
      <c r="F5867" s="59" t="str">
        <f t="shared" si="25"/>
        <v/>
      </c>
      <c r="G5867" s="59" t="str">
        <f t="shared" si="26"/>
        <v/>
      </c>
      <c r="H5867" s="59" t="str">
        <f t="shared" si="27"/>
        <v>Cát nghiền</v>
      </c>
      <c r="I5867" s="59" t="str">
        <f>IF(OR($A5867="",$C5867="",$D5867="",$E5867="",$H5867=""),"",SUMIFS(DATA_GOC!$H:$H,DATA_GOC!$A:$A,"BOM",DATA_GOC!$D:$D,$H5867,DATA_GOC!$E:$E,$C5867,DATA_GOC!$F:$F,"Xuất nội bộ từ téc",DATA_GOC!$B:$B,"&gt;="&amp;$D5867,DATA_GOC!$B:$B,"&lt;="&amp;$E5867))</f>
        <v/>
      </c>
      <c r="J5867" s="59">
        <f t="shared" si="28"/>
        <v>0</v>
      </c>
      <c r="K5867" s="59">
        <f t="shared" si="29"/>
        <v>0</v>
      </c>
      <c r="L5867" s="59">
        <f t="shared" si="30"/>
        <v>0</v>
      </c>
      <c r="M5867" s="59">
        <f t="shared" si="31"/>
        <v>0</v>
      </c>
    </row>
    <row r="5868" ht="15.0" hidden="1" customHeight="1">
      <c r="A5868" s="59">
        <f t="shared" si="20"/>
        <v>94</v>
      </c>
      <c r="B5868" s="59" t="str">
        <f t="shared" si="21"/>
        <v/>
      </c>
      <c r="C5868" s="59" t="str">
        <f t="shared" si="22"/>
        <v/>
      </c>
      <c r="D5868" s="45" t="str">
        <f t="shared" si="23"/>
        <v/>
      </c>
      <c r="E5868" s="45" t="str">
        <f t="shared" si="24"/>
        <v/>
      </c>
      <c r="F5868" s="59" t="str">
        <f t="shared" si="25"/>
        <v/>
      </c>
      <c r="G5868" s="59" t="str">
        <f t="shared" si="26"/>
        <v/>
      </c>
      <c r="H5868" s="59" t="str">
        <f t="shared" si="27"/>
        <v>28C02973</v>
      </c>
      <c r="I5868" s="59" t="str">
        <f>IF(OR($A5868="",$C5868="",$D5868="",$E5868="",$H5868=""),"",SUMIFS(DATA_GOC!$H:$H,DATA_GOC!$A:$A,"BOM",DATA_GOC!$D:$D,$H5868,DATA_GOC!$E:$E,$C5868,DATA_GOC!$F:$F,"Xuất nội bộ từ téc",DATA_GOC!$B:$B,"&gt;="&amp;$D5868,DATA_GOC!$B:$B,"&lt;="&amp;$E5868))</f>
        <v/>
      </c>
      <c r="J5868" s="59">
        <f t="shared" si="28"/>
        <v>0</v>
      </c>
      <c r="K5868" s="59">
        <f t="shared" si="29"/>
        <v>0</v>
      </c>
      <c r="L5868" s="59">
        <f t="shared" si="30"/>
        <v>0</v>
      </c>
      <c r="M5868" s="59">
        <f t="shared" si="31"/>
        <v>0</v>
      </c>
    </row>
    <row r="5869" ht="15.0" hidden="1" customHeight="1">
      <c r="A5869" s="59">
        <f t="shared" si="20"/>
        <v>94</v>
      </c>
      <c r="B5869" s="59" t="str">
        <f t="shared" si="21"/>
        <v/>
      </c>
      <c r="C5869" s="59" t="str">
        <f t="shared" si="22"/>
        <v/>
      </c>
      <c r="D5869" s="45" t="str">
        <f t="shared" si="23"/>
        <v/>
      </c>
      <c r="E5869" s="45" t="str">
        <f t="shared" si="24"/>
        <v/>
      </c>
      <c r="F5869" s="59" t="str">
        <f t="shared" si="25"/>
        <v/>
      </c>
      <c r="G5869" s="59" t="str">
        <f t="shared" si="26"/>
        <v/>
      </c>
      <c r="H5869" s="59" t="str">
        <f t="shared" si="27"/>
        <v>28C03044</v>
      </c>
      <c r="I5869" s="59" t="str">
        <f>IF(OR($A5869="",$C5869="",$D5869="",$E5869="",$H5869=""),"",SUMIFS(DATA_GOC!$H:$H,DATA_GOC!$A:$A,"BOM",DATA_GOC!$D:$D,$H5869,DATA_GOC!$E:$E,$C5869,DATA_GOC!$F:$F,"Xuất nội bộ từ téc",DATA_GOC!$B:$B,"&gt;="&amp;$D5869,DATA_GOC!$B:$B,"&lt;="&amp;$E5869))</f>
        <v/>
      </c>
      <c r="J5869" s="59">
        <f t="shared" si="28"/>
        <v>0</v>
      </c>
      <c r="K5869" s="59">
        <f t="shared" si="29"/>
        <v>0</v>
      </c>
      <c r="L5869" s="59">
        <f t="shared" si="30"/>
        <v>0</v>
      </c>
      <c r="M5869" s="59">
        <f t="shared" si="31"/>
        <v>0</v>
      </c>
    </row>
    <row r="5870" ht="15.0" hidden="1" customHeight="1">
      <c r="A5870" s="59">
        <f t="shared" si="20"/>
        <v>94</v>
      </c>
      <c r="B5870" s="59" t="str">
        <f t="shared" si="21"/>
        <v/>
      </c>
      <c r="C5870" s="59" t="str">
        <f t="shared" si="22"/>
        <v/>
      </c>
      <c r="D5870" s="45" t="str">
        <f t="shared" si="23"/>
        <v/>
      </c>
      <c r="E5870" s="45" t="str">
        <f t="shared" si="24"/>
        <v/>
      </c>
      <c r="F5870" s="59" t="str">
        <f t="shared" si="25"/>
        <v/>
      </c>
      <c r="G5870" s="59" t="str">
        <f t="shared" si="26"/>
        <v/>
      </c>
      <c r="H5870" s="59" t="str">
        <f t="shared" si="27"/>
        <v>Máy lu lốp</v>
      </c>
      <c r="I5870" s="59" t="str">
        <f>IF(OR($A5870="",$C5870="",$D5870="",$E5870="",$H5870=""),"",SUMIFS(DATA_GOC!$H:$H,DATA_GOC!$A:$A,"BOM",DATA_GOC!$D:$D,$H5870,DATA_GOC!$E:$E,$C5870,DATA_GOC!$F:$F,"Xuất nội bộ từ téc",DATA_GOC!$B:$B,"&gt;="&amp;$D5870,DATA_GOC!$B:$B,"&lt;="&amp;$E5870))</f>
        <v/>
      </c>
      <c r="J5870" s="59">
        <f t="shared" si="28"/>
        <v>0</v>
      </c>
      <c r="K5870" s="59">
        <f t="shared" si="29"/>
        <v>0</v>
      </c>
      <c r="L5870" s="59">
        <f t="shared" si="30"/>
        <v>0</v>
      </c>
      <c r="M5870" s="59">
        <f t="shared" si="31"/>
        <v>0</v>
      </c>
    </row>
    <row r="5871" ht="15.0" hidden="1" customHeight="1">
      <c r="A5871" s="59">
        <f t="shared" si="20"/>
        <v>94</v>
      </c>
      <c r="B5871" s="59" t="str">
        <f t="shared" si="21"/>
        <v/>
      </c>
      <c r="C5871" s="59" t="str">
        <f t="shared" si="22"/>
        <v/>
      </c>
      <c r="D5871" s="45" t="str">
        <f t="shared" si="23"/>
        <v/>
      </c>
      <c r="E5871" s="45" t="str">
        <f t="shared" si="24"/>
        <v/>
      </c>
      <c r="F5871" s="59" t="str">
        <f t="shared" si="25"/>
        <v/>
      </c>
      <c r="G5871" s="59" t="str">
        <f t="shared" si="26"/>
        <v/>
      </c>
      <c r="H5871" s="59" t="str">
        <f t="shared" si="27"/>
        <v>Xe 600148</v>
      </c>
      <c r="I5871" s="59" t="str">
        <f>IF(OR($A5871="",$C5871="",$D5871="",$E5871="",$H5871=""),"",SUMIFS(DATA_GOC!$H:$H,DATA_GOC!$A:$A,"BOM",DATA_GOC!$D:$D,$H5871,DATA_GOC!$E:$E,$C5871,DATA_GOC!$F:$F,"Xuất nội bộ từ téc",DATA_GOC!$B:$B,"&gt;="&amp;$D5871,DATA_GOC!$B:$B,"&lt;="&amp;$E5871))</f>
        <v/>
      </c>
      <c r="J5871" s="59">
        <f t="shared" si="28"/>
        <v>0</v>
      </c>
      <c r="K5871" s="59">
        <f t="shared" si="29"/>
        <v>0</v>
      </c>
      <c r="L5871" s="59">
        <f t="shared" si="30"/>
        <v>0</v>
      </c>
      <c r="M5871" s="59">
        <f t="shared" si="31"/>
        <v>0</v>
      </c>
    </row>
    <row r="5872" ht="15.0" hidden="1" customHeight="1">
      <c r="A5872" s="59">
        <f t="shared" si="20"/>
        <v>94</v>
      </c>
      <c r="B5872" s="59" t="str">
        <f t="shared" si="21"/>
        <v/>
      </c>
      <c r="C5872" s="59" t="str">
        <f t="shared" si="22"/>
        <v/>
      </c>
      <c r="D5872" s="45" t="str">
        <f t="shared" si="23"/>
        <v/>
      </c>
      <c r="E5872" s="45" t="str">
        <f t="shared" si="24"/>
        <v/>
      </c>
      <c r="F5872" s="59" t="str">
        <f t="shared" si="25"/>
        <v/>
      </c>
      <c r="G5872" s="59" t="str">
        <f t="shared" si="26"/>
        <v/>
      </c>
      <c r="H5872" s="59" t="str">
        <f t="shared" si="27"/>
        <v>Xe ben mới</v>
      </c>
      <c r="I5872" s="59" t="str">
        <f>IF(OR($A5872="",$C5872="",$D5872="",$E5872="",$H5872=""),"",SUMIFS(DATA_GOC!$H:$H,DATA_GOC!$A:$A,"BOM",DATA_GOC!$D:$D,$H5872,DATA_GOC!$E:$E,$C5872,DATA_GOC!$F:$F,"Xuất nội bộ từ téc",DATA_GOC!$B:$B,"&gt;="&amp;$D5872,DATA_GOC!$B:$B,"&lt;="&amp;$E5872))</f>
        <v/>
      </c>
      <c r="J5872" s="59">
        <f t="shared" si="28"/>
        <v>0</v>
      </c>
      <c r="K5872" s="59">
        <f t="shared" si="29"/>
        <v>0</v>
      </c>
      <c r="L5872" s="59">
        <f t="shared" si="30"/>
        <v>0</v>
      </c>
      <c r="M5872" s="59">
        <f t="shared" si="31"/>
        <v>0</v>
      </c>
    </row>
    <row r="5873" ht="15.0" hidden="1" customHeight="1">
      <c r="A5873" s="59">
        <f t="shared" si="20"/>
        <v>95</v>
      </c>
      <c r="B5873" s="59" t="str">
        <f t="shared" si="21"/>
        <v/>
      </c>
      <c r="C5873" s="59" t="str">
        <f t="shared" si="22"/>
        <v/>
      </c>
      <c r="D5873" s="45" t="str">
        <f t="shared" si="23"/>
        <v/>
      </c>
      <c r="E5873" s="45" t="str">
        <f t="shared" si="24"/>
        <v/>
      </c>
      <c r="F5873" s="59" t="str">
        <f t="shared" si="25"/>
        <v/>
      </c>
      <c r="G5873" s="59" t="str">
        <f t="shared" si="26"/>
        <v/>
      </c>
      <c r="H5873" s="59" t="str">
        <f t="shared" si="27"/>
        <v>19H09482</v>
      </c>
      <c r="I5873" s="59" t="str">
        <f>IF(OR($A5873="",$C5873="",$D5873="",$E5873="",$H5873=""),"",SUMIFS(DATA_GOC!$H:$H,DATA_GOC!$A:$A,"BOM",DATA_GOC!$D:$D,$H5873,DATA_GOC!$E:$E,$C5873,DATA_GOC!$F:$F,"Xuất nội bộ từ téc",DATA_GOC!$B:$B,"&gt;="&amp;$D5873,DATA_GOC!$B:$B,"&lt;="&amp;$E5873))</f>
        <v/>
      </c>
      <c r="J5873" s="59">
        <f t="shared" si="28"/>
        <v>0</v>
      </c>
      <c r="K5873" s="59">
        <f t="shared" si="29"/>
        <v>0</v>
      </c>
      <c r="L5873" s="59">
        <f t="shared" si="30"/>
        <v>0</v>
      </c>
      <c r="M5873" s="59">
        <f t="shared" si="31"/>
        <v>0</v>
      </c>
    </row>
    <row r="5874" ht="15.0" hidden="1" customHeight="1">
      <c r="A5874" s="59">
        <f t="shared" si="20"/>
        <v>95</v>
      </c>
      <c r="B5874" s="59" t="str">
        <f t="shared" si="21"/>
        <v/>
      </c>
      <c r="C5874" s="59" t="str">
        <f t="shared" si="22"/>
        <v/>
      </c>
      <c r="D5874" s="45" t="str">
        <f t="shared" si="23"/>
        <v/>
      </c>
      <c r="E5874" s="45" t="str">
        <f t="shared" si="24"/>
        <v/>
      </c>
      <c r="F5874" s="59" t="str">
        <f t="shared" si="25"/>
        <v/>
      </c>
      <c r="G5874" s="59" t="str">
        <f t="shared" si="26"/>
        <v/>
      </c>
      <c r="H5874" s="59" t="str">
        <f t="shared" si="27"/>
        <v>28A30696</v>
      </c>
      <c r="I5874" s="59" t="str">
        <f>IF(OR($A5874="",$C5874="",$D5874="",$E5874="",$H5874=""),"",SUMIFS(DATA_GOC!$H:$H,DATA_GOC!$A:$A,"BOM",DATA_GOC!$D:$D,$H5874,DATA_GOC!$E:$E,$C5874,DATA_GOC!$F:$F,"Xuất nội bộ từ téc",DATA_GOC!$B:$B,"&gt;="&amp;$D5874,DATA_GOC!$B:$B,"&lt;="&amp;$E5874))</f>
        <v/>
      </c>
      <c r="J5874" s="59">
        <f t="shared" si="28"/>
        <v>0</v>
      </c>
      <c r="K5874" s="59">
        <f t="shared" si="29"/>
        <v>0</v>
      </c>
      <c r="L5874" s="59">
        <f t="shared" si="30"/>
        <v>0</v>
      </c>
      <c r="M5874" s="59">
        <f t="shared" si="31"/>
        <v>0</v>
      </c>
    </row>
    <row r="5875" ht="15.0" hidden="1" customHeight="1">
      <c r="A5875" s="59">
        <f t="shared" si="20"/>
        <v>95</v>
      </c>
      <c r="B5875" s="59" t="str">
        <f t="shared" si="21"/>
        <v/>
      </c>
      <c r="C5875" s="59" t="str">
        <f t="shared" si="22"/>
        <v/>
      </c>
      <c r="D5875" s="45" t="str">
        <f t="shared" si="23"/>
        <v/>
      </c>
      <c r="E5875" s="45" t="str">
        <f t="shared" si="24"/>
        <v/>
      </c>
      <c r="F5875" s="59" t="str">
        <f t="shared" si="25"/>
        <v/>
      </c>
      <c r="G5875" s="59" t="str">
        <f t="shared" si="26"/>
        <v/>
      </c>
      <c r="H5875" s="59" t="str">
        <f t="shared" si="27"/>
        <v>28C00462</v>
      </c>
      <c r="I5875" s="59" t="str">
        <f>IF(OR($A5875="",$C5875="",$D5875="",$E5875="",$H5875=""),"",SUMIFS(DATA_GOC!$H:$H,DATA_GOC!$A:$A,"BOM",DATA_GOC!$D:$D,$H5875,DATA_GOC!$E:$E,$C5875,DATA_GOC!$F:$F,"Xuất nội bộ từ téc",DATA_GOC!$B:$B,"&gt;="&amp;$D5875,DATA_GOC!$B:$B,"&lt;="&amp;$E5875))</f>
        <v/>
      </c>
      <c r="J5875" s="59">
        <f t="shared" si="28"/>
        <v>0</v>
      </c>
      <c r="K5875" s="59">
        <f t="shared" si="29"/>
        <v>0</v>
      </c>
      <c r="L5875" s="59">
        <f t="shared" si="30"/>
        <v>0</v>
      </c>
      <c r="M5875" s="59">
        <f t="shared" si="31"/>
        <v>0</v>
      </c>
    </row>
    <row r="5876" ht="15.0" hidden="1" customHeight="1">
      <c r="A5876" s="59">
        <f t="shared" si="20"/>
        <v>95</v>
      </c>
      <c r="B5876" s="59" t="str">
        <f t="shared" si="21"/>
        <v/>
      </c>
      <c r="C5876" s="59" t="str">
        <f t="shared" si="22"/>
        <v/>
      </c>
      <c r="D5876" s="45" t="str">
        <f t="shared" si="23"/>
        <v/>
      </c>
      <c r="E5876" s="45" t="str">
        <f t="shared" si="24"/>
        <v/>
      </c>
      <c r="F5876" s="59" t="str">
        <f t="shared" si="25"/>
        <v/>
      </c>
      <c r="G5876" s="59" t="str">
        <f t="shared" si="26"/>
        <v/>
      </c>
      <c r="H5876" s="59" t="str">
        <f t="shared" si="27"/>
        <v>28C01165</v>
      </c>
      <c r="I5876" s="59" t="str">
        <f>IF(OR($A5876="",$C5876="",$D5876="",$E5876="",$H5876=""),"",SUMIFS(DATA_GOC!$H:$H,DATA_GOC!$A:$A,"BOM",DATA_GOC!$D:$D,$H5876,DATA_GOC!$E:$E,$C5876,DATA_GOC!$F:$F,"Xuất nội bộ từ téc",DATA_GOC!$B:$B,"&gt;="&amp;$D5876,DATA_GOC!$B:$B,"&lt;="&amp;$E5876))</f>
        <v/>
      </c>
      <c r="J5876" s="59">
        <f t="shared" si="28"/>
        <v>0</v>
      </c>
      <c r="K5876" s="59">
        <f t="shared" si="29"/>
        <v>0</v>
      </c>
      <c r="L5876" s="59">
        <f t="shared" si="30"/>
        <v>0</v>
      </c>
      <c r="M5876" s="59">
        <f t="shared" si="31"/>
        <v>0</v>
      </c>
    </row>
    <row r="5877" ht="15.0" hidden="1" customHeight="1">
      <c r="A5877" s="59">
        <f t="shared" si="20"/>
        <v>95</v>
      </c>
      <c r="B5877" s="59" t="str">
        <f t="shared" si="21"/>
        <v/>
      </c>
      <c r="C5877" s="59" t="str">
        <f t="shared" si="22"/>
        <v/>
      </c>
      <c r="D5877" s="45" t="str">
        <f t="shared" si="23"/>
        <v/>
      </c>
      <c r="E5877" s="45" t="str">
        <f t="shared" si="24"/>
        <v/>
      </c>
      <c r="F5877" s="59" t="str">
        <f t="shared" si="25"/>
        <v/>
      </c>
      <c r="G5877" s="59" t="str">
        <f t="shared" si="26"/>
        <v/>
      </c>
      <c r="H5877" s="59" t="str">
        <f t="shared" si="27"/>
        <v>28C01406</v>
      </c>
      <c r="I5877" s="59" t="str">
        <f>IF(OR($A5877="",$C5877="",$D5877="",$E5877="",$H5877=""),"",SUMIFS(DATA_GOC!$H:$H,DATA_GOC!$A:$A,"BOM",DATA_GOC!$D:$D,$H5877,DATA_GOC!$E:$E,$C5877,DATA_GOC!$F:$F,"Xuất nội bộ từ téc",DATA_GOC!$B:$B,"&gt;="&amp;$D5877,DATA_GOC!$B:$B,"&lt;="&amp;$E5877))</f>
        <v/>
      </c>
      <c r="J5877" s="59">
        <f t="shared" si="28"/>
        <v>0</v>
      </c>
      <c r="K5877" s="59">
        <f t="shared" si="29"/>
        <v>0</v>
      </c>
      <c r="L5877" s="59">
        <f t="shared" si="30"/>
        <v>0</v>
      </c>
      <c r="M5877" s="59">
        <f t="shared" si="31"/>
        <v>0</v>
      </c>
    </row>
    <row r="5878" ht="15.0" hidden="1" customHeight="1">
      <c r="A5878" s="59">
        <f t="shared" si="20"/>
        <v>95</v>
      </c>
      <c r="B5878" s="59" t="str">
        <f t="shared" si="21"/>
        <v/>
      </c>
      <c r="C5878" s="59" t="str">
        <f t="shared" si="22"/>
        <v/>
      </c>
      <c r="D5878" s="45" t="str">
        <f t="shared" si="23"/>
        <v/>
      </c>
      <c r="E5878" s="45" t="str">
        <f t="shared" si="24"/>
        <v/>
      </c>
      <c r="F5878" s="59" t="str">
        <f t="shared" si="25"/>
        <v/>
      </c>
      <c r="G5878" s="59" t="str">
        <f t="shared" si="26"/>
        <v/>
      </c>
      <c r="H5878" s="59" t="str">
        <f t="shared" si="27"/>
        <v>28C01544</v>
      </c>
      <c r="I5878" s="59" t="str">
        <f>IF(OR($A5878="",$C5878="",$D5878="",$E5878="",$H5878=""),"",SUMIFS(DATA_GOC!$H:$H,DATA_GOC!$A:$A,"BOM",DATA_GOC!$D:$D,$H5878,DATA_GOC!$E:$E,$C5878,DATA_GOC!$F:$F,"Xuất nội bộ từ téc",DATA_GOC!$B:$B,"&gt;="&amp;$D5878,DATA_GOC!$B:$B,"&lt;="&amp;$E5878))</f>
        <v/>
      </c>
      <c r="J5878" s="59">
        <f t="shared" si="28"/>
        <v>0</v>
      </c>
      <c r="K5878" s="59">
        <f t="shared" si="29"/>
        <v>0</v>
      </c>
      <c r="L5878" s="59">
        <f t="shared" si="30"/>
        <v>0</v>
      </c>
      <c r="M5878" s="59">
        <f t="shared" si="31"/>
        <v>0</v>
      </c>
    </row>
    <row r="5879" ht="15.0" hidden="1" customHeight="1">
      <c r="A5879" s="59">
        <f t="shared" si="20"/>
        <v>95</v>
      </c>
      <c r="B5879" s="59" t="str">
        <f t="shared" si="21"/>
        <v/>
      </c>
      <c r="C5879" s="59" t="str">
        <f t="shared" si="22"/>
        <v/>
      </c>
      <c r="D5879" s="45" t="str">
        <f t="shared" si="23"/>
        <v/>
      </c>
      <c r="E5879" s="45" t="str">
        <f t="shared" si="24"/>
        <v/>
      </c>
      <c r="F5879" s="59" t="str">
        <f t="shared" si="25"/>
        <v/>
      </c>
      <c r="G5879" s="59" t="str">
        <f t="shared" si="26"/>
        <v/>
      </c>
      <c r="H5879" s="59" t="str">
        <f t="shared" si="27"/>
        <v>28C01622</v>
      </c>
      <c r="I5879" s="59" t="str">
        <f>IF(OR($A5879="",$C5879="",$D5879="",$E5879="",$H5879=""),"",SUMIFS(DATA_GOC!$H:$H,DATA_GOC!$A:$A,"BOM",DATA_GOC!$D:$D,$H5879,DATA_GOC!$E:$E,$C5879,DATA_GOC!$F:$F,"Xuất nội bộ từ téc",DATA_GOC!$B:$B,"&gt;="&amp;$D5879,DATA_GOC!$B:$B,"&lt;="&amp;$E5879))</f>
        <v/>
      </c>
      <c r="J5879" s="59">
        <f t="shared" si="28"/>
        <v>0</v>
      </c>
      <c r="K5879" s="59">
        <f t="shared" si="29"/>
        <v>0</v>
      </c>
      <c r="L5879" s="59">
        <f t="shared" si="30"/>
        <v>0</v>
      </c>
      <c r="M5879" s="59">
        <f t="shared" si="31"/>
        <v>0</v>
      </c>
    </row>
    <row r="5880" ht="15.0" hidden="1" customHeight="1">
      <c r="A5880" s="59">
        <f t="shared" si="20"/>
        <v>95</v>
      </c>
      <c r="B5880" s="59" t="str">
        <f t="shared" si="21"/>
        <v/>
      </c>
      <c r="C5880" s="59" t="str">
        <f t="shared" si="22"/>
        <v/>
      </c>
      <c r="D5880" s="45" t="str">
        <f t="shared" si="23"/>
        <v/>
      </c>
      <c r="E5880" s="45" t="str">
        <f t="shared" si="24"/>
        <v/>
      </c>
      <c r="F5880" s="59" t="str">
        <f t="shared" si="25"/>
        <v/>
      </c>
      <c r="G5880" s="59" t="str">
        <f t="shared" si="26"/>
        <v/>
      </c>
      <c r="H5880" s="59" t="str">
        <f t="shared" si="27"/>
        <v>28C01647</v>
      </c>
      <c r="I5880" s="59" t="str">
        <f>IF(OR($A5880="",$C5880="",$D5880="",$E5880="",$H5880=""),"",SUMIFS(DATA_GOC!$H:$H,DATA_GOC!$A:$A,"BOM",DATA_GOC!$D:$D,$H5880,DATA_GOC!$E:$E,$C5880,DATA_GOC!$F:$F,"Xuất nội bộ từ téc",DATA_GOC!$B:$B,"&gt;="&amp;$D5880,DATA_GOC!$B:$B,"&lt;="&amp;$E5880))</f>
        <v/>
      </c>
      <c r="J5880" s="59">
        <f t="shared" si="28"/>
        <v>0</v>
      </c>
      <c r="K5880" s="59">
        <f t="shared" si="29"/>
        <v>0</v>
      </c>
      <c r="L5880" s="59">
        <f t="shared" si="30"/>
        <v>0</v>
      </c>
      <c r="M5880" s="59">
        <f t="shared" si="31"/>
        <v>0</v>
      </c>
    </row>
    <row r="5881" ht="15.0" hidden="1" customHeight="1">
      <c r="A5881" s="59">
        <f t="shared" si="20"/>
        <v>95</v>
      </c>
      <c r="B5881" s="59" t="str">
        <f t="shared" si="21"/>
        <v/>
      </c>
      <c r="C5881" s="59" t="str">
        <f t="shared" si="22"/>
        <v/>
      </c>
      <c r="D5881" s="45" t="str">
        <f t="shared" si="23"/>
        <v/>
      </c>
      <c r="E5881" s="45" t="str">
        <f t="shared" si="24"/>
        <v/>
      </c>
      <c r="F5881" s="59" t="str">
        <f t="shared" si="25"/>
        <v/>
      </c>
      <c r="G5881" s="59" t="str">
        <f t="shared" si="26"/>
        <v/>
      </c>
      <c r="H5881" s="59" t="str">
        <f t="shared" si="27"/>
        <v>28C01731</v>
      </c>
      <c r="I5881" s="59" t="str">
        <f>IF(OR($A5881="",$C5881="",$D5881="",$E5881="",$H5881=""),"",SUMIFS(DATA_GOC!$H:$H,DATA_GOC!$A:$A,"BOM",DATA_GOC!$D:$D,$H5881,DATA_GOC!$E:$E,$C5881,DATA_GOC!$F:$F,"Xuất nội bộ từ téc",DATA_GOC!$B:$B,"&gt;="&amp;$D5881,DATA_GOC!$B:$B,"&lt;="&amp;$E5881))</f>
        <v/>
      </c>
      <c r="J5881" s="59">
        <f t="shared" si="28"/>
        <v>0</v>
      </c>
      <c r="K5881" s="59">
        <f t="shared" si="29"/>
        <v>0</v>
      </c>
      <c r="L5881" s="59">
        <f t="shared" si="30"/>
        <v>0</v>
      </c>
      <c r="M5881" s="59">
        <f t="shared" si="31"/>
        <v>0</v>
      </c>
    </row>
    <row r="5882" ht="15.0" hidden="1" customHeight="1">
      <c r="A5882" s="59">
        <f t="shared" si="20"/>
        <v>95</v>
      </c>
      <c r="B5882" s="59" t="str">
        <f t="shared" si="21"/>
        <v/>
      </c>
      <c r="C5882" s="59" t="str">
        <f t="shared" si="22"/>
        <v/>
      </c>
      <c r="D5882" s="45" t="str">
        <f t="shared" si="23"/>
        <v/>
      </c>
      <c r="E5882" s="45" t="str">
        <f t="shared" si="24"/>
        <v/>
      </c>
      <c r="F5882" s="59" t="str">
        <f t="shared" si="25"/>
        <v/>
      </c>
      <c r="G5882" s="59" t="str">
        <f t="shared" si="26"/>
        <v/>
      </c>
      <c r="H5882" s="59" t="str">
        <f t="shared" si="27"/>
        <v>28C01743</v>
      </c>
      <c r="I5882" s="59" t="str">
        <f>IF(OR($A5882="",$C5882="",$D5882="",$E5882="",$H5882=""),"",SUMIFS(DATA_GOC!$H:$H,DATA_GOC!$A:$A,"BOM",DATA_GOC!$D:$D,$H5882,DATA_GOC!$E:$E,$C5882,DATA_GOC!$F:$F,"Xuất nội bộ từ téc",DATA_GOC!$B:$B,"&gt;="&amp;$D5882,DATA_GOC!$B:$B,"&lt;="&amp;$E5882))</f>
        <v/>
      </c>
      <c r="J5882" s="59">
        <f t="shared" si="28"/>
        <v>0</v>
      </c>
      <c r="K5882" s="59">
        <f t="shared" si="29"/>
        <v>0</v>
      </c>
      <c r="L5882" s="59">
        <f t="shared" si="30"/>
        <v>0</v>
      </c>
      <c r="M5882" s="59">
        <f t="shared" si="31"/>
        <v>0</v>
      </c>
    </row>
    <row r="5883" ht="15.0" hidden="1" customHeight="1">
      <c r="A5883" s="59">
        <f t="shared" si="20"/>
        <v>95</v>
      </c>
      <c r="B5883" s="59" t="str">
        <f t="shared" si="21"/>
        <v/>
      </c>
      <c r="C5883" s="59" t="str">
        <f t="shared" si="22"/>
        <v/>
      </c>
      <c r="D5883" s="45" t="str">
        <f t="shared" si="23"/>
        <v/>
      </c>
      <c r="E5883" s="45" t="str">
        <f t="shared" si="24"/>
        <v/>
      </c>
      <c r="F5883" s="59" t="str">
        <f t="shared" si="25"/>
        <v/>
      </c>
      <c r="G5883" s="59" t="str">
        <f t="shared" si="26"/>
        <v/>
      </c>
      <c r="H5883" s="59" t="str">
        <f t="shared" si="27"/>
        <v>28C02106</v>
      </c>
      <c r="I5883" s="59" t="str">
        <f>IF(OR($A5883="",$C5883="",$D5883="",$E5883="",$H5883=""),"",SUMIFS(DATA_GOC!$H:$H,DATA_GOC!$A:$A,"BOM",DATA_GOC!$D:$D,$H5883,DATA_GOC!$E:$E,$C5883,DATA_GOC!$F:$F,"Xuất nội bộ từ téc",DATA_GOC!$B:$B,"&gt;="&amp;$D5883,DATA_GOC!$B:$B,"&lt;="&amp;$E5883))</f>
        <v/>
      </c>
      <c r="J5883" s="59">
        <f t="shared" si="28"/>
        <v>0</v>
      </c>
      <c r="K5883" s="59">
        <f t="shared" si="29"/>
        <v>0</v>
      </c>
      <c r="L5883" s="59">
        <f t="shared" si="30"/>
        <v>0</v>
      </c>
      <c r="M5883" s="59">
        <f t="shared" si="31"/>
        <v>0</v>
      </c>
    </row>
    <row r="5884" ht="15.0" hidden="1" customHeight="1">
      <c r="A5884" s="59">
        <f t="shared" si="20"/>
        <v>95</v>
      </c>
      <c r="B5884" s="59" t="str">
        <f t="shared" si="21"/>
        <v/>
      </c>
      <c r="C5884" s="59" t="str">
        <f t="shared" si="22"/>
        <v/>
      </c>
      <c r="D5884" s="45" t="str">
        <f t="shared" si="23"/>
        <v/>
      </c>
      <c r="E5884" s="45" t="str">
        <f t="shared" si="24"/>
        <v/>
      </c>
      <c r="F5884" s="59" t="str">
        <f t="shared" si="25"/>
        <v/>
      </c>
      <c r="G5884" s="59" t="str">
        <f t="shared" si="26"/>
        <v/>
      </c>
      <c r="H5884" s="59" t="str">
        <f t="shared" si="27"/>
        <v>28C02410</v>
      </c>
      <c r="I5884" s="59" t="str">
        <f>IF(OR($A5884="",$C5884="",$D5884="",$E5884="",$H5884=""),"",SUMIFS(DATA_GOC!$H:$H,DATA_GOC!$A:$A,"BOM",DATA_GOC!$D:$D,$H5884,DATA_GOC!$E:$E,$C5884,DATA_GOC!$F:$F,"Xuất nội bộ từ téc",DATA_GOC!$B:$B,"&gt;="&amp;$D5884,DATA_GOC!$B:$B,"&lt;="&amp;$E5884))</f>
        <v/>
      </c>
      <c r="J5884" s="59">
        <f t="shared" si="28"/>
        <v>0</v>
      </c>
      <c r="K5884" s="59">
        <f t="shared" si="29"/>
        <v>0</v>
      </c>
      <c r="L5884" s="59">
        <f t="shared" si="30"/>
        <v>0</v>
      </c>
      <c r="M5884" s="59">
        <f t="shared" si="31"/>
        <v>0</v>
      </c>
    </row>
    <row r="5885" ht="15.0" hidden="1" customHeight="1">
      <c r="A5885" s="59">
        <f t="shared" si="20"/>
        <v>95</v>
      </c>
      <c r="B5885" s="59" t="str">
        <f t="shared" si="21"/>
        <v/>
      </c>
      <c r="C5885" s="59" t="str">
        <f t="shared" si="22"/>
        <v/>
      </c>
      <c r="D5885" s="45" t="str">
        <f t="shared" si="23"/>
        <v/>
      </c>
      <c r="E5885" s="45" t="str">
        <f t="shared" si="24"/>
        <v/>
      </c>
      <c r="F5885" s="59" t="str">
        <f t="shared" si="25"/>
        <v/>
      </c>
      <c r="G5885" s="59" t="str">
        <f t="shared" si="26"/>
        <v/>
      </c>
      <c r="H5885" s="59" t="str">
        <f t="shared" si="27"/>
        <v>28C02545</v>
      </c>
      <c r="I5885" s="59" t="str">
        <f>IF(OR($A5885="",$C5885="",$D5885="",$E5885="",$H5885=""),"",SUMIFS(DATA_GOC!$H:$H,DATA_GOC!$A:$A,"BOM",DATA_GOC!$D:$D,$H5885,DATA_GOC!$E:$E,$C5885,DATA_GOC!$F:$F,"Xuất nội bộ từ téc",DATA_GOC!$B:$B,"&gt;="&amp;$D5885,DATA_GOC!$B:$B,"&lt;="&amp;$E5885))</f>
        <v/>
      </c>
      <c r="J5885" s="59">
        <f t="shared" si="28"/>
        <v>0</v>
      </c>
      <c r="K5885" s="59">
        <f t="shared" si="29"/>
        <v>0</v>
      </c>
      <c r="L5885" s="59">
        <f t="shared" si="30"/>
        <v>0</v>
      </c>
      <c r="M5885" s="59">
        <f t="shared" si="31"/>
        <v>0</v>
      </c>
    </row>
    <row r="5886" ht="15.0" hidden="1" customHeight="1">
      <c r="A5886" s="59">
        <f t="shared" si="20"/>
        <v>95</v>
      </c>
      <c r="B5886" s="59" t="str">
        <f t="shared" si="21"/>
        <v/>
      </c>
      <c r="C5886" s="59" t="str">
        <f t="shared" si="22"/>
        <v/>
      </c>
      <c r="D5886" s="45" t="str">
        <f t="shared" si="23"/>
        <v/>
      </c>
      <c r="E5886" s="45" t="str">
        <f t="shared" si="24"/>
        <v/>
      </c>
      <c r="F5886" s="59" t="str">
        <f t="shared" si="25"/>
        <v/>
      </c>
      <c r="G5886" s="59" t="str">
        <f t="shared" si="26"/>
        <v/>
      </c>
      <c r="H5886" s="59" t="str">
        <f t="shared" si="27"/>
        <v>28C02574</v>
      </c>
      <c r="I5886" s="59" t="str">
        <f>IF(OR($A5886="",$C5886="",$D5886="",$E5886="",$H5886=""),"",SUMIFS(DATA_GOC!$H:$H,DATA_GOC!$A:$A,"BOM",DATA_GOC!$D:$D,$H5886,DATA_GOC!$E:$E,$C5886,DATA_GOC!$F:$F,"Xuất nội bộ từ téc",DATA_GOC!$B:$B,"&gt;="&amp;$D5886,DATA_GOC!$B:$B,"&lt;="&amp;$E5886))</f>
        <v/>
      </c>
      <c r="J5886" s="59">
        <f t="shared" si="28"/>
        <v>0</v>
      </c>
      <c r="K5886" s="59">
        <f t="shared" si="29"/>
        <v>0</v>
      </c>
      <c r="L5886" s="59">
        <f t="shared" si="30"/>
        <v>0</v>
      </c>
      <c r="M5886" s="59">
        <f t="shared" si="31"/>
        <v>0</v>
      </c>
    </row>
    <row r="5887" ht="15.0" hidden="1" customHeight="1">
      <c r="A5887" s="59">
        <f t="shared" si="20"/>
        <v>95</v>
      </c>
      <c r="B5887" s="59" t="str">
        <f t="shared" si="21"/>
        <v/>
      </c>
      <c r="C5887" s="59" t="str">
        <f t="shared" si="22"/>
        <v/>
      </c>
      <c r="D5887" s="45" t="str">
        <f t="shared" si="23"/>
        <v/>
      </c>
      <c r="E5887" s="45" t="str">
        <f t="shared" si="24"/>
        <v/>
      </c>
      <c r="F5887" s="59" t="str">
        <f t="shared" si="25"/>
        <v/>
      </c>
      <c r="G5887" s="59" t="str">
        <f t="shared" si="26"/>
        <v/>
      </c>
      <c r="H5887" s="59" t="str">
        <f t="shared" si="27"/>
        <v>28C02770</v>
      </c>
      <c r="I5887" s="59" t="str">
        <f>IF(OR($A5887="",$C5887="",$D5887="",$E5887="",$H5887=""),"",SUMIFS(DATA_GOC!$H:$H,DATA_GOC!$A:$A,"BOM",DATA_GOC!$D:$D,$H5887,DATA_GOC!$E:$E,$C5887,DATA_GOC!$F:$F,"Xuất nội bộ từ téc",DATA_GOC!$B:$B,"&gt;="&amp;$D5887,DATA_GOC!$B:$B,"&lt;="&amp;$E5887))</f>
        <v/>
      </c>
      <c r="J5887" s="59">
        <f t="shared" si="28"/>
        <v>0</v>
      </c>
      <c r="K5887" s="59">
        <f t="shared" si="29"/>
        <v>0</v>
      </c>
      <c r="L5887" s="59">
        <f t="shared" si="30"/>
        <v>0</v>
      </c>
      <c r="M5887" s="59">
        <f t="shared" si="31"/>
        <v>0</v>
      </c>
    </row>
    <row r="5888" ht="15.0" hidden="1" customHeight="1">
      <c r="A5888" s="59">
        <f t="shared" si="20"/>
        <v>95</v>
      </c>
      <c r="B5888" s="59" t="str">
        <f t="shared" si="21"/>
        <v/>
      </c>
      <c r="C5888" s="59" t="str">
        <f t="shared" si="22"/>
        <v/>
      </c>
      <c r="D5888" s="45" t="str">
        <f t="shared" si="23"/>
        <v/>
      </c>
      <c r="E5888" s="45" t="str">
        <f t="shared" si="24"/>
        <v/>
      </c>
      <c r="F5888" s="59" t="str">
        <f t="shared" si="25"/>
        <v/>
      </c>
      <c r="G5888" s="59" t="str">
        <f t="shared" si="26"/>
        <v/>
      </c>
      <c r="H5888" s="59" t="str">
        <f t="shared" si="27"/>
        <v>28C02986</v>
      </c>
      <c r="I5888" s="59" t="str">
        <f>IF(OR($A5888="",$C5888="",$D5888="",$E5888="",$H5888=""),"",SUMIFS(DATA_GOC!$H:$H,DATA_GOC!$A:$A,"BOM",DATA_GOC!$D:$D,$H5888,DATA_GOC!$E:$E,$C5888,DATA_GOC!$F:$F,"Xuất nội bộ từ téc",DATA_GOC!$B:$B,"&gt;="&amp;$D5888,DATA_GOC!$B:$B,"&lt;="&amp;$E5888))</f>
        <v/>
      </c>
      <c r="J5888" s="59">
        <f t="shared" si="28"/>
        <v>0</v>
      </c>
      <c r="K5888" s="59">
        <f t="shared" si="29"/>
        <v>0</v>
      </c>
      <c r="L5888" s="59">
        <f t="shared" si="30"/>
        <v>0</v>
      </c>
      <c r="M5888" s="59">
        <f t="shared" si="31"/>
        <v>0</v>
      </c>
    </row>
    <row r="5889" ht="15.0" hidden="1" customHeight="1">
      <c r="A5889" s="59">
        <f t="shared" si="20"/>
        <v>95</v>
      </c>
      <c r="B5889" s="59" t="str">
        <f t="shared" si="21"/>
        <v/>
      </c>
      <c r="C5889" s="59" t="str">
        <f t="shared" si="22"/>
        <v/>
      </c>
      <c r="D5889" s="45" t="str">
        <f t="shared" si="23"/>
        <v/>
      </c>
      <c r="E5889" s="45" t="str">
        <f t="shared" si="24"/>
        <v/>
      </c>
      <c r="F5889" s="59" t="str">
        <f t="shared" si="25"/>
        <v/>
      </c>
      <c r="G5889" s="59" t="str">
        <f t="shared" si="26"/>
        <v/>
      </c>
      <c r="H5889" s="59" t="str">
        <f t="shared" si="27"/>
        <v>28C03261</v>
      </c>
      <c r="I5889" s="59" t="str">
        <f>IF(OR($A5889="",$C5889="",$D5889="",$E5889="",$H5889=""),"",SUMIFS(DATA_GOC!$H:$H,DATA_GOC!$A:$A,"BOM",DATA_GOC!$D:$D,$H5889,DATA_GOC!$E:$E,$C5889,DATA_GOC!$F:$F,"Xuất nội bộ từ téc",DATA_GOC!$B:$B,"&gt;="&amp;$D5889,DATA_GOC!$B:$B,"&lt;="&amp;$E5889))</f>
        <v/>
      </c>
      <c r="J5889" s="59">
        <f t="shared" si="28"/>
        <v>0</v>
      </c>
      <c r="K5889" s="59">
        <f t="shared" si="29"/>
        <v>0</v>
      </c>
      <c r="L5889" s="59">
        <f t="shared" si="30"/>
        <v>0</v>
      </c>
      <c r="M5889" s="59">
        <f t="shared" si="31"/>
        <v>0</v>
      </c>
    </row>
    <row r="5890" ht="15.0" hidden="1" customHeight="1">
      <c r="A5890" s="59">
        <f t="shared" si="20"/>
        <v>95</v>
      </c>
      <c r="B5890" s="59" t="str">
        <f t="shared" si="21"/>
        <v/>
      </c>
      <c r="C5890" s="59" t="str">
        <f t="shared" si="22"/>
        <v/>
      </c>
      <c r="D5890" s="45" t="str">
        <f t="shared" si="23"/>
        <v/>
      </c>
      <c r="E5890" s="45" t="str">
        <f t="shared" si="24"/>
        <v/>
      </c>
      <c r="F5890" s="59" t="str">
        <f t="shared" si="25"/>
        <v/>
      </c>
      <c r="G5890" s="59" t="str">
        <f t="shared" si="26"/>
        <v/>
      </c>
      <c r="H5890" s="59" t="str">
        <f t="shared" si="27"/>
        <v>28C03323</v>
      </c>
      <c r="I5890" s="59" t="str">
        <f>IF(OR($A5890="",$C5890="",$D5890="",$E5890="",$H5890=""),"",SUMIFS(DATA_GOC!$H:$H,DATA_GOC!$A:$A,"BOM",DATA_GOC!$D:$D,$H5890,DATA_GOC!$E:$E,$C5890,DATA_GOC!$F:$F,"Xuất nội bộ từ téc",DATA_GOC!$B:$B,"&gt;="&amp;$D5890,DATA_GOC!$B:$B,"&lt;="&amp;$E5890))</f>
        <v/>
      </c>
      <c r="J5890" s="59">
        <f t="shared" si="28"/>
        <v>0</v>
      </c>
      <c r="K5890" s="59">
        <f t="shared" si="29"/>
        <v>0</v>
      </c>
      <c r="L5890" s="59">
        <f t="shared" si="30"/>
        <v>0</v>
      </c>
      <c r="M5890" s="59">
        <f t="shared" si="31"/>
        <v>0</v>
      </c>
    </row>
    <row r="5891" ht="15.0" hidden="1" customHeight="1">
      <c r="A5891" s="59">
        <f t="shared" si="20"/>
        <v>95</v>
      </c>
      <c r="B5891" s="59" t="str">
        <f t="shared" si="21"/>
        <v/>
      </c>
      <c r="C5891" s="59" t="str">
        <f t="shared" si="22"/>
        <v/>
      </c>
      <c r="D5891" s="45" t="str">
        <f t="shared" si="23"/>
        <v/>
      </c>
      <c r="E5891" s="45" t="str">
        <f t="shared" si="24"/>
        <v/>
      </c>
      <c r="F5891" s="59" t="str">
        <f t="shared" si="25"/>
        <v/>
      </c>
      <c r="G5891" s="59" t="str">
        <f t="shared" si="26"/>
        <v/>
      </c>
      <c r="H5891" s="59" t="str">
        <f t="shared" si="27"/>
        <v>28C03385</v>
      </c>
      <c r="I5891" s="59" t="str">
        <f>IF(OR($A5891="",$C5891="",$D5891="",$E5891="",$H5891=""),"",SUMIFS(DATA_GOC!$H:$H,DATA_GOC!$A:$A,"BOM",DATA_GOC!$D:$D,$H5891,DATA_GOC!$E:$E,$C5891,DATA_GOC!$F:$F,"Xuất nội bộ từ téc",DATA_GOC!$B:$B,"&gt;="&amp;$D5891,DATA_GOC!$B:$B,"&lt;="&amp;$E5891))</f>
        <v/>
      </c>
      <c r="J5891" s="59">
        <f t="shared" si="28"/>
        <v>0</v>
      </c>
      <c r="K5891" s="59">
        <f t="shared" si="29"/>
        <v>0</v>
      </c>
      <c r="L5891" s="59">
        <f t="shared" si="30"/>
        <v>0</v>
      </c>
      <c r="M5891" s="59">
        <f t="shared" si="31"/>
        <v>0</v>
      </c>
    </row>
    <row r="5892" ht="15.0" hidden="1" customHeight="1">
      <c r="A5892" s="59">
        <f t="shared" si="20"/>
        <v>95</v>
      </c>
      <c r="B5892" s="59" t="str">
        <f t="shared" si="21"/>
        <v/>
      </c>
      <c r="C5892" s="59" t="str">
        <f t="shared" si="22"/>
        <v/>
      </c>
      <c r="D5892" s="45" t="str">
        <f t="shared" si="23"/>
        <v/>
      </c>
      <c r="E5892" s="45" t="str">
        <f t="shared" si="24"/>
        <v/>
      </c>
      <c r="F5892" s="59" t="str">
        <f t="shared" si="25"/>
        <v/>
      </c>
      <c r="G5892" s="59" t="str">
        <f t="shared" si="26"/>
        <v/>
      </c>
      <c r="H5892" s="59" t="str">
        <f t="shared" si="27"/>
        <v>28C03652</v>
      </c>
      <c r="I5892" s="59" t="str">
        <f>IF(OR($A5892="",$C5892="",$D5892="",$E5892="",$H5892=""),"",SUMIFS(DATA_GOC!$H:$H,DATA_GOC!$A:$A,"BOM",DATA_GOC!$D:$D,$H5892,DATA_GOC!$E:$E,$C5892,DATA_GOC!$F:$F,"Xuất nội bộ từ téc",DATA_GOC!$B:$B,"&gt;="&amp;$D5892,DATA_GOC!$B:$B,"&lt;="&amp;$E5892))</f>
        <v/>
      </c>
      <c r="J5892" s="59">
        <f t="shared" si="28"/>
        <v>0</v>
      </c>
      <c r="K5892" s="59">
        <f t="shared" si="29"/>
        <v>0</v>
      </c>
      <c r="L5892" s="59">
        <f t="shared" si="30"/>
        <v>0</v>
      </c>
      <c r="M5892" s="59">
        <f t="shared" si="31"/>
        <v>0</v>
      </c>
    </row>
    <row r="5893" ht="15.0" hidden="1" customHeight="1">
      <c r="A5893" s="59">
        <f t="shared" si="20"/>
        <v>95</v>
      </c>
      <c r="B5893" s="59" t="str">
        <f t="shared" si="21"/>
        <v/>
      </c>
      <c r="C5893" s="59" t="str">
        <f t="shared" si="22"/>
        <v/>
      </c>
      <c r="D5893" s="45" t="str">
        <f t="shared" si="23"/>
        <v/>
      </c>
      <c r="E5893" s="45" t="str">
        <f t="shared" si="24"/>
        <v/>
      </c>
      <c r="F5893" s="59" t="str">
        <f t="shared" si="25"/>
        <v/>
      </c>
      <c r="G5893" s="59" t="str">
        <f t="shared" si="26"/>
        <v/>
      </c>
      <c r="H5893" s="59" t="str">
        <f t="shared" si="27"/>
        <v>28C03695</v>
      </c>
      <c r="I5893" s="59" t="str">
        <f>IF(OR($A5893="",$C5893="",$D5893="",$E5893="",$H5893=""),"",SUMIFS(DATA_GOC!$H:$H,DATA_GOC!$A:$A,"BOM",DATA_GOC!$D:$D,$H5893,DATA_GOC!$E:$E,$C5893,DATA_GOC!$F:$F,"Xuất nội bộ từ téc",DATA_GOC!$B:$B,"&gt;="&amp;$D5893,DATA_GOC!$B:$B,"&lt;="&amp;$E5893))</f>
        <v/>
      </c>
      <c r="J5893" s="59">
        <f t="shared" si="28"/>
        <v>0</v>
      </c>
      <c r="K5893" s="59">
        <f t="shared" si="29"/>
        <v>0</v>
      </c>
      <c r="L5893" s="59">
        <f t="shared" si="30"/>
        <v>0</v>
      </c>
      <c r="M5893" s="59">
        <f t="shared" si="31"/>
        <v>0</v>
      </c>
    </row>
    <row r="5894" ht="15.0" hidden="1" customHeight="1">
      <c r="A5894" s="59">
        <f t="shared" si="20"/>
        <v>95</v>
      </c>
      <c r="B5894" s="59" t="str">
        <f t="shared" si="21"/>
        <v/>
      </c>
      <c r="C5894" s="59" t="str">
        <f t="shared" si="22"/>
        <v/>
      </c>
      <c r="D5894" s="45" t="str">
        <f t="shared" si="23"/>
        <v/>
      </c>
      <c r="E5894" s="45" t="str">
        <f t="shared" si="24"/>
        <v/>
      </c>
      <c r="F5894" s="59" t="str">
        <f t="shared" si="25"/>
        <v/>
      </c>
      <c r="G5894" s="59" t="str">
        <f t="shared" si="26"/>
        <v/>
      </c>
      <c r="H5894" s="59" t="str">
        <f t="shared" si="27"/>
        <v>28C03927</v>
      </c>
      <c r="I5894" s="59" t="str">
        <f>IF(OR($A5894="",$C5894="",$D5894="",$E5894="",$H5894=""),"",SUMIFS(DATA_GOC!$H:$H,DATA_GOC!$A:$A,"BOM",DATA_GOC!$D:$D,$H5894,DATA_GOC!$E:$E,$C5894,DATA_GOC!$F:$F,"Xuất nội bộ từ téc",DATA_GOC!$B:$B,"&gt;="&amp;$D5894,DATA_GOC!$B:$B,"&lt;="&amp;$E5894))</f>
        <v/>
      </c>
      <c r="J5894" s="59">
        <f t="shared" si="28"/>
        <v>0</v>
      </c>
      <c r="K5894" s="59">
        <f t="shared" si="29"/>
        <v>0</v>
      </c>
      <c r="L5894" s="59">
        <f t="shared" si="30"/>
        <v>0</v>
      </c>
      <c r="M5894" s="59">
        <f t="shared" si="31"/>
        <v>0</v>
      </c>
    </row>
    <row r="5895" ht="15.0" hidden="1" customHeight="1">
      <c r="A5895" s="59">
        <f t="shared" si="20"/>
        <v>95</v>
      </c>
      <c r="B5895" s="59" t="str">
        <f t="shared" si="21"/>
        <v/>
      </c>
      <c r="C5895" s="59" t="str">
        <f t="shared" si="22"/>
        <v/>
      </c>
      <c r="D5895" s="45" t="str">
        <f t="shared" si="23"/>
        <v/>
      </c>
      <c r="E5895" s="45" t="str">
        <f t="shared" si="24"/>
        <v/>
      </c>
      <c r="F5895" s="59" t="str">
        <f t="shared" si="25"/>
        <v/>
      </c>
      <c r="G5895" s="59" t="str">
        <f t="shared" si="26"/>
        <v/>
      </c>
      <c r="H5895" s="59" t="str">
        <f t="shared" si="27"/>
        <v>28C04509</v>
      </c>
      <c r="I5895" s="59" t="str">
        <f>IF(OR($A5895="",$C5895="",$D5895="",$E5895="",$H5895=""),"",SUMIFS(DATA_GOC!$H:$H,DATA_GOC!$A:$A,"BOM",DATA_GOC!$D:$D,$H5895,DATA_GOC!$E:$E,$C5895,DATA_GOC!$F:$F,"Xuất nội bộ từ téc",DATA_GOC!$B:$B,"&gt;="&amp;$D5895,DATA_GOC!$B:$B,"&lt;="&amp;$E5895))</f>
        <v/>
      </c>
      <c r="J5895" s="59">
        <f t="shared" si="28"/>
        <v>0</v>
      </c>
      <c r="K5895" s="59">
        <f t="shared" si="29"/>
        <v>0</v>
      </c>
      <c r="L5895" s="59">
        <f t="shared" si="30"/>
        <v>0</v>
      </c>
      <c r="M5895" s="59">
        <f t="shared" si="31"/>
        <v>0</v>
      </c>
    </row>
    <row r="5896" ht="15.0" hidden="1" customHeight="1">
      <c r="A5896" s="59">
        <f t="shared" si="20"/>
        <v>95</v>
      </c>
      <c r="B5896" s="59" t="str">
        <f t="shared" si="21"/>
        <v/>
      </c>
      <c r="C5896" s="59" t="str">
        <f t="shared" si="22"/>
        <v/>
      </c>
      <c r="D5896" s="45" t="str">
        <f t="shared" si="23"/>
        <v/>
      </c>
      <c r="E5896" s="45" t="str">
        <f t="shared" si="24"/>
        <v/>
      </c>
      <c r="F5896" s="59" t="str">
        <f t="shared" si="25"/>
        <v/>
      </c>
      <c r="G5896" s="59" t="str">
        <f t="shared" si="26"/>
        <v/>
      </c>
      <c r="H5896" s="59" t="str">
        <f t="shared" si="27"/>
        <v>28C04536</v>
      </c>
      <c r="I5896" s="59" t="str">
        <f>IF(OR($A5896="",$C5896="",$D5896="",$E5896="",$H5896=""),"",SUMIFS(DATA_GOC!$H:$H,DATA_GOC!$A:$A,"BOM",DATA_GOC!$D:$D,$H5896,DATA_GOC!$E:$E,$C5896,DATA_GOC!$F:$F,"Xuất nội bộ từ téc",DATA_GOC!$B:$B,"&gt;="&amp;$D5896,DATA_GOC!$B:$B,"&lt;="&amp;$E5896))</f>
        <v/>
      </c>
      <c r="J5896" s="59">
        <f t="shared" si="28"/>
        <v>0</v>
      </c>
      <c r="K5896" s="59">
        <f t="shared" si="29"/>
        <v>0</v>
      </c>
      <c r="L5896" s="59">
        <f t="shared" si="30"/>
        <v>0</v>
      </c>
      <c r="M5896" s="59">
        <f t="shared" si="31"/>
        <v>0</v>
      </c>
    </row>
    <row r="5897" ht="15.0" hidden="1" customHeight="1">
      <c r="A5897" s="59">
        <f t="shared" si="20"/>
        <v>95</v>
      </c>
      <c r="B5897" s="59" t="str">
        <f t="shared" si="21"/>
        <v/>
      </c>
      <c r="C5897" s="59" t="str">
        <f t="shared" si="22"/>
        <v/>
      </c>
      <c r="D5897" s="45" t="str">
        <f t="shared" si="23"/>
        <v/>
      </c>
      <c r="E5897" s="45" t="str">
        <f t="shared" si="24"/>
        <v/>
      </c>
      <c r="F5897" s="59" t="str">
        <f t="shared" si="25"/>
        <v/>
      </c>
      <c r="G5897" s="59" t="str">
        <f t="shared" si="26"/>
        <v/>
      </c>
      <c r="H5897" s="59" t="str">
        <f t="shared" si="27"/>
        <v>28C04576</v>
      </c>
      <c r="I5897" s="59" t="str">
        <f>IF(OR($A5897="",$C5897="",$D5897="",$E5897="",$H5897=""),"",SUMIFS(DATA_GOC!$H:$H,DATA_GOC!$A:$A,"BOM",DATA_GOC!$D:$D,$H5897,DATA_GOC!$E:$E,$C5897,DATA_GOC!$F:$F,"Xuất nội bộ từ téc",DATA_GOC!$B:$B,"&gt;="&amp;$D5897,DATA_GOC!$B:$B,"&lt;="&amp;$E5897))</f>
        <v/>
      </c>
      <c r="J5897" s="59">
        <f t="shared" si="28"/>
        <v>0</v>
      </c>
      <c r="K5897" s="59">
        <f t="shared" si="29"/>
        <v>0</v>
      </c>
      <c r="L5897" s="59">
        <f t="shared" si="30"/>
        <v>0</v>
      </c>
      <c r="M5897" s="59">
        <f t="shared" si="31"/>
        <v>0</v>
      </c>
    </row>
    <row r="5898" ht="15.0" hidden="1" customHeight="1">
      <c r="A5898" s="59">
        <f t="shared" si="20"/>
        <v>95</v>
      </c>
      <c r="B5898" s="59" t="str">
        <f t="shared" si="21"/>
        <v/>
      </c>
      <c r="C5898" s="59" t="str">
        <f t="shared" si="22"/>
        <v/>
      </c>
      <c r="D5898" s="45" t="str">
        <f t="shared" si="23"/>
        <v/>
      </c>
      <c r="E5898" s="45" t="str">
        <f t="shared" si="24"/>
        <v/>
      </c>
      <c r="F5898" s="59" t="str">
        <f t="shared" si="25"/>
        <v/>
      </c>
      <c r="G5898" s="59" t="str">
        <f t="shared" si="26"/>
        <v/>
      </c>
      <c r="H5898" s="59" t="str">
        <f t="shared" si="27"/>
        <v>28C05090</v>
      </c>
      <c r="I5898" s="59" t="str">
        <f>IF(OR($A5898="",$C5898="",$D5898="",$E5898="",$H5898=""),"",SUMIFS(DATA_GOC!$H:$H,DATA_GOC!$A:$A,"BOM",DATA_GOC!$D:$D,$H5898,DATA_GOC!$E:$E,$C5898,DATA_GOC!$F:$F,"Xuất nội bộ từ téc",DATA_GOC!$B:$B,"&gt;="&amp;$D5898,DATA_GOC!$B:$B,"&lt;="&amp;$E5898))</f>
        <v/>
      </c>
      <c r="J5898" s="59">
        <f t="shared" si="28"/>
        <v>0</v>
      </c>
      <c r="K5898" s="59">
        <f t="shared" si="29"/>
        <v>0</v>
      </c>
      <c r="L5898" s="59">
        <f t="shared" si="30"/>
        <v>0</v>
      </c>
      <c r="M5898" s="59">
        <f t="shared" si="31"/>
        <v>0</v>
      </c>
    </row>
    <row r="5899" ht="15.0" hidden="1" customHeight="1">
      <c r="A5899" s="59">
        <f t="shared" si="20"/>
        <v>95</v>
      </c>
      <c r="B5899" s="59" t="str">
        <f t="shared" si="21"/>
        <v/>
      </c>
      <c r="C5899" s="59" t="str">
        <f t="shared" si="22"/>
        <v/>
      </c>
      <c r="D5899" s="45" t="str">
        <f t="shared" si="23"/>
        <v/>
      </c>
      <c r="E5899" s="45" t="str">
        <f t="shared" si="24"/>
        <v/>
      </c>
      <c r="F5899" s="59" t="str">
        <f t="shared" si="25"/>
        <v/>
      </c>
      <c r="G5899" s="59" t="str">
        <f t="shared" si="26"/>
        <v/>
      </c>
      <c r="H5899" s="59" t="str">
        <f t="shared" si="27"/>
        <v>28C05345</v>
      </c>
      <c r="I5899" s="59" t="str">
        <f>IF(OR($A5899="",$C5899="",$D5899="",$E5899="",$H5899=""),"",SUMIFS(DATA_GOC!$H:$H,DATA_GOC!$A:$A,"BOM",DATA_GOC!$D:$D,$H5899,DATA_GOC!$E:$E,$C5899,DATA_GOC!$F:$F,"Xuất nội bộ từ téc",DATA_GOC!$B:$B,"&gt;="&amp;$D5899,DATA_GOC!$B:$B,"&lt;="&amp;$E5899))</f>
        <v/>
      </c>
      <c r="J5899" s="59">
        <f t="shared" si="28"/>
        <v>0</v>
      </c>
      <c r="K5899" s="59">
        <f t="shared" si="29"/>
        <v>0</v>
      </c>
      <c r="L5899" s="59">
        <f t="shared" si="30"/>
        <v>0</v>
      </c>
      <c r="M5899" s="59">
        <f t="shared" si="31"/>
        <v>0</v>
      </c>
    </row>
    <row r="5900" ht="15.0" hidden="1" customHeight="1">
      <c r="A5900" s="59">
        <f t="shared" si="20"/>
        <v>95</v>
      </c>
      <c r="B5900" s="59" t="str">
        <f t="shared" si="21"/>
        <v/>
      </c>
      <c r="C5900" s="59" t="str">
        <f t="shared" si="22"/>
        <v/>
      </c>
      <c r="D5900" s="45" t="str">
        <f t="shared" si="23"/>
        <v/>
      </c>
      <c r="E5900" s="45" t="str">
        <f t="shared" si="24"/>
        <v/>
      </c>
      <c r="F5900" s="59" t="str">
        <f t="shared" si="25"/>
        <v/>
      </c>
      <c r="G5900" s="59" t="str">
        <f t="shared" si="26"/>
        <v/>
      </c>
      <c r="H5900" s="59" t="str">
        <f t="shared" si="27"/>
        <v>28C05661</v>
      </c>
      <c r="I5900" s="59" t="str">
        <f>IF(OR($A5900="",$C5900="",$D5900="",$E5900="",$H5900=""),"",SUMIFS(DATA_GOC!$H:$H,DATA_GOC!$A:$A,"BOM",DATA_GOC!$D:$D,$H5900,DATA_GOC!$E:$E,$C5900,DATA_GOC!$F:$F,"Xuất nội bộ từ téc",DATA_GOC!$B:$B,"&gt;="&amp;$D5900,DATA_GOC!$B:$B,"&lt;="&amp;$E5900))</f>
        <v/>
      </c>
      <c r="J5900" s="59">
        <f t="shared" si="28"/>
        <v>0</v>
      </c>
      <c r="K5900" s="59">
        <f t="shared" si="29"/>
        <v>0</v>
      </c>
      <c r="L5900" s="59">
        <f t="shared" si="30"/>
        <v>0</v>
      </c>
      <c r="M5900" s="59">
        <f t="shared" si="31"/>
        <v>0</v>
      </c>
    </row>
    <row r="5901" ht="15.0" hidden="1" customHeight="1">
      <c r="A5901" s="59">
        <f t="shared" si="20"/>
        <v>95</v>
      </c>
      <c r="B5901" s="59" t="str">
        <f t="shared" si="21"/>
        <v/>
      </c>
      <c r="C5901" s="59" t="str">
        <f t="shared" si="22"/>
        <v/>
      </c>
      <c r="D5901" s="45" t="str">
        <f t="shared" si="23"/>
        <v/>
      </c>
      <c r="E5901" s="45" t="str">
        <f t="shared" si="24"/>
        <v/>
      </c>
      <c r="F5901" s="59" t="str">
        <f t="shared" si="25"/>
        <v/>
      </c>
      <c r="G5901" s="59" t="str">
        <f t="shared" si="26"/>
        <v/>
      </c>
      <c r="H5901" s="59" t="str">
        <f t="shared" si="27"/>
        <v>28C05739</v>
      </c>
      <c r="I5901" s="59" t="str">
        <f>IF(OR($A5901="",$C5901="",$D5901="",$E5901="",$H5901=""),"",SUMIFS(DATA_GOC!$H:$H,DATA_GOC!$A:$A,"BOM",DATA_GOC!$D:$D,$H5901,DATA_GOC!$E:$E,$C5901,DATA_GOC!$F:$F,"Xuất nội bộ từ téc",DATA_GOC!$B:$B,"&gt;="&amp;$D5901,DATA_GOC!$B:$B,"&lt;="&amp;$E5901))</f>
        <v/>
      </c>
      <c r="J5901" s="59">
        <f t="shared" si="28"/>
        <v>0</v>
      </c>
      <c r="K5901" s="59">
        <f t="shared" si="29"/>
        <v>0</v>
      </c>
      <c r="L5901" s="59">
        <f t="shared" si="30"/>
        <v>0</v>
      </c>
      <c r="M5901" s="59">
        <f t="shared" si="31"/>
        <v>0</v>
      </c>
    </row>
    <row r="5902" ht="15.0" hidden="1" customHeight="1">
      <c r="A5902" s="59">
        <f t="shared" si="20"/>
        <v>95</v>
      </c>
      <c r="B5902" s="59" t="str">
        <f t="shared" si="21"/>
        <v/>
      </c>
      <c r="C5902" s="59" t="str">
        <f t="shared" si="22"/>
        <v/>
      </c>
      <c r="D5902" s="45" t="str">
        <f t="shared" si="23"/>
        <v/>
      </c>
      <c r="E5902" s="45" t="str">
        <f t="shared" si="24"/>
        <v/>
      </c>
      <c r="F5902" s="59" t="str">
        <f t="shared" si="25"/>
        <v/>
      </c>
      <c r="G5902" s="59" t="str">
        <f t="shared" si="26"/>
        <v/>
      </c>
      <c r="H5902" s="59" t="str">
        <f t="shared" si="27"/>
        <v>28C06369</v>
      </c>
      <c r="I5902" s="59" t="str">
        <f>IF(OR($A5902="",$C5902="",$D5902="",$E5902="",$H5902=""),"",SUMIFS(DATA_GOC!$H:$H,DATA_GOC!$A:$A,"BOM",DATA_GOC!$D:$D,$H5902,DATA_GOC!$E:$E,$C5902,DATA_GOC!$F:$F,"Xuất nội bộ từ téc",DATA_GOC!$B:$B,"&gt;="&amp;$D5902,DATA_GOC!$B:$B,"&lt;="&amp;$E5902))</f>
        <v/>
      </c>
      <c r="J5902" s="59">
        <f t="shared" si="28"/>
        <v>0</v>
      </c>
      <c r="K5902" s="59">
        <f t="shared" si="29"/>
        <v>0</v>
      </c>
      <c r="L5902" s="59">
        <f t="shared" si="30"/>
        <v>0</v>
      </c>
      <c r="M5902" s="59">
        <f t="shared" si="31"/>
        <v>0</v>
      </c>
    </row>
    <row r="5903" ht="15.0" hidden="1" customHeight="1">
      <c r="A5903" s="59">
        <f t="shared" si="20"/>
        <v>95</v>
      </c>
      <c r="B5903" s="59" t="str">
        <f t="shared" si="21"/>
        <v/>
      </c>
      <c r="C5903" s="59" t="str">
        <f t="shared" si="22"/>
        <v/>
      </c>
      <c r="D5903" s="45" t="str">
        <f t="shared" si="23"/>
        <v/>
      </c>
      <c r="E5903" s="45" t="str">
        <f t="shared" si="24"/>
        <v/>
      </c>
      <c r="F5903" s="59" t="str">
        <f t="shared" si="25"/>
        <v/>
      </c>
      <c r="G5903" s="59" t="str">
        <f t="shared" si="26"/>
        <v/>
      </c>
      <c r="H5903" s="59" t="str">
        <f t="shared" si="27"/>
        <v>28C06447</v>
      </c>
      <c r="I5903" s="59" t="str">
        <f>IF(OR($A5903="",$C5903="",$D5903="",$E5903="",$H5903=""),"",SUMIFS(DATA_GOC!$H:$H,DATA_GOC!$A:$A,"BOM",DATA_GOC!$D:$D,$H5903,DATA_GOC!$E:$E,$C5903,DATA_GOC!$F:$F,"Xuất nội bộ từ téc",DATA_GOC!$B:$B,"&gt;="&amp;$D5903,DATA_GOC!$B:$B,"&lt;="&amp;$E5903))</f>
        <v/>
      </c>
      <c r="J5903" s="59">
        <f t="shared" si="28"/>
        <v>0</v>
      </c>
      <c r="K5903" s="59">
        <f t="shared" si="29"/>
        <v>0</v>
      </c>
      <c r="L5903" s="59">
        <f t="shared" si="30"/>
        <v>0</v>
      </c>
      <c r="M5903" s="59">
        <f t="shared" si="31"/>
        <v>0</v>
      </c>
    </row>
    <row r="5904" ht="15.0" hidden="1" customHeight="1">
      <c r="A5904" s="59">
        <f t="shared" si="20"/>
        <v>95</v>
      </c>
      <c r="B5904" s="59" t="str">
        <f t="shared" si="21"/>
        <v/>
      </c>
      <c r="C5904" s="59" t="str">
        <f t="shared" si="22"/>
        <v/>
      </c>
      <c r="D5904" s="45" t="str">
        <f t="shared" si="23"/>
        <v/>
      </c>
      <c r="E5904" s="45" t="str">
        <f t="shared" si="24"/>
        <v/>
      </c>
      <c r="F5904" s="59" t="str">
        <f t="shared" si="25"/>
        <v/>
      </c>
      <c r="G5904" s="59" t="str">
        <f t="shared" si="26"/>
        <v/>
      </c>
      <c r="H5904" s="59" t="str">
        <f t="shared" si="27"/>
        <v>28H00003</v>
      </c>
      <c r="I5904" s="59" t="str">
        <f>IF(OR($A5904="",$C5904="",$D5904="",$E5904="",$H5904=""),"",SUMIFS(DATA_GOC!$H:$H,DATA_GOC!$A:$A,"BOM",DATA_GOC!$D:$D,$H5904,DATA_GOC!$E:$E,$C5904,DATA_GOC!$F:$F,"Xuất nội bộ từ téc",DATA_GOC!$B:$B,"&gt;="&amp;$D5904,DATA_GOC!$B:$B,"&lt;="&amp;$E5904))</f>
        <v/>
      </c>
      <c r="J5904" s="59">
        <f t="shared" si="28"/>
        <v>0</v>
      </c>
      <c r="K5904" s="59">
        <f t="shared" si="29"/>
        <v>0</v>
      </c>
      <c r="L5904" s="59">
        <f t="shared" si="30"/>
        <v>0</v>
      </c>
      <c r="M5904" s="59">
        <f t="shared" si="31"/>
        <v>0</v>
      </c>
    </row>
    <row r="5905" ht="15.0" hidden="1" customHeight="1">
      <c r="A5905" s="59">
        <f t="shared" si="20"/>
        <v>95</v>
      </c>
      <c r="B5905" s="59" t="str">
        <f t="shared" si="21"/>
        <v/>
      </c>
      <c r="C5905" s="59" t="str">
        <f t="shared" si="22"/>
        <v/>
      </c>
      <c r="D5905" s="45" t="str">
        <f t="shared" si="23"/>
        <v/>
      </c>
      <c r="E5905" s="45" t="str">
        <f t="shared" si="24"/>
        <v/>
      </c>
      <c r="F5905" s="59" t="str">
        <f t="shared" si="25"/>
        <v/>
      </c>
      <c r="G5905" s="59" t="str">
        <f t="shared" si="26"/>
        <v/>
      </c>
      <c r="H5905" s="59" t="str">
        <f t="shared" si="27"/>
        <v>28H00061</v>
      </c>
      <c r="I5905" s="59" t="str">
        <f>IF(OR($A5905="",$C5905="",$D5905="",$E5905="",$H5905=""),"",SUMIFS(DATA_GOC!$H:$H,DATA_GOC!$A:$A,"BOM",DATA_GOC!$D:$D,$H5905,DATA_GOC!$E:$E,$C5905,DATA_GOC!$F:$F,"Xuất nội bộ từ téc",DATA_GOC!$B:$B,"&gt;="&amp;$D5905,DATA_GOC!$B:$B,"&lt;="&amp;$E5905))</f>
        <v/>
      </c>
      <c r="J5905" s="59">
        <f t="shared" si="28"/>
        <v>0</v>
      </c>
      <c r="K5905" s="59">
        <f t="shared" si="29"/>
        <v>0</v>
      </c>
      <c r="L5905" s="59">
        <f t="shared" si="30"/>
        <v>0</v>
      </c>
      <c r="M5905" s="59">
        <f t="shared" si="31"/>
        <v>0</v>
      </c>
    </row>
    <row r="5906" ht="15.0" hidden="1" customHeight="1">
      <c r="A5906" s="59">
        <f t="shared" si="20"/>
        <v>95</v>
      </c>
      <c r="B5906" s="59" t="str">
        <f t="shared" si="21"/>
        <v/>
      </c>
      <c r="C5906" s="59" t="str">
        <f t="shared" si="22"/>
        <v/>
      </c>
      <c r="D5906" s="45" t="str">
        <f t="shared" si="23"/>
        <v/>
      </c>
      <c r="E5906" s="45" t="str">
        <f t="shared" si="24"/>
        <v/>
      </c>
      <c r="F5906" s="59" t="str">
        <f t="shared" si="25"/>
        <v/>
      </c>
      <c r="G5906" s="59" t="str">
        <f t="shared" si="26"/>
        <v/>
      </c>
      <c r="H5906" s="59" t="str">
        <f t="shared" si="27"/>
        <v>28H00354</v>
      </c>
      <c r="I5906" s="59" t="str">
        <f>IF(OR($A5906="",$C5906="",$D5906="",$E5906="",$H5906=""),"",SUMIFS(DATA_GOC!$H:$H,DATA_GOC!$A:$A,"BOM",DATA_GOC!$D:$D,$H5906,DATA_GOC!$E:$E,$C5906,DATA_GOC!$F:$F,"Xuất nội bộ từ téc",DATA_GOC!$B:$B,"&gt;="&amp;$D5906,DATA_GOC!$B:$B,"&lt;="&amp;$E5906))</f>
        <v/>
      </c>
      <c r="J5906" s="59">
        <f t="shared" si="28"/>
        <v>0</v>
      </c>
      <c r="K5906" s="59">
        <f t="shared" si="29"/>
        <v>0</v>
      </c>
      <c r="L5906" s="59">
        <f t="shared" si="30"/>
        <v>0</v>
      </c>
      <c r="M5906" s="59">
        <f t="shared" si="31"/>
        <v>0</v>
      </c>
    </row>
    <row r="5907" ht="15.0" hidden="1" customHeight="1">
      <c r="A5907" s="59">
        <f t="shared" si="20"/>
        <v>95</v>
      </c>
      <c r="B5907" s="59" t="str">
        <f t="shared" si="21"/>
        <v/>
      </c>
      <c r="C5907" s="59" t="str">
        <f t="shared" si="22"/>
        <v/>
      </c>
      <c r="D5907" s="45" t="str">
        <f t="shared" si="23"/>
        <v/>
      </c>
      <c r="E5907" s="45" t="str">
        <f t="shared" si="24"/>
        <v/>
      </c>
      <c r="F5907" s="59" t="str">
        <f t="shared" si="25"/>
        <v/>
      </c>
      <c r="G5907" s="59" t="str">
        <f t="shared" si="26"/>
        <v/>
      </c>
      <c r="H5907" s="59" t="str">
        <f t="shared" si="27"/>
        <v>28H00603</v>
      </c>
      <c r="I5907" s="59" t="str">
        <f>IF(OR($A5907="",$C5907="",$D5907="",$E5907="",$H5907=""),"",SUMIFS(DATA_GOC!$H:$H,DATA_GOC!$A:$A,"BOM",DATA_GOC!$D:$D,$H5907,DATA_GOC!$E:$E,$C5907,DATA_GOC!$F:$F,"Xuất nội bộ từ téc",DATA_GOC!$B:$B,"&gt;="&amp;$D5907,DATA_GOC!$B:$B,"&lt;="&amp;$E5907))</f>
        <v/>
      </c>
      <c r="J5907" s="59">
        <f t="shared" si="28"/>
        <v>0</v>
      </c>
      <c r="K5907" s="59">
        <f t="shared" si="29"/>
        <v>0</v>
      </c>
      <c r="L5907" s="59">
        <f t="shared" si="30"/>
        <v>0</v>
      </c>
      <c r="M5907" s="59">
        <f t="shared" si="31"/>
        <v>0</v>
      </c>
    </row>
    <row r="5908" ht="15.0" hidden="1" customHeight="1">
      <c r="A5908" s="59">
        <f t="shared" si="20"/>
        <v>95</v>
      </c>
      <c r="B5908" s="59" t="str">
        <f t="shared" si="21"/>
        <v/>
      </c>
      <c r="C5908" s="59" t="str">
        <f t="shared" si="22"/>
        <v/>
      </c>
      <c r="D5908" s="45" t="str">
        <f t="shared" si="23"/>
        <v/>
      </c>
      <c r="E5908" s="45" t="str">
        <f t="shared" si="24"/>
        <v/>
      </c>
      <c r="F5908" s="59" t="str">
        <f t="shared" si="25"/>
        <v/>
      </c>
      <c r="G5908" s="59" t="str">
        <f t="shared" si="26"/>
        <v/>
      </c>
      <c r="H5908" s="59" t="str">
        <f t="shared" si="27"/>
        <v>28H00609</v>
      </c>
      <c r="I5908" s="59" t="str">
        <f>IF(OR($A5908="",$C5908="",$D5908="",$E5908="",$H5908=""),"",SUMIFS(DATA_GOC!$H:$H,DATA_GOC!$A:$A,"BOM",DATA_GOC!$D:$D,$H5908,DATA_GOC!$E:$E,$C5908,DATA_GOC!$F:$F,"Xuất nội bộ từ téc",DATA_GOC!$B:$B,"&gt;="&amp;$D5908,DATA_GOC!$B:$B,"&lt;="&amp;$E5908))</f>
        <v/>
      </c>
      <c r="J5908" s="59">
        <f t="shared" si="28"/>
        <v>0</v>
      </c>
      <c r="K5908" s="59">
        <f t="shared" si="29"/>
        <v>0</v>
      </c>
      <c r="L5908" s="59">
        <f t="shared" si="30"/>
        <v>0</v>
      </c>
      <c r="M5908" s="59">
        <f t="shared" si="31"/>
        <v>0</v>
      </c>
    </row>
    <row r="5909" ht="15.0" hidden="1" customHeight="1">
      <c r="A5909" s="59">
        <f t="shared" si="20"/>
        <v>95</v>
      </c>
      <c r="B5909" s="59" t="str">
        <f t="shared" si="21"/>
        <v/>
      </c>
      <c r="C5909" s="59" t="str">
        <f t="shared" si="22"/>
        <v/>
      </c>
      <c r="D5909" s="45" t="str">
        <f t="shared" si="23"/>
        <v/>
      </c>
      <c r="E5909" s="45" t="str">
        <f t="shared" si="24"/>
        <v/>
      </c>
      <c r="F5909" s="59" t="str">
        <f t="shared" si="25"/>
        <v/>
      </c>
      <c r="G5909" s="59" t="str">
        <f t="shared" si="26"/>
        <v/>
      </c>
      <c r="H5909" s="59" t="str">
        <f t="shared" si="27"/>
        <v>28H00669</v>
      </c>
      <c r="I5909" s="59" t="str">
        <f>IF(OR($A5909="",$C5909="",$D5909="",$E5909="",$H5909=""),"",SUMIFS(DATA_GOC!$H:$H,DATA_GOC!$A:$A,"BOM",DATA_GOC!$D:$D,$H5909,DATA_GOC!$E:$E,$C5909,DATA_GOC!$F:$F,"Xuất nội bộ từ téc",DATA_GOC!$B:$B,"&gt;="&amp;$D5909,DATA_GOC!$B:$B,"&lt;="&amp;$E5909))</f>
        <v/>
      </c>
      <c r="J5909" s="59">
        <f t="shared" si="28"/>
        <v>0</v>
      </c>
      <c r="K5909" s="59">
        <f t="shared" si="29"/>
        <v>0</v>
      </c>
      <c r="L5909" s="59">
        <f t="shared" si="30"/>
        <v>0</v>
      </c>
      <c r="M5909" s="59">
        <f t="shared" si="31"/>
        <v>0</v>
      </c>
    </row>
    <row r="5910" ht="15.0" hidden="1" customHeight="1">
      <c r="A5910" s="59">
        <f t="shared" si="20"/>
        <v>95</v>
      </c>
      <c r="B5910" s="59" t="str">
        <f t="shared" si="21"/>
        <v/>
      </c>
      <c r="C5910" s="59" t="str">
        <f t="shared" si="22"/>
        <v/>
      </c>
      <c r="D5910" s="45" t="str">
        <f t="shared" si="23"/>
        <v/>
      </c>
      <c r="E5910" s="45" t="str">
        <f t="shared" si="24"/>
        <v/>
      </c>
      <c r="F5910" s="59" t="str">
        <f t="shared" si="25"/>
        <v/>
      </c>
      <c r="G5910" s="59" t="str">
        <f t="shared" si="26"/>
        <v/>
      </c>
      <c r="H5910" s="59" t="str">
        <f t="shared" si="27"/>
        <v>28H00680</v>
      </c>
      <c r="I5910" s="59" t="str">
        <f>IF(OR($A5910="",$C5910="",$D5910="",$E5910="",$H5910=""),"",SUMIFS(DATA_GOC!$H:$H,DATA_GOC!$A:$A,"BOM",DATA_GOC!$D:$D,$H5910,DATA_GOC!$E:$E,$C5910,DATA_GOC!$F:$F,"Xuất nội bộ từ téc",DATA_GOC!$B:$B,"&gt;="&amp;$D5910,DATA_GOC!$B:$B,"&lt;="&amp;$E5910))</f>
        <v/>
      </c>
      <c r="J5910" s="59">
        <f t="shared" si="28"/>
        <v>0</v>
      </c>
      <c r="K5910" s="59">
        <f t="shared" si="29"/>
        <v>0</v>
      </c>
      <c r="L5910" s="59">
        <f t="shared" si="30"/>
        <v>0</v>
      </c>
      <c r="M5910" s="59">
        <f t="shared" si="31"/>
        <v>0</v>
      </c>
    </row>
    <row r="5911" ht="15.0" hidden="1" customHeight="1">
      <c r="A5911" s="59">
        <f t="shared" si="20"/>
        <v>95</v>
      </c>
      <c r="B5911" s="59" t="str">
        <f t="shared" si="21"/>
        <v/>
      </c>
      <c r="C5911" s="59" t="str">
        <f t="shared" si="22"/>
        <v/>
      </c>
      <c r="D5911" s="45" t="str">
        <f t="shared" si="23"/>
        <v/>
      </c>
      <c r="E5911" s="45" t="str">
        <f t="shared" si="24"/>
        <v/>
      </c>
      <c r="F5911" s="59" t="str">
        <f t="shared" si="25"/>
        <v/>
      </c>
      <c r="G5911" s="59" t="str">
        <f t="shared" si="26"/>
        <v/>
      </c>
      <c r="H5911" s="59" t="str">
        <f t="shared" si="27"/>
        <v>28H01070</v>
      </c>
      <c r="I5911" s="59" t="str">
        <f>IF(OR($A5911="",$C5911="",$D5911="",$E5911="",$H5911=""),"",SUMIFS(DATA_GOC!$H:$H,DATA_GOC!$A:$A,"BOM",DATA_GOC!$D:$D,$H5911,DATA_GOC!$E:$E,$C5911,DATA_GOC!$F:$F,"Xuất nội bộ từ téc",DATA_GOC!$B:$B,"&gt;="&amp;$D5911,DATA_GOC!$B:$B,"&lt;="&amp;$E5911))</f>
        <v/>
      </c>
      <c r="J5911" s="59">
        <f t="shared" si="28"/>
        <v>0</v>
      </c>
      <c r="K5911" s="59">
        <f t="shared" si="29"/>
        <v>0</v>
      </c>
      <c r="L5911" s="59">
        <f t="shared" si="30"/>
        <v>0</v>
      </c>
      <c r="M5911" s="59">
        <f t="shared" si="31"/>
        <v>0</v>
      </c>
    </row>
    <row r="5912" ht="15.0" hidden="1" customHeight="1">
      <c r="A5912" s="59">
        <f t="shared" si="20"/>
        <v>95</v>
      </c>
      <c r="B5912" s="59" t="str">
        <f t="shared" si="21"/>
        <v/>
      </c>
      <c r="C5912" s="59" t="str">
        <f t="shared" si="22"/>
        <v/>
      </c>
      <c r="D5912" s="45" t="str">
        <f t="shared" si="23"/>
        <v/>
      </c>
      <c r="E5912" s="45" t="str">
        <f t="shared" si="24"/>
        <v/>
      </c>
      <c r="F5912" s="59" t="str">
        <f t="shared" si="25"/>
        <v/>
      </c>
      <c r="G5912" s="59" t="str">
        <f t="shared" si="26"/>
        <v/>
      </c>
      <c r="H5912" s="59" t="str">
        <f t="shared" si="27"/>
        <v>28H01364</v>
      </c>
      <c r="I5912" s="59" t="str">
        <f>IF(OR($A5912="",$C5912="",$D5912="",$E5912="",$H5912=""),"",SUMIFS(DATA_GOC!$H:$H,DATA_GOC!$A:$A,"BOM",DATA_GOC!$D:$D,$H5912,DATA_GOC!$E:$E,$C5912,DATA_GOC!$F:$F,"Xuất nội bộ từ téc",DATA_GOC!$B:$B,"&gt;="&amp;$D5912,DATA_GOC!$B:$B,"&lt;="&amp;$E5912))</f>
        <v/>
      </c>
      <c r="J5912" s="59">
        <f t="shared" si="28"/>
        <v>0</v>
      </c>
      <c r="K5912" s="59">
        <f t="shared" si="29"/>
        <v>0</v>
      </c>
      <c r="L5912" s="59">
        <f t="shared" si="30"/>
        <v>0</v>
      </c>
      <c r="M5912" s="59">
        <f t="shared" si="31"/>
        <v>0</v>
      </c>
    </row>
    <row r="5913" ht="15.0" hidden="1" customHeight="1">
      <c r="A5913" s="59">
        <f t="shared" si="20"/>
        <v>95</v>
      </c>
      <c r="B5913" s="59" t="str">
        <f t="shared" si="21"/>
        <v/>
      </c>
      <c r="C5913" s="59" t="str">
        <f t="shared" si="22"/>
        <v/>
      </c>
      <c r="D5913" s="45" t="str">
        <f t="shared" si="23"/>
        <v/>
      </c>
      <c r="E5913" s="45" t="str">
        <f t="shared" si="24"/>
        <v/>
      </c>
      <c r="F5913" s="59" t="str">
        <f t="shared" si="25"/>
        <v/>
      </c>
      <c r="G5913" s="59" t="str">
        <f t="shared" si="26"/>
        <v/>
      </c>
      <c r="H5913" s="59" t="str">
        <f t="shared" si="27"/>
        <v>29E17269</v>
      </c>
      <c r="I5913" s="59" t="str">
        <f>IF(OR($A5913="",$C5913="",$D5913="",$E5913="",$H5913=""),"",SUMIFS(DATA_GOC!$H:$H,DATA_GOC!$A:$A,"BOM",DATA_GOC!$D:$D,$H5913,DATA_GOC!$E:$E,$C5913,DATA_GOC!$F:$F,"Xuất nội bộ từ téc",DATA_GOC!$B:$B,"&gt;="&amp;$D5913,DATA_GOC!$B:$B,"&lt;="&amp;$E5913))</f>
        <v/>
      </c>
      <c r="J5913" s="59">
        <f t="shared" si="28"/>
        <v>0</v>
      </c>
      <c r="K5913" s="59">
        <f t="shared" si="29"/>
        <v>0</v>
      </c>
      <c r="L5913" s="59">
        <f t="shared" si="30"/>
        <v>0</v>
      </c>
      <c r="M5913" s="59">
        <f t="shared" si="31"/>
        <v>0</v>
      </c>
    </row>
    <row r="5914" ht="15.0" hidden="1" customHeight="1">
      <c r="A5914" s="59">
        <f t="shared" si="20"/>
        <v>95</v>
      </c>
      <c r="B5914" s="59" t="str">
        <f t="shared" si="21"/>
        <v/>
      </c>
      <c r="C5914" s="59" t="str">
        <f t="shared" si="22"/>
        <v/>
      </c>
      <c r="D5914" s="45" t="str">
        <f t="shared" si="23"/>
        <v/>
      </c>
      <c r="E5914" s="45" t="str">
        <f t="shared" si="24"/>
        <v/>
      </c>
      <c r="F5914" s="59" t="str">
        <f t="shared" si="25"/>
        <v/>
      </c>
      <c r="G5914" s="59" t="str">
        <f t="shared" si="26"/>
        <v/>
      </c>
      <c r="H5914" s="59" t="str">
        <f t="shared" si="27"/>
        <v>29E17273</v>
      </c>
      <c r="I5914" s="59" t="str">
        <f>IF(OR($A5914="",$C5914="",$D5914="",$E5914="",$H5914=""),"",SUMIFS(DATA_GOC!$H:$H,DATA_GOC!$A:$A,"BOM",DATA_GOC!$D:$D,$H5914,DATA_GOC!$E:$E,$C5914,DATA_GOC!$F:$F,"Xuất nội bộ từ téc",DATA_GOC!$B:$B,"&gt;="&amp;$D5914,DATA_GOC!$B:$B,"&lt;="&amp;$E5914))</f>
        <v/>
      </c>
      <c r="J5914" s="59">
        <f t="shared" si="28"/>
        <v>0</v>
      </c>
      <c r="K5914" s="59">
        <f t="shared" si="29"/>
        <v>0</v>
      </c>
      <c r="L5914" s="59">
        <f t="shared" si="30"/>
        <v>0</v>
      </c>
      <c r="M5914" s="59">
        <f t="shared" si="31"/>
        <v>0</v>
      </c>
    </row>
    <row r="5915" ht="15.0" hidden="1" customHeight="1">
      <c r="A5915" s="59">
        <f t="shared" si="20"/>
        <v>95</v>
      </c>
      <c r="B5915" s="59" t="str">
        <f t="shared" si="21"/>
        <v/>
      </c>
      <c r="C5915" s="59" t="str">
        <f t="shared" si="22"/>
        <v/>
      </c>
      <c r="D5915" s="45" t="str">
        <f t="shared" si="23"/>
        <v/>
      </c>
      <c r="E5915" s="45" t="str">
        <f t="shared" si="24"/>
        <v/>
      </c>
      <c r="F5915" s="59" t="str">
        <f t="shared" si="25"/>
        <v/>
      </c>
      <c r="G5915" s="59" t="str">
        <f t="shared" si="26"/>
        <v/>
      </c>
      <c r="H5915" s="59" t="str">
        <f t="shared" si="27"/>
        <v>29E17410</v>
      </c>
      <c r="I5915" s="59" t="str">
        <f>IF(OR($A5915="",$C5915="",$D5915="",$E5915="",$H5915=""),"",SUMIFS(DATA_GOC!$H:$H,DATA_GOC!$A:$A,"BOM",DATA_GOC!$D:$D,$H5915,DATA_GOC!$E:$E,$C5915,DATA_GOC!$F:$F,"Xuất nội bộ từ téc",DATA_GOC!$B:$B,"&gt;="&amp;$D5915,DATA_GOC!$B:$B,"&lt;="&amp;$E5915))</f>
        <v/>
      </c>
      <c r="J5915" s="59">
        <f t="shared" si="28"/>
        <v>0</v>
      </c>
      <c r="K5915" s="59">
        <f t="shared" si="29"/>
        <v>0</v>
      </c>
      <c r="L5915" s="59">
        <f t="shared" si="30"/>
        <v>0</v>
      </c>
      <c r="M5915" s="59">
        <f t="shared" si="31"/>
        <v>0</v>
      </c>
    </row>
    <row r="5916" ht="15.0" hidden="1" customHeight="1">
      <c r="A5916" s="59">
        <f t="shared" si="20"/>
        <v>95</v>
      </c>
      <c r="B5916" s="59" t="str">
        <f t="shared" si="21"/>
        <v/>
      </c>
      <c r="C5916" s="59" t="str">
        <f t="shared" si="22"/>
        <v/>
      </c>
      <c r="D5916" s="45" t="str">
        <f t="shared" si="23"/>
        <v/>
      </c>
      <c r="E5916" s="45" t="str">
        <f t="shared" si="24"/>
        <v/>
      </c>
      <c r="F5916" s="59" t="str">
        <f t="shared" si="25"/>
        <v/>
      </c>
      <c r="G5916" s="59" t="str">
        <f t="shared" si="26"/>
        <v/>
      </c>
      <c r="H5916" s="59" t="str">
        <f t="shared" si="27"/>
        <v>29E17417</v>
      </c>
      <c r="I5916" s="59" t="str">
        <f>IF(OR($A5916="",$C5916="",$D5916="",$E5916="",$H5916=""),"",SUMIFS(DATA_GOC!$H:$H,DATA_GOC!$A:$A,"BOM",DATA_GOC!$D:$D,$H5916,DATA_GOC!$E:$E,$C5916,DATA_GOC!$F:$F,"Xuất nội bộ từ téc",DATA_GOC!$B:$B,"&gt;="&amp;$D5916,DATA_GOC!$B:$B,"&lt;="&amp;$E5916))</f>
        <v/>
      </c>
      <c r="J5916" s="59">
        <f t="shared" si="28"/>
        <v>0</v>
      </c>
      <c r="K5916" s="59">
        <f t="shared" si="29"/>
        <v>0</v>
      </c>
      <c r="L5916" s="59">
        <f t="shared" si="30"/>
        <v>0</v>
      </c>
      <c r="M5916" s="59">
        <f t="shared" si="31"/>
        <v>0</v>
      </c>
    </row>
    <row r="5917" ht="15.0" hidden="1" customHeight="1">
      <c r="A5917" s="59">
        <f t="shared" si="20"/>
        <v>95</v>
      </c>
      <c r="B5917" s="59" t="str">
        <f t="shared" si="21"/>
        <v/>
      </c>
      <c r="C5917" s="59" t="str">
        <f t="shared" si="22"/>
        <v/>
      </c>
      <c r="D5917" s="45" t="str">
        <f t="shared" si="23"/>
        <v/>
      </c>
      <c r="E5917" s="45" t="str">
        <f t="shared" si="24"/>
        <v/>
      </c>
      <c r="F5917" s="59" t="str">
        <f t="shared" si="25"/>
        <v/>
      </c>
      <c r="G5917" s="59" t="str">
        <f t="shared" si="26"/>
        <v/>
      </c>
      <c r="H5917" s="59" t="str">
        <f t="shared" si="27"/>
        <v>29E17539</v>
      </c>
      <c r="I5917" s="59" t="str">
        <f>IF(OR($A5917="",$C5917="",$D5917="",$E5917="",$H5917=""),"",SUMIFS(DATA_GOC!$H:$H,DATA_GOC!$A:$A,"BOM",DATA_GOC!$D:$D,$H5917,DATA_GOC!$E:$E,$C5917,DATA_GOC!$F:$F,"Xuất nội bộ từ téc",DATA_GOC!$B:$B,"&gt;="&amp;$D5917,DATA_GOC!$B:$B,"&lt;="&amp;$E5917))</f>
        <v/>
      </c>
      <c r="J5917" s="59">
        <f t="shared" si="28"/>
        <v>0</v>
      </c>
      <c r="K5917" s="59">
        <f t="shared" si="29"/>
        <v>0</v>
      </c>
      <c r="L5917" s="59">
        <f t="shared" si="30"/>
        <v>0</v>
      </c>
      <c r="M5917" s="59">
        <f t="shared" si="31"/>
        <v>0</v>
      </c>
    </row>
    <row r="5918" ht="15.0" hidden="1" customHeight="1">
      <c r="A5918" s="59">
        <f t="shared" si="20"/>
        <v>95</v>
      </c>
      <c r="B5918" s="59" t="str">
        <f t="shared" si="21"/>
        <v/>
      </c>
      <c r="C5918" s="59" t="str">
        <f t="shared" si="22"/>
        <v/>
      </c>
      <c r="D5918" s="45" t="str">
        <f t="shared" si="23"/>
        <v/>
      </c>
      <c r="E5918" s="45" t="str">
        <f t="shared" si="24"/>
        <v/>
      </c>
      <c r="F5918" s="59" t="str">
        <f t="shared" si="25"/>
        <v/>
      </c>
      <c r="G5918" s="59" t="str">
        <f t="shared" si="26"/>
        <v/>
      </c>
      <c r="H5918" s="59" t="str">
        <f t="shared" si="27"/>
        <v>29E18160</v>
      </c>
      <c r="I5918" s="59" t="str">
        <f>IF(OR($A5918="",$C5918="",$D5918="",$E5918="",$H5918=""),"",SUMIFS(DATA_GOC!$H:$H,DATA_GOC!$A:$A,"BOM",DATA_GOC!$D:$D,$H5918,DATA_GOC!$E:$E,$C5918,DATA_GOC!$F:$F,"Xuất nội bộ từ téc",DATA_GOC!$B:$B,"&gt;="&amp;$D5918,DATA_GOC!$B:$B,"&lt;="&amp;$E5918))</f>
        <v/>
      </c>
      <c r="J5918" s="59">
        <f t="shared" si="28"/>
        <v>0</v>
      </c>
      <c r="K5918" s="59">
        <f t="shared" si="29"/>
        <v>0</v>
      </c>
      <c r="L5918" s="59">
        <f t="shared" si="30"/>
        <v>0</v>
      </c>
      <c r="M5918" s="59">
        <f t="shared" si="31"/>
        <v>0</v>
      </c>
    </row>
    <row r="5919" ht="15.0" hidden="1" customHeight="1">
      <c r="A5919" s="59">
        <f t="shared" si="20"/>
        <v>95</v>
      </c>
      <c r="B5919" s="59" t="str">
        <f t="shared" si="21"/>
        <v/>
      </c>
      <c r="C5919" s="59" t="str">
        <f t="shared" si="22"/>
        <v/>
      </c>
      <c r="D5919" s="45" t="str">
        <f t="shared" si="23"/>
        <v/>
      </c>
      <c r="E5919" s="45" t="str">
        <f t="shared" si="24"/>
        <v/>
      </c>
      <c r="F5919" s="59" t="str">
        <f t="shared" si="25"/>
        <v/>
      </c>
      <c r="G5919" s="59" t="str">
        <f t="shared" si="26"/>
        <v/>
      </c>
      <c r="H5919" s="59" t="str">
        <f t="shared" si="27"/>
        <v>Công trình Asphalt</v>
      </c>
      <c r="I5919" s="59" t="str">
        <f>IF(OR($A5919="",$C5919="",$D5919="",$E5919="",$H5919=""),"",SUMIFS(DATA_GOC!$H:$H,DATA_GOC!$A:$A,"BOM",DATA_GOC!$D:$D,$H5919,DATA_GOC!$E:$E,$C5919,DATA_GOC!$F:$F,"Xuất nội bộ từ téc",DATA_GOC!$B:$B,"&gt;="&amp;$D5919,DATA_GOC!$B:$B,"&lt;="&amp;$E5919))</f>
        <v/>
      </c>
      <c r="J5919" s="59">
        <f t="shared" si="28"/>
        <v>0</v>
      </c>
      <c r="K5919" s="59">
        <f t="shared" si="29"/>
        <v>0</v>
      </c>
      <c r="L5919" s="59">
        <f t="shared" si="30"/>
        <v>0</v>
      </c>
      <c r="M5919" s="59">
        <f t="shared" si="31"/>
        <v>0</v>
      </c>
    </row>
    <row r="5920" ht="15.0" hidden="1" customHeight="1">
      <c r="A5920" s="59">
        <f t="shared" si="20"/>
        <v>95</v>
      </c>
      <c r="B5920" s="59" t="str">
        <f t="shared" si="21"/>
        <v/>
      </c>
      <c r="C5920" s="59" t="str">
        <f t="shared" si="22"/>
        <v/>
      </c>
      <c r="D5920" s="45" t="str">
        <f t="shared" si="23"/>
        <v/>
      </c>
      <c r="E5920" s="45" t="str">
        <f t="shared" si="24"/>
        <v/>
      </c>
      <c r="F5920" s="59" t="str">
        <f t="shared" si="25"/>
        <v/>
      </c>
      <c r="G5920" s="59" t="str">
        <f t="shared" si="26"/>
        <v/>
      </c>
      <c r="H5920" s="59" t="str">
        <f t="shared" si="27"/>
        <v>LG53F</v>
      </c>
      <c r="I5920" s="59" t="str">
        <f>IF(OR($A5920="",$C5920="",$D5920="",$E5920="",$H5920=""),"",SUMIFS(DATA_GOC!$H:$H,DATA_GOC!$A:$A,"BOM",DATA_GOC!$D:$D,$H5920,DATA_GOC!$E:$E,$C5920,DATA_GOC!$F:$F,"Xuất nội bộ từ téc",DATA_GOC!$B:$B,"&gt;="&amp;$D5920,DATA_GOC!$B:$B,"&lt;="&amp;$E5920))</f>
        <v/>
      </c>
      <c r="J5920" s="59">
        <f t="shared" si="28"/>
        <v>0</v>
      </c>
      <c r="K5920" s="59">
        <f t="shared" si="29"/>
        <v>0</v>
      </c>
      <c r="L5920" s="59">
        <f t="shared" si="30"/>
        <v>0</v>
      </c>
      <c r="M5920" s="59">
        <f t="shared" si="31"/>
        <v>0</v>
      </c>
    </row>
    <row r="5921" ht="15.0" hidden="1" customHeight="1">
      <c r="A5921" s="59">
        <f t="shared" si="20"/>
        <v>95</v>
      </c>
      <c r="B5921" s="59" t="str">
        <f t="shared" si="21"/>
        <v/>
      </c>
      <c r="C5921" s="59" t="str">
        <f t="shared" si="22"/>
        <v/>
      </c>
      <c r="D5921" s="45" t="str">
        <f t="shared" si="23"/>
        <v/>
      </c>
      <c r="E5921" s="45" t="str">
        <f t="shared" si="24"/>
        <v/>
      </c>
      <c r="F5921" s="59" t="str">
        <f t="shared" si="25"/>
        <v/>
      </c>
      <c r="G5921" s="59" t="str">
        <f t="shared" si="26"/>
        <v/>
      </c>
      <c r="H5921" s="59" t="str">
        <f t="shared" si="27"/>
        <v>Máy phát điện</v>
      </c>
      <c r="I5921" s="59" t="str">
        <f>IF(OR($A5921="",$C5921="",$D5921="",$E5921="",$H5921=""),"",SUMIFS(DATA_GOC!$H:$H,DATA_GOC!$A:$A,"BOM",DATA_GOC!$D:$D,$H5921,DATA_GOC!$E:$E,$C5921,DATA_GOC!$F:$F,"Xuất nội bộ từ téc",DATA_GOC!$B:$B,"&gt;="&amp;$D5921,DATA_GOC!$B:$B,"&lt;="&amp;$E5921))</f>
        <v/>
      </c>
      <c r="J5921" s="59">
        <f t="shared" si="28"/>
        <v>0</v>
      </c>
      <c r="K5921" s="59">
        <f t="shared" si="29"/>
        <v>0</v>
      </c>
      <c r="L5921" s="59">
        <f t="shared" si="30"/>
        <v>0</v>
      </c>
      <c r="M5921" s="59">
        <f t="shared" si="31"/>
        <v>0</v>
      </c>
    </row>
    <row r="5922" ht="15.0" hidden="1" customHeight="1">
      <c r="A5922" s="59">
        <f t="shared" si="20"/>
        <v>95</v>
      </c>
      <c r="B5922" s="59" t="str">
        <f t="shared" si="21"/>
        <v/>
      </c>
      <c r="C5922" s="59" t="str">
        <f t="shared" si="22"/>
        <v/>
      </c>
      <c r="D5922" s="45" t="str">
        <f t="shared" si="23"/>
        <v/>
      </c>
      <c r="E5922" s="45" t="str">
        <f t="shared" si="24"/>
        <v/>
      </c>
      <c r="F5922" s="59" t="str">
        <f t="shared" si="25"/>
        <v/>
      </c>
      <c r="G5922" s="59" t="str">
        <f t="shared" si="26"/>
        <v/>
      </c>
      <c r="H5922" s="59" t="str">
        <f t="shared" si="27"/>
        <v>Máy rải thảm</v>
      </c>
      <c r="I5922" s="59" t="str">
        <f>IF(OR($A5922="",$C5922="",$D5922="",$E5922="",$H5922=""),"",SUMIFS(DATA_GOC!$H:$H,DATA_GOC!$A:$A,"BOM",DATA_GOC!$D:$D,$H5922,DATA_GOC!$E:$E,$C5922,DATA_GOC!$F:$F,"Xuất nội bộ từ téc",DATA_GOC!$B:$B,"&gt;="&amp;$D5922,DATA_GOC!$B:$B,"&lt;="&amp;$E5922))</f>
        <v/>
      </c>
      <c r="J5922" s="59">
        <f t="shared" si="28"/>
        <v>0</v>
      </c>
      <c r="K5922" s="59">
        <f t="shared" si="29"/>
        <v>0</v>
      </c>
      <c r="L5922" s="59">
        <f t="shared" si="30"/>
        <v>0</v>
      </c>
      <c r="M5922" s="59">
        <f t="shared" si="31"/>
        <v>0</v>
      </c>
    </row>
    <row r="5923" ht="15.0" hidden="1" customHeight="1">
      <c r="A5923" s="59">
        <f t="shared" si="20"/>
        <v>95</v>
      </c>
      <c r="B5923" s="59" t="str">
        <f t="shared" si="21"/>
        <v/>
      </c>
      <c r="C5923" s="59" t="str">
        <f t="shared" si="22"/>
        <v/>
      </c>
      <c r="D5923" s="45" t="str">
        <f t="shared" si="23"/>
        <v/>
      </c>
      <c r="E5923" s="45" t="str">
        <f t="shared" si="24"/>
        <v/>
      </c>
      <c r="F5923" s="59" t="str">
        <f t="shared" si="25"/>
        <v/>
      </c>
      <c r="G5923" s="59" t="str">
        <f t="shared" si="26"/>
        <v/>
      </c>
      <c r="H5923" s="59" t="str">
        <f t="shared" si="27"/>
        <v>Xúc Đào</v>
      </c>
      <c r="I5923" s="59" t="str">
        <f>IF(OR($A5923="",$C5923="",$D5923="",$E5923="",$H5923=""),"",SUMIFS(DATA_GOC!$H:$H,DATA_GOC!$A:$A,"BOM",DATA_GOC!$D:$D,$H5923,DATA_GOC!$E:$E,$C5923,DATA_GOC!$F:$F,"Xuất nội bộ từ téc",DATA_GOC!$B:$B,"&gt;="&amp;$D5923,DATA_GOC!$B:$B,"&lt;="&amp;$E5923))</f>
        <v/>
      </c>
      <c r="J5923" s="59">
        <f t="shared" si="28"/>
        <v>0</v>
      </c>
      <c r="K5923" s="59">
        <f t="shared" si="29"/>
        <v>0</v>
      </c>
      <c r="L5923" s="59">
        <f t="shared" si="30"/>
        <v>0</v>
      </c>
      <c r="M5923" s="59">
        <f t="shared" si="31"/>
        <v>0</v>
      </c>
    </row>
    <row r="5924" ht="15.0" hidden="1" customHeight="1">
      <c r="A5924" s="59">
        <f t="shared" si="20"/>
        <v>95</v>
      </c>
      <c r="B5924" s="59" t="str">
        <f t="shared" si="21"/>
        <v/>
      </c>
      <c r="C5924" s="59" t="str">
        <f t="shared" si="22"/>
        <v/>
      </c>
      <c r="D5924" s="45" t="str">
        <f t="shared" si="23"/>
        <v/>
      </c>
      <c r="E5924" s="45" t="str">
        <f t="shared" si="24"/>
        <v/>
      </c>
      <c r="F5924" s="59" t="str">
        <f t="shared" si="25"/>
        <v/>
      </c>
      <c r="G5924" s="59" t="str">
        <f t="shared" si="26"/>
        <v/>
      </c>
      <c r="H5924" s="59" t="str">
        <f t="shared" si="27"/>
        <v>Xúclật asphalt</v>
      </c>
      <c r="I5924" s="59" t="str">
        <f>IF(OR($A5924="",$C5924="",$D5924="",$E5924="",$H5924=""),"",SUMIFS(DATA_GOC!$H:$H,DATA_GOC!$A:$A,"BOM",DATA_GOC!$D:$D,$H5924,DATA_GOC!$E:$E,$C5924,DATA_GOC!$F:$F,"Xuất nội bộ từ téc",DATA_GOC!$B:$B,"&gt;="&amp;$D5924,DATA_GOC!$B:$B,"&lt;="&amp;$E5924))</f>
        <v/>
      </c>
      <c r="J5924" s="59">
        <f t="shared" si="28"/>
        <v>0</v>
      </c>
      <c r="K5924" s="59">
        <f t="shared" si="29"/>
        <v>0</v>
      </c>
      <c r="L5924" s="59">
        <f t="shared" si="30"/>
        <v>0</v>
      </c>
      <c r="M5924" s="59">
        <f t="shared" si="31"/>
        <v>0</v>
      </c>
    </row>
    <row r="5925" ht="15.0" hidden="1" customHeight="1">
      <c r="A5925" s="59">
        <f t="shared" si="20"/>
        <v>95</v>
      </c>
      <c r="B5925" s="59" t="str">
        <f t="shared" si="21"/>
        <v/>
      </c>
      <c r="C5925" s="59" t="str">
        <f t="shared" si="22"/>
        <v/>
      </c>
      <c r="D5925" s="45" t="str">
        <f t="shared" si="23"/>
        <v/>
      </c>
      <c r="E5925" s="45" t="str">
        <f t="shared" si="24"/>
        <v/>
      </c>
      <c r="F5925" s="59" t="str">
        <f t="shared" si="25"/>
        <v/>
      </c>
      <c r="G5925" s="59" t="str">
        <f t="shared" si="26"/>
        <v/>
      </c>
      <c r="H5925" s="59" t="str">
        <f t="shared" si="27"/>
        <v>Xúclật855H</v>
      </c>
      <c r="I5925" s="59" t="str">
        <f>IF(OR($A5925="",$C5925="",$D5925="",$E5925="",$H5925=""),"",SUMIFS(DATA_GOC!$H:$H,DATA_GOC!$A:$A,"BOM",DATA_GOC!$D:$D,$H5925,DATA_GOC!$E:$E,$C5925,DATA_GOC!$F:$F,"Xuất nội bộ từ téc",DATA_GOC!$B:$B,"&gt;="&amp;$D5925,DATA_GOC!$B:$B,"&lt;="&amp;$E5925))</f>
        <v/>
      </c>
      <c r="J5925" s="59">
        <f t="shared" si="28"/>
        <v>0</v>
      </c>
      <c r="K5925" s="59">
        <f t="shared" si="29"/>
        <v>0</v>
      </c>
      <c r="L5925" s="59">
        <f t="shared" si="30"/>
        <v>0</v>
      </c>
      <c r="M5925" s="59">
        <f t="shared" si="31"/>
        <v>0</v>
      </c>
    </row>
    <row r="5926" ht="15.0" hidden="1" customHeight="1">
      <c r="A5926" s="59">
        <f t="shared" si="20"/>
        <v>95</v>
      </c>
      <c r="B5926" s="59" t="str">
        <f t="shared" si="21"/>
        <v/>
      </c>
      <c r="C5926" s="59" t="str">
        <f t="shared" si="22"/>
        <v/>
      </c>
      <c r="D5926" s="45" t="str">
        <f t="shared" si="23"/>
        <v/>
      </c>
      <c r="E5926" s="45" t="str">
        <f t="shared" si="24"/>
        <v/>
      </c>
      <c r="F5926" s="59" t="str">
        <f t="shared" si="25"/>
        <v/>
      </c>
      <c r="G5926" s="59" t="str">
        <f t="shared" si="26"/>
        <v/>
      </c>
      <c r="H5926" s="59" t="str">
        <f t="shared" si="27"/>
        <v>Xúclật855N</v>
      </c>
      <c r="I5926" s="59" t="str">
        <f>IF(OR($A5926="",$C5926="",$D5926="",$E5926="",$H5926=""),"",SUMIFS(DATA_GOC!$H:$H,DATA_GOC!$A:$A,"BOM",DATA_GOC!$D:$D,$H5926,DATA_GOC!$E:$E,$C5926,DATA_GOC!$F:$F,"Xuất nội bộ từ téc",DATA_GOC!$B:$B,"&gt;="&amp;$D5926,DATA_GOC!$B:$B,"&lt;="&amp;$E5926))</f>
        <v/>
      </c>
      <c r="J5926" s="59">
        <f t="shared" si="28"/>
        <v>0</v>
      </c>
      <c r="K5926" s="59">
        <f t="shared" si="29"/>
        <v>0</v>
      </c>
      <c r="L5926" s="59">
        <f t="shared" si="30"/>
        <v>0</v>
      </c>
      <c r="M5926" s="59">
        <f t="shared" si="31"/>
        <v>0</v>
      </c>
    </row>
    <row r="5927" ht="15.0" hidden="1" customHeight="1">
      <c r="A5927" s="59">
        <f t="shared" si="20"/>
        <v>95</v>
      </c>
      <c r="B5927" s="59" t="str">
        <f t="shared" si="21"/>
        <v/>
      </c>
      <c r="C5927" s="59" t="str">
        <f t="shared" si="22"/>
        <v/>
      </c>
      <c r="D5927" s="45" t="str">
        <f t="shared" si="23"/>
        <v/>
      </c>
      <c r="E5927" s="45" t="str">
        <f t="shared" si="24"/>
        <v/>
      </c>
      <c r="F5927" s="59" t="str">
        <f t="shared" si="25"/>
        <v/>
      </c>
      <c r="G5927" s="59" t="str">
        <f t="shared" si="26"/>
        <v/>
      </c>
      <c r="H5927" s="59" t="str">
        <f t="shared" si="27"/>
        <v>Cát nghiền</v>
      </c>
      <c r="I5927" s="59" t="str">
        <f>IF(OR($A5927="",$C5927="",$D5927="",$E5927="",$H5927=""),"",SUMIFS(DATA_GOC!$H:$H,DATA_GOC!$A:$A,"BOM",DATA_GOC!$D:$D,$H5927,DATA_GOC!$E:$E,$C5927,DATA_GOC!$F:$F,"Xuất nội bộ từ téc",DATA_GOC!$B:$B,"&gt;="&amp;$D5927,DATA_GOC!$B:$B,"&lt;="&amp;$E5927))</f>
        <v/>
      </c>
      <c r="J5927" s="59">
        <f t="shared" si="28"/>
        <v>0</v>
      </c>
      <c r="K5927" s="59">
        <f t="shared" si="29"/>
        <v>0</v>
      </c>
      <c r="L5927" s="59">
        <f t="shared" si="30"/>
        <v>0</v>
      </c>
      <c r="M5927" s="59">
        <f t="shared" si="31"/>
        <v>0</v>
      </c>
    </row>
    <row r="5928" ht="15.0" hidden="1" customHeight="1">
      <c r="A5928" s="59">
        <f t="shared" si="20"/>
        <v>95</v>
      </c>
      <c r="B5928" s="59" t="str">
        <f t="shared" si="21"/>
        <v/>
      </c>
      <c r="C5928" s="59" t="str">
        <f t="shared" si="22"/>
        <v/>
      </c>
      <c r="D5928" s="45" t="str">
        <f t="shared" si="23"/>
        <v/>
      </c>
      <c r="E5928" s="45" t="str">
        <f t="shared" si="24"/>
        <v/>
      </c>
      <c r="F5928" s="59" t="str">
        <f t="shared" si="25"/>
        <v/>
      </c>
      <c r="G5928" s="59" t="str">
        <f t="shared" si="26"/>
        <v/>
      </c>
      <c r="H5928" s="59" t="str">
        <f t="shared" si="27"/>
        <v>28C02973</v>
      </c>
      <c r="I5928" s="59" t="str">
        <f>IF(OR($A5928="",$C5928="",$D5928="",$E5928="",$H5928=""),"",SUMIFS(DATA_GOC!$H:$H,DATA_GOC!$A:$A,"BOM",DATA_GOC!$D:$D,$H5928,DATA_GOC!$E:$E,$C5928,DATA_GOC!$F:$F,"Xuất nội bộ từ téc",DATA_GOC!$B:$B,"&gt;="&amp;$D5928,DATA_GOC!$B:$B,"&lt;="&amp;$E5928))</f>
        <v/>
      </c>
      <c r="J5928" s="59">
        <f t="shared" si="28"/>
        <v>0</v>
      </c>
      <c r="K5928" s="59">
        <f t="shared" si="29"/>
        <v>0</v>
      </c>
      <c r="L5928" s="59">
        <f t="shared" si="30"/>
        <v>0</v>
      </c>
      <c r="M5928" s="59">
        <f t="shared" si="31"/>
        <v>0</v>
      </c>
    </row>
    <row r="5929" ht="15.0" hidden="1" customHeight="1">
      <c r="A5929" s="59">
        <f t="shared" si="20"/>
        <v>95</v>
      </c>
      <c r="B5929" s="59" t="str">
        <f t="shared" si="21"/>
        <v/>
      </c>
      <c r="C5929" s="59" t="str">
        <f t="shared" si="22"/>
        <v/>
      </c>
      <c r="D5929" s="45" t="str">
        <f t="shared" si="23"/>
        <v/>
      </c>
      <c r="E5929" s="45" t="str">
        <f t="shared" si="24"/>
        <v/>
      </c>
      <c r="F5929" s="59" t="str">
        <f t="shared" si="25"/>
        <v/>
      </c>
      <c r="G5929" s="59" t="str">
        <f t="shared" si="26"/>
        <v/>
      </c>
      <c r="H5929" s="59" t="str">
        <f t="shared" si="27"/>
        <v>28C03044</v>
      </c>
      <c r="I5929" s="59" t="str">
        <f>IF(OR($A5929="",$C5929="",$D5929="",$E5929="",$H5929=""),"",SUMIFS(DATA_GOC!$H:$H,DATA_GOC!$A:$A,"BOM",DATA_GOC!$D:$D,$H5929,DATA_GOC!$E:$E,$C5929,DATA_GOC!$F:$F,"Xuất nội bộ từ téc",DATA_GOC!$B:$B,"&gt;="&amp;$D5929,DATA_GOC!$B:$B,"&lt;="&amp;$E5929))</f>
        <v/>
      </c>
      <c r="J5929" s="59">
        <f t="shared" si="28"/>
        <v>0</v>
      </c>
      <c r="K5929" s="59">
        <f t="shared" si="29"/>
        <v>0</v>
      </c>
      <c r="L5929" s="59">
        <f t="shared" si="30"/>
        <v>0</v>
      </c>
      <c r="M5929" s="59">
        <f t="shared" si="31"/>
        <v>0</v>
      </c>
    </row>
    <row r="5930" ht="15.0" hidden="1" customHeight="1">
      <c r="A5930" s="59">
        <f t="shared" si="20"/>
        <v>95</v>
      </c>
      <c r="B5930" s="59" t="str">
        <f t="shared" si="21"/>
        <v/>
      </c>
      <c r="C5930" s="59" t="str">
        <f t="shared" si="22"/>
        <v/>
      </c>
      <c r="D5930" s="45" t="str">
        <f t="shared" si="23"/>
        <v/>
      </c>
      <c r="E5930" s="45" t="str">
        <f t="shared" si="24"/>
        <v/>
      </c>
      <c r="F5930" s="59" t="str">
        <f t="shared" si="25"/>
        <v/>
      </c>
      <c r="G5930" s="59" t="str">
        <f t="shared" si="26"/>
        <v/>
      </c>
      <c r="H5930" s="59" t="str">
        <f t="shared" si="27"/>
        <v>Máy lu lốp</v>
      </c>
      <c r="I5930" s="59" t="str">
        <f>IF(OR($A5930="",$C5930="",$D5930="",$E5930="",$H5930=""),"",SUMIFS(DATA_GOC!$H:$H,DATA_GOC!$A:$A,"BOM",DATA_GOC!$D:$D,$H5930,DATA_GOC!$E:$E,$C5930,DATA_GOC!$F:$F,"Xuất nội bộ từ téc",DATA_GOC!$B:$B,"&gt;="&amp;$D5930,DATA_GOC!$B:$B,"&lt;="&amp;$E5930))</f>
        <v/>
      </c>
      <c r="J5930" s="59">
        <f t="shared" si="28"/>
        <v>0</v>
      </c>
      <c r="K5930" s="59">
        <f t="shared" si="29"/>
        <v>0</v>
      </c>
      <c r="L5930" s="59">
        <f t="shared" si="30"/>
        <v>0</v>
      </c>
      <c r="M5930" s="59">
        <f t="shared" si="31"/>
        <v>0</v>
      </c>
    </row>
    <row r="5931" ht="15.0" hidden="1" customHeight="1">
      <c r="A5931" s="59">
        <f t="shared" si="20"/>
        <v>95</v>
      </c>
      <c r="B5931" s="59" t="str">
        <f t="shared" si="21"/>
        <v/>
      </c>
      <c r="C5931" s="59" t="str">
        <f t="shared" si="22"/>
        <v/>
      </c>
      <c r="D5931" s="45" t="str">
        <f t="shared" si="23"/>
        <v/>
      </c>
      <c r="E5931" s="45" t="str">
        <f t="shared" si="24"/>
        <v/>
      </c>
      <c r="F5931" s="59" t="str">
        <f t="shared" si="25"/>
        <v/>
      </c>
      <c r="G5931" s="59" t="str">
        <f t="shared" si="26"/>
        <v/>
      </c>
      <c r="H5931" s="59" t="str">
        <f t="shared" si="27"/>
        <v>Xe 600148</v>
      </c>
      <c r="I5931" s="59" t="str">
        <f>IF(OR($A5931="",$C5931="",$D5931="",$E5931="",$H5931=""),"",SUMIFS(DATA_GOC!$H:$H,DATA_GOC!$A:$A,"BOM",DATA_GOC!$D:$D,$H5931,DATA_GOC!$E:$E,$C5931,DATA_GOC!$F:$F,"Xuất nội bộ từ téc",DATA_GOC!$B:$B,"&gt;="&amp;$D5931,DATA_GOC!$B:$B,"&lt;="&amp;$E5931))</f>
        <v/>
      </c>
      <c r="J5931" s="59">
        <f t="shared" si="28"/>
        <v>0</v>
      </c>
      <c r="K5931" s="59">
        <f t="shared" si="29"/>
        <v>0</v>
      </c>
      <c r="L5931" s="59">
        <f t="shared" si="30"/>
        <v>0</v>
      </c>
      <c r="M5931" s="59">
        <f t="shared" si="31"/>
        <v>0</v>
      </c>
    </row>
    <row r="5932" ht="15.0" hidden="1" customHeight="1">
      <c r="A5932" s="59">
        <f t="shared" si="20"/>
        <v>95</v>
      </c>
      <c r="B5932" s="59" t="str">
        <f t="shared" si="21"/>
        <v/>
      </c>
      <c r="C5932" s="59" t="str">
        <f t="shared" si="22"/>
        <v/>
      </c>
      <c r="D5932" s="45" t="str">
        <f t="shared" si="23"/>
        <v/>
      </c>
      <c r="E5932" s="45" t="str">
        <f t="shared" si="24"/>
        <v/>
      </c>
      <c r="F5932" s="59" t="str">
        <f t="shared" si="25"/>
        <v/>
      </c>
      <c r="G5932" s="59" t="str">
        <f t="shared" si="26"/>
        <v/>
      </c>
      <c r="H5932" s="59" t="str">
        <f t="shared" si="27"/>
        <v>Xe ben mới</v>
      </c>
      <c r="I5932" s="59" t="str">
        <f>IF(OR($A5932="",$C5932="",$D5932="",$E5932="",$H5932=""),"",SUMIFS(DATA_GOC!$H:$H,DATA_GOC!$A:$A,"BOM",DATA_GOC!$D:$D,$H5932,DATA_GOC!$E:$E,$C5932,DATA_GOC!$F:$F,"Xuất nội bộ từ téc",DATA_GOC!$B:$B,"&gt;="&amp;$D5932,DATA_GOC!$B:$B,"&lt;="&amp;$E5932))</f>
        <v/>
      </c>
      <c r="J5932" s="59">
        <f t="shared" si="28"/>
        <v>0</v>
      </c>
      <c r="K5932" s="59">
        <f t="shared" si="29"/>
        <v>0</v>
      </c>
      <c r="L5932" s="59">
        <f t="shared" si="30"/>
        <v>0</v>
      </c>
      <c r="M5932" s="59">
        <f t="shared" si="31"/>
        <v>0</v>
      </c>
    </row>
    <row r="5933" ht="15.0" hidden="1" customHeight="1">
      <c r="A5933" s="59">
        <f t="shared" si="20"/>
        <v>96</v>
      </c>
      <c r="B5933" s="59" t="str">
        <f t="shared" si="21"/>
        <v/>
      </c>
      <c r="C5933" s="59" t="str">
        <f t="shared" si="22"/>
        <v/>
      </c>
      <c r="D5933" s="45" t="str">
        <f t="shared" si="23"/>
        <v/>
      </c>
      <c r="E5933" s="45" t="str">
        <f t="shared" si="24"/>
        <v/>
      </c>
      <c r="F5933" s="59" t="str">
        <f t="shared" si="25"/>
        <v/>
      </c>
      <c r="G5933" s="59" t="str">
        <f t="shared" si="26"/>
        <v/>
      </c>
      <c r="H5933" s="59" t="str">
        <f t="shared" si="27"/>
        <v>19H09482</v>
      </c>
      <c r="I5933" s="59" t="str">
        <f>IF(OR($A5933="",$C5933="",$D5933="",$E5933="",$H5933=""),"",SUMIFS(DATA_GOC!$H:$H,DATA_GOC!$A:$A,"BOM",DATA_GOC!$D:$D,$H5933,DATA_GOC!$E:$E,$C5933,DATA_GOC!$F:$F,"Xuất nội bộ từ téc",DATA_GOC!$B:$B,"&gt;="&amp;$D5933,DATA_GOC!$B:$B,"&lt;="&amp;$E5933))</f>
        <v/>
      </c>
      <c r="J5933" s="59">
        <f t="shared" si="28"/>
        <v>0</v>
      </c>
      <c r="K5933" s="59">
        <f t="shared" si="29"/>
        <v>0</v>
      </c>
      <c r="L5933" s="59">
        <f t="shared" si="30"/>
        <v>0</v>
      </c>
      <c r="M5933" s="59">
        <f t="shared" si="31"/>
        <v>0</v>
      </c>
    </row>
    <row r="5934" ht="15.0" hidden="1" customHeight="1">
      <c r="A5934" s="59">
        <f t="shared" si="20"/>
        <v>96</v>
      </c>
      <c r="B5934" s="59" t="str">
        <f t="shared" si="21"/>
        <v/>
      </c>
      <c r="C5934" s="59" t="str">
        <f t="shared" si="22"/>
        <v/>
      </c>
      <c r="D5934" s="45" t="str">
        <f t="shared" si="23"/>
        <v/>
      </c>
      <c r="E5934" s="45" t="str">
        <f t="shared" si="24"/>
        <v/>
      </c>
      <c r="F5934" s="59" t="str">
        <f t="shared" si="25"/>
        <v/>
      </c>
      <c r="G5934" s="59" t="str">
        <f t="shared" si="26"/>
        <v/>
      </c>
      <c r="H5934" s="59" t="str">
        <f t="shared" si="27"/>
        <v>28A30696</v>
      </c>
      <c r="I5934" s="59" t="str">
        <f>IF(OR($A5934="",$C5934="",$D5934="",$E5934="",$H5934=""),"",SUMIFS(DATA_GOC!$H:$H,DATA_GOC!$A:$A,"BOM",DATA_GOC!$D:$D,$H5934,DATA_GOC!$E:$E,$C5934,DATA_GOC!$F:$F,"Xuất nội bộ từ téc",DATA_GOC!$B:$B,"&gt;="&amp;$D5934,DATA_GOC!$B:$B,"&lt;="&amp;$E5934))</f>
        <v/>
      </c>
      <c r="J5934" s="59">
        <f t="shared" si="28"/>
        <v>0</v>
      </c>
      <c r="K5934" s="59">
        <f t="shared" si="29"/>
        <v>0</v>
      </c>
      <c r="L5934" s="59">
        <f t="shared" si="30"/>
        <v>0</v>
      </c>
      <c r="M5934" s="59">
        <f t="shared" si="31"/>
        <v>0</v>
      </c>
    </row>
    <row r="5935" ht="15.0" hidden="1" customHeight="1">
      <c r="A5935" s="59">
        <f t="shared" si="20"/>
        <v>96</v>
      </c>
      <c r="B5935" s="59" t="str">
        <f t="shared" si="21"/>
        <v/>
      </c>
      <c r="C5935" s="59" t="str">
        <f t="shared" si="22"/>
        <v/>
      </c>
      <c r="D5935" s="45" t="str">
        <f t="shared" si="23"/>
        <v/>
      </c>
      <c r="E5935" s="45" t="str">
        <f t="shared" si="24"/>
        <v/>
      </c>
      <c r="F5935" s="59" t="str">
        <f t="shared" si="25"/>
        <v/>
      </c>
      <c r="G5935" s="59" t="str">
        <f t="shared" si="26"/>
        <v/>
      </c>
      <c r="H5935" s="59" t="str">
        <f t="shared" si="27"/>
        <v>28C00462</v>
      </c>
      <c r="I5935" s="59" t="str">
        <f>IF(OR($A5935="",$C5935="",$D5935="",$E5935="",$H5935=""),"",SUMIFS(DATA_GOC!$H:$H,DATA_GOC!$A:$A,"BOM",DATA_GOC!$D:$D,$H5935,DATA_GOC!$E:$E,$C5935,DATA_GOC!$F:$F,"Xuất nội bộ từ téc",DATA_GOC!$B:$B,"&gt;="&amp;$D5935,DATA_GOC!$B:$B,"&lt;="&amp;$E5935))</f>
        <v/>
      </c>
      <c r="J5935" s="59">
        <f t="shared" si="28"/>
        <v>0</v>
      </c>
      <c r="K5935" s="59">
        <f t="shared" si="29"/>
        <v>0</v>
      </c>
      <c r="L5935" s="59">
        <f t="shared" si="30"/>
        <v>0</v>
      </c>
      <c r="M5935" s="59">
        <f t="shared" si="31"/>
        <v>0</v>
      </c>
    </row>
    <row r="5936" ht="15.0" hidden="1" customHeight="1">
      <c r="A5936" s="59">
        <f t="shared" si="20"/>
        <v>96</v>
      </c>
      <c r="B5936" s="59" t="str">
        <f t="shared" si="21"/>
        <v/>
      </c>
      <c r="C5936" s="59" t="str">
        <f t="shared" si="22"/>
        <v/>
      </c>
      <c r="D5936" s="45" t="str">
        <f t="shared" si="23"/>
        <v/>
      </c>
      <c r="E5936" s="45" t="str">
        <f t="shared" si="24"/>
        <v/>
      </c>
      <c r="F5936" s="59" t="str">
        <f t="shared" si="25"/>
        <v/>
      </c>
      <c r="G5936" s="59" t="str">
        <f t="shared" si="26"/>
        <v/>
      </c>
      <c r="H5936" s="59" t="str">
        <f t="shared" si="27"/>
        <v>28C01165</v>
      </c>
      <c r="I5936" s="59" t="str">
        <f>IF(OR($A5936="",$C5936="",$D5936="",$E5936="",$H5936=""),"",SUMIFS(DATA_GOC!$H:$H,DATA_GOC!$A:$A,"BOM",DATA_GOC!$D:$D,$H5936,DATA_GOC!$E:$E,$C5936,DATA_GOC!$F:$F,"Xuất nội bộ từ téc",DATA_GOC!$B:$B,"&gt;="&amp;$D5936,DATA_GOC!$B:$B,"&lt;="&amp;$E5936))</f>
        <v/>
      </c>
      <c r="J5936" s="59">
        <f t="shared" si="28"/>
        <v>0</v>
      </c>
      <c r="K5936" s="59">
        <f t="shared" si="29"/>
        <v>0</v>
      </c>
      <c r="L5936" s="59">
        <f t="shared" si="30"/>
        <v>0</v>
      </c>
      <c r="M5936" s="59">
        <f t="shared" si="31"/>
        <v>0</v>
      </c>
    </row>
    <row r="5937" ht="15.0" hidden="1" customHeight="1">
      <c r="A5937" s="59">
        <f t="shared" si="20"/>
        <v>96</v>
      </c>
      <c r="B5937" s="59" t="str">
        <f t="shared" si="21"/>
        <v/>
      </c>
      <c r="C5937" s="59" t="str">
        <f t="shared" si="22"/>
        <v/>
      </c>
      <c r="D5937" s="45" t="str">
        <f t="shared" si="23"/>
        <v/>
      </c>
      <c r="E5937" s="45" t="str">
        <f t="shared" si="24"/>
        <v/>
      </c>
      <c r="F5937" s="59" t="str">
        <f t="shared" si="25"/>
        <v/>
      </c>
      <c r="G5937" s="59" t="str">
        <f t="shared" si="26"/>
        <v/>
      </c>
      <c r="H5937" s="59" t="str">
        <f t="shared" si="27"/>
        <v>28C01406</v>
      </c>
      <c r="I5937" s="59" t="str">
        <f>IF(OR($A5937="",$C5937="",$D5937="",$E5937="",$H5937=""),"",SUMIFS(DATA_GOC!$H:$H,DATA_GOC!$A:$A,"BOM",DATA_GOC!$D:$D,$H5937,DATA_GOC!$E:$E,$C5937,DATA_GOC!$F:$F,"Xuất nội bộ từ téc",DATA_GOC!$B:$B,"&gt;="&amp;$D5937,DATA_GOC!$B:$B,"&lt;="&amp;$E5937))</f>
        <v/>
      </c>
      <c r="J5937" s="59">
        <f t="shared" si="28"/>
        <v>0</v>
      </c>
      <c r="K5937" s="59">
        <f t="shared" si="29"/>
        <v>0</v>
      </c>
      <c r="L5937" s="59">
        <f t="shared" si="30"/>
        <v>0</v>
      </c>
      <c r="M5937" s="59">
        <f t="shared" si="31"/>
        <v>0</v>
      </c>
    </row>
    <row r="5938" ht="15.0" hidden="1" customHeight="1">
      <c r="A5938" s="59">
        <f t="shared" si="20"/>
        <v>96</v>
      </c>
      <c r="B5938" s="59" t="str">
        <f t="shared" si="21"/>
        <v/>
      </c>
      <c r="C5938" s="59" t="str">
        <f t="shared" si="22"/>
        <v/>
      </c>
      <c r="D5938" s="45" t="str">
        <f t="shared" si="23"/>
        <v/>
      </c>
      <c r="E5938" s="45" t="str">
        <f t="shared" si="24"/>
        <v/>
      </c>
      <c r="F5938" s="59" t="str">
        <f t="shared" si="25"/>
        <v/>
      </c>
      <c r="G5938" s="59" t="str">
        <f t="shared" si="26"/>
        <v/>
      </c>
      <c r="H5938" s="59" t="str">
        <f t="shared" si="27"/>
        <v>28C01544</v>
      </c>
      <c r="I5938" s="59" t="str">
        <f>IF(OR($A5938="",$C5938="",$D5938="",$E5938="",$H5938=""),"",SUMIFS(DATA_GOC!$H:$H,DATA_GOC!$A:$A,"BOM",DATA_GOC!$D:$D,$H5938,DATA_GOC!$E:$E,$C5938,DATA_GOC!$F:$F,"Xuất nội bộ từ téc",DATA_GOC!$B:$B,"&gt;="&amp;$D5938,DATA_GOC!$B:$B,"&lt;="&amp;$E5938))</f>
        <v/>
      </c>
      <c r="J5938" s="59">
        <f t="shared" si="28"/>
        <v>0</v>
      </c>
      <c r="K5938" s="59">
        <f t="shared" si="29"/>
        <v>0</v>
      </c>
      <c r="L5938" s="59">
        <f t="shared" si="30"/>
        <v>0</v>
      </c>
      <c r="M5938" s="59">
        <f t="shared" si="31"/>
        <v>0</v>
      </c>
    </row>
    <row r="5939" ht="15.0" hidden="1" customHeight="1">
      <c r="A5939" s="59">
        <f t="shared" si="20"/>
        <v>96</v>
      </c>
      <c r="B5939" s="59" t="str">
        <f t="shared" si="21"/>
        <v/>
      </c>
      <c r="C5939" s="59" t="str">
        <f t="shared" si="22"/>
        <v/>
      </c>
      <c r="D5939" s="45" t="str">
        <f t="shared" si="23"/>
        <v/>
      </c>
      <c r="E5939" s="45" t="str">
        <f t="shared" si="24"/>
        <v/>
      </c>
      <c r="F5939" s="59" t="str">
        <f t="shared" si="25"/>
        <v/>
      </c>
      <c r="G5939" s="59" t="str">
        <f t="shared" si="26"/>
        <v/>
      </c>
      <c r="H5939" s="59" t="str">
        <f t="shared" si="27"/>
        <v>28C01622</v>
      </c>
      <c r="I5939" s="59" t="str">
        <f>IF(OR($A5939="",$C5939="",$D5939="",$E5939="",$H5939=""),"",SUMIFS(DATA_GOC!$H:$H,DATA_GOC!$A:$A,"BOM",DATA_GOC!$D:$D,$H5939,DATA_GOC!$E:$E,$C5939,DATA_GOC!$F:$F,"Xuất nội bộ từ téc",DATA_GOC!$B:$B,"&gt;="&amp;$D5939,DATA_GOC!$B:$B,"&lt;="&amp;$E5939))</f>
        <v/>
      </c>
      <c r="J5939" s="59">
        <f t="shared" si="28"/>
        <v>0</v>
      </c>
      <c r="K5939" s="59">
        <f t="shared" si="29"/>
        <v>0</v>
      </c>
      <c r="L5939" s="59">
        <f t="shared" si="30"/>
        <v>0</v>
      </c>
      <c r="M5939" s="59">
        <f t="shared" si="31"/>
        <v>0</v>
      </c>
    </row>
    <row r="5940" ht="15.0" hidden="1" customHeight="1">
      <c r="A5940" s="59">
        <f t="shared" si="20"/>
        <v>96</v>
      </c>
      <c r="B5940" s="59" t="str">
        <f t="shared" si="21"/>
        <v/>
      </c>
      <c r="C5940" s="59" t="str">
        <f t="shared" si="22"/>
        <v/>
      </c>
      <c r="D5940" s="45" t="str">
        <f t="shared" si="23"/>
        <v/>
      </c>
      <c r="E5940" s="45" t="str">
        <f t="shared" si="24"/>
        <v/>
      </c>
      <c r="F5940" s="59" t="str">
        <f t="shared" si="25"/>
        <v/>
      </c>
      <c r="G5940" s="59" t="str">
        <f t="shared" si="26"/>
        <v/>
      </c>
      <c r="H5940" s="59" t="str">
        <f t="shared" si="27"/>
        <v>28C01647</v>
      </c>
      <c r="I5940" s="59" t="str">
        <f>IF(OR($A5940="",$C5940="",$D5940="",$E5940="",$H5940=""),"",SUMIFS(DATA_GOC!$H:$H,DATA_GOC!$A:$A,"BOM",DATA_GOC!$D:$D,$H5940,DATA_GOC!$E:$E,$C5940,DATA_GOC!$F:$F,"Xuất nội bộ từ téc",DATA_GOC!$B:$B,"&gt;="&amp;$D5940,DATA_GOC!$B:$B,"&lt;="&amp;$E5940))</f>
        <v/>
      </c>
      <c r="J5940" s="59">
        <f t="shared" si="28"/>
        <v>0</v>
      </c>
      <c r="K5940" s="59">
        <f t="shared" si="29"/>
        <v>0</v>
      </c>
      <c r="L5940" s="59">
        <f t="shared" si="30"/>
        <v>0</v>
      </c>
      <c r="M5940" s="59">
        <f t="shared" si="31"/>
        <v>0</v>
      </c>
    </row>
    <row r="5941" ht="15.0" hidden="1" customHeight="1">
      <c r="A5941" s="59">
        <f t="shared" si="20"/>
        <v>96</v>
      </c>
      <c r="B5941" s="59" t="str">
        <f t="shared" si="21"/>
        <v/>
      </c>
      <c r="C5941" s="59" t="str">
        <f t="shared" si="22"/>
        <v/>
      </c>
      <c r="D5941" s="45" t="str">
        <f t="shared" si="23"/>
        <v/>
      </c>
      <c r="E5941" s="45" t="str">
        <f t="shared" si="24"/>
        <v/>
      </c>
      <c r="F5941" s="59" t="str">
        <f t="shared" si="25"/>
        <v/>
      </c>
      <c r="G5941" s="59" t="str">
        <f t="shared" si="26"/>
        <v/>
      </c>
      <c r="H5941" s="59" t="str">
        <f t="shared" si="27"/>
        <v>28C01731</v>
      </c>
      <c r="I5941" s="59" t="str">
        <f>IF(OR($A5941="",$C5941="",$D5941="",$E5941="",$H5941=""),"",SUMIFS(DATA_GOC!$H:$H,DATA_GOC!$A:$A,"BOM",DATA_GOC!$D:$D,$H5941,DATA_GOC!$E:$E,$C5941,DATA_GOC!$F:$F,"Xuất nội bộ từ téc",DATA_GOC!$B:$B,"&gt;="&amp;$D5941,DATA_GOC!$B:$B,"&lt;="&amp;$E5941))</f>
        <v/>
      </c>
      <c r="J5941" s="59">
        <f t="shared" si="28"/>
        <v>0</v>
      </c>
      <c r="K5941" s="59">
        <f t="shared" si="29"/>
        <v>0</v>
      </c>
      <c r="L5941" s="59">
        <f t="shared" si="30"/>
        <v>0</v>
      </c>
      <c r="M5941" s="59">
        <f t="shared" si="31"/>
        <v>0</v>
      </c>
    </row>
    <row r="5942" ht="15.0" hidden="1" customHeight="1">
      <c r="A5942" s="59">
        <f t="shared" si="20"/>
        <v>96</v>
      </c>
      <c r="B5942" s="59" t="str">
        <f t="shared" si="21"/>
        <v/>
      </c>
      <c r="C5942" s="59" t="str">
        <f t="shared" si="22"/>
        <v/>
      </c>
      <c r="D5942" s="45" t="str">
        <f t="shared" si="23"/>
        <v/>
      </c>
      <c r="E5942" s="45" t="str">
        <f t="shared" si="24"/>
        <v/>
      </c>
      <c r="F5942" s="59" t="str">
        <f t="shared" si="25"/>
        <v/>
      </c>
      <c r="G5942" s="59" t="str">
        <f t="shared" si="26"/>
        <v/>
      </c>
      <c r="H5942" s="59" t="str">
        <f t="shared" si="27"/>
        <v>28C01743</v>
      </c>
      <c r="I5942" s="59" t="str">
        <f>IF(OR($A5942="",$C5942="",$D5942="",$E5942="",$H5942=""),"",SUMIFS(DATA_GOC!$H:$H,DATA_GOC!$A:$A,"BOM",DATA_GOC!$D:$D,$H5942,DATA_GOC!$E:$E,$C5942,DATA_GOC!$F:$F,"Xuất nội bộ từ téc",DATA_GOC!$B:$B,"&gt;="&amp;$D5942,DATA_GOC!$B:$B,"&lt;="&amp;$E5942))</f>
        <v/>
      </c>
      <c r="J5942" s="59">
        <f t="shared" si="28"/>
        <v>0</v>
      </c>
      <c r="K5942" s="59">
        <f t="shared" si="29"/>
        <v>0</v>
      </c>
      <c r="L5942" s="59">
        <f t="shared" si="30"/>
        <v>0</v>
      </c>
      <c r="M5942" s="59">
        <f t="shared" si="31"/>
        <v>0</v>
      </c>
    </row>
    <row r="5943" ht="15.0" hidden="1" customHeight="1">
      <c r="A5943" s="59">
        <f t="shared" si="20"/>
        <v>96</v>
      </c>
      <c r="B5943" s="59" t="str">
        <f t="shared" si="21"/>
        <v/>
      </c>
      <c r="C5943" s="59" t="str">
        <f t="shared" si="22"/>
        <v/>
      </c>
      <c r="D5943" s="45" t="str">
        <f t="shared" si="23"/>
        <v/>
      </c>
      <c r="E5943" s="45" t="str">
        <f t="shared" si="24"/>
        <v/>
      </c>
      <c r="F5943" s="59" t="str">
        <f t="shared" si="25"/>
        <v/>
      </c>
      <c r="G5943" s="59" t="str">
        <f t="shared" si="26"/>
        <v/>
      </c>
      <c r="H5943" s="59" t="str">
        <f t="shared" si="27"/>
        <v>28C02106</v>
      </c>
      <c r="I5943" s="59" t="str">
        <f>IF(OR($A5943="",$C5943="",$D5943="",$E5943="",$H5943=""),"",SUMIFS(DATA_GOC!$H:$H,DATA_GOC!$A:$A,"BOM",DATA_GOC!$D:$D,$H5943,DATA_GOC!$E:$E,$C5943,DATA_GOC!$F:$F,"Xuất nội bộ từ téc",DATA_GOC!$B:$B,"&gt;="&amp;$D5943,DATA_GOC!$B:$B,"&lt;="&amp;$E5943))</f>
        <v/>
      </c>
      <c r="J5943" s="59">
        <f t="shared" si="28"/>
        <v>0</v>
      </c>
      <c r="K5943" s="59">
        <f t="shared" si="29"/>
        <v>0</v>
      </c>
      <c r="L5943" s="59">
        <f t="shared" si="30"/>
        <v>0</v>
      </c>
      <c r="M5943" s="59">
        <f t="shared" si="31"/>
        <v>0</v>
      </c>
    </row>
    <row r="5944" ht="15.0" hidden="1" customHeight="1">
      <c r="A5944" s="59">
        <f t="shared" si="20"/>
        <v>96</v>
      </c>
      <c r="B5944" s="59" t="str">
        <f t="shared" si="21"/>
        <v/>
      </c>
      <c r="C5944" s="59" t="str">
        <f t="shared" si="22"/>
        <v/>
      </c>
      <c r="D5944" s="45" t="str">
        <f t="shared" si="23"/>
        <v/>
      </c>
      <c r="E5944" s="45" t="str">
        <f t="shared" si="24"/>
        <v/>
      </c>
      <c r="F5944" s="59" t="str">
        <f t="shared" si="25"/>
        <v/>
      </c>
      <c r="G5944" s="59" t="str">
        <f t="shared" si="26"/>
        <v/>
      </c>
      <c r="H5944" s="59" t="str">
        <f t="shared" si="27"/>
        <v>28C02410</v>
      </c>
      <c r="I5944" s="59" t="str">
        <f>IF(OR($A5944="",$C5944="",$D5944="",$E5944="",$H5944=""),"",SUMIFS(DATA_GOC!$H:$H,DATA_GOC!$A:$A,"BOM",DATA_GOC!$D:$D,$H5944,DATA_GOC!$E:$E,$C5944,DATA_GOC!$F:$F,"Xuất nội bộ từ téc",DATA_GOC!$B:$B,"&gt;="&amp;$D5944,DATA_GOC!$B:$B,"&lt;="&amp;$E5944))</f>
        <v/>
      </c>
      <c r="J5944" s="59">
        <f t="shared" si="28"/>
        <v>0</v>
      </c>
      <c r="K5944" s="59">
        <f t="shared" si="29"/>
        <v>0</v>
      </c>
      <c r="L5944" s="59">
        <f t="shared" si="30"/>
        <v>0</v>
      </c>
      <c r="M5944" s="59">
        <f t="shared" si="31"/>
        <v>0</v>
      </c>
    </row>
    <row r="5945" ht="15.0" hidden="1" customHeight="1">
      <c r="A5945" s="59">
        <f t="shared" si="20"/>
        <v>96</v>
      </c>
      <c r="B5945" s="59" t="str">
        <f t="shared" si="21"/>
        <v/>
      </c>
      <c r="C5945" s="59" t="str">
        <f t="shared" si="22"/>
        <v/>
      </c>
      <c r="D5945" s="45" t="str">
        <f t="shared" si="23"/>
        <v/>
      </c>
      <c r="E5945" s="45" t="str">
        <f t="shared" si="24"/>
        <v/>
      </c>
      <c r="F5945" s="59" t="str">
        <f t="shared" si="25"/>
        <v/>
      </c>
      <c r="G5945" s="59" t="str">
        <f t="shared" si="26"/>
        <v/>
      </c>
      <c r="H5945" s="59" t="str">
        <f t="shared" si="27"/>
        <v>28C02545</v>
      </c>
      <c r="I5945" s="59" t="str">
        <f>IF(OR($A5945="",$C5945="",$D5945="",$E5945="",$H5945=""),"",SUMIFS(DATA_GOC!$H:$H,DATA_GOC!$A:$A,"BOM",DATA_GOC!$D:$D,$H5945,DATA_GOC!$E:$E,$C5945,DATA_GOC!$F:$F,"Xuất nội bộ từ téc",DATA_GOC!$B:$B,"&gt;="&amp;$D5945,DATA_GOC!$B:$B,"&lt;="&amp;$E5945))</f>
        <v/>
      </c>
      <c r="J5945" s="59">
        <f t="shared" si="28"/>
        <v>0</v>
      </c>
      <c r="K5945" s="59">
        <f t="shared" si="29"/>
        <v>0</v>
      </c>
      <c r="L5945" s="59">
        <f t="shared" si="30"/>
        <v>0</v>
      </c>
      <c r="M5945" s="59">
        <f t="shared" si="31"/>
        <v>0</v>
      </c>
    </row>
    <row r="5946" ht="15.0" hidden="1" customHeight="1">
      <c r="A5946" s="59">
        <f t="shared" si="20"/>
        <v>96</v>
      </c>
      <c r="B5946" s="59" t="str">
        <f t="shared" si="21"/>
        <v/>
      </c>
      <c r="C5946" s="59" t="str">
        <f t="shared" si="22"/>
        <v/>
      </c>
      <c r="D5946" s="45" t="str">
        <f t="shared" si="23"/>
        <v/>
      </c>
      <c r="E5946" s="45" t="str">
        <f t="shared" si="24"/>
        <v/>
      </c>
      <c r="F5946" s="59" t="str">
        <f t="shared" si="25"/>
        <v/>
      </c>
      <c r="G5946" s="59" t="str">
        <f t="shared" si="26"/>
        <v/>
      </c>
      <c r="H5946" s="59" t="str">
        <f t="shared" si="27"/>
        <v>28C02574</v>
      </c>
      <c r="I5946" s="59" t="str">
        <f>IF(OR($A5946="",$C5946="",$D5946="",$E5946="",$H5946=""),"",SUMIFS(DATA_GOC!$H:$H,DATA_GOC!$A:$A,"BOM",DATA_GOC!$D:$D,$H5946,DATA_GOC!$E:$E,$C5946,DATA_GOC!$F:$F,"Xuất nội bộ từ téc",DATA_GOC!$B:$B,"&gt;="&amp;$D5946,DATA_GOC!$B:$B,"&lt;="&amp;$E5946))</f>
        <v/>
      </c>
      <c r="J5946" s="59">
        <f t="shared" si="28"/>
        <v>0</v>
      </c>
      <c r="K5946" s="59">
        <f t="shared" si="29"/>
        <v>0</v>
      </c>
      <c r="L5946" s="59">
        <f t="shared" si="30"/>
        <v>0</v>
      </c>
      <c r="M5946" s="59">
        <f t="shared" si="31"/>
        <v>0</v>
      </c>
    </row>
    <row r="5947" ht="15.0" hidden="1" customHeight="1">
      <c r="A5947" s="59">
        <f t="shared" si="20"/>
        <v>96</v>
      </c>
      <c r="B5947" s="59" t="str">
        <f t="shared" si="21"/>
        <v/>
      </c>
      <c r="C5947" s="59" t="str">
        <f t="shared" si="22"/>
        <v/>
      </c>
      <c r="D5947" s="45" t="str">
        <f t="shared" si="23"/>
        <v/>
      </c>
      <c r="E5947" s="45" t="str">
        <f t="shared" si="24"/>
        <v/>
      </c>
      <c r="F5947" s="59" t="str">
        <f t="shared" si="25"/>
        <v/>
      </c>
      <c r="G5947" s="59" t="str">
        <f t="shared" si="26"/>
        <v/>
      </c>
      <c r="H5947" s="59" t="str">
        <f t="shared" si="27"/>
        <v>28C02770</v>
      </c>
      <c r="I5947" s="59" t="str">
        <f>IF(OR($A5947="",$C5947="",$D5947="",$E5947="",$H5947=""),"",SUMIFS(DATA_GOC!$H:$H,DATA_GOC!$A:$A,"BOM",DATA_GOC!$D:$D,$H5947,DATA_GOC!$E:$E,$C5947,DATA_GOC!$F:$F,"Xuất nội bộ từ téc",DATA_GOC!$B:$B,"&gt;="&amp;$D5947,DATA_GOC!$B:$B,"&lt;="&amp;$E5947))</f>
        <v/>
      </c>
      <c r="J5947" s="59">
        <f t="shared" si="28"/>
        <v>0</v>
      </c>
      <c r="K5947" s="59">
        <f t="shared" si="29"/>
        <v>0</v>
      </c>
      <c r="L5947" s="59">
        <f t="shared" si="30"/>
        <v>0</v>
      </c>
      <c r="M5947" s="59">
        <f t="shared" si="31"/>
        <v>0</v>
      </c>
    </row>
    <row r="5948" ht="15.0" hidden="1" customHeight="1">
      <c r="A5948" s="59">
        <f t="shared" si="20"/>
        <v>96</v>
      </c>
      <c r="B5948" s="59" t="str">
        <f t="shared" si="21"/>
        <v/>
      </c>
      <c r="C5948" s="59" t="str">
        <f t="shared" si="22"/>
        <v/>
      </c>
      <c r="D5948" s="45" t="str">
        <f t="shared" si="23"/>
        <v/>
      </c>
      <c r="E5948" s="45" t="str">
        <f t="shared" si="24"/>
        <v/>
      </c>
      <c r="F5948" s="59" t="str">
        <f t="shared" si="25"/>
        <v/>
      </c>
      <c r="G5948" s="59" t="str">
        <f t="shared" si="26"/>
        <v/>
      </c>
      <c r="H5948" s="59" t="str">
        <f t="shared" si="27"/>
        <v>28C02986</v>
      </c>
      <c r="I5948" s="59" t="str">
        <f>IF(OR($A5948="",$C5948="",$D5948="",$E5948="",$H5948=""),"",SUMIFS(DATA_GOC!$H:$H,DATA_GOC!$A:$A,"BOM",DATA_GOC!$D:$D,$H5948,DATA_GOC!$E:$E,$C5948,DATA_GOC!$F:$F,"Xuất nội bộ từ téc",DATA_GOC!$B:$B,"&gt;="&amp;$D5948,DATA_GOC!$B:$B,"&lt;="&amp;$E5948))</f>
        <v/>
      </c>
      <c r="J5948" s="59">
        <f t="shared" si="28"/>
        <v>0</v>
      </c>
      <c r="K5948" s="59">
        <f t="shared" si="29"/>
        <v>0</v>
      </c>
      <c r="L5948" s="59">
        <f t="shared" si="30"/>
        <v>0</v>
      </c>
      <c r="M5948" s="59">
        <f t="shared" si="31"/>
        <v>0</v>
      </c>
    </row>
    <row r="5949" ht="15.0" hidden="1" customHeight="1">
      <c r="A5949" s="59">
        <f t="shared" si="20"/>
        <v>96</v>
      </c>
      <c r="B5949" s="59" t="str">
        <f t="shared" si="21"/>
        <v/>
      </c>
      <c r="C5949" s="59" t="str">
        <f t="shared" si="22"/>
        <v/>
      </c>
      <c r="D5949" s="45" t="str">
        <f t="shared" si="23"/>
        <v/>
      </c>
      <c r="E5949" s="45" t="str">
        <f t="shared" si="24"/>
        <v/>
      </c>
      <c r="F5949" s="59" t="str">
        <f t="shared" si="25"/>
        <v/>
      </c>
      <c r="G5949" s="59" t="str">
        <f t="shared" si="26"/>
        <v/>
      </c>
      <c r="H5949" s="59" t="str">
        <f t="shared" si="27"/>
        <v>28C03261</v>
      </c>
      <c r="I5949" s="59" t="str">
        <f>IF(OR($A5949="",$C5949="",$D5949="",$E5949="",$H5949=""),"",SUMIFS(DATA_GOC!$H:$H,DATA_GOC!$A:$A,"BOM",DATA_GOC!$D:$D,$H5949,DATA_GOC!$E:$E,$C5949,DATA_GOC!$F:$F,"Xuất nội bộ từ téc",DATA_GOC!$B:$B,"&gt;="&amp;$D5949,DATA_GOC!$B:$B,"&lt;="&amp;$E5949))</f>
        <v/>
      </c>
      <c r="J5949" s="59">
        <f t="shared" si="28"/>
        <v>0</v>
      </c>
      <c r="K5949" s="59">
        <f t="shared" si="29"/>
        <v>0</v>
      </c>
      <c r="L5949" s="59">
        <f t="shared" si="30"/>
        <v>0</v>
      </c>
      <c r="M5949" s="59">
        <f t="shared" si="31"/>
        <v>0</v>
      </c>
    </row>
    <row r="5950" ht="15.0" hidden="1" customHeight="1">
      <c r="A5950" s="59">
        <f t="shared" si="20"/>
        <v>96</v>
      </c>
      <c r="B5950" s="59" t="str">
        <f t="shared" si="21"/>
        <v/>
      </c>
      <c r="C5950" s="59" t="str">
        <f t="shared" si="22"/>
        <v/>
      </c>
      <c r="D5950" s="45" t="str">
        <f t="shared" si="23"/>
        <v/>
      </c>
      <c r="E5950" s="45" t="str">
        <f t="shared" si="24"/>
        <v/>
      </c>
      <c r="F5950" s="59" t="str">
        <f t="shared" si="25"/>
        <v/>
      </c>
      <c r="G5950" s="59" t="str">
        <f t="shared" si="26"/>
        <v/>
      </c>
      <c r="H5950" s="59" t="str">
        <f t="shared" si="27"/>
        <v>28C03323</v>
      </c>
      <c r="I5950" s="59" t="str">
        <f>IF(OR($A5950="",$C5950="",$D5950="",$E5950="",$H5950=""),"",SUMIFS(DATA_GOC!$H:$H,DATA_GOC!$A:$A,"BOM",DATA_GOC!$D:$D,$H5950,DATA_GOC!$E:$E,$C5950,DATA_GOC!$F:$F,"Xuất nội bộ từ téc",DATA_GOC!$B:$B,"&gt;="&amp;$D5950,DATA_GOC!$B:$B,"&lt;="&amp;$E5950))</f>
        <v/>
      </c>
      <c r="J5950" s="59">
        <f t="shared" si="28"/>
        <v>0</v>
      </c>
      <c r="K5950" s="59">
        <f t="shared" si="29"/>
        <v>0</v>
      </c>
      <c r="L5950" s="59">
        <f t="shared" si="30"/>
        <v>0</v>
      </c>
      <c r="M5950" s="59">
        <f t="shared" si="31"/>
        <v>0</v>
      </c>
    </row>
    <row r="5951" ht="15.0" hidden="1" customHeight="1">
      <c r="A5951" s="59">
        <f t="shared" si="20"/>
        <v>96</v>
      </c>
      <c r="B5951" s="59" t="str">
        <f t="shared" si="21"/>
        <v/>
      </c>
      <c r="C5951" s="59" t="str">
        <f t="shared" si="22"/>
        <v/>
      </c>
      <c r="D5951" s="45" t="str">
        <f t="shared" si="23"/>
        <v/>
      </c>
      <c r="E5951" s="45" t="str">
        <f t="shared" si="24"/>
        <v/>
      </c>
      <c r="F5951" s="59" t="str">
        <f t="shared" si="25"/>
        <v/>
      </c>
      <c r="G5951" s="59" t="str">
        <f t="shared" si="26"/>
        <v/>
      </c>
      <c r="H5951" s="59" t="str">
        <f t="shared" si="27"/>
        <v>28C03385</v>
      </c>
      <c r="I5951" s="59" t="str">
        <f>IF(OR($A5951="",$C5951="",$D5951="",$E5951="",$H5951=""),"",SUMIFS(DATA_GOC!$H:$H,DATA_GOC!$A:$A,"BOM",DATA_GOC!$D:$D,$H5951,DATA_GOC!$E:$E,$C5951,DATA_GOC!$F:$F,"Xuất nội bộ từ téc",DATA_GOC!$B:$B,"&gt;="&amp;$D5951,DATA_GOC!$B:$B,"&lt;="&amp;$E5951))</f>
        <v/>
      </c>
      <c r="J5951" s="59">
        <f t="shared" si="28"/>
        <v>0</v>
      </c>
      <c r="K5951" s="59">
        <f t="shared" si="29"/>
        <v>0</v>
      </c>
      <c r="L5951" s="59">
        <f t="shared" si="30"/>
        <v>0</v>
      </c>
      <c r="M5951" s="59">
        <f t="shared" si="31"/>
        <v>0</v>
      </c>
    </row>
    <row r="5952" ht="15.0" hidden="1" customHeight="1">
      <c r="A5952" s="59">
        <f t="shared" si="20"/>
        <v>96</v>
      </c>
      <c r="B5952" s="59" t="str">
        <f t="shared" si="21"/>
        <v/>
      </c>
      <c r="C5952" s="59" t="str">
        <f t="shared" si="22"/>
        <v/>
      </c>
      <c r="D5952" s="45" t="str">
        <f t="shared" si="23"/>
        <v/>
      </c>
      <c r="E5952" s="45" t="str">
        <f t="shared" si="24"/>
        <v/>
      </c>
      <c r="F5952" s="59" t="str">
        <f t="shared" si="25"/>
        <v/>
      </c>
      <c r="G5952" s="59" t="str">
        <f t="shared" si="26"/>
        <v/>
      </c>
      <c r="H5952" s="59" t="str">
        <f t="shared" si="27"/>
        <v>28C03652</v>
      </c>
      <c r="I5952" s="59" t="str">
        <f>IF(OR($A5952="",$C5952="",$D5952="",$E5952="",$H5952=""),"",SUMIFS(DATA_GOC!$H:$H,DATA_GOC!$A:$A,"BOM",DATA_GOC!$D:$D,$H5952,DATA_GOC!$E:$E,$C5952,DATA_GOC!$F:$F,"Xuất nội bộ từ téc",DATA_GOC!$B:$B,"&gt;="&amp;$D5952,DATA_GOC!$B:$B,"&lt;="&amp;$E5952))</f>
        <v/>
      </c>
      <c r="J5952" s="59">
        <f t="shared" si="28"/>
        <v>0</v>
      </c>
      <c r="K5952" s="59">
        <f t="shared" si="29"/>
        <v>0</v>
      </c>
      <c r="L5952" s="59">
        <f t="shared" si="30"/>
        <v>0</v>
      </c>
      <c r="M5952" s="59">
        <f t="shared" si="31"/>
        <v>0</v>
      </c>
    </row>
    <row r="5953" ht="15.0" hidden="1" customHeight="1">
      <c r="A5953" s="59">
        <f t="shared" si="20"/>
        <v>96</v>
      </c>
      <c r="B5953" s="59" t="str">
        <f t="shared" si="21"/>
        <v/>
      </c>
      <c r="C5953" s="59" t="str">
        <f t="shared" si="22"/>
        <v/>
      </c>
      <c r="D5953" s="45" t="str">
        <f t="shared" si="23"/>
        <v/>
      </c>
      <c r="E5953" s="45" t="str">
        <f t="shared" si="24"/>
        <v/>
      </c>
      <c r="F5953" s="59" t="str">
        <f t="shared" si="25"/>
        <v/>
      </c>
      <c r="G5953" s="59" t="str">
        <f t="shared" si="26"/>
        <v/>
      </c>
      <c r="H5953" s="59" t="str">
        <f t="shared" si="27"/>
        <v>28C03695</v>
      </c>
      <c r="I5953" s="59" t="str">
        <f>IF(OR($A5953="",$C5953="",$D5953="",$E5953="",$H5953=""),"",SUMIFS(DATA_GOC!$H:$H,DATA_GOC!$A:$A,"BOM",DATA_GOC!$D:$D,$H5953,DATA_GOC!$E:$E,$C5953,DATA_GOC!$F:$F,"Xuất nội bộ từ téc",DATA_GOC!$B:$B,"&gt;="&amp;$D5953,DATA_GOC!$B:$B,"&lt;="&amp;$E5953))</f>
        <v/>
      </c>
      <c r="J5953" s="59">
        <f t="shared" si="28"/>
        <v>0</v>
      </c>
      <c r="K5953" s="59">
        <f t="shared" si="29"/>
        <v>0</v>
      </c>
      <c r="L5953" s="59">
        <f t="shared" si="30"/>
        <v>0</v>
      </c>
      <c r="M5953" s="59">
        <f t="shared" si="31"/>
        <v>0</v>
      </c>
    </row>
    <row r="5954" ht="15.0" hidden="1" customHeight="1">
      <c r="A5954" s="59">
        <f t="shared" si="20"/>
        <v>96</v>
      </c>
      <c r="B5954" s="59" t="str">
        <f t="shared" si="21"/>
        <v/>
      </c>
      <c r="C5954" s="59" t="str">
        <f t="shared" si="22"/>
        <v/>
      </c>
      <c r="D5954" s="45" t="str">
        <f t="shared" si="23"/>
        <v/>
      </c>
      <c r="E5954" s="45" t="str">
        <f t="shared" si="24"/>
        <v/>
      </c>
      <c r="F5954" s="59" t="str">
        <f t="shared" si="25"/>
        <v/>
      </c>
      <c r="G5954" s="59" t="str">
        <f t="shared" si="26"/>
        <v/>
      </c>
      <c r="H5954" s="59" t="str">
        <f t="shared" si="27"/>
        <v>28C03927</v>
      </c>
      <c r="I5954" s="59" t="str">
        <f>IF(OR($A5954="",$C5954="",$D5954="",$E5954="",$H5954=""),"",SUMIFS(DATA_GOC!$H:$H,DATA_GOC!$A:$A,"BOM",DATA_GOC!$D:$D,$H5954,DATA_GOC!$E:$E,$C5954,DATA_GOC!$F:$F,"Xuất nội bộ từ téc",DATA_GOC!$B:$B,"&gt;="&amp;$D5954,DATA_GOC!$B:$B,"&lt;="&amp;$E5954))</f>
        <v/>
      </c>
      <c r="J5954" s="59">
        <f t="shared" si="28"/>
        <v>0</v>
      </c>
      <c r="K5954" s="59">
        <f t="shared" si="29"/>
        <v>0</v>
      </c>
      <c r="L5954" s="59">
        <f t="shared" si="30"/>
        <v>0</v>
      </c>
      <c r="M5954" s="59">
        <f t="shared" si="31"/>
        <v>0</v>
      </c>
    </row>
    <row r="5955" ht="15.0" hidden="1" customHeight="1">
      <c r="A5955" s="59">
        <f t="shared" si="20"/>
        <v>96</v>
      </c>
      <c r="B5955" s="59" t="str">
        <f t="shared" si="21"/>
        <v/>
      </c>
      <c r="C5955" s="59" t="str">
        <f t="shared" si="22"/>
        <v/>
      </c>
      <c r="D5955" s="45" t="str">
        <f t="shared" si="23"/>
        <v/>
      </c>
      <c r="E5955" s="45" t="str">
        <f t="shared" si="24"/>
        <v/>
      </c>
      <c r="F5955" s="59" t="str">
        <f t="shared" si="25"/>
        <v/>
      </c>
      <c r="G5955" s="59" t="str">
        <f t="shared" si="26"/>
        <v/>
      </c>
      <c r="H5955" s="59" t="str">
        <f t="shared" si="27"/>
        <v>28C04509</v>
      </c>
      <c r="I5955" s="59" t="str">
        <f>IF(OR($A5955="",$C5955="",$D5955="",$E5955="",$H5955=""),"",SUMIFS(DATA_GOC!$H:$H,DATA_GOC!$A:$A,"BOM",DATA_GOC!$D:$D,$H5955,DATA_GOC!$E:$E,$C5955,DATA_GOC!$F:$F,"Xuất nội bộ từ téc",DATA_GOC!$B:$B,"&gt;="&amp;$D5955,DATA_GOC!$B:$B,"&lt;="&amp;$E5955))</f>
        <v/>
      </c>
      <c r="J5955" s="59">
        <f t="shared" si="28"/>
        <v>0</v>
      </c>
      <c r="K5955" s="59">
        <f t="shared" si="29"/>
        <v>0</v>
      </c>
      <c r="L5955" s="59">
        <f t="shared" si="30"/>
        <v>0</v>
      </c>
      <c r="M5955" s="59">
        <f t="shared" si="31"/>
        <v>0</v>
      </c>
    </row>
    <row r="5956" ht="15.0" hidden="1" customHeight="1">
      <c r="A5956" s="59">
        <f t="shared" si="20"/>
        <v>96</v>
      </c>
      <c r="B5956" s="59" t="str">
        <f t="shared" si="21"/>
        <v/>
      </c>
      <c r="C5956" s="59" t="str">
        <f t="shared" si="22"/>
        <v/>
      </c>
      <c r="D5956" s="45" t="str">
        <f t="shared" si="23"/>
        <v/>
      </c>
      <c r="E5956" s="45" t="str">
        <f t="shared" si="24"/>
        <v/>
      </c>
      <c r="F5956" s="59" t="str">
        <f t="shared" si="25"/>
        <v/>
      </c>
      <c r="G5956" s="59" t="str">
        <f t="shared" si="26"/>
        <v/>
      </c>
      <c r="H5956" s="59" t="str">
        <f t="shared" si="27"/>
        <v>28C04536</v>
      </c>
      <c r="I5956" s="59" t="str">
        <f>IF(OR($A5956="",$C5956="",$D5956="",$E5956="",$H5956=""),"",SUMIFS(DATA_GOC!$H:$H,DATA_GOC!$A:$A,"BOM",DATA_GOC!$D:$D,$H5956,DATA_GOC!$E:$E,$C5956,DATA_GOC!$F:$F,"Xuất nội bộ từ téc",DATA_GOC!$B:$B,"&gt;="&amp;$D5956,DATA_GOC!$B:$B,"&lt;="&amp;$E5956))</f>
        <v/>
      </c>
      <c r="J5956" s="59">
        <f t="shared" si="28"/>
        <v>0</v>
      </c>
      <c r="K5956" s="59">
        <f t="shared" si="29"/>
        <v>0</v>
      </c>
      <c r="L5956" s="59">
        <f t="shared" si="30"/>
        <v>0</v>
      </c>
      <c r="M5956" s="59">
        <f t="shared" si="31"/>
        <v>0</v>
      </c>
    </row>
    <row r="5957" ht="15.0" hidden="1" customHeight="1">
      <c r="A5957" s="59">
        <f t="shared" si="20"/>
        <v>96</v>
      </c>
      <c r="B5957" s="59" t="str">
        <f t="shared" si="21"/>
        <v/>
      </c>
      <c r="C5957" s="59" t="str">
        <f t="shared" si="22"/>
        <v/>
      </c>
      <c r="D5957" s="45" t="str">
        <f t="shared" si="23"/>
        <v/>
      </c>
      <c r="E5957" s="45" t="str">
        <f t="shared" si="24"/>
        <v/>
      </c>
      <c r="F5957" s="59" t="str">
        <f t="shared" si="25"/>
        <v/>
      </c>
      <c r="G5957" s="59" t="str">
        <f t="shared" si="26"/>
        <v/>
      </c>
      <c r="H5957" s="59" t="str">
        <f t="shared" si="27"/>
        <v>28C04576</v>
      </c>
      <c r="I5957" s="59" t="str">
        <f>IF(OR($A5957="",$C5957="",$D5957="",$E5957="",$H5957=""),"",SUMIFS(DATA_GOC!$H:$H,DATA_GOC!$A:$A,"BOM",DATA_GOC!$D:$D,$H5957,DATA_GOC!$E:$E,$C5957,DATA_GOC!$F:$F,"Xuất nội bộ từ téc",DATA_GOC!$B:$B,"&gt;="&amp;$D5957,DATA_GOC!$B:$B,"&lt;="&amp;$E5957))</f>
        <v/>
      </c>
      <c r="J5957" s="59">
        <f t="shared" si="28"/>
        <v>0</v>
      </c>
      <c r="K5957" s="59">
        <f t="shared" si="29"/>
        <v>0</v>
      </c>
      <c r="L5957" s="59">
        <f t="shared" si="30"/>
        <v>0</v>
      </c>
      <c r="M5957" s="59">
        <f t="shared" si="31"/>
        <v>0</v>
      </c>
    </row>
    <row r="5958" ht="15.0" hidden="1" customHeight="1">
      <c r="A5958" s="59">
        <f t="shared" si="20"/>
        <v>96</v>
      </c>
      <c r="B5958" s="59" t="str">
        <f t="shared" si="21"/>
        <v/>
      </c>
      <c r="C5958" s="59" t="str">
        <f t="shared" si="22"/>
        <v/>
      </c>
      <c r="D5958" s="45" t="str">
        <f t="shared" si="23"/>
        <v/>
      </c>
      <c r="E5958" s="45" t="str">
        <f t="shared" si="24"/>
        <v/>
      </c>
      <c r="F5958" s="59" t="str">
        <f t="shared" si="25"/>
        <v/>
      </c>
      <c r="G5958" s="59" t="str">
        <f t="shared" si="26"/>
        <v/>
      </c>
      <c r="H5958" s="59" t="str">
        <f t="shared" si="27"/>
        <v>28C05090</v>
      </c>
      <c r="I5958" s="59" t="str">
        <f>IF(OR($A5958="",$C5958="",$D5958="",$E5958="",$H5958=""),"",SUMIFS(DATA_GOC!$H:$H,DATA_GOC!$A:$A,"BOM",DATA_GOC!$D:$D,$H5958,DATA_GOC!$E:$E,$C5958,DATA_GOC!$F:$F,"Xuất nội bộ từ téc",DATA_GOC!$B:$B,"&gt;="&amp;$D5958,DATA_GOC!$B:$B,"&lt;="&amp;$E5958))</f>
        <v/>
      </c>
      <c r="J5958" s="59">
        <f t="shared" si="28"/>
        <v>0</v>
      </c>
      <c r="K5958" s="59">
        <f t="shared" si="29"/>
        <v>0</v>
      </c>
      <c r="L5958" s="59">
        <f t="shared" si="30"/>
        <v>0</v>
      </c>
      <c r="M5958" s="59">
        <f t="shared" si="31"/>
        <v>0</v>
      </c>
    </row>
    <row r="5959" ht="15.0" hidden="1" customHeight="1">
      <c r="A5959" s="59">
        <f t="shared" si="20"/>
        <v>96</v>
      </c>
      <c r="B5959" s="59" t="str">
        <f t="shared" si="21"/>
        <v/>
      </c>
      <c r="C5959" s="59" t="str">
        <f t="shared" si="22"/>
        <v/>
      </c>
      <c r="D5959" s="45" t="str">
        <f t="shared" si="23"/>
        <v/>
      </c>
      <c r="E5959" s="45" t="str">
        <f t="shared" si="24"/>
        <v/>
      </c>
      <c r="F5959" s="59" t="str">
        <f t="shared" si="25"/>
        <v/>
      </c>
      <c r="G5959" s="59" t="str">
        <f t="shared" si="26"/>
        <v/>
      </c>
      <c r="H5959" s="59" t="str">
        <f t="shared" si="27"/>
        <v>28C05345</v>
      </c>
      <c r="I5959" s="59" t="str">
        <f>IF(OR($A5959="",$C5959="",$D5959="",$E5959="",$H5959=""),"",SUMIFS(DATA_GOC!$H:$H,DATA_GOC!$A:$A,"BOM",DATA_GOC!$D:$D,$H5959,DATA_GOC!$E:$E,$C5959,DATA_GOC!$F:$F,"Xuất nội bộ từ téc",DATA_GOC!$B:$B,"&gt;="&amp;$D5959,DATA_GOC!$B:$B,"&lt;="&amp;$E5959))</f>
        <v/>
      </c>
      <c r="J5959" s="59">
        <f t="shared" si="28"/>
        <v>0</v>
      </c>
      <c r="K5959" s="59">
        <f t="shared" si="29"/>
        <v>0</v>
      </c>
      <c r="L5959" s="59">
        <f t="shared" si="30"/>
        <v>0</v>
      </c>
      <c r="M5959" s="59">
        <f t="shared" si="31"/>
        <v>0</v>
      </c>
    </row>
    <row r="5960" ht="15.0" hidden="1" customHeight="1">
      <c r="A5960" s="59">
        <f t="shared" si="20"/>
        <v>96</v>
      </c>
      <c r="B5960" s="59" t="str">
        <f t="shared" si="21"/>
        <v/>
      </c>
      <c r="C5960" s="59" t="str">
        <f t="shared" si="22"/>
        <v/>
      </c>
      <c r="D5960" s="45" t="str">
        <f t="shared" si="23"/>
        <v/>
      </c>
      <c r="E5960" s="45" t="str">
        <f t="shared" si="24"/>
        <v/>
      </c>
      <c r="F5960" s="59" t="str">
        <f t="shared" si="25"/>
        <v/>
      </c>
      <c r="G5960" s="59" t="str">
        <f t="shared" si="26"/>
        <v/>
      </c>
      <c r="H5960" s="59" t="str">
        <f t="shared" si="27"/>
        <v>28C05661</v>
      </c>
      <c r="I5960" s="59" t="str">
        <f>IF(OR($A5960="",$C5960="",$D5960="",$E5960="",$H5960=""),"",SUMIFS(DATA_GOC!$H:$H,DATA_GOC!$A:$A,"BOM",DATA_GOC!$D:$D,$H5960,DATA_GOC!$E:$E,$C5960,DATA_GOC!$F:$F,"Xuất nội bộ từ téc",DATA_GOC!$B:$B,"&gt;="&amp;$D5960,DATA_GOC!$B:$B,"&lt;="&amp;$E5960))</f>
        <v/>
      </c>
      <c r="J5960" s="59">
        <f t="shared" si="28"/>
        <v>0</v>
      </c>
      <c r="K5960" s="59">
        <f t="shared" si="29"/>
        <v>0</v>
      </c>
      <c r="L5960" s="59">
        <f t="shared" si="30"/>
        <v>0</v>
      </c>
      <c r="M5960" s="59">
        <f t="shared" si="31"/>
        <v>0</v>
      </c>
    </row>
    <row r="5961" ht="15.0" hidden="1" customHeight="1">
      <c r="A5961" s="59">
        <f t="shared" si="20"/>
        <v>96</v>
      </c>
      <c r="B5961" s="59" t="str">
        <f t="shared" si="21"/>
        <v/>
      </c>
      <c r="C5961" s="59" t="str">
        <f t="shared" si="22"/>
        <v/>
      </c>
      <c r="D5961" s="45" t="str">
        <f t="shared" si="23"/>
        <v/>
      </c>
      <c r="E5961" s="45" t="str">
        <f t="shared" si="24"/>
        <v/>
      </c>
      <c r="F5961" s="59" t="str">
        <f t="shared" si="25"/>
        <v/>
      </c>
      <c r="G5961" s="59" t="str">
        <f t="shared" si="26"/>
        <v/>
      </c>
      <c r="H5961" s="59" t="str">
        <f t="shared" si="27"/>
        <v>28C05739</v>
      </c>
      <c r="I5961" s="59" t="str">
        <f>IF(OR($A5961="",$C5961="",$D5961="",$E5961="",$H5961=""),"",SUMIFS(DATA_GOC!$H:$H,DATA_GOC!$A:$A,"BOM",DATA_GOC!$D:$D,$H5961,DATA_GOC!$E:$E,$C5961,DATA_GOC!$F:$F,"Xuất nội bộ từ téc",DATA_GOC!$B:$B,"&gt;="&amp;$D5961,DATA_GOC!$B:$B,"&lt;="&amp;$E5961))</f>
        <v/>
      </c>
      <c r="J5961" s="59">
        <f t="shared" si="28"/>
        <v>0</v>
      </c>
      <c r="K5961" s="59">
        <f t="shared" si="29"/>
        <v>0</v>
      </c>
      <c r="L5961" s="59">
        <f t="shared" si="30"/>
        <v>0</v>
      </c>
      <c r="M5961" s="59">
        <f t="shared" si="31"/>
        <v>0</v>
      </c>
    </row>
    <row r="5962" ht="15.0" hidden="1" customHeight="1">
      <c r="A5962" s="59">
        <f t="shared" si="20"/>
        <v>96</v>
      </c>
      <c r="B5962" s="59" t="str">
        <f t="shared" si="21"/>
        <v/>
      </c>
      <c r="C5962" s="59" t="str">
        <f t="shared" si="22"/>
        <v/>
      </c>
      <c r="D5962" s="45" t="str">
        <f t="shared" si="23"/>
        <v/>
      </c>
      <c r="E5962" s="45" t="str">
        <f t="shared" si="24"/>
        <v/>
      </c>
      <c r="F5962" s="59" t="str">
        <f t="shared" si="25"/>
        <v/>
      </c>
      <c r="G5962" s="59" t="str">
        <f t="shared" si="26"/>
        <v/>
      </c>
      <c r="H5962" s="59" t="str">
        <f t="shared" si="27"/>
        <v>28C06369</v>
      </c>
      <c r="I5962" s="59" t="str">
        <f>IF(OR($A5962="",$C5962="",$D5962="",$E5962="",$H5962=""),"",SUMIFS(DATA_GOC!$H:$H,DATA_GOC!$A:$A,"BOM",DATA_GOC!$D:$D,$H5962,DATA_GOC!$E:$E,$C5962,DATA_GOC!$F:$F,"Xuất nội bộ từ téc",DATA_GOC!$B:$B,"&gt;="&amp;$D5962,DATA_GOC!$B:$B,"&lt;="&amp;$E5962))</f>
        <v/>
      </c>
      <c r="J5962" s="59">
        <f t="shared" si="28"/>
        <v>0</v>
      </c>
      <c r="K5962" s="59">
        <f t="shared" si="29"/>
        <v>0</v>
      </c>
      <c r="L5962" s="59">
        <f t="shared" si="30"/>
        <v>0</v>
      </c>
      <c r="M5962" s="59">
        <f t="shared" si="31"/>
        <v>0</v>
      </c>
    </row>
    <row r="5963" ht="15.0" hidden="1" customHeight="1">
      <c r="A5963" s="59">
        <f t="shared" si="20"/>
        <v>96</v>
      </c>
      <c r="B5963" s="59" t="str">
        <f t="shared" si="21"/>
        <v/>
      </c>
      <c r="C5963" s="59" t="str">
        <f t="shared" si="22"/>
        <v/>
      </c>
      <c r="D5963" s="45" t="str">
        <f t="shared" si="23"/>
        <v/>
      </c>
      <c r="E5963" s="45" t="str">
        <f t="shared" si="24"/>
        <v/>
      </c>
      <c r="F5963" s="59" t="str">
        <f t="shared" si="25"/>
        <v/>
      </c>
      <c r="G5963" s="59" t="str">
        <f t="shared" si="26"/>
        <v/>
      </c>
      <c r="H5963" s="59" t="str">
        <f t="shared" si="27"/>
        <v>28C06447</v>
      </c>
      <c r="I5963" s="59" t="str">
        <f>IF(OR($A5963="",$C5963="",$D5963="",$E5963="",$H5963=""),"",SUMIFS(DATA_GOC!$H:$H,DATA_GOC!$A:$A,"BOM",DATA_GOC!$D:$D,$H5963,DATA_GOC!$E:$E,$C5963,DATA_GOC!$F:$F,"Xuất nội bộ từ téc",DATA_GOC!$B:$B,"&gt;="&amp;$D5963,DATA_GOC!$B:$B,"&lt;="&amp;$E5963))</f>
        <v/>
      </c>
      <c r="J5963" s="59">
        <f t="shared" si="28"/>
        <v>0</v>
      </c>
      <c r="K5963" s="59">
        <f t="shared" si="29"/>
        <v>0</v>
      </c>
      <c r="L5963" s="59">
        <f t="shared" si="30"/>
        <v>0</v>
      </c>
      <c r="M5963" s="59">
        <f t="shared" si="31"/>
        <v>0</v>
      </c>
    </row>
    <row r="5964" ht="15.0" hidden="1" customHeight="1">
      <c r="A5964" s="59">
        <f t="shared" si="20"/>
        <v>96</v>
      </c>
      <c r="B5964" s="59" t="str">
        <f t="shared" si="21"/>
        <v/>
      </c>
      <c r="C5964" s="59" t="str">
        <f t="shared" si="22"/>
        <v/>
      </c>
      <c r="D5964" s="45" t="str">
        <f t="shared" si="23"/>
        <v/>
      </c>
      <c r="E5964" s="45" t="str">
        <f t="shared" si="24"/>
        <v/>
      </c>
      <c r="F5964" s="59" t="str">
        <f t="shared" si="25"/>
        <v/>
      </c>
      <c r="G5964" s="59" t="str">
        <f t="shared" si="26"/>
        <v/>
      </c>
      <c r="H5964" s="59" t="str">
        <f t="shared" si="27"/>
        <v>28H00003</v>
      </c>
      <c r="I5964" s="59" t="str">
        <f>IF(OR($A5964="",$C5964="",$D5964="",$E5964="",$H5964=""),"",SUMIFS(DATA_GOC!$H:$H,DATA_GOC!$A:$A,"BOM",DATA_GOC!$D:$D,$H5964,DATA_GOC!$E:$E,$C5964,DATA_GOC!$F:$F,"Xuất nội bộ từ téc",DATA_GOC!$B:$B,"&gt;="&amp;$D5964,DATA_GOC!$B:$B,"&lt;="&amp;$E5964))</f>
        <v/>
      </c>
      <c r="J5964" s="59">
        <f t="shared" si="28"/>
        <v>0</v>
      </c>
      <c r="K5964" s="59">
        <f t="shared" si="29"/>
        <v>0</v>
      </c>
      <c r="L5964" s="59">
        <f t="shared" si="30"/>
        <v>0</v>
      </c>
      <c r="M5964" s="59">
        <f t="shared" si="31"/>
        <v>0</v>
      </c>
    </row>
    <row r="5965" ht="15.0" hidden="1" customHeight="1">
      <c r="A5965" s="59">
        <f t="shared" si="20"/>
        <v>96</v>
      </c>
      <c r="B5965" s="59" t="str">
        <f t="shared" si="21"/>
        <v/>
      </c>
      <c r="C5965" s="59" t="str">
        <f t="shared" si="22"/>
        <v/>
      </c>
      <c r="D5965" s="45" t="str">
        <f t="shared" si="23"/>
        <v/>
      </c>
      <c r="E5965" s="45" t="str">
        <f t="shared" si="24"/>
        <v/>
      </c>
      <c r="F5965" s="59" t="str">
        <f t="shared" si="25"/>
        <v/>
      </c>
      <c r="G5965" s="59" t="str">
        <f t="shared" si="26"/>
        <v/>
      </c>
      <c r="H5965" s="59" t="str">
        <f t="shared" si="27"/>
        <v>28H00061</v>
      </c>
      <c r="I5965" s="59" t="str">
        <f>IF(OR($A5965="",$C5965="",$D5965="",$E5965="",$H5965=""),"",SUMIFS(DATA_GOC!$H:$H,DATA_GOC!$A:$A,"BOM",DATA_GOC!$D:$D,$H5965,DATA_GOC!$E:$E,$C5965,DATA_GOC!$F:$F,"Xuất nội bộ từ téc",DATA_GOC!$B:$B,"&gt;="&amp;$D5965,DATA_GOC!$B:$B,"&lt;="&amp;$E5965))</f>
        <v/>
      </c>
      <c r="J5965" s="59">
        <f t="shared" si="28"/>
        <v>0</v>
      </c>
      <c r="K5965" s="59">
        <f t="shared" si="29"/>
        <v>0</v>
      </c>
      <c r="L5965" s="59">
        <f t="shared" si="30"/>
        <v>0</v>
      </c>
      <c r="M5965" s="59">
        <f t="shared" si="31"/>
        <v>0</v>
      </c>
    </row>
    <row r="5966" ht="15.0" hidden="1" customHeight="1">
      <c r="A5966" s="59">
        <f t="shared" si="20"/>
        <v>96</v>
      </c>
      <c r="B5966" s="59" t="str">
        <f t="shared" si="21"/>
        <v/>
      </c>
      <c r="C5966" s="59" t="str">
        <f t="shared" si="22"/>
        <v/>
      </c>
      <c r="D5966" s="45" t="str">
        <f t="shared" si="23"/>
        <v/>
      </c>
      <c r="E5966" s="45" t="str">
        <f t="shared" si="24"/>
        <v/>
      </c>
      <c r="F5966" s="59" t="str">
        <f t="shared" si="25"/>
        <v/>
      </c>
      <c r="G5966" s="59" t="str">
        <f t="shared" si="26"/>
        <v/>
      </c>
      <c r="H5966" s="59" t="str">
        <f t="shared" si="27"/>
        <v>28H00354</v>
      </c>
      <c r="I5966" s="59" t="str">
        <f>IF(OR($A5966="",$C5966="",$D5966="",$E5966="",$H5966=""),"",SUMIFS(DATA_GOC!$H:$H,DATA_GOC!$A:$A,"BOM",DATA_GOC!$D:$D,$H5966,DATA_GOC!$E:$E,$C5966,DATA_GOC!$F:$F,"Xuất nội bộ từ téc",DATA_GOC!$B:$B,"&gt;="&amp;$D5966,DATA_GOC!$B:$B,"&lt;="&amp;$E5966))</f>
        <v/>
      </c>
      <c r="J5966" s="59">
        <f t="shared" si="28"/>
        <v>0</v>
      </c>
      <c r="K5966" s="59">
        <f t="shared" si="29"/>
        <v>0</v>
      </c>
      <c r="L5966" s="59">
        <f t="shared" si="30"/>
        <v>0</v>
      </c>
      <c r="M5966" s="59">
        <f t="shared" si="31"/>
        <v>0</v>
      </c>
    </row>
    <row r="5967" ht="15.0" hidden="1" customHeight="1">
      <c r="A5967" s="59">
        <f t="shared" si="20"/>
        <v>96</v>
      </c>
      <c r="B5967" s="59" t="str">
        <f t="shared" si="21"/>
        <v/>
      </c>
      <c r="C5967" s="59" t="str">
        <f t="shared" si="22"/>
        <v/>
      </c>
      <c r="D5967" s="45" t="str">
        <f t="shared" si="23"/>
        <v/>
      </c>
      <c r="E5967" s="45" t="str">
        <f t="shared" si="24"/>
        <v/>
      </c>
      <c r="F5967" s="59" t="str">
        <f t="shared" si="25"/>
        <v/>
      </c>
      <c r="G5967" s="59" t="str">
        <f t="shared" si="26"/>
        <v/>
      </c>
      <c r="H5967" s="59" t="str">
        <f t="shared" si="27"/>
        <v>28H00603</v>
      </c>
      <c r="I5967" s="59" t="str">
        <f>IF(OR($A5967="",$C5967="",$D5967="",$E5967="",$H5967=""),"",SUMIFS(DATA_GOC!$H:$H,DATA_GOC!$A:$A,"BOM",DATA_GOC!$D:$D,$H5967,DATA_GOC!$E:$E,$C5967,DATA_GOC!$F:$F,"Xuất nội bộ từ téc",DATA_GOC!$B:$B,"&gt;="&amp;$D5967,DATA_GOC!$B:$B,"&lt;="&amp;$E5967))</f>
        <v/>
      </c>
      <c r="J5967" s="59">
        <f t="shared" si="28"/>
        <v>0</v>
      </c>
      <c r="K5967" s="59">
        <f t="shared" si="29"/>
        <v>0</v>
      </c>
      <c r="L5967" s="59">
        <f t="shared" si="30"/>
        <v>0</v>
      </c>
      <c r="M5967" s="59">
        <f t="shared" si="31"/>
        <v>0</v>
      </c>
    </row>
    <row r="5968" ht="15.0" hidden="1" customHeight="1">
      <c r="A5968" s="59">
        <f t="shared" si="20"/>
        <v>96</v>
      </c>
      <c r="B5968" s="59" t="str">
        <f t="shared" si="21"/>
        <v/>
      </c>
      <c r="C5968" s="59" t="str">
        <f t="shared" si="22"/>
        <v/>
      </c>
      <c r="D5968" s="45" t="str">
        <f t="shared" si="23"/>
        <v/>
      </c>
      <c r="E5968" s="45" t="str">
        <f t="shared" si="24"/>
        <v/>
      </c>
      <c r="F5968" s="59" t="str">
        <f t="shared" si="25"/>
        <v/>
      </c>
      <c r="G5968" s="59" t="str">
        <f t="shared" si="26"/>
        <v/>
      </c>
      <c r="H5968" s="59" t="str">
        <f t="shared" si="27"/>
        <v>28H00609</v>
      </c>
      <c r="I5968" s="59" t="str">
        <f>IF(OR($A5968="",$C5968="",$D5968="",$E5968="",$H5968=""),"",SUMIFS(DATA_GOC!$H:$H,DATA_GOC!$A:$A,"BOM",DATA_GOC!$D:$D,$H5968,DATA_GOC!$E:$E,$C5968,DATA_GOC!$F:$F,"Xuất nội bộ từ téc",DATA_GOC!$B:$B,"&gt;="&amp;$D5968,DATA_GOC!$B:$B,"&lt;="&amp;$E5968))</f>
        <v/>
      </c>
      <c r="J5968" s="59">
        <f t="shared" si="28"/>
        <v>0</v>
      </c>
      <c r="K5968" s="59">
        <f t="shared" si="29"/>
        <v>0</v>
      </c>
      <c r="L5968" s="59">
        <f t="shared" si="30"/>
        <v>0</v>
      </c>
      <c r="M5968" s="59">
        <f t="shared" si="31"/>
        <v>0</v>
      </c>
    </row>
    <row r="5969" ht="15.0" hidden="1" customHeight="1">
      <c r="A5969" s="59">
        <f t="shared" si="20"/>
        <v>96</v>
      </c>
      <c r="B5969" s="59" t="str">
        <f t="shared" si="21"/>
        <v/>
      </c>
      <c r="C5969" s="59" t="str">
        <f t="shared" si="22"/>
        <v/>
      </c>
      <c r="D5969" s="45" t="str">
        <f t="shared" si="23"/>
        <v/>
      </c>
      <c r="E5969" s="45" t="str">
        <f t="shared" si="24"/>
        <v/>
      </c>
      <c r="F5969" s="59" t="str">
        <f t="shared" si="25"/>
        <v/>
      </c>
      <c r="G5969" s="59" t="str">
        <f t="shared" si="26"/>
        <v/>
      </c>
      <c r="H5969" s="59" t="str">
        <f t="shared" si="27"/>
        <v>28H00669</v>
      </c>
      <c r="I5969" s="59" t="str">
        <f>IF(OR($A5969="",$C5969="",$D5969="",$E5969="",$H5969=""),"",SUMIFS(DATA_GOC!$H:$H,DATA_GOC!$A:$A,"BOM",DATA_GOC!$D:$D,$H5969,DATA_GOC!$E:$E,$C5969,DATA_GOC!$F:$F,"Xuất nội bộ từ téc",DATA_GOC!$B:$B,"&gt;="&amp;$D5969,DATA_GOC!$B:$B,"&lt;="&amp;$E5969))</f>
        <v/>
      </c>
      <c r="J5969" s="59">
        <f t="shared" si="28"/>
        <v>0</v>
      </c>
      <c r="K5969" s="59">
        <f t="shared" si="29"/>
        <v>0</v>
      </c>
      <c r="L5969" s="59">
        <f t="shared" si="30"/>
        <v>0</v>
      </c>
      <c r="M5969" s="59">
        <f t="shared" si="31"/>
        <v>0</v>
      </c>
    </row>
    <row r="5970" ht="15.0" hidden="1" customHeight="1">
      <c r="A5970" s="59">
        <f t="shared" si="20"/>
        <v>96</v>
      </c>
      <c r="B5970" s="59" t="str">
        <f t="shared" si="21"/>
        <v/>
      </c>
      <c r="C5970" s="59" t="str">
        <f t="shared" si="22"/>
        <v/>
      </c>
      <c r="D5970" s="45" t="str">
        <f t="shared" si="23"/>
        <v/>
      </c>
      <c r="E5970" s="45" t="str">
        <f t="shared" si="24"/>
        <v/>
      </c>
      <c r="F5970" s="59" t="str">
        <f t="shared" si="25"/>
        <v/>
      </c>
      <c r="G5970" s="59" t="str">
        <f t="shared" si="26"/>
        <v/>
      </c>
      <c r="H5970" s="59" t="str">
        <f t="shared" si="27"/>
        <v>28H00680</v>
      </c>
      <c r="I5970" s="59" t="str">
        <f>IF(OR($A5970="",$C5970="",$D5970="",$E5970="",$H5970=""),"",SUMIFS(DATA_GOC!$H:$H,DATA_GOC!$A:$A,"BOM",DATA_GOC!$D:$D,$H5970,DATA_GOC!$E:$E,$C5970,DATA_GOC!$F:$F,"Xuất nội bộ từ téc",DATA_GOC!$B:$B,"&gt;="&amp;$D5970,DATA_GOC!$B:$B,"&lt;="&amp;$E5970))</f>
        <v/>
      </c>
      <c r="J5970" s="59">
        <f t="shared" si="28"/>
        <v>0</v>
      </c>
      <c r="K5970" s="59">
        <f t="shared" si="29"/>
        <v>0</v>
      </c>
      <c r="L5970" s="59">
        <f t="shared" si="30"/>
        <v>0</v>
      </c>
      <c r="M5970" s="59">
        <f t="shared" si="31"/>
        <v>0</v>
      </c>
    </row>
    <row r="5971" ht="15.0" hidden="1" customHeight="1">
      <c r="A5971" s="59">
        <f t="shared" si="20"/>
        <v>96</v>
      </c>
      <c r="B5971" s="59" t="str">
        <f t="shared" si="21"/>
        <v/>
      </c>
      <c r="C5971" s="59" t="str">
        <f t="shared" si="22"/>
        <v/>
      </c>
      <c r="D5971" s="45" t="str">
        <f t="shared" si="23"/>
        <v/>
      </c>
      <c r="E5971" s="45" t="str">
        <f t="shared" si="24"/>
        <v/>
      </c>
      <c r="F5971" s="59" t="str">
        <f t="shared" si="25"/>
        <v/>
      </c>
      <c r="G5971" s="59" t="str">
        <f t="shared" si="26"/>
        <v/>
      </c>
      <c r="H5971" s="59" t="str">
        <f t="shared" si="27"/>
        <v>28H01070</v>
      </c>
      <c r="I5971" s="59" t="str">
        <f>IF(OR($A5971="",$C5971="",$D5971="",$E5971="",$H5971=""),"",SUMIFS(DATA_GOC!$H:$H,DATA_GOC!$A:$A,"BOM",DATA_GOC!$D:$D,$H5971,DATA_GOC!$E:$E,$C5971,DATA_GOC!$F:$F,"Xuất nội bộ từ téc",DATA_GOC!$B:$B,"&gt;="&amp;$D5971,DATA_GOC!$B:$B,"&lt;="&amp;$E5971))</f>
        <v/>
      </c>
      <c r="J5971" s="59">
        <f t="shared" si="28"/>
        <v>0</v>
      </c>
      <c r="K5971" s="59">
        <f t="shared" si="29"/>
        <v>0</v>
      </c>
      <c r="L5971" s="59">
        <f t="shared" si="30"/>
        <v>0</v>
      </c>
      <c r="M5971" s="59">
        <f t="shared" si="31"/>
        <v>0</v>
      </c>
    </row>
    <row r="5972" ht="15.0" hidden="1" customHeight="1">
      <c r="A5972" s="59">
        <f t="shared" si="20"/>
        <v>96</v>
      </c>
      <c r="B5972" s="59" t="str">
        <f t="shared" si="21"/>
        <v/>
      </c>
      <c r="C5972" s="59" t="str">
        <f t="shared" si="22"/>
        <v/>
      </c>
      <c r="D5972" s="45" t="str">
        <f t="shared" si="23"/>
        <v/>
      </c>
      <c r="E5972" s="45" t="str">
        <f t="shared" si="24"/>
        <v/>
      </c>
      <c r="F5972" s="59" t="str">
        <f t="shared" si="25"/>
        <v/>
      </c>
      <c r="G5972" s="59" t="str">
        <f t="shared" si="26"/>
        <v/>
      </c>
      <c r="H5972" s="59" t="str">
        <f t="shared" si="27"/>
        <v>28H01364</v>
      </c>
      <c r="I5972" s="59" t="str">
        <f>IF(OR($A5972="",$C5972="",$D5972="",$E5972="",$H5972=""),"",SUMIFS(DATA_GOC!$H:$H,DATA_GOC!$A:$A,"BOM",DATA_GOC!$D:$D,$H5972,DATA_GOC!$E:$E,$C5972,DATA_GOC!$F:$F,"Xuất nội bộ từ téc",DATA_GOC!$B:$B,"&gt;="&amp;$D5972,DATA_GOC!$B:$B,"&lt;="&amp;$E5972))</f>
        <v/>
      </c>
      <c r="J5972" s="59">
        <f t="shared" si="28"/>
        <v>0</v>
      </c>
      <c r="K5972" s="59">
        <f t="shared" si="29"/>
        <v>0</v>
      </c>
      <c r="L5972" s="59">
        <f t="shared" si="30"/>
        <v>0</v>
      </c>
      <c r="M5972" s="59">
        <f t="shared" si="31"/>
        <v>0</v>
      </c>
    </row>
    <row r="5973" ht="15.0" hidden="1" customHeight="1">
      <c r="A5973" s="59">
        <f t="shared" si="20"/>
        <v>96</v>
      </c>
      <c r="B5973" s="59" t="str">
        <f t="shared" si="21"/>
        <v/>
      </c>
      <c r="C5973" s="59" t="str">
        <f t="shared" si="22"/>
        <v/>
      </c>
      <c r="D5973" s="45" t="str">
        <f t="shared" si="23"/>
        <v/>
      </c>
      <c r="E5973" s="45" t="str">
        <f t="shared" si="24"/>
        <v/>
      </c>
      <c r="F5973" s="59" t="str">
        <f t="shared" si="25"/>
        <v/>
      </c>
      <c r="G5973" s="59" t="str">
        <f t="shared" si="26"/>
        <v/>
      </c>
      <c r="H5973" s="59" t="str">
        <f t="shared" si="27"/>
        <v>29E17269</v>
      </c>
      <c r="I5973" s="59" t="str">
        <f>IF(OR($A5973="",$C5973="",$D5973="",$E5973="",$H5973=""),"",SUMIFS(DATA_GOC!$H:$H,DATA_GOC!$A:$A,"BOM",DATA_GOC!$D:$D,$H5973,DATA_GOC!$E:$E,$C5973,DATA_GOC!$F:$F,"Xuất nội bộ từ téc",DATA_GOC!$B:$B,"&gt;="&amp;$D5973,DATA_GOC!$B:$B,"&lt;="&amp;$E5973))</f>
        <v/>
      </c>
      <c r="J5973" s="59">
        <f t="shared" si="28"/>
        <v>0</v>
      </c>
      <c r="K5973" s="59">
        <f t="shared" si="29"/>
        <v>0</v>
      </c>
      <c r="L5973" s="59">
        <f t="shared" si="30"/>
        <v>0</v>
      </c>
      <c r="M5973" s="59">
        <f t="shared" si="31"/>
        <v>0</v>
      </c>
    </row>
    <row r="5974" ht="15.0" hidden="1" customHeight="1">
      <c r="A5974" s="59">
        <f t="shared" si="20"/>
        <v>96</v>
      </c>
      <c r="B5974" s="59" t="str">
        <f t="shared" si="21"/>
        <v/>
      </c>
      <c r="C5974" s="59" t="str">
        <f t="shared" si="22"/>
        <v/>
      </c>
      <c r="D5974" s="45" t="str">
        <f t="shared" si="23"/>
        <v/>
      </c>
      <c r="E5974" s="45" t="str">
        <f t="shared" si="24"/>
        <v/>
      </c>
      <c r="F5974" s="59" t="str">
        <f t="shared" si="25"/>
        <v/>
      </c>
      <c r="G5974" s="59" t="str">
        <f t="shared" si="26"/>
        <v/>
      </c>
      <c r="H5974" s="59" t="str">
        <f t="shared" si="27"/>
        <v>29E17273</v>
      </c>
      <c r="I5974" s="59" t="str">
        <f>IF(OR($A5974="",$C5974="",$D5974="",$E5974="",$H5974=""),"",SUMIFS(DATA_GOC!$H:$H,DATA_GOC!$A:$A,"BOM",DATA_GOC!$D:$D,$H5974,DATA_GOC!$E:$E,$C5974,DATA_GOC!$F:$F,"Xuất nội bộ từ téc",DATA_GOC!$B:$B,"&gt;="&amp;$D5974,DATA_GOC!$B:$B,"&lt;="&amp;$E5974))</f>
        <v/>
      </c>
      <c r="J5974" s="59">
        <f t="shared" si="28"/>
        <v>0</v>
      </c>
      <c r="K5974" s="59">
        <f t="shared" si="29"/>
        <v>0</v>
      </c>
      <c r="L5974" s="59">
        <f t="shared" si="30"/>
        <v>0</v>
      </c>
      <c r="M5974" s="59">
        <f t="shared" si="31"/>
        <v>0</v>
      </c>
    </row>
    <row r="5975" ht="15.0" hidden="1" customHeight="1">
      <c r="A5975" s="59">
        <f t="shared" si="20"/>
        <v>96</v>
      </c>
      <c r="B5975" s="59" t="str">
        <f t="shared" si="21"/>
        <v/>
      </c>
      <c r="C5975" s="59" t="str">
        <f t="shared" si="22"/>
        <v/>
      </c>
      <c r="D5975" s="45" t="str">
        <f t="shared" si="23"/>
        <v/>
      </c>
      <c r="E5975" s="45" t="str">
        <f t="shared" si="24"/>
        <v/>
      </c>
      <c r="F5975" s="59" t="str">
        <f t="shared" si="25"/>
        <v/>
      </c>
      <c r="G5975" s="59" t="str">
        <f t="shared" si="26"/>
        <v/>
      </c>
      <c r="H5975" s="59" t="str">
        <f t="shared" si="27"/>
        <v>29E17410</v>
      </c>
      <c r="I5975" s="59" t="str">
        <f>IF(OR($A5975="",$C5975="",$D5975="",$E5975="",$H5975=""),"",SUMIFS(DATA_GOC!$H:$H,DATA_GOC!$A:$A,"BOM",DATA_GOC!$D:$D,$H5975,DATA_GOC!$E:$E,$C5975,DATA_GOC!$F:$F,"Xuất nội bộ từ téc",DATA_GOC!$B:$B,"&gt;="&amp;$D5975,DATA_GOC!$B:$B,"&lt;="&amp;$E5975))</f>
        <v/>
      </c>
      <c r="J5975" s="59">
        <f t="shared" si="28"/>
        <v>0</v>
      </c>
      <c r="K5975" s="59">
        <f t="shared" si="29"/>
        <v>0</v>
      </c>
      <c r="L5975" s="59">
        <f t="shared" si="30"/>
        <v>0</v>
      </c>
      <c r="M5975" s="59">
        <f t="shared" si="31"/>
        <v>0</v>
      </c>
    </row>
    <row r="5976" ht="15.0" hidden="1" customHeight="1">
      <c r="A5976" s="59">
        <f t="shared" si="20"/>
        <v>96</v>
      </c>
      <c r="B5976" s="59" t="str">
        <f t="shared" si="21"/>
        <v/>
      </c>
      <c r="C5976" s="59" t="str">
        <f t="shared" si="22"/>
        <v/>
      </c>
      <c r="D5976" s="45" t="str">
        <f t="shared" si="23"/>
        <v/>
      </c>
      <c r="E5976" s="45" t="str">
        <f t="shared" si="24"/>
        <v/>
      </c>
      <c r="F5976" s="59" t="str">
        <f t="shared" si="25"/>
        <v/>
      </c>
      <c r="G5976" s="59" t="str">
        <f t="shared" si="26"/>
        <v/>
      </c>
      <c r="H5976" s="59" t="str">
        <f t="shared" si="27"/>
        <v>29E17417</v>
      </c>
      <c r="I5976" s="59" t="str">
        <f>IF(OR($A5976="",$C5976="",$D5976="",$E5976="",$H5976=""),"",SUMIFS(DATA_GOC!$H:$H,DATA_GOC!$A:$A,"BOM",DATA_GOC!$D:$D,$H5976,DATA_GOC!$E:$E,$C5976,DATA_GOC!$F:$F,"Xuất nội bộ từ téc",DATA_GOC!$B:$B,"&gt;="&amp;$D5976,DATA_GOC!$B:$B,"&lt;="&amp;$E5976))</f>
        <v/>
      </c>
      <c r="J5976" s="59">
        <f t="shared" si="28"/>
        <v>0</v>
      </c>
      <c r="K5976" s="59">
        <f t="shared" si="29"/>
        <v>0</v>
      </c>
      <c r="L5976" s="59">
        <f t="shared" si="30"/>
        <v>0</v>
      </c>
      <c r="M5976" s="59">
        <f t="shared" si="31"/>
        <v>0</v>
      </c>
    </row>
    <row r="5977" ht="15.0" hidden="1" customHeight="1">
      <c r="A5977" s="59">
        <f t="shared" si="20"/>
        <v>96</v>
      </c>
      <c r="B5977" s="59" t="str">
        <f t="shared" si="21"/>
        <v/>
      </c>
      <c r="C5977" s="59" t="str">
        <f t="shared" si="22"/>
        <v/>
      </c>
      <c r="D5977" s="45" t="str">
        <f t="shared" si="23"/>
        <v/>
      </c>
      <c r="E5977" s="45" t="str">
        <f t="shared" si="24"/>
        <v/>
      </c>
      <c r="F5977" s="59" t="str">
        <f t="shared" si="25"/>
        <v/>
      </c>
      <c r="G5977" s="59" t="str">
        <f t="shared" si="26"/>
        <v/>
      </c>
      <c r="H5977" s="59" t="str">
        <f t="shared" si="27"/>
        <v>29E17539</v>
      </c>
      <c r="I5977" s="59" t="str">
        <f>IF(OR($A5977="",$C5977="",$D5977="",$E5977="",$H5977=""),"",SUMIFS(DATA_GOC!$H:$H,DATA_GOC!$A:$A,"BOM",DATA_GOC!$D:$D,$H5977,DATA_GOC!$E:$E,$C5977,DATA_GOC!$F:$F,"Xuất nội bộ từ téc",DATA_GOC!$B:$B,"&gt;="&amp;$D5977,DATA_GOC!$B:$B,"&lt;="&amp;$E5977))</f>
        <v/>
      </c>
      <c r="J5977" s="59">
        <f t="shared" si="28"/>
        <v>0</v>
      </c>
      <c r="K5977" s="59">
        <f t="shared" si="29"/>
        <v>0</v>
      </c>
      <c r="L5977" s="59">
        <f t="shared" si="30"/>
        <v>0</v>
      </c>
      <c r="M5977" s="59">
        <f t="shared" si="31"/>
        <v>0</v>
      </c>
    </row>
    <row r="5978" ht="15.0" hidden="1" customHeight="1">
      <c r="A5978" s="59">
        <f t="shared" si="20"/>
        <v>96</v>
      </c>
      <c r="B5978" s="59" t="str">
        <f t="shared" si="21"/>
        <v/>
      </c>
      <c r="C5978" s="59" t="str">
        <f t="shared" si="22"/>
        <v/>
      </c>
      <c r="D5978" s="45" t="str">
        <f t="shared" si="23"/>
        <v/>
      </c>
      <c r="E5978" s="45" t="str">
        <f t="shared" si="24"/>
        <v/>
      </c>
      <c r="F5978" s="59" t="str">
        <f t="shared" si="25"/>
        <v/>
      </c>
      <c r="G5978" s="59" t="str">
        <f t="shared" si="26"/>
        <v/>
      </c>
      <c r="H5978" s="59" t="str">
        <f t="shared" si="27"/>
        <v>29E18160</v>
      </c>
      <c r="I5978" s="59" t="str">
        <f>IF(OR($A5978="",$C5978="",$D5978="",$E5978="",$H5978=""),"",SUMIFS(DATA_GOC!$H:$H,DATA_GOC!$A:$A,"BOM",DATA_GOC!$D:$D,$H5978,DATA_GOC!$E:$E,$C5978,DATA_GOC!$F:$F,"Xuất nội bộ từ téc",DATA_GOC!$B:$B,"&gt;="&amp;$D5978,DATA_GOC!$B:$B,"&lt;="&amp;$E5978))</f>
        <v/>
      </c>
      <c r="J5978" s="59">
        <f t="shared" si="28"/>
        <v>0</v>
      </c>
      <c r="K5978" s="59">
        <f t="shared" si="29"/>
        <v>0</v>
      </c>
      <c r="L5978" s="59">
        <f t="shared" si="30"/>
        <v>0</v>
      </c>
      <c r="M5978" s="59">
        <f t="shared" si="31"/>
        <v>0</v>
      </c>
    </row>
    <row r="5979" ht="15.0" hidden="1" customHeight="1">
      <c r="A5979" s="59">
        <f t="shared" si="20"/>
        <v>96</v>
      </c>
      <c r="B5979" s="59" t="str">
        <f t="shared" si="21"/>
        <v/>
      </c>
      <c r="C5979" s="59" t="str">
        <f t="shared" si="22"/>
        <v/>
      </c>
      <c r="D5979" s="45" t="str">
        <f t="shared" si="23"/>
        <v/>
      </c>
      <c r="E5979" s="45" t="str">
        <f t="shared" si="24"/>
        <v/>
      </c>
      <c r="F5979" s="59" t="str">
        <f t="shared" si="25"/>
        <v/>
      </c>
      <c r="G5979" s="59" t="str">
        <f t="shared" si="26"/>
        <v/>
      </c>
      <c r="H5979" s="59" t="str">
        <f t="shared" si="27"/>
        <v>Công trình Asphalt</v>
      </c>
      <c r="I5979" s="59" t="str">
        <f>IF(OR($A5979="",$C5979="",$D5979="",$E5979="",$H5979=""),"",SUMIFS(DATA_GOC!$H:$H,DATA_GOC!$A:$A,"BOM",DATA_GOC!$D:$D,$H5979,DATA_GOC!$E:$E,$C5979,DATA_GOC!$F:$F,"Xuất nội bộ từ téc",DATA_GOC!$B:$B,"&gt;="&amp;$D5979,DATA_GOC!$B:$B,"&lt;="&amp;$E5979))</f>
        <v/>
      </c>
      <c r="J5979" s="59">
        <f t="shared" si="28"/>
        <v>0</v>
      </c>
      <c r="K5979" s="59">
        <f t="shared" si="29"/>
        <v>0</v>
      </c>
      <c r="L5979" s="59">
        <f t="shared" si="30"/>
        <v>0</v>
      </c>
      <c r="M5979" s="59">
        <f t="shared" si="31"/>
        <v>0</v>
      </c>
    </row>
    <row r="5980" ht="15.0" hidden="1" customHeight="1">
      <c r="A5980" s="59">
        <f t="shared" si="20"/>
        <v>96</v>
      </c>
      <c r="B5980" s="59" t="str">
        <f t="shared" si="21"/>
        <v/>
      </c>
      <c r="C5980" s="59" t="str">
        <f t="shared" si="22"/>
        <v/>
      </c>
      <c r="D5980" s="45" t="str">
        <f t="shared" si="23"/>
        <v/>
      </c>
      <c r="E5980" s="45" t="str">
        <f t="shared" si="24"/>
        <v/>
      </c>
      <c r="F5980" s="59" t="str">
        <f t="shared" si="25"/>
        <v/>
      </c>
      <c r="G5980" s="59" t="str">
        <f t="shared" si="26"/>
        <v/>
      </c>
      <c r="H5980" s="59" t="str">
        <f t="shared" si="27"/>
        <v>LG53F</v>
      </c>
      <c r="I5980" s="59" t="str">
        <f>IF(OR($A5980="",$C5980="",$D5980="",$E5980="",$H5980=""),"",SUMIFS(DATA_GOC!$H:$H,DATA_GOC!$A:$A,"BOM",DATA_GOC!$D:$D,$H5980,DATA_GOC!$E:$E,$C5980,DATA_GOC!$F:$F,"Xuất nội bộ từ téc",DATA_GOC!$B:$B,"&gt;="&amp;$D5980,DATA_GOC!$B:$B,"&lt;="&amp;$E5980))</f>
        <v/>
      </c>
      <c r="J5980" s="59">
        <f t="shared" si="28"/>
        <v>0</v>
      </c>
      <c r="K5980" s="59">
        <f t="shared" si="29"/>
        <v>0</v>
      </c>
      <c r="L5980" s="59">
        <f t="shared" si="30"/>
        <v>0</v>
      </c>
      <c r="M5980" s="59">
        <f t="shared" si="31"/>
        <v>0</v>
      </c>
    </row>
    <row r="5981" ht="15.0" hidden="1" customHeight="1">
      <c r="A5981" s="59">
        <f t="shared" si="20"/>
        <v>96</v>
      </c>
      <c r="B5981" s="59" t="str">
        <f t="shared" si="21"/>
        <v/>
      </c>
      <c r="C5981" s="59" t="str">
        <f t="shared" si="22"/>
        <v/>
      </c>
      <c r="D5981" s="45" t="str">
        <f t="shared" si="23"/>
        <v/>
      </c>
      <c r="E5981" s="45" t="str">
        <f t="shared" si="24"/>
        <v/>
      </c>
      <c r="F5981" s="59" t="str">
        <f t="shared" si="25"/>
        <v/>
      </c>
      <c r="G5981" s="59" t="str">
        <f t="shared" si="26"/>
        <v/>
      </c>
      <c r="H5981" s="59" t="str">
        <f t="shared" si="27"/>
        <v>Máy phát điện</v>
      </c>
      <c r="I5981" s="59" t="str">
        <f>IF(OR($A5981="",$C5981="",$D5981="",$E5981="",$H5981=""),"",SUMIFS(DATA_GOC!$H:$H,DATA_GOC!$A:$A,"BOM",DATA_GOC!$D:$D,$H5981,DATA_GOC!$E:$E,$C5981,DATA_GOC!$F:$F,"Xuất nội bộ từ téc",DATA_GOC!$B:$B,"&gt;="&amp;$D5981,DATA_GOC!$B:$B,"&lt;="&amp;$E5981))</f>
        <v/>
      </c>
      <c r="J5981" s="59">
        <f t="shared" si="28"/>
        <v>0</v>
      </c>
      <c r="K5981" s="59">
        <f t="shared" si="29"/>
        <v>0</v>
      </c>
      <c r="L5981" s="59">
        <f t="shared" si="30"/>
        <v>0</v>
      </c>
      <c r="M5981" s="59">
        <f t="shared" si="31"/>
        <v>0</v>
      </c>
    </row>
    <row r="5982" ht="15.0" hidden="1" customHeight="1">
      <c r="A5982" s="59">
        <f t="shared" si="20"/>
        <v>96</v>
      </c>
      <c r="B5982" s="59" t="str">
        <f t="shared" si="21"/>
        <v/>
      </c>
      <c r="C5982" s="59" t="str">
        <f t="shared" si="22"/>
        <v/>
      </c>
      <c r="D5982" s="45" t="str">
        <f t="shared" si="23"/>
        <v/>
      </c>
      <c r="E5982" s="45" t="str">
        <f t="shared" si="24"/>
        <v/>
      </c>
      <c r="F5982" s="59" t="str">
        <f t="shared" si="25"/>
        <v/>
      </c>
      <c r="G5982" s="59" t="str">
        <f t="shared" si="26"/>
        <v/>
      </c>
      <c r="H5982" s="59" t="str">
        <f t="shared" si="27"/>
        <v>Máy rải thảm</v>
      </c>
      <c r="I5982" s="59" t="str">
        <f>IF(OR($A5982="",$C5982="",$D5982="",$E5982="",$H5982=""),"",SUMIFS(DATA_GOC!$H:$H,DATA_GOC!$A:$A,"BOM",DATA_GOC!$D:$D,$H5982,DATA_GOC!$E:$E,$C5982,DATA_GOC!$F:$F,"Xuất nội bộ từ téc",DATA_GOC!$B:$B,"&gt;="&amp;$D5982,DATA_GOC!$B:$B,"&lt;="&amp;$E5982))</f>
        <v/>
      </c>
      <c r="J5982" s="59">
        <f t="shared" si="28"/>
        <v>0</v>
      </c>
      <c r="K5982" s="59">
        <f t="shared" si="29"/>
        <v>0</v>
      </c>
      <c r="L5982" s="59">
        <f t="shared" si="30"/>
        <v>0</v>
      </c>
      <c r="M5982" s="59">
        <f t="shared" si="31"/>
        <v>0</v>
      </c>
    </row>
    <row r="5983" ht="15.0" hidden="1" customHeight="1">
      <c r="A5983" s="59">
        <f t="shared" si="20"/>
        <v>96</v>
      </c>
      <c r="B5983" s="59" t="str">
        <f t="shared" si="21"/>
        <v/>
      </c>
      <c r="C5983" s="59" t="str">
        <f t="shared" si="22"/>
        <v/>
      </c>
      <c r="D5983" s="45" t="str">
        <f t="shared" si="23"/>
        <v/>
      </c>
      <c r="E5983" s="45" t="str">
        <f t="shared" si="24"/>
        <v/>
      </c>
      <c r="F5983" s="59" t="str">
        <f t="shared" si="25"/>
        <v/>
      </c>
      <c r="G5983" s="59" t="str">
        <f t="shared" si="26"/>
        <v/>
      </c>
      <c r="H5983" s="59" t="str">
        <f t="shared" si="27"/>
        <v>Xúc Đào</v>
      </c>
      <c r="I5983" s="59" t="str">
        <f>IF(OR($A5983="",$C5983="",$D5983="",$E5983="",$H5983=""),"",SUMIFS(DATA_GOC!$H:$H,DATA_GOC!$A:$A,"BOM",DATA_GOC!$D:$D,$H5983,DATA_GOC!$E:$E,$C5983,DATA_GOC!$F:$F,"Xuất nội bộ từ téc",DATA_GOC!$B:$B,"&gt;="&amp;$D5983,DATA_GOC!$B:$B,"&lt;="&amp;$E5983))</f>
        <v/>
      </c>
      <c r="J5983" s="59">
        <f t="shared" si="28"/>
        <v>0</v>
      </c>
      <c r="K5983" s="59">
        <f t="shared" si="29"/>
        <v>0</v>
      </c>
      <c r="L5983" s="59">
        <f t="shared" si="30"/>
        <v>0</v>
      </c>
      <c r="M5983" s="59">
        <f t="shared" si="31"/>
        <v>0</v>
      </c>
    </row>
    <row r="5984" ht="15.0" hidden="1" customHeight="1">
      <c r="A5984" s="59">
        <f t="shared" si="20"/>
        <v>96</v>
      </c>
      <c r="B5984" s="59" t="str">
        <f t="shared" si="21"/>
        <v/>
      </c>
      <c r="C5984" s="59" t="str">
        <f t="shared" si="22"/>
        <v/>
      </c>
      <c r="D5984" s="45" t="str">
        <f t="shared" si="23"/>
        <v/>
      </c>
      <c r="E5984" s="45" t="str">
        <f t="shared" si="24"/>
        <v/>
      </c>
      <c r="F5984" s="59" t="str">
        <f t="shared" si="25"/>
        <v/>
      </c>
      <c r="G5984" s="59" t="str">
        <f t="shared" si="26"/>
        <v/>
      </c>
      <c r="H5984" s="59" t="str">
        <f t="shared" si="27"/>
        <v>Xúclật asphalt</v>
      </c>
      <c r="I5984" s="59" t="str">
        <f>IF(OR($A5984="",$C5984="",$D5984="",$E5984="",$H5984=""),"",SUMIFS(DATA_GOC!$H:$H,DATA_GOC!$A:$A,"BOM",DATA_GOC!$D:$D,$H5984,DATA_GOC!$E:$E,$C5984,DATA_GOC!$F:$F,"Xuất nội bộ từ téc",DATA_GOC!$B:$B,"&gt;="&amp;$D5984,DATA_GOC!$B:$B,"&lt;="&amp;$E5984))</f>
        <v/>
      </c>
      <c r="J5984" s="59">
        <f t="shared" si="28"/>
        <v>0</v>
      </c>
      <c r="K5984" s="59">
        <f t="shared" si="29"/>
        <v>0</v>
      </c>
      <c r="L5984" s="59">
        <f t="shared" si="30"/>
        <v>0</v>
      </c>
      <c r="M5984" s="59">
        <f t="shared" si="31"/>
        <v>0</v>
      </c>
    </row>
    <row r="5985" ht="15.0" hidden="1" customHeight="1">
      <c r="A5985" s="59">
        <f t="shared" si="20"/>
        <v>96</v>
      </c>
      <c r="B5985" s="59" t="str">
        <f t="shared" si="21"/>
        <v/>
      </c>
      <c r="C5985" s="59" t="str">
        <f t="shared" si="22"/>
        <v/>
      </c>
      <c r="D5985" s="45" t="str">
        <f t="shared" si="23"/>
        <v/>
      </c>
      <c r="E5985" s="45" t="str">
        <f t="shared" si="24"/>
        <v/>
      </c>
      <c r="F5985" s="59" t="str">
        <f t="shared" si="25"/>
        <v/>
      </c>
      <c r="G5985" s="59" t="str">
        <f t="shared" si="26"/>
        <v/>
      </c>
      <c r="H5985" s="59" t="str">
        <f t="shared" si="27"/>
        <v>Xúclật855H</v>
      </c>
      <c r="I5985" s="59" t="str">
        <f>IF(OR($A5985="",$C5985="",$D5985="",$E5985="",$H5985=""),"",SUMIFS(DATA_GOC!$H:$H,DATA_GOC!$A:$A,"BOM",DATA_GOC!$D:$D,$H5985,DATA_GOC!$E:$E,$C5985,DATA_GOC!$F:$F,"Xuất nội bộ từ téc",DATA_GOC!$B:$B,"&gt;="&amp;$D5985,DATA_GOC!$B:$B,"&lt;="&amp;$E5985))</f>
        <v/>
      </c>
      <c r="J5985" s="59">
        <f t="shared" si="28"/>
        <v>0</v>
      </c>
      <c r="K5985" s="59">
        <f t="shared" si="29"/>
        <v>0</v>
      </c>
      <c r="L5985" s="59">
        <f t="shared" si="30"/>
        <v>0</v>
      </c>
      <c r="M5985" s="59">
        <f t="shared" si="31"/>
        <v>0</v>
      </c>
    </row>
    <row r="5986" ht="15.0" hidden="1" customHeight="1">
      <c r="A5986" s="59">
        <f t="shared" si="20"/>
        <v>96</v>
      </c>
      <c r="B5986" s="59" t="str">
        <f t="shared" si="21"/>
        <v/>
      </c>
      <c r="C5986" s="59" t="str">
        <f t="shared" si="22"/>
        <v/>
      </c>
      <c r="D5986" s="45" t="str">
        <f t="shared" si="23"/>
        <v/>
      </c>
      <c r="E5986" s="45" t="str">
        <f t="shared" si="24"/>
        <v/>
      </c>
      <c r="F5986" s="59" t="str">
        <f t="shared" si="25"/>
        <v/>
      </c>
      <c r="G5986" s="59" t="str">
        <f t="shared" si="26"/>
        <v/>
      </c>
      <c r="H5986" s="59" t="str">
        <f t="shared" si="27"/>
        <v>Xúclật855N</v>
      </c>
      <c r="I5986" s="59" t="str">
        <f>IF(OR($A5986="",$C5986="",$D5986="",$E5986="",$H5986=""),"",SUMIFS(DATA_GOC!$H:$H,DATA_GOC!$A:$A,"BOM",DATA_GOC!$D:$D,$H5986,DATA_GOC!$E:$E,$C5986,DATA_GOC!$F:$F,"Xuất nội bộ từ téc",DATA_GOC!$B:$B,"&gt;="&amp;$D5986,DATA_GOC!$B:$B,"&lt;="&amp;$E5986))</f>
        <v/>
      </c>
      <c r="J5986" s="59">
        <f t="shared" si="28"/>
        <v>0</v>
      </c>
      <c r="K5986" s="59">
        <f t="shared" si="29"/>
        <v>0</v>
      </c>
      <c r="L5986" s="59">
        <f t="shared" si="30"/>
        <v>0</v>
      </c>
      <c r="M5986" s="59">
        <f t="shared" si="31"/>
        <v>0</v>
      </c>
    </row>
    <row r="5987" ht="15.0" hidden="1" customHeight="1">
      <c r="A5987" s="59">
        <f t="shared" si="20"/>
        <v>96</v>
      </c>
      <c r="B5987" s="59" t="str">
        <f t="shared" si="21"/>
        <v/>
      </c>
      <c r="C5987" s="59" t="str">
        <f t="shared" si="22"/>
        <v/>
      </c>
      <c r="D5987" s="45" t="str">
        <f t="shared" si="23"/>
        <v/>
      </c>
      <c r="E5987" s="45" t="str">
        <f t="shared" si="24"/>
        <v/>
      </c>
      <c r="F5987" s="59" t="str">
        <f t="shared" si="25"/>
        <v/>
      </c>
      <c r="G5987" s="59" t="str">
        <f t="shared" si="26"/>
        <v/>
      </c>
      <c r="H5987" s="59" t="str">
        <f t="shared" si="27"/>
        <v>Cát nghiền</v>
      </c>
      <c r="I5987" s="59" t="str">
        <f>IF(OR($A5987="",$C5987="",$D5987="",$E5987="",$H5987=""),"",SUMIFS(DATA_GOC!$H:$H,DATA_GOC!$A:$A,"BOM",DATA_GOC!$D:$D,$H5987,DATA_GOC!$E:$E,$C5987,DATA_GOC!$F:$F,"Xuất nội bộ từ téc",DATA_GOC!$B:$B,"&gt;="&amp;$D5987,DATA_GOC!$B:$B,"&lt;="&amp;$E5987))</f>
        <v/>
      </c>
      <c r="J5987" s="59">
        <f t="shared" si="28"/>
        <v>0</v>
      </c>
      <c r="K5987" s="59">
        <f t="shared" si="29"/>
        <v>0</v>
      </c>
      <c r="L5987" s="59">
        <f t="shared" si="30"/>
        <v>0</v>
      </c>
      <c r="M5987" s="59">
        <f t="shared" si="31"/>
        <v>0</v>
      </c>
    </row>
    <row r="5988" ht="15.0" hidden="1" customHeight="1">
      <c r="A5988" s="59">
        <f t="shared" si="20"/>
        <v>96</v>
      </c>
      <c r="B5988" s="59" t="str">
        <f t="shared" si="21"/>
        <v/>
      </c>
      <c r="C5988" s="59" t="str">
        <f t="shared" si="22"/>
        <v/>
      </c>
      <c r="D5988" s="45" t="str">
        <f t="shared" si="23"/>
        <v/>
      </c>
      <c r="E5988" s="45" t="str">
        <f t="shared" si="24"/>
        <v/>
      </c>
      <c r="F5988" s="59" t="str">
        <f t="shared" si="25"/>
        <v/>
      </c>
      <c r="G5988" s="59" t="str">
        <f t="shared" si="26"/>
        <v/>
      </c>
      <c r="H5988" s="59" t="str">
        <f t="shared" si="27"/>
        <v>28C02973</v>
      </c>
      <c r="I5988" s="59" t="str">
        <f>IF(OR($A5988="",$C5988="",$D5988="",$E5988="",$H5988=""),"",SUMIFS(DATA_GOC!$H:$H,DATA_GOC!$A:$A,"BOM",DATA_GOC!$D:$D,$H5988,DATA_GOC!$E:$E,$C5988,DATA_GOC!$F:$F,"Xuất nội bộ từ téc",DATA_GOC!$B:$B,"&gt;="&amp;$D5988,DATA_GOC!$B:$B,"&lt;="&amp;$E5988))</f>
        <v/>
      </c>
      <c r="J5988" s="59">
        <f t="shared" si="28"/>
        <v>0</v>
      </c>
      <c r="K5988" s="59">
        <f t="shared" si="29"/>
        <v>0</v>
      </c>
      <c r="L5988" s="59">
        <f t="shared" si="30"/>
        <v>0</v>
      </c>
      <c r="M5988" s="59">
        <f t="shared" si="31"/>
        <v>0</v>
      </c>
    </row>
    <row r="5989" ht="15.0" hidden="1" customHeight="1">
      <c r="A5989" s="59">
        <f t="shared" si="20"/>
        <v>96</v>
      </c>
      <c r="B5989" s="59" t="str">
        <f t="shared" si="21"/>
        <v/>
      </c>
      <c r="C5989" s="59" t="str">
        <f t="shared" si="22"/>
        <v/>
      </c>
      <c r="D5989" s="45" t="str">
        <f t="shared" si="23"/>
        <v/>
      </c>
      <c r="E5989" s="45" t="str">
        <f t="shared" si="24"/>
        <v/>
      </c>
      <c r="F5989" s="59" t="str">
        <f t="shared" si="25"/>
        <v/>
      </c>
      <c r="G5989" s="59" t="str">
        <f t="shared" si="26"/>
        <v/>
      </c>
      <c r="H5989" s="59" t="str">
        <f t="shared" si="27"/>
        <v>28C03044</v>
      </c>
      <c r="I5989" s="59" t="str">
        <f>IF(OR($A5989="",$C5989="",$D5989="",$E5989="",$H5989=""),"",SUMIFS(DATA_GOC!$H:$H,DATA_GOC!$A:$A,"BOM",DATA_GOC!$D:$D,$H5989,DATA_GOC!$E:$E,$C5989,DATA_GOC!$F:$F,"Xuất nội bộ từ téc",DATA_GOC!$B:$B,"&gt;="&amp;$D5989,DATA_GOC!$B:$B,"&lt;="&amp;$E5989))</f>
        <v/>
      </c>
      <c r="J5989" s="59">
        <f t="shared" si="28"/>
        <v>0</v>
      </c>
      <c r="K5989" s="59">
        <f t="shared" si="29"/>
        <v>0</v>
      </c>
      <c r="L5989" s="59">
        <f t="shared" si="30"/>
        <v>0</v>
      </c>
      <c r="M5989" s="59">
        <f t="shared" si="31"/>
        <v>0</v>
      </c>
    </row>
    <row r="5990" ht="15.0" hidden="1" customHeight="1">
      <c r="A5990" s="59">
        <f t="shared" si="20"/>
        <v>96</v>
      </c>
      <c r="B5990" s="59" t="str">
        <f t="shared" si="21"/>
        <v/>
      </c>
      <c r="C5990" s="59" t="str">
        <f t="shared" si="22"/>
        <v/>
      </c>
      <c r="D5990" s="45" t="str">
        <f t="shared" si="23"/>
        <v/>
      </c>
      <c r="E5990" s="45" t="str">
        <f t="shared" si="24"/>
        <v/>
      </c>
      <c r="F5990" s="59" t="str">
        <f t="shared" si="25"/>
        <v/>
      </c>
      <c r="G5990" s="59" t="str">
        <f t="shared" si="26"/>
        <v/>
      </c>
      <c r="H5990" s="59" t="str">
        <f t="shared" si="27"/>
        <v>Máy lu lốp</v>
      </c>
      <c r="I5990" s="59" t="str">
        <f>IF(OR($A5990="",$C5990="",$D5990="",$E5990="",$H5990=""),"",SUMIFS(DATA_GOC!$H:$H,DATA_GOC!$A:$A,"BOM",DATA_GOC!$D:$D,$H5990,DATA_GOC!$E:$E,$C5990,DATA_GOC!$F:$F,"Xuất nội bộ từ téc",DATA_GOC!$B:$B,"&gt;="&amp;$D5990,DATA_GOC!$B:$B,"&lt;="&amp;$E5990))</f>
        <v/>
      </c>
      <c r="J5990" s="59">
        <f t="shared" si="28"/>
        <v>0</v>
      </c>
      <c r="K5990" s="59">
        <f t="shared" si="29"/>
        <v>0</v>
      </c>
      <c r="L5990" s="59">
        <f t="shared" si="30"/>
        <v>0</v>
      </c>
      <c r="M5990" s="59">
        <f t="shared" si="31"/>
        <v>0</v>
      </c>
    </row>
    <row r="5991" ht="15.0" hidden="1" customHeight="1">
      <c r="A5991" s="59">
        <f t="shared" si="20"/>
        <v>96</v>
      </c>
      <c r="B5991" s="59" t="str">
        <f t="shared" si="21"/>
        <v/>
      </c>
      <c r="C5991" s="59" t="str">
        <f t="shared" si="22"/>
        <v/>
      </c>
      <c r="D5991" s="45" t="str">
        <f t="shared" si="23"/>
        <v/>
      </c>
      <c r="E5991" s="45" t="str">
        <f t="shared" si="24"/>
        <v/>
      </c>
      <c r="F5991" s="59" t="str">
        <f t="shared" si="25"/>
        <v/>
      </c>
      <c r="G5991" s="59" t="str">
        <f t="shared" si="26"/>
        <v/>
      </c>
      <c r="H5991" s="59" t="str">
        <f t="shared" si="27"/>
        <v>Xe 600148</v>
      </c>
      <c r="I5991" s="59" t="str">
        <f>IF(OR($A5991="",$C5991="",$D5991="",$E5991="",$H5991=""),"",SUMIFS(DATA_GOC!$H:$H,DATA_GOC!$A:$A,"BOM",DATA_GOC!$D:$D,$H5991,DATA_GOC!$E:$E,$C5991,DATA_GOC!$F:$F,"Xuất nội bộ từ téc",DATA_GOC!$B:$B,"&gt;="&amp;$D5991,DATA_GOC!$B:$B,"&lt;="&amp;$E5991))</f>
        <v/>
      </c>
      <c r="J5991" s="59">
        <f t="shared" si="28"/>
        <v>0</v>
      </c>
      <c r="K5991" s="59">
        <f t="shared" si="29"/>
        <v>0</v>
      </c>
      <c r="L5991" s="59">
        <f t="shared" si="30"/>
        <v>0</v>
      </c>
      <c r="M5991" s="59">
        <f t="shared" si="31"/>
        <v>0</v>
      </c>
    </row>
    <row r="5992" ht="15.0" hidden="1" customHeight="1">
      <c r="A5992" s="59">
        <f t="shared" si="20"/>
        <v>96</v>
      </c>
      <c r="B5992" s="59" t="str">
        <f t="shared" si="21"/>
        <v/>
      </c>
      <c r="C5992" s="59" t="str">
        <f t="shared" si="22"/>
        <v/>
      </c>
      <c r="D5992" s="45" t="str">
        <f t="shared" si="23"/>
        <v/>
      </c>
      <c r="E5992" s="45" t="str">
        <f t="shared" si="24"/>
        <v/>
      </c>
      <c r="F5992" s="59" t="str">
        <f t="shared" si="25"/>
        <v/>
      </c>
      <c r="G5992" s="59" t="str">
        <f t="shared" si="26"/>
        <v/>
      </c>
      <c r="H5992" s="59" t="str">
        <f t="shared" si="27"/>
        <v>Xe ben mới</v>
      </c>
      <c r="I5992" s="59" t="str">
        <f>IF(OR($A5992="",$C5992="",$D5992="",$E5992="",$H5992=""),"",SUMIFS(DATA_GOC!$H:$H,DATA_GOC!$A:$A,"BOM",DATA_GOC!$D:$D,$H5992,DATA_GOC!$E:$E,$C5992,DATA_GOC!$F:$F,"Xuất nội bộ từ téc",DATA_GOC!$B:$B,"&gt;="&amp;$D5992,DATA_GOC!$B:$B,"&lt;="&amp;$E5992))</f>
        <v/>
      </c>
      <c r="J5992" s="59">
        <f t="shared" si="28"/>
        <v>0</v>
      </c>
      <c r="K5992" s="59">
        <f t="shared" si="29"/>
        <v>0</v>
      </c>
      <c r="L5992" s="59">
        <f t="shared" si="30"/>
        <v>0</v>
      </c>
      <c r="M5992" s="59">
        <f t="shared" si="31"/>
        <v>0</v>
      </c>
    </row>
    <row r="5993" ht="15.0" hidden="1" customHeight="1">
      <c r="A5993" s="59">
        <f t="shared" si="20"/>
        <v>97</v>
      </c>
      <c r="B5993" s="59" t="str">
        <f t="shared" si="21"/>
        <v/>
      </c>
      <c r="C5993" s="59" t="str">
        <f t="shared" si="22"/>
        <v/>
      </c>
      <c r="D5993" s="45" t="str">
        <f t="shared" si="23"/>
        <v/>
      </c>
      <c r="E5993" s="45" t="str">
        <f t="shared" si="24"/>
        <v/>
      </c>
      <c r="F5993" s="59" t="str">
        <f t="shared" si="25"/>
        <v/>
      </c>
      <c r="G5993" s="59" t="str">
        <f t="shared" si="26"/>
        <v/>
      </c>
      <c r="H5993" s="59" t="str">
        <f t="shared" si="27"/>
        <v>19H09482</v>
      </c>
      <c r="I5993" s="59" t="str">
        <f>IF(OR($A5993="",$C5993="",$D5993="",$E5993="",$H5993=""),"",SUMIFS(DATA_GOC!$H:$H,DATA_GOC!$A:$A,"BOM",DATA_GOC!$D:$D,$H5993,DATA_GOC!$E:$E,$C5993,DATA_GOC!$F:$F,"Xuất nội bộ từ téc",DATA_GOC!$B:$B,"&gt;="&amp;$D5993,DATA_GOC!$B:$B,"&lt;="&amp;$E5993))</f>
        <v/>
      </c>
      <c r="J5993" s="59">
        <f t="shared" si="28"/>
        <v>0</v>
      </c>
      <c r="K5993" s="59">
        <f t="shared" si="29"/>
        <v>0</v>
      </c>
      <c r="L5993" s="59">
        <f t="shared" si="30"/>
        <v>0</v>
      </c>
      <c r="M5993" s="59">
        <f t="shared" si="31"/>
        <v>0</v>
      </c>
    </row>
    <row r="5994" ht="15.0" hidden="1" customHeight="1">
      <c r="A5994" s="59">
        <f t="shared" si="20"/>
        <v>97</v>
      </c>
      <c r="B5994" s="59" t="str">
        <f t="shared" si="21"/>
        <v/>
      </c>
      <c r="C5994" s="59" t="str">
        <f t="shared" si="22"/>
        <v/>
      </c>
      <c r="D5994" s="45" t="str">
        <f t="shared" si="23"/>
        <v/>
      </c>
      <c r="E5994" s="45" t="str">
        <f t="shared" si="24"/>
        <v/>
      </c>
      <c r="F5994" s="59" t="str">
        <f t="shared" si="25"/>
        <v/>
      </c>
      <c r="G5994" s="59" t="str">
        <f t="shared" si="26"/>
        <v/>
      </c>
      <c r="H5994" s="59" t="str">
        <f t="shared" si="27"/>
        <v>28A30696</v>
      </c>
      <c r="I5994" s="59" t="str">
        <f>IF(OR($A5994="",$C5994="",$D5994="",$E5994="",$H5994=""),"",SUMIFS(DATA_GOC!$H:$H,DATA_GOC!$A:$A,"BOM",DATA_GOC!$D:$D,$H5994,DATA_GOC!$E:$E,$C5994,DATA_GOC!$F:$F,"Xuất nội bộ từ téc",DATA_GOC!$B:$B,"&gt;="&amp;$D5994,DATA_GOC!$B:$B,"&lt;="&amp;$E5994))</f>
        <v/>
      </c>
      <c r="J5994" s="59">
        <f t="shared" si="28"/>
        <v>0</v>
      </c>
      <c r="K5994" s="59">
        <f t="shared" si="29"/>
        <v>0</v>
      </c>
      <c r="L5994" s="59">
        <f t="shared" si="30"/>
        <v>0</v>
      </c>
      <c r="M5994" s="59">
        <f t="shared" si="31"/>
        <v>0</v>
      </c>
    </row>
    <row r="5995" ht="15.0" hidden="1" customHeight="1">
      <c r="A5995" s="59">
        <f t="shared" si="20"/>
        <v>97</v>
      </c>
      <c r="B5995" s="59" t="str">
        <f t="shared" si="21"/>
        <v/>
      </c>
      <c r="C5995" s="59" t="str">
        <f t="shared" si="22"/>
        <v/>
      </c>
      <c r="D5995" s="45" t="str">
        <f t="shared" si="23"/>
        <v/>
      </c>
      <c r="E5995" s="45" t="str">
        <f t="shared" si="24"/>
        <v/>
      </c>
      <c r="F5995" s="59" t="str">
        <f t="shared" si="25"/>
        <v/>
      </c>
      <c r="G5995" s="59" t="str">
        <f t="shared" si="26"/>
        <v/>
      </c>
      <c r="H5995" s="59" t="str">
        <f t="shared" si="27"/>
        <v>28C00462</v>
      </c>
      <c r="I5995" s="59" t="str">
        <f>IF(OR($A5995="",$C5995="",$D5995="",$E5995="",$H5995=""),"",SUMIFS(DATA_GOC!$H:$H,DATA_GOC!$A:$A,"BOM",DATA_GOC!$D:$D,$H5995,DATA_GOC!$E:$E,$C5995,DATA_GOC!$F:$F,"Xuất nội bộ từ téc",DATA_GOC!$B:$B,"&gt;="&amp;$D5995,DATA_GOC!$B:$B,"&lt;="&amp;$E5995))</f>
        <v/>
      </c>
      <c r="J5995" s="59">
        <f t="shared" si="28"/>
        <v>0</v>
      </c>
      <c r="K5995" s="59">
        <f t="shared" si="29"/>
        <v>0</v>
      </c>
      <c r="L5995" s="59">
        <f t="shared" si="30"/>
        <v>0</v>
      </c>
      <c r="M5995" s="59">
        <f t="shared" si="31"/>
        <v>0</v>
      </c>
    </row>
    <row r="5996" ht="15.0" hidden="1" customHeight="1">
      <c r="A5996" s="59">
        <f t="shared" si="20"/>
        <v>97</v>
      </c>
      <c r="B5996" s="59" t="str">
        <f t="shared" si="21"/>
        <v/>
      </c>
      <c r="C5996" s="59" t="str">
        <f t="shared" si="22"/>
        <v/>
      </c>
      <c r="D5996" s="45" t="str">
        <f t="shared" si="23"/>
        <v/>
      </c>
      <c r="E5996" s="45" t="str">
        <f t="shared" si="24"/>
        <v/>
      </c>
      <c r="F5996" s="59" t="str">
        <f t="shared" si="25"/>
        <v/>
      </c>
      <c r="G5996" s="59" t="str">
        <f t="shared" si="26"/>
        <v/>
      </c>
      <c r="H5996" s="59" t="str">
        <f t="shared" si="27"/>
        <v>28C01165</v>
      </c>
      <c r="I5996" s="59" t="str">
        <f>IF(OR($A5996="",$C5996="",$D5996="",$E5996="",$H5996=""),"",SUMIFS(DATA_GOC!$H:$H,DATA_GOC!$A:$A,"BOM",DATA_GOC!$D:$D,$H5996,DATA_GOC!$E:$E,$C5996,DATA_GOC!$F:$F,"Xuất nội bộ từ téc",DATA_GOC!$B:$B,"&gt;="&amp;$D5996,DATA_GOC!$B:$B,"&lt;="&amp;$E5996))</f>
        <v/>
      </c>
      <c r="J5996" s="59">
        <f t="shared" si="28"/>
        <v>0</v>
      </c>
      <c r="K5996" s="59">
        <f t="shared" si="29"/>
        <v>0</v>
      </c>
      <c r="L5996" s="59">
        <f t="shared" si="30"/>
        <v>0</v>
      </c>
      <c r="M5996" s="59">
        <f t="shared" si="31"/>
        <v>0</v>
      </c>
    </row>
    <row r="5997" ht="15.0" hidden="1" customHeight="1">
      <c r="A5997" s="59">
        <f t="shared" si="20"/>
        <v>97</v>
      </c>
      <c r="B5997" s="59" t="str">
        <f t="shared" si="21"/>
        <v/>
      </c>
      <c r="C5997" s="59" t="str">
        <f t="shared" si="22"/>
        <v/>
      </c>
      <c r="D5997" s="45" t="str">
        <f t="shared" si="23"/>
        <v/>
      </c>
      <c r="E5997" s="45" t="str">
        <f t="shared" si="24"/>
        <v/>
      </c>
      <c r="F5997" s="59" t="str">
        <f t="shared" si="25"/>
        <v/>
      </c>
      <c r="G5997" s="59" t="str">
        <f t="shared" si="26"/>
        <v/>
      </c>
      <c r="H5997" s="59" t="str">
        <f t="shared" si="27"/>
        <v>28C01406</v>
      </c>
      <c r="I5997" s="59" t="str">
        <f>IF(OR($A5997="",$C5997="",$D5997="",$E5997="",$H5997=""),"",SUMIFS(DATA_GOC!$H:$H,DATA_GOC!$A:$A,"BOM",DATA_GOC!$D:$D,$H5997,DATA_GOC!$E:$E,$C5997,DATA_GOC!$F:$F,"Xuất nội bộ từ téc",DATA_GOC!$B:$B,"&gt;="&amp;$D5997,DATA_GOC!$B:$B,"&lt;="&amp;$E5997))</f>
        <v/>
      </c>
      <c r="J5997" s="59">
        <f t="shared" si="28"/>
        <v>0</v>
      </c>
      <c r="K5997" s="59">
        <f t="shared" si="29"/>
        <v>0</v>
      </c>
      <c r="L5997" s="59">
        <f t="shared" si="30"/>
        <v>0</v>
      </c>
      <c r="M5997" s="59">
        <f t="shared" si="31"/>
        <v>0</v>
      </c>
    </row>
    <row r="5998" ht="15.0" hidden="1" customHeight="1">
      <c r="A5998" s="59">
        <f t="shared" si="20"/>
        <v>97</v>
      </c>
      <c r="B5998" s="59" t="str">
        <f t="shared" si="21"/>
        <v/>
      </c>
      <c r="C5998" s="59" t="str">
        <f t="shared" si="22"/>
        <v/>
      </c>
      <c r="D5998" s="45" t="str">
        <f t="shared" si="23"/>
        <v/>
      </c>
      <c r="E5998" s="45" t="str">
        <f t="shared" si="24"/>
        <v/>
      </c>
      <c r="F5998" s="59" t="str">
        <f t="shared" si="25"/>
        <v/>
      </c>
      <c r="G5998" s="59" t="str">
        <f t="shared" si="26"/>
        <v/>
      </c>
      <c r="H5998" s="59" t="str">
        <f t="shared" si="27"/>
        <v>28C01544</v>
      </c>
      <c r="I5998" s="59" t="str">
        <f>IF(OR($A5998="",$C5998="",$D5998="",$E5998="",$H5998=""),"",SUMIFS(DATA_GOC!$H:$H,DATA_GOC!$A:$A,"BOM",DATA_GOC!$D:$D,$H5998,DATA_GOC!$E:$E,$C5998,DATA_GOC!$F:$F,"Xuất nội bộ từ téc",DATA_GOC!$B:$B,"&gt;="&amp;$D5998,DATA_GOC!$B:$B,"&lt;="&amp;$E5998))</f>
        <v/>
      </c>
      <c r="J5998" s="59">
        <f t="shared" si="28"/>
        <v>0</v>
      </c>
      <c r="K5998" s="59">
        <f t="shared" si="29"/>
        <v>0</v>
      </c>
      <c r="L5998" s="59">
        <f t="shared" si="30"/>
        <v>0</v>
      </c>
      <c r="M5998" s="59">
        <f t="shared" si="31"/>
        <v>0</v>
      </c>
    </row>
    <row r="5999" ht="15.0" hidden="1" customHeight="1">
      <c r="A5999" s="59">
        <f t="shared" si="20"/>
        <v>97</v>
      </c>
      <c r="B5999" s="59" t="str">
        <f t="shared" si="21"/>
        <v/>
      </c>
      <c r="C5999" s="59" t="str">
        <f t="shared" si="22"/>
        <v/>
      </c>
      <c r="D5999" s="45" t="str">
        <f t="shared" si="23"/>
        <v/>
      </c>
      <c r="E5999" s="45" t="str">
        <f t="shared" si="24"/>
        <v/>
      </c>
      <c r="F5999" s="59" t="str">
        <f t="shared" si="25"/>
        <v/>
      </c>
      <c r="G5999" s="59" t="str">
        <f t="shared" si="26"/>
        <v/>
      </c>
      <c r="H5999" s="59" t="str">
        <f t="shared" si="27"/>
        <v>28C01622</v>
      </c>
      <c r="I5999" s="59" t="str">
        <f>IF(OR($A5999="",$C5999="",$D5999="",$E5999="",$H5999=""),"",SUMIFS(DATA_GOC!$H:$H,DATA_GOC!$A:$A,"BOM",DATA_GOC!$D:$D,$H5999,DATA_GOC!$E:$E,$C5999,DATA_GOC!$F:$F,"Xuất nội bộ từ téc",DATA_GOC!$B:$B,"&gt;="&amp;$D5999,DATA_GOC!$B:$B,"&lt;="&amp;$E5999))</f>
        <v/>
      </c>
      <c r="J5999" s="59">
        <f t="shared" si="28"/>
        <v>0</v>
      </c>
      <c r="K5999" s="59">
        <f t="shared" si="29"/>
        <v>0</v>
      </c>
      <c r="L5999" s="59">
        <f t="shared" si="30"/>
        <v>0</v>
      </c>
      <c r="M5999" s="59">
        <f t="shared" si="31"/>
        <v>0</v>
      </c>
    </row>
    <row r="6000" ht="15.0" hidden="1" customHeight="1">
      <c r="A6000" s="59">
        <f t="shared" si="20"/>
        <v>97</v>
      </c>
      <c r="B6000" s="59" t="str">
        <f t="shared" si="21"/>
        <v/>
      </c>
      <c r="C6000" s="59" t="str">
        <f t="shared" si="22"/>
        <v/>
      </c>
      <c r="D6000" s="45" t="str">
        <f t="shared" si="23"/>
        <v/>
      </c>
      <c r="E6000" s="45" t="str">
        <f t="shared" si="24"/>
        <v/>
      </c>
      <c r="F6000" s="59" t="str">
        <f t="shared" si="25"/>
        <v/>
      </c>
      <c r="G6000" s="59" t="str">
        <f t="shared" si="26"/>
        <v/>
      </c>
      <c r="H6000" s="59" t="str">
        <f t="shared" si="27"/>
        <v>28C01647</v>
      </c>
      <c r="I6000" s="59" t="str">
        <f>IF(OR($A6000="",$C6000="",$D6000="",$E6000="",$H6000=""),"",SUMIFS(DATA_GOC!$H:$H,DATA_GOC!$A:$A,"BOM",DATA_GOC!$D:$D,$H6000,DATA_GOC!$E:$E,$C6000,DATA_GOC!$F:$F,"Xuất nội bộ từ téc",DATA_GOC!$B:$B,"&gt;="&amp;$D6000,DATA_GOC!$B:$B,"&lt;="&amp;$E6000))</f>
        <v/>
      </c>
      <c r="J6000" s="59">
        <f t="shared" si="28"/>
        <v>0</v>
      </c>
      <c r="K6000" s="59">
        <f t="shared" si="29"/>
        <v>0</v>
      </c>
      <c r="L6000" s="59">
        <f t="shared" si="30"/>
        <v>0</v>
      </c>
      <c r="M6000" s="59">
        <f t="shared" si="31"/>
        <v>0</v>
      </c>
    </row>
    <row r="6001" ht="15.0" hidden="1" customHeight="1">
      <c r="A6001" s="59">
        <f t="shared" si="20"/>
        <v>97</v>
      </c>
      <c r="B6001" s="59" t="str">
        <f t="shared" si="21"/>
        <v/>
      </c>
      <c r="C6001" s="59" t="str">
        <f t="shared" si="22"/>
        <v/>
      </c>
      <c r="D6001" s="45" t="str">
        <f t="shared" si="23"/>
        <v/>
      </c>
      <c r="E6001" s="45" t="str">
        <f t="shared" si="24"/>
        <v/>
      </c>
      <c r="F6001" s="59" t="str">
        <f t="shared" si="25"/>
        <v/>
      </c>
      <c r="G6001" s="59" t="str">
        <f t="shared" si="26"/>
        <v/>
      </c>
      <c r="H6001" s="59" t="str">
        <f t="shared" si="27"/>
        <v>28C01731</v>
      </c>
      <c r="I6001" s="59" t="str">
        <f>IF(OR($A6001="",$C6001="",$D6001="",$E6001="",$H6001=""),"",SUMIFS(DATA_GOC!$H:$H,DATA_GOC!$A:$A,"BOM",DATA_GOC!$D:$D,$H6001,DATA_GOC!$E:$E,$C6001,DATA_GOC!$F:$F,"Xuất nội bộ từ téc",DATA_GOC!$B:$B,"&gt;="&amp;$D6001,DATA_GOC!$B:$B,"&lt;="&amp;$E6001))</f>
        <v/>
      </c>
      <c r="J6001" s="59">
        <f t="shared" si="28"/>
        <v>0</v>
      </c>
      <c r="K6001" s="59">
        <f t="shared" si="29"/>
        <v>0</v>
      </c>
      <c r="L6001" s="59">
        <f t="shared" si="30"/>
        <v>0</v>
      </c>
      <c r="M6001" s="59">
        <f t="shared" si="31"/>
        <v>0</v>
      </c>
    </row>
    <row r="6002" ht="15.0" hidden="1" customHeight="1">
      <c r="A6002" s="59">
        <f t="shared" si="20"/>
        <v>97</v>
      </c>
      <c r="B6002" s="59" t="str">
        <f t="shared" si="21"/>
        <v/>
      </c>
      <c r="C6002" s="59" t="str">
        <f t="shared" si="22"/>
        <v/>
      </c>
      <c r="D6002" s="45" t="str">
        <f t="shared" si="23"/>
        <v/>
      </c>
      <c r="E6002" s="45" t="str">
        <f t="shared" si="24"/>
        <v/>
      </c>
      <c r="F6002" s="59" t="str">
        <f t="shared" si="25"/>
        <v/>
      </c>
      <c r="G6002" s="59" t="str">
        <f t="shared" si="26"/>
        <v/>
      </c>
      <c r="H6002" s="59" t="str">
        <f t="shared" si="27"/>
        <v>28C01743</v>
      </c>
      <c r="I6002" s="59" t="str">
        <f>IF(OR($A6002="",$C6002="",$D6002="",$E6002="",$H6002=""),"",SUMIFS(DATA_GOC!$H:$H,DATA_GOC!$A:$A,"BOM",DATA_GOC!$D:$D,$H6002,DATA_GOC!$E:$E,$C6002,DATA_GOC!$F:$F,"Xuất nội bộ từ téc",DATA_GOC!$B:$B,"&gt;="&amp;$D6002,DATA_GOC!$B:$B,"&lt;="&amp;$E6002))</f>
        <v/>
      </c>
      <c r="J6002" s="59">
        <f t="shared" si="28"/>
        <v>0</v>
      </c>
      <c r="K6002" s="59">
        <f t="shared" si="29"/>
        <v>0</v>
      </c>
      <c r="L6002" s="59">
        <f t="shared" si="30"/>
        <v>0</v>
      </c>
      <c r="M6002" s="59">
        <f t="shared" si="31"/>
        <v>0</v>
      </c>
    </row>
    <row r="6003" ht="15.0" hidden="1" customHeight="1">
      <c r="A6003" s="59">
        <f t="shared" si="20"/>
        <v>97</v>
      </c>
      <c r="B6003" s="59" t="str">
        <f t="shared" si="21"/>
        <v/>
      </c>
      <c r="C6003" s="59" t="str">
        <f t="shared" si="22"/>
        <v/>
      </c>
      <c r="D6003" s="45" t="str">
        <f t="shared" si="23"/>
        <v/>
      </c>
      <c r="E6003" s="45" t="str">
        <f t="shared" si="24"/>
        <v/>
      </c>
      <c r="F6003" s="59" t="str">
        <f t="shared" si="25"/>
        <v/>
      </c>
      <c r="G6003" s="59" t="str">
        <f t="shared" si="26"/>
        <v/>
      </c>
      <c r="H6003" s="59" t="str">
        <f t="shared" si="27"/>
        <v>28C02106</v>
      </c>
      <c r="I6003" s="59" t="str">
        <f>IF(OR($A6003="",$C6003="",$D6003="",$E6003="",$H6003=""),"",SUMIFS(DATA_GOC!$H:$H,DATA_GOC!$A:$A,"BOM",DATA_GOC!$D:$D,$H6003,DATA_GOC!$E:$E,$C6003,DATA_GOC!$F:$F,"Xuất nội bộ từ téc",DATA_GOC!$B:$B,"&gt;="&amp;$D6003,DATA_GOC!$B:$B,"&lt;="&amp;$E6003))</f>
        <v/>
      </c>
      <c r="J6003" s="59">
        <f t="shared" si="28"/>
        <v>0</v>
      </c>
      <c r="K6003" s="59">
        <f t="shared" si="29"/>
        <v>0</v>
      </c>
      <c r="L6003" s="59">
        <f t="shared" si="30"/>
        <v>0</v>
      </c>
      <c r="M6003" s="59">
        <f t="shared" si="31"/>
        <v>0</v>
      </c>
    </row>
    <row r="6004" ht="15.0" hidden="1" customHeight="1">
      <c r="A6004" s="59">
        <f t="shared" si="20"/>
        <v>97</v>
      </c>
      <c r="B6004" s="59" t="str">
        <f t="shared" si="21"/>
        <v/>
      </c>
      <c r="C6004" s="59" t="str">
        <f t="shared" si="22"/>
        <v/>
      </c>
      <c r="D6004" s="45" t="str">
        <f t="shared" si="23"/>
        <v/>
      </c>
      <c r="E6004" s="45" t="str">
        <f t="shared" si="24"/>
        <v/>
      </c>
      <c r="F6004" s="59" t="str">
        <f t="shared" si="25"/>
        <v/>
      </c>
      <c r="G6004" s="59" t="str">
        <f t="shared" si="26"/>
        <v/>
      </c>
      <c r="H6004" s="59" t="str">
        <f t="shared" si="27"/>
        <v>28C02410</v>
      </c>
      <c r="I6004" s="59" t="str">
        <f>IF(OR($A6004="",$C6004="",$D6004="",$E6004="",$H6004=""),"",SUMIFS(DATA_GOC!$H:$H,DATA_GOC!$A:$A,"BOM",DATA_GOC!$D:$D,$H6004,DATA_GOC!$E:$E,$C6004,DATA_GOC!$F:$F,"Xuất nội bộ từ téc",DATA_GOC!$B:$B,"&gt;="&amp;$D6004,DATA_GOC!$B:$B,"&lt;="&amp;$E6004))</f>
        <v/>
      </c>
      <c r="J6004" s="59">
        <f t="shared" si="28"/>
        <v>0</v>
      </c>
      <c r="K6004" s="59">
        <f t="shared" si="29"/>
        <v>0</v>
      </c>
      <c r="L6004" s="59">
        <f t="shared" si="30"/>
        <v>0</v>
      </c>
      <c r="M6004" s="59">
        <f t="shared" si="31"/>
        <v>0</v>
      </c>
    </row>
    <row r="6005" ht="15.0" hidden="1" customHeight="1">
      <c r="A6005" s="59">
        <f t="shared" si="20"/>
        <v>97</v>
      </c>
      <c r="B6005" s="59" t="str">
        <f t="shared" si="21"/>
        <v/>
      </c>
      <c r="C6005" s="59" t="str">
        <f t="shared" si="22"/>
        <v/>
      </c>
      <c r="D6005" s="45" t="str">
        <f t="shared" si="23"/>
        <v/>
      </c>
      <c r="E6005" s="45" t="str">
        <f t="shared" si="24"/>
        <v/>
      </c>
      <c r="F6005" s="59" t="str">
        <f t="shared" si="25"/>
        <v/>
      </c>
      <c r="G6005" s="59" t="str">
        <f t="shared" si="26"/>
        <v/>
      </c>
      <c r="H6005" s="59" t="str">
        <f t="shared" si="27"/>
        <v>28C02545</v>
      </c>
      <c r="I6005" s="59" t="str">
        <f>IF(OR($A6005="",$C6005="",$D6005="",$E6005="",$H6005=""),"",SUMIFS(DATA_GOC!$H:$H,DATA_GOC!$A:$A,"BOM",DATA_GOC!$D:$D,$H6005,DATA_GOC!$E:$E,$C6005,DATA_GOC!$F:$F,"Xuất nội bộ từ téc",DATA_GOC!$B:$B,"&gt;="&amp;$D6005,DATA_GOC!$B:$B,"&lt;="&amp;$E6005))</f>
        <v/>
      </c>
      <c r="J6005" s="59">
        <f t="shared" si="28"/>
        <v>0</v>
      </c>
      <c r="K6005" s="59">
        <f t="shared" si="29"/>
        <v>0</v>
      </c>
      <c r="L6005" s="59">
        <f t="shared" si="30"/>
        <v>0</v>
      </c>
      <c r="M6005" s="59">
        <f t="shared" si="31"/>
        <v>0</v>
      </c>
    </row>
    <row r="6006" ht="15.0" hidden="1" customHeight="1">
      <c r="A6006" s="59">
        <f t="shared" si="20"/>
        <v>97</v>
      </c>
      <c r="B6006" s="59" t="str">
        <f t="shared" si="21"/>
        <v/>
      </c>
      <c r="C6006" s="59" t="str">
        <f t="shared" si="22"/>
        <v/>
      </c>
      <c r="D6006" s="45" t="str">
        <f t="shared" si="23"/>
        <v/>
      </c>
      <c r="E6006" s="45" t="str">
        <f t="shared" si="24"/>
        <v/>
      </c>
      <c r="F6006" s="59" t="str">
        <f t="shared" si="25"/>
        <v/>
      </c>
      <c r="G6006" s="59" t="str">
        <f t="shared" si="26"/>
        <v/>
      </c>
      <c r="H6006" s="59" t="str">
        <f t="shared" si="27"/>
        <v>28C02574</v>
      </c>
      <c r="I6006" s="59" t="str">
        <f>IF(OR($A6006="",$C6006="",$D6006="",$E6006="",$H6006=""),"",SUMIFS(DATA_GOC!$H:$H,DATA_GOC!$A:$A,"BOM",DATA_GOC!$D:$D,$H6006,DATA_GOC!$E:$E,$C6006,DATA_GOC!$F:$F,"Xuất nội bộ từ téc",DATA_GOC!$B:$B,"&gt;="&amp;$D6006,DATA_GOC!$B:$B,"&lt;="&amp;$E6006))</f>
        <v/>
      </c>
      <c r="J6006" s="59">
        <f t="shared" si="28"/>
        <v>0</v>
      </c>
      <c r="K6006" s="59">
        <f t="shared" si="29"/>
        <v>0</v>
      </c>
      <c r="L6006" s="59">
        <f t="shared" si="30"/>
        <v>0</v>
      </c>
      <c r="M6006" s="59">
        <f t="shared" si="31"/>
        <v>0</v>
      </c>
    </row>
    <row r="6007" ht="15.0" hidden="1" customHeight="1">
      <c r="A6007" s="59">
        <f t="shared" si="20"/>
        <v>97</v>
      </c>
      <c r="B6007" s="59" t="str">
        <f t="shared" si="21"/>
        <v/>
      </c>
      <c r="C6007" s="59" t="str">
        <f t="shared" si="22"/>
        <v/>
      </c>
      <c r="D6007" s="45" t="str">
        <f t="shared" si="23"/>
        <v/>
      </c>
      <c r="E6007" s="45" t="str">
        <f t="shared" si="24"/>
        <v/>
      </c>
      <c r="F6007" s="59" t="str">
        <f t="shared" si="25"/>
        <v/>
      </c>
      <c r="G6007" s="59" t="str">
        <f t="shared" si="26"/>
        <v/>
      </c>
      <c r="H6007" s="59" t="str">
        <f t="shared" si="27"/>
        <v>28C02770</v>
      </c>
      <c r="I6007" s="59" t="str">
        <f>IF(OR($A6007="",$C6007="",$D6007="",$E6007="",$H6007=""),"",SUMIFS(DATA_GOC!$H:$H,DATA_GOC!$A:$A,"BOM",DATA_GOC!$D:$D,$H6007,DATA_GOC!$E:$E,$C6007,DATA_GOC!$F:$F,"Xuất nội bộ từ téc",DATA_GOC!$B:$B,"&gt;="&amp;$D6007,DATA_GOC!$B:$B,"&lt;="&amp;$E6007))</f>
        <v/>
      </c>
      <c r="J6007" s="59">
        <f t="shared" si="28"/>
        <v>0</v>
      </c>
      <c r="K6007" s="59">
        <f t="shared" si="29"/>
        <v>0</v>
      </c>
      <c r="L6007" s="59">
        <f t="shared" si="30"/>
        <v>0</v>
      </c>
      <c r="M6007" s="59">
        <f t="shared" si="31"/>
        <v>0</v>
      </c>
    </row>
    <row r="6008" ht="15.0" hidden="1" customHeight="1">
      <c r="A6008" s="59">
        <f t="shared" si="20"/>
        <v>97</v>
      </c>
      <c r="B6008" s="59" t="str">
        <f t="shared" si="21"/>
        <v/>
      </c>
      <c r="C6008" s="59" t="str">
        <f t="shared" si="22"/>
        <v/>
      </c>
      <c r="D6008" s="45" t="str">
        <f t="shared" si="23"/>
        <v/>
      </c>
      <c r="E6008" s="45" t="str">
        <f t="shared" si="24"/>
        <v/>
      </c>
      <c r="F6008" s="59" t="str">
        <f t="shared" si="25"/>
        <v/>
      </c>
      <c r="G6008" s="59" t="str">
        <f t="shared" si="26"/>
        <v/>
      </c>
      <c r="H6008" s="59" t="str">
        <f t="shared" si="27"/>
        <v>28C02986</v>
      </c>
      <c r="I6008" s="59" t="str">
        <f>IF(OR($A6008="",$C6008="",$D6008="",$E6008="",$H6008=""),"",SUMIFS(DATA_GOC!$H:$H,DATA_GOC!$A:$A,"BOM",DATA_GOC!$D:$D,$H6008,DATA_GOC!$E:$E,$C6008,DATA_GOC!$F:$F,"Xuất nội bộ từ téc",DATA_GOC!$B:$B,"&gt;="&amp;$D6008,DATA_GOC!$B:$B,"&lt;="&amp;$E6008))</f>
        <v/>
      </c>
      <c r="J6008" s="59">
        <f t="shared" si="28"/>
        <v>0</v>
      </c>
      <c r="K6008" s="59">
        <f t="shared" si="29"/>
        <v>0</v>
      </c>
      <c r="L6008" s="59">
        <f t="shared" si="30"/>
        <v>0</v>
      </c>
      <c r="M6008" s="59">
        <f t="shared" si="31"/>
        <v>0</v>
      </c>
    </row>
    <row r="6009" ht="15.0" hidden="1" customHeight="1">
      <c r="A6009" s="59">
        <f t="shared" si="20"/>
        <v>97</v>
      </c>
      <c r="B6009" s="59" t="str">
        <f t="shared" si="21"/>
        <v/>
      </c>
      <c r="C6009" s="59" t="str">
        <f t="shared" si="22"/>
        <v/>
      </c>
      <c r="D6009" s="45" t="str">
        <f t="shared" si="23"/>
        <v/>
      </c>
      <c r="E6009" s="45" t="str">
        <f t="shared" si="24"/>
        <v/>
      </c>
      <c r="F6009" s="59" t="str">
        <f t="shared" si="25"/>
        <v/>
      </c>
      <c r="G6009" s="59" t="str">
        <f t="shared" si="26"/>
        <v/>
      </c>
      <c r="H6009" s="59" t="str">
        <f t="shared" si="27"/>
        <v>28C03261</v>
      </c>
      <c r="I6009" s="59" t="str">
        <f>IF(OR($A6009="",$C6009="",$D6009="",$E6009="",$H6009=""),"",SUMIFS(DATA_GOC!$H:$H,DATA_GOC!$A:$A,"BOM",DATA_GOC!$D:$D,$H6009,DATA_GOC!$E:$E,$C6009,DATA_GOC!$F:$F,"Xuất nội bộ từ téc",DATA_GOC!$B:$B,"&gt;="&amp;$D6009,DATA_GOC!$B:$B,"&lt;="&amp;$E6009))</f>
        <v/>
      </c>
      <c r="J6009" s="59">
        <f t="shared" si="28"/>
        <v>0</v>
      </c>
      <c r="K6009" s="59">
        <f t="shared" si="29"/>
        <v>0</v>
      </c>
      <c r="L6009" s="59">
        <f t="shared" si="30"/>
        <v>0</v>
      </c>
      <c r="M6009" s="59">
        <f t="shared" si="31"/>
        <v>0</v>
      </c>
    </row>
    <row r="6010" ht="15.0" hidden="1" customHeight="1">
      <c r="A6010" s="59">
        <f t="shared" si="20"/>
        <v>97</v>
      </c>
      <c r="B6010" s="59" t="str">
        <f t="shared" si="21"/>
        <v/>
      </c>
      <c r="C6010" s="59" t="str">
        <f t="shared" si="22"/>
        <v/>
      </c>
      <c r="D6010" s="45" t="str">
        <f t="shared" si="23"/>
        <v/>
      </c>
      <c r="E6010" s="45" t="str">
        <f t="shared" si="24"/>
        <v/>
      </c>
      <c r="F6010" s="59" t="str">
        <f t="shared" si="25"/>
        <v/>
      </c>
      <c r="G6010" s="59" t="str">
        <f t="shared" si="26"/>
        <v/>
      </c>
      <c r="H6010" s="59" t="str">
        <f t="shared" si="27"/>
        <v>28C03323</v>
      </c>
      <c r="I6010" s="59" t="str">
        <f>IF(OR($A6010="",$C6010="",$D6010="",$E6010="",$H6010=""),"",SUMIFS(DATA_GOC!$H:$H,DATA_GOC!$A:$A,"BOM",DATA_GOC!$D:$D,$H6010,DATA_GOC!$E:$E,$C6010,DATA_GOC!$F:$F,"Xuất nội bộ từ téc",DATA_GOC!$B:$B,"&gt;="&amp;$D6010,DATA_GOC!$B:$B,"&lt;="&amp;$E6010))</f>
        <v/>
      </c>
      <c r="J6010" s="59">
        <f t="shared" si="28"/>
        <v>0</v>
      </c>
      <c r="K6010" s="59">
        <f t="shared" si="29"/>
        <v>0</v>
      </c>
      <c r="L6010" s="59">
        <f t="shared" si="30"/>
        <v>0</v>
      </c>
      <c r="M6010" s="59">
        <f t="shared" si="31"/>
        <v>0</v>
      </c>
    </row>
    <row r="6011" ht="15.0" hidden="1" customHeight="1">
      <c r="A6011" s="59">
        <f t="shared" si="20"/>
        <v>97</v>
      </c>
      <c r="B6011" s="59" t="str">
        <f t="shared" si="21"/>
        <v/>
      </c>
      <c r="C6011" s="59" t="str">
        <f t="shared" si="22"/>
        <v/>
      </c>
      <c r="D6011" s="45" t="str">
        <f t="shared" si="23"/>
        <v/>
      </c>
      <c r="E6011" s="45" t="str">
        <f t="shared" si="24"/>
        <v/>
      </c>
      <c r="F6011" s="59" t="str">
        <f t="shared" si="25"/>
        <v/>
      </c>
      <c r="G6011" s="59" t="str">
        <f t="shared" si="26"/>
        <v/>
      </c>
      <c r="H6011" s="59" t="str">
        <f t="shared" si="27"/>
        <v>28C03385</v>
      </c>
      <c r="I6011" s="59" t="str">
        <f>IF(OR($A6011="",$C6011="",$D6011="",$E6011="",$H6011=""),"",SUMIFS(DATA_GOC!$H:$H,DATA_GOC!$A:$A,"BOM",DATA_GOC!$D:$D,$H6011,DATA_GOC!$E:$E,$C6011,DATA_GOC!$F:$F,"Xuất nội bộ từ téc",DATA_GOC!$B:$B,"&gt;="&amp;$D6011,DATA_GOC!$B:$B,"&lt;="&amp;$E6011))</f>
        <v/>
      </c>
      <c r="J6011" s="59">
        <f t="shared" si="28"/>
        <v>0</v>
      </c>
      <c r="K6011" s="59">
        <f t="shared" si="29"/>
        <v>0</v>
      </c>
      <c r="L6011" s="59">
        <f t="shared" si="30"/>
        <v>0</v>
      </c>
      <c r="M6011" s="59">
        <f t="shared" si="31"/>
        <v>0</v>
      </c>
    </row>
    <row r="6012" ht="15.0" hidden="1" customHeight="1">
      <c r="A6012" s="59">
        <f t="shared" si="20"/>
        <v>97</v>
      </c>
      <c r="B6012" s="59" t="str">
        <f t="shared" si="21"/>
        <v/>
      </c>
      <c r="C6012" s="59" t="str">
        <f t="shared" si="22"/>
        <v/>
      </c>
      <c r="D6012" s="45" t="str">
        <f t="shared" si="23"/>
        <v/>
      </c>
      <c r="E6012" s="45" t="str">
        <f t="shared" si="24"/>
        <v/>
      </c>
      <c r="F6012" s="59" t="str">
        <f t="shared" si="25"/>
        <v/>
      </c>
      <c r="G6012" s="59" t="str">
        <f t="shared" si="26"/>
        <v/>
      </c>
      <c r="H6012" s="59" t="str">
        <f t="shared" si="27"/>
        <v>28C03652</v>
      </c>
      <c r="I6012" s="59" t="str">
        <f>IF(OR($A6012="",$C6012="",$D6012="",$E6012="",$H6012=""),"",SUMIFS(DATA_GOC!$H:$H,DATA_GOC!$A:$A,"BOM",DATA_GOC!$D:$D,$H6012,DATA_GOC!$E:$E,$C6012,DATA_GOC!$F:$F,"Xuất nội bộ từ téc",DATA_GOC!$B:$B,"&gt;="&amp;$D6012,DATA_GOC!$B:$B,"&lt;="&amp;$E6012))</f>
        <v/>
      </c>
      <c r="J6012" s="59">
        <f t="shared" si="28"/>
        <v>0</v>
      </c>
      <c r="K6012" s="59">
        <f t="shared" si="29"/>
        <v>0</v>
      </c>
      <c r="L6012" s="59">
        <f t="shared" si="30"/>
        <v>0</v>
      </c>
      <c r="M6012" s="59">
        <f t="shared" si="31"/>
        <v>0</v>
      </c>
    </row>
    <row r="6013" ht="15.0" hidden="1" customHeight="1">
      <c r="A6013" s="59">
        <f t="shared" si="20"/>
        <v>97</v>
      </c>
      <c r="B6013" s="59" t="str">
        <f t="shared" si="21"/>
        <v/>
      </c>
      <c r="C6013" s="59" t="str">
        <f t="shared" si="22"/>
        <v/>
      </c>
      <c r="D6013" s="45" t="str">
        <f t="shared" si="23"/>
        <v/>
      </c>
      <c r="E6013" s="45" t="str">
        <f t="shared" si="24"/>
        <v/>
      </c>
      <c r="F6013" s="59" t="str">
        <f t="shared" si="25"/>
        <v/>
      </c>
      <c r="G6013" s="59" t="str">
        <f t="shared" si="26"/>
        <v/>
      </c>
      <c r="H6013" s="59" t="str">
        <f t="shared" si="27"/>
        <v>28C03695</v>
      </c>
      <c r="I6013" s="59" t="str">
        <f>IF(OR($A6013="",$C6013="",$D6013="",$E6013="",$H6013=""),"",SUMIFS(DATA_GOC!$H:$H,DATA_GOC!$A:$A,"BOM",DATA_GOC!$D:$D,$H6013,DATA_GOC!$E:$E,$C6013,DATA_GOC!$F:$F,"Xuất nội bộ từ téc",DATA_GOC!$B:$B,"&gt;="&amp;$D6013,DATA_GOC!$B:$B,"&lt;="&amp;$E6013))</f>
        <v/>
      </c>
      <c r="J6013" s="59">
        <f t="shared" si="28"/>
        <v>0</v>
      </c>
      <c r="K6013" s="59">
        <f t="shared" si="29"/>
        <v>0</v>
      </c>
      <c r="L6013" s="59">
        <f t="shared" si="30"/>
        <v>0</v>
      </c>
      <c r="M6013" s="59">
        <f t="shared" si="31"/>
        <v>0</v>
      </c>
    </row>
    <row r="6014" ht="15.0" hidden="1" customHeight="1">
      <c r="A6014" s="59">
        <f t="shared" si="20"/>
        <v>97</v>
      </c>
      <c r="B6014" s="59" t="str">
        <f t="shared" si="21"/>
        <v/>
      </c>
      <c r="C6014" s="59" t="str">
        <f t="shared" si="22"/>
        <v/>
      </c>
      <c r="D6014" s="45" t="str">
        <f t="shared" si="23"/>
        <v/>
      </c>
      <c r="E6014" s="45" t="str">
        <f t="shared" si="24"/>
        <v/>
      </c>
      <c r="F6014" s="59" t="str">
        <f t="shared" si="25"/>
        <v/>
      </c>
      <c r="G6014" s="59" t="str">
        <f t="shared" si="26"/>
        <v/>
      </c>
      <c r="H6014" s="59" t="str">
        <f t="shared" si="27"/>
        <v>28C03927</v>
      </c>
      <c r="I6014" s="59" t="str">
        <f>IF(OR($A6014="",$C6014="",$D6014="",$E6014="",$H6014=""),"",SUMIFS(DATA_GOC!$H:$H,DATA_GOC!$A:$A,"BOM",DATA_GOC!$D:$D,$H6014,DATA_GOC!$E:$E,$C6014,DATA_GOC!$F:$F,"Xuất nội bộ từ téc",DATA_GOC!$B:$B,"&gt;="&amp;$D6014,DATA_GOC!$B:$B,"&lt;="&amp;$E6014))</f>
        <v/>
      </c>
      <c r="J6014" s="59">
        <f t="shared" si="28"/>
        <v>0</v>
      </c>
      <c r="K6014" s="59">
        <f t="shared" si="29"/>
        <v>0</v>
      </c>
      <c r="L6014" s="59">
        <f t="shared" si="30"/>
        <v>0</v>
      </c>
      <c r="M6014" s="59">
        <f t="shared" si="31"/>
        <v>0</v>
      </c>
    </row>
    <row r="6015" ht="15.0" hidden="1" customHeight="1">
      <c r="A6015" s="59">
        <f t="shared" si="20"/>
        <v>97</v>
      </c>
      <c r="B6015" s="59" t="str">
        <f t="shared" si="21"/>
        <v/>
      </c>
      <c r="C6015" s="59" t="str">
        <f t="shared" si="22"/>
        <v/>
      </c>
      <c r="D6015" s="45" t="str">
        <f t="shared" si="23"/>
        <v/>
      </c>
      <c r="E6015" s="45" t="str">
        <f t="shared" si="24"/>
        <v/>
      </c>
      <c r="F6015" s="59" t="str">
        <f t="shared" si="25"/>
        <v/>
      </c>
      <c r="G6015" s="59" t="str">
        <f t="shared" si="26"/>
        <v/>
      </c>
      <c r="H6015" s="59" t="str">
        <f t="shared" si="27"/>
        <v>28C04509</v>
      </c>
      <c r="I6015" s="59" t="str">
        <f>IF(OR($A6015="",$C6015="",$D6015="",$E6015="",$H6015=""),"",SUMIFS(DATA_GOC!$H:$H,DATA_GOC!$A:$A,"BOM",DATA_GOC!$D:$D,$H6015,DATA_GOC!$E:$E,$C6015,DATA_GOC!$F:$F,"Xuất nội bộ từ téc",DATA_GOC!$B:$B,"&gt;="&amp;$D6015,DATA_GOC!$B:$B,"&lt;="&amp;$E6015))</f>
        <v/>
      </c>
      <c r="J6015" s="59">
        <f t="shared" si="28"/>
        <v>0</v>
      </c>
      <c r="K6015" s="59">
        <f t="shared" si="29"/>
        <v>0</v>
      </c>
      <c r="L6015" s="59">
        <f t="shared" si="30"/>
        <v>0</v>
      </c>
      <c r="M6015" s="59">
        <f t="shared" si="31"/>
        <v>0</v>
      </c>
    </row>
    <row r="6016" ht="15.0" hidden="1" customHeight="1">
      <c r="A6016" s="59">
        <f t="shared" si="20"/>
        <v>97</v>
      </c>
      <c r="B6016" s="59" t="str">
        <f t="shared" si="21"/>
        <v/>
      </c>
      <c r="C6016" s="59" t="str">
        <f t="shared" si="22"/>
        <v/>
      </c>
      <c r="D6016" s="45" t="str">
        <f t="shared" si="23"/>
        <v/>
      </c>
      <c r="E6016" s="45" t="str">
        <f t="shared" si="24"/>
        <v/>
      </c>
      <c r="F6016" s="59" t="str">
        <f t="shared" si="25"/>
        <v/>
      </c>
      <c r="G6016" s="59" t="str">
        <f t="shared" si="26"/>
        <v/>
      </c>
      <c r="H6016" s="59" t="str">
        <f t="shared" si="27"/>
        <v>28C04536</v>
      </c>
      <c r="I6016" s="59" t="str">
        <f>IF(OR($A6016="",$C6016="",$D6016="",$E6016="",$H6016=""),"",SUMIFS(DATA_GOC!$H:$H,DATA_GOC!$A:$A,"BOM",DATA_GOC!$D:$D,$H6016,DATA_GOC!$E:$E,$C6016,DATA_GOC!$F:$F,"Xuất nội bộ từ téc",DATA_GOC!$B:$B,"&gt;="&amp;$D6016,DATA_GOC!$B:$B,"&lt;="&amp;$E6016))</f>
        <v/>
      </c>
      <c r="J6016" s="59">
        <f t="shared" si="28"/>
        <v>0</v>
      </c>
      <c r="K6016" s="59">
        <f t="shared" si="29"/>
        <v>0</v>
      </c>
      <c r="L6016" s="59">
        <f t="shared" si="30"/>
        <v>0</v>
      </c>
      <c r="M6016" s="59">
        <f t="shared" si="31"/>
        <v>0</v>
      </c>
    </row>
    <row r="6017" ht="15.0" hidden="1" customHeight="1">
      <c r="A6017" s="59">
        <f t="shared" si="20"/>
        <v>97</v>
      </c>
      <c r="B6017" s="59" t="str">
        <f t="shared" si="21"/>
        <v/>
      </c>
      <c r="C6017" s="59" t="str">
        <f t="shared" si="22"/>
        <v/>
      </c>
      <c r="D6017" s="45" t="str">
        <f t="shared" si="23"/>
        <v/>
      </c>
      <c r="E6017" s="45" t="str">
        <f t="shared" si="24"/>
        <v/>
      </c>
      <c r="F6017" s="59" t="str">
        <f t="shared" si="25"/>
        <v/>
      </c>
      <c r="G6017" s="59" t="str">
        <f t="shared" si="26"/>
        <v/>
      </c>
      <c r="H6017" s="59" t="str">
        <f t="shared" si="27"/>
        <v>28C04576</v>
      </c>
      <c r="I6017" s="59" t="str">
        <f>IF(OR($A6017="",$C6017="",$D6017="",$E6017="",$H6017=""),"",SUMIFS(DATA_GOC!$H:$H,DATA_GOC!$A:$A,"BOM",DATA_GOC!$D:$D,$H6017,DATA_GOC!$E:$E,$C6017,DATA_GOC!$F:$F,"Xuất nội bộ từ téc",DATA_GOC!$B:$B,"&gt;="&amp;$D6017,DATA_GOC!$B:$B,"&lt;="&amp;$E6017))</f>
        <v/>
      </c>
      <c r="J6017" s="59">
        <f t="shared" si="28"/>
        <v>0</v>
      </c>
      <c r="K6017" s="59">
        <f t="shared" si="29"/>
        <v>0</v>
      </c>
      <c r="L6017" s="59">
        <f t="shared" si="30"/>
        <v>0</v>
      </c>
      <c r="M6017" s="59">
        <f t="shared" si="31"/>
        <v>0</v>
      </c>
    </row>
    <row r="6018" ht="15.0" hidden="1" customHeight="1">
      <c r="A6018" s="59">
        <f t="shared" si="20"/>
        <v>97</v>
      </c>
      <c r="B6018" s="59" t="str">
        <f t="shared" si="21"/>
        <v/>
      </c>
      <c r="C6018" s="59" t="str">
        <f t="shared" si="22"/>
        <v/>
      </c>
      <c r="D6018" s="45" t="str">
        <f t="shared" si="23"/>
        <v/>
      </c>
      <c r="E6018" s="45" t="str">
        <f t="shared" si="24"/>
        <v/>
      </c>
      <c r="F6018" s="59" t="str">
        <f t="shared" si="25"/>
        <v/>
      </c>
      <c r="G6018" s="59" t="str">
        <f t="shared" si="26"/>
        <v/>
      </c>
      <c r="H6018" s="59" t="str">
        <f t="shared" si="27"/>
        <v>28C05090</v>
      </c>
      <c r="I6018" s="59" t="str">
        <f>IF(OR($A6018="",$C6018="",$D6018="",$E6018="",$H6018=""),"",SUMIFS(DATA_GOC!$H:$H,DATA_GOC!$A:$A,"BOM",DATA_GOC!$D:$D,$H6018,DATA_GOC!$E:$E,$C6018,DATA_GOC!$F:$F,"Xuất nội bộ từ téc",DATA_GOC!$B:$B,"&gt;="&amp;$D6018,DATA_GOC!$B:$B,"&lt;="&amp;$E6018))</f>
        <v/>
      </c>
      <c r="J6018" s="59">
        <f t="shared" si="28"/>
        <v>0</v>
      </c>
      <c r="K6018" s="59">
        <f t="shared" si="29"/>
        <v>0</v>
      </c>
      <c r="L6018" s="59">
        <f t="shared" si="30"/>
        <v>0</v>
      </c>
      <c r="M6018" s="59">
        <f t="shared" si="31"/>
        <v>0</v>
      </c>
    </row>
    <row r="6019" ht="15.0" hidden="1" customHeight="1">
      <c r="A6019" s="59">
        <f t="shared" si="20"/>
        <v>97</v>
      </c>
      <c r="B6019" s="59" t="str">
        <f t="shared" si="21"/>
        <v/>
      </c>
      <c r="C6019" s="59" t="str">
        <f t="shared" si="22"/>
        <v/>
      </c>
      <c r="D6019" s="45" t="str">
        <f t="shared" si="23"/>
        <v/>
      </c>
      <c r="E6019" s="45" t="str">
        <f t="shared" si="24"/>
        <v/>
      </c>
      <c r="F6019" s="59" t="str">
        <f t="shared" si="25"/>
        <v/>
      </c>
      <c r="G6019" s="59" t="str">
        <f t="shared" si="26"/>
        <v/>
      </c>
      <c r="H6019" s="59" t="str">
        <f t="shared" si="27"/>
        <v>28C05345</v>
      </c>
      <c r="I6019" s="59" t="str">
        <f>IF(OR($A6019="",$C6019="",$D6019="",$E6019="",$H6019=""),"",SUMIFS(DATA_GOC!$H:$H,DATA_GOC!$A:$A,"BOM",DATA_GOC!$D:$D,$H6019,DATA_GOC!$E:$E,$C6019,DATA_GOC!$F:$F,"Xuất nội bộ từ téc",DATA_GOC!$B:$B,"&gt;="&amp;$D6019,DATA_GOC!$B:$B,"&lt;="&amp;$E6019))</f>
        <v/>
      </c>
      <c r="J6019" s="59">
        <f t="shared" si="28"/>
        <v>0</v>
      </c>
      <c r="K6019" s="59">
        <f t="shared" si="29"/>
        <v>0</v>
      </c>
      <c r="L6019" s="59">
        <f t="shared" si="30"/>
        <v>0</v>
      </c>
      <c r="M6019" s="59">
        <f t="shared" si="31"/>
        <v>0</v>
      </c>
    </row>
    <row r="6020" ht="15.0" hidden="1" customHeight="1">
      <c r="A6020" s="59">
        <f t="shared" si="20"/>
        <v>97</v>
      </c>
      <c r="B6020" s="59" t="str">
        <f t="shared" si="21"/>
        <v/>
      </c>
      <c r="C6020" s="59" t="str">
        <f t="shared" si="22"/>
        <v/>
      </c>
      <c r="D6020" s="45" t="str">
        <f t="shared" si="23"/>
        <v/>
      </c>
      <c r="E6020" s="45" t="str">
        <f t="shared" si="24"/>
        <v/>
      </c>
      <c r="F6020" s="59" t="str">
        <f t="shared" si="25"/>
        <v/>
      </c>
      <c r="G6020" s="59" t="str">
        <f t="shared" si="26"/>
        <v/>
      </c>
      <c r="H6020" s="59" t="str">
        <f t="shared" si="27"/>
        <v>28C05661</v>
      </c>
      <c r="I6020" s="59" t="str">
        <f>IF(OR($A6020="",$C6020="",$D6020="",$E6020="",$H6020=""),"",SUMIFS(DATA_GOC!$H:$H,DATA_GOC!$A:$A,"BOM",DATA_GOC!$D:$D,$H6020,DATA_GOC!$E:$E,$C6020,DATA_GOC!$F:$F,"Xuất nội bộ từ téc",DATA_GOC!$B:$B,"&gt;="&amp;$D6020,DATA_GOC!$B:$B,"&lt;="&amp;$E6020))</f>
        <v/>
      </c>
      <c r="J6020" s="59">
        <f t="shared" si="28"/>
        <v>0</v>
      </c>
      <c r="K6020" s="59">
        <f t="shared" si="29"/>
        <v>0</v>
      </c>
      <c r="L6020" s="59">
        <f t="shared" si="30"/>
        <v>0</v>
      </c>
      <c r="M6020" s="59">
        <f t="shared" si="31"/>
        <v>0</v>
      </c>
    </row>
    <row r="6021" ht="15.0" hidden="1" customHeight="1">
      <c r="A6021" s="59">
        <f t="shared" si="20"/>
        <v>97</v>
      </c>
      <c r="B6021" s="59" t="str">
        <f t="shared" si="21"/>
        <v/>
      </c>
      <c r="C6021" s="59" t="str">
        <f t="shared" si="22"/>
        <v/>
      </c>
      <c r="D6021" s="45" t="str">
        <f t="shared" si="23"/>
        <v/>
      </c>
      <c r="E6021" s="45" t="str">
        <f t="shared" si="24"/>
        <v/>
      </c>
      <c r="F6021" s="59" t="str">
        <f t="shared" si="25"/>
        <v/>
      </c>
      <c r="G6021" s="59" t="str">
        <f t="shared" si="26"/>
        <v/>
      </c>
      <c r="H6021" s="59" t="str">
        <f t="shared" si="27"/>
        <v>28C05739</v>
      </c>
      <c r="I6021" s="59" t="str">
        <f>IF(OR($A6021="",$C6021="",$D6021="",$E6021="",$H6021=""),"",SUMIFS(DATA_GOC!$H:$H,DATA_GOC!$A:$A,"BOM",DATA_GOC!$D:$D,$H6021,DATA_GOC!$E:$E,$C6021,DATA_GOC!$F:$F,"Xuất nội bộ từ téc",DATA_GOC!$B:$B,"&gt;="&amp;$D6021,DATA_GOC!$B:$B,"&lt;="&amp;$E6021))</f>
        <v/>
      </c>
      <c r="J6021" s="59">
        <f t="shared" si="28"/>
        <v>0</v>
      </c>
      <c r="K6021" s="59">
        <f t="shared" si="29"/>
        <v>0</v>
      </c>
      <c r="L6021" s="59">
        <f t="shared" si="30"/>
        <v>0</v>
      </c>
      <c r="M6021" s="59">
        <f t="shared" si="31"/>
        <v>0</v>
      </c>
    </row>
    <row r="6022" ht="15.0" hidden="1" customHeight="1">
      <c r="A6022" s="59">
        <f t="shared" si="20"/>
        <v>97</v>
      </c>
      <c r="B6022" s="59" t="str">
        <f t="shared" si="21"/>
        <v/>
      </c>
      <c r="C6022" s="59" t="str">
        <f t="shared" si="22"/>
        <v/>
      </c>
      <c r="D6022" s="45" t="str">
        <f t="shared" si="23"/>
        <v/>
      </c>
      <c r="E6022" s="45" t="str">
        <f t="shared" si="24"/>
        <v/>
      </c>
      <c r="F6022" s="59" t="str">
        <f t="shared" si="25"/>
        <v/>
      </c>
      <c r="G6022" s="59" t="str">
        <f t="shared" si="26"/>
        <v/>
      </c>
      <c r="H6022" s="59" t="str">
        <f t="shared" si="27"/>
        <v>28C06369</v>
      </c>
      <c r="I6022" s="59" t="str">
        <f>IF(OR($A6022="",$C6022="",$D6022="",$E6022="",$H6022=""),"",SUMIFS(DATA_GOC!$H:$H,DATA_GOC!$A:$A,"BOM",DATA_GOC!$D:$D,$H6022,DATA_GOC!$E:$E,$C6022,DATA_GOC!$F:$F,"Xuất nội bộ từ téc",DATA_GOC!$B:$B,"&gt;="&amp;$D6022,DATA_GOC!$B:$B,"&lt;="&amp;$E6022))</f>
        <v/>
      </c>
      <c r="J6022" s="59">
        <f t="shared" si="28"/>
        <v>0</v>
      </c>
      <c r="K6022" s="59">
        <f t="shared" si="29"/>
        <v>0</v>
      </c>
      <c r="L6022" s="59">
        <f t="shared" si="30"/>
        <v>0</v>
      </c>
      <c r="M6022" s="59">
        <f t="shared" si="31"/>
        <v>0</v>
      </c>
    </row>
    <row r="6023" ht="15.0" hidden="1" customHeight="1">
      <c r="A6023" s="59">
        <f t="shared" si="20"/>
        <v>97</v>
      </c>
      <c r="B6023" s="59" t="str">
        <f t="shared" si="21"/>
        <v/>
      </c>
      <c r="C6023" s="59" t="str">
        <f t="shared" si="22"/>
        <v/>
      </c>
      <c r="D6023" s="45" t="str">
        <f t="shared" si="23"/>
        <v/>
      </c>
      <c r="E6023" s="45" t="str">
        <f t="shared" si="24"/>
        <v/>
      </c>
      <c r="F6023" s="59" t="str">
        <f t="shared" si="25"/>
        <v/>
      </c>
      <c r="G6023" s="59" t="str">
        <f t="shared" si="26"/>
        <v/>
      </c>
      <c r="H6023" s="59" t="str">
        <f t="shared" si="27"/>
        <v>28C06447</v>
      </c>
      <c r="I6023" s="59" t="str">
        <f>IF(OR($A6023="",$C6023="",$D6023="",$E6023="",$H6023=""),"",SUMIFS(DATA_GOC!$H:$H,DATA_GOC!$A:$A,"BOM",DATA_GOC!$D:$D,$H6023,DATA_GOC!$E:$E,$C6023,DATA_GOC!$F:$F,"Xuất nội bộ từ téc",DATA_GOC!$B:$B,"&gt;="&amp;$D6023,DATA_GOC!$B:$B,"&lt;="&amp;$E6023))</f>
        <v/>
      </c>
      <c r="J6023" s="59">
        <f t="shared" si="28"/>
        <v>0</v>
      </c>
      <c r="K6023" s="59">
        <f t="shared" si="29"/>
        <v>0</v>
      </c>
      <c r="L6023" s="59">
        <f t="shared" si="30"/>
        <v>0</v>
      </c>
      <c r="M6023" s="59">
        <f t="shared" si="31"/>
        <v>0</v>
      </c>
    </row>
    <row r="6024" ht="15.0" hidden="1" customHeight="1">
      <c r="A6024" s="59">
        <f t="shared" si="20"/>
        <v>97</v>
      </c>
      <c r="B6024" s="59" t="str">
        <f t="shared" si="21"/>
        <v/>
      </c>
      <c r="C6024" s="59" t="str">
        <f t="shared" si="22"/>
        <v/>
      </c>
      <c r="D6024" s="45" t="str">
        <f t="shared" si="23"/>
        <v/>
      </c>
      <c r="E6024" s="45" t="str">
        <f t="shared" si="24"/>
        <v/>
      </c>
      <c r="F6024" s="59" t="str">
        <f t="shared" si="25"/>
        <v/>
      </c>
      <c r="G6024" s="59" t="str">
        <f t="shared" si="26"/>
        <v/>
      </c>
      <c r="H6024" s="59" t="str">
        <f t="shared" si="27"/>
        <v>28H00003</v>
      </c>
      <c r="I6024" s="59" t="str">
        <f>IF(OR($A6024="",$C6024="",$D6024="",$E6024="",$H6024=""),"",SUMIFS(DATA_GOC!$H:$H,DATA_GOC!$A:$A,"BOM",DATA_GOC!$D:$D,$H6024,DATA_GOC!$E:$E,$C6024,DATA_GOC!$F:$F,"Xuất nội bộ từ téc",DATA_GOC!$B:$B,"&gt;="&amp;$D6024,DATA_GOC!$B:$B,"&lt;="&amp;$E6024))</f>
        <v/>
      </c>
      <c r="J6024" s="59">
        <f t="shared" si="28"/>
        <v>0</v>
      </c>
      <c r="K6024" s="59">
        <f t="shared" si="29"/>
        <v>0</v>
      </c>
      <c r="L6024" s="59">
        <f t="shared" si="30"/>
        <v>0</v>
      </c>
      <c r="M6024" s="59">
        <f t="shared" si="31"/>
        <v>0</v>
      </c>
    </row>
    <row r="6025" ht="15.0" hidden="1" customHeight="1">
      <c r="A6025" s="59">
        <f t="shared" si="20"/>
        <v>97</v>
      </c>
      <c r="B6025" s="59" t="str">
        <f t="shared" si="21"/>
        <v/>
      </c>
      <c r="C6025" s="59" t="str">
        <f t="shared" si="22"/>
        <v/>
      </c>
      <c r="D6025" s="45" t="str">
        <f t="shared" si="23"/>
        <v/>
      </c>
      <c r="E6025" s="45" t="str">
        <f t="shared" si="24"/>
        <v/>
      </c>
      <c r="F6025" s="59" t="str">
        <f t="shared" si="25"/>
        <v/>
      </c>
      <c r="G6025" s="59" t="str">
        <f t="shared" si="26"/>
        <v/>
      </c>
      <c r="H6025" s="59" t="str">
        <f t="shared" si="27"/>
        <v>28H00061</v>
      </c>
      <c r="I6025" s="59" t="str">
        <f>IF(OR($A6025="",$C6025="",$D6025="",$E6025="",$H6025=""),"",SUMIFS(DATA_GOC!$H:$H,DATA_GOC!$A:$A,"BOM",DATA_GOC!$D:$D,$H6025,DATA_GOC!$E:$E,$C6025,DATA_GOC!$F:$F,"Xuất nội bộ từ téc",DATA_GOC!$B:$B,"&gt;="&amp;$D6025,DATA_GOC!$B:$B,"&lt;="&amp;$E6025))</f>
        <v/>
      </c>
      <c r="J6025" s="59">
        <f t="shared" si="28"/>
        <v>0</v>
      </c>
      <c r="K6025" s="59">
        <f t="shared" si="29"/>
        <v>0</v>
      </c>
      <c r="L6025" s="59">
        <f t="shared" si="30"/>
        <v>0</v>
      </c>
      <c r="M6025" s="59">
        <f t="shared" si="31"/>
        <v>0</v>
      </c>
    </row>
    <row r="6026" ht="15.0" hidden="1" customHeight="1">
      <c r="A6026" s="59">
        <f t="shared" si="20"/>
        <v>97</v>
      </c>
      <c r="B6026" s="59" t="str">
        <f t="shared" si="21"/>
        <v/>
      </c>
      <c r="C6026" s="59" t="str">
        <f t="shared" si="22"/>
        <v/>
      </c>
      <c r="D6026" s="45" t="str">
        <f t="shared" si="23"/>
        <v/>
      </c>
      <c r="E6026" s="45" t="str">
        <f t="shared" si="24"/>
        <v/>
      </c>
      <c r="F6026" s="59" t="str">
        <f t="shared" si="25"/>
        <v/>
      </c>
      <c r="G6026" s="59" t="str">
        <f t="shared" si="26"/>
        <v/>
      </c>
      <c r="H6026" s="59" t="str">
        <f t="shared" si="27"/>
        <v>28H00354</v>
      </c>
      <c r="I6026" s="59" t="str">
        <f>IF(OR($A6026="",$C6026="",$D6026="",$E6026="",$H6026=""),"",SUMIFS(DATA_GOC!$H:$H,DATA_GOC!$A:$A,"BOM",DATA_GOC!$D:$D,$H6026,DATA_GOC!$E:$E,$C6026,DATA_GOC!$F:$F,"Xuất nội bộ từ téc",DATA_GOC!$B:$B,"&gt;="&amp;$D6026,DATA_GOC!$B:$B,"&lt;="&amp;$E6026))</f>
        <v/>
      </c>
      <c r="J6026" s="59">
        <f t="shared" si="28"/>
        <v>0</v>
      </c>
      <c r="K6026" s="59">
        <f t="shared" si="29"/>
        <v>0</v>
      </c>
      <c r="L6026" s="59">
        <f t="shared" si="30"/>
        <v>0</v>
      </c>
      <c r="M6026" s="59">
        <f t="shared" si="31"/>
        <v>0</v>
      </c>
    </row>
    <row r="6027" ht="15.0" hidden="1" customHeight="1">
      <c r="A6027" s="59">
        <f t="shared" si="20"/>
        <v>97</v>
      </c>
      <c r="B6027" s="59" t="str">
        <f t="shared" si="21"/>
        <v/>
      </c>
      <c r="C6027" s="59" t="str">
        <f t="shared" si="22"/>
        <v/>
      </c>
      <c r="D6027" s="45" t="str">
        <f t="shared" si="23"/>
        <v/>
      </c>
      <c r="E6027" s="45" t="str">
        <f t="shared" si="24"/>
        <v/>
      </c>
      <c r="F6027" s="59" t="str">
        <f t="shared" si="25"/>
        <v/>
      </c>
      <c r="G6027" s="59" t="str">
        <f t="shared" si="26"/>
        <v/>
      </c>
      <c r="H6027" s="59" t="str">
        <f t="shared" si="27"/>
        <v>28H00603</v>
      </c>
      <c r="I6027" s="59" t="str">
        <f>IF(OR($A6027="",$C6027="",$D6027="",$E6027="",$H6027=""),"",SUMIFS(DATA_GOC!$H:$H,DATA_GOC!$A:$A,"BOM",DATA_GOC!$D:$D,$H6027,DATA_GOC!$E:$E,$C6027,DATA_GOC!$F:$F,"Xuất nội bộ từ téc",DATA_GOC!$B:$B,"&gt;="&amp;$D6027,DATA_GOC!$B:$B,"&lt;="&amp;$E6027))</f>
        <v/>
      </c>
      <c r="J6027" s="59">
        <f t="shared" si="28"/>
        <v>0</v>
      </c>
      <c r="K6027" s="59">
        <f t="shared" si="29"/>
        <v>0</v>
      </c>
      <c r="L6027" s="59">
        <f t="shared" si="30"/>
        <v>0</v>
      </c>
      <c r="M6027" s="59">
        <f t="shared" si="31"/>
        <v>0</v>
      </c>
    </row>
    <row r="6028" ht="15.0" hidden="1" customHeight="1">
      <c r="A6028" s="59">
        <f t="shared" si="20"/>
        <v>97</v>
      </c>
      <c r="B6028" s="59" t="str">
        <f t="shared" si="21"/>
        <v/>
      </c>
      <c r="C6028" s="59" t="str">
        <f t="shared" si="22"/>
        <v/>
      </c>
      <c r="D6028" s="45" t="str">
        <f t="shared" si="23"/>
        <v/>
      </c>
      <c r="E6028" s="45" t="str">
        <f t="shared" si="24"/>
        <v/>
      </c>
      <c r="F6028" s="59" t="str">
        <f t="shared" si="25"/>
        <v/>
      </c>
      <c r="G6028" s="59" t="str">
        <f t="shared" si="26"/>
        <v/>
      </c>
      <c r="H6028" s="59" t="str">
        <f t="shared" si="27"/>
        <v>28H00609</v>
      </c>
      <c r="I6028" s="59" t="str">
        <f>IF(OR($A6028="",$C6028="",$D6028="",$E6028="",$H6028=""),"",SUMIFS(DATA_GOC!$H:$H,DATA_GOC!$A:$A,"BOM",DATA_GOC!$D:$D,$H6028,DATA_GOC!$E:$E,$C6028,DATA_GOC!$F:$F,"Xuất nội bộ từ téc",DATA_GOC!$B:$B,"&gt;="&amp;$D6028,DATA_GOC!$B:$B,"&lt;="&amp;$E6028))</f>
        <v/>
      </c>
      <c r="J6028" s="59">
        <f t="shared" si="28"/>
        <v>0</v>
      </c>
      <c r="K6028" s="59">
        <f t="shared" si="29"/>
        <v>0</v>
      </c>
      <c r="L6028" s="59">
        <f t="shared" si="30"/>
        <v>0</v>
      </c>
      <c r="M6028" s="59">
        <f t="shared" si="31"/>
        <v>0</v>
      </c>
    </row>
    <row r="6029" ht="15.0" hidden="1" customHeight="1">
      <c r="A6029" s="59">
        <f t="shared" si="20"/>
        <v>97</v>
      </c>
      <c r="B6029" s="59" t="str">
        <f t="shared" si="21"/>
        <v/>
      </c>
      <c r="C6029" s="59" t="str">
        <f t="shared" si="22"/>
        <v/>
      </c>
      <c r="D6029" s="45" t="str">
        <f t="shared" si="23"/>
        <v/>
      </c>
      <c r="E6029" s="45" t="str">
        <f t="shared" si="24"/>
        <v/>
      </c>
      <c r="F6029" s="59" t="str">
        <f t="shared" si="25"/>
        <v/>
      </c>
      <c r="G6029" s="59" t="str">
        <f t="shared" si="26"/>
        <v/>
      </c>
      <c r="H6029" s="59" t="str">
        <f t="shared" si="27"/>
        <v>28H00669</v>
      </c>
      <c r="I6029" s="59" t="str">
        <f>IF(OR($A6029="",$C6029="",$D6029="",$E6029="",$H6029=""),"",SUMIFS(DATA_GOC!$H:$H,DATA_GOC!$A:$A,"BOM",DATA_GOC!$D:$D,$H6029,DATA_GOC!$E:$E,$C6029,DATA_GOC!$F:$F,"Xuất nội bộ từ téc",DATA_GOC!$B:$B,"&gt;="&amp;$D6029,DATA_GOC!$B:$B,"&lt;="&amp;$E6029))</f>
        <v/>
      </c>
      <c r="J6029" s="59">
        <f t="shared" si="28"/>
        <v>0</v>
      </c>
      <c r="K6029" s="59">
        <f t="shared" si="29"/>
        <v>0</v>
      </c>
      <c r="L6029" s="59">
        <f t="shared" si="30"/>
        <v>0</v>
      </c>
      <c r="M6029" s="59">
        <f t="shared" si="31"/>
        <v>0</v>
      </c>
    </row>
    <row r="6030" ht="15.0" hidden="1" customHeight="1">
      <c r="A6030" s="59">
        <f t="shared" si="20"/>
        <v>97</v>
      </c>
      <c r="B6030" s="59" t="str">
        <f t="shared" si="21"/>
        <v/>
      </c>
      <c r="C6030" s="59" t="str">
        <f t="shared" si="22"/>
        <v/>
      </c>
      <c r="D6030" s="45" t="str">
        <f t="shared" si="23"/>
        <v/>
      </c>
      <c r="E6030" s="45" t="str">
        <f t="shared" si="24"/>
        <v/>
      </c>
      <c r="F6030" s="59" t="str">
        <f t="shared" si="25"/>
        <v/>
      </c>
      <c r="G6030" s="59" t="str">
        <f t="shared" si="26"/>
        <v/>
      </c>
      <c r="H6030" s="59" t="str">
        <f t="shared" si="27"/>
        <v>28H00680</v>
      </c>
      <c r="I6030" s="59" t="str">
        <f>IF(OR($A6030="",$C6030="",$D6030="",$E6030="",$H6030=""),"",SUMIFS(DATA_GOC!$H:$H,DATA_GOC!$A:$A,"BOM",DATA_GOC!$D:$D,$H6030,DATA_GOC!$E:$E,$C6030,DATA_GOC!$F:$F,"Xuất nội bộ từ téc",DATA_GOC!$B:$B,"&gt;="&amp;$D6030,DATA_GOC!$B:$B,"&lt;="&amp;$E6030))</f>
        <v/>
      </c>
      <c r="J6030" s="59">
        <f t="shared" si="28"/>
        <v>0</v>
      </c>
      <c r="K6030" s="59">
        <f t="shared" si="29"/>
        <v>0</v>
      </c>
      <c r="L6030" s="59">
        <f t="shared" si="30"/>
        <v>0</v>
      </c>
      <c r="M6030" s="59">
        <f t="shared" si="31"/>
        <v>0</v>
      </c>
    </row>
    <row r="6031" ht="15.0" hidden="1" customHeight="1">
      <c r="A6031" s="59">
        <f t="shared" si="20"/>
        <v>97</v>
      </c>
      <c r="B6031" s="59" t="str">
        <f t="shared" si="21"/>
        <v/>
      </c>
      <c r="C6031" s="59" t="str">
        <f t="shared" si="22"/>
        <v/>
      </c>
      <c r="D6031" s="45" t="str">
        <f t="shared" si="23"/>
        <v/>
      </c>
      <c r="E6031" s="45" t="str">
        <f t="shared" si="24"/>
        <v/>
      </c>
      <c r="F6031" s="59" t="str">
        <f t="shared" si="25"/>
        <v/>
      </c>
      <c r="G6031" s="59" t="str">
        <f t="shared" si="26"/>
        <v/>
      </c>
      <c r="H6031" s="59" t="str">
        <f t="shared" si="27"/>
        <v>28H01070</v>
      </c>
      <c r="I6031" s="59" t="str">
        <f>IF(OR($A6031="",$C6031="",$D6031="",$E6031="",$H6031=""),"",SUMIFS(DATA_GOC!$H:$H,DATA_GOC!$A:$A,"BOM",DATA_GOC!$D:$D,$H6031,DATA_GOC!$E:$E,$C6031,DATA_GOC!$F:$F,"Xuất nội bộ từ téc",DATA_GOC!$B:$B,"&gt;="&amp;$D6031,DATA_GOC!$B:$B,"&lt;="&amp;$E6031))</f>
        <v/>
      </c>
      <c r="J6031" s="59">
        <f t="shared" si="28"/>
        <v>0</v>
      </c>
      <c r="K6031" s="59">
        <f t="shared" si="29"/>
        <v>0</v>
      </c>
      <c r="L6031" s="59">
        <f t="shared" si="30"/>
        <v>0</v>
      </c>
      <c r="M6031" s="59">
        <f t="shared" si="31"/>
        <v>0</v>
      </c>
    </row>
    <row r="6032" ht="15.0" hidden="1" customHeight="1">
      <c r="A6032" s="59">
        <f t="shared" si="20"/>
        <v>97</v>
      </c>
      <c r="B6032" s="59" t="str">
        <f t="shared" si="21"/>
        <v/>
      </c>
      <c r="C6032" s="59" t="str">
        <f t="shared" si="22"/>
        <v/>
      </c>
      <c r="D6032" s="45" t="str">
        <f t="shared" si="23"/>
        <v/>
      </c>
      <c r="E6032" s="45" t="str">
        <f t="shared" si="24"/>
        <v/>
      </c>
      <c r="F6032" s="59" t="str">
        <f t="shared" si="25"/>
        <v/>
      </c>
      <c r="G6032" s="59" t="str">
        <f t="shared" si="26"/>
        <v/>
      </c>
      <c r="H6032" s="59" t="str">
        <f t="shared" si="27"/>
        <v>28H01364</v>
      </c>
      <c r="I6032" s="59" t="str">
        <f>IF(OR($A6032="",$C6032="",$D6032="",$E6032="",$H6032=""),"",SUMIFS(DATA_GOC!$H:$H,DATA_GOC!$A:$A,"BOM",DATA_GOC!$D:$D,$H6032,DATA_GOC!$E:$E,$C6032,DATA_GOC!$F:$F,"Xuất nội bộ từ téc",DATA_GOC!$B:$B,"&gt;="&amp;$D6032,DATA_GOC!$B:$B,"&lt;="&amp;$E6032))</f>
        <v/>
      </c>
      <c r="J6032" s="59">
        <f t="shared" si="28"/>
        <v>0</v>
      </c>
      <c r="K6032" s="59">
        <f t="shared" si="29"/>
        <v>0</v>
      </c>
      <c r="L6032" s="59">
        <f t="shared" si="30"/>
        <v>0</v>
      </c>
      <c r="M6032" s="59">
        <f t="shared" si="31"/>
        <v>0</v>
      </c>
    </row>
    <row r="6033" ht="15.0" hidden="1" customHeight="1">
      <c r="A6033" s="59">
        <f t="shared" si="20"/>
        <v>97</v>
      </c>
      <c r="B6033" s="59" t="str">
        <f t="shared" si="21"/>
        <v/>
      </c>
      <c r="C6033" s="59" t="str">
        <f t="shared" si="22"/>
        <v/>
      </c>
      <c r="D6033" s="45" t="str">
        <f t="shared" si="23"/>
        <v/>
      </c>
      <c r="E6033" s="45" t="str">
        <f t="shared" si="24"/>
        <v/>
      </c>
      <c r="F6033" s="59" t="str">
        <f t="shared" si="25"/>
        <v/>
      </c>
      <c r="G6033" s="59" t="str">
        <f t="shared" si="26"/>
        <v/>
      </c>
      <c r="H6033" s="59" t="str">
        <f t="shared" si="27"/>
        <v>29E17269</v>
      </c>
      <c r="I6033" s="59" t="str">
        <f>IF(OR($A6033="",$C6033="",$D6033="",$E6033="",$H6033=""),"",SUMIFS(DATA_GOC!$H:$H,DATA_GOC!$A:$A,"BOM",DATA_GOC!$D:$D,$H6033,DATA_GOC!$E:$E,$C6033,DATA_GOC!$F:$F,"Xuất nội bộ từ téc",DATA_GOC!$B:$B,"&gt;="&amp;$D6033,DATA_GOC!$B:$B,"&lt;="&amp;$E6033))</f>
        <v/>
      </c>
      <c r="J6033" s="59">
        <f t="shared" si="28"/>
        <v>0</v>
      </c>
      <c r="K6033" s="59">
        <f t="shared" si="29"/>
        <v>0</v>
      </c>
      <c r="L6033" s="59">
        <f t="shared" si="30"/>
        <v>0</v>
      </c>
      <c r="M6033" s="59">
        <f t="shared" si="31"/>
        <v>0</v>
      </c>
    </row>
    <row r="6034" ht="15.0" hidden="1" customHeight="1">
      <c r="A6034" s="59">
        <f t="shared" si="20"/>
        <v>97</v>
      </c>
      <c r="B6034" s="59" t="str">
        <f t="shared" si="21"/>
        <v/>
      </c>
      <c r="C6034" s="59" t="str">
        <f t="shared" si="22"/>
        <v/>
      </c>
      <c r="D6034" s="45" t="str">
        <f t="shared" si="23"/>
        <v/>
      </c>
      <c r="E6034" s="45" t="str">
        <f t="shared" si="24"/>
        <v/>
      </c>
      <c r="F6034" s="59" t="str">
        <f t="shared" si="25"/>
        <v/>
      </c>
      <c r="G6034" s="59" t="str">
        <f t="shared" si="26"/>
        <v/>
      </c>
      <c r="H6034" s="59" t="str">
        <f t="shared" si="27"/>
        <v>29E17273</v>
      </c>
      <c r="I6034" s="59" t="str">
        <f>IF(OR($A6034="",$C6034="",$D6034="",$E6034="",$H6034=""),"",SUMIFS(DATA_GOC!$H:$H,DATA_GOC!$A:$A,"BOM",DATA_GOC!$D:$D,$H6034,DATA_GOC!$E:$E,$C6034,DATA_GOC!$F:$F,"Xuất nội bộ từ téc",DATA_GOC!$B:$B,"&gt;="&amp;$D6034,DATA_GOC!$B:$B,"&lt;="&amp;$E6034))</f>
        <v/>
      </c>
      <c r="J6034" s="59">
        <f t="shared" si="28"/>
        <v>0</v>
      </c>
      <c r="K6034" s="59">
        <f t="shared" si="29"/>
        <v>0</v>
      </c>
      <c r="L6034" s="59">
        <f t="shared" si="30"/>
        <v>0</v>
      </c>
      <c r="M6034" s="59">
        <f t="shared" si="31"/>
        <v>0</v>
      </c>
    </row>
    <row r="6035" ht="15.0" hidden="1" customHeight="1">
      <c r="A6035" s="59">
        <f t="shared" si="20"/>
        <v>97</v>
      </c>
      <c r="B6035" s="59" t="str">
        <f t="shared" si="21"/>
        <v/>
      </c>
      <c r="C6035" s="59" t="str">
        <f t="shared" si="22"/>
        <v/>
      </c>
      <c r="D6035" s="45" t="str">
        <f t="shared" si="23"/>
        <v/>
      </c>
      <c r="E6035" s="45" t="str">
        <f t="shared" si="24"/>
        <v/>
      </c>
      <c r="F6035" s="59" t="str">
        <f t="shared" si="25"/>
        <v/>
      </c>
      <c r="G6035" s="59" t="str">
        <f t="shared" si="26"/>
        <v/>
      </c>
      <c r="H6035" s="59" t="str">
        <f t="shared" si="27"/>
        <v>29E17410</v>
      </c>
      <c r="I6035" s="59" t="str">
        <f>IF(OR($A6035="",$C6035="",$D6035="",$E6035="",$H6035=""),"",SUMIFS(DATA_GOC!$H:$H,DATA_GOC!$A:$A,"BOM",DATA_GOC!$D:$D,$H6035,DATA_GOC!$E:$E,$C6035,DATA_GOC!$F:$F,"Xuất nội bộ từ téc",DATA_GOC!$B:$B,"&gt;="&amp;$D6035,DATA_GOC!$B:$B,"&lt;="&amp;$E6035))</f>
        <v/>
      </c>
      <c r="J6035" s="59">
        <f t="shared" si="28"/>
        <v>0</v>
      </c>
      <c r="K6035" s="59">
        <f t="shared" si="29"/>
        <v>0</v>
      </c>
      <c r="L6035" s="59">
        <f t="shared" si="30"/>
        <v>0</v>
      </c>
      <c r="M6035" s="59">
        <f t="shared" si="31"/>
        <v>0</v>
      </c>
    </row>
    <row r="6036" ht="15.0" hidden="1" customHeight="1">
      <c r="A6036" s="59">
        <f t="shared" si="20"/>
        <v>97</v>
      </c>
      <c r="B6036" s="59" t="str">
        <f t="shared" si="21"/>
        <v/>
      </c>
      <c r="C6036" s="59" t="str">
        <f t="shared" si="22"/>
        <v/>
      </c>
      <c r="D6036" s="45" t="str">
        <f t="shared" si="23"/>
        <v/>
      </c>
      <c r="E6036" s="45" t="str">
        <f t="shared" si="24"/>
        <v/>
      </c>
      <c r="F6036" s="59" t="str">
        <f t="shared" si="25"/>
        <v/>
      </c>
      <c r="G6036" s="59" t="str">
        <f t="shared" si="26"/>
        <v/>
      </c>
      <c r="H6036" s="59" t="str">
        <f t="shared" si="27"/>
        <v>29E17417</v>
      </c>
      <c r="I6036" s="59" t="str">
        <f>IF(OR($A6036="",$C6036="",$D6036="",$E6036="",$H6036=""),"",SUMIFS(DATA_GOC!$H:$H,DATA_GOC!$A:$A,"BOM",DATA_GOC!$D:$D,$H6036,DATA_GOC!$E:$E,$C6036,DATA_GOC!$F:$F,"Xuất nội bộ từ téc",DATA_GOC!$B:$B,"&gt;="&amp;$D6036,DATA_GOC!$B:$B,"&lt;="&amp;$E6036))</f>
        <v/>
      </c>
      <c r="J6036" s="59">
        <f t="shared" si="28"/>
        <v>0</v>
      </c>
      <c r="K6036" s="59">
        <f t="shared" si="29"/>
        <v>0</v>
      </c>
      <c r="L6036" s="59">
        <f t="shared" si="30"/>
        <v>0</v>
      </c>
      <c r="M6036" s="59">
        <f t="shared" si="31"/>
        <v>0</v>
      </c>
    </row>
    <row r="6037" ht="15.0" hidden="1" customHeight="1">
      <c r="A6037" s="59">
        <f t="shared" si="20"/>
        <v>97</v>
      </c>
      <c r="B6037" s="59" t="str">
        <f t="shared" si="21"/>
        <v/>
      </c>
      <c r="C6037" s="59" t="str">
        <f t="shared" si="22"/>
        <v/>
      </c>
      <c r="D6037" s="45" t="str">
        <f t="shared" si="23"/>
        <v/>
      </c>
      <c r="E6037" s="45" t="str">
        <f t="shared" si="24"/>
        <v/>
      </c>
      <c r="F6037" s="59" t="str">
        <f t="shared" si="25"/>
        <v/>
      </c>
      <c r="G6037" s="59" t="str">
        <f t="shared" si="26"/>
        <v/>
      </c>
      <c r="H6037" s="59" t="str">
        <f t="shared" si="27"/>
        <v>29E17539</v>
      </c>
      <c r="I6037" s="59" t="str">
        <f>IF(OR($A6037="",$C6037="",$D6037="",$E6037="",$H6037=""),"",SUMIFS(DATA_GOC!$H:$H,DATA_GOC!$A:$A,"BOM",DATA_GOC!$D:$D,$H6037,DATA_GOC!$E:$E,$C6037,DATA_GOC!$F:$F,"Xuất nội bộ từ téc",DATA_GOC!$B:$B,"&gt;="&amp;$D6037,DATA_GOC!$B:$B,"&lt;="&amp;$E6037))</f>
        <v/>
      </c>
      <c r="J6037" s="59">
        <f t="shared" si="28"/>
        <v>0</v>
      </c>
      <c r="K6037" s="59">
        <f t="shared" si="29"/>
        <v>0</v>
      </c>
      <c r="L6037" s="59">
        <f t="shared" si="30"/>
        <v>0</v>
      </c>
      <c r="M6037" s="59">
        <f t="shared" si="31"/>
        <v>0</v>
      </c>
    </row>
    <row r="6038" ht="15.0" hidden="1" customHeight="1">
      <c r="A6038" s="59">
        <f t="shared" si="20"/>
        <v>97</v>
      </c>
      <c r="B6038" s="59" t="str">
        <f t="shared" si="21"/>
        <v/>
      </c>
      <c r="C6038" s="59" t="str">
        <f t="shared" si="22"/>
        <v/>
      </c>
      <c r="D6038" s="45" t="str">
        <f t="shared" si="23"/>
        <v/>
      </c>
      <c r="E6038" s="45" t="str">
        <f t="shared" si="24"/>
        <v/>
      </c>
      <c r="F6038" s="59" t="str">
        <f t="shared" si="25"/>
        <v/>
      </c>
      <c r="G6038" s="59" t="str">
        <f t="shared" si="26"/>
        <v/>
      </c>
      <c r="H6038" s="59" t="str">
        <f t="shared" si="27"/>
        <v>29E18160</v>
      </c>
      <c r="I6038" s="59" t="str">
        <f>IF(OR($A6038="",$C6038="",$D6038="",$E6038="",$H6038=""),"",SUMIFS(DATA_GOC!$H:$H,DATA_GOC!$A:$A,"BOM",DATA_GOC!$D:$D,$H6038,DATA_GOC!$E:$E,$C6038,DATA_GOC!$F:$F,"Xuất nội bộ từ téc",DATA_GOC!$B:$B,"&gt;="&amp;$D6038,DATA_GOC!$B:$B,"&lt;="&amp;$E6038))</f>
        <v/>
      </c>
      <c r="J6038" s="59">
        <f t="shared" si="28"/>
        <v>0</v>
      </c>
      <c r="K6038" s="59">
        <f t="shared" si="29"/>
        <v>0</v>
      </c>
      <c r="L6038" s="59">
        <f t="shared" si="30"/>
        <v>0</v>
      </c>
      <c r="M6038" s="59">
        <f t="shared" si="31"/>
        <v>0</v>
      </c>
    </row>
    <row r="6039" ht="15.0" hidden="1" customHeight="1">
      <c r="A6039" s="59">
        <f t="shared" si="20"/>
        <v>97</v>
      </c>
      <c r="B6039" s="59" t="str">
        <f t="shared" si="21"/>
        <v/>
      </c>
      <c r="C6039" s="59" t="str">
        <f t="shared" si="22"/>
        <v/>
      </c>
      <c r="D6039" s="45" t="str">
        <f t="shared" si="23"/>
        <v/>
      </c>
      <c r="E6039" s="45" t="str">
        <f t="shared" si="24"/>
        <v/>
      </c>
      <c r="F6039" s="59" t="str">
        <f t="shared" si="25"/>
        <v/>
      </c>
      <c r="G6039" s="59" t="str">
        <f t="shared" si="26"/>
        <v/>
      </c>
      <c r="H6039" s="59" t="str">
        <f t="shared" si="27"/>
        <v>Công trình Asphalt</v>
      </c>
      <c r="I6039" s="59" t="str">
        <f>IF(OR($A6039="",$C6039="",$D6039="",$E6039="",$H6039=""),"",SUMIFS(DATA_GOC!$H:$H,DATA_GOC!$A:$A,"BOM",DATA_GOC!$D:$D,$H6039,DATA_GOC!$E:$E,$C6039,DATA_GOC!$F:$F,"Xuất nội bộ từ téc",DATA_GOC!$B:$B,"&gt;="&amp;$D6039,DATA_GOC!$B:$B,"&lt;="&amp;$E6039))</f>
        <v/>
      </c>
      <c r="J6039" s="59">
        <f t="shared" si="28"/>
        <v>0</v>
      </c>
      <c r="K6039" s="59">
        <f t="shared" si="29"/>
        <v>0</v>
      </c>
      <c r="L6039" s="59">
        <f t="shared" si="30"/>
        <v>0</v>
      </c>
      <c r="M6039" s="59">
        <f t="shared" si="31"/>
        <v>0</v>
      </c>
    </row>
    <row r="6040" ht="15.0" hidden="1" customHeight="1">
      <c r="A6040" s="59">
        <f t="shared" si="20"/>
        <v>97</v>
      </c>
      <c r="B6040" s="59" t="str">
        <f t="shared" si="21"/>
        <v/>
      </c>
      <c r="C6040" s="59" t="str">
        <f t="shared" si="22"/>
        <v/>
      </c>
      <c r="D6040" s="45" t="str">
        <f t="shared" si="23"/>
        <v/>
      </c>
      <c r="E6040" s="45" t="str">
        <f t="shared" si="24"/>
        <v/>
      </c>
      <c r="F6040" s="59" t="str">
        <f t="shared" si="25"/>
        <v/>
      </c>
      <c r="G6040" s="59" t="str">
        <f t="shared" si="26"/>
        <v/>
      </c>
      <c r="H6040" s="59" t="str">
        <f t="shared" si="27"/>
        <v>LG53F</v>
      </c>
      <c r="I6040" s="59" t="str">
        <f>IF(OR($A6040="",$C6040="",$D6040="",$E6040="",$H6040=""),"",SUMIFS(DATA_GOC!$H:$H,DATA_GOC!$A:$A,"BOM",DATA_GOC!$D:$D,$H6040,DATA_GOC!$E:$E,$C6040,DATA_GOC!$F:$F,"Xuất nội bộ từ téc",DATA_GOC!$B:$B,"&gt;="&amp;$D6040,DATA_GOC!$B:$B,"&lt;="&amp;$E6040))</f>
        <v/>
      </c>
      <c r="J6040" s="59">
        <f t="shared" si="28"/>
        <v>0</v>
      </c>
      <c r="K6040" s="59">
        <f t="shared" si="29"/>
        <v>0</v>
      </c>
      <c r="L6040" s="59">
        <f t="shared" si="30"/>
        <v>0</v>
      </c>
      <c r="M6040" s="59">
        <f t="shared" si="31"/>
        <v>0</v>
      </c>
    </row>
    <row r="6041" ht="15.0" hidden="1" customHeight="1">
      <c r="A6041" s="59">
        <f t="shared" si="20"/>
        <v>97</v>
      </c>
      <c r="B6041" s="59" t="str">
        <f t="shared" si="21"/>
        <v/>
      </c>
      <c r="C6041" s="59" t="str">
        <f t="shared" si="22"/>
        <v/>
      </c>
      <c r="D6041" s="45" t="str">
        <f t="shared" si="23"/>
        <v/>
      </c>
      <c r="E6041" s="45" t="str">
        <f t="shared" si="24"/>
        <v/>
      </c>
      <c r="F6041" s="59" t="str">
        <f t="shared" si="25"/>
        <v/>
      </c>
      <c r="G6041" s="59" t="str">
        <f t="shared" si="26"/>
        <v/>
      </c>
      <c r="H6041" s="59" t="str">
        <f t="shared" si="27"/>
        <v>Máy phát điện</v>
      </c>
      <c r="I6041" s="59" t="str">
        <f>IF(OR($A6041="",$C6041="",$D6041="",$E6041="",$H6041=""),"",SUMIFS(DATA_GOC!$H:$H,DATA_GOC!$A:$A,"BOM",DATA_GOC!$D:$D,$H6041,DATA_GOC!$E:$E,$C6041,DATA_GOC!$F:$F,"Xuất nội bộ từ téc",DATA_GOC!$B:$B,"&gt;="&amp;$D6041,DATA_GOC!$B:$B,"&lt;="&amp;$E6041))</f>
        <v/>
      </c>
      <c r="J6041" s="59">
        <f t="shared" si="28"/>
        <v>0</v>
      </c>
      <c r="K6041" s="59">
        <f t="shared" si="29"/>
        <v>0</v>
      </c>
      <c r="L6041" s="59">
        <f t="shared" si="30"/>
        <v>0</v>
      </c>
      <c r="M6041" s="59">
        <f t="shared" si="31"/>
        <v>0</v>
      </c>
    </row>
    <row r="6042" ht="15.0" hidden="1" customHeight="1">
      <c r="A6042" s="59">
        <f t="shared" si="20"/>
        <v>97</v>
      </c>
      <c r="B6042" s="59" t="str">
        <f t="shared" si="21"/>
        <v/>
      </c>
      <c r="C6042" s="59" t="str">
        <f t="shared" si="22"/>
        <v/>
      </c>
      <c r="D6042" s="45" t="str">
        <f t="shared" si="23"/>
        <v/>
      </c>
      <c r="E6042" s="45" t="str">
        <f t="shared" si="24"/>
        <v/>
      </c>
      <c r="F6042" s="59" t="str">
        <f t="shared" si="25"/>
        <v/>
      </c>
      <c r="G6042" s="59" t="str">
        <f t="shared" si="26"/>
        <v/>
      </c>
      <c r="H6042" s="59" t="str">
        <f t="shared" si="27"/>
        <v>Máy rải thảm</v>
      </c>
      <c r="I6042" s="59" t="str">
        <f>IF(OR($A6042="",$C6042="",$D6042="",$E6042="",$H6042=""),"",SUMIFS(DATA_GOC!$H:$H,DATA_GOC!$A:$A,"BOM",DATA_GOC!$D:$D,$H6042,DATA_GOC!$E:$E,$C6042,DATA_GOC!$F:$F,"Xuất nội bộ từ téc",DATA_GOC!$B:$B,"&gt;="&amp;$D6042,DATA_GOC!$B:$B,"&lt;="&amp;$E6042))</f>
        <v/>
      </c>
      <c r="J6042" s="59">
        <f t="shared" si="28"/>
        <v>0</v>
      </c>
      <c r="K6042" s="59">
        <f t="shared" si="29"/>
        <v>0</v>
      </c>
      <c r="L6042" s="59">
        <f t="shared" si="30"/>
        <v>0</v>
      </c>
      <c r="M6042" s="59">
        <f t="shared" si="31"/>
        <v>0</v>
      </c>
    </row>
    <row r="6043" ht="15.0" hidden="1" customHeight="1">
      <c r="A6043" s="59">
        <f t="shared" si="20"/>
        <v>97</v>
      </c>
      <c r="B6043" s="59" t="str">
        <f t="shared" si="21"/>
        <v/>
      </c>
      <c r="C6043" s="59" t="str">
        <f t="shared" si="22"/>
        <v/>
      </c>
      <c r="D6043" s="45" t="str">
        <f t="shared" si="23"/>
        <v/>
      </c>
      <c r="E6043" s="45" t="str">
        <f t="shared" si="24"/>
        <v/>
      </c>
      <c r="F6043" s="59" t="str">
        <f t="shared" si="25"/>
        <v/>
      </c>
      <c r="G6043" s="59" t="str">
        <f t="shared" si="26"/>
        <v/>
      </c>
      <c r="H6043" s="59" t="str">
        <f t="shared" si="27"/>
        <v>Xúc Đào</v>
      </c>
      <c r="I6043" s="59" t="str">
        <f>IF(OR($A6043="",$C6043="",$D6043="",$E6043="",$H6043=""),"",SUMIFS(DATA_GOC!$H:$H,DATA_GOC!$A:$A,"BOM",DATA_GOC!$D:$D,$H6043,DATA_GOC!$E:$E,$C6043,DATA_GOC!$F:$F,"Xuất nội bộ từ téc",DATA_GOC!$B:$B,"&gt;="&amp;$D6043,DATA_GOC!$B:$B,"&lt;="&amp;$E6043))</f>
        <v/>
      </c>
      <c r="J6043" s="59">
        <f t="shared" si="28"/>
        <v>0</v>
      </c>
      <c r="K6043" s="59">
        <f t="shared" si="29"/>
        <v>0</v>
      </c>
      <c r="L6043" s="59">
        <f t="shared" si="30"/>
        <v>0</v>
      </c>
      <c r="M6043" s="59">
        <f t="shared" si="31"/>
        <v>0</v>
      </c>
    </row>
    <row r="6044" ht="15.0" hidden="1" customHeight="1">
      <c r="A6044" s="59">
        <f t="shared" si="20"/>
        <v>97</v>
      </c>
      <c r="B6044" s="59" t="str">
        <f t="shared" si="21"/>
        <v/>
      </c>
      <c r="C6044" s="59" t="str">
        <f t="shared" si="22"/>
        <v/>
      </c>
      <c r="D6044" s="45" t="str">
        <f t="shared" si="23"/>
        <v/>
      </c>
      <c r="E6044" s="45" t="str">
        <f t="shared" si="24"/>
        <v/>
      </c>
      <c r="F6044" s="59" t="str">
        <f t="shared" si="25"/>
        <v/>
      </c>
      <c r="G6044" s="59" t="str">
        <f t="shared" si="26"/>
        <v/>
      </c>
      <c r="H6044" s="59" t="str">
        <f t="shared" si="27"/>
        <v>Xúclật asphalt</v>
      </c>
      <c r="I6044" s="59" t="str">
        <f>IF(OR($A6044="",$C6044="",$D6044="",$E6044="",$H6044=""),"",SUMIFS(DATA_GOC!$H:$H,DATA_GOC!$A:$A,"BOM",DATA_GOC!$D:$D,$H6044,DATA_GOC!$E:$E,$C6044,DATA_GOC!$F:$F,"Xuất nội bộ từ téc",DATA_GOC!$B:$B,"&gt;="&amp;$D6044,DATA_GOC!$B:$B,"&lt;="&amp;$E6044))</f>
        <v/>
      </c>
      <c r="J6044" s="59">
        <f t="shared" si="28"/>
        <v>0</v>
      </c>
      <c r="K6044" s="59">
        <f t="shared" si="29"/>
        <v>0</v>
      </c>
      <c r="L6044" s="59">
        <f t="shared" si="30"/>
        <v>0</v>
      </c>
      <c r="M6044" s="59">
        <f t="shared" si="31"/>
        <v>0</v>
      </c>
    </row>
    <row r="6045" ht="15.0" hidden="1" customHeight="1">
      <c r="A6045" s="59">
        <f t="shared" si="20"/>
        <v>97</v>
      </c>
      <c r="B6045" s="59" t="str">
        <f t="shared" si="21"/>
        <v/>
      </c>
      <c r="C6045" s="59" t="str">
        <f t="shared" si="22"/>
        <v/>
      </c>
      <c r="D6045" s="45" t="str">
        <f t="shared" si="23"/>
        <v/>
      </c>
      <c r="E6045" s="45" t="str">
        <f t="shared" si="24"/>
        <v/>
      </c>
      <c r="F6045" s="59" t="str">
        <f t="shared" si="25"/>
        <v/>
      </c>
      <c r="G6045" s="59" t="str">
        <f t="shared" si="26"/>
        <v/>
      </c>
      <c r="H6045" s="59" t="str">
        <f t="shared" si="27"/>
        <v>Xúclật855H</v>
      </c>
      <c r="I6045" s="59" t="str">
        <f>IF(OR($A6045="",$C6045="",$D6045="",$E6045="",$H6045=""),"",SUMIFS(DATA_GOC!$H:$H,DATA_GOC!$A:$A,"BOM",DATA_GOC!$D:$D,$H6045,DATA_GOC!$E:$E,$C6045,DATA_GOC!$F:$F,"Xuất nội bộ từ téc",DATA_GOC!$B:$B,"&gt;="&amp;$D6045,DATA_GOC!$B:$B,"&lt;="&amp;$E6045))</f>
        <v/>
      </c>
      <c r="J6045" s="59">
        <f t="shared" si="28"/>
        <v>0</v>
      </c>
      <c r="K6045" s="59">
        <f t="shared" si="29"/>
        <v>0</v>
      </c>
      <c r="L6045" s="59">
        <f t="shared" si="30"/>
        <v>0</v>
      </c>
      <c r="M6045" s="59">
        <f t="shared" si="31"/>
        <v>0</v>
      </c>
    </row>
    <row r="6046" ht="15.0" hidden="1" customHeight="1">
      <c r="A6046" s="59">
        <f t="shared" si="20"/>
        <v>97</v>
      </c>
      <c r="B6046" s="59" t="str">
        <f t="shared" si="21"/>
        <v/>
      </c>
      <c r="C6046" s="59" t="str">
        <f t="shared" si="22"/>
        <v/>
      </c>
      <c r="D6046" s="45" t="str">
        <f t="shared" si="23"/>
        <v/>
      </c>
      <c r="E6046" s="45" t="str">
        <f t="shared" si="24"/>
        <v/>
      </c>
      <c r="F6046" s="59" t="str">
        <f t="shared" si="25"/>
        <v/>
      </c>
      <c r="G6046" s="59" t="str">
        <f t="shared" si="26"/>
        <v/>
      </c>
      <c r="H6046" s="59" t="str">
        <f t="shared" si="27"/>
        <v>Xúclật855N</v>
      </c>
      <c r="I6046" s="59" t="str">
        <f>IF(OR($A6046="",$C6046="",$D6046="",$E6046="",$H6046=""),"",SUMIFS(DATA_GOC!$H:$H,DATA_GOC!$A:$A,"BOM",DATA_GOC!$D:$D,$H6046,DATA_GOC!$E:$E,$C6046,DATA_GOC!$F:$F,"Xuất nội bộ từ téc",DATA_GOC!$B:$B,"&gt;="&amp;$D6046,DATA_GOC!$B:$B,"&lt;="&amp;$E6046))</f>
        <v/>
      </c>
      <c r="J6046" s="59">
        <f t="shared" si="28"/>
        <v>0</v>
      </c>
      <c r="K6046" s="59">
        <f t="shared" si="29"/>
        <v>0</v>
      </c>
      <c r="L6046" s="59">
        <f t="shared" si="30"/>
        <v>0</v>
      </c>
      <c r="M6046" s="59">
        <f t="shared" si="31"/>
        <v>0</v>
      </c>
    </row>
    <row r="6047" ht="15.0" hidden="1" customHeight="1">
      <c r="A6047" s="59">
        <f t="shared" si="20"/>
        <v>97</v>
      </c>
      <c r="B6047" s="59" t="str">
        <f t="shared" si="21"/>
        <v/>
      </c>
      <c r="C6047" s="59" t="str">
        <f t="shared" si="22"/>
        <v/>
      </c>
      <c r="D6047" s="45" t="str">
        <f t="shared" si="23"/>
        <v/>
      </c>
      <c r="E6047" s="45" t="str">
        <f t="shared" si="24"/>
        <v/>
      </c>
      <c r="F6047" s="59" t="str">
        <f t="shared" si="25"/>
        <v/>
      </c>
      <c r="G6047" s="59" t="str">
        <f t="shared" si="26"/>
        <v/>
      </c>
      <c r="H6047" s="59" t="str">
        <f t="shared" si="27"/>
        <v>Cát nghiền</v>
      </c>
      <c r="I6047" s="59" t="str">
        <f>IF(OR($A6047="",$C6047="",$D6047="",$E6047="",$H6047=""),"",SUMIFS(DATA_GOC!$H:$H,DATA_GOC!$A:$A,"BOM",DATA_GOC!$D:$D,$H6047,DATA_GOC!$E:$E,$C6047,DATA_GOC!$F:$F,"Xuất nội bộ từ téc",DATA_GOC!$B:$B,"&gt;="&amp;$D6047,DATA_GOC!$B:$B,"&lt;="&amp;$E6047))</f>
        <v/>
      </c>
      <c r="J6047" s="59">
        <f t="shared" si="28"/>
        <v>0</v>
      </c>
      <c r="K6047" s="59">
        <f t="shared" si="29"/>
        <v>0</v>
      </c>
      <c r="L6047" s="59">
        <f t="shared" si="30"/>
        <v>0</v>
      </c>
      <c r="M6047" s="59">
        <f t="shared" si="31"/>
        <v>0</v>
      </c>
    </row>
    <row r="6048" ht="15.0" hidden="1" customHeight="1">
      <c r="A6048" s="59">
        <f t="shared" si="20"/>
        <v>97</v>
      </c>
      <c r="B6048" s="59" t="str">
        <f t="shared" si="21"/>
        <v/>
      </c>
      <c r="C6048" s="59" t="str">
        <f t="shared" si="22"/>
        <v/>
      </c>
      <c r="D6048" s="45" t="str">
        <f t="shared" si="23"/>
        <v/>
      </c>
      <c r="E6048" s="45" t="str">
        <f t="shared" si="24"/>
        <v/>
      </c>
      <c r="F6048" s="59" t="str">
        <f t="shared" si="25"/>
        <v/>
      </c>
      <c r="G6048" s="59" t="str">
        <f t="shared" si="26"/>
        <v/>
      </c>
      <c r="H6048" s="59" t="str">
        <f t="shared" si="27"/>
        <v>28C02973</v>
      </c>
      <c r="I6048" s="59" t="str">
        <f>IF(OR($A6048="",$C6048="",$D6048="",$E6048="",$H6048=""),"",SUMIFS(DATA_GOC!$H:$H,DATA_GOC!$A:$A,"BOM",DATA_GOC!$D:$D,$H6048,DATA_GOC!$E:$E,$C6048,DATA_GOC!$F:$F,"Xuất nội bộ từ téc",DATA_GOC!$B:$B,"&gt;="&amp;$D6048,DATA_GOC!$B:$B,"&lt;="&amp;$E6048))</f>
        <v/>
      </c>
      <c r="J6048" s="59">
        <f t="shared" si="28"/>
        <v>0</v>
      </c>
      <c r="K6048" s="59">
        <f t="shared" si="29"/>
        <v>0</v>
      </c>
      <c r="L6048" s="59">
        <f t="shared" si="30"/>
        <v>0</v>
      </c>
      <c r="M6048" s="59">
        <f t="shared" si="31"/>
        <v>0</v>
      </c>
    </row>
    <row r="6049" ht="15.0" hidden="1" customHeight="1">
      <c r="A6049" s="59">
        <f t="shared" si="20"/>
        <v>97</v>
      </c>
      <c r="B6049" s="59" t="str">
        <f t="shared" si="21"/>
        <v/>
      </c>
      <c r="C6049" s="59" t="str">
        <f t="shared" si="22"/>
        <v/>
      </c>
      <c r="D6049" s="45" t="str">
        <f t="shared" si="23"/>
        <v/>
      </c>
      <c r="E6049" s="45" t="str">
        <f t="shared" si="24"/>
        <v/>
      </c>
      <c r="F6049" s="59" t="str">
        <f t="shared" si="25"/>
        <v/>
      </c>
      <c r="G6049" s="59" t="str">
        <f t="shared" si="26"/>
        <v/>
      </c>
      <c r="H6049" s="59" t="str">
        <f t="shared" si="27"/>
        <v>28C03044</v>
      </c>
      <c r="I6049" s="59" t="str">
        <f>IF(OR($A6049="",$C6049="",$D6049="",$E6049="",$H6049=""),"",SUMIFS(DATA_GOC!$H:$H,DATA_GOC!$A:$A,"BOM",DATA_GOC!$D:$D,$H6049,DATA_GOC!$E:$E,$C6049,DATA_GOC!$F:$F,"Xuất nội bộ từ téc",DATA_GOC!$B:$B,"&gt;="&amp;$D6049,DATA_GOC!$B:$B,"&lt;="&amp;$E6049))</f>
        <v/>
      </c>
      <c r="J6049" s="59">
        <f t="shared" si="28"/>
        <v>0</v>
      </c>
      <c r="K6049" s="59">
        <f t="shared" si="29"/>
        <v>0</v>
      </c>
      <c r="L6049" s="59">
        <f t="shared" si="30"/>
        <v>0</v>
      </c>
      <c r="M6049" s="59">
        <f t="shared" si="31"/>
        <v>0</v>
      </c>
    </row>
    <row r="6050" ht="15.0" hidden="1" customHeight="1">
      <c r="A6050" s="59">
        <f t="shared" si="20"/>
        <v>97</v>
      </c>
      <c r="B6050" s="59" t="str">
        <f t="shared" si="21"/>
        <v/>
      </c>
      <c r="C6050" s="59" t="str">
        <f t="shared" si="22"/>
        <v/>
      </c>
      <c r="D6050" s="45" t="str">
        <f t="shared" si="23"/>
        <v/>
      </c>
      <c r="E6050" s="45" t="str">
        <f t="shared" si="24"/>
        <v/>
      </c>
      <c r="F6050" s="59" t="str">
        <f t="shared" si="25"/>
        <v/>
      </c>
      <c r="G6050" s="59" t="str">
        <f t="shared" si="26"/>
        <v/>
      </c>
      <c r="H6050" s="59" t="str">
        <f t="shared" si="27"/>
        <v>Máy lu lốp</v>
      </c>
      <c r="I6050" s="59" t="str">
        <f>IF(OR($A6050="",$C6050="",$D6050="",$E6050="",$H6050=""),"",SUMIFS(DATA_GOC!$H:$H,DATA_GOC!$A:$A,"BOM",DATA_GOC!$D:$D,$H6050,DATA_GOC!$E:$E,$C6050,DATA_GOC!$F:$F,"Xuất nội bộ từ téc",DATA_GOC!$B:$B,"&gt;="&amp;$D6050,DATA_GOC!$B:$B,"&lt;="&amp;$E6050))</f>
        <v/>
      </c>
      <c r="J6050" s="59">
        <f t="shared" si="28"/>
        <v>0</v>
      </c>
      <c r="K6050" s="59">
        <f t="shared" si="29"/>
        <v>0</v>
      </c>
      <c r="L6050" s="59">
        <f t="shared" si="30"/>
        <v>0</v>
      </c>
      <c r="M6050" s="59">
        <f t="shared" si="31"/>
        <v>0</v>
      </c>
    </row>
    <row r="6051" ht="15.0" hidden="1" customHeight="1">
      <c r="A6051" s="59">
        <f t="shared" si="20"/>
        <v>97</v>
      </c>
      <c r="B6051" s="59" t="str">
        <f t="shared" si="21"/>
        <v/>
      </c>
      <c r="C6051" s="59" t="str">
        <f t="shared" si="22"/>
        <v/>
      </c>
      <c r="D6051" s="45" t="str">
        <f t="shared" si="23"/>
        <v/>
      </c>
      <c r="E6051" s="45" t="str">
        <f t="shared" si="24"/>
        <v/>
      </c>
      <c r="F6051" s="59" t="str">
        <f t="shared" si="25"/>
        <v/>
      </c>
      <c r="G6051" s="59" t="str">
        <f t="shared" si="26"/>
        <v/>
      </c>
      <c r="H6051" s="59" t="str">
        <f t="shared" si="27"/>
        <v>Xe 600148</v>
      </c>
      <c r="I6051" s="59" t="str">
        <f>IF(OR($A6051="",$C6051="",$D6051="",$E6051="",$H6051=""),"",SUMIFS(DATA_GOC!$H:$H,DATA_GOC!$A:$A,"BOM",DATA_GOC!$D:$D,$H6051,DATA_GOC!$E:$E,$C6051,DATA_GOC!$F:$F,"Xuất nội bộ từ téc",DATA_GOC!$B:$B,"&gt;="&amp;$D6051,DATA_GOC!$B:$B,"&lt;="&amp;$E6051))</f>
        <v/>
      </c>
      <c r="J6051" s="59">
        <f t="shared" si="28"/>
        <v>0</v>
      </c>
      <c r="K6051" s="59">
        <f t="shared" si="29"/>
        <v>0</v>
      </c>
      <c r="L6051" s="59">
        <f t="shared" si="30"/>
        <v>0</v>
      </c>
      <c r="M6051" s="59">
        <f t="shared" si="31"/>
        <v>0</v>
      </c>
    </row>
    <row r="6052" ht="15.0" hidden="1" customHeight="1">
      <c r="A6052" s="59">
        <f t="shared" si="20"/>
        <v>97</v>
      </c>
      <c r="B6052" s="59" t="str">
        <f t="shared" si="21"/>
        <v/>
      </c>
      <c r="C6052" s="59" t="str">
        <f t="shared" si="22"/>
        <v/>
      </c>
      <c r="D6052" s="45" t="str">
        <f t="shared" si="23"/>
        <v/>
      </c>
      <c r="E6052" s="45" t="str">
        <f t="shared" si="24"/>
        <v/>
      </c>
      <c r="F6052" s="59" t="str">
        <f t="shared" si="25"/>
        <v/>
      </c>
      <c r="G6052" s="59" t="str">
        <f t="shared" si="26"/>
        <v/>
      </c>
      <c r="H6052" s="59" t="str">
        <f t="shared" si="27"/>
        <v>Xe ben mới</v>
      </c>
      <c r="I6052" s="59" t="str">
        <f>IF(OR($A6052="",$C6052="",$D6052="",$E6052="",$H6052=""),"",SUMIFS(DATA_GOC!$H:$H,DATA_GOC!$A:$A,"BOM",DATA_GOC!$D:$D,$H6052,DATA_GOC!$E:$E,$C6052,DATA_GOC!$F:$F,"Xuất nội bộ từ téc",DATA_GOC!$B:$B,"&gt;="&amp;$D6052,DATA_GOC!$B:$B,"&lt;="&amp;$E6052))</f>
        <v/>
      </c>
      <c r="J6052" s="59">
        <f t="shared" si="28"/>
        <v>0</v>
      </c>
      <c r="K6052" s="59">
        <f t="shared" si="29"/>
        <v>0</v>
      </c>
      <c r="L6052" s="59">
        <f t="shared" si="30"/>
        <v>0</v>
      </c>
      <c r="M6052" s="59">
        <f t="shared" si="31"/>
        <v>0</v>
      </c>
    </row>
    <row r="6053" ht="15.0" hidden="1" customHeight="1">
      <c r="A6053" s="59">
        <f t="shared" si="20"/>
        <v>98</v>
      </c>
      <c r="B6053" s="59" t="str">
        <f t="shared" si="21"/>
        <v/>
      </c>
      <c r="C6053" s="59" t="str">
        <f t="shared" si="22"/>
        <v/>
      </c>
      <c r="D6053" s="45" t="str">
        <f t="shared" si="23"/>
        <v/>
      </c>
      <c r="E6053" s="45" t="str">
        <f t="shared" si="24"/>
        <v/>
      </c>
      <c r="F6053" s="59" t="str">
        <f t="shared" si="25"/>
        <v/>
      </c>
      <c r="G6053" s="59" t="str">
        <f t="shared" si="26"/>
        <v/>
      </c>
      <c r="H6053" s="59" t="str">
        <f t="shared" si="27"/>
        <v>19H09482</v>
      </c>
      <c r="I6053" s="59" t="str">
        <f>IF(OR($A6053="",$C6053="",$D6053="",$E6053="",$H6053=""),"",SUMIFS(DATA_GOC!$H:$H,DATA_GOC!$A:$A,"BOM",DATA_GOC!$D:$D,$H6053,DATA_GOC!$E:$E,$C6053,DATA_GOC!$F:$F,"Xuất nội bộ từ téc",DATA_GOC!$B:$B,"&gt;="&amp;$D6053,DATA_GOC!$B:$B,"&lt;="&amp;$E6053))</f>
        <v/>
      </c>
      <c r="J6053" s="59">
        <f t="shared" si="28"/>
        <v>0</v>
      </c>
      <c r="K6053" s="59">
        <f t="shared" si="29"/>
        <v>0</v>
      </c>
      <c r="L6053" s="59">
        <f t="shared" si="30"/>
        <v>0</v>
      </c>
      <c r="M6053" s="59">
        <f t="shared" si="31"/>
        <v>0</v>
      </c>
    </row>
    <row r="6054" ht="15.0" hidden="1" customHeight="1">
      <c r="A6054" s="59">
        <f t="shared" si="20"/>
        <v>98</v>
      </c>
      <c r="B6054" s="59" t="str">
        <f t="shared" si="21"/>
        <v/>
      </c>
      <c r="C6054" s="59" t="str">
        <f t="shared" si="22"/>
        <v/>
      </c>
      <c r="D6054" s="45" t="str">
        <f t="shared" si="23"/>
        <v/>
      </c>
      <c r="E6054" s="45" t="str">
        <f t="shared" si="24"/>
        <v/>
      </c>
      <c r="F6054" s="59" t="str">
        <f t="shared" si="25"/>
        <v/>
      </c>
      <c r="G6054" s="59" t="str">
        <f t="shared" si="26"/>
        <v/>
      </c>
      <c r="H6054" s="59" t="str">
        <f t="shared" si="27"/>
        <v>28A30696</v>
      </c>
      <c r="I6054" s="59" t="str">
        <f>IF(OR($A6054="",$C6054="",$D6054="",$E6054="",$H6054=""),"",SUMIFS(DATA_GOC!$H:$H,DATA_GOC!$A:$A,"BOM",DATA_GOC!$D:$D,$H6054,DATA_GOC!$E:$E,$C6054,DATA_GOC!$F:$F,"Xuất nội bộ từ téc",DATA_GOC!$B:$B,"&gt;="&amp;$D6054,DATA_GOC!$B:$B,"&lt;="&amp;$E6054))</f>
        <v/>
      </c>
      <c r="J6054" s="59">
        <f t="shared" si="28"/>
        <v>0</v>
      </c>
      <c r="K6054" s="59">
        <f t="shared" si="29"/>
        <v>0</v>
      </c>
      <c r="L6054" s="59">
        <f t="shared" si="30"/>
        <v>0</v>
      </c>
      <c r="M6054" s="59">
        <f t="shared" si="31"/>
        <v>0</v>
      </c>
    </row>
    <row r="6055" ht="15.0" hidden="1" customHeight="1">
      <c r="A6055" s="59">
        <f t="shared" si="20"/>
        <v>98</v>
      </c>
      <c r="B6055" s="59" t="str">
        <f t="shared" si="21"/>
        <v/>
      </c>
      <c r="C6055" s="59" t="str">
        <f t="shared" si="22"/>
        <v/>
      </c>
      <c r="D6055" s="45" t="str">
        <f t="shared" si="23"/>
        <v/>
      </c>
      <c r="E6055" s="45" t="str">
        <f t="shared" si="24"/>
        <v/>
      </c>
      <c r="F6055" s="59" t="str">
        <f t="shared" si="25"/>
        <v/>
      </c>
      <c r="G6055" s="59" t="str">
        <f t="shared" si="26"/>
        <v/>
      </c>
      <c r="H6055" s="59" t="str">
        <f t="shared" si="27"/>
        <v>28C00462</v>
      </c>
      <c r="I6055" s="59" t="str">
        <f>IF(OR($A6055="",$C6055="",$D6055="",$E6055="",$H6055=""),"",SUMIFS(DATA_GOC!$H:$H,DATA_GOC!$A:$A,"BOM",DATA_GOC!$D:$D,$H6055,DATA_GOC!$E:$E,$C6055,DATA_GOC!$F:$F,"Xuất nội bộ từ téc",DATA_GOC!$B:$B,"&gt;="&amp;$D6055,DATA_GOC!$B:$B,"&lt;="&amp;$E6055))</f>
        <v/>
      </c>
      <c r="J6055" s="59">
        <f t="shared" si="28"/>
        <v>0</v>
      </c>
      <c r="K6055" s="59">
        <f t="shared" si="29"/>
        <v>0</v>
      </c>
      <c r="L6055" s="59">
        <f t="shared" si="30"/>
        <v>0</v>
      </c>
      <c r="M6055" s="59">
        <f t="shared" si="31"/>
        <v>0</v>
      </c>
    </row>
    <row r="6056" ht="15.0" hidden="1" customHeight="1">
      <c r="A6056" s="59">
        <f t="shared" si="20"/>
        <v>98</v>
      </c>
      <c r="B6056" s="59" t="str">
        <f t="shared" si="21"/>
        <v/>
      </c>
      <c r="C6056" s="59" t="str">
        <f t="shared" si="22"/>
        <v/>
      </c>
      <c r="D6056" s="45" t="str">
        <f t="shared" si="23"/>
        <v/>
      </c>
      <c r="E6056" s="45" t="str">
        <f t="shared" si="24"/>
        <v/>
      </c>
      <c r="F6056" s="59" t="str">
        <f t="shared" si="25"/>
        <v/>
      </c>
      <c r="G6056" s="59" t="str">
        <f t="shared" si="26"/>
        <v/>
      </c>
      <c r="H6056" s="59" t="str">
        <f t="shared" si="27"/>
        <v>28C01165</v>
      </c>
      <c r="I6056" s="59" t="str">
        <f>IF(OR($A6056="",$C6056="",$D6056="",$E6056="",$H6056=""),"",SUMIFS(DATA_GOC!$H:$H,DATA_GOC!$A:$A,"BOM",DATA_GOC!$D:$D,$H6056,DATA_GOC!$E:$E,$C6056,DATA_GOC!$F:$F,"Xuất nội bộ từ téc",DATA_GOC!$B:$B,"&gt;="&amp;$D6056,DATA_GOC!$B:$B,"&lt;="&amp;$E6056))</f>
        <v/>
      </c>
      <c r="J6056" s="59">
        <f t="shared" si="28"/>
        <v>0</v>
      </c>
      <c r="K6056" s="59">
        <f t="shared" si="29"/>
        <v>0</v>
      </c>
      <c r="L6056" s="59">
        <f t="shared" si="30"/>
        <v>0</v>
      </c>
      <c r="M6056" s="59">
        <f t="shared" si="31"/>
        <v>0</v>
      </c>
    </row>
    <row r="6057" ht="15.0" hidden="1" customHeight="1">
      <c r="A6057" s="59">
        <f t="shared" si="20"/>
        <v>98</v>
      </c>
      <c r="B6057" s="59" t="str">
        <f t="shared" si="21"/>
        <v/>
      </c>
      <c r="C6057" s="59" t="str">
        <f t="shared" si="22"/>
        <v/>
      </c>
      <c r="D6057" s="45" t="str">
        <f t="shared" si="23"/>
        <v/>
      </c>
      <c r="E6057" s="45" t="str">
        <f t="shared" si="24"/>
        <v/>
      </c>
      <c r="F6057" s="59" t="str">
        <f t="shared" si="25"/>
        <v/>
      </c>
      <c r="G6057" s="59" t="str">
        <f t="shared" si="26"/>
        <v/>
      </c>
      <c r="H6057" s="59" t="str">
        <f t="shared" si="27"/>
        <v>28C01406</v>
      </c>
      <c r="I6057" s="59" t="str">
        <f>IF(OR($A6057="",$C6057="",$D6057="",$E6057="",$H6057=""),"",SUMIFS(DATA_GOC!$H:$H,DATA_GOC!$A:$A,"BOM",DATA_GOC!$D:$D,$H6057,DATA_GOC!$E:$E,$C6057,DATA_GOC!$F:$F,"Xuất nội bộ từ téc",DATA_GOC!$B:$B,"&gt;="&amp;$D6057,DATA_GOC!$B:$B,"&lt;="&amp;$E6057))</f>
        <v/>
      </c>
      <c r="J6057" s="59">
        <f t="shared" si="28"/>
        <v>0</v>
      </c>
      <c r="K6057" s="59">
        <f t="shared" si="29"/>
        <v>0</v>
      </c>
      <c r="L6057" s="59">
        <f t="shared" si="30"/>
        <v>0</v>
      </c>
      <c r="M6057" s="59">
        <f t="shared" si="31"/>
        <v>0</v>
      </c>
    </row>
    <row r="6058" ht="15.0" hidden="1" customHeight="1">
      <c r="A6058" s="59">
        <f t="shared" si="20"/>
        <v>98</v>
      </c>
      <c r="B6058" s="59" t="str">
        <f t="shared" si="21"/>
        <v/>
      </c>
      <c r="C6058" s="59" t="str">
        <f t="shared" si="22"/>
        <v/>
      </c>
      <c r="D6058" s="45" t="str">
        <f t="shared" si="23"/>
        <v/>
      </c>
      <c r="E6058" s="45" t="str">
        <f t="shared" si="24"/>
        <v/>
      </c>
      <c r="F6058" s="59" t="str">
        <f t="shared" si="25"/>
        <v/>
      </c>
      <c r="G6058" s="59" t="str">
        <f t="shared" si="26"/>
        <v/>
      </c>
      <c r="H6058" s="59" t="str">
        <f t="shared" si="27"/>
        <v>28C01544</v>
      </c>
      <c r="I6058" s="59" t="str">
        <f>IF(OR($A6058="",$C6058="",$D6058="",$E6058="",$H6058=""),"",SUMIFS(DATA_GOC!$H:$H,DATA_GOC!$A:$A,"BOM",DATA_GOC!$D:$D,$H6058,DATA_GOC!$E:$E,$C6058,DATA_GOC!$F:$F,"Xuất nội bộ từ téc",DATA_GOC!$B:$B,"&gt;="&amp;$D6058,DATA_GOC!$B:$B,"&lt;="&amp;$E6058))</f>
        <v/>
      </c>
      <c r="J6058" s="59">
        <f t="shared" si="28"/>
        <v>0</v>
      </c>
      <c r="K6058" s="59">
        <f t="shared" si="29"/>
        <v>0</v>
      </c>
      <c r="L6058" s="59">
        <f t="shared" si="30"/>
        <v>0</v>
      </c>
      <c r="M6058" s="59">
        <f t="shared" si="31"/>
        <v>0</v>
      </c>
    </row>
    <row r="6059" ht="15.0" hidden="1" customHeight="1">
      <c r="A6059" s="59">
        <f t="shared" si="20"/>
        <v>98</v>
      </c>
      <c r="B6059" s="59" t="str">
        <f t="shared" si="21"/>
        <v/>
      </c>
      <c r="C6059" s="59" t="str">
        <f t="shared" si="22"/>
        <v/>
      </c>
      <c r="D6059" s="45" t="str">
        <f t="shared" si="23"/>
        <v/>
      </c>
      <c r="E6059" s="45" t="str">
        <f t="shared" si="24"/>
        <v/>
      </c>
      <c r="F6059" s="59" t="str">
        <f t="shared" si="25"/>
        <v/>
      </c>
      <c r="G6059" s="59" t="str">
        <f t="shared" si="26"/>
        <v/>
      </c>
      <c r="H6059" s="59" t="str">
        <f t="shared" si="27"/>
        <v>28C01622</v>
      </c>
      <c r="I6059" s="59" t="str">
        <f>IF(OR($A6059="",$C6059="",$D6059="",$E6059="",$H6059=""),"",SUMIFS(DATA_GOC!$H:$H,DATA_GOC!$A:$A,"BOM",DATA_GOC!$D:$D,$H6059,DATA_GOC!$E:$E,$C6059,DATA_GOC!$F:$F,"Xuất nội bộ từ téc",DATA_GOC!$B:$B,"&gt;="&amp;$D6059,DATA_GOC!$B:$B,"&lt;="&amp;$E6059))</f>
        <v/>
      </c>
      <c r="J6059" s="59">
        <f t="shared" si="28"/>
        <v>0</v>
      </c>
      <c r="K6059" s="59">
        <f t="shared" si="29"/>
        <v>0</v>
      </c>
      <c r="L6059" s="59">
        <f t="shared" si="30"/>
        <v>0</v>
      </c>
      <c r="M6059" s="59">
        <f t="shared" si="31"/>
        <v>0</v>
      </c>
    </row>
    <row r="6060" ht="15.0" hidden="1" customHeight="1">
      <c r="A6060" s="59">
        <f t="shared" si="20"/>
        <v>98</v>
      </c>
      <c r="B6060" s="59" t="str">
        <f t="shared" si="21"/>
        <v/>
      </c>
      <c r="C6060" s="59" t="str">
        <f t="shared" si="22"/>
        <v/>
      </c>
      <c r="D6060" s="45" t="str">
        <f t="shared" si="23"/>
        <v/>
      </c>
      <c r="E6060" s="45" t="str">
        <f t="shared" si="24"/>
        <v/>
      </c>
      <c r="F6060" s="59" t="str">
        <f t="shared" si="25"/>
        <v/>
      </c>
      <c r="G6060" s="59" t="str">
        <f t="shared" si="26"/>
        <v/>
      </c>
      <c r="H6060" s="59" t="str">
        <f t="shared" si="27"/>
        <v>28C01647</v>
      </c>
      <c r="I6060" s="59" t="str">
        <f>IF(OR($A6060="",$C6060="",$D6060="",$E6060="",$H6060=""),"",SUMIFS(DATA_GOC!$H:$H,DATA_GOC!$A:$A,"BOM",DATA_GOC!$D:$D,$H6060,DATA_GOC!$E:$E,$C6060,DATA_GOC!$F:$F,"Xuất nội bộ từ téc",DATA_GOC!$B:$B,"&gt;="&amp;$D6060,DATA_GOC!$B:$B,"&lt;="&amp;$E6060))</f>
        <v/>
      </c>
      <c r="J6060" s="59">
        <f t="shared" si="28"/>
        <v>0</v>
      </c>
      <c r="K6060" s="59">
        <f t="shared" si="29"/>
        <v>0</v>
      </c>
      <c r="L6060" s="59">
        <f t="shared" si="30"/>
        <v>0</v>
      </c>
      <c r="M6060" s="59">
        <f t="shared" si="31"/>
        <v>0</v>
      </c>
    </row>
    <row r="6061" ht="15.0" hidden="1" customHeight="1">
      <c r="A6061" s="59">
        <f t="shared" si="20"/>
        <v>98</v>
      </c>
      <c r="B6061" s="59" t="str">
        <f t="shared" si="21"/>
        <v/>
      </c>
      <c r="C6061" s="59" t="str">
        <f t="shared" si="22"/>
        <v/>
      </c>
      <c r="D6061" s="45" t="str">
        <f t="shared" si="23"/>
        <v/>
      </c>
      <c r="E6061" s="45" t="str">
        <f t="shared" si="24"/>
        <v/>
      </c>
      <c r="F6061" s="59" t="str">
        <f t="shared" si="25"/>
        <v/>
      </c>
      <c r="G6061" s="59" t="str">
        <f t="shared" si="26"/>
        <v/>
      </c>
      <c r="H6061" s="59" t="str">
        <f t="shared" si="27"/>
        <v>28C01731</v>
      </c>
      <c r="I6061" s="59" t="str">
        <f>IF(OR($A6061="",$C6061="",$D6061="",$E6061="",$H6061=""),"",SUMIFS(DATA_GOC!$H:$H,DATA_GOC!$A:$A,"BOM",DATA_GOC!$D:$D,$H6061,DATA_GOC!$E:$E,$C6061,DATA_GOC!$F:$F,"Xuất nội bộ từ téc",DATA_GOC!$B:$B,"&gt;="&amp;$D6061,DATA_GOC!$B:$B,"&lt;="&amp;$E6061))</f>
        <v/>
      </c>
      <c r="J6061" s="59">
        <f t="shared" si="28"/>
        <v>0</v>
      </c>
      <c r="K6061" s="59">
        <f t="shared" si="29"/>
        <v>0</v>
      </c>
      <c r="L6061" s="59">
        <f t="shared" si="30"/>
        <v>0</v>
      </c>
      <c r="M6061" s="59">
        <f t="shared" si="31"/>
        <v>0</v>
      </c>
    </row>
    <row r="6062" ht="15.0" hidden="1" customHeight="1">
      <c r="A6062" s="59">
        <f t="shared" si="20"/>
        <v>98</v>
      </c>
      <c r="B6062" s="59" t="str">
        <f t="shared" si="21"/>
        <v/>
      </c>
      <c r="C6062" s="59" t="str">
        <f t="shared" si="22"/>
        <v/>
      </c>
      <c r="D6062" s="45" t="str">
        <f t="shared" si="23"/>
        <v/>
      </c>
      <c r="E6062" s="45" t="str">
        <f t="shared" si="24"/>
        <v/>
      </c>
      <c r="F6062" s="59" t="str">
        <f t="shared" si="25"/>
        <v/>
      </c>
      <c r="G6062" s="59" t="str">
        <f t="shared" si="26"/>
        <v/>
      </c>
      <c r="H6062" s="59" t="str">
        <f t="shared" si="27"/>
        <v>28C01743</v>
      </c>
      <c r="I6062" s="59" t="str">
        <f>IF(OR($A6062="",$C6062="",$D6062="",$E6062="",$H6062=""),"",SUMIFS(DATA_GOC!$H:$H,DATA_GOC!$A:$A,"BOM",DATA_GOC!$D:$D,$H6062,DATA_GOC!$E:$E,$C6062,DATA_GOC!$F:$F,"Xuất nội bộ từ téc",DATA_GOC!$B:$B,"&gt;="&amp;$D6062,DATA_GOC!$B:$B,"&lt;="&amp;$E6062))</f>
        <v/>
      </c>
      <c r="J6062" s="59">
        <f t="shared" si="28"/>
        <v>0</v>
      </c>
      <c r="K6062" s="59">
        <f t="shared" si="29"/>
        <v>0</v>
      </c>
      <c r="L6062" s="59">
        <f t="shared" si="30"/>
        <v>0</v>
      </c>
      <c r="M6062" s="59">
        <f t="shared" si="31"/>
        <v>0</v>
      </c>
    </row>
    <row r="6063" ht="15.0" hidden="1" customHeight="1">
      <c r="A6063" s="59">
        <f t="shared" si="20"/>
        <v>98</v>
      </c>
      <c r="B6063" s="59" t="str">
        <f t="shared" si="21"/>
        <v/>
      </c>
      <c r="C6063" s="59" t="str">
        <f t="shared" si="22"/>
        <v/>
      </c>
      <c r="D6063" s="45" t="str">
        <f t="shared" si="23"/>
        <v/>
      </c>
      <c r="E6063" s="45" t="str">
        <f t="shared" si="24"/>
        <v/>
      </c>
      <c r="F6063" s="59" t="str">
        <f t="shared" si="25"/>
        <v/>
      </c>
      <c r="G6063" s="59" t="str">
        <f t="shared" si="26"/>
        <v/>
      </c>
      <c r="H6063" s="59" t="str">
        <f t="shared" si="27"/>
        <v>28C02106</v>
      </c>
      <c r="I6063" s="59" t="str">
        <f>IF(OR($A6063="",$C6063="",$D6063="",$E6063="",$H6063=""),"",SUMIFS(DATA_GOC!$H:$H,DATA_GOC!$A:$A,"BOM",DATA_GOC!$D:$D,$H6063,DATA_GOC!$E:$E,$C6063,DATA_GOC!$F:$F,"Xuất nội bộ từ téc",DATA_GOC!$B:$B,"&gt;="&amp;$D6063,DATA_GOC!$B:$B,"&lt;="&amp;$E6063))</f>
        <v/>
      </c>
      <c r="J6063" s="59">
        <f t="shared" si="28"/>
        <v>0</v>
      </c>
      <c r="K6063" s="59">
        <f t="shared" si="29"/>
        <v>0</v>
      </c>
      <c r="L6063" s="59">
        <f t="shared" si="30"/>
        <v>0</v>
      </c>
      <c r="M6063" s="59">
        <f t="shared" si="31"/>
        <v>0</v>
      </c>
    </row>
    <row r="6064" ht="15.0" hidden="1" customHeight="1">
      <c r="A6064" s="59">
        <f t="shared" si="20"/>
        <v>98</v>
      </c>
      <c r="B6064" s="59" t="str">
        <f t="shared" si="21"/>
        <v/>
      </c>
      <c r="C6064" s="59" t="str">
        <f t="shared" si="22"/>
        <v/>
      </c>
      <c r="D6064" s="45" t="str">
        <f t="shared" si="23"/>
        <v/>
      </c>
      <c r="E6064" s="45" t="str">
        <f t="shared" si="24"/>
        <v/>
      </c>
      <c r="F6064" s="59" t="str">
        <f t="shared" si="25"/>
        <v/>
      </c>
      <c r="G6064" s="59" t="str">
        <f t="shared" si="26"/>
        <v/>
      </c>
      <c r="H6064" s="59" t="str">
        <f t="shared" si="27"/>
        <v>28C02410</v>
      </c>
      <c r="I6064" s="59" t="str">
        <f>IF(OR($A6064="",$C6064="",$D6064="",$E6064="",$H6064=""),"",SUMIFS(DATA_GOC!$H:$H,DATA_GOC!$A:$A,"BOM",DATA_GOC!$D:$D,$H6064,DATA_GOC!$E:$E,$C6064,DATA_GOC!$F:$F,"Xuất nội bộ từ téc",DATA_GOC!$B:$B,"&gt;="&amp;$D6064,DATA_GOC!$B:$B,"&lt;="&amp;$E6064))</f>
        <v/>
      </c>
      <c r="J6064" s="59">
        <f t="shared" si="28"/>
        <v>0</v>
      </c>
      <c r="K6064" s="59">
        <f t="shared" si="29"/>
        <v>0</v>
      </c>
      <c r="L6064" s="59">
        <f t="shared" si="30"/>
        <v>0</v>
      </c>
      <c r="M6064" s="59">
        <f t="shared" si="31"/>
        <v>0</v>
      </c>
    </row>
    <row r="6065" ht="15.0" hidden="1" customHeight="1">
      <c r="A6065" s="59">
        <f t="shared" si="20"/>
        <v>98</v>
      </c>
      <c r="B6065" s="59" t="str">
        <f t="shared" si="21"/>
        <v/>
      </c>
      <c r="C6065" s="59" t="str">
        <f t="shared" si="22"/>
        <v/>
      </c>
      <c r="D6065" s="45" t="str">
        <f t="shared" si="23"/>
        <v/>
      </c>
      <c r="E6065" s="45" t="str">
        <f t="shared" si="24"/>
        <v/>
      </c>
      <c r="F6065" s="59" t="str">
        <f t="shared" si="25"/>
        <v/>
      </c>
      <c r="G6065" s="59" t="str">
        <f t="shared" si="26"/>
        <v/>
      </c>
      <c r="H6065" s="59" t="str">
        <f t="shared" si="27"/>
        <v>28C02545</v>
      </c>
      <c r="I6065" s="59" t="str">
        <f>IF(OR($A6065="",$C6065="",$D6065="",$E6065="",$H6065=""),"",SUMIFS(DATA_GOC!$H:$H,DATA_GOC!$A:$A,"BOM",DATA_GOC!$D:$D,$H6065,DATA_GOC!$E:$E,$C6065,DATA_GOC!$F:$F,"Xuất nội bộ từ téc",DATA_GOC!$B:$B,"&gt;="&amp;$D6065,DATA_GOC!$B:$B,"&lt;="&amp;$E6065))</f>
        <v/>
      </c>
      <c r="J6065" s="59">
        <f t="shared" si="28"/>
        <v>0</v>
      </c>
      <c r="K6065" s="59">
        <f t="shared" si="29"/>
        <v>0</v>
      </c>
      <c r="L6065" s="59">
        <f t="shared" si="30"/>
        <v>0</v>
      </c>
      <c r="M6065" s="59">
        <f t="shared" si="31"/>
        <v>0</v>
      </c>
    </row>
    <row r="6066" ht="15.0" hidden="1" customHeight="1">
      <c r="A6066" s="59">
        <f t="shared" si="20"/>
        <v>98</v>
      </c>
      <c r="B6066" s="59" t="str">
        <f t="shared" si="21"/>
        <v/>
      </c>
      <c r="C6066" s="59" t="str">
        <f t="shared" si="22"/>
        <v/>
      </c>
      <c r="D6066" s="45" t="str">
        <f t="shared" si="23"/>
        <v/>
      </c>
      <c r="E6066" s="45" t="str">
        <f t="shared" si="24"/>
        <v/>
      </c>
      <c r="F6066" s="59" t="str">
        <f t="shared" si="25"/>
        <v/>
      </c>
      <c r="G6066" s="59" t="str">
        <f t="shared" si="26"/>
        <v/>
      </c>
      <c r="H6066" s="59" t="str">
        <f t="shared" si="27"/>
        <v>28C02574</v>
      </c>
      <c r="I6066" s="59" t="str">
        <f>IF(OR($A6066="",$C6066="",$D6066="",$E6066="",$H6066=""),"",SUMIFS(DATA_GOC!$H:$H,DATA_GOC!$A:$A,"BOM",DATA_GOC!$D:$D,$H6066,DATA_GOC!$E:$E,$C6066,DATA_GOC!$F:$F,"Xuất nội bộ từ téc",DATA_GOC!$B:$B,"&gt;="&amp;$D6066,DATA_GOC!$B:$B,"&lt;="&amp;$E6066))</f>
        <v/>
      </c>
      <c r="J6066" s="59">
        <f t="shared" si="28"/>
        <v>0</v>
      </c>
      <c r="K6066" s="59">
        <f t="shared" si="29"/>
        <v>0</v>
      </c>
      <c r="L6066" s="59">
        <f t="shared" si="30"/>
        <v>0</v>
      </c>
      <c r="M6066" s="59">
        <f t="shared" si="31"/>
        <v>0</v>
      </c>
    </row>
    <row r="6067" ht="15.0" hidden="1" customHeight="1">
      <c r="A6067" s="59">
        <f t="shared" si="20"/>
        <v>98</v>
      </c>
      <c r="B6067" s="59" t="str">
        <f t="shared" si="21"/>
        <v/>
      </c>
      <c r="C6067" s="59" t="str">
        <f t="shared" si="22"/>
        <v/>
      </c>
      <c r="D6067" s="45" t="str">
        <f t="shared" si="23"/>
        <v/>
      </c>
      <c r="E6067" s="45" t="str">
        <f t="shared" si="24"/>
        <v/>
      </c>
      <c r="F6067" s="59" t="str">
        <f t="shared" si="25"/>
        <v/>
      </c>
      <c r="G6067" s="59" t="str">
        <f t="shared" si="26"/>
        <v/>
      </c>
      <c r="H6067" s="59" t="str">
        <f t="shared" si="27"/>
        <v>28C02770</v>
      </c>
      <c r="I6067" s="59" t="str">
        <f>IF(OR($A6067="",$C6067="",$D6067="",$E6067="",$H6067=""),"",SUMIFS(DATA_GOC!$H:$H,DATA_GOC!$A:$A,"BOM",DATA_GOC!$D:$D,$H6067,DATA_GOC!$E:$E,$C6067,DATA_GOC!$F:$F,"Xuất nội bộ từ téc",DATA_GOC!$B:$B,"&gt;="&amp;$D6067,DATA_GOC!$B:$B,"&lt;="&amp;$E6067))</f>
        <v/>
      </c>
      <c r="J6067" s="59">
        <f t="shared" si="28"/>
        <v>0</v>
      </c>
      <c r="K6067" s="59">
        <f t="shared" si="29"/>
        <v>0</v>
      </c>
      <c r="L6067" s="59">
        <f t="shared" si="30"/>
        <v>0</v>
      </c>
      <c r="M6067" s="59">
        <f t="shared" si="31"/>
        <v>0</v>
      </c>
    </row>
    <row r="6068" ht="15.0" hidden="1" customHeight="1">
      <c r="A6068" s="59">
        <f t="shared" si="20"/>
        <v>98</v>
      </c>
      <c r="B6068" s="59" t="str">
        <f t="shared" si="21"/>
        <v/>
      </c>
      <c r="C6068" s="59" t="str">
        <f t="shared" si="22"/>
        <v/>
      </c>
      <c r="D6068" s="45" t="str">
        <f t="shared" si="23"/>
        <v/>
      </c>
      <c r="E6068" s="45" t="str">
        <f t="shared" si="24"/>
        <v/>
      </c>
      <c r="F6068" s="59" t="str">
        <f t="shared" si="25"/>
        <v/>
      </c>
      <c r="G6068" s="59" t="str">
        <f t="shared" si="26"/>
        <v/>
      </c>
      <c r="H6068" s="59" t="str">
        <f t="shared" si="27"/>
        <v>28C02986</v>
      </c>
      <c r="I6068" s="59" t="str">
        <f>IF(OR($A6068="",$C6068="",$D6068="",$E6068="",$H6068=""),"",SUMIFS(DATA_GOC!$H:$H,DATA_GOC!$A:$A,"BOM",DATA_GOC!$D:$D,$H6068,DATA_GOC!$E:$E,$C6068,DATA_GOC!$F:$F,"Xuất nội bộ từ téc",DATA_GOC!$B:$B,"&gt;="&amp;$D6068,DATA_GOC!$B:$B,"&lt;="&amp;$E6068))</f>
        <v/>
      </c>
      <c r="J6068" s="59">
        <f t="shared" si="28"/>
        <v>0</v>
      </c>
      <c r="K6068" s="59">
        <f t="shared" si="29"/>
        <v>0</v>
      </c>
      <c r="L6068" s="59">
        <f t="shared" si="30"/>
        <v>0</v>
      </c>
      <c r="M6068" s="59">
        <f t="shared" si="31"/>
        <v>0</v>
      </c>
    </row>
    <row r="6069" ht="15.0" hidden="1" customHeight="1">
      <c r="A6069" s="59">
        <f t="shared" si="20"/>
        <v>98</v>
      </c>
      <c r="B6069" s="59" t="str">
        <f t="shared" si="21"/>
        <v/>
      </c>
      <c r="C6069" s="59" t="str">
        <f t="shared" si="22"/>
        <v/>
      </c>
      <c r="D6069" s="45" t="str">
        <f t="shared" si="23"/>
        <v/>
      </c>
      <c r="E6069" s="45" t="str">
        <f t="shared" si="24"/>
        <v/>
      </c>
      <c r="F6069" s="59" t="str">
        <f t="shared" si="25"/>
        <v/>
      </c>
      <c r="G6069" s="59" t="str">
        <f t="shared" si="26"/>
        <v/>
      </c>
      <c r="H6069" s="59" t="str">
        <f t="shared" si="27"/>
        <v>28C03261</v>
      </c>
      <c r="I6069" s="59" t="str">
        <f>IF(OR($A6069="",$C6069="",$D6069="",$E6069="",$H6069=""),"",SUMIFS(DATA_GOC!$H:$H,DATA_GOC!$A:$A,"BOM",DATA_GOC!$D:$D,$H6069,DATA_GOC!$E:$E,$C6069,DATA_GOC!$F:$F,"Xuất nội bộ từ téc",DATA_GOC!$B:$B,"&gt;="&amp;$D6069,DATA_GOC!$B:$B,"&lt;="&amp;$E6069))</f>
        <v/>
      </c>
      <c r="J6069" s="59">
        <f t="shared" si="28"/>
        <v>0</v>
      </c>
      <c r="K6069" s="59">
        <f t="shared" si="29"/>
        <v>0</v>
      </c>
      <c r="L6069" s="59">
        <f t="shared" si="30"/>
        <v>0</v>
      </c>
      <c r="M6069" s="59">
        <f t="shared" si="31"/>
        <v>0</v>
      </c>
    </row>
    <row r="6070" ht="15.0" hidden="1" customHeight="1">
      <c r="A6070" s="59">
        <f t="shared" si="20"/>
        <v>98</v>
      </c>
      <c r="B6070" s="59" t="str">
        <f t="shared" si="21"/>
        <v/>
      </c>
      <c r="C6070" s="59" t="str">
        <f t="shared" si="22"/>
        <v/>
      </c>
      <c r="D6070" s="45" t="str">
        <f t="shared" si="23"/>
        <v/>
      </c>
      <c r="E6070" s="45" t="str">
        <f t="shared" si="24"/>
        <v/>
      </c>
      <c r="F6070" s="59" t="str">
        <f t="shared" si="25"/>
        <v/>
      </c>
      <c r="G6070" s="59" t="str">
        <f t="shared" si="26"/>
        <v/>
      </c>
      <c r="H6070" s="59" t="str">
        <f t="shared" si="27"/>
        <v>28C03323</v>
      </c>
      <c r="I6070" s="59" t="str">
        <f>IF(OR($A6070="",$C6070="",$D6070="",$E6070="",$H6070=""),"",SUMIFS(DATA_GOC!$H:$H,DATA_GOC!$A:$A,"BOM",DATA_GOC!$D:$D,$H6070,DATA_GOC!$E:$E,$C6070,DATA_GOC!$F:$F,"Xuất nội bộ từ téc",DATA_GOC!$B:$B,"&gt;="&amp;$D6070,DATA_GOC!$B:$B,"&lt;="&amp;$E6070))</f>
        <v/>
      </c>
      <c r="J6070" s="59">
        <f t="shared" si="28"/>
        <v>0</v>
      </c>
      <c r="K6070" s="59">
        <f t="shared" si="29"/>
        <v>0</v>
      </c>
      <c r="L6070" s="59">
        <f t="shared" si="30"/>
        <v>0</v>
      </c>
      <c r="M6070" s="59">
        <f t="shared" si="31"/>
        <v>0</v>
      </c>
    </row>
    <row r="6071" ht="15.0" hidden="1" customHeight="1">
      <c r="A6071" s="59">
        <f t="shared" si="20"/>
        <v>98</v>
      </c>
      <c r="B6071" s="59" t="str">
        <f t="shared" si="21"/>
        <v/>
      </c>
      <c r="C6071" s="59" t="str">
        <f t="shared" si="22"/>
        <v/>
      </c>
      <c r="D6071" s="45" t="str">
        <f t="shared" si="23"/>
        <v/>
      </c>
      <c r="E6071" s="45" t="str">
        <f t="shared" si="24"/>
        <v/>
      </c>
      <c r="F6071" s="59" t="str">
        <f t="shared" si="25"/>
        <v/>
      </c>
      <c r="G6071" s="59" t="str">
        <f t="shared" si="26"/>
        <v/>
      </c>
      <c r="H6071" s="59" t="str">
        <f t="shared" si="27"/>
        <v>28C03385</v>
      </c>
      <c r="I6071" s="59" t="str">
        <f>IF(OR($A6071="",$C6071="",$D6071="",$E6071="",$H6071=""),"",SUMIFS(DATA_GOC!$H:$H,DATA_GOC!$A:$A,"BOM",DATA_GOC!$D:$D,$H6071,DATA_GOC!$E:$E,$C6071,DATA_GOC!$F:$F,"Xuất nội bộ từ téc",DATA_GOC!$B:$B,"&gt;="&amp;$D6071,DATA_GOC!$B:$B,"&lt;="&amp;$E6071))</f>
        <v/>
      </c>
      <c r="J6071" s="59">
        <f t="shared" si="28"/>
        <v>0</v>
      </c>
      <c r="K6071" s="59">
        <f t="shared" si="29"/>
        <v>0</v>
      </c>
      <c r="L6071" s="59">
        <f t="shared" si="30"/>
        <v>0</v>
      </c>
      <c r="M6071" s="59">
        <f t="shared" si="31"/>
        <v>0</v>
      </c>
    </row>
    <row r="6072" ht="15.0" hidden="1" customHeight="1">
      <c r="A6072" s="59">
        <f t="shared" si="20"/>
        <v>98</v>
      </c>
      <c r="B6072" s="59" t="str">
        <f t="shared" si="21"/>
        <v/>
      </c>
      <c r="C6072" s="59" t="str">
        <f t="shared" si="22"/>
        <v/>
      </c>
      <c r="D6072" s="45" t="str">
        <f t="shared" si="23"/>
        <v/>
      </c>
      <c r="E6072" s="45" t="str">
        <f t="shared" si="24"/>
        <v/>
      </c>
      <c r="F6072" s="59" t="str">
        <f t="shared" si="25"/>
        <v/>
      </c>
      <c r="G6072" s="59" t="str">
        <f t="shared" si="26"/>
        <v/>
      </c>
      <c r="H6072" s="59" t="str">
        <f t="shared" si="27"/>
        <v>28C03652</v>
      </c>
      <c r="I6072" s="59" t="str">
        <f>IF(OR($A6072="",$C6072="",$D6072="",$E6072="",$H6072=""),"",SUMIFS(DATA_GOC!$H:$H,DATA_GOC!$A:$A,"BOM",DATA_GOC!$D:$D,$H6072,DATA_GOC!$E:$E,$C6072,DATA_GOC!$F:$F,"Xuất nội bộ từ téc",DATA_GOC!$B:$B,"&gt;="&amp;$D6072,DATA_GOC!$B:$B,"&lt;="&amp;$E6072))</f>
        <v/>
      </c>
      <c r="J6072" s="59">
        <f t="shared" si="28"/>
        <v>0</v>
      </c>
      <c r="K6072" s="59">
        <f t="shared" si="29"/>
        <v>0</v>
      </c>
      <c r="L6072" s="59">
        <f t="shared" si="30"/>
        <v>0</v>
      </c>
      <c r="M6072" s="59">
        <f t="shared" si="31"/>
        <v>0</v>
      </c>
    </row>
    <row r="6073" ht="15.0" hidden="1" customHeight="1">
      <c r="A6073" s="59">
        <f t="shared" si="20"/>
        <v>98</v>
      </c>
      <c r="B6073" s="59" t="str">
        <f t="shared" si="21"/>
        <v/>
      </c>
      <c r="C6073" s="59" t="str">
        <f t="shared" si="22"/>
        <v/>
      </c>
      <c r="D6073" s="45" t="str">
        <f t="shared" si="23"/>
        <v/>
      </c>
      <c r="E6073" s="45" t="str">
        <f t="shared" si="24"/>
        <v/>
      </c>
      <c r="F6073" s="59" t="str">
        <f t="shared" si="25"/>
        <v/>
      </c>
      <c r="G6073" s="59" t="str">
        <f t="shared" si="26"/>
        <v/>
      </c>
      <c r="H6073" s="59" t="str">
        <f t="shared" si="27"/>
        <v>28C03695</v>
      </c>
      <c r="I6073" s="59" t="str">
        <f>IF(OR($A6073="",$C6073="",$D6073="",$E6073="",$H6073=""),"",SUMIFS(DATA_GOC!$H:$H,DATA_GOC!$A:$A,"BOM",DATA_GOC!$D:$D,$H6073,DATA_GOC!$E:$E,$C6073,DATA_GOC!$F:$F,"Xuất nội bộ từ téc",DATA_GOC!$B:$B,"&gt;="&amp;$D6073,DATA_GOC!$B:$B,"&lt;="&amp;$E6073))</f>
        <v/>
      </c>
      <c r="J6073" s="59">
        <f t="shared" si="28"/>
        <v>0</v>
      </c>
      <c r="K6073" s="59">
        <f t="shared" si="29"/>
        <v>0</v>
      </c>
      <c r="L6073" s="59">
        <f t="shared" si="30"/>
        <v>0</v>
      </c>
      <c r="M6073" s="59">
        <f t="shared" si="31"/>
        <v>0</v>
      </c>
    </row>
    <row r="6074" ht="15.0" hidden="1" customHeight="1">
      <c r="A6074" s="59">
        <f t="shared" si="20"/>
        <v>98</v>
      </c>
      <c r="B6074" s="59" t="str">
        <f t="shared" si="21"/>
        <v/>
      </c>
      <c r="C6074" s="59" t="str">
        <f t="shared" si="22"/>
        <v/>
      </c>
      <c r="D6074" s="45" t="str">
        <f t="shared" si="23"/>
        <v/>
      </c>
      <c r="E6074" s="45" t="str">
        <f t="shared" si="24"/>
        <v/>
      </c>
      <c r="F6074" s="59" t="str">
        <f t="shared" si="25"/>
        <v/>
      </c>
      <c r="G6074" s="59" t="str">
        <f t="shared" si="26"/>
        <v/>
      </c>
      <c r="H6074" s="59" t="str">
        <f t="shared" si="27"/>
        <v>28C03927</v>
      </c>
      <c r="I6074" s="59" t="str">
        <f>IF(OR($A6074="",$C6074="",$D6074="",$E6074="",$H6074=""),"",SUMIFS(DATA_GOC!$H:$H,DATA_GOC!$A:$A,"BOM",DATA_GOC!$D:$D,$H6074,DATA_GOC!$E:$E,$C6074,DATA_GOC!$F:$F,"Xuất nội bộ từ téc",DATA_GOC!$B:$B,"&gt;="&amp;$D6074,DATA_GOC!$B:$B,"&lt;="&amp;$E6074))</f>
        <v/>
      </c>
      <c r="J6074" s="59">
        <f t="shared" si="28"/>
        <v>0</v>
      </c>
      <c r="K6074" s="59">
        <f t="shared" si="29"/>
        <v>0</v>
      </c>
      <c r="L6074" s="59">
        <f t="shared" si="30"/>
        <v>0</v>
      </c>
      <c r="M6074" s="59">
        <f t="shared" si="31"/>
        <v>0</v>
      </c>
    </row>
    <row r="6075" ht="15.0" hidden="1" customHeight="1">
      <c r="A6075" s="59">
        <f t="shared" si="20"/>
        <v>98</v>
      </c>
      <c r="B6075" s="59" t="str">
        <f t="shared" si="21"/>
        <v/>
      </c>
      <c r="C6075" s="59" t="str">
        <f t="shared" si="22"/>
        <v/>
      </c>
      <c r="D6075" s="45" t="str">
        <f t="shared" si="23"/>
        <v/>
      </c>
      <c r="E6075" s="45" t="str">
        <f t="shared" si="24"/>
        <v/>
      </c>
      <c r="F6075" s="59" t="str">
        <f t="shared" si="25"/>
        <v/>
      </c>
      <c r="G6075" s="59" t="str">
        <f t="shared" si="26"/>
        <v/>
      </c>
      <c r="H6075" s="59" t="str">
        <f t="shared" si="27"/>
        <v>28C04509</v>
      </c>
      <c r="I6075" s="59" t="str">
        <f>IF(OR($A6075="",$C6075="",$D6075="",$E6075="",$H6075=""),"",SUMIFS(DATA_GOC!$H:$H,DATA_GOC!$A:$A,"BOM",DATA_GOC!$D:$D,$H6075,DATA_GOC!$E:$E,$C6075,DATA_GOC!$F:$F,"Xuất nội bộ từ téc",DATA_GOC!$B:$B,"&gt;="&amp;$D6075,DATA_GOC!$B:$B,"&lt;="&amp;$E6075))</f>
        <v/>
      </c>
      <c r="J6075" s="59">
        <f t="shared" si="28"/>
        <v>0</v>
      </c>
      <c r="K6075" s="59">
        <f t="shared" si="29"/>
        <v>0</v>
      </c>
      <c r="L6075" s="59">
        <f t="shared" si="30"/>
        <v>0</v>
      </c>
      <c r="M6075" s="59">
        <f t="shared" si="31"/>
        <v>0</v>
      </c>
    </row>
    <row r="6076" ht="15.0" hidden="1" customHeight="1">
      <c r="A6076" s="59">
        <f t="shared" si="20"/>
        <v>98</v>
      </c>
      <c r="B6076" s="59" t="str">
        <f t="shared" si="21"/>
        <v/>
      </c>
      <c r="C6076" s="59" t="str">
        <f t="shared" si="22"/>
        <v/>
      </c>
      <c r="D6076" s="45" t="str">
        <f t="shared" si="23"/>
        <v/>
      </c>
      <c r="E6076" s="45" t="str">
        <f t="shared" si="24"/>
        <v/>
      </c>
      <c r="F6076" s="59" t="str">
        <f t="shared" si="25"/>
        <v/>
      </c>
      <c r="G6076" s="59" t="str">
        <f t="shared" si="26"/>
        <v/>
      </c>
      <c r="H6076" s="59" t="str">
        <f t="shared" si="27"/>
        <v>28C04536</v>
      </c>
      <c r="I6076" s="59" t="str">
        <f>IF(OR($A6076="",$C6076="",$D6076="",$E6076="",$H6076=""),"",SUMIFS(DATA_GOC!$H:$H,DATA_GOC!$A:$A,"BOM",DATA_GOC!$D:$D,$H6076,DATA_GOC!$E:$E,$C6076,DATA_GOC!$F:$F,"Xuất nội bộ từ téc",DATA_GOC!$B:$B,"&gt;="&amp;$D6076,DATA_GOC!$B:$B,"&lt;="&amp;$E6076))</f>
        <v/>
      </c>
      <c r="J6076" s="59">
        <f t="shared" si="28"/>
        <v>0</v>
      </c>
      <c r="K6076" s="59">
        <f t="shared" si="29"/>
        <v>0</v>
      </c>
      <c r="L6076" s="59">
        <f t="shared" si="30"/>
        <v>0</v>
      </c>
      <c r="M6076" s="59">
        <f t="shared" si="31"/>
        <v>0</v>
      </c>
    </row>
    <row r="6077" ht="15.0" hidden="1" customHeight="1">
      <c r="A6077" s="59">
        <f t="shared" si="20"/>
        <v>98</v>
      </c>
      <c r="B6077" s="59" t="str">
        <f t="shared" si="21"/>
        <v/>
      </c>
      <c r="C6077" s="59" t="str">
        <f t="shared" si="22"/>
        <v/>
      </c>
      <c r="D6077" s="45" t="str">
        <f t="shared" si="23"/>
        <v/>
      </c>
      <c r="E6077" s="45" t="str">
        <f t="shared" si="24"/>
        <v/>
      </c>
      <c r="F6077" s="59" t="str">
        <f t="shared" si="25"/>
        <v/>
      </c>
      <c r="G6077" s="59" t="str">
        <f t="shared" si="26"/>
        <v/>
      </c>
      <c r="H6077" s="59" t="str">
        <f t="shared" si="27"/>
        <v>28C04576</v>
      </c>
      <c r="I6077" s="59" t="str">
        <f>IF(OR($A6077="",$C6077="",$D6077="",$E6077="",$H6077=""),"",SUMIFS(DATA_GOC!$H:$H,DATA_GOC!$A:$A,"BOM",DATA_GOC!$D:$D,$H6077,DATA_GOC!$E:$E,$C6077,DATA_GOC!$F:$F,"Xuất nội bộ từ téc",DATA_GOC!$B:$B,"&gt;="&amp;$D6077,DATA_GOC!$B:$B,"&lt;="&amp;$E6077))</f>
        <v/>
      </c>
      <c r="J6077" s="59">
        <f t="shared" si="28"/>
        <v>0</v>
      </c>
      <c r="K6077" s="59">
        <f t="shared" si="29"/>
        <v>0</v>
      </c>
      <c r="L6077" s="59">
        <f t="shared" si="30"/>
        <v>0</v>
      </c>
      <c r="M6077" s="59">
        <f t="shared" si="31"/>
        <v>0</v>
      </c>
    </row>
    <row r="6078" ht="15.0" hidden="1" customHeight="1">
      <c r="A6078" s="59">
        <f t="shared" si="20"/>
        <v>98</v>
      </c>
      <c r="B6078" s="59" t="str">
        <f t="shared" si="21"/>
        <v/>
      </c>
      <c r="C6078" s="59" t="str">
        <f t="shared" si="22"/>
        <v/>
      </c>
      <c r="D6078" s="45" t="str">
        <f t="shared" si="23"/>
        <v/>
      </c>
      <c r="E6078" s="45" t="str">
        <f t="shared" si="24"/>
        <v/>
      </c>
      <c r="F6078" s="59" t="str">
        <f t="shared" si="25"/>
        <v/>
      </c>
      <c r="G6078" s="59" t="str">
        <f t="shared" si="26"/>
        <v/>
      </c>
      <c r="H6078" s="59" t="str">
        <f t="shared" si="27"/>
        <v>28C05090</v>
      </c>
      <c r="I6078" s="59" t="str">
        <f>IF(OR($A6078="",$C6078="",$D6078="",$E6078="",$H6078=""),"",SUMIFS(DATA_GOC!$H:$H,DATA_GOC!$A:$A,"BOM",DATA_GOC!$D:$D,$H6078,DATA_GOC!$E:$E,$C6078,DATA_GOC!$F:$F,"Xuất nội bộ từ téc",DATA_GOC!$B:$B,"&gt;="&amp;$D6078,DATA_GOC!$B:$B,"&lt;="&amp;$E6078))</f>
        <v/>
      </c>
      <c r="J6078" s="59">
        <f t="shared" si="28"/>
        <v>0</v>
      </c>
      <c r="K6078" s="59">
        <f t="shared" si="29"/>
        <v>0</v>
      </c>
      <c r="L6078" s="59">
        <f t="shared" si="30"/>
        <v>0</v>
      </c>
      <c r="M6078" s="59">
        <f t="shared" si="31"/>
        <v>0</v>
      </c>
    </row>
    <row r="6079" ht="15.0" hidden="1" customHeight="1">
      <c r="A6079" s="59">
        <f t="shared" si="20"/>
        <v>98</v>
      </c>
      <c r="B6079" s="59" t="str">
        <f t="shared" si="21"/>
        <v/>
      </c>
      <c r="C6079" s="59" t="str">
        <f t="shared" si="22"/>
        <v/>
      </c>
      <c r="D6079" s="45" t="str">
        <f t="shared" si="23"/>
        <v/>
      </c>
      <c r="E6079" s="45" t="str">
        <f t="shared" si="24"/>
        <v/>
      </c>
      <c r="F6079" s="59" t="str">
        <f t="shared" si="25"/>
        <v/>
      </c>
      <c r="G6079" s="59" t="str">
        <f t="shared" si="26"/>
        <v/>
      </c>
      <c r="H6079" s="59" t="str">
        <f t="shared" si="27"/>
        <v>28C05345</v>
      </c>
      <c r="I6079" s="59" t="str">
        <f>IF(OR($A6079="",$C6079="",$D6079="",$E6079="",$H6079=""),"",SUMIFS(DATA_GOC!$H:$H,DATA_GOC!$A:$A,"BOM",DATA_GOC!$D:$D,$H6079,DATA_GOC!$E:$E,$C6079,DATA_GOC!$F:$F,"Xuất nội bộ từ téc",DATA_GOC!$B:$B,"&gt;="&amp;$D6079,DATA_GOC!$B:$B,"&lt;="&amp;$E6079))</f>
        <v/>
      </c>
      <c r="J6079" s="59">
        <f t="shared" si="28"/>
        <v>0</v>
      </c>
      <c r="K6079" s="59">
        <f t="shared" si="29"/>
        <v>0</v>
      </c>
      <c r="L6079" s="59">
        <f t="shared" si="30"/>
        <v>0</v>
      </c>
      <c r="M6079" s="59">
        <f t="shared" si="31"/>
        <v>0</v>
      </c>
    </row>
    <row r="6080" ht="15.0" hidden="1" customHeight="1">
      <c r="A6080" s="59">
        <f t="shared" si="20"/>
        <v>98</v>
      </c>
      <c r="B6080" s="59" t="str">
        <f t="shared" si="21"/>
        <v/>
      </c>
      <c r="C6080" s="59" t="str">
        <f t="shared" si="22"/>
        <v/>
      </c>
      <c r="D6080" s="45" t="str">
        <f t="shared" si="23"/>
        <v/>
      </c>
      <c r="E6080" s="45" t="str">
        <f t="shared" si="24"/>
        <v/>
      </c>
      <c r="F6080" s="59" t="str">
        <f t="shared" si="25"/>
        <v/>
      </c>
      <c r="G6080" s="59" t="str">
        <f t="shared" si="26"/>
        <v/>
      </c>
      <c r="H6080" s="59" t="str">
        <f t="shared" si="27"/>
        <v>28C05661</v>
      </c>
      <c r="I6080" s="59" t="str">
        <f>IF(OR($A6080="",$C6080="",$D6080="",$E6080="",$H6080=""),"",SUMIFS(DATA_GOC!$H:$H,DATA_GOC!$A:$A,"BOM",DATA_GOC!$D:$D,$H6080,DATA_GOC!$E:$E,$C6080,DATA_GOC!$F:$F,"Xuất nội bộ từ téc",DATA_GOC!$B:$B,"&gt;="&amp;$D6080,DATA_GOC!$B:$B,"&lt;="&amp;$E6080))</f>
        <v/>
      </c>
      <c r="J6080" s="59">
        <f t="shared" si="28"/>
        <v>0</v>
      </c>
      <c r="K6080" s="59">
        <f t="shared" si="29"/>
        <v>0</v>
      </c>
      <c r="L6080" s="59">
        <f t="shared" si="30"/>
        <v>0</v>
      </c>
      <c r="M6080" s="59">
        <f t="shared" si="31"/>
        <v>0</v>
      </c>
    </row>
    <row r="6081" ht="15.0" hidden="1" customHeight="1">
      <c r="A6081" s="59">
        <f t="shared" si="20"/>
        <v>98</v>
      </c>
      <c r="B6081" s="59" t="str">
        <f t="shared" si="21"/>
        <v/>
      </c>
      <c r="C6081" s="59" t="str">
        <f t="shared" si="22"/>
        <v/>
      </c>
      <c r="D6081" s="45" t="str">
        <f t="shared" si="23"/>
        <v/>
      </c>
      <c r="E6081" s="45" t="str">
        <f t="shared" si="24"/>
        <v/>
      </c>
      <c r="F6081" s="59" t="str">
        <f t="shared" si="25"/>
        <v/>
      </c>
      <c r="G6081" s="59" t="str">
        <f t="shared" si="26"/>
        <v/>
      </c>
      <c r="H6081" s="59" t="str">
        <f t="shared" si="27"/>
        <v>28C05739</v>
      </c>
      <c r="I6081" s="59" t="str">
        <f>IF(OR($A6081="",$C6081="",$D6081="",$E6081="",$H6081=""),"",SUMIFS(DATA_GOC!$H:$H,DATA_GOC!$A:$A,"BOM",DATA_GOC!$D:$D,$H6081,DATA_GOC!$E:$E,$C6081,DATA_GOC!$F:$F,"Xuất nội bộ từ téc",DATA_GOC!$B:$B,"&gt;="&amp;$D6081,DATA_GOC!$B:$B,"&lt;="&amp;$E6081))</f>
        <v/>
      </c>
      <c r="J6081" s="59">
        <f t="shared" si="28"/>
        <v>0</v>
      </c>
      <c r="K6081" s="59">
        <f t="shared" si="29"/>
        <v>0</v>
      </c>
      <c r="L6081" s="59">
        <f t="shared" si="30"/>
        <v>0</v>
      </c>
      <c r="M6081" s="59">
        <f t="shared" si="31"/>
        <v>0</v>
      </c>
    </row>
    <row r="6082" ht="15.0" hidden="1" customHeight="1">
      <c r="A6082" s="59">
        <f t="shared" si="20"/>
        <v>98</v>
      </c>
      <c r="B6082" s="59" t="str">
        <f t="shared" si="21"/>
        <v/>
      </c>
      <c r="C6082" s="59" t="str">
        <f t="shared" si="22"/>
        <v/>
      </c>
      <c r="D6082" s="45" t="str">
        <f t="shared" si="23"/>
        <v/>
      </c>
      <c r="E6082" s="45" t="str">
        <f t="shared" si="24"/>
        <v/>
      </c>
      <c r="F6082" s="59" t="str">
        <f t="shared" si="25"/>
        <v/>
      </c>
      <c r="G6082" s="59" t="str">
        <f t="shared" si="26"/>
        <v/>
      </c>
      <c r="H6082" s="59" t="str">
        <f t="shared" si="27"/>
        <v>28C06369</v>
      </c>
      <c r="I6082" s="59" t="str">
        <f>IF(OR($A6082="",$C6082="",$D6082="",$E6082="",$H6082=""),"",SUMIFS(DATA_GOC!$H:$H,DATA_GOC!$A:$A,"BOM",DATA_GOC!$D:$D,$H6082,DATA_GOC!$E:$E,$C6082,DATA_GOC!$F:$F,"Xuất nội bộ từ téc",DATA_GOC!$B:$B,"&gt;="&amp;$D6082,DATA_GOC!$B:$B,"&lt;="&amp;$E6082))</f>
        <v/>
      </c>
      <c r="J6082" s="59">
        <f t="shared" si="28"/>
        <v>0</v>
      </c>
      <c r="K6082" s="59">
        <f t="shared" si="29"/>
        <v>0</v>
      </c>
      <c r="L6082" s="59">
        <f t="shared" si="30"/>
        <v>0</v>
      </c>
      <c r="M6082" s="59">
        <f t="shared" si="31"/>
        <v>0</v>
      </c>
    </row>
    <row r="6083" ht="15.0" hidden="1" customHeight="1">
      <c r="A6083" s="59">
        <f t="shared" si="20"/>
        <v>98</v>
      </c>
      <c r="B6083" s="59" t="str">
        <f t="shared" si="21"/>
        <v/>
      </c>
      <c r="C6083" s="59" t="str">
        <f t="shared" si="22"/>
        <v/>
      </c>
      <c r="D6083" s="45" t="str">
        <f t="shared" si="23"/>
        <v/>
      </c>
      <c r="E6083" s="45" t="str">
        <f t="shared" si="24"/>
        <v/>
      </c>
      <c r="F6083" s="59" t="str">
        <f t="shared" si="25"/>
        <v/>
      </c>
      <c r="G6083" s="59" t="str">
        <f t="shared" si="26"/>
        <v/>
      </c>
      <c r="H6083" s="59" t="str">
        <f t="shared" si="27"/>
        <v>28C06447</v>
      </c>
      <c r="I6083" s="59" t="str">
        <f>IF(OR($A6083="",$C6083="",$D6083="",$E6083="",$H6083=""),"",SUMIFS(DATA_GOC!$H:$H,DATA_GOC!$A:$A,"BOM",DATA_GOC!$D:$D,$H6083,DATA_GOC!$E:$E,$C6083,DATA_GOC!$F:$F,"Xuất nội bộ từ téc",DATA_GOC!$B:$B,"&gt;="&amp;$D6083,DATA_GOC!$B:$B,"&lt;="&amp;$E6083))</f>
        <v/>
      </c>
      <c r="J6083" s="59">
        <f t="shared" si="28"/>
        <v>0</v>
      </c>
      <c r="K6083" s="59">
        <f t="shared" si="29"/>
        <v>0</v>
      </c>
      <c r="L6083" s="59">
        <f t="shared" si="30"/>
        <v>0</v>
      </c>
      <c r="M6083" s="59">
        <f t="shared" si="31"/>
        <v>0</v>
      </c>
    </row>
    <row r="6084" ht="15.0" hidden="1" customHeight="1">
      <c r="A6084" s="59">
        <f t="shared" si="20"/>
        <v>98</v>
      </c>
      <c r="B6084" s="59" t="str">
        <f t="shared" si="21"/>
        <v/>
      </c>
      <c r="C6084" s="59" t="str">
        <f t="shared" si="22"/>
        <v/>
      </c>
      <c r="D6084" s="45" t="str">
        <f t="shared" si="23"/>
        <v/>
      </c>
      <c r="E6084" s="45" t="str">
        <f t="shared" si="24"/>
        <v/>
      </c>
      <c r="F6084" s="59" t="str">
        <f t="shared" si="25"/>
        <v/>
      </c>
      <c r="G6084" s="59" t="str">
        <f t="shared" si="26"/>
        <v/>
      </c>
      <c r="H6084" s="59" t="str">
        <f t="shared" si="27"/>
        <v>28H00003</v>
      </c>
      <c r="I6084" s="59" t="str">
        <f>IF(OR($A6084="",$C6084="",$D6084="",$E6084="",$H6084=""),"",SUMIFS(DATA_GOC!$H:$H,DATA_GOC!$A:$A,"BOM",DATA_GOC!$D:$D,$H6084,DATA_GOC!$E:$E,$C6084,DATA_GOC!$F:$F,"Xuất nội bộ từ téc",DATA_GOC!$B:$B,"&gt;="&amp;$D6084,DATA_GOC!$B:$B,"&lt;="&amp;$E6084))</f>
        <v/>
      </c>
      <c r="J6084" s="59">
        <f t="shared" si="28"/>
        <v>0</v>
      </c>
      <c r="K6084" s="59">
        <f t="shared" si="29"/>
        <v>0</v>
      </c>
      <c r="L6084" s="59">
        <f t="shared" si="30"/>
        <v>0</v>
      </c>
      <c r="M6084" s="59">
        <f t="shared" si="31"/>
        <v>0</v>
      </c>
    </row>
    <row r="6085" ht="15.0" hidden="1" customHeight="1">
      <c r="A6085" s="59">
        <f t="shared" si="20"/>
        <v>98</v>
      </c>
      <c r="B6085" s="59" t="str">
        <f t="shared" si="21"/>
        <v/>
      </c>
      <c r="C6085" s="59" t="str">
        <f t="shared" si="22"/>
        <v/>
      </c>
      <c r="D6085" s="45" t="str">
        <f t="shared" si="23"/>
        <v/>
      </c>
      <c r="E6085" s="45" t="str">
        <f t="shared" si="24"/>
        <v/>
      </c>
      <c r="F6085" s="59" t="str">
        <f t="shared" si="25"/>
        <v/>
      </c>
      <c r="G6085" s="59" t="str">
        <f t="shared" si="26"/>
        <v/>
      </c>
      <c r="H6085" s="59" t="str">
        <f t="shared" si="27"/>
        <v>28H00061</v>
      </c>
      <c r="I6085" s="59" t="str">
        <f>IF(OR($A6085="",$C6085="",$D6085="",$E6085="",$H6085=""),"",SUMIFS(DATA_GOC!$H:$H,DATA_GOC!$A:$A,"BOM",DATA_GOC!$D:$D,$H6085,DATA_GOC!$E:$E,$C6085,DATA_GOC!$F:$F,"Xuất nội bộ từ téc",DATA_GOC!$B:$B,"&gt;="&amp;$D6085,DATA_GOC!$B:$B,"&lt;="&amp;$E6085))</f>
        <v/>
      </c>
      <c r="J6085" s="59">
        <f t="shared" si="28"/>
        <v>0</v>
      </c>
      <c r="K6085" s="59">
        <f t="shared" si="29"/>
        <v>0</v>
      </c>
      <c r="L6085" s="59">
        <f t="shared" si="30"/>
        <v>0</v>
      </c>
      <c r="M6085" s="59">
        <f t="shared" si="31"/>
        <v>0</v>
      </c>
    </row>
    <row r="6086" ht="15.0" hidden="1" customHeight="1">
      <c r="A6086" s="59">
        <f t="shared" si="20"/>
        <v>98</v>
      </c>
      <c r="B6086" s="59" t="str">
        <f t="shared" si="21"/>
        <v/>
      </c>
      <c r="C6086" s="59" t="str">
        <f t="shared" si="22"/>
        <v/>
      </c>
      <c r="D6086" s="45" t="str">
        <f t="shared" si="23"/>
        <v/>
      </c>
      <c r="E6086" s="45" t="str">
        <f t="shared" si="24"/>
        <v/>
      </c>
      <c r="F6086" s="59" t="str">
        <f t="shared" si="25"/>
        <v/>
      </c>
      <c r="G6086" s="59" t="str">
        <f t="shared" si="26"/>
        <v/>
      </c>
      <c r="H6086" s="59" t="str">
        <f t="shared" si="27"/>
        <v>28H00354</v>
      </c>
      <c r="I6086" s="59" t="str">
        <f>IF(OR($A6086="",$C6086="",$D6086="",$E6086="",$H6086=""),"",SUMIFS(DATA_GOC!$H:$H,DATA_GOC!$A:$A,"BOM",DATA_GOC!$D:$D,$H6086,DATA_GOC!$E:$E,$C6086,DATA_GOC!$F:$F,"Xuất nội bộ từ téc",DATA_GOC!$B:$B,"&gt;="&amp;$D6086,DATA_GOC!$B:$B,"&lt;="&amp;$E6086))</f>
        <v/>
      </c>
      <c r="J6086" s="59">
        <f t="shared" si="28"/>
        <v>0</v>
      </c>
      <c r="K6086" s="59">
        <f t="shared" si="29"/>
        <v>0</v>
      </c>
      <c r="L6086" s="59">
        <f t="shared" si="30"/>
        <v>0</v>
      </c>
      <c r="M6086" s="59">
        <f t="shared" si="31"/>
        <v>0</v>
      </c>
    </row>
    <row r="6087" ht="15.0" hidden="1" customHeight="1">
      <c r="A6087" s="59">
        <f t="shared" si="20"/>
        <v>98</v>
      </c>
      <c r="B6087" s="59" t="str">
        <f t="shared" si="21"/>
        <v/>
      </c>
      <c r="C6087" s="59" t="str">
        <f t="shared" si="22"/>
        <v/>
      </c>
      <c r="D6087" s="45" t="str">
        <f t="shared" si="23"/>
        <v/>
      </c>
      <c r="E6087" s="45" t="str">
        <f t="shared" si="24"/>
        <v/>
      </c>
      <c r="F6087" s="59" t="str">
        <f t="shared" si="25"/>
        <v/>
      </c>
      <c r="G6087" s="59" t="str">
        <f t="shared" si="26"/>
        <v/>
      </c>
      <c r="H6087" s="59" t="str">
        <f t="shared" si="27"/>
        <v>28H00603</v>
      </c>
      <c r="I6087" s="59" t="str">
        <f>IF(OR($A6087="",$C6087="",$D6087="",$E6087="",$H6087=""),"",SUMIFS(DATA_GOC!$H:$H,DATA_GOC!$A:$A,"BOM",DATA_GOC!$D:$D,$H6087,DATA_GOC!$E:$E,$C6087,DATA_GOC!$F:$F,"Xuất nội bộ từ téc",DATA_GOC!$B:$B,"&gt;="&amp;$D6087,DATA_GOC!$B:$B,"&lt;="&amp;$E6087))</f>
        <v/>
      </c>
      <c r="J6087" s="59">
        <f t="shared" si="28"/>
        <v>0</v>
      </c>
      <c r="K6087" s="59">
        <f t="shared" si="29"/>
        <v>0</v>
      </c>
      <c r="L6087" s="59">
        <f t="shared" si="30"/>
        <v>0</v>
      </c>
      <c r="M6087" s="59">
        <f t="shared" si="31"/>
        <v>0</v>
      </c>
    </row>
    <row r="6088" ht="15.0" hidden="1" customHeight="1">
      <c r="A6088" s="59">
        <f t="shared" si="20"/>
        <v>98</v>
      </c>
      <c r="B6088" s="59" t="str">
        <f t="shared" si="21"/>
        <v/>
      </c>
      <c r="C6088" s="59" t="str">
        <f t="shared" si="22"/>
        <v/>
      </c>
      <c r="D6088" s="45" t="str">
        <f t="shared" si="23"/>
        <v/>
      </c>
      <c r="E6088" s="45" t="str">
        <f t="shared" si="24"/>
        <v/>
      </c>
      <c r="F6088" s="59" t="str">
        <f t="shared" si="25"/>
        <v/>
      </c>
      <c r="G6088" s="59" t="str">
        <f t="shared" si="26"/>
        <v/>
      </c>
      <c r="H6088" s="59" t="str">
        <f t="shared" si="27"/>
        <v>28H00609</v>
      </c>
      <c r="I6088" s="59" t="str">
        <f>IF(OR($A6088="",$C6088="",$D6088="",$E6088="",$H6088=""),"",SUMIFS(DATA_GOC!$H:$H,DATA_GOC!$A:$A,"BOM",DATA_GOC!$D:$D,$H6088,DATA_GOC!$E:$E,$C6088,DATA_GOC!$F:$F,"Xuất nội bộ từ téc",DATA_GOC!$B:$B,"&gt;="&amp;$D6088,DATA_GOC!$B:$B,"&lt;="&amp;$E6088))</f>
        <v/>
      </c>
      <c r="J6088" s="59">
        <f t="shared" si="28"/>
        <v>0</v>
      </c>
      <c r="K6088" s="59">
        <f t="shared" si="29"/>
        <v>0</v>
      </c>
      <c r="L6088" s="59">
        <f t="shared" si="30"/>
        <v>0</v>
      </c>
      <c r="M6088" s="59">
        <f t="shared" si="31"/>
        <v>0</v>
      </c>
    </row>
    <row r="6089" ht="15.0" hidden="1" customHeight="1">
      <c r="A6089" s="59">
        <f t="shared" si="20"/>
        <v>98</v>
      </c>
      <c r="B6089" s="59" t="str">
        <f t="shared" si="21"/>
        <v/>
      </c>
      <c r="C6089" s="59" t="str">
        <f t="shared" si="22"/>
        <v/>
      </c>
      <c r="D6089" s="45" t="str">
        <f t="shared" si="23"/>
        <v/>
      </c>
      <c r="E6089" s="45" t="str">
        <f t="shared" si="24"/>
        <v/>
      </c>
      <c r="F6089" s="59" t="str">
        <f t="shared" si="25"/>
        <v/>
      </c>
      <c r="G6089" s="59" t="str">
        <f t="shared" si="26"/>
        <v/>
      </c>
      <c r="H6089" s="59" t="str">
        <f t="shared" si="27"/>
        <v>28H00669</v>
      </c>
      <c r="I6089" s="59" t="str">
        <f>IF(OR($A6089="",$C6089="",$D6089="",$E6089="",$H6089=""),"",SUMIFS(DATA_GOC!$H:$H,DATA_GOC!$A:$A,"BOM",DATA_GOC!$D:$D,$H6089,DATA_GOC!$E:$E,$C6089,DATA_GOC!$F:$F,"Xuất nội bộ từ téc",DATA_GOC!$B:$B,"&gt;="&amp;$D6089,DATA_GOC!$B:$B,"&lt;="&amp;$E6089))</f>
        <v/>
      </c>
      <c r="J6089" s="59">
        <f t="shared" si="28"/>
        <v>0</v>
      </c>
      <c r="K6089" s="59">
        <f t="shared" si="29"/>
        <v>0</v>
      </c>
      <c r="L6089" s="59">
        <f t="shared" si="30"/>
        <v>0</v>
      </c>
      <c r="M6089" s="59">
        <f t="shared" si="31"/>
        <v>0</v>
      </c>
    </row>
    <row r="6090" ht="15.0" hidden="1" customHeight="1">
      <c r="A6090" s="59">
        <f t="shared" si="20"/>
        <v>98</v>
      </c>
      <c r="B6090" s="59" t="str">
        <f t="shared" si="21"/>
        <v/>
      </c>
      <c r="C6090" s="59" t="str">
        <f t="shared" si="22"/>
        <v/>
      </c>
      <c r="D6090" s="45" t="str">
        <f t="shared" si="23"/>
        <v/>
      </c>
      <c r="E6090" s="45" t="str">
        <f t="shared" si="24"/>
        <v/>
      </c>
      <c r="F6090" s="59" t="str">
        <f t="shared" si="25"/>
        <v/>
      </c>
      <c r="G6090" s="59" t="str">
        <f t="shared" si="26"/>
        <v/>
      </c>
      <c r="H6090" s="59" t="str">
        <f t="shared" si="27"/>
        <v>28H00680</v>
      </c>
      <c r="I6090" s="59" t="str">
        <f>IF(OR($A6090="",$C6090="",$D6090="",$E6090="",$H6090=""),"",SUMIFS(DATA_GOC!$H:$H,DATA_GOC!$A:$A,"BOM",DATA_GOC!$D:$D,$H6090,DATA_GOC!$E:$E,$C6090,DATA_GOC!$F:$F,"Xuất nội bộ từ téc",DATA_GOC!$B:$B,"&gt;="&amp;$D6090,DATA_GOC!$B:$B,"&lt;="&amp;$E6090))</f>
        <v/>
      </c>
      <c r="J6090" s="59">
        <f t="shared" si="28"/>
        <v>0</v>
      </c>
      <c r="K6090" s="59">
        <f t="shared" si="29"/>
        <v>0</v>
      </c>
      <c r="L6090" s="59">
        <f t="shared" si="30"/>
        <v>0</v>
      </c>
      <c r="M6090" s="59">
        <f t="shared" si="31"/>
        <v>0</v>
      </c>
    </row>
    <row r="6091" ht="15.0" hidden="1" customHeight="1">
      <c r="A6091" s="59">
        <f t="shared" si="20"/>
        <v>98</v>
      </c>
      <c r="B6091" s="59" t="str">
        <f t="shared" si="21"/>
        <v/>
      </c>
      <c r="C6091" s="59" t="str">
        <f t="shared" si="22"/>
        <v/>
      </c>
      <c r="D6091" s="45" t="str">
        <f t="shared" si="23"/>
        <v/>
      </c>
      <c r="E6091" s="45" t="str">
        <f t="shared" si="24"/>
        <v/>
      </c>
      <c r="F6091" s="59" t="str">
        <f t="shared" si="25"/>
        <v/>
      </c>
      <c r="G6091" s="59" t="str">
        <f t="shared" si="26"/>
        <v/>
      </c>
      <c r="H6091" s="59" t="str">
        <f t="shared" si="27"/>
        <v>28H01070</v>
      </c>
      <c r="I6091" s="59" t="str">
        <f>IF(OR($A6091="",$C6091="",$D6091="",$E6091="",$H6091=""),"",SUMIFS(DATA_GOC!$H:$H,DATA_GOC!$A:$A,"BOM",DATA_GOC!$D:$D,$H6091,DATA_GOC!$E:$E,$C6091,DATA_GOC!$F:$F,"Xuất nội bộ từ téc",DATA_GOC!$B:$B,"&gt;="&amp;$D6091,DATA_GOC!$B:$B,"&lt;="&amp;$E6091))</f>
        <v/>
      </c>
      <c r="J6091" s="59">
        <f t="shared" si="28"/>
        <v>0</v>
      </c>
      <c r="K6091" s="59">
        <f t="shared" si="29"/>
        <v>0</v>
      </c>
      <c r="L6091" s="59">
        <f t="shared" si="30"/>
        <v>0</v>
      </c>
      <c r="M6091" s="59">
        <f t="shared" si="31"/>
        <v>0</v>
      </c>
    </row>
    <row r="6092" ht="15.0" hidden="1" customHeight="1">
      <c r="A6092" s="59">
        <f t="shared" si="20"/>
        <v>98</v>
      </c>
      <c r="B6092" s="59" t="str">
        <f t="shared" si="21"/>
        <v/>
      </c>
      <c r="C6092" s="59" t="str">
        <f t="shared" si="22"/>
        <v/>
      </c>
      <c r="D6092" s="45" t="str">
        <f t="shared" si="23"/>
        <v/>
      </c>
      <c r="E6092" s="45" t="str">
        <f t="shared" si="24"/>
        <v/>
      </c>
      <c r="F6092" s="59" t="str">
        <f t="shared" si="25"/>
        <v/>
      </c>
      <c r="G6092" s="59" t="str">
        <f t="shared" si="26"/>
        <v/>
      </c>
      <c r="H6092" s="59" t="str">
        <f t="shared" si="27"/>
        <v>28H01364</v>
      </c>
      <c r="I6092" s="59" t="str">
        <f>IF(OR($A6092="",$C6092="",$D6092="",$E6092="",$H6092=""),"",SUMIFS(DATA_GOC!$H:$H,DATA_GOC!$A:$A,"BOM",DATA_GOC!$D:$D,$H6092,DATA_GOC!$E:$E,$C6092,DATA_GOC!$F:$F,"Xuất nội bộ từ téc",DATA_GOC!$B:$B,"&gt;="&amp;$D6092,DATA_GOC!$B:$B,"&lt;="&amp;$E6092))</f>
        <v/>
      </c>
      <c r="J6092" s="59">
        <f t="shared" si="28"/>
        <v>0</v>
      </c>
      <c r="K6092" s="59">
        <f t="shared" si="29"/>
        <v>0</v>
      </c>
      <c r="L6092" s="59">
        <f t="shared" si="30"/>
        <v>0</v>
      </c>
      <c r="M6092" s="59">
        <f t="shared" si="31"/>
        <v>0</v>
      </c>
    </row>
    <row r="6093" ht="15.0" hidden="1" customHeight="1">
      <c r="A6093" s="59">
        <f t="shared" si="20"/>
        <v>98</v>
      </c>
      <c r="B6093" s="59" t="str">
        <f t="shared" si="21"/>
        <v/>
      </c>
      <c r="C6093" s="59" t="str">
        <f t="shared" si="22"/>
        <v/>
      </c>
      <c r="D6093" s="45" t="str">
        <f t="shared" si="23"/>
        <v/>
      </c>
      <c r="E6093" s="45" t="str">
        <f t="shared" si="24"/>
        <v/>
      </c>
      <c r="F6093" s="59" t="str">
        <f t="shared" si="25"/>
        <v/>
      </c>
      <c r="G6093" s="59" t="str">
        <f t="shared" si="26"/>
        <v/>
      </c>
      <c r="H6093" s="59" t="str">
        <f t="shared" si="27"/>
        <v>29E17269</v>
      </c>
      <c r="I6093" s="59" t="str">
        <f>IF(OR($A6093="",$C6093="",$D6093="",$E6093="",$H6093=""),"",SUMIFS(DATA_GOC!$H:$H,DATA_GOC!$A:$A,"BOM",DATA_GOC!$D:$D,$H6093,DATA_GOC!$E:$E,$C6093,DATA_GOC!$F:$F,"Xuất nội bộ từ téc",DATA_GOC!$B:$B,"&gt;="&amp;$D6093,DATA_GOC!$B:$B,"&lt;="&amp;$E6093))</f>
        <v/>
      </c>
      <c r="J6093" s="59">
        <f t="shared" si="28"/>
        <v>0</v>
      </c>
      <c r="K6093" s="59">
        <f t="shared" si="29"/>
        <v>0</v>
      </c>
      <c r="L6093" s="59">
        <f t="shared" si="30"/>
        <v>0</v>
      </c>
      <c r="M6093" s="59">
        <f t="shared" si="31"/>
        <v>0</v>
      </c>
    </row>
    <row r="6094" ht="15.0" hidden="1" customHeight="1">
      <c r="A6094" s="59">
        <f t="shared" si="20"/>
        <v>98</v>
      </c>
      <c r="B6094" s="59" t="str">
        <f t="shared" si="21"/>
        <v/>
      </c>
      <c r="C6094" s="59" t="str">
        <f t="shared" si="22"/>
        <v/>
      </c>
      <c r="D6094" s="45" t="str">
        <f t="shared" si="23"/>
        <v/>
      </c>
      <c r="E6094" s="45" t="str">
        <f t="shared" si="24"/>
        <v/>
      </c>
      <c r="F6094" s="59" t="str">
        <f t="shared" si="25"/>
        <v/>
      </c>
      <c r="G6094" s="59" t="str">
        <f t="shared" si="26"/>
        <v/>
      </c>
      <c r="H6094" s="59" t="str">
        <f t="shared" si="27"/>
        <v>29E17273</v>
      </c>
      <c r="I6094" s="59" t="str">
        <f>IF(OR($A6094="",$C6094="",$D6094="",$E6094="",$H6094=""),"",SUMIFS(DATA_GOC!$H:$H,DATA_GOC!$A:$A,"BOM",DATA_GOC!$D:$D,$H6094,DATA_GOC!$E:$E,$C6094,DATA_GOC!$F:$F,"Xuất nội bộ từ téc",DATA_GOC!$B:$B,"&gt;="&amp;$D6094,DATA_GOC!$B:$B,"&lt;="&amp;$E6094))</f>
        <v/>
      </c>
      <c r="J6094" s="59">
        <f t="shared" si="28"/>
        <v>0</v>
      </c>
      <c r="K6094" s="59">
        <f t="shared" si="29"/>
        <v>0</v>
      </c>
      <c r="L6094" s="59">
        <f t="shared" si="30"/>
        <v>0</v>
      </c>
      <c r="M6094" s="59">
        <f t="shared" si="31"/>
        <v>0</v>
      </c>
    </row>
    <row r="6095" ht="15.0" hidden="1" customHeight="1">
      <c r="A6095" s="59">
        <f t="shared" si="20"/>
        <v>98</v>
      </c>
      <c r="B6095" s="59" t="str">
        <f t="shared" si="21"/>
        <v/>
      </c>
      <c r="C6095" s="59" t="str">
        <f t="shared" si="22"/>
        <v/>
      </c>
      <c r="D6095" s="45" t="str">
        <f t="shared" si="23"/>
        <v/>
      </c>
      <c r="E6095" s="45" t="str">
        <f t="shared" si="24"/>
        <v/>
      </c>
      <c r="F6095" s="59" t="str">
        <f t="shared" si="25"/>
        <v/>
      </c>
      <c r="G6095" s="59" t="str">
        <f t="shared" si="26"/>
        <v/>
      </c>
      <c r="H6095" s="59" t="str">
        <f t="shared" si="27"/>
        <v>29E17410</v>
      </c>
      <c r="I6095" s="59" t="str">
        <f>IF(OR($A6095="",$C6095="",$D6095="",$E6095="",$H6095=""),"",SUMIFS(DATA_GOC!$H:$H,DATA_GOC!$A:$A,"BOM",DATA_GOC!$D:$D,$H6095,DATA_GOC!$E:$E,$C6095,DATA_GOC!$F:$F,"Xuất nội bộ từ téc",DATA_GOC!$B:$B,"&gt;="&amp;$D6095,DATA_GOC!$B:$B,"&lt;="&amp;$E6095))</f>
        <v/>
      </c>
      <c r="J6095" s="59">
        <f t="shared" si="28"/>
        <v>0</v>
      </c>
      <c r="K6095" s="59">
        <f t="shared" si="29"/>
        <v>0</v>
      </c>
      <c r="L6095" s="59">
        <f t="shared" si="30"/>
        <v>0</v>
      </c>
      <c r="M6095" s="59">
        <f t="shared" si="31"/>
        <v>0</v>
      </c>
    </row>
    <row r="6096" ht="15.0" hidden="1" customHeight="1">
      <c r="A6096" s="59">
        <f t="shared" si="20"/>
        <v>98</v>
      </c>
      <c r="B6096" s="59" t="str">
        <f t="shared" si="21"/>
        <v/>
      </c>
      <c r="C6096" s="59" t="str">
        <f t="shared" si="22"/>
        <v/>
      </c>
      <c r="D6096" s="45" t="str">
        <f t="shared" si="23"/>
        <v/>
      </c>
      <c r="E6096" s="45" t="str">
        <f t="shared" si="24"/>
        <v/>
      </c>
      <c r="F6096" s="59" t="str">
        <f t="shared" si="25"/>
        <v/>
      </c>
      <c r="G6096" s="59" t="str">
        <f t="shared" si="26"/>
        <v/>
      </c>
      <c r="H6096" s="59" t="str">
        <f t="shared" si="27"/>
        <v>29E17417</v>
      </c>
      <c r="I6096" s="59" t="str">
        <f>IF(OR($A6096="",$C6096="",$D6096="",$E6096="",$H6096=""),"",SUMIFS(DATA_GOC!$H:$H,DATA_GOC!$A:$A,"BOM",DATA_GOC!$D:$D,$H6096,DATA_GOC!$E:$E,$C6096,DATA_GOC!$F:$F,"Xuất nội bộ từ téc",DATA_GOC!$B:$B,"&gt;="&amp;$D6096,DATA_GOC!$B:$B,"&lt;="&amp;$E6096))</f>
        <v/>
      </c>
      <c r="J6096" s="59">
        <f t="shared" si="28"/>
        <v>0</v>
      </c>
      <c r="K6096" s="59">
        <f t="shared" si="29"/>
        <v>0</v>
      </c>
      <c r="L6096" s="59">
        <f t="shared" si="30"/>
        <v>0</v>
      </c>
      <c r="M6096" s="59">
        <f t="shared" si="31"/>
        <v>0</v>
      </c>
    </row>
    <row r="6097" ht="15.0" hidden="1" customHeight="1">
      <c r="A6097" s="59">
        <f t="shared" si="20"/>
        <v>98</v>
      </c>
      <c r="B6097" s="59" t="str">
        <f t="shared" si="21"/>
        <v/>
      </c>
      <c r="C6097" s="59" t="str">
        <f t="shared" si="22"/>
        <v/>
      </c>
      <c r="D6097" s="45" t="str">
        <f t="shared" si="23"/>
        <v/>
      </c>
      <c r="E6097" s="45" t="str">
        <f t="shared" si="24"/>
        <v/>
      </c>
      <c r="F6097" s="59" t="str">
        <f t="shared" si="25"/>
        <v/>
      </c>
      <c r="G6097" s="59" t="str">
        <f t="shared" si="26"/>
        <v/>
      </c>
      <c r="H6097" s="59" t="str">
        <f t="shared" si="27"/>
        <v>29E17539</v>
      </c>
      <c r="I6097" s="59" t="str">
        <f>IF(OR($A6097="",$C6097="",$D6097="",$E6097="",$H6097=""),"",SUMIFS(DATA_GOC!$H:$H,DATA_GOC!$A:$A,"BOM",DATA_GOC!$D:$D,$H6097,DATA_GOC!$E:$E,$C6097,DATA_GOC!$F:$F,"Xuất nội bộ từ téc",DATA_GOC!$B:$B,"&gt;="&amp;$D6097,DATA_GOC!$B:$B,"&lt;="&amp;$E6097))</f>
        <v/>
      </c>
      <c r="J6097" s="59">
        <f t="shared" si="28"/>
        <v>0</v>
      </c>
      <c r="K6097" s="59">
        <f t="shared" si="29"/>
        <v>0</v>
      </c>
      <c r="L6097" s="59">
        <f t="shared" si="30"/>
        <v>0</v>
      </c>
      <c r="M6097" s="59">
        <f t="shared" si="31"/>
        <v>0</v>
      </c>
    </row>
    <row r="6098" ht="15.0" hidden="1" customHeight="1">
      <c r="A6098" s="59">
        <f t="shared" si="20"/>
        <v>98</v>
      </c>
      <c r="B6098" s="59" t="str">
        <f t="shared" si="21"/>
        <v/>
      </c>
      <c r="C6098" s="59" t="str">
        <f t="shared" si="22"/>
        <v/>
      </c>
      <c r="D6098" s="45" t="str">
        <f t="shared" si="23"/>
        <v/>
      </c>
      <c r="E6098" s="45" t="str">
        <f t="shared" si="24"/>
        <v/>
      </c>
      <c r="F6098" s="59" t="str">
        <f t="shared" si="25"/>
        <v/>
      </c>
      <c r="G6098" s="59" t="str">
        <f t="shared" si="26"/>
        <v/>
      </c>
      <c r="H6098" s="59" t="str">
        <f t="shared" si="27"/>
        <v>29E18160</v>
      </c>
      <c r="I6098" s="59" t="str">
        <f>IF(OR($A6098="",$C6098="",$D6098="",$E6098="",$H6098=""),"",SUMIFS(DATA_GOC!$H:$H,DATA_GOC!$A:$A,"BOM",DATA_GOC!$D:$D,$H6098,DATA_GOC!$E:$E,$C6098,DATA_GOC!$F:$F,"Xuất nội bộ từ téc",DATA_GOC!$B:$B,"&gt;="&amp;$D6098,DATA_GOC!$B:$B,"&lt;="&amp;$E6098))</f>
        <v/>
      </c>
      <c r="J6098" s="59">
        <f t="shared" si="28"/>
        <v>0</v>
      </c>
      <c r="K6098" s="59">
        <f t="shared" si="29"/>
        <v>0</v>
      </c>
      <c r="L6098" s="59">
        <f t="shared" si="30"/>
        <v>0</v>
      </c>
      <c r="M6098" s="59">
        <f t="shared" si="31"/>
        <v>0</v>
      </c>
    </row>
    <row r="6099" ht="15.0" hidden="1" customHeight="1">
      <c r="A6099" s="59">
        <f t="shared" si="20"/>
        <v>98</v>
      </c>
      <c r="B6099" s="59" t="str">
        <f t="shared" si="21"/>
        <v/>
      </c>
      <c r="C6099" s="59" t="str">
        <f t="shared" si="22"/>
        <v/>
      </c>
      <c r="D6099" s="45" t="str">
        <f t="shared" si="23"/>
        <v/>
      </c>
      <c r="E6099" s="45" t="str">
        <f t="shared" si="24"/>
        <v/>
      </c>
      <c r="F6099" s="59" t="str">
        <f t="shared" si="25"/>
        <v/>
      </c>
      <c r="G6099" s="59" t="str">
        <f t="shared" si="26"/>
        <v/>
      </c>
      <c r="H6099" s="59" t="str">
        <f t="shared" si="27"/>
        <v>Công trình Asphalt</v>
      </c>
      <c r="I6099" s="59" t="str">
        <f>IF(OR($A6099="",$C6099="",$D6099="",$E6099="",$H6099=""),"",SUMIFS(DATA_GOC!$H:$H,DATA_GOC!$A:$A,"BOM",DATA_GOC!$D:$D,$H6099,DATA_GOC!$E:$E,$C6099,DATA_GOC!$F:$F,"Xuất nội bộ từ téc",DATA_GOC!$B:$B,"&gt;="&amp;$D6099,DATA_GOC!$B:$B,"&lt;="&amp;$E6099))</f>
        <v/>
      </c>
      <c r="J6099" s="59">
        <f t="shared" si="28"/>
        <v>0</v>
      </c>
      <c r="K6099" s="59">
        <f t="shared" si="29"/>
        <v>0</v>
      </c>
      <c r="L6099" s="59">
        <f t="shared" si="30"/>
        <v>0</v>
      </c>
      <c r="M6099" s="59">
        <f t="shared" si="31"/>
        <v>0</v>
      </c>
    </row>
    <row r="6100" ht="15.0" hidden="1" customHeight="1">
      <c r="A6100" s="59">
        <f t="shared" si="20"/>
        <v>98</v>
      </c>
      <c r="B6100" s="59" t="str">
        <f t="shared" si="21"/>
        <v/>
      </c>
      <c r="C6100" s="59" t="str">
        <f t="shared" si="22"/>
        <v/>
      </c>
      <c r="D6100" s="45" t="str">
        <f t="shared" si="23"/>
        <v/>
      </c>
      <c r="E6100" s="45" t="str">
        <f t="shared" si="24"/>
        <v/>
      </c>
      <c r="F6100" s="59" t="str">
        <f t="shared" si="25"/>
        <v/>
      </c>
      <c r="G6100" s="59" t="str">
        <f t="shared" si="26"/>
        <v/>
      </c>
      <c r="H6100" s="59" t="str">
        <f t="shared" si="27"/>
        <v>LG53F</v>
      </c>
      <c r="I6100" s="59" t="str">
        <f>IF(OR($A6100="",$C6100="",$D6100="",$E6100="",$H6100=""),"",SUMIFS(DATA_GOC!$H:$H,DATA_GOC!$A:$A,"BOM",DATA_GOC!$D:$D,$H6100,DATA_GOC!$E:$E,$C6100,DATA_GOC!$F:$F,"Xuất nội bộ từ téc",DATA_GOC!$B:$B,"&gt;="&amp;$D6100,DATA_GOC!$B:$B,"&lt;="&amp;$E6100))</f>
        <v/>
      </c>
      <c r="J6100" s="59">
        <f t="shared" si="28"/>
        <v>0</v>
      </c>
      <c r="K6100" s="59">
        <f t="shared" si="29"/>
        <v>0</v>
      </c>
      <c r="L6100" s="59">
        <f t="shared" si="30"/>
        <v>0</v>
      </c>
      <c r="M6100" s="59">
        <f t="shared" si="31"/>
        <v>0</v>
      </c>
    </row>
    <row r="6101" ht="15.0" hidden="1" customHeight="1">
      <c r="A6101" s="59">
        <f t="shared" si="20"/>
        <v>98</v>
      </c>
      <c r="B6101" s="59" t="str">
        <f t="shared" si="21"/>
        <v/>
      </c>
      <c r="C6101" s="59" t="str">
        <f t="shared" si="22"/>
        <v/>
      </c>
      <c r="D6101" s="45" t="str">
        <f t="shared" si="23"/>
        <v/>
      </c>
      <c r="E6101" s="45" t="str">
        <f t="shared" si="24"/>
        <v/>
      </c>
      <c r="F6101" s="59" t="str">
        <f t="shared" si="25"/>
        <v/>
      </c>
      <c r="G6101" s="59" t="str">
        <f t="shared" si="26"/>
        <v/>
      </c>
      <c r="H6101" s="59" t="str">
        <f t="shared" si="27"/>
        <v>Máy phát điện</v>
      </c>
      <c r="I6101" s="59" t="str">
        <f>IF(OR($A6101="",$C6101="",$D6101="",$E6101="",$H6101=""),"",SUMIFS(DATA_GOC!$H:$H,DATA_GOC!$A:$A,"BOM",DATA_GOC!$D:$D,$H6101,DATA_GOC!$E:$E,$C6101,DATA_GOC!$F:$F,"Xuất nội bộ từ téc",DATA_GOC!$B:$B,"&gt;="&amp;$D6101,DATA_GOC!$B:$B,"&lt;="&amp;$E6101))</f>
        <v/>
      </c>
      <c r="J6101" s="59">
        <f t="shared" si="28"/>
        <v>0</v>
      </c>
      <c r="K6101" s="59">
        <f t="shared" si="29"/>
        <v>0</v>
      </c>
      <c r="L6101" s="59">
        <f t="shared" si="30"/>
        <v>0</v>
      </c>
      <c r="M6101" s="59">
        <f t="shared" si="31"/>
        <v>0</v>
      </c>
    </row>
    <row r="6102" ht="15.0" hidden="1" customHeight="1">
      <c r="A6102" s="59">
        <f t="shared" si="20"/>
        <v>98</v>
      </c>
      <c r="B6102" s="59" t="str">
        <f t="shared" si="21"/>
        <v/>
      </c>
      <c r="C6102" s="59" t="str">
        <f t="shared" si="22"/>
        <v/>
      </c>
      <c r="D6102" s="45" t="str">
        <f t="shared" si="23"/>
        <v/>
      </c>
      <c r="E6102" s="45" t="str">
        <f t="shared" si="24"/>
        <v/>
      </c>
      <c r="F6102" s="59" t="str">
        <f t="shared" si="25"/>
        <v/>
      </c>
      <c r="G6102" s="59" t="str">
        <f t="shared" si="26"/>
        <v/>
      </c>
      <c r="H6102" s="59" t="str">
        <f t="shared" si="27"/>
        <v>Máy rải thảm</v>
      </c>
      <c r="I6102" s="59" t="str">
        <f>IF(OR($A6102="",$C6102="",$D6102="",$E6102="",$H6102=""),"",SUMIFS(DATA_GOC!$H:$H,DATA_GOC!$A:$A,"BOM",DATA_GOC!$D:$D,$H6102,DATA_GOC!$E:$E,$C6102,DATA_GOC!$F:$F,"Xuất nội bộ từ téc",DATA_GOC!$B:$B,"&gt;="&amp;$D6102,DATA_GOC!$B:$B,"&lt;="&amp;$E6102))</f>
        <v/>
      </c>
      <c r="J6102" s="59">
        <f t="shared" si="28"/>
        <v>0</v>
      </c>
      <c r="K6102" s="59">
        <f t="shared" si="29"/>
        <v>0</v>
      </c>
      <c r="L6102" s="59">
        <f t="shared" si="30"/>
        <v>0</v>
      </c>
      <c r="M6102" s="59">
        <f t="shared" si="31"/>
        <v>0</v>
      </c>
    </row>
    <row r="6103" ht="15.0" hidden="1" customHeight="1">
      <c r="A6103" s="59">
        <f t="shared" si="20"/>
        <v>98</v>
      </c>
      <c r="B6103" s="59" t="str">
        <f t="shared" si="21"/>
        <v/>
      </c>
      <c r="C6103" s="59" t="str">
        <f t="shared" si="22"/>
        <v/>
      </c>
      <c r="D6103" s="45" t="str">
        <f t="shared" si="23"/>
        <v/>
      </c>
      <c r="E6103" s="45" t="str">
        <f t="shared" si="24"/>
        <v/>
      </c>
      <c r="F6103" s="59" t="str">
        <f t="shared" si="25"/>
        <v/>
      </c>
      <c r="G6103" s="59" t="str">
        <f t="shared" si="26"/>
        <v/>
      </c>
      <c r="H6103" s="59" t="str">
        <f t="shared" si="27"/>
        <v>Xúc Đào</v>
      </c>
      <c r="I6103" s="59" t="str">
        <f>IF(OR($A6103="",$C6103="",$D6103="",$E6103="",$H6103=""),"",SUMIFS(DATA_GOC!$H:$H,DATA_GOC!$A:$A,"BOM",DATA_GOC!$D:$D,$H6103,DATA_GOC!$E:$E,$C6103,DATA_GOC!$F:$F,"Xuất nội bộ từ téc",DATA_GOC!$B:$B,"&gt;="&amp;$D6103,DATA_GOC!$B:$B,"&lt;="&amp;$E6103))</f>
        <v/>
      </c>
      <c r="J6103" s="59">
        <f t="shared" si="28"/>
        <v>0</v>
      </c>
      <c r="K6103" s="59">
        <f t="shared" si="29"/>
        <v>0</v>
      </c>
      <c r="L6103" s="59">
        <f t="shared" si="30"/>
        <v>0</v>
      </c>
      <c r="M6103" s="59">
        <f t="shared" si="31"/>
        <v>0</v>
      </c>
    </row>
    <row r="6104" ht="15.0" hidden="1" customHeight="1">
      <c r="A6104" s="59">
        <f t="shared" si="20"/>
        <v>98</v>
      </c>
      <c r="B6104" s="59" t="str">
        <f t="shared" si="21"/>
        <v/>
      </c>
      <c r="C6104" s="59" t="str">
        <f t="shared" si="22"/>
        <v/>
      </c>
      <c r="D6104" s="45" t="str">
        <f t="shared" si="23"/>
        <v/>
      </c>
      <c r="E6104" s="45" t="str">
        <f t="shared" si="24"/>
        <v/>
      </c>
      <c r="F6104" s="59" t="str">
        <f t="shared" si="25"/>
        <v/>
      </c>
      <c r="G6104" s="59" t="str">
        <f t="shared" si="26"/>
        <v/>
      </c>
      <c r="H6104" s="59" t="str">
        <f t="shared" si="27"/>
        <v>Xúclật asphalt</v>
      </c>
      <c r="I6104" s="59" t="str">
        <f>IF(OR($A6104="",$C6104="",$D6104="",$E6104="",$H6104=""),"",SUMIFS(DATA_GOC!$H:$H,DATA_GOC!$A:$A,"BOM",DATA_GOC!$D:$D,$H6104,DATA_GOC!$E:$E,$C6104,DATA_GOC!$F:$F,"Xuất nội bộ từ téc",DATA_GOC!$B:$B,"&gt;="&amp;$D6104,DATA_GOC!$B:$B,"&lt;="&amp;$E6104))</f>
        <v/>
      </c>
      <c r="J6104" s="59">
        <f t="shared" si="28"/>
        <v>0</v>
      </c>
      <c r="K6104" s="59">
        <f t="shared" si="29"/>
        <v>0</v>
      </c>
      <c r="L6104" s="59">
        <f t="shared" si="30"/>
        <v>0</v>
      </c>
      <c r="M6104" s="59">
        <f t="shared" si="31"/>
        <v>0</v>
      </c>
    </row>
    <row r="6105" ht="15.0" hidden="1" customHeight="1">
      <c r="A6105" s="59">
        <f t="shared" si="20"/>
        <v>98</v>
      </c>
      <c r="B6105" s="59" t="str">
        <f t="shared" si="21"/>
        <v/>
      </c>
      <c r="C6105" s="59" t="str">
        <f t="shared" si="22"/>
        <v/>
      </c>
      <c r="D6105" s="45" t="str">
        <f t="shared" si="23"/>
        <v/>
      </c>
      <c r="E6105" s="45" t="str">
        <f t="shared" si="24"/>
        <v/>
      </c>
      <c r="F6105" s="59" t="str">
        <f t="shared" si="25"/>
        <v/>
      </c>
      <c r="G6105" s="59" t="str">
        <f t="shared" si="26"/>
        <v/>
      </c>
      <c r="H6105" s="59" t="str">
        <f t="shared" si="27"/>
        <v>Xúclật855H</v>
      </c>
      <c r="I6105" s="59" t="str">
        <f>IF(OR($A6105="",$C6105="",$D6105="",$E6105="",$H6105=""),"",SUMIFS(DATA_GOC!$H:$H,DATA_GOC!$A:$A,"BOM",DATA_GOC!$D:$D,$H6105,DATA_GOC!$E:$E,$C6105,DATA_GOC!$F:$F,"Xuất nội bộ từ téc",DATA_GOC!$B:$B,"&gt;="&amp;$D6105,DATA_GOC!$B:$B,"&lt;="&amp;$E6105))</f>
        <v/>
      </c>
      <c r="J6105" s="59">
        <f t="shared" si="28"/>
        <v>0</v>
      </c>
      <c r="K6105" s="59">
        <f t="shared" si="29"/>
        <v>0</v>
      </c>
      <c r="L6105" s="59">
        <f t="shared" si="30"/>
        <v>0</v>
      </c>
      <c r="M6105" s="59">
        <f t="shared" si="31"/>
        <v>0</v>
      </c>
    </row>
    <row r="6106" ht="15.0" hidden="1" customHeight="1">
      <c r="A6106" s="59">
        <f t="shared" si="20"/>
        <v>98</v>
      </c>
      <c r="B6106" s="59" t="str">
        <f t="shared" si="21"/>
        <v/>
      </c>
      <c r="C6106" s="59" t="str">
        <f t="shared" si="22"/>
        <v/>
      </c>
      <c r="D6106" s="45" t="str">
        <f t="shared" si="23"/>
        <v/>
      </c>
      <c r="E6106" s="45" t="str">
        <f t="shared" si="24"/>
        <v/>
      </c>
      <c r="F6106" s="59" t="str">
        <f t="shared" si="25"/>
        <v/>
      </c>
      <c r="G6106" s="59" t="str">
        <f t="shared" si="26"/>
        <v/>
      </c>
      <c r="H6106" s="59" t="str">
        <f t="shared" si="27"/>
        <v>Xúclật855N</v>
      </c>
      <c r="I6106" s="59" t="str">
        <f>IF(OR($A6106="",$C6106="",$D6106="",$E6106="",$H6106=""),"",SUMIFS(DATA_GOC!$H:$H,DATA_GOC!$A:$A,"BOM",DATA_GOC!$D:$D,$H6106,DATA_GOC!$E:$E,$C6106,DATA_GOC!$F:$F,"Xuất nội bộ từ téc",DATA_GOC!$B:$B,"&gt;="&amp;$D6106,DATA_GOC!$B:$B,"&lt;="&amp;$E6106))</f>
        <v/>
      </c>
      <c r="J6106" s="59">
        <f t="shared" si="28"/>
        <v>0</v>
      </c>
      <c r="K6106" s="59">
        <f t="shared" si="29"/>
        <v>0</v>
      </c>
      <c r="L6106" s="59">
        <f t="shared" si="30"/>
        <v>0</v>
      </c>
      <c r="M6106" s="59">
        <f t="shared" si="31"/>
        <v>0</v>
      </c>
    </row>
    <row r="6107" ht="15.0" hidden="1" customHeight="1">
      <c r="A6107" s="59">
        <f t="shared" si="20"/>
        <v>98</v>
      </c>
      <c r="B6107" s="59" t="str">
        <f t="shared" si="21"/>
        <v/>
      </c>
      <c r="C6107" s="59" t="str">
        <f t="shared" si="22"/>
        <v/>
      </c>
      <c r="D6107" s="45" t="str">
        <f t="shared" si="23"/>
        <v/>
      </c>
      <c r="E6107" s="45" t="str">
        <f t="shared" si="24"/>
        <v/>
      </c>
      <c r="F6107" s="59" t="str">
        <f t="shared" si="25"/>
        <v/>
      </c>
      <c r="G6107" s="59" t="str">
        <f t="shared" si="26"/>
        <v/>
      </c>
      <c r="H6107" s="59" t="str">
        <f t="shared" si="27"/>
        <v>Cát nghiền</v>
      </c>
      <c r="I6107" s="59" t="str">
        <f>IF(OR($A6107="",$C6107="",$D6107="",$E6107="",$H6107=""),"",SUMIFS(DATA_GOC!$H:$H,DATA_GOC!$A:$A,"BOM",DATA_GOC!$D:$D,$H6107,DATA_GOC!$E:$E,$C6107,DATA_GOC!$F:$F,"Xuất nội bộ từ téc",DATA_GOC!$B:$B,"&gt;="&amp;$D6107,DATA_GOC!$B:$B,"&lt;="&amp;$E6107))</f>
        <v/>
      </c>
      <c r="J6107" s="59">
        <f t="shared" si="28"/>
        <v>0</v>
      </c>
      <c r="K6107" s="59">
        <f t="shared" si="29"/>
        <v>0</v>
      </c>
      <c r="L6107" s="59">
        <f t="shared" si="30"/>
        <v>0</v>
      </c>
      <c r="M6107" s="59">
        <f t="shared" si="31"/>
        <v>0</v>
      </c>
    </row>
    <row r="6108" ht="15.0" hidden="1" customHeight="1">
      <c r="A6108" s="59">
        <f t="shared" si="20"/>
        <v>98</v>
      </c>
      <c r="B6108" s="59" t="str">
        <f t="shared" si="21"/>
        <v/>
      </c>
      <c r="C6108" s="59" t="str">
        <f t="shared" si="22"/>
        <v/>
      </c>
      <c r="D6108" s="45" t="str">
        <f t="shared" si="23"/>
        <v/>
      </c>
      <c r="E6108" s="45" t="str">
        <f t="shared" si="24"/>
        <v/>
      </c>
      <c r="F6108" s="59" t="str">
        <f t="shared" si="25"/>
        <v/>
      </c>
      <c r="G6108" s="59" t="str">
        <f t="shared" si="26"/>
        <v/>
      </c>
      <c r="H6108" s="59" t="str">
        <f t="shared" si="27"/>
        <v>28C02973</v>
      </c>
      <c r="I6108" s="59" t="str">
        <f>IF(OR($A6108="",$C6108="",$D6108="",$E6108="",$H6108=""),"",SUMIFS(DATA_GOC!$H:$H,DATA_GOC!$A:$A,"BOM",DATA_GOC!$D:$D,$H6108,DATA_GOC!$E:$E,$C6108,DATA_GOC!$F:$F,"Xuất nội bộ từ téc",DATA_GOC!$B:$B,"&gt;="&amp;$D6108,DATA_GOC!$B:$B,"&lt;="&amp;$E6108))</f>
        <v/>
      </c>
      <c r="J6108" s="59">
        <f t="shared" si="28"/>
        <v>0</v>
      </c>
      <c r="K6108" s="59">
        <f t="shared" si="29"/>
        <v>0</v>
      </c>
      <c r="L6108" s="59">
        <f t="shared" si="30"/>
        <v>0</v>
      </c>
      <c r="M6108" s="59">
        <f t="shared" si="31"/>
        <v>0</v>
      </c>
    </row>
    <row r="6109" ht="15.0" hidden="1" customHeight="1">
      <c r="A6109" s="59">
        <f t="shared" si="20"/>
        <v>98</v>
      </c>
      <c r="B6109" s="59" t="str">
        <f t="shared" si="21"/>
        <v/>
      </c>
      <c r="C6109" s="59" t="str">
        <f t="shared" si="22"/>
        <v/>
      </c>
      <c r="D6109" s="45" t="str">
        <f t="shared" si="23"/>
        <v/>
      </c>
      <c r="E6109" s="45" t="str">
        <f t="shared" si="24"/>
        <v/>
      </c>
      <c r="F6109" s="59" t="str">
        <f t="shared" si="25"/>
        <v/>
      </c>
      <c r="G6109" s="59" t="str">
        <f t="shared" si="26"/>
        <v/>
      </c>
      <c r="H6109" s="59" t="str">
        <f t="shared" si="27"/>
        <v>28C03044</v>
      </c>
      <c r="I6109" s="59" t="str">
        <f>IF(OR($A6109="",$C6109="",$D6109="",$E6109="",$H6109=""),"",SUMIFS(DATA_GOC!$H:$H,DATA_GOC!$A:$A,"BOM",DATA_GOC!$D:$D,$H6109,DATA_GOC!$E:$E,$C6109,DATA_GOC!$F:$F,"Xuất nội bộ từ téc",DATA_GOC!$B:$B,"&gt;="&amp;$D6109,DATA_GOC!$B:$B,"&lt;="&amp;$E6109))</f>
        <v/>
      </c>
      <c r="J6109" s="59">
        <f t="shared" si="28"/>
        <v>0</v>
      </c>
      <c r="K6109" s="59">
        <f t="shared" si="29"/>
        <v>0</v>
      </c>
      <c r="L6109" s="59">
        <f t="shared" si="30"/>
        <v>0</v>
      </c>
      <c r="M6109" s="59">
        <f t="shared" si="31"/>
        <v>0</v>
      </c>
    </row>
    <row r="6110" ht="15.0" hidden="1" customHeight="1">
      <c r="A6110" s="59">
        <f t="shared" si="20"/>
        <v>98</v>
      </c>
      <c r="B6110" s="59" t="str">
        <f t="shared" si="21"/>
        <v/>
      </c>
      <c r="C6110" s="59" t="str">
        <f t="shared" si="22"/>
        <v/>
      </c>
      <c r="D6110" s="45" t="str">
        <f t="shared" si="23"/>
        <v/>
      </c>
      <c r="E6110" s="45" t="str">
        <f t="shared" si="24"/>
        <v/>
      </c>
      <c r="F6110" s="59" t="str">
        <f t="shared" si="25"/>
        <v/>
      </c>
      <c r="G6110" s="59" t="str">
        <f t="shared" si="26"/>
        <v/>
      </c>
      <c r="H6110" s="59" t="str">
        <f t="shared" si="27"/>
        <v>Máy lu lốp</v>
      </c>
      <c r="I6110" s="59" t="str">
        <f>IF(OR($A6110="",$C6110="",$D6110="",$E6110="",$H6110=""),"",SUMIFS(DATA_GOC!$H:$H,DATA_GOC!$A:$A,"BOM",DATA_GOC!$D:$D,$H6110,DATA_GOC!$E:$E,$C6110,DATA_GOC!$F:$F,"Xuất nội bộ từ téc",DATA_GOC!$B:$B,"&gt;="&amp;$D6110,DATA_GOC!$B:$B,"&lt;="&amp;$E6110))</f>
        <v/>
      </c>
      <c r="J6110" s="59">
        <f t="shared" si="28"/>
        <v>0</v>
      </c>
      <c r="K6110" s="59">
        <f t="shared" si="29"/>
        <v>0</v>
      </c>
      <c r="L6110" s="59">
        <f t="shared" si="30"/>
        <v>0</v>
      </c>
      <c r="M6110" s="59">
        <f t="shared" si="31"/>
        <v>0</v>
      </c>
    </row>
    <row r="6111" ht="15.0" hidden="1" customHeight="1">
      <c r="A6111" s="59">
        <f t="shared" si="20"/>
        <v>98</v>
      </c>
      <c r="B6111" s="59" t="str">
        <f t="shared" si="21"/>
        <v/>
      </c>
      <c r="C6111" s="59" t="str">
        <f t="shared" si="22"/>
        <v/>
      </c>
      <c r="D6111" s="45" t="str">
        <f t="shared" si="23"/>
        <v/>
      </c>
      <c r="E6111" s="45" t="str">
        <f t="shared" si="24"/>
        <v/>
      </c>
      <c r="F6111" s="59" t="str">
        <f t="shared" si="25"/>
        <v/>
      </c>
      <c r="G6111" s="59" t="str">
        <f t="shared" si="26"/>
        <v/>
      </c>
      <c r="H6111" s="59" t="str">
        <f t="shared" si="27"/>
        <v>Xe 600148</v>
      </c>
      <c r="I6111" s="59" t="str">
        <f>IF(OR($A6111="",$C6111="",$D6111="",$E6111="",$H6111=""),"",SUMIFS(DATA_GOC!$H:$H,DATA_GOC!$A:$A,"BOM",DATA_GOC!$D:$D,$H6111,DATA_GOC!$E:$E,$C6111,DATA_GOC!$F:$F,"Xuất nội bộ từ téc",DATA_GOC!$B:$B,"&gt;="&amp;$D6111,DATA_GOC!$B:$B,"&lt;="&amp;$E6111))</f>
        <v/>
      </c>
      <c r="J6111" s="59">
        <f t="shared" si="28"/>
        <v>0</v>
      </c>
      <c r="K6111" s="59">
        <f t="shared" si="29"/>
        <v>0</v>
      </c>
      <c r="L6111" s="59">
        <f t="shared" si="30"/>
        <v>0</v>
      </c>
      <c r="M6111" s="59">
        <f t="shared" si="31"/>
        <v>0</v>
      </c>
    </row>
    <row r="6112" ht="15.0" hidden="1" customHeight="1">
      <c r="A6112" s="59">
        <f t="shared" si="20"/>
        <v>98</v>
      </c>
      <c r="B6112" s="59" t="str">
        <f t="shared" si="21"/>
        <v/>
      </c>
      <c r="C6112" s="59" t="str">
        <f t="shared" si="22"/>
        <v/>
      </c>
      <c r="D6112" s="45" t="str">
        <f t="shared" si="23"/>
        <v/>
      </c>
      <c r="E6112" s="45" t="str">
        <f t="shared" si="24"/>
        <v/>
      </c>
      <c r="F6112" s="59" t="str">
        <f t="shared" si="25"/>
        <v/>
      </c>
      <c r="G6112" s="59" t="str">
        <f t="shared" si="26"/>
        <v/>
      </c>
      <c r="H6112" s="59" t="str">
        <f t="shared" si="27"/>
        <v>Xe ben mới</v>
      </c>
      <c r="I6112" s="59" t="str">
        <f>IF(OR($A6112="",$C6112="",$D6112="",$E6112="",$H6112=""),"",SUMIFS(DATA_GOC!$H:$H,DATA_GOC!$A:$A,"BOM",DATA_GOC!$D:$D,$H6112,DATA_GOC!$E:$E,$C6112,DATA_GOC!$F:$F,"Xuất nội bộ từ téc",DATA_GOC!$B:$B,"&gt;="&amp;$D6112,DATA_GOC!$B:$B,"&lt;="&amp;$E6112))</f>
        <v/>
      </c>
      <c r="J6112" s="59">
        <f t="shared" si="28"/>
        <v>0</v>
      </c>
      <c r="K6112" s="59">
        <f t="shared" si="29"/>
        <v>0</v>
      </c>
      <c r="L6112" s="59">
        <f t="shared" si="30"/>
        <v>0</v>
      </c>
      <c r="M6112" s="59">
        <f t="shared" si="31"/>
        <v>0</v>
      </c>
    </row>
    <row r="6113" ht="15.0" hidden="1" customHeight="1">
      <c r="A6113" s="59">
        <f t="shared" si="20"/>
        <v>99</v>
      </c>
      <c r="B6113" s="59" t="str">
        <f t="shared" si="21"/>
        <v/>
      </c>
      <c r="C6113" s="59" t="str">
        <f t="shared" si="22"/>
        <v/>
      </c>
      <c r="D6113" s="45" t="str">
        <f t="shared" si="23"/>
        <v/>
      </c>
      <c r="E6113" s="45" t="str">
        <f t="shared" si="24"/>
        <v/>
      </c>
      <c r="F6113" s="59" t="str">
        <f t="shared" si="25"/>
        <v/>
      </c>
      <c r="G6113" s="59" t="str">
        <f t="shared" si="26"/>
        <v/>
      </c>
      <c r="H6113" s="59" t="str">
        <f t="shared" si="27"/>
        <v>19H09482</v>
      </c>
      <c r="I6113" s="59" t="str">
        <f>IF(OR($A6113="",$C6113="",$D6113="",$E6113="",$H6113=""),"",SUMIFS(DATA_GOC!$H:$H,DATA_GOC!$A:$A,"BOM",DATA_GOC!$D:$D,$H6113,DATA_GOC!$E:$E,$C6113,DATA_GOC!$F:$F,"Xuất nội bộ từ téc",DATA_GOC!$B:$B,"&gt;="&amp;$D6113,DATA_GOC!$B:$B,"&lt;="&amp;$E6113))</f>
        <v/>
      </c>
      <c r="J6113" s="59">
        <f t="shared" si="28"/>
        <v>0</v>
      </c>
      <c r="K6113" s="59">
        <f t="shared" si="29"/>
        <v>0</v>
      </c>
      <c r="L6113" s="59">
        <f t="shared" si="30"/>
        <v>0</v>
      </c>
      <c r="M6113" s="59">
        <f t="shared" si="31"/>
        <v>0</v>
      </c>
    </row>
    <row r="6114" ht="15.0" hidden="1" customHeight="1">
      <c r="A6114" s="59">
        <f t="shared" si="20"/>
        <v>99</v>
      </c>
      <c r="B6114" s="59" t="str">
        <f t="shared" si="21"/>
        <v/>
      </c>
      <c r="C6114" s="59" t="str">
        <f t="shared" si="22"/>
        <v/>
      </c>
      <c r="D6114" s="45" t="str">
        <f t="shared" si="23"/>
        <v/>
      </c>
      <c r="E6114" s="45" t="str">
        <f t="shared" si="24"/>
        <v/>
      </c>
      <c r="F6114" s="59" t="str">
        <f t="shared" si="25"/>
        <v/>
      </c>
      <c r="G6114" s="59" t="str">
        <f t="shared" si="26"/>
        <v/>
      </c>
      <c r="H6114" s="59" t="str">
        <f t="shared" si="27"/>
        <v>28A30696</v>
      </c>
      <c r="I6114" s="59" t="str">
        <f>IF(OR($A6114="",$C6114="",$D6114="",$E6114="",$H6114=""),"",SUMIFS(DATA_GOC!$H:$H,DATA_GOC!$A:$A,"BOM",DATA_GOC!$D:$D,$H6114,DATA_GOC!$E:$E,$C6114,DATA_GOC!$F:$F,"Xuất nội bộ từ téc",DATA_GOC!$B:$B,"&gt;="&amp;$D6114,DATA_GOC!$B:$B,"&lt;="&amp;$E6114))</f>
        <v/>
      </c>
      <c r="J6114" s="59">
        <f t="shared" si="28"/>
        <v>0</v>
      </c>
      <c r="K6114" s="59">
        <f t="shared" si="29"/>
        <v>0</v>
      </c>
      <c r="L6114" s="59">
        <f t="shared" si="30"/>
        <v>0</v>
      </c>
      <c r="M6114" s="59">
        <f t="shared" si="31"/>
        <v>0</v>
      </c>
    </row>
    <row r="6115" ht="15.0" hidden="1" customHeight="1">
      <c r="A6115" s="59">
        <f t="shared" si="20"/>
        <v>99</v>
      </c>
      <c r="B6115" s="59" t="str">
        <f t="shared" si="21"/>
        <v/>
      </c>
      <c r="C6115" s="59" t="str">
        <f t="shared" si="22"/>
        <v/>
      </c>
      <c r="D6115" s="45" t="str">
        <f t="shared" si="23"/>
        <v/>
      </c>
      <c r="E6115" s="45" t="str">
        <f t="shared" si="24"/>
        <v/>
      </c>
      <c r="F6115" s="59" t="str">
        <f t="shared" si="25"/>
        <v/>
      </c>
      <c r="G6115" s="59" t="str">
        <f t="shared" si="26"/>
        <v/>
      </c>
      <c r="H6115" s="59" t="str">
        <f t="shared" si="27"/>
        <v>28C00462</v>
      </c>
      <c r="I6115" s="59" t="str">
        <f>IF(OR($A6115="",$C6115="",$D6115="",$E6115="",$H6115=""),"",SUMIFS(DATA_GOC!$H:$H,DATA_GOC!$A:$A,"BOM",DATA_GOC!$D:$D,$H6115,DATA_GOC!$E:$E,$C6115,DATA_GOC!$F:$F,"Xuất nội bộ từ téc",DATA_GOC!$B:$B,"&gt;="&amp;$D6115,DATA_GOC!$B:$B,"&lt;="&amp;$E6115))</f>
        <v/>
      </c>
      <c r="J6115" s="59">
        <f t="shared" si="28"/>
        <v>0</v>
      </c>
      <c r="K6115" s="59">
        <f t="shared" si="29"/>
        <v>0</v>
      </c>
      <c r="L6115" s="59">
        <f t="shared" si="30"/>
        <v>0</v>
      </c>
      <c r="M6115" s="59">
        <f t="shared" si="31"/>
        <v>0</v>
      </c>
    </row>
    <row r="6116" ht="15.0" hidden="1" customHeight="1">
      <c r="A6116" s="59">
        <f t="shared" si="20"/>
        <v>99</v>
      </c>
      <c r="B6116" s="59" t="str">
        <f t="shared" si="21"/>
        <v/>
      </c>
      <c r="C6116" s="59" t="str">
        <f t="shared" si="22"/>
        <v/>
      </c>
      <c r="D6116" s="45" t="str">
        <f t="shared" si="23"/>
        <v/>
      </c>
      <c r="E6116" s="45" t="str">
        <f t="shared" si="24"/>
        <v/>
      </c>
      <c r="F6116" s="59" t="str">
        <f t="shared" si="25"/>
        <v/>
      </c>
      <c r="G6116" s="59" t="str">
        <f t="shared" si="26"/>
        <v/>
      </c>
      <c r="H6116" s="59" t="str">
        <f t="shared" si="27"/>
        <v>28C01165</v>
      </c>
      <c r="I6116" s="59" t="str">
        <f>IF(OR($A6116="",$C6116="",$D6116="",$E6116="",$H6116=""),"",SUMIFS(DATA_GOC!$H:$H,DATA_GOC!$A:$A,"BOM",DATA_GOC!$D:$D,$H6116,DATA_GOC!$E:$E,$C6116,DATA_GOC!$F:$F,"Xuất nội bộ từ téc",DATA_GOC!$B:$B,"&gt;="&amp;$D6116,DATA_GOC!$B:$B,"&lt;="&amp;$E6116))</f>
        <v/>
      </c>
      <c r="J6116" s="59">
        <f t="shared" si="28"/>
        <v>0</v>
      </c>
      <c r="K6116" s="59">
        <f t="shared" si="29"/>
        <v>0</v>
      </c>
      <c r="L6116" s="59">
        <f t="shared" si="30"/>
        <v>0</v>
      </c>
      <c r="M6116" s="59">
        <f t="shared" si="31"/>
        <v>0</v>
      </c>
    </row>
    <row r="6117" ht="15.0" hidden="1" customHeight="1">
      <c r="A6117" s="59">
        <f t="shared" si="20"/>
        <v>99</v>
      </c>
      <c r="B6117" s="59" t="str">
        <f t="shared" si="21"/>
        <v/>
      </c>
      <c r="C6117" s="59" t="str">
        <f t="shared" si="22"/>
        <v/>
      </c>
      <c r="D6117" s="45" t="str">
        <f t="shared" si="23"/>
        <v/>
      </c>
      <c r="E6117" s="45" t="str">
        <f t="shared" si="24"/>
        <v/>
      </c>
      <c r="F6117" s="59" t="str">
        <f t="shared" si="25"/>
        <v/>
      </c>
      <c r="G6117" s="59" t="str">
        <f t="shared" si="26"/>
        <v/>
      </c>
      <c r="H6117" s="59" t="str">
        <f t="shared" si="27"/>
        <v>28C01406</v>
      </c>
      <c r="I6117" s="59" t="str">
        <f>IF(OR($A6117="",$C6117="",$D6117="",$E6117="",$H6117=""),"",SUMIFS(DATA_GOC!$H:$H,DATA_GOC!$A:$A,"BOM",DATA_GOC!$D:$D,$H6117,DATA_GOC!$E:$E,$C6117,DATA_GOC!$F:$F,"Xuất nội bộ từ téc",DATA_GOC!$B:$B,"&gt;="&amp;$D6117,DATA_GOC!$B:$B,"&lt;="&amp;$E6117))</f>
        <v/>
      </c>
      <c r="J6117" s="59">
        <f t="shared" si="28"/>
        <v>0</v>
      </c>
      <c r="K6117" s="59">
        <f t="shared" si="29"/>
        <v>0</v>
      </c>
      <c r="L6117" s="59">
        <f t="shared" si="30"/>
        <v>0</v>
      </c>
      <c r="M6117" s="59">
        <f t="shared" si="31"/>
        <v>0</v>
      </c>
    </row>
    <row r="6118" ht="15.0" hidden="1" customHeight="1">
      <c r="A6118" s="59">
        <f t="shared" si="20"/>
        <v>99</v>
      </c>
      <c r="B6118" s="59" t="str">
        <f t="shared" si="21"/>
        <v/>
      </c>
      <c r="C6118" s="59" t="str">
        <f t="shared" si="22"/>
        <v/>
      </c>
      <c r="D6118" s="45" t="str">
        <f t="shared" si="23"/>
        <v/>
      </c>
      <c r="E6118" s="45" t="str">
        <f t="shared" si="24"/>
        <v/>
      </c>
      <c r="F6118" s="59" t="str">
        <f t="shared" si="25"/>
        <v/>
      </c>
      <c r="G6118" s="59" t="str">
        <f t="shared" si="26"/>
        <v/>
      </c>
      <c r="H6118" s="59" t="str">
        <f t="shared" si="27"/>
        <v>28C01544</v>
      </c>
      <c r="I6118" s="59" t="str">
        <f>IF(OR($A6118="",$C6118="",$D6118="",$E6118="",$H6118=""),"",SUMIFS(DATA_GOC!$H:$H,DATA_GOC!$A:$A,"BOM",DATA_GOC!$D:$D,$H6118,DATA_GOC!$E:$E,$C6118,DATA_GOC!$F:$F,"Xuất nội bộ từ téc",DATA_GOC!$B:$B,"&gt;="&amp;$D6118,DATA_GOC!$B:$B,"&lt;="&amp;$E6118))</f>
        <v/>
      </c>
      <c r="J6118" s="59">
        <f t="shared" si="28"/>
        <v>0</v>
      </c>
      <c r="K6118" s="59">
        <f t="shared" si="29"/>
        <v>0</v>
      </c>
      <c r="L6118" s="59">
        <f t="shared" si="30"/>
        <v>0</v>
      </c>
      <c r="M6118" s="59">
        <f t="shared" si="31"/>
        <v>0</v>
      </c>
    </row>
    <row r="6119" ht="15.0" hidden="1" customHeight="1">
      <c r="A6119" s="59">
        <f t="shared" si="20"/>
        <v>99</v>
      </c>
      <c r="B6119" s="59" t="str">
        <f t="shared" si="21"/>
        <v/>
      </c>
      <c r="C6119" s="59" t="str">
        <f t="shared" si="22"/>
        <v/>
      </c>
      <c r="D6119" s="45" t="str">
        <f t="shared" si="23"/>
        <v/>
      </c>
      <c r="E6119" s="45" t="str">
        <f t="shared" si="24"/>
        <v/>
      </c>
      <c r="F6119" s="59" t="str">
        <f t="shared" si="25"/>
        <v/>
      </c>
      <c r="G6119" s="59" t="str">
        <f t="shared" si="26"/>
        <v/>
      </c>
      <c r="H6119" s="59" t="str">
        <f t="shared" si="27"/>
        <v>28C01622</v>
      </c>
      <c r="I6119" s="59" t="str">
        <f>IF(OR($A6119="",$C6119="",$D6119="",$E6119="",$H6119=""),"",SUMIFS(DATA_GOC!$H:$H,DATA_GOC!$A:$A,"BOM",DATA_GOC!$D:$D,$H6119,DATA_GOC!$E:$E,$C6119,DATA_GOC!$F:$F,"Xuất nội bộ từ téc",DATA_GOC!$B:$B,"&gt;="&amp;$D6119,DATA_GOC!$B:$B,"&lt;="&amp;$E6119))</f>
        <v/>
      </c>
      <c r="J6119" s="59">
        <f t="shared" si="28"/>
        <v>0</v>
      </c>
      <c r="K6119" s="59">
        <f t="shared" si="29"/>
        <v>0</v>
      </c>
      <c r="L6119" s="59">
        <f t="shared" si="30"/>
        <v>0</v>
      </c>
      <c r="M6119" s="59">
        <f t="shared" si="31"/>
        <v>0</v>
      </c>
    </row>
    <row r="6120" ht="15.0" hidden="1" customHeight="1">
      <c r="A6120" s="59">
        <f t="shared" si="20"/>
        <v>99</v>
      </c>
      <c r="B6120" s="59" t="str">
        <f t="shared" si="21"/>
        <v/>
      </c>
      <c r="C6120" s="59" t="str">
        <f t="shared" si="22"/>
        <v/>
      </c>
      <c r="D6120" s="45" t="str">
        <f t="shared" si="23"/>
        <v/>
      </c>
      <c r="E6120" s="45" t="str">
        <f t="shared" si="24"/>
        <v/>
      </c>
      <c r="F6120" s="59" t="str">
        <f t="shared" si="25"/>
        <v/>
      </c>
      <c r="G6120" s="59" t="str">
        <f t="shared" si="26"/>
        <v/>
      </c>
      <c r="H6120" s="59" t="str">
        <f t="shared" si="27"/>
        <v>28C01647</v>
      </c>
      <c r="I6120" s="59" t="str">
        <f>IF(OR($A6120="",$C6120="",$D6120="",$E6120="",$H6120=""),"",SUMIFS(DATA_GOC!$H:$H,DATA_GOC!$A:$A,"BOM",DATA_GOC!$D:$D,$H6120,DATA_GOC!$E:$E,$C6120,DATA_GOC!$F:$F,"Xuất nội bộ từ téc",DATA_GOC!$B:$B,"&gt;="&amp;$D6120,DATA_GOC!$B:$B,"&lt;="&amp;$E6120))</f>
        <v/>
      </c>
      <c r="J6120" s="59">
        <f t="shared" si="28"/>
        <v>0</v>
      </c>
      <c r="K6120" s="59">
        <f t="shared" si="29"/>
        <v>0</v>
      </c>
      <c r="L6120" s="59">
        <f t="shared" si="30"/>
        <v>0</v>
      </c>
      <c r="M6120" s="59">
        <f t="shared" si="31"/>
        <v>0</v>
      </c>
    </row>
    <row r="6121" ht="15.0" hidden="1" customHeight="1">
      <c r="A6121" s="59">
        <f t="shared" si="20"/>
        <v>99</v>
      </c>
      <c r="B6121" s="59" t="str">
        <f t="shared" si="21"/>
        <v/>
      </c>
      <c r="C6121" s="59" t="str">
        <f t="shared" si="22"/>
        <v/>
      </c>
      <c r="D6121" s="45" t="str">
        <f t="shared" si="23"/>
        <v/>
      </c>
      <c r="E6121" s="45" t="str">
        <f t="shared" si="24"/>
        <v/>
      </c>
      <c r="F6121" s="59" t="str">
        <f t="shared" si="25"/>
        <v/>
      </c>
      <c r="G6121" s="59" t="str">
        <f t="shared" si="26"/>
        <v/>
      </c>
      <c r="H6121" s="59" t="str">
        <f t="shared" si="27"/>
        <v>28C01731</v>
      </c>
      <c r="I6121" s="59" t="str">
        <f>IF(OR($A6121="",$C6121="",$D6121="",$E6121="",$H6121=""),"",SUMIFS(DATA_GOC!$H:$H,DATA_GOC!$A:$A,"BOM",DATA_GOC!$D:$D,$H6121,DATA_GOC!$E:$E,$C6121,DATA_GOC!$F:$F,"Xuất nội bộ từ téc",DATA_GOC!$B:$B,"&gt;="&amp;$D6121,DATA_GOC!$B:$B,"&lt;="&amp;$E6121))</f>
        <v/>
      </c>
      <c r="J6121" s="59">
        <f t="shared" si="28"/>
        <v>0</v>
      </c>
      <c r="K6121" s="59">
        <f t="shared" si="29"/>
        <v>0</v>
      </c>
      <c r="L6121" s="59">
        <f t="shared" si="30"/>
        <v>0</v>
      </c>
      <c r="M6121" s="59">
        <f t="shared" si="31"/>
        <v>0</v>
      </c>
    </row>
    <row r="6122" ht="15.0" hidden="1" customHeight="1">
      <c r="A6122" s="59">
        <f t="shared" si="20"/>
        <v>99</v>
      </c>
      <c r="B6122" s="59" t="str">
        <f t="shared" si="21"/>
        <v/>
      </c>
      <c r="C6122" s="59" t="str">
        <f t="shared" si="22"/>
        <v/>
      </c>
      <c r="D6122" s="45" t="str">
        <f t="shared" si="23"/>
        <v/>
      </c>
      <c r="E6122" s="45" t="str">
        <f t="shared" si="24"/>
        <v/>
      </c>
      <c r="F6122" s="59" t="str">
        <f t="shared" si="25"/>
        <v/>
      </c>
      <c r="G6122" s="59" t="str">
        <f t="shared" si="26"/>
        <v/>
      </c>
      <c r="H6122" s="59" t="str">
        <f t="shared" si="27"/>
        <v>28C01743</v>
      </c>
      <c r="I6122" s="59" t="str">
        <f>IF(OR($A6122="",$C6122="",$D6122="",$E6122="",$H6122=""),"",SUMIFS(DATA_GOC!$H:$H,DATA_GOC!$A:$A,"BOM",DATA_GOC!$D:$D,$H6122,DATA_GOC!$E:$E,$C6122,DATA_GOC!$F:$F,"Xuất nội bộ từ téc",DATA_GOC!$B:$B,"&gt;="&amp;$D6122,DATA_GOC!$B:$B,"&lt;="&amp;$E6122))</f>
        <v/>
      </c>
      <c r="J6122" s="59">
        <f t="shared" si="28"/>
        <v>0</v>
      </c>
      <c r="K6122" s="59">
        <f t="shared" si="29"/>
        <v>0</v>
      </c>
      <c r="L6122" s="59">
        <f t="shared" si="30"/>
        <v>0</v>
      </c>
      <c r="M6122" s="59">
        <f t="shared" si="31"/>
        <v>0</v>
      </c>
    </row>
    <row r="6123" ht="15.0" hidden="1" customHeight="1">
      <c r="A6123" s="59">
        <f t="shared" si="20"/>
        <v>99</v>
      </c>
      <c r="B6123" s="59" t="str">
        <f t="shared" si="21"/>
        <v/>
      </c>
      <c r="C6123" s="59" t="str">
        <f t="shared" si="22"/>
        <v/>
      </c>
      <c r="D6123" s="45" t="str">
        <f t="shared" si="23"/>
        <v/>
      </c>
      <c r="E6123" s="45" t="str">
        <f t="shared" si="24"/>
        <v/>
      </c>
      <c r="F6123" s="59" t="str">
        <f t="shared" si="25"/>
        <v/>
      </c>
      <c r="G6123" s="59" t="str">
        <f t="shared" si="26"/>
        <v/>
      </c>
      <c r="H6123" s="59" t="str">
        <f t="shared" si="27"/>
        <v>28C02106</v>
      </c>
      <c r="I6123" s="59" t="str">
        <f>IF(OR($A6123="",$C6123="",$D6123="",$E6123="",$H6123=""),"",SUMIFS(DATA_GOC!$H:$H,DATA_GOC!$A:$A,"BOM",DATA_GOC!$D:$D,$H6123,DATA_GOC!$E:$E,$C6123,DATA_GOC!$F:$F,"Xuất nội bộ từ téc",DATA_GOC!$B:$B,"&gt;="&amp;$D6123,DATA_GOC!$B:$B,"&lt;="&amp;$E6123))</f>
        <v/>
      </c>
      <c r="J6123" s="59">
        <f t="shared" si="28"/>
        <v>0</v>
      </c>
      <c r="K6123" s="59">
        <f t="shared" si="29"/>
        <v>0</v>
      </c>
      <c r="L6123" s="59">
        <f t="shared" si="30"/>
        <v>0</v>
      </c>
      <c r="M6123" s="59">
        <f t="shared" si="31"/>
        <v>0</v>
      </c>
    </row>
    <row r="6124" ht="15.0" hidden="1" customHeight="1">
      <c r="A6124" s="59">
        <f t="shared" si="20"/>
        <v>99</v>
      </c>
      <c r="B6124" s="59" t="str">
        <f t="shared" si="21"/>
        <v/>
      </c>
      <c r="C6124" s="59" t="str">
        <f t="shared" si="22"/>
        <v/>
      </c>
      <c r="D6124" s="45" t="str">
        <f t="shared" si="23"/>
        <v/>
      </c>
      <c r="E6124" s="45" t="str">
        <f t="shared" si="24"/>
        <v/>
      </c>
      <c r="F6124" s="59" t="str">
        <f t="shared" si="25"/>
        <v/>
      </c>
      <c r="G6124" s="59" t="str">
        <f t="shared" si="26"/>
        <v/>
      </c>
      <c r="H6124" s="59" t="str">
        <f t="shared" si="27"/>
        <v>28C02410</v>
      </c>
      <c r="I6124" s="59" t="str">
        <f>IF(OR($A6124="",$C6124="",$D6124="",$E6124="",$H6124=""),"",SUMIFS(DATA_GOC!$H:$H,DATA_GOC!$A:$A,"BOM",DATA_GOC!$D:$D,$H6124,DATA_GOC!$E:$E,$C6124,DATA_GOC!$F:$F,"Xuất nội bộ từ téc",DATA_GOC!$B:$B,"&gt;="&amp;$D6124,DATA_GOC!$B:$B,"&lt;="&amp;$E6124))</f>
        <v/>
      </c>
      <c r="J6124" s="59">
        <f t="shared" si="28"/>
        <v>0</v>
      </c>
      <c r="K6124" s="59">
        <f t="shared" si="29"/>
        <v>0</v>
      </c>
      <c r="L6124" s="59">
        <f t="shared" si="30"/>
        <v>0</v>
      </c>
      <c r="M6124" s="59">
        <f t="shared" si="31"/>
        <v>0</v>
      </c>
    </row>
    <row r="6125" ht="15.0" hidden="1" customHeight="1">
      <c r="A6125" s="59">
        <f t="shared" si="20"/>
        <v>99</v>
      </c>
      <c r="B6125" s="59" t="str">
        <f t="shared" si="21"/>
        <v/>
      </c>
      <c r="C6125" s="59" t="str">
        <f t="shared" si="22"/>
        <v/>
      </c>
      <c r="D6125" s="45" t="str">
        <f t="shared" si="23"/>
        <v/>
      </c>
      <c r="E6125" s="45" t="str">
        <f t="shared" si="24"/>
        <v/>
      </c>
      <c r="F6125" s="59" t="str">
        <f t="shared" si="25"/>
        <v/>
      </c>
      <c r="G6125" s="59" t="str">
        <f t="shared" si="26"/>
        <v/>
      </c>
      <c r="H6125" s="59" t="str">
        <f t="shared" si="27"/>
        <v>28C02545</v>
      </c>
      <c r="I6125" s="59" t="str">
        <f>IF(OR($A6125="",$C6125="",$D6125="",$E6125="",$H6125=""),"",SUMIFS(DATA_GOC!$H:$H,DATA_GOC!$A:$A,"BOM",DATA_GOC!$D:$D,$H6125,DATA_GOC!$E:$E,$C6125,DATA_GOC!$F:$F,"Xuất nội bộ từ téc",DATA_GOC!$B:$B,"&gt;="&amp;$D6125,DATA_GOC!$B:$B,"&lt;="&amp;$E6125))</f>
        <v/>
      </c>
      <c r="J6125" s="59">
        <f t="shared" si="28"/>
        <v>0</v>
      </c>
      <c r="K6125" s="59">
        <f t="shared" si="29"/>
        <v>0</v>
      </c>
      <c r="L6125" s="59">
        <f t="shared" si="30"/>
        <v>0</v>
      </c>
      <c r="M6125" s="59">
        <f t="shared" si="31"/>
        <v>0</v>
      </c>
    </row>
    <row r="6126" ht="15.0" hidden="1" customHeight="1">
      <c r="A6126" s="59">
        <f t="shared" si="20"/>
        <v>99</v>
      </c>
      <c r="B6126" s="59" t="str">
        <f t="shared" si="21"/>
        <v/>
      </c>
      <c r="C6126" s="59" t="str">
        <f t="shared" si="22"/>
        <v/>
      </c>
      <c r="D6126" s="45" t="str">
        <f t="shared" si="23"/>
        <v/>
      </c>
      <c r="E6126" s="45" t="str">
        <f t="shared" si="24"/>
        <v/>
      </c>
      <c r="F6126" s="59" t="str">
        <f t="shared" si="25"/>
        <v/>
      </c>
      <c r="G6126" s="59" t="str">
        <f t="shared" si="26"/>
        <v/>
      </c>
      <c r="H6126" s="59" t="str">
        <f t="shared" si="27"/>
        <v>28C02574</v>
      </c>
      <c r="I6126" s="59" t="str">
        <f>IF(OR($A6126="",$C6126="",$D6126="",$E6126="",$H6126=""),"",SUMIFS(DATA_GOC!$H:$H,DATA_GOC!$A:$A,"BOM",DATA_GOC!$D:$D,$H6126,DATA_GOC!$E:$E,$C6126,DATA_GOC!$F:$F,"Xuất nội bộ từ téc",DATA_GOC!$B:$B,"&gt;="&amp;$D6126,DATA_GOC!$B:$B,"&lt;="&amp;$E6126))</f>
        <v/>
      </c>
      <c r="J6126" s="59">
        <f t="shared" si="28"/>
        <v>0</v>
      </c>
      <c r="K6126" s="59">
        <f t="shared" si="29"/>
        <v>0</v>
      </c>
      <c r="L6126" s="59">
        <f t="shared" si="30"/>
        <v>0</v>
      </c>
      <c r="M6126" s="59">
        <f t="shared" si="31"/>
        <v>0</v>
      </c>
    </row>
    <row r="6127" ht="15.0" hidden="1" customHeight="1">
      <c r="A6127" s="59">
        <f t="shared" si="20"/>
        <v>99</v>
      </c>
      <c r="B6127" s="59" t="str">
        <f t="shared" si="21"/>
        <v/>
      </c>
      <c r="C6127" s="59" t="str">
        <f t="shared" si="22"/>
        <v/>
      </c>
      <c r="D6127" s="45" t="str">
        <f t="shared" si="23"/>
        <v/>
      </c>
      <c r="E6127" s="45" t="str">
        <f t="shared" si="24"/>
        <v/>
      </c>
      <c r="F6127" s="59" t="str">
        <f t="shared" si="25"/>
        <v/>
      </c>
      <c r="G6127" s="59" t="str">
        <f t="shared" si="26"/>
        <v/>
      </c>
      <c r="H6127" s="59" t="str">
        <f t="shared" si="27"/>
        <v>28C02770</v>
      </c>
      <c r="I6127" s="59" t="str">
        <f>IF(OR($A6127="",$C6127="",$D6127="",$E6127="",$H6127=""),"",SUMIFS(DATA_GOC!$H:$H,DATA_GOC!$A:$A,"BOM",DATA_GOC!$D:$D,$H6127,DATA_GOC!$E:$E,$C6127,DATA_GOC!$F:$F,"Xuất nội bộ từ téc",DATA_GOC!$B:$B,"&gt;="&amp;$D6127,DATA_GOC!$B:$B,"&lt;="&amp;$E6127))</f>
        <v/>
      </c>
      <c r="J6127" s="59">
        <f t="shared" si="28"/>
        <v>0</v>
      </c>
      <c r="K6127" s="59">
        <f t="shared" si="29"/>
        <v>0</v>
      </c>
      <c r="L6127" s="59">
        <f t="shared" si="30"/>
        <v>0</v>
      </c>
      <c r="M6127" s="59">
        <f t="shared" si="31"/>
        <v>0</v>
      </c>
    </row>
    <row r="6128" ht="15.0" hidden="1" customHeight="1">
      <c r="A6128" s="59">
        <f t="shared" si="20"/>
        <v>99</v>
      </c>
      <c r="B6128" s="59" t="str">
        <f t="shared" si="21"/>
        <v/>
      </c>
      <c r="C6128" s="59" t="str">
        <f t="shared" si="22"/>
        <v/>
      </c>
      <c r="D6128" s="45" t="str">
        <f t="shared" si="23"/>
        <v/>
      </c>
      <c r="E6128" s="45" t="str">
        <f t="shared" si="24"/>
        <v/>
      </c>
      <c r="F6128" s="59" t="str">
        <f t="shared" si="25"/>
        <v/>
      </c>
      <c r="G6128" s="59" t="str">
        <f t="shared" si="26"/>
        <v/>
      </c>
      <c r="H6128" s="59" t="str">
        <f t="shared" si="27"/>
        <v>28C02986</v>
      </c>
      <c r="I6128" s="59" t="str">
        <f>IF(OR($A6128="",$C6128="",$D6128="",$E6128="",$H6128=""),"",SUMIFS(DATA_GOC!$H:$H,DATA_GOC!$A:$A,"BOM",DATA_GOC!$D:$D,$H6128,DATA_GOC!$E:$E,$C6128,DATA_GOC!$F:$F,"Xuất nội bộ từ téc",DATA_GOC!$B:$B,"&gt;="&amp;$D6128,DATA_GOC!$B:$B,"&lt;="&amp;$E6128))</f>
        <v/>
      </c>
      <c r="J6128" s="59">
        <f t="shared" si="28"/>
        <v>0</v>
      </c>
      <c r="K6128" s="59">
        <f t="shared" si="29"/>
        <v>0</v>
      </c>
      <c r="L6128" s="59">
        <f t="shared" si="30"/>
        <v>0</v>
      </c>
      <c r="M6128" s="59">
        <f t="shared" si="31"/>
        <v>0</v>
      </c>
    </row>
    <row r="6129" ht="15.0" hidden="1" customHeight="1">
      <c r="A6129" s="59">
        <f t="shared" si="20"/>
        <v>99</v>
      </c>
      <c r="B6129" s="59" t="str">
        <f t="shared" si="21"/>
        <v/>
      </c>
      <c r="C6129" s="59" t="str">
        <f t="shared" si="22"/>
        <v/>
      </c>
      <c r="D6129" s="45" t="str">
        <f t="shared" si="23"/>
        <v/>
      </c>
      <c r="E6129" s="45" t="str">
        <f t="shared" si="24"/>
        <v/>
      </c>
      <c r="F6129" s="59" t="str">
        <f t="shared" si="25"/>
        <v/>
      </c>
      <c r="G6129" s="59" t="str">
        <f t="shared" si="26"/>
        <v/>
      </c>
      <c r="H6129" s="59" t="str">
        <f t="shared" si="27"/>
        <v>28C03261</v>
      </c>
      <c r="I6129" s="59" t="str">
        <f>IF(OR($A6129="",$C6129="",$D6129="",$E6129="",$H6129=""),"",SUMIFS(DATA_GOC!$H:$H,DATA_GOC!$A:$A,"BOM",DATA_GOC!$D:$D,$H6129,DATA_GOC!$E:$E,$C6129,DATA_GOC!$F:$F,"Xuất nội bộ từ téc",DATA_GOC!$B:$B,"&gt;="&amp;$D6129,DATA_GOC!$B:$B,"&lt;="&amp;$E6129))</f>
        <v/>
      </c>
      <c r="J6129" s="59">
        <f t="shared" si="28"/>
        <v>0</v>
      </c>
      <c r="K6129" s="59">
        <f t="shared" si="29"/>
        <v>0</v>
      </c>
      <c r="L6129" s="59">
        <f t="shared" si="30"/>
        <v>0</v>
      </c>
      <c r="M6129" s="59">
        <f t="shared" si="31"/>
        <v>0</v>
      </c>
    </row>
    <row r="6130" ht="15.0" hidden="1" customHeight="1">
      <c r="A6130" s="59">
        <f t="shared" si="20"/>
        <v>99</v>
      </c>
      <c r="B6130" s="59" t="str">
        <f t="shared" si="21"/>
        <v/>
      </c>
      <c r="C6130" s="59" t="str">
        <f t="shared" si="22"/>
        <v/>
      </c>
      <c r="D6130" s="45" t="str">
        <f t="shared" si="23"/>
        <v/>
      </c>
      <c r="E6130" s="45" t="str">
        <f t="shared" si="24"/>
        <v/>
      </c>
      <c r="F6130" s="59" t="str">
        <f t="shared" si="25"/>
        <v/>
      </c>
      <c r="G6130" s="59" t="str">
        <f t="shared" si="26"/>
        <v/>
      </c>
      <c r="H6130" s="59" t="str">
        <f t="shared" si="27"/>
        <v>28C03323</v>
      </c>
      <c r="I6130" s="59" t="str">
        <f>IF(OR($A6130="",$C6130="",$D6130="",$E6130="",$H6130=""),"",SUMIFS(DATA_GOC!$H:$H,DATA_GOC!$A:$A,"BOM",DATA_GOC!$D:$D,$H6130,DATA_GOC!$E:$E,$C6130,DATA_GOC!$F:$F,"Xuất nội bộ từ téc",DATA_GOC!$B:$B,"&gt;="&amp;$D6130,DATA_GOC!$B:$B,"&lt;="&amp;$E6130))</f>
        <v/>
      </c>
      <c r="J6130" s="59">
        <f t="shared" si="28"/>
        <v>0</v>
      </c>
      <c r="K6130" s="59">
        <f t="shared" si="29"/>
        <v>0</v>
      </c>
      <c r="L6130" s="59">
        <f t="shared" si="30"/>
        <v>0</v>
      </c>
      <c r="M6130" s="59">
        <f t="shared" si="31"/>
        <v>0</v>
      </c>
    </row>
    <row r="6131" ht="15.0" hidden="1" customHeight="1">
      <c r="A6131" s="59">
        <f t="shared" si="20"/>
        <v>99</v>
      </c>
      <c r="B6131" s="59" t="str">
        <f t="shared" si="21"/>
        <v/>
      </c>
      <c r="C6131" s="59" t="str">
        <f t="shared" si="22"/>
        <v/>
      </c>
      <c r="D6131" s="45" t="str">
        <f t="shared" si="23"/>
        <v/>
      </c>
      <c r="E6131" s="45" t="str">
        <f t="shared" si="24"/>
        <v/>
      </c>
      <c r="F6131" s="59" t="str">
        <f t="shared" si="25"/>
        <v/>
      </c>
      <c r="G6131" s="59" t="str">
        <f t="shared" si="26"/>
        <v/>
      </c>
      <c r="H6131" s="59" t="str">
        <f t="shared" si="27"/>
        <v>28C03385</v>
      </c>
      <c r="I6131" s="59" t="str">
        <f>IF(OR($A6131="",$C6131="",$D6131="",$E6131="",$H6131=""),"",SUMIFS(DATA_GOC!$H:$H,DATA_GOC!$A:$A,"BOM",DATA_GOC!$D:$D,$H6131,DATA_GOC!$E:$E,$C6131,DATA_GOC!$F:$F,"Xuất nội bộ từ téc",DATA_GOC!$B:$B,"&gt;="&amp;$D6131,DATA_GOC!$B:$B,"&lt;="&amp;$E6131))</f>
        <v/>
      </c>
      <c r="J6131" s="59">
        <f t="shared" si="28"/>
        <v>0</v>
      </c>
      <c r="K6131" s="59">
        <f t="shared" si="29"/>
        <v>0</v>
      </c>
      <c r="L6131" s="59">
        <f t="shared" si="30"/>
        <v>0</v>
      </c>
      <c r="M6131" s="59">
        <f t="shared" si="31"/>
        <v>0</v>
      </c>
    </row>
    <row r="6132" ht="15.0" hidden="1" customHeight="1">
      <c r="A6132" s="59">
        <f t="shared" si="20"/>
        <v>99</v>
      </c>
      <c r="B6132" s="59" t="str">
        <f t="shared" si="21"/>
        <v/>
      </c>
      <c r="C6132" s="59" t="str">
        <f t="shared" si="22"/>
        <v/>
      </c>
      <c r="D6132" s="45" t="str">
        <f t="shared" si="23"/>
        <v/>
      </c>
      <c r="E6132" s="45" t="str">
        <f t="shared" si="24"/>
        <v/>
      </c>
      <c r="F6132" s="59" t="str">
        <f t="shared" si="25"/>
        <v/>
      </c>
      <c r="G6132" s="59" t="str">
        <f t="shared" si="26"/>
        <v/>
      </c>
      <c r="H6132" s="59" t="str">
        <f t="shared" si="27"/>
        <v>28C03652</v>
      </c>
      <c r="I6132" s="59" t="str">
        <f>IF(OR($A6132="",$C6132="",$D6132="",$E6132="",$H6132=""),"",SUMIFS(DATA_GOC!$H:$H,DATA_GOC!$A:$A,"BOM",DATA_GOC!$D:$D,$H6132,DATA_GOC!$E:$E,$C6132,DATA_GOC!$F:$F,"Xuất nội bộ từ téc",DATA_GOC!$B:$B,"&gt;="&amp;$D6132,DATA_GOC!$B:$B,"&lt;="&amp;$E6132))</f>
        <v/>
      </c>
      <c r="J6132" s="59">
        <f t="shared" si="28"/>
        <v>0</v>
      </c>
      <c r="K6132" s="59">
        <f t="shared" si="29"/>
        <v>0</v>
      </c>
      <c r="L6132" s="59">
        <f t="shared" si="30"/>
        <v>0</v>
      </c>
      <c r="M6132" s="59">
        <f t="shared" si="31"/>
        <v>0</v>
      </c>
    </row>
    <row r="6133" ht="15.0" hidden="1" customHeight="1">
      <c r="A6133" s="59">
        <f t="shared" si="20"/>
        <v>99</v>
      </c>
      <c r="B6133" s="59" t="str">
        <f t="shared" si="21"/>
        <v/>
      </c>
      <c r="C6133" s="59" t="str">
        <f t="shared" si="22"/>
        <v/>
      </c>
      <c r="D6133" s="45" t="str">
        <f t="shared" si="23"/>
        <v/>
      </c>
      <c r="E6133" s="45" t="str">
        <f t="shared" si="24"/>
        <v/>
      </c>
      <c r="F6133" s="59" t="str">
        <f t="shared" si="25"/>
        <v/>
      </c>
      <c r="G6133" s="59" t="str">
        <f t="shared" si="26"/>
        <v/>
      </c>
      <c r="H6133" s="59" t="str">
        <f t="shared" si="27"/>
        <v>28C03695</v>
      </c>
      <c r="I6133" s="59" t="str">
        <f>IF(OR($A6133="",$C6133="",$D6133="",$E6133="",$H6133=""),"",SUMIFS(DATA_GOC!$H:$H,DATA_GOC!$A:$A,"BOM",DATA_GOC!$D:$D,$H6133,DATA_GOC!$E:$E,$C6133,DATA_GOC!$F:$F,"Xuất nội bộ từ téc",DATA_GOC!$B:$B,"&gt;="&amp;$D6133,DATA_GOC!$B:$B,"&lt;="&amp;$E6133))</f>
        <v/>
      </c>
      <c r="J6133" s="59">
        <f t="shared" si="28"/>
        <v>0</v>
      </c>
      <c r="K6133" s="59">
        <f t="shared" si="29"/>
        <v>0</v>
      </c>
      <c r="L6133" s="59">
        <f t="shared" si="30"/>
        <v>0</v>
      </c>
      <c r="M6133" s="59">
        <f t="shared" si="31"/>
        <v>0</v>
      </c>
    </row>
    <row r="6134" ht="15.0" hidden="1" customHeight="1">
      <c r="A6134" s="59">
        <f t="shared" si="20"/>
        <v>99</v>
      </c>
      <c r="B6134" s="59" t="str">
        <f t="shared" si="21"/>
        <v/>
      </c>
      <c r="C6134" s="59" t="str">
        <f t="shared" si="22"/>
        <v/>
      </c>
      <c r="D6134" s="45" t="str">
        <f t="shared" si="23"/>
        <v/>
      </c>
      <c r="E6134" s="45" t="str">
        <f t="shared" si="24"/>
        <v/>
      </c>
      <c r="F6134" s="59" t="str">
        <f t="shared" si="25"/>
        <v/>
      </c>
      <c r="G6134" s="59" t="str">
        <f t="shared" si="26"/>
        <v/>
      </c>
      <c r="H6134" s="59" t="str">
        <f t="shared" si="27"/>
        <v>28C03927</v>
      </c>
      <c r="I6134" s="59" t="str">
        <f>IF(OR($A6134="",$C6134="",$D6134="",$E6134="",$H6134=""),"",SUMIFS(DATA_GOC!$H:$H,DATA_GOC!$A:$A,"BOM",DATA_GOC!$D:$D,$H6134,DATA_GOC!$E:$E,$C6134,DATA_GOC!$F:$F,"Xuất nội bộ từ téc",DATA_GOC!$B:$B,"&gt;="&amp;$D6134,DATA_GOC!$B:$B,"&lt;="&amp;$E6134))</f>
        <v/>
      </c>
      <c r="J6134" s="59">
        <f t="shared" si="28"/>
        <v>0</v>
      </c>
      <c r="K6134" s="59">
        <f t="shared" si="29"/>
        <v>0</v>
      </c>
      <c r="L6134" s="59">
        <f t="shared" si="30"/>
        <v>0</v>
      </c>
      <c r="M6134" s="59">
        <f t="shared" si="31"/>
        <v>0</v>
      </c>
    </row>
    <row r="6135" ht="15.0" hidden="1" customHeight="1">
      <c r="A6135" s="59">
        <f t="shared" si="20"/>
        <v>99</v>
      </c>
      <c r="B6135" s="59" t="str">
        <f t="shared" si="21"/>
        <v/>
      </c>
      <c r="C6135" s="59" t="str">
        <f t="shared" si="22"/>
        <v/>
      </c>
      <c r="D6135" s="45" t="str">
        <f t="shared" si="23"/>
        <v/>
      </c>
      <c r="E6135" s="45" t="str">
        <f t="shared" si="24"/>
        <v/>
      </c>
      <c r="F6135" s="59" t="str">
        <f t="shared" si="25"/>
        <v/>
      </c>
      <c r="G6135" s="59" t="str">
        <f t="shared" si="26"/>
        <v/>
      </c>
      <c r="H6135" s="59" t="str">
        <f t="shared" si="27"/>
        <v>28C04509</v>
      </c>
      <c r="I6135" s="59" t="str">
        <f>IF(OR($A6135="",$C6135="",$D6135="",$E6135="",$H6135=""),"",SUMIFS(DATA_GOC!$H:$H,DATA_GOC!$A:$A,"BOM",DATA_GOC!$D:$D,$H6135,DATA_GOC!$E:$E,$C6135,DATA_GOC!$F:$F,"Xuất nội bộ từ téc",DATA_GOC!$B:$B,"&gt;="&amp;$D6135,DATA_GOC!$B:$B,"&lt;="&amp;$E6135))</f>
        <v/>
      </c>
      <c r="J6135" s="59">
        <f t="shared" si="28"/>
        <v>0</v>
      </c>
      <c r="K6135" s="59">
        <f t="shared" si="29"/>
        <v>0</v>
      </c>
      <c r="L6135" s="59">
        <f t="shared" si="30"/>
        <v>0</v>
      </c>
      <c r="M6135" s="59">
        <f t="shared" si="31"/>
        <v>0</v>
      </c>
    </row>
    <row r="6136" ht="15.0" hidden="1" customHeight="1">
      <c r="A6136" s="59">
        <f t="shared" si="20"/>
        <v>99</v>
      </c>
      <c r="B6136" s="59" t="str">
        <f t="shared" si="21"/>
        <v/>
      </c>
      <c r="C6136" s="59" t="str">
        <f t="shared" si="22"/>
        <v/>
      </c>
      <c r="D6136" s="45" t="str">
        <f t="shared" si="23"/>
        <v/>
      </c>
      <c r="E6136" s="45" t="str">
        <f t="shared" si="24"/>
        <v/>
      </c>
      <c r="F6136" s="59" t="str">
        <f t="shared" si="25"/>
        <v/>
      </c>
      <c r="G6136" s="59" t="str">
        <f t="shared" si="26"/>
        <v/>
      </c>
      <c r="H6136" s="59" t="str">
        <f t="shared" si="27"/>
        <v>28C04536</v>
      </c>
      <c r="I6136" s="59" t="str">
        <f>IF(OR($A6136="",$C6136="",$D6136="",$E6136="",$H6136=""),"",SUMIFS(DATA_GOC!$H:$H,DATA_GOC!$A:$A,"BOM",DATA_GOC!$D:$D,$H6136,DATA_GOC!$E:$E,$C6136,DATA_GOC!$F:$F,"Xuất nội bộ từ téc",DATA_GOC!$B:$B,"&gt;="&amp;$D6136,DATA_GOC!$B:$B,"&lt;="&amp;$E6136))</f>
        <v/>
      </c>
      <c r="J6136" s="59">
        <f t="shared" si="28"/>
        <v>0</v>
      </c>
      <c r="K6136" s="59">
        <f t="shared" si="29"/>
        <v>0</v>
      </c>
      <c r="L6136" s="59">
        <f t="shared" si="30"/>
        <v>0</v>
      </c>
      <c r="M6136" s="59">
        <f t="shared" si="31"/>
        <v>0</v>
      </c>
    </row>
    <row r="6137" ht="15.0" hidden="1" customHeight="1">
      <c r="A6137" s="59">
        <f t="shared" si="20"/>
        <v>99</v>
      </c>
      <c r="B6137" s="59" t="str">
        <f t="shared" si="21"/>
        <v/>
      </c>
      <c r="C6137" s="59" t="str">
        <f t="shared" si="22"/>
        <v/>
      </c>
      <c r="D6137" s="45" t="str">
        <f t="shared" si="23"/>
        <v/>
      </c>
      <c r="E6137" s="45" t="str">
        <f t="shared" si="24"/>
        <v/>
      </c>
      <c r="F6137" s="59" t="str">
        <f t="shared" si="25"/>
        <v/>
      </c>
      <c r="G6137" s="59" t="str">
        <f t="shared" si="26"/>
        <v/>
      </c>
      <c r="H6137" s="59" t="str">
        <f t="shared" si="27"/>
        <v>28C04576</v>
      </c>
      <c r="I6137" s="59" t="str">
        <f>IF(OR($A6137="",$C6137="",$D6137="",$E6137="",$H6137=""),"",SUMIFS(DATA_GOC!$H:$H,DATA_GOC!$A:$A,"BOM",DATA_GOC!$D:$D,$H6137,DATA_GOC!$E:$E,$C6137,DATA_GOC!$F:$F,"Xuất nội bộ từ téc",DATA_GOC!$B:$B,"&gt;="&amp;$D6137,DATA_GOC!$B:$B,"&lt;="&amp;$E6137))</f>
        <v/>
      </c>
      <c r="J6137" s="59">
        <f t="shared" si="28"/>
        <v>0</v>
      </c>
      <c r="K6137" s="59">
        <f t="shared" si="29"/>
        <v>0</v>
      </c>
      <c r="L6137" s="59">
        <f t="shared" si="30"/>
        <v>0</v>
      </c>
      <c r="M6137" s="59">
        <f t="shared" si="31"/>
        <v>0</v>
      </c>
    </row>
    <row r="6138" ht="15.0" hidden="1" customHeight="1">
      <c r="A6138" s="59">
        <f t="shared" si="20"/>
        <v>99</v>
      </c>
      <c r="B6138" s="59" t="str">
        <f t="shared" si="21"/>
        <v/>
      </c>
      <c r="C6138" s="59" t="str">
        <f t="shared" si="22"/>
        <v/>
      </c>
      <c r="D6138" s="45" t="str">
        <f t="shared" si="23"/>
        <v/>
      </c>
      <c r="E6138" s="45" t="str">
        <f t="shared" si="24"/>
        <v/>
      </c>
      <c r="F6138" s="59" t="str">
        <f t="shared" si="25"/>
        <v/>
      </c>
      <c r="G6138" s="59" t="str">
        <f t="shared" si="26"/>
        <v/>
      </c>
      <c r="H6138" s="59" t="str">
        <f t="shared" si="27"/>
        <v>28C05090</v>
      </c>
      <c r="I6138" s="59" t="str">
        <f>IF(OR($A6138="",$C6138="",$D6138="",$E6138="",$H6138=""),"",SUMIFS(DATA_GOC!$H:$H,DATA_GOC!$A:$A,"BOM",DATA_GOC!$D:$D,$H6138,DATA_GOC!$E:$E,$C6138,DATA_GOC!$F:$F,"Xuất nội bộ từ téc",DATA_GOC!$B:$B,"&gt;="&amp;$D6138,DATA_GOC!$B:$B,"&lt;="&amp;$E6138))</f>
        <v/>
      </c>
      <c r="J6138" s="59">
        <f t="shared" si="28"/>
        <v>0</v>
      </c>
      <c r="K6138" s="59">
        <f t="shared" si="29"/>
        <v>0</v>
      </c>
      <c r="L6138" s="59">
        <f t="shared" si="30"/>
        <v>0</v>
      </c>
      <c r="M6138" s="59">
        <f t="shared" si="31"/>
        <v>0</v>
      </c>
    </row>
    <row r="6139" ht="15.0" hidden="1" customHeight="1">
      <c r="A6139" s="59">
        <f t="shared" si="20"/>
        <v>99</v>
      </c>
      <c r="B6139" s="59" t="str">
        <f t="shared" si="21"/>
        <v/>
      </c>
      <c r="C6139" s="59" t="str">
        <f t="shared" si="22"/>
        <v/>
      </c>
      <c r="D6139" s="45" t="str">
        <f t="shared" si="23"/>
        <v/>
      </c>
      <c r="E6139" s="45" t="str">
        <f t="shared" si="24"/>
        <v/>
      </c>
      <c r="F6139" s="59" t="str">
        <f t="shared" si="25"/>
        <v/>
      </c>
      <c r="G6139" s="59" t="str">
        <f t="shared" si="26"/>
        <v/>
      </c>
      <c r="H6139" s="59" t="str">
        <f t="shared" si="27"/>
        <v>28C05345</v>
      </c>
      <c r="I6139" s="59" t="str">
        <f>IF(OR($A6139="",$C6139="",$D6139="",$E6139="",$H6139=""),"",SUMIFS(DATA_GOC!$H:$H,DATA_GOC!$A:$A,"BOM",DATA_GOC!$D:$D,$H6139,DATA_GOC!$E:$E,$C6139,DATA_GOC!$F:$F,"Xuất nội bộ từ téc",DATA_GOC!$B:$B,"&gt;="&amp;$D6139,DATA_GOC!$B:$B,"&lt;="&amp;$E6139))</f>
        <v/>
      </c>
      <c r="J6139" s="59">
        <f t="shared" si="28"/>
        <v>0</v>
      </c>
      <c r="K6139" s="59">
        <f t="shared" si="29"/>
        <v>0</v>
      </c>
      <c r="L6139" s="59">
        <f t="shared" si="30"/>
        <v>0</v>
      </c>
      <c r="M6139" s="59">
        <f t="shared" si="31"/>
        <v>0</v>
      </c>
    </row>
    <row r="6140" ht="15.0" hidden="1" customHeight="1">
      <c r="A6140" s="59">
        <f t="shared" si="20"/>
        <v>99</v>
      </c>
      <c r="B6140" s="59" t="str">
        <f t="shared" si="21"/>
        <v/>
      </c>
      <c r="C6140" s="59" t="str">
        <f t="shared" si="22"/>
        <v/>
      </c>
      <c r="D6140" s="45" t="str">
        <f t="shared" si="23"/>
        <v/>
      </c>
      <c r="E6140" s="45" t="str">
        <f t="shared" si="24"/>
        <v/>
      </c>
      <c r="F6140" s="59" t="str">
        <f t="shared" si="25"/>
        <v/>
      </c>
      <c r="G6140" s="59" t="str">
        <f t="shared" si="26"/>
        <v/>
      </c>
      <c r="H6140" s="59" t="str">
        <f t="shared" si="27"/>
        <v>28C05661</v>
      </c>
      <c r="I6140" s="59" t="str">
        <f>IF(OR($A6140="",$C6140="",$D6140="",$E6140="",$H6140=""),"",SUMIFS(DATA_GOC!$H:$H,DATA_GOC!$A:$A,"BOM",DATA_GOC!$D:$D,$H6140,DATA_GOC!$E:$E,$C6140,DATA_GOC!$F:$F,"Xuất nội bộ từ téc",DATA_GOC!$B:$B,"&gt;="&amp;$D6140,DATA_GOC!$B:$B,"&lt;="&amp;$E6140))</f>
        <v/>
      </c>
      <c r="J6140" s="59">
        <f t="shared" si="28"/>
        <v>0</v>
      </c>
      <c r="K6140" s="59">
        <f t="shared" si="29"/>
        <v>0</v>
      </c>
      <c r="L6140" s="59">
        <f t="shared" si="30"/>
        <v>0</v>
      </c>
      <c r="M6140" s="59">
        <f t="shared" si="31"/>
        <v>0</v>
      </c>
    </row>
    <row r="6141" ht="15.0" hidden="1" customHeight="1">
      <c r="A6141" s="59">
        <f t="shared" si="20"/>
        <v>99</v>
      </c>
      <c r="B6141" s="59" t="str">
        <f t="shared" si="21"/>
        <v/>
      </c>
      <c r="C6141" s="59" t="str">
        <f t="shared" si="22"/>
        <v/>
      </c>
      <c r="D6141" s="45" t="str">
        <f t="shared" si="23"/>
        <v/>
      </c>
      <c r="E6141" s="45" t="str">
        <f t="shared" si="24"/>
        <v/>
      </c>
      <c r="F6141" s="59" t="str">
        <f t="shared" si="25"/>
        <v/>
      </c>
      <c r="G6141" s="59" t="str">
        <f t="shared" si="26"/>
        <v/>
      </c>
      <c r="H6141" s="59" t="str">
        <f t="shared" si="27"/>
        <v>28C05739</v>
      </c>
      <c r="I6141" s="59" t="str">
        <f>IF(OR($A6141="",$C6141="",$D6141="",$E6141="",$H6141=""),"",SUMIFS(DATA_GOC!$H:$H,DATA_GOC!$A:$A,"BOM",DATA_GOC!$D:$D,$H6141,DATA_GOC!$E:$E,$C6141,DATA_GOC!$F:$F,"Xuất nội bộ từ téc",DATA_GOC!$B:$B,"&gt;="&amp;$D6141,DATA_GOC!$B:$B,"&lt;="&amp;$E6141))</f>
        <v/>
      </c>
      <c r="J6141" s="59">
        <f t="shared" si="28"/>
        <v>0</v>
      </c>
      <c r="K6141" s="59">
        <f t="shared" si="29"/>
        <v>0</v>
      </c>
      <c r="L6141" s="59">
        <f t="shared" si="30"/>
        <v>0</v>
      </c>
      <c r="M6141" s="59">
        <f t="shared" si="31"/>
        <v>0</v>
      </c>
    </row>
    <row r="6142" ht="15.0" hidden="1" customHeight="1">
      <c r="A6142" s="59">
        <f t="shared" si="20"/>
        <v>99</v>
      </c>
      <c r="B6142" s="59" t="str">
        <f t="shared" si="21"/>
        <v/>
      </c>
      <c r="C6142" s="59" t="str">
        <f t="shared" si="22"/>
        <v/>
      </c>
      <c r="D6142" s="45" t="str">
        <f t="shared" si="23"/>
        <v/>
      </c>
      <c r="E6142" s="45" t="str">
        <f t="shared" si="24"/>
        <v/>
      </c>
      <c r="F6142" s="59" t="str">
        <f t="shared" si="25"/>
        <v/>
      </c>
      <c r="G6142" s="59" t="str">
        <f t="shared" si="26"/>
        <v/>
      </c>
      <c r="H6142" s="59" t="str">
        <f t="shared" si="27"/>
        <v>28C06369</v>
      </c>
      <c r="I6142" s="59" t="str">
        <f>IF(OR($A6142="",$C6142="",$D6142="",$E6142="",$H6142=""),"",SUMIFS(DATA_GOC!$H:$H,DATA_GOC!$A:$A,"BOM",DATA_GOC!$D:$D,$H6142,DATA_GOC!$E:$E,$C6142,DATA_GOC!$F:$F,"Xuất nội bộ từ téc",DATA_GOC!$B:$B,"&gt;="&amp;$D6142,DATA_GOC!$B:$B,"&lt;="&amp;$E6142))</f>
        <v/>
      </c>
      <c r="J6142" s="59">
        <f t="shared" si="28"/>
        <v>0</v>
      </c>
      <c r="K6142" s="59">
        <f t="shared" si="29"/>
        <v>0</v>
      </c>
      <c r="L6142" s="59">
        <f t="shared" si="30"/>
        <v>0</v>
      </c>
      <c r="M6142" s="59">
        <f t="shared" si="31"/>
        <v>0</v>
      </c>
    </row>
    <row r="6143" ht="15.0" hidden="1" customHeight="1">
      <c r="A6143" s="59">
        <f t="shared" si="20"/>
        <v>99</v>
      </c>
      <c r="B6143" s="59" t="str">
        <f t="shared" si="21"/>
        <v/>
      </c>
      <c r="C6143" s="59" t="str">
        <f t="shared" si="22"/>
        <v/>
      </c>
      <c r="D6143" s="45" t="str">
        <f t="shared" si="23"/>
        <v/>
      </c>
      <c r="E6143" s="45" t="str">
        <f t="shared" si="24"/>
        <v/>
      </c>
      <c r="F6143" s="59" t="str">
        <f t="shared" si="25"/>
        <v/>
      </c>
      <c r="G6143" s="59" t="str">
        <f t="shared" si="26"/>
        <v/>
      </c>
      <c r="H6143" s="59" t="str">
        <f t="shared" si="27"/>
        <v>28C06447</v>
      </c>
      <c r="I6143" s="59" t="str">
        <f>IF(OR($A6143="",$C6143="",$D6143="",$E6143="",$H6143=""),"",SUMIFS(DATA_GOC!$H:$H,DATA_GOC!$A:$A,"BOM",DATA_GOC!$D:$D,$H6143,DATA_GOC!$E:$E,$C6143,DATA_GOC!$F:$F,"Xuất nội bộ từ téc",DATA_GOC!$B:$B,"&gt;="&amp;$D6143,DATA_GOC!$B:$B,"&lt;="&amp;$E6143))</f>
        <v/>
      </c>
      <c r="J6143" s="59">
        <f t="shared" si="28"/>
        <v>0</v>
      </c>
      <c r="K6143" s="59">
        <f t="shared" si="29"/>
        <v>0</v>
      </c>
      <c r="L6143" s="59">
        <f t="shared" si="30"/>
        <v>0</v>
      </c>
      <c r="M6143" s="59">
        <f t="shared" si="31"/>
        <v>0</v>
      </c>
    </row>
    <row r="6144" ht="15.0" hidden="1" customHeight="1">
      <c r="A6144" s="59">
        <f t="shared" si="20"/>
        <v>99</v>
      </c>
      <c r="B6144" s="59" t="str">
        <f t="shared" si="21"/>
        <v/>
      </c>
      <c r="C6144" s="59" t="str">
        <f t="shared" si="22"/>
        <v/>
      </c>
      <c r="D6144" s="45" t="str">
        <f t="shared" si="23"/>
        <v/>
      </c>
      <c r="E6144" s="45" t="str">
        <f t="shared" si="24"/>
        <v/>
      </c>
      <c r="F6144" s="59" t="str">
        <f t="shared" si="25"/>
        <v/>
      </c>
      <c r="G6144" s="59" t="str">
        <f t="shared" si="26"/>
        <v/>
      </c>
      <c r="H6144" s="59" t="str">
        <f t="shared" si="27"/>
        <v>28H00003</v>
      </c>
      <c r="I6144" s="59" t="str">
        <f>IF(OR($A6144="",$C6144="",$D6144="",$E6144="",$H6144=""),"",SUMIFS(DATA_GOC!$H:$H,DATA_GOC!$A:$A,"BOM",DATA_GOC!$D:$D,$H6144,DATA_GOC!$E:$E,$C6144,DATA_GOC!$F:$F,"Xuất nội bộ từ téc",DATA_GOC!$B:$B,"&gt;="&amp;$D6144,DATA_GOC!$B:$B,"&lt;="&amp;$E6144))</f>
        <v/>
      </c>
      <c r="J6144" s="59">
        <f t="shared" si="28"/>
        <v>0</v>
      </c>
      <c r="K6144" s="59">
        <f t="shared" si="29"/>
        <v>0</v>
      </c>
      <c r="L6144" s="59">
        <f t="shared" si="30"/>
        <v>0</v>
      </c>
      <c r="M6144" s="59">
        <f t="shared" si="31"/>
        <v>0</v>
      </c>
    </row>
    <row r="6145" ht="15.0" hidden="1" customHeight="1">
      <c r="A6145" s="59">
        <f t="shared" si="20"/>
        <v>99</v>
      </c>
      <c r="B6145" s="59" t="str">
        <f t="shared" si="21"/>
        <v/>
      </c>
      <c r="C6145" s="59" t="str">
        <f t="shared" si="22"/>
        <v/>
      </c>
      <c r="D6145" s="45" t="str">
        <f t="shared" si="23"/>
        <v/>
      </c>
      <c r="E6145" s="45" t="str">
        <f t="shared" si="24"/>
        <v/>
      </c>
      <c r="F6145" s="59" t="str">
        <f t="shared" si="25"/>
        <v/>
      </c>
      <c r="G6145" s="59" t="str">
        <f t="shared" si="26"/>
        <v/>
      </c>
      <c r="H6145" s="59" t="str">
        <f t="shared" si="27"/>
        <v>28H00061</v>
      </c>
      <c r="I6145" s="59" t="str">
        <f>IF(OR($A6145="",$C6145="",$D6145="",$E6145="",$H6145=""),"",SUMIFS(DATA_GOC!$H:$H,DATA_GOC!$A:$A,"BOM",DATA_GOC!$D:$D,$H6145,DATA_GOC!$E:$E,$C6145,DATA_GOC!$F:$F,"Xuất nội bộ từ téc",DATA_GOC!$B:$B,"&gt;="&amp;$D6145,DATA_GOC!$B:$B,"&lt;="&amp;$E6145))</f>
        <v/>
      </c>
      <c r="J6145" s="59">
        <f t="shared" si="28"/>
        <v>0</v>
      </c>
      <c r="K6145" s="59">
        <f t="shared" si="29"/>
        <v>0</v>
      </c>
      <c r="L6145" s="59">
        <f t="shared" si="30"/>
        <v>0</v>
      </c>
      <c r="M6145" s="59">
        <f t="shared" si="31"/>
        <v>0</v>
      </c>
    </row>
    <row r="6146" ht="15.0" hidden="1" customHeight="1">
      <c r="A6146" s="59">
        <f t="shared" si="20"/>
        <v>99</v>
      </c>
      <c r="B6146" s="59" t="str">
        <f t="shared" si="21"/>
        <v/>
      </c>
      <c r="C6146" s="59" t="str">
        <f t="shared" si="22"/>
        <v/>
      </c>
      <c r="D6146" s="45" t="str">
        <f t="shared" si="23"/>
        <v/>
      </c>
      <c r="E6146" s="45" t="str">
        <f t="shared" si="24"/>
        <v/>
      </c>
      <c r="F6146" s="59" t="str">
        <f t="shared" si="25"/>
        <v/>
      </c>
      <c r="G6146" s="59" t="str">
        <f t="shared" si="26"/>
        <v/>
      </c>
      <c r="H6146" s="59" t="str">
        <f t="shared" si="27"/>
        <v>28H00354</v>
      </c>
      <c r="I6146" s="59" t="str">
        <f>IF(OR($A6146="",$C6146="",$D6146="",$E6146="",$H6146=""),"",SUMIFS(DATA_GOC!$H:$H,DATA_GOC!$A:$A,"BOM",DATA_GOC!$D:$D,$H6146,DATA_GOC!$E:$E,$C6146,DATA_GOC!$F:$F,"Xuất nội bộ từ téc",DATA_GOC!$B:$B,"&gt;="&amp;$D6146,DATA_GOC!$B:$B,"&lt;="&amp;$E6146))</f>
        <v/>
      </c>
      <c r="J6146" s="59">
        <f t="shared" si="28"/>
        <v>0</v>
      </c>
      <c r="K6146" s="59">
        <f t="shared" si="29"/>
        <v>0</v>
      </c>
      <c r="L6146" s="59">
        <f t="shared" si="30"/>
        <v>0</v>
      </c>
      <c r="M6146" s="59">
        <f t="shared" si="31"/>
        <v>0</v>
      </c>
    </row>
    <row r="6147" ht="15.0" hidden="1" customHeight="1">
      <c r="A6147" s="59">
        <f t="shared" si="20"/>
        <v>99</v>
      </c>
      <c r="B6147" s="59" t="str">
        <f t="shared" si="21"/>
        <v/>
      </c>
      <c r="C6147" s="59" t="str">
        <f t="shared" si="22"/>
        <v/>
      </c>
      <c r="D6147" s="45" t="str">
        <f t="shared" si="23"/>
        <v/>
      </c>
      <c r="E6147" s="45" t="str">
        <f t="shared" si="24"/>
        <v/>
      </c>
      <c r="F6147" s="59" t="str">
        <f t="shared" si="25"/>
        <v/>
      </c>
      <c r="G6147" s="59" t="str">
        <f t="shared" si="26"/>
        <v/>
      </c>
      <c r="H6147" s="59" t="str">
        <f t="shared" si="27"/>
        <v>28H00603</v>
      </c>
      <c r="I6147" s="59" t="str">
        <f>IF(OR($A6147="",$C6147="",$D6147="",$E6147="",$H6147=""),"",SUMIFS(DATA_GOC!$H:$H,DATA_GOC!$A:$A,"BOM",DATA_GOC!$D:$D,$H6147,DATA_GOC!$E:$E,$C6147,DATA_GOC!$F:$F,"Xuất nội bộ từ téc",DATA_GOC!$B:$B,"&gt;="&amp;$D6147,DATA_GOC!$B:$B,"&lt;="&amp;$E6147))</f>
        <v/>
      </c>
      <c r="J6147" s="59">
        <f t="shared" si="28"/>
        <v>0</v>
      </c>
      <c r="K6147" s="59">
        <f t="shared" si="29"/>
        <v>0</v>
      </c>
      <c r="L6147" s="59">
        <f t="shared" si="30"/>
        <v>0</v>
      </c>
      <c r="M6147" s="59">
        <f t="shared" si="31"/>
        <v>0</v>
      </c>
    </row>
    <row r="6148" ht="15.0" hidden="1" customHeight="1">
      <c r="A6148" s="59">
        <f t="shared" si="20"/>
        <v>99</v>
      </c>
      <c r="B6148" s="59" t="str">
        <f t="shared" si="21"/>
        <v/>
      </c>
      <c r="C6148" s="59" t="str">
        <f t="shared" si="22"/>
        <v/>
      </c>
      <c r="D6148" s="45" t="str">
        <f t="shared" si="23"/>
        <v/>
      </c>
      <c r="E6148" s="45" t="str">
        <f t="shared" si="24"/>
        <v/>
      </c>
      <c r="F6148" s="59" t="str">
        <f t="shared" si="25"/>
        <v/>
      </c>
      <c r="G6148" s="59" t="str">
        <f t="shared" si="26"/>
        <v/>
      </c>
      <c r="H6148" s="59" t="str">
        <f t="shared" si="27"/>
        <v>28H00609</v>
      </c>
      <c r="I6148" s="59" t="str">
        <f>IF(OR($A6148="",$C6148="",$D6148="",$E6148="",$H6148=""),"",SUMIFS(DATA_GOC!$H:$H,DATA_GOC!$A:$A,"BOM",DATA_GOC!$D:$D,$H6148,DATA_GOC!$E:$E,$C6148,DATA_GOC!$F:$F,"Xuất nội bộ từ téc",DATA_GOC!$B:$B,"&gt;="&amp;$D6148,DATA_GOC!$B:$B,"&lt;="&amp;$E6148))</f>
        <v/>
      </c>
      <c r="J6148" s="59">
        <f t="shared" si="28"/>
        <v>0</v>
      </c>
      <c r="K6148" s="59">
        <f t="shared" si="29"/>
        <v>0</v>
      </c>
      <c r="L6148" s="59">
        <f t="shared" si="30"/>
        <v>0</v>
      </c>
      <c r="M6148" s="59">
        <f t="shared" si="31"/>
        <v>0</v>
      </c>
    </row>
    <row r="6149" ht="15.0" hidden="1" customHeight="1">
      <c r="A6149" s="59">
        <f t="shared" si="20"/>
        <v>99</v>
      </c>
      <c r="B6149" s="59" t="str">
        <f t="shared" si="21"/>
        <v/>
      </c>
      <c r="C6149" s="59" t="str">
        <f t="shared" si="22"/>
        <v/>
      </c>
      <c r="D6149" s="45" t="str">
        <f t="shared" si="23"/>
        <v/>
      </c>
      <c r="E6149" s="45" t="str">
        <f t="shared" si="24"/>
        <v/>
      </c>
      <c r="F6149" s="59" t="str">
        <f t="shared" si="25"/>
        <v/>
      </c>
      <c r="G6149" s="59" t="str">
        <f t="shared" si="26"/>
        <v/>
      </c>
      <c r="H6149" s="59" t="str">
        <f t="shared" si="27"/>
        <v>28H00669</v>
      </c>
      <c r="I6149" s="59" t="str">
        <f>IF(OR($A6149="",$C6149="",$D6149="",$E6149="",$H6149=""),"",SUMIFS(DATA_GOC!$H:$H,DATA_GOC!$A:$A,"BOM",DATA_GOC!$D:$D,$H6149,DATA_GOC!$E:$E,$C6149,DATA_GOC!$F:$F,"Xuất nội bộ từ téc",DATA_GOC!$B:$B,"&gt;="&amp;$D6149,DATA_GOC!$B:$B,"&lt;="&amp;$E6149))</f>
        <v/>
      </c>
      <c r="J6149" s="59">
        <f t="shared" si="28"/>
        <v>0</v>
      </c>
      <c r="K6149" s="59">
        <f t="shared" si="29"/>
        <v>0</v>
      </c>
      <c r="L6149" s="59">
        <f t="shared" si="30"/>
        <v>0</v>
      </c>
      <c r="M6149" s="59">
        <f t="shared" si="31"/>
        <v>0</v>
      </c>
    </row>
    <row r="6150" ht="15.0" hidden="1" customHeight="1">
      <c r="A6150" s="59">
        <f t="shared" si="20"/>
        <v>99</v>
      </c>
      <c r="B6150" s="59" t="str">
        <f t="shared" si="21"/>
        <v/>
      </c>
      <c r="C6150" s="59" t="str">
        <f t="shared" si="22"/>
        <v/>
      </c>
      <c r="D6150" s="45" t="str">
        <f t="shared" si="23"/>
        <v/>
      </c>
      <c r="E6150" s="45" t="str">
        <f t="shared" si="24"/>
        <v/>
      </c>
      <c r="F6150" s="59" t="str">
        <f t="shared" si="25"/>
        <v/>
      </c>
      <c r="G6150" s="59" t="str">
        <f t="shared" si="26"/>
        <v/>
      </c>
      <c r="H6150" s="59" t="str">
        <f t="shared" si="27"/>
        <v>28H00680</v>
      </c>
      <c r="I6150" s="59" t="str">
        <f>IF(OR($A6150="",$C6150="",$D6150="",$E6150="",$H6150=""),"",SUMIFS(DATA_GOC!$H:$H,DATA_GOC!$A:$A,"BOM",DATA_GOC!$D:$D,$H6150,DATA_GOC!$E:$E,$C6150,DATA_GOC!$F:$F,"Xuất nội bộ từ téc",DATA_GOC!$B:$B,"&gt;="&amp;$D6150,DATA_GOC!$B:$B,"&lt;="&amp;$E6150))</f>
        <v/>
      </c>
      <c r="J6150" s="59">
        <f t="shared" si="28"/>
        <v>0</v>
      </c>
      <c r="K6150" s="59">
        <f t="shared" si="29"/>
        <v>0</v>
      </c>
      <c r="L6150" s="59">
        <f t="shared" si="30"/>
        <v>0</v>
      </c>
      <c r="M6150" s="59">
        <f t="shared" si="31"/>
        <v>0</v>
      </c>
    </row>
    <row r="6151" ht="15.0" hidden="1" customHeight="1">
      <c r="A6151" s="59">
        <f t="shared" si="20"/>
        <v>99</v>
      </c>
      <c r="B6151" s="59" t="str">
        <f t="shared" si="21"/>
        <v/>
      </c>
      <c r="C6151" s="59" t="str">
        <f t="shared" si="22"/>
        <v/>
      </c>
      <c r="D6151" s="45" t="str">
        <f t="shared" si="23"/>
        <v/>
      </c>
      <c r="E6151" s="45" t="str">
        <f t="shared" si="24"/>
        <v/>
      </c>
      <c r="F6151" s="59" t="str">
        <f t="shared" si="25"/>
        <v/>
      </c>
      <c r="G6151" s="59" t="str">
        <f t="shared" si="26"/>
        <v/>
      </c>
      <c r="H6151" s="59" t="str">
        <f t="shared" si="27"/>
        <v>28H01070</v>
      </c>
      <c r="I6151" s="59" t="str">
        <f>IF(OR($A6151="",$C6151="",$D6151="",$E6151="",$H6151=""),"",SUMIFS(DATA_GOC!$H:$H,DATA_GOC!$A:$A,"BOM",DATA_GOC!$D:$D,$H6151,DATA_GOC!$E:$E,$C6151,DATA_GOC!$F:$F,"Xuất nội bộ từ téc",DATA_GOC!$B:$B,"&gt;="&amp;$D6151,DATA_GOC!$B:$B,"&lt;="&amp;$E6151))</f>
        <v/>
      </c>
      <c r="J6151" s="59">
        <f t="shared" si="28"/>
        <v>0</v>
      </c>
      <c r="K6151" s="59">
        <f t="shared" si="29"/>
        <v>0</v>
      </c>
      <c r="L6151" s="59">
        <f t="shared" si="30"/>
        <v>0</v>
      </c>
      <c r="M6151" s="59">
        <f t="shared" si="31"/>
        <v>0</v>
      </c>
    </row>
    <row r="6152" ht="15.0" hidden="1" customHeight="1">
      <c r="A6152" s="59">
        <f t="shared" si="20"/>
        <v>99</v>
      </c>
      <c r="B6152" s="59" t="str">
        <f t="shared" si="21"/>
        <v/>
      </c>
      <c r="C6152" s="59" t="str">
        <f t="shared" si="22"/>
        <v/>
      </c>
      <c r="D6152" s="45" t="str">
        <f t="shared" si="23"/>
        <v/>
      </c>
      <c r="E6152" s="45" t="str">
        <f t="shared" si="24"/>
        <v/>
      </c>
      <c r="F6152" s="59" t="str">
        <f t="shared" si="25"/>
        <v/>
      </c>
      <c r="G6152" s="59" t="str">
        <f t="shared" si="26"/>
        <v/>
      </c>
      <c r="H6152" s="59" t="str">
        <f t="shared" si="27"/>
        <v>28H01364</v>
      </c>
      <c r="I6152" s="59" t="str">
        <f>IF(OR($A6152="",$C6152="",$D6152="",$E6152="",$H6152=""),"",SUMIFS(DATA_GOC!$H:$H,DATA_GOC!$A:$A,"BOM",DATA_GOC!$D:$D,$H6152,DATA_GOC!$E:$E,$C6152,DATA_GOC!$F:$F,"Xuất nội bộ từ téc",DATA_GOC!$B:$B,"&gt;="&amp;$D6152,DATA_GOC!$B:$B,"&lt;="&amp;$E6152))</f>
        <v/>
      </c>
      <c r="J6152" s="59">
        <f t="shared" si="28"/>
        <v>0</v>
      </c>
      <c r="K6152" s="59">
        <f t="shared" si="29"/>
        <v>0</v>
      </c>
      <c r="L6152" s="59">
        <f t="shared" si="30"/>
        <v>0</v>
      </c>
      <c r="M6152" s="59">
        <f t="shared" si="31"/>
        <v>0</v>
      </c>
    </row>
    <row r="6153" ht="15.0" hidden="1" customHeight="1">
      <c r="A6153" s="59">
        <f t="shared" si="20"/>
        <v>99</v>
      </c>
      <c r="B6153" s="59" t="str">
        <f t="shared" si="21"/>
        <v/>
      </c>
      <c r="C6153" s="59" t="str">
        <f t="shared" si="22"/>
        <v/>
      </c>
      <c r="D6153" s="45" t="str">
        <f t="shared" si="23"/>
        <v/>
      </c>
      <c r="E6153" s="45" t="str">
        <f t="shared" si="24"/>
        <v/>
      </c>
      <c r="F6153" s="59" t="str">
        <f t="shared" si="25"/>
        <v/>
      </c>
      <c r="G6153" s="59" t="str">
        <f t="shared" si="26"/>
        <v/>
      </c>
      <c r="H6153" s="59" t="str">
        <f t="shared" si="27"/>
        <v>29E17269</v>
      </c>
      <c r="I6153" s="59" t="str">
        <f>IF(OR($A6153="",$C6153="",$D6153="",$E6153="",$H6153=""),"",SUMIFS(DATA_GOC!$H:$H,DATA_GOC!$A:$A,"BOM",DATA_GOC!$D:$D,$H6153,DATA_GOC!$E:$E,$C6153,DATA_GOC!$F:$F,"Xuất nội bộ từ téc",DATA_GOC!$B:$B,"&gt;="&amp;$D6153,DATA_GOC!$B:$B,"&lt;="&amp;$E6153))</f>
        <v/>
      </c>
      <c r="J6153" s="59">
        <f t="shared" si="28"/>
        <v>0</v>
      </c>
      <c r="K6153" s="59">
        <f t="shared" si="29"/>
        <v>0</v>
      </c>
      <c r="L6153" s="59">
        <f t="shared" si="30"/>
        <v>0</v>
      </c>
      <c r="M6153" s="59">
        <f t="shared" si="31"/>
        <v>0</v>
      </c>
    </row>
    <row r="6154" ht="15.0" hidden="1" customHeight="1">
      <c r="A6154" s="59">
        <f t="shared" si="20"/>
        <v>99</v>
      </c>
      <c r="B6154" s="59" t="str">
        <f t="shared" si="21"/>
        <v/>
      </c>
      <c r="C6154" s="59" t="str">
        <f t="shared" si="22"/>
        <v/>
      </c>
      <c r="D6154" s="45" t="str">
        <f t="shared" si="23"/>
        <v/>
      </c>
      <c r="E6154" s="45" t="str">
        <f t="shared" si="24"/>
        <v/>
      </c>
      <c r="F6154" s="59" t="str">
        <f t="shared" si="25"/>
        <v/>
      </c>
      <c r="G6154" s="59" t="str">
        <f t="shared" si="26"/>
        <v/>
      </c>
      <c r="H6154" s="59" t="str">
        <f t="shared" si="27"/>
        <v>29E17273</v>
      </c>
      <c r="I6154" s="59" t="str">
        <f>IF(OR($A6154="",$C6154="",$D6154="",$E6154="",$H6154=""),"",SUMIFS(DATA_GOC!$H:$H,DATA_GOC!$A:$A,"BOM",DATA_GOC!$D:$D,$H6154,DATA_GOC!$E:$E,$C6154,DATA_GOC!$F:$F,"Xuất nội bộ từ téc",DATA_GOC!$B:$B,"&gt;="&amp;$D6154,DATA_GOC!$B:$B,"&lt;="&amp;$E6154))</f>
        <v/>
      </c>
      <c r="J6154" s="59">
        <f t="shared" si="28"/>
        <v>0</v>
      </c>
      <c r="K6154" s="59">
        <f t="shared" si="29"/>
        <v>0</v>
      </c>
      <c r="L6154" s="59">
        <f t="shared" si="30"/>
        <v>0</v>
      </c>
      <c r="M6154" s="59">
        <f t="shared" si="31"/>
        <v>0</v>
      </c>
    </row>
    <row r="6155" ht="15.0" hidden="1" customHeight="1">
      <c r="A6155" s="59">
        <f t="shared" si="20"/>
        <v>99</v>
      </c>
      <c r="B6155" s="59" t="str">
        <f t="shared" si="21"/>
        <v/>
      </c>
      <c r="C6155" s="59" t="str">
        <f t="shared" si="22"/>
        <v/>
      </c>
      <c r="D6155" s="45" t="str">
        <f t="shared" si="23"/>
        <v/>
      </c>
      <c r="E6155" s="45" t="str">
        <f t="shared" si="24"/>
        <v/>
      </c>
      <c r="F6155" s="59" t="str">
        <f t="shared" si="25"/>
        <v/>
      </c>
      <c r="G6155" s="59" t="str">
        <f t="shared" si="26"/>
        <v/>
      </c>
      <c r="H6155" s="59" t="str">
        <f t="shared" si="27"/>
        <v>29E17410</v>
      </c>
      <c r="I6155" s="59" t="str">
        <f>IF(OR($A6155="",$C6155="",$D6155="",$E6155="",$H6155=""),"",SUMIFS(DATA_GOC!$H:$H,DATA_GOC!$A:$A,"BOM",DATA_GOC!$D:$D,$H6155,DATA_GOC!$E:$E,$C6155,DATA_GOC!$F:$F,"Xuất nội bộ từ téc",DATA_GOC!$B:$B,"&gt;="&amp;$D6155,DATA_GOC!$B:$B,"&lt;="&amp;$E6155))</f>
        <v/>
      </c>
      <c r="J6155" s="59">
        <f t="shared" si="28"/>
        <v>0</v>
      </c>
      <c r="K6155" s="59">
        <f t="shared" si="29"/>
        <v>0</v>
      </c>
      <c r="L6155" s="59">
        <f t="shared" si="30"/>
        <v>0</v>
      </c>
      <c r="M6155" s="59">
        <f t="shared" si="31"/>
        <v>0</v>
      </c>
    </row>
    <row r="6156" ht="15.0" hidden="1" customHeight="1">
      <c r="A6156" s="59">
        <f t="shared" si="20"/>
        <v>99</v>
      </c>
      <c r="B6156" s="59" t="str">
        <f t="shared" si="21"/>
        <v/>
      </c>
      <c r="C6156" s="59" t="str">
        <f t="shared" si="22"/>
        <v/>
      </c>
      <c r="D6156" s="45" t="str">
        <f t="shared" si="23"/>
        <v/>
      </c>
      <c r="E6156" s="45" t="str">
        <f t="shared" si="24"/>
        <v/>
      </c>
      <c r="F6156" s="59" t="str">
        <f t="shared" si="25"/>
        <v/>
      </c>
      <c r="G6156" s="59" t="str">
        <f t="shared" si="26"/>
        <v/>
      </c>
      <c r="H6156" s="59" t="str">
        <f t="shared" si="27"/>
        <v>29E17417</v>
      </c>
      <c r="I6156" s="59" t="str">
        <f>IF(OR($A6156="",$C6156="",$D6156="",$E6156="",$H6156=""),"",SUMIFS(DATA_GOC!$H:$H,DATA_GOC!$A:$A,"BOM",DATA_GOC!$D:$D,$H6156,DATA_GOC!$E:$E,$C6156,DATA_GOC!$F:$F,"Xuất nội bộ từ téc",DATA_GOC!$B:$B,"&gt;="&amp;$D6156,DATA_GOC!$B:$B,"&lt;="&amp;$E6156))</f>
        <v/>
      </c>
      <c r="J6156" s="59">
        <f t="shared" si="28"/>
        <v>0</v>
      </c>
      <c r="K6156" s="59">
        <f t="shared" si="29"/>
        <v>0</v>
      </c>
      <c r="L6156" s="59">
        <f t="shared" si="30"/>
        <v>0</v>
      </c>
      <c r="M6156" s="59">
        <f t="shared" si="31"/>
        <v>0</v>
      </c>
    </row>
    <row r="6157" ht="15.0" hidden="1" customHeight="1">
      <c r="A6157" s="59">
        <f t="shared" si="20"/>
        <v>99</v>
      </c>
      <c r="B6157" s="59" t="str">
        <f t="shared" si="21"/>
        <v/>
      </c>
      <c r="C6157" s="59" t="str">
        <f t="shared" si="22"/>
        <v/>
      </c>
      <c r="D6157" s="45" t="str">
        <f t="shared" si="23"/>
        <v/>
      </c>
      <c r="E6157" s="45" t="str">
        <f t="shared" si="24"/>
        <v/>
      </c>
      <c r="F6157" s="59" t="str">
        <f t="shared" si="25"/>
        <v/>
      </c>
      <c r="G6157" s="59" t="str">
        <f t="shared" si="26"/>
        <v/>
      </c>
      <c r="H6157" s="59" t="str">
        <f t="shared" si="27"/>
        <v>29E17539</v>
      </c>
      <c r="I6157" s="59" t="str">
        <f>IF(OR($A6157="",$C6157="",$D6157="",$E6157="",$H6157=""),"",SUMIFS(DATA_GOC!$H:$H,DATA_GOC!$A:$A,"BOM",DATA_GOC!$D:$D,$H6157,DATA_GOC!$E:$E,$C6157,DATA_GOC!$F:$F,"Xuất nội bộ từ téc",DATA_GOC!$B:$B,"&gt;="&amp;$D6157,DATA_GOC!$B:$B,"&lt;="&amp;$E6157))</f>
        <v/>
      </c>
      <c r="J6157" s="59">
        <f t="shared" si="28"/>
        <v>0</v>
      </c>
      <c r="K6157" s="59">
        <f t="shared" si="29"/>
        <v>0</v>
      </c>
      <c r="L6157" s="59">
        <f t="shared" si="30"/>
        <v>0</v>
      </c>
      <c r="M6157" s="59">
        <f t="shared" si="31"/>
        <v>0</v>
      </c>
    </row>
    <row r="6158" ht="15.0" hidden="1" customHeight="1">
      <c r="A6158" s="59">
        <f t="shared" si="20"/>
        <v>99</v>
      </c>
      <c r="B6158" s="59" t="str">
        <f t="shared" si="21"/>
        <v/>
      </c>
      <c r="C6158" s="59" t="str">
        <f t="shared" si="22"/>
        <v/>
      </c>
      <c r="D6158" s="45" t="str">
        <f t="shared" si="23"/>
        <v/>
      </c>
      <c r="E6158" s="45" t="str">
        <f t="shared" si="24"/>
        <v/>
      </c>
      <c r="F6158" s="59" t="str">
        <f t="shared" si="25"/>
        <v/>
      </c>
      <c r="G6158" s="59" t="str">
        <f t="shared" si="26"/>
        <v/>
      </c>
      <c r="H6158" s="59" t="str">
        <f t="shared" si="27"/>
        <v>29E18160</v>
      </c>
      <c r="I6158" s="59" t="str">
        <f>IF(OR($A6158="",$C6158="",$D6158="",$E6158="",$H6158=""),"",SUMIFS(DATA_GOC!$H:$H,DATA_GOC!$A:$A,"BOM",DATA_GOC!$D:$D,$H6158,DATA_GOC!$E:$E,$C6158,DATA_GOC!$F:$F,"Xuất nội bộ từ téc",DATA_GOC!$B:$B,"&gt;="&amp;$D6158,DATA_GOC!$B:$B,"&lt;="&amp;$E6158))</f>
        <v/>
      </c>
      <c r="J6158" s="59">
        <f t="shared" si="28"/>
        <v>0</v>
      </c>
      <c r="K6158" s="59">
        <f t="shared" si="29"/>
        <v>0</v>
      </c>
      <c r="L6158" s="59">
        <f t="shared" si="30"/>
        <v>0</v>
      </c>
      <c r="M6158" s="59">
        <f t="shared" si="31"/>
        <v>0</v>
      </c>
    </row>
    <row r="6159" ht="15.0" hidden="1" customHeight="1">
      <c r="A6159" s="59">
        <f t="shared" si="20"/>
        <v>99</v>
      </c>
      <c r="B6159" s="59" t="str">
        <f t="shared" si="21"/>
        <v/>
      </c>
      <c r="C6159" s="59" t="str">
        <f t="shared" si="22"/>
        <v/>
      </c>
      <c r="D6159" s="45" t="str">
        <f t="shared" si="23"/>
        <v/>
      </c>
      <c r="E6159" s="45" t="str">
        <f t="shared" si="24"/>
        <v/>
      </c>
      <c r="F6159" s="59" t="str">
        <f t="shared" si="25"/>
        <v/>
      </c>
      <c r="G6159" s="59" t="str">
        <f t="shared" si="26"/>
        <v/>
      </c>
      <c r="H6159" s="59" t="str">
        <f t="shared" si="27"/>
        <v>Công trình Asphalt</v>
      </c>
      <c r="I6159" s="59" t="str">
        <f>IF(OR($A6159="",$C6159="",$D6159="",$E6159="",$H6159=""),"",SUMIFS(DATA_GOC!$H:$H,DATA_GOC!$A:$A,"BOM",DATA_GOC!$D:$D,$H6159,DATA_GOC!$E:$E,$C6159,DATA_GOC!$F:$F,"Xuất nội bộ từ téc",DATA_GOC!$B:$B,"&gt;="&amp;$D6159,DATA_GOC!$B:$B,"&lt;="&amp;$E6159))</f>
        <v/>
      </c>
      <c r="J6159" s="59">
        <f t="shared" si="28"/>
        <v>0</v>
      </c>
      <c r="K6159" s="59">
        <f t="shared" si="29"/>
        <v>0</v>
      </c>
      <c r="L6159" s="59">
        <f t="shared" si="30"/>
        <v>0</v>
      </c>
      <c r="M6159" s="59">
        <f t="shared" si="31"/>
        <v>0</v>
      </c>
    </row>
    <row r="6160" ht="15.0" hidden="1" customHeight="1">
      <c r="A6160" s="59">
        <f t="shared" si="20"/>
        <v>99</v>
      </c>
      <c r="B6160" s="59" t="str">
        <f t="shared" si="21"/>
        <v/>
      </c>
      <c r="C6160" s="59" t="str">
        <f t="shared" si="22"/>
        <v/>
      </c>
      <c r="D6160" s="45" t="str">
        <f t="shared" si="23"/>
        <v/>
      </c>
      <c r="E6160" s="45" t="str">
        <f t="shared" si="24"/>
        <v/>
      </c>
      <c r="F6160" s="59" t="str">
        <f t="shared" si="25"/>
        <v/>
      </c>
      <c r="G6160" s="59" t="str">
        <f t="shared" si="26"/>
        <v/>
      </c>
      <c r="H6160" s="59" t="str">
        <f t="shared" si="27"/>
        <v>LG53F</v>
      </c>
      <c r="I6160" s="59" t="str">
        <f>IF(OR($A6160="",$C6160="",$D6160="",$E6160="",$H6160=""),"",SUMIFS(DATA_GOC!$H:$H,DATA_GOC!$A:$A,"BOM",DATA_GOC!$D:$D,$H6160,DATA_GOC!$E:$E,$C6160,DATA_GOC!$F:$F,"Xuất nội bộ từ téc",DATA_GOC!$B:$B,"&gt;="&amp;$D6160,DATA_GOC!$B:$B,"&lt;="&amp;$E6160))</f>
        <v/>
      </c>
      <c r="J6160" s="59">
        <f t="shared" si="28"/>
        <v>0</v>
      </c>
      <c r="K6160" s="59">
        <f t="shared" si="29"/>
        <v>0</v>
      </c>
      <c r="L6160" s="59">
        <f t="shared" si="30"/>
        <v>0</v>
      </c>
      <c r="M6160" s="59">
        <f t="shared" si="31"/>
        <v>0</v>
      </c>
    </row>
    <row r="6161" ht="15.0" hidden="1" customHeight="1">
      <c r="A6161" s="59">
        <f t="shared" si="20"/>
        <v>99</v>
      </c>
      <c r="B6161" s="59" t="str">
        <f t="shared" si="21"/>
        <v/>
      </c>
      <c r="C6161" s="59" t="str">
        <f t="shared" si="22"/>
        <v/>
      </c>
      <c r="D6161" s="45" t="str">
        <f t="shared" si="23"/>
        <v/>
      </c>
      <c r="E6161" s="45" t="str">
        <f t="shared" si="24"/>
        <v/>
      </c>
      <c r="F6161" s="59" t="str">
        <f t="shared" si="25"/>
        <v/>
      </c>
      <c r="G6161" s="59" t="str">
        <f t="shared" si="26"/>
        <v/>
      </c>
      <c r="H6161" s="59" t="str">
        <f t="shared" si="27"/>
        <v>Máy phát điện</v>
      </c>
      <c r="I6161" s="59" t="str">
        <f>IF(OR($A6161="",$C6161="",$D6161="",$E6161="",$H6161=""),"",SUMIFS(DATA_GOC!$H:$H,DATA_GOC!$A:$A,"BOM",DATA_GOC!$D:$D,$H6161,DATA_GOC!$E:$E,$C6161,DATA_GOC!$F:$F,"Xuất nội bộ từ téc",DATA_GOC!$B:$B,"&gt;="&amp;$D6161,DATA_GOC!$B:$B,"&lt;="&amp;$E6161))</f>
        <v/>
      </c>
      <c r="J6161" s="59">
        <f t="shared" si="28"/>
        <v>0</v>
      </c>
      <c r="K6161" s="59">
        <f t="shared" si="29"/>
        <v>0</v>
      </c>
      <c r="L6161" s="59">
        <f t="shared" si="30"/>
        <v>0</v>
      </c>
      <c r="M6161" s="59">
        <f t="shared" si="31"/>
        <v>0</v>
      </c>
    </row>
    <row r="6162" ht="15.0" hidden="1" customHeight="1">
      <c r="A6162" s="59">
        <f t="shared" si="20"/>
        <v>99</v>
      </c>
      <c r="B6162" s="59" t="str">
        <f t="shared" si="21"/>
        <v/>
      </c>
      <c r="C6162" s="59" t="str">
        <f t="shared" si="22"/>
        <v/>
      </c>
      <c r="D6162" s="45" t="str">
        <f t="shared" si="23"/>
        <v/>
      </c>
      <c r="E6162" s="45" t="str">
        <f t="shared" si="24"/>
        <v/>
      </c>
      <c r="F6162" s="59" t="str">
        <f t="shared" si="25"/>
        <v/>
      </c>
      <c r="G6162" s="59" t="str">
        <f t="shared" si="26"/>
        <v/>
      </c>
      <c r="H6162" s="59" t="str">
        <f t="shared" si="27"/>
        <v>Máy rải thảm</v>
      </c>
      <c r="I6162" s="59" t="str">
        <f>IF(OR($A6162="",$C6162="",$D6162="",$E6162="",$H6162=""),"",SUMIFS(DATA_GOC!$H:$H,DATA_GOC!$A:$A,"BOM",DATA_GOC!$D:$D,$H6162,DATA_GOC!$E:$E,$C6162,DATA_GOC!$F:$F,"Xuất nội bộ từ téc",DATA_GOC!$B:$B,"&gt;="&amp;$D6162,DATA_GOC!$B:$B,"&lt;="&amp;$E6162))</f>
        <v/>
      </c>
      <c r="J6162" s="59">
        <f t="shared" si="28"/>
        <v>0</v>
      </c>
      <c r="K6162" s="59">
        <f t="shared" si="29"/>
        <v>0</v>
      </c>
      <c r="L6162" s="59">
        <f t="shared" si="30"/>
        <v>0</v>
      </c>
      <c r="M6162" s="59">
        <f t="shared" si="31"/>
        <v>0</v>
      </c>
    </row>
    <row r="6163" ht="15.0" hidden="1" customHeight="1">
      <c r="A6163" s="59">
        <f t="shared" si="20"/>
        <v>99</v>
      </c>
      <c r="B6163" s="59" t="str">
        <f t="shared" si="21"/>
        <v/>
      </c>
      <c r="C6163" s="59" t="str">
        <f t="shared" si="22"/>
        <v/>
      </c>
      <c r="D6163" s="45" t="str">
        <f t="shared" si="23"/>
        <v/>
      </c>
      <c r="E6163" s="45" t="str">
        <f t="shared" si="24"/>
        <v/>
      </c>
      <c r="F6163" s="59" t="str">
        <f t="shared" si="25"/>
        <v/>
      </c>
      <c r="G6163" s="59" t="str">
        <f t="shared" si="26"/>
        <v/>
      </c>
      <c r="H6163" s="59" t="str">
        <f t="shared" si="27"/>
        <v>Xúc Đào</v>
      </c>
      <c r="I6163" s="59" t="str">
        <f>IF(OR($A6163="",$C6163="",$D6163="",$E6163="",$H6163=""),"",SUMIFS(DATA_GOC!$H:$H,DATA_GOC!$A:$A,"BOM",DATA_GOC!$D:$D,$H6163,DATA_GOC!$E:$E,$C6163,DATA_GOC!$F:$F,"Xuất nội bộ từ téc",DATA_GOC!$B:$B,"&gt;="&amp;$D6163,DATA_GOC!$B:$B,"&lt;="&amp;$E6163))</f>
        <v/>
      </c>
      <c r="J6163" s="59">
        <f t="shared" si="28"/>
        <v>0</v>
      </c>
      <c r="K6163" s="59">
        <f t="shared" si="29"/>
        <v>0</v>
      </c>
      <c r="L6163" s="59">
        <f t="shared" si="30"/>
        <v>0</v>
      </c>
      <c r="M6163" s="59">
        <f t="shared" si="31"/>
        <v>0</v>
      </c>
    </row>
    <row r="6164" ht="15.0" hidden="1" customHeight="1">
      <c r="A6164" s="59">
        <f t="shared" si="20"/>
        <v>99</v>
      </c>
      <c r="B6164" s="59" t="str">
        <f t="shared" si="21"/>
        <v/>
      </c>
      <c r="C6164" s="59" t="str">
        <f t="shared" si="22"/>
        <v/>
      </c>
      <c r="D6164" s="45" t="str">
        <f t="shared" si="23"/>
        <v/>
      </c>
      <c r="E6164" s="45" t="str">
        <f t="shared" si="24"/>
        <v/>
      </c>
      <c r="F6164" s="59" t="str">
        <f t="shared" si="25"/>
        <v/>
      </c>
      <c r="G6164" s="59" t="str">
        <f t="shared" si="26"/>
        <v/>
      </c>
      <c r="H6164" s="59" t="str">
        <f t="shared" si="27"/>
        <v>Xúclật asphalt</v>
      </c>
      <c r="I6164" s="59" t="str">
        <f>IF(OR($A6164="",$C6164="",$D6164="",$E6164="",$H6164=""),"",SUMIFS(DATA_GOC!$H:$H,DATA_GOC!$A:$A,"BOM",DATA_GOC!$D:$D,$H6164,DATA_GOC!$E:$E,$C6164,DATA_GOC!$F:$F,"Xuất nội bộ từ téc",DATA_GOC!$B:$B,"&gt;="&amp;$D6164,DATA_GOC!$B:$B,"&lt;="&amp;$E6164))</f>
        <v/>
      </c>
      <c r="J6164" s="59">
        <f t="shared" si="28"/>
        <v>0</v>
      </c>
      <c r="K6164" s="59">
        <f t="shared" si="29"/>
        <v>0</v>
      </c>
      <c r="L6164" s="59">
        <f t="shared" si="30"/>
        <v>0</v>
      </c>
      <c r="M6164" s="59">
        <f t="shared" si="31"/>
        <v>0</v>
      </c>
    </row>
    <row r="6165" ht="15.0" hidden="1" customHeight="1">
      <c r="A6165" s="59">
        <f t="shared" si="20"/>
        <v>99</v>
      </c>
      <c r="B6165" s="59" t="str">
        <f t="shared" si="21"/>
        <v/>
      </c>
      <c r="C6165" s="59" t="str">
        <f t="shared" si="22"/>
        <v/>
      </c>
      <c r="D6165" s="45" t="str">
        <f t="shared" si="23"/>
        <v/>
      </c>
      <c r="E6165" s="45" t="str">
        <f t="shared" si="24"/>
        <v/>
      </c>
      <c r="F6165" s="59" t="str">
        <f t="shared" si="25"/>
        <v/>
      </c>
      <c r="G6165" s="59" t="str">
        <f t="shared" si="26"/>
        <v/>
      </c>
      <c r="H6165" s="59" t="str">
        <f t="shared" si="27"/>
        <v>Xúclật855H</v>
      </c>
      <c r="I6165" s="59" t="str">
        <f>IF(OR($A6165="",$C6165="",$D6165="",$E6165="",$H6165=""),"",SUMIFS(DATA_GOC!$H:$H,DATA_GOC!$A:$A,"BOM",DATA_GOC!$D:$D,$H6165,DATA_GOC!$E:$E,$C6165,DATA_GOC!$F:$F,"Xuất nội bộ từ téc",DATA_GOC!$B:$B,"&gt;="&amp;$D6165,DATA_GOC!$B:$B,"&lt;="&amp;$E6165))</f>
        <v/>
      </c>
      <c r="J6165" s="59">
        <f t="shared" si="28"/>
        <v>0</v>
      </c>
      <c r="K6165" s="59">
        <f t="shared" si="29"/>
        <v>0</v>
      </c>
      <c r="L6165" s="59">
        <f t="shared" si="30"/>
        <v>0</v>
      </c>
      <c r="M6165" s="59">
        <f t="shared" si="31"/>
        <v>0</v>
      </c>
    </row>
    <row r="6166" ht="15.0" hidden="1" customHeight="1">
      <c r="A6166" s="59">
        <f t="shared" si="20"/>
        <v>99</v>
      </c>
      <c r="B6166" s="59" t="str">
        <f t="shared" si="21"/>
        <v/>
      </c>
      <c r="C6166" s="59" t="str">
        <f t="shared" si="22"/>
        <v/>
      </c>
      <c r="D6166" s="45" t="str">
        <f t="shared" si="23"/>
        <v/>
      </c>
      <c r="E6166" s="45" t="str">
        <f t="shared" si="24"/>
        <v/>
      </c>
      <c r="F6166" s="59" t="str">
        <f t="shared" si="25"/>
        <v/>
      </c>
      <c r="G6166" s="59" t="str">
        <f t="shared" si="26"/>
        <v/>
      </c>
      <c r="H6166" s="59" t="str">
        <f t="shared" si="27"/>
        <v>Xúclật855N</v>
      </c>
      <c r="I6166" s="59" t="str">
        <f>IF(OR($A6166="",$C6166="",$D6166="",$E6166="",$H6166=""),"",SUMIFS(DATA_GOC!$H:$H,DATA_GOC!$A:$A,"BOM",DATA_GOC!$D:$D,$H6166,DATA_GOC!$E:$E,$C6166,DATA_GOC!$F:$F,"Xuất nội bộ từ téc",DATA_GOC!$B:$B,"&gt;="&amp;$D6166,DATA_GOC!$B:$B,"&lt;="&amp;$E6166))</f>
        <v/>
      </c>
      <c r="J6166" s="59">
        <f t="shared" si="28"/>
        <v>0</v>
      </c>
      <c r="K6166" s="59">
        <f t="shared" si="29"/>
        <v>0</v>
      </c>
      <c r="L6166" s="59">
        <f t="shared" si="30"/>
        <v>0</v>
      </c>
      <c r="M6166" s="59">
        <f t="shared" si="31"/>
        <v>0</v>
      </c>
    </row>
    <row r="6167" ht="15.0" hidden="1" customHeight="1">
      <c r="A6167" s="59">
        <f t="shared" si="20"/>
        <v>99</v>
      </c>
      <c r="B6167" s="59" t="str">
        <f t="shared" si="21"/>
        <v/>
      </c>
      <c r="C6167" s="59" t="str">
        <f t="shared" si="22"/>
        <v/>
      </c>
      <c r="D6167" s="45" t="str">
        <f t="shared" si="23"/>
        <v/>
      </c>
      <c r="E6167" s="45" t="str">
        <f t="shared" si="24"/>
        <v/>
      </c>
      <c r="F6167" s="59" t="str">
        <f t="shared" si="25"/>
        <v/>
      </c>
      <c r="G6167" s="59" t="str">
        <f t="shared" si="26"/>
        <v/>
      </c>
      <c r="H6167" s="59" t="str">
        <f t="shared" si="27"/>
        <v>Cát nghiền</v>
      </c>
      <c r="I6167" s="59" t="str">
        <f>IF(OR($A6167="",$C6167="",$D6167="",$E6167="",$H6167=""),"",SUMIFS(DATA_GOC!$H:$H,DATA_GOC!$A:$A,"BOM",DATA_GOC!$D:$D,$H6167,DATA_GOC!$E:$E,$C6167,DATA_GOC!$F:$F,"Xuất nội bộ từ téc",DATA_GOC!$B:$B,"&gt;="&amp;$D6167,DATA_GOC!$B:$B,"&lt;="&amp;$E6167))</f>
        <v/>
      </c>
      <c r="J6167" s="59">
        <f t="shared" si="28"/>
        <v>0</v>
      </c>
      <c r="K6167" s="59">
        <f t="shared" si="29"/>
        <v>0</v>
      </c>
      <c r="L6167" s="59">
        <f t="shared" si="30"/>
        <v>0</v>
      </c>
      <c r="M6167" s="59">
        <f t="shared" si="31"/>
        <v>0</v>
      </c>
    </row>
    <row r="6168" ht="15.0" hidden="1" customHeight="1">
      <c r="A6168" s="59">
        <f t="shared" si="20"/>
        <v>99</v>
      </c>
      <c r="B6168" s="59" t="str">
        <f t="shared" si="21"/>
        <v/>
      </c>
      <c r="C6168" s="59" t="str">
        <f t="shared" si="22"/>
        <v/>
      </c>
      <c r="D6168" s="45" t="str">
        <f t="shared" si="23"/>
        <v/>
      </c>
      <c r="E6168" s="45" t="str">
        <f t="shared" si="24"/>
        <v/>
      </c>
      <c r="F6168" s="59" t="str">
        <f t="shared" si="25"/>
        <v/>
      </c>
      <c r="G6168" s="59" t="str">
        <f t="shared" si="26"/>
        <v/>
      </c>
      <c r="H6168" s="59" t="str">
        <f t="shared" si="27"/>
        <v>28C02973</v>
      </c>
      <c r="I6168" s="59" t="str">
        <f>IF(OR($A6168="",$C6168="",$D6168="",$E6168="",$H6168=""),"",SUMIFS(DATA_GOC!$H:$H,DATA_GOC!$A:$A,"BOM",DATA_GOC!$D:$D,$H6168,DATA_GOC!$E:$E,$C6168,DATA_GOC!$F:$F,"Xuất nội bộ từ téc",DATA_GOC!$B:$B,"&gt;="&amp;$D6168,DATA_GOC!$B:$B,"&lt;="&amp;$E6168))</f>
        <v/>
      </c>
      <c r="J6168" s="59">
        <f t="shared" si="28"/>
        <v>0</v>
      </c>
      <c r="K6168" s="59">
        <f t="shared" si="29"/>
        <v>0</v>
      </c>
      <c r="L6168" s="59">
        <f t="shared" si="30"/>
        <v>0</v>
      </c>
      <c r="M6168" s="59">
        <f t="shared" si="31"/>
        <v>0</v>
      </c>
    </row>
    <row r="6169" ht="15.0" hidden="1" customHeight="1">
      <c r="A6169" s="59">
        <f t="shared" si="20"/>
        <v>99</v>
      </c>
      <c r="B6169" s="59" t="str">
        <f t="shared" si="21"/>
        <v/>
      </c>
      <c r="C6169" s="59" t="str">
        <f t="shared" si="22"/>
        <v/>
      </c>
      <c r="D6169" s="45" t="str">
        <f t="shared" si="23"/>
        <v/>
      </c>
      <c r="E6169" s="45" t="str">
        <f t="shared" si="24"/>
        <v/>
      </c>
      <c r="F6169" s="59" t="str">
        <f t="shared" si="25"/>
        <v/>
      </c>
      <c r="G6169" s="59" t="str">
        <f t="shared" si="26"/>
        <v/>
      </c>
      <c r="H6169" s="59" t="str">
        <f t="shared" si="27"/>
        <v>28C03044</v>
      </c>
      <c r="I6169" s="59" t="str">
        <f>IF(OR($A6169="",$C6169="",$D6169="",$E6169="",$H6169=""),"",SUMIFS(DATA_GOC!$H:$H,DATA_GOC!$A:$A,"BOM",DATA_GOC!$D:$D,$H6169,DATA_GOC!$E:$E,$C6169,DATA_GOC!$F:$F,"Xuất nội bộ từ téc",DATA_GOC!$B:$B,"&gt;="&amp;$D6169,DATA_GOC!$B:$B,"&lt;="&amp;$E6169))</f>
        <v/>
      </c>
      <c r="J6169" s="59">
        <f t="shared" si="28"/>
        <v>0</v>
      </c>
      <c r="K6169" s="59">
        <f t="shared" si="29"/>
        <v>0</v>
      </c>
      <c r="L6169" s="59">
        <f t="shared" si="30"/>
        <v>0</v>
      </c>
      <c r="M6169" s="59">
        <f t="shared" si="31"/>
        <v>0</v>
      </c>
    </row>
    <row r="6170" ht="15.0" hidden="1" customHeight="1">
      <c r="A6170" s="59">
        <f t="shared" si="20"/>
        <v>99</v>
      </c>
      <c r="B6170" s="59" t="str">
        <f t="shared" si="21"/>
        <v/>
      </c>
      <c r="C6170" s="59" t="str">
        <f t="shared" si="22"/>
        <v/>
      </c>
      <c r="D6170" s="45" t="str">
        <f t="shared" si="23"/>
        <v/>
      </c>
      <c r="E6170" s="45" t="str">
        <f t="shared" si="24"/>
        <v/>
      </c>
      <c r="F6170" s="59" t="str">
        <f t="shared" si="25"/>
        <v/>
      </c>
      <c r="G6170" s="59" t="str">
        <f t="shared" si="26"/>
        <v/>
      </c>
      <c r="H6170" s="59" t="str">
        <f t="shared" si="27"/>
        <v>Máy lu lốp</v>
      </c>
      <c r="I6170" s="59" t="str">
        <f>IF(OR($A6170="",$C6170="",$D6170="",$E6170="",$H6170=""),"",SUMIFS(DATA_GOC!$H:$H,DATA_GOC!$A:$A,"BOM",DATA_GOC!$D:$D,$H6170,DATA_GOC!$E:$E,$C6170,DATA_GOC!$F:$F,"Xuất nội bộ từ téc",DATA_GOC!$B:$B,"&gt;="&amp;$D6170,DATA_GOC!$B:$B,"&lt;="&amp;$E6170))</f>
        <v/>
      </c>
      <c r="J6170" s="59">
        <f t="shared" si="28"/>
        <v>0</v>
      </c>
      <c r="K6170" s="59">
        <f t="shared" si="29"/>
        <v>0</v>
      </c>
      <c r="L6170" s="59">
        <f t="shared" si="30"/>
        <v>0</v>
      </c>
      <c r="M6170" s="59">
        <f t="shared" si="31"/>
        <v>0</v>
      </c>
    </row>
    <row r="6171" ht="15.0" hidden="1" customHeight="1">
      <c r="A6171" s="59">
        <f t="shared" si="20"/>
        <v>99</v>
      </c>
      <c r="B6171" s="59" t="str">
        <f t="shared" si="21"/>
        <v/>
      </c>
      <c r="C6171" s="59" t="str">
        <f t="shared" si="22"/>
        <v/>
      </c>
      <c r="D6171" s="45" t="str">
        <f t="shared" si="23"/>
        <v/>
      </c>
      <c r="E6171" s="45" t="str">
        <f t="shared" si="24"/>
        <v/>
      </c>
      <c r="F6171" s="59" t="str">
        <f t="shared" si="25"/>
        <v/>
      </c>
      <c r="G6171" s="59" t="str">
        <f t="shared" si="26"/>
        <v/>
      </c>
      <c r="H6171" s="59" t="str">
        <f t="shared" si="27"/>
        <v>Xe 600148</v>
      </c>
      <c r="I6171" s="59" t="str">
        <f>IF(OR($A6171="",$C6171="",$D6171="",$E6171="",$H6171=""),"",SUMIFS(DATA_GOC!$H:$H,DATA_GOC!$A:$A,"BOM",DATA_GOC!$D:$D,$H6171,DATA_GOC!$E:$E,$C6171,DATA_GOC!$F:$F,"Xuất nội bộ từ téc",DATA_GOC!$B:$B,"&gt;="&amp;$D6171,DATA_GOC!$B:$B,"&lt;="&amp;$E6171))</f>
        <v/>
      </c>
      <c r="J6171" s="59">
        <f t="shared" si="28"/>
        <v>0</v>
      </c>
      <c r="K6171" s="59">
        <f t="shared" si="29"/>
        <v>0</v>
      </c>
      <c r="L6171" s="59">
        <f t="shared" si="30"/>
        <v>0</v>
      </c>
      <c r="M6171" s="59">
        <f t="shared" si="31"/>
        <v>0</v>
      </c>
    </row>
    <row r="6172" ht="15.0" hidden="1" customHeight="1">
      <c r="A6172" s="59">
        <f t="shared" si="20"/>
        <v>99</v>
      </c>
      <c r="B6172" s="59" t="str">
        <f t="shared" si="21"/>
        <v/>
      </c>
      <c r="C6172" s="59" t="str">
        <f t="shared" si="22"/>
        <v/>
      </c>
      <c r="D6172" s="45" t="str">
        <f t="shared" si="23"/>
        <v/>
      </c>
      <c r="E6172" s="45" t="str">
        <f t="shared" si="24"/>
        <v/>
      </c>
      <c r="F6172" s="59" t="str">
        <f t="shared" si="25"/>
        <v/>
      </c>
      <c r="G6172" s="59" t="str">
        <f t="shared" si="26"/>
        <v/>
      </c>
      <c r="H6172" s="59" t="str">
        <f t="shared" si="27"/>
        <v>Xe ben mới</v>
      </c>
      <c r="I6172" s="59" t="str">
        <f>IF(OR($A6172="",$C6172="",$D6172="",$E6172="",$H6172=""),"",SUMIFS(DATA_GOC!$H:$H,DATA_GOC!$A:$A,"BOM",DATA_GOC!$D:$D,$H6172,DATA_GOC!$E:$E,$C6172,DATA_GOC!$F:$F,"Xuất nội bộ từ téc",DATA_GOC!$B:$B,"&gt;="&amp;$D6172,DATA_GOC!$B:$B,"&lt;="&amp;$E6172))</f>
        <v/>
      </c>
      <c r="J6172" s="59">
        <f t="shared" si="28"/>
        <v>0</v>
      </c>
      <c r="K6172" s="59">
        <f t="shared" si="29"/>
        <v>0</v>
      </c>
      <c r="L6172" s="59">
        <f t="shared" si="30"/>
        <v>0</v>
      </c>
      <c r="M6172" s="59">
        <f t="shared" si="31"/>
        <v>0</v>
      </c>
    </row>
    <row r="6173" ht="15.0" hidden="1" customHeight="1">
      <c r="A6173" s="59">
        <f t="shared" si="20"/>
        <v>100</v>
      </c>
      <c r="B6173" s="59" t="str">
        <f t="shared" si="21"/>
        <v/>
      </c>
      <c r="C6173" s="59" t="str">
        <f t="shared" si="22"/>
        <v/>
      </c>
      <c r="D6173" s="45" t="str">
        <f t="shared" si="23"/>
        <v/>
      </c>
      <c r="E6173" s="45" t="str">
        <f t="shared" si="24"/>
        <v/>
      </c>
      <c r="F6173" s="59" t="str">
        <f t="shared" si="25"/>
        <v/>
      </c>
      <c r="G6173" s="59" t="str">
        <f t="shared" si="26"/>
        <v/>
      </c>
      <c r="H6173" s="59" t="str">
        <f t="shared" si="27"/>
        <v>19H09482</v>
      </c>
      <c r="I6173" s="59" t="str">
        <f>IF(OR($A6173="",$C6173="",$D6173="",$E6173="",$H6173=""),"",SUMIFS(DATA_GOC!$H:$H,DATA_GOC!$A:$A,"BOM",DATA_GOC!$D:$D,$H6173,DATA_GOC!$E:$E,$C6173,DATA_GOC!$F:$F,"Xuất nội bộ từ téc",DATA_GOC!$B:$B,"&gt;="&amp;$D6173,DATA_GOC!$B:$B,"&lt;="&amp;$E6173))</f>
        <v/>
      </c>
      <c r="J6173" s="59">
        <f t="shared" si="28"/>
        <v>0</v>
      </c>
      <c r="K6173" s="59">
        <f t="shared" si="29"/>
        <v>0</v>
      </c>
      <c r="L6173" s="59">
        <f t="shared" si="30"/>
        <v>0</v>
      </c>
      <c r="M6173" s="59">
        <f t="shared" si="31"/>
        <v>0</v>
      </c>
    </row>
    <row r="6174" ht="15.0" hidden="1" customHeight="1">
      <c r="A6174" s="59">
        <f t="shared" si="20"/>
        <v>100</v>
      </c>
      <c r="B6174" s="59" t="str">
        <f t="shared" si="21"/>
        <v/>
      </c>
      <c r="C6174" s="59" t="str">
        <f t="shared" si="22"/>
        <v/>
      </c>
      <c r="D6174" s="45" t="str">
        <f t="shared" si="23"/>
        <v/>
      </c>
      <c r="E6174" s="45" t="str">
        <f t="shared" si="24"/>
        <v/>
      </c>
      <c r="F6174" s="59" t="str">
        <f t="shared" si="25"/>
        <v/>
      </c>
      <c r="G6174" s="59" t="str">
        <f t="shared" si="26"/>
        <v/>
      </c>
      <c r="H6174" s="59" t="str">
        <f t="shared" si="27"/>
        <v>28A30696</v>
      </c>
      <c r="I6174" s="59" t="str">
        <f>IF(OR($A6174="",$C6174="",$D6174="",$E6174="",$H6174=""),"",SUMIFS(DATA_GOC!$H:$H,DATA_GOC!$A:$A,"BOM",DATA_GOC!$D:$D,$H6174,DATA_GOC!$E:$E,$C6174,DATA_GOC!$F:$F,"Xuất nội bộ từ téc",DATA_GOC!$B:$B,"&gt;="&amp;$D6174,DATA_GOC!$B:$B,"&lt;="&amp;$E6174))</f>
        <v/>
      </c>
      <c r="J6174" s="59">
        <f t="shared" si="28"/>
        <v>0</v>
      </c>
      <c r="K6174" s="59">
        <f t="shared" si="29"/>
        <v>0</v>
      </c>
      <c r="L6174" s="59">
        <f t="shared" si="30"/>
        <v>0</v>
      </c>
      <c r="M6174" s="59">
        <f t="shared" si="31"/>
        <v>0</v>
      </c>
    </row>
    <row r="6175" ht="15.0" hidden="1" customHeight="1">
      <c r="A6175" s="59">
        <f t="shared" si="20"/>
        <v>100</v>
      </c>
      <c r="B6175" s="59" t="str">
        <f t="shared" si="21"/>
        <v/>
      </c>
      <c r="C6175" s="59" t="str">
        <f t="shared" si="22"/>
        <v/>
      </c>
      <c r="D6175" s="45" t="str">
        <f t="shared" si="23"/>
        <v/>
      </c>
      <c r="E6175" s="45" t="str">
        <f t="shared" si="24"/>
        <v/>
      </c>
      <c r="F6175" s="59" t="str">
        <f t="shared" si="25"/>
        <v/>
      </c>
      <c r="G6175" s="59" t="str">
        <f t="shared" si="26"/>
        <v/>
      </c>
      <c r="H6175" s="59" t="str">
        <f t="shared" si="27"/>
        <v>28C00462</v>
      </c>
      <c r="I6175" s="59" t="str">
        <f>IF(OR($A6175="",$C6175="",$D6175="",$E6175="",$H6175=""),"",SUMIFS(DATA_GOC!$H:$H,DATA_GOC!$A:$A,"BOM",DATA_GOC!$D:$D,$H6175,DATA_GOC!$E:$E,$C6175,DATA_GOC!$F:$F,"Xuất nội bộ từ téc",DATA_GOC!$B:$B,"&gt;="&amp;$D6175,DATA_GOC!$B:$B,"&lt;="&amp;$E6175))</f>
        <v/>
      </c>
      <c r="J6175" s="59">
        <f t="shared" si="28"/>
        <v>0</v>
      </c>
      <c r="K6175" s="59">
        <f t="shared" si="29"/>
        <v>0</v>
      </c>
      <c r="L6175" s="59">
        <f t="shared" si="30"/>
        <v>0</v>
      </c>
      <c r="M6175" s="59">
        <f t="shared" si="31"/>
        <v>0</v>
      </c>
    </row>
    <row r="6176" ht="15.0" hidden="1" customHeight="1">
      <c r="A6176" s="59">
        <f t="shared" si="20"/>
        <v>100</v>
      </c>
      <c r="B6176" s="59" t="str">
        <f t="shared" si="21"/>
        <v/>
      </c>
      <c r="C6176" s="59" t="str">
        <f t="shared" si="22"/>
        <v/>
      </c>
      <c r="D6176" s="45" t="str">
        <f t="shared" si="23"/>
        <v/>
      </c>
      <c r="E6176" s="45" t="str">
        <f t="shared" si="24"/>
        <v/>
      </c>
      <c r="F6176" s="59" t="str">
        <f t="shared" si="25"/>
        <v/>
      </c>
      <c r="G6176" s="59" t="str">
        <f t="shared" si="26"/>
        <v/>
      </c>
      <c r="H6176" s="59" t="str">
        <f t="shared" si="27"/>
        <v>28C01165</v>
      </c>
      <c r="I6176" s="59" t="str">
        <f>IF(OR($A6176="",$C6176="",$D6176="",$E6176="",$H6176=""),"",SUMIFS(DATA_GOC!$H:$H,DATA_GOC!$A:$A,"BOM",DATA_GOC!$D:$D,$H6176,DATA_GOC!$E:$E,$C6176,DATA_GOC!$F:$F,"Xuất nội bộ từ téc",DATA_GOC!$B:$B,"&gt;="&amp;$D6176,DATA_GOC!$B:$B,"&lt;="&amp;$E6176))</f>
        <v/>
      </c>
      <c r="J6176" s="59">
        <f t="shared" si="28"/>
        <v>0</v>
      </c>
      <c r="K6176" s="59">
        <f t="shared" si="29"/>
        <v>0</v>
      </c>
      <c r="L6176" s="59">
        <f t="shared" si="30"/>
        <v>0</v>
      </c>
      <c r="M6176" s="59">
        <f t="shared" si="31"/>
        <v>0</v>
      </c>
    </row>
    <row r="6177" ht="15.0" hidden="1" customHeight="1">
      <c r="A6177" s="59">
        <f t="shared" si="20"/>
        <v>100</v>
      </c>
      <c r="B6177" s="59" t="str">
        <f t="shared" si="21"/>
        <v/>
      </c>
      <c r="C6177" s="59" t="str">
        <f t="shared" si="22"/>
        <v/>
      </c>
      <c r="D6177" s="45" t="str">
        <f t="shared" si="23"/>
        <v/>
      </c>
      <c r="E6177" s="45" t="str">
        <f t="shared" si="24"/>
        <v/>
      </c>
      <c r="F6177" s="59" t="str">
        <f t="shared" si="25"/>
        <v/>
      </c>
      <c r="G6177" s="59" t="str">
        <f t="shared" si="26"/>
        <v/>
      </c>
      <c r="H6177" s="59" t="str">
        <f t="shared" si="27"/>
        <v>28C01406</v>
      </c>
      <c r="I6177" s="59" t="str">
        <f>IF(OR($A6177="",$C6177="",$D6177="",$E6177="",$H6177=""),"",SUMIFS(DATA_GOC!$H:$H,DATA_GOC!$A:$A,"BOM",DATA_GOC!$D:$D,$H6177,DATA_GOC!$E:$E,$C6177,DATA_GOC!$F:$F,"Xuất nội bộ từ téc",DATA_GOC!$B:$B,"&gt;="&amp;$D6177,DATA_GOC!$B:$B,"&lt;="&amp;$E6177))</f>
        <v/>
      </c>
      <c r="J6177" s="59">
        <f t="shared" si="28"/>
        <v>0</v>
      </c>
      <c r="K6177" s="59">
        <f t="shared" si="29"/>
        <v>0</v>
      </c>
      <c r="L6177" s="59">
        <f t="shared" si="30"/>
        <v>0</v>
      </c>
      <c r="M6177" s="59">
        <f t="shared" si="31"/>
        <v>0</v>
      </c>
    </row>
    <row r="6178" ht="15.0" hidden="1" customHeight="1">
      <c r="A6178" s="59">
        <f t="shared" si="20"/>
        <v>100</v>
      </c>
      <c r="B6178" s="59" t="str">
        <f t="shared" si="21"/>
        <v/>
      </c>
      <c r="C6178" s="59" t="str">
        <f t="shared" si="22"/>
        <v/>
      </c>
      <c r="D6178" s="45" t="str">
        <f t="shared" si="23"/>
        <v/>
      </c>
      <c r="E6178" s="45" t="str">
        <f t="shared" si="24"/>
        <v/>
      </c>
      <c r="F6178" s="59" t="str">
        <f t="shared" si="25"/>
        <v/>
      </c>
      <c r="G6178" s="59" t="str">
        <f t="shared" si="26"/>
        <v/>
      </c>
      <c r="H6178" s="59" t="str">
        <f t="shared" si="27"/>
        <v>28C01544</v>
      </c>
      <c r="I6178" s="59" t="str">
        <f>IF(OR($A6178="",$C6178="",$D6178="",$E6178="",$H6178=""),"",SUMIFS(DATA_GOC!$H:$H,DATA_GOC!$A:$A,"BOM",DATA_GOC!$D:$D,$H6178,DATA_GOC!$E:$E,$C6178,DATA_GOC!$F:$F,"Xuất nội bộ từ téc",DATA_GOC!$B:$B,"&gt;="&amp;$D6178,DATA_GOC!$B:$B,"&lt;="&amp;$E6178))</f>
        <v/>
      </c>
      <c r="J6178" s="59">
        <f t="shared" si="28"/>
        <v>0</v>
      </c>
      <c r="K6178" s="59">
        <f t="shared" si="29"/>
        <v>0</v>
      </c>
      <c r="L6178" s="59">
        <f t="shared" si="30"/>
        <v>0</v>
      </c>
      <c r="M6178" s="59">
        <f t="shared" si="31"/>
        <v>0</v>
      </c>
    </row>
    <row r="6179" ht="15.0" hidden="1" customHeight="1">
      <c r="A6179" s="59">
        <f t="shared" si="20"/>
        <v>100</v>
      </c>
      <c r="B6179" s="59" t="str">
        <f t="shared" si="21"/>
        <v/>
      </c>
      <c r="C6179" s="59" t="str">
        <f t="shared" si="22"/>
        <v/>
      </c>
      <c r="D6179" s="45" t="str">
        <f t="shared" si="23"/>
        <v/>
      </c>
      <c r="E6179" s="45" t="str">
        <f t="shared" si="24"/>
        <v/>
      </c>
      <c r="F6179" s="59" t="str">
        <f t="shared" si="25"/>
        <v/>
      </c>
      <c r="G6179" s="59" t="str">
        <f t="shared" si="26"/>
        <v/>
      </c>
      <c r="H6179" s="59" t="str">
        <f t="shared" si="27"/>
        <v>28C01622</v>
      </c>
      <c r="I6179" s="59" t="str">
        <f>IF(OR($A6179="",$C6179="",$D6179="",$E6179="",$H6179=""),"",SUMIFS(DATA_GOC!$H:$H,DATA_GOC!$A:$A,"BOM",DATA_GOC!$D:$D,$H6179,DATA_GOC!$E:$E,$C6179,DATA_GOC!$F:$F,"Xuất nội bộ từ téc",DATA_GOC!$B:$B,"&gt;="&amp;$D6179,DATA_GOC!$B:$B,"&lt;="&amp;$E6179))</f>
        <v/>
      </c>
      <c r="J6179" s="59">
        <f t="shared" si="28"/>
        <v>0</v>
      </c>
      <c r="K6179" s="59">
        <f t="shared" si="29"/>
        <v>0</v>
      </c>
      <c r="L6179" s="59">
        <f t="shared" si="30"/>
        <v>0</v>
      </c>
      <c r="M6179" s="59">
        <f t="shared" si="31"/>
        <v>0</v>
      </c>
    </row>
    <row r="6180" ht="15.0" hidden="1" customHeight="1">
      <c r="A6180" s="59">
        <f t="shared" si="20"/>
        <v>100</v>
      </c>
      <c r="B6180" s="59" t="str">
        <f t="shared" si="21"/>
        <v/>
      </c>
      <c r="C6180" s="59" t="str">
        <f t="shared" si="22"/>
        <v/>
      </c>
      <c r="D6180" s="45" t="str">
        <f t="shared" si="23"/>
        <v/>
      </c>
      <c r="E6180" s="45" t="str">
        <f t="shared" si="24"/>
        <v/>
      </c>
      <c r="F6180" s="59" t="str">
        <f t="shared" si="25"/>
        <v/>
      </c>
      <c r="G6180" s="59" t="str">
        <f t="shared" si="26"/>
        <v/>
      </c>
      <c r="H6180" s="59" t="str">
        <f t="shared" si="27"/>
        <v>28C01647</v>
      </c>
      <c r="I6180" s="59" t="str">
        <f>IF(OR($A6180="",$C6180="",$D6180="",$E6180="",$H6180=""),"",SUMIFS(DATA_GOC!$H:$H,DATA_GOC!$A:$A,"BOM",DATA_GOC!$D:$D,$H6180,DATA_GOC!$E:$E,$C6180,DATA_GOC!$F:$F,"Xuất nội bộ từ téc",DATA_GOC!$B:$B,"&gt;="&amp;$D6180,DATA_GOC!$B:$B,"&lt;="&amp;$E6180))</f>
        <v/>
      </c>
      <c r="J6180" s="59">
        <f t="shared" si="28"/>
        <v>0</v>
      </c>
      <c r="K6180" s="59">
        <f t="shared" si="29"/>
        <v>0</v>
      </c>
      <c r="L6180" s="59">
        <f t="shared" si="30"/>
        <v>0</v>
      </c>
      <c r="M6180" s="59">
        <f t="shared" si="31"/>
        <v>0</v>
      </c>
    </row>
    <row r="6181" ht="15.0" hidden="1" customHeight="1">
      <c r="A6181" s="59">
        <f t="shared" si="20"/>
        <v>100</v>
      </c>
      <c r="B6181" s="59" t="str">
        <f t="shared" si="21"/>
        <v/>
      </c>
      <c r="C6181" s="59" t="str">
        <f t="shared" si="22"/>
        <v/>
      </c>
      <c r="D6181" s="45" t="str">
        <f t="shared" si="23"/>
        <v/>
      </c>
      <c r="E6181" s="45" t="str">
        <f t="shared" si="24"/>
        <v/>
      </c>
      <c r="F6181" s="59" t="str">
        <f t="shared" si="25"/>
        <v/>
      </c>
      <c r="G6181" s="59" t="str">
        <f t="shared" si="26"/>
        <v/>
      </c>
      <c r="H6181" s="59" t="str">
        <f t="shared" si="27"/>
        <v>28C01731</v>
      </c>
      <c r="I6181" s="59" t="str">
        <f>IF(OR($A6181="",$C6181="",$D6181="",$E6181="",$H6181=""),"",SUMIFS(DATA_GOC!$H:$H,DATA_GOC!$A:$A,"BOM",DATA_GOC!$D:$D,$H6181,DATA_GOC!$E:$E,$C6181,DATA_GOC!$F:$F,"Xuất nội bộ từ téc",DATA_GOC!$B:$B,"&gt;="&amp;$D6181,DATA_GOC!$B:$B,"&lt;="&amp;$E6181))</f>
        <v/>
      </c>
      <c r="J6181" s="59">
        <f t="shared" si="28"/>
        <v>0</v>
      </c>
      <c r="K6181" s="59">
        <f t="shared" si="29"/>
        <v>0</v>
      </c>
      <c r="L6181" s="59">
        <f t="shared" si="30"/>
        <v>0</v>
      </c>
      <c r="M6181" s="59">
        <f t="shared" si="31"/>
        <v>0</v>
      </c>
    </row>
    <row r="6182" ht="15.0" hidden="1" customHeight="1">
      <c r="A6182" s="59">
        <f t="shared" si="20"/>
        <v>100</v>
      </c>
      <c r="B6182" s="59" t="str">
        <f t="shared" si="21"/>
        <v/>
      </c>
      <c r="C6182" s="59" t="str">
        <f t="shared" si="22"/>
        <v/>
      </c>
      <c r="D6182" s="45" t="str">
        <f t="shared" si="23"/>
        <v/>
      </c>
      <c r="E6182" s="45" t="str">
        <f t="shared" si="24"/>
        <v/>
      </c>
      <c r="F6182" s="59" t="str">
        <f t="shared" si="25"/>
        <v/>
      </c>
      <c r="G6182" s="59" t="str">
        <f t="shared" si="26"/>
        <v/>
      </c>
      <c r="H6182" s="59" t="str">
        <f t="shared" si="27"/>
        <v>28C01743</v>
      </c>
      <c r="I6182" s="59" t="str">
        <f>IF(OR($A6182="",$C6182="",$D6182="",$E6182="",$H6182=""),"",SUMIFS(DATA_GOC!$H:$H,DATA_GOC!$A:$A,"BOM",DATA_GOC!$D:$D,$H6182,DATA_GOC!$E:$E,$C6182,DATA_GOC!$F:$F,"Xuất nội bộ từ téc",DATA_GOC!$B:$B,"&gt;="&amp;$D6182,DATA_GOC!$B:$B,"&lt;="&amp;$E6182))</f>
        <v/>
      </c>
      <c r="J6182" s="59">
        <f t="shared" si="28"/>
        <v>0</v>
      </c>
      <c r="K6182" s="59">
        <f t="shared" si="29"/>
        <v>0</v>
      </c>
      <c r="L6182" s="59">
        <f t="shared" si="30"/>
        <v>0</v>
      </c>
      <c r="M6182" s="59">
        <f t="shared" si="31"/>
        <v>0</v>
      </c>
    </row>
    <row r="6183" ht="15.0" hidden="1" customHeight="1">
      <c r="A6183" s="59">
        <f t="shared" si="20"/>
        <v>100</v>
      </c>
      <c r="B6183" s="59" t="str">
        <f t="shared" si="21"/>
        <v/>
      </c>
      <c r="C6183" s="59" t="str">
        <f t="shared" si="22"/>
        <v/>
      </c>
      <c r="D6183" s="45" t="str">
        <f t="shared" si="23"/>
        <v/>
      </c>
      <c r="E6183" s="45" t="str">
        <f t="shared" si="24"/>
        <v/>
      </c>
      <c r="F6183" s="59" t="str">
        <f t="shared" si="25"/>
        <v/>
      </c>
      <c r="G6183" s="59" t="str">
        <f t="shared" si="26"/>
        <v/>
      </c>
      <c r="H6183" s="59" t="str">
        <f t="shared" si="27"/>
        <v>28C02106</v>
      </c>
      <c r="I6183" s="59" t="str">
        <f>IF(OR($A6183="",$C6183="",$D6183="",$E6183="",$H6183=""),"",SUMIFS(DATA_GOC!$H:$H,DATA_GOC!$A:$A,"BOM",DATA_GOC!$D:$D,$H6183,DATA_GOC!$E:$E,$C6183,DATA_GOC!$F:$F,"Xuất nội bộ từ téc",DATA_GOC!$B:$B,"&gt;="&amp;$D6183,DATA_GOC!$B:$B,"&lt;="&amp;$E6183))</f>
        <v/>
      </c>
      <c r="J6183" s="59">
        <f t="shared" si="28"/>
        <v>0</v>
      </c>
      <c r="K6183" s="59">
        <f t="shared" si="29"/>
        <v>0</v>
      </c>
      <c r="L6183" s="59">
        <f t="shared" si="30"/>
        <v>0</v>
      </c>
      <c r="M6183" s="59">
        <f t="shared" si="31"/>
        <v>0</v>
      </c>
    </row>
    <row r="6184" ht="15.0" hidden="1" customHeight="1">
      <c r="A6184" s="59">
        <f t="shared" si="20"/>
        <v>100</v>
      </c>
      <c r="B6184" s="59" t="str">
        <f t="shared" si="21"/>
        <v/>
      </c>
      <c r="C6184" s="59" t="str">
        <f t="shared" si="22"/>
        <v/>
      </c>
      <c r="D6184" s="45" t="str">
        <f t="shared" si="23"/>
        <v/>
      </c>
      <c r="E6184" s="45" t="str">
        <f t="shared" si="24"/>
        <v/>
      </c>
      <c r="F6184" s="59" t="str">
        <f t="shared" si="25"/>
        <v/>
      </c>
      <c r="G6184" s="59" t="str">
        <f t="shared" si="26"/>
        <v/>
      </c>
      <c r="H6184" s="59" t="str">
        <f t="shared" si="27"/>
        <v>28C02410</v>
      </c>
      <c r="I6184" s="59" t="str">
        <f>IF(OR($A6184="",$C6184="",$D6184="",$E6184="",$H6184=""),"",SUMIFS(DATA_GOC!$H:$H,DATA_GOC!$A:$A,"BOM",DATA_GOC!$D:$D,$H6184,DATA_GOC!$E:$E,$C6184,DATA_GOC!$F:$F,"Xuất nội bộ từ téc",DATA_GOC!$B:$B,"&gt;="&amp;$D6184,DATA_GOC!$B:$B,"&lt;="&amp;$E6184))</f>
        <v/>
      </c>
      <c r="J6184" s="59">
        <f t="shared" si="28"/>
        <v>0</v>
      </c>
      <c r="K6184" s="59">
        <f t="shared" si="29"/>
        <v>0</v>
      </c>
      <c r="L6184" s="59">
        <f t="shared" si="30"/>
        <v>0</v>
      </c>
      <c r="M6184" s="59">
        <f t="shared" si="31"/>
        <v>0</v>
      </c>
    </row>
    <row r="6185" ht="15.0" hidden="1" customHeight="1">
      <c r="A6185" s="59">
        <f t="shared" si="20"/>
        <v>100</v>
      </c>
      <c r="B6185" s="59" t="str">
        <f t="shared" si="21"/>
        <v/>
      </c>
      <c r="C6185" s="59" t="str">
        <f t="shared" si="22"/>
        <v/>
      </c>
      <c r="D6185" s="45" t="str">
        <f t="shared" si="23"/>
        <v/>
      </c>
      <c r="E6185" s="45" t="str">
        <f t="shared" si="24"/>
        <v/>
      </c>
      <c r="F6185" s="59" t="str">
        <f t="shared" si="25"/>
        <v/>
      </c>
      <c r="G6185" s="59" t="str">
        <f t="shared" si="26"/>
        <v/>
      </c>
      <c r="H6185" s="59" t="str">
        <f t="shared" si="27"/>
        <v>28C02545</v>
      </c>
      <c r="I6185" s="59" t="str">
        <f>IF(OR($A6185="",$C6185="",$D6185="",$E6185="",$H6185=""),"",SUMIFS(DATA_GOC!$H:$H,DATA_GOC!$A:$A,"BOM",DATA_GOC!$D:$D,$H6185,DATA_GOC!$E:$E,$C6185,DATA_GOC!$F:$F,"Xuất nội bộ từ téc",DATA_GOC!$B:$B,"&gt;="&amp;$D6185,DATA_GOC!$B:$B,"&lt;="&amp;$E6185))</f>
        <v/>
      </c>
      <c r="J6185" s="59">
        <f t="shared" si="28"/>
        <v>0</v>
      </c>
      <c r="K6185" s="59">
        <f t="shared" si="29"/>
        <v>0</v>
      </c>
      <c r="L6185" s="59">
        <f t="shared" si="30"/>
        <v>0</v>
      </c>
      <c r="M6185" s="59">
        <f t="shared" si="31"/>
        <v>0</v>
      </c>
    </row>
    <row r="6186" ht="15.0" hidden="1" customHeight="1">
      <c r="A6186" s="59">
        <f t="shared" si="20"/>
        <v>100</v>
      </c>
      <c r="B6186" s="59" t="str">
        <f t="shared" si="21"/>
        <v/>
      </c>
      <c r="C6186" s="59" t="str">
        <f t="shared" si="22"/>
        <v/>
      </c>
      <c r="D6186" s="45" t="str">
        <f t="shared" si="23"/>
        <v/>
      </c>
      <c r="E6186" s="45" t="str">
        <f t="shared" si="24"/>
        <v/>
      </c>
      <c r="F6186" s="59" t="str">
        <f t="shared" si="25"/>
        <v/>
      </c>
      <c r="G6186" s="59" t="str">
        <f t="shared" si="26"/>
        <v/>
      </c>
      <c r="H6186" s="59" t="str">
        <f t="shared" si="27"/>
        <v>28C02574</v>
      </c>
      <c r="I6186" s="59" t="str">
        <f>IF(OR($A6186="",$C6186="",$D6186="",$E6186="",$H6186=""),"",SUMIFS(DATA_GOC!$H:$H,DATA_GOC!$A:$A,"BOM",DATA_GOC!$D:$D,$H6186,DATA_GOC!$E:$E,$C6186,DATA_GOC!$F:$F,"Xuất nội bộ từ téc",DATA_GOC!$B:$B,"&gt;="&amp;$D6186,DATA_GOC!$B:$B,"&lt;="&amp;$E6186))</f>
        <v/>
      </c>
      <c r="J6186" s="59">
        <f t="shared" si="28"/>
        <v>0</v>
      </c>
      <c r="K6186" s="59">
        <f t="shared" si="29"/>
        <v>0</v>
      </c>
      <c r="L6186" s="59">
        <f t="shared" si="30"/>
        <v>0</v>
      </c>
      <c r="M6186" s="59">
        <f t="shared" si="31"/>
        <v>0</v>
      </c>
    </row>
    <row r="6187" ht="15.0" hidden="1" customHeight="1">
      <c r="A6187" s="59">
        <f t="shared" si="20"/>
        <v>100</v>
      </c>
      <c r="B6187" s="59" t="str">
        <f t="shared" si="21"/>
        <v/>
      </c>
      <c r="C6187" s="59" t="str">
        <f t="shared" si="22"/>
        <v/>
      </c>
      <c r="D6187" s="45" t="str">
        <f t="shared" si="23"/>
        <v/>
      </c>
      <c r="E6187" s="45" t="str">
        <f t="shared" si="24"/>
        <v/>
      </c>
      <c r="F6187" s="59" t="str">
        <f t="shared" si="25"/>
        <v/>
      </c>
      <c r="G6187" s="59" t="str">
        <f t="shared" si="26"/>
        <v/>
      </c>
      <c r="H6187" s="59" t="str">
        <f t="shared" si="27"/>
        <v>28C02770</v>
      </c>
      <c r="I6187" s="59" t="str">
        <f>IF(OR($A6187="",$C6187="",$D6187="",$E6187="",$H6187=""),"",SUMIFS(DATA_GOC!$H:$H,DATA_GOC!$A:$A,"BOM",DATA_GOC!$D:$D,$H6187,DATA_GOC!$E:$E,$C6187,DATA_GOC!$F:$F,"Xuất nội bộ từ téc",DATA_GOC!$B:$B,"&gt;="&amp;$D6187,DATA_GOC!$B:$B,"&lt;="&amp;$E6187))</f>
        <v/>
      </c>
      <c r="J6187" s="59">
        <f t="shared" si="28"/>
        <v>0</v>
      </c>
      <c r="K6187" s="59">
        <f t="shared" si="29"/>
        <v>0</v>
      </c>
      <c r="L6187" s="59">
        <f t="shared" si="30"/>
        <v>0</v>
      </c>
      <c r="M6187" s="59">
        <f t="shared" si="31"/>
        <v>0</v>
      </c>
    </row>
    <row r="6188" ht="15.0" hidden="1" customHeight="1">
      <c r="A6188" s="59">
        <f t="shared" si="20"/>
        <v>100</v>
      </c>
      <c r="B6188" s="59" t="str">
        <f t="shared" si="21"/>
        <v/>
      </c>
      <c r="C6188" s="59" t="str">
        <f t="shared" si="22"/>
        <v/>
      </c>
      <c r="D6188" s="45" t="str">
        <f t="shared" si="23"/>
        <v/>
      </c>
      <c r="E6188" s="45" t="str">
        <f t="shared" si="24"/>
        <v/>
      </c>
      <c r="F6188" s="59" t="str">
        <f t="shared" si="25"/>
        <v/>
      </c>
      <c r="G6188" s="59" t="str">
        <f t="shared" si="26"/>
        <v/>
      </c>
      <c r="H6188" s="59" t="str">
        <f t="shared" si="27"/>
        <v>28C02986</v>
      </c>
      <c r="I6188" s="59" t="str">
        <f>IF(OR($A6188="",$C6188="",$D6188="",$E6188="",$H6188=""),"",SUMIFS(DATA_GOC!$H:$H,DATA_GOC!$A:$A,"BOM",DATA_GOC!$D:$D,$H6188,DATA_GOC!$E:$E,$C6188,DATA_GOC!$F:$F,"Xuất nội bộ từ téc",DATA_GOC!$B:$B,"&gt;="&amp;$D6188,DATA_GOC!$B:$B,"&lt;="&amp;$E6188))</f>
        <v/>
      </c>
      <c r="J6188" s="59">
        <f t="shared" si="28"/>
        <v>0</v>
      </c>
      <c r="K6188" s="59">
        <f t="shared" si="29"/>
        <v>0</v>
      </c>
      <c r="L6188" s="59">
        <f t="shared" si="30"/>
        <v>0</v>
      </c>
      <c r="M6188" s="59">
        <f t="shared" si="31"/>
        <v>0</v>
      </c>
    </row>
    <row r="6189" ht="15.0" hidden="1" customHeight="1">
      <c r="A6189" s="59">
        <f t="shared" si="20"/>
        <v>100</v>
      </c>
      <c r="B6189" s="59" t="str">
        <f t="shared" si="21"/>
        <v/>
      </c>
      <c r="C6189" s="59" t="str">
        <f t="shared" si="22"/>
        <v/>
      </c>
      <c r="D6189" s="45" t="str">
        <f t="shared" si="23"/>
        <v/>
      </c>
      <c r="E6189" s="45" t="str">
        <f t="shared" si="24"/>
        <v/>
      </c>
      <c r="F6189" s="59" t="str">
        <f t="shared" si="25"/>
        <v/>
      </c>
      <c r="G6189" s="59" t="str">
        <f t="shared" si="26"/>
        <v/>
      </c>
      <c r="H6189" s="59" t="str">
        <f t="shared" si="27"/>
        <v>28C03261</v>
      </c>
      <c r="I6189" s="59" t="str">
        <f>IF(OR($A6189="",$C6189="",$D6189="",$E6189="",$H6189=""),"",SUMIFS(DATA_GOC!$H:$H,DATA_GOC!$A:$A,"BOM",DATA_GOC!$D:$D,$H6189,DATA_GOC!$E:$E,$C6189,DATA_GOC!$F:$F,"Xuất nội bộ từ téc",DATA_GOC!$B:$B,"&gt;="&amp;$D6189,DATA_GOC!$B:$B,"&lt;="&amp;$E6189))</f>
        <v/>
      </c>
      <c r="J6189" s="59">
        <f t="shared" si="28"/>
        <v>0</v>
      </c>
      <c r="K6189" s="59">
        <f t="shared" si="29"/>
        <v>0</v>
      </c>
      <c r="L6189" s="59">
        <f t="shared" si="30"/>
        <v>0</v>
      </c>
      <c r="M6189" s="59">
        <f t="shared" si="31"/>
        <v>0</v>
      </c>
    </row>
    <row r="6190" ht="15.0" hidden="1" customHeight="1">
      <c r="A6190" s="59">
        <f t="shared" si="20"/>
        <v>100</v>
      </c>
      <c r="B6190" s="59" t="str">
        <f t="shared" si="21"/>
        <v/>
      </c>
      <c r="C6190" s="59" t="str">
        <f t="shared" si="22"/>
        <v/>
      </c>
      <c r="D6190" s="45" t="str">
        <f t="shared" si="23"/>
        <v/>
      </c>
      <c r="E6190" s="45" t="str">
        <f t="shared" si="24"/>
        <v/>
      </c>
      <c r="F6190" s="59" t="str">
        <f t="shared" si="25"/>
        <v/>
      </c>
      <c r="G6190" s="59" t="str">
        <f t="shared" si="26"/>
        <v/>
      </c>
      <c r="H6190" s="59" t="str">
        <f t="shared" si="27"/>
        <v>28C03323</v>
      </c>
      <c r="I6190" s="59" t="str">
        <f>IF(OR($A6190="",$C6190="",$D6190="",$E6190="",$H6190=""),"",SUMIFS(DATA_GOC!$H:$H,DATA_GOC!$A:$A,"BOM",DATA_GOC!$D:$D,$H6190,DATA_GOC!$E:$E,$C6190,DATA_GOC!$F:$F,"Xuất nội bộ từ téc",DATA_GOC!$B:$B,"&gt;="&amp;$D6190,DATA_GOC!$B:$B,"&lt;="&amp;$E6190))</f>
        <v/>
      </c>
      <c r="J6190" s="59">
        <f t="shared" si="28"/>
        <v>0</v>
      </c>
      <c r="K6190" s="59">
        <f t="shared" si="29"/>
        <v>0</v>
      </c>
      <c r="L6190" s="59">
        <f t="shared" si="30"/>
        <v>0</v>
      </c>
      <c r="M6190" s="59">
        <f t="shared" si="31"/>
        <v>0</v>
      </c>
    </row>
    <row r="6191" ht="15.0" hidden="1" customHeight="1">
      <c r="A6191" s="59">
        <f t="shared" si="20"/>
        <v>100</v>
      </c>
      <c r="B6191" s="59" t="str">
        <f t="shared" si="21"/>
        <v/>
      </c>
      <c r="C6191" s="59" t="str">
        <f t="shared" si="22"/>
        <v/>
      </c>
      <c r="D6191" s="45" t="str">
        <f t="shared" si="23"/>
        <v/>
      </c>
      <c r="E6191" s="45" t="str">
        <f t="shared" si="24"/>
        <v/>
      </c>
      <c r="F6191" s="59" t="str">
        <f t="shared" si="25"/>
        <v/>
      </c>
      <c r="G6191" s="59" t="str">
        <f t="shared" si="26"/>
        <v/>
      </c>
      <c r="H6191" s="59" t="str">
        <f t="shared" si="27"/>
        <v>28C03385</v>
      </c>
      <c r="I6191" s="59" t="str">
        <f>IF(OR($A6191="",$C6191="",$D6191="",$E6191="",$H6191=""),"",SUMIFS(DATA_GOC!$H:$H,DATA_GOC!$A:$A,"BOM",DATA_GOC!$D:$D,$H6191,DATA_GOC!$E:$E,$C6191,DATA_GOC!$F:$F,"Xuất nội bộ từ téc",DATA_GOC!$B:$B,"&gt;="&amp;$D6191,DATA_GOC!$B:$B,"&lt;="&amp;$E6191))</f>
        <v/>
      </c>
      <c r="J6191" s="59">
        <f t="shared" si="28"/>
        <v>0</v>
      </c>
      <c r="K6191" s="59">
        <f t="shared" si="29"/>
        <v>0</v>
      </c>
      <c r="L6191" s="59">
        <f t="shared" si="30"/>
        <v>0</v>
      </c>
      <c r="M6191" s="59">
        <f t="shared" si="31"/>
        <v>0</v>
      </c>
    </row>
    <row r="6192" ht="15.0" hidden="1" customHeight="1">
      <c r="A6192" s="59">
        <f t="shared" si="20"/>
        <v>100</v>
      </c>
      <c r="B6192" s="59" t="str">
        <f t="shared" si="21"/>
        <v/>
      </c>
      <c r="C6192" s="59" t="str">
        <f t="shared" si="22"/>
        <v/>
      </c>
      <c r="D6192" s="45" t="str">
        <f t="shared" si="23"/>
        <v/>
      </c>
      <c r="E6192" s="45" t="str">
        <f t="shared" si="24"/>
        <v/>
      </c>
      <c r="F6192" s="59" t="str">
        <f t="shared" si="25"/>
        <v/>
      </c>
      <c r="G6192" s="59" t="str">
        <f t="shared" si="26"/>
        <v/>
      </c>
      <c r="H6192" s="59" t="str">
        <f t="shared" si="27"/>
        <v>28C03652</v>
      </c>
      <c r="I6192" s="59" t="str">
        <f>IF(OR($A6192="",$C6192="",$D6192="",$E6192="",$H6192=""),"",SUMIFS(DATA_GOC!$H:$H,DATA_GOC!$A:$A,"BOM",DATA_GOC!$D:$D,$H6192,DATA_GOC!$E:$E,$C6192,DATA_GOC!$F:$F,"Xuất nội bộ từ téc",DATA_GOC!$B:$B,"&gt;="&amp;$D6192,DATA_GOC!$B:$B,"&lt;="&amp;$E6192))</f>
        <v/>
      </c>
      <c r="J6192" s="59">
        <f t="shared" si="28"/>
        <v>0</v>
      </c>
      <c r="K6192" s="59">
        <f t="shared" si="29"/>
        <v>0</v>
      </c>
      <c r="L6192" s="59">
        <f t="shared" si="30"/>
        <v>0</v>
      </c>
      <c r="M6192" s="59">
        <f t="shared" si="31"/>
        <v>0</v>
      </c>
    </row>
    <row r="6193" ht="15.0" hidden="1" customHeight="1">
      <c r="A6193" s="59">
        <f t="shared" si="20"/>
        <v>100</v>
      </c>
      <c r="B6193" s="59" t="str">
        <f t="shared" si="21"/>
        <v/>
      </c>
      <c r="C6193" s="59" t="str">
        <f t="shared" si="22"/>
        <v/>
      </c>
      <c r="D6193" s="45" t="str">
        <f t="shared" si="23"/>
        <v/>
      </c>
      <c r="E6193" s="45" t="str">
        <f t="shared" si="24"/>
        <v/>
      </c>
      <c r="F6193" s="59" t="str">
        <f t="shared" si="25"/>
        <v/>
      </c>
      <c r="G6193" s="59" t="str">
        <f t="shared" si="26"/>
        <v/>
      </c>
      <c r="H6193" s="59" t="str">
        <f t="shared" si="27"/>
        <v>28C03695</v>
      </c>
      <c r="I6193" s="59" t="str">
        <f>IF(OR($A6193="",$C6193="",$D6193="",$E6193="",$H6193=""),"",SUMIFS(DATA_GOC!$H:$H,DATA_GOC!$A:$A,"BOM",DATA_GOC!$D:$D,$H6193,DATA_GOC!$E:$E,$C6193,DATA_GOC!$F:$F,"Xuất nội bộ từ téc",DATA_GOC!$B:$B,"&gt;="&amp;$D6193,DATA_GOC!$B:$B,"&lt;="&amp;$E6193))</f>
        <v/>
      </c>
      <c r="J6193" s="59">
        <f t="shared" si="28"/>
        <v>0</v>
      </c>
      <c r="K6193" s="59">
        <f t="shared" si="29"/>
        <v>0</v>
      </c>
      <c r="L6193" s="59">
        <f t="shared" si="30"/>
        <v>0</v>
      </c>
      <c r="M6193" s="59">
        <f t="shared" si="31"/>
        <v>0</v>
      </c>
    </row>
    <row r="6194" ht="15.0" hidden="1" customHeight="1">
      <c r="A6194" s="59">
        <f t="shared" si="20"/>
        <v>100</v>
      </c>
      <c r="B6194" s="59" t="str">
        <f t="shared" si="21"/>
        <v/>
      </c>
      <c r="C6194" s="59" t="str">
        <f t="shared" si="22"/>
        <v/>
      </c>
      <c r="D6194" s="45" t="str">
        <f t="shared" si="23"/>
        <v/>
      </c>
      <c r="E6194" s="45" t="str">
        <f t="shared" si="24"/>
        <v/>
      </c>
      <c r="F6194" s="59" t="str">
        <f t="shared" si="25"/>
        <v/>
      </c>
      <c r="G6194" s="59" t="str">
        <f t="shared" si="26"/>
        <v/>
      </c>
      <c r="H6194" s="59" t="str">
        <f t="shared" si="27"/>
        <v>28C03927</v>
      </c>
      <c r="I6194" s="59" t="str">
        <f>IF(OR($A6194="",$C6194="",$D6194="",$E6194="",$H6194=""),"",SUMIFS(DATA_GOC!$H:$H,DATA_GOC!$A:$A,"BOM",DATA_GOC!$D:$D,$H6194,DATA_GOC!$E:$E,$C6194,DATA_GOC!$F:$F,"Xuất nội bộ từ téc",DATA_GOC!$B:$B,"&gt;="&amp;$D6194,DATA_GOC!$B:$B,"&lt;="&amp;$E6194))</f>
        <v/>
      </c>
      <c r="J6194" s="59">
        <f t="shared" si="28"/>
        <v>0</v>
      </c>
      <c r="K6194" s="59">
        <f t="shared" si="29"/>
        <v>0</v>
      </c>
      <c r="L6194" s="59">
        <f t="shared" si="30"/>
        <v>0</v>
      </c>
      <c r="M6194" s="59">
        <f t="shared" si="31"/>
        <v>0</v>
      </c>
    </row>
    <row r="6195" ht="15.0" hidden="1" customHeight="1">
      <c r="A6195" s="59">
        <f t="shared" si="20"/>
        <v>100</v>
      </c>
      <c r="B6195" s="59" t="str">
        <f t="shared" si="21"/>
        <v/>
      </c>
      <c r="C6195" s="59" t="str">
        <f t="shared" si="22"/>
        <v/>
      </c>
      <c r="D6195" s="45" t="str">
        <f t="shared" si="23"/>
        <v/>
      </c>
      <c r="E6195" s="45" t="str">
        <f t="shared" si="24"/>
        <v/>
      </c>
      <c r="F6195" s="59" t="str">
        <f t="shared" si="25"/>
        <v/>
      </c>
      <c r="G6195" s="59" t="str">
        <f t="shared" si="26"/>
        <v/>
      </c>
      <c r="H6195" s="59" t="str">
        <f t="shared" si="27"/>
        <v>28C04509</v>
      </c>
      <c r="I6195" s="59" t="str">
        <f>IF(OR($A6195="",$C6195="",$D6195="",$E6195="",$H6195=""),"",SUMIFS(DATA_GOC!$H:$H,DATA_GOC!$A:$A,"BOM",DATA_GOC!$D:$D,$H6195,DATA_GOC!$E:$E,$C6195,DATA_GOC!$F:$F,"Xuất nội bộ từ téc",DATA_GOC!$B:$B,"&gt;="&amp;$D6195,DATA_GOC!$B:$B,"&lt;="&amp;$E6195))</f>
        <v/>
      </c>
      <c r="J6195" s="59">
        <f t="shared" si="28"/>
        <v>0</v>
      </c>
      <c r="K6195" s="59">
        <f t="shared" si="29"/>
        <v>0</v>
      </c>
      <c r="L6195" s="59">
        <f t="shared" si="30"/>
        <v>0</v>
      </c>
      <c r="M6195" s="59">
        <f t="shared" si="31"/>
        <v>0</v>
      </c>
    </row>
    <row r="6196" ht="15.0" hidden="1" customHeight="1">
      <c r="A6196" s="59">
        <f t="shared" si="20"/>
        <v>100</v>
      </c>
      <c r="B6196" s="59" t="str">
        <f t="shared" si="21"/>
        <v/>
      </c>
      <c r="C6196" s="59" t="str">
        <f t="shared" si="22"/>
        <v/>
      </c>
      <c r="D6196" s="45" t="str">
        <f t="shared" si="23"/>
        <v/>
      </c>
      <c r="E6196" s="45" t="str">
        <f t="shared" si="24"/>
        <v/>
      </c>
      <c r="F6196" s="59" t="str">
        <f t="shared" si="25"/>
        <v/>
      </c>
      <c r="G6196" s="59" t="str">
        <f t="shared" si="26"/>
        <v/>
      </c>
      <c r="H6196" s="59" t="str">
        <f t="shared" si="27"/>
        <v>28C04536</v>
      </c>
      <c r="I6196" s="59" t="str">
        <f>IF(OR($A6196="",$C6196="",$D6196="",$E6196="",$H6196=""),"",SUMIFS(DATA_GOC!$H:$H,DATA_GOC!$A:$A,"BOM",DATA_GOC!$D:$D,$H6196,DATA_GOC!$E:$E,$C6196,DATA_GOC!$F:$F,"Xuất nội bộ từ téc",DATA_GOC!$B:$B,"&gt;="&amp;$D6196,DATA_GOC!$B:$B,"&lt;="&amp;$E6196))</f>
        <v/>
      </c>
      <c r="J6196" s="59">
        <f t="shared" si="28"/>
        <v>0</v>
      </c>
      <c r="K6196" s="59">
        <f t="shared" si="29"/>
        <v>0</v>
      </c>
      <c r="L6196" s="59">
        <f t="shared" si="30"/>
        <v>0</v>
      </c>
      <c r="M6196" s="59">
        <f t="shared" si="31"/>
        <v>0</v>
      </c>
    </row>
    <row r="6197" ht="15.0" hidden="1" customHeight="1">
      <c r="A6197" s="59">
        <f t="shared" si="20"/>
        <v>100</v>
      </c>
      <c r="B6197" s="59" t="str">
        <f t="shared" si="21"/>
        <v/>
      </c>
      <c r="C6197" s="59" t="str">
        <f t="shared" si="22"/>
        <v/>
      </c>
      <c r="D6197" s="45" t="str">
        <f t="shared" si="23"/>
        <v/>
      </c>
      <c r="E6197" s="45" t="str">
        <f t="shared" si="24"/>
        <v/>
      </c>
      <c r="F6197" s="59" t="str">
        <f t="shared" si="25"/>
        <v/>
      </c>
      <c r="G6197" s="59" t="str">
        <f t="shared" si="26"/>
        <v/>
      </c>
      <c r="H6197" s="59" t="str">
        <f t="shared" si="27"/>
        <v>28C04576</v>
      </c>
      <c r="I6197" s="59" t="str">
        <f>IF(OR($A6197="",$C6197="",$D6197="",$E6197="",$H6197=""),"",SUMIFS(DATA_GOC!$H:$H,DATA_GOC!$A:$A,"BOM",DATA_GOC!$D:$D,$H6197,DATA_GOC!$E:$E,$C6197,DATA_GOC!$F:$F,"Xuất nội bộ từ téc",DATA_GOC!$B:$B,"&gt;="&amp;$D6197,DATA_GOC!$B:$B,"&lt;="&amp;$E6197))</f>
        <v/>
      </c>
      <c r="J6197" s="59">
        <f t="shared" si="28"/>
        <v>0</v>
      </c>
      <c r="K6197" s="59">
        <f t="shared" si="29"/>
        <v>0</v>
      </c>
      <c r="L6197" s="59">
        <f t="shared" si="30"/>
        <v>0</v>
      </c>
      <c r="M6197" s="59">
        <f t="shared" si="31"/>
        <v>0</v>
      </c>
    </row>
    <row r="6198" ht="15.0" hidden="1" customHeight="1">
      <c r="A6198" s="59">
        <f t="shared" si="20"/>
        <v>100</v>
      </c>
      <c r="B6198" s="59" t="str">
        <f t="shared" si="21"/>
        <v/>
      </c>
      <c r="C6198" s="59" t="str">
        <f t="shared" si="22"/>
        <v/>
      </c>
      <c r="D6198" s="45" t="str">
        <f t="shared" si="23"/>
        <v/>
      </c>
      <c r="E6198" s="45" t="str">
        <f t="shared" si="24"/>
        <v/>
      </c>
      <c r="F6198" s="59" t="str">
        <f t="shared" si="25"/>
        <v/>
      </c>
      <c r="G6198" s="59" t="str">
        <f t="shared" si="26"/>
        <v/>
      </c>
      <c r="H6198" s="59" t="str">
        <f t="shared" si="27"/>
        <v>28C05090</v>
      </c>
      <c r="I6198" s="59" t="str">
        <f>IF(OR($A6198="",$C6198="",$D6198="",$E6198="",$H6198=""),"",SUMIFS(DATA_GOC!$H:$H,DATA_GOC!$A:$A,"BOM",DATA_GOC!$D:$D,$H6198,DATA_GOC!$E:$E,$C6198,DATA_GOC!$F:$F,"Xuất nội bộ từ téc",DATA_GOC!$B:$B,"&gt;="&amp;$D6198,DATA_GOC!$B:$B,"&lt;="&amp;$E6198))</f>
        <v/>
      </c>
      <c r="J6198" s="59">
        <f t="shared" si="28"/>
        <v>0</v>
      </c>
      <c r="K6198" s="59">
        <f t="shared" si="29"/>
        <v>0</v>
      </c>
      <c r="L6198" s="59">
        <f t="shared" si="30"/>
        <v>0</v>
      </c>
      <c r="M6198" s="59">
        <f t="shared" si="31"/>
        <v>0</v>
      </c>
    </row>
    <row r="6199" ht="15.0" hidden="1" customHeight="1">
      <c r="A6199" s="59">
        <f t="shared" si="20"/>
        <v>100</v>
      </c>
      <c r="B6199" s="59" t="str">
        <f t="shared" si="21"/>
        <v/>
      </c>
      <c r="C6199" s="59" t="str">
        <f t="shared" si="22"/>
        <v/>
      </c>
      <c r="D6199" s="45" t="str">
        <f t="shared" si="23"/>
        <v/>
      </c>
      <c r="E6199" s="45" t="str">
        <f t="shared" si="24"/>
        <v/>
      </c>
      <c r="F6199" s="59" t="str">
        <f t="shared" si="25"/>
        <v/>
      </c>
      <c r="G6199" s="59" t="str">
        <f t="shared" si="26"/>
        <v/>
      </c>
      <c r="H6199" s="59" t="str">
        <f t="shared" si="27"/>
        <v>28C05345</v>
      </c>
      <c r="I6199" s="59" t="str">
        <f>IF(OR($A6199="",$C6199="",$D6199="",$E6199="",$H6199=""),"",SUMIFS(DATA_GOC!$H:$H,DATA_GOC!$A:$A,"BOM",DATA_GOC!$D:$D,$H6199,DATA_GOC!$E:$E,$C6199,DATA_GOC!$F:$F,"Xuất nội bộ từ téc",DATA_GOC!$B:$B,"&gt;="&amp;$D6199,DATA_GOC!$B:$B,"&lt;="&amp;$E6199))</f>
        <v/>
      </c>
      <c r="J6199" s="59">
        <f t="shared" si="28"/>
        <v>0</v>
      </c>
      <c r="K6199" s="59">
        <f t="shared" si="29"/>
        <v>0</v>
      </c>
      <c r="L6199" s="59">
        <f t="shared" si="30"/>
        <v>0</v>
      </c>
      <c r="M6199" s="59">
        <f t="shared" si="31"/>
        <v>0</v>
      </c>
    </row>
    <row r="6200" ht="15.0" hidden="1" customHeight="1">
      <c r="A6200" s="59">
        <f t="shared" si="20"/>
        <v>100</v>
      </c>
      <c r="B6200" s="59" t="str">
        <f t="shared" si="21"/>
        <v/>
      </c>
      <c r="C6200" s="59" t="str">
        <f t="shared" si="22"/>
        <v/>
      </c>
      <c r="D6200" s="45" t="str">
        <f t="shared" si="23"/>
        <v/>
      </c>
      <c r="E6200" s="45" t="str">
        <f t="shared" si="24"/>
        <v/>
      </c>
      <c r="F6200" s="59" t="str">
        <f t="shared" si="25"/>
        <v/>
      </c>
      <c r="G6200" s="59" t="str">
        <f t="shared" si="26"/>
        <v/>
      </c>
      <c r="H6200" s="59" t="str">
        <f t="shared" si="27"/>
        <v>28C05661</v>
      </c>
      <c r="I6200" s="59" t="str">
        <f>IF(OR($A6200="",$C6200="",$D6200="",$E6200="",$H6200=""),"",SUMIFS(DATA_GOC!$H:$H,DATA_GOC!$A:$A,"BOM",DATA_GOC!$D:$D,$H6200,DATA_GOC!$E:$E,$C6200,DATA_GOC!$F:$F,"Xuất nội bộ từ téc",DATA_GOC!$B:$B,"&gt;="&amp;$D6200,DATA_GOC!$B:$B,"&lt;="&amp;$E6200))</f>
        <v/>
      </c>
      <c r="J6200" s="59">
        <f t="shared" si="28"/>
        <v>0</v>
      </c>
      <c r="K6200" s="59">
        <f t="shared" si="29"/>
        <v>0</v>
      </c>
      <c r="L6200" s="59">
        <f t="shared" si="30"/>
        <v>0</v>
      </c>
      <c r="M6200" s="59">
        <f t="shared" si="31"/>
        <v>0</v>
      </c>
    </row>
    <row r="6201" ht="15.0" hidden="1" customHeight="1">
      <c r="A6201" s="59">
        <f t="shared" si="20"/>
        <v>100</v>
      </c>
      <c r="B6201" s="59" t="str">
        <f t="shared" si="21"/>
        <v/>
      </c>
      <c r="C6201" s="59" t="str">
        <f t="shared" si="22"/>
        <v/>
      </c>
      <c r="D6201" s="45" t="str">
        <f t="shared" si="23"/>
        <v/>
      </c>
      <c r="E6201" s="45" t="str">
        <f t="shared" si="24"/>
        <v/>
      </c>
      <c r="F6201" s="59" t="str">
        <f t="shared" si="25"/>
        <v/>
      </c>
      <c r="G6201" s="59" t="str">
        <f t="shared" si="26"/>
        <v/>
      </c>
      <c r="H6201" s="59" t="str">
        <f t="shared" si="27"/>
        <v>28C05739</v>
      </c>
      <c r="I6201" s="59" t="str">
        <f>IF(OR($A6201="",$C6201="",$D6201="",$E6201="",$H6201=""),"",SUMIFS(DATA_GOC!$H:$H,DATA_GOC!$A:$A,"BOM",DATA_GOC!$D:$D,$H6201,DATA_GOC!$E:$E,$C6201,DATA_GOC!$F:$F,"Xuất nội bộ từ téc",DATA_GOC!$B:$B,"&gt;="&amp;$D6201,DATA_GOC!$B:$B,"&lt;="&amp;$E6201))</f>
        <v/>
      </c>
      <c r="J6201" s="59">
        <f t="shared" si="28"/>
        <v>0</v>
      </c>
      <c r="K6201" s="59">
        <f t="shared" si="29"/>
        <v>0</v>
      </c>
      <c r="L6201" s="59">
        <f t="shared" si="30"/>
        <v>0</v>
      </c>
      <c r="M6201" s="59">
        <f t="shared" si="31"/>
        <v>0</v>
      </c>
    </row>
    <row r="6202" ht="15.0" hidden="1" customHeight="1">
      <c r="A6202" s="59">
        <f t="shared" si="20"/>
        <v>100</v>
      </c>
      <c r="B6202" s="59" t="str">
        <f t="shared" si="21"/>
        <v/>
      </c>
      <c r="C6202" s="59" t="str">
        <f t="shared" si="22"/>
        <v/>
      </c>
      <c r="D6202" s="45" t="str">
        <f t="shared" si="23"/>
        <v/>
      </c>
      <c r="E6202" s="45" t="str">
        <f t="shared" si="24"/>
        <v/>
      </c>
      <c r="F6202" s="59" t="str">
        <f t="shared" si="25"/>
        <v/>
      </c>
      <c r="G6202" s="59" t="str">
        <f t="shared" si="26"/>
        <v/>
      </c>
      <c r="H6202" s="59" t="str">
        <f t="shared" si="27"/>
        <v>28C06369</v>
      </c>
      <c r="I6202" s="59" t="str">
        <f>IF(OR($A6202="",$C6202="",$D6202="",$E6202="",$H6202=""),"",SUMIFS(DATA_GOC!$H:$H,DATA_GOC!$A:$A,"BOM",DATA_GOC!$D:$D,$H6202,DATA_GOC!$E:$E,$C6202,DATA_GOC!$F:$F,"Xuất nội bộ từ téc",DATA_GOC!$B:$B,"&gt;="&amp;$D6202,DATA_GOC!$B:$B,"&lt;="&amp;$E6202))</f>
        <v/>
      </c>
      <c r="J6202" s="59">
        <f t="shared" si="28"/>
        <v>0</v>
      </c>
      <c r="K6202" s="59">
        <f t="shared" si="29"/>
        <v>0</v>
      </c>
      <c r="L6202" s="59">
        <f t="shared" si="30"/>
        <v>0</v>
      </c>
      <c r="M6202" s="59">
        <f t="shared" si="31"/>
        <v>0</v>
      </c>
    </row>
    <row r="6203" ht="15.0" hidden="1" customHeight="1">
      <c r="A6203" s="59">
        <f t="shared" si="20"/>
        <v>100</v>
      </c>
      <c r="B6203" s="59" t="str">
        <f t="shared" si="21"/>
        <v/>
      </c>
      <c r="C6203" s="59" t="str">
        <f t="shared" si="22"/>
        <v/>
      </c>
      <c r="D6203" s="45" t="str">
        <f t="shared" si="23"/>
        <v/>
      </c>
      <c r="E6203" s="45" t="str">
        <f t="shared" si="24"/>
        <v/>
      </c>
      <c r="F6203" s="59" t="str">
        <f t="shared" si="25"/>
        <v/>
      </c>
      <c r="G6203" s="59" t="str">
        <f t="shared" si="26"/>
        <v/>
      </c>
      <c r="H6203" s="59" t="str">
        <f t="shared" si="27"/>
        <v>28C06447</v>
      </c>
      <c r="I6203" s="59" t="str">
        <f>IF(OR($A6203="",$C6203="",$D6203="",$E6203="",$H6203=""),"",SUMIFS(DATA_GOC!$H:$H,DATA_GOC!$A:$A,"BOM",DATA_GOC!$D:$D,$H6203,DATA_GOC!$E:$E,$C6203,DATA_GOC!$F:$F,"Xuất nội bộ từ téc",DATA_GOC!$B:$B,"&gt;="&amp;$D6203,DATA_GOC!$B:$B,"&lt;="&amp;$E6203))</f>
        <v/>
      </c>
      <c r="J6203" s="59">
        <f t="shared" si="28"/>
        <v>0</v>
      </c>
      <c r="K6203" s="59">
        <f t="shared" si="29"/>
        <v>0</v>
      </c>
      <c r="L6203" s="59">
        <f t="shared" si="30"/>
        <v>0</v>
      </c>
      <c r="M6203" s="59">
        <f t="shared" si="31"/>
        <v>0</v>
      </c>
    </row>
    <row r="6204" ht="15.0" hidden="1" customHeight="1">
      <c r="A6204" s="59">
        <f t="shared" si="20"/>
        <v>100</v>
      </c>
      <c r="B6204" s="59" t="str">
        <f t="shared" si="21"/>
        <v/>
      </c>
      <c r="C6204" s="59" t="str">
        <f t="shared" si="22"/>
        <v/>
      </c>
      <c r="D6204" s="45" t="str">
        <f t="shared" si="23"/>
        <v/>
      </c>
      <c r="E6204" s="45" t="str">
        <f t="shared" si="24"/>
        <v/>
      </c>
      <c r="F6204" s="59" t="str">
        <f t="shared" si="25"/>
        <v/>
      </c>
      <c r="G6204" s="59" t="str">
        <f t="shared" si="26"/>
        <v/>
      </c>
      <c r="H6204" s="59" t="str">
        <f t="shared" si="27"/>
        <v>28H00003</v>
      </c>
      <c r="I6204" s="59" t="str">
        <f>IF(OR($A6204="",$C6204="",$D6204="",$E6204="",$H6204=""),"",SUMIFS(DATA_GOC!$H:$H,DATA_GOC!$A:$A,"BOM",DATA_GOC!$D:$D,$H6204,DATA_GOC!$E:$E,$C6204,DATA_GOC!$F:$F,"Xuất nội bộ từ téc",DATA_GOC!$B:$B,"&gt;="&amp;$D6204,DATA_GOC!$B:$B,"&lt;="&amp;$E6204))</f>
        <v/>
      </c>
      <c r="J6204" s="59">
        <f t="shared" si="28"/>
        <v>0</v>
      </c>
      <c r="K6204" s="59">
        <f t="shared" si="29"/>
        <v>0</v>
      </c>
      <c r="L6204" s="59">
        <f t="shared" si="30"/>
        <v>0</v>
      </c>
      <c r="M6204" s="59">
        <f t="shared" si="31"/>
        <v>0</v>
      </c>
    </row>
    <row r="6205" ht="15.0" hidden="1" customHeight="1">
      <c r="A6205" s="59">
        <f t="shared" si="20"/>
        <v>100</v>
      </c>
      <c r="B6205" s="59" t="str">
        <f t="shared" si="21"/>
        <v/>
      </c>
      <c r="C6205" s="59" t="str">
        <f t="shared" si="22"/>
        <v/>
      </c>
      <c r="D6205" s="45" t="str">
        <f t="shared" si="23"/>
        <v/>
      </c>
      <c r="E6205" s="45" t="str">
        <f t="shared" si="24"/>
        <v/>
      </c>
      <c r="F6205" s="59" t="str">
        <f t="shared" si="25"/>
        <v/>
      </c>
      <c r="G6205" s="59" t="str">
        <f t="shared" si="26"/>
        <v/>
      </c>
      <c r="H6205" s="59" t="str">
        <f t="shared" si="27"/>
        <v>28H00061</v>
      </c>
      <c r="I6205" s="59" t="str">
        <f>IF(OR($A6205="",$C6205="",$D6205="",$E6205="",$H6205=""),"",SUMIFS(DATA_GOC!$H:$H,DATA_GOC!$A:$A,"BOM",DATA_GOC!$D:$D,$H6205,DATA_GOC!$E:$E,$C6205,DATA_GOC!$F:$F,"Xuất nội bộ từ téc",DATA_GOC!$B:$B,"&gt;="&amp;$D6205,DATA_GOC!$B:$B,"&lt;="&amp;$E6205))</f>
        <v/>
      </c>
      <c r="J6205" s="59">
        <f t="shared" si="28"/>
        <v>0</v>
      </c>
      <c r="K6205" s="59">
        <f t="shared" si="29"/>
        <v>0</v>
      </c>
      <c r="L6205" s="59">
        <f t="shared" si="30"/>
        <v>0</v>
      </c>
      <c r="M6205" s="59">
        <f t="shared" si="31"/>
        <v>0</v>
      </c>
    </row>
    <row r="6206" ht="15.0" hidden="1" customHeight="1">
      <c r="A6206" s="59">
        <f t="shared" si="20"/>
        <v>100</v>
      </c>
      <c r="B6206" s="59" t="str">
        <f t="shared" si="21"/>
        <v/>
      </c>
      <c r="C6206" s="59" t="str">
        <f t="shared" si="22"/>
        <v/>
      </c>
      <c r="D6206" s="45" t="str">
        <f t="shared" si="23"/>
        <v/>
      </c>
      <c r="E6206" s="45" t="str">
        <f t="shared" si="24"/>
        <v/>
      </c>
      <c r="F6206" s="59" t="str">
        <f t="shared" si="25"/>
        <v/>
      </c>
      <c r="G6206" s="59" t="str">
        <f t="shared" si="26"/>
        <v/>
      </c>
      <c r="H6206" s="59" t="str">
        <f t="shared" si="27"/>
        <v>28H00354</v>
      </c>
      <c r="I6206" s="59" t="str">
        <f>IF(OR($A6206="",$C6206="",$D6206="",$E6206="",$H6206=""),"",SUMIFS(DATA_GOC!$H:$H,DATA_GOC!$A:$A,"BOM",DATA_GOC!$D:$D,$H6206,DATA_GOC!$E:$E,$C6206,DATA_GOC!$F:$F,"Xuất nội bộ từ téc",DATA_GOC!$B:$B,"&gt;="&amp;$D6206,DATA_GOC!$B:$B,"&lt;="&amp;$E6206))</f>
        <v/>
      </c>
      <c r="J6206" s="59">
        <f t="shared" si="28"/>
        <v>0</v>
      </c>
      <c r="K6206" s="59">
        <f t="shared" si="29"/>
        <v>0</v>
      </c>
      <c r="L6206" s="59">
        <f t="shared" si="30"/>
        <v>0</v>
      </c>
      <c r="M6206" s="59">
        <f t="shared" si="31"/>
        <v>0</v>
      </c>
    </row>
    <row r="6207" ht="15.0" hidden="1" customHeight="1">
      <c r="A6207" s="59">
        <f t="shared" si="20"/>
        <v>100</v>
      </c>
      <c r="B6207" s="59" t="str">
        <f t="shared" si="21"/>
        <v/>
      </c>
      <c r="C6207" s="59" t="str">
        <f t="shared" si="22"/>
        <v/>
      </c>
      <c r="D6207" s="45" t="str">
        <f t="shared" si="23"/>
        <v/>
      </c>
      <c r="E6207" s="45" t="str">
        <f t="shared" si="24"/>
        <v/>
      </c>
      <c r="F6207" s="59" t="str">
        <f t="shared" si="25"/>
        <v/>
      </c>
      <c r="G6207" s="59" t="str">
        <f t="shared" si="26"/>
        <v/>
      </c>
      <c r="H6207" s="59" t="str">
        <f t="shared" si="27"/>
        <v>28H00603</v>
      </c>
      <c r="I6207" s="59" t="str">
        <f>IF(OR($A6207="",$C6207="",$D6207="",$E6207="",$H6207=""),"",SUMIFS(DATA_GOC!$H:$H,DATA_GOC!$A:$A,"BOM",DATA_GOC!$D:$D,$H6207,DATA_GOC!$E:$E,$C6207,DATA_GOC!$F:$F,"Xuất nội bộ từ téc",DATA_GOC!$B:$B,"&gt;="&amp;$D6207,DATA_GOC!$B:$B,"&lt;="&amp;$E6207))</f>
        <v/>
      </c>
      <c r="J6207" s="59">
        <f t="shared" si="28"/>
        <v>0</v>
      </c>
      <c r="K6207" s="59">
        <f t="shared" si="29"/>
        <v>0</v>
      </c>
      <c r="L6207" s="59">
        <f t="shared" si="30"/>
        <v>0</v>
      </c>
      <c r="M6207" s="59">
        <f t="shared" si="31"/>
        <v>0</v>
      </c>
    </row>
    <row r="6208" ht="15.0" hidden="1" customHeight="1">
      <c r="A6208" s="59">
        <f t="shared" si="20"/>
        <v>100</v>
      </c>
      <c r="B6208" s="59" t="str">
        <f t="shared" si="21"/>
        <v/>
      </c>
      <c r="C6208" s="59" t="str">
        <f t="shared" si="22"/>
        <v/>
      </c>
      <c r="D6208" s="45" t="str">
        <f t="shared" si="23"/>
        <v/>
      </c>
      <c r="E6208" s="45" t="str">
        <f t="shared" si="24"/>
        <v/>
      </c>
      <c r="F6208" s="59" t="str">
        <f t="shared" si="25"/>
        <v/>
      </c>
      <c r="G6208" s="59" t="str">
        <f t="shared" si="26"/>
        <v/>
      </c>
      <c r="H6208" s="59" t="str">
        <f t="shared" si="27"/>
        <v>28H00609</v>
      </c>
      <c r="I6208" s="59" t="str">
        <f>IF(OR($A6208="",$C6208="",$D6208="",$E6208="",$H6208=""),"",SUMIFS(DATA_GOC!$H:$H,DATA_GOC!$A:$A,"BOM",DATA_GOC!$D:$D,$H6208,DATA_GOC!$E:$E,$C6208,DATA_GOC!$F:$F,"Xuất nội bộ từ téc",DATA_GOC!$B:$B,"&gt;="&amp;$D6208,DATA_GOC!$B:$B,"&lt;="&amp;$E6208))</f>
        <v/>
      </c>
      <c r="J6208" s="59">
        <f t="shared" si="28"/>
        <v>0</v>
      </c>
      <c r="K6208" s="59">
        <f t="shared" si="29"/>
        <v>0</v>
      </c>
      <c r="L6208" s="59">
        <f t="shared" si="30"/>
        <v>0</v>
      </c>
      <c r="M6208" s="59">
        <f t="shared" si="31"/>
        <v>0</v>
      </c>
    </row>
    <row r="6209" ht="15.0" hidden="1" customHeight="1">
      <c r="A6209" s="59">
        <f t="shared" si="20"/>
        <v>100</v>
      </c>
      <c r="B6209" s="59" t="str">
        <f t="shared" si="21"/>
        <v/>
      </c>
      <c r="C6209" s="59" t="str">
        <f t="shared" si="22"/>
        <v/>
      </c>
      <c r="D6209" s="45" t="str">
        <f t="shared" si="23"/>
        <v/>
      </c>
      <c r="E6209" s="45" t="str">
        <f t="shared" si="24"/>
        <v/>
      </c>
      <c r="F6209" s="59" t="str">
        <f t="shared" si="25"/>
        <v/>
      </c>
      <c r="G6209" s="59" t="str">
        <f t="shared" si="26"/>
        <v/>
      </c>
      <c r="H6209" s="59" t="str">
        <f t="shared" si="27"/>
        <v>28H00669</v>
      </c>
      <c r="I6209" s="59" t="str">
        <f>IF(OR($A6209="",$C6209="",$D6209="",$E6209="",$H6209=""),"",SUMIFS(DATA_GOC!$H:$H,DATA_GOC!$A:$A,"BOM",DATA_GOC!$D:$D,$H6209,DATA_GOC!$E:$E,$C6209,DATA_GOC!$F:$F,"Xuất nội bộ từ téc",DATA_GOC!$B:$B,"&gt;="&amp;$D6209,DATA_GOC!$B:$B,"&lt;="&amp;$E6209))</f>
        <v/>
      </c>
      <c r="J6209" s="59">
        <f t="shared" si="28"/>
        <v>0</v>
      </c>
      <c r="K6209" s="59">
        <f t="shared" si="29"/>
        <v>0</v>
      </c>
      <c r="L6209" s="59">
        <f t="shared" si="30"/>
        <v>0</v>
      </c>
      <c r="M6209" s="59">
        <f t="shared" si="31"/>
        <v>0</v>
      </c>
    </row>
    <row r="6210" ht="15.0" hidden="1" customHeight="1">
      <c r="A6210" s="59">
        <f t="shared" si="20"/>
        <v>100</v>
      </c>
      <c r="B6210" s="59" t="str">
        <f t="shared" si="21"/>
        <v/>
      </c>
      <c r="C6210" s="59" t="str">
        <f t="shared" si="22"/>
        <v/>
      </c>
      <c r="D6210" s="45" t="str">
        <f t="shared" si="23"/>
        <v/>
      </c>
      <c r="E6210" s="45" t="str">
        <f t="shared" si="24"/>
        <v/>
      </c>
      <c r="F6210" s="59" t="str">
        <f t="shared" si="25"/>
        <v/>
      </c>
      <c r="G6210" s="59" t="str">
        <f t="shared" si="26"/>
        <v/>
      </c>
      <c r="H6210" s="59" t="str">
        <f t="shared" si="27"/>
        <v>28H00680</v>
      </c>
      <c r="I6210" s="59" t="str">
        <f>IF(OR($A6210="",$C6210="",$D6210="",$E6210="",$H6210=""),"",SUMIFS(DATA_GOC!$H:$H,DATA_GOC!$A:$A,"BOM",DATA_GOC!$D:$D,$H6210,DATA_GOC!$E:$E,$C6210,DATA_GOC!$F:$F,"Xuất nội bộ từ téc",DATA_GOC!$B:$B,"&gt;="&amp;$D6210,DATA_GOC!$B:$B,"&lt;="&amp;$E6210))</f>
        <v/>
      </c>
      <c r="J6210" s="59">
        <f t="shared" si="28"/>
        <v>0</v>
      </c>
      <c r="K6210" s="59">
        <f t="shared" si="29"/>
        <v>0</v>
      </c>
      <c r="L6210" s="59">
        <f t="shared" si="30"/>
        <v>0</v>
      </c>
      <c r="M6210" s="59">
        <f t="shared" si="31"/>
        <v>0</v>
      </c>
    </row>
    <row r="6211" ht="15.0" hidden="1" customHeight="1">
      <c r="A6211" s="59">
        <f t="shared" si="20"/>
        <v>100</v>
      </c>
      <c r="B6211" s="59" t="str">
        <f t="shared" si="21"/>
        <v/>
      </c>
      <c r="C6211" s="59" t="str">
        <f t="shared" si="22"/>
        <v/>
      </c>
      <c r="D6211" s="45" t="str">
        <f t="shared" si="23"/>
        <v/>
      </c>
      <c r="E6211" s="45" t="str">
        <f t="shared" si="24"/>
        <v/>
      </c>
      <c r="F6211" s="59" t="str">
        <f t="shared" si="25"/>
        <v/>
      </c>
      <c r="G6211" s="59" t="str">
        <f t="shared" si="26"/>
        <v/>
      </c>
      <c r="H6211" s="59" t="str">
        <f t="shared" si="27"/>
        <v>28H01070</v>
      </c>
      <c r="I6211" s="59" t="str">
        <f>IF(OR($A6211="",$C6211="",$D6211="",$E6211="",$H6211=""),"",SUMIFS(DATA_GOC!$H:$H,DATA_GOC!$A:$A,"BOM",DATA_GOC!$D:$D,$H6211,DATA_GOC!$E:$E,$C6211,DATA_GOC!$F:$F,"Xuất nội bộ từ téc",DATA_GOC!$B:$B,"&gt;="&amp;$D6211,DATA_GOC!$B:$B,"&lt;="&amp;$E6211))</f>
        <v/>
      </c>
      <c r="J6211" s="59">
        <f t="shared" si="28"/>
        <v>0</v>
      </c>
      <c r="K6211" s="59">
        <f t="shared" si="29"/>
        <v>0</v>
      </c>
      <c r="L6211" s="59">
        <f t="shared" si="30"/>
        <v>0</v>
      </c>
      <c r="M6211" s="59">
        <f t="shared" si="31"/>
        <v>0</v>
      </c>
    </row>
    <row r="6212" ht="15.0" hidden="1" customHeight="1">
      <c r="A6212" s="59">
        <f t="shared" si="20"/>
        <v>100</v>
      </c>
      <c r="B6212" s="59" t="str">
        <f t="shared" si="21"/>
        <v/>
      </c>
      <c r="C6212" s="59" t="str">
        <f t="shared" si="22"/>
        <v/>
      </c>
      <c r="D6212" s="45" t="str">
        <f t="shared" si="23"/>
        <v/>
      </c>
      <c r="E6212" s="45" t="str">
        <f t="shared" si="24"/>
        <v/>
      </c>
      <c r="F6212" s="59" t="str">
        <f t="shared" si="25"/>
        <v/>
      </c>
      <c r="G6212" s="59" t="str">
        <f t="shared" si="26"/>
        <v/>
      </c>
      <c r="H6212" s="59" t="str">
        <f t="shared" si="27"/>
        <v>28H01364</v>
      </c>
      <c r="I6212" s="59" t="str">
        <f>IF(OR($A6212="",$C6212="",$D6212="",$E6212="",$H6212=""),"",SUMIFS(DATA_GOC!$H:$H,DATA_GOC!$A:$A,"BOM",DATA_GOC!$D:$D,$H6212,DATA_GOC!$E:$E,$C6212,DATA_GOC!$F:$F,"Xuất nội bộ từ téc",DATA_GOC!$B:$B,"&gt;="&amp;$D6212,DATA_GOC!$B:$B,"&lt;="&amp;$E6212))</f>
        <v/>
      </c>
      <c r="J6212" s="59">
        <f t="shared" si="28"/>
        <v>0</v>
      </c>
      <c r="K6212" s="59">
        <f t="shared" si="29"/>
        <v>0</v>
      </c>
      <c r="L6212" s="59">
        <f t="shared" si="30"/>
        <v>0</v>
      </c>
      <c r="M6212" s="59">
        <f t="shared" si="31"/>
        <v>0</v>
      </c>
    </row>
    <row r="6213" ht="15.0" hidden="1" customHeight="1">
      <c r="A6213" s="59">
        <f t="shared" si="20"/>
        <v>100</v>
      </c>
      <c r="B6213" s="59" t="str">
        <f t="shared" si="21"/>
        <v/>
      </c>
      <c r="C6213" s="59" t="str">
        <f t="shared" si="22"/>
        <v/>
      </c>
      <c r="D6213" s="45" t="str">
        <f t="shared" si="23"/>
        <v/>
      </c>
      <c r="E6213" s="45" t="str">
        <f t="shared" si="24"/>
        <v/>
      </c>
      <c r="F6213" s="59" t="str">
        <f t="shared" si="25"/>
        <v/>
      </c>
      <c r="G6213" s="59" t="str">
        <f t="shared" si="26"/>
        <v/>
      </c>
      <c r="H6213" s="59" t="str">
        <f t="shared" si="27"/>
        <v>29E17269</v>
      </c>
      <c r="I6213" s="59" t="str">
        <f>IF(OR($A6213="",$C6213="",$D6213="",$E6213="",$H6213=""),"",SUMIFS(DATA_GOC!$H:$H,DATA_GOC!$A:$A,"BOM",DATA_GOC!$D:$D,$H6213,DATA_GOC!$E:$E,$C6213,DATA_GOC!$F:$F,"Xuất nội bộ từ téc",DATA_GOC!$B:$B,"&gt;="&amp;$D6213,DATA_GOC!$B:$B,"&lt;="&amp;$E6213))</f>
        <v/>
      </c>
      <c r="J6213" s="59">
        <f t="shared" si="28"/>
        <v>0</v>
      </c>
      <c r="K6213" s="59">
        <f t="shared" si="29"/>
        <v>0</v>
      </c>
      <c r="L6213" s="59">
        <f t="shared" si="30"/>
        <v>0</v>
      </c>
      <c r="M6213" s="59">
        <f t="shared" si="31"/>
        <v>0</v>
      </c>
    </row>
    <row r="6214" ht="15.0" hidden="1" customHeight="1">
      <c r="A6214" s="59">
        <f t="shared" si="20"/>
        <v>100</v>
      </c>
      <c r="B6214" s="59" t="str">
        <f t="shared" si="21"/>
        <v/>
      </c>
      <c r="C6214" s="59" t="str">
        <f t="shared" si="22"/>
        <v/>
      </c>
      <c r="D6214" s="45" t="str">
        <f t="shared" si="23"/>
        <v/>
      </c>
      <c r="E6214" s="45" t="str">
        <f t="shared" si="24"/>
        <v/>
      </c>
      <c r="F6214" s="59" t="str">
        <f t="shared" si="25"/>
        <v/>
      </c>
      <c r="G6214" s="59" t="str">
        <f t="shared" si="26"/>
        <v/>
      </c>
      <c r="H6214" s="59" t="str">
        <f t="shared" si="27"/>
        <v>29E17273</v>
      </c>
      <c r="I6214" s="59" t="str">
        <f>IF(OR($A6214="",$C6214="",$D6214="",$E6214="",$H6214=""),"",SUMIFS(DATA_GOC!$H:$H,DATA_GOC!$A:$A,"BOM",DATA_GOC!$D:$D,$H6214,DATA_GOC!$E:$E,$C6214,DATA_GOC!$F:$F,"Xuất nội bộ từ téc",DATA_GOC!$B:$B,"&gt;="&amp;$D6214,DATA_GOC!$B:$B,"&lt;="&amp;$E6214))</f>
        <v/>
      </c>
      <c r="J6214" s="59">
        <f t="shared" si="28"/>
        <v>0</v>
      </c>
      <c r="K6214" s="59">
        <f t="shared" si="29"/>
        <v>0</v>
      </c>
      <c r="L6214" s="59">
        <f t="shared" si="30"/>
        <v>0</v>
      </c>
      <c r="M6214" s="59">
        <f t="shared" si="31"/>
        <v>0</v>
      </c>
    </row>
    <row r="6215" ht="15.0" hidden="1" customHeight="1">
      <c r="A6215" s="59">
        <f t="shared" si="20"/>
        <v>100</v>
      </c>
      <c r="B6215" s="59" t="str">
        <f t="shared" si="21"/>
        <v/>
      </c>
      <c r="C6215" s="59" t="str">
        <f t="shared" si="22"/>
        <v/>
      </c>
      <c r="D6215" s="45" t="str">
        <f t="shared" si="23"/>
        <v/>
      </c>
      <c r="E6215" s="45" t="str">
        <f t="shared" si="24"/>
        <v/>
      </c>
      <c r="F6215" s="59" t="str">
        <f t="shared" si="25"/>
        <v/>
      </c>
      <c r="G6215" s="59" t="str">
        <f t="shared" si="26"/>
        <v/>
      </c>
      <c r="H6215" s="59" t="str">
        <f t="shared" si="27"/>
        <v>29E17410</v>
      </c>
      <c r="I6215" s="59" t="str">
        <f>IF(OR($A6215="",$C6215="",$D6215="",$E6215="",$H6215=""),"",SUMIFS(DATA_GOC!$H:$H,DATA_GOC!$A:$A,"BOM",DATA_GOC!$D:$D,$H6215,DATA_GOC!$E:$E,$C6215,DATA_GOC!$F:$F,"Xuất nội bộ từ téc",DATA_GOC!$B:$B,"&gt;="&amp;$D6215,DATA_GOC!$B:$B,"&lt;="&amp;$E6215))</f>
        <v/>
      </c>
      <c r="J6215" s="59">
        <f t="shared" si="28"/>
        <v>0</v>
      </c>
      <c r="K6215" s="59">
        <f t="shared" si="29"/>
        <v>0</v>
      </c>
      <c r="L6215" s="59">
        <f t="shared" si="30"/>
        <v>0</v>
      </c>
      <c r="M6215" s="59">
        <f t="shared" si="31"/>
        <v>0</v>
      </c>
    </row>
    <row r="6216" ht="15.0" hidden="1" customHeight="1">
      <c r="A6216" s="59">
        <f t="shared" si="20"/>
        <v>100</v>
      </c>
      <c r="B6216" s="59" t="str">
        <f t="shared" si="21"/>
        <v/>
      </c>
      <c r="C6216" s="59" t="str">
        <f t="shared" si="22"/>
        <v/>
      </c>
      <c r="D6216" s="45" t="str">
        <f t="shared" si="23"/>
        <v/>
      </c>
      <c r="E6216" s="45" t="str">
        <f t="shared" si="24"/>
        <v/>
      </c>
      <c r="F6216" s="59" t="str">
        <f t="shared" si="25"/>
        <v/>
      </c>
      <c r="G6216" s="59" t="str">
        <f t="shared" si="26"/>
        <v/>
      </c>
      <c r="H6216" s="59" t="str">
        <f t="shared" si="27"/>
        <v>29E17417</v>
      </c>
      <c r="I6216" s="59" t="str">
        <f>IF(OR($A6216="",$C6216="",$D6216="",$E6216="",$H6216=""),"",SUMIFS(DATA_GOC!$H:$H,DATA_GOC!$A:$A,"BOM",DATA_GOC!$D:$D,$H6216,DATA_GOC!$E:$E,$C6216,DATA_GOC!$F:$F,"Xuất nội bộ từ téc",DATA_GOC!$B:$B,"&gt;="&amp;$D6216,DATA_GOC!$B:$B,"&lt;="&amp;$E6216))</f>
        <v/>
      </c>
      <c r="J6216" s="59">
        <f t="shared" si="28"/>
        <v>0</v>
      </c>
      <c r="K6216" s="59">
        <f t="shared" si="29"/>
        <v>0</v>
      </c>
      <c r="L6216" s="59">
        <f t="shared" si="30"/>
        <v>0</v>
      </c>
      <c r="M6216" s="59">
        <f t="shared" si="31"/>
        <v>0</v>
      </c>
    </row>
    <row r="6217" ht="15.0" hidden="1" customHeight="1">
      <c r="A6217" s="59">
        <f t="shared" si="20"/>
        <v>100</v>
      </c>
      <c r="B6217" s="59" t="str">
        <f t="shared" si="21"/>
        <v/>
      </c>
      <c r="C6217" s="59" t="str">
        <f t="shared" si="22"/>
        <v/>
      </c>
      <c r="D6217" s="45" t="str">
        <f t="shared" si="23"/>
        <v/>
      </c>
      <c r="E6217" s="45" t="str">
        <f t="shared" si="24"/>
        <v/>
      </c>
      <c r="F6217" s="59" t="str">
        <f t="shared" si="25"/>
        <v/>
      </c>
      <c r="G6217" s="59" t="str">
        <f t="shared" si="26"/>
        <v/>
      </c>
      <c r="H6217" s="59" t="str">
        <f t="shared" si="27"/>
        <v>29E17539</v>
      </c>
      <c r="I6217" s="59" t="str">
        <f>IF(OR($A6217="",$C6217="",$D6217="",$E6217="",$H6217=""),"",SUMIFS(DATA_GOC!$H:$H,DATA_GOC!$A:$A,"BOM",DATA_GOC!$D:$D,$H6217,DATA_GOC!$E:$E,$C6217,DATA_GOC!$F:$F,"Xuất nội bộ từ téc",DATA_GOC!$B:$B,"&gt;="&amp;$D6217,DATA_GOC!$B:$B,"&lt;="&amp;$E6217))</f>
        <v/>
      </c>
      <c r="J6217" s="59">
        <f t="shared" si="28"/>
        <v>0</v>
      </c>
      <c r="K6217" s="59">
        <f t="shared" si="29"/>
        <v>0</v>
      </c>
      <c r="L6217" s="59">
        <f t="shared" si="30"/>
        <v>0</v>
      </c>
      <c r="M6217" s="59">
        <f t="shared" si="31"/>
        <v>0</v>
      </c>
    </row>
    <row r="6218" ht="15.0" hidden="1" customHeight="1">
      <c r="A6218" s="59">
        <f t="shared" si="20"/>
        <v>100</v>
      </c>
      <c r="B6218" s="59" t="str">
        <f t="shared" si="21"/>
        <v/>
      </c>
      <c r="C6218" s="59" t="str">
        <f t="shared" si="22"/>
        <v/>
      </c>
      <c r="D6218" s="45" t="str">
        <f t="shared" si="23"/>
        <v/>
      </c>
      <c r="E6218" s="45" t="str">
        <f t="shared" si="24"/>
        <v/>
      </c>
      <c r="F6218" s="59" t="str">
        <f t="shared" si="25"/>
        <v/>
      </c>
      <c r="G6218" s="59" t="str">
        <f t="shared" si="26"/>
        <v/>
      </c>
      <c r="H6218" s="59" t="str">
        <f t="shared" si="27"/>
        <v>29E18160</v>
      </c>
      <c r="I6218" s="59" t="str">
        <f>IF(OR($A6218="",$C6218="",$D6218="",$E6218="",$H6218=""),"",SUMIFS(DATA_GOC!$H:$H,DATA_GOC!$A:$A,"BOM",DATA_GOC!$D:$D,$H6218,DATA_GOC!$E:$E,$C6218,DATA_GOC!$F:$F,"Xuất nội bộ từ téc",DATA_GOC!$B:$B,"&gt;="&amp;$D6218,DATA_GOC!$B:$B,"&lt;="&amp;$E6218))</f>
        <v/>
      </c>
      <c r="J6218" s="59">
        <f t="shared" si="28"/>
        <v>0</v>
      </c>
      <c r="K6218" s="59">
        <f t="shared" si="29"/>
        <v>0</v>
      </c>
      <c r="L6218" s="59">
        <f t="shared" si="30"/>
        <v>0</v>
      </c>
      <c r="M6218" s="59">
        <f t="shared" si="31"/>
        <v>0</v>
      </c>
    </row>
    <row r="6219" ht="15.0" hidden="1" customHeight="1">
      <c r="A6219" s="59">
        <f t="shared" si="20"/>
        <v>100</v>
      </c>
      <c r="B6219" s="59" t="str">
        <f t="shared" si="21"/>
        <v/>
      </c>
      <c r="C6219" s="59" t="str">
        <f t="shared" si="22"/>
        <v/>
      </c>
      <c r="D6219" s="45" t="str">
        <f t="shared" si="23"/>
        <v/>
      </c>
      <c r="E6219" s="45" t="str">
        <f t="shared" si="24"/>
        <v/>
      </c>
      <c r="F6219" s="59" t="str">
        <f t="shared" si="25"/>
        <v/>
      </c>
      <c r="G6219" s="59" t="str">
        <f t="shared" si="26"/>
        <v/>
      </c>
      <c r="H6219" s="59" t="str">
        <f t="shared" si="27"/>
        <v>Công trình Asphalt</v>
      </c>
      <c r="I6219" s="59" t="str">
        <f>IF(OR($A6219="",$C6219="",$D6219="",$E6219="",$H6219=""),"",SUMIFS(DATA_GOC!$H:$H,DATA_GOC!$A:$A,"BOM",DATA_GOC!$D:$D,$H6219,DATA_GOC!$E:$E,$C6219,DATA_GOC!$F:$F,"Xuất nội bộ từ téc",DATA_GOC!$B:$B,"&gt;="&amp;$D6219,DATA_GOC!$B:$B,"&lt;="&amp;$E6219))</f>
        <v/>
      </c>
      <c r="J6219" s="59">
        <f t="shared" si="28"/>
        <v>0</v>
      </c>
      <c r="K6219" s="59">
        <f t="shared" si="29"/>
        <v>0</v>
      </c>
      <c r="L6219" s="59">
        <f t="shared" si="30"/>
        <v>0</v>
      </c>
      <c r="M6219" s="59">
        <f t="shared" si="31"/>
        <v>0</v>
      </c>
    </row>
    <row r="6220" ht="15.0" hidden="1" customHeight="1">
      <c r="A6220" s="59">
        <f t="shared" si="20"/>
        <v>100</v>
      </c>
      <c r="B6220" s="59" t="str">
        <f t="shared" si="21"/>
        <v/>
      </c>
      <c r="C6220" s="59" t="str">
        <f t="shared" si="22"/>
        <v/>
      </c>
      <c r="D6220" s="45" t="str">
        <f t="shared" si="23"/>
        <v/>
      </c>
      <c r="E6220" s="45" t="str">
        <f t="shared" si="24"/>
        <v/>
      </c>
      <c r="F6220" s="59" t="str">
        <f t="shared" si="25"/>
        <v/>
      </c>
      <c r="G6220" s="59" t="str">
        <f t="shared" si="26"/>
        <v/>
      </c>
      <c r="H6220" s="59" t="str">
        <f t="shared" si="27"/>
        <v>LG53F</v>
      </c>
      <c r="I6220" s="59" t="str">
        <f>IF(OR($A6220="",$C6220="",$D6220="",$E6220="",$H6220=""),"",SUMIFS(DATA_GOC!$H:$H,DATA_GOC!$A:$A,"BOM",DATA_GOC!$D:$D,$H6220,DATA_GOC!$E:$E,$C6220,DATA_GOC!$F:$F,"Xuất nội bộ từ téc",DATA_GOC!$B:$B,"&gt;="&amp;$D6220,DATA_GOC!$B:$B,"&lt;="&amp;$E6220))</f>
        <v/>
      </c>
      <c r="J6220" s="59">
        <f t="shared" si="28"/>
        <v>0</v>
      </c>
      <c r="K6220" s="59">
        <f t="shared" si="29"/>
        <v>0</v>
      </c>
      <c r="L6220" s="59">
        <f t="shared" si="30"/>
        <v>0</v>
      </c>
      <c r="M6220" s="59">
        <f t="shared" si="31"/>
        <v>0</v>
      </c>
    </row>
    <row r="6221" ht="15.0" hidden="1" customHeight="1">
      <c r="A6221" s="59">
        <f t="shared" si="20"/>
        <v>100</v>
      </c>
      <c r="B6221" s="59" t="str">
        <f t="shared" si="21"/>
        <v/>
      </c>
      <c r="C6221" s="59" t="str">
        <f t="shared" si="22"/>
        <v/>
      </c>
      <c r="D6221" s="45" t="str">
        <f t="shared" si="23"/>
        <v/>
      </c>
      <c r="E6221" s="45" t="str">
        <f t="shared" si="24"/>
        <v/>
      </c>
      <c r="F6221" s="59" t="str">
        <f t="shared" si="25"/>
        <v/>
      </c>
      <c r="G6221" s="59" t="str">
        <f t="shared" si="26"/>
        <v/>
      </c>
      <c r="H6221" s="59" t="str">
        <f t="shared" si="27"/>
        <v>Máy phát điện</v>
      </c>
      <c r="I6221" s="59" t="str">
        <f>IF(OR($A6221="",$C6221="",$D6221="",$E6221="",$H6221=""),"",SUMIFS(DATA_GOC!$H:$H,DATA_GOC!$A:$A,"BOM",DATA_GOC!$D:$D,$H6221,DATA_GOC!$E:$E,$C6221,DATA_GOC!$F:$F,"Xuất nội bộ từ téc",DATA_GOC!$B:$B,"&gt;="&amp;$D6221,DATA_GOC!$B:$B,"&lt;="&amp;$E6221))</f>
        <v/>
      </c>
      <c r="J6221" s="59">
        <f t="shared" si="28"/>
        <v>0</v>
      </c>
      <c r="K6221" s="59">
        <f t="shared" si="29"/>
        <v>0</v>
      </c>
      <c r="L6221" s="59">
        <f t="shared" si="30"/>
        <v>0</v>
      </c>
      <c r="M6221" s="59">
        <f t="shared" si="31"/>
        <v>0</v>
      </c>
    </row>
    <row r="6222" ht="15.0" hidden="1" customHeight="1">
      <c r="A6222" s="59">
        <f t="shared" si="20"/>
        <v>100</v>
      </c>
      <c r="B6222" s="59" t="str">
        <f t="shared" si="21"/>
        <v/>
      </c>
      <c r="C6222" s="59" t="str">
        <f t="shared" si="22"/>
        <v/>
      </c>
      <c r="D6222" s="45" t="str">
        <f t="shared" si="23"/>
        <v/>
      </c>
      <c r="E6222" s="45" t="str">
        <f t="shared" si="24"/>
        <v/>
      </c>
      <c r="F6222" s="59" t="str">
        <f t="shared" si="25"/>
        <v/>
      </c>
      <c r="G6222" s="59" t="str">
        <f t="shared" si="26"/>
        <v/>
      </c>
      <c r="H6222" s="59" t="str">
        <f t="shared" si="27"/>
        <v>Máy rải thảm</v>
      </c>
      <c r="I6222" s="59" t="str">
        <f>IF(OR($A6222="",$C6222="",$D6222="",$E6222="",$H6222=""),"",SUMIFS(DATA_GOC!$H:$H,DATA_GOC!$A:$A,"BOM",DATA_GOC!$D:$D,$H6222,DATA_GOC!$E:$E,$C6222,DATA_GOC!$F:$F,"Xuất nội bộ từ téc",DATA_GOC!$B:$B,"&gt;="&amp;$D6222,DATA_GOC!$B:$B,"&lt;="&amp;$E6222))</f>
        <v/>
      </c>
      <c r="J6222" s="59">
        <f t="shared" si="28"/>
        <v>0</v>
      </c>
      <c r="K6222" s="59">
        <f t="shared" si="29"/>
        <v>0</v>
      </c>
      <c r="L6222" s="59">
        <f t="shared" si="30"/>
        <v>0</v>
      </c>
      <c r="M6222" s="59">
        <f t="shared" si="31"/>
        <v>0</v>
      </c>
    </row>
    <row r="6223" ht="15.0" hidden="1" customHeight="1">
      <c r="A6223" s="59">
        <f t="shared" si="20"/>
        <v>100</v>
      </c>
      <c r="B6223" s="59" t="str">
        <f t="shared" si="21"/>
        <v/>
      </c>
      <c r="C6223" s="59" t="str">
        <f t="shared" si="22"/>
        <v/>
      </c>
      <c r="D6223" s="45" t="str">
        <f t="shared" si="23"/>
        <v/>
      </c>
      <c r="E6223" s="45" t="str">
        <f t="shared" si="24"/>
        <v/>
      </c>
      <c r="F6223" s="59" t="str">
        <f t="shared" si="25"/>
        <v/>
      </c>
      <c r="G6223" s="59" t="str">
        <f t="shared" si="26"/>
        <v/>
      </c>
      <c r="H6223" s="59" t="str">
        <f t="shared" si="27"/>
        <v>Xúc Đào</v>
      </c>
      <c r="I6223" s="59" t="str">
        <f>IF(OR($A6223="",$C6223="",$D6223="",$E6223="",$H6223=""),"",SUMIFS(DATA_GOC!$H:$H,DATA_GOC!$A:$A,"BOM",DATA_GOC!$D:$D,$H6223,DATA_GOC!$E:$E,$C6223,DATA_GOC!$F:$F,"Xuất nội bộ từ téc",DATA_GOC!$B:$B,"&gt;="&amp;$D6223,DATA_GOC!$B:$B,"&lt;="&amp;$E6223))</f>
        <v/>
      </c>
      <c r="J6223" s="59">
        <f t="shared" si="28"/>
        <v>0</v>
      </c>
      <c r="K6223" s="59">
        <f t="shared" si="29"/>
        <v>0</v>
      </c>
      <c r="L6223" s="59">
        <f t="shared" si="30"/>
        <v>0</v>
      </c>
      <c r="M6223" s="59">
        <f t="shared" si="31"/>
        <v>0</v>
      </c>
    </row>
    <row r="6224" ht="15.0" hidden="1" customHeight="1">
      <c r="A6224" s="59">
        <f t="shared" si="20"/>
        <v>100</v>
      </c>
      <c r="B6224" s="59" t="str">
        <f t="shared" si="21"/>
        <v/>
      </c>
      <c r="C6224" s="59" t="str">
        <f t="shared" si="22"/>
        <v/>
      </c>
      <c r="D6224" s="45" t="str">
        <f t="shared" si="23"/>
        <v/>
      </c>
      <c r="E6224" s="45" t="str">
        <f t="shared" si="24"/>
        <v/>
      </c>
      <c r="F6224" s="59" t="str">
        <f t="shared" si="25"/>
        <v/>
      </c>
      <c r="G6224" s="59" t="str">
        <f t="shared" si="26"/>
        <v/>
      </c>
      <c r="H6224" s="59" t="str">
        <f t="shared" si="27"/>
        <v>Xúclật asphalt</v>
      </c>
      <c r="I6224" s="59" t="str">
        <f>IF(OR($A6224="",$C6224="",$D6224="",$E6224="",$H6224=""),"",SUMIFS(DATA_GOC!$H:$H,DATA_GOC!$A:$A,"BOM",DATA_GOC!$D:$D,$H6224,DATA_GOC!$E:$E,$C6224,DATA_GOC!$F:$F,"Xuất nội bộ từ téc",DATA_GOC!$B:$B,"&gt;="&amp;$D6224,DATA_GOC!$B:$B,"&lt;="&amp;$E6224))</f>
        <v/>
      </c>
      <c r="J6224" s="59">
        <f t="shared" si="28"/>
        <v>0</v>
      </c>
      <c r="K6224" s="59">
        <f t="shared" si="29"/>
        <v>0</v>
      </c>
      <c r="L6224" s="59">
        <f t="shared" si="30"/>
        <v>0</v>
      </c>
      <c r="M6224" s="59">
        <f t="shared" si="31"/>
        <v>0</v>
      </c>
    </row>
    <row r="6225" ht="15.0" hidden="1" customHeight="1">
      <c r="A6225" s="59">
        <f t="shared" si="20"/>
        <v>100</v>
      </c>
      <c r="B6225" s="59" t="str">
        <f t="shared" si="21"/>
        <v/>
      </c>
      <c r="C6225" s="59" t="str">
        <f t="shared" si="22"/>
        <v/>
      </c>
      <c r="D6225" s="45" t="str">
        <f t="shared" si="23"/>
        <v/>
      </c>
      <c r="E6225" s="45" t="str">
        <f t="shared" si="24"/>
        <v/>
      </c>
      <c r="F6225" s="59" t="str">
        <f t="shared" si="25"/>
        <v/>
      </c>
      <c r="G6225" s="59" t="str">
        <f t="shared" si="26"/>
        <v/>
      </c>
      <c r="H6225" s="59" t="str">
        <f t="shared" si="27"/>
        <v>Xúclật855H</v>
      </c>
      <c r="I6225" s="59" t="str">
        <f>IF(OR($A6225="",$C6225="",$D6225="",$E6225="",$H6225=""),"",SUMIFS(DATA_GOC!$H:$H,DATA_GOC!$A:$A,"BOM",DATA_GOC!$D:$D,$H6225,DATA_GOC!$E:$E,$C6225,DATA_GOC!$F:$F,"Xuất nội bộ từ téc",DATA_GOC!$B:$B,"&gt;="&amp;$D6225,DATA_GOC!$B:$B,"&lt;="&amp;$E6225))</f>
        <v/>
      </c>
      <c r="J6225" s="59">
        <f t="shared" si="28"/>
        <v>0</v>
      </c>
      <c r="K6225" s="59">
        <f t="shared" si="29"/>
        <v>0</v>
      </c>
      <c r="L6225" s="59">
        <f t="shared" si="30"/>
        <v>0</v>
      </c>
      <c r="M6225" s="59">
        <f t="shared" si="31"/>
        <v>0</v>
      </c>
    </row>
    <row r="6226" ht="15.0" hidden="1" customHeight="1">
      <c r="A6226" s="59">
        <f t="shared" si="20"/>
        <v>100</v>
      </c>
      <c r="B6226" s="59" t="str">
        <f t="shared" si="21"/>
        <v/>
      </c>
      <c r="C6226" s="59" t="str">
        <f t="shared" si="22"/>
        <v/>
      </c>
      <c r="D6226" s="45" t="str">
        <f t="shared" si="23"/>
        <v/>
      </c>
      <c r="E6226" s="45" t="str">
        <f t="shared" si="24"/>
        <v/>
      </c>
      <c r="F6226" s="59" t="str">
        <f t="shared" si="25"/>
        <v/>
      </c>
      <c r="G6226" s="59" t="str">
        <f t="shared" si="26"/>
        <v/>
      </c>
      <c r="H6226" s="59" t="str">
        <f t="shared" si="27"/>
        <v>Xúclật855N</v>
      </c>
      <c r="I6226" s="59" t="str">
        <f>IF(OR($A6226="",$C6226="",$D6226="",$E6226="",$H6226=""),"",SUMIFS(DATA_GOC!$H:$H,DATA_GOC!$A:$A,"BOM",DATA_GOC!$D:$D,$H6226,DATA_GOC!$E:$E,$C6226,DATA_GOC!$F:$F,"Xuất nội bộ từ téc",DATA_GOC!$B:$B,"&gt;="&amp;$D6226,DATA_GOC!$B:$B,"&lt;="&amp;$E6226))</f>
        <v/>
      </c>
      <c r="J6226" s="59">
        <f t="shared" si="28"/>
        <v>0</v>
      </c>
      <c r="K6226" s="59">
        <f t="shared" si="29"/>
        <v>0</v>
      </c>
      <c r="L6226" s="59">
        <f t="shared" si="30"/>
        <v>0</v>
      </c>
      <c r="M6226" s="59">
        <f t="shared" si="31"/>
        <v>0</v>
      </c>
    </row>
    <row r="6227" ht="15.0" hidden="1" customHeight="1">
      <c r="A6227" s="59">
        <f t="shared" si="20"/>
        <v>100</v>
      </c>
      <c r="B6227" s="59" t="str">
        <f t="shared" si="21"/>
        <v/>
      </c>
      <c r="C6227" s="59" t="str">
        <f t="shared" si="22"/>
        <v/>
      </c>
      <c r="D6227" s="45" t="str">
        <f t="shared" si="23"/>
        <v/>
      </c>
      <c r="E6227" s="45" t="str">
        <f t="shared" si="24"/>
        <v/>
      </c>
      <c r="F6227" s="59" t="str">
        <f t="shared" si="25"/>
        <v/>
      </c>
      <c r="G6227" s="59" t="str">
        <f t="shared" si="26"/>
        <v/>
      </c>
      <c r="H6227" s="59" t="str">
        <f t="shared" si="27"/>
        <v>Cát nghiền</v>
      </c>
      <c r="I6227" s="59" t="str">
        <f>IF(OR($A6227="",$C6227="",$D6227="",$E6227="",$H6227=""),"",SUMIFS(DATA_GOC!$H:$H,DATA_GOC!$A:$A,"BOM",DATA_GOC!$D:$D,$H6227,DATA_GOC!$E:$E,$C6227,DATA_GOC!$F:$F,"Xuất nội bộ từ téc",DATA_GOC!$B:$B,"&gt;="&amp;$D6227,DATA_GOC!$B:$B,"&lt;="&amp;$E6227))</f>
        <v/>
      </c>
      <c r="J6227" s="59">
        <f t="shared" si="28"/>
        <v>0</v>
      </c>
      <c r="K6227" s="59">
        <f t="shared" si="29"/>
        <v>0</v>
      </c>
      <c r="L6227" s="59">
        <f t="shared" si="30"/>
        <v>0</v>
      </c>
      <c r="M6227" s="59">
        <f t="shared" si="31"/>
        <v>0</v>
      </c>
    </row>
    <row r="6228" ht="15.0" hidden="1" customHeight="1">
      <c r="A6228" s="59">
        <f t="shared" si="20"/>
        <v>100</v>
      </c>
      <c r="B6228" s="59" t="str">
        <f t="shared" si="21"/>
        <v/>
      </c>
      <c r="C6228" s="59" t="str">
        <f t="shared" si="22"/>
        <v/>
      </c>
      <c r="D6228" s="45" t="str">
        <f t="shared" si="23"/>
        <v/>
      </c>
      <c r="E6228" s="45" t="str">
        <f t="shared" si="24"/>
        <v/>
      </c>
      <c r="F6228" s="59" t="str">
        <f t="shared" si="25"/>
        <v/>
      </c>
      <c r="G6228" s="59" t="str">
        <f t="shared" si="26"/>
        <v/>
      </c>
      <c r="H6228" s="59" t="str">
        <f t="shared" si="27"/>
        <v>28C02973</v>
      </c>
      <c r="I6228" s="59" t="str">
        <f>IF(OR($A6228="",$C6228="",$D6228="",$E6228="",$H6228=""),"",SUMIFS(DATA_GOC!$H:$H,DATA_GOC!$A:$A,"BOM",DATA_GOC!$D:$D,$H6228,DATA_GOC!$E:$E,$C6228,DATA_GOC!$F:$F,"Xuất nội bộ từ téc",DATA_GOC!$B:$B,"&gt;="&amp;$D6228,DATA_GOC!$B:$B,"&lt;="&amp;$E6228))</f>
        <v/>
      </c>
      <c r="J6228" s="59">
        <f t="shared" si="28"/>
        <v>0</v>
      </c>
      <c r="K6228" s="59">
        <f t="shared" si="29"/>
        <v>0</v>
      </c>
      <c r="L6228" s="59">
        <f t="shared" si="30"/>
        <v>0</v>
      </c>
      <c r="M6228" s="59">
        <f t="shared" si="31"/>
        <v>0</v>
      </c>
    </row>
    <row r="6229" ht="15.0" hidden="1" customHeight="1">
      <c r="A6229" s="59">
        <f t="shared" si="20"/>
        <v>100</v>
      </c>
      <c r="B6229" s="59" t="str">
        <f t="shared" si="21"/>
        <v/>
      </c>
      <c r="C6229" s="59" t="str">
        <f t="shared" si="22"/>
        <v/>
      </c>
      <c r="D6229" s="45" t="str">
        <f t="shared" si="23"/>
        <v/>
      </c>
      <c r="E6229" s="45" t="str">
        <f t="shared" si="24"/>
        <v/>
      </c>
      <c r="F6229" s="59" t="str">
        <f t="shared" si="25"/>
        <v/>
      </c>
      <c r="G6229" s="59" t="str">
        <f t="shared" si="26"/>
        <v/>
      </c>
      <c r="H6229" s="59" t="str">
        <f t="shared" si="27"/>
        <v>28C03044</v>
      </c>
      <c r="I6229" s="59" t="str">
        <f>IF(OR($A6229="",$C6229="",$D6229="",$E6229="",$H6229=""),"",SUMIFS(DATA_GOC!$H:$H,DATA_GOC!$A:$A,"BOM",DATA_GOC!$D:$D,$H6229,DATA_GOC!$E:$E,$C6229,DATA_GOC!$F:$F,"Xuất nội bộ từ téc",DATA_GOC!$B:$B,"&gt;="&amp;$D6229,DATA_GOC!$B:$B,"&lt;="&amp;$E6229))</f>
        <v/>
      </c>
      <c r="J6229" s="59">
        <f t="shared" si="28"/>
        <v>0</v>
      </c>
      <c r="K6229" s="59">
        <f t="shared" si="29"/>
        <v>0</v>
      </c>
      <c r="L6229" s="59">
        <f t="shared" si="30"/>
        <v>0</v>
      </c>
      <c r="M6229" s="59">
        <f t="shared" si="31"/>
        <v>0</v>
      </c>
    </row>
    <row r="6230" ht="15.0" hidden="1" customHeight="1">
      <c r="A6230" s="59">
        <f t="shared" si="20"/>
        <v>100</v>
      </c>
      <c r="B6230" s="59" t="str">
        <f t="shared" si="21"/>
        <v/>
      </c>
      <c r="C6230" s="59" t="str">
        <f t="shared" si="22"/>
        <v/>
      </c>
      <c r="D6230" s="45" t="str">
        <f t="shared" si="23"/>
        <v/>
      </c>
      <c r="E6230" s="45" t="str">
        <f t="shared" si="24"/>
        <v/>
      </c>
      <c r="F6230" s="59" t="str">
        <f t="shared" si="25"/>
        <v/>
      </c>
      <c r="G6230" s="59" t="str">
        <f t="shared" si="26"/>
        <v/>
      </c>
      <c r="H6230" s="59" t="str">
        <f t="shared" si="27"/>
        <v>Máy lu lốp</v>
      </c>
      <c r="I6230" s="59" t="str">
        <f>IF(OR($A6230="",$C6230="",$D6230="",$E6230="",$H6230=""),"",SUMIFS(DATA_GOC!$H:$H,DATA_GOC!$A:$A,"BOM",DATA_GOC!$D:$D,$H6230,DATA_GOC!$E:$E,$C6230,DATA_GOC!$F:$F,"Xuất nội bộ từ téc",DATA_GOC!$B:$B,"&gt;="&amp;$D6230,DATA_GOC!$B:$B,"&lt;="&amp;$E6230))</f>
        <v/>
      </c>
      <c r="J6230" s="59">
        <f t="shared" si="28"/>
        <v>0</v>
      </c>
      <c r="K6230" s="59">
        <f t="shared" si="29"/>
        <v>0</v>
      </c>
      <c r="L6230" s="59">
        <f t="shared" si="30"/>
        <v>0</v>
      </c>
      <c r="M6230" s="59">
        <f t="shared" si="31"/>
        <v>0</v>
      </c>
    </row>
    <row r="6231" ht="15.0" hidden="1" customHeight="1">
      <c r="A6231" s="59">
        <f t="shared" si="20"/>
        <v>100</v>
      </c>
      <c r="B6231" s="59" t="str">
        <f t="shared" si="21"/>
        <v/>
      </c>
      <c r="C6231" s="59" t="str">
        <f t="shared" si="22"/>
        <v/>
      </c>
      <c r="D6231" s="45" t="str">
        <f t="shared" si="23"/>
        <v/>
      </c>
      <c r="E6231" s="45" t="str">
        <f t="shared" si="24"/>
        <v/>
      </c>
      <c r="F6231" s="59" t="str">
        <f t="shared" si="25"/>
        <v/>
      </c>
      <c r="G6231" s="59" t="str">
        <f t="shared" si="26"/>
        <v/>
      </c>
      <c r="H6231" s="59" t="str">
        <f t="shared" si="27"/>
        <v>Xe 600148</v>
      </c>
      <c r="I6231" s="59" t="str">
        <f>IF(OR($A6231="",$C6231="",$D6231="",$E6231="",$H6231=""),"",SUMIFS(DATA_GOC!$H:$H,DATA_GOC!$A:$A,"BOM",DATA_GOC!$D:$D,$H6231,DATA_GOC!$E:$E,$C6231,DATA_GOC!$F:$F,"Xuất nội bộ từ téc",DATA_GOC!$B:$B,"&gt;="&amp;$D6231,DATA_GOC!$B:$B,"&lt;="&amp;$E6231))</f>
        <v/>
      </c>
      <c r="J6231" s="59">
        <f t="shared" si="28"/>
        <v>0</v>
      </c>
      <c r="K6231" s="59">
        <f t="shared" si="29"/>
        <v>0</v>
      </c>
      <c r="L6231" s="59">
        <f t="shared" si="30"/>
        <v>0</v>
      </c>
      <c r="M6231" s="59">
        <f t="shared" si="31"/>
        <v>0</v>
      </c>
    </row>
    <row r="6232" ht="15.0" hidden="1" customHeight="1">
      <c r="A6232" s="59">
        <f t="shared" si="20"/>
        <v>100</v>
      </c>
      <c r="B6232" s="59" t="str">
        <f t="shared" si="21"/>
        <v/>
      </c>
      <c r="C6232" s="59" t="str">
        <f t="shared" si="22"/>
        <v/>
      </c>
      <c r="D6232" s="45" t="str">
        <f t="shared" si="23"/>
        <v/>
      </c>
      <c r="E6232" s="45" t="str">
        <f t="shared" si="24"/>
        <v/>
      </c>
      <c r="F6232" s="59" t="str">
        <f t="shared" si="25"/>
        <v/>
      </c>
      <c r="G6232" s="59" t="str">
        <f t="shared" si="26"/>
        <v/>
      </c>
      <c r="H6232" s="59" t="str">
        <f t="shared" si="27"/>
        <v>Xe ben mới</v>
      </c>
      <c r="I6232" s="59" t="str">
        <f>IF(OR($A6232="",$C6232="",$D6232="",$E6232="",$H6232=""),"",SUMIFS(DATA_GOC!$H:$H,DATA_GOC!$A:$A,"BOM",DATA_GOC!$D:$D,$H6232,DATA_GOC!$E:$E,$C6232,DATA_GOC!$F:$F,"Xuất nội bộ từ téc",DATA_GOC!$B:$B,"&gt;="&amp;$D6232,DATA_GOC!$B:$B,"&lt;="&amp;$E6232))</f>
        <v/>
      </c>
      <c r="J6232" s="59">
        <f t="shared" si="28"/>
        <v>0</v>
      </c>
      <c r="K6232" s="59">
        <f t="shared" si="29"/>
        <v>0</v>
      </c>
      <c r="L6232" s="59">
        <f t="shared" si="30"/>
        <v>0</v>
      </c>
      <c r="M6232" s="59">
        <f t="shared" si="31"/>
        <v>0</v>
      </c>
    </row>
    <row r="6233" ht="15.0" hidden="1" customHeight="1">
      <c r="A6233" s="59">
        <f t="shared" si="20"/>
        <v>101</v>
      </c>
      <c r="B6233" s="59" t="str">
        <f t="shared" si="21"/>
        <v/>
      </c>
      <c r="C6233" s="59" t="str">
        <f t="shared" si="22"/>
        <v/>
      </c>
      <c r="D6233" s="45" t="str">
        <f t="shared" si="23"/>
        <v/>
      </c>
      <c r="E6233" s="45" t="str">
        <f t="shared" si="24"/>
        <v/>
      </c>
      <c r="F6233" s="59" t="str">
        <f t="shared" si="25"/>
        <v/>
      </c>
      <c r="G6233" s="59" t="str">
        <f t="shared" si="26"/>
        <v/>
      </c>
      <c r="H6233" s="59" t="str">
        <f t="shared" si="27"/>
        <v>19H09482</v>
      </c>
      <c r="I6233" s="59" t="str">
        <f>IF(OR($A6233="",$C6233="",$D6233="",$E6233="",$H6233=""),"",SUMIFS(DATA_GOC!$H:$H,DATA_GOC!$A:$A,"BOM",DATA_GOC!$D:$D,$H6233,DATA_GOC!$E:$E,$C6233,DATA_GOC!$F:$F,"Xuất nội bộ từ téc",DATA_GOC!$B:$B,"&gt;="&amp;$D6233,DATA_GOC!$B:$B,"&lt;="&amp;$E6233))</f>
        <v/>
      </c>
      <c r="J6233" s="59">
        <f t="shared" si="28"/>
        <v>0</v>
      </c>
      <c r="K6233" s="59">
        <f t="shared" si="29"/>
        <v>0</v>
      </c>
      <c r="L6233" s="59">
        <f t="shared" si="30"/>
        <v>0</v>
      </c>
      <c r="M6233" s="59">
        <f t="shared" si="31"/>
        <v>0</v>
      </c>
    </row>
    <row r="6234" ht="15.0" hidden="1" customHeight="1">
      <c r="A6234" s="59">
        <f t="shared" si="20"/>
        <v>101</v>
      </c>
      <c r="B6234" s="59" t="str">
        <f t="shared" si="21"/>
        <v/>
      </c>
      <c r="C6234" s="59" t="str">
        <f t="shared" si="22"/>
        <v/>
      </c>
      <c r="D6234" s="45" t="str">
        <f t="shared" si="23"/>
        <v/>
      </c>
      <c r="E6234" s="45" t="str">
        <f t="shared" si="24"/>
        <v/>
      </c>
      <c r="F6234" s="59" t="str">
        <f t="shared" si="25"/>
        <v/>
      </c>
      <c r="G6234" s="59" t="str">
        <f t="shared" si="26"/>
        <v/>
      </c>
      <c r="H6234" s="59" t="str">
        <f t="shared" si="27"/>
        <v>28A30696</v>
      </c>
      <c r="I6234" s="59" t="str">
        <f>IF(OR($A6234="",$C6234="",$D6234="",$E6234="",$H6234=""),"",SUMIFS(DATA_GOC!$H:$H,DATA_GOC!$A:$A,"BOM",DATA_GOC!$D:$D,$H6234,DATA_GOC!$E:$E,$C6234,DATA_GOC!$F:$F,"Xuất nội bộ từ téc",DATA_GOC!$B:$B,"&gt;="&amp;$D6234,DATA_GOC!$B:$B,"&lt;="&amp;$E6234))</f>
        <v/>
      </c>
      <c r="J6234" s="59">
        <f t="shared" si="28"/>
        <v>0</v>
      </c>
      <c r="K6234" s="59">
        <f t="shared" si="29"/>
        <v>0</v>
      </c>
      <c r="L6234" s="59">
        <f t="shared" si="30"/>
        <v>0</v>
      </c>
      <c r="M6234" s="59">
        <f t="shared" si="31"/>
        <v>0</v>
      </c>
    </row>
    <row r="6235" ht="15.0" hidden="1" customHeight="1">
      <c r="A6235" s="59">
        <f t="shared" si="20"/>
        <v>101</v>
      </c>
      <c r="B6235" s="59" t="str">
        <f t="shared" si="21"/>
        <v/>
      </c>
      <c r="C6235" s="59" t="str">
        <f t="shared" si="22"/>
        <v/>
      </c>
      <c r="D6235" s="45" t="str">
        <f t="shared" si="23"/>
        <v/>
      </c>
      <c r="E6235" s="45" t="str">
        <f t="shared" si="24"/>
        <v/>
      </c>
      <c r="F6235" s="59" t="str">
        <f t="shared" si="25"/>
        <v/>
      </c>
      <c r="G6235" s="59" t="str">
        <f t="shared" si="26"/>
        <v/>
      </c>
      <c r="H6235" s="59" t="str">
        <f t="shared" si="27"/>
        <v>28C00462</v>
      </c>
      <c r="I6235" s="59" t="str">
        <f>IF(OR($A6235="",$C6235="",$D6235="",$E6235="",$H6235=""),"",SUMIFS(DATA_GOC!$H:$H,DATA_GOC!$A:$A,"BOM",DATA_GOC!$D:$D,$H6235,DATA_GOC!$E:$E,$C6235,DATA_GOC!$F:$F,"Xuất nội bộ từ téc",DATA_GOC!$B:$B,"&gt;="&amp;$D6235,DATA_GOC!$B:$B,"&lt;="&amp;$E6235))</f>
        <v/>
      </c>
      <c r="J6235" s="59">
        <f t="shared" si="28"/>
        <v>0</v>
      </c>
      <c r="K6235" s="59">
        <f t="shared" si="29"/>
        <v>0</v>
      </c>
      <c r="L6235" s="59">
        <f t="shared" si="30"/>
        <v>0</v>
      </c>
      <c r="M6235" s="59">
        <f t="shared" si="31"/>
        <v>0</v>
      </c>
    </row>
    <row r="6236" ht="15.0" hidden="1" customHeight="1">
      <c r="A6236" s="59">
        <f t="shared" si="20"/>
        <v>101</v>
      </c>
      <c r="B6236" s="59" t="str">
        <f t="shared" si="21"/>
        <v/>
      </c>
      <c r="C6236" s="59" t="str">
        <f t="shared" si="22"/>
        <v/>
      </c>
      <c r="D6236" s="45" t="str">
        <f t="shared" si="23"/>
        <v/>
      </c>
      <c r="E6236" s="45" t="str">
        <f t="shared" si="24"/>
        <v/>
      </c>
      <c r="F6236" s="59" t="str">
        <f t="shared" si="25"/>
        <v/>
      </c>
      <c r="G6236" s="59" t="str">
        <f t="shared" si="26"/>
        <v/>
      </c>
      <c r="H6236" s="59" t="str">
        <f t="shared" si="27"/>
        <v>28C01165</v>
      </c>
      <c r="I6236" s="59" t="str">
        <f>IF(OR($A6236="",$C6236="",$D6236="",$E6236="",$H6236=""),"",SUMIFS(DATA_GOC!$H:$H,DATA_GOC!$A:$A,"BOM",DATA_GOC!$D:$D,$H6236,DATA_GOC!$E:$E,$C6236,DATA_GOC!$F:$F,"Xuất nội bộ từ téc",DATA_GOC!$B:$B,"&gt;="&amp;$D6236,DATA_GOC!$B:$B,"&lt;="&amp;$E6236))</f>
        <v/>
      </c>
      <c r="J6236" s="59">
        <f t="shared" si="28"/>
        <v>0</v>
      </c>
      <c r="K6236" s="59">
        <f t="shared" si="29"/>
        <v>0</v>
      </c>
      <c r="L6236" s="59">
        <f t="shared" si="30"/>
        <v>0</v>
      </c>
      <c r="M6236" s="59">
        <f t="shared" si="31"/>
        <v>0</v>
      </c>
    </row>
    <row r="6237" ht="15.0" hidden="1" customHeight="1">
      <c r="A6237" s="59">
        <f t="shared" si="20"/>
        <v>101</v>
      </c>
      <c r="B6237" s="59" t="str">
        <f t="shared" si="21"/>
        <v/>
      </c>
      <c r="C6237" s="59" t="str">
        <f t="shared" si="22"/>
        <v/>
      </c>
      <c r="D6237" s="45" t="str">
        <f t="shared" si="23"/>
        <v/>
      </c>
      <c r="E6237" s="45" t="str">
        <f t="shared" si="24"/>
        <v/>
      </c>
      <c r="F6237" s="59" t="str">
        <f t="shared" si="25"/>
        <v/>
      </c>
      <c r="G6237" s="59" t="str">
        <f t="shared" si="26"/>
        <v/>
      </c>
      <c r="H6237" s="59" t="str">
        <f t="shared" si="27"/>
        <v>28C01406</v>
      </c>
      <c r="I6237" s="59" t="str">
        <f>IF(OR($A6237="",$C6237="",$D6237="",$E6237="",$H6237=""),"",SUMIFS(DATA_GOC!$H:$H,DATA_GOC!$A:$A,"BOM",DATA_GOC!$D:$D,$H6237,DATA_GOC!$E:$E,$C6237,DATA_GOC!$F:$F,"Xuất nội bộ từ téc",DATA_GOC!$B:$B,"&gt;="&amp;$D6237,DATA_GOC!$B:$B,"&lt;="&amp;$E6237))</f>
        <v/>
      </c>
      <c r="J6237" s="59">
        <f t="shared" si="28"/>
        <v>0</v>
      </c>
      <c r="K6237" s="59">
        <f t="shared" si="29"/>
        <v>0</v>
      </c>
      <c r="L6237" s="59">
        <f t="shared" si="30"/>
        <v>0</v>
      </c>
      <c r="M6237" s="59">
        <f t="shared" si="31"/>
        <v>0</v>
      </c>
    </row>
    <row r="6238" ht="15.0" hidden="1" customHeight="1">
      <c r="A6238" s="59">
        <f t="shared" si="20"/>
        <v>101</v>
      </c>
      <c r="B6238" s="59" t="str">
        <f t="shared" si="21"/>
        <v/>
      </c>
      <c r="C6238" s="59" t="str">
        <f t="shared" si="22"/>
        <v/>
      </c>
      <c r="D6238" s="45" t="str">
        <f t="shared" si="23"/>
        <v/>
      </c>
      <c r="E6238" s="45" t="str">
        <f t="shared" si="24"/>
        <v/>
      </c>
      <c r="F6238" s="59" t="str">
        <f t="shared" si="25"/>
        <v/>
      </c>
      <c r="G6238" s="59" t="str">
        <f t="shared" si="26"/>
        <v/>
      </c>
      <c r="H6238" s="59" t="str">
        <f t="shared" si="27"/>
        <v>28C01544</v>
      </c>
      <c r="I6238" s="59" t="str">
        <f>IF(OR($A6238="",$C6238="",$D6238="",$E6238="",$H6238=""),"",SUMIFS(DATA_GOC!$H:$H,DATA_GOC!$A:$A,"BOM",DATA_GOC!$D:$D,$H6238,DATA_GOC!$E:$E,$C6238,DATA_GOC!$F:$F,"Xuất nội bộ từ téc",DATA_GOC!$B:$B,"&gt;="&amp;$D6238,DATA_GOC!$B:$B,"&lt;="&amp;$E6238))</f>
        <v/>
      </c>
      <c r="J6238" s="59">
        <f t="shared" si="28"/>
        <v>0</v>
      </c>
      <c r="K6238" s="59">
        <f t="shared" si="29"/>
        <v>0</v>
      </c>
      <c r="L6238" s="59">
        <f t="shared" si="30"/>
        <v>0</v>
      </c>
      <c r="M6238" s="59">
        <f t="shared" si="31"/>
        <v>0</v>
      </c>
    </row>
    <row r="6239" ht="15.0" hidden="1" customHeight="1">
      <c r="A6239" s="59">
        <f t="shared" si="20"/>
        <v>101</v>
      </c>
      <c r="B6239" s="59" t="str">
        <f t="shared" si="21"/>
        <v/>
      </c>
      <c r="C6239" s="59" t="str">
        <f t="shared" si="22"/>
        <v/>
      </c>
      <c r="D6239" s="45" t="str">
        <f t="shared" si="23"/>
        <v/>
      </c>
      <c r="E6239" s="45" t="str">
        <f t="shared" si="24"/>
        <v/>
      </c>
      <c r="F6239" s="59" t="str">
        <f t="shared" si="25"/>
        <v/>
      </c>
      <c r="G6239" s="59" t="str">
        <f t="shared" si="26"/>
        <v/>
      </c>
      <c r="H6239" s="59" t="str">
        <f t="shared" si="27"/>
        <v>28C01622</v>
      </c>
      <c r="I6239" s="59" t="str">
        <f>IF(OR($A6239="",$C6239="",$D6239="",$E6239="",$H6239=""),"",SUMIFS(DATA_GOC!$H:$H,DATA_GOC!$A:$A,"BOM",DATA_GOC!$D:$D,$H6239,DATA_GOC!$E:$E,$C6239,DATA_GOC!$F:$F,"Xuất nội bộ từ téc",DATA_GOC!$B:$B,"&gt;="&amp;$D6239,DATA_GOC!$B:$B,"&lt;="&amp;$E6239))</f>
        <v/>
      </c>
      <c r="J6239" s="59">
        <f t="shared" si="28"/>
        <v>0</v>
      </c>
      <c r="K6239" s="59">
        <f t="shared" si="29"/>
        <v>0</v>
      </c>
      <c r="L6239" s="59">
        <f t="shared" si="30"/>
        <v>0</v>
      </c>
      <c r="M6239" s="59">
        <f t="shared" si="31"/>
        <v>0</v>
      </c>
    </row>
    <row r="6240" ht="15.0" hidden="1" customHeight="1">
      <c r="A6240" s="59">
        <f t="shared" si="20"/>
        <v>101</v>
      </c>
      <c r="B6240" s="59" t="str">
        <f t="shared" si="21"/>
        <v/>
      </c>
      <c r="C6240" s="59" t="str">
        <f t="shared" si="22"/>
        <v/>
      </c>
      <c r="D6240" s="45" t="str">
        <f t="shared" si="23"/>
        <v/>
      </c>
      <c r="E6240" s="45" t="str">
        <f t="shared" si="24"/>
        <v/>
      </c>
      <c r="F6240" s="59" t="str">
        <f t="shared" si="25"/>
        <v/>
      </c>
      <c r="G6240" s="59" t="str">
        <f t="shared" si="26"/>
        <v/>
      </c>
      <c r="H6240" s="59" t="str">
        <f t="shared" si="27"/>
        <v>28C01647</v>
      </c>
      <c r="I6240" s="59" t="str">
        <f>IF(OR($A6240="",$C6240="",$D6240="",$E6240="",$H6240=""),"",SUMIFS(DATA_GOC!$H:$H,DATA_GOC!$A:$A,"BOM",DATA_GOC!$D:$D,$H6240,DATA_GOC!$E:$E,$C6240,DATA_GOC!$F:$F,"Xuất nội bộ từ téc",DATA_GOC!$B:$B,"&gt;="&amp;$D6240,DATA_GOC!$B:$B,"&lt;="&amp;$E6240))</f>
        <v/>
      </c>
      <c r="J6240" s="59">
        <f t="shared" si="28"/>
        <v>0</v>
      </c>
      <c r="K6240" s="59">
        <f t="shared" si="29"/>
        <v>0</v>
      </c>
      <c r="L6240" s="59">
        <f t="shared" si="30"/>
        <v>0</v>
      </c>
      <c r="M6240" s="59">
        <f t="shared" si="31"/>
        <v>0</v>
      </c>
    </row>
    <row r="6241" ht="15.0" hidden="1" customHeight="1">
      <c r="A6241" s="59">
        <f t="shared" si="20"/>
        <v>101</v>
      </c>
      <c r="B6241" s="59" t="str">
        <f t="shared" si="21"/>
        <v/>
      </c>
      <c r="C6241" s="59" t="str">
        <f t="shared" si="22"/>
        <v/>
      </c>
      <c r="D6241" s="45" t="str">
        <f t="shared" si="23"/>
        <v/>
      </c>
      <c r="E6241" s="45" t="str">
        <f t="shared" si="24"/>
        <v/>
      </c>
      <c r="F6241" s="59" t="str">
        <f t="shared" si="25"/>
        <v/>
      </c>
      <c r="G6241" s="59" t="str">
        <f t="shared" si="26"/>
        <v/>
      </c>
      <c r="H6241" s="59" t="str">
        <f t="shared" si="27"/>
        <v>28C01731</v>
      </c>
      <c r="I6241" s="59" t="str">
        <f>IF(OR($A6241="",$C6241="",$D6241="",$E6241="",$H6241=""),"",SUMIFS(DATA_GOC!$H:$H,DATA_GOC!$A:$A,"BOM",DATA_GOC!$D:$D,$H6241,DATA_GOC!$E:$E,$C6241,DATA_GOC!$F:$F,"Xuất nội bộ từ téc",DATA_GOC!$B:$B,"&gt;="&amp;$D6241,DATA_GOC!$B:$B,"&lt;="&amp;$E6241))</f>
        <v/>
      </c>
      <c r="J6241" s="59">
        <f t="shared" si="28"/>
        <v>0</v>
      </c>
      <c r="K6241" s="59">
        <f t="shared" si="29"/>
        <v>0</v>
      </c>
      <c r="L6241" s="59">
        <f t="shared" si="30"/>
        <v>0</v>
      </c>
      <c r="M6241" s="59">
        <f t="shared" si="31"/>
        <v>0</v>
      </c>
    </row>
    <row r="6242" ht="15.0" hidden="1" customHeight="1">
      <c r="A6242" s="59">
        <f t="shared" si="20"/>
        <v>101</v>
      </c>
      <c r="B6242" s="59" t="str">
        <f t="shared" si="21"/>
        <v/>
      </c>
      <c r="C6242" s="59" t="str">
        <f t="shared" si="22"/>
        <v/>
      </c>
      <c r="D6242" s="45" t="str">
        <f t="shared" si="23"/>
        <v/>
      </c>
      <c r="E6242" s="45" t="str">
        <f t="shared" si="24"/>
        <v/>
      </c>
      <c r="F6242" s="59" t="str">
        <f t="shared" si="25"/>
        <v/>
      </c>
      <c r="G6242" s="59" t="str">
        <f t="shared" si="26"/>
        <v/>
      </c>
      <c r="H6242" s="59" t="str">
        <f t="shared" si="27"/>
        <v>28C01743</v>
      </c>
      <c r="I6242" s="59" t="str">
        <f>IF(OR($A6242="",$C6242="",$D6242="",$E6242="",$H6242=""),"",SUMIFS(DATA_GOC!$H:$H,DATA_GOC!$A:$A,"BOM",DATA_GOC!$D:$D,$H6242,DATA_GOC!$E:$E,$C6242,DATA_GOC!$F:$F,"Xuất nội bộ từ téc",DATA_GOC!$B:$B,"&gt;="&amp;$D6242,DATA_GOC!$B:$B,"&lt;="&amp;$E6242))</f>
        <v/>
      </c>
      <c r="J6242" s="59">
        <f t="shared" si="28"/>
        <v>0</v>
      </c>
      <c r="K6242" s="59">
        <f t="shared" si="29"/>
        <v>0</v>
      </c>
      <c r="L6242" s="59">
        <f t="shared" si="30"/>
        <v>0</v>
      </c>
      <c r="M6242" s="59">
        <f t="shared" si="31"/>
        <v>0</v>
      </c>
    </row>
    <row r="6243" ht="15.0" hidden="1" customHeight="1">
      <c r="A6243" s="59">
        <f t="shared" si="20"/>
        <v>101</v>
      </c>
      <c r="B6243" s="59" t="str">
        <f t="shared" si="21"/>
        <v/>
      </c>
      <c r="C6243" s="59" t="str">
        <f t="shared" si="22"/>
        <v/>
      </c>
      <c r="D6243" s="45" t="str">
        <f t="shared" si="23"/>
        <v/>
      </c>
      <c r="E6243" s="45" t="str">
        <f t="shared" si="24"/>
        <v/>
      </c>
      <c r="F6243" s="59" t="str">
        <f t="shared" si="25"/>
        <v/>
      </c>
      <c r="G6243" s="59" t="str">
        <f t="shared" si="26"/>
        <v/>
      </c>
      <c r="H6243" s="59" t="str">
        <f t="shared" si="27"/>
        <v>28C02106</v>
      </c>
      <c r="I6243" s="59" t="str">
        <f>IF(OR($A6243="",$C6243="",$D6243="",$E6243="",$H6243=""),"",SUMIFS(DATA_GOC!$H:$H,DATA_GOC!$A:$A,"BOM",DATA_GOC!$D:$D,$H6243,DATA_GOC!$E:$E,$C6243,DATA_GOC!$F:$F,"Xuất nội bộ từ téc",DATA_GOC!$B:$B,"&gt;="&amp;$D6243,DATA_GOC!$B:$B,"&lt;="&amp;$E6243))</f>
        <v/>
      </c>
      <c r="J6243" s="59">
        <f t="shared" si="28"/>
        <v>0</v>
      </c>
      <c r="K6243" s="59">
        <f t="shared" si="29"/>
        <v>0</v>
      </c>
      <c r="L6243" s="59">
        <f t="shared" si="30"/>
        <v>0</v>
      </c>
      <c r="M6243" s="59">
        <f t="shared" si="31"/>
        <v>0</v>
      </c>
    </row>
    <row r="6244" ht="15.0" hidden="1" customHeight="1">
      <c r="A6244" s="59">
        <f t="shared" si="20"/>
        <v>101</v>
      </c>
      <c r="B6244" s="59" t="str">
        <f t="shared" si="21"/>
        <v/>
      </c>
      <c r="C6244" s="59" t="str">
        <f t="shared" si="22"/>
        <v/>
      </c>
      <c r="D6244" s="45" t="str">
        <f t="shared" si="23"/>
        <v/>
      </c>
      <c r="E6244" s="45" t="str">
        <f t="shared" si="24"/>
        <v/>
      </c>
      <c r="F6244" s="59" t="str">
        <f t="shared" si="25"/>
        <v/>
      </c>
      <c r="G6244" s="59" t="str">
        <f t="shared" si="26"/>
        <v/>
      </c>
      <c r="H6244" s="59" t="str">
        <f t="shared" si="27"/>
        <v>28C02410</v>
      </c>
      <c r="I6244" s="59" t="str">
        <f>IF(OR($A6244="",$C6244="",$D6244="",$E6244="",$H6244=""),"",SUMIFS(DATA_GOC!$H:$H,DATA_GOC!$A:$A,"BOM",DATA_GOC!$D:$D,$H6244,DATA_GOC!$E:$E,$C6244,DATA_GOC!$F:$F,"Xuất nội bộ từ téc",DATA_GOC!$B:$B,"&gt;="&amp;$D6244,DATA_GOC!$B:$B,"&lt;="&amp;$E6244))</f>
        <v/>
      </c>
      <c r="J6244" s="59">
        <f t="shared" si="28"/>
        <v>0</v>
      </c>
      <c r="K6244" s="59">
        <f t="shared" si="29"/>
        <v>0</v>
      </c>
      <c r="L6244" s="59">
        <f t="shared" si="30"/>
        <v>0</v>
      </c>
      <c r="M6244" s="59">
        <f t="shared" si="31"/>
        <v>0</v>
      </c>
    </row>
    <row r="6245" ht="15.0" hidden="1" customHeight="1">
      <c r="A6245" s="59">
        <f t="shared" si="20"/>
        <v>101</v>
      </c>
      <c r="B6245" s="59" t="str">
        <f t="shared" si="21"/>
        <v/>
      </c>
      <c r="C6245" s="59" t="str">
        <f t="shared" si="22"/>
        <v/>
      </c>
      <c r="D6245" s="45" t="str">
        <f t="shared" si="23"/>
        <v/>
      </c>
      <c r="E6245" s="45" t="str">
        <f t="shared" si="24"/>
        <v/>
      </c>
      <c r="F6245" s="59" t="str">
        <f t="shared" si="25"/>
        <v/>
      </c>
      <c r="G6245" s="59" t="str">
        <f t="shared" si="26"/>
        <v/>
      </c>
      <c r="H6245" s="59" t="str">
        <f t="shared" si="27"/>
        <v>28C02545</v>
      </c>
      <c r="I6245" s="59" t="str">
        <f>IF(OR($A6245="",$C6245="",$D6245="",$E6245="",$H6245=""),"",SUMIFS(DATA_GOC!$H:$H,DATA_GOC!$A:$A,"BOM",DATA_GOC!$D:$D,$H6245,DATA_GOC!$E:$E,$C6245,DATA_GOC!$F:$F,"Xuất nội bộ từ téc",DATA_GOC!$B:$B,"&gt;="&amp;$D6245,DATA_GOC!$B:$B,"&lt;="&amp;$E6245))</f>
        <v/>
      </c>
      <c r="J6245" s="59">
        <f t="shared" si="28"/>
        <v>0</v>
      </c>
      <c r="K6245" s="59">
        <f t="shared" si="29"/>
        <v>0</v>
      </c>
      <c r="L6245" s="59">
        <f t="shared" si="30"/>
        <v>0</v>
      </c>
      <c r="M6245" s="59">
        <f t="shared" si="31"/>
        <v>0</v>
      </c>
    </row>
    <row r="6246" ht="15.0" hidden="1" customHeight="1">
      <c r="A6246" s="59">
        <f t="shared" si="20"/>
        <v>101</v>
      </c>
      <c r="B6246" s="59" t="str">
        <f t="shared" si="21"/>
        <v/>
      </c>
      <c r="C6246" s="59" t="str">
        <f t="shared" si="22"/>
        <v/>
      </c>
      <c r="D6246" s="45" t="str">
        <f t="shared" si="23"/>
        <v/>
      </c>
      <c r="E6246" s="45" t="str">
        <f t="shared" si="24"/>
        <v/>
      </c>
      <c r="F6246" s="59" t="str">
        <f t="shared" si="25"/>
        <v/>
      </c>
      <c r="G6246" s="59" t="str">
        <f t="shared" si="26"/>
        <v/>
      </c>
      <c r="H6246" s="59" t="str">
        <f t="shared" si="27"/>
        <v>28C02574</v>
      </c>
      <c r="I6246" s="59" t="str">
        <f>IF(OR($A6246="",$C6246="",$D6246="",$E6246="",$H6246=""),"",SUMIFS(DATA_GOC!$H:$H,DATA_GOC!$A:$A,"BOM",DATA_GOC!$D:$D,$H6246,DATA_GOC!$E:$E,$C6246,DATA_GOC!$F:$F,"Xuất nội bộ từ téc",DATA_GOC!$B:$B,"&gt;="&amp;$D6246,DATA_GOC!$B:$B,"&lt;="&amp;$E6246))</f>
        <v/>
      </c>
      <c r="J6246" s="59">
        <f t="shared" si="28"/>
        <v>0</v>
      </c>
      <c r="K6246" s="59">
        <f t="shared" si="29"/>
        <v>0</v>
      </c>
      <c r="L6246" s="59">
        <f t="shared" si="30"/>
        <v>0</v>
      </c>
      <c r="M6246" s="59">
        <f t="shared" si="31"/>
        <v>0</v>
      </c>
    </row>
    <row r="6247" ht="15.0" hidden="1" customHeight="1">
      <c r="A6247" s="59">
        <f t="shared" si="20"/>
        <v>101</v>
      </c>
      <c r="B6247" s="59" t="str">
        <f t="shared" si="21"/>
        <v/>
      </c>
      <c r="C6247" s="59" t="str">
        <f t="shared" si="22"/>
        <v/>
      </c>
      <c r="D6247" s="45" t="str">
        <f t="shared" si="23"/>
        <v/>
      </c>
      <c r="E6247" s="45" t="str">
        <f t="shared" si="24"/>
        <v/>
      </c>
      <c r="F6247" s="59" t="str">
        <f t="shared" si="25"/>
        <v/>
      </c>
      <c r="G6247" s="59" t="str">
        <f t="shared" si="26"/>
        <v/>
      </c>
      <c r="H6247" s="59" t="str">
        <f t="shared" si="27"/>
        <v>28C02770</v>
      </c>
      <c r="I6247" s="59" t="str">
        <f>IF(OR($A6247="",$C6247="",$D6247="",$E6247="",$H6247=""),"",SUMIFS(DATA_GOC!$H:$H,DATA_GOC!$A:$A,"BOM",DATA_GOC!$D:$D,$H6247,DATA_GOC!$E:$E,$C6247,DATA_GOC!$F:$F,"Xuất nội bộ từ téc",DATA_GOC!$B:$B,"&gt;="&amp;$D6247,DATA_GOC!$B:$B,"&lt;="&amp;$E6247))</f>
        <v/>
      </c>
      <c r="J6247" s="59">
        <f t="shared" si="28"/>
        <v>0</v>
      </c>
      <c r="K6247" s="59">
        <f t="shared" si="29"/>
        <v>0</v>
      </c>
      <c r="L6247" s="59">
        <f t="shared" si="30"/>
        <v>0</v>
      </c>
      <c r="M6247" s="59">
        <f t="shared" si="31"/>
        <v>0</v>
      </c>
    </row>
    <row r="6248" ht="15.0" hidden="1" customHeight="1">
      <c r="A6248" s="59">
        <f t="shared" si="20"/>
        <v>101</v>
      </c>
      <c r="B6248" s="59" t="str">
        <f t="shared" si="21"/>
        <v/>
      </c>
      <c r="C6248" s="59" t="str">
        <f t="shared" si="22"/>
        <v/>
      </c>
      <c r="D6248" s="45" t="str">
        <f t="shared" si="23"/>
        <v/>
      </c>
      <c r="E6248" s="45" t="str">
        <f t="shared" si="24"/>
        <v/>
      </c>
      <c r="F6248" s="59" t="str">
        <f t="shared" si="25"/>
        <v/>
      </c>
      <c r="G6248" s="59" t="str">
        <f t="shared" si="26"/>
        <v/>
      </c>
      <c r="H6248" s="59" t="str">
        <f t="shared" si="27"/>
        <v>28C02986</v>
      </c>
      <c r="I6248" s="59" t="str">
        <f>IF(OR($A6248="",$C6248="",$D6248="",$E6248="",$H6248=""),"",SUMIFS(DATA_GOC!$H:$H,DATA_GOC!$A:$A,"BOM",DATA_GOC!$D:$D,$H6248,DATA_GOC!$E:$E,$C6248,DATA_GOC!$F:$F,"Xuất nội bộ từ téc",DATA_GOC!$B:$B,"&gt;="&amp;$D6248,DATA_GOC!$B:$B,"&lt;="&amp;$E6248))</f>
        <v/>
      </c>
      <c r="J6248" s="59">
        <f t="shared" si="28"/>
        <v>0</v>
      </c>
      <c r="K6248" s="59">
        <f t="shared" si="29"/>
        <v>0</v>
      </c>
      <c r="L6248" s="59">
        <f t="shared" si="30"/>
        <v>0</v>
      </c>
      <c r="M6248" s="59">
        <f t="shared" si="31"/>
        <v>0</v>
      </c>
    </row>
    <row r="6249" ht="15.0" hidden="1" customHeight="1">
      <c r="A6249" s="59">
        <f t="shared" si="20"/>
        <v>101</v>
      </c>
      <c r="B6249" s="59" t="str">
        <f t="shared" si="21"/>
        <v/>
      </c>
      <c r="C6249" s="59" t="str">
        <f t="shared" si="22"/>
        <v/>
      </c>
      <c r="D6249" s="45" t="str">
        <f t="shared" si="23"/>
        <v/>
      </c>
      <c r="E6249" s="45" t="str">
        <f t="shared" si="24"/>
        <v/>
      </c>
      <c r="F6249" s="59" t="str">
        <f t="shared" si="25"/>
        <v/>
      </c>
      <c r="G6249" s="59" t="str">
        <f t="shared" si="26"/>
        <v/>
      </c>
      <c r="H6249" s="59" t="str">
        <f t="shared" si="27"/>
        <v>28C03261</v>
      </c>
      <c r="I6249" s="59" t="str">
        <f>IF(OR($A6249="",$C6249="",$D6249="",$E6249="",$H6249=""),"",SUMIFS(DATA_GOC!$H:$H,DATA_GOC!$A:$A,"BOM",DATA_GOC!$D:$D,$H6249,DATA_GOC!$E:$E,$C6249,DATA_GOC!$F:$F,"Xuất nội bộ từ téc",DATA_GOC!$B:$B,"&gt;="&amp;$D6249,DATA_GOC!$B:$B,"&lt;="&amp;$E6249))</f>
        <v/>
      </c>
      <c r="J6249" s="59">
        <f t="shared" si="28"/>
        <v>0</v>
      </c>
      <c r="K6249" s="59">
        <f t="shared" si="29"/>
        <v>0</v>
      </c>
      <c r="L6249" s="59">
        <f t="shared" si="30"/>
        <v>0</v>
      </c>
      <c r="M6249" s="59">
        <f t="shared" si="31"/>
        <v>0</v>
      </c>
    </row>
    <row r="6250" ht="15.0" hidden="1" customHeight="1">
      <c r="A6250" s="59">
        <f t="shared" si="20"/>
        <v>101</v>
      </c>
      <c r="B6250" s="59" t="str">
        <f t="shared" si="21"/>
        <v/>
      </c>
      <c r="C6250" s="59" t="str">
        <f t="shared" si="22"/>
        <v/>
      </c>
      <c r="D6250" s="45" t="str">
        <f t="shared" si="23"/>
        <v/>
      </c>
      <c r="E6250" s="45" t="str">
        <f t="shared" si="24"/>
        <v/>
      </c>
      <c r="F6250" s="59" t="str">
        <f t="shared" si="25"/>
        <v/>
      </c>
      <c r="G6250" s="59" t="str">
        <f t="shared" si="26"/>
        <v/>
      </c>
      <c r="H6250" s="59" t="str">
        <f t="shared" si="27"/>
        <v>28C03323</v>
      </c>
      <c r="I6250" s="59" t="str">
        <f>IF(OR($A6250="",$C6250="",$D6250="",$E6250="",$H6250=""),"",SUMIFS(DATA_GOC!$H:$H,DATA_GOC!$A:$A,"BOM",DATA_GOC!$D:$D,$H6250,DATA_GOC!$E:$E,$C6250,DATA_GOC!$F:$F,"Xuất nội bộ từ téc",DATA_GOC!$B:$B,"&gt;="&amp;$D6250,DATA_GOC!$B:$B,"&lt;="&amp;$E6250))</f>
        <v/>
      </c>
      <c r="J6250" s="59">
        <f t="shared" si="28"/>
        <v>0</v>
      </c>
      <c r="K6250" s="59">
        <f t="shared" si="29"/>
        <v>0</v>
      </c>
      <c r="L6250" s="59">
        <f t="shared" si="30"/>
        <v>0</v>
      </c>
      <c r="M6250" s="59">
        <f t="shared" si="31"/>
        <v>0</v>
      </c>
    </row>
    <row r="6251" ht="15.0" hidden="1" customHeight="1">
      <c r="A6251" s="59">
        <f t="shared" si="20"/>
        <v>101</v>
      </c>
      <c r="B6251" s="59" t="str">
        <f t="shared" si="21"/>
        <v/>
      </c>
      <c r="C6251" s="59" t="str">
        <f t="shared" si="22"/>
        <v/>
      </c>
      <c r="D6251" s="45" t="str">
        <f t="shared" si="23"/>
        <v/>
      </c>
      <c r="E6251" s="45" t="str">
        <f t="shared" si="24"/>
        <v/>
      </c>
      <c r="F6251" s="59" t="str">
        <f t="shared" si="25"/>
        <v/>
      </c>
      <c r="G6251" s="59" t="str">
        <f t="shared" si="26"/>
        <v/>
      </c>
      <c r="H6251" s="59" t="str">
        <f t="shared" si="27"/>
        <v>28C03385</v>
      </c>
      <c r="I6251" s="59" t="str">
        <f>IF(OR($A6251="",$C6251="",$D6251="",$E6251="",$H6251=""),"",SUMIFS(DATA_GOC!$H:$H,DATA_GOC!$A:$A,"BOM",DATA_GOC!$D:$D,$H6251,DATA_GOC!$E:$E,$C6251,DATA_GOC!$F:$F,"Xuất nội bộ từ téc",DATA_GOC!$B:$B,"&gt;="&amp;$D6251,DATA_GOC!$B:$B,"&lt;="&amp;$E6251))</f>
        <v/>
      </c>
      <c r="J6251" s="59">
        <f t="shared" si="28"/>
        <v>0</v>
      </c>
      <c r="K6251" s="59">
        <f t="shared" si="29"/>
        <v>0</v>
      </c>
      <c r="L6251" s="59">
        <f t="shared" si="30"/>
        <v>0</v>
      </c>
      <c r="M6251" s="59">
        <f t="shared" si="31"/>
        <v>0</v>
      </c>
    </row>
    <row r="6252" ht="15.0" hidden="1" customHeight="1">
      <c r="A6252" s="59">
        <f t="shared" si="20"/>
        <v>101</v>
      </c>
      <c r="B6252" s="59" t="str">
        <f t="shared" si="21"/>
        <v/>
      </c>
      <c r="C6252" s="59" t="str">
        <f t="shared" si="22"/>
        <v/>
      </c>
      <c r="D6252" s="45" t="str">
        <f t="shared" si="23"/>
        <v/>
      </c>
      <c r="E6252" s="45" t="str">
        <f t="shared" si="24"/>
        <v/>
      </c>
      <c r="F6252" s="59" t="str">
        <f t="shared" si="25"/>
        <v/>
      </c>
      <c r="G6252" s="59" t="str">
        <f t="shared" si="26"/>
        <v/>
      </c>
      <c r="H6252" s="59" t="str">
        <f t="shared" si="27"/>
        <v>28C03652</v>
      </c>
      <c r="I6252" s="59" t="str">
        <f>IF(OR($A6252="",$C6252="",$D6252="",$E6252="",$H6252=""),"",SUMIFS(DATA_GOC!$H:$H,DATA_GOC!$A:$A,"BOM",DATA_GOC!$D:$D,$H6252,DATA_GOC!$E:$E,$C6252,DATA_GOC!$F:$F,"Xuất nội bộ từ téc",DATA_GOC!$B:$B,"&gt;="&amp;$D6252,DATA_GOC!$B:$B,"&lt;="&amp;$E6252))</f>
        <v/>
      </c>
      <c r="J6252" s="59">
        <f t="shared" si="28"/>
        <v>0</v>
      </c>
      <c r="K6252" s="59">
        <f t="shared" si="29"/>
        <v>0</v>
      </c>
      <c r="L6252" s="59">
        <f t="shared" si="30"/>
        <v>0</v>
      </c>
      <c r="M6252" s="59">
        <f t="shared" si="31"/>
        <v>0</v>
      </c>
    </row>
    <row r="6253" ht="15.0" hidden="1" customHeight="1">
      <c r="A6253" s="59">
        <f t="shared" si="20"/>
        <v>101</v>
      </c>
      <c r="B6253" s="59" t="str">
        <f t="shared" si="21"/>
        <v/>
      </c>
      <c r="C6253" s="59" t="str">
        <f t="shared" si="22"/>
        <v/>
      </c>
      <c r="D6253" s="45" t="str">
        <f t="shared" si="23"/>
        <v/>
      </c>
      <c r="E6253" s="45" t="str">
        <f t="shared" si="24"/>
        <v/>
      </c>
      <c r="F6253" s="59" t="str">
        <f t="shared" si="25"/>
        <v/>
      </c>
      <c r="G6253" s="59" t="str">
        <f t="shared" si="26"/>
        <v/>
      </c>
      <c r="H6253" s="59" t="str">
        <f t="shared" si="27"/>
        <v>28C03695</v>
      </c>
      <c r="I6253" s="59" t="str">
        <f>IF(OR($A6253="",$C6253="",$D6253="",$E6253="",$H6253=""),"",SUMIFS(DATA_GOC!$H:$H,DATA_GOC!$A:$A,"BOM",DATA_GOC!$D:$D,$H6253,DATA_GOC!$E:$E,$C6253,DATA_GOC!$F:$F,"Xuất nội bộ từ téc",DATA_GOC!$B:$B,"&gt;="&amp;$D6253,DATA_GOC!$B:$B,"&lt;="&amp;$E6253))</f>
        <v/>
      </c>
      <c r="J6253" s="59">
        <f t="shared" si="28"/>
        <v>0</v>
      </c>
      <c r="K6253" s="59">
        <f t="shared" si="29"/>
        <v>0</v>
      </c>
      <c r="L6253" s="59">
        <f t="shared" si="30"/>
        <v>0</v>
      </c>
      <c r="M6253" s="59">
        <f t="shared" si="31"/>
        <v>0</v>
      </c>
    </row>
    <row r="6254" ht="15.0" hidden="1" customHeight="1">
      <c r="A6254" s="59">
        <f t="shared" si="20"/>
        <v>101</v>
      </c>
      <c r="B6254" s="59" t="str">
        <f t="shared" si="21"/>
        <v/>
      </c>
      <c r="C6254" s="59" t="str">
        <f t="shared" si="22"/>
        <v/>
      </c>
      <c r="D6254" s="45" t="str">
        <f t="shared" si="23"/>
        <v/>
      </c>
      <c r="E6254" s="45" t="str">
        <f t="shared" si="24"/>
        <v/>
      </c>
      <c r="F6254" s="59" t="str">
        <f t="shared" si="25"/>
        <v/>
      </c>
      <c r="G6254" s="59" t="str">
        <f t="shared" si="26"/>
        <v/>
      </c>
      <c r="H6254" s="59" t="str">
        <f t="shared" si="27"/>
        <v>28C03927</v>
      </c>
      <c r="I6254" s="59" t="str">
        <f>IF(OR($A6254="",$C6254="",$D6254="",$E6254="",$H6254=""),"",SUMIFS(DATA_GOC!$H:$H,DATA_GOC!$A:$A,"BOM",DATA_GOC!$D:$D,$H6254,DATA_GOC!$E:$E,$C6254,DATA_GOC!$F:$F,"Xuất nội bộ từ téc",DATA_GOC!$B:$B,"&gt;="&amp;$D6254,DATA_GOC!$B:$B,"&lt;="&amp;$E6254))</f>
        <v/>
      </c>
      <c r="J6254" s="59">
        <f t="shared" si="28"/>
        <v>0</v>
      </c>
      <c r="K6254" s="59">
        <f t="shared" si="29"/>
        <v>0</v>
      </c>
      <c r="L6254" s="59">
        <f t="shared" si="30"/>
        <v>0</v>
      </c>
      <c r="M6254" s="59">
        <f t="shared" si="31"/>
        <v>0</v>
      </c>
    </row>
    <row r="6255" ht="15.0" hidden="1" customHeight="1">
      <c r="A6255" s="59">
        <f t="shared" si="20"/>
        <v>101</v>
      </c>
      <c r="B6255" s="59" t="str">
        <f t="shared" si="21"/>
        <v/>
      </c>
      <c r="C6255" s="59" t="str">
        <f t="shared" si="22"/>
        <v/>
      </c>
      <c r="D6255" s="45" t="str">
        <f t="shared" si="23"/>
        <v/>
      </c>
      <c r="E6255" s="45" t="str">
        <f t="shared" si="24"/>
        <v/>
      </c>
      <c r="F6255" s="59" t="str">
        <f t="shared" si="25"/>
        <v/>
      </c>
      <c r="G6255" s="59" t="str">
        <f t="shared" si="26"/>
        <v/>
      </c>
      <c r="H6255" s="59" t="str">
        <f t="shared" si="27"/>
        <v>28C04509</v>
      </c>
      <c r="I6255" s="59" t="str">
        <f>IF(OR($A6255="",$C6255="",$D6255="",$E6255="",$H6255=""),"",SUMIFS(DATA_GOC!$H:$H,DATA_GOC!$A:$A,"BOM",DATA_GOC!$D:$D,$H6255,DATA_GOC!$E:$E,$C6255,DATA_GOC!$F:$F,"Xuất nội bộ từ téc",DATA_GOC!$B:$B,"&gt;="&amp;$D6255,DATA_GOC!$B:$B,"&lt;="&amp;$E6255))</f>
        <v/>
      </c>
      <c r="J6255" s="59">
        <f t="shared" si="28"/>
        <v>0</v>
      </c>
      <c r="K6255" s="59">
        <f t="shared" si="29"/>
        <v>0</v>
      </c>
      <c r="L6255" s="59">
        <f t="shared" si="30"/>
        <v>0</v>
      </c>
      <c r="M6255" s="59">
        <f t="shared" si="31"/>
        <v>0</v>
      </c>
    </row>
    <row r="6256" ht="15.0" hidden="1" customHeight="1">
      <c r="A6256" s="59">
        <f t="shared" si="20"/>
        <v>101</v>
      </c>
      <c r="B6256" s="59" t="str">
        <f t="shared" si="21"/>
        <v/>
      </c>
      <c r="C6256" s="59" t="str">
        <f t="shared" si="22"/>
        <v/>
      </c>
      <c r="D6256" s="45" t="str">
        <f t="shared" si="23"/>
        <v/>
      </c>
      <c r="E6256" s="45" t="str">
        <f t="shared" si="24"/>
        <v/>
      </c>
      <c r="F6256" s="59" t="str">
        <f t="shared" si="25"/>
        <v/>
      </c>
      <c r="G6256" s="59" t="str">
        <f t="shared" si="26"/>
        <v/>
      </c>
      <c r="H6256" s="59" t="str">
        <f t="shared" si="27"/>
        <v>28C04536</v>
      </c>
      <c r="I6256" s="59" t="str">
        <f>IF(OR($A6256="",$C6256="",$D6256="",$E6256="",$H6256=""),"",SUMIFS(DATA_GOC!$H:$H,DATA_GOC!$A:$A,"BOM",DATA_GOC!$D:$D,$H6256,DATA_GOC!$E:$E,$C6256,DATA_GOC!$F:$F,"Xuất nội bộ từ téc",DATA_GOC!$B:$B,"&gt;="&amp;$D6256,DATA_GOC!$B:$B,"&lt;="&amp;$E6256))</f>
        <v/>
      </c>
      <c r="J6256" s="59">
        <f t="shared" si="28"/>
        <v>0</v>
      </c>
      <c r="K6256" s="59">
        <f t="shared" si="29"/>
        <v>0</v>
      </c>
      <c r="L6256" s="59">
        <f t="shared" si="30"/>
        <v>0</v>
      </c>
      <c r="M6256" s="59">
        <f t="shared" si="31"/>
        <v>0</v>
      </c>
    </row>
    <row r="6257" ht="15.0" hidden="1" customHeight="1">
      <c r="A6257" s="59">
        <f t="shared" si="20"/>
        <v>101</v>
      </c>
      <c r="B6257" s="59" t="str">
        <f t="shared" si="21"/>
        <v/>
      </c>
      <c r="C6257" s="59" t="str">
        <f t="shared" si="22"/>
        <v/>
      </c>
      <c r="D6257" s="45" t="str">
        <f t="shared" si="23"/>
        <v/>
      </c>
      <c r="E6257" s="45" t="str">
        <f t="shared" si="24"/>
        <v/>
      </c>
      <c r="F6257" s="59" t="str">
        <f t="shared" si="25"/>
        <v/>
      </c>
      <c r="G6257" s="59" t="str">
        <f t="shared" si="26"/>
        <v/>
      </c>
      <c r="H6257" s="59" t="str">
        <f t="shared" si="27"/>
        <v>28C04576</v>
      </c>
      <c r="I6257" s="59" t="str">
        <f>IF(OR($A6257="",$C6257="",$D6257="",$E6257="",$H6257=""),"",SUMIFS(DATA_GOC!$H:$H,DATA_GOC!$A:$A,"BOM",DATA_GOC!$D:$D,$H6257,DATA_GOC!$E:$E,$C6257,DATA_GOC!$F:$F,"Xuất nội bộ từ téc",DATA_GOC!$B:$B,"&gt;="&amp;$D6257,DATA_GOC!$B:$B,"&lt;="&amp;$E6257))</f>
        <v/>
      </c>
      <c r="J6257" s="59">
        <f t="shared" si="28"/>
        <v>0</v>
      </c>
      <c r="K6257" s="59">
        <f t="shared" si="29"/>
        <v>0</v>
      </c>
      <c r="L6257" s="59">
        <f t="shared" si="30"/>
        <v>0</v>
      </c>
      <c r="M6257" s="59">
        <f t="shared" si="31"/>
        <v>0</v>
      </c>
    </row>
    <row r="6258" ht="15.0" hidden="1" customHeight="1">
      <c r="A6258" s="59">
        <f t="shared" si="20"/>
        <v>101</v>
      </c>
      <c r="B6258" s="59" t="str">
        <f t="shared" si="21"/>
        <v/>
      </c>
      <c r="C6258" s="59" t="str">
        <f t="shared" si="22"/>
        <v/>
      </c>
      <c r="D6258" s="45" t="str">
        <f t="shared" si="23"/>
        <v/>
      </c>
      <c r="E6258" s="45" t="str">
        <f t="shared" si="24"/>
        <v/>
      </c>
      <c r="F6258" s="59" t="str">
        <f t="shared" si="25"/>
        <v/>
      </c>
      <c r="G6258" s="59" t="str">
        <f t="shared" si="26"/>
        <v/>
      </c>
      <c r="H6258" s="59" t="str">
        <f t="shared" si="27"/>
        <v>28C05090</v>
      </c>
      <c r="I6258" s="59" t="str">
        <f>IF(OR($A6258="",$C6258="",$D6258="",$E6258="",$H6258=""),"",SUMIFS(DATA_GOC!$H:$H,DATA_GOC!$A:$A,"BOM",DATA_GOC!$D:$D,$H6258,DATA_GOC!$E:$E,$C6258,DATA_GOC!$F:$F,"Xuất nội bộ từ téc",DATA_GOC!$B:$B,"&gt;="&amp;$D6258,DATA_GOC!$B:$B,"&lt;="&amp;$E6258))</f>
        <v/>
      </c>
      <c r="J6258" s="59">
        <f t="shared" si="28"/>
        <v>0</v>
      </c>
      <c r="K6258" s="59">
        <f t="shared" si="29"/>
        <v>0</v>
      </c>
      <c r="L6258" s="59">
        <f t="shared" si="30"/>
        <v>0</v>
      </c>
      <c r="M6258" s="59">
        <f t="shared" si="31"/>
        <v>0</v>
      </c>
    </row>
    <row r="6259" ht="15.0" hidden="1" customHeight="1">
      <c r="A6259" s="59">
        <f t="shared" si="20"/>
        <v>101</v>
      </c>
      <c r="B6259" s="59" t="str">
        <f t="shared" si="21"/>
        <v/>
      </c>
      <c r="C6259" s="59" t="str">
        <f t="shared" si="22"/>
        <v/>
      </c>
      <c r="D6259" s="45" t="str">
        <f t="shared" si="23"/>
        <v/>
      </c>
      <c r="E6259" s="45" t="str">
        <f t="shared" si="24"/>
        <v/>
      </c>
      <c r="F6259" s="59" t="str">
        <f t="shared" si="25"/>
        <v/>
      </c>
      <c r="G6259" s="59" t="str">
        <f t="shared" si="26"/>
        <v/>
      </c>
      <c r="H6259" s="59" t="str">
        <f t="shared" si="27"/>
        <v>28C05345</v>
      </c>
      <c r="I6259" s="59" t="str">
        <f>IF(OR($A6259="",$C6259="",$D6259="",$E6259="",$H6259=""),"",SUMIFS(DATA_GOC!$H:$H,DATA_GOC!$A:$A,"BOM",DATA_GOC!$D:$D,$H6259,DATA_GOC!$E:$E,$C6259,DATA_GOC!$F:$F,"Xuất nội bộ từ téc",DATA_GOC!$B:$B,"&gt;="&amp;$D6259,DATA_GOC!$B:$B,"&lt;="&amp;$E6259))</f>
        <v/>
      </c>
      <c r="J6259" s="59">
        <f t="shared" si="28"/>
        <v>0</v>
      </c>
      <c r="K6259" s="59">
        <f t="shared" si="29"/>
        <v>0</v>
      </c>
      <c r="L6259" s="59">
        <f t="shared" si="30"/>
        <v>0</v>
      </c>
      <c r="M6259" s="59">
        <f t="shared" si="31"/>
        <v>0</v>
      </c>
    </row>
    <row r="6260" ht="15.0" hidden="1" customHeight="1">
      <c r="A6260" s="59">
        <f t="shared" si="20"/>
        <v>101</v>
      </c>
      <c r="B6260" s="59" t="str">
        <f t="shared" si="21"/>
        <v/>
      </c>
      <c r="C6260" s="59" t="str">
        <f t="shared" si="22"/>
        <v/>
      </c>
      <c r="D6260" s="45" t="str">
        <f t="shared" si="23"/>
        <v/>
      </c>
      <c r="E6260" s="45" t="str">
        <f t="shared" si="24"/>
        <v/>
      </c>
      <c r="F6260" s="59" t="str">
        <f t="shared" si="25"/>
        <v/>
      </c>
      <c r="G6260" s="59" t="str">
        <f t="shared" si="26"/>
        <v/>
      </c>
      <c r="H6260" s="59" t="str">
        <f t="shared" si="27"/>
        <v>28C05661</v>
      </c>
      <c r="I6260" s="59" t="str">
        <f>IF(OR($A6260="",$C6260="",$D6260="",$E6260="",$H6260=""),"",SUMIFS(DATA_GOC!$H:$H,DATA_GOC!$A:$A,"BOM",DATA_GOC!$D:$D,$H6260,DATA_GOC!$E:$E,$C6260,DATA_GOC!$F:$F,"Xuất nội bộ từ téc",DATA_GOC!$B:$B,"&gt;="&amp;$D6260,DATA_GOC!$B:$B,"&lt;="&amp;$E6260))</f>
        <v/>
      </c>
      <c r="J6260" s="59">
        <f t="shared" si="28"/>
        <v>0</v>
      </c>
      <c r="K6260" s="59">
        <f t="shared" si="29"/>
        <v>0</v>
      </c>
      <c r="L6260" s="59">
        <f t="shared" si="30"/>
        <v>0</v>
      </c>
      <c r="M6260" s="59">
        <f t="shared" si="31"/>
        <v>0</v>
      </c>
    </row>
    <row r="6261" ht="15.0" hidden="1" customHeight="1">
      <c r="A6261" s="59">
        <f t="shared" si="20"/>
        <v>101</v>
      </c>
      <c r="B6261" s="59" t="str">
        <f t="shared" si="21"/>
        <v/>
      </c>
      <c r="C6261" s="59" t="str">
        <f t="shared" si="22"/>
        <v/>
      </c>
      <c r="D6261" s="45" t="str">
        <f t="shared" si="23"/>
        <v/>
      </c>
      <c r="E6261" s="45" t="str">
        <f t="shared" si="24"/>
        <v/>
      </c>
      <c r="F6261" s="59" t="str">
        <f t="shared" si="25"/>
        <v/>
      </c>
      <c r="G6261" s="59" t="str">
        <f t="shared" si="26"/>
        <v/>
      </c>
      <c r="H6261" s="59" t="str">
        <f t="shared" si="27"/>
        <v>28C05739</v>
      </c>
      <c r="I6261" s="59" t="str">
        <f>IF(OR($A6261="",$C6261="",$D6261="",$E6261="",$H6261=""),"",SUMIFS(DATA_GOC!$H:$H,DATA_GOC!$A:$A,"BOM",DATA_GOC!$D:$D,$H6261,DATA_GOC!$E:$E,$C6261,DATA_GOC!$F:$F,"Xuất nội bộ từ téc",DATA_GOC!$B:$B,"&gt;="&amp;$D6261,DATA_GOC!$B:$B,"&lt;="&amp;$E6261))</f>
        <v/>
      </c>
      <c r="J6261" s="59">
        <f t="shared" si="28"/>
        <v>0</v>
      </c>
      <c r="K6261" s="59">
        <f t="shared" si="29"/>
        <v>0</v>
      </c>
      <c r="L6261" s="59">
        <f t="shared" si="30"/>
        <v>0</v>
      </c>
      <c r="M6261" s="59">
        <f t="shared" si="31"/>
        <v>0</v>
      </c>
    </row>
    <row r="6262" ht="15.0" hidden="1" customHeight="1">
      <c r="A6262" s="59">
        <f t="shared" si="20"/>
        <v>101</v>
      </c>
      <c r="B6262" s="59" t="str">
        <f t="shared" si="21"/>
        <v/>
      </c>
      <c r="C6262" s="59" t="str">
        <f t="shared" si="22"/>
        <v/>
      </c>
      <c r="D6262" s="45" t="str">
        <f t="shared" si="23"/>
        <v/>
      </c>
      <c r="E6262" s="45" t="str">
        <f t="shared" si="24"/>
        <v/>
      </c>
      <c r="F6262" s="59" t="str">
        <f t="shared" si="25"/>
        <v/>
      </c>
      <c r="G6262" s="59" t="str">
        <f t="shared" si="26"/>
        <v/>
      </c>
      <c r="H6262" s="59" t="str">
        <f t="shared" si="27"/>
        <v>28C06369</v>
      </c>
      <c r="I6262" s="59" t="str">
        <f>IF(OR($A6262="",$C6262="",$D6262="",$E6262="",$H6262=""),"",SUMIFS(DATA_GOC!$H:$H,DATA_GOC!$A:$A,"BOM",DATA_GOC!$D:$D,$H6262,DATA_GOC!$E:$E,$C6262,DATA_GOC!$F:$F,"Xuất nội bộ từ téc",DATA_GOC!$B:$B,"&gt;="&amp;$D6262,DATA_GOC!$B:$B,"&lt;="&amp;$E6262))</f>
        <v/>
      </c>
      <c r="J6262" s="59">
        <f t="shared" si="28"/>
        <v>0</v>
      </c>
      <c r="K6262" s="59">
        <f t="shared" si="29"/>
        <v>0</v>
      </c>
      <c r="L6262" s="59">
        <f t="shared" si="30"/>
        <v>0</v>
      </c>
      <c r="M6262" s="59">
        <f t="shared" si="31"/>
        <v>0</v>
      </c>
    </row>
    <row r="6263" ht="15.0" hidden="1" customHeight="1">
      <c r="A6263" s="59">
        <f t="shared" si="20"/>
        <v>101</v>
      </c>
      <c r="B6263" s="59" t="str">
        <f t="shared" si="21"/>
        <v/>
      </c>
      <c r="C6263" s="59" t="str">
        <f t="shared" si="22"/>
        <v/>
      </c>
      <c r="D6263" s="45" t="str">
        <f t="shared" si="23"/>
        <v/>
      </c>
      <c r="E6263" s="45" t="str">
        <f t="shared" si="24"/>
        <v/>
      </c>
      <c r="F6263" s="59" t="str">
        <f t="shared" si="25"/>
        <v/>
      </c>
      <c r="G6263" s="59" t="str">
        <f t="shared" si="26"/>
        <v/>
      </c>
      <c r="H6263" s="59" t="str">
        <f t="shared" si="27"/>
        <v>28C06447</v>
      </c>
      <c r="I6263" s="59" t="str">
        <f>IF(OR($A6263="",$C6263="",$D6263="",$E6263="",$H6263=""),"",SUMIFS(DATA_GOC!$H:$H,DATA_GOC!$A:$A,"BOM",DATA_GOC!$D:$D,$H6263,DATA_GOC!$E:$E,$C6263,DATA_GOC!$F:$F,"Xuất nội bộ từ téc",DATA_GOC!$B:$B,"&gt;="&amp;$D6263,DATA_GOC!$B:$B,"&lt;="&amp;$E6263))</f>
        <v/>
      </c>
      <c r="J6263" s="59">
        <f t="shared" si="28"/>
        <v>0</v>
      </c>
      <c r="K6263" s="59">
        <f t="shared" si="29"/>
        <v>0</v>
      </c>
      <c r="L6263" s="59">
        <f t="shared" si="30"/>
        <v>0</v>
      </c>
      <c r="M6263" s="59">
        <f t="shared" si="31"/>
        <v>0</v>
      </c>
    </row>
    <row r="6264" ht="15.0" hidden="1" customHeight="1">
      <c r="A6264" s="59">
        <f t="shared" si="20"/>
        <v>101</v>
      </c>
      <c r="B6264" s="59" t="str">
        <f t="shared" si="21"/>
        <v/>
      </c>
      <c r="C6264" s="59" t="str">
        <f t="shared" si="22"/>
        <v/>
      </c>
      <c r="D6264" s="45" t="str">
        <f t="shared" si="23"/>
        <v/>
      </c>
      <c r="E6264" s="45" t="str">
        <f t="shared" si="24"/>
        <v/>
      </c>
      <c r="F6264" s="59" t="str">
        <f t="shared" si="25"/>
        <v/>
      </c>
      <c r="G6264" s="59" t="str">
        <f t="shared" si="26"/>
        <v/>
      </c>
      <c r="H6264" s="59" t="str">
        <f t="shared" si="27"/>
        <v>28H00003</v>
      </c>
      <c r="I6264" s="59" t="str">
        <f>IF(OR($A6264="",$C6264="",$D6264="",$E6264="",$H6264=""),"",SUMIFS(DATA_GOC!$H:$H,DATA_GOC!$A:$A,"BOM",DATA_GOC!$D:$D,$H6264,DATA_GOC!$E:$E,$C6264,DATA_GOC!$F:$F,"Xuất nội bộ từ téc",DATA_GOC!$B:$B,"&gt;="&amp;$D6264,DATA_GOC!$B:$B,"&lt;="&amp;$E6264))</f>
        <v/>
      </c>
      <c r="J6264" s="59">
        <f t="shared" si="28"/>
        <v>0</v>
      </c>
      <c r="K6264" s="59">
        <f t="shared" si="29"/>
        <v>0</v>
      </c>
      <c r="L6264" s="59">
        <f t="shared" si="30"/>
        <v>0</v>
      </c>
      <c r="M6264" s="59">
        <f t="shared" si="31"/>
        <v>0</v>
      </c>
    </row>
    <row r="6265" ht="15.0" hidden="1" customHeight="1">
      <c r="A6265" s="59">
        <f t="shared" si="20"/>
        <v>101</v>
      </c>
      <c r="B6265" s="59" t="str">
        <f t="shared" si="21"/>
        <v/>
      </c>
      <c r="C6265" s="59" t="str">
        <f t="shared" si="22"/>
        <v/>
      </c>
      <c r="D6265" s="45" t="str">
        <f t="shared" si="23"/>
        <v/>
      </c>
      <c r="E6265" s="45" t="str">
        <f t="shared" si="24"/>
        <v/>
      </c>
      <c r="F6265" s="59" t="str">
        <f t="shared" si="25"/>
        <v/>
      </c>
      <c r="G6265" s="59" t="str">
        <f t="shared" si="26"/>
        <v/>
      </c>
      <c r="H6265" s="59" t="str">
        <f t="shared" si="27"/>
        <v>28H00061</v>
      </c>
      <c r="I6265" s="59" t="str">
        <f>IF(OR($A6265="",$C6265="",$D6265="",$E6265="",$H6265=""),"",SUMIFS(DATA_GOC!$H:$H,DATA_GOC!$A:$A,"BOM",DATA_GOC!$D:$D,$H6265,DATA_GOC!$E:$E,$C6265,DATA_GOC!$F:$F,"Xuất nội bộ từ téc",DATA_GOC!$B:$B,"&gt;="&amp;$D6265,DATA_GOC!$B:$B,"&lt;="&amp;$E6265))</f>
        <v/>
      </c>
      <c r="J6265" s="59">
        <f t="shared" si="28"/>
        <v>0</v>
      </c>
      <c r="K6265" s="59">
        <f t="shared" si="29"/>
        <v>0</v>
      </c>
      <c r="L6265" s="59">
        <f t="shared" si="30"/>
        <v>0</v>
      </c>
      <c r="M6265" s="59">
        <f t="shared" si="31"/>
        <v>0</v>
      </c>
    </row>
    <row r="6266" ht="15.0" hidden="1" customHeight="1">
      <c r="A6266" s="59">
        <f t="shared" si="20"/>
        <v>101</v>
      </c>
      <c r="B6266" s="59" t="str">
        <f t="shared" si="21"/>
        <v/>
      </c>
      <c r="C6266" s="59" t="str">
        <f t="shared" si="22"/>
        <v/>
      </c>
      <c r="D6266" s="45" t="str">
        <f t="shared" si="23"/>
        <v/>
      </c>
      <c r="E6266" s="45" t="str">
        <f t="shared" si="24"/>
        <v/>
      </c>
      <c r="F6266" s="59" t="str">
        <f t="shared" si="25"/>
        <v/>
      </c>
      <c r="G6266" s="59" t="str">
        <f t="shared" si="26"/>
        <v/>
      </c>
      <c r="H6266" s="59" t="str">
        <f t="shared" si="27"/>
        <v>28H00354</v>
      </c>
      <c r="I6266" s="59" t="str">
        <f>IF(OR($A6266="",$C6266="",$D6266="",$E6266="",$H6266=""),"",SUMIFS(DATA_GOC!$H:$H,DATA_GOC!$A:$A,"BOM",DATA_GOC!$D:$D,$H6266,DATA_GOC!$E:$E,$C6266,DATA_GOC!$F:$F,"Xuất nội bộ từ téc",DATA_GOC!$B:$B,"&gt;="&amp;$D6266,DATA_GOC!$B:$B,"&lt;="&amp;$E6266))</f>
        <v/>
      </c>
      <c r="J6266" s="59">
        <f t="shared" si="28"/>
        <v>0</v>
      </c>
      <c r="K6266" s="59">
        <f t="shared" si="29"/>
        <v>0</v>
      </c>
      <c r="L6266" s="59">
        <f t="shared" si="30"/>
        <v>0</v>
      </c>
      <c r="M6266" s="59">
        <f t="shared" si="31"/>
        <v>0</v>
      </c>
    </row>
    <row r="6267" ht="15.0" hidden="1" customHeight="1">
      <c r="A6267" s="59">
        <f t="shared" si="20"/>
        <v>101</v>
      </c>
      <c r="B6267" s="59" t="str">
        <f t="shared" si="21"/>
        <v/>
      </c>
      <c r="C6267" s="59" t="str">
        <f t="shared" si="22"/>
        <v/>
      </c>
      <c r="D6267" s="45" t="str">
        <f t="shared" si="23"/>
        <v/>
      </c>
      <c r="E6267" s="45" t="str">
        <f t="shared" si="24"/>
        <v/>
      </c>
      <c r="F6267" s="59" t="str">
        <f t="shared" si="25"/>
        <v/>
      </c>
      <c r="G6267" s="59" t="str">
        <f t="shared" si="26"/>
        <v/>
      </c>
      <c r="H6267" s="59" t="str">
        <f t="shared" si="27"/>
        <v>28H00603</v>
      </c>
      <c r="I6267" s="59" t="str">
        <f>IF(OR($A6267="",$C6267="",$D6267="",$E6267="",$H6267=""),"",SUMIFS(DATA_GOC!$H:$H,DATA_GOC!$A:$A,"BOM",DATA_GOC!$D:$D,$H6267,DATA_GOC!$E:$E,$C6267,DATA_GOC!$F:$F,"Xuất nội bộ từ téc",DATA_GOC!$B:$B,"&gt;="&amp;$D6267,DATA_GOC!$B:$B,"&lt;="&amp;$E6267))</f>
        <v/>
      </c>
      <c r="J6267" s="59">
        <f t="shared" si="28"/>
        <v>0</v>
      </c>
      <c r="K6267" s="59">
        <f t="shared" si="29"/>
        <v>0</v>
      </c>
      <c r="L6267" s="59">
        <f t="shared" si="30"/>
        <v>0</v>
      </c>
      <c r="M6267" s="59">
        <f t="shared" si="31"/>
        <v>0</v>
      </c>
    </row>
    <row r="6268" ht="15.0" hidden="1" customHeight="1">
      <c r="A6268" s="59">
        <f t="shared" si="20"/>
        <v>101</v>
      </c>
      <c r="B6268" s="59" t="str">
        <f t="shared" si="21"/>
        <v/>
      </c>
      <c r="C6268" s="59" t="str">
        <f t="shared" si="22"/>
        <v/>
      </c>
      <c r="D6268" s="45" t="str">
        <f t="shared" si="23"/>
        <v/>
      </c>
      <c r="E6268" s="45" t="str">
        <f t="shared" si="24"/>
        <v/>
      </c>
      <c r="F6268" s="59" t="str">
        <f t="shared" si="25"/>
        <v/>
      </c>
      <c r="G6268" s="59" t="str">
        <f t="shared" si="26"/>
        <v/>
      </c>
      <c r="H6268" s="59" t="str">
        <f t="shared" si="27"/>
        <v>28H00609</v>
      </c>
      <c r="I6268" s="59" t="str">
        <f>IF(OR($A6268="",$C6268="",$D6268="",$E6268="",$H6268=""),"",SUMIFS(DATA_GOC!$H:$H,DATA_GOC!$A:$A,"BOM",DATA_GOC!$D:$D,$H6268,DATA_GOC!$E:$E,$C6268,DATA_GOC!$F:$F,"Xuất nội bộ từ téc",DATA_GOC!$B:$B,"&gt;="&amp;$D6268,DATA_GOC!$B:$B,"&lt;="&amp;$E6268))</f>
        <v/>
      </c>
      <c r="J6268" s="59">
        <f t="shared" si="28"/>
        <v>0</v>
      </c>
      <c r="K6268" s="59">
        <f t="shared" si="29"/>
        <v>0</v>
      </c>
      <c r="L6268" s="59">
        <f t="shared" si="30"/>
        <v>0</v>
      </c>
      <c r="M6268" s="59">
        <f t="shared" si="31"/>
        <v>0</v>
      </c>
    </row>
    <row r="6269" ht="15.0" hidden="1" customHeight="1">
      <c r="A6269" s="59">
        <f t="shared" si="20"/>
        <v>101</v>
      </c>
      <c r="B6269" s="59" t="str">
        <f t="shared" si="21"/>
        <v/>
      </c>
      <c r="C6269" s="59" t="str">
        <f t="shared" si="22"/>
        <v/>
      </c>
      <c r="D6269" s="45" t="str">
        <f t="shared" si="23"/>
        <v/>
      </c>
      <c r="E6269" s="45" t="str">
        <f t="shared" si="24"/>
        <v/>
      </c>
      <c r="F6269" s="59" t="str">
        <f t="shared" si="25"/>
        <v/>
      </c>
      <c r="G6269" s="59" t="str">
        <f t="shared" si="26"/>
        <v/>
      </c>
      <c r="H6269" s="59" t="str">
        <f t="shared" si="27"/>
        <v>28H00669</v>
      </c>
      <c r="I6269" s="59" t="str">
        <f>IF(OR($A6269="",$C6269="",$D6269="",$E6269="",$H6269=""),"",SUMIFS(DATA_GOC!$H:$H,DATA_GOC!$A:$A,"BOM",DATA_GOC!$D:$D,$H6269,DATA_GOC!$E:$E,$C6269,DATA_GOC!$F:$F,"Xuất nội bộ từ téc",DATA_GOC!$B:$B,"&gt;="&amp;$D6269,DATA_GOC!$B:$B,"&lt;="&amp;$E6269))</f>
        <v/>
      </c>
      <c r="J6269" s="59">
        <f t="shared" si="28"/>
        <v>0</v>
      </c>
      <c r="K6269" s="59">
        <f t="shared" si="29"/>
        <v>0</v>
      </c>
      <c r="L6269" s="59">
        <f t="shared" si="30"/>
        <v>0</v>
      </c>
      <c r="M6269" s="59">
        <f t="shared" si="31"/>
        <v>0</v>
      </c>
    </row>
    <row r="6270" ht="15.0" hidden="1" customHeight="1">
      <c r="A6270" s="59">
        <f t="shared" si="20"/>
        <v>101</v>
      </c>
      <c r="B6270" s="59" t="str">
        <f t="shared" si="21"/>
        <v/>
      </c>
      <c r="C6270" s="59" t="str">
        <f t="shared" si="22"/>
        <v/>
      </c>
      <c r="D6270" s="45" t="str">
        <f t="shared" si="23"/>
        <v/>
      </c>
      <c r="E6270" s="45" t="str">
        <f t="shared" si="24"/>
        <v/>
      </c>
      <c r="F6270" s="59" t="str">
        <f t="shared" si="25"/>
        <v/>
      </c>
      <c r="G6270" s="59" t="str">
        <f t="shared" si="26"/>
        <v/>
      </c>
      <c r="H6270" s="59" t="str">
        <f t="shared" si="27"/>
        <v>28H00680</v>
      </c>
      <c r="I6270" s="59" t="str">
        <f>IF(OR($A6270="",$C6270="",$D6270="",$E6270="",$H6270=""),"",SUMIFS(DATA_GOC!$H:$H,DATA_GOC!$A:$A,"BOM",DATA_GOC!$D:$D,$H6270,DATA_GOC!$E:$E,$C6270,DATA_GOC!$F:$F,"Xuất nội bộ từ téc",DATA_GOC!$B:$B,"&gt;="&amp;$D6270,DATA_GOC!$B:$B,"&lt;="&amp;$E6270))</f>
        <v/>
      </c>
      <c r="J6270" s="59">
        <f t="shared" si="28"/>
        <v>0</v>
      </c>
      <c r="K6270" s="59">
        <f t="shared" si="29"/>
        <v>0</v>
      </c>
      <c r="L6270" s="59">
        <f t="shared" si="30"/>
        <v>0</v>
      </c>
      <c r="M6270" s="59">
        <f t="shared" si="31"/>
        <v>0</v>
      </c>
    </row>
    <row r="6271" ht="15.0" hidden="1" customHeight="1">
      <c r="A6271" s="59">
        <f t="shared" si="20"/>
        <v>101</v>
      </c>
      <c r="B6271" s="59" t="str">
        <f t="shared" si="21"/>
        <v/>
      </c>
      <c r="C6271" s="59" t="str">
        <f t="shared" si="22"/>
        <v/>
      </c>
      <c r="D6271" s="45" t="str">
        <f t="shared" si="23"/>
        <v/>
      </c>
      <c r="E6271" s="45" t="str">
        <f t="shared" si="24"/>
        <v/>
      </c>
      <c r="F6271" s="59" t="str">
        <f t="shared" si="25"/>
        <v/>
      </c>
      <c r="G6271" s="59" t="str">
        <f t="shared" si="26"/>
        <v/>
      </c>
      <c r="H6271" s="59" t="str">
        <f t="shared" si="27"/>
        <v>28H01070</v>
      </c>
      <c r="I6271" s="59" t="str">
        <f>IF(OR($A6271="",$C6271="",$D6271="",$E6271="",$H6271=""),"",SUMIFS(DATA_GOC!$H:$H,DATA_GOC!$A:$A,"BOM",DATA_GOC!$D:$D,$H6271,DATA_GOC!$E:$E,$C6271,DATA_GOC!$F:$F,"Xuất nội bộ từ téc",DATA_GOC!$B:$B,"&gt;="&amp;$D6271,DATA_GOC!$B:$B,"&lt;="&amp;$E6271))</f>
        <v/>
      </c>
      <c r="J6271" s="59">
        <f t="shared" si="28"/>
        <v>0</v>
      </c>
      <c r="K6271" s="59">
        <f t="shared" si="29"/>
        <v>0</v>
      </c>
      <c r="L6271" s="59">
        <f t="shared" si="30"/>
        <v>0</v>
      </c>
      <c r="M6271" s="59">
        <f t="shared" si="31"/>
        <v>0</v>
      </c>
    </row>
    <row r="6272" ht="15.0" hidden="1" customHeight="1">
      <c r="A6272" s="59">
        <f t="shared" si="20"/>
        <v>101</v>
      </c>
      <c r="B6272" s="59" t="str">
        <f t="shared" si="21"/>
        <v/>
      </c>
      <c r="C6272" s="59" t="str">
        <f t="shared" si="22"/>
        <v/>
      </c>
      <c r="D6272" s="45" t="str">
        <f t="shared" si="23"/>
        <v/>
      </c>
      <c r="E6272" s="45" t="str">
        <f t="shared" si="24"/>
        <v/>
      </c>
      <c r="F6272" s="59" t="str">
        <f t="shared" si="25"/>
        <v/>
      </c>
      <c r="G6272" s="59" t="str">
        <f t="shared" si="26"/>
        <v/>
      </c>
      <c r="H6272" s="59" t="str">
        <f t="shared" si="27"/>
        <v>28H01364</v>
      </c>
      <c r="I6272" s="59" t="str">
        <f>IF(OR($A6272="",$C6272="",$D6272="",$E6272="",$H6272=""),"",SUMIFS(DATA_GOC!$H:$H,DATA_GOC!$A:$A,"BOM",DATA_GOC!$D:$D,$H6272,DATA_GOC!$E:$E,$C6272,DATA_GOC!$F:$F,"Xuất nội bộ từ téc",DATA_GOC!$B:$B,"&gt;="&amp;$D6272,DATA_GOC!$B:$B,"&lt;="&amp;$E6272))</f>
        <v/>
      </c>
      <c r="J6272" s="59">
        <f t="shared" si="28"/>
        <v>0</v>
      </c>
      <c r="K6272" s="59">
        <f t="shared" si="29"/>
        <v>0</v>
      </c>
      <c r="L6272" s="59">
        <f t="shared" si="30"/>
        <v>0</v>
      </c>
      <c r="M6272" s="59">
        <f t="shared" si="31"/>
        <v>0</v>
      </c>
    </row>
    <row r="6273" ht="15.0" hidden="1" customHeight="1">
      <c r="A6273" s="59">
        <f t="shared" si="20"/>
        <v>101</v>
      </c>
      <c r="B6273" s="59" t="str">
        <f t="shared" si="21"/>
        <v/>
      </c>
      <c r="C6273" s="59" t="str">
        <f t="shared" si="22"/>
        <v/>
      </c>
      <c r="D6273" s="45" t="str">
        <f t="shared" si="23"/>
        <v/>
      </c>
      <c r="E6273" s="45" t="str">
        <f t="shared" si="24"/>
        <v/>
      </c>
      <c r="F6273" s="59" t="str">
        <f t="shared" si="25"/>
        <v/>
      </c>
      <c r="G6273" s="59" t="str">
        <f t="shared" si="26"/>
        <v/>
      </c>
      <c r="H6273" s="59" t="str">
        <f t="shared" si="27"/>
        <v>29E17269</v>
      </c>
      <c r="I6273" s="59" t="str">
        <f>IF(OR($A6273="",$C6273="",$D6273="",$E6273="",$H6273=""),"",SUMIFS(DATA_GOC!$H:$H,DATA_GOC!$A:$A,"BOM",DATA_GOC!$D:$D,$H6273,DATA_GOC!$E:$E,$C6273,DATA_GOC!$F:$F,"Xuất nội bộ từ téc",DATA_GOC!$B:$B,"&gt;="&amp;$D6273,DATA_GOC!$B:$B,"&lt;="&amp;$E6273))</f>
        <v/>
      </c>
      <c r="J6273" s="59">
        <f t="shared" si="28"/>
        <v>0</v>
      </c>
      <c r="K6273" s="59">
        <f t="shared" si="29"/>
        <v>0</v>
      </c>
      <c r="L6273" s="59">
        <f t="shared" si="30"/>
        <v>0</v>
      </c>
      <c r="M6273" s="59">
        <f t="shared" si="31"/>
        <v>0</v>
      </c>
    </row>
    <row r="6274" ht="15.0" hidden="1" customHeight="1">
      <c r="A6274" s="59">
        <f t="shared" si="20"/>
        <v>101</v>
      </c>
      <c r="B6274" s="59" t="str">
        <f t="shared" si="21"/>
        <v/>
      </c>
      <c r="C6274" s="59" t="str">
        <f t="shared" si="22"/>
        <v/>
      </c>
      <c r="D6274" s="45" t="str">
        <f t="shared" si="23"/>
        <v/>
      </c>
      <c r="E6274" s="45" t="str">
        <f t="shared" si="24"/>
        <v/>
      </c>
      <c r="F6274" s="59" t="str">
        <f t="shared" si="25"/>
        <v/>
      </c>
      <c r="G6274" s="59" t="str">
        <f t="shared" si="26"/>
        <v/>
      </c>
      <c r="H6274" s="59" t="str">
        <f t="shared" si="27"/>
        <v>29E17273</v>
      </c>
      <c r="I6274" s="59" t="str">
        <f>IF(OR($A6274="",$C6274="",$D6274="",$E6274="",$H6274=""),"",SUMIFS(DATA_GOC!$H:$H,DATA_GOC!$A:$A,"BOM",DATA_GOC!$D:$D,$H6274,DATA_GOC!$E:$E,$C6274,DATA_GOC!$F:$F,"Xuất nội bộ từ téc",DATA_GOC!$B:$B,"&gt;="&amp;$D6274,DATA_GOC!$B:$B,"&lt;="&amp;$E6274))</f>
        <v/>
      </c>
      <c r="J6274" s="59">
        <f t="shared" si="28"/>
        <v>0</v>
      </c>
      <c r="K6274" s="59">
        <f t="shared" si="29"/>
        <v>0</v>
      </c>
      <c r="L6274" s="59">
        <f t="shared" si="30"/>
        <v>0</v>
      </c>
      <c r="M6274" s="59">
        <f t="shared" si="31"/>
        <v>0</v>
      </c>
    </row>
    <row r="6275" ht="15.0" hidden="1" customHeight="1">
      <c r="A6275" s="59">
        <f t="shared" si="20"/>
        <v>101</v>
      </c>
      <c r="B6275" s="59" t="str">
        <f t="shared" si="21"/>
        <v/>
      </c>
      <c r="C6275" s="59" t="str">
        <f t="shared" si="22"/>
        <v/>
      </c>
      <c r="D6275" s="45" t="str">
        <f t="shared" si="23"/>
        <v/>
      </c>
      <c r="E6275" s="45" t="str">
        <f t="shared" si="24"/>
        <v/>
      </c>
      <c r="F6275" s="59" t="str">
        <f t="shared" si="25"/>
        <v/>
      </c>
      <c r="G6275" s="59" t="str">
        <f t="shared" si="26"/>
        <v/>
      </c>
      <c r="H6275" s="59" t="str">
        <f t="shared" si="27"/>
        <v>29E17410</v>
      </c>
      <c r="I6275" s="59" t="str">
        <f>IF(OR($A6275="",$C6275="",$D6275="",$E6275="",$H6275=""),"",SUMIFS(DATA_GOC!$H:$H,DATA_GOC!$A:$A,"BOM",DATA_GOC!$D:$D,$H6275,DATA_GOC!$E:$E,$C6275,DATA_GOC!$F:$F,"Xuất nội bộ từ téc",DATA_GOC!$B:$B,"&gt;="&amp;$D6275,DATA_GOC!$B:$B,"&lt;="&amp;$E6275))</f>
        <v/>
      </c>
      <c r="J6275" s="59">
        <f t="shared" si="28"/>
        <v>0</v>
      </c>
      <c r="K6275" s="59">
        <f t="shared" si="29"/>
        <v>0</v>
      </c>
      <c r="L6275" s="59">
        <f t="shared" si="30"/>
        <v>0</v>
      </c>
      <c r="M6275" s="59">
        <f t="shared" si="31"/>
        <v>0</v>
      </c>
    </row>
    <row r="6276" ht="15.0" hidden="1" customHeight="1">
      <c r="A6276" s="59">
        <f t="shared" si="20"/>
        <v>101</v>
      </c>
      <c r="B6276" s="59" t="str">
        <f t="shared" si="21"/>
        <v/>
      </c>
      <c r="C6276" s="59" t="str">
        <f t="shared" si="22"/>
        <v/>
      </c>
      <c r="D6276" s="45" t="str">
        <f t="shared" si="23"/>
        <v/>
      </c>
      <c r="E6276" s="45" t="str">
        <f t="shared" si="24"/>
        <v/>
      </c>
      <c r="F6276" s="59" t="str">
        <f t="shared" si="25"/>
        <v/>
      </c>
      <c r="G6276" s="59" t="str">
        <f t="shared" si="26"/>
        <v/>
      </c>
      <c r="H6276" s="59" t="str">
        <f t="shared" si="27"/>
        <v>29E17417</v>
      </c>
      <c r="I6276" s="59" t="str">
        <f>IF(OR($A6276="",$C6276="",$D6276="",$E6276="",$H6276=""),"",SUMIFS(DATA_GOC!$H:$H,DATA_GOC!$A:$A,"BOM",DATA_GOC!$D:$D,$H6276,DATA_GOC!$E:$E,$C6276,DATA_GOC!$F:$F,"Xuất nội bộ từ téc",DATA_GOC!$B:$B,"&gt;="&amp;$D6276,DATA_GOC!$B:$B,"&lt;="&amp;$E6276))</f>
        <v/>
      </c>
      <c r="J6276" s="59">
        <f t="shared" si="28"/>
        <v>0</v>
      </c>
      <c r="K6276" s="59">
        <f t="shared" si="29"/>
        <v>0</v>
      </c>
      <c r="L6276" s="59">
        <f t="shared" si="30"/>
        <v>0</v>
      </c>
      <c r="M6276" s="59">
        <f t="shared" si="31"/>
        <v>0</v>
      </c>
    </row>
    <row r="6277" ht="15.0" hidden="1" customHeight="1">
      <c r="A6277" s="59">
        <f t="shared" si="20"/>
        <v>101</v>
      </c>
      <c r="B6277" s="59" t="str">
        <f t="shared" si="21"/>
        <v/>
      </c>
      <c r="C6277" s="59" t="str">
        <f t="shared" si="22"/>
        <v/>
      </c>
      <c r="D6277" s="45" t="str">
        <f t="shared" si="23"/>
        <v/>
      </c>
      <c r="E6277" s="45" t="str">
        <f t="shared" si="24"/>
        <v/>
      </c>
      <c r="F6277" s="59" t="str">
        <f t="shared" si="25"/>
        <v/>
      </c>
      <c r="G6277" s="59" t="str">
        <f t="shared" si="26"/>
        <v/>
      </c>
      <c r="H6277" s="59" t="str">
        <f t="shared" si="27"/>
        <v>29E17539</v>
      </c>
      <c r="I6277" s="59" t="str">
        <f>IF(OR($A6277="",$C6277="",$D6277="",$E6277="",$H6277=""),"",SUMIFS(DATA_GOC!$H:$H,DATA_GOC!$A:$A,"BOM",DATA_GOC!$D:$D,$H6277,DATA_GOC!$E:$E,$C6277,DATA_GOC!$F:$F,"Xuất nội bộ từ téc",DATA_GOC!$B:$B,"&gt;="&amp;$D6277,DATA_GOC!$B:$B,"&lt;="&amp;$E6277))</f>
        <v/>
      </c>
      <c r="J6277" s="59">
        <f t="shared" si="28"/>
        <v>0</v>
      </c>
      <c r="K6277" s="59">
        <f t="shared" si="29"/>
        <v>0</v>
      </c>
      <c r="L6277" s="59">
        <f t="shared" si="30"/>
        <v>0</v>
      </c>
      <c r="M6277" s="59">
        <f t="shared" si="31"/>
        <v>0</v>
      </c>
    </row>
    <row r="6278" ht="15.0" hidden="1" customHeight="1">
      <c r="A6278" s="59">
        <f t="shared" si="20"/>
        <v>101</v>
      </c>
      <c r="B6278" s="59" t="str">
        <f t="shared" si="21"/>
        <v/>
      </c>
      <c r="C6278" s="59" t="str">
        <f t="shared" si="22"/>
        <v/>
      </c>
      <c r="D6278" s="45" t="str">
        <f t="shared" si="23"/>
        <v/>
      </c>
      <c r="E6278" s="45" t="str">
        <f t="shared" si="24"/>
        <v/>
      </c>
      <c r="F6278" s="59" t="str">
        <f t="shared" si="25"/>
        <v/>
      </c>
      <c r="G6278" s="59" t="str">
        <f t="shared" si="26"/>
        <v/>
      </c>
      <c r="H6278" s="59" t="str">
        <f t="shared" si="27"/>
        <v>29E18160</v>
      </c>
      <c r="I6278" s="59" t="str">
        <f>IF(OR($A6278="",$C6278="",$D6278="",$E6278="",$H6278=""),"",SUMIFS(DATA_GOC!$H:$H,DATA_GOC!$A:$A,"BOM",DATA_GOC!$D:$D,$H6278,DATA_GOC!$E:$E,$C6278,DATA_GOC!$F:$F,"Xuất nội bộ từ téc",DATA_GOC!$B:$B,"&gt;="&amp;$D6278,DATA_GOC!$B:$B,"&lt;="&amp;$E6278))</f>
        <v/>
      </c>
      <c r="J6278" s="59">
        <f t="shared" si="28"/>
        <v>0</v>
      </c>
      <c r="K6278" s="59">
        <f t="shared" si="29"/>
        <v>0</v>
      </c>
      <c r="L6278" s="59">
        <f t="shared" si="30"/>
        <v>0</v>
      </c>
      <c r="M6278" s="59">
        <f t="shared" si="31"/>
        <v>0</v>
      </c>
    </row>
    <row r="6279" ht="15.0" hidden="1" customHeight="1">
      <c r="A6279" s="59">
        <f t="shared" si="20"/>
        <v>101</v>
      </c>
      <c r="B6279" s="59" t="str">
        <f t="shared" si="21"/>
        <v/>
      </c>
      <c r="C6279" s="59" t="str">
        <f t="shared" si="22"/>
        <v/>
      </c>
      <c r="D6279" s="45" t="str">
        <f t="shared" si="23"/>
        <v/>
      </c>
      <c r="E6279" s="45" t="str">
        <f t="shared" si="24"/>
        <v/>
      </c>
      <c r="F6279" s="59" t="str">
        <f t="shared" si="25"/>
        <v/>
      </c>
      <c r="G6279" s="59" t="str">
        <f t="shared" si="26"/>
        <v/>
      </c>
      <c r="H6279" s="59" t="str">
        <f t="shared" si="27"/>
        <v>Công trình Asphalt</v>
      </c>
      <c r="I6279" s="59" t="str">
        <f>IF(OR($A6279="",$C6279="",$D6279="",$E6279="",$H6279=""),"",SUMIFS(DATA_GOC!$H:$H,DATA_GOC!$A:$A,"BOM",DATA_GOC!$D:$D,$H6279,DATA_GOC!$E:$E,$C6279,DATA_GOC!$F:$F,"Xuất nội bộ từ téc",DATA_GOC!$B:$B,"&gt;="&amp;$D6279,DATA_GOC!$B:$B,"&lt;="&amp;$E6279))</f>
        <v/>
      </c>
      <c r="J6279" s="59">
        <f t="shared" si="28"/>
        <v>0</v>
      </c>
      <c r="K6279" s="59">
        <f t="shared" si="29"/>
        <v>0</v>
      </c>
      <c r="L6279" s="59">
        <f t="shared" si="30"/>
        <v>0</v>
      </c>
      <c r="M6279" s="59">
        <f t="shared" si="31"/>
        <v>0</v>
      </c>
    </row>
    <row r="6280" ht="15.0" hidden="1" customHeight="1">
      <c r="A6280" s="59">
        <f t="shared" si="20"/>
        <v>101</v>
      </c>
      <c r="B6280" s="59" t="str">
        <f t="shared" si="21"/>
        <v/>
      </c>
      <c r="C6280" s="59" t="str">
        <f t="shared" si="22"/>
        <v/>
      </c>
      <c r="D6280" s="45" t="str">
        <f t="shared" si="23"/>
        <v/>
      </c>
      <c r="E6280" s="45" t="str">
        <f t="shared" si="24"/>
        <v/>
      </c>
      <c r="F6280" s="59" t="str">
        <f t="shared" si="25"/>
        <v/>
      </c>
      <c r="G6280" s="59" t="str">
        <f t="shared" si="26"/>
        <v/>
      </c>
      <c r="H6280" s="59" t="str">
        <f t="shared" si="27"/>
        <v>LG53F</v>
      </c>
      <c r="I6280" s="59" t="str">
        <f>IF(OR($A6280="",$C6280="",$D6280="",$E6280="",$H6280=""),"",SUMIFS(DATA_GOC!$H:$H,DATA_GOC!$A:$A,"BOM",DATA_GOC!$D:$D,$H6280,DATA_GOC!$E:$E,$C6280,DATA_GOC!$F:$F,"Xuất nội bộ từ téc",DATA_GOC!$B:$B,"&gt;="&amp;$D6280,DATA_GOC!$B:$B,"&lt;="&amp;$E6280))</f>
        <v/>
      </c>
      <c r="J6280" s="59">
        <f t="shared" si="28"/>
        <v>0</v>
      </c>
      <c r="K6280" s="59">
        <f t="shared" si="29"/>
        <v>0</v>
      </c>
      <c r="L6280" s="59">
        <f t="shared" si="30"/>
        <v>0</v>
      </c>
      <c r="M6280" s="59">
        <f t="shared" si="31"/>
        <v>0</v>
      </c>
    </row>
    <row r="6281" ht="15.0" hidden="1" customHeight="1">
      <c r="A6281" s="59">
        <f t="shared" si="20"/>
        <v>101</v>
      </c>
      <c r="B6281" s="59" t="str">
        <f t="shared" si="21"/>
        <v/>
      </c>
      <c r="C6281" s="59" t="str">
        <f t="shared" si="22"/>
        <v/>
      </c>
      <c r="D6281" s="45" t="str">
        <f t="shared" si="23"/>
        <v/>
      </c>
      <c r="E6281" s="45" t="str">
        <f t="shared" si="24"/>
        <v/>
      </c>
      <c r="F6281" s="59" t="str">
        <f t="shared" si="25"/>
        <v/>
      </c>
      <c r="G6281" s="59" t="str">
        <f t="shared" si="26"/>
        <v/>
      </c>
      <c r="H6281" s="59" t="str">
        <f t="shared" si="27"/>
        <v>Máy phát điện</v>
      </c>
      <c r="I6281" s="59" t="str">
        <f>IF(OR($A6281="",$C6281="",$D6281="",$E6281="",$H6281=""),"",SUMIFS(DATA_GOC!$H:$H,DATA_GOC!$A:$A,"BOM",DATA_GOC!$D:$D,$H6281,DATA_GOC!$E:$E,$C6281,DATA_GOC!$F:$F,"Xuất nội bộ từ téc",DATA_GOC!$B:$B,"&gt;="&amp;$D6281,DATA_GOC!$B:$B,"&lt;="&amp;$E6281))</f>
        <v/>
      </c>
      <c r="J6281" s="59">
        <f t="shared" si="28"/>
        <v>0</v>
      </c>
      <c r="K6281" s="59">
        <f t="shared" si="29"/>
        <v>0</v>
      </c>
      <c r="L6281" s="59">
        <f t="shared" si="30"/>
        <v>0</v>
      </c>
      <c r="M6281" s="59">
        <f t="shared" si="31"/>
        <v>0</v>
      </c>
    </row>
    <row r="6282" ht="15.0" hidden="1" customHeight="1">
      <c r="A6282" s="59">
        <f t="shared" si="20"/>
        <v>101</v>
      </c>
      <c r="B6282" s="59" t="str">
        <f t="shared" si="21"/>
        <v/>
      </c>
      <c r="C6282" s="59" t="str">
        <f t="shared" si="22"/>
        <v/>
      </c>
      <c r="D6282" s="45" t="str">
        <f t="shared" si="23"/>
        <v/>
      </c>
      <c r="E6282" s="45" t="str">
        <f t="shared" si="24"/>
        <v/>
      </c>
      <c r="F6282" s="59" t="str">
        <f t="shared" si="25"/>
        <v/>
      </c>
      <c r="G6282" s="59" t="str">
        <f t="shared" si="26"/>
        <v/>
      </c>
      <c r="H6282" s="59" t="str">
        <f t="shared" si="27"/>
        <v>Máy rải thảm</v>
      </c>
      <c r="I6282" s="59" t="str">
        <f>IF(OR($A6282="",$C6282="",$D6282="",$E6282="",$H6282=""),"",SUMIFS(DATA_GOC!$H:$H,DATA_GOC!$A:$A,"BOM",DATA_GOC!$D:$D,$H6282,DATA_GOC!$E:$E,$C6282,DATA_GOC!$F:$F,"Xuất nội bộ từ téc",DATA_GOC!$B:$B,"&gt;="&amp;$D6282,DATA_GOC!$B:$B,"&lt;="&amp;$E6282))</f>
        <v/>
      </c>
      <c r="J6282" s="59">
        <f t="shared" si="28"/>
        <v>0</v>
      </c>
      <c r="K6282" s="59">
        <f t="shared" si="29"/>
        <v>0</v>
      </c>
      <c r="L6282" s="59">
        <f t="shared" si="30"/>
        <v>0</v>
      </c>
      <c r="M6282" s="59">
        <f t="shared" si="31"/>
        <v>0</v>
      </c>
    </row>
    <row r="6283" ht="15.0" hidden="1" customHeight="1">
      <c r="A6283" s="59">
        <f t="shared" si="20"/>
        <v>101</v>
      </c>
      <c r="B6283" s="59" t="str">
        <f t="shared" si="21"/>
        <v/>
      </c>
      <c r="C6283" s="59" t="str">
        <f t="shared" si="22"/>
        <v/>
      </c>
      <c r="D6283" s="45" t="str">
        <f t="shared" si="23"/>
        <v/>
      </c>
      <c r="E6283" s="45" t="str">
        <f t="shared" si="24"/>
        <v/>
      </c>
      <c r="F6283" s="59" t="str">
        <f t="shared" si="25"/>
        <v/>
      </c>
      <c r="G6283" s="59" t="str">
        <f t="shared" si="26"/>
        <v/>
      </c>
      <c r="H6283" s="59" t="str">
        <f t="shared" si="27"/>
        <v>Xúc Đào</v>
      </c>
      <c r="I6283" s="59" t="str">
        <f>IF(OR($A6283="",$C6283="",$D6283="",$E6283="",$H6283=""),"",SUMIFS(DATA_GOC!$H:$H,DATA_GOC!$A:$A,"BOM",DATA_GOC!$D:$D,$H6283,DATA_GOC!$E:$E,$C6283,DATA_GOC!$F:$F,"Xuất nội bộ từ téc",DATA_GOC!$B:$B,"&gt;="&amp;$D6283,DATA_GOC!$B:$B,"&lt;="&amp;$E6283))</f>
        <v/>
      </c>
      <c r="J6283" s="59">
        <f t="shared" si="28"/>
        <v>0</v>
      </c>
      <c r="K6283" s="59">
        <f t="shared" si="29"/>
        <v>0</v>
      </c>
      <c r="L6283" s="59">
        <f t="shared" si="30"/>
        <v>0</v>
      </c>
      <c r="M6283" s="59">
        <f t="shared" si="31"/>
        <v>0</v>
      </c>
    </row>
    <row r="6284" ht="15.0" hidden="1" customHeight="1">
      <c r="A6284" s="59">
        <f t="shared" si="20"/>
        <v>101</v>
      </c>
      <c r="B6284" s="59" t="str">
        <f t="shared" si="21"/>
        <v/>
      </c>
      <c r="C6284" s="59" t="str">
        <f t="shared" si="22"/>
        <v/>
      </c>
      <c r="D6284" s="45" t="str">
        <f t="shared" si="23"/>
        <v/>
      </c>
      <c r="E6284" s="45" t="str">
        <f t="shared" si="24"/>
        <v/>
      </c>
      <c r="F6284" s="59" t="str">
        <f t="shared" si="25"/>
        <v/>
      </c>
      <c r="G6284" s="59" t="str">
        <f t="shared" si="26"/>
        <v/>
      </c>
      <c r="H6284" s="59" t="str">
        <f t="shared" si="27"/>
        <v>Xúclật asphalt</v>
      </c>
      <c r="I6284" s="59" t="str">
        <f>IF(OR($A6284="",$C6284="",$D6284="",$E6284="",$H6284=""),"",SUMIFS(DATA_GOC!$H:$H,DATA_GOC!$A:$A,"BOM",DATA_GOC!$D:$D,$H6284,DATA_GOC!$E:$E,$C6284,DATA_GOC!$F:$F,"Xuất nội bộ từ téc",DATA_GOC!$B:$B,"&gt;="&amp;$D6284,DATA_GOC!$B:$B,"&lt;="&amp;$E6284))</f>
        <v/>
      </c>
      <c r="J6284" s="59">
        <f t="shared" si="28"/>
        <v>0</v>
      </c>
      <c r="K6284" s="59">
        <f t="shared" si="29"/>
        <v>0</v>
      </c>
      <c r="L6284" s="59">
        <f t="shared" si="30"/>
        <v>0</v>
      </c>
      <c r="M6284" s="59">
        <f t="shared" si="31"/>
        <v>0</v>
      </c>
    </row>
    <row r="6285" ht="15.0" hidden="1" customHeight="1">
      <c r="A6285" s="59">
        <f t="shared" si="20"/>
        <v>101</v>
      </c>
      <c r="B6285" s="59" t="str">
        <f t="shared" si="21"/>
        <v/>
      </c>
      <c r="C6285" s="59" t="str">
        <f t="shared" si="22"/>
        <v/>
      </c>
      <c r="D6285" s="45" t="str">
        <f t="shared" si="23"/>
        <v/>
      </c>
      <c r="E6285" s="45" t="str">
        <f t="shared" si="24"/>
        <v/>
      </c>
      <c r="F6285" s="59" t="str">
        <f t="shared" si="25"/>
        <v/>
      </c>
      <c r="G6285" s="59" t="str">
        <f t="shared" si="26"/>
        <v/>
      </c>
      <c r="H6285" s="59" t="str">
        <f t="shared" si="27"/>
        <v>Xúclật855H</v>
      </c>
      <c r="I6285" s="59" t="str">
        <f>IF(OR($A6285="",$C6285="",$D6285="",$E6285="",$H6285=""),"",SUMIFS(DATA_GOC!$H:$H,DATA_GOC!$A:$A,"BOM",DATA_GOC!$D:$D,$H6285,DATA_GOC!$E:$E,$C6285,DATA_GOC!$F:$F,"Xuất nội bộ từ téc",DATA_GOC!$B:$B,"&gt;="&amp;$D6285,DATA_GOC!$B:$B,"&lt;="&amp;$E6285))</f>
        <v/>
      </c>
      <c r="J6285" s="59">
        <f t="shared" si="28"/>
        <v>0</v>
      </c>
      <c r="K6285" s="59">
        <f t="shared" si="29"/>
        <v>0</v>
      </c>
      <c r="L6285" s="59">
        <f t="shared" si="30"/>
        <v>0</v>
      </c>
      <c r="M6285" s="59">
        <f t="shared" si="31"/>
        <v>0</v>
      </c>
    </row>
    <row r="6286" ht="15.0" hidden="1" customHeight="1">
      <c r="A6286" s="59">
        <f t="shared" si="20"/>
        <v>101</v>
      </c>
      <c r="B6286" s="59" t="str">
        <f t="shared" si="21"/>
        <v/>
      </c>
      <c r="C6286" s="59" t="str">
        <f t="shared" si="22"/>
        <v/>
      </c>
      <c r="D6286" s="45" t="str">
        <f t="shared" si="23"/>
        <v/>
      </c>
      <c r="E6286" s="45" t="str">
        <f t="shared" si="24"/>
        <v/>
      </c>
      <c r="F6286" s="59" t="str">
        <f t="shared" si="25"/>
        <v/>
      </c>
      <c r="G6286" s="59" t="str">
        <f t="shared" si="26"/>
        <v/>
      </c>
      <c r="H6286" s="59" t="str">
        <f t="shared" si="27"/>
        <v>Xúclật855N</v>
      </c>
      <c r="I6286" s="59" t="str">
        <f>IF(OR($A6286="",$C6286="",$D6286="",$E6286="",$H6286=""),"",SUMIFS(DATA_GOC!$H:$H,DATA_GOC!$A:$A,"BOM",DATA_GOC!$D:$D,$H6286,DATA_GOC!$E:$E,$C6286,DATA_GOC!$F:$F,"Xuất nội bộ từ téc",DATA_GOC!$B:$B,"&gt;="&amp;$D6286,DATA_GOC!$B:$B,"&lt;="&amp;$E6286))</f>
        <v/>
      </c>
      <c r="J6286" s="59">
        <f t="shared" si="28"/>
        <v>0</v>
      </c>
      <c r="K6286" s="59">
        <f t="shared" si="29"/>
        <v>0</v>
      </c>
      <c r="L6286" s="59">
        <f t="shared" si="30"/>
        <v>0</v>
      </c>
      <c r="M6286" s="59">
        <f t="shared" si="31"/>
        <v>0</v>
      </c>
    </row>
    <row r="6287" ht="15.0" hidden="1" customHeight="1">
      <c r="A6287" s="59">
        <f t="shared" si="20"/>
        <v>101</v>
      </c>
      <c r="B6287" s="59" t="str">
        <f t="shared" si="21"/>
        <v/>
      </c>
      <c r="C6287" s="59" t="str">
        <f t="shared" si="22"/>
        <v/>
      </c>
      <c r="D6287" s="45" t="str">
        <f t="shared" si="23"/>
        <v/>
      </c>
      <c r="E6287" s="45" t="str">
        <f t="shared" si="24"/>
        <v/>
      </c>
      <c r="F6287" s="59" t="str">
        <f t="shared" si="25"/>
        <v/>
      </c>
      <c r="G6287" s="59" t="str">
        <f t="shared" si="26"/>
        <v/>
      </c>
      <c r="H6287" s="59" t="str">
        <f t="shared" si="27"/>
        <v>Cát nghiền</v>
      </c>
      <c r="I6287" s="59" t="str">
        <f>IF(OR($A6287="",$C6287="",$D6287="",$E6287="",$H6287=""),"",SUMIFS(DATA_GOC!$H:$H,DATA_GOC!$A:$A,"BOM",DATA_GOC!$D:$D,$H6287,DATA_GOC!$E:$E,$C6287,DATA_GOC!$F:$F,"Xuất nội bộ từ téc",DATA_GOC!$B:$B,"&gt;="&amp;$D6287,DATA_GOC!$B:$B,"&lt;="&amp;$E6287))</f>
        <v/>
      </c>
      <c r="J6287" s="59">
        <f t="shared" si="28"/>
        <v>0</v>
      </c>
      <c r="K6287" s="59">
        <f t="shared" si="29"/>
        <v>0</v>
      </c>
      <c r="L6287" s="59">
        <f t="shared" si="30"/>
        <v>0</v>
      </c>
      <c r="M6287" s="59">
        <f t="shared" si="31"/>
        <v>0</v>
      </c>
    </row>
    <row r="6288" ht="15.0" hidden="1" customHeight="1">
      <c r="A6288" s="59">
        <f t="shared" si="20"/>
        <v>101</v>
      </c>
      <c r="B6288" s="59" t="str">
        <f t="shared" si="21"/>
        <v/>
      </c>
      <c r="C6288" s="59" t="str">
        <f t="shared" si="22"/>
        <v/>
      </c>
      <c r="D6288" s="45" t="str">
        <f t="shared" si="23"/>
        <v/>
      </c>
      <c r="E6288" s="45" t="str">
        <f t="shared" si="24"/>
        <v/>
      </c>
      <c r="F6288" s="59" t="str">
        <f t="shared" si="25"/>
        <v/>
      </c>
      <c r="G6288" s="59" t="str">
        <f t="shared" si="26"/>
        <v/>
      </c>
      <c r="H6288" s="59" t="str">
        <f t="shared" si="27"/>
        <v>28C02973</v>
      </c>
      <c r="I6288" s="59" t="str">
        <f>IF(OR($A6288="",$C6288="",$D6288="",$E6288="",$H6288=""),"",SUMIFS(DATA_GOC!$H:$H,DATA_GOC!$A:$A,"BOM",DATA_GOC!$D:$D,$H6288,DATA_GOC!$E:$E,$C6288,DATA_GOC!$F:$F,"Xuất nội bộ từ téc",DATA_GOC!$B:$B,"&gt;="&amp;$D6288,DATA_GOC!$B:$B,"&lt;="&amp;$E6288))</f>
        <v/>
      </c>
      <c r="J6288" s="59">
        <f t="shared" si="28"/>
        <v>0</v>
      </c>
      <c r="K6288" s="59">
        <f t="shared" si="29"/>
        <v>0</v>
      </c>
      <c r="L6288" s="59">
        <f t="shared" si="30"/>
        <v>0</v>
      </c>
      <c r="M6288" s="59">
        <f t="shared" si="31"/>
        <v>0</v>
      </c>
    </row>
    <row r="6289" ht="15.0" hidden="1" customHeight="1">
      <c r="A6289" s="59">
        <f t="shared" si="20"/>
        <v>101</v>
      </c>
      <c r="B6289" s="59" t="str">
        <f t="shared" si="21"/>
        <v/>
      </c>
      <c r="C6289" s="59" t="str">
        <f t="shared" si="22"/>
        <v/>
      </c>
      <c r="D6289" s="45" t="str">
        <f t="shared" si="23"/>
        <v/>
      </c>
      <c r="E6289" s="45" t="str">
        <f t="shared" si="24"/>
        <v/>
      </c>
      <c r="F6289" s="59" t="str">
        <f t="shared" si="25"/>
        <v/>
      </c>
      <c r="G6289" s="59" t="str">
        <f t="shared" si="26"/>
        <v/>
      </c>
      <c r="H6289" s="59" t="str">
        <f t="shared" si="27"/>
        <v>28C03044</v>
      </c>
      <c r="I6289" s="59" t="str">
        <f>IF(OR($A6289="",$C6289="",$D6289="",$E6289="",$H6289=""),"",SUMIFS(DATA_GOC!$H:$H,DATA_GOC!$A:$A,"BOM",DATA_GOC!$D:$D,$H6289,DATA_GOC!$E:$E,$C6289,DATA_GOC!$F:$F,"Xuất nội bộ từ téc",DATA_GOC!$B:$B,"&gt;="&amp;$D6289,DATA_GOC!$B:$B,"&lt;="&amp;$E6289))</f>
        <v/>
      </c>
      <c r="J6289" s="59">
        <f t="shared" si="28"/>
        <v>0</v>
      </c>
      <c r="K6289" s="59">
        <f t="shared" si="29"/>
        <v>0</v>
      </c>
      <c r="L6289" s="59">
        <f t="shared" si="30"/>
        <v>0</v>
      </c>
      <c r="M6289" s="59">
        <f t="shared" si="31"/>
        <v>0</v>
      </c>
    </row>
    <row r="6290" ht="15.0" hidden="1" customHeight="1">
      <c r="A6290" s="59">
        <f t="shared" si="20"/>
        <v>101</v>
      </c>
      <c r="B6290" s="59" t="str">
        <f t="shared" si="21"/>
        <v/>
      </c>
      <c r="C6290" s="59" t="str">
        <f t="shared" si="22"/>
        <v/>
      </c>
      <c r="D6290" s="45" t="str">
        <f t="shared" si="23"/>
        <v/>
      </c>
      <c r="E6290" s="45" t="str">
        <f t="shared" si="24"/>
        <v/>
      </c>
      <c r="F6290" s="59" t="str">
        <f t="shared" si="25"/>
        <v/>
      </c>
      <c r="G6290" s="59" t="str">
        <f t="shared" si="26"/>
        <v/>
      </c>
      <c r="H6290" s="59" t="str">
        <f t="shared" si="27"/>
        <v>Máy lu lốp</v>
      </c>
      <c r="I6290" s="59" t="str">
        <f>IF(OR($A6290="",$C6290="",$D6290="",$E6290="",$H6290=""),"",SUMIFS(DATA_GOC!$H:$H,DATA_GOC!$A:$A,"BOM",DATA_GOC!$D:$D,$H6290,DATA_GOC!$E:$E,$C6290,DATA_GOC!$F:$F,"Xuất nội bộ từ téc",DATA_GOC!$B:$B,"&gt;="&amp;$D6290,DATA_GOC!$B:$B,"&lt;="&amp;$E6290))</f>
        <v/>
      </c>
      <c r="J6290" s="59">
        <f t="shared" si="28"/>
        <v>0</v>
      </c>
      <c r="K6290" s="59">
        <f t="shared" si="29"/>
        <v>0</v>
      </c>
      <c r="L6290" s="59">
        <f t="shared" si="30"/>
        <v>0</v>
      </c>
      <c r="M6290" s="59">
        <f t="shared" si="31"/>
        <v>0</v>
      </c>
    </row>
    <row r="6291" ht="15.0" hidden="1" customHeight="1">
      <c r="A6291" s="59">
        <f t="shared" si="20"/>
        <v>101</v>
      </c>
      <c r="B6291" s="59" t="str">
        <f t="shared" si="21"/>
        <v/>
      </c>
      <c r="C6291" s="59" t="str">
        <f t="shared" si="22"/>
        <v/>
      </c>
      <c r="D6291" s="45" t="str">
        <f t="shared" si="23"/>
        <v/>
      </c>
      <c r="E6291" s="45" t="str">
        <f t="shared" si="24"/>
        <v/>
      </c>
      <c r="F6291" s="59" t="str">
        <f t="shared" si="25"/>
        <v/>
      </c>
      <c r="G6291" s="59" t="str">
        <f t="shared" si="26"/>
        <v/>
      </c>
      <c r="H6291" s="59" t="str">
        <f t="shared" si="27"/>
        <v>Xe 600148</v>
      </c>
      <c r="I6291" s="59" t="str">
        <f>IF(OR($A6291="",$C6291="",$D6291="",$E6291="",$H6291=""),"",SUMIFS(DATA_GOC!$H:$H,DATA_GOC!$A:$A,"BOM",DATA_GOC!$D:$D,$H6291,DATA_GOC!$E:$E,$C6291,DATA_GOC!$F:$F,"Xuất nội bộ từ téc",DATA_GOC!$B:$B,"&gt;="&amp;$D6291,DATA_GOC!$B:$B,"&lt;="&amp;$E6291))</f>
        <v/>
      </c>
      <c r="J6291" s="59">
        <f t="shared" si="28"/>
        <v>0</v>
      </c>
      <c r="K6291" s="59">
        <f t="shared" si="29"/>
        <v>0</v>
      </c>
      <c r="L6291" s="59">
        <f t="shared" si="30"/>
        <v>0</v>
      </c>
      <c r="M6291" s="59">
        <f t="shared" si="31"/>
        <v>0</v>
      </c>
    </row>
    <row r="6292" ht="15.0" hidden="1" customHeight="1">
      <c r="A6292" s="59">
        <f t="shared" si="20"/>
        <v>101</v>
      </c>
      <c r="B6292" s="59" t="str">
        <f t="shared" si="21"/>
        <v/>
      </c>
      <c r="C6292" s="59" t="str">
        <f t="shared" si="22"/>
        <v/>
      </c>
      <c r="D6292" s="45" t="str">
        <f t="shared" si="23"/>
        <v/>
      </c>
      <c r="E6292" s="45" t="str">
        <f t="shared" si="24"/>
        <v/>
      </c>
      <c r="F6292" s="59" t="str">
        <f t="shared" si="25"/>
        <v/>
      </c>
      <c r="G6292" s="59" t="str">
        <f t="shared" si="26"/>
        <v/>
      </c>
      <c r="H6292" s="59" t="str">
        <f t="shared" si="27"/>
        <v>Xe ben mới</v>
      </c>
      <c r="I6292" s="59" t="str">
        <f>IF(OR($A6292="",$C6292="",$D6292="",$E6292="",$H6292=""),"",SUMIFS(DATA_GOC!$H:$H,DATA_GOC!$A:$A,"BOM",DATA_GOC!$D:$D,$H6292,DATA_GOC!$E:$E,$C6292,DATA_GOC!$F:$F,"Xuất nội bộ từ téc",DATA_GOC!$B:$B,"&gt;="&amp;$D6292,DATA_GOC!$B:$B,"&lt;="&amp;$E6292))</f>
        <v/>
      </c>
      <c r="J6292" s="59">
        <f t="shared" si="28"/>
        <v>0</v>
      </c>
      <c r="K6292" s="59">
        <f t="shared" si="29"/>
        <v>0</v>
      </c>
      <c r="L6292" s="59">
        <f t="shared" si="30"/>
        <v>0</v>
      </c>
      <c r="M6292" s="59">
        <f t="shared" si="31"/>
        <v>0</v>
      </c>
    </row>
    <row r="6293" ht="15.0" hidden="1" customHeight="1">
      <c r="A6293" s="59">
        <f t="shared" si="20"/>
        <v>102</v>
      </c>
      <c r="B6293" s="59" t="str">
        <f t="shared" si="21"/>
        <v/>
      </c>
      <c r="C6293" s="59" t="str">
        <f t="shared" si="22"/>
        <v/>
      </c>
      <c r="D6293" s="45" t="str">
        <f t="shared" si="23"/>
        <v/>
      </c>
      <c r="E6293" s="45" t="str">
        <f t="shared" si="24"/>
        <v/>
      </c>
      <c r="F6293" s="59" t="str">
        <f t="shared" si="25"/>
        <v/>
      </c>
      <c r="G6293" s="59" t="str">
        <f t="shared" si="26"/>
        <v/>
      </c>
      <c r="H6293" s="59" t="str">
        <f t="shared" si="27"/>
        <v>19H09482</v>
      </c>
      <c r="I6293" s="59" t="str">
        <f>IF(OR($A6293="",$C6293="",$D6293="",$E6293="",$H6293=""),"",SUMIFS(DATA_GOC!$H:$H,DATA_GOC!$A:$A,"BOM",DATA_GOC!$D:$D,$H6293,DATA_GOC!$E:$E,$C6293,DATA_GOC!$F:$F,"Xuất nội bộ từ téc",DATA_GOC!$B:$B,"&gt;="&amp;$D6293,DATA_GOC!$B:$B,"&lt;="&amp;$E6293))</f>
        <v/>
      </c>
      <c r="J6293" s="59">
        <f t="shared" si="28"/>
        <v>0</v>
      </c>
      <c r="K6293" s="59">
        <f t="shared" si="29"/>
        <v>0</v>
      </c>
      <c r="L6293" s="59">
        <f t="shared" si="30"/>
        <v>0</v>
      </c>
      <c r="M6293" s="59">
        <f t="shared" si="31"/>
        <v>0</v>
      </c>
    </row>
    <row r="6294" ht="15.0" hidden="1" customHeight="1">
      <c r="A6294" s="59">
        <f t="shared" si="20"/>
        <v>102</v>
      </c>
      <c r="B6294" s="59" t="str">
        <f t="shared" si="21"/>
        <v/>
      </c>
      <c r="C6294" s="59" t="str">
        <f t="shared" si="22"/>
        <v/>
      </c>
      <c r="D6294" s="45" t="str">
        <f t="shared" si="23"/>
        <v/>
      </c>
      <c r="E6294" s="45" t="str">
        <f t="shared" si="24"/>
        <v/>
      </c>
      <c r="F6294" s="59" t="str">
        <f t="shared" si="25"/>
        <v/>
      </c>
      <c r="G6294" s="59" t="str">
        <f t="shared" si="26"/>
        <v/>
      </c>
      <c r="H6294" s="59" t="str">
        <f t="shared" si="27"/>
        <v>28A30696</v>
      </c>
      <c r="I6294" s="59" t="str">
        <f>IF(OR($A6294="",$C6294="",$D6294="",$E6294="",$H6294=""),"",SUMIFS(DATA_GOC!$H:$H,DATA_GOC!$A:$A,"BOM",DATA_GOC!$D:$D,$H6294,DATA_GOC!$E:$E,$C6294,DATA_GOC!$F:$F,"Xuất nội bộ từ téc",DATA_GOC!$B:$B,"&gt;="&amp;$D6294,DATA_GOC!$B:$B,"&lt;="&amp;$E6294))</f>
        <v/>
      </c>
      <c r="J6294" s="59">
        <f t="shared" si="28"/>
        <v>0</v>
      </c>
      <c r="K6294" s="59">
        <f t="shared" si="29"/>
        <v>0</v>
      </c>
      <c r="L6294" s="59">
        <f t="shared" si="30"/>
        <v>0</v>
      </c>
      <c r="M6294" s="59">
        <f t="shared" si="31"/>
        <v>0</v>
      </c>
    </row>
    <row r="6295" ht="15.0" hidden="1" customHeight="1">
      <c r="A6295" s="59">
        <f t="shared" si="20"/>
        <v>102</v>
      </c>
      <c r="B6295" s="59" t="str">
        <f t="shared" si="21"/>
        <v/>
      </c>
      <c r="C6295" s="59" t="str">
        <f t="shared" si="22"/>
        <v/>
      </c>
      <c r="D6295" s="45" t="str">
        <f t="shared" si="23"/>
        <v/>
      </c>
      <c r="E6295" s="45" t="str">
        <f t="shared" si="24"/>
        <v/>
      </c>
      <c r="F6295" s="59" t="str">
        <f t="shared" si="25"/>
        <v/>
      </c>
      <c r="G6295" s="59" t="str">
        <f t="shared" si="26"/>
        <v/>
      </c>
      <c r="H6295" s="59" t="str">
        <f t="shared" si="27"/>
        <v>28C00462</v>
      </c>
      <c r="I6295" s="59" t="str">
        <f>IF(OR($A6295="",$C6295="",$D6295="",$E6295="",$H6295=""),"",SUMIFS(DATA_GOC!$H:$H,DATA_GOC!$A:$A,"BOM",DATA_GOC!$D:$D,$H6295,DATA_GOC!$E:$E,$C6295,DATA_GOC!$F:$F,"Xuất nội bộ từ téc",DATA_GOC!$B:$B,"&gt;="&amp;$D6295,DATA_GOC!$B:$B,"&lt;="&amp;$E6295))</f>
        <v/>
      </c>
      <c r="J6295" s="59">
        <f t="shared" si="28"/>
        <v>0</v>
      </c>
      <c r="K6295" s="59">
        <f t="shared" si="29"/>
        <v>0</v>
      </c>
      <c r="L6295" s="59">
        <f t="shared" si="30"/>
        <v>0</v>
      </c>
      <c r="M6295" s="59">
        <f t="shared" si="31"/>
        <v>0</v>
      </c>
    </row>
    <row r="6296" ht="15.0" hidden="1" customHeight="1">
      <c r="A6296" s="59">
        <f t="shared" si="20"/>
        <v>102</v>
      </c>
      <c r="B6296" s="59" t="str">
        <f t="shared" si="21"/>
        <v/>
      </c>
      <c r="C6296" s="59" t="str">
        <f t="shared" si="22"/>
        <v/>
      </c>
      <c r="D6296" s="45" t="str">
        <f t="shared" si="23"/>
        <v/>
      </c>
      <c r="E6296" s="45" t="str">
        <f t="shared" si="24"/>
        <v/>
      </c>
      <c r="F6296" s="59" t="str">
        <f t="shared" si="25"/>
        <v/>
      </c>
      <c r="G6296" s="59" t="str">
        <f t="shared" si="26"/>
        <v/>
      </c>
      <c r="H6296" s="59" t="str">
        <f t="shared" si="27"/>
        <v>28C01165</v>
      </c>
      <c r="I6296" s="59" t="str">
        <f>IF(OR($A6296="",$C6296="",$D6296="",$E6296="",$H6296=""),"",SUMIFS(DATA_GOC!$H:$H,DATA_GOC!$A:$A,"BOM",DATA_GOC!$D:$D,$H6296,DATA_GOC!$E:$E,$C6296,DATA_GOC!$F:$F,"Xuất nội bộ từ téc",DATA_GOC!$B:$B,"&gt;="&amp;$D6296,DATA_GOC!$B:$B,"&lt;="&amp;$E6296))</f>
        <v/>
      </c>
      <c r="J6296" s="59">
        <f t="shared" si="28"/>
        <v>0</v>
      </c>
      <c r="K6296" s="59">
        <f t="shared" si="29"/>
        <v>0</v>
      </c>
      <c r="L6296" s="59">
        <f t="shared" si="30"/>
        <v>0</v>
      </c>
      <c r="M6296" s="59">
        <f t="shared" si="31"/>
        <v>0</v>
      </c>
    </row>
    <row r="6297" ht="15.0" hidden="1" customHeight="1">
      <c r="A6297" s="59">
        <f t="shared" si="20"/>
        <v>102</v>
      </c>
      <c r="B6297" s="59" t="str">
        <f t="shared" si="21"/>
        <v/>
      </c>
      <c r="C6297" s="59" t="str">
        <f t="shared" si="22"/>
        <v/>
      </c>
      <c r="D6297" s="45" t="str">
        <f t="shared" si="23"/>
        <v/>
      </c>
      <c r="E6297" s="45" t="str">
        <f t="shared" si="24"/>
        <v/>
      </c>
      <c r="F6297" s="59" t="str">
        <f t="shared" si="25"/>
        <v/>
      </c>
      <c r="G6297" s="59" t="str">
        <f t="shared" si="26"/>
        <v/>
      </c>
      <c r="H6297" s="59" t="str">
        <f t="shared" si="27"/>
        <v>28C01406</v>
      </c>
      <c r="I6297" s="59" t="str">
        <f>IF(OR($A6297="",$C6297="",$D6297="",$E6297="",$H6297=""),"",SUMIFS(DATA_GOC!$H:$H,DATA_GOC!$A:$A,"BOM",DATA_GOC!$D:$D,$H6297,DATA_GOC!$E:$E,$C6297,DATA_GOC!$F:$F,"Xuất nội bộ từ téc",DATA_GOC!$B:$B,"&gt;="&amp;$D6297,DATA_GOC!$B:$B,"&lt;="&amp;$E6297))</f>
        <v/>
      </c>
      <c r="J6297" s="59">
        <f t="shared" si="28"/>
        <v>0</v>
      </c>
      <c r="K6297" s="59">
        <f t="shared" si="29"/>
        <v>0</v>
      </c>
      <c r="L6297" s="59">
        <f t="shared" si="30"/>
        <v>0</v>
      </c>
      <c r="M6297" s="59">
        <f t="shared" si="31"/>
        <v>0</v>
      </c>
    </row>
    <row r="6298" ht="15.0" hidden="1" customHeight="1">
      <c r="A6298" s="59">
        <f t="shared" si="20"/>
        <v>102</v>
      </c>
      <c r="B6298" s="59" t="str">
        <f t="shared" si="21"/>
        <v/>
      </c>
      <c r="C6298" s="59" t="str">
        <f t="shared" si="22"/>
        <v/>
      </c>
      <c r="D6298" s="45" t="str">
        <f t="shared" si="23"/>
        <v/>
      </c>
      <c r="E6298" s="45" t="str">
        <f t="shared" si="24"/>
        <v/>
      </c>
      <c r="F6298" s="59" t="str">
        <f t="shared" si="25"/>
        <v/>
      </c>
      <c r="G6298" s="59" t="str">
        <f t="shared" si="26"/>
        <v/>
      </c>
      <c r="H6298" s="59" t="str">
        <f t="shared" si="27"/>
        <v>28C01544</v>
      </c>
      <c r="I6298" s="59" t="str">
        <f>IF(OR($A6298="",$C6298="",$D6298="",$E6298="",$H6298=""),"",SUMIFS(DATA_GOC!$H:$H,DATA_GOC!$A:$A,"BOM",DATA_GOC!$D:$D,$H6298,DATA_GOC!$E:$E,$C6298,DATA_GOC!$F:$F,"Xuất nội bộ từ téc",DATA_GOC!$B:$B,"&gt;="&amp;$D6298,DATA_GOC!$B:$B,"&lt;="&amp;$E6298))</f>
        <v/>
      </c>
      <c r="J6298" s="59">
        <f t="shared" si="28"/>
        <v>0</v>
      </c>
      <c r="K6298" s="59">
        <f t="shared" si="29"/>
        <v>0</v>
      </c>
      <c r="L6298" s="59">
        <f t="shared" si="30"/>
        <v>0</v>
      </c>
      <c r="M6298" s="59">
        <f t="shared" si="31"/>
        <v>0</v>
      </c>
    </row>
    <row r="6299" ht="15.0" hidden="1" customHeight="1">
      <c r="A6299" s="59">
        <f t="shared" si="20"/>
        <v>102</v>
      </c>
      <c r="B6299" s="59" t="str">
        <f t="shared" si="21"/>
        <v/>
      </c>
      <c r="C6299" s="59" t="str">
        <f t="shared" si="22"/>
        <v/>
      </c>
      <c r="D6299" s="45" t="str">
        <f t="shared" si="23"/>
        <v/>
      </c>
      <c r="E6299" s="45" t="str">
        <f t="shared" si="24"/>
        <v/>
      </c>
      <c r="F6299" s="59" t="str">
        <f t="shared" si="25"/>
        <v/>
      </c>
      <c r="G6299" s="59" t="str">
        <f t="shared" si="26"/>
        <v/>
      </c>
      <c r="H6299" s="59" t="str">
        <f t="shared" si="27"/>
        <v>28C01622</v>
      </c>
      <c r="I6299" s="59" t="str">
        <f>IF(OR($A6299="",$C6299="",$D6299="",$E6299="",$H6299=""),"",SUMIFS(DATA_GOC!$H:$H,DATA_GOC!$A:$A,"BOM",DATA_GOC!$D:$D,$H6299,DATA_GOC!$E:$E,$C6299,DATA_GOC!$F:$F,"Xuất nội bộ từ téc",DATA_GOC!$B:$B,"&gt;="&amp;$D6299,DATA_GOC!$B:$B,"&lt;="&amp;$E6299))</f>
        <v/>
      </c>
      <c r="J6299" s="59">
        <f t="shared" si="28"/>
        <v>0</v>
      </c>
      <c r="K6299" s="59">
        <f t="shared" si="29"/>
        <v>0</v>
      </c>
      <c r="L6299" s="59">
        <f t="shared" si="30"/>
        <v>0</v>
      </c>
      <c r="M6299" s="59">
        <f t="shared" si="31"/>
        <v>0</v>
      </c>
    </row>
    <row r="6300" ht="15.0" hidden="1" customHeight="1">
      <c r="A6300" s="59">
        <f t="shared" si="20"/>
        <v>102</v>
      </c>
      <c r="B6300" s="59" t="str">
        <f t="shared" si="21"/>
        <v/>
      </c>
      <c r="C6300" s="59" t="str">
        <f t="shared" si="22"/>
        <v/>
      </c>
      <c r="D6300" s="45" t="str">
        <f t="shared" si="23"/>
        <v/>
      </c>
      <c r="E6300" s="45" t="str">
        <f t="shared" si="24"/>
        <v/>
      </c>
      <c r="F6300" s="59" t="str">
        <f t="shared" si="25"/>
        <v/>
      </c>
      <c r="G6300" s="59" t="str">
        <f t="shared" si="26"/>
        <v/>
      </c>
      <c r="H6300" s="59" t="str">
        <f t="shared" si="27"/>
        <v>28C01647</v>
      </c>
      <c r="I6300" s="59" t="str">
        <f>IF(OR($A6300="",$C6300="",$D6300="",$E6300="",$H6300=""),"",SUMIFS(DATA_GOC!$H:$H,DATA_GOC!$A:$A,"BOM",DATA_GOC!$D:$D,$H6300,DATA_GOC!$E:$E,$C6300,DATA_GOC!$F:$F,"Xuất nội bộ từ téc",DATA_GOC!$B:$B,"&gt;="&amp;$D6300,DATA_GOC!$B:$B,"&lt;="&amp;$E6300))</f>
        <v/>
      </c>
      <c r="J6300" s="59">
        <f t="shared" si="28"/>
        <v>0</v>
      </c>
      <c r="K6300" s="59">
        <f t="shared" si="29"/>
        <v>0</v>
      </c>
      <c r="L6300" s="59">
        <f t="shared" si="30"/>
        <v>0</v>
      </c>
      <c r="M6300" s="59">
        <f t="shared" si="31"/>
        <v>0</v>
      </c>
    </row>
    <row r="6301" ht="15.0" hidden="1" customHeight="1">
      <c r="A6301" s="59">
        <f t="shared" si="20"/>
        <v>102</v>
      </c>
      <c r="B6301" s="59" t="str">
        <f t="shared" si="21"/>
        <v/>
      </c>
      <c r="C6301" s="59" t="str">
        <f t="shared" si="22"/>
        <v/>
      </c>
      <c r="D6301" s="45" t="str">
        <f t="shared" si="23"/>
        <v/>
      </c>
      <c r="E6301" s="45" t="str">
        <f t="shared" si="24"/>
        <v/>
      </c>
      <c r="F6301" s="59" t="str">
        <f t="shared" si="25"/>
        <v/>
      </c>
      <c r="G6301" s="59" t="str">
        <f t="shared" si="26"/>
        <v/>
      </c>
      <c r="H6301" s="59" t="str">
        <f t="shared" si="27"/>
        <v>28C01731</v>
      </c>
      <c r="I6301" s="59" t="str">
        <f>IF(OR($A6301="",$C6301="",$D6301="",$E6301="",$H6301=""),"",SUMIFS(DATA_GOC!$H:$H,DATA_GOC!$A:$A,"BOM",DATA_GOC!$D:$D,$H6301,DATA_GOC!$E:$E,$C6301,DATA_GOC!$F:$F,"Xuất nội bộ từ téc",DATA_GOC!$B:$B,"&gt;="&amp;$D6301,DATA_GOC!$B:$B,"&lt;="&amp;$E6301))</f>
        <v/>
      </c>
      <c r="J6301" s="59">
        <f t="shared" si="28"/>
        <v>0</v>
      </c>
      <c r="K6301" s="59">
        <f t="shared" si="29"/>
        <v>0</v>
      </c>
      <c r="L6301" s="59">
        <f t="shared" si="30"/>
        <v>0</v>
      </c>
      <c r="M6301" s="59">
        <f t="shared" si="31"/>
        <v>0</v>
      </c>
    </row>
    <row r="6302" ht="15.0" hidden="1" customHeight="1">
      <c r="A6302" s="59">
        <f t="shared" si="20"/>
        <v>102</v>
      </c>
      <c r="B6302" s="59" t="str">
        <f t="shared" si="21"/>
        <v/>
      </c>
      <c r="C6302" s="59" t="str">
        <f t="shared" si="22"/>
        <v/>
      </c>
      <c r="D6302" s="45" t="str">
        <f t="shared" si="23"/>
        <v/>
      </c>
      <c r="E6302" s="45" t="str">
        <f t="shared" si="24"/>
        <v/>
      </c>
      <c r="F6302" s="59" t="str">
        <f t="shared" si="25"/>
        <v/>
      </c>
      <c r="G6302" s="59" t="str">
        <f t="shared" si="26"/>
        <v/>
      </c>
      <c r="H6302" s="59" t="str">
        <f t="shared" si="27"/>
        <v>28C01743</v>
      </c>
      <c r="I6302" s="59" t="str">
        <f>IF(OR($A6302="",$C6302="",$D6302="",$E6302="",$H6302=""),"",SUMIFS(DATA_GOC!$H:$H,DATA_GOC!$A:$A,"BOM",DATA_GOC!$D:$D,$H6302,DATA_GOC!$E:$E,$C6302,DATA_GOC!$F:$F,"Xuất nội bộ từ téc",DATA_GOC!$B:$B,"&gt;="&amp;$D6302,DATA_GOC!$B:$B,"&lt;="&amp;$E6302))</f>
        <v/>
      </c>
      <c r="J6302" s="59">
        <f t="shared" si="28"/>
        <v>0</v>
      </c>
      <c r="K6302" s="59">
        <f t="shared" si="29"/>
        <v>0</v>
      </c>
      <c r="L6302" s="59">
        <f t="shared" si="30"/>
        <v>0</v>
      </c>
      <c r="M6302" s="59">
        <f t="shared" si="31"/>
        <v>0</v>
      </c>
    </row>
    <row r="6303" ht="15.0" hidden="1" customHeight="1">
      <c r="A6303" s="59">
        <f t="shared" si="20"/>
        <v>102</v>
      </c>
      <c r="B6303" s="59" t="str">
        <f t="shared" si="21"/>
        <v/>
      </c>
      <c r="C6303" s="59" t="str">
        <f t="shared" si="22"/>
        <v/>
      </c>
      <c r="D6303" s="45" t="str">
        <f t="shared" si="23"/>
        <v/>
      </c>
      <c r="E6303" s="45" t="str">
        <f t="shared" si="24"/>
        <v/>
      </c>
      <c r="F6303" s="59" t="str">
        <f t="shared" si="25"/>
        <v/>
      </c>
      <c r="G6303" s="59" t="str">
        <f t="shared" si="26"/>
        <v/>
      </c>
      <c r="H6303" s="59" t="str">
        <f t="shared" si="27"/>
        <v>28C02106</v>
      </c>
      <c r="I6303" s="59" t="str">
        <f>IF(OR($A6303="",$C6303="",$D6303="",$E6303="",$H6303=""),"",SUMIFS(DATA_GOC!$H:$H,DATA_GOC!$A:$A,"BOM",DATA_GOC!$D:$D,$H6303,DATA_GOC!$E:$E,$C6303,DATA_GOC!$F:$F,"Xuất nội bộ từ téc",DATA_GOC!$B:$B,"&gt;="&amp;$D6303,DATA_GOC!$B:$B,"&lt;="&amp;$E6303))</f>
        <v/>
      </c>
      <c r="J6303" s="59">
        <f t="shared" si="28"/>
        <v>0</v>
      </c>
      <c r="K6303" s="59">
        <f t="shared" si="29"/>
        <v>0</v>
      </c>
      <c r="L6303" s="59">
        <f t="shared" si="30"/>
        <v>0</v>
      </c>
      <c r="M6303" s="59">
        <f t="shared" si="31"/>
        <v>0</v>
      </c>
    </row>
    <row r="6304" ht="15.0" hidden="1" customHeight="1">
      <c r="A6304" s="59">
        <f t="shared" si="20"/>
        <v>102</v>
      </c>
      <c r="B6304" s="59" t="str">
        <f t="shared" si="21"/>
        <v/>
      </c>
      <c r="C6304" s="59" t="str">
        <f t="shared" si="22"/>
        <v/>
      </c>
      <c r="D6304" s="45" t="str">
        <f t="shared" si="23"/>
        <v/>
      </c>
      <c r="E6304" s="45" t="str">
        <f t="shared" si="24"/>
        <v/>
      </c>
      <c r="F6304" s="59" t="str">
        <f t="shared" si="25"/>
        <v/>
      </c>
      <c r="G6304" s="59" t="str">
        <f t="shared" si="26"/>
        <v/>
      </c>
      <c r="H6304" s="59" t="str">
        <f t="shared" si="27"/>
        <v>28C02410</v>
      </c>
      <c r="I6304" s="59" t="str">
        <f>IF(OR($A6304="",$C6304="",$D6304="",$E6304="",$H6304=""),"",SUMIFS(DATA_GOC!$H:$H,DATA_GOC!$A:$A,"BOM",DATA_GOC!$D:$D,$H6304,DATA_GOC!$E:$E,$C6304,DATA_GOC!$F:$F,"Xuất nội bộ từ téc",DATA_GOC!$B:$B,"&gt;="&amp;$D6304,DATA_GOC!$B:$B,"&lt;="&amp;$E6304))</f>
        <v/>
      </c>
      <c r="J6304" s="59">
        <f t="shared" si="28"/>
        <v>0</v>
      </c>
      <c r="K6304" s="59">
        <f t="shared" si="29"/>
        <v>0</v>
      </c>
      <c r="L6304" s="59">
        <f t="shared" si="30"/>
        <v>0</v>
      </c>
      <c r="M6304" s="59">
        <f t="shared" si="31"/>
        <v>0</v>
      </c>
    </row>
    <row r="6305" ht="15.0" hidden="1" customHeight="1">
      <c r="A6305" s="59">
        <f t="shared" si="20"/>
        <v>102</v>
      </c>
      <c r="B6305" s="59" t="str">
        <f t="shared" si="21"/>
        <v/>
      </c>
      <c r="C6305" s="59" t="str">
        <f t="shared" si="22"/>
        <v/>
      </c>
      <c r="D6305" s="45" t="str">
        <f t="shared" si="23"/>
        <v/>
      </c>
      <c r="E6305" s="45" t="str">
        <f t="shared" si="24"/>
        <v/>
      </c>
      <c r="F6305" s="59" t="str">
        <f t="shared" si="25"/>
        <v/>
      </c>
      <c r="G6305" s="59" t="str">
        <f t="shared" si="26"/>
        <v/>
      </c>
      <c r="H6305" s="59" t="str">
        <f t="shared" si="27"/>
        <v>28C02545</v>
      </c>
      <c r="I6305" s="59" t="str">
        <f>IF(OR($A6305="",$C6305="",$D6305="",$E6305="",$H6305=""),"",SUMIFS(DATA_GOC!$H:$H,DATA_GOC!$A:$A,"BOM",DATA_GOC!$D:$D,$H6305,DATA_GOC!$E:$E,$C6305,DATA_GOC!$F:$F,"Xuất nội bộ từ téc",DATA_GOC!$B:$B,"&gt;="&amp;$D6305,DATA_GOC!$B:$B,"&lt;="&amp;$E6305))</f>
        <v/>
      </c>
      <c r="J6305" s="59">
        <f t="shared" si="28"/>
        <v>0</v>
      </c>
      <c r="K6305" s="59">
        <f t="shared" si="29"/>
        <v>0</v>
      </c>
      <c r="L6305" s="59">
        <f t="shared" si="30"/>
        <v>0</v>
      </c>
      <c r="M6305" s="59">
        <f t="shared" si="31"/>
        <v>0</v>
      </c>
    </row>
    <row r="6306" ht="15.0" hidden="1" customHeight="1">
      <c r="A6306" s="59">
        <f t="shared" si="20"/>
        <v>102</v>
      </c>
      <c r="B6306" s="59" t="str">
        <f t="shared" si="21"/>
        <v/>
      </c>
      <c r="C6306" s="59" t="str">
        <f t="shared" si="22"/>
        <v/>
      </c>
      <c r="D6306" s="45" t="str">
        <f t="shared" si="23"/>
        <v/>
      </c>
      <c r="E6306" s="45" t="str">
        <f t="shared" si="24"/>
        <v/>
      </c>
      <c r="F6306" s="59" t="str">
        <f t="shared" si="25"/>
        <v/>
      </c>
      <c r="G6306" s="59" t="str">
        <f t="shared" si="26"/>
        <v/>
      </c>
      <c r="H6306" s="59" t="str">
        <f t="shared" si="27"/>
        <v>28C02574</v>
      </c>
      <c r="I6306" s="59" t="str">
        <f>IF(OR($A6306="",$C6306="",$D6306="",$E6306="",$H6306=""),"",SUMIFS(DATA_GOC!$H:$H,DATA_GOC!$A:$A,"BOM",DATA_GOC!$D:$D,$H6306,DATA_GOC!$E:$E,$C6306,DATA_GOC!$F:$F,"Xuất nội bộ từ téc",DATA_GOC!$B:$B,"&gt;="&amp;$D6306,DATA_GOC!$B:$B,"&lt;="&amp;$E6306))</f>
        <v/>
      </c>
      <c r="J6306" s="59">
        <f t="shared" si="28"/>
        <v>0</v>
      </c>
      <c r="K6306" s="59">
        <f t="shared" si="29"/>
        <v>0</v>
      </c>
      <c r="L6306" s="59">
        <f t="shared" si="30"/>
        <v>0</v>
      </c>
      <c r="M6306" s="59">
        <f t="shared" si="31"/>
        <v>0</v>
      </c>
    </row>
    <row r="6307" ht="15.0" hidden="1" customHeight="1">
      <c r="A6307" s="59">
        <f t="shared" si="20"/>
        <v>102</v>
      </c>
      <c r="B6307" s="59" t="str">
        <f t="shared" si="21"/>
        <v/>
      </c>
      <c r="C6307" s="59" t="str">
        <f t="shared" si="22"/>
        <v/>
      </c>
      <c r="D6307" s="45" t="str">
        <f t="shared" si="23"/>
        <v/>
      </c>
      <c r="E6307" s="45" t="str">
        <f t="shared" si="24"/>
        <v/>
      </c>
      <c r="F6307" s="59" t="str">
        <f t="shared" si="25"/>
        <v/>
      </c>
      <c r="G6307" s="59" t="str">
        <f t="shared" si="26"/>
        <v/>
      </c>
      <c r="H6307" s="59" t="str">
        <f t="shared" si="27"/>
        <v>28C02770</v>
      </c>
      <c r="I6307" s="59" t="str">
        <f>IF(OR($A6307="",$C6307="",$D6307="",$E6307="",$H6307=""),"",SUMIFS(DATA_GOC!$H:$H,DATA_GOC!$A:$A,"BOM",DATA_GOC!$D:$D,$H6307,DATA_GOC!$E:$E,$C6307,DATA_GOC!$F:$F,"Xuất nội bộ từ téc",DATA_GOC!$B:$B,"&gt;="&amp;$D6307,DATA_GOC!$B:$B,"&lt;="&amp;$E6307))</f>
        <v/>
      </c>
      <c r="J6307" s="59">
        <f t="shared" si="28"/>
        <v>0</v>
      </c>
      <c r="K6307" s="59">
        <f t="shared" si="29"/>
        <v>0</v>
      </c>
      <c r="L6307" s="59">
        <f t="shared" si="30"/>
        <v>0</v>
      </c>
      <c r="M6307" s="59">
        <f t="shared" si="31"/>
        <v>0</v>
      </c>
    </row>
    <row r="6308" ht="15.0" hidden="1" customHeight="1">
      <c r="A6308" s="59">
        <f t="shared" si="20"/>
        <v>102</v>
      </c>
      <c r="B6308" s="59" t="str">
        <f t="shared" si="21"/>
        <v/>
      </c>
      <c r="C6308" s="59" t="str">
        <f t="shared" si="22"/>
        <v/>
      </c>
      <c r="D6308" s="45" t="str">
        <f t="shared" si="23"/>
        <v/>
      </c>
      <c r="E6308" s="45" t="str">
        <f t="shared" si="24"/>
        <v/>
      </c>
      <c r="F6308" s="59" t="str">
        <f t="shared" si="25"/>
        <v/>
      </c>
      <c r="G6308" s="59" t="str">
        <f t="shared" si="26"/>
        <v/>
      </c>
      <c r="H6308" s="59" t="str">
        <f t="shared" si="27"/>
        <v>28C02986</v>
      </c>
      <c r="I6308" s="59" t="str">
        <f>IF(OR($A6308="",$C6308="",$D6308="",$E6308="",$H6308=""),"",SUMIFS(DATA_GOC!$H:$H,DATA_GOC!$A:$A,"BOM",DATA_GOC!$D:$D,$H6308,DATA_GOC!$E:$E,$C6308,DATA_GOC!$F:$F,"Xuất nội bộ từ téc",DATA_GOC!$B:$B,"&gt;="&amp;$D6308,DATA_GOC!$B:$B,"&lt;="&amp;$E6308))</f>
        <v/>
      </c>
      <c r="J6308" s="59">
        <f t="shared" si="28"/>
        <v>0</v>
      </c>
      <c r="K6308" s="59">
        <f t="shared" si="29"/>
        <v>0</v>
      </c>
      <c r="L6308" s="59">
        <f t="shared" si="30"/>
        <v>0</v>
      </c>
      <c r="M6308" s="59">
        <f t="shared" si="31"/>
        <v>0</v>
      </c>
    </row>
    <row r="6309" ht="15.0" hidden="1" customHeight="1">
      <c r="A6309" s="59">
        <f t="shared" si="20"/>
        <v>102</v>
      </c>
      <c r="B6309" s="59" t="str">
        <f t="shared" si="21"/>
        <v/>
      </c>
      <c r="C6309" s="59" t="str">
        <f t="shared" si="22"/>
        <v/>
      </c>
      <c r="D6309" s="45" t="str">
        <f t="shared" si="23"/>
        <v/>
      </c>
      <c r="E6309" s="45" t="str">
        <f t="shared" si="24"/>
        <v/>
      </c>
      <c r="F6309" s="59" t="str">
        <f t="shared" si="25"/>
        <v/>
      </c>
      <c r="G6309" s="59" t="str">
        <f t="shared" si="26"/>
        <v/>
      </c>
      <c r="H6309" s="59" t="str">
        <f t="shared" si="27"/>
        <v>28C03261</v>
      </c>
      <c r="I6309" s="59" t="str">
        <f>IF(OR($A6309="",$C6309="",$D6309="",$E6309="",$H6309=""),"",SUMIFS(DATA_GOC!$H:$H,DATA_GOC!$A:$A,"BOM",DATA_GOC!$D:$D,$H6309,DATA_GOC!$E:$E,$C6309,DATA_GOC!$F:$F,"Xuất nội bộ từ téc",DATA_GOC!$B:$B,"&gt;="&amp;$D6309,DATA_GOC!$B:$B,"&lt;="&amp;$E6309))</f>
        <v/>
      </c>
      <c r="J6309" s="59">
        <f t="shared" si="28"/>
        <v>0</v>
      </c>
      <c r="K6309" s="59">
        <f t="shared" si="29"/>
        <v>0</v>
      </c>
      <c r="L6309" s="59">
        <f t="shared" si="30"/>
        <v>0</v>
      </c>
      <c r="M6309" s="59">
        <f t="shared" si="31"/>
        <v>0</v>
      </c>
    </row>
    <row r="6310" ht="15.0" hidden="1" customHeight="1">
      <c r="A6310" s="59">
        <f t="shared" si="20"/>
        <v>102</v>
      </c>
      <c r="B6310" s="59" t="str">
        <f t="shared" si="21"/>
        <v/>
      </c>
      <c r="C6310" s="59" t="str">
        <f t="shared" si="22"/>
        <v/>
      </c>
      <c r="D6310" s="45" t="str">
        <f t="shared" si="23"/>
        <v/>
      </c>
      <c r="E6310" s="45" t="str">
        <f t="shared" si="24"/>
        <v/>
      </c>
      <c r="F6310" s="59" t="str">
        <f t="shared" si="25"/>
        <v/>
      </c>
      <c r="G6310" s="59" t="str">
        <f t="shared" si="26"/>
        <v/>
      </c>
      <c r="H6310" s="59" t="str">
        <f t="shared" si="27"/>
        <v>28C03323</v>
      </c>
      <c r="I6310" s="59" t="str">
        <f>IF(OR($A6310="",$C6310="",$D6310="",$E6310="",$H6310=""),"",SUMIFS(DATA_GOC!$H:$H,DATA_GOC!$A:$A,"BOM",DATA_GOC!$D:$D,$H6310,DATA_GOC!$E:$E,$C6310,DATA_GOC!$F:$F,"Xuất nội bộ từ téc",DATA_GOC!$B:$B,"&gt;="&amp;$D6310,DATA_GOC!$B:$B,"&lt;="&amp;$E6310))</f>
        <v/>
      </c>
      <c r="J6310" s="59">
        <f t="shared" si="28"/>
        <v>0</v>
      </c>
      <c r="K6310" s="59">
        <f t="shared" si="29"/>
        <v>0</v>
      </c>
      <c r="L6310" s="59">
        <f t="shared" si="30"/>
        <v>0</v>
      </c>
      <c r="M6310" s="59">
        <f t="shared" si="31"/>
        <v>0</v>
      </c>
    </row>
    <row r="6311" ht="15.0" hidden="1" customHeight="1">
      <c r="A6311" s="59">
        <f t="shared" si="20"/>
        <v>102</v>
      </c>
      <c r="B6311" s="59" t="str">
        <f t="shared" si="21"/>
        <v/>
      </c>
      <c r="C6311" s="59" t="str">
        <f t="shared" si="22"/>
        <v/>
      </c>
      <c r="D6311" s="45" t="str">
        <f t="shared" si="23"/>
        <v/>
      </c>
      <c r="E6311" s="45" t="str">
        <f t="shared" si="24"/>
        <v/>
      </c>
      <c r="F6311" s="59" t="str">
        <f t="shared" si="25"/>
        <v/>
      </c>
      <c r="G6311" s="59" t="str">
        <f t="shared" si="26"/>
        <v/>
      </c>
      <c r="H6311" s="59" t="str">
        <f t="shared" si="27"/>
        <v>28C03385</v>
      </c>
      <c r="I6311" s="59" t="str">
        <f>IF(OR($A6311="",$C6311="",$D6311="",$E6311="",$H6311=""),"",SUMIFS(DATA_GOC!$H:$H,DATA_GOC!$A:$A,"BOM",DATA_GOC!$D:$D,$H6311,DATA_GOC!$E:$E,$C6311,DATA_GOC!$F:$F,"Xuất nội bộ từ téc",DATA_GOC!$B:$B,"&gt;="&amp;$D6311,DATA_GOC!$B:$B,"&lt;="&amp;$E6311))</f>
        <v/>
      </c>
      <c r="J6311" s="59">
        <f t="shared" si="28"/>
        <v>0</v>
      </c>
      <c r="K6311" s="59">
        <f t="shared" si="29"/>
        <v>0</v>
      </c>
      <c r="L6311" s="59">
        <f t="shared" si="30"/>
        <v>0</v>
      </c>
      <c r="M6311" s="59">
        <f t="shared" si="31"/>
        <v>0</v>
      </c>
    </row>
    <row r="6312" ht="15.0" hidden="1" customHeight="1">
      <c r="A6312" s="59">
        <f t="shared" si="20"/>
        <v>102</v>
      </c>
      <c r="B6312" s="59" t="str">
        <f t="shared" si="21"/>
        <v/>
      </c>
      <c r="C6312" s="59" t="str">
        <f t="shared" si="22"/>
        <v/>
      </c>
      <c r="D6312" s="45" t="str">
        <f t="shared" si="23"/>
        <v/>
      </c>
      <c r="E6312" s="45" t="str">
        <f t="shared" si="24"/>
        <v/>
      </c>
      <c r="F6312" s="59" t="str">
        <f t="shared" si="25"/>
        <v/>
      </c>
      <c r="G6312" s="59" t="str">
        <f t="shared" si="26"/>
        <v/>
      </c>
      <c r="H6312" s="59" t="str">
        <f t="shared" si="27"/>
        <v>28C03652</v>
      </c>
      <c r="I6312" s="59" t="str">
        <f>IF(OR($A6312="",$C6312="",$D6312="",$E6312="",$H6312=""),"",SUMIFS(DATA_GOC!$H:$H,DATA_GOC!$A:$A,"BOM",DATA_GOC!$D:$D,$H6312,DATA_GOC!$E:$E,$C6312,DATA_GOC!$F:$F,"Xuất nội bộ từ téc",DATA_GOC!$B:$B,"&gt;="&amp;$D6312,DATA_GOC!$B:$B,"&lt;="&amp;$E6312))</f>
        <v/>
      </c>
      <c r="J6312" s="59">
        <f t="shared" si="28"/>
        <v>0</v>
      </c>
      <c r="K6312" s="59">
        <f t="shared" si="29"/>
        <v>0</v>
      </c>
      <c r="L6312" s="59">
        <f t="shared" si="30"/>
        <v>0</v>
      </c>
      <c r="M6312" s="59">
        <f t="shared" si="31"/>
        <v>0</v>
      </c>
    </row>
    <row r="6313" ht="15.0" hidden="1" customHeight="1">
      <c r="A6313" s="59">
        <f t="shared" si="20"/>
        <v>102</v>
      </c>
      <c r="B6313" s="59" t="str">
        <f t="shared" si="21"/>
        <v/>
      </c>
      <c r="C6313" s="59" t="str">
        <f t="shared" si="22"/>
        <v/>
      </c>
      <c r="D6313" s="45" t="str">
        <f t="shared" si="23"/>
        <v/>
      </c>
      <c r="E6313" s="45" t="str">
        <f t="shared" si="24"/>
        <v/>
      </c>
      <c r="F6313" s="59" t="str">
        <f t="shared" si="25"/>
        <v/>
      </c>
      <c r="G6313" s="59" t="str">
        <f t="shared" si="26"/>
        <v/>
      </c>
      <c r="H6313" s="59" t="str">
        <f t="shared" si="27"/>
        <v>28C03695</v>
      </c>
      <c r="I6313" s="59" t="str">
        <f>IF(OR($A6313="",$C6313="",$D6313="",$E6313="",$H6313=""),"",SUMIFS(DATA_GOC!$H:$H,DATA_GOC!$A:$A,"BOM",DATA_GOC!$D:$D,$H6313,DATA_GOC!$E:$E,$C6313,DATA_GOC!$F:$F,"Xuất nội bộ từ téc",DATA_GOC!$B:$B,"&gt;="&amp;$D6313,DATA_GOC!$B:$B,"&lt;="&amp;$E6313))</f>
        <v/>
      </c>
      <c r="J6313" s="59">
        <f t="shared" si="28"/>
        <v>0</v>
      </c>
      <c r="K6313" s="59">
        <f t="shared" si="29"/>
        <v>0</v>
      </c>
      <c r="L6313" s="59">
        <f t="shared" si="30"/>
        <v>0</v>
      </c>
      <c r="M6313" s="59">
        <f t="shared" si="31"/>
        <v>0</v>
      </c>
    </row>
    <row r="6314" ht="15.0" hidden="1" customHeight="1">
      <c r="A6314" s="59">
        <f t="shared" si="20"/>
        <v>102</v>
      </c>
      <c r="B6314" s="59" t="str">
        <f t="shared" si="21"/>
        <v/>
      </c>
      <c r="C6314" s="59" t="str">
        <f t="shared" si="22"/>
        <v/>
      </c>
      <c r="D6314" s="45" t="str">
        <f t="shared" si="23"/>
        <v/>
      </c>
      <c r="E6314" s="45" t="str">
        <f t="shared" si="24"/>
        <v/>
      </c>
      <c r="F6314" s="59" t="str">
        <f t="shared" si="25"/>
        <v/>
      </c>
      <c r="G6314" s="59" t="str">
        <f t="shared" si="26"/>
        <v/>
      </c>
      <c r="H6314" s="59" t="str">
        <f t="shared" si="27"/>
        <v>28C03927</v>
      </c>
      <c r="I6314" s="59" t="str">
        <f>IF(OR($A6314="",$C6314="",$D6314="",$E6314="",$H6314=""),"",SUMIFS(DATA_GOC!$H:$H,DATA_GOC!$A:$A,"BOM",DATA_GOC!$D:$D,$H6314,DATA_GOC!$E:$E,$C6314,DATA_GOC!$F:$F,"Xuất nội bộ từ téc",DATA_GOC!$B:$B,"&gt;="&amp;$D6314,DATA_GOC!$B:$B,"&lt;="&amp;$E6314))</f>
        <v/>
      </c>
      <c r="J6314" s="59">
        <f t="shared" si="28"/>
        <v>0</v>
      </c>
      <c r="K6314" s="59">
        <f t="shared" si="29"/>
        <v>0</v>
      </c>
      <c r="L6314" s="59">
        <f t="shared" si="30"/>
        <v>0</v>
      </c>
      <c r="M6314" s="59">
        <f t="shared" si="31"/>
        <v>0</v>
      </c>
    </row>
    <row r="6315" ht="15.0" hidden="1" customHeight="1">
      <c r="A6315" s="59">
        <f t="shared" si="20"/>
        <v>102</v>
      </c>
      <c r="B6315" s="59" t="str">
        <f t="shared" si="21"/>
        <v/>
      </c>
      <c r="C6315" s="59" t="str">
        <f t="shared" si="22"/>
        <v/>
      </c>
      <c r="D6315" s="45" t="str">
        <f t="shared" si="23"/>
        <v/>
      </c>
      <c r="E6315" s="45" t="str">
        <f t="shared" si="24"/>
        <v/>
      </c>
      <c r="F6315" s="59" t="str">
        <f t="shared" si="25"/>
        <v/>
      </c>
      <c r="G6315" s="59" t="str">
        <f t="shared" si="26"/>
        <v/>
      </c>
      <c r="H6315" s="59" t="str">
        <f t="shared" si="27"/>
        <v>28C04509</v>
      </c>
      <c r="I6315" s="59" t="str">
        <f>IF(OR($A6315="",$C6315="",$D6315="",$E6315="",$H6315=""),"",SUMIFS(DATA_GOC!$H:$H,DATA_GOC!$A:$A,"BOM",DATA_GOC!$D:$D,$H6315,DATA_GOC!$E:$E,$C6315,DATA_GOC!$F:$F,"Xuất nội bộ từ téc",DATA_GOC!$B:$B,"&gt;="&amp;$D6315,DATA_GOC!$B:$B,"&lt;="&amp;$E6315))</f>
        <v/>
      </c>
      <c r="J6315" s="59">
        <f t="shared" si="28"/>
        <v>0</v>
      </c>
      <c r="K6315" s="59">
        <f t="shared" si="29"/>
        <v>0</v>
      </c>
      <c r="L6315" s="59">
        <f t="shared" si="30"/>
        <v>0</v>
      </c>
      <c r="M6315" s="59">
        <f t="shared" si="31"/>
        <v>0</v>
      </c>
    </row>
    <row r="6316" ht="15.0" hidden="1" customHeight="1">
      <c r="A6316" s="59">
        <f t="shared" si="20"/>
        <v>102</v>
      </c>
      <c r="B6316" s="59" t="str">
        <f t="shared" si="21"/>
        <v/>
      </c>
      <c r="C6316" s="59" t="str">
        <f t="shared" si="22"/>
        <v/>
      </c>
      <c r="D6316" s="45" t="str">
        <f t="shared" si="23"/>
        <v/>
      </c>
      <c r="E6316" s="45" t="str">
        <f t="shared" si="24"/>
        <v/>
      </c>
      <c r="F6316" s="59" t="str">
        <f t="shared" si="25"/>
        <v/>
      </c>
      <c r="G6316" s="59" t="str">
        <f t="shared" si="26"/>
        <v/>
      </c>
      <c r="H6316" s="59" t="str">
        <f t="shared" si="27"/>
        <v>28C04536</v>
      </c>
      <c r="I6316" s="59" t="str">
        <f>IF(OR($A6316="",$C6316="",$D6316="",$E6316="",$H6316=""),"",SUMIFS(DATA_GOC!$H:$H,DATA_GOC!$A:$A,"BOM",DATA_GOC!$D:$D,$H6316,DATA_GOC!$E:$E,$C6316,DATA_GOC!$F:$F,"Xuất nội bộ từ téc",DATA_GOC!$B:$B,"&gt;="&amp;$D6316,DATA_GOC!$B:$B,"&lt;="&amp;$E6316))</f>
        <v/>
      </c>
      <c r="J6316" s="59">
        <f t="shared" si="28"/>
        <v>0</v>
      </c>
      <c r="K6316" s="59">
        <f t="shared" si="29"/>
        <v>0</v>
      </c>
      <c r="L6316" s="59">
        <f t="shared" si="30"/>
        <v>0</v>
      </c>
      <c r="M6316" s="59">
        <f t="shared" si="31"/>
        <v>0</v>
      </c>
    </row>
    <row r="6317" ht="15.0" hidden="1" customHeight="1">
      <c r="A6317" s="59">
        <f t="shared" si="20"/>
        <v>102</v>
      </c>
      <c r="B6317" s="59" t="str">
        <f t="shared" si="21"/>
        <v/>
      </c>
      <c r="C6317" s="59" t="str">
        <f t="shared" si="22"/>
        <v/>
      </c>
      <c r="D6317" s="45" t="str">
        <f t="shared" si="23"/>
        <v/>
      </c>
      <c r="E6317" s="45" t="str">
        <f t="shared" si="24"/>
        <v/>
      </c>
      <c r="F6317" s="59" t="str">
        <f t="shared" si="25"/>
        <v/>
      </c>
      <c r="G6317" s="59" t="str">
        <f t="shared" si="26"/>
        <v/>
      </c>
      <c r="H6317" s="59" t="str">
        <f t="shared" si="27"/>
        <v>28C04576</v>
      </c>
      <c r="I6317" s="59" t="str">
        <f>IF(OR($A6317="",$C6317="",$D6317="",$E6317="",$H6317=""),"",SUMIFS(DATA_GOC!$H:$H,DATA_GOC!$A:$A,"BOM",DATA_GOC!$D:$D,$H6317,DATA_GOC!$E:$E,$C6317,DATA_GOC!$F:$F,"Xuất nội bộ từ téc",DATA_GOC!$B:$B,"&gt;="&amp;$D6317,DATA_GOC!$B:$B,"&lt;="&amp;$E6317))</f>
        <v/>
      </c>
      <c r="J6317" s="59">
        <f t="shared" si="28"/>
        <v>0</v>
      </c>
      <c r="K6317" s="59">
        <f t="shared" si="29"/>
        <v>0</v>
      </c>
      <c r="L6317" s="59">
        <f t="shared" si="30"/>
        <v>0</v>
      </c>
      <c r="M6317" s="59">
        <f t="shared" si="31"/>
        <v>0</v>
      </c>
    </row>
    <row r="6318" ht="15.0" hidden="1" customHeight="1">
      <c r="A6318" s="59">
        <f t="shared" si="20"/>
        <v>102</v>
      </c>
      <c r="B6318" s="59" t="str">
        <f t="shared" si="21"/>
        <v/>
      </c>
      <c r="C6318" s="59" t="str">
        <f t="shared" si="22"/>
        <v/>
      </c>
      <c r="D6318" s="45" t="str">
        <f t="shared" si="23"/>
        <v/>
      </c>
      <c r="E6318" s="45" t="str">
        <f t="shared" si="24"/>
        <v/>
      </c>
      <c r="F6318" s="59" t="str">
        <f t="shared" si="25"/>
        <v/>
      </c>
      <c r="G6318" s="59" t="str">
        <f t="shared" si="26"/>
        <v/>
      </c>
      <c r="H6318" s="59" t="str">
        <f t="shared" si="27"/>
        <v>28C05090</v>
      </c>
      <c r="I6318" s="59" t="str">
        <f>IF(OR($A6318="",$C6318="",$D6318="",$E6318="",$H6318=""),"",SUMIFS(DATA_GOC!$H:$H,DATA_GOC!$A:$A,"BOM",DATA_GOC!$D:$D,$H6318,DATA_GOC!$E:$E,$C6318,DATA_GOC!$F:$F,"Xuất nội bộ từ téc",DATA_GOC!$B:$B,"&gt;="&amp;$D6318,DATA_GOC!$B:$B,"&lt;="&amp;$E6318))</f>
        <v/>
      </c>
      <c r="J6318" s="59">
        <f t="shared" si="28"/>
        <v>0</v>
      </c>
      <c r="K6318" s="59">
        <f t="shared" si="29"/>
        <v>0</v>
      </c>
      <c r="L6318" s="59">
        <f t="shared" si="30"/>
        <v>0</v>
      </c>
      <c r="M6318" s="59">
        <f t="shared" si="31"/>
        <v>0</v>
      </c>
    </row>
    <row r="6319" ht="15.0" hidden="1" customHeight="1">
      <c r="A6319" s="59">
        <f t="shared" si="20"/>
        <v>102</v>
      </c>
      <c r="B6319" s="59" t="str">
        <f t="shared" si="21"/>
        <v/>
      </c>
      <c r="C6319" s="59" t="str">
        <f t="shared" si="22"/>
        <v/>
      </c>
      <c r="D6319" s="45" t="str">
        <f t="shared" si="23"/>
        <v/>
      </c>
      <c r="E6319" s="45" t="str">
        <f t="shared" si="24"/>
        <v/>
      </c>
      <c r="F6319" s="59" t="str">
        <f t="shared" si="25"/>
        <v/>
      </c>
      <c r="G6319" s="59" t="str">
        <f t="shared" si="26"/>
        <v/>
      </c>
      <c r="H6319" s="59" t="str">
        <f t="shared" si="27"/>
        <v>28C05345</v>
      </c>
      <c r="I6319" s="59" t="str">
        <f>IF(OR($A6319="",$C6319="",$D6319="",$E6319="",$H6319=""),"",SUMIFS(DATA_GOC!$H:$H,DATA_GOC!$A:$A,"BOM",DATA_GOC!$D:$D,$H6319,DATA_GOC!$E:$E,$C6319,DATA_GOC!$F:$F,"Xuất nội bộ từ téc",DATA_GOC!$B:$B,"&gt;="&amp;$D6319,DATA_GOC!$B:$B,"&lt;="&amp;$E6319))</f>
        <v/>
      </c>
      <c r="J6319" s="59">
        <f t="shared" si="28"/>
        <v>0</v>
      </c>
      <c r="K6319" s="59">
        <f t="shared" si="29"/>
        <v>0</v>
      </c>
      <c r="L6319" s="59">
        <f t="shared" si="30"/>
        <v>0</v>
      </c>
      <c r="M6319" s="59">
        <f t="shared" si="31"/>
        <v>0</v>
      </c>
    </row>
    <row r="6320" ht="15.0" hidden="1" customHeight="1">
      <c r="A6320" s="59">
        <f t="shared" si="20"/>
        <v>102</v>
      </c>
      <c r="B6320" s="59" t="str">
        <f t="shared" si="21"/>
        <v/>
      </c>
      <c r="C6320" s="59" t="str">
        <f t="shared" si="22"/>
        <v/>
      </c>
      <c r="D6320" s="45" t="str">
        <f t="shared" si="23"/>
        <v/>
      </c>
      <c r="E6320" s="45" t="str">
        <f t="shared" si="24"/>
        <v/>
      </c>
      <c r="F6320" s="59" t="str">
        <f t="shared" si="25"/>
        <v/>
      </c>
      <c r="G6320" s="59" t="str">
        <f t="shared" si="26"/>
        <v/>
      </c>
      <c r="H6320" s="59" t="str">
        <f t="shared" si="27"/>
        <v>28C05661</v>
      </c>
      <c r="I6320" s="59" t="str">
        <f>IF(OR($A6320="",$C6320="",$D6320="",$E6320="",$H6320=""),"",SUMIFS(DATA_GOC!$H:$H,DATA_GOC!$A:$A,"BOM",DATA_GOC!$D:$D,$H6320,DATA_GOC!$E:$E,$C6320,DATA_GOC!$F:$F,"Xuất nội bộ từ téc",DATA_GOC!$B:$B,"&gt;="&amp;$D6320,DATA_GOC!$B:$B,"&lt;="&amp;$E6320))</f>
        <v/>
      </c>
      <c r="J6320" s="59">
        <f t="shared" si="28"/>
        <v>0</v>
      </c>
      <c r="K6320" s="59">
        <f t="shared" si="29"/>
        <v>0</v>
      </c>
      <c r="L6320" s="59">
        <f t="shared" si="30"/>
        <v>0</v>
      </c>
      <c r="M6320" s="59">
        <f t="shared" si="31"/>
        <v>0</v>
      </c>
    </row>
    <row r="6321" ht="15.0" hidden="1" customHeight="1">
      <c r="A6321" s="59">
        <f t="shared" si="20"/>
        <v>102</v>
      </c>
      <c r="B6321" s="59" t="str">
        <f t="shared" si="21"/>
        <v/>
      </c>
      <c r="C6321" s="59" t="str">
        <f t="shared" si="22"/>
        <v/>
      </c>
      <c r="D6321" s="45" t="str">
        <f t="shared" si="23"/>
        <v/>
      </c>
      <c r="E6321" s="45" t="str">
        <f t="shared" si="24"/>
        <v/>
      </c>
      <c r="F6321" s="59" t="str">
        <f t="shared" si="25"/>
        <v/>
      </c>
      <c r="G6321" s="59" t="str">
        <f t="shared" si="26"/>
        <v/>
      </c>
      <c r="H6321" s="59" t="str">
        <f t="shared" si="27"/>
        <v>28C05739</v>
      </c>
      <c r="I6321" s="59" t="str">
        <f>IF(OR($A6321="",$C6321="",$D6321="",$E6321="",$H6321=""),"",SUMIFS(DATA_GOC!$H:$H,DATA_GOC!$A:$A,"BOM",DATA_GOC!$D:$D,$H6321,DATA_GOC!$E:$E,$C6321,DATA_GOC!$F:$F,"Xuất nội bộ từ téc",DATA_GOC!$B:$B,"&gt;="&amp;$D6321,DATA_GOC!$B:$B,"&lt;="&amp;$E6321))</f>
        <v/>
      </c>
      <c r="J6321" s="59">
        <f t="shared" si="28"/>
        <v>0</v>
      </c>
      <c r="K6321" s="59">
        <f t="shared" si="29"/>
        <v>0</v>
      </c>
      <c r="L6321" s="59">
        <f t="shared" si="30"/>
        <v>0</v>
      </c>
      <c r="M6321" s="59">
        <f t="shared" si="31"/>
        <v>0</v>
      </c>
    </row>
    <row r="6322" ht="15.0" hidden="1" customHeight="1">
      <c r="A6322" s="59">
        <f t="shared" si="20"/>
        <v>102</v>
      </c>
      <c r="B6322" s="59" t="str">
        <f t="shared" si="21"/>
        <v/>
      </c>
      <c r="C6322" s="59" t="str">
        <f t="shared" si="22"/>
        <v/>
      </c>
      <c r="D6322" s="45" t="str">
        <f t="shared" si="23"/>
        <v/>
      </c>
      <c r="E6322" s="45" t="str">
        <f t="shared" si="24"/>
        <v/>
      </c>
      <c r="F6322" s="59" t="str">
        <f t="shared" si="25"/>
        <v/>
      </c>
      <c r="G6322" s="59" t="str">
        <f t="shared" si="26"/>
        <v/>
      </c>
      <c r="H6322" s="59" t="str">
        <f t="shared" si="27"/>
        <v>28C06369</v>
      </c>
      <c r="I6322" s="59" t="str">
        <f>IF(OR($A6322="",$C6322="",$D6322="",$E6322="",$H6322=""),"",SUMIFS(DATA_GOC!$H:$H,DATA_GOC!$A:$A,"BOM",DATA_GOC!$D:$D,$H6322,DATA_GOC!$E:$E,$C6322,DATA_GOC!$F:$F,"Xuất nội bộ từ téc",DATA_GOC!$B:$B,"&gt;="&amp;$D6322,DATA_GOC!$B:$B,"&lt;="&amp;$E6322))</f>
        <v/>
      </c>
      <c r="J6322" s="59">
        <f t="shared" si="28"/>
        <v>0</v>
      </c>
      <c r="K6322" s="59">
        <f t="shared" si="29"/>
        <v>0</v>
      </c>
      <c r="L6322" s="59">
        <f t="shared" si="30"/>
        <v>0</v>
      </c>
      <c r="M6322" s="59">
        <f t="shared" si="31"/>
        <v>0</v>
      </c>
    </row>
    <row r="6323" ht="15.0" hidden="1" customHeight="1">
      <c r="A6323" s="59">
        <f t="shared" si="20"/>
        <v>102</v>
      </c>
      <c r="B6323" s="59" t="str">
        <f t="shared" si="21"/>
        <v/>
      </c>
      <c r="C6323" s="59" t="str">
        <f t="shared" si="22"/>
        <v/>
      </c>
      <c r="D6323" s="45" t="str">
        <f t="shared" si="23"/>
        <v/>
      </c>
      <c r="E6323" s="45" t="str">
        <f t="shared" si="24"/>
        <v/>
      </c>
      <c r="F6323" s="59" t="str">
        <f t="shared" si="25"/>
        <v/>
      </c>
      <c r="G6323" s="59" t="str">
        <f t="shared" si="26"/>
        <v/>
      </c>
      <c r="H6323" s="59" t="str">
        <f t="shared" si="27"/>
        <v>28C06447</v>
      </c>
      <c r="I6323" s="59" t="str">
        <f>IF(OR($A6323="",$C6323="",$D6323="",$E6323="",$H6323=""),"",SUMIFS(DATA_GOC!$H:$H,DATA_GOC!$A:$A,"BOM",DATA_GOC!$D:$D,$H6323,DATA_GOC!$E:$E,$C6323,DATA_GOC!$F:$F,"Xuất nội bộ từ téc",DATA_GOC!$B:$B,"&gt;="&amp;$D6323,DATA_GOC!$B:$B,"&lt;="&amp;$E6323))</f>
        <v/>
      </c>
      <c r="J6323" s="59">
        <f t="shared" si="28"/>
        <v>0</v>
      </c>
      <c r="K6323" s="59">
        <f t="shared" si="29"/>
        <v>0</v>
      </c>
      <c r="L6323" s="59">
        <f t="shared" si="30"/>
        <v>0</v>
      </c>
      <c r="M6323" s="59">
        <f t="shared" si="31"/>
        <v>0</v>
      </c>
    </row>
    <row r="6324" ht="15.0" hidden="1" customHeight="1">
      <c r="A6324" s="59">
        <f t="shared" si="20"/>
        <v>102</v>
      </c>
      <c r="B6324" s="59" t="str">
        <f t="shared" si="21"/>
        <v/>
      </c>
      <c r="C6324" s="59" t="str">
        <f t="shared" si="22"/>
        <v/>
      </c>
      <c r="D6324" s="45" t="str">
        <f t="shared" si="23"/>
        <v/>
      </c>
      <c r="E6324" s="45" t="str">
        <f t="shared" si="24"/>
        <v/>
      </c>
      <c r="F6324" s="59" t="str">
        <f t="shared" si="25"/>
        <v/>
      </c>
      <c r="G6324" s="59" t="str">
        <f t="shared" si="26"/>
        <v/>
      </c>
      <c r="H6324" s="59" t="str">
        <f t="shared" si="27"/>
        <v>28H00003</v>
      </c>
      <c r="I6324" s="59" t="str">
        <f>IF(OR($A6324="",$C6324="",$D6324="",$E6324="",$H6324=""),"",SUMIFS(DATA_GOC!$H:$H,DATA_GOC!$A:$A,"BOM",DATA_GOC!$D:$D,$H6324,DATA_GOC!$E:$E,$C6324,DATA_GOC!$F:$F,"Xuất nội bộ từ téc",DATA_GOC!$B:$B,"&gt;="&amp;$D6324,DATA_GOC!$B:$B,"&lt;="&amp;$E6324))</f>
        <v/>
      </c>
      <c r="J6324" s="59">
        <f t="shared" si="28"/>
        <v>0</v>
      </c>
      <c r="K6324" s="59">
        <f t="shared" si="29"/>
        <v>0</v>
      </c>
      <c r="L6324" s="59">
        <f t="shared" si="30"/>
        <v>0</v>
      </c>
      <c r="M6324" s="59">
        <f t="shared" si="31"/>
        <v>0</v>
      </c>
    </row>
    <row r="6325" ht="15.0" hidden="1" customHeight="1">
      <c r="A6325" s="59">
        <f t="shared" si="20"/>
        <v>102</v>
      </c>
      <c r="B6325" s="59" t="str">
        <f t="shared" si="21"/>
        <v/>
      </c>
      <c r="C6325" s="59" t="str">
        <f t="shared" si="22"/>
        <v/>
      </c>
      <c r="D6325" s="45" t="str">
        <f t="shared" si="23"/>
        <v/>
      </c>
      <c r="E6325" s="45" t="str">
        <f t="shared" si="24"/>
        <v/>
      </c>
      <c r="F6325" s="59" t="str">
        <f t="shared" si="25"/>
        <v/>
      </c>
      <c r="G6325" s="59" t="str">
        <f t="shared" si="26"/>
        <v/>
      </c>
      <c r="H6325" s="59" t="str">
        <f t="shared" si="27"/>
        <v>28H00061</v>
      </c>
      <c r="I6325" s="59" t="str">
        <f>IF(OR($A6325="",$C6325="",$D6325="",$E6325="",$H6325=""),"",SUMIFS(DATA_GOC!$H:$H,DATA_GOC!$A:$A,"BOM",DATA_GOC!$D:$D,$H6325,DATA_GOC!$E:$E,$C6325,DATA_GOC!$F:$F,"Xuất nội bộ từ téc",DATA_GOC!$B:$B,"&gt;="&amp;$D6325,DATA_GOC!$B:$B,"&lt;="&amp;$E6325))</f>
        <v/>
      </c>
      <c r="J6325" s="59">
        <f t="shared" si="28"/>
        <v>0</v>
      </c>
      <c r="K6325" s="59">
        <f t="shared" si="29"/>
        <v>0</v>
      </c>
      <c r="L6325" s="59">
        <f t="shared" si="30"/>
        <v>0</v>
      </c>
      <c r="M6325" s="59">
        <f t="shared" si="31"/>
        <v>0</v>
      </c>
    </row>
    <row r="6326" ht="15.0" hidden="1" customHeight="1">
      <c r="A6326" s="59">
        <f t="shared" si="20"/>
        <v>102</v>
      </c>
      <c r="B6326" s="59" t="str">
        <f t="shared" si="21"/>
        <v/>
      </c>
      <c r="C6326" s="59" t="str">
        <f t="shared" si="22"/>
        <v/>
      </c>
      <c r="D6326" s="45" t="str">
        <f t="shared" si="23"/>
        <v/>
      </c>
      <c r="E6326" s="45" t="str">
        <f t="shared" si="24"/>
        <v/>
      </c>
      <c r="F6326" s="59" t="str">
        <f t="shared" si="25"/>
        <v/>
      </c>
      <c r="G6326" s="59" t="str">
        <f t="shared" si="26"/>
        <v/>
      </c>
      <c r="H6326" s="59" t="str">
        <f t="shared" si="27"/>
        <v>28H00354</v>
      </c>
      <c r="I6326" s="59" t="str">
        <f>IF(OR($A6326="",$C6326="",$D6326="",$E6326="",$H6326=""),"",SUMIFS(DATA_GOC!$H:$H,DATA_GOC!$A:$A,"BOM",DATA_GOC!$D:$D,$H6326,DATA_GOC!$E:$E,$C6326,DATA_GOC!$F:$F,"Xuất nội bộ từ téc",DATA_GOC!$B:$B,"&gt;="&amp;$D6326,DATA_GOC!$B:$B,"&lt;="&amp;$E6326))</f>
        <v/>
      </c>
      <c r="J6326" s="59">
        <f t="shared" si="28"/>
        <v>0</v>
      </c>
      <c r="K6326" s="59">
        <f t="shared" si="29"/>
        <v>0</v>
      </c>
      <c r="L6326" s="59">
        <f t="shared" si="30"/>
        <v>0</v>
      </c>
      <c r="M6326" s="59">
        <f t="shared" si="31"/>
        <v>0</v>
      </c>
    </row>
    <row r="6327" ht="15.0" hidden="1" customHeight="1">
      <c r="A6327" s="59">
        <f t="shared" si="20"/>
        <v>102</v>
      </c>
      <c r="B6327" s="59" t="str">
        <f t="shared" si="21"/>
        <v/>
      </c>
      <c r="C6327" s="59" t="str">
        <f t="shared" si="22"/>
        <v/>
      </c>
      <c r="D6327" s="45" t="str">
        <f t="shared" si="23"/>
        <v/>
      </c>
      <c r="E6327" s="45" t="str">
        <f t="shared" si="24"/>
        <v/>
      </c>
      <c r="F6327" s="59" t="str">
        <f t="shared" si="25"/>
        <v/>
      </c>
      <c r="G6327" s="59" t="str">
        <f t="shared" si="26"/>
        <v/>
      </c>
      <c r="H6327" s="59" t="str">
        <f t="shared" si="27"/>
        <v>28H00603</v>
      </c>
      <c r="I6327" s="59" t="str">
        <f>IF(OR($A6327="",$C6327="",$D6327="",$E6327="",$H6327=""),"",SUMIFS(DATA_GOC!$H:$H,DATA_GOC!$A:$A,"BOM",DATA_GOC!$D:$D,$H6327,DATA_GOC!$E:$E,$C6327,DATA_GOC!$F:$F,"Xuất nội bộ từ téc",DATA_GOC!$B:$B,"&gt;="&amp;$D6327,DATA_GOC!$B:$B,"&lt;="&amp;$E6327))</f>
        <v/>
      </c>
      <c r="J6327" s="59">
        <f t="shared" si="28"/>
        <v>0</v>
      </c>
      <c r="K6327" s="59">
        <f t="shared" si="29"/>
        <v>0</v>
      </c>
      <c r="L6327" s="59">
        <f t="shared" si="30"/>
        <v>0</v>
      </c>
      <c r="M6327" s="59">
        <f t="shared" si="31"/>
        <v>0</v>
      </c>
    </row>
    <row r="6328" ht="15.0" hidden="1" customHeight="1">
      <c r="A6328" s="59">
        <f t="shared" si="20"/>
        <v>102</v>
      </c>
      <c r="B6328" s="59" t="str">
        <f t="shared" si="21"/>
        <v/>
      </c>
      <c r="C6328" s="59" t="str">
        <f t="shared" si="22"/>
        <v/>
      </c>
      <c r="D6328" s="45" t="str">
        <f t="shared" si="23"/>
        <v/>
      </c>
      <c r="E6328" s="45" t="str">
        <f t="shared" si="24"/>
        <v/>
      </c>
      <c r="F6328" s="59" t="str">
        <f t="shared" si="25"/>
        <v/>
      </c>
      <c r="G6328" s="59" t="str">
        <f t="shared" si="26"/>
        <v/>
      </c>
      <c r="H6328" s="59" t="str">
        <f t="shared" si="27"/>
        <v>28H00609</v>
      </c>
      <c r="I6328" s="59" t="str">
        <f>IF(OR($A6328="",$C6328="",$D6328="",$E6328="",$H6328=""),"",SUMIFS(DATA_GOC!$H:$H,DATA_GOC!$A:$A,"BOM",DATA_GOC!$D:$D,$H6328,DATA_GOC!$E:$E,$C6328,DATA_GOC!$F:$F,"Xuất nội bộ từ téc",DATA_GOC!$B:$B,"&gt;="&amp;$D6328,DATA_GOC!$B:$B,"&lt;="&amp;$E6328))</f>
        <v/>
      </c>
      <c r="J6328" s="59">
        <f t="shared" si="28"/>
        <v>0</v>
      </c>
      <c r="K6328" s="59">
        <f t="shared" si="29"/>
        <v>0</v>
      </c>
      <c r="L6328" s="59">
        <f t="shared" si="30"/>
        <v>0</v>
      </c>
      <c r="M6328" s="59">
        <f t="shared" si="31"/>
        <v>0</v>
      </c>
    </row>
    <row r="6329" ht="15.0" hidden="1" customHeight="1">
      <c r="A6329" s="59">
        <f t="shared" si="20"/>
        <v>102</v>
      </c>
      <c r="B6329" s="59" t="str">
        <f t="shared" si="21"/>
        <v/>
      </c>
      <c r="C6329" s="59" t="str">
        <f t="shared" si="22"/>
        <v/>
      </c>
      <c r="D6329" s="45" t="str">
        <f t="shared" si="23"/>
        <v/>
      </c>
      <c r="E6329" s="45" t="str">
        <f t="shared" si="24"/>
        <v/>
      </c>
      <c r="F6329" s="59" t="str">
        <f t="shared" si="25"/>
        <v/>
      </c>
      <c r="G6329" s="59" t="str">
        <f t="shared" si="26"/>
        <v/>
      </c>
      <c r="H6329" s="59" t="str">
        <f t="shared" si="27"/>
        <v>28H00669</v>
      </c>
      <c r="I6329" s="59" t="str">
        <f>IF(OR($A6329="",$C6329="",$D6329="",$E6329="",$H6329=""),"",SUMIFS(DATA_GOC!$H:$H,DATA_GOC!$A:$A,"BOM",DATA_GOC!$D:$D,$H6329,DATA_GOC!$E:$E,$C6329,DATA_GOC!$F:$F,"Xuất nội bộ từ téc",DATA_GOC!$B:$B,"&gt;="&amp;$D6329,DATA_GOC!$B:$B,"&lt;="&amp;$E6329))</f>
        <v/>
      </c>
      <c r="J6329" s="59">
        <f t="shared" si="28"/>
        <v>0</v>
      </c>
      <c r="K6329" s="59">
        <f t="shared" si="29"/>
        <v>0</v>
      </c>
      <c r="L6329" s="59">
        <f t="shared" si="30"/>
        <v>0</v>
      </c>
      <c r="M6329" s="59">
        <f t="shared" si="31"/>
        <v>0</v>
      </c>
    </row>
    <row r="6330" ht="15.0" hidden="1" customHeight="1">
      <c r="A6330" s="59">
        <f t="shared" si="20"/>
        <v>102</v>
      </c>
      <c r="B6330" s="59" t="str">
        <f t="shared" si="21"/>
        <v/>
      </c>
      <c r="C6330" s="59" t="str">
        <f t="shared" si="22"/>
        <v/>
      </c>
      <c r="D6330" s="45" t="str">
        <f t="shared" si="23"/>
        <v/>
      </c>
      <c r="E6330" s="45" t="str">
        <f t="shared" si="24"/>
        <v/>
      </c>
      <c r="F6330" s="59" t="str">
        <f t="shared" si="25"/>
        <v/>
      </c>
      <c r="G6330" s="59" t="str">
        <f t="shared" si="26"/>
        <v/>
      </c>
      <c r="H6330" s="59" t="str">
        <f t="shared" si="27"/>
        <v>28H00680</v>
      </c>
      <c r="I6330" s="59" t="str">
        <f>IF(OR($A6330="",$C6330="",$D6330="",$E6330="",$H6330=""),"",SUMIFS(DATA_GOC!$H:$H,DATA_GOC!$A:$A,"BOM",DATA_GOC!$D:$D,$H6330,DATA_GOC!$E:$E,$C6330,DATA_GOC!$F:$F,"Xuất nội bộ từ téc",DATA_GOC!$B:$B,"&gt;="&amp;$D6330,DATA_GOC!$B:$B,"&lt;="&amp;$E6330))</f>
        <v/>
      </c>
      <c r="J6330" s="59">
        <f t="shared" si="28"/>
        <v>0</v>
      </c>
      <c r="K6330" s="59">
        <f t="shared" si="29"/>
        <v>0</v>
      </c>
      <c r="L6330" s="59">
        <f t="shared" si="30"/>
        <v>0</v>
      </c>
      <c r="M6330" s="59">
        <f t="shared" si="31"/>
        <v>0</v>
      </c>
    </row>
    <row r="6331" ht="15.0" hidden="1" customHeight="1">
      <c r="A6331" s="59">
        <f t="shared" si="20"/>
        <v>102</v>
      </c>
      <c r="B6331" s="59" t="str">
        <f t="shared" si="21"/>
        <v/>
      </c>
      <c r="C6331" s="59" t="str">
        <f t="shared" si="22"/>
        <v/>
      </c>
      <c r="D6331" s="45" t="str">
        <f t="shared" si="23"/>
        <v/>
      </c>
      <c r="E6331" s="45" t="str">
        <f t="shared" si="24"/>
        <v/>
      </c>
      <c r="F6331" s="59" t="str">
        <f t="shared" si="25"/>
        <v/>
      </c>
      <c r="G6331" s="59" t="str">
        <f t="shared" si="26"/>
        <v/>
      </c>
      <c r="H6331" s="59" t="str">
        <f t="shared" si="27"/>
        <v>28H01070</v>
      </c>
      <c r="I6331" s="59" t="str">
        <f>IF(OR($A6331="",$C6331="",$D6331="",$E6331="",$H6331=""),"",SUMIFS(DATA_GOC!$H:$H,DATA_GOC!$A:$A,"BOM",DATA_GOC!$D:$D,$H6331,DATA_GOC!$E:$E,$C6331,DATA_GOC!$F:$F,"Xuất nội bộ từ téc",DATA_GOC!$B:$B,"&gt;="&amp;$D6331,DATA_GOC!$B:$B,"&lt;="&amp;$E6331))</f>
        <v/>
      </c>
      <c r="J6331" s="59">
        <f t="shared" si="28"/>
        <v>0</v>
      </c>
      <c r="K6331" s="59">
        <f t="shared" si="29"/>
        <v>0</v>
      </c>
      <c r="L6331" s="59">
        <f t="shared" si="30"/>
        <v>0</v>
      </c>
      <c r="M6331" s="59">
        <f t="shared" si="31"/>
        <v>0</v>
      </c>
    </row>
    <row r="6332" ht="15.0" hidden="1" customHeight="1">
      <c r="A6332" s="59">
        <f t="shared" si="20"/>
        <v>102</v>
      </c>
      <c r="B6332" s="59" t="str">
        <f t="shared" si="21"/>
        <v/>
      </c>
      <c r="C6332" s="59" t="str">
        <f t="shared" si="22"/>
        <v/>
      </c>
      <c r="D6332" s="45" t="str">
        <f t="shared" si="23"/>
        <v/>
      </c>
      <c r="E6332" s="45" t="str">
        <f t="shared" si="24"/>
        <v/>
      </c>
      <c r="F6332" s="59" t="str">
        <f t="shared" si="25"/>
        <v/>
      </c>
      <c r="G6332" s="59" t="str">
        <f t="shared" si="26"/>
        <v/>
      </c>
      <c r="H6332" s="59" t="str">
        <f t="shared" si="27"/>
        <v>28H01364</v>
      </c>
      <c r="I6332" s="59" t="str">
        <f>IF(OR($A6332="",$C6332="",$D6332="",$E6332="",$H6332=""),"",SUMIFS(DATA_GOC!$H:$H,DATA_GOC!$A:$A,"BOM",DATA_GOC!$D:$D,$H6332,DATA_GOC!$E:$E,$C6332,DATA_GOC!$F:$F,"Xuất nội bộ từ téc",DATA_GOC!$B:$B,"&gt;="&amp;$D6332,DATA_GOC!$B:$B,"&lt;="&amp;$E6332))</f>
        <v/>
      </c>
      <c r="J6332" s="59">
        <f t="shared" si="28"/>
        <v>0</v>
      </c>
      <c r="K6332" s="59">
        <f t="shared" si="29"/>
        <v>0</v>
      </c>
      <c r="L6332" s="59">
        <f t="shared" si="30"/>
        <v>0</v>
      </c>
      <c r="M6332" s="59">
        <f t="shared" si="31"/>
        <v>0</v>
      </c>
    </row>
    <row r="6333" ht="15.0" hidden="1" customHeight="1">
      <c r="A6333" s="59">
        <f t="shared" si="20"/>
        <v>102</v>
      </c>
      <c r="B6333" s="59" t="str">
        <f t="shared" si="21"/>
        <v/>
      </c>
      <c r="C6333" s="59" t="str">
        <f t="shared" si="22"/>
        <v/>
      </c>
      <c r="D6333" s="45" t="str">
        <f t="shared" si="23"/>
        <v/>
      </c>
      <c r="E6333" s="45" t="str">
        <f t="shared" si="24"/>
        <v/>
      </c>
      <c r="F6333" s="59" t="str">
        <f t="shared" si="25"/>
        <v/>
      </c>
      <c r="G6333" s="59" t="str">
        <f t="shared" si="26"/>
        <v/>
      </c>
      <c r="H6333" s="59" t="str">
        <f t="shared" si="27"/>
        <v>29E17269</v>
      </c>
      <c r="I6333" s="59" t="str">
        <f>IF(OR($A6333="",$C6333="",$D6333="",$E6333="",$H6333=""),"",SUMIFS(DATA_GOC!$H:$H,DATA_GOC!$A:$A,"BOM",DATA_GOC!$D:$D,$H6333,DATA_GOC!$E:$E,$C6333,DATA_GOC!$F:$F,"Xuất nội bộ từ téc",DATA_GOC!$B:$B,"&gt;="&amp;$D6333,DATA_GOC!$B:$B,"&lt;="&amp;$E6333))</f>
        <v/>
      </c>
      <c r="J6333" s="59">
        <f t="shared" si="28"/>
        <v>0</v>
      </c>
      <c r="K6333" s="59">
        <f t="shared" si="29"/>
        <v>0</v>
      </c>
      <c r="L6333" s="59">
        <f t="shared" si="30"/>
        <v>0</v>
      </c>
      <c r="M6333" s="59">
        <f t="shared" si="31"/>
        <v>0</v>
      </c>
    </row>
    <row r="6334" ht="15.0" hidden="1" customHeight="1">
      <c r="A6334" s="59">
        <f t="shared" si="20"/>
        <v>102</v>
      </c>
      <c r="B6334" s="59" t="str">
        <f t="shared" si="21"/>
        <v/>
      </c>
      <c r="C6334" s="59" t="str">
        <f t="shared" si="22"/>
        <v/>
      </c>
      <c r="D6334" s="45" t="str">
        <f t="shared" si="23"/>
        <v/>
      </c>
      <c r="E6334" s="45" t="str">
        <f t="shared" si="24"/>
        <v/>
      </c>
      <c r="F6334" s="59" t="str">
        <f t="shared" si="25"/>
        <v/>
      </c>
      <c r="G6334" s="59" t="str">
        <f t="shared" si="26"/>
        <v/>
      </c>
      <c r="H6334" s="59" t="str">
        <f t="shared" si="27"/>
        <v>29E17273</v>
      </c>
      <c r="I6334" s="59" t="str">
        <f>IF(OR($A6334="",$C6334="",$D6334="",$E6334="",$H6334=""),"",SUMIFS(DATA_GOC!$H:$H,DATA_GOC!$A:$A,"BOM",DATA_GOC!$D:$D,$H6334,DATA_GOC!$E:$E,$C6334,DATA_GOC!$F:$F,"Xuất nội bộ từ téc",DATA_GOC!$B:$B,"&gt;="&amp;$D6334,DATA_GOC!$B:$B,"&lt;="&amp;$E6334))</f>
        <v/>
      </c>
      <c r="J6334" s="59">
        <f t="shared" si="28"/>
        <v>0</v>
      </c>
      <c r="K6334" s="59">
        <f t="shared" si="29"/>
        <v>0</v>
      </c>
      <c r="L6334" s="59">
        <f t="shared" si="30"/>
        <v>0</v>
      </c>
      <c r="M6334" s="59">
        <f t="shared" si="31"/>
        <v>0</v>
      </c>
    </row>
    <row r="6335" ht="15.0" hidden="1" customHeight="1">
      <c r="A6335" s="59">
        <f t="shared" si="20"/>
        <v>102</v>
      </c>
      <c r="B6335" s="59" t="str">
        <f t="shared" si="21"/>
        <v/>
      </c>
      <c r="C6335" s="59" t="str">
        <f t="shared" si="22"/>
        <v/>
      </c>
      <c r="D6335" s="45" t="str">
        <f t="shared" si="23"/>
        <v/>
      </c>
      <c r="E6335" s="45" t="str">
        <f t="shared" si="24"/>
        <v/>
      </c>
      <c r="F6335" s="59" t="str">
        <f t="shared" si="25"/>
        <v/>
      </c>
      <c r="G6335" s="59" t="str">
        <f t="shared" si="26"/>
        <v/>
      </c>
      <c r="H6335" s="59" t="str">
        <f t="shared" si="27"/>
        <v>29E17410</v>
      </c>
      <c r="I6335" s="59" t="str">
        <f>IF(OR($A6335="",$C6335="",$D6335="",$E6335="",$H6335=""),"",SUMIFS(DATA_GOC!$H:$H,DATA_GOC!$A:$A,"BOM",DATA_GOC!$D:$D,$H6335,DATA_GOC!$E:$E,$C6335,DATA_GOC!$F:$F,"Xuất nội bộ từ téc",DATA_GOC!$B:$B,"&gt;="&amp;$D6335,DATA_GOC!$B:$B,"&lt;="&amp;$E6335))</f>
        <v/>
      </c>
      <c r="J6335" s="59">
        <f t="shared" si="28"/>
        <v>0</v>
      </c>
      <c r="K6335" s="59">
        <f t="shared" si="29"/>
        <v>0</v>
      </c>
      <c r="L6335" s="59">
        <f t="shared" si="30"/>
        <v>0</v>
      </c>
      <c r="M6335" s="59">
        <f t="shared" si="31"/>
        <v>0</v>
      </c>
    </row>
    <row r="6336" ht="15.0" hidden="1" customHeight="1">
      <c r="A6336" s="59">
        <f t="shared" si="20"/>
        <v>102</v>
      </c>
      <c r="B6336" s="59" t="str">
        <f t="shared" si="21"/>
        <v/>
      </c>
      <c r="C6336" s="59" t="str">
        <f t="shared" si="22"/>
        <v/>
      </c>
      <c r="D6336" s="45" t="str">
        <f t="shared" si="23"/>
        <v/>
      </c>
      <c r="E6336" s="45" t="str">
        <f t="shared" si="24"/>
        <v/>
      </c>
      <c r="F6336" s="59" t="str">
        <f t="shared" si="25"/>
        <v/>
      </c>
      <c r="G6336" s="59" t="str">
        <f t="shared" si="26"/>
        <v/>
      </c>
      <c r="H6336" s="59" t="str">
        <f t="shared" si="27"/>
        <v>29E17417</v>
      </c>
      <c r="I6336" s="59" t="str">
        <f>IF(OR($A6336="",$C6336="",$D6336="",$E6336="",$H6336=""),"",SUMIFS(DATA_GOC!$H:$H,DATA_GOC!$A:$A,"BOM",DATA_GOC!$D:$D,$H6336,DATA_GOC!$E:$E,$C6336,DATA_GOC!$F:$F,"Xuất nội bộ từ téc",DATA_GOC!$B:$B,"&gt;="&amp;$D6336,DATA_GOC!$B:$B,"&lt;="&amp;$E6336))</f>
        <v/>
      </c>
      <c r="J6336" s="59">
        <f t="shared" si="28"/>
        <v>0</v>
      </c>
      <c r="K6336" s="59">
        <f t="shared" si="29"/>
        <v>0</v>
      </c>
      <c r="L6336" s="59">
        <f t="shared" si="30"/>
        <v>0</v>
      </c>
      <c r="M6336" s="59">
        <f t="shared" si="31"/>
        <v>0</v>
      </c>
    </row>
    <row r="6337" ht="15.0" hidden="1" customHeight="1">
      <c r="A6337" s="59">
        <f t="shared" si="20"/>
        <v>102</v>
      </c>
      <c r="B6337" s="59" t="str">
        <f t="shared" si="21"/>
        <v/>
      </c>
      <c r="C6337" s="59" t="str">
        <f t="shared" si="22"/>
        <v/>
      </c>
      <c r="D6337" s="45" t="str">
        <f t="shared" si="23"/>
        <v/>
      </c>
      <c r="E6337" s="45" t="str">
        <f t="shared" si="24"/>
        <v/>
      </c>
      <c r="F6337" s="59" t="str">
        <f t="shared" si="25"/>
        <v/>
      </c>
      <c r="G6337" s="59" t="str">
        <f t="shared" si="26"/>
        <v/>
      </c>
      <c r="H6337" s="59" t="str">
        <f t="shared" si="27"/>
        <v>29E17539</v>
      </c>
      <c r="I6337" s="59" t="str">
        <f>IF(OR($A6337="",$C6337="",$D6337="",$E6337="",$H6337=""),"",SUMIFS(DATA_GOC!$H:$H,DATA_GOC!$A:$A,"BOM",DATA_GOC!$D:$D,$H6337,DATA_GOC!$E:$E,$C6337,DATA_GOC!$F:$F,"Xuất nội bộ từ téc",DATA_GOC!$B:$B,"&gt;="&amp;$D6337,DATA_GOC!$B:$B,"&lt;="&amp;$E6337))</f>
        <v/>
      </c>
      <c r="J6337" s="59">
        <f t="shared" si="28"/>
        <v>0</v>
      </c>
      <c r="K6337" s="59">
        <f t="shared" si="29"/>
        <v>0</v>
      </c>
      <c r="L6337" s="59">
        <f t="shared" si="30"/>
        <v>0</v>
      </c>
      <c r="M6337" s="59">
        <f t="shared" si="31"/>
        <v>0</v>
      </c>
    </row>
    <row r="6338" ht="15.0" hidden="1" customHeight="1">
      <c r="A6338" s="59">
        <f t="shared" si="20"/>
        <v>102</v>
      </c>
      <c r="B6338" s="59" t="str">
        <f t="shared" si="21"/>
        <v/>
      </c>
      <c r="C6338" s="59" t="str">
        <f t="shared" si="22"/>
        <v/>
      </c>
      <c r="D6338" s="45" t="str">
        <f t="shared" si="23"/>
        <v/>
      </c>
      <c r="E6338" s="45" t="str">
        <f t="shared" si="24"/>
        <v/>
      </c>
      <c r="F6338" s="59" t="str">
        <f t="shared" si="25"/>
        <v/>
      </c>
      <c r="G6338" s="59" t="str">
        <f t="shared" si="26"/>
        <v/>
      </c>
      <c r="H6338" s="59" t="str">
        <f t="shared" si="27"/>
        <v>29E18160</v>
      </c>
      <c r="I6338" s="59" t="str">
        <f>IF(OR($A6338="",$C6338="",$D6338="",$E6338="",$H6338=""),"",SUMIFS(DATA_GOC!$H:$H,DATA_GOC!$A:$A,"BOM",DATA_GOC!$D:$D,$H6338,DATA_GOC!$E:$E,$C6338,DATA_GOC!$F:$F,"Xuất nội bộ từ téc",DATA_GOC!$B:$B,"&gt;="&amp;$D6338,DATA_GOC!$B:$B,"&lt;="&amp;$E6338))</f>
        <v/>
      </c>
      <c r="J6338" s="59">
        <f t="shared" si="28"/>
        <v>0</v>
      </c>
      <c r="K6338" s="59">
        <f t="shared" si="29"/>
        <v>0</v>
      </c>
      <c r="L6338" s="59">
        <f t="shared" si="30"/>
        <v>0</v>
      </c>
      <c r="M6338" s="59">
        <f t="shared" si="31"/>
        <v>0</v>
      </c>
    </row>
    <row r="6339" ht="15.0" hidden="1" customHeight="1">
      <c r="A6339" s="59">
        <f t="shared" si="20"/>
        <v>102</v>
      </c>
      <c r="B6339" s="59" t="str">
        <f t="shared" si="21"/>
        <v/>
      </c>
      <c r="C6339" s="59" t="str">
        <f t="shared" si="22"/>
        <v/>
      </c>
      <c r="D6339" s="45" t="str">
        <f t="shared" si="23"/>
        <v/>
      </c>
      <c r="E6339" s="45" t="str">
        <f t="shared" si="24"/>
        <v/>
      </c>
      <c r="F6339" s="59" t="str">
        <f t="shared" si="25"/>
        <v/>
      </c>
      <c r="G6339" s="59" t="str">
        <f t="shared" si="26"/>
        <v/>
      </c>
      <c r="H6339" s="59" t="str">
        <f t="shared" si="27"/>
        <v>Công trình Asphalt</v>
      </c>
      <c r="I6339" s="59" t="str">
        <f>IF(OR($A6339="",$C6339="",$D6339="",$E6339="",$H6339=""),"",SUMIFS(DATA_GOC!$H:$H,DATA_GOC!$A:$A,"BOM",DATA_GOC!$D:$D,$H6339,DATA_GOC!$E:$E,$C6339,DATA_GOC!$F:$F,"Xuất nội bộ từ téc",DATA_GOC!$B:$B,"&gt;="&amp;$D6339,DATA_GOC!$B:$B,"&lt;="&amp;$E6339))</f>
        <v/>
      </c>
      <c r="J6339" s="59">
        <f t="shared" si="28"/>
        <v>0</v>
      </c>
      <c r="K6339" s="59">
        <f t="shared" si="29"/>
        <v>0</v>
      </c>
      <c r="L6339" s="59">
        <f t="shared" si="30"/>
        <v>0</v>
      </c>
      <c r="M6339" s="59">
        <f t="shared" si="31"/>
        <v>0</v>
      </c>
    </row>
    <row r="6340" ht="15.0" hidden="1" customHeight="1">
      <c r="A6340" s="59">
        <f t="shared" si="20"/>
        <v>102</v>
      </c>
      <c r="B6340" s="59" t="str">
        <f t="shared" si="21"/>
        <v/>
      </c>
      <c r="C6340" s="59" t="str">
        <f t="shared" si="22"/>
        <v/>
      </c>
      <c r="D6340" s="45" t="str">
        <f t="shared" si="23"/>
        <v/>
      </c>
      <c r="E6340" s="45" t="str">
        <f t="shared" si="24"/>
        <v/>
      </c>
      <c r="F6340" s="59" t="str">
        <f t="shared" si="25"/>
        <v/>
      </c>
      <c r="G6340" s="59" t="str">
        <f t="shared" si="26"/>
        <v/>
      </c>
      <c r="H6340" s="59" t="str">
        <f t="shared" si="27"/>
        <v>LG53F</v>
      </c>
      <c r="I6340" s="59" t="str">
        <f>IF(OR($A6340="",$C6340="",$D6340="",$E6340="",$H6340=""),"",SUMIFS(DATA_GOC!$H:$H,DATA_GOC!$A:$A,"BOM",DATA_GOC!$D:$D,$H6340,DATA_GOC!$E:$E,$C6340,DATA_GOC!$F:$F,"Xuất nội bộ từ téc",DATA_GOC!$B:$B,"&gt;="&amp;$D6340,DATA_GOC!$B:$B,"&lt;="&amp;$E6340))</f>
        <v/>
      </c>
      <c r="J6340" s="59">
        <f t="shared" si="28"/>
        <v>0</v>
      </c>
      <c r="K6340" s="59">
        <f t="shared" si="29"/>
        <v>0</v>
      </c>
      <c r="L6340" s="59">
        <f t="shared" si="30"/>
        <v>0</v>
      </c>
      <c r="M6340" s="59">
        <f t="shared" si="31"/>
        <v>0</v>
      </c>
    </row>
    <row r="6341" ht="15.0" hidden="1" customHeight="1">
      <c r="A6341" s="59">
        <f t="shared" si="20"/>
        <v>102</v>
      </c>
      <c r="B6341" s="59" t="str">
        <f t="shared" si="21"/>
        <v/>
      </c>
      <c r="C6341" s="59" t="str">
        <f t="shared" si="22"/>
        <v/>
      </c>
      <c r="D6341" s="45" t="str">
        <f t="shared" si="23"/>
        <v/>
      </c>
      <c r="E6341" s="45" t="str">
        <f t="shared" si="24"/>
        <v/>
      </c>
      <c r="F6341" s="59" t="str">
        <f t="shared" si="25"/>
        <v/>
      </c>
      <c r="G6341" s="59" t="str">
        <f t="shared" si="26"/>
        <v/>
      </c>
      <c r="H6341" s="59" t="str">
        <f t="shared" si="27"/>
        <v>Máy phát điện</v>
      </c>
      <c r="I6341" s="59" t="str">
        <f>IF(OR($A6341="",$C6341="",$D6341="",$E6341="",$H6341=""),"",SUMIFS(DATA_GOC!$H:$H,DATA_GOC!$A:$A,"BOM",DATA_GOC!$D:$D,$H6341,DATA_GOC!$E:$E,$C6341,DATA_GOC!$F:$F,"Xuất nội bộ từ téc",DATA_GOC!$B:$B,"&gt;="&amp;$D6341,DATA_GOC!$B:$B,"&lt;="&amp;$E6341))</f>
        <v/>
      </c>
      <c r="J6341" s="59">
        <f t="shared" si="28"/>
        <v>0</v>
      </c>
      <c r="K6341" s="59">
        <f t="shared" si="29"/>
        <v>0</v>
      </c>
      <c r="L6341" s="59">
        <f t="shared" si="30"/>
        <v>0</v>
      </c>
      <c r="M6341" s="59">
        <f t="shared" si="31"/>
        <v>0</v>
      </c>
    </row>
    <row r="6342" ht="15.0" hidden="1" customHeight="1">
      <c r="A6342" s="59">
        <f t="shared" si="20"/>
        <v>102</v>
      </c>
      <c r="B6342" s="59" t="str">
        <f t="shared" si="21"/>
        <v/>
      </c>
      <c r="C6342" s="59" t="str">
        <f t="shared" si="22"/>
        <v/>
      </c>
      <c r="D6342" s="45" t="str">
        <f t="shared" si="23"/>
        <v/>
      </c>
      <c r="E6342" s="45" t="str">
        <f t="shared" si="24"/>
        <v/>
      </c>
      <c r="F6342" s="59" t="str">
        <f t="shared" si="25"/>
        <v/>
      </c>
      <c r="G6342" s="59" t="str">
        <f t="shared" si="26"/>
        <v/>
      </c>
      <c r="H6342" s="59" t="str">
        <f t="shared" si="27"/>
        <v>Máy rải thảm</v>
      </c>
      <c r="I6342" s="59" t="str">
        <f>IF(OR($A6342="",$C6342="",$D6342="",$E6342="",$H6342=""),"",SUMIFS(DATA_GOC!$H:$H,DATA_GOC!$A:$A,"BOM",DATA_GOC!$D:$D,$H6342,DATA_GOC!$E:$E,$C6342,DATA_GOC!$F:$F,"Xuất nội bộ từ téc",DATA_GOC!$B:$B,"&gt;="&amp;$D6342,DATA_GOC!$B:$B,"&lt;="&amp;$E6342))</f>
        <v/>
      </c>
      <c r="J6342" s="59">
        <f t="shared" si="28"/>
        <v>0</v>
      </c>
      <c r="K6342" s="59">
        <f t="shared" si="29"/>
        <v>0</v>
      </c>
      <c r="L6342" s="59">
        <f t="shared" si="30"/>
        <v>0</v>
      </c>
      <c r="M6342" s="59">
        <f t="shared" si="31"/>
        <v>0</v>
      </c>
    </row>
    <row r="6343" ht="15.0" hidden="1" customHeight="1">
      <c r="A6343" s="59">
        <f t="shared" si="20"/>
        <v>102</v>
      </c>
      <c r="B6343" s="59" t="str">
        <f t="shared" si="21"/>
        <v/>
      </c>
      <c r="C6343" s="59" t="str">
        <f t="shared" si="22"/>
        <v/>
      </c>
      <c r="D6343" s="45" t="str">
        <f t="shared" si="23"/>
        <v/>
      </c>
      <c r="E6343" s="45" t="str">
        <f t="shared" si="24"/>
        <v/>
      </c>
      <c r="F6343" s="59" t="str">
        <f t="shared" si="25"/>
        <v/>
      </c>
      <c r="G6343" s="59" t="str">
        <f t="shared" si="26"/>
        <v/>
      </c>
      <c r="H6343" s="59" t="str">
        <f t="shared" si="27"/>
        <v>Xúc Đào</v>
      </c>
      <c r="I6343" s="59" t="str">
        <f>IF(OR($A6343="",$C6343="",$D6343="",$E6343="",$H6343=""),"",SUMIFS(DATA_GOC!$H:$H,DATA_GOC!$A:$A,"BOM",DATA_GOC!$D:$D,$H6343,DATA_GOC!$E:$E,$C6343,DATA_GOC!$F:$F,"Xuất nội bộ từ téc",DATA_GOC!$B:$B,"&gt;="&amp;$D6343,DATA_GOC!$B:$B,"&lt;="&amp;$E6343))</f>
        <v/>
      </c>
      <c r="J6343" s="59">
        <f t="shared" si="28"/>
        <v>0</v>
      </c>
      <c r="K6343" s="59">
        <f t="shared" si="29"/>
        <v>0</v>
      </c>
      <c r="L6343" s="59">
        <f t="shared" si="30"/>
        <v>0</v>
      </c>
      <c r="M6343" s="59">
        <f t="shared" si="31"/>
        <v>0</v>
      </c>
    </row>
    <row r="6344" ht="15.0" hidden="1" customHeight="1">
      <c r="A6344" s="59">
        <f t="shared" si="20"/>
        <v>102</v>
      </c>
      <c r="B6344" s="59" t="str">
        <f t="shared" si="21"/>
        <v/>
      </c>
      <c r="C6344" s="59" t="str">
        <f t="shared" si="22"/>
        <v/>
      </c>
      <c r="D6344" s="45" t="str">
        <f t="shared" si="23"/>
        <v/>
      </c>
      <c r="E6344" s="45" t="str">
        <f t="shared" si="24"/>
        <v/>
      </c>
      <c r="F6344" s="59" t="str">
        <f t="shared" si="25"/>
        <v/>
      </c>
      <c r="G6344" s="59" t="str">
        <f t="shared" si="26"/>
        <v/>
      </c>
      <c r="H6344" s="59" t="str">
        <f t="shared" si="27"/>
        <v>Xúclật asphalt</v>
      </c>
      <c r="I6344" s="59" t="str">
        <f>IF(OR($A6344="",$C6344="",$D6344="",$E6344="",$H6344=""),"",SUMIFS(DATA_GOC!$H:$H,DATA_GOC!$A:$A,"BOM",DATA_GOC!$D:$D,$H6344,DATA_GOC!$E:$E,$C6344,DATA_GOC!$F:$F,"Xuất nội bộ từ téc",DATA_GOC!$B:$B,"&gt;="&amp;$D6344,DATA_GOC!$B:$B,"&lt;="&amp;$E6344))</f>
        <v/>
      </c>
      <c r="J6344" s="59">
        <f t="shared" si="28"/>
        <v>0</v>
      </c>
      <c r="K6344" s="59">
        <f t="shared" si="29"/>
        <v>0</v>
      </c>
      <c r="L6344" s="59">
        <f t="shared" si="30"/>
        <v>0</v>
      </c>
      <c r="M6344" s="59">
        <f t="shared" si="31"/>
        <v>0</v>
      </c>
    </row>
    <row r="6345" ht="15.0" hidden="1" customHeight="1">
      <c r="A6345" s="59">
        <f t="shared" si="20"/>
        <v>102</v>
      </c>
      <c r="B6345" s="59" t="str">
        <f t="shared" si="21"/>
        <v/>
      </c>
      <c r="C6345" s="59" t="str">
        <f t="shared" si="22"/>
        <v/>
      </c>
      <c r="D6345" s="45" t="str">
        <f t="shared" si="23"/>
        <v/>
      </c>
      <c r="E6345" s="45" t="str">
        <f t="shared" si="24"/>
        <v/>
      </c>
      <c r="F6345" s="59" t="str">
        <f t="shared" si="25"/>
        <v/>
      </c>
      <c r="G6345" s="59" t="str">
        <f t="shared" si="26"/>
        <v/>
      </c>
      <c r="H6345" s="59" t="str">
        <f t="shared" si="27"/>
        <v>Xúclật855H</v>
      </c>
      <c r="I6345" s="59" t="str">
        <f>IF(OR($A6345="",$C6345="",$D6345="",$E6345="",$H6345=""),"",SUMIFS(DATA_GOC!$H:$H,DATA_GOC!$A:$A,"BOM",DATA_GOC!$D:$D,$H6345,DATA_GOC!$E:$E,$C6345,DATA_GOC!$F:$F,"Xuất nội bộ từ téc",DATA_GOC!$B:$B,"&gt;="&amp;$D6345,DATA_GOC!$B:$B,"&lt;="&amp;$E6345))</f>
        <v/>
      </c>
      <c r="J6345" s="59">
        <f t="shared" si="28"/>
        <v>0</v>
      </c>
      <c r="K6345" s="59">
        <f t="shared" si="29"/>
        <v>0</v>
      </c>
      <c r="L6345" s="59">
        <f t="shared" si="30"/>
        <v>0</v>
      </c>
      <c r="M6345" s="59">
        <f t="shared" si="31"/>
        <v>0</v>
      </c>
    </row>
    <row r="6346" ht="15.0" hidden="1" customHeight="1">
      <c r="A6346" s="59">
        <f t="shared" si="20"/>
        <v>102</v>
      </c>
      <c r="B6346" s="59" t="str">
        <f t="shared" si="21"/>
        <v/>
      </c>
      <c r="C6346" s="59" t="str">
        <f t="shared" si="22"/>
        <v/>
      </c>
      <c r="D6346" s="45" t="str">
        <f t="shared" si="23"/>
        <v/>
      </c>
      <c r="E6346" s="45" t="str">
        <f t="shared" si="24"/>
        <v/>
      </c>
      <c r="F6346" s="59" t="str">
        <f t="shared" si="25"/>
        <v/>
      </c>
      <c r="G6346" s="59" t="str">
        <f t="shared" si="26"/>
        <v/>
      </c>
      <c r="H6346" s="59" t="str">
        <f t="shared" si="27"/>
        <v>Xúclật855N</v>
      </c>
      <c r="I6346" s="59" t="str">
        <f>IF(OR($A6346="",$C6346="",$D6346="",$E6346="",$H6346=""),"",SUMIFS(DATA_GOC!$H:$H,DATA_GOC!$A:$A,"BOM",DATA_GOC!$D:$D,$H6346,DATA_GOC!$E:$E,$C6346,DATA_GOC!$F:$F,"Xuất nội bộ từ téc",DATA_GOC!$B:$B,"&gt;="&amp;$D6346,DATA_GOC!$B:$B,"&lt;="&amp;$E6346))</f>
        <v/>
      </c>
      <c r="J6346" s="59">
        <f t="shared" si="28"/>
        <v>0</v>
      </c>
      <c r="K6346" s="59">
        <f t="shared" si="29"/>
        <v>0</v>
      </c>
      <c r="L6346" s="59">
        <f t="shared" si="30"/>
        <v>0</v>
      </c>
      <c r="M6346" s="59">
        <f t="shared" si="31"/>
        <v>0</v>
      </c>
    </row>
    <row r="6347" ht="15.0" hidden="1" customHeight="1">
      <c r="A6347" s="59">
        <f t="shared" si="20"/>
        <v>102</v>
      </c>
      <c r="B6347" s="59" t="str">
        <f t="shared" si="21"/>
        <v/>
      </c>
      <c r="C6347" s="59" t="str">
        <f t="shared" si="22"/>
        <v/>
      </c>
      <c r="D6347" s="45" t="str">
        <f t="shared" si="23"/>
        <v/>
      </c>
      <c r="E6347" s="45" t="str">
        <f t="shared" si="24"/>
        <v/>
      </c>
      <c r="F6347" s="59" t="str">
        <f t="shared" si="25"/>
        <v/>
      </c>
      <c r="G6347" s="59" t="str">
        <f t="shared" si="26"/>
        <v/>
      </c>
      <c r="H6347" s="59" t="str">
        <f t="shared" si="27"/>
        <v>Cát nghiền</v>
      </c>
      <c r="I6347" s="59" t="str">
        <f>IF(OR($A6347="",$C6347="",$D6347="",$E6347="",$H6347=""),"",SUMIFS(DATA_GOC!$H:$H,DATA_GOC!$A:$A,"BOM",DATA_GOC!$D:$D,$H6347,DATA_GOC!$E:$E,$C6347,DATA_GOC!$F:$F,"Xuất nội bộ từ téc",DATA_GOC!$B:$B,"&gt;="&amp;$D6347,DATA_GOC!$B:$B,"&lt;="&amp;$E6347))</f>
        <v/>
      </c>
      <c r="J6347" s="59">
        <f t="shared" si="28"/>
        <v>0</v>
      </c>
      <c r="K6347" s="59">
        <f t="shared" si="29"/>
        <v>0</v>
      </c>
      <c r="L6347" s="59">
        <f t="shared" si="30"/>
        <v>0</v>
      </c>
      <c r="M6347" s="59">
        <f t="shared" si="31"/>
        <v>0</v>
      </c>
    </row>
    <row r="6348" ht="15.0" hidden="1" customHeight="1">
      <c r="A6348" s="59">
        <f t="shared" si="20"/>
        <v>102</v>
      </c>
      <c r="B6348" s="59" t="str">
        <f t="shared" si="21"/>
        <v/>
      </c>
      <c r="C6348" s="59" t="str">
        <f t="shared" si="22"/>
        <v/>
      </c>
      <c r="D6348" s="45" t="str">
        <f t="shared" si="23"/>
        <v/>
      </c>
      <c r="E6348" s="45" t="str">
        <f t="shared" si="24"/>
        <v/>
      </c>
      <c r="F6348" s="59" t="str">
        <f t="shared" si="25"/>
        <v/>
      </c>
      <c r="G6348" s="59" t="str">
        <f t="shared" si="26"/>
        <v/>
      </c>
      <c r="H6348" s="59" t="str">
        <f t="shared" si="27"/>
        <v>28C02973</v>
      </c>
      <c r="I6348" s="59" t="str">
        <f>IF(OR($A6348="",$C6348="",$D6348="",$E6348="",$H6348=""),"",SUMIFS(DATA_GOC!$H:$H,DATA_GOC!$A:$A,"BOM",DATA_GOC!$D:$D,$H6348,DATA_GOC!$E:$E,$C6348,DATA_GOC!$F:$F,"Xuất nội bộ từ téc",DATA_GOC!$B:$B,"&gt;="&amp;$D6348,DATA_GOC!$B:$B,"&lt;="&amp;$E6348))</f>
        <v/>
      </c>
      <c r="J6348" s="59">
        <f t="shared" si="28"/>
        <v>0</v>
      </c>
      <c r="K6348" s="59">
        <f t="shared" si="29"/>
        <v>0</v>
      </c>
      <c r="L6348" s="59">
        <f t="shared" si="30"/>
        <v>0</v>
      </c>
      <c r="M6348" s="59">
        <f t="shared" si="31"/>
        <v>0</v>
      </c>
    </row>
    <row r="6349" ht="15.0" hidden="1" customHeight="1">
      <c r="A6349" s="59">
        <f t="shared" si="20"/>
        <v>102</v>
      </c>
      <c r="B6349" s="59" t="str">
        <f t="shared" si="21"/>
        <v/>
      </c>
      <c r="C6349" s="59" t="str">
        <f t="shared" si="22"/>
        <v/>
      </c>
      <c r="D6349" s="45" t="str">
        <f t="shared" si="23"/>
        <v/>
      </c>
      <c r="E6349" s="45" t="str">
        <f t="shared" si="24"/>
        <v/>
      </c>
      <c r="F6349" s="59" t="str">
        <f t="shared" si="25"/>
        <v/>
      </c>
      <c r="G6349" s="59" t="str">
        <f t="shared" si="26"/>
        <v/>
      </c>
      <c r="H6349" s="59" t="str">
        <f t="shared" si="27"/>
        <v>28C03044</v>
      </c>
      <c r="I6349" s="59" t="str">
        <f>IF(OR($A6349="",$C6349="",$D6349="",$E6349="",$H6349=""),"",SUMIFS(DATA_GOC!$H:$H,DATA_GOC!$A:$A,"BOM",DATA_GOC!$D:$D,$H6349,DATA_GOC!$E:$E,$C6349,DATA_GOC!$F:$F,"Xuất nội bộ từ téc",DATA_GOC!$B:$B,"&gt;="&amp;$D6349,DATA_GOC!$B:$B,"&lt;="&amp;$E6349))</f>
        <v/>
      </c>
      <c r="J6349" s="59">
        <f t="shared" si="28"/>
        <v>0</v>
      </c>
      <c r="K6349" s="59">
        <f t="shared" si="29"/>
        <v>0</v>
      </c>
      <c r="L6349" s="59">
        <f t="shared" si="30"/>
        <v>0</v>
      </c>
      <c r="M6349" s="59">
        <f t="shared" si="31"/>
        <v>0</v>
      </c>
    </row>
    <row r="6350" ht="15.0" hidden="1" customHeight="1">
      <c r="A6350" s="59">
        <f t="shared" si="20"/>
        <v>102</v>
      </c>
      <c r="B6350" s="59" t="str">
        <f t="shared" si="21"/>
        <v/>
      </c>
      <c r="C6350" s="59" t="str">
        <f t="shared" si="22"/>
        <v/>
      </c>
      <c r="D6350" s="45" t="str">
        <f t="shared" si="23"/>
        <v/>
      </c>
      <c r="E6350" s="45" t="str">
        <f t="shared" si="24"/>
        <v/>
      </c>
      <c r="F6350" s="59" t="str">
        <f t="shared" si="25"/>
        <v/>
      </c>
      <c r="G6350" s="59" t="str">
        <f t="shared" si="26"/>
        <v/>
      </c>
      <c r="H6350" s="59" t="str">
        <f t="shared" si="27"/>
        <v>Máy lu lốp</v>
      </c>
      <c r="I6350" s="59" t="str">
        <f>IF(OR($A6350="",$C6350="",$D6350="",$E6350="",$H6350=""),"",SUMIFS(DATA_GOC!$H:$H,DATA_GOC!$A:$A,"BOM",DATA_GOC!$D:$D,$H6350,DATA_GOC!$E:$E,$C6350,DATA_GOC!$F:$F,"Xuất nội bộ từ téc",DATA_GOC!$B:$B,"&gt;="&amp;$D6350,DATA_GOC!$B:$B,"&lt;="&amp;$E6350))</f>
        <v/>
      </c>
      <c r="J6350" s="59">
        <f t="shared" si="28"/>
        <v>0</v>
      </c>
      <c r="K6350" s="59">
        <f t="shared" si="29"/>
        <v>0</v>
      </c>
      <c r="L6350" s="59">
        <f t="shared" si="30"/>
        <v>0</v>
      </c>
      <c r="M6350" s="59">
        <f t="shared" si="31"/>
        <v>0</v>
      </c>
    </row>
    <row r="6351" ht="15.0" hidden="1" customHeight="1">
      <c r="A6351" s="59">
        <f t="shared" si="20"/>
        <v>102</v>
      </c>
      <c r="B6351" s="59" t="str">
        <f t="shared" si="21"/>
        <v/>
      </c>
      <c r="C6351" s="59" t="str">
        <f t="shared" si="22"/>
        <v/>
      </c>
      <c r="D6351" s="45" t="str">
        <f t="shared" si="23"/>
        <v/>
      </c>
      <c r="E6351" s="45" t="str">
        <f t="shared" si="24"/>
        <v/>
      </c>
      <c r="F6351" s="59" t="str">
        <f t="shared" si="25"/>
        <v/>
      </c>
      <c r="G6351" s="59" t="str">
        <f t="shared" si="26"/>
        <v/>
      </c>
      <c r="H6351" s="59" t="str">
        <f t="shared" si="27"/>
        <v>Xe 600148</v>
      </c>
      <c r="I6351" s="59" t="str">
        <f>IF(OR($A6351="",$C6351="",$D6351="",$E6351="",$H6351=""),"",SUMIFS(DATA_GOC!$H:$H,DATA_GOC!$A:$A,"BOM",DATA_GOC!$D:$D,$H6351,DATA_GOC!$E:$E,$C6351,DATA_GOC!$F:$F,"Xuất nội bộ từ téc",DATA_GOC!$B:$B,"&gt;="&amp;$D6351,DATA_GOC!$B:$B,"&lt;="&amp;$E6351))</f>
        <v/>
      </c>
      <c r="J6351" s="59">
        <f t="shared" si="28"/>
        <v>0</v>
      </c>
      <c r="K6351" s="59">
        <f t="shared" si="29"/>
        <v>0</v>
      </c>
      <c r="L6351" s="59">
        <f t="shared" si="30"/>
        <v>0</v>
      </c>
      <c r="M6351" s="59">
        <f t="shared" si="31"/>
        <v>0</v>
      </c>
    </row>
    <row r="6352" ht="15.0" hidden="1" customHeight="1">
      <c r="A6352" s="59">
        <f t="shared" si="20"/>
        <v>102</v>
      </c>
      <c r="B6352" s="59" t="str">
        <f t="shared" si="21"/>
        <v/>
      </c>
      <c r="C6352" s="59" t="str">
        <f t="shared" si="22"/>
        <v/>
      </c>
      <c r="D6352" s="45" t="str">
        <f t="shared" si="23"/>
        <v/>
      </c>
      <c r="E6352" s="45" t="str">
        <f t="shared" si="24"/>
        <v/>
      </c>
      <c r="F6352" s="59" t="str">
        <f t="shared" si="25"/>
        <v/>
      </c>
      <c r="G6352" s="59" t="str">
        <f t="shared" si="26"/>
        <v/>
      </c>
      <c r="H6352" s="59" t="str">
        <f t="shared" si="27"/>
        <v>Xe ben mới</v>
      </c>
      <c r="I6352" s="59" t="str">
        <f>IF(OR($A6352="",$C6352="",$D6352="",$E6352="",$H6352=""),"",SUMIFS(DATA_GOC!$H:$H,DATA_GOC!$A:$A,"BOM",DATA_GOC!$D:$D,$H6352,DATA_GOC!$E:$E,$C6352,DATA_GOC!$F:$F,"Xuất nội bộ từ téc",DATA_GOC!$B:$B,"&gt;="&amp;$D6352,DATA_GOC!$B:$B,"&lt;="&amp;$E6352))</f>
        <v/>
      </c>
      <c r="J6352" s="59">
        <f t="shared" si="28"/>
        <v>0</v>
      </c>
      <c r="K6352" s="59">
        <f t="shared" si="29"/>
        <v>0</v>
      </c>
      <c r="L6352" s="59">
        <f t="shared" si="30"/>
        <v>0</v>
      </c>
      <c r="M6352" s="59">
        <f t="shared" si="31"/>
        <v>0</v>
      </c>
    </row>
    <row r="6353" ht="15.0" hidden="1" customHeight="1">
      <c r="A6353" s="59">
        <f t="shared" si="20"/>
        <v>103</v>
      </c>
      <c r="B6353" s="59" t="str">
        <f t="shared" si="21"/>
        <v/>
      </c>
      <c r="C6353" s="59" t="str">
        <f t="shared" si="22"/>
        <v/>
      </c>
      <c r="D6353" s="45" t="str">
        <f t="shared" si="23"/>
        <v/>
      </c>
      <c r="E6353" s="45" t="str">
        <f t="shared" si="24"/>
        <v/>
      </c>
      <c r="F6353" s="59" t="str">
        <f t="shared" si="25"/>
        <v/>
      </c>
      <c r="G6353" s="59" t="str">
        <f t="shared" si="26"/>
        <v/>
      </c>
      <c r="H6353" s="59" t="str">
        <f t="shared" si="27"/>
        <v>19H09482</v>
      </c>
      <c r="I6353" s="59" t="str">
        <f>IF(OR($A6353="",$C6353="",$D6353="",$E6353="",$H6353=""),"",SUMIFS(DATA_GOC!$H:$H,DATA_GOC!$A:$A,"BOM",DATA_GOC!$D:$D,$H6353,DATA_GOC!$E:$E,$C6353,DATA_GOC!$F:$F,"Xuất nội bộ từ téc",DATA_GOC!$B:$B,"&gt;="&amp;$D6353,DATA_GOC!$B:$B,"&lt;="&amp;$E6353))</f>
        <v/>
      </c>
      <c r="J6353" s="59">
        <f t="shared" si="28"/>
        <v>0</v>
      </c>
      <c r="K6353" s="59">
        <f t="shared" si="29"/>
        <v>0</v>
      </c>
      <c r="L6353" s="59">
        <f t="shared" si="30"/>
        <v>0</v>
      </c>
      <c r="M6353" s="59">
        <f t="shared" si="31"/>
        <v>0</v>
      </c>
    </row>
    <row r="6354" ht="15.0" hidden="1" customHeight="1">
      <c r="A6354" s="59">
        <f t="shared" si="20"/>
        <v>103</v>
      </c>
      <c r="B6354" s="59" t="str">
        <f t="shared" si="21"/>
        <v/>
      </c>
      <c r="C6354" s="59" t="str">
        <f t="shared" si="22"/>
        <v/>
      </c>
      <c r="D6354" s="45" t="str">
        <f t="shared" si="23"/>
        <v/>
      </c>
      <c r="E6354" s="45" t="str">
        <f t="shared" si="24"/>
        <v/>
      </c>
      <c r="F6354" s="59" t="str">
        <f t="shared" si="25"/>
        <v/>
      </c>
      <c r="G6354" s="59" t="str">
        <f t="shared" si="26"/>
        <v/>
      </c>
      <c r="H6354" s="59" t="str">
        <f t="shared" si="27"/>
        <v>28A30696</v>
      </c>
      <c r="I6354" s="59" t="str">
        <f>IF(OR($A6354="",$C6354="",$D6354="",$E6354="",$H6354=""),"",SUMIFS(DATA_GOC!$H:$H,DATA_GOC!$A:$A,"BOM",DATA_GOC!$D:$D,$H6354,DATA_GOC!$E:$E,$C6354,DATA_GOC!$F:$F,"Xuất nội bộ từ téc",DATA_GOC!$B:$B,"&gt;="&amp;$D6354,DATA_GOC!$B:$B,"&lt;="&amp;$E6354))</f>
        <v/>
      </c>
      <c r="J6354" s="59">
        <f t="shared" si="28"/>
        <v>0</v>
      </c>
      <c r="K6354" s="59">
        <f t="shared" si="29"/>
        <v>0</v>
      </c>
      <c r="L6354" s="59">
        <f t="shared" si="30"/>
        <v>0</v>
      </c>
      <c r="M6354" s="59">
        <f t="shared" si="31"/>
        <v>0</v>
      </c>
    </row>
    <row r="6355" ht="15.0" hidden="1" customHeight="1">
      <c r="A6355" s="59">
        <f t="shared" si="20"/>
        <v>103</v>
      </c>
      <c r="B6355" s="59" t="str">
        <f t="shared" si="21"/>
        <v/>
      </c>
      <c r="C6355" s="59" t="str">
        <f t="shared" si="22"/>
        <v/>
      </c>
      <c r="D6355" s="45" t="str">
        <f t="shared" si="23"/>
        <v/>
      </c>
      <c r="E6355" s="45" t="str">
        <f t="shared" si="24"/>
        <v/>
      </c>
      <c r="F6355" s="59" t="str">
        <f t="shared" si="25"/>
        <v/>
      </c>
      <c r="G6355" s="59" t="str">
        <f t="shared" si="26"/>
        <v/>
      </c>
      <c r="H6355" s="59" t="str">
        <f t="shared" si="27"/>
        <v>28C00462</v>
      </c>
      <c r="I6355" s="59" t="str">
        <f>IF(OR($A6355="",$C6355="",$D6355="",$E6355="",$H6355=""),"",SUMIFS(DATA_GOC!$H:$H,DATA_GOC!$A:$A,"BOM",DATA_GOC!$D:$D,$H6355,DATA_GOC!$E:$E,$C6355,DATA_GOC!$F:$F,"Xuất nội bộ từ téc",DATA_GOC!$B:$B,"&gt;="&amp;$D6355,DATA_GOC!$B:$B,"&lt;="&amp;$E6355))</f>
        <v/>
      </c>
      <c r="J6355" s="59">
        <f t="shared" si="28"/>
        <v>0</v>
      </c>
      <c r="K6355" s="59">
        <f t="shared" si="29"/>
        <v>0</v>
      </c>
      <c r="L6355" s="59">
        <f t="shared" si="30"/>
        <v>0</v>
      </c>
      <c r="M6355" s="59">
        <f t="shared" si="31"/>
        <v>0</v>
      </c>
    </row>
    <row r="6356" ht="15.0" hidden="1" customHeight="1">
      <c r="A6356" s="59">
        <f t="shared" si="20"/>
        <v>103</v>
      </c>
      <c r="B6356" s="59" t="str">
        <f t="shared" si="21"/>
        <v/>
      </c>
      <c r="C6356" s="59" t="str">
        <f t="shared" si="22"/>
        <v/>
      </c>
      <c r="D6356" s="45" t="str">
        <f t="shared" si="23"/>
        <v/>
      </c>
      <c r="E6356" s="45" t="str">
        <f t="shared" si="24"/>
        <v/>
      </c>
      <c r="F6356" s="59" t="str">
        <f t="shared" si="25"/>
        <v/>
      </c>
      <c r="G6356" s="59" t="str">
        <f t="shared" si="26"/>
        <v/>
      </c>
      <c r="H6356" s="59" t="str">
        <f t="shared" si="27"/>
        <v>28C01165</v>
      </c>
      <c r="I6356" s="59" t="str">
        <f>IF(OR($A6356="",$C6356="",$D6356="",$E6356="",$H6356=""),"",SUMIFS(DATA_GOC!$H:$H,DATA_GOC!$A:$A,"BOM",DATA_GOC!$D:$D,$H6356,DATA_GOC!$E:$E,$C6356,DATA_GOC!$F:$F,"Xuất nội bộ từ téc",DATA_GOC!$B:$B,"&gt;="&amp;$D6356,DATA_GOC!$B:$B,"&lt;="&amp;$E6356))</f>
        <v/>
      </c>
      <c r="J6356" s="59">
        <f t="shared" si="28"/>
        <v>0</v>
      </c>
      <c r="K6356" s="59">
        <f t="shared" si="29"/>
        <v>0</v>
      </c>
      <c r="L6356" s="59">
        <f t="shared" si="30"/>
        <v>0</v>
      </c>
      <c r="M6356" s="59">
        <f t="shared" si="31"/>
        <v>0</v>
      </c>
    </row>
    <row r="6357" ht="15.0" hidden="1" customHeight="1">
      <c r="A6357" s="59">
        <f t="shared" si="20"/>
        <v>103</v>
      </c>
      <c r="B6357" s="59" t="str">
        <f t="shared" si="21"/>
        <v/>
      </c>
      <c r="C6357" s="59" t="str">
        <f t="shared" si="22"/>
        <v/>
      </c>
      <c r="D6357" s="45" t="str">
        <f t="shared" si="23"/>
        <v/>
      </c>
      <c r="E6357" s="45" t="str">
        <f t="shared" si="24"/>
        <v/>
      </c>
      <c r="F6357" s="59" t="str">
        <f t="shared" si="25"/>
        <v/>
      </c>
      <c r="G6357" s="59" t="str">
        <f t="shared" si="26"/>
        <v/>
      </c>
      <c r="H6357" s="59" t="str">
        <f t="shared" si="27"/>
        <v>28C01406</v>
      </c>
      <c r="I6357" s="59" t="str">
        <f>IF(OR($A6357="",$C6357="",$D6357="",$E6357="",$H6357=""),"",SUMIFS(DATA_GOC!$H:$H,DATA_GOC!$A:$A,"BOM",DATA_GOC!$D:$D,$H6357,DATA_GOC!$E:$E,$C6357,DATA_GOC!$F:$F,"Xuất nội bộ từ téc",DATA_GOC!$B:$B,"&gt;="&amp;$D6357,DATA_GOC!$B:$B,"&lt;="&amp;$E6357))</f>
        <v/>
      </c>
      <c r="J6357" s="59">
        <f t="shared" si="28"/>
        <v>0</v>
      </c>
      <c r="K6357" s="59">
        <f t="shared" si="29"/>
        <v>0</v>
      </c>
      <c r="L6357" s="59">
        <f t="shared" si="30"/>
        <v>0</v>
      </c>
      <c r="M6357" s="59">
        <f t="shared" si="31"/>
        <v>0</v>
      </c>
    </row>
    <row r="6358" ht="15.0" hidden="1" customHeight="1">
      <c r="A6358" s="59">
        <f t="shared" si="20"/>
        <v>103</v>
      </c>
      <c r="B6358" s="59" t="str">
        <f t="shared" si="21"/>
        <v/>
      </c>
      <c r="C6358" s="59" t="str">
        <f t="shared" si="22"/>
        <v/>
      </c>
      <c r="D6358" s="45" t="str">
        <f t="shared" si="23"/>
        <v/>
      </c>
      <c r="E6358" s="45" t="str">
        <f t="shared" si="24"/>
        <v/>
      </c>
      <c r="F6358" s="59" t="str">
        <f t="shared" si="25"/>
        <v/>
      </c>
      <c r="G6358" s="59" t="str">
        <f t="shared" si="26"/>
        <v/>
      </c>
      <c r="H6358" s="59" t="str">
        <f t="shared" si="27"/>
        <v>28C01544</v>
      </c>
      <c r="I6358" s="59" t="str">
        <f>IF(OR($A6358="",$C6358="",$D6358="",$E6358="",$H6358=""),"",SUMIFS(DATA_GOC!$H:$H,DATA_GOC!$A:$A,"BOM",DATA_GOC!$D:$D,$H6358,DATA_GOC!$E:$E,$C6358,DATA_GOC!$F:$F,"Xuất nội bộ từ téc",DATA_GOC!$B:$B,"&gt;="&amp;$D6358,DATA_GOC!$B:$B,"&lt;="&amp;$E6358))</f>
        <v/>
      </c>
      <c r="J6358" s="59">
        <f t="shared" si="28"/>
        <v>0</v>
      </c>
      <c r="K6358" s="59">
        <f t="shared" si="29"/>
        <v>0</v>
      </c>
      <c r="L6358" s="59">
        <f t="shared" si="30"/>
        <v>0</v>
      </c>
      <c r="M6358" s="59">
        <f t="shared" si="31"/>
        <v>0</v>
      </c>
    </row>
    <row r="6359" ht="15.0" hidden="1" customHeight="1">
      <c r="A6359" s="59">
        <f t="shared" si="20"/>
        <v>103</v>
      </c>
      <c r="B6359" s="59" t="str">
        <f t="shared" si="21"/>
        <v/>
      </c>
      <c r="C6359" s="59" t="str">
        <f t="shared" si="22"/>
        <v/>
      </c>
      <c r="D6359" s="45" t="str">
        <f t="shared" si="23"/>
        <v/>
      </c>
      <c r="E6359" s="45" t="str">
        <f t="shared" si="24"/>
        <v/>
      </c>
      <c r="F6359" s="59" t="str">
        <f t="shared" si="25"/>
        <v/>
      </c>
      <c r="G6359" s="59" t="str">
        <f t="shared" si="26"/>
        <v/>
      </c>
      <c r="H6359" s="59" t="str">
        <f t="shared" si="27"/>
        <v>28C01622</v>
      </c>
      <c r="I6359" s="59" t="str">
        <f>IF(OR($A6359="",$C6359="",$D6359="",$E6359="",$H6359=""),"",SUMIFS(DATA_GOC!$H:$H,DATA_GOC!$A:$A,"BOM",DATA_GOC!$D:$D,$H6359,DATA_GOC!$E:$E,$C6359,DATA_GOC!$F:$F,"Xuất nội bộ từ téc",DATA_GOC!$B:$B,"&gt;="&amp;$D6359,DATA_GOC!$B:$B,"&lt;="&amp;$E6359))</f>
        <v/>
      </c>
      <c r="J6359" s="59">
        <f t="shared" si="28"/>
        <v>0</v>
      </c>
      <c r="K6359" s="59">
        <f t="shared" si="29"/>
        <v>0</v>
      </c>
      <c r="L6359" s="59">
        <f t="shared" si="30"/>
        <v>0</v>
      </c>
      <c r="M6359" s="59">
        <f t="shared" si="31"/>
        <v>0</v>
      </c>
    </row>
    <row r="6360" ht="15.0" hidden="1" customHeight="1">
      <c r="A6360" s="59">
        <f t="shared" si="20"/>
        <v>103</v>
      </c>
      <c r="B6360" s="59" t="str">
        <f t="shared" si="21"/>
        <v/>
      </c>
      <c r="C6360" s="59" t="str">
        <f t="shared" si="22"/>
        <v/>
      </c>
      <c r="D6360" s="45" t="str">
        <f t="shared" si="23"/>
        <v/>
      </c>
      <c r="E6360" s="45" t="str">
        <f t="shared" si="24"/>
        <v/>
      </c>
      <c r="F6360" s="59" t="str">
        <f t="shared" si="25"/>
        <v/>
      </c>
      <c r="G6360" s="59" t="str">
        <f t="shared" si="26"/>
        <v/>
      </c>
      <c r="H6360" s="59" t="str">
        <f t="shared" si="27"/>
        <v>28C01647</v>
      </c>
      <c r="I6360" s="59" t="str">
        <f>IF(OR($A6360="",$C6360="",$D6360="",$E6360="",$H6360=""),"",SUMIFS(DATA_GOC!$H:$H,DATA_GOC!$A:$A,"BOM",DATA_GOC!$D:$D,$H6360,DATA_GOC!$E:$E,$C6360,DATA_GOC!$F:$F,"Xuất nội bộ từ téc",DATA_GOC!$B:$B,"&gt;="&amp;$D6360,DATA_GOC!$B:$B,"&lt;="&amp;$E6360))</f>
        <v/>
      </c>
      <c r="J6360" s="59">
        <f t="shared" si="28"/>
        <v>0</v>
      </c>
      <c r="K6360" s="59">
        <f t="shared" si="29"/>
        <v>0</v>
      </c>
      <c r="L6360" s="59">
        <f t="shared" si="30"/>
        <v>0</v>
      </c>
      <c r="M6360" s="59">
        <f t="shared" si="31"/>
        <v>0</v>
      </c>
    </row>
    <row r="6361" ht="15.0" hidden="1" customHeight="1">
      <c r="A6361" s="59">
        <f t="shared" si="20"/>
        <v>103</v>
      </c>
      <c r="B6361" s="59" t="str">
        <f t="shared" si="21"/>
        <v/>
      </c>
      <c r="C6361" s="59" t="str">
        <f t="shared" si="22"/>
        <v/>
      </c>
      <c r="D6361" s="45" t="str">
        <f t="shared" si="23"/>
        <v/>
      </c>
      <c r="E6361" s="45" t="str">
        <f t="shared" si="24"/>
        <v/>
      </c>
      <c r="F6361" s="59" t="str">
        <f t="shared" si="25"/>
        <v/>
      </c>
      <c r="G6361" s="59" t="str">
        <f t="shared" si="26"/>
        <v/>
      </c>
      <c r="H6361" s="59" t="str">
        <f t="shared" si="27"/>
        <v>28C01731</v>
      </c>
      <c r="I6361" s="59" t="str">
        <f>IF(OR($A6361="",$C6361="",$D6361="",$E6361="",$H6361=""),"",SUMIFS(DATA_GOC!$H:$H,DATA_GOC!$A:$A,"BOM",DATA_GOC!$D:$D,$H6361,DATA_GOC!$E:$E,$C6361,DATA_GOC!$F:$F,"Xuất nội bộ từ téc",DATA_GOC!$B:$B,"&gt;="&amp;$D6361,DATA_GOC!$B:$B,"&lt;="&amp;$E6361))</f>
        <v/>
      </c>
      <c r="J6361" s="59">
        <f t="shared" si="28"/>
        <v>0</v>
      </c>
      <c r="K6361" s="59">
        <f t="shared" si="29"/>
        <v>0</v>
      </c>
      <c r="L6361" s="59">
        <f t="shared" si="30"/>
        <v>0</v>
      </c>
      <c r="M6361" s="59">
        <f t="shared" si="31"/>
        <v>0</v>
      </c>
    </row>
    <row r="6362" ht="15.0" hidden="1" customHeight="1">
      <c r="A6362" s="59">
        <f t="shared" si="20"/>
        <v>103</v>
      </c>
      <c r="B6362" s="59" t="str">
        <f t="shared" si="21"/>
        <v/>
      </c>
      <c r="C6362" s="59" t="str">
        <f t="shared" si="22"/>
        <v/>
      </c>
      <c r="D6362" s="45" t="str">
        <f t="shared" si="23"/>
        <v/>
      </c>
      <c r="E6362" s="45" t="str">
        <f t="shared" si="24"/>
        <v/>
      </c>
      <c r="F6362" s="59" t="str">
        <f t="shared" si="25"/>
        <v/>
      </c>
      <c r="G6362" s="59" t="str">
        <f t="shared" si="26"/>
        <v/>
      </c>
      <c r="H6362" s="59" t="str">
        <f t="shared" si="27"/>
        <v>28C01743</v>
      </c>
      <c r="I6362" s="59" t="str">
        <f>IF(OR($A6362="",$C6362="",$D6362="",$E6362="",$H6362=""),"",SUMIFS(DATA_GOC!$H:$H,DATA_GOC!$A:$A,"BOM",DATA_GOC!$D:$D,$H6362,DATA_GOC!$E:$E,$C6362,DATA_GOC!$F:$F,"Xuất nội bộ từ téc",DATA_GOC!$B:$B,"&gt;="&amp;$D6362,DATA_GOC!$B:$B,"&lt;="&amp;$E6362))</f>
        <v/>
      </c>
      <c r="J6362" s="59">
        <f t="shared" si="28"/>
        <v>0</v>
      </c>
      <c r="K6362" s="59">
        <f t="shared" si="29"/>
        <v>0</v>
      </c>
      <c r="L6362" s="59">
        <f t="shared" si="30"/>
        <v>0</v>
      </c>
      <c r="M6362" s="59">
        <f t="shared" si="31"/>
        <v>0</v>
      </c>
    </row>
    <row r="6363" ht="15.0" hidden="1" customHeight="1">
      <c r="A6363" s="59">
        <f t="shared" si="20"/>
        <v>103</v>
      </c>
      <c r="B6363" s="59" t="str">
        <f t="shared" si="21"/>
        <v/>
      </c>
      <c r="C6363" s="59" t="str">
        <f t="shared" si="22"/>
        <v/>
      </c>
      <c r="D6363" s="45" t="str">
        <f t="shared" si="23"/>
        <v/>
      </c>
      <c r="E6363" s="45" t="str">
        <f t="shared" si="24"/>
        <v/>
      </c>
      <c r="F6363" s="59" t="str">
        <f t="shared" si="25"/>
        <v/>
      </c>
      <c r="G6363" s="59" t="str">
        <f t="shared" si="26"/>
        <v/>
      </c>
      <c r="H6363" s="59" t="str">
        <f t="shared" si="27"/>
        <v>28C02106</v>
      </c>
      <c r="I6363" s="59" t="str">
        <f>IF(OR($A6363="",$C6363="",$D6363="",$E6363="",$H6363=""),"",SUMIFS(DATA_GOC!$H:$H,DATA_GOC!$A:$A,"BOM",DATA_GOC!$D:$D,$H6363,DATA_GOC!$E:$E,$C6363,DATA_GOC!$F:$F,"Xuất nội bộ từ téc",DATA_GOC!$B:$B,"&gt;="&amp;$D6363,DATA_GOC!$B:$B,"&lt;="&amp;$E6363))</f>
        <v/>
      </c>
      <c r="J6363" s="59">
        <f t="shared" si="28"/>
        <v>0</v>
      </c>
      <c r="K6363" s="59">
        <f t="shared" si="29"/>
        <v>0</v>
      </c>
      <c r="L6363" s="59">
        <f t="shared" si="30"/>
        <v>0</v>
      </c>
      <c r="M6363" s="59">
        <f t="shared" si="31"/>
        <v>0</v>
      </c>
    </row>
    <row r="6364" ht="15.0" hidden="1" customHeight="1">
      <c r="A6364" s="59">
        <f t="shared" si="20"/>
        <v>103</v>
      </c>
      <c r="B6364" s="59" t="str">
        <f t="shared" si="21"/>
        <v/>
      </c>
      <c r="C6364" s="59" t="str">
        <f t="shared" si="22"/>
        <v/>
      </c>
      <c r="D6364" s="45" t="str">
        <f t="shared" si="23"/>
        <v/>
      </c>
      <c r="E6364" s="45" t="str">
        <f t="shared" si="24"/>
        <v/>
      </c>
      <c r="F6364" s="59" t="str">
        <f t="shared" si="25"/>
        <v/>
      </c>
      <c r="G6364" s="59" t="str">
        <f t="shared" si="26"/>
        <v/>
      </c>
      <c r="H6364" s="59" t="str">
        <f t="shared" si="27"/>
        <v>28C02410</v>
      </c>
      <c r="I6364" s="59" t="str">
        <f>IF(OR($A6364="",$C6364="",$D6364="",$E6364="",$H6364=""),"",SUMIFS(DATA_GOC!$H:$H,DATA_GOC!$A:$A,"BOM",DATA_GOC!$D:$D,$H6364,DATA_GOC!$E:$E,$C6364,DATA_GOC!$F:$F,"Xuất nội bộ từ téc",DATA_GOC!$B:$B,"&gt;="&amp;$D6364,DATA_GOC!$B:$B,"&lt;="&amp;$E6364))</f>
        <v/>
      </c>
      <c r="J6364" s="59">
        <f t="shared" si="28"/>
        <v>0</v>
      </c>
      <c r="K6364" s="59">
        <f t="shared" si="29"/>
        <v>0</v>
      </c>
      <c r="L6364" s="59">
        <f t="shared" si="30"/>
        <v>0</v>
      </c>
      <c r="M6364" s="59">
        <f t="shared" si="31"/>
        <v>0</v>
      </c>
    </row>
    <row r="6365" ht="15.0" hidden="1" customHeight="1">
      <c r="A6365" s="59">
        <f t="shared" si="20"/>
        <v>103</v>
      </c>
      <c r="B6365" s="59" t="str">
        <f t="shared" si="21"/>
        <v/>
      </c>
      <c r="C6365" s="59" t="str">
        <f t="shared" si="22"/>
        <v/>
      </c>
      <c r="D6365" s="45" t="str">
        <f t="shared" si="23"/>
        <v/>
      </c>
      <c r="E6365" s="45" t="str">
        <f t="shared" si="24"/>
        <v/>
      </c>
      <c r="F6365" s="59" t="str">
        <f t="shared" si="25"/>
        <v/>
      </c>
      <c r="G6365" s="59" t="str">
        <f t="shared" si="26"/>
        <v/>
      </c>
      <c r="H6365" s="59" t="str">
        <f t="shared" si="27"/>
        <v>28C02545</v>
      </c>
      <c r="I6365" s="59" t="str">
        <f>IF(OR($A6365="",$C6365="",$D6365="",$E6365="",$H6365=""),"",SUMIFS(DATA_GOC!$H:$H,DATA_GOC!$A:$A,"BOM",DATA_GOC!$D:$D,$H6365,DATA_GOC!$E:$E,$C6365,DATA_GOC!$F:$F,"Xuất nội bộ từ téc",DATA_GOC!$B:$B,"&gt;="&amp;$D6365,DATA_GOC!$B:$B,"&lt;="&amp;$E6365))</f>
        <v/>
      </c>
      <c r="J6365" s="59">
        <f t="shared" si="28"/>
        <v>0</v>
      </c>
      <c r="K6365" s="59">
        <f t="shared" si="29"/>
        <v>0</v>
      </c>
      <c r="L6365" s="59">
        <f t="shared" si="30"/>
        <v>0</v>
      </c>
      <c r="M6365" s="59">
        <f t="shared" si="31"/>
        <v>0</v>
      </c>
    </row>
    <row r="6366" ht="15.0" hidden="1" customHeight="1">
      <c r="A6366" s="59">
        <f t="shared" si="20"/>
        <v>103</v>
      </c>
      <c r="B6366" s="59" t="str">
        <f t="shared" si="21"/>
        <v/>
      </c>
      <c r="C6366" s="59" t="str">
        <f t="shared" si="22"/>
        <v/>
      </c>
      <c r="D6366" s="45" t="str">
        <f t="shared" si="23"/>
        <v/>
      </c>
      <c r="E6366" s="45" t="str">
        <f t="shared" si="24"/>
        <v/>
      </c>
      <c r="F6366" s="59" t="str">
        <f t="shared" si="25"/>
        <v/>
      </c>
      <c r="G6366" s="59" t="str">
        <f t="shared" si="26"/>
        <v/>
      </c>
      <c r="H6366" s="59" t="str">
        <f t="shared" si="27"/>
        <v>28C02574</v>
      </c>
      <c r="I6366" s="59" t="str">
        <f>IF(OR($A6366="",$C6366="",$D6366="",$E6366="",$H6366=""),"",SUMIFS(DATA_GOC!$H:$H,DATA_GOC!$A:$A,"BOM",DATA_GOC!$D:$D,$H6366,DATA_GOC!$E:$E,$C6366,DATA_GOC!$F:$F,"Xuất nội bộ từ téc",DATA_GOC!$B:$B,"&gt;="&amp;$D6366,DATA_GOC!$B:$B,"&lt;="&amp;$E6366))</f>
        <v/>
      </c>
      <c r="J6366" s="59">
        <f t="shared" si="28"/>
        <v>0</v>
      </c>
      <c r="K6366" s="59">
        <f t="shared" si="29"/>
        <v>0</v>
      </c>
      <c r="L6366" s="59">
        <f t="shared" si="30"/>
        <v>0</v>
      </c>
      <c r="M6366" s="59">
        <f t="shared" si="31"/>
        <v>0</v>
      </c>
    </row>
    <row r="6367" ht="15.0" hidden="1" customHeight="1">
      <c r="A6367" s="59">
        <f t="shared" si="20"/>
        <v>103</v>
      </c>
      <c r="B6367" s="59" t="str">
        <f t="shared" si="21"/>
        <v/>
      </c>
      <c r="C6367" s="59" t="str">
        <f t="shared" si="22"/>
        <v/>
      </c>
      <c r="D6367" s="45" t="str">
        <f t="shared" si="23"/>
        <v/>
      </c>
      <c r="E6367" s="45" t="str">
        <f t="shared" si="24"/>
        <v/>
      </c>
      <c r="F6367" s="59" t="str">
        <f t="shared" si="25"/>
        <v/>
      </c>
      <c r="G6367" s="59" t="str">
        <f t="shared" si="26"/>
        <v/>
      </c>
      <c r="H6367" s="59" t="str">
        <f t="shared" si="27"/>
        <v>28C02770</v>
      </c>
      <c r="I6367" s="59" t="str">
        <f>IF(OR($A6367="",$C6367="",$D6367="",$E6367="",$H6367=""),"",SUMIFS(DATA_GOC!$H:$H,DATA_GOC!$A:$A,"BOM",DATA_GOC!$D:$D,$H6367,DATA_GOC!$E:$E,$C6367,DATA_GOC!$F:$F,"Xuất nội bộ từ téc",DATA_GOC!$B:$B,"&gt;="&amp;$D6367,DATA_GOC!$B:$B,"&lt;="&amp;$E6367))</f>
        <v/>
      </c>
      <c r="J6367" s="59">
        <f t="shared" si="28"/>
        <v>0</v>
      </c>
      <c r="K6367" s="59">
        <f t="shared" si="29"/>
        <v>0</v>
      </c>
      <c r="L6367" s="59">
        <f t="shared" si="30"/>
        <v>0</v>
      </c>
      <c r="M6367" s="59">
        <f t="shared" si="31"/>
        <v>0</v>
      </c>
    </row>
    <row r="6368" ht="15.0" hidden="1" customHeight="1">
      <c r="A6368" s="59">
        <f t="shared" si="20"/>
        <v>103</v>
      </c>
      <c r="B6368" s="59" t="str">
        <f t="shared" si="21"/>
        <v/>
      </c>
      <c r="C6368" s="59" t="str">
        <f t="shared" si="22"/>
        <v/>
      </c>
      <c r="D6368" s="45" t="str">
        <f t="shared" si="23"/>
        <v/>
      </c>
      <c r="E6368" s="45" t="str">
        <f t="shared" si="24"/>
        <v/>
      </c>
      <c r="F6368" s="59" t="str">
        <f t="shared" si="25"/>
        <v/>
      </c>
      <c r="G6368" s="59" t="str">
        <f t="shared" si="26"/>
        <v/>
      </c>
      <c r="H6368" s="59" t="str">
        <f t="shared" si="27"/>
        <v>28C02986</v>
      </c>
      <c r="I6368" s="59" t="str">
        <f>IF(OR($A6368="",$C6368="",$D6368="",$E6368="",$H6368=""),"",SUMIFS(DATA_GOC!$H:$H,DATA_GOC!$A:$A,"BOM",DATA_GOC!$D:$D,$H6368,DATA_GOC!$E:$E,$C6368,DATA_GOC!$F:$F,"Xuất nội bộ từ téc",DATA_GOC!$B:$B,"&gt;="&amp;$D6368,DATA_GOC!$B:$B,"&lt;="&amp;$E6368))</f>
        <v/>
      </c>
      <c r="J6368" s="59">
        <f t="shared" si="28"/>
        <v>0</v>
      </c>
      <c r="K6368" s="59">
        <f t="shared" si="29"/>
        <v>0</v>
      </c>
      <c r="L6368" s="59">
        <f t="shared" si="30"/>
        <v>0</v>
      </c>
      <c r="M6368" s="59">
        <f t="shared" si="31"/>
        <v>0</v>
      </c>
    </row>
    <row r="6369" ht="15.0" hidden="1" customHeight="1">
      <c r="A6369" s="59">
        <f t="shared" si="20"/>
        <v>103</v>
      </c>
      <c r="B6369" s="59" t="str">
        <f t="shared" si="21"/>
        <v/>
      </c>
      <c r="C6369" s="59" t="str">
        <f t="shared" si="22"/>
        <v/>
      </c>
      <c r="D6369" s="45" t="str">
        <f t="shared" si="23"/>
        <v/>
      </c>
      <c r="E6369" s="45" t="str">
        <f t="shared" si="24"/>
        <v/>
      </c>
      <c r="F6369" s="59" t="str">
        <f t="shared" si="25"/>
        <v/>
      </c>
      <c r="G6369" s="59" t="str">
        <f t="shared" si="26"/>
        <v/>
      </c>
      <c r="H6369" s="59" t="str">
        <f t="shared" si="27"/>
        <v>28C03261</v>
      </c>
      <c r="I6369" s="59" t="str">
        <f>IF(OR($A6369="",$C6369="",$D6369="",$E6369="",$H6369=""),"",SUMIFS(DATA_GOC!$H:$H,DATA_GOC!$A:$A,"BOM",DATA_GOC!$D:$D,$H6369,DATA_GOC!$E:$E,$C6369,DATA_GOC!$F:$F,"Xuất nội bộ từ téc",DATA_GOC!$B:$B,"&gt;="&amp;$D6369,DATA_GOC!$B:$B,"&lt;="&amp;$E6369))</f>
        <v/>
      </c>
      <c r="J6369" s="59">
        <f t="shared" si="28"/>
        <v>0</v>
      </c>
      <c r="K6369" s="59">
        <f t="shared" si="29"/>
        <v>0</v>
      </c>
      <c r="L6369" s="59">
        <f t="shared" si="30"/>
        <v>0</v>
      </c>
      <c r="M6369" s="59">
        <f t="shared" si="31"/>
        <v>0</v>
      </c>
    </row>
    <row r="6370" ht="15.0" hidden="1" customHeight="1">
      <c r="A6370" s="59">
        <f t="shared" si="20"/>
        <v>103</v>
      </c>
      <c r="B6370" s="59" t="str">
        <f t="shared" si="21"/>
        <v/>
      </c>
      <c r="C6370" s="59" t="str">
        <f t="shared" si="22"/>
        <v/>
      </c>
      <c r="D6370" s="45" t="str">
        <f t="shared" si="23"/>
        <v/>
      </c>
      <c r="E6370" s="45" t="str">
        <f t="shared" si="24"/>
        <v/>
      </c>
      <c r="F6370" s="59" t="str">
        <f t="shared" si="25"/>
        <v/>
      </c>
      <c r="G6370" s="59" t="str">
        <f t="shared" si="26"/>
        <v/>
      </c>
      <c r="H6370" s="59" t="str">
        <f t="shared" si="27"/>
        <v>28C03323</v>
      </c>
      <c r="I6370" s="59" t="str">
        <f>IF(OR($A6370="",$C6370="",$D6370="",$E6370="",$H6370=""),"",SUMIFS(DATA_GOC!$H:$H,DATA_GOC!$A:$A,"BOM",DATA_GOC!$D:$D,$H6370,DATA_GOC!$E:$E,$C6370,DATA_GOC!$F:$F,"Xuất nội bộ từ téc",DATA_GOC!$B:$B,"&gt;="&amp;$D6370,DATA_GOC!$B:$B,"&lt;="&amp;$E6370))</f>
        <v/>
      </c>
      <c r="J6370" s="59">
        <f t="shared" si="28"/>
        <v>0</v>
      </c>
      <c r="K6370" s="59">
        <f t="shared" si="29"/>
        <v>0</v>
      </c>
      <c r="L6370" s="59">
        <f t="shared" si="30"/>
        <v>0</v>
      </c>
      <c r="M6370" s="59">
        <f t="shared" si="31"/>
        <v>0</v>
      </c>
    </row>
    <row r="6371" ht="15.0" hidden="1" customHeight="1">
      <c r="A6371" s="59">
        <f t="shared" si="20"/>
        <v>103</v>
      </c>
      <c r="B6371" s="59" t="str">
        <f t="shared" si="21"/>
        <v/>
      </c>
      <c r="C6371" s="59" t="str">
        <f t="shared" si="22"/>
        <v/>
      </c>
      <c r="D6371" s="45" t="str">
        <f t="shared" si="23"/>
        <v/>
      </c>
      <c r="E6371" s="45" t="str">
        <f t="shared" si="24"/>
        <v/>
      </c>
      <c r="F6371" s="59" t="str">
        <f t="shared" si="25"/>
        <v/>
      </c>
      <c r="G6371" s="59" t="str">
        <f t="shared" si="26"/>
        <v/>
      </c>
      <c r="H6371" s="59" t="str">
        <f t="shared" si="27"/>
        <v>28C03385</v>
      </c>
      <c r="I6371" s="59" t="str">
        <f>IF(OR($A6371="",$C6371="",$D6371="",$E6371="",$H6371=""),"",SUMIFS(DATA_GOC!$H:$H,DATA_GOC!$A:$A,"BOM",DATA_GOC!$D:$D,$H6371,DATA_GOC!$E:$E,$C6371,DATA_GOC!$F:$F,"Xuất nội bộ từ téc",DATA_GOC!$B:$B,"&gt;="&amp;$D6371,DATA_GOC!$B:$B,"&lt;="&amp;$E6371))</f>
        <v/>
      </c>
      <c r="J6371" s="59">
        <f t="shared" si="28"/>
        <v>0</v>
      </c>
      <c r="K6371" s="59">
        <f t="shared" si="29"/>
        <v>0</v>
      </c>
      <c r="L6371" s="59">
        <f t="shared" si="30"/>
        <v>0</v>
      </c>
      <c r="M6371" s="59">
        <f t="shared" si="31"/>
        <v>0</v>
      </c>
    </row>
    <row r="6372" ht="15.0" hidden="1" customHeight="1">
      <c r="A6372" s="59">
        <f t="shared" si="20"/>
        <v>103</v>
      </c>
      <c r="B6372" s="59" t="str">
        <f t="shared" si="21"/>
        <v/>
      </c>
      <c r="C6372" s="59" t="str">
        <f t="shared" si="22"/>
        <v/>
      </c>
      <c r="D6372" s="45" t="str">
        <f t="shared" si="23"/>
        <v/>
      </c>
      <c r="E6372" s="45" t="str">
        <f t="shared" si="24"/>
        <v/>
      </c>
      <c r="F6372" s="59" t="str">
        <f t="shared" si="25"/>
        <v/>
      </c>
      <c r="G6372" s="59" t="str">
        <f t="shared" si="26"/>
        <v/>
      </c>
      <c r="H6372" s="59" t="str">
        <f t="shared" si="27"/>
        <v>28C03652</v>
      </c>
      <c r="I6372" s="59" t="str">
        <f>IF(OR($A6372="",$C6372="",$D6372="",$E6372="",$H6372=""),"",SUMIFS(DATA_GOC!$H:$H,DATA_GOC!$A:$A,"BOM",DATA_GOC!$D:$D,$H6372,DATA_GOC!$E:$E,$C6372,DATA_GOC!$F:$F,"Xuất nội bộ từ téc",DATA_GOC!$B:$B,"&gt;="&amp;$D6372,DATA_GOC!$B:$B,"&lt;="&amp;$E6372))</f>
        <v/>
      </c>
      <c r="J6372" s="59">
        <f t="shared" si="28"/>
        <v>0</v>
      </c>
      <c r="K6372" s="59">
        <f t="shared" si="29"/>
        <v>0</v>
      </c>
      <c r="L6372" s="59">
        <f t="shared" si="30"/>
        <v>0</v>
      </c>
      <c r="M6372" s="59">
        <f t="shared" si="31"/>
        <v>0</v>
      </c>
    </row>
    <row r="6373" ht="15.0" hidden="1" customHeight="1">
      <c r="A6373" s="59">
        <f t="shared" si="20"/>
        <v>103</v>
      </c>
      <c r="B6373" s="59" t="str">
        <f t="shared" si="21"/>
        <v/>
      </c>
      <c r="C6373" s="59" t="str">
        <f t="shared" si="22"/>
        <v/>
      </c>
      <c r="D6373" s="45" t="str">
        <f t="shared" si="23"/>
        <v/>
      </c>
      <c r="E6373" s="45" t="str">
        <f t="shared" si="24"/>
        <v/>
      </c>
      <c r="F6373" s="59" t="str">
        <f t="shared" si="25"/>
        <v/>
      </c>
      <c r="G6373" s="59" t="str">
        <f t="shared" si="26"/>
        <v/>
      </c>
      <c r="H6373" s="59" t="str">
        <f t="shared" si="27"/>
        <v>28C03695</v>
      </c>
      <c r="I6373" s="59" t="str">
        <f>IF(OR($A6373="",$C6373="",$D6373="",$E6373="",$H6373=""),"",SUMIFS(DATA_GOC!$H:$H,DATA_GOC!$A:$A,"BOM",DATA_GOC!$D:$D,$H6373,DATA_GOC!$E:$E,$C6373,DATA_GOC!$F:$F,"Xuất nội bộ từ téc",DATA_GOC!$B:$B,"&gt;="&amp;$D6373,DATA_GOC!$B:$B,"&lt;="&amp;$E6373))</f>
        <v/>
      </c>
      <c r="J6373" s="59">
        <f t="shared" si="28"/>
        <v>0</v>
      </c>
      <c r="K6373" s="59">
        <f t="shared" si="29"/>
        <v>0</v>
      </c>
      <c r="L6373" s="59">
        <f t="shared" si="30"/>
        <v>0</v>
      </c>
      <c r="M6373" s="59">
        <f t="shared" si="31"/>
        <v>0</v>
      </c>
    </row>
    <row r="6374" ht="15.0" hidden="1" customHeight="1">
      <c r="A6374" s="59">
        <f t="shared" si="20"/>
        <v>103</v>
      </c>
      <c r="B6374" s="59" t="str">
        <f t="shared" si="21"/>
        <v/>
      </c>
      <c r="C6374" s="59" t="str">
        <f t="shared" si="22"/>
        <v/>
      </c>
      <c r="D6374" s="45" t="str">
        <f t="shared" si="23"/>
        <v/>
      </c>
      <c r="E6374" s="45" t="str">
        <f t="shared" si="24"/>
        <v/>
      </c>
      <c r="F6374" s="59" t="str">
        <f t="shared" si="25"/>
        <v/>
      </c>
      <c r="G6374" s="59" t="str">
        <f t="shared" si="26"/>
        <v/>
      </c>
      <c r="H6374" s="59" t="str">
        <f t="shared" si="27"/>
        <v>28C03927</v>
      </c>
      <c r="I6374" s="59" t="str">
        <f>IF(OR($A6374="",$C6374="",$D6374="",$E6374="",$H6374=""),"",SUMIFS(DATA_GOC!$H:$H,DATA_GOC!$A:$A,"BOM",DATA_GOC!$D:$D,$H6374,DATA_GOC!$E:$E,$C6374,DATA_GOC!$F:$F,"Xuất nội bộ từ téc",DATA_GOC!$B:$B,"&gt;="&amp;$D6374,DATA_GOC!$B:$B,"&lt;="&amp;$E6374))</f>
        <v/>
      </c>
      <c r="J6374" s="59">
        <f t="shared" si="28"/>
        <v>0</v>
      </c>
      <c r="K6374" s="59">
        <f t="shared" si="29"/>
        <v>0</v>
      </c>
      <c r="L6374" s="59">
        <f t="shared" si="30"/>
        <v>0</v>
      </c>
      <c r="M6374" s="59">
        <f t="shared" si="31"/>
        <v>0</v>
      </c>
    </row>
    <row r="6375" ht="15.0" hidden="1" customHeight="1">
      <c r="A6375" s="59">
        <f t="shared" si="20"/>
        <v>103</v>
      </c>
      <c r="B6375" s="59" t="str">
        <f t="shared" si="21"/>
        <v/>
      </c>
      <c r="C6375" s="59" t="str">
        <f t="shared" si="22"/>
        <v/>
      </c>
      <c r="D6375" s="45" t="str">
        <f t="shared" si="23"/>
        <v/>
      </c>
      <c r="E6375" s="45" t="str">
        <f t="shared" si="24"/>
        <v/>
      </c>
      <c r="F6375" s="59" t="str">
        <f t="shared" si="25"/>
        <v/>
      </c>
      <c r="G6375" s="59" t="str">
        <f t="shared" si="26"/>
        <v/>
      </c>
      <c r="H6375" s="59" t="str">
        <f t="shared" si="27"/>
        <v>28C04509</v>
      </c>
      <c r="I6375" s="59" t="str">
        <f>IF(OR($A6375="",$C6375="",$D6375="",$E6375="",$H6375=""),"",SUMIFS(DATA_GOC!$H:$H,DATA_GOC!$A:$A,"BOM",DATA_GOC!$D:$D,$H6375,DATA_GOC!$E:$E,$C6375,DATA_GOC!$F:$F,"Xuất nội bộ từ téc",DATA_GOC!$B:$B,"&gt;="&amp;$D6375,DATA_GOC!$B:$B,"&lt;="&amp;$E6375))</f>
        <v/>
      </c>
      <c r="J6375" s="59">
        <f t="shared" si="28"/>
        <v>0</v>
      </c>
      <c r="K6375" s="59">
        <f t="shared" si="29"/>
        <v>0</v>
      </c>
      <c r="L6375" s="59">
        <f t="shared" si="30"/>
        <v>0</v>
      </c>
      <c r="M6375" s="59">
        <f t="shared" si="31"/>
        <v>0</v>
      </c>
    </row>
    <row r="6376" ht="15.0" hidden="1" customHeight="1">
      <c r="A6376" s="59">
        <f t="shared" si="20"/>
        <v>103</v>
      </c>
      <c r="B6376" s="59" t="str">
        <f t="shared" si="21"/>
        <v/>
      </c>
      <c r="C6376" s="59" t="str">
        <f t="shared" si="22"/>
        <v/>
      </c>
      <c r="D6376" s="45" t="str">
        <f t="shared" si="23"/>
        <v/>
      </c>
      <c r="E6376" s="45" t="str">
        <f t="shared" si="24"/>
        <v/>
      </c>
      <c r="F6376" s="59" t="str">
        <f t="shared" si="25"/>
        <v/>
      </c>
      <c r="G6376" s="59" t="str">
        <f t="shared" si="26"/>
        <v/>
      </c>
      <c r="H6376" s="59" t="str">
        <f t="shared" si="27"/>
        <v>28C04536</v>
      </c>
      <c r="I6376" s="59" t="str">
        <f>IF(OR($A6376="",$C6376="",$D6376="",$E6376="",$H6376=""),"",SUMIFS(DATA_GOC!$H:$H,DATA_GOC!$A:$A,"BOM",DATA_GOC!$D:$D,$H6376,DATA_GOC!$E:$E,$C6376,DATA_GOC!$F:$F,"Xuất nội bộ từ téc",DATA_GOC!$B:$B,"&gt;="&amp;$D6376,DATA_GOC!$B:$B,"&lt;="&amp;$E6376))</f>
        <v/>
      </c>
      <c r="J6376" s="59">
        <f t="shared" si="28"/>
        <v>0</v>
      </c>
      <c r="K6376" s="59">
        <f t="shared" si="29"/>
        <v>0</v>
      </c>
      <c r="L6376" s="59">
        <f t="shared" si="30"/>
        <v>0</v>
      </c>
      <c r="M6376" s="59">
        <f t="shared" si="31"/>
        <v>0</v>
      </c>
    </row>
    <row r="6377" ht="15.0" hidden="1" customHeight="1">
      <c r="A6377" s="59">
        <f t="shared" si="20"/>
        <v>103</v>
      </c>
      <c r="B6377" s="59" t="str">
        <f t="shared" si="21"/>
        <v/>
      </c>
      <c r="C6377" s="59" t="str">
        <f t="shared" si="22"/>
        <v/>
      </c>
      <c r="D6377" s="45" t="str">
        <f t="shared" si="23"/>
        <v/>
      </c>
      <c r="E6377" s="45" t="str">
        <f t="shared" si="24"/>
        <v/>
      </c>
      <c r="F6377" s="59" t="str">
        <f t="shared" si="25"/>
        <v/>
      </c>
      <c r="G6377" s="59" t="str">
        <f t="shared" si="26"/>
        <v/>
      </c>
      <c r="H6377" s="59" t="str">
        <f t="shared" si="27"/>
        <v>28C04576</v>
      </c>
      <c r="I6377" s="59" t="str">
        <f>IF(OR($A6377="",$C6377="",$D6377="",$E6377="",$H6377=""),"",SUMIFS(DATA_GOC!$H:$H,DATA_GOC!$A:$A,"BOM",DATA_GOC!$D:$D,$H6377,DATA_GOC!$E:$E,$C6377,DATA_GOC!$F:$F,"Xuất nội bộ từ téc",DATA_GOC!$B:$B,"&gt;="&amp;$D6377,DATA_GOC!$B:$B,"&lt;="&amp;$E6377))</f>
        <v/>
      </c>
      <c r="J6377" s="59">
        <f t="shared" si="28"/>
        <v>0</v>
      </c>
      <c r="K6377" s="59">
        <f t="shared" si="29"/>
        <v>0</v>
      </c>
      <c r="L6377" s="59">
        <f t="shared" si="30"/>
        <v>0</v>
      </c>
      <c r="M6377" s="59">
        <f t="shared" si="31"/>
        <v>0</v>
      </c>
    </row>
    <row r="6378" ht="15.0" hidden="1" customHeight="1">
      <c r="A6378" s="59">
        <f t="shared" si="20"/>
        <v>103</v>
      </c>
      <c r="B6378" s="59" t="str">
        <f t="shared" si="21"/>
        <v/>
      </c>
      <c r="C6378" s="59" t="str">
        <f t="shared" si="22"/>
        <v/>
      </c>
      <c r="D6378" s="45" t="str">
        <f t="shared" si="23"/>
        <v/>
      </c>
      <c r="E6378" s="45" t="str">
        <f t="shared" si="24"/>
        <v/>
      </c>
      <c r="F6378" s="59" t="str">
        <f t="shared" si="25"/>
        <v/>
      </c>
      <c r="G6378" s="59" t="str">
        <f t="shared" si="26"/>
        <v/>
      </c>
      <c r="H6378" s="59" t="str">
        <f t="shared" si="27"/>
        <v>28C05090</v>
      </c>
      <c r="I6378" s="59" t="str">
        <f>IF(OR($A6378="",$C6378="",$D6378="",$E6378="",$H6378=""),"",SUMIFS(DATA_GOC!$H:$H,DATA_GOC!$A:$A,"BOM",DATA_GOC!$D:$D,$H6378,DATA_GOC!$E:$E,$C6378,DATA_GOC!$F:$F,"Xuất nội bộ từ téc",DATA_GOC!$B:$B,"&gt;="&amp;$D6378,DATA_GOC!$B:$B,"&lt;="&amp;$E6378))</f>
        <v/>
      </c>
      <c r="J6378" s="59">
        <f t="shared" si="28"/>
        <v>0</v>
      </c>
      <c r="K6378" s="59">
        <f t="shared" si="29"/>
        <v>0</v>
      </c>
      <c r="L6378" s="59">
        <f t="shared" si="30"/>
        <v>0</v>
      </c>
      <c r="M6378" s="59">
        <f t="shared" si="31"/>
        <v>0</v>
      </c>
    </row>
    <row r="6379" ht="15.0" hidden="1" customHeight="1">
      <c r="A6379" s="59">
        <f t="shared" si="20"/>
        <v>103</v>
      </c>
      <c r="B6379" s="59" t="str">
        <f t="shared" si="21"/>
        <v/>
      </c>
      <c r="C6379" s="59" t="str">
        <f t="shared" si="22"/>
        <v/>
      </c>
      <c r="D6379" s="45" t="str">
        <f t="shared" si="23"/>
        <v/>
      </c>
      <c r="E6379" s="45" t="str">
        <f t="shared" si="24"/>
        <v/>
      </c>
      <c r="F6379" s="59" t="str">
        <f t="shared" si="25"/>
        <v/>
      </c>
      <c r="G6379" s="59" t="str">
        <f t="shared" si="26"/>
        <v/>
      </c>
      <c r="H6379" s="59" t="str">
        <f t="shared" si="27"/>
        <v>28C05345</v>
      </c>
      <c r="I6379" s="59" t="str">
        <f>IF(OR($A6379="",$C6379="",$D6379="",$E6379="",$H6379=""),"",SUMIFS(DATA_GOC!$H:$H,DATA_GOC!$A:$A,"BOM",DATA_GOC!$D:$D,$H6379,DATA_GOC!$E:$E,$C6379,DATA_GOC!$F:$F,"Xuất nội bộ từ téc",DATA_GOC!$B:$B,"&gt;="&amp;$D6379,DATA_GOC!$B:$B,"&lt;="&amp;$E6379))</f>
        <v/>
      </c>
      <c r="J6379" s="59">
        <f t="shared" si="28"/>
        <v>0</v>
      </c>
      <c r="K6379" s="59">
        <f t="shared" si="29"/>
        <v>0</v>
      </c>
      <c r="L6379" s="59">
        <f t="shared" si="30"/>
        <v>0</v>
      </c>
      <c r="M6379" s="59">
        <f t="shared" si="31"/>
        <v>0</v>
      </c>
    </row>
    <row r="6380" ht="15.0" hidden="1" customHeight="1">
      <c r="A6380" s="59">
        <f t="shared" si="20"/>
        <v>103</v>
      </c>
      <c r="B6380" s="59" t="str">
        <f t="shared" si="21"/>
        <v/>
      </c>
      <c r="C6380" s="59" t="str">
        <f t="shared" si="22"/>
        <v/>
      </c>
      <c r="D6380" s="45" t="str">
        <f t="shared" si="23"/>
        <v/>
      </c>
      <c r="E6380" s="45" t="str">
        <f t="shared" si="24"/>
        <v/>
      </c>
      <c r="F6380" s="59" t="str">
        <f t="shared" si="25"/>
        <v/>
      </c>
      <c r="G6380" s="59" t="str">
        <f t="shared" si="26"/>
        <v/>
      </c>
      <c r="H6380" s="59" t="str">
        <f t="shared" si="27"/>
        <v>28C05661</v>
      </c>
      <c r="I6380" s="59" t="str">
        <f>IF(OR($A6380="",$C6380="",$D6380="",$E6380="",$H6380=""),"",SUMIFS(DATA_GOC!$H:$H,DATA_GOC!$A:$A,"BOM",DATA_GOC!$D:$D,$H6380,DATA_GOC!$E:$E,$C6380,DATA_GOC!$F:$F,"Xuất nội bộ từ téc",DATA_GOC!$B:$B,"&gt;="&amp;$D6380,DATA_GOC!$B:$B,"&lt;="&amp;$E6380))</f>
        <v/>
      </c>
      <c r="J6380" s="59">
        <f t="shared" si="28"/>
        <v>0</v>
      </c>
      <c r="K6380" s="59">
        <f t="shared" si="29"/>
        <v>0</v>
      </c>
      <c r="L6380" s="59">
        <f t="shared" si="30"/>
        <v>0</v>
      </c>
      <c r="M6380" s="59">
        <f t="shared" si="31"/>
        <v>0</v>
      </c>
    </row>
    <row r="6381" ht="15.0" hidden="1" customHeight="1">
      <c r="A6381" s="59">
        <f t="shared" si="20"/>
        <v>103</v>
      </c>
      <c r="B6381" s="59" t="str">
        <f t="shared" si="21"/>
        <v/>
      </c>
      <c r="C6381" s="59" t="str">
        <f t="shared" si="22"/>
        <v/>
      </c>
      <c r="D6381" s="45" t="str">
        <f t="shared" si="23"/>
        <v/>
      </c>
      <c r="E6381" s="45" t="str">
        <f t="shared" si="24"/>
        <v/>
      </c>
      <c r="F6381" s="59" t="str">
        <f t="shared" si="25"/>
        <v/>
      </c>
      <c r="G6381" s="59" t="str">
        <f t="shared" si="26"/>
        <v/>
      </c>
      <c r="H6381" s="59" t="str">
        <f t="shared" si="27"/>
        <v>28C05739</v>
      </c>
      <c r="I6381" s="59" t="str">
        <f>IF(OR($A6381="",$C6381="",$D6381="",$E6381="",$H6381=""),"",SUMIFS(DATA_GOC!$H:$H,DATA_GOC!$A:$A,"BOM",DATA_GOC!$D:$D,$H6381,DATA_GOC!$E:$E,$C6381,DATA_GOC!$F:$F,"Xuất nội bộ từ téc",DATA_GOC!$B:$B,"&gt;="&amp;$D6381,DATA_GOC!$B:$B,"&lt;="&amp;$E6381))</f>
        <v/>
      </c>
      <c r="J6381" s="59">
        <f t="shared" si="28"/>
        <v>0</v>
      </c>
      <c r="K6381" s="59">
        <f t="shared" si="29"/>
        <v>0</v>
      </c>
      <c r="L6381" s="59">
        <f t="shared" si="30"/>
        <v>0</v>
      </c>
      <c r="M6381" s="59">
        <f t="shared" si="31"/>
        <v>0</v>
      </c>
    </row>
    <row r="6382" ht="15.0" hidden="1" customHeight="1">
      <c r="A6382" s="59">
        <f t="shared" si="20"/>
        <v>103</v>
      </c>
      <c r="B6382" s="59" t="str">
        <f t="shared" si="21"/>
        <v/>
      </c>
      <c r="C6382" s="59" t="str">
        <f t="shared" si="22"/>
        <v/>
      </c>
      <c r="D6382" s="45" t="str">
        <f t="shared" si="23"/>
        <v/>
      </c>
      <c r="E6382" s="45" t="str">
        <f t="shared" si="24"/>
        <v/>
      </c>
      <c r="F6382" s="59" t="str">
        <f t="shared" si="25"/>
        <v/>
      </c>
      <c r="G6382" s="59" t="str">
        <f t="shared" si="26"/>
        <v/>
      </c>
      <c r="H6382" s="59" t="str">
        <f t="shared" si="27"/>
        <v>28C06369</v>
      </c>
      <c r="I6382" s="59" t="str">
        <f>IF(OR($A6382="",$C6382="",$D6382="",$E6382="",$H6382=""),"",SUMIFS(DATA_GOC!$H:$H,DATA_GOC!$A:$A,"BOM",DATA_GOC!$D:$D,$H6382,DATA_GOC!$E:$E,$C6382,DATA_GOC!$F:$F,"Xuất nội bộ từ téc",DATA_GOC!$B:$B,"&gt;="&amp;$D6382,DATA_GOC!$B:$B,"&lt;="&amp;$E6382))</f>
        <v/>
      </c>
      <c r="J6382" s="59">
        <f t="shared" si="28"/>
        <v>0</v>
      </c>
      <c r="K6382" s="59">
        <f t="shared" si="29"/>
        <v>0</v>
      </c>
      <c r="L6382" s="59">
        <f t="shared" si="30"/>
        <v>0</v>
      </c>
      <c r="M6382" s="59">
        <f t="shared" si="31"/>
        <v>0</v>
      </c>
    </row>
    <row r="6383" ht="15.0" hidden="1" customHeight="1">
      <c r="A6383" s="59">
        <f t="shared" si="20"/>
        <v>103</v>
      </c>
      <c r="B6383" s="59" t="str">
        <f t="shared" si="21"/>
        <v/>
      </c>
      <c r="C6383" s="59" t="str">
        <f t="shared" si="22"/>
        <v/>
      </c>
      <c r="D6383" s="45" t="str">
        <f t="shared" si="23"/>
        <v/>
      </c>
      <c r="E6383" s="45" t="str">
        <f t="shared" si="24"/>
        <v/>
      </c>
      <c r="F6383" s="59" t="str">
        <f t="shared" si="25"/>
        <v/>
      </c>
      <c r="G6383" s="59" t="str">
        <f t="shared" si="26"/>
        <v/>
      </c>
      <c r="H6383" s="59" t="str">
        <f t="shared" si="27"/>
        <v>28C06447</v>
      </c>
      <c r="I6383" s="59" t="str">
        <f>IF(OR($A6383="",$C6383="",$D6383="",$E6383="",$H6383=""),"",SUMIFS(DATA_GOC!$H:$H,DATA_GOC!$A:$A,"BOM",DATA_GOC!$D:$D,$H6383,DATA_GOC!$E:$E,$C6383,DATA_GOC!$F:$F,"Xuất nội bộ từ téc",DATA_GOC!$B:$B,"&gt;="&amp;$D6383,DATA_GOC!$B:$B,"&lt;="&amp;$E6383))</f>
        <v/>
      </c>
      <c r="J6383" s="59">
        <f t="shared" si="28"/>
        <v>0</v>
      </c>
      <c r="K6383" s="59">
        <f t="shared" si="29"/>
        <v>0</v>
      </c>
      <c r="L6383" s="59">
        <f t="shared" si="30"/>
        <v>0</v>
      </c>
      <c r="M6383" s="59">
        <f t="shared" si="31"/>
        <v>0</v>
      </c>
    </row>
    <row r="6384" ht="15.0" hidden="1" customHeight="1">
      <c r="A6384" s="59">
        <f t="shared" si="20"/>
        <v>103</v>
      </c>
      <c r="B6384" s="59" t="str">
        <f t="shared" si="21"/>
        <v/>
      </c>
      <c r="C6384" s="59" t="str">
        <f t="shared" si="22"/>
        <v/>
      </c>
      <c r="D6384" s="45" t="str">
        <f t="shared" si="23"/>
        <v/>
      </c>
      <c r="E6384" s="45" t="str">
        <f t="shared" si="24"/>
        <v/>
      </c>
      <c r="F6384" s="59" t="str">
        <f t="shared" si="25"/>
        <v/>
      </c>
      <c r="G6384" s="59" t="str">
        <f t="shared" si="26"/>
        <v/>
      </c>
      <c r="H6384" s="59" t="str">
        <f t="shared" si="27"/>
        <v>28H00003</v>
      </c>
      <c r="I6384" s="59" t="str">
        <f>IF(OR($A6384="",$C6384="",$D6384="",$E6384="",$H6384=""),"",SUMIFS(DATA_GOC!$H:$H,DATA_GOC!$A:$A,"BOM",DATA_GOC!$D:$D,$H6384,DATA_GOC!$E:$E,$C6384,DATA_GOC!$F:$F,"Xuất nội bộ từ téc",DATA_GOC!$B:$B,"&gt;="&amp;$D6384,DATA_GOC!$B:$B,"&lt;="&amp;$E6384))</f>
        <v/>
      </c>
      <c r="J6384" s="59">
        <f t="shared" si="28"/>
        <v>0</v>
      </c>
      <c r="K6384" s="59">
        <f t="shared" si="29"/>
        <v>0</v>
      </c>
      <c r="L6384" s="59">
        <f t="shared" si="30"/>
        <v>0</v>
      </c>
      <c r="M6384" s="59">
        <f t="shared" si="31"/>
        <v>0</v>
      </c>
    </row>
    <row r="6385" ht="15.0" hidden="1" customHeight="1">
      <c r="A6385" s="59">
        <f t="shared" si="20"/>
        <v>103</v>
      </c>
      <c r="B6385" s="59" t="str">
        <f t="shared" si="21"/>
        <v/>
      </c>
      <c r="C6385" s="59" t="str">
        <f t="shared" si="22"/>
        <v/>
      </c>
      <c r="D6385" s="45" t="str">
        <f t="shared" si="23"/>
        <v/>
      </c>
      <c r="E6385" s="45" t="str">
        <f t="shared" si="24"/>
        <v/>
      </c>
      <c r="F6385" s="59" t="str">
        <f t="shared" si="25"/>
        <v/>
      </c>
      <c r="G6385" s="59" t="str">
        <f t="shared" si="26"/>
        <v/>
      </c>
      <c r="H6385" s="59" t="str">
        <f t="shared" si="27"/>
        <v>28H00061</v>
      </c>
      <c r="I6385" s="59" t="str">
        <f>IF(OR($A6385="",$C6385="",$D6385="",$E6385="",$H6385=""),"",SUMIFS(DATA_GOC!$H:$H,DATA_GOC!$A:$A,"BOM",DATA_GOC!$D:$D,$H6385,DATA_GOC!$E:$E,$C6385,DATA_GOC!$F:$F,"Xuất nội bộ từ téc",DATA_GOC!$B:$B,"&gt;="&amp;$D6385,DATA_GOC!$B:$B,"&lt;="&amp;$E6385))</f>
        <v/>
      </c>
      <c r="J6385" s="59">
        <f t="shared" si="28"/>
        <v>0</v>
      </c>
      <c r="K6385" s="59">
        <f t="shared" si="29"/>
        <v>0</v>
      </c>
      <c r="L6385" s="59">
        <f t="shared" si="30"/>
        <v>0</v>
      </c>
      <c r="M6385" s="59">
        <f t="shared" si="31"/>
        <v>0</v>
      </c>
    </row>
    <row r="6386" ht="15.0" hidden="1" customHeight="1">
      <c r="A6386" s="59">
        <f t="shared" si="20"/>
        <v>103</v>
      </c>
      <c r="B6386" s="59" t="str">
        <f t="shared" si="21"/>
        <v/>
      </c>
      <c r="C6386" s="59" t="str">
        <f t="shared" si="22"/>
        <v/>
      </c>
      <c r="D6386" s="45" t="str">
        <f t="shared" si="23"/>
        <v/>
      </c>
      <c r="E6386" s="45" t="str">
        <f t="shared" si="24"/>
        <v/>
      </c>
      <c r="F6386" s="59" t="str">
        <f t="shared" si="25"/>
        <v/>
      </c>
      <c r="G6386" s="59" t="str">
        <f t="shared" si="26"/>
        <v/>
      </c>
      <c r="H6386" s="59" t="str">
        <f t="shared" si="27"/>
        <v>28H00354</v>
      </c>
      <c r="I6386" s="59" t="str">
        <f>IF(OR($A6386="",$C6386="",$D6386="",$E6386="",$H6386=""),"",SUMIFS(DATA_GOC!$H:$H,DATA_GOC!$A:$A,"BOM",DATA_GOC!$D:$D,$H6386,DATA_GOC!$E:$E,$C6386,DATA_GOC!$F:$F,"Xuất nội bộ từ téc",DATA_GOC!$B:$B,"&gt;="&amp;$D6386,DATA_GOC!$B:$B,"&lt;="&amp;$E6386))</f>
        <v/>
      </c>
      <c r="J6386" s="59">
        <f t="shared" si="28"/>
        <v>0</v>
      </c>
      <c r="K6386" s="59">
        <f t="shared" si="29"/>
        <v>0</v>
      </c>
      <c r="L6386" s="59">
        <f t="shared" si="30"/>
        <v>0</v>
      </c>
      <c r="M6386" s="59">
        <f t="shared" si="31"/>
        <v>0</v>
      </c>
    </row>
    <row r="6387" ht="15.0" hidden="1" customHeight="1">
      <c r="A6387" s="59">
        <f t="shared" si="20"/>
        <v>103</v>
      </c>
      <c r="B6387" s="59" t="str">
        <f t="shared" si="21"/>
        <v/>
      </c>
      <c r="C6387" s="59" t="str">
        <f t="shared" si="22"/>
        <v/>
      </c>
      <c r="D6387" s="45" t="str">
        <f t="shared" si="23"/>
        <v/>
      </c>
      <c r="E6387" s="45" t="str">
        <f t="shared" si="24"/>
        <v/>
      </c>
      <c r="F6387" s="59" t="str">
        <f t="shared" si="25"/>
        <v/>
      </c>
      <c r="G6387" s="59" t="str">
        <f t="shared" si="26"/>
        <v/>
      </c>
      <c r="H6387" s="59" t="str">
        <f t="shared" si="27"/>
        <v>28H00603</v>
      </c>
      <c r="I6387" s="59" t="str">
        <f>IF(OR($A6387="",$C6387="",$D6387="",$E6387="",$H6387=""),"",SUMIFS(DATA_GOC!$H:$H,DATA_GOC!$A:$A,"BOM",DATA_GOC!$D:$D,$H6387,DATA_GOC!$E:$E,$C6387,DATA_GOC!$F:$F,"Xuất nội bộ từ téc",DATA_GOC!$B:$B,"&gt;="&amp;$D6387,DATA_GOC!$B:$B,"&lt;="&amp;$E6387))</f>
        <v/>
      </c>
      <c r="J6387" s="59">
        <f t="shared" si="28"/>
        <v>0</v>
      </c>
      <c r="K6387" s="59">
        <f t="shared" si="29"/>
        <v>0</v>
      </c>
      <c r="L6387" s="59">
        <f t="shared" si="30"/>
        <v>0</v>
      </c>
      <c r="M6387" s="59">
        <f t="shared" si="31"/>
        <v>0</v>
      </c>
    </row>
    <row r="6388" ht="15.0" hidden="1" customHeight="1">
      <c r="A6388" s="59">
        <f t="shared" si="20"/>
        <v>103</v>
      </c>
      <c r="B6388" s="59" t="str">
        <f t="shared" si="21"/>
        <v/>
      </c>
      <c r="C6388" s="59" t="str">
        <f t="shared" si="22"/>
        <v/>
      </c>
      <c r="D6388" s="45" t="str">
        <f t="shared" si="23"/>
        <v/>
      </c>
      <c r="E6388" s="45" t="str">
        <f t="shared" si="24"/>
        <v/>
      </c>
      <c r="F6388" s="59" t="str">
        <f t="shared" si="25"/>
        <v/>
      </c>
      <c r="G6388" s="59" t="str">
        <f t="shared" si="26"/>
        <v/>
      </c>
      <c r="H6388" s="59" t="str">
        <f t="shared" si="27"/>
        <v>28H00609</v>
      </c>
      <c r="I6388" s="59" t="str">
        <f>IF(OR($A6388="",$C6388="",$D6388="",$E6388="",$H6388=""),"",SUMIFS(DATA_GOC!$H:$H,DATA_GOC!$A:$A,"BOM",DATA_GOC!$D:$D,$H6388,DATA_GOC!$E:$E,$C6388,DATA_GOC!$F:$F,"Xuất nội bộ từ téc",DATA_GOC!$B:$B,"&gt;="&amp;$D6388,DATA_GOC!$B:$B,"&lt;="&amp;$E6388))</f>
        <v/>
      </c>
      <c r="J6388" s="59">
        <f t="shared" si="28"/>
        <v>0</v>
      </c>
      <c r="K6388" s="59">
        <f t="shared" si="29"/>
        <v>0</v>
      </c>
      <c r="L6388" s="59">
        <f t="shared" si="30"/>
        <v>0</v>
      </c>
      <c r="M6388" s="59">
        <f t="shared" si="31"/>
        <v>0</v>
      </c>
    </row>
    <row r="6389" ht="15.0" hidden="1" customHeight="1">
      <c r="A6389" s="59">
        <f t="shared" si="20"/>
        <v>103</v>
      </c>
      <c r="B6389" s="59" t="str">
        <f t="shared" si="21"/>
        <v/>
      </c>
      <c r="C6389" s="59" t="str">
        <f t="shared" si="22"/>
        <v/>
      </c>
      <c r="D6389" s="45" t="str">
        <f t="shared" si="23"/>
        <v/>
      </c>
      <c r="E6389" s="45" t="str">
        <f t="shared" si="24"/>
        <v/>
      </c>
      <c r="F6389" s="59" t="str">
        <f t="shared" si="25"/>
        <v/>
      </c>
      <c r="G6389" s="59" t="str">
        <f t="shared" si="26"/>
        <v/>
      </c>
      <c r="H6389" s="59" t="str">
        <f t="shared" si="27"/>
        <v>28H00669</v>
      </c>
      <c r="I6389" s="59" t="str">
        <f>IF(OR($A6389="",$C6389="",$D6389="",$E6389="",$H6389=""),"",SUMIFS(DATA_GOC!$H:$H,DATA_GOC!$A:$A,"BOM",DATA_GOC!$D:$D,$H6389,DATA_GOC!$E:$E,$C6389,DATA_GOC!$F:$F,"Xuất nội bộ từ téc",DATA_GOC!$B:$B,"&gt;="&amp;$D6389,DATA_GOC!$B:$B,"&lt;="&amp;$E6389))</f>
        <v/>
      </c>
      <c r="J6389" s="59">
        <f t="shared" si="28"/>
        <v>0</v>
      </c>
      <c r="K6389" s="59">
        <f t="shared" si="29"/>
        <v>0</v>
      </c>
      <c r="L6389" s="59">
        <f t="shared" si="30"/>
        <v>0</v>
      </c>
      <c r="M6389" s="59">
        <f t="shared" si="31"/>
        <v>0</v>
      </c>
    </row>
    <row r="6390" ht="15.0" hidden="1" customHeight="1">
      <c r="A6390" s="59">
        <f t="shared" si="20"/>
        <v>103</v>
      </c>
      <c r="B6390" s="59" t="str">
        <f t="shared" si="21"/>
        <v/>
      </c>
      <c r="C6390" s="59" t="str">
        <f t="shared" si="22"/>
        <v/>
      </c>
      <c r="D6390" s="45" t="str">
        <f t="shared" si="23"/>
        <v/>
      </c>
      <c r="E6390" s="45" t="str">
        <f t="shared" si="24"/>
        <v/>
      </c>
      <c r="F6390" s="59" t="str">
        <f t="shared" si="25"/>
        <v/>
      </c>
      <c r="G6390" s="59" t="str">
        <f t="shared" si="26"/>
        <v/>
      </c>
      <c r="H6390" s="59" t="str">
        <f t="shared" si="27"/>
        <v>28H00680</v>
      </c>
      <c r="I6390" s="59" t="str">
        <f>IF(OR($A6390="",$C6390="",$D6390="",$E6390="",$H6390=""),"",SUMIFS(DATA_GOC!$H:$H,DATA_GOC!$A:$A,"BOM",DATA_GOC!$D:$D,$H6390,DATA_GOC!$E:$E,$C6390,DATA_GOC!$F:$F,"Xuất nội bộ từ téc",DATA_GOC!$B:$B,"&gt;="&amp;$D6390,DATA_GOC!$B:$B,"&lt;="&amp;$E6390))</f>
        <v/>
      </c>
      <c r="J6390" s="59">
        <f t="shared" si="28"/>
        <v>0</v>
      </c>
      <c r="K6390" s="59">
        <f t="shared" si="29"/>
        <v>0</v>
      </c>
      <c r="L6390" s="59">
        <f t="shared" si="30"/>
        <v>0</v>
      </c>
      <c r="M6390" s="59">
        <f t="shared" si="31"/>
        <v>0</v>
      </c>
    </row>
    <row r="6391" ht="15.0" hidden="1" customHeight="1">
      <c r="A6391" s="59">
        <f t="shared" si="20"/>
        <v>103</v>
      </c>
      <c r="B6391" s="59" t="str">
        <f t="shared" si="21"/>
        <v/>
      </c>
      <c r="C6391" s="59" t="str">
        <f t="shared" si="22"/>
        <v/>
      </c>
      <c r="D6391" s="45" t="str">
        <f t="shared" si="23"/>
        <v/>
      </c>
      <c r="E6391" s="45" t="str">
        <f t="shared" si="24"/>
        <v/>
      </c>
      <c r="F6391" s="59" t="str">
        <f t="shared" si="25"/>
        <v/>
      </c>
      <c r="G6391" s="59" t="str">
        <f t="shared" si="26"/>
        <v/>
      </c>
      <c r="H6391" s="59" t="str">
        <f t="shared" si="27"/>
        <v>28H01070</v>
      </c>
      <c r="I6391" s="59" t="str">
        <f>IF(OR($A6391="",$C6391="",$D6391="",$E6391="",$H6391=""),"",SUMIFS(DATA_GOC!$H:$H,DATA_GOC!$A:$A,"BOM",DATA_GOC!$D:$D,$H6391,DATA_GOC!$E:$E,$C6391,DATA_GOC!$F:$F,"Xuất nội bộ từ téc",DATA_GOC!$B:$B,"&gt;="&amp;$D6391,DATA_GOC!$B:$B,"&lt;="&amp;$E6391))</f>
        <v/>
      </c>
      <c r="J6391" s="59">
        <f t="shared" si="28"/>
        <v>0</v>
      </c>
      <c r="K6391" s="59">
        <f t="shared" si="29"/>
        <v>0</v>
      </c>
      <c r="L6391" s="59">
        <f t="shared" si="30"/>
        <v>0</v>
      </c>
      <c r="M6391" s="59">
        <f t="shared" si="31"/>
        <v>0</v>
      </c>
    </row>
    <row r="6392" ht="15.0" hidden="1" customHeight="1">
      <c r="A6392" s="59">
        <f t="shared" si="20"/>
        <v>103</v>
      </c>
      <c r="B6392" s="59" t="str">
        <f t="shared" si="21"/>
        <v/>
      </c>
      <c r="C6392" s="59" t="str">
        <f t="shared" si="22"/>
        <v/>
      </c>
      <c r="D6392" s="45" t="str">
        <f t="shared" si="23"/>
        <v/>
      </c>
      <c r="E6392" s="45" t="str">
        <f t="shared" si="24"/>
        <v/>
      </c>
      <c r="F6392" s="59" t="str">
        <f t="shared" si="25"/>
        <v/>
      </c>
      <c r="G6392" s="59" t="str">
        <f t="shared" si="26"/>
        <v/>
      </c>
      <c r="H6392" s="59" t="str">
        <f t="shared" si="27"/>
        <v>28H01364</v>
      </c>
      <c r="I6392" s="59" t="str">
        <f>IF(OR($A6392="",$C6392="",$D6392="",$E6392="",$H6392=""),"",SUMIFS(DATA_GOC!$H:$H,DATA_GOC!$A:$A,"BOM",DATA_GOC!$D:$D,$H6392,DATA_GOC!$E:$E,$C6392,DATA_GOC!$F:$F,"Xuất nội bộ từ téc",DATA_GOC!$B:$B,"&gt;="&amp;$D6392,DATA_GOC!$B:$B,"&lt;="&amp;$E6392))</f>
        <v/>
      </c>
      <c r="J6392" s="59">
        <f t="shared" si="28"/>
        <v>0</v>
      </c>
      <c r="K6392" s="59">
        <f t="shared" si="29"/>
        <v>0</v>
      </c>
      <c r="L6392" s="59">
        <f t="shared" si="30"/>
        <v>0</v>
      </c>
      <c r="M6392" s="59">
        <f t="shared" si="31"/>
        <v>0</v>
      </c>
    </row>
    <row r="6393" ht="15.0" hidden="1" customHeight="1">
      <c r="A6393" s="59">
        <f t="shared" si="20"/>
        <v>103</v>
      </c>
      <c r="B6393" s="59" t="str">
        <f t="shared" si="21"/>
        <v/>
      </c>
      <c r="C6393" s="59" t="str">
        <f t="shared" si="22"/>
        <v/>
      </c>
      <c r="D6393" s="45" t="str">
        <f t="shared" si="23"/>
        <v/>
      </c>
      <c r="E6393" s="45" t="str">
        <f t="shared" si="24"/>
        <v/>
      </c>
      <c r="F6393" s="59" t="str">
        <f t="shared" si="25"/>
        <v/>
      </c>
      <c r="G6393" s="59" t="str">
        <f t="shared" si="26"/>
        <v/>
      </c>
      <c r="H6393" s="59" t="str">
        <f t="shared" si="27"/>
        <v>29E17269</v>
      </c>
      <c r="I6393" s="59" t="str">
        <f>IF(OR($A6393="",$C6393="",$D6393="",$E6393="",$H6393=""),"",SUMIFS(DATA_GOC!$H:$H,DATA_GOC!$A:$A,"BOM",DATA_GOC!$D:$D,$H6393,DATA_GOC!$E:$E,$C6393,DATA_GOC!$F:$F,"Xuất nội bộ từ téc",DATA_GOC!$B:$B,"&gt;="&amp;$D6393,DATA_GOC!$B:$B,"&lt;="&amp;$E6393))</f>
        <v/>
      </c>
      <c r="J6393" s="59">
        <f t="shared" si="28"/>
        <v>0</v>
      </c>
      <c r="K6393" s="59">
        <f t="shared" si="29"/>
        <v>0</v>
      </c>
      <c r="L6393" s="59">
        <f t="shared" si="30"/>
        <v>0</v>
      </c>
      <c r="M6393" s="59">
        <f t="shared" si="31"/>
        <v>0</v>
      </c>
    </row>
    <row r="6394" ht="15.0" hidden="1" customHeight="1">
      <c r="A6394" s="59">
        <f t="shared" si="20"/>
        <v>103</v>
      </c>
      <c r="B6394" s="59" t="str">
        <f t="shared" si="21"/>
        <v/>
      </c>
      <c r="C6394" s="59" t="str">
        <f t="shared" si="22"/>
        <v/>
      </c>
      <c r="D6394" s="45" t="str">
        <f t="shared" si="23"/>
        <v/>
      </c>
      <c r="E6394" s="45" t="str">
        <f t="shared" si="24"/>
        <v/>
      </c>
      <c r="F6394" s="59" t="str">
        <f t="shared" si="25"/>
        <v/>
      </c>
      <c r="G6394" s="59" t="str">
        <f t="shared" si="26"/>
        <v/>
      </c>
      <c r="H6394" s="59" t="str">
        <f t="shared" si="27"/>
        <v>29E17273</v>
      </c>
      <c r="I6394" s="59" t="str">
        <f>IF(OR($A6394="",$C6394="",$D6394="",$E6394="",$H6394=""),"",SUMIFS(DATA_GOC!$H:$H,DATA_GOC!$A:$A,"BOM",DATA_GOC!$D:$D,$H6394,DATA_GOC!$E:$E,$C6394,DATA_GOC!$F:$F,"Xuất nội bộ từ téc",DATA_GOC!$B:$B,"&gt;="&amp;$D6394,DATA_GOC!$B:$B,"&lt;="&amp;$E6394))</f>
        <v/>
      </c>
      <c r="J6394" s="59">
        <f t="shared" si="28"/>
        <v>0</v>
      </c>
      <c r="K6394" s="59">
        <f t="shared" si="29"/>
        <v>0</v>
      </c>
      <c r="L6394" s="59">
        <f t="shared" si="30"/>
        <v>0</v>
      </c>
      <c r="M6394" s="59">
        <f t="shared" si="31"/>
        <v>0</v>
      </c>
    </row>
    <row r="6395" ht="15.0" hidden="1" customHeight="1">
      <c r="A6395" s="59">
        <f t="shared" si="20"/>
        <v>103</v>
      </c>
      <c r="B6395" s="59" t="str">
        <f t="shared" si="21"/>
        <v/>
      </c>
      <c r="C6395" s="59" t="str">
        <f t="shared" si="22"/>
        <v/>
      </c>
      <c r="D6395" s="45" t="str">
        <f t="shared" si="23"/>
        <v/>
      </c>
      <c r="E6395" s="45" t="str">
        <f t="shared" si="24"/>
        <v/>
      </c>
      <c r="F6395" s="59" t="str">
        <f t="shared" si="25"/>
        <v/>
      </c>
      <c r="G6395" s="59" t="str">
        <f t="shared" si="26"/>
        <v/>
      </c>
      <c r="H6395" s="59" t="str">
        <f t="shared" si="27"/>
        <v>29E17410</v>
      </c>
      <c r="I6395" s="59" t="str">
        <f>IF(OR($A6395="",$C6395="",$D6395="",$E6395="",$H6395=""),"",SUMIFS(DATA_GOC!$H:$H,DATA_GOC!$A:$A,"BOM",DATA_GOC!$D:$D,$H6395,DATA_GOC!$E:$E,$C6395,DATA_GOC!$F:$F,"Xuất nội bộ từ téc",DATA_GOC!$B:$B,"&gt;="&amp;$D6395,DATA_GOC!$B:$B,"&lt;="&amp;$E6395))</f>
        <v/>
      </c>
      <c r="J6395" s="59">
        <f t="shared" si="28"/>
        <v>0</v>
      </c>
      <c r="K6395" s="59">
        <f t="shared" si="29"/>
        <v>0</v>
      </c>
      <c r="L6395" s="59">
        <f t="shared" si="30"/>
        <v>0</v>
      </c>
      <c r="M6395" s="59">
        <f t="shared" si="31"/>
        <v>0</v>
      </c>
    </row>
    <row r="6396" ht="15.0" hidden="1" customHeight="1">
      <c r="A6396" s="59">
        <f t="shared" si="20"/>
        <v>103</v>
      </c>
      <c r="B6396" s="59" t="str">
        <f t="shared" si="21"/>
        <v/>
      </c>
      <c r="C6396" s="59" t="str">
        <f t="shared" si="22"/>
        <v/>
      </c>
      <c r="D6396" s="45" t="str">
        <f t="shared" si="23"/>
        <v/>
      </c>
      <c r="E6396" s="45" t="str">
        <f t="shared" si="24"/>
        <v/>
      </c>
      <c r="F6396" s="59" t="str">
        <f t="shared" si="25"/>
        <v/>
      </c>
      <c r="G6396" s="59" t="str">
        <f t="shared" si="26"/>
        <v/>
      </c>
      <c r="H6396" s="59" t="str">
        <f t="shared" si="27"/>
        <v>29E17417</v>
      </c>
      <c r="I6396" s="59" t="str">
        <f>IF(OR($A6396="",$C6396="",$D6396="",$E6396="",$H6396=""),"",SUMIFS(DATA_GOC!$H:$H,DATA_GOC!$A:$A,"BOM",DATA_GOC!$D:$D,$H6396,DATA_GOC!$E:$E,$C6396,DATA_GOC!$F:$F,"Xuất nội bộ từ téc",DATA_GOC!$B:$B,"&gt;="&amp;$D6396,DATA_GOC!$B:$B,"&lt;="&amp;$E6396))</f>
        <v/>
      </c>
      <c r="J6396" s="59">
        <f t="shared" si="28"/>
        <v>0</v>
      </c>
      <c r="K6396" s="59">
        <f t="shared" si="29"/>
        <v>0</v>
      </c>
      <c r="L6396" s="59">
        <f t="shared" si="30"/>
        <v>0</v>
      </c>
      <c r="M6396" s="59">
        <f t="shared" si="31"/>
        <v>0</v>
      </c>
    </row>
    <row r="6397" ht="15.0" hidden="1" customHeight="1">
      <c r="A6397" s="59">
        <f t="shared" si="20"/>
        <v>103</v>
      </c>
      <c r="B6397" s="59" t="str">
        <f t="shared" si="21"/>
        <v/>
      </c>
      <c r="C6397" s="59" t="str">
        <f t="shared" si="22"/>
        <v/>
      </c>
      <c r="D6397" s="45" t="str">
        <f t="shared" si="23"/>
        <v/>
      </c>
      <c r="E6397" s="45" t="str">
        <f t="shared" si="24"/>
        <v/>
      </c>
      <c r="F6397" s="59" t="str">
        <f t="shared" si="25"/>
        <v/>
      </c>
      <c r="G6397" s="59" t="str">
        <f t="shared" si="26"/>
        <v/>
      </c>
      <c r="H6397" s="59" t="str">
        <f t="shared" si="27"/>
        <v>29E17539</v>
      </c>
      <c r="I6397" s="59" t="str">
        <f>IF(OR($A6397="",$C6397="",$D6397="",$E6397="",$H6397=""),"",SUMIFS(DATA_GOC!$H:$H,DATA_GOC!$A:$A,"BOM",DATA_GOC!$D:$D,$H6397,DATA_GOC!$E:$E,$C6397,DATA_GOC!$F:$F,"Xuất nội bộ từ téc",DATA_GOC!$B:$B,"&gt;="&amp;$D6397,DATA_GOC!$B:$B,"&lt;="&amp;$E6397))</f>
        <v/>
      </c>
      <c r="J6397" s="59">
        <f t="shared" si="28"/>
        <v>0</v>
      </c>
      <c r="K6397" s="59">
        <f t="shared" si="29"/>
        <v>0</v>
      </c>
      <c r="L6397" s="59">
        <f t="shared" si="30"/>
        <v>0</v>
      </c>
      <c r="M6397" s="59">
        <f t="shared" si="31"/>
        <v>0</v>
      </c>
    </row>
    <row r="6398" ht="15.0" hidden="1" customHeight="1">
      <c r="A6398" s="59">
        <f t="shared" si="20"/>
        <v>103</v>
      </c>
      <c r="B6398" s="59" t="str">
        <f t="shared" si="21"/>
        <v/>
      </c>
      <c r="C6398" s="59" t="str">
        <f t="shared" si="22"/>
        <v/>
      </c>
      <c r="D6398" s="45" t="str">
        <f t="shared" si="23"/>
        <v/>
      </c>
      <c r="E6398" s="45" t="str">
        <f t="shared" si="24"/>
        <v/>
      </c>
      <c r="F6398" s="59" t="str">
        <f t="shared" si="25"/>
        <v/>
      </c>
      <c r="G6398" s="59" t="str">
        <f t="shared" si="26"/>
        <v/>
      </c>
      <c r="H6398" s="59" t="str">
        <f t="shared" si="27"/>
        <v>29E18160</v>
      </c>
      <c r="I6398" s="59" t="str">
        <f>IF(OR($A6398="",$C6398="",$D6398="",$E6398="",$H6398=""),"",SUMIFS(DATA_GOC!$H:$H,DATA_GOC!$A:$A,"BOM",DATA_GOC!$D:$D,$H6398,DATA_GOC!$E:$E,$C6398,DATA_GOC!$F:$F,"Xuất nội bộ từ téc",DATA_GOC!$B:$B,"&gt;="&amp;$D6398,DATA_GOC!$B:$B,"&lt;="&amp;$E6398))</f>
        <v/>
      </c>
      <c r="J6398" s="59">
        <f t="shared" si="28"/>
        <v>0</v>
      </c>
      <c r="K6398" s="59">
        <f t="shared" si="29"/>
        <v>0</v>
      </c>
      <c r="L6398" s="59">
        <f t="shared" si="30"/>
        <v>0</v>
      </c>
      <c r="M6398" s="59">
        <f t="shared" si="31"/>
        <v>0</v>
      </c>
    </row>
    <row r="6399" ht="15.0" hidden="1" customHeight="1">
      <c r="A6399" s="59">
        <f t="shared" si="20"/>
        <v>103</v>
      </c>
      <c r="B6399" s="59" t="str">
        <f t="shared" si="21"/>
        <v/>
      </c>
      <c r="C6399" s="59" t="str">
        <f t="shared" si="22"/>
        <v/>
      </c>
      <c r="D6399" s="45" t="str">
        <f t="shared" si="23"/>
        <v/>
      </c>
      <c r="E6399" s="45" t="str">
        <f t="shared" si="24"/>
        <v/>
      </c>
      <c r="F6399" s="59" t="str">
        <f t="shared" si="25"/>
        <v/>
      </c>
      <c r="G6399" s="59" t="str">
        <f t="shared" si="26"/>
        <v/>
      </c>
      <c r="H6399" s="59" t="str">
        <f t="shared" si="27"/>
        <v>Công trình Asphalt</v>
      </c>
      <c r="I6399" s="59" t="str">
        <f>IF(OR($A6399="",$C6399="",$D6399="",$E6399="",$H6399=""),"",SUMIFS(DATA_GOC!$H:$H,DATA_GOC!$A:$A,"BOM",DATA_GOC!$D:$D,$H6399,DATA_GOC!$E:$E,$C6399,DATA_GOC!$F:$F,"Xuất nội bộ từ téc",DATA_GOC!$B:$B,"&gt;="&amp;$D6399,DATA_GOC!$B:$B,"&lt;="&amp;$E6399))</f>
        <v/>
      </c>
      <c r="J6399" s="59">
        <f t="shared" si="28"/>
        <v>0</v>
      </c>
      <c r="K6399" s="59">
        <f t="shared" si="29"/>
        <v>0</v>
      </c>
      <c r="L6399" s="59">
        <f t="shared" si="30"/>
        <v>0</v>
      </c>
      <c r="M6399" s="59">
        <f t="shared" si="31"/>
        <v>0</v>
      </c>
    </row>
    <row r="6400" ht="15.0" hidden="1" customHeight="1">
      <c r="A6400" s="59">
        <f t="shared" si="20"/>
        <v>103</v>
      </c>
      <c r="B6400" s="59" t="str">
        <f t="shared" si="21"/>
        <v/>
      </c>
      <c r="C6400" s="59" t="str">
        <f t="shared" si="22"/>
        <v/>
      </c>
      <c r="D6400" s="45" t="str">
        <f t="shared" si="23"/>
        <v/>
      </c>
      <c r="E6400" s="45" t="str">
        <f t="shared" si="24"/>
        <v/>
      </c>
      <c r="F6400" s="59" t="str">
        <f t="shared" si="25"/>
        <v/>
      </c>
      <c r="G6400" s="59" t="str">
        <f t="shared" si="26"/>
        <v/>
      </c>
      <c r="H6400" s="59" t="str">
        <f t="shared" si="27"/>
        <v>LG53F</v>
      </c>
      <c r="I6400" s="59" t="str">
        <f>IF(OR($A6400="",$C6400="",$D6400="",$E6400="",$H6400=""),"",SUMIFS(DATA_GOC!$H:$H,DATA_GOC!$A:$A,"BOM",DATA_GOC!$D:$D,$H6400,DATA_GOC!$E:$E,$C6400,DATA_GOC!$F:$F,"Xuất nội bộ từ téc",DATA_GOC!$B:$B,"&gt;="&amp;$D6400,DATA_GOC!$B:$B,"&lt;="&amp;$E6400))</f>
        <v/>
      </c>
      <c r="J6400" s="59">
        <f t="shared" si="28"/>
        <v>0</v>
      </c>
      <c r="K6400" s="59">
        <f t="shared" si="29"/>
        <v>0</v>
      </c>
      <c r="L6400" s="59">
        <f t="shared" si="30"/>
        <v>0</v>
      </c>
      <c r="M6400" s="59">
        <f t="shared" si="31"/>
        <v>0</v>
      </c>
    </row>
    <row r="6401" ht="15.0" hidden="1" customHeight="1">
      <c r="A6401" s="59">
        <f t="shared" si="20"/>
        <v>103</v>
      </c>
      <c r="B6401" s="59" t="str">
        <f t="shared" si="21"/>
        <v/>
      </c>
      <c r="C6401" s="59" t="str">
        <f t="shared" si="22"/>
        <v/>
      </c>
      <c r="D6401" s="45" t="str">
        <f t="shared" si="23"/>
        <v/>
      </c>
      <c r="E6401" s="45" t="str">
        <f t="shared" si="24"/>
        <v/>
      </c>
      <c r="F6401" s="59" t="str">
        <f t="shared" si="25"/>
        <v/>
      </c>
      <c r="G6401" s="59" t="str">
        <f t="shared" si="26"/>
        <v/>
      </c>
      <c r="H6401" s="59" t="str">
        <f t="shared" si="27"/>
        <v>Máy phát điện</v>
      </c>
      <c r="I6401" s="59" t="str">
        <f>IF(OR($A6401="",$C6401="",$D6401="",$E6401="",$H6401=""),"",SUMIFS(DATA_GOC!$H:$H,DATA_GOC!$A:$A,"BOM",DATA_GOC!$D:$D,$H6401,DATA_GOC!$E:$E,$C6401,DATA_GOC!$F:$F,"Xuất nội bộ từ téc",DATA_GOC!$B:$B,"&gt;="&amp;$D6401,DATA_GOC!$B:$B,"&lt;="&amp;$E6401))</f>
        <v/>
      </c>
      <c r="J6401" s="59">
        <f t="shared" si="28"/>
        <v>0</v>
      </c>
      <c r="K6401" s="59">
        <f t="shared" si="29"/>
        <v>0</v>
      </c>
      <c r="L6401" s="59">
        <f t="shared" si="30"/>
        <v>0</v>
      </c>
      <c r="M6401" s="59">
        <f t="shared" si="31"/>
        <v>0</v>
      </c>
    </row>
    <row r="6402" ht="15.0" hidden="1" customHeight="1">
      <c r="A6402" s="59">
        <f t="shared" si="20"/>
        <v>103</v>
      </c>
      <c r="B6402" s="59" t="str">
        <f t="shared" si="21"/>
        <v/>
      </c>
      <c r="C6402" s="59" t="str">
        <f t="shared" si="22"/>
        <v/>
      </c>
      <c r="D6402" s="45" t="str">
        <f t="shared" si="23"/>
        <v/>
      </c>
      <c r="E6402" s="45" t="str">
        <f t="shared" si="24"/>
        <v/>
      </c>
      <c r="F6402" s="59" t="str">
        <f t="shared" si="25"/>
        <v/>
      </c>
      <c r="G6402" s="59" t="str">
        <f t="shared" si="26"/>
        <v/>
      </c>
      <c r="H6402" s="59" t="str">
        <f t="shared" si="27"/>
        <v>Máy rải thảm</v>
      </c>
      <c r="I6402" s="59" t="str">
        <f>IF(OR($A6402="",$C6402="",$D6402="",$E6402="",$H6402=""),"",SUMIFS(DATA_GOC!$H:$H,DATA_GOC!$A:$A,"BOM",DATA_GOC!$D:$D,$H6402,DATA_GOC!$E:$E,$C6402,DATA_GOC!$F:$F,"Xuất nội bộ từ téc",DATA_GOC!$B:$B,"&gt;="&amp;$D6402,DATA_GOC!$B:$B,"&lt;="&amp;$E6402))</f>
        <v/>
      </c>
      <c r="J6402" s="59">
        <f t="shared" si="28"/>
        <v>0</v>
      </c>
      <c r="K6402" s="59">
        <f t="shared" si="29"/>
        <v>0</v>
      </c>
      <c r="L6402" s="59">
        <f t="shared" si="30"/>
        <v>0</v>
      </c>
      <c r="M6402" s="59">
        <f t="shared" si="31"/>
        <v>0</v>
      </c>
    </row>
    <row r="6403" ht="15.0" hidden="1" customHeight="1">
      <c r="A6403" s="59">
        <f t="shared" si="20"/>
        <v>103</v>
      </c>
      <c r="B6403" s="59" t="str">
        <f t="shared" si="21"/>
        <v/>
      </c>
      <c r="C6403" s="59" t="str">
        <f t="shared" si="22"/>
        <v/>
      </c>
      <c r="D6403" s="45" t="str">
        <f t="shared" si="23"/>
        <v/>
      </c>
      <c r="E6403" s="45" t="str">
        <f t="shared" si="24"/>
        <v/>
      </c>
      <c r="F6403" s="59" t="str">
        <f t="shared" si="25"/>
        <v/>
      </c>
      <c r="G6403" s="59" t="str">
        <f t="shared" si="26"/>
        <v/>
      </c>
      <c r="H6403" s="59" t="str">
        <f t="shared" si="27"/>
        <v>Xúc Đào</v>
      </c>
      <c r="I6403" s="59" t="str">
        <f>IF(OR($A6403="",$C6403="",$D6403="",$E6403="",$H6403=""),"",SUMIFS(DATA_GOC!$H:$H,DATA_GOC!$A:$A,"BOM",DATA_GOC!$D:$D,$H6403,DATA_GOC!$E:$E,$C6403,DATA_GOC!$F:$F,"Xuất nội bộ từ téc",DATA_GOC!$B:$B,"&gt;="&amp;$D6403,DATA_GOC!$B:$B,"&lt;="&amp;$E6403))</f>
        <v/>
      </c>
      <c r="J6403" s="59">
        <f t="shared" si="28"/>
        <v>0</v>
      </c>
      <c r="K6403" s="59">
        <f t="shared" si="29"/>
        <v>0</v>
      </c>
      <c r="L6403" s="59">
        <f t="shared" si="30"/>
        <v>0</v>
      </c>
      <c r="M6403" s="59">
        <f t="shared" si="31"/>
        <v>0</v>
      </c>
    </row>
    <row r="6404" ht="15.0" hidden="1" customHeight="1">
      <c r="A6404" s="59">
        <f t="shared" si="20"/>
        <v>103</v>
      </c>
      <c r="B6404" s="59" t="str">
        <f t="shared" si="21"/>
        <v/>
      </c>
      <c r="C6404" s="59" t="str">
        <f t="shared" si="22"/>
        <v/>
      </c>
      <c r="D6404" s="45" t="str">
        <f t="shared" si="23"/>
        <v/>
      </c>
      <c r="E6404" s="45" t="str">
        <f t="shared" si="24"/>
        <v/>
      </c>
      <c r="F6404" s="59" t="str">
        <f t="shared" si="25"/>
        <v/>
      </c>
      <c r="G6404" s="59" t="str">
        <f t="shared" si="26"/>
        <v/>
      </c>
      <c r="H6404" s="59" t="str">
        <f t="shared" si="27"/>
        <v>Xúclật asphalt</v>
      </c>
      <c r="I6404" s="59" t="str">
        <f>IF(OR($A6404="",$C6404="",$D6404="",$E6404="",$H6404=""),"",SUMIFS(DATA_GOC!$H:$H,DATA_GOC!$A:$A,"BOM",DATA_GOC!$D:$D,$H6404,DATA_GOC!$E:$E,$C6404,DATA_GOC!$F:$F,"Xuất nội bộ từ téc",DATA_GOC!$B:$B,"&gt;="&amp;$D6404,DATA_GOC!$B:$B,"&lt;="&amp;$E6404))</f>
        <v/>
      </c>
      <c r="J6404" s="59">
        <f t="shared" si="28"/>
        <v>0</v>
      </c>
      <c r="K6404" s="59">
        <f t="shared" si="29"/>
        <v>0</v>
      </c>
      <c r="L6404" s="59">
        <f t="shared" si="30"/>
        <v>0</v>
      </c>
      <c r="M6404" s="59">
        <f t="shared" si="31"/>
        <v>0</v>
      </c>
    </row>
    <row r="6405" ht="15.0" hidden="1" customHeight="1">
      <c r="A6405" s="59">
        <f t="shared" si="20"/>
        <v>103</v>
      </c>
      <c r="B6405" s="59" t="str">
        <f t="shared" si="21"/>
        <v/>
      </c>
      <c r="C6405" s="59" t="str">
        <f t="shared" si="22"/>
        <v/>
      </c>
      <c r="D6405" s="45" t="str">
        <f t="shared" si="23"/>
        <v/>
      </c>
      <c r="E6405" s="45" t="str">
        <f t="shared" si="24"/>
        <v/>
      </c>
      <c r="F6405" s="59" t="str">
        <f t="shared" si="25"/>
        <v/>
      </c>
      <c r="G6405" s="59" t="str">
        <f t="shared" si="26"/>
        <v/>
      </c>
      <c r="H6405" s="59" t="str">
        <f t="shared" si="27"/>
        <v>Xúclật855H</v>
      </c>
      <c r="I6405" s="59" t="str">
        <f>IF(OR($A6405="",$C6405="",$D6405="",$E6405="",$H6405=""),"",SUMIFS(DATA_GOC!$H:$H,DATA_GOC!$A:$A,"BOM",DATA_GOC!$D:$D,$H6405,DATA_GOC!$E:$E,$C6405,DATA_GOC!$F:$F,"Xuất nội bộ từ téc",DATA_GOC!$B:$B,"&gt;="&amp;$D6405,DATA_GOC!$B:$B,"&lt;="&amp;$E6405))</f>
        <v/>
      </c>
      <c r="J6405" s="59">
        <f t="shared" si="28"/>
        <v>0</v>
      </c>
      <c r="K6405" s="59">
        <f t="shared" si="29"/>
        <v>0</v>
      </c>
      <c r="L6405" s="59">
        <f t="shared" si="30"/>
        <v>0</v>
      </c>
      <c r="M6405" s="59">
        <f t="shared" si="31"/>
        <v>0</v>
      </c>
    </row>
    <row r="6406" ht="15.0" hidden="1" customHeight="1">
      <c r="A6406" s="59">
        <f t="shared" si="20"/>
        <v>103</v>
      </c>
      <c r="B6406" s="59" t="str">
        <f t="shared" si="21"/>
        <v/>
      </c>
      <c r="C6406" s="59" t="str">
        <f t="shared" si="22"/>
        <v/>
      </c>
      <c r="D6406" s="45" t="str">
        <f t="shared" si="23"/>
        <v/>
      </c>
      <c r="E6406" s="45" t="str">
        <f t="shared" si="24"/>
        <v/>
      </c>
      <c r="F6406" s="59" t="str">
        <f t="shared" si="25"/>
        <v/>
      </c>
      <c r="G6406" s="59" t="str">
        <f t="shared" si="26"/>
        <v/>
      </c>
      <c r="H6406" s="59" t="str">
        <f t="shared" si="27"/>
        <v>Xúclật855N</v>
      </c>
      <c r="I6406" s="59" t="str">
        <f>IF(OR($A6406="",$C6406="",$D6406="",$E6406="",$H6406=""),"",SUMIFS(DATA_GOC!$H:$H,DATA_GOC!$A:$A,"BOM",DATA_GOC!$D:$D,$H6406,DATA_GOC!$E:$E,$C6406,DATA_GOC!$F:$F,"Xuất nội bộ từ téc",DATA_GOC!$B:$B,"&gt;="&amp;$D6406,DATA_GOC!$B:$B,"&lt;="&amp;$E6406))</f>
        <v/>
      </c>
      <c r="J6406" s="59">
        <f t="shared" si="28"/>
        <v>0</v>
      </c>
      <c r="K6406" s="59">
        <f t="shared" si="29"/>
        <v>0</v>
      </c>
      <c r="L6406" s="59">
        <f t="shared" si="30"/>
        <v>0</v>
      </c>
      <c r="M6406" s="59">
        <f t="shared" si="31"/>
        <v>0</v>
      </c>
    </row>
    <row r="6407" ht="15.0" hidden="1" customHeight="1">
      <c r="A6407" s="59">
        <f t="shared" si="20"/>
        <v>103</v>
      </c>
      <c r="B6407" s="59" t="str">
        <f t="shared" si="21"/>
        <v/>
      </c>
      <c r="C6407" s="59" t="str">
        <f t="shared" si="22"/>
        <v/>
      </c>
      <c r="D6407" s="45" t="str">
        <f t="shared" si="23"/>
        <v/>
      </c>
      <c r="E6407" s="45" t="str">
        <f t="shared" si="24"/>
        <v/>
      </c>
      <c r="F6407" s="59" t="str">
        <f t="shared" si="25"/>
        <v/>
      </c>
      <c r="G6407" s="59" t="str">
        <f t="shared" si="26"/>
        <v/>
      </c>
      <c r="H6407" s="59" t="str">
        <f t="shared" si="27"/>
        <v>Cát nghiền</v>
      </c>
      <c r="I6407" s="59" t="str">
        <f>IF(OR($A6407="",$C6407="",$D6407="",$E6407="",$H6407=""),"",SUMIFS(DATA_GOC!$H:$H,DATA_GOC!$A:$A,"BOM",DATA_GOC!$D:$D,$H6407,DATA_GOC!$E:$E,$C6407,DATA_GOC!$F:$F,"Xuất nội bộ từ téc",DATA_GOC!$B:$B,"&gt;="&amp;$D6407,DATA_GOC!$B:$B,"&lt;="&amp;$E6407))</f>
        <v/>
      </c>
      <c r="J6407" s="59">
        <f t="shared" si="28"/>
        <v>0</v>
      </c>
      <c r="K6407" s="59">
        <f t="shared" si="29"/>
        <v>0</v>
      </c>
      <c r="L6407" s="59">
        <f t="shared" si="30"/>
        <v>0</v>
      </c>
      <c r="M6407" s="59">
        <f t="shared" si="31"/>
        <v>0</v>
      </c>
    </row>
    <row r="6408" ht="15.0" hidden="1" customHeight="1">
      <c r="A6408" s="59">
        <f t="shared" si="20"/>
        <v>103</v>
      </c>
      <c r="B6408" s="59" t="str">
        <f t="shared" si="21"/>
        <v/>
      </c>
      <c r="C6408" s="59" t="str">
        <f t="shared" si="22"/>
        <v/>
      </c>
      <c r="D6408" s="45" t="str">
        <f t="shared" si="23"/>
        <v/>
      </c>
      <c r="E6408" s="45" t="str">
        <f t="shared" si="24"/>
        <v/>
      </c>
      <c r="F6408" s="59" t="str">
        <f t="shared" si="25"/>
        <v/>
      </c>
      <c r="G6408" s="59" t="str">
        <f t="shared" si="26"/>
        <v/>
      </c>
      <c r="H6408" s="59" t="str">
        <f t="shared" si="27"/>
        <v>28C02973</v>
      </c>
      <c r="I6408" s="59" t="str">
        <f>IF(OR($A6408="",$C6408="",$D6408="",$E6408="",$H6408=""),"",SUMIFS(DATA_GOC!$H:$H,DATA_GOC!$A:$A,"BOM",DATA_GOC!$D:$D,$H6408,DATA_GOC!$E:$E,$C6408,DATA_GOC!$F:$F,"Xuất nội bộ từ téc",DATA_GOC!$B:$B,"&gt;="&amp;$D6408,DATA_GOC!$B:$B,"&lt;="&amp;$E6408))</f>
        <v/>
      </c>
      <c r="J6408" s="59">
        <f t="shared" si="28"/>
        <v>0</v>
      </c>
      <c r="K6408" s="59">
        <f t="shared" si="29"/>
        <v>0</v>
      </c>
      <c r="L6408" s="59">
        <f t="shared" si="30"/>
        <v>0</v>
      </c>
      <c r="M6408" s="59">
        <f t="shared" si="31"/>
        <v>0</v>
      </c>
    </row>
    <row r="6409" ht="15.0" hidden="1" customHeight="1">
      <c r="A6409" s="59">
        <f t="shared" si="20"/>
        <v>103</v>
      </c>
      <c r="B6409" s="59" t="str">
        <f t="shared" si="21"/>
        <v/>
      </c>
      <c r="C6409" s="59" t="str">
        <f t="shared" si="22"/>
        <v/>
      </c>
      <c r="D6409" s="45" t="str">
        <f t="shared" si="23"/>
        <v/>
      </c>
      <c r="E6409" s="45" t="str">
        <f t="shared" si="24"/>
        <v/>
      </c>
      <c r="F6409" s="59" t="str">
        <f t="shared" si="25"/>
        <v/>
      </c>
      <c r="G6409" s="59" t="str">
        <f t="shared" si="26"/>
        <v/>
      </c>
      <c r="H6409" s="59" t="str">
        <f t="shared" si="27"/>
        <v>28C03044</v>
      </c>
      <c r="I6409" s="59" t="str">
        <f>IF(OR($A6409="",$C6409="",$D6409="",$E6409="",$H6409=""),"",SUMIFS(DATA_GOC!$H:$H,DATA_GOC!$A:$A,"BOM",DATA_GOC!$D:$D,$H6409,DATA_GOC!$E:$E,$C6409,DATA_GOC!$F:$F,"Xuất nội bộ từ téc",DATA_GOC!$B:$B,"&gt;="&amp;$D6409,DATA_GOC!$B:$B,"&lt;="&amp;$E6409))</f>
        <v/>
      </c>
      <c r="J6409" s="59">
        <f t="shared" si="28"/>
        <v>0</v>
      </c>
      <c r="K6409" s="59">
        <f t="shared" si="29"/>
        <v>0</v>
      </c>
      <c r="L6409" s="59">
        <f t="shared" si="30"/>
        <v>0</v>
      </c>
      <c r="M6409" s="59">
        <f t="shared" si="31"/>
        <v>0</v>
      </c>
    </row>
    <row r="6410" ht="15.0" hidden="1" customHeight="1">
      <c r="A6410" s="59">
        <f t="shared" si="20"/>
        <v>103</v>
      </c>
      <c r="B6410" s="59" t="str">
        <f t="shared" si="21"/>
        <v/>
      </c>
      <c r="C6410" s="59" t="str">
        <f t="shared" si="22"/>
        <v/>
      </c>
      <c r="D6410" s="45" t="str">
        <f t="shared" si="23"/>
        <v/>
      </c>
      <c r="E6410" s="45" t="str">
        <f t="shared" si="24"/>
        <v/>
      </c>
      <c r="F6410" s="59" t="str">
        <f t="shared" si="25"/>
        <v/>
      </c>
      <c r="G6410" s="59" t="str">
        <f t="shared" si="26"/>
        <v/>
      </c>
      <c r="H6410" s="59" t="str">
        <f t="shared" si="27"/>
        <v>Máy lu lốp</v>
      </c>
      <c r="I6410" s="59" t="str">
        <f>IF(OR($A6410="",$C6410="",$D6410="",$E6410="",$H6410=""),"",SUMIFS(DATA_GOC!$H:$H,DATA_GOC!$A:$A,"BOM",DATA_GOC!$D:$D,$H6410,DATA_GOC!$E:$E,$C6410,DATA_GOC!$F:$F,"Xuất nội bộ từ téc",DATA_GOC!$B:$B,"&gt;="&amp;$D6410,DATA_GOC!$B:$B,"&lt;="&amp;$E6410))</f>
        <v/>
      </c>
      <c r="J6410" s="59">
        <f t="shared" si="28"/>
        <v>0</v>
      </c>
      <c r="K6410" s="59">
        <f t="shared" si="29"/>
        <v>0</v>
      </c>
      <c r="L6410" s="59">
        <f t="shared" si="30"/>
        <v>0</v>
      </c>
      <c r="M6410" s="59">
        <f t="shared" si="31"/>
        <v>0</v>
      </c>
    </row>
    <row r="6411" ht="15.0" hidden="1" customHeight="1">
      <c r="A6411" s="59">
        <f t="shared" si="20"/>
        <v>103</v>
      </c>
      <c r="B6411" s="59" t="str">
        <f t="shared" si="21"/>
        <v/>
      </c>
      <c r="C6411" s="59" t="str">
        <f t="shared" si="22"/>
        <v/>
      </c>
      <c r="D6411" s="45" t="str">
        <f t="shared" si="23"/>
        <v/>
      </c>
      <c r="E6411" s="45" t="str">
        <f t="shared" si="24"/>
        <v/>
      </c>
      <c r="F6411" s="59" t="str">
        <f t="shared" si="25"/>
        <v/>
      </c>
      <c r="G6411" s="59" t="str">
        <f t="shared" si="26"/>
        <v/>
      </c>
      <c r="H6411" s="59" t="str">
        <f t="shared" si="27"/>
        <v>Xe 600148</v>
      </c>
      <c r="I6411" s="59" t="str">
        <f>IF(OR($A6411="",$C6411="",$D6411="",$E6411="",$H6411=""),"",SUMIFS(DATA_GOC!$H:$H,DATA_GOC!$A:$A,"BOM",DATA_GOC!$D:$D,$H6411,DATA_GOC!$E:$E,$C6411,DATA_GOC!$F:$F,"Xuất nội bộ từ téc",DATA_GOC!$B:$B,"&gt;="&amp;$D6411,DATA_GOC!$B:$B,"&lt;="&amp;$E6411))</f>
        <v/>
      </c>
      <c r="J6411" s="59">
        <f t="shared" si="28"/>
        <v>0</v>
      </c>
      <c r="K6411" s="59">
        <f t="shared" si="29"/>
        <v>0</v>
      </c>
      <c r="L6411" s="59">
        <f t="shared" si="30"/>
        <v>0</v>
      </c>
      <c r="M6411" s="59">
        <f t="shared" si="31"/>
        <v>0</v>
      </c>
    </row>
    <row r="6412" ht="15.0" hidden="1" customHeight="1">
      <c r="A6412" s="59">
        <f t="shared" si="20"/>
        <v>103</v>
      </c>
      <c r="B6412" s="59" t="str">
        <f t="shared" si="21"/>
        <v/>
      </c>
      <c r="C6412" s="59" t="str">
        <f t="shared" si="22"/>
        <v/>
      </c>
      <c r="D6412" s="45" t="str">
        <f t="shared" si="23"/>
        <v/>
      </c>
      <c r="E6412" s="45" t="str">
        <f t="shared" si="24"/>
        <v/>
      </c>
      <c r="F6412" s="59" t="str">
        <f t="shared" si="25"/>
        <v/>
      </c>
      <c r="G6412" s="59" t="str">
        <f t="shared" si="26"/>
        <v/>
      </c>
      <c r="H6412" s="59" t="str">
        <f t="shared" si="27"/>
        <v>Xe ben mới</v>
      </c>
      <c r="I6412" s="59" t="str">
        <f>IF(OR($A6412="",$C6412="",$D6412="",$E6412="",$H6412=""),"",SUMIFS(DATA_GOC!$H:$H,DATA_GOC!$A:$A,"BOM",DATA_GOC!$D:$D,$H6412,DATA_GOC!$E:$E,$C6412,DATA_GOC!$F:$F,"Xuất nội bộ từ téc",DATA_GOC!$B:$B,"&gt;="&amp;$D6412,DATA_GOC!$B:$B,"&lt;="&amp;$E6412))</f>
        <v/>
      </c>
      <c r="J6412" s="59">
        <f t="shared" si="28"/>
        <v>0</v>
      </c>
      <c r="K6412" s="59">
        <f t="shared" si="29"/>
        <v>0</v>
      </c>
      <c r="L6412" s="59">
        <f t="shared" si="30"/>
        <v>0</v>
      </c>
      <c r="M6412" s="59">
        <f t="shared" si="31"/>
        <v>0</v>
      </c>
    </row>
    <row r="6413" ht="15.0" hidden="1" customHeight="1">
      <c r="A6413" s="59">
        <f t="shared" si="20"/>
        <v>104</v>
      </c>
      <c r="B6413" s="59" t="str">
        <f t="shared" si="21"/>
        <v/>
      </c>
      <c r="C6413" s="59" t="str">
        <f t="shared" si="22"/>
        <v/>
      </c>
      <c r="D6413" s="45" t="str">
        <f t="shared" si="23"/>
        <v/>
      </c>
      <c r="E6413" s="45" t="str">
        <f t="shared" si="24"/>
        <v/>
      </c>
      <c r="F6413" s="59" t="str">
        <f t="shared" si="25"/>
        <v/>
      </c>
      <c r="G6413" s="59" t="str">
        <f t="shared" si="26"/>
        <v/>
      </c>
      <c r="H6413" s="59" t="str">
        <f t="shared" si="27"/>
        <v>19H09482</v>
      </c>
      <c r="I6413" s="59" t="str">
        <f>IF(OR($A6413="",$C6413="",$D6413="",$E6413="",$H6413=""),"",SUMIFS(DATA_GOC!$H:$H,DATA_GOC!$A:$A,"BOM",DATA_GOC!$D:$D,$H6413,DATA_GOC!$E:$E,$C6413,DATA_GOC!$F:$F,"Xuất nội bộ từ téc",DATA_GOC!$B:$B,"&gt;="&amp;$D6413,DATA_GOC!$B:$B,"&lt;="&amp;$E6413))</f>
        <v/>
      </c>
      <c r="J6413" s="59">
        <f t="shared" si="28"/>
        <v>0</v>
      </c>
      <c r="K6413" s="59">
        <f t="shared" si="29"/>
        <v>0</v>
      </c>
      <c r="L6413" s="59">
        <f t="shared" si="30"/>
        <v>0</v>
      </c>
      <c r="M6413" s="59">
        <f t="shared" si="31"/>
        <v>0</v>
      </c>
    </row>
    <row r="6414" ht="15.0" hidden="1" customHeight="1">
      <c r="A6414" s="59">
        <f t="shared" si="20"/>
        <v>104</v>
      </c>
      <c r="B6414" s="59" t="str">
        <f t="shared" si="21"/>
        <v/>
      </c>
      <c r="C6414" s="59" t="str">
        <f t="shared" si="22"/>
        <v/>
      </c>
      <c r="D6414" s="45" t="str">
        <f t="shared" si="23"/>
        <v/>
      </c>
      <c r="E6414" s="45" t="str">
        <f t="shared" si="24"/>
        <v/>
      </c>
      <c r="F6414" s="59" t="str">
        <f t="shared" si="25"/>
        <v/>
      </c>
      <c r="G6414" s="59" t="str">
        <f t="shared" si="26"/>
        <v/>
      </c>
      <c r="H6414" s="59" t="str">
        <f t="shared" si="27"/>
        <v>28A30696</v>
      </c>
      <c r="I6414" s="59" t="str">
        <f>IF(OR($A6414="",$C6414="",$D6414="",$E6414="",$H6414=""),"",SUMIFS(DATA_GOC!$H:$H,DATA_GOC!$A:$A,"BOM",DATA_GOC!$D:$D,$H6414,DATA_GOC!$E:$E,$C6414,DATA_GOC!$F:$F,"Xuất nội bộ từ téc",DATA_GOC!$B:$B,"&gt;="&amp;$D6414,DATA_GOC!$B:$B,"&lt;="&amp;$E6414))</f>
        <v/>
      </c>
      <c r="J6414" s="59">
        <f t="shared" si="28"/>
        <v>0</v>
      </c>
      <c r="K6414" s="59">
        <f t="shared" si="29"/>
        <v>0</v>
      </c>
      <c r="L6414" s="59">
        <f t="shared" si="30"/>
        <v>0</v>
      </c>
      <c r="M6414" s="59">
        <f t="shared" si="31"/>
        <v>0</v>
      </c>
    </row>
    <row r="6415" ht="15.0" hidden="1" customHeight="1">
      <c r="A6415" s="59">
        <f t="shared" si="20"/>
        <v>104</v>
      </c>
      <c r="B6415" s="59" t="str">
        <f t="shared" si="21"/>
        <v/>
      </c>
      <c r="C6415" s="59" t="str">
        <f t="shared" si="22"/>
        <v/>
      </c>
      <c r="D6415" s="45" t="str">
        <f t="shared" si="23"/>
        <v/>
      </c>
      <c r="E6415" s="45" t="str">
        <f t="shared" si="24"/>
        <v/>
      </c>
      <c r="F6415" s="59" t="str">
        <f t="shared" si="25"/>
        <v/>
      </c>
      <c r="G6415" s="59" t="str">
        <f t="shared" si="26"/>
        <v/>
      </c>
      <c r="H6415" s="59" t="str">
        <f t="shared" si="27"/>
        <v>28C00462</v>
      </c>
      <c r="I6415" s="59" t="str">
        <f>IF(OR($A6415="",$C6415="",$D6415="",$E6415="",$H6415=""),"",SUMIFS(DATA_GOC!$H:$H,DATA_GOC!$A:$A,"BOM",DATA_GOC!$D:$D,$H6415,DATA_GOC!$E:$E,$C6415,DATA_GOC!$F:$F,"Xuất nội bộ từ téc",DATA_GOC!$B:$B,"&gt;="&amp;$D6415,DATA_GOC!$B:$B,"&lt;="&amp;$E6415))</f>
        <v/>
      </c>
      <c r="J6415" s="59">
        <f t="shared" si="28"/>
        <v>0</v>
      </c>
      <c r="K6415" s="59">
        <f t="shared" si="29"/>
        <v>0</v>
      </c>
      <c r="L6415" s="59">
        <f t="shared" si="30"/>
        <v>0</v>
      </c>
      <c r="M6415" s="59">
        <f t="shared" si="31"/>
        <v>0</v>
      </c>
    </row>
    <row r="6416" ht="15.0" hidden="1" customHeight="1">
      <c r="A6416" s="59">
        <f t="shared" si="20"/>
        <v>104</v>
      </c>
      <c r="B6416" s="59" t="str">
        <f t="shared" si="21"/>
        <v/>
      </c>
      <c r="C6416" s="59" t="str">
        <f t="shared" si="22"/>
        <v/>
      </c>
      <c r="D6416" s="45" t="str">
        <f t="shared" si="23"/>
        <v/>
      </c>
      <c r="E6416" s="45" t="str">
        <f t="shared" si="24"/>
        <v/>
      </c>
      <c r="F6416" s="59" t="str">
        <f t="shared" si="25"/>
        <v/>
      </c>
      <c r="G6416" s="59" t="str">
        <f t="shared" si="26"/>
        <v/>
      </c>
      <c r="H6416" s="59" t="str">
        <f t="shared" si="27"/>
        <v>28C01165</v>
      </c>
      <c r="I6416" s="59" t="str">
        <f>IF(OR($A6416="",$C6416="",$D6416="",$E6416="",$H6416=""),"",SUMIFS(DATA_GOC!$H:$H,DATA_GOC!$A:$A,"BOM",DATA_GOC!$D:$D,$H6416,DATA_GOC!$E:$E,$C6416,DATA_GOC!$F:$F,"Xuất nội bộ từ téc",DATA_GOC!$B:$B,"&gt;="&amp;$D6416,DATA_GOC!$B:$B,"&lt;="&amp;$E6416))</f>
        <v/>
      </c>
      <c r="J6416" s="59">
        <f t="shared" si="28"/>
        <v>0</v>
      </c>
      <c r="K6416" s="59">
        <f t="shared" si="29"/>
        <v>0</v>
      </c>
      <c r="L6416" s="59">
        <f t="shared" si="30"/>
        <v>0</v>
      </c>
      <c r="M6416" s="59">
        <f t="shared" si="31"/>
        <v>0</v>
      </c>
    </row>
    <row r="6417" ht="15.0" hidden="1" customHeight="1">
      <c r="A6417" s="59">
        <f t="shared" si="20"/>
        <v>104</v>
      </c>
      <c r="B6417" s="59" t="str">
        <f t="shared" si="21"/>
        <v/>
      </c>
      <c r="C6417" s="59" t="str">
        <f t="shared" si="22"/>
        <v/>
      </c>
      <c r="D6417" s="45" t="str">
        <f t="shared" si="23"/>
        <v/>
      </c>
      <c r="E6417" s="45" t="str">
        <f t="shared" si="24"/>
        <v/>
      </c>
      <c r="F6417" s="59" t="str">
        <f t="shared" si="25"/>
        <v/>
      </c>
      <c r="G6417" s="59" t="str">
        <f t="shared" si="26"/>
        <v/>
      </c>
      <c r="H6417" s="59" t="str">
        <f t="shared" si="27"/>
        <v>28C01406</v>
      </c>
      <c r="I6417" s="59" t="str">
        <f>IF(OR($A6417="",$C6417="",$D6417="",$E6417="",$H6417=""),"",SUMIFS(DATA_GOC!$H:$H,DATA_GOC!$A:$A,"BOM",DATA_GOC!$D:$D,$H6417,DATA_GOC!$E:$E,$C6417,DATA_GOC!$F:$F,"Xuất nội bộ từ téc",DATA_GOC!$B:$B,"&gt;="&amp;$D6417,DATA_GOC!$B:$B,"&lt;="&amp;$E6417))</f>
        <v/>
      </c>
      <c r="J6417" s="59">
        <f t="shared" si="28"/>
        <v>0</v>
      </c>
      <c r="K6417" s="59">
        <f t="shared" si="29"/>
        <v>0</v>
      </c>
      <c r="L6417" s="59">
        <f t="shared" si="30"/>
        <v>0</v>
      </c>
      <c r="M6417" s="59">
        <f t="shared" si="31"/>
        <v>0</v>
      </c>
    </row>
    <row r="6418" ht="15.0" hidden="1" customHeight="1">
      <c r="A6418" s="59">
        <f t="shared" si="20"/>
        <v>104</v>
      </c>
      <c r="B6418" s="59" t="str">
        <f t="shared" si="21"/>
        <v/>
      </c>
      <c r="C6418" s="59" t="str">
        <f t="shared" si="22"/>
        <v/>
      </c>
      <c r="D6418" s="45" t="str">
        <f t="shared" si="23"/>
        <v/>
      </c>
      <c r="E6418" s="45" t="str">
        <f t="shared" si="24"/>
        <v/>
      </c>
      <c r="F6418" s="59" t="str">
        <f t="shared" si="25"/>
        <v/>
      </c>
      <c r="G6418" s="59" t="str">
        <f t="shared" si="26"/>
        <v/>
      </c>
      <c r="H6418" s="59" t="str">
        <f t="shared" si="27"/>
        <v>28C01544</v>
      </c>
      <c r="I6418" s="59" t="str">
        <f>IF(OR($A6418="",$C6418="",$D6418="",$E6418="",$H6418=""),"",SUMIFS(DATA_GOC!$H:$H,DATA_GOC!$A:$A,"BOM",DATA_GOC!$D:$D,$H6418,DATA_GOC!$E:$E,$C6418,DATA_GOC!$F:$F,"Xuất nội bộ từ téc",DATA_GOC!$B:$B,"&gt;="&amp;$D6418,DATA_GOC!$B:$B,"&lt;="&amp;$E6418))</f>
        <v/>
      </c>
      <c r="J6418" s="59">
        <f t="shared" si="28"/>
        <v>0</v>
      </c>
      <c r="K6418" s="59">
        <f t="shared" si="29"/>
        <v>0</v>
      </c>
      <c r="L6418" s="59">
        <f t="shared" si="30"/>
        <v>0</v>
      </c>
      <c r="M6418" s="59">
        <f t="shared" si="31"/>
        <v>0</v>
      </c>
    </row>
    <row r="6419" ht="15.0" hidden="1" customHeight="1">
      <c r="A6419" s="59">
        <f t="shared" si="20"/>
        <v>104</v>
      </c>
      <c r="B6419" s="59" t="str">
        <f t="shared" si="21"/>
        <v/>
      </c>
      <c r="C6419" s="59" t="str">
        <f t="shared" si="22"/>
        <v/>
      </c>
      <c r="D6419" s="45" t="str">
        <f t="shared" si="23"/>
        <v/>
      </c>
      <c r="E6419" s="45" t="str">
        <f t="shared" si="24"/>
        <v/>
      </c>
      <c r="F6419" s="59" t="str">
        <f t="shared" si="25"/>
        <v/>
      </c>
      <c r="G6419" s="59" t="str">
        <f t="shared" si="26"/>
        <v/>
      </c>
      <c r="H6419" s="59" t="str">
        <f t="shared" si="27"/>
        <v>28C01622</v>
      </c>
      <c r="I6419" s="59" t="str">
        <f>IF(OR($A6419="",$C6419="",$D6419="",$E6419="",$H6419=""),"",SUMIFS(DATA_GOC!$H:$H,DATA_GOC!$A:$A,"BOM",DATA_GOC!$D:$D,$H6419,DATA_GOC!$E:$E,$C6419,DATA_GOC!$F:$F,"Xuất nội bộ từ téc",DATA_GOC!$B:$B,"&gt;="&amp;$D6419,DATA_GOC!$B:$B,"&lt;="&amp;$E6419))</f>
        <v/>
      </c>
      <c r="J6419" s="59">
        <f t="shared" si="28"/>
        <v>0</v>
      </c>
      <c r="K6419" s="59">
        <f t="shared" si="29"/>
        <v>0</v>
      </c>
      <c r="L6419" s="59">
        <f t="shared" si="30"/>
        <v>0</v>
      </c>
      <c r="M6419" s="59">
        <f t="shared" si="31"/>
        <v>0</v>
      </c>
    </row>
    <row r="6420" ht="15.0" hidden="1" customHeight="1">
      <c r="A6420" s="59">
        <f t="shared" si="20"/>
        <v>104</v>
      </c>
      <c r="B6420" s="59" t="str">
        <f t="shared" si="21"/>
        <v/>
      </c>
      <c r="C6420" s="59" t="str">
        <f t="shared" si="22"/>
        <v/>
      </c>
      <c r="D6420" s="45" t="str">
        <f t="shared" si="23"/>
        <v/>
      </c>
      <c r="E6420" s="45" t="str">
        <f t="shared" si="24"/>
        <v/>
      </c>
      <c r="F6420" s="59" t="str">
        <f t="shared" si="25"/>
        <v/>
      </c>
      <c r="G6420" s="59" t="str">
        <f t="shared" si="26"/>
        <v/>
      </c>
      <c r="H6420" s="59" t="str">
        <f t="shared" si="27"/>
        <v>28C01647</v>
      </c>
      <c r="I6420" s="59" t="str">
        <f>IF(OR($A6420="",$C6420="",$D6420="",$E6420="",$H6420=""),"",SUMIFS(DATA_GOC!$H:$H,DATA_GOC!$A:$A,"BOM",DATA_GOC!$D:$D,$H6420,DATA_GOC!$E:$E,$C6420,DATA_GOC!$F:$F,"Xuất nội bộ từ téc",DATA_GOC!$B:$B,"&gt;="&amp;$D6420,DATA_GOC!$B:$B,"&lt;="&amp;$E6420))</f>
        <v/>
      </c>
      <c r="J6420" s="59">
        <f t="shared" si="28"/>
        <v>0</v>
      </c>
      <c r="K6420" s="59">
        <f t="shared" si="29"/>
        <v>0</v>
      </c>
      <c r="L6420" s="59">
        <f t="shared" si="30"/>
        <v>0</v>
      </c>
      <c r="M6420" s="59">
        <f t="shared" si="31"/>
        <v>0</v>
      </c>
    </row>
    <row r="6421" ht="15.0" hidden="1" customHeight="1">
      <c r="A6421" s="59">
        <f t="shared" si="20"/>
        <v>104</v>
      </c>
      <c r="B6421" s="59" t="str">
        <f t="shared" si="21"/>
        <v/>
      </c>
      <c r="C6421" s="59" t="str">
        <f t="shared" si="22"/>
        <v/>
      </c>
      <c r="D6421" s="45" t="str">
        <f t="shared" si="23"/>
        <v/>
      </c>
      <c r="E6421" s="45" t="str">
        <f t="shared" si="24"/>
        <v/>
      </c>
      <c r="F6421" s="59" t="str">
        <f t="shared" si="25"/>
        <v/>
      </c>
      <c r="G6421" s="59" t="str">
        <f t="shared" si="26"/>
        <v/>
      </c>
      <c r="H6421" s="59" t="str">
        <f t="shared" si="27"/>
        <v>28C01731</v>
      </c>
      <c r="I6421" s="59" t="str">
        <f>IF(OR($A6421="",$C6421="",$D6421="",$E6421="",$H6421=""),"",SUMIFS(DATA_GOC!$H:$H,DATA_GOC!$A:$A,"BOM",DATA_GOC!$D:$D,$H6421,DATA_GOC!$E:$E,$C6421,DATA_GOC!$F:$F,"Xuất nội bộ từ téc",DATA_GOC!$B:$B,"&gt;="&amp;$D6421,DATA_GOC!$B:$B,"&lt;="&amp;$E6421))</f>
        <v/>
      </c>
      <c r="J6421" s="59">
        <f t="shared" si="28"/>
        <v>0</v>
      </c>
      <c r="K6421" s="59">
        <f t="shared" si="29"/>
        <v>0</v>
      </c>
      <c r="L6421" s="59">
        <f t="shared" si="30"/>
        <v>0</v>
      </c>
      <c r="M6421" s="59">
        <f t="shared" si="31"/>
        <v>0</v>
      </c>
    </row>
    <row r="6422" ht="15.0" hidden="1" customHeight="1">
      <c r="A6422" s="59">
        <f t="shared" si="20"/>
        <v>104</v>
      </c>
      <c r="B6422" s="59" t="str">
        <f t="shared" si="21"/>
        <v/>
      </c>
      <c r="C6422" s="59" t="str">
        <f t="shared" si="22"/>
        <v/>
      </c>
      <c r="D6422" s="45" t="str">
        <f t="shared" si="23"/>
        <v/>
      </c>
      <c r="E6422" s="45" t="str">
        <f t="shared" si="24"/>
        <v/>
      </c>
      <c r="F6422" s="59" t="str">
        <f t="shared" si="25"/>
        <v/>
      </c>
      <c r="G6422" s="59" t="str">
        <f t="shared" si="26"/>
        <v/>
      </c>
      <c r="H6422" s="59" t="str">
        <f t="shared" si="27"/>
        <v>28C01743</v>
      </c>
      <c r="I6422" s="59" t="str">
        <f>IF(OR($A6422="",$C6422="",$D6422="",$E6422="",$H6422=""),"",SUMIFS(DATA_GOC!$H:$H,DATA_GOC!$A:$A,"BOM",DATA_GOC!$D:$D,$H6422,DATA_GOC!$E:$E,$C6422,DATA_GOC!$F:$F,"Xuất nội bộ từ téc",DATA_GOC!$B:$B,"&gt;="&amp;$D6422,DATA_GOC!$B:$B,"&lt;="&amp;$E6422))</f>
        <v/>
      </c>
      <c r="J6422" s="59">
        <f t="shared" si="28"/>
        <v>0</v>
      </c>
      <c r="K6422" s="59">
        <f t="shared" si="29"/>
        <v>0</v>
      </c>
      <c r="L6422" s="59">
        <f t="shared" si="30"/>
        <v>0</v>
      </c>
      <c r="M6422" s="59">
        <f t="shared" si="31"/>
        <v>0</v>
      </c>
    </row>
    <row r="6423" ht="15.0" hidden="1" customHeight="1">
      <c r="A6423" s="59">
        <f t="shared" si="20"/>
        <v>104</v>
      </c>
      <c r="B6423" s="59" t="str">
        <f t="shared" si="21"/>
        <v/>
      </c>
      <c r="C6423" s="59" t="str">
        <f t="shared" si="22"/>
        <v/>
      </c>
      <c r="D6423" s="45" t="str">
        <f t="shared" si="23"/>
        <v/>
      </c>
      <c r="E6423" s="45" t="str">
        <f t="shared" si="24"/>
        <v/>
      </c>
      <c r="F6423" s="59" t="str">
        <f t="shared" si="25"/>
        <v/>
      </c>
      <c r="G6423" s="59" t="str">
        <f t="shared" si="26"/>
        <v/>
      </c>
      <c r="H6423" s="59" t="str">
        <f t="shared" si="27"/>
        <v>28C02106</v>
      </c>
      <c r="I6423" s="59" t="str">
        <f>IF(OR($A6423="",$C6423="",$D6423="",$E6423="",$H6423=""),"",SUMIFS(DATA_GOC!$H:$H,DATA_GOC!$A:$A,"BOM",DATA_GOC!$D:$D,$H6423,DATA_GOC!$E:$E,$C6423,DATA_GOC!$F:$F,"Xuất nội bộ từ téc",DATA_GOC!$B:$B,"&gt;="&amp;$D6423,DATA_GOC!$B:$B,"&lt;="&amp;$E6423))</f>
        <v/>
      </c>
      <c r="J6423" s="59">
        <f t="shared" si="28"/>
        <v>0</v>
      </c>
      <c r="K6423" s="59">
        <f t="shared" si="29"/>
        <v>0</v>
      </c>
      <c r="L6423" s="59">
        <f t="shared" si="30"/>
        <v>0</v>
      </c>
      <c r="M6423" s="59">
        <f t="shared" si="31"/>
        <v>0</v>
      </c>
    </row>
    <row r="6424" ht="15.0" hidden="1" customHeight="1">
      <c r="A6424" s="59">
        <f t="shared" si="20"/>
        <v>104</v>
      </c>
      <c r="B6424" s="59" t="str">
        <f t="shared" si="21"/>
        <v/>
      </c>
      <c r="C6424" s="59" t="str">
        <f t="shared" si="22"/>
        <v/>
      </c>
      <c r="D6424" s="45" t="str">
        <f t="shared" si="23"/>
        <v/>
      </c>
      <c r="E6424" s="45" t="str">
        <f t="shared" si="24"/>
        <v/>
      </c>
      <c r="F6424" s="59" t="str">
        <f t="shared" si="25"/>
        <v/>
      </c>
      <c r="G6424" s="59" t="str">
        <f t="shared" si="26"/>
        <v/>
      </c>
      <c r="H6424" s="59" t="str">
        <f t="shared" si="27"/>
        <v>28C02410</v>
      </c>
      <c r="I6424" s="59" t="str">
        <f>IF(OR($A6424="",$C6424="",$D6424="",$E6424="",$H6424=""),"",SUMIFS(DATA_GOC!$H:$H,DATA_GOC!$A:$A,"BOM",DATA_GOC!$D:$D,$H6424,DATA_GOC!$E:$E,$C6424,DATA_GOC!$F:$F,"Xuất nội bộ từ téc",DATA_GOC!$B:$B,"&gt;="&amp;$D6424,DATA_GOC!$B:$B,"&lt;="&amp;$E6424))</f>
        <v/>
      </c>
      <c r="J6424" s="59">
        <f t="shared" si="28"/>
        <v>0</v>
      </c>
      <c r="K6424" s="59">
        <f t="shared" si="29"/>
        <v>0</v>
      </c>
      <c r="L6424" s="59">
        <f t="shared" si="30"/>
        <v>0</v>
      </c>
      <c r="M6424" s="59">
        <f t="shared" si="31"/>
        <v>0</v>
      </c>
    </row>
    <row r="6425" ht="15.0" hidden="1" customHeight="1">
      <c r="A6425" s="59">
        <f t="shared" si="20"/>
        <v>104</v>
      </c>
      <c r="B6425" s="59" t="str">
        <f t="shared" si="21"/>
        <v/>
      </c>
      <c r="C6425" s="59" t="str">
        <f t="shared" si="22"/>
        <v/>
      </c>
      <c r="D6425" s="45" t="str">
        <f t="shared" si="23"/>
        <v/>
      </c>
      <c r="E6425" s="45" t="str">
        <f t="shared" si="24"/>
        <v/>
      </c>
      <c r="F6425" s="59" t="str">
        <f t="shared" si="25"/>
        <v/>
      </c>
      <c r="G6425" s="59" t="str">
        <f t="shared" si="26"/>
        <v/>
      </c>
      <c r="H6425" s="59" t="str">
        <f t="shared" si="27"/>
        <v>28C02545</v>
      </c>
      <c r="I6425" s="59" t="str">
        <f>IF(OR($A6425="",$C6425="",$D6425="",$E6425="",$H6425=""),"",SUMIFS(DATA_GOC!$H:$H,DATA_GOC!$A:$A,"BOM",DATA_GOC!$D:$D,$H6425,DATA_GOC!$E:$E,$C6425,DATA_GOC!$F:$F,"Xuất nội bộ từ téc",DATA_GOC!$B:$B,"&gt;="&amp;$D6425,DATA_GOC!$B:$B,"&lt;="&amp;$E6425))</f>
        <v/>
      </c>
      <c r="J6425" s="59">
        <f t="shared" si="28"/>
        <v>0</v>
      </c>
      <c r="K6425" s="59">
        <f t="shared" si="29"/>
        <v>0</v>
      </c>
      <c r="L6425" s="59">
        <f t="shared" si="30"/>
        <v>0</v>
      </c>
      <c r="M6425" s="59">
        <f t="shared" si="31"/>
        <v>0</v>
      </c>
    </row>
    <row r="6426" ht="15.0" hidden="1" customHeight="1">
      <c r="A6426" s="59">
        <f t="shared" si="20"/>
        <v>104</v>
      </c>
      <c r="B6426" s="59" t="str">
        <f t="shared" si="21"/>
        <v/>
      </c>
      <c r="C6426" s="59" t="str">
        <f t="shared" si="22"/>
        <v/>
      </c>
      <c r="D6426" s="45" t="str">
        <f t="shared" si="23"/>
        <v/>
      </c>
      <c r="E6426" s="45" t="str">
        <f t="shared" si="24"/>
        <v/>
      </c>
      <c r="F6426" s="59" t="str">
        <f t="shared" si="25"/>
        <v/>
      </c>
      <c r="G6426" s="59" t="str">
        <f t="shared" si="26"/>
        <v/>
      </c>
      <c r="H6426" s="59" t="str">
        <f t="shared" si="27"/>
        <v>28C02574</v>
      </c>
      <c r="I6426" s="59" t="str">
        <f>IF(OR($A6426="",$C6426="",$D6426="",$E6426="",$H6426=""),"",SUMIFS(DATA_GOC!$H:$H,DATA_GOC!$A:$A,"BOM",DATA_GOC!$D:$D,$H6426,DATA_GOC!$E:$E,$C6426,DATA_GOC!$F:$F,"Xuất nội bộ từ téc",DATA_GOC!$B:$B,"&gt;="&amp;$D6426,DATA_GOC!$B:$B,"&lt;="&amp;$E6426))</f>
        <v/>
      </c>
      <c r="J6426" s="59">
        <f t="shared" si="28"/>
        <v>0</v>
      </c>
      <c r="K6426" s="59">
        <f t="shared" si="29"/>
        <v>0</v>
      </c>
      <c r="L6426" s="59">
        <f t="shared" si="30"/>
        <v>0</v>
      </c>
      <c r="M6426" s="59">
        <f t="shared" si="31"/>
        <v>0</v>
      </c>
    </row>
    <row r="6427" ht="15.0" hidden="1" customHeight="1">
      <c r="A6427" s="59">
        <f t="shared" si="20"/>
        <v>104</v>
      </c>
      <c r="B6427" s="59" t="str">
        <f t="shared" si="21"/>
        <v/>
      </c>
      <c r="C6427" s="59" t="str">
        <f t="shared" si="22"/>
        <v/>
      </c>
      <c r="D6427" s="45" t="str">
        <f t="shared" si="23"/>
        <v/>
      </c>
      <c r="E6427" s="45" t="str">
        <f t="shared" si="24"/>
        <v/>
      </c>
      <c r="F6427" s="59" t="str">
        <f t="shared" si="25"/>
        <v/>
      </c>
      <c r="G6427" s="59" t="str">
        <f t="shared" si="26"/>
        <v/>
      </c>
      <c r="H6427" s="59" t="str">
        <f t="shared" si="27"/>
        <v>28C02770</v>
      </c>
      <c r="I6427" s="59" t="str">
        <f>IF(OR($A6427="",$C6427="",$D6427="",$E6427="",$H6427=""),"",SUMIFS(DATA_GOC!$H:$H,DATA_GOC!$A:$A,"BOM",DATA_GOC!$D:$D,$H6427,DATA_GOC!$E:$E,$C6427,DATA_GOC!$F:$F,"Xuất nội bộ từ téc",DATA_GOC!$B:$B,"&gt;="&amp;$D6427,DATA_GOC!$B:$B,"&lt;="&amp;$E6427))</f>
        <v/>
      </c>
      <c r="J6427" s="59">
        <f t="shared" si="28"/>
        <v>0</v>
      </c>
      <c r="K6427" s="59">
        <f t="shared" si="29"/>
        <v>0</v>
      </c>
      <c r="L6427" s="59">
        <f t="shared" si="30"/>
        <v>0</v>
      </c>
      <c r="M6427" s="59">
        <f t="shared" si="31"/>
        <v>0</v>
      </c>
    </row>
    <row r="6428" ht="15.0" hidden="1" customHeight="1">
      <c r="A6428" s="59">
        <f t="shared" si="20"/>
        <v>104</v>
      </c>
      <c r="B6428" s="59" t="str">
        <f t="shared" si="21"/>
        <v/>
      </c>
      <c r="C6428" s="59" t="str">
        <f t="shared" si="22"/>
        <v/>
      </c>
      <c r="D6428" s="45" t="str">
        <f t="shared" si="23"/>
        <v/>
      </c>
      <c r="E6428" s="45" t="str">
        <f t="shared" si="24"/>
        <v/>
      </c>
      <c r="F6428" s="59" t="str">
        <f t="shared" si="25"/>
        <v/>
      </c>
      <c r="G6428" s="59" t="str">
        <f t="shared" si="26"/>
        <v/>
      </c>
      <c r="H6428" s="59" t="str">
        <f t="shared" si="27"/>
        <v>28C02986</v>
      </c>
      <c r="I6428" s="59" t="str">
        <f>IF(OR($A6428="",$C6428="",$D6428="",$E6428="",$H6428=""),"",SUMIFS(DATA_GOC!$H:$H,DATA_GOC!$A:$A,"BOM",DATA_GOC!$D:$D,$H6428,DATA_GOC!$E:$E,$C6428,DATA_GOC!$F:$F,"Xuất nội bộ từ téc",DATA_GOC!$B:$B,"&gt;="&amp;$D6428,DATA_GOC!$B:$B,"&lt;="&amp;$E6428))</f>
        <v/>
      </c>
      <c r="J6428" s="59">
        <f t="shared" si="28"/>
        <v>0</v>
      </c>
      <c r="K6428" s="59">
        <f t="shared" si="29"/>
        <v>0</v>
      </c>
      <c r="L6428" s="59">
        <f t="shared" si="30"/>
        <v>0</v>
      </c>
      <c r="M6428" s="59">
        <f t="shared" si="31"/>
        <v>0</v>
      </c>
    </row>
    <row r="6429" ht="15.0" hidden="1" customHeight="1">
      <c r="A6429" s="59">
        <f t="shared" si="20"/>
        <v>104</v>
      </c>
      <c r="B6429" s="59" t="str">
        <f t="shared" si="21"/>
        <v/>
      </c>
      <c r="C6429" s="59" t="str">
        <f t="shared" si="22"/>
        <v/>
      </c>
      <c r="D6429" s="45" t="str">
        <f t="shared" si="23"/>
        <v/>
      </c>
      <c r="E6429" s="45" t="str">
        <f t="shared" si="24"/>
        <v/>
      </c>
      <c r="F6429" s="59" t="str">
        <f t="shared" si="25"/>
        <v/>
      </c>
      <c r="G6429" s="59" t="str">
        <f t="shared" si="26"/>
        <v/>
      </c>
      <c r="H6429" s="59" t="str">
        <f t="shared" si="27"/>
        <v>28C03261</v>
      </c>
      <c r="I6429" s="59" t="str">
        <f>IF(OR($A6429="",$C6429="",$D6429="",$E6429="",$H6429=""),"",SUMIFS(DATA_GOC!$H:$H,DATA_GOC!$A:$A,"BOM",DATA_GOC!$D:$D,$H6429,DATA_GOC!$E:$E,$C6429,DATA_GOC!$F:$F,"Xuất nội bộ từ téc",DATA_GOC!$B:$B,"&gt;="&amp;$D6429,DATA_GOC!$B:$B,"&lt;="&amp;$E6429))</f>
        <v/>
      </c>
      <c r="J6429" s="59">
        <f t="shared" si="28"/>
        <v>0</v>
      </c>
      <c r="K6429" s="59">
        <f t="shared" si="29"/>
        <v>0</v>
      </c>
      <c r="L6429" s="59">
        <f t="shared" si="30"/>
        <v>0</v>
      </c>
      <c r="M6429" s="59">
        <f t="shared" si="31"/>
        <v>0</v>
      </c>
    </row>
    <row r="6430" ht="15.0" hidden="1" customHeight="1">
      <c r="A6430" s="59">
        <f t="shared" si="20"/>
        <v>104</v>
      </c>
      <c r="B6430" s="59" t="str">
        <f t="shared" si="21"/>
        <v/>
      </c>
      <c r="C6430" s="59" t="str">
        <f t="shared" si="22"/>
        <v/>
      </c>
      <c r="D6430" s="45" t="str">
        <f t="shared" si="23"/>
        <v/>
      </c>
      <c r="E6430" s="45" t="str">
        <f t="shared" si="24"/>
        <v/>
      </c>
      <c r="F6430" s="59" t="str">
        <f t="shared" si="25"/>
        <v/>
      </c>
      <c r="G6430" s="59" t="str">
        <f t="shared" si="26"/>
        <v/>
      </c>
      <c r="H6430" s="59" t="str">
        <f t="shared" si="27"/>
        <v>28C03323</v>
      </c>
      <c r="I6430" s="59" t="str">
        <f>IF(OR($A6430="",$C6430="",$D6430="",$E6430="",$H6430=""),"",SUMIFS(DATA_GOC!$H:$H,DATA_GOC!$A:$A,"BOM",DATA_GOC!$D:$D,$H6430,DATA_GOC!$E:$E,$C6430,DATA_GOC!$F:$F,"Xuất nội bộ từ téc",DATA_GOC!$B:$B,"&gt;="&amp;$D6430,DATA_GOC!$B:$B,"&lt;="&amp;$E6430))</f>
        <v/>
      </c>
      <c r="J6430" s="59">
        <f t="shared" si="28"/>
        <v>0</v>
      </c>
      <c r="K6430" s="59">
        <f t="shared" si="29"/>
        <v>0</v>
      </c>
      <c r="L6430" s="59">
        <f t="shared" si="30"/>
        <v>0</v>
      </c>
      <c r="M6430" s="59">
        <f t="shared" si="31"/>
        <v>0</v>
      </c>
    </row>
    <row r="6431" ht="15.0" hidden="1" customHeight="1">
      <c r="A6431" s="59">
        <f t="shared" si="20"/>
        <v>104</v>
      </c>
      <c r="B6431" s="59" t="str">
        <f t="shared" si="21"/>
        <v/>
      </c>
      <c r="C6431" s="59" t="str">
        <f t="shared" si="22"/>
        <v/>
      </c>
      <c r="D6431" s="45" t="str">
        <f t="shared" si="23"/>
        <v/>
      </c>
      <c r="E6431" s="45" t="str">
        <f t="shared" si="24"/>
        <v/>
      </c>
      <c r="F6431" s="59" t="str">
        <f t="shared" si="25"/>
        <v/>
      </c>
      <c r="G6431" s="59" t="str">
        <f t="shared" si="26"/>
        <v/>
      </c>
      <c r="H6431" s="59" t="str">
        <f t="shared" si="27"/>
        <v>28C03385</v>
      </c>
      <c r="I6431" s="59" t="str">
        <f>IF(OR($A6431="",$C6431="",$D6431="",$E6431="",$H6431=""),"",SUMIFS(DATA_GOC!$H:$H,DATA_GOC!$A:$A,"BOM",DATA_GOC!$D:$D,$H6431,DATA_GOC!$E:$E,$C6431,DATA_GOC!$F:$F,"Xuất nội bộ từ téc",DATA_GOC!$B:$B,"&gt;="&amp;$D6431,DATA_GOC!$B:$B,"&lt;="&amp;$E6431))</f>
        <v/>
      </c>
      <c r="J6431" s="59">
        <f t="shared" si="28"/>
        <v>0</v>
      </c>
      <c r="K6431" s="59">
        <f t="shared" si="29"/>
        <v>0</v>
      </c>
      <c r="L6431" s="59">
        <f t="shared" si="30"/>
        <v>0</v>
      </c>
      <c r="M6431" s="59">
        <f t="shared" si="31"/>
        <v>0</v>
      </c>
    </row>
    <row r="6432" ht="15.0" hidden="1" customHeight="1">
      <c r="A6432" s="59">
        <f t="shared" si="20"/>
        <v>104</v>
      </c>
      <c r="B6432" s="59" t="str">
        <f t="shared" si="21"/>
        <v/>
      </c>
      <c r="C6432" s="59" t="str">
        <f t="shared" si="22"/>
        <v/>
      </c>
      <c r="D6432" s="45" t="str">
        <f t="shared" si="23"/>
        <v/>
      </c>
      <c r="E6432" s="45" t="str">
        <f t="shared" si="24"/>
        <v/>
      </c>
      <c r="F6432" s="59" t="str">
        <f t="shared" si="25"/>
        <v/>
      </c>
      <c r="G6432" s="59" t="str">
        <f t="shared" si="26"/>
        <v/>
      </c>
      <c r="H6432" s="59" t="str">
        <f t="shared" si="27"/>
        <v>28C03652</v>
      </c>
      <c r="I6432" s="59" t="str">
        <f>IF(OR($A6432="",$C6432="",$D6432="",$E6432="",$H6432=""),"",SUMIFS(DATA_GOC!$H:$H,DATA_GOC!$A:$A,"BOM",DATA_GOC!$D:$D,$H6432,DATA_GOC!$E:$E,$C6432,DATA_GOC!$F:$F,"Xuất nội bộ từ téc",DATA_GOC!$B:$B,"&gt;="&amp;$D6432,DATA_GOC!$B:$B,"&lt;="&amp;$E6432))</f>
        <v/>
      </c>
      <c r="J6432" s="59">
        <f t="shared" si="28"/>
        <v>0</v>
      </c>
      <c r="K6432" s="59">
        <f t="shared" si="29"/>
        <v>0</v>
      </c>
      <c r="L6432" s="59">
        <f t="shared" si="30"/>
        <v>0</v>
      </c>
      <c r="M6432" s="59">
        <f t="shared" si="31"/>
        <v>0</v>
      </c>
    </row>
    <row r="6433" ht="15.0" hidden="1" customHeight="1">
      <c r="A6433" s="59">
        <f t="shared" si="20"/>
        <v>104</v>
      </c>
      <c r="B6433" s="59" t="str">
        <f t="shared" si="21"/>
        <v/>
      </c>
      <c r="C6433" s="59" t="str">
        <f t="shared" si="22"/>
        <v/>
      </c>
      <c r="D6433" s="45" t="str">
        <f t="shared" si="23"/>
        <v/>
      </c>
      <c r="E6433" s="45" t="str">
        <f t="shared" si="24"/>
        <v/>
      </c>
      <c r="F6433" s="59" t="str">
        <f t="shared" si="25"/>
        <v/>
      </c>
      <c r="G6433" s="59" t="str">
        <f t="shared" si="26"/>
        <v/>
      </c>
      <c r="H6433" s="59" t="str">
        <f t="shared" si="27"/>
        <v>28C03695</v>
      </c>
      <c r="I6433" s="59" t="str">
        <f>IF(OR($A6433="",$C6433="",$D6433="",$E6433="",$H6433=""),"",SUMIFS(DATA_GOC!$H:$H,DATA_GOC!$A:$A,"BOM",DATA_GOC!$D:$D,$H6433,DATA_GOC!$E:$E,$C6433,DATA_GOC!$F:$F,"Xuất nội bộ từ téc",DATA_GOC!$B:$B,"&gt;="&amp;$D6433,DATA_GOC!$B:$B,"&lt;="&amp;$E6433))</f>
        <v/>
      </c>
      <c r="J6433" s="59">
        <f t="shared" si="28"/>
        <v>0</v>
      </c>
      <c r="K6433" s="59">
        <f t="shared" si="29"/>
        <v>0</v>
      </c>
      <c r="L6433" s="59">
        <f t="shared" si="30"/>
        <v>0</v>
      </c>
      <c r="M6433" s="59">
        <f t="shared" si="31"/>
        <v>0</v>
      </c>
    </row>
    <row r="6434" ht="15.0" hidden="1" customHeight="1">
      <c r="A6434" s="59">
        <f t="shared" si="20"/>
        <v>104</v>
      </c>
      <c r="B6434" s="59" t="str">
        <f t="shared" si="21"/>
        <v/>
      </c>
      <c r="C6434" s="59" t="str">
        <f t="shared" si="22"/>
        <v/>
      </c>
      <c r="D6434" s="45" t="str">
        <f t="shared" si="23"/>
        <v/>
      </c>
      <c r="E6434" s="45" t="str">
        <f t="shared" si="24"/>
        <v/>
      </c>
      <c r="F6434" s="59" t="str">
        <f t="shared" si="25"/>
        <v/>
      </c>
      <c r="G6434" s="59" t="str">
        <f t="shared" si="26"/>
        <v/>
      </c>
      <c r="H6434" s="59" t="str">
        <f t="shared" si="27"/>
        <v>28C03927</v>
      </c>
      <c r="I6434" s="59" t="str">
        <f>IF(OR($A6434="",$C6434="",$D6434="",$E6434="",$H6434=""),"",SUMIFS(DATA_GOC!$H:$H,DATA_GOC!$A:$A,"BOM",DATA_GOC!$D:$D,$H6434,DATA_GOC!$E:$E,$C6434,DATA_GOC!$F:$F,"Xuất nội bộ từ téc",DATA_GOC!$B:$B,"&gt;="&amp;$D6434,DATA_GOC!$B:$B,"&lt;="&amp;$E6434))</f>
        <v/>
      </c>
      <c r="J6434" s="59">
        <f t="shared" si="28"/>
        <v>0</v>
      </c>
      <c r="K6434" s="59">
        <f t="shared" si="29"/>
        <v>0</v>
      </c>
      <c r="L6434" s="59">
        <f t="shared" si="30"/>
        <v>0</v>
      </c>
      <c r="M6434" s="59">
        <f t="shared" si="31"/>
        <v>0</v>
      </c>
    </row>
    <row r="6435" ht="15.0" hidden="1" customHeight="1">
      <c r="A6435" s="59">
        <f t="shared" si="20"/>
        <v>104</v>
      </c>
      <c r="B6435" s="59" t="str">
        <f t="shared" si="21"/>
        <v/>
      </c>
      <c r="C6435" s="59" t="str">
        <f t="shared" si="22"/>
        <v/>
      </c>
      <c r="D6435" s="45" t="str">
        <f t="shared" si="23"/>
        <v/>
      </c>
      <c r="E6435" s="45" t="str">
        <f t="shared" si="24"/>
        <v/>
      </c>
      <c r="F6435" s="59" t="str">
        <f t="shared" si="25"/>
        <v/>
      </c>
      <c r="G6435" s="59" t="str">
        <f t="shared" si="26"/>
        <v/>
      </c>
      <c r="H6435" s="59" t="str">
        <f t="shared" si="27"/>
        <v>28C04509</v>
      </c>
      <c r="I6435" s="59" t="str">
        <f>IF(OR($A6435="",$C6435="",$D6435="",$E6435="",$H6435=""),"",SUMIFS(DATA_GOC!$H:$H,DATA_GOC!$A:$A,"BOM",DATA_GOC!$D:$D,$H6435,DATA_GOC!$E:$E,$C6435,DATA_GOC!$F:$F,"Xuất nội bộ từ téc",DATA_GOC!$B:$B,"&gt;="&amp;$D6435,DATA_GOC!$B:$B,"&lt;="&amp;$E6435))</f>
        <v/>
      </c>
      <c r="J6435" s="59">
        <f t="shared" si="28"/>
        <v>0</v>
      </c>
      <c r="K6435" s="59">
        <f t="shared" si="29"/>
        <v>0</v>
      </c>
      <c r="L6435" s="59">
        <f t="shared" si="30"/>
        <v>0</v>
      </c>
      <c r="M6435" s="59">
        <f t="shared" si="31"/>
        <v>0</v>
      </c>
    </row>
    <row r="6436" ht="15.0" hidden="1" customHeight="1">
      <c r="A6436" s="59">
        <f t="shared" si="20"/>
        <v>104</v>
      </c>
      <c r="B6436" s="59" t="str">
        <f t="shared" si="21"/>
        <v/>
      </c>
      <c r="C6436" s="59" t="str">
        <f t="shared" si="22"/>
        <v/>
      </c>
      <c r="D6436" s="45" t="str">
        <f t="shared" si="23"/>
        <v/>
      </c>
      <c r="E6436" s="45" t="str">
        <f t="shared" si="24"/>
        <v/>
      </c>
      <c r="F6436" s="59" t="str">
        <f t="shared" si="25"/>
        <v/>
      </c>
      <c r="G6436" s="59" t="str">
        <f t="shared" si="26"/>
        <v/>
      </c>
      <c r="H6436" s="59" t="str">
        <f t="shared" si="27"/>
        <v>28C04536</v>
      </c>
      <c r="I6436" s="59" t="str">
        <f>IF(OR($A6436="",$C6436="",$D6436="",$E6436="",$H6436=""),"",SUMIFS(DATA_GOC!$H:$H,DATA_GOC!$A:$A,"BOM",DATA_GOC!$D:$D,$H6436,DATA_GOC!$E:$E,$C6436,DATA_GOC!$F:$F,"Xuất nội bộ từ téc",DATA_GOC!$B:$B,"&gt;="&amp;$D6436,DATA_GOC!$B:$B,"&lt;="&amp;$E6436))</f>
        <v/>
      </c>
      <c r="J6436" s="59">
        <f t="shared" si="28"/>
        <v>0</v>
      </c>
      <c r="K6436" s="59">
        <f t="shared" si="29"/>
        <v>0</v>
      </c>
      <c r="L6436" s="59">
        <f t="shared" si="30"/>
        <v>0</v>
      </c>
      <c r="M6436" s="59">
        <f t="shared" si="31"/>
        <v>0</v>
      </c>
    </row>
    <row r="6437" ht="15.0" hidden="1" customHeight="1">
      <c r="A6437" s="59">
        <f t="shared" si="20"/>
        <v>104</v>
      </c>
      <c r="B6437" s="59" t="str">
        <f t="shared" si="21"/>
        <v/>
      </c>
      <c r="C6437" s="59" t="str">
        <f t="shared" si="22"/>
        <v/>
      </c>
      <c r="D6437" s="45" t="str">
        <f t="shared" si="23"/>
        <v/>
      </c>
      <c r="E6437" s="45" t="str">
        <f t="shared" si="24"/>
        <v/>
      </c>
      <c r="F6437" s="59" t="str">
        <f t="shared" si="25"/>
        <v/>
      </c>
      <c r="G6437" s="59" t="str">
        <f t="shared" si="26"/>
        <v/>
      </c>
      <c r="H6437" s="59" t="str">
        <f t="shared" si="27"/>
        <v>28C04576</v>
      </c>
      <c r="I6437" s="59" t="str">
        <f>IF(OR($A6437="",$C6437="",$D6437="",$E6437="",$H6437=""),"",SUMIFS(DATA_GOC!$H:$H,DATA_GOC!$A:$A,"BOM",DATA_GOC!$D:$D,$H6437,DATA_GOC!$E:$E,$C6437,DATA_GOC!$F:$F,"Xuất nội bộ từ téc",DATA_GOC!$B:$B,"&gt;="&amp;$D6437,DATA_GOC!$B:$B,"&lt;="&amp;$E6437))</f>
        <v/>
      </c>
      <c r="J6437" s="59">
        <f t="shared" si="28"/>
        <v>0</v>
      </c>
      <c r="K6437" s="59">
        <f t="shared" si="29"/>
        <v>0</v>
      </c>
      <c r="L6437" s="59">
        <f t="shared" si="30"/>
        <v>0</v>
      </c>
      <c r="M6437" s="59">
        <f t="shared" si="31"/>
        <v>0</v>
      </c>
    </row>
    <row r="6438" ht="15.0" hidden="1" customHeight="1">
      <c r="A6438" s="59">
        <f t="shared" si="20"/>
        <v>104</v>
      </c>
      <c r="B6438" s="59" t="str">
        <f t="shared" si="21"/>
        <v/>
      </c>
      <c r="C6438" s="59" t="str">
        <f t="shared" si="22"/>
        <v/>
      </c>
      <c r="D6438" s="45" t="str">
        <f t="shared" si="23"/>
        <v/>
      </c>
      <c r="E6438" s="45" t="str">
        <f t="shared" si="24"/>
        <v/>
      </c>
      <c r="F6438" s="59" t="str">
        <f t="shared" si="25"/>
        <v/>
      </c>
      <c r="G6438" s="59" t="str">
        <f t="shared" si="26"/>
        <v/>
      </c>
      <c r="H6438" s="59" t="str">
        <f t="shared" si="27"/>
        <v>28C05090</v>
      </c>
      <c r="I6438" s="59" t="str">
        <f>IF(OR($A6438="",$C6438="",$D6438="",$E6438="",$H6438=""),"",SUMIFS(DATA_GOC!$H:$H,DATA_GOC!$A:$A,"BOM",DATA_GOC!$D:$D,$H6438,DATA_GOC!$E:$E,$C6438,DATA_GOC!$F:$F,"Xuất nội bộ từ téc",DATA_GOC!$B:$B,"&gt;="&amp;$D6438,DATA_GOC!$B:$B,"&lt;="&amp;$E6438))</f>
        <v/>
      </c>
      <c r="J6438" s="59">
        <f t="shared" si="28"/>
        <v>0</v>
      </c>
      <c r="K6438" s="59">
        <f t="shared" si="29"/>
        <v>0</v>
      </c>
      <c r="L6438" s="59">
        <f t="shared" si="30"/>
        <v>0</v>
      </c>
      <c r="M6438" s="59">
        <f t="shared" si="31"/>
        <v>0</v>
      </c>
    </row>
    <row r="6439" ht="15.0" hidden="1" customHeight="1">
      <c r="A6439" s="59">
        <f t="shared" si="20"/>
        <v>104</v>
      </c>
      <c r="B6439" s="59" t="str">
        <f t="shared" si="21"/>
        <v/>
      </c>
      <c r="C6439" s="59" t="str">
        <f t="shared" si="22"/>
        <v/>
      </c>
      <c r="D6439" s="45" t="str">
        <f t="shared" si="23"/>
        <v/>
      </c>
      <c r="E6439" s="45" t="str">
        <f t="shared" si="24"/>
        <v/>
      </c>
      <c r="F6439" s="59" t="str">
        <f t="shared" si="25"/>
        <v/>
      </c>
      <c r="G6439" s="59" t="str">
        <f t="shared" si="26"/>
        <v/>
      </c>
      <c r="H6439" s="59" t="str">
        <f t="shared" si="27"/>
        <v>28C05345</v>
      </c>
      <c r="I6439" s="59" t="str">
        <f>IF(OR($A6439="",$C6439="",$D6439="",$E6439="",$H6439=""),"",SUMIFS(DATA_GOC!$H:$H,DATA_GOC!$A:$A,"BOM",DATA_GOC!$D:$D,$H6439,DATA_GOC!$E:$E,$C6439,DATA_GOC!$F:$F,"Xuất nội bộ từ téc",DATA_GOC!$B:$B,"&gt;="&amp;$D6439,DATA_GOC!$B:$B,"&lt;="&amp;$E6439))</f>
        <v/>
      </c>
      <c r="J6439" s="59">
        <f t="shared" si="28"/>
        <v>0</v>
      </c>
      <c r="K6439" s="59">
        <f t="shared" si="29"/>
        <v>0</v>
      </c>
      <c r="L6439" s="59">
        <f t="shared" si="30"/>
        <v>0</v>
      </c>
      <c r="M6439" s="59">
        <f t="shared" si="31"/>
        <v>0</v>
      </c>
    </row>
    <row r="6440" ht="15.0" hidden="1" customHeight="1">
      <c r="A6440" s="59">
        <f t="shared" si="20"/>
        <v>104</v>
      </c>
      <c r="B6440" s="59" t="str">
        <f t="shared" si="21"/>
        <v/>
      </c>
      <c r="C6440" s="59" t="str">
        <f t="shared" si="22"/>
        <v/>
      </c>
      <c r="D6440" s="45" t="str">
        <f t="shared" si="23"/>
        <v/>
      </c>
      <c r="E6440" s="45" t="str">
        <f t="shared" si="24"/>
        <v/>
      </c>
      <c r="F6440" s="59" t="str">
        <f t="shared" si="25"/>
        <v/>
      </c>
      <c r="G6440" s="59" t="str">
        <f t="shared" si="26"/>
        <v/>
      </c>
      <c r="H6440" s="59" t="str">
        <f t="shared" si="27"/>
        <v>28C05661</v>
      </c>
      <c r="I6440" s="59" t="str">
        <f>IF(OR($A6440="",$C6440="",$D6440="",$E6440="",$H6440=""),"",SUMIFS(DATA_GOC!$H:$H,DATA_GOC!$A:$A,"BOM",DATA_GOC!$D:$D,$H6440,DATA_GOC!$E:$E,$C6440,DATA_GOC!$F:$F,"Xuất nội bộ từ téc",DATA_GOC!$B:$B,"&gt;="&amp;$D6440,DATA_GOC!$B:$B,"&lt;="&amp;$E6440))</f>
        <v/>
      </c>
      <c r="J6440" s="59">
        <f t="shared" si="28"/>
        <v>0</v>
      </c>
      <c r="K6440" s="59">
        <f t="shared" si="29"/>
        <v>0</v>
      </c>
      <c r="L6440" s="59">
        <f t="shared" si="30"/>
        <v>0</v>
      </c>
      <c r="M6440" s="59">
        <f t="shared" si="31"/>
        <v>0</v>
      </c>
    </row>
    <row r="6441" ht="15.0" hidden="1" customHeight="1">
      <c r="A6441" s="59">
        <f t="shared" si="20"/>
        <v>104</v>
      </c>
      <c r="B6441" s="59" t="str">
        <f t="shared" si="21"/>
        <v/>
      </c>
      <c r="C6441" s="59" t="str">
        <f t="shared" si="22"/>
        <v/>
      </c>
      <c r="D6441" s="45" t="str">
        <f t="shared" si="23"/>
        <v/>
      </c>
      <c r="E6441" s="45" t="str">
        <f t="shared" si="24"/>
        <v/>
      </c>
      <c r="F6441" s="59" t="str">
        <f t="shared" si="25"/>
        <v/>
      </c>
      <c r="G6441" s="59" t="str">
        <f t="shared" si="26"/>
        <v/>
      </c>
      <c r="H6441" s="59" t="str">
        <f t="shared" si="27"/>
        <v>28C05739</v>
      </c>
      <c r="I6441" s="59" t="str">
        <f>IF(OR($A6441="",$C6441="",$D6441="",$E6441="",$H6441=""),"",SUMIFS(DATA_GOC!$H:$H,DATA_GOC!$A:$A,"BOM",DATA_GOC!$D:$D,$H6441,DATA_GOC!$E:$E,$C6441,DATA_GOC!$F:$F,"Xuất nội bộ từ téc",DATA_GOC!$B:$B,"&gt;="&amp;$D6441,DATA_GOC!$B:$B,"&lt;="&amp;$E6441))</f>
        <v/>
      </c>
      <c r="J6441" s="59">
        <f t="shared" si="28"/>
        <v>0</v>
      </c>
      <c r="K6441" s="59">
        <f t="shared" si="29"/>
        <v>0</v>
      </c>
      <c r="L6441" s="59">
        <f t="shared" si="30"/>
        <v>0</v>
      </c>
      <c r="M6441" s="59">
        <f t="shared" si="31"/>
        <v>0</v>
      </c>
    </row>
    <row r="6442" ht="15.0" hidden="1" customHeight="1">
      <c r="A6442" s="59">
        <f t="shared" si="20"/>
        <v>104</v>
      </c>
      <c r="B6442" s="59" t="str">
        <f t="shared" si="21"/>
        <v/>
      </c>
      <c r="C6442" s="59" t="str">
        <f t="shared" si="22"/>
        <v/>
      </c>
      <c r="D6442" s="45" t="str">
        <f t="shared" si="23"/>
        <v/>
      </c>
      <c r="E6442" s="45" t="str">
        <f t="shared" si="24"/>
        <v/>
      </c>
      <c r="F6442" s="59" t="str">
        <f t="shared" si="25"/>
        <v/>
      </c>
      <c r="G6442" s="59" t="str">
        <f t="shared" si="26"/>
        <v/>
      </c>
      <c r="H6442" s="59" t="str">
        <f t="shared" si="27"/>
        <v>28C06369</v>
      </c>
      <c r="I6442" s="59" t="str">
        <f>IF(OR($A6442="",$C6442="",$D6442="",$E6442="",$H6442=""),"",SUMIFS(DATA_GOC!$H:$H,DATA_GOC!$A:$A,"BOM",DATA_GOC!$D:$D,$H6442,DATA_GOC!$E:$E,$C6442,DATA_GOC!$F:$F,"Xuất nội bộ từ téc",DATA_GOC!$B:$B,"&gt;="&amp;$D6442,DATA_GOC!$B:$B,"&lt;="&amp;$E6442))</f>
        <v/>
      </c>
      <c r="J6442" s="59">
        <f t="shared" si="28"/>
        <v>0</v>
      </c>
      <c r="K6442" s="59">
        <f t="shared" si="29"/>
        <v>0</v>
      </c>
      <c r="L6442" s="59">
        <f t="shared" si="30"/>
        <v>0</v>
      </c>
      <c r="M6442" s="59">
        <f t="shared" si="31"/>
        <v>0</v>
      </c>
    </row>
    <row r="6443" ht="15.0" hidden="1" customHeight="1">
      <c r="A6443" s="59">
        <f t="shared" si="20"/>
        <v>104</v>
      </c>
      <c r="B6443" s="59" t="str">
        <f t="shared" si="21"/>
        <v/>
      </c>
      <c r="C6443" s="59" t="str">
        <f t="shared" si="22"/>
        <v/>
      </c>
      <c r="D6443" s="45" t="str">
        <f t="shared" si="23"/>
        <v/>
      </c>
      <c r="E6443" s="45" t="str">
        <f t="shared" si="24"/>
        <v/>
      </c>
      <c r="F6443" s="59" t="str">
        <f t="shared" si="25"/>
        <v/>
      </c>
      <c r="G6443" s="59" t="str">
        <f t="shared" si="26"/>
        <v/>
      </c>
      <c r="H6443" s="59" t="str">
        <f t="shared" si="27"/>
        <v>28C06447</v>
      </c>
      <c r="I6443" s="59" t="str">
        <f>IF(OR($A6443="",$C6443="",$D6443="",$E6443="",$H6443=""),"",SUMIFS(DATA_GOC!$H:$H,DATA_GOC!$A:$A,"BOM",DATA_GOC!$D:$D,$H6443,DATA_GOC!$E:$E,$C6443,DATA_GOC!$F:$F,"Xuất nội bộ từ téc",DATA_GOC!$B:$B,"&gt;="&amp;$D6443,DATA_GOC!$B:$B,"&lt;="&amp;$E6443))</f>
        <v/>
      </c>
      <c r="J6443" s="59">
        <f t="shared" si="28"/>
        <v>0</v>
      </c>
      <c r="K6443" s="59">
        <f t="shared" si="29"/>
        <v>0</v>
      </c>
      <c r="L6443" s="59">
        <f t="shared" si="30"/>
        <v>0</v>
      </c>
      <c r="M6443" s="59">
        <f t="shared" si="31"/>
        <v>0</v>
      </c>
    </row>
    <row r="6444" ht="15.0" hidden="1" customHeight="1">
      <c r="A6444" s="59">
        <f t="shared" si="20"/>
        <v>104</v>
      </c>
      <c r="B6444" s="59" t="str">
        <f t="shared" si="21"/>
        <v/>
      </c>
      <c r="C6444" s="59" t="str">
        <f t="shared" si="22"/>
        <v/>
      </c>
      <c r="D6444" s="45" t="str">
        <f t="shared" si="23"/>
        <v/>
      </c>
      <c r="E6444" s="45" t="str">
        <f t="shared" si="24"/>
        <v/>
      </c>
      <c r="F6444" s="59" t="str">
        <f t="shared" si="25"/>
        <v/>
      </c>
      <c r="G6444" s="59" t="str">
        <f t="shared" si="26"/>
        <v/>
      </c>
      <c r="H6444" s="59" t="str">
        <f t="shared" si="27"/>
        <v>28H00003</v>
      </c>
      <c r="I6444" s="59" t="str">
        <f>IF(OR($A6444="",$C6444="",$D6444="",$E6444="",$H6444=""),"",SUMIFS(DATA_GOC!$H:$H,DATA_GOC!$A:$A,"BOM",DATA_GOC!$D:$D,$H6444,DATA_GOC!$E:$E,$C6444,DATA_GOC!$F:$F,"Xuất nội bộ từ téc",DATA_GOC!$B:$B,"&gt;="&amp;$D6444,DATA_GOC!$B:$B,"&lt;="&amp;$E6444))</f>
        <v/>
      </c>
      <c r="J6444" s="59">
        <f t="shared" si="28"/>
        <v>0</v>
      </c>
      <c r="K6444" s="59">
        <f t="shared" si="29"/>
        <v>0</v>
      </c>
      <c r="L6444" s="59">
        <f t="shared" si="30"/>
        <v>0</v>
      </c>
      <c r="M6444" s="59">
        <f t="shared" si="31"/>
        <v>0</v>
      </c>
    </row>
    <row r="6445" ht="15.0" hidden="1" customHeight="1">
      <c r="A6445" s="59">
        <f t="shared" si="20"/>
        <v>104</v>
      </c>
      <c r="B6445" s="59" t="str">
        <f t="shared" si="21"/>
        <v/>
      </c>
      <c r="C6445" s="59" t="str">
        <f t="shared" si="22"/>
        <v/>
      </c>
      <c r="D6445" s="45" t="str">
        <f t="shared" si="23"/>
        <v/>
      </c>
      <c r="E6445" s="45" t="str">
        <f t="shared" si="24"/>
        <v/>
      </c>
      <c r="F6445" s="59" t="str">
        <f t="shared" si="25"/>
        <v/>
      </c>
      <c r="G6445" s="59" t="str">
        <f t="shared" si="26"/>
        <v/>
      </c>
      <c r="H6445" s="59" t="str">
        <f t="shared" si="27"/>
        <v>28H00061</v>
      </c>
      <c r="I6445" s="59" t="str">
        <f>IF(OR($A6445="",$C6445="",$D6445="",$E6445="",$H6445=""),"",SUMIFS(DATA_GOC!$H:$H,DATA_GOC!$A:$A,"BOM",DATA_GOC!$D:$D,$H6445,DATA_GOC!$E:$E,$C6445,DATA_GOC!$F:$F,"Xuất nội bộ từ téc",DATA_GOC!$B:$B,"&gt;="&amp;$D6445,DATA_GOC!$B:$B,"&lt;="&amp;$E6445))</f>
        <v/>
      </c>
      <c r="J6445" s="59">
        <f t="shared" si="28"/>
        <v>0</v>
      </c>
      <c r="K6445" s="59">
        <f t="shared" si="29"/>
        <v>0</v>
      </c>
      <c r="L6445" s="59">
        <f t="shared" si="30"/>
        <v>0</v>
      </c>
      <c r="M6445" s="59">
        <f t="shared" si="31"/>
        <v>0</v>
      </c>
    </row>
    <row r="6446" ht="15.0" hidden="1" customHeight="1">
      <c r="A6446" s="59">
        <f t="shared" si="20"/>
        <v>104</v>
      </c>
      <c r="B6446" s="59" t="str">
        <f t="shared" si="21"/>
        <v/>
      </c>
      <c r="C6446" s="59" t="str">
        <f t="shared" si="22"/>
        <v/>
      </c>
      <c r="D6446" s="45" t="str">
        <f t="shared" si="23"/>
        <v/>
      </c>
      <c r="E6446" s="45" t="str">
        <f t="shared" si="24"/>
        <v/>
      </c>
      <c r="F6446" s="59" t="str">
        <f t="shared" si="25"/>
        <v/>
      </c>
      <c r="G6446" s="59" t="str">
        <f t="shared" si="26"/>
        <v/>
      </c>
      <c r="H6446" s="59" t="str">
        <f t="shared" si="27"/>
        <v>28H00354</v>
      </c>
      <c r="I6446" s="59" t="str">
        <f>IF(OR($A6446="",$C6446="",$D6446="",$E6446="",$H6446=""),"",SUMIFS(DATA_GOC!$H:$H,DATA_GOC!$A:$A,"BOM",DATA_GOC!$D:$D,$H6446,DATA_GOC!$E:$E,$C6446,DATA_GOC!$F:$F,"Xuất nội bộ từ téc",DATA_GOC!$B:$B,"&gt;="&amp;$D6446,DATA_GOC!$B:$B,"&lt;="&amp;$E6446))</f>
        <v/>
      </c>
      <c r="J6446" s="59">
        <f t="shared" si="28"/>
        <v>0</v>
      </c>
      <c r="K6446" s="59">
        <f t="shared" si="29"/>
        <v>0</v>
      </c>
      <c r="L6446" s="59">
        <f t="shared" si="30"/>
        <v>0</v>
      </c>
      <c r="M6446" s="59">
        <f t="shared" si="31"/>
        <v>0</v>
      </c>
    </row>
    <row r="6447" ht="15.0" hidden="1" customHeight="1">
      <c r="A6447" s="59">
        <f t="shared" si="20"/>
        <v>104</v>
      </c>
      <c r="B6447" s="59" t="str">
        <f t="shared" si="21"/>
        <v/>
      </c>
      <c r="C6447" s="59" t="str">
        <f t="shared" si="22"/>
        <v/>
      </c>
      <c r="D6447" s="45" t="str">
        <f t="shared" si="23"/>
        <v/>
      </c>
      <c r="E6447" s="45" t="str">
        <f t="shared" si="24"/>
        <v/>
      </c>
      <c r="F6447" s="59" t="str">
        <f t="shared" si="25"/>
        <v/>
      </c>
      <c r="G6447" s="59" t="str">
        <f t="shared" si="26"/>
        <v/>
      </c>
      <c r="H6447" s="59" t="str">
        <f t="shared" si="27"/>
        <v>28H00603</v>
      </c>
      <c r="I6447" s="59" t="str">
        <f>IF(OR($A6447="",$C6447="",$D6447="",$E6447="",$H6447=""),"",SUMIFS(DATA_GOC!$H:$H,DATA_GOC!$A:$A,"BOM",DATA_GOC!$D:$D,$H6447,DATA_GOC!$E:$E,$C6447,DATA_GOC!$F:$F,"Xuất nội bộ từ téc",DATA_GOC!$B:$B,"&gt;="&amp;$D6447,DATA_GOC!$B:$B,"&lt;="&amp;$E6447))</f>
        <v/>
      </c>
      <c r="J6447" s="59">
        <f t="shared" si="28"/>
        <v>0</v>
      </c>
      <c r="K6447" s="59">
        <f t="shared" si="29"/>
        <v>0</v>
      </c>
      <c r="L6447" s="59">
        <f t="shared" si="30"/>
        <v>0</v>
      </c>
      <c r="M6447" s="59">
        <f t="shared" si="31"/>
        <v>0</v>
      </c>
    </row>
    <row r="6448" ht="15.0" hidden="1" customHeight="1">
      <c r="A6448" s="59">
        <f t="shared" si="20"/>
        <v>104</v>
      </c>
      <c r="B6448" s="59" t="str">
        <f t="shared" si="21"/>
        <v/>
      </c>
      <c r="C6448" s="59" t="str">
        <f t="shared" si="22"/>
        <v/>
      </c>
      <c r="D6448" s="45" t="str">
        <f t="shared" si="23"/>
        <v/>
      </c>
      <c r="E6448" s="45" t="str">
        <f t="shared" si="24"/>
        <v/>
      </c>
      <c r="F6448" s="59" t="str">
        <f t="shared" si="25"/>
        <v/>
      </c>
      <c r="G6448" s="59" t="str">
        <f t="shared" si="26"/>
        <v/>
      </c>
      <c r="H6448" s="59" t="str">
        <f t="shared" si="27"/>
        <v>28H00609</v>
      </c>
      <c r="I6448" s="59" t="str">
        <f>IF(OR($A6448="",$C6448="",$D6448="",$E6448="",$H6448=""),"",SUMIFS(DATA_GOC!$H:$H,DATA_GOC!$A:$A,"BOM",DATA_GOC!$D:$D,$H6448,DATA_GOC!$E:$E,$C6448,DATA_GOC!$F:$F,"Xuất nội bộ từ téc",DATA_GOC!$B:$B,"&gt;="&amp;$D6448,DATA_GOC!$B:$B,"&lt;="&amp;$E6448))</f>
        <v/>
      </c>
      <c r="J6448" s="59">
        <f t="shared" si="28"/>
        <v>0</v>
      </c>
      <c r="K6448" s="59">
        <f t="shared" si="29"/>
        <v>0</v>
      </c>
      <c r="L6448" s="59">
        <f t="shared" si="30"/>
        <v>0</v>
      </c>
      <c r="M6448" s="59">
        <f t="shared" si="31"/>
        <v>0</v>
      </c>
    </row>
    <row r="6449" ht="15.0" hidden="1" customHeight="1">
      <c r="A6449" s="59">
        <f t="shared" si="20"/>
        <v>104</v>
      </c>
      <c r="B6449" s="59" t="str">
        <f t="shared" si="21"/>
        <v/>
      </c>
      <c r="C6449" s="59" t="str">
        <f t="shared" si="22"/>
        <v/>
      </c>
      <c r="D6449" s="45" t="str">
        <f t="shared" si="23"/>
        <v/>
      </c>
      <c r="E6449" s="45" t="str">
        <f t="shared" si="24"/>
        <v/>
      </c>
      <c r="F6449" s="59" t="str">
        <f t="shared" si="25"/>
        <v/>
      </c>
      <c r="G6449" s="59" t="str">
        <f t="shared" si="26"/>
        <v/>
      </c>
      <c r="H6449" s="59" t="str">
        <f t="shared" si="27"/>
        <v>28H00669</v>
      </c>
      <c r="I6449" s="59" t="str">
        <f>IF(OR($A6449="",$C6449="",$D6449="",$E6449="",$H6449=""),"",SUMIFS(DATA_GOC!$H:$H,DATA_GOC!$A:$A,"BOM",DATA_GOC!$D:$D,$H6449,DATA_GOC!$E:$E,$C6449,DATA_GOC!$F:$F,"Xuất nội bộ từ téc",DATA_GOC!$B:$B,"&gt;="&amp;$D6449,DATA_GOC!$B:$B,"&lt;="&amp;$E6449))</f>
        <v/>
      </c>
      <c r="J6449" s="59">
        <f t="shared" si="28"/>
        <v>0</v>
      </c>
      <c r="K6449" s="59">
        <f t="shared" si="29"/>
        <v>0</v>
      </c>
      <c r="L6449" s="59">
        <f t="shared" si="30"/>
        <v>0</v>
      </c>
      <c r="M6449" s="59">
        <f t="shared" si="31"/>
        <v>0</v>
      </c>
    </row>
    <row r="6450" ht="15.0" hidden="1" customHeight="1">
      <c r="A6450" s="59">
        <f t="shared" si="20"/>
        <v>104</v>
      </c>
      <c r="B6450" s="59" t="str">
        <f t="shared" si="21"/>
        <v/>
      </c>
      <c r="C6450" s="59" t="str">
        <f t="shared" si="22"/>
        <v/>
      </c>
      <c r="D6450" s="45" t="str">
        <f t="shared" si="23"/>
        <v/>
      </c>
      <c r="E6450" s="45" t="str">
        <f t="shared" si="24"/>
        <v/>
      </c>
      <c r="F6450" s="59" t="str">
        <f t="shared" si="25"/>
        <v/>
      </c>
      <c r="G6450" s="59" t="str">
        <f t="shared" si="26"/>
        <v/>
      </c>
      <c r="H6450" s="59" t="str">
        <f t="shared" si="27"/>
        <v>28H00680</v>
      </c>
      <c r="I6450" s="59" t="str">
        <f>IF(OR($A6450="",$C6450="",$D6450="",$E6450="",$H6450=""),"",SUMIFS(DATA_GOC!$H:$H,DATA_GOC!$A:$A,"BOM",DATA_GOC!$D:$D,$H6450,DATA_GOC!$E:$E,$C6450,DATA_GOC!$F:$F,"Xuất nội bộ từ téc",DATA_GOC!$B:$B,"&gt;="&amp;$D6450,DATA_GOC!$B:$B,"&lt;="&amp;$E6450))</f>
        <v/>
      </c>
      <c r="J6450" s="59">
        <f t="shared" si="28"/>
        <v>0</v>
      </c>
      <c r="K6450" s="59">
        <f t="shared" si="29"/>
        <v>0</v>
      </c>
      <c r="L6450" s="59">
        <f t="shared" si="30"/>
        <v>0</v>
      </c>
      <c r="M6450" s="59">
        <f t="shared" si="31"/>
        <v>0</v>
      </c>
    </row>
    <row r="6451" ht="15.0" hidden="1" customHeight="1">
      <c r="A6451" s="59">
        <f t="shared" si="20"/>
        <v>104</v>
      </c>
      <c r="B6451" s="59" t="str">
        <f t="shared" si="21"/>
        <v/>
      </c>
      <c r="C6451" s="59" t="str">
        <f t="shared" si="22"/>
        <v/>
      </c>
      <c r="D6451" s="45" t="str">
        <f t="shared" si="23"/>
        <v/>
      </c>
      <c r="E6451" s="45" t="str">
        <f t="shared" si="24"/>
        <v/>
      </c>
      <c r="F6451" s="59" t="str">
        <f t="shared" si="25"/>
        <v/>
      </c>
      <c r="G6451" s="59" t="str">
        <f t="shared" si="26"/>
        <v/>
      </c>
      <c r="H6451" s="59" t="str">
        <f t="shared" si="27"/>
        <v>28H01070</v>
      </c>
      <c r="I6451" s="59" t="str">
        <f>IF(OR($A6451="",$C6451="",$D6451="",$E6451="",$H6451=""),"",SUMIFS(DATA_GOC!$H:$H,DATA_GOC!$A:$A,"BOM",DATA_GOC!$D:$D,$H6451,DATA_GOC!$E:$E,$C6451,DATA_GOC!$F:$F,"Xuất nội bộ từ téc",DATA_GOC!$B:$B,"&gt;="&amp;$D6451,DATA_GOC!$B:$B,"&lt;="&amp;$E6451))</f>
        <v/>
      </c>
      <c r="J6451" s="59">
        <f t="shared" si="28"/>
        <v>0</v>
      </c>
      <c r="K6451" s="59">
        <f t="shared" si="29"/>
        <v>0</v>
      </c>
      <c r="L6451" s="59">
        <f t="shared" si="30"/>
        <v>0</v>
      </c>
      <c r="M6451" s="59">
        <f t="shared" si="31"/>
        <v>0</v>
      </c>
    </row>
    <row r="6452" ht="15.0" hidden="1" customHeight="1">
      <c r="A6452" s="59">
        <f t="shared" si="20"/>
        <v>104</v>
      </c>
      <c r="B6452" s="59" t="str">
        <f t="shared" si="21"/>
        <v/>
      </c>
      <c r="C6452" s="59" t="str">
        <f t="shared" si="22"/>
        <v/>
      </c>
      <c r="D6452" s="45" t="str">
        <f t="shared" si="23"/>
        <v/>
      </c>
      <c r="E6452" s="45" t="str">
        <f t="shared" si="24"/>
        <v/>
      </c>
      <c r="F6452" s="59" t="str">
        <f t="shared" si="25"/>
        <v/>
      </c>
      <c r="G6452" s="59" t="str">
        <f t="shared" si="26"/>
        <v/>
      </c>
      <c r="H6452" s="59" t="str">
        <f t="shared" si="27"/>
        <v>28H01364</v>
      </c>
      <c r="I6452" s="59" t="str">
        <f>IF(OR($A6452="",$C6452="",$D6452="",$E6452="",$H6452=""),"",SUMIFS(DATA_GOC!$H:$H,DATA_GOC!$A:$A,"BOM",DATA_GOC!$D:$D,$H6452,DATA_GOC!$E:$E,$C6452,DATA_GOC!$F:$F,"Xuất nội bộ từ téc",DATA_GOC!$B:$B,"&gt;="&amp;$D6452,DATA_GOC!$B:$B,"&lt;="&amp;$E6452))</f>
        <v/>
      </c>
      <c r="J6452" s="59">
        <f t="shared" si="28"/>
        <v>0</v>
      </c>
      <c r="K6452" s="59">
        <f t="shared" si="29"/>
        <v>0</v>
      </c>
      <c r="L6452" s="59">
        <f t="shared" si="30"/>
        <v>0</v>
      </c>
      <c r="M6452" s="59">
        <f t="shared" si="31"/>
        <v>0</v>
      </c>
    </row>
    <row r="6453" ht="15.0" hidden="1" customHeight="1">
      <c r="A6453" s="59">
        <f t="shared" si="20"/>
        <v>104</v>
      </c>
      <c r="B6453" s="59" t="str">
        <f t="shared" si="21"/>
        <v/>
      </c>
      <c r="C6453" s="59" t="str">
        <f t="shared" si="22"/>
        <v/>
      </c>
      <c r="D6453" s="45" t="str">
        <f t="shared" si="23"/>
        <v/>
      </c>
      <c r="E6453" s="45" t="str">
        <f t="shared" si="24"/>
        <v/>
      </c>
      <c r="F6453" s="59" t="str">
        <f t="shared" si="25"/>
        <v/>
      </c>
      <c r="G6453" s="59" t="str">
        <f t="shared" si="26"/>
        <v/>
      </c>
      <c r="H6453" s="59" t="str">
        <f t="shared" si="27"/>
        <v>29E17269</v>
      </c>
      <c r="I6453" s="59" t="str">
        <f>IF(OR($A6453="",$C6453="",$D6453="",$E6453="",$H6453=""),"",SUMIFS(DATA_GOC!$H:$H,DATA_GOC!$A:$A,"BOM",DATA_GOC!$D:$D,$H6453,DATA_GOC!$E:$E,$C6453,DATA_GOC!$F:$F,"Xuất nội bộ từ téc",DATA_GOC!$B:$B,"&gt;="&amp;$D6453,DATA_GOC!$B:$B,"&lt;="&amp;$E6453))</f>
        <v/>
      </c>
      <c r="J6453" s="59">
        <f t="shared" si="28"/>
        <v>0</v>
      </c>
      <c r="K6453" s="59">
        <f t="shared" si="29"/>
        <v>0</v>
      </c>
      <c r="L6453" s="59">
        <f t="shared" si="30"/>
        <v>0</v>
      </c>
      <c r="M6453" s="59">
        <f t="shared" si="31"/>
        <v>0</v>
      </c>
    </row>
    <row r="6454" ht="15.0" hidden="1" customHeight="1">
      <c r="A6454" s="59">
        <f t="shared" si="20"/>
        <v>104</v>
      </c>
      <c r="B6454" s="59" t="str">
        <f t="shared" si="21"/>
        <v/>
      </c>
      <c r="C6454" s="59" t="str">
        <f t="shared" si="22"/>
        <v/>
      </c>
      <c r="D6454" s="45" t="str">
        <f t="shared" si="23"/>
        <v/>
      </c>
      <c r="E6454" s="45" t="str">
        <f t="shared" si="24"/>
        <v/>
      </c>
      <c r="F6454" s="59" t="str">
        <f t="shared" si="25"/>
        <v/>
      </c>
      <c r="G6454" s="59" t="str">
        <f t="shared" si="26"/>
        <v/>
      </c>
      <c r="H6454" s="59" t="str">
        <f t="shared" si="27"/>
        <v>29E17273</v>
      </c>
      <c r="I6454" s="59" t="str">
        <f>IF(OR($A6454="",$C6454="",$D6454="",$E6454="",$H6454=""),"",SUMIFS(DATA_GOC!$H:$H,DATA_GOC!$A:$A,"BOM",DATA_GOC!$D:$D,$H6454,DATA_GOC!$E:$E,$C6454,DATA_GOC!$F:$F,"Xuất nội bộ từ téc",DATA_GOC!$B:$B,"&gt;="&amp;$D6454,DATA_GOC!$B:$B,"&lt;="&amp;$E6454))</f>
        <v/>
      </c>
      <c r="J6454" s="59">
        <f t="shared" si="28"/>
        <v>0</v>
      </c>
      <c r="K6454" s="59">
        <f t="shared" si="29"/>
        <v>0</v>
      </c>
      <c r="L6454" s="59">
        <f t="shared" si="30"/>
        <v>0</v>
      </c>
      <c r="M6454" s="59">
        <f t="shared" si="31"/>
        <v>0</v>
      </c>
    </row>
    <row r="6455" ht="15.0" hidden="1" customHeight="1">
      <c r="A6455" s="59">
        <f t="shared" si="20"/>
        <v>104</v>
      </c>
      <c r="B6455" s="59" t="str">
        <f t="shared" si="21"/>
        <v/>
      </c>
      <c r="C6455" s="59" t="str">
        <f t="shared" si="22"/>
        <v/>
      </c>
      <c r="D6455" s="45" t="str">
        <f t="shared" si="23"/>
        <v/>
      </c>
      <c r="E6455" s="45" t="str">
        <f t="shared" si="24"/>
        <v/>
      </c>
      <c r="F6455" s="59" t="str">
        <f t="shared" si="25"/>
        <v/>
      </c>
      <c r="G6455" s="59" t="str">
        <f t="shared" si="26"/>
        <v/>
      </c>
      <c r="H6455" s="59" t="str">
        <f t="shared" si="27"/>
        <v>29E17410</v>
      </c>
      <c r="I6455" s="59" t="str">
        <f>IF(OR($A6455="",$C6455="",$D6455="",$E6455="",$H6455=""),"",SUMIFS(DATA_GOC!$H:$H,DATA_GOC!$A:$A,"BOM",DATA_GOC!$D:$D,$H6455,DATA_GOC!$E:$E,$C6455,DATA_GOC!$F:$F,"Xuất nội bộ từ téc",DATA_GOC!$B:$B,"&gt;="&amp;$D6455,DATA_GOC!$B:$B,"&lt;="&amp;$E6455))</f>
        <v/>
      </c>
      <c r="J6455" s="59">
        <f t="shared" si="28"/>
        <v>0</v>
      </c>
      <c r="K6455" s="59">
        <f t="shared" si="29"/>
        <v>0</v>
      </c>
      <c r="L6455" s="59">
        <f t="shared" si="30"/>
        <v>0</v>
      </c>
      <c r="M6455" s="59">
        <f t="shared" si="31"/>
        <v>0</v>
      </c>
    </row>
    <row r="6456" ht="15.0" hidden="1" customHeight="1">
      <c r="A6456" s="59">
        <f t="shared" si="20"/>
        <v>104</v>
      </c>
      <c r="B6456" s="59" t="str">
        <f t="shared" si="21"/>
        <v/>
      </c>
      <c r="C6456" s="59" t="str">
        <f t="shared" si="22"/>
        <v/>
      </c>
      <c r="D6456" s="45" t="str">
        <f t="shared" si="23"/>
        <v/>
      </c>
      <c r="E6456" s="45" t="str">
        <f t="shared" si="24"/>
        <v/>
      </c>
      <c r="F6456" s="59" t="str">
        <f t="shared" si="25"/>
        <v/>
      </c>
      <c r="G6456" s="59" t="str">
        <f t="shared" si="26"/>
        <v/>
      </c>
      <c r="H6456" s="59" t="str">
        <f t="shared" si="27"/>
        <v>29E17417</v>
      </c>
      <c r="I6456" s="59" t="str">
        <f>IF(OR($A6456="",$C6456="",$D6456="",$E6456="",$H6456=""),"",SUMIFS(DATA_GOC!$H:$H,DATA_GOC!$A:$A,"BOM",DATA_GOC!$D:$D,$H6456,DATA_GOC!$E:$E,$C6456,DATA_GOC!$F:$F,"Xuất nội bộ từ téc",DATA_GOC!$B:$B,"&gt;="&amp;$D6456,DATA_GOC!$B:$B,"&lt;="&amp;$E6456))</f>
        <v/>
      </c>
      <c r="J6456" s="59">
        <f t="shared" si="28"/>
        <v>0</v>
      </c>
      <c r="K6456" s="59">
        <f t="shared" si="29"/>
        <v>0</v>
      </c>
      <c r="L6456" s="59">
        <f t="shared" si="30"/>
        <v>0</v>
      </c>
      <c r="M6456" s="59">
        <f t="shared" si="31"/>
        <v>0</v>
      </c>
    </row>
    <row r="6457" ht="15.0" hidden="1" customHeight="1">
      <c r="A6457" s="59">
        <f t="shared" si="20"/>
        <v>104</v>
      </c>
      <c r="B6457" s="59" t="str">
        <f t="shared" si="21"/>
        <v/>
      </c>
      <c r="C6457" s="59" t="str">
        <f t="shared" si="22"/>
        <v/>
      </c>
      <c r="D6457" s="45" t="str">
        <f t="shared" si="23"/>
        <v/>
      </c>
      <c r="E6457" s="45" t="str">
        <f t="shared" si="24"/>
        <v/>
      </c>
      <c r="F6457" s="59" t="str">
        <f t="shared" si="25"/>
        <v/>
      </c>
      <c r="G6457" s="59" t="str">
        <f t="shared" si="26"/>
        <v/>
      </c>
      <c r="H6457" s="59" t="str">
        <f t="shared" si="27"/>
        <v>29E17539</v>
      </c>
      <c r="I6457" s="59" t="str">
        <f>IF(OR($A6457="",$C6457="",$D6457="",$E6457="",$H6457=""),"",SUMIFS(DATA_GOC!$H:$H,DATA_GOC!$A:$A,"BOM",DATA_GOC!$D:$D,$H6457,DATA_GOC!$E:$E,$C6457,DATA_GOC!$F:$F,"Xuất nội bộ từ téc",DATA_GOC!$B:$B,"&gt;="&amp;$D6457,DATA_GOC!$B:$B,"&lt;="&amp;$E6457))</f>
        <v/>
      </c>
      <c r="J6457" s="59">
        <f t="shared" si="28"/>
        <v>0</v>
      </c>
      <c r="K6457" s="59">
        <f t="shared" si="29"/>
        <v>0</v>
      </c>
      <c r="L6457" s="59">
        <f t="shared" si="30"/>
        <v>0</v>
      </c>
      <c r="M6457" s="59">
        <f t="shared" si="31"/>
        <v>0</v>
      </c>
    </row>
    <row r="6458" ht="15.0" hidden="1" customHeight="1">
      <c r="A6458" s="59">
        <f t="shared" si="20"/>
        <v>104</v>
      </c>
      <c r="B6458" s="59" t="str">
        <f t="shared" si="21"/>
        <v/>
      </c>
      <c r="C6458" s="59" t="str">
        <f t="shared" si="22"/>
        <v/>
      </c>
      <c r="D6458" s="45" t="str">
        <f t="shared" si="23"/>
        <v/>
      </c>
      <c r="E6458" s="45" t="str">
        <f t="shared" si="24"/>
        <v/>
      </c>
      <c r="F6458" s="59" t="str">
        <f t="shared" si="25"/>
        <v/>
      </c>
      <c r="G6458" s="59" t="str">
        <f t="shared" si="26"/>
        <v/>
      </c>
      <c r="H6458" s="59" t="str">
        <f t="shared" si="27"/>
        <v>29E18160</v>
      </c>
      <c r="I6458" s="59" t="str">
        <f>IF(OR($A6458="",$C6458="",$D6458="",$E6458="",$H6458=""),"",SUMIFS(DATA_GOC!$H:$H,DATA_GOC!$A:$A,"BOM",DATA_GOC!$D:$D,$H6458,DATA_GOC!$E:$E,$C6458,DATA_GOC!$F:$F,"Xuất nội bộ từ téc",DATA_GOC!$B:$B,"&gt;="&amp;$D6458,DATA_GOC!$B:$B,"&lt;="&amp;$E6458))</f>
        <v/>
      </c>
      <c r="J6458" s="59">
        <f t="shared" si="28"/>
        <v>0</v>
      </c>
      <c r="K6458" s="59">
        <f t="shared" si="29"/>
        <v>0</v>
      </c>
      <c r="L6458" s="59">
        <f t="shared" si="30"/>
        <v>0</v>
      </c>
      <c r="M6458" s="59">
        <f t="shared" si="31"/>
        <v>0</v>
      </c>
    </row>
    <row r="6459" ht="15.0" hidden="1" customHeight="1">
      <c r="A6459" s="59">
        <f t="shared" si="20"/>
        <v>104</v>
      </c>
      <c r="B6459" s="59" t="str">
        <f t="shared" si="21"/>
        <v/>
      </c>
      <c r="C6459" s="59" t="str">
        <f t="shared" si="22"/>
        <v/>
      </c>
      <c r="D6459" s="45" t="str">
        <f t="shared" si="23"/>
        <v/>
      </c>
      <c r="E6459" s="45" t="str">
        <f t="shared" si="24"/>
        <v/>
      </c>
      <c r="F6459" s="59" t="str">
        <f t="shared" si="25"/>
        <v/>
      </c>
      <c r="G6459" s="59" t="str">
        <f t="shared" si="26"/>
        <v/>
      </c>
      <c r="H6459" s="59" t="str">
        <f t="shared" si="27"/>
        <v>Công trình Asphalt</v>
      </c>
      <c r="I6459" s="59" t="str">
        <f>IF(OR($A6459="",$C6459="",$D6459="",$E6459="",$H6459=""),"",SUMIFS(DATA_GOC!$H:$H,DATA_GOC!$A:$A,"BOM",DATA_GOC!$D:$D,$H6459,DATA_GOC!$E:$E,$C6459,DATA_GOC!$F:$F,"Xuất nội bộ từ téc",DATA_GOC!$B:$B,"&gt;="&amp;$D6459,DATA_GOC!$B:$B,"&lt;="&amp;$E6459))</f>
        <v/>
      </c>
      <c r="J6459" s="59">
        <f t="shared" si="28"/>
        <v>0</v>
      </c>
      <c r="K6459" s="59">
        <f t="shared" si="29"/>
        <v>0</v>
      </c>
      <c r="L6459" s="59">
        <f t="shared" si="30"/>
        <v>0</v>
      </c>
      <c r="M6459" s="59">
        <f t="shared" si="31"/>
        <v>0</v>
      </c>
    </row>
    <row r="6460" ht="15.0" hidden="1" customHeight="1">
      <c r="A6460" s="59">
        <f t="shared" si="20"/>
        <v>104</v>
      </c>
      <c r="B6460" s="59" t="str">
        <f t="shared" si="21"/>
        <v/>
      </c>
      <c r="C6460" s="59" t="str">
        <f t="shared" si="22"/>
        <v/>
      </c>
      <c r="D6460" s="45" t="str">
        <f t="shared" si="23"/>
        <v/>
      </c>
      <c r="E6460" s="45" t="str">
        <f t="shared" si="24"/>
        <v/>
      </c>
      <c r="F6460" s="59" t="str">
        <f t="shared" si="25"/>
        <v/>
      </c>
      <c r="G6460" s="59" t="str">
        <f t="shared" si="26"/>
        <v/>
      </c>
      <c r="H6460" s="59" t="str">
        <f t="shared" si="27"/>
        <v>LG53F</v>
      </c>
      <c r="I6460" s="59" t="str">
        <f>IF(OR($A6460="",$C6460="",$D6460="",$E6460="",$H6460=""),"",SUMIFS(DATA_GOC!$H:$H,DATA_GOC!$A:$A,"BOM",DATA_GOC!$D:$D,$H6460,DATA_GOC!$E:$E,$C6460,DATA_GOC!$F:$F,"Xuất nội bộ từ téc",DATA_GOC!$B:$B,"&gt;="&amp;$D6460,DATA_GOC!$B:$B,"&lt;="&amp;$E6460))</f>
        <v/>
      </c>
      <c r="J6460" s="59">
        <f t="shared" si="28"/>
        <v>0</v>
      </c>
      <c r="K6460" s="59">
        <f t="shared" si="29"/>
        <v>0</v>
      </c>
      <c r="L6460" s="59">
        <f t="shared" si="30"/>
        <v>0</v>
      </c>
      <c r="M6460" s="59">
        <f t="shared" si="31"/>
        <v>0</v>
      </c>
    </row>
    <row r="6461" ht="15.0" hidden="1" customHeight="1">
      <c r="A6461" s="59">
        <f t="shared" si="20"/>
        <v>104</v>
      </c>
      <c r="B6461" s="59" t="str">
        <f t="shared" si="21"/>
        <v/>
      </c>
      <c r="C6461" s="59" t="str">
        <f t="shared" si="22"/>
        <v/>
      </c>
      <c r="D6461" s="45" t="str">
        <f t="shared" si="23"/>
        <v/>
      </c>
      <c r="E6461" s="45" t="str">
        <f t="shared" si="24"/>
        <v/>
      </c>
      <c r="F6461" s="59" t="str">
        <f t="shared" si="25"/>
        <v/>
      </c>
      <c r="G6461" s="59" t="str">
        <f t="shared" si="26"/>
        <v/>
      </c>
      <c r="H6461" s="59" t="str">
        <f t="shared" si="27"/>
        <v>Máy phát điện</v>
      </c>
      <c r="I6461" s="59" t="str">
        <f>IF(OR($A6461="",$C6461="",$D6461="",$E6461="",$H6461=""),"",SUMIFS(DATA_GOC!$H:$H,DATA_GOC!$A:$A,"BOM",DATA_GOC!$D:$D,$H6461,DATA_GOC!$E:$E,$C6461,DATA_GOC!$F:$F,"Xuất nội bộ từ téc",DATA_GOC!$B:$B,"&gt;="&amp;$D6461,DATA_GOC!$B:$B,"&lt;="&amp;$E6461))</f>
        <v/>
      </c>
      <c r="J6461" s="59">
        <f t="shared" si="28"/>
        <v>0</v>
      </c>
      <c r="K6461" s="59">
        <f t="shared" si="29"/>
        <v>0</v>
      </c>
      <c r="L6461" s="59">
        <f t="shared" si="30"/>
        <v>0</v>
      </c>
      <c r="M6461" s="59">
        <f t="shared" si="31"/>
        <v>0</v>
      </c>
    </row>
    <row r="6462" ht="15.0" hidden="1" customHeight="1">
      <c r="A6462" s="59">
        <f t="shared" si="20"/>
        <v>104</v>
      </c>
      <c r="B6462" s="59" t="str">
        <f t="shared" si="21"/>
        <v/>
      </c>
      <c r="C6462" s="59" t="str">
        <f t="shared" si="22"/>
        <v/>
      </c>
      <c r="D6462" s="45" t="str">
        <f t="shared" si="23"/>
        <v/>
      </c>
      <c r="E6462" s="45" t="str">
        <f t="shared" si="24"/>
        <v/>
      </c>
      <c r="F6462" s="59" t="str">
        <f t="shared" si="25"/>
        <v/>
      </c>
      <c r="G6462" s="59" t="str">
        <f t="shared" si="26"/>
        <v/>
      </c>
      <c r="H6462" s="59" t="str">
        <f t="shared" si="27"/>
        <v>Máy rải thảm</v>
      </c>
      <c r="I6462" s="59" t="str">
        <f>IF(OR($A6462="",$C6462="",$D6462="",$E6462="",$H6462=""),"",SUMIFS(DATA_GOC!$H:$H,DATA_GOC!$A:$A,"BOM",DATA_GOC!$D:$D,$H6462,DATA_GOC!$E:$E,$C6462,DATA_GOC!$F:$F,"Xuất nội bộ từ téc",DATA_GOC!$B:$B,"&gt;="&amp;$D6462,DATA_GOC!$B:$B,"&lt;="&amp;$E6462))</f>
        <v/>
      </c>
      <c r="J6462" s="59">
        <f t="shared" si="28"/>
        <v>0</v>
      </c>
      <c r="K6462" s="59">
        <f t="shared" si="29"/>
        <v>0</v>
      </c>
      <c r="L6462" s="59">
        <f t="shared" si="30"/>
        <v>0</v>
      </c>
      <c r="M6462" s="59">
        <f t="shared" si="31"/>
        <v>0</v>
      </c>
    </row>
    <row r="6463" ht="15.0" hidden="1" customHeight="1">
      <c r="A6463" s="59">
        <f t="shared" si="20"/>
        <v>104</v>
      </c>
      <c r="B6463" s="59" t="str">
        <f t="shared" si="21"/>
        <v/>
      </c>
      <c r="C6463" s="59" t="str">
        <f t="shared" si="22"/>
        <v/>
      </c>
      <c r="D6463" s="45" t="str">
        <f t="shared" si="23"/>
        <v/>
      </c>
      <c r="E6463" s="45" t="str">
        <f t="shared" si="24"/>
        <v/>
      </c>
      <c r="F6463" s="59" t="str">
        <f t="shared" si="25"/>
        <v/>
      </c>
      <c r="G6463" s="59" t="str">
        <f t="shared" si="26"/>
        <v/>
      </c>
      <c r="H6463" s="59" t="str">
        <f t="shared" si="27"/>
        <v>Xúc Đào</v>
      </c>
      <c r="I6463" s="59" t="str">
        <f>IF(OR($A6463="",$C6463="",$D6463="",$E6463="",$H6463=""),"",SUMIFS(DATA_GOC!$H:$H,DATA_GOC!$A:$A,"BOM",DATA_GOC!$D:$D,$H6463,DATA_GOC!$E:$E,$C6463,DATA_GOC!$F:$F,"Xuất nội bộ từ téc",DATA_GOC!$B:$B,"&gt;="&amp;$D6463,DATA_GOC!$B:$B,"&lt;="&amp;$E6463))</f>
        <v/>
      </c>
      <c r="J6463" s="59">
        <f t="shared" si="28"/>
        <v>0</v>
      </c>
      <c r="K6463" s="59">
        <f t="shared" si="29"/>
        <v>0</v>
      </c>
      <c r="L6463" s="59">
        <f t="shared" si="30"/>
        <v>0</v>
      </c>
      <c r="M6463" s="59">
        <f t="shared" si="31"/>
        <v>0</v>
      </c>
    </row>
    <row r="6464" ht="15.0" hidden="1" customHeight="1">
      <c r="A6464" s="59">
        <f t="shared" si="20"/>
        <v>104</v>
      </c>
      <c r="B6464" s="59" t="str">
        <f t="shared" si="21"/>
        <v/>
      </c>
      <c r="C6464" s="59" t="str">
        <f t="shared" si="22"/>
        <v/>
      </c>
      <c r="D6464" s="45" t="str">
        <f t="shared" si="23"/>
        <v/>
      </c>
      <c r="E6464" s="45" t="str">
        <f t="shared" si="24"/>
        <v/>
      </c>
      <c r="F6464" s="59" t="str">
        <f t="shared" si="25"/>
        <v/>
      </c>
      <c r="G6464" s="59" t="str">
        <f t="shared" si="26"/>
        <v/>
      </c>
      <c r="H6464" s="59" t="str">
        <f t="shared" si="27"/>
        <v>Xúclật asphalt</v>
      </c>
      <c r="I6464" s="59" t="str">
        <f>IF(OR($A6464="",$C6464="",$D6464="",$E6464="",$H6464=""),"",SUMIFS(DATA_GOC!$H:$H,DATA_GOC!$A:$A,"BOM",DATA_GOC!$D:$D,$H6464,DATA_GOC!$E:$E,$C6464,DATA_GOC!$F:$F,"Xuất nội bộ từ téc",DATA_GOC!$B:$B,"&gt;="&amp;$D6464,DATA_GOC!$B:$B,"&lt;="&amp;$E6464))</f>
        <v/>
      </c>
      <c r="J6464" s="59">
        <f t="shared" si="28"/>
        <v>0</v>
      </c>
      <c r="K6464" s="59">
        <f t="shared" si="29"/>
        <v>0</v>
      </c>
      <c r="L6464" s="59">
        <f t="shared" si="30"/>
        <v>0</v>
      </c>
      <c r="M6464" s="59">
        <f t="shared" si="31"/>
        <v>0</v>
      </c>
    </row>
    <row r="6465" ht="15.0" hidden="1" customHeight="1">
      <c r="A6465" s="59">
        <f t="shared" si="20"/>
        <v>104</v>
      </c>
      <c r="B6465" s="59" t="str">
        <f t="shared" si="21"/>
        <v/>
      </c>
      <c r="C6465" s="59" t="str">
        <f t="shared" si="22"/>
        <v/>
      </c>
      <c r="D6465" s="45" t="str">
        <f t="shared" si="23"/>
        <v/>
      </c>
      <c r="E6465" s="45" t="str">
        <f t="shared" si="24"/>
        <v/>
      </c>
      <c r="F6465" s="59" t="str">
        <f t="shared" si="25"/>
        <v/>
      </c>
      <c r="G6465" s="59" t="str">
        <f t="shared" si="26"/>
        <v/>
      </c>
      <c r="H6465" s="59" t="str">
        <f t="shared" si="27"/>
        <v>Xúclật855H</v>
      </c>
      <c r="I6465" s="59" t="str">
        <f>IF(OR($A6465="",$C6465="",$D6465="",$E6465="",$H6465=""),"",SUMIFS(DATA_GOC!$H:$H,DATA_GOC!$A:$A,"BOM",DATA_GOC!$D:$D,$H6465,DATA_GOC!$E:$E,$C6465,DATA_GOC!$F:$F,"Xuất nội bộ từ téc",DATA_GOC!$B:$B,"&gt;="&amp;$D6465,DATA_GOC!$B:$B,"&lt;="&amp;$E6465))</f>
        <v/>
      </c>
      <c r="J6465" s="59">
        <f t="shared" si="28"/>
        <v>0</v>
      </c>
      <c r="K6465" s="59">
        <f t="shared" si="29"/>
        <v>0</v>
      </c>
      <c r="L6465" s="59">
        <f t="shared" si="30"/>
        <v>0</v>
      </c>
      <c r="M6465" s="59">
        <f t="shared" si="31"/>
        <v>0</v>
      </c>
    </row>
    <row r="6466" ht="15.0" hidden="1" customHeight="1">
      <c r="A6466" s="59">
        <f t="shared" si="20"/>
        <v>104</v>
      </c>
      <c r="B6466" s="59" t="str">
        <f t="shared" si="21"/>
        <v/>
      </c>
      <c r="C6466" s="59" t="str">
        <f t="shared" si="22"/>
        <v/>
      </c>
      <c r="D6466" s="45" t="str">
        <f t="shared" si="23"/>
        <v/>
      </c>
      <c r="E6466" s="45" t="str">
        <f t="shared" si="24"/>
        <v/>
      </c>
      <c r="F6466" s="59" t="str">
        <f t="shared" si="25"/>
        <v/>
      </c>
      <c r="G6466" s="59" t="str">
        <f t="shared" si="26"/>
        <v/>
      </c>
      <c r="H6466" s="59" t="str">
        <f t="shared" si="27"/>
        <v>Xúclật855N</v>
      </c>
      <c r="I6466" s="59" t="str">
        <f>IF(OR($A6466="",$C6466="",$D6466="",$E6466="",$H6466=""),"",SUMIFS(DATA_GOC!$H:$H,DATA_GOC!$A:$A,"BOM",DATA_GOC!$D:$D,$H6466,DATA_GOC!$E:$E,$C6466,DATA_GOC!$F:$F,"Xuất nội bộ từ téc",DATA_GOC!$B:$B,"&gt;="&amp;$D6466,DATA_GOC!$B:$B,"&lt;="&amp;$E6466))</f>
        <v/>
      </c>
      <c r="J6466" s="59">
        <f t="shared" si="28"/>
        <v>0</v>
      </c>
      <c r="K6466" s="59">
        <f t="shared" si="29"/>
        <v>0</v>
      </c>
      <c r="L6466" s="59">
        <f t="shared" si="30"/>
        <v>0</v>
      </c>
      <c r="M6466" s="59">
        <f t="shared" si="31"/>
        <v>0</v>
      </c>
    </row>
    <row r="6467" ht="15.0" hidden="1" customHeight="1">
      <c r="A6467" s="59">
        <f t="shared" si="20"/>
        <v>104</v>
      </c>
      <c r="B6467" s="59" t="str">
        <f t="shared" si="21"/>
        <v/>
      </c>
      <c r="C6467" s="59" t="str">
        <f t="shared" si="22"/>
        <v/>
      </c>
      <c r="D6467" s="45" t="str">
        <f t="shared" si="23"/>
        <v/>
      </c>
      <c r="E6467" s="45" t="str">
        <f t="shared" si="24"/>
        <v/>
      </c>
      <c r="F6467" s="59" t="str">
        <f t="shared" si="25"/>
        <v/>
      </c>
      <c r="G6467" s="59" t="str">
        <f t="shared" si="26"/>
        <v/>
      </c>
      <c r="H6467" s="59" t="str">
        <f t="shared" si="27"/>
        <v>Cát nghiền</v>
      </c>
      <c r="I6467" s="59" t="str">
        <f>IF(OR($A6467="",$C6467="",$D6467="",$E6467="",$H6467=""),"",SUMIFS(DATA_GOC!$H:$H,DATA_GOC!$A:$A,"BOM",DATA_GOC!$D:$D,$H6467,DATA_GOC!$E:$E,$C6467,DATA_GOC!$F:$F,"Xuất nội bộ từ téc",DATA_GOC!$B:$B,"&gt;="&amp;$D6467,DATA_GOC!$B:$B,"&lt;="&amp;$E6467))</f>
        <v/>
      </c>
      <c r="J6467" s="59">
        <f t="shared" si="28"/>
        <v>0</v>
      </c>
      <c r="K6467" s="59">
        <f t="shared" si="29"/>
        <v>0</v>
      </c>
      <c r="L6467" s="59">
        <f t="shared" si="30"/>
        <v>0</v>
      </c>
      <c r="M6467" s="59">
        <f t="shared" si="31"/>
        <v>0</v>
      </c>
    </row>
    <row r="6468" ht="15.0" hidden="1" customHeight="1">
      <c r="A6468" s="59">
        <f t="shared" si="20"/>
        <v>104</v>
      </c>
      <c r="B6468" s="59" t="str">
        <f t="shared" si="21"/>
        <v/>
      </c>
      <c r="C6468" s="59" t="str">
        <f t="shared" si="22"/>
        <v/>
      </c>
      <c r="D6468" s="45" t="str">
        <f t="shared" si="23"/>
        <v/>
      </c>
      <c r="E6468" s="45" t="str">
        <f t="shared" si="24"/>
        <v/>
      </c>
      <c r="F6468" s="59" t="str">
        <f t="shared" si="25"/>
        <v/>
      </c>
      <c r="G6468" s="59" t="str">
        <f t="shared" si="26"/>
        <v/>
      </c>
      <c r="H6468" s="59" t="str">
        <f t="shared" si="27"/>
        <v>28C02973</v>
      </c>
      <c r="I6468" s="59" t="str">
        <f>IF(OR($A6468="",$C6468="",$D6468="",$E6468="",$H6468=""),"",SUMIFS(DATA_GOC!$H:$H,DATA_GOC!$A:$A,"BOM",DATA_GOC!$D:$D,$H6468,DATA_GOC!$E:$E,$C6468,DATA_GOC!$F:$F,"Xuất nội bộ từ téc",DATA_GOC!$B:$B,"&gt;="&amp;$D6468,DATA_GOC!$B:$B,"&lt;="&amp;$E6468))</f>
        <v/>
      </c>
      <c r="J6468" s="59">
        <f t="shared" si="28"/>
        <v>0</v>
      </c>
      <c r="K6468" s="59">
        <f t="shared" si="29"/>
        <v>0</v>
      </c>
      <c r="L6468" s="59">
        <f t="shared" si="30"/>
        <v>0</v>
      </c>
      <c r="M6468" s="59">
        <f t="shared" si="31"/>
        <v>0</v>
      </c>
    </row>
    <row r="6469" ht="15.0" hidden="1" customHeight="1">
      <c r="A6469" s="59">
        <f t="shared" si="20"/>
        <v>104</v>
      </c>
      <c r="B6469" s="59" t="str">
        <f t="shared" si="21"/>
        <v/>
      </c>
      <c r="C6469" s="59" t="str">
        <f t="shared" si="22"/>
        <v/>
      </c>
      <c r="D6469" s="45" t="str">
        <f t="shared" si="23"/>
        <v/>
      </c>
      <c r="E6469" s="45" t="str">
        <f t="shared" si="24"/>
        <v/>
      </c>
      <c r="F6469" s="59" t="str">
        <f t="shared" si="25"/>
        <v/>
      </c>
      <c r="G6469" s="59" t="str">
        <f t="shared" si="26"/>
        <v/>
      </c>
      <c r="H6469" s="59" t="str">
        <f t="shared" si="27"/>
        <v>28C03044</v>
      </c>
      <c r="I6469" s="59" t="str">
        <f>IF(OR($A6469="",$C6469="",$D6469="",$E6469="",$H6469=""),"",SUMIFS(DATA_GOC!$H:$H,DATA_GOC!$A:$A,"BOM",DATA_GOC!$D:$D,$H6469,DATA_GOC!$E:$E,$C6469,DATA_GOC!$F:$F,"Xuất nội bộ từ téc",DATA_GOC!$B:$B,"&gt;="&amp;$D6469,DATA_GOC!$B:$B,"&lt;="&amp;$E6469))</f>
        <v/>
      </c>
      <c r="J6469" s="59">
        <f t="shared" si="28"/>
        <v>0</v>
      </c>
      <c r="K6469" s="59">
        <f t="shared" si="29"/>
        <v>0</v>
      </c>
      <c r="L6469" s="59">
        <f t="shared" si="30"/>
        <v>0</v>
      </c>
      <c r="M6469" s="59">
        <f t="shared" si="31"/>
        <v>0</v>
      </c>
    </row>
    <row r="6470" ht="15.0" hidden="1" customHeight="1">
      <c r="A6470" s="59">
        <f t="shared" si="20"/>
        <v>104</v>
      </c>
      <c r="B6470" s="59" t="str">
        <f t="shared" si="21"/>
        <v/>
      </c>
      <c r="C6470" s="59" t="str">
        <f t="shared" si="22"/>
        <v/>
      </c>
      <c r="D6470" s="45" t="str">
        <f t="shared" si="23"/>
        <v/>
      </c>
      <c r="E6470" s="45" t="str">
        <f t="shared" si="24"/>
        <v/>
      </c>
      <c r="F6470" s="59" t="str">
        <f t="shared" si="25"/>
        <v/>
      </c>
      <c r="G6470" s="59" t="str">
        <f t="shared" si="26"/>
        <v/>
      </c>
      <c r="H6470" s="59" t="str">
        <f t="shared" si="27"/>
        <v>Máy lu lốp</v>
      </c>
      <c r="I6470" s="59" t="str">
        <f>IF(OR($A6470="",$C6470="",$D6470="",$E6470="",$H6470=""),"",SUMIFS(DATA_GOC!$H:$H,DATA_GOC!$A:$A,"BOM",DATA_GOC!$D:$D,$H6470,DATA_GOC!$E:$E,$C6470,DATA_GOC!$F:$F,"Xuất nội bộ từ téc",DATA_GOC!$B:$B,"&gt;="&amp;$D6470,DATA_GOC!$B:$B,"&lt;="&amp;$E6470))</f>
        <v/>
      </c>
      <c r="J6470" s="59">
        <f t="shared" si="28"/>
        <v>0</v>
      </c>
      <c r="K6470" s="59">
        <f t="shared" si="29"/>
        <v>0</v>
      </c>
      <c r="L6470" s="59">
        <f t="shared" si="30"/>
        <v>0</v>
      </c>
      <c r="M6470" s="59">
        <f t="shared" si="31"/>
        <v>0</v>
      </c>
    </row>
    <row r="6471" ht="15.0" hidden="1" customHeight="1">
      <c r="A6471" s="59">
        <f t="shared" si="20"/>
        <v>104</v>
      </c>
      <c r="B6471" s="59" t="str">
        <f t="shared" si="21"/>
        <v/>
      </c>
      <c r="C6471" s="59" t="str">
        <f t="shared" si="22"/>
        <v/>
      </c>
      <c r="D6471" s="45" t="str">
        <f t="shared" si="23"/>
        <v/>
      </c>
      <c r="E6471" s="45" t="str">
        <f t="shared" si="24"/>
        <v/>
      </c>
      <c r="F6471" s="59" t="str">
        <f t="shared" si="25"/>
        <v/>
      </c>
      <c r="G6471" s="59" t="str">
        <f t="shared" si="26"/>
        <v/>
      </c>
      <c r="H6471" s="59" t="str">
        <f t="shared" si="27"/>
        <v>Xe 600148</v>
      </c>
      <c r="I6471" s="59" t="str">
        <f>IF(OR($A6471="",$C6471="",$D6471="",$E6471="",$H6471=""),"",SUMIFS(DATA_GOC!$H:$H,DATA_GOC!$A:$A,"BOM",DATA_GOC!$D:$D,$H6471,DATA_GOC!$E:$E,$C6471,DATA_GOC!$F:$F,"Xuất nội bộ từ téc",DATA_GOC!$B:$B,"&gt;="&amp;$D6471,DATA_GOC!$B:$B,"&lt;="&amp;$E6471))</f>
        <v/>
      </c>
      <c r="J6471" s="59">
        <f t="shared" si="28"/>
        <v>0</v>
      </c>
      <c r="K6471" s="59">
        <f t="shared" si="29"/>
        <v>0</v>
      </c>
      <c r="L6471" s="59">
        <f t="shared" si="30"/>
        <v>0</v>
      </c>
      <c r="M6471" s="59">
        <f t="shared" si="31"/>
        <v>0</v>
      </c>
    </row>
    <row r="6472" ht="15.0" hidden="1" customHeight="1">
      <c r="A6472" s="59">
        <f t="shared" si="20"/>
        <v>104</v>
      </c>
      <c r="B6472" s="59" t="str">
        <f t="shared" si="21"/>
        <v/>
      </c>
      <c r="C6472" s="59" t="str">
        <f t="shared" si="22"/>
        <v/>
      </c>
      <c r="D6472" s="45" t="str">
        <f t="shared" si="23"/>
        <v/>
      </c>
      <c r="E6472" s="45" t="str">
        <f t="shared" si="24"/>
        <v/>
      </c>
      <c r="F6472" s="59" t="str">
        <f t="shared" si="25"/>
        <v/>
      </c>
      <c r="G6472" s="59" t="str">
        <f t="shared" si="26"/>
        <v/>
      </c>
      <c r="H6472" s="59" t="str">
        <f t="shared" si="27"/>
        <v>Xe ben mới</v>
      </c>
      <c r="I6472" s="59" t="str">
        <f>IF(OR($A6472="",$C6472="",$D6472="",$E6472="",$H6472=""),"",SUMIFS(DATA_GOC!$H:$H,DATA_GOC!$A:$A,"BOM",DATA_GOC!$D:$D,$H6472,DATA_GOC!$E:$E,$C6472,DATA_GOC!$F:$F,"Xuất nội bộ từ téc",DATA_GOC!$B:$B,"&gt;="&amp;$D6472,DATA_GOC!$B:$B,"&lt;="&amp;$E6472))</f>
        <v/>
      </c>
      <c r="J6472" s="59">
        <f t="shared" si="28"/>
        <v>0</v>
      </c>
      <c r="K6472" s="59">
        <f t="shared" si="29"/>
        <v>0</v>
      </c>
      <c r="L6472" s="59">
        <f t="shared" si="30"/>
        <v>0</v>
      </c>
      <c r="M6472" s="59">
        <f t="shared" si="31"/>
        <v>0</v>
      </c>
    </row>
    <row r="6473" ht="15.0" hidden="1" customHeight="1">
      <c r="A6473" s="59">
        <f t="shared" si="20"/>
        <v>105</v>
      </c>
      <c r="B6473" s="59" t="str">
        <f t="shared" si="21"/>
        <v/>
      </c>
      <c r="C6473" s="59" t="str">
        <f t="shared" si="22"/>
        <v/>
      </c>
      <c r="D6473" s="45" t="str">
        <f t="shared" si="23"/>
        <v/>
      </c>
      <c r="E6473" s="45" t="str">
        <f t="shared" si="24"/>
        <v/>
      </c>
      <c r="F6473" s="59" t="str">
        <f t="shared" si="25"/>
        <v/>
      </c>
      <c r="G6473" s="59" t="str">
        <f t="shared" si="26"/>
        <v/>
      </c>
      <c r="H6473" s="59" t="str">
        <f t="shared" si="27"/>
        <v>19H09482</v>
      </c>
      <c r="I6473" s="59" t="str">
        <f>IF(OR($A6473="",$C6473="",$D6473="",$E6473="",$H6473=""),"",SUMIFS(DATA_GOC!$H:$H,DATA_GOC!$A:$A,"BOM",DATA_GOC!$D:$D,$H6473,DATA_GOC!$E:$E,$C6473,DATA_GOC!$F:$F,"Xuất nội bộ từ téc",DATA_GOC!$B:$B,"&gt;="&amp;$D6473,DATA_GOC!$B:$B,"&lt;="&amp;$E6473))</f>
        <v/>
      </c>
      <c r="J6473" s="59">
        <f t="shared" si="28"/>
        <v>0</v>
      </c>
      <c r="K6473" s="59">
        <f t="shared" si="29"/>
        <v>0</v>
      </c>
      <c r="L6473" s="59">
        <f t="shared" si="30"/>
        <v>0</v>
      </c>
      <c r="M6473" s="59">
        <f t="shared" si="31"/>
        <v>0</v>
      </c>
    </row>
    <row r="6474" ht="15.0" hidden="1" customHeight="1">
      <c r="A6474" s="59">
        <f t="shared" si="20"/>
        <v>105</v>
      </c>
      <c r="B6474" s="59" t="str">
        <f t="shared" si="21"/>
        <v/>
      </c>
      <c r="C6474" s="59" t="str">
        <f t="shared" si="22"/>
        <v/>
      </c>
      <c r="D6474" s="45" t="str">
        <f t="shared" si="23"/>
        <v/>
      </c>
      <c r="E6474" s="45" t="str">
        <f t="shared" si="24"/>
        <v/>
      </c>
      <c r="F6474" s="59" t="str">
        <f t="shared" si="25"/>
        <v/>
      </c>
      <c r="G6474" s="59" t="str">
        <f t="shared" si="26"/>
        <v/>
      </c>
      <c r="H6474" s="59" t="str">
        <f t="shared" si="27"/>
        <v>28A30696</v>
      </c>
      <c r="I6474" s="59" t="str">
        <f>IF(OR($A6474="",$C6474="",$D6474="",$E6474="",$H6474=""),"",SUMIFS(DATA_GOC!$H:$H,DATA_GOC!$A:$A,"BOM",DATA_GOC!$D:$D,$H6474,DATA_GOC!$E:$E,$C6474,DATA_GOC!$F:$F,"Xuất nội bộ từ téc",DATA_GOC!$B:$B,"&gt;="&amp;$D6474,DATA_GOC!$B:$B,"&lt;="&amp;$E6474))</f>
        <v/>
      </c>
      <c r="J6474" s="59">
        <f t="shared" si="28"/>
        <v>0</v>
      </c>
      <c r="K6474" s="59">
        <f t="shared" si="29"/>
        <v>0</v>
      </c>
      <c r="L6474" s="59">
        <f t="shared" si="30"/>
        <v>0</v>
      </c>
      <c r="M6474" s="59">
        <f t="shared" si="31"/>
        <v>0</v>
      </c>
    </row>
    <row r="6475" ht="15.0" hidden="1" customHeight="1">
      <c r="A6475" s="59">
        <f t="shared" si="20"/>
        <v>105</v>
      </c>
      <c r="B6475" s="59" t="str">
        <f t="shared" si="21"/>
        <v/>
      </c>
      <c r="C6475" s="59" t="str">
        <f t="shared" si="22"/>
        <v/>
      </c>
      <c r="D6475" s="45" t="str">
        <f t="shared" si="23"/>
        <v/>
      </c>
      <c r="E6475" s="45" t="str">
        <f t="shared" si="24"/>
        <v/>
      </c>
      <c r="F6475" s="59" t="str">
        <f t="shared" si="25"/>
        <v/>
      </c>
      <c r="G6475" s="59" t="str">
        <f t="shared" si="26"/>
        <v/>
      </c>
      <c r="H6475" s="59" t="str">
        <f t="shared" si="27"/>
        <v>28C00462</v>
      </c>
      <c r="I6475" s="59" t="str">
        <f>IF(OR($A6475="",$C6475="",$D6475="",$E6475="",$H6475=""),"",SUMIFS(DATA_GOC!$H:$H,DATA_GOC!$A:$A,"BOM",DATA_GOC!$D:$D,$H6475,DATA_GOC!$E:$E,$C6475,DATA_GOC!$F:$F,"Xuất nội bộ từ téc",DATA_GOC!$B:$B,"&gt;="&amp;$D6475,DATA_GOC!$B:$B,"&lt;="&amp;$E6475))</f>
        <v/>
      </c>
      <c r="J6475" s="59">
        <f t="shared" si="28"/>
        <v>0</v>
      </c>
      <c r="K6475" s="59">
        <f t="shared" si="29"/>
        <v>0</v>
      </c>
      <c r="L6475" s="59">
        <f t="shared" si="30"/>
        <v>0</v>
      </c>
      <c r="M6475" s="59">
        <f t="shared" si="31"/>
        <v>0</v>
      </c>
    </row>
    <row r="6476" ht="15.0" hidden="1" customHeight="1">
      <c r="A6476" s="59">
        <f t="shared" si="20"/>
        <v>105</v>
      </c>
      <c r="B6476" s="59" t="str">
        <f t="shared" si="21"/>
        <v/>
      </c>
      <c r="C6476" s="59" t="str">
        <f t="shared" si="22"/>
        <v/>
      </c>
      <c r="D6476" s="45" t="str">
        <f t="shared" si="23"/>
        <v/>
      </c>
      <c r="E6476" s="45" t="str">
        <f t="shared" si="24"/>
        <v/>
      </c>
      <c r="F6476" s="59" t="str">
        <f t="shared" si="25"/>
        <v/>
      </c>
      <c r="G6476" s="59" t="str">
        <f t="shared" si="26"/>
        <v/>
      </c>
      <c r="H6476" s="59" t="str">
        <f t="shared" si="27"/>
        <v>28C01165</v>
      </c>
      <c r="I6476" s="59" t="str">
        <f>IF(OR($A6476="",$C6476="",$D6476="",$E6476="",$H6476=""),"",SUMIFS(DATA_GOC!$H:$H,DATA_GOC!$A:$A,"BOM",DATA_GOC!$D:$D,$H6476,DATA_GOC!$E:$E,$C6476,DATA_GOC!$F:$F,"Xuất nội bộ từ téc",DATA_GOC!$B:$B,"&gt;="&amp;$D6476,DATA_GOC!$B:$B,"&lt;="&amp;$E6476))</f>
        <v/>
      </c>
      <c r="J6476" s="59">
        <f t="shared" si="28"/>
        <v>0</v>
      </c>
      <c r="K6476" s="59">
        <f t="shared" si="29"/>
        <v>0</v>
      </c>
      <c r="L6476" s="59">
        <f t="shared" si="30"/>
        <v>0</v>
      </c>
      <c r="M6476" s="59">
        <f t="shared" si="31"/>
        <v>0</v>
      </c>
    </row>
    <row r="6477" ht="15.0" hidden="1" customHeight="1">
      <c r="A6477" s="59">
        <f t="shared" si="20"/>
        <v>105</v>
      </c>
      <c r="B6477" s="59" t="str">
        <f t="shared" si="21"/>
        <v/>
      </c>
      <c r="C6477" s="59" t="str">
        <f t="shared" si="22"/>
        <v/>
      </c>
      <c r="D6477" s="45" t="str">
        <f t="shared" si="23"/>
        <v/>
      </c>
      <c r="E6477" s="45" t="str">
        <f t="shared" si="24"/>
        <v/>
      </c>
      <c r="F6477" s="59" t="str">
        <f t="shared" si="25"/>
        <v/>
      </c>
      <c r="G6477" s="59" t="str">
        <f t="shared" si="26"/>
        <v/>
      </c>
      <c r="H6477" s="59" t="str">
        <f t="shared" si="27"/>
        <v>28C01406</v>
      </c>
      <c r="I6477" s="59" t="str">
        <f>IF(OR($A6477="",$C6477="",$D6477="",$E6477="",$H6477=""),"",SUMIFS(DATA_GOC!$H:$H,DATA_GOC!$A:$A,"BOM",DATA_GOC!$D:$D,$H6477,DATA_GOC!$E:$E,$C6477,DATA_GOC!$F:$F,"Xuất nội bộ từ téc",DATA_GOC!$B:$B,"&gt;="&amp;$D6477,DATA_GOC!$B:$B,"&lt;="&amp;$E6477))</f>
        <v/>
      </c>
      <c r="J6477" s="59">
        <f t="shared" si="28"/>
        <v>0</v>
      </c>
      <c r="K6477" s="59">
        <f t="shared" si="29"/>
        <v>0</v>
      </c>
      <c r="L6477" s="59">
        <f t="shared" si="30"/>
        <v>0</v>
      </c>
      <c r="M6477" s="59">
        <f t="shared" si="31"/>
        <v>0</v>
      </c>
    </row>
    <row r="6478" ht="15.0" hidden="1" customHeight="1">
      <c r="A6478" s="59">
        <f t="shared" si="20"/>
        <v>105</v>
      </c>
      <c r="B6478" s="59" t="str">
        <f t="shared" si="21"/>
        <v/>
      </c>
      <c r="C6478" s="59" t="str">
        <f t="shared" si="22"/>
        <v/>
      </c>
      <c r="D6478" s="45" t="str">
        <f t="shared" si="23"/>
        <v/>
      </c>
      <c r="E6478" s="45" t="str">
        <f t="shared" si="24"/>
        <v/>
      </c>
      <c r="F6478" s="59" t="str">
        <f t="shared" si="25"/>
        <v/>
      </c>
      <c r="G6478" s="59" t="str">
        <f t="shared" si="26"/>
        <v/>
      </c>
      <c r="H6478" s="59" t="str">
        <f t="shared" si="27"/>
        <v>28C01544</v>
      </c>
      <c r="I6478" s="59" t="str">
        <f>IF(OR($A6478="",$C6478="",$D6478="",$E6478="",$H6478=""),"",SUMIFS(DATA_GOC!$H:$H,DATA_GOC!$A:$A,"BOM",DATA_GOC!$D:$D,$H6478,DATA_GOC!$E:$E,$C6478,DATA_GOC!$F:$F,"Xuất nội bộ từ téc",DATA_GOC!$B:$B,"&gt;="&amp;$D6478,DATA_GOC!$B:$B,"&lt;="&amp;$E6478))</f>
        <v/>
      </c>
      <c r="J6478" s="59">
        <f t="shared" si="28"/>
        <v>0</v>
      </c>
      <c r="K6478" s="59">
        <f t="shared" si="29"/>
        <v>0</v>
      </c>
      <c r="L6478" s="59">
        <f t="shared" si="30"/>
        <v>0</v>
      </c>
      <c r="M6478" s="59">
        <f t="shared" si="31"/>
        <v>0</v>
      </c>
    </row>
    <row r="6479" ht="15.0" hidden="1" customHeight="1">
      <c r="A6479" s="59">
        <f t="shared" si="20"/>
        <v>105</v>
      </c>
      <c r="B6479" s="59" t="str">
        <f t="shared" si="21"/>
        <v/>
      </c>
      <c r="C6479" s="59" t="str">
        <f t="shared" si="22"/>
        <v/>
      </c>
      <c r="D6479" s="45" t="str">
        <f t="shared" si="23"/>
        <v/>
      </c>
      <c r="E6479" s="45" t="str">
        <f t="shared" si="24"/>
        <v/>
      </c>
      <c r="F6479" s="59" t="str">
        <f t="shared" si="25"/>
        <v/>
      </c>
      <c r="G6479" s="59" t="str">
        <f t="shared" si="26"/>
        <v/>
      </c>
      <c r="H6479" s="59" t="str">
        <f t="shared" si="27"/>
        <v>28C01622</v>
      </c>
      <c r="I6479" s="59" t="str">
        <f>IF(OR($A6479="",$C6479="",$D6479="",$E6479="",$H6479=""),"",SUMIFS(DATA_GOC!$H:$H,DATA_GOC!$A:$A,"BOM",DATA_GOC!$D:$D,$H6479,DATA_GOC!$E:$E,$C6479,DATA_GOC!$F:$F,"Xuất nội bộ từ téc",DATA_GOC!$B:$B,"&gt;="&amp;$D6479,DATA_GOC!$B:$B,"&lt;="&amp;$E6479))</f>
        <v/>
      </c>
      <c r="J6479" s="59">
        <f t="shared" si="28"/>
        <v>0</v>
      </c>
      <c r="K6479" s="59">
        <f t="shared" si="29"/>
        <v>0</v>
      </c>
      <c r="L6479" s="59">
        <f t="shared" si="30"/>
        <v>0</v>
      </c>
      <c r="M6479" s="59">
        <f t="shared" si="31"/>
        <v>0</v>
      </c>
    </row>
    <row r="6480" ht="15.0" hidden="1" customHeight="1">
      <c r="A6480" s="59">
        <f t="shared" si="20"/>
        <v>105</v>
      </c>
      <c r="B6480" s="59" t="str">
        <f t="shared" si="21"/>
        <v/>
      </c>
      <c r="C6480" s="59" t="str">
        <f t="shared" si="22"/>
        <v/>
      </c>
      <c r="D6480" s="45" t="str">
        <f t="shared" si="23"/>
        <v/>
      </c>
      <c r="E6480" s="45" t="str">
        <f t="shared" si="24"/>
        <v/>
      </c>
      <c r="F6480" s="59" t="str">
        <f t="shared" si="25"/>
        <v/>
      </c>
      <c r="G6480" s="59" t="str">
        <f t="shared" si="26"/>
        <v/>
      </c>
      <c r="H6480" s="59" t="str">
        <f t="shared" si="27"/>
        <v>28C01647</v>
      </c>
      <c r="I6480" s="59" t="str">
        <f>IF(OR($A6480="",$C6480="",$D6480="",$E6480="",$H6480=""),"",SUMIFS(DATA_GOC!$H:$H,DATA_GOC!$A:$A,"BOM",DATA_GOC!$D:$D,$H6480,DATA_GOC!$E:$E,$C6480,DATA_GOC!$F:$F,"Xuất nội bộ từ téc",DATA_GOC!$B:$B,"&gt;="&amp;$D6480,DATA_GOC!$B:$B,"&lt;="&amp;$E6480))</f>
        <v/>
      </c>
      <c r="J6480" s="59">
        <f t="shared" si="28"/>
        <v>0</v>
      </c>
      <c r="K6480" s="59">
        <f t="shared" si="29"/>
        <v>0</v>
      </c>
      <c r="L6480" s="59">
        <f t="shared" si="30"/>
        <v>0</v>
      </c>
      <c r="M6480" s="59">
        <f t="shared" si="31"/>
        <v>0</v>
      </c>
    </row>
    <row r="6481" ht="15.0" hidden="1" customHeight="1">
      <c r="A6481" s="59">
        <f t="shared" si="20"/>
        <v>105</v>
      </c>
      <c r="B6481" s="59" t="str">
        <f t="shared" si="21"/>
        <v/>
      </c>
      <c r="C6481" s="59" t="str">
        <f t="shared" si="22"/>
        <v/>
      </c>
      <c r="D6481" s="45" t="str">
        <f t="shared" si="23"/>
        <v/>
      </c>
      <c r="E6481" s="45" t="str">
        <f t="shared" si="24"/>
        <v/>
      </c>
      <c r="F6481" s="59" t="str">
        <f t="shared" si="25"/>
        <v/>
      </c>
      <c r="G6481" s="59" t="str">
        <f t="shared" si="26"/>
        <v/>
      </c>
      <c r="H6481" s="59" t="str">
        <f t="shared" si="27"/>
        <v>28C01731</v>
      </c>
      <c r="I6481" s="59" t="str">
        <f>IF(OR($A6481="",$C6481="",$D6481="",$E6481="",$H6481=""),"",SUMIFS(DATA_GOC!$H:$H,DATA_GOC!$A:$A,"BOM",DATA_GOC!$D:$D,$H6481,DATA_GOC!$E:$E,$C6481,DATA_GOC!$F:$F,"Xuất nội bộ từ téc",DATA_GOC!$B:$B,"&gt;="&amp;$D6481,DATA_GOC!$B:$B,"&lt;="&amp;$E6481))</f>
        <v/>
      </c>
      <c r="J6481" s="59">
        <f t="shared" si="28"/>
        <v>0</v>
      </c>
      <c r="K6481" s="59">
        <f t="shared" si="29"/>
        <v>0</v>
      </c>
      <c r="L6481" s="59">
        <f t="shared" si="30"/>
        <v>0</v>
      </c>
      <c r="M6481" s="59">
        <f t="shared" si="31"/>
        <v>0</v>
      </c>
    </row>
    <row r="6482" ht="15.0" hidden="1" customHeight="1">
      <c r="A6482" s="59">
        <f t="shared" si="20"/>
        <v>105</v>
      </c>
      <c r="B6482" s="59" t="str">
        <f t="shared" si="21"/>
        <v/>
      </c>
      <c r="C6482" s="59" t="str">
        <f t="shared" si="22"/>
        <v/>
      </c>
      <c r="D6482" s="45" t="str">
        <f t="shared" si="23"/>
        <v/>
      </c>
      <c r="E6482" s="45" t="str">
        <f t="shared" si="24"/>
        <v/>
      </c>
      <c r="F6482" s="59" t="str">
        <f t="shared" si="25"/>
        <v/>
      </c>
      <c r="G6482" s="59" t="str">
        <f t="shared" si="26"/>
        <v/>
      </c>
      <c r="H6482" s="59" t="str">
        <f t="shared" si="27"/>
        <v>28C01743</v>
      </c>
      <c r="I6482" s="59" t="str">
        <f>IF(OR($A6482="",$C6482="",$D6482="",$E6482="",$H6482=""),"",SUMIFS(DATA_GOC!$H:$H,DATA_GOC!$A:$A,"BOM",DATA_GOC!$D:$D,$H6482,DATA_GOC!$E:$E,$C6482,DATA_GOC!$F:$F,"Xuất nội bộ từ téc",DATA_GOC!$B:$B,"&gt;="&amp;$D6482,DATA_GOC!$B:$B,"&lt;="&amp;$E6482))</f>
        <v/>
      </c>
      <c r="J6482" s="59">
        <f t="shared" si="28"/>
        <v>0</v>
      </c>
      <c r="K6482" s="59">
        <f t="shared" si="29"/>
        <v>0</v>
      </c>
      <c r="L6482" s="59">
        <f t="shared" si="30"/>
        <v>0</v>
      </c>
      <c r="M6482" s="59">
        <f t="shared" si="31"/>
        <v>0</v>
      </c>
    </row>
    <row r="6483" ht="15.0" hidden="1" customHeight="1">
      <c r="A6483" s="59">
        <f t="shared" si="20"/>
        <v>105</v>
      </c>
      <c r="B6483" s="59" t="str">
        <f t="shared" si="21"/>
        <v/>
      </c>
      <c r="C6483" s="59" t="str">
        <f t="shared" si="22"/>
        <v/>
      </c>
      <c r="D6483" s="45" t="str">
        <f t="shared" si="23"/>
        <v/>
      </c>
      <c r="E6483" s="45" t="str">
        <f t="shared" si="24"/>
        <v/>
      </c>
      <c r="F6483" s="59" t="str">
        <f t="shared" si="25"/>
        <v/>
      </c>
      <c r="G6483" s="59" t="str">
        <f t="shared" si="26"/>
        <v/>
      </c>
      <c r="H6483" s="59" t="str">
        <f t="shared" si="27"/>
        <v>28C02106</v>
      </c>
      <c r="I6483" s="59" t="str">
        <f>IF(OR($A6483="",$C6483="",$D6483="",$E6483="",$H6483=""),"",SUMIFS(DATA_GOC!$H:$H,DATA_GOC!$A:$A,"BOM",DATA_GOC!$D:$D,$H6483,DATA_GOC!$E:$E,$C6483,DATA_GOC!$F:$F,"Xuất nội bộ từ téc",DATA_GOC!$B:$B,"&gt;="&amp;$D6483,DATA_GOC!$B:$B,"&lt;="&amp;$E6483))</f>
        <v/>
      </c>
      <c r="J6483" s="59">
        <f t="shared" si="28"/>
        <v>0</v>
      </c>
      <c r="K6483" s="59">
        <f t="shared" si="29"/>
        <v>0</v>
      </c>
      <c r="L6483" s="59">
        <f t="shared" si="30"/>
        <v>0</v>
      </c>
      <c r="M6483" s="59">
        <f t="shared" si="31"/>
        <v>0</v>
      </c>
    </row>
    <row r="6484" ht="15.0" hidden="1" customHeight="1">
      <c r="A6484" s="59">
        <f t="shared" si="20"/>
        <v>105</v>
      </c>
      <c r="B6484" s="59" t="str">
        <f t="shared" si="21"/>
        <v/>
      </c>
      <c r="C6484" s="59" t="str">
        <f t="shared" si="22"/>
        <v/>
      </c>
      <c r="D6484" s="45" t="str">
        <f t="shared" si="23"/>
        <v/>
      </c>
      <c r="E6484" s="45" t="str">
        <f t="shared" si="24"/>
        <v/>
      </c>
      <c r="F6484" s="59" t="str">
        <f t="shared" si="25"/>
        <v/>
      </c>
      <c r="G6484" s="59" t="str">
        <f t="shared" si="26"/>
        <v/>
      </c>
      <c r="H6484" s="59" t="str">
        <f t="shared" si="27"/>
        <v>28C02410</v>
      </c>
      <c r="I6484" s="59" t="str">
        <f>IF(OR($A6484="",$C6484="",$D6484="",$E6484="",$H6484=""),"",SUMIFS(DATA_GOC!$H:$H,DATA_GOC!$A:$A,"BOM",DATA_GOC!$D:$D,$H6484,DATA_GOC!$E:$E,$C6484,DATA_GOC!$F:$F,"Xuất nội bộ từ téc",DATA_GOC!$B:$B,"&gt;="&amp;$D6484,DATA_GOC!$B:$B,"&lt;="&amp;$E6484))</f>
        <v/>
      </c>
      <c r="J6484" s="59">
        <f t="shared" si="28"/>
        <v>0</v>
      </c>
      <c r="K6484" s="59">
        <f t="shared" si="29"/>
        <v>0</v>
      </c>
      <c r="L6484" s="59">
        <f t="shared" si="30"/>
        <v>0</v>
      </c>
      <c r="M6484" s="59">
        <f t="shared" si="31"/>
        <v>0</v>
      </c>
    </row>
    <row r="6485" ht="15.0" hidden="1" customHeight="1">
      <c r="A6485" s="59">
        <f t="shared" si="20"/>
        <v>105</v>
      </c>
      <c r="B6485" s="59" t="str">
        <f t="shared" si="21"/>
        <v/>
      </c>
      <c r="C6485" s="59" t="str">
        <f t="shared" si="22"/>
        <v/>
      </c>
      <c r="D6485" s="45" t="str">
        <f t="shared" si="23"/>
        <v/>
      </c>
      <c r="E6485" s="45" t="str">
        <f t="shared" si="24"/>
        <v/>
      </c>
      <c r="F6485" s="59" t="str">
        <f t="shared" si="25"/>
        <v/>
      </c>
      <c r="G6485" s="59" t="str">
        <f t="shared" si="26"/>
        <v/>
      </c>
      <c r="H6485" s="59" t="str">
        <f t="shared" si="27"/>
        <v>28C02545</v>
      </c>
      <c r="I6485" s="59" t="str">
        <f>IF(OR($A6485="",$C6485="",$D6485="",$E6485="",$H6485=""),"",SUMIFS(DATA_GOC!$H:$H,DATA_GOC!$A:$A,"BOM",DATA_GOC!$D:$D,$H6485,DATA_GOC!$E:$E,$C6485,DATA_GOC!$F:$F,"Xuất nội bộ từ téc",DATA_GOC!$B:$B,"&gt;="&amp;$D6485,DATA_GOC!$B:$B,"&lt;="&amp;$E6485))</f>
        <v/>
      </c>
      <c r="J6485" s="59">
        <f t="shared" si="28"/>
        <v>0</v>
      </c>
      <c r="K6485" s="59">
        <f t="shared" si="29"/>
        <v>0</v>
      </c>
      <c r="L6485" s="59">
        <f t="shared" si="30"/>
        <v>0</v>
      </c>
      <c r="M6485" s="59">
        <f t="shared" si="31"/>
        <v>0</v>
      </c>
    </row>
    <row r="6486" ht="15.0" hidden="1" customHeight="1">
      <c r="A6486" s="59">
        <f t="shared" si="20"/>
        <v>105</v>
      </c>
      <c r="B6486" s="59" t="str">
        <f t="shared" si="21"/>
        <v/>
      </c>
      <c r="C6486" s="59" t="str">
        <f t="shared" si="22"/>
        <v/>
      </c>
      <c r="D6486" s="45" t="str">
        <f t="shared" si="23"/>
        <v/>
      </c>
      <c r="E6486" s="45" t="str">
        <f t="shared" si="24"/>
        <v/>
      </c>
      <c r="F6486" s="59" t="str">
        <f t="shared" si="25"/>
        <v/>
      </c>
      <c r="G6486" s="59" t="str">
        <f t="shared" si="26"/>
        <v/>
      </c>
      <c r="H6486" s="59" t="str">
        <f t="shared" si="27"/>
        <v>28C02574</v>
      </c>
      <c r="I6486" s="59" t="str">
        <f>IF(OR($A6486="",$C6486="",$D6486="",$E6486="",$H6486=""),"",SUMIFS(DATA_GOC!$H:$H,DATA_GOC!$A:$A,"BOM",DATA_GOC!$D:$D,$H6486,DATA_GOC!$E:$E,$C6486,DATA_GOC!$F:$F,"Xuất nội bộ từ téc",DATA_GOC!$B:$B,"&gt;="&amp;$D6486,DATA_GOC!$B:$B,"&lt;="&amp;$E6486))</f>
        <v/>
      </c>
      <c r="J6486" s="59">
        <f t="shared" si="28"/>
        <v>0</v>
      </c>
      <c r="K6486" s="59">
        <f t="shared" si="29"/>
        <v>0</v>
      </c>
      <c r="L6486" s="59">
        <f t="shared" si="30"/>
        <v>0</v>
      </c>
      <c r="M6486" s="59">
        <f t="shared" si="31"/>
        <v>0</v>
      </c>
    </row>
    <row r="6487" ht="15.0" hidden="1" customHeight="1">
      <c r="A6487" s="59">
        <f t="shared" si="20"/>
        <v>105</v>
      </c>
      <c r="B6487" s="59" t="str">
        <f t="shared" si="21"/>
        <v/>
      </c>
      <c r="C6487" s="59" t="str">
        <f t="shared" si="22"/>
        <v/>
      </c>
      <c r="D6487" s="45" t="str">
        <f t="shared" si="23"/>
        <v/>
      </c>
      <c r="E6487" s="45" t="str">
        <f t="shared" si="24"/>
        <v/>
      </c>
      <c r="F6487" s="59" t="str">
        <f t="shared" si="25"/>
        <v/>
      </c>
      <c r="G6487" s="59" t="str">
        <f t="shared" si="26"/>
        <v/>
      </c>
      <c r="H6487" s="59" t="str">
        <f t="shared" si="27"/>
        <v>28C02770</v>
      </c>
      <c r="I6487" s="59" t="str">
        <f>IF(OR($A6487="",$C6487="",$D6487="",$E6487="",$H6487=""),"",SUMIFS(DATA_GOC!$H:$H,DATA_GOC!$A:$A,"BOM",DATA_GOC!$D:$D,$H6487,DATA_GOC!$E:$E,$C6487,DATA_GOC!$F:$F,"Xuất nội bộ từ téc",DATA_GOC!$B:$B,"&gt;="&amp;$D6487,DATA_GOC!$B:$B,"&lt;="&amp;$E6487))</f>
        <v/>
      </c>
      <c r="J6487" s="59">
        <f t="shared" si="28"/>
        <v>0</v>
      </c>
      <c r="K6487" s="59">
        <f t="shared" si="29"/>
        <v>0</v>
      </c>
      <c r="L6487" s="59">
        <f t="shared" si="30"/>
        <v>0</v>
      </c>
      <c r="M6487" s="59">
        <f t="shared" si="31"/>
        <v>0</v>
      </c>
    </row>
    <row r="6488" ht="15.0" hidden="1" customHeight="1">
      <c r="A6488" s="59">
        <f t="shared" si="20"/>
        <v>105</v>
      </c>
      <c r="B6488" s="59" t="str">
        <f t="shared" si="21"/>
        <v/>
      </c>
      <c r="C6488" s="59" t="str">
        <f t="shared" si="22"/>
        <v/>
      </c>
      <c r="D6488" s="45" t="str">
        <f t="shared" si="23"/>
        <v/>
      </c>
      <c r="E6488" s="45" t="str">
        <f t="shared" si="24"/>
        <v/>
      </c>
      <c r="F6488" s="59" t="str">
        <f t="shared" si="25"/>
        <v/>
      </c>
      <c r="G6488" s="59" t="str">
        <f t="shared" si="26"/>
        <v/>
      </c>
      <c r="H6488" s="59" t="str">
        <f t="shared" si="27"/>
        <v>28C02986</v>
      </c>
      <c r="I6488" s="59" t="str">
        <f>IF(OR($A6488="",$C6488="",$D6488="",$E6488="",$H6488=""),"",SUMIFS(DATA_GOC!$H:$H,DATA_GOC!$A:$A,"BOM",DATA_GOC!$D:$D,$H6488,DATA_GOC!$E:$E,$C6488,DATA_GOC!$F:$F,"Xuất nội bộ từ téc",DATA_GOC!$B:$B,"&gt;="&amp;$D6488,DATA_GOC!$B:$B,"&lt;="&amp;$E6488))</f>
        <v/>
      </c>
      <c r="J6488" s="59">
        <f t="shared" si="28"/>
        <v>0</v>
      </c>
      <c r="K6488" s="59">
        <f t="shared" si="29"/>
        <v>0</v>
      </c>
      <c r="L6488" s="59">
        <f t="shared" si="30"/>
        <v>0</v>
      </c>
      <c r="M6488" s="59">
        <f t="shared" si="31"/>
        <v>0</v>
      </c>
    </row>
    <row r="6489" ht="15.0" hidden="1" customHeight="1">
      <c r="A6489" s="59">
        <f t="shared" si="20"/>
        <v>105</v>
      </c>
      <c r="B6489" s="59" t="str">
        <f t="shared" si="21"/>
        <v/>
      </c>
      <c r="C6489" s="59" t="str">
        <f t="shared" si="22"/>
        <v/>
      </c>
      <c r="D6489" s="45" t="str">
        <f t="shared" si="23"/>
        <v/>
      </c>
      <c r="E6489" s="45" t="str">
        <f t="shared" si="24"/>
        <v/>
      </c>
      <c r="F6489" s="59" t="str">
        <f t="shared" si="25"/>
        <v/>
      </c>
      <c r="G6489" s="59" t="str">
        <f t="shared" si="26"/>
        <v/>
      </c>
      <c r="H6489" s="59" t="str">
        <f t="shared" si="27"/>
        <v>28C03261</v>
      </c>
      <c r="I6489" s="59" t="str">
        <f>IF(OR($A6489="",$C6489="",$D6489="",$E6489="",$H6489=""),"",SUMIFS(DATA_GOC!$H:$H,DATA_GOC!$A:$A,"BOM",DATA_GOC!$D:$D,$H6489,DATA_GOC!$E:$E,$C6489,DATA_GOC!$F:$F,"Xuất nội bộ từ téc",DATA_GOC!$B:$B,"&gt;="&amp;$D6489,DATA_GOC!$B:$B,"&lt;="&amp;$E6489))</f>
        <v/>
      </c>
      <c r="J6489" s="59">
        <f t="shared" si="28"/>
        <v>0</v>
      </c>
      <c r="K6489" s="59">
        <f t="shared" si="29"/>
        <v>0</v>
      </c>
      <c r="L6489" s="59">
        <f t="shared" si="30"/>
        <v>0</v>
      </c>
      <c r="M6489" s="59">
        <f t="shared" si="31"/>
        <v>0</v>
      </c>
    </row>
    <row r="6490" ht="15.0" hidden="1" customHeight="1">
      <c r="A6490" s="59">
        <f t="shared" si="20"/>
        <v>105</v>
      </c>
      <c r="B6490" s="59" t="str">
        <f t="shared" si="21"/>
        <v/>
      </c>
      <c r="C6490" s="59" t="str">
        <f t="shared" si="22"/>
        <v/>
      </c>
      <c r="D6490" s="45" t="str">
        <f t="shared" si="23"/>
        <v/>
      </c>
      <c r="E6490" s="45" t="str">
        <f t="shared" si="24"/>
        <v/>
      </c>
      <c r="F6490" s="59" t="str">
        <f t="shared" si="25"/>
        <v/>
      </c>
      <c r="G6490" s="59" t="str">
        <f t="shared" si="26"/>
        <v/>
      </c>
      <c r="H6490" s="59" t="str">
        <f t="shared" si="27"/>
        <v>28C03323</v>
      </c>
      <c r="I6490" s="59" t="str">
        <f>IF(OR($A6490="",$C6490="",$D6490="",$E6490="",$H6490=""),"",SUMIFS(DATA_GOC!$H:$H,DATA_GOC!$A:$A,"BOM",DATA_GOC!$D:$D,$H6490,DATA_GOC!$E:$E,$C6490,DATA_GOC!$F:$F,"Xuất nội bộ từ téc",DATA_GOC!$B:$B,"&gt;="&amp;$D6490,DATA_GOC!$B:$B,"&lt;="&amp;$E6490))</f>
        <v/>
      </c>
      <c r="J6490" s="59">
        <f t="shared" si="28"/>
        <v>0</v>
      </c>
      <c r="K6490" s="59">
        <f t="shared" si="29"/>
        <v>0</v>
      </c>
      <c r="L6490" s="59">
        <f t="shared" si="30"/>
        <v>0</v>
      </c>
      <c r="M6490" s="59">
        <f t="shared" si="31"/>
        <v>0</v>
      </c>
    </row>
    <row r="6491" ht="15.0" hidden="1" customHeight="1">
      <c r="A6491" s="59">
        <f t="shared" si="20"/>
        <v>105</v>
      </c>
      <c r="B6491" s="59" t="str">
        <f t="shared" si="21"/>
        <v/>
      </c>
      <c r="C6491" s="59" t="str">
        <f t="shared" si="22"/>
        <v/>
      </c>
      <c r="D6491" s="45" t="str">
        <f t="shared" si="23"/>
        <v/>
      </c>
      <c r="E6491" s="45" t="str">
        <f t="shared" si="24"/>
        <v/>
      </c>
      <c r="F6491" s="59" t="str">
        <f t="shared" si="25"/>
        <v/>
      </c>
      <c r="G6491" s="59" t="str">
        <f t="shared" si="26"/>
        <v/>
      </c>
      <c r="H6491" s="59" t="str">
        <f t="shared" si="27"/>
        <v>28C03385</v>
      </c>
      <c r="I6491" s="59" t="str">
        <f>IF(OR($A6491="",$C6491="",$D6491="",$E6491="",$H6491=""),"",SUMIFS(DATA_GOC!$H:$H,DATA_GOC!$A:$A,"BOM",DATA_GOC!$D:$D,$H6491,DATA_GOC!$E:$E,$C6491,DATA_GOC!$F:$F,"Xuất nội bộ từ téc",DATA_GOC!$B:$B,"&gt;="&amp;$D6491,DATA_GOC!$B:$B,"&lt;="&amp;$E6491))</f>
        <v/>
      </c>
      <c r="J6491" s="59">
        <f t="shared" si="28"/>
        <v>0</v>
      </c>
      <c r="K6491" s="59">
        <f t="shared" si="29"/>
        <v>0</v>
      </c>
      <c r="L6491" s="59">
        <f t="shared" si="30"/>
        <v>0</v>
      </c>
      <c r="M6491" s="59">
        <f t="shared" si="31"/>
        <v>0</v>
      </c>
    </row>
    <row r="6492" ht="15.0" hidden="1" customHeight="1">
      <c r="A6492" s="59">
        <f t="shared" si="20"/>
        <v>105</v>
      </c>
      <c r="B6492" s="59" t="str">
        <f t="shared" si="21"/>
        <v/>
      </c>
      <c r="C6492" s="59" t="str">
        <f t="shared" si="22"/>
        <v/>
      </c>
      <c r="D6492" s="45" t="str">
        <f t="shared" si="23"/>
        <v/>
      </c>
      <c r="E6492" s="45" t="str">
        <f t="shared" si="24"/>
        <v/>
      </c>
      <c r="F6492" s="59" t="str">
        <f t="shared" si="25"/>
        <v/>
      </c>
      <c r="G6492" s="59" t="str">
        <f t="shared" si="26"/>
        <v/>
      </c>
      <c r="H6492" s="59" t="str">
        <f t="shared" si="27"/>
        <v>28C03652</v>
      </c>
      <c r="I6492" s="59" t="str">
        <f>IF(OR($A6492="",$C6492="",$D6492="",$E6492="",$H6492=""),"",SUMIFS(DATA_GOC!$H:$H,DATA_GOC!$A:$A,"BOM",DATA_GOC!$D:$D,$H6492,DATA_GOC!$E:$E,$C6492,DATA_GOC!$F:$F,"Xuất nội bộ từ téc",DATA_GOC!$B:$B,"&gt;="&amp;$D6492,DATA_GOC!$B:$B,"&lt;="&amp;$E6492))</f>
        <v/>
      </c>
      <c r="J6492" s="59">
        <f t="shared" si="28"/>
        <v>0</v>
      </c>
      <c r="K6492" s="59">
        <f t="shared" si="29"/>
        <v>0</v>
      </c>
      <c r="L6492" s="59">
        <f t="shared" si="30"/>
        <v>0</v>
      </c>
      <c r="M6492" s="59">
        <f t="shared" si="31"/>
        <v>0</v>
      </c>
    </row>
    <row r="6493" ht="15.0" hidden="1" customHeight="1">
      <c r="A6493" s="59">
        <f t="shared" si="20"/>
        <v>105</v>
      </c>
      <c r="B6493" s="59" t="str">
        <f t="shared" si="21"/>
        <v/>
      </c>
      <c r="C6493" s="59" t="str">
        <f t="shared" si="22"/>
        <v/>
      </c>
      <c r="D6493" s="45" t="str">
        <f t="shared" si="23"/>
        <v/>
      </c>
      <c r="E6493" s="45" t="str">
        <f t="shared" si="24"/>
        <v/>
      </c>
      <c r="F6493" s="59" t="str">
        <f t="shared" si="25"/>
        <v/>
      </c>
      <c r="G6493" s="59" t="str">
        <f t="shared" si="26"/>
        <v/>
      </c>
      <c r="H6493" s="59" t="str">
        <f t="shared" si="27"/>
        <v>28C03695</v>
      </c>
      <c r="I6493" s="59" t="str">
        <f>IF(OR($A6493="",$C6493="",$D6493="",$E6493="",$H6493=""),"",SUMIFS(DATA_GOC!$H:$H,DATA_GOC!$A:$A,"BOM",DATA_GOC!$D:$D,$H6493,DATA_GOC!$E:$E,$C6493,DATA_GOC!$F:$F,"Xuất nội bộ từ téc",DATA_GOC!$B:$B,"&gt;="&amp;$D6493,DATA_GOC!$B:$B,"&lt;="&amp;$E6493))</f>
        <v/>
      </c>
      <c r="J6493" s="59">
        <f t="shared" si="28"/>
        <v>0</v>
      </c>
      <c r="K6493" s="59">
        <f t="shared" si="29"/>
        <v>0</v>
      </c>
      <c r="L6493" s="59">
        <f t="shared" si="30"/>
        <v>0</v>
      </c>
      <c r="M6493" s="59">
        <f t="shared" si="31"/>
        <v>0</v>
      </c>
    </row>
    <row r="6494" ht="15.0" hidden="1" customHeight="1">
      <c r="A6494" s="59">
        <f t="shared" si="20"/>
        <v>105</v>
      </c>
      <c r="B6494" s="59" t="str">
        <f t="shared" si="21"/>
        <v/>
      </c>
      <c r="C6494" s="59" t="str">
        <f t="shared" si="22"/>
        <v/>
      </c>
      <c r="D6494" s="45" t="str">
        <f t="shared" si="23"/>
        <v/>
      </c>
      <c r="E6494" s="45" t="str">
        <f t="shared" si="24"/>
        <v/>
      </c>
      <c r="F6494" s="59" t="str">
        <f t="shared" si="25"/>
        <v/>
      </c>
      <c r="G6494" s="59" t="str">
        <f t="shared" si="26"/>
        <v/>
      </c>
      <c r="H6494" s="59" t="str">
        <f t="shared" si="27"/>
        <v>28C03927</v>
      </c>
      <c r="I6494" s="59" t="str">
        <f>IF(OR($A6494="",$C6494="",$D6494="",$E6494="",$H6494=""),"",SUMIFS(DATA_GOC!$H:$H,DATA_GOC!$A:$A,"BOM",DATA_GOC!$D:$D,$H6494,DATA_GOC!$E:$E,$C6494,DATA_GOC!$F:$F,"Xuất nội bộ từ téc",DATA_GOC!$B:$B,"&gt;="&amp;$D6494,DATA_GOC!$B:$B,"&lt;="&amp;$E6494))</f>
        <v/>
      </c>
      <c r="J6494" s="59">
        <f t="shared" si="28"/>
        <v>0</v>
      </c>
      <c r="K6494" s="59">
        <f t="shared" si="29"/>
        <v>0</v>
      </c>
      <c r="L6494" s="59">
        <f t="shared" si="30"/>
        <v>0</v>
      </c>
      <c r="M6494" s="59">
        <f t="shared" si="31"/>
        <v>0</v>
      </c>
    </row>
    <row r="6495" ht="15.0" hidden="1" customHeight="1">
      <c r="A6495" s="59">
        <f t="shared" si="20"/>
        <v>105</v>
      </c>
      <c r="B6495" s="59" t="str">
        <f t="shared" si="21"/>
        <v/>
      </c>
      <c r="C6495" s="59" t="str">
        <f t="shared" si="22"/>
        <v/>
      </c>
      <c r="D6495" s="45" t="str">
        <f t="shared" si="23"/>
        <v/>
      </c>
      <c r="E6495" s="45" t="str">
        <f t="shared" si="24"/>
        <v/>
      </c>
      <c r="F6495" s="59" t="str">
        <f t="shared" si="25"/>
        <v/>
      </c>
      <c r="G6495" s="59" t="str">
        <f t="shared" si="26"/>
        <v/>
      </c>
      <c r="H6495" s="59" t="str">
        <f t="shared" si="27"/>
        <v>28C04509</v>
      </c>
      <c r="I6495" s="59" t="str">
        <f>IF(OR($A6495="",$C6495="",$D6495="",$E6495="",$H6495=""),"",SUMIFS(DATA_GOC!$H:$H,DATA_GOC!$A:$A,"BOM",DATA_GOC!$D:$D,$H6495,DATA_GOC!$E:$E,$C6495,DATA_GOC!$F:$F,"Xuất nội bộ từ téc",DATA_GOC!$B:$B,"&gt;="&amp;$D6495,DATA_GOC!$B:$B,"&lt;="&amp;$E6495))</f>
        <v/>
      </c>
      <c r="J6495" s="59">
        <f t="shared" si="28"/>
        <v>0</v>
      </c>
      <c r="K6495" s="59">
        <f t="shared" si="29"/>
        <v>0</v>
      </c>
      <c r="L6495" s="59">
        <f t="shared" si="30"/>
        <v>0</v>
      </c>
      <c r="M6495" s="59">
        <f t="shared" si="31"/>
        <v>0</v>
      </c>
    </row>
    <row r="6496" ht="15.0" hidden="1" customHeight="1">
      <c r="A6496" s="59">
        <f t="shared" si="20"/>
        <v>105</v>
      </c>
      <c r="B6496" s="59" t="str">
        <f t="shared" si="21"/>
        <v/>
      </c>
      <c r="C6496" s="59" t="str">
        <f t="shared" si="22"/>
        <v/>
      </c>
      <c r="D6496" s="45" t="str">
        <f t="shared" si="23"/>
        <v/>
      </c>
      <c r="E6496" s="45" t="str">
        <f t="shared" si="24"/>
        <v/>
      </c>
      <c r="F6496" s="59" t="str">
        <f t="shared" si="25"/>
        <v/>
      </c>
      <c r="G6496" s="59" t="str">
        <f t="shared" si="26"/>
        <v/>
      </c>
      <c r="H6496" s="59" t="str">
        <f t="shared" si="27"/>
        <v>28C04536</v>
      </c>
      <c r="I6496" s="59" t="str">
        <f>IF(OR($A6496="",$C6496="",$D6496="",$E6496="",$H6496=""),"",SUMIFS(DATA_GOC!$H:$H,DATA_GOC!$A:$A,"BOM",DATA_GOC!$D:$D,$H6496,DATA_GOC!$E:$E,$C6496,DATA_GOC!$F:$F,"Xuất nội bộ từ téc",DATA_GOC!$B:$B,"&gt;="&amp;$D6496,DATA_GOC!$B:$B,"&lt;="&amp;$E6496))</f>
        <v/>
      </c>
      <c r="J6496" s="59">
        <f t="shared" si="28"/>
        <v>0</v>
      </c>
      <c r="K6496" s="59">
        <f t="shared" si="29"/>
        <v>0</v>
      </c>
      <c r="L6496" s="59">
        <f t="shared" si="30"/>
        <v>0</v>
      </c>
      <c r="M6496" s="59">
        <f t="shared" si="31"/>
        <v>0</v>
      </c>
    </row>
    <row r="6497" ht="15.0" hidden="1" customHeight="1">
      <c r="A6497" s="59">
        <f t="shared" si="20"/>
        <v>105</v>
      </c>
      <c r="B6497" s="59" t="str">
        <f t="shared" si="21"/>
        <v/>
      </c>
      <c r="C6497" s="59" t="str">
        <f t="shared" si="22"/>
        <v/>
      </c>
      <c r="D6497" s="45" t="str">
        <f t="shared" si="23"/>
        <v/>
      </c>
      <c r="E6497" s="45" t="str">
        <f t="shared" si="24"/>
        <v/>
      </c>
      <c r="F6497" s="59" t="str">
        <f t="shared" si="25"/>
        <v/>
      </c>
      <c r="G6497" s="59" t="str">
        <f t="shared" si="26"/>
        <v/>
      </c>
      <c r="H6497" s="59" t="str">
        <f t="shared" si="27"/>
        <v>28C04576</v>
      </c>
      <c r="I6497" s="59" t="str">
        <f>IF(OR($A6497="",$C6497="",$D6497="",$E6497="",$H6497=""),"",SUMIFS(DATA_GOC!$H:$H,DATA_GOC!$A:$A,"BOM",DATA_GOC!$D:$D,$H6497,DATA_GOC!$E:$E,$C6497,DATA_GOC!$F:$F,"Xuất nội bộ từ téc",DATA_GOC!$B:$B,"&gt;="&amp;$D6497,DATA_GOC!$B:$B,"&lt;="&amp;$E6497))</f>
        <v/>
      </c>
      <c r="J6497" s="59">
        <f t="shared" si="28"/>
        <v>0</v>
      </c>
      <c r="K6497" s="59">
        <f t="shared" si="29"/>
        <v>0</v>
      </c>
      <c r="L6497" s="59">
        <f t="shared" si="30"/>
        <v>0</v>
      </c>
      <c r="M6497" s="59">
        <f t="shared" si="31"/>
        <v>0</v>
      </c>
    </row>
    <row r="6498" ht="15.0" hidden="1" customHeight="1">
      <c r="A6498" s="59">
        <f t="shared" si="20"/>
        <v>105</v>
      </c>
      <c r="B6498" s="59" t="str">
        <f t="shared" si="21"/>
        <v/>
      </c>
      <c r="C6498" s="59" t="str">
        <f t="shared" si="22"/>
        <v/>
      </c>
      <c r="D6498" s="45" t="str">
        <f t="shared" si="23"/>
        <v/>
      </c>
      <c r="E6498" s="45" t="str">
        <f t="shared" si="24"/>
        <v/>
      </c>
      <c r="F6498" s="59" t="str">
        <f t="shared" si="25"/>
        <v/>
      </c>
      <c r="G6498" s="59" t="str">
        <f t="shared" si="26"/>
        <v/>
      </c>
      <c r="H6498" s="59" t="str">
        <f t="shared" si="27"/>
        <v>28C05090</v>
      </c>
      <c r="I6498" s="59" t="str">
        <f>IF(OR($A6498="",$C6498="",$D6498="",$E6498="",$H6498=""),"",SUMIFS(DATA_GOC!$H:$H,DATA_GOC!$A:$A,"BOM",DATA_GOC!$D:$D,$H6498,DATA_GOC!$E:$E,$C6498,DATA_GOC!$F:$F,"Xuất nội bộ từ téc",DATA_GOC!$B:$B,"&gt;="&amp;$D6498,DATA_GOC!$B:$B,"&lt;="&amp;$E6498))</f>
        <v/>
      </c>
      <c r="J6498" s="59">
        <f t="shared" si="28"/>
        <v>0</v>
      </c>
      <c r="K6498" s="59">
        <f t="shared" si="29"/>
        <v>0</v>
      </c>
      <c r="L6498" s="59">
        <f t="shared" si="30"/>
        <v>0</v>
      </c>
      <c r="M6498" s="59">
        <f t="shared" si="31"/>
        <v>0</v>
      </c>
    </row>
    <row r="6499" ht="15.0" hidden="1" customHeight="1">
      <c r="A6499" s="59">
        <f t="shared" si="20"/>
        <v>105</v>
      </c>
      <c r="B6499" s="59" t="str">
        <f t="shared" si="21"/>
        <v/>
      </c>
      <c r="C6499" s="59" t="str">
        <f t="shared" si="22"/>
        <v/>
      </c>
      <c r="D6499" s="45" t="str">
        <f t="shared" si="23"/>
        <v/>
      </c>
      <c r="E6499" s="45" t="str">
        <f t="shared" si="24"/>
        <v/>
      </c>
      <c r="F6499" s="59" t="str">
        <f t="shared" si="25"/>
        <v/>
      </c>
      <c r="G6499" s="59" t="str">
        <f t="shared" si="26"/>
        <v/>
      </c>
      <c r="H6499" s="59" t="str">
        <f t="shared" si="27"/>
        <v>28C05345</v>
      </c>
      <c r="I6499" s="59" t="str">
        <f>IF(OR($A6499="",$C6499="",$D6499="",$E6499="",$H6499=""),"",SUMIFS(DATA_GOC!$H:$H,DATA_GOC!$A:$A,"BOM",DATA_GOC!$D:$D,$H6499,DATA_GOC!$E:$E,$C6499,DATA_GOC!$F:$F,"Xuất nội bộ từ téc",DATA_GOC!$B:$B,"&gt;="&amp;$D6499,DATA_GOC!$B:$B,"&lt;="&amp;$E6499))</f>
        <v/>
      </c>
      <c r="J6499" s="59">
        <f t="shared" si="28"/>
        <v>0</v>
      </c>
      <c r="K6499" s="59">
        <f t="shared" si="29"/>
        <v>0</v>
      </c>
      <c r="L6499" s="59">
        <f t="shared" si="30"/>
        <v>0</v>
      </c>
      <c r="M6499" s="59">
        <f t="shared" si="31"/>
        <v>0</v>
      </c>
    </row>
    <row r="6500" ht="15.0" hidden="1" customHeight="1">
      <c r="A6500" s="59">
        <f t="shared" si="20"/>
        <v>105</v>
      </c>
      <c r="B6500" s="59" t="str">
        <f t="shared" si="21"/>
        <v/>
      </c>
      <c r="C6500" s="59" t="str">
        <f t="shared" si="22"/>
        <v/>
      </c>
      <c r="D6500" s="45" t="str">
        <f t="shared" si="23"/>
        <v/>
      </c>
      <c r="E6500" s="45" t="str">
        <f t="shared" si="24"/>
        <v/>
      </c>
      <c r="F6500" s="59" t="str">
        <f t="shared" si="25"/>
        <v/>
      </c>
      <c r="G6500" s="59" t="str">
        <f t="shared" si="26"/>
        <v/>
      </c>
      <c r="H6500" s="59" t="str">
        <f t="shared" si="27"/>
        <v>28C05661</v>
      </c>
      <c r="I6500" s="59" t="str">
        <f>IF(OR($A6500="",$C6500="",$D6500="",$E6500="",$H6500=""),"",SUMIFS(DATA_GOC!$H:$H,DATA_GOC!$A:$A,"BOM",DATA_GOC!$D:$D,$H6500,DATA_GOC!$E:$E,$C6500,DATA_GOC!$F:$F,"Xuất nội bộ từ téc",DATA_GOC!$B:$B,"&gt;="&amp;$D6500,DATA_GOC!$B:$B,"&lt;="&amp;$E6500))</f>
        <v/>
      </c>
      <c r="J6500" s="59">
        <f t="shared" si="28"/>
        <v>0</v>
      </c>
      <c r="K6500" s="59">
        <f t="shared" si="29"/>
        <v>0</v>
      </c>
      <c r="L6500" s="59">
        <f t="shared" si="30"/>
        <v>0</v>
      </c>
      <c r="M6500" s="59">
        <f t="shared" si="31"/>
        <v>0</v>
      </c>
    </row>
    <row r="6501" ht="15.0" hidden="1" customHeight="1">
      <c r="A6501" s="59">
        <f t="shared" si="20"/>
        <v>105</v>
      </c>
      <c r="B6501" s="59" t="str">
        <f t="shared" si="21"/>
        <v/>
      </c>
      <c r="C6501" s="59" t="str">
        <f t="shared" si="22"/>
        <v/>
      </c>
      <c r="D6501" s="45" t="str">
        <f t="shared" si="23"/>
        <v/>
      </c>
      <c r="E6501" s="45" t="str">
        <f t="shared" si="24"/>
        <v/>
      </c>
      <c r="F6501" s="59" t="str">
        <f t="shared" si="25"/>
        <v/>
      </c>
      <c r="G6501" s="59" t="str">
        <f t="shared" si="26"/>
        <v/>
      </c>
      <c r="H6501" s="59" t="str">
        <f t="shared" si="27"/>
        <v>28C05739</v>
      </c>
      <c r="I6501" s="59" t="str">
        <f>IF(OR($A6501="",$C6501="",$D6501="",$E6501="",$H6501=""),"",SUMIFS(DATA_GOC!$H:$H,DATA_GOC!$A:$A,"BOM",DATA_GOC!$D:$D,$H6501,DATA_GOC!$E:$E,$C6501,DATA_GOC!$F:$F,"Xuất nội bộ từ téc",DATA_GOC!$B:$B,"&gt;="&amp;$D6501,DATA_GOC!$B:$B,"&lt;="&amp;$E6501))</f>
        <v/>
      </c>
      <c r="J6501" s="59">
        <f t="shared" si="28"/>
        <v>0</v>
      </c>
      <c r="K6501" s="59">
        <f t="shared" si="29"/>
        <v>0</v>
      </c>
      <c r="L6501" s="59">
        <f t="shared" si="30"/>
        <v>0</v>
      </c>
      <c r="M6501" s="59">
        <f t="shared" si="31"/>
        <v>0</v>
      </c>
    </row>
    <row r="6502" ht="15.0" hidden="1" customHeight="1">
      <c r="A6502" s="59">
        <f t="shared" si="20"/>
        <v>105</v>
      </c>
      <c r="B6502" s="59" t="str">
        <f t="shared" si="21"/>
        <v/>
      </c>
      <c r="C6502" s="59" t="str">
        <f t="shared" si="22"/>
        <v/>
      </c>
      <c r="D6502" s="45" t="str">
        <f t="shared" si="23"/>
        <v/>
      </c>
      <c r="E6502" s="45" t="str">
        <f t="shared" si="24"/>
        <v/>
      </c>
      <c r="F6502" s="59" t="str">
        <f t="shared" si="25"/>
        <v/>
      </c>
      <c r="G6502" s="59" t="str">
        <f t="shared" si="26"/>
        <v/>
      </c>
      <c r="H6502" s="59" t="str">
        <f t="shared" si="27"/>
        <v>28C06369</v>
      </c>
      <c r="I6502" s="59" t="str">
        <f>IF(OR($A6502="",$C6502="",$D6502="",$E6502="",$H6502=""),"",SUMIFS(DATA_GOC!$H:$H,DATA_GOC!$A:$A,"BOM",DATA_GOC!$D:$D,$H6502,DATA_GOC!$E:$E,$C6502,DATA_GOC!$F:$F,"Xuất nội bộ từ téc",DATA_GOC!$B:$B,"&gt;="&amp;$D6502,DATA_GOC!$B:$B,"&lt;="&amp;$E6502))</f>
        <v/>
      </c>
      <c r="J6502" s="59">
        <f t="shared" si="28"/>
        <v>0</v>
      </c>
      <c r="K6502" s="59">
        <f t="shared" si="29"/>
        <v>0</v>
      </c>
      <c r="L6502" s="59">
        <f t="shared" si="30"/>
        <v>0</v>
      </c>
      <c r="M6502" s="59">
        <f t="shared" si="31"/>
        <v>0</v>
      </c>
    </row>
    <row r="6503" ht="15.0" hidden="1" customHeight="1">
      <c r="A6503" s="59">
        <f t="shared" si="20"/>
        <v>105</v>
      </c>
      <c r="B6503" s="59" t="str">
        <f t="shared" si="21"/>
        <v/>
      </c>
      <c r="C6503" s="59" t="str">
        <f t="shared" si="22"/>
        <v/>
      </c>
      <c r="D6503" s="45" t="str">
        <f t="shared" si="23"/>
        <v/>
      </c>
      <c r="E6503" s="45" t="str">
        <f t="shared" si="24"/>
        <v/>
      </c>
      <c r="F6503" s="59" t="str">
        <f t="shared" si="25"/>
        <v/>
      </c>
      <c r="G6503" s="59" t="str">
        <f t="shared" si="26"/>
        <v/>
      </c>
      <c r="H6503" s="59" t="str">
        <f t="shared" si="27"/>
        <v>28C06447</v>
      </c>
      <c r="I6503" s="59" t="str">
        <f>IF(OR($A6503="",$C6503="",$D6503="",$E6503="",$H6503=""),"",SUMIFS(DATA_GOC!$H:$H,DATA_GOC!$A:$A,"BOM",DATA_GOC!$D:$D,$H6503,DATA_GOC!$E:$E,$C6503,DATA_GOC!$F:$F,"Xuất nội bộ từ téc",DATA_GOC!$B:$B,"&gt;="&amp;$D6503,DATA_GOC!$B:$B,"&lt;="&amp;$E6503))</f>
        <v/>
      </c>
      <c r="J6503" s="59">
        <f t="shared" si="28"/>
        <v>0</v>
      </c>
      <c r="K6503" s="59">
        <f t="shared" si="29"/>
        <v>0</v>
      </c>
      <c r="L6503" s="59">
        <f t="shared" si="30"/>
        <v>0</v>
      </c>
      <c r="M6503" s="59">
        <f t="shared" si="31"/>
        <v>0</v>
      </c>
    </row>
    <row r="6504" ht="15.0" hidden="1" customHeight="1">
      <c r="A6504" s="59">
        <f t="shared" si="20"/>
        <v>105</v>
      </c>
      <c r="B6504" s="59" t="str">
        <f t="shared" si="21"/>
        <v/>
      </c>
      <c r="C6504" s="59" t="str">
        <f t="shared" si="22"/>
        <v/>
      </c>
      <c r="D6504" s="45" t="str">
        <f t="shared" si="23"/>
        <v/>
      </c>
      <c r="E6504" s="45" t="str">
        <f t="shared" si="24"/>
        <v/>
      </c>
      <c r="F6504" s="59" t="str">
        <f t="shared" si="25"/>
        <v/>
      </c>
      <c r="G6504" s="59" t="str">
        <f t="shared" si="26"/>
        <v/>
      </c>
      <c r="H6504" s="59" t="str">
        <f t="shared" si="27"/>
        <v>28H00003</v>
      </c>
      <c r="I6504" s="59" t="str">
        <f>IF(OR($A6504="",$C6504="",$D6504="",$E6504="",$H6504=""),"",SUMIFS(DATA_GOC!$H:$H,DATA_GOC!$A:$A,"BOM",DATA_GOC!$D:$D,$H6504,DATA_GOC!$E:$E,$C6504,DATA_GOC!$F:$F,"Xuất nội bộ từ téc",DATA_GOC!$B:$B,"&gt;="&amp;$D6504,DATA_GOC!$B:$B,"&lt;="&amp;$E6504))</f>
        <v/>
      </c>
      <c r="J6504" s="59">
        <f t="shared" si="28"/>
        <v>0</v>
      </c>
      <c r="K6504" s="59">
        <f t="shared" si="29"/>
        <v>0</v>
      </c>
      <c r="L6504" s="59">
        <f t="shared" si="30"/>
        <v>0</v>
      </c>
      <c r="M6504" s="59">
        <f t="shared" si="31"/>
        <v>0</v>
      </c>
    </row>
    <row r="6505" ht="15.0" hidden="1" customHeight="1">
      <c r="A6505" s="59">
        <f t="shared" si="20"/>
        <v>105</v>
      </c>
      <c r="B6505" s="59" t="str">
        <f t="shared" si="21"/>
        <v/>
      </c>
      <c r="C6505" s="59" t="str">
        <f t="shared" si="22"/>
        <v/>
      </c>
      <c r="D6505" s="45" t="str">
        <f t="shared" si="23"/>
        <v/>
      </c>
      <c r="E6505" s="45" t="str">
        <f t="shared" si="24"/>
        <v/>
      </c>
      <c r="F6505" s="59" t="str">
        <f t="shared" si="25"/>
        <v/>
      </c>
      <c r="G6505" s="59" t="str">
        <f t="shared" si="26"/>
        <v/>
      </c>
      <c r="H6505" s="59" t="str">
        <f t="shared" si="27"/>
        <v>28H00061</v>
      </c>
      <c r="I6505" s="59" t="str">
        <f>IF(OR($A6505="",$C6505="",$D6505="",$E6505="",$H6505=""),"",SUMIFS(DATA_GOC!$H:$H,DATA_GOC!$A:$A,"BOM",DATA_GOC!$D:$D,$H6505,DATA_GOC!$E:$E,$C6505,DATA_GOC!$F:$F,"Xuất nội bộ từ téc",DATA_GOC!$B:$B,"&gt;="&amp;$D6505,DATA_GOC!$B:$B,"&lt;="&amp;$E6505))</f>
        <v/>
      </c>
      <c r="J6505" s="59">
        <f t="shared" si="28"/>
        <v>0</v>
      </c>
      <c r="K6505" s="59">
        <f t="shared" si="29"/>
        <v>0</v>
      </c>
      <c r="L6505" s="59">
        <f t="shared" si="30"/>
        <v>0</v>
      </c>
      <c r="M6505" s="59">
        <f t="shared" si="31"/>
        <v>0</v>
      </c>
    </row>
    <row r="6506" ht="15.0" hidden="1" customHeight="1">
      <c r="A6506" s="59">
        <f t="shared" si="20"/>
        <v>105</v>
      </c>
      <c r="B6506" s="59" t="str">
        <f t="shared" si="21"/>
        <v/>
      </c>
      <c r="C6506" s="59" t="str">
        <f t="shared" si="22"/>
        <v/>
      </c>
      <c r="D6506" s="45" t="str">
        <f t="shared" si="23"/>
        <v/>
      </c>
      <c r="E6506" s="45" t="str">
        <f t="shared" si="24"/>
        <v/>
      </c>
      <c r="F6506" s="59" t="str">
        <f t="shared" si="25"/>
        <v/>
      </c>
      <c r="G6506" s="59" t="str">
        <f t="shared" si="26"/>
        <v/>
      </c>
      <c r="H6506" s="59" t="str">
        <f t="shared" si="27"/>
        <v>28H00354</v>
      </c>
      <c r="I6506" s="59" t="str">
        <f>IF(OR($A6506="",$C6506="",$D6506="",$E6506="",$H6506=""),"",SUMIFS(DATA_GOC!$H:$H,DATA_GOC!$A:$A,"BOM",DATA_GOC!$D:$D,$H6506,DATA_GOC!$E:$E,$C6506,DATA_GOC!$F:$F,"Xuất nội bộ từ téc",DATA_GOC!$B:$B,"&gt;="&amp;$D6506,DATA_GOC!$B:$B,"&lt;="&amp;$E6506))</f>
        <v/>
      </c>
      <c r="J6506" s="59">
        <f t="shared" si="28"/>
        <v>0</v>
      </c>
      <c r="K6506" s="59">
        <f t="shared" si="29"/>
        <v>0</v>
      </c>
      <c r="L6506" s="59">
        <f t="shared" si="30"/>
        <v>0</v>
      </c>
      <c r="M6506" s="59">
        <f t="shared" si="31"/>
        <v>0</v>
      </c>
    </row>
    <row r="6507" ht="15.0" hidden="1" customHeight="1">
      <c r="A6507" s="59">
        <f t="shared" si="20"/>
        <v>105</v>
      </c>
      <c r="B6507" s="59" t="str">
        <f t="shared" si="21"/>
        <v/>
      </c>
      <c r="C6507" s="59" t="str">
        <f t="shared" si="22"/>
        <v/>
      </c>
      <c r="D6507" s="45" t="str">
        <f t="shared" si="23"/>
        <v/>
      </c>
      <c r="E6507" s="45" t="str">
        <f t="shared" si="24"/>
        <v/>
      </c>
      <c r="F6507" s="59" t="str">
        <f t="shared" si="25"/>
        <v/>
      </c>
      <c r="G6507" s="59" t="str">
        <f t="shared" si="26"/>
        <v/>
      </c>
      <c r="H6507" s="59" t="str">
        <f t="shared" si="27"/>
        <v>28H00603</v>
      </c>
      <c r="I6507" s="59" t="str">
        <f>IF(OR($A6507="",$C6507="",$D6507="",$E6507="",$H6507=""),"",SUMIFS(DATA_GOC!$H:$H,DATA_GOC!$A:$A,"BOM",DATA_GOC!$D:$D,$H6507,DATA_GOC!$E:$E,$C6507,DATA_GOC!$F:$F,"Xuất nội bộ từ téc",DATA_GOC!$B:$B,"&gt;="&amp;$D6507,DATA_GOC!$B:$B,"&lt;="&amp;$E6507))</f>
        <v/>
      </c>
      <c r="J6507" s="59">
        <f t="shared" si="28"/>
        <v>0</v>
      </c>
      <c r="K6507" s="59">
        <f t="shared" si="29"/>
        <v>0</v>
      </c>
      <c r="L6507" s="59">
        <f t="shared" si="30"/>
        <v>0</v>
      </c>
      <c r="M6507" s="59">
        <f t="shared" si="31"/>
        <v>0</v>
      </c>
    </row>
    <row r="6508" ht="15.0" hidden="1" customHeight="1">
      <c r="A6508" s="59">
        <f t="shared" si="20"/>
        <v>105</v>
      </c>
      <c r="B6508" s="59" t="str">
        <f t="shared" si="21"/>
        <v/>
      </c>
      <c r="C6508" s="59" t="str">
        <f t="shared" si="22"/>
        <v/>
      </c>
      <c r="D6508" s="45" t="str">
        <f t="shared" si="23"/>
        <v/>
      </c>
      <c r="E6508" s="45" t="str">
        <f t="shared" si="24"/>
        <v/>
      </c>
      <c r="F6508" s="59" t="str">
        <f t="shared" si="25"/>
        <v/>
      </c>
      <c r="G6508" s="59" t="str">
        <f t="shared" si="26"/>
        <v/>
      </c>
      <c r="H6508" s="59" t="str">
        <f t="shared" si="27"/>
        <v>28H00609</v>
      </c>
      <c r="I6508" s="59" t="str">
        <f>IF(OR($A6508="",$C6508="",$D6508="",$E6508="",$H6508=""),"",SUMIFS(DATA_GOC!$H:$H,DATA_GOC!$A:$A,"BOM",DATA_GOC!$D:$D,$H6508,DATA_GOC!$E:$E,$C6508,DATA_GOC!$F:$F,"Xuất nội bộ từ téc",DATA_GOC!$B:$B,"&gt;="&amp;$D6508,DATA_GOC!$B:$B,"&lt;="&amp;$E6508))</f>
        <v/>
      </c>
      <c r="J6508" s="59">
        <f t="shared" si="28"/>
        <v>0</v>
      </c>
      <c r="K6508" s="59">
        <f t="shared" si="29"/>
        <v>0</v>
      </c>
      <c r="L6508" s="59">
        <f t="shared" si="30"/>
        <v>0</v>
      </c>
      <c r="M6508" s="59">
        <f t="shared" si="31"/>
        <v>0</v>
      </c>
    </row>
    <row r="6509" ht="15.0" hidden="1" customHeight="1">
      <c r="A6509" s="59">
        <f t="shared" si="20"/>
        <v>105</v>
      </c>
      <c r="B6509" s="59" t="str">
        <f t="shared" si="21"/>
        <v/>
      </c>
      <c r="C6509" s="59" t="str">
        <f t="shared" si="22"/>
        <v/>
      </c>
      <c r="D6509" s="45" t="str">
        <f t="shared" si="23"/>
        <v/>
      </c>
      <c r="E6509" s="45" t="str">
        <f t="shared" si="24"/>
        <v/>
      </c>
      <c r="F6509" s="59" t="str">
        <f t="shared" si="25"/>
        <v/>
      </c>
      <c r="G6509" s="59" t="str">
        <f t="shared" si="26"/>
        <v/>
      </c>
      <c r="H6509" s="59" t="str">
        <f t="shared" si="27"/>
        <v>28H00669</v>
      </c>
      <c r="I6509" s="59" t="str">
        <f>IF(OR($A6509="",$C6509="",$D6509="",$E6509="",$H6509=""),"",SUMIFS(DATA_GOC!$H:$H,DATA_GOC!$A:$A,"BOM",DATA_GOC!$D:$D,$H6509,DATA_GOC!$E:$E,$C6509,DATA_GOC!$F:$F,"Xuất nội bộ từ téc",DATA_GOC!$B:$B,"&gt;="&amp;$D6509,DATA_GOC!$B:$B,"&lt;="&amp;$E6509))</f>
        <v/>
      </c>
      <c r="J6509" s="59">
        <f t="shared" si="28"/>
        <v>0</v>
      </c>
      <c r="K6509" s="59">
        <f t="shared" si="29"/>
        <v>0</v>
      </c>
      <c r="L6509" s="59">
        <f t="shared" si="30"/>
        <v>0</v>
      </c>
      <c r="M6509" s="59">
        <f t="shared" si="31"/>
        <v>0</v>
      </c>
    </row>
    <row r="6510" ht="15.0" hidden="1" customHeight="1">
      <c r="A6510" s="59">
        <f t="shared" si="20"/>
        <v>105</v>
      </c>
      <c r="B6510" s="59" t="str">
        <f t="shared" si="21"/>
        <v/>
      </c>
      <c r="C6510" s="59" t="str">
        <f t="shared" si="22"/>
        <v/>
      </c>
      <c r="D6510" s="45" t="str">
        <f t="shared" si="23"/>
        <v/>
      </c>
      <c r="E6510" s="45" t="str">
        <f t="shared" si="24"/>
        <v/>
      </c>
      <c r="F6510" s="59" t="str">
        <f t="shared" si="25"/>
        <v/>
      </c>
      <c r="G6510" s="59" t="str">
        <f t="shared" si="26"/>
        <v/>
      </c>
      <c r="H6510" s="59" t="str">
        <f t="shared" si="27"/>
        <v>28H00680</v>
      </c>
      <c r="I6510" s="59" t="str">
        <f>IF(OR($A6510="",$C6510="",$D6510="",$E6510="",$H6510=""),"",SUMIFS(DATA_GOC!$H:$H,DATA_GOC!$A:$A,"BOM",DATA_GOC!$D:$D,$H6510,DATA_GOC!$E:$E,$C6510,DATA_GOC!$F:$F,"Xuất nội bộ từ téc",DATA_GOC!$B:$B,"&gt;="&amp;$D6510,DATA_GOC!$B:$B,"&lt;="&amp;$E6510))</f>
        <v/>
      </c>
      <c r="J6510" s="59">
        <f t="shared" si="28"/>
        <v>0</v>
      </c>
      <c r="K6510" s="59">
        <f t="shared" si="29"/>
        <v>0</v>
      </c>
      <c r="L6510" s="59">
        <f t="shared" si="30"/>
        <v>0</v>
      </c>
      <c r="M6510" s="59">
        <f t="shared" si="31"/>
        <v>0</v>
      </c>
    </row>
    <row r="6511" ht="15.0" hidden="1" customHeight="1">
      <c r="A6511" s="59">
        <f t="shared" si="20"/>
        <v>105</v>
      </c>
      <c r="B6511" s="59" t="str">
        <f t="shared" si="21"/>
        <v/>
      </c>
      <c r="C6511" s="59" t="str">
        <f t="shared" si="22"/>
        <v/>
      </c>
      <c r="D6511" s="45" t="str">
        <f t="shared" si="23"/>
        <v/>
      </c>
      <c r="E6511" s="45" t="str">
        <f t="shared" si="24"/>
        <v/>
      </c>
      <c r="F6511" s="59" t="str">
        <f t="shared" si="25"/>
        <v/>
      </c>
      <c r="G6511" s="59" t="str">
        <f t="shared" si="26"/>
        <v/>
      </c>
      <c r="H6511" s="59" t="str">
        <f t="shared" si="27"/>
        <v>28H01070</v>
      </c>
      <c r="I6511" s="59" t="str">
        <f>IF(OR($A6511="",$C6511="",$D6511="",$E6511="",$H6511=""),"",SUMIFS(DATA_GOC!$H:$H,DATA_GOC!$A:$A,"BOM",DATA_GOC!$D:$D,$H6511,DATA_GOC!$E:$E,$C6511,DATA_GOC!$F:$F,"Xuất nội bộ từ téc",DATA_GOC!$B:$B,"&gt;="&amp;$D6511,DATA_GOC!$B:$B,"&lt;="&amp;$E6511))</f>
        <v/>
      </c>
      <c r="J6511" s="59">
        <f t="shared" si="28"/>
        <v>0</v>
      </c>
      <c r="K6511" s="59">
        <f t="shared" si="29"/>
        <v>0</v>
      </c>
      <c r="L6511" s="59">
        <f t="shared" si="30"/>
        <v>0</v>
      </c>
      <c r="M6511" s="59">
        <f t="shared" si="31"/>
        <v>0</v>
      </c>
    </row>
    <row r="6512" ht="15.0" hidden="1" customHeight="1">
      <c r="A6512" s="59">
        <f t="shared" si="20"/>
        <v>105</v>
      </c>
      <c r="B6512" s="59" t="str">
        <f t="shared" si="21"/>
        <v/>
      </c>
      <c r="C6512" s="59" t="str">
        <f t="shared" si="22"/>
        <v/>
      </c>
      <c r="D6512" s="45" t="str">
        <f t="shared" si="23"/>
        <v/>
      </c>
      <c r="E6512" s="45" t="str">
        <f t="shared" si="24"/>
        <v/>
      </c>
      <c r="F6512" s="59" t="str">
        <f t="shared" si="25"/>
        <v/>
      </c>
      <c r="G6512" s="59" t="str">
        <f t="shared" si="26"/>
        <v/>
      </c>
      <c r="H6512" s="59" t="str">
        <f t="shared" si="27"/>
        <v>28H01364</v>
      </c>
      <c r="I6512" s="59" t="str">
        <f>IF(OR($A6512="",$C6512="",$D6512="",$E6512="",$H6512=""),"",SUMIFS(DATA_GOC!$H:$H,DATA_GOC!$A:$A,"BOM",DATA_GOC!$D:$D,$H6512,DATA_GOC!$E:$E,$C6512,DATA_GOC!$F:$F,"Xuất nội bộ từ téc",DATA_GOC!$B:$B,"&gt;="&amp;$D6512,DATA_GOC!$B:$B,"&lt;="&amp;$E6512))</f>
        <v/>
      </c>
      <c r="J6512" s="59">
        <f t="shared" si="28"/>
        <v>0</v>
      </c>
      <c r="K6512" s="59">
        <f t="shared" si="29"/>
        <v>0</v>
      </c>
      <c r="L6512" s="59">
        <f t="shared" si="30"/>
        <v>0</v>
      </c>
      <c r="M6512" s="59">
        <f t="shared" si="31"/>
        <v>0</v>
      </c>
    </row>
    <row r="6513" ht="15.0" hidden="1" customHeight="1">
      <c r="A6513" s="59">
        <f t="shared" si="20"/>
        <v>105</v>
      </c>
      <c r="B6513" s="59" t="str">
        <f t="shared" si="21"/>
        <v/>
      </c>
      <c r="C6513" s="59" t="str">
        <f t="shared" si="22"/>
        <v/>
      </c>
      <c r="D6513" s="45" t="str">
        <f t="shared" si="23"/>
        <v/>
      </c>
      <c r="E6513" s="45" t="str">
        <f t="shared" si="24"/>
        <v/>
      </c>
      <c r="F6513" s="59" t="str">
        <f t="shared" si="25"/>
        <v/>
      </c>
      <c r="G6513" s="59" t="str">
        <f t="shared" si="26"/>
        <v/>
      </c>
      <c r="H6513" s="59" t="str">
        <f t="shared" si="27"/>
        <v>29E17269</v>
      </c>
      <c r="I6513" s="59" t="str">
        <f>IF(OR($A6513="",$C6513="",$D6513="",$E6513="",$H6513=""),"",SUMIFS(DATA_GOC!$H:$H,DATA_GOC!$A:$A,"BOM",DATA_GOC!$D:$D,$H6513,DATA_GOC!$E:$E,$C6513,DATA_GOC!$F:$F,"Xuất nội bộ từ téc",DATA_GOC!$B:$B,"&gt;="&amp;$D6513,DATA_GOC!$B:$B,"&lt;="&amp;$E6513))</f>
        <v/>
      </c>
      <c r="J6513" s="59">
        <f t="shared" si="28"/>
        <v>0</v>
      </c>
      <c r="K6513" s="59">
        <f t="shared" si="29"/>
        <v>0</v>
      </c>
      <c r="L6513" s="59">
        <f t="shared" si="30"/>
        <v>0</v>
      </c>
      <c r="M6513" s="59">
        <f t="shared" si="31"/>
        <v>0</v>
      </c>
    </row>
    <row r="6514" ht="15.0" hidden="1" customHeight="1">
      <c r="A6514" s="59">
        <f t="shared" si="20"/>
        <v>105</v>
      </c>
      <c r="B6514" s="59" t="str">
        <f t="shared" si="21"/>
        <v/>
      </c>
      <c r="C6514" s="59" t="str">
        <f t="shared" si="22"/>
        <v/>
      </c>
      <c r="D6514" s="45" t="str">
        <f t="shared" si="23"/>
        <v/>
      </c>
      <c r="E6514" s="45" t="str">
        <f t="shared" si="24"/>
        <v/>
      </c>
      <c r="F6514" s="59" t="str">
        <f t="shared" si="25"/>
        <v/>
      </c>
      <c r="G6514" s="59" t="str">
        <f t="shared" si="26"/>
        <v/>
      </c>
      <c r="H6514" s="59" t="str">
        <f t="shared" si="27"/>
        <v>29E17273</v>
      </c>
      <c r="I6514" s="59" t="str">
        <f>IF(OR($A6514="",$C6514="",$D6514="",$E6514="",$H6514=""),"",SUMIFS(DATA_GOC!$H:$H,DATA_GOC!$A:$A,"BOM",DATA_GOC!$D:$D,$H6514,DATA_GOC!$E:$E,$C6514,DATA_GOC!$F:$F,"Xuất nội bộ từ téc",DATA_GOC!$B:$B,"&gt;="&amp;$D6514,DATA_GOC!$B:$B,"&lt;="&amp;$E6514))</f>
        <v/>
      </c>
      <c r="J6514" s="59">
        <f t="shared" si="28"/>
        <v>0</v>
      </c>
      <c r="K6514" s="59">
        <f t="shared" si="29"/>
        <v>0</v>
      </c>
      <c r="L6514" s="59">
        <f t="shared" si="30"/>
        <v>0</v>
      </c>
      <c r="M6514" s="59">
        <f t="shared" si="31"/>
        <v>0</v>
      </c>
    </row>
    <row r="6515" ht="15.0" hidden="1" customHeight="1">
      <c r="A6515" s="59">
        <f t="shared" si="20"/>
        <v>105</v>
      </c>
      <c r="B6515" s="59" t="str">
        <f t="shared" si="21"/>
        <v/>
      </c>
      <c r="C6515" s="59" t="str">
        <f t="shared" si="22"/>
        <v/>
      </c>
      <c r="D6515" s="45" t="str">
        <f t="shared" si="23"/>
        <v/>
      </c>
      <c r="E6515" s="45" t="str">
        <f t="shared" si="24"/>
        <v/>
      </c>
      <c r="F6515" s="59" t="str">
        <f t="shared" si="25"/>
        <v/>
      </c>
      <c r="G6515" s="59" t="str">
        <f t="shared" si="26"/>
        <v/>
      </c>
      <c r="H6515" s="59" t="str">
        <f t="shared" si="27"/>
        <v>29E17410</v>
      </c>
      <c r="I6515" s="59" t="str">
        <f>IF(OR($A6515="",$C6515="",$D6515="",$E6515="",$H6515=""),"",SUMIFS(DATA_GOC!$H:$H,DATA_GOC!$A:$A,"BOM",DATA_GOC!$D:$D,$H6515,DATA_GOC!$E:$E,$C6515,DATA_GOC!$F:$F,"Xuất nội bộ từ téc",DATA_GOC!$B:$B,"&gt;="&amp;$D6515,DATA_GOC!$B:$B,"&lt;="&amp;$E6515))</f>
        <v/>
      </c>
      <c r="J6515" s="59">
        <f t="shared" si="28"/>
        <v>0</v>
      </c>
      <c r="K6515" s="59">
        <f t="shared" si="29"/>
        <v>0</v>
      </c>
      <c r="L6515" s="59">
        <f t="shared" si="30"/>
        <v>0</v>
      </c>
      <c r="M6515" s="59">
        <f t="shared" si="31"/>
        <v>0</v>
      </c>
    </row>
    <row r="6516" ht="15.0" hidden="1" customHeight="1">
      <c r="A6516" s="59">
        <f t="shared" si="20"/>
        <v>105</v>
      </c>
      <c r="B6516" s="59" t="str">
        <f t="shared" si="21"/>
        <v/>
      </c>
      <c r="C6516" s="59" t="str">
        <f t="shared" si="22"/>
        <v/>
      </c>
      <c r="D6516" s="45" t="str">
        <f t="shared" si="23"/>
        <v/>
      </c>
      <c r="E6516" s="45" t="str">
        <f t="shared" si="24"/>
        <v/>
      </c>
      <c r="F6516" s="59" t="str">
        <f t="shared" si="25"/>
        <v/>
      </c>
      <c r="G6516" s="59" t="str">
        <f t="shared" si="26"/>
        <v/>
      </c>
      <c r="H6516" s="59" t="str">
        <f t="shared" si="27"/>
        <v>29E17417</v>
      </c>
      <c r="I6516" s="59" t="str">
        <f>IF(OR($A6516="",$C6516="",$D6516="",$E6516="",$H6516=""),"",SUMIFS(DATA_GOC!$H:$H,DATA_GOC!$A:$A,"BOM",DATA_GOC!$D:$D,$H6516,DATA_GOC!$E:$E,$C6516,DATA_GOC!$F:$F,"Xuất nội bộ từ téc",DATA_GOC!$B:$B,"&gt;="&amp;$D6516,DATA_GOC!$B:$B,"&lt;="&amp;$E6516))</f>
        <v/>
      </c>
      <c r="J6516" s="59">
        <f t="shared" si="28"/>
        <v>0</v>
      </c>
      <c r="K6516" s="59">
        <f t="shared" si="29"/>
        <v>0</v>
      </c>
      <c r="L6516" s="59">
        <f t="shared" si="30"/>
        <v>0</v>
      </c>
      <c r="M6516" s="59">
        <f t="shared" si="31"/>
        <v>0</v>
      </c>
    </row>
    <row r="6517" ht="15.0" hidden="1" customHeight="1">
      <c r="A6517" s="59">
        <f t="shared" si="20"/>
        <v>105</v>
      </c>
      <c r="B6517" s="59" t="str">
        <f t="shared" si="21"/>
        <v/>
      </c>
      <c r="C6517" s="59" t="str">
        <f t="shared" si="22"/>
        <v/>
      </c>
      <c r="D6517" s="45" t="str">
        <f t="shared" si="23"/>
        <v/>
      </c>
      <c r="E6517" s="45" t="str">
        <f t="shared" si="24"/>
        <v/>
      </c>
      <c r="F6517" s="59" t="str">
        <f t="shared" si="25"/>
        <v/>
      </c>
      <c r="G6517" s="59" t="str">
        <f t="shared" si="26"/>
        <v/>
      </c>
      <c r="H6517" s="59" t="str">
        <f t="shared" si="27"/>
        <v>29E17539</v>
      </c>
      <c r="I6517" s="59" t="str">
        <f>IF(OR($A6517="",$C6517="",$D6517="",$E6517="",$H6517=""),"",SUMIFS(DATA_GOC!$H:$H,DATA_GOC!$A:$A,"BOM",DATA_GOC!$D:$D,$H6517,DATA_GOC!$E:$E,$C6517,DATA_GOC!$F:$F,"Xuất nội bộ từ téc",DATA_GOC!$B:$B,"&gt;="&amp;$D6517,DATA_GOC!$B:$B,"&lt;="&amp;$E6517))</f>
        <v/>
      </c>
      <c r="J6517" s="59">
        <f t="shared" si="28"/>
        <v>0</v>
      </c>
      <c r="K6517" s="59">
        <f t="shared" si="29"/>
        <v>0</v>
      </c>
      <c r="L6517" s="59">
        <f t="shared" si="30"/>
        <v>0</v>
      </c>
      <c r="M6517" s="59">
        <f t="shared" si="31"/>
        <v>0</v>
      </c>
    </row>
    <row r="6518" ht="15.0" hidden="1" customHeight="1">
      <c r="A6518" s="59">
        <f t="shared" si="20"/>
        <v>105</v>
      </c>
      <c r="B6518" s="59" t="str">
        <f t="shared" si="21"/>
        <v/>
      </c>
      <c r="C6518" s="59" t="str">
        <f t="shared" si="22"/>
        <v/>
      </c>
      <c r="D6518" s="45" t="str">
        <f t="shared" si="23"/>
        <v/>
      </c>
      <c r="E6518" s="45" t="str">
        <f t="shared" si="24"/>
        <v/>
      </c>
      <c r="F6518" s="59" t="str">
        <f t="shared" si="25"/>
        <v/>
      </c>
      <c r="G6518" s="59" t="str">
        <f t="shared" si="26"/>
        <v/>
      </c>
      <c r="H6518" s="59" t="str">
        <f t="shared" si="27"/>
        <v>29E18160</v>
      </c>
      <c r="I6518" s="59" t="str">
        <f>IF(OR($A6518="",$C6518="",$D6518="",$E6518="",$H6518=""),"",SUMIFS(DATA_GOC!$H:$H,DATA_GOC!$A:$A,"BOM",DATA_GOC!$D:$D,$H6518,DATA_GOC!$E:$E,$C6518,DATA_GOC!$F:$F,"Xuất nội bộ từ téc",DATA_GOC!$B:$B,"&gt;="&amp;$D6518,DATA_GOC!$B:$B,"&lt;="&amp;$E6518))</f>
        <v/>
      </c>
      <c r="J6518" s="59">
        <f t="shared" si="28"/>
        <v>0</v>
      </c>
      <c r="K6518" s="59">
        <f t="shared" si="29"/>
        <v>0</v>
      </c>
      <c r="L6518" s="59">
        <f t="shared" si="30"/>
        <v>0</v>
      </c>
      <c r="M6518" s="59">
        <f t="shared" si="31"/>
        <v>0</v>
      </c>
    </row>
    <row r="6519" ht="15.0" hidden="1" customHeight="1">
      <c r="A6519" s="59">
        <f t="shared" si="20"/>
        <v>105</v>
      </c>
      <c r="B6519" s="59" t="str">
        <f t="shared" si="21"/>
        <v/>
      </c>
      <c r="C6519" s="59" t="str">
        <f t="shared" si="22"/>
        <v/>
      </c>
      <c r="D6519" s="45" t="str">
        <f t="shared" si="23"/>
        <v/>
      </c>
      <c r="E6519" s="45" t="str">
        <f t="shared" si="24"/>
        <v/>
      </c>
      <c r="F6519" s="59" t="str">
        <f t="shared" si="25"/>
        <v/>
      </c>
      <c r="G6519" s="59" t="str">
        <f t="shared" si="26"/>
        <v/>
      </c>
      <c r="H6519" s="59" t="str">
        <f t="shared" si="27"/>
        <v>Công trình Asphalt</v>
      </c>
      <c r="I6519" s="59" t="str">
        <f>IF(OR($A6519="",$C6519="",$D6519="",$E6519="",$H6519=""),"",SUMIFS(DATA_GOC!$H:$H,DATA_GOC!$A:$A,"BOM",DATA_GOC!$D:$D,$H6519,DATA_GOC!$E:$E,$C6519,DATA_GOC!$F:$F,"Xuất nội bộ từ téc",DATA_GOC!$B:$B,"&gt;="&amp;$D6519,DATA_GOC!$B:$B,"&lt;="&amp;$E6519))</f>
        <v/>
      </c>
      <c r="J6519" s="59">
        <f t="shared" si="28"/>
        <v>0</v>
      </c>
      <c r="K6519" s="59">
        <f t="shared" si="29"/>
        <v>0</v>
      </c>
      <c r="L6519" s="59">
        <f t="shared" si="30"/>
        <v>0</v>
      </c>
      <c r="M6519" s="59">
        <f t="shared" si="31"/>
        <v>0</v>
      </c>
    </row>
    <row r="6520" ht="15.0" hidden="1" customHeight="1">
      <c r="A6520" s="59">
        <f t="shared" si="20"/>
        <v>105</v>
      </c>
      <c r="B6520" s="59" t="str">
        <f t="shared" si="21"/>
        <v/>
      </c>
      <c r="C6520" s="59" t="str">
        <f t="shared" si="22"/>
        <v/>
      </c>
      <c r="D6520" s="45" t="str">
        <f t="shared" si="23"/>
        <v/>
      </c>
      <c r="E6520" s="45" t="str">
        <f t="shared" si="24"/>
        <v/>
      </c>
      <c r="F6520" s="59" t="str">
        <f t="shared" si="25"/>
        <v/>
      </c>
      <c r="G6520" s="59" t="str">
        <f t="shared" si="26"/>
        <v/>
      </c>
      <c r="H6520" s="59" t="str">
        <f t="shared" si="27"/>
        <v>LG53F</v>
      </c>
      <c r="I6520" s="59" t="str">
        <f>IF(OR($A6520="",$C6520="",$D6520="",$E6520="",$H6520=""),"",SUMIFS(DATA_GOC!$H:$H,DATA_GOC!$A:$A,"BOM",DATA_GOC!$D:$D,$H6520,DATA_GOC!$E:$E,$C6520,DATA_GOC!$F:$F,"Xuất nội bộ từ téc",DATA_GOC!$B:$B,"&gt;="&amp;$D6520,DATA_GOC!$B:$B,"&lt;="&amp;$E6520))</f>
        <v/>
      </c>
      <c r="J6520" s="59">
        <f t="shared" si="28"/>
        <v>0</v>
      </c>
      <c r="K6520" s="59">
        <f t="shared" si="29"/>
        <v>0</v>
      </c>
      <c r="L6520" s="59">
        <f t="shared" si="30"/>
        <v>0</v>
      </c>
      <c r="M6520" s="59">
        <f t="shared" si="31"/>
        <v>0</v>
      </c>
    </row>
    <row r="6521" ht="15.0" hidden="1" customHeight="1">
      <c r="A6521" s="59">
        <f t="shared" si="20"/>
        <v>105</v>
      </c>
      <c r="B6521" s="59" t="str">
        <f t="shared" si="21"/>
        <v/>
      </c>
      <c r="C6521" s="59" t="str">
        <f t="shared" si="22"/>
        <v/>
      </c>
      <c r="D6521" s="45" t="str">
        <f t="shared" si="23"/>
        <v/>
      </c>
      <c r="E6521" s="45" t="str">
        <f t="shared" si="24"/>
        <v/>
      </c>
      <c r="F6521" s="59" t="str">
        <f t="shared" si="25"/>
        <v/>
      </c>
      <c r="G6521" s="59" t="str">
        <f t="shared" si="26"/>
        <v/>
      </c>
      <c r="H6521" s="59" t="str">
        <f t="shared" si="27"/>
        <v>Máy phát điện</v>
      </c>
      <c r="I6521" s="59" t="str">
        <f>IF(OR($A6521="",$C6521="",$D6521="",$E6521="",$H6521=""),"",SUMIFS(DATA_GOC!$H:$H,DATA_GOC!$A:$A,"BOM",DATA_GOC!$D:$D,$H6521,DATA_GOC!$E:$E,$C6521,DATA_GOC!$F:$F,"Xuất nội bộ từ téc",DATA_GOC!$B:$B,"&gt;="&amp;$D6521,DATA_GOC!$B:$B,"&lt;="&amp;$E6521))</f>
        <v/>
      </c>
      <c r="J6521" s="59">
        <f t="shared" si="28"/>
        <v>0</v>
      </c>
      <c r="K6521" s="59">
        <f t="shared" si="29"/>
        <v>0</v>
      </c>
      <c r="L6521" s="59">
        <f t="shared" si="30"/>
        <v>0</v>
      </c>
      <c r="M6521" s="59">
        <f t="shared" si="31"/>
        <v>0</v>
      </c>
    </row>
    <row r="6522" ht="15.0" hidden="1" customHeight="1">
      <c r="A6522" s="59">
        <f t="shared" si="20"/>
        <v>105</v>
      </c>
      <c r="B6522" s="59" t="str">
        <f t="shared" si="21"/>
        <v/>
      </c>
      <c r="C6522" s="59" t="str">
        <f t="shared" si="22"/>
        <v/>
      </c>
      <c r="D6522" s="45" t="str">
        <f t="shared" si="23"/>
        <v/>
      </c>
      <c r="E6522" s="45" t="str">
        <f t="shared" si="24"/>
        <v/>
      </c>
      <c r="F6522" s="59" t="str">
        <f t="shared" si="25"/>
        <v/>
      </c>
      <c r="G6522" s="59" t="str">
        <f t="shared" si="26"/>
        <v/>
      </c>
      <c r="H6522" s="59" t="str">
        <f t="shared" si="27"/>
        <v>Máy rải thảm</v>
      </c>
      <c r="I6522" s="59" t="str">
        <f>IF(OR($A6522="",$C6522="",$D6522="",$E6522="",$H6522=""),"",SUMIFS(DATA_GOC!$H:$H,DATA_GOC!$A:$A,"BOM",DATA_GOC!$D:$D,$H6522,DATA_GOC!$E:$E,$C6522,DATA_GOC!$F:$F,"Xuất nội bộ từ téc",DATA_GOC!$B:$B,"&gt;="&amp;$D6522,DATA_GOC!$B:$B,"&lt;="&amp;$E6522))</f>
        <v/>
      </c>
      <c r="J6522" s="59">
        <f t="shared" si="28"/>
        <v>0</v>
      </c>
      <c r="K6522" s="59">
        <f t="shared" si="29"/>
        <v>0</v>
      </c>
      <c r="L6522" s="59">
        <f t="shared" si="30"/>
        <v>0</v>
      </c>
      <c r="M6522" s="59">
        <f t="shared" si="31"/>
        <v>0</v>
      </c>
    </row>
    <row r="6523" ht="15.0" hidden="1" customHeight="1">
      <c r="A6523" s="59">
        <f t="shared" si="20"/>
        <v>105</v>
      </c>
      <c r="B6523" s="59" t="str">
        <f t="shared" si="21"/>
        <v/>
      </c>
      <c r="C6523" s="59" t="str">
        <f t="shared" si="22"/>
        <v/>
      </c>
      <c r="D6523" s="45" t="str">
        <f t="shared" si="23"/>
        <v/>
      </c>
      <c r="E6523" s="45" t="str">
        <f t="shared" si="24"/>
        <v/>
      </c>
      <c r="F6523" s="59" t="str">
        <f t="shared" si="25"/>
        <v/>
      </c>
      <c r="G6523" s="59" t="str">
        <f t="shared" si="26"/>
        <v/>
      </c>
      <c r="H6523" s="59" t="str">
        <f t="shared" si="27"/>
        <v>Xúc Đào</v>
      </c>
      <c r="I6523" s="59" t="str">
        <f>IF(OR($A6523="",$C6523="",$D6523="",$E6523="",$H6523=""),"",SUMIFS(DATA_GOC!$H:$H,DATA_GOC!$A:$A,"BOM",DATA_GOC!$D:$D,$H6523,DATA_GOC!$E:$E,$C6523,DATA_GOC!$F:$F,"Xuất nội bộ từ téc",DATA_GOC!$B:$B,"&gt;="&amp;$D6523,DATA_GOC!$B:$B,"&lt;="&amp;$E6523))</f>
        <v/>
      </c>
      <c r="J6523" s="59">
        <f t="shared" si="28"/>
        <v>0</v>
      </c>
      <c r="K6523" s="59">
        <f t="shared" si="29"/>
        <v>0</v>
      </c>
      <c r="L6523" s="59">
        <f t="shared" si="30"/>
        <v>0</v>
      </c>
      <c r="M6523" s="59">
        <f t="shared" si="31"/>
        <v>0</v>
      </c>
    </row>
    <row r="6524" ht="15.0" hidden="1" customHeight="1">
      <c r="A6524" s="59">
        <f t="shared" si="20"/>
        <v>105</v>
      </c>
      <c r="B6524" s="59" t="str">
        <f t="shared" si="21"/>
        <v/>
      </c>
      <c r="C6524" s="59" t="str">
        <f t="shared" si="22"/>
        <v/>
      </c>
      <c r="D6524" s="45" t="str">
        <f t="shared" si="23"/>
        <v/>
      </c>
      <c r="E6524" s="45" t="str">
        <f t="shared" si="24"/>
        <v/>
      </c>
      <c r="F6524" s="59" t="str">
        <f t="shared" si="25"/>
        <v/>
      </c>
      <c r="G6524" s="59" t="str">
        <f t="shared" si="26"/>
        <v/>
      </c>
      <c r="H6524" s="59" t="str">
        <f t="shared" si="27"/>
        <v>Xúclật asphalt</v>
      </c>
      <c r="I6524" s="59" t="str">
        <f>IF(OR($A6524="",$C6524="",$D6524="",$E6524="",$H6524=""),"",SUMIFS(DATA_GOC!$H:$H,DATA_GOC!$A:$A,"BOM",DATA_GOC!$D:$D,$H6524,DATA_GOC!$E:$E,$C6524,DATA_GOC!$F:$F,"Xuất nội bộ từ téc",DATA_GOC!$B:$B,"&gt;="&amp;$D6524,DATA_GOC!$B:$B,"&lt;="&amp;$E6524))</f>
        <v/>
      </c>
      <c r="J6524" s="59">
        <f t="shared" si="28"/>
        <v>0</v>
      </c>
      <c r="K6524" s="59">
        <f t="shared" si="29"/>
        <v>0</v>
      </c>
      <c r="L6524" s="59">
        <f t="shared" si="30"/>
        <v>0</v>
      </c>
      <c r="M6524" s="59">
        <f t="shared" si="31"/>
        <v>0</v>
      </c>
    </row>
    <row r="6525" ht="15.0" hidden="1" customHeight="1">
      <c r="A6525" s="59">
        <f t="shared" si="20"/>
        <v>105</v>
      </c>
      <c r="B6525" s="59" t="str">
        <f t="shared" si="21"/>
        <v/>
      </c>
      <c r="C6525" s="59" t="str">
        <f t="shared" si="22"/>
        <v/>
      </c>
      <c r="D6525" s="45" t="str">
        <f t="shared" si="23"/>
        <v/>
      </c>
      <c r="E6525" s="45" t="str">
        <f t="shared" si="24"/>
        <v/>
      </c>
      <c r="F6525" s="59" t="str">
        <f t="shared" si="25"/>
        <v/>
      </c>
      <c r="G6525" s="59" t="str">
        <f t="shared" si="26"/>
        <v/>
      </c>
      <c r="H6525" s="59" t="str">
        <f t="shared" si="27"/>
        <v>Xúclật855H</v>
      </c>
      <c r="I6525" s="59" t="str">
        <f>IF(OR($A6525="",$C6525="",$D6525="",$E6525="",$H6525=""),"",SUMIFS(DATA_GOC!$H:$H,DATA_GOC!$A:$A,"BOM",DATA_GOC!$D:$D,$H6525,DATA_GOC!$E:$E,$C6525,DATA_GOC!$F:$F,"Xuất nội bộ từ téc",DATA_GOC!$B:$B,"&gt;="&amp;$D6525,DATA_GOC!$B:$B,"&lt;="&amp;$E6525))</f>
        <v/>
      </c>
      <c r="J6525" s="59">
        <f t="shared" si="28"/>
        <v>0</v>
      </c>
      <c r="K6525" s="59">
        <f t="shared" si="29"/>
        <v>0</v>
      </c>
      <c r="L6525" s="59">
        <f t="shared" si="30"/>
        <v>0</v>
      </c>
      <c r="M6525" s="59">
        <f t="shared" si="31"/>
        <v>0</v>
      </c>
    </row>
    <row r="6526" ht="15.0" hidden="1" customHeight="1">
      <c r="A6526" s="59">
        <f t="shared" si="20"/>
        <v>105</v>
      </c>
      <c r="B6526" s="59" t="str">
        <f t="shared" si="21"/>
        <v/>
      </c>
      <c r="C6526" s="59" t="str">
        <f t="shared" si="22"/>
        <v/>
      </c>
      <c r="D6526" s="45" t="str">
        <f t="shared" si="23"/>
        <v/>
      </c>
      <c r="E6526" s="45" t="str">
        <f t="shared" si="24"/>
        <v/>
      </c>
      <c r="F6526" s="59" t="str">
        <f t="shared" si="25"/>
        <v/>
      </c>
      <c r="G6526" s="59" t="str">
        <f t="shared" si="26"/>
        <v/>
      </c>
      <c r="H6526" s="59" t="str">
        <f t="shared" si="27"/>
        <v>Xúclật855N</v>
      </c>
      <c r="I6526" s="59" t="str">
        <f>IF(OR($A6526="",$C6526="",$D6526="",$E6526="",$H6526=""),"",SUMIFS(DATA_GOC!$H:$H,DATA_GOC!$A:$A,"BOM",DATA_GOC!$D:$D,$H6526,DATA_GOC!$E:$E,$C6526,DATA_GOC!$F:$F,"Xuất nội bộ từ téc",DATA_GOC!$B:$B,"&gt;="&amp;$D6526,DATA_GOC!$B:$B,"&lt;="&amp;$E6526))</f>
        <v/>
      </c>
      <c r="J6526" s="59">
        <f t="shared" si="28"/>
        <v>0</v>
      </c>
      <c r="K6526" s="59">
        <f t="shared" si="29"/>
        <v>0</v>
      </c>
      <c r="L6526" s="59">
        <f t="shared" si="30"/>
        <v>0</v>
      </c>
      <c r="M6526" s="59">
        <f t="shared" si="31"/>
        <v>0</v>
      </c>
    </row>
    <row r="6527" ht="15.0" hidden="1" customHeight="1">
      <c r="A6527" s="59">
        <f t="shared" si="20"/>
        <v>105</v>
      </c>
      <c r="B6527" s="59" t="str">
        <f t="shared" si="21"/>
        <v/>
      </c>
      <c r="C6527" s="59" t="str">
        <f t="shared" si="22"/>
        <v/>
      </c>
      <c r="D6527" s="45" t="str">
        <f t="shared" si="23"/>
        <v/>
      </c>
      <c r="E6527" s="45" t="str">
        <f t="shared" si="24"/>
        <v/>
      </c>
      <c r="F6527" s="59" t="str">
        <f t="shared" si="25"/>
        <v/>
      </c>
      <c r="G6527" s="59" t="str">
        <f t="shared" si="26"/>
        <v/>
      </c>
      <c r="H6527" s="59" t="str">
        <f t="shared" si="27"/>
        <v>Cát nghiền</v>
      </c>
      <c r="I6527" s="59" t="str">
        <f>IF(OR($A6527="",$C6527="",$D6527="",$E6527="",$H6527=""),"",SUMIFS(DATA_GOC!$H:$H,DATA_GOC!$A:$A,"BOM",DATA_GOC!$D:$D,$H6527,DATA_GOC!$E:$E,$C6527,DATA_GOC!$F:$F,"Xuất nội bộ từ téc",DATA_GOC!$B:$B,"&gt;="&amp;$D6527,DATA_GOC!$B:$B,"&lt;="&amp;$E6527))</f>
        <v/>
      </c>
      <c r="J6527" s="59">
        <f t="shared" si="28"/>
        <v>0</v>
      </c>
      <c r="K6527" s="59">
        <f t="shared" si="29"/>
        <v>0</v>
      </c>
      <c r="L6527" s="59">
        <f t="shared" si="30"/>
        <v>0</v>
      </c>
      <c r="M6527" s="59">
        <f t="shared" si="31"/>
        <v>0</v>
      </c>
    </row>
    <row r="6528" ht="15.0" hidden="1" customHeight="1">
      <c r="A6528" s="59">
        <f t="shared" si="20"/>
        <v>105</v>
      </c>
      <c r="B6528" s="59" t="str">
        <f t="shared" si="21"/>
        <v/>
      </c>
      <c r="C6528" s="59" t="str">
        <f t="shared" si="22"/>
        <v/>
      </c>
      <c r="D6528" s="45" t="str">
        <f t="shared" si="23"/>
        <v/>
      </c>
      <c r="E6528" s="45" t="str">
        <f t="shared" si="24"/>
        <v/>
      </c>
      <c r="F6528" s="59" t="str">
        <f t="shared" si="25"/>
        <v/>
      </c>
      <c r="G6528" s="59" t="str">
        <f t="shared" si="26"/>
        <v/>
      </c>
      <c r="H6528" s="59" t="str">
        <f t="shared" si="27"/>
        <v>28C02973</v>
      </c>
      <c r="I6528" s="59" t="str">
        <f>IF(OR($A6528="",$C6528="",$D6528="",$E6528="",$H6528=""),"",SUMIFS(DATA_GOC!$H:$H,DATA_GOC!$A:$A,"BOM",DATA_GOC!$D:$D,$H6528,DATA_GOC!$E:$E,$C6528,DATA_GOC!$F:$F,"Xuất nội bộ từ téc",DATA_GOC!$B:$B,"&gt;="&amp;$D6528,DATA_GOC!$B:$B,"&lt;="&amp;$E6528))</f>
        <v/>
      </c>
      <c r="J6528" s="59">
        <f t="shared" si="28"/>
        <v>0</v>
      </c>
      <c r="K6528" s="59">
        <f t="shared" si="29"/>
        <v>0</v>
      </c>
      <c r="L6528" s="59">
        <f t="shared" si="30"/>
        <v>0</v>
      </c>
      <c r="M6528" s="59">
        <f t="shared" si="31"/>
        <v>0</v>
      </c>
    </row>
    <row r="6529" ht="15.0" hidden="1" customHeight="1">
      <c r="A6529" s="59">
        <f t="shared" si="20"/>
        <v>105</v>
      </c>
      <c r="B6529" s="59" t="str">
        <f t="shared" si="21"/>
        <v/>
      </c>
      <c r="C6529" s="59" t="str">
        <f t="shared" si="22"/>
        <v/>
      </c>
      <c r="D6529" s="45" t="str">
        <f t="shared" si="23"/>
        <v/>
      </c>
      <c r="E6529" s="45" t="str">
        <f t="shared" si="24"/>
        <v/>
      </c>
      <c r="F6529" s="59" t="str">
        <f t="shared" si="25"/>
        <v/>
      </c>
      <c r="G6529" s="59" t="str">
        <f t="shared" si="26"/>
        <v/>
      </c>
      <c r="H6529" s="59" t="str">
        <f t="shared" si="27"/>
        <v>28C03044</v>
      </c>
      <c r="I6529" s="59" t="str">
        <f>IF(OR($A6529="",$C6529="",$D6529="",$E6529="",$H6529=""),"",SUMIFS(DATA_GOC!$H:$H,DATA_GOC!$A:$A,"BOM",DATA_GOC!$D:$D,$H6529,DATA_GOC!$E:$E,$C6529,DATA_GOC!$F:$F,"Xuất nội bộ từ téc",DATA_GOC!$B:$B,"&gt;="&amp;$D6529,DATA_GOC!$B:$B,"&lt;="&amp;$E6529))</f>
        <v/>
      </c>
      <c r="J6529" s="59">
        <f t="shared" si="28"/>
        <v>0</v>
      </c>
      <c r="K6529" s="59">
        <f t="shared" si="29"/>
        <v>0</v>
      </c>
      <c r="L6529" s="59">
        <f t="shared" si="30"/>
        <v>0</v>
      </c>
      <c r="M6529" s="59">
        <f t="shared" si="31"/>
        <v>0</v>
      </c>
    </row>
    <row r="6530" ht="15.0" hidden="1" customHeight="1">
      <c r="A6530" s="59">
        <f t="shared" si="20"/>
        <v>105</v>
      </c>
      <c r="B6530" s="59" t="str">
        <f t="shared" si="21"/>
        <v/>
      </c>
      <c r="C6530" s="59" t="str">
        <f t="shared" si="22"/>
        <v/>
      </c>
      <c r="D6530" s="45" t="str">
        <f t="shared" si="23"/>
        <v/>
      </c>
      <c r="E6530" s="45" t="str">
        <f t="shared" si="24"/>
        <v/>
      </c>
      <c r="F6530" s="59" t="str">
        <f t="shared" si="25"/>
        <v/>
      </c>
      <c r="G6530" s="59" t="str">
        <f t="shared" si="26"/>
        <v/>
      </c>
      <c r="H6530" s="59" t="str">
        <f t="shared" si="27"/>
        <v>Máy lu lốp</v>
      </c>
      <c r="I6530" s="59" t="str">
        <f>IF(OR($A6530="",$C6530="",$D6530="",$E6530="",$H6530=""),"",SUMIFS(DATA_GOC!$H:$H,DATA_GOC!$A:$A,"BOM",DATA_GOC!$D:$D,$H6530,DATA_GOC!$E:$E,$C6530,DATA_GOC!$F:$F,"Xuất nội bộ từ téc",DATA_GOC!$B:$B,"&gt;="&amp;$D6530,DATA_GOC!$B:$B,"&lt;="&amp;$E6530))</f>
        <v/>
      </c>
      <c r="J6530" s="59">
        <f t="shared" si="28"/>
        <v>0</v>
      </c>
      <c r="K6530" s="59">
        <f t="shared" si="29"/>
        <v>0</v>
      </c>
      <c r="L6530" s="59">
        <f t="shared" si="30"/>
        <v>0</v>
      </c>
      <c r="M6530" s="59">
        <f t="shared" si="31"/>
        <v>0</v>
      </c>
    </row>
    <row r="6531" ht="15.0" hidden="1" customHeight="1">
      <c r="A6531" s="59">
        <f t="shared" si="20"/>
        <v>105</v>
      </c>
      <c r="B6531" s="59" t="str">
        <f t="shared" si="21"/>
        <v/>
      </c>
      <c r="C6531" s="59" t="str">
        <f t="shared" si="22"/>
        <v/>
      </c>
      <c r="D6531" s="45" t="str">
        <f t="shared" si="23"/>
        <v/>
      </c>
      <c r="E6531" s="45" t="str">
        <f t="shared" si="24"/>
        <v/>
      </c>
      <c r="F6531" s="59" t="str">
        <f t="shared" si="25"/>
        <v/>
      </c>
      <c r="G6531" s="59" t="str">
        <f t="shared" si="26"/>
        <v/>
      </c>
      <c r="H6531" s="59" t="str">
        <f t="shared" si="27"/>
        <v>Xe 600148</v>
      </c>
      <c r="I6531" s="59" t="str">
        <f>IF(OR($A6531="",$C6531="",$D6531="",$E6531="",$H6531=""),"",SUMIFS(DATA_GOC!$H:$H,DATA_GOC!$A:$A,"BOM",DATA_GOC!$D:$D,$H6531,DATA_GOC!$E:$E,$C6531,DATA_GOC!$F:$F,"Xuất nội bộ từ téc",DATA_GOC!$B:$B,"&gt;="&amp;$D6531,DATA_GOC!$B:$B,"&lt;="&amp;$E6531))</f>
        <v/>
      </c>
      <c r="J6531" s="59">
        <f t="shared" si="28"/>
        <v>0</v>
      </c>
      <c r="K6531" s="59">
        <f t="shared" si="29"/>
        <v>0</v>
      </c>
      <c r="L6531" s="59">
        <f t="shared" si="30"/>
        <v>0</v>
      </c>
      <c r="M6531" s="59">
        <f t="shared" si="31"/>
        <v>0</v>
      </c>
    </row>
    <row r="6532" ht="15.0" hidden="1" customHeight="1">
      <c r="A6532" s="59">
        <f t="shared" si="20"/>
        <v>105</v>
      </c>
      <c r="B6532" s="59" t="str">
        <f t="shared" si="21"/>
        <v/>
      </c>
      <c r="C6532" s="59" t="str">
        <f t="shared" si="22"/>
        <v/>
      </c>
      <c r="D6532" s="45" t="str">
        <f t="shared" si="23"/>
        <v/>
      </c>
      <c r="E6532" s="45" t="str">
        <f t="shared" si="24"/>
        <v/>
      </c>
      <c r="F6532" s="59" t="str">
        <f t="shared" si="25"/>
        <v/>
      </c>
      <c r="G6532" s="59" t="str">
        <f t="shared" si="26"/>
        <v/>
      </c>
      <c r="H6532" s="59" t="str">
        <f t="shared" si="27"/>
        <v>Xe ben mới</v>
      </c>
      <c r="I6532" s="59" t="str">
        <f>IF(OR($A6532="",$C6532="",$D6532="",$E6532="",$H6532=""),"",SUMIFS(DATA_GOC!$H:$H,DATA_GOC!$A:$A,"BOM",DATA_GOC!$D:$D,$H6532,DATA_GOC!$E:$E,$C6532,DATA_GOC!$F:$F,"Xuất nội bộ từ téc",DATA_GOC!$B:$B,"&gt;="&amp;$D6532,DATA_GOC!$B:$B,"&lt;="&amp;$E6532))</f>
        <v/>
      </c>
      <c r="J6532" s="59">
        <f t="shared" si="28"/>
        <v>0</v>
      </c>
      <c r="K6532" s="59">
        <f t="shared" si="29"/>
        <v>0</v>
      </c>
      <c r="L6532" s="59">
        <f t="shared" si="30"/>
        <v>0</v>
      </c>
      <c r="M6532" s="59">
        <f t="shared" si="31"/>
        <v>0</v>
      </c>
    </row>
    <row r="6533" ht="15.0" hidden="1" customHeight="1">
      <c r="A6533" s="59">
        <f t="shared" si="20"/>
        <v>106</v>
      </c>
      <c r="B6533" s="59" t="str">
        <f t="shared" si="21"/>
        <v/>
      </c>
      <c r="C6533" s="59" t="str">
        <f t="shared" si="22"/>
        <v/>
      </c>
      <c r="D6533" s="45" t="str">
        <f t="shared" si="23"/>
        <v/>
      </c>
      <c r="E6533" s="45" t="str">
        <f t="shared" si="24"/>
        <v/>
      </c>
      <c r="F6533" s="59" t="str">
        <f t="shared" si="25"/>
        <v/>
      </c>
      <c r="G6533" s="59" t="str">
        <f t="shared" si="26"/>
        <v/>
      </c>
      <c r="H6533" s="59" t="str">
        <f t="shared" si="27"/>
        <v>19H09482</v>
      </c>
      <c r="I6533" s="59" t="str">
        <f>IF(OR($A6533="",$C6533="",$D6533="",$E6533="",$H6533=""),"",SUMIFS(DATA_GOC!$H:$H,DATA_GOC!$A:$A,"BOM",DATA_GOC!$D:$D,$H6533,DATA_GOC!$E:$E,$C6533,DATA_GOC!$F:$F,"Xuất nội bộ từ téc",DATA_GOC!$B:$B,"&gt;="&amp;$D6533,DATA_GOC!$B:$B,"&lt;="&amp;$E6533))</f>
        <v/>
      </c>
      <c r="J6533" s="59">
        <f t="shared" si="28"/>
        <v>0</v>
      </c>
      <c r="K6533" s="59">
        <f t="shared" si="29"/>
        <v>0</v>
      </c>
      <c r="L6533" s="59">
        <f t="shared" si="30"/>
        <v>0</v>
      </c>
      <c r="M6533" s="59">
        <f t="shared" si="31"/>
        <v>0</v>
      </c>
    </row>
    <row r="6534" ht="15.0" hidden="1" customHeight="1">
      <c r="A6534" s="59">
        <f t="shared" si="20"/>
        <v>106</v>
      </c>
      <c r="B6534" s="59" t="str">
        <f t="shared" si="21"/>
        <v/>
      </c>
      <c r="C6534" s="59" t="str">
        <f t="shared" si="22"/>
        <v/>
      </c>
      <c r="D6534" s="45" t="str">
        <f t="shared" si="23"/>
        <v/>
      </c>
      <c r="E6534" s="45" t="str">
        <f t="shared" si="24"/>
        <v/>
      </c>
      <c r="F6534" s="59" t="str">
        <f t="shared" si="25"/>
        <v/>
      </c>
      <c r="G6534" s="59" t="str">
        <f t="shared" si="26"/>
        <v/>
      </c>
      <c r="H6534" s="59" t="str">
        <f t="shared" si="27"/>
        <v>28A30696</v>
      </c>
      <c r="I6534" s="59" t="str">
        <f>IF(OR($A6534="",$C6534="",$D6534="",$E6534="",$H6534=""),"",SUMIFS(DATA_GOC!$H:$H,DATA_GOC!$A:$A,"BOM",DATA_GOC!$D:$D,$H6534,DATA_GOC!$E:$E,$C6534,DATA_GOC!$F:$F,"Xuất nội bộ từ téc",DATA_GOC!$B:$B,"&gt;="&amp;$D6534,DATA_GOC!$B:$B,"&lt;="&amp;$E6534))</f>
        <v/>
      </c>
      <c r="J6534" s="59">
        <f t="shared" si="28"/>
        <v>0</v>
      </c>
      <c r="K6534" s="59">
        <f t="shared" si="29"/>
        <v>0</v>
      </c>
      <c r="L6534" s="59">
        <f t="shared" si="30"/>
        <v>0</v>
      </c>
      <c r="M6534" s="59">
        <f t="shared" si="31"/>
        <v>0</v>
      </c>
    </row>
    <row r="6535" ht="15.0" hidden="1" customHeight="1">
      <c r="A6535" s="59">
        <f t="shared" si="20"/>
        <v>106</v>
      </c>
      <c r="B6535" s="59" t="str">
        <f t="shared" si="21"/>
        <v/>
      </c>
      <c r="C6535" s="59" t="str">
        <f t="shared" si="22"/>
        <v/>
      </c>
      <c r="D6535" s="45" t="str">
        <f t="shared" si="23"/>
        <v/>
      </c>
      <c r="E6535" s="45" t="str">
        <f t="shared" si="24"/>
        <v/>
      </c>
      <c r="F6535" s="59" t="str">
        <f t="shared" si="25"/>
        <v/>
      </c>
      <c r="G6535" s="59" t="str">
        <f t="shared" si="26"/>
        <v/>
      </c>
      <c r="H6535" s="59" t="str">
        <f t="shared" si="27"/>
        <v>28C00462</v>
      </c>
      <c r="I6535" s="59" t="str">
        <f>IF(OR($A6535="",$C6535="",$D6535="",$E6535="",$H6535=""),"",SUMIFS(DATA_GOC!$H:$H,DATA_GOC!$A:$A,"BOM",DATA_GOC!$D:$D,$H6535,DATA_GOC!$E:$E,$C6535,DATA_GOC!$F:$F,"Xuất nội bộ từ téc",DATA_GOC!$B:$B,"&gt;="&amp;$D6535,DATA_GOC!$B:$B,"&lt;="&amp;$E6535))</f>
        <v/>
      </c>
      <c r="J6535" s="59">
        <f t="shared" si="28"/>
        <v>0</v>
      </c>
      <c r="K6535" s="59">
        <f t="shared" si="29"/>
        <v>0</v>
      </c>
      <c r="L6535" s="59">
        <f t="shared" si="30"/>
        <v>0</v>
      </c>
      <c r="M6535" s="59">
        <f t="shared" si="31"/>
        <v>0</v>
      </c>
    </row>
    <row r="6536" ht="15.0" hidden="1" customHeight="1">
      <c r="A6536" s="59">
        <f t="shared" si="20"/>
        <v>106</v>
      </c>
      <c r="B6536" s="59" t="str">
        <f t="shared" si="21"/>
        <v/>
      </c>
      <c r="C6536" s="59" t="str">
        <f t="shared" si="22"/>
        <v/>
      </c>
      <c r="D6536" s="45" t="str">
        <f t="shared" si="23"/>
        <v/>
      </c>
      <c r="E6536" s="45" t="str">
        <f t="shared" si="24"/>
        <v/>
      </c>
      <c r="F6536" s="59" t="str">
        <f t="shared" si="25"/>
        <v/>
      </c>
      <c r="G6536" s="59" t="str">
        <f t="shared" si="26"/>
        <v/>
      </c>
      <c r="H6536" s="59" t="str">
        <f t="shared" si="27"/>
        <v>28C01165</v>
      </c>
      <c r="I6536" s="59" t="str">
        <f>IF(OR($A6536="",$C6536="",$D6536="",$E6536="",$H6536=""),"",SUMIFS(DATA_GOC!$H:$H,DATA_GOC!$A:$A,"BOM",DATA_GOC!$D:$D,$H6536,DATA_GOC!$E:$E,$C6536,DATA_GOC!$F:$F,"Xuất nội bộ từ téc",DATA_GOC!$B:$B,"&gt;="&amp;$D6536,DATA_GOC!$B:$B,"&lt;="&amp;$E6536))</f>
        <v/>
      </c>
      <c r="J6536" s="59">
        <f t="shared" si="28"/>
        <v>0</v>
      </c>
      <c r="K6536" s="59">
        <f t="shared" si="29"/>
        <v>0</v>
      </c>
      <c r="L6536" s="59">
        <f t="shared" si="30"/>
        <v>0</v>
      </c>
      <c r="M6536" s="59">
        <f t="shared" si="31"/>
        <v>0</v>
      </c>
    </row>
    <row r="6537" ht="15.0" hidden="1" customHeight="1">
      <c r="A6537" s="59">
        <f t="shared" si="20"/>
        <v>106</v>
      </c>
      <c r="B6537" s="59" t="str">
        <f t="shared" si="21"/>
        <v/>
      </c>
      <c r="C6537" s="59" t="str">
        <f t="shared" si="22"/>
        <v/>
      </c>
      <c r="D6537" s="45" t="str">
        <f t="shared" si="23"/>
        <v/>
      </c>
      <c r="E6537" s="45" t="str">
        <f t="shared" si="24"/>
        <v/>
      </c>
      <c r="F6537" s="59" t="str">
        <f t="shared" si="25"/>
        <v/>
      </c>
      <c r="G6537" s="59" t="str">
        <f t="shared" si="26"/>
        <v/>
      </c>
      <c r="H6537" s="59" t="str">
        <f t="shared" si="27"/>
        <v>28C01406</v>
      </c>
      <c r="I6537" s="59" t="str">
        <f>IF(OR($A6537="",$C6537="",$D6537="",$E6537="",$H6537=""),"",SUMIFS(DATA_GOC!$H:$H,DATA_GOC!$A:$A,"BOM",DATA_GOC!$D:$D,$H6537,DATA_GOC!$E:$E,$C6537,DATA_GOC!$F:$F,"Xuất nội bộ từ téc",DATA_GOC!$B:$B,"&gt;="&amp;$D6537,DATA_GOC!$B:$B,"&lt;="&amp;$E6537))</f>
        <v/>
      </c>
      <c r="J6537" s="59">
        <f t="shared" si="28"/>
        <v>0</v>
      </c>
      <c r="K6537" s="59">
        <f t="shared" si="29"/>
        <v>0</v>
      </c>
      <c r="L6537" s="59">
        <f t="shared" si="30"/>
        <v>0</v>
      </c>
      <c r="M6537" s="59">
        <f t="shared" si="31"/>
        <v>0</v>
      </c>
    </row>
    <row r="6538" ht="15.0" hidden="1" customHeight="1">
      <c r="A6538" s="59">
        <f t="shared" si="20"/>
        <v>106</v>
      </c>
      <c r="B6538" s="59" t="str">
        <f t="shared" si="21"/>
        <v/>
      </c>
      <c r="C6538" s="59" t="str">
        <f t="shared" si="22"/>
        <v/>
      </c>
      <c r="D6538" s="45" t="str">
        <f t="shared" si="23"/>
        <v/>
      </c>
      <c r="E6538" s="45" t="str">
        <f t="shared" si="24"/>
        <v/>
      </c>
      <c r="F6538" s="59" t="str">
        <f t="shared" si="25"/>
        <v/>
      </c>
      <c r="G6538" s="59" t="str">
        <f t="shared" si="26"/>
        <v/>
      </c>
      <c r="H6538" s="59" t="str">
        <f t="shared" si="27"/>
        <v>28C01544</v>
      </c>
      <c r="I6538" s="59" t="str">
        <f>IF(OR($A6538="",$C6538="",$D6538="",$E6538="",$H6538=""),"",SUMIFS(DATA_GOC!$H:$H,DATA_GOC!$A:$A,"BOM",DATA_GOC!$D:$D,$H6538,DATA_GOC!$E:$E,$C6538,DATA_GOC!$F:$F,"Xuất nội bộ từ téc",DATA_GOC!$B:$B,"&gt;="&amp;$D6538,DATA_GOC!$B:$B,"&lt;="&amp;$E6538))</f>
        <v/>
      </c>
      <c r="J6538" s="59">
        <f t="shared" si="28"/>
        <v>0</v>
      </c>
      <c r="K6538" s="59">
        <f t="shared" si="29"/>
        <v>0</v>
      </c>
      <c r="L6538" s="59">
        <f t="shared" si="30"/>
        <v>0</v>
      </c>
      <c r="M6538" s="59">
        <f t="shared" si="31"/>
        <v>0</v>
      </c>
    </row>
    <row r="6539" ht="15.0" hidden="1" customHeight="1">
      <c r="A6539" s="59">
        <f t="shared" si="20"/>
        <v>106</v>
      </c>
      <c r="B6539" s="59" t="str">
        <f t="shared" si="21"/>
        <v/>
      </c>
      <c r="C6539" s="59" t="str">
        <f t="shared" si="22"/>
        <v/>
      </c>
      <c r="D6539" s="45" t="str">
        <f t="shared" si="23"/>
        <v/>
      </c>
      <c r="E6539" s="45" t="str">
        <f t="shared" si="24"/>
        <v/>
      </c>
      <c r="F6539" s="59" t="str">
        <f t="shared" si="25"/>
        <v/>
      </c>
      <c r="G6539" s="59" t="str">
        <f t="shared" si="26"/>
        <v/>
      </c>
      <c r="H6539" s="59" t="str">
        <f t="shared" si="27"/>
        <v>28C01622</v>
      </c>
      <c r="I6539" s="59" t="str">
        <f>IF(OR($A6539="",$C6539="",$D6539="",$E6539="",$H6539=""),"",SUMIFS(DATA_GOC!$H:$H,DATA_GOC!$A:$A,"BOM",DATA_GOC!$D:$D,$H6539,DATA_GOC!$E:$E,$C6539,DATA_GOC!$F:$F,"Xuất nội bộ từ téc",DATA_GOC!$B:$B,"&gt;="&amp;$D6539,DATA_GOC!$B:$B,"&lt;="&amp;$E6539))</f>
        <v/>
      </c>
      <c r="J6539" s="59">
        <f t="shared" si="28"/>
        <v>0</v>
      </c>
      <c r="K6539" s="59">
        <f t="shared" si="29"/>
        <v>0</v>
      </c>
      <c r="L6539" s="59">
        <f t="shared" si="30"/>
        <v>0</v>
      </c>
      <c r="M6539" s="59">
        <f t="shared" si="31"/>
        <v>0</v>
      </c>
    </row>
    <row r="6540" ht="15.0" hidden="1" customHeight="1">
      <c r="A6540" s="59">
        <f t="shared" si="20"/>
        <v>106</v>
      </c>
      <c r="B6540" s="59" t="str">
        <f t="shared" si="21"/>
        <v/>
      </c>
      <c r="C6540" s="59" t="str">
        <f t="shared" si="22"/>
        <v/>
      </c>
      <c r="D6540" s="45" t="str">
        <f t="shared" si="23"/>
        <v/>
      </c>
      <c r="E6540" s="45" t="str">
        <f t="shared" si="24"/>
        <v/>
      </c>
      <c r="F6540" s="59" t="str">
        <f t="shared" si="25"/>
        <v/>
      </c>
      <c r="G6540" s="59" t="str">
        <f t="shared" si="26"/>
        <v/>
      </c>
      <c r="H6540" s="59" t="str">
        <f t="shared" si="27"/>
        <v>28C01647</v>
      </c>
      <c r="I6540" s="59" t="str">
        <f>IF(OR($A6540="",$C6540="",$D6540="",$E6540="",$H6540=""),"",SUMIFS(DATA_GOC!$H:$H,DATA_GOC!$A:$A,"BOM",DATA_GOC!$D:$D,$H6540,DATA_GOC!$E:$E,$C6540,DATA_GOC!$F:$F,"Xuất nội bộ từ téc",DATA_GOC!$B:$B,"&gt;="&amp;$D6540,DATA_GOC!$B:$B,"&lt;="&amp;$E6540))</f>
        <v/>
      </c>
      <c r="J6540" s="59">
        <f t="shared" si="28"/>
        <v>0</v>
      </c>
      <c r="K6540" s="59">
        <f t="shared" si="29"/>
        <v>0</v>
      </c>
      <c r="L6540" s="59">
        <f t="shared" si="30"/>
        <v>0</v>
      </c>
      <c r="M6540" s="59">
        <f t="shared" si="31"/>
        <v>0</v>
      </c>
    </row>
    <row r="6541" ht="15.0" hidden="1" customHeight="1">
      <c r="A6541" s="59">
        <f t="shared" si="20"/>
        <v>106</v>
      </c>
      <c r="B6541" s="59" t="str">
        <f t="shared" si="21"/>
        <v/>
      </c>
      <c r="C6541" s="59" t="str">
        <f t="shared" si="22"/>
        <v/>
      </c>
      <c r="D6541" s="45" t="str">
        <f t="shared" si="23"/>
        <v/>
      </c>
      <c r="E6541" s="45" t="str">
        <f t="shared" si="24"/>
        <v/>
      </c>
      <c r="F6541" s="59" t="str">
        <f t="shared" si="25"/>
        <v/>
      </c>
      <c r="G6541" s="59" t="str">
        <f t="shared" si="26"/>
        <v/>
      </c>
      <c r="H6541" s="59" t="str">
        <f t="shared" si="27"/>
        <v>28C01731</v>
      </c>
      <c r="I6541" s="59" t="str">
        <f>IF(OR($A6541="",$C6541="",$D6541="",$E6541="",$H6541=""),"",SUMIFS(DATA_GOC!$H:$H,DATA_GOC!$A:$A,"BOM",DATA_GOC!$D:$D,$H6541,DATA_GOC!$E:$E,$C6541,DATA_GOC!$F:$F,"Xuất nội bộ từ téc",DATA_GOC!$B:$B,"&gt;="&amp;$D6541,DATA_GOC!$B:$B,"&lt;="&amp;$E6541))</f>
        <v/>
      </c>
      <c r="J6541" s="59">
        <f t="shared" si="28"/>
        <v>0</v>
      </c>
      <c r="K6541" s="59">
        <f t="shared" si="29"/>
        <v>0</v>
      </c>
      <c r="L6541" s="59">
        <f t="shared" si="30"/>
        <v>0</v>
      </c>
      <c r="M6541" s="59">
        <f t="shared" si="31"/>
        <v>0</v>
      </c>
    </row>
    <row r="6542" ht="15.0" hidden="1" customHeight="1">
      <c r="A6542" s="59">
        <f t="shared" si="20"/>
        <v>106</v>
      </c>
      <c r="B6542" s="59" t="str">
        <f t="shared" si="21"/>
        <v/>
      </c>
      <c r="C6542" s="59" t="str">
        <f t="shared" si="22"/>
        <v/>
      </c>
      <c r="D6542" s="45" t="str">
        <f t="shared" si="23"/>
        <v/>
      </c>
      <c r="E6542" s="45" t="str">
        <f t="shared" si="24"/>
        <v/>
      </c>
      <c r="F6542" s="59" t="str">
        <f t="shared" si="25"/>
        <v/>
      </c>
      <c r="G6542" s="59" t="str">
        <f t="shared" si="26"/>
        <v/>
      </c>
      <c r="H6542" s="59" t="str">
        <f t="shared" si="27"/>
        <v>28C01743</v>
      </c>
      <c r="I6542" s="59" t="str">
        <f>IF(OR($A6542="",$C6542="",$D6542="",$E6542="",$H6542=""),"",SUMIFS(DATA_GOC!$H:$H,DATA_GOC!$A:$A,"BOM",DATA_GOC!$D:$D,$H6542,DATA_GOC!$E:$E,$C6542,DATA_GOC!$F:$F,"Xuất nội bộ từ téc",DATA_GOC!$B:$B,"&gt;="&amp;$D6542,DATA_GOC!$B:$B,"&lt;="&amp;$E6542))</f>
        <v/>
      </c>
      <c r="J6542" s="59">
        <f t="shared" si="28"/>
        <v>0</v>
      </c>
      <c r="K6542" s="59">
        <f t="shared" si="29"/>
        <v>0</v>
      </c>
      <c r="L6542" s="59">
        <f t="shared" si="30"/>
        <v>0</v>
      </c>
      <c r="M6542" s="59">
        <f t="shared" si="31"/>
        <v>0</v>
      </c>
    </row>
    <row r="6543" ht="15.0" hidden="1" customHeight="1">
      <c r="A6543" s="59">
        <f t="shared" si="20"/>
        <v>106</v>
      </c>
      <c r="B6543" s="59" t="str">
        <f t="shared" si="21"/>
        <v/>
      </c>
      <c r="C6543" s="59" t="str">
        <f t="shared" si="22"/>
        <v/>
      </c>
      <c r="D6543" s="45" t="str">
        <f t="shared" si="23"/>
        <v/>
      </c>
      <c r="E6543" s="45" t="str">
        <f t="shared" si="24"/>
        <v/>
      </c>
      <c r="F6543" s="59" t="str">
        <f t="shared" si="25"/>
        <v/>
      </c>
      <c r="G6543" s="59" t="str">
        <f t="shared" si="26"/>
        <v/>
      </c>
      <c r="H6543" s="59" t="str">
        <f t="shared" si="27"/>
        <v>28C02106</v>
      </c>
      <c r="I6543" s="59" t="str">
        <f>IF(OR($A6543="",$C6543="",$D6543="",$E6543="",$H6543=""),"",SUMIFS(DATA_GOC!$H:$H,DATA_GOC!$A:$A,"BOM",DATA_GOC!$D:$D,$H6543,DATA_GOC!$E:$E,$C6543,DATA_GOC!$F:$F,"Xuất nội bộ từ téc",DATA_GOC!$B:$B,"&gt;="&amp;$D6543,DATA_GOC!$B:$B,"&lt;="&amp;$E6543))</f>
        <v/>
      </c>
      <c r="J6543" s="59">
        <f t="shared" si="28"/>
        <v>0</v>
      </c>
      <c r="K6543" s="59">
        <f t="shared" si="29"/>
        <v>0</v>
      </c>
      <c r="L6543" s="59">
        <f t="shared" si="30"/>
        <v>0</v>
      </c>
      <c r="M6543" s="59">
        <f t="shared" si="31"/>
        <v>0</v>
      </c>
    </row>
    <row r="6544" ht="15.0" hidden="1" customHeight="1">
      <c r="A6544" s="59">
        <f t="shared" si="20"/>
        <v>106</v>
      </c>
      <c r="B6544" s="59" t="str">
        <f t="shared" si="21"/>
        <v/>
      </c>
      <c r="C6544" s="59" t="str">
        <f t="shared" si="22"/>
        <v/>
      </c>
      <c r="D6544" s="45" t="str">
        <f t="shared" si="23"/>
        <v/>
      </c>
      <c r="E6544" s="45" t="str">
        <f t="shared" si="24"/>
        <v/>
      </c>
      <c r="F6544" s="59" t="str">
        <f t="shared" si="25"/>
        <v/>
      </c>
      <c r="G6544" s="59" t="str">
        <f t="shared" si="26"/>
        <v/>
      </c>
      <c r="H6544" s="59" t="str">
        <f t="shared" si="27"/>
        <v>28C02410</v>
      </c>
      <c r="I6544" s="59" t="str">
        <f>IF(OR($A6544="",$C6544="",$D6544="",$E6544="",$H6544=""),"",SUMIFS(DATA_GOC!$H:$H,DATA_GOC!$A:$A,"BOM",DATA_GOC!$D:$D,$H6544,DATA_GOC!$E:$E,$C6544,DATA_GOC!$F:$F,"Xuất nội bộ từ téc",DATA_GOC!$B:$B,"&gt;="&amp;$D6544,DATA_GOC!$B:$B,"&lt;="&amp;$E6544))</f>
        <v/>
      </c>
      <c r="J6544" s="59">
        <f t="shared" si="28"/>
        <v>0</v>
      </c>
      <c r="K6544" s="59">
        <f t="shared" si="29"/>
        <v>0</v>
      </c>
      <c r="L6544" s="59">
        <f t="shared" si="30"/>
        <v>0</v>
      </c>
      <c r="M6544" s="59">
        <f t="shared" si="31"/>
        <v>0</v>
      </c>
    </row>
    <row r="6545" ht="15.0" hidden="1" customHeight="1">
      <c r="A6545" s="59">
        <f t="shared" si="20"/>
        <v>106</v>
      </c>
      <c r="B6545" s="59" t="str">
        <f t="shared" si="21"/>
        <v/>
      </c>
      <c r="C6545" s="59" t="str">
        <f t="shared" si="22"/>
        <v/>
      </c>
      <c r="D6545" s="45" t="str">
        <f t="shared" si="23"/>
        <v/>
      </c>
      <c r="E6545" s="45" t="str">
        <f t="shared" si="24"/>
        <v/>
      </c>
      <c r="F6545" s="59" t="str">
        <f t="shared" si="25"/>
        <v/>
      </c>
      <c r="G6545" s="59" t="str">
        <f t="shared" si="26"/>
        <v/>
      </c>
      <c r="H6545" s="59" t="str">
        <f t="shared" si="27"/>
        <v>28C02545</v>
      </c>
      <c r="I6545" s="59" t="str">
        <f>IF(OR($A6545="",$C6545="",$D6545="",$E6545="",$H6545=""),"",SUMIFS(DATA_GOC!$H:$H,DATA_GOC!$A:$A,"BOM",DATA_GOC!$D:$D,$H6545,DATA_GOC!$E:$E,$C6545,DATA_GOC!$F:$F,"Xuất nội bộ từ téc",DATA_GOC!$B:$B,"&gt;="&amp;$D6545,DATA_GOC!$B:$B,"&lt;="&amp;$E6545))</f>
        <v/>
      </c>
      <c r="J6545" s="59">
        <f t="shared" si="28"/>
        <v>0</v>
      </c>
      <c r="K6545" s="59">
        <f t="shared" si="29"/>
        <v>0</v>
      </c>
      <c r="L6545" s="59">
        <f t="shared" si="30"/>
        <v>0</v>
      </c>
      <c r="M6545" s="59">
        <f t="shared" si="31"/>
        <v>0</v>
      </c>
    </row>
    <row r="6546" ht="15.0" hidden="1" customHeight="1">
      <c r="A6546" s="59">
        <f t="shared" si="20"/>
        <v>106</v>
      </c>
      <c r="B6546" s="59" t="str">
        <f t="shared" si="21"/>
        <v/>
      </c>
      <c r="C6546" s="59" t="str">
        <f t="shared" si="22"/>
        <v/>
      </c>
      <c r="D6546" s="45" t="str">
        <f t="shared" si="23"/>
        <v/>
      </c>
      <c r="E6546" s="45" t="str">
        <f t="shared" si="24"/>
        <v/>
      </c>
      <c r="F6546" s="59" t="str">
        <f t="shared" si="25"/>
        <v/>
      </c>
      <c r="G6546" s="59" t="str">
        <f t="shared" si="26"/>
        <v/>
      </c>
      <c r="H6546" s="59" t="str">
        <f t="shared" si="27"/>
        <v>28C02574</v>
      </c>
      <c r="I6546" s="59" t="str">
        <f>IF(OR($A6546="",$C6546="",$D6546="",$E6546="",$H6546=""),"",SUMIFS(DATA_GOC!$H:$H,DATA_GOC!$A:$A,"BOM",DATA_GOC!$D:$D,$H6546,DATA_GOC!$E:$E,$C6546,DATA_GOC!$F:$F,"Xuất nội bộ từ téc",DATA_GOC!$B:$B,"&gt;="&amp;$D6546,DATA_GOC!$B:$B,"&lt;="&amp;$E6546))</f>
        <v/>
      </c>
      <c r="J6546" s="59">
        <f t="shared" si="28"/>
        <v>0</v>
      </c>
      <c r="K6546" s="59">
        <f t="shared" si="29"/>
        <v>0</v>
      </c>
      <c r="L6546" s="59">
        <f t="shared" si="30"/>
        <v>0</v>
      </c>
      <c r="M6546" s="59">
        <f t="shared" si="31"/>
        <v>0</v>
      </c>
    </row>
    <row r="6547" ht="15.0" hidden="1" customHeight="1">
      <c r="A6547" s="59">
        <f t="shared" si="20"/>
        <v>106</v>
      </c>
      <c r="B6547" s="59" t="str">
        <f t="shared" si="21"/>
        <v/>
      </c>
      <c r="C6547" s="59" t="str">
        <f t="shared" si="22"/>
        <v/>
      </c>
      <c r="D6547" s="45" t="str">
        <f t="shared" si="23"/>
        <v/>
      </c>
      <c r="E6547" s="45" t="str">
        <f t="shared" si="24"/>
        <v/>
      </c>
      <c r="F6547" s="59" t="str">
        <f t="shared" si="25"/>
        <v/>
      </c>
      <c r="G6547" s="59" t="str">
        <f t="shared" si="26"/>
        <v/>
      </c>
      <c r="H6547" s="59" t="str">
        <f t="shared" si="27"/>
        <v>28C02770</v>
      </c>
      <c r="I6547" s="59" t="str">
        <f>IF(OR($A6547="",$C6547="",$D6547="",$E6547="",$H6547=""),"",SUMIFS(DATA_GOC!$H:$H,DATA_GOC!$A:$A,"BOM",DATA_GOC!$D:$D,$H6547,DATA_GOC!$E:$E,$C6547,DATA_GOC!$F:$F,"Xuất nội bộ từ téc",DATA_GOC!$B:$B,"&gt;="&amp;$D6547,DATA_GOC!$B:$B,"&lt;="&amp;$E6547))</f>
        <v/>
      </c>
      <c r="J6547" s="59">
        <f t="shared" si="28"/>
        <v>0</v>
      </c>
      <c r="K6547" s="59">
        <f t="shared" si="29"/>
        <v>0</v>
      </c>
      <c r="L6547" s="59">
        <f t="shared" si="30"/>
        <v>0</v>
      </c>
      <c r="M6547" s="59">
        <f t="shared" si="31"/>
        <v>0</v>
      </c>
    </row>
    <row r="6548" ht="15.0" hidden="1" customHeight="1">
      <c r="A6548" s="59">
        <f t="shared" si="20"/>
        <v>106</v>
      </c>
      <c r="B6548" s="59" t="str">
        <f t="shared" si="21"/>
        <v/>
      </c>
      <c r="C6548" s="59" t="str">
        <f t="shared" si="22"/>
        <v/>
      </c>
      <c r="D6548" s="45" t="str">
        <f t="shared" si="23"/>
        <v/>
      </c>
      <c r="E6548" s="45" t="str">
        <f t="shared" si="24"/>
        <v/>
      </c>
      <c r="F6548" s="59" t="str">
        <f t="shared" si="25"/>
        <v/>
      </c>
      <c r="G6548" s="59" t="str">
        <f t="shared" si="26"/>
        <v/>
      </c>
      <c r="H6548" s="59" t="str">
        <f t="shared" si="27"/>
        <v>28C02986</v>
      </c>
      <c r="I6548" s="59" t="str">
        <f>IF(OR($A6548="",$C6548="",$D6548="",$E6548="",$H6548=""),"",SUMIFS(DATA_GOC!$H:$H,DATA_GOC!$A:$A,"BOM",DATA_GOC!$D:$D,$H6548,DATA_GOC!$E:$E,$C6548,DATA_GOC!$F:$F,"Xuất nội bộ từ téc",DATA_GOC!$B:$B,"&gt;="&amp;$D6548,DATA_GOC!$B:$B,"&lt;="&amp;$E6548))</f>
        <v/>
      </c>
      <c r="J6548" s="59">
        <f t="shared" si="28"/>
        <v>0</v>
      </c>
      <c r="K6548" s="59">
        <f t="shared" si="29"/>
        <v>0</v>
      </c>
      <c r="L6548" s="59">
        <f t="shared" si="30"/>
        <v>0</v>
      </c>
      <c r="M6548" s="59">
        <f t="shared" si="31"/>
        <v>0</v>
      </c>
    </row>
    <row r="6549" ht="15.0" hidden="1" customHeight="1">
      <c r="A6549" s="59">
        <f t="shared" si="20"/>
        <v>106</v>
      </c>
      <c r="B6549" s="59" t="str">
        <f t="shared" si="21"/>
        <v/>
      </c>
      <c r="C6549" s="59" t="str">
        <f t="shared" si="22"/>
        <v/>
      </c>
      <c r="D6549" s="45" t="str">
        <f t="shared" si="23"/>
        <v/>
      </c>
      <c r="E6549" s="45" t="str">
        <f t="shared" si="24"/>
        <v/>
      </c>
      <c r="F6549" s="59" t="str">
        <f t="shared" si="25"/>
        <v/>
      </c>
      <c r="G6549" s="59" t="str">
        <f t="shared" si="26"/>
        <v/>
      </c>
      <c r="H6549" s="59" t="str">
        <f t="shared" si="27"/>
        <v>28C03261</v>
      </c>
      <c r="I6549" s="59" t="str">
        <f>IF(OR($A6549="",$C6549="",$D6549="",$E6549="",$H6549=""),"",SUMIFS(DATA_GOC!$H:$H,DATA_GOC!$A:$A,"BOM",DATA_GOC!$D:$D,$H6549,DATA_GOC!$E:$E,$C6549,DATA_GOC!$F:$F,"Xuất nội bộ từ téc",DATA_GOC!$B:$B,"&gt;="&amp;$D6549,DATA_GOC!$B:$B,"&lt;="&amp;$E6549))</f>
        <v/>
      </c>
      <c r="J6549" s="59">
        <f t="shared" si="28"/>
        <v>0</v>
      </c>
      <c r="K6549" s="59">
        <f t="shared" si="29"/>
        <v>0</v>
      </c>
      <c r="L6549" s="59">
        <f t="shared" si="30"/>
        <v>0</v>
      </c>
      <c r="M6549" s="59">
        <f t="shared" si="31"/>
        <v>0</v>
      </c>
    </row>
    <row r="6550" ht="15.0" hidden="1" customHeight="1">
      <c r="A6550" s="59">
        <f t="shared" si="20"/>
        <v>106</v>
      </c>
      <c r="B6550" s="59" t="str">
        <f t="shared" si="21"/>
        <v/>
      </c>
      <c r="C6550" s="59" t="str">
        <f t="shared" si="22"/>
        <v/>
      </c>
      <c r="D6550" s="45" t="str">
        <f t="shared" si="23"/>
        <v/>
      </c>
      <c r="E6550" s="45" t="str">
        <f t="shared" si="24"/>
        <v/>
      </c>
      <c r="F6550" s="59" t="str">
        <f t="shared" si="25"/>
        <v/>
      </c>
      <c r="G6550" s="59" t="str">
        <f t="shared" si="26"/>
        <v/>
      </c>
      <c r="H6550" s="59" t="str">
        <f t="shared" si="27"/>
        <v>28C03323</v>
      </c>
      <c r="I6550" s="59" t="str">
        <f>IF(OR($A6550="",$C6550="",$D6550="",$E6550="",$H6550=""),"",SUMIFS(DATA_GOC!$H:$H,DATA_GOC!$A:$A,"BOM",DATA_GOC!$D:$D,$H6550,DATA_GOC!$E:$E,$C6550,DATA_GOC!$F:$F,"Xuất nội bộ từ téc",DATA_GOC!$B:$B,"&gt;="&amp;$D6550,DATA_GOC!$B:$B,"&lt;="&amp;$E6550))</f>
        <v/>
      </c>
      <c r="J6550" s="59">
        <f t="shared" si="28"/>
        <v>0</v>
      </c>
      <c r="K6550" s="59">
        <f t="shared" si="29"/>
        <v>0</v>
      </c>
      <c r="L6550" s="59">
        <f t="shared" si="30"/>
        <v>0</v>
      </c>
      <c r="M6550" s="59">
        <f t="shared" si="31"/>
        <v>0</v>
      </c>
    </row>
    <row r="6551" ht="15.0" hidden="1" customHeight="1">
      <c r="A6551" s="59">
        <f t="shared" si="20"/>
        <v>106</v>
      </c>
      <c r="B6551" s="59" t="str">
        <f t="shared" si="21"/>
        <v/>
      </c>
      <c r="C6551" s="59" t="str">
        <f t="shared" si="22"/>
        <v/>
      </c>
      <c r="D6551" s="45" t="str">
        <f t="shared" si="23"/>
        <v/>
      </c>
      <c r="E6551" s="45" t="str">
        <f t="shared" si="24"/>
        <v/>
      </c>
      <c r="F6551" s="59" t="str">
        <f t="shared" si="25"/>
        <v/>
      </c>
      <c r="G6551" s="59" t="str">
        <f t="shared" si="26"/>
        <v/>
      </c>
      <c r="H6551" s="59" t="str">
        <f t="shared" si="27"/>
        <v>28C03385</v>
      </c>
      <c r="I6551" s="59" t="str">
        <f>IF(OR($A6551="",$C6551="",$D6551="",$E6551="",$H6551=""),"",SUMIFS(DATA_GOC!$H:$H,DATA_GOC!$A:$A,"BOM",DATA_GOC!$D:$D,$H6551,DATA_GOC!$E:$E,$C6551,DATA_GOC!$F:$F,"Xuất nội bộ từ téc",DATA_GOC!$B:$B,"&gt;="&amp;$D6551,DATA_GOC!$B:$B,"&lt;="&amp;$E6551))</f>
        <v/>
      </c>
      <c r="J6551" s="59">
        <f t="shared" si="28"/>
        <v>0</v>
      </c>
      <c r="K6551" s="59">
        <f t="shared" si="29"/>
        <v>0</v>
      </c>
      <c r="L6551" s="59">
        <f t="shared" si="30"/>
        <v>0</v>
      </c>
      <c r="M6551" s="59">
        <f t="shared" si="31"/>
        <v>0</v>
      </c>
    </row>
    <row r="6552" ht="15.0" hidden="1" customHeight="1">
      <c r="A6552" s="59">
        <f t="shared" si="20"/>
        <v>106</v>
      </c>
      <c r="B6552" s="59" t="str">
        <f t="shared" si="21"/>
        <v/>
      </c>
      <c r="C6552" s="59" t="str">
        <f t="shared" si="22"/>
        <v/>
      </c>
      <c r="D6552" s="45" t="str">
        <f t="shared" si="23"/>
        <v/>
      </c>
      <c r="E6552" s="45" t="str">
        <f t="shared" si="24"/>
        <v/>
      </c>
      <c r="F6552" s="59" t="str">
        <f t="shared" si="25"/>
        <v/>
      </c>
      <c r="G6552" s="59" t="str">
        <f t="shared" si="26"/>
        <v/>
      </c>
      <c r="H6552" s="59" t="str">
        <f t="shared" si="27"/>
        <v>28C03652</v>
      </c>
      <c r="I6552" s="59" t="str">
        <f>IF(OR($A6552="",$C6552="",$D6552="",$E6552="",$H6552=""),"",SUMIFS(DATA_GOC!$H:$H,DATA_GOC!$A:$A,"BOM",DATA_GOC!$D:$D,$H6552,DATA_GOC!$E:$E,$C6552,DATA_GOC!$F:$F,"Xuất nội bộ từ téc",DATA_GOC!$B:$B,"&gt;="&amp;$D6552,DATA_GOC!$B:$B,"&lt;="&amp;$E6552))</f>
        <v/>
      </c>
      <c r="J6552" s="59">
        <f t="shared" si="28"/>
        <v>0</v>
      </c>
      <c r="K6552" s="59">
        <f t="shared" si="29"/>
        <v>0</v>
      </c>
      <c r="L6552" s="59">
        <f t="shared" si="30"/>
        <v>0</v>
      </c>
      <c r="M6552" s="59">
        <f t="shared" si="31"/>
        <v>0</v>
      </c>
    </row>
    <row r="6553" ht="15.0" hidden="1" customHeight="1">
      <c r="A6553" s="59">
        <f t="shared" si="20"/>
        <v>106</v>
      </c>
      <c r="B6553" s="59" t="str">
        <f t="shared" si="21"/>
        <v/>
      </c>
      <c r="C6553" s="59" t="str">
        <f t="shared" si="22"/>
        <v/>
      </c>
      <c r="D6553" s="45" t="str">
        <f t="shared" si="23"/>
        <v/>
      </c>
      <c r="E6553" s="45" t="str">
        <f t="shared" si="24"/>
        <v/>
      </c>
      <c r="F6553" s="59" t="str">
        <f t="shared" si="25"/>
        <v/>
      </c>
      <c r="G6553" s="59" t="str">
        <f t="shared" si="26"/>
        <v/>
      </c>
      <c r="H6553" s="59" t="str">
        <f t="shared" si="27"/>
        <v>28C03695</v>
      </c>
      <c r="I6553" s="59" t="str">
        <f>IF(OR($A6553="",$C6553="",$D6553="",$E6553="",$H6553=""),"",SUMIFS(DATA_GOC!$H:$H,DATA_GOC!$A:$A,"BOM",DATA_GOC!$D:$D,$H6553,DATA_GOC!$E:$E,$C6553,DATA_GOC!$F:$F,"Xuất nội bộ từ téc",DATA_GOC!$B:$B,"&gt;="&amp;$D6553,DATA_GOC!$B:$B,"&lt;="&amp;$E6553))</f>
        <v/>
      </c>
      <c r="J6553" s="59">
        <f t="shared" si="28"/>
        <v>0</v>
      </c>
      <c r="K6553" s="59">
        <f t="shared" si="29"/>
        <v>0</v>
      </c>
      <c r="L6553" s="59">
        <f t="shared" si="30"/>
        <v>0</v>
      </c>
      <c r="M6553" s="59">
        <f t="shared" si="31"/>
        <v>0</v>
      </c>
    </row>
    <row r="6554" ht="15.0" hidden="1" customHeight="1">
      <c r="A6554" s="59">
        <f t="shared" si="20"/>
        <v>106</v>
      </c>
      <c r="B6554" s="59" t="str">
        <f t="shared" si="21"/>
        <v/>
      </c>
      <c r="C6554" s="59" t="str">
        <f t="shared" si="22"/>
        <v/>
      </c>
      <c r="D6554" s="45" t="str">
        <f t="shared" si="23"/>
        <v/>
      </c>
      <c r="E6554" s="45" t="str">
        <f t="shared" si="24"/>
        <v/>
      </c>
      <c r="F6554" s="59" t="str">
        <f t="shared" si="25"/>
        <v/>
      </c>
      <c r="G6554" s="59" t="str">
        <f t="shared" si="26"/>
        <v/>
      </c>
      <c r="H6554" s="59" t="str">
        <f t="shared" si="27"/>
        <v>28C03927</v>
      </c>
      <c r="I6554" s="59" t="str">
        <f>IF(OR($A6554="",$C6554="",$D6554="",$E6554="",$H6554=""),"",SUMIFS(DATA_GOC!$H:$H,DATA_GOC!$A:$A,"BOM",DATA_GOC!$D:$D,$H6554,DATA_GOC!$E:$E,$C6554,DATA_GOC!$F:$F,"Xuất nội bộ từ téc",DATA_GOC!$B:$B,"&gt;="&amp;$D6554,DATA_GOC!$B:$B,"&lt;="&amp;$E6554))</f>
        <v/>
      </c>
      <c r="J6554" s="59">
        <f t="shared" si="28"/>
        <v>0</v>
      </c>
      <c r="K6554" s="59">
        <f t="shared" si="29"/>
        <v>0</v>
      </c>
      <c r="L6554" s="59">
        <f t="shared" si="30"/>
        <v>0</v>
      </c>
      <c r="M6554" s="59">
        <f t="shared" si="31"/>
        <v>0</v>
      </c>
    </row>
    <row r="6555" ht="15.0" hidden="1" customHeight="1">
      <c r="A6555" s="59">
        <f t="shared" si="20"/>
        <v>106</v>
      </c>
      <c r="B6555" s="59" t="str">
        <f t="shared" si="21"/>
        <v/>
      </c>
      <c r="C6555" s="59" t="str">
        <f t="shared" si="22"/>
        <v/>
      </c>
      <c r="D6555" s="45" t="str">
        <f t="shared" si="23"/>
        <v/>
      </c>
      <c r="E6555" s="45" t="str">
        <f t="shared" si="24"/>
        <v/>
      </c>
      <c r="F6555" s="59" t="str">
        <f t="shared" si="25"/>
        <v/>
      </c>
      <c r="G6555" s="59" t="str">
        <f t="shared" si="26"/>
        <v/>
      </c>
      <c r="H6555" s="59" t="str">
        <f t="shared" si="27"/>
        <v>28C04509</v>
      </c>
      <c r="I6555" s="59" t="str">
        <f>IF(OR($A6555="",$C6555="",$D6555="",$E6555="",$H6555=""),"",SUMIFS(DATA_GOC!$H:$H,DATA_GOC!$A:$A,"BOM",DATA_GOC!$D:$D,$H6555,DATA_GOC!$E:$E,$C6555,DATA_GOC!$F:$F,"Xuất nội bộ từ téc",DATA_GOC!$B:$B,"&gt;="&amp;$D6555,DATA_GOC!$B:$B,"&lt;="&amp;$E6555))</f>
        <v/>
      </c>
      <c r="J6555" s="59">
        <f t="shared" si="28"/>
        <v>0</v>
      </c>
      <c r="K6555" s="59">
        <f t="shared" si="29"/>
        <v>0</v>
      </c>
      <c r="L6555" s="59">
        <f t="shared" si="30"/>
        <v>0</v>
      </c>
      <c r="M6555" s="59">
        <f t="shared" si="31"/>
        <v>0</v>
      </c>
    </row>
    <row r="6556" ht="15.0" hidden="1" customHeight="1">
      <c r="A6556" s="59">
        <f t="shared" si="20"/>
        <v>106</v>
      </c>
      <c r="B6556" s="59" t="str">
        <f t="shared" si="21"/>
        <v/>
      </c>
      <c r="C6556" s="59" t="str">
        <f t="shared" si="22"/>
        <v/>
      </c>
      <c r="D6556" s="45" t="str">
        <f t="shared" si="23"/>
        <v/>
      </c>
      <c r="E6556" s="45" t="str">
        <f t="shared" si="24"/>
        <v/>
      </c>
      <c r="F6556" s="59" t="str">
        <f t="shared" si="25"/>
        <v/>
      </c>
      <c r="G6556" s="59" t="str">
        <f t="shared" si="26"/>
        <v/>
      </c>
      <c r="H6556" s="59" t="str">
        <f t="shared" si="27"/>
        <v>28C04536</v>
      </c>
      <c r="I6556" s="59" t="str">
        <f>IF(OR($A6556="",$C6556="",$D6556="",$E6556="",$H6556=""),"",SUMIFS(DATA_GOC!$H:$H,DATA_GOC!$A:$A,"BOM",DATA_GOC!$D:$D,$H6556,DATA_GOC!$E:$E,$C6556,DATA_GOC!$F:$F,"Xuất nội bộ từ téc",DATA_GOC!$B:$B,"&gt;="&amp;$D6556,DATA_GOC!$B:$B,"&lt;="&amp;$E6556))</f>
        <v/>
      </c>
      <c r="J6556" s="59">
        <f t="shared" si="28"/>
        <v>0</v>
      </c>
      <c r="K6556" s="59">
        <f t="shared" si="29"/>
        <v>0</v>
      </c>
      <c r="L6556" s="59">
        <f t="shared" si="30"/>
        <v>0</v>
      </c>
      <c r="M6556" s="59">
        <f t="shared" si="31"/>
        <v>0</v>
      </c>
    </row>
    <row r="6557" ht="15.0" hidden="1" customHeight="1">
      <c r="A6557" s="59">
        <f t="shared" si="20"/>
        <v>106</v>
      </c>
      <c r="B6557" s="59" t="str">
        <f t="shared" si="21"/>
        <v/>
      </c>
      <c r="C6557" s="59" t="str">
        <f t="shared" si="22"/>
        <v/>
      </c>
      <c r="D6557" s="45" t="str">
        <f t="shared" si="23"/>
        <v/>
      </c>
      <c r="E6557" s="45" t="str">
        <f t="shared" si="24"/>
        <v/>
      </c>
      <c r="F6557" s="59" t="str">
        <f t="shared" si="25"/>
        <v/>
      </c>
      <c r="G6557" s="59" t="str">
        <f t="shared" si="26"/>
        <v/>
      </c>
      <c r="H6557" s="59" t="str">
        <f t="shared" si="27"/>
        <v>28C04576</v>
      </c>
      <c r="I6557" s="59" t="str">
        <f>IF(OR($A6557="",$C6557="",$D6557="",$E6557="",$H6557=""),"",SUMIFS(DATA_GOC!$H:$H,DATA_GOC!$A:$A,"BOM",DATA_GOC!$D:$D,$H6557,DATA_GOC!$E:$E,$C6557,DATA_GOC!$F:$F,"Xuất nội bộ từ téc",DATA_GOC!$B:$B,"&gt;="&amp;$D6557,DATA_GOC!$B:$B,"&lt;="&amp;$E6557))</f>
        <v/>
      </c>
      <c r="J6557" s="59">
        <f t="shared" si="28"/>
        <v>0</v>
      </c>
      <c r="K6557" s="59">
        <f t="shared" si="29"/>
        <v>0</v>
      </c>
      <c r="L6557" s="59">
        <f t="shared" si="30"/>
        <v>0</v>
      </c>
      <c r="M6557" s="59">
        <f t="shared" si="31"/>
        <v>0</v>
      </c>
    </row>
    <row r="6558" ht="15.0" hidden="1" customHeight="1">
      <c r="A6558" s="59">
        <f t="shared" si="20"/>
        <v>106</v>
      </c>
      <c r="B6558" s="59" t="str">
        <f t="shared" si="21"/>
        <v/>
      </c>
      <c r="C6558" s="59" t="str">
        <f t="shared" si="22"/>
        <v/>
      </c>
      <c r="D6558" s="45" t="str">
        <f t="shared" si="23"/>
        <v/>
      </c>
      <c r="E6558" s="45" t="str">
        <f t="shared" si="24"/>
        <v/>
      </c>
      <c r="F6558" s="59" t="str">
        <f t="shared" si="25"/>
        <v/>
      </c>
      <c r="G6558" s="59" t="str">
        <f t="shared" si="26"/>
        <v/>
      </c>
      <c r="H6558" s="59" t="str">
        <f t="shared" si="27"/>
        <v>28C05090</v>
      </c>
      <c r="I6558" s="59" t="str">
        <f>IF(OR($A6558="",$C6558="",$D6558="",$E6558="",$H6558=""),"",SUMIFS(DATA_GOC!$H:$H,DATA_GOC!$A:$A,"BOM",DATA_GOC!$D:$D,$H6558,DATA_GOC!$E:$E,$C6558,DATA_GOC!$F:$F,"Xuất nội bộ từ téc",DATA_GOC!$B:$B,"&gt;="&amp;$D6558,DATA_GOC!$B:$B,"&lt;="&amp;$E6558))</f>
        <v/>
      </c>
      <c r="J6558" s="59">
        <f t="shared" si="28"/>
        <v>0</v>
      </c>
      <c r="K6558" s="59">
        <f t="shared" si="29"/>
        <v>0</v>
      </c>
      <c r="L6558" s="59">
        <f t="shared" si="30"/>
        <v>0</v>
      </c>
      <c r="M6558" s="59">
        <f t="shared" si="31"/>
        <v>0</v>
      </c>
    </row>
    <row r="6559" ht="15.0" hidden="1" customHeight="1">
      <c r="A6559" s="59">
        <f t="shared" si="20"/>
        <v>106</v>
      </c>
      <c r="B6559" s="59" t="str">
        <f t="shared" si="21"/>
        <v/>
      </c>
      <c r="C6559" s="59" t="str">
        <f t="shared" si="22"/>
        <v/>
      </c>
      <c r="D6559" s="45" t="str">
        <f t="shared" si="23"/>
        <v/>
      </c>
      <c r="E6559" s="45" t="str">
        <f t="shared" si="24"/>
        <v/>
      </c>
      <c r="F6559" s="59" t="str">
        <f t="shared" si="25"/>
        <v/>
      </c>
      <c r="G6559" s="59" t="str">
        <f t="shared" si="26"/>
        <v/>
      </c>
      <c r="H6559" s="59" t="str">
        <f t="shared" si="27"/>
        <v>28C05345</v>
      </c>
      <c r="I6559" s="59" t="str">
        <f>IF(OR($A6559="",$C6559="",$D6559="",$E6559="",$H6559=""),"",SUMIFS(DATA_GOC!$H:$H,DATA_GOC!$A:$A,"BOM",DATA_GOC!$D:$D,$H6559,DATA_GOC!$E:$E,$C6559,DATA_GOC!$F:$F,"Xuất nội bộ từ téc",DATA_GOC!$B:$B,"&gt;="&amp;$D6559,DATA_GOC!$B:$B,"&lt;="&amp;$E6559))</f>
        <v/>
      </c>
      <c r="J6559" s="59">
        <f t="shared" si="28"/>
        <v>0</v>
      </c>
      <c r="K6559" s="59">
        <f t="shared" si="29"/>
        <v>0</v>
      </c>
      <c r="L6559" s="59">
        <f t="shared" si="30"/>
        <v>0</v>
      </c>
      <c r="M6559" s="59">
        <f t="shared" si="31"/>
        <v>0</v>
      </c>
    </row>
    <row r="6560" ht="15.0" hidden="1" customHeight="1">
      <c r="A6560" s="59">
        <f t="shared" si="20"/>
        <v>106</v>
      </c>
      <c r="B6560" s="59" t="str">
        <f t="shared" si="21"/>
        <v/>
      </c>
      <c r="C6560" s="59" t="str">
        <f t="shared" si="22"/>
        <v/>
      </c>
      <c r="D6560" s="45" t="str">
        <f t="shared" si="23"/>
        <v/>
      </c>
      <c r="E6560" s="45" t="str">
        <f t="shared" si="24"/>
        <v/>
      </c>
      <c r="F6560" s="59" t="str">
        <f t="shared" si="25"/>
        <v/>
      </c>
      <c r="G6560" s="59" t="str">
        <f t="shared" si="26"/>
        <v/>
      </c>
      <c r="H6560" s="59" t="str">
        <f t="shared" si="27"/>
        <v>28C05661</v>
      </c>
      <c r="I6560" s="59" t="str">
        <f>IF(OR($A6560="",$C6560="",$D6560="",$E6560="",$H6560=""),"",SUMIFS(DATA_GOC!$H:$H,DATA_GOC!$A:$A,"BOM",DATA_GOC!$D:$D,$H6560,DATA_GOC!$E:$E,$C6560,DATA_GOC!$F:$F,"Xuất nội bộ từ téc",DATA_GOC!$B:$B,"&gt;="&amp;$D6560,DATA_GOC!$B:$B,"&lt;="&amp;$E6560))</f>
        <v/>
      </c>
      <c r="J6560" s="59">
        <f t="shared" si="28"/>
        <v>0</v>
      </c>
      <c r="K6560" s="59">
        <f t="shared" si="29"/>
        <v>0</v>
      </c>
      <c r="L6560" s="59">
        <f t="shared" si="30"/>
        <v>0</v>
      </c>
      <c r="M6560" s="59">
        <f t="shared" si="31"/>
        <v>0</v>
      </c>
    </row>
    <row r="6561" ht="15.0" hidden="1" customHeight="1">
      <c r="A6561" s="59">
        <f t="shared" si="20"/>
        <v>106</v>
      </c>
      <c r="B6561" s="59" t="str">
        <f t="shared" si="21"/>
        <v/>
      </c>
      <c r="C6561" s="59" t="str">
        <f t="shared" si="22"/>
        <v/>
      </c>
      <c r="D6561" s="45" t="str">
        <f t="shared" si="23"/>
        <v/>
      </c>
      <c r="E6561" s="45" t="str">
        <f t="shared" si="24"/>
        <v/>
      </c>
      <c r="F6561" s="59" t="str">
        <f t="shared" si="25"/>
        <v/>
      </c>
      <c r="G6561" s="59" t="str">
        <f t="shared" si="26"/>
        <v/>
      </c>
      <c r="H6561" s="59" t="str">
        <f t="shared" si="27"/>
        <v>28C05739</v>
      </c>
      <c r="I6561" s="59" t="str">
        <f>IF(OR($A6561="",$C6561="",$D6561="",$E6561="",$H6561=""),"",SUMIFS(DATA_GOC!$H:$H,DATA_GOC!$A:$A,"BOM",DATA_GOC!$D:$D,$H6561,DATA_GOC!$E:$E,$C6561,DATA_GOC!$F:$F,"Xuất nội bộ từ téc",DATA_GOC!$B:$B,"&gt;="&amp;$D6561,DATA_GOC!$B:$B,"&lt;="&amp;$E6561))</f>
        <v/>
      </c>
      <c r="J6561" s="59">
        <f t="shared" si="28"/>
        <v>0</v>
      </c>
      <c r="K6561" s="59">
        <f t="shared" si="29"/>
        <v>0</v>
      </c>
      <c r="L6561" s="59">
        <f t="shared" si="30"/>
        <v>0</v>
      </c>
      <c r="M6561" s="59">
        <f t="shared" si="31"/>
        <v>0</v>
      </c>
    </row>
    <row r="6562" ht="15.0" hidden="1" customHeight="1">
      <c r="A6562" s="59">
        <f t="shared" si="20"/>
        <v>106</v>
      </c>
      <c r="B6562" s="59" t="str">
        <f t="shared" si="21"/>
        <v/>
      </c>
      <c r="C6562" s="59" t="str">
        <f t="shared" si="22"/>
        <v/>
      </c>
      <c r="D6562" s="45" t="str">
        <f t="shared" si="23"/>
        <v/>
      </c>
      <c r="E6562" s="45" t="str">
        <f t="shared" si="24"/>
        <v/>
      </c>
      <c r="F6562" s="59" t="str">
        <f t="shared" si="25"/>
        <v/>
      </c>
      <c r="G6562" s="59" t="str">
        <f t="shared" si="26"/>
        <v/>
      </c>
      <c r="H6562" s="59" t="str">
        <f t="shared" si="27"/>
        <v>28C06369</v>
      </c>
      <c r="I6562" s="59" t="str">
        <f>IF(OR($A6562="",$C6562="",$D6562="",$E6562="",$H6562=""),"",SUMIFS(DATA_GOC!$H:$H,DATA_GOC!$A:$A,"BOM",DATA_GOC!$D:$D,$H6562,DATA_GOC!$E:$E,$C6562,DATA_GOC!$F:$F,"Xuất nội bộ từ téc",DATA_GOC!$B:$B,"&gt;="&amp;$D6562,DATA_GOC!$B:$B,"&lt;="&amp;$E6562))</f>
        <v/>
      </c>
      <c r="J6562" s="59">
        <f t="shared" si="28"/>
        <v>0</v>
      </c>
      <c r="K6562" s="59">
        <f t="shared" si="29"/>
        <v>0</v>
      </c>
      <c r="L6562" s="59">
        <f t="shared" si="30"/>
        <v>0</v>
      </c>
      <c r="M6562" s="59">
        <f t="shared" si="31"/>
        <v>0</v>
      </c>
    </row>
    <row r="6563" ht="15.0" hidden="1" customHeight="1">
      <c r="A6563" s="59">
        <f t="shared" si="20"/>
        <v>106</v>
      </c>
      <c r="B6563" s="59" t="str">
        <f t="shared" si="21"/>
        <v/>
      </c>
      <c r="C6563" s="59" t="str">
        <f t="shared" si="22"/>
        <v/>
      </c>
      <c r="D6563" s="45" t="str">
        <f t="shared" si="23"/>
        <v/>
      </c>
      <c r="E6563" s="45" t="str">
        <f t="shared" si="24"/>
        <v/>
      </c>
      <c r="F6563" s="59" t="str">
        <f t="shared" si="25"/>
        <v/>
      </c>
      <c r="G6563" s="59" t="str">
        <f t="shared" si="26"/>
        <v/>
      </c>
      <c r="H6563" s="59" t="str">
        <f t="shared" si="27"/>
        <v>28C06447</v>
      </c>
      <c r="I6563" s="59" t="str">
        <f>IF(OR($A6563="",$C6563="",$D6563="",$E6563="",$H6563=""),"",SUMIFS(DATA_GOC!$H:$H,DATA_GOC!$A:$A,"BOM",DATA_GOC!$D:$D,$H6563,DATA_GOC!$E:$E,$C6563,DATA_GOC!$F:$F,"Xuất nội bộ từ téc",DATA_GOC!$B:$B,"&gt;="&amp;$D6563,DATA_GOC!$B:$B,"&lt;="&amp;$E6563))</f>
        <v/>
      </c>
      <c r="J6563" s="59">
        <f t="shared" si="28"/>
        <v>0</v>
      </c>
      <c r="K6563" s="59">
        <f t="shared" si="29"/>
        <v>0</v>
      </c>
      <c r="L6563" s="59">
        <f t="shared" si="30"/>
        <v>0</v>
      </c>
      <c r="M6563" s="59">
        <f t="shared" si="31"/>
        <v>0</v>
      </c>
    </row>
    <row r="6564" ht="15.0" hidden="1" customHeight="1">
      <c r="A6564" s="59">
        <f t="shared" si="20"/>
        <v>106</v>
      </c>
      <c r="B6564" s="59" t="str">
        <f t="shared" si="21"/>
        <v/>
      </c>
      <c r="C6564" s="59" t="str">
        <f t="shared" si="22"/>
        <v/>
      </c>
      <c r="D6564" s="45" t="str">
        <f t="shared" si="23"/>
        <v/>
      </c>
      <c r="E6564" s="45" t="str">
        <f t="shared" si="24"/>
        <v/>
      </c>
      <c r="F6564" s="59" t="str">
        <f t="shared" si="25"/>
        <v/>
      </c>
      <c r="G6564" s="59" t="str">
        <f t="shared" si="26"/>
        <v/>
      </c>
      <c r="H6564" s="59" t="str">
        <f t="shared" si="27"/>
        <v>28H00003</v>
      </c>
      <c r="I6564" s="59" t="str">
        <f>IF(OR($A6564="",$C6564="",$D6564="",$E6564="",$H6564=""),"",SUMIFS(DATA_GOC!$H:$H,DATA_GOC!$A:$A,"BOM",DATA_GOC!$D:$D,$H6564,DATA_GOC!$E:$E,$C6564,DATA_GOC!$F:$F,"Xuất nội bộ từ téc",DATA_GOC!$B:$B,"&gt;="&amp;$D6564,DATA_GOC!$B:$B,"&lt;="&amp;$E6564))</f>
        <v/>
      </c>
      <c r="J6564" s="59">
        <f t="shared" si="28"/>
        <v>0</v>
      </c>
      <c r="K6564" s="59">
        <f t="shared" si="29"/>
        <v>0</v>
      </c>
      <c r="L6564" s="59">
        <f t="shared" si="30"/>
        <v>0</v>
      </c>
      <c r="M6564" s="59">
        <f t="shared" si="31"/>
        <v>0</v>
      </c>
    </row>
    <row r="6565" ht="15.0" hidden="1" customHeight="1">
      <c r="A6565" s="59">
        <f t="shared" si="20"/>
        <v>106</v>
      </c>
      <c r="B6565" s="59" t="str">
        <f t="shared" si="21"/>
        <v/>
      </c>
      <c r="C6565" s="59" t="str">
        <f t="shared" si="22"/>
        <v/>
      </c>
      <c r="D6565" s="45" t="str">
        <f t="shared" si="23"/>
        <v/>
      </c>
      <c r="E6565" s="45" t="str">
        <f t="shared" si="24"/>
        <v/>
      </c>
      <c r="F6565" s="59" t="str">
        <f t="shared" si="25"/>
        <v/>
      </c>
      <c r="G6565" s="59" t="str">
        <f t="shared" si="26"/>
        <v/>
      </c>
      <c r="H6565" s="59" t="str">
        <f t="shared" si="27"/>
        <v>28H00061</v>
      </c>
      <c r="I6565" s="59" t="str">
        <f>IF(OR($A6565="",$C6565="",$D6565="",$E6565="",$H6565=""),"",SUMIFS(DATA_GOC!$H:$H,DATA_GOC!$A:$A,"BOM",DATA_GOC!$D:$D,$H6565,DATA_GOC!$E:$E,$C6565,DATA_GOC!$F:$F,"Xuất nội bộ từ téc",DATA_GOC!$B:$B,"&gt;="&amp;$D6565,DATA_GOC!$B:$B,"&lt;="&amp;$E6565))</f>
        <v/>
      </c>
      <c r="J6565" s="59">
        <f t="shared" si="28"/>
        <v>0</v>
      </c>
      <c r="K6565" s="59">
        <f t="shared" si="29"/>
        <v>0</v>
      </c>
      <c r="L6565" s="59">
        <f t="shared" si="30"/>
        <v>0</v>
      </c>
      <c r="M6565" s="59">
        <f t="shared" si="31"/>
        <v>0</v>
      </c>
    </row>
    <row r="6566" ht="15.0" hidden="1" customHeight="1">
      <c r="A6566" s="59">
        <f t="shared" si="20"/>
        <v>106</v>
      </c>
      <c r="B6566" s="59" t="str">
        <f t="shared" si="21"/>
        <v/>
      </c>
      <c r="C6566" s="59" t="str">
        <f t="shared" si="22"/>
        <v/>
      </c>
      <c r="D6566" s="45" t="str">
        <f t="shared" si="23"/>
        <v/>
      </c>
      <c r="E6566" s="45" t="str">
        <f t="shared" si="24"/>
        <v/>
      </c>
      <c r="F6566" s="59" t="str">
        <f t="shared" si="25"/>
        <v/>
      </c>
      <c r="G6566" s="59" t="str">
        <f t="shared" si="26"/>
        <v/>
      </c>
      <c r="H6566" s="59" t="str">
        <f t="shared" si="27"/>
        <v>28H00354</v>
      </c>
      <c r="I6566" s="59" t="str">
        <f>IF(OR($A6566="",$C6566="",$D6566="",$E6566="",$H6566=""),"",SUMIFS(DATA_GOC!$H:$H,DATA_GOC!$A:$A,"BOM",DATA_GOC!$D:$D,$H6566,DATA_GOC!$E:$E,$C6566,DATA_GOC!$F:$F,"Xuất nội bộ từ téc",DATA_GOC!$B:$B,"&gt;="&amp;$D6566,DATA_GOC!$B:$B,"&lt;="&amp;$E6566))</f>
        <v/>
      </c>
      <c r="J6566" s="59">
        <f t="shared" si="28"/>
        <v>0</v>
      </c>
      <c r="K6566" s="59">
        <f t="shared" si="29"/>
        <v>0</v>
      </c>
      <c r="L6566" s="59">
        <f t="shared" si="30"/>
        <v>0</v>
      </c>
      <c r="M6566" s="59">
        <f t="shared" si="31"/>
        <v>0</v>
      </c>
    </row>
    <row r="6567" ht="15.0" hidden="1" customHeight="1">
      <c r="A6567" s="59">
        <f t="shared" si="20"/>
        <v>106</v>
      </c>
      <c r="B6567" s="59" t="str">
        <f t="shared" si="21"/>
        <v/>
      </c>
      <c r="C6567" s="59" t="str">
        <f t="shared" si="22"/>
        <v/>
      </c>
      <c r="D6567" s="45" t="str">
        <f t="shared" si="23"/>
        <v/>
      </c>
      <c r="E6567" s="45" t="str">
        <f t="shared" si="24"/>
        <v/>
      </c>
      <c r="F6567" s="59" t="str">
        <f t="shared" si="25"/>
        <v/>
      </c>
      <c r="G6567" s="59" t="str">
        <f t="shared" si="26"/>
        <v/>
      </c>
      <c r="H6567" s="59" t="str">
        <f t="shared" si="27"/>
        <v>28H00603</v>
      </c>
      <c r="I6567" s="59" t="str">
        <f>IF(OR($A6567="",$C6567="",$D6567="",$E6567="",$H6567=""),"",SUMIFS(DATA_GOC!$H:$H,DATA_GOC!$A:$A,"BOM",DATA_GOC!$D:$D,$H6567,DATA_GOC!$E:$E,$C6567,DATA_GOC!$F:$F,"Xuất nội bộ từ téc",DATA_GOC!$B:$B,"&gt;="&amp;$D6567,DATA_GOC!$B:$B,"&lt;="&amp;$E6567))</f>
        <v/>
      </c>
      <c r="J6567" s="59">
        <f t="shared" si="28"/>
        <v>0</v>
      </c>
      <c r="K6567" s="59">
        <f t="shared" si="29"/>
        <v>0</v>
      </c>
      <c r="L6567" s="59">
        <f t="shared" si="30"/>
        <v>0</v>
      </c>
      <c r="M6567" s="59">
        <f t="shared" si="31"/>
        <v>0</v>
      </c>
    </row>
    <row r="6568" ht="15.0" hidden="1" customHeight="1">
      <c r="A6568" s="59">
        <f t="shared" si="20"/>
        <v>106</v>
      </c>
      <c r="B6568" s="59" t="str">
        <f t="shared" si="21"/>
        <v/>
      </c>
      <c r="C6568" s="59" t="str">
        <f t="shared" si="22"/>
        <v/>
      </c>
      <c r="D6568" s="45" t="str">
        <f t="shared" si="23"/>
        <v/>
      </c>
      <c r="E6568" s="45" t="str">
        <f t="shared" si="24"/>
        <v/>
      </c>
      <c r="F6568" s="59" t="str">
        <f t="shared" si="25"/>
        <v/>
      </c>
      <c r="G6568" s="59" t="str">
        <f t="shared" si="26"/>
        <v/>
      </c>
      <c r="H6568" s="59" t="str">
        <f t="shared" si="27"/>
        <v>28H00609</v>
      </c>
      <c r="I6568" s="59" t="str">
        <f>IF(OR($A6568="",$C6568="",$D6568="",$E6568="",$H6568=""),"",SUMIFS(DATA_GOC!$H:$H,DATA_GOC!$A:$A,"BOM",DATA_GOC!$D:$D,$H6568,DATA_GOC!$E:$E,$C6568,DATA_GOC!$F:$F,"Xuất nội bộ từ téc",DATA_GOC!$B:$B,"&gt;="&amp;$D6568,DATA_GOC!$B:$B,"&lt;="&amp;$E6568))</f>
        <v/>
      </c>
      <c r="J6568" s="59">
        <f t="shared" si="28"/>
        <v>0</v>
      </c>
      <c r="K6568" s="59">
        <f t="shared" si="29"/>
        <v>0</v>
      </c>
      <c r="L6568" s="59">
        <f t="shared" si="30"/>
        <v>0</v>
      </c>
      <c r="M6568" s="59">
        <f t="shared" si="31"/>
        <v>0</v>
      </c>
    </row>
    <row r="6569" ht="15.0" hidden="1" customHeight="1">
      <c r="A6569" s="59">
        <f t="shared" si="20"/>
        <v>106</v>
      </c>
      <c r="B6569" s="59" t="str">
        <f t="shared" si="21"/>
        <v/>
      </c>
      <c r="C6569" s="59" t="str">
        <f t="shared" si="22"/>
        <v/>
      </c>
      <c r="D6569" s="45" t="str">
        <f t="shared" si="23"/>
        <v/>
      </c>
      <c r="E6569" s="45" t="str">
        <f t="shared" si="24"/>
        <v/>
      </c>
      <c r="F6569" s="59" t="str">
        <f t="shared" si="25"/>
        <v/>
      </c>
      <c r="G6569" s="59" t="str">
        <f t="shared" si="26"/>
        <v/>
      </c>
      <c r="H6569" s="59" t="str">
        <f t="shared" si="27"/>
        <v>28H00669</v>
      </c>
      <c r="I6569" s="59" t="str">
        <f>IF(OR($A6569="",$C6569="",$D6569="",$E6569="",$H6569=""),"",SUMIFS(DATA_GOC!$H:$H,DATA_GOC!$A:$A,"BOM",DATA_GOC!$D:$D,$H6569,DATA_GOC!$E:$E,$C6569,DATA_GOC!$F:$F,"Xuất nội bộ từ téc",DATA_GOC!$B:$B,"&gt;="&amp;$D6569,DATA_GOC!$B:$B,"&lt;="&amp;$E6569))</f>
        <v/>
      </c>
      <c r="J6569" s="59">
        <f t="shared" si="28"/>
        <v>0</v>
      </c>
      <c r="K6569" s="59">
        <f t="shared" si="29"/>
        <v>0</v>
      </c>
      <c r="L6569" s="59">
        <f t="shared" si="30"/>
        <v>0</v>
      </c>
      <c r="M6569" s="59">
        <f t="shared" si="31"/>
        <v>0</v>
      </c>
    </row>
    <row r="6570" ht="15.0" hidden="1" customHeight="1">
      <c r="A6570" s="59">
        <f t="shared" si="20"/>
        <v>106</v>
      </c>
      <c r="B6570" s="59" t="str">
        <f t="shared" si="21"/>
        <v/>
      </c>
      <c r="C6570" s="59" t="str">
        <f t="shared" si="22"/>
        <v/>
      </c>
      <c r="D6570" s="45" t="str">
        <f t="shared" si="23"/>
        <v/>
      </c>
      <c r="E6570" s="45" t="str">
        <f t="shared" si="24"/>
        <v/>
      </c>
      <c r="F6570" s="59" t="str">
        <f t="shared" si="25"/>
        <v/>
      </c>
      <c r="G6570" s="59" t="str">
        <f t="shared" si="26"/>
        <v/>
      </c>
      <c r="H6570" s="59" t="str">
        <f t="shared" si="27"/>
        <v>28H00680</v>
      </c>
      <c r="I6570" s="59" t="str">
        <f>IF(OR($A6570="",$C6570="",$D6570="",$E6570="",$H6570=""),"",SUMIFS(DATA_GOC!$H:$H,DATA_GOC!$A:$A,"BOM",DATA_GOC!$D:$D,$H6570,DATA_GOC!$E:$E,$C6570,DATA_GOC!$F:$F,"Xuất nội bộ từ téc",DATA_GOC!$B:$B,"&gt;="&amp;$D6570,DATA_GOC!$B:$B,"&lt;="&amp;$E6570))</f>
        <v/>
      </c>
      <c r="J6570" s="59">
        <f t="shared" si="28"/>
        <v>0</v>
      </c>
      <c r="K6570" s="59">
        <f t="shared" si="29"/>
        <v>0</v>
      </c>
      <c r="L6570" s="59">
        <f t="shared" si="30"/>
        <v>0</v>
      </c>
      <c r="M6570" s="59">
        <f t="shared" si="31"/>
        <v>0</v>
      </c>
    </row>
    <row r="6571" ht="15.0" hidden="1" customHeight="1">
      <c r="A6571" s="59">
        <f t="shared" si="20"/>
        <v>106</v>
      </c>
      <c r="B6571" s="59" t="str">
        <f t="shared" si="21"/>
        <v/>
      </c>
      <c r="C6571" s="59" t="str">
        <f t="shared" si="22"/>
        <v/>
      </c>
      <c r="D6571" s="45" t="str">
        <f t="shared" si="23"/>
        <v/>
      </c>
      <c r="E6571" s="45" t="str">
        <f t="shared" si="24"/>
        <v/>
      </c>
      <c r="F6571" s="59" t="str">
        <f t="shared" si="25"/>
        <v/>
      </c>
      <c r="G6571" s="59" t="str">
        <f t="shared" si="26"/>
        <v/>
      </c>
      <c r="H6571" s="59" t="str">
        <f t="shared" si="27"/>
        <v>28H01070</v>
      </c>
      <c r="I6571" s="59" t="str">
        <f>IF(OR($A6571="",$C6571="",$D6571="",$E6571="",$H6571=""),"",SUMIFS(DATA_GOC!$H:$H,DATA_GOC!$A:$A,"BOM",DATA_GOC!$D:$D,$H6571,DATA_GOC!$E:$E,$C6571,DATA_GOC!$F:$F,"Xuất nội bộ từ téc",DATA_GOC!$B:$B,"&gt;="&amp;$D6571,DATA_GOC!$B:$B,"&lt;="&amp;$E6571))</f>
        <v/>
      </c>
      <c r="J6571" s="59">
        <f t="shared" si="28"/>
        <v>0</v>
      </c>
      <c r="K6571" s="59">
        <f t="shared" si="29"/>
        <v>0</v>
      </c>
      <c r="L6571" s="59">
        <f t="shared" si="30"/>
        <v>0</v>
      </c>
      <c r="M6571" s="59">
        <f t="shared" si="31"/>
        <v>0</v>
      </c>
    </row>
    <row r="6572" ht="15.0" hidden="1" customHeight="1">
      <c r="A6572" s="59">
        <f t="shared" si="20"/>
        <v>106</v>
      </c>
      <c r="B6572" s="59" t="str">
        <f t="shared" si="21"/>
        <v/>
      </c>
      <c r="C6572" s="59" t="str">
        <f t="shared" si="22"/>
        <v/>
      </c>
      <c r="D6572" s="45" t="str">
        <f t="shared" si="23"/>
        <v/>
      </c>
      <c r="E6572" s="45" t="str">
        <f t="shared" si="24"/>
        <v/>
      </c>
      <c r="F6572" s="59" t="str">
        <f t="shared" si="25"/>
        <v/>
      </c>
      <c r="G6572" s="59" t="str">
        <f t="shared" si="26"/>
        <v/>
      </c>
      <c r="H6572" s="59" t="str">
        <f t="shared" si="27"/>
        <v>28H01364</v>
      </c>
      <c r="I6572" s="59" t="str">
        <f>IF(OR($A6572="",$C6572="",$D6572="",$E6572="",$H6572=""),"",SUMIFS(DATA_GOC!$H:$H,DATA_GOC!$A:$A,"BOM",DATA_GOC!$D:$D,$H6572,DATA_GOC!$E:$E,$C6572,DATA_GOC!$F:$F,"Xuất nội bộ từ téc",DATA_GOC!$B:$B,"&gt;="&amp;$D6572,DATA_GOC!$B:$B,"&lt;="&amp;$E6572))</f>
        <v/>
      </c>
      <c r="J6572" s="59">
        <f t="shared" si="28"/>
        <v>0</v>
      </c>
      <c r="K6572" s="59">
        <f t="shared" si="29"/>
        <v>0</v>
      </c>
      <c r="L6572" s="59">
        <f t="shared" si="30"/>
        <v>0</v>
      </c>
      <c r="M6572" s="59">
        <f t="shared" si="31"/>
        <v>0</v>
      </c>
    </row>
    <row r="6573" ht="15.0" hidden="1" customHeight="1">
      <c r="A6573" s="59">
        <f t="shared" si="20"/>
        <v>106</v>
      </c>
      <c r="B6573" s="59" t="str">
        <f t="shared" si="21"/>
        <v/>
      </c>
      <c r="C6573" s="59" t="str">
        <f t="shared" si="22"/>
        <v/>
      </c>
      <c r="D6573" s="45" t="str">
        <f t="shared" si="23"/>
        <v/>
      </c>
      <c r="E6573" s="45" t="str">
        <f t="shared" si="24"/>
        <v/>
      </c>
      <c r="F6573" s="59" t="str">
        <f t="shared" si="25"/>
        <v/>
      </c>
      <c r="G6573" s="59" t="str">
        <f t="shared" si="26"/>
        <v/>
      </c>
      <c r="H6573" s="59" t="str">
        <f t="shared" si="27"/>
        <v>29E17269</v>
      </c>
      <c r="I6573" s="59" t="str">
        <f>IF(OR($A6573="",$C6573="",$D6573="",$E6573="",$H6573=""),"",SUMIFS(DATA_GOC!$H:$H,DATA_GOC!$A:$A,"BOM",DATA_GOC!$D:$D,$H6573,DATA_GOC!$E:$E,$C6573,DATA_GOC!$F:$F,"Xuất nội bộ từ téc",DATA_GOC!$B:$B,"&gt;="&amp;$D6573,DATA_GOC!$B:$B,"&lt;="&amp;$E6573))</f>
        <v/>
      </c>
      <c r="J6573" s="59">
        <f t="shared" si="28"/>
        <v>0</v>
      </c>
      <c r="K6573" s="59">
        <f t="shared" si="29"/>
        <v>0</v>
      </c>
      <c r="L6573" s="59">
        <f t="shared" si="30"/>
        <v>0</v>
      </c>
      <c r="M6573" s="59">
        <f t="shared" si="31"/>
        <v>0</v>
      </c>
    </row>
    <row r="6574" ht="15.0" hidden="1" customHeight="1">
      <c r="A6574" s="59">
        <f t="shared" si="20"/>
        <v>106</v>
      </c>
      <c r="B6574" s="59" t="str">
        <f t="shared" si="21"/>
        <v/>
      </c>
      <c r="C6574" s="59" t="str">
        <f t="shared" si="22"/>
        <v/>
      </c>
      <c r="D6574" s="45" t="str">
        <f t="shared" si="23"/>
        <v/>
      </c>
      <c r="E6574" s="45" t="str">
        <f t="shared" si="24"/>
        <v/>
      </c>
      <c r="F6574" s="59" t="str">
        <f t="shared" si="25"/>
        <v/>
      </c>
      <c r="G6574" s="59" t="str">
        <f t="shared" si="26"/>
        <v/>
      </c>
      <c r="H6574" s="59" t="str">
        <f t="shared" si="27"/>
        <v>29E17273</v>
      </c>
      <c r="I6574" s="59" t="str">
        <f>IF(OR($A6574="",$C6574="",$D6574="",$E6574="",$H6574=""),"",SUMIFS(DATA_GOC!$H:$H,DATA_GOC!$A:$A,"BOM",DATA_GOC!$D:$D,$H6574,DATA_GOC!$E:$E,$C6574,DATA_GOC!$F:$F,"Xuất nội bộ từ téc",DATA_GOC!$B:$B,"&gt;="&amp;$D6574,DATA_GOC!$B:$B,"&lt;="&amp;$E6574))</f>
        <v/>
      </c>
      <c r="J6574" s="59">
        <f t="shared" si="28"/>
        <v>0</v>
      </c>
      <c r="K6574" s="59">
        <f t="shared" si="29"/>
        <v>0</v>
      </c>
      <c r="L6574" s="59">
        <f t="shared" si="30"/>
        <v>0</v>
      </c>
      <c r="M6574" s="59">
        <f t="shared" si="31"/>
        <v>0</v>
      </c>
    </row>
    <row r="6575" ht="15.0" hidden="1" customHeight="1">
      <c r="A6575" s="59">
        <f t="shared" si="20"/>
        <v>106</v>
      </c>
      <c r="B6575" s="59" t="str">
        <f t="shared" si="21"/>
        <v/>
      </c>
      <c r="C6575" s="59" t="str">
        <f t="shared" si="22"/>
        <v/>
      </c>
      <c r="D6575" s="45" t="str">
        <f t="shared" si="23"/>
        <v/>
      </c>
      <c r="E6575" s="45" t="str">
        <f t="shared" si="24"/>
        <v/>
      </c>
      <c r="F6575" s="59" t="str">
        <f t="shared" si="25"/>
        <v/>
      </c>
      <c r="G6575" s="59" t="str">
        <f t="shared" si="26"/>
        <v/>
      </c>
      <c r="H6575" s="59" t="str">
        <f t="shared" si="27"/>
        <v>29E17410</v>
      </c>
      <c r="I6575" s="59" t="str">
        <f>IF(OR($A6575="",$C6575="",$D6575="",$E6575="",$H6575=""),"",SUMIFS(DATA_GOC!$H:$H,DATA_GOC!$A:$A,"BOM",DATA_GOC!$D:$D,$H6575,DATA_GOC!$E:$E,$C6575,DATA_GOC!$F:$F,"Xuất nội bộ từ téc",DATA_GOC!$B:$B,"&gt;="&amp;$D6575,DATA_GOC!$B:$B,"&lt;="&amp;$E6575))</f>
        <v/>
      </c>
      <c r="J6575" s="59">
        <f t="shared" si="28"/>
        <v>0</v>
      </c>
      <c r="K6575" s="59">
        <f t="shared" si="29"/>
        <v>0</v>
      </c>
      <c r="L6575" s="59">
        <f t="shared" si="30"/>
        <v>0</v>
      </c>
      <c r="M6575" s="59">
        <f t="shared" si="31"/>
        <v>0</v>
      </c>
    </row>
    <row r="6576" ht="15.0" hidden="1" customHeight="1">
      <c r="A6576" s="59">
        <f t="shared" si="20"/>
        <v>106</v>
      </c>
      <c r="B6576" s="59" t="str">
        <f t="shared" si="21"/>
        <v/>
      </c>
      <c r="C6576" s="59" t="str">
        <f t="shared" si="22"/>
        <v/>
      </c>
      <c r="D6576" s="45" t="str">
        <f t="shared" si="23"/>
        <v/>
      </c>
      <c r="E6576" s="45" t="str">
        <f t="shared" si="24"/>
        <v/>
      </c>
      <c r="F6576" s="59" t="str">
        <f t="shared" si="25"/>
        <v/>
      </c>
      <c r="G6576" s="59" t="str">
        <f t="shared" si="26"/>
        <v/>
      </c>
      <c r="H6576" s="59" t="str">
        <f t="shared" si="27"/>
        <v>29E17417</v>
      </c>
      <c r="I6576" s="59" t="str">
        <f>IF(OR($A6576="",$C6576="",$D6576="",$E6576="",$H6576=""),"",SUMIFS(DATA_GOC!$H:$H,DATA_GOC!$A:$A,"BOM",DATA_GOC!$D:$D,$H6576,DATA_GOC!$E:$E,$C6576,DATA_GOC!$F:$F,"Xuất nội bộ từ téc",DATA_GOC!$B:$B,"&gt;="&amp;$D6576,DATA_GOC!$B:$B,"&lt;="&amp;$E6576))</f>
        <v/>
      </c>
      <c r="J6576" s="59">
        <f t="shared" si="28"/>
        <v>0</v>
      </c>
      <c r="K6576" s="59">
        <f t="shared" si="29"/>
        <v>0</v>
      </c>
      <c r="L6576" s="59">
        <f t="shared" si="30"/>
        <v>0</v>
      </c>
      <c r="M6576" s="59">
        <f t="shared" si="31"/>
        <v>0</v>
      </c>
    </row>
    <row r="6577" ht="15.0" hidden="1" customHeight="1">
      <c r="A6577" s="59">
        <f t="shared" si="20"/>
        <v>106</v>
      </c>
      <c r="B6577" s="59" t="str">
        <f t="shared" si="21"/>
        <v/>
      </c>
      <c r="C6577" s="59" t="str">
        <f t="shared" si="22"/>
        <v/>
      </c>
      <c r="D6577" s="45" t="str">
        <f t="shared" si="23"/>
        <v/>
      </c>
      <c r="E6577" s="45" t="str">
        <f t="shared" si="24"/>
        <v/>
      </c>
      <c r="F6577" s="59" t="str">
        <f t="shared" si="25"/>
        <v/>
      </c>
      <c r="G6577" s="59" t="str">
        <f t="shared" si="26"/>
        <v/>
      </c>
      <c r="H6577" s="59" t="str">
        <f t="shared" si="27"/>
        <v>29E17539</v>
      </c>
      <c r="I6577" s="59" t="str">
        <f>IF(OR($A6577="",$C6577="",$D6577="",$E6577="",$H6577=""),"",SUMIFS(DATA_GOC!$H:$H,DATA_GOC!$A:$A,"BOM",DATA_GOC!$D:$D,$H6577,DATA_GOC!$E:$E,$C6577,DATA_GOC!$F:$F,"Xuất nội bộ từ téc",DATA_GOC!$B:$B,"&gt;="&amp;$D6577,DATA_GOC!$B:$B,"&lt;="&amp;$E6577))</f>
        <v/>
      </c>
      <c r="J6577" s="59">
        <f t="shared" si="28"/>
        <v>0</v>
      </c>
      <c r="K6577" s="59">
        <f t="shared" si="29"/>
        <v>0</v>
      </c>
      <c r="L6577" s="59">
        <f t="shared" si="30"/>
        <v>0</v>
      </c>
      <c r="M6577" s="59">
        <f t="shared" si="31"/>
        <v>0</v>
      </c>
    </row>
    <row r="6578" ht="15.0" hidden="1" customHeight="1">
      <c r="A6578" s="59">
        <f t="shared" si="20"/>
        <v>106</v>
      </c>
      <c r="B6578" s="59" t="str">
        <f t="shared" si="21"/>
        <v/>
      </c>
      <c r="C6578" s="59" t="str">
        <f t="shared" si="22"/>
        <v/>
      </c>
      <c r="D6578" s="45" t="str">
        <f t="shared" si="23"/>
        <v/>
      </c>
      <c r="E6578" s="45" t="str">
        <f t="shared" si="24"/>
        <v/>
      </c>
      <c r="F6578" s="59" t="str">
        <f t="shared" si="25"/>
        <v/>
      </c>
      <c r="G6578" s="59" t="str">
        <f t="shared" si="26"/>
        <v/>
      </c>
      <c r="H6578" s="59" t="str">
        <f t="shared" si="27"/>
        <v>29E18160</v>
      </c>
      <c r="I6578" s="59" t="str">
        <f>IF(OR($A6578="",$C6578="",$D6578="",$E6578="",$H6578=""),"",SUMIFS(DATA_GOC!$H:$H,DATA_GOC!$A:$A,"BOM",DATA_GOC!$D:$D,$H6578,DATA_GOC!$E:$E,$C6578,DATA_GOC!$F:$F,"Xuất nội bộ từ téc",DATA_GOC!$B:$B,"&gt;="&amp;$D6578,DATA_GOC!$B:$B,"&lt;="&amp;$E6578))</f>
        <v/>
      </c>
      <c r="J6578" s="59">
        <f t="shared" si="28"/>
        <v>0</v>
      </c>
      <c r="K6578" s="59">
        <f t="shared" si="29"/>
        <v>0</v>
      </c>
      <c r="L6578" s="59">
        <f t="shared" si="30"/>
        <v>0</v>
      </c>
      <c r="M6578" s="59">
        <f t="shared" si="31"/>
        <v>0</v>
      </c>
    </row>
    <row r="6579" ht="15.0" hidden="1" customHeight="1">
      <c r="A6579" s="59">
        <f t="shared" si="20"/>
        <v>106</v>
      </c>
      <c r="B6579" s="59" t="str">
        <f t="shared" si="21"/>
        <v/>
      </c>
      <c r="C6579" s="59" t="str">
        <f t="shared" si="22"/>
        <v/>
      </c>
      <c r="D6579" s="45" t="str">
        <f t="shared" si="23"/>
        <v/>
      </c>
      <c r="E6579" s="45" t="str">
        <f t="shared" si="24"/>
        <v/>
      </c>
      <c r="F6579" s="59" t="str">
        <f t="shared" si="25"/>
        <v/>
      </c>
      <c r="G6579" s="59" t="str">
        <f t="shared" si="26"/>
        <v/>
      </c>
      <c r="H6579" s="59" t="str">
        <f t="shared" si="27"/>
        <v>Công trình Asphalt</v>
      </c>
      <c r="I6579" s="59" t="str">
        <f>IF(OR($A6579="",$C6579="",$D6579="",$E6579="",$H6579=""),"",SUMIFS(DATA_GOC!$H:$H,DATA_GOC!$A:$A,"BOM",DATA_GOC!$D:$D,$H6579,DATA_GOC!$E:$E,$C6579,DATA_GOC!$F:$F,"Xuất nội bộ từ téc",DATA_GOC!$B:$B,"&gt;="&amp;$D6579,DATA_GOC!$B:$B,"&lt;="&amp;$E6579))</f>
        <v/>
      </c>
      <c r="J6579" s="59">
        <f t="shared" si="28"/>
        <v>0</v>
      </c>
      <c r="K6579" s="59">
        <f t="shared" si="29"/>
        <v>0</v>
      </c>
      <c r="L6579" s="59">
        <f t="shared" si="30"/>
        <v>0</v>
      </c>
      <c r="M6579" s="59">
        <f t="shared" si="31"/>
        <v>0</v>
      </c>
    </row>
    <row r="6580" ht="15.0" hidden="1" customHeight="1">
      <c r="A6580" s="59">
        <f t="shared" si="20"/>
        <v>106</v>
      </c>
      <c r="B6580" s="59" t="str">
        <f t="shared" si="21"/>
        <v/>
      </c>
      <c r="C6580" s="59" t="str">
        <f t="shared" si="22"/>
        <v/>
      </c>
      <c r="D6580" s="45" t="str">
        <f t="shared" si="23"/>
        <v/>
      </c>
      <c r="E6580" s="45" t="str">
        <f t="shared" si="24"/>
        <v/>
      </c>
      <c r="F6580" s="59" t="str">
        <f t="shared" si="25"/>
        <v/>
      </c>
      <c r="G6580" s="59" t="str">
        <f t="shared" si="26"/>
        <v/>
      </c>
      <c r="H6580" s="59" t="str">
        <f t="shared" si="27"/>
        <v>LG53F</v>
      </c>
      <c r="I6580" s="59" t="str">
        <f>IF(OR($A6580="",$C6580="",$D6580="",$E6580="",$H6580=""),"",SUMIFS(DATA_GOC!$H:$H,DATA_GOC!$A:$A,"BOM",DATA_GOC!$D:$D,$H6580,DATA_GOC!$E:$E,$C6580,DATA_GOC!$F:$F,"Xuất nội bộ từ téc",DATA_GOC!$B:$B,"&gt;="&amp;$D6580,DATA_GOC!$B:$B,"&lt;="&amp;$E6580))</f>
        <v/>
      </c>
      <c r="J6580" s="59">
        <f t="shared" si="28"/>
        <v>0</v>
      </c>
      <c r="K6580" s="59">
        <f t="shared" si="29"/>
        <v>0</v>
      </c>
      <c r="L6580" s="59">
        <f t="shared" si="30"/>
        <v>0</v>
      </c>
      <c r="M6580" s="59">
        <f t="shared" si="31"/>
        <v>0</v>
      </c>
    </row>
    <row r="6581" ht="15.0" hidden="1" customHeight="1">
      <c r="A6581" s="59">
        <f t="shared" si="20"/>
        <v>106</v>
      </c>
      <c r="B6581" s="59" t="str">
        <f t="shared" si="21"/>
        <v/>
      </c>
      <c r="C6581" s="59" t="str">
        <f t="shared" si="22"/>
        <v/>
      </c>
      <c r="D6581" s="45" t="str">
        <f t="shared" si="23"/>
        <v/>
      </c>
      <c r="E6581" s="45" t="str">
        <f t="shared" si="24"/>
        <v/>
      </c>
      <c r="F6581" s="59" t="str">
        <f t="shared" si="25"/>
        <v/>
      </c>
      <c r="G6581" s="59" t="str">
        <f t="shared" si="26"/>
        <v/>
      </c>
      <c r="H6581" s="59" t="str">
        <f t="shared" si="27"/>
        <v>Máy phát điện</v>
      </c>
      <c r="I6581" s="59" t="str">
        <f>IF(OR($A6581="",$C6581="",$D6581="",$E6581="",$H6581=""),"",SUMIFS(DATA_GOC!$H:$H,DATA_GOC!$A:$A,"BOM",DATA_GOC!$D:$D,$H6581,DATA_GOC!$E:$E,$C6581,DATA_GOC!$F:$F,"Xuất nội bộ từ téc",DATA_GOC!$B:$B,"&gt;="&amp;$D6581,DATA_GOC!$B:$B,"&lt;="&amp;$E6581))</f>
        <v/>
      </c>
      <c r="J6581" s="59">
        <f t="shared" si="28"/>
        <v>0</v>
      </c>
      <c r="K6581" s="59">
        <f t="shared" si="29"/>
        <v>0</v>
      </c>
      <c r="L6581" s="59">
        <f t="shared" si="30"/>
        <v>0</v>
      </c>
      <c r="M6581" s="59">
        <f t="shared" si="31"/>
        <v>0</v>
      </c>
    </row>
    <row r="6582" ht="15.0" hidden="1" customHeight="1">
      <c r="A6582" s="59">
        <f t="shared" si="20"/>
        <v>106</v>
      </c>
      <c r="B6582" s="59" t="str">
        <f t="shared" si="21"/>
        <v/>
      </c>
      <c r="C6582" s="59" t="str">
        <f t="shared" si="22"/>
        <v/>
      </c>
      <c r="D6582" s="45" t="str">
        <f t="shared" si="23"/>
        <v/>
      </c>
      <c r="E6582" s="45" t="str">
        <f t="shared" si="24"/>
        <v/>
      </c>
      <c r="F6582" s="59" t="str">
        <f t="shared" si="25"/>
        <v/>
      </c>
      <c r="G6582" s="59" t="str">
        <f t="shared" si="26"/>
        <v/>
      </c>
      <c r="H6582" s="59" t="str">
        <f t="shared" si="27"/>
        <v>Máy rải thảm</v>
      </c>
      <c r="I6582" s="59" t="str">
        <f>IF(OR($A6582="",$C6582="",$D6582="",$E6582="",$H6582=""),"",SUMIFS(DATA_GOC!$H:$H,DATA_GOC!$A:$A,"BOM",DATA_GOC!$D:$D,$H6582,DATA_GOC!$E:$E,$C6582,DATA_GOC!$F:$F,"Xuất nội bộ từ téc",DATA_GOC!$B:$B,"&gt;="&amp;$D6582,DATA_GOC!$B:$B,"&lt;="&amp;$E6582))</f>
        <v/>
      </c>
      <c r="J6582" s="59">
        <f t="shared" si="28"/>
        <v>0</v>
      </c>
      <c r="K6582" s="59">
        <f t="shared" si="29"/>
        <v>0</v>
      </c>
      <c r="L6582" s="59">
        <f t="shared" si="30"/>
        <v>0</v>
      </c>
      <c r="M6582" s="59">
        <f t="shared" si="31"/>
        <v>0</v>
      </c>
    </row>
    <row r="6583" ht="15.0" hidden="1" customHeight="1">
      <c r="A6583" s="59">
        <f t="shared" si="20"/>
        <v>106</v>
      </c>
      <c r="B6583" s="59" t="str">
        <f t="shared" si="21"/>
        <v/>
      </c>
      <c r="C6583" s="59" t="str">
        <f t="shared" si="22"/>
        <v/>
      </c>
      <c r="D6583" s="45" t="str">
        <f t="shared" si="23"/>
        <v/>
      </c>
      <c r="E6583" s="45" t="str">
        <f t="shared" si="24"/>
        <v/>
      </c>
      <c r="F6583" s="59" t="str">
        <f t="shared" si="25"/>
        <v/>
      </c>
      <c r="G6583" s="59" t="str">
        <f t="shared" si="26"/>
        <v/>
      </c>
      <c r="H6583" s="59" t="str">
        <f t="shared" si="27"/>
        <v>Xúc Đào</v>
      </c>
      <c r="I6583" s="59" t="str">
        <f>IF(OR($A6583="",$C6583="",$D6583="",$E6583="",$H6583=""),"",SUMIFS(DATA_GOC!$H:$H,DATA_GOC!$A:$A,"BOM",DATA_GOC!$D:$D,$H6583,DATA_GOC!$E:$E,$C6583,DATA_GOC!$F:$F,"Xuất nội bộ từ téc",DATA_GOC!$B:$B,"&gt;="&amp;$D6583,DATA_GOC!$B:$B,"&lt;="&amp;$E6583))</f>
        <v/>
      </c>
      <c r="J6583" s="59">
        <f t="shared" si="28"/>
        <v>0</v>
      </c>
      <c r="K6583" s="59">
        <f t="shared" si="29"/>
        <v>0</v>
      </c>
      <c r="L6583" s="59">
        <f t="shared" si="30"/>
        <v>0</v>
      </c>
      <c r="M6583" s="59">
        <f t="shared" si="31"/>
        <v>0</v>
      </c>
    </row>
    <row r="6584" ht="15.0" hidden="1" customHeight="1">
      <c r="A6584" s="59">
        <f t="shared" si="20"/>
        <v>106</v>
      </c>
      <c r="B6584" s="59" t="str">
        <f t="shared" si="21"/>
        <v/>
      </c>
      <c r="C6584" s="59" t="str">
        <f t="shared" si="22"/>
        <v/>
      </c>
      <c r="D6584" s="45" t="str">
        <f t="shared" si="23"/>
        <v/>
      </c>
      <c r="E6584" s="45" t="str">
        <f t="shared" si="24"/>
        <v/>
      </c>
      <c r="F6584" s="59" t="str">
        <f t="shared" si="25"/>
        <v/>
      </c>
      <c r="G6584" s="59" t="str">
        <f t="shared" si="26"/>
        <v/>
      </c>
      <c r="H6584" s="59" t="str">
        <f t="shared" si="27"/>
        <v>Xúclật asphalt</v>
      </c>
      <c r="I6584" s="59" t="str">
        <f>IF(OR($A6584="",$C6584="",$D6584="",$E6584="",$H6584=""),"",SUMIFS(DATA_GOC!$H:$H,DATA_GOC!$A:$A,"BOM",DATA_GOC!$D:$D,$H6584,DATA_GOC!$E:$E,$C6584,DATA_GOC!$F:$F,"Xuất nội bộ từ téc",DATA_GOC!$B:$B,"&gt;="&amp;$D6584,DATA_GOC!$B:$B,"&lt;="&amp;$E6584))</f>
        <v/>
      </c>
      <c r="J6584" s="59">
        <f t="shared" si="28"/>
        <v>0</v>
      </c>
      <c r="K6584" s="59">
        <f t="shared" si="29"/>
        <v>0</v>
      </c>
      <c r="L6584" s="59">
        <f t="shared" si="30"/>
        <v>0</v>
      </c>
      <c r="M6584" s="59">
        <f t="shared" si="31"/>
        <v>0</v>
      </c>
    </row>
    <row r="6585" ht="15.0" hidden="1" customHeight="1">
      <c r="A6585" s="59">
        <f t="shared" si="20"/>
        <v>106</v>
      </c>
      <c r="B6585" s="59" t="str">
        <f t="shared" si="21"/>
        <v/>
      </c>
      <c r="C6585" s="59" t="str">
        <f t="shared" si="22"/>
        <v/>
      </c>
      <c r="D6585" s="45" t="str">
        <f t="shared" si="23"/>
        <v/>
      </c>
      <c r="E6585" s="45" t="str">
        <f t="shared" si="24"/>
        <v/>
      </c>
      <c r="F6585" s="59" t="str">
        <f t="shared" si="25"/>
        <v/>
      </c>
      <c r="G6585" s="59" t="str">
        <f t="shared" si="26"/>
        <v/>
      </c>
      <c r="H6585" s="59" t="str">
        <f t="shared" si="27"/>
        <v>Xúclật855H</v>
      </c>
      <c r="I6585" s="59" t="str">
        <f>IF(OR($A6585="",$C6585="",$D6585="",$E6585="",$H6585=""),"",SUMIFS(DATA_GOC!$H:$H,DATA_GOC!$A:$A,"BOM",DATA_GOC!$D:$D,$H6585,DATA_GOC!$E:$E,$C6585,DATA_GOC!$F:$F,"Xuất nội bộ từ téc",DATA_GOC!$B:$B,"&gt;="&amp;$D6585,DATA_GOC!$B:$B,"&lt;="&amp;$E6585))</f>
        <v/>
      </c>
      <c r="J6585" s="59">
        <f t="shared" si="28"/>
        <v>0</v>
      </c>
      <c r="K6585" s="59">
        <f t="shared" si="29"/>
        <v>0</v>
      </c>
      <c r="L6585" s="59">
        <f t="shared" si="30"/>
        <v>0</v>
      </c>
      <c r="M6585" s="59">
        <f t="shared" si="31"/>
        <v>0</v>
      </c>
    </row>
    <row r="6586" ht="15.0" hidden="1" customHeight="1">
      <c r="A6586" s="59">
        <f t="shared" si="20"/>
        <v>106</v>
      </c>
      <c r="B6586" s="59" t="str">
        <f t="shared" si="21"/>
        <v/>
      </c>
      <c r="C6586" s="59" t="str">
        <f t="shared" si="22"/>
        <v/>
      </c>
      <c r="D6586" s="45" t="str">
        <f t="shared" si="23"/>
        <v/>
      </c>
      <c r="E6586" s="45" t="str">
        <f t="shared" si="24"/>
        <v/>
      </c>
      <c r="F6586" s="59" t="str">
        <f t="shared" si="25"/>
        <v/>
      </c>
      <c r="G6586" s="59" t="str">
        <f t="shared" si="26"/>
        <v/>
      </c>
      <c r="H6586" s="59" t="str">
        <f t="shared" si="27"/>
        <v>Xúclật855N</v>
      </c>
      <c r="I6586" s="59" t="str">
        <f>IF(OR($A6586="",$C6586="",$D6586="",$E6586="",$H6586=""),"",SUMIFS(DATA_GOC!$H:$H,DATA_GOC!$A:$A,"BOM",DATA_GOC!$D:$D,$H6586,DATA_GOC!$E:$E,$C6586,DATA_GOC!$F:$F,"Xuất nội bộ từ téc",DATA_GOC!$B:$B,"&gt;="&amp;$D6586,DATA_GOC!$B:$B,"&lt;="&amp;$E6586))</f>
        <v/>
      </c>
      <c r="J6586" s="59">
        <f t="shared" si="28"/>
        <v>0</v>
      </c>
      <c r="K6586" s="59">
        <f t="shared" si="29"/>
        <v>0</v>
      </c>
      <c r="L6586" s="59">
        <f t="shared" si="30"/>
        <v>0</v>
      </c>
      <c r="M6586" s="59">
        <f t="shared" si="31"/>
        <v>0</v>
      </c>
    </row>
    <row r="6587" ht="15.0" hidden="1" customHeight="1">
      <c r="A6587" s="59">
        <f t="shared" si="20"/>
        <v>106</v>
      </c>
      <c r="B6587" s="59" t="str">
        <f t="shared" si="21"/>
        <v/>
      </c>
      <c r="C6587" s="59" t="str">
        <f t="shared" si="22"/>
        <v/>
      </c>
      <c r="D6587" s="45" t="str">
        <f t="shared" si="23"/>
        <v/>
      </c>
      <c r="E6587" s="45" t="str">
        <f t="shared" si="24"/>
        <v/>
      </c>
      <c r="F6587" s="59" t="str">
        <f t="shared" si="25"/>
        <v/>
      </c>
      <c r="G6587" s="59" t="str">
        <f t="shared" si="26"/>
        <v/>
      </c>
      <c r="H6587" s="59" t="str">
        <f t="shared" si="27"/>
        <v>Cát nghiền</v>
      </c>
      <c r="I6587" s="59" t="str">
        <f>IF(OR($A6587="",$C6587="",$D6587="",$E6587="",$H6587=""),"",SUMIFS(DATA_GOC!$H:$H,DATA_GOC!$A:$A,"BOM",DATA_GOC!$D:$D,$H6587,DATA_GOC!$E:$E,$C6587,DATA_GOC!$F:$F,"Xuất nội bộ từ téc",DATA_GOC!$B:$B,"&gt;="&amp;$D6587,DATA_GOC!$B:$B,"&lt;="&amp;$E6587))</f>
        <v/>
      </c>
      <c r="J6587" s="59">
        <f t="shared" si="28"/>
        <v>0</v>
      </c>
      <c r="K6587" s="59">
        <f t="shared" si="29"/>
        <v>0</v>
      </c>
      <c r="L6587" s="59">
        <f t="shared" si="30"/>
        <v>0</v>
      </c>
      <c r="M6587" s="59">
        <f t="shared" si="31"/>
        <v>0</v>
      </c>
    </row>
    <row r="6588" ht="15.0" hidden="1" customHeight="1">
      <c r="A6588" s="59">
        <f t="shared" si="20"/>
        <v>106</v>
      </c>
      <c r="B6588" s="59" t="str">
        <f t="shared" si="21"/>
        <v/>
      </c>
      <c r="C6588" s="59" t="str">
        <f t="shared" si="22"/>
        <v/>
      </c>
      <c r="D6588" s="45" t="str">
        <f t="shared" si="23"/>
        <v/>
      </c>
      <c r="E6588" s="45" t="str">
        <f t="shared" si="24"/>
        <v/>
      </c>
      <c r="F6588" s="59" t="str">
        <f t="shared" si="25"/>
        <v/>
      </c>
      <c r="G6588" s="59" t="str">
        <f t="shared" si="26"/>
        <v/>
      </c>
      <c r="H6588" s="59" t="str">
        <f t="shared" si="27"/>
        <v>28C02973</v>
      </c>
      <c r="I6588" s="59" t="str">
        <f>IF(OR($A6588="",$C6588="",$D6588="",$E6588="",$H6588=""),"",SUMIFS(DATA_GOC!$H:$H,DATA_GOC!$A:$A,"BOM",DATA_GOC!$D:$D,$H6588,DATA_GOC!$E:$E,$C6588,DATA_GOC!$F:$F,"Xuất nội bộ từ téc",DATA_GOC!$B:$B,"&gt;="&amp;$D6588,DATA_GOC!$B:$B,"&lt;="&amp;$E6588))</f>
        <v/>
      </c>
      <c r="J6588" s="59">
        <f t="shared" si="28"/>
        <v>0</v>
      </c>
      <c r="K6588" s="59">
        <f t="shared" si="29"/>
        <v>0</v>
      </c>
      <c r="L6588" s="59">
        <f t="shared" si="30"/>
        <v>0</v>
      </c>
      <c r="M6588" s="59">
        <f t="shared" si="31"/>
        <v>0</v>
      </c>
    </row>
    <row r="6589" ht="15.0" hidden="1" customHeight="1">
      <c r="A6589" s="59">
        <f t="shared" si="20"/>
        <v>106</v>
      </c>
      <c r="B6589" s="59" t="str">
        <f t="shared" si="21"/>
        <v/>
      </c>
      <c r="C6589" s="59" t="str">
        <f t="shared" si="22"/>
        <v/>
      </c>
      <c r="D6589" s="45" t="str">
        <f t="shared" si="23"/>
        <v/>
      </c>
      <c r="E6589" s="45" t="str">
        <f t="shared" si="24"/>
        <v/>
      </c>
      <c r="F6589" s="59" t="str">
        <f t="shared" si="25"/>
        <v/>
      </c>
      <c r="G6589" s="59" t="str">
        <f t="shared" si="26"/>
        <v/>
      </c>
      <c r="H6589" s="59" t="str">
        <f t="shared" si="27"/>
        <v>28C03044</v>
      </c>
      <c r="I6589" s="59" t="str">
        <f>IF(OR($A6589="",$C6589="",$D6589="",$E6589="",$H6589=""),"",SUMIFS(DATA_GOC!$H:$H,DATA_GOC!$A:$A,"BOM",DATA_GOC!$D:$D,$H6589,DATA_GOC!$E:$E,$C6589,DATA_GOC!$F:$F,"Xuất nội bộ từ téc",DATA_GOC!$B:$B,"&gt;="&amp;$D6589,DATA_GOC!$B:$B,"&lt;="&amp;$E6589))</f>
        <v/>
      </c>
      <c r="J6589" s="59">
        <f t="shared" si="28"/>
        <v>0</v>
      </c>
      <c r="K6589" s="59">
        <f t="shared" si="29"/>
        <v>0</v>
      </c>
      <c r="L6589" s="59">
        <f t="shared" si="30"/>
        <v>0</v>
      </c>
      <c r="M6589" s="59">
        <f t="shared" si="31"/>
        <v>0</v>
      </c>
    </row>
    <row r="6590" ht="15.0" hidden="1" customHeight="1">
      <c r="A6590" s="59">
        <f t="shared" si="20"/>
        <v>106</v>
      </c>
      <c r="B6590" s="59" t="str">
        <f t="shared" si="21"/>
        <v/>
      </c>
      <c r="C6590" s="59" t="str">
        <f t="shared" si="22"/>
        <v/>
      </c>
      <c r="D6590" s="45" t="str">
        <f t="shared" si="23"/>
        <v/>
      </c>
      <c r="E6590" s="45" t="str">
        <f t="shared" si="24"/>
        <v/>
      </c>
      <c r="F6590" s="59" t="str">
        <f t="shared" si="25"/>
        <v/>
      </c>
      <c r="G6590" s="59" t="str">
        <f t="shared" si="26"/>
        <v/>
      </c>
      <c r="H6590" s="59" t="str">
        <f t="shared" si="27"/>
        <v>Máy lu lốp</v>
      </c>
      <c r="I6590" s="59" t="str">
        <f>IF(OR($A6590="",$C6590="",$D6590="",$E6590="",$H6590=""),"",SUMIFS(DATA_GOC!$H:$H,DATA_GOC!$A:$A,"BOM",DATA_GOC!$D:$D,$H6590,DATA_GOC!$E:$E,$C6590,DATA_GOC!$F:$F,"Xuất nội bộ từ téc",DATA_GOC!$B:$B,"&gt;="&amp;$D6590,DATA_GOC!$B:$B,"&lt;="&amp;$E6590))</f>
        <v/>
      </c>
      <c r="J6590" s="59">
        <f t="shared" si="28"/>
        <v>0</v>
      </c>
      <c r="K6590" s="59">
        <f t="shared" si="29"/>
        <v>0</v>
      </c>
      <c r="L6590" s="59">
        <f t="shared" si="30"/>
        <v>0</v>
      </c>
      <c r="M6590" s="59">
        <f t="shared" si="31"/>
        <v>0</v>
      </c>
    </row>
    <row r="6591" ht="15.0" hidden="1" customHeight="1">
      <c r="A6591" s="59">
        <f t="shared" si="20"/>
        <v>106</v>
      </c>
      <c r="B6591" s="59" t="str">
        <f t="shared" si="21"/>
        <v/>
      </c>
      <c r="C6591" s="59" t="str">
        <f t="shared" si="22"/>
        <v/>
      </c>
      <c r="D6591" s="45" t="str">
        <f t="shared" si="23"/>
        <v/>
      </c>
      <c r="E6591" s="45" t="str">
        <f t="shared" si="24"/>
        <v/>
      </c>
      <c r="F6591" s="59" t="str">
        <f t="shared" si="25"/>
        <v/>
      </c>
      <c r="G6591" s="59" t="str">
        <f t="shared" si="26"/>
        <v/>
      </c>
      <c r="H6591" s="59" t="str">
        <f t="shared" si="27"/>
        <v>Xe 600148</v>
      </c>
      <c r="I6591" s="59" t="str">
        <f>IF(OR($A6591="",$C6591="",$D6591="",$E6591="",$H6591=""),"",SUMIFS(DATA_GOC!$H:$H,DATA_GOC!$A:$A,"BOM",DATA_GOC!$D:$D,$H6591,DATA_GOC!$E:$E,$C6591,DATA_GOC!$F:$F,"Xuất nội bộ từ téc",DATA_GOC!$B:$B,"&gt;="&amp;$D6591,DATA_GOC!$B:$B,"&lt;="&amp;$E6591))</f>
        <v/>
      </c>
      <c r="J6591" s="59">
        <f t="shared" si="28"/>
        <v>0</v>
      </c>
      <c r="K6591" s="59">
        <f t="shared" si="29"/>
        <v>0</v>
      </c>
      <c r="L6591" s="59">
        <f t="shared" si="30"/>
        <v>0</v>
      </c>
      <c r="M6591" s="59">
        <f t="shared" si="31"/>
        <v>0</v>
      </c>
    </row>
    <row r="6592" ht="15.0" hidden="1" customHeight="1">
      <c r="A6592" s="59">
        <f t="shared" si="20"/>
        <v>106</v>
      </c>
      <c r="B6592" s="59" t="str">
        <f t="shared" si="21"/>
        <v/>
      </c>
      <c r="C6592" s="59" t="str">
        <f t="shared" si="22"/>
        <v/>
      </c>
      <c r="D6592" s="45" t="str">
        <f t="shared" si="23"/>
        <v/>
      </c>
      <c r="E6592" s="45" t="str">
        <f t="shared" si="24"/>
        <v/>
      </c>
      <c r="F6592" s="59" t="str">
        <f t="shared" si="25"/>
        <v/>
      </c>
      <c r="G6592" s="59" t="str">
        <f t="shared" si="26"/>
        <v/>
      </c>
      <c r="H6592" s="59" t="str">
        <f t="shared" si="27"/>
        <v>Xe ben mới</v>
      </c>
      <c r="I6592" s="59" t="str">
        <f>IF(OR($A6592="",$C6592="",$D6592="",$E6592="",$H6592=""),"",SUMIFS(DATA_GOC!$H:$H,DATA_GOC!$A:$A,"BOM",DATA_GOC!$D:$D,$H6592,DATA_GOC!$E:$E,$C6592,DATA_GOC!$F:$F,"Xuất nội bộ từ téc",DATA_GOC!$B:$B,"&gt;="&amp;$D6592,DATA_GOC!$B:$B,"&lt;="&amp;$E6592))</f>
        <v/>
      </c>
      <c r="J6592" s="59">
        <f t="shared" si="28"/>
        <v>0</v>
      </c>
      <c r="K6592" s="59">
        <f t="shared" si="29"/>
        <v>0</v>
      </c>
      <c r="L6592" s="59">
        <f t="shared" si="30"/>
        <v>0</v>
      </c>
      <c r="M6592" s="59">
        <f t="shared" si="31"/>
        <v>0</v>
      </c>
    </row>
    <row r="6593" ht="15.0" hidden="1" customHeight="1">
      <c r="A6593" s="59">
        <f t="shared" si="20"/>
        <v>107</v>
      </c>
      <c r="B6593" s="59" t="str">
        <f t="shared" si="21"/>
        <v/>
      </c>
      <c r="C6593" s="59" t="str">
        <f t="shared" si="22"/>
        <v/>
      </c>
      <c r="D6593" s="45" t="str">
        <f t="shared" si="23"/>
        <v/>
      </c>
      <c r="E6593" s="45" t="str">
        <f t="shared" si="24"/>
        <v/>
      </c>
      <c r="F6593" s="59" t="str">
        <f t="shared" si="25"/>
        <v/>
      </c>
      <c r="G6593" s="59" t="str">
        <f t="shared" si="26"/>
        <v/>
      </c>
      <c r="H6593" s="59" t="str">
        <f t="shared" si="27"/>
        <v>19H09482</v>
      </c>
      <c r="I6593" s="59" t="str">
        <f>IF(OR($A6593="",$C6593="",$D6593="",$E6593="",$H6593=""),"",SUMIFS(DATA_GOC!$H:$H,DATA_GOC!$A:$A,"BOM",DATA_GOC!$D:$D,$H6593,DATA_GOC!$E:$E,$C6593,DATA_GOC!$F:$F,"Xuất nội bộ từ téc",DATA_GOC!$B:$B,"&gt;="&amp;$D6593,DATA_GOC!$B:$B,"&lt;="&amp;$E6593))</f>
        <v/>
      </c>
      <c r="J6593" s="59">
        <f t="shared" si="28"/>
        <v>0</v>
      </c>
      <c r="K6593" s="59">
        <f t="shared" si="29"/>
        <v>0</v>
      </c>
      <c r="L6593" s="59">
        <f t="shared" si="30"/>
        <v>0</v>
      </c>
      <c r="M6593" s="59">
        <f t="shared" si="31"/>
        <v>0</v>
      </c>
    </row>
    <row r="6594" ht="15.0" hidden="1" customHeight="1">
      <c r="A6594" s="59">
        <f t="shared" si="20"/>
        <v>107</v>
      </c>
      <c r="B6594" s="59" t="str">
        <f t="shared" si="21"/>
        <v/>
      </c>
      <c r="C6594" s="59" t="str">
        <f t="shared" si="22"/>
        <v/>
      </c>
      <c r="D6594" s="45" t="str">
        <f t="shared" si="23"/>
        <v/>
      </c>
      <c r="E6594" s="45" t="str">
        <f t="shared" si="24"/>
        <v/>
      </c>
      <c r="F6594" s="59" t="str">
        <f t="shared" si="25"/>
        <v/>
      </c>
      <c r="G6594" s="59" t="str">
        <f t="shared" si="26"/>
        <v/>
      </c>
      <c r="H6594" s="59" t="str">
        <f t="shared" si="27"/>
        <v>28A30696</v>
      </c>
      <c r="I6594" s="59" t="str">
        <f>IF(OR($A6594="",$C6594="",$D6594="",$E6594="",$H6594=""),"",SUMIFS(DATA_GOC!$H:$H,DATA_GOC!$A:$A,"BOM",DATA_GOC!$D:$D,$H6594,DATA_GOC!$E:$E,$C6594,DATA_GOC!$F:$F,"Xuất nội bộ từ téc",DATA_GOC!$B:$B,"&gt;="&amp;$D6594,DATA_GOC!$B:$B,"&lt;="&amp;$E6594))</f>
        <v/>
      </c>
      <c r="J6594" s="59">
        <f t="shared" si="28"/>
        <v>0</v>
      </c>
      <c r="K6594" s="59">
        <f t="shared" si="29"/>
        <v>0</v>
      </c>
      <c r="L6594" s="59">
        <f t="shared" si="30"/>
        <v>0</v>
      </c>
      <c r="M6594" s="59">
        <f t="shared" si="31"/>
        <v>0</v>
      </c>
    </row>
    <row r="6595" ht="15.0" hidden="1" customHeight="1">
      <c r="A6595" s="59">
        <f t="shared" si="20"/>
        <v>107</v>
      </c>
      <c r="B6595" s="59" t="str">
        <f t="shared" si="21"/>
        <v/>
      </c>
      <c r="C6595" s="59" t="str">
        <f t="shared" si="22"/>
        <v/>
      </c>
      <c r="D6595" s="45" t="str">
        <f t="shared" si="23"/>
        <v/>
      </c>
      <c r="E6595" s="45" t="str">
        <f t="shared" si="24"/>
        <v/>
      </c>
      <c r="F6595" s="59" t="str">
        <f t="shared" si="25"/>
        <v/>
      </c>
      <c r="G6595" s="59" t="str">
        <f t="shared" si="26"/>
        <v/>
      </c>
      <c r="H6595" s="59" t="str">
        <f t="shared" si="27"/>
        <v>28C00462</v>
      </c>
      <c r="I6595" s="59" t="str">
        <f>IF(OR($A6595="",$C6595="",$D6595="",$E6595="",$H6595=""),"",SUMIFS(DATA_GOC!$H:$H,DATA_GOC!$A:$A,"BOM",DATA_GOC!$D:$D,$H6595,DATA_GOC!$E:$E,$C6595,DATA_GOC!$F:$F,"Xuất nội bộ từ téc",DATA_GOC!$B:$B,"&gt;="&amp;$D6595,DATA_GOC!$B:$B,"&lt;="&amp;$E6595))</f>
        <v/>
      </c>
      <c r="J6595" s="59">
        <f t="shared" si="28"/>
        <v>0</v>
      </c>
      <c r="K6595" s="59">
        <f t="shared" si="29"/>
        <v>0</v>
      </c>
      <c r="L6595" s="59">
        <f t="shared" si="30"/>
        <v>0</v>
      </c>
      <c r="M6595" s="59">
        <f t="shared" si="31"/>
        <v>0</v>
      </c>
    </row>
    <row r="6596" ht="15.0" hidden="1" customHeight="1">
      <c r="A6596" s="59">
        <f t="shared" si="20"/>
        <v>107</v>
      </c>
      <c r="B6596" s="59" t="str">
        <f t="shared" si="21"/>
        <v/>
      </c>
      <c r="C6596" s="59" t="str">
        <f t="shared" si="22"/>
        <v/>
      </c>
      <c r="D6596" s="45" t="str">
        <f t="shared" si="23"/>
        <v/>
      </c>
      <c r="E6596" s="45" t="str">
        <f t="shared" si="24"/>
        <v/>
      </c>
      <c r="F6596" s="59" t="str">
        <f t="shared" si="25"/>
        <v/>
      </c>
      <c r="G6596" s="59" t="str">
        <f t="shared" si="26"/>
        <v/>
      </c>
      <c r="H6596" s="59" t="str">
        <f t="shared" si="27"/>
        <v>28C01165</v>
      </c>
      <c r="I6596" s="59" t="str">
        <f>IF(OR($A6596="",$C6596="",$D6596="",$E6596="",$H6596=""),"",SUMIFS(DATA_GOC!$H:$H,DATA_GOC!$A:$A,"BOM",DATA_GOC!$D:$D,$H6596,DATA_GOC!$E:$E,$C6596,DATA_GOC!$F:$F,"Xuất nội bộ từ téc",DATA_GOC!$B:$B,"&gt;="&amp;$D6596,DATA_GOC!$B:$B,"&lt;="&amp;$E6596))</f>
        <v/>
      </c>
      <c r="J6596" s="59">
        <f t="shared" si="28"/>
        <v>0</v>
      </c>
      <c r="K6596" s="59">
        <f t="shared" si="29"/>
        <v>0</v>
      </c>
      <c r="L6596" s="59">
        <f t="shared" si="30"/>
        <v>0</v>
      </c>
      <c r="M6596" s="59">
        <f t="shared" si="31"/>
        <v>0</v>
      </c>
    </row>
    <row r="6597" ht="15.0" hidden="1" customHeight="1">
      <c r="A6597" s="59">
        <f t="shared" si="20"/>
        <v>107</v>
      </c>
      <c r="B6597" s="59" t="str">
        <f t="shared" si="21"/>
        <v/>
      </c>
      <c r="C6597" s="59" t="str">
        <f t="shared" si="22"/>
        <v/>
      </c>
      <c r="D6597" s="45" t="str">
        <f t="shared" si="23"/>
        <v/>
      </c>
      <c r="E6597" s="45" t="str">
        <f t="shared" si="24"/>
        <v/>
      </c>
      <c r="F6597" s="59" t="str">
        <f t="shared" si="25"/>
        <v/>
      </c>
      <c r="G6597" s="59" t="str">
        <f t="shared" si="26"/>
        <v/>
      </c>
      <c r="H6597" s="59" t="str">
        <f t="shared" si="27"/>
        <v>28C01406</v>
      </c>
      <c r="I6597" s="59" t="str">
        <f>IF(OR($A6597="",$C6597="",$D6597="",$E6597="",$H6597=""),"",SUMIFS(DATA_GOC!$H:$H,DATA_GOC!$A:$A,"BOM",DATA_GOC!$D:$D,$H6597,DATA_GOC!$E:$E,$C6597,DATA_GOC!$F:$F,"Xuất nội bộ từ téc",DATA_GOC!$B:$B,"&gt;="&amp;$D6597,DATA_GOC!$B:$B,"&lt;="&amp;$E6597))</f>
        <v/>
      </c>
      <c r="J6597" s="59">
        <f t="shared" si="28"/>
        <v>0</v>
      </c>
      <c r="K6597" s="59">
        <f t="shared" si="29"/>
        <v>0</v>
      </c>
      <c r="L6597" s="59">
        <f t="shared" si="30"/>
        <v>0</v>
      </c>
      <c r="M6597" s="59">
        <f t="shared" si="31"/>
        <v>0</v>
      </c>
    </row>
    <row r="6598" ht="15.0" hidden="1" customHeight="1">
      <c r="A6598" s="59">
        <f t="shared" si="20"/>
        <v>107</v>
      </c>
      <c r="B6598" s="59" t="str">
        <f t="shared" si="21"/>
        <v/>
      </c>
      <c r="C6598" s="59" t="str">
        <f t="shared" si="22"/>
        <v/>
      </c>
      <c r="D6598" s="45" t="str">
        <f t="shared" si="23"/>
        <v/>
      </c>
      <c r="E6598" s="45" t="str">
        <f t="shared" si="24"/>
        <v/>
      </c>
      <c r="F6598" s="59" t="str">
        <f t="shared" si="25"/>
        <v/>
      </c>
      <c r="G6598" s="59" t="str">
        <f t="shared" si="26"/>
        <v/>
      </c>
      <c r="H6598" s="59" t="str">
        <f t="shared" si="27"/>
        <v>28C01544</v>
      </c>
      <c r="I6598" s="59" t="str">
        <f>IF(OR($A6598="",$C6598="",$D6598="",$E6598="",$H6598=""),"",SUMIFS(DATA_GOC!$H:$H,DATA_GOC!$A:$A,"BOM",DATA_GOC!$D:$D,$H6598,DATA_GOC!$E:$E,$C6598,DATA_GOC!$F:$F,"Xuất nội bộ từ téc",DATA_GOC!$B:$B,"&gt;="&amp;$D6598,DATA_GOC!$B:$B,"&lt;="&amp;$E6598))</f>
        <v/>
      </c>
      <c r="J6598" s="59">
        <f t="shared" si="28"/>
        <v>0</v>
      </c>
      <c r="K6598" s="59">
        <f t="shared" si="29"/>
        <v>0</v>
      </c>
      <c r="L6598" s="59">
        <f t="shared" si="30"/>
        <v>0</v>
      </c>
      <c r="M6598" s="59">
        <f t="shared" si="31"/>
        <v>0</v>
      </c>
    </row>
    <row r="6599" ht="15.0" hidden="1" customHeight="1">
      <c r="A6599" s="59">
        <f t="shared" si="20"/>
        <v>107</v>
      </c>
      <c r="B6599" s="59" t="str">
        <f t="shared" si="21"/>
        <v/>
      </c>
      <c r="C6599" s="59" t="str">
        <f t="shared" si="22"/>
        <v/>
      </c>
      <c r="D6599" s="45" t="str">
        <f t="shared" si="23"/>
        <v/>
      </c>
      <c r="E6599" s="45" t="str">
        <f t="shared" si="24"/>
        <v/>
      </c>
      <c r="F6599" s="59" t="str">
        <f t="shared" si="25"/>
        <v/>
      </c>
      <c r="G6599" s="59" t="str">
        <f t="shared" si="26"/>
        <v/>
      </c>
      <c r="H6599" s="59" t="str">
        <f t="shared" si="27"/>
        <v>28C01622</v>
      </c>
      <c r="I6599" s="59" t="str">
        <f>IF(OR($A6599="",$C6599="",$D6599="",$E6599="",$H6599=""),"",SUMIFS(DATA_GOC!$H:$H,DATA_GOC!$A:$A,"BOM",DATA_GOC!$D:$D,$H6599,DATA_GOC!$E:$E,$C6599,DATA_GOC!$F:$F,"Xuất nội bộ từ téc",DATA_GOC!$B:$B,"&gt;="&amp;$D6599,DATA_GOC!$B:$B,"&lt;="&amp;$E6599))</f>
        <v/>
      </c>
      <c r="J6599" s="59">
        <f t="shared" si="28"/>
        <v>0</v>
      </c>
      <c r="K6599" s="59">
        <f t="shared" si="29"/>
        <v>0</v>
      </c>
      <c r="L6599" s="59">
        <f t="shared" si="30"/>
        <v>0</v>
      </c>
      <c r="M6599" s="59">
        <f t="shared" si="31"/>
        <v>0</v>
      </c>
    </row>
    <row r="6600" ht="15.0" hidden="1" customHeight="1">
      <c r="A6600" s="59">
        <f t="shared" si="20"/>
        <v>107</v>
      </c>
      <c r="B6600" s="59" t="str">
        <f t="shared" si="21"/>
        <v/>
      </c>
      <c r="C6600" s="59" t="str">
        <f t="shared" si="22"/>
        <v/>
      </c>
      <c r="D6600" s="45" t="str">
        <f t="shared" si="23"/>
        <v/>
      </c>
      <c r="E6600" s="45" t="str">
        <f t="shared" si="24"/>
        <v/>
      </c>
      <c r="F6600" s="59" t="str">
        <f t="shared" si="25"/>
        <v/>
      </c>
      <c r="G6600" s="59" t="str">
        <f t="shared" si="26"/>
        <v/>
      </c>
      <c r="H6600" s="59" t="str">
        <f t="shared" si="27"/>
        <v>28C01647</v>
      </c>
      <c r="I6600" s="59" t="str">
        <f>IF(OR($A6600="",$C6600="",$D6600="",$E6600="",$H6600=""),"",SUMIFS(DATA_GOC!$H:$H,DATA_GOC!$A:$A,"BOM",DATA_GOC!$D:$D,$H6600,DATA_GOC!$E:$E,$C6600,DATA_GOC!$F:$F,"Xuất nội bộ từ téc",DATA_GOC!$B:$B,"&gt;="&amp;$D6600,DATA_GOC!$B:$B,"&lt;="&amp;$E6600))</f>
        <v/>
      </c>
      <c r="J6600" s="59">
        <f t="shared" si="28"/>
        <v>0</v>
      </c>
      <c r="K6600" s="59">
        <f t="shared" si="29"/>
        <v>0</v>
      </c>
      <c r="L6600" s="59">
        <f t="shared" si="30"/>
        <v>0</v>
      </c>
      <c r="M6600" s="59">
        <f t="shared" si="31"/>
        <v>0</v>
      </c>
    </row>
    <row r="6601" ht="15.0" hidden="1" customHeight="1">
      <c r="A6601" s="59">
        <f t="shared" si="20"/>
        <v>107</v>
      </c>
      <c r="B6601" s="59" t="str">
        <f t="shared" si="21"/>
        <v/>
      </c>
      <c r="C6601" s="59" t="str">
        <f t="shared" si="22"/>
        <v/>
      </c>
      <c r="D6601" s="45" t="str">
        <f t="shared" si="23"/>
        <v/>
      </c>
      <c r="E6601" s="45" t="str">
        <f t="shared" si="24"/>
        <v/>
      </c>
      <c r="F6601" s="59" t="str">
        <f t="shared" si="25"/>
        <v/>
      </c>
      <c r="G6601" s="59" t="str">
        <f t="shared" si="26"/>
        <v/>
      </c>
      <c r="H6601" s="59" t="str">
        <f t="shared" si="27"/>
        <v>28C01731</v>
      </c>
      <c r="I6601" s="59" t="str">
        <f>IF(OR($A6601="",$C6601="",$D6601="",$E6601="",$H6601=""),"",SUMIFS(DATA_GOC!$H:$H,DATA_GOC!$A:$A,"BOM",DATA_GOC!$D:$D,$H6601,DATA_GOC!$E:$E,$C6601,DATA_GOC!$F:$F,"Xuất nội bộ từ téc",DATA_GOC!$B:$B,"&gt;="&amp;$D6601,DATA_GOC!$B:$B,"&lt;="&amp;$E6601))</f>
        <v/>
      </c>
      <c r="J6601" s="59">
        <f t="shared" si="28"/>
        <v>0</v>
      </c>
      <c r="K6601" s="59">
        <f t="shared" si="29"/>
        <v>0</v>
      </c>
      <c r="L6601" s="59">
        <f t="shared" si="30"/>
        <v>0</v>
      </c>
      <c r="M6601" s="59">
        <f t="shared" si="31"/>
        <v>0</v>
      </c>
    </row>
    <row r="6602" ht="15.0" hidden="1" customHeight="1">
      <c r="A6602" s="59">
        <f t="shared" si="20"/>
        <v>107</v>
      </c>
      <c r="B6602" s="59" t="str">
        <f t="shared" si="21"/>
        <v/>
      </c>
      <c r="C6602" s="59" t="str">
        <f t="shared" si="22"/>
        <v/>
      </c>
      <c r="D6602" s="45" t="str">
        <f t="shared" si="23"/>
        <v/>
      </c>
      <c r="E6602" s="45" t="str">
        <f t="shared" si="24"/>
        <v/>
      </c>
      <c r="F6602" s="59" t="str">
        <f t="shared" si="25"/>
        <v/>
      </c>
      <c r="G6602" s="59" t="str">
        <f t="shared" si="26"/>
        <v/>
      </c>
      <c r="H6602" s="59" t="str">
        <f t="shared" si="27"/>
        <v>28C01743</v>
      </c>
      <c r="I6602" s="59" t="str">
        <f>IF(OR($A6602="",$C6602="",$D6602="",$E6602="",$H6602=""),"",SUMIFS(DATA_GOC!$H:$H,DATA_GOC!$A:$A,"BOM",DATA_GOC!$D:$D,$H6602,DATA_GOC!$E:$E,$C6602,DATA_GOC!$F:$F,"Xuất nội bộ từ téc",DATA_GOC!$B:$B,"&gt;="&amp;$D6602,DATA_GOC!$B:$B,"&lt;="&amp;$E6602))</f>
        <v/>
      </c>
      <c r="J6602" s="59">
        <f t="shared" si="28"/>
        <v>0</v>
      </c>
      <c r="K6602" s="59">
        <f t="shared" si="29"/>
        <v>0</v>
      </c>
      <c r="L6602" s="59">
        <f t="shared" si="30"/>
        <v>0</v>
      </c>
      <c r="M6602" s="59">
        <f t="shared" si="31"/>
        <v>0</v>
      </c>
    </row>
    <row r="6603" ht="15.0" hidden="1" customHeight="1">
      <c r="A6603" s="59">
        <f t="shared" si="20"/>
        <v>107</v>
      </c>
      <c r="B6603" s="59" t="str">
        <f t="shared" si="21"/>
        <v/>
      </c>
      <c r="C6603" s="59" t="str">
        <f t="shared" si="22"/>
        <v/>
      </c>
      <c r="D6603" s="45" t="str">
        <f t="shared" si="23"/>
        <v/>
      </c>
      <c r="E6603" s="45" t="str">
        <f t="shared" si="24"/>
        <v/>
      </c>
      <c r="F6603" s="59" t="str">
        <f t="shared" si="25"/>
        <v/>
      </c>
      <c r="G6603" s="59" t="str">
        <f t="shared" si="26"/>
        <v/>
      </c>
      <c r="H6603" s="59" t="str">
        <f t="shared" si="27"/>
        <v>28C02106</v>
      </c>
      <c r="I6603" s="59" t="str">
        <f>IF(OR($A6603="",$C6603="",$D6603="",$E6603="",$H6603=""),"",SUMIFS(DATA_GOC!$H:$H,DATA_GOC!$A:$A,"BOM",DATA_GOC!$D:$D,$H6603,DATA_GOC!$E:$E,$C6603,DATA_GOC!$F:$F,"Xuất nội bộ từ téc",DATA_GOC!$B:$B,"&gt;="&amp;$D6603,DATA_GOC!$B:$B,"&lt;="&amp;$E6603))</f>
        <v/>
      </c>
      <c r="J6603" s="59">
        <f t="shared" si="28"/>
        <v>0</v>
      </c>
      <c r="K6603" s="59">
        <f t="shared" si="29"/>
        <v>0</v>
      </c>
      <c r="L6603" s="59">
        <f t="shared" si="30"/>
        <v>0</v>
      </c>
      <c r="M6603" s="59">
        <f t="shared" si="31"/>
        <v>0</v>
      </c>
    </row>
    <row r="6604" ht="15.0" hidden="1" customHeight="1">
      <c r="A6604" s="59">
        <f t="shared" si="20"/>
        <v>107</v>
      </c>
      <c r="B6604" s="59" t="str">
        <f t="shared" si="21"/>
        <v/>
      </c>
      <c r="C6604" s="59" t="str">
        <f t="shared" si="22"/>
        <v/>
      </c>
      <c r="D6604" s="45" t="str">
        <f t="shared" si="23"/>
        <v/>
      </c>
      <c r="E6604" s="45" t="str">
        <f t="shared" si="24"/>
        <v/>
      </c>
      <c r="F6604" s="59" t="str">
        <f t="shared" si="25"/>
        <v/>
      </c>
      <c r="G6604" s="59" t="str">
        <f t="shared" si="26"/>
        <v/>
      </c>
      <c r="H6604" s="59" t="str">
        <f t="shared" si="27"/>
        <v>28C02410</v>
      </c>
      <c r="I6604" s="59" t="str">
        <f>IF(OR($A6604="",$C6604="",$D6604="",$E6604="",$H6604=""),"",SUMIFS(DATA_GOC!$H:$H,DATA_GOC!$A:$A,"BOM",DATA_GOC!$D:$D,$H6604,DATA_GOC!$E:$E,$C6604,DATA_GOC!$F:$F,"Xuất nội bộ từ téc",DATA_GOC!$B:$B,"&gt;="&amp;$D6604,DATA_GOC!$B:$B,"&lt;="&amp;$E6604))</f>
        <v/>
      </c>
      <c r="J6604" s="59">
        <f t="shared" si="28"/>
        <v>0</v>
      </c>
      <c r="K6604" s="59">
        <f t="shared" si="29"/>
        <v>0</v>
      </c>
      <c r="L6604" s="59">
        <f t="shared" si="30"/>
        <v>0</v>
      </c>
      <c r="M6604" s="59">
        <f t="shared" si="31"/>
        <v>0</v>
      </c>
    </row>
    <row r="6605" ht="15.0" hidden="1" customHeight="1">
      <c r="A6605" s="59">
        <f t="shared" si="20"/>
        <v>107</v>
      </c>
      <c r="B6605" s="59" t="str">
        <f t="shared" si="21"/>
        <v/>
      </c>
      <c r="C6605" s="59" t="str">
        <f t="shared" si="22"/>
        <v/>
      </c>
      <c r="D6605" s="45" t="str">
        <f t="shared" si="23"/>
        <v/>
      </c>
      <c r="E6605" s="45" t="str">
        <f t="shared" si="24"/>
        <v/>
      </c>
      <c r="F6605" s="59" t="str">
        <f t="shared" si="25"/>
        <v/>
      </c>
      <c r="G6605" s="59" t="str">
        <f t="shared" si="26"/>
        <v/>
      </c>
      <c r="H6605" s="59" t="str">
        <f t="shared" si="27"/>
        <v>28C02545</v>
      </c>
      <c r="I6605" s="59" t="str">
        <f>IF(OR($A6605="",$C6605="",$D6605="",$E6605="",$H6605=""),"",SUMIFS(DATA_GOC!$H:$H,DATA_GOC!$A:$A,"BOM",DATA_GOC!$D:$D,$H6605,DATA_GOC!$E:$E,$C6605,DATA_GOC!$F:$F,"Xuất nội bộ từ téc",DATA_GOC!$B:$B,"&gt;="&amp;$D6605,DATA_GOC!$B:$B,"&lt;="&amp;$E6605))</f>
        <v/>
      </c>
      <c r="J6605" s="59">
        <f t="shared" si="28"/>
        <v>0</v>
      </c>
      <c r="K6605" s="59">
        <f t="shared" si="29"/>
        <v>0</v>
      </c>
      <c r="L6605" s="59">
        <f t="shared" si="30"/>
        <v>0</v>
      </c>
      <c r="M6605" s="59">
        <f t="shared" si="31"/>
        <v>0</v>
      </c>
    </row>
    <row r="6606" ht="15.0" hidden="1" customHeight="1">
      <c r="A6606" s="59">
        <f t="shared" si="20"/>
        <v>107</v>
      </c>
      <c r="B6606" s="59" t="str">
        <f t="shared" si="21"/>
        <v/>
      </c>
      <c r="C6606" s="59" t="str">
        <f t="shared" si="22"/>
        <v/>
      </c>
      <c r="D6606" s="45" t="str">
        <f t="shared" si="23"/>
        <v/>
      </c>
      <c r="E6606" s="45" t="str">
        <f t="shared" si="24"/>
        <v/>
      </c>
      <c r="F6606" s="59" t="str">
        <f t="shared" si="25"/>
        <v/>
      </c>
      <c r="G6606" s="59" t="str">
        <f t="shared" si="26"/>
        <v/>
      </c>
      <c r="H6606" s="59" t="str">
        <f t="shared" si="27"/>
        <v>28C02574</v>
      </c>
      <c r="I6606" s="59" t="str">
        <f>IF(OR($A6606="",$C6606="",$D6606="",$E6606="",$H6606=""),"",SUMIFS(DATA_GOC!$H:$H,DATA_GOC!$A:$A,"BOM",DATA_GOC!$D:$D,$H6606,DATA_GOC!$E:$E,$C6606,DATA_GOC!$F:$F,"Xuất nội bộ từ téc",DATA_GOC!$B:$B,"&gt;="&amp;$D6606,DATA_GOC!$B:$B,"&lt;="&amp;$E6606))</f>
        <v/>
      </c>
      <c r="J6606" s="59">
        <f t="shared" si="28"/>
        <v>0</v>
      </c>
      <c r="K6606" s="59">
        <f t="shared" si="29"/>
        <v>0</v>
      </c>
      <c r="L6606" s="59">
        <f t="shared" si="30"/>
        <v>0</v>
      </c>
      <c r="M6606" s="59">
        <f t="shared" si="31"/>
        <v>0</v>
      </c>
    </row>
    <row r="6607" ht="15.0" hidden="1" customHeight="1">
      <c r="A6607" s="59">
        <f t="shared" si="20"/>
        <v>107</v>
      </c>
      <c r="B6607" s="59" t="str">
        <f t="shared" si="21"/>
        <v/>
      </c>
      <c r="C6607" s="59" t="str">
        <f t="shared" si="22"/>
        <v/>
      </c>
      <c r="D6607" s="45" t="str">
        <f t="shared" si="23"/>
        <v/>
      </c>
      <c r="E6607" s="45" t="str">
        <f t="shared" si="24"/>
        <v/>
      </c>
      <c r="F6607" s="59" t="str">
        <f t="shared" si="25"/>
        <v/>
      </c>
      <c r="G6607" s="59" t="str">
        <f t="shared" si="26"/>
        <v/>
      </c>
      <c r="H6607" s="59" t="str">
        <f t="shared" si="27"/>
        <v>28C02770</v>
      </c>
      <c r="I6607" s="59" t="str">
        <f>IF(OR($A6607="",$C6607="",$D6607="",$E6607="",$H6607=""),"",SUMIFS(DATA_GOC!$H:$H,DATA_GOC!$A:$A,"BOM",DATA_GOC!$D:$D,$H6607,DATA_GOC!$E:$E,$C6607,DATA_GOC!$F:$F,"Xuất nội bộ từ téc",DATA_GOC!$B:$B,"&gt;="&amp;$D6607,DATA_GOC!$B:$B,"&lt;="&amp;$E6607))</f>
        <v/>
      </c>
      <c r="J6607" s="59">
        <f t="shared" si="28"/>
        <v>0</v>
      </c>
      <c r="K6607" s="59">
        <f t="shared" si="29"/>
        <v>0</v>
      </c>
      <c r="L6607" s="59">
        <f t="shared" si="30"/>
        <v>0</v>
      </c>
      <c r="M6607" s="59">
        <f t="shared" si="31"/>
        <v>0</v>
      </c>
    </row>
    <row r="6608" ht="15.0" hidden="1" customHeight="1">
      <c r="A6608" s="59">
        <f t="shared" si="20"/>
        <v>107</v>
      </c>
      <c r="B6608" s="59" t="str">
        <f t="shared" si="21"/>
        <v/>
      </c>
      <c r="C6608" s="59" t="str">
        <f t="shared" si="22"/>
        <v/>
      </c>
      <c r="D6608" s="45" t="str">
        <f t="shared" si="23"/>
        <v/>
      </c>
      <c r="E6608" s="45" t="str">
        <f t="shared" si="24"/>
        <v/>
      </c>
      <c r="F6608" s="59" t="str">
        <f t="shared" si="25"/>
        <v/>
      </c>
      <c r="G6608" s="59" t="str">
        <f t="shared" si="26"/>
        <v/>
      </c>
      <c r="H6608" s="59" t="str">
        <f t="shared" si="27"/>
        <v>28C02986</v>
      </c>
      <c r="I6608" s="59" t="str">
        <f>IF(OR($A6608="",$C6608="",$D6608="",$E6608="",$H6608=""),"",SUMIFS(DATA_GOC!$H:$H,DATA_GOC!$A:$A,"BOM",DATA_GOC!$D:$D,$H6608,DATA_GOC!$E:$E,$C6608,DATA_GOC!$F:$F,"Xuất nội bộ từ téc",DATA_GOC!$B:$B,"&gt;="&amp;$D6608,DATA_GOC!$B:$B,"&lt;="&amp;$E6608))</f>
        <v/>
      </c>
      <c r="J6608" s="59">
        <f t="shared" si="28"/>
        <v>0</v>
      </c>
      <c r="K6608" s="59">
        <f t="shared" si="29"/>
        <v>0</v>
      </c>
      <c r="L6608" s="59">
        <f t="shared" si="30"/>
        <v>0</v>
      </c>
      <c r="M6608" s="59">
        <f t="shared" si="31"/>
        <v>0</v>
      </c>
    </row>
    <row r="6609" ht="15.0" hidden="1" customHeight="1">
      <c r="A6609" s="59">
        <f t="shared" si="20"/>
        <v>107</v>
      </c>
      <c r="B6609" s="59" t="str">
        <f t="shared" si="21"/>
        <v/>
      </c>
      <c r="C6609" s="59" t="str">
        <f t="shared" si="22"/>
        <v/>
      </c>
      <c r="D6609" s="45" t="str">
        <f t="shared" si="23"/>
        <v/>
      </c>
      <c r="E6609" s="45" t="str">
        <f t="shared" si="24"/>
        <v/>
      </c>
      <c r="F6609" s="59" t="str">
        <f t="shared" si="25"/>
        <v/>
      </c>
      <c r="G6609" s="59" t="str">
        <f t="shared" si="26"/>
        <v/>
      </c>
      <c r="H6609" s="59" t="str">
        <f t="shared" si="27"/>
        <v>28C03261</v>
      </c>
      <c r="I6609" s="59" t="str">
        <f>IF(OR($A6609="",$C6609="",$D6609="",$E6609="",$H6609=""),"",SUMIFS(DATA_GOC!$H:$H,DATA_GOC!$A:$A,"BOM",DATA_GOC!$D:$D,$H6609,DATA_GOC!$E:$E,$C6609,DATA_GOC!$F:$F,"Xuất nội bộ từ téc",DATA_GOC!$B:$B,"&gt;="&amp;$D6609,DATA_GOC!$B:$B,"&lt;="&amp;$E6609))</f>
        <v/>
      </c>
      <c r="J6609" s="59">
        <f t="shared" si="28"/>
        <v>0</v>
      </c>
      <c r="K6609" s="59">
        <f t="shared" si="29"/>
        <v>0</v>
      </c>
      <c r="L6609" s="59">
        <f t="shared" si="30"/>
        <v>0</v>
      </c>
      <c r="M6609" s="59">
        <f t="shared" si="31"/>
        <v>0</v>
      </c>
    </row>
    <row r="6610" ht="15.0" hidden="1" customHeight="1">
      <c r="A6610" s="59">
        <f t="shared" si="20"/>
        <v>107</v>
      </c>
      <c r="B6610" s="59" t="str">
        <f t="shared" si="21"/>
        <v/>
      </c>
      <c r="C6610" s="59" t="str">
        <f t="shared" si="22"/>
        <v/>
      </c>
      <c r="D6610" s="45" t="str">
        <f t="shared" si="23"/>
        <v/>
      </c>
      <c r="E6610" s="45" t="str">
        <f t="shared" si="24"/>
        <v/>
      </c>
      <c r="F6610" s="59" t="str">
        <f t="shared" si="25"/>
        <v/>
      </c>
      <c r="G6610" s="59" t="str">
        <f t="shared" si="26"/>
        <v/>
      </c>
      <c r="H6610" s="59" t="str">
        <f t="shared" si="27"/>
        <v>28C03323</v>
      </c>
      <c r="I6610" s="59" t="str">
        <f>IF(OR($A6610="",$C6610="",$D6610="",$E6610="",$H6610=""),"",SUMIFS(DATA_GOC!$H:$H,DATA_GOC!$A:$A,"BOM",DATA_GOC!$D:$D,$H6610,DATA_GOC!$E:$E,$C6610,DATA_GOC!$F:$F,"Xuất nội bộ từ téc",DATA_GOC!$B:$B,"&gt;="&amp;$D6610,DATA_GOC!$B:$B,"&lt;="&amp;$E6610))</f>
        <v/>
      </c>
      <c r="J6610" s="59">
        <f t="shared" si="28"/>
        <v>0</v>
      </c>
      <c r="K6610" s="59">
        <f t="shared" si="29"/>
        <v>0</v>
      </c>
      <c r="L6610" s="59">
        <f t="shared" si="30"/>
        <v>0</v>
      </c>
      <c r="M6610" s="59">
        <f t="shared" si="31"/>
        <v>0</v>
      </c>
    </row>
    <row r="6611" ht="15.0" hidden="1" customHeight="1">
      <c r="A6611" s="59">
        <f t="shared" si="20"/>
        <v>107</v>
      </c>
      <c r="B6611" s="59" t="str">
        <f t="shared" si="21"/>
        <v/>
      </c>
      <c r="C6611" s="59" t="str">
        <f t="shared" si="22"/>
        <v/>
      </c>
      <c r="D6611" s="45" t="str">
        <f t="shared" si="23"/>
        <v/>
      </c>
      <c r="E6611" s="45" t="str">
        <f t="shared" si="24"/>
        <v/>
      </c>
      <c r="F6611" s="59" t="str">
        <f t="shared" si="25"/>
        <v/>
      </c>
      <c r="G6611" s="59" t="str">
        <f t="shared" si="26"/>
        <v/>
      </c>
      <c r="H6611" s="59" t="str">
        <f t="shared" si="27"/>
        <v>28C03385</v>
      </c>
      <c r="I6611" s="59" t="str">
        <f>IF(OR($A6611="",$C6611="",$D6611="",$E6611="",$H6611=""),"",SUMIFS(DATA_GOC!$H:$H,DATA_GOC!$A:$A,"BOM",DATA_GOC!$D:$D,$H6611,DATA_GOC!$E:$E,$C6611,DATA_GOC!$F:$F,"Xuất nội bộ từ téc",DATA_GOC!$B:$B,"&gt;="&amp;$D6611,DATA_GOC!$B:$B,"&lt;="&amp;$E6611))</f>
        <v/>
      </c>
      <c r="J6611" s="59">
        <f t="shared" si="28"/>
        <v>0</v>
      </c>
      <c r="K6611" s="59">
        <f t="shared" si="29"/>
        <v>0</v>
      </c>
      <c r="L6611" s="59">
        <f t="shared" si="30"/>
        <v>0</v>
      </c>
      <c r="M6611" s="59">
        <f t="shared" si="31"/>
        <v>0</v>
      </c>
    </row>
    <row r="6612" ht="15.0" hidden="1" customHeight="1">
      <c r="A6612" s="59">
        <f t="shared" si="20"/>
        <v>107</v>
      </c>
      <c r="B6612" s="59" t="str">
        <f t="shared" si="21"/>
        <v/>
      </c>
      <c r="C6612" s="59" t="str">
        <f t="shared" si="22"/>
        <v/>
      </c>
      <c r="D6612" s="45" t="str">
        <f t="shared" si="23"/>
        <v/>
      </c>
      <c r="E6612" s="45" t="str">
        <f t="shared" si="24"/>
        <v/>
      </c>
      <c r="F6612" s="59" t="str">
        <f t="shared" si="25"/>
        <v/>
      </c>
      <c r="G6612" s="59" t="str">
        <f t="shared" si="26"/>
        <v/>
      </c>
      <c r="H6612" s="59" t="str">
        <f t="shared" si="27"/>
        <v>28C03652</v>
      </c>
      <c r="I6612" s="59" t="str">
        <f>IF(OR($A6612="",$C6612="",$D6612="",$E6612="",$H6612=""),"",SUMIFS(DATA_GOC!$H:$H,DATA_GOC!$A:$A,"BOM",DATA_GOC!$D:$D,$H6612,DATA_GOC!$E:$E,$C6612,DATA_GOC!$F:$F,"Xuất nội bộ từ téc",DATA_GOC!$B:$B,"&gt;="&amp;$D6612,DATA_GOC!$B:$B,"&lt;="&amp;$E6612))</f>
        <v/>
      </c>
      <c r="J6612" s="59">
        <f t="shared" si="28"/>
        <v>0</v>
      </c>
      <c r="K6612" s="59">
        <f t="shared" si="29"/>
        <v>0</v>
      </c>
      <c r="L6612" s="59">
        <f t="shared" si="30"/>
        <v>0</v>
      </c>
      <c r="M6612" s="59">
        <f t="shared" si="31"/>
        <v>0</v>
      </c>
    </row>
    <row r="6613" ht="15.0" hidden="1" customHeight="1">
      <c r="A6613" s="59">
        <f t="shared" si="20"/>
        <v>107</v>
      </c>
      <c r="B6613" s="59" t="str">
        <f t="shared" si="21"/>
        <v/>
      </c>
      <c r="C6613" s="59" t="str">
        <f t="shared" si="22"/>
        <v/>
      </c>
      <c r="D6613" s="45" t="str">
        <f t="shared" si="23"/>
        <v/>
      </c>
      <c r="E6613" s="45" t="str">
        <f t="shared" si="24"/>
        <v/>
      </c>
      <c r="F6613" s="59" t="str">
        <f t="shared" si="25"/>
        <v/>
      </c>
      <c r="G6613" s="59" t="str">
        <f t="shared" si="26"/>
        <v/>
      </c>
      <c r="H6613" s="59" t="str">
        <f t="shared" si="27"/>
        <v>28C03695</v>
      </c>
      <c r="I6613" s="59" t="str">
        <f>IF(OR($A6613="",$C6613="",$D6613="",$E6613="",$H6613=""),"",SUMIFS(DATA_GOC!$H:$H,DATA_GOC!$A:$A,"BOM",DATA_GOC!$D:$D,$H6613,DATA_GOC!$E:$E,$C6613,DATA_GOC!$F:$F,"Xuất nội bộ từ téc",DATA_GOC!$B:$B,"&gt;="&amp;$D6613,DATA_GOC!$B:$B,"&lt;="&amp;$E6613))</f>
        <v/>
      </c>
      <c r="J6613" s="59">
        <f t="shared" si="28"/>
        <v>0</v>
      </c>
      <c r="K6613" s="59">
        <f t="shared" si="29"/>
        <v>0</v>
      </c>
      <c r="L6613" s="59">
        <f t="shared" si="30"/>
        <v>0</v>
      </c>
      <c r="M6613" s="59">
        <f t="shared" si="31"/>
        <v>0</v>
      </c>
    </row>
    <row r="6614" ht="15.0" hidden="1" customHeight="1">
      <c r="A6614" s="59">
        <f t="shared" si="20"/>
        <v>107</v>
      </c>
      <c r="B6614" s="59" t="str">
        <f t="shared" si="21"/>
        <v/>
      </c>
      <c r="C6614" s="59" t="str">
        <f t="shared" si="22"/>
        <v/>
      </c>
      <c r="D6614" s="45" t="str">
        <f t="shared" si="23"/>
        <v/>
      </c>
      <c r="E6614" s="45" t="str">
        <f t="shared" si="24"/>
        <v/>
      </c>
      <c r="F6614" s="59" t="str">
        <f t="shared" si="25"/>
        <v/>
      </c>
      <c r="G6614" s="59" t="str">
        <f t="shared" si="26"/>
        <v/>
      </c>
      <c r="H6614" s="59" t="str">
        <f t="shared" si="27"/>
        <v>28C03927</v>
      </c>
      <c r="I6614" s="59" t="str">
        <f>IF(OR($A6614="",$C6614="",$D6614="",$E6614="",$H6614=""),"",SUMIFS(DATA_GOC!$H:$H,DATA_GOC!$A:$A,"BOM",DATA_GOC!$D:$D,$H6614,DATA_GOC!$E:$E,$C6614,DATA_GOC!$F:$F,"Xuất nội bộ từ téc",DATA_GOC!$B:$B,"&gt;="&amp;$D6614,DATA_GOC!$B:$B,"&lt;="&amp;$E6614))</f>
        <v/>
      </c>
      <c r="J6614" s="59">
        <f t="shared" si="28"/>
        <v>0</v>
      </c>
      <c r="K6614" s="59">
        <f t="shared" si="29"/>
        <v>0</v>
      </c>
      <c r="L6614" s="59">
        <f t="shared" si="30"/>
        <v>0</v>
      </c>
      <c r="M6614" s="59">
        <f t="shared" si="31"/>
        <v>0</v>
      </c>
    </row>
    <row r="6615" ht="15.0" hidden="1" customHeight="1">
      <c r="A6615" s="59">
        <f t="shared" si="20"/>
        <v>107</v>
      </c>
      <c r="B6615" s="59" t="str">
        <f t="shared" si="21"/>
        <v/>
      </c>
      <c r="C6615" s="59" t="str">
        <f t="shared" si="22"/>
        <v/>
      </c>
      <c r="D6615" s="45" t="str">
        <f t="shared" si="23"/>
        <v/>
      </c>
      <c r="E6615" s="45" t="str">
        <f t="shared" si="24"/>
        <v/>
      </c>
      <c r="F6615" s="59" t="str">
        <f t="shared" si="25"/>
        <v/>
      </c>
      <c r="G6615" s="59" t="str">
        <f t="shared" si="26"/>
        <v/>
      </c>
      <c r="H6615" s="59" t="str">
        <f t="shared" si="27"/>
        <v>28C04509</v>
      </c>
      <c r="I6615" s="59" t="str">
        <f>IF(OR($A6615="",$C6615="",$D6615="",$E6615="",$H6615=""),"",SUMIFS(DATA_GOC!$H:$H,DATA_GOC!$A:$A,"BOM",DATA_GOC!$D:$D,$H6615,DATA_GOC!$E:$E,$C6615,DATA_GOC!$F:$F,"Xuất nội bộ từ téc",DATA_GOC!$B:$B,"&gt;="&amp;$D6615,DATA_GOC!$B:$B,"&lt;="&amp;$E6615))</f>
        <v/>
      </c>
      <c r="J6615" s="59">
        <f t="shared" si="28"/>
        <v>0</v>
      </c>
      <c r="K6615" s="59">
        <f t="shared" si="29"/>
        <v>0</v>
      </c>
      <c r="L6615" s="59">
        <f t="shared" si="30"/>
        <v>0</v>
      </c>
      <c r="M6615" s="59">
        <f t="shared" si="31"/>
        <v>0</v>
      </c>
    </row>
    <row r="6616" ht="15.0" hidden="1" customHeight="1">
      <c r="A6616" s="59">
        <f t="shared" si="20"/>
        <v>107</v>
      </c>
      <c r="B6616" s="59" t="str">
        <f t="shared" si="21"/>
        <v/>
      </c>
      <c r="C6616" s="59" t="str">
        <f t="shared" si="22"/>
        <v/>
      </c>
      <c r="D6616" s="45" t="str">
        <f t="shared" si="23"/>
        <v/>
      </c>
      <c r="E6616" s="45" t="str">
        <f t="shared" si="24"/>
        <v/>
      </c>
      <c r="F6616" s="59" t="str">
        <f t="shared" si="25"/>
        <v/>
      </c>
      <c r="G6616" s="59" t="str">
        <f t="shared" si="26"/>
        <v/>
      </c>
      <c r="H6616" s="59" t="str">
        <f t="shared" si="27"/>
        <v>28C04536</v>
      </c>
      <c r="I6616" s="59" t="str">
        <f>IF(OR($A6616="",$C6616="",$D6616="",$E6616="",$H6616=""),"",SUMIFS(DATA_GOC!$H:$H,DATA_GOC!$A:$A,"BOM",DATA_GOC!$D:$D,$H6616,DATA_GOC!$E:$E,$C6616,DATA_GOC!$F:$F,"Xuất nội bộ từ téc",DATA_GOC!$B:$B,"&gt;="&amp;$D6616,DATA_GOC!$B:$B,"&lt;="&amp;$E6616))</f>
        <v/>
      </c>
      <c r="J6616" s="59">
        <f t="shared" si="28"/>
        <v>0</v>
      </c>
      <c r="K6616" s="59">
        <f t="shared" si="29"/>
        <v>0</v>
      </c>
      <c r="L6616" s="59">
        <f t="shared" si="30"/>
        <v>0</v>
      </c>
      <c r="M6616" s="59">
        <f t="shared" si="31"/>
        <v>0</v>
      </c>
    </row>
    <row r="6617" ht="15.0" hidden="1" customHeight="1">
      <c r="A6617" s="59">
        <f t="shared" si="20"/>
        <v>107</v>
      </c>
      <c r="B6617" s="59" t="str">
        <f t="shared" si="21"/>
        <v/>
      </c>
      <c r="C6617" s="59" t="str">
        <f t="shared" si="22"/>
        <v/>
      </c>
      <c r="D6617" s="45" t="str">
        <f t="shared" si="23"/>
        <v/>
      </c>
      <c r="E6617" s="45" t="str">
        <f t="shared" si="24"/>
        <v/>
      </c>
      <c r="F6617" s="59" t="str">
        <f t="shared" si="25"/>
        <v/>
      </c>
      <c r="G6617" s="59" t="str">
        <f t="shared" si="26"/>
        <v/>
      </c>
      <c r="H6617" s="59" t="str">
        <f t="shared" si="27"/>
        <v>28C04576</v>
      </c>
      <c r="I6617" s="59" t="str">
        <f>IF(OR($A6617="",$C6617="",$D6617="",$E6617="",$H6617=""),"",SUMIFS(DATA_GOC!$H:$H,DATA_GOC!$A:$A,"BOM",DATA_GOC!$D:$D,$H6617,DATA_GOC!$E:$E,$C6617,DATA_GOC!$F:$F,"Xuất nội bộ từ téc",DATA_GOC!$B:$B,"&gt;="&amp;$D6617,DATA_GOC!$B:$B,"&lt;="&amp;$E6617))</f>
        <v/>
      </c>
      <c r="J6617" s="59">
        <f t="shared" si="28"/>
        <v>0</v>
      </c>
      <c r="K6617" s="59">
        <f t="shared" si="29"/>
        <v>0</v>
      </c>
      <c r="L6617" s="59">
        <f t="shared" si="30"/>
        <v>0</v>
      </c>
      <c r="M6617" s="59">
        <f t="shared" si="31"/>
        <v>0</v>
      </c>
    </row>
    <row r="6618" ht="15.0" hidden="1" customHeight="1">
      <c r="A6618" s="59">
        <f t="shared" si="20"/>
        <v>107</v>
      </c>
      <c r="B6618" s="59" t="str">
        <f t="shared" si="21"/>
        <v/>
      </c>
      <c r="C6618" s="59" t="str">
        <f t="shared" si="22"/>
        <v/>
      </c>
      <c r="D6618" s="45" t="str">
        <f t="shared" si="23"/>
        <v/>
      </c>
      <c r="E6618" s="45" t="str">
        <f t="shared" si="24"/>
        <v/>
      </c>
      <c r="F6618" s="59" t="str">
        <f t="shared" si="25"/>
        <v/>
      </c>
      <c r="G6618" s="59" t="str">
        <f t="shared" si="26"/>
        <v/>
      </c>
      <c r="H6618" s="59" t="str">
        <f t="shared" si="27"/>
        <v>28C05090</v>
      </c>
      <c r="I6618" s="59" t="str">
        <f>IF(OR($A6618="",$C6618="",$D6618="",$E6618="",$H6618=""),"",SUMIFS(DATA_GOC!$H:$H,DATA_GOC!$A:$A,"BOM",DATA_GOC!$D:$D,$H6618,DATA_GOC!$E:$E,$C6618,DATA_GOC!$F:$F,"Xuất nội bộ từ téc",DATA_GOC!$B:$B,"&gt;="&amp;$D6618,DATA_GOC!$B:$B,"&lt;="&amp;$E6618))</f>
        <v/>
      </c>
      <c r="J6618" s="59">
        <f t="shared" si="28"/>
        <v>0</v>
      </c>
      <c r="K6618" s="59">
        <f t="shared" si="29"/>
        <v>0</v>
      </c>
      <c r="L6618" s="59">
        <f t="shared" si="30"/>
        <v>0</v>
      </c>
      <c r="M6618" s="59">
        <f t="shared" si="31"/>
        <v>0</v>
      </c>
    </row>
    <row r="6619" ht="15.0" hidden="1" customHeight="1">
      <c r="A6619" s="59">
        <f t="shared" si="20"/>
        <v>107</v>
      </c>
      <c r="B6619" s="59" t="str">
        <f t="shared" si="21"/>
        <v/>
      </c>
      <c r="C6619" s="59" t="str">
        <f t="shared" si="22"/>
        <v/>
      </c>
      <c r="D6619" s="45" t="str">
        <f t="shared" si="23"/>
        <v/>
      </c>
      <c r="E6619" s="45" t="str">
        <f t="shared" si="24"/>
        <v/>
      </c>
      <c r="F6619" s="59" t="str">
        <f t="shared" si="25"/>
        <v/>
      </c>
      <c r="G6619" s="59" t="str">
        <f t="shared" si="26"/>
        <v/>
      </c>
      <c r="H6619" s="59" t="str">
        <f t="shared" si="27"/>
        <v>28C05345</v>
      </c>
      <c r="I6619" s="59" t="str">
        <f>IF(OR($A6619="",$C6619="",$D6619="",$E6619="",$H6619=""),"",SUMIFS(DATA_GOC!$H:$H,DATA_GOC!$A:$A,"BOM",DATA_GOC!$D:$D,$H6619,DATA_GOC!$E:$E,$C6619,DATA_GOC!$F:$F,"Xuất nội bộ từ téc",DATA_GOC!$B:$B,"&gt;="&amp;$D6619,DATA_GOC!$B:$B,"&lt;="&amp;$E6619))</f>
        <v/>
      </c>
      <c r="J6619" s="59">
        <f t="shared" si="28"/>
        <v>0</v>
      </c>
      <c r="K6619" s="59">
        <f t="shared" si="29"/>
        <v>0</v>
      </c>
      <c r="L6619" s="59">
        <f t="shared" si="30"/>
        <v>0</v>
      </c>
      <c r="M6619" s="59">
        <f t="shared" si="31"/>
        <v>0</v>
      </c>
    </row>
    <row r="6620" ht="15.0" hidden="1" customHeight="1">
      <c r="A6620" s="59">
        <f t="shared" si="20"/>
        <v>107</v>
      </c>
      <c r="B6620" s="59" t="str">
        <f t="shared" si="21"/>
        <v/>
      </c>
      <c r="C6620" s="59" t="str">
        <f t="shared" si="22"/>
        <v/>
      </c>
      <c r="D6620" s="45" t="str">
        <f t="shared" si="23"/>
        <v/>
      </c>
      <c r="E6620" s="45" t="str">
        <f t="shared" si="24"/>
        <v/>
      </c>
      <c r="F6620" s="59" t="str">
        <f t="shared" si="25"/>
        <v/>
      </c>
      <c r="G6620" s="59" t="str">
        <f t="shared" si="26"/>
        <v/>
      </c>
      <c r="H6620" s="59" t="str">
        <f t="shared" si="27"/>
        <v>28C05661</v>
      </c>
      <c r="I6620" s="59" t="str">
        <f>IF(OR($A6620="",$C6620="",$D6620="",$E6620="",$H6620=""),"",SUMIFS(DATA_GOC!$H:$H,DATA_GOC!$A:$A,"BOM",DATA_GOC!$D:$D,$H6620,DATA_GOC!$E:$E,$C6620,DATA_GOC!$F:$F,"Xuất nội bộ từ téc",DATA_GOC!$B:$B,"&gt;="&amp;$D6620,DATA_GOC!$B:$B,"&lt;="&amp;$E6620))</f>
        <v/>
      </c>
      <c r="J6620" s="59">
        <f t="shared" si="28"/>
        <v>0</v>
      </c>
      <c r="K6620" s="59">
        <f t="shared" si="29"/>
        <v>0</v>
      </c>
      <c r="L6620" s="59">
        <f t="shared" si="30"/>
        <v>0</v>
      </c>
      <c r="M6620" s="59">
        <f t="shared" si="31"/>
        <v>0</v>
      </c>
    </row>
    <row r="6621" ht="15.0" hidden="1" customHeight="1">
      <c r="A6621" s="59">
        <f t="shared" si="20"/>
        <v>107</v>
      </c>
      <c r="B6621" s="59" t="str">
        <f t="shared" si="21"/>
        <v/>
      </c>
      <c r="C6621" s="59" t="str">
        <f t="shared" si="22"/>
        <v/>
      </c>
      <c r="D6621" s="45" t="str">
        <f t="shared" si="23"/>
        <v/>
      </c>
      <c r="E6621" s="45" t="str">
        <f t="shared" si="24"/>
        <v/>
      </c>
      <c r="F6621" s="59" t="str">
        <f t="shared" si="25"/>
        <v/>
      </c>
      <c r="G6621" s="59" t="str">
        <f t="shared" si="26"/>
        <v/>
      </c>
      <c r="H6621" s="59" t="str">
        <f t="shared" si="27"/>
        <v>28C05739</v>
      </c>
      <c r="I6621" s="59" t="str">
        <f>IF(OR($A6621="",$C6621="",$D6621="",$E6621="",$H6621=""),"",SUMIFS(DATA_GOC!$H:$H,DATA_GOC!$A:$A,"BOM",DATA_GOC!$D:$D,$H6621,DATA_GOC!$E:$E,$C6621,DATA_GOC!$F:$F,"Xuất nội bộ từ téc",DATA_GOC!$B:$B,"&gt;="&amp;$D6621,DATA_GOC!$B:$B,"&lt;="&amp;$E6621))</f>
        <v/>
      </c>
      <c r="J6621" s="59">
        <f t="shared" si="28"/>
        <v>0</v>
      </c>
      <c r="K6621" s="59">
        <f t="shared" si="29"/>
        <v>0</v>
      </c>
      <c r="L6621" s="59">
        <f t="shared" si="30"/>
        <v>0</v>
      </c>
      <c r="M6621" s="59">
        <f t="shared" si="31"/>
        <v>0</v>
      </c>
    </row>
    <row r="6622" ht="15.0" hidden="1" customHeight="1">
      <c r="A6622" s="59">
        <f t="shared" si="20"/>
        <v>107</v>
      </c>
      <c r="B6622" s="59" t="str">
        <f t="shared" si="21"/>
        <v/>
      </c>
      <c r="C6622" s="59" t="str">
        <f t="shared" si="22"/>
        <v/>
      </c>
      <c r="D6622" s="45" t="str">
        <f t="shared" si="23"/>
        <v/>
      </c>
      <c r="E6622" s="45" t="str">
        <f t="shared" si="24"/>
        <v/>
      </c>
      <c r="F6622" s="59" t="str">
        <f t="shared" si="25"/>
        <v/>
      </c>
      <c r="G6622" s="59" t="str">
        <f t="shared" si="26"/>
        <v/>
      </c>
      <c r="H6622" s="59" t="str">
        <f t="shared" si="27"/>
        <v>28C06369</v>
      </c>
      <c r="I6622" s="59" t="str">
        <f>IF(OR($A6622="",$C6622="",$D6622="",$E6622="",$H6622=""),"",SUMIFS(DATA_GOC!$H:$H,DATA_GOC!$A:$A,"BOM",DATA_GOC!$D:$D,$H6622,DATA_GOC!$E:$E,$C6622,DATA_GOC!$F:$F,"Xuất nội bộ từ téc",DATA_GOC!$B:$B,"&gt;="&amp;$D6622,DATA_GOC!$B:$B,"&lt;="&amp;$E6622))</f>
        <v/>
      </c>
      <c r="J6622" s="59">
        <f t="shared" si="28"/>
        <v>0</v>
      </c>
      <c r="K6622" s="59">
        <f t="shared" si="29"/>
        <v>0</v>
      </c>
      <c r="L6622" s="59">
        <f t="shared" si="30"/>
        <v>0</v>
      </c>
      <c r="M6622" s="59">
        <f t="shared" si="31"/>
        <v>0</v>
      </c>
    </row>
    <row r="6623" ht="15.0" hidden="1" customHeight="1">
      <c r="A6623" s="59">
        <f t="shared" si="20"/>
        <v>107</v>
      </c>
      <c r="B6623" s="59" t="str">
        <f t="shared" si="21"/>
        <v/>
      </c>
      <c r="C6623" s="59" t="str">
        <f t="shared" si="22"/>
        <v/>
      </c>
      <c r="D6623" s="45" t="str">
        <f t="shared" si="23"/>
        <v/>
      </c>
      <c r="E6623" s="45" t="str">
        <f t="shared" si="24"/>
        <v/>
      </c>
      <c r="F6623" s="59" t="str">
        <f t="shared" si="25"/>
        <v/>
      </c>
      <c r="G6623" s="59" t="str">
        <f t="shared" si="26"/>
        <v/>
      </c>
      <c r="H6623" s="59" t="str">
        <f t="shared" si="27"/>
        <v>28C06447</v>
      </c>
      <c r="I6623" s="59" t="str">
        <f>IF(OR($A6623="",$C6623="",$D6623="",$E6623="",$H6623=""),"",SUMIFS(DATA_GOC!$H:$H,DATA_GOC!$A:$A,"BOM",DATA_GOC!$D:$D,$H6623,DATA_GOC!$E:$E,$C6623,DATA_GOC!$F:$F,"Xuất nội bộ từ téc",DATA_GOC!$B:$B,"&gt;="&amp;$D6623,DATA_GOC!$B:$B,"&lt;="&amp;$E6623))</f>
        <v/>
      </c>
      <c r="J6623" s="59">
        <f t="shared" si="28"/>
        <v>0</v>
      </c>
      <c r="K6623" s="59">
        <f t="shared" si="29"/>
        <v>0</v>
      </c>
      <c r="L6623" s="59">
        <f t="shared" si="30"/>
        <v>0</v>
      </c>
      <c r="M6623" s="59">
        <f t="shared" si="31"/>
        <v>0</v>
      </c>
    </row>
    <row r="6624" ht="15.0" hidden="1" customHeight="1">
      <c r="A6624" s="59">
        <f t="shared" si="20"/>
        <v>107</v>
      </c>
      <c r="B6624" s="59" t="str">
        <f t="shared" si="21"/>
        <v/>
      </c>
      <c r="C6624" s="59" t="str">
        <f t="shared" si="22"/>
        <v/>
      </c>
      <c r="D6624" s="45" t="str">
        <f t="shared" si="23"/>
        <v/>
      </c>
      <c r="E6624" s="45" t="str">
        <f t="shared" si="24"/>
        <v/>
      </c>
      <c r="F6624" s="59" t="str">
        <f t="shared" si="25"/>
        <v/>
      </c>
      <c r="G6624" s="59" t="str">
        <f t="shared" si="26"/>
        <v/>
      </c>
      <c r="H6624" s="59" t="str">
        <f t="shared" si="27"/>
        <v>28H00003</v>
      </c>
      <c r="I6624" s="59" t="str">
        <f>IF(OR($A6624="",$C6624="",$D6624="",$E6624="",$H6624=""),"",SUMIFS(DATA_GOC!$H:$H,DATA_GOC!$A:$A,"BOM",DATA_GOC!$D:$D,$H6624,DATA_GOC!$E:$E,$C6624,DATA_GOC!$F:$F,"Xuất nội bộ từ téc",DATA_GOC!$B:$B,"&gt;="&amp;$D6624,DATA_GOC!$B:$B,"&lt;="&amp;$E6624))</f>
        <v/>
      </c>
      <c r="J6624" s="59">
        <f t="shared" si="28"/>
        <v>0</v>
      </c>
      <c r="K6624" s="59">
        <f t="shared" si="29"/>
        <v>0</v>
      </c>
      <c r="L6624" s="59">
        <f t="shared" si="30"/>
        <v>0</v>
      </c>
      <c r="M6624" s="59">
        <f t="shared" si="31"/>
        <v>0</v>
      </c>
    </row>
    <row r="6625" ht="15.0" hidden="1" customHeight="1">
      <c r="A6625" s="59">
        <f t="shared" si="20"/>
        <v>107</v>
      </c>
      <c r="B6625" s="59" t="str">
        <f t="shared" si="21"/>
        <v/>
      </c>
      <c r="C6625" s="59" t="str">
        <f t="shared" si="22"/>
        <v/>
      </c>
      <c r="D6625" s="45" t="str">
        <f t="shared" si="23"/>
        <v/>
      </c>
      <c r="E6625" s="45" t="str">
        <f t="shared" si="24"/>
        <v/>
      </c>
      <c r="F6625" s="59" t="str">
        <f t="shared" si="25"/>
        <v/>
      </c>
      <c r="G6625" s="59" t="str">
        <f t="shared" si="26"/>
        <v/>
      </c>
      <c r="H6625" s="59" t="str">
        <f t="shared" si="27"/>
        <v>28H00061</v>
      </c>
      <c r="I6625" s="59" t="str">
        <f>IF(OR($A6625="",$C6625="",$D6625="",$E6625="",$H6625=""),"",SUMIFS(DATA_GOC!$H:$H,DATA_GOC!$A:$A,"BOM",DATA_GOC!$D:$D,$H6625,DATA_GOC!$E:$E,$C6625,DATA_GOC!$F:$F,"Xuất nội bộ từ téc",DATA_GOC!$B:$B,"&gt;="&amp;$D6625,DATA_GOC!$B:$B,"&lt;="&amp;$E6625))</f>
        <v/>
      </c>
      <c r="J6625" s="59">
        <f t="shared" si="28"/>
        <v>0</v>
      </c>
      <c r="K6625" s="59">
        <f t="shared" si="29"/>
        <v>0</v>
      </c>
      <c r="L6625" s="59">
        <f t="shared" si="30"/>
        <v>0</v>
      </c>
      <c r="M6625" s="59">
        <f t="shared" si="31"/>
        <v>0</v>
      </c>
    </row>
    <row r="6626" ht="15.0" hidden="1" customHeight="1">
      <c r="A6626" s="59">
        <f t="shared" si="20"/>
        <v>107</v>
      </c>
      <c r="B6626" s="59" t="str">
        <f t="shared" si="21"/>
        <v/>
      </c>
      <c r="C6626" s="59" t="str">
        <f t="shared" si="22"/>
        <v/>
      </c>
      <c r="D6626" s="45" t="str">
        <f t="shared" si="23"/>
        <v/>
      </c>
      <c r="E6626" s="45" t="str">
        <f t="shared" si="24"/>
        <v/>
      </c>
      <c r="F6626" s="59" t="str">
        <f t="shared" si="25"/>
        <v/>
      </c>
      <c r="G6626" s="59" t="str">
        <f t="shared" si="26"/>
        <v/>
      </c>
      <c r="H6626" s="59" t="str">
        <f t="shared" si="27"/>
        <v>28H00354</v>
      </c>
      <c r="I6626" s="59" t="str">
        <f>IF(OR($A6626="",$C6626="",$D6626="",$E6626="",$H6626=""),"",SUMIFS(DATA_GOC!$H:$H,DATA_GOC!$A:$A,"BOM",DATA_GOC!$D:$D,$H6626,DATA_GOC!$E:$E,$C6626,DATA_GOC!$F:$F,"Xuất nội bộ từ téc",DATA_GOC!$B:$B,"&gt;="&amp;$D6626,DATA_GOC!$B:$B,"&lt;="&amp;$E6626))</f>
        <v/>
      </c>
      <c r="J6626" s="59">
        <f t="shared" si="28"/>
        <v>0</v>
      </c>
      <c r="K6626" s="59">
        <f t="shared" si="29"/>
        <v>0</v>
      </c>
      <c r="L6626" s="59">
        <f t="shared" si="30"/>
        <v>0</v>
      </c>
      <c r="M6626" s="59">
        <f t="shared" si="31"/>
        <v>0</v>
      </c>
    </row>
    <row r="6627" ht="15.0" hidden="1" customHeight="1">
      <c r="A6627" s="59">
        <f t="shared" si="20"/>
        <v>107</v>
      </c>
      <c r="B6627" s="59" t="str">
        <f t="shared" si="21"/>
        <v/>
      </c>
      <c r="C6627" s="59" t="str">
        <f t="shared" si="22"/>
        <v/>
      </c>
      <c r="D6627" s="45" t="str">
        <f t="shared" si="23"/>
        <v/>
      </c>
      <c r="E6627" s="45" t="str">
        <f t="shared" si="24"/>
        <v/>
      </c>
      <c r="F6627" s="59" t="str">
        <f t="shared" si="25"/>
        <v/>
      </c>
      <c r="G6627" s="59" t="str">
        <f t="shared" si="26"/>
        <v/>
      </c>
      <c r="H6627" s="59" t="str">
        <f t="shared" si="27"/>
        <v>28H00603</v>
      </c>
      <c r="I6627" s="59" t="str">
        <f>IF(OR($A6627="",$C6627="",$D6627="",$E6627="",$H6627=""),"",SUMIFS(DATA_GOC!$H:$H,DATA_GOC!$A:$A,"BOM",DATA_GOC!$D:$D,$H6627,DATA_GOC!$E:$E,$C6627,DATA_GOC!$F:$F,"Xuất nội bộ từ téc",DATA_GOC!$B:$B,"&gt;="&amp;$D6627,DATA_GOC!$B:$B,"&lt;="&amp;$E6627))</f>
        <v/>
      </c>
      <c r="J6627" s="59">
        <f t="shared" si="28"/>
        <v>0</v>
      </c>
      <c r="K6627" s="59">
        <f t="shared" si="29"/>
        <v>0</v>
      </c>
      <c r="L6627" s="59">
        <f t="shared" si="30"/>
        <v>0</v>
      </c>
      <c r="M6627" s="59">
        <f t="shared" si="31"/>
        <v>0</v>
      </c>
    </row>
    <row r="6628" ht="15.0" hidden="1" customHeight="1">
      <c r="A6628" s="59">
        <f t="shared" si="20"/>
        <v>107</v>
      </c>
      <c r="B6628" s="59" t="str">
        <f t="shared" si="21"/>
        <v/>
      </c>
      <c r="C6628" s="59" t="str">
        <f t="shared" si="22"/>
        <v/>
      </c>
      <c r="D6628" s="45" t="str">
        <f t="shared" si="23"/>
        <v/>
      </c>
      <c r="E6628" s="45" t="str">
        <f t="shared" si="24"/>
        <v/>
      </c>
      <c r="F6628" s="59" t="str">
        <f t="shared" si="25"/>
        <v/>
      </c>
      <c r="G6628" s="59" t="str">
        <f t="shared" si="26"/>
        <v/>
      </c>
      <c r="H6628" s="59" t="str">
        <f t="shared" si="27"/>
        <v>28H00609</v>
      </c>
      <c r="I6628" s="59" t="str">
        <f>IF(OR($A6628="",$C6628="",$D6628="",$E6628="",$H6628=""),"",SUMIFS(DATA_GOC!$H:$H,DATA_GOC!$A:$A,"BOM",DATA_GOC!$D:$D,$H6628,DATA_GOC!$E:$E,$C6628,DATA_GOC!$F:$F,"Xuất nội bộ từ téc",DATA_GOC!$B:$B,"&gt;="&amp;$D6628,DATA_GOC!$B:$B,"&lt;="&amp;$E6628))</f>
        <v/>
      </c>
      <c r="J6628" s="59">
        <f t="shared" si="28"/>
        <v>0</v>
      </c>
      <c r="K6628" s="59">
        <f t="shared" si="29"/>
        <v>0</v>
      </c>
      <c r="L6628" s="59">
        <f t="shared" si="30"/>
        <v>0</v>
      </c>
      <c r="M6628" s="59">
        <f t="shared" si="31"/>
        <v>0</v>
      </c>
    </row>
    <row r="6629" ht="15.0" hidden="1" customHeight="1">
      <c r="A6629" s="59">
        <f t="shared" si="20"/>
        <v>107</v>
      </c>
      <c r="B6629" s="59" t="str">
        <f t="shared" si="21"/>
        <v/>
      </c>
      <c r="C6629" s="59" t="str">
        <f t="shared" si="22"/>
        <v/>
      </c>
      <c r="D6629" s="45" t="str">
        <f t="shared" si="23"/>
        <v/>
      </c>
      <c r="E6629" s="45" t="str">
        <f t="shared" si="24"/>
        <v/>
      </c>
      <c r="F6629" s="59" t="str">
        <f t="shared" si="25"/>
        <v/>
      </c>
      <c r="G6629" s="59" t="str">
        <f t="shared" si="26"/>
        <v/>
      </c>
      <c r="H6629" s="59" t="str">
        <f t="shared" si="27"/>
        <v>28H00669</v>
      </c>
      <c r="I6629" s="59" t="str">
        <f>IF(OR($A6629="",$C6629="",$D6629="",$E6629="",$H6629=""),"",SUMIFS(DATA_GOC!$H:$H,DATA_GOC!$A:$A,"BOM",DATA_GOC!$D:$D,$H6629,DATA_GOC!$E:$E,$C6629,DATA_GOC!$F:$F,"Xuất nội bộ từ téc",DATA_GOC!$B:$B,"&gt;="&amp;$D6629,DATA_GOC!$B:$B,"&lt;="&amp;$E6629))</f>
        <v/>
      </c>
      <c r="J6629" s="59">
        <f t="shared" si="28"/>
        <v>0</v>
      </c>
      <c r="K6629" s="59">
        <f t="shared" si="29"/>
        <v>0</v>
      </c>
      <c r="L6629" s="59">
        <f t="shared" si="30"/>
        <v>0</v>
      </c>
      <c r="M6629" s="59">
        <f t="shared" si="31"/>
        <v>0</v>
      </c>
    </row>
    <row r="6630" ht="15.0" hidden="1" customHeight="1">
      <c r="A6630" s="59">
        <f t="shared" si="20"/>
        <v>107</v>
      </c>
      <c r="B6630" s="59" t="str">
        <f t="shared" si="21"/>
        <v/>
      </c>
      <c r="C6630" s="59" t="str">
        <f t="shared" si="22"/>
        <v/>
      </c>
      <c r="D6630" s="45" t="str">
        <f t="shared" si="23"/>
        <v/>
      </c>
      <c r="E6630" s="45" t="str">
        <f t="shared" si="24"/>
        <v/>
      </c>
      <c r="F6630" s="59" t="str">
        <f t="shared" si="25"/>
        <v/>
      </c>
      <c r="G6630" s="59" t="str">
        <f t="shared" si="26"/>
        <v/>
      </c>
      <c r="H6630" s="59" t="str">
        <f t="shared" si="27"/>
        <v>28H00680</v>
      </c>
      <c r="I6630" s="59" t="str">
        <f>IF(OR($A6630="",$C6630="",$D6630="",$E6630="",$H6630=""),"",SUMIFS(DATA_GOC!$H:$H,DATA_GOC!$A:$A,"BOM",DATA_GOC!$D:$D,$H6630,DATA_GOC!$E:$E,$C6630,DATA_GOC!$F:$F,"Xuất nội bộ từ téc",DATA_GOC!$B:$B,"&gt;="&amp;$D6630,DATA_GOC!$B:$B,"&lt;="&amp;$E6630))</f>
        <v/>
      </c>
      <c r="J6630" s="59">
        <f t="shared" si="28"/>
        <v>0</v>
      </c>
      <c r="K6630" s="59">
        <f t="shared" si="29"/>
        <v>0</v>
      </c>
      <c r="L6630" s="59">
        <f t="shared" si="30"/>
        <v>0</v>
      </c>
      <c r="M6630" s="59">
        <f t="shared" si="31"/>
        <v>0</v>
      </c>
    </row>
    <row r="6631" ht="15.0" hidden="1" customHeight="1">
      <c r="A6631" s="59">
        <f t="shared" si="20"/>
        <v>107</v>
      </c>
      <c r="B6631" s="59" t="str">
        <f t="shared" si="21"/>
        <v/>
      </c>
      <c r="C6631" s="59" t="str">
        <f t="shared" si="22"/>
        <v/>
      </c>
      <c r="D6631" s="45" t="str">
        <f t="shared" si="23"/>
        <v/>
      </c>
      <c r="E6631" s="45" t="str">
        <f t="shared" si="24"/>
        <v/>
      </c>
      <c r="F6631" s="59" t="str">
        <f t="shared" si="25"/>
        <v/>
      </c>
      <c r="G6631" s="59" t="str">
        <f t="shared" si="26"/>
        <v/>
      </c>
      <c r="H6631" s="59" t="str">
        <f t="shared" si="27"/>
        <v>28H01070</v>
      </c>
      <c r="I6631" s="59" t="str">
        <f>IF(OR($A6631="",$C6631="",$D6631="",$E6631="",$H6631=""),"",SUMIFS(DATA_GOC!$H:$H,DATA_GOC!$A:$A,"BOM",DATA_GOC!$D:$D,$H6631,DATA_GOC!$E:$E,$C6631,DATA_GOC!$F:$F,"Xuất nội bộ từ téc",DATA_GOC!$B:$B,"&gt;="&amp;$D6631,DATA_GOC!$B:$B,"&lt;="&amp;$E6631))</f>
        <v/>
      </c>
      <c r="J6631" s="59">
        <f t="shared" si="28"/>
        <v>0</v>
      </c>
      <c r="K6631" s="59">
        <f t="shared" si="29"/>
        <v>0</v>
      </c>
      <c r="L6631" s="59">
        <f t="shared" si="30"/>
        <v>0</v>
      </c>
      <c r="M6631" s="59">
        <f t="shared" si="31"/>
        <v>0</v>
      </c>
    </row>
    <row r="6632" ht="15.0" hidden="1" customHeight="1">
      <c r="A6632" s="59">
        <f t="shared" si="20"/>
        <v>107</v>
      </c>
      <c r="B6632" s="59" t="str">
        <f t="shared" si="21"/>
        <v/>
      </c>
      <c r="C6632" s="59" t="str">
        <f t="shared" si="22"/>
        <v/>
      </c>
      <c r="D6632" s="45" t="str">
        <f t="shared" si="23"/>
        <v/>
      </c>
      <c r="E6632" s="45" t="str">
        <f t="shared" si="24"/>
        <v/>
      </c>
      <c r="F6632" s="59" t="str">
        <f t="shared" si="25"/>
        <v/>
      </c>
      <c r="G6632" s="59" t="str">
        <f t="shared" si="26"/>
        <v/>
      </c>
      <c r="H6632" s="59" t="str">
        <f t="shared" si="27"/>
        <v>28H01364</v>
      </c>
      <c r="I6632" s="59" t="str">
        <f>IF(OR($A6632="",$C6632="",$D6632="",$E6632="",$H6632=""),"",SUMIFS(DATA_GOC!$H:$H,DATA_GOC!$A:$A,"BOM",DATA_GOC!$D:$D,$H6632,DATA_GOC!$E:$E,$C6632,DATA_GOC!$F:$F,"Xuất nội bộ từ téc",DATA_GOC!$B:$B,"&gt;="&amp;$D6632,DATA_GOC!$B:$B,"&lt;="&amp;$E6632))</f>
        <v/>
      </c>
      <c r="J6632" s="59">
        <f t="shared" si="28"/>
        <v>0</v>
      </c>
      <c r="K6632" s="59">
        <f t="shared" si="29"/>
        <v>0</v>
      </c>
      <c r="L6632" s="59">
        <f t="shared" si="30"/>
        <v>0</v>
      </c>
      <c r="M6632" s="59">
        <f t="shared" si="31"/>
        <v>0</v>
      </c>
    </row>
    <row r="6633" ht="15.0" hidden="1" customHeight="1">
      <c r="A6633" s="59">
        <f t="shared" si="20"/>
        <v>107</v>
      </c>
      <c r="B6633" s="59" t="str">
        <f t="shared" si="21"/>
        <v/>
      </c>
      <c r="C6633" s="59" t="str">
        <f t="shared" si="22"/>
        <v/>
      </c>
      <c r="D6633" s="45" t="str">
        <f t="shared" si="23"/>
        <v/>
      </c>
      <c r="E6633" s="45" t="str">
        <f t="shared" si="24"/>
        <v/>
      </c>
      <c r="F6633" s="59" t="str">
        <f t="shared" si="25"/>
        <v/>
      </c>
      <c r="G6633" s="59" t="str">
        <f t="shared" si="26"/>
        <v/>
      </c>
      <c r="H6633" s="59" t="str">
        <f t="shared" si="27"/>
        <v>29E17269</v>
      </c>
      <c r="I6633" s="59" t="str">
        <f>IF(OR($A6633="",$C6633="",$D6633="",$E6633="",$H6633=""),"",SUMIFS(DATA_GOC!$H:$H,DATA_GOC!$A:$A,"BOM",DATA_GOC!$D:$D,$H6633,DATA_GOC!$E:$E,$C6633,DATA_GOC!$F:$F,"Xuất nội bộ từ téc",DATA_GOC!$B:$B,"&gt;="&amp;$D6633,DATA_GOC!$B:$B,"&lt;="&amp;$E6633))</f>
        <v/>
      </c>
      <c r="J6633" s="59">
        <f t="shared" si="28"/>
        <v>0</v>
      </c>
      <c r="K6633" s="59">
        <f t="shared" si="29"/>
        <v>0</v>
      </c>
      <c r="L6633" s="59">
        <f t="shared" si="30"/>
        <v>0</v>
      </c>
      <c r="M6633" s="59">
        <f t="shared" si="31"/>
        <v>0</v>
      </c>
    </row>
    <row r="6634" ht="15.0" hidden="1" customHeight="1">
      <c r="A6634" s="59">
        <f t="shared" si="20"/>
        <v>107</v>
      </c>
      <c r="B6634" s="59" t="str">
        <f t="shared" si="21"/>
        <v/>
      </c>
      <c r="C6634" s="59" t="str">
        <f t="shared" si="22"/>
        <v/>
      </c>
      <c r="D6634" s="45" t="str">
        <f t="shared" si="23"/>
        <v/>
      </c>
      <c r="E6634" s="45" t="str">
        <f t="shared" si="24"/>
        <v/>
      </c>
      <c r="F6634" s="59" t="str">
        <f t="shared" si="25"/>
        <v/>
      </c>
      <c r="G6634" s="59" t="str">
        <f t="shared" si="26"/>
        <v/>
      </c>
      <c r="H6634" s="59" t="str">
        <f t="shared" si="27"/>
        <v>29E17273</v>
      </c>
      <c r="I6634" s="59" t="str">
        <f>IF(OR($A6634="",$C6634="",$D6634="",$E6634="",$H6634=""),"",SUMIFS(DATA_GOC!$H:$H,DATA_GOC!$A:$A,"BOM",DATA_GOC!$D:$D,$H6634,DATA_GOC!$E:$E,$C6634,DATA_GOC!$F:$F,"Xuất nội bộ từ téc",DATA_GOC!$B:$B,"&gt;="&amp;$D6634,DATA_GOC!$B:$B,"&lt;="&amp;$E6634))</f>
        <v/>
      </c>
      <c r="J6634" s="59">
        <f t="shared" si="28"/>
        <v>0</v>
      </c>
      <c r="K6634" s="59">
        <f t="shared" si="29"/>
        <v>0</v>
      </c>
      <c r="L6634" s="59">
        <f t="shared" si="30"/>
        <v>0</v>
      </c>
      <c r="M6634" s="59">
        <f t="shared" si="31"/>
        <v>0</v>
      </c>
    </row>
    <row r="6635" ht="15.0" hidden="1" customHeight="1">
      <c r="A6635" s="59">
        <f t="shared" si="20"/>
        <v>107</v>
      </c>
      <c r="B6635" s="59" t="str">
        <f t="shared" si="21"/>
        <v/>
      </c>
      <c r="C6635" s="59" t="str">
        <f t="shared" si="22"/>
        <v/>
      </c>
      <c r="D6635" s="45" t="str">
        <f t="shared" si="23"/>
        <v/>
      </c>
      <c r="E6635" s="45" t="str">
        <f t="shared" si="24"/>
        <v/>
      </c>
      <c r="F6635" s="59" t="str">
        <f t="shared" si="25"/>
        <v/>
      </c>
      <c r="G6635" s="59" t="str">
        <f t="shared" si="26"/>
        <v/>
      </c>
      <c r="H6635" s="59" t="str">
        <f t="shared" si="27"/>
        <v>29E17410</v>
      </c>
      <c r="I6635" s="59" t="str">
        <f>IF(OR($A6635="",$C6635="",$D6635="",$E6635="",$H6635=""),"",SUMIFS(DATA_GOC!$H:$H,DATA_GOC!$A:$A,"BOM",DATA_GOC!$D:$D,$H6635,DATA_GOC!$E:$E,$C6635,DATA_GOC!$F:$F,"Xuất nội bộ từ téc",DATA_GOC!$B:$B,"&gt;="&amp;$D6635,DATA_GOC!$B:$B,"&lt;="&amp;$E6635))</f>
        <v/>
      </c>
      <c r="J6635" s="59">
        <f t="shared" si="28"/>
        <v>0</v>
      </c>
      <c r="K6635" s="59">
        <f t="shared" si="29"/>
        <v>0</v>
      </c>
      <c r="L6635" s="59">
        <f t="shared" si="30"/>
        <v>0</v>
      </c>
      <c r="M6635" s="59">
        <f t="shared" si="31"/>
        <v>0</v>
      </c>
    </row>
    <row r="6636" ht="15.0" hidden="1" customHeight="1">
      <c r="A6636" s="59">
        <f t="shared" si="20"/>
        <v>107</v>
      </c>
      <c r="B6636" s="59" t="str">
        <f t="shared" si="21"/>
        <v/>
      </c>
      <c r="C6636" s="59" t="str">
        <f t="shared" si="22"/>
        <v/>
      </c>
      <c r="D6636" s="45" t="str">
        <f t="shared" si="23"/>
        <v/>
      </c>
      <c r="E6636" s="45" t="str">
        <f t="shared" si="24"/>
        <v/>
      </c>
      <c r="F6636" s="59" t="str">
        <f t="shared" si="25"/>
        <v/>
      </c>
      <c r="G6636" s="59" t="str">
        <f t="shared" si="26"/>
        <v/>
      </c>
      <c r="H6636" s="59" t="str">
        <f t="shared" si="27"/>
        <v>29E17417</v>
      </c>
      <c r="I6636" s="59" t="str">
        <f>IF(OR($A6636="",$C6636="",$D6636="",$E6636="",$H6636=""),"",SUMIFS(DATA_GOC!$H:$H,DATA_GOC!$A:$A,"BOM",DATA_GOC!$D:$D,$H6636,DATA_GOC!$E:$E,$C6636,DATA_GOC!$F:$F,"Xuất nội bộ từ téc",DATA_GOC!$B:$B,"&gt;="&amp;$D6636,DATA_GOC!$B:$B,"&lt;="&amp;$E6636))</f>
        <v/>
      </c>
      <c r="J6636" s="59">
        <f t="shared" si="28"/>
        <v>0</v>
      </c>
      <c r="K6636" s="59">
        <f t="shared" si="29"/>
        <v>0</v>
      </c>
      <c r="L6636" s="59">
        <f t="shared" si="30"/>
        <v>0</v>
      </c>
      <c r="M6636" s="59">
        <f t="shared" si="31"/>
        <v>0</v>
      </c>
    </row>
    <row r="6637" ht="15.0" hidden="1" customHeight="1">
      <c r="A6637" s="59">
        <f t="shared" si="20"/>
        <v>107</v>
      </c>
      <c r="B6637" s="59" t="str">
        <f t="shared" si="21"/>
        <v/>
      </c>
      <c r="C6637" s="59" t="str">
        <f t="shared" si="22"/>
        <v/>
      </c>
      <c r="D6637" s="45" t="str">
        <f t="shared" si="23"/>
        <v/>
      </c>
      <c r="E6637" s="45" t="str">
        <f t="shared" si="24"/>
        <v/>
      </c>
      <c r="F6637" s="59" t="str">
        <f t="shared" si="25"/>
        <v/>
      </c>
      <c r="G6637" s="59" t="str">
        <f t="shared" si="26"/>
        <v/>
      </c>
      <c r="H6637" s="59" t="str">
        <f t="shared" si="27"/>
        <v>29E17539</v>
      </c>
      <c r="I6637" s="59" t="str">
        <f>IF(OR($A6637="",$C6637="",$D6637="",$E6637="",$H6637=""),"",SUMIFS(DATA_GOC!$H:$H,DATA_GOC!$A:$A,"BOM",DATA_GOC!$D:$D,$H6637,DATA_GOC!$E:$E,$C6637,DATA_GOC!$F:$F,"Xuất nội bộ từ téc",DATA_GOC!$B:$B,"&gt;="&amp;$D6637,DATA_GOC!$B:$B,"&lt;="&amp;$E6637))</f>
        <v/>
      </c>
      <c r="J6637" s="59">
        <f t="shared" si="28"/>
        <v>0</v>
      </c>
      <c r="K6637" s="59">
        <f t="shared" si="29"/>
        <v>0</v>
      </c>
      <c r="L6637" s="59">
        <f t="shared" si="30"/>
        <v>0</v>
      </c>
      <c r="M6637" s="59">
        <f t="shared" si="31"/>
        <v>0</v>
      </c>
    </row>
    <row r="6638" ht="15.0" hidden="1" customHeight="1">
      <c r="A6638" s="59">
        <f t="shared" si="20"/>
        <v>107</v>
      </c>
      <c r="B6638" s="59" t="str">
        <f t="shared" si="21"/>
        <v/>
      </c>
      <c r="C6638" s="59" t="str">
        <f t="shared" si="22"/>
        <v/>
      </c>
      <c r="D6638" s="45" t="str">
        <f t="shared" si="23"/>
        <v/>
      </c>
      <c r="E6638" s="45" t="str">
        <f t="shared" si="24"/>
        <v/>
      </c>
      <c r="F6638" s="59" t="str">
        <f t="shared" si="25"/>
        <v/>
      </c>
      <c r="G6638" s="59" t="str">
        <f t="shared" si="26"/>
        <v/>
      </c>
      <c r="H6638" s="59" t="str">
        <f t="shared" si="27"/>
        <v>29E18160</v>
      </c>
      <c r="I6638" s="59" t="str">
        <f>IF(OR($A6638="",$C6638="",$D6638="",$E6638="",$H6638=""),"",SUMIFS(DATA_GOC!$H:$H,DATA_GOC!$A:$A,"BOM",DATA_GOC!$D:$D,$H6638,DATA_GOC!$E:$E,$C6638,DATA_GOC!$F:$F,"Xuất nội bộ từ téc",DATA_GOC!$B:$B,"&gt;="&amp;$D6638,DATA_GOC!$B:$B,"&lt;="&amp;$E6638))</f>
        <v/>
      </c>
      <c r="J6638" s="59">
        <f t="shared" si="28"/>
        <v>0</v>
      </c>
      <c r="K6638" s="59">
        <f t="shared" si="29"/>
        <v>0</v>
      </c>
      <c r="L6638" s="59">
        <f t="shared" si="30"/>
        <v>0</v>
      </c>
      <c r="M6638" s="59">
        <f t="shared" si="31"/>
        <v>0</v>
      </c>
    </row>
    <row r="6639" ht="15.0" hidden="1" customHeight="1">
      <c r="A6639" s="59">
        <f t="shared" si="20"/>
        <v>107</v>
      </c>
      <c r="B6639" s="59" t="str">
        <f t="shared" si="21"/>
        <v/>
      </c>
      <c r="C6639" s="59" t="str">
        <f t="shared" si="22"/>
        <v/>
      </c>
      <c r="D6639" s="45" t="str">
        <f t="shared" si="23"/>
        <v/>
      </c>
      <c r="E6639" s="45" t="str">
        <f t="shared" si="24"/>
        <v/>
      </c>
      <c r="F6639" s="59" t="str">
        <f t="shared" si="25"/>
        <v/>
      </c>
      <c r="G6639" s="59" t="str">
        <f t="shared" si="26"/>
        <v/>
      </c>
      <c r="H6639" s="59" t="str">
        <f t="shared" si="27"/>
        <v>Công trình Asphalt</v>
      </c>
      <c r="I6639" s="59" t="str">
        <f>IF(OR($A6639="",$C6639="",$D6639="",$E6639="",$H6639=""),"",SUMIFS(DATA_GOC!$H:$H,DATA_GOC!$A:$A,"BOM",DATA_GOC!$D:$D,$H6639,DATA_GOC!$E:$E,$C6639,DATA_GOC!$F:$F,"Xuất nội bộ từ téc",DATA_GOC!$B:$B,"&gt;="&amp;$D6639,DATA_GOC!$B:$B,"&lt;="&amp;$E6639))</f>
        <v/>
      </c>
      <c r="J6639" s="59">
        <f t="shared" si="28"/>
        <v>0</v>
      </c>
      <c r="K6639" s="59">
        <f t="shared" si="29"/>
        <v>0</v>
      </c>
      <c r="L6639" s="59">
        <f t="shared" si="30"/>
        <v>0</v>
      </c>
      <c r="M6639" s="59">
        <f t="shared" si="31"/>
        <v>0</v>
      </c>
    </row>
    <row r="6640" ht="15.0" hidden="1" customHeight="1">
      <c r="A6640" s="59">
        <f t="shared" si="20"/>
        <v>107</v>
      </c>
      <c r="B6640" s="59" t="str">
        <f t="shared" si="21"/>
        <v/>
      </c>
      <c r="C6640" s="59" t="str">
        <f t="shared" si="22"/>
        <v/>
      </c>
      <c r="D6640" s="45" t="str">
        <f t="shared" si="23"/>
        <v/>
      </c>
      <c r="E6640" s="45" t="str">
        <f t="shared" si="24"/>
        <v/>
      </c>
      <c r="F6640" s="59" t="str">
        <f t="shared" si="25"/>
        <v/>
      </c>
      <c r="G6640" s="59" t="str">
        <f t="shared" si="26"/>
        <v/>
      </c>
      <c r="H6640" s="59" t="str">
        <f t="shared" si="27"/>
        <v>LG53F</v>
      </c>
      <c r="I6640" s="59" t="str">
        <f>IF(OR($A6640="",$C6640="",$D6640="",$E6640="",$H6640=""),"",SUMIFS(DATA_GOC!$H:$H,DATA_GOC!$A:$A,"BOM",DATA_GOC!$D:$D,$H6640,DATA_GOC!$E:$E,$C6640,DATA_GOC!$F:$F,"Xuất nội bộ từ téc",DATA_GOC!$B:$B,"&gt;="&amp;$D6640,DATA_GOC!$B:$B,"&lt;="&amp;$E6640))</f>
        <v/>
      </c>
      <c r="J6640" s="59">
        <f t="shared" si="28"/>
        <v>0</v>
      </c>
      <c r="K6640" s="59">
        <f t="shared" si="29"/>
        <v>0</v>
      </c>
      <c r="L6640" s="59">
        <f t="shared" si="30"/>
        <v>0</v>
      </c>
      <c r="M6640" s="59">
        <f t="shared" si="31"/>
        <v>0</v>
      </c>
    </row>
    <row r="6641" ht="15.0" hidden="1" customHeight="1">
      <c r="A6641" s="59">
        <f t="shared" si="20"/>
        <v>107</v>
      </c>
      <c r="B6641" s="59" t="str">
        <f t="shared" si="21"/>
        <v/>
      </c>
      <c r="C6641" s="59" t="str">
        <f t="shared" si="22"/>
        <v/>
      </c>
      <c r="D6641" s="45" t="str">
        <f t="shared" si="23"/>
        <v/>
      </c>
      <c r="E6641" s="45" t="str">
        <f t="shared" si="24"/>
        <v/>
      </c>
      <c r="F6641" s="59" t="str">
        <f t="shared" si="25"/>
        <v/>
      </c>
      <c r="G6641" s="59" t="str">
        <f t="shared" si="26"/>
        <v/>
      </c>
      <c r="H6641" s="59" t="str">
        <f t="shared" si="27"/>
        <v>Máy phát điện</v>
      </c>
      <c r="I6641" s="59" t="str">
        <f>IF(OR($A6641="",$C6641="",$D6641="",$E6641="",$H6641=""),"",SUMIFS(DATA_GOC!$H:$H,DATA_GOC!$A:$A,"BOM",DATA_GOC!$D:$D,$H6641,DATA_GOC!$E:$E,$C6641,DATA_GOC!$F:$F,"Xuất nội bộ từ téc",DATA_GOC!$B:$B,"&gt;="&amp;$D6641,DATA_GOC!$B:$B,"&lt;="&amp;$E6641))</f>
        <v/>
      </c>
      <c r="J6641" s="59">
        <f t="shared" si="28"/>
        <v>0</v>
      </c>
      <c r="K6641" s="59">
        <f t="shared" si="29"/>
        <v>0</v>
      </c>
      <c r="L6641" s="59">
        <f t="shared" si="30"/>
        <v>0</v>
      </c>
      <c r="M6641" s="59">
        <f t="shared" si="31"/>
        <v>0</v>
      </c>
    </row>
    <row r="6642" ht="15.0" hidden="1" customHeight="1">
      <c r="A6642" s="59">
        <f t="shared" si="20"/>
        <v>107</v>
      </c>
      <c r="B6642" s="59" t="str">
        <f t="shared" si="21"/>
        <v/>
      </c>
      <c r="C6642" s="59" t="str">
        <f t="shared" si="22"/>
        <v/>
      </c>
      <c r="D6642" s="45" t="str">
        <f t="shared" si="23"/>
        <v/>
      </c>
      <c r="E6642" s="45" t="str">
        <f t="shared" si="24"/>
        <v/>
      </c>
      <c r="F6642" s="59" t="str">
        <f t="shared" si="25"/>
        <v/>
      </c>
      <c r="G6642" s="59" t="str">
        <f t="shared" si="26"/>
        <v/>
      </c>
      <c r="H6642" s="59" t="str">
        <f t="shared" si="27"/>
        <v>Máy rải thảm</v>
      </c>
      <c r="I6642" s="59" t="str">
        <f>IF(OR($A6642="",$C6642="",$D6642="",$E6642="",$H6642=""),"",SUMIFS(DATA_GOC!$H:$H,DATA_GOC!$A:$A,"BOM",DATA_GOC!$D:$D,$H6642,DATA_GOC!$E:$E,$C6642,DATA_GOC!$F:$F,"Xuất nội bộ từ téc",DATA_GOC!$B:$B,"&gt;="&amp;$D6642,DATA_GOC!$B:$B,"&lt;="&amp;$E6642))</f>
        <v/>
      </c>
      <c r="J6642" s="59">
        <f t="shared" si="28"/>
        <v>0</v>
      </c>
      <c r="K6642" s="59">
        <f t="shared" si="29"/>
        <v>0</v>
      </c>
      <c r="L6642" s="59">
        <f t="shared" si="30"/>
        <v>0</v>
      </c>
      <c r="M6642" s="59">
        <f t="shared" si="31"/>
        <v>0</v>
      </c>
    </row>
    <row r="6643" ht="15.0" hidden="1" customHeight="1">
      <c r="A6643" s="59">
        <f t="shared" si="20"/>
        <v>107</v>
      </c>
      <c r="B6643" s="59" t="str">
        <f t="shared" si="21"/>
        <v/>
      </c>
      <c r="C6643" s="59" t="str">
        <f t="shared" si="22"/>
        <v/>
      </c>
      <c r="D6643" s="45" t="str">
        <f t="shared" si="23"/>
        <v/>
      </c>
      <c r="E6643" s="45" t="str">
        <f t="shared" si="24"/>
        <v/>
      </c>
      <c r="F6643" s="59" t="str">
        <f t="shared" si="25"/>
        <v/>
      </c>
      <c r="G6643" s="59" t="str">
        <f t="shared" si="26"/>
        <v/>
      </c>
      <c r="H6643" s="59" t="str">
        <f t="shared" si="27"/>
        <v>Xúc Đào</v>
      </c>
      <c r="I6643" s="59" t="str">
        <f>IF(OR($A6643="",$C6643="",$D6643="",$E6643="",$H6643=""),"",SUMIFS(DATA_GOC!$H:$H,DATA_GOC!$A:$A,"BOM",DATA_GOC!$D:$D,$H6643,DATA_GOC!$E:$E,$C6643,DATA_GOC!$F:$F,"Xuất nội bộ từ téc",DATA_GOC!$B:$B,"&gt;="&amp;$D6643,DATA_GOC!$B:$B,"&lt;="&amp;$E6643))</f>
        <v/>
      </c>
      <c r="J6643" s="59">
        <f t="shared" si="28"/>
        <v>0</v>
      </c>
      <c r="K6643" s="59">
        <f t="shared" si="29"/>
        <v>0</v>
      </c>
      <c r="L6643" s="59">
        <f t="shared" si="30"/>
        <v>0</v>
      </c>
      <c r="M6643" s="59">
        <f t="shared" si="31"/>
        <v>0</v>
      </c>
    </row>
    <row r="6644" ht="15.0" hidden="1" customHeight="1">
      <c r="A6644" s="59">
        <f t="shared" si="20"/>
        <v>107</v>
      </c>
      <c r="B6644" s="59" t="str">
        <f t="shared" si="21"/>
        <v/>
      </c>
      <c r="C6644" s="59" t="str">
        <f t="shared" si="22"/>
        <v/>
      </c>
      <c r="D6644" s="45" t="str">
        <f t="shared" si="23"/>
        <v/>
      </c>
      <c r="E6644" s="45" t="str">
        <f t="shared" si="24"/>
        <v/>
      </c>
      <c r="F6644" s="59" t="str">
        <f t="shared" si="25"/>
        <v/>
      </c>
      <c r="G6644" s="59" t="str">
        <f t="shared" si="26"/>
        <v/>
      </c>
      <c r="H6644" s="59" t="str">
        <f t="shared" si="27"/>
        <v>Xúclật asphalt</v>
      </c>
      <c r="I6644" s="59" t="str">
        <f>IF(OR($A6644="",$C6644="",$D6644="",$E6644="",$H6644=""),"",SUMIFS(DATA_GOC!$H:$H,DATA_GOC!$A:$A,"BOM",DATA_GOC!$D:$D,$H6644,DATA_GOC!$E:$E,$C6644,DATA_GOC!$F:$F,"Xuất nội bộ từ téc",DATA_GOC!$B:$B,"&gt;="&amp;$D6644,DATA_GOC!$B:$B,"&lt;="&amp;$E6644))</f>
        <v/>
      </c>
      <c r="J6644" s="59">
        <f t="shared" si="28"/>
        <v>0</v>
      </c>
      <c r="K6644" s="59">
        <f t="shared" si="29"/>
        <v>0</v>
      </c>
      <c r="L6644" s="59">
        <f t="shared" si="30"/>
        <v>0</v>
      </c>
      <c r="M6644" s="59">
        <f t="shared" si="31"/>
        <v>0</v>
      </c>
    </row>
    <row r="6645" ht="15.0" hidden="1" customHeight="1">
      <c r="A6645" s="59">
        <f t="shared" si="20"/>
        <v>107</v>
      </c>
      <c r="B6645" s="59" t="str">
        <f t="shared" si="21"/>
        <v/>
      </c>
      <c r="C6645" s="59" t="str">
        <f t="shared" si="22"/>
        <v/>
      </c>
      <c r="D6645" s="45" t="str">
        <f t="shared" si="23"/>
        <v/>
      </c>
      <c r="E6645" s="45" t="str">
        <f t="shared" si="24"/>
        <v/>
      </c>
      <c r="F6645" s="59" t="str">
        <f t="shared" si="25"/>
        <v/>
      </c>
      <c r="G6645" s="59" t="str">
        <f t="shared" si="26"/>
        <v/>
      </c>
      <c r="H6645" s="59" t="str">
        <f t="shared" si="27"/>
        <v>Xúclật855H</v>
      </c>
      <c r="I6645" s="59" t="str">
        <f>IF(OR($A6645="",$C6645="",$D6645="",$E6645="",$H6645=""),"",SUMIFS(DATA_GOC!$H:$H,DATA_GOC!$A:$A,"BOM",DATA_GOC!$D:$D,$H6645,DATA_GOC!$E:$E,$C6645,DATA_GOC!$F:$F,"Xuất nội bộ từ téc",DATA_GOC!$B:$B,"&gt;="&amp;$D6645,DATA_GOC!$B:$B,"&lt;="&amp;$E6645))</f>
        <v/>
      </c>
      <c r="J6645" s="59">
        <f t="shared" si="28"/>
        <v>0</v>
      </c>
      <c r="K6645" s="59">
        <f t="shared" si="29"/>
        <v>0</v>
      </c>
      <c r="L6645" s="59">
        <f t="shared" si="30"/>
        <v>0</v>
      </c>
      <c r="M6645" s="59">
        <f t="shared" si="31"/>
        <v>0</v>
      </c>
    </row>
    <row r="6646" ht="15.0" hidden="1" customHeight="1">
      <c r="A6646" s="59">
        <f t="shared" si="20"/>
        <v>107</v>
      </c>
      <c r="B6646" s="59" t="str">
        <f t="shared" si="21"/>
        <v/>
      </c>
      <c r="C6646" s="59" t="str">
        <f t="shared" si="22"/>
        <v/>
      </c>
      <c r="D6646" s="45" t="str">
        <f t="shared" si="23"/>
        <v/>
      </c>
      <c r="E6646" s="45" t="str">
        <f t="shared" si="24"/>
        <v/>
      </c>
      <c r="F6646" s="59" t="str">
        <f t="shared" si="25"/>
        <v/>
      </c>
      <c r="G6646" s="59" t="str">
        <f t="shared" si="26"/>
        <v/>
      </c>
      <c r="H6646" s="59" t="str">
        <f t="shared" si="27"/>
        <v>Xúclật855N</v>
      </c>
      <c r="I6646" s="59" t="str">
        <f>IF(OR($A6646="",$C6646="",$D6646="",$E6646="",$H6646=""),"",SUMIFS(DATA_GOC!$H:$H,DATA_GOC!$A:$A,"BOM",DATA_GOC!$D:$D,$H6646,DATA_GOC!$E:$E,$C6646,DATA_GOC!$F:$F,"Xuất nội bộ từ téc",DATA_GOC!$B:$B,"&gt;="&amp;$D6646,DATA_GOC!$B:$B,"&lt;="&amp;$E6646))</f>
        <v/>
      </c>
      <c r="J6646" s="59">
        <f t="shared" si="28"/>
        <v>0</v>
      </c>
      <c r="K6646" s="59">
        <f t="shared" si="29"/>
        <v>0</v>
      </c>
      <c r="L6646" s="59">
        <f t="shared" si="30"/>
        <v>0</v>
      </c>
      <c r="M6646" s="59">
        <f t="shared" si="31"/>
        <v>0</v>
      </c>
    </row>
    <row r="6647" ht="15.0" hidden="1" customHeight="1">
      <c r="A6647" s="59">
        <f t="shared" si="20"/>
        <v>107</v>
      </c>
      <c r="B6647" s="59" t="str">
        <f t="shared" si="21"/>
        <v/>
      </c>
      <c r="C6647" s="59" t="str">
        <f t="shared" si="22"/>
        <v/>
      </c>
      <c r="D6647" s="45" t="str">
        <f t="shared" si="23"/>
        <v/>
      </c>
      <c r="E6647" s="45" t="str">
        <f t="shared" si="24"/>
        <v/>
      </c>
      <c r="F6647" s="59" t="str">
        <f t="shared" si="25"/>
        <v/>
      </c>
      <c r="G6647" s="59" t="str">
        <f t="shared" si="26"/>
        <v/>
      </c>
      <c r="H6647" s="59" t="str">
        <f t="shared" si="27"/>
        <v>Cát nghiền</v>
      </c>
      <c r="I6647" s="59" t="str">
        <f>IF(OR($A6647="",$C6647="",$D6647="",$E6647="",$H6647=""),"",SUMIFS(DATA_GOC!$H:$H,DATA_GOC!$A:$A,"BOM",DATA_GOC!$D:$D,$H6647,DATA_GOC!$E:$E,$C6647,DATA_GOC!$F:$F,"Xuất nội bộ từ téc",DATA_GOC!$B:$B,"&gt;="&amp;$D6647,DATA_GOC!$B:$B,"&lt;="&amp;$E6647))</f>
        <v/>
      </c>
      <c r="J6647" s="59">
        <f t="shared" si="28"/>
        <v>0</v>
      </c>
      <c r="K6647" s="59">
        <f t="shared" si="29"/>
        <v>0</v>
      </c>
      <c r="L6647" s="59">
        <f t="shared" si="30"/>
        <v>0</v>
      </c>
      <c r="M6647" s="59">
        <f t="shared" si="31"/>
        <v>0</v>
      </c>
    </row>
    <row r="6648" ht="15.0" hidden="1" customHeight="1">
      <c r="A6648" s="59">
        <f t="shared" si="20"/>
        <v>107</v>
      </c>
      <c r="B6648" s="59" t="str">
        <f t="shared" si="21"/>
        <v/>
      </c>
      <c r="C6648" s="59" t="str">
        <f t="shared" si="22"/>
        <v/>
      </c>
      <c r="D6648" s="45" t="str">
        <f t="shared" si="23"/>
        <v/>
      </c>
      <c r="E6648" s="45" t="str">
        <f t="shared" si="24"/>
        <v/>
      </c>
      <c r="F6648" s="59" t="str">
        <f t="shared" si="25"/>
        <v/>
      </c>
      <c r="G6648" s="59" t="str">
        <f t="shared" si="26"/>
        <v/>
      </c>
      <c r="H6648" s="59" t="str">
        <f t="shared" si="27"/>
        <v>28C02973</v>
      </c>
      <c r="I6648" s="59" t="str">
        <f>IF(OR($A6648="",$C6648="",$D6648="",$E6648="",$H6648=""),"",SUMIFS(DATA_GOC!$H:$H,DATA_GOC!$A:$A,"BOM",DATA_GOC!$D:$D,$H6648,DATA_GOC!$E:$E,$C6648,DATA_GOC!$F:$F,"Xuất nội bộ từ téc",DATA_GOC!$B:$B,"&gt;="&amp;$D6648,DATA_GOC!$B:$B,"&lt;="&amp;$E6648))</f>
        <v/>
      </c>
      <c r="J6648" s="59">
        <f t="shared" si="28"/>
        <v>0</v>
      </c>
      <c r="K6648" s="59">
        <f t="shared" si="29"/>
        <v>0</v>
      </c>
      <c r="L6648" s="59">
        <f t="shared" si="30"/>
        <v>0</v>
      </c>
      <c r="M6648" s="59">
        <f t="shared" si="31"/>
        <v>0</v>
      </c>
    </row>
    <row r="6649" ht="15.0" hidden="1" customHeight="1">
      <c r="A6649" s="59">
        <f t="shared" si="20"/>
        <v>107</v>
      </c>
      <c r="B6649" s="59" t="str">
        <f t="shared" si="21"/>
        <v/>
      </c>
      <c r="C6649" s="59" t="str">
        <f t="shared" si="22"/>
        <v/>
      </c>
      <c r="D6649" s="45" t="str">
        <f t="shared" si="23"/>
        <v/>
      </c>
      <c r="E6649" s="45" t="str">
        <f t="shared" si="24"/>
        <v/>
      </c>
      <c r="F6649" s="59" t="str">
        <f t="shared" si="25"/>
        <v/>
      </c>
      <c r="G6649" s="59" t="str">
        <f t="shared" si="26"/>
        <v/>
      </c>
      <c r="H6649" s="59" t="str">
        <f t="shared" si="27"/>
        <v>28C03044</v>
      </c>
      <c r="I6649" s="59" t="str">
        <f>IF(OR($A6649="",$C6649="",$D6649="",$E6649="",$H6649=""),"",SUMIFS(DATA_GOC!$H:$H,DATA_GOC!$A:$A,"BOM",DATA_GOC!$D:$D,$H6649,DATA_GOC!$E:$E,$C6649,DATA_GOC!$F:$F,"Xuất nội bộ từ téc",DATA_GOC!$B:$B,"&gt;="&amp;$D6649,DATA_GOC!$B:$B,"&lt;="&amp;$E6649))</f>
        <v/>
      </c>
      <c r="J6649" s="59">
        <f t="shared" si="28"/>
        <v>0</v>
      </c>
      <c r="K6649" s="59">
        <f t="shared" si="29"/>
        <v>0</v>
      </c>
      <c r="L6649" s="59">
        <f t="shared" si="30"/>
        <v>0</v>
      </c>
      <c r="M6649" s="59">
        <f t="shared" si="31"/>
        <v>0</v>
      </c>
    </row>
    <row r="6650" ht="15.0" hidden="1" customHeight="1">
      <c r="A6650" s="59">
        <f t="shared" si="20"/>
        <v>107</v>
      </c>
      <c r="B6650" s="59" t="str">
        <f t="shared" si="21"/>
        <v/>
      </c>
      <c r="C6650" s="59" t="str">
        <f t="shared" si="22"/>
        <v/>
      </c>
      <c r="D6650" s="45" t="str">
        <f t="shared" si="23"/>
        <v/>
      </c>
      <c r="E6650" s="45" t="str">
        <f t="shared" si="24"/>
        <v/>
      </c>
      <c r="F6650" s="59" t="str">
        <f t="shared" si="25"/>
        <v/>
      </c>
      <c r="G6650" s="59" t="str">
        <f t="shared" si="26"/>
        <v/>
      </c>
      <c r="H6650" s="59" t="str">
        <f t="shared" si="27"/>
        <v>Máy lu lốp</v>
      </c>
      <c r="I6650" s="59" t="str">
        <f>IF(OR($A6650="",$C6650="",$D6650="",$E6650="",$H6650=""),"",SUMIFS(DATA_GOC!$H:$H,DATA_GOC!$A:$A,"BOM",DATA_GOC!$D:$D,$H6650,DATA_GOC!$E:$E,$C6650,DATA_GOC!$F:$F,"Xuất nội bộ từ téc",DATA_GOC!$B:$B,"&gt;="&amp;$D6650,DATA_GOC!$B:$B,"&lt;="&amp;$E6650))</f>
        <v/>
      </c>
      <c r="J6650" s="59">
        <f t="shared" si="28"/>
        <v>0</v>
      </c>
      <c r="K6650" s="59">
        <f t="shared" si="29"/>
        <v>0</v>
      </c>
      <c r="L6650" s="59">
        <f t="shared" si="30"/>
        <v>0</v>
      </c>
      <c r="M6650" s="59">
        <f t="shared" si="31"/>
        <v>0</v>
      </c>
    </row>
    <row r="6651" ht="15.0" hidden="1" customHeight="1">
      <c r="A6651" s="59">
        <f t="shared" si="20"/>
        <v>107</v>
      </c>
      <c r="B6651" s="59" t="str">
        <f t="shared" si="21"/>
        <v/>
      </c>
      <c r="C6651" s="59" t="str">
        <f t="shared" si="22"/>
        <v/>
      </c>
      <c r="D6651" s="45" t="str">
        <f t="shared" si="23"/>
        <v/>
      </c>
      <c r="E6651" s="45" t="str">
        <f t="shared" si="24"/>
        <v/>
      </c>
      <c r="F6651" s="59" t="str">
        <f t="shared" si="25"/>
        <v/>
      </c>
      <c r="G6651" s="59" t="str">
        <f t="shared" si="26"/>
        <v/>
      </c>
      <c r="H6651" s="59" t="str">
        <f t="shared" si="27"/>
        <v>Xe 600148</v>
      </c>
      <c r="I6651" s="59" t="str">
        <f>IF(OR($A6651="",$C6651="",$D6651="",$E6651="",$H6651=""),"",SUMIFS(DATA_GOC!$H:$H,DATA_GOC!$A:$A,"BOM",DATA_GOC!$D:$D,$H6651,DATA_GOC!$E:$E,$C6651,DATA_GOC!$F:$F,"Xuất nội bộ từ téc",DATA_GOC!$B:$B,"&gt;="&amp;$D6651,DATA_GOC!$B:$B,"&lt;="&amp;$E6651))</f>
        <v/>
      </c>
      <c r="J6651" s="59">
        <f t="shared" si="28"/>
        <v>0</v>
      </c>
      <c r="K6651" s="59">
        <f t="shared" si="29"/>
        <v>0</v>
      </c>
      <c r="L6651" s="59">
        <f t="shared" si="30"/>
        <v>0</v>
      </c>
      <c r="M6651" s="59">
        <f t="shared" si="31"/>
        <v>0</v>
      </c>
    </row>
    <row r="6652" ht="15.0" hidden="1" customHeight="1">
      <c r="A6652" s="59">
        <f t="shared" si="20"/>
        <v>107</v>
      </c>
      <c r="B6652" s="59" t="str">
        <f t="shared" si="21"/>
        <v/>
      </c>
      <c r="C6652" s="59" t="str">
        <f t="shared" si="22"/>
        <v/>
      </c>
      <c r="D6652" s="45" t="str">
        <f t="shared" si="23"/>
        <v/>
      </c>
      <c r="E6652" s="45" t="str">
        <f t="shared" si="24"/>
        <v/>
      </c>
      <c r="F6652" s="59" t="str">
        <f t="shared" si="25"/>
        <v/>
      </c>
      <c r="G6652" s="59" t="str">
        <f t="shared" si="26"/>
        <v/>
      </c>
      <c r="H6652" s="59" t="str">
        <f t="shared" si="27"/>
        <v>Xe ben mới</v>
      </c>
      <c r="I6652" s="59" t="str">
        <f>IF(OR($A6652="",$C6652="",$D6652="",$E6652="",$H6652=""),"",SUMIFS(DATA_GOC!$H:$H,DATA_GOC!$A:$A,"BOM",DATA_GOC!$D:$D,$H6652,DATA_GOC!$E:$E,$C6652,DATA_GOC!$F:$F,"Xuất nội bộ từ téc",DATA_GOC!$B:$B,"&gt;="&amp;$D6652,DATA_GOC!$B:$B,"&lt;="&amp;$E6652))</f>
        <v/>
      </c>
      <c r="J6652" s="59">
        <f t="shared" si="28"/>
        <v>0</v>
      </c>
      <c r="K6652" s="59">
        <f t="shared" si="29"/>
        <v>0</v>
      </c>
      <c r="L6652" s="59">
        <f t="shared" si="30"/>
        <v>0</v>
      </c>
      <c r="M6652" s="59">
        <f t="shared" si="31"/>
        <v>0</v>
      </c>
    </row>
    <row r="6653" ht="15.0" hidden="1" customHeight="1">
      <c r="A6653" s="59">
        <f t="shared" si="20"/>
        <v>108</v>
      </c>
      <c r="B6653" s="59" t="str">
        <f t="shared" si="21"/>
        <v/>
      </c>
      <c r="C6653" s="59" t="str">
        <f t="shared" si="22"/>
        <v/>
      </c>
      <c r="D6653" s="45" t="str">
        <f t="shared" si="23"/>
        <v/>
      </c>
      <c r="E6653" s="45" t="str">
        <f t="shared" si="24"/>
        <v/>
      </c>
      <c r="F6653" s="59" t="str">
        <f t="shared" si="25"/>
        <v/>
      </c>
      <c r="G6653" s="59" t="str">
        <f t="shared" si="26"/>
        <v/>
      </c>
      <c r="H6653" s="59" t="str">
        <f t="shared" si="27"/>
        <v>19H09482</v>
      </c>
      <c r="I6653" s="59" t="str">
        <f>IF(OR($A6653="",$C6653="",$D6653="",$E6653="",$H6653=""),"",SUMIFS(DATA_GOC!$H:$H,DATA_GOC!$A:$A,"BOM",DATA_GOC!$D:$D,$H6653,DATA_GOC!$E:$E,$C6653,DATA_GOC!$F:$F,"Xuất nội bộ từ téc",DATA_GOC!$B:$B,"&gt;="&amp;$D6653,DATA_GOC!$B:$B,"&lt;="&amp;$E6653))</f>
        <v/>
      </c>
      <c r="J6653" s="59">
        <f t="shared" si="28"/>
        <v>0</v>
      </c>
      <c r="K6653" s="59">
        <f t="shared" si="29"/>
        <v>0</v>
      </c>
      <c r="L6653" s="59">
        <f t="shared" si="30"/>
        <v>0</v>
      </c>
      <c r="M6653" s="59">
        <f t="shared" si="31"/>
        <v>0</v>
      </c>
    </row>
    <row r="6654" ht="15.0" hidden="1" customHeight="1">
      <c r="A6654" s="59">
        <f t="shared" si="20"/>
        <v>108</v>
      </c>
      <c r="B6654" s="59" t="str">
        <f t="shared" si="21"/>
        <v/>
      </c>
      <c r="C6654" s="59" t="str">
        <f t="shared" si="22"/>
        <v/>
      </c>
      <c r="D6654" s="45" t="str">
        <f t="shared" si="23"/>
        <v/>
      </c>
      <c r="E6654" s="45" t="str">
        <f t="shared" si="24"/>
        <v/>
      </c>
      <c r="F6654" s="59" t="str">
        <f t="shared" si="25"/>
        <v/>
      </c>
      <c r="G6654" s="59" t="str">
        <f t="shared" si="26"/>
        <v/>
      </c>
      <c r="H6654" s="59" t="str">
        <f t="shared" si="27"/>
        <v>28A30696</v>
      </c>
      <c r="I6654" s="59" t="str">
        <f>IF(OR($A6654="",$C6654="",$D6654="",$E6654="",$H6654=""),"",SUMIFS(DATA_GOC!$H:$H,DATA_GOC!$A:$A,"BOM",DATA_GOC!$D:$D,$H6654,DATA_GOC!$E:$E,$C6654,DATA_GOC!$F:$F,"Xuất nội bộ từ téc",DATA_GOC!$B:$B,"&gt;="&amp;$D6654,DATA_GOC!$B:$B,"&lt;="&amp;$E6654))</f>
        <v/>
      </c>
      <c r="J6654" s="59">
        <f t="shared" si="28"/>
        <v>0</v>
      </c>
      <c r="K6654" s="59">
        <f t="shared" si="29"/>
        <v>0</v>
      </c>
      <c r="L6654" s="59">
        <f t="shared" si="30"/>
        <v>0</v>
      </c>
      <c r="M6654" s="59">
        <f t="shared" si="31"/>
        <v>0</v>
      </c>
    </row>
    <row r="6655" ht="15.0" hidden="1" customHeight="1">
      <c r="A6655" s="59">
        <f t="shared" si="20"/>
        <v>108</v>
      </c>
      <c r="B6655" s="59" t="str">
        <f t="shared" si="21"/>
        <v/>
      </c>
      <c r="C6655" s="59" t="str">
        <f t="shared" si="22"/>
        <v/>
      </c>
      <c r="D6655" s="45" t="str">
        <f t="shared" si="23"/>
        <v/>
      </c>
      <c r="E6655" s="45" t="str">
        <f t="shared" si="24"/>
        <v/>
      </c>
      <c r="F6655" s="59" t="str">
        <f t="shared" si="25"/>
        <v/>
      </c>
      <c r="G6655" s="59" t="str">
        <f t="shared" si="26"/>
        <v/>
      </c>
      <c r="H6655" s="59" t="str">
        <f t="shared" si="27"/>
        <v>28C00462</v>
      </c>
      <c r="I6655" s="59" t="str">
        <f>IF(OR($A6655="",$C6655="",$D6655="",$E6655="",$H6655=""),"",SUMIFS(DATA_GOC!$H:$H,DATA_GOC!$A:$A,"BOM",DATA_GOC!$D:$D,$H6655,DATA_GOC!$E:$E,$C6655,DATA_GOC!$F:$F,"Xuất nội bộ từ téc",DATA_GOC!$B:$B,"&gt;="&amp;$D6655,DATA_GOC!$B:$B,"&lt;="&amp;$E6655))</f>
        <v/>
      </c>
      <c r="J6655" s="59">
        <f t="shared" si="28"/>
        <v>0</v>
      </c>
      <c r="K6655" s="59">
        <f t="shared" si="29"/>
        <v>0</v>
      </c>
      <c r="L6655" s="59">
        <f t="shared" si="30"/>
        <v>0</v>
      </c>
      <c r="M6655" s="59">
        <f t="shared" si="31"/>
        <v>0</v>
      </c>
    </row>
    <row r="6656" ht="15.0" hidden="1" customHeight="1">
      <c r="A6656" s="59">
        <f t="shared" si="20"/>
        <v>108</v>
      </c>
      <c r="B6656" s="59" t="str">
        <f t="shared" si="21"/>
        <v/>
      </c>
      <c r="C6656" s="59" t="str">
        <f t="shared" si="22"/>
        <v/>
      </c>
      <c r="D6656" s="45" t="str">
        <f t="shared" si="23"/>
        <v/>
      </c>
      <c r="E6656" s="45" t="str">
        <f t="shared" si="24"/>
        <v/>
      </c>
      <c r="F6656" s="59" t="str">
        <f t="shared" si="25"/>
        <v/>
      </c>
      <c r="G6656" s="59" t="str">
        <f t="shared" si="26"/>
        <v/>
      </c>
      <c r="H6656" s="59" t="str">
        <f t="shared" si="27"/>
        <v>28C01165</v>
      </c>
      <c r="I6656" s="59" t="str">
        <f>IF(OR($A6656="",$C6656="",$D6656="",$E6656="",$H6656=""),"",SUMIFS(DATA_GOC!$H:$H,DATA_GOC!$A:$A,"BOM",DATA_GOC!$D:$D,$H6656,DATA_GOC!$E:$E,$C6656,DATA_GOC!$F:$F,"Xuất nội bộ từ téc",DATA_GOC!$B:$B,"&gt;="&amp;$D6656,DATA_GOC!$B:$B,"&lt;="&amp;$E6656))</f>
        <v/>
      </c>
      <c r="J6656" s="59">
        <f t="shared" si="28"/>
        <v>0</v>
      </c>
      <c r="K6656" s="59">
        <f t="shared" si="29"/>
        <v>0</v>
      </c>
      <c r="L6656" s="59">
        <f t="shared" si="30"/>
        <v>0</v>
      </c>
      <c r="M6656" s="59">
        <f t="shared" si="31"/>
        <v>0</v>
      </c>
    </row>
    <row r="6657" ht="15.0" hidden="1" customHeight="1">
      <c r="A6657" s="59">
        <f t="shared" si="20"/>
        <v>108</v>
      </c>
      <c r="B6657" s="59" t="str">
        <f t="shared" si="21"/>
        <v/>
      </c>
      <c r="C6657" s="59" t="str">
        <f t="shared" si="22"/>
        <v/>
      </c>
      <c r="D6657" s="45" t="str">
        <f t="shared" si="23"/>
        <v/>
      </c>
      <c r="E6657" s="45" t="str">
        <f t="shared" si="24"/>
        <v/>
      </c>
      <c r="F6657" s="59" t="str">
        <f t="shared" si="25"/>
        <v/>
      </c>
      <c r="G6657" s="59" t="str">
        <f t="shared" si="26"/>
        <v/>
      </c>
      <c r="H6657" s="59" t="str">
        <f t="shared" si="27"/>
        <v>28C01406</v>
      </c>
      <c r="I6657" s="59" t="str">
        <f>IF(OR($A6657="",$C6657="",$D6657="",$E6657="",$H6657=""),"",SUMIFS(DATA_GOC!$H:$H,DATA_GOC!$A:$A,"BOM",DATA_GOC!$D:$D,$H6657,DATA_GOC!$E:$E,$C6657,DATA_GOC!$F:$F,"Xuất nội bộ từ téc",DATA_GOC!$B:$B,"&gt;="&amp;$D6657,DATA_GOC!$B:$B,"&lt;="&amp;$E6657))</f>
        <v/>
      </c>
      <c r="J6657" s="59">
        <f t="shared" si="28"/>
        <v>0</v>
      </c>
      <c r="K6657" s="59">
        <f t="shared" si="29"/>
        <v>0</v>
      </c>
      <c r="L6657" s="59">
        <f t="shared" si="30"/>
        <v>0</v>
      </c>
      <c r="M6657" s="59">
        <f t="shared" si="31"/>
        <v>0</v>
      </c>
    </row>
    <row r="6658" ht="15.0" hidden="1" customHeight="1">
      <c r="A6658" s="59">
        <f t="shared" si="20"/>
        <v>108</v>
      </c>
      <c r="B6658" s="59" t="str">
        <f t="shared" si="21"/>
        <v/>
      </c>
      <c r="C6658" s="59" t="str">
        <f t="shared" si="22"/>
        <v/>
      </c>
      <c r="D6658" s="45" t="str">
        <f t="shared" si="23"/>
        <v/>
      </c>
      <c r="E6658" s="45" t="str">
        <f t="shared" si="24"/>
        <v/>
      </c>
      <c r="F6658" s="59" t="str">
        <f t="shared" si="25"/>
        <v/>
      </c>
      <c r="G6658" s="59" t="str">
        <f t="shared" si="26"/>
        <v/>
      </c>
      <c r="H6658" s="59" t="str">
        <f t="shared" si="27"/>
        <v>28C01544</v>
      </c>
      <c r="I6658" s="59" t="str">
        <f>IF(OR($A6658="",$C6658="",$D6658="",$E6658="",$H6658=""),"",SUMIFS(DATA_GOC!$H:$H,DATA_GOC!$A:$A,"BOM",DATA_GOC!$D:$D,$H6658,DATA_GOC!$E:$E,$C6658,DATA_GOC!$F:$F,"Xuất nội bộ từ téc",DATA_GOC!$B:$B,"&gt;="&amp;$D6658,DATA_GOC!$B:$B,"&lt;="&amp;$E6658))</f>
        <v/>
      </c>
      <c r="J6658" s="59">
        <f t="shared" si="28"/>
        <v>0</v>
      </c>
      <c r="K6658" s="59">
        <f t="shared" si="29"/>
        <v>0</v>
      </c>
      <c r="L6658" s="59">
        <f t="shared" si="30"/>
        <v>0</v>
      </c>
      <c r="M6658" s="59">
        <f t="shared" si="31"/>
        <v>0</v>
      </c>
    </row>
    <row r="6659" ht="15.0" hidden="1" customHeight="1">
      <c r="A6659" s="59">
        <f t="shared" si="20"/>
        <v>108</v>
      </c>
      <c r="B6659" s="59" t="str">
        <f t="shared" si="21"/>
        <v/>
      </c>
      <c r="C6659" s="59" t="str">
        <f t="shared" si="22"/>
        <v/>
      </c>
      <c r="D6659" s="45" t="str">
        <f t="shared" si="23"/>
        <v/>
      </c>
      <c r="E6659" s="45" t="str">
        <f t="shared" si="24"/>
        <v/>
      </c>
      <c r="F6659" s="59" t="str">
        <f t="shared" si="25"/>
        <v/>
      </c>
      <c r="G6659" s="59" t="str">
        <f t="shared" si="26"/>
        <v/>
      </c>
      <c r="H6659" s="59" t="str">
        <f t="shared" si="27"/>
        <v>28C01622</v>
      </c>
      <c r="I6659" s="59" t="str">
        <f>IF(OR($A6659="",$C6659="",$D6659="",$E6659="",$H6659=""),"",SUMIFS(DATA_GOC!$H:$H,DATA_GOC!$A:$A,"BOM",DATA_GOC!$D:$D,$H6659,DATA_GOC!$E:$E,$C6659,DATA_GOC!$F:$F,"Xuất nội bộ từ téc",DATA_GOC!$B:$B,"&gt;="&amp;$D6659,DATA_GOC!$B:$B,"&lt;="&amp;$E6659))</f>
        <v/>
      </c>
      <c r="J6659" s="59">
        <f t="shared" si="28"/>
        <v>0</v>
      </c>
      <c r="K6659" s="59">
        <f t="shared" si="29"/>
        <v>0</v>
      </c>
      <c r="L6659" s="59">
        <f t="shared" si="30"/>
        <v>0</v>
      </c>
      <c r="M6659" s="59">
        <f t="shared" si="31"/>
        <v>0</v>
      </c>
    </row>
    <row r="6660" ht="15.0" hidden="1" customHeight="1">
      <c r="A6660" s="59">
        <f t="shared" si="20"/>
        <v>108</v>
      </c>
      <c r="B6660" s="59" t="str">
        <f t="shared" si="21"/>
        <v/>
      </c>
      <c r="C6660" s="59" t="str">
        <f t="shared" si="22"/>
        <v/>
      </c>
      <c r="D6660" s="45" t="str">
        <f t="shared" si="23"/>
        <v/>
      </c>
      <c r="E6660" s="45" t="str">
        <f t="shared" si="24"/>
        <v/>
      </c>
      <c r="F6660" s="59" t="str">
        <f t="shared" si="25"/>
        <v/>
      </c>
      <c r="G6660" s="59" t="str">
        <f t="shared" si="26"/>
        <v/>
      </c>
      <c r="H6660" s="59" t="str">
        <f t="shared" si="27"/>
        <v>28C01647</v>
      </c>
      <c r="I6660" s="59" t="str">
        <f>IF(OR($A6660="",$C6660="",$D6660="",$E6660="",$H6660=""),"",SUMIFS(DATA_GOC!$H:$H,DATA_GOC!$A:$A,"BOM",DATA_GOC!$D:$D,$H6660,DATA_GOC!$E:$E,$C6660,DATA_GOC!$F:$F,"Xuất nội bộ từ téc",DATA_GOC!$B:$B,"&gt;="&amp;$D6660,DATA_GOC!$B:$B,"&lt;="&amp;$E6660))</f>
        <v/>
      </c>
      <c r="J6660" s="59">
        <f t="shared" si="28"/>
        <v>0</v>
      </c>
      <c r="K6660" s="59">
        <f t="shared" si="29"/>
        <v>0</v>
      </c>
      <c r="L6660" s="59">
        <f t="shared" si="30"/>
        <v>0</v>
      </c>
      <c r="M6660" s="59">
        <f t="shared" si="31"/>
        <v>0</v>
      </c>
    </row>
    <row r="6661" ht="15.0" hidden="1" customHeight="1">
      <c r="A6661" s="59">
        <f t="shared" si="20"/>
        <v>108</v>
      </c>
      <c r="B6661" s="59" t="str">
        <f t="shared" si="21"/>
        <v/>
      </c>
      <c r="C6661" s="59" t="str">
        <f t="shared" si="22"/>
        <v/>
      </c>
      <c r="D6661" s="45" t="str">
        <f t="shared" si="23"/>
        <v/>
      </c>
      <c r="E6661" s="45" t="str">
        <f t="shared" si="24"/>
        <v/>
      </c>
      <c r="F6661" s="59" t="str">
        <f t="shared" si="25"/>
        <v/>
      </c>
      <c r="G6661" s="59" t="str">
        <f t="shared" si="26"/>
        <v/>
      </c>
      <c r="H6661" s="59" t="str">
        <f t="shared" si="27"/>
        <v>28C01731</v>
      </c>
      <c r="I6661" s="59" t="str">
        <f>IF(OR($A6661="",$C6661="",$D6661="",$E6661="",$H6661=""),"",SUMIFS(DATA_GOC!$H:$H,DATA_GOC!$A:$A,"BOM",DATA_GOC!$D:$D,$H6661,DATA_GOC!$E:$E,$C6661,DATA_GOC!$F:$F,"Xuất nội bộ từ téc",DATA_GOC!$B:$B,"&gt;="&amp;$D6661,DATA_GOC!$B:$B,"&lt;="&amp;$E6661))</f>
        <v/>
      </c>
      <c r="J6661" s="59">
        <f t="shared" si="28"/>
        <v>0</v>
      </c>
      <c r="K6661" s="59">
        <f t="shared" si="29"/>
        <v>0</v>
      </c>
      <c r="L6661" s="59">
        <f t="shared" si="30"/>
        <v>0</v>
      </c>
      <c r="M6661" s="59">
        <f t="shared" si="31"/>
        <v>0</v>
      </c>
    </row>
    <row r="6662" ht="15.0" hidden="1" customHeight="1">
      <c r="A6662" s="59">
        <f t="shared" si="20"/>
        <v>108</v>
      </c>
      <c r="B6662" s="59" t="str">
        <f t="shared" si="21"/>
        <v/>
      </c>
      <c r="C6662" s="59" t="str">
        <f t="shared" si="22"/>
        <v/>
      </c>
      <c r="D6662" s="45" t="str">
        <f t="shared" si="23"/>
        <v/>
      </c>
      <c r="E6662" s="45" t="str">
        <f t="shared" si="24"/>
        <v/>
      </c>
      <c r="F6662" s="59" t="str">
        <f t="shared" si="25"/>
        <v/>
      </c>
      <c r="G6662" s="59" t="str">
        <f t="shared" si="26"/>
        <v/>
      </c>
      <c r="H6662" s="59" t="str">
        <f t="shared" si="27"/>
        <v>28C01743</v>
      </c>
      <c r="I6662" s="59" t="str">
        <f>IF(OR($A6662="",$C6662="",$D6662="",$E6662="",$H6662=""),"",SUMIFS(DATA_GOC!$H:$H,DATA_GOC!$A:$A,"BOM",DATA_GOC!$D:$D,$H6662,DATA_GOC!$E:$E,$C6662,DATA_GOC!$F:$F,"Xuất nội bộ từ téc",DATA_GOC!$B:$B,"&gt;="&amp;$D6662,DATA_GOC!$B:$B,"&lt;="&amp;$E6662))</f>
        <v/>
      </c>
      <c r="J6662" s="59">
        <f t="shared" si="28"/>
        <v>0</v>
      </c>
      <c r="K6662" s="59">
        <f t="shared" si="29"/>
        <v>0</v>
      </c>
      <c r="L6662" s="59">
        <f t="shared" si="30"/>
        <v>0</v>
      </c>
      <c r="M6662" s="59">
        <f t="shared" si="31"/>
        <v>0</v>
      </c>
    </row>
    <row r="6663" ht="15.0" hidden="1" customHeight="1">
      <c r="A6663" s="59">
        <f t="shared" si="20"/>
        <v>108</v>
      </c>
      <c r="B6663" s="59" t="str">
        <f t="shared" si="21"/>
        <v/>
      </c>
      <c r="C6663" s="59" t="str">
        <f t="shared" si="22"/>
        <v/>
      </c>
      <c r="D6663" s="45" t="str">
        <f t="shared" si="23"/>
        <v/>
      </c>
      <c r="E6663" s="45" t="str">
        <f t="shared" si="24"/>
        <v/>
      </c>
      <c r="F6663" s="59" t="str">
        <f t="shared" si="25"/>
        <v/>
      </c>
      <c r="G6663" s="59" t="str">
        <f t="shared" si="26"/>
        <v/>
      </c>
      <c r="H6663" s="59" t="str">
        <f t="shared" si="27"/>
        <v>28C02106</v>
      </c>
      <c r="I6663" s="59" t="str">
        <f>IF(OR($A6663="",$C6663="",$D6663="",$E6663="",$H6663=""),"",SUMIFS(DATA_GOC!$H:$H,DATA_GOC!$A:$A,"BOM",DATA_GOC!$D:$D,$H6663,DATA_GOC!$E:$E,$C6663,DATA_GOC!$F:$F,"Xuất nội bộ từ téc",DATA_GOC!$B:$B,"&gt;="&amp;$D6663,DATA_GOC!$B:$B,"&lt;="&amp;$E6663))</f>
        <v/>
      </c>
      <c r="J6663" s="59">
        <f t="shared" si="28"/>
        <v>0</v>
      </c>
      <c r="K6663" s="59">
        <f t="shared" si="29"/>
        <v>0</v>
      </c>
      <c r="L6663" s="59">
        <f t="shared" si="30"/>
        <v>0</v>
      </c>
      <c r="M6663" s="59">
        <f t="shared" si="31"/>
        <v>0</v>
      </c>
    </row>
    <row r="6664" ht="15.0" hidden="1" customHeight="1">
      <c r="A6664" s="59">
        <f t="shared" si="20"/>
        <v>108</v>
      </c>
      <c r="B6664" s="59" t="str">
        <f t="shared" si="21"/>
        <v/>
      </c>
      <c r="C6664" s="59" t="str">
        <f t="shared" si="22"/>
        <v/>
      </c>
      <c r="D6664" s="45" t="str">
        <f t="shared" si="23"/>
        <v/>
      </c>
      <c r="E6664" s="45" t="str">
        <f t="shared" si="24"/>
        <v/>
      </c>
      <c r="F6664" s="59" t="str">
        <f t="shared" si="25"/>
        <v/>
      </c>
      <c r="G6664" s="59" t="str">
        <f t="shared" si="26"/>
        <v/>
      </c>
      <c r="H6664" s="59" t="str">
        <f t="shared" si="27"/>
        <v>28C02410</v>
      </c>
      <c r="I6664" s="59" t="str">
        <f>IF(OR($A6664="",$C6664="",$D6664="",$E6664="",$H6664=""),"",SUMIFS(DATA_GOC!$H:$H,DATA_GOC!$A:$A,"BOM",DATA_GOC!$D:$D,$H6664,DATA_GOC!$E:$E,$C6664,DATA_GOC!$F:$F,"Xuất nội bộ từ téc",DATA_GOC!$B:$B,"&gt;="&amp;$D6664,DATA_GOC!$B:$B,"&lt;="&amp;$E6664))</f>
        <v/>
      </c>
      <c r="J6664" s="59">
        <f t="shared" si="28"/>
        <v>0</v>
      </c>
      <c r="K6664" s="59">
        <f t="shared" si="29"/>
        <v>0</v>
      </c>
      <c r="L6664" s="59">
        <f t="shared" si="30"/>
        <v>0</v>
      </c>
      <c r="M6664" s="59">
        <f t="shared" si="31"/>
        <v>0</v>
      </c>
    </row>
    <row r="6665" ht="15.0" hidden="1" customHeight="1">
      <c r="A6665" s="59">
        <f t="shared" si="20"/>
        <v>108</v>
      </c>
      <c r="B6665" s="59" t="str">
        <f t="shared" si="21"/>
        <v/>
      </c>
      <c r="C6665" s="59" t="str">
        <f t="shared" si="22"/>
        <v/>
      </c>
      <c r="D6665" s="45" t="str">
        <f t="shared" si="23"/>
        <v/>
      </c>
      <c r="E6665" s="45" t="str">
        <f t="shared" si="24"/>
        <v/>
      </c>
      <c r="F6665" s="59" t="str">
        <f t="shared" si="25"/>
        <v/>
      </c>
      <c r="G6665" s="59" t="str">
        <f t="shared" si="26"/>
        <v/>
      </c>
      <c r="H6665" s="59" t="str">
        <f t="shared" si="27"/>
        <v>28C02545</v>
      </c>
      <c r="I6665" s="59" t="str">
        <f>IF(OR($A6665="",$C6665="",$D6665="",$E6665="",$H6665=""),"",SUMIFS(DATA_GOC!$H:$H,DATA_GOC!$A:$A,"BOM",DATA_GOC!$D:$D,$H6665,DATA_GOC!$E:$E,$C6665,DATA_GOC!$F:$F,"Xuất nội bộ từ téc",DATA_GOC!$B:$B,"&gt;="&amp;$D6665,DATA_GOC!$B:$B,"&lt;="&amp;$E6665))</f>
        <v/>
      </c>
      <c r="J6665" s="59">
        <f t="shared" si="28"/>
        <v>0</v>
      </c>
      <c r="K6665" s="59">
        <f t="shared" si="29"/>
        <v>0</v>
      </c>
      <c r="L6665" s="59">
        <f t="shared" si="30"/>
        <v>0</v>
      </c>
      <c r="M6665" s="59">
        <f t="shared" si="31"/>
        <v>0</v>
      </c>
    </row>
    <row r="6666" ht="15.0" hidden="1" customHeight="1">
      <c r="A6666" s="59">
        <f t="shared" si="20"/>
        <v>108</v>
      </c>
      <c r="B6666" s="59" t="str">
        <f t="shared" si="21"/>
        <v/>
      </c>
      <c r="C6666" s="59" t="str">
        <f t="shared" si="22"/>
        <v/>
      </c>
      <c r="D6666" s="45" t="str">
        <f t="shared" si="23"/>
        <v/>
      </c>
      <c r="E6666" s="45" t="str">
        <f t="shared" si="24"/>
        <v/>
      </c>
      <c r="F6666" s="59" t="str">
        <f t="shared" si="25"/>
        <v/>
      </c>
      <c r="G6666" s="59" t="str">
        <f t="shared" si="26"/>
        <v/>
      </c>
      <c r="H6666" s="59" t="str">
        <f t="shared" si="27"/>
        <v>28C02574</v>
      </c>
      <c r="I6666" s="59" t="str">
        <f>IF(OR($A6666="",$C6666="",$D6666="",$E6666="",$H6666=""),"",SUMIFS(DATA_GOC!$H:$H,DATA_GOC!$A:$A,"BOM",DATA_GOC!$D:$D,$H6666,DATA_GOC!$E:$E,$C6666,DATA_GOC!$F:$F,"Xuất nội bộ từ téc",DATA_GOC!$B:$B,"&gt;="&amp;$D6666,DATA_GOC!$B:$B,"&lt;="&amp;$E6666))</f>
        <v/>
      </c>
      <c r="J6666" s="59">
        <f t="shared" si="28"/>
        <v>0</v>
      </c>
      <c r="K6666" s="59">
        <f t="shared" si="29"/>
        <v>0</v>
      </c>
      <c r="L6666" s="59">
        <f t="shared" si="30"/>
        <v>0</v>
      </c>
      <c r="M6666" s="59">
        <f t="shared" si="31"/>
        <v>0</v>
      </c>
    </row>
    <row r="6667" ht="15.0" hidden="1" customHeight="1">
      <c r="A6667" s="59">
        <f t="shared" si="20"/>
        <v>108</v>
      </c>
      <c r="B6667" s="59" t="str">
        <f t="shared" si="21"/>
        <v/>
      </c>
      <c r="C6667" s="59" t="str">
        <f t="shared" si="22"/>
        <v/>
      </c>
      <c r="D6667" s="45" t="str">
        <f t="shared" si="23"/>
        <v/>
      </c>
      <c r="E6667" s="45" t="str">
        <f t="shared" si="24"/>
        <v/>
      </c>
      <c r="F6667" s="59" t="str">
        <f t="shared" si="25"/>
        <v/>
      </c>
      <c r="G6667" s="59" t="str">
        <f t="shared" si="26"/>
        <v/>
      </c>
      <c r="H6667" s="59" t="str">
        <f t="shared" si="27"/>
        <v>28C02770</v>
      </c>
      <c r="I6667" s="59" t="str">
        <f>IF(OR($A6667="",$C6667="",$D6667="",$E6667="",$H6667=""),"",SUMIFS(DATA_GOC!$H:$H,DATA_GOC!$A:$A,"BOM",DATA_GOC!$D:$D,$H6667,DATA_GOC!$E:$E,$C6667,DATA_GOC!$F:$F,"Xuất nội bộ từ téc",DATA_GOC!$B:$B,"&gt;="&amp;$D6667,DATA_GOC!$B:$B,"&lt;="&amp;$E6667))</f>
        <v/>
      </c>
      <c r="J6667" s="59">
        <f t="shared" si="28"/>
        <v>0</v>
      </c>
      <c r="K6667" s="59">
        <f t="shared" si="29"/>
        <v>0</v>
      </c>
      <c r="L6667" s="59">
        <f t="shared" si="30"/>
        <v>0</v>
      </c>
      <c r="M6667" s="59">
        <f t="shared" si="31"/>
        <v>0</v>
      </c>
    </row>
    <row r="6668" ht="15.0" hidden="1" customHeight="1">
      <c r="A6668" s="59">
        <f t="shared" si="20"/>
        <v>108</v>
      </c>
      <c r="B6668" s="59" t="str">
        <f t="shared" si="21"/>
        <v/>
      </c>
      <c r="C6668" s="59" t="str">
        <f t="shared" si="22"/>
        <v/>
      </c>
      <c r="D6668" s="45" t="str">
        <f t="shared" si="23"/>
        <v/>
      </c>
      <c r="E6668" s="45" t="str">
        <f t="shared" si="24"/>
        <v/>
      </c>
      <c r="F6668" s="59" t="str">
        <f t="shared" si="25"/>
        <v/>
      </c>
      <c r="G6668" s="59" t="str">
        <f t="shared" si="26"/>
        <v/>
      </c>
      <c r="H6668" s="59" t="str">
        <f t="shared" si="27"/>
        <v>28C02986</v>
      </c>
      <c r="I6668" s="59" t="str">
        <f>IF(OR($A6668="",$C6668="",$D6668="",$E6668="",$H6668=""),"",SUMIFS(DATA_GOC!$H:$H,DATA_GOC!$A:$A,"BOM",DATA_GOC!$D:$D,$H6668,DATA_GOC!$E:$E,$C6668,DATA_GOC!$F:$F,"Xuất nội bộ từ téc",DATA_GOC!$B:$B,"&gt;="&amp;$D6668,DATA_GOC!$B:$B,"&lt;="&amp;$E6668))</f>
        <v/>
      </c>
      <c r="J6668" s="59">
        <f t="shared" si="28"/>
        <v>0</v>
      </c>
      <c r="K6668" s="59">
        <f t="shared" si="29"/>
        <v>0</v>
      </c>
      <c r="L6668" s="59">
        <f t="shared" si="30"/>
        <v>0</v>
      </c>
      <c r="M6668" s="59">
        <f t="shared" si="31"/>
        <v>0</v>
      </c>
    </row>
    <row r="6669" ht="15.0" hidden="1" customHeight="1">
      <c r="A6669" s="59">
        <f t="shared" si="20"/>
        <v>108</v>
      </c>
      <c r="B6669" s="59" t="str">
        <f t="shared" si="21"/>
        <v/>
      </c>
      <c r="C6669" s="59" t="str">
        <f t="shared" si="22"/>
        <v/>
      </c>
      <c r="D6669" s="45" t="str">
        <f t="shared" si="23"/>
        <v/>
      </c>
      <c r="E6669" s="45" t="str">
        <f t="shared" si="24"/>
        <v/>
      </c>
      <c r="F6669" s="59" t="str">
        <f t="shared" si="25"/>
        <v/>
      </c>
      <c r="G6669" s="59" t="str">
        <f t="shared" si="26"/>
        <v/>
      </c>
      <c r="H6669" s="59" t="str">
        <f t="shared" si="27"/>
        <v>28C03261</v>
      </c>
      <c r="I6669" s="59" t="str">
        <f>IF(OR($A6669="",$C6669="",$D6669="",$E6669="",$H6669=""),"",SUMIFS(DATA_GOC!$H:$H,DATA_GOC!$A:$A,"BOM",DATA_GOC!$D:$D,$H6669,DATA_GOC!$E:$E,$C6669,DATA_GOC!$F:$F,"Xuất nội bộ từ téc",DATA_GOC!$B:$B,"&gt;="&amp;$D6669,DATA_GOC!$B:$B,"&lt;="&amp;$E6669))</f>
        <v/>
      </c>
      <c r="J6669" s="59">
        <f t="shared" si="28"/>
        <v>0</v>
      </c>
      <c r="K6669" s="59">
        <f t="shared" si="29"/>
        <v>0</v>
      </c>
      <c r="L6669" s="59">
        <f t="shared" si="30"/>
        <v>0</v>
      </c>
      <c r="M6669" s="59">
        <f t="shared" si="31"/>
        <v>0</v>
      </c>
    </row>
    <row r="6670" ht="15.0" hidden="1" customHeight="1">
      <c r="A6670" s="59">
        <f t="shared" si="20"/>
        <v>108</v>
      </c>
      <c r="B6670" s="59" t="str">
        <f t="shared" si="21"/>
        <v/>
      </c>
      <c r="C6670" s="59" t="str">
        <f t="shared" si="22"/>
        <v/>
      </c>
      <c r="D6670" s="45" t="str">
        <f t="shared" si="23"/>
        <v/>
      </c>
      <c r="E6670" s="45" t="str">
        <f t="shared" si="24"/>
        <v/>
      </c>
      <c r="F6670" s="59" t="str">
        <f t="shared" si="25"/>
        <v/>
      </c>
      <c r="G6670" s="59" t="str">
        <f t="shared" si="26"/>
        <v/>
      </c>
      <c r="H6670" s="59" t="str">
        <f t="shared" si="27"/>
        <v>28C03323</v>
      </c>
      <c r="I6670" s="59" t="str">
        <f>IF(OR($A6670="",$C6670="",$D6670="",$E6670="",$H6670=""),"",SUMIFS(DATA_GOC!$H:$H,DATA_GOC!$A:$A,"BOM",DATA_GOC!$D:$D,$H6670,DATA_GOC!$E:$E,$C6670,DATA_GOC!$F:$F,"Xuất nội bộ từ téc",DATA_GOC!$B:$B,"&gt;="&amp;$D6670,DATA_GOC!$B:$B,"&lt;="&amp;$E6670))</f>
        <v/>
      </c>
      <c r="J6670" s="59">
        <f t="shared" si="28"/>
        <v>0</v>
      </c>
      <c r="K6670" s="59">
        <f t="shared" si="29"/>
        <v>0</v>
      </c>
      <c r="L6670" s="59">
        <f t="shared" si="30"/>
        <v>0</v>
      </c>
      <c r="M6670" s="59">
        <f t="shared" si="31"/>
        <v>0</v>
      </c>
    </row>
    <row r="6671" ht="15.0" hidden="1" customHeight="1">
      <c r="A6671" s="59">
        <f t="shared" si="20"/>
        <v>108</v>
      </c>
      <c r="B6671" s="59" t="str">
        <f t="shared" si="21"/>
        <v/>
      </c>
      <c r="C6671" s="59" t="str">
        <f t="shared" si="22"/>
        <v/>
      </c>
      <c r="D6671" s="45" t="str">
        <f t="shared" si="23"/>
        <v/>
      </c>
      <c r="E6671" s="45" t="str">
        <f t="shared" si="24"/>
        <v/>
      </c>
      <c r="F6671" s="59" t="str">
        <f t="shared" si="25"/>
        <v/>
      </c>
      <c r="G6671" s="59" t="str">
        <f t="shared" si="26"/>
        <v/>
      </c>
      <c r="H6671" s="59" t="str">
        <f t="shared" si="27"/>
        <v>28C03385</v>
      </c>
      <c r="I6671" s="59" t="str">
        <f>IF(OR($A6671="",$C6671="",$D6671="",$E6671="",$H6671=""),"",SUMIFS(DATA_GOC!$H:$H,DATA_GOC!$A:$A,"BOM",DATA_GOC!$D:$D,$H6671,DATA_GOC!$E:$E,$C6671,DATA_GOC!$F:$F,"Xuất nội bộ từ téc",DATA_GOC!$B:$B,"&gt;="&amp;$D6671,DATA_GOC!$B:$B,"&lt;="&amp;$E6671))</f>
        <v/>
      </c>
      <c r="J6671" s="59">
        <f t="shared" si="28"/>
        <v>0</v>
      </c>
      <c r="K6671" s="59">
        <f t="shared" si="29"/>
        <v>0</v>
      </c>
      <c r="L6671" s="59">
        <f t="shared" si="30"/>
        <v>0</v>
      </c>
      <c r="M6671" s="59">
        <f t="shared" si="31"/>
        <v>0</v>
      </c>
    </row>
    <row r="6672" ht="15.0" hidden="1" customHeight="1">
      <c r="A6672" s="59">
        <f t="shared" si="20"/>
        <v>108</v>
      </c>
      <c r="B6672" s="59" t="str">
        <f t="shared" si="21"/>
        <v/>
      </c>
      <c r="C6672" s="59" t="str">
        <f t="shared" si="22"/>
        <v/>
      </c>
      <c r="D6672" s="45" t="str">
        <f t="shared" si="23"/>
        <v/>
      </c>
      <c r="E6672" s="45" t="str">
        <f t="shared" si="24"/>
        <v/>
      </c>
      <c r="F6672" s="59" t="str">
        <f t="shared" si="25"/>
        <v/>
      </c>
      <c r="G6672" s="59" t="str">
        <f t="shared" si="26"/>
        <v/>
      </c>
      <c r="H6672" s="59" t="str">
        <f t="shared" si="27"/>
        <v>28C03652</v>
      </c>
      <c r="I6672" s="59" t="str">
        <f>IF(OR($A6672="",$C6672="",$D6672="",$E6672="",$H6672=""),"",SUMIFS(DATA_GOC!$H:$H,DATA_GOC!$A:$A,"BOM",DATA_GOC!$D:$D,$H6672,DATA_GOC!$E:$E,$C6672,DATA_GOC!$F:$F,"Xuất nội bộ từ téc",DATA_GOC!$B:$B,"&gt;="&amp;$D6672,DATA_GOC!$B:$B,"&lt;="&amp;$E6672))</f>
        <v/>
      </c>
      <c r="J6672" s="59">
        <f t="shared" si="28"/>
        <v>0</v>
      </c>
      <c r="K6672" s="59">
        <f t="shared" si="29"/>
        <v>0</v>
      </c>
      <c r="L6672" s="59">
        <f t="shared" si="30"/>
        <v>0</v>
      </c>
      <c r="M6672" s="59">
        <f t="shared" si="31"/>
        <v>0</v>
      </c>
    </row>
    <row r="6673" ht="15.0" hidden="1" customHeight="1">
      <c r="A6673" s="59">
        <f t="shared" si="20"/>
        <v>108</v>
      </c>
      <c r="B6673" s="59" t="str">
        <f t="shared" si="21"/>
        <v/>
      </c>
      <c r="C6673" s="59" t="str">
        <f t="shared" si="22"/>
        <v/>
      </c>
      <c r="D6673" s="45" t="str">
        <f t="shared" si="23"/>
        <v/>
      </c>
      <c r="E6673" s="45" t="str">
        <f t="shared" si="24"/>
        <v/>
      </c>
      <c r="F6673" s="59" t="str">
        <f t="shared" si="25"/>
        <v/>
      </c>
      <c r="G6673" s="59" t="str">
        <f t="shared" si="26"/>
        <v/>
      </c>
      <c r="H6673" s="59" t="str">
        <f t="shared" si="27"/>
        <v>28C03695</v>
      </c>
      <c r="I6673" s="59" t="str">
        <f>IF(OR($A6673="",$C6673="",$D6673="",$E6673="",$H6673=""),"",SUMIFS(DATA_GOC!$H:$H,DATA_GOC!$A:$A,"BOM",DATA_GOC!$D:$D,$H6673,DATA_GOC!$E:$E,$C6673,DATA_GOC!$F:$F,"Xuất nội bộ từ téc",DATA_GOC!$B:$B,"&gt;="&amp;$D6673,DATA_GOC!$B:$B,"&lt;="&amp;$E6673))</f>
        <v/>
      </c>
      <c r="J6673" s="59">
        <f t="shared" si="28"/>
        <v>0</v>
      </c>
      <c r="K6673" s="59">
        <f t="shared" si="29"/>
        <v>0</v>
      </c>
      <c r="L6673" s="59">
        <f t="shared" si="30"/>
        <v>0</v>
      </c>
      <c r="M6673" s="59">
        <f t="shared" si="31"/>
        <v>0</v>
      </c>
    </row>
    <row r="6674" ht="15.0" hidden="1" customHeight="1">
      <c r="A6674" s="59">
        <f t="shared" si="20"/>
        <v>108</v>
      </c>
      <c r="B6674" s="59" t="str">
        <f t="shared" si="21"/>
        <v/>
      </c>
      <c r="C6674" s="59" t="str">
        <f t="shared" si="22"/>
        <v/>
      </c>
      <c r="D6674" s="45" t="str">
        <f t="shared" si="23"/>
        <v/>
      </c>
      <c r="E6674" s="45" t="str">
        <f t="shared" si="24"/>
        <v/>
      </c>
      <c r="F6674" s="59" t="str">
        <f t="shared" si="25"/>
        <v/>
      </c>
      <c r="G6674" s="59" t="str">
        <f t="shared" si="26"/>
        <v/>
      </c>
      <c r="H6674" s="59" t="str">
        <f t="shared" si="27"/>
        <v>28C03927</v>
      </c>
      <c r="I6674" s="59" t="str">
        <f>IF(OR($A6674="",$C6674="",$D6674="",$E6674="",$H6674=""),"",SUMIFS(DATA_GOC!$H:$H,DATA_GOC!$A:$A,"BOM",DATA_GOC!$D:$D,$H6674,DATA_GOC!$E:$E,$C6674,DATA_GOC!$F:$F,"Xuất nội bộ từ téc",DATA_GOC!$B:$B,"&gt;="&amp;$D6674,DATA_GOC!$B:$B,"&lt;="&amp;$E6674))</f>
        <v/>
      </c>
      <c r="J6674" s="59">
        <f t="shared" si="28"/>
        <v>0</v>
      </c>
      <c r="K6674" s="59">
        <f t="shared" si="29"/>
        <v>0</v>
      </c>
      <c r="L6674" s="59">
        <f t="shared" si="30"/>
        <v>0</v>
      </c>
      <c r="M6674" s="59">
        <f t="shared" si="31"/>
        <v>0</v>
      </c>
    </row>
    <row r="6675" ht="15.0" hidden="1" customHeight="1">
      <c r="A6675" s="59">
        <f t="shared" si="20"/>
        <v>108</v>
      </c>
      <c r="B6675" s="59" t="str">
        <f t="shared" si="21"/>
        <v/>
      </c>
      <c r="C6675" s="59" t="str">
        <f t="shared" si="22"/>
        <v/>
      </c>
      <c r="D6675" s="45" t="str">
        <f t="shared" si="23"/>
        <v/>
      </c>
      <c r="E6675" s="45" t="str">
        <f t="shared" si="24"/>
        <v/>
      </c>
      <c r="F6675" s="59" t="str">
        <f t="shared" si="25"/>
        <v/>
      </c>
      <c r="G6675" s="59" t="str">
        <f t="shared" si="26"/>
        <v/>
      </c>
      <c r="H6675" s="59" t="str">
        <f t="shared" si="27"/>
        <v>28C04509</v>
      </c>
      <c r="I6675" s="59" t="str">
        <f>IF(OR($A6675="",$C6675="",$D6675="",$E6675="",$H6675=""),"",SUMIFS(DATA_GOC!$H:$H,DATA_GOC!$A:$A,"BOM",DATA_GOC!$D:$D,$H6675,DATA_GOC!$E:$E,$C6675,DATA_GOC!$F:$F,"Xuất nội bộ từ téc",DATA_GOC!$B:$B,"&gt;="&amp;$D6675,DATA_GOC!$B:$B,"&lt;="&amp;$E6675))</f>
        <v/>
      </c>
      <c r="J6675" s="59">
        <f t="shared" si="28"/>
        <v>0</v>
      </c>
      <c r="K6675" s="59">
        <f t="shared" si="29"/>
        <v>0</v>
      </c>
      <c r="L6675" s="59">
        <f t="shared" si="30"/>
        <v>0</v>
      </c>
      <c r="M6675" s="59">
        <f t="shared" si="31"/>
        <v>0</v>
      </c>
    </row>
    <row r="6676" ht="15.0" hidden="1" customHeight="1">
      <c r="A6676" s="59">
        <f t="shared" si="20"/>
        <v>108</v>
      </c>
      <c r="B6676" s="59" t="str">
        <f t="shared" si="21"/>
        <v/>
      </c>
      <c r="C6676" s="59" t="str">
        <f t="shared" si="22"/>
        <v/>
      </c>
      <c r="D6676" s="45" t="str">
        <f t="shared" si="23"/>
        <v/>
      </c>
      <c r="E6676" s="45" t="str">
        <f t="shared" si="24"/>
        <v/>
      </c>
      <c r="F6676" s="59" t="str">
        <f t="shared" si="25"/>
        <v/>
      </c>
      <c r="G6676" s="59" t="str">
        <f t="shared" si="26"/>
        <v/>
      </c>
      <c r="H6676" s="59" t="str">
        <f t="shared" si="27"/>
        <v>28C04536</v>
      </c>
      <c r="I6676" s="59" t="str">
        <f>IF(OR($A6676="",$C6676="",$D6676="",$E6676="",$H6676=""),"",SUMIFS(DATA_GOC!$H:$H,DATA_GOC!$A:$A,"BOM",DATA_GOC!$D:$D,$H6676,DATA_GOC!$E:$E,$C6676,DATA_GOC!$F:$F,"Xuất nội bộ từ téc",DATA_GOC!$B:$B,"&gt;="&amp;$D6676,DATA_GOC!$B:$B,"&lt;="&amp;$E6676))</f>
        <v/>
      </c>
      <c r="J6676" s="59">
        <f t="shared" si="28"/>
        <v>0</v>
      </c>
      <c r="K6676" s="59">
        <f t="shared" si="29"/>
        <v>0</v>
      </c>
      <c r="L6676" s="59">
        <f t="shared" si="30"/>
        <v>0</v>
      </c>
      <c r="M6676" s="59">
        <f t="shared" si="31"/>
        <v>0</v>
      </c>
    </row>
    <row r="6677" ht="15.0" hidden="1" customHeight="1">
      <c r="A6677" s="59">
        <f t="shared" si="20"/>
        <v>108</v>
      </c>
      <c r="B6677" s="59" t="str">
        <f t="shared" si="21"/>
        <v/>
      </c>
      <c r="C6677" s="59" t="str">
        <f t="shared" si="22"/>
        <v/>
      </c>
      <c r="D6677" s="45" t="str">
        <f t="shared" si="23"/>
        <v/>
      </c>
      <c r="E6677" s="45" t="str">
        <f t="shared" si="24"/>
        <v/>
      </c>
      <c r="F6677" s="59" t="str">
        <f t="shared" si="25"/>
        <v/>
      </c>
      <c r="G6677" s="59" t="str">
        <f t="shared" si="26"/>
        <v/>
      </c>
      <c r="H6677" s="59" t="str">
        <f t="shared" si="27"/>
        <v>28C04576</v>
      </c>
      <c r="I6677" s="59" t="str">
        <f>IF(OR($A6677="",$C6677="",$D6677="",$E6677="",$H6677=""),"",SUMIFS(DATA_GOC!$H:$H,DATA_GOC!$A:$A,"BOM",DATA_GOC!$D:$D,$H6677,DATA_GOC!$E:$E,$C6677,DATA_GOC!$F:$F,"Xuất nội bộ từ téc",DATA_GOC!$B:$B,"&gt;="&amp;$D6677,DATA_GOC!$B:$B,"&lt;="&amp;$E6677))</f>
        <v/>
      </c>
      <c r="J6677" s="59">
        <f t="shared" si="28"/>
        <v>0</v>
      </c>
      <c r="K6677" s="59">
        <f t="shared" si="29"/>
        <v>0</v>
      </c>
      <c r="L6677" s="59">
        <f t="shared" si="30"/>
        <v>0</v>
      </c>
      <c r="M6677" s="59">
        <f t="shared" si="31"/>
        <v>0</v>
      </c>
    </row>
    <row r="6678" ht="15.0" hidden="1" customHeight="1">
      <c r="A6678" s="59">
        <f t="shared" si="20"/>
        <v>108</v>
      </c>
      <c r="B6678" s="59" t="str">
        <f t="shared" si="21"/>
        <v/>
      </c>
      <c r="C6678" s="59" t="str">
        <f t="shared" si="22"/>
        <v/>
      </c>
      <c r="D6678" s="45" t="str">
        <f t="shared" si="23"/>
        <v/>
      </c>
      <c r="E6678" s="45" t="str">
        <f t="shared" si="24"/>
        <v/>
      </c>
      <c r="F6678" s="59" t="str">
        <f t="shared" si="25"/>
        <v/>
      </c>
      <c r="G6678" s="59" t="str">
        <f t="shared" si="26"/>
        <v/>
      </c>
      <c r="H6678" s="59" t="str">
        <f t="shared" si="27"/>
        <v>28C05090</v>
      </c>
      <c r="I6678" s="59" t="str">
        <f>IF(OR($A6678="",$C6678="",$D6678="",$E6678="",$H6678=""),"",SUMIFS(DATA_GOC!$H:$H,DATA_GOC!$A:$A,"BOM",DATA_GOC!$D:$D,$H6678,DATA_GOC!$E:$E,$C6678,DATA_GOC!$F:$F,"Xuất nội bộ từ téc",DATA_GOC!$B:$B,"&gt;="&amp;$D6678,DATA_GOC!$B:$B,"&lt;="&amp;$E6678))</f>
        <v/>
      </c>
      <c r="J6678" s="59">
        <f t="shared" si="28"/>
        <v>0</v>
      </c>
      <c r="K6678" s="59">
        <f t="shared" si="29"/>
        <v>0</v>
      </c>
      <c r="L6678" s="59">
        <f t="shared" si="30"/>
        <v>0</v>
      </c>
      <c r="M6678" s="59">
        <f t="shared" si="31"/>
        <v>0</v>
      </c>
    </row>
    <row r="6679" ht="15.0" hidden="1" customHeight="1">
      <c r="A6679" s="59">
        <f t="shared" si="20"/>
        <v>108</v>
      </c>
      <c r="B6679" s="59" t="str">
        <f t="shared" si="21"/>
        <v/>
      </c>
      <c r="C6679" s="59" t="str">
        <f t="shared" si="22"/>
        <v/>
      </c>
      <c r="D6679" s="45" t="str">
        <f t="shared" si="23"/>
        <v/>
      </c>
      <c r="E6679" s="45" t="str">
        <f t="shared" si="24"/>
        <v/>
      </c>
      <c r="F6679" s="59" t="str">
        <f t="shared" si="25"/>
        <v/>
      </c>
      <c r="G6679" s="59" t="str">
        <f t="shared" si="26"/>
        <v/>
      </c>
      <c r="H6679" s="59" t="str">
        <f t="shared" si="27"/>
        <v>28C05345</v>
      </c>
      <c r="I6679" s="59" t="str">
        <f>IF(OR($A6679="",$C6679="",$D6679="",$E6679="",$H6679=""),"",SUMIFS(DATA_GOC!$H:$H,DATA_GOC!$A:$A,"BOM",DATA_GOC!$D:$D,$H6679,DATA_GOC!$E:$E,$C6679,DATA_GOC!$F:$F,"Xuất nội bộ từ téc",DATA_GOC!$B:$B,"&gt;="&amp;$D6679,DATA_GOC!$B:$B,"&lt;="&amp;$E6679))</f>
        <v/>
      </c>
      <c r="J6679" s="59">
        <f t="shared" si="28"/>
        <v>0</v>
      </c>
      <c r="K6679" s="59">
        <f t="shared" si="29"/>
        <v>0</v>
      </c>
      <c r="L6679" s="59">
        <f t="shared" si="30"/>
        <v>0</v>
      </c>
      <c r="M6679" s="59">
        <f t="shared" si="31"/>
        <v>0</v>
      </c>
    </row>
    <row r="6680" ht="15.0" hidden="1" customHeight="1">
      <c r="A6680" s="59">
        <f t="shared" si="20"/>
        <v>108</v>
      </c>
      <c r="B6680" s="59" t="str">
        <f t="shared" si="21"/>
        <v/>
      </c>
      <c r="C6680" s="59" t="str">
        <f t="shared" si="22"/>
        <v/>
      </c>
      <c r="D6680" s="45" t="str">
        <f t="shared" si="23"/>
        <v/>
      </c>
      <c r="E6680" s="45" t="str">
        <f t="shared" si="24"/>
        <v/>
      </c>
      <c r="F6680" s="59" t="str">
        <f t="shared" si="25"/>
        <v/>
      </c>
      <c r="G6680" s="59" t="str">
        <f t="shared" si="26"/>
        <v/>
      </c>
      <c r="H6680" s="59" t="str">
        <f t="shared" si="27"/>
        <v>28C05661</v>
      </c>
      <c r="I6680" s="59" t="str">
        <f>IF(OR($A6680="",$C6680="",$D6680="",$E6680="",$H6680=""),"",SUMIFS(DATA_GOC!$H:$H,DATA_GOC!$A:$A,"BOM",DATA_GOC!$D:$D,$H6680,DATA_GOC!$E:$E,$C6680,DATA_GOC!$F:$F,"Xuất nội bộ từ téc",DATA_GOC!$B:$B,"&gt;="&amp;$D6680,DATA_GOC!$B:$B,"&lt;="&amp;$E6680))</f>
        <v/>
      </c>
      <c r="J6680" s="59">
        <f t="shared" si="28"/>
        <v>0</v>
      </c>
      <c r="K6680" s="59">
        <f t="shared" si="29"/>
        <v>0</v>
      </c>
      <c r="L6680" s="59">
        <f t="shared" si="30"/>
        <v>0</v>
      </c>
      <c r="M6680" s="59">
        <f t="shared" si="31"/>
        <v>0</v>
      </c>
    </row>
    <row r="6681" ht="15.0" hidden="1" customHeight="1">
      <c r="A6681" s="59">
        <f t="shared" si="20"/>
        <v>108</v>
      </c>
      <c r="B6681" s="59" t="str">
        <f t="shared" si="21"/>
        <v/>
      </c>
      <c r="C6681" s="59" t="str">
        <f t="shared" si="22"/>
        <v/>
      </c>
      <c r="D6681" s="45" t="str">
        <f t="shared" si="23"/>
        <v/>
      </c>
      <c r="E6681" s="45" t="str">
        <f t="shared" si="24"/>
        <v/>
      </c>
      <c r="F6681" s="59" t="str">
        <f t="shared" si="25"/>
        <v/>
      </c>
      <c r="G6681" s="59" t="str">
        <f t="shared" si="26"/>
        <v/>
      </c>
      <c r="H6681" s="59" t="str">
        <f t="shared" si="27"/>
        <v>28C05739</v>
      </c>
      <c r="I6681" s="59" t="str">
        <f>IF(OR($A6681="",$C6681="",$D6681="",$E6681="",$H6681=""),"",SUMIFS(DATA_GOC!$H:$H,DATA_GOC!$A:$A,"BOM",DATA_GOC!$D:$D,$H6681,DATA_GOC!$E:$E,$C6681,DATA_GOC!$F:$F,"Xuất nội bộ từ téc",DATA_GOC!$B:$B,"&gt;="&amp;$D6681,DATA_GOC!$B:$B,"&lt;="&amp;$E6681))</f>
        <v/>
      </c>
      <c r="J6681" s="59">
        <f t="shared" si="28"/>
        <v>0</v>
      </c>
      <c r="K6681" s="59">
        <f t="shared" si="29"/>
        <v>0</v>
      </c>
      <c r="L6681" s="59">
        <f t="shared" si="30"/>
        <v>0</v>
      </c>
      <c r="M6681" s="59">
        <f t="shared" si="31"/>
        <v>0</v>
      </c>
    </row>
    <row r="6682" ht="15.0" hidden="1" customHeight="1">
      <c r="A6682" s="59">
        <f t="shared" si="20"/>
        <v>108</v>
      </c>
      <c r="B6682" s="59" t="str">
        <f t="shared" si="21"/>
        <v/>
      </c>
      <c r="C6682" s="59" t="str">
        <f t="shared" si="22"/>
        <v/>
      </c>
      <c r="D6682" s="45" t="str">
        <f t="shared" si="23"/>
        <v/>
      </c>
      <c r="E6682" s="45" t="str">
        <f t="shared" si="24"/>
        <v/>
      </c>
      <c r="F6682" s="59" t="str">
        <f t="shared" si="25"/>
        <v/>
      </c>
      <c r="G6682" s="59" t="str">
        <f t="shared" si="26"/>
        <v/>
      </c>
      <c r="H6682" s="59" t="str">
        <f t="shared" si="27"/>
        <v>28C06369</v>
      </c>
      <c r="I6682" s="59" t="str">
        <f>IF(OR($A6682="",$C6682="",$D6682="",$E6682="",$H6682=""),"",SUMIFS(DATA_GOC!$H:$H,DATA_GOC!$A:$A,"BOM",DATA_GOC!$D:$D,$H6682,DATA_GOC!$E:$E,$C6682,DATA_GOC!$F:$F,"Xuất nội bộ từ téc",DATA_GOC!$B:$B,"&gt;="&amp;$D6682,DATA_GOC!$B:$B,"&lt;="&amp;$E6682))</f>
        <v/>
      </c>
      <c r="J6682" s="59">
        <f t="shared" si="28"/>
        <v>0</v>
      </c>
      <c r="K6682" s="59">
        <f t="shared" si="29"/>
        <v>0</v>
      </c>
      <c r="L6682" s="59">
        <f t="shared" si="30"/>
        <v>0</v>
      </c>
      <c r="M6682" s="59">
        <f t="shared" si="31"/>
        <v>0</v>
      </c>
    </row>
    <row r="6683" ht="15.0" hidden="1" customHeight="1">
      <c r="A6683" s="59">
        <f t="shared" si="20"/>
        <v>108</v>
      </c>
      <c r="B6683" s="59" t="str">
        <f t="shared" si="21"/>
        <v/>
      </c>
      <c r="C6683" s="59" t="str">
        <f t="shared" si="22"/>
        <v/>
      </c>
      <c r="D6683" s="45" t="str">
        <f t="shared" si="23"/>
        <v/>
      </c>
      <c r="E6683" s="45" t="str">
        <f t="shared" si="24"/>
        <v/>
      </c>
      <c r="F6683" s="59" t="str">
        <f t="shared" si="25"/>
        <v/>
      </c>
      <c r="G6683" s="59" t="str">
        <f t="shared" si="26"/>
        <v/>
      </c>
      <c r="H6683" s="59" t="str">
        <f t="shared" si="27"/>
        <v>28C06447</v>
      </c>
      <c r="I6683" s="59" t="str">
        <f>IF(OR($A6683="",$C6683="",$D6683="",$E6683="",$H6683=""),"",SUMIFS(DATA_GOC!$H:$H,DATA_GOC!$A:$A,"BOM",DATA_GOC!$D:$D,$H6683,DATA_GOC!$E:$E,$C6683,DATA_GOC!$F:$F,"Xuất nội bộ từ téc",DATA_GOC!$B:$B,"&gt;="&amp;$D6683,DATA_GOC!$B:$B,"&lt;="&amp;$E6683))</f>
        <v/>
      </c>
      <c r="J6683" s="59">
        <f t="shared" si="28"/>
        <v>0</v>
      </c>
      <c r="K6683" s="59">
        <f t="shared" si="29"/>
        <v>0</v>
      </c>
      <c r="L6683" s="59">
        <f t="shared" si="30"/>
        <v>0</v>
      </c>
      <c r="M6683" s="59">
        <f t="shared" si="31"/>
        <v>0</v>
      </c>
    </row>
    <row r="6684" ht="15.0" hidden="1" customHeight="1">
      <c r="A6684" s="59">
        <f t="shared" si="20"/>
        <v>108</v>
      </c>
      <c r="B6684" s="59" t="str">
        <f t="shared" si="21"/>
        <v/>
      </c>
      <c r="C6684" s="59" t="str">
        <f t="shared" si="22"/>
        <v/>
      </c>
      <c r="D6684" s="45" t="str">
        <f t="shared" si="23"/>
        <v/>
      </c>
      <c r="E6684" s="45" t="str">
        <f t="shared" si="24"/>
        <v/>
      </c>
      <c r="F6684" s="59" t="str">
        <f t="shared" si="25"/>
        <v/>
      </c>
      <c r="G6684" s="59" t="str">
        <f t="shared" si="26"/>
        <v/>
      </c>
      <c r="H6684" s="59" t="str">
        <f t="shared" si="27"/>
        <v>28H00003</v>
      </c>
      <c r="I6684" s="59" t="str">
        <f>IF(OR($A6684="",$C6684="",$D6684="",$E6684="",$H6684=""),"",SUMIFS(DATA_GOC!$H:$H,DATA_GOC!$A:$A,"BOM",DATA_GOC!$D:$D,$H6684,DATA_GOC!$E:$E,$C6684,DATA_GOC!$F:$F,"Xuất nội bộ từ téc",DATA_GOC!$B:$B,"&gt;="&amp;$D6684,DATA_GOC!$B:$B,"&lt;="&amp;$E6684))</f>
        <v/>
      </c>
      <c r="J6684" s="59">
        <f t="shared" si="28"/>
        <v>0</v>
      </c>
      <c r="K6684" s="59">
        <f t="shared" si="29"/>
        <v>0</v>
      </c>
      <c r="L6684" s="59">
        <f t="shared" si="30"/>
        <v>0</v>
      </c>
      <c r="M6684" s="59">
        <f t="shared" si="31"/>
        <v>0</v>
      </c>
    </row>
    <row r="6685" ht="15.0" hidden="1" customHeight="1">
      <c r="A6685" s="59">
        <f t="shared" si="20"/>
        <v>108</v>
      </c>
      <c r="B6685" s="59" t="str">
        <f t="shared" si="21"/>
        <v/>
      </c>
      <c r="C6685" s="59" t="str">
        <f t="shared" si="22"/>
        <v/>
      </c>
      <c r="D6685" s="45" t="str">
        <f t="shared" si="23"/>
        <v/>
      </c>
      <c r="E6685" s="45" t="str">
        <f t="shared" si="24"/>
        <v/>
      </c>
      <c r="F6685" s="59" t="str">
        <f t="shared" si="25"/>
        <v/>
      </c>
      <c r="G6685" s="59" t="str">
        <f t="shared" si="26"/>
        <v/>
      </c>
      <c r="H6685" s="59" t="str">
        <f t="shared" si="27"/>
        <v>28H00061</v>
      </c>
      <c r="I6685" s="59" t="str">
        <f>IF(OR($A6685="",$C6685="",$D6685="",$E6685="",$H6685=""),"",SUMIFS(DATA_GOC!$H:$H,DATA_GOC!$A:$A,"BOM",DATA_GOC!$D:$D,$H6685,DATA_GOC!$E:$E,$C6685,DATA_GOC!$F:$F,"Xuất nội bộ từ téc",DATA_GOC!$B:$B,"&gt;="&amp;$D6685,DATA_GOC!$B:$B,"&lt;="&amp;$E6685))</f>
        <v/>
      </c>
      <c r="J6685" s="59">
        <f t="shared" si="28"/>
        <v>0</v>
      </c>
      <c r="K6685" s="59">
        <f t="shared" si="29"/>
        <v>0</v>
      </c>
      <c r="L6685" s="59">
        <f t="shared" si="30"/>
        <v>0</v>
      </c>
      <c r="M6685" s="59">
        <f t="shared" si="31"/>
        <v>0</v>
      </c>
    </row>
    <row r="6686" ht="15.0" hidden="1" customHeight="1">
      <c r="A6686" s="59">
        <f t="shared" si="20"/>
        <v>108</v>
      </c>
      <c r="B6686" s="59" t="str">
        <f t="shared" si="21"/>
        <v/>
      </c>
      <c r="C6686" s="59" t="str">
        <f t="shared" si="22"/>
        <v/>
      </c>
      <c r="D6686" s="45" t="str">
        <f t="shared" si="23"/>
        <v/>
      </c>
      <c r="E6686" s="45" t="str">
        <f t="shared" si="24"/>
        <v/>
      </c>
      <c r="F6686" s="59" t="str">
        <f t="shared" si="25"/>
        <v/>
      </c>
      <c r="G6686" s="59" t="str">
        <f t="shared" si="26"/>
        <v/>
      </c>
      <c r="H6686" s="59" t="str">
        <f t="shared" si="27"/>
        <v>28H00354</v>
      </c>
      <c r="I6686" s="59" t="str">
        <f>IF(OR($A6686="",$C6686="",$D6686="",$E6686="",$H6686=""),"",SUMIFS(DATA_GOC!$H:$H,DATA_GOC!$A:$A,"BOM",DATA_GOC!$D:$D,$H6686,DATA_GOC!$E:$E,$C6686,DATA_GOC!$F:$F,"Xuất nội bộ từ téc",DATA_GOC!$B:$B,"&gt;="&amp;$D6686,DATA_GOC!$B:$B,"&lt;="&amp;$E6686))</f>
        <v/>
      </c>
      <c r="J6686" s="59">
        <f t="shared" si="28"/>
        <v>0</v>
      </c>
      <c r="K6686" s="59">
        <f t="shared" si="29"/>
        <v>0</v>
      </c>
      <c r="L6686" s="59">
        <f t="shared" si="30"/>
        <v>0</v>
      </c>
      <c r="M6686" s="59">
        <f t="shared" si="31"/>
        <v>0</v>
      </c>
    </row>
    <row r="6687" ht="15.0" hidden="1" customHeight="1">
      <c r="A6687" s="59">
        <f t="shared" si="20"/>
        <v>108</v>
      </c>
      <c r="B6687" s="59" t="str">
        <f t="shared" si="21"/>
        <v/>
      </c>
      <c r="C6687" s="59" t="str">
        <f t="shared" si="22"/>
        <v/>
      </c>
      <c r="D6687" s="45" t="str">
        <f t="shared" si="23"/>
        <v/>
      </c>
      <c r="E6687" s="45" t="str">
        <f t="shared" si="24"/>
        <v/>
      </c>
      <c r="F6687" s="59" t="str">
        <f t="shared" si="25"/>
        <v/>
      </c>
      <c r="G6687" s="59" t="str">
        <f t="shared" si="26"/>
        <v/>
      </c>
      <c r="H6687" s="59" t="str">
        <f t="shared" si="27"/>
        <v>28H00603</v>
      </c>
      <c r="I6687" s="59" t="str">
        <f>IF(OR($A6687="",$C6687="",$D6687="",$E6687="",$H6687=""),"",SUMIFS(DATA_GOC!$H:$H,DATA_GOC!$A:$A,"BOM",DATA_GOC!$D:$D,$H6687,DATA_GOC!$E:$E,$C6687,DATA_GOC!$F:$F,"Xuất nội bộ từ téc",DATA_GOC!$B:$B,"&gt;="&amp;$D6687,DATA_GOC!$B:$B,"&lt;="&amp;$E6687))</f>
        <v/>
      </c>
      <c r="J6687" s="59">
        <f t="shared" si="28"/>
        <v>0</v>
      </c>
      <c r="K6687" s="59">
        <f t="shared" si="29"/>
        <v>0</v>
      </c>
      <c r="L6687" s="59">
        <f t="shared" si="30"/>
        <v>0</v>
      </c>
      <c r="M6687" s="59">
        <f t="shared" si="31"/>
        <v>0</v>
      </c>
    </row>
    <row r="6688" ht="15.0" hidden="1" customHeight="1">
      <c r="A6688" s="59">
        <f t="shared" si="20"/>
        <v>108</v>
      </c>
      <c r="B6688" s="59" t="str">
        <f t="shared" si="21"/>
        <v/>
      </c>
      <c r="C6688" s="59" t="str">
        <f t="shared" si="22"/>
        <v/>
      </c>
      <c r="D6688" s="45" t="str">
        <f t="shared" si="23"/>
        <v/>
      </c>
      <c r="E6688" s="45" t="str">
        <f t="shared" si="24"/>
        <v/>
      </c>
      <c r="F6688" s="59" t="str">
        <f t="shared" si="25"/>
        <v/>
      </c>
      <c r="G6688" s="59" t="str">
        <f t="shared" si="26"/>
        <v/>
      </c>
      <c r="H6688" s="59" t="str">
        <f t="shared" si="27"/>
        <v>28H00609</v>
      </c>
      <c r="I6688" s="59" t="str">
        <f>IF(OR($A6688="",$C6688="",$D6688="",$E6688="",$H6688=""),"",SUMIFS(DATA_GOC!$H:$H,DATA_GOC!$A:$A,"BOM",DATA_GOC!$D:$D,$H6688,DATA_GOC!$E:$E,$C6688,DATA_GOC!$F:$F,"Xuất nội bộ từ téc",DATA_GOC!$B:$B,"&gt;="&amp;$D6688,DATA_GOC!$B:$B,"&lt;="&amp;$E6688))</f>
        <v/>
      </c>
      <c r="J6688" s="59">
        <f t="shared" si="28"/>
        <v>0</v>
      </c>
      <c r="K6688" s="59">
        <f t="shared" si="29"/>
        <v>0</v>
      </c>
      <c r="L6688" s="59">
        <f t="shared" si="30"/>
        <v>0</v>
      </c>
      <c r="M6688" s="59">
        <f t="shared" si="31"/>
        <v>0</v>
      </c>
    </row>
    <row r="6689" ht="15.0" hidden="1" customHeight="1">
      <c r="A6689" s="59">
        <f t="shared" si="20"/>
        <v>108</v>
      </c>
      <c r="B6689" s="59" t="str">
        <f t="shared" si="21"/>
        <v/>
      </c>
      <c r="C6689" s="59" t="str">
        <f t="shared" si="22"/>
        <v/>
      </c>
      <c r="D6689" s="45" t="str">
        <f t="shared" si="23"/>
        <v/>
      </c>
      <c r="E6689" s="45" t="str">
        <f t="shared" si="24"/>
        <v/>
      </c>
      <c r="F6689" s="59" t="str">
        <f t="shared" si="25"/>
        <v/>
      </c>
      <c r="G6689" s="59" t="str">
        <f t="shared" si="26"/>
        <v/>
      </c>
      <c r="H6689" s="59" t="str">
        <f t="shared" si="27"/>
        <v>28H00669</v>
      </c>
      <c r="I6689" s="59" t="str">
        <f>IF(OR($A6689="",$C6689="",$D6689="",$E6689="",$H6689=""),"",SUMIFS(DATA_GOC!$H:$H,DATA_GOC!$A:$A,"BOM",DATA_GOC!$D:$D,$H6689,DATA_GOC!$E:$E,$C6689,DATA_GOC!$F:$F,"Xuất nội bộ từ téc",DATA_GOC!$B:$B,"&gt;="&amp;$D6689,DATA_GOC!$B:$B,"&lt;="&amp;$E6689))</f>
        <v/>
      </c>
      <c r="J6689" s="59">
        <f t="shared" si="28"/>
        <v>0</v>
      </c>
      <c r="K6689" s="59">
        <f t="shared" si="29"/>
        <v>0</v>
      </c>
      <c r="L6689" s="59">
        <f t="shared" si="30"/>
        <v>0</v>
      </c>
      <c r="M6689" s="59">
        <f t="shared" si="31"/>
        <v>0</v>
      </c>
    </row>
    <row r="6690" ht="15.0" hidden="1" customHeight="1">
      <c r="A6690" s="59">
        <f t="shared" si="20"/>
        <v>108</v>
      </c>
      <c r="B6690" s="59" t="str">
        <f t="shared" si="21"/>
        <v/>
      </c>
      <c r="C6690" s="59" t="str">
        <f t="shared" si="22"/>
        <v/>
      </c>
      <c r="D6690" s="45" t="str">
        <f t="shared" si="23"/>
        <v/>
      </c>
      <c r="E6690" s="45" t="str">
        <f t="shared" si="24"/>
        <v/>
      </c>
      <c r="F6690" s="59" t="str">
        <f t="shared" si="25"/>
        <v/>
      </c>
      <c r="G6690" s="59" t="str">
        <f t="shared" si="26"/>
        <v/>
      </c>
      <c r="H6690" s="59" t="str">
        <f t="shared" si="27"/>
        <v>28H00680</v>
      </c>
      <c r="I6690" s="59" t="str">
        <f>IF(OR($A6690="",$C6690="",$D6690="",$E6690="",$H6690=""),"",SUMIFS(DATA_GOC!$H:$H,DATA_GOC!$A:$A,"BOM",DATA_GOC!$D:$D,$H6690,DATA_GOC!$E:$E,$C6690,DATA_GOC!$F:$F,"Xuất nội bộ từ téc",DATA_GOC!$B:$B,"&gt;="&amp;$D6690,DATA_GOC!$B:$B,"&lt;="&amp;$E6690))</f>
        <v/>
      </c>
      <c r="J6690" s="59">
        <f t="shared" si="28"/>
        <v>0</v>
      </c>
      <c r="K6690" s="59">
        <f t="shared" si="29"/>
        <v>0</v>
      </c>
      <c r="L6690" s="59">
        <f t="shared" si="30"/>
        <v>0</v>
      </c>
      <c r="M6690" s="59">
        <f t="shared" si="31"/>
        <v>0</v>
      </c>
    </row>
    <row r="6691" ht="15.0" hidden="1" customHeight="1">
      <c r="A6691" s="59">
        <f t="shared" si="20"/>
        <v>108</v>
      </c>
      <c r="B6691" s="59" t="str">
        <f t="shared" si="21"/>
        <v/>
      </c>
      <c r="C6691" s="59" t="str">
        <f t="shared" si="22"/>
        <v/>
      </c>
      <c r="D6691" s="45" t="str">
        <f t="shared" si="23"/>
        <v/>
      </c>
      <c r="E6691" s="45" t="str">
        <f t="shared" si="24"/>
        <v/>
      </c>
      <c r="F6691" s="59" t="str">
        <f t="shared" si="25"/>
        <v/>
      </c>
      <c r="G6691" s="59" t="str">
        <f t="shared" si="26"/>
        <v/>
      </c>
      <c r="H6691" s="59" t="str">
        <f t="shared" si="27"/>
        <v>28H01070</v>
      </c>
      <c r="I6691" s="59" t="str">
        <f>IF(OR($A6691="",$C6691="",$D6691="",$E6691="",$H6691=""),"",SUMIFS(DATA_GOC!$H:$H,DATA_GOC!$A:$A,"BOM",DATA_GOC!$D:$D,$H6691,DATA_GOC!$E:$E,$C6691,DATA_GOC!$F:$F,"Xuất nội bộ từ téc",DATA_GOC!$B:$B,"&gt;="&amp;$D6691,DATA_GOC!$B:$B,"&lt;="&amp;$E6691))</f>
        <v/>
      </c>
      <c r="J6691" s="59">
        <f t="shared" si="28"/>
        <v>0</v>
      </c>
      <c r="K6691" s="59">
        <f t="shared" si="29"/>
        <v>0</v>
      </c>
      <c r="L6691" s="59">
        <f t="shared" si="30"/>
        <v>0</v>
      </c>
      <c r="M6691" s="59">
        <f t="shared" si="31"/>
        <v>0</v>
      </c>
    </row>
    <row r="6692" ht="15.0" hidden="1" customHeight="1">
      <c r="A6692" s="59">
        <f t="shared" si="20"/>
        <v>108</v>
      </c>
      <c r="B6692" s="59" t="str">
        <f t="shared" si="21"/>
        <v/>
      </c>
      <c r="C6692" s="59" t="str">
        <f t="shared" si="22"/>
        <v/>
      </c>
      <c r="D6692" s="45" t="str">
        <f t="shared" si="23"/>
        <v/>
      </c>
      <c r="E6692" s="45" t="str">
        <f t="shared" si="24"/>
        <v/>
      </c>
      <c r="F6692" s="59" t="str">
        <f t="shared" si="25"/>
        <v/>
      </c>
      <c r="G6692" s="59" t="str">
        <f t="shared" si="26"/>
        <v/>
      </c>
      <c r="H6692" s="59" t="str">
        <f t="shared" si="27"/>
        <v>28H01364</v>
      </c>
      <c r="I6692" s="59" t="str">
        <f>IF(OR($A6692="",$C6692="",$D6692="",$E6692="",$H6692=""),"",SUMIFS(DATA_GOC!$H:$H,DATA_GOC!$A:$A,"BOM",DATA_GOC!$D:$D,$H6692,DATA_GOC!$E:$E,$C6692,DATA_GOC!$F:$F,"Xuất nội bộ từ téc",DATA_GOC!$B:$B,"&gt;="&amp;$D6692,DATA_GOC!$B:$B,"&lt;="&amp;$E6692))</f>
        <v/>
      </c>
      <c r="J6692" s="59">
        <f t="shared" si="28"/>
        <v>0</v>
      </c>
      <c r="K6692" s="59">
        <f t="shared" si="29"/>
        <v>0</v>
      </c>
      <c r="L6692" s="59">
        <f t="shared" si="30"/>
        <v>0</v>
      </c>
      <c r="M6692" s="59">
        <f t="shared" si="31"/>
        <v>0</v>
      </c>
    </row>
    <row r="6693" ht="15.0" hidden="1" customHeight="1">
      <c r="A6693" s="59">
        <f t="shared" si="20"/>
        <v>108</v>
      </c>
      <c r="B6693" s="59" t="str">
        <f t="shared" si="21"/>
        <v/>
      </c>
      <c r="C6693" s="59" t="str">
        <f t="shared" si="22"/>
        <v/>
      </c>
      <c r="D6693" s="45" t="str">
        <f t="shared" si="23"/>
        <v/>
      </c>
      <c r="E6693" s="45" t="str">
        <f t="shared" si="24"/>
        <v/>
      </c>
      <c r="F6693" s="59" t="str">
        <f t="shared" si="25"/>
        <v/>
      </c>
      <c r="G6693" s="59" t="str">
        <f t="shared" si="26"/>
        <v/>
      </c>
      <c r="H6693" s="59" t="str">
        <f t="shared" si="27"/>
        <v>29E17269</v>
      </c>
      <c r="I6693" s="59" t="str">
        <f>IF(OR($A6693="",$C6693="",$D6693="",$E6693="",$H6693=""),"",SUMIFS(DATA_GOC!$H:$H,DATA_GOC!$A:$A,"BOM",DATA_GOC!$D:$D,$H6693,DATA_GOC!$E:$E,$C6693,DATA_GOC!$F:$F,"Xuất nội bộ từ téc",DATA_GOC!$B:$B,"&gt;="&amp;$D6693,DATA_GOC!$B:$B,"&lt;="&amp;$E6693))</f>
        <v/>
      </c>
      <c r="J6693" s="59">
        <f t="shared" si="28"/>
        <v>0</v>
      </c>
      <c r="K6693" s="59">
        <f t="shared" si="29"/>
        <v>0</v>
      </c>
      <c r="L6693" s="59">
        <f t="shared" si="30"/>
        <v>0</v>
      </c>
      <c r="M6693" s="59">
        <f t="shared" si="31"/>
        <v>0</v>
      </c>
    </row>
    <row r="6694" ht="15.0" hidden="1" customHeight="1">
      <c r="A6694" s="59">
        <f t="shared" si="20"/>
        <v>108</v>
      </c>
      <c r="B6694" s="59" t="str">
        <f t="shared" si="21"/>
        <v/>
      </c>
      <c r="C6694" s="59" t="str">
        <f t="shared" si="22"/>
        <v/>
      </c>
      <c r="D6694" s="45" t="str">
        <f t="shared" si="23"/>
        <v/>
      </c>
      <c r="E6694" s="45" t="str">
        <f t="shared" si="24"/>
        <v/>
      </c>
      <c r="F6694" s="59" t="str">
        <f t="shared" si="25"/>
        <v/>
      </c>
      <c r="G6694" s="59" t="str">
        <f t="shared" si="26"/>
        <v/>
      </c>
      <c r="H6694" s="59" t="str">
        <f t="shared" si="27"/>
        <v>29E17273</v>
      </c>
      <c r="I6694" s="59" t="str">
        <f>IF(OR($A6694="",$C6694="",$D6694="",$E6694="",$H6694=""),"",SUMIFS(DATA_GOC!$H:$H,DATA_GOC!$A:$A,"BOM",DATA_GOC!$D:$D,$H6694,DATA_GOC!$E:$E,$C6694,DATA_GOC!$F:$F,"Xuất nội bộ từ téc",DATA_GOC!$B:$B,"&gt;="&amp;$D6694,DATA_GOC!$B:$B,"&lt;="&amp;$E6694))</f>
        <v/>
      </c>
      <c r="J6694" s="59">
        <f t="shared" si="28"/>
        <v>0</v>
      </c>
      <c r="K6694" s="59">
        <f t="shared" si="29"/>
        <v>0</v>
      </c>
      <c r="L6694" s="59">
        <f t="shared" si="30"/>
        <v>0</v>
      </c>
      <c r="M6694" s="59">
        <f t="shared" si="31"/>
        <v>0</v>
      </c>
    </row>
    <row r="6695" ht="15.0" hidden="1" customHeight="1">
      <c r="A6695" s="59">
        <f t="shared" si="20"/>
        <v>108</v>
      </c>
      <c r="B6695" s="59" t="str">
        <f t="shared" si="21"/>
        <v/>
      </c>
      <c r="C6695" s="59" t="str">
        <f t="shared" si="22"/>
        <v/>
      </c>
      <c r="D6695" s="45" t="str">
        <f t="shared" si="23"/>
        <v/>
      </c>
      <c r="E6695" s="45" t="str">
        <f t="shared" si="24"/>
        <v/>
      </c>
      <c r="F6695" s="59" t="str">
        <f t="shared" si="25"/>
        <v/>
      </c>
      <c r="G6695" s="59" t="str">
        <f t="shared" si="26"/>
        <v/>
      </c>
      <c r="H6695" s="59" t="str">
        <f t="shared" si="27"/>
        <v>29E17410</v>
      </c>
      <c r="I6695" s="59" t="str">
        <f>IF(OR($A6695="",$C6695="",$D6695="",$E6695="",$H6695=""),"",SUMIFS(DATA_GOC!$H:$H,DATA_GOC!$A:$A,"BOM",DATA_GOC!$D:$D,$H6695,DATA_GOC!$E:$E,$C6695,DATA_GOC!$F:$F,"Xuất nội bộ từ téc",DATA_GOC!$B:$B,"&gt;="&amp;$D6695,DATA_GOC!$B:$B,"&lt;="&amp;$E6695))</f>
        <v/>
      </c>
      <c r="J6695" s="59">
        <f t="shared" si="28"/>
        <v>0</v>
      </c>
      <c r="K6695" s="59">
        <f t="shared" si="29"/>
        <v>0</v>
      </c>
      <c r="L6695" s="59">
        <f t="shared" si="30"/>
        <v>0</v>
      </c>
      <c r="M6695" s="59">
        <f t="shared" si="31"/>
        <v>0</v>
      </c>
    </row>
    <row r="6696" ht="15.0" hidden="1" customHeight="1">
      <c r="A6696" s="59">
        <f t="shared" si="20"/>
        <v>108</v>
      </c>
      <c r="B6696" s="59" t="str">
        <f t="shared" si="21"/>
        <v/>
      </c>
      <c r="C6696" s="59" t="str">
        <f t="shared" si="22"/>
        <v/>
      </c>
      <c r="D6696" s="45" t="str">
        <f t="shared" si="23"/>
        <v/>
      </c>
      <c r="E6696" s="45" t="str">
        <f t="shared" si="24"/>
        <v/>
      </c>
      <c r="F6696" s="59" t="str">
        <f t="shared" si="25"/>
        <v/>
      </c>
      <c r="G6696" s="59" t="str">
        <f t="shared" si="26"/>
        <v/>
      </c>
      <c r="H6696" s="59" t="str">
        <f t="shared" si="27"/>
        <v>29E17417</v>
      </c>
      <c r="I6696" s="59" t="str">
        <f>IF(OR($A6696="",$C6696="",$D6696="",$E6696="",$H6696=""),"",SUMIFS(DATA_GOC!$H:$H,DATA_GOC!$A:$A,"BOM",DATA_GOC!$D:$D,$H6696,DATA_GOC!$E:$E,$C6696,DATA_GOC!$F:$F,"Xuất nội bộ từ téc",DATA_GOC!$B:$B,"&gt;="&amp;$D6696,DATA_GOC!$B:$B,"&lt;="&amp;$E6696))</f>
        <v/>
      </c>
      <c r="J6696" s="59">
        <f t="shared" si="28"/>
        <v>0</v>
      </c>
      <c r="K6696" s="59">
        <f t="shared" si="29"/>
        <v>0</v>
      </c>
      <c r="L6696" s="59">
        <f t="shared" si="30"/>
        <v>0</v>
      </c>
      <c r="M6696" s="59">
        <f t="shared" si="31"/>
        <v>0</v>
      </c>
    </row>
    <row r="6697" ht="15.0" hidden="1" customHeight="1">
      <c r="A6697" s="59">
        <f t="shared" si="20"/>
        <v>108</v>
      </c>
      <c r="B6697" s="59" t="str">
        <f t="shared" si="21"/>
        <v/>
      </c>
      <c r="C6697" s="59" t="str">
        <f t="shared" si="22"/>
        <v/>
      </c>
      <c r="D6697" s="45" t="str">
        <f t="shared" si="23"/>
        <v/>
      </c>
      <c r="E6697" s="45" t="str">
        <f t="shared" si="24"/>
        <v/>
      </c>
      <c r="F6697" s="59" t="str">
        <f t="shared" si="25"/>
        <v/>
      </c>
      <c r="G6697" s="59" t="str">
        <f t="shared" si="26"/>
        <v/>
      </c>
      <c r="H6697" s="59" t="str">
        <f t="shared" si="27"/>
        <v>29E17539</v>
      </c>
      <c r="I6697" s="59" t="str">
        <f>IF(OR($A6697="",$C6697="",$D6697="",$E6697="",$H6697=""),"",SUMIFS(DATA_GOC!$H:$H,DATA_GOC!$A:$A,"BOM",DATA_GOC!$D:$D,$H6697,DATA_GOC!$E:$E,$C6697,DATA_GOC!$F:$F,"Xuất nội bộ từ téc",DATA_GOC!$B:$B,"&gt;="&amp;$D6697,DATA_GOC!$B:$B,"&lt;="&amp;$E6697))</f>
        <v/>
      </c>
      <c r="J6697" s="59">
        <f t="shared" si="28"/>
        <v>0</v>
      </c>
      <c r="K6697" s="59">
        <f t="shared" si="29"/>
        <v>0</v>
      </c>
      <c r="L6697" s="59">
        <f t="shared" si="30"/>
        <v>0</v>
      </c>
      <c r="M6697" s="59">
        <f t="shared" si="31"/>
        <v>0</v>
      </c>
    </row>
    <row r="6698" ht="15.0" hidden="1" customHeight="1">
      <c r="A6698" s="59">
        <f t="shared" si="20"/>
        <v>108</v>
      </c>
      <c r="B6698" s="59" t="str">
        <f t="shared" si="21"/>
        <v/>
      </c>
      <c r="C6698" s="59" t="str">
        <f t="shared" si="22"/>
        <v/>
      </c>
      <c r="D6698" s="45" t="str">
        <f t="shared" si="23"/>
        <v/>
      </c>
      <c r="E6698" s="45" t="str">
        <f t="shared" si="24"/>
        <v/>
      </c>
      <c r="F6698" s="59" t="str">
        <f t="shared" si="25"/>
        <v/>
      </c>
      <c r="G6698" s="59" t="str">
        <f t="shared" si="26"/>
        <v/>
      </c>
      <c r="H6698" s="59" t="str">
        <f t="shared" si="27"/>
        <v>29E18160</v>
      </c>
      <c r="I6698" s="59" t="str">
        <f>IF(OR($A6698="",$C6698="",$D6698="",$E6698="",$H6698=""),"",SUMIFS(DATA_GOC!$H:$H,DATA_GOC!$A:$A,"BOM",DATA_GOC!$D:$D,$H6698,DATA_GOC!$E:$E,$C6698,DATA_GOC!$F:$F,"Xuất nội bộ từ téc",DATA_GOC!$B:$B,"&gt;="&amp;$D6698,DATA_GOC!$B:$B,"&lt;="&amp;$E6698))</f>
        <v/>
      </c>
      <c r="J6698" s="59">
        <f t="shared" si="28"/>
        <v>0</v>
      </c>
      <c r="K6698" s="59">
        <f t="shared" si="29"/>
        <v>0</v>
      </c>
      <c r="L6698" s="59">
        <f t="shared" si="30"/>
        <v>0</v>
      </c>
      <c r="M6698" s="59">
        <f t="shared" si="31"/>
        <v>0</v>
      </c>
    </row>
    <row r="6699" ht="15.0" hidden="1" customHeight="1">
      <c r="A6699" s="59">
        <f t="shared" si="20"/>
        <v>108</v>
      </c>
      <c r="B6699" s="59" t="str">
        <f t="shared" si="21"/>
        <v/>
      </c>
      <c r="C6699" s="59" t="str">
        <f t="shared" si="22"/>
        <v/>
      </c>
      <c r="D6699" s="45" t="str">
        <f t="shared" si="23"/>
        <v/>
      </c>
      <c r="E6699" s="45" t="str">
        <f t="shared" si="24"/>
        <v/>
      </c>
      <c r="F6699" s="59" t="str">
        <f t="shared" si="25"/>
        <v/>
      </c>
      <c r="G6699" s="59" t="str">
        <f t="shared" si="26"/>
        <v/>
      </c>
      <c r="H6699" s="59" t="str">
        <f t="shared" si="27"/>
        <v>Công trình Asphalt</v>
      </c>
      <c r="I6699" s="59" t="str">
        <f>IF(OR($A6699="",$C6699="",$D6699="",$E6699="",$H6699=""),"",SUMIFS(DATA_GOC!$H:$H,DATA_GOC!$A:$A,"BOM",DATA_GOC!$D:$D,$H6699,DATA_GOC!$E:$E,$C6699,DATA_GOC!$F:$F,"Xuất nội bộ từ téc",DATA_GOC!$B:$B,"&gt;="&amp;$D6699,DATA_GOC!$B:$B,"&lt;="&amp;$E6699))</f>
        <v/>
      </c>
      <c r="J6699" s="59">
        <f t="shared" si="28"/>
        <v>0</v>
      </c>
      <c r="K6699" s="59">
        <f t="shared" si="29"/>
        <v>0</v>
      </c>
      <c r="L6699" s="59">
        <f t="shared" si="30"/>
        <v>0</v>
      </c>
      <c r="M6699" s="59">
        <f t="shared" si="31"/>
        <v>0</v>
      </c>
    </row>
    <row r="6700" ht="15.0" hidden="1" customHeight="1">
      <c r="A6700" s="59">
        <f t="shared" si="20"/>
        <v>108</v>
      </c>
      <c r="B6700" s="59" t="str">
        <f t="shared" si="21"/>
        <v/>
      </c>
      <c r="C6700" s="59" t="str">
        <f t="shared" si="22"/>
        <v/>
      </c>
      <c r="D6700" s="45" t="str">
        <f t="shared" si="23"/>
        <v/>
      </c>
      <c r="E6700" s="45" t="str">
        <f t="shared" si="24"/>
        <v/>
      </c>
      <c r="F6700" s="59" t="str">
        <f t="shared" si="25"/>
        <v/>
      </c>
      <c r="G6700" s="59" t="str">
        <f t="shared" si="26"/>
        <v/>
      </c>
      <c r="H6700" s="59" t="str">
        <f t="shared" si="27"/>
        <v>LG53F</v>
      </c>
      <c r="I6700" s="59" t="str">
        <f>IF(OR($A6700="",$C6700="",$D6700="",$E6700="",$H6700=""),"",SUMIFS(DATA_GOC!$H:$H,DATA_GOC!$A:$A,"BOM",DATA_GOC!$D:$D,$H6700,DATA_GOC!$E:$E,$C6700,DATA_GOC!$F:$F,"Xuất nội bộ từ téc",DATA_GOC!$B:$B,"&gt;="&amp;$D6700,DATA_GOC!$B:$B,"&lt;="&amp;$E6700))</f>
        <v/>
      </c>
      <c r="J6700" s="59">
        <f t="shared" si="28"/>
        <v>0</v>
      </c>
      <c r="K6700" s="59">
        <f t="shared" si="29"/>
        <v>0</v>
      </c>
      <c r="L6700" s="59">
        <f t="shared" si="30"/>
        <v>0</v>
      </c>
      <c r="M6700" s="59">
        <f t="shared" si="31"/>
        <v>0</v>
      </c>
    </row>
    <row r="6701" ht="15.0" hidden="1" customHeight="1">
      <c r="A6701" s="59">
        <f t="shared" si="20"/>
        <v>108</v>
      </c>
      <c r="B6701" s="59" t="str">
        <f t="shared" si="21"/>
        <v/>
      </c>
      <c r="C6701" s="59" t="str">
        <f t="shared" si="22"/>
        <v/>
      </c>
      <c r="D6701" s="45" t="str">
        <f t="shared" si="23"/>
        <v/>
      </c>
      <c r="E6701" s="45" t="str">
        <f t="shared" si="24"/>
        <v/>
      </c>
      <c r="F6701" s="59" t="str">
        <f t="shared" si="25"/>
        <v/>
      </c>
      <c r="G6701" s="59" t="str">
        <f t="shared" si="26"/>
        <v/>
      </c>
      <c r="H6701" s="59" t="str">
        <f t="shared" si="27"/>
        <v>Máy phát điện</v>
      </c>
      <c r="I6701" s="59" t="str">
        <f>IF(OR($A6701="",$C6701="",$D6701="",$E6701="",$H6701=""),"",SUMIFS(DATA_GOC!$H:$H,DATA_GOC!$A:$A,"BOM",DATA_GOC!$D:$D,$H6701,DATA_GOC!$E:$E,$C6701,DATA_GOC!$F:$F,"Xuất nội bộ từ téc",DATA_GOC!$B:$B,"&gt;="&amp;$D6701,DATA_GOC!$B:$B,"&lt;="&amp;$E6701))</f>
        <v/>
      </c>
      <c r="J6701" s="59">
        <f t="shared" si="28"/>
        <v>0</v>
      </c>
      <c r="K6701" s="59">
        <f t="shared" si="29"/>
        <v>0</v>
      </c>
      <c r="L6701" s="59">
        <f t="shared" si="30"/>
        <v>0</v>
      </c>
      <c r="M6701" s="59">
        <f t="shared" si="31"/>
        <v>0</v>
      </c>
    </row>
    <row r="6702" ht="15.0" hidden="1" customHeight="1">
      <c r="A6702" s="59">
        <f t="shared" si="20"/>
        <v>108</v>
      </c>
      <c r="B6702" s="59" t="str">
        <f t="shared" si="21"/>
        <v/>
      </c>
      <c r="C6702" s="59" t="str">
        <f t="shared" si="22"/>
        <v/>
      </c>
      <c r="D6702" s="45" t="str">
        <f t="shared" si="23"/>
        <v/>
      </c>
      <c r="E6702" s="45" t="str">
        <f t="shared" si="24"/>
        <v/>
      </c>
      <c r="F6702" s="59" t="str">
        <f t="shared" si="25"/>
        <v/>
      </c>
      <c r="G6702" s="59" t="str">
        <f t="shared" si="26"/>
        <v/>
      </c>
      <c r="H6702" s="59" t="str">
        <f t="shared" si="27"/>
        <v>Máy rải thảm</v>
      </c>
      <c r="I6702" s="59" t="str">
        <f>IF(OR($A6702="",$C6702="",$D6702="",$E6702="",$H6702=""),"",SUMIFS(DATA_GOC!$H:$H,DATA_GOC!$A:$A,"BOM",DATA_GOC!$D:$D,$H6702,DATA_GOC!$E:$E,$C6702,DATA_GOC!$F:$F,"Xuất nội bộ từ téc",DATA_GOC!$B:$B,"&gt;="&amp;$D6702,DATA_GOC!$B:$B,"&lt;="&amp;$E6702))</f>
        <v/>
      </c>
      <c r="J6702" s="59">
        <f t="shared" si="28"/>
        <v>0</v>
      </c>
      <c r="K6702" s="59">
        <f t="shared" si="29"/>
        <v>0</v>
      </c>
      <c r="L6702" s="59">
        <f t="shared" si="30"/>
        <v>0</v>
      </c>
      <c r="M6702" s="59">
        <f t="shared" si="31"/>
        <v>0</v>
      </c>
    </row>
    <row r="6703" ht="15.0" hidden="1" customHeight="1">
      <c r="A6703" s="59">
        <f t="shared" si="20"/>
        <v>108</v>
      </c>
      <c r="B6703" s="59" t="str">
        <f t="shared" si="21"/>
        <v/>
      </c>
      <c r="C6703" s="59" t="str">
        <f t="shared" si="22"/>
        <v/>
      </c>
      <c r="D6703" s="45" t="str">
        <f t="shared" si="23"/>
        <v/>
      </c>
      <c r="E6703" s="45" t="str">
        <f t="shared" si="24"/>
        <v/>
      </c>
      <c r="F6703" s="59" t="str">
        <f t="shared" si="25"/>
        <v/>
      </c>
      <c r="G6703" s="59" t="str">
        <f t="shared" si="26"/>
        <v/>
      </c>
      <c r="H6703" s="59" t="str">
        <f t="shared" si="27"/>
        <v>Xúc Đào</v>
      </c>
      <c r="I6703" s="59" t="str">
        <f>IF(OR($A6703="",$C6703="",$D6703="",$E6703="",$H6703=""),"",SUMIFS(DATA_GOC!$H:$H,DATA_GOC!$A:$A,"BOM",DATA_GOC!$D:$D,$H6703,DATA_GOC!$E:$E,$C6703,DATA_GOC!$F:$F,"Xuất nội bộ từ téc",DATA_GOC!$B:$B,"&gt;="&amp;$D6703,DATA_GOC!$B:$B,"&lt;="&amp;$E6703))</f>
        <v/>
      </c>
      <c r="J6703" s="59">
        <f t="shared" si="28"/>
        <v>0</v>
      </c>
      <c r="K6703" s="59">
        <f t="shared" si="29"/>
        <v>0</v>
      </c>
      <c r="L6703" s="59">
        <f t="shared" si="30"/>
        <v>0</v>
      </c>
      <c r="M6703" s="59">
        <f t="shared" si="31"/>
        <v>0</v>
      </c>
    </row>
    <row r="6704" ht="15.0" hidden="1" customHeight="1">
      <c r="A6704" s="59">
        <f t="shared" si="20"/>
        <v>108</v>
      </c>
      <c r="B6704" s="59" t="str">
        <f t="shared" si="21"/>
        <v/>
      </c>
      <c r="C6704" s="59" t="str">
        <f t="shared" si="22"/>
        <v/>
      </c>
      <c r="D6704" s="45" t="str">
        <f t="shared" si="23"/>
        <v/>
      </c>
      <c r="E6704" s="45" t="str">
        <f t="shared" si="24"/>
        <v/>
      </c>
      <c r="F6704" s="59" t="str">
        <f t="shared" si="25"/>
        <v/>
      </c>
      <c r="G6704" s="59" t="str">
        <f t="shared" si="26"/>
        <v/>
      </c>
      <c r="H6704" s="59" t="str">
        <f t="shared" si="27"/>
        <v>Xúclật asphalt</v>
      </c>
      <c r="I6704" s="59" t="str">
        <f>IF(OR($A6704="",$C6704="",$D6704="",$E6704="",$H6704=""),"",SUMIFS(DATA_GOC!$H:$H,DATA_GOC!$A:$A,"BOM",DATA_GOC!$D:$D,$H6704,DATA_GOC!$E:$E,$C6704,DATA_GOC!$F:$F,"Xuất nội bộ từ téc",DATA_GOC!$B:$B,"&gt;="&amp;$D6704,DATA_GOC!$B:$B,"&lt;="&amp;$E6704))</f>
        <v/>
      </c>
      <c r="J6704" s="59">
        <f t="shared" si="28"/>
        <v>0</v>
      </c>
      <c r="K6704" s="59">
        <f t="shared" si="29"/>
        <v>0</v>
      </c>
      <c r="L6704" s="59">
        <f t="shared" si="30"/>
        <v>0</v>
      </c>
      <c r="M6704" s="59">
        <f t="shared" si="31"/>
        <v>0</v>
      </c>
    </row>
    <row r="6705" ht="15.0" hidden="1" customHeight="1">
      <c r="A6705" s="59">
        <f t="shared" si="20"/>
        <v>108</v>
      </c>
      <c r="B6705" s="59" t="str">
        <f t="shared" si="21"/>
        <v/>
      </c>
      <c r="C6705" s="59" t="str">
        <f t="shared" si="22"/>
        <v/>
      </c>
      <c r="D6705" s="45" t="str">
        <f t="shared" si="23"/>
        <v/>
      </c>
      <c r="E6705" s="45" t="str">
        <f t="shared" si="24"/>
        <v/>
      </c>
      <c r="F6705" s="59" t="str">
        <f t="shared" si="25"/>
        <v/>
      </c>
      <c r="G6705" s="59" t="str">
        <f t="shared" si="26"/>
        <v/>
      </c>
      <c r="H6705" s="59" t="str">
        <f t="shared" si="27"/>
        <v>Xúclật855H</v>
      </c>
      <c r="I6705" s="59" t="str">
        <f>IF(OR($A6705="",$C6705="",$D6705="",$E6705="",$H6705=""),"",SUMIFS(DATA_GOC!$H:$H,DATA_GOC!$A:$A,"BOM",DATA_GOC!$D:$D,$H6705,DATA_GOC!$E:$E,$C6705,DATA_GOC!$F:$F,"Xuất nội bộ từ téc",DATA_GOC!$B:$B,"&gt;="&amp;$D6705,DATA_GOC!$B:$B,"&lt;="&amp;$E6705))</f>
        <v/>
      </c>
      <c r="J6705" s="59">
        <f t="shared" si="28"/>
        <v>0</v>
      </c>
      <c r="K6705" s="59">
        <f t="shared" si="29"/>
        <v>0</v>
      </c>
      <c r="L6705" s="59">
        <f t="shared" si="30"/>
        <v>0</v>
      </c>
      <c r="M6705" s="59">
        <f t="shared" si="31"/>
        <v>0</v>
      </c>
    </row>
    <row r="6706" ht="15.0" hidden="1" customHeight="1">
      <c r="A6706" s="59">
        <f t="shared" si="20"/>
        <v>108</v>
      </c>
      <c r="B6706" s="59" t="str">
        <f t="shared" si="21"/>
        <v/>
      </c>
      <c r="C6706" s="59" t="str">
        <f t="shared" si="22"/>
        <v/>
      </c>
      <c r="D6706" s="45" t="str">
        <f t="shared" si="23"/>
        <v/>
      </c>
      <c r="E6706" s="45" t="str">
        <f t="shared" si="24"/>
        <v/>
      </c>
      <c r="F6706" s="59" t="str">
        <f t="shared" si="25"/>
        <v/>
      </c>
      <c r="G6706" s="59" t="str">
        <f t="shared" si="26"/>
        <v/>
      </c>
      <c r="H6706" s="59" t="str">
        <f t="shared" si="27"/>
        <v>Xúclật855N</v>
      </c>
      <c r="I6706" s="59" t="str">
        <f>IF(OR($A6706="",$C6706="",$D6706="",$E6706="",$H6706=""),"",SUMIFS(DATA_GOC!$H:$H,DATA_GOC!$A:$A,"BOM",DATA_GOC!$D:$D,$H6706,DATA_GOC!$E:$E,$C6706,DATA_GOC!$F:$F,"Xuất nội bộ từ téc",DATA_GOC!$B:$B,"&gt;="&amp;$D6706,DATA_GOC!$B:$B,"&lt;="&amp;$E6706))</f>
        <v/>
      </c>
      <c r="J6706" s="59">
        <f t="shared" si="28"/>
        <v>0</v>
      </c>
      <c r="K6706" s="59">
        <f t="shared" si="29"/>
        <v>0</v>
      </c>
      <c r="L6706" s="59">
        <f t="shared" si="30"/>
        <v>0</v>
      </c>
      <c r="M6706" s="59">
        <f t="shared" si="31"/>
        <v>0</v>
      </c>
    </row>
    <row r="6707" ht="15.0" hidden="1" customHeight="1">
      <c r="A6707" s="59">
        <f t="shared" si="20"/>
        <v>108</v>
      </c>
      <c r="B6707" s="59" t="str">
        <f t="shared" si="21"/>
        <v/>
      </c>
      <c r="C6707" s="59" t="str">
        <f t="shared" si="22"/>
        <v/>
      </c>
      <c r="D6707" s="45" t="str">
        <f t="shared" si="23"/>
        <v/>
      </c>
      <c r="E6707" s="45" t="str">
        <f t="shared" si="24"/>
        <v/>
      </c>
      <c r="F6707" s="59" t="str">
        <f t="shared" si="25"/>
        <v/>
      </c>
      <c r="G6707" s="59" t="str">
        <f t="shared" si="26"/>
        <v/>
      </c>
      <c r="H6707" s="59" t="str">
        <f t="shared" si="27"/>
        <v>Cát nghiền</v>
      </c>
      <c r="I6707" s="59" t="str">
        <f>IF(OR($A6707="",$C6707="",$D6707="",$E6707="",$H6707=""),"",SUMIFS(DATA_GOC!$H:$H,DATA_GOC!$A:$A,"BOM",DATA_GOC!$D:$D,$H6707,DATA_GOC!$E:$E,$C6707,DATA_GOC!$F:$F,"Xuất nội bộ từ téc",DATA_GOC!$B:$B,"&gt;="&amp;$D6707,DATA_GOC!$B:$B,"&lt;="&amp;$E6707))</f>
        <v/>
      </c>
      <c r="J6707" s="59">
        <f t="shared" si="28"/>
        <v>0</v>
      </c>
      <c r="K6707" s="59">
        <f t="shared" si="29"/>
        <v>0</v>
      </c>
      <c r="L6707" s="59">
        <f t="shared" si="30"/>
        <v>0</v>
      </c>
      <c r="M6707" s="59">
        <f t="shared" si="31"/>
        <v>0</v>
      </c>
    </row>
    <row r="6708" ht="15.0" hidden="1" customHeight="1">
      <c r="A6708" s="59">
        <f t="shared" si="20"/>
        <v>108</v>
      </c>
      <c r="B6708" s="59" t="str">
        <f t="shared" si="21"/>
        <v/>
      </c>
      <c r="C6708" s="59" t="str">
        <f t="shared" si="22"/>
        <v/>
      </c>
      <c r="D6708" s="45" t="str">
        <f t="shared" si="23"/>
        <v/>
      </c>
      <c r="E6708" s="45" t="str">
        <f t="shared" si="24"/>
        <v/>
      </c>
      <c r="F6708" s="59" t="str">
        <f t="shared" si="25"/>
        <v/>
      </c>
      <c r="G6708" s="59" t="str">
        <f t="shared" si="26"/>
        <v/>
      </c>
      <c r="H6708" s="59" t="str">
        <f t="shared" si="27"/>
        <v>28C02973</v>
      </c>
      <c r="I6708" s="59" t="str">
        <f>IF(OR($A6708="",$C6708="",$D6708="",$E6708="",$H6708=""),"",SUMIFS(DATA_GOC!$H:$H,DATA_GOC!$A:$A,"BOM",DATA_GOC!$D:$D,$H6708,DATA_GOC!$E:$E,$C6708,DATA_GOC!$F:$F,"Xuất nội bộ từ téc",DATA_GOC!$B:$B,"&gt;="&amp;$D6708,DATA_GOC!$B:$B,"&lt;="&amp;$E6708))</f>
        <v/>
      </c>
      <c r="J6708" s="59">
        <f t="shared" si="28"/>
        <v>0</v>
      </c>
      <c r="K6708" s="59">
        <f t="shared" si="29"/>
        <v>0</v>
      </c>
      <c r="L6708" s="59">
        <f t="shared" si="30"/>
        <v>0</v>
      </c>
      <c r="M6708" s="59">
        <f t="shared" si="31"/>
        <v>0</v>
      </c>
    </row>
    <row r="6709" ht="15.0" hidden="1" customHeight="1">
      <c r="A6709" s="59">
        <f t="shared" si="20"/>
        <v>108</v>
      </c>
      <c r="B6709" s="59" t="str">
        <f t="shared" si="21"/>
        <v/>
      </c>
      <c r="C6709" s="59" t="str">
        <f t="shared" si="22"/>
        <v/>
      </c>
      <c r="D6709" s="45" t="str">
        <f t="shared" si="23"/>
        <v/>
      </c>
      <c r="E6709" s="45" t="str">
        <f t="shared" si="24"/>
        <v/>
      </c>
      <c r="F6709" s="59" t="str">
        <f t="shared" si="25"/>
        <v/>
      </c>
      <c r="G6709" s="59" t="str">
        <f t="shared" si="26"/>
        <v/>
      </c>
      <c r="H6709" s="59" t="str">
        <f t="shared" si="27"/>
        <v>28C03044</v>
      </c>
      <c r="I6709" s="59" t="str">
        <f>IF(OR($A6709="",$C6709="",$D6709="",$E6709="",$H6709=""),"",SUMIFS(DATA_GOC!$H:$H,DATA_GOC!$A:$A,"BOM",DATA_GOC!$D:$D,$H6709,DATA_GOC!$E:$E,$C6709,DATA_GOC!$F:$F,"Xuất nội bộ từ téc",DATA_GOC!$B:$B,"&gt;="&amp;$D6709,DATA_GOC!$B:$B,"&lt;="&amp;$E6709))</f>
        <v/>
      </c>
      <c r="J6709" s="59">
        <f t="shared" si="28"/>
        <v>0</v>
      </c>
      <c r="K6709" s="59">
        <f t="shared" si="29"/>
        <v>0</v>
      </c>
      <c r="L6709" s="59">
        <f t="shared" si="30"/>
        <v>0</v>
      </c>
      <c r="M6709" s="59">
        <f t="shared" si="31"/>
        <v>0</v>
      </c>
    </row>
    <row r="6710" ht="15.0" hidden="1" customHeight="1">
      <c r="A6710" s="59">
        <f t="shared" si="20"/>
        <v>108</v>
      </c>
      <c r="B6710" s="59" t="str">
        <f t="shared" si="21"/>
        <v/>
      </c>
      <c r="C6710" s="59" t="str">
        <f t="shared" si="22"/>
        <v/>
      </c>
      <c r="D6710" s="45" t="str">
        <f t="shared" si="23"/>
        <v/>
      </c>
      <c r="E6710" s="45" t="str">
        <f t="shared" si="24"/>
        <v/>
      </c>
      <c r="F6710" s="59" t="str">
        <f t="shared" si="25"/>
        <v/>
      </c>
      <c r="G6710" s="59" t="str">
        <f t="shared" si="26"/>
        <v/>
      </c>
      <c r="H6710" s="59" t="str">
        <f t="shared" si="27"/>
        <v>Máy lu lốp</v>
      </c>
      <c r="I6710" s="59" t="str">
        <f>IF(OR($A6710="",$C6710="",$D6710="",$E6710="",$H6710=""),"",SUMIFS(DATA_GOC!$H:$H,DATA_GOC!$A:$A,"BOM",DATA_GOC!$D:$D,$H6710,DATA_GOC!$E:$E,$C6710,DATA_GOC!$F:$F,"Xuất nội bộ từ téc",DATA_GOC!$B:$B,"&gt;="&amp;$D6710,DATA_GOC!$B:$B,"&lt;="&amp;$E6710))</f>
        <v/>
      </c>
      <c r="J6710" s="59">
        <f t="shared" si="28"/>
        <v>0</v>
      </c>
      <c r="K6710" s="59">
        <f t="shared" si="29"/>
        <v>0</v>
      </c>
      <c r="L6710" s="59">
        <f t="shared" si="30"/>
        <v>0</v>
      </c>
      <c r="M6710" s="59">
        <f t="shared" si="31"/>
        <v>0</v>
      </c>
    </row>
    <row r="6711" ht="15.0" hidden="1" customHeight="1">
      <c r="A6711" s="59">
        <f t="shared" si="20"/>
        <v>108</v>
      </c>
      <c r="B6711" s="59" t="str">
        <f t="shared" si="21"/>
        <v/>
      </c>
      <c r="C6711" s="59" t="str">
        <f t="shared" si="22"/>
        <v/>
      </c>
      <c r="D6711" s="45" t="str">
        <f t="shared" si="23"/>
        <v/>
      </c>
      <c r="E6711" s="45" t="str">
        <f t="shared" si="24"/>
        <v/>
      </c>
      <c r="F6711" s="59" t="str">
        <f t="shared" si="25"/>
        <v/>
      </c>
      <c r="G6711" s="59" t="str">
        <f t="shared" si="26"/>
        <v/>
      </c>
      <c r="H6711" s="59" t="str">
        <f t="shared" si="27"/>
        <v>Xe 600148</v>
      </c>
      <c r="I6711" s="59" t="str">
        <f>IF(OR($A6711="",$C6711="",$D6711="",$E6711="",$H6711=""),"",SUMIFS(DATA_GOC!$H:$H,DATA_GOC!$A:$A,"BOM",DATA_GOC!$D:$D,$H6711,DATA_GOC!$E:$E,$C6711,DATA_GOC!$F:$F,"Xuất nội bộ từ téc",DATA_GOC!$B:$B,"&gt;="&amp;$D6711,DATA_GOC!$B:$B,"&lt;="&amp;$E6711))</f>
        <v/>
      </c>
      <c r="J6711" s="59">
        <f t="shared" si="28"/>
        <v>0</v>
      </c>
      <c r="K6711" s="59">
        <f t="shared" si="29"/>
        <v>0</v>
      </c>
      <c r="L6711" s="59">
        <f t="shared" si="30"/>
        <v>0</v>
      </c>
      <c r="M6711" s="59">
        <f t="shared" si="31"/>
        <v>0</v>
      </c>
    </row>
    <row r="6712" ht="15.0" hidden="1" customHeight="1">
      <c r="A6712" s="59">
        <f t="shared" si="20"/>
        <v>108</v>
      </c>
      <c r="B6712" s="59" t="str">
        <f t="shared" si="21"/>
        <v/>
      </c>
      <c r="C6712" s="59" t="str">
        <f t="shared" si="22"/>
        <v/>
      </c>
      <c r="D6712" s="45" t="str">
        <f t="shared" si="23"/>
        <v/>
      </c>
      <c r="E6712" s="45" t="str">
        <f t="shared" si="24"/>
        <v/>
      </c>
      <c r="F6712" s="59" t="str">
        <f t="shared" si="25"/>
        <v/>
      </c>
      <c r="G6712" s="59" t="str">
        <f t="shared" si="26"/>
        <v/>
      </c>
      <c r="H6712" s="59" t="str">
        <f t="shared" si="27"/>
        <v>Xe ben mới</v>
      </c>
      <c r="I6712" s="59" t="str">
        <f>IF(OR($A6712="",$C6712="",$D6712="",$E6712="",$H6712=""),"",SUMIFS(DATA_GOC!$H:$H,DATA_GOC!$A:$A,"BOM",DATA_GOC!$D:$D,$H6712,DATA_GOC!$E:$E,$C6712,DATA_GOC!$F:$F,"Xuất nội bộ từ téc",DATA_GOC!$B:$B,"&gt;="&amp;$D6712,DATA_GOC!$B:$B,"&lt;="&amp;$E6712))</f>
        <v/>
      </c>
      <c r="J6712" s="59">
        <f t="shared" si="28"/>
        <v>0</v>
      </c>
      <c r="K6712" s="59">
        <f t="shared" si="29"/>
        <v>0</v>
      </c>
      <c r="L6712" s="59">
        <f t="shared" si="30"/>
        <v>0</v>
      </c>
      <c r="M6712" s="59">
        <f t="shared" si="31"/>
        <v>0</v>
      </c>
    </row>
    <row r="6713" ht="15.0" hidden="1" customHeight="1">
      <c r="A6713" s="59">
        <f t="shared" si="20"/>
        <v>109</v>
      </c>
      <c r="B6713" s="59" t="str">
        <f t="shared" si="21"/>
        <v/>
      </c>
      <c r="C6713" s="59" t="str">
        <f t="shared" si="22"/>
        <v/>
      </c>
      <c r="D6713" s="45" t="str">
        <f t="shared" si="23"/>
        <v/>
      </c>
      <c r="E6713" s="45" t="str">
        <f t="shared" si="24"/>
        <v/>
      </c>
      <c r="F6713" s="59" t="str">
        <f t="shared" si="25"/>
        <v/>
      </c>
      <c r="G6713" s="59" t="str">
        <f t="shared" si="26"/>
        <v/>
      </c>
      <c r="H6713" s="59" t="str">
        <f t="shared" si="27"/>
        <v>19H09482</v>
      </c>
      <c r="I6713" s="59" t="str">
        <f>IF(OR($A6713="",$C6713="",$D6713="",$E6713="",$H6713=""),"",SUMIFS(DATA_GOC!$H:$H,DATA_GOC!$A:$A,"BOM",DATA_GOC!$D:$D,$H6713,DATA_GOC!$E:$E,$C6713,DATA_GOC!$F:$F,"Xuất nội bộ từ téc",DATA_GOC!$B:$B,"&gt;="&amp;$D6713,DATA_GOC!$B:$B,"&lt;="&amp;$E6713))</f>
        <v/>
      </c>
      <c r="J6713" s="59">
        <f t="shared" si="28"/>
        <v>0</v>
      </c>
      <c r="K6713" s="59">
        <f t="shared" si="29"/>
        <v>0</v>
      </c>
      <c r="L6713" s="59">
        <f t="shared" si="30"/>
        <v>0</v>
      </c>
      <c r="M6713" s="59">
        <f t="shared" si="31"/>
        <v>0</v>
      </c>
    </row>
    <row r="6714" ht="15.0" hidden="1" customHeight="1">
      <c r="A6714" s="59">
        <f t="shared" si="20"/>
        <v>109</v>
      </c>
      <c r="B6714" s="59" t="str">
        <f t="shared" si="21"/>
        <v/>
      </c>
      <c r="C6714" s="59" t="str">
        <f t="shared" si="22"/>
        <v/>
      </c>
      <c r="D6714" s="45" t="str">
        <f t="shared" si="23"/>
        <v/>
      </c>
      <c r="E6714" s="45" t="str">
        <f t="shared" si="24"/>
        <v/>
      </c>
      <c r="F6714" s="59" t="str">
        <f t="shared" si="25"/>
        <v/>
      </c>
      <c r="G6714" s="59" t="str">
        <f t="shared" si="26"/>
        <v/>
      </c>
      <c r="H6714" s="59" t="str">
        <f t="shared" si="27"/>
        <v>28A30696</v>
      </c>
      <c r="I6714" s="59" t="str">
        <f>IF(OR($A6714="",$C6714="",$D6714="",$E6714="",$H6714=""),"",SUMIFS(DATA_GOC!$H:$H,DATA_GOC!$A:$A,"BOM",DATA_GOC!$D:$D,$H6714,DATA_GOC!$E:$E,$C6714,DATA_GOC!$F:$F,"Xuất nội bộ từ téc",DATA_GOC!$B:$B,"&gt;="&amp;$D6714,DATA_GOC!$B:$B,"&lt;="&amp;$E6714))</f>
        <v/>
      </c>
      <c r="J6714" s="59">
        <f t="shared" si="28"/>
        <v>0</v>
      </c>
      <c r="K6714" s="59">
        <f t="shared" si="29"/>
        <v>0</v>
      </c>
      <c r="L6714" s="59">
        <f t="shared" si="30"/>
        <v>0</v>
      </c>
      <c r="M6714" s="59">
        <f t="shared" si="31"/>
        <v>0</v>
      </c>
    </row>
    <row r="6715" ht="15.0" hidden="1" customHeight="1">
      <c r="A6715" s="59">
        <f t="shared" si="20"/>
        <v>109</v>
      </c>
      <c r="B6715" s="59" t="str">
        <f t="shared" si="21"/>
        <v/>
      </c>
      <c r="C6715" s="59" t="str">
        <f t="shared" si="22"/>
        <v/>
      </c>
      <c r="D6715" s="45" t="str">
        <f t="shared" si="23"/>
        <v/>
      </c>
      <c r="E6715" s="45" t="str">
        <f t="shared" si="24"/>
        <v/>
      </c>
      <c r="F6715" s="59" t="str">
        <f t="shared" si="25"/>
        <v/>
      </c>
      <c r="G6715" s="59" t="str">
        <f t="shared" si="26"/>
        <v/>
      </c>
      <c r="H6715" s="59" t="str">
        <f t="shared" si="27"/>
        <v>28C00462</v>
      </c>
      <c r="I6715" s="59" t="str">
        <f>IF(OR($A6715="",$C6715="",$D6715="",$E6715="",$H6715=""),"",SUMIFS(DATA_GOC!$H:$H,DATA_GOC!$A:$A,"BOM",DATA_GOC!$D:$D,$H6715,DATA_GOC!$E:$E,$C6715,DATA_GOC!$F:$F,"Xuất nội bộ từ téc",DATA_GOC!$B:$B,"&gt;="&amp;$D6715,DATA_GOC!$B:$B,"&lt;="&amp;$E6715))</f>
        <v/>
      </c>
      <c r="J6715" s="59">
        <f t="shared" si="28"/>
        <v>0</v>
      </c>
      <c r="K6715" s="59">
        <f t="shared" si="29"/>
        <v>0</v>
      </c>
      <c r="L6715" s="59">
        <f t="shared" si="30"/>
        <v>0</v>
      </c>
      <c r="M6715" s="59">
        <f t="shared" si="31"/>
        <v>0</v>
      </c>
    </row>
    <row r="6716" ht="15.0" hidden="1" customHeight="1">
      <c r="A6716" s="59">
        <f t="shared" si="20"/>
        <v>109</v>
      </c>
      <c r="B6716" s="59" t="str">
        <f t="shared" si="21"/>
        <v/>
      </c>
      <c r="C6716" s="59" t="str">
        <f t="shared" si="22"/>
        <v/>
      </c>
      <c r="D6716" s="45" t="str">
        <f t="shared" si="23"/>
        <v/>
      </c>
      <c r="E6716" s="45" t="str">
        <f t="shared" si="24"/>
        <v/>
      </c>
      <c r="F6716" s="59" t="str">
        <f t="shared" si="25"/>
        <v/>
      </c>
      <c r="G6716" s="59" t="str">
        <f t="shared" si="26"/>
        <v/>
      </c>
      <c r="H6716" s="59" t="str">
        <f t="shared" si="27"/>
        <v>28C01165</v>
      </c>
      <c r="I6716" s="59" t="str">
        <f>IF(OR($A6716="",$C6716="",$D6716="",$E6716="",$H6716=""),"",SUMIFS(DATA_GOC!$H:$H,DATA_GOC!$A:$A,"BOM",DATA_GOC!$D:$D,$H6716,DATA_GOC!$E:$E,$C6716,DATA_GOC!$F:$F,"Xuất nội bộ từ téc",DATA_GOC!$B:$B,"&gt;="&amp;$D6716,DATA_GOC!$B:$B,"&lt;="&amp;$E6716))</f>
        <v/>
      </c>
      <c r="J6716" s="59">
        <f t="shared" si="28"/>
        <v>0</v>
      </c>
      <c r="K6716" s="59">
        <f t="shared" si="29"/>
        <v>0</v>
      </c>
      <c r="L6716" s="59">
        <f t="shared" si="30"/>
        <v>0</v>
      </c>
      <c r="M6716" s="59">
        <f t="shared" si="31"/>
        <v>0</v>
      </c>
    </row>
    <row r="6717" ht="15.0" hidden="1" customHeight="1">
      <c r="A6717" s="59">
        <f t="shared" si="20"/>
        <v>109</v>
      </c>
      <c r="B6717" s="59" t="str">
        <f t="shared" si="21"/>
        <v/>
      </c>
      <c r="C6717" s="59" t="str">
        <f t="shared" si="22"/>
        <v/>
      </c>
      <c r="D6717" s="45" t="str">
        <f t="shared" si="23"/>
        <v/>
      </c>
      <c r="E6717" s="45" t="str">
        <f t="shared" si="24"/>
        <v/>
      </c>
      <c r="F6717" s="59" t="str">
        <f t="shared" si="25"/>
        <v/>
      </c>
      <c r="G6717" s="59" t="str">
        <f t="shared" si="26"/>
        <v/>
      </c>
      <c r="H6717" s="59" t="str">
        <f t="shared" si="27"/>
        <v>28C01406</v>
      </c>
      <c r="I6717" s="59" t="str">
        <f>IF(OR($A6717="",$C6717="",$D6717="",$E6717="",$H6717=""),"",SUMIFS(DATA_GOC!$H:$H,DATA_GOC!$A:$A,"BOM",DATA_GOC!$D:$D,$H6717,DATA_GOC!$E:$E,$C6717,DATA_GOC!$F:$F,"Xuất nội bộ từ téc",DATA_GOC!$B:$B,"&gt;="&amp;$D6717,DATA_GOC!$B:$B,"&lt;="&amp;$E6717))</f>
        <v/>
      </c>
      <c r="J6717" s="59">
        <f t="shared" si="28"/>
        <v>0</v>
      </c>
      <c r="K6717" s="59">
        <f t="shared" si="29"/>
        <v>0</v>
      </c>
      <c r="L6717" s="59">
        <f t="shared" si="30"/>
        <v>0</v>
      </c>
      <c r="M6717" s="59">
        <f t="shared" si="31"/>
        <v>0</v>
      </c>
    </row>
    <row r="6718" ht="15.0" hidden="1" customHeight="1">
      <c r="A6718" s="59">
        <f t="shared" si="20"/>
        <v>109</v>
      </c>
      <c r="B6718" s="59" t="str">
        <f t="shared" si="21"/>
        <v/>
      </c>
      <c r="C6718" s="59" t="str">
        <f t="shared" si="22"/>
        <v/>
      </c>
      <c r="D6718" s="45" t="str">
        <f t="shared" si="23"/>
        <v/>
      </c>
      <c r="E6718" s="45" t="str">
        <f t="shared" si="24"/>
        <v/>
      </c>
      <c r="F6718" s="59" t="str">
        <f t="shared" si="25"/>
        <v/>
      </c>
      <c r="G6718" s="59" t="str">
        <f t="shared" si="26"/>
        <v/>
      </c>
      <c r="H6718" s="59" t="str">
        <f t="shared" si="27"/>
        <v>28C01544</v>
      </c>
      <c r="I6718" s="59" t="str">
        <f>IF(OR($A6718="",$C6718="",$D6718="",$E6718="",$H6718=""),"",SUMIFS(DATA_GOC!$H:$H,DATA_GOC!$A:$A,"BOM",DATA_GOC!$D:$D,$H6718,DATA_GOC!$E:$E,$C6718,DATA_GOC!$F:$F,"Xuất nội bộ từ téc",DATA_GOC!$B:$B,"&gt;="&amp;$D6718,DATA_GOC!$B:$B,"&lt;="&amp;$E6718))</f>
        <v/>
      </c>
      <c r="J6718" s="59">
        <f t="shared" si="28"/>
        <v>0</v>
      </c>
      <c r="K6718" s="59">
        <f t="shared" si="29"/>
        <v>0</v>
      </c>
      <c r="L6718" s="59">
        <f t="shared" si="30"/>
        <v>0</v>
      </c>
      <c r="M6718" s="59">
        <f t="shared" si="31"/>
        <v>0</v>
      </c>
    </row>
    <row r="6719" ht="15.0" hidden="1" customHeight="1">
      <c r="A6719" s="59">
        <f t="shared" si="20"/>
        <v>109</v>
      </c>
      <c r="B6719" s="59" t="str">
        <f t="shared" si="21"/>
        <v/>
      </c>
      <c r="C6719" s="59" t="str">
        <f t="shared" si="22"/>
        <v/>
      </c>
      <c r="D6719" s="45" t="str">
        <f t="shared" si="23"/>
        <v/>
      </c>
      <c r="E6719" s="45" t="str">
        <f t="shared" si="24"/>
        <v/>
      </c>
      <c r="F6719" s="59" t="str">
        <f t="shared" si="25"/>
        <v/>
      </c>
      <c r="G6719" s="59" t="str">
        <f t="shared" si="26"/>
        <v/>
      </c>
      <c r="H6719" s="59" t="str">
        <f t="shared" si="27"/>
        <v>28C01622</v>
      </c>
      <c r="I6719" s="59" t="str">
        <f>IF(OR($A6719="",$C6719="",$D6719="",$E6719="",$H6719=""),"",SUMIFS(DATA_GOC!$H:$H,DATA_GOC!$A:$A,"BOM",DATA_GOC!$D:$D,$H6719,DATA_GOC!$E:$E,$C6719,DATA_GOC!$F:$F,"Xuất nội bộ từ téc",DATA_GOC!$B:$B,"&gt;="&amp;$D6719,DATA_GOC!$B:$B,"&lt;="&amp;$E6719))</f>
        <v/>
      </c>
      <c r="J6719" s="59">
        <f t="shared" si="28"/>
        <v>0</v>
      </c>
      <c r="K6719" s="59">
        <f t="shared" si="29"/>
        <v>0</v>
      </c>
      <c r="L6719" s="59">
        <f t="shared" si="30"/>
        <v>0</v>
      </c>
      <c r="M6719" s="59">
        <f t="shared" si="31"/>
        <v>0</v>
      </c>
    </row>
    <row r="6720" ht="15.0" hidden="1" customHeight="1">
      <c r="A6720" s="59">
        <f t="shared" si="20"/>
        <v>109</v>
      </c>
      <c r="B6720" s="59" t="str">
        <f t="shared" si="21"/>
        <v/>
      </c>
      <c r="C6720" s="59" t="str">
        <f t="shared" si="22"/>
        <v/>
      </c>
      <c r="D6720" s="45" t="str">
        <f t="shared" si="23"/>
        <v/>
      </c>
      <c r="E6720" s="45" t="str">
        <f t="shared" si="24"/>
        <v/>
      </c>
      <c r="F6720" s="59" t="str">
        <f t="shared" si="25"/>
        <v/>
      </c>
      <c r="G6720" s="59" t="str">
        <f t="shared" si="26"/>
        <v/>
      </c>
      <c r="H6720" s="59" t="str">
        <f t="shared" si="27"/>
        <v>28C01647</v>
      </c>
      <c r="I6720" s="59" t="str">
        <f>IF(OR($A6720="",$C6720="",$D6720="",$E6720="",$H6720=""),"",SUMIFS(DATA_GOC!$H:$H,DATA_GOC!$A:$A,"BOM",DATA_GOC!$D:$D,$H6720,DATA_GOC!$E:$E,$C6720,DATA_GOC!$F:$F,"Xuất nội bộ từ téc",DATA_GOC!$B:$B,"&gt;="&amp;$D6720,DATA_GOC!$B:$B,"&lt;="&amp;$E6720))</f>
        <v/>
      </c>
      <c r="J6720" s="59">
        <f t="shared" si="28"/>
        <v>0</v>
      </c>
      <c r="K6720" s="59">
        <f t="shared" si="29"/>
        <v>0</v>
      </c>
      <c r="L6720" s="59">
        <f t="shared" si="30"/>
        <v>0</v>
      </c>
      <c r="M6720" s="59">
        <f t="shared" si="31"/>
        <v>0</v>
      </c>
    </row>
    <row r="6721" ht="15.0" hidden="1" customHeight="1">
      <c r="A6721" s="59">
        <f t="shared" si="20"/>
        <v>109</v>
      </c>
      <c r="B6721" s="59" t="str">
        <f t="shared" si="21"/>
        <v/>
      </c>
      <c r="C6721" s="59" t="str">
        <f t="shared" si="22"/>
        <v/>
      </c>
      <c r="D6721" s="45" t="str">
        <f t="shared" si="23"/>
        <v/>
      </c>
      <c r="E6721" s="45" t="str">
        <f t="shared" si="24"/>
        <v/>
      </c>
      <c r="F6721" s="59" t="str">
        <f t="shared" si="25"/>
        <v/>
      </c>
      <c r="G6721" s="59" t="str">
        <f t="shared" si="26"/>
        <v/>
      </c>
      <c r="H6721" s="59" t="str">
        <f t="shared" si="27"/>
        <v>28C01731</v>
      </c>
      <c r="I6721" s="59" t="str">
        <f>IF(OR($A6721="",$C6721="",$D6721="",$E6721="",$H6721=""),"",SUMIFS(DATA_GOC!$H:$H,DATA_GOC!$A:$A,"BOM",DATA_GOC!$D:$D,$H6721,DATA_GOC!$E:$E,$C6721,DATA_GOC!$F:$F,"Xuất nội bộ từ téc",DATA_GOC!$B:$B,"&gt;="&amp;$D6721,DATA_GOC!$B:$B,"&lt;="&amp;$E6721))</f>
        <v/>
      </c>
      <c r="J6721" s="59">
        <f t="shared" si="28"/>
        <v>0</v>
      </c>
      <c r="K6721" s="59">
        <f t="shared" si="29"/>
        <v>0</v>
      </c>
      <c r="L6721" s="59">
        <f t="shared" si="30"/>
        <v>0</v>
      </c>
      <c r="M6721" s="59">
        <f t="shared" si="31"/>
        <v>0</v>
      </c>
    </row>
    <row r="6722" ht="15.0" hidden="1" customHeight="1">
      <c r="A6722" s="59">
        <f t="shared" si="20"/>
        <v>109</v>
      </c>
      <c r="B6722" s="59" t="str">
        <f t="shared" si="21"/>
        <v/>
      </c>
      <c r="C6722" s="59" t="str">
        <f t="shared" si="22"/>
        <v/>
      </c>
      <c r="D6722" s="45" t="str">
        <f t="shared" si="23"/>
        <v/>
      </c>
      <c r="E6722" s="45" t="str">
        <f t="shared" si="24"/>
        <v/>
      </c>
      <c r="F6722" s="59" t="str">
        <f t="shared" si="25"/>
        <v/>
      </c>
      <c r="G6722" s="59" t="str">
        <f t="shared" si="26"/>
        <v/>
      </c>
      <c r="H6722" s="59" t="str">
        <f t="shared" si="27"/>
        <v>28C01743</v>
      </c>
      <c r="I6722" s="59" t="str">
        <f>IF(OR($A6722="",$C6722="",$D6722="",$E6722="",$H6722=""),"",SUMIFS(DATA_GOC!$H:$H,DATA_GOC!$A:$A,"BOM",DATA_GOC!$D:$D,$H6722,DATA_GOC!$E:$E,$C6722,DATA_GOC!$F:$F,"Xuất nội bộ từ téc",DATA_GOC!$B:$B,"&gt;="&amp;$D6722,DATA_GOC!$B:$B,"&lt;="&amp;$E6722))</f>
        <v/>
      </c>
      <c r="J6722" s="59">
        <f t="shared" si="28"/>
        <v>0</v>
      </c>
      <c r="K6722" s="59">
        <f t="shared" si="29"/>
        <v>0</v>
      </c>
      <c r="L6722" s="59">
        <f t="shared" si="30"/>
        <v>0</v>
      </c>
      <c r="M6722" s="59">
        <f t="shared" si="31"/>
        <v>0</v>
      </c>
    </row>
    <row r="6723" ht="15.0" hidden="1" customHeight="1">
      <c r="A6723" s="59">
        <f t="shared" si="20"/>
        <v>109</v>
      </c>
      <c r="B6723" s="59" t="str">
        <f t="shared" si="21"/>
        <v/>
      </c>
      <c r="C6723" s="59" t="str">
        <f t="shared" si="22"/>
        <v/>
      </c>
      <c r="D6723" s="45" t="str">
        <f t="shared" si="23"/>
        <v/>
      </c>
      <c r="E6723" s="45" t="str">
        <f t="shared" si="24"/>
        <v/>
      </c>
      <c r="F6723" s="59" t="str">
        <f t="shared" si="25"/>
        <v/>
      </c>
      <c r="G6723" s="59" t="str">
        <f t="shared" si="26"/>
        <v/>
      </c>
      <c r="H6723" s="59" t="str">
        <f t="shared" si="27"/>
        <v>28C02106</v>
      </c>
      <c r="I6723" s="59" t="str">
        <f>IF(OR($A6723="",$C6723="",$D6723="",$E6723="",$H6723=""),"",SUMIFS(DATA_GOC!$H:$H,DATA_GOC!$A:$A,"BOM",DATA_GOC!$D:$D,$H6723,DATA_GOC!$E:$E,$C6723,DATA_GOC!$F:$F,"Xuất nội bộ từ téc",DATA_GOC!$B:$B,"&gt;="&amp;$D6723,DATA_GOC!$B:$B,"&lt;="&amp;$E6723))</f>
        <v/>
      </c>
      <c r="J6723" s="59">
        <f t="shared" si="28"/>
        <v>0</v>
      </c>
      <c r="K6723" s="59">
        <f t="shared" si="29"/>
        <v>0</v>
      </c>
      <c r="L6723" s="59">
        <f t="shared" si="30"/>
        <v>0</v>
      </c>
      <c r="M6723" s="59">
        <f t="shared" si="31"/>
        <v>0</v>
      </c>
    </row>
    <row r="6724" ht="15.0" hidden="1" customHeight="1">
      <c r="A6724" s="59">
        <f t="shared" si="20"/>
        <v>109</v>
      </c>
      <c r="B6724" s="59" t="str">
        <f t="shared" si="21"/>
        <v/>
      </c>
      <c r="C6724" s="59" t="str">
        <f t="shared" si="22"/>
        <v/>
      </c>
      <c r="D6724" s="45" t="str">
        <f t="shared" si="23"/>
        <v/>
      </c>
      <c r="E6724" s="45" t="str">
        <f t="shared" si="24"/>
        <v/>
      </c>
      <c r="F6724" s="59" t="str">
        <f t="shared" si="25"/>
        <v/>
      </c>
      <c r="G6724" s="59" t="str">
        <f t="shared" si="26"/>
        <v/>
      </c>
      <c r="H6724" s="59" t="str">
        <f t="shared" si="27"/>
        <v>28C02410</v>
      </c>
      <c r="I6724" s="59" t="str">
        <f>IF(OR($A6724="",$C6724="",$D6724="",$E6724="",$H6724=""),"",SUMIFS(DATA_GOC!$H:$H,DATA_GOC!$A:$A,"BOM",DATA_GOC!$D:$D,$H6724,DATA_GOC!$E:$E,$C6724,DATA_GOC!$F:$F,"Xuất nội bộ từ téc",DATA_GOC!$B:$B,"&gt;="&amp;$D6724,DATA_GOC!$B:$B,"&lt;="&amp;$E6724))</f>
        <v/>
      </c>
      <c r="J6724" s="59">
        <f t="shared" si="28"/>
        <v>0</v>
      </c>
      <c r="K6724" s="59">
        <f t="shared" si="29"/>
        <v>0</v>
      </c>
      <c r="L6724" s="59">
        <f t="shared" si="30"/>
        <v>0</v>
      </c>
      <c r="M6724" s="59">
        <f t="shared" si="31"/>
        <v>0</v>
      </c>
    </row>
    <row r="6725" ht="15.0" hidden="1" customHeight="1">
      <c r="A6725" s="59">
        <f t="shared" si="20"/>
        <v>109</v>
      </c>
      <c r="B6725" s="59" t="str">
        <f t="shared" si="21"/>
        <v/>
      </c>
      <c r="C6725" s="59" t="str">
        <f t="shared" si="22"/>
        <v/>
      </c>
      <c r="D6725" s="45" t="str">
        <f t="shared" si="23"/>
        <v/>
      </c>
      <c r="E6725" s="45" t="str">
        <f t="shared" si="24"/>
        <v/>
      </c>
      <c r="F6725" s="59" t="str">
        <f t="shared" si="25"/>
        <v/>
      </c>
      <c r="G6725" s="59" t="str">
        <f t="shared" si="26"/>
        <v/>
      </c>
      <c r="H6725" s="59" t="str">
        <f t="shared" si="27"/>
        <v>28C02545</v>
      </c>
      <c r="I6725" s="59" t="str">
        <f>IF(OR($A6725="",$C6725="",$D6725="",$E6725="",$H6725=""),"",SUMIFS(DATA_GOC!$H:$H,DATA_GOC!$A:$A,"BOM",DATA_GOC!$D:$D,$H6725,DATA_GOC!$E:$E,$C6725,DATA_GOC!$F:$F,"Xuất nội bộ từ téc",DATA_GOC!$B:$B,"&gt;="&amp;$D6725,DATA_GOC!$B:$B,"&lt;="&amp;$E6725))</f>
        <v/>
      </c>
      <c r="J6725" s="59">
        <f t="shared" si="28"/>
        <v>0</v>
      </c>
      <c r="K6725" s="59">
        <f t="shared" si="29"/>
        <v>0</v>
      </c>
      <c r="L6725" s="59">
        <f t="shared" si="30"/>
        <v>0</v>
      </c>
      <c r="M6725" s="59">
        <f t="shared" si="31"/>
        <v>0</v>
      </c>
    </row>
    <row r="6726" ht="15.0" hidden="1" customHeight="1">
      <c r="A6726" s="59">
        <f t="shared" si="20"/>
        <v>109</v>
      </c>
      <c r="B6726" s="59" t="str">
        <f t="shared" si="21"/>
        <v/>
      </c>
      <c r="C6726" s="59" t="str">
        <f t="shared" si="22"/>
        <v/>
      </c>
      <c r="D6726" s="45" t="str">
        <f t="shared" si="23"/>
        <v/>
      </c>
      <c r="E6726" s="45" t="str">
        <f t="shared" si="24"/>
        <v/>
      </c>
      <c r="F6726" s="59" t="str">
        <f t="shared" si="25"/>
        <v/>
      </c>
      <c r="G6726" s="59" t="str">
        <f t="shared" si="26"/>
        <v/>
      </c>
      <c r="H6726" s="59" t="str">
        <f t="shared" si="27"/>
        <v>28C02574</v>
      </c>
      <c r="I6726" s="59" t="str">
        <f>IF(OR($A6726="",$C6726="",$D6726="",$E6726="",$H6726=""),"",SUMIFS(DATA_GOC!$H:$H,DATA_GOC!$A:$A,"BOM",DATA_GOC!$D:$D,$H6726,DATA_GOC!$E:$E,$C6726,DATA_GOC!$F:$F,"Xuất nội bộ từ téc",DATA_GOC!$B:$B,"&gt;="&amp;$D6726,DATA_GOC!$B:$B,"&lt;="&amp;$E6726))</f>
        <v/>
      </c>
      <c r="J6726" s="59">
        <f t="shared" si="28"/>
        <v>0</v>
      </c>
      <c r="K6726" s="59">
        <f t="shared" si="29"/>
        <v>0</v>
      </c>
      <c r="L6726" s="59">
        <f t="shared" si="30"/>
        <v>0</v>
      </c>
      <c r="M6726" s="59">
        <f t="shared" si="31"/>
        <v>0</v>
      </c>
    </row>
    <row r="6727" ht="15.0" hidden="1" customHeight="1">
      <c r="A6727" s="59">
        <f t="shared" si="20"/>
        <v>109</v>
      </c>
      <c r="B6727" s="59" t="str">
        <f t="shared" si="21"/>
        <v/>
      </c>
      <c r="C6727" s="59" t="str">
        <f t="shared" si="22"/>
        <v/>
      </c>
      <c r="D6727" s="45" t="str">
        <f t="shared" si="23"/>
        <v/>
      </c>
      <c r="E6727" s="45" t="str">
        <f t="shared" si="24"/>
        <v/>
      </c>
      <c r="F6727" s="59" t="str">
        <f t="shared" si="25"/>
        <v/>
      </c>
      <c r="G6727" s="59" t="str">
        <f t="shared" si="26"/>
        <v/>
      </c>
      <c r="H6727" s="59" t="str">
        <f t="shared" si="27"/>
        <v>28C02770</v>
      </c>
      <c r="I6727" s="59" t="str">
        <f>IF(OR($A6727="",$C6727="",$D6727="",$E6727="",$H6727=""),"",SUMIFS(DATA_GOC!$H:$H,DATA_GOC!$A:$A,"BOM",DATA_GOC!$D:$D,$H6727,DATA_GOC!$E:$E,$C6727,DATA_GOC!$F:$F,"Xuất nội bộ từ téc",DATA_GOC!$B:$B,"&gt;="&amp;$D6727,DATA_GOC!$B:$B,"&lt;="&amp;$E6727))</f>
        <v/>
      </c>
      <c r="J6727" s="59">
        <f t="shared" si="28"/>
        <v>0</v>
      </c>
      <c r="K6727" s="59">
        <f t="shared" si="29"/>
        <v>0</v>
      </c>
      <c r="L6727" s="59">
        <f t="shared" si="30"/>
        <v>0</v>
      </c>
      <c r="M6727" s="59">
        <f t="shared" si="31"/>
        <v>0</v>
      </c>
    </row>
    <row r="6728" ht="15.0" hidden="1" customHeight="1">
      <c r="A6728" s="59">
        <f t="shared" si="20"/>
        <v>109</v>
      </c>
      <c r="B6728" s="59" t="str">
        <f t="shared" si="21"/>
        <v/>
      </c>
      <c r="C6728" s="59" t="str">
        <f t="shared" si="22"/>
        <v/>
      </c>
      <c r="D6728" s="45" t="str">
        <f t="shared" si="23"/>
        <v/>
      </c>
      <c r="E6728" s="45" t="str">
        <f t="shared" si="24"/>
        <v/>
      </c>
      <c r="F6728" s="59" t="str">
        <f t="shared" si="25"/>
        <v/>
      </c>
      <c r="G6728" s="59" t="str">
        <f t="shared" si="26"/>
        <v/>
      </c>
      <c r="H6728" s="59" t="str">
        <f t="shared" si="27"/>
        <v>28C02986</v>
      </c>
      <c r="I6728" s="59" t="str">
        <f>IF(OR($A6728="",$C6728="",$D6728="",$E6728="",$H6728=""),"",SUMIFS(DATA_GOC!$H:$H,DATA_GOC!$A:$A,"BOM",DATA_GOC!$D:$D,$H6728,DATA_GOC!$E:$E,$C6728,DATA_GOC!$F:$F,"Xuất nội bộ từ téc",DATA_GOC!$B:$B,"&gt;="&amp;$D6728,DATA_GOC!$B:$B,"&lt;="&amp;$E6728))</f>
        <v/>
      </c>
      <c r="J6728" s="59">
        <f t="shared" si="28"/>
        <v>0</v>
      </c>
      <c r="K6728" s="59">
        <f t="shared" si="29"/>
        <v>0</v>
      </c>
      <c r="L6728" s="59">
        <f t="shared" si="30"/>
        <v>0</v>
      </c>
      <c r="M6728" s="59">
        <f t="shared" si="31"/>
        <v>0</v>
      </c>
    </row>
    <row r="6729" ht="15.0" hidden="1" customHeight="1">
      <c r="A6729" s="59">
        <f t="shared" si="20"/>
        <v>109</v>
      </c>
      <c r="B6729" s="59" t="str">
        <f t="shared" si="21"/>
        <v/>
      </c>
      <c r="C6729" s="59" t="str">
        <f t="shared" si="22"/>
        <v/>
      </c>
      <c r="D6729" s="45" t="str">
        <f t="shared" si="23"/>
        <v/>
      </c>
      <c r="E6729" s="45" t="str">
        <f t="shared" si="24"/>
        <v/>
      </c>
      <c r="F6729" s="59" t="str">
        <f t="shared" si="25"/>
        <v/>
      </c>
      <c r="G6729" s="59" t="str">
        <f t="shared" si="26"/>
        <v/>
      </c>
      <c r="H6729" s="59" t="str">
        <f t="shared" si="27"/>
        <v>28C03261</v>
      </c>
      <c r="I6729" s="59" t="str">
        <f>IF(OR($A6729="",$C6729="",$D6729="",$E6729="",$H6729=""),"",SUMIFS(DATA_GOC!$H:$H,DATA_GOC!$A:$A,"BOM",DATA_GOC!$D:$D,$H6729,DATA_GOC!$E:$E,$C6729,DATA_GOC!$F:$F,"Xuất nội bộ từ téc",DATA_GOC!$B:$B,"&gt;="&amp;$D6729,DATA_GOC!$B:$B,"&lt;="&amp;$E6729))</f>
        <v/>
      </c>
      <c r="J6729" s="59">
        <f t="shared" si="28"/>
        <v>0</v>
      </c>
      <c r="K6729" s="59">
        <f t="shared" si="29"/>
        <v>0</v>
      </c>
      <c r="L6729" s="59">
        <f t="shared" si="30"/>
        <v>0</v>
      </c>
      <c r="M6729" s="59">
        <f t="shared" si="31"/>
        <v>0</v>
      </c>
    </row>
    <row r="6730" ht="15.0" hidden="1" customHeight="1">
      <c r="A6730" s="59">
        <f t="shared" si="20"/>
        <v>109</v>
      </c>
      <c r="B6730" s="59" t="str">
        <f t="shared" si="21"/>
        <v/>
      </c>
      <c r="C6730" s="59" t="str">
        <f t="shared" si="22"/>
        <v/>
      </c>
      <c r="D6730" s="45" t="str">
        <f t="shared" si="23"/>
        <v/>
      </c>
      <c r="E6730" s="45" t="str">
        <f t="shared" si="24"/>
        <v/>
      </c>
      <c r="F6730" s="59" t="str">
        <f t="shared" si="25"/>
        <v/>
      </c>
      <c r="G6730" s="59" t="str">
        <f t="shared" si="26"/>
        <v/>
      </c>
      <c r="H6730" s="59" t="str">
        <f t="shared" si="27"/>
        <v>28C03323</v>
      </c>
      <c r="I6730" s="59" t="str">
        <f>IF(OR($A6730="",$C6730="",$D6730="",$E6730="",$H6730=""),"",SUMIFS(DATA_GOC!$H:$H,DATA_GOC!$A:$A,"BOM",DATA_GOC!$D:$D,$H6730,DATA_GOC!$E:$E,$C6730,DATA_GOC!$F:$F,"Xuất nội bộ từ téc",DATA_GOC!$B:$B,"&gt;="&amp;$D6730,DATA_GOC!$B:$B,"&lt;="&amp;$E6730))</f>
        <v/>
      </c>
      <c r="J6730" s="59">
        <f t="shared" si="28"/>
        <v>0</v>
      </c>
      <c r="K6730" s="59">
        <f t="shared" si="29"/>
        <v>0</v>
      </c>
      <c r="L6730" s="59">
        <f t="shared" si="30"/>
        <v>0</v>
      </c>
      <c r="M6730" s="59">
        <f t="shared" si="31"/>
        <v>0</v>
      </c>
    </row>
    <row r="6731" ht="15.0" hidden="1" customHeight="1">
      <c r="A6731" s="59">
        <f t="shared" si="20"/>
        <v>109</v>
      </c>
      <c r="B6731" s="59" t="str">
        <f t="shared" si="21"/>
        <v/>
      </c>
      <c r="C6731" s="59" t="str">
        <f t="shared" si="22"/>
        <v/>
      </c>
      <c r="D6731" s="45" t="str">
        <f t="shared" si="23"/>
        <v/>
      </c>
      <c r="E6731" s="45" t="str">
        <f t="shared" si="24"/>
        <v/>
      </c>
      <c r="F6731" s="59" t="str">
        <f t="shared" si="25"/>
        <v/>
      </c>
      <c r="G6731" s="59" t="str">
        <f t="shared" si="26"/>
        <v/>
      </c>
      <c r="H6731" s="59" t="str">
        <f t="shared" si="27"/>
        <v>28C03385</v>
      </c>
      <c r="I6731" s="59" t="str">
        <f>IF(OR($A6731="",$C6731="",$D6731="",$E6731="",$H6731=""),"",SUMIFS(DATA_GOC!$H:$H,DATA_GOC!$A:$A,"BOM",DATA_GOC!$D:$D,$H6731,DATA_GOC!$E:$E,$C6731,DATA_GOC!$F:$F,"Xuất nội bộ từ téc",DATA_GOC!$B:$B,"&gt;="&amp;$D6731,DATA_GOC!$B:$B,"&lt;="&amp;$E6731))</f>
        <v/>
      </c>
      <c r="J6731" s="59">
        <f t="shared" si="28"/>
        <v>0</v>
      </c>
      <c r="K6731" s="59">
        <f t="shared" si="29"/>
        <v>0</v>
      </c>
      <c r="L6731" s="59">
        <f t="shared" si="30"/>
        <v>0</v>
      </c>
      <c r="M6731" s="59">
        <f t="shared" si="31"/>
        <v>0</v>
      </c>
    </row>
    <row r="6732" ht="15.0" hidden="1" customHeight="1">
      <c r="A6732" s="59">
        <f t="shared" si="20"/>
        <v>109</v>
      </c>
      <c r="B6732" s="59" t="str">
        <f t="shared" si="21"/>
        <v/>
      </c>
      <c r="C6732" s="59" t="str">
        <f t="shared" si="22"/>
        <v/>
      </c>
      <c r="D6732" s="45" t="str">
        <f t="shared" si="23"/>
        <v/>
      </c>
      <c r="E6732" s="45" t="str">
        <f t="shared" si="24"/>
        <v/>
      </c>
      <c r="F6732" s="59" t="str">
        <f t="shared" si="25"/>
        <v/>
      </c>
      <c r="G6732" s="59" t="str">
        <f t="shared" si="26"/>
        <v/>
      </c>
      <c r="H6732" s="59" t="str">
        <f t="shared" si="27"/>
        <v>28C03652</v>
      </c>
      <c r="I6732" s="59" t="str">
        <f>IF(OR($A6732="",$C6732="",$D6732="",$E6732="",$H6732=""),"",SUMIFS(DATA_GOC!$H:$H,DATA_GOC!$A:$A,"BOM",DATA_GOC!$D:$D,$H6732,DATA_GOC!$E:$E,$C6732,DATA_GOC!$F:$F,"Xuất nội bộ từ téc",DATA_GOC!$B:$B,"&gt;="&amp;$D6732,DATA_GOC!$B:$B,"&lt;="&amp;$E6732))</f>
        <v/>
      </c>
      <c r="J6732" s="59">
        <f t="shared" si="28"/>
        <v>0</v>
      </c>
      <c r="K6732" s="59">
        <f t="shared" si="29"/>
        <v>0</v>
      </c>
      <c r="L6732" s="59">
        <f t="shared" si="30"/>
        <v>0</v>
      </c>
      <c r="M6732" s="59">
        <f t="shared" si="31"/>
        <v>0</v>
      </c>
    </row>
    <row r="6733" ht="15.0" hidden="1" customHeight="1">
      <c r="A6733" s="59">
        <f t="shared" si="20"/>
        <v>109</v>
      </c>
      <c r="B6733" s="59" t="str">
        <f t="shared" si="21"/>
        <v/>
      </c>
      <c r="C6733" s="59" t="str">
        <f t="shared" si="22"/>
        <v/>
      </c>
      <c r="D6733" s="45" t="str">
        <f t="shared" si="23"/>
        <v/>
      </c>
      <c r="E6733" s="45" t="str">
        <f t="shared" si="24"/>
        <v/>
      </c>
      <c r="F6733" s="59" t="str">
        <f t="shared" si="25"/>
        <v/>
      </c>
      <c r="G6733" s="59" t="str">
        <f t="shared" si="26"/>
        <v/>
      </c>
      <c r="H6733" s="59" t="str">
        <f t="shared" si="27"/>
        <v>28C03695</v>
      </c>
      <c r="I6733" s="59" t="str">
        <f>IF(OR($A6733="",$C6733="",$D6733="",$E6733="",$H6733=""),"",SUMIFS(DATA_GOC!$H:$H,DATA_GOC!$A:$A,"BOM",DATA_GOC!$D:$D,$H6733,DATA_GOC!$E:$E,$C6733,DATA_GOC!$F:$F,"Xuất nội bộ từ téc",DATA_GOC!$B:$B,"&gt;="&amp;$D6733,DATA_GOC!$B:$B,"&lt;="&amp;$E6733))</f>
        <v/>
      </c>
      <c r="J6733" s="59">
        <f t="shared" si="28"/>
        <v>0</v>
      </c>
      <c r="K6733" s="59">
        <f t="shared" si="29"/>
        <v>0</v>
      </c>
      <c r="L6733" s="59">
        <f t="shared" si="30"/>
        <v>0</v>
      </c>
      <c r="M6733" s="59">
        <f t="shared" si="31"/>
        <v>0</v>
      </c>
    </row>
    <row r="6734" ht="15.0" hidden="1" customHeight="1">
      <c r="A6734" s="59">
        <f t="shared" si="20"/>
        <v>109</v>
      </c>
      <c r="B6734" s="59" t="str">
        <f t="shared" si="21"/>
        <v/>
      </c>
      <c r="C6734" s="59" t="str">
        <f t="shared" si="22"/>
        <v/>
      </c>
      <c r="D6734" s="45" t="str">
        <f t="shared" si="23"/>
        <v/>
      </c>
      <c r="E6734" s="45" t="str">
        <f t="shared" si="24"/>
        <v/>
      </c>
      <c r="F6734" s="59" t="str">
        <f t="shared" si="25"/>
        <v/>
      </c>
      <c r="G6734" s="59" t="str">
        <f t="shared" si="26"/>
        <v/>
      </c>
      <c r="H6734" s="59" t="str">
        <f t="shared" si="27"/>
        <v>28C03927</v>
      </c>
      <c r="I6734" s="59" t="str">
        <f>IF(OR($A6734="",$C6734="",$D6734="",$E6734="",$H6734=""),"",SUMIFS(DATA_GOC!$H:$H,DATA_GOC!$A:$A,"BOM",DATA_GOC!$D:$D,$H6734,DATA_GOC!$E:$E,$C6734,DATA_GOC!$F:$F,"Xuất nội bộ từ téc",DATA_GOC!$B:$B,"&gt;="&amp;$D6734,DATA_GOC!$B:$B,"&lt;="&amp;$E6734))</f>
        <v/>
      </c>
      <c r="J6734" s="59">
        <f t="shared" si="28"/>
        <v>0</v>
      </c>
      <c r="K6734" s="59">
        <f t="shared" si="29"/>
        <v>0</v>
      </c>
      <c r="L6734" s="59">
        <f t="shared" si="30"/>
        <v>0</v>
      </c>
      <c r="M6734" s="59">
        <f t="shared" si="31"/>
        <v>0</v>
      </c>
    </row>
    <row r="6735" ht="15.0" hidden="1" customHeight="1">
      <c r="A6735" s="59">
        <f t="shared" si="20"/>
        <v>109</v>
      </c>
      <c r="B6735" s="59" t="str">
        <f t="shared" si="21"/>
        <v/>
      </c>
      <c r="C6735" s="59" t="str">
        <f t="shared" si="22"/>
        <v/>
      </c>
      <c r="D6735" s="45" t="str">
        <f t="shared" si="23"/>
        <v/>
      </c>
      <c r="E6735" s="45" t="str">
        <f t="shared" si="24"/>
        <v/>
      </c>
      <c r="F6735" s="59" t="str">
        <f t="shared" si="25"/>
        <v/>
      </c>
      <c r="G6735" s="59" t="str">
        <f t="shared" si="26"/>
        <v/>
      </c>
      <c r="H6735" s="59" t="str">
        <f t="shared" si="27"/>
        <v>28C04509</v>
      </c>
      <c r="I6735" s="59" t="str">
        <f>IF(OR($A6735="",$C6735="",$D6735="",$E6735="",$H6735=""),"",SUMIFS(DATA_GOC!$H:$H,DATA_GOC!$A:$A,"BOM",DATA_GOC!$D:$D,$H6735,DATA_GOC!$E:$E,$C6735,DATA_GOC!$F:$F,"Xuất nội bộ từ téc",DATA_GOC!$B:$B,"&gt;="&amp;$D6735,DATA_GOC!$B:$B,"&lt;="&amp;$E6735))</f>
        <v/>
      </c>
      <c r="J6735" s="59">
        <f t="shared" si="28"/>
        <v>0</v>
      </c>
      <c r="K6735" s="59">
        <f t="shared" si="29"/>
        <v>0</v>
      </c>
      <c r="L6735" s="59">
        <f t="shared" si="30"/>
        <v>0</v>
      </c>
      <c r="M6735" s="59">
        <f t="shared" si="31"/>
        <v>0</v>
      </c>
    </row>
    <row r="6736" ht="15.0" hidden="1" customHeight="1">
      <c r="A6736" s="59">
        <f t="shared" si="20"/>
        <v>109</v>
      </c>
      <c r="B6736" s="59" t="str">
        <f t="shared" si="21"/>
        <v/>
      </c>
      <c r="C6736" s="59" t="str">
        <f t="shared" si="22"/>
        <v/>
      </c>
      <c r="D6736" s="45" t="str">
        <f t="shared" si="23"/>
        <v/>
      </c>
      <c r="E6736" s="45" t="str">
        <f t="shared" si="24"/>
        <v/>
      </c>
      <c r="F6736" s="59" t="str">
        <f t="shared" si="25"/>
        <v/>
      </c>
      <c r="G6736" s="59" t="str">
        <f t="shared" si="26"/>
        <v/>
      </c>
      <c r="H6736" s="59" t="str">
        <f t="shared" si="27"/>
        <v>28C04536</v>
      </c>
      <c r="I6736" s="59" t="str">
        <f>IF(OR($A6736="",$C6736="",$D6736="",$E6736="",$H6736=""),"",SUMIFS(DATA_GOC!$H:$H,DATA_GOC!$A:$A,"BOM",DATA_GOC!$D:$D,$H6736,DATA_GOC!$E:$E,$C6736,DATA_GOC!$F:$F,"Xuất nội bộ từ téc",DATA_GOC!$B:$B,"&gt;="&amp;$D6736,DATA_GOC!$B:$B,"&lt;="&amp;$E6736))</f>
        <v/>
      </c>
      <c r="J6736" s="59">
        <f t="shared" si="28"/>
        <v>0</v>
      </c>
      <c r="K6736" s="59">
        <f t="shared" si="29"/>
        <v>0</v>
      </c>
      <c r="L6736" s="59">
        <f t="shared" si="30"/>
        <v>0</v>
      </c>
      <c r="M6736" s="59">
        <f t="shared" si="31"/>
        <v>0</v>
      </c>
    </row>
    <row r="6737" ht="15.0" hidden="1" customHeight="1">
      <c r="A6737" s="59">
        <f t="shared" si="20"/>
        <v>109</v>
      </c>
      <c r="B6737" s="59" t="str">
        <f t="shared" si="21"/>
        <v/>
      </c>
      <c r="C6737" s="59" t="str">
        <f t="shared" si="22"/>
        <v/>
      </c>
      <c r="D6737" s="45" t="str">
        <f t="shared" si="23"/>
        <v/>
      </c>
      <c r="E6737" s="45" t="str">
        <f t="shared" si="24"/>
        <v/>
      </c>
      <c r="F6737" s="59" t="str">
        <f t="shared" si="25"/>
        <v/>
      </c>
      <c r="G6737" s="59" t="str">
        <f t="shared" si="26"/>
        <v/>
      </c>
      <c r="H6737" s="59" t="str">
        <f t="shared" si="27"/>
        <v>28C04576</v>
      </c>
      <c r="I6737" s="59" t="str">
        <f>IF(OR($A6737="",$C6737="",$D6737="",$E6737="",$H6737=""),"",SUMIFS(DATA_GOC!$H:$H,DATA_GOC!$A:$A,"BOM",DATA_GOC!$D:$D,$H6737,DATA_GOC!$E:$E,$C6737,DATA_GOC!$F:$F,"Xuất nội bộ từ téc",DATA_GOC!$B:$B,"&gt;="&amp;$D6737,DATA_GOC!$B:$B,"&lt;="&amp;$E6737))</f>
        <v/>
      </c>
      <c r="J6737" s="59">
        <f t="shared" si="28"/>
        <v>0</v>
      </c>
      <c r="K6737" s="59">
        <f t="shared" si="29"/>
        <v>0</v>
      </c>
      <c r="L6737" s="59">
        <f t="shared" si="30"/>
        <v>0</v>
      </c>
      <c r="M6737" s="59">
        <f t="shared" si="31"/>
        <v>0</v>
      </c>
    </row>
    <row r="6738" ht="15.0" hidden="1" customHeight="1">
      <c r="A6738" s="59">
        <f t="shared" si="20"/>
        <v>109</v>
      </c>
      <c r="B6738" s="59" t="str">
        <f t="shared" si="21"/>
        <v/>
      </c>
      <c r="C6738" s="59" t="str">
        <f t="shared" si="22"/>
        <v/>
      </c>
      <c r="D6738" s="45" t="str">
        <f t="shared" si="23"/>
        <v/>
      </c>
      <c r="E6738" s="45" t="str">
        <f t="shared" si="24"/>
        <v/>
      </c>
      <c r="F6738" s="59" t="str">
        <f t="shared" si="25"/>
        <v/>
      </c>
      <c r="G6738" s="59" t="str">
        <f t="shared" si="26"/>
        <v/>
      </c>
      <c r="H6738" s="59" t="str">
        <f t="shared" si="27"/>
        <v>28C05090</v>
      </c>
      <c r="I6738" s="59" t="str">
        <f>IF(OR($A6738="",$C6738="",$D6738="",$E6738="",$H6738=""),"",SUMIFS(DATA_GOC!$H:$H,DATA_GOC!$A:$A,"BOM",DATA_GOC!$D:$D,$H6738,DATA_GOC!$E:$E,$C6738,DATA_GOC!$F:$F,"Xuất nội bộ từ téc",DATA_GOC!$B:$B,"&gt;="&amp;$D6738,DATA_GOC!$B:$B,"&lt;="&amp;$E6738))</f>
        <v/>
      </c>
      <c r="J6738" s="59">
        <f t="shared" si="28"/>
        <v>0</v>
      </c>
      <c r="K6738" s="59">
        <f t="shared" si="29"/>
        <v>0</v>
      </c>
      <c r="L6738" s="59">
        <f t="shared" si="30"/>
        <v>0</v>
      </c>
      <c r="M6738" s="59">
        <f t="shared" si="31"/>
        <v>0</v>
      </c>
    </row>
    <row r="6739" ht="15.0" hidden="1" customHeight="1">
      <c r="A6739" s="59">
        <f t="shared" si="20"/>
        <v>109</v>
      </c>
      <c r="B6739" s="59" t="str">
        <f t="shared" si="21"/>
        <v/>
      </c>
      <c r="C6739" s="59" t="str">
        <f t="shared" si="22"/>
        <v/>
      </c>
      <c r="D6739" s="45" t="str">
        <f t="shared" si="23"/>
        <v/>
      </c>
      <c r="E6739" s="45" t="str">
        <f t="shared" si="24"/>
        <v/>
      </c>
      <c r="F6739" s="59" t="str">
        <f t="shared" si="25"/>
        <v/>
      </c>
      <c r="G6739" s="59" t="str">
        <f t="shared" si="26"/>
        <v/>
      </c>
      <c r="H6739" s="59" t="str">
        <f t="shared" si="27"/>
        <v>28C05345</v>
      </c>
      <c r="I6739" s="59" t="str">
        <f>IF(OR($A6739="",$C6739="",$D6739="",$E6739="",$H6739=""),"",SUMIFS(DATA_GOC!$H:$H,DATA_GOC!$A:$A,"BOM",DATA_GOC!$D:$D,$H6739,DATA_GOC!$E:$E,$C6739,DATA_GOC!$F:$F,"Xuất nội bộ từ téc",DATA_GOC!$B:$B,"&gt;="&amp;$D6739,DATA_GOC!$B:$B,"&lt;="&amp;$E6739))</f>
        <v/>
      </c>
      <c r="J6739" s="59">
        <f t="shared" si="28"/>
        <v>0</v>
      </c>
      <c r="K6739" s="59">
        <f t="shared" si="29"/>
        <v>0</v>
      </c>
      <c r="L6739" s="59">
        <f t="shared" si="30"/>
        <v>0</v>
      </c>
      <c r="M6739" s="59">
        <f t="shared" si="31"/>
        <v>0</v>
      </c>
    </row>
    <row r="6740" ht="15.0" hidden="1" customHeight="1">
      <c r="A6740" s="59">
        <f t="shared" si="20"/>
        <v>109</v>
      </c>
      <c r="B6740" s="59" t="str">
        <f t="shared" si="21"/>
        <v/>
      </c>
      <c r="C6740" s="59" t="str">
        <f t="shared" si="22"/>
        <v/>
      </c>
      <c r="D6740" s="45" t="str">
        <f t="shared" si="23"/>
        <v/>
      </c>
      <c r="E6740" s="45" t="str">
        <f t="shared" si="24"/>
        <v/>
      </c>
      <c r="F6740" s="59" t="str">
        <f t="shared" si="25"/>
        <v/>
      </c>
      <c r="G6740" s="59" t="str">
        <f t="shared" si="26"/>
        <v/>
      </c>
      <c r="H6740" s="59" t="str">
        <f t="shared" si="27"/>
        <v>28C05661</v>
      </c>
      <c r="I6740" s="59" t="str">
        <f>IF(OR($A6740="",$C6740="",$D6740="",$E6740="",$H6740=""),"",SUMIFS(DATA_GOC!$H:$H,DATA_GOC!$A:$A,"BOM",DATA_GOC!$D:$D,$H6740,DATA_GOC!$E:$E,$C6740,DATA_GOC!$F:$F,"Xuất nội bộ từ téc",DATA_GOC!$B:$B,"&gt;="&amp;$D6740,DATA_GOC!$B:$B,"&lt;="&amp;$E6740))</f>
        <v/>
      </c>
      <c r="J6740" s="59">
        <f t="shared" si="28"/>
        <v>0</v>
      </c>
      <c r="K6740" s="59">
        <f t="shared" si="29"/>
        <v>0</v>
      </c>
      <c r="L6740" s="59">
        <f t="shared" si="30"/>
        <v>0</v>
      </c>
      <c r="M6740" s="59">
        <f t="shared" si="31"/>
        <v>0</v>
      </c>
    </row>
    <row r="6741" ht="15.0" hidden="1" customHeight="1">
      <c r="A6741" s="59">
        <f t="shared" si="20"/>
        <v>109</v>
      </c>
      <c r="B6741" s="59" t="str">
        <f t="shared" si="21"/>
        <v/>
      </c>
      <c r="C6741" s="59" t="str">
        <f t="shared" si="22"/>
        <v/>
      </c>
      <c r="D6741" s="45" t="str">
        <f t="shared" si="23"/>
        <v/>
      </c>
      <c r="E6741" s="45" t="str">
        <f t="shared" si="24"/>
        <v/>
      </c>
      <c r="F6741" s="59" t="str">
        <f t="shared" si="25"/>
        <v/>
      </c>
      <c r="G6741" s="59" t="str">
        <f t="shared" si="26"/>
        <v/>
      </c>
      <c r="H6741" s="59" t="str">
        <f t="shared" si="27"/>
        <v>28C05739</v>
      </c>
      <c r="I6741" s="59" t="str">
        <f>IF(OR($A6741="",$C6741="",$D6741="",$E6741="",$H6741=""),"",SUMIFS(DATA_GOC!$H:$H,DATA_GOC!$A:$A,"BOM",DATA_GOC!$D:$D,$H6741,DATA_GOC!$E:$E,$C6741,DATA_GOC!$F:$F,"Xuất nội bộ từ téc",DATA_GOC!$B:$B,"&gt;="&amp;$D6741,DATA_GOC!$B:$B,"&lt;="&amp;$E6741))</f>
        <v/>
      </c>
      <c r="J6741" s="59">
        <f t="shared" si="28"/>
        <v>0</v>
      </c>
      <c r="K6741" s="59">
        <f t="shared" si="29"/>
        <v>0</v>
      </c>
      <c r="L6741" s="59">
        <f t="shared" si="30"/>
        <v>0</v>
      </c>
      <c r="M6741" s="59">
        <f t="shared" si="31"/>
        <v>0</v>
      </c>
    </row>
    <row r="6742" ht="15.0" hidden="1" customHeight="1">
      <c r="A6742" s="59">
        <f t="shared" si="20"/>
        <v>109</v>
      </c>
      <c r="B6742" s="59" t="str">
        <f t="shared" si="21"/>
        <v/>
      </c>
      <c r="C6742" s="59" t="str">
        <f t="shared" si="22"/>
        <v/>
      </c>
      <c r="D6742" s="45" t="str">
        <f t="shared" si="23"/>
        <v/>
      </c>
      <c r="E6742" s="45" t="str">
        <f t="shared" si="24"/>
        <v/>
      </c>
      <c r="F6742" s="59" t="str">
        <f t="shared" si="25"/>
        <v/>
      </c>
      <c r="G6742" s="59" t="str">
        <f t="shared" si="26"/>
        <v/>
      </c>
      <c r="H6742" s="59" t="str">
        <f t="shared" si="27"/>
        <v>28C06369</v>
      </c>
      <c r="I6742" s="59" t="str">
        <f>IF(OR($A6742="",$C6742="",$D6742="",$E6742="",$H6742=""),"",SUMIFS(DATA_GOC!$H:$H,DATA_GOC!$A:$A,"BOM",DATA_GOC!$D:$D,$H6742,DATA_GOC!$E:$E,$C6742,DATA_GOC!$F:$F,"Xuất nội bộ từ téc",DATA_GOC!$B:$B,"&gt;="&amp;$D6742,DATA_GOC!$B:$B,"&lt;="&amp;$E6742))</f>
        <v/>
      </c>
      <c r="J6742" s="59">
        <f t="shared" si="28"/>
        <v>0</v>
      </c>
      <c r="K6742" s="59">
        <f t="shared" si="29"/>
        <v>0</v>
      </c>
      <c r="L6742" s="59">
        <f t="shared" si="30"/>
        <v>0</v>
      </c>
      <c r="M6742" s="59">
        <f t="shared" si="31"/>
        <v>0</v>
      </c>
    </row>
    <row r="6743" ht="15.0" hidden="1" customHeight="1">
      <c r="A6743" s="59">
        <f t="shared" si="20"/>
        <v>109</v>
      </c>
      <c r="B6743" s="59" t="str">
        <f t="shared" si="21"/>
        <v/>
      </c>
      <c r="C6743" s="59" t="str">
        <f t="shared" si="22"/>
        <v/>
      </c>
      <c r="D6743" s="45" t="str">
        <f t="shared" si="23"/>
        <v/>
      </c>
      <c r="E6743" s="45" t="str">
        <f t="shared" si="24"/>
        <v/>
      </c>
      <c r="F6743" s="59" t="str">
        <f t="shared" si="25"/>
        <v/>
      </c>
      <c r="G6743" s="59" t="str">
        <f t="shared" si="26"/>
        <v/>
      </c>
      <c r="H6743" s="59" t="str">
        <f t="shared" si="27"/>
        <v>28C06447</v>
      </c>
      <c r="I6743" s="59" t="str">
        <f>IF(OR($A6743="",$C6743="",$D6743="",$E6743="",$H6743=""),"",SUMIFS(DATA_GOC!$H:$H,DATA_GOC!$A:$A,"BOM",DATA_GOC!$D:$D,$H6743,DATA_GOC!$E:$E,$C6743,DATA_GOC!$F:$F,"Xuất nội bộ từ téc",DATA_GOC!$B:$B,"&gt;="&amp;$D6743,DATA_GOC!$B:$B,"&lt;="&amp;$E6743))</f>
        <v/>
      </c>
      <c r="J6743" s="59">
        <f t="shared" si="28"/>
        <v>0</v>
      </c>
      <c r="K6743" s="59">
        <f t="shared" si="29"/>
        <v>0</v>
      </c>
      <c r="L6743" s="59">
        <f t="shared" si="30"/>
        <v>0</v>
      </c>
      <c r="M6743" s="59">
        <f t="shared" si="31"/>
        <v>0</v>
      </c>
    </row>
    <row r="6744" ht="15.0" hidden="1" customHeight="1">
      <c r="A6744" s="59">
        <f t="shared" si="20"/>
        <v>109</v>
      </c>
      <c r="B6744" s="59" t="str">
        <f t="shared" si="21"/>
        <v/>
      </c>
      <c r="C6744" s="59" t="str">
        <f t="shared" si="22"/>
        <v/>
      </c>
      <c r="D6744" s="45" t="str">
        <f t="shared" si="23"/>
        <v/>
      </c>
      <c r="E6744" s="45" t="str">
        <f t="shared" si="24"/>
        <v/>
      </c>
      <c r="F6744" s="59" t="str">
        <f t="shared" si="25"/>
        <v/>
      </c>
      <c r="G6744" s="59" t="str">
        <f t="shared" si="26"/>
        <v/>
      </c>
      <c r="H6744" s="59" t="str">
        <f t="shared" si="27"/>
        <v>28H00003</v>
      </c>
      <c r="I6744" s="59" t="str">
        <f>IF(OR($A6744="",$C6744="",$D6744="",$E6744="",$H6744=""),"",SUMIFS(DATA_GOC!$H:$H,DATA_GOC!$A:$A,"BOM",DATA_GOC!$D:$D,$H6744,DATA_GOC!$E:$E,$C6744,DATA_GOC!$F:$F,"Xuất nội bộ từ téc",DATA_GOC!$B:$B,"&gt;="&amp;$D6744,DATA_GOC!$B:$B,"&lt;="&amp;$E6744))</f>
        <v/>
      </c>
      <c r="J6744" s="59">
        <f t="shared" si="28"/>
        <v>0</v>
      </c>
      <c r="K6744" s="59">
        <f t="shared" si="29"/>
        <v>0</v>
      </c>
      <c r="L6744" s="59">
        <f t="shared" si="30"/>
        <v>0</v>
      </c>
      <c r="M6744" s="59">
        <f t="shared" si="31"/>
        <v>0</v>
      </c>
    </row>
    <row r="6745" ht="15.0" hidden="1" customHeight="1">
      <c r="A6745" s="59">
        <f t="shared" si="20"/>
        <v>109</v>
      </c>
      <c r="B6745" s="59" t="str">
        <f t="shared" si="21"/>
        <v/>
      </c>
      <c r="C6745" s="59" t="str">
        <f t="shared" si="22"/>
        <v/>
      </c>
      <c r="D6745" s="45" t="str">
        <f t="shared" si="23"/>
        <v/>
      </c>
      <c r="E6745" s="45" t="str">
        <f t="shared" si="24"/>
        <v/>
      </c>
      <c r="F6745" s="59" t="str">
        <f t="shared" si="25"/>
        <v/>
      </c>
      <c r="G6745" s="59" t="str">
        <f t="shared" si="26"/>
        <v/>
      </c>
      <c r="H6745" s="59" t="str">
        <f t="shared" si="27"/>
        <v>28H00061</v>
      </c>
      <c r="I6745" s="59" t="str">
        <f>IF(OR($A6745="",$C6745="",$D6745="",$E6745="",$H6745=""),"",SUMIFS(DATA_GOC!$H:$H,DATA_GOC!$A:$A,"BOM",DATA_GOC!$D:$D,$H6745,DATA_GOC!$E:$E,$C6745,DATA_GOC!$F:$F,"Xuất nội bộ từ téc",DATA_GOC!$B:$B,"&gt;="&amp;$D6745,DATA_GOC!$B:$B,"&lt;="&amp;$E6745))</f>
        <v/>
      </c>
      <c r="J6745" s="59">
        <f t="shared" si="28"/>
        <v>0</v>
      </c>
      <c r="K6745" s="59">
        <f t="shared" si="29"/>
        <v>0</v>
      </c>
      <c r="L6745" s="59">
        <f t="shared" si="30"/>
        <v>0</v>
      </c>
      <c r="M6745" s="59">
        <f t="shared" si="31"/>
        <v>0</v>
      </c>
    </row>
    <row r="6746" ht="15.0" hidden="1" customHeight="1">
      <c r="A6746" s="59">
        <f t="shared" si="20"/>
        <v>109</v>
      </c>
      <c r="B6746" s="59" t="str">
        <f t="shared" si="21"/>
        <v/>
      </c>
      <c r="C6746" s="59" t="str">
        <f t="shared" si="22"/>
        <v/>
      </c>
      <c r="D6746" s="45" t="str">
        <f t="shared" si="23"/>
        <v/>
      </c>
      <c r="E6746" s="45" t="str">
        <f t="shared" si="24"/>
        <v/>
      </c>
      <c r="F6746" s="59" t="str">
        <f t="shared" si="25"/>
        <v/>
      </c>
      <c r="G6746" s="59" t="str">
        <f t="shared" si="26"/>
        <v/>
      </c>
      <c r="H6746" s="59" t="str">
        <f t="shared" si="27"/>
        <v>28H00354</v>
      </c>
      <c r="I6746" s="59" t="str">
        <f>IF(OR($A6746="",$C6746="",$D6746="",$E6746="",$H6746=""),"",SUMIFS(DATA_GOC!$H:$H,DATA_GOC!$A:$A,"BOM",DATA_GOC!$D:$D,$H6746,DATA_GOC!$E:$E,$C6746,DATA_GOC!$F:$F,"Xuất nội bộ từ téc",DATA_GOC!$B:$B,"&gt;="&amp;$D6746,DATA_GOC!$B:$B,"&lt;="&amp;$E6746))</f>
        <v/>
      </c>
      <c r="J6746" s="59">
        <f t="shared" si="28"/>
        <v>0</v>
      </c>
      <c r="K6746" s="59">
        <f t="shared" si="29"/>
        <v>0</v>
      </c>
      <c r="L6746" s="59">
        <f t="shared" si="30"/>
        <v>0</v>
      </c>
      <c r="M6746" s="59">
        <f t="shared" si="31"/>
        <v>0</v>
      </c>
    </row>
    <row r="6747" ht="15.0" hidden="1" customHeight="1">
      <c r="A6747" s="59">
        <f t="shared" si="20"/>
        <v>109</v>
      </c>
      <c r="B6747" s="59" t="str">
        <f t="shared" si="21"/>
        <v/>
      </c>
      <c r="C6747" s="59" t="str">
        <f t="shared" si="22"/>
        <v/>
      </c>
      <c r="D6747" s="45" t="str">
        <f t="shared" si="23"/>
        <v/>
      </c>
      <c r="E6747" s="45" t="str">
        <f t="shared" si="24"/>
        <v/>
      </c>
      <c r="F6747" s="59" t="str">
        <f t="shared" si="25"/>
        <v/>
      </c>
      <c r="G6747" s="59" t="str">
        <f t="shared" si="26"/>
        <v/>
      </c>
      <c r="H6747" s="59" t="str">
        <f t="shared" si="27"/>
        <v>28H00603</v>
      </c>
      <c r="I6747" s="59" t="str">
        <f>IF(OR($A6747="",$C6747="",$D6747="",$E6747="",$H6747=""),"",SUMIFS(DATA_GOC!$H:$H,DATA_GOC!$A:$A,"BOM",DATA_GOC!$D:$D,$H6747,DATA_GOC!$E:$E,$C6747,DATA_GOC!$F:$F,"Xuất nội bộ từ téc",DATA_GOC!$B:$B,"&gt;="&amp;$D6747,DATA_GOC!$B:$B,"&lt;="&amp;$E6747))</f>
        <v/>
      </c>
      <c r="J6747" s="59">
        <f t="shared" si="28"/>
        <v>0</v>
      </c>
      <c r="K6747" s="59">
        <f t="shared" si="29"/>
        <v>0</v>
      </c>
      <c r="L6747" s="59">
        <f t="shared" si="30"/>
        <v>0</v>
      </c>
      <c r="M6747" s="59">
        <f t="shared" si="31"/>
        <v>0</v>
      </c>
    </row>
    <row r="6748" ht="15.0" hidden="1" customHeight="1">
      <c r="A6748" s="59">
        <f t="shared" si="20"/>
        <v>109</v>
      </c>
      <c r="B6748" s="59" t="str">
        <f t="shared" si="21"/>
        <v/>
      </c>
      <c r="C6748" s="59" t="str">
        <f t="shared" si="22"/>
        <v/>
      </c>
      <c r="D6748" s="45" t="str">
        <f t="shared" si="23"/>
        <v/>
      </c>
      <c r="E6748" s="45" t="str">
        <f t="shared" si="24"/>
        <v/>
      </c>
      <c r="F6748" s="59" t="str">
        <f t="shared" si="25"/>
        <v/>
      </c>
      <c r="G6748" s="59" t="str">
        <f t="shared" si="26"/>
        <v/>
      </c>
      <c r="H6748" s="59" t="str">
        <f t="shared" si="27"/>
        <v>28H00609</v>
      </c>
      <c r="I6748" s="59" t="str">
        <f>IF(OR($A6748="",$C6748="",$D6748="",$E6748="",$H6748=""),"",SUMIFS(DATA_GOC!$H:$H,DATA_GOC!$A:$A,"BOM",DATA_GOC!$D:$D,$H6748,DATA_GOC!$E:$E,$C6748,DATA_GOC!$F:$F,"Xuất nội bộ từ téc",DATA_GOC!$B:$B,"&gt;="&amp;$D6748,DATA_GOC!$B:$B,"&lt;="&amp;$E6748))</f>
        <v/>
      </c>
      <c r="J6748" s="59">
        <f t="shared" si="28"/>
        <v>0</v>
      </c>
      <c r="K6748" s="59">
        <f t="shared" si="29"/>
        <v>0</v>
      </c>
      <c r="L6748" s="59">
        <f t="shared" si="30"/>
        <v>0</v>
      </c>
      <c r="M6748" s="59">
        <f t="shared" si="31"/>
        <v>0</v>
      </c>
    </row>
    <row r="6749" ht="15.0" hidden="1" customHeight="1">
      <c r="A6749" s="59">
        <f t="shared" si="20"/>
        <v>109</v>
      </c>
      <c r="B6749" s="59" t="str">
        <f t="shared" si="21"/>
        <v/>
      </c>
      <c r="C6749" s="59" t="str">
        <f t="shared" si="22"/>
        <v/>
      </c>
      <c r="D6749" s="45" t="str">
        <f t="shared" si="23"/>
        <v/>
      </c>
      <c r="E6749" s="45" t="str">
        <f t="shared" si="24"/>
        <v/>
      </c>
      <c r="F6749" s="59" t="str">
        <f t="shared" si="25"/>
        <v/>
      </c>
      <c r="G6749" s="59" t="str">
        <f t="shared" si="26"/>
        <v/>
      </c>
      <c r="H6749" s="59" t="str">
        <f t="shared" si="27"/>
        <v>28H00669</v>
      </c>
      <c r="I6749" s="59" t="str">
        <f>IF(OR($A6749="",$C6749="",$D6749="",$E6749="",$H6749=""),"",SUMIFS(DATA_GOC!$H:$H,DATA_GOC!$A:$A,"BOM",DATA_GOC!$D:$D,$H6749,DATA_GOC!$E:$E,$C6749,DATA_GOC!$F:$F,"Xuất nội bộ từ téc",DATA_GOC!$B:$B,"&gt;="&amp;$D6749,DATA_GOC!$B:$B,"&lt;="&amp;$E6749))</f>
        <v/>
      </c>
      <c r="J6749" s="59">
        <f t="shared" si="28"/>
        <v>0</v>
      </c>
      <c r="K6749" s="59">
        <f t="shared" si="29"/>
        <v>0</v>
      </c>
      <c r="L6749" s="59">
        <f t="shared" si="30"/>
        <v>0</v>
      </c>
      <c r="M6749" s="59">
        <f t="shared" si="31"/>
        <v>0</v>
      </c>
    </row>
    <row r="6750" ht="15.0" hidden="1" customHeight="1">
      <c r="A6750" s="59">
        <f t="shared" si="20"/>
        <v>109</v>
      </c>
      <c r="B6750" s="59" t="str">
        <f t="shared" si="21"/>
        <v/>
      </c>
      <c r="C6750" s="59" t="str">
        <f t="shared" si="22"/>
        <v/>
      </c>
      <c r="D6750" s="45" t="str">
        <f t="shared" si="23"/>
        <v/>
      </c>
      <c r="E6750" s="45" t="str">
        <f t="shared" si="24"/>
        <v/>
      </c>
      <c r="F6750" s="59" t="str">
        <f t="shared" si="25"/>
        <v/>
      </c>
      <c r="G6750" s="59" t="str">
        <f t="shared" si="26"/>
        <v/>
      </c>
      <c r="H6750" s="59" t="str">
        <f t="shared" si="27"/>
        <v>28H00680</v>
      </c>
      <c r="I6750" s="59" t="str">
        <f>IF(OR($A6750="",$C6750="",$D6750="",$E6750="",$H6750=""),"",SUMIFS(DATA_GOC!$H:$H,DATA_GOC!$A:$A,"BOM",DATA_GOC!$D:$D,$H6750,DATA_GOC!$E:$E,$C6750,DATA_GOC!$F:$F,"Xuất nội bộ từ téc",DATA_GOC!$B:$B,"&gt;="&amp;$D6750,DATA_GOC!$B:$B,"&lt;="&amp;$E6750))</f>
        <v/>
      </c>
      <c r="J6750" s="59">
        <f t="shared" si="28"/>
        <v>0</v>
      </c>
      <c r="K6750" s="59">
        <f t="shared" si="29"/>
        <v>0</v>
      </c>
      <c r="L6750" s="59">
        <f t="shared" si="30"/>
        <v>0</v>
      </c>
      <c r="M6750" s="59">
        <f t="shared" si="31"/>
        <v>0</v>
      </c>
    </row>
    <row r="6751" ht="15.0" hidden="1" customHeight="1">
      <c r="A6751" s="59">
        <f t="shared" si="20"/>
        <v>109</v>
      </c>
      <c r="B6751" s="59" t="str">
        <f t="shared" si="21"/>
        <v/>
      </c>
      <c r="C6751" s="59" t="str">
        <f t="shared" si="22"/>
        <v/>
      </c>
      <c r="D6751" s="45" t="str">
        <f t="shared" si="23"/>
        <v/>
      </c>
      <c r="E6751" s="45" t="str">
        <f t="shared" si="24"/>
        <v/>
      </c>
      <c r="F6751" s="59" t="str">
        <f t="shared" si="25"/>
        <v/>
      </c>
      <c r="G6751" s="59" t="str">
        <f t="shared" si="26"/>
        <v/>
      </c>
      <c r="H6751" s="59" t="str">
        <f t="shared" si="27"/>
        <v>28H01070</v>
      </c>
      <c r="I6751" s="59" t="str">
        <f>IF(OR($A6751="",$C6751="",$D6751="",$E6751="",$H6751=""),"",SUMIFS(DATA_GOC!$H:$H,DATA_GOC!$A:$A,"BOM",DATA_GOC!$D:$D,$H6751,DATA_GOC!$E:$E,$C6751,DATA_GOC!$F:$F,"Xuất nội bộ từ téc",DATA_GOC!$B:$B,"&gt;="&amp;$D6751,DATA_GOC!$B:$B,"&lt;="&amp;$E6751))</f>
        <v/>
      </c>
      <c r="J6751" s="59">
        <f t="shared" si="28"/>
        <v>0</v>
      </c>
      <c r="K6751" s="59">
        <f t="shared" si="29"/>
        <v>0</v>
      </c>
      <c r="L6751" s="59">
        <f t="shared" si="30"/>
        <v>0</v>
      </c>
      <c r="M6751" s="59">
        <f t="shared" si="31"/>
        <v>0</v>
      </c>
    </row>
    <row r="6752" ht="15.0" hidden="1" customHeight="1">
      <c r="A6752" s="59">
        <f t="shared" si="20"/>
        <v>109</v>
      </c>
      <c r="B6752" s="59" t="str">
        <f t="shared" si="21"/>
        <v/>
      </c>
      <c r="C6752" s="59" t="str">
        <f t="shared" si="22"/>
        <v/>
      </c>
      <c r="D6752" s="45" t="str">
        <f t="shared" si="23"/>
        <v/>
      </c>
      <c r="E6752" s="45" t="str">
        <f t="shared" si="24"/>
        <v/>
      </c>
      <c r="F6752" s="59" t="str">
        <f t="shared" si="25"/>
        <v/>
      </c>
      <c r="G6752" s="59" t="str">
        <f t="shared" si="26"/>
        <v/>
      </c>
      <c r="H6752" s="59" t="str">
        <f t="shared" si="27"/>
        <v>28H01364</v>
      </c>
      <c r="I6752" s="59" t="str">
        <f>IF(OR($A6752="",$C6752="",$D6752="",$E6752="",$H6752=""),"",SUMIFS(DATA_GOC!$H:$H,DATA_GOC!$A:$A,"BOM",DATA_GOC!$D:$D,$H6752,DATA_GOC!$E:$E,$C6752,DATA_GOC!$F:$F,"Xuất nội bộ từ téc",DATA_GOC!$B:$B,"&gt;="&amp;$D6752,DATA_GOC!$B:$B,"&lt;="&amp;$E6752))</f>
        <v/>
      </c>
      <c r="J6752" s="59">
        <f t="shared" si="28"/>
        <v>0</v>
      </c>
      <c r="K6752" s="59">
        <f t="shared" si="29"/>
        <v>0</v>
      </c>
      <c r="L6752" s="59">
        <f t="shared" si="30"/>
        <v>0</v>
      </c>
      <c r="M6752" s="59">
        <f t="shared" si="31"/>
        <v>0</v>
      </c>
    </row>
    <row r="6753" ht="15.0" hidden="1" customHeight="1">
      <c r="A6753" s="59">
        <f t="shared" si="20"/>
        <v>109</v>
      </c>
      <c r="B6753" s="59" t="str">
        <f t="shared" si="21"/>
        <v/>
      </c>
      <c r="C6753" s="59" t="str">
        <f t="shared" si="22"/>
        <v/>
      </c>
      <c r="D6753" s="45" t="str">
        <f t="shared" si="23"/>
        <v/>
      </c>
      <c r="E6753" s="45" t="str">
        <f t="shared" si="24"/>
        <v/>
      </c>
      <c r="F6753" s="59" t="str">
        <f t="shared" si="25"/>
        <v/>
      </c>
      <c r="G6753" s="59" t="str">
        <f t="shared" si="26"/>
        <v/>
      </c>
      <c r="H6753" s="59" t="str">
        <f t="shared" si="27"/>
        <v>29E17269</v>
      </c>
      <c r="I6753" s="59" t="str">
        <f>IF(OR($A6753="",$C6753="",$D6753="",$E6753="",$H6753=""),"",SUMIFS(DATA_GOC!$H:$H,DATA_GOC!$A:$A,"BOM",DATA_GOC!$D:$D,$H6753,DATA_GOC!$E:$E,$C6753,DATA_GOC!$F:$F,"Xuất nội bộ từ téc",DATA_GOC!$B:$B,"&gt;="&amp;$D6753,DATA_GOC!$B:$B,"&lt;="&amp;$E6753))</f>
        <v/>
      </c>
      <c r="J6753" s="59">
        <f t="shared" si="28"/>
        <v>0</v>
      </c>
      <c r="K6753" s="59">
        <f t="shared" si="29"/>
        <v>0</v>
      </c>
      <c r="L6753" s="59">
        <f t="shared" si="30"/>
        <v>0</v>
      </c>
      <c r="M6753" s="59">
        <f t="shared" si="31"/>
        <v>0</v>
      </c>
    </row>
    <row r="6754" ht="15.0" hidden="1" customHeight="1">
      <c r="A6754" s="59">
        <f t="shared" si="20"/>
        <v>109</v>
      </c>
      <c r="B6754" s="59" t="str">
        <f t="shared" si="21"/>
        <v/>
      </c>
      <c r="C6754" s="59" t="str">
        <f t="shared" si="22"/>
        <v/>
      </c>
      <c r="D6754" s="45" t="str">
        <f t="shared" si="23"/>
        <v/>
      </c>
      <c r="E6754" s="45" t="str">
        <f t="shared" si="24"/>
        <v/>
      </c>
      <c r="F6754" s="59" t="str">
        <f t="shared" si="25"/>
        <v/>
      </c>
      <c r="G6754" s="59" t="str">
        <f t="shared" si="26"/>
        <v/>
      </c>
      <c r="H6754" s="59" t="str">
        <f t="shared" si="27"/>
        <v>29E17273</v>
      </c>
      <c r="I6754" s="59" t="str">
        <f>IF(OR($A6754="",$C6754="",$D6754="",$E6754="",$H6754=""),"",SUMIFS(DATA_GOC!$H:$H,DATA_GOC!$A:$A,"BOM",DATA_GOC!$D:$D,$H6754,DATA_GOC!$E:$E,$C6754,DATA_GOC!$F:$F,"Xuất nội bộ từ téc",DATA_GOC!$B:$B,"&gt;="&amp;$D6754,DATA_GOC!$B:$B,"&lt;="&amp;$E6754))</f>
        <v/>
      </c>
      <c r="J6754" s="59">
        <f t="shared" si="28"/>
        <v>0</v>
      </c>
      <c r="K6754" s="59">
        <f t="shared" si="29"/>
        <v>0</v>
      </c>
      <c r="L6754" s="59">
        <f t="shared" si="30"/>
        <v>0</v>
      </c>
      <c r="M6754" s="59">
        <f t="shared" si="31"/>
        <v>0</v>
      </c>
    </row>
    <row r="6755" ht="15.0" hidden="1" customHeight="1">
      <c r="A6755" s="59">
        <f t="shared" si="20"/>
        <v>109</v>
      </c>
      <c r="B6755" s="59" t="str">
        <f t="shared" si="21"/>
        <v/>
      </c>
      <c r="C6755" s="59" t="str">
        <f t="shared" si="22"/>
        <v/>
      </c>
      <c r="D6755" s="45" t="str">
        <f t="shared" si="23"/>
        <v/>
      </c>
      <c r="E6755" s="45" t="str">
        <f t="shared" si="24"/>
        <v/>
      </c>
      <c r="F6755" s="59" t="str">
        <f t="shared" si="25"/>
        <v/>
      </c>
      <c r="G6755" s="59" t="str">
        <f t="shared" si="26"/>
        <v/>
      </c>
      <c r="H6755" s="59" t="str">
        <f t="shared" si="27"/>
        <v>29E17410</v>
      </c>
      <c r="I6755" s="59" t="str">
        <f>IF(OR($A6755="",$C6755="",$D6755="",$E6755="",$H6755=""),"",SUMIFS(DATA_GOC!$H:$H,DATA_GOC!$A:$A,"BOM",DATA_GOC!$D:$D,$H6755,DATA_GOC!$E:$E,$C6755,DATA_GOC!$F:$F,"Xuất nội bộ từ téc",DATA_GOC!$B:$B,"&gt;="&amp;$D6755,DATA_GOC!$B:$B,"&lt;="&amp;$E6755))</f>
        <v/>
      </c>
      <c r="J6755" s="59">
        <f t="shared" si="28"/>
        <v>0</v>
      </c>
      <c r="K6755" s="59">
        <f t="shared" si="29"/>
        <v>0</v>
      </c>
      <c r="L6755" s="59">
        <f t="shared" si="30"/>
        <v>0</v>
      </c>
      <c r="M6755" s="59">
        <f t="shared" si="31"/>
        <v>0</v>
      </c>
    </row>
    <row r="6756" ht="15.0" hidden="1" customHeight="1">
      <c r="A6756" s="59">
        <f t="shared" si="20"/>
        <v>109</v>
      </c>
      <c r="B6756" s="59" t="str">
        <f t="shared" si="21"/>
        <v/>
      </c>
      <c r="C6756" s="59" t="str">
        <f t="shared" si="22"/>
        <v/>
      </c>
      <c r="D6756" s="45" t="str">
        <f t="shared" si="23"/>
        <v/>
      </c>
      <c r="E6756" s="45" t="str">
        <f t="shared" si="24"/>
        <v/>
      </c>
      <c r="F6756" s="59" t="str">
        <f t="shared" si="25"/>
        <v/>
      </c>
      <c r="G6756" s="59" t="str">
        <f t="shared" si="26"/>
        <v/>
      </c>
      <c r="H6756" s="59" t="str">
        <f t="shared" si="27"/>
        <v>29E17417</v>
      </c>
      <c r="I6756" s="59" t="str">
        <f>IF(OR($A6756="",$C6756="",$D6756="",$E6756="",$H6756=""),"",SUMIFS(DATA_GOC!$H:$H,DATA_GOC!$A:$A,"BOM",DATA_GOC!$D:$D,$H6756,DATA_GOC!$E:$E,$C6756,DATA_GOC!$F:$F,"Xuất nội bộ từ téc",DATA_GOC!$B:$B,"&gt;="&amp;$D6756,DATA_GOC!$B:$B,"&lt;="&amp;$E6756))</f>
        <v/>
      </c>
      <c r="J6756" s="59">
        <f t="shared" si="28"/>
        <v>0</v>
      </c>
      <c r="K6756" s="59">
        <f t="shared" si="29"/>
        <v>0</v>
      </c>
      <c r="L6756" s="59">
        <f t="shared" si="30"/>
        <v>0</v>
      </c>
      <c r="M6756" s="59">
        <f t="shared" si="31"/>
        <v>0</v>
      </c>
    </row>
    <row r="6757" ht="15.0" hidden="1" customHeight="1">
      <c r="A6757" s="59">
        <f t="shared" si="20"/>
        <v>109</v>
      </c>
      <c r="B6757" s="59" t="str">
        <f t="shared" si="21"/>
        <v/>
      </c>
      <c r="C6757" s="59" t="str">
        <f t="shared" si="22"/>
        <v/>
      </c>
      <c r="D6757" s="45" t="str">
        <f t="shared" si="23"/>
        <v/>
      </c>
      <c r="E6757" s="45" t="str">
        <f t="shared" si="24"/>
        <v/>
      </c>
      <c r="F6757" s="59" t="str">
        <f t="shared" si="25"/>
        <v/>
      </c>
      <c r="G6757" s="59" t="str">
        <f t="shared" si="26"/>
        <v/>
      </c>
      <c r="H6757" s="59" t="str">
        <f t="shared" si="27"/>
        <v>29E17539</v>
      </c>
      <c r="I6757" s="59" t="str">
        <f>IF(OR($A6757="",$C6757="",$D6757="",$E6757="",$H6757=""),"",SUMIFS(DATA_GOC!$H:$H,DATA_GOC!$A:$A,"BOM",DATA_GOC!$D:$D,$H6757,DATA_GOC!$E:$E,$C6757,DATA_GOC!$F:$F,"Xuất nội bộ từ téc",DATA_GOC!$B:$B,"&gt;="&amp;$D6757,DATA_GOC!$B:$B,"&lt;="&amp;$E6757))</f>
        <v/>
      </c>
      <c r="J6757" s="59">
        <f t="shared" si="28"/>
        <v>0</v>
      </c>
      <c r="K6757" s="59">
        <f t="shared" si="29"/>
        <v>0</v>
      </c>
      <c r="L6757" s="59">
        <f t="shared" si="30"/>
        <v>0</v>
      </c>
      <c r="M6757" s="59">
        <f t="shared" si="31"/>
        <v>0</v>
      </c>
    </row>
    <row r="6758" ht="15.0" hidden="1" customHeight="1">
      <c r="A6758" s="59">
        <f t="shared" si="20"/>
        <v>109</v>
      </c>
      <c r="B6758" s="59" t="str">
        <f t="shared" si="21"/>
        <v/>
      </c>
      <c r="C6758" s="59" t="str">
        <f t="shared" si="22"/>
        <v/>
      </c>
      <c r="D6758" s="45" t="str">
        <f t="shared" si="23"/>
        <v/>
      </c>
      <c r="E6758" s="45" t="str">
        <f t="shared" si="24"/>
        <v/>
      </c>
      <c r="F6758" s="59" t="str">
        <f t="shared" si="25"/>
        <v/>
      </c>
      <c r="G6758" s="59" t="str">
        <f t="shared" si="26"/>
        <v/>
      </c>
      <c r="H6758" s="59" t="str">
        <f t="shared" si="27"/>
        <v>29E18160</v>
      </c>
      <c r="I6758" s="59" t="str">
        <f>IF(OR($A6758="",$C6758="",$D6758="",$E6758="",$H6758=""),"",SUMIFS(DATA_GOC!$H:$H,DATA_GOC!$A:$A,"BOM",DATA_GOC!$D:$D,$H6758,DATA_GOC!$E:$E,$C6758,DATA_GOC!$F:$F,"Xuất nội bộ từ téc",DATA_GOC!$B:$B,"&gt;="&amp;$D6758,DATA_GOC!$B:$B,"&lt;="&amp;$E6758))</f>
        <v/>
      </c>
      <c r="J6758" s="59">
        <f t="shared" si="28"/>
        <v>0</v>
      </c>
      <c r="K6758" s="59">
        <f t="shared" si="29"/>
        <v>0</v>
      </c>
      <c r="L6758" s="59">
        <f t="shared" si="30"/>
        <v>0</v>
      </c>
      <c r="M6758" s="59">
        <f t="shared" si="31"/>
        <v>0</v>
      </c>
    </row>
    <row r="6759" ht="15.0" hidden="1" customHeight="1">
      <c r="A6759" s="59">
        <f t="shared" si="20"/>
        <v>109</v>
      </c>
      <c r="B6759" s="59" t="str">
        <f t="shared" si="21"/>
        <v/>
      </c>
      <c r="C6759" s="59" t="str">
        <f t="shared" si="22"/>
        <v/>
      </c>
      <c r="D6759" s="45" t="str">
        <f t="shared" si="23"/>
        <v/>
      </c>
      <c r="E6759" s="45" t="str">
        <f t="shared" si="24"/>
        <v/>
      </c>
      <c r="F6759" s="59" t="str">
        <f t="shared" si="25"/>
        <v/>
      </c>
      <c r="G6759" s="59" t="str">
        <f t="shared" si="26"/>
        <v/>
      </c>
      <c r="H6759" s="59" t="str">
        <f t="shared" si="27"/>
        <v>Công trình Asphalt</v>
      </c>
      <c r="I6759" s="59" t="str">
        <f>IF(OR($A6759="",$C6759="",$D6759="",$E6759="",$H6759=""),"",SUMIFS(DATA_GOC!$H:$H,DATA_GOC!$A:$A,"BOM",DATA_GOC!$D:$D,$H6759,DATA_GOC!$E:$E,$C6759,DATA_GOC!$F:$F,"Xuất nội bộ từ téc",DATA_GOC!$B:$B,"&gt;="&amp;$D6759,DATA_GOC!$B:$B,"&lt;="&amp;$E6759))</f>
        <v/>
      </c>
      <c r="J6759" s="59">
        <f t="shared" si="28"/>
        <v>0</v>
      </c>
      <c r="K6759" s="59">
        <f t="shared" si="29"/>
        <v>0</v>
      </c>
      <c r="L6759" s="59">
        <f t="shared" si="30"/>
        <v>0</v>
      </c>
      <c r="M6759" s="59">
        <f t="shared" si="31"/>
        <v>0</v>
      </c>
    </row>
    <row r="6760" ht="15.0" hidden="1" customHeight="1">
      <c r="A6760" s="59">
        <f t="shared" si="20"/>
        <v>109</v>
      </c>
      <c r="B6760" s="59" t="str">
        <f t="shared" si="21"/>
        <v/>
      </c>
      <c r="C6760" s="59" t="str">
        <f t="shared" si="22"/>
        <v/>
      </c>
      <c r="D6760" s="45" t="str">
        <f t="shared" si="23"/>
        <v/>
      </c>
      <c r="E6760" s="45" t="str">
        <f t="shared" si="24"/>
        <v/>
      </c>
      <c r="F6760" s="59" t="str">
        <f t="shared" si="25"/>
        <v/>
      </c>
      <c r="G6760" s="59" t="str">
        <f t="shared" si="26"/>
        <v/>
      </c>
      <c r="H6760" s="59" t="str">
        <f t="shared" si="27"/>
        <v>LG53F</v>
      </c>
      <c r="I6760" s="59" t="str">
        <f>IF(OR($A6760="",$C6760="",$D6760="",$E6760="",$H6760=""),"",SUMIFS(DATA_GOC!$H:$H,DATA_GOC!$A:$A,"BOM",DATA_GOC!$D:$D,$H6760,DATA_GOC!$E:$E,$C6760,DATA_GOC!$F:$F,"Xuất nội bộ từ téc",DATA_GOC!$B:$B,"&gt;="&amp;$D6760,DATA_GOC!$B:$B,"&lt;="&amp;$E6760))</f>
        <v/>
      </c>
      <c r="J6760" s="59">
        <f t="shared" si="28"/>
        <v>0</v>
      </c>
      <c r="K6760" s="59">
        <f t="shared" si="29"/>
        <v>0</v>
      </c>
      <c r="L6760" s="59">
        <f t="shared" si="30"/>
        <v>0</v>
      </c>
      <c r="M6760" s="59">
        <f t="shared" si="31"/>
        <v>0</v>
      </c>
    </row>
    <row r="6761" ht="15.0" hidden="1" customHeight="1">
      <c r="A6761" s="59">
        <f t="shared" si="20"/>
        <v>109</v>
      </c>
      <c r="B6761" s="59" t="str">
        <f t="shared" si="21"/>
        <v/>
      </c>
      <c r="C6761" s="59" t="str">
        <f t="shared" si="22"/>
        <v/>
      </c>
      <c r="D6761" s="45" t="str">
        <f t="shared" si="23"/>
        <v/>
      </c>
      <c r="E6761" s="45" t="str">
        <f t="shared" si="24"/>
        <v/>
      </c>
      <c r="F6761" s="59" t="str">
        <f t="shared" si="25"/>
        <v/>
      </c>
      <c r="G6761" s="59" t="str">
        <f t="shared" si="26"/>
        <v/>
      </c>
      <c r="H6761" s="59" t="str">
        <f t="shared" si="27"/>
        <v>Máy phát điện</v>
      </c>
      <c r="I6761" s="59" t="str">
        <f>IF(OR($A6761="",$C6761="",$D6761="",$E6761="",$H6761=""),"",SUMIFS(DATA_GOC!$H:$H,DATA_GOC!$A:$A,"BOM",DATA_GOC!$D:$D,$H6761,DATA_GOC!$E:$E,$C6761,DATA_GOC!$F:$F,"Xuất nội bộ từ téc",DATA_GOC!$B:$B,"&gt;="&amp;$D6761,DATA_GOC!$B:$B,"&lt;="&amp;$E6761))</f>
        <v/>
      </c>
      <c r="J6761" s="59">
        <f t="shared" si="28"/>
        <v>0</v>
      </c>
      <c r="K6761" s="59">
        <f t="shared" si="29"/>
        <v>0</v>
      </c>
      <c r="L6761" s="59">
        <f t="shared" si="30"/>
        <v>0</v>
      </c>
      <c r="M6761" s="59">
        <f t="shared" si="31"/>
        <v>0</v>
      </c>
    </row>
    <row r="6762" ht="15.0" hidden="1" customHeight="1">
      <c r="A6762" s="59">
        <f t="shared" si="20"/>
        <v>109</v>
      </c>
      <c r="B6762" s="59" t="str">
        <f t="shared" si="21"/>
        <v/>
      </c>
      <c r="C6762" s="59" t="str">
        <f t="shared" si="22"/>
        <v/>
      </c>
      <c r="D6762" s="45" t="str">
        <f t="shared" si="23"/>
        <v/>
      </c>
      <c r="E6762" s="45" t="str">
        <f t="shared" si="24"/>
        <v/>
      </c>
      <c r="F6762" s="59" t="str">
        <f t="shared" si="25"/>
        <v/>
      </c>
      <c r="G6762" s="59" t="str">
        <f t="shared" si="26"/>
        <v/>
      </c>
      <c r="H6762" s="59" t="str">
        <f t="shared" si="27"/>
        <v>Máy rải thảm</v>
      </c>
      <c r="I6762" s="59" t="str">
        <f>IF(OR($A6762="",$C6762="",$D6762="",$E6762="",$H6762=""),"",SUMIFS(DATA_GOC!$H:$H,DATA_GOC!$A:$A,"BOM",DATA_GOC!$D:$D,$H6762,DATA_GOC!$E:$E,$C6762,DATA_GOC!$F:$F,"Xuất nội bộ từ téc",DATA_GOC!$B:$B,"&gt;="&amp;$D6762,DATA_GOC!$B:$B,"&lt;="&amp;$E6762))</f>
        <v/>
      </c>
      <c r="J6762" s="59">
        <f t="shared" si="28"/>
        <v>0</v>
      </c>
      <c r="K6762" s="59">
        <f t="shared" si="29"/>
        <v>0</v>
      </c>
      <c r="L6762" s="59">
        <f t="shared" si="30"/>
        <v>0</v>
      </c>
      <c r="M6762" s="59">
        <f t="shared" si="31"/>
        <v>0</v>
      </c>
    </row>
    <row r="6763" ht="15.0" hidden="1" customHeight="1">
      <c r="A6763" s="59">
        <f t="shared" si="20"/>
        <v>109</v>
      </c>
      <c r="B6763" s="59" t="str">
        <f t="shared" si="21"/>
        <v/>
      </c>
      <c r="C6763" s="59" t="str">
        <f t="shared" si="22"/>
        <v/>
      </c>
      <c r="D6763" s="45" t="str">
        <f t="shared" si="23"/>
        <v/>
      </c>
      <c r="E6763" s="45" t="str">
        <f t="shared" si="24"/>
        <v/>
      </c>
      <c r="F6763" s="59" t="str">
        <f t="shared" si="25"/>
        <v/>
      </c>
      <c r="G6763" s="59" t="str">
        <f t="shared" si="26"/>
        <v/>
      </c>
      <c r="H6763" s="59" t="str">
        <f t="shared" si="27"/>
        <v>Xúc Đào</v>
      </c>
      <c r="I6763" s="59" t="str">
        <f>IF(OR($A6763="",$C6763="",$D6763="",$E6763="",$H6763=""),"",SUMIFS(DATA_GOC!$H:$H,DATA_GOC!$A:$A,"BOM",DATA_GOC!$D:$D,$H6763,DATA_GOC!$E:$E,$C6763,DATA_GOC!$F:$F,"Xuất nội bộ từ téc",DATA_GOC!$B:$B,"&gt;="&amp;$D6763,DATA_GOC!$B:$B,"&lt;="&amp;$E6763))</f>
        <v/>
      </c>
      <c r="J6763" s="59">
        <f t="shared" si="28"/>
        <v>0</v>
      </c>
      <c r="K6763" s="59">
        <f t="shared" si="29"/>
        <v>0</v>
      </c>
      <c r="L6763" s="59">
        <f t="shared" si="30"/>
        <v>0</v>
      </c>
      <c r="M6763" s="59">
        <f t="shared" si="31"/>
        <v>0</v>
      </c>
    </row>
    <row r="6764" ht="15.0" hidden="1" customHeight="1">
      <c r="A6764" s="59">
        <f t="shared" si="20"/>
        <v>109</v>
      </c>
      <c r="B6764" s="59" t="str">
        <f t="shared" si="21"/>
        <v/>
      </c>
      <c r="C6764" s="59" t="str">
        <f t="shared" si="22"/>
        <v/>
      </c>
      <c r="D6764" s="45" t="str">
        <f t="shared" si="23"/>
        <v/>
      </c>
      <c r="E6764" s="45" t="str">
        <f t="shared" si="24"/>
        <v/>
      </c>
      <c r="F6764" s="59" t="str">
        <f t="shared" si="25"/>
        <v/>
      </c>
      <c r="G6764" s="59" t="str">
        <f t="shared" si="26"/>
        <v/>
      </c>
      <c r="H6764" s="59" t="str">
        <f t="shared" si="27"/>
        <v>Xúclật asphalt</v>
      </c>
      <c r="I6764" s="59" t="str">
        <f>IF(OR($A6764="",$C6764="",$D6764="",$E6764="",$H6764=""),"",SUMIFS(DATA_GOC!$H:$H,DATA_GOC!$A:$A,"BOM",DATA_GOC!$D:$D,$H6764,DATA_GOC!$E:$E,$C6764,DATA_GOC!$F:$F,"Xuất nội bộ từ téc",DATA_GOC!$B:$B,"&gt;="&amp;$D6764,DATA_GOC!$B:$B,"&lt;="&amp;$E6764))</f>
        <v/>
      </c>
      <c r="J6764" s="59">
        <f t="shared" si="28"/>
        <v>0</v>
      </c>
      <c r="K6764" s="59">
        <f t="shared" si="29"/>
        <v>0</v>
      </c>
      <c r="L6764" s="59">
        <f t="shared" si="30"/>
        <v>0</v>
      </c>
      <c r="M6764" s="59">
        <f t="shared" si="31"/>
        <v>0</v>
      </c>
    </row>
    <row r="6765" ht="15.0" hidden="1" customHeight="1">
      <c r="A6765" s="59">
        <f t="shared" si="20"/>
        <v>109</v>
      </c>
      <c r="B6765" s="59" t="str">
        <f t="shared" si="21"/>
        <v/>
      </c>
      <c r="C6765" s="59" t="str">
        <f t="shared" si="22"/>
        <v/>
      </c>
      <c r="D6765" s="45" t="str">
        <f t="shared" si="23"/>
        <v/>
      </c>
      <c r="E6765" s="45" t="str">
        <f t="shared" si="24"/>
        <v/>
      </c>
      <c r="F6765" s="59" t="str">
        <f t="shared" si="25"/>
        <v/>
      </c>
      <c r="G6765" s="59" t="str">
        <f t="shared" si="26"/>
        <v/>
      </c>
      <c r="H6765" s="59" t="str">
        <f t="shared" si="27"/>
        <v>Xúclật855H</v>
      </c>
      <c r="I6765" s="59" t="str">
        <f>IF(OR($A6765="",$C6765="",$D6765="",$E6765="",$H6765=""),"",SUMIFS(DATA_GOC!$H:$H,DATA_GOC!$A:$A,"BOM",DATA_GOC!$D:$D,$H6765,DATA_GOC!$E:$E,$C6765,DATA_GOC!$F:$F,"Xuất nội bộ từ téc",DATA_GOC!$B:$B,"&gt;="&amp;$D6765,DATA_GOC!$B:$B,"&lt;="&amp;$E6765))</f>
        <v/>
      </c>
      <c r="J6765" s="59">
        <f t="shared" si="28"/>
        <v>0</v>
      </c>
      <c r="K6765" s="59">
        <f t="shared" si="29"/>
        <v>0</v>
      </c>
      <c r="L6765" s="59">
        <f t="shared" si="30"/>
        <v>0</v>
      </c>
      <c r="M6765" s="59">
        <f t="shared" si="31"/>
        <v>0</v>
      </c>
    </row>
    <row r="6766" ht="15.0" hidden="1" customHeight="1">
      <c r="A6766" s="59">
        <f t="shared" si="20"/>
        <v>109</v>
      </c>
      <c r="B6766" s="59" t="str">
        <f t="shared" si="21"/>
        <v/>
      </c>
      <c r="C6766" s="59" t="str">
        <f t="shared" si="22"/>
        <v/>
      </c>
      <c r="D6766" s="45" t="str">
        <f t="shared" si="23"/>
        <v/>
      </c>
      <c r="E6766" s="45" t="str">
        <f t="shared" si="24"/>
        <v/>
      </c>
      <c r="F6766" s="59" t="str">
        <f t="shared" si="25"/>
        <v/>
      </c>
      <c r="G6766" s="59" t="str">
        <f t="shared" si="26"/>
        <v/>
      </c>
      <c r="H6766" s="59" t="str">
        <f t="shared" si="27"/>
        <v>Xúclật855N</v>
      </c>
      <c r="I6766" s="59" t="str">
        <f>IF(OR($A6766="",$C6766="",$D6766="",$E6766="",$H6766=""),"",SUMIFS(DATA_GOC!$H:$H,DATA_GOC!$A:$A,"BOM",DATA_GOC!$D:$D,$H6766,DATA_GOC!$E:$E,$C6766,DATA_GOC!$F:$F,"Xuất nội bộ từ téc",DATA_GOC!$B:$B,"&gt;="&amp;$D6766,DATA_GOC!$B:$B,"&lt;="&amp;$E6766))</f>
        <v/>
      </c>
      <c r="J6766" s="59">
        <f t="shared" si="28"/>
        <v>0</v>
      </c>
      <c r="K6766" s="59">
        <f t="shared" si="29"/>
        <v>0</v>
      </c>
      <c r="L6766" s="59">
        <f t="shared" si="30"/>
        <v>0</v>
      </c>
      <c r="M6766" s="59">
        <f t="shared" si="31"/>
        <v>0</v>
      </c>
    </row>
    <row r="6767" ht="15.0" hidden="1" customHeight="1">
      <c r="A6767" s="59">
        <f t="shared" si="20"/>
        <v>109</v>
      </c>
      <c r="B6767" s="59" t="str">
        <f t="shared" si="21"/>
        <v/>
      </c>
      <c r="C6767" s="59" t="str">
        <f t="shared" si="22"/>
        <v/>
      </c>
      <c r="D6767" s="45" t="str">
        <f t="shared" si="23"/>
        <v/>
      </c>
      <c r="E6767" s="45" t="str">
        <f t="shared" si="24"/>
        <v/>
      </c>
      <c r="F6767" s="59" t="str">
        <f t="shared" si="25"/>
        <v/>
      </c>
      <c r="G6767" s="59" t="str">
        <f t="shared" si="26"/>
        <v/>
      </c>
      <c r="H6767" s="59" t="str">
        <f t="shared" si="27"/>
        <v>Cát nghiền</v>
      </c>
      <c r="I6767" s="59" t="str">
        <f>IF(OR($A6767="",$C6767="",$D6767="",$E6767="",$H6767=""),"",SUMIFS(DATA_GOC!$H:$H,DATA_GOC!$A:$A,"BOM",DATA_GOC!$D:$D,$H6767,DATA_GOC!$E:$E,$C6767,DATA_GOC!$F:$F,"Xuất nội bộ từ téc",DATA_GOC!$B:$B,"&gt;="&amp;$D6767,DATA_GOC!$B:$B,"&lt;="&amp;$E6767))</f>
        <v/>
      </c>
      <c r="J6767" s="59">
        <f t="shared" si="28"/>
        <v>0</v>
      </c>
      <c r="K6767" s="59">
        <f t="shared" si="29"/>
        <v>0</v>
      </c>
      <c r="L6767" s="59">
        <f t="shared" si="30"/>
        <v>0</v>
      </c>
      <c r="M6767" s="59">
        <f t="shared" si="31"/>
        <v>0</v>
      </c>
    </row>
    <row r="6768" ht="15.0" hidden="1" customHeight="1">
      <c r="A6768" s="59">
        <f t="shared" si="20"/>
        <v>109</v>
      </c>
      <c r="B6768" s="59" t="str">
        <f t="shared" si="21"/>
        <v/>
      </c>
      <c r="C6768" s="59" t="str">
        <f t="shared" si="22"/>
        <v/>
      </c>
      <c r="D6768" s="45" t="str">
        <f t="shared" si="23"/>
        <v/>
      </c>
      <c r="E6768" s="45" t="str">
        <f t="shared" si="24"/>
        <v/>
      </c>
      <c r="F6768" s="59" t="str">
        <f t="shared" si="25"/>
        <v/>
      </c>
      <c r="G6768" s="59" t="str">
        <f t="shared" si="26"/>
        <v/>
      </c>
      <c r="H6768" s="59" t="str">
        <f t="shared" si="27"/>
        <v>28C02973</v>
      </c>
      <c r="I6768" s="59" t="str">
        <f>IF(OR($A6768="",$C6768="",$D6768="",$E6768="",$H6768=""),"",SUMIFS(DATA_GOC!$H:$H,DATA_GOC!$A:$A,"BOM",DATA_GOC!$D:$D,$H6768,DATA_GOC!$E:$E,$C6768,DATA_GOC!$F:$F,"Xuất nội bộ từ téc",DATA_GOC!$B:$B,"&gt;="&amp;$D6768,DATA_GOC!$B:$B,"&lt;="&amp;$E6768))</f>
        <v/>
      </c>
      <c r="J6768" s="59">
        <f t="shared" si="28"/>
        <v>0</v>
      </c>
      <c r="K6768" s="59">
        <f t="shared" si="29"/>
        <v>0</v>
      </c>
      <c r="L6768" s="59">
        <f t="shared" si="30"/>
        <v>0</v>
      </c>
      <c r="M6768" s="59">
        <f t="shared" si="31"/>
        <v>0</v>
      </c>
    </row>
    <row r="6769" ht="15.0" hidden="1" customHeight="1">
      <c r="A6769" s="59">
        <f t="shared" si="20"/>
        <v>109</v>
      </c>
      <c r="B6769" s="59" t="str">
        <f t="shared" si="21"/>
        <v/>
      </c>
      <c r="C6769" s="59" t="str">
        <f t="shared" si="22"/>
        <v/>
      </c>
      <c r="D6769" s="45" t="str">
        <f t="shared" si="23"/>
        <v/>
      </c>
      <c r="E6769" s="45" t="str">
        <f t="shared" si="24"/>
        <v/>
      </c>
      <c r="F6769" s="59" t="str">
        <f t="shared" si="25"/>
        <v/>
      </c>
      <c r="G6769" s="59" t="str">
        <f t="shared" si="26"/>
        <v/>
      </c>
      <c r="H6769" s="59" t="str">
        <f t="shared" si="27"/>
        <v>28C03044</v>
      </c>
      <c r="I6769" s="59" t="str">
        <f>IF(OR($A6769="",$C6769="",$D6769="",$E6769="",$H6769=""),"",SUMIFS(DATA_GOC!$H:$H,DATA_GOC!$A:$A,"BOM",DATA_GOC!$D:$D,$H6769,DATA_GOC!$E:$E,$C6769,DATA_GOC!$F:$F,"Xuất nội bộ từ téc",DATA_GOC!$B:$B,"&gt;="&amp;$D6769,DATA_GOC!$B:$B,"&lt;="&amp;$E6769))</f>
        <v/>
      </c>
      <c r="J6769" s="59">
        <f t="shared" si="28"/>
        <v>0</v>
      </c>
      <c r="K6769" s="59">
        <f t="shared" si="29"/>
        <v>0</v>
      </c>
      <c r="L6769" s="59">
        <f t="shared" si="30"/>
        <v>0</v>
      </c>
      <c r="M6769" s="59">
        <f t="shared" si="31"/>
        <v>0</v>
      </c>
    </row>
    <row r="6770" ht="15.0" hidden="1" customHeight="1">
      <c r="A6770" s="59">
        <f t="shared" si="20"/>
        <v>109</v>
      </c>
      <c r="B6770" s="59" t="str">
        <f t="shared" si="21"/>
        <v/>
      </c>
      <c r="C6770" s="59" t="str">
        <f t="shared" si="22"/>
        <v/>
      </c>
      <c r="D6770" s="45" t="str">
        <f t="shared" si="23"/>
        <v/>
      </c>
      <c r="E6770" s="45" t="str">
        <f t="shared" si="24"/>
        <v/>
      </c>
      <c r="F6770" s="59" t="str">
        <f t="shared" si="25"/>
        <v/>
      </c>
      <c r="G6770" s="59" t="str">
        <f t="shared" si="26"/>
        <v/>
      </c>
      <c r="H6770" s="59" t="str">
        <f t="shared" si="27"/>
        <v>Máy lu lốp</v>
      </c>
      <c r="I6770" s="59" t="str">
        <f>IF(OR($A6770="",$C6770="",$D6770="",$E6770="",$H6770=""),"",SUMIFS(DATA_GOC!$H:$H,DATA_GOC!$A:$A,"BOM",DATA_GOC!$D:$D,$H6770,DATA_GOC!$E:$E,$C6770,DATA_GOC!$F:$F,"Xuất nội bộ từ téc",DATA_GOC!$B:$B,"&gt;="&amp;$D6770,DATA_GOC!$B:$B,"&lt;="&amp;$E6770))</f>
        <v/>
      </c>
      <c r="J6770" s="59">
        <f t="shared" si="28"/>
        <v>0</v>
      </c>
      <c r="K6770" s="59">
        <f t="shared" si="29"/>
        <v>0</v>
      </c>
      <c r="L6770" s="59">
        <f t="shared" si="30"/>
        <v>0</v>
      </c>
      <c r="M6770" s="59">
        <f t="shared" si="31"/>
        <v>0</v>
      </c>
    </row>
    <row r="6771" ht="15.0" hidden="1" customHeight="1">
      <c r="A6771" s="59">
        <f t="shared" si="20"/>
        <v>109</v>
      </c>
      <c r="B6771" s="59" t="str">
        <f t="shared" si="21"/>
        <v/>
      </c>
      <c r="C6771" s="59" t="str">
        <f t="shared" si="22"/>
        <v/>
      </c>
      <c r="D6771" s="45" t="str">
        <f t="shared" si="23"/>
        <v/>
      </c>
      <c r="E6771" s="45" t="str">
        <f t="shared" si="24"/>
        <v/>
      </c>
      <c r="F6771" s="59" t="str">
        <f t="shared" si="25"/>
        <v/>
      </c>
      <c r="G6771" s="59" t="str">
        <f t="shared" si="26"/>
        <v/>
      </c>
      <c r="H6771" s="59" t="str">
        <f t="shared" si="27"/>
        <v>Xe 600148</v>
      </c>
      <c r="I6771" s="59" t="str">
        <f>IF(OR($A6771="",$C6771="",$D6771="",$E6771="",$H6771=""),"",SUMIFS(DATA_GOC!$H:$H,DATA_GOC!$A:$A,"BOM",DATA_GOC!$D:$D,$H6771,DATA_GOC!$E:$E,$C6771,DATA_GOC!$F:$F,"Xuất nội bộ từ téc",DATA_GOC!$B:$B,"&gt;="&amp;$D6771,DATA_GOC!$B:$B,"&lt;="&amp;$E6771))</f>
        <v/>
      </c>
      <c r="J6771" s="59">
        <f t="shared" si="28"/>
        <v>0</v>
      </c>
      <c r="K6771" s="59">
        <f t="shared" si="29"/>
        <v>0</v>
      </c>
      <c r="L6771" s="59">
        <f t="shared" si="30"/>
        <v>0</v>
      </c>
      <c r="M6771" s="59">
        <f t="shared" si="31"/>
        <v>0</v>
      </c>
    </row>
    <row r="6772" ht="15.0" hidden="1" customHeight="1">
      <c r="A6772" s="59">
        <f t="shared" si="20"/>
        <v>109</v>
      </c>
      <c r="B6772" s="59" t="str">
        <f t="shared" si="21"/>
        <v/>
      </c>
      <c r="C6772" s="59" t="str">
        <f t="shared" si="22"/>
        <v/>
      </c>
      <c r="D6772" s="45" t="str">
        <f t="shared" si="23"/>
        <v/>
      </c>
      <c r="E6772" s="45" t="str">
        <f t="shared" si="24"/>
        <v/>
      </c>
      <c r="F6772" s="59" t="str">
        <f t="shared" si="25"/>
        <v/>
      </c>
      <c r="G6772" s="59" t="str">
        <f t="shared" si="26"/>
        <v/>
      </c>
      <c r="H6772" s="59" t="str">
        <f t="shared" si="27"/>
        <v>Xe ben mới</v>
      </c>
      <c r="I6772" s="59" t="str">
        <f>IF(OR($A6772="",$C6772="",$D6772="",$E6772="",$H6772=""),"",SUMIFS(DATA_GOC!$H:$H,DATA_GOC!$A:$A,"BOM",DATA_GOC!$D:$D,$H6772,DATA_GOC!$E:$E,$C6772,DATA_GOC!$F:$F,"Xuất nội bộ từ téc",DATA_GOC!$B:$B,"&gt;="&amp;$D6772,DATA_GOC!$B:$B,"&lt;="&amp;$E6772))</f>
        <v/>
      </c>
      <c r="J6772" s="59">
        <f t="shared" si="28"/>
        <v>0</v>
      </c>
      <c r="K6772" s="59">
        <f t="shared" si="29"/>
        <v>0</v>
      </c>
      <c r="L6772" s="59">
        <f t="shared" si="30"/>
        <v>0</v>
      </c>
      <c r="M6772" s="59">
        <f t="shared" si="31"/>
        <v>0</v>
      </c>
    </row>
    <row r="6773" ht="15.0" hidden="1" customHeight="1">
      <c r="A6773" s="59">
        <f t="shared" si="20"/>
        <v>110</v>
      </c>
      <c r="B6773" s="59" t="str">
        <f t="shared" si="21"/>
        <v/>
      </c>
      <c r="C6773" s="59" t="str">
        <f t="shared" si="22"/>
        <v/>
      </c>
      <c r="D6773" s="45" t="str">
        <f t="shared" si="23"/>
        <v/>
      </c>
      <c r="E6773" s="45" t="str">
        <f t="shared" si="24"/>
        <v/>
      </c>
      <c r="F6773" s="59" t="str">
        <f t="shared" si="25"/>
        <v/>
      </c>
      <c r="G6773" s="59" t="str">
        <f t="shared" si="26"/>
        <v/>
      </c>
      <c r="H6773" s="59" t="str">
        <f t="shared" si="27"/>
        <v>19H09482</v>
      </c>
      <c r="I6773" s="59" t="str">
        <f>IF(OR($A6773="",$C6773="",$D6773="",$E6773="",$H6773=""),"",SUMIFS(DATA_GOC!$H:$H,DATA_GOC!$A:$A,"BOM",DATA_GOC!$D:$D,$H6773,DATA_GOC!$E:$E,$C6773,DATA_GOC!$F:$F,"Xuất nội bộ từ téc",DATA_GOC!$B:$B,"&gt;="&amp;$D6773,DATA_GOC!$B:$B,"&lt;="&amp;$E6773))</f>
        <v/>
      </c>
      <c r="J6773" s="59">
        <f t="shared" si="28"/>
        <v>0</v>
      </c>
      <c r="K6773" s="59">
        <f t="shared" si="29"/>
        <v>0</v>
      </c>
      <c r="L6773" s="59">
        <f t="shared" si="30"/>
        <v>0</v>
      </c>
      <c r="M6773" s="59">
        <f t="shared" si="31"/>
        <v>0</v>
      </c>
    </row>
    <row r="6774" ht="15.0" hidden="1" customHeight="1">
      <c r="A6774" s="59">
        <f t="shared" si="20"/>
        <v>110</v>
      </c>
      <c r="B6774" s="59" t="str">
        <f t="shared" si="21"/>
        <v/>
      </c>
      <c r="C6774" s="59" t="str">
        <f t="shared" si="22"/>
        <v/>
      </c>
      <c r="D6774" s="45" t="str">
        <f t="shared" si="23"/>
        <v/>
      </c>
      <c r="E6774" s="45" t="str">
        <f t="shared" si="24"/>
        <v/>
      </c>
      <c r="F6774" s="59" t="str">
        <f t="shared" si="25"/>
        <v/>
      </c>
      <c r="G6774" s="59" t="str">
        <f t="shared" si="26"/>
        <v/>
      </c>
      <c r="H6774" s="59" t="str">
        <f t="shared" si="27"/>
        <v>28A30696</v>
      </c>
      <c r="I6774" s="59" t="str">
        <f>IF(OR($A6774="",$C6774="",$D6774="",$E6774="",$H6774=""),"",SUMIFS(DATA_GOC!$H:$H,DATA_GOC!$A:$A,"BOM",DATA_GOC!$D:$D,$H6774,DATA_GOC!$E:$E,$C6774,DATA_GOC!$F:$F,"Xuất nội bộ từ téc",DATA_GOC!$B:$B,"&gt;="&amp;$D6774,DATA_GOC!$B:$B,"&lt;="&amp;$E6774))</f>
        <v/>
      </c>
      <c r="J6774" s="59">
        <f t="shared" si="28"/>
        <v>0</v>
      </c>
      <c r="K6774" s="59">
        <f t="shared" si="29"/>
        <v>0</v>
      </c>
      <c r="L6774" s="59">
        <f t="shared" si="30"/>
        <v>0</v>
      </c>
      <c r="M6774" s="59">
        <f t="shared" si="31"/>
        <v>0</v>
      </c>
    </row>
    <row r="6775" ht="15.0" hidden="1" customHeight="1">
      <c r="A6775" s="59">
        <f t="shared" si="20"/>
        <v>110</v>
      </c>
      <c r="B6775" s="59" t="str">
        <f t="shared" si="21"/>
        <v/>
      </c>
      <c r="C6775" s="59" t="str">
        <f t="shared" si="22"/>
        <v/>
      </c>
      <c r="D6775" s="45" t="str">
        <f t="shared" si="23"/>
        <v/>
      </c>
      <c r="E6775" s="45" t="str">
        <f t="shared" si="24"/>
        <v/>
      </c>
      <c r="F6775" s="59" t="str">
        <f t="shared" si="25"/>
        <v/>
      </c>
      <c r="G6775" s="59" t="str">
        <f t="shared" si="26"/>
        <v/>
      </c>
      <c r="H6775" s="59" t="str">
        <f t="shared" si="27"/>
        <v>28C00462</v>
      </c>
      <c r="I6775" s="59" t="str">
        <f>IF(OR($A6775="",$C6775="",$D6775="",$E6775="",$H6775=""),"",SUMIFS(DATA_GOC!$H:$H,DATA_GOC!$A:$A,"BOM",DATA_GOC!$D:$D,$H6775,DATA_GOC!$E:$E,$C6775,DATA_GOC!$F:$F,"Xuất nội bộ từ téc",DATA_GOC!$B:$B,"&gt;="&amp;$D6775,DATA_GOC!$B:$B,"&lt;="&amp;$E6775))</f>
        <v/>
      </c>
      <c r="J6775" s="59">
        <f t="shared" si="28"/>
        <v>0</v>
      </c>
      <c r="K6775" s="59">
        <f t="shared" si="29"/>
        <v>0</v>
      </c>
      <c r="L6775" s="59">
        <f t="shared" si="30"/>
        <v>0</v>
      </c>
      <c r="M6775" s="59">
        <f t="shared" si="31"/>
        <v>0</v>
      </c>
    </row>
    <row r="6776" ht="15.0" hidden="1" customHeight="1">
      <c r="A6776" s="59">
        <f t="shared" si="20"/>
        <v>110</v>
      </c>
      <c r="B6776" s="59" t="str">
        <f t="shared" si="21"/>
        <v/>
      </c>
      <c r="C6776" s="59" t="str">
        <f t="shared" si="22"/>
        <v/>
      </c>
      <c r="D6776" s="45" t="str">
        <f t="shared" si="23"/>
        <v/>
      </c>
      <c r="E6776" s="45" t="str">
        <f t="shared" si="24"/>
        <v/>
      </c>
      <c r="F6776" s="59" t="str">
        <f t="shared" si="25"/>
        <v/>
      </c>
      <c r="G6776" s="59" t="str">
        <f t="shared" si="26"/>
        <v/>
      </c>
      <c r="H6776" s="59" t="str">
        <f t="shared" si="27"/>
        <v>28C01165</v>
      </c>
      <c r="I6776" s="59" t="str">
        <f>IF(OR($A6776="",$C6776="",$D6776="",$E6776="",$H6776=""),"",SUMIFS(DATA_GOC!$H:$H,DATA_GOC!$A:$A,"BOM",DATA_GOC!$D:$D,$H6776,DATA_GOC!$E:$E,$C6776,DATA_GOC!$F:$F,"Xuất nội bộ từ téc",DATA_GOC!$B:$B,"&gt;="&amp;$D6776,DATA_GOC!$B:$B,"&lt;="&amp;$E6776))</f>
        <v/>
      </c>
      <c r="J6776" s="59">
        <f t="shared" si="28"/>
        <v>0</v>
      </c>
      <c r="K6776" s="59">
        <f t="shared" si="29"/>
        <v>0</v>
      </c>
      <c r="L6776" s="59">
        <f t="shared" si="30"/>
        <v>0</v>
      </c>
      <c r="M6776" s="59">
        <f t="shared" si="31"/>
        <v>0</v>
      </c>
    </row>
    <row r="6777" ht="15.0" hidden="1" customHeight="1">
      <c r="A6777" s="59">
        <f t="shared" si="20"/>
        <v>110</v>
      </c>
      <c r="B6777" s="59" t="str">
        <f t="shared" si="21"/>
        <v/>
      </c>
      <c r="C6777" s="59" t="str">
        <f t="shared" si="22"/>
        <v/>
      </c>
      <c r="D6777" s="45" t="str">
        <f t="shared" si="23"/>
        <v/>
      </c>
      <c r="E6777" s="45" t="str">
        <f t="shared" si="24"/>
        <v/>
      </c>
      <c r="F6777" s="59" t="str">
        <f t="shared" si="25"/>
        <v/>
      </c>
      <c r="G6777" s="59" t="str">
        <f t="shared" si="26"/>
        <v/>
      </c>
      <c r="H6777" s="59" t="str">
        <f t="shared" si="27"/>
        <v>28C01406</v>
      </c>
      <c r="I6777" s="59" t="str">
        <f>IF(OR($A6777="",$C6777="",$D6777="",$E6777="",$H6777=""),"",SUMIFS(DATA_GOC!$H:$H,DATA_GOC!$A:$A,"BOM",DATA_GOC!$D:$D,$H6777,DATA_GOC!$E:$E,$C6777,DATA_GOC!$F:$F,"Xuất nội bộ từ téc",DATA_GOC!$B:$B,"&gt;="&amp;$D6777,DATA_GOC!$B:$B,"&lt;="&amp;$E6777))</f>
        <v/>
      </c>
      <c r="J6777" s="59">
        <f t="shared" si="28"/>
        <v>0</v>
      </c>
      <c r="K6777" s="59">
        <f t="shared" si="29"/>
        <v>0</v>
      </c>
      <c r="L6777" s="59">
        <f t="shared" si="30"/>
        <v>0</v>
      </c>
      <c r="M6777" s="59">
        <f t="shared" si="31"/>
        <v>0</v>
      </c>
    </row>
    <row r="6778" ht="15.0" hidden="1" customHeight="1">
      <c r="A6778" s="59">
        <f t="shared" si="20"/>
        <v>110</v>
      </c>
      <c r="B6778" s="59" t="str">
        <f t="shared" si="21"/>
        <v/>
      </c>
      <c r="C6778" s="59" t="str">
        <f t="shared" si="22"/>
        <v/>
      </c>
      <c r="D6778" s="45" t="str">
        <f t="shared" si="23"/>
        <v/>
      </c>
      <c r="E6778" s="45" t="str">
        <f t="shared" si="24"/>
        <v/>
      </c>
      <c r="F6778" s="59" t="str">
        <f t="shared" si="25"/>
        <v/>
      </c>
      <c r="G6778" s="59" t="str">
        <f t="shared" si="26"/>
        <v/>
      </c>
      <c r="H6778" s="59" t="str">
        <f t="shared" si="27"/>
        <v>28C01544</v>
      </c>
      <c r="I6778" s="59" t="str">
        <f>IF(OR($A6778="",$C6778="",$D6778="",$E6778="",$H6778=""),"",SUMIFS(DATA_GOC!$H:$H,DATA_GOC!$A:$A,"BOM",DATA_GOC!$D:$D,$H6778,DATA_GOC!$E:$E,$C6778,DATA_GOC!$F:$F,"Xuất nội bộ từ téc",DATA_GOC!$B:$B,"&gt;="&amp;$D6778,DATA_GOC!$B:$B,"&lt;="&amp;$E6778))</f>
        <v/>
      </c>
      <c r="J6778" s="59">
        <f t="shared" si="28"/>
        <v>0</v>
      </c>
      <c r="K6778" s="59">
        <f t="shared" si="29"/>
        <v>0</v>
      </c>
      <c r="L6778" s="59">
        <f t="shared" si="30"/>
        <v>0</v>
      </c>
      <c r="M6778" s="59">
        <f t="shared" si="31"/>
        <v>0</v>
      </c>
    </row>
    <row r="6779" ht="15.0" hidden="1" customHeight="1">
      <c r="A6779" s="59">
        <f t="shared" si="20"/>
        <v>110</v>
      </c>
      <c r="B6779" s="59" t="str">
        <f t="shared" si="21"/>
        <v/>
      </c>
      <c r="C6779" s="59" t="str">
        <f t="shared" si="22"/>
        <v/>
      </c>
      <c r="D6779" s="45" t="str">
        <f t="shared" si="23"/>
        <v/>
      </c>
      <c r="E6779" s="45" t="str">
        <f t="shared" si="24"/>
        <v/>
      </c>
      <c r="F6779" s="59" t="str">
        <f t="shared" si="25"/>
        <v/>
      </c>
      <c r="G6779" s="59" t="str">
        <f t="shared" si="26"/>
        <v/>
      </c>
      <c r="H6779" s="59" t="str">
        <f t="shared" si="27"/>
        <v>28C01622</v>
      </c>
      <c r="I6779" s="59" t="str">
        <f>IF(OR($A6779="",$C6779="",$D6779="",$E6779="",$H6779=""),"",SUMIFS(DATA_GOC!$H:$H,DATA_GOC!$A:$A,"BOM",DATA_GOC!$D:$D,$H6779,DATA_GOC!$E:$E,$C6779,DATA_GOC!$F:$F,"Xuất nội bộ từ téc",DATA_GOC!$B:$B,"&gt;="&amp;$D6779,DATA_GOC!$B:$B,"&lt;="&amp;$E6779))</f>
        <v/>
      </c>
      <c r="J6779" s="59">
        <f t="shared" si="28"/>
        <v>0</v>
      </c>
      <c r="K6779" s="59">
        <f t="shared" si="29"/>
        <v>0</v>
      </c>
      <c r="L6779" s="59">
        <f t="shared" si="30"/>
        <v>0</v>
      </c>
      <c r="M6779" s="59">
        <f t="shared" si="31"/>
        <v>0</v>
      </c>
    </row>
    <row r="6780" ht="15.0" hidden="1" customHeight="1">
      <c r="A6780" s="59">
        <f t="shared" si="20"/>
        <v>110</v>
      </c>
      <c r="B6780" s="59" t="str">
        <f t="shared" si="21"/>
        <v/>
      </c>
      <c r="C6780" s="59" t="str">
        <f t="shared" si="22"/>
        <v/>
      </c>
      <c r="D6780" s="45" t="str">
        <f t="shared" si="23"/>
        <v/>
      </c>
      <c r="E6780" s="45" t="str">
        <f t="shared" si="24"/>
        <v/>
      </c>
      <c r="F6780" s="59" t="str">
        <f t="shared" si="25"/>
        <v/>
      </c>
      <c r="G6780" s="59" t="str">
        <f t="shared" si="26"/>
        <v/>
      </c>
      <c r="H6780" s="59" t="str">
        <f t="shared" si="27"/>
        <v>28C01647</v>
      </c>
      <c r="I6780" s="59" t="str">
        <f>IF(OR($A6780="",$C6780="",$D6780="",$E6780="",$H6780=""),"",SUMIFS(DATA_GOC!$H:$H,DATA_GOC!$A:$A,"BOM",DATA_GOC!$D:$D,$H6780,DATA_GOC!$E:$E,$C6780,DATA_GOC!$F:$F,"Xuất nội bộ từ téc",DATA_GOC!$B:$B,"&gt;="&amp;$D6780,DATA_GOC!$B:$B,"&lt;="&amp;$E6780))</f>
        <v/>
      </c>
      <c r="J6780" s="59">
        <f t="shared" si="28"/>
        <v>0</v>
      </c>
      <c r="K6780" s="59">
        <f t="shared" si="29"/>
        <v>0</v>
      </c>
      <c r="L6780" s="59">
        <f t="shared" si="30"/>
        <v>0</v>
      </c>
      <c r="M6780" s="59">
        <f t="shared" si="31"/>
        <v>0</v>
      </c>
    </row>
    <row r="6781" ht="15.0" hidden="1" customHeight="1">
      <c r="A6781" s="59">
        <f t="shared" si="20"/>
        <v>110</v>
      </c>
      <c r="B6781" s="59" t="str">
        <f t="shared" si="21"/>
        <v/>
      </c>
      <c r="C6781" s="59" t="str">
        <f t="shared" si="22"/>
        <v/>
      </c>
      <c r="D6781" s="45" t="str">
        <f t="shared" si="23"/>
        <v/>
      </c>
      <c r="E6781" s="45" t="str">
        <f t="shared" si="24"/>
        <v/>
      </c>
      <c r="F6781" s="59" t="str">
        <f t="shared" si="25"/>
        <v/>
      </c>
      <c r="G6781" s="59" t="str">
        <f t="shared" si="26"/>
        <v/>
      </c>
      <c r="H6781" s="59" t="str">
        <f t="shared" si="27"/>
        <v>28C01731</v>
      </c>
      <c r="I6781" s="59" t="str">
        <f>IF(OR($A6781="",$C6781="",$D6781="",$E6781="",$H6781=""),"",SUMIFS(DATA_GOC!$H:$H,DATA_GOC!$A:$A,"BOM",DATA_GOC!$D:$D,$H6781,DATA_GOC!$E:$E,$C6781,DATA_GOC!$F:$F,"Xuất nội bộ từ téc",DATA_GOC!$B:$B,"&gt;="&amp;$D6781,DATA_GOC!$B:$B,"&lt;="&amp;$E6781))</f>
        <v/>
      </c>
      <c r="J6781" s="59">
        <f t="shared" si="28"/>
        <v>0</v>
      </c>
      <c r="K6781" s="59">
        <f t="shared" si="29"/>
        <v>0</v>
      </c>
      <c r="L6781" s="59">
        <f t="shared" si="30"/>
        <v>0</v>
      </c>
      <c r="M6781" s="59">
        <f t="shared" si="31"/>
        <v>0</v>
      </c>
    </row>
    <row r="6782" ht="15.0" hidden="1" customHeight="1">
      <c r="A6782" s="59">
        <f t="shared" si="20"/>
        <v>110</v>
      </c>
      <c r="B6782" s="59" t="str">
        <f t="shared" si="21"/>
        <v/>
      </c>
      <c r="C6782" s="59" t="str">
        <f t="shared" si="22"/>
        <v/>
      </c>
      <c r="D6782" s="45" t="str">
        <f t="shared" si="23"/>
        <v/>
      </c>
      <c r="E6782" s="45" t="str">
        <f t="shared" si="24"/>
        <v/>
      </c>
      <c r="F6782" s="59" t="str">
        <f t="shared" si="25"/>
        <v/>
      </c>
      <c r="G6782" s="59" t="str">
        <f t="shared" si="26"/>
        <v/>
      </c>
      <c r="H6782" s="59" t="str">
        <f t="shared" si="27"/>
        <v>28C01743</v>
      </c>
      <c r="I6782" s="59" t="str">
        <f>IF(OR($A6782="",$C6782="",$D6782="",$E6782="",$H6782=""),"",SUMIFS(DATA_GOC!$H:$H,DATA_GOC!$A:$A,"BOM",DATA_GOC!$D:$D,$H6782,DATA_GOC!$E:$E,$C6782,DATA_GOC!$F:$F,"Xuất nội bộ từ téc",DATA_GOC!$B:$B,"&gt;="&amp;$D6782,DATA_GOC!$B:$B,"&lt;="&amp;$E6782))</f>
        <v/>
      </c>
      <c r="J6782" s="59">
        <f t="shared" si="28"/>
        <v>0</v>
      </c>
      <c r="K6782" s="59">
        <f t="shared" si="29"/>
        <v>0</v>
      </c>
      <c r="L6782" s="59">
        <f t="shared" si="30"/>
        <v>0</v>
      </c>
      <c r="M6782" s="59">
        <f t="shared" si="31"/>
        <v>0</v>
      </c>
    </row>
    <row r="6783" ht="15.0" hidden="1" customHeight="1">
      <c r="A6783" s="59">
        <f t="shared" si="20"/>
        <v>110</v>
      </c>
      <c r="B6783" s="59" t="str">
        <f t="shared" si="21"/>
        <v/>
      </c>
      <c r="C6783" s="59" t="str">
        <f t="shared" si="22"/>
        <v/>
      </c>
      <c r="D6783" s="45" t="str">
        <f t="shared" si="23"/>
        <v/>
      </c>
      <c r="E6783" s="45" t="str">
        <f t="shared" si="24"/>
        <v/>
      </c>
      <c r="F6783" s="59" t="str">
        <f t="shared" si="25"/>
        <v/>
      </c>
      <c r="G6783" s="59" t="str">
        <f t="shared" si="26"/>
        <v/>
      </c>
      <c r="H6783" s="59" t="str">
        <f t="shared" si="27"/>
        <v>28C02106</v>
      </c>
      <c r="I6783" s="59" t="str">
        <f>IF(OR($A6783="",$C6783="",$D6783="",$E6783="",$H6783=""),"",SUMIFS(DATA_GOC!$H:$H,DATA_GOC!$A:$A,"BOM",DATA_GOC!$D:$D,$H6783,DATA_GOC!$E:$E,$C6783,DATA_GOC!$F:$F,"Xuất nội bộ từ téc",DATA_GOC!$B:$B,"&gt;="&amp;$D6783,DATA_GOC!$B:$B,"&lt;="&amp;$E6783))</f>
        <v/>
      </c>
      <c r="J6783" s="59">
        <f t="shared" si="28"/>
        <v>0</v>
      </c>
      <c r="K6783" s="59">
        <f t="shared" si="29"/>
        <v>0</v>
      </c>
      <c r="L6783" s="59">
        <f t="shared" si="30"/>
        <v>0</v>
      </c>
      <c r="M6783" s="59">
        <f t="shared" si="31"/>
        <v>0</v>
      </c>
    </row>
    <row r="6784" ht="15.0" hidden="1" customHeight="1">
      <c r="A6784" s="59">
        <f t="shared" si="20"/>
        <v>110</v>
      </c>
      <c r="B6784" s="59" t="str">
        <f t="shared" si="21"/>
        <v/>
      </c>
      <c r="C6784" s="59" t="str">
        <f t="shared" si="22"/>
        <v/>
      </c>
      <c r="D6784" s="45" t="str">
        <f t="shared" si="23"/>
        <v/>
      </c>
      <c r="E6784" s="45" t="str">
        <f t="shared" si="24"/>
        <v/>
      </c>
      <c r="F6784" s="59" t="str">
        <f t="shared" si="25"/>
        <v/>
      </c>
      <c r="G6784" s="59" t="str">
        <f t="shared" si="26"/>
        <v/>
      </c>
      <c r="H6784" s="59" t="str">
        <f t="shared" si="27"/>
        <v>28C02410</v>
      </c>
      <c r="I6784" s="59" t="str">
        <f>IF(OR($A6784="",$C6784="",$D6784="",$E6784="",$H6784=""),"",SUMIFS(DATA_GOC!$H:$H,DATA_GOC!$A:$A,"BOM",DATA_GOC!$D:$D,$H6784,DATA_GOC!$E:$E,$C6784,DATA_GOC!$F:$F,"Xuất nội bộ từ téc",DATA_GOC!$B:$B,"&gt;="&amp;$D6784,DATA_GOC!$B:$B,"&lt;="&amp;$E6784))</f>
        <v/>
      </c>
      <c r="J6784" s="59">
        <f t="shared" si="28"/>
        <v>0</v>
      </c>
      <c r="K6784" s="59">
        <f t="shared" si="29"/>
        <v>0</v>
      </c>
      <c r="L6784" s="59">
        <f t="shared" si="30"/>
        <v>0</v>
      </c>
      <c r="M6784" s="59">
        <f t="shared" si="31"/>
        <v>0</v>
      </c>
    </row>
    <row r="6785" ht="15.0" hidden="1" customHeight="1">
      <c r="A6785" s="59">
        <f t="shared" si="20"/>
        <v>110</v>
      </c>
      <c r="B6785" s="59" t="str">
        <f t="shared" si="21"/>
        <v/>
      </c>
      <c r="C6785" s="59" t="str">
        <f t="shared" si="22"/>
        <v/>
      </c>
      <c r="D6785" s="45" t="str">
        <f t="shared" si="23"/>
        <v/>
      </c>
      <c r="E6785" s="45" t="str">
        <f t="shared" si="24"/>
        <v/>
      </c>
      <c r="F6785" s="59" t="str">
        <f t="shared" si="25"/>
        <v/>
      </c>
      <c r="G6785" s="59" t="str">
        <f t="shared" si="26"/>
        <v/>
      </c>
      <c r="H6785" s="59" t="str">
        <f t="shared" si="27"/>
        <v>28C02545</v>
      </c>
      <c r="I6785" s="59" t="str">
        <f>IF(OR($A6785="",$C6785="",$D6785="",$E6785="",$H6785=""),"",SUMIFS(DATA_GOC!$H:$H,DATA_GOC!$A:$A,"BOM",DATA_GOC!$D:$D,$H6785,DATA_GOC!$E:$E,$C6785,DATA_GOC!$F:$F,"Xuất nội bộ từ téc",DATA_GOC!$B:$B,"&gt;="&amp;$D6785,DATA_GOC!$B:$B,"&lt;="&amp;$E6785))</f>
        <v/>
      </c>
      <c r="J6785" s="59">
        <f t="shared" si="28"/>
        <v>0</v>
      </c>
      <c r="K6785" s="59">
        <f t="shared" si="29"/>
        <v>0</v>
      </c>
      <c r="L6785" s="59">
        <f t="shared" si="30"/>
        <v>0</v>
      </c>
      <c r="M6785" s="59">
        <f t="shared" si="31"/>
        <v>0</v>
      </c>
    </row>
    <row r="6786" ht="15.0" hidden="1" customHeight="1">
      <c r="A6786" s="59">
        <f t="shared" si="20"/>
        <v>110</v>
      </c>
      <c r="B6786" s="59" t="str">
        <f t="shared" si="21"/>
        <v/>
      </c>
      <c r="C6786" s="59" t="str">
        <f t="shared" si="22"/>
        <v/>
      </c>
      <c r="D6786" s="45" t="str">
        <f t="shared" si="23"/>
        <v/>
      </c>
      <c r="E6786" s="45" t="str">
        <f t="shared" si="24"/>
        <v/>
      </c>
      <c r="F6786" s="59" t="str">
        <f t="shared" si="25"/>
        <v/>
      </c>
      <c r="G6786" s="59" t="str">
        <f t="shared" si="26"/>
        <v/>
      </c>
      <c r="H6786" s="59" t="str">
        <f t="shared" si="27"/>
        <v>28C02574</v>
      </c>
      <c r="I6786" s="59" t="str">
        <f>IF(OR($A6786="",$C6786="",$D6786="",$E6786="",$H6786=""),"",SUMIFS(DATA_GOC!$H:$H,DATA_GOC!$A:$A,"BOM",DATA_GOC!$D:$D,$H6786,DATA_GOC!$E:$E,$C6786,DATA_GOC!$F:$F,"Xuất nội bộ từ téc",DATA_GOC!$B:$B,"&gt;="&amp;$D6786,DATA_GOC!$B:$B,"&lt;="&amp;$E6786))</f>
        <v/>
      </c>
      <c r="J6786" s="59">
        <f t="shared" si="28"/>
        <v>0</v>
      </c>
      <c r="K6786" s="59">
        <f t="shared" si="29"/>
        <v>0</v>
      </c>
      <c r="L6786" s="59">
        <f t="shared" si="30"/>
        <v>0</v>
      </c>
      <c r="M6786" s="59">
        <f t="shared" si="31"/>
        <v>0</v>
      </c>
    </row>
    <row r="6787" ht="15.0" hidden="1" customHeight="1">
      <c r="A6787" s="59">
        <f t="shared" si="20"/>
        <v>110</v>
      </c>
      <c r="B6787" s="59" t="str">
        <f t="shared" si="21"/>
        <v/>
      </c>
      <c r="C6787" s="59" t="str">
        <f t="shared" si="22"/>
        <v/>
      </c>
      <c r="D6787" s="45" t="str">
        <f t="shared" si="23"/>
        <v/>
      </c>
      <c r="E6787" s="45" t="str">
        <f t="shared" si="24"/>
        <v/>
      </c>
      <c r="F6787" s="59" t="str">
        <f t="shared" si="25"/>
        <v/>
      </c>
      <c r="G6787" s="59" t="str">
        <f t="shared" si="26"/>
        <v/>
      </c>
      <c r="H6787" s="59" t="str">
        <f t="shared" si="27"/>
        <v>28C02770</v>
      </c>
      <c r="I6787" s="59" t="str">
        <f>IF(OR($A6787="",$C6787="",$D6787="",$E6787="",$H6787=""),"",SUMIFS(DATA_GOC!$H:$H,DATA_GOC!$A:$A,"BOM",DATA_GOC!$D:$D,$H6787,DATA_GOC!$E:$E,$C6787,DATA_GOC!$F:$F,"Xuất nội bộ từ téc",DATA_GOC!$B:$B,"&gt;="&amp;$D6787,DATA_GOC!$B:$B,"&lt;="&amp;$E6787))</f>
        <v/>
      </c>
      <c r="J6787" s="59">
        <f t="shared" si="28"/>
        <v>0</v>
      </c>
      <c r="K6787" s="59">
        <f t="shared" si="29"/>
        <v>0</v>
      </c>
      <c r="L6787" s="59">
        <f t="shared" si="30"/>
        <v>0</v>
      </c>
      <c r="M6787" s="59">
        <f t="shared" si="31"/>
        <v>0</v>
      </c>
    </row>
    <row r="6788" ht="15.0" hidden="1" customHeight="1">
      <c r="A6788" s="59">
        <f t="shared" si="20"/>
        <v>110</v>
      </c>
      <c r="B6788" s="59" t="str">
        <f t="shared" si="21"/>
        <v/>
      </c>
      <c r="C6788" s="59" t="str">
        <f t="shared" si="22"/>
        <v/>
      </c>
      <c r="D6788" s="45" t="str">
        <f t="shared" si="23"/>
        <v/>
      </c>
      <c r="E6788" s="45" t="str">
        <f t="shared" si="24"/>
        <v/>
      </c>
      <c r="F6788" s="59" t="str">
        <f t="shared" si="25"/>
        <v/>
      </c>
      <c r="G6788" s="59" t="str">
        <f t="shared" si="26"/>
        <v/>
      </c>
      <c r="H6788" s="59" t="str">
        <f t="shared" si="27"/>
        <v>28C02986</v>
      </c>
      <c r="I6788" s="59" t="str">
        <f>IF(OR($A6788="",$C6788="",$D6788="",$E6788="",$H6788=""),"",SUMIFS(DATA_GOC!$H:$H,DATA_GOC!$A:$A,"BOM",DATA_GOC!$D:$D,$H6788,DATA_GOC!$E:$E,$C6788,DATA_GOC!$F:$F,"Xuất nội bộ từ téc",DATA_GOC!$B:$B,"&gt;="&amp;$D6788,DATA_GOC!$B:$B,"&lt;="&amp;$E6788))</f>
        <v/>
      </c>
      <c r="J6788" s="59">
        <f t="shared" si="28"/>
        <v>0</v>
      </c>
      <c r="K6788" s="59">
        <f t="shared" si="29"/>
        <v>0</v>
      </c>
      <c r="L6788" s="59">
        <f t="shared" si="30"/>
        <v>0</v>
      </c>
      <c r="M6788" s="59">
        <f t="shared" si="31"/>
        <v>0</v>
      </c>
    </row>
    <row r="6789" ht="15.0" hidden="1" customHeight="1">
      <c r="A6789" s="59">
        <f t="shared" si="20"/>
        <v>110</v>
      </c>
      <c r="B6789" s="59" t="str">
        <f t="shared" si="21"/>
        <v/>
      </c>
      <c r="C6789" s="59" t="str">
        <f t="shared" si="22"/>
        <v/>
      </c>
      <c r="D6789" s="45" t="str">
        <f t="shared" si="23"/>
        <v/>
      </c>
      <c r="E6789" s="45" t="str">
        <f t="shared" si="24"/>
        <v/>
      </c>
      <c r="F6789" s="59" t="str">
        <f t="shared" si="25"/>
        <v/>
      </c>
      <c r="G6789" s="59" t="str">
        <f t="shared" si="26"/>
        <v/>
      </c>
      <c r="H6789" s="59" t="str">
        <f t="shared" si="27"/>
        <v>28C03261</v>
      </c>
      <c r="I6789" s="59" t="str">
        <f>IF(OR($A6789="",$C6789="",$D6789="",$E6789="",$H6789=""),"",SUMIFS(DATA_GOC!$H:$H,DATA_GOC!$A:$A,"BOM",DATA_GOC!$D:$D,$H6789,DATA_GOC!$E:$E,$C6789,DATA_GOC!$F:$F,"Xuất nội bộ từ téc",DATA_GOC!$B:$B,"&gt;="&amp;$D6789,DATA_GOC!$B:$B,"&lt;="&amp;$E6789))</f>
        <v/>
      </c>
      <c r="J6789" s="59">
        <f t="shared" si="28"/>
        <v>0</v>
      </c>
      <c r="K6789" s="59">
        <f t="shared" si="29"/>
        <v>0</v>
      </c>
      <c r="L6789" s="59">
        <f t="shared" si="30"/>
        <v>0</v>
      </c>
      <c r="M6789" s="59">
        <f t="shared" si="31"/>
        <v>0</v>
      </c>
    </row>
    <row r="6790" ht="15.0" hidden="1" customHeight="1">
      <c r="A6790" s="59">
        <f t="shared" si="20"/>
        <v>110</v>
      </c>
      <c r="B6790" s="59" t="str">
        <f t="shared" si="21"/>
        <v/>
      </c>
      <c r="C6790" s="59" t="str">
        <f t="shared" si="22"/>
        <v/>
      </c>
      <c r="D6790" s="45" t="str">
        <f t="shared" si="23"/>
        <v/>
      </c>
      <c r="E6790" s="45" t="str">
        <f t="shared" si="24"/>
        <v/>
      </c>
      <c r="F6790" s="59" t="str">
        <f t="shared" si="25"/>
        <v/>
      </c>
      <c r="G6790" s="59" t="str">
        <f t="shared" si="26"/>
        <v/>
      </c>
      <c r="H6790" s="59" t="str">
        <f t="shared" si="27"/>
        <v>28C03323</v>
      </c>
      <c r="I6790" s="59" t="str">
        <f>IF(OR($A6790="",$C6790="",$D6790="",$E6790="",$H6790=""),"",SUMIFS(DATA_GOC!$H:$H,DATA_GOC!$A:$A,"BOM",DATA_GOC!$D:$D,$H6790,DATA_GOC!$E:$E,$C6790,DATA_GOC!$F:$F,"Xuất nội bộ từ téc",DATA_GOC!$B:$B,"&gt;="&amp;$D6790,DATA_GOC!$B:$B,"&lt;="&amp;$E6790))</f>
        <v/>
      </c>
      <c r="J6790" s="59">
        <f t="shared" si="28"/>
        <v>0</v>
      </c>
      <c r="K6790" s="59">
        <f t="shared" si="29"/>
        <v>0</v>
      </c>
      <c r="L6790" s="59">
        <f t="shared" si="30"/>
        <v>0</v>
      </c>
      <c r="M6790" s="59">
        <f t="shared" si="31"/>
        <v>0</v>
      </c>
    </row>
    <row r="6791" ht="15.0" hidden="1" customHeight="1">
      <c r="A6791" s="59">
        <f t="shared" si="20"/>
        <v>110</v>
      </c>
      <c r="B6791" s="59" t="str">
        <f t="shared" si="21"/>
        <v/>
      </c>
      <c r="C6791" s="59" t="str">
        <f t="shared" si="22"/>
        <v/>
      </c>
      <c r="D6791" s="45" t="str">
        <f t="shared" si="23"/>
        <v/>
      </c>
      <c r="E6791" s="45" t="str">
        <f t="shared" si="24"/>
        <v/>
      </c>
      <c r="F6791" s="59" t="str">
        <f t="shared" si="25"/>
        <v/>
      </c>
      <c r="G6791" s="59" t="str">
        <f t="shared" si="26"/>
        <v/>
      </c>
      <c r="H6791" s="59" t="str">
        <f t="shared" si="27"/>
        <v>28C03385</v>
      </c>
      <c r="I6791" s="59" t="str">
        <f>IF(OR($A6791="",$C6791="",$D6791="",$E6791="",$H6791=""),"",SUMIFS(DATA_GOC!$H:$H,DATA_GOC!$A:$A,"BOM",DATA_GOC!$D:$D,$H6791,DATA_GOC!$E:$E,$C6791,DATA_GOC!$F:$F,"Xuất nội bộ từ téc",DATA_GOC!$B:$B,"&gt;="&amp;$D6791,DATA_GOC!$B:$B,"&lt;="&amp;$E6791))</f>
        <v/>
      </c>
      <c r="J6791" s="59">
        <f t="shared" si="28"/>
        <v>0</v>
      </c>
      <c r="K6791" s="59">
        <f t="shared" si="29"/>
        <v>0</v>
      </c>
      <c r="L6791" s="59">
        <f t="shared" si="30"/>
        <v>0</v>
      </c>
      <c r="M6791" s="59">
        <f t="shared" si="31"/>
        <v>0</v>
      </c>
    </row>
    <row r="6792" ht="15.0" hidden="1" customHeight="1">
      <c r="A6792" s="59">
        <f t="shared" si="20"/>
        <v>110</v>
      </c>
      <c r="B6792" s="59" t="str">
        <f t="shared" si="21"/>
        <v/>
      </c>
      <c r="C6792" s="59" t="str">
        <f t="shared" si="22"/>
        <v/>
      </c>
      <c r="D6792" s="45" t="str">
        <f t="shared" si="23"/>
        <v/>
      </c>
      <c r="E6792" s="45" t="str">
        <f t="shared" si="24"/>
        <v/>
      </c>
      <c r="F6792" s="59" t="str">
        <f t="shared" si="25"/>
        <v/>
      </c>
      <c r="G6792" s="59" t="str">
        <f t="shared" si="26"/>
        <v/>
      </c>
      <c r="H6792" s="59" t="str">
        <f t="shared" si="27"/>
        <v>28C03652</v>
      </c>
      <c r="I6792" s="59" t="str">
        <f>IF(OR($A6792="",$C6792="",$D6792="",$E6792="",$H6792=""),"",SUMIFS(DATA_GOC!$H:$H,DATA_GOC!$A:$A,"BOM",DATA_GOC!$D:$D,$H6792,DATA_GOC!$E:$E,$C6792,DATA_GOC!$F:$F,"Xuất nội bộ từ téc",DATA_GOC!$B:$B,"&gt;="&amp;$D6792,DATA_GOC!$B:$B,"&lt;="&amp;$E6792))</f>
        <v/>
      </c>
      <c r="J6792" s="59">
        <f t="shared" si="28"/>
        <v>0</v>
      </c>
      <c r="K6792" s="59">
        <f t="shared" si="29"/>
        <v>0</v>
      </c>
      <c r="L6792" s="59">
        <f t="shared" si="30"/>
        <v>0</v>
      </c>
      <c r="M6792" s="59">
        <f t="shared" si="31"/>
        <v>0</v>
      </c>
    </row>
    <row r="6793" ht="15.0" hidden="1" customHeight="1">
      <c r="A6793" s="59">
        <f t="shared" si="20"/>
        <v>110</v>
      </c>
      <c r="B6793" s="59" t="str">
        <f t="shared" si="21"/>
        <v/>
      </c>
      <c r="C6793" s="59" t="str">
        <f t="shared" si="22"/>
        <v/>
      </c>
      <c r="D6793" s="45" t="str">
        <f t="shared" si="23"/>
        <v/>
      </c>
      <c r="E6793" s="45" t="str">
        <f t="shared" si="24"/>
        <v/>
      </c>
      <c r="F6793" s="59" t="str">
        <f t="shared" si="25"/>
        <v/>
      </c>
      <c r="G6793" s="59" t="str">
        <f t="shared" si="26"/>
        <v/>
      </c>
      <c r="H6793" s="59" t="str">
        <f t="shared" si="27"/>
        <v>28C03695</v>
      </c>
      <c r="I6793" s="59" t="str">
        <f>IF(OR($A6793="",$C6793="",$D6793="",$E6793="",$H6793=""),"",SUMIFS(DATA_GOC!$H:$H,DATA_GOC!$A:$A,"BOM",DATA_GOC!$D:$D,$H6793,DATA_GOC!$E:$E,$C6793,DATA_GOC!$F:$F,"Xuất nội bộ từ téc",DATA_GOC!$B:$B,"&gt;="&amp;$D6793,DATA_GOC!$B:$B,"&lt;="&amp;$E6793))</f>
        <v/>
      </c>
      <c r="J6793" s="59">
        <f t="shared" si="28"/>
        <v>0</v>
      </c>
      <c r="K6793" s="59">
        <f t="shared" si="29"/>
        <v>0</v>
      </c>
      <c r="L6793" s="59">
        <f t="shared" si="30"/>
        <v>0</v>
      </c>
      <c r="M6793" s="59">
        <f t="shared" si="31"/>
        <v>0</v>
      </c>
    </row>
    <row r="6794" ht="15.0" hidden="1" customHeight="1">
      <c r="A6794" s="59">
        <f t="shared" si="20"/>
        <v>110</v>
      </c>
      <c r="B6794" s="59" t="str">
        <f t="shared" si="21"/>
        <v/>
      </c>
      <c r="C6794" s="59" t="str">
        <f t="shared" si="22"/>
        <v/>
      </c>
      <c r="D6794" s="45" t="str">
        <f t="shared" si="23"/>
        <v/>
      </c>
      <c r="E6794" s="45" t="str">
        <f t="shared" si="24"/>
        <v/>
      </c>
      <c r="F6794" s="59" t="str">
        <f t="shared" si="25"/>
        <v/>
      </c>
      <c r="G6794" s="59" t="str">
        <f t="shared" si="26"/>
        <v/>
      </c>
      <c r="H6794" s="59" t="str">
        <f t="shared" si="27"/>
        <v>28C03927</v>
      </c>
      <c r="I6794" s="59" t="str">
        <f>IF(OR($A6794="",$C6794="",$D6794="",$E6794="",$H6794=""),"",SUMIFS(DATA_GOC!$H:$H,DATA_GOC!$A:$A,"BOM",DATA_GOC!$D:$D,$H6794,DATA_GOC!$E:$E,$C6794,DATA_GOC!$F:$F,"Xuất nội bộ từ téc",DATA_GOC!$B:$B,"&gt;="&amp;$D6794,DATA_GOC!$B:$B,"&lt;="&amp;$E6794))</f>
        <v/>
      </c>
      <c r="J6794" s="59">
        <f t="shared" si="28"/>
        <v>0</v>
      </c>
      <c r="K6794" s="59">
        <f t="shared" si="29"/>
        <v>0</v>
      </c>
      <c r="L6794" s="59">
        <f t="shared" si="30"/>
        <v>0</v>
      </c>
      <c r="M6794" s="59">
        <f t="shared" si="31"/>
        <v>0</v>
      </c>
    </row>
    <row r="6795" ht="15.0" hidden="1" customHeight="1">
      <c r="A6795" s="59">
        <f t="shared" si="20"/>
        <v>110</v>
      </c>
      <c r="B6795" s="59" t="str">
        <f t="shared" si="21"/>
        <v/>
      </c>
      <c r="C6795" s="59" t="str">
        <f t="shared" si="22"/>
        <v/>
      </c>
      <c r="D6795" s="45" t="str">
        <f t="shared" si="23"/>
        <v/>
      </c>
      <c r="E6795" s="45" t="str">
        <f t="shared" si="24"/>
        <v/>
      </c>
      <c r="F6795" s="59" t="str">
        <f t="shared" si="25"/>
        <v/>
      </c>
      <c r="G6795" s="59" t="str">
        <f t="shared" si="26"/>
        <v/>
      </c>
      <c r="H6795" s="59" t="str">
        <f t="shared" si="27"/>
        <v>28C04509</v>
      </c>
      <c r="I6795" s="59" t="str">
        <f>IF(OR($A6795="",$C6795="",$D6795="",$E6795="",$H6795=""),"",SUMIFS(DATA_GOC!$H:$H,DATA_GOC!$A:$A,"BOM",DATA_GOC!$D:$D,$H6795,DATA_GOC!$E:$E,$C6795,DATA_GOC!$F:$F,"Xuất nội bộ từ téc",DATA_GOC!$B:$B,"&gt;="&amp;$D6795,DATA_GOC!$B:$B,"&lt;="&amp;$E6795))</f>
        <v/>
      </c>
      <c r="J6795" s="59">
        <f t="shared" si="28"/>
        <v>0</v>
      </c>
      <c r="K6795" s="59">
        <f t="shared" si="29"/>
        <v>0</v>
      </c>
      <c r="L6795" s="59">
        <f t="shared" si="30"/>
        <v>0</v>
      </c>
      <c r="M6795" s="59">
        <f t="shared" si="31"/>
        <v>0</v>
      </c>
    </row>
    <row r="6796" ht="15.0" hidden="1" customHeight="1">
      <c r="A6796" s="59">
        <f t="shared" si="20"/>
        <v>110</v>
      </c>
      <c r="B6796" s="59" t="str">
        <f t="shared" si="21"/>
        <v/>
      </c>
      <c r="C6796" s="59" t="str">
        <f t="shared" si="22"/>
        <v/>
      </c>
      <c r="D6796" s="45" t="str">
        <f t="shared" si="23"/>
        <v/>
      </c>
      <c r="E6796" s="45" t="str">
        <f t="shared" si="24"/>
        <v/>
      </c>
      <c r="F6796" s="59" t="str">
        <f t="shared" si="25"/>
        <v/>
      </c>
      <c r="G6796" s="59" t="str">
        <f t="shared" si="26"/>
        <v/>
      </c>
      <c r="H6796" s="59" t="str">
        <f t="shared" si="27"/>
        <v>28C04536</v>
      </c>
      <c r="I6796" s="59" t="str">
        <f>IF(OR($A6796="",$C6796="",$D6796="",$E6796="",$H6796=""),"",SUMIFS(DATA_GOC!$H:$H,DATA_GOC!$A:$A,"BOM",DATA_GOC!$D:$D,$H6796,DATA_GOC!$E:$E,$C6796,DATA_GOC!$F:$F,"Xuất nội bộ từ téc",DATA_GOC!$B:$B,"&gt;="&amp;$D6796,DATA_GOC!$B:$B,"&lt;="&amp;$E6796))</f>
        <v/>
      </c>
      <c r="J6796" s="59">
        <f t="shared" si="28"/>
        <v>0</v>
      </c>
      <c r="K6796" s="59">
        <f t="shared" si="29"/>
        <v>0</v>
      </c>
      <c r="L6796" s="59">
        <f t="shared" si="30"/>
        <v>0</v>
      </c>
      <c r="M6796" s="59">
        <f t="shared" si="31"/>
        <v>0</v>
      </c>
    </row>
    <row r="6797" ht="15.0" hidden="1" customHeight="1">
      <c r="A6797" s="59">
        <f t="shared" si="20"/>
        <v>110</v>
      </c>
      <c r="B6797" s="59" t="str">
        <f t="shared" si="21"/>
        <v/>
      </c>
      <c r="C6797" s="59" t="str">
        <f t="shared" si="22"/>
        <v/>
      </c>
      <c r="D6797" s="45" t="str">
        <f t="shared" si="23"/>
        <v/>
      </c>
      <c r="E6797" s="45" t="str">
        <f t="shared" si="24"/>
        <v/>
      </c>
      <c r="F6797" s="59" t="str">
        <f t="shared" si="25"/>
        <v/>
      </c>
      <c r="G6797" s="59" t="str">
        <f t="shared" si="26"/>
        <v/>
      </c>
      <c r="H6797" s="59" t="str">
        <f t="shared" si="27"/>
        <v>28C04576</v>
      </c>
      <c r="I6797" s="59" t="str">
        <f>IF(OR($A6797="",$C6797="",$D6797="",$E6797="",$H6797=""),"",SUMIFS(DATA_GOC!$H:$H,DATA_GOC!$A:$A,"BOM",DATA_GOC!$D:$D,$H6797,DATA_GOC!$E:$E,$C6797,DATA_GOC!$F:$F,"Xuất nội bộ từ téc",DATA_GOC!$B:$B,"&gt;="&amp;$D6797,DATA_GOC!$B:$B,"&lt;="&amp;$E6797))</f>
        <v/>
      </c>
      <c r="J6797" s="59">
        <f t="shared" si="28"/>
        <v>0</v>
      </c>
      <c r="K6797" s="59">
        <f t="shared" si="29"/>
        <v>0</v>
      </c>
      <c r="L6797" s="59">
        <f t="shared" si="30"/>
        <v>0</v>
      </c>
      <c r="M6797" s="59">
        <f t="shared" si="31"/>
        <v>0</v>
      </c>
    </row>
    <row r="6798" ht="15.0" hidden="1" customHeight="1">
      <c r="A6798" s="59">
        <f t="shared" si="20"/>
        <v>110</v>
      </c>
      <c r="B6798" s="59" t="str">
        <f t="shared" si="21"/>
        <v/>
      </c>
      <c r="C6798" s="59" t="str">
        <f t="shared" si="22"/>
        <v/>
      </c>
      <c r="D6798" s="45" t="str">
        <f t="shared" si="23"/>
        <v/>
      </c>
      <c r="E6798" s="45" t="str">
        <f t="shared" si="24"/>
        <v/>
      </c>
      <c r="F6798" s="59" t="str">
        <f t="shared" si="25"/>
        <v/>
      </c>
      <c r="G6798" s="59" t="str">
        <f t="shared" si="26"/>
        <v/>
      </c>
      <c r="H6798" s="59" t="str">
        <f t="shared" si="27"/>
        <v>28C05090</v>
      </c>
      <c r="I6798" s="59" t="str">
        <f>IF(OR($A6798="",$C6798="",$D6798="",$E6798="",$H6798=""),"",SUMIFS(DATA_GOC!$H:$H,DATA_GOC!$A:$A,"BOM",DATA_GOC!$D:$D,$H6798,DATA_GOC!$E:$E,$C6798,DATA_GOC!$F:$F,"Xuất nội bộ từ téc",DATA_GOC!$B:$B,"&gt;="&amp;$D6798,DATA_GOC!$B:$B,"&lt;="&amp;$E6798))</f>
        <v/>
      </c>
      <c r="J6798" s="59">
        <f t="shared" si="28"/>
        <v>0</v>
      </c>
      <c r="K6798" s="59">
        <f t="shared" si="29"/>
        <v>0</v>
      </c>
      <c r="L6798" s="59">
        <f t="shared" si="30"/>
        <v>0</v>
      </c>
      <c r="M6798" s="59">
        <f t="shared" si="31"/>
        <v>0</v>
      </c>
    </row>
    <row r="6799" ht="15.0" hidden="1" customHeight="1">
      <c r="A6799" s="59">
        <f t="shared" si="20"/>
        <v>110</v>
      </c>
      <c r="B6799" s="59" t="str">
        <f t="shared" si="21"/>
        <v/>
      </c>
      <c r="C6799" s="59" t="str">
        <f t="shared" si="22"/>
        <v/>
      </c>
      <c r="D6799" s="45" t="str">
        <f t="shared" si="23"/>
        <v/>
      </c>
      <c r="E6799" s="45" t="str">
        <f t="shared" si="24"/>
        <v/>
      </c>
      <c r="F6799" s="59" t="str">
        <f t="shared" si="25"/>
        <v/>
      </c>
      <c r="G6799" s="59" t="str">
        <f t="shared" si="26"/>
        <v/>
      </c>
      <c r="H6799" s="59" t="str">
        <f t="shared" si="27"/>
        <v>28C05345</v>
      </c>
      <c r="I6799" s="59" t="str">
        <f>IF(OR($A6799="",$C6799="",$D6799="",$E6799="",$H6799=""),"",SUMIFS(DATA_GOC!$H:$H,DATA_GOC!$A:$A,"BOM",DATA_GOC!$D:$D,$H6799,DATA_GOC!$E:$E,$C6799,DATA_GOC!$F:$F,"Xuất nội bộ từ téc",DATA_GOC!$B:$B,"&gt;="&amp;$D6799,DATA_GOC!$B:$B,"&lt;="&amp;$E6799))</f>
        <v/>
      </c>
      <c r="J6799" s="59">
        <f t="shared" si="28"/>
        <v>0</v>
      </c>
      <c r="K6799" s="59">
        <f t="shared" si="29"/>
        <v>0</v>
      </c>
      <c r="L6799" s="59">
        <f t="shared" si="30"/>
        <v>0</v>
      </c>
      <c r="M6799" s="59">
        <f t="shared" si="31"/>
        <v>0</v>
      </c>
    </row>
    <row r="6800" ht="15.0" hidden="1" customHeight="1">
      <c r="A6800" s="59">
        <f t="shared" si="20"/>
        <v>110</v>
      </c>
      <c r="B6800" s="59" t="str">
        <f t="shared" si="21"/>
        <v/>
      </c>
      <c r="C6800" s="59" t="str">
        <f t="shared" si="22"/>
        <v/>
      </c>
      <c r="D6800" s="45" t="str">
        <f t="shared" si="23"/>
        <v/>
      </c>
      <c r="E6800" s="45" t="str">
        <f t="shared" si="24"/>
        <v/>
      </c>
      <c r="F6800" s="59" t="str">
        <f t="shared" si="25"/>
        <v/>
      </c>
      <c r="G6800" s="59" t="str">
        <f t="shared" si="26"/>
        <v/>
      </c>
      <c r="H6800" s="59" t="str">
        <f t="shared" si="27"/>
        <v>28C05661</v>
      </c>
      <c r="I6800" s="59" t="str">
        <f>IF(OR($A6800="",$C6800="",$D6800="",$E6800="",$H6800=""),"",SUMIFS(DATA_GOC!$H:$H,DATA_GOC!$A:$A,"BOM",DATA_GOC!$D:$D,$H6800,DATA_GOC!$E:$E,$C6800,DATA_GOC!$F:$F,"Xuất nội bộ từ téc",DATA_GOC!$B:$B,"&gt;="&amp;$D6800,DATA_GOC!$B:$B,"&lt;="&amp;$E6800))</f>
        <v/>
      </c>
      <c r="J6800" s="59">
        <f t="shared" si="28"/>
        <v>0</v>
      </c>
      <c r="K6800" s="59">
        <f t="shared" si="29"/>
        <v>0</v>
      </c>
      <c r="L6800" s="59">
        <f t="shared" si="30"/>
        <v>0</v>
      </c>
      <c r="M6800" s="59">
        <f t="shared" si="31"/>
        <v>0</v>
      </c>
    </row>
    <row r="6801" ht="15.0" hidden="1" customHeight="1">
      <c r="A6801" s="59">
        <f t="shared" si="20"/>
        <v>110</v>
      </c>
      <c r="B6801" s="59" t="str">
        <f t="shared" si="21"/>
        <v/>
      </c>
      <c r="C6801" s="59" t="str">
        <f t="shared" si="22"/>
        <v/>
      </c>
      <c r="D6801" s="45" t="str">
        <f t="shared" si="23"/>
        <v/>
      </c>
      <c r="E6801" s="45" t="str">
        <f t="shared" si="24"/>
        <v/>
      </c>
      <c r="F6801" s="59" t="str">
        <f t="shared" si="25"/>
        <v/>
      </c>
      <c r="G6801" s="59" t="str">
        <f t="shared" si="26"/>
        <v/>
      </c>
      <c r="H6801" s="59" t="str">
        <f t="shared" si="27"/>
        <v>28C05739</v>
      </c>
      <c r="I6801" s="59" t="str">
        <f>IF(OR($A6801="",$C6801="",$D6801="",$E6801="",$H6801=""),"",SUMIFS(DATA_GOC!$H:$H,DATA_GOC!$A:$A,"BOM",DATA_GOC!$D:$D,$H6801,DATA_GOC!$E:$E,$C6801,DATA_GOC!$F:$F,"Xuất nội bộ từ téc",DATA_GOC!$B:$B,"&gt;="&amp;$D6801,DATA_GOC!$B:$B,"&lt;="&amp;$E6801))</f>
        <v/>
      </c>
      <c r="J6801" s="59">
        <f t="shared" si="28"/>
        <v>0</v>
      </c>
      <c r="K6801" s="59">
        <f t="shared" si="29"/>
        <v>0</v>
      </c>
      <c r="L6801" s="59">
        <f t="shared" si="30"/>
        <v>0</v>
      </c>
      <c r="M6801" s="59">
        <f t="shared" si="31"/>
        <v>0</v>
      </c>
    </row>
    <row r="6802" ht="15.0" hidden="1" customHeight="1">
      <c r="A6802" s="59">
        <f t="shared" si="20"/>
        <v>110</v>
      </c>
      <c r="B6802" s="59" t="str">
        <f t="shared" si="21"/>
        <v/>
      </c>
      <c r="C6802" s="59" t="str">
        <f t="shared" si="22"/>
        <v/>
      </c>
      <c r="D6802" s="45" t="str">
        <f t="shared" si="23"/>
        <v/>
      </c>
      <c r="E6802" s="45" t="str">
        <f t="shared" si="24"/>
        <v/>
      </c>
      <c r="F6802" s="59" t="str">
        <f t="shared" si="25"/>
        <v/>
      </c>
      <c r="G6802" s="59" t="str">
        <f t="shared" si="26"/>
        <v/>
      </c>
      <c r="H6802" s="59" t="str">
        <f t="shared" si="27"/>
        <v>28C06369</v>
      </c>
      <c r="I6802" s="59" t="str">
        <f>IF(OR($A6802="",$C6802="",$D6802="",$E6802="",$H6802=""),"",SUMIFS(DATA_GOC!$H:$H,DATA_GOC!$A:$A,"BOM",DATA_GOC!$D:$D,$H6802,DATA_GOC!$E:$E,$C6802,DATA_GOC!$F:$F,"Xuất nội bộ từ téc",DATA_GOC!$B:$B,"&gt;="&amp;$D6802,DATA_GOC!$B:$B,"&lt;="&amp;$E6802))</f>
        <v/>
      </c>
      <c r="J6802" s="59">
        <f t="shared" si="28"/>
        <v>0</v>
      </c>
      <c r="K6802" s="59">
        <f t="shared" si="29"/>
        <v>0</v>
      </c>
      <c r="L6802" s="59">
        <f t="shared" si="30"/>
        <v>0</v>
      </c>
      <c r="M6802" s="59">
        <f t="shared" si="31"/>
        <v>0</v>
      </c>
    </row>
    <row r="6803" ht="15.0" hidden="1" customHeight="1">
      <c r="A6803" s="59">
        <f t="shared" si="20"/>
        <v>110</v>
      </c>
      <c r="B6803" s="59" t="str">
        <f t="shared" si="21"/>
        <v/>
      </c>
      <c r="C6803" s="59" t="str">
        <f t="shared" si="22"/>
        <v/>
      </c>
      <c r="D6803" s="45" t="str">
        <f t="shared" si="23"/>
        <v/>
      </c>
      <c r="E6803" s="45" t="str">
        <f t="shared" si="24"/>
        <v/>
      </c>
      <c r="F6803" s="59" t="str">
        <f t="shared" si="25"/>
        <v/>
      </c>
      <c r="G6803" s="59" t="str">
        <f t="shared" si="26"/>
        <v/>
      </c>
      <c r="H6803" s="59" t="str">
        <f t="shared" si="27"/>
        <v>28C06447</v>
      </c>
      <c r="I6803" s="59" t="str">
        <f>IF(OR($A6803="",$C6803="",$D6803="",$E6803="",$H6803=""),"",SUMIFS(DATA_GOC!$H:$H,DATA_GOC!$A:$A,"BOM",DATA_GOC!$D:$D,$H6803,DATA_GOC!$E:$E,$C6803,DATA_GOC!$F:$F,"Xuất nội bộ từ téc",DATA_GOC!$B:$B,"&gt;="&amp;$D6803,DATA_GOC!$B:$B,"&lt;="&amp;$E6803))</f>
        <v/>
      </c>
      <c r="J6803" s="59">
        <f t="shared" si="28"/>
        <v>0</v>
      </c>
      <c r="K6803" s="59">
        <f t="shared" si="29"/>
        <v>0</v>
      </c>
      <c r="L6803" s="59">
        <f t="shared" si="30"/>
        <v>0</v>
      </c>
      <c r="M6803" s="59">
        <f t="shared" si="31"/>
        <v>0</v>
      </c>
    </row>
    <row r="6804" ht="15.0" hidden="1" customHeight="1">
      <c r="A6804" s="59">
        <f t="shared" si="20"/>
        <v>110</v>
      </c>
      <c r="B6804" s="59" t="str">
        <f t="shared" si="21"/>
        <v/>
      </c>
      <c r="C6804" s="59" t="str">
        <f t="shared" si="22"/>
        <v/>
      </c>
      <c r="D6804" s="45" t="str">
        <f t="shared" si="23"/>
        <v/>
      </c>
      <c r="E6804" s="45" t="str">
        <f t="shared" si="24"/>
        <v/>
      </c>
      <c r="F6804" s="59" t="str">
        <f t="shared" si="25"/>
        <v/>
      </c>
      <c r="G6804" s="59" t="str">
        <f t="shared" si="26"/>
        <v/>
      </c>
      <c r="H6804" s="59" t="str">
        <f t="shared" si="27"/>
        <v>28H00003</v>
      </c>
      <c r="I6804" s="59" t="str">
        <f>IF(OR($A6804="",$C6804="",$D6804="",$E6804="",$H6804=""),"",SUMIFS(DATA_GOC!$H:$H,DATA_GOC!$A:$A,"BOM",DATA_GOC!$D:$D,$H6804,DATA_GOC!$E:$E,$C6804,DATA_GOC!$F:$F,"Xuất nội bộ từ téc",DATA_GOC!$B:$B,"&gt;="&amp;$D6804,DATA_GOC!$B:$B,"&lt;="&amp;$E6804))</f>
        <v/>
      </c>
      <c r="J6804" s="59">
        <f t="shared" si="28"/>
        <v>0</v>
      </c>
      <c r="K6804" s="59">
        <f t="shared" si="29"/>
        <v>0</v>
      </c>
      <c r="L6804" s="59">
        <f t="shared" si="30"/>
        <v>0</v>
      </c>
      <c r="M6804" s="59">
        <f t="shared" si="31"/>
        <v>0</v>
      </c>
    </row>
    <row r="6805" ht="15.0" hidden="1" customHeight="1">
      <c r="A6805" s="59">
        <f t="shared" si="20"/>
        <v>110</v>
      </c>
      <c r="B6805" s="59" t="str">
        <f t="shared" si="21"/>
        <v/>
      </c>
      <c r="C6805" s="59" t="str">
        <f t="shared" si="22"/>
        <v/>
      </c>
      <c r="D6805" s="45" t="str">
        <f t="shared" si="23"/>
        <v/>
      </c>
      <c r="E6805" s="45" t="str">
        <f t="shared" si="24"/>
        <v/>
      </c>
      <c r="F6805" s="59" t="str">
        <f t="shared" si="25"/>
        <v/>
      </c>
      <c r="G6805" s="59" t="str">
        <f t="shared" si="26"/>
        <v/>
      </c>
      <c r="H6805" s="59" t="str">
        <f t="shared" si="27"/>
        <v>28H00061</v>
      </c>
      <c r="I6805" s="59" t="str">
        <f>IF(OR($A6805="",$C6805="",$D6805="",$E6805="",$H6805=""),"",SUMIFS(DATA_GOC!$H:$H,DATA_GOC!$A:$A,"BOM",DATA_GOC!$D:$D,$H6805,DATA_GOC!$E:$E,$C6805,DATA_GOC!$F:$F,"Xuất nội bộ từ téc",DATA_GOC!$B:$B,"&gt;="&amp;$D6805,DATA_GOC!$B:$B,"&lt;="&amp;$E6805))</f>
        <v/>
      </c>
      <c r="J6805" s="59">
        <f t="shared" si="28"/>
        <v>0</v>
      </c>
      <c r="K6805" s="59">
        <f t="shared" si="29"/>
        <v>0</v>
      </c>
      <c r="L6805" s="59">
        <f t="shared" si="30"/>
        <v>0</v>
      </c>
      <c r="M6805" s="59">
        <f t="shared" si="31"/>
        <v>0</v>
      </c>
    </row>
    <row r="6806" ht="15.0" hidden="1" customHeight="1">
      <c r="A6806" s="59">
        <f t="shared" si="20"/>
        <v>110</v>
      </c>
      <c r="B6806" s="59" t="str">
        <f t="shared" si="21"/>
        <v/>
      </c>
      <c r="C6806" s="59" t="str">
        <f t="shared" si="22"/>
        <v/>
      </c>
      <c r="D6806" s="45" t="str">
        <f t="shared" si="23"/>
        <v/>
      </c>
      <c r="E6806" s="45" t="str">
        <f t="shared" si="24"/>
        <v/>
      </c>
      <c r="F6806" s="59" t="str">
        <f t="shared" si="25"/>
        <v/>
      </c>
      <c r="G6806" s="59" t="str">
        <f t="shared" si="26"/>
        <v/>
      </c>
      <c r="H6806" s="59" t="str">
        <f t="shared" si="27"/>
        <v>28H00354</v>
      </c>
      <c r="I6806" s="59" t="str">
        <f>IF(OR($A6806="",$C6806="",$D6806="",$E6806="",$H6806=""),"",SUMIFS(DATA_GOC!$H:$H,DATA_GOC!$A:$A,"BOM",DATA_GOC!$D:$D,$H6806,DATA_GOC!$E:$E,$C6806,DATA_GOC!$F:$F,"Xuất nội bộ từ téc",DATA_GOC!$B:$B,"&gt;="&amp;$D6806,DATA_GOC!$B:$B,"&lt;="&amp;$E6806))</f>
        <v/>
      </c>
      <c r="J6806" s="59">
        <f t="shared" si="28"/>
        <v>0</v>
      </c>
      <c r="K6806" s="59">
        <f t="shared" si="29"/>
        <v>0</v>
      </c>
      <c r="L6806" s="59">
        <f t="shared" si="30"/>
        <v>0</v>
      </c>
      <c r="M6806" s="59">
        <f t="shared" si="31"/>
        <v>0</v>
      </c>
    </row>
    <row r="6807" ht="15.0" hidden="1" customHeight="1">
      <c r="A6807" s="59">
        <f t="shared" si="20"/>
        <v>110</v>
      </c>
      <c r="B6807" s="59" t="str">
        <f t="shared" si="21"/>
        <v/>
      </c>
      <c r="C6807" s="59" t="str">
        <f t="shared" si="22"/>
        <v/>
      </c>
      <c r="D6807" s="45" t="str">
        <f t="shared" si="23"/>
        <v/>
      </c>
      <c r="E6807" s="45" t="str">
        <f t="shared" si="24"/>
        <v/>
      </c>
      <c r="F6807" s="59" t="str">
        <f t="shared" si="25"/>
        <v/>
      </c>
      <c r="G6807" s="59" t="str">
        <f t="shared" si="26"/>
        <v/>
      </c>
      <c r="H6807" s="59" t="str">
        <f t="shared" si="27"/>
        <v>28H00603</v>
      </c>
      <c r="I6807" s="59" t="str">
        <f>IF(OR($A6807="",$C6807="",$D6807="",$E6807="",$H6807=""),"",SUMIFS(DATA_GOC!$H:$H,DATA_GOC!$A:$A,"BOM",DATA_GOC!$D:$D,$H6807,DATA_GOC!$E:$E,$C6807,DATA_GOC!$F:$F,"Xuất nội bộ từ téc",DATA_GOC!$B:$B,"&gt;="&amp;$D6807,DATA_GOC!$B:$B,"&lt;="&amp;$E6807))</f>
        <v/>
      </c>
      <c r="J6807" s="59">
        <f t="shared" si="28"/>
        <v>0</v>
      </c>
      <c r="K6807" s="59">
        <f t="shared" si="29"/>
        <v>0</v>
      </c>
      <c r="L6807" s="59">
        <f t="shared" si="30"/>
        <v>0</v>
      </c>
      <c r="M6807" s="59">
        <f t="shared" si="31"/>
        <v>0</v>
      </c>
    </row>
    <row r="6808" ht="15.0" hidden="1" customHeight="1">
      <c r="A6808" s="59">
        <f t="shared" si="20"/>
        <v>110</v>
      </c>
      <c r="B6808" s="59" t="str">
        <f t="shared" si="21"/>
        <v/>
      </c>
      <c r="C6808" s="59" t="str">
        <f t="shared" si="22"/>
        <v/>
      </c>
      <c r="D6808" s="45" t="str">
        <f t="shared" si="23"/>
        <v/>
      </c>
      <c r="E6808" s="45" t="str">
        <f t="shared" si="24"/>
        <v/>
      </c>
      <c r="F6808" s="59" t="str">
        <f t="shared" si="25"/>
        <v/>
      </c>
      <c r="G6808" s="59" t="str">
        <f t="shared" si="26"/>
        <v/>
      </c>
      <c r="H6808" s="59" t="str">
        <f t="shared" si="27"/>
        <v>28H00609</v>
      </c>
      <c r="I6808" s="59" t="str">
        <f>IF(OR($A6808="",$C6808="",$D6808="",$E6808="",$H6808=""),"",SUMIFS(DATA_GOC!$H:$H,DATA_GOC!$A:$A,"BOM",DATA_GOC!$D:$D,$H6808,DATA_GOC!$E:$E,$C6808,DATA_GOC!$F:$F,"Xuất nội bộ từ téc",DATA_GOC!$B:$B,"&gt;="&amp;$D6808,DATA_GOC!$B:$B,"&lt;="&amp;$E6808))</f>
        <v/>
      </c>
      <c r="J6808" s="59">
        <f t="shared" si="28"/>
        <v>0</v>
      </c>
      <c r="K6808" s="59">
        <f t="shared" si="29"/>
        <v>0</v>
      </c>
      <c r="L6808" s="59">
        <f t="shared" si="30"/>
        <v>0</v>
      </c>
      <c r="M6808" s="59">
        <f t="shared" si="31"/>
        <v>0</v>
      </c>
    </row>
    <row r="6809" ht="15.0" hidden="1" customHeight="1">
      <c r="A6809" s="59">
        <f t="shared" si="20"/>
        <v>110</v>
      </c>
      <c r="B6809" s="59" t="str">
        <f t="shared" si="21"/>
        <v/>
      </c>
      <c r="C6809" s="59" t="str">
        <f t="shared" si="22"/>
        <v/>
      </c>
      <c r="D6809" s="45" t="str">
        <f t="shared" si="23"/>
        <v/>
      </c>
      <c r="E6809" s="45" t="str">
        <f t="shared" si="24"/>
        <v/>
      </c>
      <c r="F6809" s="59" t="str">
        <f t="shared" si="25"/>
        <v/>
      </c>
      <c r="G6809" s="59" t="str">
        <f t="shared" si="26"/>
        <v/>
      </c>
      <c r="H6809" s="59" t="str">
        <f t="shared" si="27"/>
        <v>28H00669</v>
      </c>
      <c r="I6809" s="59" t="str">
        <f>IF(OR($A6809="",$C6809="",$D6809="",$E6809="",$H6809=""),"",SUMIFS(DATA_GOC!$H:$H,DATA_GOC!$A:$A,"BOM",DATA_GOC!$D:$D,$H6809,DATA_GOC!$E:$E,$C6809,DATA_GOC!$F:$F,"Xuất nội bộ từ téc",DATA_GOC!$B:$B,"&gt;="&amp;$D6809,DATA_GOC!$B:$B,"&lt;="&amp;$E6809))</f>
        <v/>
      </c>
      <c r="J6809" s="59">
        <f t="shared" si="28"/>
        <v>0</v>
      </c>
      <c r="K6809" s="59">
        <f t="shared" si="29"/>
        <v>0</v>
      </c>
      <c r="L6809" s="59">
        <f t="shared" si="30"/>
        <v>0</v>
      </c>
      <c r="M6809" s="59">
        <f t="shared" si="31"/>
        <v>0</v>
      </c>
    </row>
    <row r="6810" ht="15.0" hidden="1" customHeight="1">
      <c r="A6810" s="59">
        <f t="shared" si="20"/>
        <v>110</v>
      </c>
      <c r="B6810" s="59" t="str">
        <f t="shared" si="21"/>
        <v/>
      </c>
      <c r="C6810" s="59" t="str">
        <f t="shared" si="22"/>
        <v/>
      </c>
      <c r="D6810" s="45" t="str">
        <f t="shared" si="23"/>
        <v/>
      </c>
      <c r="E6810" s="45" t="str">
        <f t="shared" si="24"/>
        <v/>
      </c>
      <c r="F6810" s="59" t="str">
        <f t="shared" si="25"/>
        <v/>
      </c>
      <c r="G6810" s="59" t="str">
        <f t="shared" si="26"/>
        <v/>
      </c>
      <c r="H6810" s="59" t="str">
        <f t="shared" si="27"/>
        <v>28H00680</v>
      </c>
      <c r="I6810" s="59" t="str">
        <f>IF(OR($A6810="",$C6810="",$D6810="",$E6810="",$H6810=""),"",SUMIFS(DATA_GOC!$H:$H,DATA_GOC!$A:$A,"BOM",DATA_GOC!$D:$D,$H6810,DATA_GOC!$E:$E,$C6810,DATA_GOC!$F:$F,"Xuất nội bộ từ téc",DATA_GOC!$B:$B,"&gt;="&amp;$D6810,DATA_GOC!$B:$B,"&lt;="&amp;$E6810))</f>
        <v/>
      </c>
      <c r="J6810" s="59">
        <f t="shared" si="28"/>
        <v>0</v>
      </c>
      <c r="K6810" s="59">
        <f t="shared" si="29"/>
        <v>0</v>
      </c>
      <c r="L6810" s="59">
        <f t="shared" si="30"/>
        <v>0</v>
      </c>
      <c r="M6810" s="59">
        <f t="shared" si="31"/>
        <v>0</v>
      </c>
    </row>
    <row r="6811" ht="15.0" hidden="1" customHeight="1">
      <c r="A6811" s="59">
        <f t="shared" si="20"/>
        <v>110</v>
      </c>
      <c r="B6811" s="59" t="str">
        <f t="shared" si="21"/>
        <v/>
      </c>
      <c r="C6811" s="59" t="str">
        <f t="shared" si="22"/>
        <v/>
      </c>
      <c r="D6811" s="45" t="str">
        <f t="shared" si="23"/>
        <v/>
      </c>
      <c r="E6811" s="45" t="str">
        <f t="shared" si="24"/>
        <v/>
      </c>
      <c r="F6811" s="59" t="str">
        <f t="shared" si="25"/>
        <v/>
      </c>
      <c r="G6811" s="59" t="str">
        <f t="shared" si="26"/>
        <v/>
      </c>
      <c r="H6811" s="59" t="str">
        <f t="shared" si="27"/>
        <v>28H01070</v>
      </c>
      <c r="I6811" s="59" t="str">
        <f>IF(OR($A6811="",$C6811="",$D6811="",$E6811="",$H6811=""),"",SUMIFS(DATA_GOC!$H:$H,DATA_GOC!$A:$A,"BOM",DATA_GOC!$D:$D,$H6811,DATA_GOC!$E:$E,$C6811,DATA_GOC!$F:$F,"Xuất nội bộ từ téc",DATA_GOC!$B:$B,"&gt;="&amp;$D6811,DATA_GOC!$B:$B,"&lt;="&amp;$E6811))</f>
        <v/>
      </c>
      <c r="J6811" s="59">
        <f t="shared" si="28"/>
        <v>0</v>
      </c>
      <c r="K6811" s="59">
        <f t="shared" si="29"/>
        <v>0</v>
      </c>
      <c r="L6811" s="59">
        <f t="shared" si="30"/>
        <v>0</v>
      </c>
      <c r="M6811" s="59">
        <f t="shared" si="31"/>
        <v>0</v>
      </c>
    </row>
    <row r="6812" ht="15.0" hidden="1" customHeight="1">
      <c r="A6812" s="59">
        <f t="shared" si="20"/>
        <v>110</v>
      </c>
      <c r="B6812" s="59" t="str">
        <f t="shared" si="21"/>
        <v/>
      </c>
      <c r="C6812" s="59" t="str">
        <f t="shared" si="22"/>
        <v/>
      </c>
      <c r="D6812" s="45" t="str">
        <f t="shared" si="23"/>
        <v/>
      </c>
      <c r="E6812" s="45" t="str">
        <f t="shared" si="24"/>
        <v/>
      </c>
      <c r="F6812" s="59" t="str">
        <f t="shared" si="25"/>
        <v/>
      </c>
      <c r="G6812" s="59" t="str">
        <f t="shared" si="26"/>
        <v/>
      </c>
      <c r="H6812" s="59" t="str">
        <f t="shared" si="27"/>
        <v>28H01364</v>
      </c>
      <c r="I6812" s="59" t="str">
        <f>IF(OR($A6812="",$C6812="",$D6812="",$E6812="",$H6812=""),"",SUMIFS(DATA_GOC!$H:$H,DATA_GOC!$A:$A,"BOM",DATA_GOC!$D:$D,$H6812,DATA_GOC!$E:$E,$C6812,DATA_GOC!$F:$F,"Xuất nội bộ từ téc",DATA_GOC!$B:$B,"&gt;="&amp;$D6812,DATA_GOC!$B:$B,"&lt;="&amp;$E6812))</f>
        <v/>
      </c>
      <c r="J6812" s="59">
        <f t="shared" si="28"/>
        <v>0</v>
      </c>
      <c r="K6812" s="59">
        <f t="shared" si="29"/>
        <v>0</v>
      </c>
      <c r="L6812" s="59">
        <f t="shared" si="30"/>
        <v>0</v>
      </c>
      <c r="M6812" s="59">
        <f t="shared" si="31"/>
        <v>0</v>
      </c>
    </row>
    <row r="6813" ht="15.0" hidden="1" customHeight="1">
      <c r="A6813" s="59">
        <f t="shared" si="20"/>
        <v>110</v>
      </c>
      <c r="B6813" s="59" t="str">
        <f t="shared" si="21"/>
        <v/>
      </c>
      <c r="C6813" s="59" t="str">
        <f t="shared" si="22"/>
        <v/>
      </c>
      <c r="D6813" s="45" t="str">
        <f t="shared" si="23"/>
        <v/>
      </c>
      <c r="E6813" s="45" t="str">
        <f t="shared" si="24"/>
        <v/>
      </c>
      <c r="F6813" s="59" t="str">
        <f t="shared" si="25"/>
        <v/>
      </c>
      <c r="G6813" s="59" t="str">
        <f t="shared" si="26"/>
        <v/>
      </c>
      <c r="H6813" s="59" t="str">
        <f t="shared" si="27"/>
        <v>29E17269</v>
      </c>
      <c r="I6813" s="59" t="str">
        <f>IF(OR($A6813="",$C6813="",$D6813="",$E6813="",$H6813=""),"",SUMIFS(DATA_GOC!$H:$H,DATA_GOC!$A:$A,"BOM",DATA_GOC!$D:$D,$H6813,DATA_GOC!$E:$E,$C6813,DATA_GOC!$F:$F,"Xuất nội bộ từ téc",DATA_GOC!$B:$B,"&gt;="&amp;$D6813,DATA_GOC!$B:$B,"&lt;="&amp;$E6813))</f>
        <v/>
      </c>
      <c r="J6813" s="59">
        <f t="shared" si="28"/>
        <v>0</v>
      </c>
      <c r="K6813" s="59">
        <f t="shared" si="29"/>
        <v>0</v>
      </c>
      <c r="L6813" s="59">
        <f t="shared" si="30"/>
        <v>0</v>
      </c>
      <c r="M6813" s="59">
        <f t="shared" si="31"/>
        <v>0</v>
      </c>
    </row>
    <row r="6814" ht="15.0" hidden="1" customHeight="1">
      <c r="A6814" s="59">
        <f t="shared" si="20"/>
        <v>110</v>
      </c>
      <c r="B6814" s="59" t="str">
        <f t="shared" si="21"/>
        <v/>
      </c>
      <c r="C6814" s="59" t="str">
        <f t="shared" si="22"/>
        <v/>
      </c>
      <c r="D6814" s="45" t="str">
        <f t="shared" si="23"/>
        <v/>
      </c>
      <c r="E6814" s="45" t="str">
        <f t="shared" si="24"/>
        <v/>
      </c>
      <c r="F6814" s="59" t="str">
        <f t="shared" si="25"/>
        <v/>
      </c>
      <c r="G6814" s="59" t="str">
        <f t="shared" si="26"/>
        <v/>
      </c>
      <c r="H6814" s="59" t="str">
        <f t="shared" si="27"/>
        <v>29E17273</v>
      </c>
      <c r="I6814" s="59" t="str">
        <f>IF(OR($A6814="",$C6814="",$D6814="",$E6814="",$H6814=""),"",SUMIFS(DATA_GOC!$H:$H,DATA_GOC!$A:$A,"BOM",DATA_GOC!$D:$D,$H6814,DATA_GOC!$E:$E,$C6814,DATA_GOC!$F:$F,"Xuất nội bộ từ téc",DATA_GOC!$B:$B,"&gt;="&amp;$D6814,DATA_GOC!$B:$B,"&lt;="&amp;$E6814))</f>
        <v/>
      </c>
      <c r="J6814" s="59">
        <f t="shared" si="28"/>
        <v>0</v>
      </c>
      <c r="K6814" s="59">
        <f t="shared" si="29"/>
        <v>0</v>
      </c>
      <c r="L6814" s="59">
        <f t="shared" si="30"/>
        <v>0</v>
      </c>
      <c r="M6814" s="59">
        <f t="shared" si="31"/>
        <v>0</v>
      </c>
    </row>
    <row r="6815" ht="15.0" hidden="1" customHeight="1">
      <c r="A6815" s="59">
        <f t="shared" si="20"/>
        <v>110</v>
      </c>
      <c r="B6815" s="59" t="str">
        <f t="shared" si="21"/>
        <v/>
      </c>
      <c r="C6815" s="59" t="str">
        <f t="shared" si="22"/>
        <v/>
      </c>
      <c r="D6815" s="45" t="str">
        <f t="shared" si="23"/>
        <v/>
      </c>
      <c r="E6815" s="45" t="str">
        <f t="shared" si="24"/>
        <v/>
      </c>
      <c r="F6815" s="59" t="str">
        <f t="shared" si="25"/>
        <v/>
      </c>
      <c r="G6815" s="59" t="str">
        <f t="shared" si="26"/>
        <v/>
      </c>
      <c r="H6815" s="59" t="str">
        <f t="shared" si="27"/>
        <v>29E17410</v>
      </c>
      <c r="I6815" s="59" t="str">
        <f>IF(OR($A6815="",$C6815="",$D6815="",$E6815="",$H6815=""),"",SUMIFS(DATA_GOC!$H:$H,DATA_GOC!$A:$A,"BOM",DATA_GOC!$D:$D,$H6815,DATA_GOC!$E:$E,$C6815,DATA_GOC!$F:$F,"Xuất nội bộ từ téc",DATA_GOC!$B:$B,"&gt;="&amp;$D6815,DATA_GOC!$B:$B,"&lt;="&amp;$E6815))</f>
        <v/>
      </c>
      <c r="J6815" s="59">
        <f t="shared" si="28"/>
        <v>0</v>
      </c>
      <c r="K6815" s="59">
        <f t="shared" si="29"/>
        <v>0</v>
      </c>
      <c r="L6815" s="59">
        <f t="shared" si="30"/>
        <v>0</v>
      </c>
      <c r="M6815" s="59">
        <f t="shared" si="31"/>
        <v>0</v>
      </c>
    </row>
    <row r="6816" ht="15.0" hidden="1" customHeight="1">
      <c r="A6816" s="59">
        <f t="shared" si="20"/>
        <v>110</v>
      </c>
      <c r="B6816" s="59" t="str">
        <f t="shared" si="21"/>
        <v/>
      </c>
      <c r="C6816" s="59" t="str">
        <f t="shared" si="22"/>
        <v/>
      </c>
      <c r="D6816" s="45" t="str">
        <f t="shared" si="23"/>
        <v/>
      </c>
      <c r="E6816" s="45" t="str">
        <f t="shared" si="24"/>
        <v/>
      </c>
      <c r="F6816" s="59" t="str">
        <f t="shared" si="25"/>
        <v/>
      </c>
      <c r="G6816" s="59" t="str">
        <f t="shared" si="26"/>
        <v/>
      </c>
      <c r="H6816" s="59" t="str">
        <f t="shared" si="27"/>
        <v>29E17417</v>
      </c>
      <c r="I6816" s="59" t="str">
        <f>IF(OR($A6816="",$C6816="",$D6816="",$E6816="",$H6816=""),"",SUMIFS(DATA_GOC!$H:$H,DATA_GOC!$A:$A,"BOM",DATA_GOC!$D:$D,$H6816,DATA_GOC!$E:$E,$C6816,DATA_GOC!$F:$F,"Xuất nội bộ từ téc",DATA_GOC!$B:$B,"&gt;="&amp;$D6816,DATA_GOC!$B:$B,"&lt;="&amp;$E6816))</f>
        <v/>
      </c>
      <c r="J6816" s="59">
        <f t="shared" si="28"/>
        <v>0</v>
      </c>
      <c r="K6816" s="59">
        <f t="shared" si="29"/>
        <v>0</v>
      </c>
      <c r="L6816" s="59">
        <f t="shared" si="30"/>
        <v>0</v>
      </c>
      <c r="M6816" s="59">
        <f t="shared" si="31"/>
        <v>0</v>
      </c>
    </row>
    <row r="6817" ht="15.0" hidden="1" customHeight="1">
      <c r="A6817" s="59">
        <f t="shared" si="20"/>
        <v>110</v>
      </c>
      <c r="B6817" s="59" t="str">
        <f t="shared" si="21"/>
        <v/>
      </c>
      <c r="C6817" s="59" t="str">
        <f t="shared" si="22"/>
        <v/>
      </c>
      <c r="D6817" s="45" t="str">
        <f t="shared" si="23"/>
        <v/>
      </c>
      <c r="E6817" s="45" t="str">
        <f t="shared" si="24"/>
        <v/>
      </c>
      <c r="F6817" s="59" t="str">
        <f t="shared" si="25"/>
        <v/>
      </c>
      <c r="G6817" s="59" t="str">
        <f t="shared" si="26"/>
        <v/>
      </c>
      <c r="H6817" s="59" t="str">
        <f t="shared" si="27"/>
        <v>29E17539</v>
      </c>
      <c r="I6817" s="59" t="str">
        <f>IF(OR($A6817="",$C6817="",$D6817="",$E6817="",$H6817=""),"",SUMIFS(DATA_GOC!$H:$H,DATA_GOC!$A:$A,"BOM",DATA_GOC!$D:$D,$H6817,DATA_GOC!$E:$E,$C6817,DATA_GOC!$F:$F,"Xuất nội bộ từ téc",DATA_GOC!$B:$B,"&gt;="&amp;$D6817,DATA_GOC!$B:$B,"&lt;="&amp;$E6817))</f>
        <v/>
      </c>
      <c r="J6817" s="59">
        <f t="shared" si="28"/>
        <v>0</v>
      </c>
      <c r="K6817" s="59">
        <f t="shared" si="29"/>
        <v>0</v>
      </c>
      <c r="L6817" s="59">
        <f t="shared" si="30"/>
        <v>0</v>
      </c>
      <c r="M6817" s="59">
        <f t="shared" si="31"/>
        <v>0</v>
      </c>
    </row>
    <row r="6818" ht="15.0" hidden="1" customHeight="1">
      <c r="A6818" s="59">
        <f t="shared" si="20"/>
        <v>110</v>
      </c>
      <c r="B6818" s="59" t="str">
        <f t="shared" si="21"/>
        <v/>
      </c>
      <c r="C6818" s="59" t="str">
        <f t="shared" si="22"/>
        <v/>
      </c>
      <c r="D6818" s="45" t="str">
        <f t="shared" si="23"/>
        <v/>
      </c>
      <c r="E6818" s="45" t="str">
        <f t="shared" si="24"/>
        <v/>
      </c>
      <c r="F6818" s="59" t="str">
        <f t="shared" si="25"/>
        <v/>
      </c>
      <c r="G6818" s="59" t="str">
        <f t="shared" si="26"/>
        <v/>
      </c>
      <c r="H6818" s="59" t="str">
        <f t="shared" si="27"/>
        <v>29E18160</v>
      </c>
      <c r="I6818" s="59" t="str">
        <f>IF(OR($A6818="",$C6818="",$D6818="",$E6818="",$H6818=""),"",SUMIFS(DATA_GOC!$H:$H,DATA_GOC!$A:$A,"BOM",DATA_GOC!$D:$D,$H6818,DATA_GOC!$E:$E,$C6818,DATA_GOC!$F:$F,"Xuất nội bộ từ téc",DATA_GOC!$B:$B,"&gt;="&amp;$D6818,DATA_GOC!$B:$B,"&lt;="&amp;$E6818))</f>
        <v/>
      </c>
      <c r="J6818" s="59">
        <f t="shared" si="28"/>
        <v>0</v>
      </c>
      <c r="K6818" s="59">
        <f t="shared" si="29"/>
        <v>0</v>
      </c>
      <c r="L6818" s="59">
        <f t="shared" si="30"/>
        <v>0</v>
      </c>
      <c r="M6818" s="59">
        <f t="shared" si="31"/>
        <v>0</v>
      </c>
    </row>
    <row r="6819" ht="15.0" hidden="1" customHeight="1">
      <c r="A6819" s="59">
        <f t="shared" si="20"/>
        <v>110</v>
      </c>
      <c r="B6819" s="59" t="str">
        <f t="shared" si="21"/>
        <v/>
      </c>
      <c r="C6819" s="59" t="str">
        <f t="shared" si="22"/>
        <v/>
      </c>
      <c r="D6819" s="45" t="str">
        <f t="shared" si="23"/>
        <v/>
      </c>
      <c r="E6819" s="45" t="str">
        <f t="shared" si="24"/>
        <v/>
      </c>
      <c r="F6819" s="59" t="str">
        <f t="shared" si="25"/>
        <v/>
      </c>
      <c r="G6819" s="59" t="str">
        <f t="shared" si="26"/>
        <v/>
      </c>
      <c r="H6819" s="59" t="str">
        <f t="shared" si="27"/>
        <v>Công trình Asphalt</v>
      </c>
      <c r="I6819" s="59" t="str">
        <f>IF(OR($A6819="",$C6819="",$D6819="",$E6819="",$H6819=""),"",SUMIFS(DATA_GOC!$H:$H,DATA_GOC!$A:$A,"BOM",DATA_GOC!$D:$D,$H6819,DATA_GOC!$E:$E,$C6819,DATA_GOC!$F:$F,"Xuất nội bộ từ téc",DATA_GOC!$B:$B,"&gt;="&amp;$D6819,DATA_GOC!$B:$B,"&lt;="&amp;$E6819))</f>
        <v/>
      </c>
      <c r="J6819" s="59">
        <f t="shared" si="28"/>
        <v>0</v>
      </c>
      <c r="K6819" s="59">
        <f t="shared" si="29"/>
        <v>0</v>
      </c>
      <c r="L6819" s="59">
        <f t="shared" si="30"/>
        <v>0</v>
      </c>
      <c r="M6819" s="59">
        <f t="shared" si="31"/>
        <v>0</v>
      </c>
    </row>
    <row r="6820" ht="15.0" hidden="1" customHeight="1">
      <c r="A6820" s="59">
        <f t="shared" si="20"/>
        <v>110</v>
      </c>
      <c r="B6820" s="59" t="str">
        <f t="shared" si="21"/>
        <v/>
      </c>
      <c r="C6820" s="59" t="str">
        <f t="shared" si="22"/>
        <v/>
      </c>
      <c r="D6820" s="45" t="str">
        <f t="shared" si="23"/>
        <v/>
      </c>
      <c r="E6820" s="45" t="str">
        <f t="shared" si="24"/>
        <v/>
      </c>
      <c r="F6820" s="59" t="str">
        <f t="shared" si="25"/>
        <v/>
      </c>
      <c r="G6820" s="59" t="str">
        <f t="shared" si="26"/>
        <v/>
      </c>
      <c r="H6820" s="59" t="str">
        <f t="shared" si="27"/>
        <v>LG53F</v>
      </c>
      <c r="I6820" s="59" t="str">
        <f>IF(OR($A6820="",$C6820="",$D6820="",$E6820="",$H6820=""),"",SUMIFS(DATA_GOC!$H:$H,DATA_GOC!$A:$A,"BOM",DATA_GOC!$D:$D,$H6820,DATA_GOC!$E:$E,$C6820,DATA_GOC!$F:$F,"Xuất nội bộ từ téc",DATA_GOC!$B:$B,"&gt;="&amp;$D6820,DATA_GOC!$B:$B,"&lt;="&amp;$E6820))</f>
        <v/>
      </c>
      <c r="J6820" s="59">
        <f t="shared" si="28"/>
        <v>0</v>
      </c>
      <c r="K6820" s="59">
        <f t="shared" si="29"/>
        <v>0</v>
      </c>
      <c r="L6820" s="59">
        <f t="shared" si="30"/>
        <v>0</v>
      </c>
      <c r="M6820" s="59">
        <f t="shared" si="31"/>
        <v>0</v>
      </c>
    </row>
    <row r="6821" ht="15.0" hidden="1" customHeight="1">
      <c r="A6821" s="59">
        <f t="shared" si="20"/>
        <v>110</v>
      </c>
      <c r="B6821" s="59" t="str">
        <f t="shared" si="21"/>
        <v/>
      </c>
      <c r="C6821" s="59" t="str">
        <f t="shared" si="22"/>
        <v/>
      </c>
      <c r="D6821" s="45" t="str">
        <f t="shared" si="23"/>
        <v/>
      </c>
      <c r="E6821" s="45" t="str">
        <f t="shared" si="24"/>
        <v/>
      </c>
      <c r="F6821" s="59" t="str">
        <f t="shared" si="25"/>
        <v/>
      </c>
      <c r="G6821" s="59" t="str">
        <f t="shared" si="26"/>
        <v/>
      </c>
      <c r="H6821" s="59" t="str">
        <f t="shared" si="27"/>
        <v>Máy phát điện</v>
      </c>
      <c r="I6821" s="59" t="str">
        <f>IF(OR($A6821="",$C6821="",$D6821="",$E6821="",$H6821=""),"",SUMIFS(DATA_GOC!$H:$H,DATA_GOC!$A:$A,"BOM",DATA_GOC!$D:$D,$H6821,DATA_GOC!$E:$E,$C6821,DATA_GOC!$F:$F,"Xuất nội bộ từ téc",DATA_GOC!$B:$B,"&gt;="&amp;$D6821,DATA_GOC!$B:$B,"&lt;="&amp;$E6821))</f>
        <v/>
      </c>
      <c r="J6821" s="59">
        <f t="shared" si="28"/>
        <v>0</v>
      </c>
      <c r="K6821" s="59">
        <f t="shared" si="29"/>
        <v>0</v>
      </c>
      <c r="L6821" s="59">
        <f t="shared" si="30"/>
        <v>0</v>
      </c>
      <c r="M6821" s="59">
        <f t="shared" si="31"/>
        <v>0</v>
      </c>
    </row>
    <row r="6822" ht="15.0" hidden="1" customHeight="1">
      <c r="A6822" s="59">
        <f t="shared" si="20"/>
        <v>110</v>
      </c>
      <c r="B6822" s="59" t="str">
        <f t="shared" si="21"/>
        <v/>
      </c>
      <c r="C6822" s="59" t="str">
        <f t="shared" si="22"/>
        <v/>
      </c>
      <c r="D6822" s="45" t="str">
        <f t="shared" si="23"/>
        <v/>
      </c>
      <c r="E6822" s="45" t="str">
        <f t="shared" si="24"/>
        <v/>
      </c>
      <c r="F6822" s="59" t="str">
        <f t="shared" si="25"/>
        <v/>
      </c>
      <c r="G6822" s="59" t="str">
        <f t="shared" si="26"/>
        <v/>
      </c>
      <c r="H6822" s="59" t="str">
        <f t="shared" si="27"/>
        <v>Máy rải thảm</v>
      </c>
      <c r="I6822" s="59" t="str">
        <f>IF(OR($A6822="",$C6822="",$D6822="",$E6822="",$H6822=""),"",SUMIFS(DATA_GOC!$H:$H,DATA_GOC!$A:$A,"BOM",DATA_GOC!$D:$D,$H6822,DATA_GOC!$E:$E,$C6822,DATA_GOC!$F:$F,"Xuất nội bộ từ téc",DATA_GOC!$B:$B,"&gt;="&amp;$D6822,DATA_GOC!$B:$B,"&lt;="&amp;$E6822))</f>
        <v/>
      </c>
      <c r="J6822" s="59">
        <f t="shared" si="28"/>
        <v>0</v>
      </c>
      <c r="K6822" s="59">
        <f t="shared" si="29"/>
        <v>0</v>
      </c>
      <c r="L6822" s="59">
        <f t="shared" si="30"/>
        <v>0</v>
      </c>
      <c r="M6822" s="59">
        <f t="shared" si="31"/>
        <v>0</v>
      </c>
    </row>
    <row r="6823" ht="15.0" hidden="1" customHeight="1">
      <c r="A6823" s="59">
        <f t="shared" si="20"/>
        <v>110</v>
      </c>
      <c r="B6823" s="59" t="str">
        <f t="shared" si="21"/>
        <v/>
      </c>
      <c r="C6823" s="59" t="str">
        <f t="shared" si="22"/>
        <v/>
      </c>
      <c r="D6823" s="45" t="str">
        <f t="shared" si="23"/>
        <v/>
      </c>
      <c r="E6823" s="45" t="str">
        <f t="shared" si="24"/>
        <v/>
      </c>
      <c r="F6823" s="59" t="str">
        <f t="shared" si="25"/>
        <v/>
      </c>
      <c r="G6823" s="59" t="str">
        <f t="shared" si="26"/>
        <v/>
      </c>
      <c r="H6823" s="59" t="str">
        <f t="shared" si="27"/>
        <v>Xúc Đào</v>
      </c>
      <c r="I6823" s="59" t="str">
        <f>IF(OR($A6823="",$C6823="",$D6823="",$E6823="",$H6823=""),"",SUMIFS(DATA_GOC!$H:$H,DATA_GOC!$A:$A,"BOM",DATA_GOC!$D:$D,$H6823,DATA_GOC!$E:$E,$C6823,DATA_GOC!$F:$F,"Xuất nội bộ từ téc",DATA_GOC!$B:$B,"&gt;="&amp;$D6823,DATA_GOC!$B:$B,"&lt;="&amp;$E6823))</f>
        <v/>
      </c>
      <c r="J6823" s="59">
        <f t="shared" si="28"/>
        <v>0</v>
      </c>
      <c r="K6823" s="59">
        <f t="shared" si="29"/>
        <v>0</v>
      </c>
      <c r="L6823" s="59">
        <f t="shared" si="30"/>
        <v>0</v>
      </c>
      <c r="M6823" s="59">
        <f t="shared" si="31"/>
        <v>0</v>
      </c>
    </row>
    <row r="6824" ht="15.0" hidden="1" customHeight="1">
      <c r="A6824" s="59">
        <f t="shared" si="20"/>
        <v>110</v>
      </c>
      <c r="B6824" s="59" t="str">
        <f t="shared" si="21"/>
        <v/>
      </c>
      <c r="C6824" s="59" t="str">
        <f t="shared" si="22"/>
        <v/>
      </c>
      <c r="D6824" s="45" t="str">
        <f t="shared" si="23"/>
        <v/>
      </c>
      <c r="E6824" s="45" t="str">
        <f t="shared" si="24"/>
        <v/>
      </c>
      <c r="F6824" s="59" t="str">
        <f t="shared" si="25"/>
        <v/>
      </c>
      <c r="G6824" s="59" t="str">
        <f t="shared" si="26"/>
        <v/>
      </c>
      <c r="H6824" s="59" t="str">
        <f t="shared" si="27"/>
        <v>Xúclật asphalt</v>
      </c>
      <c r="I6824" s="59" t="str">
        <f>IF(OR($A6824="",$C6824="",$D6824="",$E6824="",$H6824=""),"",SUMIFS(DATA_GOC!$H:$H,DATA_GOC!$A:$A,"BOM",DATA_GOC!$D:$D,$H6824,DATA_GOC!$E:$E,$C6824,DATA_GOC!$F:$F,"Xuất nội bộ từ téc",DATA_GOC!$B:$B,"&gt;="&amp;$D6824,DATA_GOC!$B:$B,"&lt;="&amp;$E6824))</f>
        <v/>
      </c>
      <c r="J6824" s="59">
        <f t="shared" si="28"/>
        <v>0</v>
      </c>
      <c r="K6824" s="59">
        <f t="shared" si="29"/>
        <v>0</v>
      </c>
      <c r="L6824" s="59">
        <f t="shared" si="30"/>
        <v>0</v>
      </c>
      <c r="M6824" s="59">
        <f t="shared" si="31"/>
        <v>0</v>
      </c>
    </row>
    <row r="6825" ht="15.0" hidden="1" customHeight="1">
      <c r="A6825" s="59">
        <f t="shared" si="20"/>
        <v>110</v>
      </c>
      <c r="B6825" s="59" t="str">
        <f t="shared" si="21"/>
        <v/>
      </c>
      <c r="C6825" s="59" t="str">
        <f t="shared" si="22"/>
        <v/>
      </c>
      <c r="D6825" s="45" t="str">
        <f t="shared" si="23"/>
        <v/>
      </c>
      <c r="E6825" s="45" t="str">
        <f t="shared" si="24"/>
        <v/>
      </c>
      <c r="F6825" s="59" t="str">
        <f t="shared" si="25"/>
        <v/>
      </c>
      <c r="G6825" s="59" t="str">
        <f t="shared" si="26"/>
        <v/>
      </c>
      <c r="H6825" s="59" t="str">
        <f t="shared" si="27"/>
        <v>Xúclật855H</v>
      </c>
      <c r="I6825" s="59" t="str">
        <f>IF(OR($A6825="",$C6825="",$D6825="",$E6825="",$H6825=""),"",SUMIFS(DATA_GOC!$H:$H,DATA_GOC!$A:$A,"BOM",DATA_GOC!$D:$D,$H6825,DATA_GOC!$E:$E,$C6825,DATA_GOC!$F:$F,"Xuất nội bộ từ téc",DATA_GOC!$B:$B,"&gt;="&amp;$D6825,DATA_GOC!$B:$B,"&lt;="&amp;$E6825))</f>
        <v/>
      </c>
      <c r="J6825" s="59">
        <f t="shared" si="28"/>
        <v>0</v>
      </c>
      <c r="K6825" s="59">
        <f t="shared" si="29"/>
        <v>0</v>
      </c>
      <c r="L6825" s="59">
        <f t="shared" si="30"/>
        <v>0</v>
      </c>
      <c r="M6825" s="59">
        <f t="shared" si="31"/>
        <v>0</v>
      </c>
    </row>
    <row r="6826" ht="15.0" hidden="1" customHeight="1">
      <c r="A6826" s="59">
        <f t="shared" si="20"/>
        <v>110</v>
      </c>
      <c r="B6826" s="59" t="str">
        <f t="shared" si="21"/>
        <v/>
      </c>
      <c r="C6826" s="59" t="str">
        <f t="shared" si="22"/>
        <v/>
      </c>
      <c r="D6826" s="45" t="str">
        <f t="shared" si="23"/>
        <v/>
      </c>
      <c r="E6826" s="45" t="str">
        <f t="shared" si="24"/>
        <v/>
      </c>
      <c r="F6826" s="59" t="str">
        <f t="shared" si="25"/>
        <v/>
      </c>
      <c r="G6826" s="59" t="str">
        <f t="shared" si="26"/>
        <v/>
      </c>
      <c r="H6826" s="59" t="str">
        <f t="shared" si="27"/>
        <v>Xúclật855N</v>
      </c>
      <c r="I6826" s="59" t="str">
        <f>IF(OR($A6826="",$C6826="",$D6826="",$E6826="",$H6826=""),"",SUMIFS(DATA_GOC!$H:$H,DATA_GOC!$A:$A,"BOM",DATA_GOC!$D:$D,$H6826,DATA_GOC!$E:$E,$C6826,DATA_GOC!$F:$F,"Xuất nội bộ từ téc",DATA_GOC!$B:$B,"&gt;="&amp;$D6826,DATA_GOC!$B:$B,"&lt;="&amp;$E6826))</f>
        <v/>
      </c>
      <c r="J6826" s="59">
        <f t="shared" si="28"/>
        <v>0</v>
      </c>
      <c r="K6826" s="59">
        <f t="shared" si="29"/>
        <v>0</v>
      </c>
      <c r="L6826" s="59">
        <f t="shared" si="30"/>
        <v>0</v>
      </c>
      <c r="M6826" s="59">
        <f t="shared" si="31"/>
        <v>0</v>
      </c>
    </row>
    <row r="6827" ht="15.0" hidden="1" customHeight="1">
      <c r="A6827" s="59">
        <f t="shared" si="20"/>
        <v>110</v>
      </c>
      <c r="B6827" s="59" t="str">
        <f t="shared" si="21"/>
        <v/>
      </c>
      <c r="C6827" s="59" t="str">
        <f t="shared" si="22"/>
        <v/>
      </c>
      <c r="D6827" s="45" t="str">
        <f t="shared" si="23"/>
        <v/>
      </c>
      <c r="E6827" s="45" t="str">
        <f t="shared" si="24"/>
        <v/>
      </c>
      <c r="F6827" s="59" t="str">
        <f t="shared" si="25"/>
        <v/>
      </c>
      <c r="G6827" s="59" t="str">
        <f t="shared" si="26"/>
        <v/>
      </c>
      <c r="H6827" s="59" t="str">
        <f t="shared" si="27"/>
        <v>Cát nghiền</v>
      </c>
      <c r="I6827" s="59" t="str">
        <f>IF(OR($A6827="",$C6827="",$D6827="",$E6827="",$H6827=""),"",SUMIFS(DATA_GOC!$H:$H,DATA_GOC!$A:$A,"BOM",DATA_GOC!$D:$D,$H6827,DATA_GOC!$E:$E,$C6827,DATA_GOC!$F:$F,"Xuất nội bộ từ téc",DATA_GOC!$B:$B,"&gt;="&amp;$D6827,DATA_GOC!$B:$B,"&lt;="&amp;$E6827))</f>
        <v/>
      </c>
      <c r="J6827" s="59">
        <f t="shared" si="28"/>
        <v>0</v>
      </c>
      <c r="K6827" s="59">
        <f t="shared" si="29"/>
        <v>0</v>
      </c>
      <c r="L6827" s="59">
        <f t="shared" si="30"/>
        <v>0</v>
      </c>
      <c r="M6827" s="59">
        <f t="shared" si="31"/>
        <v>0</v>
      </c>
    </row>
    <row r="6828" ht="15.0" hidden="1" customHeight="1">
      <c r="A6828" s="59">
        <f t="shared" si="20"/>
        <v>110</v>
      </c>
      <c r="B6828" s="59" t="str">
        <f t="shared" si="21"/>
        <v/>
      </c>
      <c r="C6828" s="59" t="str">
        <f t="shared" si="22"/>
        <v/>
      </c>
      <c r="D6828" s="45" t="str">
        <f t="shared" si="23"/>
        <v/>
      </c>
      <c r="E6828" s="45" t="str">
        <f t="shared" si="24"/>
        <v/>
      </c>
      <c r="F6828" s="59" t="str">
        <f t="shared" si="25"/>
        <v/>
      </c>
      <c r="G6828" s="59" t="str">
        <f t="shared" si="26"/>
        <v/>
      </c>
      <c r="H6828" s="59" t="str">
        <f t="shared" si="27"/>
        <v>28C02973</v>
      </c>
      <c r="I6828" s="59" t="str">
        <f>IF(OR($A6828="",$C6828="",$D6828="",$E6828="",$H6828=""),"",SUMIFS(DATA_GOC!$H:$H,DATA_GOC!$A:$A,"BOM",DATA_GOC!$D:$D,$H6828,DATA_GOC!$E:$E,$C6828,DATA_GOC!$F:$F,"Xuất nội bộ từ téc",DATA_GOC!$B:$B,"&gt;="&amp;$D6828,DATA_GOC!$B:$B,"&lt;="&amp;$E6828))</f>
        <v/>
      </c>
      <c r="J6828" s="59">
        <f t="shared" si="28"/>
        <v>0</v>
      </c>
      <c r="K6828" s="59">
        <f t="shared" si="29"/>
        <v>0</v>
      </c>
      <c r="L6828" s="59">
        <f t="shared" si="30"/>
        <v>0</v>
      </c>
      <c r="M6828" s="59">
        <f t="shared" si="31"/>
        <v>0</v>
      </c>
    </row>
    <row r="6829" ht="15.0" hidden="1" customHeight="1">
      <c r="A6829" s="59">
        <f t="shared" si="20"/>
        <v>110</v>
      </c>
      <c r="B6829" s="59" t="str">
        <f t="shared" si="21"/>
        <v/>
      </c>
      <c r="C6829" s="59" t="str">
        <f t="shared" si="22"/>
        <v/>
      </c>
      <c r="D6829" s="45" t="str">
        <f t="shared" si="23"/>
        <v/>
      </c>
      <c r="E6829" s="45" t="str">
        <f t="shared" si="24"/>
        <v/>
      </c>
      <c r="F6829" s="59" t="str">
        <f t="shared" si="25"/>
        <v/>
      </c>
      <c r="G6829" s="59" t="str">
        <f t="shared" si="26"/>
        <v/>
      </c>
      <c r="H6829" s="59" t="str">
        <f t="shared" si="27"/>
        <v>28C03044</v>
      </c>
      <c r="I6829" s="59" t="str">
        <f>IF(OR($A6829="",$C6829="",$D6829="",$E6829="",$H6829=""),"",SUMIFS(DATA_GOC!$H:$H,DATA_GOC!$A:$A,"BOM",DATA_GOC!$D:$D,$H6829,DATA_GOC!$E:$E,$C6829,DATA_GOC!$F:$F,"Xuất nội bộ từ téc",DATA_GOC!$B:$B,"&gt;="&amp;$D6829,DATA_GOC!$B:$B,"&lt;="&amp;$E6829))</f>
        <v/>
      </c>
      <c r="J6829" s="59">
        <f t="shared" si="28"/>
        <v>0</v>
      </c>
      <c r="K6829" s="59">
        <f t="shared" si="29"/>
        <v>0</v>
      </c>
      <c r="L6829" s="59">
        <f t="shared" si="30"/>
        <v>0</v>
      </c>
      <c r="M6829" s="59">
        <f t="shared" si="31"/>
        <v>0</v>
      </c>
    </row>
    <row r="6830" ht="15.0" hidden="1" customHeight="1">
      <c r="A6830" s="59">
        <f t="shared" si="20"/>
        <v>110</v>
      </c>
      <c r="B6830" s="59" t="str">
        <f t="shared" si="21"/>
        <v/>
      </c>
      <c r="C6830" s="59" t="str">
        <f t="shared" si="22"/>
        <v/>
      </c>
      <c r="D6830" s="45" t="str">
        <f t="shared" si="23"/>
        <v/>
      </c>
      <c r="E6830" s="45" t="str">
        <f t="shared" si="24"/>
        <v/>
      </c>
      <c r="F6830" s="59" t="str">
        <f t="shared" si="25"/>
        <v/>
      </c>
      <c r="G6830" s="59" t="str">
        <f t="shared" si="26"/>
        <v/>
      </c>
      <c r="H6830" s="59" t="str">
        <f t="shared" si="27"/>
        <v>Máy lu lốp</v>
      </c>
      <c r="I6830" s="59" t="str">
        <f>IF(OR($A6830="",$C6830="",$D6830="",$E6830="",$H6830=""),"",SUMIFS(DATA_GOC!$H:$H,DATA_GOC!$A:$A,"BOM",DATA_GOC!$D:$D,$H6830,DATA_GOC!$E:$E,$C6830,DATA_GOC!$F:$F,"Xuất nội bộ từ téc",DATA_GOC!$B:$B,"&gt;="&amp;$D6830,DATA_GOC!$B:$B,"&lt;="&amp;$E6830))</f>
        <v/>
      </c>
      <c r="J6830" s="59">
        <f t="shared" si="28"/>
        <v>0</v>
      </c>
      <c r="K6830" s="59">
        <f t="shared" si="29"/>
        <v>0</v>
      </c>
      <c r="L6830" s="59">
        <f t="shared" si="30"/>
        <v>0</v>
      </c>
      <c r="M6830" s="59">
        <f t="shared" si="31"/>
        <v>0</v>
      </c>
    </row>
    <row r="6831" ht="15.0" hidden="1" customHeight="1">
      <c r="A6831" s="59">
        <f t="shared" si="20"/>
        <v>110</v>
      </c>
      <c r="B6831" s="59" t="str">
        <f t="shared" si="21"/>
        <v/>
      </c>
      <c r="C6831" s="59" t="str">
        <f t="shared" si="22"/>
        <v/>
      </c>
      <c r="D6831" s="45" t="str">
        <f t="shared" si="23"/>
        <v/>
      </c>
      <c r="E6831" s="45" t="str">
        <f t="shared" si="24"/>
        <v/>
      </c>
      <c r="F6831" s="59" t="str">
        <f t="shared" si="25"/>
        <v/>
      </c>
      <c r="G6831" s="59" t="str">
        <f t="shared" si="26"/>
        <v/>
      </c>
      <c r="H6831" s="59" t="str">
        <f t="shared" si="27"/>
        <v>Xe 600148</v>
      </c>
      <c r="I6831" s="59" t="str">
        <f>IF(OR($A6831="",$C6831="",$D6831="",$E6831="",$H6831=""),"",SUMIFS(DATA_GOC!$H:$H,DATA_GOC!$A:$A,"BOM",DATA_GOC!$D:$D,$H6831,DATA_GOC!$E:$E,$C6831,DATA_GOC!$F:$F,"Xuất nội bộ từ téc",DATA_GOC!$B:$B,"&gt;="&amp;$D6831,DATA_GOC!$B:$B,"&lt;="&amp;$E6831))</f>
        <v/>
      </c>
      <c r="J6831" s="59">
        <f t="shared" si="28"/>
        <v>0</v>
      </c>
      <c r="K6831" s="59">
        <f t="shared" si="29"/>
        <v>0</v>
      </c>
      <c r="L6831" s="59">
        <f t="shared" si="30"/>
        <v>0</v>
      </c>
      <c r="M6831" s="59">
        <f t="shared" si="31"/>
        <v>0</v>
      </c>
    </row>
    <row r="6832" ht="15.0" hidden="1" customHeight="1">
      <c r="A6832" s="59">
        <f t="shared" si="20"/>
        <v>110</v>
      </c>
      <c r="B6832" s="59" t="str">
        <f t="shared" si="21"/>
        <v/>
      </c>
      <c r="C6832" s="59" t="str">
        <f t="shared" si="22"/>
        <v/>
      </c>
      <c r="D6832" s="45" t="str">
        <f t="shared" si="23"/>
        <v/>
      </c>
      <c r="E6832" s="45" t="str">
        <f t="shared" si="24"/>
        <v/>
      </c>
      <c r="F6832" s="59" t="str">
        <f t="shared" si="25"/>
        <v/>
      </c>
      <c r="G6832" s="59" t="str">
        <f t="shared" si="26"/>
        <v/>
      </c>
      <c r="H6832" s="59" t="str">
        <f t="shared" si="27"/>
        <v>Xe ben mới</v>
      </c>
      <c r="I6832" s="59" t="str">
        <f>IF(OR($A6832="",$C6832="",$D6832="",$E6832="",$H6832=""),"",SUMIFS(DATA_GOC!$H:$H,DATA_GOC!$A:$A,"BOM",DATA_GOC!$D:$D,$H6832,DATA_GOC!$E:$E,$C6832,DATA_GOC!$F:$F,"Xuất nội bộ từ téc",DATA_GOC!$B:$B,"&gt;="&amp;$D6832,DATA_GOC!$B:$B,"&lt;="&amp;$E6832))</f>
        <v/>
      </c>
      <c r="J6832" s="59">
        <f t="shared" si="28"/>
        <v>0</v>
      </c>
      <c r="K6832" s="59">
        <f t="shared" si="29"/>
        <v>0</v>
      </c>
      <c r="L6832" s="59">
        <f t="shared" si="30"/>
        <v>0</v>
      </c>
      <c r="M6832" s="59">
        <f t="shared" si="31"/>
        <v>0</v>
      </c>
    </row>
    <row r="6833" ht="15.0" hidden="1" customHeight="1">
      <c r="A6833" s="59">
        <f t="shared" si="20"/>
        <v>111</v>
      </c>
      <c r="B6833" s="59" t="str">
        <f t="shared" si="21"/>
        <v/>
      </c>
      <c r="C6833" s="59" t="str">
        <f t="shared" si="22"/>
        <v/>
      </c>
      <c r="D6833" s="45" t="str">
        <f t="shared" si="23"/>
        <v/>
      </c>
      <c r="E6833" s="45" t="str">
        <f t="shared" si="24"/>
        <v/>
      </c>
      <c r="F6833" s="59" t="str">
        <f t="shared" si="25"/>
        <v/>
      </c>
      <c r="G6833" s="59" t="str">
        <f t="shared" si="26"/>
        <v/>
      </c>
      <c r="H6833" s="59" t="str">
        <f t="shared" si="27"/>
        <v>19H09482</v>
      </c>
      <c r="I6833" s="59" t="str">
        <f>IF(OR($A6833="",$C6833="",$D6833="",$E6833="",$H6833=""),"",SUMIFS(DATA_GOC!$H:$H,DATA_GOC!$A:$A,"BOM",DATA_GOC!$D:$D,$H6833,DATA_GOC!$E:$E,$C6833,DATA_GOC!$F:$F,"Xuất nội bộ từ téc",DATA_GOC!$B:$B,"&gt;="&amp;$D6833,DATA_GOC!$B:$B,"&lt;="&amp;$E6833))</f>
        <v/>
      </c>
      <c r="J6833" s="59">
        <f t="shared" si="28"/>
        <v>0</v>
      </c>
      <c r="K6833" s="59">
        <f t="shared" si="29"/>
        <v>0</v>
      </c>
      <c r="L6833" s="59">
        <f t="shared" si="30"/>
        <v>0</v>
      </c>
      <c r="M6833" s="59">
        <f t="shared" si="31"/>
        <v>0</v>
      </c>
    </row>
    <row r="6834" ht="15.0" hidden="1" customHeight="1">
      <c r="A6834" s="59">
        <f t="shared" si="20"/>
        <v>111</v>
      </c>
      <c r="B6834" s="59" t="str">
        <f t="shared" si="21"/>
        <v/>
      </c>
      <c r="C6834" s="59" t="str">
        <f t="shared" si="22"/>
        <v/>
      </c>
      <c r="D6834" s="45" t="str">
        <f t="shared" si="23"/>
        <v/>
      </c>
      <c r="E6834" s="45" t="str">
        <f t="shared" si="24"/>
        <v/>
      </c>
      <c r="F6834" s="59" t="str">
        <f t="shared" si="25"/>
        <v/>
      </c>
      <c r="G6834" s="59" t="str">
        <f t="shared" si="26"/>
        <v/>
      </c>
      <c r="H6834" s="59" t="str">
        <f t="shared" si="27"/>
        <v>28A30696</v>
      </c>
      <c r="I6834" s="59" t="str">
        <f>IF(OR($A6834="",$C6834="",$D6834="",$E6834="",$H6834=""),"",SUMIFS(DATA_GOC!$H:$H,DATA_GOC!$A:$A,"BOM",DATA_GOC!$D:$D,$H6834,DATA_GOC!$E:$E,$C6834,DATA_GOC!$F:$F,"Xuất nội bộ từ téc",DATA_GOC!$B:$B,"&gt;="&amp;$D6834,DATA_GOC!$B:$B,"&lt;="&amp;$E6834))</f>
        <v/>
      </c>
      <c r="J6834" s="59">
        <f t="shared" si="28"/>
        <v>0</v>
      </c>
      <c r="K6834" s="59">
        <f t="shared" si="29"/>
        <v>0</v>
      </c>
      <c r="L6834" s="59">
        <f t="shared" si="30"/>
        <v>0</v>
      </c>
      <c r="M6834" s="59">
        <f t="shared" si="31"/>
        <v>0</v>
      </c>
    </row>
    <row r="6835" ht="15.0" hidden="1" customHeight="1">
      <c r="A6835" s="59">
        <f t="shared" si="20"/>
        <v>111</v>
      </c>
      <c r="B6835" s="59" t="str">
        <f t="shared" si="21"/>
        <v/>
      </c>
      <c r="C6835" s="59" t="str">
        <f t="shared" si="22"/>
        <v/>
      </c>
      <c r="D6835" s="45" t="str">
        <f t="shared" si="23"/>
        <v/>
      </c>
      <c r="E6835" s="45" t="str">
        <f t="shared" si="24"/>
        <v/>
      </c>
      <c r="F6835" s="59" t="str">
        <f t="shared" si="25"/>
        <v/>
      </c>
      <c r="G6835" s="59" t="str">
        <f t="shared" si="26"/>
        <v/>
      </c>
      <c r="H6835" s="59" t="str">
        <f t="shared" si="27"/>
        <v>28C00462</v>
      </c>
      <c r="I6835" s="59" t="str">
        <f>IF(OR($A6835="",$C6835="",$D6835="",$E6835="",$H6835=""),"",SUMIFS(DATA_GOC!$H:$H,DATA_GOC!$A:$A,"BOM",DATA_GOC!$D:$D,$H6835,DATA_GOC!$E:$E,$C6835,DATA_GOC!$F:$F,"Xuất nội bộ từ téc",DATA_GOC!$B:$B,"&gt;="&amp;$D6835,DATA_GOC!$B:$B,"&lt;="&amp;$E6835))</f>
        <v/>
      </c>
      <c r="J6835" s="59">
        <f t="shared" si="28"/>
        <v>0</v>
      </c>
      <c r="K6835" s="59">
        <f t="shared" si="29"/>
        <v>0</v>
      </c>
      <c r="L6835" s="59">
        <f t="shared" si="30"/>
        <v>0</v>
      </c>
      <c r="M6835" s="59">
        <f t="shared" si="31"/>
        <v>0</v>
      </c>
    </row>
    <row r="6836" ht="15.0" hidden="1" customHeight="1">
      <c r="A6836" s="59">
        <f t="shared" si="20"/>
        <v>111</v>
      </c>
      <c r="B6836" s="59" t="str">
        <f t="shared" si="21"/>
        <v/>
      </c>
      <c r="C6836" s="59" t="str">
        <f t="shared" si="22"/>
        <v/>
      </c>
      <c r="D6836" s="45" t="str">
        <f t="shared" si="23"/>
        <v/>
      </c>
      <c r="E6836" s="45" t="str">
        <f t="shared" si="24"/>
        <v/>
      </c>
      <c r="F6836" s="59" t="str">
        <f t="shared" si="25"/>
        <v/>
      </c>
      <c r="G6836" s="59" t="str">
        <f t="shared" si="26"/>
        <v/>
      </c>
      <c r="H6836" s="59" t="str">
        <f t="shared" si="27"/>
        <v>28C01165</v>
      </c>
      <c r="I6836" s="59" t="str">
        <f>IF(OR($A6836="",$C6836="",$D6836="",$E6836="",$H6836=""),"",SUMIFS(DATA_GOC!$H:$H,DATA_GOC!$A:$A,"BOM",DATA_GOC!$D:$D,$H6836,DATA_GOC!$E:$E,$C6836,DATA_GOC!$F:$F,"Xuất nội bộ từ téc",DATA_GOC!$B:$B,"&gt;="&amp;$D6836,DATA_GOC!$B:$B,"&lt;="&amp;$E6836))</f>
        <v/>
      </c>
      <c r="J6836" s="59">
        <f t="shared" si="28"/>
        <v>0</v>
      </c>
      <c r="K6836" s="59">
        <f t="shared" si="29"/>
        <v>0</v>
      </c>
      <c r="L6836" s="59">
        <f t="shared" si="30"/>
        <v>0</v>
      </c>
      <c r="M6836" s="59">
        <f t="shared" si="31"/>
        <v>0</v>
      </c>
    </row>
    <row r="6837" ht="15.0" hidden="1" customHeight="1">
      <c r="A6837" s="59">
        <f t="shared" si="20"/>
        <v>111</v>
      </c>
      <c r="B6837" s="59" t="str">
        <f t="shared" si="21"/>
        <v/>
      </c>
      <c r="C6837" s="59" t="str">
        <f t="shared" si="22"/>
        <v/>
      </c>
      <c r="D6837" s="45" t="str">
        <f t="shared" si="23"/>
        <v/>
      </c>
      <c r="E6837" s="45" t="str">
        <f t="shared" si="24"/>
        <v/>
      </c>
      <c r="F6837" s="59" t="str">
        <f t="shared" si="25"/>
        <v/>
      </c>
      <c r="G6837" s="59" t="str">
        <f t="shared" si="26"/>
        <v/>
      </c>
      <c r="H6837" s="59" t="str">
        <f t="shared" si="27"/>
        <v>28C01406</v>
      </c>
      <c r="I6837" s="59" t="str">
        <f>IF(OR($A6837="",$C6837="",$D6837="",$E6837="",$H6837=""),"",SUMIFS(DATA_GOC!$H:$H,DATA_GOC!$A:$A,"BOM",DATA_GOC!$D:$D,$H6837,DATA_GOC!$E:$E,$C6837,DATA_GOC!$F:$F,"Xuất nội bộ từ téc",DATA_GOC!$B:$B,"&gt;="&amp;$D6837,DATA_GOC!$B:$B,"&lt;="&amp;$E6837))</f>
        <v/>
      </c>
      <c r="J6837" s="59">
        <f t="shared" si="28"/>
        <v>0</v>
      </c>
      <c r="K6837" s="59">
        <f t="shared" si="29"/>
        <v>0</v>
      </c>
      <c r="L6837" s="59">
        <f t="shared" si="30"/>
        <v>0</v>
      </c>
      <c r="M6837" s="59">
        <f t="shared" si="31"/>
        <v>0</v>
      </c>
    </row>
    <row r="6838" ht="15.0" hidden="1" customHeight="1">
      <c r="A6838" s="59">
        <f t="shared" si="20"/>
        <v>111</v>
      </c>
      <c r="B6838" s="59" t="str">
        <f t="shared" si="21"/>
        <v/>
      </c>
      <c r="C6838" s="59" t="str">
        <f t="shared" si="22"/>
        <v/>
      </c>
      <c r="D6838" s="45" t="str">
        <f t="shared" si="23"/>
        <v/>
      </c>
      <c r="E6838" s="45" t="str">
        <f t="shared" si="24"/>
        <v/>
      </c>
      <c r="F6838" s="59" t="str">
        <f t="shared" si="25"/>
        <v/>
      </c>
      <c r="G6838" s="59" t="str">
        <f t="shared" si="26"/>
        <v/>
      </c>
      <c r="H6838" s="59" t="str">
        <f t="shared" si="27"/>
        <v>28C01544</v>
      </c>
      <c r="I6838" s="59" t="str">
        <f>IF(OR($A6838="",$C6838="",$D6838="",$E6838="",$H6838=""),"",SUMIFS(DATA_GOC!$H:$H,DATA_GOC!$A:$A,"BOM",DATA_GOC!$D:$D,$H6838,DATA_GOC!$E:$E,$C6838,DATA_GOC!$F:$F,"Xuất nội bộ từ téc",DATA_GOC!$B:$B,"&gt;="&amp;$D6838,DATA_GOC!$B:$B,"&lt;="&amp;$E6838))</f>
        <v/>
      </c>
      <c r="J6838" s="59">
        <f t="shared" si="28"/>
        <v>0</v>
      </c>
      <c r="K6838" s="59">
        <f t="shared" si="29"/>
        <v>0</v>
      </c>
      <c r="L6838" s="59">
        <f t="shared" si="30"/>
        <v>0</v>
      </c>
      <c r="M6838" s="59">
        <f t="shared" si="31"/>
        <v>0</v>
      </c>
    </row>
    <row r="6839" ht="15.0" hidden="1" customHeight="1">
      <c r="A6839" s="59">
        <f t="shared" si="20"/>
        <v>111</v>
      </c>
      <c r="B6839" s="59" t="str">
        <f t="shared" si="21"/>
        <v/>
      </c>
      <c r="C6839" s="59" t="str">
        <f t="shared" si="22"/>
        <v/>
      </c>
      <c r="D6839" s="45" t="str">
        <f t="shared" si="23"/>
        <v/>
      </c>
      <c r="E6839" s="45" t="str">
        <f t="shared" si="24"/>
        <v/>
      </c>
      <c r="F6839" s="59" t="str">
        <f t="shared" si="25"/>
        <v/>
      </c>
      <c r="G6839" s="59" t="str">
        <f t="shared" si="26"/>
        <v/>
      </c>
      <c r="H6839" s="59" t="str">
        <f t="shared" si="27"/>
        <v>28C01622</v>
      </c>
      <c r="I6839" s="59" t="str">
        <f>IF(OR($A6839="",$C6839="",$D6839="",$E6839="",$H6839=""),"",SUMIFS(DATA_GOC!$H:$H,DATA_GOC!$A:$A,"BOM",DATA_GOC!$D:$D,$H6839,DATA_GOC!$E:$E,$C6839,DATA_GOC!$F:$F,"Xuất nội bộ từ téc",DATA_GOC!$B:$B,"&gt;="&amp;$D6839,DATA_GOC!$B:$B,"&lt;="&amp;$E6839))</f>
        <v/>
      </c>
      <c r="J6839" s="59">
        <f t="shared" si="28"/>
        <v>0</v>
      </c>
      <c r="K6839" s="59">
        <f t="shared" si="29"/>
        <v>0</v>
      </c>
      <c r="L6839" s="59">
        <f t="shared" si="30"/>
        <v>0</v>
      </c>
      <c r="M6839" s="59">
        <f t="shared" si="31"/>
        <v>0</v>
      </c>
    </row>
    <row r="6840" ht="15.0" hidden="1" customHeight="1">
      <c r="A6840" s="59">
        <f t="shared" si="20"/>
        <v>111</v>
      </c>
      <c r="B6840" s="59" t="str">
        <f t="shared" si="21"/>
        <v/>
      </c>
      <c r="C6840" s="59" t="str">
        <f t="shared" si="22"/>
        <v/>
      </c>
      <c r="D6840" s="45" t="str">
        <f t="shared" si="23"/>
        <v/>
      </c>
      <c r="E6840" s="45" t="str">
        <f t="shared" si="24"/>
        <v/>
      </c>
      <c r="F6840" s="59" t="str">
        <f t="shared" si="25"/>
        <v/>
      </c>
      <c r="G6840" s="59" t="str">
        <f t="shared" si="26"/>
        <v/>
      </c>
      <c r="H6840" s="59" t="str">
        <f t="shared" si="27"/>
        <v>28C01647</v>
      </c>
      <c r="I6840" s="59" t="str">
        <f>IF(OR($A6840="",$C6840="",$D6840="",$E6840="",$H6840=""),"",SUMIFS(DATA_GOC!$H:$H,DATA_GOC!$A:$A,"BOM",DATA_GOC!$D:$D,$H6840,DATA_GOC!$E:$E,$C6840,DATA_GOC!$F:$F,"Xuất nội bộ từ téc",DATA_GOC!$B:$B,"&gt;="&amp;$D6840,DATA_GOC!$B:$B,"&lt;="&amp;$E6840))</f>
        <v/>
      </c>
      <c r="J6840" s="59">
        <f t="shared" si="28"/>
        <v>0</v>
      </c>
      <c r="K6840" s="59">
        <f t="shared" si="29"/>
        <v>0</v>
      </c>
      <c r="L6840" s="59">
        <f t="shared" si="30"/>
        <v>0</v>
      </c>
      <c r="M6840" s="59">
        <f t="shared" si="31"/>
        <v>0</v>
      </c>
    </row>
    <row r="6841" ht="15.0" hidden="1" customHeight="1">
      <c r="A6841" s="59">
        <f t="shared" si="20"/>
        <v>111</v>
      </c>
      <c r="B6841" s="59" t="str">
        <f t="shared" si="21"/>
        <v/>
      </c>
      <c r="C6841" s="59" t="str">
        <f t="shared" si="22"/>
        <v/>
      </c>
      <c r="D6841" s="45" t="str">
        <f t="shared" si="23"/>
        <v/>
      </c>
      <c r="E6841" s="45" t="str">
        <f t="shared" si="24"/>
        <v/>
      </c>
      <c r="F6841" s="59" t="str">
        <f t="shared" si="25"/>
        <v/>
      </c>
      <c r="G6841" s="59" t="str">
        <f t="shared" si="26"/>
        <v/>
      </c>
      <c r="H6841" s="59" t="str">
        <f t="shared" si="27"/>
        <v>28C01731</v>
      </c>
      <c r="I6841" s="59" t="str">
        <f>IF(OR($A6841="",$C6841="",$D6841="",$E6841="",$H6841=""),"",SUMIFS(DATA_GOC!$H:$H,DATA_GOC!$A:$A,"BOM",DATA_GOC!$D:$D,$H6841,DATA_GOC!$E:$E,$C6841,DATA_GOC!$F:$F,"Xuất nội bộ từ téc",DATA_GOC!$B:$B,"&gt;="&amp;$D6841,DATA_GOC!$B:$B,"&lt;="&amp;$E6841))</f>
        <v/>
      </c>
      <c r="J6841" s="59">
        <f t="shared" si="28"/>
        <v>0</v>
      </c>
      <c r="K6841" s="59">
        <f t="shared" si="29"/>
        <v>0</v>
      </c>
      <c r="L6841" s="59">
        <f t="shared" si="30"/>
        <v>0</v>
      </c>
      <c r="M6841" s="59">
        <f t="shared" si="31"/>
        <v>0</v>
      </c>
    </row>
    <row r="6842" ht="15.0" hidden="1" customHeight="1">
      <c r="A6842" s="59">
        <f t="shared" si="20"/>
        <v>111</v>
      </c>
      <c r="B6842" s="59" t="str">
        <f t="shared" si="21"/>
        <v/>
      </c>
      <c r="C6842" s="59" t="str">
        <f t="shared" si="22"/>
        <v/>
      </c>
      <c r="D6842" s="45" t="str">
        <f t="shared" si="23"/>
        <v/>
      </c>
      <c r="E6842" s="45" t="str">
        <f t="shared" si="24"/>
        <v/>
      </c>
      <c r="F6842" s="59" t="str">
        <f t="shared" si="25"/>
        <v/>
      </c>
      <c r="G6842" s="59" t="str">
        <f t="shared" si="26"/>
        <v/>
      </c>
      <c r="H6842" s="59" t="str">
        <f t="shared" si="27"/>
        <v>28C01743</v>
      </c>
      <c r="I6842" s="59" t="str">
        <f>IF(OR($A6842="",$C6842="",$D6842="",$E6842="",$H6842=""),"",SUMIFS(DATA_GOC!$H:$H,DATA_GOC!$A:$A,"BOM",DATA_GOC!$D:$D,$H6842,DATA_GOC!$E:$E,$C6842,DATA_GOC!$F:$F,"Xuất nội bộ từ téc",DATA_GOC!$B:$B,"&gt;="&amp;$D6842,DATA_GOC!$B:$B,"&lt;="&amp;$E6842))</f>
        <v/>
      </c>
      <c r="J6842" s="59">
        <f t="shared" si="28"/>
        <v>0</v>
      </c>
      <c r="K6842" s="59">
        <f t="shared" si="29"/>
        <v>0</v>
      </c>
      <c r="L6842" s="59">
        <f t="shared" si="30"/>
        <v>0</v>
      </c>
      <c r="M6842" s="59">
        <f t="shared" si="31"/>
        <v>0</v>
      </c>
    </row>
    <row r="6843" ht="15.0" hidden="1" customHeight="1">
      <c r="A6843" s="59">
        <f t="shared" si="20"/>
        <v>111</v>
      </c>
      <c r="B6843" s="59" t="str">
        <f t="shared" si="21"/>
        <v/>
      </c>
      <c r="C6843" s="59" t="str">
        <f t="shared" si="22"/>
        <v/>
      </c>
      <c r="D6843" s="45" t="str">
        <f t="shared" si="23"/>
        <v/>
      </c>
      <c r="E6843" s="45" t="str">
        <f t="shared" si="24"/>
        <v/>
      </c>
      <c r="F6843" s="59" t="str">
        <f t="shared" si="25"/>
        <v/>
      </c>
      <c r="G6843" s="59" t="str">
        <f t="shared" si="26"/>
        <v/>
      </c>
      <c r="H6843" s="59" t="str">
        <f t="shared" si="27"/>
        <v>28C02106</v>
      </c>
      <c r="I6843" s="59" t="str">
        <f>IF(OR($A6843="",$C6843="",$D6843="",$E6843="",$H6843=""),"",SUMIFS(DATA_GOC!$H:$H,DATA_GOC!$A:$A,"BOM",DATA_GOC!$D:$D,$H6843,DATA_GOC!$E:$E,$C6843,DATA_GOC!$F:$F,"Xuất nội bộ từ téc",DATA_GOC!$B:$B,"&gt;="&amp;$D6843,DATA_GOC!$B:$B,"&lt;="&amp;$E6843))</f>
        <v/>
      </c>
      <c r="J6843" s="59">
        <f t="shared" si="28"/>
        <v>0</v>
      </c>
      <c r="K6843" s="59">
        <f t="shared" si="29"/>
        <v>0</v>
      </c>
      <c r="L6843" s="59">
        <f t="shared" si="30"/>
        <v>0</v>
      </c>
      <c r="M6843" s="59">
        <f t="shared" si="31"/>
        <v>0</v>
      </c>
    </row>
    <row r="6844" ht="15.0" hidden="1" customHeight="1">
      <c r="A6844" s="59">
        <f t="shared" si="20"/>
        <v>111</v>
      </c>
      <c r="B6844" s="59" t="str">
        <f t="shared" si="21"/>
        <v/>
      </c>
      <c r="C6844" s="59" t="str">
        <f t="shared" si="22"/>
        <v/>
      </c>
      <c r="D6844" s="45" t="str">
        <f t="shared" si="23"/>
        <v/>
      </c>
      <c r="E6844" s="45" t="str">
        <f t="shared" si="24"/>
        <v/>
      </c>
      <c r="F6844" s="59" t="str">
        <f t="shared" si="25"/>
        <v/>
      </c>
      <c r="G6844" s="59" t="str">
        <f t="shared" si="26"/>
        <v/>
      </c>
      <c r="H6844" s="59" t="str">
        <f t="shared" si="27"/>
        <v>28C02410</v>
      </c>
      <c r="I6844" s="59" t="str">
        <f>IF(OR($A6844="",$C6844="",$D6844="",$E6844="",$H6844=""),"",SUMIFS(DATA_GOC!$H:$H,DATA_GOC!$A:$A,"BOM",DATA_GOC!$D:$D,$H6844,DATA_GOC!$E:$E,$C6844,DATA_GOC!$F:$F,"Xuất nội bộ từ téc",DATA_GOC!$B:$B,"&gt;="&amp;$D6844,DATA_GOC!$B:$B,"&lt;="&amp;$E6844))</f>
        <v/>
      </c>
      <c r="J6844" s="59">
        <f t="shared" si="28"/>
        <v>0</v>
      </c>
      <c r="K6844" s="59">
        <f t="shared" si="29"/>
        <v>0</v>
      </c>
      <c r="L6844" s="59">
        <f t="shared" si="30"/>
        <v>0</v>
      </c>
      <c r="M6844" s="59">
        <f t="shared" si="31"/>
        <v>0</v>
      </c>
    </row>
    <row r="6845" ht="15.0" hidden="1" customHeight="1">
      <c r="A6845" s="59">
        <f t="shared" si="20"/>
        <v>111</v>
      </c>
      <c r="B6845" s="59" t="str">
        <f t="shared" si="21"/>
        <v/>
      </c>
      <c r="C6845" s="59" t="str">
        <f t="shared" si="22"/>
        <v/>
      </c>
      <c r="D6845" s="45" t="str">
        <f t="shared" si="23"/>
        <v/>
      </c>
      <c r="E6845" s="45" t="str">
        <f t="shared" si="24"/>
        <v/>
      </c>
      <c r="F6845" s="59" t="str">
        <f t="shared" si="25"/>
        <v/>
      </c>
      <c r="G6845" s="59" t="str">
        <f t="shared" si="26"/>
        <v/>
      </c>
      <c r="H6845" s="59" t="str">
        <f t="shared" si="27"/>
        <v>28C02545</v>
      </c>
      <c r="I6845" s="59" t="str">
        <f>IF(OR($A6845="",$C6845="",$D6845="",$E6845="",$H6845=""),"",SUMIFS(DATA_GOC!$H:$H,DATA_GOC!$A:$A,"BOM",DATA_GOC!$D:$D,$H6845,DATA_GOC!$E:$E,$C6845,DATA_GOC!$F:$F,"Xuất nội bộ từ téc",DATA_GOC!$B:$B,"&gt;="&amp;$D6845,DATA_GOC!$B:$B,"&lt;="&amp;$E6845))</f>
        <v/>
      </c>
      <c r="J6845" s="59">
        <f t="shared" si="28"/>
        <v>0</v>
      </c>
      <c r="K6845" s="59">
        <f t="shared" si="29"/>
        <v>0</v>
      </c>
      <c r="L6845" s="59">
        <f t="shared" si="30"/>
        <v>0</v>
      </c>
      <c r="M6845" s="59">
        <f t="shared" si="31"/>
        <v>0</v>
      </c>
    </row>
    <row r="6846" ht="15.0" hidden="1" customHeight="1">
      <c r="A6846" s="59">
        <f t="shared" si="20"/>
        <v>111</v>
      </c>
      <c r="B6846" s="59" t="str">
        <f t="shared" si="21"/>
        <v/>
      </c>
      <c r="C6846" s="59" t="str">
        <f t="shared" si="22"/>
        <v/>
      </c>
      <c r="D6846" s="45" t="str">
        <f t="shared" si="23"/>
        <v/>
      </c>
      <c r="E6846" s="45" t="str">
        <f t="shared" si="24"/>
        <v/>
      </c>
      <c r="F6846" s="59" t="str">
        <f t="shared" si="25"/>
        <v/>
      </c>
      <c r="G6846" s="59" t="str">
        <f t="shared" si="26"/>
        <v/>
      </c>
      <c r="H6846" s="59" t="str">
        <f t="shared" si="27"/>
        <v>28C02574</v>
      </c>
      <c r="I6846" s="59" t="str">
        <f>IF(OR($A6846="",$C6846="",$D6846="",$E6846="",$H6846=""),"",SUMIFS(DATA_GOC!$H:$H,DATA_GOC!$A:$A,"BOM",DATA_GOC!$D:$D,$H6846,DATA_GOC!$E:$E,$C6846,DATA_GOC!$F:$F,"Xuất nội bộ từ téc",DATA_GOC!$B:$B,"&gt;="&amp;$D6846,DATA_GOC!$B:$B,"&lt;="&amp;$E6846))</f>
        <v/>
      </c>
      <c r="J6846" s="59">
        <f t="shared" si="28"/>
        <v>0</v>
      </c>
      <c r="K6846" s="59">
        <f t="shared" si="29"/>
        <v>0</v>
      </c>
      <c r="L6846" s="59">
        <f t="shared" si="30"/>
        <v>0</v>
      </c>
      <c r="M6846" s="59">
        <f t="shared" si="31"/>
        <v>0</v>
      </c>
    </row>
    <row r="6847" ht="15.0" hidden="1" customHeight="1">
      <c r="A6847" s="59">
        <f t="shared" si="20"/>
        <v>111</v>
      </c>
      <c r="B6847" s="59" t="str">
        <f t="shared" si="21"/>
        <v/>
      </c>
      <c r="C6847" s="59" t="str">
        <f t="shared" si="22"/>
        <v/>
      </c>
      <c r="D6847" s="45" t="str">
        <f t="shared" si="23"/>
        <v/>
      </c>
      <c r="E6847" s="45" t="str">
        <f t="shared" si="24"/>
        <v/>
      </c>
      <c r="F6847" s="59" t="str">
        <f t="shared" si="25"/>
        <v/>
      </c>
      <c r="G6847" s="59" t="str">
        <f t="shared" si="26"/>
        <v/>
      </c>
      <c r="H6847" s="59" t="str">
        <f t="shared" si="27"/>
        <v>28C02770</v>
      </c>
      <c r="I6847" s="59" t="str">
        <f>IF(OR($A6847="",$C6847="",$D6847="",$E6847="",$H6847=""),"",SUMIFS(DATA_GOC!$H:$H,DATA_GOC!$A:$A,"BOM",DATA_GOC!$D:$D,$H6847,DATA_GOC!$E:$E,$C6847,DATA_GOC!$F:$F,"Xuất nội bộ từ téc",DATA_GOC!$B:$B,"&gt;="&amp;$D6847,DATA_GOC!$B:$B,"&lt;="&amp;$E6847))</f>
        <v/>
      </c>
      <c r="J6847" s="59">
        <f t="shared" si="28"/>
        <v>0</v>
      </c>
      <c r="K6847" s="59">
        <f t="shared" si="29"/>
        <v>0</v>
      </c>
      <c r="L6847" s="59">
        <f t="shared" si="30"/>
        <v>0</v>
      </c>
      <c r="M6847" s="59">
        <f t="shared" si="31"/>
        <v>0</v>
      </c>
    </row>
    <row r="6848" ht="15.0" hidden="1" customHeight="1">
      <c r="A6848" s="59">
        <f t="shared" si="20"/>
        <v>111</v>
      </c>
      <c r="B6848" s="59" t="str">
        <f t="shared" si="21"/>
        <v/>
      </c>
      <c r="C6848" s="59" t="str">
        <f t="shared" si="22"/>
        <v/>
      </c>
      <c r="D6848" s="45" t="str">
        <f t="shared" si="23"/>
        <v/>
      </c>
      <c r="E6848" s="45" t="str">
        <f t="shared" si="24"/>
        <v/>
      </c>
      <c r="F6848" s="59" t="str">
        <f t="shared" si="25"/>
        <v/>
      </c>
      <c r="G6848" s="59" t="str">
        <f t="shared" si="26"/>
        <v/>
      </c>
      <c r="H6848" s="59" t="str">
        <f t="shared" si="27"/>
        <v>28C02986</v>
      </c>
      <c r="I6848" s="59" t="str">
        <f>IF(OR($A6848="",$C6848="",$D6848="",$E6848="",$H6848=""),"",SUMIFS(DATA_GOC!$H:$H,DATA_GOC!$A:$A,"BOM",DATA_GOC!$D:$D,$H6848,DATA_GOC!$E:$E,$C6848,DATA_GOC!$F:$F,"Xuất nội bộ từ téc",DATA_GOC!$B:$B,"&gt;="&amp;$D6848,DATA_GOC!$B:$B,"&lt;="&amp;$E6848))</f>
        <v/>
      </c>
      <c r="J6848" s="59">
        <f t="shared" si="28"/>
        <v>0</v>
      </c>
      <c r="K6848" s="59">
        <f t="shared" si="29"/>
        <v>0</v>
      </c>
      <c r="L6848" s="59">
        <f t="shared" si="30"/>
        <v>0</v>
      </c>
      <c r="M6848" s="59">
        <f t="shared" si="31"/>
        <v>0</v>
      </c>
    </row>
    <row r="6849" ht="15.0" hidden="1" customHeight="1">
      <c r="A6849" s="59">
        <f t="shared" si="20"/>
        <v>111</v>
      </c>
      <c r="B6849" s="59" t="str">
        <f t="shared" si="21"/>
        <v/>
      </c>
      <c r="C6849" s="59" t="str">
        <f t="shared" si="22"/>
        <v/>
      </c>
      <c r="D6849" s="45" t="str">
        <f t="shared" si="23"/>
        <v/>
      </c>
      <c r="E6849" s="45" t="str">
        <f t="shared" si="24"/>
        <v/>
      </c>
      <c r="F6849" s="59" t="str">
        <f t="shared" si="25"/>
        <v/>
      </c>
      <c r="G6849" s="59" t="str">
        <f t="shared" si="26"/>
        <v/>
      </c>
      <c r="H6849" s="59" t="str">
        <f t="shared" si="27"/>
        <v>28C03261</v>
      </c>
      <c r="I6849" s="59" t="str">
        <f>IF(OR($A6849="",$C6849="",$D6849="",$E6849="",$H6849=""),"",SUMIFS(DATA_GOC!$H:$H,DATA_GOC!$A:$A,"BOM",DATA_GOC!$D:$D,$H6849,DATA_GOC!$E:$E,$C6849,DATA_GOC!$F:$F,"Xuất nội bộ từ téc",DATA_GOC!$B:$B,"&gt;="&amp;$D6849,DATA_GOC!$B:$B,"&lt;="&amp;$E6849))</f>
        <v/>
      </c>
      <c r="J6849" s="59">
        <f t="shared" si="28"/>
        <v>0</v>
      </c>
      <c r="K6849" s="59">
        <f t="shared" si="29"/>
        <v>0</v>
      </c>
      <c r="L6849" s="59">
        <f t="shared" si="30"/>
        <v>0</v>
      </c>
      <c r="M6849" s="59">
        <f t="shared" si="31"/>
        <v>0</v>
      </c>
    </row>
    <row r="6850" ht="15.0" hidden="1" customHeight="1">
      <c r="A6850" s="59">
        <f t="shared" si="20"/>
        <v>111</v>
      </c>
      <c r="B6850" s="59" t="str">
        <f t="shared" si="21"/>
        <v/>
      </c>
      <c r="C6850" s="59" t="str">
        <f t="shared" si="22"/>
        <v/>
      </c>
      <c r="D6850" s="45" t="str">
        <f t="shared" si="23"/>
        <v/>
      </c>
      <c r="E6850" s="45" t="str">
        <f t="shared" si="24"/>
        <v/>
      </c>
      <c r="F6850" s="59" t="str">
        <f t="shared" si="25"/>
        <v/>
      </c>
      <c r="G6850" s="59" t="str">
        <f t="shared" si="26"/>
        <v/>
      </c>
      <c r="H6850" s="59" t="str">
        <f t="shared" si="27"/>
        <v>28C03323</v>
      </c>
      <c r="I6850" s="59" t="str">
        <f>IF(OR($A6850="",$C6850="",$D6850="",$E6850="",$H6850=""),"",SUMIFS(DATA_GOC!$H:$H,DATA_GOC!$A:$A,"BOM",DATA_GOC!$D:$D,$H6850,DATA_GOC!$E:$E,$C6850,DATA_GOC!$F:$F,"Xuất nội bộ từ téc",DATA_GOC!$B:$B,"&gt;="&amp;$D6850,DATA_GOC!$B:$B,"&lt;="&amp;$E6850))</f>
        <v/>
      </c>
      <c r="J6850" s="59">
        <f t="shared" si="28"/>
        <v>0</v>
      </c>
      <c r="K6850" s="59">
        <f t="shared" si="29"/>
        <v>0</v>
      </c>
      <c r="L6850" s="59">
        <f t="shared" si="30"/>
        <v>0</v>
      </c>
      <c r="M6850" s="59">
        <f t="shared" si="31"/>
        <v>0</v>
      </c>
    </row>
    <row r="6851" ht="15.0" hidden="1" customHeight="1">
      <c r="A6851" s="59">
        <f t="shared" si="20"/>
        <v>111</v>
      </c>
      <c r="B6851" s="59" t="str">
        <f t="shared" si="21"/>
        <v/>
      </c>
      <c r="C6851" s="59" t="str">
        <f t="shared" si="22"/>
        <v/>
      </c>
      <c r="D6851" s="45" t="str">
        <f t="shared" si="23"/>
        <v/>
      </c>
      <c r="E6851" s="45" t="str">
        <f t="shared" si="24"/>
        <v/>
      </c>
      <c r="F6851" s="59" t="str">
        <f t="shared" si="25"/>
        <v/>
      </c>
      <c r="G6851" s="59" t="str">
        <f t="shared" si="26"/>
        <v/>
      </c>
      <c r="H6851" s="59" t="str">
        <f t="shared" si="27"/>
        <v>28C03385</v>
      </c>
      <c r="I6851" s="59" t="str">
        <f>IF(OR($A6851="",$C6851="",$D6851="",$E6851="",$H6851=""),"",SUMIFS(DATA_GOC!$H:$H,DATA_GOC!$A:$A,"BOM",DATA_GOC!$D:$D,$H6851,DATA_GOC!$E:$E,$C6851,DATA_GOC!$F:$F,"Xuất nội bộ từ téc",DATA_GOC!$B:$B,"&gt;="&amp;$D6851,DATA_GOC!$B:$B,"&lt;="&amp;$E6851))</f>
        <v/>
      </c>
      <c r="J6851" s="59">
        <f t="shared" si="28"/>
        <v>0</v>
      </c>
      <c r="K6851" s="59">
        <f t="shared" si="29"/>
        <v>0</v>
      </c>
      <c r="L6851" s="59">
        <f t="shared" si="30"/>
        <v>0</v>
      </c>
      <c r="M6851" s="59">
        <f t="shared" si="31"/>
        <v>0</v>
      </c>
    </row>
    <row r="6852" ht="15.0" hidden="1" customHeight="1">
      <c r="A6852" s="59">
        <f t="shared" si="20"/>
        <v>111</v>
      </c>
      <c r="B6852" s="59" t="str">
        <f t="shared" si="21"/>
        <v/>
      </c>
      <c r="C6852" s="59" t="str">
        <f t="shared" si="22"/>
        <v/>
      </c>
      <c r="D6852" s="45" t="str">
        <f t="shared" si="23"/>
        <v/>
      </c>
      <c r="E6852" s="45" t="str">
        <f t="shared" si="24"/>
        <v/>
      </c>
      <c r="F6852" s="59" t="str">
        <f t="shared" si="25"/>
        <v/>
      </c>
      <c r="G6852" s="59" t="str">
        <f t="shared" si="26"/>
        <v/>
      </c>
      <c r="H6852" s="59" t="str">
        <f t="shared" si="27"/>
        <v>28C03652</v>
      </c>
      <c r="I6852" s="59" t="str">
        <f>IF(OR($A6852="",$C6852="",$D6852="",$E6852="",$H6852=""),"",SUMIFS(DATA_GOC!$H:$H,DATA_GOC!$A:$A,"BOM",DATA_GOC!$D:$D,$H6852,DATA_GOC!$E:$E,$C6852,DATA_GOC!$F:$F,"Xuất nội bộ từ téc",DATA_GOC!$B:$B,"&gt;="&amp;$D6852,DATA_GOC!$B:$B,"&lt;="&amp;$E6852))</f>
        <v/>
      </c>
      <c r="J6852" s="59">
        <f t="shared" si="28"/>
        <v>0</v>
      </c>
      <c r="K6852" s="59">
        <f t="shared" si="29"/>
        <v>0</v>
      </c>
      <c r="L6852" s="59">
        <f t="shared" si="30"/>
        <v>0</v>
      </c>
      <c r="M6852" s="59">
        <f t="shared" si="31"/>
        <v>0</v>
      </c>
    </row>
    <row r="6853" ht="15.0" hidden="1" customHeight="1">
      <c r="A6853" s="59">
        <f t="shared" si="20"/>
        <v>111</v>
      </c>
      <c r="B6853" s="59" t="str">
        <f t="shared" si="21"/>
        <v/>
      </c>
      <c r="C6853" s="59" t="str">
        <f t="shared" si="22"/>
        <v/>
      </c>
      <c r="D6853" s="45" t="str">
        <f t="shared" si="23"/>
        <v/>
      </c>
      <c r="E6853" s="45" t="str">
        <f t="shared" si="24"/>
        <v/>
      </c>
      <c r="F6853" s="59" t="str">
        <f t="shared" si="25"/>
        <v/>
      </c>
      <c r="G6853" s="59" t="str">
        <f t="shared" si="26"/>
        <v/>
      </c>
      <c r="H6853" s="59" t="str">
        <f t="shared" si="27"/>
        <v>28C03695</v>
      </c>
      <c r="I6853" s="59" t="str">
        <f>IF(OR($A6853="",$C6853="",$D6853="",$E6853="",$H6853=""),"",SUMIFS(DATA_GOC!$H:$H,DATA_GOC!$A:$A,"BOM",DATA_GOC!$D:$D,$H6853,DATA_GOC!$E:$E,$C6853,DATA_GOC!$F:$F,"Xuất nội bộ từ téc",DATA_GOC!$B:$B,"&gt;="&amp;$D6853,DATA_GOC!$B:$B,"&lt;="&amp;$E6853))</f>
        <v/>
      </c>
      <c r="J6853" s="59">
        <f t="shared" si="28"/>
        <v>0</v>
      </c>
      <c r="K6853" s="59">
        <f t="shared" si="29"/>
        <v>0</v>
      </c>
      <c r="L6853" s="59">
        <f t="shared" si="30"/>
        <v>0</v>
      </c>
      <c r="M6853" s="59">
        <f t="shared" si="31"/>
        <v>0</v>
      </c>
    </row>
    <row r="6854" ht="15.0" hidden="1" customHeight="1">
      <c r="A6854" s="59">
        <f t="shared" si="20"/>
        <v>111</v>
      </c>
      <c r="B6854" s="59" t="str">
        <f t="shared" si="21"/>
        <v/>
      </c>
      <c r="C6854" s="59" t="str">
        <f t="shared" si="22"/>
        <v/>
      </c>
      <c r="D6854" s="45" t="str">
        <f t="shared" si="23"/>
        <v/>
      </c>
      <c r="E6854" s="45" t="str">
        <f t="shared" si="24"/>
        <v/>
      </c>
      <c r="F6854" s="59" t="str">
        <f t="shared" si="25"/>
        <v/>
      </c>
      <c r="G6854" s="59" t="str">
        <f t="shared" si="26"/>
        <v/>
      </c>
      <c r="H6854" s="59" t="str">
        <f t="shared" si="27"/>
        <v>28C03927</v>
      </c>
      <c r="I6854" s="59" t="str">
        <f>IF(OR($A6854="",$C6854="",$D6854="",$E6854="",$H6854=""),"",SUMIFS(DATA_GOC!$H:$H,DATA_GOC!$A:$A,"BOM",DATA_GOC!$D:$D,$H6854,DATA_GOC!$E:$E,$C6854,DATA_GOC!$F:$F,"Xuất nội bộ từ téc",DATA_GOC!$B:$B,"&gt;="&amp;$D6854,DATA_GOC!$B:$B,"&lt;="&amp;$E6854))</f>
        <v/>
      </c>
      <c r="J6854" s="59">
        <f t="shared" si="28"/>
        <v>0</v>
      </c>
      <c r="K6854" s="59">
        <f t="shared" si="29"/>
        <v>0</v>
      </c>
      <c r="L6854" s="59">
        <f t="shared" si="30"/>
        <v>0</v>
      </c>
      <c r="M6854" s="59">
        <f t="shared" si="31"/>
        <v>0</v>
      </c>
    </row>
    <row r="6855" ht="15.0" hidden="1" customHeight="1">
      <c r="A6855" s="59">
        <f t="shared" si="20"/>
        <v>111</v>
      </c>
      <c r="B6855" s="59" t="str">
        <f t="shared" si="21"/>
        <v/>
      </c>
      <c r="C6855" s="59" t="str">
        <f t="shared" si="22"/>
        <v/>
      </c>
      <c r="D6855" s="45" t="str">
        <f t="shared" si="23"/>
        <v/>
      </c>
      <c r="E6855" s="45" t="str">
        <f t="shared" si="24"/>
        <v/>
      </c>
      <c r="F6855" s="59" t="str">
        <f t="shared" si="25"/>
        <v/>
      </c>
      <c r="G6855" s="59" t="str">
        <f t="shared" si="26"/>
        <v/>
      </c>
      <c r="H6855" s="59" t="str">
        <f t="shared" si="27"/>
        <v>28C04509</v>
      </c>
      <c r="I6855" s="59" t="str">
        <f>IF(OR($A6855="",$C6855="",$D6855="",$E6855="",$H6855=""),"",SUMIFS(DATA_GOC!$H:$H,DATA_GOC!$A:$A,"BOM",DATA_GOC!$D:$D,$H6855,DATA_GOC!$E:$E,$C6855,DATA_GOC!$F:$F,"Xuất nội bộ từ téc",DATA_GOC!$B:$B,"&gt;="&amp;$D6855,DATA_GOC!$B:$B,"&lt;="&amp;$E6855))</f>
        <v/>
      </c>
      <c r="J6855" s="59">
        <f t="shared" si="28"/>
        <v>0</v>
      </c>
      <c r="K6855" s="59">
        <f t="shared" si="29"/>
        <v>0</v>
      </c>
      <c r="L6855" s="59">
        <f t="shared" si="30"/>
        <v>0</v>
      </c>
      <c r="M6855" s="59">
        <f t="shared" si="31"/>
        <v>0</v>
      </c>
    </row>
    <row r="6856" ht="15.0" hidden="1" customHeight="1">
      <c r="A6856" s="59">
        <f t="shared" si="20"/>
        <v>111</v>
      </c>
      <c r="B6856" s="59" t="str">
        <f t="shared" si="21"/>
        <v/>
      </c>
      <c r="C6856" s="59" t="str">
        <f t="shared" si="22"/>
        <v/>
      </c>
      <c r="D6856" s="45" t="str">
        <f t="shared" si="23"/>
        <v/>
      </c>
      <c r="E6856" s="45" t="str">
        <f t="shared" si="24"/>
        <v/>
      </c>
      <c r="F6856" s="59" t="str">
        <f t="shared" si="25"/>
        <v/>
      </c>
      <c r="G6856" s="59" t="str">
        <f t="shared" si="26"/>
        <v/>
      </c>
      <c r="H6856" s="59" t="str">
        <f t="shared" si="27"/>
        <v>28C04536</v>
      </c>
      <c r="I6856" s="59" t="str">
        <f>IF(OR($A6856="",$C6856="",$D6856="",$E6856="",$H6856=""),"",SUMIFS(DATA_GOC!$H:$H,DATA_GOC!$A:$A,"BOM",DATA_GOC!$D:$D,$H6856,DATA_GOC!$E:$E,$C6856,DATA_GOC!$F:$F,"Xuất nội bộ từ téc",DATA_GOC!$B:$B,"&gt;="&amp;$D6856,DATA_GOC!$B:$B,"&lt;="&amp;$E6856))</f>
        <v/>
      </c>
      <c r="J6856" s="59">
        <f t="shared" si="28"/>
        <v>0</v>
      </c>
      <c r="K6856" s="59">
        <f t="shared" si="29"/>
        <v>0</v>
      </c>
      <c r="L6856" s="59">
        <f t="shared" si="30"/>
        <v>0</v>
      </c>
      <c r="M6856" s="59">
        <f t="shared" si="31"/>
        <v>0</v>
      </c>
    </row>
    <row r="6857" ht="15.0" hidden="1" customHeight="1">
      <c r="A6857" s="59">
        <f t="shared" si="20"/>
        <v>111</v>
      </c>
      <c r="B6857" s="59" t="str">
        <f t="shared" si="21"/>
        <v/>
      </c>
      <c r="C6857" s="59" t="str">
        <f t="shared" si="22"/>
        <v/>
      </c>
      <c r="D6857" s="45" t="str">
        <f t="shared" si="23"/>
        <v/>
      </c>
      <c r="E6857" s="45" t="str">
        <f t="shared" si="24"/>
        <v/>
      </c>
      <c r="F6857" s="59" t="str">
        <f t="shared" si="25"/>
        <v/>
      </c>
      <c r="G6857" s="59" t="str">
        <f t="shared" si="26"/>
        <v/>
      </c>
      <c r="H6857" s="59" t="str">
        <f t="shared" si="27"/>
        <v>28C04576</v>
      </c>
      <c r="I6857" s="59" t="str">
        <f>IF(OR($A6857="",$C6857="",$D6857="",$E6857="",$H6857=""),"",SUMIFS(DATA_GOC!$H:$H,DATA_GOC!$A:$A,"BOM",DATA_GOC!$D:$D,$H6857,DATA_GOC!$E:$E,$C6857,DATA_GOC!$F:$F,"Xuất nội bộ từ téc",DATA_GOC!$B:$B,"&gt;="&amp;$D6857,DATA_GOC!$B:$B,"&lt;="&amp;$E6857))</f>
        <v/>
      </c>
      <c r="J6857" s="59">
        <f t="shared" si="28"/>
        <v>0</v>
      </c>
      <c r="K6857" s="59">
        <f t="shared" si="29"/>
        <v>0</v>
      </c>
      <c r="L6857" s="59">
        <f t="shared" si="30"/>
        <v>0</v>
      </c>
      <c r="M6857" s="59">
        <f t="shared" si="31"/>
        <v>0</v>
      </c>
    </row>
    <row r="6858" ht="15.0" hidden="1" customHeight="1">
      <c r="A6858" s="59">
        <f t="shared" si="20"/>
        <v>111</v>
      </c>
      <c r="B6858" s="59" t="str">
        <f t="shared" si="21"/>
        <v/>
      </c>
      <c r="C6858" s="59" t="str">
        <f t="shared" si="22"/>
        <v/>
      </c>
      <c r="D6858" s="45" t="str">
        <f t="shared" si="23"/>
        <v/>
      </c>
      <c r="E6858" s="45" t="str">
        <f t="shared" si="24"/>
        <v/>
      </c>
      <c r="F6858" s="59" t="str">
        <f t="shared" si="25"/>
        <v/>
      </c>
      <c r="G6858" s="59" t="str">
        <f t="shared" si="26"/>
        <v/>
      </c>
      <c r="H6858" s="59" t="str">
        <f t="shared" si="27"/>
        <v>28C05090</v>
      </c>
      <c r="I6858" s="59" t="str">
        <f>IF(OR($A6858="",$C6858="",$D6858="",$E6858="",$H6858=""),"",SUMIFS(DATA_GOC!$H:$H,DATA_GOC!$A:$A,"BOM",DATA_GOC!$D:$D,$H6858,DATA_GOC!$E:$E,$C6858,DATA_GOC!$F:$F,"Xuất nội bộ từ téc",DATA_GOC!$B:$B,"&gt;="&amp;$D6858,DATA_GOC!$B:$B,"&lt;="&amp;$E6858))</f>
        <v/>
      </c>
      <c r="J6858" s="59">
        <f t="shared" si="28"/>
        <v>0</v>
      </c>
      <c r="K6858" s="59">
        <f t="shared" si="29"/>
        <v>0</v>
      </c>
      <c r="L6858" s="59">
        <f t="shared" si="30"/>
        <v>0</v>
      </c>
      <c r="M6858" s="59">
        <f t="shared" si="31"/>
        <v>0</v>
      </c>
    </row>
    <row r="6859" ht="15.0" hidden="1" customHeight="1">
      <c r="A6859" s="59">
        <f t="shared" si="20"/>
        <v>111</v>
      </c>
      <c r="B6859" s="59" t="str">
        <f t="shared" si="21"/>
        <v/>
      </c>
      <c r="C6859" s="59" t="str">
        <f t="shared" si="22"/>
        <v/>
      </c>
      <c r="D6859" s="45" t="str">
        <f t="shared" si="23"/>
        <v/>
      </c>
      <c r="E6859" s="45" t="str">
        <f t="shared" si="24"/>
        <v/>
      </c>
      <c r="F6859" s="59" t="str">
        <f t="shared" si="25"/>
        <v/>
      </c>
      <c r="G6859" s="59" t="str">
        <f t="shared" si="26"/>
        <v/>
      </c>
      <c r="H6859" s="59" t="str">
        <f t="shared" si="27"/>
        <v>28C05345</v>
      </c>
      <c r="I6859" s="59" t="str">
        <f>IF(OR($A6859="",$C6859="",$D6859="",$E6859="",$H6859=""),"",SUMIFS(DATA_GOC!$H:$H,DATA_GOC!$A:$A,"BOM",DATA_GOC!$D:$D,$H6859,DATA_GOC!$E:$E,$C6859,DATA_GOC!$F:$F,"Xuất nội bộ từ téc",DATA_GOC!$B:$B,"&gt;="&amp;$D6859,DATA_GOC!$B:$B,"&lt;="&amp;$E6859))</f>
        <v/>
      </c>
      <c r="J6859" s="59">
        <f t="shared" si="28"/>
        <v>0</v>
      </c>
      <c r="K6859" s="59">
        <f t="shared" si="29"/>
        <v>0</v>
      </c>
      <c r="L6859" s="59">
        <f t="shared" si="30"/>
        <v>0</v>
      </c>
      <c r="M6859" s="59">
        <f t="shared" si="31"/>
        <v>0</v>
      </c>
    </row>
    <row r="6860" ht="15.0" hidden="1" customHeight="1">
      <c r="A6860" s="59">
        <f t="shared" si="20"/>
        <v>111</v>
      </c>
      <c r="B6860" s="59" t="str">
        <f t="shared" si="21"/>
        <v/>
      </c>
      <c r="C6860" s="59" t="str">
        <f t="shared" si="22"/>
        <v/>
      </c>
      <c r="D6860" s="45" t="str">
        <f t="shared" si="23"/>
        <v/>
      </c>
      <c r="E6860" s="45" t="str">
        <f t="shared" si="24"/>
        <v/>
      </c>
      <c r="F6860" s="59" t="str">
        <f t="shared" si="25"/>
        <v/>
      </c>
      <c r="G6860" s="59" t="str">
        <f t="shared" si="26"/>
        <v/>
      </c>
      <c r="H6860" s="59" t="str">
        <f t="shared" si="27"/>
        <v>28C05661</v>
      </c>
      <c r="I6860" s="59" t="str">
        <f>IF(OR($A6860="",$C6860="",$D6860="",$E6860="",$H6860=""),"",SUMIFS(DATA_GOC!$H:$H,DATA_GOC!$A:$A,"BOM",DATA_GOC!$D:$D,$H6860,DATA_GOC!$E:$E,$C6860,DATA_GOC!$F:$F,"Xuất nội bộ từ téc",DATA_GOC!$B:$B,"&gt;="&amp;$D6860,DATA_GOC!$B:$B,"&lt;="&amp;$E6860))</f>
        <v/>
      </c>
      <c r="J6860" s="59">
        <f t="shared" si="28"/>
        <v>0</v>
      </c>
      <c r="K6860" s="59">
        <f t="shared" si="29"/>
        <v>0</v>
      </c>
      <c r="L6860" s="59">
        <f t="shared" si="30"/>
        <v>0</v>
      </c>
      <c r="M6860" s="59">
        <f t="shared" si="31"/>
        <v>0</v>
      </c>
    </row>
    <row r="6861" ht="15.0" hidden="1" customHeight="1">
      <c r="A6861" s="59">
        <f t="shared" si="20"/>
        <v>111</v>
      </c>
      <c r="B6861" s="59" t="str">
        <f t="shared" si="21"/>
        <v/>
      </c>
      <c r="C6861" s="59" t="str">
        <f t="shared" si="22"/>
        <v/>
      </c>
      <c r="D6861" s="45" t="str">
        <f t="shared" si="23"/>
        <v/>
      </c>
      <c r="E6861" s="45" t="str">
        <f t="shared" si="24"/>
        <v/>
      </c>
      <c r="F6861" s="59" t="str">
        <f t="shared" si="25"/>
        <v/>
      </c>
      <c r="G6861" s="59" t="str">
        <f t="shared" si="26"/>
        <v/>
      </c>
      <c r="H6861" s="59" t="str">
        <f t="shared" si="27"/>
        <v>28C05739</v>
      </c>
      <c r="I6861" s="59" t="str">
        <f>IF(OR($A6861="",$C6861="",$D6861="",$E6861="",$H6861=""),"",SUMIFS(DATA_GOC!$H:$H,DATA_GOC!$A:$A,"BOM",DATA_GOC!$D:$D,$H6861,DATA_GOC!$E:$E,$C6861,DATA_GOC!$F:$F,"Xuất nội bộ từ téc",DATA_GOC!$B:$B,"&gt;="&amp;$D6861,DATA_GOC!$B:$B,"&lt;="&amp;$E6861))</f>
        <v/>
      </c>
      <c r="J6861" s="59">
        <f t="shared" si="28"/>
        <v>0</v>
      </c>
      <c r="K6861" s="59">
        <f t="shared" si="29"/>
        <v>0</v>
      </c>
      <c r="L6861" s="59">
        <f t="shared" si="30"/>
        <v>0</v>
      </c>
      <c r="M6861" s="59">
        <f t="shared" si="31"/>
        <v>0</v>
      </c>
    </row>
    <row r="6862" ht="15.0" hidden="1" customHeight="1">
      <c r="A6862" s="59">
        <f t="shared" si="20"/>
        <v>111</v>
      </c>
      <c r="B6862" s="59" t="str">
        <f t="shared" si="21"/>
        <v/>
      </c>
      <c r="C6862" s="59" t="str">
        <f t="shared" si="22"/>
        <v/>
      </c>
      <c r="D6862" s="45" t="str">
        <f t="shared" si="23"/>
        <v/>
      </c>
      <c r="E6862" s="45" t="str">
        <f t="shared" si="24"/>
        <v/>
      </c>
      <c r="F6862" s="59" t="str">
        <f t="shared" si="25"/>
        <v/>
      </c>
      <c r="G6862" s="59" t="str">
        <f t="shared" si="26"/>
        <v/>
      </c>
      <c r="H6862" s="59" t="str">
        <f t="shared" si="27"/>
        <v>28C06369</v>
      </c>
      <c r="I6862" s="59" t="str">
        <f>IF(OR($A6862="",$C6862="",$D6862="",$E6862="",$H6862=""),"",SUMIFS(DATA_GOC!$H:$H,DATA_GOC!$A:$A,"BOM",DATA_GOC!$D:$D,$H6862,DATA_GOC!$E:$E,$C6862,DATA_GOC!$F:$F,"Xuất nội bộ từ téc",DATA_GOC!$B:$B,"&gt;="&amp;$D6862,DATA_GOC!$B:$B,"&lt;="&amp;$E6862))</f>
        <v/>
      </c>
      <c r="J6862" s="59">
        <f t="shared" si="28"/>
        <v>0</v>
      </c>
      <c r="K6862" s="59">
        <f t="shared" si="29"/>
        <v>0</v>
      </c>
      <c r="L6862" s="59">
        <f t="shared" si="30"/>
        <v>0</v>
      </c>
      <c r="M6862" s="59">
        <f t="shared" si="31"/>
        <v>0</v>
      </c>
    </row>
    <row r="6863" ht="15.0" hidden="1" customHeight="1">
      <c r="A6863" s="59">
        <f t="shared" si="20"/>
        <v>111</v>
      </c>
      <c r="B6863" s="59" t="str">
        <f t="shared" si="21"/>
        <v/>
      </c>
      <c r="C6863" s="59" t="str">
        <f t="shared" si="22"/>
        <v/>
      </c>
      <c r="D6863" s="45" t="str">
        <f t="shared" si="23"/>
        <v/>
      </c>
      <c r="E6863" s="45" t="str">
        <f t="shared" si="24"/>
        <v/>
      </c>
      <c r="F6863" s="59" t="str">
        <f t="shared" si="25"/>
        <v/>
      </c>
      <c r="G6863" s="59" t="str">
        <f t="shared" si="26"/>
        <v/>
      </c>
      <c r="H6863" s="59" t="str">
        <f t="shared" si="27"/>
        <v>28C06447</v>
      </c>
      <c r="I6863" s="59" t="str">
        <f>IF(OR($A6863="",$C6863="",$D6863="",$E6863="",$H6863=""),"",SUMIFS(DATA_GOC!$H:$H,DATA_GOC!$A:$A,"BOM",DATA_GOC!$D:$D,$H6863,DATA_GOC!$E:$E,$C6863,DATA_GOC!$F:$F,"Xuất nội bộ từ téc",DATA_GOC!$B:$B,"&gt;="&amp;$D6863,DATA_GOC!$B:$B,"&lt;="&amp;$E6863))</f>
        <v/>
      </c>
      <c r="J6863" s="59">
        <f t="shared" si="28"/>
        <v>0</v>
      </c>
      <c r="K6863" s="59">
        <f t="shared" si="29"/>
        <v>0</v>
      </c>
      <c r="L6863" s="59">
        <f t="shared" si="30"/>
        <v>0</v>
      </c>
      <c r="M6863" s="59">
        <f t="shared" si="31"/>
        <v>0</v>
      </c>
    </row>
    <row r="6864" ht="15.0" hidden="1" customHeight="1">
      <c r="A6864" s="59">
        <f t="shared" si="20"/>
        <v>111</v>
      </c>
      <c r="B6864" s="59" t="str">
        <f t="shared" si="21"/>
        <v/>
      </c>
      <c r="C6864" s="59" t="str">
        <f t="shared" si="22"/>
        <v/>
      </c>
      <c r="D6864" s="45" t="str">
        <f t="shared" si="23"/>
        <v/>
      </c>
      <c r="E6864" s="45" t="str">
        <f t="shared" si="24"/>
        <v/>
      </c>
      <c r="F6864" s="59" t="str">
        <f t="shared" si="25"/>
        <v/>
      </c>
      <c r="G6864" s="59" t="str">
        <f t="shared" si="26"/>
        <v/>
      </c>
      <c r="H6864" s="59" t="str">
        <f t="shared" si="27"/>
        <v>28H00003</v>
      </c>
      <c r="I6864" s="59" t="str">
        <f>IF(OR($A6864="",$C6864="",$D6864="",$E6864="",$H6864=""),"",SUMIFS(DATA_GOC!$H:$H,DATA_GOC!$A:$A,"BOM",DATA_GOC!$D:$D,$H6864,DATA_GOC!$E:$E,$C6864,DATA_GOC!$F:$F,"Xuất nội bộ từ téc",DATA_GOC!$B:$B,"&gt;="&amp;$D6864,DATA_GOC!$B:$B,"&lt;="&amp;$E6864))</f>
        <v/>
      </c>
      <c r="J6864" s="59">
        <f t="shared" si="28"/>
        <v>0</v>
      </c>
      <c r="K6864" s="59">
        <f t="shared" si="29"/>
        <v>0</v>
      </c>
      <c r="L6864" s="59">
        <f t="shared" si="30"/>
        <v>0</v>
      </c>
      <c r="M6864" s="59">
        <f t="shared" si="31"/>
        <v>0</v>
      </c>
    </row>
    <row r="6865" ht="15.0" hidden="1" customHeight="1">
      <c r="A6865" s="59">
        <f t="shared" si="20"/>
        <v>111</v>
      </c>
      <c r="B6865" s="59" t="str">
        <f t="shared" si="21"/>
        <v/>
      </c>
      <c r="C6865" s="59" t="str">
        <f t="shared" si="22"/>
        <v/>
      </c>
      <c r="D6865" s="45" t="str">
        <f t="shared" si="23"/>
        <v/>
      </c>
      <c r="E6865" s="45" t="str">
        <f t="shared" si="24"/>
        <v/>
      </c>
      <c r="F6865" s="59" t="str">
        <f t="shared" si="25"/>
        <v/>
      </c>
      <c r="G6865" s="59" t="str">
        <f t="shared" si="26"/>
        <v/>
      </c>
      <c r="H6865" s="59" t="str">
        <f t="shared" si="27"/>
        <v>28H00061</v>
      </c>
      <c r="I6865" s="59" t="str">
        <f>IF(OR($A6865="",$C6865="",$D6865="",$E6865="",$H6865=""),"",SUMIFS(DATA_GOC!$H:$H,DATA_GOC!$A:$A,"BOM",DATA_GOC!$D:$D,$H6865,DATA_GOC!$E:$E,$C6865,DATA_GOC!$F:$F,"Xuất nội bộ từ téc",DATA_GOC!$B:$B,"&gt;="&amp;$D6865,DATA_GOC!$B:$B,"&lt;="&amp;$E6865))</f>
        <v/>
      </c>
      <c r="J6865" s="59">
        <f t="shared" si="28"/>
        <v>0</v>
      </c>
      <c r="K6865" s="59">
        <f t="shared" si="29"/>
        <v>0</v>
      </c>
      <c r="L6865" s="59">
        <f t="shared" si="30"/>
        <v>0</v>
      </c>
      <c r="M6865" s="59">
        <f t="shared" si="31"/>
        <v>0</v>
      </c>
    </row>
    <row r="6866" ht="15.0" hidden="1" customHeight="1">
      <c r="A6866" s="59">
        <f t="shared" si="20"/>
        <v>111</v>
      </c>
      <c r="B6866" s="59" t="str">
        <f t="shared" si="21"/>
        <v/>
      </c>
      <c r="C6866" s="59" t="str">
        <f t="shared" si="22"/>
        <v/>
      </c>
      <c r="D6866" s="45" t="str">
        <f t="shared" si="23"/>
        <v/>
      </c>
      <c r="E6866" s="45" t="str">
        <f t="shared" si="24"/>
        <v/>
      </c>
      <c r="F6866" s="59" t="str">
        <f t="shared" si="25"/>
        <v/>
      </c>
      <c r="G6866" s="59" t="str">
        <f t="shared" si="26"/>
        <v/>
      </c>
      <c r="H6866" s="59" t="str">
        <f t="shared" si="27"/>
        <v>28H00354</v>
      </c>
      <c r="I6866" s="59" t="str">
        <f>IF(OR($A6866="",$C6866="",$D6866="",$E6866="",$H6866=""),"",SUMIFS(DATA_GOC!$H:$H,DATA_GOC!$A:$A,"BOM",DATA_GOC!$D:$D,$H6866,DATA_GOC!$E:$E,$C6866,DATA_GOC!$F:$F,"Xuất nội bộ từ téc",DATA_GOC!$B:$B,"&gt;="&amp;$D6866,DATA_GOC!$B:$B,"&lt;="&amp;$E6866))</f>
        <v/>
      </c>
      <c r="J6866" s="59">
        <f t="shared" si="28"/>
        <v>0</v>
      </c>
      <c r="K6866" s="59">
        <f t="shared" si="29"/>
        <v>0</v>
      </c>
      <c r="L6866" s="59">
        <f t="shared" si="30"/>
        <v>0</v>
      </c>
      <c r="M6866" s="59">
        <f t="shared" si="31"/>
        <v>0</v>
      </c>
    </row>
    <row r="6867" ht="15.0" hidden="1" customHeight="1">
      <c r="A6867" s="59">
        <f t="shared" si="20"/>
        <v>111</v>
      </c>
      <c r="B6867" s="59" t="str">
        <f t="shared" si="21"/>
        <v/>
      </c>
      <c r="C6867" s="59" t="str">
        <f t="shared" si="22"/>
        <v/>
      </c>
      <c r="D6867" s="45" t="str">
        <f t="shared" si="23"/>
        <v/>
      </c>
      <c r="E6867" s="45" t="str">
        <f t="shared" si="24"/>
        <v/>
      </c>
      <c r="F6867" s="59" t="str">
        <f t="shared" si="25"/>
        <v/>
      </c>
      <c r="G6867" s="59" t="str">
        <f t="shared" si="26"/>
        <v/>
      </c>
      <c r="H6867" s="59" t="str">
        <f t="shared" si="27"/>
        <v>28H00603</v>
      </c>
      <c r="I6867" s="59" t="str">
        <f>IF(OR($A6867="",$C6867="",$D6867="",$E6867="",$H6867=""),"",SUMIFS(DATA_GOC!$H:$H,DATA_GOC!$A:$A,"BOM",DATA_GOC!$D:$D,$H6867,DATA_GOC!$E:$E,$C6867,DATA_GOC!$F:$F,"Xuất nội bộ từ téc",DATA_GOC!$B:$B,"&gt;="&amp;$D6867,DATA_GOC!$B:$B,"&lt;="&amp;$E6867))</f>
        <v/>
      </c>
      <c r="J6867" s="59">
        <f t="shared" si="28"/>
        <v>0</v>
      </c>
      <c r="K6867" s="59">
        <f t="shared" si="29"/>
        <v>0</v>
      </c>
      <c r="L6867" s="59">
        <f t="shared" si="30"/>
        <v>0</v>
      </c>
      <c r="M6867" s="59">
        <f t="shared" si="31"/>
        <v>0</v>
      </c>
    </row>
    <row r="6868" ht="15.0" hidden="1" customHeight="1">
      <c r="A6868" s="59">
        <f t="shared" si="20"/>
        <v>111</v>
      </c>
      <c r="B6868" s="59" t="str">
        <f t="shared" si="21"/>
        <v/>
      </c>
      <c r="C6868" s="59" t="str">
        <f t="shared" si="22"/>
        <v/>
      </c>
      <c r="D6868" s="45" t="str">
        <f t="shared" si="23"/>
        <v/>
      </c>
      <c r="E6868" s="45" t="str">
        <f t="shared" si="24"/>
        <v/>
      </c>
      <c r="F6868" s="59" t="str">
        <f t="shared" si="25"/>
        <v/>
      </c>
      <c r="G6868" s="59" t="str">
        <f t="shared" si="26"/>
        <v/>
      </c>
      <c r="H6868" s="59" t="str">
        <f t="shared" si="27"/>
        <v>28H00609</v>
      </c>
      <c r="I6868" s="59" t="str">
        <f>IF(OR($A6868="",$C6868="",$D6868="",$E6868="",$H6868=""),"",SUMIFS(DATA_GOC!$H:$H,DATA_GOC!$A:$A,"BOM",DATA_GOC!$D:$D,$H6868,DATA_GOC!$E:$E,$C6868,DATA_GOC!$F:$F,"Xuất nội bộ từ téc",DATA_GOC!$B:$B,"&gt;="&amp;$D6868,DATA_GOC!$B:$B,"&lt;="&amp;$E6868))</f>
        <v/>
      </c>
      <c r="J6868" s="59">
        <f t="shared" si="28"/>
        <v>0</v>
      </c>
      <c r="K6868" s="59">
        <f t="shared" si="29"/>
        <v>0</v>
      </c>
      <c r="L6868" s="59">
        <f t="shared" si="30"/>
        <v>0</v>
      </c>
      <c r="M6868" s="59">
        <f t="shared" si="31"/>
        <v>0</v>
      </c>
    </row>
    <row r="6869" ht="15.0" hidden="1" customHeight="1">
      <c r="A6869" s="59">
        <f t="shared" si="20"/>
        <v>111</v>
      </c>
      <c r="B6869" s="59" t="str">
        <f t="shared" si="21"/>
        <v/>
      </c>
      <c r="C6869" s="59" t="str">
        <f t="shared" si="22"/>
        <v/>
      </c>
      <c r="D6869" s="45" t="str">
        <f t="shared" si="23"/>
        <v/>
      </c>
      <c r="E6869" s="45" t="str">
        <f t="shared" si="24"/>
        <v/>
      </c>
      <c r="F6869" s="59" t="str">
        <f t="shared" si="25"/>
        <v/>
      </c>
      <c r="G6869" s="59" t="str">
        <f t="shared" si="26"/>
        <v/>
      </c>
      <c r="H6869" s="59" t="str">
        <f t="shared" si="27"/>
        <v>28H00669</v>
      </c>
      <c r="I6869" s="59" t="str">
        <f>IF(OR($A6869="",$C6869="",$D6869="",$E6869="",$H6869=""),"",SUMIFS(DATA_GOC!$H:$H,DATA_GOC!$A:$A,"BOM",DATA_GOC!$D:$D,$H6869,DATA_GOC!$E:$E,$C6869,DATA_GOC!$F:$F,"Xuất nội bộ từ téc",DATA_GOC!$B:$B,"&gt;="&amp;$D6869,DATA_GOC!$B:$B,"&lt;="&amp;$E6869))</f>
        <v/>
      </c>
      <c r="J6869" s="59">
        <f t="shared" si="28"/>
        <v>0</v>
      </c>
      <c r="K6869" s="59">
        <f t="shared" si="29"/>
        <v>0</v>
      </c>
      <c r="L6869" s="59">
        <f t="shared" si="30"/>
        <v>0</v>
      </c>
      <c r="M6869" s="59">
        <f t="shared" si="31"/>
        <v>0</v>
      </c>
    </row>
    <row r="6870" ht="15.0" hidden="1" customHeight="1">
      <c r="A6870" s="59">
        <f t="shared" si="20"/>
        <v>111</v>
      </c>
      <c r="B6870" s="59" t="str">
        <f t="shared" si="21"/>
        <v/>
      </c>
      <c r="C6870" s="59" t="str">
        <f t="shared" si="22"/>
        <v/>
      </c>
      <c r="D6870" s="45" t="str">
        <f t="shared" si="23"/>
        <v/>
      </c>
      <c r="E6870" s="45" t="str">
        <f t="shared" si="24"/>
        <v/>
      </c>
      <c r="F6870" s="59" t="str">
        <f t="shared" si="25"/>
        <v/>
      </c>
      <c r="G6870" s="59" t="str">
        <f t="shared" si="26"/>
        <v/>
      </c>
      <c r="H6870" s="59" t="str">
        <f t="shared" si="27"/>
        <v>28H00680</v>
      </c>
      <c r="I6870" s="59" t="str">
        <f>IF(OR($A6870="",$C6870="",$D6870="",$E6870="",$H6870=""),"",SUMIFS(DATA_GOC!$H:$H,DATA_GOC!$A:$A,"BOM",DATA_GOC!$D:$D,$H6870,DATA_GOC!$E:$E,$C6870,DATA_GOC!$F:$F,"Xuất nội bộ từ téc",DATA_GOC!$B:$B,"&gt;="&amp;$D6870,DATA_GOC!$B:$B,"&lt;="&amp;$E6870))</f>
        <v/>
      </c>
      <c r="J6870" s="59">
        <f t="shared" si="28"/>
        <v>0</v>
      </c>
      <c r="K6870" s="59">
        <f t="shared" si="29"/>
        <v>0</v>
      </c>
      <c r="L6870" s="59">
        <f t="shared" si="30"/>
        <v>0</v>
      </c>
      <c r="M6870" s="59">
        <f t="shared" si="31"/>
        <v>0</v>
      </c>
    </row>
    <row r="6871" ht="15.0" hidden="1" customHeight="1">
      <c r="A6871" s="59">
        <f t="shared" si="20"/>
        <v>111</v>
      </c>
      <c r="B6871" s="59" t="str">
        <f t="shared" si="21"/>
        <v/>
      </c>
      <c r="C6871" s="59" t="str">
        <f t="shared" si="22"/>
        <v/>
      </c>
      <c r="D6871" s="45" t="str">
        <f t="shared" si="23"/>
        <v/>
      </c>
      <c r="E6871" s="45" t="str">
        <f t="shared" si="24"/>
        <v/>
      </c>
      <c r="F6871" s="59" t="str">
        <f t="shared" si="25"/>
        <v/>
      </c>
      <c r="G6871" s="59" t="str">
        <f t="shared" si="26"/>
        <v/>
      </c>
      <c r="H6871" s="59" t="str">
        <f t="shared" si="27"/>
        <v>28H01070</v>
      </c>
      <c r="I6871" s="59" t="str">
        <f>IF(OR($A6871="",$C6871="",$D6871="",$E6871="",$H6871=""),"",SUMIFS(DATA_GOC!$H:$H,DATA_GOC!$A:$A,"BOM",DATA_GOC!$D:$D,$H6871,DATA_GOC!$E:$E,$C6871,DATA_GOC!$F:$F,"Xuất nội bộ từ téc",DATA_GOC!$B:$B,"&gt;="&amp;$D6871,DATA_GOC!$B:$B,"&lt;="&amp;$E6871))</f>
        <v/>
      </c>
      <c r="J6871" s="59">
        <f t="shared" si="28"/>
        <v>0</v>
      </c>
      <c r="K6871" s="59">
        <f t="shared" si="29"/>
        <v>0</v>
      </c>
      <c r="L6871" s="59">
        <f t="shared" si="30"/>
        <v>0</v>
      </c>
      <c r="M6871" s="59">
        <f t="shared" si="31"/>
        <v>0</v>
      </c>
    </row>
    <row r="6872" ht="15.0" hidden="1" customHeight="1">
      <c r="A6872" s="59">
        <f t="shared" si="20"/>
        <v>111</v>
      </c>
      <c r="B6872" s="59" t="str">
        <f t="shared" si="21"/>
        <v/>
      </c>
      <c r="C6872" s="59" t="str">
        <f t="shared" si="22"/>
        <v/>
      </c>
      <c r="D6872" s="45" t="str">
        <f t="shared" si="23"/>
        <v/>
      </c>
      <c r="E6872" s="45" t="str">
        <f t="shared" si="24"/>
        <v/>
      </c>
      <c r="F6872" s="59" t="str">
        <f t="shared" si="25"/>
        <v/>
      </c>
      <c r="G6872" s="59" t="str">
        <f t="shared" si="26"/>
        <v/>
      </c>
      <c r="H6872" s="59" t="str">
        <f t="shared" si="27"/>
        <v>28H01364</v>
      </c>
      <c r="I6872" s="59" t="str">
        <f>IF(OR($A6872="",$C6872="",$D6872="",$E6872="",$H6872=""),"",SUMIFS(DATA_GOC!$H:$H,DATA_GOC!$A:$A,"BOM",DATA_GOC!$D:$D,$H6872,DATA_GOC!$E:$E,$C6872,DATA_GOC!$F:$F,"Xuất nội bộ từ téc",DATA_GOC!$B:$B,"&gt;="&amp;$D6872,DATA_GOC!$B:$B,"&lt;="&amp;$E6872))</f>
        <v/>
      </c>
      <c r="J6872" s="59">
        <f t="shared" si="28"/>
        <v>0</v>
      </c>
      <c r="K6872" s="59">
        <f t="shared" si="29"/>
        <v>0</v>
      </c>
      <c r="L6872" s="59">
        <f t="shared" si="30"/>
        <v>0</v>
      </c>
      <c r="M6872" s="59">
        <f t="shared" si="31"/>
        <v>0</v>
      </c>
    </row>
    <row r="6873" ht="15.0" hidden="1" customHeight="1">
      <c r="A6873" s="59">
        <f t="shared" si="20"/>
        <v>111</v>
      </c>
      <c r="B6873" s="59" t="str">
        <f t="shared" si="21"/>
        <v/>
      </c>
      <c r="C6873" s="59" t="str">
        <f t="shared" si="22"/>
        <v/>
      </c>
      <c r="D6873" s="45" t="str">
        <f t="shared" si="23"/>
        <v/>
      </c>
      <c r="E6873" s="45" t="str">
        <f t="shared" si="24"/>
        <v/>
      </c>
      <c r="F6873" s="59" t="str">
        <f t="shared" si="25"/>
        <v/>
      </c>
      <c r="G6873" s="59" t="str">
        <f t="shared" si="26"/>
        <v/>
      </c>
      <c r="H6873" s="59" t="str">
        <f t="shared" si="27"/>
        <v>29E17269</v>
      </c>
      <c r="I6873" s="59" t="str">
        <f>IF(OR($A6873="",$C6873="",$D6873="",$E6873="",$H6873=""),"",SUMIFS(DATA_GOC!$H:$H,DATA_GOC!$A:$A,"BOM",DATA_GOC!$D:$D,$H6873,DATA_GOC!$E:$E,$C6873,DATA_GOC!$F:$F,"Xuất nội bộ từ téc",DATA_GOC!$B:$B,"&gt;="&amp;$D6873,DATA_GOC!$B:$B,"&lt;="&amp;$E6873))</f>
        <v/>
      </c>
      <c r="J6873" s="59">
        <f t="shared" si="28"/>
        <v>0</v>
      </c>
      <c r="K6873" s="59">
        <f t="shared" si="29"/>
        <v>0</v>
      </c>
      <c r="L6873" s="59">
        <f t="shared" si="30"/>
        <v>0</v>
      </c>
      <c r="M6873" s="59">
        <f t="shared" si="31"/>
        <v>0</v>
      </c>
    </row>
    <row r="6874" ht="15.0" hidden="1" customHeight="1">
      <c r="A6874" s="59">
        <f t="shared" si="20"/>
        <v>111</v>
      </c>
      <c r="B6874" s="59" t="str">
        <f t="shared" si="21"/>
        <v/>
      </c>
      <c r="C6874" s="59" t="str">
        <f t="shared" si="22"/>
        <v/>
      </c>
      <c r="D6874" s="45" t="str">
        <f t="shared" si="23"/>
        <v/>
      </c>
      <c r="E6874" s="45" t="str">
        <f t="shared" si="24"/>
        <v/>
      </c>
      <c r="F6874" s="59" t="str">
        <f t="shared" si="25"/>
        <v/>
      </c>
      <c r="G6874" s="59" t="str">
        <f t="shared" si="26"/>
        <v/>
      </c>
      <c r="H6874" s="59" t="str">
        <f t="shared" si="27"/>
        <v>29E17273</v>
      </c>
      <c r="I6874" s="59" t="str">
        <f>IF(OR($A6874="",$C6874="",$D6874="",$E6874="",$H6874=""),"",SUMIFS(DATA_GOC!$H:$H,DATA_GOC!$A:$A,"BOM",DATA_GOC!$D:$D,$H6874,DATA_GOC!$E:$E,$C6874,DATA_GOC!$F:$F,"Xuất nội bộ từ téc",DATA_GOC!$B:$B,"&gt;="&amp;$D6874,DATA_GOC!$B:$B,"&lt;="&amp;$E6874))</f>
        <v/>
      </c>
      <c r="J6874" s="59">
        <f t="shared" si="28"/>
        <v>0</v>
      </c>
      <c r="K6874" s="59">
        <f t="shared" si="29"/>
        <v>0</v>
      </c>
      <c r="L6874" s="59">
        <f t="shared" si="30"/>
        <v>0</v>
      </c>
      <c r="M6874" s="59">
        <f t="shared" si="31"/>
        <v>0</v>
      </c>
    </row>
    <row r="6875" ht="15.0" hidden="1" customHeight="1">
      <c r="A6875" s="59">
        <f t="shared" si="20"/>
        <v>111</v>
      </c>
      <c r="B6875" s="59" t="str">
        <f t="shared" si="21"/>
        <v/>
      </c>
      <c r="C6875" s="59" t="str">
        <f t="shared" si="22"/>
        <v/>
      </c>
      <c r="D6875" s="45" t="str">
        <f t="shared" si="23"/>
        <v/>
      </c>
      <c r="E6875" s="45" t="str">
        <f t="shared" si="24"/>
        <v/>
      </c>
      <c r="F6875" s="59" t="str">
        <f t="shared" si="25"/>
        <v/>
      </c>
      <c r="G6875" s="59" t="str">
        <f t="shared" si="26"/>
        <v/>
      </c>
      <c r="H6875" s="59" t="str">
        <f t="shared" si="27"/>
        <v>29E17410</v>
      </c>
      <c r="I6875" s="59" t="str">
        <f>IF(OR($A6875="",$C6875="",$D6875="",$E6875="",$H6875=""),"",SUMIFS(DATA_GOC!$H:$H,DATA_GOC!$A:$A,"BOM",DATA_GOC!$D:$D,$H6875,DATA_GOC!$E:$E,$C6875,DATA_GOC!$F:$F,"Xuất nội bộ từ téc",DATA_GOC!$B:$B,"&gt;="&amp;$D6875,DATA_GOC!$B:$B,"&lt;="&amp;$E6875))</f>
        <v/>
      </c>
      <c r="J6875" s="59">
        <f t="shared" si="28"/>
        <v>0</v>
      </c>
      <c r="K6875" s="59">
        <f t="shared" si="29"/>
        <v>0</v>
      </c>
      <c r="L6875" s="59">
        <f t="shared" si="30"/>
        <v>0</v>
      </c>
      <c r="M6875" s="59">
        <f t="shared" si="31"/>
        <v>0</v>
      </c>
    </row>
    <row r="6876" ht="15.0" hidden="1" customHeight="1">
      <c r="A6876" s="59">
        <f t="shared" si="20"/>
        <v>111</v>
      </c>
      <c r="B6876" s="59" t="str">
        <f t="shared" si="21"/>
        <v/>
      </c>
      <c r="C6876" s="59" t="str">
        <f t="shared" si="22"/>
        <v/>
      </c>
      <c r="D6876" s="45" t="str">
        <f t="shared" si="23"/>
        <v/>
      </c>
      <c r="E6876" s="45" t="str">
        <f t="shared" si="24"/>
        <v/>
      </c>
      <c r="F6876" s="59" t="str">
        <f t="shared" si="25"/>
        <v/>
      </c>
      <c r="G6876" s="59" t="str">
        <f t="shared" si="26"/>
        <v/>
      </c>
      <c r="H6876" s="59" t="str">
        <f t="shared" si="27"/>
        <v>29E17417</v>
      </c>
      <c r="I6876" s="59" t="str">
        <f>IF(OR($A6876="",$C6876="",$D6876="",$E6876="",$H6876=""),"",SUMIFS(DATA_GOC!$H:$H,DATA_GOC!$A:$A,"BOM",DATA_GOC!$D:$D,$H6876,DATA_GOC!$E:$E,$C6876,DATA_GOC!$F:$F,"Xuất nội bộ từ téc",DATA_GOC!$B:$B,"&gt;="&amp;$D6876,DATA_GOC!$B:$B,"&lt;="&amp;$E6876))</f>
        <v/>
      </c>
      <c r="J6876" s="59">
        <f t="shared" si="28"/>
        <v>0</v>
      </c>
      <c r="K6876" s="59">
        <f t="shared" si="29"/>
        <v>0</v>
      </c>
      <c r="L6876" s="59">
        <f t="shared" si="30"/>
        <v>0</v>
      </c>
      <c r="M6876" s="59">
        <f t="shared" si="31"/>
        <v>0</v>
      </c>
    </row>
    <row r="6877" ht="15.0" hidden="1" customHeight="1">
      <c r="A6877" s="59">
        <f t="shared" si="20"/>
        <v>111</v>
      </c>
      <c r="B6877" s="59" t="str">
        <f t="shared" si="21"/>
        <v/>
      </c>
      <c r="C6877" s="59" t="str">
        <f t="shared" si="22"/>
        <v/>
      </c>
      <c r="D6877" s="45" t="str">
        <f t="shared" si="23"/>
        <v/>
      </c>
      <c r="E6877" s="45" t="str">
        <f t="shared" si="24"/>
        <v/>
      </c>
      <c r="F6877" s="59" t="str">
        <f t="shared" si="25"/>
        <v/>
      </c>
      <c r="G6877" s="59" t="str">
        <f t="shared" si="26"/>
        <v/>
      </c>
      <c r="H6877" s="59" t="str">
        <f t="shared" si="27"/>
        <v>29E17539</v>
      </c>
      <c r="I6877" s="59" t="str">
        <f>IF(OR($A6877="",$C6877="",$D6877="",$E6877="",$H6877=""),"",SUMIFS(DATA_GOC!$H:$H,DATA_GOC!$A:$A,"BOM",DATA_GOC!$D:$D,$H6877,DATA_GOC!$E:$E,$C6877,DATA_GOC!$F:$F,"Xuất nội bộ từ téc",DATA_GOC!$B:$B,"&gt;="&amp;$D6877,DATA_GOC!$B:$B,"&lt;="&amp;$E6877))</f>
        <v/>
      </c>
      <c r="J6877" s="59">
        <f t="shared" si="28"/>
        <v>0</v>
      </c>
      <c r="K6877" s="59">
        <f t="shared" si="29"/>
        <v>0</v>
      </c>
      <c r="L6877" s="59">
        <f t="shared" si="30"/>
        <v>0</v>
      </c>
      <c r="M6877" s="59">
        <f t="shared" si="31"/>
        <v>0</v>
      </c>
    </row>
    <row r="6878" ht="15.0" hidden="1" customHeight="1">
      <c r="A6878" s="59">
        <f t="shared" si="20"/>
        <v>111</v>
      </c>
      <c r="B6878" s="59" t="str">
        <f t="shared" si="21"/>
        <v/>
      </c>
      <c r="C6878" s="59" t="str">
        <f t="shared" si="22"/>
        <v/>
      </c>
      <c r="D6878" s="45" t="str">
        <f t="shared" si="23"/>
        <v/>
      </c>
      <c r="E6878" s="45" t="str">
        <f t="shared" si="24"/>
        <v/>
      </c>
      <c r="F6878" s="59" t="str">
        <f t="shared" si="25"/>
        <v/>
      </c>
      <c r="G6878" s="59" t="str">
        <f t="shared" si="26"/>
        <v/>
      </c>
      <c r="H6878" s="59" t="str">
        <f t="shared" si="27"/>
        <v>29E18160</v>
      </c>
      <c r="I6878" s="59" t="str">
        <f>IF(OR($A6878="",$C6878="",$D6878="",$E6878="",$H6878=""),"",SUMIFS(DATA_GOC!$H:$H,DATA_GOC!$A:$A,"BOM",DATA_GOC!$D:$D,$H6878,DATA_GOC!$E:$E,$C6878,DATA_GOC!$F:$F,"Xuất nội bộ từ téc",DATA_GOC!$B:$B,"&gt;="&amp;$D6878,DATA_GOC!$B:$B,"&lt;="&amp;$E6878))</f>
        <v/>
      </c>
      <c r="J6878" s="59">
        <f t="shared" si="28"/>
        <v>0</v>
      </c>
      <c r="K6878" s="59">
        <f t="shared" si="29"/>
        <v>0</v>
      </c>
      <c r="L6878" s="59">
        <f t="shared" si="30"/>
        <v>0</v>
      </c>
      <c r="M6878" s="59">
        <f t="shared" si="31"/>
        <v>0</v>
      </c>
    </row>
    <row r="6879" ht="15.0" hidden="1" customHeight="1">
      <c r="A6879" s="59">
        <f t="shared" si="20"/>
        <v>111</v>
      </c>
      <c r="B6879" s="59" t="str">
        <f t="shared" si="21"/>
        <v/>
      </c>
      <c r="C6879" s="59" t="str">
        <f t="shared" si="22"/>
        <v/>
      </c>
      <c r="D6879" s="45" t="str">
        <f t="shared" si="23"/>
        <v/>
      </c>
      <c r="E6879" s="45" t="str">
        <f t="shared" si="24"/>
        <v/>
      </c>
      <c r="F6879" s="59" t="str">
        <f t="shared" si="25"/>
        <v/>
      </c>
      <c r="G6879" s="59" t="str">
        <f t="shared" si="26"/>
        <v/>
      </c>
      <c r="H6879" s="59" t="str">
        <f t="shared" si="27"/>
        <v>Công trình Asphalt</v>
      </c>
      <c r="I6879" s="59" t="str">
        <f>IF(OR($A6879="",$C6879="",$D6879="",$E6879="",$H6879=""),"",SUMIFS(DATA_GOC!$H:$H,DATA_GOC!$A:$A,"BOM",DATA_GOC!$D:$D,$H6879,DATA_GOC!$E:$E,$C6879,DATA_GOC!$F:$F,"Xuất nội bộ từ téc",DATA_GOC!$B:$B,"&gt;="&amp;$D6879,DATA_GOC!$B:$B,"&lt;="&amp;$E6879))</f>
        <v/>
      </c>
      <c r="J6879" s="59">
        <f t="shared" si="28"/>
        <v>0</v>
      </c>
      <c r="K6879" s="59">
        <f t="shared" si="29"/>
        <v>0</v>
      </c>
      <c r="L6879" s="59">
        <f t="shared" si="30"/>
        <v>0</v>
      </c>
      <c r="M6879" s="59">
        <f t="shared" si="31"/>
        <v>0</v>
      </c>
    </row>
    <row r="6880" ht="15.0" hidden="1" customHeight="1">
      <c r="A6880" s="59">
        <f t="shared" si="20"/>
        <v>111</v>
      </c>
      <c r="B6880" s="59" t="str">
        <f t="shared" si="21"/>
        <v/>
      </c>
      <c r="C6880" s="59" t="str">
        <f t="shared" si="22"/>
        <v/>
      </c>
      <c r="D6880" s="45" t="str">
        <f t="shared" si="23"/>
        <v/>
      </c>
      <c r="E6880" s="45" t="str">
        <f t="shared" si="24"/>
        <v/>
      </c>
      <c r="F6880" s="59" t="str">
        <f t="shared" si="25"/>
        <v/>
      </c>
      <c r="G6880" s="59" t="str">
        <f t="shared" si="26"/>
        <v/>
      </c>
      <c r="H6880" s="59" t="str">
        <f t="shared" si="27"/>
        <v>LG53F</v>
      </c>
      <c r="I6880" s="59" t="str">
        <f>IF(OR($A6880="",$C6880="",$D6880="",$E6880="",$H6880=""),"",SUMIFS(DATA_GOC!$H:$H,DATA_GOC!$A:$A,"BOM",DATA_GOC!$D:$D,$H6880,DATA_GOC!$E:$E,$C6880,DATA_GOC!$F:$F,"Xuất nội bộ từ téc",DATA_GOC!$B:$B,"&gt;="&amp;$D6880,DATA_GOC!$B:$B,"&lt;="&amp;$E6880))</f>
        <v/>
      </c>
      <c r="J6880" s="59">
        <f t="shared" si="28"/>
        <v>0</v>
      </c>
      <c r="K6880" s="59">
        <f t="shared" si="29"/>
        <v>0</v>
      </c>
      <c r="L6880" s="59">
        <f t="shared" si="30"/>
        <v>0</v>
      </c>
      <c r="M6880" s="59">
        <f t="shared" si="31"/>
        <v>0</v>
      </c>
    </row>
    <row r="6881" ht="15.0" hidden="1" customHeight="1">
      <c r="A6881" s="59">
        <f t="shared" si="20"/>
        <v>111</v>
      </c>
      <c r="B6881" s="59" t="str">
        <f t="shared" si="21"/>
        <v/>
      </c>
      <c r="C6881" s="59" t="str">
        <f t="shared" si="22"/>
        <v/>
      </c>
      <c r="D6881" s="45" t="str">
        <f t="shared" si="23"/>
        <v/>
      </c>
      <c r="E6881" s="45" t="str">
        <f t="shared" si="24"/>
        <v/>
      </c>
      <c r="F6881" s="59" t="str">
        <f t="shared" si="25"/>
        <v/>
      </c>
      <c r="G6881" s="59" t="str">
        <f t="shared" si="26"/>
        <v/>
      </c>
      <c r="H6881" s="59" t="str">
        <f t="shared" si="27"/>
        <v>Máy phát điện</v>
      </c>
      <c r="I6881" s="59" t="str">
        <f>IF(OR($A6881="",$C6881="",$D6881="",$E6881="",$H6881=""),"",SUMIFS(DATA_GOC!$H:$H,DATA_GOC!$A:$A,"BOM",DATA_GOC!$D:$D,$H6881,DATA_GOC!$E:$E,$C6881,DATA_GOC!$F:$F,"Xuất nội bộ từ téc",DATA_GOC!$B:$B,"&gt;="&amp;$D6881,DATA_GOC!$B:$B,"&lt;="&amp;$E6881))</f>
        <v/>
      </c>
      <c r="J6881" s="59">
        <f t="shared" si="28"/>
        <v>0</v>
      </c>
      <c r="K6881" s="59">
        <f t="shared" si="29"/>
        <v>0</v>
      </c>
      <c r="L6881" s="59">
        <f t="shared" si="30"/>
        <v>0</v>
      </c>
      <c r="M6881" s="59">
        <f t="shared" si="31"/>
        <v>0</v>
      </c>
    </row>
    <row r="6882" ht="15.0" hidden="1" customHeight="1">
      <c r="A6882" s="59">
        <f t="shared" si="20"/>
        <v>111</v>
      </c>
      <c r="B6882" s="59" t="str">
        <f t="shared" si="21"/>
        <v/>
      </c>
      <c r="C6882" s="59" t="str">
        <f t="shared" si="22"/>
        <v/>
      </c>
      <c r="D6882" s="45" t="str">
        <f t="shared" si="23"/>
        <v/>
      </c>
      <c r="E6882" s="45" t="str">
        <f t="shared" si="24"/>
        <v/>
      </c>
      <c r="F6882" s="59" t="str">
        <f t="shared" si="25"/>
        <v/>
      </c>
      <c r="G6882" s="59" t="str">
        <f t="shared" si="26"/>
        <v/>
      </c>
      <c r="H6882" s="59" t="str">
        <f t="shared" si="27"/>
        <v>Máy rải thảm</v>
      </c>
      <c r="I6882" s="59" t="str">
        <f>IF(OR($A6882="",$C6882="",$D6882="",$E6882="",$H6882=""),"",SUMIFS(DATA_GOC!$H:$H,DATA_GOC!$A:$A,"BOM",DATA_GOC!$D:$D,$H6882,DATA_GOC!$E:$E,$C6882,DATA_GOC!$F:$F,"Xuất nội bộ từ téc",DATA_GOC!$B:$B,"&gt;="&amp;$D6882,DATA_GOC!$B:$B,"&lt;="&amp;$E6882))</f>
        <v/>
      </c>
      <c r="J6882" s="59">
        <f t="shared" si="28"/>
        <v>0</v>
      </c>
      <c r="K6882" s="59">
        <f t="shared" si="29"/>
        <v>0</v>
      </c>
      <c r="L6882" s="59">
        <f t="shared" si="30"/>
        <v>0</v>
      </c>
      <c r="M6882" s="59">
        <f t="shared" si="31"/>
        <v>0</v>
      </c>
    </row>
    <row r="6883" ht="15.0" hidden="1" customHeight="1">
      <c r="A6883" s="59">
        <f t="shared" si="20"/>
        <v>111</v>
      </c>
      <c r="B6883" s="59" t="str">
        <f t="shared" si="21"/>
        <v/>
      </c>
      <c r="C6883" s="59" t="str">
        <f t="shared" si="22"/>
        <v/>
      </c>
      <c r="D6883" s="45" t="str">
        <f t="shared" si="23"/>
        <v/>
      </c>
      <c r="E6883" s="45" t="str">
        <f t="shared" si="24"/>
        <v/>
      </c>
      <c r="F6883" s="59" t="str">
        <f t="shared" si="25"/>
        <v/>
      </c>
      <c r="G6883" s="59" t="str">
        <f t="shared" si="26"/>
        <v/>
      </c>
      <c r="H6883" s="59" t="str">
        <f t="shared" si="27"/>
        <v>Xúc Đào</v>
      </c>
      <c r="I6883" s="59" t="str">
        <f>IF(OR($A6883="",$C6883="",$D6883="",$E6883="",$H6883=""),"",SUMIFS(DATA_GOC!$H:$H,DATA_GOC!$A:$A,"BOM",DATA_GOC!$D:$D,$H6883,DATA_GOC!$E:$E,$C6883,DATA_GOC!$F:$F,"Xuất nội bộ từ téc",DATA_GOC!$B:$B,"&gt;="&amp;$D6883,DATA_GOC!$B:$B,"&lt;="&amp;$E6883))</f>
        <v/>
      </c>
      <c r="J6883" s="59">
        <f t="shared" si="28"/>
        <v>0</v>
      </c>
      <c r="K6883" s="59">
        <f t="shared" si="29"/>
        <v>0</v>
      </c>
      <c r="L6883" s="59">
        <f t="shared" si="30"/>
        <v>0</v>
      </c>
      <c r="M6883" s="59">
        <f t="shared" si="31"/>
        <v>0</v>
      </c>
    </row>
    <row r="6884" ht="15.0" hidden="1" customHeight="1">
      <c r="A6884" s="59">
        <f t="shared" si="20"/>
        <v>111</v>
      </c>
      <c r="B6884" s="59" t="str">
        <f t="shared" si="21"/>
        <v/>
      </c>
      <c r="C6884" s="59" t="str">
        <f t="shared" si="22"/>
        <v/>
      </c>
      <c r="D6884" s="45" t="str">
        <f t="shared" si="23"/>
        <v/>
      </c>
      <c r="E6884" s="45" t="str">
        <f t="shared" si="24"/>
        <v/>
      </c>
      <c r="F6884" s="59" t="str">
        <f t="shared" si="25"/>
        <v/>
      </c>
      <c r="G6884" s="59" t="str">
        <f t="shared" si="26"/>
        <v/>
      </c>
      <c r="H6884" s="59" t="str">
        <f t="shared" si="27"/>
        <v>Xúclật asphalt</v>
      </c>
      <c r="I6884" s="59" t="str">
        <f>IF(OR($A6884="",$C6884="",$D6884="",$E6884="",$H6884=""),"",SUMIFS(DATA_GOC!$H:$H,DATA_GOC!$A:$A,"BOM",DATA_GOC!$D:$D,$H6884,DATA_GOC!$E:$E,$C6884,DATA_GOC!$F:$F,"Xuất nội bộ từ téc",DATA_GOC!$B:$B,"&gt;="&amp;$D6884,DATA_GOC!$B:$B,"&lt;="&amp;$E6884))</f>
        <v/>
      </c>
      <c r="J6884" s="59">
        <f t="shared" si="28"/>
        <v>0</v>
      </c>
      <c r="K6884" s="59">
        <f t="shared" si="29"/>
        <v>0</v>
      </c>
      <c r="L6884" s="59">
        <f t="shared" si="30"/>
        <v>0</v>
      </c>
      <c r="M6884" s="59">
        <f t="shared" si="31"/>
        <v>0</v>
      </c>
    </row>
    <row r="6885" ht="15.0" hidden="1" customHeight="1">
      <c r="A6885" s="59">
        <f t="shared" si="20"/>
        <v>111</v>
      </c>
      <c r="B6885" s="59" t="str">
        <f t="shared" si="21"/>
        <v/>
      </c>
      <c r="C6885" s="59" t="str">
        <f t="shared" si="22"/>
        <v/>
      </c>
      <c r="D6885" s="45" t="str">
        <f t="shared" si="23"/>
        <v/>
      </c>
      <c r="E6885" s="45" t="str">
        <f t="shared" si="24"/>
        <v/>
      </c>
      <c r="F6885" s="59" t="str">
        <f t="shared" si="25"/>
        <v/>
      </c>
      <c r="G6885" s="59" t="str">
        <f t="shared" si="26"/>
        <v/>
      </c>
      <c r="H6885" s="59" t="str">
        <f t="shared" si="27"/>
        <v>Xúclật855H</v>
      </c>
      <c r="I6885" s="59" t="str">
        <f>IF(OR($A6885="",$C6885="",$D6885="",$E6885="",$H6885=""),"",SUMIFS(DATA_GOC!$H:$H,DATA_GOC!$A:$A,"BOM",DATA_GOC!$D:$D,$H6885,DATA_GOC!$E:$E,$C6885,DATA_GOC!$F:$F,"Xuất nội bộ từ téc",DATA_GOC!$B:$B,"&gt;="&amp;$D6885,DATA_GOC!$B:$B,"&lt;="&amp;$E6885))</f>
        <v/>
      </c>
      <c r="J6885" s="59">
        <f t="shared" si="28"/>
        <v>0</v>
      </c>
      <c r="K6885" s="59">
        <f t="shared" si="29"/>
        <v>0</v>
      </c>
      <c r="L6885" s="59">
        <f t="shared" si="30"/>
        <v>0</v>
      </c>
      <c r="M6885" s="59">
        <f t="shared" si="31"/>
        <v>0</v>
      </c>
    </row>
    <row r="6886" ht="15.0" hidden="1" customHeight="1">
      <c r="A6886" s="59">
        <f t="shared" si="20"/>
        <v>111</v>
      </c>
      <c r="B6886" s="59" t="str">
        <f t="shared" si="21"/>
        <v/>
      </c>
      <c r="C6886" s="59" t="str">
        <f t="shared" si="22"/>
        <v/>
      </c>
      <c r="D6886" s="45" t="str">
        <f t="shared" si="23"/>
        <v/>
      </c>
      <c r="E6886" s="45" t="str">
        <f t="shared" si="24"/>
        <v/>
      </c>
      <c r="F6886" s="59" t="str">
        <f t="shared" si="25"/>
        <v/>
      </c>
      <c r="G6886" s="59" t="str">
        <f t="shared" si="26"/>
        <v/>
      </c>
      <c r="H6886" s="59" t="str">
        <f t="shared" si="27"/>
        <v>Xúclật855N</v>
      </c>
      <c r="I6886" s="59" t="str">
        <f>IF(OR($A6886="",$C6886="",$D6886="",$E6886="",$H6886=""),"",SUMIFS(DATA_GOC!$H:$H,DATA_GOC!$A:$A,"BOM",DATA_GOC!$D:$D,$H6886,DATA_GOC!$E:$E,$C6886,DATA_GOC!$F:$F,"Xuất nội bộ từ téc",DATA_GOC!$B:$B,"&gt;="&amp;$D6886,DATA_GOC!$B:$B,"&lt;="&amp;$E6886))</f>
        <v/>
      </c>
      <c r="J6886" s="59">
        <f t="shared" si="28"/>
        <v>0</v>
      </c>
      <c r="K6886" s="59">
        <f t="shared" si="29"/>
        <v>0</v>
      </c>
      <c r="L6886" s="59">
        <f t="shared" si="30"/>
        <v>0</v>
      </c>
      <c r="M6886" s="59">
        <f t="shared" si="31"/>
        <v>0</v>
      </c>
    </row>
    <row r="6887" ht="15.0" hidden="1" customHeight="1">
      <c r="A6887" s="59">
        <f t="shared" si="20"/>
        <v>111</v>
      </c>
      <c r="B6887" s="59" t="str">
        <f t="shared" si="21"/>
        <v/>
      </c>
      <c r="C6887" s="59" t="str">
        <f t="shared" si="22"/>
        <v/>
      </c>
      <c r="D6887" s="45" t="str">
        <f t="shared" si="23"/>
        <v/>
      </c>
      <c r="E6887" s="45" t="str">
        <f t="shared" si="24"/>
        <v/>
      </c>
      <c r="F6887" s="59" t="str">
        <f t="shared" si="25"/>
        <v/>
      </c>
      <c r="G6887" s="59" t="str">
        <f t="shared" si="26"/>
        <v/>
      </c>
      <c r="H6887" s="59" t="str">
        <f t="shared" si="27"/>
        <v>Cát nghiền</v>
      </c>
      <c r="I6887" s="59" t="str">
        <f>IF(OR($A6887="",$C6887="",$D6887="",$E6887="",$H6887=""),"",SUMIFS(DATA_GOC!$H:$H,DATA_GOC!$A:$A,"BOM",DATA_GOC!$D:$D,$H6887,DATA_GOC!$E:$E,$C6887,DATA_GOC!$F:$F,"Xuất nội bộ từ téc",DATA_GOC!$B:$B,"&gt;="&amp;$D6887,DATA_GOC!$B:$B,"&lt;="&amp;$E6887))</f>
        <v/>
      </c>
      <c r="J6887" s="59">
        <f t="shared" si="28"/>
        <v>0</v>
      </c>
      <c r="K6887" s="59">
        <f t="shared" si="29"/>
        <v>0</v>
      </c>
      <c r="L6887" s="59">
        <f t="shared" si="30"/>
        <v>0</v>
      </c>
      <c r="M6887" s="59">
        <f t="shared" si="31"/>
        <v>0</v>
      </c>
    </row>
    <row r="6888" ht="15.0" hidden="1" customHeight="1">
      <c r="A6888" s="59">
        <f t="shared" si="20"/>
        <v>111</v>
      </c>
      <c r="B6888" s="59" t="str">
        <f t="shared" si="21"/>
        <v/>
      </c>
      <c r="C6888" s="59" t="str">
        <f t="shared" si="22"/>
        <v/>
      </c>
      <c r="D6888" s="45" t="str">
        <f t="shared" si="23"/>
        <v/>
      </c>
      <c r="E6888" s="45" t="str">
        <f t="shared" si="24"/>
        <v/>
      </c>
      <c r="F6888" s="59" t="str">
        <f t="shared" si="25"/>
        <v/>
      </c>
      <c r="G6888" s="59" t="str">
        <f t="shared" si="26"/>
        <v/>
      </c>
      <c r="H6888" s="59" t="str">
        <f t="shared" si="27"/>
        <v>28C02973</v>
      </c>
      <c r="I6888" s="59" t="str">
        <f>IF(OR($A6888="",$C6888="",$D6888="",$E6888="",$H6888=""),"",SUMIFS(DATA_GOC!$H:$H,DATA_GOC!$A:$A,"BOM",DATA_GOC!$D:$D,$H6888,DATA_GOC!$E:$E,$C6888,DATA_GOC!$F:$F,"Xuất nội bộ từ téc",DATA_GOC!$B:$B,"&gt;="&amp;$D6888,DATA_GOC!$B:$B,"&lt;="&amp;$E6888))</f>
        <v/>
      </c>
      <c r="J6888" s="59">
        <f t="shared" si="28"/>
        <v>0</v>
      </c>
      <c r="K6888" s="59">
        <f t="shared" si="29"/>
        <v>0</v>
      </c>
      <c r="L6888" s="59">
        <f t="shared" si="30"/>
        <v>0</v>
      </c>
      <c r="M6888" s="59">
        <f t="shared" si="31"/>
        <v>0</v>
      </c>
    </row>
    <row r="6889" ht="15.0" hidden="1" customHeight="1">
      <c r="A6889" s="59">
        <f t="shared" si="20"/>
        <v>111</v>
      </c>
      <c r="B6889" s="59" t="str">
        <f t="shared" si="21"/>
        <v/>
      </c>
      <c r="C6889" s="59" t="str">
        <f t="shared" si="22"/>
        <v/>
      </c>
      <c r="D6889" s="45" t="str">
        <f t="shared" si="23"/>
        <v/>
      </c>
      <c r="E6889" s="45" t="str">
        <f t="shared" si="24"/>
        <v/>
      </c>
      <c r="F6889" s="59" t="str">
        <f t="shared" si="25"/>
        <v/>
      </c>
      <c r="G6889" s="59" t="str">
        <f t="shared" si="26"/>
        <v/>
      </c>
      <c r="H6889" s="59" t="str">
        <f t="shared" si="27"/>
        <v>28C03044</v>
      </c>
      <c r="I6889" s="59" t="str">
        <f>IF(OR($A6889="",$C6889="",$D6889="",$E6889="",$H6889=""),"",SUMIFS(DATA_GOC!$H:$H,DATA_GOC!$A:$A,"BOM",DATA_GOC!$D:$D,$H6889,DATA_GOC!$E:$E,$C6889,DATA_GOC!$F:$F,"Xuất nội bộ từ téc",DATA_GOC!$B:$B,"&gt;="&amp;$D6889,DATA_GOC!$B:$B,"&lt;="&amp;$E6889))</f>
        <v/>
      </c>
      <c r="J6889" s="59">
        <f t="shared" si="28"/>
        <v>0</v>
      </c>
      <c r="K6889" s="59">
        <f t="shared" si="29"/>
        <v>0</v>
      </c>
      <c r="L6889" s="59">
        <f t="shared" si="30"/>
        <v>0</v>
      </c>
      <c r="M6889" s="59">
        <f t="shared" si="31"/>
        <v>0</v>
      </c>
    </row>
    <row r="6890" ht="15.0" hidden="1" customHeight="1">
      <c r="A6890" s="59">
        <f t="shared" si="20"/>
        <v>111</v>
      </c>
      <c r="B6890" s="59" t="str">
        <f t="shared" si="21"/>
        <v/>
      </c>
      <c r="C6890" s="59" t="str">
        <f t="shared" si="22"/>
        <v/>
      </c>
      <c r="D6890" s="45" t="str">
        <f t="shared" si="23"/>
        <v/>
      </c>
      <c r="E6890" s="45" t="str">
        <f t="shared" si="24"/>
        <v/>
      </c>
      <c r="F6890" s="59" t="str">
        <f t="shared" si="25"/>
        <v/>
      </c>
      <c r="G6890" s="59" t="str">
        <f t="shared" si="26"/>
        <v/>
      </c>
      <c r="H6890" s="59" t="str">
        <f t="shared" si="27"/>
        <v>Máy lu lốp</v>
      </c>
      <c r="I6890" s="59" t="str">
        <f>IF(OR($A6890="",$C6890="",$D6890="",$E6890="",$H6890=""),"",SUMIFS(DATA_GOC!$H:$H,DATA_GOC!$A:$A,"BOM",DATA_GOC!$D:$D,$H6890,DATA_GOC!$E:$E,$C6890,DATA_GOC!$F:$F,"Xuất nội bộ từ téc",DATA_GOC!$B:$B,"&gt;="&amp;$D6890,DATA_GOC!$B:$B,"&lt;="&amp;$E6890))</f>
        <v/>
      </c>
      <c r="J6890" s="59">
        <f t="shared" si="28"/>
        <v>0</v>
      </c>
      <c r="K6890" s="59">
        <f t="shared" si="29"/>
        <v>0</v>
      </c>
      <c r="L6890" s="59">
        <f t="shared" si="30"/>
        <v>0</v>
      </c>
      <c r="M6890" s="59">
        <f t="shared" si="31"/>
        <v>0</v>
      </c>
    </row>
    <row r="6891" ht="15.0" hidden="1" customHeight="1">
      <c r="A6891" s="59">
        <f t="shared" si="20"/>
        <v>111</v>
      </c>
      <c r="B6891" s="59" t="str">
        <f t="shared" si="21"/>
        <v/>
      </c>
      <c r="C6891" s="59" t="str">
        <f t="shared" si="22"/>
        <v/>
      </c>
      <c r="D6891" s="45" t="str">
        <f t="shared" si="23"/>
        <v/>
      </c>
      <c r="E6891" s="45" t="str">
        <f t="shared" si="24"/>
        <v/>
      </c>
      <c r="F6891" s="59" t="str">
        <f t="shared" si="25"/>
        <v/>
      </c>
      <c r="G6891" s="59" t="str">
        <f t="shared" si="26"/>
        <v/>
      </c>
      <c r="H6891" s="59" t="str">
        <f t="shared" si="27"/>
        <v>Xe 600148</v>
      </c>
      <c r="I6891" s="59" t="str">
        <f>IF(OR($A6891="",$C6891="",$D6891="",$E6891="",$H6891=""),"",SUMIFS(DATA_GOC!$H:$H,DATA_GOC!$A:$A,"BOM",DATA_GOC!$D:$D,$H6891,DATA_GOC!$E:$E,$C6891,DATA_GOC!$F:$F,"Xuất nội bộ từ téc",DATA_GOC!$B:$B,"&gt;="&amp;$D6891,DATA_GOC!$B:$B,"&lt;="&amp;$E6891))</f>
        <v/>
      </c>
      <c r="J6891" s="59">
        <f t="shared" si="28"/>
        <v>0</v>
      </c>
      <c r="K6891" s="59">
        <f t="shared" si="29"/>
        <v>0</v>
      </c>
      <c r="L6891" s="59">
        <f t="shared" si="30"/>
        <v>0</v>
      </c>
      <c r="M6891" s="59">
        <f t="shared" si="31"/>
        <v>0</v>
      </c>
    </row>
    <row r="6892" ht="15.0" hidden="1" customHeight="1">
      <c r="A6892" s="59">
        <f t="shared" si="20"/>
        <v>111</v>
      </c>
      <c r="B6892" s="59" t="str">
        <f t="shared" si="21"/>
        <v/>
      </c>
      <c r="C6892" s="59" t="str">
        <f t="shared" si="22"/>
        <v/>
      </c>
      <c r="D6892" s="45" t="str">
        <f t="shared" si="23"/>
        <v/>
      </c>
      <c r="E6892" s="45" t="str">
        <f t="shared" si="24"/>
        <v/>
      </c>
      <c r="F6892" s="59" t="str">
        <f t="shared" si="25"/>
        <v/>
      </c>
      <c r="G6892" s="59" t="str">
        <f t="shared" si="26"/>
        <v/>
      </c>
      <c r="H6892" s="59" t="str">
        <f t="shared" si="27"/>
        <v>Xe ben mới</v>
      </c>
      <c r="I6892" s="59" t="str">
        <f>IF(OR($A6892="",$C6892="",$D6892="",$E6892="",$H6892=""),"",SUMIFS(DATA_GOC!$H:$H,DATA_GOC!$A:$A,"BOM",DATA_GOC!$D:$D,$H6892,DATA_GOC!$E:$E,$C6892,DATA_GOC!$F:$F,"Xuất nội bộ từ téc",DATA_GOC!$B:$B,"&gt;="&amp;$D6892,DATA_GOC!$B:$B,"&lt;="&amp;$E6892))</f>
        <v/>
      </c>
      <c r="J6892" s="59">
        <f t="shared" si="28"/>
        <v>0</v>
      </c>
      <c r="K6892" s="59">
        <f t="shared" si="29"/>
        <v>0</v>
      </c>
      <c r="L6892" s="59">
        <f t="shared" si="30"/>
        <v>0</v>
      </c>
      <c r="M6892" s="59">
        <f t="shared" si="31"/>
        <v>0</v>
      </c>
    </row>
    <row r="6893" ht="15.0" hidden="1" customHeight="1">
      <c r="A6893" s="59">
        <f t="shared" si="20"/>
        <v>112</v>
      </c>
      <c r="B6893" s="59" t="str">
        <f t="shared" si="21"/>
        <v/>
      </c>
      <c r="C6893" s="59" t="str">
        <f t="shared" si="22"/>
        <v/>
      </c>
      <c r="D6893" s="45" t="str">
        <f t="shared" si="23"/>
        <v/>
      </c>
      <c r="E6893" s="45" t="str">
        <f t="shared" si="24"/>
        <v/>
      </c>
      <c r="F6893" s="59" t="str">
        <f t="shared" si="25"/>
        <v/>
      </c>
      <c r="G6893" s="59" t="str">
        <f t="shared" si="26"/>
        <v/>
      </c>
      <c r="H6893" s="59" t="str">
        <f t="shared" si="27"/>
        <v>19H09482</v>
      </c>
      <c r="I6893" s="59" t="str">
        <f>IF(OR($A6893="",$C6893="",$D6893="",$E6893="",$H6893=""),"",SUMIFS(DATA_GOC!$H:$H,DATA_GOC!$A:$A,"BOM",DATA_GOC!$D:$D,$H6893,DATA_GOC!$E:$E,$C6893,DATA_GOC!$F:$F,"Xuất nội bộ từ téc",DATA_GOC!$B:$B,"&gt;="&amp;$D6893,DATA_GOC!$B:$B,"&lt;="&amp;$E6893))</f>
        <v/>
      </c>
      <c r="J6893" s="59">
        <f t="shared" si="28"/>
        <v>0</v>
      </c>
      <c r="K6893" s="59">
        <f t="shared" si="29"/>
        <v>0</v>
      </c>
      <c r="L6893" s="59">
        <f t="shared" si="30"/>
        <v>0</v>
      </c>
      <c r="M6893" s="59">
        <f t="shared" si="31"/>
        <v>0</v>
      </c>
    </row>
    <row r="6894" ht="15.0" hidden="1" customHeight="1">
      <c r="A6894" s="59">
        <f t="shared" si="20"/>
        <v>112</v>
      </c>
      <c r="B6894" s="59" t="str">
        <f t="shared" si="21"/>
        <v/>
      </c>
      <c r="C6894" s="59" t="str">
        <f t="shared" si="22"/>
        <v/>
      </c>
      <c r="D6894" s="45" t="str">
        <f t="shared" si="23"/>
        <v/>
      </c>
      <c r="E6894" s="45" t="str">
        <f t="shared" si="24"/>
        <v/>
      </c>
      <c r="F6894" s="59" t="str">
        <f t="shared" si="25"/>
        <v/>
      </c>
      <c r="G6894" s="59" t="str">
        <f t="shared" si="26"/>
        <v/>
      </c>
      <c r="H6894" s="59" t="str">
        <f t="shared" si="27"/>
        <v>28A30696</v>
      </c>
      <c r="I6894" s="59" t="str">
        <f>IF(OR($A6894="",$C6894="",$D6894="",$E6894="",$H6894=""),"",SUMIFS(DATA_GOC!$H:$H,DATA_GOC!$A:$A,"BOM",DATA_GOC!$D:$D,$H6894,DATA_GOC!$E:$E,$C6894,DATA_GOC!$F:$F,"Xuất nội bộ từ téc",DATA_GOC!$B:$B,"&gt;="&amp;$D6894,DATA_GOC!$B:$B,"&lt;="&amp;$E6894))</f>
        <v/>
      </c>
      <c r="J6894" s="59">
        <f t="shared" si="28"/>
        <v>0</v>
      </c>
      <c r="K6894" s="59">
        <f t="shared" si="29"/>
        <v>0</v>
      </c>
      <c r="L6894" s="59">
        <f t="shared" si="30"/>
        <v>0</v>
      </c>
      <c r="M6894" s="59">
        <f t="shared" si="31"/>
        <v>0</v>
      </c>
    </row>
    <row r="6895" ht="15.0" hidden="1" customHeight="1">
      <c r="A6895" s="59">
        <f t="shared" si="20"/>
        <v>112</v>
      </c>
      <c r="B6895" s="59" t="str">
        <f t="shared" si="21"/>
        <v/>
      </c>
      <c r="C6895" s="59" t="str">
        <f t="shared" si="22"/>
        <v/>
      </c>
      <c r="D6895" s="45" t="str">
        <f t="shared" si="23"/>
        <v/>
      </c>
      <c r="E6895" s="45" t="str">
        <f t="shared" si="24"/>
        <v/>
      </c>
      <c r="F6895" s="59" t="str">
        <f t="shared" si="25"/>
        <v/>
      </c>
      <c r="G6895" s="59" t="str">
        <f t="shared" si="26"/>
        <v/>
      </c>
      <c r="H6895" s="59" t="str">
        <f t="shared" si="27"/>
        <v>28C00462</v>
      </c>
      <c r="I6895" s="59" t="str">
        <f>IF(OR($A6895="",$C6895="",$D6895="",$E6895="",$H6895=""),"",SUMIFS(DATA_GOC!$H:$H,DATA_GOC!$A:$A,"BOM",DATA_GOC!$D:$D,$H6895,DATA_GOC!$E:$E,$C6895,DATA_GOC!$F:$F,"Xuất nội bộ từ téc",DATA_GOC!$B:$B,"&gt;="&amp;$D6895,DATA_GOC!$B:$B,"&lt;="&amp;$E6895))</f>
        <v/>
      </c>
      <c r="J6895" s="59">
        <f t="shared" si="28"/>
        <v>0</v>
      </c>
      <c r="K6895" s="59">
        <f t="shared" si="29"/>
        <v>0</v>
      </c>
      <c r="L6895" s="59">
        <f t="shared" si="30"/>
        <v>0</v>
      </c>
      <c r="M6895" s="59">
        <f t="shared" si="31"/>
        <v>0</v>
      </c>
    </row>
    <row r="6896" ht="15.0" hidden="1" customHeight="1">
      <c r="A6896" s="59">
        <f t="shared" si="20"/>
        <v>112</v>
      </c>
      <c r="B6896" s="59" t="str">
        <f t="shared" si="21"/>
        <v/>
      </c>
      <c r="C6896" s="59" t="str">
        <f t="shared" si="22"/>
        <v/>
      </c>
      <c r="D6896" s="45" t="str">
        <f t="shared" si="23"/>
        <v/>
      </c>
      <c r="E6896" s="45" t="str">
        <f t="shared" si="24"/>
        <v/>
      </c>
      <c r="F6896" s="59" t="str">
        <f t="shared" si="25"/>
        <v/>
      </c>
      <c r="G6896" s="59" t="str">
        <f t="shared" si="26"/>
        <v/>
      </c>
      <c r="H6896" s="59" t="str">
        <f t="shared" si="27"/>
        <v>28C01165</v>
      </c>
      <c r="I6896" s="59" t="str">
        <f>IF(OR($A6896="",$C6896="",$D6896="",$E6896="",$H6896=""),"",SUMIFS(DATA_GOC!$H:$H,DATA_GOC!$A:$A,"BOM",DATA_GOC!$D:$D,$H6896,DATA_GOC!$E:$E,$C6896,DATA_GOC!$F:$F,"Xuất nội bộ từ téc",DATA_GOC!$B:$B,"&gt;="&amp;$D6896,DATA_GOC!$B:$B,"&lt;="&amp;$E6896))</f>
        <v/>
      </c>
      <c r="J6896" s="59">
        <f t="shared" si="28"/>
        <v>0</v>
      </c>
      <c r="K6896" s="59">
        <f t="shared" si="29"/>
        <v>0</v>
      </c>
      <c r="L6896" s="59">
        <f t="shared" si="30"/>
        <v>0</v>
      </c>
      <c r="M6896" s="59">
        <f t="shared" si="31"/>
        <v>0</v>
      </c>
    </row>
    <row r="6897" ht="15.0" hidden="1" customHeight="1">
      <c r="A6897" s="59">
        <f t="shared" si="20"/>
        <v>112</v>
      </c>
      <c r="B6897" s="59" t="str">
        <f t="shared" si="21"/>
        <v/>
      </c>
      <c r="C6897" s="59" t="str">
        <f t="shared" si="22"/>
        <v/>
      </c>
      <c r="D6897" s="45" t="str">
        <f t="shared" si="23"/>
        <v/>
      </c>
      <c r="E6897" s="45" t="str">
        <f t="shared" si="24"/>
        <v/>
      </c>
      <c r="F6897" s="59" t="str">
        <f t="shared" si="25"/>
        <v/>
      </c>
      <c r="G6897" s="59" t="str">
        <f t="shared" si="26"/>
        <v/>
      </c>
      <c r="H6897" s="59" t="str">
        <f t="shared" si="27"/>
        <v>28C01406</v>
      </c>
      <c r="I6897" s="59" t="str">
        <f>IF(OR($A6897="",$C6897="",$D6897="",$E6897="",$H6897=""),"",SUMIFS(DATA_GOC!$H:$H,DATA_GOC!$A:$A,"BOM",DATA_GOC!$D:$D,$H6897,DATA_GOC!$E:$E,$C6897,DATA_GOC!$F:$F,"Xuất nội bộ từ téc",DATA_GOC!$B:$B,"&gt;="&amp;$D6897,DATA_GOC!$B:$B,"&lt;="&amp;$E6897))</f>
        <v/>
      </c>
      <c r="J6897" s="59">
        <f t="shared" si="28"/>
        <v>0</v>
      </c>
      <c r="K6897" s="59">
        <f t="shared" si="29"/>
        <v>0</v>
      </c>
      <c r="L6897" s="59">
        <f t="shared" si="30"/>
        <v>0</v>
      </c>
      <c r="M6897" s="59">
        <f t="shared" si="31"/>
        <v>0</v>
      </c>
    </row>
    <row r="6898" ht="15.0" hidden="1" customHeight="1">
      <c r="A6898" s="59">
        <f t="shared" si="20"/>
        <v>112</v>
      </c>
      <c r="B6898" s="59" t="str">
        <f t="shared" si="21"/>
        <v/>
      </c>
      <c r="C6898" s="59" t="str">
        <f t="shared" si="22"/>
        <v/>
      </c>
      <c r="D6898" s="45" t="str">
        <f t="shared" si="23"/>
        <v/>
      </c>
      <c r="E6898" s="45" t="str">
        <f t="shared" si="24"/>
        <v/>
      </c>
      <c r="F6898" s="59" t="str">
        <f t="shared" si="25"/>
        <v/>
      </c>
      <c r="G6898" s="59" t="str">
        <f t="shared" si="26"/>
        <v/>
      </c>
      <c r="H6898" s="59" t="str">
        <f t="shared" si="27"/>
        <v>28C01544</v>
      </c>
      <c r="I6898" s="59" t="str">
        <f>IF(OR($A6898="",$C6898="",$D6898="",$E6898="",$H6898=""),"",SUMIFS(DATA_GOC!$H:$H,DATA_GOC!$A:$A,"BOM",DATA_GOC!$D:$D,$H6898,DATA_GOC!$E:$E,$C6898,DATA_GOC!$F:$F,"Xuất nội bộ từ téc",DATA_GOC!$B:$B,"&gt;="&amp;$D6898,DATA_GOC!$B:$B,"&lt;="&amp;$E6898))</f>
        <v/>
      </c>
      <c r="J6898" s="59">
        <f t="shared" si="28"/>
        <v>0</v>
      </c>
      <c r="K6898" s="59">
        <f t="shared" si="29"/>
        <v>0</v>
      </c>
      <c r="L6898" s="59">
        <f t="shared" si="30"/>
        <v>0</v>
      </c>
      <c r="M6898" s="59">
        <f t="shared" si="31"/>
        <v>0</v>
      </c>
    </row>
    <row r="6899" ht="15.0" hidden="1" customHeight="1">
      <c r="A6899" s="59">
        <f t="shared" si="20"/>
        <v>112</v>
      </c>
      <c r="B6899" s="59" t="str">
        <f t="shared" si="21"/>
        <v/>
      </c>
      <c r="C6899" s="59" t="str">
        <f t="shared" si="22"/>
        <v/>
      </c>
      <c r="D6899" s="45" t="str">
        <f t="shared" si="23"/>
        <v/>
      </c>
      <c r="E6899" s="45" t="str">
        <f t="shared" si="24"/>
        <v/>
      </c>
      <c r="F6899" s="59" t="str">
        <f t="shared" si="25"/>
        <v/>
      </c>
      <c r="G6899" s="59" t="str">
        <f t="shared" si="26"/>
        <v/>
      </c>
      <c r="H6899" s="59" t="str">
        <f t="shared" si="27"/>
        <v>28C01622</v>
      </c>
      <c r="I6899" s="59" t="str">
        <f>IF(OR($A6899="",$C6899="",$D6899="",$E6899="",$H6899=""),"",SUMIFS(DATA_GOC!$H:$H,DATA_GOC!$A:$A,"BOM",DATA_GOC!$D:$D,$H6899,DATA_GOC!$E:$E,$C6899,DATA_GOC!$F:$F,"Xuất nội bộ từ téc",DATA_GOC!$B:$B,"&gt;="&amp;$D6899,DATA_GOC!$B:$B,"&lt;="&amp;$E6899))</f>
        <v/>
      </c>
      <c r="J6899" s="59">
        <f t="shared" si="28"/>
        <v>0</v>
      </c>
      <c r="K6899" s="59">
        <f t="shared" si="29"/>
        <v>0</v>
      </c>
      <c r="L6899" s="59">
        <f t="shared" si="30"/>
        <v>0</v>
      </c>
      <c r="M6899" s="59">
        <f t="shared" si="31"/>
        <v>0</v>
      </c>
    </row>
    <row r="6900" ht="15.0" hidden="1" customHeight="1">
      <c r="A6900" s="59">
        <f t="shared" si="20"/>
        <v>112</v>
      </c>
      <c r="B6900" s="59" t="str">
        <f t="shared" si="21"/>
        <v/>
      </c>
      <c r="C6900" s="59" t="str">
        <f t="shared" si="22"/>
        <v/>
      </c>
      <c r="D6900" s="45" t="str">
        <f t="shared" si="23"/>
        <v/>
      </c>
      <c r="E6900" s="45" t="str">
        <f t="shared" si="24"/>
        <v/>
      </c>
      <c r="F6900" s="59" t="str">
        <f t="shared" si="25"/>
        <v/>
      </c>
      <c r="G6900" s="59" t="str">
        <f t="shared" si="26"/>
        <v/>
      </c>
      <c r="H6900" s="59" t="str">
        <f t="shared" si="27"/>
        <v>28C01647</v>
      </c>
      <c r="I6900" s="59" t="str">
        <f>IF(OR($A6900="",$C6900="",$D6900="",$E6900="",$H6900=""),"",SUMIFS(DATA_GOC!$H:$H,DATA_GOC!$A:$A,"BOM",DATA_GOC!$D:$D,$H6900,DATA_GOC!$E:$E,$C6900,DATA_GOC!$F:$F,"Xuất nội bộ từ téc",DATA_GOC!$B:$B,"&gt;="&amp;$D6900,DATA_GOC!$B:$B,"&lt;="&amp;$E6900))</f>
        <v/>
      </c>
      <c r="J6900" s="59">
        <f t="shared" si="28"/>
        <v>0</v>
      </c>
      <c r="K6900" s="59">
        <f t="shared" si="29"/>
        <v>0</v>
      </c>
      <c r="L6900" s="59">
        <f t="shared" si="30"/>
        <v>0</v>
      </c>
      <c r="M6900" s="59">
        <f t="shared" si="31"/>
        <v>0</v>
      </c>
    </row>
    <row r="6901" ht="15.0" hidden="1" customHeight="1">
      <c r="A6901" s="59">
        <f t="shared" si="20"/>
        <v>112</v>
      </c>
      <c r="B6901" s="59" t="str">
        <f t="shared" si="21"/>
        <v/>
      </c>
      <c r="C6901" s="59" t="str">
        <f t="shared" si="22"/>
        <v/>
      </c>
      <c r="D6901" s="45" t="str">
        <f t="shared" si="23"/>
        <v/>
      </c>
      <c r="E6901" s="45" t="str">
        <f t="shared" si="24"/>
        <v/>
      </c>
      <c r="F6901" s="59" t="str">
        <f t="shared" si="25"/>
        <v/>
      </c>
      <c r="G6901" s="59" t="str">
        <f t="shared" si="26"/>
        <v/>
      </c>
      <c r="H6901" s="59" t="str">
        <f t="shared" si="27"/>
        <v>28C01731</v>
      </c>
      <c r="I6901" s="59" t="str">
        <f>IF(OR($A6901="",$C6901="",$D6901="",$E6901="",$H6901=""),"",SUMIFS(DATA_GOC!$H:$H,DATA_GOC!$A:$A,"BOM",DATA_GOC!$D:$D,$H6901,DATA_GOC!$E:$E,$C6901,DATA_GOC!$F:$F,"Xuất nội bộ từ téc",DATA_GOC!$B:$B,"&gt;="&amp;$D6901,DATA_GOC!$B:$B,"&lt;="&amp;$E6901))</f>
        <v/>
      </c>
      <c r="J6901" s="59">
        <f t="shared" si="28"/>
        <v>0</v>
      </c>
      <c r="K6901" s="59">
        <f t="shared" si="29"/>
        <v>0</v>
      </c>
      <c r="L6901" s="59">
        <f t="shared" si="30"/>
        <v>0</v>
      </c>
      <c r="M6901" s="59">
        <f t="shared" si="31"/>
        <v>0</v>
      </c>
    </row>
    <row r="6902" ht="15.0" hidden="1" customHeight="1">
      <c r="A6902" s="59">
        <f t="shared" si="20"/>
        <v>112</v>
      </c>
      <c r="B6902" s="59" t="str">
        <f t="shared" si="21"/>
        <v/>
      </c>
      <c r="C6902" s="59" t="str">
        <f t="shared" si="22"/>
        <v/>
      </c>
      <c r="D6902" s="45" t="str">
        <f t="shared" si="23"/>
        <v/>
      </c>
      <c r="E6902" s="45" t="str">
        <f t="shared" si="24"/>
        <v/>
      </c>
      <c r="F6902" s="59" t="str">
        <f t="shared" si="25"/>
        <v/>
      </c>
      <c r="G6902" s="59" t="str">
        <f t="shared" si="26"/>
        <v/>
      </c>
      <c r="H6902" s="59" t="str">
        <f t="shared" si="27"/>
        <v>28C01743</v>
      </c>
      <c r="I6902" s="59" t="str">
        <f>IF(OR($A6902="",$C6902="",$D6902="",$E6902="",$H6902=""),"",SUMIFS(DATA_GOC!$H:$H,DATA_GOC!$A:$A,"BOM",DATA_GOC!$D:$D,$H6902,DATA_GOC!$E:$E,$C6902,DATA_GOC!$F:$F,"Xuất nội bộ từ téc",DATA_GOC!$B:$B,"&gt;="&amp;$D6902,DATA_GOC!$B:$B,"&lt;="&amp;$E6902))</f>
        <v/>
      </c>
      <c r="J6902" s="59">
        <f t="shared" si="28"/>
        <v>0</v>
      </c>
      <c r="K6902" s="59">
        <f t="shared" si="29"/>
        <v>0</v>
      </c>
      <c r="L6902" s="59">
        <f t="shared" si="30"/>
        <v>0</v>
      </c>
      <c r="M6902" s="59">
        <f t="shared" si="31"/>
        <v>0</v>
      </c>
    </row>
    <row r="6903" ht="15.0" hidden="1" customHeight="1">
      <c r="A6903" s="59">
        <f t="shared" si="20"/>
        <v>112</v>
      </c>
      <c r="B6903" s="59" t="str">
        <f t="shared" si="21"/>
        <v/>
      </c>
      <c r="C6903" s="59" t="str">
        <f t="shared" si="22"/>
        <v/>
      </c>
      <c r="D6903" s="45" t="str">
        <f t="shared" si="23"/>
        <v/>
      </c>
      <c r="E6903" s="45" t="str">
        <f t="shared" si="24"/>
        <v/>
      </c>
      <c r="F6903" s="59" t="str">
        <f t="shared" si="25"/>
        <v/>
      </c>
      <c r="G6903" s="59" t="str">
        <f t="shared" si="26"/>
        <v/>
      </c>
      <c r="H6903" s="59" t="str">
        <f t="shared" si="27"/>
        <v>28C02106</v>
      </c>
      <c r="I6903" s="59" t="str">
        <f>IF(OR($A6903="",$C6903="",$D6903="",$E6903="",$H6903=""),"",SUMIFS(DATA_GOC!$H:$H,DATA_GOC!$A:$A,"BOM",DATA_GOC!$D:$D,$H6903,DATA_GOC!$E:$E,$C6903,DATA_GOC!$F:$F,"Xuất nội bộ từ téc",DATA_GOC!$B:$B,"&gt;="&amp;$D6903,DATA_GOC!$B:$B,"&lt;="&amp;$E6903))</f>
        <v/>
      </c>
      <c r="J6903" s="59">
        <f t="shared" si="28"/>
        <v>0</v>
      </c>
      <c r="K6903" s="59">
        <f t="shared" si="29"/>
        <v>0</v>
      </c>
      <c r="L6903" s="59">
        <f t="shared" si="30"/>
        <v>0</v>
      </c>
      <c r="M6903" s="59">
        <f t="shared" si="31"/>
        <v>0</v>
      </c>
    </row>
    <row r="6904" ht="15.0" hidden="1" customHeight="1">
      <c r="A6904" s="59">
        <f t="shared" si="20"/>
        <v>112</v>
      </c>
      <c r="B6904" s="59" t="str">
        <f t="shared" si="21"/>
        <v/>
      </c>
      <c r="C6904" s="59" t="str">
        <f t="shared" si="22"/>
        <v/>
      </c>
      <c r="D6904" s="45" t="str">
        <f t="shared" si="23"/>
        <v/>
      </c>
      <c r="E6904" s="45" t="str">
        <f t="shared" si="24"/>
        <v/>
      </c>
      <c r="F6904" s="59" t="str">
        <f t="shared" si="25"/>
        <v/>
      </c>
      <c r="G6904" s="59" t="str">
        <f t="shared" si="26"/>
        <v/>
      </c>
      <c r="H6904" s="59" t="str">
        <f t="shared" si="27"/>
        <v>28C02410</v>
      </c>
      <c r="I6904" s="59" t="str">
        <f>IF(OR($A6904="",$C6904="",$D6904="",$E6904="",$H6904=""),"",SUMIFS(DATA_GOC!$H:$H,DATA_GOC!$A:$A,"BOM",DATA_GOC!$D:$D,$H6904,DATA_GOC!$E:$E,$C6904,DATA_GOC!$F:$F,"Xuất nội bộ từ téc",DATA_GOC!$B:$B,"&gt;="&amp;$D6904,DATA_GOC!$B:$B,"&lt;="&amp;$E6904))</f>
        <v/>
      </c>
      <c r="J6904" s="59">
        <f t="shared" si="28"/>
        <v>0</v>
      </c>
      <c r="K6904" s="59">
        <f t="shared" si="29"/>
        <v>0</v>
      </c>
      <c r="L6904" s="59">
        <f t="shared" si="30"/>
        <v>0</v>
      </c>
      <c r="M6904" s="59">
        <f t="shared" si="31"/>
        <v>0</v>
      </c>
    </row>
    <row r="6905" ht="15.0" hidden="1" customHeight="1">
      <c r="A6905" s="59">
        <f t="shared" si="20"/>
        <v>112</v>
      </c>
      <c r="B6905" s="59" t="str">
        <f t="shared" si="21"/>
        <v/>
      </c>
      <c r="C6905" s="59" t="str">
        <f t="shared" si="22"/>
        <v/>
      </c>
      <c r="D6905" s="45" t="str">
        <f t="shared" si="23"/>
        <v/>
      </c>
      <c r="E6905" s="45" t="str">
        <f t="shared" si="24"/>
        <v/>
      </c>
      <c r="F6905" s="59" t="str">
        <f t="shared" si="25"/>
        <v/>
      </c>
      <c r="G6905" s="59" t="str">
        <f t="shared" si="26"/>
        <v/>
      </c>
      <c r="H6905" s="59" t="str">
        <f t="shared" si="27"/>
        <v>28C02545</v>
      </c>
      <c r="I6905" s="59" t="str">
        <f>IF(OR($A6905="",$C6905="",$D6905="",$E6905="",$H6905=""),"",SUMIFS(DATA_GOC!$H:$H,DATA_GOC!$A:$A,"BOM",DATA_GOC!$D:$D,$H6905,DATA_GOC!$E:$E,$C6905,DATA_GOC!$F:$F,"Xuất nội bộ từ téc",DATA_GOC!$B:$B,"&gt;="&amp;$D6905,DATA_GOC!$B:$B,"&lt;="&amp;$E6905))</f>
        <v/>
      </c>
      <c r="J6905" s="59">
        <f t="shared" si="28"/>
        <v>0</v>
      </c>
      <c r="K6905" s="59">
        <f t="shared" si="29"/>
        <v>0</v>
      </c>
      <c r="L6905" s="59">
        <f t="shared" si="30"/>
        <v>0</v>
      </c>
      <c r="M6905" s="59">
        <f t="shared" si="31"/>
        <v>0</v>
      </c>
    </row>
    <row r="6906" ht="15.0" hidden="1" customHeight="1">
      <c r="A6906" s="59">
        <f t="shared" si="20"/>
        <v>112</v>
      </c>
      <c r="B6906" s="59" t="str">
        <f t="shared" si="21"/>
        <v/>
      </c>
      <c r="C6906" s="59" t="str">
        <f t="shared" si="22"/>
        <v/>
      </c>
      <c r="D6906" s="45" t="str">
        <f t="shared" si="23"/>
        <v/>
      </c>
      <c r="E6906" s="45" t="str">
        <f t="shared" si="24"/>
        <v/>
      </c>
      <c r="F6906" s="59" t="str">
        <f t="shared" si="25"/>
        <v/>
      </c>
      <c r="G6906" s="59" t="str">
        <f t="shared" si="26"/>
        <v/>
      </c>
      <c r="H6906" s="59" t="str">
        <f t="shared" si="27"/>
        <v>28C02574</v>
      </c>
      <c r="I6906" s="59" t="str">
        <f>IF(OR($A6906="",$C6906="",$D6906="",$E6906="",$H6906=""),"",SUMIFS(DATA_GOC!$H:$H,DATA_GOC!$A:$A,"BOM",DATA_GOC!$D:$D,$H6906,DATA_GOC!$E:$E,$C6906,DATA_GOC!$F:$F,"Xuất nội bộ từ téc",DATA_GOC!$B:$B,"&gt;="&amp;$D6906,DATA_GOC!$B:$B,"&lt;="&amp;$E6906))</f>
        <v/>
      </c>
      <c r="J6906" s="59">
        <f t="shared" si="28"/>
        <v>0</v>
      </c>
      <c r="K6906" s="59">
        <f t="shared" si="29"/>
        <v>0</v>
      </c>
      <c r="L6906" s="59">
        <f t="shared" si="30"/>
        <v>0</v>
      </c>
      <c r="M6906" s="59">
        <f t="shared" si="31"/>
        <v>0</v>
      </c>
    </row>
    <row r="6907" ht="15.0" hidden="1" customHeight="1">
      <c r="A6907" s="59">
        <f t="shared" si="20"/>
        <v>112</v>
      </c>
      <c r="B6907" s="59" t="str">
        <f t="shared" si="21"/>
        <v/>
      </c>
      <c r="C6907" s="59" t="str">
        <f t="shared" si="22"/>
        <v/>
      </c>
      <c r="D6907" s="45" t="str">
        <f t="shared" si="23"/>
        <v/>
      </c>
      <c r="E6907" s="45" t="str">
        <f t="shared" si="24"/>
        <v/>
      </c>
      <c r="F6907" s="59" t="str">
        <f t="shared" si="25"/>
        <v/>
      </c>
      <c r="G6907" s="59" t="str">
        <f t="shared" si="26"/>
        <v/>
      </c>
      <c r="H6907" s="59" t="str">
        <f t="shared" si="27"/>
        <v>28C02770</v>
      </c>
      <c r="I6907" s="59" t="str">
        <f>IF(OR($A6907="",$C6907="",$D6907="",$E6907="",$H6907=""),"",SUMIFS(DATA_GOC!$H:$H,DATA_GOC!$A:$A,"BOM",DATA_GOC!$D:$D,$H6907,DATA_GOC!$E:$E,$C6907,DATA_GOC!$F:$F,"Xuất nội bộ từ téc",DATA_GOC!$B:$B,"&gt;="&amp;$D6907,DATA_GOC!$B:$B,"&lt;="&amp;$E6907))</f>
        <v/>
      </c>
      <c r="J6907" s="59">
        <f t="shared" si="28"/>
        <v>0</v>
      </c>
      <c r="K6907" s="59">
        <f t="shared" si="29"/>
        <v>0</v>
      </c>
      <c r="L6907" s="59">
        <f t="shared" si="30"/>
        <v>0</v>
      </c>
      <c r="M6907" s="59">
        <f t="shared" si="31"/>
        <v>0</v>
      </c>
    </row>
    <row r="6908" ht="15.0" hidden="1" customHeight="1">
      <c r="A6908" s="59">
        <f t="shared" si="20"/>
        <v>112</v>
      </c>
      <c r="B6908" s="59" t="str">
        <f t="shared" si="21"/>
        <v/>
      </c>
      <c r="C6908" s="59" t="str">
        <f t="shared" si="22"/>
        <v/>
      </c>
      <c r="D6908" s="45" t="str">
        <f t="shared" si="23"/>
        <v/>
      </c>
      <c r="E6908" s="45" t="str">
        <f t="shared" si="24"/>
        <v/>
      </c>
      <c r="F6908" s="59" t="str">
        <f t="shared" si="25"/>
        <v/>
      </c>
      <c r="G6908" s="59" t="str">
        <f t="shared" si="26"/>
        <v/>
      </c>
      <c r="H6908" s="59" t="str">
        <f t="shared" si="27"/>
        <v>28C02986</v>
      </c>
      <c r="I6908" s="59" t="str">
        <f>IF(OR($A6908="",$C6908="",$D6908="",$E6908="",$H6908=""),"",SUMIFS(DATA_GOC!$H:$H,DATA_GOC!$A:$A,"BOM",DATA_GOC!$D:$D,$H6908,DATA_GOC!$E:$E,$C6908,DATA_GOC!$F:$F,"Xuất nội bộ từ téc",DATA_GOC!$B:$B,"&gt;="&amp;$D6908,DATA_GOC!$B:$B,"&lt;="&amp;$E6908))</f>
        <v/>
      </c>
      <c r="J6908" s="59">
        <f t="shared" si="28"/>
        <v>0</v>
      </c>
      <c r="K6908" s="59">
        <f t="shared" si="29"/>
        <v>0</v>
      </c>
      <c r="L6908" s="59">
        <f t="shared" si="30"/>
        <v>0</v>
      </c>
      <c r="M6908" s="59">
        <f t="shared" si="31"/>
        <v>0</v>
      </c>
    </row>
    <row r="6909" ht="15.0" hidden="1" customHeight="1">
      <c r="A6909" s="59">
        <f t="shared" si="20"/>
        <v>112</v>
      </c>
      <c r="B6909" s="59" t="str">
        <f t="shared" si="21"/>
        <v/>
      </c>
      <c r="C6909" s="59" t="str">
        <f t="shared" si="22"/>
        <v/>
      </c>
      <c r="D6909" s="45" t="str">
        <f t="shared" si="23"/>
        <v/>
      </c>
      <c r="E6909" s="45" t="str">
        <f t="shared" si="24"/>
        <v/>
      </c>
      <c r="F6909" s="59" t="str">
        <f t="shared" si="25"/>
        <v/>
      </c>
      <c r="G6909" s="59" t="str">
        <f t="shared" si="26"/>
        <v/>
      </c>
      <c r="H6909" s="59" t="str">
        <f t="shared" si="27"/>
        <v>28C03261</v>
      </c>
      <c r="I6909" s="59" t="str">
        <f>IF(OR($A6909="",$C6909="",$D6909="",$E6909="",$H6909=""),"",SUMIFS(DATA_GOC!$H:$H,DATA_GOC!$A:$A,"BOM",DATA_GOC!$D:$D,$H6909,DATA_GOC!$E:$E,$C6909,DATA_GOC!$F:$F,"Xuất nội bộ từ téc",DATA_GOC!$B:$B,"&gt;="&amp;$D6909,DATA_GOC!$B:$B,"&lt;="&amp;$E6909))</f>
        <v/>
      </c>
      <c r="J6909" s="59">
        <f t="shared" si="28"/>
        <v>0</v>
      </c>
      <c r="K6909" s="59">
        <f t="shared" si="29"/>
        <v>0</v>
      </c>
      <c r="L6909" s="59">
        <f t="shared" si="30"/>
        <v>0</v>
      </c>
      <c r="M6909" s="59">
        <f t="shared" si="31"/>
        <v>0</v>
      </c>
    </row>
    <row r="6910" ht="15.0" hidden="1" customHeight="1">
      <c r="A6910" s="59">
        <f t="shared" si="20"/>
        <v>112</v>
      </c>
      <c r="B6910" s="59" t="str">
        <f t="shared" si="21"/>
        <v/>
      </c>
      <c r="C6910" s="59" t="str">
        <f t="shared" si="22"/>
        <v/>
      </c>
      <c r="D6910" s="45" t="str">
        <f t="shared" si="23"/>
        <v/>
      </c>
      <c r="E6910" s="45" t="str">
        <f t="shared" si="24"/>
        <v/>
      </c>
      <c r="F6910" s="59" t="str">
        <f t="shared" si="25"/>
        <v/>
      </c>
      <c r="G6910" s="59" t="str">
        <f t="shared" si="26"/>
        <v/>
      </c>
      <c r="H6910" s="59" t="str">
        <f t="shared" si="27"/>
        <v>28C03323</v>
      </c>
      <c r="I6910" s="59" t="str">
        <f>IF(OR($A6910="",$C6910="",$D6910="",$E6910="",$H6910=""),"",SUMIFS(DATA_GOC!$H:$H,DATA_GOC!$A:$A,"BOM",DATA_GOC!$D:$D,$H6910,DATA_GOC!$E:$E,$C6910,DATA_GOC!$F:$F,"Xuất nội bộ từ téc",DATA_GOC!$B:$B,"&gt;="&amp;$D6910,DATA_GOC!$B:$B,"&lt;="&amp;$E6910))</f>
        <v/>
      </c>
      <c r="J6910" s="59">
        <f t="shared" si="28"/>
        <v>0</v>
      </c>
      <c r="K6910" s="59">
        <f t="shared" si="29"/>
        <v>0</v>
      </c>
      <c r="L6910" s="59">
        <f t="shared" si="30"/>
        <v>0</v>
      </c>
      <c r="M6910" s="59">
        <f t="shared" si="31"/>
        <v>0</v>
      </c>
    </row>
    <row r="6911" ht="15.0" hidden="1" customHeight="1">
      <c r="A6911" s="59">
        <f t="shared" si="20"/>
        <v>112</v>
      </c>
      <c r="B6911" s="59" t="str">
        <f t="shared" si="21"/>
        <v/>
      </c>
      <c r="C6911" s="59" t="str">
        <f t="shared" si="22"/>
        <v/>
      </c>
      <c r="D6911" s="45" t="str">
        <f t="shared" si="23"/>
        <v/>
      </c>
      <c r="E6911" s="45" t="str">
        <f t="shared" si="24"/>
        <v/>
      </c>
      <c r="F6911" s="59" t="str">
        <f t="shared" si="25"/>
        <v/>
      </c>
      <c r="G6911" s="59" t="str">
        <f t="shared" si="26"/>
        <v/>
      </c>
      <c r="H6911" s="59" t="str">
        <f t="shared" si="27"/>
        <v>28C03385</v>
      </c>
      <c r="I6911" s="59" t="str">
        <f>IF(OR($A6911="",$C6911="",$D6911="",$E6911="",$H6911=""),"",SUMIFS(DATA_GOC!$H:$H,DATA_GOC!$A:$A,"BOM",DATA_GOC!$D:$D,$H6911,DATA_GOC!$E:$E,$C6911,DATA_GOC!$F:$F,"Xuất nội bộ từ téc",DATA_GOC!$B:$B,"&gt;="&amp;$D6911,DATA_GOC!$B:$B,"&lt;="&amp;$E6911))</f>
        <v/>
      </c>
      <c r="J6911" s="59">
        <f t="shared" si="28"/>
        <v>0</v>
      </c>
      <c r="K6911" s="59">
        <f t="shared" si="29"/>
        <v>0</v>
      </c>
      <c r="L6911" s="59">
        <f t="shared" si="30"/>
        <v>0</v>
      </c>
      <c r="M6911" s="59">
        <f t="shared" si="31"/>
        <v>0</v>
      </c>
    </row>
    <row r="6912" ht="15.0" hidden="1" customHeight="1">
      <c r="A6912" s="59">
        <f t="shared" si="20"/>
        <v>112</v>
      </c>
      <c r="B6912" s="59" t="str">
        <f t="shared" si="21"/>
        <v/>
      </c>
      <c r="C6912" s="59" t="str">
        <f t="shared" si="22"/>
        <v/>
      </c>
      <c r="D6912" s="45" t="str">
        <f t="shared" si="23"/>
        <v/>
      </c>
      <c r="E6912" s="45" t="str">
        <f t="shared" si="24"/>
        <v/>
      </c>
      <c r="F6912" s="59" t="str">
        <f t="shared" si="25"/>
        <v/>
      </c>
      <c r="G6912" s="59" t="str">
        <f t="shared" si="26"/>
        <v/>
      </c>
      <c r="H6912" s="59" t="str">
        <f t="shared" si="27"/>
        <v>28C03652</v>
      </c>
      <c r="I6912" s="59" t="str">
        <f>IF(OR($A6912="",$C6912="",$D6912="",$E6912="",$H6912=""),"",SUMIFS(DATA_GOC!$H:$H,DATA_GOC!$A:$A,"BOM",DATA_GOC!$D:$D,$H6912,DATA_GOC!$E:$E,$C6912,DATA_GOC!$F:$F,"Xuất nội bộ từ téc",DATA_GOC!$B:$B,"&gt;="&amp;$D6912,DATA_GOC!$B:$B,"&lt;="&amp;$E6912))</f>
        <v/>
      </c>
      <c r="J6912" s="59">
        <f t="shared" si="28"/>
        <v>0</v>
      </c>
      <c r="K6912" s="59">
        <f t="shared" si="29"/>
        <v>0</v>
      </c>
      <c r="L6912" s="59">
        <f t="shared" si="30"/>
        <v>0</v>
      </c>
      <c r="M6912" s="59">
        <f t="shared" si="31"/>
        <v>0</v>
      </c>
    </row>
    <row r="6913" ht="15.0" hidden="1" customHeight="1">
      <c r="A6913" s="59">
        <f t="shared" si="20"/>
        <v>112</v>
      </c>
      <c r="B6913" s="59" t="str">
        <f t="shared" si="21"/>
        <v/>
      </c>
      <c r="C6913" s="59" t="str">
        <f t="shared" si="22"/>
        <v/>
      </c>
      <c r="D6913" s="45" t="str">
        <f t="shared" si="23"/>
        <v/>
      </c>
      <c r="E6913" s="45" t="str">
        <f t="shared" si="24"/>
        <v/>
      </c>
      <c r="F6913" s="59" t="str">
        <f t="shared" si="25"/>
        <v/>
      </c>
      <c r="G6913" s="59" t="str">
        <f t="shared" si="26"/>
        <v/>
      </c>
      <c r="H6913" s="59" t="str">
        <f t="shared" si="27"/>
        <v>28C03695</v>
      </c>
      <c r="I6913" s="59" t="str">
        <f>IF(OR($A6913="",$C6913="",$D6913="",$E6913="",$H6913=""),"",SUMIFS(DATA_GOC!$H:$H,DATA_GOC!$A:$A,"BOM",DATA_GOC!$D:$D,$H6913,DATA_GOC!$E:$E,$C6913,DATA_GOC!$F:$F,"Xuất nội bộ từ téc",DATA_GOC!$B:$B,"&gt;="&amp;$D6913,DATA_GOC!$B:$B,"&lt;="&amp;$E6913))</f>
        <v/>
      </c>
      <c r="J6913" s="59">
        <f t="shared" si="28"/>
        <v>0</v>
      </c>
      <c r="K6913" s="59">
        <f t="shared" si="29"/>
        <v>0</v>
      </c>
      <c r="L6913" s="59">
        <f t="shared" si="30"/>
        <v>0</v>
      </c>
      <c r="M6913" s="59">
        <f t="shared" si="31"/>
        <v>0</v>
      </c>
    </row>
    <row r="6914" ht="15.0" hidden="1" customHeight="1">
      <c r="A6914" s="59">
        <f t="shared" si="20"/>
        <v>112</v>
      </c>
      <c r="B6914" s="59" t="str">
        <f t="shared" si="21"/>
        <v/>
      </c>
      <c r="C6914" s="59" t="str">
        <f t="shared" si="22"/>
        <v/>
      </c>
      <c r="D6914" s="45" t="str">
        <f t="shared" si="23"/>
        <v/>
      </c>
      <c r="E6914" s="45" t="str">
        <f t="shared" si="24"/>
        <v/>
      </c>
      <c r="F6914" s="59" t="str">
        <f t="shared" si="25"/>
        <v/>
      </c>
      <c r="G6914" s="59" t="str">
        <f t="shared" si="26"/>
        <v/>
      </c>
      <c r="H6914" s="59" t="str">
        <f t="shared" si="27"/>
        <v>28C03927</v>
      </c>
      <c r="I6914" s="59" t="str">
        <f>IF(OR($A6914="",$C6914="",$D6914="",$E6914="",$H6914=""),"",SUMIFS(DATA_GOC!$H:$H,DATA_GOC!$A:$A,"BOM",DATA_GOC!$D:$D,$H6914,DATA_GOC!$E:$E,$C6914,DATA_GOC!$F:$F,"Xuất nội bộ từ téc",DATA_GOC!$B:$B,"&gt;="&amp;$D6914,DATA_GOC!$B:$B,"&lt;="&amp;$E6914))</f>
        <v/>
      </c>
      <c r="J6914" s="59">
        <f t="shared" si="28"/>
        <v>0</v>
      </c>
      <c r="K6914" s="59">
        <f t="shared" si="29"/>
        <v>0</v>
      </c>
      <c r="L6914" s="59">
        <f t="shared" si="30"/>
        <v>0</v>
      </c>
      <c r="M6914" s="59">
        <f t="shared" si="31"/>
        <v>0</v>
      </c>
    </row>
    <row r="6915" ht="15.0" hidden="1" customHeight="1">
      <c r="A6915" s="59">
        <f t="shared" si="20"/>
        <v>112</v>
      </c>
      <c r="B6915" s="59" t="str">
        <f t="shared" si="21"/>
        <v/>
      </c>
      <c r="C6915" s="59" t="str">
        <f t="shared" si="22"/>
        <v/>
      </c>
      <c r="D6915" s="45" t="str">
        <f t="shared" si="23"/>
        <v/>
      </c>
      <c r="E6915" s="45" t="str">
        <f t="shared" si="24"/>
        <v/>
      </c>
      <c r="F6915" s="59" t="str">
        <f t="shared" si="25"/>
        <v/>
      </c>
      <c r="G6915" s="59" t="str">
        <f t="shared" si="26"/>
        <v/>
      </c>
      <c r="H6915" s="59" t="str">
        <f t="shared" si="27"/>
        <v>28C04509</v>
      </c>
      <c r="I6915" s="59" t="str">
        <f>IF(OR($A6915="",$C6915="",$D6915="",$E6915="",$H6915=""),"",SUMIFS(DATA_GOC!$H:$H,DATA_GOC!$A:$A,"BOM",DATA_GOC!$D:$D,$H6915,DATA_GOC!$E:$E,$C6915,DATA_GOC!$F:$F,"Xuất nội bộ từ téc",DATA_GOC!$B:$B,"&gt;="&amp;$D6915,DATA_GOC!$B:$B,"&lt;="&amp;$E6915))</f>
        <v/>
      </c>
      <c r="J6915" s="59">
        <f t="shared" si="28"/>
        <v>0</v>
      </c>
      <c r="K6915" s="59">
        <f t="shared" si="29"/>
        <v>0</v>
      </c>
      <c r="L6915" s="59">
        <f t="shared" si="30"/>
        <v>0</v>
      </c>
      <c r="M6915" s="59">
        <f t="shared" si="31"/>
        <v>0</v>
      </c>
    </row>
    <row r="6916" ht="15.0" hidden="1" customHeight="1">
      <c r="A6916" s="59">
        <f t="shared" si="20"/>
        <v>112</v>
      </c>
      <c r="B6916" s="59" t="str">
        <f t="shared" si="21"/>
        <v/>
      </c>
      <c r="C6916" s="59" t="str">
        <f t="shared" si="22"/>
        <v/>
      </c>
      <c r="D6916" s="45" t="str">
        <f t="shared" si="23"/>
        <v/>
      </c>
      <c r="E6916" s="45" t="str">
        <f t="shared" si="24"/>
        <v/>
      </c>
      <c r="F6916" s="59" t="str">
        <f t="shared" si="25"/>
        <v/>
      </c>
      <c r="G6916" s="59" t="str">
        <f t="shared" si="26"/>
        <v/>
      </c>
      <c r="H6916" s="59" t="str">
        <f t="shared" si="27"/>
        <v>28C04536</v>
      </c>
      <c r="I6916" s="59" t="str">
        <f>IF(OR($A6916="",$C6916="",$D6916="",$E6916="",$H6916=""),"",SUMIFS(DATA_GOC!$H:$H,DATA_GOC!$A:$A,"BOM",DATA_GOC!$D:$D,$H6916,DATA_GOC!$E:$E,$C6916,DATA_GOC!$F:$F,"Xuất nội bộ từ téc",DATA_GOC!$B:$B,"&gt;="&amp;$D6916,DATA_GOC!$B:$B,"&lt;="&amp;$E6916))</f>
        <v/>
      </c>
      <c r="J6916" s="59">
        <f t="shared" si="28"/>
        <v>0</v>
      </c>
      <c r="K6916" s="59">
        <f t="shared" si="29"/>
        <v>0</v>
      </c>
      <c r="L6916" s="59">
        <f t="shared" si="30"/>
        <v>0</v>
      </c>
      <c r="M6916" s="59">
        <f t="shared" si="31"/>
        <v>0</v>
      </c>
    </row>
    <row r="6917" ht="15.0" hidden="1" customHeight="1">
      <c r="A6917" s="59">
        <f t="shared" si="20"/>
        <v>112</v>
      </c>
      <c r="B6917" s="59" t="str">
        <f t="shared" si="21"/>
        <v/>
      </c>
      <c r="C6917" s="59" t="str">
        <f t="shared" si="22"/>
        <v/>
      </c>
      <c r="D6917" s="45" t="str">
        <f t="shared" si="23"/>
        <v/>
      </c>
      <c r="E6917" s="45" t="str">
        <f t="shared" si="24"/>
        <v/>
      </c>
      <c r="F6917" s="59" t="str">
        <f t="shared" si="25"/>
        <v/>
      </c>
      <c r="G6917" s="59" t="str">
        <f t="shared" si="26"/>
        <v/>
      </c>
      <c r="H6917" s="59" t="str">
        <f t="shared" si="27"/>
        <v>28C04576</v>
      </c>
      <c r="I6917" s="59" t="str">
        <f>IF(OR($A6917="",$C6917="",$D6917="",$E6917="",$H6917=""),"",SUMIFS(DATA_GOC!$H:$H,DATA_GOC!$A:$A,"BOM",DATA_GOC!$D:$D,$H6917,DATA_GOC!$E:$E,$C6917,DATA_GOC!$F:$F,"Xuất nội bộ từ téc",DATA_GOC!$B:$B,"&gt;="&amp;$D6917,DATA_GOC!$B:$B,"&lt;="&amp;$E6917))</f>
        <v/>
      </c>
      <c r="J6917" s="59">
        <f t="shared" si="28"/>
        <v>0</v>
      </c>
      <c r="K6917" s="59">
        <f t="shared" si="29"/>
        <v>0</v>
      </c>
      <c r="L6917" s="59">
        <f t="shared" si="30"/>
        <v>0</v>
      </c>
      <c r="M6917" s="59">
        <f t="shared" si="31"/>
        <v>0</v>
      </c>
    </row>
    <row r="6918" ht="15.0" hidden="1" customHeight="1">
      <c r="A6918" s="59">
        <f t="shared" si="20"/>
        <v>112</v>
      </c>
      <c r="B6918" s="59" t="str">
        <f t="shared" si="21"/>
        <v/>
      </c>
      <c r="C6918" s="59" t="str">
        <f t="shared" si="22"/>
        <v/>
      </c>
      <c r="D6918" s="45" t="str">
        <f t="shared" si="23"/>
        <v/>
      </c>
      <c r="E6918" s="45" t="str">
        <f t="shared" si="24"/>
        <v/>
      </c>
      <c r="F6918" s="59" t="str">
        <f t="shared" si="25"/>
        <v/>
      </c>
      <c r="G6918" s="59" t="str">
        <f t="shared" si="26"/>
        <v/>
      </c>
      <c r="H6918" s="59" t="str">
        <f t="shared" si="27"/>
        <v>28C05090</v>
      </c>
      <c r="I6918" s="59" t="str">
        <f>IF(OR($A6918="",$C6918="",$D6918="",$E6918="",$H6918=""),"",SUMIFS(DATA_GOC!$H:$H,DATA_GOC!$A:$A,"BOM",DATA_GOC!$D:$D,$H6918,DATA_GOC!$E:$E,$C6918,DATA_GOC!$F:$F,"Xuất nội bộ từ téc",DATA_GOC!$B:$B,"&gt;="&amp;$D6918,DATA_GOC!$B:$B,"&lt;="&amp;$E6918))</f>
        <v/>
      </c>
      <c r="J6918" s="59">
        <f t="shared" si="28"/>
        <v>0</v>
      </c>
      <c r="K6918" s="59">
        <f t="shared" si="29"/>
        <v>0</v>
      </c>
      <c r="L6918" s="59">
        <f t="shared" si="30"/>
        <v>0</v>
      </c>
      <c r="M6918" s="59">
        <f t="shared" si="31"/>
        <v>0</v>
      </c>
    </row>
    <row r="6919" ht="15.0" hidden="1" customHeight="1">
      <c r="A6919" s="59">
        <f t="shared" si="20"/>
        <v>112</v>
      </c>
      <c r="B6919" s="59" t="str">
        <f t="shared" si="21"/>
        <v/>
      </c>
      <c r="C6919" s="59" t="str">
        <f t="shared" si="22"/>
        <v/>
      </c>
      <c r="D6919" s="45" t="str">
        <f t="shared" si="23"/>
        <v/>
      </c>
      <c r="E6919" s="45" t="str">
        <f t="shared" si="24"/>
        <v/>
      </c>
      <c r="F6919" s="59" t="str">
        <f t="shared" si="25"/>
        <v/>
      </c>
      <c r="G6919" s="59" t="str">
        <f t="shared" si="26"/>
        <v/>
      </c>
      <c r="H6919" s="59" t="str">
        <f t="shared" si="27"/>
        <v>28C05345</v>
      </c>
      <c r="I6919" s="59" t="str">
        <f>IF(OR($A6919="",$C6919="",$D6919="",$E6919="",$H6919=""),"",SUMIFS(DATA_GOC!$H:$H,DATA_GOC!$A:$A,"BOM",DATA_GOC!$D:$D,$H6919,DATA_GOC!$E:$E,$C6919,DATA_GOC!$F:$F,"Xuất nội bộ từ téc",DATA_GOC!$B:$B,"&gt;="&amp;$D6919,DATA_GOC!$B:$B,"&lt;="&amp;$E6919))</f>
        <v/>
      </c>
      <c r="J6919" s="59">
        <f t="shared" si="28"/>
        <v>0</v>
      </c>
      <c r="K6919" s="59">
        <f t="shared" si="29"/>
        <v>0</v>
      </c>
      <c r="L6919" s="59">
        <f t="shared" si="30"/>
        <v>0</v>
      </c>
      <c r="M6919" s="59">
        <f t="shared" si="31"/>
        <v>0</v>
      </c>
    </row>
    <row r="6920" ht="15.0" hidden="1" customHeight="1">
      <c r="A6920" s="59">
        <f t="shared" si="20"/>
        <v>112</v>
      </c>
      <c r="B6920" s="59" t="str">
        <f t="shared" si="21"/>
        <v/>
      </c>
      <c r="C6920" s="59" t="str">
        <f t="shared" si="22"/>
        <v/>
      </c>
      <c r="D6920" s="45" t="str">
        <f t="shared" si="23"/>
        <v/>
      </c>
      <c r="E6920" s="45" t="str">
        <f t="shared" si="24"/>
        <v/>
      </c>
      <c r="F6920" s="59" t="str">
        <f t="shared" si="25"/>
        <v/>
      </c>
      <c r="G6920" s="59" t="str">
        <f t="shared" si="26"/>
        <v/>
      </c>
      <c r="H6920" s="59" t="str">
        <f t="shared" si="27"/>
        <v>28C05661</v>
      </c>
      <c r="I6920" s="59" t="str">
        <f>IF(OR($A6920="",$C6920="",$D6920="",$E6920="",$H6920=""),"",SUMIFS(DATA_GOC!$H:$H,DATA_GOC!$A:$A,"BOM",DATA_GOC!$D:$D,$H6920,DATA_GOC!$E:$E,$C6920,DATA_GOC!$F:$F,"Xuất nội bộ từ téc",DATA_GOC!$B:$B,"&gt;="&amp;$D6920,DATA_GOC!$B:$B,"&lt;="&amp;$E6920))</f>
        <v/>
      </c>
      <c r="J6920" s="59">
        <f t="shared" si="28"/>
        <v>0</v>
      </c>
      <c r="K6920" s="59">
        <f t="shared" si="29"/>
        <v>0</v>
      </c>
      <c r="L6920" s="59">
        <f t="shared" si="30"/>
        <v>0</v>
      </c>
      <c r="M6920" s="59">
        <f t="shared" si="31"/>
        <v>0</v>
      </c>
    </row>
    <row r="6921" ht="15.0" hidden="1" customHeight="1">
      <c r="A6921" s="59">
        <f t="shared" si="20"/>
        <v>112</v>
      </c>
      <c r="B6921" s="59" t="str">
        <f t="shared" si="21"/>
        <v/>
      </c>
      <c r="C6921" s="59" t="str">
        <f t="shared" si="22"/>
        <v/>
      </c>
      <c r="D6921" s="45" t="str">
        <f t="shared" si="23"/>
        <v/>
      </c>
      <c r="E6921" s="45" t="str">
        <f t="shared" si="24"/>
        <v/>
      </c>
      <c r="F6921" s="59" t="str">
        <f t="shared" si="25"/>
        <v/>
      </c>
      <c r="G6921" s="59" t="str">
        <f t="shared" si="26"/>
        <v/>
      </c>
      <c r="H6921" s="59" t="str">
        <f t="shared" si="27"/>
        <v>28C05739</v>
      </c>
      <c r="I6921" s="59" t="str">
        <f>IF(OR($A6921="",$C6921="",$D6921="",$E6921="",$H6921=""),"",SUMIFS(DATA_GOC!$H:$H,DATA_GOC!$A:$A,"BOM",DATA_GOC!$D:$D,$H6921,DATA_GOC!$E:$E,$C6921,DATA_GOC!$F:$F,"Xuất nội bộ từ téc",DATA_GOC!$B:$B,"&gt;="&amp;$D6921,DATA_GOC!$B:$B,"&lt;="&amp;$E6921))</f>
        <v/>
      </c>
      <c r="J6921" s="59">
        <f t="shared" si="28"/>
        <v>0</v>
      </c>
      <c r="K6921" s="59">
        <f t="shared" si="29"/>
        <v>0</v>
      </c>
      <c r="L6921" s="59">
        <f t="shared" si="30"/>
        <v>0</v>
      </c>
      <c r="M6921" s="59">
        <f t="shared" si="31"/>
        <v>0</v>
      </c>
    </row>
    <row r="6922" ht="15.0" hidden="1" customHeight="1">
      <c r="A6922" s="59">
        <f t="shared" si="20"/>
        <v>112</v>
      </c>
      <c r="B6922" s="59" t="str">
        <f t="shared" si="21"/>
        <v/>
      </c>
      <c r="C6922" s="59" t="str">
        <f t="shared" si="22"/>
        <v/>
      </c>
      <c r="D6922" s="45" t="str">
        <f t="shared" si="23"/>
        <v/>
      </c>
      <c r="E6922" s="45" t="str">
        <f t="shared" si="24"/>
        <v/>
      </c>
      <c r="F6922" s="59" t="str">
        <f t="shared" si="25"/>
        <v/>
      </c>
      <c r="G6922" s="59" t="str">
        <f t="shared" si="26"/>
        <v/>
      </c>
      <c r="H6922" s="59" t="str">
        <f t="shared" si="27"/>
        <v>28C06369</v>
      </c>
      <c r="I6922" s="59" t="str">
        <f>IF(OR($A6922="",$C6922="",$D6922="",$E6922="",$H6922=""),"",SUMIFS(DATA_GOC!$H:$H,DATA_GOC!$A:$A,"BOM",DATA_GOC!$D:$D,$H6922,DATA_GOC!$E:$E,$C6922,DATA_GOC!$F:$F,"Xuất nội bộ từ téc",DATA_GOC!$B:$B,"&gt;="&amp;$D6922,DATA_GOC!$B:$B,"&lt;="&amp;$E6922))</f>
        <v/>
      </c>
      <c r="J6922" s="59">
        <f t="shared" si="28"/>
        <v>0</v>
      </c>
      <c r="K6922" s="59">
        <f t="shared" si="29"/>
        <v>0</v>
      </c>
      <c r="L6922" s="59">
        <f t="shared" si="30"/>
        <v>0</v>
      </c>
      <c r="M6922" s="59">
        <f t="shared" si="31"/>
        <v>0</v>
      </c>
    </row>
    <row r="6923" ht="15.0" hidden="1" customHeight="1">
      <c r="A6923" s="59">
        <f t="shared" si="20"/>
        <v>112</v>
      </c>
      <c r="B6923" s="59" t="str">
        <f t="shared" si="21"/>
        <v/>
      </c>
      <c r="C6923" s="59" t="str">
        <f t="shared" si="22"/>
        <v/>
      </c>
      <c r="D6923" s="45" t="str">
        <f t="shared" si="23"/>
        <v/>
      </c>
      <c r="E6923" s="45" t="str">
        <f t="shared" si="24"/>
        <v/>
      </c>
      <c r="F6923" s="59" t="str">
        <f t="shared" si="25"/>
        <v/>
      </c>
      <c r="G6923" s="59" t="str">
        <f t="shared" si="26"/>
        <v/>
      </c>
      <c r="H6923" s="59" t="str">
        <f t="shared" si="27"/>
        <v>28C06447</v>
      </c>
      <c r="I6923" s="59" t="str">
        <f>IF(OR($A6923="",$C6923="",$D6923="",$E6923="",$H6923=""),"",SUMIFS(DATA_GOC!$H:$H,DATA_GOC!$A:$A,"BOM",DATA_GOC!$D:$D,$H6923,DATA_GOC!$E:$E,$C6923,DATA_GOC!$F:$F,"Xuất nội bộ từ téc",DATA_GOC!$B:$B,"&gt;="&amp;$D6923,DATA_GOC!$B:$B,"&lt;="&amp;$E6923))</f>
        <v/>
      </c>
      <c r="J6923" s="59">
        <f t="shared" si="28"/>
        <v>0</v>
      </c>
      <c r="K6923" s="59">
        <f t="shared" si="29"/>
        <v>0</v>
      </c>
      <c r="L6923" s="59">
        <f t="shared" si="30"/>
        <v>0</v>
      </c>
      <c r="M6923" s="59">
        <f t="shared" si="31"/>
        <v>0</v>
      </c>
    </row>
    <row r="6924" ht="15.0" hidden="1" customHeight="1">
      <c r="A6924" s="59">
        <f t="shared" si="20"/>
        <v>112</v>
      </c>
      <c r="B6924" s="59" t="str">
        <f t="shared" si="21"/>
        <v/>
      </c>
      <c r="C6924" s="59" t="str">
        <f t="shared" si="22"/>
        <v/>
      </c>
      <c r="D6924" s="45" t="str">
        <f t="shared" si="23"/>
        <v/>
      </c>
      <c r="E6924" s="45" t="str">
        <f t="shared" si="24"/>
        <v/>
      </c>
      <c r="F6924" s="59" t="str">
        <f t="shared" si="25"/>
        <v/>
      </c>
      <c r="G6924" s="59" t="str">
        <f t="shared" si="26"/>
        <v/>
      </c>
      <c r="H6924" s="59" t="str">
        <f t="shared" si="27"/>
        <v>28H00003</v>
      </c>
      <c r="I6924" s="59" t="str">
        <f>IF(OR($A6924="",$C6924="",$D6924="",$E6924="",$H6924=""),"",SUMIFS(DATA_GOC!$H:$H,DATA_GOC!$A:$A,"BOM",DATA_GOC!$D:$D,$H6924,DATA_GOC!$E:$E,$C6924,DATA_GOC!$F:$F,"Xuất nội bộ từ téc",DATA_GOC!$B:$B,"&gt;="&amp;$D6924,DATA_GOC!$B:$B,"&lt;="&amp;$E6924))</f>
        <v/>
      </c>
      <c r="J6924" s="59">
        <f t="shared" si="28"/>
        <v>0</v>
      </c>
      <c r="K6924" s="59">
        <f t="shared" si="29"/>
        <v>0</v>
      </c>
      <c r="L6924" s="59">
        <f t="shared" si="30"/>
        <v>0</v>
      </c>
      <c r="M6924" s="59">
        <f t="shared" si="31"/>
        <v>0</v>
      </c>
    </row>
    <row r="6925" ht="15.0" hidden="1" customHeight="1">
      <c r="A6925" s="59">
        <f t="shared" si="20"/>
        <v>112</v>
      </c>
      <c r="B6925" s="59" t="str">
        <f t="shared" si="21"/>
        <v/>
      </c>
      <c r="C6925" s="59" t="str">
        <f t="shared" si="22"/>
        <v/>
      </c>
      <c r="D6925" s="45" t="str">
        <f t="shared" si="23"/>
        <v/>
      </c>
      <c r="E6925" s="45" t="str">
        <f t="shared" si="24"/>
        <v/>
      </c>
      <c r="F6925" s="59" t="str">
        <f t="shared" si="25"/>
        <v/>
      </c>
      <c r="G6925" s="59" t="str">
        <f t="shared" si="26"/>
        <v/>
      </c>
      <c r="H6925" s="59" t="str">
        <f t="shared" si="27"/>
        <v>28H00061</v>
      </c>
      <c r="I6925" s="59" t="str">
        <f>IF(OR($A6925="",$C6925="",$D6925="",$E6925="",$H6925=""),"",SUMIFS(DATA_GOC!$H:$H,DATA_GOC!$A:$A,"BOM",DATA_GOC!$D:$D,$H6925,DATA_GOC!$E:$E,$C6925,DATA_GOC!$F:$F,"Xuất nội bộ từ téc",DATA_GOC!$B:$B,"&gt;="&amp;$D6925,DATA_GOC!$B:$B,"&lt;="&amp;$E6925))</f>
        <v/>
      </c>
      <c r="J6925" s="59">
        <f t="shared" si="28"/>
        <v>0</v>
      </c>
      <c r="K6925" s="59">
        <f t="shared" si="29"/>
        <v>0</v>
      </c>
      <c r="L6925" s="59">
        <f t="shared" si="30"/>
        <v>0</v>
      </c>
      <c r="M6925" s="59">
        <f t="shared" si="31"/>
        <v>0</v>
      </c>
    </row>
    <row r="6926" ht="15.0" hidden="1" customHeight="1">
      <c r="A6926" s="59">
        <f t="shared" si="20"/>
        <v>112</v>
      </c>
      <c r="B6926" s="59" t="str">
        <f t="shared" si="21"/>
        <v/>
      </c>
      <c r="C6926" s="59" t="str">
        <f t="shared" si="22"/>
        <v/>
      </c>
      <c r="D6926" s="45" t="str">
        <f t="shared" si="23"/>
        <v/>
      </c>
      <c r="E6926" s="45" t="str">
        <f t="shared" si="24"/>
        <v/>
      </c>
      <c r="F6926" s="59" t="str">
        <f t="shared" si="25"/>
        <v/>
      </c>
      <c r="G6926" s="59" t="str">
        <f t="shared" si="26"/>
        <v/>
      </c>
      <c r="H6926" s="59" t="str">
        <f t="shared" si="27"/>
        <v>28H00354</v>
      </c>
      <c r="I6926" s="59" t="str">
        <f>IF(OR($A6926="",$C6926="",$D6926="",$E6926="",$H6926=""),"",SUMIFS(DATA_GOC!$H:$H,DATA_GOC!$A:$A,"BOM",DATA_GOC!$D:$D,$H6926,DATA_GOC!$E:$E,$C6926,DATA_GOC!$F:$F,"Xuất nội bộ từ téc",DATA_GOC!$B:$B,"&gt;="&amp;$D6926,DATA_GOC!$B:$B,"&lt;="&amp;$E6926))</f>
        <v/>
      </c>
      <c r="J6926" s="59">
        <f t="shared" si="28"/>
        <v>0</v>
      </c>
      <c r="K6926" s="59">
        <f t="shared" si="29"/>
        <v>0</v>
      </c>
      <c r="L6926" s="59">
        <f t="shared" si="30"/>
        <v>0</v>
      </c>
      <c r="M6926" s="59">
        <f t="shared" si="31"/>
        <v>0</v>
      </c>
    </row>
    <row r="6927" ht="15.0" hidden="1" customHeight="1">
      <c r="A6927" s="59">
        <f t="shared" si="20"/>
        <v>112</v>
      </c>
      <c r="B6927" s="59" t="str">
        <f t="shared" si="21"/>
        <v/>
      </c>
      <c r="C6927" s="59" t="str">
        <f t="shared" si="22"/>
        <v/>
      </c>
      <c r="D6927" s="45" t="str">
        <f t="shared" si="23"/>
        <v/>
      </c>
      <c r="E6927" s="45" t="str">
        <f t="shared" si="24"/>
        <v/>
      </c>
      <c r="F6927" s="59" t="str">
        <f t="shared" si="25"/>
        <v/>
      </c>
      <c r="G6927" s="59" t="str">
        <f t="shared" si="26"/>
        <v/>
      </c>
      <c r="H6927" s="59" t="str">
        <f t="shared" si="27"/>
        <v>28H00603</v>
      </c>
      <c r="I6927" s="59" t="str">
        <f>IF(OR($A6927="",$C6927="",$D6927="",$E6927="",$H6927=""),"",SUMIFS(DATA_GOC!$H:$H,DATA_GOC!$A:$A,"BOM",DATA_GOC!$D:$D,$H6927,DATA_GOC!$E:$E,$C6927,DATA_GOC!$F:$F,"Xuất nội bộ từ téc",DATA_GOC!$B:$B,"&gt;="&amp;$D6927,DATA_GOC!$B:$B,"&lt;="&amp;$E6927))</f>
        <v/>
      </c>
      <c r="J6927" s="59">
        <f t="shared" si="28"/>
        <v>0</v>
      </c>
      <c r="K6927" s="59">
        <f t="shared" si="29"/>
        <v>0</v>
      </c>
      <c r="L6927" s="59">
        <f t="shared" si="30"/>
        <v>0</v>
      </c>
      <c r="M6927" s="59">
        <f t="shared" si="31"/>
        <v>0</v>
      </c>
    </row>
    <row r="6928" ht="15.0" hidden="1" customHeight="1">
      <c r="A6928" s="59">
        <f t="shared" si="20"/>
        <v>112</v>
      </c>
      <c r="B6928" s="59" t="str">
        <f t="shared" si="21"/>
        <v/>
      </c>
      <c r="C6928" s="59" t="str">
        <f t="shared" si="22"/>
        <v/>
      </c>
      <c r="D6928" s="45" t="str">
        <f t="shared" si="23"/>
        <v/>
      </c>
      <c r="E6928" s="45" t="str">
        <f t="shared" si="24"/>
        <v/>
      </c>
      <c r="F6928" s="59" t="str">
        <f t="shared" si="25"/>
        <v/>
      </c>
      <c r="G6928" s="59" t="str">
        <f t="shared" si="26"/>
        <v/>
      </c>
      <c r="H6928" s="59" t="str">
        <f t="shared" si="27"/>
        <v>28H00609</v>
      </c>
      <c r="I6928" s="59" t="str">
        <f>IF(OR($A6928="",$C6928="",$D6928="",$E6928="",$H6928=""),"",SUMIFS(DATA_GOC!$H:$H,DATA_GOC!$A:$A,"BOM",DATA_GOC!$D:$D,$H6928,DATA_GOC!$E:$E,$C6928,DATA_GOC!$F:$F,"Xuất nội bộ từ téc",DATA_GOC!$B:$B,"&gt;="&amp;$D6928,DATA_GOC!$B:$B,"&lt;="&amp;$E6928))</f>
        <v/>
      </c>
      <c r="J6928" s="59">
        <f t="shared" si="28"/>
        <v>0</v>
      </c>
      <c r="K6928" s="59">
        <f t="shared" si="29"/>
        <v>0</v>
      </c>
      <c r="L6928" s="59">
        <f t="shared" si="30"/>
        <v>0</v>
      </c>
      <c r="M6928" s="59">
        <f t="shared" si="31"/>
        <v>0</v>
      </c>
    </row>
    <row r="6929" ht="15.0" hidden="1" customHeight="1">
      <c r="A6929" s="59">
        <f t="shared" si="20"/>
        <v>112</v>
      </c>
      <c r="B6929" s="59" t="str">
        <f t="shared" si="21"/>
        <v/>
      </c>
      <c r="C6929" s="59" t="str">
        <f t="shared" si="22"/>
        <v/>
      </c>
      <c r="D6929" s="45" t="str">
        <f t="shared" si="23"/>
        <v/>
      </c>
      <c r="E6929" s="45" t="str">
        <f t="shared" si="24"/>
        <v/>
      </c>
      <c r="F6929" s="59" t="str">
        <f t="shared" si="25"/>
        <v/>
      </c>
      <c r="G6929" s="59" t="str">
        <f t="shared" si="26"/>
        <v/>
      </c>
      <c r="H6929" s="59" t="str">
        <f t="shared" si="27"/>
        <v>28H00669</v>
      </c>
      <c r="I6929" s="59" t="str">
        <f>IF(OR($A6929="",$C6929="",$D6929="",$E6929="",$H6929=""),"",SUMIFS(DATA_GOC!$H:$H,DATA_GOC!$A:$A,"BOM",DATA_GOC!$D:$D,$H6929,DATA_GOC!$E:$E,$C6929,DATA_GOC!$F:$F,"Xuất nội bộ từ téc",DATA_GOC!$B:$B,"&gt;="&amp;$D6929,DATA_GOC!$B:$B,"&lt;="&amp;$E6929))</f>
        <v/>
      </c>
      <c r="J6929" s="59">
        <f t="shared" si="28"/>
        <v>0</v>
      </c>
      <c r="K6929" s="59">
        <f t="shared" si="29"/>
        <v>0</v>
      </c>
      <c r="L6929" s="59">
        <f t="shared" si="30"/>
        <v>0</v>
      </c>
      <c r="M6929" s="59">
        <f t="shared" si="31"/>
        <v>0</v>
      </c>
    </row>
    <row r="6930" ht="15.0" hidden="1" customHeight="1">
      <c r="A6930" s="59">
        <f t="shared" si="20"/>
        <v>112</v>
      </c>
      <c r="B6930" s="59" t="str">
        <f t="shared" si="21"/>
        <v/>
      </c>
      <c r="C6930" s="59" t="str">
        <f t="shared" si="22"/>
        <v/>
      </c>
      <c r="D6930" s="45" t="str">
        <f t="shared" si="23"/>
        <v/>
      </c>
      <c r="E6930" s="45" t="str">
        <f t="shared" si="24"/>
        <v/>
      </c>
      <c r="F6930" s="59" t="str">
        <f t="shared" si="25"/>
        <v/>
      </c>
      <c r="G6930" s="59" t="str">
        <f t="shared" si="26"/>
        <v/>
      </c>
      <c r="H6930" s="59" t="str">
        <f t="shared" si="27"/>
        <v>28H00680</v>
      </c>
      <c r="I6930" s="59" t="str">
        <f>IF(OR($A6930="",$C6930="",$D6930="",$E6930="",$H6930=""),"",SUMIFS(DATA_GOC!$H:$H,DATA_GOC!$A:$A,"BOM",DATA_GOC!$D:$D,$H6930,DATA_GOC!$E:$E,$C6930,DATA_GOC!$F:$F,"Xuất nội bộ từ téc",DATA_GOC!$B:$B,"&gt;="&amp;$D6930,DATA_GOC!$B:$B,"&lt;="&amp;$E6930))</f>
        <v/>
      </c>
      <c r="J6930" s="59">
        <f t="shared" si="28"/>
        <v>0</v>
      </c>
      <c r="K6930" s="59">
        <f t="shared" si="29"/>
        <v>0</v>
      </c>
      <c r="L6930" s="59">
        <f t="shared" si="30"/>
        <v>0</v>
      </c>
      <c r="M6930" s="59">
        <f t="shared" si="31"/>
        <v>0</v>
      </c>
    </row>
    <row r="6931" ht="15.0" hidden="1" customHeight="1">
      <c r="A6931" s="59">
        <f t="shared" si="20"/>
        <v>112</v>
      </c>
      <c r="B6931" s="59" t="str">
        <f t="shared" si="21"/>
        <v/>
      </c>
      <c r="C6931" s="59" t="str">
        <f t="shared" si="22"/>
        <v/>
      </c>
      <c r="D6931" s="45" t="str">
        <f t="shared" si="23"/>
        <v/>
      </c>
      <c r="E6931" s="45" t="str">
        <f t="shared" si="24"/>
        <v/>
      </c>
      <c r="F6931" s="59" t="str">
        <f t="shared" si="25"/>
        <v/>
      </c>
      <c r="G6931" s="59" t="str">
        <f t="shared" si="26"/>
        <v/>
      </c>
      <c r="H6931" s="59" t="str">
        <f t="shared" si="27"/>
        <v>28H01070</v>
      </c>
      <c r="I6931" s="59" t="str">
        <f>IF(OR($A6931="",$C6931="",$D6931="",$E6931="",$H6931=""),"",SUMIFS(DATA_GOC!$H:$H,DATA_GOC!$A:$A,"BOM",DATA_GOC!$D:$D,$H6931,DATA_GOC!$E:$E,$C6931,DATA_GOC!$F:$F,"Xuất nội bộ từ téc",DATA_GOC!$B:$B,"&gt;="&amp;$D6931,DATA_GOC!$B:$B,"&lt;="&amp;$E6931))</f>
        <v/>
      </c>
      <c r="J6931" s="59">
        <f t="shared" si="28"/>
        <v>0</v>
      </c>
      <c r="K6931" s="59">
        <f t="shared" si="29"/>
        <v>0</v>
      </c>
      <c r="L6931" s="59">
        <f t="shared" si="30"/>
        <v>0</v>
      </c>
      <c r="M6931" s="59">
        <f t="shared" si="31"/>
        <v>0</v>
      </c>
    </row>
    <row r="6932" ht="15.0" hidden="1" customHeight="1">
      <c r="A6932" s="59">
        <f t="shared" si="20"/>
        <v>112</v>
      </c>
      <c r="B6932" s="59" t="str">
        <f t="shared" si="21"/>
        <v/>
      </c>
      <c r="C6932" s="59" t="str">
        <f t="shared" si="22"/>
        <v/>
      </c>
      <c r="D6932" s="45" t="str">
        <f t="shared" si="23"/>
        <v/>
      </c>
      <c r="E6932" s="45" t="str">
        <f t="shared" si="24"/>
        <v/>
      </c>
      <c r="F6932" s="59" t="str">
        <f t="shared" si="25"/>
        <v/>
      </c>
      <c r="G6932" s="59" t="str">
        <f t="shared" si="26"/>
        <v/>
      </c>
      <c r="H6932" s="59" t="str">
        <f t="shared" si="27"/>
        <v>28H01364</v>
      </c>
      <c r="I6932" s="59" t="str">
        <f>IF(OR($A6932="",$C6932="",$D6932="",$E6932="",$H6932=""),"",SUMIFS(DATA_GOC!$H:$H,DATA_GOC!$A:$A,"BOM",DATA_GOC!$D:$D,$H6932,DATA_GOC!$E:$E,$C6932,DATA_GOC!$F:$F,"Xuất nội bộ từ téc",DATA_GOC!$B:$B,"&gt;="&amp;$D6932,DATA_GOC!$B:$B,"&lt;="&amp;$E6932))</f>
        <v/>
      </c>
      <c r="J6932" s="59">
        <f t="shared" si="28"/>
        <v>0</v>
      </c>
      <c r="K6932" s="59">
        <f t="shared" si="29"/>
        <v>0</v>
      </c>
      <c r="L6932" s="59">
        <f t="shared" si="30"/>
        <v>0</v>
      </c>
      <c r="M6932" s="59">
        <f t="shared" si="31"/>
        <v>0</v>
      </c>
    </row>
    <row r="6933" ht="15.0" hidden="1" customHeight="1">
      <c r="A6933" s="59">
        <f t="shared" si="20"/>
        <v>112</v>
      </c>
      <c r="B6933" s="59" t="str">
        <f t="shared" si="21"/>
        <v/>
      </c>
      <c r="C6933" s="59" t="str">
        <f t="shared" si="22"/>
        <v/>
      </c>
      <c r="D6933" s="45" t="str">
        <f t="shared" si="23"/>
        <v/>
      </c>
      <c r="E6933" s="45" t="str">
        <f t="shared" si="24"/>
        <v/>
      </c>
      <c r="F6933" s="59" t="str">
        <f t="shared" si="25"/>
        <v/>
      </c>
      <c r="G6933" s="59" t="str">
        <f t="shared" si="26"/>
        <v/>
      </c>
      <c r="H6933" s="59" t="str">
        <f t="shared" si="27"/>
        <v>29E17269</v>
      </c>
      <c r="I6933" s="59" t="str">
        <f>IF(OR($A6933="",$C6933="",$D6933="",$E6933="",$H6933=""),"",SUMIFS(DATA_GOC!$H:$H,DATA_GOC!$A:$A,"BOM",DATA_GOC!$D:$D,$H6933,DATA_GOC!$E:$E,$C6933,DATA_GOC!$F:$F,"Xuất nội bộ từ téc",DATA_GOC!$B:$B,"&gt;="&amp;$D6933,DATA_GOC!$B:$B,"&lt;="&amp;$E6933))</f>
        <v/>
      </c>
      <c r="J6933" s="59">
        <f t="shared" si="28"/>
        <v>0</v>
      </c>
      <c r="K6933" s="59">
        <f t="shared" si="29"/>
        <v>0</v>
      </c>
      <c r="L6933" s="59">
        <f t="shared" si="30"/>
        <v>0</v>
      </c>
      <c r="M6933" s="59">
        <f t="shared" si="31"/>
        <v>0</v>
      </c>
    </row>
    <row r="6934" ht="15.0" hidden="1" customHeight="1">
      <c r="A6934" s="59">
        <f t="shared" si="20"/>
        <v>112</v>
      </c>
      <c r="B6934" s="59" t="str">
        <f t="shared" si="21"/>
        <v/>
      </c>
      <c r="C6934" s="59" t="str">
        <f t="shared" si="22"/>
        <v/>
      </c>
      <c r="D6934" s="45" t="str">
        <f t="shared" si="23"/>
        <v/>
      </c>
      <c r="E6934" s="45" t="str">
        <f t="shared" si="24"/>
        <v/>
      </c>
      <c r="F6934" s="59" t="str">
        <f t="shared" si="25"/>
        <v/>
      </c>
      <c r="G6934" s="59" t="str">
        <f t="shared" si="26"/>
        <v/>
      </c>
      <c r="H6934" s="59" t="str">
        <f t="shared" si="27"/>
        <v>29E17273</v>
      </c>
      <c r="I6934" s="59" t="str">
        <f>IF(OR($A6934="",$C6934="",$D6934="",$E6934="",$H6934=""),"",SUMIFS(DATA_GOC!$H:$H,DATA_GOC!$A:$A,"BOM",DATA_GOC!$D:$D,$H6934,DATA_GOC!$E:$E,$C6934,DATA_GOC!$F:$F,"Xuất nội bộ từ téc",DATA_GOC!$B:$B,"&gt;="&amp;$D6934,DATA_GOC!$B:$B,"&lt;="&amp;$E6934))</f>
        <v/>
      </c>
      <c r="J6934" s="59">
        <f t="shared" si="28"/>
        <v>0</v>
      </c>
      <c r="K6934" s="59">
        <f t="shared" si="29"/>
        <v>0</v>
      </c>
      <c r="L6934" s="59">
        <f t="shared" si="30"/>
        <v>0</v>
      </c>
      <c r="M6934" s="59">
        <f t="shared" si="31"/>
        <v>0</v>
      </c>
    </row>
    <row r="6935" ht="15.0" hidden="1" customHeight="1">
      <c r="A6935" s="59">
        <f t="shared" si="20"/>
        <v>112</v>
      </c>
      <c r="B6935" s="59" t="str">
        <f t="shared" si="21"/>
        <v/>
      </c>
      <c r="C6935" s="59" t="str">
        <f t="shared" si="22"/>
        <v/>
      </c>
      <c r="D6935" s="45" t="str">
        <f t="shared" si="23"/>
        <v/>
      </c>
      <c r="E6935" s="45" t="str">
        <f t="shared" si="24"/>
        <v/>
      </c>
      <c r="F6935" s="59" t="str">
        <f t="shared" si="25"/>
        <v/>
      </c>
      <c r="G6935" s="59" t="str">
        <f t="shared" si="26"/>
        <v/>
      </c>
      <c r="H6935" s="59" t="str">
        <f t="shared" si="27"/>
        <v>29E17410</v>
      </c>
      <c r="I6935" s="59" t="str">
        <f>IF(OR($A6935="",$C6935="",$D6935="",$E6935="",$H6935=""),"",SUMIFS(DATA_GOC!$H:$H,DATA_GOC!$A:$A,"BOM",DATA_GOC!$D:$D,$H6935,DATA_GOC!$E:$E,$C6935,DATA_GOC!$F:$F,"Xuất nội bộ từ téc",DATA_GOC!$B:$B,"&gt;="&amp;$D6935,DATA_GOC!$B:$B,"&lt;="&amp;$E6935))</f>
        <v/>
      </c>
      <c r="J6935" s="59">
        <f t="shared" si="28"/>
        <v>0</v>
      </c>
      <c r="K6935" s="59">
        <f t="shared" si="29"/>
        <v>0</v>
      </c>
      <c r="L6935" s="59">
        <f t="shared" si="30"/>
        <v>0</v>
      </c>
      <c r="M6935" s="59">
        <f t="shared" si="31"/>
        <v>0</v>
      </c>
    </row>
    <row r="6936" ht="15.0" hidden="1" customHeight="1">
      <c r="A6936" s="59">
        <f t="shared" si="20"/>
        <v>112</v>
      </c>
      <c r="B6936" s="59" t="str">
        <f t="shared" si="21"/>
        <v/>
      </c>
      <c r="C6936" s="59" t="str">
        <f t="shared" si="22"/>
        <v/>
      </c>
      <c r="D6936" s="45" t="str">
        <f t="shared" si="23"/>
        <v/>
      </c>
      <c r="E6936" s="45" t="str">
        <f t="shared" si="24"/>
        <v/>
      </c>
      <c r="F6936" s="59" t="str">
        <f t="shared" si="25"/>
        <v/>
      </c>
      <c r="G6936" s="59" t="str">
        <f t="shared" si="26"/>
        <v/>
      </c>
      <c r="H6936" s="59" t="str">
        <f t="shared" si="27"/>
        <v>29E17417</v>
      </c>
      <c r="I6936" s="59" t="str">
        <f>IF(OR($A6936="",$C6936="",$D6936="",$E6936="",$H6936=""),"",SUMIFS(DATA_GOC!$H:$H,DATA_GOC!$A:$A,"BOM",DATA_GOC!$D:$D,$H6936,DATA_GOC!$E:$E,$C6936,DATA_GOC!$F:$F,"Xuất nội bộ từ téc",DATA_GOC!$B:$B,"&gt;="&amp;$D6936,DATA_GOC!$B:$B,"&lt;="&amp;$E6936))</f>
        <v/>
      </c>
      <c r="J6936" s="59">
        <f t="shared" si="28"/>
        <v>0</v>
      </c>
      <c r="K6936" s="59">
        <f t="shared" si="29"/>
        <v>0</v>
      </c>
      <c r="L6936" s="59">
        <f t="shared" si="30"/>
        <v>0</v>
      </c>
      <c r="M6936" s="59">
        <f t="shared" si="31"/>
        <v>0</v>
      </c>
    </row>
    <row r="6937" ht="15.0" hidden="1" customHeight="1">
      <c r="A6937" s="59">
        <f t="shared" si="20"/>
        <v>112</v>
      </c>
      <c r="B6937" s="59" t="str">
        <f t="shared" si="21"/>
        <v/>
      </c>
      <c r="C6937" s="59" t="str">
        <f t="shared" si="22"/>
        <v/>
      </c>
      <c r="D6937" s="45" t="str">
        <f t="shared" si="23"/>
        <v/>
      </c>
      <c r="E6937" s="45" t="str">
        <f t="shared" si="24"/>
        <v/>
      </c>
      <c r="F6937" s="59" t="str">
        <f t="shared" si="25"/>
        <v/>
      </c>
      <c r="G6937" s="59" t="str">
        <f t="shared" si="26"/>
        <v/>
      </c>
      <c r="H6937" s="59" t="str">
        <f t="shared" si="27"/>
        <v>29E17539</v>
      </c>
      <c r="I6937" s="59" t="str">
        <f>IF(OR($A6937="",$C6937="",$D6937="",$E6937="",$H6937=""),"",SUMIFS(DATA_GOC!$H:$H,DATA_GOC!$A:$A,"BOM",DATA_GOC!$D:$D,$H6937,DATA_GOC!$E:$E,$C6937,DATA_GOC!$F:$F,"Xuất nội bộ từ téc",DATA_GOC!$B:$B,"&gt;="&amp;$D6937,DATA_GOC!$B:$B,"&lt;="&amp;$E6937))</f>
        <v/>
      </c>
      <c r="J6937" s="59">
        <f t="shared" si="28"/>
        <v>0</v>
      </c>
      <c r="K6937" s="59">
        <f t="shared" si="29"/>
        <v>0</v>
      </c>
      <c r="L6937" s="59">
        <f t="shared" si="30"/>
        <v>0</v>
      </c>
      <c r="M6937" s="59">
        <f t="shared" si="31"/>
        <v>0</v>
      </c>
    </row>
    <row r="6938" ht="15.0" hidden="1" customHeight="1">
      <c r="A6938" s="59">
        <f t="shared" si="20"/>
        <v>112</v>
      </c>
      <c r="B6938" s="59" t="str">
        <f t="shared" si="21"/>
        <v/>
      </c>
      <c r="C6938" s="59" t="str">
        <f t="shared" si="22"/>
        <v/>
      </c>
      <c r="D6938" s="45" t="str">
        <f t="shared" si="23"/>
        <v/>
      </c>
      <c r="E6938" s="45" t="str">
        <f t="shared" si="24"/>
        <v/>
      </c>
      <c r="F6938" s="59" t="str">
        <f t="shared" si="25"/>
        <v/>
      </c>
      <c r="G6938" s="59" t="str">
        <f t="shared" si="26"/>
        <v/>
      </c>
      <c r="H6938" s="59" t="str">
        <f t="shared" si="27"/>
        <v>29E18160</v>
      </c>
      <c r="I6938" s="59" t="str">
        <f>IF(OR($A6938="",$C6938="",$D6938="",$E6938="",$H6938=""),"",SUMIFS(DATA_GOC!$H:$H,DATA_GOC!$A:$A,"BOM",DATA_GOC!$D:$D,$H6938,DATA_GOC!$E:$E,$C6938,DATA_GOC!$F:$F,"Xuất nội bộ từ téc",DATA_GOC!$B:$B,"&gt;="&amp;$D6938,DATA_GOC!$B:$B,"&lt;="&amp;$E6938))</f>
        <v/>
      </c>
      <c r="J6938" s="59">
        <f t="shared" si="28"/>
        <v>0</v>
      </c>
      <c r="K6938" s="59">
        <f t="shared" si="29"/>
        <v>0</v>
      </c>
      <c r="L6938" s="59">
        <f t="shared" si="30"/>
        <v>0</v>
      </c>
      <c r="M6938" s="59">
        <f t="shared" si="31"/>
        <v>0</v>
      </c>
    </row>
    <row r="6939" ht="15.0" hidden="1" customHeight="1">
      <c r="A6939" s="59">
        <f t="shared" si="20"/>
        <v>112</v>
      </c>
      <c r="B6939" s="59" t="str">
        <f t="shared" si="21"/>
        <v/>
      </c>
      <c r="C6939" s="59" t="str">
        <f t="shared" si="22"/>
        <v/>
      </c>
      <c r="D6939" s="45" t="str">
        <f t="shared" si="23"/>
        <v/>
      </c>
      <c r="E6939" s="45" t="str">
        <f t="shared" si="24"/>
        <v/>
      </c>
      <c r="F6939" s="59" t="str">
        <f t="shared" si="25"/>
        <v/>
      </c>
      <c r="G6939" s="59" t="str">
        <f t="shared" si="26"/>
        <v/>
      </c>
      <c r="H6939" s="59" t="str">
        <f t="shared" si="27"/>
        <v>Công trình Asphalt</v>
      </c>
      <c r="I6939" s="59" t="str">
        <f>IF(OR($A6939="",$C6939="",$D6939="",$E6939="",$H6939=""),"",SUMIFS(DATA_GOC!$H:$H,DATA_GOC!$A:$A,"BOM",DATA_GOC!$D:$D,$H6939,DATA_GOC!$E:$E,$C6939,DATA_GOC!$F:$F,"Xuất nội bộ từ téc",DATA_GOC!$B:$B,"&gt;="&amp;$D6939,DATA_GOC!$B:$B,"&lt;="&amp;$E6939))</f>
        <v/>
      </c>
      <c r="J6939" s="59">
        <f t="shared" si="28"/>
        <v>0</v>
      </c>
      <c r="K6939" s="59">
        <f t="shared" si="29"/>
        <v>0</v>
      </c>
      <c r="L6939" s="59">
        <f t="shared" si="30"/>
        <v>0</v>
      </c>
      <c r="M6939" s="59">
        <f t="shared" si="31"/>
        <v>0</v>
      </c>
    </row>
    <row r="6940" ht="15.0" hidden="1" customHeight="1">
      <c r="A6940" s="59">
        <f t="shared" si="20"/>
        <v>112</v>
      </c>
      <c r="B6940" s="59" t="str">
        <f t="shared" si="21"/>
        <v/>
      </c>
      <c r="C6940" s="59" t="str">
        <f t="shared" si="22"/>
        <v/>
      </c>
      <c r="D6940" s="45" t="str">
        <f t="shared" si="23"/>
        <v/>
      </c>
      <c r="E6940" s="45" t="str">
        <f t="shared" si="24"/>
        <v/>
      </c>
      <c r="F6940" s="59" t="str">
        <f t="shared" si="25"/>
        <v/>
      </c>
      <c r="G6940" s="59" t="str">
        <f t="shared" si="26"/>
        <v/>
      </c>
      <c r="H6940" s="59" t="str">
        <f t="shared" si="27"/>
        <v>LG53F</v>
      </c>
      <c r="I6940" s="59" t="str">
        <f>IF(OR($A6940="",$C6940="",$D6940="",$E6940="",$H6940=""),"",SUMIFS(DATA_GOC!$H:$H,DATA_GOC!$A:$A,"BOM",DATA_GOC!$D:$D,$H6940,DATA_GOC!$E:$E,$C6940,DATA_GOC!$F:$F,"Xuất nội bộ từ téc",DATA_GOC!$B:$B,"&gt;="&amp;$D6940,DATA_GOC!$B:$B,"&lt;="&amp;$E6940))</f>
        <v/>
      </c>
      <c r="J6940" s="59">
        <f t="shared" si="28"/>
        <v>0</v>
      </c>
      <c r="K6940" s="59">
        <f t="shared" si="29"/>
        <v>0</v>
      </c>
      <c r="L6940" s="59">
        <f t="shared" si="30"/>
        <v>0</v>
      </c>
      <c r="M6940" s="59">
        <f t="shared" si="31"/>
        <v>0</v>
      </c>
    </row>
    <row r="6941" ht="15.0" hidden="1" customHeight="1">
      <c r="A6941" s="59">
        <f t="shared" si="20"/>
        <v>112</v>
      </c>
      <c r="B6941" s="59" t="str">
        <f t="shared" si="21"/>
        <v/>
      </c>
      <c r="C6941" s="59" t="str">
        <f t="shared" si="22"/>
        <v/>
      </c>
      <c r="D6941" s="45" t="str">
        <f t="shared" si="23"/>
        <v/>
      </c>
      <c r="E6941" s="45" t="str">
        <f t="shared" si="24"/>
        <v/>
      </c>
      <c r="F6941" s="59" t="str">
        <f t="shared" si="25"/>
        <v/>
      </c>
      <c r="G6941" s="59" t="str">
        <f t="shared" si="26"/>
        <v/>
      </c>
      <c r="H6941" s="59" t="str">
        <f t="shared" si="27"/>
        <v>Máy phát điện</v>
      </c>
      <c r="I6941" s="59" t="str">
        <f>IF(OR($A6941="",$C6941="",$D6941="",$E6941="",$H6941=""),"",SUMIFS(DATA_GOC!$H:$H,DATA_GOC!$A:$A,"BOM",DATA_GOC!$D:$D,$H6941,DATA_GOC!$E:$E,$C6941,DATA_GOC!$F:$F,"Xuất nội bộ từ téc",DATA_GOC!$B:$B,"&gt;="&amp;$D6941,DATA_GOC!$B:$B,"&lt;="&amp;$E6941))</f>
        <v/>
      </c>
      <c r="J6941" s="59">
        <f t="shared" si="28"/>
        <v>0</v>
      </c>
      <c r="K6941" s="59">
        <f t="shared" si="29"/>
        <v>0</v>
      </c>
      <c r="L6941" s="59">
        <f t="shared" si="30"/>
        <v>0</v>
      </c>
      <c r="M6941" s="59">
        <f t="shared" si="31"/>
        <v>0</v>
      </c>
    </row>
    <row r="6942" ht="15.0" hidden="1" customHeight="1">
      <c r="A6942" s="59">
        <f t="shared" si="20"/>
        <v>112</v>
      </c>
      <c r="B6942" s="59" t="str">
        <f t="shared" si="21"/>
        <v/>
      </c>
      <c r="C6942" s="59" t="str">
        <f t="shared" si="22"/>
        <v/>
      </c>
      <c r="D6942" s="45" t="str">
        <f t="shared" si="23"/>
        <v/>
      </c>
      <c r="E6942" s="45" t="str">
        <f t="shared" si="24"/>
        <v/>
      </c>
      <c r="F6942" s="59" t="str">
        <f t="shared" si="25"/>
        <v/>
      </c>
      <c r="G6942" s="59" t="str">
        <f t="shared" si="26"/>
        <v/>
      </c>
      <c r="H6942" s="59" t="str">
        <f t="shared" si="27"/>
        <v>Máy rải thảm</v>
      </c>
      <c r="I6942" s="59" t="str">
        <f>IF(OR($A6942="",$C6942="",$D6942="",$E6942="",$H6942=""),"",SUMIFS(DATA_GOC!$H:$H,DATA_GOC!$A:$A,"BOM",DATA_GOC!$D:$D,$H6942,DATA_GOC!$E:$E,$C6942,DATA_GOC!$F:$F,"Xuất nội bộ từ téc",DATA_GOC!$B:$B,"&gt;="&amp;$D6942,DATA_GOC!$B:$B,"&lt;="&amp;$E6942))</f>
        <v/>
      </c>
      <c r="J6942" s="59">
        <f t="shared" si="28"/>
        <v>0</v>
      </c>
      <c r="K6942" s="59">
        <f t="shared" si="29"/>
        <v>0</v>
      </c>
      <c r="L6942" s="59">
        <f t="shared" si="30"/>
        <v>0</v>
      </c>
      <c r="M6942" s="59">
        <f t="shared" si="31"/>
        <v>0</v>
      </c>
    </row>
    <row r="6943" ht="15.0" hidden="1" customHeight="1">
      <c r="A6943" s="59">
        <f t="shared" si="20"/>
        <v>112</v>
      </c>
      <c r="B6943" s="59" t="str">
        <f t="shared" si="21"/>
        <v/>
      </c>
      <c r="C6943" s="59" t="str">
        <f t="shared" si="22"/>
        <v/>
      </c>
      <c r="D6943" s="45" t="str">
        <f t="shared" si="23"/>
        <v/>
      </c>
      <c r="E6943" s="45" t="str">
        <f t="shared" si="24"/>
        <v/>
      </c>
      <c r="F6943" s="59" t="str">
        <f t="shared" si="25"/>
        <v/>
      </c>
      <c r="G6943" s="59" t="str">
        <f t="shared" si="26"/>
        <v/>
      </c>
      <c r="H6943" s="59" t="str">
        <f t="shared" si="27"/>
        <v>Xúc Đào</v>
      </c>
      <c r="I6943" s="59" t="str">
        <f>IF(OR($A6943="",$C6943="",$D6943="",$E6943="",$H6943=""),"",SUMIFS(DATA_GOC!$H:$H,DATA_GOC!$A:$A,"BOM",DATA_GOC!$D:$D,$H6943,DATA_GOC!$E:$E,$C6943,DATA_GOC!$F:$F,"Xuất nội bộ từ téc",DATA_GOC!$B:$B,"&gt;="&amp;$D6943,DATA_GOC!$B:$B,"&lt;="&amp;$E6943))</f>
        <v/>
      </c>
      <c r="J6943" s="59">
        <f t="shared" si="28"/>
        <v>0</v>
      </c>
      <c r="K6943" s="59">
        <f t="shared" si="29"/>
        <v>0</v>
      </c>
      <c r="L6943" s="59">
        <f t="shared" si="30"/>
        <v>0</v>
      </c>
      <c r="M6943" s="59">
        <f t="shared" si="31"/>
        <v>0</v>
      </c>
    </row>
    <row r="6944" ht="15.0" hidden="1" customHeight="1">
      <c r="A6944" s="59">
        <f t="shared" si="20"/>
        <v>112</v>
      </c>
      <c r="B6944" s="59" t="str">
        <f t="shared" si="21"/>
        <v/>
      </c>
      <c r="C6944" s="59" t="str">
        <f t="shared" si="22"/>
        <v/>
      </c>
      <c r="D6944" s="45" t="str">
        <f t="shared" si="23"/>
        <v/>
      </c>
      <c r="E6944" s="45" t="str">
        <f t="shared" si="24"/>
        <v/>
      </c>
      <c r="F6944" s="59" t="str">
        <f t="shared" si="25"/>
        <v/>
      </c>
      <c r="G6944" s="59" t="str">
        <f t="shared" si="26"/>
        <v/>
      </c>
      <c r="H6944" s="59" t="str">
        <f t="shared" si="27"/>
        <v>Xúclật asphalt</v>
      </c>
      <c r="I6944" s="59" t="str">
        <f>IF(OR($A6944="",$C6944="",$D6944="",$E6944="",$H6944=""),"",SUMIFS(DATA_GOC!$H:$H,DATA_GOC!$A:$A,"BOM",DATA_GOC!$D:$D,$H6944,DATA_GOC!$E:$E,$C6944,DATA_GOC!$F:$F,"Xuất nội bộ từ téc",DATA_GOC!$B:$B,"&gt;="&amp;$D6944,DATA_GOC!$B:$B,"&lt;="&amp;$E6944))</f>
        <v/>
      </c>
      <c r="J6944" s="59">
        <f t="shared" si="28"/>
        <v>0</v>
      </c>
      <c r="K6944" s="59">
        <f t="shared" si="29"/>
        <v>0</v>
      </c>
      <c r="L6944" s="59">
        <f t="shared" si="30"/>
        <v>0</v>
      </c>
      <c r="M6944" s="59">
        <f t="shared" si="31"/>
        <v>0</v>
      </c>
    </row>
    <row r="6945" ht="15.0" hidden="1" customHeight="1">
      <c r="A6945" s="59">
        <f t="shared" si="20"/>
        <v>112</v>
      </c>
      <c r="B6945" s="59" t="str">
        <f t="shared" si="21"/>
        <v/>
      </c>
      <c r="C6945" s="59" t="str">
        <f t="shared" si="22"/>
        <v/>
      </c>
      <c r="D6945" s="45" t="str">
        <f t="shared" si="23"/>
        <v/>
      </c>
      <c r="E6945" s="45" t="str">
        <f t="shared" si="24"/>
        <v/>
      </c>
      <c r="F6945" s="59" t="str">
        <f t="shared" si="25"/>
        <v/>
      </c>
      <c r="G6945" s="59" t="str">
        <f t="shared" si="26"/>
        <v/>
      </c>
      <c r="H6945" s="59" t="str">
        <f t="shared" si="27"/>
        <v>Xúclật855H</v>
      </c>
      <c r="I6945" s="59" t="str">
        <f>IF(OR($A6945="",$C6945="",$D6945="",$E6945="",$H6945=""),"",SUMIFS(DATA_GOC!$H:$H,DATA_GOC!$A:$A,"BOM",DATA_GOC!$D:$D,$H6945,DATA_GOC!$E:$E,$C6945,DATA_GOC!$F:$F,"Xuất nội bộ từ téc",DATA_GOC!$B:$B,"&gt;="&amp;$D6945,DATA_GOC!$B:$B,"&lt;="&amp;$E6945))</f>
        <v/>
      </c>
      <c r="J6945" s="59">
        <f t="shared" si="28"/>
        <v>0</v>
      </c>
      <c r="K6945" s="59">
        <f t="shared" si="29"/>
        <v>0</v>
      </c>
      <c r="L6945" s="59">
        <f t="shared" si="30"/>
        <v>0</v>
      </c>
      <c r="M6945" s="59">
        <f t="shared" si="31"/>
        <v>0</v>
      </c>
    </row>
    <row r="6946" ht="15.0" hidden="1" customHeight="1">
      <c r="A6946" s="59">
        <f t="shared" si="20"/>
        <v>112</v>
      </c>
      <c r="B6946" s="59" t="str">
        <f t="shared" si="21"/>
        <v/>
      </c>
      <c r="C6946" s="59" t="str">
        <f t="shared" si="22"/>
        <v/>
      </c>
      <c r="D6946" s="45" t="str">
        <f t="shared" si="23"/>
        <v/>
      </c>
      <c r="E6946" s="45" t="str">
        <f t="shared" si="24"/>
        <v/>
      </c>
      <c r="F6946" s="59" t="str">
        <f t="shared" si="25"/>
        <v/>
      </c>
      <c r="G6946" s="59" t="str">
        <f t="shared" si="26"/>
        <v/>
      </c>
      <c r="H6946" s="59" t="str">
        <f t="shared" si="27"/>
        <v>Xúclật855N</v>
      </c>
      <c r="I6946" s="59" t="str">
        <f>IF(OR($A6946="",$C6946="",$D6946="",$E6946="",$H6946=""),"",SUMIFS(DATA_GOC!$H:$H,DATA_GOC!$A:$A,"BOM",DATA_GOC!$D:$D,$H6946,DATA_GOC!$E:$E,$C6946,DATA_GOC!$F:$F,"Xuất nội bộ từ téc",DATA_GOC!$B:$B,"&gt;="&amp;$D6946,DATA_GOC!$B:$B,"&lt;="&amp;$E6946))</f>
        <v/>
      </c>
      <c r="J6946" s="59">
        <f t="shared" si="28"/>
        <v>0</v>
      </c>
      <c r="K6946" s="59">
        <f t="shared" si="29"/>
        <v>0</v>
      </c>
      <c r="L6946" s="59">
        <f t="shared" si="30"/>
        <v>0</v>
      </c>
      <c r="M6946" s="59">
        <f t="shared" si="31"/>
        <v>0</v>
      </c>
    </row>
    <row r="6947" ht="15.0" hidden="1" customHeight="1">
      <c r="A6947" s="59">
        <f t="shared" si="20"/>
        <v>112</v>
      </c>
      <c r="B6947" s="59" t="str">
        <f t="shared" si="21"/>
        <v/>
      </c>
      <c r="C6947" s="59" t="str">
        <f t="shared" si="22"/>
        <v/>
      </c>
      <c r="D6947" s="45" t="str">
        <f t="shared" si="23"/>
        <v/>
      </c>
      <c r="E6947" s="45" t="str">
        <f t="shared" si="24"/>
        <v/>
      </c>
      <c r="F6947" s="59" t="str">
        <f t="shared" si="25"/>
        <v/>
      </c>
      <c r="G6947" s="59" t="str">
        <f t="shared" si="26"/>
        <v/>
      </c>
      <c r="H6947" s="59" t="str">
        <f t="shared" si="27"/>
        <v>Cát nghiền</v>
      </c>
      <c r="I6947" s="59" t="str">
        <f>IF(OR($A6947="",$C6947="",$D6947="",$E6947="",$H6947=""),"",SUMIFS(DATA_GOC!$H:$H,DATA_GOC!$A:$A,"BOM",DATA_GOC!$D:$D,$H6947,DATA_GOC!$E:$E,$C6947,DATA_GOC!$F:$F,"Xuất nội bộ từ téc",DATA_GOC!$B:$B,"&gt;="&amp;$D6947,DATA_GOC!$B:$B,"&lt;="&amp;$E6947))</f>
        <v/>
      </c>
      <c r="J6947" s="59">
        <f t="shared" si="28"/>
        <v>0</v>
      </c>
      <c r="K6947" s="59">
        <f t="shared" si="29"/>
        <v>0</v>
      </c>
      <c r="L6947" s="59">
        <f t="shared" si="30"/>
        <v>0</v>
      </c>
      <c r="M6947" s="59">
        <f t="shared" si="31"/>
        <v>0</v>
      </c>
    </row>
    <row r="6948" ht="15.0" hidden="1" customHeight="1">
      <c r="A6948" s="59">
        <f t="shared" si="20"/>
        <v>112</v>
      </c>
      <c r="B6948" s="59" t="str">
        <f t="shared" si="21"/>
        <v/>
      </c>
      <c r="C6948" s="59" t="str">
        <f t="shared" si="22"/>
        <v/>
      </c>
      <c r="D6948" s="45" t="str">
        <f t="shared" si="23"/>
        <v/>
      </c>
      <c r="E6948" s="45" t="str">
        <f t="shared" si="24"/>
        <v/>
      </c>
      <c r="F6948" s="59" t="str">
        <f t="shared" si="25"/>
        <v/>
      </c>
      <c r="G6948" s="59" t="str">
        <f t="shared" si="26"/>
        <v/>
      </c>
      <c r="H6948" s="59" t="str">
        <f t="shared" si="27"/>
        <v>28C02973</v>
      </c>
      <c r="I6948" s="59" t="str">
        <f>IF(OR($A6948="",$C6948="",$D6948="",$E6948="",$H6948=""),"",SUMIFS(DATA_GOC!$H:$H,DATA_GOC!$A:$A,"BOM",DATA_GOC!$D:$D,$H6948,DATA_GOC!$E:$E,$C6948,DATA_GOC!$F:$F,"Xuất nội bộ từ téc",DATA_GOC!$B:$B,"&gt;="&amp;$D6948,DATA_GOC!$B:$B,"&lt;="&amp;$E6948))</f>
        <v/>
      </c>
      <c r="J6948" s="59">
        <f t="shared" si="28"/>
        <v>0</v>
      </c>
      <c r="K6948" s="59">
        <f t="shared" si="29"/>
        <v>0</v>
      </c>
      <c r="L6948" s="59">
        <f t="shared" si="30"/>
        <v>0</v>
      </c>
      <c r="M6948" s="59">
        <f t="shared" si="31"/>
        <v>0</v>
      </c>
    </row>
    <row r="6949" ht="15.0" hidden="1" customHeight="1">
      <c r="A6949" s="59">
        <f t="shared" si="20"/>
        <v>112</v>
      </c>
      <c r="B6949" s="59" t="str">
        <f t="shared" si="21"/>
        <v/>
      </c>
      <c r="C6949" s="59" t="str">
        <f t="shared" si="22"/>
        <v/>
      </c>
      <c r="D6949" s="45" t="str">
        <f t="shared" si="23"/>
        <v/>
      </c>
      <c r="E6949" s="45" t="str">
        <f t="shared" si="24"/>
        <v/>
      </c>
      <c r="F6949" s="59" t="str">
        <f t="shared" si="25"/>
        <v/>
      </c>
      <c r="G6949" s="59" t="str">
        <f t="shared" si="26"/>
        <v/>
      </c>
      <c r="H6949" s="59" t="str">
        <f t="shared" si="27"/>
        <v>28C03044</v>
      </c>
      <c r="I6949" s="59" t="str">
        <f>IF(OR($A6949="",$C6949="",$D6949="",$E6949="",$H6949=""),"",SUMIFS(DATA_GOC!$H:$H,DATA_GOC!$A:$A,"BOM",DATA_GOC!$D:$D,$H6949,DATA_GOC!$E:$E,$C6949,DATA_GOC!$F:$F,"Xuất nội bộ từ téc",DATA_GOC!$B:$B,"&gt;="&amp;$D6949,DATA_GOC!$B:$B,"&lt;="&amp;$E6949))</f>
        <v/>
      </c>
      <c r="J6949" s="59">
        <f t="shared" si="28"/>
        <v>0</v>
      </c>
      <c r="K6949" s="59">
        <f t="shared" si="29"/>
        <v>0</v>
      </c>
      <c r="L6949" s="59">
        <f t="shared" si="30"/>
        <v>0</v>
      </c>
      <c r="M6949" s="59">
        <f t="shared" si="31"/>
        <v>0</v>
      </c>
    </row>
    <row r="6950" ht="15.0" hidden="1" customHeight="1">
      <c r="A6950" s="59">
        <f t="shared" si="20"/>
        <v>112</v>
      </c>
      <c r="B6950" s="59" t="str">
        <f t="shared" si="21"/>
        <v/>
      </c>
      <c r="C6950" s="59" t="str">
        <f t="shared" si="22"/>
        <v/>
      </c>
      <c r="D6950" s="45" t="str">
        <f t="shared" si="23"/>
        <v/>
      </c>
      <c r="E6950" s="45" t="str">
        <f t="shared" si="24"/>
        <v/>
      </c>
      <c r="F6950" s="59" t="str">
        <f t="shared" si="25"/>
        <v/>
      </c>
      <c r="G6950" s="59" t="str">
        <f t="shared" si="26"/>
        <v/>
      </c>
      <c r="H6950" s="59" t="str">
        <f t="shared" si="27"/>
        <v>Máy lu lốp</v>
      </c>
      <c r="I6950" s="59" t="str">
        <f>IF(OR($A6950="",$C6950="",$D6950="",$E6950="",$H6950=""),"",SUMIFS(DATA_GOC!$H:$H,DATA_GOC!$A:$A,"BOM",DATA_GOC!$D:$D,$H6950,DATA_GOC!$E:$E,$C6950,DATA_GOC!$F:$F,"Xuất nội bộ từ téc",DATA_GOC!$B:$B,"&gt;="&amp;$D6950,DATA_GOC!$B:$B,"&lt;="&amp;$E6950))</f>
        <v/>
      </c>
      <c r="J6950" s="59">
        <f t="shared" si="28"/>
        <v>0</v>
      </c>
      <c r="K6950" s="59">
        <f t="shared" si="29"/>
        <v>0</v>
      </c>
      <c r="L6950" s="59">
        <f t="shared" si="30"/>
        <v>0</v>
      </c>
      <c r="M6950" s="59">
        <f t="shared" si="31"/>
        <v>0</v>
      </c>
    </row>
    <row r="6951" ht="15.0" hidden="1" customHeight="1">
      <c r="A6951" s="59">
        <f t="shared" si="20"/>
        <v>112</v>
      </c>
      <c r="B6951" s="59" t="str">
        <f t="shared" si="21"/>
        <v/>
      </c>
      <c r="C6951" s="59" t="str">
        <f t="shared" si="22"/>
        <v/>
      </c>
      <c r="D6951" s="45" t="str">
        <f t="shared" si="23"/>
        <v/>
      </c>
      <c r="E6951" s="45" t="str">
        <f t="shared" si="24"/>
        <v/>
      </c>
      <c r="F6951" s="59" t="str">
        <f t="shared" si="25"/>
        <v/>
      </c>
      <c r="G6951" s="59" t="str">
        <f t="shared" si="26"/>
        <v/>
      </c>
      <c r="H6951" s="59" t="str">
        <f t="shared" si="27"/>
        <v>Xe 600148</v>
      </c>
      <c r="I6951" s="59" t="str">
        <f>IF(OR($A6951="",$C6951="",$D6951="",$E6951="",$H6951=""),"",SUMIFS(DATA_GOC!$H:$H,DATA_GOC!$A:$A,"BOM",DATA_GOC!$D:$D,$H6951,DATA_GOC!$E:$E,$C6951,DATA_GOC!$F:$F,"Xuất nội bộ từ téc",DATA_GOC!$B:$B,"&gt;="&amp;$D6951,DATA_GOC!$B:$B,"&lt;="&amp;$E6951))</f>
        <v/>
      </c>
      <c r="J6951" s="59">
        <f t="shared" si="28"/>
        <v>0</v>
      </c>
      <c r="K6951" s="59">
        <f t="shared" si="29"/>
        <v>0</v>
      </c>
      <c r="L6951" s="59">
        <f t="shared" si="30"/>
        <v>0</v>
      </c>
      <c r="M6951" s="59">
        <f t="shared" si="31"/>
        <v>0</v>
      </c>
    </row>
    <row r="6952" ht="15.0" hidden="1" customHeight="1">
      <c r="A6952" s="59">
        <f t="shared" si="20"/>
        <v>112</v>
      </c>
      <c r="B6952" s="59" t="str">
        <f t="shared" si="21"/>
        <v/>
      </c>
      <c r="C6952" s="59" t="str">
        <f t="shared" si="22"/>
        <v/>
      </c>
      <c r="D6952" s="45" t="str">
        <f t="shared" si="23"/>
        <v/>
      </c>
      <c r="E6952" s="45" t="str">
        <f t="shared" si="24"/>
        <v/>
      </c>
      <c r="F6952" s="59" t="str">
        <f t="shared" si="25"/>
        <v/>
      </c>
      <c r="G6952" s="59" t="str">
        <f t="shared" si="26"/>
        <v/>
      </c>
      <c r="H6952" s="59" t="str">
        <f t="shared" si="27"/>
        <v>Xe ben mới</v>
      </c>
      <c r="I6952" s="59" t="str">
        <f>IF(OR($A6952="",$C6952="",$D6952="",$E6952="",$H6952=""),"",SUMIFS(DATA_GOC!$H:$H,DATA_GOC!$A:$A,"BOM",DATA_GOC!$D:$D,$H6952,DATA_GOC!$E:$E,$C6952,DATA_GOC!$F:$F,"Xuất nội bộ từ téc",DATA_GOC!$B:$B,"&gt;="&amp;$D6952,DATA_GOC!$B:$B,"&lt;="&amp;$E6952))</f>
        <v/>
      </c>
      <c r="J6952" s="59">
        <f t="shared" si="28"/>
        <v>0</v>
      </c>
      <c r="K6952" s="59">
        <f t="shared" si="29"/>
        <v>0</v>
      </c>
      <c r="L6952" s="59">
        <f t="shared" si="30"/>
        <v>0</v>
      </c>
      <c r="M6952" s="59">
        <f t="shared" si="31"/>
        <v>0</v>
      </c>
    </row>
    <row r="6953" ht="15.0" hidden="1" customHeight="1">
      <c r="A6953" s="59">
        <f t="shared" si="20"/>
        <v>113</v>
      </c>
      <c r="B6953" s="59" t="str">
        <f t="shared" si="21"/>
        <v/>
      </c>
      <c r="C6953" s="59" t="str">
        <f t="shared" si="22"/>
        <v/>
      </c>
      <c r="D6953" s="45" t="str">
        <f t="shared" si="23"/>
        <v/>
      </c>
      <c r="E6953" s="45" t="str">
        <f t="shared" si="24"/>
        <v/>
      </c>
      <c r="F6953" s="59" t="str">
        <f t="shared" si="25"/>
        <v/>
      </c>
      <c r="G6953" s="59" t="str">
        <f t="shared" si="26"/>
        <v/>
      </c>
      <c r="H6953" s="59" t="str">
        <f t="shared" si="27"/>
        <v>19H09482</v>
      </c>
      <c r="I6953" s="59" t="str">
        <f>IF(OR($A6953="",$C6953="",$D6953="",$E6953="",$H6953=""),"",SUMIFS(DATA_GOC!$H:$H,DATA_GOC!$A:$A,"BOM",DATA_GOC!$D:$D,$H6953,DATA_GOC!$E:$E,$C6953,DATA_GOC!$F:$F,"Xuất nội bộ từ téc",DATA_GOC!$B:$B,"&gt;="&amp;$D6953,DATA_GOC!$B:$B,"&lt;="&amp;$E6953))</f>
        <v/>
      </c>
      <c r="J6953" s="59">
        <f t="shared" si="28"/>
        <v>0</v>
      </c>
      <c r="K6953" s="59">
        <f t="shared" si="29"/>
        <v>0</v>
      </c>
      <c r="L6953" s="59">
        <f t="shared" si="30"/>
        <v>0</v>
      </c>
      <c r="M6953" s="59">
        <f t="shared" si="31"/>
        <v>0</v>
      </c>
    </row>
    <row r="6954" ht="15.0" hidden="1" customHeight="1">
      <c r="A6954" s="59">
        <f t="shared" si="20"/>
        <v>113</v>
      </c>
      <c r="B6954" s="59" t="str">
        <f t="shared" si="21"/>
        <v/>
      </c>
      <c r="C6954" s="59" t="str">
        <f t="shared" si="22"/>
        <v/>
      </c>
      <c r="D6954" s="45" t="str">
        <f t="shared" si="23"/>
        <v/>
      </c>
      <c r="E6954" s="45" t="str">
        <f t="shared" si="24"/>
        <v/>
      </c>
      <c r="F6954" s="59" t="str">
        <f t="shared" si="25"/>
        <v/>
      </c>
      <c r="G6954" s="59" t="str">
        <f t="shared" si="26"/>
        <v/>
      </c>
      <c r="H6954" s="59" t="str">
        <f t="shared" si="27"/>
        <v>28A30696</v>
      </c>
      <c r="I6954" s="59" t="str">
        <f>IF(OR($A6954="",$C6954="",$D6954="",$E6954="",$H6954=""),"",SUMIFS(DATA_GOC!$H:$H,DATA_GOC!$A:$A,"BOM",DATA_GOC!$D:$D,$H6954,DATA_GOC!$E:$E,$C6954,DATA_GOC!$F:$F,"Xuất nội bộ từ téc",DATA_GOC!$B:$B,"&gt;="&amp;$D6954,DATA_GOC!$B:$B,"&lt;="&amp;$E6954))</f>
        <v/>
      </c>
      <c r="J6954" s="59">
        <f t="shared" si="28"/>
        <v>0</v>
      </c>
      <c r="K6954" s="59">
        <f t="shared" si="29"/>
        <v>0</v>
      </c>
      <c r="L6954" s="59">
        <f t="shared" si="30"/>
        <v>0</v>
      </c>
      <c r="M6954" s="59">
        <f t="shared" si="31"/>
        <v>0</v>
      </c>
    </row>
    <row r="6955" ht="15.0" hidden="1" customHeight="1">
      <c r="A6955" s="59">
        <f t="shared" si="20"/>
        <v>113</v>
      </c>
      <c r="B6955" s="59" t="str">
        <f t="shared" si="21"/>
        <v/>
      </c>
      <c r="C6955" s="59" t="str">
        <f t="shared" si="22"/>
        <v/>
      </c>
      <c r="D6955" s="45" t="str">
        <f t="shared" si="23"/>
        <v/>
      </c>
      <c r="E6955" s="45" t="str">
        <f t="shared" si="24"/>
        <v/>
      </c>
      <c r="F6955" s="59" t="str">
        <f t="shared" si="25"/>
        <v/>
      </c>
      <c r="G6955" s="59" t="str">
        <f t="shared" si="26"/>
        <v/>
      </c>
      <c r="H6955" s="59" t="str">
        <f t="shared" si="27"/>
        <v>28C00462</v>
      </c>
      <c r="I6955" s="59" t="str">
        <f>IF(OR($A6955="",$C6955="",$D6955="",$E6955="",$H6955=""),"",SUMIFS(DATA_GOC!$H:$H,DATA_GOC!$A:$A,"BOM",DATA_GOC!$D:$D,$H6955,DATA_GOC!$E:$E,$C6955,DATA_GOC!$F:$F,"Xuất nội bộ từ téc",DATA_GOC!$B:$B,"&gt;="&amp;$D6955,DATA_GOC!$B:$B,"&lt;="&amp;$E6955))</f>
        <v/>
      </c>
      <c r="J6955" s="59">
        <f t="shared" si="28"/>
        <v>0</v>
      </c>
      <c r="K6955" s="59">
        <f t="shared" si="29"/>
        <v>0</v>
      </c>
      <c r="L6955" s="59">
        <f t="shared" si="30"/>
        <v>0</v>
      </c>
      <c r="M6955" s="59">
        <f t="shared" si="31"/>
        <v>0</v>
      </c>
    </row>
    <row r="6956" ht="15.0" hidden="1" customHeight="1">
      <c r="A6956" s="59">
        <f t="shared" si="20"/>
        <v>113</v>
      </c>
      <c r="B6956" s="59" t="str">
        <f t="shared" si="21"/>
        <v/>
      </c>
      <c r="C6956" s="59" t="str">
        <f t="shared" si="22"/>
        <v/>
      </c>
      <c r="D6956" s="45" t="str">
        <f t="shared" si="23"/>
        <v/>
      </c>
      <c r="E6956" s="45" t="str">
        <f t="shared" si="24"/>
        <v/>
      </c>
      <c r="F6956" s="59" t="str">
        <f t="shared" si="25"/>
        <v/>
      </c>
      <c r="G6956" s="59" t="str">
        <f t="shared" si="26"/>
        <v/>
      </c>
      <c r="H6956" s="59" t="str">
        <f t="shared" si="27"/>
        <v>28C01165</v>
      </c>
      <c r="I6956" s="59" t="str">
        <f>IF(OR($A6956="",$C6956="",$D6956="",$E6956="",$H6956=""),"",SUMIFS(DATA_GOC!$H:$H,DATA_GOC!$A:$A,"BOM",DATA_GOC!$D:$D,$H6956,DATA_GOC!$E:$E,$C6956,DATA_GOC!$F:$F,"Xuất nội bộ từ téc",DATA_GOC!$B:$B,"&gt;="&amp;$D6956,DATA_GOC!$B:$B,"&lt;="&amp;$E6956))</f>
        <v/>
      </c>
      <c r="J6956" s="59">
        <f t="shared" si="28"/>
        <v>0</v>
      </c>
      <c r="K6956" s="59">
        <f t="shared" si="29"/>
        <v>0</v>
      </c>
      <c r="L6956" s="59">
        <f t="shared" si="30"/>
        <v>0</v>
      </c>
      <c r="M6956" s="59">
        <f t="shared" si="31"/>
        <v>0</v>
      </c>
    </row>
    <row r="6957" ht="15.0" hidden="1" customHeight="1">
      <c r="A6957" s="59">
        <f t="shared" si="20"/>
        <v>113</v>
      </c>
      <c r="B6957" s="59" t="str">
        <f t="shared" si="21"/>
        <v/>
      </c>
      <c r="C6957" s="59" t="str">
        <f t="shared" si="22"/>
        <v/>
      </c>
      <c r="D6957" s="45" t="str">
        <f t="shared" si="23"/>
        <v/>
      </c>
      <c r="E6957" s="45" t="str">
        <f t="shared" si="24"/>
        <v/>
      </c>
      <c r="F6957" s="59" t="str">
        <f t="shared" si="25"/>
        <v/>
      </c>
      <c r="G6957" s="59" t="str">
        <f t="shared" si="26"/>
        <v/>
      </c>
      <c r="H6957" s="59" t="str">
        <f t="shared" si="27"/>
        <v>28C01406</v>
      </c>
      <c r="I6957" s="59" t="str">
        <f>IF(OR($A6957="",$C6957="",$D6957="",$E6957="",$H6957=""),"",SUMIFS(DATA_GOC!$H:$H,DATA_GOC!$A:$A,"BOM",DATA_GOC!$D:$D,$H6957,DATA_GOC!$E:$E,$C6957,DATA_GOC!$F:$F,"Xuất nội bộ từ téc",DATA_GOC!$B:$B,"&gt;="&amp;$D6957,DATA_GOC!$B:$B,"&lt;="&amp;$E6957))</f>
        <v/>
      </c>
      <c r="J6957" s="59">
        <f t="shared" si="28"/>
        <v>0</v>
      </c>
      <c r="K6957" s="59">
        <f t="shared" si="29"/>
        <v>0</v>
      </c>
      <c r="L6957" s="59">
        <f t="shared" si="30"/>
        <v>0</v>
      </c>
      <c r="M6957" s="59">
        <f t="shared" si="31"/>
        <v>0</v>
      </c>
    </row>
    <row r="6958" ht="15.0" hidden="1" customHeight="1">
      <c r="A6958" s="59">
        <f t="shared" si="20"/>
        <v>113</v>
      </c>
      <c r="B6958" s="59" t="str">
        <f t="shared" si="21"/>
        <v/>
      </c>
      <c r="C6958" s="59" t="str">
        <f t="shared" si="22"/>
        <v/>
      </c>
      <c r="D6958" s="45" t="str">
        <f t="shared" si="23"/>
        <v/>
      </c>
      <c r="E6958" s="45" t="str">
        <f t="shared" si="24"/>
        <v/>
      </c>
      <c r="F6958" s="59" t="str">
        <f t="shared" si="25"/>
        <v/>
      </c>
      <c r="G6958" s="59" t="str">
        <f t="shared" si="26"/>
        <v/>
      </c>
      <c r="H6958" s="59" t="str">
        <f t="shared" si="27"/>
        <v>28C01544</v>
      </c>
      <c r="I6958" s="59" t="str">
        <f>IF(OR($A6958="",$C6958="",$D6958="",$E6958="",$H6958=""),"",SUMIFS(DATA_GOC!$H:$H,DATA_GOC!$A:$A,"BOM",DATA_GOC!$D:$D,$H6958,DATA_GOC!$E:$E,$C6958,DATA_GOC!$F:$F,"Xuất nội bộ từ téc",DATA_GOC!$B:$B,"&gt;="&amp;$D6958,DATA_GOC!$B:$B,"&lt;="&amp;$E6958))</f>
        <v/>
      </c>
      <c r="J6958" s="59">
        <f t="shared" si="28"/>
        <v>0</v>
      </c>
      <c r="K6958" s="59">
        <f t="shared" si="29"/>
        <v>0</v>
      </c>
      <c r="L6958" s="59">
        <f t="shared" si="30"/>
        <v>0</v>
      </c>
      <c r="M6958" s="59">
        <f t="shared" si="31"/>
        <v>0</v>
      </c>
    </row>
    <row r="6959" ht="15.0" hidden="1" customHeight="1">
      <c r="A6959" s="59">
        <f t="shared" si="20"/>
        <v>113</v>
      </c>
      <c r="B6959" s="59" t="str">
        <f t="shared" si="21"/>
        <v/>
      </c>
      <c r="C6959" s="59" t="str">
        <f t="shared" si="22"/>
        <v/>
      </c>
      <c r="D6959" s="45" t="str">
        <f t="shared" si="23"/>
        <v/>
      </c>
      <c r="E6959" s="45" t="str">
        <f t="shared" si="24"/>
        <v/>
      </c>
      <c r="F6959" s="59" t="str">
        <f t="shared" si="25"/>
        <v/>
      </c>
      <c r="G6959" s="59" t="str">
        <f t="shared" si="26"/>
        <v/>
      </c>
      <c r="H6959" s="59" t="str">
        <f t="shared" si="27"/>
        <v>28C01622</v>
      </c>
      <c r="I6959" s="59" t="str">
        <f>IF(OR($A6959="",$C6959="",$D6959="",$E6959="",$H6959=""),"",SUMIFS(DATA_GOC!$H:$H,DATA_GOC!$A:$A,"BOM",DATA_GOC!$D:$D,$H6959,DATA_GOC!$E:$E,$C6959,DATA_GOC!$F:$F,"Xuất nội bộ từ téc",DATA_GOC!$B:$B,"&gt;="&amp;$D6959,DATA_GOC!$B:$B,"&lt;="&amp;$E6959))</f>
        <v/>
      </c>
      <c r="J6959" s="59">
        <f t="shared" si="28"/>
        <v>0</v>
      </c>
      <c r="K6959" s="59">
        <f t="shared" si="29"/>
        <v>0</v>
      </c>
      <c r="L6959" s="59">
        <f t="shared" si="30"/>
        <v>0</v>
      </c>
      <c r="M6959" s="59">
        <f t="shared" si="31"/>
        <v>0</v>
      </c>
    </row>
    <row r="6960" ht="15.0" hidden="1" customHeight="1">
      <c r="A6960" s="59">
        <f t="shared" si="20"/>
        <v>113</v>
      </c>
      <c r="B6960" s="59" t="str">
        <f t="shared" si="21"/>
        <v/>
      </c>
      <c r="C6960" s="59" t="str">
        <f t="shared" si="22"/>
        <v/>
      </c>
      <c r="D6960" s="45" t="str">
        <f t="shared" si="23"/>
        <v/>
      </c>
      <c r="E6960" s="45" t="str">
        <f t="shared" si="24"/>
        <v/>
      </c>
      <c r="F6960" s="59" t="str">
        <f t="shared" si="25"/>
        <v/>
      </c>
      <c r="G6960" s="59" t="str">
        <f t="shared" si="26"/>
        <v/>
      </c>
      <c r="H6960" s="59" t="str">
        <f t="shared" si="27"/>
        <v>28C01647</v>
      </c>
      <c r="I6960" s="59" t="str">
        <f>IF(OR($A6960="",$C6960="",$D6960="",$E6960="",$H6960=""),"",SUMIFS(DATA_GOC!$H:$H,DATA_GOC!$A:$A,"BOM",DATA_GOC!$D:$D,$H6960,DATA_GOC!$E:$E,$C6960,DATA_GOC!$F:$F,"Xuất nội bộ từ téc",DATA_GOC!$B:$B,"&gt;="&amp;$D6960,DATA_GOC!$B:$B,"&lt;="&amp;$E6960))</f>
        <v/>
      </c>
      <c r="J6960" s="59">
        <f t="shared" si="28"/>
        <v>0</v>
      </c>
      <c r="K6960" s="59">
        <f t="shared" si="29"/>
        <v>0</v>
      </c>
      <c r="L6960" s="59">
        <f t="shared" si="30"/>
        <v>0</v>
      </c>
      <c r="M6960" s="59">
        <f t="shared" si="31"/>
        <v>0</v>
      </c>
    </row>
    <row r="6961" ht="15.0" hidden="1" customHeight="1">
      <c r="A6961" s="59">
        <f t="shared" si="20"/>
        <v>113</v>
      </c>
      <c r="B6961" s="59" t="str">
        <f t="shared" si="21"/>
        <v/>
      </c>
      <c r="C6961" s="59" t="str">
        <f t="shared" si="22"/>
        <v/>
      </c>
      <c r="D6961" s="45" t="str">
        <f t="shared" si="23"/>
        <v/>
      </c>
      <c r="E6961" s="45" t="str">
        <f t="shared" si="24"/>
        <v/>
      </c>
      <c r="F6961" s="59" t="str">
        <f t="shared" si="25"/>
        <v/>
      </c>
      <c r="G6961" s="59" t="str">
        <f t="shared" si="26"/>
        <v/>
      </c>
      <c r="H6961" s="59" t="str">
        <f t="shared" si="27"/>
        <v>28C01731</v>
      </c>
      <c r="I6961" s="59" t="str">
        <f>IF(OR($A6961="",$C6961="",$D6961="",$E6961="",$H6961=""),"",SUMIFS(DATA_GOC!$H:$H,DATA_GOC!$A:$A,"BOM",DATA_GOC!$D:$D,$H6961,DATA_GOC!$E:$E,$C6961,DATA_GOC!$F:$F,"Xuất nội bộ từ téc",DATA_GOC!$B:$B,"&gt;="&amp;$D6961,DATA_GOC!$B:$B,"&lt;="&amp;$E6961))</f>
        <v/>
      </c>
      <c r="J6961" s="59">
        <f t="shared" si="28"/>
        <v>0</v>
      </c>
      <c r="K6961" s="59">
        <f t="shared" si="29"/>
        <v>0</v>
      </c>
      <c r="L6961" s="59">
        <f t="shared" si="30"/>
        <v>0</v>
      </c>
      <c r="M6961" s="59">
        <f t="shared" si="31"/>
        <v>0</v>
      </c>
    </row>
    <row r="6962" ht="15.0" hidden="1" customHeight="1">
      <c r="A6962" s="59">
        <f t="shared" si="20"/>
        <v>113</v>
      </c>
      <c r="B6962" s="59" t="str">
        <f t="shared" si="21"/>
        <v/>
      </c>
      <c r="C6962" s="59" t="str">
        <f t="shared" si="22"/>
        <v/>
      </c>
      <c r="D6962" s="45" t="str">
        <f t="shared" si="23"/>
        <v/>
      </c>
      <c r="E6962" s="45" t="str">
        <f t="shared" si="24"/>
        <v/>
      </c>
      <c r="F6962" s="59" t="str">
        <f t="shared" si="25"/>
        <v/>
      </c>
      <c r="G6962" s="59" t="str">
        <f t="shared" si="26"/>
        <v/>
      </c>
      <c r="H6962" s="59" t="str">
        <f t="shared" si="27"/>
        <v>28C01743</v>
      </c>
      <c r="I6962" s="59" t="str">
        <f>IF(OR($A6962="",$C6962="",$D6962="",$E6962="",$H6962=""),"",SUMIFS(DATA_GOC!$H:$H,DATA_GOC!$A:$A,"BOM",DATA_GOC!$D:$D,$H6962,DATA_GOC!$E:$E,$C6962,DATA_GOC!$F:$F,"Xuất nội bộ từ téc",DATA_GOC!$B:$B,"&gt;="&amp;$D6962,DATA_GOC!$B:$B,"&lt;="&amp;$E6962))</f>
        <v/>
      </c>
      <c r="J6962" s="59">
        <f t="shared" si="28"/>
        <v>0</v>
      </c>
      <c r="K6962" s="59">
        <f t="shared" si="29"/>
        <v>0</v>
      </c>
      <c r="L6962" s="59">
        <f t="shared" si="30"/>
        <v>0</v>
      </c>
      <c r="M6962" s="59">
        <f t="shared" si="31"/>
        <v>0</v>
      </c>
    </row>
    <row r="6963" ht="15.0" hidden="1" customHeight="1">
      <c r="A6963" s="59">
        <f t="shared" si="20"/>
        <v>113</v>
      </c>
      <c r="B6963" s="59" t="str">
        <f t="shared" si="21"/>
        <v/>
      </c>
      <c r="C6963" s="59" t="str">
        <f t="shared" si="22"/>
        <v/>
      </c>
      <c r="D6963" s="45" t="str">
        <f t="shared" si="23"/>
        <v/>
      </c>
      <c r="E6963" s="45" t="str">
        <f t="shared" si="24"/>
        <v/>
      </c>
      <c r="F6963" s="59" t="str">
        <f t="shared" si="25"/>
        <v/>
      </c>
      <c r="G6963" s="59" t="str">
        <f t="shared" si="26"/>
        <v/>
      </c>
      <c r="H6963" s="59" t="str">
        <f t="shared" si="27"/>
        <v>28C02106</v>
      </c>
      <c r="I6963" s="59" t="str">
        <f>IF(OR($A6963="",$C6963="",$D6963="",$E6963="",$H6963=""),"",SUMIFS(DATA_GOC!$H:$H,DATA_GOC!$A:$A,"BOM",DATA_GOC!$D:$D,$H6963,DATA_GOC!$E:$E,$C6963,DATA_GOC!$F:$F,"Xuất nội bộ từ téc",DATA_GOC!$B:$B,"&gt;="&amp;$D6963,DATA_GOC!$B:$B,"&lt;="&amp;$E6963))</f>
        <v/>
      </c>
      <c r="J6963" s="59">
        <f t="shared" si="28"/>
        <v>0</v>
      </c>
      <c r="K6963" s="59">
        <f t="shared" si="29"/>
        <v>0</v>
      </c>
      <c r="L6963" s="59">
        <f t="shared" si="30"/>
        <v>0</v>
      </c>
      <c r="M6963" s="59">
        <f t="shared" si="31"/>
        <v>0</v>
      </c>
    </row>
    <row r="6964" ht="15.0" hidden="1" customHeight="1">
      <c r="A6964" s="59">
        <f t="shared" si="20"/>
        <v>113</v>
      </c>
      <c r="B6964" s="59" t="str">
        <f t="shared" si="21"/>
        <v/>
      </c>
      <c r="C6964" s="59" t="str">
        <f t="shared" si="22"/>
        <v/>
      </c>
      <c r="D6964" s="45" t="str">
        <f t="shared" si="23"/>
        <v/>
      </c>
      <c r="E6964" s="45" t="str">
        <f t="shared" si="24"/>
        <v/>
      </c>
      <c r="F6964" s="59" t="str">
        <f t="shared" si="25"/>
        <v/>
      </c>
      <c r="G6964" s="59" t="str">
        <f t="shared" si="26"/>
        <v/>
      </c>
      <c r="H6964" s="59" t="str">
        <f t="shared" si="27"/>
        <v>28C02410</v>
      </c>
      <c r="I6964" s="59" t="str">
        <f>IF(OR($A6964="",$C6964="",$D6964="",$E6964="",$H6964=""),"",SUMIFS(DATA_GOC!$H:$H,DATA_GOC!$A:$A,"BOM",DATA_GOC!$D:$D,$H6964,DATA_GOC!$E:$E,$C6964,DATA_GOC!$F:$F,"Xuất nội bộ từ téc",DATA_GOC!$B:$B,"&gt;="&amp;$D6964,DATA_GOC!$B:$B,"&lt;="&amp;$E6964))</f>
        <v/>
      </c>
      <c r="J6964" s="59">
        <f t="shared" si="28"/>
        <v>0</v>
      </c>
      <c r="K6964" s="59">
        <f t="shared" si="29"/>
        <v>0</v>
      </c>
      <c r="L6964" s="59">
        <f t="shared" si="30"/>
        <v>0</v>
      </c>
      <c r="M6964" s="59">
        <f t="shared" si="31"/>
        <v>0</v>
      </c>
    </row>
    <row r="6965" ht="15.0" hidden="1" customHeight="1">
      <c r="A6965" s="59">
        <f t="shared" si="20"/>
        <v>113</v>
      </c>
      <c r="B6965" s="59" t="str">
        <f t="shared" si="21"/>
        <v/>
      </c>
      <c r="C6965" s="59" t="str">
        <f t="shared" si="22"/>
        <v/>
      </c>
      <c r="D6965" s="45" t="str">
        <f t="shared" si="23"/>
        <v/>
      </c>
      <c r="E6965" s="45" t="str">
        <f t="shared" si="24"/>
        <v/>
      </c>
      <c r="F6965" s="59" t="str">
        <f t="shared" si="25"/>
        <v/>
      </c>
      <c r="G6965" s="59" t="str">
        <f t="shared" si="26"/>
        <v/>
      </c>
      <c r="H6965" s="59" t="str">
        <f t="shared" si="27"/>
        <v>28C02545</v>
      </c>
      <c r="I6965" s="59" t="str">
        <f>IF(OR($A6965="",$C6965="",$D6965="",$E6965="",$H6965=""),"",SUMIFS(DATA_GOC!$H:$H,DATA_GOC!$A:$A,"BOM",DATA_GOC!$D:$D,$H6965,DATA_GOC!$E:$E,$C6965,DATA_GOC!$F:$F,"Xuất nội bộ từ téc",DATA_GOC!$B:$B,"&gt;="&amp;$D6965,DATA_GOC!$B:$B,"&lt;="&amp;$E6965))</f>
        <v/>
      </c>
      <c r="J6965" s="59">
        <f t="shared" si="28"/>
        <v>0</v>
      </c>
      <c r="K6965" s="59">
        <f t="shared" si="29"/>
        <v>0</v>
      </c>
      <c r="L6965" s="59">
        <f t="shared" si="30"/>
        <v>0</v>
      </c>
      <c r="M6965" s="59">
        <f t="shared" si="31"/>
        <v>0</v>
      </c>
    </row>
    <row r="6966" ht="15.0" hidden="1" customHeight="1">
      <c r="A6966" s="59">
        <f t="shared" si="20"/>
        <v>113</v>
      </c>
      <c r="B6966" s="59" t="str">
        <f t="shared" si="21"/>
        <v/>
      </c>
      <c r="C6966" s="59" t="str">
        <f t="shared" si="22"/>
        <v/>
      </c>
      <c r="D6966" s="45" t="str">
        <f t="shared" si="23"/>
        <v/>
      </c>
      <c r="E6966" s="45" t="str">
        <f t="shared" si="24"/>
        <v/>
      </c>
      <c r="F6966" s="59" t="str">
        <f t="shared" si="25"/>
        <v/>
      </c>
      <c r="G6966" s="59" t="str">
        <f t="shared" si="26"/>
        <v/>
      </c>
      <c r="H6966" s="59" t="str">
        <f t="shared" si="27"/>
        <v>28C02574</v>
      </c>
      <c r="I6966" s="59" t="str">
        <f>IF(OR($A6966="",$C6966="",$D6966="",$E6966="",$H6966=""),"",SUMIFS(DATA_GOC!$H:$H,DATA_GOC!$A:$A,"BOM",DATA_GOC!$D:$D,$H6966,DATA_GOC!$E:$E,$C6966,DATA_GOC!$F:$F,"Xuất nội bộ từ téc",DATA_GOC!$B:$B,"&gt;="&amp;$D6966,DATA_GOC!$B:$B,"&lt;="&amp;$E6966))</f>
        <v/>
      </c>
      <c r="J6966" s="59">
        <f t="shared" si="28"/>
        <v>0</v>
      </c>
      <c r="K6966" s="59">
        <f t="shared" si="29"/>
        <v>0</v>
      </c>
      <c r="L6966" s="59">
        <f t="shared" si="30"/>
        <v>0</v>
      </c>
      <c r="M6966" s="59">
        <f t="shared" si="31"/>
        <v>0</v>
      </c>
    </row>
    <row r="6967" ht="15.0" hidden="1" customHeight="1">
      <c r="A6967" s="59">
        <f t="shared" si="20"/>
        <v>113</v>
      </c>
      <c r="B6967" s="59" t="str">
        <f t="shared" si="21"/>
        <v/>
      </c>
      <c r="C6967" s="59" t="str">
        <f t="shared" si="22"/>
        <v/>
      </c>
      <c r="D6967" s="45" t="str">
        <f t="shared" si="23"/>
        <v/>
      </c>
      <c r="E6967" s="45" t="str">
        <f t="shared" si="24"/>
        <v/>
      </c>
      <c r="F6967" s="59" t="str">
        <f t="shared" si="25"/>
        <v/>
      </c>
      <c r="G6967" s="59" t="str">
        <f t="shared" si="26"/>
        <v/>
      </c>
      <c r="H6967" s="59" t="str">
        <f t="shared" si="27"/>
        <v>28C02770</v>
      </c>
      <c r="I6967" s="59" t="str">
        <f>IF(OR($A6967="",$C6967="",$D6967="",$E6967="",$H6967=""),"",SUMIFS(DATA_GOC!$H:$H,DATA_GOC!$A:$A,"BOM",DATA_GOC!$D:$D,$H6967,DATA_GOC!$E:$E,$C6967,DATA_GOC!$F:$F,"Xuất nội bộ từ téc",DATA_GOC!$B:$B,"&gt;="&amp;$D6967,DATA_GOC!$B:$B,"&lt;="&amp;$E6967))</f>
        <v/>
      </c>
      <c r="J6967" s="59">
        <f t="shared" si="28"/>
        <v>0</v>
      </c>
      <c r="K6967" s="59">
        <f t="shared" si="29"/>
        <v>0</v>
      </c>
      <c r="L6967" s="59">
        <f t="shared" si="30"/>
        <v>0</v>
      </c>
      <c r="M6967" s="59">
        <f t="shared" si="31"/>
        <v>0</v>
      </c>
    </row>
    <row r="6968" ht="15.0" hidden="1" customHeight="1">
      <c r="A6968" s="59">
        <f t="shared" si="20"/>
        <v>113</v>
      </c>
      <c r="B6968" s="59" t="str">
        <f t="shared" si="21"/>
        <v/>
      </c>
      <c r="C6968" s="59" t="str">
        <f t="shared" si="22"/>
        <v/>
      </c>
      <c r="D6968" s="45" t="str">
        <f t="shared" si="23"/>
        <v/>
      </c>
      <c r="E6968" s="45" t="str">
        <f t="shared" si="24"/>
        <v/>
      </c>
      <c r="F6968" s="59" t="str">
        <f t="shared" si="25"/>
        <v/>
      </c>
      <c r="G6968" s="59" t="str">
        <f t="shared" si="26"/>
        <v/>
      </c>
      <c r="H6968" s="59" t="str">
        <f t="shared" si="27"/>
        <v>28C02986</v>
      </c>
      <c r="I6968" s="59" t="str">
        <f>IF(OR($A6968="",$C6968="",$D6968="",$E6968="",$H6968=""),"",SUMIFS(DATA_GOC!$H:$H,DATA_GOC!$A:$A,"BOM",DATA_GOC!$D:$D,$H6968,DATA_GOC!$E:$E,$C6968,DATA_GOC!$F:$F,"Xuất nội bộ từ téc",DATA_GOC!$B:$B,"&gt;="&amp;$D6968,DATA_GOC!$B:$B,"&lt;="&amp;$E6968))</f>
        <v/>
      </c>
      <c r="J6968" s="59">
        <f t="shared" si="28"/>
        <v>0</v>
      </c>
      <c r="K6968" s="59">
        <f t="shared" si="29"/>
        <v>0</v>
      </c>
      <c r="L6968" s="59">
        <f t="shared" si="30"/>
        <v>0</v>
      </c>
      <c r="M6968" s="59">
        <f t="shared" si="31"/>
        <v>0</v>
      </c>
    </row>
    <row r="6969" ht="15.0" hidden="1" customHeight="1">
      <c r="A6969" s="59">
        <f t="shared" si="20"/>
        <v>113</v>
      </c>
      <c r="B6969" s="59" t="str">
        <f t="shared" si="21"/>
        <v/>
      </c>
      <c r="C6969" s="59" t="str">
        <f t="shared" si="22"/>
        <v/>
      </c>
      <c r="D6969" s="45" t="str">
        <f t="shared" si="23"/>
        <v/>
      </c>
      <c r="E6969" s="45" t="str">
        <f t="shared" si="24"/>
        <v/>
      </c>
      <c r="F6969" s="59" t="str">
        <f t="shared" si="25"/>
        <v/>
      </c>
      <c r="G6969" s="59" t="str">
        <f t="shared" si="26"/>
        <v/>
      </c>
      <c r="H6969" s="59" t="str">
        <f t="shared" si="27"/>
        <v>28C03261</v>
      </c>
      <c r="I6969" s="59" t="str">
        <f>IF(OR($A6969="",$C6969="",$D6969="",$E6969="",$H6969=""),"",SUMIFS(DATA_GOC!$H:$H,DATA_GOC!$A:$A,"BOM",DATA_GOC!$D:$D,$H6969,DATA_GOC!$E:$E,$C6969,DATA_GOC!$F:$F,"Xuất nội bộ từ téc",DATA_GOC!$B:$B,"&gt;="&amp;$D6969,DATA_GOC!$B:$B,"&lt;="&amp;$E6969))</f>
        <v/>
      </c>
      <c r="J6969" s="59">
        <f t="shared" si="28"/>
        <v>0</v>
      </c>
      <c r="K6969" s="59">
        <f t="shared" si="29"/>
        <v>0</v>
      </c>
      <c r="L6969" s="59">
        <f t="shared" si="30"/>
        <v>0</v>
      </c>
      <c r="M6969" s="59">
        <f t="shared" si="31"/>
        <v>0</v>
      </c>
    </row>
    <row r="6970" ht="15.0" hidden="1" customHeight="1">
      <c r="A6970" s="59">
        <f t="shared" si="20"/>
        <v>113</v>
      </c>
      <c r="B6970" s="59" t="str">
        <f t="shared" si="21"/>
        <v/>
      </c>
      <c r="C6970" s="59" t="str">
        <f t="shared" si="22"/>
        <v/>
      </c>
      <c r="D6970" s="45" t="str">
        <f t="shared" si="23"/>
        <v/>
      </c>
      <c r="E6970" s="45" t="str">
        <f t="shared" si="24"/>
        <v/>
      </c>
      <c r="F6970" s="59" t="str">
        <f t="shared" si="25"/>
        <v/>
      </c>
      <c r="G6970" s="59" t="str">
        <f t="shared" si="26"/>
        <v/>
      </c>
      <c r="H6970" s="59" t="str">
        <f t="shared" si="27"/>
        <v>28C03323</v>
      </c>
      <c r="I6970" s="59" t="str">
        <f>IF(OR($A6970="",$C6970="",$D6970="",$E6970="",$H6970=""),"",SUMIFS(DATA_GOC!$H:$H,DATA_GOC!$A:$A,"BOM",DATA_GOC!$D:$D,$H6970,DATA_GOC!$E:$E,$C6970,DATA_GOC!$F:$F,"Xuất nội bộ từ téc",DATA_GOC!$B:$B,"&gt;="&amp;$D6970,DATA_GOC!$B:$B,"&lt;="&amp;$E6970))</f>
        <v/>
      </c>
      <c r="J6970" s="59">
        <f t="shared" si="28"/>
        <v>0</v>
      </c>
      <c r="K6970" s="59">
        <f t="shared" si="29"/>
        <v>0</v>
      </c>
      <c r="L6970" s="59">
        <f t="shared" si="30"/>
        <v>0</v>
      </c>
      <c r="M6970" s="59">
        <f t="shared" si="31"/>
        <v>0</v>
      </c>
    </row>
    <row r="6971" ht="15.0" hidden="1" customHeight="1">
      <c r="A6971" s="59">
        <f t="shared" si="20"/>
        <v>113</v>
      </c>
      <c r="B6971" s="59" t="str">
        <f t="shared" si="21"/>
        <v/>
      </c>
      <c r="C6971" s="59" t="str">
        <f t="shared" si="22"/>
        <v/>
      </c>
      <c r="D6971" s="45" t="str">
        <f t="shared" si="23"/>
        <v/>
      </c>
      <c r="E6971" s="45" t="str">
        <f t="shared" si="24"/>
        <v/>
      </c>
      <c r="F6971" s="59" t="str">
        <f t="shared" si="25"/>
        <v/>
      </c>
      <c r="G6971" s="59" t="str">
        <f t="shared" si="26"/>
        <v/>
      </c>
      <c r="H6971" s="59" t="str">
        <f t="shared" si="27"/>
        <v>28C03385</v>
      </c>
      <c r="I6971" s="59" t="str">
        <f>IF(OR($A6971="",$C6971="",$D6971="",$E6971="",$H6971=""),"",SUMIFS(DATA_GOC!$H:$H,DATA_GOC!$A:$A,"BOM",DATA_GOC!$D:$D,$H6971,DATA_GOC!$E:$E,$C6971,DATA_GOC!$F:$F,"Xuất nội bộ từ téc",DATA_GOC!$B:$B,"&gt;="&amp;$D6971,DATA_GOC!$B:$B,"&lt;="&amp;$E6971))</f>
        <v/>
      </c>
      <c r="J6971" s="59">
        <f t="shared" si="28"/>
        <v>0</v>
      </c>
      <c r="K6971" s="59">
        <f t="shared" si="29"/>
        <v>0</v>
      </c>
      <c r="L6971" s="59">
        <f t="shared" si="30"/>
        <v>0</v>
      </c>
      <c r="M6971" s="59">
        <f t="shared" si="31"/>
        <v>0</v>
      </c>
    </row>
    <row r="6972" ht="15.0" hidden="1" customHeight="1">
      <c r="A6972" s="59">
        <f t="shared" si="20"/>
        <v>113</v>
      </c>
      <c r="B6972" s="59" t="str">
        <f t="shared" si="21"/>
        <v/>
      </c>
      <c r="C6972" s="59" t="str">
        <f t="shared" si="22"/>
        <v/>
      </c>
      <c r="D6972" s="45" t="str">
        <f t="shared" si="23"/>
        <v/>
      </c>
      <c r="E6972" s="45" t="str">
        <f t="shared" si="24"/>
        <v/>
      </c>
      <c r="F6972" s="59" t="str">
        <f t="shared" si="25"/>
        <v/>
      </c>
      <c r="G6972" s="59" t="str">
        <f t="shared" si="26"/>
        <v/>
      </c>
      <c r="H6972" s="59" t="str">
        <f t="shared" si="27"/>
        <v>28C03652</v>
      </c>
      <c r="I6972" s="59" t="str">
        <f>IF(OR($A6972="",$C6972="",$D6972="",$E6972="",$H6972=""),"",SUMIFS(DATA_GOC!$H:$H,DATA_GOC!$A:$A,"BOM",DATA_GOC!$D:$D,$H6972,DATA_GOC!$E:$E,$C6972,DATA_GOC!$F:$F,"Xuất nội bộ từ téc",DATA_GOC!$B:$B,"&gt;="&amp;$D6972,DATA_GOC!$B:$B,"&lt;="&amp;$E6972))</f>
        <v/>
      </c>
      <c r="J6972" s="59">
        <f t="shared" si="28"/>
        <v>0</v>
      </c>
      <c r="K6972" s="59">
        <f t="shared" si="29"/>
        <v>0</v>
      </c>
      <c r="L6972" s="59">
        <f t="shared" si="30"/>
        <v>0</v>
      </c>
      <c r="M6972" s="59">
        <f t="shared" si="31"/>
        <v>0</v>
      </c>
    </row>
    <row r="6973" ht="15.0" hidden="1" customHeight="1">
      <c r="A6973" s="59">
        <f t="shared" si="20"/>
        <v>113</v>
      </c>
      <c r="B6973" s="59" t="str">
        <f t="shared" si="21"/>
        <v/>
      </c>
      <c r="C6973" s="59" t="str">
        <f t="shared" si="22"/>
        <v/>
      </c>
      <c r="D6973" s="45" t="str">
        <f t="shared" si="23"/>
        <v/>
      </c>
      <c r="E6973" s="45" t="str">
        <f t="shared" si="24"/>
        <v/>
      </c>
      <c r="F6973" s="59" t="str">
        <f t="shared" si="25"/>
        <v/>
      </c>
      <c r="G6973" s="59" t="str">
        <f t="shared" si="26"/>
        <v/>
      </c>
      <c r="H6973" s="59" t="str">
        <f t="shared" si="27"/>
        <v>28C03695</v>
      </c>
      <c r="I6973" s="59" t="str">
        <f>IF(OR($A6973="",$C6973="",$D6973="",$E6973="",$H6973=""),"",SUMIFS(DATA_GOC!$H:$H,DATA_GOC!$A:$A,"BOM",DATA_GOC!$D:$D,$H6973,DATA_GOC!$E:$E,$C6973,DATA_GOC!$F:$F,"Xuất nội bộ từ téc",DATA_GOC!$B:$B,"&gt;="&amp;$D6973,DATA_GOC!$B:$B,"&lt;="&amp;$E6973))</f>
        <v/>
      </c>
      <c r="J6973" s="59">
        <f t="shared" si="28"/>
        <v>0</v>
      </c>
      <c r="K6973" s="59">
        <f t="shared" si="29"/>
        <v>0</v>
      </c>
      <c r="L6973" s="59">
        <f t="shared" si="30"/>
        <v>0</v>
      </c>
      <c r="M6973" s="59">
        <f t="shared" si="31"/>
        <v>0</v>
      </c>
    </row>
    <row r="6974" ht="15.0" hidden="1" customHeight="1">
      <c r="A6974" s="59">
        <f t="shared" si="20"/>
        <v>113</v>
      </c>
      <c r="B6974" s="59" t="str">
        <f t="shared" si="21"/>
        <v/>
      </c>
      <c r="C6974" s="59" t="str">
        <f t="shared" si="22"/>
        <v/>
      </c>
      <c r="D6974" s="45" t="str">
        <f t="shared" si="23"/>
        <v/>
      </c>
      <c r="E6974" s="45" t="str">
        <f t="shared" si="24"/>
        <v/>
      </c>
      <c r="F6974" s="59" t="str">
        <f t="shared" si="25"/>
        <v/>
      </c>
      <c r="G6974" s="59" t="str">
        <f t="shared" si="26"/>
        <v/>
      </c>
      <c r="H6974" s="59" t="str">
        <f t="shared" si="27"/>
        <v>28C03927</v>
      </c>
      <c r="I6974" s="59" t="str">
        <f>IF(OR($A6974="",$C6974="",$D6974="",$E6974="",$H6974=""),"",SUMIFS(DATA_GOC!$H:$H,DATA_GOC!$A:$A,"BOM",DATA_GOC!$D:$D,$H6974,DATA_GOC!$E:$E,$C6974,DATA_GOC!$F:$F,"Xuất nội bộ từ téc",DATA_GOC!$B:$B,"&gt;="&amp;$D6974,DATA_GOC!$B:$B,"&lt;="&amp;$E6974))</f>
        <v/>
      </c>
      <c r="J6974" s="59">
        <f t="shared" si="28"/>
        <v>0</v>
      </c>
      <c r="K6974" s="59">
        <f t="shared" si="29"/>
        <v>0</v>
      </c>
      <c r="L6974" s="59">
        <f t="shared" si="30"/>
        <v>0</v>
      </c>
      <c r="M6974" s="59">
        <f t="shared" si="31"/>
        <v>0</v>
      </c>
    </row>
    <row r="6975" ht="15.0" hidden="1" customHeight="1">
      <c r="A6975" s="59">
        <f t="shared" si="20"/>
        <v>113</v>
      </c>
      <c r="B6975" s="59" t="str">
        <f t="shared" si="21"/>
        <v/>
      </c>
      <c r="C6975" s="59" t="str">
        <f t="shared" si="22"/>
        <v/>
      </c>
      <c r="D6975" s="45" t="str">
        <f t="shared" si="23"/>
        <v/>
      </c>
      <c r="E6975" s="45" t="str">
        <f t="shared" si="24"/>
        <v/>
      </c>
      <c r="F6975" s="59" t="str">
        <f t="shared" si="25"/>
        <v/>
      </c>
      <c r="G6975" s="59" t="str">
        <f t="shared" si="26"/>
        <v/>
      </c>
      <c r="H6975" s="59" t="str">
        <f t="shared" si="27"/>
        <v>28C04509</v>
      </c>
      <c r="I6975" s="59" t="str">
        <f>IF(OR($A6975="",$C6975="",$D6975="",$E6975="",$H6975=""),"",SUMIFS(DATA_GOC!$H:$H,DATA_GOC!$A:$A,"BOM",DATA_GOC!$D:$D,$H6975,DATA_GOC!$E:$E,$C6975,DATA_GOC!$F:$F,"Xuất nội bộ từ téc",DATA_GOC!$B:$B,"&gt;="&amp;$D6975,DATA_GOC!$B:$B,"&lt;="&amp;$E6975))</f>
        <v/>
      </c>
      <c r="J6975" s="59">
        <f t="shared" si="28"/>
        <v>0</v>
      </c>
      <c r="K6975" s="59">
        <f t="shared" si="29"/>
        <v>0</v>
      </c>
      <c r="L6975" s="59">
        <f t="shared" si="30"/>
        <v>0</v>
      </c>
      <c r="M6975" s="59">
        <f t="shared" si="31"/>
        <v>0</v>
      </c>
    </row>
    <row r="6976" ht="15.0" hidden="1" customHeight="1">
      <c r="A6976" s="59">
        <f t="shared" si="20"/>
        <v>113</v>
      </c>
      <c r="B6976" s="59" t="str">
        <f t="shared" si="21"/>
        <v/>
      </c>
      <c r="C6976" s="59" t="str">
        <f t="shared" si="22"/>
        <v/>
      </c>
      <c r="D6976" s="45" t="str">
        <f t="shared" si="23"/>
        <v/>
      </c>
      <c r="E6976" s="45" t="str">
        <f t="shared" si="24"/>
        <v/>
      </c>
      <c r="F6976" s="59" t="str">
        <f t="shared" si="25"/>
        <v/>
      </c>
      <c r="G6976" s="59" t="str">
        <f t="shared" si="26"/>
        <v/>
      </c>
      <c r="H6976" s="59" t="str">
        <f t="shared" si="27"/>
        <v>28C04536</v>
      </c>
      <c r="I6976" s="59" t="str">
        <f>IF(OR($A6976="",$C6976="",$D6976="",$E6976="",$H6976=""),"",SUMIFS(DATA_GOC!$H:$H,DATA_GOC!$A:$A,"BOM",DATA_GOC!$D:$D,$H6976,DATA_GOC!$E:$E,$C6976,DATA_GOC!$F:$F,"Xuất nội bộ từ téc",DATA_GOC!$B:$B,"&gt;="&amp;$D6976,DATA_GOC!$B:$B,"&lt;="&amp;$E6976))</f>
        <v/>
      </c>
      <c r="J6976" s="59">
        <f t="shared" si="28"/>
        <v>0</v>
      </c>
      <c r="K6976" s="59">
        <f t="shared" si="29"/>
        <v>0</v>
      </c>
      <c r="L6976" s="59">
        <f t="shared" si="30"/>
        <v>0</v>
      </c>
      <c r="M6976" s="59">
        <f t="shared" si="31"/>
        <v>0</v>
      </c>
    </row>
    <row r="6977" ht="15.0" hidden="1" customHeight="1">
      <c r="A6977" s="59">
        <f t="shared" si="20"/>
        <v>113</v>
      </c>
      <c r="B6977" s="59" t="str">
        <f t="shared" si="21"/>
        <v/>
      </c>
      <c r="C6977" s="59" t="str">
        <f t="shared" si="22"/>
        <v/>
      </c>
      <c r="D6977" s="45" t="str">
        <f t="shared" si="23"/>
        <v/>
      </c>
      <c r="E6977" s="45" t="str">
        <f t="shared" si="24"/>
        <v/>
      </c>
      <c r="F6977" s="59" t="str">
        <f t="shared" si="25"/>
        <v/>
      </c>
      <c r="G6977" s="59" t="str">
        <f t="shared" si="26"/>
        <v/>
      </c>
      <c r="H6977" s="59" t="str">
        <f t="shared" si="27"/>
        <v>28C04576</v>
      </c>
      <c r="I6977" s="59" t="str">
        <f>IF(OR($A6977="",$C6977="",$D6977="",$E6977="",$H6977=""),"",SUMIFS(DATA_GOC!$H:$H,DATA_GOC!$A:$A,"BOM",DATA_GOC!$D:$D,$H6977,DATA_GOC!$E:$E,$C6977,DATA_GOC!$F:$F,"Xuất nội bộ từ téc",DATA_GOC!$B:$B,"&gt;="&amp;$D6977,DATA_GOC!$B:$B,"&lt;="&amp;$E6977))</f>
        <v/>
      </c>
      <c r="J6977" s="59">
        <f t="shared" si="28"/>
        <v>0</v>
      </c>
      <c r="K6977" s="59">
        <f t="shared" si="29"/>
        <v>0</v>
      </c>
      <c r="L6977" s="59">
        <f t="shared" si="30"/>
        <v>0</v>
      </c>
      <c r="M6977" s="59">
        <f t="shared" si="31"/>
        <v>0</v>
      </c>
    </row>
    <row r="6978" ht="15.0" hidden="1" customHeight="1">
      <c r="A6978" s="59">
        <f t="shared" si="20"/>
        <v>113</v>
      </c>
      <c r="B6978" s="59" t="str">
        <f t="shared" si="21"/>
        <v/>
      </c>
      <c r="C6978" s="59" t="str">
        <f t="shared" si="22"/>
        <v/>
      </c>
      <c r="D6978" s="45" t="str">
        <f t="shared" si="23"/>
        <v/>
      </c>
      <c r="E6978" s="45" t="str">
        <f t="shared" si="24"/>
        <v/>
      </c>
      <c r="F6978" s="59" t="str">
        <f t="shared" si="25"/>
        <v/>
      </c>
      <c r="G6978" s="59" t="str">
        <f t="shared" si="26"/>
        <v/>
      </c>
      <c r="H6978" s="59" t="str">
        <f t="shared" si="27"/>
        <v>28C05090</v>
      </c>
      <c r="I6978" s="59" t="str">
        <f>IF(OR($A6978="",$C6978="",$D6978="",$E6978="",$H6978=""),"",SUMIFS(DATA_GOC!$H:$H,DATA_GOC!$A:$A,"BOM",DATA_GOC!$D:$D,$H6978,DATA_GOC!$E:$E,$C6978,DATA_GOC!$F:$F,"Xuất nội bộ từ téc",DATA_GOC!$B:$B,"&gt;="&amp;$D6978,DATA_GOC!$B:$B,"&lt;="&amp;$E6978))</f>
        <v/>
      </c>
      <c r="J6978" s="59">
        <f t="shared" si="28"/>
        <v>0</v>
      </c>
      <c r="K6978" s="59">
        <f t="shared" si="29"/>
        <v>0</v>
      </c>
      <c r="L6978" s="59">
        <f t="shared" si="30"/>
        <v>0</v>
      </c>
      <c r="M6978" s="59">
        <f t="shared" si="31"/>
        <v>0</v>
      </c>
    </row>
    <row r="6979" ht="15.0" hidden="1" customHeight="1">
      <c r="A6979" s="59">
        <f t="shared" si="20"/>
        <v>113</v>
      </c>
      <c r="B6979" s="59" t="str">
        <f t="shared" si="21"/>
        <v/>
      </c>
      <c r="C6979" s="59" t="str">
        <f t="shared" si="22"/>
        <v/>
      </c>
      <c r="D6979" s="45" t="str">
        <f t="shared" si="23"/>
        <v/>
      </c>
      <c r="E6979" s="45" t="str">
        <f t="shared" si="24"/>
        <v/>
      </c>
      <c r="F6979" s="59" t="str">
        <f t="shared" si="25"/>
        <v/>
      </c>
      <c r="G6979" s="59" t="str">
        <f t="shared" si="26"/>
        <v/>
      </c>
      <c r="H6979" s="59" t="str">
        <f t="shared" si="27"/>
        <v>28C05345</v>
      </c>
      <c r="I6979" s="59" t="str">
        <f>IF(OR($A6979="",$C6979="",$D6979="",$E6979="",$H6979=""),"",SUMIFS(DATA_GOC!$H:$H,DATA_GOC!$A:$A,"BOM",DATA_GOC!$D:$D,$H6979,DATA_GOC!$E:$E,$C6979,DATA_GOC!$F:$F,"Xuất nội bộ từ téc",DATA_GOC!$B:$B,"&gt;="&amp;$D6979,DATA_GOC!$B:$B,"&lt;="&amp;$E6979))</f>
        <v/>
      </c>
      <c r="J6979" s="59">
        <f t="shared" si="28"/>
        <v>0</v>
      </c>
      <c r="K6979" s="59">
        <f t="shared" si="29"/>
        <v>0</v>
      </c>
      <c r="L6979" s="59">
        <f t="shared" si="30"/>
        <v>0</v>
      </c>
      <c r="M6979" s="59">
        <f t="shared" si="31"/>
        <v>0</v>
      </c>
    </row>
    <row r="6980" ht="15.0" hidden="1" customHeight="1">
      <c r="A6980" s="59">
        <f t="shared" si="20"/>
        <v>113</v>
      </c>
      <c r="B6980" s="59" t="str">
        <f t="shared" si="21"/>
        <v/>
      </c>
      <c r="C6980" s="59" t="str">
        <f t="shared" si="22"/>
        <v/>
      </c>
      <c r="D6980" s="45" t="str">
        <f t="shared" si="23"/>
        <v/>
      </c>
      <c r="E6980" s="45" t="str">
        <f t="shared" si="24"/>
        <v/>
      </c>
      <c r="F6980" s="59" t="str">
        <f t="shared" si="25"/>
        <v/>
      </c>
      <c r="G6980" s="59" t="str">
        <f t="shared" si="26"/>
        <v/>
      </c>
      <c r="H6980" s="59" t="str">
        <f t="shared" si="27"/>
        <v>28C05661</v>
      </c>
      <c r="I6980" s="59" t="str">
        <f>IF(OR($A6980="",$C6980="",$D6980="",$E6980="",$H6980=""),"",SUMIFS(DATA_GOC!$H:$H,DATA_GOC!$A:$A,"BOM",DATA_GOC!$D:$D,$H6980,DATA_GOC!$E:$E,$C6980,DATA_GOC!$F:$F,"Xuất nội bộ từ téc",DATA_GOC!$B:$B,"&gt;="&amp;$D6980,DATA_GOC!$B:$B,"&lt;="&amp;$E6980))</f>
        <v/>
      </c>
      <c r="J6980" s="59">
        <f t="shared" si="28"/>
        <v>0</v>
      </c>
      <c r="K6980" s="59">
        <f t="shared" si="29"/>
        <v>0</v>
      </c>
      <c r="L6980" s="59">
        <f t="shared" si="30"/>
        <v>0</v>
      </c>
      <c r="M6980" s="59">
        <f t="shared" si="31"/>
        <v>0</v>
      </c>
    </row>
    <row r="6981" ht="15.0" hidden="1" customHeight="1">
      <c r="A6981" s="59">
        <f t="shared" si="20"/>
        <v>113</v>
      </c>
      <c r="B6981" s="59" t="str">
        <f t="shared" si="21"/>
        <v/>
      </c>
      <c r="C6981" s="59" t="str">
        <f t="shared" si="22"/>
        <v/>
      </c>
      <c r="D6981" s="45" t="str">
        <f t="shared" si="23"/>
        <v/>
      </c>
      <c r="E6981" s="45" t="str">
        <f t="shared" si="24"/>
        <v/>
      </c>
      <c r="F6981" s="59" t="str">
        <f t="shared" si="25"/>
        <v/>
      </c>
      <c r="G6981" s="59" t="str">
        <f t="shared" si="26"/>
        <v/>
      </c>
      <c r="H6981" s="59" t="str">
        <f t="shared" si="27"/>
        <v>28C05739</v>
      </c>
      <c r="I6981" s="59" t="str">
        <f>IF(OR($A6981="",$C6981="",$D6981="",$E6981="",$H6981=""),"",SUMIFS(DATA_GOC!$H:$H,DATA_GOC!$A:$A,"BOM",DATA_GOC!$D:$D,$H6981,DATA_GOC!$E:$E,$C6981,DATA_GOC!$F:$F,"Xuất nội bộ từ téc",DATA_GOC!$B:$B,"&gt;="&amp;$D6981,DATA_GOC!$B:$B,"&lt;="&amp;$E6981))</f>
        <v/>
      </c>
      <c r="J6981" s="59">
        <f t="shared" si="28"/>
        <v>0</v>
      </c>
      <c r="K6981" s="59">
        <f t="shared" si="29"/>
        <v>0</v>
      </c>
      <c r="L6981" s="59">
        <f t="shared" si="30"/>
        <v>0</v>
      </c>
      <c r="M6981" s="59">
        <f t="shared" si="31"/>
        <v>0</v>
      </c>
    </row>
    <row r="6982" ht="15.0" hidden="1" customHeight="1">
      <c r="A6982" s="59">
        <f t="shared" si="20"/>
        <v>113</v>
      </c>
      <c r="B6982" s="59" t="str">
        <f t="shared" si="21"/>
        <v/>
      </c>
      <c r="C6982" s="59" t="str">
        <f t="shared" si="22"/>
        <v/>
      </c>
      <c r="D6982" s="45" t="str">
        <f t="shared" si="23"/>
        <v/>
      </c>
      <c r="E6982" s="45" t="str">
        <f t="shared" si="24"/>
        <v/>
      </c>
      <c r="F6982" s="59" t="str">
        <f t="shared" si="25"/>
        <v/>
      </c>
      <c r="G6982" s="59" t="str">
        <f t="shared" si="26"/>
        <v/>
      </c>
      <c r="H6982" s="59" t="str">
        <f t="shared" si="27"/>
        <v>28C06369</v>
      </c>
      <c r="I6982" s="59" t="str">
        <f>IF(OR($A6982="",$C6982="",$D6982="",$E6982="",$H6982=""),"",SUMIFS(DATA_GOC!$H:$H,DATA_GOC!$A:$A,"BOM",DATA_GOC!$D:$D,$H6982,DATA_GOC!$E:$E,$C6982,DATA_GOC!$F:$F,"Xuất nội bộ từ téc",DATA_GOC!$B:$B,"&gt;="&amp;$D6982,DATA_GOC!$B:$B,"&lt;="&amp;$E6982))</f>
        <v/>
      </c>
      <c r="J6982" s="59">
        <f t="shared" si="28"/>
        <v>0</v>
      </c>
      <c r="K6982" s="59">
        <f t="shared" si="29"/>
        <v>0</v>
      </c>
      <c r="L6982" s="59">
        <f t="shared" si="30"/>
        <v>0</v>
      </c>
      <c r="M6982" s="59">
        <f t="shared" si="31"/>
        <v>0</v>
      </c>
    </row>
    <row r="6983" ht="15.0" hidden="1" customHeight="1">
      <c r="A6983" s="59">
        <f t="shared" si="20"/>
        <v>113</v>
      </c>
      <c r="B6983" s="59" t="str">
        <f t="shared" si="21"/>
        <v/>
      </c>
      <c r="C6983" s="59" t="str">
        <f t="shared" si="22"/>
        <v/>
      </c>
      <c r="D6983" s="45" t="str">
        <f t="shared" si="23"/>
        <v/>
      </c>
      <c r="E6983" s="45" t="str">
        <f t="shared" si="24"/>
        <v/>
      </c>
      <c r="F6983" s="59" t="str">
        <f t="shared" si="25"/>
        <v/>
      </c>
      <c r="G6983" s="59" t="str">
        <f t="shared" si="26"/>
        <v/>
      </c>
      <c r="H6983" s="59" t="str">
        <f t="shared" si="27"/>
        <v>28C06447</v>
      </c>
      <c r="I6983" s="59" t="str">
        <f>IF(OR($A6983="",$C6983="",$D6983="",$E6983="",$H6983=""),"",SUMIFS(DATA_GOC!$H:$H,DATA_GOC!$A:$A,"BOM",DATA_GOC!$D:$D,$H6983,DATA_GOC!$E:$E,$C6983,DATA_GOC!$F:$F,"Xuất nội bộ từ téc",DATA_GOC!$B:$B,"&gt;="&amp;$D6983,DATA_GOC!$B:$B,"&lt;="&amp;$E6983))</f>
        <v/>
      </c>
      <c r="J6983" s="59">
        <f t="shared" si="28"/>
        <v>0</v>
      </c>
      <c r="K6983" s="59">
        <f t="shared" si="29"/>
        <v>0</v>
      </c>
      <c r="L6983" s="59">
        <f t="shared" si="30"/>
        <v>0</v>
      </c>
      <c r="M6983" s="59">
        <f t="shared" si="31"/>
        <v>0</v>
      </c>
    </row>
    <row r="6984" ht="15.0" hidden="1" customHeight="1">
      <c r="A6984" s="59">
        <f t="shared" si="20"/>
        <v>113</v>
      </c>
      <c r="B6984" s="59" t="str">
        <f t="shared" si="21"/>
        <v/>
      </c>
      <c r="C6984" s="59" t="str">
        <f t="shared" si="22"/>
        <v/>
      </c>
      <c r="D6984" s="45" t="str">
        <f t="shared" si="23"/>
        <v/>
      </c>
      <c r="E6984" s="45" t="str">
        <f t="shared" si="24"/>
        <v/>
      </c>
      <c r="F6984" s="59" t="str">
        <f t="shared" si="25"/>
        <v/>
      </c>
      <c r="G6984" s="59" t="str">
        <f t="shared" si="26"/>
        <v/>
      </c>
      <c r="H6984" s="59" t="str">
        <f t="shared" si="27"/>
        <v>28H00003</v>
      </c>
      <c r="I6984" s="59" t="str">
        <f>IF(OR($A6984="",$C6984="",$D6984="",$E6984="",$H6984=""),"",SUMIFS(DATA_GOC!$H:$H,DATA_GOC!$A:$A,"BOM",DATA_GOC!$D:$D,$H6984,DATA_GOC!$E:$E,$C6984,DATA_GOC!$F:$F,"Xuất nội bộ từ téc",DATA_GOC!$B:$B,"&gt;="&amp;$D6984,DATA_GOC!$B:$B,"&lt;="&amp;$E6984))</f>
        <v/>
      </c>
      <c r="J6984" s="59">
        <f t="shared" si="28"/>
        <v>0</v>
      </c>
      <c r="K6984" s="59">
        <f t="shared" si="29"/>
        <v>0</v>
      </c>
      <c r="L6984" s="59">
        <f t="shared" si="30"/>
        <v>0</v>
      </c>
      <c r="M6984" s="59">
        <f t="shared" si="31"/>
        <v>0</v>
      </c>
    </row>
    <row r="6985" ht="15.0" hidden="1" customHeight="1">
      <c r="A6985" s="59">
        <f t="shared" si="20"/>
        <v>113</v>
      </c>
      <c r="B6985" s="59" t="str">
        <f t="shared" si="21"/>
        <v/>
      </c>
      <c r="C6985" s="59" t="str">
        <f t="shared" si="22"/>
        <v/>
      </c>
      <c r="D6985" s="45" t="str">
        <f t="shared" si="23"/>
        <v/>
      </c>
      <c r="E6985" s="45" t="str">
        <f t="shared" si="24"/>
        <v/>
      </c>
      <c r="F6985" s="59" t="str">
        <f t="shared" si="25"/>
        <v/>
      </c>
      <c r="G6985" s="59" t="str">
        <f t="shared" si="26"/>
        <v/>
      </c>
      <c r="H6985" s="59" t="str">
        <f t="shared" si="27"/>
        <v>28H00061</v>
      </c>
      <c r="I6985" s="59" t="str">
        <f>IF(OR($A6985="",$C6985="",$D6985="",$E6985="",$H6985=""),"",SUMIFS(DATA_GOC!$H:$H,DATA_GOC!$A:$A,"BOM",DATA_GOC!$D:$D,$H6985,DATA_GOC!$E:$E,$C6985,DATA_GOC!$F:$F,"Xuất nội bộ từ téc",DATA_GOC!$B:$B,"&gt;="&amp;$D6985,DATA_GOC!$B:$B,"&lt;="&amp;$E6985))</f>
        <v/>
      </c>
      <c r="J6985" s="59">
        <f t="shared" si="28"/>
        <v>0</v>
      </c>
      <c r="K6985" s="59">
        <f t="shared" si="29"/>
        <v>0</v>
      </c>
      <c r="L6985" s="59">
        <f t="shared" si="30"/>
        <v>0</v>
      </c>
      <c r="M6985" s="59">
        <f t="shared" si="31"/>
        <v>0</v>
      </c>
    </row>
    <row r="6986" ht="15.0" hidden="1" customHeight="1">
      <c r="A6986" s="59">
        <f t="shared" si="20"/>
        <v>113</v>
      </c>
      <c r="B6986" s="59" t="str">
        <f t="shared" si="21"/>
        <v/>
      </c>
      <c r="C6986" s="59" t="str">
        <f t="shared" si="22"/>
        <v/>
      </c>
      <c r="D6986" s="45" t="str">
        <f t="shared" si="23"/>
        <v/>
      </c>
      <c r="E6986" s="45" t="str">
        <f t="shared" si="24"/>
        <v/>
      </c>
      <c r="F6986" s="59" t="str">
        <f t="shared" si="25"/>
        <v/>
      </c>
      <c r="G6986" s="59" t="str">
        <f t="shared" si="26"/>
        <v/>
      </c>
      <c r="H6986" s="59" t="str">
        <f t="shared" si="27"/>
        <v>28H00354</v>
      </c>
      <c r="I6986" s="59" t="str">
        <f>IF(OR($A6986="",$C6986="",$D6986="",$E6986="",$H6986=""),"",SUMIFS(DATA_GOC!$H:$H,DATA_GOC!$A:$A,"BOM",DATA_GOC!$D:$D,$H6986,DATA_GOC!$E:$E,$C6986,DATA_GOC!$F:$F,"Xuất nội bộ từ téc",DATA_GOC!$B:$B,"&gt;="&amp;$D6986,DATA_GOC!$B:$B,"&lt;="&amp;$E6986))</f>
        <v/>
      </c>
      <c r="J6986" s="59">
        <f t="shared" si="28"/>
        <v>0</v>
      </c>
      <c r="K6986" s="59">
        <f t="shared" si="29"/>
        <v>0</v>
      </c>
      <c r="L6986" s="59">
        <f t="shared" si="30"/>
        <v>0</v>
      </c>
      <c r="M6986" s="59">
        <f t="shared" si="31"/>
        <v>0</v>
      </c>
    </row>
    <row r="6987" ht="15.0" hidden="1" customHeight="1">
      <c r="A6987" s="59">
        <f t="shared" si="20"/>
        <v>113</v>
      </c>
      <c r="B6987" s="59" t="str">
        <f t="shared" si="21"/>
        <v/>
      </c>
      <c r="C6987" s="59" t="str">
        <f t="shared" si="22"/>
        <v/>
      </c>
      <c r="D6987" s="45" t="str">
        <f t="shared" si="23"/>
        <v/>
      </c>
      <c r="E6987" s="45" t="str">
        <f t="shared" si="24"/>
        <v/>
      </c>
      <c r="F6987" s="59" t="str">
        <f t="shared" si="25"/>
        <v/>
      </c>
      <c r="G6987" s="59" t="str">
        <f t="shared" si="26"/>
        <v/>
      </c>
      <c r="H6987" s="59" t="str">
        <f t="shared" si="27"/>
        <v>28H00603</v>
      </c>
      <c r="I6987" s="59" t="str">
        <f>IF(OR($A6987="",$C6987="",$D6987="",$E6987="",$H6987=""),"",SUMIFS(DATA_GOC!$H:$H,DATA_GOC!$A:$A,"BOM",DATA_GOC!$D:$D,$H6987,DATA_GOC!$E:$E,$C6987,DATA_GOC!$F:$F,"Xuất nội bộ từ téc",DATA_GOC!$B:$B,"&gt;="&amp;$D6987,DATA_GOC!$B:$B,"&lt;="&amp;$E6987))</f>
        <v/>
      </c>
      <c r="J6987" s="59">
        <f t="shared" si="28"/>
        <v>0</v>
      </c>
      <c r="K6987" s="59">
        <f t="shared" si="29"/>
        <v>0</v>
      </c>
      <c r="L6987" s="59">
        <f t="shared" si="30"/>
        <v>0</v>
      </c>
      <c r="M6987" s="59">
        <f t="shared" si="31"/>
        <v>0</v>
      </c>
    </row>
    <row r="6988" ht="15.0" hidden="1" customHeight="1">
      <c r="A6988" s="59">
        <f t="shared" si="20"/>
        <v>113</v>
      </c>
      <c r="B6988" s="59" t="str">
        <f t="shared" si="21"/>
        <v/>
      </c>
      <c r="C6988" s="59" t="str">
        <f t="shared" si="22"/>
        <v/>
      </c>
      <c r="D6988" s="45" t="str">
        <f t="shared" si="23"/>
        <v/>
      </c>
      <c r="E6988" s="45" t="str">
        <f t="shared" si="24"/>
        <v/>
      </c>
      <c r="F6988" s="59" t="str">
        <f t="shared" si="25"/>
        <v/>
      </c>
      <c r="G6988" s="59" t="str">
        <f t="shared" si="26"/>
        <v/>
      </c>
      <c r="H6988" s="59" t="str">
        <f t="shared" si="27"/>
        <v>28H00609</v>
      </c>
      <c r="I6988" s="59" t="str">
        <f>IF(OR($A6988="",$C6988="",$D6988="",$E6988="",$H6988=""),"",SUMIFS(DATA_GOC!$H:$H,DATA_GOC!$A:$A,"BOM",DATA_GOC!$D:$D,$H6988,DATA_GOC!$E:$E,$C6988,DATA_GOC!$F:$F,"Xuất nội bộ từ téc",DATA_GOC!$B:$B,"&gt;="&amp;$D6988,DATA_GOC!$B:$B,"&lt;="&amp;$E6988))</f>
        <v/>
      </c>
      <c r="J6988" s="59">
        <f t="shared" si="28"/>
        <v>0</v>
      </c>
      <c r="K6988" s="59">
        <f t="shared" si="29"/>
        <v>0</v>
      </c>
      <c r="L6988" s="59">
        <f t="shared" si="30"/>
        <v>0</v>
      </c>
      <c r="M6988" s="59">
        <f t="shared" si="31"/>
        <v>0</v>
      </c>
    </row>
    <row r="6989" ht="15.0" hidden="1" customHeight="1">
      <c r="A6989" s="59">
        <f t="shared" si="20"/>
        <v>113</v>
      </c>
      <c r="B6989" s="59" t="str">
        <f t="shared" si="21"/>
        <v/>
      </c>
      <c r="C6989" s="59" t="str">
        <f t="shared" si="22"/>
        <v/>
      </c>
      <c r="D6989" s="45" t="str">
        <f t="shared" si="23"/>
        <v/>
      </c>
      <c r="E6989" s="45" t="str">
        <f t="shared" si="24"/>
        <v/>
      </c>
      <c r="F6989" s="59" t="str">
        <f t="shared" si="25"/>
        <v/>
      </c>
      <c r="G6989" s="59" t="str">
        <f t="shared" si="26"/>
        <v/>
      </c>
      <c r="H6989" s="59" t="str">
        <f t="shared" si="27"/>
        <v>28H00669</v>
      </c>
      <c r="I6989" s="59" t="str">
        <f>IF(OR($A6989="",$C6989="",$D6989="",$E6989="",$H6989=""),"",SUMIFS(DATA_GOC!$H:$H,DATA_GOC!$A:$A,"BOM",DATA_GOC!$D:$D,$H6989,DATA_GOC!$E:$E,$C6989,DATA_GOC!$F:$F,"Xuất nội bộ từ téc",DATA_GOC!$B:$B,"&gt;="&amp;$D6989,DATA_GOC!$B:$B,"&lt;="&amp;$E6989))</f>
        <v/>
      </c>
      <c r="J6989" s="59">
        <f t="shared" si="28"/>
        <v>0</v>
      </c>
      <c r="K6989" s="59">
        <f t="shared" si="29"/>
        <v>0</v>
      </c>
      <c r="L6989" s="59">
        <f t="shared" si="30"/>
        <v>0</v>
      </c>
      <c r="M6989" s="59">
        <f t="shared" si="31"/>
        <v>0</v>
      </c>
    </row>
    <row r="6990" ht="15.0" hidden="1" customHeight="1">
      <c r="A6990" s="59">
        <f t="shared" si="20"/>
        <v>113</v>
      </c>
      <c r="B6990" s="59" t="str">
        <f t="shared" si="21"/>
        <v/>
      </c>
      <c r="C6990" s="59" t="str">
        <f t="shared" si="22"/>
        <v/>
      </c>
      <c r="D6990" s="45" t="str">
        <f t="shared" si="23"/>
        <v/>
      </c>
      <c r="E6990" s="45" t="str">
        <f t="shared" si="24"/>
        <v/>
      </c>
      <c r="F6990" s="59" t="str">
        <f t="shared" si="25"/>
        <v/>
      </c>
      <c r="G6990" s="59" t="str">
        <f t="shared" si="26"/>
        <v/>
      </c>
      <c r="H6990" s="59" t="str">
        <f t="shared" si="27"/>
        <v>28H00680</v>
      </c>
      <c r="I6990" s="59" t="str">
        <f>IF(OR($A6990="",$C6990="",$D6990="",$E6990="",$H6990=""),"",SUMIFS(DATA_GOC!$H:$H,DATA_GOC!$A:$A,"BOM",DATA_GOC!$D:$D,$H6990,DATA_GOC!$E:$E,$C6990,DATA_GOC!$F:$F,"Xuất nội bộ từ téc",DATA_GOC!$B:$B,"&gt;="&amp;$D6990,DATA_GOC!$B:$B,"&lt;="&amp;$E6990))</f>
        <v/>
      </c>
      <c r="J6990" s="59">
        <f t="shared" si="28"/>
        <v>0</v>
      </c>
      <c r="K6990" s="59">
        <f t="shared" si="29"/>
        <v>0</v>
      </c>
      <c r="L6990" s="59">
        <f t="shared" si="30"/>
        <v>0</v>
      </c>
      <c r="M6990" s="59">
        <f t="shared" si="31"/>
        <v>0</v>
      </c>
    </row>
    <row r="6991" ht="15.0" hidden="1" customHeight="1">
      <c r="A6991" s="59">
        <f t="shared" si="20"/>
        <v>113</v>
      </c>
      <c r="B6991" s="59" t="str">
        <f t="shared" si="21"/>
        <v/>
      </c>
      <c r="C6991" s="59" t="str">
        <f t="shared" si="22"/>
        <v/>
      </c>
      <c r="D6991" s="45" t="str">
        <f t="shared" si="23"/>
        <v/>
      </c>
      <c r="E6991" s="45" t="str">
        <f t="shared" si="24"/>
        <v/>
      </c>
      <c r="F6991" s="59" t="str">
        <f t="shared" si="25"/>
        <v/>
      </c>
      <c r="G6991" s="59" t="str">
        <f t="shared" si="26"/>
        <v/>
      </c>
      <c r="H6991" s="59" t="str">
        <f t="shared" si="27"/>
        <v>28H01070</v>
      </c>
      <c r="I6991" s="59" t="str">
        <f>IF(OR($A6991="",$C6991="",$D6991="",$E6991="",$H6991=""),"",SUMIFS(DATA_GOC!$H:$H,DATA_GOC!$A:$A,"BOM",DATA_GOC!$D:$D,$H6991,DATA_GOC!$E:$E,$C6991,DATA_GOC!$F:$F,"Xuất nội bộ từ téc",DATA_GOC!$B:$B,"&gt;="&amp;$D6991,DATA_GOC!$B:$B,"&lt;="&amp;$E6991))</f>
        <v/>
      </c>
      <c r="J6991" s="59">
        <f t="shared" si="28"/>
        <v>0</v>
      </c>
      <c r="K6991" s="59">
        <f t="shared" si="29"/>
        <v>0</v>
      </c>
      <c r="L6991" s="59">
        <f t="shared" si="30"/>
        <v>0</v>
      </c>
      <c r="M6991" s="59">
        <f t="shared" si="31"/>
        <v>0</v>
      </c>
    </row>
    <row r="6992" ht="15.0" hidden="1" customHeight="1">
      <c r="A6992" s="59">
        <f t="shared" si="20"/>
        <v>113</v>
      </c>
      <c r="B6992" s="59" t="str">
        <f t="shared" si="21"/>
        <v/>
      </c>
      <c r="C6992" s="59" t="str">
        <f t="shared" si="22"/>
        <v/>
      </c>
      <c r="D6992" s="45" t="str">
        <f t="shared" si="23"/>
        <v/>
      </c>
      <c r="E6992" s="45" t="str">
        <f t="shared" si="24"/>
        <v/>
      </c>
      <c r="F6992" s="59" t="str">
        <f t="shared" si="25"/>
        <v/>
      </c>
      <c r="G6992" s="59" t="str">
        <f t="shared" si="26"/>
        <v/>
      </c>
      <c r="H6992" s="59" t="str">
        <f t="shared" si="27"/>
        <v>28H01364</v>
      </c>
      <c r="I6992" s="59" t="str">
        <f>IF(OR($A6992="",$C6992="",$D6992="",$E6992="",$H6992=""),"",SUMIFS(DATA_GOC!$H:$H,DATA_GOC!$A:$A,"BOM",DATA_GOC!$D:$D,$H6992,DATA_GOC!$E:$E,$C6992,DATA_GOC!$F:$F,"Xuất nội bộ từ téc",DATA_GOC!$B:$B,"&gt;="&amp;$D6992,DATA_GOC!$B:$B,"&lt;="&amp;$E6992))</f>
        <v/>
      </c>
      <c r="J6992" s="59">
        <f t="shared" si="28"/>
        <v>0</v>
      </c>
      <c r="K6992" s="59">
        <f t="shared" si="29"/>
        <v>0</v>
      </c>
      <c r="L6992" s="59">
        <f t="shared" si="30"/>
        <v>0</v>
      </c>
      <c r="M6992" s="59">
        <f t="shared" si="31"/>
        <v>0</v>
      </c>
    </row>
    <row r="6993" ht="15.0" hidden="1" customHeight="1">
      <c r="A6993" s="59">
        <f t="shared" si="20"/>
        <v>113</v>
      </c>
      <c r="B6993" s="59" t="str">
        <f t="shared" si="21"/>
        <v/>
      </c>
      <c r="C6993" s="59" t="str">
        <f t="shared" si="22"/>
        <v/>
      </c>
      <c r="D6993" s="45" t="str">
        <f t="shared" si="23"/>
        <v/>
      </c>
      <c r="E6993" s="45" t="str">
        <f t="shared" si="24"/>
        <v/>
      </c>
      <c r="F6993" s="59" t="str">
        <f t="shared" si="25"/>
        <v/>
      </c>
      <c r="G6993" s="59" t="str">
        <f t="shared" si="26"/>
        <v/>
      </c>
      <c r="H6993" s="59" t="str">
        <f t="shared" si="27"/>
        <v>29E17269</v>
      </c>
      <c r="I6993" s="59" t="str">
        <f>IF(OR($A6993="",$C6993="",$D6993="",$E6993="",$H6993=""),"",SUMIFS(DATA_GOC!$H:$H,DATA_GOC!$A:$A,"BOM",DATA_GOC!$D:$D,$H6993,DATA_GOC!$E:$E,$C6993,DATA_GOC!$F:$F,"Xuất nội bộ từ téc",DATA_GOC!$B:$B,"&gt;="&amp;$D6993,DATA_GOC!$B:$B,"&lt;="&amp;$E6993))</f>
        <v/>
      </c>
      <c r="J6993" s="59">
        <f t="shared" si="28"/>
        <v>0</v>
      </c>
      <c r="K6993" s="59">
        <f t="shared" si="29"/>
        <v>0</v>
      </c>
      <c r="L6993" s="59">
        <f t="shared" si="30"/>
        <v>0</v>
      </c>
      <c r="M6993" s="59">
        <f t="shared" si="31"/>
        <v>0</v>
      </c>
    </row>
    <row r="6994" ht="15.0" hidden="1" customHeight="1">
      <c r="A6994" s="59">
        <f t="shared" si="20"/>
        <v>113</v>
      </c>
      <c r="B6994" s="59" t="str">
        <f t="shared" si="21"/>
        <v/>
      </c>
      <c r="C6994" s="59" t="str">
        <f t="shared" si="22"/>
        <v/>
      </c>
      <c r="D6994" s="45" t="str">
        <f t="shared" si="23"/>
        <v/>
      </c>
      <c r="E6994" s="45" t="str">
        <f t="shared" si="24"/>
        <v/>
      </c>
      <c r="F6994" s="59" t="str">
        <f t="shared" si="25"/>
        <v/>
      </c>
      <c r="G6994" s="59" t="str">
        <f t="shared" si="26"/>
        <v/>
      </c>
      <c r="H6994" s="59" t="str">
        <f t="shared" si="27"/>
        <v>29E17273</v>
      </c>
      <c r="I6994" s="59" t="str">
        <f>IF(OR($A6994="",$C6994="",$D6994="",$E6994="",$H6994=""),"",SUMIFS(DATA_GOC!$H:$H,DATA_GOC!$A:$A,"BOM",DATA_GOC!$D:$D,$H6994,DATA_GOC!$E:$E,$C6994,DATA_GOC!$F:$F,"Xuất nội bộ từ téc",DATA_GOC!$B:$B,"&gt;="&amp;$D6994,DATA_GOC!$B:$B,"&lt;="&amp;$E6994))</f>
        <v/>
      </c>
      <c r="J6994" s="59">
        <f t="shared" si="28"/>
        <v>0</v>
      </c>
      <c r="K6994" s="59">
        <f t="shared" si="29"/>
        <v>0</v>
      </c>
      <c r="L6994" s="59">
        <f t="shared" si="30"/>
        <v>0</v>
      </c>
      <c r="M6994" s="59">
        <f t="shared" si="31"/>
        <v>0</v>
      </c>
    </row>
    <row r="6995" ht="15.0" hidden="1" customHeight="1">
      <c r="A6995" s="59">
        <f t="shared" si="20"/>
        <v>113</v>
      </c>
      <c r="B6995" s="59" t="str">
        <f t="shared" si="21"/>
        <v/>
      </c>
      <c r="C6995" s="59" t="str">
        <f t="shared" si="22"/>
        <v/>
      </c>
      <c r="D6995" s="45" t="str">
        <f t="shared" si="23"/>
        <v/>
      </c>
      <c r="E6995" s="45" t="str">
        <f t="shared" si="24"/>
        <v/>
      </c>
      <c r="F6995" s="59" t="str">
        <f t="shared" si="25"/>
        <v/>
      </c>
      <c r="G6995" s="59" t="str">
        <f t="shared" si="26"/>
        <v/>
      </c>
      <c r="H6995" s="59" t="str">
        <f t="shared" si="27"/>
        <v>29E17410</v>
      </c>
      <c r="I6995" s="59" t="str">
        <f>IF(OR($A6995="",$C6995="",$D6995="",$E6995="",$H6995=""),"",SUMIFS(DATA_GOC!$H:$H,DATA_GOC!$A:$A,"BOM",DATA_GOC!$D:$D,$H6995,DATA_GOC!$E:$E,$C6995,DATA_GOC!$F:$F,"Xuất nội bộ từ téc",DATA_GOC!$B:$B,"&gt;="&amp;$D6995,DATA_GOC!$B:$B,"&lt;="&amp;$E6995))</f>
        <v/>
      </c>
      <c r="J6995" s="59">
        <f t="shared" si="28"/>
        <v>0</v>
      </c>
      <c r="K6995" s="59">
        <f t="shared" si="29"/>
        <v>0</v>
      </c>
      <c r="L6995" s="59">
        <f t="shared" si="30"/>
        <v>0</v>
      </c>
      <c r="M6995" s="59">
        <f t="shared" si="31"/>
        <v>0</v>
      </c>
    </row>
    <row r="6996" ht="15.0" hidden="1" customHeight="1">
      <c r="A6996" s="59">
        <f t="shared" si="20"/>
        <v>113</v>
      </c>
      <c r="B6996" s="59" t="str">
        <f t="shared" si="21"/>
        <v/>
      </c>
      <c r="C6996" s="59" t="str">
        <f t="shared" si="22"/>
        <v/>
      </c>
      <c r="D6996" s="45" t="str">
        <f t="shared" si="23"/>
        <v/>
      </c>
      <c r="E6996" s="45" t="str">
        <f t="shared" si="24"/>
        <v/>
      </c>
      <c r="F6996" s="59" t="str">
        <f t="shared" si="25"/>
        <v/>
      </c>
      <c r="G6996" s="59" t="str">
        <f t="shared" si="26"/>
        <v/>
      </c>
      <c r="H6996" s="59" t="str">
        <f t="shared" si="27"/>
        <v>29E17417</v>
      </c>
      <c r="I6996" s="59" t="str">
        <f>IF(OR($A6996="",$C6996="",$D6996="",$E6996="",$H6996=""),"",SUMIFS(DATA_GOC!$H:$H,DATA_GOC!$A:$A,"BOM",DATA_GOC!$D:$D,$H6996,DATA_GOC!$E:$E,$C6996,DATA_GOC!$F:$F,"Xuất nội bộ từ téc",DATA_GOC!$B:$B,"&gt;="&amp;$D6996,DATA_GOC!$B:$B,"&lt;="&amp;$E6996))</f>
        <v/>
      </c>
      <c r="J6996" s="59">
        <f t="shared" si="28"/>
        <v>0</v>
      </c>
      <c r="K6996" s="59">
        <f t="shared" si="29"/>
        <v>0</v>
      </c>
      <c r="L6996" s="59">
        <f t="shared" si="30"/>
        <v>0</v>
      </c>
      <c r="M6996" s="59">
        <f t="shared" si="31"/>
        <v>0</v>
      </c>
    </row>
    <row r="6997" ht="15.0" hidden="1" customHeight="1">
      <c r="A6997" s="59">
        <f t="shared" si="20"/>
        <v>113</v>
      </c>
      <c r="B6997" s="59" t="str">
        <f t="shared" si="21"/>
        <v/>
      </c>
      <c r="C6997" s="59" t="str">
        <f t="shared" si="22"/>
        <v/>
      </c>
      <c r="D6997" s="45" t="str">
        <f t="shared" si="23"/>
        <v/>
      </c>
      <c r="E6997" s="45" t="str">
        <f t="shared" si="24"/>
        <v/>
      </c>
      <c r="F6997" s="59" t="str">
        <f t="shared" si="25"/>
        <v/>
      </c>
      <c r="G6997" s="59" t="str">
        <f t="shared" si="26"/>
        <v/>
      </c>
      <c r="H6997" s="59" t="str">
        <f t="shared" si="27"/>
        <v>29E17539</v>
      </c>
      <c r="I6997" s="59" t="str">
        <f>IF(OR($A6997="",$C6997="",$D6997="",$E6997="",$H6997=""),"",SUMIFS(DATA_GOC!$H:$H,DATA_GOC!$A:$A,"BOM",DATA_GOC!$D:$D,$H6997,DATA_GOC!$E:$E,$C6997,DATA_GOC!$F:$F,"Xuất nội bộ từ téc",DATA_GOC!$B:$B,"&gt;="&amp;$D6997,DATA_GOC!$B:$B,"&lt;="&amp;$E6997))</f>
        <v/>
      </c>
      <c r="J6997" s="59">
        <f t="shared" si="28"/>
        <v>0</v>
      </c>
      <c r="K6997" s="59">
        <f t="shared" si="29"/>
        <v>0</v>
      </c>
      <c r="L6997" s="59">
        <f t="shared" si="30"/>
        <v>0</v>
      </c>
      <c r="M6997" s="59">
        <f t="shared" si="31"/>
        <v>0</v>
      </c>
    </row>
    <row r="6998" ht="15.0" hidden="1" customHeight="1">
      <c r="A6998" s="59">
        <f t="shared" si="20"/>
        <v>113</v>
      </c>
      <c r="B6998" s="59" t="str">
        <f t="shared" si="21"/>
        <v/>
      </c>
      <c r="C6998" s="59" t="str">
        <f t="shared" si="22"/>
        <v/>
      </c>
      <c r="D6998" s="45" t="str">
        <f t="shared" si="23"/>
        <v/>
      </c>
      <c r="E6998" s="45" t="str">
        <f t="shared" si="24"/>
        <v/>
      </c>
      <c r="F6998" s="59" t="str">
        <f t="shared" si="25"/>
        <v/>
      </c>
      <c r="G6998" s="59" t="str">
        <f t="shared" si="26"/>
        <v/>
      </c>
      <c r="H6998" s="59" t="str">
        <f t="shared" si="27"/>
        <v>29E18160</v>
      </c>
      <c r="I6998" s="59" t="str">
        <f>IF(OR($A6998="",$C6998="",$D6998="",$E6998="",$H6998=""),"",SUMIFS(DATA_GOC!$H:$H,DATA_GOC!$A:$A,"BOM",DATA_GOC!$D:$D,$H6998,DATA_GOC!$E:$E,$C6998,DATA_GOC!$F:$F,"Xuất nội bộ từ téc",DATA_GOC!$B:$B,"&gt;="&amp;$D6998,DATA_GOC!$B:$B,"&lt;="&amp;$E6998))</f>
        <v/>
      </c>
      <c r="J6998" s="59">
        <f t="shared" si="28"/>
        <v>0</v>
      </c>
      <c r="K6998" s="59">
        <f t="shared" si="29"/>
        <v>0</v>
      </c>
      <c r="L6998" s="59">
        <f t="shared" si="30"/>
        <v>0</v>
      </c>
      <c r="M6998" s="59">
        <f t="shared" si="31"/>
        <v>0</v>
      </c>
    </row>
    <row r="6999" ht="15.0" hidden="1" customHeight="1">
      <c r="A6999" s="59">
        <f t="shared" si="20"/>
        <v>113</v>
      </c>
      <c r="B6999" s="59" t="str">
        <f t="shared" si="21"/>
        <v/>
      </c>
      <c r="C6999" s="59" t="str">
        <f t="shared" si="22"/>
        <v/>
      </c>
      <c r="D6999" s="45" t="str">
        <f t="shared" si="23"/>
        <v/>
      </c>
      <c r="E6999" s="45" t="str">
        <f t="shared" si="24"/>
        <v/>
      </c>
      <c r="F6999" s="59" t="str">
        <f t="shared" si="25"/>
        <v/>
      </c>
      <c r="G6999" s="59" t="str">
        <f t="shared" si="26"/>
        <v/>
      </c>
      <c r="H6999" s="59" t="str">
        <f t="shared" si="27"/>
        <v>Công trình Asphalt</v>
      </c>
      <c r="I6999" s="59" t="str">
        <f>IF(OR($A6999="",$C6999="",$D6999="",$E6999="",$H6999=""),"",SUMIFS(DATA_GOC!$H:$H,DATA_GOC!$A:$A,"BOM",DATA_GOC!$D:$D,$H6999,DATA_GOC!$E:$E,$C6999,DATA_GOC!$F:$F,"Xuất nội bộ từ téc",DATA_GOC!$B:$B,"&gt;="&amp;$D6999,DATA_GOC!$B:$B,"&lt;="&amp;$E6999))</f>
        <v/>
      </c>
      <c r="J6999" s="59">
        <f t="shared" si="28"/>
        <v>0</v>
      </c>
      <c r="K6999" s="59">
        <f t="shared" si="29"/>
        <v>0</v>
      </c>
      <c r="L6999" s="59">
        <f t="shared" si="30"/>
        <v>0</v>
      </c>
      <c r="M6999" s="59">
        <f t="shared" si="31"/>
        <v>0</v>
      </c>
    </row>
    <row r="7000" ht="15.0" hidden="1" customHeight="1">
      <c r="A7000" s="59">
        <f t="shared" si="20"/>
        <v>113</v>
      </c>
      <c r="B7000" s="59" t="str">
        <f t="shared" si="21"/>
        <v/>
      </c>
      <c r="C7000" s="59" t="str">
        <f t="shared" si="22"/>
        <v/>
      </c>
      <c r="D7000" s="45" t="str">
        <f t="shared" si="23"/>
        <v/>
      </c>
      <c r="E7000" s="45" t="str">
        <f t="shared" si="24"/>
        <v/>
      </c>
      <c r="F7000" s="59" t="str">
        <f t="shared" si="25"/>
        <v/>
      </c>
      <c r="G7000" s="59" t="str">
        <f t="shared" si="26"/>
        <v/>
      </c>
      <c r="H7000" s="59" t="str">
        <f t="shared" si="27"/>
        <v>LG53F</v>
      </c>
      <c r="I7000" s="59" t="str">
        <f>IF(OR($A7000="",$C7000="",$D7000="",$E7000="",$H7000=""),"",SUMIFS(DATA_GOC!$H:$H,DATA_GOC!$A:$A,"BOM",DATA_GOC!$D:$D,$H7000,DATA_GOC!$E:$E,$C7000,DATA_GOC!$F:$F,"Xuất nội bộ từ téc",DATA_GOC!$B:$B,"&gt;="&amp;$D7000,DATA_GOC!$B:$B,"&lt;="&amp;$E7000))</f>
        <v/>
      </c>
      <c r="J7000" s="59">
        <f t="shared" si="28"/>
        <v>0</v>
      </c>
      <c r="K7000" s="59">
        <f t="shared" si="29"/>
        <v>0</v>
      </c>
      <c r="L7000" s="59">
        <f t="shared" si="30"/>
        <v>0</v>
      </c>
      <c r="M7000" s="59">
        <f t="shared" si="31"/>
        <v>0</v>
      </c>
    </row>
    <row r="7001" ht="15.0" hidden="1" customHeight="1">
      <c r="A7001" s="59">
        <f t="shared" si="20"/>
        <v>113</v>
      </c>
      <c r="B7001" s="59" t="str">
        <f t="shared" si="21"/>
        <v/>
      </c>
      <c r="C7001" s="59" t="str">
        <f t="shared" si="22"/>
        <v/>
      </c>
      <c r="D7001" s="45" t="str">
        <f t="shared" si="23"/>
        <v/>
      </c>
      <c r="E7001" s="45" t="str">
        <f t="shared" si="24"/>
        <v/>
      </c>
      <c r="F7001" s="59" t="str">
        <f t="shared" si="25"/>
        <v/>
      </c>
      <c r="G7001" s="59" t="str">
        <f t="shared" si="26"/>
        <v/>
      </c>
      <c r="H7001" s="59" t="str">
        <f t="shared" si="27"/>
        <v>Máy phát điện</v>
      </c>
      <c r="I7001" s="59" t="str">
        <f>IF(OR($A7001="",$C7001="",$D7001="",$E7001="",$H7001=""),"",SUMIFS(DATA_GOC!$H:$H,DATA_GOC!$A:$A,"BOM",DATA_GOC!$D:$D,$H7001,DATA_GOC!$E:$E,$C7001,DATA_GOC!$F:$F,"Xuất nội bộ từ téc",DATA_GOC!$B:$B,"&gt;="&amp;$D7001,DATA_GOC!$B:$B,"&lt;="&amp;$E7001))</f>
        <v/>
      </c>
      <c r="J7001" s="59">
        <f t="shared" si="28"/>
        <v>0</v>
      </c>
      <c r="K7001" s="59">
        <f t="shared" si="29"/>
        <v>0</v>
      </c>
      <c r="L7001" s="59">
        <f t="shared" si="30"/>
        <v>0</v>
      </c>
      <c r="M7001" s="59">
        <f t="shared" si="31"/>
        <v>0</v>
      </c>
    </row>
    <row r="7002" ht="15.0" hidden="1" customHeight="1">
      <c r="A7002" s="59">
        <f t="shared" si="20"/>
        <v>113</v>
      </c>
      <c r="B7002" s="59" t="str">
        <f t="shared" si="21"/>
        <v/>
      </c>
      <c r="C7002" s="59" t="str">
        <f t="shared" si="22"/>
        <v/>
      </c>
      <c r="D7002" s="45" t="str">
        <f t="shared" si="23"/>
        <v/>
      </c>
      <c r="E7002" s="45" t="str">
        <f t="shared" si="24"/>
        <v/>
      </c>
      <c r="F7002" s="59" t="str">
        <f t="shared" si="25"/>
        <v/>
      </c>
      <c r="G7002" s="59" t="str">
        <f t="shared" si="26"/>
        <v/>
      </c>
      <c r="H7002" s="59" t="str">
        <f t="shared" si="27"/>
        <v>Máy rải thảm</v>
      </c>
      <c r="I7002" s="59" t="str">
        <f>IF(OR($A7002="",$C7002="",$D7002="",$E7002="",$H7002=""),"",SUMIFS(DATA_GOC!$H:$H,DATA_GOC!$A:$A,"BOM",DATA_GOC!$D:$D,$H7002,DATA_GOC!$E:$E,$C7002,DATA_GOC!$F:$F,"Xuất nội bộ từ téc",DATA_GOC!$B:$B,"&gt;="&amp;$D7002,DATA_GOC!$B:$B,"&lt;="&amp;$E7002))</f>
        <v/>
      </c>
      <c r="J7002" s="59">
        <f t="shared" si="28"/>
        <v>0</v>
      </c>
      <c r="K7002" s="59">
        <f t="shared" si="29"/>
        <v>0</v>
      </c>
      <c r="L7002" s="59">
        <f t="shared" si="30"/>
        <v>0</v>
      </c>
      <c r="M7002" s="59">
        <f t="shared" si="31"/>
        <v>0</v>
      </c>
    </row>
    <row r="7003" ht="15.0" hidden="1" customHeight="1">
      <c r="A7003" s="59">
        <f t="shared" si="20"/>
        <v>113</v>
      </c>
      <c r="B7003" s="59" t="str">
        <f t="shared" si="21"/>
        <v/>
      </c>
      <c r="C7003" s="59" t="str">
        <f t="shared" si="22"/>
        <v/>
      </c>
      <c r="D7003" s="45" t="str">
        <f t="shared" si="23"/>
        <v/>
      </c>
      <c r="E7003" s="45" t="str">
        <f t="shared" si="24"/>
        <v/>
      </c>
      <c r="F7003" s="59" t="str">
        <f t="shared" si="25"/>
        <v/>
      </c>
      <c r="G7003" s="59" t="str">
        <f t="shared" si="26"/>
        <v/>
      </c>
      <c r="H7003" s="59" t="str">
        <f t="shared" si="27"/>
        <v>Xúc Đào</v>
      </c>
      <c r="I7003" s="59" t="str">
        <f>IF(OR($A7003="",$C7003="",$D7003="",$E7003="",$H7003=""),"",SUMIFS(DATA_GOC!$H:$H,DATA_GOC!$A:$A,"BOM",DATA_GOC!$D:$D,$H7003,DATA_GOC!$E:$E,$C7003,DATA_GOC!$F:$F,"Xuất nội bộ từ téc",DATA_GOC!$B:$B,"&gt;="&amp;$D7003,DATA_GOC!$B:$B,"&lt;="&amp;$E7003))</f>
        <v/>
      </c>
      <c r="J7003" s="59">
        <f t="shared" si="28"/>
        <v>0</v>
      </c>
      <c r="K7003" s="59">
        <f t="shared" si="29"/>
        <v>0</v>
      </c>
      <c r="L7003" s="59">
        <f t="shared" si="30"/>
        <v>0</v>
      </c>
      <c r="M7003" s="59">
        <f t="shared" si="31"/>
        <v>0</v>
      </c>
    </row>
    <row r="7004" ht="15.0" hidden="1" customHeight="1">
      <c r="A7004" s="59">
        <f t="shared" si="20"/>
        <v>113</v>
      </c>
      <c r="B7004" s="59" t="str">
        <f t="shared" si="21"/>
        <v/>
      </c>
      <c r="C7004" s="59" t="str">
        <f t="shared" si="22"/>
        <v/>
      </c>
      <c r="D7004" s="45" t="str">
        <f t="shared" si="23"/>
        <v/>
      </c>
      <c r="E7004" s="45" t="str">
        <f t="shared" si="24"/>
        <v/>
      </c>
      <c r="F7004" s="59" t="str">
        <f t="shared" si="25"/>
        <v/>
      </c>
      <c r="G7004" s="59" t="str">
        <f t="shared" si="26"/>
        <v/>
      </c>
      <c r="H7004" s="59" t="str">
        <f t="shared" si="27"/>
        <v>Xúclật asphalt</v>
      </c>
      <c r="I7004" s="59" t="str">
        <f>IF(OR($A7004="",$C7004="",$D7004="",$E7004="",$H7004=""),"",SUMIFS(DATA_GOC!$H:$H,DATA_GOC!$A:$A,"BOM",DATA_GOC!$D:$D,$H7004,DATA_GOC!$E:$E,$C7004,DATA_GOC!$F:$F,"Xuất nội bộ từ téc",DATA_GOC!$B:$B,"&gt;="&amp;$D7004,DATA_GOC!$B:$B,"&lt;="&amp;$E7004))</f>
        <v/>
      </c>
      <c r="J7004" s="59">
        <f t="shared" si="28"/>
        <v>0</v>
      </c>
      <c r="K7004" s="59">
        <f t="shared" si="29"/>
        <v>0</v>
      </c>
      <c r="L7004" s="59">
        <f t="shared" si="30"/>
        <v>0</v>
      </c>
      <c r="M7004" s="59">
        <f t="shared" si="31"/>
        <v>0</v>
      </c>
    </row>
    <row r="7005" ht="15.0" hidden="1" customHeight="1">
      <c r="A7005" s="59">
        <f t="shared" si="20"/>
        <v>113</v>
      </c>
      <c r="B7005" s="59" t="str">
        <f t="shared" si="21"/>
        <v/>
      </c>
      <c r="C7005" s="59" t="str">
        <f t="shared" si="22"/>
        <v/>
      </c>
      <c r="D7005" s="45" t="str">
        <f t="shared" si="23"/>
        <v/>
      </c>
      <c r="E7005" s="45" t="str">
        <f t="shared" si="24"/>
        <v/>
      </c>
      <c r="F7005" s="59" t="str">
        <f t="shared" si="25"/>
        <v/>
      </c>
      <c r="G7005" s="59" t="str">
        <f t="shared" si="26"/>
        <v/>
      </c>
      <c r="H7005" s="59" t="str">
        <f t="shared" si="27"/>
        <v>Xúclật855H</v>
      </c>
      <c r="I7005" s="59" t="str">
        <f>IF(OR($A7005="",$C7005="",$D7005="",$E7005="",$H7005=""),"",SUMIFS(DATA_GOC!$H:$H,DATA_GOC!$A:$A,"BOM",DATA_GOC!$D:$D,$H7005,DATA_GOC!$E:$E,$C7005,DATA_GOC!$F:$F,"Xuất nội bộ từ téc",DATA_GOC!$B:$B,"&gt;="&amp;$D7005,DATA_GOC!$B:$B,"&lt;="&amp;$E7005))</f>
        <v/>
      </c>
      <c r="J7005" s="59">
        <f t="shared" si="28"/>
        <v>0</v>
      </c>
      <c r="K7005" s="59">
        <f t="shared" si="29"/>
        <v>0</v>
      </c>
      <c r="L7005" s="59">
        <f t="shared" si="30"/>
        <v>0</v>
      </c>
      <c r="M7005" s="59">
        <f t="shared" si="31"/>
        <v>0</v>
      </c>
    </row>
    <row r="7006" ht="15.0" hidden="1" customHeight="1">
      <c r="A7006" s="59">
        <f t="shared" si="20"/>
        <v>113</v>
      </c>
      <c r="B7006" s="59" t="str">
        <f t="shared" si="21"/>
        <v/>
      </c>
      <c r="C7006" s="59" t="str">
        <f t="shared" si="22"/>
        <v/>
      </c>
      <c r="D7006" s="45" t="str">
        <f t="shared" si="23"/>
        <v/>
      </c>
      <c r="E7006" s="45" t="str">
        <f t="shared" si="24"/>
        <v/>
      </c>
      <c r="F7006" s="59" t="str">
        <f t="shared" si="25"/>
        <v/>
      </c>
      <c r="G7006" s="59" t="str">
        <f t="shared" si="26"/>
        <v/>
      </c>
      <c r="H7006" s="59" t="str">
        <f t="shared" si="27"/>
        <v>Xúclật855N</v>
      </c>
      <c r="I7006" s="59" t="str">
        <f>IF(OR($A7006="",$C7006="",$D7006="",$E7006="",$H7006=""),"",SUMIFS(DATA_GOC!$H:$H,DATA_GOC!$A:$A,"BOM",DATA_GOC!$D:$D,$H7006,DATA_GOC!$E:$E,$C7006,DATA_GOC!$F:$F,"Xuất nội bộ từ téc",DATA_GOC!$B:$B,"&gt;="&amp;$D7006,DATA_GOC!$B:$B,"&lt;="&amp;$E7006))</f>
        <v/>
      </c>
      <c r="J7006" s="59">
        <f t="shared" si="28"/>
        <v>0</v>
      </c>
      <c r="K7006" s="59">
        <f t="shared" si="29"/>
        <v>0</v>
      </c>
      <c r="L7006" s="59">
        <f t="shared" si="30"/>
        <v>0</v>
      </c>
      <c r="M7006" s="59">
        <f t="shared" si="31"/>
        <v>0</v>
      </c>
    </row>
    <row r="7007" ht="15.0" hidden="1" customHeight="1">
      <c r="A7007" s="59">
        <f t="shared" si="20"/>
        <v>113</v>
      </c>
      <c r="B7007" s="59" t="str">
        <f t="shared" si="21"/>
        <v/>
      </c>
      <c r="C7007" s="59" t="str">
        <f t="shared" si="22"/>
        <v/>
      </c>
      <c r="D7007" s="45" t="str">
        <f t="shared" si="23"/>
        <v/>
      </c>
      <c r="E7007" s="45" t="str">
        <f t="shared" si="24"/>
        <v/>
      </c>
      <c r="F7007" s="59" t="str">
        <f t="shared" si="25"/>
        <v/>
      </c>
      <c r="G7007" s="59" t="str">
        <f t="shared" si="26"/>
        <v/>
      </c>
      <c r="H7007" s="59" t="str">
        <f t="shared" si="27"/>
        <v>Cát nghiền</v>
      </c>
      <c r="I7007" s="59" t="str">
        <f>IF(OR($A7007="",$C7007="",$D7007="",$E7007="",$H7007=""),"",SUMIFS(DATA_GOC!$H:$H,DATA_GOC!$A:$A,"BOM",DATA_GOC!$D:$D,$H7007,DATA_GOC!$E:$E,$C7007,DATA_GOC!$F:$F,"Xuất nội bộ từ téc",DATA_GOC!$B:$B,"&gt;="&amp;$D7007,DATA_GOC!$B:$B,"&lt;="&amp;$E7007))</f>
        <v/>
      </c>
      <c r="J7007" s="59">
        <f t="shared" si="28"/>
        <v>0</v>
      </c>
      <c r="K7007" s="59">
        <f t="shared" si="29"/>
        <v>0</v>
      </c>
      <c r="L7007" s="59">
        <f t="shared" si="30"/>
        <v>0</v>
      </c>
      <c r="M7007" s="59">
        <f t="shared" si="31"/>
        <v>0</v>
      </c>
    </row>
    <row r="7008" ht="15.0" hidden="1" customHeight="1">
      <c r="A7008" s="59">
        <f t="shared" si="20"/>
        <v>113</v>
      </c>
      <c r="B7008" s="59" t="str">
        <f t="shared" si="21"/>
        <v/>
      </c>
      <c r="C7008" s="59" t="str">
        <f t="shared" si="22"/>
        <v/>
      </c>
      <c r="D7008" s="45" t="str">
        <f t="shared" si="23"/>
        <v/>
      </c>
      <c r="E7008" s="45" t="str">
        <f t="shared" si="24"/>
        <v/>
      </c>
      <c r="F7008" s="59" t="str">
        <f t="shared" si="25"/>
        <v/>
      </c>
      <c r="G7008" s="59" t="str">
        <f t="shared" si="26"/>
        <v/>
      </c>
      <c r="H7008" s="59" t="str">
        <f t="shared" si="27"/>
        <v>28C02973</v>
      </c>
      <c r="I7008" s="59" t="str">
        <f>IF(OR($A7008="",$C7008="",$D7008="",$E7008="",$H7008=""),"",SUMIFS(DATA_GOC!$H:$H,DATA_GOC!$A:$A,"BOM",DATA_GOC!$D:$D,$H7008,DATA_GOC!$E:$E,$C7008,DATA_GOC!$F:$F,"Xuất nội bộ từ téc",DATA_GOC!$B:$B,"&gt;="&amp;$D7008,DATA_GOC!$B:$B,"&lt;="&amp;$E7008))</f>
        <v/>
      </c>
      <c r="J7008" s="59">
        <f t="shared" si="28"/>
        <v>0</v>
      </c>
      <c r="K7008" s="59">
        <f t="shared" si="29"/>
        <v>0</v>
      </c>
      <c r="L7008" s="59">
        <f t="shared" si="30"/>
        <v>0</v>
      </c>
      <c r="M7008" s="59">
        <f t="shared" si="31"/>
        <v>0</v>
      </c>
    </row>
    <row r="7009" ht="15.0" hidden="1" customHeight="1">
      <c r="A7009" s="59">
        <f t="shared" si="20"/>
        <v>113</v>
      </c>
      <c r="B7009" s="59" t="str">
        <f t="shared" si="21"/>
        <v/>
      </c>
      <c r="C7009" s="59" t="str">
        <f t="shared" si="22"/>
        <v/>
      </c>
      <c r="D7009" s="45" t="str">
        <f t="shared" si="23"/>
        <v/>
      </c>
      <c r="E7009" s="45" t="str">
        <f t="shared" si="24"/>
        <v/>
      </c>
      <c r="F7009" s="59" t="str">
        <f t="shared" si="25"/>
        <v/>
      </c>
      <c r="G7009" s="59" t="str">
        <f t="shared" si="26"/>
        <v/>
      </c>
      <c r="H7009" s="59" t="str">
        <f t="shared" si="27"/>
        <v>28C03044</v>
      </c>
      <c r="I7009" s="59" t="str">
        <f>IF(OR($A7009="",$C7009="",$D7009="",$E7009="",$H7009=""),"",SUMIFS(DATA_GOC!$H:$H,DATA_GOC!$A:$A,"BOM",DATA_GOC!$D:$D,$H7009,DATA_GOC!$E:$E,$C7009,DATA_GOC!$F:$F,"Xuất nội bộ từ téc",DATA_GOC!$B:$B,"&gt;="&amp;$D7009,DATA_GOC!$B:$B,"&lt;="&amp;$E7009))</f>
        <v/>
      </c>
      <c r="J7009" s="59">
        <f t="shared" si="28"/>
        <v>0</v>
      </c>
      <c r="K7009" s="59">
        <f t="shared" si="29"/>
        <v>0</v>
      </c>
      <c r="L7009" s="59">
        <f t="shared" si="30"/>
        <v>0</v>
      </c>
      <c r="M7009" s="59">
        <f t="shared" si="31"/>
        <v>0</v>
      </c>
    </row>
    <row r="7010" ht="15.0" hidden="1" customHeight="1">
      <c r="A7010" s="59">
        <f t="shared" si="20"/>
        <v>113</v>
      </c>
      <c r="B7010" s="59" t="str">
        <f t="shared" si="21"/>
        <v/>
      </c>
      <c r="C7010" s="59" t="str">
        <f t="shared" si="22"/>
        <v/>
      </c>
      <c r="D7010" s="45" t="str">
        <f t="shared" si="23"/>
        <v/>
      </c>
      <c r="E7010" s="45" t="str">
        <f t="shared" si="24"/>
        <v/>
      </c>
      <c r="F7010" s="59" t="str">
        <f t="shared" si="25"/>
        <v/>
      </c>
      <c r="G7010" s="59" t="str">
        <f t="shared" si="26"/>
        <v/>
      </c>
      <c r="H7010" s="59" t="str">
        <f t="shared" si="27"/>
        <v>Máy lu lốp</v>
      </c>
      <c r="I7010" s="59" t="str">
        <f>IF(OR($A7010="",$C7010="",$D7010="",$E7010="",$H7010=""),"",SUMIFS(DATA_GOC!$H:$H,DATA_GOC!$A:$A,"BOM",DATA_GOC!$D:$D,$H7010,DATA_GOC!$E:$E,$C7010,DATA_GOC!$F:$F,"Xuất nội bộ từ téc",DATA_GOC!$B:$B,"&gt;="&amp;$D7010,DATA_GOC!$B:$B,"&lt;="&amp;$E7010))</f>
        <v/>
      </c>
      <c r="J7010" s="59">
        <f t="shared" si="28"/>
        <v>0</v>
      </c>
      <c r="K7010" s="59">
        <f t="shared" si="29"/>
        <v>0</v>
      </c>
      <c r="L7010" s="59">
        <f t="shared" si="30"/>
        <v>0</v>
      </c>
      <c r="M7010" s="59">
        <f t="shared" si="31"/>
        <v>0</v>
      </c>
    </row>
    <row r="7011" ht="15.0" hidden="1" customHeight="1">
      <c r="A7011" s="59">
        <f t="shared" si="20"/>
        <v>113</v>
      </c>
      <c r="B7011" s="59" t="str">
        <f t="shared" si="21"/>
        <v/>
      </c>
      <c r="C7011" s="59" t="str">
        <f t="shared" si="22"/>
        <v/>
      </c>
      <c r="D7011" s="45" t="str">
        <f t="shared" si="23"/>
        <v/>
      </c>
      <c r="E7011" s="45" t="str">
        <f t="shared" si="24"/>
        <v/>
      </c>
      <c r="F7011" s="59" t="str">
        <f t="shared" si="25"/>
        <v/>
      </c>
      <c r="G7011" s="59" t="str">
        <f t="shared" si="26"/>
        <v/>
      </c>
      <c r="H7011" s="59" t="str">
        <f t="shared" si="27"/>
        <v>Xe 600148</v>
      </c>
      <c r="I7011" s="59" t="str">
        <f>IF(OR($A7011="",$C7011="",$D7011="",$E7011="",$H7011=""),"",SUMIFS(DATA_GOC!$H:$H,DATA_GOC!$A:$A,"BOM",DATA_GOC!$D:$D,$H7011,DATA_GOC!$E:$E,$C7011,DATA_GOC!$F:$F,"Xuất nội bộ từ téc",DATA_GOC!$B:$B,"&gt;="&amp;$D7011,DATA_GOC!$B:$B,"&lt;="&amp;$E7011))</f>
        <v/>
      </c>
      <c r="J7011" s="59">
        <f t="shared" si="28"/>
        <v>0</v>
      </c>
      <c r="K7011" s="59">
        <f t="shared" si="29"/>
        <v>0</v>
      </c>
      <c r="L7011" s="59">
        <f t="shared" si="30"/>
        <v>0</v>
      </c>
      <c r="M7011" s="59">
        <f t="shared" si="31"/>
        <v>0</v>
      </c>
    </row>
    <row r="7012" ht="15.0" hidden="1" customHeight="1">
      <c r="A7012" s="59">
        <f t="shared" si="20"/>
        <v>113</v>
      </c>
      <c r="B7012" s="59" t="str">
        <f t="shared" si="21"/>
        <v/>
      </c>
      <c r="C7012" s="59" t="str">
        <f t="shared" si="22"/>
        <v/>
      </c>
      <c r="D7012" s="45" t="str">
        <f t="shared" si="23"/>
        <v/>
      </c>
      <c r="E7012" s="45" t="str">
        <f t="shared" si="24"/>
        <v/>
      </c>
      <c r="F7012" s="59" t="str">
        <f t="shared" si="25"/>
        <v/>
      </c>
      <c r="G7012" s="59" t="str">
        <f t="shared" si="26"/>
        <v/>
      </c>
      <c r="H7012" s="59" t="str">
        <f t="shared" si="27"/>
        <v>Xe ben mới</v>
      </c>
      <c r="I7012" s="59" t="str">
        <f>IF(OR($A7012="",$C7012="",$D7012="",$E7012="",$H7012=""),"",SUMIFS(DATA_GOC!$H:$H,DATA_GOC!$A:$A,"BOM",DATA_GOC!$D:$D,$H7012,DATA_GOC!$E:$E,$C7012,DATA_GOC!$F:$F,"Xuất nội bộ từ téc",DATA_GOC!$B:$B,"&gt;="&amp;$D7012,DATA_GOC!$B:$B,"&lt;="&amp;$E7012))</f>
        <v/>
      </c>
      <c r="J7012" s="59">
        <f t="shared" si="28"/>
        <v>0</v>
      </c>
      <c r="K7012" s="59">
        <f t="shared" si="29"/>
        <v>0</v>
      </c>
      <c r="L7012" s="59">
        <f t="shared" si="30"/>
        <v>0</v>
      </c>
      <c r="M7012" s="59">
        <f t="shared" si="31"/>
        <v>0</v>
      </c>
    </row>
    <row r="7013" ht="15.0" hidden="1" customHeight="1">
      <c r="A7013" s="59">
        <f t="shared" si="20"/>
        <v>114</v>
      </c>
      <c r="B7013" s="59" t="str">
        <f t="shared" si="21"/>
        <v/>
      </c>
      <c r="C7013" s="59" t="str">
        <f t="shared" si="22"/>
        <v/>
      </c>
      <c r="D7013" s="45" t="str">
        <f t="shared" si="23"/>
        <v/>
      </c>
      <c r="E7013" s="45" t="str">
        <f t="shared" si="24"/>
        <v/>
      </c>
      <c r="F7013" s="59" t="str">
        <f t="shared" si="25"/>
        <v/>
      </c>
      <c r="G7013" s="59" t="str">
        <f t="shared" si="26"/>
        <v/>
      </c>
      <c r="H7013" s="59" t="str">
        <f t="shared" si="27"/>
        <v>19H09482</v>
      </c>
      <c r="I7013" s="59" t="str">
        <f>IF(OR($A7013="",$C7013="",$D7013="",$E7013="",$H7013=""),"",SUMIFS(DATA_GOC!$H:$H,DATA_GOC!$A:$A,"BOM",DATA_GOC!$D:$D,$H7013,DATA_GOC!$E:$E,$C7013,DATA_GOC!$F:$F,"Xuất nội bộ từ téc",DATA_GOC!$B:$B,"&gt;="&amp;$D7013,DATA_GOC!$B:$B,"&lt;="&amp;$E7013))</f>
        <v/>
      </c>
      <c r="J7013" s="59">
        <f t="shared" si="28"/>
        <v>0</v>
      </c>
      <c r="K7013" s="59">
        <f t="shared" si="29"/>
        <v>0</v>
      </c>
      <c r="L7013" s="59">
        <f t="shared" si="30"/>
        <v>0</v>
      </c>
      <c r="M7013" s="59">
        <f t="shared" si="31"/>
        <v>0</v>
      </c>
    </row>
    <row r="7014" ht="15.0" hidden="1" customHeight="1">
      <c r="A7014" s="59">
        <f t="shared" si="20"/>
        <v>114</v>
      </c>
      <c r="B7014" s="59" t="str">
        <f t="shared" si="21"/>
        <v/>
      </c>
      <c r="C7014" s="59" t="str">
        <f t="shared" si="22"/>
        <v/>
      </c>
      <c r="D7014" s="45" t="str">
        <f t="shared" si="23"/>
        <v/>
      </c>
      <c r="E7014" s="45" t="str">
        <f t="shared" si="24"/>
        <v/>
      </c>
      <c r="F7014" s="59" t="str">
        <f t="shared" si="25"/>
        <v/>
      </c>
      <c r="G7014" s="59" t="str">
        <f t="shared" si="26"/>
        <v/>
      </c>
      <c r="H7014" s="59" t="str">
        <f t="shared" si="27"/>
        <v>28A30696</v>
      </c>
      <c r="I7014" s="59" t="str">
        <f>IF(OR($A7014="",$C7014="",$D7014="",$E7014="",$H7014=""),"",SUMIFS(DATA_GOC!$H:$H,DATA_GOC!$A:$A,"BOM",DATA_GOC!$D:$D,$H7014,DATA_GOC!$E:$E,$C7014,DATA_GOC!$F:$F,"Xuất nội bộ từ téc",DATA_GOC!$B:$B,"&gt;="&amp;$D7014,DATA_GOC!$B:$B,"&lt;="&amp;$E7014))</f>
        <v/>
      </c>
      <c r="J7014" s="59">
        <f t="shared" si="28"/>
        <v>0</v>
      </c>
      <c r="K7014" s="59">
        <f t="shared" si="29"/>
        <v>0</v>
      </c>
      <c r="L7014" s="59">
        <f t="shared" si="30"/>
        <v>0</v>
      </c>
      <c r="M7014" s="59">
        <f t="shared" si="31"/>
        <v>0</v>
      </c>
    </row>
    <row r="7015" ht="15.0" hidden="1" customHeight="1">
      <c r="A7015" s="59">
        <f t="shared" si="20"/>
        <v>114</v>
      </c>
      <c r="B7015" s="59" t="str">
        <f t="shared" si="21"/>
        <v/>
      </c>
      <c r="C7015" s="59" t="str">
        <f t="shared" si="22"/>
        <v/>
      </c>
      <c r="D7015" s="45" t="str">
        <f t="shared" si="23"/>
        <v/>
      </c>
      <c r="E7015" s="45" t="str">
        <f t="shared" si="24"/>
        <v/>
      </c>
      <c r="F7015" s="59" t="str">
        <f t="shared" si="25"/>
        <v/>
      </c>
      <c r="G7015" s="59" t="str">
        <f t="shared" si="26"/>
        <v/>
      </c>
      <c r="H7015" s="59" t="str">
        <f t="shared" si="27"/>
        <v>28C00462</v>
      </c>
      <c r="I7015" s="59" t="str">
        <f>IF(OR($A7015="",$C7015="",$D7015="",$E7015="",$H7015=""),"",SUMIFS(DATA_GOC!$H:$H,DATA_GOC!$A:$A,"BOM",DATA_GOC!$D:$D,$H7015,DATA_GOC!$E:$E,$C7015,DATA_GOC!$F:$F,"Xuất nội bộ từ téc",DATA_GOC!$B:$B,"&gt;="&amp;$D7015,DATA_GOC!$B:$B,"&lt;="&amp;$E7015))</f>
        <v/>
      </c>
      <c r="J7015" s="59">
        <f t="shared" si="28"/>
        <v>0</v>
      </c>
      <c r="K7015" s="59">
        <f t="shared" si="29"/>
        <v>0</v>
      </c>
      <c r="L7015" s="59">
        <f t="shared" si="30"/>
        <v>0</v>
      </c>
      <c r="M7015" s="59">
        <f t="shared" si="31"/>
        <v>0</v>
      </c>
    </row>
    <row r="7016" ht="15.0" hidden="1" customHeight="1">
      <c r="A7016" s="59">
        <f t="shared" si="20"/>
        <v>114</v>
      </c>
      <c r="B7016" s="59" t="str">
        <f t="shared" si="21"/>
        <v/>
      </c>
      <c r="C7016" s="59" t="str">
        <f t="shared" si="22"/>
        <v/>
      </c>
      <c r="D7016" s="45" t="str">
        <f t="shared" si="23"/>
        <v/>
      </c>
      <c r="E7016" s="45" t="str">
        <f t="shared" si="24"/>
        <v/>
      </c>
      <c r="F7016" s="59" t="str">
        <f t="shared" si="25"/>
        <v/>
      </c>
      <c r="G7016" s="59" t="str">
        <f t="shared" si="26"/>
        <v/>
      </c>
      <c r="H7016" s="59" t="str">
        <f t="shared" si="27"/>
        <v>28C01165</v>
      </c>
      <c r="I7016" s="59" t="str">
        <f>IF(OR($A7016="",$C7016="",$D7016="",$E7016="",$H7016=""),"",SUMIFS(DATA_GOC!$H:$H,DATA_GOC!$A:$A,"BOM",DATA_GOC!$D:$D,$H7016,DATA_GOC!$E:$E,$C7016,DATA_GOC!$F:$F,"Xuất nội bộ từ téc",DATA_GOC!$B:$B,"&gt;="&amp;$D7016,DATA_GOC!$B:$B,"&lt;="&amp;$E7016))</f>
        <v/>
      </c>
      <c r="J7016" s="59">
        <f t="shared" si="28"/>
        <v>0</v>
      </c>
      <c r="K7016" s="59">
        <f t="shared" si="29"/>
        <v>0</v>
      </c>
      <c r="L7016" s="59">
        <f t="shared" si="30"/>
        <v>0</v>
      </c>
      <c r="M7016" s="59">
        <f t="shared" si="31"/>
        <v>0</v>
      </c>
    </row>
    <row r="7017" ht="15.0" hidden="1" customHeight="1">
      <c r="A7017" s="59">
        <f t="shared" si="20"/>
        <v>114</v>
      </c>
      <c r="B7017" s="59" t="str">
        <f t="shared" si="21"/>
        <v/>
      </c>
      <c r="C7017" s="59" t="str">
        <f t="shared" si="22"/>
        <v/>
      </c>
      <c r="D7017" s="45" t="str">
        <f t="shared" si="23"/>
        <v/>
      </c>
      <c r="E7017" s="45" t="str">
        <f t="shared" si="24"/>
        <v/>
      </c>
      <c r="F7017" s="59" t="str">
        <f t="shared" si="25"/>
        <v/>
      </c>
      <c r="G7017" s="59" t="str">
        <f t="shared" si="26"/>
        <v/>
      </c>
      <c r="H7017" s="59" t="str">
        <f t="shared" si="27"/>
        <v>28C01406</v>
      </c>
      <c r="I7017" s="59" t="str">
        <f>IF(OR($A7017="",$C7017="",$D7017="",$E7017="",$H7017=""),"",SUMIFS(DATA_GOC!$H:$H,DATA_GOC!$A:$A,"BOM",DATA_GOC!$D:$D,$H7017,DATA_GOC!$E:$E,$C7017,DATA_GOC!$F:$F,"Xuất nội bộ từ téc",DATA_GOC!$B:$B,"&gt;="&amp;$D7017,DATA_GOC!$B:$B,"&lt;="&amp;$E7017))</f>
        <v/>
      </c>
      <c r="J7017" s="59">
        <f t="shared" si="28"/>
        <v>0</v>
      </c>
      <c r="K7017" s="59">
        <f t="shared" si="29"/>
        <v>0</v>
      </c>
      <c r="L7017" s="59">
        <f t="shared" si="30"/>
        <v>0</v>
      </c>
      <c r="M7017" s="59">
        <f t="shared" si="31"/>
        <v>0</v>
      </c>
    </row>
    <row r="7018" ht="15.0" hidden="1" customHeight="1">
      <c r="A7018" s="59">
        <f t="shared" si="20"/>
        <v>114</v>
      </c>
      <c r="B7018" s="59" t="str">
        <f t="shared" si="21"/>
        <v/>
      </c>
      <c r="C7018" s="59" t="str">
        <f t="shared" si="22"/>
        <v/>
      </c>
      <c r="D7018" s="45" t="str">
        <f t="shared" si="23"/>
        <v/>
      </c>
      <c r="E7018" s="45" t="str">
        <f t="shared" si="24"/>
        <v/>
      </c>
      <c r="F7018" s="59" t="str">
        <f t="shared" si="25"/>
        <v/>
      </c>
      <c r="G7018" s="59" t="str">
        <f t="shared" si="26"/>
        <v/>
      </c>
      <c r="H7018" s="59" t="str">
        <f t="shared" si="27"/>
        <v>28C01544</v>
      </c>
      <c r="I7018" s="59" t="str">
        <f>IF(OR($A7018="",$C7018="",$D7018="",$E7018="",$H7018=""),"",SUMIFS(DATA_GOC!$H:$H,DATA_GOC!$A:$A,"BOM",DATA_GOC!$D:$D,$H7018,DATA_GOC!$E:$E,$C7018,DATA_GOC!$F:$F,"Xuất nội bộ từ téc",DATA_GOC!$B:$B,"&gt;="&amp;$D7018,DATA_GOC!$B:$B,"&lt;="&amp;$E7018))</f>
        <v/>
      </c>
      <c r="J7018" s="59">
        <f t="shared" si="28"/>
        <v>0</v>
      </c>
      <c r="K7018" s="59">
        <f t="shared" si="29"/>
        <v>0</v>
      </c>
      <c r="L7018" s="59">
        <f t="shared" si="30"/>
        <v>0</v>
      </c>
      <c r="M7018" s="59">
        <f t="shared" si="31"/>
        <v>0</v>
      </c>
    </row>
    <row r="7019" ht="15.0" hidden="1" customHeight="1">
      <c r="A7019" s="59">
        <f t="shared" si="20"/>
        <v>114</v>
      </c>
      <c r="B7019" s="59" t="str">
        <f t="shared" si="21"/>
        <v/>
      </c>
      <c r="C7019" s="59" t="str">
        <f t="shared" si="22"/>
        <v/>
      </c>
      <c r="D7019" s="45" t="str">
        <f t="shared" si="23"/>
        <v/>
      </c>
      <c r="E7019" s="45" t="str">
        <f t="shared" si="24"/>
        <v/>
      </c>
      <c r="F7019" s="59" t="str">
        <f t="shared" si="25"/>
        <v/>
      </c>
      <c r="G7019" s="59" t="str">
        <f t="shared" si="26"/>
        <v/>
      </c>
      <c r="H7019" s="59" t="str">
        <f t="shared" si="27"/>
        <v>28C01622</v>
      </c>
      <c r="I7019" s="59" t="str">
        <f>IF(OR($A7019="",$C7019="",$D7019="",$E7019="",$H7019=""),"",SUMIFS(DATA_GOC!$H:$H,DATA_GOC!$A:$A,"BOM",DATA_GOC!$D:$D,$H7019,DATA_GOC!$E:$E,$C7019,DATA_GOC!$F:$F,"Xuất nội bộ từ téc",DATA_GOC!$B:$B,"&gt;="&amp;$D7019,DATA_GOC!$B:$B,"&lt;="&amp;$E7019))</f>
        <v/>
      </c>
      <c r="J7019" s="59">
        <f t="shared" si="28"/>
        <v>0</v>
      </c>
      <c r="K7019" s="59">
        <f t="shared" si="29"/>
        <v>0</v>
      </c>
      <c r="L7019" s="59">
        <f t="shared" si="30"/>
        <v>0</v>
      </c>
      <c r="M7019" s="59">
        <f t="shared" si="31"/>
        <v>0</v>
      </c>
    </row>
    <row r="7020" ht="15.0" hidden="1" customHeight="1">
      <c r="A7020" s="59">
        <f t="shared" si="20"/>
        <v>114</v>
      </c>
      <c r="B7020" s="59" t="str">
        <f t="shared" si="21"/>
        <v/>
      </c>
      <c r="C7020" s="59" t="str">
        <f t="shared" si="22"/>
        <v/>
      </c>
      <c r="D7020" s="45" t="str">
        <f t="shared" si="23"/>
        <v/>
      </c>
      <c r="E7020" s="45" t="str">
        <f t="shared" si="24"/>
        <v/>
      </c>
      <c r="F7020" s="59" t="str">
        <f t="shared" si="25"/>
        <v/>
      </c>
      <c r="G7020" s="59" t="str">
        <f t="shared" si="26"/>
        <v/>
      </c>
      <c r="H7020" s="59" t="str">
        <f t="shared" si="27"/>
        <v>28C01647</v>
      </c>
      <c r="I7020" s="59" t="str">
        <f>IF(OR($A7020="",$C7020="",$D7020="",$E7020="",$H7020=""),"",SUMIFS(DATA_GOC!$H:$H,DATA_GOC!$A:$A,"BOM",DATA_GOC!$D:$D,$H7020,DATA_GOC!$E:$E,$C7020,DATA_GOC!$F:$F,"Xuất nội bộ từ téc",DATA_GOC!$B:$B,"&gt;="&amp;$D7020,DATA_GOC!$B:$B,"&lt;="&amp;$E7020))</f>
        <v/>
      </c>
      <c r="J7020" s="59">
        <f t="shared" si="28"/>
        <v>0</v>
      </c>
      <c r="K7020" s="59">
        <f t="shared" si="29"/>
        <v>0</v>
      </c>
      <c r="L7020" s="59">
        <f t="shared" si="30"/>
        <v>0</v>
      </c>
      <c r="M7020" s="59">
        <f t="shared" si="31"/>
        <v>0</v>
      </c>
    </row>
    <row r="7021" ht="15.0" hidden="1" customHeight="1">
      <c r="A7021" s="59">
        <f t="shared" si="20"/>
        <v>114</v>
      </c>
      <c r="B7021" s="59" t="str">
        <f t="shared" si="21"/>
        <v/>
      </c>
      <c r="C7021" s="59" t="str">
        <f t="shared" si="22"/>
        <v/>
      </c>
      <c r="D7021" s="45" t="str">
        <f t="shared" si="23"/>
        <v/>
      </c>
      <c r="E7021" s="45" t="str">
        <f t="shared" si="24"/>
        <v/>
      </c>
      <c r="F7021" s="59" t="str">
        <f t="shared" si="25"/>
        <v/>
      </c>
      <c r="G7021" s="59" t="str">
        <f t="shared" si="26"/>
        <v/>
      </c>
      <c r="H7021" s="59" t="str">
        <f t="shared" si="27"/>
        <v>28C01731</v>
      </c>
      <c r="I7021" s="59" t="str">
        <f>IF(OR($A7021="",$C7021="",$D7021="",$E7021="",$H7021=""),"",SUMIFS(DATA_GOC!$H:$H,DATA_GOC!$A:$A,"BOM",DATA_GOC!$D:$D,$H7021,DATA_GOC!$E:$E,$C7021,DATA_GOC!$F:$F,"Xuất nội bộ từ téc",DATA_GOC!$B:$B,"&gt;="&amp;$D7021,DATA_GOC!$B:$B,"&lt;="&amp;$E7021))</f>
        <v/>
      </c>
      <c r="J7021" s="59">
        <f t="shared" si="28"/>
        <v>0</v>
      </c>
      <c r="K7021" s="59">
        <f t="shared" si="29"/>
        <v>0</v>
      </c>
      <c r="L7021" s="59">
        <f t="shared" si="30"/>
        <v>0</v>
      </c>
      <c r="M7021" s="59">
        <f t="shared" si="31"/>
        <v>0</v>
      </c>
    </row>
    <row r="7022" ht="15.0" hidden="1" customHeight="1">
      <c r="A7022" s="59">
        <f t="shared" si="20"/>
        <v>114</v>
      </c>
      <c r="B7022" s="59" t="str">
        <f t="shared" si="21"/>
        <v/>
      </c>
      <c r="C7022" s="59" t="str">
        <f t="shared" si="22"/>
        <v/>
      </c>
      <c r="D7022" s="45" t="str">
        <f t="shared" si="23"/>
        <v/>
      </c>
      <c r="E7022" s="45" t="str">
        <f t="shared" si="24"/>
        <v/>
      </c>
      <c r="F7022" s="59" t="str">
        <f t="shared" si="25"/>
        <v/>
      </c>
      <c r="G7022" s="59" t="str">
        <f t="shared" si="26"/>
        <v/>
      </c>
      <c r="H7022" s="59" t="str">
        <f t="shared" si="27"/>
        <v>28C01743</v>
      </c>
      <c r="I7022" s="59" t="str">
        <f>IF(OR($A7022="",$C7022="",$D7022="",$E7022="",$H7022=""),"",SUMIFS(DATA_GOC!$H:$H,DATA_GOC!$A:$A,"BOM",DATA_GOC!$D:$D,$H7022,DATA_GOC!$E:$E,$C7022,DATA_GOC!$F:$F,"Xuất nội bộ từ téc",DATA_GOC!$B:$B,"&gt;="&amp;$D7022,DATA_GOC!$B:$B,"&lt;="&amp;$E7022))</f>
        <v/>
      </c>
      <c r="J7022" s="59">
        <f t="shared" si="28"/>
        <v>0</v>
      </c>
      <c r="K7022" s="59">
        <f t="shared" si="29"/>
        <v>0</v>
      </c>
      <c r="L7022" s="59">
        <f t="shared" si="30"/>
        <v>0</v>
      </c>
      <c r="M7022" s="59">
        <f t="shared" si="31"/>
        <v>0</v>
      </c>
    </row>
    <row r="7023" ht="15.0" hidden="1" customHeight="1">
      <c r="A7023" s="59">
        <f t="shared" si="20"/>
        <v>114</v>
      </c>
      <c r="B7023" s="59" t="str">
        <f t="shared" si="21"/>
        <v/>
      </c>
      <c r="C7023" s="59" t="str">
        <f t="shared" si="22"/>
        <v/>
      </c>
      <c r="D7023" s="45" t="str">
        <f t="shared" si="23"/>
        <v/>
      </c>
      <c r="E7023" s="45" t="str">
        <f t="shared" si="24"/>
        <v/>
      </c>
      <c r="F7023" s="59" t="str">
        <f t="shared" si="25"/>
        <v/>
      </c>
      <c r="G7023" s="59" t="str">
        <f t="shared" si="26"/>
        <v/>
      </c>
      <c r="H7023" s="59" t="str">
        <f t="shared" si="27"/>
        <v>28C02106</v>
      </c>
      <c r="I7023" s="59" t="str">
        <f>IF(OR($A7023="",$C7023="",$D7023="",$E7023="",$H7023=""),"",SUMIFS(DATA_GOC!$H:$H,DATA_GOC!$A:$A,"BOM",DATA_GOC!$D:$D,$H7023,DATA_GOC!$E:$E,$C7023,DATA_GOC!$F:$F,"Xuất nội bộ từ téc",DATA_GOC!$B:$B,"&gt;="&amp;$D7023,DATA_GOC!$B:$B,"&lt;="&amp;$E7023))</f>
        <v/>
      </c>
      <c r="J7023" s="59">
        <f t="shared" si="28"/>
        <v>0</v>
      </c>
      <c r="K7023" s="59">
        <f t="shared" si="29"/>
        <v>0</v>
      </c>
      <c r="L7023" s="59">
        <f t="shared" si="30"/>
        <v>0</v>
      </c>
      <c r="M7023" s="59">
        <f t="shared" si="31"/>
        <v>0</v>
      </c>
    </row>
    <row r="7024" ht="15.0" hidden="1" customHeight="1">
      <c r="A7024" s="59">
        <f t="shared" si="20"/>
        <v>114</v>
      </c>
      <c r="B7024" s="59" t="str">
        <f t="shared" si="21"/>
        <v/>
      </c>
      <c r="C7024" s="59" t="str">
        <f t="shared" si="22"/>
        <v/>
      </c>
      <c r="D7024" s="45" t="str">
        <f t="shared" si="23"/>
        <v/>
      </c>
      <c r="E7024" s="45" t="str">
        <f t="shared" si="24"/>
        <v/>
      </c>
      <c r="F7024" s="59" t="str">
        <f t="shared" si="25"/>
        <v/>
      </c>
      <c r="G7024" s="59" t="str">
        <f t="shared" si="26"/>
        <v/>
      </c>
      <c r="H7024" s="59" t="str">
        <f t="shared" si="27"/>
        <v>28C02410</v>
      </c>
      <c r="I7024" s="59" t="str">
        <f>IF(OR($A7024="",$C7024="",$D7024="",$E7024="",$H7024=""),"",SUMIFS(DATA_GOC!$H:$H,DATA_GOC!$A:$A,"BOM",DATA_GOC!$D:$D,$H7024,DATA_GOC!$E:$E,$C7024,DATA_GOC!$F:$F,"Xuất nội bộ từ téc",DATA_GOC!$B:$B,"&gt;="&amp;$D7024,DATA_GOC!$B:$B,"&lt;="&amp;$E7024))</f>
        <v/>
      </c>
      <c r="J7024" s="59">
        <f t="shared" si="28"/>
        <v>0</v>
      </c>
      <c r="K7024" s="59">
        <f t="shared" si="29"/>
        <v>0</v>
      </c>
      <c r="L7024" s="59">
        <f t="shared" si="30"/>
        <v>0</v>
      </c>
      <c r="M7024" s="59">
        <f t="shared" si="31"/>
        <v>0</v>
      </c>
    </row>
    <row r="7025" ht="15.0" hidden="1" customHeight="1">
      <c r="A7025" s="59">
        <f t="shared" si="20"/>
        <v>114</v>
      </c>
      <c r="B7025" s="59" t="str">
        <f t="shared" si="21"/>
        <v/>
      </c>
      <c r="C7025" s="59" t="str">
        <f t="shared" si="22"/>
        <v/>
      </c>
      <c r="D7025" s="45" t="str">
        <f t="shared" si="23"/>
        <v/>
      </c>
      <c r="E7025" s="45" t="str">
        <f t="shared" si="24"/>
        <v/>
      </c>
      <c r="F7025" s="59" t="str">
        <f t="shared" si="25"/>
        <v/>
      </c>
      <c r="G7025" s="59" t="str">
        <f t="shared" si="26"/>
        <v/>
      </c>
      <c r="H7025" s="59" t="str">
        <f t="shared" si="27"/>
        <v>28C02545</v>
      </c>
      <c r="I7025" s="59" t="str">
        <f>IF(OR($A7025="",$C7025="",$D7025="",$E7025="",$H7025=""),"",SUMIFS(DATA_GOC!$H:$H,DATA_GOC!$A:$A,"BOM",DATA_GOC!$D:$D,$H7025,DATA_GOC!$E:$E,$C7025,DATA_GOC!$F:$F,"Xuất nội bộ từ téc",DATA_GOC!$B:$B,"&gt;="&amp;$D7025,DATA_GOC!$B:$B,"&lt;="&amp;$E7025))</f>
        <v/>
      </c>
      <c r="J7025" s="59">
        <f t="shared" si="28"/>
        <v>0</v>
      </c>
      <c r="K7025" s="59">
        <f t="shared" si="29"/>
        <v>0</v>
      </c>
      <c r="L7025" s="59">
        <f t="shared" si="30"/>
        <v>0</v>
      </c>
      <c r="M7025" s="59">
        <f t="shared" si="31"/>
        <v>0</v>
      </c>
    </row>
    <row r="7026" ht="15.0" hidden="1" customHeight="1">
      <c r="A7026" s="59">
        <f t="shared" si="20"/>
        <v>114</v>
      </c>
      <c r="B7026" s="59" t="str">
        <f t="shared" si="21"/>
        <v/>
      </c>
      <c r="C7026" s="59" t="str">
        <f t="shared" si="22"/>
        <v/>
      </c>
      <c r="D7026" s="45" t="str">
        <f t="shared" si="23"/>
        <v/>
      </c>
      <c r="E7026" s="45" t="str">
        <f t="shared" si="24"/>
        <v/>
      </c>
      <c r="F7026" s="59" t="str">
        <f t="shared" si="25"/>
        <v/>
      </c>
      <c r="G7026" s="59" t="str">
        <f t="shared" si="26"/>
        <v/>
      </c>
      <c r="H7026" s="59" t="str">
        <f t="shared" si="27"/>
        <v>28C02574</v>
      </c>
      <c r="I7026" s="59" t="str">
        <f>IF(OR($A7026="",$C7026="",$D7026="",$E7026="",$H7026=""),"",SUMIFS(DATA_GOC!$H:$H,DATA_GOC!$A:$A,"BOM",DATA_GOC!$D:$D,$H7026,DATA_GOC!$E:$E,$C7026,DATA_GOC!$F:$F,"Xuất nội bộ từ téc",DATA_GOC!$B:$B,"&gt;="&amp;$D7026,DATA_GOC!$B:$B,"&lt;="&amp;$E7026))</f>
        <v/>
      </c>
      <c r="J7026" s="59">
        <f t="shared" si="28"/>
        <v>0</v>
      </c>
      <c r="K7026" s="59">
        <f t="shared" si="29"/>
        <v>0</v>
      </c>
      <c r="L7026" s="59">
        <f t="shared" si="30"/>
        <v>0</v>
      </c>
      <c r="M7026" s="59">
        <f t="shared" si="31"/>
        <v>0</v>
      </c>
    </row>
    <row r="7027" ht="15.0" hidden="1" customHeight="1">
      <c r="A7027" s="59">
        <f t="shared" si="20"/>
        <v>114</v>
      </c>
      <c r="B7027" s="59" t="str">
        <f t="shared" si="21"/>
        <v/>
      </c>
      <c r="C7027" s="59" t="str">
        <f t="shared" si="22"/>
        <v/>
      </c>
      <c r="D7027" s="45" t="str">
        <f t="shared" si="23"/>
        <v/>
      </c>
      <c r="E7027" s="45" t="str">
        <f t="shared" si="24"/>
        <v/>
      </c>
      <c r="F7027" s="59" t="str">
        <f t="shared" si="25"/>
        <v/>
      </c>
      <c r="G7027" s="59" t="str">
        <f t="shared" si="26"/>
        <v/>
      </c>
      <c r="H7027" s="59" t="str">
        <f t="shared" si="27"/>
        <v>28C02770</v>
      </c>
      <c r="I7027" s="59" t="str">
        <f>IF(OR($A7027="",$C7027="",$D7027="",$E7027="",$H7027=""),"",SUMIFS(DATA_GOC!$H:$H,DATA_GOC!$A:$A,"BOM",DATA_GOC!$D:$D,$H7027,DATA_GOC!$E:$E,$C7027,DATA_GOC!$F:$F,"Xuất nội bộ từ téc",DATA_GOC!$B:$B,"&gt;="&amp;$D7027,DATA_GOC!$B:$B,"&lt;="&amp;$E7027))</f>
        <v/>
      </c>
      <c r="J7027" s="59">
        <f t="shared" si="28"/>
        <v>0</v>
      </c>
      <c r="K7027" s="59">
        <f t="shared" si="29"/>
        <v>0</v>
      </c>
      <c r="L7027" s="59">
        <f t="shared" si="30"/>
        <v>0</v>
      </c>
      <c r="M7027" s="59">
        <f t="shared" si="31"/>
        <v>0</v>
      </c>
    </row>
    <row r="7028" ht="15.0" hidden="1" customHeight="1">
      <c r="A7028" s="59">
        <f t="shared" si="20"/>
        <v>114</v>
      </c>
      <c r="B7028" s="59" t="str">
        <f t="shared" si="21"/>
        <v/>
      </c>
      <c r="C7028" s="59" t="str">
        <f t="shared" si="22"/>
        <v/>
      </c>
      <c r="D7028" s="45" t="str">
        <f t="shared" si="23"/>
        <v/>
      </c>
      <c r="E7028" s="45" t="str">
        <f t="shared" si="24"/>
        <v/>
      </c>
      <c r="F7028" s="59" t="str">
        <f t="shared" si="25"/>
        <v/>
      </c>
      <c r="G7028" s="59" t="str">
        <f t="shared" si="26"/>
        <v/>
      </c>
      <c r="H7028" s="59" t="str">
        <f t="shared" si="27"/>
        <v>28C02986</v>
      </c>
      <c r="I7028" s="59" t="str">
        <f>IF(OR($A7028="",$C7028="",$D7028="",$E7028="",$H7028=""),"",SUMIFS(DATA_GOC!$H:$H,DATA_GOC!$A:$A,"BOM",DATA_GOC!$D:$D,$H7028,DATA_GOC!$E:$E,$C7028,DATA_GOC!$F:$F,"Xuất nội bộ từ téc",DATA_GOC!$B:$B,"&gt;="&amp;$D7028,DATA_GOC!$B:$B,"&lt;="&amp;$E7028))</f>
        <v/>
      </c>
      <c r="J7028" s="59">
        <f t="shared" si="28"/>
        <v>0</v>
      </c>
      <c r="K7028" s="59">
        <f t="shared" si="29"/>
        <v>0</v>
      </c>
      <c r="L7028" s="59">
        <f t="shared" si="30"/>
        <v>0</v>
      </c>
      <c r="M7028" s="59">
        <f t="shared" si="31"/>
        <v>0</v>
      </c>
    </row>
    <row r="7029" ht="15.0" hidden="1" customHeight="1">
      <c r="A7029" s="59">
        <f t="shared" si="20"/>
        <v>114</v>
      </c>
      <c r="B7029" s="59" t="str">
        <f t="shared" si="21"/>
        <v/>
      </c>
      <c r="C7029" s="59" t="str">
        <f t="shared" si="22"/>
        <v/>
      </c>
      <c r="D7029" s="45" t="str">
        <f t="shared" si="23"/>
        <v/>
      </c>
      <c r="E7029" s="45" t="str">
        <f t="shared" si="24"/>
        <v/>
      </c>
      <c r="F7029" s="59" t="str">
        <f t="shared" si="25"/>
        <v/>
      </c>
      <c r="G7029" s="59" t="str">
        <f t="shared" si="26"/>
        <v/>
      </c>
      <c r="H7029" s="59" t="str">
        <f t="shared" si="27"/>
        <v>28C03261</v>
      </c>
      <c r="I7029" s="59" t="str">
        <f>IF(OR($A7029="",$C7029="",$D7029="",$E7029="",$H7029=""),"",SUMIFS(DATA_GOC!$H:$H,DATA_GOC!$A:$A,"BOM",DATA_GOC!$D:$D,$H7029,DATA_GOC!$E:$E,$C7029,DATA_GOC!$F:$F,"Xuất nội bộ từ téc",DATA_GOC!$B:$B,"&gt;="&amp;$D7029,DATA_GOC!$B:$B,"&lt;="&amp;$E7029))</f>
        <v/>
      </c>
      <c r="J7029" s="59">
        <f t="shared" si="28"/>
        <v>0</v>
      </c>
      <c r="K7029" s="59">
        <f t="shared" si="29"/>
        <v>0</v>
      </c>
      <c r="L7029" s="59">
        <f t="shared" si="30"/>
        <v>0</v>
      </c>
      <c r="M7029" s="59">
        <f t="shared" si="31"/>
        <v>0</v>
      </c>
    </row>
    <row r="7030" ht="15.0" hidden="1" customHeight="1">
      <c r="A7030" s="59">
        <f t="shared" si="20"/>
        <v>114</v>
      </c>
      <c r="B7030" s="59" t="str">
        <f t="shared" si="21"/>
        <v/>
      </c>
      <c r="C7030" s="59" t="str">
        <f t="shared" si="22"/>
        <v/>
      </c>
      <c r="D7030" s="45" t="str">
        <f t="shared" si="23"/>
        <v/>
      </c>
      <c r="E7030" s="45" t="str">
        <f t="shared" si="24"/>
        <v/>
      </c>
      <c r="F7030" s="59" t="str">
        <f t="shared" si="25"/>
        <v/>
      </c>
      <c r="G7030" s="59" t="str">
        <f t="shared" si="26"/>
        <v/>
      </c>
      <c r="H7030" s="59" t="str">
        <f t="shared" si="27"/>
        <v>28C03323</v>
      </c>
      <c r="I7030" s="59" t="str">
        <f>IF(OR($A7030="",$C7030="",$D7030="",$E7030="",$H7030=""),"",SUMIFS(DATA_GOC!$H:$H,DATA_GOC!$A:$A,"BOM",DATA_GOC!$D:$D,$H7030,DATA_GOC!$E:$E,$C7030,DATA_GOC!$F:$F,"Xuất nội bộ từ téc",DATA_GOC!$B:$B,"&gt;="&amp;$D7030,DATA_GOC!$B:$B,"&lt;="&amp;$E7030))</f>
        <v/>
      </c>
      <c r="J7030" s="59">
        <f t="shared" si="28"/>
        <v>0</v>
      </c>
      <c r="K7030" s="59">
        <f t="shared" si="29"/>
        <v>0</v>
      </c>
      <c r="L7030" s="59">
        <f t="shared" si="30"/>
        <v>0</v>
      </c>
      <c r="M7030" s="59">
        <f t="shared" si="31"/>
        <v>0</v>
      </c>
    </row>
    <row r="7031" ht="15.0" hidden="1" customHeight="1">
      <c r="A7031" s="59">
        <f t="shared" si="20"/>
        <v>114</v>
      </c>
      <c r="B7031" s="59" t="str">
        <f t="shared" si="21"/>
        <v/>
      </c>
      <c r="C7031" s="59" t="str">
        <f t="shared" si="22"/>
        <v/>
      </c>
      <c r="D7031" s="45" t="str">
        <f t="shared" si="23"/>
        <v/>
      </c>
      <c r="E7031" s="45" t="str">
        <f t="shared" si="24"/>
        <v/>
      </c>
      <c r="F7031" s="59" t="str">
        <f t="shared" si="25"/>
        <v/>
      </c>
      <c r="G7031" s="59" t="str">
        <f t="shared" si="26"/>
        <v/>
      </c>
      <c r="H7031" s="59" t="str">
        <f t="shared" si="27"/>
        <v>28C03385</v>
      </c>
      <c r="I7031" s="59" t="str">
        <f>IF(OR($A7031="",$C7031="",$D7031="",$E7031="",$H7031=""),"",SUMIFS(DATA_GOC!$H:$H,DATA_GOC!$A:$A,"BOM",DATA_GOC!$D:$D,$H7031,DATA_GOC!$E:$E,$C7031,DATA_GOC!$F:$F,"Xuất nội bộ từ téc",DATA_GOC!$B:$B,"&gt;="&amp;$D7031,DATA_GOC!$B:$B,"&lt;="&amp;$E7031))</f>
        <v/>
      </c>
      <c r="J7031" s="59">
        <f t="shared" si="28"/>
        <v>0</v>
      </c>
      <c r="K7031" s="59">
        <f t="shared" si="29"/>
        <v>0</v>
      </c>
      <c r="L7031" s="59">
        <f t="shared" si="30"/>
        <v>0</v>
      </c>
      <c r="M7031" s="59">
        <f t="shared" si="31"/>
        <v>0</v>
      </c>
    </row>
    <row r="7032" ht="15.0" hidden="1" customHeight="1">
      <c r="A7032" s="59">
        <f t="shared" si="20"/>
        <v>114</v>
      </c>
      <c r="B7032" s="59" t="str">
        <f t="shared" si="21"/>
        <v/>
      </c>
      <c r="C7032" s="59" t="str">
        <f t="shared" si="22"/>
        <v/>
      </c>
      <c r="D7032" s="45" t="str">
        <f t="shared" si="23"/>
        <v/>
      </c>
      <c r="E7032" s="45" t="str">
        <f t="shared" si="24"/>
        <v/>
      </c>
      <c r="F7032" s="59" t="str">
        <f t="shared" si="25"/>
        <v/>
      </c>
      <c r="G7032" s="59" t="str">
        <f t="shared" si="26"/>
        <v/>
      </c>
      <c r="H7032" s="59" t="str">
        <f t="shared" si="27"/>
        <v>28C03652</v>
      </c>
      <c r="I7032" s="59" t="str">
        <f>IF(OR($A7032="",$C7032="",$D7032="",$E7032="",$H7032=""),"",SUMIFS(DATA_GOC!$H:$H,DATA_GOC!$A:$A,"BOM",DATA_GOC!$D:$D,$H7032,DATA_GOC!$E:$E,$C7032,DATA_GOC!$F:$F,"Xuất nội bộ từ téc",DATA_GOC!$B:$B,"&gt;="&amp;$D7032,DATA_GOC!$B:$B,"&lt;="&amp;$E7032))</f>
        <v/>
      </c>
      <c r="J7032" s="59">
        <f t="shared" si="28"/>
        <v>0</v>
      </c>
      <c r="K7032" s="59">
        <f t="shared" si="29"/>
        <v>0</v>
      </c>
      <c r="L7032" s="59">
        <f t="shared" si="30"/>
        <v>0</v>
      </c>
      <c r="M7032" s="59">
        <f t="shared" si="31"/>
        <v>0</v>
      </c>
    </row>
    <row r="7033" ht="15.0" hidden="1" customHeight="1">
      <c r="A7033" s="59">
        <f t="shared" si="20"/>
        <v>114</v>
      </c>
      <c r="B7033" s="59" t="str">
        <f t="shared" si="21"/>
        <v/>
      </c>
      <c r="C7033" s="59" t="str">
        <f t="shared" si="22"/>
        <v/>
      </c>
      <c r="D7033" s="45" t="str">
        <f t="shared" si="23"/>
        <v/>
      </c>
      <c r="E7033" s="45" t="str">
        <f t="shared" si="24"/>
        <v/>
      </c>
      <c r="F7033" s="59" t="str">
        <f t="shared" si="25"/>
        <v/>
      </c>
      <c r="G7033" s="59" t="str">
        <f t="shared" si="26"/>
        <v/>
      </c>
      <c r="H7033" s="59" t="str">
        <f t="shared" si="27"/>
        <v>28C03695</v>
      </c>
      <c r="I7033" s="59" t="str">
        <f>IF(OR($A7033="",$C7033="",$D7033="",$E7033="",$H7033=""),"",SUMIFS(DATA_GOC!$H:$H,DATA_GOC!$A:$A,"BOM",DATA_GOC!$D:$D,$H7033,DATA_GOC!$E:$E,$C7033,DATA_GOC!$F:$F,"Xuất nội bộ từ téc",DATA_GOC!$B:$B,"&gt;="&amp;$D7033,DATA_GOC!$B:$B,"&lt;="&amp;$E7033))</f>
        <v/>
      </c>
      <c r="J7033" s="59">
        <f t="shared" si="28"/>
        <v>0</v>
      </c>
      <c r="K7033" s="59">
        <f t="shared" si="29"/>
        <v>0</v>
      </c>
      <c r="L7033" s="59">
        <f t="shared" si="30"/>
        <v>0</v>
      </c>
      <c r="M7033" s="59">
        <f t="shared" si="31"/>
        <v>0</v>
      </c>
    </row>
    <row r="7034" ht="15.0" hidden="1" customHeight="1">
      <c r="A7034" s="59">
        <f t="shared" si="20"/>
        <v>114</v>
      </c>
      <c r="B7034" s="59" t="str">
        <f t="shared" si="21"/>
        <v/>
      </c>
      <c r="C7034" s="59" t="str">
        <f t="shared" si="22"/>
        <v/>
      </c>
      <c r="D7034" s="45" t="str">
        <f t="shared" si="23"/>
        <v/>
      </c>
      <c r="E7034" s="45" t="str">
        <f t="shared" si="24"/>
        <v/>
      </c>
      <c r="F7034" s="59" t="str">
        <f t="shared" si="25"/>
        <v/>
      </c>
      <c r="G7034" s="59" t="str">
        <f t="shared" si="26"/>
        <v/>
      </c>
      <c r="H7034" s="59" t="str">
        <f t="shared" si="27"/>
        <v>28C03927</v>
      </c>
      <c r="I7034" s="59" t="str">
        <f>IF(OR($A7034="",$C7034="",$D7034="",$E7034="",$H7034=""),"",SUMIFS(DATA_GOC!$H:$H,DATA_GOC!$A:$A,"BOM",DATA_GOC!$D:$D,$H7034,DATA_GOC!$E:$E,$C7034,DATA_GOC!$F:$F,"Xuất nội bộ từ téc",DATA_GOC!$B:$B,"&gt;="&amp;$D7034,DATA_GOC!$B:$B,"&lt;="&amp;$E7034))</f>
        <v/>
      </c>
      <c r="J7034" s="59">
        <f t="shared" si="28"/>
        <v>0</v>
      </c>
      <c r="K7034" s="59">
        <f t="shared" si="29"/>
        <v>0</v>
      </c>
      <c r="L7034" s="59">
        <f t="shared" si="30"/>
        <v>0</v>
      </c>
      <c r="M7034" s="59">
        <f t="shared" si="31"/>
        <v>0</v>
      </c>
    </row>
    <row r="7035" ht="15.0" hidden="1" customHeight="1">
      <c r="A7035" s="59">
        <f t="shared" si="20"/>
        <v>114</v>
      </c>
      <c r="B7035" s="59" t="str">
        <f t="shared" si="21"/>
        <v/>
      </c>
      <c r="C7035" s="59" t="str">
        <f t="shared" si="22"/>
        <v/>
      </c>
      <c r="D7035" s="45" t="str">
        <f t="shared" si="23"/>
        <v/>
      </c>
      <c r="E7035" s="45" t="str">
        <f t="shared" si="24"/>
        <v/>
      </c>
      <c r="F7035" s="59" t="str">
        <f t="shared" si="25"/>
        <v/>
      </c>
      <c r="G7035" s="59" t="str">
        <f t="shared" si="26"/>
        <v/>
      </c>
      <c r="H7035" s="59" t="str">
        <f t="shared" si="27"/>
        <v>28C04509</v>
      </c>
      <c r="I7035" s="59" t="str">
        <f>IF(OR($A7035="",$C7035="",$D7035="",$E7035="",$H7035=""),"",SUMIFS(DATA_GOC!$H:$H,DATA_GOC!$A:$A,"BOM",DATA_GOC!$D:$D,$H7035,DATA_GOC!$E:$E,$C7035,DATA_GOC!$F:$F,"Xuất nội bộ từ téc",DATA_GOC!$B:$B,"&gt;="&amp;$D7035,DATA_GOC!$B:$B,"&lt;="&amp;$E7035))</f>
        <v/>
      </c>
      <c r="J7035" s="59">
        <f t="shared" si="28"/>
        <v>0</v>
      </c>
      <c r="K7035" s="59">
        <f t="shared" si="29"/>
        <v>0</v>
      </c>
      <c r="L7035" s="59">
        <f t="shared" si="30"/>
        <v>0</v>
      </c>
      <c r="M7035" s="59">
        <f t="shared" si="31"/>
        <v>0</v>
      </c>
    </row>
    <row r="7036" ht="15.0" hidden="1" customHeight="1">
      <c r="A7036" s="59">
        <f t="shared" si="20"/>
        <v>114</v>
      </c>
      <c r="B7036" s="59" t="str">
        <f t="shared" si="21"/>
        <v/>
      </c>
      <c r="C7036" s="59" t="str">
        <f t="shared" si="22"/>
        <v/>
      </c>
      <c r="D7036" s="45" t="str">
        <f t="shared" si="23"/>
        <v/>
      </c>
      <c r="E7036" s="45" t="str">
        <f t="shared" si="24"/>
        <v/>
      </c>
      <c r="F7036" s="59" t="str">
        <f t="shared" si="25"/>
        <v/>
      </c>
      <c r="G7036" s="59" t="str">
        <f t="shared" si="26"/>
        <v/>
      </c>
      <c r="H7036" s="59" t="str">
        <f t="shared" si="27"/>
        <v>28C04536</v>
      </c>
      <c r="I7036" s="59" t="str">
        <f>IF(OR($A7036="",$C7036="",$D7036="",$E7036="",$H7036=""),"",SUMIFS(DATA_GOC!$H:$H,DATA_GOC!$A:$A,"BOM",DATA_GOC!$D:$D,$H7036,DATA_GOC!$E:$E,$C7036,DATA_GOC!$F:$F,"Xuất nội bộ từ téc",DATA_GOC!$B:$B,"&gt;="&amp;$D7036,DATA_GOC!$B:$B,"&lt;="&amp;$E7036))</f>
        <v/>
      </c>
      <c r="J7036" s="59">
        <f t="shared" si="28"/>
        <v>0</v>
      </c>
      <c r="K7036" s="59">
        <f t="shared" si="29"/>
        <v>0</v>
      </c>
      <c r="L7036" s="59">
        <f t="shared" si="30"/>
        <v>0</v>
      </c>
      <c r="M7036" s="59">
        <f t="shared" si="31"/>
        <v>0</v>
      </c>
    </row>
    <row r="7037" ht="15.0" hidden="1" customHeight="1">
      <c r="A7037" s="59">
        <f t="shared" si="20"/>
        <v>114</v>
      </c>
      <c r="B7037" s="59" t="str">
        <f t="shared" si="21"/>
        <v/>
      </c>
      <c r="C7037" s="59" t="str">
        <f t="shared" si="22"/>
        <v/>
      </c>
      <c r="D7037" s="45" t="str">
        <f t="shared" si="23"/>
        <v/>
      </c>
      <c r="E7037" s="45" t="str">
        <f t="shared" si="24"/>
        <v/>
      </c>
      <c r="F7037" s="59" t="str">
        <f t="shared" si="25"/>
        <v/>
      </c>
      <c r="G7037" s="59" t="str">
        <f t="shared" si="26"/>
        <v/>
      </c>
      <c r="H7037" s="59" t="str">
        <f t="shared" si="27"/>
        <v>28C04576</v>
      </c>
      <c r="I7037" s="59" t="str">
        <f>IF(OR($A7037="",$C7037="",$D7037="",$E7037="",$H7037=""),"",SUMIFS(DATA_GOC!$H:$H,DATA_GOC!$A:$A,"BOM",DATA_GOC!$D:$D,$H7037,DATA_GOC!$E:$E,$C7037,DATA_GOC!$F:$F,"Xuất nội bộ từ téc",DATA_GOC!$B:$B,"&gt;="&amp;$D7037,DATA_GOC!$B:$B,"&lt;="&amp;$E7037))</f>
        <v/>
      </c>
      <c r="J7037" s="59">
        <f t="shared" si="28"/>
        <v>0</v>
      </c>
      <c r="K7037" s="59">
        <f t="shared" si="29"/>
        <v>0</v>
      </c>
      <c r="L7037" s="59">
        <f t="shared" si="30"/>
        <v>0</v>
      </c>
      <c r="M7037" s="59">
        <f t="shared" si="31"/>
        <v>0</v>
      </c>
    </row>
    <row r="7038" ht="15.0" hidden="1" customHeight="1">
      <c r="A7038" s="59">
        <f t="shared" si="20"/>
        <v>114</v>
      </c>
      <c r="B7038" s="59" t="str">
        <f t="shared" si="21"/>
        <v/>
      </c>
      <c r="C7038" s="59" t="str">
        <f t="shared" si="22"/>
        <v/>
      </c>
      <c r="D7038" s="45" t="str">
        <f t="shared" si="23"/>
        <v/>
      </c>
      <c r="E7038" s="45" t="str">
        <f t="shared" si="24"/>
        <v/>
      </c>
      <c r="F7038" s="59" t="str">
        <f t="shared" si="25"/>
        <v/>
      </c>
      <c r="G7038" s="59" t="str">
        <f t="shared" si="26"/>
        <v/>
      </c>
      <c r="H7038" s="59" t="str">
        <f t="shared" si="27"/>
        <v>28C05090</v>
      </c>
      <c r="I7038" s="59" t="str">
        <f>IF(OR($A7038="",$C7038="",$D7038="",$E7038="",$H7038=""),"",SUMIFS(DATA_GOC!$H:$H,DATA_GOC!$A:$A,"BOM",DATA_GOC!$D:$D,$H7038,DATA_GOC!$E:$E,$C7038,DATA_GOC!$F:$F,"Xuất nội bộ từ téc",DATA_GOC!$B:$B,"&gt;="&amp;$D7038,DATA_GOC!$B:$B,"&lt;="&amp;$E7038))</f>
        <v/>
      </c>
      <c r="J7038" s="59">
        <f t="shared" si="28"/>
        <v>0</v>
      </c>
      <c r="K7038" s="59">
        <f t="shared" si="29"/>
        <v>0</v>
      </c>
      <c r="L7038" s="59">
        <f t="shared" si="30"/>
        <v>0</v>
      </c>
      <c r="M7038" s="59">
        <f t="shared" si="31"/>
        <v>0</v>
      </c>
    </row>
    <row r="7039" ht="15.0" hidden="1" customHeight="1">
      <c r="A7039" s="59">
        <f t="shared" si="20"/>
        <v>114</v>
      </c>
      <c r="B7039" s="59" t="str">
        <f t="shared" si="21"/>
        <v/>
      </c>
      <c r="C7039" s="59" t="str">
        <f t="shared" si="22"/>
        <v/>
      </c>
      <c r="D7039" s="45" t="str">
        <f t="shared" si="23"/>
        <v/>
      </c>
      <c r="E7039" s="45" t="str">
        <f t="shared" si="24"/>
        <v/>
      </c>
      <c r="F7039" s="59" t="str">
        <f t="shared" si="25"/>
        <v/>
      </c>
      <c r="G7039" s="59" t="str">
        <f t="shared" si="26"/>
        <v/>
      </c>
      <c r="H7039" s="59" t="str">
        <f t="shared" si="27"/>
        <v>28C05345</v>
      </c>
      <c r="I7039" s="59" t="str">
        <f>IF(OR($A7039="",$C7039="",$D7039="",$E7039="",$H7039=""),"",SUMIFS(DATA_GOC!$H:$H,DATA_GOC!$A:$A,"BOM",DATA_GOC!$D:$D,$H7039,DATA_GOC!$E:$E,$C7039,DATA_GOC!$F:$F,"Xuất nội bộ từ téc",DATA_GOC!$B:$B,"&gt;="&amp;$D7039,DATA_GOC!$B:$B,"&lt;="&amp;$E7039))</f>
        <v/>
      </c>
      <c r="J7039" s="59">
        <f t="shared" si="28"/>
        <v>0</v>
      </c>
      <c r="K7039" s="59">
        <f t="shared" si="29"/>
        <v>0</v>
      </c>
      <c r="L7039" s="59">
        <f t="shared" si="30"/>
        <v>0</v>
      </c>
      <c r="M7039" s="59">
        <f t="shared" si="31"/>
        <v>0</v>
      </c>
    </row>
    <row r="7040" ht="15.0" hidden="1" customHeight="1">
      <c r="A7040" s="59">
        <f t="shared" si="20"/>
        <v>114</v>
      </c>
      <c r="B7040" s="59" t="str">
        <f t="shared" si="21"/>
        <v/>
      </c>
      <c r="C7040" s="59" t="str">
        <f t="shared" si="22"/>
        <v/>
      </c>
      <c r="D7040" s="45" t="str">
        <f t="shared" si="23"/>
        <v/>
      </c>
      <c r="E7040" s="45" t="str">
        <f t="shared" si="24"/>
        <v/>
      </c>
      <c r="F7040" s="59" t="str">
        <f t="shared" si="25"/>
        <v/>
      </c>
      <c r="G7040" s="59" t="str">
        <f t="shared" si="26"/>
        <v/>
      </c>
      <c r="H7040" s="59" t="str">
        <f t="shared" si="27"/>
        <v>28C05661</v>
      </c>
      <c r="I7040" s="59" t="str">
        <f>IF(OR($A7040="",$C7040="",$D7040="",$E7040="",$H7040=""),"",SUMIFS(DATA_GOC!$H:$H,DATA_GOC!$A:$A,"BOM",DATA_GOC!$D:$D,$H7040,DATA_GOC!$E:$E,$C7040,DATA_GOC!$F:$F,"Xuất nội bộ từ téc",DATA_GOC!$B:$B,"&gt;="&amp;$D7040,DATA_GOC!$B:$B,"&lt;="&amp;$E7040))</f>
        <v/>
      </c>
      <c r="J7040" s="59">
        <f t="shared" si="28"/>
        <v>0</v>
      </c>
      <c r="K7040" s="59">
        <f t="shared" si="29"/>
        <v>0</v>
      </c>
      <c r="L7040" s="59">
        <f t="shared" si="30"/>
        <v>0</v>
      </c>
      <c r="M7040" s="59">
        <f t="shared" si="31"/>
        <v>0</v>
      </c>
    </row>
    <row r="7041" ht="15.0" hidden="1" customHeight="1">
      <c r="A7041" s="59">
        <f t="shared" si="20"/>
        <v>114</v>
      </c>
      <c r="B7041" s="59" t="str">
        <f t="shared" si="21"/>
        <v/>
      </c>
      <c r="C7041" s="59" t="str">
        <f t="shared" si="22"/>
        <v/>
      </c>
      <c r="D7041" s="45" t="str">
        <f t="shared" si="23"/>
        <v/>
      </c>
      <c r="E7041" s="45" t="str">
        <f t="shared" si="24"/>
        <v/>
      </c>
      <c r="F7041" s="59" t="str">
        <f t="shared" si="25"/>
        <v/>
      </c>
      <c r="G7041" s="59" t="str">
        <f t="shared" si="26"/>
        <v/>
      </c>
      <c r="H7041" s="59" t="str">
        <f t="shared" si="27"/>
        <v>28C05739</v>
      </c>
      <c r="I7041" s="59" t="str">
        <f>IF(OR($A7041="",$C7041="",$D7041="",$E7041="",$H7041=""),"",SUMIFS(DATA_GOC!$H:$H,DATA_GOC!$A:$A,"BOM",DATA_GOC!$D:$D,$H7041,DATA_GOC!$E:$E,$C7041,DATA_GOC!$F:$F,"Xuất nội bộ từ téc",DATA_GOC!$B:$B,"&gt;="&amp;$D7041,DATA_GOC!$B:$B,"&lt;="&amp;$E7041))</f>
        <v/>
      </c>
      <c r="J7041" s="59">
        <f t="shared" si="28"/>
        <v>0</v>
      </c>
      <c r="K7041" s="59">
        <f t="shared" si="29"/>
        <v>0</v>
      </c>
      <c r="L7041" s="59">
        <f t="shared" si="30"/>
        <v>0</v>
      </c>
      <c r="M7041" s="59">
        <f t="shared" si="31"/>
        <v>0</v>
      </c>
    </row>
    <row r="7042" ht="15.0" hidden="1" customHeight="1">
      <c r="A7042" s="59">
        <f t="shared" si="20"/>
        <v>114</v>
      </c>
      <c r="B7042" s="59" t="str">
        <f t="shared" si="21"/>
        <v/>
      </c>
      <c r="C7042" s="59" t="str">
        <f t="shared" si="22"/>
        <v/>
      </c>
      <c r="D7042" s="45" t="str">
        <f t="shared" si="23"/>
        <v/>
      </c>
      <c r="E7042" s="45" t="str">
        <f t="shared" si="24"/>
        <v/>
      </c>
      <c r="F7042" s="59" t="str">
        <f t="shared" si="25"/>
        <v/>
      </c>
      <c r="G7042" s="59" t="str">
        <f t="shared" si="26"/>
        <v/>
      </c>
      <c r="H7042" s="59" t="str">
        <f t="shared" si="27"/>
        <v>28C06369</v>
      </c>
      <c r="I7042" s="59" t="str">
        <f>IF(OR($A7042="",$C7042="",$D7042="",$E7042="",$H7042=""),"",SUMIFS(DATA_GOC!$H:$H,DATA_GOC!$A:$A,"BOM",DATA_GOC!$D:$D,$H7042,DATA_GOC!$E:$E,$C7042,DATA_GOC!$F:$F,"Xuất nội bộ từ téc",DATA_GOC!$B:$B,"&gt;="&amp;$D7042,DATA_GOC!$B:$B,"&lt;="&amp;$E7042))</f>
        <v/>
      </c>
      <c r="J7042" s="59">
        <f t="shared" si="28"/>
        <v>0</v>
      </c>
      <c r="K7042" s="59">
        <f t="shared" si="29"/>
        <v>0</v>
      </c>
      <c r="L7042" s="59">
        <f t="shared" si="30"/>
        <v>0</v>
      </c>
      <c r="M7042" s="59">
        <f t="shared" si="31"/>
        <v>0</v>
      </c>
    </row>
    <row r="7043" ht="15.0" hidden="1" customHeight="1">
      <c r="A7043" s="59">
        <f t="shared" si="20"/>
        <v>114</v>
      </c>
      <c r="B7043" s="59" t="str">
        <f t="shared" si="21"/>
        <v/>
      </c>
      <c r="C7043" s="59" t="str">
        <f t="shared" si="22"/>
        <v/>
      </c>
      <c r="D7043" s="45" t="str">
        <f t="shared" si="23"/>
        <v/>
      </c>
      <c r="E7043" s="45" t="str">
        <f t="shared" si="24"/>
        <v/>
      </c>
      <c r="F7043" s="59" t="str">
        <f t="shared" si="25"/>
        <v/>
      </c>
      <c r="G7043" s="59" t="str">
        <f t="shared" si="26"/>
        <v/>
      </c>
      <c r="H7043" s="59" t="str">
        <f t="shared" si="27"/>
        <v>28C06447</v>
      </c>
      <c r="I7043" s="59" t="str">
        <f>IF(OR($A7043="",$C7043="",$D7043="",$E7043="",$H7043=""),"",SUMIFS(DATA_GOC!$H:$H,DATA_GOC!$A:$A,"BOM",DATA_GOC!$D:$D,$H7043,DATA_GOC!$E:$E,$C7043,DATA_GOC!$F:$F,"Xuất nội bộ từ téc",DATA_GOC!$B:$B,"&gt;="&amp;$D7043,DATA_GOC!$B:$B,"&lt;="&amp;$E7043))</f>
        <v/>
      </c>
      <c r="J7043" s="59">
        <f t="shared" si="28"/>
        <v>0</v>
      </c>
      <c r="K7043" s="59">
        <f t="shared" si="29"/>
        <v>0</v>
      </c>
      <c r="L7043" s="59">
        <f t="shared" si="30"/>
        <v>0</v>
      </c>
      <c r="M7043" s="59">
        <f t="shared" si="31"/>
        <v>0</v>
      </c>
    </row>
    <row r="7044" ht="15.0" hidden="1" customHeight="1">
      <c r="A7044" s="59">
        <f t="shared" si="20"/>
        <v>114</v>
      </c>
      <c r="B7044" s="59" t="str">
        <f t="shared" si="21"/>
        <v/>
      </c>
      <c r="C7044" s="59" t="str">
        <f t="shared" si="22"/>
        <v/>
      </c>
      <c r="D7044" s="45" t="str">
        <f t="shared" si="23"/>
        <v/>
      </c>
      <c r="E7044" s="45" t="str">
        <f t="shared" si="24"/>
        <v/>
      </c>
      <c r="F7044" s="59" t="str">
        <f t="shared" si="25"/>
        <v/>
      </c>
      <c r="G7044" s="59" t="str">
        <f t="shared" si="26"/>
        <v/>
      </c>
      <c r="H7044" s="59" t="str">
        <f t="shared" si="27"/>
        <v>28H00003</v>
      </c>
      <c r="I7044" s="59" t="str">
        <f>IF(OR($A7044="",$C7044="",$D7044="",$E7044="",$H7044=""),"",SUMIFS(DATA_GOC!$H:$H,DATA_GOC!$A:$A,"BOM",DATA_GOC!$D:$D,$H7044,DATA_GOC!$E:$E,$C7044,DATA_GOC!$F:$F,"Xuất nội bộ từ téc",DATA_GOC!$B:$B,"&gt;="&amp;$D7044,DATA_GOC!$B:$B,"&lt;="&amp;$E7044))</f>
        <v/>
      </c>
      <c r="J7044" s="59">
        <f t="shared" si="28"/>
        <v>0</v>
      </c>
      <c r="K7044" s="59">
        <f t="shared" si="29"/>
        <v>0</v>
      </c>
      <c r="L7044" s="59">
        <f t="shared" si="30"/>
        <v>0</v>
      </c>
      <c r="M7044" s="59">
        <f t="shared" si="31"/>
        <v>0</v>
      </c>
    </row>
    <row r="7045" ht="15.0" hidden="1" customHeight="1">
      <c r="A7045" s="59">
        <f t="shared" si="20"/>
        <v>114</v>
      </c>
      <c r="B7045" s="59" t="str">
        <f t="shared" si="21"/>
        <v/>
      </c>
      <c r="C7045" s="59" t="str">
        <f t="shared" si="22"/>
        <v/>
      </c>
      <c r="D7045" s="45" t="str">
        <f t="shared" si="23"/>
        <v/>
      </c>
      <c r="E7045" s="45" t="str">
        <f t="shared" si="24"/>
        <v/>
      </c>
      <c r="F7045" s="59" t="str">
        <f t="shared" si="25"/>
        <v/>
      </c>
      <c r="G7045" s="59" t="str">
        <f t="shared" si="26"/>
        <v/>
      </c>
      <c r="H7045" s="59" t="str">
        <f t="shared" si="27"/>
        <v>28H00061</v>
      </c>
      <c r="I7045" s="59" t="str">
        <f>IF(OR($A7045="",$C7045="",$D7045="",$E7045="",$H7045=""),"",SUMIFS(DATA_GOC!$H:$H,DATA_GOC!$A:$A,"BOM",DATA_GOC!$D:$D,$H7045,DATA_GOC!$E:$E,$C7045,DATA_GOC!$F:$F,"Xuất nội bộ từ téc",DATA_GOC!$B:$B,"&gt;="&amp;$D7045,DATA_GOC!$B:$B,"&lt;="&amp;$E7045))</f>
        <v/>
      </c>
      <c r="J7045" s="59">
        <f t="shared" si="28"/>
        <v>0</v>
      </c>
      <c r="K7045" s="59">
        <f t="shared" si="29"/>
        <v>0</v>
      </c>
      <c r="L7045" s="59">
        <f t="shared" si="30"/>
        <v>0</v>
      </c>
      <c r="M7045" s="59">
        <f t="shared" si="31"/>
        <v>0</v>
      </c>
    </row>
    <row r="7046" ht="15.0" hidden="1" customHeight="1">
      <c r="A7046" s="59">
        <f t="shared" si="20"/>
        <v>114</v>
      </c>
      <c r="B7046" s="59" t="str">
        <f t="shared" si="21"/>
        <v/>
      </c>
      <c r="C7046" s="59" t="str">
        <f t="shared" si="22"/>
        <v/>
      </c>
      <c r="D7046" s="45" t="str">
        <f t="shared" si="23"/>
        <v/>
      </c>
      <c r="E7046" s="45" t="str">
        <f t="shared" si="24"/>
        <v/>
      </c>
      <c r="F7046" s="59" t="str">
        <f t="shared" si="25"/>
        <v/>
      </c>
      <c r="G7046" s="59" t="str">
        <f t="shared" si="26"/>
        <v/>
      </c>
      <c r="H7046" s="59" t="str">
        <f t="shared" si="27"/>
        <v>28H00354</v>
      </c>
      <c r="I7046" s="59" t="str">
        <f>IF(OR($A7046="",$C7046="",$D7046="",$E7046="",$H7046=""),"",SUMIFS(DATA_GOC!$H:$H,DATA_GOC!$A:$A,"BOM",DATA_GOC!$D:$D,$H7046,DATA_GOC!$E:$E,$C7046,DATA_GOC!$F:$F,"Xuất nội bộ từ téc",DATA_GOC!$B:$B,"&gt;="&amp;$D7046,DATA_GOC!$B:$B,"&lt;="&amp;$E7046))</f>
        <v/>
      </c>
      <c r="J7046" s="59">
        <f t="shared" si="28"/>
        <v>0</v>
      </c>
      <c r="K7046" s="59">
        <f t="shared" si="29"/>
        <v>0</v>
      </c>
      <c r="L7046" s="59">
        <f t="shared" si="30"/>
        <v>0</v>
      </c>
      <c r="M7046" s="59">
        <f t="shared" si="31"/>
        <v>0</v>
      </c>
    </row>
    <row r="7047" ht="15.0" hidden="1" customHeight="1">
      <c r="A7047" s="59">
        <f t="shared" si="20"/>
        <v>114</v>
      </c>
      <c r="B7047" s="59" t="str">
        <f t="shared" si="21"/>
        <v/>
      </c>
      <c r="C7047" s="59" t="str">
        <f t="shared" si="22"/>
        <v/>
      </c>
      <c r="D7047" s="45" t="str">
        <f t="shared" si="23"/>
        <v/>
      </c>
      <c r="E7047" s="45" t="str">
        <f t="shared" si="24"/>
        <v/>
      </c>
      <c r="F7047" s="59" t="str">
        <f t="shared" si="25"/>
        <v/>
      </c>
      <c r="G7047" s="59" t="str">
        <f t="shared" si="26"/>
        <v/>
      </c>
      <c r="H7047" s="59" t="str">
        <f t="shared" si="27"/>
        <v>28H00603</v>
      </c>
      <c r="I7047" s="59" t="str">
        <f>IF(OR($A7047="",$C7047="",$D7047="",$E7047="",$H7047=""),"",SUMIFS(DATA_GOC!$H:$H,DATA_GOC!$A:$A,"BOM",DATA_GOC!$D:$D,$H7047,DATA_GOC!$E:$E,$C7047,DATA_GOC!$F:$F,"Xuất nội bộ từ téc",DATA_GOC!$B:$B,"&gt;="&amp;$D7047,DATA_GOC!$B:$B,"&lt;="&amp;$E7047))</f>
        <v/>
      </c>
      <c r="J7047" s="59">
        <f t="shared" si="28"/>
        <v>0</v>
      </c>
      <c r="K7047" s="59">
        <f t="shared" si="29"/>
        <v>0</v>
      </c>
      <c r="L7047" s="59">
        <f t="shared" si="30"/>
        <v>0</v>
      </c>
      <c r="M7047" s="59">
        <f t="shared" si="31"/>
        <v>0</v>
      </c>
    </row>
    <row r="7048" ht="15.0" hidden="1" customHeight="1">
      <c r="A7048" s="59">
        <f t="shared" si="20"/>
        <v>114</v>
      </c>
      <c r="B7048" s="59" t="str">
        <f t="shared" si="21"/>
        <v/>
      </c>
      <c r="C7048" s="59" t="str">
        <f t="shared" si="22"/>
        <v/>
      </c>
      <c r="D7048" s="45" t="str">
        <f t="shared" si="23"/>
        <v/>
      </c>
      <c r="E7048" s="45" t="str">
        <f t="shared" si="24"/>
        <v/>
      </c>
      <c r="F7048" s="59" t="str">
        <f t="shared" si="25"/>
        <v/>
      </c>
      <c r="G7048" s="59" t="str">
        <f t="shared" si="26"/>
        <v/>
      </c>
      <c r="H7048" s="59" t="str">
        <f t="shared" si="27"/>
        <v>28H00609</v>
      </c>
      <c r="I7048" s="59" t="str">
        <f>IF(OR($A7048="",$C7048="",$D7048="",$E7048="",$H7048=""),"",SUMIFS(DATA_GOC!$H:$H,DATA_GOC!$A:$A,"BOM",DATA_GOC!$D:$D,$H7048,DATA_GOC!$E:$E,$C7048,DATA_GOC!$F:$F,"Xuất nội bộ từ téc",DATA_GOC!$B:$B,"&gt;="&amp;$D7048,DATA_GOC!$B:$B,"&lt;="&amp;$E7048))</f>
        <v/>
      </c>
      <c r="J7048" s="59">
        <f t="shared" si="28"/>
        <v>0</v>
      </c>
      <c r="K7048" s="59">
        <f t="shared" si="29"/>
        <v>0</v>
      </c>
      <c r="L7048" s="59">
        <f t="shared" si="30"/>
        <v>0</v>
      </c>
      <c r="M7048" s="59">
        <f t="shared" si="31"/>
        <v>0</v>
      </c>
    </row>
    <row r="7049" ht="15.0" hidden="1" customHeight="1">
      <c r="A7049" s="59">
        <f t="shared" si="20"/>
        <v>114</v>
      </c>
      <c r="B7049" s="59" t="str">
        <f t="shared" si="21"/>
        <v/>
      </c>
      <c r="C7049" s="59" t="str">
        <f t="shared" si="22"/>
        <v/>
      </c>
      <c r="D7049" s="45" t="str">
        <f t="shared" si="23"/>
        <v/>
      </c>
      <c r="E7049" s="45" t="str">
        <f t="shared" si="24"/>
        <v/>
      </c>
      <c r="F7049" s="59" t="str">
        <f t="shared" si="25"/>
        <v/>
      </c>
      <c r="G7049" s="59" t="str">
        <f t="shared" si="26"/>
        <v/>
      </c>
      <c r="H7049" s="59" t="str">
        <f t="shared" si="27"/>
        <v>28H00669</v>
      </c>
      <c r="I7049" s="59" t="str">
        <f>IF(OR($A7049="",$C7049="",$D7049="",$E7049="",$H7049=""),"",SUMIFS(DATA_GOC!$H:$H,DATA_GOC!$A:$A,"BOM",DATA_GOC!$D:$D,$H7049,DATA_GOC!$E:$E,$C7049,DATA_GOC!$F:$F,"Xuất nội bộ từ téc",DATA_GOC!$B:$B,"&gt;="&amp;$D7049,DATA_GOC!$B:$B,"&lt;="&amp;$E7049))</f>
        <v/>
      </c>
      <c r="J7049" s="59">
        <f t="shared" si="28"/>
        <v>0</v>
      </c>
      <c r="K7049" s="59">
        <f t="shared" si="29"/>
        <v>0</v>
      </c>
      <c r="L7049" s="59">
        <f t="shared" si="30"/>
        <v>0</v>
      </c>
      <c r="M7049" s="59">
        <f t="shared" si="31"/>
        <v>0</v>
      </c>
    </row>
    <row r="7050" ht="15.0" hidden="1" customHeight="1">
      <c r="A7050" s="59">
        <f t="shared" si="20"/>
        <v>114</v>
      </c>
      <c r="B7050" s="59" t="str">
        <f t="shared" si="21"/>
        <v/>
      </c>
      <c r="C7050" s="59" t="str">
        <f t="shared" si="22"/>
        <v/>
      </c>
      <c r="D7050" s="45" t="str">
        <f t="shared" si="23"/>
        <v/>
      </c>
      <c r="E7050" s="45" t="str">
        <f t="shared" si="24"/>
        <v/>
      </c>
      <c r="F7050" s="59" t="str">
        <f t="shared" si="25"/>
        <v/>
      </c>
      <c r="G7050" s="59" t="str">
        <f t="shared" si="26"/>
        <v/>
      </c>
      <c r="H7050" s="59" t="str">
        <f t="shared" si="27"/>
        <v>28H00680</v>
      </c>
      <c r="I7050" s="59" t="str">
        <f>IF(OR($A7050="",$C7050="",$D7050="",$E7050="",$H7050=""),"",SUMIFS(DATA_GOC!$H:$H,DATA_GOC!$A:$A,"BOM",DATA_GOC!$D:$D,$H7050,DATA_GOC!$E:$E,$C7050,DATA_GOC!$F:$F,"Xuất nội bộ từ téc",DATA_GOC!$B:$B,"&gt;="&amp;$D7050,DATA_GOC!$B:$B,"&lt;="&amp;$E7050))</f>
        <v/>
      </c>
      <c r="J7050" s="59">
        <f t="shared" si="28"/>
        <v>0</v>
      </c>
      <c r="K7050" s="59">
        <f t="shared" si="29"/>
        <v>0</v>
      </c>
      <c r="L7050" s="59">
        <f t="shared" si="30"/>
        <v>0</v>
      </c>
      <c r="M7050" s="59">
        <f t="shared" si="31"/>
        <v>0</v>
      </c>
    </row>
    <row r="7051" ht="15.0" hidden="1" customHeight="1">
      <c r="A7051" s="59">
        <f t="shared" si="20"/>
        <v>114</v>
      </c>
      <c r="B7051" s="59" t="str">
        <f t="shared" si="21"/>
        <v/>
      </c>
      <c r="C7051" s="59" t="str">
        <f t="shared" si="22"/>
        <v/>
      </c>
      <c r="D7051" s="45" t="str">
        <f t="shared" si="23"/>
        <v/>
      </c>
      <c r="E7051" s="45" t="str">
        <f t="shared" si="24"/>
        <v/>
      </c>
      <c r="F7051" s="59" t="str">
        <f t="shared" si="25"/>
        <v/>
      </c>
      <c r="G7051" s="59" t="str">
        <f t="shared" si="26"/>
        <v/>
      </c>
      <c r="H7051" s="59" t="str">
        <f t="shared" si="27"/>
        <v>28H01070</v>
      </c>
      <c r="I7051" s="59" t="str">
        <f>IF(OR($A7051="",$C7051="",$D7051="",$E7051="",$H7051=""),"",SUMIFS(DATA_GOC!$H:$H,DATA_GOC!$A:$A,"BOM",DATA_GOC!$D:$D,$H7051,DATA_GOC!$E:$E,$C7051,DATA_GOC!$F:$F,"Xuất nội bộ từ téc",DATA_GOC!$B:$B,"&gt;="&amp;$D7051,DATA_GOC!$B:$B,"&lt;="&amp;$E7051))</f>
        <v/>
      </c>
      <c r="J7051" s="59">
        <f t="shared" si="28"/>
        <v>0</v>
      </c>
      <c r="K7051" s="59">
        <f t="shared" si="29"/>
        <v>0</v>
      </c>
      <c r="L7051" s="59">
        <f t="shared" si="30"/>
        <v>0</v>
      </c>
      <c r="M7051" s="59">
        <f t="shared" si="31"/>
        <v>0</v>
      </c>
    </row>
    <row r="7052" ht="15.0" hidden="1" customHeight="1">
      <c r="A7052" s="59">
        <f t="shared" si="20"/>
        <v>114</v>
      </c>
      <c r="B7052" s="59" t="str">
        <f t="shared" si="21"/>
        <v/>
      </c>
      <c r="C7052" s="59" t="str">
        <f t="shared" si="22"/>
        <v/>
      </c>
      <c r="D7052" s="45" t="str">
        <f t="shared" si="23"/>
        <v/>
      </c>
      <c r="E7052" s="45" t="str">
        <f t="shared" si="24"/>
        <v/>
      </c>
      <c r="F7052" s="59" t="str">
        <f t="shared" si="25"/>
        <v/>
      </c>
      <c r="G7052" s="59" t="str">
        <f t="shared" si="26"/>
        <v/>
      </c>
      <c r="H7052" s="59" t="str">
        <f t="shared" si="27"/>
        <v>28H01364</v>
      </c>
      <c r="I7052" s="59" t="str">
        <f>IF(OR($A7052="",$C7052="",$D7052="",$E7052="",$H7052=""),"",SUMIFS(DATA_GOC!$H:$H,DATA_GOC!$A:$A,"BOM",DATA_GOC!$D:$D,$H7052,DATA_GOC!$E:$E,$C7052,DATA_GOC!$F:$F,"Xuất nội bộ từ téc",DATA_GOC!$B:$B,"&gt;="&amp;$D7052,DATA_GOC!$B:$B,"&lt;="&amp;$E7052))</f>
        <v/>
      </c>
      <c r="J7052" s="59">
        <f t="shared" si="28"/>
        <v>0</v>
      </c>
      <c r="K7052" s="59">
        <f t="shared" si="29"/>
        <v>0</v>
      </c>
      <c r="L7052" s="59">
        <f t="shared" si="30"/>
        <v>0</v>
      </c>
      <c r="M7052" s="59">
        <f t="shared" si="31"/>
        <v>0</v>
      </c>
    </row>
    <row r="7053" ht="15.0" hidden="1" customHeight="1">
      <c r="A7053" s="59">
        <f t="shared" si="20"/>
        <v>114</v>
      </c>
      <c r="B7053" s="59" t="str">
        <f t="shared" si="21"/>
        <v/>
      </c>
      <c r="C7053" s="59" t="str">
        <f t="shared" si="22"/>
        <v/>
      </c>
      <c r="D7053" s="45" t="str">
        <f t="shared" si="23"/>
        <v/>
      </c>
      <c r="E7053" s="45" t="str">
        <f t="shared" si="24"/>
        <v/>
      </c>
      <c r="F7053" s="59" t="str">
        <f t="shared" si="25"/>
        <v/>
      </c>
      <c r="G7053" s="59" t="str">
        <f t="shared" si="26"/>
        <v/>
      </c>
      <c r="H7053" s="59" t="str">
        <f t="shared" si="27"/>
        <v>29E17269</v>
      </c>
      <c r="I7053" s="59" t="str">
        <f>IF(OR($A7053="",$C7053="",$D7053="",$E7053="",$H7053=""),"",SUMIFS(DATA_GOC!$H:$H,DATA_GOC!$A:$A,"BOM",DATA_GOC!$D:$D,$H7053,DATA_GOC!$E:$E,$C7053,DATA_GOC!$F:$F,"Xuất nội bộ từ téc",DATA_GOC!$B:$B,"&gt;="&amp;$D7053,DATA_GOC!$B:$B,"&lt;="&amp;$E7053))</f>
        <v/>
      </c>
      <c r="J7053" s="59">
        <f t="shared" si="28"/>
        <v>0</v>
      </c>
      <c r="K7053" s="59">
        <f t="shared" si="29"/>
        <v>0</v>
      </c>
      <c r="L7053" s="59">
        <f t="shared" si="30"/>
        <v>0</v>
      </c>
      <c r="M7053" s="59">
        <f t="shared" si="31"/>
        <v>0</v>
      </c>
    </row>
    <row r="7054" ht="15.0" hidden="1" customHeight="1">
      <c r="A7054" s="59">
        <f t="shared" si="20"/>
        <v>114</v>
      </c>
      <c r="B7054" s="59" t="str">
        <f t="shared" si="21"/>
        <v/>
      </c>
      <c r="C7054" s="59" t="str">
        <f t="shared" si="22"/>
        <v/>
      </c>
      <c r="D7054" s="45" t="str">
        <f t="shared" si="23"/>
        <v/>
      </c>
      <c r="E7054" s="45" t="str">
        <f t="shared" si="24"/>
        <v/>
      </c>
      <c r="F7054" s="59" t="str">
        <f t="shared" si="25"/>
        <v/>
      </c>
      <c r="G7054" s="59" t="str">
        <f t="shared" si="26"/>
        <v/>
      </c>
      <c r="H7054" s="59" t="str">
        <f t="shared" si="27"/>
        <v>29E17273</v>
      </c>
      <c r="I7054" s="59" t="str">
        <f>IF(OR($A7054="",$C7054="",$D7054="",$E7054="",$H7054=""),"",SUMIFS(DATA_GOC!$H:$H,DATA_GOC!$A:$A,"BOM",DATA_GOC!$D:$D,$H7054,DATA_GOC!$E:$E,$C7054,DATA_GOC!$F:$F,"Xuất nội bộ từ téc",DATA_GOC!$B:$B,"&gt;="&amp;$D7054,DATA_GOC!$B:$B,"&lt;="&amp;$E7054))</f>
        <v/>
      </c>
      <c r="J7054" s="59">
        <f t="shared" si="28"/>
        <v>0</v>
      </c>
      <c r="K7054" s="59">
        <f t="shared" si="29"/>
        <v>0</v>
      </c>
      <c r="L7054" s="59">
        <f t="shared" si="30"/>
        <v>0</v>
      </c>
      <c r="M7054" s="59">
        <f t="shared" si="31"/>
        <v>0</v>
      </c>
    </row>
    <row r="7055" ht="15.0" hidden="1" customHeight="1">
      <c r="A7055" s="59">
        <f t="shared" si="20"/>
        <v>114</v>
      </c>
      <c r="B7055" s="59" t="str">
        <f t="shared" si="21"/>
        <v/>
      </c>
      <c r="C7055" s="59" t="str">
        <f t="shared" si="22"/>
        <v/>
      </c>
      <c r="D7055" s="45" t="str">
        <f t="shared" si="23"/>
        <v/>
      </c>
      <c r="E7055" s="45" t="str">
        <f t="shared" si="24"/>
        <v/>
      </c>
      <c r="F7055" s="59" t="str">
        <f t="shared" si="25"/>
        <v/>
      </c>
      <c r="G7055" s="59" t="str">
        <f t="shared" si="26"/>
        <v/>
      </c>
      <c r="H7055" s="59" t="str">
        <f t="shared" si="27"/>
        <v>29E17410</v>
      </c>
      <c r="I7055" s="59" t="str">
        <f>IF(OR($A7055="",$C7055="",$D7055="",$E7055="",$H7055=""),"",SUMIFS(DATA_GOC!$H:$H,DATA_GOC!$A:$A,"BOM",DATA_GOC!$D:$D,$H7055,DATA_GOC!$E:$E,$C7055,DATA_GOC!$F:$F,"Xuất nội bộ từ téc",DATA_GOC!$B:$B,"&gt;="&amp;$D7055,DATA_GOC!$B:$B,"&lt;="&amp;$E7055))</f>
        <v/>
      </c>
      <c r="J7055" s="59">
        <f t="shared" si="28"/>
        <v>0</v>
      </c>
      <c r="K7055" s="59">
        <f t="shared" si="29"/>
        <v>0</v>
      </c>
      <c r="L7055" s="59">
        <f t="shared" si="30"/>
        <v>0</v>
      </c>
      <c r="M7055" s="59">
        <f t="shared" si="31"/>
        <v>0</v>
      </c>
    </row>
    <row r="7056" ht="15.0" hidden="1" customHeight="1">
      <c r="A7056" s="59">
        <f t="shared" si="20"/>
        <v>114</v>
      </c>
      <c r="B7056" s="59" t="str">
        <f t="shared" si="21"/>
        <v/>
      </c>
      <c r="C7056" s="59" t="str">
        <f t="shared" si="22"/>
        <v/>
      </c>
      <c r="D7056" s="45" t="str">
        <f t="shared" si="23"/>
        <v/>
      </c>
      <c r="E7056" s="45" t="str">
        <f t="shared" si="24"/>
        <v/>
      </c>
      <c r="F7056" s="59" t="str">
        <f t="shared" si="25"/>
        <v/>
      </c>
      <c r="G7056" s="59" t="str">
        <f t="shared" si="26"/>
        <v/>
      </c>
      <c r="H7056" s="59" t="str">
        <f t="shared" si="27"/>
        <v>29E17417</v>
      </c>
      <c r="I7056" s="59" t="str">
        <f>IF(OR($A7056="",$C7056="",$D7056="",$E7056="",$H7056=""),"",SUMIFS(DATA_GOC!$H:$H,DATA_GOC!$A:$A,"BOM",DATA_GOC!$D:$D,$H7056,DATA_GOC!$E:$E,$C7056,DATA_GOC!$F:$F,"Xuất nội bộ từ téc",DATA_GOC!$B:$B,"&gt;="&amp;$D7056,DATA_GOC!$B:$B,"&lt;="&amp;$E7056))</f>
        <v/>
      </c>
      <c r="J7056" s="59">
        <f t="shared" si="28"/>
        <v>0</v>
      </c>
      <c r="K7056" s="59">
        <f t="shared" si="29"/>
        <v>0</v>
      </c>
      <c r="L7056" s="59">
        <f t="shared" si="30"/>
        <v>0</v>
      </c>
      <c r="M7056" s="59">
        <f t="shared" si="31"/>
        <v>0</v>
      </c>
    </row>
    <row r="7057" ht="15.0" hidden="1" customHeight="1">
      <c r="A7057" s="59">
        <f t="shared" si="20"/>
        <v>114</v>
      </c>
      <c r="B7057" s="59" t="str">
        <f t="shared" si="21"/>
        <v/>
      </c>
      <c r="C7057" s="59" t="str">
        <f t="shared" si="22"/>
        <v/>
      </c>
      <c r="D7057" s="45" t="str">
        <f t="shared" si="23"/>
        <v/>
      </c>
      <c r="E7057" s="45" t="str">
        <f t="shared" si="24"/>
        <v/>
      </c>
      <c r="F7057" s="59" t="str">
        <f t="shared" si="25"/>
        <v/>
      </c>
      <c r="G7057" s="59" t="str">
        <f t="shared" si="26"/>
        <v/>
      </c>
      <c r="H7057" s="59" t="str">
        <f t="shared" si="27"/>
        <v>29E17539</v>
      </c>
      <c r="I7057" s="59" t="str">
        <f>IF(OR($A7057="",$C7057="",$D7057="",$E7057="",$H7057=""),"",SUMIFS(DATA_GOC!$H:$H,DATA_GOC!$A:$A,"BOM",DATA_GOC!$D:$D,$H7057,DATA_GOC!$E:$E,$C7057,DATA_GOC!$F:$F,"Xuất nội bộ từ téc",DATA_GOC!$B:$B,"&gt;="&amp;$D7057,DATA_GOC!$B:$B,"&lt;="&amp;$E7057))</f>
        <v/>
      </c>
      <c r="J7057" s="59">
        <f t="shared" si="28"/>
        <v>0</v>
      </c>
      <c r="K7057" s="59">
        <f t="shared" si="29"/>
        <v>0</v>
      </c>
      <c r="L7057" s="59">
        <f t="shared" si="30"/>
        <v>0</v>
      </c>
      <c r="M7057" s="59">
        <f t="shared" si="31"/>
        <v>0</v>
      </c>
    </row>
    <row r="7058" ht="15.0" hidden="1" customHeight="1">
      <c r="A7058" s="59">
        <f t="shared" si="20"/>
        <v>114</v>
      </c>
      <c r="B7058" s="59" t="str">
        <f t="shared" si="21"/>
        <v/>
      </c>
      <c r="C7058" s="59" t="str">
        <f t="shared" si="22"/>
        <v/>
      </c>
      <c r="D7058" s="45" t="str">
        <f t="shared" si="23"/>
        <v/>
      </c>
      <c r="E7058" s="45" t="str">
        <f t="shared" si="24"/>
        <v/>
      </c>
      <c r="F7058" s="59" t="str">
        <f t="shared" si="25"/>
        <v/>
      </c>
      <c r="G7058" s="59" t="str">
        <f t="shared" si="26"/>
        <v/>
      </c>
      <c r="H7058" s="59" t="str">
        <f t="shared" si="27"/>
        <v>29E18160</v>
      </c>
      <c r="I7058" s="59" t="str">
        <f>IF(OR($A7058="",$C7058="",$D7058="",$E7058="",$H7058=""),"",SUMIFS(DATA_GOC!$H:$H,DATA_GOC!$A:$A,"BOM",DATA_GOC!$D:$D,$H7058,DATA_GOC!$E:$E,$C7058,DATA_GOC!$F:$F,"Xuất nội bộ từ téc",DATA_GOC!$B:$B,"&gt;="&amp;$D7058,DATA_GOC!$B:$B,"&lt;="&amp;$E7058))</f>
        <v/>
      </c>
      <c r="J7058" s="59">
        <f t="shared" si="28"/>
        <v>0</v>
      </c>
      <c r="K7058" s="59">
        <f t="shared" si="29"/>
        <v>0</v>
      </c>
      <c r="L7058" s="59">
        <f t="shared" si="30"/>
        <v>0</v>
      </c>
      <c r="M7058" s="59">
        <f t="shared" si="31"/>
        <v>0</v>
      </c>
    </row>
    <row r="7059" ht="15.0" hidden="1" customHeight="1">
      <c r="A7059" s="59">
        <f t="shared" si="20"/>
        <v>114</v>
      </c>
      <c r="B7059" s="59" t="str">
        <f t="shared" si="21"/>
        <v/>
      </c>
      <c r="C7059" s="59" t="str">
        <f t="shared" si="22"/>
        <v/>
      </c>
      <c r="D7059" s="45" t="str">
        <f t="shared" si="23"/>
        <v/>
      </c>
      <c r="E7059" s="45" t="str">
        <f t="shared" si="24"/>
        <v/>
      </c>
      <c r="F7059" s="59" t="str">
        <f t="shared" si="25"/>
        <v/>
      </c>
      <c r="G7059" s="59" t="str">
        <f t="shared" si="26"/>
        <v/>
      </c>
      <c r="H7059" s="59" t="str">
        <f t="shared" si="27"/>
        <v>Công trình Asphalt</v>
      </c>
      <c r="I7059" s="59" t="str">
        <f>IF(OR($A7059="",$C7059="",$D7059="",$E7059="",$H7059=""),"",SUMIFS(DATA_GOC!$H:$H,DATA_GOC!$A:$A,"BOM",DATA_GOC!$D:$D,$H7059,DATA_GOC!$E:$E,$C7059,DATA_GOC!$F:$F,"Xuất nội bộ từ téc",DATA_GOC!$B:$B,"&gt;="&amp;$D7059,DATA_GOC!$B:$B,"&lt;="&amp;$E7059))</f>
        <v/>
      </c>
      <c r="J7059" s="59">
        <f t="shared" si="28"/>
        <v>0</v>
      </c>
      <c r="K7059" s="59">
        <f t="shared" si="29"/>
        <v>0</v>
      </c>
      <c r="L7059" s="59">
        <f t="shared" si="30"/>
        <v>0</v>
      </c>
      <c r="M7059" s="59">
        <f t="shared" si="31"/>
        <v>0</v>
      </c>
    </row>
    <row r="7060" ht="15.0" hidden="1" customHeight="1">
      <c r="A7060" s="59">
        <f t="shared" si="20"/>
        <v>114</v>
      </c>
      <c r="B7060" s="59" t="str">
        <f t="shared" si="21"/>
        <v/>
      </c>
      <c r="C7060" s="59" t="str">
        <f t="shared" si="22"/>
        <v/>
      </c>
      <c r="D7060" s="45" t="str">
        <f t="shared" si="23"/>
        <v/>
      </c>
      <c r="E7060" s="45" t="str">
        <f t="shared" si="24"/>
        <v/>
      </c>
      <c r="F7060" s="59" t="str">
        <f t="shared" si="25"/>
        <v/>
      </c>
      <c r="G7060" s="59" t="str">
        <f t="shared" si="26"/>
        <v/>
      </c>
      <c r="H7060" s="59" t="str">
        <f t="shared" si="27"/>
        <v>LG53F</v>
      </c>
      <c r="I7060" s="59" t="str">
        <f>IF(OR($A7060="",$C7060="",$D7060="",$E7060="",$H7060=""),"",SUMIFS(DATA_GOC!$H:$H,DATA_GOC!$A:$A,"BOM",DATA_GOC!$D:$D,$H7060,DATA_GOC!$E:$E,$C7060,DATA_GOC!$F:$F,"Xuất nội bộ từ téc",DATA_GOC!$B:$B,"&gt;="&amp;$D7060,DATA_GOC!$B:$B,"&lt;="&amp;$E7060))</f>
        <v/>
      </c>
      <c r="J7060" s="59">
        <f t="shared" si="28"/>
        <v>0</v>
      </c>
      <c r="K7060" s="59">
        <f t="shared" si="29"/>
        <v>0</v>
      </c>
      <c r="L7060" s="59">
        <f t="shared" si="30"/>
        <v>0</v>
      </c>
      <c r="M7060" s="59">
        <f t="shared" si="31"/>
        <v>0</v>
      </c>
    </row>
    <row r="7061" ht="15.0" hidden="1" customHeight="1">
      <c r="A7061" s="59">
        <f t="shared" si="20"/>
        <v>114</v>
      </c>
      <c r="B7061" s="59" t="str">
        <f t="shared" si="21"/>
        <v/>
      </c>
      <c r="C7061" s="59" t="str">
        <f t="shared" si="22"/>
        <v/>
      </c>
      <c r="D7061" s="45" t="str">
        <f t="shared" si="23"/>
        <v/>
      </c>
      <c r="E7061" s="45" t="str">
        <f t="shared" si="24"/>
        <v/>
      </c>
      <c r="F7061" s="59" t="str">
        <f t="shared" si="25"/>
        <v/>
      </c>
      <c r="G7061" s="59" t="str">
        <f t="shared" si="26"/>
        <v/>
      </c>
      <c r="H7061" s="59" t="str">
        <f t="shared" si="27"/>
        <v>Máy phát điện</v>
      </c>
      <c r="I7061" s="59" t="str">
        <f>IF(OR($A7061="",$C7061="",$D7061="",$E7061="",$H7061=""),"",SUMIFS(DATA_GOC!$H:$H,DATA_GOC!$A:$A,"BOM",DATA_GOC!$D:$D,$H7061,DATA_GOC!$E:$E,$C7061,DATA_GOC!$F:$F,"Xuất nội bộ từ téc",DATA_GOC!$B:$B,"&gt;="&amp;$D7061,DATA_GOC!$B:$B,"&lt;="&amp;$E7061))</f>
        <v/>
      </c>
      <c r="J7061" s="59">
        <f t="shared" si="28"/>
        <v>0</v>
      </c>
      <c r="K7061" s="59">
        <f t="shared" si="29"/>
        <v>0</v>
      </c>
      <c r="L7061" s="59">
        <f t="shared" si="30"/>
        <v>0</v>
      </c>
      <c r="M7061" s="59">
        <f t="shared" si="31"/>
        <v>0</v>
      </c>
    </row>
    <row r="7062" ht="15.0" hidden="1" customHeight="1">
      <c r="A7062" s="59">
        <f t="shared" si="20"/>
        <v>114</v>
      </c>
      <c r="B7062" s="59" t="str">
        <f t="shared" si="21"/>
        <v/>
      </c>
      <c r="C7062" s="59" t="str">
        <f t="shared" si="22"/>
        <v/>
      </c>
      <c r="D7062" s="45" t="str">
        <f t="shared" si="23"/>
        <v/>
      </c>
      <c r="E7062" s="45" t="str">
        <f t="shared" si="24"/>
        <v/>
      </c>
      <c r="F7062" s="59" t="str">
        <f t="shared" si="25"/>
        <v/>
      </c>
      <c r="G7062" s="59" t="str">
        <f t="shared" si="26"/>
        <v/>
      </c>
      <c r="H7062" s="59" t="str">
        <f t="shared" si="27"/>
        <v>Máy rải thảm</v>
      </c>
      <c r="I7062" s="59" t="str">
        <f>IF(OR($A7062="",$C7062="",$D7062="",$E7062="",$H7062=""),"",SUMIFS(DATA_GOC!$H:$H,DATA_GOC!$A:$A,"BOM",DATA_GOC!$D:$D,$H7062,DATA_GOC!$E:$E,$C7062,DATA_GOC!$F:$F,"Xuất nội bộ từ téc",DATA_GOC!$B:$B,"&gt;="&amp;$D7062,DATA_GOC!$B:$B,"&lt;="&amp;$E7062))</f>
        <v/>
      </c>
      <c r="J7062" s="59">
        <f t="shared" si="28"/>
        <v>0</v>
      </c>
      <c r="K7062" s="59">
        <f t="shared" si="29"/>
        <v>0</v>
      </c>
      <c r="L7062" s="59">
        <f t="shared" si="30"/>
        <v>0</v>
      </c>
      <c r="M7062" s="59">
        <f t="shared" si="31"/>
        <v>0</v>
      </c>
    </row>
    <row r="7063" ht="15.0" hidden="1" customHeight="1">
      <c r="A7063" s="59">
        <f t="shared" si="20"/>
        <v>114</v>
      </c>
      <c r="B7063" s="59" t="str">
        <f t="shared" si="21"/>
        <v/>
      </c>
      <c r="C7063" s="59" t="str">
        <f t="shared" si="22"/>
        <v/>
      </c>
      <c r="D7063" s="45" t="str">
        <f t="shared" si="23"/>
        <v/>
      </c>
      <c r="E7063" s="45" t="str">
        <f t="shared" si="24"/>
        <v/>
      </c>
      <c r="F7063" s="59" t="str">
        <f t="shared" si="25"/>
        <v/>
      </c>
      <c r="G7063" s="59" t="str">
        <f t="shared" si="26"/>
        <v/>
      </c>
      <c r="H7063" s="59" t="str">
        <f t="shared" si="27"/>
        <v>Xúc Đào</v>
      </c>
      <c r="I7063" s="59" t="str">
        <f>IF(OR($A7063="",$C7063="",$D7063="",$E7063="",$H7063=""),"",SUMIFS(DATA_GOC!$H:$H,DATA_GOC!$A:$A,"BOM",DATA_GOC!$D:$D,$H7063,DATA_GOC!$E:$E,$C7063,DATA_GOC!$F:$F,"Xuất nội bộ từ téc",DATA_GOC!$B:$B,"&gt;="&amp;$D7063,DATA_GOC!$B:$B,"&lt;="&amp;$E7063))</f>
        <v/>
      </c>
      <c r="J7063" s="59">
        <f t="shared" si="28"/>
        <v>0</v>
      </c>
      <c r="K7063" s="59">
        <f t="shared" si="29"/>
        <v>0</v>
      </c>
      <c r="L7063" s="59">
        <f t="shared" si="30"/>
        <v>0</v>
      </c>
      <c r="M7063" s="59">
        <f t="shared" si="31"/>
        <v>0</v>
      </c>
    </row>
    <row r="7064" ht="15.0" hidden="1" customHeight="1">
      <c r="A7064" s="59">
        <f t="shared" si="20"/>
        <v>114</v>
      </c>
      <c r="B7064" s="59" t="str">
        <f t="shared" si="21"/>
        <v/>
      </c>
      <c r="C7064" s="59" t="str">
        <f t="shared" si="22"/>
        <v/>
      </c>
      <c r="D7064" s="45" t="str">
        <f t="shared" si="23"/>
        <v/>
      </c>
      <c r="E7064" s="45" t="str">
        <f t="shared" si="24"/>
        <v/>
      </c>
      <c r="F7064" s="59" t="str">
        <f t="shared" si="25"/>
        <v/>
      </c>
      <c r="G7064" s="59" t="str">
        <f t="shared" si="26"/>
        <v/>
      </c>
      <c r="H7064" s="59" t="str">
        <f t="shared" si="27"/>
        <v>Xúclật asphalt</v>
      </c>
      <c r="I7064" s="59" t="str">
        <f>IF(OR($A7064="",$C7064="",$D7064="",$E7064="",$H7064=""),"",SUMIFS(DATA_GOC!$H:$H,DATA_GOC!$A:$A,"BOM",DATA_GOC!$D:$D,$H7064,DATA_GOC!$E:$E,$C7064,DATA_GOC!$F:$F,"Xuất nội bộ từ téc",DATA_GOC!$B:$B,"&gt;="&amp;$D7064,DATA_GOC!$B:$B,"&lt;="&amp;$E7064))</f>
        <v/>
      </c>
      <c r="J7064" s="59">
        <f t="shared" si="28"/>
        <v>0</v>
      </c>
      <c r="K7064" s="59">
        <f t="shared" si="29"/>
        <v>0</v>
      </c>
      <c r="L7064" s="59">
        <f t="shared" si="30"/>
        <v>0</v>
      </c>
      <c r="M7064" s="59">
        <f t="shared" si="31"/>
        <v>0</v>
      </c>
    </row>
    <row r="7065" ht="15.0" hidden="1" customHeight="1">
      <c r="A7065" s="59">
        <f t="shared" si="20"/>
        <v>114</v>
      </c>
      <c r="B7065" s="59" t="str">
        <f t="shared" si="21"/>
        <v/>
      </c>
      <c r="C7065" s="59" t="str">
        <f t="shared" si="22"/>
        <v/>
      </c>
      <c r="D7065" s="45" t="str">
        <f t="shared" si="23"/>
        <v/>
      </c>
      <c r="E7065" s="45" t="str">
        <f t="shared" si="24"/>
        <v/>
      </c>
      <c r="F7065" s="59" t="str">
        <f t="shared" si="25"/>
        <v/>
      </c>
      <c r="G7065" s="59" t="str">
        <f t="shared" si="26"/>
        <v/>
      </c>
      <c r="H7065" s="59" t="str">
        <f t="shared" si="27"/>
        <v>Xúclật855H</v>
      </c>
      <c r="I7065" s="59" t="str">
        <f>IF(OR($A7065="",$C7065="",$D7065="",$E7065="",$H7065=""),"",SUMIFS(DATA_GOC!$H:$H,DATA_GOC!$A:$A,"BOM",DATA_GOC!$D:$D,$H7065,DATA_GOC!$E:$E,$C7065,DATA_GOC!$F:$F,"Xuất nội bộ từ téc",DATA_GOC!$B:$B,"&gt;="&amp;$D7065,DATA_GOC!$B:$B,"&lt;="&amp;$E7065))</f>
        <v/>
      </c>
      <c r="J7065" s="59">
        <f t="shared" si="28"/>
        <v>0</v>
      </c>
      <c r="K7065" s="59">
        <f t="shared" si="29"/>
        <v>0</v>
      </c>
      <c r="L7065" s="59">
        <f t="shared" si="30"/>
        <v>0</v>
      </c>
      <c r="M7065" s="59">
        <f t="shared" si="31"/>
        <v>0</v>
      </c>
    </row>
    <row r="7066" ht="15.0" hidden="1" customHeight="1">
      <c r="A7066" s="59">
        <f t="shared" si="20"/>
        <v>114</v>
      </c>
      <c r="B7066" s="59" t="str">
        <f t="shared" si="21"/>
        <v/>
      </c>
      <c r="C7066" s="59" t="str">
        <f t="shared" si="22"/>
        <v/>
      </c>
      <c r="D7066" s="45" t="str">
        <f t="shared" si="23"/>
        <v/>
      </c>
      <c r="E7066" s="45" t="str">
        <f t="shared" si="24"/>
        <v/>
      </c>
      <c r="F7066" s="59" t="str">
        <f t="shared" si="25"/>
        <v/>
      </c>
      <c r="G7066" s="59" t="str">
        <f t="shared" si="26"/>
        <v/>
      </c>
      <c r="H7066" s="59" t="str">
        <f t="shared" si="27"/>
        <v>Xúclật855N</v>
      </c>
      <c r="I7066" s="59" t="str">
        <f>IF(OR($A7066="",$C7066="",$D7066="",$E7066="",$H7066=""),"",SUMIFS(DATA_GOC!$H:$H,DATA_GOC!$A:$A,"BOM",DATA_GOC!$D:$D,$H7066,DATA_GOC!$E:$E,$C7066,DATA_GOC!$F:$F,"Xuất nội bộ từ téc",DATA_GOC!$B:$B,"&gt;="&amp;$D7066,DATA_GOC!$B:$B,"&lt;="&amp;$E7066))</f>
        <v/>
      </c>
      <c r="J7066" s="59">
        <f t="shared" si="28"/>
        <v>0</v>
      </c>
      <c r="K7066" s="59">
        <f t="shared" si="29"/>
        <v>0</v>
      </c>
      <c r="L7066" s="59">
        <f t="shared" si="30"/>
        <v>0</v>
      </c>
      <c r="M7066" s="59">
        <f t="shared" si="31"/>
        <v>0</v>
      </c>
    </row>
    <row r="7067" ht="15.0" hidden="1" customHeight="1">
      <c r="A7067" s="59">
        <f t="shared" si="20"/>
        <v>114</v>
      </c>
      <c r="B7067" s="59" t="str">
        <f t="shared" si="21"/>
        <v/>
      </c>
      <c r="C7067" s="59" t="str">
        <f t="shared" si="22"/>
        <v/>
      </c>
      <c r="D7067" s="45" t="str">
        <f t="shared" si="23"/>
        <v/>
      </c>
      <c r="E7067" s="45" t="str">
        <f t="shared" si="24"/>
        <v/>
      </c>
      <c r="F7067" s="59" t="str">
        <f t="shared" si="25"/>
        <v/>
      </c>
      <c r="G7067" s="59" t="str">
        <f t="shared" si="26"/>
        <v/>
      </c>
      <c r="H7067" s="59" t="str">
        <f t="shared" si="27"/>
        <v>Cát nghiền</v>
      </c>
      <c r="I7067" s="59" t="str">
        <f>IF(OR($A7067="",$C7067="",$D7067="",$E7067="",$H7067=""),"",SUMIFS(DATA_GOC!$H:$H,DATA_GOC!$A:$A,"BOM",DATA_GOC!$D:$D,$H7067,DATA_GOC!$E:$E,$C7067,DATA_GOC!$F:$F,"Xuất nội bộ từ téc",DATA_GOC!$B:$B,"&gt;="&amp;$D7067,DATA_GOC!$B:$B,"&lt;="&amp;$E7067))</f>
        <v/>
      </c>
      <c r="J7067" s="59">
        <f t="shared" si="28"/>
        <v>0</v>
      </c>
      <c r="K7067" s="59">
        <f t="shared" si="29"/>
        <v>0</v>
      </c>
      <c r="L7067" s="59">
        <f t="shared" si="30"/>
        <v>0</v>
      </c>
      <c r="M7067" s="59">
        <f t="shared" si="31"/>
        <v>0</v>
      </c>
    </row>
    <row r="7068" ht="15.0" hidden="1" customHeight="1">
      <c r="A7068" s="59">
        <f t="shared" si="20"/>
        <v>114</v>
      </c>
      <c r="B7068" s="59" t="str">
        <f t="shared" si="21"/>
        <v/>
      </c>
      <c r="C7068" s="59" t="str">
        <f t="shared" si="22"/>
        <v/>
      </c>
      <c r="D7068" s="45" t="str">
        <f t="shared" si="23"/>
        <v/>
      </c>
      <c r="E7068" s="45" t="str">
        <f t="shared" si="24"/>
        <v/>
      </c>
      <c r="F7068" s="59" t="str">
        <f t="shared" si="25"/>
        <v/>
      </c>
      <c r="G7068" s="59" t="str">
        <f t="shared" si="26"/>
        <v/>
      </c>
      <c r="H7068" s="59" t="str">
        <f t="shared" si="27"/>
        <v>28C02973</v>
      </c>
      <c r="I7068" s="59" t="str">
        <f>IF(OR($A7068="",$C7068="",$D7068="",$E7068="",$H7068=""),"",SUMIFS(DATA_GOC!$H:$H,DATA_GOC!$A:$A,"BOM",DATA_GOC!$D:$D,$H7068,DATA_GOC!$E:$E,$C7068,DATA_GOC!$F:$F,"Xuất nội bộ từ téc",DATA_GOC!$B:$B,"&gt;="&amp;$D7068,DATA_GOC!$B:$B,"&lt;="&amp;$E7068))</f>
        <v/>
      </c>
      <c r="J7068" s="59">
        <f t="shared" si="28"/>
        <v>0</v>
      </c>
      <c r="K7068" s="59">
        <f t="shared" si="29"/>
        <v>0</v>
      </c>
      <c r="L7068" s="59">
        <f t="shared" si="30"/>
        <v>0</v>
      </c>
      <c r="M7068" s="59">
        <f t="shared" si="31"/>
        <v>0</v>
      </c>
    </row>
    <row r="7069" ht="15.0" hidden="1" customHeight="1">
      <c r="A7069" s="59">
        <f t="shared" si="20"/>
        <v>114</v>
      </c>
      <c r="B7069" s="59" t="str">
        <f t="shared" si="21"/>
        <v/>
      </c>
      <c r="C7069" s="59" t="str">
        <f t="shared" si="22"/>
        <v/>
      </c>
      <c r="D7069" s="45" t="str">
        <f t="shared" si="23"/>
        <v/>
      </c>
      <c r="E7069" s="45" t="str">
        <f t="shared" si="24"/>
        <v/>
      </c>
      <c r="F7069" s="59" t="str">
        <f t="shared" si="25"/>
        <v/>
      </c>
      <c r="G7069" s="59" t="str">
        <f t="shared" si="26"/>
        <v/>
      </c>
      <c r="H7069" s="59" t="str">
        <f t="shared" si="27"/>
        <v>28C03044</v>
      </c>
      <c r="I7069" s="59" t="str">
        <f>IF(OR($A7069="",$C7069="",$D7069="",$E7069="",$H7069=""),"",SUMIFS(DATA_GOC!$H:$H,DATA_GOC!$A:$A,"BOM",DATA_GOC!$D:$D,$H7069,DATA_GOC!$E:$E,$C7069,DATA_GOC!$F:$F,"Xuất nội bộ từ téc",DATA_GOC!$B:$B,"&gt;="&amp;$D7069,DATA_GOC!$B:$B,"&lt;="&amp;$E7069))</f>
        <v/>
      </c>
      <c r="J7069" s="59">
        <f t="shared" si="28"/>
        <v>0</v>
      </c>
      <c r="K7069" s="59">
        <f t="shared" si="29"/>
        <v>0</v>
      </c>
      <c r="L7069" s="59">
        <f t="shared" si="30"/>
        <v>0</v>
      </c>
      <c r="M7069" s="59">
        <f t="shared" si="31"/>
        <v>0</v>
      </c>
    </row>
    <row r="7070" ht="15.0" hidden="1" customHeight="1">
      <c r="A7070" s="59">
        <f t="shared" si="20"/>
        <v>114</v>
      </c>
      <c r="B7070" s="59" t="str">
        <f t="shared" si="21"/>
        <v/>
      </c>
      <c r="C7070" s="59" t="str">
        <f t="shared" si="22"/>
        <v/>
      </c>
      <c r="D7070" s="45" t="str">
        <f t="shared" si="23"/>
        <v/>
      </c>
      <c r="E7070" s="45" t="str">
        <f t="shared" si="24"/>
        <v/>
      </c>
      <c r="F7070" s="59" t="str">
        <f t="shared" si="25"/>
        <v/>
      </c>
      <c r="G7070" s="59" t="str">
        <f t="shared" si="26"/>
        <v/>
      </c>
      <c r="H7070" s="59" t="str">
        <f t="shared" si="27"/>
        <v>Máy lu lốp</v>
      </c>
      <c r="I7070" s="59" t="str">
        <f>IF(OR($A7070="",$C7070="",$D7070="",$E7070="",$H7070=""),"",SUMIFS(DATA_GOC!$H:$H,DATA_GOC!$A:$A,"BOM",DATA_GOC!$D:$D,$H7070,DATA_GOC!$E:$E,$C7070,DATA_GOC!$F:$F,"Xuất nội bộ từ téc",DATA_GOC!$B:$B,"&gt;="&amp;$D7070,DATA_GOC!$B:$B,"&lt;="&amp;$E7070))</f>
        <v/>
      </c>
      <c r="J7070" s="59">
        <f t="shared" si="28"/>
        <v>0</v>
      </c>
      <c r="K7070" s="59">
        <f t="shared" si="29"/>
        <v>0</v>
      </c>
      <c r="L7070" s="59">
        <f t="shared" si="30"/>
        <v>0</v>
      </c>
      <c r="M7070" s="59">
        <f t="shared" si="31"/>
        <v>0</v>
      </c>
    </row>
    <row r="7071" ht="15.0" hidden="1" customHeight="1">
      <c r="A7071" s="59">
        <f t="shared" si="20"/>
        <v>114</v>
      </c>
      <c r="B7071" s="59" t="str">
        <f t="shared" si="21"/>
        <v/>
      </c>
      <c r="C7071" s="59" t="str">
        <f t="shared" si="22"/>
        <v/>
      </c>
      <c r="D7071" s="45" t="str">
        <f t="shared" si="23"/>
        <v/>
      </c>
      <c r="E7071" s="45" t="str">
        <f t="shared" si="24"/>
        <v/>
      </c>
      <c r="F7071" s="59" t="str">
        <f t="shared" si="25"/>
        <v/>
      </c>
      <c r="G7071" s="59" t="str">
        <f t="shared" si="26"/>
        <v/>
      </c>
      <c r="H7071" s="59" t="str">
        <f t="shared" si="27"/>
        <v>Xe 600148</v>
      </c>
      <c r="I7071" s="59" t="str">
        <f>IF(OR($A7071="",$C7071="",$D7071="",$E7071="",$H7071=""),"",SUMIFS(DATA_GOC!$H:$H,DATA_GOC!$A:$A,"BOM",DATA_GOC!$D:$D,$H7071,DATA_GOC!$E:$E,$C7071,DATA_GOC!$F:$F,"Xuất nội bộ từ téc",DATA_GOC!$B:$B,"&gt;="&amp;$D7071,DATA_GOC!$B:$B,"&lt;="&amp;$E7071))</f>
        <v/>
      </c>
      <c r="J7071" s="59">
        <f t="shared" si="28"/>
        <v>0</v>
      </c>
      <c r="K7071" s="59">
        <f t="shared" si="29"/>
        <v>0</v>
      </c>
      <c r="L7071" s="59">
        <f t="shared" si="30"/>
        <v>0</v>
      </c>
      <c r="M7071" s="59">
        <f t="shared" si="31"/>
        <v>0</v>
      </c>
    </row>
    <row r="7072" ht="15.0" hidden="1" customHeight="1">
      <c r="A7072" s="59">
        <f t="shared" si="20"/>
        <v>114</v>
      </c>
      <c r="B7072" s="59" t="str">
        <f t="shared" si="21"/>
        <v/>
      </c>
      <c r="C7072" s="59" t="str">
        <f t="shared" si="22"/>
        <v/>
      </c>
      <c r="D7072" s="45" t="str">
        <f t="shared" si="23"/>
        <v/>
      </c>
      <c r="E7072" s="45" t="str">
        <f t="shared" si="24"/>
        <v/>
      </c>
      <c r="F7072" s="59" t="str">
        <f t="shared" si="25"/>
        <v/>
      </c>
      <c r="G7072" s="59" t="str">
        <f t="shared" si="26"/>
        <v/>
      </c>
      <c r="H7072" s="59" t="str">
        <f t="shared" si="27"/>
        <v>Xe ben mới</v>
      </c>
      <c r="I7072" s="59" t="str">
        <f>IF(OR($A7072="",$C7072="",$D7072="",$E7072="",$H7072=""),"",SUMIFS(DATA_GOC!$H:$H,DATA_GOC!$A:$A,"BOM",DATA_GOC!$D:$D,$H7072,DATA_GOC!$E:$E,$C7072,DATA_GOC!$F:$F,"Xuất nội bộ từ téc",DATA_GOC!$B:$B,"&gt;="&amp;$D7072,DATA_GOC!$B:$B,"&lt;="&amp;$E7072))</f>
        <v/>
      </c>
      <c r="J7072" s="59">
        <f t="shared" si="28"/>
        <v>0</v>
      </c>
      <c r="K7072" s="59">
        <f t="shared" si="29"/>
        <v>0</v>
      </c>
      <c r="L7072" s="59">
        <f t="shared" si="30"/>
        <v>0</v>
      </c>
      <c r="M7072" s="59">
        <f t="shared" si="31"/>
        <v>0</v>
      </c>
    </row>
    <row r="7073" ht="15.0" hidden="1" customHeight="1">
      <c r="A7073" s="59">
        <f t="shared" si="20"/>
        <v>115</v>
      </c>
      <c r="B7073" s="59" t="str">
        <f t="shared" si="21"/>
        <v/>
      </c>
      <c r="C7073" s="59" t="str">
        <f t="shared" si="22"/>
        <v/>
      </c>
      <c r="D7073" s="45" t="str">
        <f t="shared" si="23"/>
        <v/>
      </c>
      <c r="E7073" s="45" t="str">
        <f t="shared" si="24"/>
        <v/>
      </c>
      <c r="F7073" s="59" t="str">
        <f t="shared" si="25"/>
        <v/>
      </c>
      <c r="G7073" s="59" t="str">
        <f t="shared" si="26"/>
        <v/>
      </c>
      <c r="H7073" s="59" t="str">
        <f t="shared" si="27"/>
        <v>19H09482</v>
      </c>
      <c r="I7073" s="59" t="str">
        <f>IF(OR($A7073="",$C7073="",$D7073="",$E7073="",$H7073=""),"",SUMIFS(DATA_GOC!$H:$H,DATA_GOC!$A:$A,"BOM",DATA_GOC!$D:$D,$H7073,DATA_GOC!$E:$E,$C7073,DATA_GOC!$F:$F,"Xuất nội bộ từ téc",DATA_GOC!$B:$B,"&gt;="&amp;$D7073,DATA_GOC!$B:$B,"&lt;="&amp;$E7073))</f>
        <v/>
      </c>
      <c r="J7073" s="59">
        <f t="shared" si="28"/>
        <v>0</v>
      </c>
      <c r="K7073" s="59">
        <f t="shared" si="29"/>
        <v>0</v>
      </c>
      <c r="L7073" s="59">
        <f t="shared" si="30"/>
        <v>0</v>
      </c>
      <c r="M7073" s="59">
        <f t="shared" si="31"/>
        <v>0</v>
      </c>
    </row>
    <row r="7074" ht="15.0" hidden="1" customHeight="1">
      <c r="A7074" s="59">
        <f t="shared" si="20"/>
        <v>115</v>
      </c>
      <c r="B7074" s="59" t="str">
        <f t="shared" si="21"/>
        <v/>
      </c>
      <c r="C7074" s="59" t="str">
        <f t="shared" si="22"/>
        <v/>
      </c>
      <c r="D7074" s="45" t="str">
        <f t="shared" si="23"/>
        <v/>
      </c>
      <c r="E7074" s="45" t="str">
        <f t="shared" si="24"/>
        <v/>
      </c>
      <c r="F7074" s="59" t="str">
        <f t="shared" si="25"/>
        <v/>
      </c>
      <c r="G7074" s="59" t="str">
        <f t="shared" si="26"/>
        <v/>
      </c>
      <c r="H7074" s="59" t="str">
        <f t="shared" si="27"/>
        <v>28A30696</v>
      </c>
      <c r="I7074" s="59" t="str">
        <f>IF(OR($A7074="",$C7074="",$D7074="",$E7074="",$H7074=""),"",SUMIFS(DATA_GOC!$H:$H,DATA_GOC!$A:$A,"BOM",DATA_GOC!$D:$D,$H7074,DATA_GOC!$E:$E,$C7074,DATA_GOC!$F:$F,"Xuất nội bộ từ téc",DATA_GOC!$B:$B,"&gt;="&amp;$D7074,DATA_GOC!$B:$B,"&lt;="&amp;$E7074))</f>
        <v/>
      </c>
      <c r="J7074" s="59">
        <f t="shared" si="28"/>
        <v>0</v>
      </c>
      <c r="K7074" s="59">
        <f t="shared" si="29"/>
        <v>0</v>
      </c>
      <c r="L7074" s="59">
        <f t="shared" si="30"/>
        <v>0</v>
      </c>
      <c r="M7074" s="59">
        <f t="shared" si="31"/>
        <v>0</v>
      </c>
    </row>
    <row r="7075" ht="15.0" hidden="1" customHeight="1">
      <c r="A7075" s="59">
        <f t="shared" si="20"/>
        <v>115</v>
      </c>
      <c r="B7075" s="59" t="str">
        <f t="shared" si="21"/>
        <v/>
      </c>
      <c r="C7075" s="59" t="str">
        <f t="shared" si="22"/>
        <v/>
      </c>
      <c r="D7075" s="45" t="str">
        <f t="shared" si="23"/>
        <v/>
      </c>
      <c r="E7075" s="45" t="str">
        <f t="shared" si="24"/>
        <v/>
      </c>
      <c r="F7075" s="59" t="str">
        <f t="shared" si="25"/>
        <v/>
      </c>
      <c r="G7075" s="59" t="str">
        <f t="shared" si="26"/>
        <v/>
      </c>
      <c r="H7075" s="59" t="str">
        <f t="shared" si="27"/>
        <v>28C00462</v>
      </c>
      <c r="I7075" s="59" t="str">
        <f>IF(OR($A7075="",$C7075="",$D7075="",$E7075="",$H7075=""),"",SUMIFS(DATA_GOC!$H:$H,DATA_GOC!$A:$A,"BOM",DATA_GOC!$D:$D,$H7075,DATA_GOC!$E:$E,$C7075,DATA_GOC!$F:$F,"Xuất nội bộ từ téc",DATA_GOC!$B:$B,"&gt;="&amp;$D7075,DATA_GOC!$B:$B,"&lt;="&amp;$E7075))</f>
        <v/>
      </c>
      <c r="J7075" s="59">
        <f t="shared" si="28"/>
        <v>0</v>
      </c>
      <c r="K7075" s="59">
        <f t="shared" si="29"/>
        <v>0</v>
      </c>
      <c r="L7075" s="59">
        <f t="shared" si="30"/>
        <v>0</v>
      </c>
      <c r="M7075" s="59">
        <f t="shared" si="31"/>
        <v>0</v>
      </c>
    </row>
    <row r="7076" ht="15.0" hidden="1" customHeight="1">
      <c r="A7076" s="59">
        <f t="shared" si="20"/>
        <v>115</v>
      </c>
      <c r="B7076" s="59" t="str">
        <f t="shared" si="21"/>
        <v/>
      </c>
      <c r="C7076" s="59" t="str">
        <f t="shared" si="22"/>
        <v/>
      </c>
      <c r="D7076" s="45" t="str">
        <f t="shared" si="23"/>
        <v/>
      </c>
      <c r="E7076" s="45" t="str">
        <f t="shared" si="24"/>
        <v/>
      </c>
      <c r="F7076" s="59" t="str">
        <f t="shared" si="25"/>
        <v/>
      </c>
      <c r="G7076" s="59" t="str">
        <f t="shared" si="26"/>
        <v/>
      </c>
      <c r="H7076" s="59" t="str">
        <f t="shared" si="27"/>
        <v>28C01165</v>
      </c>
      <c r="I7076" s="59" t="str">
        <f>IF(OR($A7076="",$C7076="",$D7076="",$E7076="",$H7076=""),"",SUMIFS(DATA_GOC!$H:$H,DATA_GOC!$A:$A,"BOM",DATA_GOC!$D:$D,$H7076,DATA_GOC!$E:$E,$C7076,DATA_GOC!$F:$F,"Xuất nội bộ từ téc",DATA_GOC!$B:$B,"&gt;="&amp;$D7076,DATA_GOC!$B:$B,"&lt;="&amp;$E7076))</f>
        <v/>
      </c>
      <c r="J7076" s="59">
        <f t="shared" si="28"/>
        <v>0</v>
      </c>
      <c r="K7076" s="59">
        <f t="shared" si="29"/>
        <v>0</v>
      </c>
      <c r="L7076" s="59">
        <f t="shared" si="30"/>
        <v>0</v>
      </c>
      <c r="M7076" s="59">
        <f t="shared" si="31"/>
        <v>0</v>
      </c>
    </row>
    <row r="7077" ht="15.0" hidden="1" customHeight="1">
      <c r="A7077" s="59">
        <f t="shared" si="20"/>
        <v>115</v>
      </c>
      <c r="B7077" s="59" t="str">
        <f t="shared" si="21"/>
        <v/>
      </c>
      <c r="C7077" s="59" t="str">
        <f t="shared" si="22"/>
        <v/>
      </c>
      <c r="D7077" s="45" t="str">
        <f t="shared" si="23"/>
        <v/>
      </c>
      <c r="E7077" s="45" t="str">
        <f t="shared" si="24"/>
        <v/>
      </c>
      <c r="F7077" s="59" t="str">
        <f t="shared" si="25"/>
        <v/>
      </c>
      <c r="G7077" s="59" t="str">
        <f t="shared" si="26"/>
        <v/>
      </c>
      <c r="H7077" s="59" t="str">
        <f t="shared" si="27"/>
        <v>28C01406</v>
      </c>
      <c r="I7077" s="59" t="str">
        <f>IF(OR($A7077="",$C7077="",$D7077="",$E7077="",$H7077=""),"",SUMIFS(DATA_GOC!$H:$H,DATA_GOC!$A:$A,"BOM",DATA_GOC!$D:$D,$H7077,DATA_GOC!$E:$E,$C7077,DATA_GOC!$F:$F,"Xuất nội bộ từ téc",DATA_GOC!$B:$B,"&gt;="&amp;$D7077,DATA_GOC!$B:$B,"&lt;="&amp;$E7077))</f>
        <v/>
      </c>
      <c r="J7077" s="59">
        <f t="shared" si="28"/>
        <v>0</v>
      </c>
      <c r="K7077" s="59">
        <f t="shared" si="29"/>
        <v>0</v>
      </c>
      <c r="L7077" s="59">
        <f t="shared" si="30"/>
        <v>0</v>
      </c>
      <c r="M7077" s="59">
        <f t="shared" si="31"/>
        <v>0</v>
      </c>
    </row>
    <row r="7078" ht="15.0" hidden="1" customHeight="1">
      <c r="A7078" s="59">
        <f t="shared" si="20"/>
        <v>115</v>
      </c>
      <c r="B7078" s="59" t="str">
        <f t="shared" si="21"/>
        <v/>
      </c>
      <c r="C7078" s="59" t="str">
        <f t="shared" si="22"/>
        <v/>
      </c>
      <c r="D7078" s="45" t="str">
        <f t="shared" si="23"/>
        <v/>
      </c>
      <c r="E7078" s="45" t="str">
        <f t="shared" si="24"/>
        <v/>
      </c>
      <c r="F7078" s="59" t="str">
        <f t="shared" si="25"/>
        <v/>
      </c>
      <c r="G7078" s="59" t="str">
        <f t="shared" si="26"/>
        <v/>
      </c>
      <c r="H7078" s="59" t="str">
        <f t="shared" si="27"/>
        <v>28C01544</v>
      </c>
      <c r="I7078" s="59" t="str">
        <f>IF(OR($A7078="",$C7078="",$D7078="",$E7078="",$H7078=""),"",SUMIFS(DATA_GOC!$H:$H,DATA_GOC!$A:$A,"BOM",DATA_GOC!$D:$D,$H7078,DATA_GOC!$E:$E,$C7078,DATA_GOC!$F:$F,"Xuất nội bộ từ téc",DATA_GOC!$B:$B,"&gt;="&amp;$D7078,DATA_GOC!$B:$B,"&lt;="&amp;$E7078))</f>
        <v/>
      </c>
      <c r="J7078" s="59">
        <f t="shared" si="28"/>
        <v>0</v>
      </c>
      <c r="K7078" s="59">
        <f t="shared" si="29"/>
        <v>0</v>
      </c>
      <c r="L7078" s="59">
        <f t="shared" si="30"/>
        <v>0</v>
      </c>
      <c r="M7078" s="59">
        <f t="shared" si="31"/>
        <v>0</v>
      </c>
    </row>
    <row r="7079" ht="15.0" hidden="1" customHeight="1">
      <c r="A7079" s="59">
        <f t="shared" si="20"/>
        <v>115</v>
      </c>
      <c r="B7079" s="59" t="str">
        <f t="shared" si="21"/>
        <v/>
      </c>
      <c r="C7079" s="59" t="str">
        <f t="shared" si="22"/>
        <v/>
      </c>
      <c r="D7079" s="45" t="str">
        <f t="shared" si="23"/>
        <v/>
      </c>
      <c r="E7079" s="45" t="str">
        <f t="shared" si="24"/>
        <v/>
      </c>
      <c r="F7079" s="59" t="str">
        <f t="shared" si="25"/>
        <v/>
      </c>
      <c r="G7079" s="59" t="str">
        <f t="shared" si="26"/>
        <v/>
      </c>
      <c r="H7079" s="59" t="str">
        <f t="shared" si="27"/>
        <v>28C01622</v>
      </c>
      <c r="I7079" s="59" t="str">
        <f>IF(OR($A7079="",$C7079="",$D7079="",$E7079="",$H7079=""),"",SUMIFS(DATA_GOC!$H:$H,DATA_GOC!$A:$A,"BOM",DATA_GOC!$D:$D,$H7079,DATA_GOC!$E:$E,$C7079,DATA_GOC!$F:$F,"Xuất nội bộ từ téc",DATA_GOC!$B:$B,"&gt;="&amp;$D7079,DATA_GOC!$B:$B,"&lt;="&amp;$E7079))</f>
        <v/>
      </c>
      <c r="J7079" s="59">
        <f t="shared" si="28"/>
        <v>0</v>
      </c>
      <c r="K7079" s="59">
        <f t="shared" si="29"/>
        <v>0</v>
      </c>
      <c r="L7079" s="59">
        <f t="shared" si="30"/>
        <v>0</v>
      </c>
      <c r="M7079" s="59">
        <f t="shared" si="31"/>
        <v>0</v>
      </c>
    </row>
    <row r="7080" ht="15.0" hidden="1" customHeight="1">
      <c r="A7080" s="59">
        <f t="shared" si="20"/>
        <v>115</v>
      </c>
      <c r="B7080" s="59" t="str">
        <f t="shared" si="21"/>
        <v/>
      </c>
      <c r="C7080" s="59" t="str">
        <f t="shared" si="22"/>
        <v/>
      </c>
      <c r="D7080" s="45" t="str">
        <f t="shared" si="23"/>
        <v/>
      </c>
      <c r="E7080" s="45" t="str">
        <f t="shared" si="24"/>
        <v/>
      </c>
      <c r="F7080" s="59" t="str">
        <f t="shared" si="25"/>
        <v/>
      </c>
      <c r="G7080" s="59" t="str">
        <f t="shared" si="26"/>
        <v/>
      </c>
      <c r="H7080" s="59" t="str">
        <f t="shared" si="27"/>
        <v>28C01647</v>
      </c>
      <c r="I7080" s="59" t="str">
        <f>IF(OR($A7080="",$C7080="",$D7080="",$E7080="",$H7080=""),"",SUMIFS(DATA_GOC!$H:$H,DATA_GOC!$A:$A,"BOM",DATA_GOC!$D:$D,$H7080,DATA_GOC!$E:$E,$C7080,DATA_GOC!$F:$F,"Xuất nội bộ từ téc",DATA_GOC!$B:$B,"&gt;="&amp;$D7080,DATA_GOC!$B:$B,"&lt;="&amp;$E7080))</f>
        <v/>
      </c>
      <c r="J7080" s="59">
        <f t="shared" si="28"/>
        <v>0</v>
      </c>
      <c r="K7080" s="59">
        <f t="shared" si="29"/>
        <v>0</v>
      </c>
      <c r="L7080" s="59">
        <f t="shared" si="30"/>
        <v>0</v>
      </c>
      <c r="M7080" s="59">
        <f t="shared" si="31"/>
        <v>0</v>
      </c>
    </row>
    <row r="7081" ht="15.0" hidden="1" customHeight="1">
      <c r="A7081" s="59">
        <f t="shared" si="20"/>
        <v>115</v>
      </c>
      <c r="B7081" s="59" t="str">
        <f t="shared" si="21"/>
        <v/>
      </c>
      <c r="C7081" s="59" t="str">
        <f t="shared" si="22"/>
        <v/>
      </c>
      <c r="D7081" s="45" t="str">
        <f t="shared" si="23"/>
        <v/>
      </c>
      <c r="E7081" s="45" t="str">
        <f t="shared" si="24"/>
        <v/>
      </c>
      <c r="F7081" s="59" t="str">
        <f t="shared" si="25"/>
        <v/>
      </c>
      <c r="G7081" s="59" t="str">
        <f t="shared" si="26"/>
        <v/>
      </c>
      <c r="H7081" s="59" t="str">
        <f t="shared" si="27"/>
        <v>28C01731</v>
      </c>
      <c r="I7081" s="59" t="str">
        <f>IF(OR($A7081="",$C7081="",$D7081="",$E7081="",$H7081=""),"",SUMIFS(DATA_GOC!$H:$H,DATA_GOC!$A:$A,"BOM",DATA_GOC!$D:$D,$H7081,DATA_GOC!$E:$E,$C7081,DATA_GOC!$F:$F,"Xuất nội bộ từ téc",DATA_GOC!$B:$B,"&gt;="&amp;$D7081,DATA_GOC!$B:$B,"&lt;="&amp;$E7081))</f>
        <v/>
      </c>
      <c r="J7081" s="59">
        <f t="shared" si="28"/>
        <v>0</v>
      </c>
      <c r="K7081" s="59">
        <f t="shared" si="29"/>
        <v>0</v>
      </c>
      <c r="L7081" s="59">
        <f t="shared" si="30"/>
        <v>0</v>
      </c>
      <c r="M7081" s="59">
        <f t="shared" si="31"/>
        <v>0</v>
      </c>
    </row>
    <row r="7082" ht="15.0" hidden="1" customHeight="1">
      <c r="A7082" s="59">
        <f t="shared" si="20"/>
        <v>115</v>
      </c>
      <c r="B7082" s="59" t="str">
        <f t="shared" si="21"/>
        <v/>
      </c>
      <c r="C7082" s="59" t="str">
        <f t="shared" si="22"/>
        <v/>
      </c>
      <c r="D7082" s="45" t="str">
        <f t="shared" si="23"/>
        <v/>
      </c>
      <c r="E7082" s="45" t="str">
        <f t="shared" si="24"/>
        <v/>
      </c>
      <c r="F7082" s="59" t="str">
        <f t="shared" si="25"/>
        <v/>
      </c>
      <c r="G7082" s="59" t="str">
        <f t="shared" si="26"/>
        <v/>
      </c>
      <c r="H7082" s="59" t="str">
        <f t="shared" si="27"/>
        <v>28C01743</v>
      </c>
      <c r="I7082" s="59" t="str">
        <f>IF(OR($A7082="",$C7082="",$D7082="",$E7082="",$H7082=""),"",SUMIFS(DATA_GOC!$H:$H,DATA_GOC!$A:$A,"BOM",DATA_GOC!$D:$D,$H7082,DATA_GOC!$E:$E,$C7082,DATA_GOC!$F:$F,"Xuất nội bộ từ téc",DATA_GOC!$B:$B,"&gt;="&amp;$D7082,DATA_GOC!$B:$B,"&lt;="&amp;$E7082))</f>
        <v/>
      </c>
      <c r="J7082" s="59">
        <f t="shared" si="28"/>
        <v>0</v>
      </c>
      <c r="K7082" s="59">
        <f t="shared" si="29"/>
        <v>0</v>
      </c>
      <c r="L7082" s="59">
        <f t="shared" si="30"/>
        <v>0</v>
      </c>
      <c r="M7082" s="59">
        <f t="shared" si="31"/>
        <v>0</v>
      </c>
    </row>
    <row r="7083" ht="15.0" hidden="1" customHeight="1">
      <c r="A7083" s="59">
        <f t="shared" si="20"/>
        <v>115</v>
      </c>
      <c r="B7083" s="59" t="str">
        <f t="shared" si="21"/>
        <v/>
      </c>
      <c r="C7083" s="59" t="str">
        <f t="shared" si="22"/>
        <v/>
      </c>
      <c r="D7083" s="45" t="str">
        <f t="shared" si="23"/>
        <v/>
      </c>
      <c r="E7083" s="45" t="str">
        <f t="shared" si="24"/>
        <v/>
      </c>
      <c r="F7083" s="59" t="str">
        <f t="shared" si="25"/>
        <v/>
      </c>
      <c r="G7083" s="59" t="str">
        <f t="shared" si="26"/>
        <v/>
      </c>
      <c r="H7083" s="59" t="str">
        <f t="shared" si="27"/>
        <v>28C02106</v>
      </c>
      <c r="I7083" s="59" t="str">
        <f>IF(OR($A7083="",$C7083="",$D7083="",$E7083="",$H7083=""),"",SUMIFS(DATA_GOC!$H:$H,DATA_GOC!$A:$A,"BOM",DATA_GOC!$D:$D,$H7083,DATA_GOC!$E:$E,$C7083,DATA_GOC!$F:$F,"Xuất nội bộ từ téc",DATA_GOC!$B:$B,"&gt;="&amp;$D7083,DATA_GOC!$B:$B,"&lt;="&amp;$E7083))</f>
        <v/>
      </c>
      <c r="J7083" s="59">
        <f t="shared" si="28"/>
        <v>0</v>
      </c>
      <c r="K7083" s="59">
        <f t="shared" si="29"/>
        <v>0</v>
      </c>
      <c r="L7083" s="59">
        <f t="shared" si="30"/>
        <v>0</v>
      </c>
      <c r="M7083" s="59">
        <f t="shared" si="31"/>
        <v>0</v>
      </c>
    </row>
    <row r="7084" ht="15.0" hidden="1" customHeight="1">
      <c r="A7084" s="59">
        <f t="shared" si="20"/>
        <v>115</v>
      </c>
      <c r="B7084" s="59" t="str">
        <f t="shared" si="21"/>
        <v/>
      </c>
      <c r="C7084" s="59" t="str">
        <f t="shared" si="22"/>
        <v/>
      </c>
      <c r="D7084" s="45" t="str">
        <f t="shared" si="23"/>
        <v/>
      </c>
      <c r="E7084" s="45" t="str">
        <f t="shared" si="24"/>
        <v/>
      </c>
      <c r="F7084" s="59" t="str">
        <f t="shared" si="25"/>
        <v/>
      </c>
      <c r="G7084" s="59" t="str">
        <f t="shared" si="26"/>
        <v/>
      </c>
      <c r="H7084" s="59" t="str">
        <f t="shared" si="27"/>
        <v>28C02410</v>
      </c>
      <c r="I7084" s="59" t="str">
        <f>IF(OR($A7084="",$C7084="",$D7084="",$E7084="",$H7084=""),"",SUMIFS(DATA_GOC!$H:$H,DATA_GOC!$A:$A,"BOM",DATA_GOC!$D:$D,$H7084,DATA_GOC!$E:$E,$C7084,DATA_GOC!$F:$F,"Xuất nội bộ từ téc",DATA_GOC!$B:$B,"&gt;="&amp;$D7084,DATA_GOC!$B:$B,"&lt;="&amp;$E7084))</f>
        <v/>
      </c>
      <c r="J7084" s="59">
        <f t="shared" si="28"/>
        <v>0</v>
      </c>
      <c r="K7084" s="59">
        <f t="shared" si="29"/>
        <v>0</v>
      </c>
      <c r="L7084" s="59">
        <f t="shared" si="30"/>
        <v>0</v>
      </c>
      <c r="M7084" s="59">
        <f t="shared" si="31"/>
        <v>0</v>
      </c>
    </row>
    <row r="7085" ht="15.0" hidden="1" customHeight="1">
      <c r="A7085" s="59">
        <f t="shared" si="20"/>
        <v>115</v>
      </c>
      <c r="B7085" s="59" t="str">
        <f t="shared" si="21"/>
        <v/>
      </c>
      <c r="C7085" s="59" t="str">
        <f t="shared" si="22"/>
        <v/>
      </c>
      <c r="D7085" s="45" t="str">
        <f t="shared" si="23"/>
        <v/>
      </c>
      <c r="E7085" s="45" t="str">
        <f t="shared" si="24"/>
        <v/>
      </c>
      <c r="F7085" s="59" t="str">
        <f t="shared" si="25"/>
        <v/>
      </c>
      <c r="G7085" s="59" t="str">
        <f t="shared" si="26"/>
        <v/>
      </c>
      <c r="H7085" s="59" t="str">
        <f t="shared" si="27"/>
        <v>28C02545</v>
      </c>
      <c r="I7085" s="59" t="str">
        <f>IF(OR($A7085="",$C7085="",$D7085="",$E7085="",$H7085=""),"",SUMIFS(DATA_GOC!$H:$H,DATA_GOC!$A:$A,"BOM",DATA_GOC!$D:$D,$H7085,DATA_GOC!$E:$E,$C7085,DATA_GOC!$F:$F,"Xuất nội bộ từ téc",DATA_GOC!$B:$B,"&gt;="&amp;$D7085,DATA_GOC!$B:$B,"&lt;="&amp;$E7085))</f>
        <v/>
      </c>
      <c r="J7085" s="59">
        <f t="shared" si="28"/>
        <v>0</v>
      </c>
      <c r="K7085" s="59">
        <f t="shared" si="29"/>
        <v>0</v>
      </c>
      <c r="L7085" s="59">
        <f t="shared" si="30"/>
        <v>0</v>
      </c>
      <c r="M7085" s="59">
        <f t="shared" si="31"/>
        <v>0</v>
      </c>
    </row>
    <row r="7086" ht="15.0" hidden="1" customHeight="1">
      <c r="A7086" s="59">
        <f t="shared" si="20"/>
        <v>115</v>
      </c>
      <c r="B7086" s="59" t="str">
        <f t="shared" si="21"/>
        <v/>
      </c>
      <c r="C7086" s="59" t="str">
        <f t="shared" si="22"/>
        <v/>
      </c>
      <c r="D7086" s="45" t="str">
        <f t="shared" si="23"/>
        <v/>
      </c>
      <c r="E7086" s="45" t="str">
        <f t="shared" si="24"/>
        <v/>
      </c>
      <c r="F7086" s="59" t="str">
        <f t="shared" si="25"/>
        <v/>
      </c>
      <c r="G7086" s="59" t="str">
        <f t="shared" si="26"/>
        <v/>
      </c>
      <c r="H7086" s="59" t="str">
        <f t="shared" si="27"/>
        <v>28C02574</v>
      </c>
      <c r="I7086" s="59" t="str">
        <f>IF(OR($A7086="",$C7086="",$D7086="",$E7086="",$H7086=""),"",SUMIFS(DATA_GOC!$H:$H,DATA_GOC!$A:$A,"BOM",DATA_GOC!$D:$D,$H7086,DATA_GOC!$E:$E,$C7086,DATA_GOC!$F:$F,"Xuất nội bộ từ téc",DATA_GOC!$B:$B,"&gt;="&amp;$D7086,DATA_GOC!$B:$B,"&lt;="&amp;$E7086))</f>
        <v/>
      </c>
      <c r="J7086" s="59">
        <f t="shared" si="28"/>
        <v>0</v>
      </c>
      <c r="K7086" s="59">
        <f t="shared" si="29"/>
        <v>0</v>
      </c>
      <c r="L7086" s="59">
        <f t="shared" si="30"/>
        <v>0</v>
      </c>
      <c r="M7086" s="59">
        <f t="shared" si="31"/>
        <v>0</v>
      </c>
    </row>
    <row r="7087" ht="15.0" hidden="1" customHeight="1">
      <c r="A7087" s="59">
        <f t="shared" si="20"/>
        <v>115</v>
      </c>
      <c r="B7087" s="59" t="str">
        <f t="shared" si="21"/>
        <v/>
      </c>
      <c r="C7087" s="59" t="str">
        <f t="shared" si="22"/>
        <v/>
      </c>
      <c r="D7087" s="45" t="str">
        <f t="shared" si="23"/>
        <v/>
      </c>
      <c r="E7087" s="45" t="str">
        <f t="shared" si="24"/>
        <v/>
      </c>
      <c r="F7087" s="59" t="str">
        <f t="shared" si="25"/>
        <v/>
      </c>
      <c r="G7087" s="59" t="str">
        <f t="shared" si="26"/>
        <v/>
      </c>
      <c r="H7087" s="59" t="str">
        <f t="shared" si="27"/>
        <v>28C02770</v>
      </c>
      <c r="I7087" s="59" t="str">
        <f>IF(OR($A7087="",$C7087="",$D7087="",$E7087="",$H7087=""),"",SUMIFS(DATA_GOC!$H:$H,DATA_GOC!$A:$A,"BOM",DATA_GOC!$D:$D,$H7087,DATA_GOC!$E:$E,$C7087,DATA_GOC!$F:$F,"Xuất nội bộ từ téc",DATA_GOC!$B:$B,"&gt;="&amp;$D7087,DATA_GOC!$B:$B,"&lt;="&amp;$E7087))</f>
        <v/>
      </c>
      <c r="J7087" s="59">
        <f t="shared" si="28"/>
        <v>0</v>
      </c>
      <c r="K7087" s="59">
        <f t="shared" si="29"/>
        <v>0</v>
      </c>
      <c r="L7087" s="59">
        <f t="shared" si="30"/>
        <v>0</v>
      </c>
      <c r="M7087" s="59">
        <f t="shared" si="31"/>
        <v>0</v>
      </c>
    </row>
    <row r="7088" ht="15.0" hidden="1" customHeight="1">
      <c r="A7088" s="59">
        <f t="shared" si="20"/>
        <v>115</v>
      </c>
      <c r="B7088" s="59" t="str">
        <f t="shared" si="21"/>
        <v/>
      </c>
      <c r="C7088" s="59" t="str">
        <f t="shared" si="22"/>
        <v/>
      </c>
      <c r="D7088" s="45" t="str">
        <f t="shared" si="23"/>
        <v/>
      </c>
      <c r="E7088" s="45" t="str">
        <f t="shared" si="24"/>
        <v/>
      </c>
      <c r="F7088" s="59" t="str">
        <f t="shared" si="25"/>
        <v/>
      </c>
      <c r="G7088" s="59" t="str">
        <f t="shared" si="26"/>
        <v/>
      </c>
      <c r="H7088" s="59" t="str">
        <f t="shared" si="27"/>
        <v>28C02986</v>
      </c>
      <c r="I7088" s="59" t="str">
        <f>IF(OR($A7088="",$C7088="",$D7088="",$E7088="",$H7088=""),"",SUMIFS(DATA_GOC!$H:$H,DATA_GOC!$A:$A,"BOM",DATA_GOC!$D:$D,$H7088,DATA_GOC!$E:$E,$C7088,DATA_GOC!$F:$F,"Xuất nội bộ từ téc",DATA_GOC!$B:$B,"&gt;="&amp;$D7088,DATA_GOC!$B:$B,"&lt;="&amp;$E7088))</f>
        <v/>
      </c>
      <c r="J7088" s="59">
        <f t="shared" si="28"/>
        <v>0</v>
      </c>
      <c r="K7088" s="59">
        <f t="shared" si="29"/>
        <v>0</v>
      </c>
      <c r="L7088" s="59">
        <f t="shared" si="30"/>
        <v>0</v>
      </c>
      <c r="M7088" s="59">
        <f t="shared" si="31"/>
        <v>0</v>
      </c>
    </row>
    <row r="7089" ht="15.0" hidden="1" customHeight="1">
      <c r="A7089" s="59">
        <f t="shared" si="20"/>
        <v>115</v>
      </c>
      <c r="B7089" s="59" t="str">
        <f t="shared" si="21"/>
        <v/>
      </c>
      <c r="C7089" s="59" t="str">
        <f t="shared" si="22"/>
        <v/>
      </c>
      <c r="D7089" s="45" t="str">
        <f t="shared" si="23"/>
        <v/>
      </c>
      <c r="E7089" s="45" t="str">
        <f t="shared" si="24"/>
        <v/>
      </c>
      <c r="F7089" s="59" t="str">
        <f t="shared" si="25"/>
        <v/>
      </c>
      <c r="G7089" s="59" t="str">
        <f t="shared" si="26"/>
        <v/>
      </c>
      <c r="H7089" s="59" t="str">
        <f t="shared" si="27"/>
        <v>28C03261</v>
      </c>
      <c r="I7089" s="59" t="str">
        <f>IF(OR($A7089="",$C7089="",$D7089="",$E7089="",$H7089=""),"",SUMIFS(DATA_GOC!$H:$H,DATA_GOC!$A:$A,"BOM",DATA_GOC!$D:$D,$H7089,DATA_GOC!$E:$E,$C7089,DATA_GOC!$F:$F,"Xuất nội bộ từ téc",DATA_GOC!$B:$B,"&gt;="&amp;$D7089,DATA_GOC!$B:$B,"&lt;="&amp;$E7089))</f>
        <v/>
      </c>
      <c r="J7089" s="59">
        <f t="shared" si="28"/>
        <v>0</v>
      </c>
      <c r="K7089" s="59">
        <f t="shared" si="29"/>
        <v>0</v>
      </c>
      <c r="L7089" s="59">
        <f t="shared" si="30"/>
        <v>0</v>
      </c>
      <c r="M7089" s="59">
        <f t="shared" si="31"/>
        <v>0</v>
      </c>
    </row>
    <row r="7090" ht="15.0" hidden="1" customHeight="1">
      <c r="A7090" s="59">
        <f t="shared" si="20"/>
        <v>115</v>
      </c>
      <c r="B7090" s="59" t="str">
        <f t="shared" si="21"/>
        <v/>
      </c>
      <c r="C7090" s="59" t="str">
        <f t="shared" si="22"/>
        <v/>
      </c>
      <c r="D7090" s="45" t="str">
        <f t="shared" si="23"/>
        <v/>
      </c>
      <c r="E7090" s="45" t="str">
        <f t="shared" si="24"/>
        <v/>
      </c>
      <c r="F7090" s="59" t="str">
        <f t="shared" si="25"/>
        <v/>
      </c>
      <c r="G7090" s="59" t="str">
        <f t="shared" si="26"/>
        <v/>
      </c>
      <c r="H7090" s="59" t="str">
        <f t="shared" si="27"/>
        <v>28C03323</v>
      </c>
      <c r="I7090" s="59" t="str">
        <f>IF(OR($A7090="",$C7090="",$D7090="",$E7090="",$H7090=""),"",SUMIFS(DATA_GOC!$H:$H,DATA_GOC!$A:$A,"BOM",DATA_GOC!$D:$D,$H7090,DATA_GOC!$E:$E,$C7090,DATA_GOC!$F:$F,"Xuất nội bộ từ téc",DATA_GOC!$B:$B,"&gt;="&amp;$D7090,DATA_GOC!$B:$B,"&lt;="&amp;$E7090))</f>
        <v/>
      </c>
      <c r="J7090" s="59">
        <f t="shared" si="28"/>
        <v>0</v>
      </c>
      <c r="K7090" s="59">
        <f t="shared" si="29"/>
        <v>0</v>
      </c>
      <c r="L7090" s="59">
        <f t="shared" si="30"/>
        <v>0</v>
      </c>
      <c r="M7090" s="59">
        <f t="shared" si="31"/>
        <v>0</v>
      </c>
    </row>
    <row r="7091" ht="15.0" hidden="1" customHeight="1">
      <c r="A7091" s="59">
        <f t="shared" si="20"/>
        <v>115</v>
      </c>
      <c r="B7091" s="59" t="str">
        <f t="shared" si="21"/>
        <v/>
      </c>
      <c r="C7091" s="59" t="str">
        <f t="shared" si="22"/>
        <v/>
      </c>
      <c r="D7091" s="45" t="str">
        <f t="shared" si="23"/>
        <v/>
      </c>
      <c r="E7091" s="45" t="str">
        <f t="shared" si="24"/>
        <v/>
      </c>
      <c r="F7091" s="59" t="str">
        <f t="shared" si="25"/>
        <v/>
      </c>
      <c r="G7091" s="59" t="str">
        <f t="shared" si="26"/>
        <v/>
      </c>
      <c r="H7091" s="59" t="str">
        <f t="shared" si="27"/>
        <v>28C03385</v>
      </c>
      <c r="I7091" s="59" t="str">
        <f>IF(OR($A7091="",$C7091="",$D7091="",$E7091="",$H7091=""),"",SUMIFS(DATA_GOC!$H:$H,DATA_GOC!$A:$A,"BOM",DATA_GOC!$D:$D,$H7091,DATA_GOC!$E:$E,$C7091,DATA_GOC!$F:$F,"Xuất nội bộ từ téc",DATA_GOC!$B:$B,"&gt;="&amp;$D7091,DATA_GOC!$B:$B,"&lt;="&amp;$E7091))</f>
        <v/>
      </c>
      <c r="J7091" s="59">
        <f t="shared" si="28"/>
        <v>0</v>
      </c>
      <c r="K7091" s="59">
        <f t="shared" si="29"/>
        <v>0</v>
      </c>
      <c r="L7091" s="59">
        <f t="shared" si="30"/>
        <v>0</v>
      </c>
      <c r="M7091" s="59">
        <f t="shared" si="31"/>
        <v>0</v>
      </c>
    </row>
    <row r="7092" ht="15.0" hidden="1" customHeight="1">
      <c r="A7092" s="59">
        <f t="shared" si="20"/>
        <v>115</v>
      </c>
      <c r="B7092" s="59" t="str">
        <f t="shared" si="21"/>
        <v/>
      </c>
      <c r="C7092" s="59" t="str">
        <f t="shared" si="22"/>
        <v/>
      </c>
      <c r="D7092" s="45" t="str">
        <f t="shared" si="23"/>
        <v/>
      </c>
      <c r="E7092" s="45" t="str">
        <f t="shared" si="24"/>
        <v/>
      </c>
      <c r="F7092" s="59" t="str">
        <f t="shared" si="25"/>
        <v/>
      </c>
      <c r="G7092" s="59" t="str">
        <f t="shared" si="26"/>
        <v/>
      </c>
      <c r="H7092" s="59" t="str">
        <f t="shared" si="27"/>
        <v>28C03652</v>
      </c>
      <c r="I7092" s="59" t="str">
        <f>IF(OR($A7092="",$C7092="",$D7092="",$E7092="",$H7092=""),"",SUMIFS(DATA_GOC!$H:$H,DATA_GOC!$A:$A,"BOM",DATA_GOC!$D:$D,$H7092,DATA_GOC!$E:$E,$C7092,DATA_GOC!$F:$F,"Xuất nội bộ từ téc",DATA_GOC!$B:$B,"&gt;="&amp;$D7092,DATA_GOC!$B:$B,"&lt;="&amp;$E7092))</f>
        <v/>
      </c>
      <c r="J7092" s="59">
        <f t="shared" si="28"/>
        <v>0</v>
      </c>
      <c r="K7092" s="59">
        <f t="shared" si="29"/>
        <v>0</v>
      </c>
      <c r="L7092" s="59">
        <f t="shared" si="30"/>
        <v>0</v>
      </c>
      <c r="M7092" s="59">
        <f t="shared" si="31"/>
        <v>0</v>
      </c>
    </row>
    <row r="7093" ht="15.0" hidden="1" customHeight="1">
      <c r="A7093" s="59">
        <f t="shared" si="20"/>
        <v>115</v>
      </c>
      <c r="B7093" s="59" t="str">
        <f t="shared" si="21"/>
        <v/>
      </c>
      <c r="C7093" s="59" t="str">
        <f t="shared" si="22"/>
        <v/>
      </c>
      <c r="D7093" s="45" t="str">
        <f t="shared" si="23"/>
        <v/>
      </c>
      <c r="E7093" s="45" t="str">
        <f t="shared" si="24"/>
        <v/>
      </c>
      <c r="F7093" s="59" t="str">
        <f t="shared" si="25"/>
        <v/>
      </c>
      <c r="G7093" s="59" t="str">
        <f t="shared" si="26"/>
        <v/>
      </c>
      <c r="H7093" s="59" t="str">
        <f t="shared" si="27"/>
        <v>28C03695</v>
      </c>
      <c r="I7093" s="59" t="str">
        <f>IF(OR($A7093="",$C7093="",$D7093="",$E7093="",$H7093=""),"",SUMIFS(DATA_GOC!$H:$H,DATA_GOC!$A:$A,"BOM",DATA_GOC!$D:$D,$H7093,DATA_GOC!$E:$E,$C7093,DATA_GOC!$F:$F,"Xuất nội bộ từ téc",DATA_GOC!$B:$B,"&gt;="&amp;$D7093,DATA_GOC!$B:$B,"&lt;="&amp;$E7093))</f>
        <v/>
      </c>
      <c r="J7093" s="59">
        <f t="shared" si="28"/>
        <v>0</v>
      </c>
      <c r="K7093" s="59">
        <f t="shared" si="29"/>
        <v>0</v>
      </c>
      <c r="L7093" s="59">
        <f t="shared" si="30"/>
        <v>0</v>
      </c>
      <c r="M7093" s="59">
        <f t="shared" si="31"/>
        <v>0</v>
      </c>
    </row>
    <row r="7094" ht="15.0" hidden="1" customHeight="1">
      <c r="A7094" s="59">
        <f t="shared" si="20"/>
        <v>115</v>
      </c>
      <c r="B7094" s="59" t="str">
        <f t="shared" si="21"/>
        <v/>
      </c>
      <c r="C7094" s="59" t="str">
        <f t="shared" si="22"/>
        <v/>
      </c>
      <c r="D7094" s="45" t="str">
        <f t="shared" si="23"/>
        <v/>
      </c>
      <c r="E7094" s="45" t="str">
        <f t="shared" si="24"/>
        <v/>
      </c>
      <c r="F7094" s="59" t="str">
        <f t="shared" si="25"/>
        <v/>
      </c>
      <c r="G7094" s="59" t="str">
        <f t="shared" si="26"/>
        <v/>
      </c>
      <c r="H7094" s="59" t="str">
        <f t="shared" si="27"/>
        <v>28C03927</v>
      </c>
      <c r="I7094" s="59" t="str">
        <f>IF(OR($A7094="",$C7094="",$D7094="",$E7094="",$H7094=""),"",SUMIFS(DATA_GOC!$H:$H,DATA_GOC!$A:$A,"BOM",DATA_GOC!$D:$D,$H7094,DATA_GOC!$E:$E,$C7094,DATA_GOC!$F:$F,"Xuất nội bộ từ téc",DATA_GOC!$B:$B,"&gt;="&amp;$D7094,DATA_GOC!$B:$B,"&lt;="&amp;$E7094))</f>
        <v/>
      </c>
      <c r="J7094" s="59">
        <f t="shared" si="28"/>
        <v>0</v>
      </c>
      <c r="K7094" s="59">
        <f t="shared" si="29"/>
        <v>0</v>
      </c>
      <c r="L7094" s="59">
        <f t="shared" si="30"/>
        <v>0</v>
      </c>
      <c r="M7094" s="59">
        <f t="shared" si="31"/>
        <v>0</v>
      </c>
    </row>
    <row r="7095" ht="15.0" hidden="1" customHeight="1">
      <c r="A7095" s="59">
        <f t="shared" si="20"/>
        <v>115</v>
      </c>
      <c r="B7095" s="59" t="str">
        <f t="shared" si="21"/>
        <v/>
      </c>
      <c r="C7095" s="59" t="str">
        <f t="shared" si="22"/>
        <v/>
      </c>
      <c r="D7095" s="45" t="str">
        <f t="shared" si="23"/>
        <v/>
      </c>
      <c r="E7095" s="45" t="str">
        <f t="shared" si="24"/>
        <v/>
      </c>
      <c r="F7095" s="59" t="str">
        <f t="shared" si="25"/>
        <v/>
      </c>
      <c r="G7095" s="59" t="str">
        <f t="shared" si="26"/>
        <v/>
      </c>
      <c r="H7095" s="59" t="str">
        <f t="shared" si="27"/>
        <v>28C04509</v>
      </c>
      <c r="I7095" s="59" t="str">
        <f>IF(OR($A7095="",$C7095="",$D7095="",$E7095="",$H7095=""),"",SUMIFS(DATA_GOC!$H:$H,DATA_GOC!$A:$A,"BOM",DATA_GOC!$D:$D,$H7095,DATA_GOC!$E:$E,$C7095,DATA_GOC!$F:$F,"Xuất nội bộ từ téc",DATA_GOC!$B:$B,"&gt;="&amp;$D7095,DATA_GOC!$B:$B,"&lt;="&amp;$E7095))</f>
        <v/>
      </c>
      <c r="J7095" s="59">
        <f t="shared" si="28"/>
        <v>0</v>
      </c>
      <c r="K7095" s="59">
        <f t="shared" si="29"/>
        <v>0</v>
      </c>
      <c r="L7095" s="59">
        <f t="shared" si="30"/>
        <v>0</v>
      </c>
      <c r="M7095" s="59">
        <f t="shared" si="31"/>
        <v>0</v>
      </c>
    </row>
    <row r="7096" ht="15.0" hidden="1" customHeight="1">
      <c r="A7096" s="59">
        <f t="shared" si="20"/>
        <v>115</v>
      </c>
      <c r="B7096" s="59" t="str">
        <f t="shared" si="21"/>
        <v/>
      </c>
      <c r="C7096" s="59" t="str">
        <f t="shared" si="22"/>
        <v/>
      </c>
      <c r="D7096" s="45" t="str">
        <f t="shared" si="23"/>
        <v/>
      </c>
      <c r="E7096" s="45" t="str">
        <f t="shared" si="24"/>
        <v/>
      </c>
      <c r="F7096" s="59" t="str">
        <f t="shared" si="25"/>
        <v/>
      </c>
      <c r="G7096" s="59" t="str">
        <f t="shared" si="26"/>
        <v/>
      </c>
      <c r="H7096" s="59" t="str">
        <f t="shared" si="27"/>
        <v>28C04536</v>
      </c>
      <c r="I7096" s="59" t="str">
        <f>IF(OR($A7096="",$C7096="",$D7096="",$E7096="",$H7096=""),"",SUMIFS(DATA_GOC!$H:$H,DATA_GOC!$A:$A,"BOM",DATA_GOC!$D:$D,$H7096,DATA_GOC!$E:$E,$C7096,DATA_GOC!$F:$F,"Xuất nội bộ từ téc",DATA_GOC!$B:$B,"&gt;="&amp;$D7096,DATA_GOC!$B:$B,"&lt;="&amp;$E7096))</f>
        <v/>
      </c>
      <c r="J7096" s="59">
        <f t="shared" si="28"/>
        <v>0</v>
      </c>
      <c r="K7096" s="59">
        <f t="shared" si="29"/>
        <v>0</v>
      </c>
      <c r="L7096" s="59">
        <f t="shared" si="30"/>
        <v>0</v>
      </c>
      <c r="M7096" s="59">
        <f t="shared" si="31"/>
        <v>0</v>
      </c>
    </row>
    <row r="7097" ht="15.0" hidden="1" customHeight="1">
      <c r="A7097" s="59">
        <f t="shared" si="20"/>
        <v>115</v>
      </c>
      <c r="B7097" s="59" t="str">
        <f t="shared" si="21"/>
        <v/>
      </c>
      <c r="C7097" s="59" t="str">
        <f t="shared" si="22"/>
        <v/>
      </c>
      <c r="D7097" s="45" t="str">
        <f t="shared" si="23"/>
        <v/>
      </c>
      <c r="E7097" s="45" t="str">
        <f t="shared" si="24"/>
        <v/>
      </c>
      <c r="F7097" s="59" t="str">
        <f t="shared" si="25"/>
        <v/>
      </c>
      <c r="G7097" s="59" t="str">
        <f t="shared" si="26"/>
        <v/>
      </c>
      <c r="H7097" s="59" t="str">
        <f t="shared" si="27"/>
        <v>28C04576</v>
      </c>
      <c r="I7097" s="59" t="str">
        <f>IF(OR($A7097="",$C7097="",$D7097="",$E7097="",$H7097=""),"",SUMIFS(DATA_GOC!$H:$H,DATA_GOC!$A:$A,"BOM",DATA_GOC!$D:$D,$H7097,DATA_GOC!$E:$E,$C7097,DATA_GOC!$F:$F,"Xuất nội bộ từ téc",DATA_GOC!$B:$B,"&gt;="&amp;$D7097,DATA_GOC!$B:$B,"&lt;="&amp;$E7097))</f>
        <v/>
      </c>
      <c r="J7097" s="59">
        <f t="shared" si="28"/>
        <v>0</v>
      </c>
      <c r="K7097" s="59">
        <f t="shared" si="29"/>
        <v>0</v>
      </c>
      <c r="L7097" s="59">
        <f t="shared" si="30"/>
        <v>0</v>
      </c>
      <c r="M7097" s="59">
        <f t="shared" si="31"/>
        <v>0</v>
      </c>
    </row>
    <row r="7098" ht="15.0" hidden="1" customHeight="1">
      <c r="A7098" s="59">
        <f t="shared" si="20"/>
        <v>115</v>
      </c>
      <c r="B7098" s="59" t="str">
        <f t="shared" si="21"/>
        <v/>
      </c>
      <c r="C7098" s="59" t="str">
        <f t="shared" si="22"/>
        <v/>
      </c>
      <c r="D7098" s="45" t="str">
        <f t="shared" si="23"/>
        <v/>
      </c>
      <c r="E7098" s="45" t="str">
        <f t="shared" si="24"/>
        <v/>
      </c>
      <c r="F7098" s="59" t="str">
        <f t="shared" si="25"/>
        <v/>
      </c>
      <c r="G7098" s="59" t="str">
        <f t="shared" si="26"/>
        <v/>
      </c>
      <c r="H7098" s="59" t="str">
        <f t="shared" si="27"/>
        <v>28C05090</v>
      </c>
      <c r="I7098" s="59" t="str">
        <f>IF(OR($A7098="",$C7098="",$D7098="",$E7098="",$H7098=""),"",SUMIFS(DATA_GOC!$H:$H,DATA_GOC!$A:$A,"BOM",DATA_GOC!$D:$D,$H7098,DATA_GOC!$E:$E,$C7098,DATA_GOC!$F:$F,"Xuất nội bộ từ téc",DATA_GOC!$B:$B,"&gt;="&amp;$D7098,DATA_GOC!$B:$B,"&lt;="&amp;$E7098))</f>
        <v/>
      </c>
      <c r="J7098" s="59">
        <f t="shared" si="28"/>
        <v>0</v>
      </c>
      <c r="K7098" s="59">
        <f t="shared" si="29"/>
        <v>0</v>
      </c>
      <c r="L7098" s="59">
        <f t="shared" si="30"/>
        <v>0</v>
      </c>
      <c r="M7098" s="59">
        <f t="shared" si="31"/>
        <v>0</v>
      </c>
    </row>
    <row r="7099" ht="15.0" hidden="1" customHeight="1">
      <c r="A7099" s="59">
        <f t="shared" si="20"/>
        <v>115</v>
      </c>
      <c r="B7099" s="59" t="str">
        <f t="shared" si="21"/>
        <v/>
      </c>
      <c r="C7099" s="59" t="str">
        <f t="shared" si="22"/>
        <v/>
      </c>
      <c r="D7099" s="45" t="str">
        <f t="shared" si="23"/>
        <v/>
      </c>
      <c r="E7099" s="45" t="str">
        <f t="shared" si="24"/>
        <v/>
      </c>
      <c r="F7099" s="59" t="str">
        <f t="shared" si="25"/>
        <v/>
      </c>
      <c r="G7099" s="59" t="str">
        <f t="shared" si="26"/>
        <v/>
      </c>
      <c r="H7099" s="59" t="str">
        <f t="shared" si="27"/>
        <v>28C05345</v>
      </c>
      <c r="I7099" s="59" t="str">
        <f>IF(OR($A7099="",$C7099="",$D7099="",$E7099="",$H7099=""),"",SUMIFS(DATA_GOC!$H:$H,DATA_GOC!$A:$A,"BOM",DATA_GOC!$D:$D,$H7099,DATA_GOC!$E:$E,$C7099,DATA_GOC!$F:$F,"Xuất nội bộ từ téc",DATA_GOC!$B:$B,"&gt;="&amp;$D7099,DATA_GOC!$B:$B,"&lt;="&amp;$E7099))</f>
        <v/>
      </c>
      <c r="J7099" s="59">
        <f t="shared" si="28"/>
        <v>0</v>
      </c>
      <c r="K7099" s="59">
        <f t="shared" si="29"/>
        <v>0</v>
      </c>
      <c r="L7099" s="59">
        <f t="shared" si="30"/>
        <v>0</v>
      </c>
      <c r="M7099" s="59">
        <f t="shared" si="31"/>
        <v>0</v>
      </c>
    </row>
    <row r="7100" ht="15.0" hidden="1" customHeight="1">
      <c r="A7100" s="59">
        <f t="shared" si="20"/>
        <v>115</v>
      </c>
      <c r="B7100" s="59" t="str">
        <f t="shared" si="21"/>
        <v/>
      </c>
      <c r="C7100" s="59" t="str">
        <f t="shared" si="22"/>
        <v/>
      </c>
      <c r="D7100" s="45" t="str">
        <f t="shared" si="23"/>
        <v/>
      </c>
      <c r="E7100" s="45" t="str">
        <f t="shared" si="24"/>
        <v/>
      </c>
      <c r="F7100" s="59" t="str">
        <f t="shared" si="25"/>
        <v/>
      </c>
      <c r="G7100" s="59" t="str">
        <f t="shared" si="26"/>
        <v/>
      </c>
      <c r="H7100" s="59" t="str">
        <f t="shared" si="27"/>
        <v>28C05661</v>
      </c>
      <c r="I7100" s="59" t="str">
        <f>IF(OR($A7100="",$C7100="",$D7100="",$E7100="",$H7100=""),"",SUMIFS(DATA_GOC!$H:$H,DATA_GOC!$A:$A,"BOM",DATA_GOC!$D:$D,$H7100,DATA_GOC!$E:$E,$C7100,DATA_GOC!$F:$F,"Xuất nội bộ từ téc",DATA_GOC!$B:$B,"&gt;="&amp;$D7100,DATA_GOC!$B:$B,"&lt;="&amp;$E7100))</f>
        <v/>
      </c>
      <c r="J7100" s="59">
        <f t="shared" si="28"/>
        <v>0</v>
      </c>
      <c r="K7100" s="59">
        <f t="shared" si="29"/>
        <v>0</v>
      </c>
      <c r="L7100" s="59">
        <f t="shared" si="30"/>
        <v>0</v>
      </c>
      <c r="M7100" s="59">
        <f t="shared" si="31"/>
        <v>0</v>
      </c>
    </row>
    <row r="7101" ht="15.0" hidden="1" customHeight="1">
      <c r="A7101" s="59">
        <f t="shared" si="20"/>
        <v>115</v>
      </c>
      <c r="B7101" s="59" t="str">
        <f t="shared" si="21"/>
        <v/>
      </c>
      <c r="C7101" s="59" t="str">
        <f t="shared" si="22"/>
        <v/>
      </c>
      <c r="D7101" s="45" t="str">
        <f t="shared" si="23"/>
        <v/>
      </c>
      <c r="E7101" s="45" t="str">
        <f t="shared" si="24"/>
        <v/>
      </c>
      <c r="F7101" s="59" t="str">
        <f t="shared" si="25"/>
        <v/>
      </c>
      <c r="G7101" s="59" t="str">
        <f t="shared" si="26"/>
        <v/>
      </c>
      <c r="H7101" s="59" t="str">
        <f t="shared" si="27"/>
        <v>28C05739</v>
      </c>
      <c r="I7101" s="59" t="str">
        <f>IF(OR($A7101="",$C7101="",$D7101="",$E7101="",$H7101=""),"",SUMIFS(DATA_GOC!$H:$H,DATA_GOC!$A:$A,"BOM",DATA_GOC!$D:$D,$H7101,DATA_GOC!$E:$E,$C7101,DATA_GOC!$F:$F,"Xuất nội bộ từ téc",DATA_GOC!$B:$B,"&gt;="&amp;$D7101,DATA_GOC!$B:$B,"&lt;="&amp;$E7101))</f>
        <v/>
      </c>
      <c r="J7101" s="59">
        <f t="shared" si="28"/>
        <v>0</v>
      </c>
      <c r="K7101" s="59">
        <f t="shared" si="29"/>
        <v>0</v>
      </c>
      <c r="L7101" s="59">
        <f t="shared" si="30"/>
        <v>0</v>
      </c>
      <c r="M7101" s="59">
        <f t="shared" si="31"/>
        <v>0</v>
      </c>
    </row>
    <row r="7102" ht="15.0" hidden="1" customHeight="1">
      <c r="A7102" s="59">
        <f t="shared" si="20"/>
        <v>115</v>
      </c>
      <c r="B7102" s="59" t="str">
        <f t="shared" si="21"/>
        <v/>
      </c>
      <c r="C7102" s="59" t="str">
        <f t="shared" si="22"/>
        <v/>
      </c>
      <c r="D7102" s="45" t="str">
        <f t="shared" si="23"/>
        <v/>
      </c>
      <c r="E7102" s="45" t="str">
        <f t="shared" si="24"/>
        <v/>
      </c>
      <c r="F7102" s="59" t="str">
        <f t="shared" si="25"/>
        <v/>
      </c>
      <c r="G7102" s="59" t="str">
        <f t="shared" si="26"/>
        <v/>
      </c>
      <c r="H7102" s="59" t="str">
        <f t="shared" si="27"/>
        <v>28C06369</v>
      </c>
      <c r="I7102" s="59" t="str">
        <f>IF(OR($A7102="",$C7102="",$D7102="",$E7102="",$H7102=""),"",SUMIFS(DATA_GOC!$H:$H,DATA_GOC!$A:$A,"BOM",DATA_GOC!$D:$D,$H7102,DATA_GOC!$E:$E,$C7102,DATA_GOC!$F:$F,"Xuất nội bộ từ téc",DATA_GOC!$B:$B,"&gt;="&amp;$D7102,DATA_GOC!$B:$B,"&lt;="&amp;$E7102))</f>
        <v/>
      </c>
      <c r="J7102" s="59">
        <f t="shared" si="28"/>
        <v>0</v>
      </c>
      <c r="K7102" s="59">
        <f t="shared" si="29"/>
        <v>0</v>
      </c>
      <c r="L7102" s="59">
        <f t="shared" si="30"/>
        <v>0</v>
      </c>
      <c r="M7102" s="59">
        <f t="shared" si="31"/>
        <v>0</v>
      </c>
    </row>
    <row r="7103" ht="15.0" hidden="1" customHeight="1">
      <c r="A7103" s="59">
        <f t="shared" si="20"/>
        <v>115</v>
      </c>
      <c r="B7103" s="59" t="str">
        <f t="shared" si="21"/>
        <v/>
      </c>
      <c r="C7103" s="59" t="str">
        <f t="shared" si="22"/>
        <v/>
      </c>
      <c r="D7103" s="45" t="str">
        <f t="shared" si="23"/>
        <v/>
      </c>
      <c r="E7103" s="45" t="str">
        <f t="shared" si="24"/>
        <v/>
      </c>
      <c r="F7103" s="59" t="str">
        <f t="shared" si="25"/>
        <v/>
      </c>
      <c r="G7103" s="59" t="str">
        <f t="shared" si="26"/>
        <v/>
      </c>
      <c r="H7103" s="59" t="str">
        <f t="shared" si="27"/>
        <v>28C06447</v>
      </c>
      <c r="I7103" s="59" t="str">
        <f>IF(OR($A7103="",$C7103="",$D7103="",$E7103="",$H7103=""),"",SUMIFS(DATA_GOC!$H:$H,DATA_GOC!$A:$A,"BOM",DATA_GOC!$D:$D,$H7103,DATA_GOC!$E:$E,$C7103,DATA_GOC!$F:$F,"Xuất nội bộ từ téc",DATA_GOC!$B:$B,"&gt;="&amp;$D7103,DATA_GOC!$B:$B,"&lt;="&amp;$E7103))</f>
        <v/>
      </c>
      <c r="J7103" s="59">
        <f t="shared" si="28"/>
        <v>0</v>
      </c>
      <c r="K7103" s="59">
        <f t="shared" si="29"/>
        <v>0</v>
      </c>
      <c r="L7103" s="59">
        <f t="shared" si="30"/>
        <v>0</v>
      </c>
      <c r="M7103" s="59">
        <f t="shared" si="31"/>
        <v>0</v>
      </c>
    </row>
    <row r="7104" ht="15.0" hidden="1" customHeight="1">
      <c r="A7104" s="59">
        <f t="shared" si="20"/>
        <v>115</v>
      </c>
      <c r="B7104" s="59" t="str">
        <f t="shared" si="21"/>
        <v/>
      </c>
      <c r="C7104" s="59" t="str">
        <f t="shared" si="22"/>
        <v/>
      </c>
      <c r="D7104" s="45" t="str">
        <f t="shared" si="23"/>
        <v/>
      </c>
      <c r="E7104" s="45" t="str">
        <f t="shared" si="24"/>
        <v/>
      </c>
      <c r="F7104" s="59" t="str">
        <f t="shared" si="25"/>
        <v/>
      </c>
      <c r="G7104" s="59" t="str">
        <f t="shared" si="26"/>
        <v/>
      </c>
      <c r="H7104" s="59" t="str">
        <f t="shared" si="27"/>
        <v>28H00003</v>
      </c>
      <c r="I7104" s="59" t="str">
        <f>IF(OR($A7104="",$C7104="",$D7104="",$E7104="",$H7104=""),"",SUMIFS(DATA_GOC!$H:$H,DATA_GOC!$A:$A,"BOM",DATA_GOC!$D:$D,$H7104,DATA_GOC!$E:$E,$C7104,DATA_GOC!$F:$F,"Xuất nội bộ từ téc",DATA_GOC!$B:$B,"&gt;="&amp;$D7104,DATA_GOC!$B:$B,"&lt;="&amp;$E7104))</f>
        <v/>
      </c>
      <c r="J7104" s="59">
        <f t="shared" si="28"/>
        <v>0</v>
      </c>
      <c r="K7104" s="59">
        <f t="shared" si="29"/>
        <v>0</v>
      </c>
      <c r="L7104" s="59">
        <f t="shared" si="30"/>
        <v>0</v>
      </c>
      <c r="M7104" s="59">
        <f t="shared" si="31"/>
        <v>0</v>
      </c>
    </row>
    <row r="7105" ht="15.0" hidden="1" customHeight="1">
      <c r="A7105" s="59">
        <f t="shared" si="20"/>
        <v>115</v>
      </c>
      <c r="B7105" s="59" t="str">
        <f t="shared" si="21"/>
        <v/>
      </c>
      <c r="C7105" s="59" t="str">
        <f t="shared" si="22"/>
        <v/>
      </c>
      <c r="D7105" s="45" t="str">
        <f t="shared" si="23"/>
        <v/>
      </c>
      <c r="E7105" s="45" t="str">
        <f t="shared" si="24"/>
        <v/>
      </c>
      <c r="F7105" s="59" t="str">
        <f t="shared" si="25"/>
        <v/>
      </c>
      <c r="G7105" s="59" t="str">
        <f t="shared" si="26"/>
        <v/>
      </c>
      <c r="H7105" s="59" t="str">
        <f t="shared" si="27"/>
        <v>28H00061</v>
      </c>
      <c r="I7105" s="59" t="str">
        <f>IF(OR($A7105="",$C7105="",$D7105="",$E7105="",$H7105=""),"",SUMIFS(DATA_GOC!$H:$H,DATA_GOC!$A:$A,"BOM",DATA_GOC!$D:$D,$H7105,DATA_GOC!$E:$E,$C7105,DATA_GOC!$F:$F,"Xuất nội bộ từ téc",DATA_GOC!$B:$B,"&gt;="&amp;$D7105,DATA_GOC!$B:$B,"&lt;="&amp;$E7105))</f>
        <v/>
      </c>
      <c r="J7105" s="59">
        <f t="shared" si="28"/>
        <v>0</v>
      </c>
      <c r="K7105" s="59">
        <f t="shared" si="29"/>
        <v>0</v>
      </c>
      <c r="L7105" s="59">
        <f t="shared" si="30"/>
        <v>0</v>
      </c>
      <c r="M7105" s="59">
        <f t="shared" si="31"/>
        <v>0</v>
      </c>
    </row>
    <row r="7106" ht="15.0" hidden="1" customHeight="1">
      <c r="A7106" s="59">
        <f t="shared" si="20"/>
        <v>115</v>
      </c>
      <c r="B7106" s="59" t="str">
        <f t="shared" si="21"/>
        <v/>
      </c>
      <c r="C7106" s="59" t="str">
        <f t="shared" si="22"/>
        <v/>
      </c>
      <c r="D7106" s="45" t="str">
        <f t="shared" si="23"/>
        <v/>
      </c>
      <c r="E7106" s="45" t="str">
        <f t="shared" si="24"/>
        <v/>
      </c>
      <c r="F7106" s="59" t="str">
        <f t="shared" si="25"/>
        <v/>
      </c>
      <c r="G7106" s="59" t="str">
        <f t="shared" si="26"/>
        <v/>
      </c>
      <c r="H7106" s="59" t="str">
        <f t="shared" si="27"/>
        <v>28H00354</v>
      </c>
      <c r="I7106" s="59" t="str">
        <f>IF(OR($A7106="",$C7106="",$D7106="",$E7106="",$H7106=""),"",SUMIFS(DATA_GOC!$H:$H,DATA_GOC!$A:$A,"BOM",DATA_GOC!$D:$D,$H7106,DATA_GOC!$E:$E,$C7106,DATA_GOC!$F:$F,"Xuất nội bộ từ téc",DATA_GOC!$B:$B,"&gt;="&amp;$D7106,DATA_GOC!$B:$B,"&lt;="&amp;$E7106))</f>
        <v/>
      </c>
      <c r="J7106" s="59">
        <f t="shared" si="28"/>
        <v>0</v>
      </c>
      <c r="K7106" s="59">
        <f t="shared" si="29"/>
        <v>0</v>
      </c>
      <c r="L7106" s="59">
        <f t="shared" si="30"/>
        <v>0</v>
      </c>
      <c r="M7106" s="59">
        <f t="shared" si="31"/>
        <v>0</v>
      </c>
    </row>
    <row r="7107" ht="15.0" hidden="1" customHeight="1">
      <c r="A7107" s="59">
        <f t="shared" si="20"/>
        <v>115</v>
      </c>
      <c r="B7107" s="59" t="str">
        <f t="shared" si="21"/>
        <v/>
      </c>
      <c r="C7107" s="59" t="str">
        <f t="shared" si="22"/>
        <v/>
      </c>
      <c r="D7107" s="45" t="str">
        <f t="shared" si="23"/>
        <v/>
      </c>
      <c r="E7107" s="45" t="str">
        <f t="shared" si="24"/>
        <v/>
      </c>
      <c r="F7107" s="59" t="str">
        <f t="shared" si="25"/>
        <v/>
      </c>
      <c r="G7107" s="59" t="str">
        <f t="shared" si="26"/>
        <v/>
      </c>
      <c r="H7107" s="59" t="str">
        <f t="shared" si="27"/>
        <v>28H00603</v>
      </c>
      <c r="I7107" s="59" t="str">
        <f>IF(OR($A7107="",$C7107="",$D7107="",$E7107="",$H7107=""),"",SUMIFS(DATA_GOC!$H:$H,DATA_GOC!$A:$A,"BOM",DATA_GOC!$D:$D,$H7107,DATA_GOC!$E:$E,$C7107,DATA_GOC!$F:$F,"Xuất nội bộ từ téc",DATA_GOC!$B:$B,"&gt;="&amp;$D7107,DATA_GOC!$B:$B,"&lt;="&amp;$E7107))</f>
        <v/>
      </c>
      <c r="J7107" s="59">
        <f t="shared" si="28"/>
        <v>0</v>
      </c>
      <c r="K7107" s="59">
        <f t="shared" si="29"/>
        <v>0</v>
      </c>
      <c r="L7107" s="59">
        <f t="shared" si="30"/>
        <v>0</v>
      </c>
      <c r="M7107" s="59">
        <f t="shared" si="31"/>
        <v>0</v>
      </c>
    </row>
    <row r="7108" ht="15.0" hidden="1" customHeight="1">
      <c r="A7108" s="59">
        <f t="shared" si="20"/>
        <v>115</v>
      </c>
      <c r="B7108" s="59" t="str">
        <f t="shared" si="21"/>
        <v/>
      </c>
      <c r="C7108" s="59" t="str">
        <f t="shared" si="22"/>
        <v/>
      </c>
      <c r="D7108" s="45" t="str">
        <f t="shared" si="23"/>
        <v/>
      </c>
      <c r="E7108" s="45" t="str">
        <f t="shared" si="24"/>
        <v/>
      </c>
      <c r="F7108" s="59" t="str">
        <f t="shared" si="25"/>
        <v/>
      </c>
      <c r="G7108" s="59" t="str">
        <f t="shared" si="26"/>
        <v/>
      </c>
      <c r="H7108" s="59" t="str">
        <f t="shared" si="27"/>
        <v>28H00609</v>
      </c>
      <c r="I7108" s="59" t="str">
        <f>IF(OR($A7108="",$C7108="",$D7108="",$E7108="",$H7108=""),"",SUMIFS(DATA_GOC!$H:$H,DATA_GOC!$A:$A,"BOM",DATA_GOC!$D:$D,$H7108,DATA_GOC!$E:$E,$C7108,DATA_GOC!$F:$F,"Xuất nội bộ từ téc",DATA_GOC!$B:$B,"&gt;="&amp;$D7108,DATA_GOC!$B:$B,"&lt;="&amp;$E7108))</f>
        <v/>
      </c>
      <c r="J7108" s="59">
        <f t="shared" si="28"/>
        <v>0</v>
      </c>
      <c r="K7108" s="59">
        <f t="shared" si="29"/>
        <v>0</v>
      </c>
      <c r="L7108" s="59">
        <f t="shared" si="30"/>
        <v>0</v>
      </c>
      <c r="M7108" s="59">
        <f t="shared" si="31"/>
        <v>0</v>
      </c>
    </row>
    <row r="7109" ht="15.0" hidden="1" customHeight="1">
      <c r="A7109" s="59">
        <f t="shared" si="20"/>
        <v>115</v>
      </c>
      <c r="B7109" s="59" t="str">
        <f t="shared" si="21"/>
        <v/>
      </c>
      <c r="C7109" s="59" t="str">
        <f t="shared" si="22"/>
        <v/>
      </c>
      <c r="D7109" s="45" t="str">
        <f t="shared" si="23"/>
        <v/>
      </c>
      <c r="E7109" s="45" t="str">
        <f t="shared" si="24"/>
        <v/>
      </c>
      <c r="F7109" s="59" t="str">
        <f t="shared" si="25"/>
        <v/>
      </c>
      <c r="G7109" s="59" t="str">
        <f t="shared" si="26"/>
        <v/>
      </c>
      <c r="H7109" s="59" t="str">
        <f t="shared" si="27"/>
        <v>28H00669</v>
      </c>
      <c r="I7109" s="59" t="str">
        <f>IF(OR($A7109="",$C7109="",$D7109="",$E7109="",$H7109=""),"",SUMIFS(DATA_GOC!$H:$H,DATA_GOC!$A:$A,"BOM",DATA_GOC!$D:$D,$H7109,DATA_GOC!$E:$E,$C7109,DATA_GOC!$F:$F,"Xuất nội bộ từ téc",DATA_GOC!$B:$B,"&gt;="&amp;$D7109,DATA_GOC!$B:$B,"&lt;="&amp;$E7109))</f>
        <v/>
      </c>
      <c r="J7109" s="59">
        <f t="shared" si="28"/>
        <v>0</v>
      </c>
      <c r="K7109" s="59">
        <f t="shared" si="29"/>
        <v>0</v>
      </c>
      <c r="L7109" s="59">
        <f t="shared" si="30"/>
        <v>0</v>
      </c>
      <c r="M7109" s="59">
        <f t="shared" si="31"/>
        <v>0</v>
      </c>
    </row>
    <row r="7110" ht="15.0" hidden="1" customHeight="1">
      <c r="A7110" s="59">
        <f t="shared" si="20"/>
        <v>115</v>
      </c>
      <c r="B7110" s="59" t="str">
        <f t="shared" si="21"/>
        <v/>
      </c>
      <c r="C7110" s="59" t="str">
        <f t="shared" si="22"/>
        <v/>
      </c>
      <c r="D7110" s="45" t="str">
        <f t="shared" si="23"/>
        <v/>
      </c>
      <c r="E7110" s="45" t="str">
        <f t="shared" si="24"/>
        <v/>
      </c>
      <c r="F7110" s="59" t="str">
        <f t="shared" si="25"/>
        <v/>
      </c>
      <c r="G7110" s="59" t="str">
        <f t="shared" si="26"/>
        <v/>
      </c>
      <c r="H7110" s="59" t="str">
        <f t="shared" si="27"/>
        <v>28H00680</v>
      </c>
      <c r="I7110" s="59" t="str">
        <f>IF(OR($A7110="",$C7110="",$D7110="",$E7110="",$H7110=""),"",SUMIFS(DATA_GOC!$H:$H,DATA_GOC!$A:$A,"BOM",DATA_GOC!$D:$D,$H7110,DATA_GOC!$E:$E,$C7110,DATA_GOC!$F:$F,"Xuất nội bộ từ téc",DATA_GOC!$B:$B,"&gt;="&amp;$D7110,DATA_GOC!$B:$B,"&lt;="&amp;$E7110))</f>
        <v/>
      </c>
      <c r="J7110" s="59">
        <f t="shared" si="28"/>
        <v>0</v>
      </c>
      <c r="K7110" s="59">
        <f t="shared" si="29"/>
        <v>0</v>
      </c>
      <c r="L7110" s="59">
        <f t="shared" si="30"/>
        <v>0</v>
      </c>
      <c r="M7110" s="59">
        <f t="shared" si="31"/>
        <v>0</v>
      </c>
    </row>
    <row r="7111" ht="15.0" hidden="1" customHeight="1">
      <c r="A7111" s="59">
        <f t="shared" si="20"/>
        <v>115</v>
      </c>
      <c r="B7111" s="59" t="str">
        <f t="shared" si="21"/>
        <v/>
      </c>
      <c r="C7111" s="59" t="str">
        <f t="shared" si="22"/>
        <v/>
      </c>
      <c r="D7111" s="45" t="str">
        <f t="shared" si="23"/>
        <v/>
      </c>
      <c r="E7111" s="45" t="str">
        <f t="shared" si="24"/>
        <v/>
      </c>
      <c r="F7111" s="59" t="str">
        <f t="shared" si="25"/>
        <v/>
      </c>
      <c r="G7111" s="59" t="str">
        <f t="shared" si="26"/>
        <v/>
      </c>
      <c r="H7111" s="59" t="str">
        <f t="shared" si="27"/>
        <v>28H01070</v>
      </c>
      <c r="I7111" s="59" t="str">
        <f>IF(OR($A7111="",$C7111="",$D7111="",$E7111="",$H7111=""),"",SUMIFS(DATA_GOC!$H:$H,DATA_GOC!$A:$A,"BOM",DATA_GOC!$D:$D,$H7111,DATA_GOC!$E:$E,$C7111,DATA_GOC!$F:$F,"Xuất nội bộ từ téc",DATA_GOC!$B:$B,"&gt;="&amp;$D7111,DATA_GOC!$B:$B,"&lt;="&amp;$E7111))</f>
        <v/>
      </c>
      <c r="J7111" s="59">
        <f t="shared" si="28"/>
        <v>0</v>
      </c>
      <c r="K7111" s="59">
        <f t="shared" si="29"/>
        <v>0</v>
      </c>
      <c r="L7111" s="59">
        <f t="shared" si="30"/>
        <v>0</v>
      </c>
      <c r="M7111" s="59">
        <f t="shared" si="31"/>
        <v>0</v>
      </c>
    </row>
    <row r="7112" ht="15.0" hidden="1" customHeight="1">
      <c r="A7112" s="59">
        <f t="shared" si="20"/>
        <v>115</v>
      </c>
      <c r="B7112" s="59" t="str">
        <f t="shared" si="21"/>
        <v/>
      </c>
      <c r="C7112" s="59" t="str">
        <f t="shared" si="22"/>
        <v/>
      </c>
      <c r="D7112" s="45" t="str">
        <f t="shared" si="23"/>
        <v/>
      </c>
      <c r="E7112" s="45" t="str">
        <f t="shared" si="24"/>
        <v/>
      </c>
      <c r="F7112" s="59" t="str">
        <f t="shared" si="25"/>
        <v/>
      </c>
      <c r="G7112" s="59" t="str">
        <f t="shared" si="26"/>
        <v/>
      </c>
      <c r="H7112" s="59" t="str">
        <f t="shared" si="27"/>
        <v>28H01364</v>
      </c>
      <c r="I7112" s="59" t="str">
        <f>IF(OR($A7112="",$C7112="",$D7112="",$E7112="",$H7112=""),"",SUMIFS(DATA_GOC!$H:$H,DATA_GOC!$A:$A,"BOM",DATA_GOC!$D:$D,$H7112,DATA_GOC!$E:$E,$C7112,DATA_GOC!$F:$F,"Xuất nội bộ từ téc",DATA_GOC!$B:$B,"&gt;="&amp;$D7112,DATA_GOC!$B:$B,"&lt;="&amp;$E7112))</f>
        <v/>
      </c>
      <c r="J7112" s="59">
        <f t="shared" si="28"/>
        <v>0</v>
      </c>
      <c r="K7112" s="59">
        <f t="shared" si="29"/>
        <v>0</v>
      </c>
      <c r="L7112" s="59">
        <f t="shared" si="30"/>
        <v>0</v>
      </c>
      <c r="M7112" s="59">
        <f t="shared" si="31"/>
        <v>0</v>
      </c>
    </row>
    <row r="7113" ht="15.0" hidden="1" customHeight="1">
      <c r="A7113" s="59">
        <f t="shared" si="20"/>
        <v>115</v>
      </c>
      <c r="B7113" s="59" t="str">
        <f t="shared" si="21"/>
        <v/>
      </c>
      <c r="C7113" s="59" t="str">
        <f t="shared" si="22"/>
        <v/>
      </c>
      <c r="D7113" s="45" t="str">
        <f t="shared" si="23"/>
        <v/>
      </c>
      <c r="E7113" s="45" t="str">
        <f t="shared" si="24"/>
        <v/>
      </c>
      <c r="F7113" s="59" t="str">
        <f t="shared" si="25"/>
        <v/>
      </c>
      <c r="G7113" s="59" t="str">
        <f t="shared" si="26"/>
        <v/>
      </c>
      <c r="H7113" s="59" t="str">
        <f t="shared" si="27"/>
        <v>29E17269</v>
      </c>
      <c r="I7113" s="59" t="str">
        <f>IF(OR($A7113="",$C7113="",$D7113="",$E7113="",$H7113=""),"",SUMIFS(DATA_GOC!$H:$H,DATA_GOC!$A:$A,"BOM",DATA_GOC!$D:$D,$H7113,DATA_GOC!$E:$E,$C7113,DATA_GOC!$F:$F,"Xuất nội bộ từ téc",DATA_GOC!$B:$B,"&gt;="&amp;$D7113,DATA_GOC!$B:$B,"&lt;="&amp;$E7113))</f>
        <v/>
      </c>
      <c r="J7113" s="59">
        <f t="shared" si="28"/>
        <v>0</v>
      </c>
      <c r="K7113" s="59">
        <f t="shared" si="29"/>
        <v>0</v>
      </c>
      <c r="L7113" s="59">
        <f t="shared" si="30"/>
        <v>0</v>
      </c>
      <c r="M7113" s="59">
        <f t="shared" si="31"/>
        <v>0</v>
      </c>
    </row>
    <row r="7114" ht="15.0" hidden="1" customHeight="1">
      <c r="A7114" s="59">
        <f t="shared" si="20"/>
        <v>115</v>
      </c>
      <c r="B7114" s="59" t="str">
        <f t="shared" si="21"/>
        <v/>
      </c>
      <c r="C7114" s="59" t="str">
        <f t="shared" si="22"/>
        <v/>
      </c>
      <c r="D7114" s="45" t="str">
        <f t="shared" si="23"/>
        <v/>
      </c>
      <c r="E7114" s="45" t="str">
        <f t="shared" si="24"/>
        <v/>
      </c>
      <c r="F7114" s="59" t="str">
        <f t="shared" si="25"/>
        <v/>
      </c>
      <c r="G7114" s="59" t="str">
        <f t="shared" si="26"/>
        <v/>
      </c>
      <c r="H7114" s="59" t="str">
        <f t="shared" si="27"/>
        <v>29E17273</v>
      </c>
      <c r="I7114" s="59" t="str">
        <f>IF(OR($A7114="",$C7114="",$D7114="",$E7114="",$H7114=""),"",SUMIFS(DATA_GOC!$H:$H,DATA_GOC!$A:$A,"BOM",DATA_GOC!$D:$D,$H7114,DATA_GOC!$E:$E,$C7114,DATA_GOC!$F:$F,"Xuất nội bộ từ téc",DATA_GOC!$B:$B,"&gt;="&amp;$D7114,DATA_GOC!$B:$B,"&lt;="&amp;$E7114))</f>
        <v/>
      </c>
      <c r="J7114" s="59">
        <f t="shared" si="28"/>
        <v>0</v>
      </c>
      <c r="K7114" s="59">
        <f t="shared" si="29"/>
        <v>0</v>
      </c>
      <c r="L7114" s="59">
        <f t="shared" si="30"/>
        <v>0</v>
      </c>
      <c r="M7114" s="59">
        <f t="shared" si="31"/>
        <v>0</v>
      </c>
    </row>
    <row r="7115" ht="15.0" hidden="1" customHeight="1">
      <c r="A7115" s="59">
        <f t="shared" si="20"/>
        <v>115</v>
      </c>
      <c r="B7115" s="59" t="str">
        <f t="shared" si="21"/>
        <v/>
      </c>
      <c r="C7115" s="59" t="str">
        <f t="shared" si="22"/>
        <v/>
      </c>
      <c r="D7115" s="45" t="str">
        <f t="shared" si="23"/>
        <v/>
      </c>
      <c r="E7115" s="45" t="str">
        <f t="shared" si="24"/>
        <v/>
      </c>
      <c r="F7115" s="59" t="str">
        <f t="shared" si="25"/>
        <v/>
      </c>
      <c r="G7115" s="59" t="str">
        <f t="shared" si="26"/>
        <v/>
      </c>
      <c r="H7115" s="59" t="str">
        <f t="shared" si="27"/>
        <v>29E17410</v>
      </c>
      <c r="I7115" s="59" t="str">
        <f>IF(OR($A7115="",$C7115="",$D7115="",$E7115="",$H7115=""),"",SUMIFS(DATA_GOC!$H:$H,DATA_GOC!$A:$A,"BOM",DATA_GOC!$D:$D,$H7115,DATA_GOC!$E:$E,$C7115,DATA_GOC!$F:$F,"Xuất nội bộ từ téc",DATA_GOC!$B:$B,"&gt;="&amp;$D7115,DATA_GOC!$B:$B,"&lt;="&amp;$E7115))</f>
        <v/>
      </c>
      <c r="J7115" s="59">
        <f t="shared" si="28"/>
        <v>0</v>
      </c>
      <c r="K7115" s="59">
        <f t="shared" si="29"/>
        <v>0</v>
      </c>
      <c r="L7115" s="59">
        <f t="shared" si="30"/>
        <v>0</v>
      </c>
      <c r="M7115" s="59">
        <f t="shared" si="31"/>
        <v>0</v>
      </c>
    </row>
    <row r="7116" ht="15.0" hidden="1" customHeight="1">
      <c r="A7116" s="59">
        <f t="shared" si="20"/>
        <v>115</v>
      </c>
      <c r="B7116" s="59" t="str">
        <f t="shared" si="21"/>
        <v/>
      </c>
      <c r="C7116" s="59" t="str">
        <f t="shared" si="22"/>
        <v/>
      </c>
      <c r="D7116" s="45" t="str">
        <f t="shared" si="23"/>
        <v/>
      </c>
      <c r="E7116" s="45" t="str">
        <f t="shared" si="24"/>
        <v/>
      </c>
      <c r="F7116" s="59" t="str">
        <f t="shared" si="25"/>
        <v/>
      </c>
      <c r="G7116" s="59" t="str">
        <f t="shared" si="26"/>
        <v/>
      </c>
      <c r="H7116" s="59" t="str">
        <f t="shared" si="27"/>
        <v>29E17417</v>
      </c>
      <c r="I7116" s="59" t="str">
        <f>IF(OR($A7116="",$C7116="",$D7116="",$E7116="",$H7116=""),"",SUMIFS(DATA_GOC!$H:$H,DATA_GOC!$A:$A,"BOM",DATA_GOC!$D:$D,$H7116,DATA_GOC!$E:$E,$C7116,DATA_GOC!$F:$F,"Xuất nội bộ từ téc",DATA_GOC!$B:$B,"&gt;="&amp;$D7116,DATA_GOC!$B:$B,"&lt;="&amp;$E7116))</f>
        <v/>
      </c>
      <c r="J7116" s="59">
        <f t="shared" si="28"/>
        <v>0</v>
      </c>
      <c r="K7116" s="59">
        <f t="shared" si="29"/>
        <v>0</v>
      </c>
      <c r="L7116" s="59">
        <f t="shared" si="30"/>
        <v>0</v>
      </c>
      <c r="M7116" s="59">
        <f t="shared" si="31"/>
        <v>0</v>
      </c>
    </row>
    <row r="7117" ht="15.0" hidden="1" customHeight="1">
      <c r="A7117" s="59">
        <f t="shared" si="20"/>
        <v>115</v>
      </c>
      <c r="B7117" s="59" t="str">
        <f t="shared" si="21"/>
        <v/>
      </c>
      <c r="C7117" s="59" t="str">
        <f t="shared" si="22"/>
        <v/>
      </c>
      <c r="D7117" s="45" t="str">
        <f t="shared" si="23"/>
        <v/>
      </c>
      <c r="E7117" s="45" t="str">
        <f t="shared" si="24"/>
        <v/>
      </c>
      <c r="F7117" s="59" t="str">
        <f t="shared" si="25"/>
        <v/>
      </c>
      <c r="G7117" s="59" t="str">
        <f t="shared" si="26"/>
        <v/>
      </c>
      <c r="H7117" s="59" t="str">
        <f t="shared" si="27"/>
        <v>29E17539</v>
      </c>
      <c r="I7117" s="59" t="str">
        <f>IF(OR($A7117="",$C7117="",$D7117="",$E7117="",$H7117=""),"",SUMIFS(DATA_GOC!$H:$H,DATA_GOC!$A:$A,"BOM",DATA_GOC!$D:$D,$H7117,DATA_GOC!$E:$E,$C7117,DATA_GOC!$F:$F,"Xuất nội bộ từ téc",DATA_GOC!$B:$B,"&gt;="&amp;$D7117,DATA_GOC!$B:$B,"&lt;="&amp;$E7117))</f>
        <v/>
      </c>
      <c r="J7117" s="59">
        <f t="shared" si="28"/>
        <v>0</v>
      </c>
      <c r="K7117" s="59">
        <f t="shared" si="29"/>
        <v>0</v>
      </c>
      <c r="L7117" s="59">
        <f t="shared" si="30"/>
        <v>0</v>
      </c>
      <c r="M7117" s="59">
        <f t="shared" si="31"/>
        <v>0</v>
      </c>
    </row>
    <row r="7118" ht="15.0" hidden="1" customHeight="1">
      <c r="A7118" s="59">
        <f t="shared" si="20"/>
        <v>115</v>
      </c>
      <c r="B7118" s="59" t="str">
        <f t="shared" si="21"/>
        <v/>
      </c>
      <c r="C7118" s="59" t="str">
        <f t="shared" si="22"/>
        <v/>
      </c>
      <c r="D7118" s="45" t="str">
        <f t="shared" si="23"/>
        <v/>
      </c>
      <c r="E7118" s="45" t="str">
        <f t="shared" si="24"/>
        <v/>
      </c>
      <c r="F7118" s="59" t="str">
        <f t="shared" si="25"/>
        <v/>
      </c>
      <c r="G7118" s="59" t="str">
        <f t="shared" si="26"/>
        <v/>
      </c>
      <c r="H7118" s="59" t="str">
        <f t="shared" si="27"/>
        <v>29E18160</v>
      </c>
      <c r="I7118" s="59" t="str">
        <f>IF(OR($A7118="",$C7118="",$D7118="",$E7118="",$H7118=""),"",SUMIFS(DATA_GOC!$H:$H,DATA_GOC!$A:$A,"BOM",DATA_GOC!$D:$D,$H7118,DATA_GOC!$E:$E,$C7118,DATA_GOC!$F:$F,"Xuất nội bộ từ téc",DATA_GOC!$B:$B,"&gt;="&amp;$D7118,DATA_GOC!$B:$B,"&lt;="&amp;$E7118))</f>
        <v/>
      </c>
      <c r="J7118" s="59">
        <f t="shared" si="28"/>
        <v>0</v>
      </c>
      <c r="K7118" s="59">
        <f t="shared" si="29"/>
        <v>0</v>
      </c>
      <c r="L7118" s="59">
        <f t="shared" si="30"/>
        <v>0</v>
      </c>
      <c r="M7118" s="59">
        <f t="shared" si="31"/>
        <v>0</v>
      </c>
    </row>
    <row r="7119" ht="15.0" hidden="1" customHeight="1">
      <c r="A7119" s="59">
        <f t="shared" si="20"/>
        <v>115</v>
      </c>
      <c r="B7119" s="59" t="str">
        <f t="shared" si="21"/>
        <v/>
      </c>
      <c r="C7119" s="59" t="str">
        <f t="shared" si="22"/>
        <v/>
      </c>
      <c r="D7119" s="45" t="str">
        <f t="shared" si="23"/>
        <v/>
      </c>
      <c r="E7119" s="45" t="str">
        <f t="shared" si="24"/>
        <v/>
      </c>
      <c r="F7119" s="59" t="str">
        <f t="shared" si="25"/>
        <v/>
      </c>
      <c r="G7119" s="59" t="str">
        <f t="shared" si="26"/>
        <v/>
      </c>
      <c r="H7119" s="59" t="str">
        <f t="shared" si="27"/>
        <v>Công trình Asphalt</v>
      </c>
      <c r="I7119" s="59" t="str">
        <f>IF(OR($A7119="",$C7119="",$D7119="",$E7119="",$H7119=""),"",SUMIFS(DATA_GOC!$H:$H,DATA_GOC!$A:$A,"BOM",DATA_GOC!$D:$D,$H7119,DATA_GOC!$E:$E,$C7119,DATA_GOC!$F:$F,"Xuất nội bộ từ téc",DATA_GOC!$B:$B,"&gt;="&amp;$D7119,DATA_GOC!$B:$B,"&lt;="&amp;$E7119))</f>
        <v/>
      </c>
      <c r="J7119" s="59">
        <f t="shared" si="28"/>
        <v>0</v>
      </c>
      <c r="K7119" s="59">
        <f t="shared" si="29"/>
        <v>0</v>
      </c>
      <c r="L7119" s="59">
        <f t="shared" si="30"/>
        <v>0</v>
      </c>
      <c r="M7119" s="59">
        <f t="shared" si="31"/>
        <v>0</v>
      </c>
    </row>
    <row r="7120" ht="15.0" hidden="1" customHeight="1">
      <c r="A7120" s="59">
        <f t="shared" si="20"/>
        <v>115</v>
      </c>
      <c r="B7120" s="59" t="str">
        <f t="shared" si="21"/>
        <v/>
      </c>
      <c r="C7120" s="59" t="str">
        <f t="shared" si="22"/>
        <v/>
      </c>
      <c r="D7120" s="45" t="str">
        <f t="shared" si="23"/>
        <v/>
      </c>
      <c r="E7120" s="45" t="str">
        <f t="shared" si="24"/>
        <v/>
      </c>
      <c r="F7120" s="59" t="str">
        <f t="shared" si="25"/>
        <v/>
      </c>
      <c r="G7120" s="59" t="str">
        <f t="shared" si="26"/>
        <v/>
      </c>
      <c r="H7120" s="59" t="str">
        <f t="shared" si="27"/>
        <v>LG53F</v>
      </c>
      <c r="I7120" s="59" t="str">
        <f>IF(OR($A7120="",$C7120="",$D7120="",$E7120="",$H7120=""),"",SUMIFS(DATA_GOC!$H:$H,DATA_GOC!$A:$A,"BOM",DATA_GOC!$D:$D,$H7120,DATA_GOC!$E:$E,$C7120,DATA_GOC!$F:$F,"Xuất nội bộ từ téc",DATA_GOC!$B:$B,"&gt;="&amp;$D7120,DATA_GOC!$B:$B,"&lt;="&amp;$E7120))</f>
        <v/>
      </c>
      <c r="J7120" s="59">
        <f t="shared" si="28"/>
        <v>0</v>
      </c>
      <c r="K7120" s="59">
        <f t="shared" si="29"/>
        <v>0</v>
      </c>
      <c r="L7120" s="59">
        <f t="shared" si="30"/>
        <v>0</v>
      </c>
      <c r="M7120" s="59">
        <f t="shared" si="31"/>
        <v>0</v>
      </c>
    </row>
    <row r="7121" ht="15.0" hidden="1" customHeight="1">
      <c r="A7121" s="59">
        <f t="shared" si="20"/>
        <v>115</v>
      </c>
      <c r="B7121" s="59" t="str">
        <f t="shared" si="21"/>
        <v/>
      </c>
      <c r="C7121" s="59" t="str">
        <f t="shared" si="22"/>
        <v/>
      </c>
      <c r="D7121" s="45" t="str">
        <f t="shared" si="23"/>
        <v/>
      </c>
      <c r="E7121" s="45" t="str">
        <f t="shared" si="24"/>
        <v/>
      </c>
      <c r="F7121" s="59" t="str">
        <f t="shared" si="25"/>
        <v/>
      </c>
      <c r="G7121" s="59" t="str">
        <f t="shared" si="26"/>
        <v/>
      </c>
      <c r="H7121" s="59" t="str">
        <f t="shared" si="27"/>
        <v>Máy phát điện</v>
      </c>
      <c r="I7121" s="59" t="str">
        <f>IF(OR($A7121="",$C7121="",$D7121="",$E7121="",$H7121=""),"",SUMIFS(DATA_GOC!$H:$H,DATA_GOC!$A:$A,"BOM",DATA_GOC!$D:$D,$H7121,DATA_GOC!$E:$E,$C7121,DATA_GOC!$F:$F,"Xuất nội bộ từ téc",DATA_GOC!$B:$B,"&gt;="&amp;$D7121,DATA_GOC!$B:$B,"&lt;="&amp;$E7121))</f>
        <v/>
      </c>
      <c r="J7121" s="59">
        <f t="shared" si="28"/>
        <v>0</v>
      </c>
      <c r="K7121" s="59">
        <f t="shared" si="29"/>
        <v>0</v>
      </c>
      <c r="L7121" s="59">
        <f t="shared" si="30"/>
        <v>0</v>
      </c>
      <c r="M7121" s="59">
        <f t="shared" si="31"/>
        <v>0</v>
      </c>
    </row>
    <row r="7122" ht="15.0" hidden="1" customHeight="1">
      <c r="A7122" s="59">
        <f t="shared" si="20"/>
        <v>115</v>
      </c>
      <c r="B7122" s="59" t="str">
        <f t="shared" si="21"/>
        <v/>
      </c>
      <c r="C7122" s="59" t="str">
        <f t="shared" si="22"/>
        <v/>
      </c>
      <c r="D7122" s="45" t="str">
        <f t="shared" si="23"/>
        <v/>
      </c>
      <c r="E7122" s="45" t="str">
        <f t="shared" si="24"/>
        <v/>
      </c>
      <c r="F7122" s="59" t="str">
        <f t="shared" si="25"/>
        <v/>
      </c>
      <c r="G7122" s="59" t="str">
        <f t="shared" si="26"/>
        <v/>
      </c>
      <c r="H7122" s="59" t="str">
        <f t="shared" si="27"/>
        <v>Máy rải thảm</v>
      </c>
      <c r="I7122" s="59" t="str">
        <f>IF(OR($A7122="",$C7122="",$D7122="",$E7122="",$H7122=""),"",SUMIFS(DATA_GOC!$H:$H,DATA_GOC!$A:$A,"BOM",DATA_GOC!$D:$D,$H7122,DATA_GOC!$E:$E,$C7122,DATA_GOC!$F:$F,"Xuất nội bộ từ téc",DATA_GOC!$B:$B,"&gt;="&amp;$D7122,DATA_GOC!$B:$B,"&lt;="&amp;$E7122))</f>
        <v/>
      </c>
      <c r="J7122" s="59">
        <f t="shared" si="28"/>
        <v>0</v>
      </c>
      <c r="K7122" s="59">
        <f t="shared" si="29"/>
        <v>0</v>
      </c>
      <c r="L7122" s="59">
        <f t="shared" si="30"/>
        <v>0</v>
      </c>
      <c r="M7122" s="59">
        <f t="shared" si="31"/>
        <v>0</v>
      </c>
    </row>
    <row r="7123" ht="15.0" hidden="1" customHeight="1">
      <c r="A7123" s="59">
        <f t="shared" si="20"/>
        <v>115</v>
      </c>
      <c r="B7123" s="59" t="str">
        <f t="shared" si="21"/>
        <v/>
      </c>
      <c r="C7123" s="59" t="str">
        <f t="shared" si="22"/>
        <v/>
      </c>
      <c r="D7123" s="45" t="str">
        <f t="shared" si="23"/>
        <v/>
      </c>
      <c r="E7123" s="45" t="str">
        <f t="shared" si="24"/>
        <v/>
      </c>
      <c r="F7123" s="59" t="str">
        <f t="shared" si="25"/>
        <v/>
      </c>
      <c r="G7123" s="59" t="str">
        <f t="shared" si="26"/>
        <v/>
      </c>
      <c r="H7123" s="59" t="str">
        <f t="shared" si="27"/>
        <v>Xúc Đào</v>
      </c>
      <c r="I7123" s="59" t="str">
        <f>IF(OR($A7123="",$C7123="",$D7123="",$E7123="",$H7123=""),"",SUMIFS(DATA_GOC!$H:$H,DATA_GOC!$A:$A,"BOM",DATA_GOC!$D:$D,$H7123,DATA_GOC!$E:$E,$C7123,DATA_GOC!$F:$F,"Xuất nội bộ từ téc",DATA_GOC!$B:$B,"&gt;="&amp;$D7123,DATA_GOC!$B:$B,"&lt;="&amp;$E7123))</f>
        <v/>
      </c>
      <c r="J7123" s="59">
        <f t="shared" si="28"/>
        <v>0</v>
      </c>
      <c r="K7123" s="59">
        <f t="shared" si="29"/>
        <v>0</v>
      </c>
      <c r="L7123" s="59">
        <f t="shared" si="30"/>
        <v>0</v>
      </c>
      <c r="M7123" s="59">
        <f t="shared" si="31"/>
        <v>0</v>
      </c>
    </row>
    <row r="7124" ht="15.0" hidden="1" customHeight="1">
      <c r="A7124" s="59">
        <f t="shared" si="20"/>
        <v>115</v>
      </c>
      <c r="B7124" s="59" t="str">
        <f t="shared" si="21"/>
        <v/>
      </c>
      <c r="C7124" s="59" t="str">
        <f t="shared" si="22"/>
        <v/>
      </c>
      <c r="D7124" s="45" t="str">
        <f t="shared" si="23"/>
        <v/>
      </c>
      <c r="E7124" s="45" t="str">
        <f t="shared" si="24"/>
        <v/>
      </c>
      <c r="F7124" s="59" t="str">
        <f t="shared" si="25"/>
        <v/>
      </c>
      <c r="G7124" s="59" t="str">
        <f t="shared" si="26"/>
        <v/>
      </c>
      <c r="H7124" s="59" t="str">
        <f t="shared" si="27"/>
        <v>Xúclật asphalt</v>
      </c>
      <c r="I7124" s="59" t="str">
        <f>IF(OR($A7124="",$C7124="",$D7124="",$E7124="",$H7124=""),"",SUMIFS(DATA_GOC!$H:$H,DATA_GOC!$A:$A,"BOM",DATA_GOC!$D:$D,$H7124,DATA_GOC!$E:$E,$C7124,DATA_GOC!$F:$F,"Xuất nội bộ từ téc",DATA_GOC!$B:$B,"&gt;="&amp;$D7124,DATA_GOC!$B:$B,"&lt;="&amp;$E7124))</f>
        <v/>
      </c>
      <c r="J7124" s="59">
        <f t="shared" si="28"/>
        <v>0</v>
      </c>
      <c r="K7124" s="59">
        <f t="shared" si="29"/>
        <v>0</v>
      </c>
      <c r="L7124" s="59">
        <f t="shared" si="30"/>
        <v>0</v>
      </c>
      <c r="M7124" s="59">
        <f t="shared" si="31"/>
        <v>0</v>
      </c>
    </row>
    <row r="7125" ht="15.0" hidden="1" customHeight="1">
      <c r="A7125" s="59">
        <f t="shared" si="20"/>
        <v>115</v>
      </c>
      <c r="B7125" s="59" t="str">
        <f t="shared" si="21"/>
        <v/>
      </c>
      <c r="C7125" s="59" t="str">
        <f t="shared" si="22"/>
        <v/>
      </c>
      <c r="D7125" s="45" t="str">
        <f t="shared" si="23"/>
        <v/>
      </c>
      <c r="E7125" s="45" t="str">
        <f t="shared" si="24"/>
        <v/>
      </c>
      <c r="F7125" s="59" t="str">
        <f t="shared" si="25"/>
        <v/>
      </c>
      <c r="G7125" s="59" t="str">
        <f t="shared" si="26"/>
        <v/>
      </c>
      <c r="H7125" s="59" t="str">
        <f t="shared" si="27"/>
        <v>Xúclật855H</v>
      </c>
      <c r="I7125" s="59" t="str">
        <f>IF(OR($A7125="",$C7125="",$D7125="",$E7125="",$H7125=""),"",SUMIFS(DATA_GOC!$H:$H,DATA_GOC!$A:$A,"BOM",DATA_GOC!$D:$D,$H7125,DATA_GOC!$E:$E,$C7125,DATA_GOC!$F:$F,"Xuất nội bộ từ téc",DATA_GOC!$B:$B,"&gt;="&amp;$D7125,DATA_GOC!$B:$B,"&lt;="&amp;$E7125))</f>
        <v/>
      </c>
      <c r="J7125" s="59">
        <f t="shared" si="28"/>
        <v>0</v>
      </c>
      <c r="K7125" s="59">
        <f t="shared" si="29"/>
        <v>0</v>
      </c>
      <c r="L7125" s="59">
        <f t="shared" si="30"/>
        <v>0</v>
      </c>
      <c r="M7125" s="59">
        <f t="shared" si="31"/>
        <v>0</v>
      </c>
    </row>
    <row r="7126" ht="15.0" hidden="1" customHeight="1">
      <c r="A7126" s="59">
        <f t="shared" si="20"/>
        <v>115</v>
      </c>
      <c r="B7126" s="59" t="str">
        <f t="shared" si="21"/>
        <v/>
      </c>
      <c r="C7126" s="59" t="str">
        <f t="shared" si="22"/>
        <v/>
      </c>
      <c r="D7126" s="45" t="str">
        <f t="shared" si="23"/>
        <v/>
      </c>
      <c r="E7126" s="45" t="str">
        <f t="shared" si="24"/>
        <v/>
      </c>
      <c r="F7126" s="59" t="str">
        <f t="shared" si="25"/>
        <v/>
      </c>
      <c r="G7126" s="59" t="str">
        <f t="shared" si="26"/>
        <v/>
      </c>
      <c r="H7126" s="59" t="str">
        <f t="shared" si="27"/>
        <v>Xúclật855N</v>
      </c>
      <c r="I7126" s="59" t="str">
        <f>IF(OR($A7126="",$C7126="",$D7126="",$E7126="",$H7126=""),"",SUMIFS(DATA_GOC!$H:$H,DATA_GOC!$A:$A,"BOM",DATA_GOC!$D:$D,$H7126,DATA_GOC!$E:$E,$C7126,DATA_GOC!$F:$F,"Xuất nội bộ từ téc",DATA_GOC!$B:$B,"&gt;="&amp;$D7126,DATA_GOC!$B:$B,"&lt;="&amp;$E7126))</f>
        <v/>
      </c>
      <c r="J7126" s="59">
        <f t="shared" si="28"/>
        <v>0</v>
      </c>
      <c r="K7126" s="59">
        <f t="shared" si="29"/>
        <v>0</v>
      </c>
      <c r="L7126" s="59">
        <f t="shared" si="30"/>
        <v>0</v>
      </c>
      <c r="M7126" s="59">
        <f t="shared" si="31"/>
        <v>0</v>
      </c>
    </row>
    <row r="7127" ht="15.0" hidden="1" customHeight="1">
      <c r="A7127" s="59">
        <f t="shared" si="20"/>
        <v>115</v>
      </c>
      <c r="B7127" s="59" t="str">
        <f t="shared" si="21"/>
        <v/>
      </c>
      <c r="C7127" s="59" t="str">
        <f t="shared" si="22"/>
        <v/>
      </c>
      <c r="D7127" s="45" t="str">
        <f t="shared" si="23"/>
        <v/>
      </c>
      <c r="E7127" s="45" t="str">
        <f t="shared" si="24"/>
        <v/>
      </c>
      <c r="F7127" s="59" t="str">
        <f t="shared" si="25"/>
        <v/>
      </c>
      <c r="G7127" s="59" t="str">
        <f t="shared" si="26"/>
        <v/>
      </c>
      <c r="H7127" s="59" t="str">
        <f t="shared" si="27"/>
        <v>Cát nghiền</v>
      </c>
      <c r="I7127" s="59" t="str">
        <f>IF(OR($A7127="",$C7127="",$D7127="",$E7127="",$H7127=""),"",SUMIFS(DATA_GOC!$H:$H,DATA_GOC!$A:$A,"BOM",DATA_GOC!$D:$D,$H7127,DATA_GOC!$E:$E,$C7127,DATA_GOC!$F:$F,"Xuất nội bộ từ téc",DATA_GOC!$B:$B,"&gt;="&amp;$D7127,DATA_GOC!$B:$B,"&lt;="&amp;$E7127))</f>
        <v/>
      </c>
      <c r="J7127" s="59">
        <f t="shared" si="28"/>
        <v>0</v>
      </c>
      <c r="K7127" s="59">
        <f t="shared" si="29"/>
        <v>0</v>
      </c>
      <c r="L7127" s="59">
        <f t="shared" si="30"/>
        <v>0</v>
      </c>
      <c r="M7127" s="59">
        <f t="shared" si="31"/>
        <v>0</v>
      </c>
    </row>
    <row r="7128" ht="15.0" hidden="1" customHeight="1">
      <c r="A7128" s="59">
        <f t="shared" si="20"/>
        <v>115</v>
      </c>
      <c r="B7128" s="59" t="str">
        <f t="shared" si="21"/>
        <v/>
      </c>
      <c r="C7128" s="59" t="str">
        <f t="shared" si="22"/>
        <v/>
      </c>
      <c r="D7128" s="45" t="str">
        <f t="shared" si="23"/>
        <v/>
      </c>
      <c r="E7128" s="45" t="str">
        <f t="shared" si="24"/>
        <v/>
      </c>
      <c r="F7128" s="59" t="str">
        <f t="shared" si="25"/>
        <v/>
      </c>
      <c r="G7128" s="59" t="str">
        <f t="shared" si="26"/>
        <v/>
      </c>
      <c r="H7128" s="59" t="str">
        <f t="shared" si="27"/>
        <v>28C02973</v>
      </c>
      <c r="I7128" s="59" t="str">
        <f>IF(OR($A7128="",$C7128="",$D7128="",$E7128="",$H7128=""),"",SUMIFS(DATA_GOC!$H:$H,DATA_GOC!$A:$A,"BOM",DATA_GOC!$D:$D,$H7128,DATA_GOC!$E:$E,$C7128,DATA_GOC!$F:$F,"Xuất nội bộ từ téc",DATA_GOC!$B:$B,"&gt;="&amp;$D7128,DATA_GOC!$B:$B,"&lt;="&amp;$E7128))</f>
        <v/>
      </c>
      <c r="J7128" s="59">
        <f t="shared" si="28"/>
        <v>0</v>
      </c>
      <c r="K7128" s="59">
        <f t="shared" si="29"/>
        <v>0</v>
      </c>
      <c r="L7128" s="59">
        <f t="shared" si="30"/>
        <v>0</v>
      </c>
      <c r="M7128" s="59">
        <f t="shared" si="31"/>
        <v>0</v>
      </c>
    </row>
    <row r="7129" ht="15.0" hidden="1" customHeight="1">
      <c r="A7129" s="59">
        <f t="shared" si="20"/>
        <v>115</v>
      </c>
      <c r="B7129" s="59" t="str">
        <f t="shared" si="21"/>
        <v/>
      </c>
      <c r="C7129" s="59" t="str">
        <f t="shared" si="22"/>
        <v/>
      </c>
      <c r="D7129" s="45" t="str">
        <f t="shared" si="23"/>
        <v/>
      </c>
      <c r="E7129" s="45" t="str">
        <f t="shared" si="24"/>
        <v/>
      </c>
      <c r="F7129" s="59" t="str">
        <f t="shared" si="25"/>
        <v/>
      </c>
      <c r="G7129" s="59" t="str">
        <f t="shared" si="26"/>
        <v/>
      </c>
      <c r="H7129" s="59" t="str">
        <f t="shared" si="27"/>
        <v>28C03044</v>
      </c>
      <c r="I7129" s="59" t="str">
        <f>IF(OR($A7129="",$C7129="",$D7129="",$E7129="",$H7129=""),"",SUMIFS(DATA_GOC!$H:$H,DATA_GOC!$A:$A,"BOM",DATA_GOC!$D:$D,$H7129,DATA_GOC!$E:$E,$C7129,DATA_GOC!$F:$F,"Xuất nội bộ từ téc",DATA_GOC!$B:$B,"&gt;="&amp;$D7129,DATA_GOC!$B:$B,"&lt;="&amp;$E7129))</f>
        <v/>
      </c>
      <c r="J7129" s="59">
        <f t="shared" si="28"/>
        <v>0</v>
      </c>
      <c r="K7129" s="59">
        <f t="shared" si="29"/>
        <v>0</v>
      </c>
      <c r="L7129" s="59">
        <f t="shared" si="30"/>
        <v>0</v>
      </c>
      <c r="M7129" s="59">
        <f t="shared" si="31"/>
        <v>0</v>
      </c>
    </row>
    <row r="7130" ht="15.0" hidden="1" customHeight="1">
      <c r="A7130" s="59">
        <f t="shared" si="20"/>
        <v>115</v>
      </c>
      <c r="B7130" s="59" t="str">
        <f t="shared" si="21"/>
        <v/>
      </c>
      <c r="C7130" s="59" t="str">
        <f t="shared" si="22"/>
        <v/>
      </c>
      <c r="D7130" s="45" t="str">
        <f t="shared" si="23"/>
        <v/>
      </c>
      <c r="E7130" s="45" t="str">
        <f t="shared" si="24"/>
        <v/>
      </c>
      <c r="F7130" s="59" t="str">
        <f t="shared" si="25"/>
        <v/>
      </c>
      <c r="G7130" s="59" t="str">
        <f t="shared" si="26"/>
        <v/>
      </c>
      <c r="H7130" s="59" t="str">
        <f t="shared" si="27"/>
        <v>Máy lu lốp</v>
      </c>
      <c r="I7130" s="59" t="str">
        <f>IF(OR($A7130="",$C7130="",$D7130="",$E7130="",$H7130=""),"",SUMIFS(DATA_GOC!$H:$H,DATA_GOC!$A:$A,"BOM",DATA_GOC!$D:$D,$H7130,DATA_GOC!$E:$E,$C7130,DATA_GOC!$F:$F,"Xuất nội bộ từ téc",DATA_GOC!$B:$B,"&gt;="&amp;$D7130,DATA_GOC!$B:$B,"&lt;="&amp;$E7130))</f>
        <v/>
      </c>
      <c r="J7130" s="59">
        <f t="shared" si="28"/>
        <v>0</v>
      </c>
      <c r="K7130" s="59">
        <f t="shared" si="29"/>
        <v>0</v>
      </c>
      <c r="L7130" s="59">
        <f t="shared" si="30"/>
        <v>0</v>
      </c>
      <c r="M7130" s="59">
        <f t="shared" si="31"/>
        <v>0</v>
      </c>
    </row>
    <row r="7131" ht="15.0" hidden="1" customHeight="1">
      <c r="A7131" s="59">
        <f t="shared" si="20"/>
        <v>115</v>
      </c>
      <c r="B7131" s="59" t="str">
        <f t="shared" si="21"/>
        <v/>
      </c>
      <c r="C7131" s="59" t="str">
        <f t="shared" si="22"/>
        <v/>
      </c>
      <c r="D7131" s="45" t="str">
        <f t="shared" si="23"/>
        <v/>
      </c>
      <c r="E7131" s="45" t="str">
        <f t="shared" si="24"/>
        <v/>
      </c>
      <c r="F7131" s="59" t="str">
        <f t="shared" si="25"/>
        <v/>
      </c>
      <c r="G7131" s="59" t="str">
        <f t="shared" si="26"/>
        <v/>
      </c>
      <c r="H7131" s="59" t="str">
        <f t="shared" si="27"/>
        <v>Xe 600148</v>
      </c>
      <c r="I7131" s="59" t="str">
        <f>IF(OR($A7131="",$C7131="",$D7131="",$E7131="",$H7131=""),"",SUMIFS(DATA_GOC!$H:$H,DATA_GOC!$A:$A,"BOM",DATA_GOC!$D:$D,$H7131,DATA_GOC!$E:$E,$C7131,DATA_GOC!$F:$F,"Xuất nội bộ từ téc",DATA_GOC!$B:$B,"&gt;="&amp;$D7131,DATA_GOC!$B:$B,"&lt;="&amp;$E7131))</f>
        <v/>
      </c>
      <c r="J7131" s="59">
        <f t="shared" si="28"/>
        <v>0</v>
      </c>
      <c r="K7131" s="59">
        <f t="shared" si="29"/>
        <v>0</v>
      </c>
      <c r="L7131" s="59">
        <f t="shared" si="30"/>
        <v>0</v>
      </c>
      <c r="M7131" s="59">
        <f t="shared" si="31"/>
        <v>0</v>
      </c>
    </row>
    <row r="7132" ht="15.0" hidden="1" customHeight="1">
      <c r="A7132" s="59">
        <f t="shared" si="20"/>
        <v>115</v>
      </c>
      <c r="B7132" s="59" t="str">
        <f t="shared" si="21"/>
        <v/>
      </c>
      <c r="C7132" s="59" t="str">
        <f t="shared" si="22"/>
        <v/>
      </c>
      <c r="D7132" s="45" t="str">
        <f t="shared" si="23"/>
        <v/>
      </c>
      <c r="E7132" s="45" t="str">
        <f t="shared" si="24"/>
        <v/>
      </c>
      <c r="F7132" s="59" t="str">
        <f t="shared" si="25"/>
        <v/>
      </c>
      <c r="G7132" s="59" t="str">
        <f t="shared" si="26"/>
        <v/>
      </c>
      <c r="H7132" s="59" t="str">
        <f t="shared" si="27"/>
        <v>Xe ben mới</v>
      </c>
      <c r="I7132" s="59" t="str">
        <f>IF(OR($A7132="",$C7132="",$D7132="",$E7132="",$H7132=""),"",SUMIFS(DATA_GOC!$H:$H,DATA_GOC!$A:$A,"BOM",DATA_GOC!$D:$D,$H7132,DATA_GOC!$E:$E,$C7132,DATA_GOC!$F:$F,"Xuất nội bộ từ téc",DATA_GOC!$B:$B,"&gt;="&amp;$D7132,DATA_GOC!$B:$B,"&lt;="&amp;$E7132))</f>
        <v/>
      </c>
      <c r="J7132" s="59">
        <f t="shared" si="28"/>
        <v>0</v>
      </c>
      <c r="K7132" s="59">
        <f t="shared" si="29"/>
        <v>0</v>
      </c>
      <c r="L7132" s="59">
        <f t="shared" si="30"/>
        <v>0</v>
      </c>
      <c r="M7132" s="59">
        <f t="shared" si="31"/>
        <v>0</v>
      </c>
    </row>
    <row r="7133" ht="15.0" hidden="1" customHeight="1">
      <c r="A7133" s="59">
        <f t="shared" si="20"/>
        <v>116</v>
      </c>
      <c r="B7133" s="59" t="str">
        <f t="shared" si="21"/>
        <v/>
      </c>
      <c r="C7133" s="59" t="str">
        <f t="shared" si="22"/>
        <v/>
      </c>
      <c r="D7133" s="45" t="str">
        <f t="shared" si="23"/>
        <v/>
      </c>
      <c r="E7133" s="45" t="str">
        <f t="shared" si="24"/>
        <v/>
      </c>
      <c r="F7133" s="59" t="str">
        <f t="shared" si="25"/>
        <v/>
      </c>
      <c r="G7133" s="59" t="str">
        <f t="shared" si="26"/>
        <v/>
      </c>
      <c r="H7133" s="59" t="str">
        <f t="shared" si="27"/>
        <v>19H09482</v>
      </c>
      <c r="I7133" s="59" t="str">
        <f>IF(OR($A7133="",$C7133="",$D7133="",$E7133="",$H7133=""),"",SUMIFS(DATA_GOC!$H:$H,DATA_GOC!$A:$A,"BOM",DATA_GOC!$D:$D,$H7133,DATA_GOC!$E:$E,$C7133,DATA_GOC!$F:$F,"Xuất nội bộ từ téc",DATA_GOC!$B:$B,"&gt;="&amp;$D7133,DATA_GOC!$B:$B,"&lt;="&amp;$E7133))</f>
        <v/>
      </c>
      <c r="J7133" s="59">
        <f t="shared" si="28"/>
        <v>0</v>
      </c>
      <c r="K7133" s="59">
        <f t="shared" si="29"/>
        <v>0</v>
      </c>
      <c r="L7133" s="59">
        <f t="shared" si="30"/>
        <v>0</v>
      </c>
      <c r="M7133" s="59">
        <f t="shared" si="31"/>
        <v>0</v>
      </c>
    </row>
    <row r="7134" ht="15.0" hidden="1" customHeight="1">
      <c r="A7134" s="59">
        <f t="shared" si="20"/>
        <v>116</v>
      </c>
      <c r="B7134" s="59" t="str">
        <f t="shared" si="21"/>
        <v/>
      </c>
      <c r="C7134" s="59" t="str">
        <f t="shared" si="22"/>
        <v/>
      </c>
      <c r="D7134" s="45" t="str">
        <f t="shared" si="23"/>
        <v/>
      </c>
      <c r="E7134" s="45" t="str">
        <f t="shared" si="24"/>
        <v/>
      </c>
      <c r="F7134" s="59" t="str">
        <f t="shared" si="25"/>
        <v/>
      </c>
      <c r="G7134" s="59" t="str">
        <f t="shared" si="26"/>
        <v/>
      </c>
      <c r="H7134" s="59" t="str">
        <f t="shared" si="27"/>
        <v>28A30696</v>
      </c>
      <c r="I7134" s="59" t="str">
        <f>IF(OR($A7134="",$C7134="",$D7134="",$E7134="",$H7134=""),"",SUMIFS(DATA_GOC!$H:$H,DATA_GOC!$A:$A,"BOM",DATA_GOC!$D:$D,$H7134,DATA_GOC!$E:$E,$C7134,DATA_GOC!$F:$F,"Xuất nội bộ từ téc",DATA_GOC!$B:$B,"&gt;="&amp;$D7134,DATA_GOC!$B:$B,"&lt;="&amp;$E7134))</f>
        <v/>
      </c>
      <c r="J7134" s="59">
        <f t="shared" si="28"/>
        <v>0</v>
      </c>
      <c r="K7134" s="59">
        <f t="shared" si="29"/>
        <v>0</v>
      </c>
      <c r="L7134" s="59">
        <f t="shared" si="30"/>
        <v>0</v>
      </c>
      <c r="M7134" s="59">
        <f t="shared" si="31"/>
        <v>0</v>
      </c>
    </row>
    <row r="7135" ht="15.0" hidden="1" customHeight="1">
      <c r="A7135" s="59">
        <f t="shared" si="20"/>
        <v>116</v>
      </c>
      <c r="B7135" s="59" t="str">
        <f t="shared" si="21"/>
        <v/>
      </c>
      <c r="C7135" s="59" t="str">
        <f t="shared" si="22"/>
        <v/>
      </c>
      <c r="D7135" s="45" t="str">
        <f t="shared" si="23"/>
        <v/>
      </c>
      <c r="E7135" s="45" t="str">
        <f t="shared" si="24"/>
        <v/>
      </c>
      <c r="F7135" s="59" t="str">
        <f t="shared" si="25"/>
        <v/>
      </c>
      <c r="G7135" s="59" t="str">
        <f t="shared" si="26"/>
        <v/>
      </c>
      <c r="H7135" s="59" t="str">
        <f t="shared" si="27"/>
        <v>28C00462</v>
      </c>
      <c r="I7135" s="59" t="str">
        <f>IF(OR($A7135="",$C7135="",$D7135="",$E7135="",$H7135=""),"",SUMIFS(DATA_GOC!$H:$H,DATA_GOC!$A:$A,"BOM",DATA_GOC!$D:$D,$H7135,DATA_GOC!$E:$E,$C7135,DATA_GOC!$F:$F,"Xuất nội bộ từ téc",DATA_GOC!$B:$B,"&gt;="&amp;$D7135,DATA_GOC!$B:$B,"&lt;="&amp;$E7135))</f>
        <v/>
      </c>
      <c r="J7135" s="59">
        <f t="shared" si="28"/>
        <v>0</v>
      </c>
      <c r="K7135" s="59">
        <f t="shared" si="29"/>
        <v>0</v>
      </c>
      <c r="L7135" s="59">
        <f t="shared" si="30"/>
        <v>0</v>
      </c>
      <c r="M7135" s="59">
        <f t="shared" si="31"/>
        <v>0</v>
      </c>
    </row>
    <row r="7136" ht="15.0" hidden="1" customHeight="1">
      <c r="A7136" s="59">
        <f t="shared" si="20"/>
        <v>116</v>
      </c>
      <c r="B7136" s="59" t="str">
        <f t="shared" si="21"/>
        <v/>
      </c>
      <c r="C7136" s="59" t="str">
        <f t="shared" si="22"/>
        <v/>
      </c>
      <c r="D7136" s="45" t="str">
        <f t="shared" si="23"/>
        <v/>
      </c>
      <c r="E7136" s="45" t="str">
        <f t="shared" si="24"/>
        <v/>
      </c>
      <c r="F7136" s="59" t="str">
        <f t="shared" si="25"/>
        <v/>
      </c>
      <c r="G7136" s="59" t="str">
        <f t="shared" si="26"/>
        <v/>
      </c>
      <c r="H7136" s="59" t="str">
        <f t="shared" si="27"/>
        <v>28C01165</v>
      </c>
      <c r="I7136" s="59" t="str">
        <f>IF(OR($A7136="",$C7136="",$D7136="",$E7136="",$H7136=""),"",SUMIFS(DATA_GOC!$H:$H,DATA_GOC!$A:$A,"BOM",DATA_GOC!$D:$D,$H7136,DATA_GOC!$E:$E,$C7136,DATA_GOC!$F:$F,"Xuất nội bộ từ téc",DATA_GOC!$B:$B,"&gt;="&amp;$D7136,DATA_GOC!$B:$B,"&lt;="&amp;$E7136))</f>
        <v/>
      </c>
      <c r="J7136" s="59">
        <f t="shared" si="28"/>
        <v>0</v>
      </c>
      <c r="K7136" s="59">
        <f t="shared" si="29"/>
        <v>0</v>
      </c>
      <c r="L7136" s="59">
        <f t="shared" si="30"/>
        <v>0</v>
      </c>
      <c r="M7136" s="59">
        <f t="shared" si="31"/>
        <v>0</v>
      </c>
    </row>
    <row r="7137" ht="15.0" hidden="1" customHeight="1">
      <c r="A7137" s="59">
        <f t="shared" si="20"/>
        <v>116</v>
      </c>
      <c r="B7137" s="59" t="str">
        <f t="shared" si="21"/>
        <v/>
      </c>
      <c r="C7137" s="59" t="str">
        <f t="shared" si="22"/>
        <v/>
      </c>
      <c r="D7137" s="45" t="str">
        <f t="shared" si="23"/>
        <v/>
      </c>
      <c r="E7137" s="45" t="str">
        <f t="shared" si="24"/>
        <v/>
      </c>
      <c r="F7137" s="59" t="str">
        <f t="shared" si="25"/>
        <v/>
      </c>
      <c r="G7137" s="59" t="str">
        <f t="shared" si="26"/>
        <v/>
      </c>
      <c r="H7137" s="59" t="str">
        <f t="shared" si="27"/>
        <v>28C01406</v>
      </c>
      <c r="I7137" s="59" t="str">
        <f>IF(OR($A7137="",$C7137="",$D7137="",$E7137="",$H7137=""),"",SUMIFS(DATA_GOC!$H:$H,DATA_GOC!$A:$A,"BOM",DATA_GOC!$D:$D,$H7137,DATA_GOC!$E:$E,$C7137,DATA_GOC!$F:$F,"Xuất nội bộ từ téc",DATA_GOC!$B:$B,"&gt;="&amp;$D7137,DATA_GOC!$B:$B,"&lt;="&amp;$E7137))</f>
        <v/>
      </c>
      <c r="J7137" s="59">
        <f t="shared" si="28"/>
        <v>0</v>
      </c>
      <c r="K7137" s="59">
        <f t="shared" si="29"/>
        <v>0</v>
      </c>
      <c r="L7137" s="59">
        <f t="shared" si="30"/>
        <v>0</v>
      </c>
      <c r="M7137" s="59">
        <f t="shared" si="31"/>
        <v>0</v>
      </c>
    </row>
    <row r="7138" ht="15.0" hidden="1" customHeight="1">
      <c r="A7138" s="59">
        <f t="shared" si="20"/>
        <v>116</v>
      </c>
      <c r="B7138" s="59" t="str">
        <f t="shared" si="21"/>
        <v/>
      </c>
      <c r="C7138" s="59" t="str">
        <f t="shared" si="22"/>
        <v/>
      </c>
      <c r="D7138" s="45" t="str">
        <f t="shared" si="23"/>
        <v/>
      </c>
      <c r="E7138" s="45" t="str">
        <f t="shared" si="24"/>
        <v/>
      </c>
      <c r="F7138" s="59" t="str">
        <f t="shared" si="25"/>
        <v/>
      </c>
      <c r="G7138" s="59" t="str">
        <f t="shared" si="26"/>
        <v/>
      </c>
      <c r="H7138" s="59" t="str">
        <f t="shared" si="27"/>
        <v>28C01544</v>
      </c>
      <c r="I7138" s="59" t="str">
        <f>IF(OR($A7138="",$C7138="",$D7138="",$E7138="",$H7138=""),"",SUMIFS(DATA_GOC!$H:$H,DATA_GOC!$A:$A,"BOM",DATA_GOC!$D:$D,$H7138,DATA_GOC!$E:$E,$C7138,DATA_GOC!$F:$F,"Xuất nội bộ từ téc",DATA_GOC!$B:$B,"&gt;="&amp;$D7138,DATA_GOC!$B:$B,"&lt;="&amp;$E7138))</f>
        <v/>
      </c>
      <c r="J7138" s="59">
        <f t="shared" si="28"/>
        <v>0</v>
      </c>
      <c r="K7138" s="59">
        <f t="shared" si="29"/>
        <v>0</v>
      </c>
      <c r="L7138" s="59">
        <f t="shared" si="30"/>
        <v>0</v>
      </c>
      <c r="M7138" s="59">
        <f t="shared" si="31"/>
        <v>0</v>
      </c>
    </row>
    <row r="7139" ht="15.0" hidden="1" customHeight="1">
      <c r="A7139" s="59">
        <f t="shared" si="20"/>
        <v>116</v>
      </c>
      <c r="B7139" s="59" t="str">
        <f t="shared" si="21"/>
        <v/>
      </c>
      <c r="C7139" s="59" t="str">
        <f t="shared" si="22"/>
        <v/>
      </c>
      <c r="D7139" s="45" t="str">
        <f t="shared" si="23"/>
        <v/>
      </c>
      <c r="E7139" s="45" t="str">
        <f t="shared" si="24"/>
        <v/>
      </c>
      <c r="F7139" s="59" t="str">
        <f t="shared" si="25"/>
        <v/>
      </c>
      <c r="G7139" s="59" t="str">
        <f t="shared" si="26"/>
        <v/>
      </c>
      <c r="H7139" s="59" t="str">
        <f t="shared" si="27"/>
        <v>28C01622</v>
      </c>
      <c r="I7139" s="59" t="str">
        <f>IF(OR($A7139="",$C7139="",$D7139="",$E7139="",$H7139=""),"",SUMIFS(DATA_GOC!$H:$H,DATA_GOC!$A:$A,"BOM",DATA_GOC!$D:$D,$H7139,DATA_GOC!$E:$E,$C7139,DATA_GOC!$F:$F,"Xuất nội bộ từ téc",DATA_GOC!$B:$B,"&gt;="&amp;$D7139,DATA_GOC!$B:$B,"&lt;="&amp;$E7139))</f>
        <v/>
      </c>
      <c r="J7139" s="59">
        <f t="shared" si="28"/>
        <v>0</v>
      </c>
      <c r="K7139" s="59">
        <f t="shared" si="29"/>
        <v>0</v>
      </c>
      <c r="L7139" s="59">
        <f t="shared" si="30"/>
        <v>0</v>
      </c>
      <c r="M7139" s="59">
        <f t="shared" si="31"/>
        <v>0</v>
      </c>
    </row>
    <row r="7140" ht="15.0" hidden="1" customHeight="1">
      <c r="A7140" s="59">
        <f t="shared" si="20"/>
        <v>116</v>
      </c>
      <c r="B7140" s="59" t="str">
        <f t="shared" si="21"/>
        <v/>
      </c>
      <c r="C7140" s="59" t="str">
        <f t="shared" si="22"/>
        <v/>
      </c>
      <c r="D7140" s="45" t="str">
        <f t="shared" si="23"/>
        <v/>
      </c>
      <c r="E7140" s="45" t="str">
        <f t="shared" si="24"/>
        <v/>
      </c>
      <c r="F7140" s="59" t="str">
        <f t="shared" si="25"/>
        <v/>
      </c>
      <c r="G7140" s="59" t="str">
        <f t="shared" si="26"/>
        <v/>
      </c>
      <c r="H7140" s="59" t="str">
        <f t="shared" si="27"/>
        <v>28C01647</v>
      </c>
      <c r="I7140" s="59" t="str">
        <f>IF(OR($A7140="",$C7140="",$D7140="",$E7140="",$H7140=""),"",SUMIFS(DATA_GOC!$H:$H,DATA_GOC!$A:$A,"BOM",DATA_GOC!$D:$D,$H7140,DATA_GOC!$E:$E,$C7140,DATA_GOC!$F:$F,"Xuất nội bộ từ téc",DATA_GOC!$B:$B,"&gt;="&amp;$D7140,DATA_GOC!$B:$B,"&lt;="&amp;$E7140))</f>
        <v/>
      </c>
      <c r="J7140" s="59">
        <f t="shared" si="28"/>
        <v>0</v>
      </c>
      <c r="K7140" s="59">
        <f t="shared" si="29"/>
        <v>0</v>
      </c>
      <c r="L7140" s="59">
        <f t="shared" si="30"/>
        <v>0</v>
      </c>
      <c r="M7140" s="59">
        <f t="shared" si="31"/>
        <v>0</v>
      </c>
    </row>
    <row r="7141" ht="15.0" hidden="1" customHeight="1">
      <c r="A7141" s="59">
        <f t="shared" si="20"/>
        <v>116</v>
      </c>
      <c r="B7141" s="59" t="str">
        <f t="shared" si="21"/>
        <v/>
      </c>
      <c r="C7141" s="59" t="str">
        <f t="shared" si="22"/>
        <v/>
      </c>
      <c r="D7141" s="45" t="str">
        <f t="shared" si="23"/>
        <v/>
      </c>
      <c r="E7141" s="45" t="str">
        <f t="shared" si="24"/>
        <v/>
      </c>
      <c r="F7141" s="59" t="str">
        <f t="shared" si="25"/>
        <v/>
      </c>
      <c r="G7141" s="59" t="str">
        <f t="shared" si="26"/>
        <v/>
      </c>
      <c r="H7141" s="59" t="str">
        <f t="shared" si="27"/>
        <v>28C01731</v>
      </c>
      <c r="I7141" s="59" t="str">
        <f>IF(OR($A7141="",$C7141="",$D7141="",$E7141="",$H7141=""),"",SUMIFS(DATA_GOC!$H:$H,DATA_GOC!$A:$A,"BOM",DATA_GOC!$D:$D,$H7141,DATA_GOC!$E:$E,$C7141,DATA_GOC!$F:$F,"Xuất nội bộ từ téc",DATA_GOC!$B:$B,"&gt;="&amp;$D7141,DATA_GOC!$B:$B,"&lt;="&amp;$E7141))</f>
        <v/>
      </c>
      <c r="J7141" s="59">
        <f t="shared" si="28"/>
        <v>0</v>
      </c>
      <c r="K7141" s="59">
        <f t="shared" si="29"/>
        <v>0</v>
      </c>
      <c r="L7141" s="59">
        <f t="shared" si="30"/>
        <v>0</v>
      </c>
      <c r="M7141" s="59">
        <f t="shared" si="31"/>
        <v>0</v>
      </c>
    </row>
    <row r="7142" ht="15.0" hidden="1" customHeight="1">
      <c r="A7142" s="59">
        <f t="shared" si="20"/>
        <v>116</v>
      </c>
      <c r="B7142" s="59" t="str">
        <f t="shared" si="21"/>
        <v/>
      </c>
      <c r="C7142" s="59" t="str">
        <f t="shared" si="22"/>
        <v/>
      </c>
      <c r="D7142" s="45" t="str">
        <f t="shared" si="23"/>
        <v/>
      </c>
      <c r="E7142" s="45" t="str">
        <f t="shared" si="24"/>
        <v/>
      </c>
      <c r="F7142" s="59" t="str">
        <f t="shared" si="25"/>
        <v/>
      </c>
      <c r="G7142" s="59" t="str">
        <f t="shared" si="26"/>
        <v/>
      </c>
      <c r="H7142" s="59" t="str">
        <f t="shared" si="27"/>
        <v>28C01743</v>
      </c>
      <c r="I7142" s="59" t="str">
        <f>IF(OR($A7142="",$C7142="",$D7142="",$E7142="",$H7142=""),"",SUMIFS(DATA_GOC!$H:$H,DATA_GOC!$A:$A,"BOM",DATA_GOC!$D:$D,$H7142,DATA_GOC!$E:$E,$C7142,DATA_GOC!$F:$F,"Xuất nội bộ từ téc",DATA_GOC!$B:$B,"&gt;="&amp;$D7142,DATA_GOC!$B:$B,"&lt;="&amp;$E7142))</f>
        <v/>
      </c>
      <c r="J7142" s="59">
        <f t="shared" si="28"/>
        <v>0</v>
      </c>
      <c r="K7142" s="59">
        <f t="shared" si="29"/>
        <v>0</v>
      </c>
      <c r="L7142" s="59">
        <f t="shared" si="30"/>
        <v>0</v>
      </c>
      <c r="M7142" s="59">
        <f t="shared" si="31"/>
        <v>0</v>
      </c>
    </row>
    <row r="7143" ht="15.0" hidden="1" customHeight="1">
      <c r="A7143" s="59">
        <f t="shared" si="20"/>
        <v>116</v>
      </c>
      <c r="B7143" s="59" t="str">
        <f t="shared" si="21"/>
        <v/>
      </c>
      <c r="C7143" s="59" t="str">
        <f t="shared" si="22"/>
        <v/>
      </c>
      <c r="D7143" s="45" t="str">
        <f t="shared" si="23"/>
        <v/>
      </c>
      <c r="E7143" s="45" t="str">
        <f t="shared" si="24"/>
        <v/>
      </c>
      <c r="F7143" s="59" t="str">
        <f t="shared" si="25"/>
        <v/>
      </c>
      <c r="G7143" s="59" t="str">
        <f t="shared" si="26"/>
        <v/>
      </c>
      <c r="H7143" s="59" t="str">
        <f t="shared" si="27"/>
        <v>28C02106</v>
      </c>
      <c r="I7143" s="59" t="str">
        <f>IF(OR($A7143="",$C7143="",$D7143="",$E7143="",$H7143=""),"",SUMIFS(DATA_GOC!$H:$H,DATA_GOC!$A:$A,"BOM",DATA_GOC!$D:$D,$H7143,DATA_GOC!$E:$E,$C7143,DATA_GOC!$F:$F,"Xuất nội bộ từ téc",DATA_GOC!$B:$B,"&gt;="&amp;$D7143,DATA_GOC!$B:$B,"&lt;="&amp;$E7143))</f>
        <v/>
      </c>
      <c r="J7143" s="59">
        <f t="shared" si="28"/>
        <v>0</v>
      </c>
      <c r="K7143" s="59">
        <f t="shared" si="29"/>
        <v>0</v>
      </c>
      <c r="L7143" s="59">
        <f t="shared" si="30"/>
        <v>0</v>
      </c>
      <c r="M7143" s="59">
        <f t="shared" si="31"/>
        <v>0</v>
      </c>
    </row>
    <row r="7144" ht="15.0" hidden="1" customHeight="1">
      <c r="A7144" s="59">
        <f t="shared" si="20"/>
        <v>116</v>
      </c>
      <c r="B7144" s="59" t="str">
        <f t="shared" si="21"/>
        <v/>
      </c>
      <c r="C7144" s="59" t="str">
        <f t="shared" si="22"/>
        <v/>
      </c>
      <c r="D7144" s="45" t="str">
        <f t="shared" si="23"/>
        <v/>
      </c>
      <c r="E7144" s="45" t="str">
        <f t="shared" si="24"/>
        <v/>
      </c>
      <c r="F7144" s="59" t="str">
        <f t="shared" si="25"/>
        <v/>
      </c>
      <c r="G7144" s="59" t="str">
        <f t="shared" si="26"/>
        <v/>
      </c>
      <c r="H7144" s="59" t="str">
        <f t="shared" si="27"/>
        <v>28C02410</v>
      </c>
      <c r="I7144" s="59" t="str">
        <f>IF(OR($A7144="",$C7144="",$D7144="",$E7144="",$H7144=""),"",SUMIFS(DATA_GOC!$H:$H,DATA_GOC!$A:$A,"BOM",DATA_GOC!$D:$D,$H7144,DATA_GOC!$E:$E,$C7144,DATA_GOC!$F:$F,"Xuất nội bộ từ téc",DATA_GOC!$B:$B,"&gt;="&amp;$D7144,DATA_GOC!$B:$B,"&lt;="&amp;$E7144))</f>
        <v/>
      </c>
      <c r="J7144" s="59">
        <f t="shared" si="28"/>
        <v>0</v>
      </c>
      <c r="K7144" s="59">
        <f t="shared" si="29"/>
        <v>0</v>
      </c>
      <c r="L7144" s="59">
        <f t="shared" si="30"/>
        <v>0</v>
      </c>
      <c r="M7144" s="59">
        <f t="shared" si="31"/>
        <v>0</v>
      </c>
    </row>
    <row r="7145" ht="15.0" hidden="1" customHeight="1">
      <c r="A7145" s="59">
        <f t="shared" si="20"/>
        <v>116</v>
      </c>
      <c r="B7145" s="59" t="str">
        <f t="shared" si="21"/>
        <v/>
      </c>
      <c r="C7145" s="59" t="str">
        <f t="shared" si="22"/>
        <v/>
      </c>
      <c r="D7145" s="45" t="str">
        <f t="shared" si="23"/>
        <v/>
      </c>
      <c r="E7145" s="45" t="str">
        <f t="shared" si="24"/>
        <v/>
      </c>
      <c r="F7145" s="59" t="str">
        <f t="shared" si="25"/>
        <v/>
      </c>
      <c r="G7145" s="59" t="str">
        <f t="shared" si="26"/>
        <v/>
      </c>
      <c r="H7145" s="59" t="str">
        <f t="shared" si="27"/>
        <v>28C02545</v>
      </c>
      <c r="I7145" s="59" t="str">
        <f>IF(OR($A7145="",$C7145="",$D7145="",$E7145="",$H7145=""),"",SUMIFS(DATA_GOC!$H:$H,DATA_GOC!$A:$A,"BOM",DATA_GOC!$D:$D,$H7145,DATA_GOC!$E:$E,$C7145,DATA_GOC!$F:$F,"Xuất nội bộ từ téc",DATA_GOC!$B:$B,"&gt;="&amp;$D7145,DATA_GOC!$B:$B,"&lt;="&amp;$E7145))</f>
        <v/>
      </c>
      <c r="J7145" s="59">
        <f t="shared" si="28"/>
        <v>0</v>
      </c>
      <c r="K7145" s="59">
        <f t="shared" si="29"/>
        <v>0</v>
      </c>
      <c r="L7145" s="59">
        <f t="shared" si="30"/>
        <v>0</v>
      </c>
      <c r="M7145" s="59">
        <f t="shared" si="31"/>
        <v>0</v>
      </c>
    </row>
    <row r="7146" ht="15.0" hidden="1" customHeight="1">
      <c r="A7146" s="59">
        <f t="shared" si="20"/>
        <v>116</v>
      </c>
      <c r="B7146" s="59" t="str">
        <f t="shared" si="21"/>
        <v/>
      </c>
      <c r="C7146" s="59" t="str">
        <f t="shared" si="22"/>
        <v/>
      </c>
      <c r="D7146" s="45" t="str">
        <f t="shared" si="23"/>
        <v/>
      </c>
      <c r="E7146" s="45" t="str">
        <f t="shared" si="24"/>
        <v/>
      </c>
      <c r="F7146" s="59" t="str">
        <f t="shared" si="25"/>
        <v/>
      </c>
      <c r="G7146" s="59" t="str">
        <f t="shared" si="26"/>
        <v/>
      </c>
      <c r="H7146" s="59" t="str">
        <f t="shared" si="27"/>
        <v>28C02574</v>
      </c>
      <c r="I7146" s="59" t="str">
        <f>IF(OR($A7146="",$C7146="",$D7146="",$E7146="",$H7146=""),"",SUMIFS(DATA_GOC!$H:$H,DATA_GOC!$A:$A,"BOM",DATA_GOC!$D:$D,$H7146,DATA_GOC!$E:$E,$C7146,DATA_GOC!$F:$F,"Xuất nội bộ từ téc",DATA_GOC!$B:$B,"&gt;="&amp;$D7146,DATA_GOC!$B:$B,"&lt;="&amp;$E7146))</f>
        <v/>
      </c>
      <c r="J7146" s="59">
        <f t="shared" si="28"/>
        <v>0</v>
      </c>
      <c r="K7146" s="59">
        <f t="shared" si="29"/>
        <v>0</v>
      </c>
      <c r="L7146" s="59">
        <f t="shared" si="30"/>
        <v>0</v>
      </c>
      <c r="M7146" s="59">
        <f t="shared" si="31"/>
        <v>0</v>
      </c>
    </row>
    <row r="7147" ht="15.0" hidden="1" customHeight="1">
      <c r="A7147" s="59">
        <f t="shared" si="20"/>
        <v>116</v>
      </c>
      <c r="B7147" s="59" t="str">
        <f t="shared" si="21"/>
        <v/>
      </c>
      <c r="C7147" s="59" t="str">
        <f t="shared" si="22"/>
        <v/>
      </c>
      <c r="D7147" s="45" t="str">
        <f t="shared" si="23"/>
        <v/>
      </c>
      <c r="E7147" s="45" t="str">
        <f t="shared" si="24"/>
        <v/>
      </c>
      <c r="F7147" s="59" t="str">
        <f t="shared" si="25"/>
        <v/>
      </c>
      <c r="G7147" s="59" t="str">
        <f t="shared" si="26"/>
        <v/>
      </c>
      <c r="H7147" s="59" t="str">
        <f t="shared" si="27"/>
        <v>28C02770</v>
      </c>
      <c r="I7147" s="59" t="str">
        <f>IF(OR($A7147="",$C7147="",$D7147="",$E7147="",$H7147=""),"",SUMIFS(DATA_GOC!$H:$H,DATA_GOC!$A:$A,"BOM",DATA_GOC!$D:$D,$H7147,DATA_GOC!$E:$E,$C7147,DATA_GOC!$F:$F,"Xuất nội bộ từ téc",DATA_GOC!$B:$B,"&gt;="&amp;$D7147,DATA_GOC!$B:$B,"&lt;="&amp;$E7147))</f>
        <v/>
      </c>
      <c r="J7147" s="59">
        <f t="shared" si="28"/>
        <v>0</v>
      </c>
      <c r="K7147" s="59">
        <f t="shared" si="29"/>
        <v>0</v>
      </c>
      <c r="L7147" s="59">
        <f t="shared" si="30"/>
        <v>0</v>
      </c>
      <c r="M7147" s="59">
        <f t="shared" si="31"/>
        <v>0</v>
      </c>
    </row>
    <row r="7148" ht="15.0" hidden="1" customHeight="1">
      <c r="A7148" s="59">
        <f t="shared" si="20"/>
        <v>116</v>
      </c>
      <c r="B7148" s="59" t="str">
        <f t="shared" si="21"/>
        <v/>
      </c>
      <c r="C7148" s="59" t="str">
        <f t="shared" si="22"/>
        <v/>
      </c>
      <c r="D7148" s="45" t="str">
        <f t="shared" si="23"/>
        <v/>
      </c>
      <c r="E7148" s="45" t="str">
        <f t="shared" si="24"/>
        <v/>
      </c>
      <c r="F7148" s="59" t="str">
        <f t="shared" si="25"/>
        <v/>
      </c>
      <c r="G7148" s="59" t="str">
        <f t="shared" si="26"/>
        <v/>
      </c>
      <c r="H7148" s="59" t="str">
        <f t="shared" si="27"/>
        <v>28C02986</v>
      </c>
      <c r="I7148" s="59" t="str">
        <f>IF(OR($A7148="",$C7148="",$D7148="",$E7148="",$H7148=""),"",SUMIFS(DATA_GOC!$H:$H,DATA_GOC!$A:$A,"BOM",DATA_GOC!$D:$D,$H7148,DATA_GOC!$E:$E,$C7148,DATA_GOC!$F:$F,"Xuất nội bộ từ téc",DATA_GOC!$B:$B,"&gt;="&amp;$D7148,DATA_GOC!$B:$B,"&lt;="&amp;$E7148))</f>
        <v/>
      </c>
      <c r="J7148" s="59">
        <f t="shared" si="28"/>
        <v>0</v>
      </c>
      <c r="K7148" s="59">
        <f t="shared" si="29"/>
        <v>0</v>
      </c>
      <c r="L7148" s="59">
        <f t="shared" si="30"/>
        <v>0</v>
      </c>
      <c r="M7148" s="59">
        <f t="shared" si="31"/>
        <v>0</v>
      </c>
    </row>
    <row r="7149" ht="15.0" hidden="1" customHeight="1">
      <c r="A7149" s="59">
        <f t="shared" si="20"/>
        <v>116</v>
      </c>
      <c r="B7149" s="59" t="str">
        <f t="shared" si="21"/>
        <v/>
      </c>
      <c r="C7149" s="59" t="str">
        <f t="shared" si="22"/>
        <v/>
      </c>
      <c r="D7149" s="45" t="str">
        <f t="shared" si="23"/>
        <v/>
      </c>
      <c r="E7149" s="45" t="str">
        <f t="shared" si="24"/>
        <v/>
      </c>
      <c r="F7149" s="59" t="str">
        <f t="shared" si="25"/>
        <v/>
      </c>
      <c r="G7149" s="59" t="str">
        <f t="shared" si="26"/>
        <v/>
      </c>
      <c r="H7149" s="59" t="str">
        <f t="shared" si="27"/>
        <v>28C03261</v>
      </c>
      <c r="I7149" s="59" t="str">
        <f>IF(OR($A7149="",$C7149="",$D7149="",$E7149="",$H7149=""),"",SUMIFS(DATA_GOC!$H:$H,DATA_GOC!$A:$A,"BOM",DATA_GOC!$D:$D,$H7149,DATA_GOC!$E:$E,$C7149,DATA_GOC!$F:$F,"Xuất nội bộ từ téc",DATA_GOC!$B:$B,"&gt;="&amp;$D7149,DATA_GOC!$B:$B,"&lt;="&amp;$E7149))</f>
        <v/>
      </c>
      <c r="J7149" s="59">
        <f t="shared" si="28"/>
        <v>0</v>
      </c>
      <c r="K7149" s="59">
        <f t="shared" si="29"/>
        <v>0</v>
      </c>
      <c r="L7149" s="59">
        <f t="shared" si="30"/>
        <v>0</v>
      </c>
      <c r="M7149" s="59">
        <f t="shared" si="31"/>
        <v>0</v>
      </c>
    </row>
    <row r="7150" ht="15.0" hidden="1" customHeight="1">
      <c r="A7150" s="59">
        <f t="shared" si="20"/>
        <v>116</v>
      </c>
      <c r="B7150" s="59" t="str">
        <f t="shared" si="21"/>
        <v/>
      </c>
      <c r="C7150" s="59" t="str">
        <f t="shared" si="22"/>
        <v/>
      </c>
      <c r="D7150" s="45" t="str">
        <f t="shared" si="23"/>
        <v/>
      </c>
      <c r="E7150" s="45" t="str">
        <f t="shared" si="24"/>
        <v/>
      </c>
      <c r="F7150" s="59" t="str">
        <f t="shared" si="25"/>
        <v/>
      </c>
      <c r="G7150" s="59" t="str">
        <f t="shared" si="26"/>
        <v/>
      </c>
      <c r="H7150" s="59" t="str">
        <f t="shared" si="27"/>
        <v>28C03323</v>
      </c>
      <c r="I7150" s="59" t="str">
        <f>IF(OR($A7150="",$C7150="",$D7150="",$E7150="",$H7150=""),"",SUMIFS(DATA_GOC!$H:$H,DATA_GOC!$A:$A,"BOM",DATA_GOC!$D:$D,$H7150,DATA_GOC!$E:$E,$C7150,DATA_GOC!$F:$F,"Xuất nội bộ từ téc",DATA_GOC!$B:$B,"&gt;="&amp;$D7150,DATA_GOC!$B:$B,"&lt;="&amp;$E7150))</f>
        <v/>
      </c>
      <c r="J7150" s="59">
        <f t="shared" si="28"/>
        <v>0</v>
      </c>
      <c r="K7150" s="59">
        <f t="shared" si="29"/>
        <v>0</v>
      </c>
      <c r="L7150" s="59">
        <f t="shared" si="30"/>
        <v>0</v>
      </c>
      <c r="M7150" s="59">
        <f t="shared" si="31"/>
        <v>0</v>
      </c>
    </row>
    <row r="7151" ht="15.0" hidden="1" customHeight="1">
      <c r="A7151" s="59">
        <f t="shared" si="20"/>
        <v>116</v>
      </c>
      <c r="B7151" s="59" t="str">
        <f t="shared" si="21"/>
        <v/>
      </c>
      <c r="C7151" s="59" t="str">
        <f t="shared" si="22"/>
        <v/>
      </c>
      <c r="D7151" s="45" t="str">
        <f t="shared" si="23"/>
        <v/>
      </c>
      <c r="E7151" s="45" t="str">
        <f t="shared" si="24"/>
        <v/>
      </c>
      <c r="F7151" s="59" t="str">
        <f t="shared" si="25"/>
        <v/>
      </c>
      <c r="G7151" s="59" t="str">
        <f t="shared" si="26"/>
        <v/>
      </c>
      <c r="H7151" s="59" t="str">
        <f t="shared" si="27"/>
        <v>28C03385</v>
      </c>
      <c r="I7151" s="59" t="str">
        <f>IF(OR($A7151="",$C7151="",$D7151="",$E7151="",$H7151=""),"",SUMIFS(DATA_GOC!$H:$H,DATA_GOC!$A:$A,"BOM",DATA_GOC!$D:$D,$H7151,DATA_GOC!$E:$E,$C7151,DATA_GOC!$F:$F,"Xuất nội bộ từ téc",DATA_GOC!$B:$B,"&gt;="&amp;$D7151,DATA_GOC!$B:$B,"&lt;="&amp;$E7151))</f>
        <v/>
      </c>
      <c r="J7151" s="59">
        <f t="shared" si="28"/>
        <v>0</v>
      </c>
      <c r="K7151" s="59">
        <f t="shared" si="29"/>
        <v>0</v>
      </c>
      <c r="L7151" s="59">
        <f t="shared" si="30"/>
        <v>0</v>
      </c>
      <c r="M7151" s="59">
        <f t="shared" si="31"/>
        <v>0</v>
      </c>
    </row>
    <row r="7152" ht="15.0" hidden="1" customHeight="1">
      <c r="A7152" s="59">
        <f t="shared" si="20"/>
        <v>116</v>
      </c>
      <c r="B7152" s="59" t="str">
        <f t="shared" si="21"/>
        <v/>
      </c>
      <c r="C7152" s="59" t="str">
        <f t="shared" si="22"/>
        <v/>
      </c>
      <c r="D7152" s="45" t="str">
        <f t="shared" si="23"/>
        <v/>
      </c>
      <c r="E7152" s="45" t="str">
        <f t="shared" si="24"/>
        <v/>
      </c>
      <c r="F7152" s="59" t="str">
        <f t="shared" si="25"/>
        <v/>
      </c>
      <c r="G7152" s="59" t="str">
        <f t="shared" si="26"/>
        <v/>
      </c>
      <c r="H7152" s="59" t="str">
        <f t="shared" si="27"/>
        <v>28C03652</v>
      </c>
      <c r="I7152" s="59" t="str">
        <f>IF(OR($A7152="",$C7152="",$D7152="",$E7152="",$H7152=""),"",SUMIFS(DATA_GOC!$H:$H,DATA_GOC!$A:$A,"BOM",DATA_GOC!$D:$D,$H7152,DATA_GOC!$E:$E,$C7152,DATA_GOC!$F:$F,"Xuất nội bộ từ téc",DATA_GOC!$B:$B,"&gt;="&amp;$D7152,DATA_GOC!$B:$B,"&lt;="&amp;$E7152))</f>
        <v/>
      </c>
      <c r="J7152" s="59">
        <f t="shared" si="28"/>
        <v>0</v>
      </c>
      <c r="K7152" s="59">
        <f t="shared" si="29"/>
        <v>0</v>
      </c>
      <c r="L7152" s="59">
        <f t="shared" si="30"/>
        <v>0</v>
      </c>
      <c r="M7152" s="59">
        <f t="shared" si="31"/>
        <v>0</v>
      </c>
    </row>
    <row r="7153" ht="15.0" hidden="1" customHeight="1">
      <c r="A7153" s="59">
        <f t="shared" si="20"/>
        <v>116</v>
      </c>
      <c r="B7153" s="59" t="str">
        <f t="shared" si="21"/>
        <v/>
      </c>
      <c r="C7153" s="59" t="str">
        <f t="shared" si="22"/>
        <v/>
      </c>
      <c r="D7153" s="45" t="str">
        <f t="shared" si="23"/>
        <v/>
      </c>
      <c r="E7153" s="45" t="str">
        <f t="shared" si="24"/>
        <v/>
      </c>
      <c r="F7153" s="59" t="str">
        <f t="shared" si="25"/>
        <v/>
      </c>
      <c r="G7153" s="59" t="str">
        <f t="shared" si="26"/>
        <v/>
      </c>
      <c r="H7153" s="59" t="str">
        <f t="shared" si="27"/>
        <v>28C03695</v>
      </c>
      <c r="I7153" s="59" t="str">
        <f>IF(OR($A7153="",$C7153="",$D7153="",$E7153="",$H7153=""),"",SUMIFS(DATA_GOC!$H:$H,DATA_GOC!$A:$A,"BOM",DATA_GOC!$D:$D,$H7153,DATA_GOC!$E:$E,$C7153,DATA_GOC!$F:$F,"Xuất nội bộ từ téc",DATA_GOC!$B:$B,"&gt;="&amp;$D7153,DATA_GOC!$B:$B,"&lt;="&amp;$E7153))</f>
        <v/>
      </c>
      <c r="J7153" s="59">
        <f t="shared" si="28"/>
        <v>0</v>
      </c>
      <c r="K7153" s="59">
        <f t="shared" si="29"/>
        <v>0</v>
      </c>
      <c r="L7153" s="59">
        <f t="shared" si="30"/>
        <v>0</v>
      </c>
      <c r="M7153" s="59">
        <f t="shared" si="31"/>
        <v>0</v>
      </c>
    </row>
    <row r="7154" ht="15.0" hidden="1" customHeight="1">
      <c r="A7154" s="59">
        <f t="shared" si="20"/>
        <v>116</v>
      </c>
      <c r="B7154" s="59" t="str">
        <f t="shared" si="21"/>
        <v/>
      </c>
      <c r="C7154" s="59" t="str">
        <f t="shared" si="22"/>
        <v/>
      </c>
      <c r="D7154" s="45" t="str">
        <f t="shared" si="23"/>
        <v/>
      </c>
      <c r="E7154" s="45" t="str">
        <f t="shared" si="24"/>
        <v/>
      </c>
      <c r="F7154" s="59" t="str">
        <f t="shared" si="25"/>
        <v/>
      </c>
      <c r="G7154" s="59" t="str">
        <f t="shared" si="26"/>
        <v/>
      </c>
      <c r="H7154" s="59" t="str">
        <f t="shared" si="27"/>
        <v>28C03927</v>
      </c>
      <c r="I7154" s="59" t="str">
        <f>IF(OR($A7154="",$C7154="",$D7154="",$E7154="",$H7154=""),"",SUMIFS(DATA_GOC!$H:$H,DATA_GOC!$A:$A,"BOM",DATA_GOC!$D:$D,$H7154,DATA_GOC!$E:$E,$C7154,DATA_GOC!$F:$F,"Xuất nội bộ từ téc",DATA_GOC!$B:$B,"&gt;="&amp;$D7154,DATA_GOC!$B:$B,"&lt;="&amp;$E7154))</f>
        <v/>
      </c>
      <c r="J7154" s="59">
        <f t="shared" si="28"/>
        <v>0</v>
      </c>
      <c r="K7154" s="59">
        <f t="shared" si="29"/>
        <v>0</v>
      </c>
      <c r="L7154" s="59">
        <f t="shared" si="30"/>
        <v>0</v>
      </c>
      <c r="M7154" s="59">
        <f t="shared" si="31"/>
        <v>0</v>
      </c>
    </row>
    <row r="7155" ht="15.0" hidden="1" customHeight="1">
      <c r="A7155" s="59">
        <f t="shared" si="20"/>
        <v>116</v>
      </c>
      <c r="B7155" s="59" t="str">
        <f t="shared" si="21"/>
        <v/>
      </c>
      <c r="C7155" s="59" t="str">
        <f t="shared" si="22"/>
        <v/>
      </c>
      <c r="D7155" s="45" t="str">
        <f t="shared" si="23"/>
        <v/>
      </c>
      <c r="E7155" s="45" t="str">
        <f t="shared" si="24"/>
        <v/>
      </c>
      <c r="F7155" s="59" t="str">
        <f t="shared" si="25"/>
        <v/>
      </c>
      <c r="G7155" s="59" t="str">
        <f t="shared" si="26"/>
        <v/>
      </c>
      <c r="H7155" s="59" t="str">
        <f t="shared" si="27"/>
        <v>28C04509</v>
      </c>
      <c r="I7155" s="59" t="str">
        <f>IF(OR($A7155="",$C7155="",$D7155="",$E7155="",$H7155=""),"",SUMIFS(DATA_GOC!$H:$H,DATA_GOC!$A:$A,"BOM",DATA_GOC!$D:$D,$H7155,DATA_GOC!$E:$E,$C7155,DATA_GOC!$F:$F,"Xuất nội bộ từ téc",DATA_GOC!$B:$B,"&gt;="&amp;$D7155,DATA_GOC!$B:$B,"&lt;="&amp;$E7155))</f>
        <v/>
      </c>
      <c r="J7155" s="59">
        <f t="shared" si="28"/>
        <v>0</v>
      </c>
      <c r="K7155" s="59">
        <f t="shared" si="29"/>
        <v>0</v>
      </c>
      <c r="L7155" s="59">
        <f t="shared" si="30"/>
        <v>0</v>
      </c>
      <c r="M7155" s="59">
        <f t="shared" si="31"/>
        <v>0</v>
      </c>
    </row>
    <row r="7156" ht="15.0" hidden="1" customHeight="1">
      <c r="A7156" s="59">
        <f t="shared" si="20"/>
        <v>116</v>
      </c>
      <c r="B7156" s="59" t="str">
        <f t="shared" si="21"/>
        <v/>
      </c>
      <c r="C7156" s="59" t="str">
        <f t="shared" si="22"/>
        <v/>
      </c>
      <c r="D7156" s="45" t="str">
        <f t="shared" si="23"/>
        <v/>
      </c>
      <c r="E7156" s="45" t="str">
        <f t="shared" si="24"/>
        <v/>
      </c>
      <c r="F7156" s="59" t="str">
        <f t="shared" si="25"/>
        <v/>
      </c>
      <c r="G7156" s="59" t="str">
        <f t="shared" si="26"/>
        <v/>
      </c>
      <c r="H7156" s="59" t="str">
        <f t="shared" si="27"/>
        <v>28C04536</v>
      </c>
      <c r="I7156" s="59" t="str">
        <f>IF(OR($A7156="",$C7156="",$D7156="",$E7156="",$H7156=""),"",SUMIFS(DATA_GOC!$H:$H,DATA_GOC!$A:$A,"BOM",DATA_GOC!$D:$D,$H7156,DATA_GOC!$E:$E,$C7156,DATA_GOC!$F:$F,"Xuất nội bộ từ téc",DATA_GOC!$B:$B,"&gt;="&amp;$D7156,DATA_GOC!$B:$B,"&lt;="&amp;$E7156))</f>
        <v/>
      </c>
      <c r="J7156" s="59">
        <f t="shared" si="28"/>
        <v>0</v>
      </c>
      <c r="K7156" s="59">
        <f t="shared" si="29"/>
        <v>0</v>
      </c>
      <c r="L7156" s="59">
        <f t="shared" si="30"/>
        <v>0</v>
      </c>
      <c r="M7156" s="59">
        <f t="shared" si="31"/>
        <v>0</v>
      </c>
    </row>
    <row r="7157" ht="15.0" hidden="1" customHeight="1">
      <c r="A7157" s="59">
        <f t="shared" si="20"/>
        <v>116</v>
      </c>
      <c r="B7157" s="59" t="str">
        <f t="shared" si="21"/>
        <v/>
      </c>
      <c r="C7157" s="59" t="str">
        <f t="shared" si="22"/>
        <v/>
      </c>
      <c r="D7157" s="45" t="str">
        <f t="shared" si="23"/>
        <v/>
      </c>
      <c r="E7157" s="45" t="str">
        <f t="shared" si="24"/>
        <v/>
      </c>
      <c r="F7157" s="59" t="str">
        <f t="shared" si="25"/>
        <v/>
      </c>
      <c r="G7157" s="59" t="str">
        <f t="shared" si="26"/>
        <v/>
      </c>
      <c r="H7157" s="59" t="str">
        <f t="shared" si="27"/>
        <v>28C04576</v>
      </c>
      <c r="I7157" s="59" t="str">
        <f>IF(OR($A7157="",$C7157="",$D7157="",$E7157="",$H7157=""),"",SUMIFS(DATA_GOC!$H:$H,DATA_GOC!$A:$A,"BOM",DATA_GOC!$D:$D,$H7157,DATA_GOC!$E:$E,$C7157,DATA_GOC!$F:$F,"Xuất nội bộ từ téc",DATA_GOC!$B:$B,"&gt;="&amp;$D7157,DATA_GOC!$B:$B,"&lt;="&amp;$E7157))</f>
        <v/>
      </c>
      <c r="J7157" s="59">
        <f t="shared" si="28"/>
        <v>0</v>
      </c>
      <c r="K7157" s="59">
        <f t="shared" si="29"/>
        <v>0</v>
      </c>
      <c r="L7157" s="59">
        <f t="shared" si="30"/>
        <v>0</v>
      </c>
      <c r="M7157" s="59">
        <f t="shared" si="31"/>
        <v>0</v>
      </c>
    </row>
    <row r="7158" ht="15.0" hidden="1" customHeight="1">
      <c r="A7158" s="59">
        <f t="shared" si="20"/>
        <v>116</v>
      </c>
      <c r="B7158" s="59" t="str">
        <f t="shared" si="21"/>
        <v/>
      </c>
      <c r="C7158" s="59" t="str">
        <f t="shared" si="22"/>
        <v/>
      </c>
      <c r="D7158" s="45" t="str">
        <f t="shared" si="23"/>
        <v/>
      </c>
      <c r="E7158" s="45" t="str">
        <f t="shared" si="24"/>
        <v/>
      </c>
      <c r="F7158" s="59" t="str">
        <f t="shared" si="25"/>
        <v/>
      </c>
      <c r="G7158" s="59" t="str">
        <f t="shared" si="26"/>
        <v/>
      </c>
      <c r="H7158" s="59" t="str">
        <f t="shared" si="27"/>
        <v>28C05090</v>
      </c>
      <c r="I7158" s="59" t="str">
        <f>IF(OR($A7158="",$C7158="",$D7158="",$E7158="",$H7158=""),"",SUMIFS(DATA_GOC!$H:$H,DATA_GOC!$A:$A,"BOM",DATA_GOC!$D:$D,$H7158,DATA_GOC!$E:$E,$C7158,DATA_GOC!$F:$F,"Xuất nội bộ từ téc",DATA_GOC!$B:$B,"&gt;="&amp;$D7158,DATA_GOC!$B:$B,"&lt;="&amp;$E7158))</f>
        <v/>
      </c>
      <c r="J7158" s="59">
        <f t="shared" si="28"/>
        <v>0</v>
      </c>
      <c r="K7158" s="59">
        <f t="shared" si="29"/>
        <v>0</v>
      </c>
      <c r="L7158" s="59">
        <f t="shared" si="30"/>
        <v>0</v>
      </c>
      <c r="M7158" s="59">
        <f t="shared" si="31"/>
        <v>0</v>
      </c>
    </row>
    <row r="7159" ht="15.0" hidden="1" customHeight="1">
      <c r="A7159" s="59">
        <f t="shared" si="20"/>
        <v>116</v>
      </c>
      <c r="B7159" s="59" t="str">
        <f t="shared" si="21"/>
        <v/>
      </c>
      <c r="C7159" s="59" t="str">
        <f t="shared" si="22"/>
        <v/>
      </c>
      <c r="D7159" s="45" t="str">
        <f t="shared" si="23"/>
        <v/>
      </c>
      <c r="E7159" s="45" t="str">
        <f t="shared" si="24"/>
        <v/>
      </c>
      <c r="F7159" s="59" t="str">
        <f t="shared" si="25"/>
        <v/>
      </c>
      <c r="G7159" s="59" t="str">
        <f t="shared" si="26"/>
        <v/>
      </c>
      <c r="H7159" s="59" t="str">
        <f t="shared" si="27"/>
        <v>28C05345</v>
      </c>
      <c r="I7159" s="59" t="str">
        <f>IF(OR($A7159="",$C7159="",$D7159="",$E7159="",$H7159=""),"",SUMIFS(DATA_GOC!$H:$H,DATA_GOC!$A:$A,"BOM",DATA_GOC!$D:$D,$H7159,DATA_GOC!$E:$E,$C7159,DATA_GOC!$F:$F,"Xuất nội bộ từ téc",DATA_GOC!$B:$B,"&gt;="&amp;$D7159,DATA_GOC!$B:$B,"&lt;="&amp;$E7159))</f>
        <v/>
      </c>
      <c r="J7159" s="59">
        <f t="shared" si="28"/>
        <v>0</v>
      </c>
      <c r="K7159" s="59">
        <f t="shared" si="29"/>
        <v>0</v>
      </c>
      <c r="L7159" s="59">
        <f t="shared" si="30"/>
        <v>0</v>
      </c>
      <c r="M7159" s="59">
        <f t="shared" si="31"/>
        <v>0</v>
      </c>
    </row>
    <row r="7160" ht="15.0" hidden="1" customHeight="1">
      <c r="A7160" s="59">
        <f t="shared" si="20"/>
        <v>116</v>
      </c>
      <c r="B7160" s="59" t="str">
        <f t="shared" si="21"/>
        <v/>
      </c>
      <c r="C7160" s="59" t="str">
        <f t="shared" si="22"/>
        <v/>
      </c>
      <c r="D7160" s="45" t="str">
        <f t="shared" si="23"/>
        <v/>
      </c>
      <c r="E7160" s="45" t="str">
        <f t="shared" si="24"/>
        <v/>
      </c>
      <c r="F7160" s="59" t="str">
        <f t="shared" si="25"/>
        <v/>
      </c>
      <c r="G7160" s="59" t="str">
        <f t="shared" si="26"/>
        <v/>
      </c>
      <c r="H7160" s="59" t="str">
        <f t="shared" si="27"/>
        <v>28C05661</v>
      </c>
      <c r="I7160" s="59" t="str">
        <f>IF(OR($A7160="",$C7160="",$D7160="",$E7160="",$H7160=""),"",SUMIFS(DATA_GOC!$H:$H,DATA_GOC!$A:$A,"BOM",DATA_GOC!$D:$D,$H7160,DATA_GOC!$E:$E,$C7160,DATA_GOC!$F:$F,"Xuất nội bộ từ téc",DATA_GOC!$B:$B,"&gt;="&amp;$D7160,DATA_GOC!$B:$B,"&lt;="&amp;$E7160))</f>
        <v/>
      </c>
      <c r="J7160" s="59">
        <f t="shared" si="28"/>
        <v>0</v>
      </c>
      <c r="K7160" s="59">
        <f t="shared" si="29"/>
        <v>0</v>
      </c>
      <c r="L7160" s="59">
        <f t="shared" si="30"/>
        <v>0</v>
      </c>
      <c r="M7160" s="59">
        <f t="shared" si="31"/>
        <v>0</v>
      </c>
    </row>
    <row r="7161" ht="15.0" hidden="1" customHeight="1">
      <c r="A7161" s="59">
        <f t="shared" si="20"/>
        <v>116</v>
      </c>
      <c r="B7161" s="59" t="str">
        <f t="shared" si="21"/>
        <v/>
      </c>
      <c r="C7161" s="59" t="str">
        <f t="shared" si="22"/>
        <v/>
      </c>
      <c r="D7161" s="45" t="str">
        <f t="shared" si="23"/>
        <v/>
      </c>
      <c r="E7161" s="45" t="str">
        <f t="shared" si="24"/>
        <v/>
      </c>
      <c r="F7161" s="59" t="str">
        <f t="shared" si="25"/>
        <v/>
      </c>
      <c r="G7161" s="59" t="str">
        <f t="shared" si="26"/>
        <v/>
      </c>
      <c r="H7161" s="59" t="str">
        <f t="shared" si="27"/>
        <v>28C05739</v>
      </c>
      <c r="I7161" s="59" t="str">
        <f>IF(OR($A7161="",$C7161="",$D7161="",$E7161="",$H7161=""),"",SUMIFS(DATA_GOC!$H:$H,DATA_GOC!$A:$A,"BOM",DATA_GOC!$D:$D,$H7161,DATA_GOC!$E:$E,$C7161,DATA_GOC!$F:$F,"Xuất nội bộ từ téc",DATA_GOC!$B:$B,"&gt;="&amp;$D7161,DATA_GOC!$B:$B,"&lt;="&amp;$E7161))</f>
        <v/>
      </c>
      <c r="J7161" s="59">
        <f t="shared" si="28"/>
        <v>0</v>
      </c>
      <c r="K7161" s="59">
        <f t="shared" si="29"/>
        <v>0</v>
      </c>
      <c r="L7161" s="59">
        <f t="shared" si="30"/>
        <v>0</v>
      </c>
      <c r="M7161" s="59">
        <f t="shared" si="31"/>
        <v>0</v>
      </c>
    </row>
    <row r="7162" ht="15.0" hidden="1" customHeight="1">
      <c r="A7162" s="59">
        <f t="shared" si="20"/>
        <v>116</v>
      </c>
      <c r="B7162" s="59" t="str">
        <f t="shared" si="21"/>
        <v/>
      </c>
      <c r="C7162" s="59" t="str">
        <f t="shared" si="22"/>
        <v/>
      </c>
      <c r="D7162" s="45" t="str">
        <f t="shared" si="23"/>
        <v/>
      </c>
      <c r="E7162" s="45" t="str">
        <f t="shared" si="24"/>
        <v/>
      </c>
      <c r="F7162" s="59" t="str">
        <f t="shared" si="25"/>
        <v/>
      </c>
      <c r="G7162" s="59" t="str">
        <f t="shared" si="26"/>
        <v/>
      </c>
      <c r="H7162" s="59" t="str">
        <f t="shared" si="27"/>
        <v>28C06369</v>
      </c>
      <c r="I7162" s="59" t="str">
        <f>IF(OR($A7162="",$C7162="",$D7162="",$E7162="",$H7162=""),"",SUMIFS(DATA_GOC!$H:$H,DATA_GOC!$A:$A,"BOM",DATA_GOC!$D:$D,$H7162,DATA_GOC!$E:$E,$C7162,DATA_GOC!$F:$F,"Xuất nội bộ từ téc",DATA_GOC!$B:$B,"&gt;="&amp;$D7162,DATA_GOC!$B:$B,"&lt;="&amp;$E7162))</f>
        <v/>
      </c>
      <c r="J7162" s="59">
        <f t="shared" si="28"/>
        <v>0</v>
      </c>
      <c r="K7162" s="59">
        <f t="shared" si="29"/>
        <v>0</v>
      </c>
      <c r="L7162" s="59">
        <f t="shared" si="30"/>
        <v>0</v>
      </c>
      <c r="M7162" s="59">
        <f t="shared" si="31"/>
        <v>0</v>
      </c>
    </row>
    <row r="7163" ht="15.0" hidden="1" customHeight="1">
      <c r="A7163" s="59">
        <f t="shared" si="20"/>
        <v>116</v>
      </c>
      <c r="B7163" s="59" t="str">
        <f t="shared" si="21"/>
        <v/>
      </c>
      <c r="C7163" s="59" t="str">
        <f t="shared" si="22"/>
        <v/>
      </c>
      <c r="D7163" s="45" t="str">
        <f t="shared" si="23"/>
        <v/>
      </c>
      <c r="E7163" s="45" t="str">
        <f t="shared" si="24"/>
        <v/>
      </c>
      <c r="F7163" s="59" t="str">
        <f t="shared" si="25"/>
        <v/>
      </c>
      <c r="G7163" s="59" t="str">
        <f t="shared" si="26"/>
        <v/>
      </c>
      <c r="H7163" s="59" t="str">
        <f t="shared" si="27"/>
        <v>28C06447</v>
      </c>
      <c r="I7163" s="59" t="str">
        <f>IF(OR($A7163="",$C7163="",$D7163="",$E7163="",$H7163=""),"",SUMIFS(DATA_GOC!$H:$H,DATA_GOC!$A:$A,"BOM",DATA_GOC!$D:$D,$H7163,DATA_GOC!$E:$E,$C7163,DATA_GOC!$F:$F,"Xuất nội bộ từ téc",DATA_GOC!$B:$B,"&gt;="&amp;$D7163,DATA_GOC!$B:$B,"&lt;="&amp;$E7163))</f>
        <v/>
      </c>
      <c r="J7163" s="59">
        <f t="shared" si="28"/>
        <v>0</v>
      </c>
      <c r="K7163" s="59">
        <f t="shared" si="29"/>
        <v>0</v>
      </c>
      <c r="L7163" s="59">
        <f t="shared" si="30"/>
        <v>0</v>
      </c>
      <c r="M7163" s="59">
        <f t="shared" si="31"/>
        <v>0</v>
      </c>
    </row>
    <row r="7164" ht="15.0" hidden="1" customHeight="1">
      <c r="A7164" s="59">
        <f t="shared" si="20"/>
        <v>116</v>
      </c>
      <c r="B7164" s="59" t="str">
        <f t="shared" si="21"/>
        <v/>
      </c>
      <c r="C7164" s="59" t="str">
        <f t="shared" si="22"/>
        <v/>
      </c>
      <c r="D7164" s="45" t="str">
        <f t="shared" si="23"/>
        <v/>
      </c>
      <c r="E7164" s="45" t="str">
        <f t="shared" si="24"/>
        <v/>
      </c>
      <c r="F7164" s="59" t="str">
        <f t="shared" si="25"/>
        <v/>
      </c>
      <c r="G7164" s="59" t="str">
        <f t="shared" si="26"/>
        <v/>
      </c>
      <c r="H7164" s="59" t="str">
        <f t="shared" si="27"/>
        <v>28H00003</v>
      </c>
      <c r="I7164" s="59" t="str">
        <f>IF(OR($A7164="",$C7164="",$D7164="",$E7164="",$H7164=""),"",SUMIFS(DATA_GOC!$H:$H,DATA_GOC!$A:$A,"BOM",DATA_GOC!$D:$D,$H7164,DATA_GOC!$E:$E,$C7164,DATA_GOC!$F:$F,"Xuất nội bộ từ téc",DATA_GOC!$B:$B,"&gt;="&amp;$D7164,DATA_GOC!$B:$B,"&lt;="&amp;$E7164))</f>
        <v/>
      </c>
      <c r="J7164" s="59">
        <f t="shared" si="28"/>
        <v>0</v>
      </c>
      <c r="K7164" s="59">
        <f t="shared" si="29"/>
        <v>0</v>
      </c>
      <c r="L7164" s="59">
        <f t="shared" si="30"/>
        <v>0</v>
      </c>
      <c r="M7164" s="59">
        <f t="shared" si="31"/>
        <v>0</v>
      </c>
    </row>
    <row r="7165" ht="15.0" hidden="1" customHeight="1">
      <c r="A7165" s="59">
        <f t="shared" si="20"/>
        <v>116</v>
      </c>
      <c r="B7165" s="59" t="str">
        <f t="shared" si="21"/>
        <v/>
      </c>
      <c r="C7165" s="59" t="str">
        <f t="shared" si="22"/>
        <v/>
      </c>
      <c r="D7165" s="45" t="str">
        <f t="shared" si="23"/>
        <v/>
      </c>
      <c r="E7165" s="45" t="str">
        <f t="shared" si="24"/>
        <v/>
      </c>
      <c r="F7165" s="59" t="str">
        <f t="shared" si="25"/>
        <v/>
      </c>
      <c r="G7165" s="59" t="str">
        <f t="shared" si="26"/>
        <v/>
      </c>
      <c r="H7165" s="59" t="str">
        <f t="shared" si="27"/>
        <v>28H00061</v>
      </c>
      <c r="I7165" s="59" t="str">
        <f>IF(OR($A7165="",$C7165="",$D7165="",$E7165="",$H7165=""),"",SUMIFS(DATA_GOC!$H:$H,DATA_GOC!$A:$A,"BOM",DATA_GOC!$D:$D,$H7165,DATA_GOC!$E:$E,$C7165,DATA_GOC!$F:$F,"Xuất nội bộ từ téc",DATA_GOC!$B:$B,"&gt;="&amp;$D7165,DATA_GOC!$B:$B,"&lt;="&amp;$E7165))</f>
        <v/>
      </c>
      <c r="J7165" s="59">
        <f t="shared" si="28"/>
        <v>0</v>
      </c>
      <c r="K7165" s="59">
        <f t="shared" si="29"/>
        <v>0</v>
      </c>
      <c r="L7165" s="59">
        <f t="shared" si="30"/>
        <v>0</v>
      </c>
      <c r="M7165" s="59">
        <f t="shared" si="31"/>
        <v>0</v>
      </c>
    </row>
    <row r="7166" ht="15.0" hidden="1" customHeight="1">
      <c r="A7166" s="59">
        <f t="shared" si="20"/>
        <v>116</v>
      </c>
      <c r="B7166" s="59" t="str">
        <f t="shared" si="21"/>
        <v/>
      </c>
      <c r="C7166" s="59" t="str">
        <f t="shared" si="22"/>
        <v/>
      </c>
      <c r="D7166" s="45" t="str">
        <f t="shared" si="23"/>
        <v/>
      </c>
      <c r="E7166" s="45" t="str">
        <f t="shared" si="24"/>
        <v/>
      </c>
      <c r="F7166" s="59" t="str">
        <f t="shared" si="25"/>
        <v/>
      </c>
      <c r="G7166" s="59" t="str">
        <f t="shared" si="26"/>
        <v/>
      </c>
      <c r="H7166" s="59" t="str">
        <f t="shared" si="27"/>
        <v>28H00354</v>
      </c>
      <c r="I7166" s="59" t="str">
        <f>IF(OR($A7166="",$C7166="",$D7166="",$E7166="",$H7166=""),"",SUMIFS(DATA_GOC!$H:$H,DATA_GOC!$A:$A,"BOM",DATA_GOC!$D:$D,$H7166,DATA_GOC!$E:$E,$C7166,DATA_GOC!$F:$F,"Xuất nội bộ từ téc",DATA_GOC!$B:$B,"&gt;="&amp;$D7166,DATA_GOC!$B:$B,"&lt;="&amp;$E7166))</f>
        <v/>
      </c>
      <c r="J7166" s="59">
        <f t="shared" si="28"/>
        <v>0</v>
      </c>
      <c r="K7166" s="59">
        <f t="shared" si="29"/>
        <v>0</v>
      </c>
      <c r="L7166" s="59">
        <f t="shared" si="30"/>
        <v>0</v>
      </c>
      <c r="M7166" s="59">
        <f t="shared" si="31"/>
        <v>0</v>
      </c>
    </row>
    <row r="7167" ht="15.0" hidden="1" customHeight="1">
      <c r="A7167" s="59">
        <f t="shared" si="20"/>
        <v>116</v>
      </c>
      <c r="B7167" s="59" t="str">
        <f t="shared" si="21"/>
        <v/>
      </c>
      <c r="C7167" s="59" t="str">
        <f t="shared" si="22"/>
        <v/>
      </c>
      <c r="D7167" s="45" t="str">
        <f t="shared" si="23"/>
        <v/>
      </c>
      <c r="E7167" s="45" t="str">
        <f t="shared" si="24"/>
        <v/>
      </c>
      <c r="F7167" s="59" t="str">
        <f t="shared" si="25"/>
        <v/>
      </c>
      <c r="G7167" s="59" t="str">
        <f t="shared" si="26"/>
        <v/>
      </c>
      <c r="H7167" s="59" t="str">
        <f t="shared" si="27"/>
        <v>28H00603</v>
      </c>
      <c r="I7167" s="59" t="str">
        <f>IF(OR($A7167="",$C7167="",$D7167="",$E7167="",$H7167=""),"",SUMIFS(DATA_GOC!$H:$H,DATA_GOC!$A:$A,"BOM",DATA_GOC!$D:$D,$H7167,DATA_GOC!$E:$E,$C7167,DATA_GOC!$F:$F,"Xuất nội bộ từ téc",DATA_GOC!$B:$B,"&gt;="&amp;$D7167,DATA_GOC!$B:$B,"&lt;="&amp;$E7167))</f>
        <v/>
      </c>
      <c r="J7167" s="59">
        <f t="shared" si="28"/>
        <v>0</v>
      </c>
      <c r="K7167" s="59">
        <f t="shared" si="29"/>
        <v>0</v>
      </c>
      <c r="L7167" s="59">
        <f t="shared" si="30"/>
        <v>0</v>
      </c>
      <c r="M7167" s="59">
        <f t="shared" si="31"/>
        <v>0</v>
      </c>
    </row>
    <row r="7168" ht="15.0" hidden="1" customHeight="1">
      <c r="A7168" s="59">
        <f t="shared" si="20"/>
        <v>116</v>
      </c>
      <c r="B7168" s="59" t="str">
        <f t="shared" si="21"/>
        <v/>
      </c>
      <c r="C7168" s="59" t="str">
        <f t="shared" si="22"/>
        <v/>
      </c>
      <c r="D7168" s="45" t="str">
        <f t="shared" si="23"/>
        <v/>
      </c>
      <c r="E7168" s="45" t="str">
        <f t="shared" si="24"/>
        <v/>
      </c>
      <c r="F7168" s="59" t="str">
        <f t="shared" si="25"/>
        <v/>
      </c>
      <c r="G7168" s="59" t="str">
        <f t="shared" si="26"/>
        <v/>
      </c>
      <c r="H7168" s="59" t="str">
        <f t="shared" si="27"/>
        <v>28H00609</v>
      </c>
      <c r="I7168" s="59" t="str">
        <f>IF(OR($A7168="",$C7168="",$D7168="",$E7168="",$H7168=""),"",SUMIFS(DATA_GOC!$H:$H,DATA_GOC!$A:$A,"BOM",DATA_GOC!$D:$D,$H7168,DATA_GOC!$E:$E,$C7168,DATA_GOC!$F:$F,"Xuất nội bộ từ téc",DATA_GOC!$B:$B,"&gt;="&amp;$D7168,DATA_GOC!$B:$B,"&lt;="&amp;$E7168))</f>
        <v/>
      </c>
      <c r="J7168" s="59">
        <f t="shared" si="28"/>
        <v>0</v>
      </c>
      <c r="K7168" s="59">
        <f t="shared" si="29"/>
        <v>0</v>
      </c>
      <c r="L7168" s="59">
        <f t="shared" si="30"/>
        <v>0</v>
      </c>
      <c r="M7168" s="59">
        <f t="shared" si="31"/>
        <v>0</v>
      </c>
    </row>
    <row r="7169" ht="15.0" hidden="1" customHeight="1">
      <c r="A7169" s="59">
        <f t="shared" si="20"/>
        <v>116</v>
      </c>
      <c r="B7169" s="59" t="str">
        <f t="shared" si="21"/>
        <v/>
      </c>
      <c r="C7169" s="59" t="str">
        <f t="shared" si="22"/>
        <v/>
      </c>
      <c r="D7169" s="45" t="str">
        <f t="shared" si="23"/>
        <v/>
      </c>
      <c r="E7169" s="45" t="str">
        <f t="shared" si="24"/>
        <v/>
      </c>
      <c r="F7169" s="59" t="str">
        <f t="shared" si="25"/>
        <v/>
      </c>
      <c r="G7169" s="59" t="str">
        <f t="shared" si="26"/>
        <v/>
      </c>
      <c r="H7169" s="59" t="str">
        <f t="shared" si="27"/>
        <v>28H00669</v>
      </c>
      <c r="I7169" s="59" t="str">
        <f>IF(OR($A7169="",$C7169="",$D7169="",$E7169="",$H7169=""),"",SUMIFS(DATA_GOC!$H:$H,DATA_GOC!$A:$A,"BOM",DATA_GOC!$D:$D,$H7169,DATA_GOC!$E:$E,$C7169,DATA_GOC!$F:$F,"Xuất nội bộ từ téc",DATA_GOC!$B:$B,"&gt;="&amp;$D7169,DATA_GOC!$B:$B,"&lt;="&amp;$E7169))</f>
        <v/>
      </c>
      <c r="J7169" s="59">
        <f t="shared" si="28"/>
        <v>0</v>
      </c>
      <c r="K7169" s="59">
        <f t="shared" si="29"/>
        <v>0</v>
      </c>
      <c r="L7169" s="59">
        <f t="shared" si="30"/>
        <v>0</v>
      </c>
      <c r="M7169" s="59">
        <f t="shared" si="31"/>
        <v>0</v>
      </c>
    </row>
    <row r="7170" ht="15.0" hidden="1" customHeight="1">
      <c r="A7170" s="59">
        <f t="shared" si="20"/>
        <v>116</v>
      </c>
      <c r="B7170" s="59" t="str">
        <f t="shared" si="21"/>
        <v/>
      </c>
      <c r="C7170" s="59" t="str">
        <f t="shared" si="22"/>
        <v/>
      </c>
      <c r="D7170" s="45" t="str">
        <f t="shared" si="23"/>
        <v/>
      </c>
      <c r="E7170" s="45" t="str">
        <f t="shared" si="24"/>
        <v/>
      </c>
      <c r="F7170" s="59" t="str">
        <f t="shared" si="25"/>
        <v/>
      </c>
      <c r="G7170" s="59" t="str">
        <f t="shared" si="26"/>
        <v/>
      </c>
      <c r="H7170" s="59" t="str">
        <f t="shared" si="27"/>
        <v>28H00680</v>
      </c>
      <c r="I7170" s="59" t="str">
        <f>IF(OR($A7170="",$C7170="",$D7170="",$E7170="",$H7170=""),"",SUMIFS(DATA_GOC!$H:$H,DATA_GOC!$A:$A,"BOM",DATA_GOC!$D:$D,$H7170,DATA_GOC!$E:$E,$C7170,DATA_GOC!$F:$F,"Xuất nội bộ từ téc",DATA_GOC!$B:$B,"&gt;="&amp;$D7170,DATA_GOC!$B:$B,"&lt;="&amp;$E7170))</f>
        <v/>
      </c>
      <c r="J7170" s="59">
        <f t="shared" si="28"/>
        <v>0</v>
      </c>
      <c r="K7170" s="59">
        <f t="shared" si="29"/>
        <v>0</v>
      </c>
      <c r="L7170" s="59">
        <f t="shared" si="30"/>
        <v>0</v>
      </c>
      <c r="M7170" s="59">
        <f t="shared" si="31"/>
        <v>0</v>
      </c>
    </row>
    <row r="7171" ht="15.0" hidden="1" customHeight="1">
      <c r="A7171" s="59">
        <f t="shared" si="20"/>
        <v>116</v>
      </c>
      <c r="B7171" s="59" t="str">
        <f t="shared" si="21"/>
        <v/>
      </c>
      <c r="C7171" s="59" t="str">
        <f t="shared" si="22"/>
        <v/>
      </c>
      <c r="D7171" s="45" t="str">
        <f t="shared" si="23"/>
        <v/>
      </c>
      <c r="E7171" s="45" t="str">
        <f t="shared" si="24"/>
        <v/>
      </c>
      <c r="F7171" s="59" t="str">
        <f t="shared" si="25"/>
        <v/>
      </c>
      <c r="G7171" s="59" t="str">
        <f t="shared" si="26"/>
        <v/>
      </c>
      <c r="H7171" s="59" t="str">
        <f t="shared" si="27"/>
        <v>28H01070</v>
      </c>
      <c r="I7171" s="59" t="str">
        <f>IF(OR($A7171="",$C7171="",$D7171="",$E7171="",$H7171=""),"",SUMIFS(DATA_GOC!$H:$H,DATA_GOC!$A:$A,"BOM",DATA_GOC!$D:$D,$H7171,DATA_GOC!$E:$E,$C7171,DATA_GOC!$F:$F,"Xuất nội bộ từ téc",DATA_GOC!$B:$B,"&gt;="&amp;$D7171,DATA_GOC!$B:$B,"&lt;="&amp;$E7171))</f>
        <v/>
      </c>
      <c r="J7171" s="59">
        <f t="shared" si="28"/>
        <v>0</v>
      </c>
      <c r="K7171" s="59">
        <f t="shared" si="29"/>
        <v>0</v>
      </c>
      <c r="L7171" s="59">
        <f t="shared" si="30"/>
        <v>0</v>
      </c>
      <c r="M7171" s="59">
        <f t="shared" si="31"/>
        <v>0</v>
      </c>
    </row>
    <row r="7172" ht="15.0" hidden="1" customHeight="1">
      <c r="A7172" s="59">
        <f t="shared" si="20"/>
        <v>116</v>
      </c>
      <c r="B7172" s="59" t="str">
        <f t="shared" si="21"/>
        <v/>
      </c>
      <c r="C7172" s="59" t="str">
        <f t="shared" si="22"/>
        <v/>
      </c>
      <c r="D7172" s="45" t="str">
        <f t="shared" si="23"/>
        <v/>
      </c>
      <c r="E7172" s="45" t="str">
        <f t="shared" si="24"/>
        <v/>
      </c>
      <c r="F7172" s="59" t="str">
        <f t="shared" si="25"/>
        <v/>
      </c>
      <c r="G7172" s="59" t="str">
        <f t="shared" si="26"/>
        <v/>
      </c>
      <c r="H7172" s="59" t="str">
        <f t="shared" si="27"/>
        <v>28H01364</v>
      </c>
      <c r="I7172" s="59" t="str">
        <f>IF(OR($A7172="",$C7172="",$D7172="",$E7172="",$H7172=""),"",SUMIFS(DATA_GOC!$H:$H,DATA_GOC!$A:$A,"BOM",DATA_GOC!$D:$D,$H7172,DATA_GOC!$E:$E,$C7172,DATA_GOC!$F:$F,"Xuất nội bộ từ téc",DATA_GOC!$B:$B,"&gt;="&amp;$D7172,DATA_GOC!$B:$B,"&lt;="&amp;$E7172))</f>
        <v/>
      </c>
      <c r="J7172" s="59">
        <f t="shared" si="28"/>
        <v>0</v>
      </c>
      <c r="K7172" s="59">
        <f t="shared" si="29"/>
        <v>0</v>
      </c>
      <c r="L7172" s="59">
        <f t="shared" si="30"/>
        <v>0</v>
      </c>
      <c r="M7172" s="59">
        <f t="shared" si="31"/>
        <v>0</v>
      </c>
    </row>
    <row r="7173" ht="15.0" hidden="1" customHeight="1">
      <c r="A7173" s="59">
        <f t="shared" si="20"/>
        <v>116</v>
      </c>
      <c r="B7173" s="59" t="str">
        <f t="shared" si="21"/>
        <v/>
      </c>
      <c r="C7173" s="59" t="str">
        <f t="shared" si="22"/>
        <v/>
      </c>
      <c r="D7173" s="45" t="str">
        <f t="shared" si="23"/>
        <v/>
      </c>
      <c r="E7173" s="45" t="str">
        <f t="shared" si="24"/>
        <v/>
      </c>
      <c r="F7173" s="59" t="str">
        <f t="shared" si="25"/>
        <v/>
      </c>
      <c r="G7173" s="59" t="str">
        <f t="shared" si="26"/>
        <v/>
      </c>
      <c r="H7173" s="59" t="str">
        <f t="shared" si="27"/>
        <v>29E17269</v>
      </c>
      <c r="I7173" s="59" t="str">
        <f>IF(OR($A7173="",$C7173="",$D7173="",$E7173="",$H7173=""),"",SUMIFS(DATA_GOC!$H:$H,DATA_GOC!$A:$A,"BOM",DATA_GOC!$D:$D,$H7173,DATA_GOC!$E:$E,$C7173,DATA_GOC!$F:$F,"Xuất nội bộ từ téc",DATA_GOC!$B:$B,"&gt;="&amp;$D7173,DATA_GOC!$B:$B,"&lt;="&amp;$E7173))</f>
        <v/>
      </c>
      <c r="J7173" s="59">
        <f t="shared" si="28"/>
        <v>0</v>
      </c>
      <c r="K7173" s="59">
        <f t="shared" si="29"/>
        <v>0</v>
      </c>
      <c r="L7173" s="59">
        <f t="shared" si="30"/>
        <v>0</v>
      </c>
      <c r="M7173" s="59">
        <f t="shared" si="31"/>
        <v>0</v>
      </c>
    </row>
    <row r="7174" ht="15.0" hidden="1" customHeight="1">
      <c r="A7174" s="59">
        <f t="shared" si="20"/>
        <v>116</v>
      </c>
      <c r="B7174" s="59" t="str">
        <f t="shared" si="21"/>
        <v/>
      </c>
      <c r="C7174" s="59" t="str">
        <f t="shared" si="22"/>
        <v/>
      </c>
      <c r="D7174" s="45" t="str">
        <f t="shared" si="23"/>
        <v/>
      </c>
      <c r="E7174" s="45" t="str">
        <f t="shared" si="24"/>
        <v/>
      </c>
      <c r="F7174" s="59" t="str">
        <f t="shared" si="25"/>
        <v/>
      </c>
      <c r="G7174" s="59" t="str">
        <f t="shared" si="26"/>
        <v/>
      </c>
      <c r="H7174" s="59" t="str">
        <f t="shared" si="27"/>
        <v>29E17273</v>
      </c>
      <c r="I7174" s="59" t="str">
        <f>IF(OR($A7174="",$C7174="",$D7174="",$E7174="",$H7174=""),"",SUMIFS(DATA_GOC!$H:$H,DATA_GOC!$A:$A,"BOM",DATA_GOC!$D:$D,$H7174,DATA_GOC!$E:$E,$C7174,DATA_GOC!$F:$F,"Xuất nội bộ từ téc",DATA_GOC!$B:$B,"&gt;="&amp;$D7174,DATA_GOC!$B:$B,"&lt;="&amp;$E7174))</f>
        <v/>
      </c>
      <c r="J7174" s="59">
        <f t="shared" si="28"/>
        <v>0</v>
      </c>
      <c r="K7174" s="59">
        <f t="shared" si="29"/>
        <v>0</v>
      </c>
      <c r="L7174" s="59">
        <f t="shared" si="30"/>
        <v>0</v>
      </c>
      <c r="M7174" s="59">
        <f t="shared" si="31"/>
        <v>0</v>
      </c>
    </row>
    <row r="7175" ht="15.0" hidden="1" customHeight="1">
      <c r="A7175" s="59">
        <f t="shared" si="20"/>
        <v>116</v>
      </c>
      <c r="B7175" s="59" t="str">
        <f t="shared" si="21"/>
        <v/>
      </c>
      <c r="C7175" s="59" t="str">
        <f t="shared" si="22"/>
        <v/>
      </c>
      <c r="D7175" s="45" t="str">
        <f t="shared" si="23"/>
        <v/>
      </c>
      <c r="E7175" s="45" t="str">
        <f t="shared" si="24"/>
        <v/>
      </c>
      <c r="F7175" s="59" t="str">
        <f t="shared" si="25"/>
        <v/>
      </c>
      <c r="G7175" s="59" t="str">
        <f t="shared" si="26"/>
        <v/>
      </c>
      <c r="H7175" s="59" t="str">
        <f t="shared" si="27"/>
        <v>29E17410</v>
      </c>
      <c r="I7175" s="59" t="str">
        <f>IF(OR($A7175="",$C7175="",$D7175="",$E7175="",$H7175=""),"",SUMIFS(DATA_GOC!$H:$H,DATA_GOC!$A:$A,"BOM",DATA_GOC!$D:$D,$H7175,DATA_GOC!$E:$E,$C7175,DATA_GOC!$F:$F,"Xuất nội bộ từ téc",DATA_GOC!$B:$B,"&gt;="&amp;$D7175,DATA_GOC!$B:$B,"&lt;="&amp;$E7175))</f>
        <v/>
      </c>
      <c r="J7175" s="59">
        <f t="shared" si="28"/>
        <v>0</v>
      </c>
      <c r="K7175" s="59">
        <f t="shared" si="29"/>
        <v>0</v>
      </c>
      <c r="L7175" s="59">
        <f t="shared" si="30"/>
        <v>0</v>
      </c>
      <c r="M7175" s="59">
        <f t="shared" si="31"/>
        <v>0</v>
      </c>
    </row>
    <row r="7176" ht="15.0" hidden="1" customHeight="1">
      <c r="A7176" s="59">
        <f t="shared" si="20"/>
        <v>116</v>
      </c>
      <c r="B7176" s="59" t="str">
        <f t="shared" si="21"/>
        <v/>
      </c>
      <c r="C7176" s="59" t="str">
        <f t="shared" si="22"/>
        <v/>
      </c>
      <c r="D7176" s="45" t="str">
        <f t="shared" si="23"/>
        <v/>
      </c>
      <c r="E7176" s="45" t="str">
        <f t="shared" si="24"/>
        <v/>
      </c>
      <c r="F7176" s="59" t="str">
        <f t="shared" si="25"/>
        <v/>
      </c>
      <c r="G7176" s="59" t="str">
        <f t="shared" si="26"/>
        <v/>
      </c>
      <c r="H7176" s="59" t="str">
        <f t="shared" si="27"/>
        <v>29E17417</v>
      </c>
      <c r="I7176" s="59" t="str">
        <f>IF(OR($A7176="",$C7176="",$D7176="",$E7176="",$H7176=""),"",SUMIFS(DATA_GOC!$H:$H,DATA_GOC!$A:$A,"BOM",DATA_GOC!$D:$D,$H7176,DATA_GOC!$E:$E,$C7176,DATA_GOC!$F:$F,"Xuất nội bộ từ téc",DATA_GOC!$B:$B,"&gt;="&amp;$D7176,DATA_GOC!$B:$B,"&lt;="&amp;$E7176))</f>
        <v/>
      </c>
      <c r="J7176" s="59">
        <f t="shared" si="28"/>
        <v>0</v>
      </c>
      <c r="K7176" s="59">
        <f t="shared" si="29"/>
        <v>0</v>
      </c>
      <c r="L7176" s="59">
        <f t="shared" si="30"/>
        <v>0</v>
      </c>
      <c r="M7176" s="59">
        <f t="shared" si="31"/>
        <v>0</v>
      </c>
    </row>
    <row r="7177" ht="15.0" hidden="1" customHeight="1">
      <c r="A7177" s="59">
        <f t="shared" si="20"/>
        <v>116</v>
      </c>
      <c r="B7177" s="59" t="str">
        <f t="shared" si="21"/>
        <v/>
      </c>
      <c r="C7177" s="59" t="str">
        <f t="shared" si="22"/>
        <v/>
      </c>
      <c r="D7177" s="45" t="str">
        <f t="shared" si="23"/>
        <v/>
      </c>
      <c r="E7177" s="45" t="str">
        <f t="shared" si="24"/>
        <v/>
      </c>
      <c r="F7177" s="59" t="str">
        <f t="shared" si="25"/>
        <v/>
      </c>
      <c r="G7177" s="59" t="str">
        <f t="shared" si="26"/>
        <v/>
      </c>
      <c r="H7177" s="59" t="str">
        <f t="shared" si="27"/>
        <v>29E17539</v>
      </c>
      <c r="I7177" s="59" t="str">
        <f>IF(OR($A7177="",$C7177="",$D7177="",$E7177="",$H7177=""),"",SUMIFS(DATA_GOC!$H:$H,DATA_GOC!$A:$A,"BOM",DATA_GOC!$D:$D,$H7177,DATA_GOC!$E:$E,$C7177,DATA_GOC!$F:$F,"Xuất nội bộ từ téc",DATA_GOC!$B:$B,"&gt;="&amp;$D7177,DATA_GOC!$B:$B,"&lt;="&amp;$E7177))</f>
        <v/>
      </c>
      <c r="J7177" s="59">
        <f t="shared" si="28"/>
        <v>0</v>
      </c>
      <c r="K7177" s="59">
        <f t="shared" si="29"/>
        <v>0</v>
      </c>
      <c r="L7177" s="59">
        <f t="shared" si="30"/>
        <v>0</v>
      </c>
      <c r="M7177" s="59">
        <f t="shared" si="31"/>
        <v>0</v>
      </c>
    </row>
    <row r="7178" ht="15.0" hidden="1" customHeight="1">
      <c r="A7178" s="59">
        <f t="shared" si="20"/>
        <v>116</v>
      </c>
      <c r="B7178" s="59" t="str">
        <f t="shared" si="21"/>
        <v/>
      </c>
      <c r="C7178" s="59" t="str">
        <f t="shared" si="22"/>
        <v/>
      </c>
      <c r="D7178" s="45" t="str">
        <f t="shared" si="23"/>
        <v/>
      </c>
      <c r="E7178" s="45" t="str">
        <f t="shared" si="24"/>
        <v/>
      </c>
      <c r="F7178" s="59" t="str">
        <f t="shared" si="25"/>
        <v/>
      </c>
      <c r="G7178" s="59" t="str">
        <f t="shared" si="26"/>
        <v/>
      </c>
      <c r="H7178" s="59" t="str">
        <f t="shared" si="27"/>
        <v>29E18160</v>
      </c>
      <c r="I7178" s="59" t="str">
        <f>IF(OR($A7178="",$C7178="",$D7178="",$E7178="",$H7178=""),"",SUMIFS(DATA_GOC!$H:$H,DATA_GOC!$A:$A,"BOM",DATA_GOC!$D:$D,$H7178,DATA_GOC!$E:$E,$C7178,DATA_GOC!$F:$F,"Xuất nội bộ từ téc",DATA_GOC!$B:$B,"&gt;="&amp;$D7178,DATA_GOC!$B:$B,"&lt;="&amp;$E7178))</f>
        <v/>
      </c>
      <c r="J7178" s="59">
        <f t="shared" si="28"/>
        <v>0</v>
      </c>
      <c r="K7178" s="59">
        <f t="shared" si="29"/>
        <v>0</v>
      </c>
      <c r="L7178" s="59">
        <f t="shared" si="30"/>
        <v>0</v>
      </c>
      <c r="M7178" s="59">
        <f t="shared" si="31"/>
        <v>0</v>
      </c>
    </row>
    <row r="7179" ht="15.0" hidden="1" customHeight="1">
      <c r="A7179" s="59">
        <f t="shared" si="20"/>
        <v>116</v>
      </c>
      <c r="B7179" s="59" t="str">
        <f t="shared" si="21"/>
        <v/>
      </c>
      <c r="C7179" s="59" t="str">
        <f t="shared" si="22"/>
        <v/>
      </c>
      <c r="D7179" s="45" t="str">
        <f t="shared" si="23"/>
        <v/>
      </c>
      <c r="E7179" s="45" t="str">
        <f t="shared" si="24"/>
        <v/>
      </c>
      <c r="F7179" s="59" t="str">
        <f t="shared" si="25"/>
        <v/>
      </c>
      <c r="G7179" s="59" t="str">
        <f t="shared" si="26"/>
        <v/>
      </c>
      <c r="H7179" s="59" t="str">
        <f t="shared" si="27"/>
        <v>Công trình Asphalt</v>
      </c>
      <c r="I7179" s="59" t="str">
        <f>IF(OR($A7179="",$C7179="",$D7179="",$E7179="",$H7179=""),"",SUMIFS(DATA_GOC!$H:$H,DATA_GOC!$A:$A,"BOM",DATA_GOC!$D:$D,$H7179,DATA_GOC!$E:$E,$C7179,DATA_GOC!$F:$F,"Xuất nội bộ từ téc",DATA_GOC!$B:$B,"&gt;="&amp;$D7179,DATA_GOC!$B:$B,"&lt;="&amp;$E7179))</f>
        <v/>
      </c>
      <c r="J7179" s="59">
        <f t="shared" si="28"/>
        <v>0</v>
      </c>
      <c r="K7179" s="59">
        <f t="shared" si="29"/>
        <v>0</v>
      </c>
      <c r="L7179" s="59">
        <f t="shared" si="30"/>
        <v>0</v>
      </c>
      <c r="M7179" s="59">
        <f t="shared" si="31"/>
        <v>0</v>
      </c>
    </row>
    <row r="7180" ht="15.0" hidden="1" customHeight="1">
      <c r="A7180" s="59">
        <f t="shared" si="20"/>
        <v>116</v>
      </c>
      <c r="B7180" s="59" t="str">
        <f t="shared" si="21"/>
        <v/>
      </c>
      <c r="C7180" s="59" t="str">
        <f t="shared" si="22"/>
        <v/>
      </c>
      <c r="D7180" s="45" t="str">
        <f t="shared" si="23"/>
        <v/>
      </c>
      <c r="E7180" s="45" t="str">
        <f t="shared" si="24"/>
        <v/>
      </c>
      <c r="F7180" s="59" t="str">
        <f t="shared" si="25"/>
        <v/>
      </c>
      <c r="G7180" s="59" t="str">
        <f t="shared" si="26"/>
        <v/>
      </c>
      <c r="H7180" s="59" t="str">
        <f t="shared" si="27"/>
        <v>LG53F</v>
      </c>
      <c r="I7180" s="59" t="str">
        <f>IF(OR($A7180="",$C7180="",$D7180="",$E7180="",$H7180=""),"",SUMIFS(DATA_GOC!$H:$H,DATA_GOC!$A:$A,"BOM",DATA_GOC!$D:$D,$H7180,DATA_GOC!$E:$E,$C7180,DATA_GOC!$F:$F,"Xuất nội bộ từ téc",DATA_GOC!$B:$B,"&gt;="&amp;$D7180,DATA_GOC!$B:$B,"&lt;="&amp;$E7180))</f>
        <v/>
      </c>
      <c r="J7180" s="59">
        <f t="shared" si="28"/>
        <v>0</v>
      </c>
      <c r="K7180" s="59">
        <f t="shared" si="29"/>
        <v>0</v>
      </c>
      <c r="L7180" s="59">
        <f t="shared" si="30"/>
        <v>0</v>
      </c>
      <c r="M7180" s="59">
        <f t="shared" si="31"/>
        <v>0</v>
      </c>
    </row>
    <row r="7181" ht="15.0" hidden="1" customHeight="1">
      <c r="A7181" s="59">
        <f t="shared" si="20"/>
        <v>116</v>
      </c>
      <c r="B7181" s="59" t="str">
        <f t="shared" si="21"/>
        <v/>
      </c>
      <c r="C7181" s="59" t="str">
        <f t="shared" si="22"/>
        <v/>
      </c>
      <c r="D7181" s="45" t="str">
        <f t="shared" si="23"/>
        <v/>
      </c>
      <c r="E7181" s="45" t="str">
        <f t="shared" si="24"/>
        <v/>
      </c>
      <c r="F7181" s="59" t="str">
        <f t="shared" si="25"/>
        <v/>
      </c>
      <c r="G7181" s="59" t="str">
        <f t="shared" si="26"/>
        <v/>
      </c>
      <c r="H7181" s="59" t="str">
        <f t="shared" si="27"/>
        <v>Máy phát điện</v>
      </c>
      <c r="I7181" s="59" t="str">
        <f>IF(OR($A7181="",$C7181="",$D7181="",$E7181="",$H7181=""),"",SUMIFS(DATA_GOC!$H:$H,DATA_GOC!$A:$A,"BOM",DATA_GOC!$D:$D,$H7181,DATA_GOC!$E:$E,$C7181,DATA_GOC!$F:$F,"Xuất nội bộ từ téc",DATA_GOC!$B:$B,"&gt;="&amp;$D7181,DATA_GOC!$B:$B,"&lt;="&amp;$E7181))</f>
        <v/>
      </c>
      <c r="J7181" s="59">
        <f t="shared" si="28"/>
        <v>0</v>
      </c>
      <c r="K7181" s="59">
        <f t="shared" si="29"/>
        <v>0</v>
      </c>
      <c r="L7181" s="59">
        <f t="shared" si="30"/>
        <v>0</v>
      </c>
      <c r="M7181" s="59">
        <f t="shared" si="31"/>
        <v>0</v>
      </c>
    </row>
    <row r="7182" ht="15.0" hidden="1" customHeight="1">
      <c r="A7182" s="59">
        <f t="shared" si="20"/>
        <v>116</v>
      </c>
      <c r="B7182" s="59" t="str">
        <f t="shared" si="21"/>
        <v/>
      </c>
      <c r="C7182" s="59" t="str">
        <f t="shared" si="22"/>
        <v/>
      </c>
      <c r="D7182" s="45" t="str">
        <f t="shared" si="23"/>
        <v/>
      </c>
      <c r="E7182" s="45" t="str">
        <f t="shared" si="24"/>
        <v/>
      </c>
      <c r="F7182" s="59" t="str">
        <f t="shared" si="25"/>
        <v/>
      </c>
      <c r="G7182" s="59" t="str">
        <f t="shared" si="26"/>
        <v/>
      </c>
      <c r="H7182" s="59" t="str">
        <f t="shared" si="27"/>
        <v>Máy rải thảm</v>
      </c>
      <c r="I7182" s="59" t="str">
        <f>IF(OR($A7182="",$C7182="",$D7182="",$E7182="",$H7182=""),"",SUMIFS(DATA_GOC!$H:$H,DATA_GOC!$A:$A,"BOM",DATA_GOC!$D:$D,$H7182,DATA_GOC!$E:$E,$C7182,DATA_GOC!$F:$F,"Xuất nội bộ từ téc",DATA_GOC!$B:$B,"&gt;="&amp;$D7182,DATA_GOC!$B:$B,"&lt;="&amp;$E7182))</f>
        <v/>
      </c>
      <c r="J7182" s="59">
        <f t="shared" si="28"/>
        <v>0</v>
      </c>
      <c r="K7182" s="59">
        <f t="shared" si="29"/>
        <v>0</v>
      </c>
      <c r="L7182" s="59">
        <f t="shared" si="30"/>
        <v>0</v>
      </c>
      <c r="M7182" s="59">
        <f t="shared" si="31"/>
        <v>0</v>
      </c>
    </row>
    <row r="7183" ht="15.0" hidden="1" customHeight="1">
      <c r="A7183" s="59">
        <f t="shared" si="20"/>
        <v>116</v>
      </c>
      <c r="B7183" s="59" t="str">
        <f t="shared" si="21"/>
        <v/>
      </c>
      <c r="C7183" s="59" t="str">
        <f t="shared" si="22"/>
        <v/>
      </c>
      <c r="D7183" s="45" t="str">
        <f t="shared" si="23"/>
        <v/>
      </c>
      <c r="E7183" s="45" t="str">
        <f t="shared" si="24"/>
        <v/>
      </c>
      <c r="F7183" s="59" t="str">
        <f t="shared" si="25"/>
        <v/>
      </c>
      <c r="G7183" s="59" t="str">
        <f t="shared" si="26"/>
        <v/>
      </c>
      <c r="H7183" s="59" t="str">
        <f t="shared" si="27"/>
        <v>Xúc Đào</v>
      </c>
      <c r="I7183" s="59" t="str">
        <f>IF(OR($A7183="",$C7183="",$D7183="",$E7183="",$H7183=""),"",SUMIFS(DATA_GOC!$H:$H,DATA_GOC!$A:$A,"BOM",DATA_GOC!$D:$D,$H7183,DATA_GOC!$E:$E,$C7183,DATA_GOC!$F:$F,"Xuất nội bộ từ téc",DATA_GOC!$B:$B,"&gt;="&amp;$D7183,DATA_GOC!$B:$B,"&lt;="&amp;$E7183))</f>
        <v/>
      </c>
      <c r="J7183" s="59">
        <f t="shared" si="28"/>
        <v>0</v>
      </c>
      <c r="K7183" s="59">
        <f t="shared" si="29"/>
        <v>0</v>
      </c>
      <c r="L7183" s="59">
        <f t="shared" si="30"/>
        <v>0</v>
      </c>
      <c r="M7183" s="59">
        <f t="shared" si="31"/>
        <v>0</v>
      </c>
    </row>
    <row r="7184" ht="15.0" hidden="1" customHeight="1">
      <c r="A7184" s="59">
        <f t="shared" si="20"/>
        <v>116</v>
      </c>
      <c r="B7184" s="59" t="str">
        <f t="shared" si="21"/>
        <v/>
      </c>
      <c r="C7184" s="59" t="str">
        <f t="shared" si="22"/>
        <v/>
      </c>
      <c r="D7184" s="45" t="str">
        <f t="shared" si="23"/>
        <v/>
      </c>
      <c r="E7184" s="45" t="str">
        <f t="shared" si="24"/>
        <v/>
      </c>
      <c r="F7184" s="59" t="str">
        <f t="shared" si="25"/>
        <v/>
      </c>
      <c r="G7184" s="59" t="str">
        <f t="shared" si="26"/>
        <v/>
      </c>
      <c r="H7184" s="59" t="str">
        <f t="shared" si="27"/>
        <v>Xúclật asphalt</v>
      </c>
      <c r="I7184" s="59" t="str">
        <f>IF(OR($A7184="",$C7184="",$D7184="",$E7184="",$H7184=""),"",SUMIFS(DATA_GOC!$H:$H,DATA_GOC!$A:$A,"BOM",DATA_GOC!$D:$D,$H7184,DATA_GOC!$E:$E,$C7184,DATA_GOC!$F:$F,"Xuất nội bộ từ téc",DATA_GOC!$B:$B,"&gt;="&amp;$D7184,DATA_GOC!$B:$B,"&lt;="&amp;$E7184))</f>
        <v/>
      </c>
      <c r="J7184" s="59">
        <f t="shared" si="28"/>
        <v>0</v>
      </c>
      <c r="K7184" s="59">
        <f t="shared" si="29"/>
        <v>0</v>
      </c>
      <c r="L7184" s="59">
        <f t="shared" si="30"/>
        <v>0</v>
      </c>
      <c r="M7184" s="59">
        <f t="shared" si="31"/>
        <v>0</v>
      </c>
    </row>
    <row r="7185" ht="15.0" hidden="1" customHeight="1">
      <c r="A7185" s="59">
        <f t="shared" si="20"/>
        <v>116</v>
      </c>
      <c r="B7185" s="59" t="str">
        <f t="shared" si="21"/>
        <v/>
      </c>
      <c r="C7185" s="59" t="str">
        <f t="shared" si="22"/>
        <v/>
      </c>
      <c r="D7185" s="45" t="str">
        <f t="shared" si="23"/>
        <v/>
      </c>
      <c r="E7185" s="45" t="str">
        <f t="shared" si="24"/>
        <v/>
      </c>
      <c r="F7185" s="59" t="str">
        <f t="shared" si="25"/>
        <v/>
      </c>
      <c r="G7185" s="59" t="str">
        <f t="shared" si="26"/>
        <v/>
      </c>
      <c r="H7185" s="59" t="str">
        <f t="shared" si="27"/>
        <v>Xúclật855H</v>
      </c>
      <c r="I7185" s="59" t="str">
        <f>IF(OR($A7185="",$C7185="",$D7185="",$E7185="",$H7185=""),"",SUMIFS(DATA_GOC!$H:$H,DATA_GOC!$A:$A,"BOM",DATA_GOC!$D:$D,$H7185,DATA_GOC!$E:$E,$C7185,DATA_GOC!$F:$F,"Xuất nội bộ từ téc",DATA_GOC!$B:$B,"&gt;="&amp;$D7185,DATA_GOC!$B:$B,"&lt;="&amp;$E7185))</f>
        <v/>
      </c>
      <c r="J7185" s="59">
        <f t="shared" si="28"/>
        <v>0</v>
      </c>
      <c r="K7185" s="59">
        <f t="shared" si="29"/>
        <v>0</v>
      </c>
      <c r="L7185" s="59">
        <f t="shared" si="30"/>
        <v>0</v>
      </c>
      <c r="M7185" s="59">
        <f t="shared" si="31"/>
        <v>0</v>
      </c>
    </row>
    <row r="7186" ht="15.0" hidden="1" customHeight="1">
      <c r="A7186" s="59">
        <f t="shared" si="20"/>
        <v>116</v>
      </c>
      <c r="B7186" s="59" t="str">
        <f t="shared" si="21"/>
        <v/>
      </c>
      <c r="C7186" s="59" t="str">
        <f t="shared" si="22"/>
        <v/>
      </c>
      <c r="D7186" s="45" t="str">
        <f t="shared" si="23"/>
        <v/>
      </c>
      <c r="E7186" s="45" t="str">
        <f t="shared" si="24"/>
        <v/>
      </c>
      <c r="F7186" s="59" t="str">
        <f t="shared" si="25"/>
        <v/>
      </c>
      <c r="G7186" s="59" t="str">
        <f t="shared" si="26"/>
        <v/>
      </c>
      <c r="H7186" s="59" t="str">
        <f t="shared" si="27"/>
        <v>Xúclật855N</v>
      </c>
      <c r="I7186" s="59" t="str">
        <f>IF(OR($A7186="",$C7186="",$D7186="",$E7186="",$H7186=""),"",SUMIFS(DATA_GOC!$H:$H,DATA_GOC!$A:$A,"BOM",DATA_GOC!$D:$D,$H7186,DATA_GOC!$E:$E,$C7186,DATA_GOC!$F:$F,"Xuất nội bộ từ téc",DATA_GOC!$B:$B,"&gt;="&amp;$D7186,DATA_GOC!$B:$B,"&lt;="&amp;$E7186))</f>
        <v/>
      </c>
      <c r="J7186" s="59">
        <f t="shared" si="28"/>
        <v>0</v>
      </c>
      <c r="K7186" s="59">
        <f t="shared" si="29"/>
        <v>0</v>
      </c>
      <c r="L7186" s="59">
        <f t="shared" si="30"/>
        <v>0</v>
      </c>
      <c r="M7186" s="59">
        <f t="shared" si="31"/>
        <v>0</v>
      </c>
    </row>
    <row r="7187" ht="15.0" hidden="1" customHeight="1">
      <c r="A7187" s="59">
        <f t="shared" si="20"/>
        <v>116</v>
      </c>
      <c r="B7187" s="59" t="str">
        <f t="shared" si="21"/>
        <v/>
      </c>
      <c r="C7187" s="59" t="str">
        <f t="shared" si="22"/>
        <v/>
      </c>
      <c r="D7187" s="45" t="str">
        <f t="shared" si="23"/>
        <v/>
      </c>
      <c r="E7187" s="45" t="str">
        <f t="shared" si="24"/>
        <v/>
      </c>
      <c r="F7187" s="59" t="str">
        <f t="shared" si="25"/>
        <v/>
      </c>
      <c r="G7187" s="59" t="str">
        <f t="shared" si="26"/>
        <v/>
      </c>
      <c r="H7187" s="59" t="str">
        <f t="shared" si="27"/>
        <v>Cát nghiền</v>
      </c>
      <c r="I7187" s="59" t="str">
        <f>IF(OR($A7187="",$C7187="",$D7187="",$E7187="",$H7187=""),"",SUMIFS(DATA_GOC!$H:$H,DATA_GOC!$A:$A,"BOM",DATA_GOC!$D:$D,$H7187,DATA_GOC!$E:$E,$C7187,DATA_GOC!$F:$F,"Xuất nội bộ từ téc",DATA_GOC!$B:$B,"&gt;="&amp;$D7187,DATA_GOC!$B:$B,"&lt;="&amp;$E7187))</f>
        <v/>
      </c>
      <c r="J7187" s="59">
        <f t="shared" si="28"/>
        <v>0</v>
      </c>
      <c r="K7187" s="59">
        <f t="shared" si="29"/>
        <v>0</v>
      </c>
      <c r="L7187" s="59">
        <f t="shared" si="30"/>
        <v>0</v>
      </c>
      <c r="M7187" s="59">
        <f t="shared" si="31"/>
        <v>0</v>
      </c>
    </row>
    <row r="7188" ht="15.0" hidden="1" customHeight="1">
      <c r="A7188" s="59">
        <f t="shared" si="20"/>
        <v>116</v>
      </c>
      <c r="B7188" s="59" t="str">
        <f t="shared" si="21"/>
        <v/>
      </c>
      <c r="C7188" s="59" t="str">
        <f t="shared" si="22"/>
        <v/>
      </c>
      <c r="D7188" s="45" t="str">
        <f t="shared" si="23"/>
        <v/>
      </c>
      <c r="E7188" s="45" t="str">
        <f t="shared" si="24"/>
        <v/>
      </c>
      <c r="F7188" s="59" t="str">
        <f t="shared" si="25"/>
        <v/>
      </c>
      <c r="G7188" s="59" t="str">
        <f t="shared" si="26"/>
        <v/>
      </c>
      <c r="H7188" s="59" t="str">
        <f t="shared" si="27"/>
        <v>28C02973</v>
      </c>
      <c r="I7188" s="59" t="str">
        <f>IF(OR($A7188="",$C7188="",$D7188="",$E7188="",$H7188=""),"",SUMIFS(DATA_GOC!$H:$H,DATA_GOC!$A:$A,"BOM",DATA_GOC!$D:$D,$H7188,DATA_GOC!$E:$E,$C7188,DATA_GOC!$F:$F,"Xuất nội bộ từ téc",DATA_GOC!$B:$B,"&gt;="&amp;$D7188,DATA_GOC!$B:$B,"&lt;="&amp;$E7188))</f>
        <v/>
      </c>
      <c r="J7188" s="59">
        <f t="shared" si="28"/>
        <v>0</v>
      </c>
      <c r="K7188" s="59">
        <f t="shared" si="29"/>
        <v>0</v>
      </c>
      <c r="L7188" s="59">
        <f t="shared" si="30"/>
        <v>0</v>
      </c>
      <c r="M7188" s="59">
        <f t="shared" si="31"/>
        <v>0</v>
      </c>
    </row>
    <row r="7189" ht="15.0" hidden="1" customHeight="1">
      <c r="A7189" s="59">
        <f t="shared" si="20"/>
        <v>116</v>
      </c>
      <c r="B7189" s="59" t="str">
        <f t="shared" si="21"/>
        <v/>
      </c>
      <c r="C7189" s="59" t="str">
        <f t="shared" si="22"/>
        <v/>
      </c>
      <c r="D7189" s="45" t="str">
        <f t="shared" si="23"/>
        <v/>
      </c>
      <c r="E7189" s="45" t="str">
        <f t="shared" si="24"/>
        <v/>
      </c>
      <c r="F7189" s="59" t="str">
        <f t="shared" si="25"/>
        <v/>
      </c>
      <c r="G7189" s="59" t="str">
        <f t="shared" si="26"/>
        <v/>
      </c>
      <c r="H7189" s="59" t="str">
        <f t="shared" si="27"/>
        <v>28C03044</v>
      </c>
      <c r="I7189" s="59" t="str">
        <f>IF(OR($A7189="",$C7189="",$D7189="",$E7189="",$H7189=""),"",SUMIFS(DATA_GOC!$H:$H,DATA_GOC!$A:$A,"BOM",DATA_GOC!$D:$D,$H7189,DATA_GOC!$E:$E,$C7189,DATA_GOC!$F:$F,"Xuất nội bộ từ téc",DATA_GOC!$B:$B,"&gt;="&amp;$D7189,DATA_GOC!$B:$B,"&lt;="&amp;$E7189))</f>
        <v/>
      </c>
      <c r="J7189" s="59">
        <f t="shared" si="28"/>
        <v>0</v>
      </c>
      <c r="K7189" s="59">
        <f t="shared" si="29"/>
        <v>0</v>
      </c>
      <c r="L7189" s="59">
        <f t="shared" si="30"/>
        <v>0</v>
      </c>
      <c r="M7189" s="59">
        <f t="shared" si="31"/>
        <v>0</v>
      </c>
    </row>
    <row r="7190" ht="15.0" hidden="1" customHeight="1">
      <c r="A7190" s="59">
        <f t="shared" si="20"/>
        <v>116</v>
      </c>
      <c r="B7190" s="59" t="str">
        <f t="shared" si="21"/>
        <v/>
      </c>
      <c r="C7190" s="59" t="str">
        <f t="shared" si="22"/>
        <v/>
      </c>
      <c r="D7190" s="45" t="str">
        <f t="shared" si="23"/>
        <v/>
      </c>
      <c r="E7190" s="45" t="str">
        <f t="shared" si="24"/>
        <v/>
      </c>
      <c r="F7190" s="59" t="str">
        <f t="shared" si="25"/>
        <v/>
      </c>
      <c r="G7190" s="59" t="str">
        <f t="shared" si="26"/>
        <v/>
      </c>
      <c r="H7190" s="59" t="str">
        <f t="shared" si="27"/>
        <v>Máy lu lốp</v>
      </c>
      <c r="I7190" s="59" t="str">
        <f>IF(OR($A7190="",$C7190="",$D7190="",$E7190="",$H7190=""),"",SUMIFS(DATA_GOC!$H:$H,DATA_GOC!$A:$A,"BOM",DATA_GOC!$D:$D,$H7190,DATA_GOC!$E:$E,$C7190,DATA_GOC!$F:$F,"Xuất nội bộ từ téc",DATA_GOC!$B:$B,"&gt;="&amp;$D7190,DATA_GOC!$B:$B,"&lt;="&amp;$E7190))</f>
        <v/>
      </c>
      <c r="J7190" s="59">
        <f t="shared" si="28"/>
        <v>0</v>
      </c>
      <c r="K7190" s="59">
        <f t="shared" si="29"/>
        <v>0</v>
      </c>
      <c r="L7190" s="59">
        <f t="shared" si="30"/>
        <v>0</v>
      </c>
      <c r="M7190" s="59">
        <f t="shared" si="31"/>
        <v>0</v>
      </c>
    </row>
    <row r="7191" ht="15.0" hidden="1" customHeight="1">
      <c r="A7191" s="59">
        <f t="shared" si="20"/>
        <v>116</v>
      </c>
      <c r="B7191" s="59" t="str">
        <f t="shared" si="21"/>
        <v/>
      </c>
      <c r="C7191" s="59" t="str">
        <f t="shared" si="22"/>
        <v/>
      </c>
      <c r="D7191" s="45" t="str">
        <f t="shared" si="23"/>
        <v/>
      </c>
      <c r="E7191" s="45" t="str">
        <f t="shared" si="24"/>
        <v/>
      </c>
      <c r="F7191" s="59" t="str">
        <f t="shared" si="25"/>
        <v/>
      </c>
      <c r="G7191" s="59" t="str">
        <f t="shared" si="26"/>
        <v/>
      </c>
      <c r="H7191" s="59" t="str">
        <f t="shared" si="27"/>
        <v>Xe 600148</v>
      </c>
      <c r="I7191" s="59" t="str">
        <f>IF(OR($A7191="",$C7191="",$D7191="",$E7191="",$H7191=""),"",SUMIFS(DATA_GOC!$H:$H,DATA_GOC!$A:$A,"BOM",DATA_GOC!$D:$D,$H7191,DATA_GOC!$E:$E,$C7191,DATA_GOC!$F:$F,"Xuất nội bộ từ téc",DATA_GOC!$B:$B,"&gt;="&amp;$D7191,DATA_GOC!$B:$B,"&lt;="&amp;$E7191))</f>
        <v/>
      </c>
      <c r="J7191" s="59">
        <f t="shared" si="28"/>
        <v>0</v>
      </c>
      <c r="K7191" s="59">
        <f t="shared" si="29"/>
        <v>0</v>
      </c>
      <c r="L7191" s="59">
        <f t="shared" si="30"/>
        <v>0</v>
      </c>
      <c r="M7191" s="59">
        <f t="shared" si="31"/>
        <v>0</v>
      </c>
    </row>
    <row r="7192" ht="15.0" hidden="1" customHeight="1">
      <c r="A7192" s="59">
        <f t="shared" si="20"/>
        <v>116</v>
      </c>
      <c r="B7192" s="59" t="str">
        <f t="shared" si="21"/>
        <v/>
      </c>
      <c r="C7192" s="59" t="str">
        <f t="shared" si="22"/>
        <v/>
      </c>
      <c r="D7192" s="45" t="str">
        <f t="shared" si="23"/>
        <v/>
      </c>
      <c r="E7192" s="45" t="str">
        <f t="shared" si="24"/>
        <v/>
      </c>
      <c r="F7192" s="59" t="str">
        <f t="shared" si="25"/>
        <v/>
      </c>
      <c r="G7192" s="59" t="str">
        <f t="shared" si="26"/>
        <v/>
      </c>
      <c r="H7192" s="59" t="str">
        <f t="shared" si="27"/>
        <v>Xe ben mới</v>
      </c>
      <c r="I7192" s="59" t="str">
        <f>IF(OR($A7192="",$C7192="",$D7192="",$E7192="",$H7192=""),"",SUMIFS(DATA_GOC!$H:$H,DATA_GOC!$A:$A,"BOM",DATA_GOC!$D:$D,$H7192,DATA_GOC!$E:$E,$C7192,DATA_GOC!$F:$F,"Xuất nội bộ từ téc",DATA_GOC!$B:$B,"&gt;="&amp;$D7192,DATA_GOC!$B:$B,"&lt;="&amp;$E7192))</f>
        <v/>
      </c>
      <c r="J7192" s="59">
        <f t="shared" si="28"/>
        <v>0</v>
      </c>
      <c r="K7192" s="59">
        <f t="shared" si="29"/>
        <v>0</v>
      </c>
      <c r="L7192" s="59">
        <f t="shared" si="30"/>
        <v>0</v>
      </c>
      <c r="M7192" s="59">
        <f t="shared" si="31"/>
        <v>0</v>
      </c>
    </row>
    <row r="7193" ht="15.0" hidden="1" customHeight="1">
      <c r="A7193" s="59">
        <f t="shared" si="20"/>
        <v>117</v>
      </c>
      <c r="B7193" s="59" t="str">
        <f t="shared" si="21"/>
        <v/>
      </c>
      <c r="C7193" s="59" t="str">
        <f t="shared" si="22"/>
        <v/>
      </c>
      <c r="D7193" s="45" t="str">
        <f t="shared" si="23"/>
        <v/>
      </c>
      <c r="E7193" s="45" t="str">
        <f t="shared" si="24"/>
        <v/>
      </c>
      <c r="F7193" s="59" t="str">
        <f t="shared" si="25"/>
        <v/>
      </c>
      <c r="G7193" s="59" t="str">
        <f t="shared" si="26"/>
        <v/>
      </c>
      <c r="H7193" s="59" t="str">
        <f t="shared" si="27"/>
        <v>19H09482</v>
      </c>
      <c r="I7193" s="59" t="str">
        <f>IF(OR($A7193="",$C7193="",$D7193="",$E7193="",$H7193=""),"",SUMIFS(DATA_GOC!$H:$H,DATA_GOC!$A:$A,"BOM",DATA_GOC!$D:$D,$H7193,DATA_GOC!$E:$E,$C7193,DATA_GOC!$F:$F,"Xuất nội bộ từ téc",DATA_GOC!$B:$B,"&gt;="&amp;$D7193,DATA_GOC!$B:$B,"&lt;="&amp;$E7193))</f>
        <v/>
      </c>
      <c r="J7193" s="59">
        <f t="shared" si="28"/>
        <v>0</v>
      </c>
      <c r="K7193" s="59">
        <f t="shared" si="29"/>
        <v>0</v>
      </c>
      <c r="L7193" s="59">
        <f t="shared" si="30"/>
        <v>0</v>
      </c>
      <c r="M7193" s="59">
        <f t="shared" si="31"/>
        <v>0</v>
      </c>
    </row>
    <row r="7194" ht="15.0" hidden="1" customHeight="1">
      <c r="A7194" s="59">
        <f t="shared" si="20"/>
        <v>117</v>
      </c>
      <c r="B7194" s="59" t="str">
        <f t="shared" si="21"/>
        <v/>
      </c>
      <c r="C7194" s="59" t="str">
        <f t="shared" si="22"/>
        <v/>
      </c>
      <c r="D7194" s="45" t="str">
        <f t="shared" si="23"/>
        <v/>
      </c>
      <c r="E7194" s="45" t="str">
        <f t="shared" si="24"/>
        <v/>
      </c>
      <c r="F7194" s="59" t="str">
        <f t="shared" si="25"/>
        <v/>
      </c>
      <c r="G7194" s="59" t="str">
        <f t="shared" si="26"/>
        <v/>
      </c>
      <c r="H7194" s="59" t="str">
        <f t="shared" si="27"/>
        <v>28A30696</v>
      </c>
      <c r="I7194" s="59" t="str">
        <f>IF(OR($A7194="",$C7194="",$D7194="",$E7194="",$H7194=""),"",SUMIFS(DATA_GOC!$H:$H,DATA_GOC!$A:$A,"BOM",DATA_GOC!$D:$D,$H7194,DATA_GOC!$E:$E,$C7194,DATA_GOC!$F:$F,"Xuất nội bộ từ téc",DATA_GOC!$B:$B,"&gt;="&amp;$D7194,DATA_GOC!$B:$B,"&lt;="&amp;$E7194))</f>
        <v/>
      </c>
      <c r="J7194" s="59">
        <f t="shared" si="28"/>
        <v>0</v>
      </c>
      <c r="K7194" s="59">
        <f t="shared" si="29"/>
        <v>0</v>
      </c>
      <c r="L7194" s="59">
        <f t="shared" si="30"/>
        <v>0</v>
      </c>
      <c r="M7194" s="59">
        <f t="shared" si="31"/>
        <v>0</v>
      </c>
    </row>
    <row r="7195" ht="15.0" hidden="1" customHeight="1">
      <c r="A7195" s="59">
        <f t="shared" si="20"/>
        <v>117</v>
      </c>
      <c r="B7195" s="59" t="str">
        <f t="shared" si="21"/>
        <v/>
      </c>
      <c r="C7195" s="59" t="str">
        <f t="shared" si="22"/>
        <v/>
      </c>
      <c r="D7195" s="45" t="str">
        <f t="shared" si="23"/>
        <v/>
      </c>
      <c r="E7195" s="45" t="str">
        <f t="shared" si="24"/>
        <v/>
      </c>
      <c r="F7195" s="59" t="str">
        <f t="shared" si="25"/>
        <v/>
      </c>
      <c r="G7195" s="59" t="str">
        <f t="shared" si="26"/>
        <v/>
      </c>
      <c r="H7195" s="59" t="str">
        <f t="shared" si="27"/>
        <v>28C00462</v>
      </c>
      <c r="I7195" s="59" t="str">
        <f>IF(OR($A7195="",$C7195="",$D7195="",$E7195="",$H7195=""),"",SUMIFS(DATA_GOC!$H:$H,DATA_GOC!$A:$A,"BOM",DATA_GOC!$D:$D,$H7195,DATA_GOC!$E:$E,$C7195,DATA_GOC!$F:$F,"Xuất nội bộ từ téc",DATA_GOC!$B:$B,"&gt;="&amp;$D7195,DATA_GOC!$B:$B,"&lt;="&amp;$E7195))</f>
        <v/>
      </c>
      <c r="J7195" s="59">
        <f t="shared" si="28"/>
        <v>0</v>
      </c>
      <c r="K7195" s="59">
        <f t="shared" si="29"/>
        <v>0</v>
      </c>
      <c r="L7195" s="59">
        <f t="shared" si="30"/>
        <v>0</v>
      </c>
      <c r="M7195" s="59">
        <f t="shared" si="31"/>
        <v>0</v>
      </c>
    </row>
    <row r="7196" ht="15.0" hidden="1" customHeight="1">
      <c r="A7196" s="59">
        <f t="shared" si="20"/>
        <v>117</v>
      </c>
      <c r="B7196" s="59" t="str">
        <f t="shared" si="21"/>
        <v/>
      </c>
      <c r="C7196" s="59" t="str">
        <f t="shared" si="22"/>
        <v/>
      </c>
      <c r="D7196" s="45" t="str">
        <f t="shared" si="23"/>
        <v/>
      </c>
      <c r="E7196" s="45" t="str">
        <f t="shared" si="24"/>
        <v/>
      </c>
      <c r="F7196" s="59" t="str">
        <f t="shared" si="25"/>
        <v/>
      </c>
      <c r="G7196" s="59" t="str">
        <f t="shared" si="26"/>
        <v/>
      </c>
      <c r="H7196" s="59" t="str">
        <f t="shared" si="27"/>
        <v>28C01165</v>
      </c>
      <c r="I7196" s="59" t="str">
        <f>IF(OR($A7196="",$C7196="",$D7196="",$E7196="",$H7196=""),"",SUMIFS(DATA_GOC!$H:$H,DATA_GOC!$A:$A,"BOM",DATA_GOC!$D:$D,$H7196,DATA_GOC!$E:$E,$C7196,DATA_GOC!$F:$F,"Xuất nội bộ từ téc",DATA_GOC!$B:$B,"&gt;="&amp;$D7196,DATA_GOC!$B:$B,"&lt;="&amp;$E7196))</f>
        <v/>
      </c>
      <c r="J7196" s="59">
        <f t="shared" si="28"/>
        <v>0</v>
      </c>
      <c r="K7196" s="59">
        <f t="shared" si="29"/>
        <v>0</v>
      </c>
      <c r="L7196" s="59">
        <f t="shared" si="30"/>
        <v>0</v>
      </c>
      <c r="M7196" s="59">
        <f t="shared" si="31"/>
        <v>0</v>
      </c>
    </row>
    <row r="7197" ht="15.0" hidden="1" customHeight="1">
      <c r="A7197" s="59">
        <f t="shared" si="20"/>
        <v>117</v>
      </c>
      <c r="B7197" s="59" t="str">
        <f t="shared" si="21"/>
        <v/>
      </c>
      <c r="C7197" s="59" t="str">
        <f t="shared" si="22"/>
        <v/>
      </c>
      <c r="D7197" s="45" t="str">
        <f t="shared" si="23"/>
        <v/>
      </c>
      <c r="E7197" s="45" t="str">
        <f t="shared" si="24"/>
        <v/>
      </c>
      <c r="F7197" s="59" t="str">
        <f t="shared" si="25"/>
        <v/>
      </c>
      <c r="G7197" s="59" t="str">
        <f t="shared" si="26"/>
        <v/>
      </c>
      <c r="H7197" s="59" t="str">
        <f t="shared" si="27"/>
        <v>28C01406</v>
      </c>
      <c r="I7197" s="59" t="str">
        <f>IF(OR($A7197="",$C7197="",$D7197="",$E7197="",$H7197=""),"",SUMIFS(DATA_GOC!$H:$H,DATA_GOC!$A:$A,"BOM",DATA_GOC!$D:$D,$H7197,DATA_GOC!$E:$E,$C7197,DATA_GOC!$F:$F,"Xuất nội bộ từ téc",DATA_GOC!$B:$B,"&gt;="&amp;$D7197,DATA_GOC!$B:$B,"&lt;="&amp;$E7197))</f>
        <v/>
      </c>
      <c r="J7197" s="59">
        <f t="shared" si="28"/>
        <v>0</v>
      </c>
      <c r="K7197" s="59">
        <f t="shared" si="29"/>
        <v>0</v>
      </c>
      <c r="L7197" s="59">
        <f t="shared" si="30"/>
        <v>0</v>
      </c>
      <c r="M7197" s="59">
        <f t="shared" si="31"/>
        <v>0</v>
      </c>
    </row>
    <row r="7198" ht="15.0" hidden="1" customHeight="1">
      <c r="A7198" s="59">
        <f t="shared" si="20"/>
        <v>117</v>
      </c>
      <c r="B7198" s="59" t="str">
        <f t="shared" si="21"/>
        <v/>
      </c>
      <c r="C7198" s="59" t="str">
        <f t="shared" si="22"/>
        <v/>
      </c>
      <c r="D7198" s="45" t="str">
        <f t="shared" si="23"/>
        <v/>
      </c>
      <c r="E7198" s="45" t="str">
        <f t="shared" si="24"/>
        <v/>
      </c>
      <c r="F7198" s="59" t="str">
        <f t="shared" si="25"/>
        <v/>
      </c>
      <c r="G7198" s="59" t="str">
        <f t="shared" si="26"/>
        <v/>
      </c>
      <c r="H7198" s="59" t="str">
        <f t="shared" si="27"/>
        <v>28C01544</v>
      </c>
      <c r="I7198" s="59" t="str">
        <f>IF(OR($A7198="",$C7198="",$D7198="",$E7198="",$H7198=""),"",SUMIFS(DATA_GOC!$H:$H,DATA_GOC!$A:$A,"BOM",DATA_GOC!$D:$D,$H7198,DATA_GOC!$E:$E,$C7198,DATA_GOC!$F:$F,"Xuất nội bộ từ téc",DATA_GOC!$B:$B,"&gt;="&amp;$D7198,DATA_GOC!$B:$B,"&lt;="&amp;$E7198))</f>
        <v/>
      </c>
      <c r="J7198" s="59">
        <f t="shared" si="28"/>
        <v>0</v>
      </c>
      <c r="K7198" s="59">
        <f t="shared" si="29"/>
        <v>0</v>
      </c>
      <c r="L7198" s="59">
        <f t="shared" si="30"/>
        <v>0</v>
      </c>
      <c r="M7198" s="59">
        <f t="shared" si="31"/>
        <v>0</v>
      </c>
    </row>
    <row r="7199" ht="15.0" hidden="1" customHeight="1">
      <c r="A7199" s="59">
        <f t="shared" si="20"/>
        <v>117</v>
      </c>
      <c r="B7199" s="59" t="str">
        <f t="shared" si="21"/>
        <v/>
      </c>
      <c r="C7199" s="59" t="str">
        <f t="shared" si="22"/>
        <v/>
      </c>
      <c r="D7199" s="45" t="str">
        <f t="shared" si="23"/>
        <v/>
      </c>
      <c r="E7199" s="45" t="str">
        <f t="shared" si="24"/>
        <v/>
      </c>
      <c r="F7199" s="59" t="str">
        <f t="shared" si="25"/>
        <v/>
      </c>
      <c r="G7199" s="59" t="str">
        <f t="shared" si="26"/>
        <v/>
      </c>
      <c r="H7199" s="59" t="str">
        <f t="shared" si="27"/>
        <v>28C01622</v>
      </c>
      <c r="I7199" s="59" t="str">
        <f>IF(OR($A7199="",$C7199="",$D7199="",$E7199="",$H7199=""),"",SUMIFS(DATA_GOC!$H:$H,DATA_GOC!$A:$A,"BOM",DATA_GOC!$D:$D,$H7199,DATA_GOC!$E:$E,$C7199,DATA_GOC!$F:$F,"Xuất nội bộ từ téc",DATA_GOC!$B:$B,"&gt;="&amp;$D7199,DATA_GOC!$B:$B,"&lt;="&amp;$E7199))</f>
        <v/>
      </c>
      <c r="J7199" s="59">
        <f t="shared" si="28"/>
        <v>0</v>
      </c>
      <c r="K7199" s="59">
        <f t="shared" si="29"/>
        <v>0</v>
      </c>
      <c r="L7199" s="59">
        <f t="shared" si="30"/>
        <v>0</v>
      </c>
      <c r="M7199" s="59">
        <f t="shared" si="31"/>
        <v>0</v>
      </c>
    </row>
    <row r="7200" ht="15.0" hidden="1" customHeight="1">
      <c r="A7200" s="59">
        <f t="shared" si="20"/>
        <v>117</v>
      </c>
      <c r="B7200" s="59" t="str">
        <f t="shared" si="21"/>
        <v/>
      </c>
      <c r="C7200" s="59" t="str">
        <f t="shared" si="22"/>
        <v/>
      </c>
      <c r="D7200" s="45" t="str">
        <f t="shared" si="23"/>
        <v/>
      </c>
      <c r="E7200" s="45" t="str">
        <f t="shared" si="24"/>
        <v/>
      </c>
      <c r="F7200" s="59" t="str">
        <f t="shared" si="25"/>
        <v/>
      </c>
      <c r="G7200" s="59" t="str">
        <f t="shared" si="26"/>
        <v/>
      </c>
      <c r="H7200" s="59" t="str">
        <f t="shared" si="27"/>
        <v>28C01647</v>
      </c>
      <c r="I7200" s="59" t="str">
        <f>IF(OR($A7200="",$C7200="",$D7200="",$E7200="",$H7200=""),"",SUMIFS(DATA_GOC!$H:$H,DATA_GOC!$A:$A,"BOM",DATA_GOC!$D:$D,$H7200,DATA_GOC!$E:$E,$C7200,DATA_GOC!$F:$F,"Xuất nội bộ từ téc",DATA_GOC!$B:$B,"&gt;="&amp;$D7200,DATA_GOC!$B:$B,"&lt;="&amp;$E7200))</f>
        <v/>
      </c>
      <c r="J7200" s="59">
        <f t="shared" si="28"/>
        <v>0</v>
      </c>
      <c r="K7200" s="59">
        <f t="shared" si="29"/>
        <v>0</v>
      </c>
      <c r="L7200" s="59">
        <f t="shared" si="30"/>
        <v>0</v>
      </c>
      <c r="M7200" s="59">
        <f t="shared" si="31"/>
        <v>0</v>
      </c>
    </row>
    <row r="7201" ht="15.0" hidden="1" customHeight="1">
      <c r="A7201" s="59">
        <f t="shared" si="20"/>
        <v>117</v>
      </c>
      <c r="B7201" s="59" t="str">
        <f t="shared" si="21"/>
        <v/>
      </c>
      <c r="C7201" s="59" t="str">
        <f t="shared" si="22"/>
        <v/>
      </c>
      <c r="D7201" s="45" t="str">
        <f t="shared" si="23"/>
        <v/>
      </c>
      <c r="E7201" s="45" t="str">
        <f t="shared" si="24"/>
        <v/>
      </c>
      <c r="F7201" s="59" t="str">
        <f t="shared" si="25"/>
        <v/>
      </c>
      <c r="G7201" s="59" t="str">
        <f t="shared" si="26"/>
        <v/>
      </c>
      <c r="H7201" s="59" t="str">
        <f t="shared" si="27"/>
        <v>28C01731</v>
      </c>
      <c r="I7201" s="59" t="str">
        <f>IF(OR($A7201="",$C7201="",$D7201="",$E7201="",$H7201=""),"",SUMIFS(DATA_GOC!$H:$H,DATA_GOC!$A:$A,"BOM",DATA_GOC!$D:$D,$H7201,DATA_GOC!$E:$E,$C7201,DATA_GOC!$F:$F,"Xuất nội bộ từ téc",DATA_GOC!$B:$B,"&gt;="&amp;$D7201,DATA_GOC!$B:$B,"&lt;="&amp;$E7201))</f>
        <v/>
      </c>
      <c r="J7201" s="59">
        <f t="shared" si="28"/>
        <v>0</v>
      </c>
      <c r="K7201" s="59">
        <f t="shared" si="29"/>
        <v>0</v>
      </c>
      <c r="L7201" s="59">
        <f t="shared" si="30"/>
        <v>0</v>
      </c>
      <c r="M7201" s="59">
        <f t="shared" si="31"/>
        <v>0</v>
      </c>
    </row>
    <row r="7202" ht="15.0" hidden="1" customHeight="1">
      <c r="A7202" s="59">
        <f t="shared" si="20"/>
        <v>117</v>
      </c>
      <c r="B7202" s="59" t="str">
        <f t="shared" si="21"/>
        <v/>
      </c>
      <c r="C7202" s="59" t="str">
        <f t="shared" si="22"/>
        <v/>
      </c>
      <c r="D7202" s="45" t="str">
        <f t="shared" si="23"/>
        <v/>
      </c>
      <c r="E7202" s="45" t="str">
        <f t="shared" si="24"/>
        <v/>
      </c>
      <c r="F7202" s="59" t="str">
        <f t="shared" si="25"/>
        <v/>
      </c>
      <c r="G7202" s="59" t="str">
        <f t="shared" si="26"/>
        <v/>
      </c>
      <c r="H7202" s="59" t="str">
        <f t="shared" si="27"/>
        <v>28C01743</v>
      </c>
      <c r="I7202" s="59" t="str">
        <f>IF(OR($A7202="",$C7202="",$D7202="",$E7202="",$H7202=""),"",SUMIFS(DATA_GOC!$H:$H,DATA_GOC!$A:$A,"BOM",DATA_GOC!$D:$D,$H7202,DATA_GOC!$E:$E,$C7202,DATA_GOC!$F:$F,"Xuất nội bộ từ téc",DATA_GOC!$B:$B,"&gt;="&amp;$D7202,DATA_GOC!$B:$B,"&lt;="&amp;$E7202))</f>
        <v/>
      </c>
      <c r="J7202" s="59">
        <f t="shared" si="28"/>
        <v>0</v>
      </c>
      <c r="K7202" s="59">
        <f t="shared" si="29"/>
        <v>0</v>
      </c>
      <c r="L7202" s="59">
        <f t="shared" si="30"/>
        <v>0</v>
      </c>
      <c r="M7202" s="59">
        <f t="shared" si="31"/>
        <v>0</v>
      </c>
    </row>
    <row r="7203" ht="15.0" hidden="1" customHeight="1">
      <c r="A7203" s="59">
        <f t="shared" si="20"/>
        <v>117</v>
      </c>
      <c r="B7203" s="59" t="str">
        <f t="shared" si="21"/>
        <v/>
      </c>
      <c r="C7203" s="59" t="str">
        <f t="shared" si="22"/>
        <v/>
      </c>
      <c r="D7203" s="45" t="str">
        <f t="shared" si="23"/>
        <v/>
      </c>
      <c r="E7203" s="45" t="str">
        <f t="shared" si="24"/>
        <v/>
      </c>
      <c r="F7203" s="59" t="str">
        <f t="shared" si="25"/>
        <v/>
      </c>
      <c r="G7203" s="59" t="str">
        <f t="shared" si="26"/>
        <v/>
      </c>
      <c r="H7203" s="59" t="str">
        <f t="shared" si="27"/>
        <v>28C02106</v>
      </c>
      <c r="I7203" s="59" t="str">
        <f>IF(OR($A7203="",$C7203="",$D7203="",$E7203="",$H7203=""),"",SUMIFS(DATA_GOC!$H:$H,DATA_GOC!$A:$A,"BOM",DATA_GOC!$D:$D,$H7203,DATA_GOC!$E:$E,$C7203,DATA_GOC!$F:$F,"Xuất nội bộ từ téc",DATA_GOC!$B:$B,"&gt;="&amp;$D7203,DATA_GOC!$B:$B,"&lt;="&amp;$E7203))</f>
        <v/>
      </c>
      <c r="J7203" s="59">
        <f t="shared" si="28"/>
        <v>0</v>
      </c>
      <c r="K7203" s="59">
        <f t="shared" si="29"/>
        <v>0</v>
      </c>
      <c r="L7203" s="59">
        <f t="shared" si="30"/>
        <v>0</v>
      </c>
      <c r="M7203" s="59">
        <f t="shared" si="31"/>
        <v>0</v>
      </c>
    </row>
    <row r="7204" ht="15.0" hidden="1" customHeight="1">
      <c r="A7204" s="59">
        <f t="shared" si="20"/>
        <v>117</v>
      </c>
      <c r="B7204" s="59" t="str">
        <f t="shared" si="21"/>
        <v/>
      </c>
      <c r="C7204" s="59" t="str">
        <f t="shared" si="22"/>
        <v/>
      </c>
      <c r="D7204" s="45" t="str">
        <f t="shared" si="23"/>
        <v/>
      </c>
      <c r="E7204" s="45" t="str">
        <f t="shared" si="24"/>
        <v/>
      </c>
      <c r="F7204" s="59" t="str">
        <f t="shared" si="25"/>
        <v/>
      </c>
      <c r="G7204" s="59" t="str">
        <f t="shared" si="26"/>
        <v/>
      </c>
      <c r="H7204" s="59" t="str">
        <f t="shared" si="27"/>
        <v>28C02410</v>
      </c>
      <c r="I7204" s="59" t="str">
        <f>IF(OR($A7204="",$C7204="",$D7204="",$E7204="",$H7204=""),"",SUMIFS(DATA_GOC!$H:$H,DATA_GOC!$A:$A,"BOM",DATA_GOC!$D:$D,$H7204,DATA_GOC!$E:$E,$C7204,DATA_GOC!$F:$F,"Xuất nội bộ từ téc",DATA_GOC!$B:$B,"&gt;="&amp;$D7204,DATA_GOC!$B:$B,"&lt;="&amp;$E7204))</f>
        <v/>
      </c>
      <c r="J7204" s="59">
        <f t="shared" si="28"/>
        <v>0</v>
      </c>
      <c r="K7204" s="59">
        <f t="shared" si="29"/>
        <v>0</v>
      </c>
      <c r="L7204" s="59">
        <f t="shared" si="30"/>
        <v>0</v>
      </c>
      <c r="M7204" s="59">
        <f t="shared" si="31"/>
        <v>0</v>
      </c>
    </row>
    <row r="7205" ht="15.0" hidden="1" customHeight="1">
      <c r="A7205" s="59">
        <f t="shared" si="20"/>
        <v>117</v>
      </c>
      <c r="B7205" s="59" t="str">
        <f t="shared" si="21"/>
        <v/>
      </c>
      <c r="C7205" s="59" t="str">
        <f t="shared" si="22"/>
        <v/>
      </c>
      <c r="D7205" s="45" t="str">
        <f t="shared" si="23"/>
        <v/>
      </c>
      <c r="E7205" s="45" t="str">
        <f t="shared" si="24"/>
        <v/>
      </c>
      <c r="F7205" s="59" t="str">
        <f t="shared" si="25"/>
        <v/>
      </c>
      <c r="G7205" s="59" t="str">
        <f t="shared" si="26"/>
        <v/>
      </c>
      <c r="H7205" s="59" t="str">
        <f t="shared" si="27"/>
        <v>28C02545</v>
      </c>
      <c r="I7205" s="59" t="str">
        <f>IF(OR($A7205="",$C7205="",$D7205="",$E7205="",$H7205=""),"",SUMIFS(DATA_GOC!$H:$H,DATA_GOC!$A:$A,"BOM",DATA_GOC!$D:$D,$H7205,DATA_GOC!$E:$E,$C7205,DATA_GOC!$F:$F,"Xuất nội bộ từ téc",DATA_GOC!$B:$B,"&gt;="&amp;$D7205,DATA_GOC!$B:$B,"&lt;="&amp;$E7205))</f>
        <v/>
      </c>
      <c r="J7205" s="59">
        <f t="shared" si="28"/>
        <v>0</v>
      </c>
      <c r="K7205" s="59">
        <f t="shared" si="29"/>
        <v>0</v>
      </c>
      <c r="L7205" s="59">
        <f t="shared" si="30"/>
        <v>0</v>
      </c>
      <c r="M7205" s="59">
        <f t="shared" si="31"/>
        <v>0</v>
      </c>
    </row>
    <row r="7206" ht="15.0" hidden="1" customHeight="1">
      <c r="A7206" s="59">
        <f t="shared" si="20"/>
        <v>117</v>
      </c>
      <c r="B7206" s="59" t="str">
        <f t="shared" si="21"/>
        <v/>
      </c>
      <c r="C7206" s="59" t="str">
        <f t="shared" si="22"/>
        <v/>
      </c>
      <c r="D7206" s="45" t="str">
        <f t="shared" si="23"/>
        <v/>
      </c>
      <c r="E7206" s="45" t="str">
        <f t="shared" si="24"/>
        <v/>
      </c>
      <c r="F7206" s="59" t="str">
        <f t="shared" si="25"/>
        <v/>
      </c>
      <c r="G7206" s="59" t="str">
        <f t="shared" si="26"/>
        <v/>
      </c>
      <c r="H7206" s="59" t="str">
        <f t="shared" si="27"/>
        <v>28C02574</v>
      </c>
      <c r="I7206" s="59" t="str">
        <f>IF(OR($A7206="",$C7206="",$D7206="",$E7206="",$H7206=""),"",SUMIFS(DATA_GOC!$H:$H,DATA_GOC!$A:$A,"BOM",DATA_GOC!$D:$D,$H7206,DATA_GOC!$E:$E,$C7206,DATA_GOC!$F:$F,"Xuất nội bộ từ téc",DATA_GOC!$B:$B,"&gt;="&amp;$D7206,DATA_GOC!$B:$B,"&lt;="&amp;$E7206))</f>
        <v/>
      </c>
      <c r="J7206" s="59">
        <f t="shared" si="28"/>
        <v>0</v>
      </c>
      <c r="K7206" s="59">
        <f t="shared" si="29"/>
        <v>0</v>
      </c>
      <c r="L7206" s="59">
        <f t="shared" si="30"/>
        <v>0</v>
      </c>
      <c r="M7206" s="59">
        <f t="shared" si="31"/>
        <v>0</v>
      </c>
    </row>
    <row r="7207" ht="15.0" hidden="1" customHeight="1">
      <c r="A7207" s="59">
        <f t="shared" si="20"/>
        <v>117</v>
      </c>
      <c r="B7207" s="59" t="str">
        <f t="shared" si="21"/>
        <v/>
      </c>
      <c r="C7207" s="59" t="str">
        <f t="shared" si="22"/>
        <v/>
      </c>
      <c r="D7207" s="45" t="str">
        <f t="shared" si="23"/>
        <v/>
      </c>
      <c r="E7207" s="45" t="str">
        <f t="shared" si="24"/>
        <v/>
      </c>
      <c r="F7207" s="59" t="str">
        <f t="shared" si="25"/>
        <v/>
      </c>
      <c r="G7207" s="59" t="str">
        <f t="shared" si="26"/>
        <v/>
      </c>
      <c r="H7207" s="59" t="str">
        <f t="shared" si="27"/>
        <v>28C02770</v>
      </c>
      <c r="I7207" s="59" t="str">
        <f>IF(OR($A7207="",$C7207="",$D7207="",$E7207="",$H7207=""),"",SUMIFS(DATA_GOC!$H:$H,DATA_GOC!$A:$A,"BOM",DATA_GOC!$D:$D,$H7207,DATA_GOC!$E:$E,$C7207,DATA_GOC!$F:$F,"Xuất nội bộ từ téc",DATA_GOC!$B:$B,"&gt;="&amp;$D7207,DATA_GOC!$B:$B,"&lt;="&amp;$E7207))</f>
        <v/>
      </c>
      <c r="J7207" s="59">
        <f t="shared" si="28"/>
        <v>0</v>
      </c>
      <c r="K7207" s="59">
        <f t="shared" si="29"/>
        <v>0</v>
      </c>
      <c r="L7207" s="59">
        <f t="shared" si="30"/>
        <v>0</v>
      </c>
      <c r="M7207" s="59">
        <f t="shared" si="31"/>
        <v>0</v>
      </c>
    </row>
    <row r="7208" ht="15.0" hidden="1" customHeight="1">
      <c r="A7208" s="59">
        <f t="shared" si="20"/>
        <v>117</v>
      </c>
      <c r="B7208" s="59" t="str">
        <f t="shared" si="21"/>
        <v/>
      </c>
      <c r="C7208" s="59" t="str">
        <f t="shared" si="22"/>
        <v/>
      </c>
      <c r="D7208" s="45" t="str">
        <f t="shared" si="23"/>
        <v/>
      </c>
      <c r="E7208" s="45" t="str">
        <f t="shared" si="24"/>
        <v/>
      </c>
      <c r="F7208" s="59" t="str">
        <f t="shared" si="25"/>
        <v/>
      </c>
      <c r="G7208" s="59" t="str">
        <f t="shared" si="26"/>
        <v/>
      </c>
      <c r="H7208" s="59" t="str">
        <f t="shared" si="27"/>
        <v>28C02986</v>
      </c>
      <c r="I7208" s="59" t="str">
        <f>IF(OR($A7208="",$C7208="",$D7208="",$E7208="",$H7208=""),"",SUMIFS(DATA_GOC!$H:$H,DATA_GOC!$A:$A,"BOM",DATA_GOC!$D:$D,$H7208,DATA_GOC!$E:$E,$C7208,DATA_GOC!$F:$F,"Xuất nội bộ từ téc",DATA_GOC!$B:$B,"&gt;="&amp;$D7208,DATA_GOC!$B:$B,"&lt;="&amp;$E7208))</f>
        <v/>
      </c>
      <c r="J7208" s="59">
        <f t="shared" si="28"/>
        <v>0</v>
      </c>
      <c r="K7208" s="59">
        <f t="shared" si="29"/>
        <v>0</v>
      </c>
      <c r="L7208" s="59">
        <f t="shared" si="30"/>
        <v>0</v>
      </c>
      <c r="M7208" s="59">
        <f t="shared" si="31"/>
        <v>0</v>
      </c>
    </row>
    <row r="7209" ht="15.0" hidden="1" customHeight="1">
      <c r="A7209" s="59">
        <f t="shared" si="20"/>
        <v>117</v>
      </c>
      <c r="B7209" s="59" t="str">
        <f t="shared" si="21"/>
        <v/>
      </c>
      <c r="C7209" s="59" t="str">
        <f t="shared" si="22"/>
        <v/>
      </c>
      <c r="D7209" s="45" t="str">
        <f t="shared" si="23"/>
        <v/>
      </c>
      <c r="E7209" s="45" t="str">
        <f t="shared" si="24"/>
        <v/>
      </c>
      <c r="F7209" s="59" t="str">
        <f t="shared" si="25"/>
        <v/>
      </c>
      <c r="G7209" s="59" t="str">
        <f t="shared" si="26"/>
        <v/>
      </c>
      <c r="H7209" s="59" t="str">
        <f t="shared" si="27"/>
        <v>28C03261</v>
      </c>
      <c r="I7209" s="59" t="str">
        <f>IF(OR($A7209="",$C7209="",$D7209="",$E7209="",$H7209=""),"",SUMIFS(DATA_GOC!$H:$H,DATA_GOC!$A:$A,"BOM",DATA_GOC!$D:$D,$H7209,DATA_GOC!$E:$E,$C7209,DATA_GOC!$F:$F,"Xuất nội bộ từ téc",DATA_GOC!$B:$B,"&gt;="&amp;$D7209,DATA_GOC!$B:$B,"&lt;="&amp;$E7209))</f>
        <v/>
      </c>
      <c r="J7209" s="59">
        <f t="shared" si="28"/>
        <v>0</v>
      </c>
      <c r="K7209" s="59">
        <f t="shared" si="29"/>
        <v>0</v>
      </c>
      <c r="L7209" s="59">
        <f t="shared" si="30"/>
        <v>0</v>
      </c>
      <c r="M7209" s="59">
        <f t="shared" si="31"/>
        <v>0</v>
      </c>
    </row>
    <row r="7210" ht="15.0" hidden="1" customHeight="1">
      <c r="A7210" s="59">
        <f t="shared" si="20"/>
        <v>117</v>
      </c>
      <c r="B7210" s="59" t="str">
        <f t="shared" si="21"/>
        <v/>
      </c>
      <c r="C7210" s="59" t="str">
        <f t="shared" si="22"/>
        <v/>
      </c>
      <c r="D7210" s="45" t="str">
        <f t="shared" si="23"/>
        <v/>
      </c>
      <c r="E7210" s="45" t="str">
        <f t="shared" si="24"/>
        <v/>
      </c>
      <c r="F7210" s="59" t="str">
        <f t="shared" si="25"/>
        <v/>
      </c>
      <c r="G7210" s="59" t="str">
        <f t="shared" si="26"/>
        <v/>
      </c>
      <c r="H7210" s="59" t="str">
        <f t="shared" si="27"/>
        <v>28C03323</v>
      </c>
      <c r="I7210" s="59" t="str">
        <f>IF(OR($A7210="",$C7210="",$D7210="",$E7210="",$H7210=""),"",SUMIFS(DATA_GOC!$H:$H,DATA_GOC!$A:$A,"BOM",DATA_GOC!$D:$D,$H7210,DATA_GOC!$E:$E,$C7210,DATA_GOC!$F:$F,"Xuất nội bộ từ téc",DATA_GOC!$B:$B,"&gt;="&amp;$D7210,DATA_GOC!$B:$B,"&lt;="&amp;$E7210))</f>
        <v/>
      </c>
      <c r="J7210" s="59">
        <f t="shared" si="28"/>
        <v>0</v>
      </c>
      <c r="K7210" s="59">
        <f t="shared" si="29"/>
        <v>0</v>
      </c>
      <c r="L7210" s="59">
        <f t="shared" si="30"/>
        <v>0</v>
      </c>
      <c r="M7210" s="59">
        <f t="shared" si="31"/>
        <v>0</v>
      </c>
    </row>
    <row r="7211" ht="15.0" hidden="1" customHeight="1">
      <c r="A7211" s="59">
        <f t="shared" si="20"/>
        <v>117</v>
      </c>
      <c r="B7211" s="59" t="str">
        <f t="shared" si="21"/>
        <v/>
      </c>
      <c r="C7211" s="59" t="str">
        <f t="shared" si="22"/>
        <v/>
      </c>
      <c r="D7211" s="45" t="str">
        <f t="shared" si="23"/>
        <v/>
      </c>
      <c r="E7211" s="45" t="str">
        <f t="shared" si="24"/>
        <v/>
      </c>
      <c r="F7211" s="59" t="str">
        <f t="shared" si="25"/>
        <v/>
      </c>
      <c r="G7211" s="59" t="str">
        <f t="shared" si="26"/>
        <v/>
      </c>
      <c r="H7211" s="59" t="str">
        <f t="shared" si="27"/>
        <v>28C03385</v>
      </c>
      <c r="I7211" s="59" t="str">
        <f>IF(OR($A7211="",$C7211="",$D7211="",$E7211="",$H7211=""),"",SUMIFS(DATA_GOC!$H:$H,DATA_GOC!$A:$A,"BOM",DATA_GOC!$D:$D,$H7211,DATA_GOC!$E:$E,$C7211,DATA_GOC!$F:$F,"Xuất nội bộ từ téc",DATA_GOC!$B:$B,"&gt;="&amp;$D7211,DATA_GOC!$B:$B,"&lt;="&amp;$E7211))</f>
        <v/>
      </c>
      <c r="J7211" s="59">
        <f t="shared" si="28"/>
        <v>0</v>
      </c>
      <c r="K7211" s="59">
        <f t="shared" si="29"/>
        <v>0</v>
      </c>
      <c r="L7211" s="59">
        <f t="shared" si="30"/>
        <v>0</v>
      </c>
      <c r="M7211" s="59">
        <f t="shared" si="31"/>
        <v>0</v>
      </c>
    </row>
    <row r="7212" ht="15.0" hidden="1" customHeight="1">
      <c r="A7212" s="59">
        <f t="shared" si="20"/>
        <v>117</v>
      </c>
      <c r="B7212" s="59" t="str">
        <f t="shared" si="21"/>
        <v/>
      </c>
      <c r="C7212" s="59" t="str">
        <f t="shared" si="22"/>
        <v/>
      </c>
      <c r="D7212" s="45" t="str">
        <f t="shared" si="23"/>
        <v/>
      </c>
      <c r="E7212" s="45" t="str">
        <f t="shared" si="24"/>
        <v/>
      </c>
      <c r="F7212" s="59" t="str">
        <f t="shared" si="25"/>
        <v/>
      </c>
      <c r="G7212" s="59" t="str">
        <f t="shared" si="26"/>
        <v/>
      </c>
      <c r="H7212" s="59" t="str">
        <f t="shared" si="27"/>
        <v>28C03652</v>
      </c>
      <c r="I7212" s="59" t="str">
        <f>IF(OR($A7212="",$C7212="",$D7212="",$E7212="",$H7212=""),"",SUMIFS(DATA_GOC!$H:$H,DATA_GOC!$A:$A,"BOM",DATA_GOC!$D:$D,$H7212,DATA_GOC!$E:$E,$C7212,DATA_GOC!$F:$F,"Xuất nội bộ từ téc",DATA_GOC!$B:$B,"&gt;="&amp;$D7212,DATA_GOC!$B:$B,"&lt;="&amp;$E7212))</f>
        <v/>
      </c>
      <c r="J7212" s="59">
        <f t="shared" si="28"/>
        <v>0</v>
      </c>
      <c r="K7212" s="59">
        <f t="shared" si="29"/>
        <v>0</v>
      </c>
      <c r="L7212" s="59">
        <f t="shared" si="30"/>
        <v>0</v>
      </c>
      <c r="M7212" s="59">
        <f t="shared" si="31"/>
        <v>0</v>
      </c>
    </row>
    <row r="7213" ht="15.0" hidden="1" customHeight="1">
      <c r="A7213" s="59">
        <f t="shared" si="20"/>
        <v>117</v>
      </c>
      <c r="B7213" s="59" t="str">
        <f t="shared" si="21"/>
        <v/>
      </c>
      <c r="C7213" s="59" t="str">
        <f t="shared" si="22"/>
        <v/>
      </c>
      <c r="D7213" s="45" t="str">
        <f t="shared" si="23"/>
        <v/>
      </c>
      <c r="E7213" s="45" t="str">
        <f t="shared" si="24"/>
        <v/>
      </c>
      <c r="F7213" s="59" t="str">
        <f t="shared" si="25"/>
        <v/>
      </c>
      <c r="G7213" s="59" t="str">
        <f t="shared" si="26"/>
        <v/>
      </c>
      <c r="H7213" s="59" t="str">
        <f t="shared" si="27"/>
        <v>28C03695</v>
      </c>
      <c r="I7213" s="59" t="str">
        <f>IF(OR($A7213="",$C7213="",$D7213="",$E7213="",$H7213=""),"",SUMIFS(DATA_GOC!$H:$H,DATA_GOC!$A:$A,"BOM",DATA_GOC!$D:$D,$H7213,DATA_GOC!$E:$E,$C7213,DATA_GOC!$F:$F,"Xuất nội bộ từ téc",DATA_GOC!$B:$B,"&gt;="&amp;$D7213,DATA_GOC!$B:$B,"&lt;="&amp;$E7213))</f>
        <v/>
      </c>
      <c r="J7213" s="59">
        <f t="shared" si="28"/>
        <v>0</v>
      </c>
      <c r="K7213" s="59">
        <f t="shared" si="29"/>
        <v>0</v>
      </c>
      <c r="L7213" s="59">
        <f t="shared" si="30"/>
        <v>0</v>
      </c>
      <c r="M7213" s="59">
        <f t="shared" si="31"/>
        <v>0</v>
      </c>
    </row>
    <row r="7214" ht="15.0" hidden="1" customHeight="1">
      <c r="A7214" s="59">
        <f t="shared" si="20"/>
        <v>117</v>
      </c>
      <c r="B7214" s="59" t="str">
        <f t="shared" si="21"/>
        <v/>
      </c>
      <c r="C7214" s="59" t="str">
        <f t="shared" si="22"/>
        <v/>
      </c>
      <c r="D7214" s="45" t="str">
        <f t="shared" si="23"/>
        <v/>
      </c>
      <c r="E7214" s="45" t="str">
        <f t="shared" si="24"/>
        <v/>
      </c>
      <c r="F7214" s="59" t="str">
        <f t="shared" si="25"/>
        <v/>
      </c>
      <c r="G7214" s="59" t="str">
        <f t="shared" si="26"/>
        <v/>
      </c>
      <c r="H7214" s="59" t="str">
        <f t="shared" si="27"/>
        <v>28C03927</v>
      </c>
      <c r="I7214" s="59" t="str">
        <f>IF(OR($A7214="",$C7214="",$D7214="",$E7214="",$H7214=""),"",SUMIFS(DATA_GOC!$H:$H,DATA_GOC!$A:$A,"BOM",DATA_GOC!$D:$D,$H7214,DATA_GOC!$E:$E,$C7214,DATA_GOC!$F:$F,"Xuất nội bộ từ téc",DATA_GOC!$B:$B,"&gt;="&amp;$D7214,DATA_GOC!$B:$B,"&lt;="&amp;$E7214))</f>
        <v/>
      </c>
      <c r="J7214" s="59">
        <f t="shared" si="28"/>
        <v>0</v>
      </c>
      <c r="K7214" s="59">
        <f t="shared" si="29"/>
        <v>0</v>
      </c>
      <c r="L7214" s="59">
        <f t="shared" si="30"/>
        <v>0</v>
      </c>
      <c r="M7214" s="59">
        <f t="shared" si="31"/>
        <v>0</v>
      </c>
    </row>
    <row r="7215" ht="15.0" hidden="1" customHeight="1">
      <c r="A7215" s="59">
        <f t="shared" si="20"/>
        <v>117</v>
      </c>
      <c r="B7215" s="59" t="str">
        <f t="shared" si="21"/>
        <v/>
      </c>
      <c r="C7215" s="59" t="str">
        <f t="shared" si="22"/>
        <v/>
      </c>
      <c r="D7215" s="45" t="str">
        <f t="shared" si="23"/>
        <v/>
      </c>
      <c r="E7215" s="45" t="str">
        <f t="shared" si="24"/>
        <v/>
      </c>
      <c r="F7215" s="59" t="str">
        <f t="shared" si="25"/>
        <v/>
      </c>
      <c r="G7215" s="59" t="str">
        <f t="shared" si="26"/>
        <v/>
      </c>
      <c r="H7215" s="59" t="str">
        <f t="shared" si="27"/>
        <v>28C04509</v>
      </c>
      <c r="I7215" s="59" t="str">
        <f>IF(OR($A7215="",$C7215="",$D7215="",$E7215="",$H7215=""),"",SUMIFS(DATA_GOC!$H:$H,DATA_GOC!$A:$A,"BOM",DATA_GOC!$D:$D,$H7215,DATA_GOC!$E:$E,$C7215,DATA_GOC!$F:$F,"Xuất nội bộ từ téc",DATA_GOC!$B:$B,"&gt;="&amp;$D7215,DATA_GOC!$B:$B,"&lt;="&amp;$E7215))</f>
        <v/>
      </c>
      <c r="J7215" s="59">
        <f t="shared" si="28"/>
        <v>0</v>
      </c>
      <c r="K7215" s="59">
        <f t="shared" si="29"/>
        <v>0</v>
      </c>
      <c r="L7215" s="59">
        <f t="shared" si="30"/>
        <v>0</v>
      </c>
      <c r="M7215" s="59">
        <f t="shared" si="31"/>
        <v>0</v>
      </c>
    </row>
    <row r="7216" ht="15.0" hidden="1" customHeight="1">
      <c r="A7216" s="59">
        <f t="shared" si="20"/>
        <v>117</v>
      </c>
      <c r="B7216" s="59" t="str">
        <f t="shared" si="21"/>
        <v/>
      </c>
      <c r="C7216" s="59" t="str">
        <f t="shared" si="22"/>
        <v/>
      </c>
      <c r="D7216" s="45" t="str">
        <f t="shared" si="23"/>
        <v/>
      </c>
      <c r="E7216" s="45" t="str">
        <f t="shared" si="24"/>
        <v/>
      </c>
      <c r="F7216" s="59" t="str">
        <f t="shared" si="25"/>
        <v/>
      </c>
      <c r="G7216" s="59" t="str">
        <f t="shared" si="26"/>
        <v/>
      </c>
      <c r="H7216" s="59" t="str">
        <f t="shared" si="27"/>
        <v>28C04536</v>
      </c>
      <c r="I7216" s="59" t="str">
        <f>IF(OR($A7216="",$C7216="",$D7216="",$E7216="",$H7216=""),"",SUMIFS(DATA_GOC!$H:$H,DATA_GOC!$A:$A,"BOM",DATA_GOC!$D:$D,$H7216,DATA_GOC!$E:$E,$C7216,DATA_GOC!$F:$F,"Xuất nội bộ từ téc",DATA_GOC!$B:$B,"&gt;="&amp;$D7216,DATA_GOC!$B:$B,"&lt;="&amp;$E7216))</f>
        <v/>
      </c>
      <c r="J7216" s="59">
        <f t="shared" si="28"/>
        <v>0</v>
      </c>
      <c r="K7216" s="59">
        <f t="shared" si="29"/>
        <v>0</v>
      </c>
      <c r="L7216" s="59">
        <f t="shared" si="30"/>
        <v>0</v>
      </c>
      <c r="M7216" s="59">
        <f t="shared" si="31"/>
        <v>0</v>
      </c>
    </row>
    <row r="7217" ht="15.0" hidden="1" customHeight="1">
      <c r="A7217" s="59">
        <f t="shared" si="20"/>
        <v>117</v>
      </c>
      <c r="B7217" s="59" t="str">
        <f t="shared" si="21"/>
        <v/>
      </c>
      <c r="C7217" s="59" t="str">
        <f t="shared" si="22"/>
        <v/>
      </c>
      <c r="D7217" s="45" t="str">
        <f t="shared" si="23"/>
        <v/>
      </c>
      <c r="E7217" s="45" t="str">
        <f t="shared" si="24"/>
        <v/>
      </c>
      <c r="F7217" s="59" t="str">
        <f t="shared" si="25"/>
        <v/>
      </c>
      <c r="G7217" s="59" t="str">
        <f t="shared" si="26"/>
        <v/>
      </c>
      <c r="H7217" s="59" t="str">
        <f t="shared" si="27"/>
        <v>28C04576</v>
      </c>
      <c r="I7217" s="59" t="str">
        <f>IF(OR($A7217="",$C7217="",$D7217="",$E7217="",$H7217=""),"",SUMIFS(DATA_GOC!$H:$H,DATA_GOC!$A:$A,"BOM",DATA_GOC!$D:$D,$H7217,DATA_GOC!$E:$E,$C7217,DATA_GOC!$F:$F,"Xuất nội bộ từ téc",DATA_GOC!$B:$B,"&gt;="&amp;$D7217,DATA_GOC!$B:$B,"&lt;="&amp;$E7217))</f>
        <v/>
      </c>
      <c r="J7217" s="59">
        <f t="shared" si="28"/>
        <v>0</v>
      </c>
      <c r="K7217" s="59">
        <f t="shared" si="29"/>
        <v>0</v>
      </c>
      <c r="L7217" s="59">
        <f t="shared" si="30"/>
        <v>0</v>
      </c>
      <c r="M7217" s="59">
        <f t="shared" si="31"/>
        <v>0</v>
      </c>
    </row>
    <row r="7218" ht="15.0" hidden="1" customHeight="1">
      <c r="A7218" s="59">
        <f t="shared" si="20"/>
        <v>117</v>
      </c>
      <c r="B7218" s="59" t="str">
        <f t="shared" si="21"/>
        <v/>
      </c>
      <c r="C7218" s="59" t="str">
        <f t="shared" si="22"/>
        <v/>
      </c>
      <c r="D7218" s="45" t="str">
        <f t="shared" si="23"/>
        <v/>
      </c>
      <c r="E7218" s="45" t="str">
        <f t="shared" si="24"/>
        <v/>
      </c>
      <c r="F7218" s="59" t="str">
        <f t="shared" si="25"/>
        <v/>
      </c>
      <c r="G7218" s="59" t="str">
        <f t="shared" si="26"/>
        <v/>
      </c>
      <c r="H7218" s="59" t="str">
        <f t="shared" si="27"/>
        <v>28C05090</v>
      </c>
      <c r="I7218" s="59" t="str">
        <f>IF(OR($A7218="",$C7218="",$D7218="",$E7218="",$H7218=""),"",SUMIFS(DATA_GOC!$H:$H,DATA_GOC!$A:$A,"BOM",DATA_GOC!$D:$D,$H7218,DATA_GOC!$E:$E,$C7218,DATA_GOC!$F:$F,"Xuất nội bộ từ téc",DATA_GOC!$B:$B,"&gt;="&amp;$D7218,DATA_GOC!$B:$B,"&lt;="&amp;$E7218))</f>
        <v/>
      </c>
      <c r="J7218" s="59">
        <f t="shared" si="28"/>
        <v>0</v>
      </c>
      <c r="K7218" s="59">
        <f t="shared" si="29"/>
        <v>0</v>
      </c>
      <c r="L7218" s="59">
        <f t="shared" si="30"/>
        <v>0</v>
      </c>
      <c r="M7218" s="59">
        <f t="shared" si="31"/>
        <v>0</v>
      </c>
    </row>
    <row r="7219" ht="15.0" hidden="1" customHeight="1">
      <c r="A7219" s="59">
        <f t="shared" si="20"/>
        <v>117</v>
      </c>
      <c r="B7219" s="59" t="str">
        <f t="shared" si="21"/>
        <v/>
      </c>
      <c r="C7219" s="59" t="str">
        <f t="shared" si="22"/>
        <v/>
      </c>
      <c r="D7219" s="45" t="str">
        <f t="shared" si="23"/>
        <v/>
      </c>
      <c r="E7219" s="45" t="str">
        <f t="shared" si="24"/>
        <v/>
      </c>
      <c r="F7219" s="59" t="str">
        <f t="shared" si="25"/>
        <v/>
      </c>
      <c r="G7219" s="59" t="str">
        <f t="shared" si="26"/>
        <v/>
      </c>
      <c r="H7219" s="59" t="str">
        <f t="shared" si="27"/>
        <v>28C05345</v>
      </c>
      <c r="I7219" s="59" t="str">
        <f>IF(OR($A7219="",$C7219="",$D7219="",$E7219="",$H7219=""),"",SUMIFS(DATA_GOC!$H:$H,DATA_GOC!$A:$A,"BOM",DATA_GOC!$D:$D,$H7219,DATA_GOC!$E:$E,$C7219,DATA_GOC!$F:$F,"Xuất nội bộ từ téc",DATA_GOC!$B:$B,"&gt;="&amp;$D7219,DATA_GOC!$B:$B,"&lt;="&amp;$E7219))</f>
        <v/>
      </c>
      <c r="J7219" s="59">
        <f t="shared" si="28"/>
        <v>0</v>
      </c>
      <c r="K7219" s="59">
        <f t="shared" si="29"/>
        <v>0</v>
      </c>
      <c r="L7219" s="59">
        <f t="shared" si="30"/>
        <v>0</v>
      </c>
      <c r="M7219" s="59">
        <f t="shared" si="31"/>
        <v>0</v>
      </c>
    </row>
    <row r="7220" ht="15.0" hidden="1" customHeight="1">
      <c r="A7220" s="59">
        <f t="shared" si="20"/>
        <v>117</v>
      </c>
      <c r="B7220" s="59" t="str">
        <f t="shared" si="21"/>
        <v/>
      </c>
      <c r="C7220" s="59" t="str">
        <f t="shared" si="22"/>
        <v/>
      </c>
      <c r="D7220" s="45" t="str">
        <f t="shared" si="23"/>
        <v/>
      </c>
      <c r="E7220" s="45" t="str">
        <f t="shared" si="24"/>
        <v/>
      </c>
      <c r="F7220" s="59" t="str">
        <f t="shared" si="25"/>
        <v/>
      </c>
      <c r="G7220" s="59" t="str">
        <f t="shared" si="26"/>
        <v/>
      </c>
      <c r="H7220" s="59" t="str">
        <f t="shared" si="27"/>
        <v>28C05661</v>
      </c>
      <c r="I7220" s="59" t="str">
        <f>IF(OR($A7220="",$C7220="",$D7220="",$E7220="",$H7220=""),"",SUMIFS(DATA_GOC!$H:$H,DATA_GOC!$A:$A,"BOM",DATA_GOC!$D:$D,$H7220,DATA_GOC!$E:$E,$C7220,DATA_GOC!$F:$F,"Xuất nội bộ từ téc",DATA_GOC!$B:$B,"&gt;="&amp;$D7220,DATA_GOC!$B:$B,"&lt;="&amp;$E7220))</f>
        <v/>
      </c>
      <c r="J7220" s="59">
        <f t="shared" si="28"/>
        <v>0</v>
      </c>
      <c r="K7220" s="59">
        <f t="shared" si="29"/>
        <v>0</v>
      </c>
      <c r="L7220" s="59">
        <f t="shared" si="30"/>
        <v>0</v>
      </c>
      <c r="M7220" s="59">
        <f t="shared" si="31"/>
        <v>0</v>
      </c>
    </row>
    <row r="7221" ht="15.0" hidden="1" customHeight="1">
      <c r="A7221" s="59">
        <f t="shared" si="20"/>
        <v>117</v>
      </c>
      <c r="B7221" s="59" t="str">
        <f t="shared" si="21"/>
        <v/>
      </c>
      <c r="C7221" s="59" t="str">
        <f t="shared" si="22"/>
        <v/>
      </c>
      <c r="D7221" s="45" t="str">
        <f t="shared" si="23"/>
        <v/>
      </c>
      <c r="E7221" s="45" t="str">
        <f t="shared" si="24"/>
        <v/>
      </c>
      <c r="F7221" s="59" t="str">
        <f t="shared" si="25"/>
        <v/>
      </c>
      <c r="G7221" s="59" t="str">
        <f t="shared" si="26"/>
        <v/>
      </c>
      <c r="H7221" s="59" t="str">
        <f t="shared" si="27"/>
        <v>28C05739</v>
      </c>
      <c r="I7221" s="59" t="str">
        <f>IF(OR($A7221="",$C7221="",$D7221="",$E7221="",$H7221=""),"",SUMIFS(DATA_GOC!$H:$H,DATA_GOC!$A:$A,"BOM",DATA_GOC!$D:$D,$H7221,DATA_GOC!$E:$E,$C7221,DATA_GOC!$F:$F,"Xuất nội bộ từ téc",DATA_GOC!$B:$B,"&gt;="&amp;$D7221,DATA_GOC!$B:$B,"&lt;="&amp;$E7221))</f>
        <v/>
      </c>
      <c r="J7221" s="59">
        <f t="shared" si="28"/>
        <v>0</v>
      </c>
      <c r="K7221" s="59">
        <f t="shared" si="29"/>
        <v>0</v>
      </c>
      <c r="L7221" s="59">
        <f t="shared" si="30"/>
        <v>0</v>
      </c>
      <c r="M7221" s="59">
        <f t="shared" si="31"/>
        <v>0</v>
      </c>
    </row>
    <row r="7222" ht="15.0" hidden="1" customHeight="1">
      <c r="A7222" s="59">
        <f t="shared" si="20"/>
        <v>117</v>
      </c>
      <c r="B7222" s="59" t="str">
        <f t="shared" si="21"/>
        <v/>
      </c>
      <c r="C7222" s="59" t="str">
        <f t="shared" si="22"/>
        <v/>
      </c>
      <c r="D7222" s="45" t="str">
        <f t="shared" si="23"/>
        <v/>
      </c>
      <c r="E7222" s="45" t="str">
        <f t="shared" si="24"/>
        <v/>
      </c>
      <c r="F7222" s="59" t="str">
        <f t="shared" si="25"/>
        <v/>
      </c>
      <c r="G7222" s="59" t="str">
        <f t="shared" si="26"/>
        <v/>
      </c>
      <c r="H7222" s="59" t="str">
        <f t="shared" si="27"/>
        <v>28C06369</v>
      </c>
      <c r="I7222" s="59" t="str">
        <f>IF(OR($A7222="",$C7222="",$D7222="",$E7222="",$H7222=""),"",SUMIFS(DATA_GOC!$H:$H,DATA_GOC!$A:$A,"BOM",DATA_GOC!$D:$D,$H7222,DATA_GOC!$E:$E,$C7222,DATA_GOC!$F:$F,"Xuất nội bộ từ téc",DATA_GOC!$B:$B,"&gt;="&amp;$D7222,DATA_GOC!$B:$B,"&lt;="&amp;$E7222))</f>
        <v/>
      </c>
      <c r="J7222" s="59">
        <f t="shared" si="28"/>
        <v>0</v>
      </c>
      <c r="K7222" s="59">
        <f t="shared" si="29"/>
        <v>0</v>
      </c>
      <c r="L7222" s="59">
        <f t="shared" si="30"/>
        <v>0</v>
      </c>
      <c r="M7222" s="59">
        <f t="shared" si="31"/>
        <v>0</v>
      </c>
    </row>
    <row r="7223" ht="15.0" hidden="1" customHeight="1">
      <c r="A7223" s="59">
        <f t="shared" si="20"/>
        <v>117</v>
      </c>
      <c r="B7223" s="59" t="str">
        <f t="shared" si="21"/>
        <v/>
      </c>
      <c r="C7223" s="59" t="str">
        <f t="shared" si="22"/>
        <v/>
      </c>
      <c r="D7223" s="45" t="str">
        <f t="shared" si="23"/>
        <v/>
      </c>
      <c r="E7223" s="45" t="str">
        <f t="shared" si="24"/>
        <v/>
      </c>
      <c r="F7223" s="59" t="str">
        <f t="shared" si="25"/>
        <v/>
      </c>
      <c r="G7223" s="59" t="str">
        <f t="shared" si="26"/>
        <v/>
      </c>
      <c r="H7223" s="59" t="str">
        <f t="shared" si="27"/>
        <v>28C06447</v>
      </c>
      <c r="I7223" s="59" t="str">
        <f>IF(OR($A7223="",$C7223="",$D7223="",$E7223="",$H7223=""),"",SUMIFS(DATA_GOC!$H:$H,DATA_GOC!$A:$A,"BOM",DATA_GOC!$D:$D,$H7223,DATA_GOC!$E:$E,$C7223,DATA_GOC!$F:$F,"Xuất nội bộ từ téc",DATA_GOC!$B:$B,"&gt;="&amp;$D7223,DATA_GOC!$B:$B,"&lt;="&amp;$E7223))</f>
        <v/>
      </c>
      <c r="J7223" s="59">
        <f t="shared" si="28"/>
        <v>0</v>
      </c>
      <c r="K7223" s="59">
        <f t="shared" si="29"/>
        <v>0</v>
      </c>
      <c r="L7223" s="59">
        <f t="shared" si="30"/>
        <v>0</v>
      </c>
      <c r="M7223" s="59">
        <f t="shared" si="31"/>
        <v>0</v>
      </c>
    </row>
    <row r="7224" ht="15.0" hidden="1" customHeight="1">
      <c r="A7224" s="59">
        <f t="shared" si="20"/>
        <v>117</v>
      </c>
      <c r="B7224" s="59" t="str">
        <f t="shared" si="21"/>
        <v/>
      </c>
      <c r="C7224" s="59" t="str">
        <f t="shared" si="22"/>
        <v/>
      </c>
      <c r="D7224" s="45" t="str">
        <f t="shared" si="23"/>
        <v/>
      </c>
      <c r="E7224" s="45" t="str">
        <f t="shared" si="24"/>
        <v/>
      </c>
      <c r="F7224" s="59" t="str">
        <f t="shared" si="25"/>
        <v/>
      </c>
      <c r="G7224" s="59" t="str">
        <f t="shared" si="26"/>
        <v/>
      </c>
      <c r="H7224" s="59" t="str">
        <f t="shared" si="27"/>
        <v>28H00003</v>
      </c>
      <c r="I7224" s="59" t="str">
        <f>IF(OR($A7224="",$C7224="",$D7224="",$E7224="",$H7224=""),"",SUMIFS(DATA_GOC!$H:$H,DATA_GOC!$A:$A,"BOM",DATA_GOC!$D:$D,$H7224,DATA_GOC!$E:$E,$C7224,DATA_GOC!$F:$F,"Xuất nội bộ từ téc",DATA_GOC!$B:$B,"&gt;="&amp;$D7224,DATA_GOC!$B:$B,"&lt;="&amp;$E7224))</f>
        <v/>
      </c>
      <c r="J7224" s="59">
        <f t="shared" si="28"/>
        <v>0</v>
      </c>
      <c r="K7224" s="59">
        <f t="shared" si="29"/>
        <v>0</v>
      </c>
      <c r="L7224" s="59">
        <f t="shared" si="30"/>
        <v>0</v>
      </c>
      <c r="M7224" s="59">
        <f t="shared" si="31"/>
        <v>0</v>
      </c>
    </row>
    <row r="7225" ht="15.0" hidden="1" customHeight="1">
      <c r="A7225" s="59">
        <f t="shared" si="20"/>
        <v>117</v>
      </c>
      <c r="B7225" s="59" t="str">
        <f t="shared" si="21"/>
        <v/>
      </c>
      <c r="C7225" s="59" t="str">
        <f t="shared" si="22"/>
        <v/>
      </c>
      <c r="D7225" s="45" t="str">
        <f t="shared" si="23"/>
        <v/>
      </c>
      <c r="E7225" s="45" t="str">
        <f t="shared" si="24"/>
        <v/>
      </c>
      <c r="F7225" s="59" t="str">
        <f t="shared" si="25"/>
        <v/>
      </c>
      <c r="G7225" s="59" t="str">
        <f t="shared" si="26"/>
        <v/>
      </c>
      <c r="H7225" s="59" t="str">
        <f t="shared" si="27"/>
        <v>28H00061</v>
      </c>
      <c r="I7225" s="59" t="str">
        <f>IF(OR($A7225="",$C7225="",$D7225="",$E7225="",$H7225=""),"",SUMIFS(DATA_GOC!$H:$H,DATA_GOC!$A:$A,"BOM",DATA_GOC!$D:$D,$H7225,DATA_GOC!$E:$E,$C7225,DATA_GOC!$F:$F,"Xuất nội bộ từ téc",DATA_GOC!$B:$B,"&gt;="&amp;$D7225,DATA_GOC!$B:$B,"&lt;="&amp;$E7225))</f>
        <v/>
      </c>
      <c r="J7225" s="59">
        <f t="shared" si="28"/>
        <v>0</v>
      </c>
      <c r="K7225" s="59">
        <f t="shared" si="29"/>
        <v>0</v>
      </c>
      <c r="L7225" s="59">
        <f t="shared" si="30"/>
        <v>0</v>
      </c>
      <c r="M7225" s="59">
        <f t="shared" si="31"/>
        <v>0</v>
      </c>
    </row>
    <row r="7226" ht="15.0" hidden="1" customHeight="1">
      <c r="A7226" s="59">
        <f t="shared" si="20"/>
        <v>117</v>
      </c>
      <c r="B7226" s="59" t="str">
        <f t="shared" si="21"/>
        <v/>
      </c>
      <c r="C7226" s="59" t="str">
        <f t="shared" si="22"/>
        <v/>
      </c>
      <c r="D7226" s="45" t="str">
        <f t="shared" si="23"/>
        <v/>
      </c>
      <c r="E7226" s="45" t="str">
        <f t="shared" si="24"/>
        <v/>
      </c>
      <c r="F7226" s="59" t="str">
        <f t="shared" si="25"/>
        <v/>
      </c>
      <c r="G7226" s="59" t="str">
        <f t="shared" si="26"/>
        <v/>
      </c>
      <c r="H7226" s="59" t="str">
        <f t="shared" si="27"/>
        <v>28H00354</v>
      </c>
      <c r="I7226" s="59" t="str">
        <f>IF(OR($A7226="",$C7226="",$D7226="",$E7226="",$H7226=""),"",SUMIFS(DATA_GOC!$H:$H,DATA_GOC!$A:$A,"BOM",DATA_GOC!$D:$D,$H7226,DATA_GOC!$E:$E,$C7226,DATA_GOC!$F:$F,"Xuất nội bộ từ téc",DATA_GOC!$B:$B,"&gt;="&amp;$D7226,DATA_GOC!$B:$B,"&lt;="&amp;$E7226))</f>
        <v/>
      </c>
      <c r="J7226" s="59">
        <f t="shared" si="28"/>
        <v>0</v>
      </c>
      <c r="K7226" s="59">
        <f t="shared" si="29"/>
        <v>0</v>
      </c>
      <c r="L7226" s="59">
        <f t="shared" si="30"/>
        <v>0</v>
      </c>
      <c r="M7226" s="59">
        <f t="shared" si="31"/>
        <v>0</v>
      </c>
    </row>
    <row r="7227" ht="15.0" hidden="1" customHeight="1">
      <c r="A7227" s="59">
        <f t="shared" si="20"/>
        <v>117</v>
      </c>
      <c r="B7227" s="59" t="str">
        <f t="shared" si="21"/>
        <v/>
      </c>
      <c r="C7227" s="59" t="str">
        <f t="shared" si="22"/>
        <v/>
      </c>
      <c r="D7227" s="45" t="str">
        <f t="shared" si="23"/>
        <v/>
      </c>
      <c r="E7227" s="45" t="str">
        <f t="shared" si="24"/>
        <v/>
      </c>
      <c r="F7227" s="59" t="str">
        <f t="shared" si="25"/>
        <v/>
      </c>
      <c r="G7227" s="59" t="str">
        <f t="shared" si="26"/>
        <v/>
      </c>
      <c r="H7227" s="59" t="str">
        <f t="shared" si="27"/>
        <v>28H00603</v>
      </c>
      <c r="I7227" s="59" t="str">
        <f>IF(OR($A7227="",$C7227="",$D7227="",$E7227="",$H7227=""),"",SUMIFS(DATA_GOC!$H:$H,DATA_GOC!$A:$A,"BOM",DATA_GOC!$D:$D,$H7227,DATA_GOC!$E:$E,$C7227,DATA_GOC!$F:$F,"Xuất nội bộ từ téc",DATA_GOC!$B:$B,"&gt;="&amp;$D7227,DATA_GOC!$B:$B,"&lt;="&amp;$E7227))</f>
        <v/>
      </c>
      <c r="J7227" s="59">
        <f t="shared" si="28"/>
        <v>0</v>
      </c>
      <c r="K7227" s="59">
        <f t="shared" si="29"/>
        <v>0</v>
      </c>
      <c r="L7227" s="59">
        <f t="shared" si="30"/>
        <v>0</v>
      </c>
      <c r="M7227" s="59">
        <f t="shared" si="31"/>
        <v>0</v>
      </c>
    </row>
    <row r="7228" ht="15.0" hidden="1" customHeight="1">
      <c r="A7228" s="59">
        <f t="shared" si="20"/>
        <v>117</v>
      </c>
      <c r="B7228" s="59" t="str">
        <f t="shared" si="21"/>
        <v/>
      </c>
      <c r="C7228" s="59" t="str">
        <f t="shared" si="22"/>
        <v/>
      </c>
      <c r="D7228" s="45" t="str">
        <f t="shared" si="23"/>
        <v/>
      </c>
      <c r="E7228" s="45" t="str">
        <f t="shared" si="24"/>
        <v/>
      </c>
      <c r="F7228" s="59" t="str">
        <f t="shared" si="25"/>
        <v/>
      </c>
      <c r="G7228" s="59" t="str">
        <f t="shared" si="26"/>
        <v/>
      </c>
      <c r="H7228" s="59" t="str">
        <f t="shared" si="27"/>
        <v>28H00609</v>
      </c>
      <c r="I7228" s="59" t="str">
        <f>IF(OR($A7228="",$C7228="",$D7228="",$E7228="",$H7228=""),"",SUMIFS(DATA_GOC!$H:$H,DATA_GOC!$A:$A,"BOM",DATA_GOC!$D:$D,$H7228,DATA_GOC!$E:$E,$C7228,DATA_GOC!$F:$F,"Xuất nội bộ từ téc",DATA_GOC!$B:$B,"&gt;="&amp;$D7228,DATA_GOC!$B:$B,"&lt;="&amp;$E7228))</f>
        <v/>
      </c>
      <c r="J7228" s="59">
        <f t="shared" si="28"/>
        <v>0</v>
      </c>
      <c r="K7228" s="59">
        <f t="shared" si="29"/>
        <v>0</v>
      </c>
      <c r="L7228" s="59">
        <f t="shared" si="30"/>
        <v>0</v>
      </c>
      <c r="M7228" s="59">
        <f t="shared" si="31"/>
        <v>0</v>
      </c>
    </row>
    <row r="7229" ht="15.0" hidden="1" customHeight="1">
      <c r="A7229" s="59">
        <f t="shared" si="20"/>
        <v>117</v>
      </c>
      <c r="B7229" s="59" t="str">
        <f t="shared" si="21"/>
        <v/>
      </c>
      <c r="C7229" s="59" t="str">
        <f t="shared" si="22"/>
        <v/>
      </c>
      <c r="D7229" s="45" t="str">
        <f t="shared" si="23"/>
        <v/>
      </c>
      <c r="E7229" s="45" t="str">
        <f t="shared" si="24"/>
        <v/>
      </c>
      <c r="F7229" s="59" t="str">
        <f t="shared" si="25"/>
        <v/>
      </c>
      <c r="G7229" s="59" t="str">
        <f t="shared" si="26"/>
        <v/>
      </c>
      <c r="H7229" s="59" t="str">
        <f t="shared" si="27"/>
        <v>28H00669</v>
      </c>
      <c r="I7229" s="59" t="str">
        <f>IF(OR($A7229="",$C7229="",$D7229="",$E7229="",$H7229=""),"",SUMIFS(DATA_GOC!$H:$H,DATA_GOC!$A:$A,"BOM",DATA_GOC!$D:$D,$H7229,DATA_GOC!$E:$E,$C7229,DATA_GOC!$F:$F,"Xuất nội bộ từ téc",DATA_GOC!$B:$B,"&gt;="&amp;$D7229,DATA_GOC!$B:$B,"&lt;="&amp;$E7229))</f>
        <v/>
      </c>
      <c r="J7229" s="59">
        <f t="shared" si="28"/>
        <v>0</v>
      </c>
      <c r="K7229" s="59">
        <f t="shared" si="29"/>
        <v>0</v>
      </c>
      <c r="L7229" s="59">
        <f t="shared" si="30"/>
        <v>0</v>
      </c>
      <c r="M7229" s="59">
        <f t="shared" si="31"/>
        <v>0</v>
      </c>
    </row>
    <row r="7230" ht="15.0" hidden="1" customHeight="1">
      <c r="A7230" s="59">
        <f t="shared" si="20"/>
        <v>117</v>
      </c>
      <c r="B7230" s="59" t="str">
        <f t="shared" si="21"/>
        <v/>
      </c>
      <c r="C7230" s="59" t="str">
        <f t="shared" si="22"/>
        <v/>
      </c>
      <c r="D7230" s="45" t="str">
        <f t="shared" si="23"/>
        <v/>
      </c>
      <c r="E7230" s="45" t="str">
        <f t="shared" si="24"/>
        <v/>
      </c>
      <c r="F7230" s="59" t="str">
        <f t="shared" si="25"/>
        <v/>
      </c>
      <c r="G7230" s="59" t="str">
        <f t="shared" si="26"/>
        <v/>
      </c>
      <c r="H7230" s="59" t="str">
        <f t="shared" si="27"/>
        <v>28H00680</v>
      </c>
      <c r="I7230" s="59" t="str">
        <f>IF(OR($A7230="",$C7230="",$D7230="",$E7230="",$H7230=""),"",SUMIFS(DATA_GOC!$H:$H,DATA_GOC!$A:$A,"BOM",DATA_GOC!$D:$D,$H7230,DATA_GOC!$E:$E,$C7230,DATA_GOC!$F:$F,"Xuất nội bộ từ téc",DATA_GOC!$B:$B,"&gt;="&amp;$D7230,DATA_GOC!$B:$B,"&lt;="&amp;$E7230))</f>
        <v/>
      </c>
      <c r="J7230" s="59">
        <f t="shared" si="28"/>
        <v>0</v>
      </c>
      <c r="K7230" s="59">
        <f t="shared" si="29"/>
        <v>0</v>
      </c>
      <c r="L7230" s="59">
        <f t="shared" si="30"/>
        <v>0</v>
      </c>
      <c r="M7230" s="59">
        <f t="shared" si="31"/>
        <v>0</v>
      </c>
    </row>
    <row r="7231" ht="15.0" hidden="1" customHeight="1">
      <c r="A7231" s="59">
        <f t="shared" si="20"/>
        <v>117</v>
      </c>
      <c r="B7231" s="59" t="str">
        <f t="shared" si="21"/>
        <v/>
      </c>
      <c r="C7231" s="59" t="str">
        <f t="shared" si="22"/>
        <v/>
      </c>
      <c r="D7231" s="45" t="str">
        <f t="shared" si="23"/>
        <v/>
      </c>
      <c r="E7231" s="45" t="str">
        <f t="shared" si="24"/>
        <v/>
      </c>
      <c r="F7231" s="59" t="str">
        <f t="shared" si="25"/>
        <v/>
      </c>
      <c r="G7231" s="59" t="str">
        <f t="shared" si="26"/>
        <v/>
      </c>
      <c r="H7231" s="59" t="str">
        <f t="shared" si="27"/>
        <v>28H01070</v>
      </c>
      <c r="I7231" s="59" t="str">
        <f>IF(OR($A7231="",$C7231="",$D7231="",$E7231="",$H7231=""),"",SUMIFS(DATA_GOC!$H:$H,DATA_GOC!$A:$A,"BOM",DATA_GOC!$D:$D,$H7231,DATA_GOC!$E:$E,$C7231,DATA_GOC!$F:$F,"Xuất nội bộ từ téc",DATA_GOC!$B:$B,"&gt;="&amp;$D7231,DATA_GOC!$B:$B,"&lt;="&amp;$E7231))</f>
        <v/>
      </c>
      <c r="J7231" s="59">
        <f t="shared" si="28"/>
        <v>0</v>
      </c>
      <c r="K7231" s="59">
        <f t="shared" si="29"/>
        <v>0</v>
      </c>
      <c r="L7231" s="59">
        <f t="shared" si="30"/>
        <v>0</v>
      </c>
      <c r="M7231" s="59">
        <f t="shared" si="31"/>
        <v>0</v>
      </c>
    </row>
    <row r="7232" ht="15.0" hidden="1" customHeight="1">
      <c r="A7232" s="59">
        <f t="shared" si="20"/>
        <v>117</v>
      </c>
      <c r="B7232" s="59" t="str">
        <f t="shared" si="21"/>
        <v/>
      </c>
      <c r="C7232" s="59" t="str">
        <f t="shared" si="22"/>
        <v/>
      </c>
      <c r="D7232" s="45" t="str">
        <f t="shared" si="23"/>
        <v/>
      </c>
      <c r="E7232" s="45" t="str">
        <f t="shared" si="24"/>
        <v/>
      </c>
      <c r="F7232" s="59" t="str">
        <f t="shared" si="25"/>
        <v/>
      </c>
      <c r="G7232" s="59" t="str">
        <f t="shared" si="26"/>
        <v/>
      </c>
      <c r="H7232" s="59" t="str">
        <f t="shared" si="27"/>
        <v>28H01364</v>
      </c>
      <c r="I7232" s="59" t="str">
        <f>IF(OR($A7232="",$C7232="",$D7232="",$E7232="",$H7232=""),"",SUMIFS(DATA_GOC!$H:$H,DATA_GOC!$A:$A,"BOM",DATA_GOC!$D:$D,$H7232,DATA_GOC!$E:$E,$C7232,DATA_GOC!$F:$F,"Xuất nội bộ từ téc",DATA_GOC!$B:$B,"&gt;="&amp;$D7232,DATA_GOC!$B:$B,"&lt;="&amp;$E7232))</f>
        <v/>
      </c>
      <c r="J7232" s="59">
        <f t="shared" si="28"/>
        <v>0</v>
      </c>
      <c r="K7232" s="59">
        <f t="shared" si="29"/>
        <v>0</v>
      </c>
      <c r="L7232" s="59">
        <f t="shared" si="30"/>
        <v>0</v>
      </c>
      <c r="M7232" s="59">
        <f t="shared" si="31"/>
        <v>0</v>
      </c>
    </row>
    <row r="7233" ht="15.0" hidden="1" customHeight="1">
      <c r="A7233" s="59">
        <f t="shared" si="20"/>
        <v>117</v>
      </c>
      <c r="B7233" s="59" t="str">
        <f t="shared" si="21"/>
        <v/>
      </c>
      <c r="C7233" s="59" t="str">
        <f t="shared" si="22"/>
        <v/>
      </c>
      <c r="D7233" s="45" t="str">
        <f t="shared" si="23"/>
        <v/>
      </c>
      <c r="E7233" s="45" t="str">
        <f t="shared" si="24"/>
        <v/>
      </c>
      <c r="F7233" s="59" t="str">
        <f t="shared" si="25"/>
        <v/>
      </c>
      <c r="G7233" s="59" t="str">
        <f t="shared" si="26"/>
        <v/>
      </c>
      <c r="H7233" s="59" t="str">
        <f t="shared" si="27"/>
        <v>29E17269</v>
      </c>
      <c r="I7233" s="59" t="str">
        <f>IF(OR($A7233="",$C7233="",$D7233="",$E7233="",$H7233=""),"",SUMIFS(DATA_GOC!$H:$H,DATA_GOC!$A:$A,"BOM",DATA_GOC!$D:$D,$H7233,DATA_GOC!$E:$E,$C7233,DATA_GOC!$F:$F,"Xuất nội bộ từ téc",DATA_GOC!$B:$B,"&gt;="&amp;$D7233,DATA_GOC!$B:$B,"&lt;="&amp;$E7233))</f>
        <v/>
      </c>
      <c r="J7233" s="59">
        <f t="shared" si="28"/>
        <v>0</v>
      </c>
      <c r="K7233" s="59">
        <f t="shared" si="29"/>
        <v>0</v>
      </c>
      <c r="L7233" s="59">
        <f t="shared" si="30"/>
        <v>0</v>
      </c>
      <c r="M7233" s="59">
        <f t="shared" si="31"/>
        <v>0</v>
      </c>
    </row>
    <row r="7234" ht="15.0" hidden="1" customHeight="1">
      <c r="A7234" s="59">
        <f t="shared" si="20"/>
        <v>117</v>
      </c>
      <c r="B7234" s="59" t="str">
        <f t="shared" si="21"/>
        <v/>
      </c>
      <c r="C7234" s="59" t="str">
        <f t="shared" si="22"/>
        <v/>
      </c>
      <c r="D7234" s="45" t="str">
        <f t="shared" si="23"/>
        <v/>
      </c>
      <c r="E7234" s="45" t="str">
        <f t="shared" si="24"/>
        <v/>
      </c>
      <c r="F7234" s="59" t="str">
        <f t="shared" si="25"/>
        <v/>
      </c>
      <c r="G7234" s="59" t="str">
        <f t="shared" si="26"/>
        <v/>
      </c>
      <c r="H7234" s="59" t="str">
        <f t="shared" si="27"/>
        <v>29E17273</v>
      </c>
      <c r="I7234" s="59" t="str">
        <f>IF(OR($A7234="",$C7234="",$D7234="",$E7234="",$H7234=""),"",SUMIFS(DATA_GOC!$H:$H,DATA_GOC!$A:$A,"BOM",DATA_GOC!$D:$D,$H7234,DATA_GOC!$E:$E,$C7234,DATA_GOC!$F:$F,"Xuất nội bộ từ téc",DATA_GOC!$B:$B,"&gt;="&amp;$D7234,DATA_GOC!$B:$B,"&lt;="&amp;$E7234))</f>
        <v/>
      </c>
      <c r="J7234" s="59">
        <f t="shared" si="28"/>
        <v>0</v>
      </c>
      <c r="K7234" s="59">
        <f t="shared" si="29"/>
        <v>0</v>
      </c>
      <c r="L7234" s="59">
        <f t="shared" si="30"/>
        <v>0</v>
      </c>
      <c r="M7234" s="59">
        <f t="shared" si="31"/>
        <v>0</v>
      </c>
    </row>
    <row r="7235" ht="15.0" hidden="1" customHeight="1">
      <c r="A7235" s="59">
        <f t="shared" si="20"/>
        <v>117</v>
      </c>
      <c r="B7235" s="59" t="str">
        <f t="shared" si="21"/>
        <v/>
      </c>
      <c r="C7235" s="59" t="str">
        <f t="shared" si="22"/>
        <v/>
      </c>
      <c r="D7235" s="45" t="str">
        <f t="shared" si="23"/>
        <v/>
      </c>
      <c r="E7235" s="45" t="str">
        <f t="shared" si="24"/>
        <v/>
      </c>
      <c r="F7235" s="59" t="str">
        <f t="shared" si="25"/>
        <v/>
      </c>
      <c r="G7235" s="59" t="str">
        <f t="shared" si="26"/>
        <v/>
      </c>
      <c r="H7235" s="59" t="str">
        <f t="shared" si="27"/>
        <v>29E17410</v>
      </c>
      <c r="I7235" s="59" t="str">
        <f>IF(OR($A7235="",$C7235="",$D7235="",$E7235="",$H7235=""),"",SUMIFS(DATA_GOC!$H:$H,DATA_GOC!$A:$A,"BOM",DATA_GOC!$D:$D,$H7235,DATA_GOC!$E:$E,$C7235,DATA_GOC!$F:$F,"Xuất nội bộ từ téc",DATA_GOC!$B:$B,"&gt;="&amp;$D7235,DATA_GOC!$B:$B,"&lt;="&amp;$E7235))</f>
        <v/>
      </c>
      <c r="J7235" s="59">
        <f t="shared" si="28"/>
        <v>0</v>
      </c>
      <c r="K7235" s="59">
        <f t="shared" si="29"/>
        <v>0</v>
      </c>
      <c r="L7235" s="59">
        <f t="shared" si="30"/>
        <v>0</v>
      </c>
      <c r="M7235" s="59">
        <f t="shared" si="31"/>
        <v>0</v>
      </c>
    </row>
    <row r="7236" ht="15.0" hidden="1" customHeight="1">
      <c r="A7236" s="59">
        <f t="shared" si="20"/>
        <v>117</v>
      </c>
      <c r="B7236" s="59" t="str">
        <f t="shared" si="21"/>
        <v/>
      </c>
      <c r="C7236" s="59" t="str">
        <f t="shared" si="22"/>
        <v/>
      </c>
      <c r="D7236" s="45" t="str">
        <f t="shared" si="23"/>
        <v/>
      </c>
      <c r="E7236" s="45" t="str">
        <f t="shared" si="24"/>
        <v/>
      </c>
      <c r="F7236" s="59" t="str">
        <f t="shared" si="25"/>
        <v/>
      </c>
      <c r="G7236" s="59" t="str">
        <f t="shared" si="26"/>
        <v/>
      </c>
      <c r="H7236" s="59" t="str">
        <f t="shared" si="27"/>
        <v>29E17417</v>
      </c>
      <c r="I7236" s="59" t="str">
        <f>IF(OR($A7236="",$C7236="",$D7236="",$E7236="",$H7236=""),"",SUMIFS(DATA_GOC!$H:$H,DATA_GOC!$A:$A,"BOM",DATA_GOC!$D:$D,$H7236,DATA_GOC!$E:$E,$C7236,DATA_GOC!$F:$F,"Xuất nội bộ từ téc",DATA_GOC!$B:$B,"&gt;="&amp;$D7236,DATA_GOC!$B:$B,"&lt;="&amp;$E7236))</f>
        <v/>
      </c>
      <c r="J7236" s="59">
        <f t="shared" si="28"/>
        <v>0</v>
      </c>
      <c r="K7236" s="59">
        <f t="shared" si="29"/>
        <v>0</v>
      </c>
      <c r="L7236" s="59">
        <f t="shared" si="30"/>
        <v>0</v>
      </c>
      <c r="M7236" s="59">
        <f t="shared" si="31"/>
        <v>0</v>
      </c>
    </row>
    <row r="7237" ht="15.0" hidden="1" customHeight="1">
      <c r="A7237" s="59">
        <f t="shared" si="20"/>
        <v>117</v>
      </c>
      <c r="B7237" s="59" t="str">
        <f t="shared" si="21"/>
        <v/>
      </c>
      <c r="C7237" s="59" t="str">
        <f t="shared" si="22"/>
        <v/>
      </c>
      <c r="D7237" s="45" t="str">
        <f t="shared" si="23"/>
        <v/>
      </c>
      <c r="E7237" s="45" t="str">
        <f t="shared" si="24"/>
        <v/>
      </c>
      <c r="F7237" s="59" t="str">
        <f t="shared" si="25"/>
        <v/>
      </c>
      <c r="G7237" s="59" t="str">
        <f t="shared" si="26"/>
        <v/>
      </c>
      <c r="H7237" s="59" t="str">
        <f t="shared" si="27"/>
        <v>29E17539</v>
      </c>
      <c r="I7237" s="59" t="str">
        <f>IF(OR($A7237="",$C7237="",$D7237="",$E7237="",$H7237=""),"",SUMIFS(DATA_GOC!$H:$H,DATA_GOC!$A:$A,"BOM",DATA_GOC!$D:$D,$H7237,DATA_GOC!$E:$E,$C7237,DATA_GOC!$F:$F,"Xuất nội bộ từ téc",DATA_GOC!$B:$B,"&gt;="&amp;$D7237,DATA_GOC!$B:$B,"&lt;="&amp;$E7237))</f>
        <v/>
      </c>
      <c r="J7237" s="59">
        <f t="shared" si="28"/>
        <v>0</v>
      </c>
      <c r="K7237" s="59">
        <f t="shared" si="29"/>
        <v>0</v>
      </c>
      <c r="L7237" s="59">
        <f t="shared" si="30"/>
        <v>0</v>
      </c>
      <c r="M7237" s="59">
        <f t="shared" si="31"/>
        <v>0</v>
      </c>
    </row>
    <row r="7238" ht="15.0" hidden="1" customHeight="1">
      <c r="A7238" s="59">
        <f t="shared" si="20"/>
        <v>117</v>
      </c>
      <c r="B7238" s="59" t="str">
        <f t="shared" si="21"/>
        <v/>
      </c>
      <c r="C7238" s="59" t="str">
        <f t="shared" si="22"/>
        <v/>
      </c>
      <c r="D7238" s="45" t="str">
        <f t="shared" si="23"/>
        <v/>
      </c>
      <c r="E7238" s="45" t="str">
        <f t="shared" si="24"/>
        <v/>
      </c>
      <c r="F7238" s="59" t="str">
        <f t="shared" si="25"/>
        <v/>
      </c>
      <c r="G7238" s="59" t="str">
        <f t="shared" si="26"/>
        <v/>
      </c>
      <c r="H7238" s="59" t="str">
        <f t="shared" si="27"/>
        <v>29E18160</v>
      </c>
      <c r="I7238" s="59" t="str">
        <f>IF(OR($A7238="",$C7238="",$D7238="",$E7238="",$H7238=""),"",SUMIFS(DATA_GOC!$H:$H,DATA_GOC!$A:$A,"BOM",DATA_GOC!$D:$D,$H7238,DATA_GOC!$E:$E,$C7238,DATA_GOC!$F:$F,"Xuất nội bộ từ téc",DATA_GOC!$B:$B,"&gt;="&amp;$D7238,DATA_GOC!$B:$B,"&lt;="&amp;$E7238))</f>
        <v/>
      </c>
      <c r="J7238" s="59">
        <f t="shared" si="28"/>
        <v>0</v>
      </c>
      <c r="K7238" s="59">
        <f t="shared" si="29"/>
        <v>0</v>
      </c>
      <c r="L7238" s="59">
        <f t="shared" si="30"/>
        <v>0</v>
      </c>
      <c r="M7238" s="59">
        <f t="shared" si="31"/>
        <v>0</v>
      </c>
    </row>
    <row r="7239" ht="15.0" hidden="1" customHeight="1">
      <c r="A7239" s="59">
        <f t="shared" si="20"/>
        <v>117</v>
      </c>
      <c r="B7239" s="59" t="str">
        <f t="shared" si="21"/>
        <v/>
      </c>
      <c r="C7239" s="59" t="str">
        <f t="shared" si="22"/>
        <v/>
      </c>
      <c r="D7239" s="45" t="str">
        <f t="shared" si="23"/>
        <v/>
      </c>
      <c r="E7239" s="45" t="str">
        <f t="shared" si="24"/>
        <v/>
      </c>
      <c r="F7239" s="59" t="str">
        <f t="shared" si="25"/>
        <v/>
      </c>
      <c r="G7239" s="59" t="str">
        <f t="shared" si="26"/>
        <v/>
      </c>
      <c r="H7239" s="59" t="str">
        <f t="shared" si="27"/>
        <v>Công trình Asphalt</v>
      </c>
      <c r="I7239" s="59" t="str">
        <f>IF(OR($A7239="",$C7239="",$D7239="",$E7239="",$H7239=""),"",SUMIFS(DATA_GOC!$H:$H,DATA_GOC!$A:$A,"BOM",DATA_GOC!$D:$D,$H7239,DATA_GOC!$E:$E,$C7239,DATA_GOC!$F:$F,"Xuất nội bộ từ téc",DATA_GOC!$B:$B,"&gt;="&amp;$D7239,DATA_GOC!$B:$B,"&lt;="&amp;$E7239))</f>
        <v/>
      </c>
      <c r="J7239" s="59">
        <f t="shared" si="28"/>
        <v>0</v>
      </c>
      <c r="K7239" s="59">
        <f t="shared" si="29"/>
        <v>0</v>
      </c>
      <c r="L7239" s="59">
        <f t="shared" si="30"/>
        <v>0</v>
      </c>
      <c r="M7239" s="59">
        <f t="shared" si="31"/>
        <v>0</v>
      </c>
    </row>
    <row r="7240" ht="15.0" hidden="1" customHeight="1">
      <c r="A7240" s="59">
        <f t="shared" si="20"/>
        <v>117</v>
      </c>
      <c r="B7240" s="59" t="str">
        <f t="shared" si="21"/>
        <v/>
      </c>
      <c r="C7240" s="59" t="str">
        <f t="shared" si="22"/>
        <v/>
      </c>
      <c r="D7240" s="45" t="str">
        <f t="shared" si="23"/>
        <v/>
      </c>
      <c r="E7240" s="45" t="str">
        <f t="shared" si="24"/>
        <v/>
      </c>
      <c r="F7240" s="59" t="str">
        <f t="shared" si="25"/>
        <v/>
      </c>
      <c r="G7240" s="59" t="str">
        <f t="shared" si="26"/>
        <v/>
      </c>
      <c r="H7240" s="59" t="str">
        <f t="shared" si="27"/>
        <v>LG53F</v>
      </c>
      <c r="I7240" s="59" t="str">
        <f>IF(OR($A7240="",$C7240="",$D7240="",$E7240="",$H7240=""),"",SUMIFS(DATA_GOC!$H:$H,DATA_GOC!$A:$A,"BOM",DATA_GOC!$D:$D,$H7240,DATA_GOC!$E:$E,$C7240,DATA_GOC!$F:$F,"Xuất nội bộ từ téc",DATA_GOC!$B:$B,"&gt;="&amp;$D7240,DATA_GOC!$B:$B,"&lt;="&amp;$E7240))</f>
        <v/>
      </c>
      <c r="J7240" s="59">
        <f t="shared" si="28"/>
        <v>0</v>
      </c>
      <c r="K7240" s="59">
        <f t="shared" si="29"/>
        <v>0</v>
      </c>
      <c r="L7240" s="59">
        <f t="shared" si="30"/>
        <v>0</v>
      </c>
      <c r="M7240" s="59">
        <f t="shared" si="31"/>
        <v>0</v>
      </c>
    </row>
    <row r="7241" ht="15.0" hidden="1" customHeight="1">
      <c r="A7241" s="59">
        <f t="shared" si="20"/>
        <v>117</v>
      </c>
      <c r="B7241" s="59" t="str">
        <f t="shared" si="21"/>
        <v/>
      </c>
      <c r="C7241" s="59" t="str">
        <f t="shared" si="22"/>
        <v/>
      </c>
      <c r="D7241" s="45" t="str">
        <f t="shared" si="23"/>
        <v/>
      </c>
      <c r="E7241" s="45" t="str">
        <f t="shared" si="24"/>
        <v/>
      </c>
      <c r="F7241" s="59" t="str">
        <f t="shared" si="25"/>
        <v/>
      </c>
      <c r="G7241" s="59" t="str">
        <f t="shared" si="26"/>
        <v/>
      </c>
      <c r="H7241" s="59" t="str">
        <f t="shared" si="27"/>
        <v>Máy phát điện</v>
      </c>
      <c r="I7241" s="59" t="str">
        <f>IF(OR($A7241="",$C7241="",$D7241="",$E7241="",$H7241=""),"",SUMIFS(DATA_GOC!$H:$H,DATA_GOC!$A:$A,"BOM",DATA_GOC!$D:$D,$H7241,DATA_GOC!$E:$E,$C7241,DATA_GOC!$F:$F,"Xuất nội bộ từ téc",DATA_GOC!$B:$B,"&gt;="&amp;$D7241,DATA_GOC!$B:$B,"&lt;="&amp;$E7241))</f>
        <v/>
      </c>
      <c r="J7241" s="59">
        <f t="shared" si="28"/>
        <v>0</v>
      </c>
      <c r="K7241" s="59">
        <f t="shared" si="29"/>
        <v>0</v>
      </c>
      <c r="L7241" s="59">
        <f t="shared" si="30"/>
        <v>0</v>
      </c>
      <c r="M7241" s="59">
        <f t="shared" si="31"/>
        <v>0</v>
      </c>
    </row>
    <row r="7242" ht="15.0" hidden="1" customHeight="1">
      <c r="A7242" s="59">
        <f t="shared" si="20"/>
        <v>117</v>
      </c>
      <c r="B7242" s="59" t="str">
        <f t="shared" si="21"/>
        <v/>
      </c>
      <c r="C7242" s="59" t="str">
        <f t="shared" si="22"/>
        <v/>
      </c>
      <c r="D7242" s="45" t="str">
        <f t="shared" si="23"/>
        <v/>
      </c>
      <c r="E7242" s="45" t="str">
        <f t="shared" si="24"/>
        <v/>
      </c>
      <c r="F7242" s="59" t="str">
        <f t="shared" si="25"/>
        <v/>
      </c>
      <c r="G7242" s="59" t="str">
        <f t="shared" si="26"/>
        <v/>
      </c>
      <c r="H7242" s="59" t="str">
        <f t="shared" si="27"/>
        <v>Máy rải thảm</v>
      </c>
      <c r="I7242" s="59" t="str">
        <f>IF(OR($A7242="",$C7242="",$D7242="",$E7242="",$H7242=""),"",SUMIFS(DATA_GOC!$H:$H,DATA_GOC!$A:$A,"BOM",DATA_GOC!$D:$D,$H7242,DATA_GOC!$E:$E,$C7242,DATA_GOC!$F:$F,"Xuất nội bộ từ téc",DATA_GOC!$B:$B,"&gt;="&amp;$D7242,DATA_GOC!$B:$B,"&lt;="&amp;$E7242))</f>
        <v/>
      </c>
      <c r="J7242" s="59">
        <f t="shared" si="28"/>
        <v>0</v>
      </c>
      <c r="K7242" s="59">
        <f t="shared" si="29"/>
        <v>0</v>
      </c>
      <c r="L7242" s="59">
        <f t="shared" si="30"/>
        <v>0</v>
      </c>
      <c r="M7242" s="59">
        <f t="shared" si="31"/>
        <v>0</v>
      </c>
    </row>
    <row r="7243" ht="15.0" hidden="1" customHeight="1">
      <c r="A7243" s="59">
        <f t="shared" si="20"/>
        <v>117</v>
      </c>
      <c r="B7243" s="59" t="str">
        <f t="shared" si="21"/>
        <v/>
      </c>
      <c r="C7243" s="59" t="str">
        <f t="shared" si="22"/>
        <v/>
      </c>
      <c r="D7243" s="45" t="str">
        <f t="shared" si="23"/>
        <v/>
      </c>
      <c r="E7243" s="45" t="str">
        <f t="shared" si="24"/>
        <v/>
      </c>
      <c r="F7243" s="59" t="str">
        <f t="shared" si="25"/>
        <v/>
      </c>
      <c r="G7243" s="59" t="str">
        <f t="shared" si="26"/>
        <v/>
      </c>
      <c r="H7243" s="59" t="str">
        <f t="shared" si="27"/>
        <v>Xúc Đào</v>
      </c>
      <c r="I7243" s="59" t="str">
        <f>IF(OR($A7243="",$C7243="",$D7243="",$E7243="",$H7243=""),"",SUMIFS(DATA_GOC!$H:$H,DATA_GOC!$A:$A,"BOM",DATA_GOC!$D:$D,$H7243,DATA_GOC!$E:$E,$C7243,DATA_GOC!$F:$F,"Xuất nội bộ từ téc",DATA_GOC!$B:$B,"&gt;="&amp;$D7243,DATA_GOC!$B:$B,"&lt;="&amp;$E7243))</f>
        <v/>
      </c>
      <c r="J7243" s="59">
        <f t="shared" si="28"/>
        <v>0</v>
      </c>
      <c r="K7243" s="59">
        <f t="shared" si="29"/>
        <v>0</v>
      </c>
      <c r="L7243" s="59">
        <f t="shared" si="30"/>
        <v>0</v>
      </c>
      <c r="M7243" s="59">
        <f t="shared" si="31"/>
        <v>0</v>
      </c>
    </row>
    <row r="7244" ht="15.0" hidden="1" customHeight="1">
      <c r="A7244" s="59">
        <f t="shared" si="20"/>
        <v>117</v>
      </c>
      <c r="B7244" s="59" t="str">
        <f t="shared" si="21"/>
        <v/>
      </c>
      <c r="C7244" s="59" t="str">
        <f t="shared" si="22"/>
        <v/>
      </c>
      <c r="D7244" s="45" t="str">
        <f t="shared" si="23"/>
        <v/>
      </c>
      <c r="E7244" s="45" t="str">
        <f t="shared" si="24"/>
        <v/>
      </c>
      <c r="F7244" s="59" t="str">
        <f t="shared" si="25"/>
        <v/>
      </c>
      <c r="G7244" s="59" t="str">
        <f t="shared" si="26"/>
        <v/>
      </c>
      <c r="H7244" s="59" t="str">
        <f t="shared" si="27"/>
        <v>Xúclật asphalt</v>
      </c>
      <c r="I7244" s="59" t="str">
        <f>IF(OR($A7244="",$C7244="",$D7244="",$E7244="",$H7244=""),"",SUMIFS(DATA_GOC!$H:$H,DATA_GOC!$A:$A,"BOM",DATA_GOC!$D:$D,$H7244,DATA_GOC!$E:$E,$C7244,DATA_GOC!$F:$F,"Xuất nội bộ từ téc",DATA_GOC!$B:$B,"&gt;="&amp;$D7244,DATA_GOC!$B:$B,"&lt;="&amp;$E7244))</f>
        <v/>
      </c>
      <c r="J7244" s="59">
        <f t="shared" si="28"/>
        <v>0</v>
      </c>
      <c r="K7244" s="59">
        <f t="shared" si="29"/>
        <v>0</v>
      </c>
      <c r="L7244" s="59">
        <f t="shared" si="30"/>
        <v>0</v>
      </c>
      <c r="M7244" s="59">
        <f t="shared" si="31"/>
        <v>0</v>
      </c>
    </row>
    <row r="7245" ht="15.0" hidden="1" customHeight="1">
      <c r="A7245" s="59">
        <f t="shared" si="20"/>
        <v>117</v>
      </c>
      <c r="B7245" s="59" t="str">
        <f t="shared" si="21"/>
        <v/>
      </c>
      <c r="C7245" s="59" t="str">
        <f t="shared" si="22"/>
        <v/>
      </c>
      <c r="D7245" s="45" t="str">
        <f t="shared" si="23"/>
        <v/>
      </c>
      <c r="E7245" s="45" t="str">
        <f t="shared" si="24"/>
        <v/>
      </c>
      <c r="F7245" s="59" t="str">
        <f t="shared" si="25"/>
        <v/>
      </c>
      <c r="G7245" s="59" t="str">
        <f t="shared" si="26"/>
        <v/>
      </c>
      <c r="H7245" s="59" t="str">
        <f t="shared" si="27"/>
        <v>Xúclật855H</v>
      </c>
      <c r="I7245" s="59" t="str">
        <f>IF(OR($A7245="",$C7245="",$D7245="",$E7245="",$H7245=""),"",SUMIFS(DATA_GOC!$H:$H,DATA_GOC!$A:$A,"BOM",DATA_GOC!$D:$D,$H7245,DATA_GOC!$E:$E,$C7245,DATA_GOC!$F:$F,"Xuất nội bộ từ téc",DATA_GOC!$B:$B,"&gt;="&amp;$D7245,DATA_GOC!$B:$B,"&lt;="&amp;$E7245))</f>
        <v/>
      </c>
      <c r="J7245" s="59">
        <f t="shared" si="28"/>
        <v>0</v>
      </c>
      <c r="K7245" s="59">
        <f t="shared" si="29"/>
        <v>0</v>
      </c>
      <c r="L7245" s="59">
        <f t="shared" si="30"/>
        <v>0</v>
      </c>
      <c r="M7245" s="59">
        <f t="shared" si="31"/>
        <v>0</v>
      </c>
    </row>
    <row r="7246" ht="15.0" hidden="1" customHeight="1">
      <c r="A7246" s="59">
        <f t="shared" si="20"/>
        <v>117</v>
      </c>
      <c r="B7246" s="59" t="str">
        <f t="shared" si="21"/>
        <v/>
      </c>
      <c r="C7246" s="59" t="str">
        <f t="shared" si="22"/>
        <v/>
      </c>
      <c r="D7246" s="45" t="str">
        <f t="shared" si="23"/>
        <v/>
      </c>
      <c r="E7246" s="45" t="str">
        <f t="shared" si="24"/>
        <v/>
      </c>
      <c r="F7246" s="59" t="str">
        <f t="shared" si="25"/>
        <v/>
      </c>
      <c r="G7246" s="59" t="str">
        <f t="shared" si="26"/>
        <v/>
      </c>
      <c r="H7246" s="59" t="str">
        <f t="shared" si="27"/>
        <v>Xúclật855N</v>
      </c>
      <c r="I7246" s="59" t="str">
        <f>IF(OR($A7246="",$C7246="",$D7246="",$E7246="",$H7246=""),"",SUMIFS(DATA_GOC!$H:$H,DATA_GOC!$A:$A,"BOM",DATA_GOC!$D:$D,$H7246,DATA_GOC!$E:$E,$C7246,DATA_GOC!$F:$F,"Xuất nội bộ từ téc",DATA_GOC!$B:$B,"&gt;="&amp;$D7246,DATA_GOC!$B:$B,"&lt;="&amp;$E7246))</f>
        <v/>
      </c>
      <c r="J7246" s="59">
        <f t="shared" si="28"/>
        <v>0</v>
      </c>
      <c r="K7246" s="59">
        <f t="shared" si="29"/>
        <v>0</v>
      </c>
      <c r="L7246" s="59">
        <f t="shared" si="30"/>
        <v>0</v>
      </c>
      <c r="M7246" s="59">
        <f t="shared" si="31"/>
        <v>0</v>
      </c>
    </row>
    <row r="7247" ht="15.0" hidden="1" customHeight="1">
      <c r="A7247" s="59">
        <f t="shared" si="20"/>
        <v>117</v>
      </c>
      <c r="B7247" s="59" t="str">
        <f t="shared" si="21"/>
        <v/>
      </c>
      <c r="C7247" s="59" t="str">
        <f t="shared" si="22"/>
        <v/>
      </c>
      <c r="D7247" s="45" t="str">
        <f t="shared" si="23"/>
        <v/>
      </c>
      <c r="E7247" s="45" t="str">
        <f t="shared" si="24"/>
        <v/>
      </c>
      <c r="F7247" s="59" t="str">
        <f t="shared" si="25"/>
        <v/>
      </c>
      <c r="G7247" s="59" t="str">
        <f t="shared" si="26"/>
        <v/>
      </c>
      <c r="H7247" s="59" t="str">
        <f t="shared" si="27"/>
        <v>Cát nghiền</v>
      </c>
      <c r="I7247" s="59" t="str">
        <f>IF(OR($A7247="",$C7247="",$D7247="",$E7247="",$H7247=""),"",SUMIFS(DATA_GOC!$H:$H,DATA_GOC!$A:$A,"BOM",DATA_GOC!$D:$D,$H7247,DATA_GOC!$E:$E,$C7247,DATA_GOC!$F:$F,"Xuất nội bộ từ téc",DATA_GOC!$B:$B,"&gt;="&amp;$D7247,DATA_GOC!$B:$B,"&lt;="&amp;$E7247))</f>
        <v/>
      </c>
      <c r="J7247" s="59">
        <f t="shared" si="28"/>
        <v>0</v>
      </c>
      <c r="K7247" s="59">
        <f t="shared" si="29"/>
        <v>0</v>
      </c>
      <c r="L7247" s="59">
        <f t="shared" si="30"/>
        <v>0</v>
      </c>
      <c r="M7247" s="59">
        <f t="shared" si="31"/>
        <v>0</v>
      </c>
    </row>
    <row r="7248" ht="15.0" hidden="1" customHeight="1">
      <c r="A7248" s="59">
        <f t="shared" si="20"/>
        <v>117</v>
      </c>
      <c r="B7248" s="59" t="str">
        <f t="shared" si="21"/>
        <v/>
      </c>
      <c r="C7248" s="59" t="str">
        <f t="shared" si="22"/>
        <v/>
      </c>
      <c r="D7248" s="45" t="str">
        <f t="shared" si="23"/>
        <v/>
      </c>
      <c r="E7248" s="45" t="str">
        <f t="shared" si="24"/>
        <v/>
      </c>
      <c r="F7248" s="59" t="str">
        <f t="shared" si="25"/>
        <v/>
      </c>
      <c r="G7248" s="59" t="str">
        <f t="shared" si="26"/>
        <v/>
      </c>
      <c r="H7248" s="59" t="str">
        <f t="shared" si="27"/>
        <v>28C02973</v>
      </c>
      <c r="I7248" s="59" t="str">
        <f>IF(OR($A7248="",$C7248="",$D7248="",$E7248="",$H7248=""),"",SUMIFS(DATA_GOC!$H:$H,DATA_GOC!$A:$A,"BOM",DATA_GOC!$D:$D,$H7248,DATA_GOC!$E:$E,$C7248,DATA_GOC!$F:$F,"Xuất nội bộ từ téc",DATA_GOC!$B:$B,"&gt;="&amp;$D7248,DATA_GOC!$B:$B,"&lt;="&amp;$E7248))</f>
        <v/>
      </c>
      <c r="J7248" s="59">
        <f t="shared" si="28"/>
        <v>0</v>
      </c>
      <c r="K7248" s="59">
        <f t="shared" si="29"/>
        <v>0</v>
      </c>
      <c r="L7248" s="59">
        <f t="shared" si="30"/>
        <v>0</v>
      </c>
      <c r="M7248" s="59">
        <f t="shared" si="31"/>
        <v>0</v>
      </c>
    </row>
    <row r="7249" ht="15.0" hidden="1" customHeight="1">
      <c r="A7249" s="59">
        <f t="shared" si="20"/>
        <v>117</v>
      </c>
      <c r="B7249" s="59" t="str">
        <f t="shared" si="21"/>
        <v/>
      </c>
      <c r="C7249" s="59" t="str">
        <f t="shared" si="22"/>
        <v/>
      </c>
      <c r="D7249" s="45" t="str">
        <f t="shared" si="23"/>
        <v/>
      </c>
      <c r="E7249" s="45" t="str">
        <f t="shared" si="24"/>
        <v/>
      </c>
      <c r="F7249" s="59" t="str">
        <f t="shared" si="25"/>
        <v/>
      </c>
      <c r="G7249" s="59" t="str">
        <f t="shared" si="26"/>
        <v/>
      </c>
      <c r="H7249" s="59" t="str">
        <f t="shared" si="27"/>
        <v>28C03044</v>
      </c>
      <c r="I7249" s="59" t="str">
        <f>IF(OR($A7249="",$C7249="",$D7249="",$E7249="",$H7249=""),"",SUMIFS(DATA_GOC!$H:$H,DATA_GOC!$A:$A,"BOM",DATA_GOC!$D:$D,$H7249,DATA_GOC!$E:$E,$C7249,DATA_GOC!$F:$F,"Xuất nội bộ từ téc",DATA_GOC!$B:$B,"&gt;="&amp;$D7249,DATA_GOC!$B:$B,"&lt;="&amp;$E7249))</f>
        <v/>
      </c>
      <c r="J7249" s="59">
        <f t="shared" si="28"/>
        <v>0</v>
      </c>
      <c r="K7249" s="59">
        <f t="shared" si="29"/>
        <v>0</v>
      </c>
      <c r="L7249" s="59">
        <f t="shared" si="30"/>
        <v>0</v>
      </c>
      <c r="M7249" s="59">
        <f t="shared" si="31"/>
        <v>0</v>
      </c>
    </row>
    <row r="7250" ht="15.0" hidden="1" customHeight="1">
      <c r="A7250" s="59">
        <f t="shared" si="20"/>
        <v>117</v>
      </c>
      <c r="B7250" s="59" t="str">
        <f t="shared" si="21"/>
        <v/>
      </c>
      <c r="C7250" s="59" t="str">
        <f t="shared" si="22"/>
        <v/>
      </c>
      <c r="D7250" s="45" t="str">
        <f t="shared" si="23"/>
        <v/>
      </c>
      <c r="E7250" s="45" t="str">
        <f t="shared" si="24"/>
        <v/>
      </c>
      <c r="F7250" s="59" t="str">
        <f t="shared" si="25"/>
        <v/>
      </c>
      <c r="G7250" s="59" t="str">
        <f t="shared" si="26"/>
        <v/>
      </c>
      <c r="H7250" s="59" t="str">
        <f t="shared" si="27"/>
        <v>Máy lu lốp</v>
      </c>
      <c r="I7250" s="59" t="str">
        <f>IF(OR($A7250="",$C7250="",$D7250="",$E7250="",$H7250=""),"",SUMIFS(DATA_GOC!$H:$H,DATA_GOC!$A:$A,"BOM",DATA_GOC!$D:$D,$H7250,DATA_GOC!$E:$E,$C7250,DATA_GOC!$F:$F,"Xuất nội bộ từ téc",DATA_GOC!$B:$B,"&gt;="&amp;$D7250,DATA_GOC!$B:$B,"&lt;="&amp;$E7250))</f>
        <v/>
      </c>
      <c r="J7250" s="59">
        <f t="shared" si="28"/>
        <v>0</v>
      </c>
      <c r="K7250" s="59">
        <f t="shared" si="29"/>
        <v>0</v>
      </c>
      <c r="L7250" s="59">
        <f t="shared" si="30"/>
        <v>0</v>
      </c>
      <c r="M7250" s="59">
        <f t="shared" si="31"/>
        <v>0</v>
      </c>
    </row>
    <row r="7251" ht="15.0" hidden="1" customHeight="1">
      <c r="A7251" s="59">
        <f t="shared" si="20"/>
        <v>117</v>
      </c>
      <c r="B7251" s="59" t="str">
        <f t="shared" si="21"/>
        <v/>
      </c>
      <c r="C7251" s="59" t="str">
        <f t="shared" si="22"/>
        <v/>
      </c>
      <c r="D7251" s="45" t="str">
        <f t="shared" si="23"/>
        <v/>
      </c>
      <c r="E7251" s="45" t="str">
        <f t="shared" si="24"/>
        <v/>
      </c>
      <c r="F7251" s="59" t="str">
        <f t="shared" si="25"/>
        <v/>
      </c>
      <c r="G7251" s="59" t="str">
        <f t="shared" si="26"/>
        <v/>
      </c>
      <c r="H7251" s="59" t="str">
        <f t="shared" si="27"/>
        <v>Xe 600148</v>
      </c>
      <c r="I7251" s="59" t="str">
        <f>IF(OR($A7251="",$C7251="",$D7251="",$E7251="",$H7251=""),"",SUMIFS(DATA_GOC!$H:$H,DATA_GOC!$A:$A,"BOM",DATA_GOC!$D:$D,$H7251,DATA_GOC!$E:$E,$C7251,DATA_GOC!$F:$F,"Xuất nội bộ từ téc",DATA_GOC!$B:$B,"&gt;="&amp;$D7251,DATA_GOC!$B:$B,"&lt;="&amp;$E7251))</f>
        <v/>
      </c>
      <c r="J7251" s="59">
        <f t="shared" si="28"/>
        <v>0</v>
      </c>
      <c r="K7251" s="59">
        <f t="shared" si="29"/>
        <v>0</v>
      </c>
      <c r="L7251" s="59">
        <f t="shared" si="30"/>
        <v>0</v>
      </c>
      <c r="M7251" s="59">
        <f t="shared" si="31"/>
        <v>0</v>
      </c>
    </row>
    <row r="7252" ht="15.0" hidden="1" customHeight="1">
      <c r="A7252" s="59">
        <f t="shared" si="20"/>
        <v>117</v>
      </c>
      <c r="B7252" s="59" t="str">
        <f t="shared" si="21"/>
        <v/>
      </c>
      <c r="C7252" s="59" t="str">
        <f t="shared" si="22"/>
        <v/>
      </c>
      <c r="D7252" s="45" t="str">
        <f t="shared" si="23"/>
        <v/>
      </c>
      <c r="E7252" s="45" t="str">
        <f t="shared" si="24"/>
        <v/>
      </c>
      <c r="F7252" s="59" t="str">
        <f t="shared" si="25"/>
        <v/>
      </c>
      <c r="G7252" s="59" t="str">
        <f t="shared" si="26"/>
        <v/>
      </c>
      <c r="H7252" s="59" t="str">
        <f t="shared" si="27"/>
        <v>Xe ben mới</v>
      </c>
      <c r="I7252" s="59" t="str">
        <f>IF(OR($A7252="",$C7252="",$D7252="",$E7252="",$H7252=""),"",SUMIFS(DATA_GOC!$H:$H,DATA_GOC!$A:$A,"BOM",DATA_GOC!$D:$D,$H7252,DATA_GOC!$E:$E,$C7252,DATA_GOC!$F:$F,"Xuất nội bộ từ téc",DATA_GOC!$B:$B,"&gt;="&amp;$D7252,DATA_GOC!$B:$B,"&lt;="&amp;$E7252))</f>
        <v/>
      </c>
      <c r="J7252" s="59">
        <f t="shared" si="28"/>
        <v>0</v>
      </c>
      <c r="K7252" s="59">
        <f t="shared" si="29"/>
        <v>0</v>
      </c>
      <c r="L7252" s="59">
        <f t="shared" si="30"/>
        <v>0</v>
      </c>
      <c r="M7252" s="59">
        <f t="shared" si="31"/>
        <v>0</v>
      </c>
    </row>
    <row r="7253" ht="15.0" hidden="1" customHeight="1">
      <c r="A7253" s="59">
        <f t="shared" si="20"/>
        <v>118</v>
      </c>
      <c r="B7253" s="59" t="str">
        <f t="shared" si="21"/>
        <v/>
      </c>
      <c r="C7253" s="59" t="str">
        <f t="shared" si="22"/>
        <v/>
      </c>
      <c r="D7253" s="45" t="str">
        <f t="shared" si="23"/>
        <v/>
      </c>
      <c r="E7253" s="45" t="str">
        <f t="shared" si="24"/>
        <v/>
      </c>
      <c r="F7253" s="59" t="str">
        <f t="shared" si="25"/>
        <v/>
      </c>
      <c r="G7253" s="59" t="str">
        <f t="shared" si="26"/>
        <v/>
      </c>
      <c r="H7253" s="59" t="str">
        <f t="shared" si="27"/>
        <v>19H09482</v>
      </c>
      <c r="I7253" s="59" t="str">
        <f>IF(OR($A7253="",$C7253="",$D7253="",$E7253="",$H7253=""),"",SUMIFS(DATA_GOC!$H:$H,DATA_GOC!$A:$A,"BOM",DATA_GOC!$D:$D,$H7253,DATA_GOC!$E:$E,$C7253,DATA_GOC!$F:$F,"Xuất nội bộ từ téc",DATA_GOC!$B:$B,"&gt;="&amp;$D7253,DATA_GOC!$B:$B,"&lt;="&amp;$E7253))</f>
        <v/>
      </c>
      <c r="J7253" s="59">
        <f t="shared" si="28"/>
        <v>0</v>
      </c>
      <c r="K7253" s="59">
        <f t="shared" si="29"/>
        <v>0</v>
      </c>
      <c r="L7253" s="59">
        <f t="shared" si="30"/>
        <v>0</v>
      </c>
      <c r="M7253" s="59">
        <f t="shared" si="31"/>
        <v>0</v>
      </c>
    </row>
    <row r="7254" ht="15.0" hidden="1" customHeight="1">
      <c r="A7254" s="59">
        <f t="shared" si="20"/>
        <v>118</v>
      </c>
      <c r="B7254" s="59" t="str">
        <f t="shared" si="21"/>
        <v/>
      </c>
      <c r="C7254" s="59" t="str">
        <f t="shared" si="22"/>
        <v/>
      </c>
      <c r="D7254" s="45" t="str">
        <f t="shared" si="23"/>
        <v/>
      </c>
      <c r="E7254" s="45" t="str">
        <f t="shared" si="24"/>
        <v/>
      </c>
      <c r="F7254" s="59" t="str">
        <f t="shared" si="25"/>
        <v/>
      </c>
      <c r="G7254" s="59" t="str">
        <f t="shared" si="26"/>
        <v/>
      </c>
      <c r="H7254" s="59" t="str">
        <f t="shared" si="27"/>
        <v>28A30696</v>
      </c>
      <c r="I7254" s="59" t="str">
        <f>IF(OR($A7254="",$C7254="",$D7254="",$E7254="",$H7254=""),"",SUMIFS(DATA_GOC!$H:$H,DATA_GOC!$A:$A,"BOM",DATA_GOC!$D:$D,$H7254,DATA_GOC!$E:$E,$C7254,DATA_GOC!$F:$F,"Xuất nội bộ từ téc",DATA_GOC!$B:$B,"&gt;="&amp;$D7254,DATA_GOC!$B:$B,"&lt;="&amp;$E7254))</f>
        <v/>
      </c>
      <c r="J7254" s="59">
        <f t="shared" si="28"/>
        <v>0</v>
      </c>
      <c r="K7254" s="59">
        <f t="shared" si="29"/>
        <v>0</v>
      </c>
      <c r="L7254" s="59">
        <f t="shared" si="30"/>
        <v>0</v>
      </c>
      <c r="M7254" s="59">
        <f t="shared" si="31"/>
        <v>0</v>
      </c>
    </row>
    <row r="7255" ht="15.0" hidden="1" customHeight="1">
      <c r="A7255" s="59">
        <f t="shared" si="20"/>
        <v>118</v>
      </c>
      <c r="B7255" s="59" t="str">
        <f t="shared" si="21"/>
        <v/>
      </c>
      <c r="C7255" s="59" t="str">
        <f t="shared" si="22"/>
        <v/>
      </c>
      <c r="D7255" s="45" t="str">
        <f t="shared" si="23"/>
        <v/>
      </c>
      <c r="E7255" s="45" t="str">
        <f t="shared" si="24"/>
        <v/>
      </c>
      <c r="F7255" s="59" t="str">
        <f t="shared" si="25"/>
        <v/>
      </c>
      <c r="G7255" s="59" t="str">
        <f t="shared" si="26"/>
        <v/>
      </c>
      <c r="H7255" s="59" t="str">
        <f t="shared" si="27"/>
        <v>28C00462</v>
      </c>
      <c r="I7255" s="59" t="str">
        <f>IF(OR($A7255="",$C7255="",$D7255="",$E7255="",$H7255=""),"",SUMIFS(DATA_GOC!$H:$H,DATA_GOC!$A:$A,"BOM",DATA_GOC!$D:$D,$H7255,DATA_GOC!$E:$E,$C7255,DATA_GOC!$F:$F,"Xuất nội bộ từ téc",DATA_GOC!$B:$B,"&gt;="&amp;$D7255,DATA_GOC!$B:$B,"&lt;="&amp;$E7255))</f>
        <v/>
      </c>
      <c r="J7255" s="59">
        <f t="shared" si="28"/>
        <v>0</v>
      </c>
      <c r="K7255" s="59">
        <f t="shared" si="29"/>
        <v>0</v>
      </c>
      <c r="L7255" s="59">
        <f t="shared" si="30"/>
        <v>0</v>
      </c>
      <c r="M7255" s="59">
        <f t="shared" si="31"/>
        <v>0</v>
      </c>
    </row>
    <row r="7256" ht="15.0" hidden="1" customHeight="1">
      <c r="A7256" s="59">
        <f t="shared" si="20"/>
        <v>118</v>
      </c>
      <c r="B7256" s="59" t="str">
        <f t="shared" si="21"/>
        <v/>
      </c>
      <c r="C7256" s="59" t="str">
        <f t="shared" si="22"/>
        <v/>
      </c>
      <c r="D7256" s="45" t="str">
        <f t="shared" si="23"/>
        <v/>
      </c>
      <c r="E7256" s="45" t="str">
        <f t="shared" si="24"/>
        <v/>
      </c>
      <c r="F7256" s="59" t="str">
        <f t="shared" si="25"/>
        <v/>
      </c>
      <c r="G7256" s="59" t="str">
        <f t="shared" si="26"/>
        <v/>
      </c>
      <c r="H7256" s="59" t="str">
        <f t="shared" si="27"/>
        <v>28C01165</v>
      </c>
      <c r="I7256" s="59" t="str">
        <f>IF(OR($A7256="",$C7256="",$D7256="",$E7256="",$H7256=""),"",SUMIFS(DATA_GOC!$H:$H,DATA_GOC!$A:$A,"BOM",DATA_GOC!$D:$D,$H7256,DATA_GOC!$E:$E,$C7256,DATA_GOC!$F:$F,"Xuất nội bộ từ téc",DATA_GOC!$B:$B,"&gt;="&amp;$D7256,DATA_GOC!$B:$B,"&lt;="&amp;$E7256))</f>
        <v/>
      </c>
      <c r="J7256" s="59">
        <f t="shared" si="28"/>
        <v>0</v>
      </c>
      <c r="K7256" s="59">
        <f t="shared" si="29"/>
        <v>0</v>
      </c>
      <c r="L7256" s="59">
        <f t="shared" si="30"/>
        <v>0</v>
      </c>
      <c r="M7256" s="59">
        <f t="shared" si="31"/>
        <v>0</v>
      </c>
    </row>
    <row r="7257" ht="15.0" hidden="1" customHeight="1">
      <c r="A7257" s="59">
        <f t="shared" si="20"/>
        <v>118</v>
      </c>
      <c r="B7257" s="59" t="str">
        <f t="shared" si="21"/>
        <v/>
      </c>
      <c r="C7257" s="59" t="str">
        <f t="shared" si="22"/>
        <v/>
      </c>
      <c r="D7257" s="45" t="str">
        <f t="shared" si="23"/>
        <v/>
      </c>
      <c r="E7257" s="45" t="str">
        <f t="shared" si="24"/>
        <v/>
      </c>
      <c r="F7257" s="59" t="str">
        <f t="shared" si="25"/>
        <v/>
      </c>
      <c r="G7257" s="59" t="str">
        <f t="shared" si="26"/>
        <v/>
      </c>
      <c r="H7257" s="59" t="str">
        <f t="shared" si="27"/>
        <v>28C01406</v>
      </c>
      <c r="I7257" s="59" t="str">
        <f>IF(OR($A7257="",$C7257="",$D7257="",$E7257="",$H7257=""),"",SUMIFS(DATA_GOC!$H:$H,DATA_GOC!$A:$A,"BOM",DATA_GOC!$D:$D,$H7257,DATA_GOC!$E:$E,$C7257,DATA_GOC!$F:$F,"Xuất nội bộ từ téc",DATA_GOC!$B:$B,"&gt;="&amp;$D7257,DATA_GOC!$B:$B,"&lt;="&amp;$E7257))</f>
        <v/>
      </c>
      <c r="J7257" s="59">
        <f t="shared" si="28"/>
        <v>0</v>
      </c>
      <c r="K7257" s="59">
        <f t="shared" si="29"/>
        <v>0</v>
      </c>
      <c r="L7257" s="59">
        <f t="shared" si="30"/>
        <v>0</v>
      </c>
      <c r="M7257" s="59">
        <f t="shared" si="31"/>
        <v>0</v>
      </c>
    </row>
    <row r="7258" ht="15.0" hidden="1" customHeight="1">
      <c r="A7258" s="59">
        <f t="shared" si="20"/>
        <v>118</v>
      </c>
      <c r="B7258" s="59" t="str">
        <f t="shared" si="21"/>
        <v/>
      </c>
      <c r="C7258" s="59" t="str">
        <f t="shared" si="22"/>
        <v/>
      </c>
      <c r="D7258" s="45" t="str">
        <f t="shared" si="23"/>
        <v/>
      </c>
      <c r="E7258" s="45" t="str">
        <f t="shared" si="24"/>
        <v/>
      </c>
      <c r="F7258" s="59" t="str">
        <f t="shared" si="25"/>
        <v/>
      </c>
      <c r="G7258" s="59" t="str">
        <f t="shared" si="26"/>
        <v/>
      </c>
      <c r="H7258" s="59" t="str">
        <f t="shared" si="27"/>
        <v>28C01544</v>
      </c>
      <c r="I7258" s="59" t="str">
        <f>IF(OR($A7258="",$C7258="",$D7258="",$E7258="",$H7258=""),"",SUMIFS(DATA_GOC!$H:$H,DATA_GOC!$A:$A,"BOM",DATA_GOC!$D:$D,$H7258,DATA_GOC!$E:$E,$C7258,DATA_GOC!$F:$F,"Xuất nội bộ từ téc",DATA_GOC!$B:$B,"&gt;="&amp;$D7258,DATA_GOC!$B:$B,"&lt;="&amp;$E7258))</f>
        <v/>
      </c>
      <c r="J7258" s="59">
        <f t="shared" si="28"/>
        <v>0</v>
      </c>
      <c r="K7258" s="59">
        <f t="shared" si="29"/>
        <v>0</v>
      </c>
      <c r="L7258" s="59">
        <f t="shared" si="30"/>
        <v>0</v>
      </c>
      <c r="M7258" s="59">
        <f t="shared" si="31"/>
        <v>0</v>
      </c>
    </row>
    <row r="7259" ht="15.0" hidden="1" customHeight="1">
      <c r="A7259" s="59">
        <f t="shared" si="20"/>
        <v>118</v>
      </c>
      <c r="B7259" s="59" t="str">
        <f t="shared" si="21"/>
        <v/>
      </c>
      <c r="C7259" s="59" t="str">
        <f t="shared" si="22"/>
        <v/>
      </c>
      <c r="D7259" s="45" t="str">
        <f t="shared" si="23"/>
        <v/>
      </c>
      <c r="E7259" s="45" t="str">
        <f t="shared" si="24"/>
        <v/>
      </c>
      <c r="F7259" s="59" t="str">
        <f t="shared" si="25"/>
        <v/>
      </c>
      <c r="G7259" s="59" t="str">
        <f t="shared" si="26"/>
        <v/>
      </c>
      <c r="H7259" s="59" t="str">
        <f t="shared" si="27"/>
        <v>28C01622</v>
      </c>
      <c r="I7259" s="59" t="str">
        <f>IF(OR($A7259="",$C7259="",$D7259="",$E7259="",$H7259=""),"",SUMIFS(DATA_GOC!$H:$H,DATA_GOC!$A:$A,"BOM",DATA_GOC!$D:$D,$H7259,DATA_GOC!$E:$E,$C7259,DATA_GOC!$F:$F,"Xuất nội bộ từ téc",DATA_GOC!$B:$B,"&gt;="&amp;$D7259,DATA_GOC!$B:$B,"&lt;="&amp;$E7259))</f>
        <v/>
      </c>
      <c r="J7259" s="59">
        <f t="shared" si="28"/>
        <v>0</v>
      </c>
      <c r="K7259" s="59">
        <f t="shared" si="29"/>
        <v>0</v>
      </c>
      <c r="L7259" s="59">
        <f t="shared" si="30"/>
        <v>0</v>
      </c>
      <c r="M7259" s="59">
        <f t="shared" si="31"/>
        <v>0</v>
      </c>
    </row>
    <row r="7260" ht="15.0" hidden="1" customHeight="1">
      <c r="A7260" s="59">
        <f t="shared" si="20"/>
        <v>118</v>
      </c>
      <c r="B7260" s="59" t="str">
        <f t="shared" si="21"/>
        <v/>
      </c>
      <c r="C7260" s="59" t="str">
        <f t="shared" si="22"/>
        <v/>
      </c>
      <c r="D7260" s="45" t="str">
        <f t="shared" si="23"/>
        <v/>
      </c>
      <c r="E7260" s="45" t="str">
        <f t="shared" si="24"/>
        <v/>
      </c>
      <c r="F7260" s="59" t="str">
        <f t="shared" si="25"/>
        <v/>
      </c>
      <c r="G7260" s="59" t="str">
        <f t="shared" si="26"/>
        <v/>
      </c>
      <c r="H7260" s="59" t="str">
        <f t="shared" si="27"/>
        <v>28C01647</v>
      </c>
      <c r="I7260" s="59" t="str">
        <f>IF(OR($A7260="",$C7260="",$D7260="",$E7260="",$H7260=""),"",SUMIFS(DATA_GOC!$H:$H,DATA_GOC!$A:$A,"BOM",DATA_GOC!$D:$D,$H7260,DATA_GOC!$E:$E,$C7260,DATA_GOC!$F:$F,"Xuất nội bộ từ téc",DATA_GOC!$B:$B,"&gt;="&amp;$D7260,DATA_GOC!$B:$B,"&lt;="&amp;$E7260))</f>
        <v/>
      </c>
      <c r="J7260" s="59">
        <f t="shared" si="28"/>
        <v>0</v>
      </c>
      <c r="K7260" s="59">
        <f t="shared" si="29"/>
        <v>0</v>
      </c>
      <c r="L7260" s="59">
        <f t="shared" si="30"/>
        <v>0</v>
      </c>
      <c r="M7260" s="59">
        <f t="shared" si="31"/>
        <v>0</v>
      </c>
    </row>
    <row r="7261" ht="15.0" hidden="1" customHeight="1">
      <c r="A7261" s="59">
        <f t="shared" si="20"/>
        <v>118</v>
      </c>
      <c r="B7261" s="59" t="str">
        <f t="shared" si="21"/>
        <v/>
      </c>
      <c r="C7261" s="59" t="str">
        <f t="shared" si="22"/>
        <v/>
      </c>
      <c r="D7261" s="45" t="str">
        <f t="shared" si="23"/>
        <v/>
      </c>
      <c r="E7261" s="45" t="str">
        <f t="shared" si="24"/>
        <v/>
      </c>
      <c r="F7261" s="59" t="str">
        <f t="shared" si="25"/>
        <v/>
      </c>
      <c r="G7261" s="59" t="str">
        <f t="shared" si="26"/>
        <v/>
      </c>
      <c r="H7261" s="59" t="str">
        <f t="shared" si="27"/>
        <v>28C01731</v>
      </c>
      <c r="I7261" s="59" t="str">
        <f>IF(OR($A7261="",$C7261="",$D7261="",$E7261="",$H7261=""),"",SUMIFS(DATA_GOC!$H:$H,DATA_GOC!$A:$A,"BOM",DATA_GOC!$D:$D,$H7261,DATA_GOC!$E:$E,$C7261,DATA_GOC!$F:$F,"Xuất nội bộ từ téc",DATA_GOC!$B:$B,"&gt;="&amp;$D7261,DATA_GOC!$B:$B,"&lt;="&amp;$E7261))</f>
        <v/>
      </c>
      <c r="J7261" s="59">
        <f t="shared" si="28"/>
        <v>0</v>
      </c>
      <c r="K7261" s="59">
        <f t="shared" si="29"/>
        <v>0</v>
      </c>
      <c r="L7261" s="59">
        <f t="shared" si="30"/>
        <v>0</v>
      </c>
      <c r="M7261" s="59">
        <f t="shared" si="31"/>
        <v>0</v>
      </c>
    </row>
    <row r="7262" ht="15.0" hidden="1" customHeight="1">
      <c r="A7262" s="59">
        <f t="shared" si="20"/>
        <v>118</v>
      </c>
      <c r="B7262" s="59" t="str">
        <f t="shared" si="21"/>
        <v/>
      </c>
      <c r="C7262" s="59" t="str">
        <f t="shared" si="22"/>
        <v/>
      </c>
      <c r="D7262" s="45" t="str">
        <f t="shared" si="23"/>
        <v/>
      </c>
      <c r="E7262" s="45" t="str">
        <f t="shared" si="24"/>
        <v/>
      </c>
      <c r="F7262" s="59" t="str">
        <f t="shared" si="25"/>
        <v/>
      </c>
      <c r="G7262" s="59" t="str">
        <f t="shared" si="26"/>
        <v/>
      </c>
      <c r="H7262" s="59" t="str">
        <f t="shared" si="27"/>
        <v>28C01743</v>
      </c>
      <c r="I7262" s="59" t="str">
        <f>IF(OR($A7262="",$C7262="",$D7262="",$E7262="",$H7262=""),"",SUMIFS(DATA_GOC!$H:$H,DATA_GOC!$A:$A,"BOM",DATA_GOC!$D:$D,$H7262,DATA_GOC!$E:$E,$C7262,DATA_GOC!$F:$F,"Xuất nội bộ từ téc",DATA_GOC!$B:$B,"&gt;="&amp;$D7262,DATA_GOC!$B:$B,"&lt;="&amp;$E7262))</f>
        <v/>
      </c>
      <c r="J7262" s="59">
        <f t="shared" si="28"/>
        <v>0</v>
      </c>
      <c r="K7262" s="59">
        <f t="shared" si="29"/>
        <v>0</v>
      </c>
      <c r="L7262" s="59">
        <f t="shared" si="30"/>
        <v>0</v>
      </c>
      <c r="M7262" s="59">
        <f t="shared" si="31"/>
        <v>0</v>
      </c>
    </row>
    <row r="7263" ht="15.0" hidden="1" customHeight="1">
      <c r="A7263" s="59">
        <f t="shared" si="20"/>
        <v>118</v>
      </c>
      <c r="B7263" s="59" t="str">
        <f t="shared" si="21"/>
        <v/>
      </c>
      <c r="C7263" s="59" t="str">
        <f t="shared" si="22"/>
        <v/>
      </c>
      <c r="D7263" s="45" t="str">
        <f t="shared" si="23"/>
        <v/>
      </c>
      <c r="E7263" s="45" t="str">
        <f t="shared" si="24"/>
        <v/>
      </c>
      <c r="F7263" s="59" t="str">
        <f t="shared" si="25"/>
        <v/>
      </c>
      <c r="G7263" s="59" t="str">
        <f t="shared" si="26"/>
        <v/>
      </c>
      <c r="H7263" s="59" t="str">
        <f t="shared" si="27"/>
        <v>28C02106</v>
      </c>
      <c r="I7263" s="59" t="str">
        <f>IF(OR($A7263="",$C7263="",$D7263="",$E7263="",$H7263=""),"",SUMIFS(DATA_GOC!$H:$H,DATA_GOC!$A:$A,"BOM",DATA_GOC!$D:$D,$H7263,DATA_GOC!$E:$E,$C7263,DATA_GOC!$F:$F,"Xuất nội bộ từ téc",DATA_GOC!$B:$B,"&gt;="&amp;$D7263,DATA_GOC!$B:$B,"&lt;="&amp;$E7263))</f>
        <v/>
      </c>
      <c r="J7263" s="59">
        <f t="shared" si="28"/>
        <v>0</v>
      </c>
      <c r="K7263" s="59">
        <f t="shared" si="29"/>
        <v>0</v>
      </c>
      <c r="L7263" s="59">
        <f t="shared" si="30"/>
        <v>0</v>
      </c>
      <c r="M7263" s="59">
        <f t="shared" si="31"/>
        <v>0</v>
      </c>
    </row>
    <row r="7264" ht="15.0" hidden="1" customHeight="1">
      <c r="A7264" s="59">
        <f t="shared" si="20"/>
        <v>118</v>
      </c>
      <c r="B7264" s="59" t="str">
        <f t="shared" si="21"/>
        <v/>
      </c>
      <c r="C7264" s="59" t="str">
        <f t="shared" si="22"/>
        <v/>
      </c>
      <c r="D7264" s="45" t="str">
        <f t="shared" si="23"/>
        <v/>
      </c>
      <c r="E7264" s="45" t="str">
        <f t="shared" si="24"/>
        <v/>
      </c>
      <c r="F7264" s="59" t="str">
        <f t="shared" si="25"/>
        <v/>
      </c>
      <c r="G7264" s="59" t="str">
        <f t="shared" si="26"/>
        <v/>
      </c>
      <c r="H7264" s="59" t="str">
        <f t="shared" si="27"/>
        <v>28C02410</v>
      </c>
      <c r="I7264" s="59" t="str">
        <f>IF(OR($A7264="",$C7264="",$D7264="",$E7264="",$H7264=""),"",SUMIFS(DATA_GOC!$H:$H,DATA_GOC!$A:$A,"BOM",DATA_GOC!$D:$D,$H7264,DATA_GOC!$E:$E,$C7264,DATA_GOC!$F:$F,"Xuất nội bộ từ téc",DATA_GOC!$B:$B,"&gt;="&amp;$D7264,DATA_GOC!$B:$B,"&lt;="&amp;$E7264))</f>
        <v/>
      </c>
      <c r="J7264" s="59">
        <f t="shared" si="28"/>
        <v>0</v>
      </c>
      <c r="K7264" s="59">
        <f t="shared" si="29"/>
        <v>0</v>
      </c>
      <c r="L7264" s="59">
        <f t="shared" si="30"/>
        <v>0</v>
      </c>
      <c r="M7264" s="59">
        <f t="shared" si="31"/>
        <v>0</v>
      </c>
    </row>
    <row r="7265" ht="15.0" hidden="1" customHeight="1">
      <c r="A7265" s="59">
        <f t="shared" si="20"/>
        <v>118</v>
      </c>
      <c r="B7265" s="59" t="str">
        <f t="shared" si="21"/>
        <v/>
      </c>
      <c r="C7265" s="59" t="str">
        <f t="shared" si="22"/>
        <v/>
      </c>
      <c r="D7265" s="45" t="str">
        <f t="shared" si="23"/>
        <v/>
      </c>
      <c r="E7265" s="45" t="str">
        <f t="shared" si="24"/>
        <v/>
      </c>
      <c r="F7265" s="59" t="str">
        <f t="shared" si="25"/>
        <v/>
      </c>
      <c r="G7265" s="59" t="str">
        <f t="shared" si="26"/>
        <v/>
      </c>
      <c r="H7265" s="59" t="str">
        <f t="shared" si="27"/>
        <v>28C02545</v>
      </c>
      <c r="I7265" s="59" t="str">
        <f>IF(OR($A7265="",$C7265="",$D7265="",$E7265="",$H7265=""),"",SUMIFS(DATA_GOC!$H:$H,DATA_GOC!$A:$A,"BOM",DATA_GOC!$D:$D,$H7265,DATA_GOC!$E:$E,$C7265,DATA_GOC!$F:$F,"Xuất nội bộ từ téc",DATA_GOC!$B:$B,"&gt;="&amp;$D7265,DATA_GOC!$B:$B,"&lt;="&amp;$E7265))</f>
        <v/>
      </c>
      <c r="J7265" s="59">
        <f t="shared" si="28"/>
        <v>0</v>
      </c>
      <c r="K7265" s="59">
        <f t="shared" si="29"/>
        <v>0</v>
      </c>
      <c r="L7265" s="59">
        <f t="shared" si="30"/>
        <v>0</v>
      </c>
      <c r="M7265" s="59">
        <f t="shared" si="31"/>
        <v>0</v>
      </c>
    </row>
    <row r="7266" ht="15.0" hidden="1" customHeight="1">
      <c r="A7266" s="59">
        <f t="shared" si="20"/>
        <v>118</v>
      </c>
      <c r="B7266" s="59" t="str">
        <f t="shared" si="21"/>
        <v/>
      </c>
      <c r="C7266" s="59" t="str">
        <f t="shared" si="22"/>
        <v/>
      </c>
      <c r="D7266" s="45" t="str">
        <f t="shared" si="23"/>
        <v/>
      </c>
      <c r="E7266" s="45" t="str">
        <f t="shared" si="24"/>
        <v/>
      </c>
      <c r="F7266" s="59" t="str">
        <f t="shared" si="25"/>
        <v/>
      </c>
      <c r="G7266" s="59" t="str">
        <f t="shared" si="26"/>
        <v/>
      </c>
      <c r="H7266" s="59" t="str">
        <f t="shared" si="27"/>
        <v>28C02574</v>
      </c>
      <c r="I7266" s="59" t="str">
        <f>IF(OR($A7266="",$C7266="",$D7266="",$E7266="",$H7266=""),"",SUMIFS(DATA_GOC!$H:$H,DATA_GOC!$A:$A,"BOM",DATA_GOC!$D:$D,$H7266,DATA_GOC!$E:$E,$C7266,DATA_GOC!$F:$F,"Xuất nội bộ từ téc",DATA_GOC!$B:$B,"&gt;="&amp;$D7266,DATA_GOC!$B:$B,"&lt;="&amp;$E7266))</f>
        <v/>
      </c>
      <c r="J7266" s="59">
        <f t="shared" si="28"/>
        <v>0</v>
      </c>
      <c r="K7266" s="59">
        <f t="shared" si="29"/>
        <v>0</v>
      </c>
      <c r="L7266" s="59">
        <f t="shared" si="30"/>
        <v>0</v>
      </c>
      <c r="M7266" s="59">
        <f t="shared" si="31"/>
        <v>0</v>
      </c>
    </row>
    <row r="7267" ht="15.0" hidden="1" customHeight="1">
      <c r="A7267" s="59">
        <f t="shared" si="20"/>
        <v>118</v>
      </c>
      <c r="B7267" s="59" t="str">
        <f t="shared" si="21"/>
        <v/>
      </c>
      <c r="C7267" s="59" t="str">
        <f t="shared" si="22"/>
        <v/>
      </c>
      <c r="D7267" s="45" t="str">
        <f t="shared" si="23"/>
        <v/>
      </c>
      <c r="E7267" s="45" t="str">
        <f t="shared" si="24"/>
        <v/>
      </c>
      <c r="F7267" s="59" t="str">
        <f t="shared" si="25"/>
        <v/>
      </c>
      <c r="G7267" s="59" t="str">
        <f t="shared" si="26"/>
        <v/>
      </c>
      <c r="H7267" s="59" t="str">
        <f t="shared" si="27"/>
        <v>28C02770</v>
      </c>
      <c r="I7267" s="59" t="str">
        <f>IF(OR($A7267="",$C7267="",$D7267="",$E7267="",$H7267=""),"",SUMIFS(DATA_GOC!$H:$H,DATA_GOC!$A:$A,"BOM",DATA_GOC!$D:$D,$H7267,DATA_GOC!$E:$E,$C7267,DATA_GOC!$F:$F,"Xuất nội bộ từ téc",DATA_GOC!$B:$B,"&gt;="&amp;$D7267,DATA_GOC!$B:$B,"&lt;="&amp;$E7267))</f>
        <v/>
      </c>
      <c r="J7267" s="59">
        <f t="shared" si="28"/>
        <v>0</v>
      </c>
      <c r="K7267" s="59">
        <f t="shared" si="29"/>
        <v>0</v>
      </c>
      <c r="L7267" s="59">
        <f t="shared" si="30"/>
        <v>0</v>
      </c>
      <c r="M7267" s="59">
        <f t="shared" si="31"/>
        <v>0</v>
      </c>
    </row>
    <row r="7268" ht="15.0" hidden="1" customHeight="1">
      <c r="A7268" s="59">
        <f t="shared" si="20"/>
        <v>118</v>
      </c>
      <c r="B7268" s="59" t="str">
        <f t="shared" si="21"/>
        <v/>
      </c>
      <c r="C7268" s="59" t="str">
        <f t="shared" si="22"/>
        <v/>
      </c>
      <c r="D7268" s="45" t="str">
        <f t="shared" si="23"/>
        <v/>
      </c>
      <c r="E7268" s="45" t="str">
        <f t="shared" si="24"/>
        <v/>
      </c>
      <c r="F7268" s="59" t="str">
        <f t="shared" si="25"/>
        <v/>
      </c>
      <c r="G7268" s="59" t="str">
        <f t="shared" si="26"/>
        <v/>
      </c>
      <c r="H7268" s="59" t="str">
        <f t="shared" si="27"/>
        <v>28C02986</v>
      </c>
      <c r="I7268" s="59" t="str">
        <f>IF(OR($A7268="",$C7268="",$D7268="",$E7268="",$H7268=""),"",SUMIFS(DATA_GOC!$H:$H,DATA_GOC!$A:$A,"BOM",DATA_GOC!$D:$D,$H7268,DATA_GOC!$E:$E,$C7268,DATA_GOC!$F:$F,"Xuất nội bộ từ téc",DATA_GOC!$B:$B,"&gt;="&amp;$D7268,DATA_GOC!$B:$B,"&lt;="&amp;$E7268))</f>
        <v/>
      </c>
      <c r="J7268" s="59">
        <f t="shared" si="28"/>
        <v>0</v>
      </c>
      <c r="K7268" s="59">
        <f t="shared" si="29"/>
        <v>0</v>
      </c>
      <c r="L7268" s="59">
        <f t="shared" si="30"/>
        <v>0</v>
      </c>
      <c r="M7268" s="59">
        <f t="shared" si="31"/>
        <v>0</v>
      </c>
    </row>
    <row r="7269" ht="15.0" hidden="1" customHeight="1">
      <c r="A7269" s="59">
        <f t="shared" si="20"/>
        <v>118</v>
      </c>
      <c r="B7269" s="59" t="str">
        <f t="shared" si="21"/>
        <v/>
      </c>
      <c r="C7269" s="59" t="str">
        <f t="shared" si="22"/>
        <v/>
      </c>
      <c r="D7269" s="45" t="str">
        <f t="shared" si="23"/>
        <v/>
      </c>
      <c r="E7269" s="45" t="str">
        <f t="shared" si="24"/>
        <v/>
      </c>
      <c r="F7269" s="59" t="str">
        <f t="shared" si="25"/>
        <v/>
      </c>
      <c r="G7269" s="59" t="str">
        <f t="shared" si="26"/>
        <v/>
      </c>
      <c r="H7269" s="59" t="str">
        <f t="shared" si="27"/>
        <v>28C03261</v>
      </c>
      <c r="I7269" s="59" t="str">
        <f>IF(OR($A7269="",$C7269="",$D7269="",$E7269="",$H7269=""),"",SUMIFS(DATA_GOC!$H:$H,DATA_GOC!$A:$A,"BOM",DATA_GOC!$D:$D,$H7269,DATA_GOC!$E:$E,$C7269,DATA_GOC!$F:$F,"Xuất nội bộ từ téc",DATA_GOC!$B:$B,"&gt;="&amp;$D7269,DATA_GOC!$B:$B,"&lt;="&amp;$E7269))</f>
        <v/>
      </c>
      <c r="J7269" s="59">
        <f t="shared" si="28"/>
        <v>0</v>
      </c>
      <c r="K7269" s="59">
        <f t="shared" si="29"/>
        <v>0</v>
      </c>
      <c r="L7269" s="59">
        <f t="shared" si="30"/>
        <v>0</v>
      </c>
      <c r="M7269" s="59">
        <f t="shared" si="31"/>
        <v>0</v>
      </c>
    </row>
    <row r="7270" ht="15.0" hidden="1" customHeight="1">
      <c r="A7270" s="59">
        <f t="shared" si="20"/>
        <v>118</v>
      </c>
      <c r="B7270" s="59" t="str">
        <f t="shared" si="21"/>
        <v/>
      </c>
      <c r="C7270" s="59" t="str">
        <f t="shared" si="22"/>
        <v/>
      </c>
      <c r="D7270" s="45" t="str">
        <f t="shared" si="23"/>
        <v/>
      </c>
      <c r="E7270" s="45" t="str">
        <f t="shared" si="24"/>
        <v/>
      </c>
      <c r="F7270" s="59" t="str">
        <f t="shared" si="25"/>
        <v/>
      </c>
      <c r="G7270" s="59" t="str">
        <f t="shared" si="26"/>
        <v/>
      </c>
      <c r="H7270" s="59" t="str">
        <f t="shared" si="27"/>
        <v>28C03323</v>
      </c>
      <c r="I7270" s="59" t="str">
        <f>IF(OR($A7270="",$C7270="",$D7270="",$E7270="",$H7270=""),"",SUMIFS(DATA_GOC!$H:$H,DATA_GOC!$A:$A,"BOM",DATA_GOC!$D:$D,$H7270,DATA_GOC!$E:$E,$C7270,DATA_GOC!$F:$F,"Xuất nội bộ từ téc",DATA_GOC!$B:$B,"&gt;="&amp;$D7270,DATA_GOC!$B:$B,"&lt;="&amp;$E7270))</f>
        <v/>
      </c>
      <c r="J7270" s="59">
        <f t="shared" si="28"/>
        <v>0</v>
      </c>
      <c r="K7270" s="59">
        <f t="shared" si="29"/>
        <v>0</v>
      </c>
      <c r="L7270" s="59">
        <f t="shared" si="30"/>
        <v>0</v>
      </c>
      <c r="M7270" s="59">
        <f t="shared" si="31"/>
        <v>0</v>
      </c>
    </row>
    <row r="7271" ht="15.0" hidden="1" customHeight="1">
      <c r="A7271" s="59">
        <f t="shared" si="20"/>
        <v>118</v>
      </c>
      <c r="B7271" s="59" t="str">
        <f t="shared" si="21"/>
        <v/>
      </c>
      <c r="C7271" s="59" t="str">
        <f t="shared" si="22"/>
        <v/>
      </c>
      <c r="D7271" s="45" t="str">
        <f t="shared" si="23"/>
        <v/>
      </c>
      <c r="E7271" s="45" t="str">
        <f t="shared" si="24"/>
        <v/>
      </c>
      <c r="F7271" s="59" t="str">
        <f t="shared" si="25"/>
        <v/>
      </c>
      <c r="G7271" s="59" t="str">
        <f t="shared" si="26"/>
        <v/>
      </c>
      <c r="H7271" s="59" t="str">
        <f t="shared" si="27"/>
        <v>28C03385</v>
      </c>
      <c r="I7271" s="59" t="str">
        <f>IF(OR($A7271="",$C7271="",$D7271="",$E7271="",$H7271=""),"",SUMIFS(DATA_GOC!$H:$H,DATA_GOC!$A:$A,"BOM",DATA_GOC!$D:$D,$H7271,DATA_GOC!$E:$E,$C7271,DATA_GOC!$F:$F,"Xuất nội bộ từ téc",DATA_GOC!$B:$B,"&gt;="&amp;$D7271,DATA_GOC!$B:$B,"&lt;="&amp;$E7271))</f>
        <v/>
      </c>
      <c r="J7271" s="59">
        <f t="shared" si="28"/>
        <v>0</v>
      </c>
      <c r="K7271" s="59">
        <f t="shared" si="29"/>
        <v>0</v>
      </c>
      <c r="L7271" s="59">
        <f t="shared" si="30"/>
        <v>0</v>
      </c>
      <c r="M7271" s="59">
        <f t="shared" si="31"/>
        <v>0</v>
      </c>
    </row>
    <row r="7272" ht="15.0" hidden="1" customHeight="1">
      <c r="A7272" s="59">
        <f t="shared" si="20"/>
        <v>118</v>
      </c>
      <c r="B7272" s="59" t="str">
        <f t="shared" si="21"/>
        <v/>
      </c>
      <c r="C7272" s="59" t="str">
        <f t="shared" si="22"/>
        <v/>
      </c>
      <c r="D7272" s="45" t="str">
        <f t="shared" si="23"/>
        <v/>
      </c>
      <c r="E7272" s="45" t="str">
        <f t="shared" si="24"/>
        <v/>
      </c>
      <c r="F7272" s="59" t="str">
        <f t="shared" si="25"/>
        <v/>
      </c>
      <c r="G7272" s="59" t="str">
        <f t="shared" si="26"/>
        <v/>
      </c>
      <c r="H7272" s="59" t="str">
        <f t="shared" si="27"/>
        <v>28C03652</v>
      </c>
      <c r="I7272" s="59" t="str">
        <f>IF(OR($A7272="",$C7272="",$D7272="",$E7272="",$H7272=""),"",SUMIFS(DATA_GOC!$H:$H,DATA_GOC!$A:$A,"BOM",DATA_GOC!$D:$D,$H7272,DATA_GOC!$E:$E,$C7272,DATA_GOC!$F:$F,"Xuất nội bộ từ téc",DATA_GOC!$B:$B,"&gt;="&amp;$D7272,DATA_GOC!$B:$B,"&lt;="&amp;$E7272))</f>
        <v/>
      </c>
      <c r="J7272" s="59">
        <f t="shared" si="28"/>
        <v>0</v>
      </c>
      <c r="K7272" s="59">
        <f t="shared" si="29"/>
        <v>0</v>
      </c>
      <c r="L7272" s="59">
        <f t="shared" si="30"/>
        <v>0</v>
      </c>
      <c r="M7272" s="59">
        <f t="shared" si="31"/>
        <v>0</v>
      </c>
    </row>
    <row r="7273" ht="15.0" hidden="1" customHeight="1">
      <c r="A7273" s="59">
        <f t="shared" si="20"/>
        <v>118</v>
      </c>
      <c r="B7273" s="59" t="str">
        <f t="shared" si="21"/>
        <v/>
      </c>
      <c r="C7273" s="59" t="str">
        <f t="shared" si="22"/>
        <v/>
      </c>
      <c r="D7273" s="45" t="str">
        <f t="shared" si="23"/>
        <v/>
      </c>
      <c r="E7273" s="45" t="str">
        <f t="shared" si="24"/>
        <v/>
      </c>
      <c r="F7273" s="59" t="str">
        <f t="shared" si="25"/>
        <v/>
      </c>
      <c r="G7273" s="59" t="str">
        <f t="shared" si="26"/>
        <v/>
      </c>
      <c r="H7273" s="59" t="str">
        <f t="shared" si="27"/>
        <v>28C03695</v>
      </c>
      <c r="I7273" s="59" t="str">
        <f>IF(OR($A7273="",$C7273="",$D7273="",$E7273="",$H7273=""),"",SUMIFS(DATA_GOC!$H:$H,DATA_GOC!$A:$A,"BOM",DATA_GOC!$D:$D,$H7273,DATA_GOC!$E:$E,$C7273,DATA_GOC!$F:$F,"Xuất nội bộ từ téc",DATA_GOC!$B:$B,"&gt;="&amp;$D7273,DATA_GOC!$B:$B,"&lt;="&amp;$E7273))</f>
        <v/>
      </c>
      <c r="J7273" s="59">
        <f t="shared" si="28"/>
        <v>0</v>
      </c>
      <c r="K7273" s="59">
        <f t="shared" si="29"/>
        <v>0</v>
      </c>
      <c r="L7273" s="59">
        <f t="shared" si="30"/>
        <v>0</v>
      </c>
      <c r="M7273" s="59">
        <f t="shared" si="31"/>
        <v>0</v>
      </c>
    </row>
    <row r="7274" ht="15.0" hidden="1" customHeight="1">
      <c r="A7274" s="59">
        <f t="shared" si="20"/>
        <v>118</v>
      </c>
      <c r="B7274" s="59" t="str">
        <f t="shared" si="21"/>
        <v/>
      </c>
      <c r="C7274" s="59" t="str">
        <f t="shared" si="22"/>
        <v/>
      </c>
      <c r="D7274" s="45" t="str">
        <f t="shared" si="23"/>
        <v/>
      </c>
      <c r="E7274" s="45" t="str">
        <f t="shared" si="24"/>
        <v/>
      </c>
      <c r="F7274" s="59" t="str">
        <f t="shared" si="25"/>
        <v/>
      </c>
      <c r="G7274" s="59" t="str">
        <f t="shared" si="26"/>
        <v/>
      </c>
      <c r="H7274" s="59" t="str">
        <f t="shared" si="27"/>
        <v>28C03927</v>
      </c>
      <c r="I7274" s="59" t="str">
        <f>IF(OR($A7274="",$C7274="",$D7274="",$E7274="",$H7274=""),"",SUMIFS(DATA_GOC!$H:$H,DATA_GOC!$A:$A,"BOM",DATA_GOC!$D:$D,$H7274,DATA_GOC!$E:$E,$C7274,DATA_GOC!$F:$F,"Xuất nội bộ từ téc",DATA_GOC!$B:$B,"&gt;="&amp;$D7274,DATA_GOC!$B:$B,"&lt;="&amp;$E7274))</f>
        <v/>
      </c>
      <c r="J7274" s="59">
        <f t="shared" si="28"/>
        <v>0</v>
      </c>
      <c r="K7274" s="59">
        <f t="shared" si="29"/>
        <v>0</v>
      </c>
      <c r="L7274" s="59">
        <f t="shared" si="30"/>
        <v>0</v>
      </c>
      <c r="M7274" s="59">
        <f t="shared" si="31"/>
        <v>0</v>
      </c>
    </row>
    <row r="7275" ht="15.0" hidden="1" customHeight="1">
      <c r="A7275" s="59">
        <f t="shared" si="20"/>
        <v>118</v>
      </c>
      <c r="B7275" s="59" t="str">
        <f t="shared" si="21"/>
        <v/>
      </c>
      <c r="C7275" s="59" t="str">
        <f t="shared" si="22"/>
        <v/>
      </c>
      <c r="D7275" s="45" t="str">
        <f t="shared" si="23"/>
        <v/>
      </c>
      <c r="E7275" s="45" t="str">
        <f t="shared" si="24"/>
        <v/>
      </c>
      <c r="F7275" s="59" t="str">
        <f t="shared" si="25"/>
        <v/>
      </c>
      <c r="G7275" s="59" t="str">
        <f t="shared" si="26"/>
        <v/>
      </c>
      <c r="H7275" s="59" t="str">
        <f t="shared" si="27"/>
        <v>28C04509</v>
      </c>
      <c r="I7275" s="59" t="str">
        <f>IF(OR($A7275="",$C7275="",$D7275="",$E7275="",$H7275=""),"",SUMIFS(DATA_GOC!$H:$H,DATA_GOC!$A:$A,"BOM",DATA_GOC!$D:$D,$H7275,DATA_GOC!$E:$E,$C7275,DATA_GOC!$F:$F,"Xuất nội bộ từ téc",DATA_GOC!$B:$B,"&gt;="&amp;$D7275,DATA_GOC!$B:$B,"&lt;="&amp;$E7275))</f>
        <v/>
      </c>
      <c r="J7275" s="59">
        <f t="shared" si="28"/>
        <v>0</v>
      </c>
      <c r="K7275" s="59">
        <f t="shared" si="29"/>
        <v>0</v>
      </c>
      <c r="L7275" s="59">
        <f t="shared" si="30"/>
        <v>0</v>
      </c>
      <c r="M7275" s="59">
        <f t="shared" si="31"/>
        <v>0</v>
      </c>
    </row>
    <row r="7276" ht="15.0" hidden="1" customHeight="1">
      <c r="A7276" s="59">
        <f t="shared" si="20"/>
        <v>118</v>
      </c>
      <c r="B7276" s="59" t="str">
        <f t="shared" si="21"/>
        <v/>
      </c>
      <c r="C7276" s="59" t="str">
        <f t="shared" si="22"/>
        <v/>
      </c>
      <c r="D7276" s="45" t="str">
        <f t="shared" si="23"/>
        <v/>
      </c>
      <c r="E7276" s="45" t="str">
        <f t="shared" si="24"/>
        <v/>
      </c>
      <c r="F7276" s="59" t="str">
        <f t="shared" si="25"/>
        <v/>
      </c>
      <c r="G7276" s="59" t="str">
        <f t="shared" si="26"/>
        <v/>
      </c>
      <c r="H7276" s="59" t="str">
        <f t="shared" si="27"/>
        <v>28C04536</v>
      </c>
      <c r="I7276" s="59" t="str">
        <f>IF(OR($A7276="",$C7276="",$D7276="",$E7276="",$H7276=""),"",SUMIFS(DATA_GOC!$H:$H,DATA_GOC!$A:$A,"BOM",DATA_GOC!$D:$D,$H7276,DATA_GOC!$E:$E,$C7276,DATA_GOC!$F:$F,"Xuất nội bộ từ téc",DATA_GOC!$B:$B,"&gt;="&amp;$D7276,DATA_GOC!$B:$B,"&lt;="&amp;$E7276))</f>
        <v/>
      </c>
      <c r="J7276" s="59">
        <f t="shared" si="28"/>
        <v>0</v>
      </c>
      <c r="K7276" s="59">
        <f t="shared" si="29"/>
        <v>0</v>
      </c>
      <c r="L7276" s="59">
        <f t="shared" si="30"/>
        <v>0</v>
      </c>
      <c r="M7276" s="59">
        <f t="shared" si="31"/>
        <v>0</v>
      </c>
    </row>
    <row r="7277" ht="15.0" hidden="1" customHeight="1">
      <c r="A7277" s="59">
        <f t="shared" si="20"/>
        <v>118</v>
      </c>
      <c r="B7277" s="59" t="str">
        <f t="shared" si="21"/>
        <v/>
      </c>
      <c r="C7277" s="59" t="str">
        <f t="shared" si="22"/>
        <v/>
      </c>
      <c r="D7277" s="45" t="str">
        <f t="shared" si="23"/>
        <v/>
      </c>
      <c r="E7277" s="45" t="str">
        <f t="shared" si="24"/>
        <v/>
      </c>
      <c r="F7277" s="59" t="str">
        <f t="shared" si="25"/>
        <v/>
      </c>
      <c r="G7277" s="59" t="str">
        <f t="shared" si="26"/>
        <v/>
      </c>
      <c r="H7277" s="59" t="str">
        <f t="shared" si="27"/>
        <v>28C04576</v>
      </c>
      <c r="I7277" s="59" t="str">
        <f>IF(OR($A7277="",$C7277="",$D7277="",$E7277="",$H7277=""),"",SUMIFS(DATA_GOC!$H:$H,DATA_GOC!$A:$A,"BOM",DATA_GOC!$D:$D,$H7277,DATA_GOC!$E:$E,$C7277,DATA_GOC!$F:$F,"Xuất nội bộ từ téc",DATA_GOC!$B:$B,"&gt;="&amp;$D7277,DATA_GOC!$B:$B,"&lt;="&amp;$E7277))</f>
        <v/>
      </c>
      <c r="J7277" s="59">
        <f t="shared" si="28"/>
        <v>0</v>
      </c>
      <c r="K7277" s="59">
        <f t="shared" si="29"/>
        <v>0</v>
      </c>
      <c r="L7277" s="59">
        <f t="shared" si="30"/>
        <v>0</v>
      </c>
      <c r="M7277" s="59">
        <f t="shared" si="31"/>
        <v>0</v>
      </c>
    </row>
    <row r="7278" ht="15.0" hidden="1" customHeight="1">
      <c r="A7278" s="59">
        <f t="shared" si="20"/>
        <v>118</v>
      </c>
      <c r="B7278" s="59" t="str">
        <f t="shared" si="21"/>
        <v/>
      </c>
      <c r="C7278" s="59" t="str">
        <f t="shared" si="22"/>
        <v/>
      </c>
      <c r="D7278" s="45" t="str">
        <f t="shared" si="23"/>
        <v/>
      </c>
      <c r="E7278" s="45" t="str">
        <f t="shared" si="24"/>
        <v/>
      </c>
      <c r="F7278" s="59" t="str">
        <f t="shared" si="25"/>
        <v/>
      </c>
      <c r="G7278" s="59" t="str">
        <f t="shared" si="26"/>
        <v/>
      </c>
      <c r="H7278" s="59" t="str">
        <f t="shared" si="27"/>
        <v>28C05090</v>
      </c>
      <c r="I7278" s="59" t="str">
        <f>IF(OR($A7278="",$C7278="",$D7278="",$E7278="",$H7278=""),"",SUMIFS(DATA_GOC!$H:$H,DATA_GOC!$A:$A,"BOM",DATA_GOC!$D:$D,$H7278,DATA_GOC!$E:$E,$C7278,DATA_GOC!$F:$F,"Xuất nội bộ từ téc",DATA_GOC!$B:$B,"&gt;="&amp;$D7278,DATA_GOC!$B:$B,"&lt;="&amp;$E7278))</f>
        <v/>
      </c>
      <c r="J7278" s="59">
        <f t="shared" si="28"/>
        <v>0</v>
      </c>
      <c r="K7278" s="59">
        <f t="shared" si="29"/>
        <v>0</v>
      </c>
      <c r="L7278" s="59">
        <f t="shared" si="30"/>
        <v>0</v>
      </c>
      <c r="M7278" s="59">
        <f t="shared" si="31"/>
        <v>0</v>
      </c>
    </row>
    <row r="7279" ht="15.0" hidden="1" customHeight="1">
      <c r="A7279" s="59">
        <f t="shared" si="20"/>
        <v>118</v>
      </c>
      <c r="B7279" s="59" t="str">
        <f t="shared" si="21"/>
        <v/>
      </c>
      <c r="C7279" s="59" t="str">
        <f t="shared" si="22"/>
        <v/>
      </c>
      <c r="D7279" s="45" t="str">
        <f t="shared" si="23"/>
        <v/>
      </c>
      <c r="E7279" s="45" t="str">
        <f t="shared" si="24"/>
        <v/>
      </c>
      <c r="F7279" s="59" t="str">
        <f t="shared" si="25"/>
        <v/>
      </c>
      <c r="G7279" s="59" t="str">
        <f t="shared" si="26"/>
        <v/>
      </c>
      <c r="H7279" s="59" t="str">
        <f t="shared" si="27"/>
        <v>28C05345</v>
      </c>
      <c r="I7279" s="59" t="str">
        <f>IF(OR($A7279="",$C7279="",$D7279="",$E7279="",$H7279=""),"",SUMIFS(DATA_GOC!$H:$H,DATA_GOC!$A:$A,"BOM",DATA_GOC!$D:$D,$H7279,DATA_GOC!$E:$E,$C7279,DATA_GOC!$F:$F,"Xuất nội bộ từ téc",DATA_GOC!$B:$B,"&gt;="&amp;$D7279,DATA_GOC!$B:$B,"&lt;="&amp;$E7279))</f>
        <v/>
      </c>
      <c r="J7279" s="59">
        <f t="shared" si="28"/>
        <v>0</v>
      </c>
      <c r="K7279" s="59">
        <f t="shared" si="29"/>
        <v>0</v>
      </c>
      <c r="L7279" s="59">
        <f t="shared" si="30"/>
        <v>0</v>
      </c>
      <c r="M7279" s="59">
        <f t="shared" si="31"/>
        <v>0</v>
      </c>
    </row>
    <row r="7280" ht="15.0" hidden="1" customHeight="1">
      <c r="A7280" s="59">
        <f t="shared" si="20"/>
        <v>118</v>
      </c>
      <c r="B7280" s="59" t="str">
        <f t="shared" si="21"/>
        <v/>
      </c>
      <c r="C7280" s="59" t="str">
        <f t="shared" si="22"/>
        <v/>
      </c>
      <c r="D7280" s="45" t="str">
        <f t="shared" si="23"/>
        <v/>
      </c>
      <c r="E7280" s="45" t="str">
        <f t="shared" si="24"/>
        <v/>
      </c>
      <c r="F7280" s="59" t="str">
        <f t="shared" si="25"/>
        <v/>
      </c>
      <c r="G7280" s="59" t="str">
        <f t="shared" si="26"/>
        <v/>
      </c>
      <c r="H7280" s="59" t="str">
        <f t="shared" si="27"/>
        <v>28C05661</v>
      </c>
      <c r="I7280" s="59" t="str">
        <f>IF(OR($A7280="",$C7280="",$D7280="",$E7280="",$H7280=""),"",SUMIFS(DATA_GOC!$H:$H,DATA_GOC!$A:$A,"BOM",DATA_GOC!$D:$D,$H7280,DATA_GOC!$E:$E,$C7280,DATA_GOC!$F:$F,"Xuất nội bộ từ téc",DATA_GOC!$B:$B,"&gt;="&amp;$D7280,DATA_GOC!$B:$B,"&lt;="&amp;$E7280))</f>
        <v/>
      </c>
      <c r="J7280" s="59">
        <f t="shared" si="28"/>
        <v>0</v>
      </c>
      <c r="K7280" s="59">
        <f t="shared" si="29"/>
        <v>0</v>
      </c>
      <c r="L7280" s="59">
        <f t="shared" si="30"/>
        <v>0</v>
      </c>
      <c r="M7280" s="59">
        <f t="shared" si="31"/>
        <v>0</v>
      </c>
    </row>
    <row r="7281" ht="15.0" hidden="1" customHeight="1">
      <c r="A7281" s="59">
        <f t="shared" si="20"/>
        <v>118</v>
      </c>
      <c r="B7281" s="59" t="str">
        <f t="shared" si="21"/>
        <v/>
      </c>
      <c r="C7281" s="59" t="str">
        <f t="shared" si="22"/>
        <v/>
      </c>
      <c r="D7281" s="45" t="str">
        <f t="shared" si="23"/>
        <v/>
      </c>
      <c r="E7281" s="45" t="str">
        <f t="shared" si="24"/>
        <v/>
      </c>
      <c r="F7281" s="59" t="str">
        <f t="shared" si="25"/>
        <v/>
      </c>
      <c r="G7281" s="59" t="str">
        <f t="shared" si="26"/>
        <v/>
      </c>
      <c r="H7281" s="59" t="str">
        <f t="shared" si="27"/>
        <v>28C05739</v>
      </c>
      <c r="I7281" s="59" t="str">
        <f>IF(OR($A7281="",$C7281="",$D7281="",$E7281="",$H7281=""),"",SUMIFS(DATA_GOC!$H:$H,DATA_GOC!$A:$A,"BOM",DATA_GOC!$D:$D,$H7281,DATA_GOC!$E:$E,$C7281,DATA_GOC!$F:$F,"Xuất nội bộ từ téc",DATA_GOC!$B:$B,"&gt;="&amp;$D7281,DATA_GOC!$B:$B,"&lt;="&amp;$E7281))</f>
        <v/>
      </c>
      <c r="J7281" s="59">
        <f t="shared" si="28"/>
        <v>0</v>
      </c>
      <c r="K7281" s="59">
        <f t="shared" si="29"/>
        <v>0</v>
      </c>
      <c r="L7281" s="59">
        <f t="shared" si="30"/>
        <v>0</v>
      </c>
      <c r="M7281" s="59">
        <f t="shared" si="31"/>
        <v>0</v>
      </c>
    </row>
    <row r="7282" ht="15.0" hidden="1" customHeight="1">
      <c r="A7282" s="59">
        <f t="shared" si="20"/>
        <v>118</v>
      </c>
      <c r="B7282" s="59" t="str">
        <f t="shared" si="21"/>
        <v/>
      </c>
      <c r="C7282" s="59" t="str">
        <f t="shared" si="22"/>
        <v/>
      </c>
      <c r="D7282" s="45" t="str">
        <f t="shared" si="23"/>
        <v/>
      </c>
      <c r="E7282" s="45" t="str">
        <f t="shared" si="24"/>
        <v/>
      </c>
      <c r="F7282" s="59" t="str">
        <f t="shared" si="25"/>
        <v/>
      </c>
      <c r="G7282" s="59" t="str">
        <f t="shared" si="26"/>
        <v/>
      </c>
      <c r="H7282" s="59" t="str">
        <f t="shared" si="27"/>
        <v>28C06369</v>
      </c>
      <c r="I7282" s="59" t="str">
        <f>IF(OR($A7282="",$C7282="",$D7282="",$E7282="",$H7282=""),"",SUMIFS(DATA_GOC!$H:$H,DATA_GOC!$A:$A,"BOM",DATA_GOC!$D:$D,$H7282,DATA_GOC!$E:$E,$C7282,DATA_GOC!$F:$F,"Xuất nội bộ từ téc",DATA_GOC!$B:$B,"&gt;="&amp;$D7282,DATA_GOC!$B:$B,"&lt;="&amp;$E7282))</f>
        <v/>
      </c>
      <c r="J7282" s="59">
        <f t="shared" si="28"/>
        <v>0</v>
      </c>
      <c r="K7282" s="59">
        <f t="shared" si="29"/>
        <v>0</v>
      </c>
      <c r="L7282" s="59">
        <f t="shared" si="30"/>
        <v>0</v>
      </c>
      <c r="M7282" s="59">
        <f t="shared" si="31"/>
        <v>0</v>
      </c>
    </row>
    <row r="7283" ht="15.0" hidden="1" customHeight="1">
      <c r="A7283" s="59">
        <f t="shared" si="20"/>
        <v>118</v>
      </c>
      <c r="B7283" s="59" t="str">
        <f t="shared" si="21"/>
        <v/>
      </c>
      <c r="C7283" s="59" t="str">
        <f t="shared" si="22"/>
        <v/>
      </c>
      <c r="D7283" s="45" t="str">
        <f t="shared" si="23"/>
        <v/>
      </c>
      <c r="E7283" s="45" t="str">
        <f t="shared" si="24"/>
        <v/>
      </c>
      <c r="F7283" s="59" t="str">
        <f t="shared" si="25"/>
        <v/>
      </c>
      <c r="G7283" s="59" t="str">
        <f t="shared" si="26"/>
        <v/>
      </c>
      <c r="H7283" s="59" t="str">
        <f t="shared" si="27"/>
        <v>28C06447</v>
      </c>
      <c r="I7283" s="59" t="str">
        <f>IF(OR($A7283="",$C7283="",$D7283="",$E7283="",$H7283=""),"",SUMIFS(DATA_GOC!$H:$H,DATA_GOC!$A:$A,"BOM",DATA_GOC!$D:$D,$H7283,DATA_GOC!$E:$E,$C7283,DATA_GOC!$F:$F,"Xuất nội bộ từ téc",DATA_GOC!$B:$B,"&gt;="&amp;$D7283,DATA_GOC!$B:$B,"&lt;="&amp;$E7283))</f>
        <v/>
      </c>
      <c r="J7283" s="59">
        <f t="shared" si="28"/>
        <v>0</v>
      </c>
      <c r="K7283" s="59">
        <f t="shared" si="29"/>
        <v>0</v>
      </c>
      <c r="L7283" s="59">
        <f t="shared" si="30"/>
        <v>0</v>
      </c>
      <c r="M7283" s="59">
        <f t="shared" si="31"/>
        <v>0</v>
      </c>
    </row>
    <row r="7284" ht="15.0" hidden="1" customHeight="1">
      <c r="A7284" s="59">
        <f t="shared" si="20"/>
        <v>118</v>
      </c>
      <c r="B7284" s="59" t="str">
        <f t="shared" si="21"/>
        <v/>
      </c>
      <c r="C7284" s="59" t="str">
        <f t="shared" si="22"/>
        <v/>
      </c>
      <c r="D7284" s="45" t="str">
        <f t="shared" si="23"/>
        <v/>
      </c>
      <c r="E7284" s="45" t="str">
        <f t="shared" si="24"/>
        <v/>
      </c>
      <c r="F7284" s="59" t="str">
        <f t="shared" si="25"/>
        <v/>
      </c>
      <c r="G7284" s="59" t="str">
        <f t="shared" si="26"/>
        <v/>
      </c>
      <c r="H7284" s="59" t="str">
        <f t="shared" si="27"/>
        <v>28H00003</v>
      </c>
      <c r="I7284" s="59" t="str">
        <f>IF(OR($A7284="",$C7284="",$D7284="",$E7284="",$H7284=""),"",SUMIFS(DATA_GOC!$H:$H,DATA_GOC!$A:$A,"BOM",DATA_GOC!$D:$D,$H7284,DATA_GOC!$E:$E,$C7284,DATA_GOC!$F:$F,"Xuất nội bộ từ téc",DATA_GOC!$B:$B,"&gt;="&amp;$D7284,DATA_GOC!$B:$B,"&lt;="&amp;$E7284))</f>
        <v/>
      </c>
      <c r="J7284" s="59">
        <f t="shared" si="28"/>
        <v>0</v>
      </c>
      <c r="K7284" s="59">
        <f t="shared" si="29"/>
        <v>0</v>
      </c>
      <c r="L7284" s="59">
        <f t="shared" si="30"/>
        <v>0</v>
      </c>
      <c r="M7284" s="59">
        <f t="shared" si="31"/>
        <v>0</v>
      </c>
    </row>
    <row r="7285" ht="15.0" hidden="1" customHeight="1">
      <c r="A7285" s="59">
        <f t="shared" si="20"/>
        <v>118</v>
      </c>
      <c r="B7285" s="59" t="str">
        <f t="shared" si="21"/>
        <v/>
      </c>
      <c r="C7285" s="59" t="str">
        <f t="shared" si="22"/>
        <v/>
      </c>
      <c r="D7285" s="45" t="str">
        <f t="shared" si="23"/>
        <v/>
      </c>
      <c r="E7285" s="45" t="str">
        <f t="shared" si="24"/>
        <v/>
      </c>
      <c r="F7285" s="59" t="str">
        <f t="shared" si="25"/>
        <v/>
      </c>
      <c r="G7285" s="59" t="str">
        <f t="shared" si="26"/>
        <v/>
      </c>
      <c r="H7285" s="59" t="str">
        <f t="shared" si="27"/>
        <v>28H00061</v>
      </c>
      <c r="I7285" s="59" t="str">
        <f>IF(OR($A7285="",$C7285="",$D7285="",$E7285="",$H7285=""),"",SUMIFS(DATA_GOC!$H:$H,DATA_GOC!$A:$A,"BOM",DATA_GOC!$D:$D,$H7285,DATA_GOC!$E:$E,$C7285,DATA_GOC!$F:$F,"Xuất nội bộ từ téc",DATA_GOC!$B:$B,"&gt;="&amp;$D7285,DATA_GOC!$B:$B,"&lt;="&amp;$E7285))</f>
        <v/>
      </c>
      <c r="J7285" s="59">
        <f t="shared" si="28"/>
        <v>0</v>
      </c>
      <c r="K7285" s="59">
        <f t="shared" si="29"/>
        <v>0</v>
      </c>
      <c r="L7285" s="59">
        <f t="shared" si="30"/>
        <v>0</v>
      </c>
      <c r="M7285" s="59">
        <f t="shared" si="31"/>
        <v>0</v>
      </c>
    </row>
    <row r="7286" ht="15.0" hidden="1" customHeight="1">
      <c r="A7286" s="59">
        <f t="shared" si="20"/>
        <v>118</v>
      </c>
      <c r="B7286" s="59" t="str">
        <f t="shared" si="21"/>
        <v/>
      </c>
      <c r="C7286" s="59" t="str">
        <f t="shared" si="22"/>
        <v/>
      </c>
      <c r="D7286" s="45" t="str">
        <f t="shared" si="23"/>
        <v/>
      </c>
      <c r="E7286" s="45" t="str">
        <f t="shared" si="24"/>
        <v/>
      </c>
      <c r="F7286" s="59" t="str">
        <f t="shared" si="25"/>
        <v/>
      </c>
      <c r="G7286" s="59" t="str">
        <f t="shared" si="26"/>
        <v/>
      </c>
      <c r="H7286" s="59" t="str">
        <f t="shared" si="27"/>
        <v>28H00354</v>
      </c>
      <c r="I7286" s="59" t="str">
        <f>IF(OR($A7286="",$C7286="",$D7286="",$E7286="",$H7286=""),"",SUMIFS(DATA_GOC!$H:$H,DATA_GOC!$A:$A,"BOM",DATA_GOC!$D:$D,$H7286,DATA_GOC!$E:$E,$C7286,DATA_GOC!$F:$F,"Xuất nội bộ từ téc",DATA_GOC!$B:$B,"&gt;="&amp;$D7286,DATA_GOC!$B:$B,"&lt;="&amp;$E7286))</f>
        <v/>
      </c>
      <c r="J7286" s="59">
        <f t="shared" si="28"/>
        <v>0</v>
      </c>
      <c r="K7286" s="59">
        <f t="shared" si="29"/>
        <v>0</v>
      </c>
      <c r="L7286" s="59">
        <f t="shared" si="30"/>
        <v>0</v>
      </c>
      <c r="M7286" s="59">
        <f t="shared" si="31"/>
        <v>0</v>
      </c>
    </row>
    <row r="7287" ht="15.0" hidden="1" customHeight="1">
      <c r="A7287" s="59">
        <f t="shared" si="20"/>
        <v>118</v>
      </c>
      <c r="B7287" s="59" t="str">
        <f t="shared" si="21"/>
        <v/>
      </c>
      <c r="C7287" s="59" t="str">
        <f t="shared" si="22"/>
        <v/>
      </c>
      <c r="D7287" s="45" t="str">
        <f t="shared" si="23"/>
        <v/>
      </c>
      <c r="E7287" s="45" t="str">
        <f t="shared" si="24"/>
        <v/>
      </c>
      <c r="F7287" s="59" t="str">
        <f t="shared" si="25"/>
        <v/>
      </c>
      <c r="G7287" s="59" t="str">
        <f t="shared" si="26"/>
        <v/>
      </c>
      <c r="H7287" s="59" t="str">
        <f t="shared" si="27"/>
        <v>28H00603</v>
      </c>
      <c r="I7287" s="59" t="str">
        <f>IF(OR($A7287="",$C7287="",$D7287="",$E7287="",$H7287=""),"",SUMIFS(DATA_GOC!$H:$H,DATA_GOC!$A:$A,"BOM",DATA_GOC!$D:$D,$H7287,DATA_GOC!$E:$E,$C7287,DATA_GOC!$F:$F,"Xuất nội bộ từ téc",DATA_GOC!$B:$B,"&gt;="&amp;$D7287,DATA_GOC!$B:$B,"&lt;="&amp;$E7287))</f>
        <v/>
      </c>
      <c r="J7287" s="59">
        <f t="shared" si="28"/>
        <v>0</v>
      </c>
      <c r="K7287" s="59">
        <f t="shared" si="29"/>
        <v>0</v>
      </c>
      <c r="L7287" s="59">
        <f t="shared" si="30"/>
        <v>0</v>
      </c>
      <c r="M7287" s="59">
        <f t="shared" si="31"/>
        <v>0</v>
      </c>
    </row>
    <row r="7288" ht="15.0" hidden="1" customHeight="1">
      <c r="A7288" s="59">
        <f t="shared" si="20"/>
        <v>118</v>
      </c>
      <c r="B7288" s="59" t="str">
        <f t="shared" si="21"/>
        <v/>
      </c>
      <c r="C7288" s="59" t="str">
        <f t="shared" si="22"/>
        <v/>
      </c>
      <c r="D7288" s="45" t="str">
        <f t="shared" si="23"/>
        <v/>
      </c>
      <c r="E7288" s="45" t="str">
        <f t="shared" si="24"/>
        <v/>
      </c>
      <c r="F7288" s="59" t="str">
        <f t="shared" si="25"/>
        <v/>
      </c>
      <c r="G7288" s="59" t="str">
        <f t="shared" si="26"/>
        <v/>
      </c>
      <c r="H7288" s="59" t="str">
        <f t="shared" si="27"/>
        <v>28H00609</v>
      </c>
      <c r="I7288" s="59" t="str">
        <f>IF(OR($A7288="",$C7288="",$D7288="",$E7288="",$H7288=""),"",SUMIFS(DATA_GOC!$H:$H,DATA_GOC!$A:$A,"BOM",DATA_GOC!$D:$D,$H7288,DATA_GOC!$E:$E,$C7288,DATA_GOC!$F:$F,"Xuất nội bộ từ téc",DATA_GOC!$B:$B,"&gt;="&amp;$D7288,DATA_GOC!$B:$B,"&lt;="&amp;$E7288))</f>
        <v/>
      </c>
      <c r="J7288" s="59">
        <f t="shared" si="28"/>
        <v>0</v>
      </c>
      <c r="K7288" s="59">
        <f t="shared" si="29"/>
        <v>0</v>
      </c>
      <c r="L7288" s="59">
        <f t="shared" si="30"/>
        <v>0</v>
      </c>
      <c r="M7288" s="59">
        <f t="shared" si="31"/>
        <v>0</v>
      </c>
    </row>
    <row r="7289" ht="15.0" hidden="1" customHeight="1">
      <c r="A7289" s="59">
        <f t="shared" si="20"/>
        <v>118</v>
      </c>
      <c r="B7289" s="59" t="str">
        <f t="shared" si="21"/>
        <v/>
      </c>
      <c r="C7289" s="59" t="str">
        <f t="shared" si="22"/>
        <v/>
      </c>
      <c r="D7289" s="45" t="str">
        <f t="shared" si="23"/>
        <v/>
      </c>
      <c r="E7289" s="45" t="str">
        <f t="shared" si="24"/>
        <v/>
      </c>
      <c r="F7289" s="59" t="str">
        <f t="shared" si="25"/>
        <v/>
      </c>
      <c r="G7289" s="59" t="str">
        <f t="shared" si="26"/>
        <v/>
      </c>
      <c r="H7289" s="59" t="str">
        <f t="shared" si="27"/>
        <v>28H00669</v>
      </c>
      <c r="I7289" s="59" t="str">
        <f>IF(OR($A7289="",$C7289="",$D7289="",$E7289="",$H7289=""),"",SUMIFS(DATA_GOC!$H:$H,DATA_GOC!$A:$A,"BOM",DATA_GOC!$D:$D,$H7289,DATA_GOC!$E:$E,$C7289,DATA_GOC!$F:$F,"Xuất nội bộ từ téc",DATA_GOC!$B:$B,"&gt;="&amp;$D7289,DATA_GOC!$B:$B,"&lt;="&amp;$E7289))</f>
        <v/>
      </c>
      <c r="J7289" s="59">
        <f t="shared" si="28"/>
        <v>0</v>
      </c>
      <c r="K7289" s="59">
        <f t="shared" si="29"/>
        <v>0</v>
      </c>
      <c r="L7289" s="59">
        <f t="shared" si="30"/>
        <v>0</v>
      </c>
      <c r="M7289" s="59">
        <f t="shared" si="31"/>
        <v>0</v>
      </c>
    </row>
    <row r="7290" ht="15.0" hidden="1" customHeight="1">
      <c r="A7290" s="59">
        <f t="shared" si="20"/>
        <v>118</v>
      </c>
      <c r="B7290" s="59" t="str">
        <f t="shared" si="21"/>
        <v/>
      </c>
      <c r="C7290" s="59" t="str">
        <f t="shared" si="22"/>
        <v/>
      </c>
      <c r="D7290" s="45" t="str">
        <f t="shared" si="23"/>
        <v/>
      </c>
      <c r="E7290" s="45" t="str">
        <f t="shared" si="24"/>
        <v/>
      </c>
      <c r="F7290" s="59" t="str">
        <f t="shared" si="25"/>
        <v/>
      </c>
      <c r="G7290" s="59" t="str">
        <f t="shared" si="26"/>
        <v/>
      </c>
      <c r="H7290" s="59" t="str">
        <f t="shared" si="27"/>
        <v>28H00680</v>
      </c>
      <c r="I7290" s="59" t="str">
        <f>IF(OR($A7290="",$C7290="",$D7290="",$E7290="",$H7290=""),"",SUMIFS(DATA_GOC!$H:$H,DATA_GOC!$A:$A,"BOM",DATA_GOC!$D:$D,$H7290,DATA_GOC!$E:$E,$C7290,DATA_GOC!$F:$F,"Xuất nội bộ từ téc",DATA_GOC!$B:$B,"&gt;="&amp;$D7290,DATA_GOC!$B:$B,"&lt;="&amp;$E7290))</f>
        <v/>
      </c>
      <c r="J7290" s="59">
        <f t="shared" si="28"/>
        <v>0</v>
      </c>
      <c r="K7290" s="59">
        <f t="shared" si="29"/>
        <v>0</v>
      </c>
      <c r="L7290" s="59">
        <f t="shared" si="30"/>
        <v>0</v>
      </c>
      <c r="M7290" s="59">
        <f t="shared" si="31"/>
        <v>0</v>
      </c>
    </row>
    <row r="7291" ht="15.0" hidden="1" customHeight="1">
      <c r="A7291" s="59">
        <f t="shared" si="20"/>
        <v>118</v>
      </c>
      <c r="B7291" s="59" t="str">
        <f t="shared" si="21"/>
        <v/>
      </c>
      <c r="C7291" s="59" t="str">
        <f t="shared" si="22"/>
        <v/>
      </c>
      <c r="D7291" s="45" t="str">
        <f t="shared" si="23"/>
        <v/>
      </c>
      <c r="E7291" s="45" t="str">
        <f t="shared" si="24"/>
        <v/>
      </c>
      <c r="F7291" s="59" t="str">
        <f t="shared" si="25"/>
        <v/>
      </c>
      <c r="G7291" s="59" t="str">
        <f t="shared" si="26"/>
        <v/>
      </c>
      <c r="H7291" s="59" t="str">
        <f t="shared" si="27"/>
        <v>28H01070</v>
      </c>
      <c r="I7291" s="59" t="str">
        <f>IF(OR($A7291="",$C7291="",$D7291="",$E7291="",$H7291=""),"",SUMIFS(DATA_GOC!$H:$H,DATA_GOC!$A:$A,"BOM",DATA_GOC!$D:$D,$H7291,DATA_GOC!$E:$E,$C7291,DATA_GOC!$F:$F,"Xuất nội bộ từ téc",DATA_GOC!$B:$B,"&gt;="&amp;$D7291,DATA_GOC!$B:$B,"&lt;="&amp;$E7291))</f>
        <v/>
      </c>
      <c r="J7291" s="59">
        <f t="shared" si="28"/>
        <v>0</v>
      </c>
      <c r="K7291" s="59">
        <f t="shared" si="29"/>
        <v>0</v>
      </c>
      <c r="L7291" s="59">
        <f t="shared" si="30"/>
        <v>0</v>
      </c>
      <c r="M7291" s="59">
        <f t="shared" si="31"/>
        <v>0</v>
      </c>
    </row>
    <row r="7292" ht="15.0" hidden="1" customHeight="1">
      <c r="A7292" s="59">
        <f t="shared" si="20"/>
        <v>118</v>
      </c>
      <c r="B7292" s="59" t="str">
        <f t="shared" si="21"/>
        <v/>
      </c>
      <c r="C7292" s="59" t="str">
        <f t="shared" si="22"/>
        <v/>
      </c>
      <c r="D7292" s="45" t="str">
        <f t="shared" si="23"/>
        <v/>
      </c>
      <c r="E7292" s="45" t="str">
        <f t="shared" si="24"/>
        <v/>
      </c>
      <c r="F7292" s="59" t="str">
        <f t="shared" si="25"/>
        <v/>
      </c>
      <c r="G7292" s="59" t="str">
        <f t="shared" si="26"/>
        <v/>
      </c>
      <c r="H7292" s="59" t="str">
        <f t="shared" si="27"/>
        <v>28H01364</v>
      </c>
      <c r="I7292" s="59" t="str">
        <f>IF(OR($A7292="",$C7292="",$D7292="",$E7292="",$H7292=""),"",SUMIFS(DATA_GOC!$H:$H,DATA_GOC!$A:$A,"BOM",DATA_GOC!$D:$D,$H7292,DATA_GOC!$E:$E,$C7292,DATA_GOC!$F:$F,"Xuất nội bộ từ téc",DATA_GOC!$B:$B,"&gt;="&amp;$D7292,DATA_GOC!$B:$B,"&lt;="&amp;$E7292))</f>
        <v/>
      </c>
      <c r="J7292" s="59">
        <f t="shared" si="28"/>
        <v>0</v>
      </c>
      <c r="K7292" s="59">
        <f t="shared" si="29"/>
        <v>0</v>
      </c>
      <c r="L7292" s="59">
        <f t="shared" si="30"/>
        <v>0</v>
      </c>
      <c r="M7292" s="59">
        <f t="shared" si="31"/>
        <v>0</v>
      </c>
    </row>
    <row r="7293" ht="15.0" hidden="1" customHeight="1">
      <c r="A7293" s="59">
        <f t="shared" si="20"/>
        <v>118</v>
      </c>
      <c r="B7293" s="59" t="str">
        <f t="shared" si="21"/>
        <v/>
      </c>
      <c r="C7293" s="59" t="str">
        <f t="shared" si="22"/>
        <v/>
      </c>
      <c r="D7293" s="45" t="str">
        <f t="shared" si="23"/>
        <v/>
      </c>
      <c r="E7293" s="45" t="str">
        <f t="shared" si="24"/>
        <v/>
      </c>
      <c r="F7293" s="59" t="str">
        <f t="shared" si="25"/>
        <v/>
      </c>
      <c r="G7293" s="59" t="str">
        <f t="shared" si="26"/>
        <v/>
      </c>
      <c r="H7293" s="59" t="str">
        <f t="shared" si="27"/>
        <v>29E17269</v>
      </c>
      <c r="I7293" s="59" t="str">
        <f>IF(OR($A7293="",$C7293="",$D7293="",$E7293="",$H7293=""),"",SUMIFS(DATA_GOC!$H:$H,DATA_GOC!$A:$A,"BOM",DATA_GOC!$D:$D,$H7293,DATA_GOC!$E:$E,$C7293,DATA_GOC!$F:$F,"Xuất nội bộ từ téc",DATA_GOC!$B:$B,"&gt;="&amp;$D7293,DATA_GOC!$B:$B,"&lt;="&amp;$E7293))</f>
        <v/>
      </c>
      <c r="J7293" s="59">
        <f t="shared" si="28"/>
        <v>0</v>
      </c>
      <c r="K7293" s="59">
        <f t="shared" si="29"/>
        <v>0</v>
      </c>
      <c r="L7293" s="59">
        <f t="shared" si="30"/>
        <v>0</v>
      </c>
      <c r="M7293" s="59">
        <f t="shared" si="31"/>
        <v>0</v>
      </c>
    </row>
    <row r="7294" ht="15.0" hidden="1" customHeight="1">
      <c r="A7294" s="59">
        <f t="shared" si="20"/>
        <v>118</v>
      </c>
      <c r="B7294" s="59" t="str">
        <f t="shared" si="21"/>
        <v/>
      </c>
      <c r="C7294" s="59" t="str">
        <f t="shared" si="22"/>
        <v/>
      </c>
      <c r="D7294" s="45" t="str">
        <f t="shared" si="23"/>
        <v/>
      </c>
      <c r="E7294" s="45" t="str">
        <f t="shared" si="24"/>
        <v/>
      </c>
      <c r="F7294" s="59" t="str">
        <f t="shared" si="25"/>
        <v/>
      </c>
      <c r="G7294" s="59" t="str">
        <f t="shared" si="26"/>
        <v/>
      </c>
      <c r="H7294" s="59" t="str">
        <f t="shared" si="27"/>
        <v>29E17273</v>
      </c>
      <c r="I7294" s="59" t="str">
        <f>IF(OR($A7294="",$C7294="",$D7294="",$E7294="",$H7294=""),"",SUMIFS(DATA_GOC!$H:$H,DATA_GOC!$A:$A,"BOM",DATA_GOC!$D:$D,$H7294,DATA_GOC!$E:$E,$C7294,DATA_GOC!$F:$F,"Xuất nội bộ từ téc",DATA_GOC!$B:$B,"&gt;="&amp;$D7294,DATA_GOC!$B:$B,"&lt;="&amp;$E7294))</f>
        <v/>
      </c>
      <c r="J7294" s="59">
        <f t="shared" si="28"/>
        <v>0</v>
      </c>
      <c r="K7294" s="59">
        <f t="shared" si="29"/>
        <v>0</v>
      </c>
      <c r="L7294" s="59">
        <f t="shared" si="30"/>
        <v>0</v>
      </c>
      <c r="M7294" s="59">
        <f t="shared" si="31"/>
        <v>0</v>
      </c>
    </row>
    <row r="7295" ht="15.0" hidden="1" customHeight="1">
      <c r="A7295" s="59">
        <f t="shared" si="20"/>
        <v>118</v>
      </c>
      <c r="B7295" s="59" t="str">
        <f t="shared" si="21"/>
        <v/>
      </c>
      <c r="C7295" s="59" t="str">
        <f t="shared" si="22"/>
        <v/>
      </c>
      <c r="D7295" s="45" t="str">
        <f t="shared" si="23"/>
        <v/>
      </c>
      <c r="E7295" s="45" t="str">
        <f t="shared" si="24"/>
        <v/>
      </c>
      <c r="F7295" s="59" t="str">
        <f t="shared" si="25"/>
        <v/>
      </c>
      <c r="G7295" s="59" t="str">
        <f t="shared" si="26"/>
        <v/>
      </c>
      <c r="H7295" s="59" t="str">
        <f t="shared" si="27"/>
        <v>29E17410</v>
      </c>
      <c r="I7295" s="59" t="str">
        <f>IF(OR($A7295="",$C7295="",$D7295="",$E7295="",$H7295=""),"",SUMIFS(DATA_GOC!$H:$H,DATA_GOC!$A:$A,"BOM",DATA_GOC!$D:$D,$H7295,DATA_GOC!$E:$E,$C7295,DATA_GOC!$F:$F,"Xuất nội bộ từ téc",DATA_GOC!$B:$B,"&gt;="&amp;$D7295,DATA_GOC!$B:$B,"&lt;="&amp;$E7295))</f>
        <v/>
      </c>
      <c r="J7295" s="59">
        <f t="shared" si="28"/>
        <v>0</v>
      </c>
      <c r="K7295" s="59">
        <f t="shared" si="29"/>
        <v>0</v>
      </c>
      <c r="L7295" s="59">
        <f t="shared" si="30"/>
        <v>0</v>
      </c>
      <c r="M7295" s="59">
        <f t="shared" si="31"/>
        <v>0</v>
      </c>
    </row>
    <row r="7296" ht="15.0" hidden="1" customHeight="1">
      <c r="A7296" s="59">
        <f t="shared" si="20"/>
        <v>118</v>
      </c>
      <c r="B7296" s="59" t="str">
        <f t="shared" si="21"/>
        <v/>
      </c>
      <c r="C7296" s="59" t="str">
        <f t="shared" si="22"/>
        <v/>
      </c>
      <c r="D7296" s="45" t="str">
        <f t="shared" si="23"/>
        <v/>
      </c>
      <c r="E7296" s="45" t="str">
        <f t="shared" si="24"/>
        <v/>
      </c>
      <c r="F7296" s="59" t="str">
        <f t="shared" si="25"/>
        <v/>
      </c>
      <c r="G7296" s="59" t="str">
        <f t="shared" si="26"/>
        <v/>
      </c>
      <c r="H7296" s="59" t="str">
        <f t="shared" si="27"/>
        <v>29E17417</v>
      </c>
      <c r="I7296" s="59" t="str">
        <f>IF(OR($A7296="",$C7296="",$D7296="",$E7296="",$H7296=""),"",SUMIFS(DATA_GOC!$H:$H,DATA_GOC!$A:$A,"BOM",DATA_GOC!$D:$D,$H7296,DATA_GOC!$E:$E,$C7296,DATA_GOC!$F:$F,"Xuất nội bộ từ téc",DATA_GOC!$B:$B,"&gt;="&amp;$D7296,DATA_GOC!$B:$B,"&lt;="&amp;$E7296))</f>
        <v/>
      </c>
      <c r="J7296" s="59">
        <f t="shared" si="28"/>
        <v>0</v>
      </c>
      <c r="K7296" s="59">
        <f t="shared" si="29"/>
        <v>0</v>
      </c>
      <c r="L7296" s="59">
        <f t="shared" si="30"/>
        <v>0</v>
      </c>
      <c r="M7296" s="59">
        <f t="shared" si="31"/>
        <v>0</v>
      </c>
    </row>
    <row r="7297" ht="15.0" hidden="1" customHeight="1">
      <c r="A7297" s="59">
        <f t="shared" si="20"/>
        <v>118</v>
      </c>
      <c r="B7297" s="59" t="str">
        <f t="shared" si="21"/>
        <v/>
      </c>
      <c r="C7297" s="59" t="str">
        <f t="shared" si="22"/>
        <v/>
      </c>
      <c r="D7297" s="45" t="str">
        <f t="shared" si="23"/>
        <v/>
      </c>
      <c r="E7297" s="45" t="str">
        <f t="shared" si="24"/>
        <v/>
      </c>
      <c r="F7297" s="59" t="str">
        <f t="shared" si="25"/>
        <v/>
      </c>
      <c r="G7297" s="59" t="str">
        <f t="shared" si="26"/>
        <v/>
      </c>
      <c r="H7297" s="59" t="str">
        <f t="shared" si="27"/>
        <v>29E17539</v>
      </c>
      <c r="I7297" s="59" t="str">
        <f>IF(OR($A7297="",$C7297="",$D7297="",$E7297="",$H7297=""),"",SUMIFS(DATA_GOC!$H:$H,DATA_GOC!$A:$A,"BOM",DATA_GOC!$D:$D,$H7297,DATA_GOC!$E:$E,$C7297,DATA_GOC!$F:$F,"Xuất nội bộ từ téc",DATA_GOC!$B:$B,"&gt;="&amp;$D7297,DATA_GOC!$B:$B,"&lt;="&amp;$E7297))</f>
        <v/>
      </c>
      <c r="J7297" s="59">
        <f t="shared" si="28"/>
        <v>0</v>
      </c>
      <c r="K7297" s="59">
        <f t="shared" si="29"/>
        <v>0</v>
      </c>
      <c r="L7297" s="59">
        <f t="shared" si="30"/>
        <v>0</v>
      </c>
      <c r="M7297" s="59">
        <f t="shared" si="31"/>
        <v>0</v>
      </c>
    </row>
    <row r="7298" ht="15.0" hidden="1" customHeight="1">
      <c r="A7298" s="59">
        <f t="shared" si="20"/>
        <v>118</v>
      </c>
      <c r="B7298" s="59" t="str">
        <f t="shared" si="21"/>
        <v/>
      </c>
      <c r="C7298" s="59" t="str">
        <f t="shared" si="22"/>
        <v/>
      </c>
      <c r="D7298" s="45" t="str">
        <f t="shared" si="23"/>
        <v/>
      </c>
      <c r="E7298" s="45" t="str">
        <f t="shared" si="24"/>
        <v/>
      </c>
      <c r="F7298" s="59" t="str">
        <f t="shared" si="25"/>
        <v/>
      </c>
      <c r="G7298" s="59" t="str">
        <f t="shared" si="26"/>
        <v/>
      </c>
      <c r="H7298" s="59" t="str">
        <f t="shared" si="27"/>
        <v>29E18160</v>
      </c>
      <c r="I7298" s="59" t="str">
        <f>IF(OR($A7298="",$C7298="",$D7298="",$E7298="",$H7298=""),"",SUMIFS(DATA_GOC!$H:$H,DATA_GOC!$A:$A,"BOM",DATA_GOC!$D:$D,$H7298,DATA_GOC!$E:$E,$C7298,DATA_GOC!$F:$F,"Xuất nội bộ từ téc",DATA_GOC!$B:$B,"&gt;="&amp;$D7298,DATA_GOC!$B:$B,"&lt;="&amp;$E7298))</f>
        <v/>
      </c>
      <c r="J7298" s="59">
        <f t="shared" si="28"/>
        <v>0</v>
      </c>
      <c r="K7298" s="59">
        <f t="shared" si="29"/>
        <v>0</v>
      </c>
      <c r="L7298" s="59">
        <f t="shared" si="30"/>
        <v>0</v>
      </c>
      <c r="M7298" s="59">
        <f t="shared" si="31"/>
        <v>0</v>
      </c>
    </row>
    <row r="7299" ht="15.0" hidden="1" customHeight="1">
      <c r="A7299" s="59">
        <f t="shared" si="20"/>
        <v>118</v>
      </c>
      <c r="B7299" s="59" t="str">
        <f t="shared" si="21"/>
        <v/>
      </c>
      <c r="C7299" s="59" t="str">
        <f t="shared" si="22"/>
        <v/>
      </c>
      <c r="D7299" s="45" t="str">
        <f t="shared" si="23"/>
        <v/>
      </c>
      <c r="E7299" s="45" t="str">
        <f t="shared" si="24"/>
        <v/>
      </c>
      <c r="F7299" s="59" t="str">
        <f t="shared" si="25"/>
        <v/>
      </c>
      <c r="G7299" s="59" t="str">
        <f t="shared" si="26"/>
        <v/>
      </c>
      <c r="H7299" s="59" t="str">
        <f t="shared" si="27"/>
        <v>Công trình Asphalt</v>
      </c>
      <c r="I7299" s="59" t="str">
        <f>IF(OR($A7299="",$C7299="",$D7299="",$E7299="",$H7299=""),"",SUMIFS(DATA_GOC!$H:$H,DATA_GOC!$A:$A,"BOM",DATA_GOC!$D:$D,$H7299,DATA_GOC!$E:$E,$C7299,DATA_GOC!$F:$F,"Xuất nội bộ từ téc",DATA_GOC!$B:$B,"&gt;="&amp;$D7299,DATA_GOC!$B:$B,"&lt;="&amp;$E7299))</f>
        <v/>
      </c>
      <c r="J7299" s="59">
        <f t="shared" si="28"/>
        <v>0</v>
      </c>
      <c r="K7299" s="59">
        <f t="shared" si="29"/>
        <v>0</v>
      </c>
      <c r="L7299" s="59">
        <f t="shared" si="30"/>
        <v>0</v>
      </c>
      <c r="M7299" s="59">
        <f t="shared" si="31"/>
        <v>0</v>
      </c>
    </row>
    <row r="7300" ht="15.0" hidden="1" customHeight="1">
      <c r="A7300" s="59">
        <f t="shared" si="20"/>
        <v>118</v>
      </c>
      <c r="B7300" s="59" t="str">
        <f t="shared" si="21"/>
        <v/>
      </c>
      <c r="C7300" s="59" t="str">
        <f t="shared" si="22"/>
        <v/>
      </c>
      <c r="D7300" s="45" t="str">
        <f t="shared" si="23"/>
        <v/>
      </c>
      <c r="E7300" s="45" t="str">
        <f t="shared" si="24"/>
        <v/>
      </c>
      <c r="F7300" s="59" t="str">
        <f t="shared" si="25"/>
        <v/>
      </c>
      <c r="G7300" s="59" t="str">
        <f t="shared" si="26"/>
        <v/>
      </c>
      <c r="H7300" s="59" t="str">
        <f t="shared" si="27"/>
        <v>LG53F</v>
      </c>
      <c r="I7300" s="59" t="str">
        <f>IF(OR($A7300="",$C7300="",$D7300="",$E7300="",$H7300=""),"",SUMIFS(DATA_GOC!$H:$H,DATA_GOC!$A:$A,"BOM",DATA_GOC!$D:$D,$H7300,DATA_GOC!$E:$E,$C7300,DATA_GOC!$F:$F,"Xuất nội bộ từ téc",DATA_GOC!$B:$B,"&gt;="&amp;$D7300,DATA_GOC!$B:$B,"&lt;="&amp;$E7300))</f>
        <v/>
      </c>
      <c r="J7300" s="59">
        <f t="shared" si="28"/>
        <v>0</v>
      </c>
      <c r="K7300" s="59">
        <f t="shared" si="29"/>
        <v>0</v>
      </c>
      <c r="L7300" s="59">
        <f t="shared" si="30"/>
        <v>0</v>
      </c>
      <c r="M7300" s="59">
        <f t="shared" si="31"/>
        <v>0</v>
      </c>
    </row>
    <row r="7301" ht="15.0" hidden="1" customHeight="1">
      <c r="A7301" s="59">
        <f t="shared" si="20"/>
        <v>118</v>
      </c>
      <c r="B7301" s="59" t="str">
        <f t="shared" si="21"/>
        <v/>
      </c>
      <c r="C7301" s="59" t="str">
        <f t="shared" si="22"/>
        <v/>
      </c>
      <c r="D7301" s="45" t="str">
        <f t="shared" si="23"/>
        <v/>
      </c>
      <c r="E7301" s="45" t="str">
        <f t="shared" si="24"/>
        <v/>
      </c>
      <c r="F7301" s="59" t="str">
        <f t="shared" si="25"/>
        <v/>
      </c>
      <c r="G7301" s="59" t="str">
        <f t="shared" si="26"/>
        <v/>
      </c>
      <c r="H7301" s="59" t="str">
        <f t="shared" si="27"/>
        <v>Máy phát điện</v>
      </c>
      <c r="I7301" s="59" t="str">
        <f>IF(OR($A7301="",$C7301="",$D7301="",$E7301="",$H7301=""),"",SUMIFS(DATA_GOC!$H:$H,DATA_GOC!$A:$A,"BOM",DATA_GOC!$D:$D,$H7301,DATA_GOC!$E:$E,$C7301,DATA_GOC!$F:$F,"Xuất nội bộ từ téc",DATA_GOC!$B:$B,"&gt;="&amp;$D7301,DATA_GOC!$B:$B,"&lt;="&amp;$E7301))</f>
        <v/>
      </c>
      <c r="J7301" s="59">
        <f t="shared" si="28"/>
        <v>0</v>
      </c>
      <c r="K7301" s="59">
        <f t="shared" si="29"/>
        <v>0</v>
      </c>
      <c r="L7301" s="59">
        <f t="shared" si="30"/>
        <v>0</v>
      </c>
      <c r="M7301" s="59">
        <f t="shared" si="31"/>
        <v>0</v>
      </c>
    </row>
    <row r="7302" ht="15.0" hidden="1" customHeight="1">
      <c r="A7302" s="59">
        <f t="shared" si="20"/>
        <v>118</v>
      </c>
      <c r="B7302" s="59" t="str">
        <f t="shared" si="21"/>
        <v/>
      </c>
      <c r="C7302" s="59" t="str">
        <f t="shared" si="22"/>
        <v/>
      </c>
      <c r="D7302" s="45" t="str">
        <f t="shared" si="23"/>
        <v/>
      </c>
      <c r="E7302" s="45" t="str">
        <f t="shared" si="24"/>
        <v/>
      </c>
      <c r="F7302" s="59" t="str">
        <f t="shared" si="25"/>
        <v/>
      </c>
      <c r="G7302" s="59" t="str">
        <f t="shared" si="26"/>
        <v/>
      </c>
      <c r="H7302" s="59" t="str">
        <f t="shared" si="27"/>
        <v>Máy rải thảm</v>
      </c>
      <c r="I7302" s="59" t="str">
        <f>IF(OR($A7302="",$C7302="",$D7302="",$E7302="",$H7302=""),"",SUMIFS(DATA_GOC!$H:$H,DATA_GOC!$A:$A,"BOM",DATA_GOC!$D:$D,$H7302,DATA_GOC!$E:$E,$C7302,DATA_GOC!$F:$F,"Xuất nội bộ từ téc",DATA_GOC!$B:$B,"&gt;="&amp;$D7302,DATA_GOC!$B:$B,"&lt;="&amp;$E7302))</f>
        <v/>
      </c>
      <c r="J7302" s="59">
        <f t="shared" si="28"/>
        <v>0</v>
      </c>
      <c r="K7302" s="59">
        <f t="shared" si="29"/>
        <v>0</v>
      </c>
      <c r="L7302" s="59">
        <f t="shared" si="30"/>
        <v>0</v>
      </c>
      <c r="M7302" s="59">
        <f t="shared" si="31"/>
        <v>0</v>
      </c>
    </row>
    <row r="7303" ht="15.0" hidden="1" customHeight="1">
      <c r="A7303" s="59">
        <f t="shared" si="20"/>
        <v>118</v>
      </c>
      <c r="B7303" s="59" t="str">
        <f t="shared" si="21"/>
        <v/>
      </c>
      <c r="C7303" s="59" t="str">
        <f t="shared" si="22"/>
        <v/>
      </c>
      <c r="D7303" s="45" t="str">
        <f t="shared" si="23"/>
        <v/>
      </c>
      <c r="E7303" s="45" t="str">
        <f t="shared" si="24"/>
        <v/>
      </c>
      <c r="F7303" s="59" t="str">
        <f t="shared" si="25"/>
        <v/>
      </c>
      <c r="G7303" s="59" t="str">
        <f t="shared" si="26"/>
        <v/>
      </c>
      <c r="H7303" s="59" t="str">
        <f t="shared" si="27"/>
        <v>Xúc Đào</v>
      </c>
      <c r="I7303" s="59" t="str">
        <f>IF(OR($A7303="",$C7303="",$D7303="",$E7303="",$H7303=""),"",SUMIFS(DATA_GOC!$H:$H,DATA_GOC!$A:$A,"BOM",DATA_GOC!$D:$D,$H7303,DATA_GOC!$E:$E,$C7303,DATA_GOC!$F:$F,"Xuất nội bộ từ téc",DATA_GOC!$B:$B,"&gt;="&amp;$D7303,DATA_GOC!$B:$B,"&lt;="&amp;$E7303))</f>
        <v/>
      </c>
      <c r="J7303" s="59">
        <f t="shared" si="28"/>
        <v>0</v>
      </c>
      <c r="K7303" s="59">
        <f t="shared" si="29"/>
        <v>0</v>
      </c>
      <c r="L7303" s="59">
        <f t="shared" si="30"/>
        <v>0</v>
      </c>
      <c r="M7303" s="59">
        <f t="shared" si="31"/>
        <v>0</v>
      </c>
    </row>
    <row r="7304" ht="15.0" hidden="1" customHeight="1">
      <c r="A7304" s="59">
        <f t="shared" si="20"/>
        <v>118</v>
      </c>
      <c r="B7304" s="59" t="str">
        <f t="shared" si="21"/>
        <v/>
      </c>
      <c r="C7304" s="59" t="str">
        <f t="shared" si="22"/>
        <v/>
      </c>
      <c r="D7304" s="45" t="str">
        <f t="shared" si="23"/>
        <v/>
      </c>
      <c r="E7304" s="45" t="str">
        <f t="shared" si="24"/>
        <v/>
      </c>
      <c r="F7304" s="59" t="str">
        <f t="shared" si="25"/>
        <v/>
      </c>
      <c r="G7304" s="59" t="str">
        <f t="shared" si="26"/>
        <v/>
      </c>
      <c r="H7304" s="59" t="str">
        <f t="shared" si="27"/>
        <v>Xúclật asphalt</v>
      </c>
      <c r="I7304" s="59" t="str">
        <f>IF(OR($A7304="",$C7304="",$D7304="",$E7304="",$H7304=""),"",SUMIFS(DATA_GOC!$H:$H,DATA_GOC!$A:$A,"BOM",DATA_GOC!$D:$D,$H7304,DATA_GOC!$E:$E,$C7304,DATA_GOC!$F:$F,"Xuất nội bộ từ téc",DATA_GOC!$B:$B,"&gt;="&amp;$D7304,DATA_GOC!$B:$B,"&lt;="&amp;$E7304))</f>
        <v/>
      </c>
      <c r="J7304" s="59">
        <f t="shared" si="28"/>
        <v>0</v>
      </c>
      <c r="K7304" s="59">
        <f t="shared" si="29"/>
        <v>0</v>
      </c>
      <c r="L7304" s="59">
        <f t="shared" si="30"/>
        <v>0</v>
      </c>
      <c r="M7304" s="59">
        <f t="shared" si="31"/>
        <v>0</v>
      </c>
    </row>
    <row r="7305" ht="15.0" hidden="1" customHeight="1">
      <c r="A7305" s="59">
        <f t="shared" si="20"/>
        <v>118</v>
      </c>
      <c r="B7305" s="59" t="str">
        <f t="shared" si="21"/>
        <v/>
      </c>
      <c r="C7305" s="59" t="str">
        <f t="shared" si="22"/>
        <v/>
      </c>
      <c r="D7305" s="45" t="str">
        <f t="shared" si="23"/>
        <v/>
      </c>
      <c r="E7305" s="45" t="str">
        <f t="shared" si="24"/>
        <v/>
      </c>
      <c r="F7305" s="59" t="str">
        <f t="shared" si="25"/>
        <v/>
      </c>
      <c r="G7305" s="59" t="str">
        <f t="shared" si="26"/>
        <v/>
      </c>
      <c r="H7305" s="59" t="str">
        <f t="shared" si="27"/>
        <v>Xúclật855H</v>
      </c>
      <c r="I7305" s="59" t="str">
        <f>IF(OR($A7305="",$C7305="",$D7305="",$E7305="",$H7305=""),"",SUMIFS(DATA_GOC!$H:$H,DATA_GOC!$A:$A,"BOM",DATA_GOC!$D:$D,$H7305,DATA_GOC!$E:$E,$C7305,DATA_GOC!$F:$F,"Xuất nội bộ từ téc",DATA_GOC!$B:$B,"&gt;="&amp;$D7305,DATA_GOC!$B:$B,"&lt;="&amp;$E7305))</f>
        <v/>
      </c>
      <c r="J7305" s="59">
        <f t="shared" si="28"/>
        <v>0</v>
      </c>
      <c r="K7305" s="59">
        <f t="shared" si="29"/>
        <v>0</v>
      </c>
      <c r="L7305" s="59">
        <f t="shared" si="30"/>
        <v>0</v>
      </c>
      <c r="M7305" s="59">
        <f t="shared" si="31"/>
        <v>0</v>
      </c>
    </row>
    <row r="7306" ht="15.0" hidden="1" customHeight="1">
      <c r="A7306" s="59">
        <f t="shared" si="20"/>
        <v>118</v>
      </c>
      <c r="B7306" s="59" t="str">
        <f t="shared" si="21"/>
        <v/>
      </c>
      <c r="C7306" s="59" t="str">
        <f t="shared" si="22"/>
        <v/>
      </c>
      <c r="D7306" s="45" t="str">
        <f t="shared" si="23"/>
        <v/>
      </c>
      <c r="E7306" s="45" t="str">
        <f t="shared" si="24"/>
        <v/>
      </c>
      <c r="F7306" s="59" t="str">
        <f t="shared" si="25"/>
        <v/>
      </c>
      <c r="G7306" s="59" t="str">
        <f t="shared" si="26"/>
        <v/>
      </c>
      <c r="H7306" s="59" t="str">
        <f t="shared" si="27"/>
        <v>Xúclật855N</v>
      </c>
      <c r="I7306" s="59" t="str">
        <f>IF(OR($A7306="",$C7306="",$D7306="",$E7306="",$H7306=""),"",SUMIFS(DATA_GOC!$H:$H,DATA_GOC!$A:$A,"BOM",DATA_GOC!$D:$D,$H7306,DATA_GOC!$E:$E,$C7306,DATA_GOC!$F:$F,"Xuất nội bộ từ téc",DATA_GOC!$B:$B,"&gt;="&amp;$D7306,DATA_GOC!$B:$B,"&lt;="&amp;$E7306))</f>
        <v/>
      </c>
      <c r="J7306" s="59">
        <f t="shared" si="28"/>
        <v>0</v>
      </c>
      <c r="K7306" s="59">
        <f t="shared" si="29"/>
        <v>0</v>
      </c>
      <c r="L7306" s="59">
        <f t="shared" si="30"/>
        <v>0</v>
      </c>
      <c r="M7306" s="59">
        <f t="shared" si="31"/>
        <v>0</v>
      </c>
    </row>
    <row r="7307" ht="15.0" hidden="1" customHeight="1">
      <c r="A7307" s="59">
        <f t="shared" si="20"/>
        <v>118</v>
      </c>
      <c r="B7307" s="59" t="str">
        <f t="shared" si="21"/>
        <v/>
      </c>
      <c r="C7307" s="59" t="str">
        <f t="shared" si="22"/>
        <v/>
      </c>
      <c r="D7307" s="45" t="str">
        <f t="shared" si="23"/>
        <v/>
      </c>
      <c r="E7307" s="45" t="str">
        <f t="shared" si="24"/>
        <v/>
      </c>
      <c r="F7307" s="59" t="str">
        <f t="shared" si="25"/>
        <v/>
      </c>
      <c r="G7307" s="59" t="str">
        <f t="shared" si="26"/>
        <v/>
      </c>
      <c r="H7307" s="59" t="str">
        <f t="shared" si="27"/>
        <v>Cát nghiền</v>
      </c>
      <c r="I7307" s="59" t="str">
        <f>IF(OR($A7307="",$C7307="",$D7307="",$E7307="",$H7307=""),"",SUMIFS(DATA_GOC!$H:$H,DATA_GOC!$A:$A,"BOM",DATA_GOC!$D:$D,$H7307,DATA_GOC!$E:$E,$C7307,DATA_GOC!$F:$F,"Xuất nội bộ từ téc",DATA_GOC!$B:$B,"&gt;="&amp;$D7307,DATA_GOC!$B:$B,"&lt;="&amp;$E7307))</f>
        <v/>
      </c>
      <c r="J7307" s="59">
        <f t="shared" si="28"/>
        <v>0</v>
      </c>
      <c r="K7307" s="59">
        <f t="shared" si="29"/>
        <v>0</v>
      </c>
      <c r="L7307" s="59">
        <f t="shared" si="30"/>
        <v>0</v>
      </c>
      <c r="M7307" s="59">
        <f t="shared" si="31"/>
        <v>0</v>
      </c>
    </row>
    <row r="7308" ht="15.0" hidden="1" customHeight="1">
      <c r="A7308" s="59">
        <f t="shared" si="20"/>
        <v>118</v>
      </c>
      <c r="B7308" s="59" t="str">
        <f t="shared" si="21"/>
        <v/>
      </c>
      <c r="C7308" s="59" t="str">
        <f t="shared" si="22"/>
        <v/>
      </c>
      <c r="D7308" s="45" t="str">
        <f t="shared" si="23"/>
        <v/>
      </c>
      <c r="E7308" s="45" t="str">
        <f t="shared" si="24"/>
        <v/>
      </c>
      <c r="F7308" s="59" t="str">
        <f t="shared" si="25"/>
        <v/>
      </c>
      <c r="G7308" s="59" t="str">
        <f t="shared" si="26"/>
        <v/>
      </c>
      <c r="H7308" s="59" t="str">
        <f t="shared" si="27"/>
        <v>28C02973</v>
      </c>
      <c r="I7308" s="59" t="str">
        <f>IF(OR($A7308="",$C7308="",$D7308="",$E7308="",$H7308=""),"",SUMIFS(DATA_GOC!$H:$H,DATA_GOC!$A:$A,"BOM",DATA_GOC!$D:$D,$H7308,DATA_GOC!$E:$E,$C7308,DATA_GOC!$F:$F,"Xuất nội bộ từ téc",DATA_GOC!$B:$B,"&gt;="&amp;$D7308,DATA_GOC!$B:$B,"&lt;="&amp;$E7308))</f>
        <v/>
      </c>
      <c r="J7308" s="59">
        <f t="shared" si="28"/>
        <v>0</v>
      </c>
      <c r="K7308" s="59">
        <f t="shared" si="29"/>
        <v>0</v>
      </c>
      <c r="L7308" s="59">
        <f t="shared" si="30"/>
        <v>0</v>
      </c>
      <c r="M7308" s="59">
        <f t="shared" si="31"/>
        <v>0</v>
      </c>
    </row>
    <row r="7309" ht="15.0" hidden="1" customHeight="1">
      <c r="A7309" s="59">
        <f t="shared" si="20"/>
        <v>118</v>
      </c>
      <c r="B7309" s="59" t="str">
        <f t="shared" si="21"/>
        <v/>
      </c>
      <c r="C7309" s="59" t="str">
        <f t="shared" si="22"/>
        <v/>
      </c>
      <c r="D7309" s="45" t="str">
        <f t="shared" si="23"/>
        <v/>
      </c>
      <c r="E7309" s="45" t="str">
        <f t="shared" si="24"/>
        <v/>
      </c>
      <c r="F7309" s="59" t="str">
        <f t="shared" si="25"/>
        <v/>
      </c>
      <c r="G7309" s="59" t="str">
        <f t="shared" si="26"/>
        <v/>
      </c>
      <c r="H7309" s="59" t="str">
        <f t="shared" si="27"/>
        <v>28C03044</v>
      </c>
      <c r="I7309" s="59" t="str">
        <f>IF(OR($A7309="",$C7309="",$D7309="",$E7309="",$H7309=""),"",SUMIFS(DATA_GOC!$H:$H,DATA_GOC!$A:$A,"BOM",DATA_GOC!$D:$D,$H7309,DATA_GOC!$E:$E,$C7309,DATA_GOC!$F:$F,"Xuất nội bộ từ téc",DATA_GOC!$B:$B,"&gt;="&amp;$D7309,DATA_GOC!$B:$B,"&lt;="&amp;$E7309))</f>
        <v/>
      </c>
      <c r="J7309" s="59">
        <f t="shared" si="28"/>
        <v>0</v>
      </c>
      <c r="K7309" s="59">
        <f t="shared" si="29"/>
        <v>0</v>
      </c>
      <c r="L7309" s="59">
        <f t="shared" si="30"/>
        <v>0</v>
      </c>
      <c r="M7309" s="59">
        <f t="shared" si="31"/>
        <v>0</v>
      </c>
    </row>
    <row r="7310" ht="15.0" hidden="1" customHeight="1">
      <c r="A7310" s="59">
        <f t="shared" si="20"/>
        <v>118</v>
      </c>
      <c r="B7310" s="59" t="str">
        <f t="shared" si="21"/>
        <v/>
      </c>
      <c r="C7310" s="59" t="str">
        <f t="shared" si="22"/>
        <v/>
      </c>
      <c r="D7310" s="45" t="str">
        <f t="shared" si="23"/>
        <v/>
      </c>
      <c r="E7310" s="45" t="str">
        <f t="shared" si="24"/>
        <v/>
      </c>
      <c r="F7310" s="59" t="str">
        <f t="shared" si="25"/>
        <v/>
      </c>
      <c r="G7310" s="59" t="str">
        <f t="shared" si="26"/>
        <v/>
      </c>
      <c r="H7310" s="59" t="str">
        <f t="shared" si="27"/>
        <v>Máy lu lốp</v>
      </c>
      <c r="I7310" s="59" t="str">
        <f>IF(OR($A7310="",$C7310="",$D7310="",$E7310="",$H7310=""),"",SUMIFS(DATA_GOC!$H:$H,DATA_GOC!$A:$A,"BOM",DATA_GOC!$D:$D,$H7310,DATA_GOC!$E:$E,$C7310,DATA_GOC!$F:$F,"Xuất nội bộ từ téc",DATA_GOC!$B:$B,"&gt;="&amp;$D7310,DATA_GOC!$B:$B,"&lt;="&amp;$E7310))</f>
        <v/>
      </c>
      <c r="J7310" s="59">
        <f t="shared" si="28"/>
        <v>0</v>
      </c>
      <c r="K7310" s="59">
        <f t="shared" si="29"/>
        <v>0</v>
      </c>
      <c r="L7310" s="59">
        <f t="shared" si="30"/>
        <v>0</v>
      </c>
      <c r="M7310" s="59">
        <f t="shared" si="31"/>
        <v>0</v>
      </c>
    </row>
    <row r="7311" ht="15.0" hidden="1" customHeight="1">
      <c r="A7311" s="59">
        <f t="shared" si="20"/>
        <v>118</v>
      </c>
      <c r="B7311" s="59" t="str">
        <f t="shared" si="21"/>
        <v/>
      </c>
      <c r="C7311" s="59" t="str">
        <f t="shared" si="22"/>
        <v/>
      </c>
      <c r="D7311" s="45" t="str">
        <f t="shared" si="23"/>
        <v/>
      </c>
      <c r="E7311" s="45" t="str">
        <f t="shared" si="24"/>
        <v/>
      </c>
      <c r="F7311" s="59" t="str">
        <f t="shared" si="25"/>
        <v/>
      </c>
      <c r="G7311" s="59" t="str">
        <f t="shared" si="26"/>
        <v/>
      </c>
      <c r="H7311" s="59" t="str">
        <f t="shared" si="27"/>
        <v>Xe 600148</v>
      </c>
      <c r="I7311" s="59" t="str">
        <f>IF(OR($A7311="",$C7311="",$D7311="",$E7311="",$H7311=""),"",SUMIFS(DATA_GOC!$H:$H,DATA_GOC!$A:$A,"BOM",DATA_GOC!$D:$D,$H7311,DATA_GOC!$E:$E,$C7311,DATA_GOC!$F:$F,"Xuất nội bộ từ téc",DATA_GOC!$B:$B,"&gt;="&amp;$D7311,DATA_GOC!$B:$B,"&lt;="&amp;$E7311))</f>
        <v/>
      </c>
      <c r="J7311" s="59">
        <f t="shared" si="28"/>
        <v>0</v>
      </c>
      <c r="K7311" s="59">
        <f t="shared" si="29"/>
        <v>0</v>
      </c>
      <c r="L7311" s="59">
        <f t="shared" si="30"/>
        <v>0</v>
      </c>
      <c r="M7311" s="59">
        <f t="shared" si="31"/>
        <v>0</v>
      </c>
    </row>
    <row r="7312" ht="15.0" hidden="1" customHeight="1">
      <c r="A7312" s="59">
        <f t="shared" si="20"/>
        <v>118</v>
      </c>
      <c r="B7312" s="59" t="str">
        <f t="shared" si="21"/>
        <v/>
      </c>
      <c r="C7312" s="59" t="str">
        <f t="shared" si="22"/>
        <v/>
      </c>
      <c r="D7312" s="45" t="str">
        <f t="shared" si="23"/>
        <v/>
      </c>
      <c r="E7312" s="45" t="str">
        <f t="shared" si="24"/>
        <v/>
      </c>
      <c r="F7312" s="59" t="str">
        <f t="shared" si="25"/>
        <v/>
      </c>
      <c r="G7312" s="59" t="str">
        <f t="shared" si="26"/>
        <v/>
      </c>
      <c r="H7312" s="59" t="str">
        <f t="shared" si="27"/>
        <v>Xe ben mới</v>
      </c>
      <c r="I7312" s="59" t="str">
        <f>IF(OR($A7312="",$C7312="",$D7312="",$E7312="",$H7312=""),"",SUMIFS(DATA_GOC!$H:$H,DATA_GOC!$A:$A,"BOM",DATA_GOC!$D:$D,$H7312,DATA_GOC!$E:$E,$C7312,DATA_GOC!$F:$F,"Xuất nội bộ từ téc",DATA_GOC!$B:$B,"&gt;="&amp;$D7312,DATA_GOC!$B:$B,"&lt;="&amp;$E7312))</f>
        <v/>
      </c>
      <c r="J7312" s="59">
        <f t="shared" si="28"/>
        <v>0</v>
      </c>
      <c r="K7312" s="59">
        <f t="shared" si="29"/>
        <v>0</v>
      </c>
      <c r="L7312" s="59">
        <f t="shared" si="30"/>
        <v>0</v>
      </c>
      <c r="M7312" s="59">
        <f t="shared" si="31"/>
        <v>0</v>
      </c>
    </row>
    <row r="7313" ht="15.0" hidden="1" customHeight="1">
      <c r="A7313" s="59">
        <f t="shared" si="20"/>
        <v>119</v>
      </c>
      <c r="B7313" s="59" t="str">
        <f t="shared" si="21"/>
        <v/>
      </c>
      <c r="C7313" s="59" t="str">
        <f t="shared" si="22"/>
        <v/>
      </c>
      <c r="D7313" s="45" t="str">
        <f t="shared" si="23"/>
        <v/>
      </c>
      <c r="E7313" s="45" t="str">
        <f t="shared" si="24"/>
        <v/>
      </c>
      <c r="F7313" s="59" t="str">
        <f t="shared" si="25"/>
        <v/>
      </c>
      <c r="G7313" s="59" t="str">
        <f t="shared" si="26"/>
        <v/>
      </c>
      <c r="H7313" s="59" t="str">
        <f t="shared" si="27"/>
        <v>19H09482</v>
      </c>
      <c r="I7313" s="59" t="str">
        <f>IF(OR($A7313="",$C7313="",$D7313="",$E7313="",$H7313=""),"",SUMIFS(DATA_GOC!$H:$H,DATA_GOC!$A:$A,"BOM",DATA_GOC!$D:$D,$H7313,DATA_GOC!$E:$E,$C7313,DATA_GOC!$F:$F,"Xuất nội bộ từ téc",DATA_GOC!$B:$B,"&gt;="&amp;$D7313,DATA_GOC!$B:$B,"&lt;="&amp;$E7313))</f>
        <v/>
      </c>
      <c r="J7313" s="59">
        <f t="shared" si="28"/>
        <v>0</v>
      </c>
      <c r="K7313" s="59">
        <f t="shared" si="29"/>
        <v>0</v>
      </c>
      <c r="L7313" s="59">
        <f t="shared" si="30"/>
        <v>0</v>
      </c>
      <c r="M7313" s="59">
        <f t="shared" si="31"/>
        <v>0</v>
      </c>
    </row>
    <row r="7314" ht="15.0" hidden="1" customHeight="1">
      <c r="A7314" s="59">
        <f t="shared" si="20"/>
        <v>119</v>
      </c>
      <c r="B7314" s="59" t="str">
        <f t="shared" si="21"/>
        <v/>
      </c>
      <c r="C7314" s="59" t="str">
        <f t="shared" si="22"/>
        <v/>
      </c>
      <c r="D7314" s="45" t="str">
        <f t="shared" si="23"/>
        <v/>
      </c>
      <c r="E7314" s="45" t="str">
        <f t="shared" si="24"/>
        <v/>
      </c>
      <c r="F7314" s="59" t="str">
        <f t="shared" si="25"/>
        <v/>
      </c>
      <c r="G7314" s="59" t="str">
        <f t="shared" si="26"/>
        <v/>
      </c>
      <c r="H7314" s="59" t="str">
        <f t="shared" si="27"/>
        <v>28A30696</v>
      </c>
      <c r="I7314" s="59" t="str">
        <f>IF(OR($A7314="",$C7314="",$D7314="",$E7314="",$H7314=""),"",SUMIFS(DATA_GOC!$H:$H,DATA_GOC!$A:$A,"BOM",DATA_GOC!$D:$D,$H7314,DATA_GOC!$E:$E,$C7314,DATA_GOC!$F:$F,"Xuất nội bộ từ téc",DATA_GOC!$B:$B,"&gt;="&amp;$D7314,DATA_GOC!$B:$B,"&lt;="&amp;$E7314))</f>
        <v/>
      </c>
      <c r="J7314" s="59">
        <f t="shared" si="28"/>
        <v>0</v>
      </c>
      <c r="K7314" s="59">
        <f t="shared" si="29"/>
        <v>0</v>
      </c>
      <c r="L7314" s="59">
        <f t="shared" si="30"/>
        <v>0</v>
      </c>
      <c r="M7314" s="59">
        <f t="shared" si="31"/>
        <v>0</v>
      </c>
    </row>
    <row r="7315" ht="15.0" hidden="1" customHeight="1">
      <c r="A7315" s="59">
        <f t="shared" si="20"/>
        <v>119</v>
      </c>
      <c r="B7315" s="59" t="str">
        <f t="shared" si="21"/>
        <v/>
      </c>
      <c r="C7315" s="59" t="str">
        <f t="shared" si="22"/>
        <v/>
      </c>
      <c r="D7315" s="45" t="str">
        <f t="shared" si="23"/>
        <v/>
      </c>
      <c r="E7315" s="45" t="str">
        <f t="shared" si="24"/>
        <v/>
      </c>
      <c r="F7315" s="59" t="str">
        <f t="shared" si="25"/>
        <v/>
      </c>
      <c r="G7315" s="59" t="str">
        <f t="shared" si="26"/>
        <v/>
      </c>
      <c r="H7315" s="59" t="str">
        <f t="shared" si="27"/>
        <v>28C00462</v>
      </c>
      <c r="I7315" s="59" t="str">
        <f>IF(OR($A7315="",$C7315="",$D7315="",$E7315="",$H7315=""),"",SUMIFS(DATA_GOC!$H:$H,DATA_GOC!$A:$A,"BOM",DATA_GOC!$D:$D,$H7315,DATA_GOC!$E:$E,$C7315,DATA_GOC!$F:$F,"Xuất nội bộ từ téc",DATA_GOC!$B:$B,"&gt;="&amp;$D7315,DATA_GOC!$B:$B,"&lt;="&amp;$E7315))</f>
        <v/>
      </c>
      <c r="J7315" s="59">
        <f t="shared" si="28"/>
        <v>0</v>
      </c>
      <c r="K7315" s="59">
        <f t="shared" si="29"/>
        <v>0</v>
      </c>
      <c r="L7315" s="59">
        <f t="shared" si="30"/>
        <v>0</v>
      </c>
      <c r="M7315" s="59">
        <f t="shared" si="31"/>
        <v>0</v>
      </c>
    </row>
    <row r="7316" ht="15.0" hidden="1" customHeight="1">
      <c r="A7316" s="59">
        <f t="shared" si="20"/>
        <v>119</v>
      </c>
      <c r="B7316" s="59" t="str">
        <f t="shared" si="21"/>
        <v/>
      </c>
      <c r="C7316" s="59" t="str">
        <f t="shared" si="22"/>
        <v/>
      </c>
      <c r="D7316" s="45" t="str">
        <f t="shared" si="23"/>
        <v/>
      </c>
      <c r="E7316" s="45" t="str">
        <f t="shared" si="24"/>
        <v/>
      </c>
      <c r="F7316" s="59" t="str">
        <f t="shared" si="25"/>
        <v/>
      </c>
      <c r="G7316" s="59" t="str">
        <f t="shared" si="26"/>
        <v/>
      </c>
      <c r="H7316" s="59" t="str">
        <f t="shared" si="27"/>
        <v>28C01165</v>
      </c>
      <c r="I7316" s="59" t="str">
        <f>IF(OR($A7316="",$C7316="",$D7316="",$E7316="",$H7316=""),"",SUMIFS(DATA_GOC!$H:$H,DATA_GOC!$A:$A,"BOM",DATA_GOC!$D:$D,$H7316,DATA_GOC!$E:$E,$C7316,DATA_GOC!$F:$F,"Xuất nội bộ từ téc",DATA_GOC!$B:$B,"&gt;="&amp;$D7316,DATA_GOC!$B:$B,"&lt;="&amp;$E7316))</f>
        <v/>
      </c>
      <c r="J7316" s="59">
        <f t="shared" si="28"/>
        <v>0</v>
      </c>
      <c r="K7316" s="59">
        <f t="shared" si="29"/>
        <v>0</v>
      </c>
      <c r="L7316" s="59">
        <f t="shared" si="30"/>
        <v>0</v>
      </c>
      <c r="M7316" s="59">
        <f t="shared" si="31"/>
        <v>0</v>
      </c>
    </row>
    <row r="7317" ht="15.0" hidden="1" customHeight="1">
      <c r="A7317" s="59">
        <f t="shared" si="20"/>
        <v>119</v>
      </c>
      <c r="B7317" s="59" t="str">
        <f t="shared" si="21"/>
        <v/>
      </c>
      <c r="C7317" s="59" t="str">
        <f t="shared" si="22"/>
        <v/>
      </c>
      <c r="D7317" s="45" t="str">
        <f t="shared" si="23"/>
        <v/>
      </c>
      <c r="E7317" s="45" t="str">
        <f t="shared" si="24"/>
        <v/>
      </c>
      <c r="F7317" s="59" t="str">
        <f t="shared" si="25"/>
        <v/>
      </c>
      <c r="G7317" s="59" t="str">
        <f t="shared" si="26"/>
        <v/>
      </c>
      <c r="H7317" s="59" t="str">
        <f t="shared" si="27"/>
        <v>28C01406</v>
      </c>
      <c r="I7317" s="59" t="str">
        <f>IF(OR($A7317="",$C7317="",$D7317="",$E7317="",$H7317=""),"",SUMIFS(DATA_GOC!$H:$H,DATA_GOC!$A:$A,"BOM",DATA_GOC!$D:$D,$H7317,DATA_GOC!$E:$E,$C7317,DATA_GOC!$F:$F,"Xuất nội bộ từ téc",DATA_GOC!$B:$B,"&gt;="&amp;$D7317,DATA_GOC!$B:$B,"&lt;="&amp;$E7317))</f>
        <v/>
      </c>
      <c r="J7317" s="59">
        <f t="shared" si="28"/>
        <v>0</v>
      </c>
      <c r="K7317" s="59">
        <f t="shared" si="29"/>
        <v>0</v>
      </c>
      <c r="L7317" s="59">
        <f t="shared" si="30"/>
        <v>0</v>
      </c>
      <c r="M7317" s="59">
        <f t="shared" si="31"/>
        <v>0</v>
      </c>
    </row>
    <row r="7318" ht="15.0" hidden="1" customHeight="1">
      <c r="A7318" s="59">
        <f t="shared" si="20"/>
        <v>119</v>
      </c>
      <c r="B7318" s="59" t="str">
        <f t="shared" si="21"/>
        <v/>
      </c>
      <c r="C7318" s="59" t="str">
        <f t="shared" si="22"/>
        <v/>
      </c>
      <c r="D7318" s="45" t="str">
        <f t="shared" si="23"/>
        <v/>
      </c>
      <c r="E7318" s="45" t="str">
        <f t="shared" si="24"/>
        <v/>
      </c>
      <c r="F7318" s="59" t="str">
        <f t="shared" si="25"/>
        <v/>
      </c>
      <c r="G7318" s="59" t="str">
        <f t="shared" si="26"/>
        <v/>
      </c>
      <c r="H7318" s="59" t="str">
        <f t="shared" si="27"/>
        <v>28C01544</v>
      </c>
      <c r="I7318" s="59" t="str">
        <f>IF(OR($A7318="",$C7318="",$D7318="",$E7318="",$H7318=""),"",SUMIFS(DATA_GOC!$H:$H,DATA_GOC!$A:$A,"BOM",DATA_GOC!$D:$D,$H7318,DATA_GOC!$E:$E,$C7318,DATA_GOC!$F:$F,"Xuất nội bộ từ téc",DATA_GOC!$B:$B,"&gt;="&amp;$D7318,DATA_GOC!$B:$B,"&lt;="&amp;$E7318))</f>
        <v/>
      </c>
      <c r="J7318" s="59">
        <f t="shared" si="28"/>
        <v>0</v>
      </c>
      <c r="K7318" s="59">
        <f t="shared" si="29"/>
        <v>0</v>
      </c>
      <c r="L7318" s="59">
        <f t="shared" si="30"/>
        <v>0</v>
      </c>
      <c r="M7318" s="59">
        <f t="shared" si="31"/>
        <v>0</v>
      </c>
    </row>
    <row r="7319" ht="15.0" hidden="1" customHeight="1">
      <c r="A7319" s="59">
        <f t="shared" si="20"/>
        <v>119</v>
      </c>
      <c r="B7319" s="59" t="str">
        <f t="shared" si="21"/>
        <v/>
      </c>
      <c r="C7319" s="59" t="str">
        <f t="shared" si="22"/>
        <v/>
      </c>
      <c r="D7319" s="45" t="str">
        <f t="shared" si="23"/>
        <v/>
      </c>
      <c r="E7319" s="45" t="str">
        <f t="shared" si="24"/>
        <v/>
      </c>
      <c r="F7319" s="59" t="str">
        <f t="shared" si="25"/>
        <v/>
      </c>
      <c r="G7319" s="59" t="str">
        <f t="shared" si="26"/>
        <v/>
      </c>
      <c r="H7319" s="59" t="str">
        <f t="shared" si="27"/>
        <v>28C01622</v>
      </c>
      <c r="I7319" s="59" t="str">
        <f>IF(OR($A7319="",$C7319="",$D7319="",$E7319="",$H7319=""),"",SUMIFS(DATA_GOC!$H:$H,DATA_GOC!$A:$A,"BOM",DATA_GOC!$D:$D,$H7319,DATA_GOC!$E:$E,$C7319,DATA_GOC!$F:$F,"Xuất nội bộ từ téc",DATA_GOC!$B:$B,"&gt;="&amp;$D7319,DATA_GOC!$B:$B,"&lt;="&amp;$E7319))</f>
        <v/>
      </c>
      <c r="J7319" s="59">
        <f t="shared" si="28"/>
        <v>0</v>
      </c>
      <c r="K7319" s="59">
        <f t="shared" si="29"/>
        <v>0</v>
      </c>
      <c r="L7319" s="59">
        <f t="shared" si="30"/>
        <v>0</v>
      </c>
      <c r="M7319" s="59">
        <f t="shared" si="31"/>
        <v>0</v>
      </c>
    </row>
    <row r="7320" ht="15.0" hidden="1" customHeight="1">
      <c r="A7320" s="59">
        <f t="shared" si="20"/>
        <v>119</v>
      </c>
      <c r="B7320" s="59" t="str">
        <f t="shared" si="21"/>
        <v/>
      </c>
      <c r="C7320" s="59" t="str">
        <f t="shared" si="22"/>
        <v/>
      </c>
      <c r="D7320" s="45" t="str">
        <f t="shared" si="23"/>
        <v/>
      </c>
      <c r="E7320" s="45" t="str">
        <f t="shared" si="24"/>
        <v/>
      </c>
      <c r="F7320" s="59" t="str">
        <f t="shared" si="25"/>
        <v/>
      </c>
      <c r="G7320" s="59" t="str">
        <f t="shared" si="26"/>
        <v/>
      </c>
      <c r="H7320" s="59" t="str">
        <f t="shared" si="27"/>
        <v>28C01647</v>
      </c>
      <c r="I7320" s="59" t="str">
        <f>IF(OR($A7320="",$C7320="",$D7320="",$E7320="",$H7320=""),"",SUMIFS(DATA_GOC!$H:$H,DATA_GOC!$A:$A,"BOM",DATA_GOC!$D:$D,$H7320,DATA_GOC!$E:$E,$C7320,DATA_GOC!$F:$F,"Xuất nội bộ từ téc",DATA_GOC!$B:$B,"&gt;="&amp;$D7320,DATA_GOC!$B:$B,"&lt;="&amp;$E7320))</f>
        <v/>
      </c>
      <c r="J7320" s="59">
        <f t="shared" si="28"/>
        <v>0</v>
      </c>
      <c r="K7320" s="59">
        <f t="shared" si="29"/>
        <v>0</v>
      </c>
      <c r="L7320" s="59">
        <f t="shared" si="30"/>
        <v>0</v>
      </c>
      <c r="M7320" s="59">
        <f t="shared" si="31"/>
        <v>0</v>
      </c>
    </row>
    <row r="7321" ht="15.0" hidden="1" customHeight="1">
      <c r="A7321" s="59">
        <f t="shared" si="20"/>
        <v>119</v>
      </c>
      <c r="B7321" s="59" t="str">
        <f t="shared" si="21"/>
        <v/>
      </c>
      <c r="C7321" s="59" t="str">
        <f t="shared" si="22"/>
        <v/>
      </c>
      <c r="D7321" s="45" t="str">
        <f t="shared" si="23"/>
        <v/>
      </c>
      <c r="E7321" s="45" t="str">
        <f t="shared" si="24"/>
        <v/>
      </c>
      <c r="F7321" s="59" t="str">
        <f t="shared" si="25"/>
        <v/>
      </c>
      <c r="G7321" s="59" t="str">
        <f t="shared" si="26"/>
        <v/>
      </c>
      <c r="H7321" s="59" t="str">
        <f t="shared" si="27"/>
        <v>28C01731</v>
      </c>
      <c r="I7321" s="59" t="str">
        <f>IF(OR($A7321="",$C7321="",$D7321="",$E7321="",$H7321=""),"",SUMIFS(DATA_GOC!$H:$H,DATA_GOC!$A:$A,"BOM",DATA_GOC!$D:$D,$H7321,DATA_GOC!$E:$E,$C7321,DATA_GOC!$F:$F,"Xuất nội bộ từ téc",DATA_GOC!$B:$B,"&gt;="&amp;$D7321,DATA_GOC!$B:$B,"&lt;="&amp;$E7321))</f>
        <v/>
      </c>
      <c r="J7321" s="59">
        <f t="shared" si="28"/>
        <v>0</v>
      </c>
      <c r="K7321" s="59">
        <f t="shared" si="29"/>
        <v>0</v>
      </c>
      <c r="L7321" s="59">
        <f t="shared" si="30"/>
        <v>0</v>
      </c>
      <c r="M7321" s="59">
        <f t="shared" si="31"/>
        <v>0</v>
      </c>
    </row>
    <row r="7322" ht="15.0" hidden="1" customHeight="1">
      <c r="A7322" s="59">
        <f t="shared" si="20"/>
        <v>119</v>
      </c>
      <c r="B7322" s="59" t="str">
        <f t="shared" si="21"/>
        <v/>
      </c>
      <c r="C7322" s="59" t="str">
        <f t="shared" si="22"/>
        <v/>
      </c>
      <c r="D7322" s="45" t="str">
        <f t="shared" si="23"/>
        <v/>
      </c>
      <c r="E7322" s="45" t="str">
        <f t="shared" si="24"/>
        <v/>
      </c>
      <c r="F7322" s="59" t="str">
        <f t="shared" si="25"/>
        <v/>
      </c>
      <c r="G7322" s="59" t="str">
        <f t="shared" si="26"/>
        <v/>
      </c>
      <c r="H7322" s="59" t="str">
        <f t="shared" si="27"/>
        <v>28C01743</v>
      </c>
      <c r="I7322" s="59" t="str">
        <f>IF(OR($A7322="",$C7322="",$D7322="",$E7322="",$H7322=""),"",SUMIFS(DATA_GOC!$H:$H,DATA_GOC!$A:$A,"BOM",DATA_GOC!$D:$D,$H7322,DATA_GOC!$E:$E,$C7322,DATA_GOC!$F:$F,"Xuất nội bộ từ téc",DATA_GOC!$B:$B,"&gt;="&amp;$D7322,DATA_GOC!$B:$B,"&lt;="&amp;$E7322))</f>
        <v/>
      </c>
      <c r="J7322" s="59">
        <f t="shared" si="28"/>
        <v>0</v>
      </c>
      <c r="K7322" s="59">
        <f t="shared" si="29"/>
        <v>0</v>
      </c>
      <c r="L7322" s="59">
        <f t="shared" si="30"/>
        <v>0</v>
      </c>
      <c r="M7322" s="59">
        <f t="shared" si="31"/>
        <v>0</v>
      </c>
    </row>
    <row r="7323" ht="15.0" hidden="1" customHeight="1">
      <c r="A7323" s="59">
        <f t="shared" si="20"/>
        <v>119</v>
      </c>
      <c r="B7323" s="59" t="str">
        <f t="shared" si="21"/>
        <v/>
      </c>
      <c r="C7323" s="59" t="str">
        <f t="shared" si="22"/>
        <v/>
      </c>
      <c r="D7323" s="45" t="str">
        <f t="shared" si="23"/>
        <v/>
      </c>
      <c r="E7323" s="45" t="str">
        <f t="shared" si="24"/>
        <v/>
      </c>
      <c r="F7323" s="59" t="str">
        <f t="shared" si="25"/>
        <v/>
      </c>
      <c r="G7323" s="59" t="str">
        <f t="shared" si="26"/>
        <v/>
      </c>
      <c r="H7323" s="59" t="str">
        <f t="shared" si="27"/>
        <v>28C02106</v>
      </c>
      <c r="I7323" s="59" t="str">
        <f>IF(OR($A7323="",$C7323="",$D7323="",$E7323="",$H7323=""),"",SUMIFS(DATA_GOC!$H:$H,DATA_GOC!$A:$A,"BOM",DATA_GOC!$D:$D,$H7323,DATA_GOC!$E:$E,$C7323,DATA_GOC!$F:$F,"Xuất nội bộ từ téc",DATA_GOC!$B:$B,"&gt;="&amp;$D7323,DATA_GOC!$B:$B,"&lt;="&amp;$E7323))</f>
        <v/>
      </c>
      <c r="J7323" s="59">
        <f t="shared" si="28"/>
        <v>0</v>
      </c>
      <c r="K7323" s="59">
        <f t="shared" si="29"/>
        <v>0</v>
      </c>
      <c r="L7323" s="59">
        <f t="shared" si="30"/>
        <v>0</v>
      </c>
      <c r="M7323" s="59">
        <f t="shared" si="31"/>
        <v>0</v>
      </c>
    </row>
    <row r="7324" ht="15.0" hidden="1" customHeight="1">
      <c r="A7324" s="59">
        <f t="shared" si="20"/>
        <v>119</v>
      </c>
      <c r="B7324" s="59" t="str">
        <f t="shared" si="21"/>
        <v/>
      </c>
      <c r="C7324" s="59" t="str">
        <f t="shared" si="22"/>
        <v/>
      </c>
      <c r="D7324" s="45" t="str">
        <f t="shared" si="23"/>
        <v/>
      </c>
      <c r="E7324" s="45" t="str">
        <f t="shared" si="24"/>
        <v/>
      </c>
      <c r="F7324" s="59" t="str">
        <f t="shared" si="25"/>
        <v/>
      </c>
      <c r="G7324" s="59" t="str">
        <f t="shared" si="26"/>
        <v/>
      </c>
      <c r="H7324" s="59" t="str">
        <f t="shared" si="27"/>
        <v>28C02410</v>
      </c>
      <c r="I7324" s="59" t="str">
        <f>IF(OR($A7324="",$C7324="",$D7324="",$E7324="",$H7324=""),"",SUMIFS(DATA_GOC!$H:$H,DATA_GOC!$A:$A,"BOM",DATA_GOC!$D:$D,$H7324,DATA_GOC!$E:$E,$C7324,DATA_GOC!$F:$F,"Xuất nội bộ từ téc",DATA_GOC!$B:$B,"&gt;="&amp;$D7324,DATA_GOC!$B:$B,"&lt;="&amp;$E7324))</f>
        <v/>
      </c>
      <c r="J7324" s="59">
        <f t="shared" si="28"/>
        <v>0</v>
      </c>
      <c r="K7324" s="59">
        <f t="shared" si="29"/>
        <v>0</v>
      </c>
      <c r="L7324" s="59">
        <f t="shared" si="30"/>
        <v>0</v>
      </c>
      <c r="M7324" s="59">
        <f t="shared" si="31"/>
        <v>0</v>
      </c>
    </row>
    <row r="7325" ht="15.0" hidden="1" customHeight="1">
      <c r="A7325" s="59">
        <f t="shared" si="20"/>
        <v>119</v>
      </c>
      <c r="B7325" s="59" t="str">
        <f t="shared" si="21"/>
        <v/>
      </c>
      <c r="C7325" s="59" t="str">
        <f t="shared" si="22"/>
        <v/>
      </c>
      <c r="D7325" s="45" t="str">
        <f t="shared" si="23"/>
        <v/>
      </c>
      <c r="E7325" s="45" t="str">
        <f t="shared" si="24"/>
        <v/>
      </c>
      <c r="F7325" s="59" t="str">
        <f t="shared" si="25"/>
        <v/>
      </c>
      <c r="G7325" s="59" t="str">
        <f t="shared" si="26"/>
        <v/>
      </c>
      <c r="H7325" s="59" t="str">
        <f t="shared" si="27"/>
        <v>28C02545</v>
      </c>
      <c r="I7325" s="59" t="str">
        <f>IF(OR($A7325="",$C7325="",$D7325="",$E7325="",$H7325=""),"",SUMIFS(DATA_GOC!$H:$H,DATA_GOC!$A:$A,"BOM",DATA_GOC!$D:$D,$H7325,DATA_GOC!$E:$E,$C7325,DATA_GOC!$F:$F,"Xuất nội bộ từ téc",DATA_GOC!$B:$B,"&gt;="&amp;$D7325,DATA_GOC!$B:$B,"&lt;="&amp;$E7325))</f>
        <v/>
      </c>
      <c r="J7325" s="59">
        <f t="shared" si="28"/>
        <v>0</v>
      </c>
      <c r="K7325" s="59">
        <f t="shared" si="29"/>
        <v>0</v>
      </c>
      <c r="L7325" s="59">
        <f t="shared" si="30"/>
        <v>0</v>
      </c>
      <c r="M7325" s="59">
        <f t="shared" si="31"/>
        <v>0</v>
      </c>
    </row>
    <row r="7326" ht="15.0" hidden="1" customHeight="1">
      <c r="A7326" s="59">
        <f t="shared" si="20"/>
        <v>119</v>
      </c>
      <c r="B7326" s="59" t="str">
        <f t="shared" si="21"/>
        <v/>
      </c>
      <c r="C7326" s="59" t="str">
        <f t="shared" si="22"/>
        <v/>
      </c>
      <c r="D7326" s="45" t="str">
        <f t="shared" si="23"/>
        <v/>
      </c>
      <c r="E7326" s="45" t="str">
        <f t="shared" si="24"/>
        <v/>
      </c>
      <c r="F7326" s="59" t="str">
        <f t="shared" si="25"/>
        <v/>
      </c>
      <c r="G7326" s="59" t="str">
        <f t="shared" si="26"/>
        <v/>
      </c>
      <c r="H7326" s="59" t="str">
        <f t="shared" si="27"/>
        <v>28C02574</v>
      </c>
      <c r="I7326" s="59" t="str">
        <f>IF(OR($A7326="",$C7326="",$D7326="",$E7326="",$H7326=""),"",SUMIFS(DATA_GOC!$H:$H,DATA_GOC!$A:$A,"BOM",DATA_GOC!$D:$D,$H7326,DATA_GOC!$E:$E,$C7326,DATA_GOC!$F:$F,"Xuất nội bộ từ téc",DATA_GOC!$B:$B,"&gt;="&amp;$D7326,DATA_GOC!$B:$B,"&lt;="&amp;$E7326))</f>
        <v/>
      </c>
      <c r="J7326" s="59">
        <f t="shared" si="28"/>
        <v>0</v>
      </c>
      <c r="K7326" s="59">
        <f t="shared" si="29"/>
        <v>0</v>
      </c>
      <c r="L7326" s="59">
        <f t="shared" si="30"/>
        <v>0</v>
      </c>
      <c r="M7326" s="59">
        <f t="shared" si="31"/>
        <v>0</v>
      </c>
    </row>
    <row r="7327" ht="15.0" hidden="1" customHeight="1">
      <c r="A7327" s="59">
        <f t="shared" si="20"/>
        <v>119</v>
      </c>
      <c r="B7327" s="59" t="str">
        <f t="shared" si="21"/>
        <v/>
      </c>
      <c r="C7327" s="59" t="str">
        <f t="shared" si="22"/>
        <v/>
      </c>
      <c r="D7327" s="45" t="str">
        <f t="shared" si="23"/>
        <v/>
      </c>
      <c r="E7327" s="45" t="str">
        <f t="shared" si="24"/>
        <v/>
      </c>
      <c r="F7327" s="59" t="str">
        <f t="shared" si="25"/>
        <v/>
      </c>
      <c r="G7327" s="59" t="str">
        <f t="shared" si="26"/>
        <v/>
      </c>
      <c r="H7327" s="59" t="str">
        <f t="shared" si="27"/>
        <v>28C02770</v>
      </c>
      <c r="I7327" s="59" t="str">
        <f>IF(OR($A7327="",$C7327="",$D7327="",$E7327="",$H7327=""),"",SUMIFS(DATA_GOC!$H:$H,DATA_GOC!$A:$A,"BOM",DATA_GOC!$D:$D,$H7327,DATA_GOC!$E:$E,$C7327,DATA_GOC!$F:$F,"Xuất nội bộ từ téc",DATA_GOC!$B:$B,"&gt;="&amp;$D7327,DATA_GOC!$B:$B,"&lt;="&amp;$E7327))</f>
        <v/>
      </c>
      <c r="J7327" s="59">
        <f t="shared" si="28"/>
        <v>0</v>
      </c>
      <c r="K7327" s="59">
        <f t="shared" si="29"/>
        <v>0</v>
      </c>
      <c r="L7327" s="59">
        <f t="shared" si="30"/>
        <v>0</v>
      </c>
      <c r="M7327" s="59">
        <f t="shared" si="31"/>
        <v>0</v>
      </c>
    </row>
    <row r="7328" ht="15.0" hidden="1" customHeight="1">
      <c r="A7328" s="59">
        <f t="shared" si="20"/>
        <v>119</v>
      </c>
      <c r="B7328" s="59" t="str">
        <f t="shared" si="21"/>
        <v/>
      </c>
      <c r="C7328" s="59" t="str">
        <f t="shared" si="22"/>
        <v/>
      </c>
      <c r="D7328" s="45" t="str">
        <f t="shared" si="23"/>
        <v/>
      </c>
      <c r="E7328" s="45" t="str">
        <f t="shared" si="24"/>
        <v/>
      </c>
      <c r="F7328" s="59" t="str">
        <f t="shared" si="25"/>
        <v/>
      </c>
      <c r="G7328" s="59" t="str">
        <f t="shared" si="26"/>
        <v/>
      </c>
      <c r="H7328" s="59" t="str">
        <f t="shared" si="27"/>
        <v>28C02986</v>
      </c>
      <c r="I7328" s="59" t="str">
        <f>IF(OR($A7328="",$C7328="",$D7328="",$E7328="",$H7328=""),"",SUMIFS(DATA_GOC!$H:$H,DATA_GOC!$A:$A,"BOM",DATA_GOC!$D:$D,$H7328,DATA_GOC!$E:$E,$C7328,DATA_GOC!$F:$F,"Xuất nội bộ từ téc",DATA_GOC!$B:$B,"&gt;="&amp;$D7328,DATA_GOC!$B:$B,"&lt;="&amp;$E7328))</f>
        <v/>
      </c>
      <c r="J7328" s="59">
        <f t="shared" si="28"/>
        <v>0</v>
      </c>
      <c r="K7328" s="59">
        <f t="shared" si="29"/>
        <v>0</v>
      </c>
      <c r="L7328" s="59">
        <f t="shared" si="30"/>
        <v>0</v>
      </c>
      <c r="M7328" s="59">
        <f t="shared" si="31"/>
        <v>0</v>
      </c>
    </row>
    <row r="7329" ht="15.0" hidden="1" customHeight="1">
      <c r="A7329" s="59">
        <f t="shared" si="20"/>
        <v>119</v>
      </c>
      <c r="B7329" s="59" t="str">
        <f t="shared" si="21"/>
        <v/>
      </c>
      <c r="C7329" s="59" t="str">
        <f t="shared" si="22"/>
        <v/>
      </c>
      <c r="D7329" s="45" t="str">
        <f t="shared" si="23"/>
        <v/>
      </c>
      <c r="E7329" s="45" t="str">
        <f t="shared" si="24"/>
        <v/>
      </c>
      <c r="F7329" s="59" t="str">
        <f t="shared" si="25"/>
        <v/>
      </c>
      <c r="G7329" s="59" t="str">
        <f t="shared" si="26"/>
        <v/>
      </c>
      <c r="H7329" s="59" t="str">
        <f t="shared" si="27"/>
        <v>28C03261</v>
      </c>
      <c r="I7329" s="59" t="str">
        <f>IF(OR($A7329="",$C7329="",$D7329="",$E7329="",$H7329=""),"",SUMIFS(DATA_GOC!$H:$H,DATA_GOC!$A:$A,"BOM",DATA_GOC!$D:$D,$H7329,DATA_GOC!$E:$E,$C7329,DATA_GOC!$F:$F,"Xuất nội bộ từ téc",DATA_GOC!$B:$B,"&gt;="&amp;$D7329,DATA_GOC!$B:$B,"&lt;="&amp;$E7329))</f>
        <v/>
      </c>
      <c r="J7329" s="59">
        <f t="shared" si="28"/>
        <v>0</v>
      </c>
      <c r="K7329" s="59">
        <f t="shared" si="29"/>
        <v>0</v>
      </c>
      <c r="L7329" s="59">
        <f t="shared" si="30"/>
        <v>0</v>
      </c>
      <c r="M7329" s="59">
        <f t="shared" si="31"/>
        <v>0</v>
      </c>
    </row>
    <row r="7330" ht="15.0" hidden="1" customHeight="1">
      <c r="A7330" s="59">
        <f t="shared" si="20"/>
        <v>119</v>
      </c>
      <c r="B7330" s="59" t="str">
        <f t="shared" si="21"/>
        <v/>
      </c>
      <c r="C7330" s="59" t="str">
        <f t="shared" si="22"/>
        <v/>
      </c>
      <c r="D7330" s="45" t="str">
        <f t="shared" si="23"/>
        <v/>
      </c>
      <c r="E7330" s="45" t="str">
        <f t="shared" si="24"/>
        <v/>
      </c>
      <c r="F7330" s="59" t="str">
        <f t="shared" si="25"/>
        <v/>
      </c>
      <c r="G7330" s="59" t="str">
        <f t="shared" si="26"/>
        <v/>
      </c>
      <c r="H7330" s="59" t="str">
        <f t="shared" si="27"/>
        <v>28C03323</v>
      </c>
      <c r="I7330" s="59" t="str">
        <f>IF(OR($A7330="",$C7330="",$D7330="",$E7330="",$H7330=""),"",SUMIFS(DATA_GOC!$H:$H,DATA_GOC!$A:$A,"BOM",DATA_GOC!$D:$D,$H7330,DATA_GOC!$E:$E,$C7330,DATA_GOC!$F:$F,"Xuất nội bộ từ téc",DATA_GOC!$B:$B,"&gt;="&amp;$D7330,DATA_GOC!$B:$B,"&lt;="&amp;$E7330))</f>
        <v/>
      </c>
      <c r="J7330" s="59">
        <f t="shared" si="28"/>
        <v>0</v>
      </c>
      <c r="K7330" s="59">
        <f t="shared" si="29"/>
        <v>0</v>
      </c>
      <c r="L7330" s="59">
        <f t="shared" si="30"/>
        <v>0</v>
      </c>
      <c r="M7330" s="59">
        <f t="shared" si="31"/>
        <v>0</v>
      </c>
    </row>
    <row r="7331" ht="15.0" hidden="1" customHeight="1">
      <c r="A7331" s="59">
        <f t="shared" si="20"/>
        <v>119</v>
      </c>
      <c r="B7331" s="59" t="str">
        <f t="shared" si="21"/>
        <v/>
      </c>
      <c r="C7331" s="59" t="str">
        <f t="shared" si="22"/>
        <v/>
      </c>
      <c r="D7331" s="45" t="str">
        <f t="shared" si="23"/>
        <v/>
      </c>
      <c r="E7331" s="45" t="str">
        <f t="shared" si="24"/>
        <v/>
      </c>
      <c r="F7331" s="59" t="str">
        <f t="shared" si="25"/>
        <v/>
      </c>
      <c r="G7331" s="59" t="str">
        <f t="shared" si="26"/>
        <v/>
      </c>
      <c r="H7331" s="59" t="str">
        <f t="shared" si="27"/>
        <v>28C03385</v>
      </c>
      <c r="I7331" s="59" t="str">
        <f>IF(OR($A7331="",$C7331="",$D7331="",$E7331="",$H7331=""),"",SUMIFS(DATA_GOC!$H:$H,DATA_GOC!$A:$A,"BOM",DATA_GOC!$D:$D,$H7331,DATA_GOC!$E:$E,$C7331,DATA_GOC!$F:$F,"Xuất nội bộ từ téc",DATA_GOC!$B:$B,"&gt;="&amp;$D7331,DATA_GOC!$B:$B,"&lt;="&amp;$E7331))</f>
        <v/>
      </c>
      <c r="J7331" s="59">
        <f t="shared" si="28"/>
        <v>0</v>
      </c>
      <c r="K7331" s="59">
        <f t="shared" si="29"/>
        <v>0</v>
      </c>
      <c r="L7331" s="59">
        <f t="shared" si="30"/>
        <v>0</v>
      </c>
      <c r="M7331" s="59">
        <f t="shared" si="31"/>
        <v>0</v>
      </c>
    </row>
    <row r="7332" ht="15.0" hidden="1" customHeight="1">
      <c r="A7332" s="59">
        <f t="shared" si="20"/>
        <v>119</v>
      </c>
      <c r="B7332" s="59" t="str">
        <f t="shared" si="21"/>
        <v/>
      </c>
      <c r="C7332" s="59" t="str">
        <f t="shared" si="22"/>
        <v/>
      </c>
      <c r="D7332" s="45" t="str">
        <f t="shared" si="23"/>
        <v/>
      </c>
      <c r="E7332" s="45" t="str">
        <f t="shared" si="24"/>
        <v/>
      </c>
      <c r="F7332" s="59" t="str">
        <f t="shared" si="25"/>
        <v/>
      </c>
      <c r="G7332" s="59" t="str">
        <f t="shared" si="26"/>
        <v/>
      </c>
      <c r="H7332" s="59" t="str">
        <f t="shared" si="27"/>
        <v>28C03652</v>
      </c>
      <c r="I7332" s="59" t="str">
        <f>IF(OR($A7332="",$C7332="",$D7332="",$E7332="",$H7332=""),"",SUMIFS(DATA_GOC!$H:$H,DATA_GOC!$A:$A,"BOM",DATA_GOC!$D:$D,$H7332,DATA_GOC!$E:$E,$C7332,DATA_GOC!$F:$F,"Xuất nội bộ từ téc",DATA_GOC!$B:$B,"&gt;="&amp;$D7332,DATA_GOC!$B:$B,"&lt;="&amp;$E7332))</f>
        <v/>
      </c>
      <c r="J7332" s="59">
        <f t="shared" si="28"/>
        <v>0</v>
      </c>
      <c r="K7332" s="59">
        <f t="shared" si="29"/>
        <v>0</v>
      </c>
      <c r="L7332" s="59">
        <f t="shared" si="30"/>
        <v>0</v>
      </c>
      <c r="M7332" s="59">
        <f t="shared" si="31"/>
        <v>0</v>
      </c>
    </row>
    <row r="7333" ht="15.0" hidden="1" customHeight="1">
      <c r="A7333" s="59">
        <f t="shared" si="20"/>
        <v>119</v>
      </c>
      <c r="B7333" s="59" t="str">
        <f t="shared" si="21"/>
        <v/>
      </c>
      <c r="C7333" s="59" t="str">
        <f t="shared" si="22"/>
        <v/>
      </c>
      <c r="D7333" s="45" t="str">
        <f t="shared" si="23"/>
        <v/>
      </c>
      <c r="E7333" s="45" t="str">
        <f t="shared" si="24"/>
        <v/>
      </c>
      <c r="F7333" s="59" t="str">
        <f t="shared" si="25"/>
        <v/>
      </c>
      <c r="G7333" s="59" t="str">
        <f t="shared" si="26"/>
        <v/>
      </c>
      <c r="H7333" s="59" t="str">
        <f t="shared" si="27"/>
        <v>28C03695</v>
      </c>
      <c r="I7333" s="59" t="str">
        <f>IF(OR($A7333="",$C7333="",$D7333="",$E7333="",$H7333=""),"",SUMIFS(DATA_GOC!$H:$H,DATA_GOC!$A:$A,"BOM",DATA_GOC!$D:$D,$H7333,DATA_GOC!$E:$E,$C7333,DATA_GOC!$F:$F,"Xuất nội bộ từ téc",DATA_GOC!$B:$B,"&gt;="&amp;$D7333,DATA_GOC!$B:$B,"&lt;="&amp;$E7333))</f>
        <v/>
      </c>
      <c r="J7333" s="59">
        <f t="shared" si="28"/>
        <v>0</v>
      </c>
      <c r="K7333" s="59">
        <f t="shared" si="29"/>
        <v>0</v>
      </c>
      <c r="L7333" s="59">
        <f t="shared" si="30"/>
        <v>0</v>
      </c>
      <c r="M7333" s="59">
        <f t="shared" si="31"/>
        <v>0</v>
      </c>
    </row>
    <row r="7334" ht="15.0" hidden="1" customHeight="1">
      <c r="A7334" s="59">
        <f t="shared" si="20"/>
        <v>119</v>
      </c>
      <c r="B7334" s="59" t="str">
        <f t="shared" si="21"/>
        <v/>
      </c>
      <c r="C7334" s="59" t="str">
        <f t="shared" si="22"/>
        <v/>
      </c>
      <c r="D7334" s="45" t="str">
        <f t="shared" si="23"/>
        <v/>
      </c>
      <c r="E7334" s="45" t="str">
        <f t="shared" si="24"/>
        <v/>
      </c>
      <c r="F7334" s="59" t="str">
        <f t="shared" si="25"/>
        <v/>
      </c>
      <c r="G7334" s="59" t="str">
        <f t="shared" si="26"/>
        <v/>
      </c>
      <c r="H7334" s="59" t="str">
        <f t="shared" si="27"/>
        <v>28C03927</v>
      </c>
      <c r="I7334" s="59" t="str">
        <f>IF(OR($A7334="",$C7334="",$D7334="",$E7334="",$H7334=""),"",SUMIFS(DATA_GOC!$H:$H,DATA_GOC!$A:$A,"BOM",DATA_GOC!$D:$D,$H7334,DATA_GOC!$E:$E,$C7334,DATA_GOC!$F:$F,"Xuất nội bộ từ téc",DATA_GOC!$B:$B,"&gt;="&amp;$D7334,DATA_GOC!$B:$B,"&lt;="&amp;$E7334))</f>
        <v/>
      </c>
      <c r="J7334" s="59">
        <f t="shared" si="28"/>
        <v>0</v>
      </c>
      <c r="K7334" s="59">
        <f t="shared" si="29"/>
        <v>0</v>
      </c>
      <c r="L7334" s="59">
        <f t="shared" si="30"/>
        <v>0</v>
      </c>
      <c r="M7334" s="59">
        <f t="shared" si="31"/>
        <v>0</v>
      </c>
    </row>
    <row r="7335" ht="15.0" hidden="1" customHeight="1">
      <c r="A7335" s="59">
        <f t="shared" si="20"/>
        <v>119</v>
      </c>
      <c r="B7335" s="59" t="str">
        <f t="shared" si="21"/>
        <v/>
      </c>
      <c r="C7335" s="59" t="str">
        <f t="shared" si="22"/>
        <v/>
      </c>
      <c r="D7335" s="45" t="str">
        <f t="shared" si="23"/>
        <v/>
      </c>
      <c r="E7335" s="45" t="str">
        <f t="shared" si="24"/>
        <v/>
      </c>
      <c r="F7335" s="59" t="str">
        <f t="shared" si="25"/>
        <v/>
      </c>
      <c r="G7335" s="59" t="str">
        <f t="shared" si="26"/>
        <v/>
      </c>
      <c r="H7335" s="59" t="str">
        <f t="shared" si="27"/>
        <v>28C04509</v>
      </c>
      <c r="I7335" s="59" t="str">
        <f>IF(OR($A7335="",$C7335="",$D7335="",$E7335="",$H7335=""),"",SUMIFS(DATA_GOC!$H:$H,DATA_GOC!$A:$A,"BOM",DATA_GOC!$D:$D,$H7335,DATA_GOC!$E:$E,$C7335,DATA_GOC!$F:$F,"Xuất nội bộ từ téc",DATA_GOC!$B:$B,"&gt;="&amp;$D7335,DATA_GOC!$B:$B,"&lt;="&amp;$E7335))</f>
        <v/>
      </c>
      <c r="J7335" s="59">
        <f t="shared" si="28"/>
        <v>0</v>
      </c>
      <c r="K7335" s="59">
        <f t="shared" si="29"/>
        <v>0</v>
      </c>
      <c r="L7335" s="59">
        <f t="shared" si="30"/>
        <v>0</v>
      </c>
      <c r="M7335" s="59">
        <f t="shared" si="31"/>
        <v>0</v>
      </c>
    </row>
    <row r="7336" ht="15.0" hidden="1" customHeight="1">
      <c r="A7336" s="59">
        <f t="shared" si="20"/>
        <v>119</v>
      </c>
      <c r="B7336" s="59" t="str">
        <f t="shared" si="21"/>
        <v/>
      </c>
      <c r="C7336" s="59" t="str">
        <f t="shared" si="22"/>
        <v/>
      </c>
      <c r="D7336" s="45" t="str">
        <f t="shared" si="23"/>
        <v/>
      </c>
      <c r="E7336" s="45" t="str">
        <f t="shared" si="24"/>
        <v/>
      </c>
      <c r="F7336" s="59" t="str">
        <f t="shared" si="25"/>
        <v/>
      </c>
      <c r="G7336" s="59" t="str">
        <f t="shared" si="26"/>
        <v/>
      </c>
      <c r="H7336" s="59" t="str">
        <f t="shared" si="27"/>
        <v>28C04536</v>
      </c>
      <c r="I7336" s="59" t="str">
        <f>IF(OR($A7336="",$C7336="",$D7336="",$E7336="",$H7336=""),"",SUMIFS(DATA_GOC!$H:$H,DATA_GOC!$A:$A,"BOM",DATA_GOC!$D:$D,$H7336,DATA_GOC!$E:$E,$C7336,DATA_GOC!$F:$F,"Xuất nội bộ từ téc",DATA_GOC!$B:$B,"&gt;="&amp;$D7336,DATA_GOC!$B:$B,"&lt;="&amp;$E7336))</f>
        <v/>
      </c>
      <c r="J7336" s="59">
        <f t="shared" si="28"/>
        <v>0</v>
      </c>
      <c r="K7336" s="59">
        <f t="shared" si="29"/>
        <v>0</v>
      </c>
      <c r="L7336" s="59">
        <f t="shared" si="30"/>
        <v>0</v>
      </c>
      <c r="M7336" s="59">
        <f t="shared" si="31"/>
        <v>0</v>
      </c>
    </row>
    <row r="7337" ht="15.0" hidden="1" customHeight="1">
      <c r="A7337" s="59">
        <f t="shared" si="20"/>
        <v>119</v>
      </c>
      <c r="B7337" s="59" t="str">
        <f t="shared" si="21"/>
        <v/>
      </c>
      <c r="C7337" s="59" t="str">
        <f t="shared" si="22"/>
        <v/>
      </c>
      <c r="D7337" s="45" t="str">
        <f t="shared" si="23"/>
        <v/>
      </c>
      <c r="E7337" s="45" t="str">
        <f t="shared" si="24"/>
        <v/>
      </c>
      <c r="F7337" s="59" t="str">
        <f t="shared" si="25"/>
        <v/>
      </c>
      <c r="G7337" s="59" t="str">
        <f t="shared" si="26"/>
        <v/>
      </c>
      <c r="H7337" s="59" t="str">
        <f t="shared" si="27"/>
        <v>28C04576</v>
      </c>
      <c r="I7337" s="59" t="str">
        <f>IF(OR($A7337="",$C7337="",$D7337="",$E7337="",$H7337=""),"",SUMIFS(DATA_GOC!$H:$H,DATA_GOC!$A:$A,"BOM",DATA_GOC!$D:$D,$H7337,DATA_GOC!$E:$E,$C7337,DATA_GOC!$F:$F,"Xuất nội bộ từ téc",DATA_GOC!$B:$B,"&gt;="&amp;$D7337,DATA_GOC!$B:$B,"&lt;="&amp;$E7337))</f>
        <v/>
      </c>
      <c r="J7337" s="59">
        <f t="shared" si="28"/>
        <v>0</v>
      </c>
      <c r="K7337" s="59">
        <f t="shared" si="29"/>
        <v>0</v>
      </c>
      <c r="L7337" s="59">
        <f t="shared" si="30"/>
        <v>0</v>
      </c>
      <c r="M7337" s="59">
        <f t="shared" si="31"/>
        <v>0</v>
      </c>
    </row>
    <row r="7338" ht="15.0" hidden="1" customHeight="1">
      <c r="A7338" s="59">
        <f t="shared" si="20"/>
        <v>119</v>
      </c>
      <c r="B7338" s="59" t="str">
        <f t="shared" si="21"/>
        <v/>
      </c>
      <c r="C7338" s="59" t="str">
        <f t="shared" si="22"/>
        <v/>
      </c>
      <c r="D7338" s="45" t="str">
        <f t="shared" si="23"/>
        <v/>
      </c>
      <c r="E7338" s="45" t="str">
        <f t="shared" si="24"/>
        <v/>
      </c>
      <c r="F7338" s="59" t="str">
        <f t="shared" si="25"/>
        <v/>
      </c>
      <c r="G7338" s="59" t="str">
        <f t="shared" si="26"/>
        <v/>
      </c>
      <c r="H7338" s="59" t="str">
        <f t="shared" si="27"/>
        <v>28C05090</v>
      </c>
      <c r="I7338" s="59" t="str">
        <f>IF(OR($A7338="",$C7338="",$D7338="",$E7338="",$H7338=""),"",SUMIFS(DATA_GOC!$H:$H,DATA_GOC!$A:$A,"BOM",DATA_GOC!$D:$D,$H7338,DATA_GOC!$E:$E,$C7338,DATA_GOC!$F:$F,"Xuất nội bộ từ téc",DATA_GOC!$B:$B,"&gt;="&amp;$D7338,DATA_GOC!$B:$B,"&lt;="&amp;$E7338))</f>
        <v/>
      </c>
      <c r="J7338" s="59">
        <f t="shared" si="28"/>
        <v>0</v>
      </c>
      <c r="K7338" s="59">
        <f t="shared" si="29"/>
        <v>0</v>
      </c>
      <c r="L7338" s="59">
        <f t="shared" si="30"/>
        <v>0</v>
      </c>
      <c r="M7338" s="59">
        <f t="shared" si="31"/>
        <v>0</v>
      </c>
    </row>
    <row r="7339" ht="15.0" hidden="1" customHeight="1">
      <c r="A7339" s="59">
        <f t="shared" si="20"/>
        <v>119</v>
      </c>
      <c r="B7339" s="59" t="str">
        <f t="shared" si="21"/>
        <v/>
      </c>
      <c r="C7339" s="59" t="str">
        <f t="shared" si="22"/>
        <v/>
      </c>
      <c r="D7339" s="45" t="str">
        <f t="shared" si="23"/>
        <v/>
      </c>
      <c r="E7339" s="45" t="str">
        <f t="shared" si="24"/>
        <v/>
      </c>
      <c r="F7339" s="59" t="str">
        <f t="shared" si="25"/>
        <v/>
      </c>
      <c r="G7339" s="59" t="str">
        <f t="shared" si="26"/>
        <v/>
      </c>
      <c r="H7339" s="59" t="str">
        <f t="shared" si="27"/>
        <v>28C05345</v>
      </c>
      <c r="I7339" s="59" t="str">
        <f>IF(OR($A7339="",$C7339="",$D7339="",$E7339="",$H7339=""),"",SUMIFS(DATA_GOC!$H:$H,DATA_GOC!$A:$A,"BOM",DATA_GOC!$D:$D,$H7339,DATA_GOC!$E:$E,$C7339,DATA_GOC!$F:$F,"Xuất nội bộ từ téc",DATA_GOC!$B:$B,"&gt;="&amp;$D7339,DATA_GOC!$B:$B,"&lt;="&amp;$E7339))</f>
        <v/>
      </c>
      <c r="J7339" s="59">
        <f t="shared" si="28"/>
        <v>0</v>
      </c>
      <c r="K7339" s="59">
        <f t="shared" si="29"/>
        <v>0</v>
      </c>
      <c r="L7339" s="59">
        <f t="shared" si="30"/>
        <v>0</v>
      </c>
      <c r="M7339" s="59">
        <f t="shared" si="31"/>
        <v>0</v>
      </c>
    </row>
    <row r="7340" ht="15.0" hidden="1" customHeight="1">
      <c r="A7340" s="59">
        <f t="shared" si="20"/>
        <v>119</v>
      </c>
      <c r="B7340" s="59" t="str">
        <f t="shared" si="21"/>
        <v/>
      </c>
      <c r="C7340" s="59" t="str">
        <f t="shared" si="22"/>
        <v/>
      </c>
      <c r="D7340" s="45" t="str">
        <f t="shared" si="23"/>
        <v/>
      </c>
      <c r="E7340" s="45" t="str">
        <f t="shared" si="24"/>
        <v/>
      </c>
      <c r="F7340" s="59" t="str">
        <f t="shared" si="25"/>
        <v/>
      </c>
      <c r="G7340" s="59" t="str">
        <f t="shared" si="26"/>
        <v/>
      </c>
      <c r="H7340" s="59" t="str">
        <f t="shared" si="27"/>
        <v>28C05661</v>
      </c>
      <c r="I7340" s="59" t="str">
        <f>IF(OR($A7340="",$C7340="",$D7340="",$E7340="",$H7340=""),"",SUMIFS(DATA_GOC!$H:$H,DATA_GOC!$A:$A,"BOM",DATA_GOC!$D:$D,$H7340,DATA_GOC!$E:$E,$C7340,DATA_GOC!$F:$F,"Xuất nội bộ từ téc",DATA_GOC!$B:$B,"&gt;="&amp;$D7340,DATA_GOC!$B:$B,"&lt;="&amp;$E7340))</f>
        <v/>
      </c>
      <c r="J7340" s="59">
        <f t="shared" si="28"/>
        <v>0</v>
      </c>
      <c r="K7340" s="59">
        <f t="shared" si="29"/>
        <v>0</v>
      </c>
      <c r="L7340" s="59">
        <f t="shared" si="30"/>
        <v>0</v>
      </c>
      <c r="M7340" s="59">
        <f t="shared" si="31"/>
        <v>0</v>
      </c>
    </row>
    <row r="7341" ht="15.0" hidden="1" customHeight="1">
      <c r="A7341" s="59">
        <f t="shared" si="20"/>
        <v>119</v>
      </c>
      <c r="B7341" s="59" t="str">
        <f t="shared" si="21"/>
        <v/>
      </c>
      <c r="C7341" s="59" t="str">
        <f t="shared" si="22"/>
        <v/>
      </c>
      <c r="D7341" s="45" t="str">
        <f t="shared" si="23"/>
        <v/>
      </c>
      <c r="E7341" s="45" t="str">
        <f t="shared" si="24"/>
        <v/>
      </c>
      <c r="F7341" s="59" t="str">
        <f t="shared" si="25"/>
        <v/>
      </c>
      <c r="G7341" s="59" t="str">
        <f t="shared" si="26"/>
        <v/>
      </c>
      <c r="H7341" s="59" t="str">
        <f t="shared" si="27"/>
        <v>28C05739</v>
      </c>
      <c r="I7341" s="59" t="str">
        <f>IF(OR($A7341="",$C7341="",$D7341="",$E7341="",$H7341=""),"",SUMIFS(DATA_GOC!$H:$H,DATA_GOC!$A:$A,"BOM",DATA_GOC!$D:$D,$H7341,DATA_GOC!$E:$E,$C7341,DATA_GOC!$F:$F,"Xuất nội bộ từ téc",DATA_GOC!$B:$B,"&gt;="&amp;$D7341,DATA_GOC!$B:$B,"&lt;="&amp;$E7341))</f>
        <v/>
      </c>
      <c r="J7341" s="59">
        <f t="shared" si="28"/>
        <v>0</v>
      </c>
      <c r="K7341" s="59">
        <f t="shared" si="29"/>
        <v>0</v>
      </c>
      <c r="L7341" s="59">
        <f t="shared" si="30"/>
        <v>0</v>
      </c>
      <c r="M7341" s="59">
        <f t="shared" si="31"/>
        <v>0</v>
      </c>
    </row>
    <row r="7342" ht="15.0" hidden="1" customHeight="1">
      <c r="A7342" s="59">
        <f t="shared" si="20"/>
        <v>119</v>
      </c>
      <c r="B7342" s="59" t="str">
        <f t="shared" si="21"/>
        <v/>
      </c>
      <c r="C7342" s="59" t="str">
        <f t="shared" si="22"/>
        <v/>
      </c>
      <c r="D7342" s="45" t="str">
        <f t="shared" si="23"/>
        <v/>
      </c>
      <c r="E7342" s="45" t="str">
        <f t="shared" si="24"/>
        <v/>
      </c>
      <c r="F7342" s="59" t="str">
        <f t="shared" si="25"/>
        <v/>
      </c>
      <c r="G7342" s="59" t="str">
        <f t="shared" si="26"/>
        <v/>
      </c>
      <c r="H7342" s="59" t="str">
        <f t="shared" si="27"/>
        <v>28C06369</v>
      </c>
      <c r="I7342" s="59" t="str">
        <f>IF(OR($A7342="",$C7342="",$D7342="",$E7342="",$H7342=""),"",SUMIFS(DATA_GOC!$H:$H,DATA_GOC!$A:$A,"BOM",DATA_GOC!$D:$D,$H7342,DATA_GOC!$E:$E,$C7342,DATA_GOC!$F:$F,"Xuất nội bộ từ téc",DATA_GOC!$B:$B,"&gt;="&amp;$D7342,DATA_GOC!$B:$B,"&lt;="&amp;$E7342))</f>
        <v/>
      </c>
      <c r="J7342" s="59">
        <f t="shared" si="28"/>
        <v>0</v>
      </c>
      <c r="K7342" s="59">
        <f t="shared" si="29"/>
        <v>0</v>
      </c>
      <c r="L7342" s="59">
        <f t="shared" si="30"/>
        <v>0</v>
      </c>
      <c r="M7342" s="59">
        <f t="shared" si="31"/>
        <v>0</v>
      </c>
    </row>
    <row r="7343" ht="15.0" hidden="1" customHeight="1">
      <c r="A7343" s="59">
        <f t="shared" si="20"/>
        <v>119</v>
      </c>
      <c r="B7343" s="59" t="str">
        <f t="shared" si="21"/>
        <v/>
      </c>
      <c r="C7343" s="59" t="str">
        <f t="shared" si="22"/>
        <v/>
      </c>
      <c r="D7343" s="45" t="str">
        <f t="shared" si="23"/>
        <v/>
      </c>
      <c r="E7343" s="45" t="str">
        <f t="shared" si="24"/>
        <v/>
      </c>
      <c r="F7343" s="59" t="str">
        <f t="shared" si="25"/>
        <v/>
      </c>
      <c r="G7343" s="59" t="str">
        <f t="shared" si="26"/>
        <v/>
      </c>
      <c r="H7343" s="59" t="str">
        <f t="shared" si="27"/>
        <v>28C06447</v>
      </c>
      <c r="I7343" s="59" t="str">
        <f>IF(OR($A7343="",$C7343="",$D7343="",$E7343="",$H7343=""),"",SUMIFS(DATA_GOC!$H:$H,DATA_GOC!$A:$A,"BOM",DATA_GOC!$D:$D,$H7343,DATA_GOC!$E:$E,$C7343,DATA_GOC!$F:$F,"Xuất nội bộ từ téc",DATA_GOC!$B:$B,"&gt;="&amp;$D7343,DATA_GOC!$B:$B,"&lt;="&amp;$E7343))</f>
        <v/>
      </c>
      <c r="J7343" s="59">
        <f t="shared" si="28"/>
        <v>0</v>
      </c>
      <c r="K7343" s="59">
        <f t="shared" si="29"/>
        <v>0</v>
      </c>
      <c r="L7343" s="59">
        <f t="shared" si="30"/>
        <v>0</v>
      </c>
      <c r="M7343" s="59">
        <f t="shared" si="31"/>
        <v>0</v>
      </c>
    </row>
    <row r="7344" ht="15.0" hidden="1" customHeight="1">
      <c r="A7344" s="59">
        <f t="shared" si="20"/>
        <v>119</v>
      </c>
      <c r="B7344" s="59" t="str">
        <f t="shared" si="21"/>
        <v/>
      </c>
      <c r="C7344" s="59" t="str">
        <f t="shared" si="22"/>
        <v/>
      </c>
      <c r="D7344" s="45" t="str">
        <f t="shared" si="23"/>
        <v/>
      </c>
      <c r="E7344" s="45" t="str">
        <f t="shared" si="24"/>
        <v/>
      </c>
      <c r="F7344" s="59" t="str">
        <f t="shared" si="25"/>
        <v/>
      </c>
      <c r="G7344" s="59" t="str">
        <f t="shared" si="26"/>
        <v/>
      </c>
      <c r="H7344" s="59" t="str">
        <f t="shared" si="27"/>
        <v>28H00003</v>
      </c>
      <c r="I7344" s="59" t="str">
        <f>IF(OR($A7344="",$C7344="",$D7344="",$E7344="",$H7344=""),"",SUMIFS(DATA_GOC!$H:$H,DATA_GOC!$A:$A,"BOM",DATA_GOC!$D:$D,$H7344,DATA_GOC!$E:$E,$C7344,DATA_GOC!$F:$F,"Xuất nội bộ từ téc",DATA_GOC!$B:$B,"&gt;="&amp;$D7344,DATA_GOC!$B:$B,"&lt;="&amp;$E7344))</f>
        <v/>
      </c>
      <c r="J7344" s="59">
        <f t="shared" si="28"/>
        <v>0</v>
      </c>
      <c r="K7344" s="59">
        <f t="shared" si="29"/>
        <v>0</v>
      </c>
      <c r="L7344" s="59">
        <f t="shared" si="30"/>
        <v>0</v>
      </c>
      <c r="M7344" s="59">
        <f t="shared" si="31"/>
        <v>0</v>
      </c>
    </row>
    <row r="7345" ht="15.0" hidden="1" customHeight="1">
      <c r="A7345" s="59">
        <f t="shared" si="20"/>
        <v>119</v>
      </c>
      <c r="B7345" s="59" t="str">
        <f t="shared" si="21"/>
        <v/>
      </c>
      <c r="C7345" s="59" t="str">
        <f t="shared" si="22"/>
        <v/>
      </c>
      <c r="D7345" s="45" t="str">
        <f t="shared" si="23"/>
        <v/>
      </c>
      <c r="E7345" s="45" t="str">
        <f t="shared" si="24"/>
        <v/>
      </c>
      <c r="F7345" s="59" t="str">
        <f t="shared" si="25"/>
        <v/>
      </c>
      <c r="G7345" s="59" t="str">
        <f t="shared" si="26"/>
        <v/>
      </c>
      <c r="H7345" s="59" t="str">
        <f t="shared" si="27"/>
        <v>28H00061</v>
      </c>
      <c r="I7345" s="59" t="str">
        <f>IF(OR($A7345="",$C7345="",$D7345="",$E7345="",$H7345=""),"",SUMIFS(DATA_GOC!$H:$H,DATA_GOC!$A:$A,"BOM",DATA_GOC!$D:$D,$H7345,DATA_GOC!$E:$E,$C7345,DATA_GOC!$F:$F,"Xuất nội bộ từ téc",DATA_GOC!$B:$B,"&gt;="&amp;$D7345,DATA_GOC!$B:$B,"&lt;="&amp;$E7345))</f>
        <v/>
      </c>
      <c r="J7345" s="59">
        <f t="shared" si="28"/>
        <v>0</v>
      </c>
      <c r="K7345" s="59">
        <f t="shared" si="29"/>
        <v>0</v>
      </c>
      <c r="L7345" s="59">
        <f t="shared" si="30"/>
        <v>0</v>
      </c>
      <c r="M7345" s="59">
        <f t="shared" si="31"/>
        <v>0</v>
      </c>
    </row>
    <row r="7346" ht="15.0" hidden="1" customHeight="1">
      <c r="A7346" s="59">
        <f t="shared" si="20"/>
        <v>119</v>
      </c>
      <c r="B7346" s="59" t="str">
        <f t="shared" si="21"/>
        <v/>
      </c>
      <c r="C7346" s="59" t="str">
        <f t="shared" si="22"/>
        <v/>
      </c>
      <c r="D7346" s="45" t="str">
        <f t="shared" si="23"/>
        <v/>
      </c>
      <c r="E7346" s="45" t="str">
        <f t="shared" si="24"/>
        <v/>
      </c>
      <c r="F7346" s="59" t="str">
        <f t="shared" si="25"/>
        <v/>
      </c>
      <c r="G7346" s="59" t="str">
        <f t="shared" si="26"/>
        <v/>
      </c>
      <c r="H7346" s="59" t="str">
        <f t="shared" si="27"/>
        <v>28H00354</v>
      </c>
      <c r="I7346" s="59" t="str">
        <f>IF(OR($A7346="",$C7346="",$D7346="",$E7346="",$H7346=""),"",SUMIFS(DATA_GOC!$H:$H,DATA_GOC!$A:$A,"BOM",DATA_GOC!$D:$D,$H7346,DATA_GOC!$E:$E,$C7346,DATA_GOC!$F:$F,"Xuất nội bộ từ téc",DATA_GOC!$B:$B,"&gt;="&amp;$D7346,DATA_GOC!$B:$B,"&lt;="&amp;$E7346))</f>
        <v/>
      </c>
      <c r="J7346" s="59">
        <f t="shared" si="28"/>
        <v>0</v>
      </c>
      <c r="K7346" s="59">
        <f t="shared" si="29"/>
        <v>0</v>
      </c>
      <c r="L7346" s="59">
        <f t="shared" si="30"/>
        <v>0</v>
      </c>
      <c r="M7346" s="59">
        <f t="shared" si="31"/>
        <v>0</v>
      </c>
    </row>
    <row r="7347" ht="15.0" hidden="1" customHeight="1">
      <c r="A7347" s="59">
        <f t="shared" si="20"/>
        <v>119</v>
      </c>
      <c r="B7347" s="59" t="str">
        <f t="shared" si="21"/>
        <v/>
      </c>
      <c r="C7347" s="59" t="str">
        <f t="shared" si="22"/>
        <v/>
      </c>
      <c r="D7347" s="45" t="str">
        <f t="shared" si="23"/>
        <v/>
      </c>
      <c r="E7347" s="45" t="str">
        <f t="shared" si="24"/>
        <v/>
      </c>
      <c r="F7347" s="59" t="str">
        <f t="shared" si="25"/>
        <v/>
      </c>
      <c r="G7347" s="59" t="str">
        <f t="shared" si="26"/>
        <v/>
      </c>
      <c r="H7347" s="59" t="str">
        <f t="shared" si="27"/>
        <v>28H00603</v>
      </c>
      <c r="I7347" s="59" t="str">
        <f>IF(OR($A7347="",$C7347="",$D7347="",$E7347="",$H7347=""),"",SUMIFS(DATA_GOC!$H:$H,DATA_GOC!$A:$A,"BOM",DATA_GOC!$D:$D,$H7347,DATA_GOC!$E:$E,$C7347,DATA_GOC!$F:$F,"Xuất nội bộ từ téc",DATA_GOC!$B:$B,"&gt;="&amp;$D7347,DATA_GOC!$B:$B,"&lt;="&amp;$E7347))</f>
        <v/>
      </c>
      <c r="J7347" s="59">
        <f t="shared" si="28"/>
        <v>0</v>
      </c>
      <c r="K7347" s="59">
        <f t="shared" si="29"/>
        <v>0</v>
      </c>
      <c r="L7347" s="59">
        <f t="shared" si="30"/>
        <v>0</v>
      </c>
      <c r="M7347" s="59">
        <f t="shared" si="31"/>
        <v>0</v>
      </c>
    </row>
    <row r="7348" ht="15.0" hidden="1" customHeight="1">
      <c r="A7348" s="59">
        <f t="shared" si="20"/>
        <v>119</v>
      </c>
      <c r="B7348" s="59" t="str">
        <f t="shared" si="21"/>
        <v/>
      </c>
      <c r="C7348" s="59" t="str">
        <f t="shared" si="22"/>
        <v/>
      </c>
      <c r="D7348" s="45" t="str">
        <f t="shared" si="23"/>
        <v/>
      </c>
      <c r="E7348" s="45" t="str">
        <f t="shared" si="24"/>
        <v/>
      </c>
      <c r="F7348" s="59" t="str">
        <f t="shared" si="25"/>
        <v/>
      </c>
      <c r="G7348" s="59" t="str">
        <f t="shared" si="26"/>
        <v/>
      </c>
      <c r="H7348" s="59" t="str">
        <f t="shared" si="27"/>
        <v>28H00609</v>
      </c>
      <c r="I7348" s="59" t="str">
        <f>IF(OR($A7348="",$C7348="",$D7348="",$E7348="",$H7348=""),"",SUMIFS(DATA_GOC!$H:$H,DATA_GOC!$A:$A,"BOM",DATA_GOC!$D:$D,$H7348,DATA_GOC!$E:$E,$C7348,DATA_GOC!$F:$F,"Xuất nội bộ từ téc",DATA_GOC!$B:$B,"&gt;="&amp;$D7348,DATA_GOC!$B:$B,"&lt;="&amp;$E7348))</f>
        <v/>
      </c>
      <c r="J7348" s="59">
        <f t="shared" si="28"/>
        <v>0</v>
      </c>
      <c r="K7348" s="59">
        <f t="shared" si="29"/>
        <v>0</v>
      </c>
      <c r="L7348" s="59">
        <f t="shared" si="30"/>
        <v>0</v>
      </c>
      <c r="M7348" s="59">
        <f t="shared" si="31"/>
        <v>0</v>
      </c>
    </row>
    <row r="7349" ht="15.0" hidden="1" customHeight="1">
      <c r="A7349" s="59">
        <f t="shared" si="20"/>
        <v>119</v>
      </c>
      <c r="B7349" s="59" t="str">
        <f t="shared" si="21"/>
        <v/>
      </c>
      <c r="C7349" s="59" t="str">
        <f t="shared" si="22"/>
        <v/>
      </c>
      <c r="D7349" s="45" t="str">
        <f t="shared" si="23"/>
        <v/>
      </c>
      <c r="E7349" s="45" t="str">
        <f t="shared" si="24"/>
        <v/>
      </c>
      <c r="F7349" s="59" t="str">
        <f t="shared" si="25"/>
        <v/>
      </c>
      <c r="G7349" s="59" t="str">
        <f t="shared" si="26"/>
        <v/>
      </c>
      <c r="H7349" s="59" t="str">
        <f t="shared" si="27"/>
        <v>28H00669</v>
      </c>
      <c r="I7349" s="59" t="str">
        <f>IF(OR($A7349="",$C7349="",$D7349="",$E7349="",$H7349=""),"",SUMIFS(DATA_GOC!$H:$H,DATA_GOC!$A:$A,"BOM",DATA_GOC!$D:$D,$H7349,DATA_GOC!$E:$E,$C7349,DATA_GOC!$F:$F,"Xuất nội bộ từ téc",DATA_GOC!$B:$B,"&gt;="&amp;$D7349,DATA_GOC!$B:$B,"&lt;="&amp;$E7349))</f>
        <v/>
      </c>
      <c r="J7349" s="59">
        <f t="shared" si="28"/>
        <v>0</v>
      </c>
      <c r="K7349" s="59">
        <f t="shared" si="29"/>
        <v>0</v>
      </c>
      <c r="L7349" s="59">
        <f t="shared" si="30"/>
        <v>0</v>
      </c>
      <c r="M7349" s="59">
        <f t="shared" si="31"/>
        <v>0</v>
      </c>
    </row>
    <row r="7350" ht="15.0" hidden="1" customHeight="1">
      <c r="A7350" s="59">
        <f t="shared" si="20"/>
        <v>119</v>
      </c>
      <c r="B7350" s="59" t="str">
        <f t="shared" si="21"/>
        <v/>
      </c>
      <c r="C7350" s="59" t="str">
        <f t="shared" si="22"/>
        <v/>
      </c>
      <c r="D7350" s="45" t="str">
        <f t="shared" si="23"/>
        <v/>
      </c>
      <c r="E7350" s="45" t="str">
        <f t="shared" si="24"/>
        <v/>
      </c>
      <c r="F7350" s="59" t="str">
        <f t="shared" si="25"/>
        <v/>
      </c>
      <c r="G7350" s="59" t="str">
        <f t="shared" si="26"/>
        <v/>
      </c>
      <c r="H7350" s="59" t="str">
        <f t="shared" si="27"/>
        <v>28H00680</v>
      </c>
      <c r="I7350" s="59" t="str">
        <f>IF(OR($A7350="",$C7350="",$D7350="",$E7350="",$H7350=""),"",SUMIFS(DATA_GOC!$H:$H,DATA_GOC!$A:$A,"BOM",DATA_GOC!$D:$D,$H7350,DATA_GOC!$E:$E,$C7350,DATA_GOC!$F:$F,"Xuất nội bộ từ téc",DATA_GOC!$B:$B,"&gt;="&amp;$D7350,DATA_GOC!$B:$B,"&lt;="&amp;$E7350))</f>
        <v/>
      </c>
      <c r="J7350" s="59">
        <f t="shared" si="28"/>
        <v>0</v>
      </c>
      <c r="K7350" s="59">
        <f t="shared" si="29"/>
        <v>0</v>
      </c>
      <c r="L7350" s="59">
        <f t="shared" si="30"/>
        <v>0</v>
      </c>
      <c r="M7350" s="59">
        <f t="shared" si="31"/>
        <v>0</v>
      </c>
    </row>
    <row r="7351" ht="15.0" hidden="1" customHeight="1">
      <c r="A7351" s="59">
        <f t="shared" si="20"/>
        <v>119</v>
      </c>
      <c r="B7351" s="59" t="str">
        <f t="shared" si="21"/>
        <v/>
      </c>
      <c r="C7351" s="59" t="str">
        <f t="shared" si="22"/>
        <v/>
      </c>
      <c r="D7351" s="45" t="str">
        <f t="shared" si="23"/>
        <v/>
      </c>
      <c r="E7351" s="45" t="str">
        <f t="shared" si="24"/>
        <v/>
      </c>
      <c r="F7351" s="59" t="str">
        <f t="shared" si="25"/>
        <v/>
      </c>
      <c r="G7351" s="59" t="str">
        <f t="shared" si="26"/>
        <v/>
      </c>
      <c r="H7351" s="59" t="str">
        <f t="shared" si="27"/>
        <v>28H01070</v>
      </c>
      <c r="I7351" s="59" t="str">
        <f>IF(OR($A7351="",$C7351="",$D7351="",$E7351="",$H7351=""),"",SUMIFS(DATA_GOC!$H:$H,DATA_GOC!$A:$A,"BOM",DATA_GOC!$D:$D,$H7351,DATA_GOC!$E:$E,$C7351,DATA_GOC!$F:$F,"Xuất nội bộ từ téc",DATA_GOC!$B:$B,"&gt;="&amp;$D7351,DATA_GOC!$B:$B,"&lt;="&amp;$E7351))</f>
        <v/>
      </c>
      <c r="J7351" s="59">
        <f t="shared" si="28"/>
        <v>0</v>
      </c>
      <c r="K7351" s="59">
        <f t="shared" si="29"/>
        <v>0</v>
      </c>
      <c r="L7351" s="59">
        <f t="shared" si="30"/>
        <v>0</v>
      </c>
      <c r="M7351" s="59">
        <f t="shared" si="31"/>
        <v>0</v>
      </c>
    </row>
    <row r="7352" ht="15.0" hidden="1" customHeight="1">
      <c r="A7352" s="59">
        <f t="shared" si="20"/>
        <v>119</v>
      </c>
      <c r="B7352" s="59" t="str">
        <f t="shared" si="21"/>
        <v/>
      </c>
      <c r="C7352" s="59" t="str">
        <f t="shared" si="22"/>
        <v/>
      </c>
      <c r="D7352" s="45" t="str">
        <f t="shared" si="23"/>
        <v/>
      </c>
      <c r="E7352" s="45" t="str">
        <f t="shared" si="24"/>
        <v/>
      </c>
      <c r="F7352" s="59" t="str">
        <f t="shared" si="25"/>
        <v/>
      </c>
      <c r="G7352" s="59" t="str">
        <f t="shared" si="26"/>
        <v/>
      </c>
      <c r="H7352" s="59" t="str">
        <f t="shared" si="27"/>
        <v>28H01364</v>
      </c>
      <c r="I7352" s="59" t="str">
        <f>IF(OR($A7352="",$C7352="",$D7352="",$E7352="",$H7352=""),"",SUMIFS(DATA_GOC!$H:$H,DATA_GOC!$A:$A,"BOM",DATA_GOC!$D:$D,$H7352,DATA_GOC!$E:$E,$C7352,DATA_GOC!$F:$F,"Xuất nội bộ từ téc",DATA_GOC!$B:$B,"&gt;="&amp;$D7352,DATA_GOC!$B:$B,"&lt;="&amp;$E7352))</f>
        <v/>
      </c>
      <c r="J7352" s="59">
        <f t="shared" si="28"/>
        <v>0</v>
      </c>
      <c r="K7352" s="59">
        <f t="shared" si="29"/>
        <v>0</v>
      </c>
      <c r="L7352" s="59">
        <f t="shared" si="30"/>
        <v>0</v>
      </c>
      <c r="M7352" s="59">
        <f t="shared" si="31"/>
        <v>0</v>
      </c>
    </row>
    <row r="7353" ht="15.0" hidden="1" customHeight="1">
      <c r="A7353" s="59">
        <f t="shared" si="20"/>
        <v>119</v>
      </c>
      <c r="B7353" s="59" t="str">
        <f t="shared" si="21"/>
        <v/>
      </c>
      <c r="C7353" s="59" t="str">
        <f t="shared" si="22"/>
        <v/>
      </c>
      <c r="D7353" s="45" t="str">
        <f t="shared" si="23"/>
        <v/>
      </c>
      <c r="E7353" s="45" t="str">
        <f t="shared" si="24"/>
        <v/>
      </c>
      <c r="F7353" s="59" t="str">
        <f t="shared" si="25"/>
        <v/>
      </c>
      <c r="G7353" s="59" t="str">
        <f t="shared" si="26"/>
        <v/>
      </c>
      <c r="H7353" s="59" t="str">
        <f t="shared" si="27"/>
        <v>29E17269</v>
      </c>
      <c r="I7353" s="59" t="str">
        <f>IF(OR($A7353="",$C7353="",$D7353="",$E7353="",$H7353=""),"",SUMIFS(DATA_GOC!$H:$H,DATA_GOC!$A:$A,"BOM",DATA_GOC!$D:$D,$H7353,DATA_GOC!$E:$E,$C7353,DATA_GOC!$F:$F,"Xuất nội bộ từ téc",DATA_GOC!$B:$B,"&gt;="&amp;$D7353,DATA_GOC!$B:$B,"&lt;="&amp;$E7353))</f>
        <v/>
      </c>
      <c r="J7353" s="59">
        <f t="shared" si="28"/>
        <v>0</v>
      </c>
      <c r="K7353" s="59">
        <f t="shared" si="29"/>
        <v>0</v>
      </c>
      <c r="L7353" s="59">
        <f t="shared" si="30"/>
        <v>0</v>
      </c>
      <c r="M7353" s="59">
        <f t="shared" si="31"/>
        <v>0</v>
      </c>
    </row>
    <row r="7354" ht="15.0" hidden="1" customHeight="1">
      <c r="A7354" s="59">
        <f t="shared" si="20"/>
        <v>119</v>
      </c>
      <c r="B7354" s="59" t="str">
        <f t="shared" si="21"/>
        <v/>
      </c>
      <c r="C7354" s="59" t="str">
        <f t="shared" si="22"/>
        <v/>
      </c>
      <c r="D7354" s="45" t="str">
        <f t="shared" si="23"/>
        <v/>
      </c>
      <c r="E7354" s="45" t="str">
        <f t="shared" si="24"/>
        <v/>
      </c>
      <c r="F7354" s="59" t="str">
        <f t="shared" si="25"/>
        <v/>
      </c>
      <c r="G7354" s="59" t="str">
        <f t="shared" si="26"/>
        <v/>
      </c>
      <c r="H7354" s="59" t="str">
        <f t="shared" si="27"/>
        <v>29E17273</v>
      </c>
      <c r="I7354" s="59" t="str">
        <f>IF(OR($A7354="",$C7354="",$D7354="",$E7354="",$H7354=""),"",SUMIFS(DATA_GOC!$H:$H,DATA_GOC!$A:$A,"BOM",DATA_GOC!$D:$D,$H7354,DATA_GOC!$E:$E,$C7354,DATA_GOC!$F:$F,"Xuất nội bộ từ téc",DATA_GOC!$B:$B,"&gt;="&amp;$D7354,DATA_GOC!$B:$B,"&lt;="&amp;$E7354))</f>
        <v/>
      </c>
      <c r="J7354" s="59">
        <f t="shared" si="28"/>
        <v>0</v>
      </c>
      <c r="K7354" s="59">
        <f t="shared" si="29"/>
        <v>0</v>
      </c>
      <c r="L7354" s="59">
        <f t="shared" si="30"/>
        <v>0</v>
      </c>
      <c r="M7354" s="59">
        <f t="shared" si="31"/>
        <v>0</v>
      </c>
    </row>
    <row r="7355" ht="15.0" hidden="1" customHeight="1">
      <c r="A7355" s="59">
        <f t="shared" si="20"/>
        <v>119</v>
      </c>
      <c r="B7355" s="59" t="str">
        <f t="shared" si="21"/>
        <v/>
      </c>
      <c r="C7355" s="59" t="str">
        <f t="shared" si="22"/>
        <v/>
      </c>
      <c r="D7355" s="45" t="str">
        <f t="shared" si="23"/>
        <v/>
      </c>
      <c r="E7355" s="45" t="str">
        <f t="shared" si="24"/>
        <v/>
      </c>
      <c r="F7355" s="59" t="str">
        <f t="shared" si="25"/>
        <v/>
      </c>
      <c r="G7355" s="59" t="str">
        <f t="shared" si="26"/>
        <v/>
      </c>
      <c r="H7355" s="59" t="str">
        <f t="shared" si="27"/>
        <v>29E17410</v>
      </c>
      <c r="I7355" s="59" t="str">
        <f>IF(OR($A7355="",$C7355="",$D7355="",$E7355="",$H7355=""),"",SUMIFS(DATA_GOC!$H:$H,DATA_GOC!$A:$A,"BOM",DATA_GOC!$D:$D,$H7355,DATA_GOC!$E:$E,$C7355,DATA_GOC!$F:$F,"Xuất nội bộ từ téc",DATA_GOC!$B:$B,"&gt;="&amp;$D7355,DATA_GOC!$B:$B,"&lt;="&amp;$E7355))</f>
        <v/>
      </c>
      <c r="J7355" s="59">
        <f t="shared" si="28"/>
        <v>0</v>
      </c>
      <c r="K7355" s="59">
        <f t="shared" si="29"/>
        <v>0</v>
      </c>
      <c r="L7355" s="59">
        <f t="shared" si="30"/>
        <v>0</v>
      </c>
      <c r="M7355" s="59">
        <f t="shared" si="31"/>
        <v>0</v>
      </c>
    </row>
    <row r="7356" ht="15.0" hidden="1" customHeight="1">
      <c r="A7356" s="59">
        <f t="shared" si="20"/>
        <v>119</v>
      </c>
      <c r="B7356" s="59" t="str">
        <f t="shared" si="21"/>
        <v/>
      </c>
      <c r="C7356" s="59" t="str">
        <f t="shared" si="22"/>
        <v/>
      </c>
      <c r="D7356" s="45" t="str">
        <f t="shared" si="23"/>
        <v/>
      </c>
      <c r="E7356" s="45" t="str">
        <f t="shared" si="24"/>
        <v/>
      </c>
      <c r="F7356" s="59" t="str">
        <f t="shared" si="25"/>
        <v/>
      </c>
      <c r="G7356" s="59" t="str">
        <f t="shared" si="26"/>
        <v/>
      </c>
      <c r="H7356" s="59" t="str">
        <f t="shared" si="27"/>
        <v>29E17417</v>
      </c>
      <c r="I7356" s="59" t="str">
        <f>IF(OR($A7356="",$C7356="",$D7356="",$E7356="",$H7356=""),"",SUMIFS(DATA_GOC!$H:$H,DATA_GOC!$A:$A,"BOM",DATA_GOC!$D:$D,$H7356,DATA_GOC!$E:$E,$C7356,DATA_GOC!$F:$F,"Xuất nội bộ từ téc",DATA_GOC!$B:$B,"&gt;="&amp;$D7356,DATA_GOC!$B:$B,"&lt;="&amp;$E7356))</f>
        <v/>
      </c>
      <c r="J7356" s="59">
        <f t="shared" si="28"/>
        <v>0</v>
      </c>
      <c r="K7356" s="59">
        <f t="shared" si="29"/>
        <v>0</v>
      </c>
      <c r="L7356" s="59">
        <f t="shared" si="30"/>
        <v>0</v>
      </c>
      <c r="M7356" s="59">
        <f t="shared" si="31"/>
        <v>0</v>
      </c>
    </row>
    <row r="7357" ht="15.0" hidden="1" customHeight="1">
      <c r="A7357" s="59">
        <f t="shared" si="20"/>
        <v>119</v>
      </c>
      <c r="B7357" s="59" t="str">
        <f t="shared" si="21"/>
        <v/>
      </c>
      <c r="C7357" s="59" t="str">
        <f t="shared" si="22"/>
        <v/>
      </c>
      <c r="D7357" s="45" t="str">
        <f t="shared" si="23"/>
        <v/>
      </c>
      <c r="E7357" s="45" t="str">
        <f t="shared" si="24"/>
        <v/>
      </c>
      <c r="F7357" s="59" t="str">
        <f t="shared" si="25"/>
        <v/>
      </c>
      <c r="G7357" s="59" t="str">
        <f t="shared" si="26"/>
        <v/>
      </c>
      <c r="H7357" s="59" t="str">
        <f t="shared" si="27"/>
        <v>29E17539</v>
      </c>
      <c r="I7357" s="59" t="str">
        <f>IF(OR($A7357="",$C7357="",$D7357="",$E7357="",$H7357=""),"",SUMIFS(DATA_GOC!$H:$H,DATA_GOC!$A:$A,"BOM",DATA_GOC!$D:$D,$H7357,DATA_GOC!$E:$E,$C7357,DATA_GOC!$F:$F,"Xuất nội bộ từ téc",DATA_GOC!$B:$B,"&gt;="&amp;$D7357,DATA_GOC!$B:$B,"&lt;="&amp;$E7357))</f>
        <v/>
      </c>
      <c r="J7357" s="59">
        <f t="shared" si="28"/>
        <v>0</v>
      </c>
      <c r="K7357" s="59">
        <f t="shared" si="29"/>
        <v>0</v>
      </c>
      <c r="L7357" s="59">
        <f t="shared" si="30"/>
        <v>0</v>
      </c>
      <c r="M7357" s="59">
        <f t="shared" si="31"/>
        <v>0</v>
      </c>
    </row>
    <row r="7358" ht="15.0" hidden="1" customHeight="1">
      <c r="A7358" s="59">
        <f t="shared" si="20"/>
        <v>119</v>
      </c>
      <c r="B7358" s="59" t="str">
        <f t="shared" si="21"/>
        <v/>
      </c>
      <c r="C7358" s="59" t="str">
        <f t="shared" si="22"/>
        <v/>
      </c>
      <c r="D7358" s="45" t="str">
        <f t="shared" si="23"/>
        <v/>
      </c>
      <c r="E7358" s="45" t="str">
        <f t="shared" si="24"/>
        <v/>
      </c>
      <c r="F7358" s="59" t="str">
        <f t="shared" si="25"/>
        <v/>
      </c>
      <c r="G7358" s="59" t="str">
        <f t="shared" si="26"/>
        <v/>
      </c>
      <c r="H7358" s="59" t="str">
        <f t="shared" si="27"/>
        <v>29E18160</v>
      </c>
      <c r="I7358" s="59" t="str">
        <f>IF(OR($A7358="",$C7358="",$D7358="",$E7358="",$H7358=""),"",SUMIFS(DATA_GOC!$H:$H,DATA_GOC!$A:$A,"BOM",DATA_GOC!$D:$D,$H7358,DATA_GOC!$E:$E,$C7358,DATA_GOC!$F:$F,"Xuất nội bộ từ téc",DATA_GOC!$B:$B,"&gt;="&amp;$D7358,DATA_GOC!$B:$B,"&lt;="&amp;$E7358))</f>
        <v/>
      </c>
      <c r="J7358" s="59">
        <f t="shared" si="28"/>
        <v>0</v>
      </c>
      <c r="K7358" s="59">
        <f t="shared" si="29"/>
        <v>0</v>
      </c>
      <c r="L7358" s="59">
        <f t="shared" si="30"/>
        <v>0</v>
      </c>
      <c r="M7358" s="59">
        <f t="shared" si="31"/>
        <v>0</v>
      </c>
    </row>
    <row r="7359" ht="15.0" hidden="1" customHeight="1">
      <c r="A7359" s="59">
        <f t="shared" si="20"/>
        <v>119</v>
      </c>
      <c r="B7359" s="59" t="str">
        <f t="shared" si="21"/>
        <v/>
      </c>
      <c r="C7359" s="59" t="str">
        <f t="shared" si="22"/>
        <v/>
      </c>
      <c r="D7359" s="45" t="str">
        <f t="shared" si="23"/>
        <v/>
      </c>
      <c r="E7359" s="45" t="str">
        <f t="shared" si="24"/>
        <v/>
      </c>
      <c r="F7359" s="59" t="str">
        <f t="shared" si="25"/>
        <v/>
      </c>
      <c r="G7359" s="59" t="str">
        <f t="shared" si="26"/>
        <v/>
      </c>
      <c r="H7359" s="59" t="str">
        <f t="shared" si="27"/>
        <v>Công trình Asphalt</v>
      </c>
      <c r="I7359" s="59" t="str">
        <f>IF(OR($A7359="",$C7359="",$D7359="",$E7359="",$H7359=""),"",SUMIFS(DATA_GOC!$H:$H,DATA_GOC!$A:$A,"BOM",DATA_GOC!$D:$D,$H7359,DATA_GOC!$E:$E,$C7359,DATA_GOC!$F:$F,"Xuất nội bộ từ téc",DATA_GOC!$B:$B,"&gt;="&amp;$D7359,DATA_GOC!$B:$B,"&lt;="&amp;$E7359))</f>
        <v/>
      </c>
      <c r="J7359" s="59">
        <f t="shared" si="28"/>
        <v>0</v>
      </c>
      <c r="K7359" s="59">
        <f t="shared" si="29"/>
        <v>0</v>
      </c>
      <c r="L7359" s="59">
        <f t="shared" si="30"/>
        <v>0</v>
      </c>
      <c r="M7359" s="59">
        <f t="shared" si="31"/>
        <v>0</v>
      </c>
    </row>
    <row r="7360" ht="15.0" hidden="1" customHeight="1">
      <c r="A7360" s="59">
        <f t="shared" si="20"/>
        <v>119</v>
      </c>
      <c r="B7360" s="59" t="str">
        <f t="shared" si="21"/>
        <v/>
      </c>
      <c r="C7360" s="59" t="str">
        <f t="shared" si="22"/>
        <v/>
      </c>
      <c r="D7360" s="45" t="str">
        <f t="shared" si="23"/>
        <v/>
      </c>
      <c r="E7360" s="45" t="str">
        <f t="shared" si="24"/>
        <v/>
      </c>
      <c r="F7360" s="59" t="str">
        <f t="shared" si="25"/>
        <v/>
      </c>
      <c r="G7360" s="59" t="str">
        <f t="shared" si="26"/>
        <v/>
      </c>
      <c r="H7360" s="59" t="str">
        <f t="shared" si="27"/>
        <v>LG53F</v>
      </c>
      <c r="I7360" s="59" t="str">
        <f>IF(OR($A7360="",$C7360="",$D7360="",$E7360="",$H7360=""),"",SUMIFS(DATA_GOC!$H:$H,DATA_GOC!$A:$A,"BOM",DATA_GOC!$D:$D,$H7360,DATA_GOC!$E:$E,$C7360,DATA_GOC!$F:$F,"Xuất nội bộ từ téc",DATA_GOC!$B:$B,"&gt;="&amp;$D7360,DATA_GOC!$B:$B,"&lt;="&amp;$E7360))</f>
        <v/>
      </c>
      <c r="J7360" s="59">
        <f t="shared" si="28"/>
        <v>0</v>
      </c>
      <c r="K7360" s="59">
        <f t="shared" si="29"/>
        <v>0</v>
      </c>
      <c r="L7360" s="59">
        <f t="shared" si="30"/>
        <v>0</v>
      </c>
      <c r="M7360" s="59">
        <f t="shared" si="31"/>
        <v>0</v>
      </c>
    </row>
    <row r="7361" ht="15.0" hidden="1" customHeight="1">
      <c r="A7361" s="59">
        <f t="shared" si="20"/>
        <v>119</v>
      </c>
      <c r="B7361" s="59" t="str">
        <f t="shared" si="21"/>
        <v/>
      </c>
      <c r="C7361" s="59" t="str">
        <f t="shared" si="22"/>
        <v/>
      </c>
      <c r="D7361" s="45" t="str">
        <f t="shared" si="23"/>
        <v/>
      </c>
      <c r="E7361" s="45" t="str">
        <f t="shared" si="24"/>
        <v/>
      </c>
      <c r="F7361" s="59" t="str">
        <f t="shared" si="25"/>
        <v/>
      </c>
      <c r="G7361" s="59" t="str">
        <f t="shared" si="26"/>
        <v/>
      </c>
      <c r="H7361" s="59" t="str">
        <f t="shared" si="27"/>
        <v>Máy phát điện</v>
      </c>
      <c r="I7361" s="59" t="str">
        <f>IF(OR($A7361="",$C7361="",$D7361="",$E7361="",$H7361=""),"",SUMIFS(DATA_GOC!$H:$H,DATA_GOC!$A:$A,"BOM",DATA_GOC!$D:$D,$H7361,DATA_GOC!$E:$E,$C7361,DATA_GOC!$F:$F,"Xuất nội bộ từ téc",DATA_GOC!$B:$B,"&gt;="&amp;$D7361,DATA_GOC!$B:$B,"&lt;="&amp;$E7361))</f>
        <v/>
      </c>
      <c r="J7361" s="59">
        <f t="shared" si="28"/>
        <v>0</v>
      </c>
      <c r="K7361" s="59">
        <f t="shared" si="29"/>
        <v>0</v>
      </c>
      <c r="L7361" s="59">
        <f t="shared" si="30"/>
        <v>0</v>
      </c>
      <c r="M7361" s="59">
        <f t="shared" si="31"/>
        <v>0</v>
      </c>
    </row>
    <row r="7362" ht="15.0" hidden="1" customHeight="1">
      <c r="A7362" s="59">
        <f t="shared" si="20"/>
        <v>119</v>
      </c>
      <c r="B7362" s="59" t="str">
        <f t="shared" si="21"/>
        <v/>
      </c>
      <c r="C7362" s="59" t="str">
        <f t="shared" si="22"/>
        <v/>
      </c>
      <c r="D7362" s="45" t="str">
        <f t="shared" si="23"/>
        <v/>
      </c>
      <c r="E7362" s="45" t="str">
        <f t="shared" si="24"/>
        <v/>
      </c>
      <c r="F7362" s="59" t="str">
        <f t="shared" si="25"/>
        <v/>
      </c>
      <c r="G7362" s="59" t="str">
        <f t="shared" si="26"/>
        <v/>
      </c>
      <c r="H7362" s="59" t="str">
        <f t="shared" si="27"/>
        <v>Máy rải thảm</v>
      </c>
      <c r="I7362" s="59" t="str">
        <f>IF(OR($A7362="",$C7362="",$D7362="",$E7362="",$H7362=""),"",SUMIFS(DATA_GOC!$H:$H,DATA_GOC!$A:$A,"BOM",DATA_GOC!$D:$D,$H7362,DATA_GOC!$E:$E,$C7362,DATA_GOC!$F:$F,"Xuất nội bộ từ téc",DATA_GOC!$B:$B,"&gt;="&amp;$D7362,DATA_GOC!$B:$B,"&lt;="&amp;$E7362))</f>
        <v/>
      </c>
      <c r="J7362" s="59">
        <f t="shared" si="28"/>
        <v>0</v>
      </c>
      <c r="K7362" s="59">
        <f t="shared" si="29"/>
        <v>0</v>
      </c>
      <c r="L7362" s="59">
        <f t="shared" si="30"/>
        <v>0</v>
      </c>
      <c r="M7362" s="59">
        <f t="shared" si="31"/>
        <v>0</v>
      </c>
    </row>
    <row r="7363" ht="15.0" hidden="1" customHeight="1">
      <c r="A7363" s="59">
        <f t="shared" si="20"/>
        <v>119</v>
      </c>
      <c r="B7363" s="59" t="str">
        <f t="shared" si="21"/>
        <v/>
      </c>
      <c r="C7363" s="59" t="str">
        <f t="shared" si="22"/>
        <v/>
      </c>
      <c r="D7363" s="45" t="str">
        <f t="shared" si="23"/>
        <v/>
      </c>
      <c r="E7363" s="45" t="str">
        <f t="shared" si="24"/>
        <v/>
      </c>
      <c r="F7363" s="59" t="str">
        <f t="shared" si="25"/>
        <v/>
      </c>
      <c r="G7363" s="59" t="str">
        <f t="shared" si="26"/>
        <v/>
      </c>
      <c r="H7363" s="59" t="str">
        <f t="shared" si="27"/>
        <v>Xúc Đào</v>
      </c>
      <c r="I7363" s="59" t="str">
        <f>IF(OR($A7363="",$C7363="",$D7363="",$E7363="",$H7363=""),"",SUMIFS(DATA_GOC!$H:$H,DATA_GOC!$A:$A,"BOM",DATA_GOC!$D:$D,$H7363,DATA_GOC!$E:$E,$C7363,DATA_GOC!$F:$F,"Xuất nội bộ từ téc",DATA_GOC!$B:$B,"&gt;="&amp;$D7363,DATA_GOC!$B:$B,"&lt;="&amp;$E7363))</f>
        <v/>
      </c>
      <c r="J7363" s="59">
        <f t="shared" si="28"/>
        <v>0</v>
      </c>
      <c r="K7363" s="59">
        <f t="shared" si="29"/>
        <v>0</v>
      </c>
      <c r="L7363" s="59">
        <f t="shared" si="30"/>
        <v>0</v>
      </c>
      <c r="M7363" s="59">
        <f t="shared" si="31"/>
        <v>0</v>
      </c>
    </row>
    <row r="7364" ht="15.0" hidden="1" customHeight="1">
      <c r="A7364" s="59">
        <f t="shared" si="20"/>
        <v>119</v>
      </c>
      <c r="B7364" s="59" t="str">
        <f t="shared" si="21"/>
        <v/>
      </c>
      <c r="C7364" s="59" t="str">
        <f t="shared" si="22"/>
        <v/>
      </c>
      <c r="D7364" s="45" t="str">
        <f t="shared" si="23"/>
        <v/>
      </c>
      <c r="E7364" s="45" t="str">
        <f t="shared" si="24"/>
        <v/>
      </c>
      <c r="F7364" s="59" t="str">
        <f t="shared" si="25"/>
        <v/>
      </c>
      <c r="G7364" s="59" t="str">
        <f t="shared" si="26"/>
        <v/>
      </c>
      <c r="H7364" s="59" t="str">
        <f t="shared" si="27"/>
        <v>Xúclật asphalt</v>
      </c>
      <c r="I7364" s="59" t="str">
        <f>IF(OR($A7364="",$C7364="",$D7364="",$E7364="",$H7364=""),"",SUMIFS(DATA_GOC!$H:$H,DATA_GOC!$A:$A,"BOM",DATA_GOC!$D:$D,$H7364,DATA_GOC!$E:$E,$C7364,DATA_GOC!$F:$F,"Xuất nội bộ từ téc",DATA_GOC!$B:$B,"&gt;="&amp;$D7364,DATA_GOC!$B:$B,"&lt;="&amp;$E7364))</f>
        <v/>
      </c>
      <c r="J7364" s="59">
        <f t="shared" si="28"/>
        <v>0</v>
      </c>
      <c r="K7364" s="59">
        <f t="shared" si="29"/>
        <v>0</v>
      </c>
      <c r="L7364" s="59">
        <f t="shared" si="30"/>
        <v>0</v>
      </c>
      <c r="M7364" s="59">
        <f t="shared" si="31"/>
        <v>0</v>
      </c>
    </row>
    <row r="7365" ht="15.0" hidden="1" customHeight="1">
      <c r="A7365" s="59">
        <f t="shared" si="20"/>
        <v>119</v>
      </c>
      <c r="B7365" s="59" t="str">
        <f t="shared" si="21"/>
        <v/>
      </c>
      <c r="C7365" s="59" t="str">
        <f t="shared" si="22"/>
        <v/>
      </c>
      <c r="D7365" s="45" t="str">
        <f t="shared" si="23"/>
        <v/>
      </c>
      <c r="E7365" s="45" t="str">
        <f t="shared" si="24"/>
        <v/>
      </c>
      <c r="F7365" s="59" t="str">
        <f t="shared" si="25"/>
        <v/>
      </c>
      <c r="G7365" s="59" t="str">
        <f t="shared" si="26"/>
        <v/>
      </c>
      <c r="H7365" s="59" t="str">
        <f t="shared" si="27"/>
        <v>Xúclật855H</v>
      </c>
      <c r="I7365" s="59" t="str">
        <f>IF(OR($A7365="",$C7365="",$D7365="",$E7365="",$H7365=""),"",SUMIFS(DATA_GOC!$H:$H,DATA_GOC!$A:$A,"BOM",DATA_GOC!$D:$D,$H7365,DATA_GOC!$E:$E,$C7365,DATA_GOC!$F:$F,"Xuất nội bộ từ téc",DATA_GOC!$B:$B,"&gt;="&amp;$D7365,DATA_GOC!$B:$B,"&lt;="&amp;$E7365))</f>
        <v/>
      </c>
      <c r="J7365" s="59">
        <f t="shared" si="28"/>
        <v>0</v>
      </c>
      <c r="K7365" s="59">
        <f t="shared" si="29"/>
        <v>0</v>
      </c>
      <c r="L7365" s="59">
        <f t="shared" si="30"/>
        <v>0</v>
      </c>
      <c r="M7365" s="59">
        <f t="shared" si="31"/>
        <v>0</v>
      </c>
    </row>
    <row r="7366" ht="15.0" hidden="1" customHeight="1">
      <c r="A7366" s="59">
        <f t="shared" si="20"/>
        <v>119</v>
      </c>
      <c r="B7366" s="59" t="str">
        <f t="shared" si="21"/>
        <v/>
      </c>
      <c r="C7366" s="59" t="str">
        <f t="shared" si="22"/>
        <v/>
      </c>
      <c r="D7366" s="45" t="str">
        <f t="shared" si="23"/>
        <v/>
      </c>
      <c r="E7366" s="45" t="str">
        <f t="shared" si="24"/>
        <v/>
      </c>
      <c r="F7366" s="59" t="str">
        <f t="shared" si="25"/>
        <v/>
      </c>
      <c r="G7366" s="59" t="str">
        <f t="shared" si="26"/>
        <v/>
      </c>
      <c r="H7366" s="59" t="str">
        <f t="shared" si="27"/>
        <v>Xúclật855N</v>
      </c>
      <c r="I7366" s="59" t="str">
        <f>IF(OR($A7366="",$C7366="",$D7366="",$E7366="",$H7366=""),"",SUMIFS(DATA_GOC!$H:$H,DATA_GOC!$A:$A,"BOM",DATA_GOC!$D:$D,$H7366,DATA_GOC!$E:$E,$C7366,DATA_GOC!$F:$F,"Xuất nội bộ từ téc",DATA_GOC!$B:$B,"&gt;="&amp;$D7366,DATA_GOC!$B:$B,"&lt;="&amp;$E7366))</f>
        <v/>
      </c>
      <c r="J7366" s="59">
        <f t="shared" si="28"/>
        <v>0</v>
      </c>
      <c r="K7366" s="59">
        <f t="shared" si="29"/>
        <v>0</v>
      </c>
      <c r="L7366" s="59">
        <f t="shared" si="30"/>
        <v>0</v>
      </c>
      <c r="M7366" s="59">
        <f t="shared" si="31"/>
        <v>0</v>
      </c>
    </row>
    <row r="7367" ht="15.0" hidden="1" customHeight="1">
      <c r="A7367" s="59">
        <f t="shared" si="20"/>
        <v>119</v>
      </c>
      <c r="B7367" s="59" t="str">
        <f t="shared" si="21"/>
        <v/>
      </c>
      <c r="C7367" s="59" t="str">
        <f t="shared" si="22"/>
        <v/>
      </c>
      <c r="D7367" s="45" t="str">
        <f t="shared" si="23"/>
        <v/>
      </c>
      <c r="E7367" s="45" t="str">
        <f t="shared" si="24"/>
        <v/>
      </c>
      <c r="F7367" s="59" t="str">
        <f t="shared" si="25"/>
        <v/>
      </c>
      <c r="G7367" s="59" t="str">
        <f t="shared" si="26"/>
        <v/>
      </c>
      <c r="H7367" s="59" t="str">
        <f t="shared" si="27"/>
        <v>Cát nghiền</v>
      </c>
      <c r="I7367" s="59" t="str">
        <f>IF(OR($A7367="",$C7367="",$D7367="",$E7367="",$H7367=""),"",SUMIFS(DATA_GOC!$H:$H,DATA_GOC!$A:$A,"BOM",DATA_GOC!$D:$D,$H7367,DATA_GOC!$E:$E,$C7367,DATA_GOC!$F:$F,"Xuất nội bộ từ téc",DATA_GOC!$B:$B,"&gt;="&amp;$D7367,DATA_GOC!$B:$B,"&lt;="&amp;$E7367))</f>
        <v/>
      </c>
      <c r="J7367" s="59">
        <f t="shared" si="28"/>
        <v>0</v>
      </c>
      <c r="K7367" s="59">
        <f t="shared" si="29"/>
        <v>0</v>
      </c>
      <c r="L7367" s="59">
        <f t="shared" si="30"/>
        <v>0</v>
      </c>
      <c r="M7367" s="59">
        <f t="shared" si="31"/>
        <v>0</v>
      </c>
    </row>
    <row r="7368" ht="15.0" hidden="1" customHeight="1">
      <c r="A7368" s="59">
        <f t="shared" si="20"/>
        <v>119</v>
      </c>
      <c r="B7368" s="59" t="str">
        <f t="shared" si="21"/>
        <v/>
      </c>
      <c r="C7368" s="59" t="str">
        <f t="shared" si="22"/>
        <v/>
      </c>
      <c r="D7368" s="45" t="str">
        <f t="shared" si="23"/>
        <v/>
      </c>
      <c r="E7368" s="45" t="str">
        <f t="shared" si="24"/>
        <v/>
      </c>
      <c r="F7368" s="59" t="str">
        <f t="shared" si="25"/>
        <v/>
      </c>
      <c r="G7368" s="59" t="str">
        <f t="shared" si="26"/>
        <v/>
      </c>
      <c r="H7368" s="59" t="str">
        <f t="shared" si="27"/>
        <v>28C02973</v>
      </c>
      <c r="I7368" s="59" t="str">
        <f>IF(OR($A7368="",$C7368="",$D7368="",$E7368="",$H7368=""),"",SUMIFS(DATA_GOC!$H:$H,DATA_GOC!$A:$A,"BOM",DATA_GOC!$D:$D,$H7368,DATA_GOC!$E:$E,$C7368,DATA_GOC!$F:$F,"Xuất nội bộ từ téc",DATA_GOC!$B:$B,"&gt;="&amp;$D7368,DATA_GOC!$B:$B,"&lt;="&amp;$E7368))</f>
        <v/>
      </c>
      <c r="J7368" s="59">
        <f t="shared" si="28"/>
        <v>0</v>
      </c>
      <c r="K7368" s="59">
        <f t="shared" si="29"/>
        <v>0</v>
      </c>
      <c r="L7368" s="59">
        <f t="shared" si="30"/>
        <v>0</v>
      </c>
      <c r="M7368" s="59">
        <f t="shared" si="31"/>
        <v>0</v>
      </c>
    </row>
    <row r="7369" ht="15.0" hidden="1" customHeight="1">
      <c r="A7369" s="59">
        <f t="shared" si="20"/>
        <v>119</v>
      </c>
      <c r="B7369" s="59" t="str">
        <f t="shared" si="21"/>
        <v/>
      </c>
      <c r="C7369" s="59" t="str">
        <f t="shared" si="22"/>
        <v/>
      </c>
      <c r="D7369" s="45" t="str">
        <f t="shared" si="23"/>
        <v/>
      </c>
      <c r="E7369" s="45" t="str">
        <f t="shared" si="24"/>
        <v/>
      </c>
      <c r="F7369" s="59" t="str">
        <f t="shared" si="25"/>
        <v/>
      </c>
      <c r="G7369" s="59" t="str">
        <f t="shared" si="26"/>
        <v/>
      </c>
      <c r="H7369" s="59" t="str">
        <f t="shared" si="27"/>
        <v>28C03044</v>
      </c>
      <c r="I7369" s="59" t="str">
        <f>IF(OR($A7369="",$C7369="",$D7369="",$E7369="",$H7369=""),"",SUMIFS(DATA_GOC!$H:$H,DATA_GOC!$A:$A,"BOM",DATA_GOC!$D:$D,$H7369,DATA_GOC!$E:$E,$C7369,DATA_GOC!$F:$F,"Xuất nội bộ từ téc",DATA_GOC!$B:$B,"&gt;="&amp;$D7369,DATA_GOC!$B:$B,"&lt;="&amp;$E7369))</f>
        <v/>
      </c>
      <c r="J7369" s="59">
        <f t="shared" si="28"/>
        <v>0</v>
      </c>
      <c r="K7369" s="59">
        <f t="shared" si="29"/>
        <v>0</v>
      </c>
      <c r="L7369" s="59">
        <f t="shared" si="30"/>
        <v>0</v>
      </c>
      <c r="M7369" s="59">
        <f t="shared" si="31"/>
        <v>0</v>
      </c>
    </row>
    <row r="7370" ht="15.0" hidden="1" customHeight="1">
      <c r="A7370" s="59">
        <f t="shared" si="20"/>
        <v>119</v>
      </c>
      <c r="B7370" s="59" t="str">
        <f t="shared" si="21"/>
        <v/>
      </c>
      <c r="C7370" s="59" t="str">
        <f t="shared" si="22"/>
        <v/>
      </c>
      <c r="D7370" s="45" t="str">
        <f t="shared" si="23"/>
        <v/>
      </c>
      <c r="E7370" s="45" t="str">
        <f t="shared" si="24"/>
        <v/>
      </c>
      <c r="F7370" s="59" t="str">
        <f t="shared" si="25"/>
        <v/>
      </c>
      <c r="G7370" s="59" t="str">
        <f t="shared" si="26"/>
        <v/>
      </c>
      <c r="H7370" s="59" t="str">
        <f t="shared" si="27"/>
        <v>Máy lu lốp</v>
      </c>
      <c r="I7370" s="59" t="str">
        <f>IF(OR($A7370="",$C7370="",$D7370="",$E7370="",$H7370=""),"",SUMIFS(DATA_GOC!$H:$H,DATA_GOC!$A:$A,"BOM",DATA_GOC!$D:$D,$H7370,DATA_GOC!$E:$E,$C7370,DATA_GOC!$F:$F,"Xuất nội bộ từ téc",DATA_GOC!$B:$B,"&gt;="&amp;$D7370,DATA_GOC!$B:$B,"&lt;="&amp;$E7370))</f>
        <v/>
      </c>
      <c r="J7370" s="59">
        <f t="shared" si="28"/>
        <v>0</v>
      </c>
      <c r="K7370" s="59">
        <f t="shared" si="29"/>
        <v>0</v>
      </c>
      <c r="L7370" s="59">
        <f t="shared" si="30"/>
        <v>0</v>
      </c>
      <c r="M7370" s="59">
        <f t="shared" si="31"/>
        <v>0</v>
      </c>
    </row>
    <row r="7371" ht="15.0" hidden="1" customHeight="1">
      <c r="A7371" s="59">
        <f t="shared" si="20"/>
        <v>119</v>
      </c>
      <c r="B7371" s="59" t="str">
        <f t="shared" si="21"/>
        <v/>
      </c>
      <c r="C7371" s="59" t="str">
        <f t="shared" si="22"/>
        <v/>
      </c>
      <c r="D7371" s="45" t="str">
        <f t="shared" si="23"/>
        <v/>
      </c>
      <c r="E7371" s="45" t="str">
        <f t="shared" si="24"/>
        <v/>
      </c>
      <c r="F7371" s="59" t="str">
        <f t="shared" si="25"/>
        <v/>
      </c>
      <c r="G7371" s="59" t="str">
        <f t="shared" si="26"/>
        <v/>
      </c>
      <c r="H7371" s="59" t="str">
        <f t="shared" si="27"/>
        <v>Xe 600148</v>
      </c>
      <c r="I7371" s="59" t="str">
        <f>IF(OR($A7371="",$C7371="",$D7371="",$E7371="",$H7371=""),"",SUMIFS(DATA_GOC!$H:$H,DATA_GOC!$A:$A,"BOM",DATA_GOC!$D:$D,$H7371,DATA_GOC!$E:$E,$C7371,DATA_GOC!$F:$F,"Xuất nội bộ từ téc",DATA_GOC!$B:$B,"&gt;="&amp;$D7371,DATA_GOC!$B:$B,"&lt;="&amp;$E7371))</f>
        <v/>
      </c>
      <c r="J7371" s="59">
        <f t="shared" si="28"/>
        <v>0</v>
      </c>
      <c r="K7371" s="59">
        <f t="shared" si="29"/>
        <v>0</v>
      </c>
      <c r="L7371" s="59">
        <f t="shared" si="30"/>
        <v>0</v>
      </c>
      <c r="M7371" s="59">
        <f t="shared" si="31"/>
        <v>0</v>
      </c>
    </row>
    <row r="7372" ht="15.0" hidden="1" customHeight="1">
      <c r="A7372" s="59">
        <f t="shared" si="20"/>
        <v>119</v>
      </c>
      <c r="B7372" s="59" t="str">
        <f t="shared" si="21"/>
        <v/>
      </c>
      <c r="C7372" s="59" t="str">
        <f t="shared" si="22"/>
        <v/>
      </c>
      <c r="D7372" s="45" t="str">
        <f t="shared" si="23"/>
        <v/>
      </c>
      <c r="E7372" s="45" t="str">
        <f t="shared" si="24"/>
        <v/>
      </c>
      <c r="F7372" s="59" t="str">
        <f t="shared" si="25"/>
        <v/>
      </c>
      <c r="G7372" s="59" t="str">
        <f t="shared" si="26"/>
        <v/>
      </c>
      <c r="H7372" s="59" t="str">
        <f t="shared" si="27"/>
        <v>Xe ben mới</v>
      </c>
      <c r="I7372" s="59" t="str">
        <f>IF(OR($A7372="",$C7372="",$D7372="",$E7372="",$H7372=""),"",SUMIFS(DATA_GOC!$H:$H,DATA_GOC!$A:$A,"BOM",DATA_GOC!$D:$D,$H7372,DATA_GOC!$E:$E,$C7372,DATA_GOC!$F:$F,"Xuất nội bộ từ téc",DATA_GOC!$B:$B,"&gt;="&amp;$D7372,DATA_GOC!$B:$B,"&lt;="&amp;$E7372))</f>
        <v/>
      </c>
      <c r="J7372" s="59">
        <f t="shared" si="28"/>
        <v>0</v>
      </c>
      <c r="K7372" s="59">
        <f t="shared" si="29"/>
        <v>0</v>
      </c>
      <c r="L7372" s="59">
        <f t="shared" si="30"/>
        <v>0</v>
      </c>
      <c r="M7372" s="59">
        <f t="shared" si="31"/>
        <v>0</v>
      </c>
    </row>
    <row r="7373" ht="15.0" hidden="1" customHeight="1">
      <c r="A7373" s="59">
        <f t="shared" si="20"/>
        <v>120</v>
      </c>
      <c r="B7373" s="59" t="str">
        <f t="shared" si="21"/>
        <v/>
      </c>
      <c r="C7373" s="59" t="str">
        <f t="shared" si="22"/>
        <v/>
      </c>
      <c r="D7373" s="45" t="str">
        <f t="shared" si="23"/>
        <v/>
      </c>
      <c r="E7373" s="45" t="str">
        <f t="shared" si="24"/>
        <v/>
      </c>
      <c r="F7373" s="59" t="str">
        <f t="shared" si="25"/>
        <v/>
      </c>
      <c r="G7373" s="59" t="str">
        <f t="shared" si="26"/>
        <v/>
      </c>
      <c r="H7373" s="59" t="str">
        <f t="shared" si="27"/>
        <v>19H09482</v>
      </c>
      <c r="I7373" s="59" t="str">
        <f>IF(OR($A7373="",$C7373="",$D7373="",$E7373="",$H7373=""),"",SUMIFS(DATA_GOC!$H:$H,DATA_GOC!$A:$A,"BOM",DATA_GOC!$D:$D,$H7373,DATA_GOC!$E:$E,$C7373,DATA_GOC!$F:$F,"Xuất nội bộ từ téc",DATA_GOC!$B:$B,"&gt;="&amp;$D7373,DATA_GOC!$B:$B,"&lt;="&amp;$E7373))</f>
        <v/>
      </c>
      <c r="J7373" s="59">
        <f t="shared" si="28"/>
        <v>0</v>
      </c>
      <c r="K7373" s="59">
        <f t="shared" si="29"/>
        <v>0</v>
      </c>
      <c r="L7373" s="59">
        <f t="shared" si="30"/>
        <v>0</v>
      </c>
      <c r="M7373" s="59">
        <f t="shared" si="31"/>
        <v>0</v>
      </c>
    </row>
    <row r="7374" ht="15.0" hidden="1" customHeight="1">
      <c r="A7374" s="59">
        <f t="shared" si="20"/>
        <v>120</v>
      </c>
      <c r="B7374" s="59" t="str">
        <f t="shared" si="21"/>
        <v/>
      </c>
      <c r="C7374" s="59" t="str">
        <f t="shared" si="22"/>
        <v/>
      </c>
      <c r="D7374" s="45" t="str">
        <f t="shared" si="23"/>
        <v/>
      </c>
      <c r="E7374" s="45" t="str">
        <f t="shared" si="24"/>
        <v/>
      </c>
      <c r="F7374" s="59" t="str">
        <f t="shared" si="25"/>
        <v/>
      </c>
      <c r="G7374" s="59" t="str">
        <f t="shared" si="26"/>
        <v/>
      </c>
      <c r="H7374" s="59" t="str">
        <f t="shared" si="27"/>
        <v>28A30696</v>
      </c>
      <c r="I7374" s="59" t="str">
        <f>IF(OR($A7374="",$C7374="",$D7374="",$E7374="",$H7374=""),"",SUMIFS(DATA_GOC!$H:$H,DATA_GOC!$A:$A,"BOM",DATA_GOC!$D:$D,$H7374,DATA_GOC!$E:$E,$C7374,DATA_GOC!$F:$F,"Xuất nội bộ từ téc",DATA_GOC!$B:$B,"&gt;="&amp;$D7374,DATA_GOC!$B:$B,"&lt;="&amp;$E7374))</f>
        <v/>
      </c>
      <c r="J7374" s="59">
        <f t="shared" si="28"/>
        <v>0</v>
      </c>
      <c r="K7374" s="59">
        <f t="shared" si="29"/>
        <v>0</v>
      </c>
      <c r="L7374" s="59">
        <f t="shared" si="30"/>
        <v>0</v>
      </c>
      <c r="M7374" s="59">
        <f t="shared" si="31"/>
        <v>0</v>
      </c>
    </row>
    <row r="7375" ht="15.0" hidden="1" customHeight="1">
      <c r="A7375" s="59">
        <f t="shared" si="20"/>
        <v>120</v>
      </c>
      <c r="B7375" s="59" t="str">
        <f t="shared" si="21"/>
        <v/>
      </c>
      <c r="C7375" s="59" t="str">
        <f t="shared" si="22"/>
        <v/>
      </c>
      <c r="D7375" s="45" t="str">
        <f t="shared" si="23"/>
        <v/>
      </c>
      <c r="E7375" s="45" t="str">
        <f t="shared" si="24"/>
        <v/>
      </c>
      <c r="F7375" s="59" t="str">
        <f t="shared" si="25"/>
        <v/>
      </c>
      <c r="G7375" s="59" t="str">
        <f t="shared" si="26"/>
        <v/>
      </c>
      <c r="H7375" s="59" t="str">
        <f t="shared" si="27"/>
        <v>28C00462</v>
      </c>
      <c r="I7375" s="59" t="str">
        <f>IF(OR($A7375="",$C7375="",$D7375="",$E7375="",$H7375=""),"",SUMIFS(DATA_GOC!$H:$H,DATA_GOC!$A:$A,"BOM",DATA_GOC!$D:$D,$H7375,DATA_GOC!$E:$E,$C7375,DATA_GOC!$F:$F,"Xuất nội bộ từ téc",DATA_GOC!$B:$B,"&gt;="&amp;$D7375,DATA_GOC!$B:$B,"&lt;="&amp;$E7375))</f>
        <v/>
      </c>
      <c r="J7375" s="59">
        <f t="shared" si="28"/>
        <v>0</v>
      </c>
      <c r="K7375" s="59">
        <f t="shared" si="29"/>
        <v>0</v>
      </c>
      <c r="L7375" s="59">
        <f t="shared" si="30"/>
        <v>0</v>
      </c>
      <c r="M7375" s="59">
        <f t="shared" si="31"/>
        <v>0</v>
      </c>
    </row>
    <row r="7376" ht="15.0" hidden="1" customHeight="1">
      <c r="A7376" s="59">
        <f t="shared" si="20"/>
        <v>120</v>
      </c>
      <c r="B7376" s="59" t="str">
        <f t="shared" si="21"/>
        <v/>
      </c>
      <c r="C7376" s="59" t="str">
        <f t="shared" si="22"/>
        <v/>
      </c>
      <c r="D7376" s="45" t="str">
        <f t="shared" si="23"/>
        <v/>
      </c>
      <c r="E7376" s="45" t="str">
        <f t="shared" si="24"/>
        <v/>
      </c>
      <c r="F7376" s="59" t="str">
        <f t="shared" si="25"/>
        <v/>
      </c>
      <c r="G7376" s="59" t="str">
        <f t="shared" si="26"/>
        <v/>
      </c>
      <c r="H7376" s="59" t="str">
        <f t="shared" si="27"/>
        <v>28C01165</v>
      </c>
      <c r="I7376" s="59" t="str">
        <f>IF(OR($A7376="",$C7376="",$D7376="",$E7376="",$H7376=""),"",SUMIFS(DATA_GOC!$H:$H,DATA_GOC!$A:$A,"BOM",DATA_GOC!$D:$D,$H7376,DATA_GOC!$E:$E,$C7376,DATA_GOC!$F:$F,"Xuất nội bộ từ téc",DATA_GOC!$B:$B,"&gt;="&amp;$D7376,DATA_GOC!$B:$B,"&lt;="&amp;$E7376))</f>
        <v/>
      </c>
      <c r="J7376" s="59">
        <f t="shared" si="28"/>
        <v>0</v>
      </c>
      <c r="K7376" s="59">
        <f t="shared" si="29"/>
        <v>0</v>
      </c>
      <c r="L7376" s="59">
        <f t="shared" si="30"/>
        <v>0</v>
      </c>
      <c r="M7376" s="59">
        <f t="shared" si="31"/>
        <v>0</v>
      </c>
    </row>
    <row r="7377" ht="15.0" hidden="1" customHeight="1">
      <c r="A7377" s="59">
        <f t="shared" si="20"/>
        <v>120</v>
      </c>
      <c r="B7377" s="59" t="str">
        <f t="shared" si="21"/>
        <v/>
      </c>
      <c r="C7377" s="59" t="str">
        <f t="shared" si="22"/>
        <v/>
      </c>
      <c r="D7377" s="45" t="str">
        <f t="shared" si="23"/>
        <v/>
      </c>
      <c r="E7377" s="45" t="str">
        <f t="shared" si="24"/>
        <v/>
      </c>
      <c r="F7377" s="59" t="str">
        <f t="shared" si="25"/>
        <v/>
      </c>
      <c r="G7377" s="59" t="str">
        <f t="shared" si="26"/>
        <v/>
      </c>
      <c r="H7377" s="59" t="str">
        <f t="shared" si="27"/>
        <v>28C01406</v>
      </c>
      <c r="I7377" s="59" t="str">
        <f>IF(OR($A7377="",$C7377="",$D7377="",$E7377="",$H7377=""),"",SUMIFS(DATA_GOC!$H:$H,DATA_GOC!$A:$A,"BOM",DATA_GOC!$D:$D,$H7377,DATA_GOC!$E:$E,$C7377,DATA_GOC!$F:$F,"Xuất nội bộ từ téc",DATA_GOC!$B:$B,"&gt;="&amp;$D7377,DATA_GOC!$B:$B,"&lt;="&amp;$E7377))</f>
        <v/>
      </c>
      <c r="J7377" s="59">
        <f t="shared" si="28"/>
        <v>0</v>
      </c>
      <c r="K7377" s="59">
        <f t="shared" si="29"/>
        <v>0</v>
      </c>
      <c r="L7377" s="59">
        <f t="shared" si="30"/>
        <v>0</v>
      </c>
      <c r="M7377" s="59">
        <f t="shared" si="31"/>
        <v>0</v>
      </c>
    </row>
    <row r="7378" ht="15.0" hidden="1" customHeight="1">
      <c r="A7378" s="59">
        <f t="shared" si="20"/>
        <v>120</v>
      </c>
      <c r="B7378" s="59" t="str">
        <f t="shared" si="21"/>
        <v/>
      </c>
      <c r="C7378" s="59" t="str">
        <f t="shared" si="22"/>
        <v/>
      </c>
      <c r="D7378" s="45" t="str">
        <f t="shared" si="23"/>
        <v/>
      </c>
      <c r="E7378" s="45" t="str">
        <f t="shared" si="24"/>
        <v/>
      </c>
      <c r="F7378" s="59" t="str">
        <f t="shared" si="25"/>
        <v/>
      </c>
      <c r="G7378" s="59" t="str">
        <f t="shared" si="26"/>
        <v/>
      </c>
      <c r="H7378" s="59" t="str">
        <f t="shared" si="27"/>
        <v>28C01544</v>
      </c>
      <c r="I7378" s="59" t="str">
        <f>IF(OR($A7378="",$C7378="",$D7378="",$E7378="",$H7378=""),"",SUMIFS(DATA_GOC!$H:$H,DATA_GOC!$A:$A,"BOM",DATA_GOC!$D:$D,$H7378,DATA_GOC!$E:$E,$C7378,DATA_GOC!$F:$F,"Xuất nội bộ từ téc",DATA_GOC!$B:$B,"&gt;="&amp;$D7378,DATA_GOC!$B:$B,"&lt;="&amp;$E7378))</f>
        <v/>
      </c>
      <c r="J7378" s="59">
        <f t="shared" si="28"/>
        <v>0</v>
      </c>
      <c r="K7378" s="59">
        <f t="shared" si="29"/>
        <v>0</v>
      </c>
      <c r="L7378" s="59">
        <f t="shared" si="30"/>
        <v>0</v>
      </c>
      <c r="M7378" s="59">
        <f t="shared" si="31"/>
        <v>0</v>
      </c>
    </row>
    <row r="7379" ht="15.0" hidden="1" customHeight="1">
      <c r="A7379" s="59">
        <f t="shared" si="20"/>
        <v>120</v>
      </c>
      <c r="B7379" s="59" t="str">
        <f t="shared" si="21"/>
        <v/>
      </c>
      <c r="C7379" s="59" t="str">
        <f t="shared" si="22"/>
        <v/>
      </c>
      <c r="D7379" s="45" t="str">
        <f t="shared" si="23"/>
        <v/>
      </c>
      <c r="E7379" s="45" t="str">
        <f t="shared" si="24"/>
        <v/>
      </c>
      <c r="F7379" s="59" t="str">
        <f t="shared" si="25"/>
        <v/>
      </c>
      <c r="G7379" s="59" t="str">
        <f t="shared" si="26"/>
        <v/>
      </c>
      <c r="H7379" s="59" t="str">
        <f t="shared" si="27"/>
        <v>28C01622</v>
      </c>
      <c r="I7379" s="59" t="str">
        <f>IF(OR($A7379="",$C7379="",$D7379="",$E7379="",$H7379=""),"",SUMIFS(DATA_GOC!$H:$H,DATA_GOC!$A:$A,"BOM",DATA_GOC!$D:$D,$H7379,DATA_GOC!$E:$E,$C7379,DATA_GOC!$F:$F,"Xuất nội bộ từ téc",DATA_GOC!$B:$B,"&gt;="&amp;$D7379,DATA_GOC!$B:$B,"&lt;="&amp;$E7379))</f>
        <v/>
      </c>
      <c r="J7379" s="59">
        <f t="shared" si="28"/>
        <v>0</v>
      </c>
      <c r="K7379" s="59">
        <f t="shared" si="29"/>
        <v>0</v>
      </c>
      <c r="L7379" s="59">
        <f t="shared" si="30"/>
        <v>0</v>
      </c>
      <c r="M7379" s="59">
        <f t="shared" si="31"/>
        <v>0</v>
      </c>
    </row>
    <row r="7380" ht="15.0" hidden="1" customHeight="1">
      <c r="A7380" s="59">
        <f t="shared" si="20"/>
        <v>120</v>
      </c>
      <c r="B7380" s="59" t="str">
        <f t="shared" si="21"/>
        <v/>
      </c>
      <c r="C7380" s="59" t="str">
        <f t="shared" si="22"/>
        <v/>
      </c>
      <c r="D7380" s="45" t="str">
        <f t="shared" si="23"/>
        <v/>
      </c>
      <c r="E7380" s="45" t="str">
        <f t="shared" si="24"/>
        <v/>
      </c>
      <c r="F7380" s="59" t="str">
        <f t="shared" si="25"/>
        <v/>
      </c>
      <c r="G7380" s="59" t="str">
        <f t="shared" si="26"/>
        <v/>
      </c>
      <c r="H7380" s="59" t="str">
        <f t="shared" si="27"/>
        <v>28C01647</v>
      </c>
      <c r="I7380" s="59" t="str">
        <f>IF(OR($A7380="",$C7380="",$D7380="",$E7380="",$H7380=""),"",SUMIFS(DATA_GOC!$H:$H,DATA_GOC!$A:$A,"BOM",DATA_GOC!$D:$D,$H7380,DATA_GOC!$E:$E,$C7380,DATA_GOC!$F:$F,"Xuất nội bộ từ téc",DATA_GOC!$B:$B,"&gt;="&amp;$D7380,DATA_GOC!$B:$B,"&lt;="&amp;$E7380))</f>
        <v/>
      </c>
      <c r="J7380" s="59">
        <f t="shared" si="28"/>
        <v>0</v>
      </c>
      <c r="K7380" s="59">
        <f t="shared" si="29"/>
        <v>0</v>
      </c>
      <c r="L7380" s="59">
        <f t="shared" si="30"/>
        <v>0</v>
      </c>
      <c r="M7380" s="59">
        <f t="shared" si="31"/>
        <v>0</v>
      </c>
    </row>
    <row r="7381" ht="15.0" hidden="1" customHeight="1">
      <c r="A7381" s="59">
        <f t="shared" si="20"/>
        <v>120</v>
      </c>
      <c r="B7381" s="59" t="str">
        <f t="shared" si="21"/>
        <v/>
      </c>
      <c r="C7381" s="59" t="str">
        <f t="shared" si="22"/>
        <v/>
      </c>
      <c r="D7381" s="45" t="str">
        <f t="shared" si="23"/>
        <v/>
      </c>
      <c r="E7381" s="45" t="str">
        <f t="shared" si="24"/>
        <v/>
      </c>
      <c r="F7381" s="59" t="str">
        <f t="shared" si="25"/>
        <v/>
      </c>
      <c r="G7381" s="59" t="str">
        <f t="shared" si="26"/>
        <v/>
      </c>
      <c r="H7381" s="59" t="str">
        <f t="shared" si="27"/>
        <v>28C01731</v>
      </c>
      <c r="I7381" s="59" t="str">
        <f>IF(OR($A7381="",$C7381="",$D7381="",$E7381="",$H7381=""),"",SUMIFS(DATA_GOC!$H:$H,DATA_GOC!$A:$A,"BOM",DATA_GOC!$D:$D,$H7381,DATA_GOC!$E:$E,$C7381,DATA_GOC!$F:$F,"Xuất nội bộ từ téc",DATA_GOC!$B:$B,"&gt;="&amp;$D7381,DATA_GOC!$B:$B,"&lt;="&amp;$E7381))</f>
        <v/>
      </c>
      <c r="J7381" s="59">
        <f t="shared" si="28"/>
        <v>0</v>
      </c>
      <c r="K7381" s="59">
        <f t="shared" si="29"/>
        <v>0</v>
      </c>
      <c r="L7381" s="59">
        <f t="shared" si="30"/>
        <v>0</v>
      </c>
      <c r="M7381" s="59">
        <f t="shared" si="31"/>
        <v>0</v>
      </c>
    </row>
    <row r="7382" ht="15.0" hidden="1" customHeight="1">
      <c r="A7382" s="59">
        <f t="shared" si="20"/>
        <v>120</v>
      </c>
      <c r="B7382" s="59" t="str">
        <f t="shared" si="21"/>
        <v/>
      </c>
      <c r="C7382" s="59" t="str">
        <f t="shared" si="22"/>
        <v/>
      </c>
      <c r="D7382" s="45" t="str">
        <f t="shared" si="23"/>
        <v/>
      </c>
      <c r="E7382" s="45" t="str">
        <f t="shared" si="24"/>
        <v/>
      </c>
      <c r="F7382" s="59" t="str">
        <f t="shared" si="25"/>
        <v/>
      </c>
      <c r="G7382" s="59" t="str">
        <f t="shared" si="26"/>
        <v/>
      </c>
      <c r="H7382" s="59" t="str">
        <f t="shared" si="27"/>
        <v>28C01743</v>
      </c>
      <c r="I7382" s="59" t="str">
        <f>IF(OR($A7382="",$C7382="",$D7382="",$E7382="",$H7382=""),"",SUMIFS(DATA_GOC!$H:$H,DATA_GOC!$A:$A,"BOM",DATA_GOC!$D:$D,$H7382,DATA_GOC!$E:$E,$C7382,DATA_GOC!$F:$F,"Xuất nội bộ từ téc",DATA_GOC!$B:$B,"&gt;="&amp;$D7382,DATA_GOC!$B:$B,"&lt;="&amp;$E7382))</f>
        <v/>
      </c>
      <c r="J7382" s="59">
        <f t="shared" si="28"/>
        <v>0</v>
      </c>
      <c r="K7382" s="59">
        <f t="shared" si="29"/>
        <v>0</v>
      </c>
      <c r="L7382" s="59">
        <f t="shared" si="30"/>
        <v>0</v>
      </c>
      <c r="M7382" s="59">
        <f t="shared" si="31"/>
        <v>0</v>
      </c>
    </row>
    <row r="7383" ht="15.0" hidden="1" customHeight="1">
      <c r="A7383" s="59">
        <f t="shared" si="20"/>
        <v>120</v>
      </c>
      <c r="B7383" s="59" t="str">
        <f t="shared" si="21"/>
        <v/>
      </c>
      <c r="C7383" s="59" t="str">
        <f t="shared" si="22"/>
        <v/>
      </c>
      <c r="D7383" s="45" t="str">
        <f t="shared" si="23"/>
        <v/>
      </c>
      <c r="E7383" s="45" t="str">
        <f t="shared" si="24"/>
        <v/>
      </c>
      <c r="F7383" s="59" t="str">
        <f t="shared" si="25"/>
        <v/>
      </c>
      <c r="G7383" s="59" t="str">
        <f t="shared" si="26"/>
        <v/>
      </c>
      <c r="H7383" s="59" t="str">
        <f t="shared" si="27"/>
        <v>28C02106</v>
      </c>
      <c r="I7383" s="59" t="str">
        <f>IF(OR($A7383="",$C7383="",$D7383="",$E7383="",$H7383=""),"",SUMIFS(DATA_GOC!$H:$H,DATA_GOC!$A:$A,"BOM",DATA_GOC!$D:$D,$H7383,DATA_GOC!$E:$E,$C7383,DATA_GOC!$F:$F,"Xuất nội bộ từ téc",DATA_GOC!$B:$B,"&gt;="&amp;$D7383,DATA_GOC!$B:$B,"&lt;="&amp;$E7383))</f>
        <v/>
      </c>
      <c r="J7383" s="59">
        <f t="shared" si="28"/>
        <v>0</v>
      </c>
      <c r="K7383" s="59">
        <f t="shared" si="29"/>
        <v>0</v>
      </c>
      <c r="L7383" s="59">
        <f t="shared" si="30"/>
        <v>0</v>
      </c>
      <c r="M7383" s="59">
        <f t="shared" si="31"/>
        <v>0</v>
      </c>
    </row>
    <row r="7384" ht="15.0" hidden="1" customHeight="1">
      <c r="A7384" s="59">
        <f t="shared" si="20"/>
        <v>120</v>
      </c>
      <c r="B7384" s="59" t="str">
        <f t="shared" si="21"/>
        <v/>
      </c>
      <c r="C7384" s="59" t="str">
        <f t="shared" si="22"/>
        <v/>
      </c>
      <c r="D7384" s="45" t="str">
        <f t="shared" si="23"/>
        <v/>
      </c>
      <c r="E7384" s="45" t="str">
        <f t="shared" si="24"/>
        <v/>
      </c>
      <c r="F7384" s="59" t="str">
        <f t="shared" si="25"/>
        <v/>
      </c>
      <c r="G7384" s="59" t="str">
        <f t="shared" si="26"/>
        <v/>
      </c>
      <c r="H7384" s="59" t="str">
        <f t="shared" si="27"/>
        <v>28C02410</v>
      </c>
      <c r="I7384" s="59" t="str">
        <f>IF(OR($A7384="",$C7384="",$D7384="",$E7384="",$H7384=""),"",SUMIFS(DATA_GOC!$H:$H,DATA_GOC!$A:$A,"BOM",DATA_GOC!$D:$D,$H7384,DATA_GOC!$E:$E,$C7384,DATA_GOC!$F:$F,"Xuất nội bộ từ téc",DATA_GOC!$B:$B,"&gt;="&amp;$D7384,DATA_GOC!$B:$B,"&lt;="&amp;$E7384))</f>
        <v/>
      </c>
      <c r="J7384" s="59">
        <f t="shared" si="28"/>
        <v>0</v>
      </c>
      <c r="K7384" s="59">
        <f t="shared" si="29"/>
        <v>0</v>
      </c>
      <c r="L7384" s="59">
        <f t="shared" si="30"/>
        <v>0</v>
      </c>
      <c r="M7384" s="59">
        <f t="shared" si="31"/>
        <v>0</v>
      </c>
    </row>
    <row r="7385" ht="15.0" hidden="1" customHeight="1">
      <c r="A7385" s="59">
        <f t="shared" si="20"/>
        <v>120</v>
      </c>
      <c r="B7385" s="59" t="str">
        <f t="shared" si="21"/>
        <v/>
      </c>
      <c r="C7385" s="59" t="str">
        <f t="shared" si="22"/>
        <v/>
      </c>
      <c r="D7385" s="45" t="str">
        <f t="shared" si="23"/>
        <v/>
      </c>
      <c r="E7385" s="45" t="str">
        <f t="shared" si="24"/>
        <v/>
      </c>
      <c r="F7385" s="59" t="str">
        <f t="shared" si="25"/>
        <v/>
      </c>
      <c r="G7385" s="59" t="str">
        <f t="shared" si="26"/>
        <v/>
      </c>
      <c r="H7385" s="59" t="str">
        <f t="shared" si="27"/>
        <v>28C02545</v>
      </c>
      <c r="I7385" s="59" t="str">
        <f>IF(OR($A7385="",$C7385="",$D7385="",$E7385="",$H7385=""),"",SUMIFS(DATA_GOC!$H:$H,DATA_GOC!$A:$A,"BOM",DATA_GOC!$D:$D,$H7385,DATA_GOC!$E:$E,$C7385,DATA_GOC!$F:$F,"Xuất nội bộ từ téc",DATA_GOC!$B:$B,"&gt;="&amp;$D7385,DATA_GOC!$B:$B,"&lt;="&amp;$E7385))</f>
        <v/>
      </c>
      <c r="J7385" s="59">
        <f t="shared" si="28"/>
        <v>0</v>
      </c>
      <c r="K7385" s="59">
        <f t="shared" si="29"/>
        <v>0</v>
      </c>
      <c r="L7385" s="59">
        <f t="shared" si="30"/>
        <v>0</v>
      </c>
      <c r="M7385" s="59">
        <f t="shared" si="31"/>
        <v>0</v>
      </c>
    </row>
    <row r="7386" ht="15.0" hidden="1" customHeight="1">
      <c r="A7386" s="59">
        <f t="shared" si="20"/>
        <v>120</v>
      </c>
      <c r="B7386" s="59" t="str">
        <f t="shared" si="21"/>
        <v/>
      </c>
      <c r="C7386" s="59" t="str">
        <f t="shared" si="22"/>
        <v/>
      </c>
      <c r="D7386" s="45" t="str">
        <f t="shared" si="23"/>
        <v/>
      </c>
      <c r="E7386" s="45" t="str">
        <f t="shared" si="24"/>
        <v/>
      </c>
      <c r="F7386" s="59" t="str">
        <f t="shared" si="25"/>
        <v/>
      </c>
      <c r="G7386" s="59" t="str">
        <f t="shared" si="26"/>
        <v/>
      </c>
      <c r="H7386" s="59" t="str">
        <f t="shared" si="27"/>
        <v>28C02574</v>
      </c>
      <c r="I7386" s="59" t="str">
        <f>IF(OR($A7386="",$C7386="",$D7386="",$E7386="",$H7386=""),"",SUMIFS(DATA_GOC!$H:$H,DATA_GOC!$A:$A,"BOM",DATA_GOC!$D:$D,$H7386,DATA_GOC!$E:$E,$C7386,DATA_GOC!$F:$F,"Xuất nội bộ từ téc",DATA_GOC!$B:$B,"&gt;="&amp;$D7386,DATA_GOC!$B:$B,"&lt;="&amp;$E7386))</f>
        <v/>
      </c>
      <c r="J7386" s="59">
        <f t="shared" si="28"/>
        <v>0</v>
      </c>
      <c r="K7386" s="59">
        <f t="shared" si="29"/>
        <v>0</v>
      </c>
      <c r="L7386" s="59">
        <f t="shared" si="30"/>
        <v>0</v>
      </c>
      <c r="M7386" s="59">
        <f t="shared" si="31"/>
        <v>0</v>
      </c>
    </row>
    <row r="7387" ht="15.0" hidden="1" customHeight="1">
      <c r="A7387" s="59">
        <f t="shared" si="20"/>
        <v>120</v>
      </c>
      <c r="B7387" s="59" t="str">
        <f t="shared" si="21"/>
        <v/>
      </c>
      <c r="C7387" s="59" t="str">
        <f t="shared" si="22"/>
        <v/>
      </c>
      <c r="D7387" s="45" t="str">
        <f t="shared" si="23"/>
        <v/>
      </c>
      <c r="E7387" s="45" t="str">
        <f t="shared" si="24"/>
        <v/>
      </c>
      <c r="F7387" s="59" t="str">
        <f t="shared" si="25"/>
        <v/>
      </c>
      <c r="G7387" s="59" t="str">
        <f t="shared" si="26"/>
        <v/>
      </c>
      <c r="H7387" s="59" t="str">
        <f t="shared" si="27"/>
        <v>28C02770</v>
      </c>
      <c r="I7387" s="59" t="str">
        <f>IF(OR($A7387="",$C7387="",$D7387="",$E7387="",$H7387=""),"",SUMIFS(DATA_GOC!$H:$H,DATA_GOC!$A:$A,"BOM",DATA_GOC!$D:$D,$H7387,DATA_GOC!$E:$E,$C7387,DATA_GOC!$F:$F,"Xuất nội bộ từ téc",DATA_GOC!$B:$B,"&gt;="&amp;$D7387,DATA_GOC!$B:$B,"&lt;="&amp;$E7387))</f>
        <v/>
      </c>
      <c r="J7387" s="59">
        <f t="shared" si="28"/>
        <v>0</v>
      </c>
      <c r="K7387" s="59">
        <f t="shared" si="29"/>
        <v>0</v>
      </c>
      <c r="L7387" s="59">
        <f t="shared" si="30"/>
        <v>0</v>
      </c>
      <c r="M7387" s="59">
        <f t="shared" si="31"/>
        <v>0</v>
      </c>
    </row>
    <row r="7388" ht="15.0" hidden="1" customHeight="1">
      <c r="A7388" s="59">
        <f t="shared" si="20"/>
        <v>120</v>
      </c>
      <c r="B7388" s="59" t="str">
        <f t="shared" si="21"/>
        <v/>
      </c>
      <c r="C7388" s="59" t="str">
        <f t="shared" si="22"/>
        <v/>
      </c>
      <c r="D7388" s="45" t="str">
        <f t="shared" si="23"/>
        <v/>
      </c>
      <c r="E7388" s="45" t="str">
        <f t="shared" si="24"/>
        <v/>
      </c>
      <c r="F7388" s="59" t="str">
        <f t="shared" si="25"/>
        <v/>
      </c>
      <c r="G7388" s="59" t="str">
        <f t="shared" si="26"/>
        <v/>
      </c>
      <c r="H7388" s="59" t="str">
        <f t="shared" si="27"/>
        <v>28C02986</v>
      </c>
      <c r="I7388" s="59" t="str">
        <f>IF(OR($A7388="",$C7388="",$D7388="",$E7388="",$H7388=""),"",SUMIFS(DATA_GOC!$H:$H,DATA_GOC!$A:$A,"BOM",DATA_GOC!$D:$D,$H7388,DATA_GOC!$E:$E,$C7388,DATA_GOC!$F:$F,"Xuất nội bộ từ téc",DATA_GOC!$B:$B,"&gt;="&amp;$D7388,DATA_GOC!$B:$B,"&lt;="&amp;$E7388))</f>
        <v/>
      </c>
      <c r="J7388" s="59">
        <f t="shared" si="28"/>
        <v>0</v>
      </c>
      <c r="K7388" s="59">
        <f t="shared" si="29"/>
        <v>0</v>
      </c>
      <c r="L7388" s="59">
        <f t="shared" si="30"/>
        <v>0</v>
      </c>
      <c r="M7388" s="59">
        <f t="shared" si="31"/>
        <v>0</v>
      </c>
    </row>
    <row r="7389" ht="15.0" hidden="1" customHeight="1">
      <c r="A7389" s="59">
        <f t="shared" si="20"/>
        <v>120</v>
      </c>
      <c r="B7389" s="59" t="str">
        <f t="shared" si="21"/>
        <v/>
      </c>
      <c r="C7389" s="59" t="str">
        <f t="shared" si="22"/>
        <v/>
      </c>
      <c r="D7389" s="45" t="str">
        <f t="shared" si="23"/>
        <v/>
      </c>
      <c r="E7389" s="45" t="str">
        <f t="shared" si="24"/>
        <v/>
      </c>
      <c r="F7389" s="59" t="str">
        <f t="shared" si="25"/>
        <v/>
      </c>
      <c r="G7389" s="59" t="str">
        <f t="shared" si="26"/>
        <v/>
      </c>
      <c r="H7389" s="59" t="str">
        <f t="shared" si="27"/>
        <v>28C03261</v>
      </c>
      <c r="I7389" s="59" t="str">
        <f>IF(OR($A7389="",$C7389="",$D7389="",$E7389="",$H7389=""),"",SUMIFS(DATA_GOC!$H:$H,DATA_GOC!$A:$A,"BOM",DATA_GOC!$D:$D,$H7389,DATA_GOC!$E:$E,$C7389,DATA_GOC!$F:$F,"Xuất nội bộ từ téc",DATA_GOC!$B:$B,"&gt;="&amp;$D7389,DATA_GOC!$B:$B,"&lt;="&amp;$E7389))</f>
        <v/>
      </c>
      <c r="J7389" s="59">
        <f t="shared" si="28"/>
        <v>0</v>
      </c>
      <c r="K7389" s="59">
        <f t="shared" si="29"/>
        <v>0</v>
      </c>
      <c r="L7389" s="59">
        <f t="shared" si="30"/>
        <v>0</v>
      </c>
      <c r="M7389" s="59">
        <f t="shared" si="31"/>
        <v>0</v>
      </c>
    </row>
    <row r="7390" ht="15.0" hidden="1" customHeight="1">
      <c r="A7390" s="59">
        <f t="shared" si="20"/>
        <v>120</v>
      </c>
      <c r="B7390" s="59" t="str">
        <f t="shared" si="21"/>
        <v/>
      </c>
      <c r="C7390" s="59" t="str">
        <f t="shared" si="22"/>
        <v/>
      </c>
      <c r="D7390" s="45" t="str">
        <f t="shared" si="23"/>
        <v/>
      </c>
      <c r="E7390" s="45" t="str">
        <f t="shared" si="24"/>
        <v/>
      </c>
      <c r="F7390" s="59" t="str">
        <f t="shared" si="25"/>
        <v/>
      </c>
      <c r="G7390" s="59" t="str">
        <f t="shared" si="26"/>
        <v/>
      </c>
      <c r="H7390" s="59" t="str">
        <f t="shared" si="27"/>
        <v>28C03323</v>
      </c>
      <c r="I7390" s="59" t="str">
        <f>IF(OR($A7390="",$C7390="",$D7390="",$E7390="",$H7390=""),"",SUMIFS(DATA_GOC!$H:$H,DATA_GOC!$A:$A,"BOM",DATA_GOC!$D:$D,$H7390,DATA_GOC!$E:$E,$C7390,DATA_GOC!$F:$F,"Xuất nội bộ từ téc",DATA_GOC!$B:$B,"&gt;="&amp;$D7390,DATA_GOC!$B:$B,"&lt;="&amp;$E7390))</f>
        <v/>
      </c>
      <c r="J7390" s="59">
        <f t="shared" si="28"/>
        <v>0</v>
      </c>
      <c r="K7390" s="59">
        <f t="shared" si="29"/>
        <v>0</v>
      </c>
      <c r="L7390" s="59">
        <f t="shared" si="30"/>
        <v>0</v>
      </c>
      <c r="M7390" s="59">
        <f t="shared" si="31"/>
        <v>0</v>
      </c>
    </row>
    <row r="7391" ht="15.0" hidden="1" customHeight="1">
      <c r="A7391" s="59">
        <f t="shared" si="20"/>
        <v>120</v>
      </c>
      <c r="B7391" s="59" t="str">
        <f t="shared" si="21"/>
        <v/>
      </c>
      <c r="C7391" s="59" t="str">
        <f t="shared" si="22"/>
        <v/>
      </c>
      <c r="D7391" s="45" t="str">
        <f t="shared" si="23"/>
        <v/>
      </c>
      <c r="E7391" s="45" t="str">
        <f t="shared" si="24"/>
        <v/>
      </c>
      <c r="F7391" s="59" t="str">
        <f t="shared" si="25"/>
        <v/>
      </c>
      <c r="G7391" s="59" t="str">
        <f t="shared" si="26"/>
        <v/>
      </c>
      <c r="H7391" s="59" t="str">
        <f t="shared" si="27"/>
        <v>28C03385</v>
      </c>
      <c r="I7391" s="59" t="str">
        <f>IF(OR($A7391="",$C7391="",$D7391="",$E7391="",$H7391=""),"",SUMIFS(DATA_GOC!$H:$H,DATA_GOC!$A:$A,"BOM",DATA_GOC!$D:$D,$H7391,DATA_GOC!$E:$E,$C7391,DATA_GOC!$F:$F,"Xuất nội bộ từ téc",DATA_GOC!$B:$B,"&gt;="&amp;$D7391,DATA_GOC!$B:$B,"&lt;="&amp;$E7391))</f>
        <v/>
      </c>
      <c r="J7391" s="59">
        <f t="shared" si="28"/>
        <v>0</v>
      </c>
      <c r="K7391" s="59">
        <f t="shared" si="29"/>
        <v>0</v>
      </c>
      <c r="L7391" s="59">
        <f t="shared" si="30"/>
        <v>0</v>
      </c>
      <c r="M7391" s="59">
        <f t="shared" si="31"/>
        <v>0</v>
      </c>
    </row>
    <row r="7392" ht="15.0" hidden="1" customHeight="1">
      <c r="A7392" s="59">
        <f t="shared" si="20"/>
        <v>120</v>
      </c>
      <c r="B7392" s="59" t="str">
        <f t="shared" si="21"/>
        <v/>
      </c>
      <c r="C7392" s="59" t="str">
        <f t="shared" si="22"/>
        <v/>
      </c>
      <c r="D7392" s="45" t="str">
        <f t="shared" si="23"/>
        <v/>
      </c>
      <c r="E7392" s="45" t="str">
        <f t="shared" si="24"/>
        <v/>
      </c>
      <c r="F7392" s="59" t="str">
        <f t="shared" si="25"/>
        <v/>
      </c>
      <c r="G7392" s="59" t="str">
        <f t="shared" si="26"/>
        <v/>
      </c>
      <c r="H7392" s="59" t="str">
        <f t="shared" si="27"/>
        <v>28C03652</v>
      </c>
      <c r="I7392" s="59" t="str">
        <f>IF(OR($A7392="",$C7392="",$D7392="",$E7392="",$H7392=""),"",SUMIFS(DATA_GOC!$H:$H,DATA_GOC!$A:$A,"BOM",DATA_GOC!$D:$D,$H7392,DATA_GOC!$E:$E,$C7392,DATA_GOC!$F:$F,"Xuất nội bộ từ téc",DATA_GOC!$B:$B,"&gt;="&amp;$D7392,DATA_GOC!$B:$B,"&lt;="&amp;$E7392))</f>
        <v/>
      </c>
      <c r="J7392" s="59">
        <f t="shared" si="28"/>
        <v>0</v>
      </c>
      <c r="K7392" s="59">
        <f t="shared" si="29"/>
        <v>0</v>
      </c>
      <c r="L7392" s="59">
        <f t="shared" si="30"/>
        <v>0</v>
      </c>
      <c r="M7392" s="59">
        <f t="shared" si="31"/>
        <v>0</v>
      </c>
    </row>
    <row r="7393" ht="15.0" hidden="1" customHeight="1">
      <c r="A7393" s="59">
        <f t="shared" si="20"/>
        <v>120</v>
      </c>
      <c r="B7393" s="59" t="str">
        <f t="shared" si="21"/>
        <v/>
      </c>
      <c r="C7393" s="59" t="str">
        <f t="shared" si="22"/>
        <v/>
      </c>
      <c r="D7393" s="45" t="str">
        <f t="shared" si="23"/>
        <v/>
      </c>
      <c r="E7393" s="45" t="str">
        <f t="shared" si="24"/>
        <v/>
      </c>
      <c r="F7393" s="59" t="str">
        <f t="shared" si="25"/>
        <v/>
      </c>
      <c r="G7393" s="59" t="str">
        <f t="shared" si="26"/>
        <v/>
      </c>
      <c r="H7393" s="59" t="str">
        <f t="shared" si="27"/>
        <v>28C03695</v>
      </c>
      <c r="I7393" s="59" t="str">
        <f>IF(OR($A7393="",$C7393="",$D7393="",$E7393="",$H7393=""),"",SUMIFS(DATA_GOC!$H:$H,DATA_GOC!$A:$A,"BOM",DATA_GOC!$D:$D,$H7393,DATA_GOC!$E:$E,$C7393,DATA_GOC!$F:$F,"Xuất nội bộ từ téc",DATA_GOC!$B:$B,"&gt;="&amp;$D7393,DATA_GOC!$B:$B,"&lt;="&amp;$E7393))</f>
        <v/>
      </c>
      <c r="J7393" s="59">
        <f t="shared" si="28"/>
        <v>0</v>
      </c>
      <c r="K7393" s="59">
        <f t="shared" si="29"/>
        <v>0</v>
      </c>
      <c r="L7393" s="59">
        <f t="shared" si="30"/>
        <v>0</v>
      </c>
      <c r="M7393" s="59">
        <f t="shared" si="31"/>
        <v>0</v>
      </c>
    </row>
    <row r="7394" ht="15.0" hidden="1" customHeight="1">
      <c r="A7394" s="59">
        <f t="shared" si="20"/>
        <v>120</v>
      </c>
      <c r="B7394" s="59" t="str">
        <f t="shared" si="21"/>
        <v/>
      </c>
      <c r="C7394" s="59" t="str">
        <f t="shared" si="22"/>
        <v/>
      </c>
      <c r="D7394" s="45" t="str">
        <f t="shared" si="23"/>
        <v/>
      </c>
      <c r="E7394" s="45" t="str">
        <f t="shared" si="24"/>
        <v/>
      </c>
      <c r="F7394" s="59" t="str">
        <f t="shared" si="25"/>
        <v/>
      </c>
      <c r="G7394" s="59" t="str">
        <f t="shared" si="26"/>
        <v/>
      </c>
      <c r="H7394" s="59" t="str">
        <f t="shared" si="27"/>
        <v>28C03927</v>
      </c>
      <c r="I7394" s="59" t="str">
        <f>IF(OR($A7394="",$C7394="",$D7394="",$E7394="",$H7394=""),"",SUMIFS(DATA_GOC!$H:$H,DATA_GOC!$A:$A,"BOM",DATA_GOC!$D:$D,$H7394,DATA_GOC!$E:$E,$C7394,DATA_GOC!$F:$F,"Xuất nội bộ từ téc",DATA_GOC!$B:$B,"&gt;="&amp;$D7394,DATA_GOC!$B:$B,"&lt;="&amp;$E7394))</f>
        <v/>
      </c>
      <c r="J7394" s="59">
        <f t="shared" si="28"/>
        <v>0</v>
      </c>
      <c r="K7394" s="59">
        <f t="shared" si="29"/>
        <v>0</v>
      </c>
      <c r="L7394" s="59">
        <f t="shared" si="30"/>
        <v>0</v>
      </c>
      <c r="M7394" s="59">
        <f t="shared" si="31"/>
        <v>0</v>
      </c>
    </row>
    <row r="7395" ht="15.0" hidden="1" customHeight="1">
      <c r="A7395" s="59">
        <f t="shared" si="20"/>
        <v>120</v>
      </c>
      <c r="B7395" s="59" t="str">
        <f t="shared" si="21"/>
        <v/>
      </c>
      <c r="C7395" s="59" t="str">
        <f t="shared" si="22"/>
        <v/>
      </c>
      <c r="D7395" s="45" t="str">
        <f t="shared" si="23"/>
        <v/>
      </c>
      <c r="E7395" s="45" t="str">
        <f t="shared" si="24"/>
        <v/>
      </c>
      <c r="F7395" s="59" t="str">
        <f t="shared" si="25"/>
        <v/>
      </c>
      <c r="G7395" s="59" t="str">
        <f t="shared" si="26"/>
        <v/>
      </c>
      <c r="H7395" s="59" t="str">
        <f t="shared" si="27"/>
        <v>28C04509</v>
      </c>
      <c r="I7395" s="59" t="str">
        <f>IF(OR($A7395="",$C7395="",$D7395="",$E7395="",$H7395=""),"",SUMIFS(DATA_GOC!$H:$H,DATA_GOC!$A:$A,"BOM",DATA_GOC!$D:$D,$H7395,DATA_GOC!$E:$E,$C7395,DATA_GOC!$F:$F,"Xuất nội bộ từ téc",DATA_GOC!$B:$B,"&gt;="&amp;$D7395,DATA_GOC!$B:$B,"&lt;="&amp;$E7395))</f>
        <v/>
      </c>
      <c r="J7395" s="59">
        <f t="shared" si="28"/>
        <v>0</v>
      </c>
      <c r="K7395" s="59">
        <f t="shared" si="29"/>
        <v>0</v>
      </c>
      <c r="L7395" s="59">
        <f t="shared" si="30"/>
        <v>0</v>
      </c>
      <c r="M7395" s="59">
        <f t="shared" si="31"/>
        <v>0</v>
      </c>
    </row>
    <row r="7396" ht="15.0" hidden="1" customHeight="1">
      <c r="A7396" s="59">
        <f t="shared" si="20"/>
        <v>120</v>
      </c>
      <c r="B7396" s="59" t="str">
        <f t="shared" si="21"/>
        <v/>
      </c>
      <c r="C7396" s="59" t="str">
        <f t="shared" si="22"/>
        <v/>
      </c>
      <c r="D7396" s="45" t="str">
        <f t="shared" si="23"/>
        <v/>
      </c>
      <c r="E7396" s="45" t="str">
        <f t="shared" si="24"/>
        <v/>
      </c>
      <c r="F7396" s="59" t="str">
        <f t="shared" si="25"/>
        <v/>
      </c>
      <c r="G7396" s="59" t="str">
        <f t="shared" si="26"/>
        <v/>
      </c>
      <c r="H7396" s="59" t="str">
        <f t="shared" si="27"/>
        <v>28C04536</v>
      </c>
      <c r="I7396" s="59" t="str">
        <f>IF(OR($A7396="",$C7396="",$D7396="",$E7396="",$H7396=""),"",SUMIFS(DATA_GOC!$H:$H,DATA_GOC!$A:$A,"BOM",DATA_GOC!$D:$D,$H7396,DATA_GOC!$E:$E,$C7396,DATA_GOC!$F:$F,"Xuất nội bộ từ téc",DATA_GOC!$B:$B,"&gt;="&amp;$D7396,DATA_GOC!$B:$B,"&lt;="&amp;$E7396))</f>
        <v/>
      </c>
      <c r="J7396" s="59">
        <f t="shared" si="28"/>
        <v>0</v>
      </c>
      <c r="K7396" s="59">
        <f t="shared" si="29"/>
        <v>0</v>
      </c>
      <c r="L7396" s="59">
        <f t="shared" si="30"/>
        <v>0</v>
      </c>
      <c r="M7396" s="59">
        <f t="shared" si="31"/>
        <v>0</v>
      </c>
    </row>
    <row r="7397" ht="15.0" hidden="1" customHeight="1">
      <c r="A7397" s="59">
        <f t="shared" si="20"/>
        <v>120</v>
      </c>
      <c r="B7397" s="59" t="str">
        <f t="shared" si="21"/>
        <v/>
      </c>
      <c r="C7397" s="59" t="str">
        <f t="shared" si="22"/>
        <v/>
      </c>
      <c r="D7397" s="45" t="str">
        <f t="shared" si="23"/>
        <v/>
      </c>
      <c r="E7397" s="45" t="str">
        <f t="shared" si="24"/>
        <v/>
      </c>
      <c r="F7397" s="59" t="str">
        <f t="shared" si="25"/>
        <v/>
      </c>
      <c r="G7397" s="59" t="str">
        <f t="shared" si="26"/>
        <v/>
      </c>
      <c r="H7397" s="59" t="str">
        <f t="shared" si="27"/>
        <v>28C04576</v>
      </c>
      <c r="I7397" s="59" t="str">
        <f>IF(OR($A7397="",$C7397="",$D7397="",$E7397="",$H7397=""),"",SUMIFS(DATA_GOC!$H:$H,DATA_GOC!$A:$A,"BOM",DATA_GOC!$D:$D,$H7397,DATA_GOC!$E:$E,$C7397,DATA_GOC!$F:$F,"Xuất nội bộ từ téc",DATA_GOC!$B:$B,"&gt;="&amp;$D7397,DATA_GOC!$B:$B,"&lt;="&amp;$E7397))</f>
        <v/>
      </c>
      <c r="J7397" s="59">
        <f t="shared" si="28"/>
        <v>0</v>
      </c>
      <c r="K7397" s="59">
        <f t="shared" si="29"/>
        <v>0</v>
      </c>
      <c r="L7397" s="59">
        <f t="shared" si="30"/>
        <v>0</v>
      </c>
      <c r="M7397" s="59">
        <f t="shared" si="31"/>
        <v>0</v>
      </c>
    </row>
    <row r="7398" ht="15.0" hidden="1" customHeight="1">
      <c r="A7398" s="59">
        <f t="shared" si="20"/>
        <v>120</v>
      </c>
      <c r="B7398" s="59" t="str">
        <f t="shared" si="21"/>
        <v/>
      </c>
      <c r="C7398" s="59" t="str">
        <f t="shared" si="22"/>
        <v/>
      </c>
      <c r="D7398" s="45" t="str">
        <f t="shared" si="23"/>
        <v/>
      </c>
      <c r="E7398" s="45" t="str">
        <f t="shared" si="24"/>
        <v/>
      </c>
      <c r="F7398" s="59" t="str">
        <f t="shared" si="25"/>
        <v/>
      </c>
      <c r="G7398" s="59" t="str">
        <f t="shared" si="26"/>
        <v/>
      </c>
      <c r="H7398" s="59" t="str">
        <f t="shared" si="27"/>
        <v>28C05090</v>
      </c>
      <c r="I7398" s="59" t="str">
        <f>IF(OR($A7398="",$C7398="",$D7398="",$E7398="",$H7398=""),"",SUMIFS(DATA_GOC!$H:$H,DATA_GOC!$A:$A,"BOM",DATA_GOC!$D:$D,$H7398,DATA_GOC!$E:$E,$C7398,DATA_GOC!$F:$F,"Xuất nội bộ từ téc",DATA_GOC!$B:$B,"&gt;="&amp;$D7398,DATA_GOC!$B:$B,"&lt;="&amp;$E7398))</f>
        <v/>
      </c>
      <c r="J7398" s="59">
        <f t="shared" si="28"/>
        <v>0</v>
      </c>
      <c r="K7398" s="59">
        <f t="shared" si="29"/>
        <v>0</v>
      </c>
      <c r="L7398" s="59">
        <f t="shared" si="30"/>
        <v>0</v>
      </c>
      <c r="M7398" s="59">
        <f t="shared" si="31"/>
        <v>0</v>
      </c>
    </row>
    <row r="7399" ht="15.0" hidden="1" customHeight="1">
      <c r="A7399" s="59">
        <f t="shared" si="20"/>
        <v>120</v>
      </c>
      <c r="B7399" s="59" t="str">
        <f t="shared" si="21"/>
        <v/>
      </c>
      <c r="C7399" s="59" t="str">
        <f t="shared" si="22"/>
        <v/>
      </c>
      <c r="D7399" s="45" t="str">
        <f t="shared" si="23"/>
        <v/>
      </c>
      <c r="E7399" s="45" t="str">
        <f t="shared" si="24"/>
        <v/>
      </c>
      <c r="F7399" s="59" t="str">
        <f t="shared" si="25"/>
        <v/>
      </c>
      <c r="G7399" s="59" t="str">
        <f t="shared" si="26"/>
        <v/>
      </c>
      <c r="H7399" s="59" t="str">
        <f t="shared" si="27"/>
        <v>28C05345</v>
      </c>
      <c r="I7399" s="59" t="str">
        <f>IF(OR($A7399="",$C7399="",$D7399="",$E7399="",$H7399=""),"",SUMIFS(DATA_GOC!$H:$H,DATA_GOC!$A:$A,"BOM",DATA_GOC!$D:$D,$H7399,DATA_GOC!$E:$E,$C7399,DATA_GOC!$F:$F,"Xuất nội bộ từ téc",DATA_GOC!$B:$B,"&gt;="&amp;$D7399,DATA_GOC!$B:$B,"&lt;="&amp;$E7399))</f>
        <v/>
      </c>
      <c r="J7399" s="59">
        <f t="shared" si="28"/>
        <v>0</v>
      </c>
      <c r="K7399" s="59">
        <f t="shared" si="29"/>
        <v>0</v>
      </c>
      <c r="L7399" s="59">
        <f t="shared" si="30"/>
        <v>0</v>
      </c>
      <c r="M7399" s="59">
        <f t="shared" si="31"/>
        <v>0</v>
      </c>
    </row>
    <row r="7400" ht="15.0" hidden="1" customHeight="1">
      <c r="A7400" s="59">
        <f t="shared" si="20"/>
        <v>120</v>
      </c>
      <c r="B7400" s="59" t="str">
        <f t="shared" si="21"/>
        <v/>
      </c>
      <c r="C7400" s="59" t="str">
        <f t="shared" si="22"/>
        <v/>
      </c>
      <c r="D7400" s="45" t="str">
        <f t="shared" si="23"/>
        <v/>
      </c>
      <c r="E7400" s="45" t="str">
        <f t="shared" si="24"/>
        <v/>
      </c>
      <c r="F7400" s="59" t="str">
        <f t="shared" si="25"/>
        <v/>
      </c>
      <c r="G7400" s="59" t="str">
        <f t="shared" si="26"/>
        <v/>
      </c>
      <c r="H7400" s="59" t="str">
        <f t="shared" si="27"/>
        <v>28C05661</v>
      </c>
      <c r="I7400" s="59" t="str">
        <f>IF(OR($A7400="",$C7400="",$D7400="",$E7400="",$H7400=""),"",SUMIFS(DATA_GOC!$H:$H,DATA_GOC!$A:$A,"BOM",DATA_GOC!$D:$D,$H7400,DATA_GOC!$E:$E,$C7400,DATA_GOC!$F:$F,"Xuất nội bộ từ téc",DATA_GOC!$B:$B,"&gt;="&amp;$D7400,DATA_GOC!$B:$B,"&lt;="&amp;$E7400))</f>
        <v/>
      </c>
      <c r="J7400" s="59">
        <f t="shared" si="28"/>
        <v>0</v>
      </c>
      <c r="K7400" s="59">
        <f t="shared" si="29"/>
        <v>0</v>
      </c>
      <c r="L7400" s="59">
        <f t="shared" si="30"/>
        <v>0</v>
      </c>
      <c r="M7400" s="59">
        <f t="shared" si="31"/>
        <v>0</v>
      </c>
    </row>
    <row r="7401" ht="15.0" hidden="1" customHeight="1">
      <c r="A7401" s="59">
        <f t="shared" si="20"/>
        <v>120</v>
      </c>
      <c r="B7401" s="59" t="str">
        <f t="shared" si="21"/>
        <v/>
      </c>
      <c r="C7401" s="59" t="str">
        <f t="shared" si="22"/>
        <v/>
      </c>
      <c r="D7401" s="45" t="str">
        <f t="shared" si="23"/>
        <v/>
      </c>
      <c r="E7401" s="45" t="str">
        <f t="shared" si="24"/>
        <v/>
      </c>
      <c r="F7401" s="59" t="str">
        <f t="shared" si="25"/>
        <v/>
      </c>
      <c r="G7401" s="59" t="str">
        <f t="shared" si="26"/>
        <v/>
      </c>
      <c r="H7401" s="59" t="str">
        <f t="shared" si="27"/>
        <v>28C05739</v>
      </c>
      <c r="I7401" s="59" t="str">
        <f>IF(OR($A7401="",$C7401="",$D7401="",$E7401="",$H7401=""),"",SUMIFS(DATA_GOC!$H:$H,DATA_GOC!$A:$A,"BOM",DATA_GOC!$D:$D,$H7401,DATA_GOC!$E:$E,$C7401,DATA_GOC!$F:$F,"Xuất nội bộ từ téc",DATA_GOC!$B:$B,"&gt;="&amp;$D7401,DATA_GOC!$B:$B,"&lt;="&amp;$E7401))</f>
        <v/>
      </c>
      <c r="J7401" s="59">
        <f t="shared" si="28"/>
        <v>0</v>
      </c>
      <c r="K7401" s="59">
        <f t="shared" si="29"/>
        <v>0</v>
      </c>
      <c r="L7401" s="59">
        <f t="shared" si="30"/>
        <v>0</v>
      </c>
      <c r="M7401" s="59">
        <f t="shared" si="31"/>
        <v>0</v>
      </c>
    </row>
    <row r="7402" ht="15.0" hidden="1" customHeight="1">
      <c r="A7402" s="59">
        <f t="shared" si="20"/>
        <v>120</v>
      </c>
      <c r="B7402" s="59" t="str">
        <f t="shared" si="21"/>
        <v/>
      </c>
      <c r="C7402" s="59" t="str">
        <f t="shared" si="22"/>
        <v/>
      </c>
      <c r="D7402" s="45" t="str">
        <f t="shared" si="23"/>
        <v/>
      </c>
      <c r="E7402" s="45" t="str">
        <f t="shared" si="24"/>
        <v/>
      </c>
      <c r="F7402" s="59" t="str">
        <f t="shared" si="25"/>
        <v/>
      </c>
      <c r="G7402" s="59" t="str">
        <f t="shared" si="26"/>
        <v/>
      </c>
      <c r="H7402" s="59" t="str">
        <f t="shared" si="27"/>
        <v>28C06369</v>
      </c>
      <c r="I7402" s="59" t="str">
        <f>IF(OR($A7402="",$C7402="",$D7402="",$E7402="",$H7402=""),"",SUMIFS(DATA_GOC!$H:$H,DATA_GOC!$A:$A,"BOM",DATA_GOC!$D:$D,$H7402,DATA_GOC!$E:$E,$C7402,DATA_GOC!$F:$F,"Xuất nội bộ từ téc",DATA_GOC!$B:$B,"&gt;="&amp;$D7402,DATA_GOC!$B:$B,"&lt;="&amp;$E7402))</f>
        <v/>
      </c>
      <c r="J7402" s="59">
        <f t="shared" si="28"/>
        <v>0</v>
      </c>
      <c r="K7402" s="59">
        <f t="shared" si="29"/>
        <v>0</v>
      </c>
      <c r="L7402" s="59">
        <f t="shared" si="30"/>
        <v>0</v>
      </c>
      <c r="M7402" s="59">
        <f t="shared" si="31"/>
        <v>0</v>
      </c>
    </row>
    <row r="7403" ht="15.0" hidden="1" customHeight="1">
      <c r="A7403" s="59">
        <f t="shared" si="20"/>
        <v>120</v>
      </c>
      <c r="B7403" s="59" t="str">
        <f t="shared" si="21"/>
        <v/>
      </c>
      <c r="C7403" s="59" t="str">
        <f t="shared" si="22"/>
        <v/>
      </c>
      <c r="D7403" s="45" t="str">
        <f t="shared" si="23"/>
        <v/>
      </c>
      <c r="E7403" s="45" t="str">
        <f t="shared" si="24"/>
        <v/>
      </c>
      <c r="F7403" s="59" t="str">
        <f t="shared" si="25"/>
        <v/>
      </c>
      <c r="G7403" s="59" t="str">
        <f t="shared" si="26"/>
        <v/>
      </c>
      <c r="H7403" s="59" t="str">
        <f t="shared" si="27"/>
        <v>28C06447</v>
      </c>
      <c r="I7403" s="59" t="str">
        <f>IF(OR($A7403="",$C7403="",$D7403="",$E7403="",$H7403=""),"",SUMIFS(DATA_GOC!$H:$H,DATA_GOC!$A:$A,"BOM",DATA_GOC!$D:$D,$H7403,DATA_GOC!$E:$E,$C7403,DATA_GOC!$F:$F,"Xuất nội bộ từ téc",DATA_GOC!$B:$B,"&gt;="&amp;$D7403,DATA_GOC!$B:$B,"&lt;="&amp;$E7403))</f>
        <v/>
      </c>
      <c r="J7403" s="59">
        <f t="shared" si="28"/>
        <v>0</v>
      </c>
      <c r="K7403" s="59">
        <f t="shared" si="29"/>
        <v>0</v>
      </c>
      <c r="L7403" s="59">
        <f t="shared" si="30"/>
        <v>0</v>
      </c>
      <c r="M7403" s="59">
        <f t="shared" si="31"/>
        <v>0</v>
      </c>
    </row>
    <row r="7404" ht="15.0" hidden="1" customHeight="1">
      <c r="A7404" s="59">
        <f t="shared" si="20"/>
        <v>120</v>
      </c>
      <c r="B7404" s="59" t="str">
        <f t="shared" si="21"/>
        <v/>
      </c>
      <c r="C7404" s="59" t="str">
        <f t="shared" si="22"/>
        <v/>
      </c>
      <c r="D7404" s="45" t="str">
        <f t="shared" si="23"/>
        <v/>
      </c>
      <c r="E7404" s="45" t="str">
        <f t="shared" si="24"/>
        <v/>
      </c>
      <c r="F7404" s="59" t="str">
        <f t="shared" si="25"/>
        <v/>
      </c>
      <c r="G7404" s="59" t="str">
        <f t="shared" si="26"/>
        <v/>
      </c>
      <c r="H7404" s="59" t="str">
        <f t="shared" si="27"/>
        <v>28H00003</v>
      </c>
      <c r="I7404" s="59" t="str">
        <f>IF(OR($A7404="",$C7404="",$D7404="",$E7404="",$H7404=""),"",SUMIFS(DATA_GOC!$H:$H,DATA_GOC!$A:$A,"BOM",DATA_GOC!$D:$D,$H7404,DATA_GOC!$E:$E,$C7404,DATA_GOC!$F:$F,"Xuất nội bộ từ téc",DATA_GOC!$B:$B,"&gt;="&amp;$D7404,DATA_GOC!$B:$B,"&lt;="&amp;$E7404))</f>
        <v/>
      </c>
      <c r="J7404" s="59">
        <f t="shared" si="28"/>
        <v>0</v>
      </c>
      <c r="K7404" s="59">
        <f t="shared" si="29"/>
        <v>0</v>
      </c>
      <c r="L7404" s="59">
        <f t="shared" si="30"/>
        <v>0</v>
      </c>
      <c r="M7404" s="59">
        <f t="shared" si="31"/>
        <v>0</v>
      </c>
    </row>
    <row r="7405" ht="15.0" hidden="1" customHeight="1">
      <c r="A7405" s="59">
        <f t="shared" si="20"/>
        <v>120</v>
      </c>
      <c r="B7405" s="59" t="str">
        <f t="shared" si="21"/>
        <v/>
      </c>
      <c r="C7405" s="59" t="str">
        <f t="shared" si="22"/>
        <v/>
      </c>
      <c r="D7405" s="45" t="str">
        <f t="shared" si="23"/>
        <v/>
      </c>
      <c r="E7405" s="45" t="str">
        <f t="shared" si="24"/>
        <v/>
      </c>
      <c r="F7405" s="59" t="str">
        <f t="shared" si="25"/>
        <v/>
      </c>
      <c r="G7405" s="59" t="str">
        <f t="shared" si="26"/>
        <v/>
      </c>
      <c r="H7405" s="59" t="str">
        <f t="shared" si="27"/>
        <v>28H00061</v>
      </c>
      <c r="I7405" s="59" t="str">
        <f>IF(OR($A7405="",$C7405="",$D7405="",$E7405="",$H7405=""),"",SUMIFS(DATA_GOC!$H:$H,DATA_GOC!$A:$A,"BOM",DATA_GOC!$D:$D,$H7405,DATA_GOC!$E:$E,$C7405,DATA_GOC!$F:$F,"Xuất nội bộ từ téc",DATA_GOC!$B:$B,"&gt;="&amp;$D7405,DATA_GOC!$B:$B,"&lt;="&amp;$E7405))</f>
        <v/>
      </c>
      <c r="J7405" s="59">
        <f t="shared" si="28"/>
        <v>0</v>
      </c>
      <c r="K7405" s="59">
        <f t="shared" si="29"/>
        <v>0</v>
      </c>
      <c r="L7405" s="59">
        <f t="shared" si="30"/>
        <v>0</v>
      </c>
      <c r="M7405" s="59">
        <f t="shared" si="31"/>
        <v>0</v>
      </c>
    </row>
    <row r="7406" ht="15.0" hidden="1" customHeight="1">
      <c r="A7406" s="59">
        <f t="shared" si="20"/>
        <v>120</v>
      </c>
      <c r="B7406" s="59" t="str">
        <f t="shared" si="21"/>
        <v/>
      </c>
      <c r="C7406" s="59" t="str">
        <f t="shared" si="22"/>
        <v/>
      </c>
      <c r="D7406" s="45" t="str">
        <f t="shared" si="23"/>
        <v/>
      </c>
      <c r="E7406" s="45" t="str">
        <f t="shared" si="24"/>
        <v/>
      </c>
      <c r="F7406" s="59" t="str">
        <f t="shared" si="25"/>
        <v/>
      </c>
      <c r="G7406" s="59" t="str">
        <f t="shared" si="26"/>
        <v/>
      </c>
      <c r="H7406" s="59" t="str">
        <f t="shared" si="27"/>
        <v>28H00354</v>
      </c>
      <c r="I7406" s="59" t="str">
        <f>IF(OR($A7406="",$C7406="",$D7406="",$E7406="",$H7406=""),"",SUMIFS(DATA_GOC!$H:$H,DATA_GOC!$A:$A,"BOM",DATA_GOC!$D:$D,$H7406,DATA_GOC!$E:$E,$C7406,DATA_GOC!$F:$F,"Xuất nội bộ từ téc",DATA_GOC!$B:$B,"&gt;="&amp;$D7406,DATA_GOC!$B:$B,"&lt;="&amp;$E7406))</f>
        <v/>
      </c>
      <c r="J7406" s="59">
        <f t="shared" si="28"/>
        <v>0</v>
      </c>
      <c r="K7406" s="59">
        <f t="shared" si="29"/>
        <v>0</v>
      </c>
      <c r="L7406" s="59">
        <f t="shared" si="30"/>
        <v>0</v>
      </c>
      <c r="M7406" s="59">
        <f t="shared" si="31"/>
        <v>0</v>
      </c>
    </row>
    <row r="7407" ht="15.0" hidden="1" customHeight="1">
      <c r="A7407" s="59">
        <f t="shared" si="20"/>
        <v>120</v>
      </c>
      <c r="B7407" s="59" t="str">
        <f t="shared" si="21"/>
        <v/>
      </c>
      <c r="C7407" s="59" t="str">
        <f t="shared" si="22"/>
        <v/>
      </c>
      <c r="D7407" s="45" t="str">
        <f t="shared" si="23"/>
        <v/>
      </c>
      <c r="E7407" s="45" t="str">
        <f t="shared" si="24"/>
        <v/>
      </c>
      <c r="F7407" s="59" t="str">
        <f t="shared" si="25"/>
        <v/>
      </c>
      <c r="G7407" s="59" t="str">
        <f t="shared" si="26"/>
        <v/>
      </c>
      <c r="H7407" s="59" t="str">
        <f t="shared" si="27"/>
        <v>28H00603</v>
      </c>
      <c r="I7407" s="59" t="str">
        <f>IF(OR($A7407="",$C7407="",$D7407="",$E7407="",$H7407=""),"",SUMIFS(DATA_GOC!$H:$H,DATA_GOC!$A:$A,"BOM",DATA_GOC!$D:$D,$H7407,DATA_GOC!$E:$E,$C7407,DATA_GOC!$F:$F,"Xuất nội bộ từ téc",DATA_GOC!$B:$B,"&gt;="&amp;$D7407,DATA_GOC!$B:$B,"&lt;="&amp;$E7407))</f>
        <v/>
      </c>
      <c r="J7407" s="59">
        <f t="shared" si="28"/>
        <v>0</v>
      </c>
      <c r="K7407" s="59">
        <f t="shared" si="29"/>
        <v>0</v>
      </c>
      <c r="L7407" s="59">
        <f t="shared" si="30"/>
        <v>0</v>
      </c>
      <c r="M7407" s="59">
        <f t="shared" si="31"/>
        <v>0</v>
      </c>
    </row>
    <row r="7408" ht="15.0" hidden="1" customHeight="1">
      <c r="A7408" s="59">
        <f t="shared" si="20"/>
        <v>120</v>
      </c>
      <c r="B7408" s="59" t="str">
        <f t="shared" si="21"/>
        <v/>
      </c>
      <c r="C7408" s="59" t="str">
        <f t="shared" si="22"/>
        <v/>
      </c>
      <c r="D7408" s="45" t="str">
        <f t="shared" si="23"/>
        <v/>
      </c>
      <c r="E7408" s="45" t="str">
        <f t="shared" si="24"/>
        <v/>
      </c>
      <c r="F7408" s="59" t="str">
        <f t="shared" si="25"/>
        <v/>
      </c>
      <c r="G7408" s="59" t="str">
        <f t="shared" si="26"/>
        <v/>
      </c>
      <c r="H7408" s="59" t="str">
        <f t="shared" si="27"/>
        <v>28H00609</v>
      </c>
      <c r="I7408" s="59" t="str">
        <f>IF(OR($A7408="",$C7408="",$D7408="",$E7408="",$H7408=""),"",SUMIFS(DATA_GOC!$H:$H,DATA_GOC!$A:$A,"BOM",DATA_GOC!$D:$D,$H7408,DATA_GOC!$E:$E,$C7408,DATA_GOC!$F:$F,"Xuất nội bộ từ téc",DATA_GOC!$B:$B,"&gt;="&amp;$D7408,DATA_GOC!$B:$B,"&lt;="&amp;$E7408))</f>
        <v/>
      </c>
      <c r="J7408" s="59">
        <f t="shared" si="28"/>
        <v>0</v>
      </c>
      <c r="K7408" s="59">
        <f t="shared" si="29"/>
        <v>0</v>
      </c>
      <c r="L7408" s="59">
        <f t="shared" si="30"/>
        <v>0</v>
      </c>
      <c r="M7408" s="59">
        <f t="shared" si="31"/>
        <v>0</v>
      </c>
    </row>
    <row r="7409" ht="15.0" hidden="1" customHeight="1">
      <c r="A7409" s="59">
        <f t="shared" si="20"/>
        <v>120</v>
      </c>
      <c r="B7409" s="59" t="str">
        <f t="shared" si="21"/>
        <v/>
      </c>
      <c r="C7409" s="59" t="str">
        <f t="shared" si="22"/>
        <v/>
      </c>
      <c r="D7409" s="45" t="str">
        <f t="shared" si="23"/>
        <v/>
      </c>
      <c r="E7409" s="45" t="str">
        <f t="shared" si="24"/>
        <v/>
      </c>
      <c r="F7409" s="59" t="str">
        <f t="shared" si="25"/>
        <v/>
      </c>
      <c r="G7409" s="59" t="str">
        <f t="shared" si="26"/>
        <v/>
      </c>
      <c r="H7409" s="59" t="str">
        <f t="shared" si="27"/>
        <v>28H00669</v>
      </c>
      <c r="I7409" s="59" t="str">
        <f>IF(OR($A7409="",$C7409="",$D7409="",$E7409="",$H7409=""),"",SUMIFS(DATA_GOC!$H:$H,DATA_GOC!$A:$A,"BOM",DATA_GOC!$D:$D,$H7409,DATA_GOC!$E:$E,$C7409,DATA_GOC!$F:$F,"Xuất nội bộ từ téc",DATA_GOC!$B:$B,"&gt;="&amp;$D7409,DATA_GOC!$B:$B,"&lt;="&amp;$E7409))</f>
        <v/>
      </c>
      <c r="J7409" s="59">
        <f t="shared" si="28"/>
        <v>0</v>
      </c>
      <c r="K7409" s="59">
        <f t="shared" si="29"/>
        <v>0</v>
      </c>
      <c r="L7409" s="59">
        <f t="shared" si="30"/>
        <v>0</v>
      </c>
      <c r="M7409" s="59">
        <f t="shared" si="31"/>
        <v>0</v>
      </c>
    </row>
    <row r="7410" ht="15.0" hidden="1" customHeight="1">
      <c r="A7410" s="59">
        <f t="shared" si="20"/>
        <v>120</v>
      </c>
      <c r="B7410" s="59" t="str">
        <f t="shared" si="21"/>
        <v/>
      </c>
      <c r="C7410" s="59" t="str">
        <f t="shared" si="22"/>
        <v/>
      </c>
      <c r="D7410" s="45" t="str">
        <f t="shared" si="23"/>
        <v/>
      </c>
      <c r="E7410" s="45" t="str">
        <f t="shared" si="24"/>
        <v/>
      </c>
      <c r="F7410" s="59" t="str">
        <f t="shared" si="25"/>
        <v/>
      </c>
      <c r="G7410" s="59" t="str">
        <f t="shared" si="26"/>
        <v/>
      </c>
      <c r="H7410" s="59" t="str">
        <f t="shared" si="27"/>
        <v>28H00680</v>
      </c>
      <c r="I7410" s="59" t="str">
        <f>IF(OR($A7410="",$C7410="",$D7410="",$E7410="",$H7410=""),"",SUMIFS(DATA_GOC!$H:$H,DATA_GOC!$A:$A,"BOM",DATA_GOC!$D:$D,$H7410,DATA_GOC!$E:$E,$C7410,DATA_GOC!$F:$F,"Xuất nội bộ từ téc",DATA_GOC!$B:$B,"&gt;="&amp;$D7410,DATA_GOC!$B:$B,"&lt;="&amp;$E7410))</f>
        <v/>
      </c>
      <c r="J7410" s="59">
        <f t="shared" si="28"/>
        <v>0</v>
      </c>
      <c r="K7410" s="59">
        <f t="shared" si="29"/>
        <v>0</v>
      </c>
      <c r="L7410" s="59">
        <f t="shared" si="30"/>
        <v>0</v>
      </c>
      <c r="M7410" s="59">
        <f t="shared" si="31"/>
        <v>0</v>
      </c>
    </row>
    <row r="7411" ht="15.0" hidden="1" customHeight="1">
      <c r="A7411" s="59">
        <f t="shared" si="20"/>
        <v>120</v>
      </c>
      <c r="B7411" s="59" t="str">
        <f t="shared" si="21"/>
        <v/>
      </c>
      <c r="C7411" s="59" t="str">
        <f t="shared" si="22"/>
        <v/>
      </c>
      <c r="D7411" s="45" t="str">
        <f t="shared" si="23"/>
        <v/>
      </c>
      <c r="E7411" s="45" t="str">
        <f t="shared" si="24"/>
        <v/>
      </c>
      <c r="F7411" s="59" t="str">
        <f t="shared" si="25"/>
        <v/>
      </c>
      <c r="G7411" s="59" t="str">
        <f t="shared" si="26"/>
        <v/>
      </c>
      <c r="H7411" s="59" t="str">
        <f t="shared" si="27"/>
        <v>28H01070</v>
      </c>
      <c r="I7411" s="59" t="str">
        <f>IF(OR($A7411="",$C7411="",$D7411="",$E7411="",$H7411=""),"",SUMIFS(DATA_GOC!$H:$H,DATA_GOC!$A:$A,"BOM",DATA_GOC!$D:$D,$H7411,DATA_GOC!$E:$E,$C7411,DATA_GOC!$F:$F,"Xuất nội bộ từ téc",DATA_GOC!$B:$B,"&gt;="&amp;$D7411,DATA_GOC!$B:$B,"&lt;="&amp;$E7411))</f>
        <v/>
      </c>
      <c r="J7411" s="59">
        <f t="shared" si="28"/>
        <v>0</v>
      </c>
      <c r="K7411" s="59">
        <f t="shared" si="29"/>
        <v>0</v>
      </c>
      <c r="L7411" s="59">
        <f t="shared" si="30"/>
        <v>0</v>
      </c>
      <c r="M7411" s="59">
        <f t="shared" si="31"/>
        <v>0</v>
      </c>
    </row>
    <row r="7412" ht="15.0" hidden="1" customHeight="1">
      <c r="A7412" s="59">
        <f t="shared" si="20"/>
        <v>120</v>
      </c>
      <c r="B7412" s="59" t="str">
        <f t="shared" si="21"/>
        <v/>
      </c>
      <c r="C7412" s="59" t="str">
        <f t="shared" si="22"/>
        <v/>
      </c>
      <c r="D7412" s="45" t="str">
        <f t="shared" si="23"/>
        <v/>
      </c>
      <c r="E7412" s="45" t="str">
        <f t="shared" si="24"/>
        <v/>
      </c>
      <c r="F7412" s="59" t="str">
        <f t="shared" si="25"/>
        <v/>
      </c>
      <c r="G7412" s="59" t="str">
        <f t="shared" si="26"/>
        <v/>
      </c>
      <c r="H7412" s="59" t="str">
        <f t="shared" si="27"/>
        <v>28H01364</v>
      </c>
      <c r="I7412" s="59" t="str">
        <f>IF(OR($A7412="",$C7412="",$D7412="",$E7412="",$H7412=""),"",SUMIFS(DATA_GOC!$H:$H,DATA_GOC!$A:$A,"BOM",DATA_GOC!$D:$D,$H7412,DATA_GOC!$E:$E,$C7412,DATA_GOC!$F:$F,"Xuất nội bộ từ téc",DATA_GOC!$B:$B,"&gt;="&amp;$D7412,DATA_GOC!$B:$B,"&lt;="&amp;$E7412))</f>
        <v/>
      </c>
      <c r="J7412" s="59">
        <f t="shared" si="28"/>
        <v>0</v>
      </c>
      <c r="K7412" s="59">
        <f t="shared" si="29"/>
        <v>0</v>
      </c>
      <c r="L7412" s="59">
        <f t="shared" si="30"/>
        <v>0</v>
      </c>
      <c r="M7412" s="59">
        <f t="shared" si="31"/>
        <v>0</v>
      </c>
    </row>
    <row r="7413" ht="15.0" hidden="1" customHeight="1">
      <c r="A7413" s="59">
        <f t="shared" si="20"/>
        <v>120</v>
      </c>
      <c r="B7413" s="59" t="str">
        <f t="shared" si="21"/>
        <v/>
      </c>
      <c r="C7413" s="59" t="str">
        <f t="shared" si="22"/>
        <v/>
      </c>
      <c r="D7413" s="45" t="str">
        <f t="shared" si="23"/>
        <v/>
      </c>
      <c r="E7413" s="45" t="str">
        <f t="shared" si="24"/>
        <v/>
      </c>
      <c r="F7413" s="59" t="str">
        <f t="shared" si="25"/>
        <v/>
      </c>
      <c r="G7413" s="59" t="str">
        <f t="shared" si="26"/>
        <v/>
      </c>
      <c r="H7413" s="59" t="str">
        <f t="shared" si="27"/>
        <v>29E17269</v>
      </c>
      <c r="I7413" s="59" t="str">
        <f>IF(OR($A7413="",$C7413="",$D7413="",$E7413="",$H7413=""),"",SUMIFS(DATA_GOC!$H:$H,DATA_GOC!$A:$A,"BOM",DATA_GOC!$D:$D,$H7413,DATA_GOC!$E:$E,$C7413,DATA_GOC!$F:$F,"Xuất nội bộ từ téc",DATA_GOC!$B:$B,"&gt;="&amp;$D7413,DATA_GOC!$B:$B,"&lt;="&amp;$E7413))</f>
        <v/>
      </c>
      <c r="J7413" s="59">
        <f t="shared" si="28"/>
        <v>0</v>
      </c>
      <c r="K7413" s="59">
        <f t="shared" si="29"/>
        <v>0</v>
      </c>
      <c r="L7413" s="59">
        <f t="shared" si="30"/>
        <v>0</v>
      </c>
      <c r="M7413" s="59">
        <f t="shared" si="31"/>
        <v>0</v>
      </c>
    </row>
    <row r="7414" ht="15.0" hidden="1" customHeight="1">
      <c r="A7414" s="59">
        <f t="shared" si="20"/>
        <v>120</v>
      </c>
      <c r="B7414" s="59" t="str">
        <f t="shared" si="21"/>
        <v/>
      </c>
      <c r="C7414" s="59" t="str">
        <f t="shared" si="22"/>
        <v/>
      </c>
      <c r="D7414" s="45" t="str">
        <f t="shared" si="23"/>
        <v/>
      </c>
      <c r="E7414" s="45" t="str">
        <f t="shared" si="24"/>
        <v/>
      </c>
      <c r="F7414" s="59" t="str">
        <f t="shared" si="25"/>
        <v/>
      </c>
      <c r="G7414" s="59" t="str">
        <f t="shared" si="26"/>
        <v/>
      </c>
      <c r="H7414" s="59" t="str">
        <f t="shared" si="27"/>
        <v>29E17273</v>
      </c>
      <c r="I7414" s="59" t="str">
        <f>IF(OR($A7414="",$C7414="",$D7414="",$E7414="",$H7414=""),"",SUMIFS(DATA_GOC!$H:$H,DATA_GOC!$A:$A,"BOM",DATA_GOC!$D:$D,$H7414,DATA_GOC!$E:$E,$C7414,DATA_GOC!$F:$F,"Xuất nội bộ từ téc",DATA_GOC!$B:$B,"&gt;="&amp;$D7414,DATA_GOC!$B:$B,"&lt;="&amp;$E7414))</f>
        <v/>
      </c>
      <c r="J7414" s="59">
        <f t="shared" si="28"/>
        <v>0</v>
      </c>
      <c r="K7414" s="59">
        <f t="shared" si="29"/>
        <v>0</v>
      </c>
      <c r="L7414" s="59">
        <f t="shared" si="30"/>
        <v>0</v>
      </c>
      <c r="M7414" s="59">
        <f t="shared" si="31"/>
        <v>0</v>
      </c>
    </row>
    <row r="7415" ht="15.0" hidden="1" customHeight="1">
      <c r="A7415" s="59">
        <f t="shared" si="20"/>
        <v>120</v>
      </c>
      <c r="B7415" s="59" t="str">
        <f t="shared" si="21"/>
        <v/>
      </c>
      <c r="C7415" s="59" t="str">
        <f t="shared" si="22"/>
        <v/>
      </c>
      <c r="D7415" s="45" t="str">
        <f t="shared" si="23"/>
        <v/>
      </c>
      <c r="E7415" s="45" t="str">
        <f t="shared" si="24"/>
        <v/>
      </c>
      <c r="F7415" s="59" t="str">
        <f t="shared" si="25"/>
        <v/>
      </c>
      <c r="G7415" s="59" t="str">
        <f t="shared" si="26"/>
        <v/>
      </c>
      <c r="H7415" s="59" t="str">
        <f t="shared" si="27"/>
        <v>29E17410</v>
      </c>
      <c r="I7415" s="59" t="str">
        <f>IF(OR($A7415="",$C7415="",$D7415="",$E7415="",$H7415=""),"",SUMIFS(DATA_GOC!$H:$H,DATA_GOC!$A:$A,"BOM",DATA_GOC!$D:$D,$H7415,DATA_GOC!$E:$E,$C7415,DATA_GOC!$F:$F,"Xuất nội bộ từ téc",DATA_GOC!$B:$B,"&gt;="&amp;$D7415,DATA_GOC!$B:$B,"&lt;="&amp;$E7415))</f>
        <v/>
      </c>
      <c r="J7415" s="59">
        <f t="shared" si="28"/>
        <v>0</v>
      </c>
      <c r="K7415" s="59">
        <f t="shared" si="29"/>
        <v>0</v>
      </c>
      <c r="L7415" s="59">
        <f t="shared" si="30"/>
        <v>0</v>
      </c>
      <c r="M7415" s="59">
        <f t="shared" si="31"/>
        <v>0</v>
      </c>
    </row>
    <row r="7416" ht="15.0" hidden="1" customHeight="1">
      <c r="A7416" s="59">
        <f t="shared" si="20"/>
        <v>120</v>
      </c>
      <c r="B7416" s="59" t="str">
        <f t="shared" si="21"/>
        <v/>
      </c>
      <c r="C7416" s="59" t="str">
        <f t="shared" si="22"/>
        <v/>
      </c>
      <c r="D7416" s="45" t="str">
        <f t="shared" si="23"/>
        <v/>
      </c>
      <c r="E7416" s="45" t="str">
        <f t="shared" si="24"/>
        <v/>
      </c>
      <c r="F7416" s="59" t="str">
        <f t="shared" si="25"/>
        <v/>
      </c>
      <c r="G7416" s="59" t="str">
        <f t="shared" si="26"/>
        <v/>
      </c>
      <c r="H7416" s="59" t="str">
        <f t="shared" si="27"/>
        <v>29E17417</v>
      </c>
      <c r="I7416" s="59" t="str">
        <f>IF(OR($A7416="",$C7416="",$D7416="",$E7416="",$H7416=""),"",SUMIFS(DATA_GOC!$H:$H,DATA_GOC!$A:$A,"BOM",DATA_GOC!$D:$D,$H7416,DATA_GOC!$E:$E,$C7416,DATA_GOC!$F:$F,"Xuất nội bộ từ téc",DATA_GOC!$B:$B,"&gt;="&amp;$D7416,DATA_GOC!$B:$B,"&lt;="&amp;$E7416))</f>
        <v/>
      </c>
      <c r="J7416" s="59">
        <f t="shared" si="28"/>
        <v>0</v>
      </c>
      <c r="K7416" s="59">
        <f t="shared" si="29"/>
        <v>0</v>
      </c>
      <c r="L7416" s="59">
        <f t="shared" si="30"/>
        <v>0</v>
      </c>
      <c r="M7416" s="59">
        <f t="shared" si="31"/>
        <v>0</v>
      </c>
    </row>
    <row r="7417" ht="15.0" hidden="1" customHeight="1">
      <c r="A7417" s="59">
        <f t="shared" si="20"/>
        <v>120</v>
      </c>
      <c r="B7417" s="59" t="str">
        <f t="shared" si="21"/>
        <v/>
      </c>
      <c r="C7417" s="59" t="str">
        <f t="shared" si="22"/>
        <v/>
      </c>
      <c r="D7417" s="45" t="str">
        <f t="shared" si="23"/>
        <v/>
      </c>
      <c r="E7417" s="45" t="str">
        <f t="shared" si="24"/>
        <v/>
      </c>
      <c r="F7417" s="59" t="str">
        <f t="shared" si="25"/>
        <v/>
      </c>
      <c r="G7417" s="59" t="str">
        <f t="shared" si="26"/>
        <v/>
      </c>
      <c r="H7417" s="59" t="str">
        <f t="shared" si="27"/>
        <v>29E17539</v>
      </c>
      <c r="I7417" s="59" t="str">
        <f>IF(OR($A7417="",$C7417="",$D7417="",$E7417="",$H7417=""),"",SUMIFS(DATA_GOC!$H:$H,DATA_GOC!$A:$A,"BOM",DATA_GOC!$D:$D,$H7417,DATA_GOC!$E:$E,$C7417,DATA_GOC!$F:$F,"Xuất nội bộ từ téc",DATA_GOC!$B:$B,"&gt;="&amp;$D7417,DATA_GOC!$B:$B,"&lt;="&amp;$E7417))</f>
        <v/>
      </c>
      <c r="J7417" s="59">
        <f t="shared" si="28"/>
        <v>0</v>
      </c>
      <c r="K7417" s="59">
        <f t="shared" si="29"/>
        <v>0</v>
      </c>
      <c r="L7417" s="59">
        <f t="shared" si="30"/>
        <v>0</v>
      </c>
      <c r="M7417" s="59">
        <f t="shared" si="31"/>
        <v>0</v>
      </c>
    </row>
    <row r="7418" ht="15.0" hidden="1" customHeight="1">
      <c r="A7418" s="59">
        <f t="shared" si="20"/>
        <v>120</v>
      </c>
      <c r="B7418" s="59" t="str">
        <f t="shared" si="21"/>
        <v/>
      </c>
      <c r="C7418" s="59" t="str">
        <f t="shared" si="22"/>
        <v/>
      </c>
      <c r="D7418" s="45" t="str">
        <f t="shared" si="23"/>
        <v/>
      </c>
      <c r="E7418" s="45" t="str">
        <f t="shared" si="24"/>
        <v/>
      </c>
      <c r="F7418" s="59" t="str">
        <f t="shared" si="25"/>
        <v/>
      </c>
      <c r="G7418" s="59" t="str">
        <f t="shared" si="26"/>
        <v/>
      </c>
      <c r="H7418" s="59" t="str">
        <f t="shared" si="27"/>
        <v>29E18160</v>
      </c>
      <c r="I7418" s="59" t="str">
        <f>IF(OR($A7418="",$C7418="",$D7418="",$E7418="",$H7418=""),"",SUMIFS(DATA_GOC!$H:$H,DATA_GOC!$A:$A,"BOM",DATA_GOC!$D:$D,$H7418,DATA_GOC!$E:$E,$C7418,DATA_GOC!$F:$F,"Xuất nội bộ từ téc",DATA_GOC!$B:$B,"&gt;="&amp;$D7418,DATA_GOC!$B:$B,"&lt;="&amp;$E7418))</f>
        <v/>
      </c>
      <c r="J7418" s="59">
        <f t="shared" si="28"/>
        <v>0</v>
      </c>
      <c r="K7418" s="59">
        <f t="shared" si="29"/>
        <v>0</v>
      </c>
      <c r="L7418" s="59">
        <f t="shared" si="30"/>
        <v>0</v>
      </c>
      <c r="M7418" s="59">
        <f t="shared" si="31"/>
        <v>0</v>
      </c>
    </row>
    <row r="7419" ht="15.0" hidden="1" customHeight="1">
      <c r="A7419" s="59">
        <f t="shared" si="20"/>
        <v>120</v>
      </c>
      <c r="B7419" s="59" t="str">
        <f t="shared" si="21"/>
        <v/>
      </c>
      <c r="C7419" s="59" t="str">
        <f t="shared" si="22"/>
        <v/>
      </c>
      <c r="D7419" s="45" t="str">
        <f t="shared" si="23"/>
        <v/>
      </c>
      <c r="E7419" s="45" t="str">
        <f t="shared" si="24"/>
        <v/>
      </c>
      <c r="F7419" s="59" t="str">
        <f t="shared" si="25"/>
        <v/>
      </c>
      <c r="G7419" s="59" t="str">
        <f t="shared" si="26"/>
        <v/>
      </c>
      <c r="H7419" s="59" t="str">
        <f t="shared" si="27"/>
        <v>Công trình Asphalt</v>
      </c>
      <c r="I7419" s="59" t="str">
        <f>IF(OR($A7419="",$C7419="",$D7419="",$E7419="",$H7419=""),"",SUMIFS(DATA_GOC!$H:$H,DATA_GOC!$A:$A,"BOM",DATA_GOC!$D:$D,$H7419,DATA_GOC!$E:$E,$C7419,DATA_GOC!$F:$F,"Xuất nội bộ từ téc",DATA_GOC!$B:$B,"&gt;="&amp;$D7419,DATA_GOC!$B:$B,"&lt;="&amp;$E7419))</f>
        <v/>
      </c>
      <c r="J7419" s="59">
        <f t="shared" si="28"/>
        <v>0</v>
      </c>
      <c r="K7419" s="59">
        <f t="shared" si="29"/>
        <v>0</v>
      </c>
      <c r="L7419" s="59">
        <f t="shared" si="30"/>
        <v>0</v>
      </c>
      <c r="M7419" s="59">
        <f t="shared" si="31"/>
        <v>0</v>
      </c>
    </row>
    <row r="7420" ht="15.0" hidden="1" customHeight="1">
      <c r="A7420" s="59">
        <f t="shared" si="20"/>
        <v>120</v>
      </c>
      <c r="B7420" s="59" t="str">
        <f t="shared" si="21"/>
        <v/>
      </c>
      <c r="C7420" s="59" t="str">
        <f t="shared" si="22"/>
        <v/>
      </c>
      <c r="D7420" s="45" t="str">
        <f t="shared" si="23"/>
        <v/>
      </c>
      <c r="E7420" s="45" t="str">
        <f t="shared" si="24"/>
        <v/>
      </c>
      <c r="F7420" s="59" t="str">
        <f t="shared" si="25"/>
        <v/>
      </c>
      <c r="G7420" s="59" t="str">
        <f t="shared" si="26"/>
        <v/>
      </c>
      <c r="H7420" s="59" t="str">
        <f t="shared" si="27"/>
        <v>LG53F</v>
      </c>
      <c r="I7420" s="59" t="str">
        <f>IF(OR($A7420="",$C7420="",$D7420="",$E7420="",$H7420=""),"",SUMIFS(DATA_GOC!$H:$H,DATA_GOC!$A:$A,"BOM",DATA_GOC!$D:$D,$H7420,DATA_GOC!$E:$E,$C7420,DATA_GOC!$F:$F,"Xuất nội bộ từ téc",DATA_GOC!$B:$B,"&gt;="&amp;$D7420,DATA_GOC!$B:$B,"&lt;="&amp;$E7420))</f>
        <v/>
      </c>
      <c r="J7420" s="59">
        <f t="shared" si="28"/>
        <v>0</v>
      </c>
      <c r="K7420" s="59">
        <f t="shared" si="29"/>
        <v>0</v>
      </c>
      <c r="L7420" s="59">
        <f t="shared" si="30"/>
        <v>0</v>
      </c>
      <c r="M7420" s="59">
        <f t="shared" si="31"/>
        <v>0</v>
      </c>
    </row>
    <row r="7421" ht="15.0" hidden="1" customHeight="1">
      <c r="A7421" s="59">
        <f t="shared" si="20"/>
        <v>120</v>
      </c>
      <c r="B7421" s="59" t="str">
        <f t="shared" si="21"/>
        <v/>
      </c>
      <c r="C7421" s="59" t="str">
        <f t="shared" si="22"/>
        <v/>
      </c>
      <c r="D7421" s="45" t="str">
        <f t="shared" si="23"/>
        <v/>
      </c>
      <c r="E7421" s="45" t="str">
        <f t="shared" si="24"/>
        <v/>
      </c>
      <c r="F7421" s="59" t="str">
        <f t="shared" si="25"/>
        <v/>
      </c>
      <c r="G7421" s="59" t="str">
        <f t="shared" si="26"/>
        <v/>
      </c>
      <c r="H7421" s="59" t="str">
        <f t="shared" si="27"/>
        <v>Máy phát điện</v>
      </c>
      <c r="I7421" s="59" t="str">
        <f>IF(OR($A7421="",$C7421="",$D7421="",$E7421="",$H7421=""),"",SUMIFS(DATA_GOC!$H:$H,DATA_GOC!$A:$A,"BOM",DATA_GOC!$D:$D,$H7421,DATA_GOC!$E:$E,$C7421,DATA_GOC!$F:$F,"Xuất nội bộ từ téc",DATA_GOC!$B:$B,"&gt;="&amp;$D7421,DATA_GOC!$B:$B,"&lt;="&amp;$E7421))</f>
        <v/>
      </c>
      <c r="J7421" s="59">
        <f t="shared" si="28"/>
        <v>0</v>
      </c>
      <c r="K7421" s="59">
        <f t="shared" si="29"/>
        <v>0</v>
      </c>
      <c r="L7421" s="59">
        <f t="shared" si="30"/>
        <v>0</v>
      </c>
      <c r="M7421" s="59">
        <f t="shared" si="31"/>
        <v>0</v>
      </c>
    </row>
    <row r="7422" ht="15.0" hidden="1" customHeight="1">
      <c r="A7422" s="59">
        <f t="shared" si="20"/>
        <v>120</v>
      </c>
      <c r="B7422" s="59" t="str">
        <f t="shared" si="21"/>
        <v/>
      </c>
      <c r="C7422" s="59" t="str">
        <f t="shared" si="22"/>
        <v/>
      </c>
      <c r="D7422" s="45" t="str">
        <f t="shared" si="23"/>
        <v/>
      </c>
      <c r="E7422" s="45" t="str">
        <f t="shared" si="24"/>
        <v/>
      </c>
      <c r="F7422" s="59" t="str">
        <f t="shared" si="25"/>
        <v/>
      </c>
      <c r="G7422" s="59" t="str">
        <f t="shared" si="26"/>
        <v/>
      </c>
      <c r="H7422" s="59" t="str">
        <f t="shared" si="27"/>
        <v>Máy rải thảm</v>
      </c>
      <c r="I7422" s="59" t="str">
        <f>IF(OR($A7422="",$C7422="",$D7422="",$E7422="",$H7422=""),"",SUMIFS(DATA_GOC!$H:$H,DATA_GOC!$A:$A,"BOM",DATA_GOC!$D:$D,$H7422,DATA_GOC!$E:$E,$C7422,DATA_GOC!$F:$F,"Xuất nội bộ từ téc",DATA_GOC!$B:$B,"&gt;="&amp;$D7422,DATA_GOC!$B:$B,"&lt;="&amp;$E7422))</f>
        <v/>
      </c>
      <c r="J7422" s="59">
        <f t="shared" si="28"/>
        <v>0</v>
      </c>
      <c r="K7422" s="59">
        <f t="shared" si="29"/>
        <v>0</v>
      </c>
      <c r="L7422" s="59">
        <f t="shared" si="30"/>
        <v>0</v>
      </c>
      <c r="M7422" s="59">
        <f t="shared" si="31"/>
        <v>0</v>
      </c>
    </row>
    <row r="7423" ht="15.0" hidden="1" customHeight="1">
      <c r="A7423" s="59">
        <f t="shared" si="20"/>
        <v>120</v>
      </c>
      <c r="B7423" s="59" t="str">
        <f t="shared" si="21"/>
        <v/>
      </c>
      <c r="C7423" s="59" t="str">
        <f t="shared" si="22"/>
        <v/>
      </c>
      <c r="D7423" s="45" t="str">
        <f t="shared" si="23"/>
        <v/>
      </c>
      <c r="E7423" s="45" t="str">
        <f t="shared" si="24"/>
        <v/>
      </c>
      <c r="F7423" s="59" t="str">
        <f t="shared" si="25"/>
        <v/>
      </c>
      <c r="G7423" s="59" t="str">
        <f t="shared" si="26"/>
        <v/>
      </c>
      <c r="H7423" s="59" t="str">
        <f t="shared" si="27"/>
        <v>Xúc Đào</v>
      </c>
      <c r="I7423" s="59" t="str">
        <f>IF(OR($A7423="",$C7423="",$D7423="",$E7423="",$H7423=""),"",SUMIFS(DATA_GOC!$H:$H,DATA_GOC!$A:$A,"BOM",DATA_GOC!$D:$D,$H7423,DATA_GOC!$E:$E,$C7423,DATA_GOC!$F:$F,"Xuất nội bộ từ téc",DATA_GOC!$B:$B,"&gt;="&amp;$D7423,DATA_GOC!$B:$B,"&lt;="&amp;$E7423))</f>
        <v/>
      </c>
      <c r="J7423" s="59">
        <f t="shared" si="28"/>
        <v>0</v>
      </c>
      <c r="K7423" s="59">
        <f t="shared" si="29"/>
        <v>0</v>
      </c>
      <c r="L7423" s="59">
        <f t="shared" si="30"/>
        <v>0</v>
      </c>
      <c r="M7423" s="59">
        <f t="shared" si="31"/>
        <v>0</v>
      </c>
    </row>
    <row r="7424" ht="15.0" hidden="1" customHeight="1">
      <c r="A7424" s="59">
        <f t="shared" si="20"/>
        <v>120</v>
      </c>
      <c r="B7424" s="59" t="str">
        <f t="shared" si="21"/>
        <v/>
      </c>
      <c r="C7424" s="59" t="str">
        <f t="shared" si="22"/>
        <v/>
      </c>
      <c r="D7424" s="45" t="str">
        <f t="shared" si="23"/>
        <v/>
      </c>
      <c r="E7424" s="45" t="str">
        <f t="shared" si="24"/>
        <v/>
      </c>
      <c r="F7424" s="59" t="str">
        <f t="shared" si="25"/>
        <v/>
      </c>
      <c r="G7424" s="59" t="str">
        <f t="shared" si="26"/>
        <v/>
      </c>
      <c r="H7424" s="59" t="str">
        <f t="shared" si="27"/>
        <v>Xúclật asphalt</v>
      </c>
      <c r="I7424" s="59" t="str">
        <f>IF(OR($A7424="",$C7424="",$D7424="",$E7424="",$H7424=""),"",SUMIFS(DATA_GOC!$H:$H,DATA_GOC!$A:$A,"BOM",DATA_GOC!$D:$D,$H7424,DATA_GOC!$E:$E,$C7424,DATA_GOC!$F:$F,"Xuất nội bộ từ téc",DATA_GOC!$B:$B,"&gt;="&amp;$D7424,DATA_GOC!$B:$B,"&lt;="&amp;$E7424))</f>
        <v/>
      </c>
      <c r="J7424" s="59">
        <f t="shared" si="28"/>
        <v>0</v>
      </c>
      <c r="K7424" s="59">
        <f t="shared" si="29"/>
        <v>0</v>
      </c>
      <c r="L7424" s="59">
        <f t="shared" si="30"/>
        <v>0</v>
      </c>
      <c r="M7424" s="59">
        <f t="shared" si="31"/>
        <v>0</v>
      </c>
    </row>
    <row r="7425" ht="15.0" hidden="1" customHeight="1">
      <c r="A7425" s="59">
        <f t="shared" si="20"/>
        <v>120</v>
      </c>
      <c r="B7425" s="59" t="str">
        <f t="shared" si="21"/>
        <v/>
      </c>
      <c r="C7425" s="59" t="str">
        <f t="shared" si="22"/>
        <v/>
      </c>
      <c r="D7425" s="45" t="str">
        <f t="shared" si="23"/>
        <v/>
      </c>
      <c r="E7425" s="45" t="str">
        <f t="shared" si="24"/>
        <v/>
      </c>
      <c r="F7425" s="59" t="str">
        <f t="shared" si="25"/>
        <v/>
      </c>
      <c r="G7425" s="59" t="str">
        <f t="shared" si="26"/>
        <v/>
      </c>
      <c r="H7425" s="59" t="str">
        <f t="shared" si="27"/>
        <v>Xúclật855H</v>
      </c>
      <c r="I7425" s="59" t="str">
        <f>IF(OR($A7425="",$C7425="",$D7425="",$E7425="",$H7425=""),"",SUMIFS(DATA_GOC!$H:$H,DATA_GOC!$A:$A,"BOM",DATA_GOC!$D:$D,$H7425,DATA_GOC!$E:$E,$C7425,DATA_GOC!$F:$F,"Xuất nội bộ từ téc",DATA_GOC!$B:$B,"&gt;="&amp;$D7425,DATA_GOC!$B:$B,"&lt;="&amp;$E7425))</f>
        <v/>
      </c>
      <c r="J7425" s="59">
        <f t="shared" si="28"/>
        <v>0</v>
      </c>
      <c r="K7425" s="59">
        <f t="shared" si="29"/>
        <v>0</v>
      </c>
      <c r="L7425" s="59">
        <f t="shared" si="30"/>
        <v>0</v>
      </c>
      <c r="M7425" s="59">
        <f t="shared" si="31"/>
        <v>0</v>
      </c>
    </row>
    <row r="7426" ht="15.0" hidden="1" customHeight="1">
      <c r="A7426" s="59">
        <f t="shared" si="20"/>
        <v>120</v>
      </c>
      <c r="B7426" s="59" t="str">
        <f t="shared" si="21"/>
        <v/>
      </c>
      <c r="C7426" s="59" t="str">
        <f t="shared" si="22"/>
        <v/>
      </c>
      <c r="D7426" s="45" t="str">
        <f t="shared" si="23"/>
        <v/>
      </c>
      <c r="E7426" s="45" t="str">
        <f t="shared" si="24"/>
        <v/>
      </c>
      <c r="F7426" s="59" t="str">
        <f t="shared" si="25"/>
        <v/>
      </c>
      <c r="G7426" s="59" t="str">
        <f t="shared" si="26"/>
        <v/>
      </c>
      <c r="H7426" s="59" t="str">
        <f t="shared" si="27"/>
        <v>Xúclật855N</v>
      </c>
      <c r="I7426" s="59" t="str">
        <f>IF(OR($A7426="",$C7426="",$D7426="",$E7426="",$H7426=""),"",SUMIFS(DATA_GOC!$H:$H,DATA_GOC!$A:$A,"BOM",DATA_GOC!$D:$D,$H7426,DATA_GOC!$E:$E,$C7426,DATA_GOC!$F:$F,"Xuất nội bộ từ téc",DATA_GOC!$B:$B,"&gt;="&amp;$D7426,DATA_GOC!$B:$B,"&lt;="&amp;$E7426))</f>
        <v/>
      </c>
      <c r="J7426" s="59">
        <f t="shared" si="28"/>
        <v>0</v>
      </c>
      <c r="K7426" s="59">
        <f t="shared" si="29"/>
        <v>0</v>
      </c>
      <c r="L7426" s="59">
        <f t="shared" si="30"/>
        <v>0</v>
      </c>
      <c r="M7426" s="59">
        <f t="shared" si="31"/>
        <v>0</v>
      </c>
    </row>
    <row r="7427" ht="15.0" hidden="1" customHeight="1">
      <c r="A7427" s="59">
        <f t="shared" si="20"/>
        <v>120</v>
      </c>
      <c r="B7427" s="59" t="str">
        <f t="shared" si="21"/>
        <v/>
      </c>
      <c r="C7427" s="59" t="str">
        <f t="shared" si="22"/>
        <v/>
      </c>
      <c r="D7427" s="45" t="str">
        <f t="shared" si="23"/>
        <v/>
      </c>
      <c r="E7427" s="45" t="str">
        <f t="shared" si="24"/>
        <v/>
      </c>
      <c r="F7427" s="59" t="str">
        <f t="shared" si="25"/>
        <v/>
      </c>
      <c r="G7427" s="59" t="str">
        <f t="shared" si="26"/>
        <v/>
      </c>
      <c r="H7427" s="59" t="str">
        <f t="shared" si="27"/>
        <v>Cát nghiền</v>
      </c>
      <c r="I7427" s="59" t="str">
        <f>IF(OR($A7427="",$C7427="",$D7427="",$E7427="",$H7427=""),"",SUMIFS(DATA_GOC!$H:$H,DATA_GOC!$A:$A,"BOM",DATA_GOC!$D:$D,$H7427,DATA_GOC!$E:$E,$C7427,DATA_GOC!$F:$F,"Xuất nội bộ từ téc",DATA_GOC!$B:$B,"&gt;="&amp;$D7427,DATA_GOC!$B:$B,"&lt;="&amp;$E7427))</f>
        <v/>
      </c>
      <c r="J7427" s="59">
        <f t="shared" si="28"/>
        <v>0</v>
      </c>
      <c r="K7427" s="59">
        <f t="shared" si="29"/>
        <v>0</v>
      </c>
      <c r="L7427" s="59">
        <f t="shared" si="30"/>
        <v>0</v>
      </c>
      <c r="M7427" s="59">
        <f t="shared" si="31"/>
        <v>0</v>
      </c>
    </row>
    <row r="7428" ht="15.0" hidden="1" customHeight="1">
      <c r="A7428" s="59">
        <f t="shared" si="20"/>
        <v>120</v>
      </c>
      <c r="B7428" s="59" t="str">
        <f t="shared" si="21"/>
        <v/>
      </c>
      <c r="C7428" s="59" t="str">
        <f t="shared" si="22"/>
        <v/>
      </c>
      <c r="D7428" s="45" t="str">
        <f t="shared" si="23"/>
        <v/>
      </c>
      <c r="E7428" s="45" t="str">
        <f t="shared" si="24"/>
        <v/>
      </c>
      <c r="F7428" s="59" t="str">
        <f t="shared" si="25"/>
        <v/>
      </c>
      <c r="G7428" s="59" t="str">
        <f t="shared" si="26"/>
        <v/>
      </c>
      <c r="H7428" s="59" t="str">
        <f t="shared" si="27"/>
        <v>28C02973</v>
      </c>
      <c r="I7428" s="59" t="str">
        <f>IF(OR($A7428="",$C7428="",$D7428="",$E7428="",$H7428=""),"",SUMIFS(DATA_GOC!$H:$H,DATA_GOC!$A:$A,"BOM",DATA_GOC!$D:$D,$H7428,DATA_GOC!$E:$E,$C7428,DATA_GOC!$F:$F,"Xuất nội bộ từ téc",DATA_GOC!$B:$B,"&gt;="&amp;$D7428,DATA_GOC!$B:$B,"&lt;="&amp;$E7428))</f>
        <v/>
      </c>
      <c r="J7428" s="59">
        <f t="shared" si="28"/>
        <v>0</v>
      </c>
      <c r="K7428" s="59">
        <f t="shared" si="29"/>
        <v>0</v>
      </c>
      <c r="L7428" s="59">
        <f t="shared" si="30"/>
        <v>0</v>
      </c>
      <c r="M7428" s="59">
        <f t="shared" si="31"/>
        <v>0</v>
      </c>
    </row>
    <row r="7429" ht="15.0" hidden="1" customHeight="1">
      <c r="A7429" s="59">
        <f t="shared" si="20"/>
        <v>120</v>
      </c>
      <c r="B7429" s="59" t="str">
        <f t="shared" si="21"/>
        <v/>
      </c>
      <c r="C7429" s="59" t="str">
        <f t="shared" si="22"/>
        <v/>
      </c>
      <c r="D7429" s="45" t="str">
        <f t="shared" si="23"/>
        <v/>
      </c>
      <c r="E7429" s="45" t="str">
        <f t="shared" si="24"/>
        <v/>
      </c>
      <c r="F7429" s="59" t="str">
        <f t="shared" si="25"/>
        <v/>
      </c>
      <c r="G7429" s="59" t="str">
        <f t="shared" si="26"/>
        <v/>
      </c>
      <c r="H7429" s="59" t="str">
        <f t="shared" si="27"/>
        <v>28C03044</v>
      </c>
      <c r="I7429" s="59" t="str">
        <f>IF(OR($A7429="",$C7429="",$D7429="",$E7429="",$H7429=""),"",SUMIFS(DATA_GOC!$H:$H,DATA_GOC!$A:$A,"BOM",DATA_GOC!$D:$D,$H7429,DATA_GOC!$E:$E,$C7429,DATA_GOC!$F:$F,"Xuất nội bộ từ téc",DATA_GOC!$B:$B,"&gt;="&amp;$D7429,DATA_GOC!$B:$B,"&lt;="&amp;$E7429))</f>
        <v/>
      </c>
      <c r="J7429" s="59">
        <f t="shared" si="28"/>
        <v>0</v>
      </c>
      <c r="K7429" s="59">
        <f t="shared" si="29"/>
        <v>0</v>
      </c>
      <c r="L7429" s="59">
        <f t="shared" si="30"/>
        <v>0</v>
      </c>
      <c r="M7429" s="59">
        <f t="shared" si="31"/>
        <v>0</v>
      </c>
    </row>
    <row r="7430" ht="15.0" hidden="1" customHeight="1">
      <c r="A7430" s="59">
        <f t="shared" si="20"/>
        <v>120</v>
      </c>
      <c r="B7430" s="59" t="str">
        <f t="shared" si="21"/>
        <v/>
      </c>
      <c r="C7430" s="59" t="str">
        <f t="shared" si="22"/>
        <v/>
      </c>
      <c r="D7430" s="45" t="str">
        <f t="shared" si="23"/>
        <v/>
      </c>
      <c r="E7430" s="45" t="str">
        <f t="shared" si="24"/>
        <v/>
      </c>
      <c r="F7430" s="59" t="str">
        <f t="shared" si="25"/>
        <v/>
      </c>
      <c r="G7430" s="59" t="str">
        <f t="shared" si="26"/>
        <v/>
      </c>
      <c r="H7430" s="59" t="str">
        <f t="shared" si="27"/>
        <v>Máy lu lốp</v>
      </c>
      <c r="I7430" s="59" t="str">
        <f>IF(OR($A7430="",$C7430="",$D7430="",$E7430="",$H7430=""),"",SUMIFS(DATA_GOC!$H:$H,DATA_GOC!$A:$A,"BOM",DATA_GOC!$D:$D,$H7430,DATA_GOC!$E:$E,$C7430,DATA_GOC!$F:$F,"Xuất nội bộ từ téc",DATA_GOC!$B:$B,"&gt;="&amp;$D7430,DATA_GOC!$B:$B,"&lt;="&amp;$E7430))</f>
        <v/>
      </c>
      <c r="J7430" s="59">
        <f t="shared" si="28"/>
        <v>0</v>
      </c>
      <c r="K7430" s="59">
        <f t="shared" si="29"/>
        <v>0</v>
      </c>
      <c r="L7430" s="59">
        <f t="shared" si="30"/>
        <v>0</v>
      </c>
      <c r="M7430" s="59">
        <f t="shared" si="31"/>
        <v>0</v>
      </c>
    </row>
    <row r="7431" ht="15.0" hidden="1" customHeight="1">
      <c r="A7431" s="59">
        <f t="shared" si="20"/>
        <v>120</v>
      </c>
      <c r="B7431" s="59" t="str">
        <f t="shared" si="21"/>
        <v/>
      </c>
      <c r="C7431" s="59" t="str">
        <f t="shared" si="22"/>
        <v/>
      </c>
      <c r="D7431" s="45" t="str">
        <f t="shared" si="23"/>
        <v/>
      </c>
      <c r="E7431" s="45" t="str">
        <f t="shared" si="24"/>
        <v/>
      </c>
      <c r="F7431" s="59" t="str">
        <f t="shared" si="25"/>
        <v/>
      </c>
      <c r="G7431" s="59" t="str">
        <f t="shared" si="26"/>
        <v/>
      </c>
      <c r="H7431" s="59" t="str">
        <f t="shared" si="27"/>
        <v>Xe 600148</v>
      </c>
      <c r="I7431" s="59" t="str">
        <f>IF(OR($A7431="",$C7431="",$D7431="",$E7431="",$H7431=""),"",SUMIFS(DATA_GOC!$H:$H,DATA_GOC!$A:$A,"BOM",DATA_GOC!$D:$D,$H7431,DATA_GOC!$E:$E,$C7431,DATA_GOC!$F:$F,"Xuất nội bộ từ téc",DATA_GOC!$B:$B,"&gt;="&amp;$D7431,DATA_GOC!$B:$B,"&lt;="&amp;$E7431))</f>
        <v/>
      </c>
      <c r="J7431" s="59">
        <f t="shared" si="28"/>
        <v>0</v>
      </c>
      <c r="K7431" s="59">
        <f t="shared" si="29"/>
        <v>0</v>
      </c>
      <c r="L7431" s="59">
        <f t="shared" si="30"/>
        <v>0</v>
      </c>
      <c r="M7431" s="59">
        <f t="shared" si="31"/>
        <v>0</v>
      </c>
    </row>
    <row r="7432" ht="15.0" hidden="1" customHeight="1">
      <c r="A7432" s="59">
        <f t="shared" si="20"/>
        <v>120</v>
      </c>
      <c r="B7432" s="59" t="str">
        <f t="shared" si="21"/>
        <v/>
      </c>
      <c r="C7432" s="59" t="str">
        <f t="shared" si="22"/>
        <v/>
      </c>
      <c r="D7432" s="45" t="str">
        <f t="shared" si="23"/>
        <v/>
      </c>
      <c r="E7432" s="45" t="str">
        <f t="shared" si="24"/>
        <v/>
      </c>
      <c r="F7432" s="59" t="str">
        <f t="shared" si="25"/>
        <v/>
      </c>
      <c r="G7432" s="59" t="str">
        <f t="shared" si="26"/>
        <v/>
      </c>
      <c r="H7432" s="59" t="str">
        <f t="shared" si="27"/>
        <v>Xe ben mới</v>
      </c>
      <c r="I7432" s="59" t="str">
        <f>IF(OR($A7432="",$C7432="",$D7432="",$E7432="",$H7432=""),"",SUMIFS(DATA_GOC!$H:$H,DATA_GOC!$A:$A,"BOM",DATA_GOC!$D:$D,$H7432,DATA_GOC!$E:$E,$C7432,DATA_GOC!$F:$F,"Xuất nội bộ từ téc",DATA_GOC!$B:$B,"&gt;="&amp;$D7432,DATA_GOC!$B:$B,"&lt;="&amp;$E7432))</f>
        <v/>
      </c>
      <c r="J7432" s="59">
        <f t="shared" si="28"/>
        <v>0</v>
      </c>
      <c r="K7432" s="59">
        <f t="shared" si="29"/>
        <v>0</v>
      </c>
      <c r="L7432" s="59">
        <f t="shared" si="30"/>
        <v>0</v>
      </c>
      <c r="M7432" s="59">
        <f t="shared" si="31"/>
        <v>0</v>
      </c>
    </row>
    <row r="7433" ht="15.0" hidden="1" customHeight="1">
      <c r="A7433" s="59">
        <f t="shared" si="20"/>
        <v>121</v>
      </c>
      <c r="B7433" s="59" t="str">
        <f t="shared" si="21"/>
        <v/>
      </c>
      <c r="C7433" s="59" t="str">
        <f t="shared" si="22"/>
        <v/>
      </c>
      <c r="D7433" s="45" t="str">
        <f t="shared" si="23"/>
        <v/>
      </c>
      <c r="E7433" s="45" t="str">
        <f t="shared" si="24"/>
        <v/>
      </c>
      <c r="F7433" s="59" t="str">
        <f t="shared" si="25"/>
        <v/>
      </c>
      <c r="G7433" s="59" t="str">
        <f t="shared" si="26"/>
        <v/>
      </c>
      <c r="H7433" s="59" t="str">
        <f t="shared" si="27"/>
        <v>19H09482</v>
      </c>
      <c r="I7433" s="59" t="str">
        <f>IF(OR($A7433="",$C7433="",$D7433="",$E7433="",$H7433=""),"",SUMIFS(DATA_GOC!$H:$H,DATA_GOC!$A:$A,"BOM",DATA_GOC!$D:$D,$H7433,DATA_GOC!$E:$E,$C7433,DATA_GOC!$F:$F,"Xuất nội bộ từ téc",DATA_GOC!$B:$B,"&gt;="&amp;$D7433,DATA_GOC!$B:$B,"&lt;="&amp;$E7433))</f>
        <v/>
      </c>
      <c r="J7433" s="59">
        <f t="shared" si="28"/>
        <v>0</v>
      </c>
      <c r="K7433" s="59">
        <f t="shared" si="29"/>
        <v>0</v>
      </c>
      <c r="L7433" s="59">
        <f t="shared" si="30"/>
        <v>0</v>
      </c>
      <c r="M7433" s="59">
        <f t="shared" si="31"/>
        <v>0</v>
      </c>
    </row>
    <row r="7434" ht="15.0" hidden="1" customHeight="1">
      <c r="A7434" s="59">
        <f t="shared" si="20"/>
        <v>121</v>
      </c>
      <c r="B7434" s="59" t="str">
        <f t="shared" si="21"/>
        <v/>
      </c>
      <c r="C7434" s="59" t="str">
        <f t="shared" si="22"/>
        <v/>
      </c>
      <c r="D7434" s="45" t="str">
        <f t="shared" si="23"/>
        <v/>
      </c>
      <c r="E7434" s="45" t="str">
        <f t="shared" si="24"/>
        <v/>
      </c>
      <c r="F7434" s="59" t="str">
        <f t="shared" si="25"/>
        <v/>
      </c>
      <c r="G7434" s="59" t="str">
        <f t="shared" si="26"/>
        <v/>
      </c>
      <c r="H7434" s="59" t="str">
        <f t="shared" si="27"/>
        <v>28A30696</v>
      </c>
      <c r="I7434" s="59" t="str">
        <f>IF(OR($A7434="",$C7434="",$D7434="",$E7434="",$H7434=""),"",SUMIFS(DATA_GOC!$H:$H,DATA_GOC!$A:$A,"BOM",DATA_GOC!$D:$D,$H7434,DATA_GOC!$E:$E,$C7434,DATA_GOC!$F:$F,"Xuất nội bộ từ téc",DATA_GOC!$B:$B,"&gt;="&amp;$D7434,DATA_GOC!$B:$B,"&lt;="&amp;$E7434))</f>
        <v/>
      </c>
      <c r="J7434" s="59">
        <f t="shared" si="28"/>
        <v>0</v>
      </c>
      <c r="K7434" s="59">
        <f t="shared" si="29"/>
        <v>0</v>
      </c>
      <c r="L7434" s="59">
        <f t="shared" si="30"/>
        <v>0</v>
      </c>
      <c r="M7434" s="59">
        <f t="shared" si="31"/>
        <v>0</v>
      </c>
    </row>
    <row r="7435" ht="15.0" hidden="1" customHeight="1">
      <c r="A7435" s="59">
        <f t="shared" si="20"/>
        <v>121</v>
      </c>
      <c r="B7435" s="59" t="str">
        <f t="shared" si="21"/>
        <v/>
      </c>
      <c r="C7435" s="59" t="str">
        <f t="shared" si="22"/>
        <v/>
      </c>
      <c r="D7435" s="45" t="str">
        <f t="shared" si="23"/>
        <v/>
      </c>
      <c r="E7435" s="45" t="str">
        <f t="shared" si="24"/>
        <v/>
      </c>
      <c r="F7435" s="59" t="str">
        <f t="shared" si="25"/>
        <v/>
      </c>
      <c r="G7435" s="59" t="str">
        <f t="shared" si="26"/>
        <v/>
      </c>
      <c r="H7435" s="59" t="str">
        <f t="shared" si="27"/>
        <v>28C00462</v>
      </c>
      <c r="I7435" s="59" t="str">
        <f>IF(OR($A7435="",$C7435="",$D7435="",$E7435="",$H7435=""),"",SUMIFS(DATA_GOC!$H:$H,DATA_GOC!$A:$A,"BOM",DATA_GOC!$D:$D,$H7435,DATA_GOC!$E:$E,$C7435,DATA_GOC!$F:$F,"Xuất nội bộ từ téc",DATA_GOC!$B:$B,"&gt;="&amp;$D7435,DATA_GOC!$B:$B,"&lt;="&amp;$E7435))</f>
        <v/>
      </c>
      <c r="J7435" s="59">
        <f t="shared" si="28"/>
        <v>0</v>
      </c>
      <c r="K7435" s="59">
        <f t="shared" si="29"/>
        <v>0</v>
      </c>
      <c r="L7435" s="59">
        <f t="shared" si="30"/>
        <v>0</v>
      </c>
      <c r="M7435" s="59">
        <f t="shared" si="31"/>
        <v>0</v>
      </c>
    </row>
    <row r="7436" ht="15.0" hidden="1" customHeight="1">
      <c r="A7436" s="59">
        <f t="shared" si="20"/>
        <v>121</v>
      </c>
      <c r="B7436" s="59" t="str">
        <f t="shared" si="21"/>
        <v/>
      </c>
      <c r="C7436" s="59" t="str">
        <f t="shared" si="22"/>
        <v/>
      </c>
      <c r="D7436" s="45" t="str">
        <f t="shared" si="23"/>
        <v/>
      </c>
      <c r="E7436" s="45" t="str">
        <f t="shared" si="24"/>
        <v/>
      </c>
      <c r="F7436" s="59" t="str">
        <f t="shared" si="25"/>
        <v/>
      </c>
      <c r="G7436" s="59" t="str">
        <f t="shared" si="26"/>
        <v/>
      </c>
      <c r="H7436" s="59" t="str">
        <f t="shared" si="27"/>
        <v>28C01165</v>
      </c>
      <c r="I7436" s="59" t="str">
        <f>IF(OR($A7436="",$C7436="",$D7436="",$E7436="",$H7436=""),"",SUMIFS(DATA_GOC!$H:$H,DATA_GOC!$A:$A,"BOM",DATA_GOC!$D:$D,$H7436,DATA_GOC!$E:$E,$C7436,DATA_GOC!$F:$F,"Xuất nội bộ từ téc",DATA_GOC!$B:$B,"&gt;="&amp;$D7436,DATA_GOC!$B:$B,"&lt;="&amp;$E7436))</f>
        <v/>
      </c>
      <c r="J7436" s="59">
        <f t="shared" si="28"/>
        <v>0</v>
      </c>
      <c r="K7436" s="59">
        <f t="shared" si="29"/>
        <v>0</v>
      </c>
      <c r="L7436" s="59">
        <f t="shared" si="30"/>
        <v>0</v>
      </c>
      <c r="M7436" s="59">
        <f t="shared" si="31"/>
        <v>0</v>
      </c>
    </row>
    <row r="7437" ht="15.0" hidden="1" customHeight="1">
      <c r="A7437" s="59">
        <f t="shared" si="20"/>
        <v>121</v>
      </c>
      <c r="B7437" s="59" t="str">
        <f t="shared" si="21"/>
        <v/>
      </c>
      <c r="C7437" s="59" t="str">
        <f t="shared" si="22"/>
        <v/>
      </c>
      <c r="D7437" s="45" t="str">
        <f t="shared" si="23"/>
        <v/>
      </c>
      <c r="E7437" s="45" t="str">
        <f t="shared" si="24"/>
        <v/>
      </c>
      <c r="F7437" s="59" t="str">
        <f t="shared" si="25"/>
        <v/>
      </c>
      <c r="G7437" s="59" t="str">
        <f t="shared" si="26"/>
        <v/>
      </c>
      <c r="H7437" s="59" t="str">
        <f t="shared" si="27"/>
        <v>28C01406</v>
      </c>
      <c r="I7437" s="59" t="str">
        <f>IF(OR($A7437="",$C7437="",$D7437="",$E7437="",$H7437=""),"",SUMIFS(DATA_GOC!$H:$H,DATA_GOC!$A:$A,"BOM",DATA_GOC!$D:$D,$H7437,DATA_GOC!$E:$E,$C7437,DATA_GOC!$F:$F,"Xuất nội bộ từ téc",DATA_GOC!$B:$B,"&gt;="&amp;$D7437,DATA_GOC!$B:$B,"&lt;="&amp;$E7437))</f>
        <v/>
      </c>
      <c r="J7437" s="59">
        <f t="shared" si="28"/>
        <v>0</v>
      </c>
      <c r="K7437" s="59">
        <f t="shared" si="29"/>
        <v>0</v>
      </c>
      <c r="L7437" s="59">
        <f t="shared" si="30"/>
        <v>0</v>
      </c>
      <c r="M7437" s="59">
        <f t="shared" si="31"/>
        <v>0</v>
      </c>
    </row>
    <row r="7438" ht="15.0" hidden="1" customHeight="1">
      <c r="A7438" s="59">
        <f t="shared" si="20"/>
        <v>121</v>
      </c>
      <c r="B7438" s="59" t="str">
        <f t="shared" si="21"/>
        <v/>
      </c>
      <c r="C7438" s="59" t="str">
        <f t="shared" si="22"/>
        <v/>
      </c>
      <c r="D7438" s="45" t="str">
        <f t="shared" si="23"/>
        <v/>
      </c>
      <c r="E7438" s="45" t="str">
        <f t="shared" si="24"/>
        <v/>
      </c>
      <c r="F7438" s="59" t="str">
        <f t="shared" si="25"/>
        <v/>
      </c>
      <c r="G7438" s="59" t="str">
        <f t="shared" si="26"/>
        <v/>
      </c>
      <c r="H7438" s="59" t="str">
        <f t="shared" si="27"/>
        <v>28C01544</v>
      </c>
      <c r="I7438" s="59" t="str">
        <f>IF(OR($A7438="",$C7438="",$D7438="",$E7438="",$H7438=""),"",SUMIFS(DATA_GOC!$H:$H,DATA_GOC!$A:$A,"BOM",DATA_GOC!$D:$D,$H7438,DATA_GOC!$E:$E,$C7438,DATA_GOC!$F:$F,"Xuất nội bộ từ téc",DATA_GOC!$B:$B,"&gt;="&amp;$D7438,DATA_GOC!$B:$B,"&lt;="&amp;$E7438))</f>
        <v/>
      </c>
      <c r="J7438" s="59">
        <f t="shared" si="28"/>
        <v>0</v>
      </c>
      <c r="K7438" s="59">
        <f t="shared" si="29"/>
        <v>0</v>
      </c>
      <c r="L7438" s="59">
        <f t="shared" si="30"/>
        <v>0</v>
      </c>
      <c r="M7438" s="59">
        <f t="shared" si="31"/>
        <v>0</v>
      </c>
    </row>
    <row r="7439" ht="15.0" hidden="1" customHeight="1">
      <c r="A7439" s="59">
        <f t="shared" si="20"/>
        <v>121</v>
      </c>
      <c r="B7439" s="59" t="str">
        <f t="shared" si="21"/>
        <v/>
      </c>
      <c r="C7439" s="59" t="str">
        <f t="shared" si="22"/>
        <v/>
      </c>
      <c r="D7439" s="45" t="str">
        <f t="shared" si="23"/>
        <v/>
      </c>
      <c r="E7439" s="45" t="str">
        <f t="shared" si="24"/>
        <v/>
      </c>
      <c r="F7439" s="59" t="str">
        <f t="shared" si="25"/>
        <v/>
      </c>
      <c r="G7439" s="59" t="str">
        <f t="shared" si="26"/>
        <v/>
      </c>
      <c r="H7439" s="59" t="str">
        <f t="shared" si="27"/>
        <v>28C01622</v>
      </c>
      <c r="I7439" s="59" t="str">
        <f>IF(OR($A7439="",$C7439="",$D7439="",$E7439="",$H7439=""),"",SUMIFS(DATA_GOC!$H:$H,DATA_GOC!$A:$A,"BOM",DATA_GOC!$D:$D,$H7439,DATA_GOC!$E:$E,$C7439,DATA_GOC!$F:$F,"Xuất nội bộ từ téc",DATA_GOC!$B:$B,"&gt;="&amp;$D7439,DATA_GOC!$B:$B,"&lt;="&amp;$E7439))</f>
        <v/>
      </c>
      <c r="J7439" s="59">
        <f t="shared" si="28"/>
        <v>0</v>
      </c>
      <c r="K7439" s="59">
        <f t="shared" si="29"/>
        <v>0</v>
      </c>
      <c r="L7439" s="59">
        <f t="shared" si="30"/>
        <v>0</v>
      </c>
      <c r="M7439" s="59">
        <f t="shared" si="31"/>
        <v>0</v>
      </c>
    </row>
    <row r="7440" ht="15.0" hidden="1" customHeight="1">
      <c r="A7440" s="59">
        <f t="shared" si="20"/>
        <v>121</v>
      </c>
      <c r="B7440" s="59" t="str">
        <f t="shared" si="21"/>
        <v/>
      </c>
      <c r="C7440" s="59" t="str">
        <f t="shared" si="22"/>
        <v/>
      </c>
      <c r="D7440" s="45" t="str">
        <f t="shared" si="23"/>
        <v/>
      </c>
      <c r="E7440" s="45" t="str">
        <f t="shared" si="24"/>
        <v/>
      </c>
      <c r="F7440" s="59" t="str">
        <f t="shared" si="25"/>
        <v/>
      </c>
      <c r="G7440" s="59" t="str">
        <f t="shared" si="26"/>
        <v/>
      </c>
      <c r="H7440" s="59" t="str">
        <f t="shared" si="27"/>
        <v>28C01647</v>
      </c>
      <c r="I7440" s="59" t="str">
        <f>IF(OR($A7440="",$C7440="",$D7440="",$E7440="",$H7440=""),"",SUMIFS(DATA_GOC!$H:$H,DATA_GOC!$A:$A,"BOM",DATA_GOC!$D:$D,$H7440,DATA_GOC!$E:$E,$C7440,DATA_GOC!$F:$F,"Xuất nội bộ từ téc",DATA_GOC!$B:$B,"&gt;="&amp;$D7440,DATA_GOC!$B:$B,"&lt;="&amp;$E7440))</f>
        <v/>
      </c>
      <c r="J7440" s="59">
        <f t="shared" si="28"/>
        <v>0</v>
      </c>
      <c r="K7440" s="59">
        <f t="shared" si="29"/>
        <v>0</v>
      </c>
      <c r="L7440" s="59">
        <f t="shared" si="30"/>
        <v>0</v>
      </c>
      <c r="M7440" s="59">
        <f t="shared" si="31"/>
        <v>0</v>
      </c>
    </row>
    <row r="7441" ht="15.0" hidden="1" customHeight="1">
      <c r="A7441" s="59">
        <f t="shared" si="20"/>
        <v>121</v>
      </c>
      <c r="B7441" s="59" t="str">
        <f t="shared" si="21"/>
        <v/>
      </c>
      <c r="C7441" s="59" t="str">
        <f t="shared" si="22"/>
        <v/>
      </c>
      <c r="D7441" s="45" t="str">
        <f t="shared" si="23"/>
        <v/>
      </c>
      <c r="E7441" s="45" t="str">
        <f t="shared" si="24"/>
        <v/>
      </c>
      <c r="F7441" s="59" t="str">
        <f t="shared" si="25"/>
        <v/>
      </c>
      <c r="G7441" s="59" t="str">
        <f t="shared" si="26"/>
        <v/>
      </c>
      <c r="H7441" s="59" t="str">
        <f t="shared" si="27"/>
        <v>28C01731</v>
      </c>
      <c r="I7441" s="59" t="str">
        <f>IF(OR($A7441="",$C7441="",$D7441="",$E7441="",$H7441=""),"",SUMIFS(DATA_GOC!$H:$H,DATA_GOC!$A:$A,"BOM",DATA_GOC!$D:$D,$H7441,DATA_GOC!$E:$E,$C7441,DATA_GOC!$F:$F,"Xuất nội bộ từ téc",DATA_GOC!$B:$B,"&gt;="&amp;$D7441,DATA_GOC!$B:$B,"&lt;="&amp;$E7441))</f>
        <v/>
      </c>
      <c r="J7441" s="59">
        <f t="shared" si="28"/>
        <v>0</v>
      </c>
      <c r="K7441" s="59">
        <f t="shared" si="29"/>
        <v>0</v>
      </c>
      <c r="L7441" s="59">
        <f t="shared" si="30"/>
        <v>0</v>
      </c>
      <c r="M7441" s="59">
        <f t="shared" si="31"/>
        <v>0</v>
      </c>
    </row>
    <row r="7442" ht="15.0" hidden="1" customHeight="1">
      <c r="A7442" s="59">
        <f t="shared" si="20"/>
        <v>121</v>
      </c>
      <c r="B7442" s="59" t="str">
        <f t="shared" si="21"/>
        <v/>
      </c>
      <c r="C7442" s="59" t="str">
        <f t="shared" si="22"/>
        <v/>
      </c>
      <c r="D7442" s="45" t="str">
        <f t="shared" si="23"/>
        <v/>
      </c>
      <c r="E7442" s="45" t="str">
        <f t="shared" si="24"/>
        <v/>
      </c>
      <c r="F7442" s="59" t="str">
        <f t="shared" si="25"/>
        <v/>
      </c>
      <c r="G7442" s="59" t="str">
        <f t="shared" si="26"/>
        <v/>
      </c>
      <c r="H7442" s="59" t="str">
        <f t="shared" si="27"/>
        <v>28C01743</v>
      </c>
      <c r="I7442" s="59" t="str">
        <f>IF(OR($A7442="",$C7442="",$D7442="",$E7442="",$H7442=""),"",SUMIFS(DATA_GOC!$H:$H,DATA_GOC!$A:$A,"BOM",DATA_GOC!$D:$D,$H7442,DATA_GOC!$E:$E,$C7442,DATA_GOC!$F:$F,"Xuất nội bộ từ téc",DATA_GOC!$B:$B,"&gt;="&amp;$D7442,DATA_GOC!$B:$B,"&lt;="&amp;$E7442))</f>
        <v/>
      </c>
      <c r="J7442" s="59">
        <f t="shared" si="28"/>
        <v>0</v>
      </c>
      <c r="K7442" s="59">
        <f t="shared" si="29"/>
        <v>0</v>
      </c>
      <c r="L7442" s="59">
        <f t="shared" si="30"/>
        <v>0</v>
      </c>
      <c r="M7442" s="59">
        <f t="shared" si="31"/>
        <v>0</v>
      </c>
    </row>
    <row r="7443" ht="15.0" hidden="1" customHeight="1">
      <c r="A7443" s="59">
        <f t="shared" si="20"/>
        <v>121</v>
      </c>
      <c r="B7443" s="59" t="str">
        <f t="shared" si="21"/>
        <v/>
      </c>
      <c r="C7443" s="59" t="str">
        <f t="shared" si="22"/>
        <v/>
      </c>
      <c r="D7443" s="45" t="str">
        <f t="shared" si="23"/>
        <v/>
      </c>
      <c r="E7443" s="45" t="str">
        <f t="shared" si="24"/>
        <v/>
      </c>
      <c r="F7443" s="59" t="str">
        <f t="shared" si="25"/>
        <v/>
      </c>
      <c r="G7443" s="59" t="str">
        <f t="shared" si="26"/>
        <v/>
      </c>
      <c r="H7443" s="59" t="str">
        <f t="shared" si="27"/>
        <v>28C02106</v>
      </c>
      <c r="I7443" s="59" t="str">
        <f>IF(OR($A7443="",$C7443="",$D7443="",$E7443="",$H7443=""),"",SUMIFS(DATA_GOC!$H:$H,DATA_GOC!$A:$A,"BOM",DATA_GOC!$D:$D,$H7443,DATA_GOC!$E:$E,$C7443,DATA_GOC!$F:$F,"Xuất nội bộ từ téc",DATA_GOC!$B:$B,"&gt;="&amp;$D7443,DATA_GOC!$B:$B,"&lt;="&amp;$E7443))</f>
        <v/>
      </c>
      <c r="J7443" s="59">
        <f t="shared" si="28"/>
        <v>0</v>
      </c>
      <c r="K7443" s="59">
        <f t="shared" si="29"/>
        <v>0</v>
      </c>
      <c r="L7443" s="59">
        <f t="shared" si="30"/>
        <v>0</v>
      </c>
      <c r="M7443" s="59">
        <f t="shared" si="31"/>
        <v>0</v>
      </c>
    </row>
    <row r="7444" ht="15.0" hidden="1" customHeight="1">
      <c r="A7444" s="59">
        <f t="shared" si="20"/>
        <v>121</v>
      </c>
      <c r="B7444" s="59" t="str">
        <f t="shared" si="21"/>
        <v/>
      </c>
      <c r="C7444" s="59" t="str">
        <f t="shared" si="22"/>
        <v/>
      </c>
      <c r="D7444" s="45" t="str">
        <f t="shared" si="23"/>
        <v/>
      </c>
      <c r="E7444" s="45" t="str">
        <f t="shared" si="24"/>
        <v/>
      </c>
      <c r="F7444" s="59" t="str">
        <f t="shared" si="25"/>
        <v/>
      </c>
      <c r="G7444" s="59" t="str">
        <f t="shared" si="26"/>
        <v/>
      </c>
      <c r="H7444" s="59" t="str">
        <f t="shared" si="27"/>
        <v>28C02410</v>
      </c>
      <c r="I7444" s="59" t="str">
        <f>IF(OR($A7444="",$C7444="",$D7444="",$E7444="",$H7444=""),"",SUMIFS(DATA_GOC!$H:$H,DATA_GOC!$A:$A,"BOM",DATA_GOC!$D:$D,$H7444,DATA_GOC!$E:$E,$C7444,DATA_GOC!$F:$F,"Xuất nội bộ từ téc",DATA_GOC!$B:$B,"&gt;="&amp;$D7444,DATA_GOC!$B:$B,"&lt;="&amp;$E7444))</f>
        <v/>
      </c>
      <c r="J7444" s="59">
        <f t="shared" si="28"/>
        <v>0</v>
      </c>
      <c r="K7444" s="59">
        <f t="shared" si="29"/>
        <v>0</v>
      </c>
      <c r="L7444" s="59">
        <f t="shared" si="30"/>
        <v>0</v>
      </c>
      <c r="M7444" s="59">
        <f t="shared" si="31"/>
        <v>0</v>
      </c>
    </row>
    <row r="7445" ht="15.0" hidden="1" customHeight="1">
      <c r="A7445" s="59">
        <f t="shared" si="20"/>
        <v>121</v>
      </c>
      <c r="B7445" s="59" t="str">
        <f t="shared" si="21"/>
        <v/>
      </c>
      <c r="C7445" s="59" t="str">
        <f t="shared" si="22"/>
        <v/>
      </c>
      <c r="D7445" s="45" t="str">
        <f t="shared" si="23"/>
        <v/>
      </c>
      <c r="E7445" s="45" t="str">
        <f t="shared" si="24"/>
        <v/>
      </c>
      <c r="F7445" s="59" t="str">
        <f t="shared" si="25"/>
        <v/>
      </c>
      <c r="G7445" s="59" t="str">
        <f t="shared" si="26"/>
        <v/>
      </c>
      <c r="H7445" s="59" t="str">
        <f t="shared" si="27"/>
        <v>28C02545</v>
      </c>
      <c r="I7445" s="59" t="str">
        <f>IF(OR($A7445="",$C7445="",$D7445="",$E7445="",$H7445=""),"",SUMIFS(DATA_GOC!$H:$H,DATA_GOC!$A:$A,"BOM",DATA_GOC!$D:$D,$H7445,DATA_GOC!$E:$E,$C7445,DATA_GOC!$F:$F,"Xuất nội bộ từ téc",DATA_GOC!$B:$B,"&gt;="&amp;$D7445,DATA_GOC!$B:$B,"&lt;="&amp;$E7445))</f>
        <v/>
      </c>
      <c r="J7445" s="59">
        <f t="shared" si="28"/>
        <v>0</v>
      </c>
      <c r="K7445" s="59">
        <f t="shared" si="29"/>
        <v>0</v>
      </c>
      <c r="L7445" s="59">
        <f t="shared" si="30"/>
        <v>0</v>
      </c>
      <c r="M7445" s="59">
        <f t="shared" si="31"/>
        <v>0</v>
      </c>
    </row>
    <row r="7446" ht="15.0" hidden="1" customHeight="1">
      <c r="A7446" s="59">
        <f t="shared" si="20"/>
        <v>121</v>
      </c>
      <c r="B7446" s="59" t="str">
        <f t="shared" si="21"/>
        <v/>
      </c>
      <c r="C7446" s="59" t="str">
        <f t="shared" si="22"/>
        <v/>
      </c>
      <c r="D7446" s="45" t="str">
        <f t="shared" si="23"/>
        <v/>
      </c>
      <c r="E7446" s="45" t="str">
        <f t="shared" si="24"/>
        <v/>
      </c>
      <c r="F7446" s="59" t="str">
        <f t="shared" si="25"/>
        <v/>
      </c>
      <c r="G7446" s="59" t="str">
        <f t="shared" si="26"/>
        <v/>
      </c>
      <c r="H7446" s="59" t="str">
        <f t="shared" si="27"/>
        <v>28C02574</v>
      </c>
      <c r="I7446" s="59" t="str">
        <f>IF(OR($A7446="",$C7446="",$D7446="",$E7446="",$H7446=""),"",SUMIFS(DATA_GOC!$H:$H,DATA_GOC!$A:$A,"BOM",DATA_GOC!$D:$D,$H7446,DATA_GOC!$E:$E,$C7446,DATA_GOC!$F:$F,"Xuất nội bộ từ téc",DATA_GOC!$B:$B,"&gt;="&amp;$D7446,DATA_GOC!$B:$B,"&lt;="&amp;$E7446))</f>
        <v/>
      </c>
      <c r="J7446" s="59">
        <f t="shared" si="28"/>
        <v>0</v>
      </c>
      <c r="K7446" s="59">
        <f t="shared" si="29"/>
        <v>0</v>
      </c>
      <c r="L7446" s="59">
        <f t="shared" si="30"/>
        <v>0</v>
      </c>
      <c r="M7446" s="59">
        <f t="shared" si="31"/>
        <v>0</v>
      </c>
    </row>
    <row r="7447" ht="15.0" hidden="1" customHeight="1">
      <c r="A7447" s="59">
        <f t="shared" si="20"/>
        <v>121</v>
      </c>
      <c r="B7447" s="59" t="str">
        <f t="shared" si="21"/>
        <v/>
      </c>
      <c r="C7447" s="59" t="str">
        <f t="shared" si="22"/>
        <v/>
      </c>
      <c r="D7447" s="45" t="str">
        <f t="shared" si="23"/>
        <v/>
      </c>
      <c r="E7447" s="45" t="str">
        <f t="shared" si="24"/>
        <v/>
      </c>
      <c r="F7447" s="59" t="str">
        <f t="shared" si="25"/>
        <v/>
      </c>
      <c r="G7447" s="59" t="str">
        <f t="shared" si="26"/>
        <v/>
      </c>
      <c r="H7447" s="59" t="str">
        <f t="shared" si="27"/>
        <v>28C02770</v>
      </c>
      <c r="I7447" s="59" t="str">
        <f>IF(OR($A7447="",$C7447="",$D7447="",$E7447="",$H7447=""),"",SUMIFS(DATA_GOC!$H:$H,DATA_GOC!$A:$A,"BOM",DATA_GOC!$D:$D,$H7447,DATA_GOC!$E:$E,$C7447,DATA_GOC!$F:$F,"Xuất nội bộ từ téc",DATA_GOC!$B:$B,"&gt;="&amp;$D7447,DATA_GOC!$B:$B,"&lt;="&amp;$E7447))</f>
        <v/>
      </c>
      <c r="J7447" s="59">
        <f t="shared" si="28"/>
        <v>0</v>
      </c>
      <c r="K7447" s="59">
        <f t="shared" si="29"/>
        <v>0</v>
      </c>
      <c r="L7447" s="59">
        <f t="shared" si="30"/>
        <v>0</v>
      </c>
      <c r="M7447" s="59">
        <f t="shared" si="31"/>
        <v>0</v>
      </c>
    </row>
    <row r="7448" ht="15.0" hidden="1" customHeight="1">
      <c r="A7448" s="59">
        <f t="shared" si="20"/>
        <v>121</v>
      </c>
      <c r="B7448" s="59" t="str">
        <f t="shared" si="21"/>
        <v/>
      </c>
      <c r="C7448" s="59" t="str">
        <f t="shared" si="22"/>
        <v/>
      </c>
      <c r="D7448" s="45" t="str">
        <f t="shared" si="23"/>
        <v/>
      </c>
      <c r="E7448" s="45" t="str">
        <f t="shared" si="24"/>
        <v/>
      </c>
      <c r="F7448" s="59" t="str">
        <f t="shared" si="25"/>
        <v/>
      </c>
      <c r="G7448" s="59" t="str">
        <f t="shared" si="26"/>
        <v/>
      </c>
      <c r="H7448" s="59" t="str">
        <f t="shared" si="27"/>
        <v>28C02986</v>
      </c>
      <c r="I7448" s="59" t="str">
        <f>IF(OR($A7448="",$C7448="",$D7448="",$E7448="",$H7448=""),"",SUMIFS(DATA_GOC!$H:$H,DATA_GOC!$A:$A,"BOM",DATA_GOC!$D:$D,$H7448,DATA_GOC!$E:$E,$C7448,DATA_GOC!$F:$F,"Xuất nội bộ từ téc",DATA_GOC!$B:$B,"&gt;="&amp;$D7448,DATA_GOC!$B:$B,"&lt;="&amp;$E7448))</f>
        <v/>
      </c>
      <c r="J7448" s="59">
        <f t="shared" si="28"/>
        <v>0</v>
      </c>
      <c r="K7448" s="59">
        <f t="shared" si="29"/>
        <v>0</v>
      </c>
      <c r="L7448" s="59">
        <f t="shared" si="30"/>
        <v>0</v>
      </c>
      <c r="M7448" s="59">
        <f t="shared" si="31"/>
        <v>0</v>
      </c>
    </row>
    <row r="7449" ht="15.0" hidden="1" customHeight="1">
      <c r="A7449" s="59">
        <f t="shared" si="20"/>
        <v>121</v>
      </c>
      <c r="B7449" s="59" t="str">
        <f t="shared" si="21"/>
        <v/>
      </c>
      <c r="C7449" s="59" t="str">
        <f t="shared" si="22"/>
        <v/>
      </c>
      <c r="D7449" s="45" t="str">
        <f t="shared" si="23"/>
        <v/>
      </c>
      <c r="E7449" s="45" t="str">
        <f t="shared" si="24"/>
        <v/>
      </c>
      <c r="F7449" s="59" t="str">
        <f t="shared" si="25"/>
        <v/>
      </c>
      <c r="G7449" s="59" t="str">
        <f t="shared" si="26"/>
        <v/>
      </c>
      <c r="H7449" s="59" t="str">
        <f t="shared" si="27"/>
        <v>28C03261</v>
      </c>
      <c r="I7449" s="59" t="str">
        <f>IF(OR($A7449="",$C7449="",$D7449="",$E7449="",$H7449=""),"",SUMIFS(DATA_GOC!$H:$H,DATA_GOC!$A:$A,"BOM",DATA_GOC!$D:$D,$H7449,DATA_GOC!$E:$E,$C7449,DATA_GOC!$F:$F,"Xuất nội bộ từ téc",DATA_GOC!$B:$B,"&gt;="&amp;$D7449,DATA_GOC!$B:$B,"&lt;="&amp;$E7449))</f>
        <v/>
      </c>
      <c r="J7449" s="59">
        <f t="shared" si="28"/>
        <v>0</v>
      </c>
      <c r="K7449" s="59">
        <f t="shared" si="29"/>
        <v>0</v>
      </c>
      <c r="L7449" s="59">
        <f t="shared" si="30"/>
        <v>0</v>
      </c>
      <c r="M7449" s="59">
        <f t="shared" si="31"/>
        <v>0</v>
      </c>
    </row>
    <row r="7450" ht="15.0" hidden="1" customHeight="1">
      <c r="A7450" s="59">
        <f t="shared" si="20"/>
        <v>121</v>
      </c>
      <c r="B7450" s="59" t="str">
        <f t="shared" si="21"/>
        <v/>
      </c>
      <c r="C7450" s="59" t="str">
        <f t="shared" si="22"/>
        <v/>
      </c>
      <c r="D7450" s="45" t="str">
        <f t="shared" si="23"/>
        <v/>
      </c>
      <c r="E7450" s="45" t="str">
        <f t="shared" si="24"/>
        <v/>
      </c>
      <c r="F7450" s="59" t="str">
        <f t="shared" si="25"/>
        <v/>
      </c>
      <c r="G7450" s="59" t="str">
        <f t="shared" si="26"/>
        <v/>
      </c>
      <c r="H7450" s="59" t="str">
        <f t="shared" si="27"/>
        <v>28C03323</v>
      </c>
      <c r="I7450" s="59" t="str">
        <f>IF(OR($A7450="",$C7450="",$D7450="",$E7450="",$H7450=""),"",SUMIFS(DATA_GOC!$H:$H,DATA_GOC!$A:$A,"BOM",DATA_GOC!$D:$D,$H7450,DATA_GOC!$E:$E,$C7450,DATA_GOC!$F:$F,"Xuất nội bộ từ téc",DATA_GOC!$B:$B,"&gt;="&amp;$D7450,DATA_GOC!$B:$B,"&lt;="&amp;$E7450))</f>
        <v/>
      </c>
      <c r="J7450" s="59">
        <f t="shared" si="28"/>
        <v>0</v>
      </c>
      <c r="K7450" s="59">
        <f t="shared" si="29"/>
        <v>0</v>
      </c>
      <c r="L7450" s="59">
        <f t="shared" si="30"/>
        <v>0</v>
      </c>
      <c r="M7450" s="59">
        <f t="shared" si="31"/>
        <v>0</v>
      </c>
    </row>
    <row r="7451" ht="15.0" hidden="1" customHeight="1">
      <c r="A7451" s="59">
        <f t="shared" si="20"/>
        <v>121</v>
      </c>
      <c r="B7451" s="59" t="str">
        <f t="shared" si="21"/>
        <v/>
      </c>
      <c r="C7451" s="59" t="str">
        <f t="shared" si="22"/>
        <v/>
      </c>
      <c r="D7451" s="45" t="str">
        <f t="shared" si="23"/>
        <v/>
      </c>
      <c r="E7451" s="45" t="str">
        <f t="shared" si="24"/>
        <v/>
      </c>
      <c r="F7451" s="59" t="str">
        <f t="shared" si="25"/>
        <v/>
      </c>
      <c r="G7451" s="59" t="str">
        <f t="shared" si="26"/>
        <v/>
      </c>
      <c r="H7451" s="59" t="str">
        <f t="shared" si="27"/>
        <v>28C03385</v>
      </c>
      <c r="I7451" s="59" t="str">
        <f>IF(OR($A7451="",$C7451="",$D7451="",$E7451="",$H7451=""),"",SUMIFS(DATA_GOC!$H:$H,DATA_GOC!$A:$A,"BOM",DATA_GOC!$D:$D,$H7451,DATA_GOC!$E:$E,$C7451,DATA_GOC!$F:$F,"Xuất nội bộ từ téc",DATA_GOC!$B:$B,"&gt;="&amp;$D7451,DATA_GOC!$B:$B,"&lt;="&amp;$E7451))</f>
        <v/>
      </c>
      <c r="J7451" s="59">
        <f t="shared" si="28"/>
        <v>0</v>
      </c>
      <c r="K7451" s="59">
        <f t="shared" si="29"/>
        <v>0</v>
      </c>
      <c r="L7451" s="59">
        <f t="shared" si="30"/>
        <v>0</v>
      </c>
      <c r="M7451" s="59">
        <f t="shared" si="31"/>
        <v>0</v>
      </c>
    </row>
    <row r="7452" ht="15.0" hidden="1" customHeight="1">
      <c r="A7452" s="59">
        <f t="shared" si="20"/>
        <v>121</v>
      </c>
      <c r="B7452" s="59" t="str">
        <f t="shared" si="21"/>
        <v/>
      </c>
      <c r="C7452" s="59" t="str">
        <f t="shared" si="22"/>
        <v/>
      </c>
      <c r="D7452" s="45" t="str">
        <f t="shared" si="23"/>
        <v/>
      </c>
      <c r="E7452" s="45" t="str">
        <f t="shared" si="24"/>
        <v/>
      </c>
      <c r="F7452" s="59" t="str">
        <f t="shared" si="25"/>
        <v/>
      </c>
      <c r="G7452" s="59" t="str">
        <f t="shared" si="26"/>
        <v/>
      </c>
      <c r="H7452" s="59" t="str">
        <f t="shared" si="27"/>
        <v>28C03652</v>
      </c>
      <c r="I7452" s="59" t="str">
        <f>IF(OR($A7452="",$C7452="",$D7452="",$E7452="",$H7452=""),"",SUMIFS(DATA_GOC!$H:$H,DATA_GOC!$A:$A,"BOM",DATA_GOC!$D:$D,$H7452,DATA_GOC!$E:$E,$C7452,DATA_GOC!$F:$F,"Xuất nội bộ từ téc",DATA_GOC!$B:$B,"&gt;="&amp;$D7452,DATA_GOC!$B:$B,"&lt;="&amp;$E7452))</f>
        <v/>
      </c>
      <c r="J7452" s="59">
        <f t="shared" si="28"/>
        <v>0</v>
      </c>
      <c r="K7452" s="59">
        <f t="shared" si="29"/>
        <v>0</v>
      </c>
      <c r="L7452" s="59">
        <f t="shared" si="30"/>
        <v>0</v>
      </c>
      <c r="M7452" s="59">
        <f t="shared" si="31"/>
        <v>0</v>
      </c>
    </row>
    <row r="7453" ht="15.0" hidden="1" customHeight="1">
      <c r="A7453" s="59">
        <f t="shared" si="20"/>
        <v>121</v>
      </c>
      <c r="B7453" s="59" t="str">
        <f t="shared" si="21"/>
        <v/>
      </c>
      <c r="C7453" s="59" t="str">
        <f t="shared" si="22"/>
        <v/>
      </c>
      <c r="D7453" s="45" t="str">
        <f t="shared" si="23"/>
        <v/>
      </c>
      <c r="E7453" s="45" t="str">
        <f t="shared" si="24"/>
        <v/>
      </c>
      <c r="F7453" s="59" t="str">
        <f t="shared" si="25"/>
        <v/>
      </c>
      <c r="G7453" s="59" t="str">
        <f t="shared" si="26"/>
        <v/>
      </c>
      <c r="H7453" s="59" t="str">
        <f t="shared" si="27"/>
        <v>28C03695</v>
      </c>
      <c r="I7453" s="59" t="str">
        <f>IF(OR($A7453="",$C7453="",$D7453="",$E7453="",$H7453=""),"",SUMIFS(DATA_GOC!$H:$H,DATA_GOC!$A:$A,"BOM",DATA_GOC!$D:$D,$H7453,DATA_GOC!$E:$E,$C7453,DATA_GOC!$F:$F,"Xuất nội bộ từ téc",DATA_GOC!$B:$B,"&gt;="&amp;$D7453,DATA_GOC!$B:$B,"&lt;="&amp;$E7453))</f>
        <v/>
      </c>
      <c r="J7453" s="59">
        <f t="shared" si="28"/>
        <v>0</v>
      </c>
      <c r="K7453" s="59">
        <f t="shared" si="29"/>
        <v>0</v>
      </c>
      <c r="L7453" s="59">
        <f t="shared" si="30"/>
        <v>0</v>
      </c>
      <c r="M7453" s="59">
        <f t="shared" si="31"/>
        <v>0</v>
      </c>
    </row>
    <row r="7454" ht="15.0" hidden="1" customHeight="1">
      <c r="A7454" s="59">
        <f t="shared" si="20"/>
        <v>121</v>
      </c>
      <c r="B7454" s="59" t="str">
        <f t="shared" si="21"/>
        <v/>
      </c>
      <c r="C7454" s="59" t="str">
        <f t="shared" si="22"/>
        <v/>
      </c>
      <c r="D7454" s="45" t="str">
        <f t="shared" si="23"/>
        <v/>
      </c>
      <c r="E7454" s="45" t="str">
        <f t="shared" si="24"/>
        <v/>
      </c>
      <c r="F7454" s="59" t="str">
        <f t="shared" si="25"/>
        <v/>
      </c>
      <c r="G7454" s="59" t="str">
        <f t="shared" si="26"/>
        <v/>
      </c>
      <c r="H7454" s="59" t="str">
        <f t="shared" si="27"/>
        <v>28C03927</v>
      </c>
      <c r="I7454" s="59" t="str">
        <f>IF(OR($A7454="",$C7454="",$D7454="",$E7454="",$H7454=""),"",SUMIFS(DATA_GOC!$H:$H,DATA_GOC!$A:$A,"BOM",DATA_GOC!$D:$D,$H7454,DATA_GOC!$E:$E,$C7454,DATA_GOC!$F:$F,"Xuất nội bộ từ téc",DATA_GOC!$B:$B,"&gt;="&amp;$D7454,DATA_GOC!$B:$B,"&lt;="&amp;$E7454))</f>
        <v/>
      </c>
      <c r="J7454" s="59">
        <f t="shared" si="28"/>
        <v>0</v>
      </c>
      <c r="K7454" s="59">
        <f t="shared" si="29"/>
        <v>0</v>
      </c>
      <c r="L7454" s="59">
        <f t="shared" si="30"/>
        <v>0</v>
      </c>
      <c r="M7454" s="59">
        <f t="shared" si="31"/>
        <v>0</v>
      </c>
    </row>
    <row r="7455" ht="15.0" hidden="1" customHeight="1">
      <c r="A7455" s="59">
        <f t="shared" si="20"/>
        <v>121</v>
      </c>
      <c r="B7455" s="59" t="str">
        <f t="shared" si="21"/>
        <v/>
      </c>
      <c r="C7455" s="59" t="str">
        <f t="shared" si="22"/>
        <v/>
      </c>
      <c r="D7455" s="45" t="str">
        <f t="shared" si="23"/>
        <v/>
      </c>
      <c r="E7455" s="45" t="str">
        <f t="shared" si="24"/>
        <v/>
      </c>
      <c r="F7455" s="59" t="str">
        <f t="shared" si="25"/>
        <v/>
      </c>
      <c r="G7455" s="59" t="str">
        <f t="shared" si="26"/>
        <v/>
      </c>
      <c r="H7455" s="59" t="str">
        <f t="shared" si="27"/>
        <v>28C04509</v>
      </c>
      <c r="I7455" s="59" t="str">
        <f>IF(OR($A7455="",$C7455="",$D7455="",$E7455="",$H7455=""),"",SUMIFS(DATA_GOC!$H:$H,DATA_GOC!$A:$A,"BOM",DATA_GOC!$D:$D,$H7455,DATA_GOC!$E:$E,$C7455,DATA_GOC!$F:$F,"Xuất nội bộ từ téc",DATA_GOC!$B:$B,"&gt;="&amp;$D7455,DATA_GOC!$B:$B,"&lt;="&amp;$E7455))</f>
        <v/>
      </c>
      <c r="J7455" s="59">
        <f t="shared" si="28"/>
        <v>0</v>
      </c>
      <c r="K7455" s="59">
        <f t="shared" si="29"/>
        <v>0</v>
      </c>
      <c r="L7455" s="59">
        <f t="shared" si="30"/>
        <v>0</v>
      </c>
      <c r="M7455" s="59">
        <f t="shared" si="31"/>
        <v>0</v>
      </c>
    </row>
    <row r="7456" ht="15.0" hidden="1" customHeight="1">
      <c r="A7456" s="59">
        <f t="shared" si="20"/>
        <v>121</v>
      </c>
      <c r="B7456" s="59" t="str">
        <f t="shared" si="21"/>
        <v/>
      </c>
      <c r="C7456" s="59" t="str">
        <f t="shared" si="22"/>
        <v/>
      </c>
      <c r="D7456" s="45" t="str">
        <f t="shared" si="23"/>
        <v/>
      </c>
      <c r="E7456" s="45" t="str">
        <f t="shared" si="24"/>
        <v/>
      </c>
      <c r="F7456" s="59" t="str">
        <f t="shared" si="25"/>
        <v/>
      </c>
      <c r="G7456" s="59" t="str">
        <f t="shared" si="26"/>
        <v/>
      </c>
      <c r="H7456" s="59" t="str">
        <f t="shared" si="27"/>
        <v>28C04536</v>
      </c>
      <c r="I7456" s="59" t="str">
        <f>IF(OR($A7456="",$C7456="",$D7456="",$E7456="",$H7456=""),"",SUMIFS(DATA_GOC!$H:$H,DATA_GOC!$A:$A,"BOM",DATA_GOC!$D:$D,$H7456,DATA_GOC!$E:$E,$C7456,DATA_GOC!$F:$F,"Xuất nội bộ từ téc",DATA_GOC!$B:$B,"&gt;="&amp;$D7456,DATA_GOC!$B:$B,"&lt;="&amp;$E7456))</f>
        <v/>
      </c>
      <c r="J7456" s="59">
        <f t="shared" si="28"/>
        <v>0</v>
      </c>
      <c r="K7456" s="59">
        <f t="shared" si="29"/>
        <v>0</v>
      </c>
      <c r="L7456" s="59">
        <f t="shared" si="30"/>
        <v>0</v>
      </c>
      <c r="M7456" s="59">
        <f t="shared" si="31"/>
        <v>0</v>
      </c>
    </row>
    <row r="7457" ht="15.0" hidden="1" customHeight="1">
      <c r="A7457" s="59">
        <f t="shared" si="20"/>
        <v>121</v>
      </c>
      <c r="B7457" s="59" t="str">
        <f t="shared" si="21"/>
        <v/>
      </c>
      <c r="C7457" s="59" t="str">
        <f t="shared" si="22"/>
        <v/>
      </c>
      <c r="D7457" s="45" t="str">
        <f t="shared" si="23"/>
        <v/>
      </c>
      <c r="E7457" s="45" t="str">
        <f t="shared" si="24"/>
        <v/>
      </c>
      <c r="F7457" s="59" t="str">
        <f t="shared" si="25"/>
        <v/>
      </c>
      <c r="G7457" s="59" t="str">
        <f t="shared" si="26"/>
        <v/>
      </c>
      <c r="H7457" s="59" t="str">
        <f t="shared" si="27"/>
        <v>28C04576</v>
      </c>
      <c r="I7457" s="59" t="str">
        <f>IF(OR($A7457="",$C7457="",$D7457="",$E7457="",$H7457=""),"",SUMIFS(DATA_GOC!$H:$H,DATA_GOC!$A:$A,"BOM",DATA_GOC!$D:$D,$H7457,DATA_GOC!$E:$E,$C7457,DATA_GOC!$F:$F,"Xuất nội bộ từ téc",DATA_GOC!$B:$B,"&gt;="&amp;$D7457,DATA_GOC!$B:$B,"&lt;="&amp;$E7457))</f>
        <v/>
      </c>
      <c r="J7457" s="59">
        <f t="shared" si="28"/>
        <v>0</v>
      </c>
      <c r="K7457" s="59">
        <f t="shared" si="29"/>
        <v>0</v>
      </c>
      <c r="L7457" s="59">
        <f t="shared" si="30"/>
        <v>0</v>
      </c>
      <c r="M7457" s="59">
        <f t="shared" si="31"/>
        <v>0</v>
      </c>
    </row>
    <row r="7458" ht="15.0" hidden="1" customHeight="1">
      <c r="A7458" s="59">
        <f t="shared" si="20"/>
        <v>121</v>
      </c>
      <c r="B7458" s="59" t="str">
        <f t="shared" si="21"/>
        <v/>
      </c>
      <c r="C7458" s="59" t="str">
        <f t="shared" si="22"/>
        <v/>
      </c>
      <c r="D7458" s="45" t="str">
        <f t="shared" si="23"/>
        <v/>
      </c>
      <c r="E7458" s="45" t="str">
        <f t="shared" si="24"/>
        <v/>
      </c>
      <c r="F7458" s="59" t="str">
        <f t="shared" si="25"/>
        <v/>
      </c>
      <c r="G7458" s="59" t="str">
        <f t="shared" si="26"/>
        <v/>
      </c>
      <c r="H7458" s="59" t="str">
        <f t="shared" si="27"/>
        <v>28C05090</v>
      </c>
      <c r="I7458" s="59" t="str">
        <f>IF(OR($A7458="",$C7458="",$D7458="",$E7458="",$H7458=""),"",SUMIFS(DATA_GOC!$H:$H,DATA_GOC!$A:$A,"BOM",DATA_GOC!$D:$D,$H7458,DATA_GOC!$E:$E,$C7458,DATA_GOC!$F:$F,"Xuất nội bộ từ téc",DATA_GOC!$B:$B,"&gt;="&amp;$D7458,DATA_GOC!$B:$B,"&lt;="&amp;$E7458))</f>
        <v/>
      </c>
      <c r="J7458" s="59">
        <f t="shared" si="28"/>
        <v>0</v>
      </c>
      <c r="K7458" s="59">
        <f t="shared" si="29"/>
        <v>0</v>
      </c>
      <c r="L7458" s="59">
        <f t="shared" si="30"/>
        <v>0</v>
      </c>
      <c r="M7458" s="59">
        <f t="shared" si="31"/>
        <v>0</v>
      </c>
    </row>
    <row r="7459" ht="15.0" hidden="1" customHeight="1">
      <c r="A7459" s="59">
        <f t="shared" si="20"/>
        <v>121</v>
      </c>
      <c r="B7459" s="59" t="str">
        <f t="shared" si="21"/>
        <v/>
      </c>
      <c r="C7459" s="59" t="str">
        <f t="shared" si="22"/>
        <v/>
      </c>
      <c r="D7459" s="45" t="str">
        <f t="shared" si="23"/>
        <v/>
      </c>
      <c r="E7459" s="45" t="str">
        <f t="shared" si="24"/>
        <v/>
      </c>
      <c r="F7459" s="59" t="str">
        <f t="shared" si="25"/>
        <v/>
      </c>
      <c r="G7459" s="59" t="str">
        <f t="shared" si="26"/>
        <v/>
      </c>
      <c r="H7459" s="59" t="str">
        <f t="shared" si="27"/>
        <v>28C05345</v>
      </c>
      <c r="I7459" s="59" t="str">
        <f>IF(OR($A7459="",$C7459="",$D7459="",$E7459="",$H7459=""),"",SUMIFS(DATA_GOC!$H:$H,DATA_GOC!$A:$A,"BOM",DATA_GOC!$D:$D,$H7459,DATA_GOC!$E:$E,$C7459,DATA_GOC!$F:$F,"Xuất nội bộ từ téc",DATA_GOC!$B:$B,"&gt;="&amp;$D7459,DATA_GOC!$B:$B,"&lt;="&amp;$E7459))</f>
        <v/>
      </c>
      <c r="J7459" s="59">
        <f t="shared" si="28"/>
        <v>0</v>
      </c>
      <c r="K7459" s="59">
        <f t="shared" si="29"/>
        <v>0</v>
      </c>
      <c r="L7459" s="59">
        <f t="shared" si="30"/>
        <v>0</v>
      </c>
      <c r="M7459" s="59">
        <f t="shared" si="31"/>
        <v>0</v>
      </c>
    </row>
    <row r="7460" ht="15.0" hidden="1" customHeight="1">
      <c r="A7460" s="59">
        <f t="shared" si="20"/>
        <v>121</v>
      </c>
      <c r="B7460" s="59" t="str">
        <f t="shared" si="21"/>
        <v/>
      </c>
      <c r="C7460" s="59" t="str">
        <f t="shared" si="22"/>
        <v/>
      </c>
      <c r="D7460" s="45" t="str">
        <f t="shared" si="23"/>
        <v/>
      </c>
      <c r="E7460" s="45" t="str">
        <f t="shared" si="24"/>
        <v/>
      </c>
      <c r="F7460" s="59" t="str">
        <f t="shared" si="25"/>
        <v/>
      </c>
      <c r="G7460" s="59" t="str">
        <f t="shared" si="26"/>
        <v/>
      </c>
      <c r="H7460" s="59" t="str">
        <f t="shared" si="27"/>
        <v>28C05661</v>
      </c>
      <c r="I7460" s="59" t="str">
        <f>IF(OR($A7460="",$C7460="",$D7460="",$E7460="",$H7460=""),"",SUMIFS(DATA_GOC!$H:$H,DATA_GOC!$A:$A,"BOM",DATA_GOC!$D:$D,$H7460,DATA_GOC!$E:$E,$C7460,DATA_GOC!$F:$F,"Xuất nội bộ từ téc",DATA_GOC!$B:$B,"&gt;="&amp;$D7460,DATA_GOC!$B:$B,"&lt;="&amp;$E7460))</f>
        <v/>
      </c>
      <c r="J7460" s="59">
        <f t="shared" si="28"/>
        <v>0</v>
      </c>
      <c r="K7460" s="59">
        <f t="shared" si="29"/>
        <v>0</v>
      </c>
      <c r="L7460" s="59">
        <f t="shared" si="30"/>
        <v>0</v>
      </c>
      <c r="M7460" s="59">
        <f t="shared" si="31"/>
        <v>0</v>
      </c>
    </row>
    <row r="7461" ht="15.0" hidden="1" customHeight="1">
      <c r="A7461" s="59">
        <f t="shared" si="20"/>
        <v>121</v>
      </c>
      <c r="B7461" s="59" t="str">
        <f t="shared" si="21"/>
        <v/>
      </c>
      <c r="C7461" s="59" t="str">
        <f t="shared" si="22"/>
        <v/>
      </c>
      <c r="D7461" s="45" t="str">
        <f t="shared" si="23"/>
        <v/>
      </c>
      <c r="E7461" s="45" t="str">
        <f t="shared" si="24"/>
        <v/>
      </c>
      <c r="F7461" s="59" t="str">
        <f t="shared" si="25"/>
        <v/>
      </c>
      <c r="G7461" s="59" t="str">
        <f t="shared" si="26"/>
        <v/>
      </c>
      <c r="H7461" s="59" t="str">
        <f t="shared" si="27"/>
        <v>28C05739</v>
      </c>
      <c r="I7461" s="59" t="str">
        <f>IF(OR($A7461="",$C7461="",$D7461="",$E7461="",$H7461=""),"",SUMIFS(DATA_GOC!$H:$H,DATA_GOC!$A:$A,"BOM",DATA_GOC!$D:$D,$H7461,DATA_GOC!$E:$E,$C7461,DATA_GOC!$F:$F,"Xuất nội bộ từ téc",DATA_GOC!$B:$B,"&gt;="&amp;$D7461,DATA_GOC!$B:$B,"&lt;="&amp;$E7461))</f>
        <v/>
      </c>
      <c r="J7461" s="59">
        <f t="shared" si="28"/>
        <v>0</v>
      </c>
      <c r="K7461" s="59">
        <f t="shared" si="29"/>
        <v>0</v>
      </c>
      <c r="L7461" s="59">
        <f t="shared" si="30"/>
        <v>0</v>
      </c>
      <c r="M7461" s="59">
        <f t="shared" si="31"/>
        <v>0</v>
      </c>
    </row>
    <row r="7462" ht="15.0" hidden="1" customHeight="1">
      <c r="A7462" s="59">
        <f t="shared" si="20"/>
        <v>121</v>
      </c>
      <c r="B7462" s="59" t="str">
        <f t="shared" si="21"/>
        <v/>
      </c>
      <c r="C7462" s="59" t="str">
        <f t="shared" si="22"/>
        <v/>
      </c>
      <c r="D7462" s="45" t="str">
        <f t="shared" si="23"/>
        <v/>
      </c>
      <c r="E7462" s="45" t="str">
        <f t="shared" si="24"/>
        <v/>
      </c>
      <c r="F7462" s="59" t="str">
        <f t="shared" si="25"/>
        <v/>
      </c>
      <c r="G7462" s="59" t="str">
        <f t="shared" si="26"/>
        <v/>
      </c>
      <c r="H7462" s="59" t="str">
        <f t="shared" si="27"/>
        <v>28C06369</v>
      </c>
      <c r="I7462" s="59" t="str">
        <f>IF(OR($A7462="",$C7462="",$D7462="",$E7462="",$H7462=""),"",SUMIFS(DATA_GOC!$H:$H,DATA_GOC!$A:$A,"BOM",DATA_GOC!$D:$D,$H7462,DATA_GOC!$E:$E,$C7462,DATA_GOC!$F:$F,"Xuất nội bộ từ téc",DATA_GOC!$B:$B,"&gt;="&amp;$D7462,DATA_GOC!$B:$B,"&lt;="&amp;$E7462))</f>
        <v/>
      </c>
      <c r="J7462" s="59">
        <f t="shared" si="28"/>
        <v>0</v>
      </c>
      <c r="K7462" s="59">
        <f t="shared" si="29"/>
        <v>0</v>
      </c>
      <c r="L7462" s="59">
        <f t="shared" si="30"/>
        <v>0</v>
      </c>
      <c r="M7462" s="59">
        <f t="shared" si="31"/>
        <v>0</v>
      </c>
    </row>
    <row r="7463" ht="15.0" hidden="1" customHeight="1">
      <c r="A7463" s="59">
        <f t="shared" si="20"/>
        <v>121</v>
      </c>
      <c r="B7463" s="59" t="str">
        <f t="shared" si="21"/>
        <v/>
      </c>
      <c r="C7463" s="59" t="str">
        <f t="shared" si="22"/>
        <v/>
      </c>
      <c r="D7463" s="45" t="str">
        <f t="shared" si="23"/>
        <v/>
      </c>
      <c r="E7463" s="45" t="str">
        <f t="shared" si="24"/>
        <v/>
      </c>
      <c r="F7463" s="59" t="str">
        <f t="shared" si="25"/>
        <v/>
      </c>
      <c r="G7463" s="59" t="str">
        <f t="shared" si="26"/>
        <v/>
      </c>
      <c r="H7463" s="59" t="str">
        <f t="shared" si="27"/>
        <v>28C06447</v>
      </c>
      <c r="I7463" s="59" t="str">
        <f>IF(OR($A7463="",$C7463="",$D7463="",$E7463="",$H7463=""),"",SUMIFS(DATA_GOC!$H:$H,DATA_GOC!$A:$A,"BOM",DATA_GOC!$D:$D,$H7463,DATA_GOC!$E:$E,$C7463,DATA_GOC!$F:$F,"Xuất nội bộ từ téc",DATA_GOC!$B:$B,"&gt;="&amp;$D7463,DATA_GOC!$B:$B,"&lt;="&amp;$E7463))</f>
        <v/>
      </c>
      <c r="J7463" s="59">
        <f t="shared" si="28"/>
        <v>0</v>
      </c>
      <c r="K7463" s="59">
        <f t="shared" si="29"/>
        <v>0</v>
      </c>
      <c r="L7463" s="59">
        <f t="shared" si="30"/>
        <v>0</v>
      </c>
      <c r="M7463" s="59">
        <f t="shared" si="31"/>
        <v>0</v>
      </c>
    </row>
    <row r="7464" ht="15.0" hidden="1" customHeight="1">
      <c r="A7464" s="59">
        <f t="shared" si="20"/>
        <v>121</v>
      </c>
      <c r="B7464" s="59" t="str">
        <f t="shared" si="21"/>
        <v/>
      </c>
      <c r="C7464" s="59" t="str">
        <f t="shared" si="22"/>
        <v/>
      </c>
      <c r="D7464" s="45" t="str">
        <f t="shared" si="23"/>
        <v/>
      </c>
      <c r="E7464" s="45" t="str">
        <f t="shared" si="24"/>
        <v/>
      </c>
      <c r="F7464" s="59" t="str">
        <f t="shared" si="25"/>
        <v/>
      </c>
      <c r="G7464" s="59" t="str">
        <f t="shared" si="26"/>
        <v/>
      </c>
      <c r="H7464" s="59" t="str">
        <f t="shared" si="27"/>
        <v>28H00003</v>
      </c>
      <c r="I7464" s="59" t="str">
        <f>IF(OR($A7464="",$C7464="",$D7464="",$E7464="",$H7464=""),"",SUMIFS(DATA_GOC!$H:$H,DATA_GOC!$A:$A,"BOM",DATA_GOC!$D:$D,$H7464,DATA_GOC!$E:$E,$C7464,DATA_GOC!$F:$F,"Xuất nội bộ từ téc",DATA_GOC!$B:$B,"&gt;="&amp;$D7464,DATA_GOC!$B:$B,"&lt;="&amp;$E7464))</f>
        <v/>
      </c>
      <c r="J7464" s="59">
        <f t="shared" si="28"/>
        <v>0</v>
      </c>
      <c r="K7464" s="59">
        <f t="shared" si="29"/>
        <v>0</v>
      </c>
      <c r="L7464" s="59">
        <f t="shared" si="30"/>
        <v>0</v>
      </c>
      <c r="M7464" s="59">
        <f t="shared" si="31"/>
        <v>0</v>
      </c>
    </row>
    <row r="7465" ht="15.0" hidden="1" customHeight="1">
      <c r="A7465" s="59">
        <f t="shared" si="20"/>
        <v>121</v>
      </c>
      <c r="B7465" s="59" t="str">
        <f t="shared" si="21"/>
        <v/>
      </c>
      <c r="C7465" s="59" t="str">
        <f t="shared" si="22"/>
        <v/>
      </c>
      <c r="D7465" s="45" t="str">
        <f t="shared" si="23"/>
        <v/>
      </c>
      <c r="E7465" s="45" t="str">
        <f t="shared" si="24"/>
        <v/>
      </c>
      <c r="F7465" s="59" t="str">
        <f t="shared" si="25"/>
        <v/>
      </c>
      <c r="G7465" s="59" t="str">
        <f t="shared" si="26"/>
        <v/>
      </c>
      <c r="H7465" s="59" t="str">
        <f t="shared" si="27"/>
        <v>28H00061</v>
      </c>
      <c r="I7465" s="59" t="str">
        <f>IF(OR($A7465="",$C7465="",$D7465="",$E7465="",$H7465=""),"",SUMIFS(DATA_GOC!$H:$H,DATA_GOC!$A:$A,"BOM",DATA_GOC!$D:$D,$H7465,DATA_GOC!$E:$E,$C7465,DATA_GOC!$F:$F,"Xuất nội bộ từ téc",DATA_GOC!$B:$B,"&gt;="&amp;$D7465,DATA_GOC!$B:$B,"&lt;="&amp;$E7465))</f>
        <v/>
      </c>
      <c r="J7465" s="59">
        <f t="shared" si="28"/>
        <v>0</v>
      </c>
      <c r="K7465" s="59">
        <f t="shared" si="29"/>
        <v>0</v>
      </c>
      <c r="L7465" s="59">
        <f t="shared" si="30"/>
        <v>0</v>
      </c>
      <c r="M7465" s="59">
        <f t="shared" si="31"/>
        <v>0</v>
      </c>
    </row>
    <row r="7466" ht="15.0" hidden="1" customHeight="1">
      <c r="A7466" s="59">
        <f t="shared" si="20"/>
        <v>121</v>
      </c>
      <c r="B7466" s="59" t="str">
        <f t="shared" si="21"/>
        <v/>
      </c>
      <c r="C7466" s="59" t="str">
        <f t="shared" si="22"/>
        <v/>
      </c>
      <c r="D7466" s="45" t="str">
        <f t="shared" si="23"/>
        <v/>
      </c>
      <c r="E7466" s="45" t="str">
        <f t="shared" si="24"/>
        <v/>
      </c>
      <c r="F7466" s="59" t="str">
        <f t="shared" si="25"/>
        <v/>
      </c>
      <c r="G7466" s="59" t="str">
        <f t="shared" si="26"/>
        <v/>
      </c>
      <c r="H7466" s="59" t="str">
        <f t="shared" si="27"/>
        <v>28H00354</v>
      </c>
      <c r="I7466" s="59" t="str">
        <f>IF(OR($A7466="",$C7466="",$D7466="",$E7466="",$H7466=""),"",SUMIFS(DATA_GOC!$H:$H,DATA_GOC!$A:$A,"BOM",DATA_GOC!$D:$D,$H7466,DATA_GOC!$E:$E,$C7466,DATA_GOC!$F:$F,"Xuất nội bộ từ téc",DATA_GOC!$B:$B,"&gt;="&amp;$D7466,DATA_GOC!$B:$B,"&lt;="&amp;$E7466))</f>
        <v/>
      </c>
      <c r="J7466" s="59">
        <f t="shared" si="28"/>
        <v>0</v>
      </c>
      <c r="K7466" s="59">
        <f t="shared" si="29"/>
        <v>0</v>
      </c>
      <c r="L7466" s="59">
        <f t="shared" si="30"/>
        <v>0</v>
      </c>
      <c r="M7466" s="59">
        <f t="shared" si="31"/>
        <v>0</v>
      </c>
    </row>
    <row r="7467" ht="15.0" hidden="1" customHeight="1">
      <c r="A7467" s="59">
        <f t="shared" si="20"/>
        <v>121</v>
      </c>
      <c r="B7467" s="59" t="str">
        <f t="shared" si="21"/>
        <v/>
      </c>
      <c r="C7467" s="59" t="str">
        <f t="shared" si="22"/>
        <v/>
      </c>
      <c r="D7467" s="45" t="str">
        <f t="shared" si="23"/>
        <v/>
      </c>
      <c r="E7467" s="45" t="str">
        <f t="shared" si="24"/>
        <v/>
      </c>
      <c r="F7467" s="59" t="str">
        <f t="shared" si="25"/>
        <v/>
      </c>
      <c r="G7467" s="59" t="str">
        <f t="shared" si="26"/>
        <v/>
      </c>
      <c r="H7467" s="59" t="str">
        <f t="shared" si="27"/>
        <v>28H00603</v>
      </c>
      <c r="I7467" s="59" t="str">
        <f>IF(OR($A7467="",$C7467="",$D7467="",$E7467="",$H7467=""),"",SUMIFS(DATA_GOC!$H:$H,DATA_GOC!$A:$A,"BOM",DATA_GOC!$D:$D,$H7467,DATA_GOC!$E:$E,$C7467,DATA_GOC!$F:$F,"Xuất nội bộ từ téc",DATA_GOC!$B:$B,"&gt;="&amp;$D7467,DATA_GOC!$B:$B,"&lt;="&amp;$E7467))</f>
        <v/>
      </c>
      <c r="J7467" s="59">
        <f t="shared" si="28"/>
        <v>0</v>
      </c>
      <c r="K7467" s="59">
        <f t="shared" si="29"/>
        <v>0</v>
      </c>
      <c r="L7467" s="59">
        <f t="shared" si="30"/>
        <v>0</v>
      </c>
      <c r="M7467" s="59">
        <f t="shared" si="31"/>
        <v>0</v>
      </c>
    </row>
    <row r="7468" ht="15.0" hidden="1" customHeight="1">
      <c r="A7468" s="59">
        <f t="shared" si="20"/>
        <v>121</v>
      </c>
      <c r="B7468" s="59" t="str">
        <f t="shared" si="21"/>
        <v/>
      </c>
      <c r="C7468" s="59" t="str">
        <f t="shared" si="22"/>
        <v/>
      </c>
      <c r="D7468" s="45" t="str">
        <f t="shared" si="23"/>
        <v/>
      </c>
      <c r="E7468" s="45" t="str">
        <f t="shared" si="24"/>
        <v/>
      </c>
      <c r="F7468" s="59" t="str">
        <f t="shared" si="25"/>
        <v/>
      </c>
      <c r="G7468" s="59" t="str">
        <f t="shared" si="26"/>
        <v/>
      </c>
      <c r="H7468" s="59" t="str">
        <f t="shared" si="27"/>
        <v>28H00609</v>
      </c>
      <c r="I7468" s="59" t="str">
        <f>IF(OR($A7468="",$C7468="",$D7468="",$E7468="",$H7468=""),"",SUMIFS(DATA_GOC!$H:$H,DATA_GOC!$A:$A,"BOM",DATA_GOC!$D:$D,$H7468,DATA_GOC!$E:$E,$C7468,DATA_GOC!$F:$F,"Xuất nội bộ từ téc",DATA_GOC!$B:$B,"&gt;="&amp;$D7468,DATA_GOC!$B:$B,"&lt;="&amp;$E7468))</f>
        <v/>
      </c>
      <c r="J7468" s="59">
        <f t="shared" si="28"/>
        <v>0</v>
      </c>
      <c r="K7468" s="59">
        <f t="shared" si="29"/>
        <v>0</v>
      </c>
      <c r="L7468" s="59">
        <f t="shared" si="30"/>
        <v>0</v>
      </c>
      <c r="M7468" s="59">
        <f t="shared" si="31"/>
        <v>0</v>
      </c>
    </row>
    <row r="7469" ht="15.0" hidden="1" customHeight="1">
      <c r="A7469" s="59">
        <f t="shared" si="20"/>
        <v>121</v>
      </c>
      <c r="B7469" s="59" t="str">
        <f t="shared" si="21"/>
        <v/>
      </c>
      <c r="C7469" s="59" t="str">
        <f t="shared" si="22"/>
        <v/>
      </c>
      <c r="D7469" s="45" t="str">
        <f t="shared" si="23"/>
        <v/>
      </c>
      <c r="E7469" s="45" t="str">
        <f t="shared" si="24"/>
        <v/>
      </c>
      <c r="F7469" s="59" t="str">
        <f t="shared" si="25"/>
        <v/>
      </c>
      <c r="G7469" s="59" t="str">
        <f t="shared" si="26"/>
        <v/>
      </c>
      <c r="H7469" s="59" t="str">
        <f t="shared" si="27"/>
        <v>28H00669</v>
      </c>
      <c r="I7469" s="59" t="str">
        <f>IF(OR($A7469="",$C7469="",$D7469="",$E7469="",$H7469=""),"",SUMIFS(DATA_GOC!$H:$H,DATA_GOC!$A:$A,"BOM",DATA_GOC!$D:$D,$H7469,DATA_GOC!$E:$E,$C7469,DATA_GOC!$F:$F,"Xuất nội bộ từ téc",DATA_GOC!$B:$B,"&gt;="&amp;$D7469,DATA_GOC!$B:$B,"&lt;="&amp;$E7469))</f>
        <v/>
      </c>
      <c r="J7469" s="59">
        <f t="shared" si="28"/>
        <v>0</v>
      </c>
      <c r="K7469" s="59">
        <f t="shared" si="29"/>
        <v>0</v>
      </c>
      <c r="L7469" s="59">
        <f t="shared" si="30"/>
        <v>0</v>
      </c>
      <c r="M7469" s="59">
        <f t="shared" si="31"/>
        <v>0</v>
      </c>
    </row>
    <row r="7470" ht="15.0" hidden="1" customHeight="1">
      <c r="A7470" s="59">
        <f t="shared" si="20"/>
        <v>121</v>
      </c>
      <c r="B7470" s="59" t="str">
        <f t="shared" si="21"/>
        <v/>
      </c>
      <c r="C7470" s="59" t="str">
        <f t="shared" si="22"/>
        <v/>
      </c>
      <c r="D7470" s="45" t="str">
        <f t="shared" si="23"/>
        <v/>
      </c>
      <c r="E7470" s="45" t="str">
        <f t="shared" si="24"/>
        <v/>
      </c>
      <c r="F7470" s="59" t="str">
        <f t="shared" si="25"/>
        <v/>
      </c>
      <c r="G7470" s="59" t="str">
        <f t="shared" si="26"/>
        <v/>
      </c>
      <c r="H7470" s="59" t="str">
        <f t="shared" si="27"/>
        <v>28H00680</v>
      </c>
      <c r="I7470" s="59" t="str">
        <f>IF(OR($A7470="",$C7470="",$D7470="",$E7470="",$H7470=""),"",SUMIFS(DATA_GOC!$H:$H,DATA_GOC!$A:$A,"BOM",DATA_GOC!$D:$D,$H7470,DATA_GOC!$E:$E,$C7470,DATA_GOC!$F:$F,"Xuất nội bộ từ téc",DATA_GOC!$B:$B,"&gt;="&amp;$D7470,DATA_GOC!$B:$B,"&lt;="&amp;$E7470))</f>
        <v/>
      </c>
      <c r="J7470" s="59">
        <f t="shared" si="28"/>
        <v>0</v>
      </c>
      <c r="K7470" s="59">
        <f t="shared" si="29"/>
        <v>0</v>
      </c>
      <c r="L7470" s="59">
        <f t="shared" si="30"/>
        <v>0</v>
      </c>
      <c r="M7470" s="59">
        <f t="shared" si="31"/>
        <v>0</v>
      </c>
    </row>
    <row r="7471" ht="15.0" hidden="1" customHeight="1">
      <c r="A7471" s="59">
        <f t="shared" si="20"/>
        <v>121</v>
      </c>
      <c r="B7471" s="59" t="str">
        <f t="shared" si="21"/>
        <v/>
      </c>
      <c r="C7471" s="59" t="str">
        <f t="shared" si="22"/>
        <v/>
      </c>
      <c r="D7471" s="45" t="str">
        <f t="shared" si="23"/>
        <v/>
      </c>
      <c r="E7471" s="45" t="str">
        <f t="shared" si="24"/>
        <v/>
      </c>
      <c r="F7471" s="59" t="str">
        <f t="shared" si="25"/>
        <v/>
      </c>
      <c r="G7471" s="59" t="str">
        <f t="shared" si="26"/>
        <v/>
      </c>
      <c r="H7471" s="59" t="str">
        <f t="shared" si="27"/>
        <v>28H01070</v>
      </c>
      <c r="I7471" s="59" t="str">
        <f>IF(OR($A7471="",$C7471="",$D7471="",$E7471="",$H7471=""),"",SUMIFS(DATA_GOC!$H:$H,DATA_GOC!$A:$A,"BOM",DATA_GOC!$D:$D,$H7471,DATA_GOC!$E:$E,$C7471,DATA_GOC!$F:$F,"Xuất nội bộ từ téc",DATA_GOC!$B:$B,"&gt;="&amp;$D7471,DATA_GOC!$B:$B,"&lt;="&amp;$E7471))</f>
        <v/>
      </c>
      <c r="J7471" s="59">
        <f t="shared" si="28"/>
        <v>0</v>
      </c>
      <c r="K7471" s="59">
        <f t="shared" si="29"/>
        <v>0</v>
      </c>
      <c r="L7471" s="59">
        <f t="shared" si="30"/>
        <v>0</v>
      </c>
      <c r="M7471" s="59">
        <f t="shared" si="31"/>
        <v>0</v>
      </c>
    </row>
    <row r="7472" ht="15.0" hidden="1" customHeight="1">
      <c r="A7472" s="59">
        <f t="shared" si="20"/>
        <v>121</v>
      </c>
      <c r="B7472" s="59" t="str">
        <f t="shared" si="21"/>
        <v/>
      </c>
      <c r="C7472" s="59" t="str">
        <f t="shared" si="22"/>
        <v/>
      </c>
      <c r="D7472" s="45" t="str">
        <f t="shared" si="23"/>
        <v/>
      </c>
      <c r="E7472" s="45" t="str">
        <f t="shared" si="24"/>
        <v/>
      </c>
      <c r="F7472" s="59" t="str">
        <f t="shared" si="25"/>
        <v/>
      </c>
      <c r="G7472" s="59" t="str">
        <f t="shared" si="26"/>
        <v/>
      </c>
      <c r="H7472" s="59" t="str">
        <f t="shared" si="27"/>
        <v>28H01364</v>
      </c>
      <c r="I7472" s="59" t="str">
        <f>IF(OR($A7472="",$C7472="",$D7472="",$E7472="",$H7472=""),"",SUMIFS(DATA_GOC!$H:$H,DATA_GOC!$A:$A,"BOM",DATA_GOC!$D:$D,$H7472,DATA_GOC!$E:$E,$C7472,DATA_GOC!$F:$F,"Xuất nội bộ từ téc",DATA_GOC!$B:$B,"&gt;="&amp;$D7472,DATA_GOC!$B:$B,"&lt;="&amp;$E7472))</f>
        <v/>
      </c>
      <c r="J7472" s="59">
        <f t="shared" si="28"/>
        <v>0</v>
      </c>
      <c r="K7472" s="59">
        <f t="shared" si="29"/>
        <v>0</v>
      </c>
      <c r="L7472" s="59">
        <f t="shared" si="30"/>
        <v>0</v>
      </c>
      <c r="M7472" s="59">
        <f t="shared" si="31"/>
        <v>0</v>
      </c>
    </row>
    <row r="7473" ht="15.0" hidden="1" customHeight="1">
      <c r="A7473" s="59">
        <f t="shared" si="20"/>
        <v>121</v>
      </c>
      <c r="B7473" s="59" t="str">
        <f t="shared" si="21"/>
        <v/>
      </c>
      <c r="C7473" s="59" t="str">
        <f t="shared" si="22"/>
        <v/>
      </c>
      <c r="D7473" s="45" t="str">
        <f t="shared" si="23"/>
        <v/>
      </c>
      <c r="E7473" s="45" t="str">
        <f t="shared" si="24"/>
        <v/>
      </c>
      <c r="F7473" s="59" t="str">
        <f t="shared" si="25"/>
        <v/>
      </c>
      <c r="G7473" s="59" t="str">
        <f t="shared" si="26"/>
        <v/>
      </c>
      <c r="H7473" s="59" t="str">
        <f t="shared" si="27"/>
        <v>29E17269</v>
      </c>
      <c r="I7473" s="59" t="str">
        <f>IF(OR($A7473="",$C7473="",$D7473="",$E7473="",$H7473=""),"",SUMIFS(DATA_GOC!$H:$H,DATA_GOC!$A:$A,"BOM",DATA_GOC!$D:$D,$H7473,DATA_GOC!$E:$E,$C7473,DATA_GOC!$F:$F,"Xuất nội bộ từ téc",DATA_GOC!$B:$B,"&gt;="&amp;$D7473,DATA_GOC!$B:$B,"&lt;="&amp;$E7473))</f>
        <v/>
      </c>
      <c r="J7473" s="59">
        <f t="shared" si="28"/>
        <v>0</v>
      </c>
      <c r="K7473" s="59">
        <f t="shared" si="29"/>
        <v>0</v>
      </c>
      <c r="L7473" s="59">
        <f t="shared" si="30"/>
        <v>0</v>
      </c>
      <c r="M7473" s="59">
        <f t="shared" si="31"/>
        <v>0</v>
      </c>
    </row>
    <row r="7474" ht="15.0" hidden="1" customHeight="1">
      <c r="A7474" s="59">
        <f t="shared" si="20"/>
        <v>121</v>
      </c>
      <c r="B7474" s="59" t="str">
        <f t="shared" si="21"/>
        <v/>
      </c>
      <c r="C7474" s="59" t="str">
        <f t="shared" si="22"/>
        <v/>
      </c>
      <c r="D7474" s="45" t="str">
        <f t="shared" si="23"/>
        <v/>
      </c>
      <c r="E7474" s="45" t="str">
        <f t="shared" si="24"/>
        <v/>
      </c>
      <c r="F7474" s="59" t="str">
        <f t="shared" si="25"/>
        <v/>
      </c>
      <c r="G7474" s="59" t="str">
        <f t="shared" si="26"/>
        <v/>
      </c>
      <c r="H7474" s="59" t="str">
        <f t="shared" si="27"/>
        <v>29E17273</v>
      </c>
      <c r="I7474" s="59" t="str">
        <f>IF(OR($A7474="",$C7474="",$D7474="",$E7474="",$H7474=""),"",SUMIFS(DATA_GOC!$H:$H,DATA_GOC!$A:$A,"BOM",DATA_GOC!$D:$D,$H7474,DATA_GOC!$E:$E,$C7474,DATA_GOC!$F:$F,"Xuất nội bộ từ téc",DATA_GOC!$B:$B,"&gt;="&amp;$D7474,DATA_GOC!$B:$B,"&lt;="&amp;$E7474))</f>
        <v/>
      </c>
      <c r="J7474" s="59">
        <f t="shared" si="28"/>
        <v>0</v>
      </c>
      <c r="K7474" s="59">
        <f t="shared" si="29"/>
        <v>0</v>
      </c>
      <c r="L7474" s="59">
        <f t="shared" si="30"/>
        <v>0</v>
      </c>
      <c r="M7474" s="59">
        <f t="shared" si="31"/>
        <v>0</v>
      </c>
    </row>
    <row r="7475" ht="15.0" hidden="1" customHeight="1">
      <c r="A7475" s="59">
        <f t="shared" si="20"/>
        <v>121</v>
      </c>
      <c r="B7475" s="59" t="str">
        <f t="shared" si="21"/>
        <v/>
      </c>
      <c r="C7475" s="59" t="str">
        <f t="shared" si="22"/>
        <v/>
      </c>
      <c r="D7475" s="45" t="str">
        <f t="shared" si="23"/>
        <v/>
      </c>
      <c r="E7475" s="45" t="str">
        <f t="shared" si="24"/>
        <v/>
      </c>
      <c r="F7475" s="59" t="str">
        <f t="shared" si="25"/>
        <v/>
      </c>
      <c r="G7475" s="59" t="str">
        <f t="shared" si="26"/>
        <v/>
      </c>
      <c r="H7475" s="59" t="str">
        <f t="shared" si="27"/>
        <v>29E17410</v>
      </c>
      <c r="I7475" s="59" t="str">
        <f>IF(OR($A7475="",$C7475="",$D7475="",$E7475="",$H7475=""),"",SUMIFS(DATA_GOC!$H:$H,DATA_GOC!$A:$A,"BOM",DATA_GOC!$D:$D,$H7475,DATA_GOC!$E:$E,$C7475,DATA_GOC!$F:$F,"Xuất nội bộ từ téc",DATA_GOC!$B:$B,"&gt;="&amp;$D7475,DATA_GOC!$B:$B,"&lt;="&amp;$E7475))</f>
        <v/>
      </c>
      <c r="J7475" s="59">
        <f t="shared" si="28"/>
        <v>0</v>
      </c>
      <c r="K7475" s="59">
        <f t="shared" si="29"/>
        <v>0</v>
      </c>
      <c r="L7475" s="59">
        <f t="shared" si="30"/>
        <v>0</v>
      </c>
      <c r="M7475" s="59">
        <f t="shared" si="31"/>
        <v>0</v>
      </c>
    </row>
    <row r="7476" ht="15.0" hidden="1" customHeight="1">
      <c r="A7476" s="59">
        <f t="shared" si="20"/>
        <v>121</v>
      </c>
      <c r="B7476" s="59" t="str">
        <f t="shared" si="21"/>
        <v/>
      </c>
      <c r="C7476" s="59" t="str">
        <f t="shared" si="22"/>
        <v/>
      </c>
      <c r="D7476" s="45" t="str">
        <f t="shared" si="23"/>
        <v/>
      </c>
      <c r="E7476" s="45" t="str">
        <f t="shared" si="24"/>
        <v/>
      </c>
      <c r="F7476" s="59" t="str">
        <f t="shared" si="25"/>
        <v/>
      </c>
      <c r="G7476" s="59" t="str">
        <f t="shared" si="26"/>
        <v/>
      </c>
      <c r="H7476" s="59" t="str">
        <f t="shared" si="27"/>
        <v>29E17417</v>
      </c>
      <c r="I7476" s="59" t="str">
        <f>IF(OR($A7476="",$C7476="",$D7476="",$E7476="",$H7476=""),"",SUMIFS(DATA_GOC!$H:$H,DATA_GOC!$A:$A,"BOM",DATA_GOC!$D:$D,$H7476,DATA_GOC!$E:$E,$C7476,DATA_GOC!$F:$F,"Xuất nội bộ từ téc",DATA_GOC!$B:$B,"&gt;="&amp;$D7476,DATA_GOC!$B:$B,"&lt;="&amp;$E7476))</f>
        <v/>
      </c>
      <c r="J7476" s="59">
        <f t="shared" si="28"/>
        <v>0</v>
      </c>
      <c r="K7476" s="59">
        <f t="shared" si="29"/>
        <v>0</v>
      </c>
      <c r="L7476" s="59">
        <f t="shared" si="30"/>
        <v>0</v>
      </c>
      <c r="M7476" s="59">
        <f t="shared" si="31"/>
        <v>0</v>
      </c>
    </row>
    <row r="7477" ht="15.0" hidden="1" customHeight="1">
      <c r="A7477" s="59">
        <f t="shared" si="20"/>
        <v>121</v>
      </c>
      <c r="B7477" s="59" t="str">
        <f t="shared" si="21"/>
        <v/>
      </c>
      <c r="C7477" s="59" t="str">
        <f t="shared" si="22"/>
        <v/>
      </c>
      <c r="D7477" s="45" t="str">
        <f t="shared" si="23"/>
        <v/>
      </c>
      <c r="E7477" s="45" t="str">
        <f t="shared" si="24"/>
        <v/>
      </c>
      <c r="F7477" s="59" t="str">
        <f t="shared" si="25"/>
        <v/>
      </c>
      <c r="G7477" s="59" t="str">
        <f t="shared" si="26"/>
        <v/>
      </c>
      <c r="H7477" s="59" t="str">
        <f t="shared" si="27"/>
        <v>29E17539</v>
      </c>
      <c r="I7477" s="59" t="str">
        <f>IF(OR($A7477="",$C7477="",$D7477="",$E7477="",$H7477=""),"",SUMIFS(DATA_GOC!$H:$H,DATA_GOC!$A:$A,"BOM",DATA_GOC!$D:$D,$H7477,DATA_GOC!$E:$E,$C7477,DATA_GOC!$F:$F,"Xuất nội bộ từ téc",DATA_GOC!$B:$B,"&gt;="&amp;$D7477,DATA_GOC!$B:$B,"&lt;="&amp;$E7477))</f>
        <v/>
      </c>
      <c r="J7477" s="59">
        <f t="shared" si="28"/>
        <v>0</v>
      </c>
      <c r="K7477" s="59">
        <f t="shared" si="29"/>
        <v>0</v>
      </c>
      <c r="L7477" s="59">
        <f t="shared" si="30"/>
        <v>0</v>
      </c>
      <c r="M7477" s="59">
        <f t="shared" si="31"/>
        <v>0</v>
      </c>
    </row>
    <row r="7478" ht="15.0" hidden="1" customHeight="1">
      <c r="A7478" s="59">
        <f t="shared" si="20"/>
        <v>121</v>
      </c>
      <c r="B7478" s="59" t="str">
        <f t="shared" si="21"/>
        <v/>
      </c>
      <c r="C7478" s="59" t="str">
        <f t="shared" si="22"/>
        <v/>
      </c>
      <c r="D7478" s="45" t="str">
        <f t="shared" si="23"/>
        <v/>
      </c>
      <c r="E7478" s="45" t="str">
        <f t="shared" si="24"/>
        <v/>
      </c>
      <c r="F7478" s="59" t="str">
        <f t="shared" si="25"/>
        <v/>
      </c>
      <c r="G7478" s="59" t="str">
        <f t="shared" si="26"/>
        <v/>
      </c>
      <c r="H7478" s="59" t="str">
        <f t="shared" si="27"/>
        <v>29E18160</v>
      </c>
      <c r="I7478" s="59" t="str">
        <f>IF(OR($A7478="",$C7478="",$D7478="",$E7478="",$H7478=""),"",SUMIFS(DATA_GOC!$H:$H,DATA_GOC!$A:$A,"BOM",DATA_GOC!$D:$D,$H7478,DATA_GOC!$E:$E,$C7478,DATA_GOC!$F:$F,"Xuất nội bộ từ téc",DATA_GOC!$B:$B,"&gt;="&amp;$D7478,DATA_GOC!$B:$B,"&lt;="&amp;$E7478))</f>
        <v/>
      </c>
      <c r="J7478" s="59">
        <f t="shared" si="28"/>
        <v>0</v>
      </c>
      <c r="K7478" s="59">
        <f t="shared" si="29"/>
        <v>0</v>
      </c>
      <c r="L7478" s="59">
        <f t="shared" si="30"/>
        <v>0</v>
      </c>
      <c r="M7478" s="59">
        <f t="shared" si="31"/>
        <v>0</v>
      </c>
    </row>
    <row r="7479" ht="15.0" hidden="1" customHeight="1">
      <c r="A7479" s="59">
        <f t="shared" si="20"/>
        <v>121</v>
      </c>
      <c r="B7479" s="59" t="str">
        <f t="shared" si="21"/>
        <v/>
      </c>
      <c r="C7479" s="59" t="str">
        <f t="shared" si="22"/>
        <v/>
      </c>
      <c r="D7479" s="45" t="str">
        <f t="shared" si="23"/>
        <v/>
      </c>
      <c r="E7479" s="45" t="str">
        <f t="shared" si="24"/>
        <v/>
      </c>
      <c r="F7479" s="59" t="str">
        <f t="shared" si="25"/>
        <v/>
      </c>
      <c r="G7479" s="59" t="str">
        <f t="shared" si="26"/>
        <v/>
      </c>
      <c r="H7479" s="59" t="str">
        <f t="shared" si="27"/>
        <v>Công trình Asphalt</v>
      </c>
      <c r="I7479" s="59" t="str">
        <f>IF(OR($A7479="",$C7479="",$D7479="",$E7479="",$H7479=""),"",SUMIFS(DATA_GOC!$H:$H,DATA_GOC!$A:$A,"BOM",DATA_GOC!$D:$D,$H7479,DATA_GOC!$E:$E,$C7479,DATA_GOC!$F:$F,"Xuất nội bộ từ téc",DATA_GOC!$B:$B,"&gt;="&amp;$D7479,DATA_GOC!$B:$B,"&lt;="&amp;$E7479))</f>
        <v/>
      </c>
      <c r="J7479" s="59">
        <f t="shared" si="28"/>
        <v>0</v>
      </c>
      <c r="K7479" s="59">
        <f t="shared" si="29"/>
        <v>0</v>
      </c>
      <c r="L7479" s="59">
        <f t="shared" si="30"/>
        <v>0</v>
      </c>
      <c r="M7479" s="59">
        <f t="shared" si="31"/>
        <v>0</v>
      </c>
    </row>
    <row r="7480" ht="15.0" hidden="1" customHeight="1">
      <c r="A7480" s="59">
        <f t="shared" si="20"/>
        <v>121</v>
      </c>
      <c r="B7480" s="59" t="str">
        <f t="shared" si="21"/>
        <v/>
      </c>
      <c r="C7480" s="59" t="str">
        <f t="shared" si="22"/>
        <v/>
      </c>
      <c r="D7480" s="45" t="str">
        <f t="shared" si="23"/>
        <v/>
      </c>
      <c r="E7480" s="45" t="str">
        <f t="shared" si="24"/>
        <v/>
      </c>
      <c r="F7480" s="59" t="str">
        <f t="shared" si="25"/>
        <v/>
      </c>
      <c r="G7480" s="59" t="str">
        <f t="shared" si="26"/>
        <v/>
      </c>
      <c r="H7480" s="59" t="str">
        <f t="shared" si="27"/>
        <v>LG53F</v>
      </c>
      <c r="I7480" s="59" t="str">
        <f>IF(OR($A7480="",$C7480="",$D7480="",$E7480="",$H7480=""),"",SUMIFS(DATA_GOC!$H:$H,DATA_GOC!$A:$A,"BOM",DATA_GOC!$D:$D,$H7480,DATA_GOC!$E:$E,$C7480,DATA_GOC!$F:$F,"Xuất nội bộ từ téc",DATA_GOC!$B:$B,"&gt;="&amp;$D7480,DATA_GOC!$B:$B,"&lt;="&amp;$E7480))</f>
        <v/>
      </c>
      <c r="J7480" s="59">
        <f t="shared" si="28"/>
        <v>0</v>
      </c>
      <c r="K7480" s="59">
        <f t="shared" si="29"/>
        <v>0</v>
      </c>
      <c r="L7480" s="59">
        <f t="shared" si="30"/>
        <v>0</v>
      </c>
      <c r="M7480" s="59">
        <f t="shared" si="31"/>
        <v>0</v>
      </c>
    </row>
    <row r="7481" ht="15.0" hidden="1" customHeight="1">
      <c r="A7481" s="59">
        <f t="shared" si="20"/>
        <v>121</v>
      </c>
      <c r="B7481" s="59" t="str">
        <f t="shared" si="21"/>
        <v/>
      </c>
      <c r="C7481" s="59" t="str">
        <f t="shared" si="22"/>
        <v/>
      </c>
      <c r="D7481" s="45" t="str">
        <f t="shared" si="23"/>
        <v/>
      </c>
      <c r="E7481" s="45" t="str">
        <f t="shared" si="24"/>
        <v/>
      </c>
      <c r="F7481" s="59" t="str">
        <f t="shared" si="25"/>
        <v/>
      </c>
      <c r="G7481" s="59" t="str">
        <f t="shared" si="26"/>
        <v/>
      </c>
      <c r="H7481" s="59" t="str">
        <f t="shared" si="27"/>
        <v>Máy phát điện</v>
      </c>
      <c r="I7481" s="59" t="str">
        <f>IF(OR($A7481="",$C7481="",$D7481="",$E7481="",$H7481=""),"",SUMIFS(DATA_GOC!$H:$H,DATA_GOC!$A:$A,"BOM",DATA_GOC!$D:$D,$H7481,DATA_GOC!$E:$E,$C7481,DATA_GOC!$F:$F,"Xuất nội bộ từ téc",DATA_GOC!$B:$B,"&gt;="&amp;$D7481,DATA_GOC!$B:$B,"&lt;="&amp;$E7481))</f>
        <v/>
      </c>
      <c r="J7481" s="59">
        <f t="shared" si="28"/>
        <v>0</v>
      </c>
      <c r="K7481" s="59">
        <f t="shared" si="29"/>
        <v>0</v>
      </c>
      <c r="L7481" s="59">
        <f t="shared" si="30"/>
        <v>0</v>
      </c>
      <c r="M7481" s="59">
        <f t="shared" si="31"/>
        <v>0</v>
      </c>
    </row>
    <row r="7482" ht="15.0" hidden="1" customHeight="1">
      <c r="A7482" s="59">
        <f t="shared" si="20"/>
        <v>121</v>
      </c>
      <c r="B7482" s="59" t="str">
        <f t="shared" si="21"/>
        <v/>
      </c>
      <c r="C7482" s="59" t="str">
        <f t="shared" si="22"/>
        <v/>
      </c>
      <c r="D7482" s="45" t="str">
        <f t="shared" si="23"/>
        <v/>
      </c>
      <c r="E7482" s="45" t="str">
        <f t="shared" si="24"/>
        <v/>
      </c>
      <c r="F7482" s="59" t="str">
        <f t="shared" si="25"/>
        <v/>
      </c>
      <c r="G7482" s="59" t="str">
        <f t="shared" si="26"/>
        <v/>
      </c>
      <c r="H7482" s="59" t="str">
        <f t="shared" si="27"/>
        <v>Máy rải thảm</v>
      </c>
      <c r="I7482" s="59" t="str">
        <f>IF(OR($A7482="",$C7482="",$D7482="",$E7482="",$H7482=""),"",SUMIFS(DATA_GOC!$H:$H,DATA_GOC!$A:$A,"BOM",DATA_GOC!$D:$D,$H7482,DATA_GOC!$E:$E,$C7482,DATA_GOC!$F:$F,"Xuất nội bộ từ téc",DATA_GOC!$B:$B,"&gt;="&amp;$D7482,DATA_GOC!$B:$B,"&lt;="&amp;$E7482))</f>
        <v/>
      </c>
      <c r="J7482" s="59">
        <f t="shared" si="28"/>
        <v>0</v>
      </c>
      <c r="K7482" s="59">
        <f t="shared" si="29"/>
        <v>0</v>
      </c>
      <c r="L7482" s="59">
        <f t="shared" si="30"/>
        <v>0</v>
      </c>
      <c r="M7482" s="59">
        <f t="shared" si="31"/>
        <v>0</v>
      </c>
    </row>
    <row r="7483" ht="15.0" hidden="1" customHeight="1">
      <c r="A7483" s="59">
        <f t="shared" si="20"/>
        <v>121</v>
      </c>
      <c r="B7483" s="59" t="str">
        <f t="shared" si="21"/>
        <v/>
      </c>
      <c r="C7483" s="59" t="str">
        <f t="shared" si="22"/>
        <v/>
      </c>
      <c r="D7483" s="45" t="str">
        <f t="shared" si="23"/>
        <v/>
      </c>
      <c r="E7483" s="45" t="str">
        <f t="shared" si="24"/>
        <v/>
      </c>
      <c r="F7483" s="59" t="str">
        <f t="shared" si="25"/>
        <v/>
      </c>
      <c r="G7483" s="59" t="str">
        <f t="shared" si="26"/>
        <v/>
      </c>
      <c r="H7483" s="59" t="str">
        <f t="shared" si="27"/>
        <v>Xúc Đào</v>
      </c>
      <c r="I7483" s="59" t="str">
        <f>IF(OR($A7483="",$C7483="",$D7483="",$E7483="",$H7483=""),"",SUMIFS(DATA_GOC!$H:$H,DATA_GOC!$A:$A,"BOM",DATA_GOC!$D:$D,$H7483,DATA_GOC!$E:$E,$C7483,DATA_GOC!$F:$F,"Xuất nội bộ từ téc",DATA_GOC!$B:$B,"&gt;="&amp;$D7483,DATA_GOC!$B:$B,"&lt;="&amp;$E7483))</f>
        <v/>
      </c>
      <c r="J7483" s="59">
        <f t="shared" si="28"/>
        <v>0</v>
      </c>
      <c r="K7483" s="59">
        <f t="shared" si="29"/>
        <v>0</v>
      </c>
      <c r="L7483" s="59">
        <f t="shared" si="30"/>
        <v>0</v>
      </c>
      <c r="M7483" s="59">
        <f t="shared" si="31"/>
        <v>0</v>
      </c>
    </row>
    <row r="7484" ht="15.0" hidden="1" customHeight="1">
      <c r="A7484" s="59">
        <f t="shared" si="20"/>
        <v>121</v>
      </c>
      <c r="B7484" s="59" t="str">
        <f t="shared" si="21"/>
        <v/>
      </c>
      <c r="C7484" s="59" t="str">
        <f t="shared" si="22"/>
        <v/>
      </c>
      <c r="D7484" s="45" t="str">
        <f t="shared" si="23"/>
        <v/>
      </c>
      <c r="E7484" s="45" t="str">
        <f t="shared" si="24"/>
        <v/>
      </c>
      <c r="F7484" s="59" t="str">
        <f t="shared" si="25"/>
        <v/>
      </c>
      <c r="G7484" s="59" t="str">
        <f t="shared" si="26"/>
        <v/>
      </c>
      <c r="H7484" s="59" t="str">
        <f t="shared" si="27"/>
        <v>Xúclật asphalt</v>
      </c>
      <c r="I7484" s="59" t="str">
        <f>IF(OR($A7484="",$C7484="",$D7484="",$E7484="",$H7484=""),"",SUMIFS(DATA_GOC!$H:$H,DATA_GOC!$A:$A,"BOM",DATA_GOC!$D:$D,$H7484,DATA_GOC!$E:$E,$C7484,DATA_GOC!$F:$F,"Xuất nội bộ từ téc",DATA_GOC!$B:$B,"&gt;="&amp;$D7484,DATA_GOC!$B:$B,"&lt;="&amp;$E7484))</f>
        <v/>
      </c>
      <c r="J7484" s="59">
        <f t="shared" si="28"/>
        <v>0</v>
      </c>
      <c r="K7484" s="59">
        <f t="shared" si="29"/>
        <v>0</v>
      </c>
      <c r="L7484" s="59">
        <f t="shared" si="30"/>
        <v>0</v>
      </c>
      <c r="M7484" s="59">
        <f t="shared" si="31"/>
        <v>0</v>
      </c>
    </row>
    <row r="7485" ht="15.0" hidden="1" customHeight="1">
      <c r="A7485" s="59">
        <f t="shared" si="20"/>
        <v>121</v>
      </c>
      <c r="B7485" s="59" t="str">
        <f t="shared" si="21"/>
        <v/>
      </c>
      <c r="C7485" s="59" t="str">
        <f t="shared" si="22"/>
        <v/>
      </c>
      <c r="D7485" s="45" t="str">
        <f t="shared" si="23"/>
        <v/>
      </c>
      <c r="E7485" s="45" t="str">
        <f t="shared" si="24"/>
        <v/>
      </c>
      <c r="F7485" s="59" t="str">
        <f t="shared" si="25"/>
        <v/>
      </c>
      <c r="G7485" s="59" t="str">
        <f t="shared" si="26"/>
        <v/>
      </c>
      <c r="H7485" s="59" t="str">
        <f t="shared" si="27"/>
        <v>Xúclật855H</v>
      </c>
      <c r="I7485" s="59" t="str">
        <f>IF(OR($A7485="",$C7485="",$D7485="",$E7485="",$H7485=""),"",SUMIFS(DATA_GOC!$H:$H,DATA_GOC!$A:$A,"BOM",DATA_GOC!$D:$D,$H7485,DATA_GOC!$E:$E,$C7485,DATA_GOC!$F:$F,"Xuất nội bộ từ téc",DATA_GOC!$B:$B,"&gt;="&amp;$D7485,DATA_GOC!$B:$B,"&lt;="&amp;$E7485))</f>
        <v/>
      </c>
      <c r="J7485" s="59">
        <f t="shared" si="28"/>
        <v>0</v>
      </c>
      <c r="K7485" s="59">
        <f t="shared" si="29"/>
        <v>0</v>
      </c>
      <c r="L7485" s="59">
        <f t="shared" si="30"/>
        <v>0</v>
      </c>
      <c r="M7485" s="59">
        <f t="shared" si="31"/>
        <v>0</v>
      </c>
    </row>
    <row r="7486" ht="15.0" hidden="1" customHeight="1">
      <c r="A7486" s="59">
        <f t="shared" si="20"/>
        <v>121</v>
      </c>
      <c r="B7486" s="59" t="str">
        <f t="shared" si="21"/>
        <v/>
      </c>
      <c r="C7486" s="59" t="str">
        <f t="shared" si="22"/>
        <v/>
      </c>
      <c r="D7486" s="45" t="str">
        <f t="shared" si="23"/>
        <v/>
      </c>
      <c r="E7486" s="45" t="str">
        <f t="shared" si="24"/>
        <v/>
      </c>
      <c r="F7486" s="59" t="str">
        <f t="shared" si="25"/>
        <v/>
      </c>
      <c r="G7486" s="59" t="str">
        <f t="shared" si="26"/>
        <v/>
      </c>
      <c r="H7486" s="59" t="str">
        <f t="shared" si="27"/>
        <v>Xúclật855N</v>
      </c>
      <c r="I7486" s="59" t="str">
        <f>IF(OR($A7486="",$C7486="",$D7486="",$E7486="",$H7486=""),"",SUMIFS(DATA_GOC!$H:$H,DATA_GOC!$A:$A,"BOM",DATA_GOC!$D:$D,$H7486,DATA_GOC!$E:$E,$C7486,DATA_GOC!$F:$F,"Xuất nội bộ từ téc",DATA_GOC!$B:$B,"&gt;="&amp;$D7486,DATA_GOC!$B:$B,"&lt;="&amp;$E7486))</f>
        <v/>
      </c>
      <c r="J7486" s="59">
        <f t="shared" si="28"/>
        <v>0</v>
      </c>
      <c r="K7486" s="59">
        <f t="shared" si="29"/>
        <v>0</v>
      </c>
      <c r="L7486" s="59">
        <f t="shared" si="30"/>
        <v>0</v>
      </c>
      <c r="M7486" s="59">
        <f t="shared" si="31"/>
        <v>0</v>
      </c>
    </row>
    <row r="7487" ht="15.0" hidden="1" customHeight="1">
      <c r="A7487" s="59">
        <f t="shared" si="20"/>
        <v>121</v>
      </c>
      <c r="B7487" s="59" t="str">
        <f t="shared" si="21"/>
        <v/>
      </c>
      <c r="C7487" s="59" t="str">
        <f t="shared" si="22"/>
        <v/>
      </c>
      <c r="D7487" s="45" t="str">
        <f t="shared" si="23"/>
        <v/>
      </c>
      <c r="E7487" s="45" t="str">
        <f t="shared" si="24"/>
        <v/>
      </c>
      <c r="F7487" s="59" t="str">
        <f t="shared" si="25"/>
        <v/>
      </c>
      <c r="G7487" s="59" t="str">
        <f t="shared" si="26"/>
        <v/>
      </c>
      <c r="H7487" s="59" t="str">
        <f t="shared" si="27"/>
        <v>Cát nghiền</v>
      </c>
      <c r="I7487" s="59" t="str">
        <f>IF(OR($A7487="",$C7487="",$D7487="",$E7487="",$H7487=""),"",SUMIFS(DATA_GOC!$H:$H,DATA_GOC!$A:$A,"BOM",DATA_GOC!$D:$D,$H7487,DATA_GOC!$E:$E,$C7487,DATA_GOC!$F:$F,"Xuất nội bộ từ téc",DATA_GOC!$B:$B,"&gt;="&amp;$D7487,DATA_GOC!$B:$B,"&lt;="&amp;$E7487))</f>
        <v/>
      </c>
      <c r="J7487" s="59">
        <f t="shared" si="28"/>
        <v>0</v>
      </c>
      <c r="K7487" s="59">
        <f t="shared" si="29"/>
        <v>0</v>
      </c>
      <c r="L7487" s="59">
        <f t="shared" si="30"/>
        <v>0</v>
      </c>
      <c r="M7487" s="59">
        <f t="shared" si="31"/>
        <v>0</v>
      </c>
    </row>
    <row r="7488" ht="15.0" hidden="1" customHeight="1">
      <c r="A7488" s="59">
        <f t="shared" si="20"/>
        <v>121</v>
      </c>
      <c r="B7488" s="59" t="str">
        <f t="shared" si="21"/>
        <v/>
      </c>
      <c r="C7488" s="59" t="str">
        <f t="shared" si="22"/>
        <v/>
      </c>
      <c r="D7488" s="45" t="str">
        <f t="shared" si="23"/>
        <v/>
      </c>
      <c r="E7488" s="45" t="str">
        <f t="shared" si="24"/>
        <v/>
      </c>
      <c r="F7488" s="59" t="str">
        <f t="shared" si="25"/>
        <v/>
      </c>
      <c r="G7488" s="59" t="str">
        <f t="shared" si="26"/>
        <v/>
      </c>
      <c r="H7488" s="59" t="str">
        <f t="shared" si="27"/>
        <v>28C02973</v>
      </c>
      <c r="I7488" s="59" t="str">
        <f>IF(OR($A7488="",$C7488="",$D7488="",$E7488="",$H7488=""),"",SUMIFS(DATA_GOC!$H:$H,DATA_GOC!$A:$A,"BOM",DATA_GOC!$D:$D,$H7488,DATA_GOC!$E:$E,$C7488,DATA_GOC!$F:$F,"Xuất nội bộ từ téc",DATA_GOC!$B:$B,"&gt;="&amp;$D7488,DATA_GOC!$B:$B,"&lt;="&amp;$E7488))</f>
        <v/>
      </c>
      <c r="J7488" s="59">
        <f t="shared" si="28"/>
        <v>0</v>
      </c>
      <c r="K7488" s="59">
        <f t="shared" si="29"/>
        <v>0</v>
      </c>
      <c r="L7488" s="59">
        <f t="shared" si="30"/>
        <v>0</v>
      </c>
      <c r="M7488" s="59">
        <f t="shared" si="31"/>
        <v>0</v>
      </c>
    </row>
    <row r="7489" ht="15.0" hidden="1" customHeight="1">
      <c r="A7489" s="59">
        <f t="shared" si="20"/>
        <v>121</v>
      </c>
      <c r="B7489" s="59" t="str">
        <f t="shared" si="21"/>
        <v/>
      </c>
      <c r="C7489" s="59" t="str">
        <f t="shared" si="22"/>
        <v/>
      </c>
      <c r="D7489" s="45" t="str">
        <f t="shared" si="23"/>
        <v/>
      </c>
      <c r="E7489" s="45" t="str">
        <f t="shared" si="24"/>
        <v/>
      </c>
      <c r="F7489" s="59" t="str">
        <f t="shared" si="25"/>
        <v/>
      </c>
      <c r="G7489" s="59" t="str">
        <f t="shared" si="26"/>
        <v/>
      </c>
      <c r="H7489" s="59" t="str">
        <f t="shared" si="27"/>
        <v>28C03044</v>
      </c>
      <c r="I7489" s="59" t="str">
        <f>IF(OR($A7489="",$C7489="",$D7489="",$E7489="",$H7489=""),"",SUMIFS(DATA_GOC!$H:$H,DATA_GOC!$A:$A,"BOM",DATA_GOC!$D:$D,$H7489,DATA_GOC!$E:$E,$C7489,DATA_GOC!$F:$F,"Xuất nội bộ từ téc",DATA_GOC!$B:$B,"&gt;="&amp;$D7489,DATA_GOC!$B:$B,"&lt;="&amp;$E7489))</f>
        <v/>
      </c>
      <c r="J7489" s="59">
        <f t="shared" si="28"/>
        <v>0</v>
      </c>
      <c r="K7489" s="59">
        <f t="shared" si="29"/>
        <v>0</v>
      </c>
      <c r="L7489" s="59">
        <f t="shared" si="30"/>
        <v>0</v>
      </c>
      <c r="M7489" s="59">
        <f t="shared" si="31"/>
        <v>0</v>
      </c>
    </row>
    <row r="7490" ht="15.0" hidden="1" customHeight="1">
      <c r="A7490" s="59">
        <f t="shared" si="20"/>
        <v>121</v>
      </c>
      <c r="B7490" s="59" t="str">
        <f t="shared" si="21"/>
        <v/>
      </c>
      <c r="C7490" s="59" t="str">
        <f t="shared" si="22"/>
        <v/>
      </c>
      <c r="D7490" s="45" t="str">
        <f t="shared" si="23"/>
        <v/>
      </c>
      <c r="E7490" s="45" t="str">
        <f t="shared" si="24"/>
        <v/>
      </c>
      <c r="F7490" s="59" t="str">
        <f t="shared" si="25"/>
        <v/>
      </c>
      <c r="G7490" s="59" t="str">
        <f t="shared" si="26"/>
        <v/>
      </c>
      <c r="H7490" s="59" t="str">
        <f t="shared" si="27"/>
        <v>Máy lu lốp</v>
      </c>
      <c r="I7490" s="59" t="str">
        <f>IF(OR($A7490="",$C7490="",$D7490="",$E7490="",$H7490=""),"",SUMIFS(DATA_GOC!$H:$H,DATA_GOC!$A:$A,"BOM",DATA_GOC!$D:$D,$H7490,DATA_GOC!$E:$E,$C7490,DATA_GOC!$F:$F,"Xuất nội bộ từ téc",DATA_GOC!$B:$B,"&gt;="&amp;$D7490,DATA_GOC!$B:$B,"&lt;="&amp;$E7490))</f>
        <v/>
      </c>
      <c r="J7490" s="59">
        <f t="shared" si="28"/>
        <v>0</v>
      </c>
      <c r="K7490" s="59">
        <f t="shared" si="29"/>
        <v>0</v>
      </c>
      <c r="L7490" s="59">
        <f t="shared" si="30"/>
        <v>0</v>
      </c>
      <c r="M7490" s="59">
        <f t="shared" si="31"/>
        <v>0</v>
      </c>
    </row>
    <row r="7491" ht="15.0" hidden="1" customHeight="1">
      <c r="A7491" s="59">
        <f t="shared" si="20"/>
        <v>121</v>
      </c>
      <c r="B7491" s="59" t="str">
        <f t="shared" si="21"/>
        <v/>
      </c>
      <c r="C7491" s="59" t="str">
        <f t="shared" si="22"/>
        <v/>
      </c>
      <c r="D7491" s="45" t="str">
        <f t="shared" si="23"/>
        <v/>
      </c>
      <c r="E7491" s="45" t="str">
        <f t="shared" si="24"/>
        <v/>
      </c>
      <c r="F7491" s="59" t="str">
        <f t="shared" si="25"/>
        <v/>
      </c>
      <c r="G7491" s="59" t="str">
        <f t="shared" si="26"/>
        <v/>
      </c>
      <c r="H7491" s="59" t="str">
        <f t="shared" si="27"/>
        <v>Xe 600148</v>
      </c>
      <c r="I7491" s="59" t="str">
        <f>IF(OR($A7491="",$C7491="",$D7491="",$E7491="",$H7491=""),"",SUMIFS(DATA_GOC!$H:$H,DATA_GOC!$A:$A,"BOM",DATA_GOC!$D:$D,$H7491,DATA_GOC!$E:$E,$C7491,DATA_GOC!$F:$F,"Xuất nội bộ từ téc",DATA_GOC!$B:$B,"&gt;="&amp;$D7491,DATA_GOC!$B:$B,"&lt;="&amp;$E7491))</f>
        <v/>
      </c>
      <c r="J7491" s="59">
        <f t="shared" si="28"/>
        <v>0</v>
      </c>
      <c r="K7491" s="59">
        <f t="shared" si="29"/>
        <v>0</v>
      </c>
      <c r="L7491" s="59">
        <f t="shared" si="30"/>
        <v>0</v>
      </c>
      <c r="M7491" s="59">
        <f t="shared" si="31"/>
        <v>0</v>
      </c>
    </row>
    <row r="7492" ht="15.0" hidden="1" customHeight="1">
      <c r="A7492" s="59">
        <f t="shared" si="20"/>
        <v>121</v>
      </c>
      <c r="B7492" s="59" t="str">
        <f t="shared" si="21"/>
        <v/>
      </c>
      <c r="C7492" s="59" t="str">
        <f t="shared" si="22"/>
        <v/>
      </c>
      <c r="D7492" s="45" t="str">
        <f t="shared" si="23"/>
        <v/>
      </c>
      <c r="E7492" s="45" t="str">
        <f t="shared" si="24"/>
        <v/>
      </c>
      <c r="F7492" s="59" t="str">
        <f t="shared" si="25"/>
        <v/>
      </c>
      <c r="G7492" s="59" t="str">
        <f t="shared" si="26"/>
        <v/>
      </c>
      <c r="H7492" s="59" t="str">
        <f t="shared" si="27"/>
        <v>Xe ben mới</v>
      </c>
      <c r="I7492" s="59" t="str">
        <f>IF(OR($A7492="",$C7492="",$D7492="",$E7492="",$H7492=""),"",SUMIFS(DATA_GOC!$H:$H,DATA_GOC!$A:$A,"BOM",DATA_GOC!$D:$D,$H7492,DATA_GOC!$E:$E,$C7492,DATA_GOC!$F:$F,"Xuất nội bộ từ téc",DATA_GOC!$B:$B,"&gt;="&amp;$D7492,DATA_GOC!$B:$B,"&lt;="&amp;$E7492))</f>
        <v/>
      </c>
      <c r="J7492" s="59">
        <f t="shared" si="28"/>
        <v>0</v>
      </c>
      <c r="K7492" s="59">
        <f t="shared" si="29"/>
        <v>0</v>
      </c>
      <c r="L7492" s="59">
        <f t="shared" si="30"/>
        <v>0</v>
      </c>
      <c r="M7492" s="59">
        <f t="shared" si="31"/>
        <v>0</v>
      </c>
    </row>
    <row r="7493" ht="15.0" hidden="1" customHeight="1">
      <c r="A7493" s="59">
        <f t="shared" si="20"/>
        <v>122</v>
      </c>
      <c r="B7493" s="59" t="str">
        <f t="shared" si="21"/>
        <v/>
      </c>
      <c r="C7493" s="59" t="str">
        <f t="shared" si="22"/>
        <v/>
      </c>
      <c r="D7493" s="45" t="str">
        <f t="shared" si="23"/>
        <v/>
      </c>
      <c r="E7493" s="45" t="str">
        <f t="shared" si="24"/>
        <v/>
      </c>
      <c r="F7493" s="59" t="str">
        <f t="shared" si="25"/>
        <v/>
      </c>
      <c r="G7493" s="59" t="str">
        <f t="shared" si="26"/>
        <v/>
      </c>
      <c r="H7493" s="59" t="str">
        <f t="shared" si="27"/>
        <v>19H09482</v>
      </c>
      <c r="I7493" s="59" t="str">
        <f>IF(OR($A7493="",$C7493="",$D7493="",$E7493="",$H7493=""),"",SUMIFS(DATA_GOC!$H:$H,DATA_GOC!$A:$A,"BOM",DATA_GOC!$D:$D,$H7493,DATA_GOC!$E:$E,$C7493,DATA_GOC!$F:$F,"Xuất nội bộ từ téc",DATA_GOC!$B:$B,"&gt;="&amp;$D7493,DATA_GOC!$B:$B,"&lt;="&amp;$E7493))</f>
        <v/>
      </c>
      <c r="J7493" s="59">
        <f t="shared" si="28"/>
        <v>0</v>
      </c>
      <c r="K7493" s="59">
        <f t="shared" si="29"/>
        <v>0</v>
      </c>
      <c r="L7493" s="59">
        <f t="shared" si="30"/>
        <v>0</v>
      </c>
      <c r="M7493" s="59">
        <f t="shared" si="31"/>
        <v>0</v>
      </c>
    </row>
    <row r="7494" ht="15.0" hidden="1" customHeight="1">
      <c r="A7494" s="59">
        <f t="shared" si="20"/>
        <v>122</v>
      </c>
      <c r="B7494" s="59" t="str">
        <f t="shared" si="21"/>
        <v/>
      </c>
      <c r="C7494" s="59" t="str">
        <f t="shared" si="22"/>
        <v/>
      </c>
      <c r="D7494" s="45" t="str">
        <f t="shared" si="23"/>
        <v/>
      </c>
      <c r="E7494" s="45" t="str">
        <f t="shared" si="24"/>
        <v/>
      </c>
      <c r="F7494" s="59" t="str">
        <f t="shared" si="25"/>
        <v/>
      </c>
      <c r="G7494" s="59" t="str">
        <f t="shared" si="26"/>
        <v/>
      </c>
      <c r="H7494" s="59" t="str">
        <f t="shared" si="27"/>
        <v>28A30696</v>
      </c>
      <c r="I7494" s="59" t="str">
        <f>IF(OR($A7494="",$C7494="",$D7494="",$E7494="",$H7494=""),"",SUMIFS(DATA_GOC!$H:$H,DATA_GOC!$A:$A,"BOM",DATA_GOC!$D:$D,$H7494,DATA_GOC!$E:$E,$C7494,DATA_GOC!$F:$F,"Xuất nội bộ từ téc",DATA_GOC!$B:$B,"&gt;="&amp;$D7494,DATA_GOC!$B:$B,"&lt;="&amp;$E7494))</f>
        <v/>
      </c>
      <c r="J7494" s="59">
        <f t="shared" si="28"/>
        <v>0</v>
      </c>
      <c r="K7494" s="59">
        <f t="shared" si="29"/>
        <v>0</v>
      </c>
      <c r="L7494" s="59">
        <f t="shared" si="30"/>
        <v>0</v>
      </c>
      <c r="M7494" s="59">
        <f t="shared" si="31"/>
        <v>0</v>
      </c>
    </row>
    <row r="7495" ht="15.0" hidden="1" customHeight="1">
      <c r="A7495" s="59">
        <f t="shared" si="20"/>
        <v>122</v>
      </c>
      <c r="B7495" s="59" t="str">
        <f t="shared" si="21"/>
        <v/>
      </c>
      <c r="C7495" s="59" t="str">
        <f t="shared" si="22"/>
        <v/>
      </c>
      <c r="D7495" s="45" t="str">
        <f t="shared" si="23"/>
        <v/>
      </c>
      <c r="E7495" s="45" t="str">
        <f t="shared" si="24"/>
        <v/>
      </c>
      <c r="F7495" s="59" t="str">
        <f t="shared" si="25"/>
        <v/>
      </c>
      <c r="G7495" s="59" t="str">
        <f t="shared" si="26"/>
        <v/>
      </c>
      <c r="H7495" s="59" t="str">
        <f t="shared" si="27"/>
        <v>28C00462</v>
      </c>
      <c r="I7495" s="59" t="str">
        <f>IF(OR($A7495="",$C7495="",$D7495="",$E7495="",$H7495=""),"",SUMIFS(DATA_GOC!$H:$H,DATA_GOC!$A:$A,"BOM",DATA_GOC!$D:$D,$H7495,DATA_GOC!$E:$E,$C7495,DATA_GOC!$F:$F,"Xuất nội bộ từ téc",DATA_GOC!$B:$B,"&gt;="&amp;$D7495,DATA_GOC!$B:$B,"&lt;="&amp;$E7495))</f>
        <v/>
      </c>
      <c r="J7495" s="59">
        <f t="shared" si="28"/>
        <v>0</v>
      </c>
      <c r="K7495" s="59">
        <f t="shared" si="29"/>
        <v>0</v>
      </c>
      <c r="L7495" s="59">
        <f t="shared" si="30"/>
        <v>0</v>
      </c>
      <c r="M7495" s="59">
        <f t="shared" si="31"/>
        <v>0</v>
      </c>
    </row>
    <row r="7496" ht="15.0" hidden="1" customHeight="1">
      <c r="A7496" s="59">
        <f t="shared" si="20"/>
        <v>122</v>
      </c>
      <c r="B7496" s="59" t="str">
        <f t="shared" si="21"/>
        <v/>
      </c>
      <c r="C7496" s="59" t="str">
        <f t="shared" si="22"/>
        <v/>
      </c>
      <c r="D7496" s="45" t="str">
        <f t="shared" si="23"/>
        <v/>
      </c>
      <c r="E7496" s="45" t="str">
        <f t="shared" si="24"/>
        <v/>
      </c>
      <c r="F7496" s="59" t="str">
        <f t="shared" si="25"/>
        <v/>
      </c>
      <c r="G7496" s="59" t="str">
        <f t="shared" si="26"/>
        <v/>
      </c>
      <c r="H7496" s="59" t="str">
        <f t="shared" si="27"/>
        <v>28C01165</v>
      </c>
      <c r="I7496" s="59" t="str">
        <f>IF(OR($A7496="",$C7496="",$D7496="",$E7496="",$H7496=""),"",SUMIFS(DATA_GOC!$H:$H,DATA_GOC!$A:$A,"BOM",DATA_GOC!$D:$D,$H7496,DATA_GOC!$E:$E,$C7496,DATA_GOC!$F:$F,"Xuất nội bộ từ téc",DATA_GOC!$B:$B,"&gt;="&amp;$D7496,DATA_GOC!$B:$B,"&lt;="&amp;$E7496))</f>
        <v/>
      </c>
      <c r="J7496" s="59">
        <f t="shared" si="28"/>
        <v>0</v>
      </c>
      <c r="K7496" s="59">
        <f t="shared" si="29"/>
        <v>0</v>
      </c>
      <c r="L7496" s="59">
        <f t="shared" si="30"/>
        <v>0</v>
      </c>
      <c r="M7496" s="59">
        <f t="shared" si="31"/>
        <v>0</v>
      </c>
    </row>
    <row r="7497" ht="15.0" hidden="1" customHeight="1">
      <c r="A7497" s="59">
        <f t="shared" si="20"/>
        <v>122</v>
      </c>
      <c r="B7497" s="59" t="str">
        <f t="shared" si="21"/>
        <v/>
      </c>
      <c r="C7497" s="59" t="str">
        <f t="shared" si="22"/>
        <v/>
      </c>
      <c r="D7497" s="45" t="str">
        <f t="shared" si="23"/>
        <v/>
      </c>
      <c r="E7497" s="45" t="str">
        <f t="shared" si="24"/>
        <v/>
      </c>
      <c r="F7497" s="59" t="str">
        <f t="shared" si="25"/>
        <v/>
      </c>
      <c r="G7497" s="59" t="str">
        <f t="shared" si="26"/>
        <v/>
      </c>
      <c r="H7497" s="59" t="str">
        <f t="shared" si="27"/>
        <v>28C01406</v>
      </c>
      <c r="I7497" s="59" t="str">
        <f>IF(OR($A7497="",$C7497="",$D7497="",$E7497="",$H7497=""),"",SUMIFS(DATA_GOC!$H:$H,DATA_GOC!$A:$A,"BOM",DATA_GOC!$D:$D,$H7497,DATA_GOC!$E:$E,$C7497,DATA_GOC!$F:$F,"Xuất nội bộ từ téc",DATA_GOC!$B:$B,"&gt;="&amp;$D7497,DATA_GOC!$B:$B,"&lt;="&amp;$E7497))</f>
        <v/>
      </c>
      <c r="J7497" s="59">
        <f t="shared" si="28"/>
        <v>0</v>
      </c>
      <c r="K7497" s="59">
        <f t="shared" si="29"/>
        <v>0</v>
      </c>
      <c r="L7497" s="59">
        <f t="shared" si="30"/>
        <v>0</v>
      </c>
      <c r="M7497" s="59">
        <f t="shared" si="31"/>
        <v>0</v>
      </c>
    </row>
    <row r="7498" ht="15.0" hidden="1" customHeight="1">
      <c r="A7498" s="59">
        <f t="shared" si="20"/>
        <v>122</v>
      </c>
      <c r="B7498" s="59" t="str">
        <f t="shared" si="21"/>
        <v/>
      </c>
      <c r="C7498" s="59" t="str">
        <f t="shared" si="22"/>
        <v/>
      </c>
      <c r="D7498" s="45" t="str">
        <f t="shared" si="23"/>
        <v/>
      </c>
      <c r="E7498" s="45" t="str">
        <f t="shared" si="24"/>
        <v/>
      </c>
      <c r="F7498" s="59" t="str">
        <f t="shared" si="25"/>
        <v/>
      </c>
      <c r="G7498" s="59" t="str">
        <f t="shared" si="26"/>
        <v/>
      </c>
      <c r="H7498" s="59" t="str">
        <f t="shared" si="27"/>
        <v>28C01544</v>
      </c>
      <c r="I7498" s="59" t="str">
        <f>IF(OR($A7498="",$C7498="",$D7498="",$E7498="",$H7498=""),"",SUMIFS(DATA_GOC!$H:$H,DATA_GOC!$A:$A,"BOM",DATA_GOC!$D:$D,$H7498,DATA_GOC!$E:$E,$C7498,DATA_GOC!$F:$F,"Xuất nội bộ từ téc",DATA_GOC!$B:$B,"&gt;="&amp;$D7498,DATA_GOC!$B:$B,"&lt;="&amp;$E7498))</f>
        <v/>
      </c>
      <c r="J7498" s="59">
        <f t="shared" si="28"/>
        <v>0</v>
      </c>
      <c r="K7498" s="59">
        <f t="shared" si="29"/>
        <v>0</v>
      </c>
      <c r="L7498" s="59">
        <f t="shared" si="30"/>
        <v>0</v>
      </c>
      <c r="M7498" s="59">
        <f t="shared" si="31"/>
        <v>0</v>
      </c>
    </row>
    <row r="7499" ht="15.0" hidden="1" customHeight="1">
      <c r="A7499" s="59">
        <f t="shared" si="20"/>
        <v>122</v>
      </c>
      <c r="B7499" s="59" t="str">
        <f t="shared" si="21"/>
        <v/>
      </c>
      <c r="C7499" s="59" t="str">
        <f t="shared" si="22"/>
        <v/>
      </c>
      <c r="D7499" s="45" t="str">
        <f t="shared" si="23"/>
        <v/>
      </c>
      <c r="E7499" s="45" t="str">
        <f t="shared" si="24"/>
        <v/>
      </c>
      <c r="F7499" s="59" t="str">
        <f t="shared" si="25"/>
        <v/>
      </c>
      <c r="G7499" s="59" t="str">
        <f t="shared" si="26"/>
        <v/>
      </c>
      <c r="H7499" s="59" t="str">
        <f t="shared" si="27"/>
        <v>28C01622</v>
      </c>
      <c r="I7499" s="59" t="str">
        <f>IF(OR($A7499="",$C7499="",$D7499="",$E7499="",$H7499=""),"",SUMIFS(DATA_GOC!$H:$H,DATA_GOC!$A:$A,"BOM",DATA_GOC!$D:$D,$H7499,DATA_GOC!$E:$E,$C7499,DATA_GOC!$F:$F,"Xuất nội bộ từ téc",DATA_GOC!$B:$B,"&gt;="&amp;$D7499,DATA_GOC!$B:$B,"&lt;="&amp;$E7499))</f>
        <v/>
      </c>
      <c r="J7499" s="59">
        <f t="shared" si="28"/>
        <v>0</v>
      </c>
      <c r="K7499" s="59">
        <f t="shared" si="29"/>
        <v>0</v>
      </c>
      <c r="L7499" s="59">
        <f t="shared" si="30"/>
        <v>0</v>
      </c>
      <c r="M7499" s="59">
        <f t="shared" si="31"/>
        <v>0</v>
      </c>
    </row>
    <row r="7500" ht="15.0" hidden="1" customHeight="1">
      <c r="A7500" s="59">
        <f t="shared" si="20"/>
        <v>122</v>
      </c>
      <c r="B7500" s="59" t="str">
        <f t="shared" si="21"/>
        <v/>
      </c>
      <c r="C7500" s="59" t="str">
        <f t="shared" si="22"/>
        <v/>
      </c>
      <c r="D7500" s="45" t="str">
        <f t="shared" si="23"/>
        <v/>
      </c>
      <c r="E7500" s="45" t="str">
        <f t="shared" si="24"/>
        <v/>
      </c>
      <c r="F7500" s="59" t="str">
        <f t="shared" si="25"/>
        <v/>
      </c>
      <c r="G7500" s="59" t="str">
        <f t="shared" si="26"/>
        <v/>
      </c>
      <c r="H7500" s="59" t="str">
        <f t="shared" si="27"/>
        <v>28C01647</v>
      </c>
      <c r="I7500" s="59" t="str">
        <f>IF(OR($A7500="",$C7500="",$D7500="",$E7500="",$H7500=""),"",SUMIFS(DATA_GOC!$H:$H,DATA_GOC!$A:$A,"BOM",DATA_GOC!$D:$D,$H7500,DATA_GOC!$E:$E,$C7500,DATA_GOC!$F:$F,"Xuất nội bộ từ téc",DATA_GOC!$B:$B,"&gt;="&amp;$D7500,DATA_GOC!$B:$B,"&lt;="&amp;$E7500))</f>
        <v/>
      </c>
      <c r="J7500" s="59">
        <f t="shared" si="28"/>
        <v>0</v>
      </c>
      <c r="K7500" s="59">
        <f t="shared" si="29"/>
        <v>0</v>
      </c>
      <c r="L7500" s="59">
        <f t="shared" si="30"/>
        <v>0</v>
      </c>
      <c r="M7500" s="59">
        <f t="shared" si="31"/>
        <v>0</v>
      </c>
    </row>
    <row r="7501" ht="15.0" hidden="1" customHeight="1">
      <c r="A7501" s="59">
        <f t="shared" si="20"/>
        <v>122</v>
      </c>
      <c r="B7501" s="59" t="str">
        <f t="shared" si="21"/>
        <v/>
      </c>
      <c r="C7501" s="59" t="str">
        <f t="shared" si="22"/>
        <v/>
      </c>
      <c r="D7501" s="45" t="str">
        <f t="shared" si="23"/>
        <v/>
      </c>
      <c r="E7501" s="45" t="str">
        <f t="shared" si="24"/>
        <v/>
      </c>
      <c r="F7501" s="59" t="str">
        <f t="shared" si="25"/>
        <v/>
      </c>
      <c r="G7501" s="59" t="str">
        <f t="shared" si="26"/>
        <v/>
      </c>
      <c r="H7501" s="59" t="str">
        <f t="shared" si="27"/>
        <v>28C01731</v>
      </c>
      <c r="I7501" s="59" t="str">
        <f>IF(OR($A7501="",$C7501="",$D7501="",$E7501="",$H7501=""),"",SUMIFS(DATA_GOC!$H:$H,DATA_GOC!$A:$A,"BOM",DATA_GOC!$D:$D,$H7501,DATA_GOC!$E:$E,$C7501,DATA_GOC!$F:$F,"Xuất nội bộ từ téc",DATA_GOC!$B:$B,"&gt;="&amp;$D7501,DATA_GOC!$B:$B,"&lt;="&amp;$E7501))</f>
        <v/>
      </c>
      <c r="J7501" s="59">
        <f t="shared" si="28"/>
        <v>0</v>
      </c>
      <c r="K7501" s="59">
        <f t="shared" si="29"/>
        <v>0</v>
      </c>
      <c r="L7501" s="59">
        <f t="shared" si="30"/>
        <v>0</v>
      </c>
      <c r="M7501" s="59">
        <f t="shared" si="31"/>
        <v>0</v>
      </c>
    </row>
    <row r="7502" ht="15.0" hidden="1" customHeight="1">
      <c r="A7502" s="59">
        <f t="shared" si="20"/>
        <v>122</v>
      </c>
      <c r="B7502" s="59" t="str">
        <f t="shared" si="21"/>
        <v/>
      </c>
      <c r="C7502" s="59" t="str">
        <f t="shared" si="22"/>
        <v/>
      </c>
      <c r="D7502" s="45" t="str">
        <f t="shared" si="23"/>
        <v/>
      </c>
      <c r="E7502" s="45" t="str">
        <f t="shared" si="24"/>
        <v/>
      </c>
      <c r="F7502" s="59" t="str">
        <f t="shared" si="25"/>
        <v/>
      </c>
      <c r="G7502" s="59" t="str">
        <f t="shared" si="26"/>
        <v/>
      </c>
      <c r="H7502" s="59" t="str">
        <f t="shared" si="27"/>
        <v>28C01743</v>
      </c>
      <c r="I7502" s="59" t="str">
        <f>IF(OR($A7502="",$C7502="",$D7502="",$E7502="",$H7502=""),"",SUMIFS(DATA_GOC!$H:$H,DATA_GOC!$A:$A,"BOM",DATA_GOC!$D:$D,$H7502,DATA_GOC!$E:$E,$C7502,DATA_GOC!$F:$F,"Xuất nội bộ từ téc",DATA_GOC!$B:$B,"&gt;="&amp;$D7502,DATA_GOC!$B:$B,"&lt;="&amp;$E7502))</f>
        <v/>
      </c>
      <c r="J7502" s="59">
        <f t="shared" si="28"/>
        <v>0</v>
      </c>
      <c r="K7502" s="59">
        <f t="shared" si="29"/>
        <v>0</v>
      </c>
      <c r="L7502" s="59">
        <f t="shared" si="30"/>
        <v>0</v>
      </c>
      <c r="M7502" s="59">
        <f t="shared" si="31"/>
        <v>0</v>
      </c>
    </row>
    <row r="7503" ht="15.0" hidden="1" customHeight="1">
      <c r="A7503" s="59">
        <f t="shared" si="20"/>
        <v>122</v>
      </c>
      <c r="B7503" s="59" t="str">
        <f t="shared" si="21"/>
        <v/>
      </c>
      <c r="C7503" s="59" t="str">
        <f t="shared" si="22"/>
        <v/>
      </c>
      <c r="D7503" s="45" t="str">
        <f t="shared" si="23"/>
        <v/>
      </c>
      <c r="E7503" s="45" t="str">
        <f t="shared" si="24"/>
        <v/>
      </c>
      <c r="F7503" s="59" t="str">
        <f t="shared" si="25"/>
        <v/>
      </c>
      <c r="G7503" s="59" t="str">
        <f t="shared" si="26"/>
        <v/>
      </c>
      <c r="H7503" s="59" t="str">
        <f t="shared" si="27"/>
        <v>28C02106</v>
      </c>
      <c r="I7503" s="59" t="str">
        <f>IF(OR($A7503="",$C7503="",$D7503="",$E7503="",$H7503=""),"",SUMIFS(DATA_GOC!$H:$H,DATA_GOC!$A:$A,"BOM",DATA_GOC!$D:$D,$H7503,DATA_GOC!$E:$E,$C7503,DATA_GOC!$F:$F,"Xuất nội bộ từ téc",DATA_GOC!$B:$B,"&gt;="&amp;$D7503,DATA_GOC!$B:$B,"&lt;="&amp;$E7503))</f>
        <v/>
      </c>
      <c r="J7503" s="59">
        <f t="shared" si="28"/>
        <v>0</v>
      </c>
      <c r="K7503" s="59">
        <f t="shared" si="29"/>
        <v>0</v>
      </c>
      <c r="L7503" s="59">
        <f t="shared" si="30"/>
        <v>0</v>
      </c>
      <c r="M7503" s="59">
        <f t="shared" si="31"/>
        <v>0</v>
      </c>
    </row>
    <row r="7504" ht="15.0" hidden="1" customHeight="1">
      <c r="A7504" s="59">
        <f t="shared" si="20"/>
        <v>122</v>
      </c>
      <c r="B7504" s="59" t="str">
        <f t="shared" si="21"/>
        <v/>
      </c>
      <c r="C7504" s="59" t="str">
        <f t="shared" si="22"/>
        <v/>
      </c>
      <c r="D7504" s="45" t="str">
        <f t="shared" si="23"/>
        <v/>
      </c>
      <c r="E7504" s="45" t="str">
        <f t="shared" si="24"/>
        <v/>
      </c>
      <c r="F7504" s="59" t="str">
        <f t="shared" si="25"/>
        <v/>
      </c>
      <c r="G7504" s="59" t="str">
        <f t="shared" si="26"/>
        <v/>
      </c>
      <c r="H7504" s="59" t="str">
        <f t="shared" si="27"/>
        <v>28C02410</v>
      </c>
      <c r="I7504" s="59" t="str">
        <f>IF(OR($A7504="",$C7504="",$D7504="",$E7504="",$H7504=""),"",SUMIFS(DATA_GOC!$H:$H,DATA_GOC!$A:$A,"BOM",DATA_GOC!$D:$D,$H7504,DATA_GOC!$E:$E,$C7504,DATA_GOC!$F:$F,"Xuất nội bộ từ téc",DATA_GOC!$B:$B,"&gt;="&amp;$D7504,DATA_GOC!$B:$B,"&lt;="&amp;$E7504))</f>
        <v/>
      </c>
      <c r="J7504" s="59">
        <f t="shared" si="28"/>
        <v>0</v>
      </c>
      <c r="K7504" s="59">
        <f t="shared" si="29"/>
        <v>0</v>
      </c>
      <c r="L7504" s="59">
        <f t="shared" si="30"/>
        <v>0</v>
      </c>
      <c r="M7504" s="59">
        <f t="shared" si="31"/>
        <v>0</v>
      </c>
    </row>
    <row r="7505" ht="15.0" hidden="1" customHeight="1">
      <c r="A7505" s="59">
        <f t="shared" si="20"/>
        <v>122</v>
      </c>
      <c r="B7505" s="59" t="str">
        <f t="shared" si="21"/>
        <v/>
      </c>
      <c r="C7505" s="59" t="str">
        <f t="shared" si="22"/>
        <v/>
      </c>
      <c r="D7505" s="45" t="str">
        <f t="shared" si="23"/>
        <v/>
      </c>
      <c r="E7505" s="45" t="str">
        <f t="shared" si="24"/>
        <v/>
      </c>
      <c r="F7505" s="59" t="str">
        <f t="shared" si="25"/>
        <v/>
      </c>
      <c r="G7505" s="59" t="str">
        <f t="shared" si="26"/>
        <v/>
      </c>
      <c r="H7505" s="59" t="str">
        <f t="shared" si="27"/>
        <v>28C02545</v>
      </c>
      <c r="I7505" s="59" t="str">
        <f>IF(OR($A7505="",$C7505="",$D7505="",$E7505="",$H7505=""),"",SUMIFS(DATA_GOC!$H:$H,DATA_GOC!$A:$A,"BOM",DATA_GOC!$D:$D,$H7505,DATA_GOC!$E:$E,$C7505,DATA_GOC!$F:$F,"Xuất nội bộ từ téc",DATA_GOC!$B:$B,"&gt;="&amp;$D7505,DATA_GOC!$B:$B,"&lt;="&amp;$E7505))</f>
        <v/>
      </c>
      <c r="J7505" s="59">
        <f t="shared" si="28"/>
        <v>0</v>
      </c>
      <c r="K7505" s="59">
        <f t="shared" si="29"/>
        <v>0</v>
      </c>
      <c r="L7505" s="59">
        <f t="shared" si="30"/>
        <v>0</v>
      </c>
      <c r="M7505" s="59">
        <f t="shared" si="31"/>
        <v>0</v>
      </c>
    </row>
    <row r="7506" ht="15.0" hidden="1" customHeight="1">
      <c r="A7506" s="59">
        <f t="shared" si="20"/>
        <v>122</v>
      </c>
      <c r="B7506" s="59" t="str">
        <f t="shared" si="21"/>
        <v/>
      </c>
      <c r="C7506" s="59" t="str">
        <f t="shared" si="22"/>
        <v/>
      </c>
      <c r="D7506" s="45" t="str">
        <f t="shared" si="23"/>
        <v/>
      </c>
      <c r="E7506" s="45" t="str">
        <f t="shared" si="24"/>
        <v/>
      </c>
      <c r="F7506" s="59" t="str">
        <f t="shared" si="25"/>
        <v/>
      </c>
      <c r="G7506" s="59" t="str">
        <f t="shared" si="26"/>
        <v/>
      </c>
      <c r="H7506" s="59" t="str">
        <f t="shared" si="27"/>
        <v>28C02574</v>
      </c>
      <c r="I7506" s="59" t="str">
        <f>IF(OR($A7506="",$C7506="",$D7506="",$E7506="",$H7506=""),"",SUMIFS(DATA_GOC!$H:$H,DATA_GOC!$A:$A,"BOM",DATA_GOC!$D:$D,$H7506,DATA_GOC!$E:$E,$C7506,DATA_GOC!$F:$F,"Xuất nội bộ từ téc",DATA_GOC!$B:$B,"&gt;="&amp;$D7506,DATA_GOC!$B:$B,"&lt;="&amp;$E7506))</f>
        <v/>
      </c>
      <c r="J7506" s="59">
        <f t="shared" si="28"/>
        <v>0</v>
      </c>
      <c r="K7506" s="59">
        <f t="shared" si="29"/>
        <v>0</v>
      </c>
      <c r="L7506" s="59">
        <f t="shared" si="30"/>
        <v>0</v>
      </c>
      <c r="M7506" s="59">
        <f t="shared" si="31"/>
        <v>0</v>
      </c>
    </row>
    <row r="7507" ht="15.0" hidden="1" customHeight="1">
      <c r="A7507" s="59">
        <f t="shared" si="20"/>
        <v>122</v>
      </c>
      <c r="B7507" s="59" t="str">
        <f t="shared" si="21"/>
        <v/>
      </c>
      <c r="C7507" s="59" t="str">
        <f t="shared" si="22"/>
        <v/>
      </c>
      <c r="D7507" s="45" t="str">
        <f t="shared" si="23"/>
        <v/>
      </c>
      <c r="E7507" s="45" t="str">
        <f t="shared" si="24"/>
        <v/>
      </c>
      <c r="F7507" s="59" t="str">
        <f t="shared" si="25"/>
        <v/>
      </c>
      <c r="G7507" s="59" t="str">
        <f t="shared" si="26"/>
        <v/>
      </c>
      <c r="H7507" s="59" t="str">
        <f t="shared" si="27"/>
        <v>28C02770</v>
      </c>
      <c r="I7507" s="59" t="str">
        <f>IF(OR($A7507="",$C7507="",$D7507="",$E7507="",$H7507=""),"",SUMIFS(DATA_GOC!$H:$H,DATA_GOC!$A:$A,"BOM",DATA_GOC!$D:$D,$H7507,DATA_GOC!$E:$E,$C7507,DATA_GOC!$F:$F,"Xuất nội bộ từ téc",DATA_GOC!$B:$B,"&gt;="&amp;$D7507,DATA_GOC!$B:$B,"&lt;="&amp;$E7507))</f>
        <v/>
      </c>
      <c r="J7507" s="59">
        <f t="shared" si="28"/>
        <v>0</v>
      </c>
      <c r="K7507" s="59">
        <f t="shared" si="29"/>
        <v>0</v>
      </c>
      <c r="L7507" s="59">
        <f t="shared" si="30"/>
        <v>0</v>
      </c>
      <c r="M7507" s="59">
        <f t="shared" si="31"/>
        <v>0</v>
      </c>
    </row>
    <row r="7508" ht="15.0" hidden="1" customHeight="1">
      <c r="A7508" s="59">
        <f t="shared" si="20"/>
        <v>122</v>
      </c>
      <c r="B7508" s="59" t="str">
        <f t="shared" si="21"/>
        <v/>
      </c>
      <c r="C7508" s="59" t="str">
        <f t="shared" si="22"/>
        <v/>
      </c>
      <c r="D7508" s="45" t="str">
        <f t="shared" si="23"/>
        <v/>
      </c>
      <c r="E7508" s="45" t="str">
        <f t="shared" si="24"/>
        <v/>
      </c>
      <c r="F7508" s="59" t="str">
        <f t="shared" si="25"/>
        <v/>
      </c>
      <c r="G7508" s="59" t="str">
        <f t="shared" si="26"/>
        <v/>
      </c>
      <c r="H7508" s="59" t="str">
        <f t="shared" si="27"/>
        <v>28C02986</v>
      </c>
      <c r="I7508" s="59" t="str">
        <f>IF(OR($A7508="",$C7508="",$D7508="",$E7508="",$H7508=""),"",SUMIFS(DATA_GOC!$H:$H,DATA_GOC!$A:$A,"BOM",DATA_GOC!$D:$D,$H7508,DATA_GOC!$E:$E,$C7508,DATA_GOC!$F:$F,"Xuất nội bộ từ téc",DATA_GOC!$B:$B,"&gt;="&amp;$D7508,DATA_GOC!$B:$B,"&lt;="&amp;$E7508))</f>
        <v/>
      </c>
      <c r="J7508" s="59">
        <f t="shared" si="28"/>
        <v>0</v>
      </c>
      <c r="K7508" s="59">
        <f t="shared" si="29"/>
        <v>0</v>
      </c>
      <c r="L7508" s="59">
        <f t="shared" si="30"/>
        <v>0</v>
      </c>
      <c r="M7508" s="59">
        <f t="shared" si="31"/>
        <v>0</v>
      </c>
    </row>
    <row r="7509" ht="15.0" hidden="1" customHeight="1">
      <c r="A7509" s="59">
        <f t="shared" si="20"/>
        <v>122</v>
      </c>
      <c r="B7509" s="59" t="str">
        <f t="shared" si="21"/>
        <v/>
      </c>
      <c r="C7509" s="59" t="str">
        <f t="shared" si="22"/>
        <v/>
      </c>
      <c r="D7509" s="45" t="str">
        <f t="shared" si="23"/>
        <v/>
      </c>
      <c r="E7509" s="45" t="str">
        <f t="shared" si="24"/>
        <v/>
      </c>
      <c r="F7509" s="59" t="str">
        <f t="shared" si="25"/>
        <v/>
      </c>
      <c r="G7509" s="59" t="str">
        <f t="shared" si="26"/>
        <v/>
      </c>
      <c r="H7509" s="59" t="str">
        <f t="shared" si="27"/>
        <v>28C03261</v>
      </c>
      <c r="I7509" s="59" t="str">
        <f>IF(OR($A7509="",$C7509="",$D7509="",$E7509="",$H7509=""),"",SUMIFS(DATA_GOC!$H:$H,DATA_GOC!$A:$A,"BOM",DATA_GOC!$D:$D,$H7509,DATA_GOC!$E:$E,$C7509,DATA_GOC!$F:$F,"Xuất nội bộ từ téc",DATA_GOC!$B:$B,"&gt;="&amp;$D7509,DATA_GOC!$B:$B,"&lt;="&amp;$E7509))</f>
        <v/>
      </c>
      <c r="J7509" s="59">
        <f t="shared" si="28"/>
        <v>0</v>
      </c>
      <c r="K7509" s="59">
        <f t="shared" si="29"/>
        <v>0</v>
      </c>
      <c r="L7509" s="59">
        <f t="shared" si="30"/>
        <v>0</v>
      </c>
      <c r="M7509" s="59">
        <f t="shared" si="31"/>
        <v>0</v>
      </c>
    </row>
    <row r="7510" ht="15.0" hidden="1" customHeight="1">
      <c r="A7510" s="59">
        <f t="shared" si="20"/>
        <v>122</v>
      </c>
      <c r="B7510" s="59" t="str">
        <f t="shared" si="21"/>
        <v/>
      </c>
      <c r="C7510" s="59" t="str">
        <f t="shared" si="22"/>
        <v/>
      </c>
      <c r="D7510" s="45" t="str">
        <f t="shared" si="23"/>
        <v/>
      </c>
      <c r="E7510" s="45" t="str">
        <f t="shared" si="24"/>
        <v/>
      </c>
      <c r="F7510" s="59" t="str">
        <f t="shared" si="25"/>
        <v/>
      </c>
      <c r="G7510" s="59" t="str">
        <f t="shared" si="26"/>
        <v/>
      </c>
      <c r="H7510" s="59" t="str">
        <f t="shared" si="27"/>
        <v>28C03323</v>
      </c>
      <c r="I7510" s="59" t="str">
        <f>IF(OR($A7510="",$C7510="",$D7510="",$E7510="",$H7510=""),"",SUMIFS(DATA_GOC!$H:$H,DATA_GOC!$A:$A,"BOM",DATA_GOC!$D:$D,$H7510,DATA_GOC!$E:$E,$C7510,DATA_GOC!$F:$F,"Xuất nội bộ từ téc",DATA_GOC!$B:$B,"&gt;="&amp;$D7510,DATA_GOC!$B:$B,"&lt;="&amp;$E7510))</f>
        <v/>
      </c>
      <c r="J7510" s="59">
        <f t="shared" si="28"/>
        <v>0</v>
      </c>
      <c r="K7510" s="59">
        <f t="shared" si="29"/>
        <v>0</v>
      </c>
      <c r="L7510" s="59">
        <f t="shared" si="30"/>
        <v>0</v>
      </c>
      <c r="M7510" s="59">
        <f t="shared" si="31"/>
        <v>0</v>
      </c>
    </row>
    <row r="7511" ht="15.0" hidden="1" customHeight="1">
      <c r="A7511" s="59">
        <f t="shared" si="20"/>
        <v>122</v>
      </c>
      <c r="B7511" s="59" t="str">
        <f t="shared" si="21"/>
        <v/>
      </c>
      <c r="C7511" s="59" t="str">
        <f t="shared" si="22"/>
        <v/>
      </c>
      <c r="D7511" s="45" t="str">
        <f t="shared" si="23"/>
        <v/>
      </c>
      <c r="E7511" s="45" t="str">
        <f t="shared" si="24"/>
        <v/>
      </c>
      <c r="F7511" s="59" t="str">
        <f t="shared" si="25"/>
        <v/>
      </c>
      <c r="G7511" s="59" t="str">
        <f t="shared" si="26"/>
        <v/>
      </c>
      <c r="H7511" s="59" t="str">
        <f t="shared" si="27"/>
        <v>28C03385</v>
      </c>
      <c r="I7511" s="59" t="str">
        <f>IF(OR($A7511="",$C7511="",$D7511="",$E7511="",$H7511=""),"",SUMIFS(DATA_GOC!$H:$H,DATA_GOC!$A:$A,"BOM",DATA_GOC!$D:$D,$H7511,DATA_GOC!$E:$E,$C7511,DATA_GOC!$F:$F,"Xuất nội bộ từ téc",DATA_GOC!$B:$B,"&gt;="&amp;$D7511,DATA_GOC!$B:$B,"&lt;="&amp;$E7511))</f>
        <v/>
      </c>
      <c r="J7511" s="59">
        <f t="shared" si="28"/>
        <v>0</v>
      </c>
      <c r="K7511" s="59">
        <f t="shared" si="29"/>
        <v>0</v>
      </c>
      <c r="L7511" s="59">
        <f t="shared" si="30"/>
        <v>0</v>
      </c>
      <c r="M7511" s="59">
        <f t="shared" si="31"/>
        <v>0</v>
      </c>
    </row>
    <row r="7512" ht="15.0" hidden="1" customHeight="1">
      <c r="A7512" s="59">
        <f t="shared" si="20"/>
        <v>122</v>
      </c>
      <c r="B7512" s="59" t="str">
        <f t="shared" si="21"/>
        <v/>
      </c>
      <c r="C7512" s="59" t="str">
        <f t="shared" si="22"/>
        <v/>
      </c>
      <c r="D7512" s="45" t="str">
        <f t="shared" si="23"/>
        <v/>
      </c>
      <c r="E7512" s="45" t="str">
        <f t="shared" si="24"/>
        <v/>
      </c>
      <c r="F7512" s="59" t="str">
        <f t="shared" si="25"/>
        <v/>
      </c>
      <c r="G7512" s="59" t="str">
        <f t="shared" si="26"/>
        <v/>
      </c>
      <c r="H7512" s="59" t="str">
        <f t="shared" si="27"/>
        <v>28C03652</v>
      </c>
      <c r="I7512" s="59" t="str">
        <f>IF(OR($A7512="",$C7512="",$D7512="",$E7512="",$H7512=""),"",SUMIFS(DATA_GOC!$H:$H,DATA_GOC!$A:$A,"BOM",DATA_GOC!$D:$D,$H7512,DATA_GOC!$E:$E,$C7512,DATA_GOC!$F:$F,"Xuất nội bộ từ téc",DATA_GOC!$B:$B,"&gt;="&amp;$D7512,DATA_GOC!$B:$B,"&lt;="&amp;$E7512))</f>
        <v/>
      </c>
      <c r="J7512" s="59">
        <f t="shared" si="28"/>
        <v>0</v>
      </c>
      <c r="K7512" s="59">
        <f t="shared" si="29"/>
        <v>0</v>
      </c>
      <c r="L7512" s="59">
        <f t="shared" si="30"/>
        <v>0</v>
      </c>
      <c r="M7512" s="59">
        <f t="shared" si="31"/>
        <v>0</v>
      </c>
    </row>
    <row r="7513" ht="15.0" hidden="1" customHeight="1">
      <c r="A7513" s="59">
        <f t="shared" si="20"/>
        <v>122</v>
      </c>
      <c r="B7513" s="59" t="str">
        <f t="shared" si="21"/>
        <v/>
      </c>
      <c r="C7513" s="59" t="str">
        <f t="shared" si="22"/>
        <v/>
      </c>
      <c r="D7513" s="45" t="str">
        <f t="shared" si="23"/>
        <v/>
      </c>
      <c r="E7513" s="45" t="str">
        <f t="shared" si="24"/>
        <v/>
      </c>
      <c r="F7513" s="59" t="str">
        <f t="shared" si="25"/>
        <v/>
      </c>
      <c r="G7513" s="59" t="str">
        <f t="shared" si="26"/>
        <v/>
      </c>
      <c r="H7513" s="59" t="str">
        <f t="shared" si="27"/>
        <v>28C03695</v>
      </c>
      <c r="I7513" s="59" t="str">
        <f>IF(OR($A7513="",$C7513="",$D7513="",$E7513="",$H7513=""),"",SUMIFS(DATA_GOC!$H:$H,DATA_GOC!$A:$A,"BOM",DATA_GOC!$D:$D,$H7513,DATA_GOC!$E:$E,$C7513,DATA_GOC!$F:$F,"Xuất nội bộ từ téc",DATA_GOC!$B:$B,"&gt;="&amp;$D7513,DATA_GOC!$B:$B,"&lt;="&amp;$E7513))</f>
        <v/>
      </c>
      <c r="J7513" s="59">
        <f t="shared" si="28"/>
        <v>0</v>
      </c>
      <c r="K7513" s="59">
        <f t="shared" si="29"/>
        <v>0</v>
      </c>
      <c r="L7513" s="59">
        <f t="shared" si="30"/>
        <v>0</v>
      </c>
      <c r="M7513" s="59">
        <f t="shared" si="31"/>
        <v>0</v>
      </c>
    </row>
    <row r="7514" ht="15.0" hidden="1" customHeight="1">
      <c r="A7514" s="59">
        <f t="shared" si="20"/>
        <v>122</v>
      </c>
      <c r="B7514" s="59" t="str">
        <f t="shared" si="21"/>
        <v/>
      </c>
      <c r="C7514" s="59" t="str">
        <f t="shared" si="22"/>
        <v/>
      </c>
      <c r="D7514" s="45" t="str">
        <f t="shared" si="23"/>
        <v/>
      </c>
      <c r="E7514" s="45" t="str">
        <f t="shared" si="24"/>
        <v/>
      </c>
      <c r="F7514" s="59" t="str">
        <f t="shared" si="25"/>
        <v/>
      </c>
      <c r="G7514" s="59" t="str">
        <f t="shared" si="26"/>
        <v/>
      </c>
      <c r="H7514" s="59" t="str">
        <f t="shared" si="27"/>
        <v>28C03927</v>
      </c>
      <c r="I7514" s="59" t="str">
        <f>IF(OR($A7514="",$C7514="",$D7514="",$E7514="",$H7514=""),"",SUMIFS(DATA_GOC!$H:$H,DATA_GOC!$A:$A,"BOM",DATA_GOC!$D:$D,$H7514,DATA_GOC!$E:$E,$C7514,DATA_GOC!$F:$F,"Xuất nội bộ từ téc",DATA_GOC!$B:$B,"&gt;="&amp;$D7514,DATA_GOC!$B:$B,"&lt;="&amp;$E7514))</f>
        <v/>
      </c>
      <c r="J7514" s="59">
        <f t="shared" si="28"/>
        <v>0</v>
      </c>
      <c r="K7514" s="59">
        <f t="shared" si="29"/>
        <v>0</v>
      </c>
      <c r="L7514" s="59">
        <f t="shared" si="30"/>
        <v>0</v>
      </c>
      <c r="M7514" s="59">
        <f t="shared" si="31"/>
        <v>0</v>
      </c>
    </row>
    <row r="7515" ht="15.0" hidden="1" customHeight="1">
      <c r="A7515" s="59">
        <f t="shared" si="20"/>
        <v>122</v>
      </c>
      <c r="B7515" s="59" t="str">
        <f t="shared" si="21"/>
        <v/>
      </c>
      <c r="C7515" s="59" t="str">
        <f t="shared" si="22"/>
        <v/>
      </c>
      <c r="D7515" s="45" t="str">
        <f t="shared" si="23"/>
        <v/>
      </c>
      <c r="E7515" s="45" t="str">
        <f t="shared" si="24"/>
        <v/>
      </c>
      <c r="F7515" s="59" t="str">
        <f t="shared" si="25"/>
        <v/>
      </c>
      <c r="G7515" s="59" t="str">
        <f t="shared" si="26"/>
        <v/>
      </c>
      <c r="H7515" s="59" t="str">
        <f t="shared" si="27"/>
        <v>28C04509</v>
      </c>
      <c r="I7515" s="59" t="str">
        <f>IF(OR($A7515="",$C7515="",$D7515="",$E7515="",$H7515=""),"",SUMIFS(DATA_GOC!$H:$H,DATA_GOC!$A:$A,"BOM",DATA_GOC!$D:$D,$H7515,DATA_GOC!$E:$E,$C7515,DATA_GOC!$F:$F,"Xuất nội bộ từ téc",DATA_GOC!$B:$B,"&gt;="&amp;$D7515,DATA_GOC!$B:$B,"&lt;="&amp;$E7515))</f>
        <v/>
      </c>
      <c r="J7515" s="59">
        <f t="shared" si="28"/>
        <v>0</v>
      </c>
      <c r="K7515" s="59">
        <f t="shared" si="29"/>
        <v>0</v>
      </c>
      <c r="L7515" s="59">
        <f t="shared" si="30"/>
        <v>0</v>
      </c>
      <c r="M7515" s="59">
        <f t="shared" si="31"/>
        <v>0</v>
      </c>
    </row>
    <row r="7516" ht="15.0" hidden="1" customHeight="1">
      <c r="A7516" s="59">
        <f t="shared" si="20"/>
        <v>122</v>
      </c>
      <c r="B7516" s="59" t="str">
        <f t="shared" si="21"/>
        <v/>
      </c>
      <c r="C7516" s="59" t="str">
        <f t="shared" si="22"/>
        <v/>
      </c>
      <c r="D7516" s="45" t="str">
        <f t="shared" si="23"/>
        <v/>
      </c>
      <c r="E7516" s="45" t="str">
        <f t="shared" si="24"/>
        <v/>
      </c>
      <c r="F7516" s="59" t="str">
        <f t="shared" si="25"/>
        <v/>
      </c>
      <c r="G7516" s="59" t="str">
        <f t="shared" si="26"/>
        <v/>
      </c>
      <c r="H7516" s="59" t="str">
        <f t="shared" si="27"/>
        <v>28C04536</v>
      </c>
      <c r="I7516" s="59" t="str">
        <f>IF(OR($A7516="",$C7516="",$D7516="",$E7516="",$H7516=""),"",SUMIFS(DATA_GOC!$H:$H,DATA_GOC!$A:$A,"BOM",DATA_GOC!$D:$D,$H7516,DATA_GOC!$E:$E,$C7516,DATA_GOC!$F:$F,"Xuất nội bộ từ téc",DATA_GOC!$B:$B,"&gt;="&amp;$D7516,DATA_GOC!$B:$B,"&lt;="&amp;$E7516))</f>
        <v/>
      </c>
      <c r="J7516" s="59">
        <f t="shared" si="28"/>
        <v>0</v>
      </c>
      <c r="K7516" s="59">
        <f t="shared" si="29"/>
        <v>0</v>
      </c>
      <c r="L7516" s="59">
        <f t="shared" si="30"/>
        <v>0</v>
      </c>
      <c r="M7516" s="59">
        <f t="shared" si="31"/>
        <v>0</v>
      </c>
    </row>
    <row r="7517" ht="15.0" hidden="1" customHeight="1">
      <c r="A7517" s="59">
        <f t="shared" si="20"/>
        <v>122</v>
      </c>
      <c r="B7517" s="59" t="str">
        <f t="shared" si="21"/>
        <v/>
      </c>
      <c r="C7517" s="59" t="str">
        <f t="shared" si="22"/>
        <v/>
      </c>
      <c r="D7517" s="45" t="str">
        <f t="shared" si="23"/>
        <v/>
      </c>
      <c r="E7517" s="45" t="str">
        <f t="shared" si="24"/>
        <v/>
      </c>
      <c r="F7517" s="59" t="str">
        <f t="shared" si="25"/>
        <v/>
      </c>
      <c r="G7517" s="59" t="str">
        <f t="shared" si="26"/>
        <v/>
      </c>
      <c r="H7517" s="59" t="str">
        <f t="shared" si="27"/>
        <v>28C04576</v>
      </c>
      <c r="I7517" s="59" t="str">
        <f>IF(OR($A7517="",$C7517="",$D7517="",$E7517="",$H7517=""),"",SUMIFS(DATA_GOC!$H:$H,DATA_GOC!$A:$A,"BOM",DATA_GOC!$D:$D,$H7517,DATA_GOC!$E:$E,$C7517,DATA_GOC!$F:$F,"Xuất nội bộ từ téc",DATA_GOC!$B:$B,"&gt;="&amp;$D7517,DATA_GOC!$B:$B,"&lt;="&amp;$E7517))</f>
        <v/>
      </c>
      <c r="J7517" s="59">
        <f t="shared" si="28"/>
        <v>0</v>
      </c>
      <c r="K7517" s="59">
        <f t="shared" si="29"/>
        <v>0</v>
      </c>
      <c r="L7517" s="59">
        <f t="shared" si="30"/>
        <v>0</v>
      </c>
      <c r="M7517" s="59">
        <f t="shared" si="31"/>
        <v>0</v>
      </c>
    </row>
    <row r="7518" ht="15.0" hidden="1" customHeight="1">
      <c r="A7518" s="59">
        <f t="shared" si="20"/>
        <v>122</v>
      </c>
      <c r="B7518" s="59" t="str">
        <f t="shared" si="21"/>
        <v/>
      </c>
      <c r="C7518" s="59" t="str">
        <f t="shared" si="22"/>
        <v/>
      </c>
      <c r="D7518" s="45" t="str">
        <f t="shared" si="23"/>
        <v/>
      </c>
      <c r="E7518" s="45" t="str">
        <f t="shared" si="24"/>
        <v/>
      </c>
      <c r="F7518" s="59" t="str">
        <f t="shared" si="25"/>
        <v/>
      </c>
      <c r="G7518" s="59" t="str">
        <f t="shared" si="26"/>
        <v/>
      </c>
      <c r="H7518" s="59" t="str">
        <f t="shared" si="27"/>
        <v>28C05090</v>
      </c>
      <c r="I7518" s="59" t="str">
        <f>IF(OR($A7518="",$C7518="",$D7518="",$E7518="",$H7518=""),"",SUMIFS(DATA_GOC!$H:$H,DATA_GOC!$A:$A,"BOM",DATA_GOC!$D:$D,$H7518,DATA_GOC!$E:$E,$C7518,DATA_GOC!$F:$F,"Xuất nội bộ từ téc",DATA_GOC!$B:$B,"&gt;="&amp;$D7518,DATA_GOC!$B:$B,"&lt;="&amp;$E7518))</f>
        <v/>
      </c>
      <c r="J7518" s="59">
        <f t="shared" si="28"/>
        <v>0</v>
      </c>
      <c r="K7518" s="59">
        <f t="shared" si="29"/>
        <v>0</v>
      </c>
      <c r="L7518" s="59">
        <f t="shared" si="30"/>
        <v>0</v>
      </c>
      <c r="M7518" s="59">
        <f t="shared" si="31"/>
        <v>0</v>
      </c>
    </row>
    <row r="7519" ht="15.0" hidden="1" customHeight="1">
      <c r="A7519" s="59">
        <f t="shared" si="20"/>
        <v>122</v>
      </c>
      <c r="B7519" s="59" t="str">
        <f t="shared" si="21"/>
        <v/>
      </c>
      <c r="C7519" s="59" t="str">
        <f t="shared" si="22"/>
        <v/>
      </c>
      <c r="D7519" s="45" t="str">
        <f t="shared" si="23"/>
        <v/>
      </c>
      <c r="E7519" s="45" t="str">
        <f t="shared" si="24"/>
        <v/>
      </c>
      <c r="F7519" s="59" t="str">
        <f t="shared" si="25"/>
        <v/>
      </c>
      <c r="G7519" s="59" t="str">
        <f t="shared" si="26"/>
        <v/>
      </c>
      <c r="H7519" s="59" t="str">
        <f t="shared" si="27"/>
        <v>28C05345</v>
      </c>
      <c r="I7519" s="59" t="str">
        <f>IF(OR($A7519="",$C7519="",$D7519="",$E7519="",$H7519=""),"",SUMIFS(DATA_GOC!$H:$H,DATA_GOC!$A:$A,"BOM",DATA_GOC!$D:$D,$H7519,DATA_GOC!$E:$E,$C7519,DATA_GOC!$F:$F,"Xuất nội bộ từ téc",DATA_GOC!$B:$B,"&gt;="&amp;$D7519,DATA_GOC!$B:$B,"&lt;="&amp;$E7519))</f>
        <v/>
      </c>
      <c r="J7519" s="59">
        <f t="shared" si="28"/>
        <v>0</v>
      </c>
      <c r="K7519" s="59">
        <f t="shared" si="29"/>
        <v>0</v>
      </c>
      <c r="L7519" s="59">
        <f t="shared" si="30"/>
        <v>0</v>
      </c>
      <c r="M7519" s="59">
        <f t="shared" si="31"/>
        <v>0</v>
      </c>
    </row>
    <row r="7520" ht="15.0" hidden="1" customHeight="1">
      <c r="A7520" s="59">
        <f t="shared" si="20"/>
        <v>122</v>
      </c>
      <c r="B7520" s="59" t="str">
        <f t="shared" si="21"/>
        <v/>
      </c>
      <c r="C7520" s="59" t="str">
        <f t="shared" si="22"/>
        <v/>
      </c>
      <c r="D7520" s="45" t="str">
        <f t="shared" si="23"/>
        <v/>
      </c>
      <c r="E7520" s="45" t="str">
        <f t="shared" si="24"/>
        <v/>
      </c>
      <c r="F7520" s="59" t="str">
        <f t="shared" si="25"/>
        <v/>
      </c>
      <c r="G7520" s="59" t="str">
        <f t="shared" si="26"/>
        <v/>
      </c>
      <c r="H7520" s="59" t="str">
        <f t="shared" si="27"/>
        <v>28C05661</v>
      </c>
      <c r="I7520" s="59" t="str">
        <f>IF(OR($A7520="",$C7520="",$D7520="",$E7520="",$H7520=""),"",SUMIFS(DATA_GOC!$H:$H,DATA_GOC!$A:$A,"BOM",DATA_GOC!$D:$D,$H7520,DATA_GOC!$E:$E,$C7520,DATA_GOC!$F:$F,"Xuất nội bộ từ téc",DATA_GOC!$B:$B,"&gt;="&amp;$D7520,DATA_GOC!$B:$B,"&lt;="&amp;$E7520))</f>
        <v/>
      </c>
      <c r="J7520" s="59">
        <f t="shared" si="28"/>
        <v>0</v>
      </c>
      <c r="K7520" s="59">
        <f t="shared" si="29"/>
        <v>0</v>
      </c>
      <c r="L7520" s="59">
        <f t="shared" si="30"/>
        <v>0</v>
      </c>
      <c r="M7520" s="59">
        <f t="shared" si="31"/>
        <v>0</v>
      </c>
    </row>
    <row r="7521" ht="15.0" hidden="1" customHeight="1">
      <c r="A7521" s="59">
        <f t="shared" si="20"/>
        <v>122</v>
      </c>
      <c r="B7521" s="59" t="str">
        <f t="shared" si="21"/>
        <v/>
      </c>
      <c r="C7521" s="59" t="str">
        <f t="shared" si="22"/>
        <v/>
      </c>
      <c r="D7521" s="45" t="str">
        <f t="shared" si="23"/>
        <v/>
      </c>
      <c r="E7521" s="45" t="str">
        <f t="shared" si="24"/>
        <v/>
      </c>
      <c r="F7521" s="59" t="str">
        <f t="shared" si="25"/>
        <v/>
      </c>
      <c r="G7521" s="59" t="str">
        <f t="shared" si="26"/>
        <v/>
      </c>
      <c r="H7521" s="59" t="str">
        <f t="shared" si="27"/>
        <v>28C05739</v>
      </c>
      <c r="I7521" s="59" t="str">
        <f>IF(OR($A7521="",$C7521="",$D7521="",$E7521="",$H7521=""),"",SUMIFS(DATA_GOC!$H:$H,DATA_GOC!$A:$A,"BOM",DATA_GOC!$D:$D,$H7521,DATA_GOC!$E:$E,$C7521,DATA_GOC!$F:$F,"Xuất nội bộ từ téc",DATA_GOC!$B:$B,"&gt;="&amp;$D7521,DATA_GOC!$B:$B,"&lt;="&amp;$E7521))</f>
        <v/>
      </c>
      <c r="J7521" s="59">
        <f t="shared" si="28"/>
        <v>0</v>
      </c>
      <c r="K7521" s="59">
        <f t="shared" si="29"/>
        <v>0</v>
      </c>
      <c r="L7521" s="59">
        <f t="shared" si="30"/>
        <v>0</v>
      </c>
      <c r="M7521" s="59">
        <f t="shared" si="31"/>
        <v>0</v>
      </c>
    </row>
    <row r="7522" ht="15.0" hidden="1" customHeight="1">
      <c r="A7522" s="59">
        <f t="shared" si="20"/>
        <v>122</v>
      </c>
      <c r="B7522" s="59" t="str">
        <f t="shared" si="21"/>
        <v/>
      </c>
      <c r="C7522" s="59" t="str">
        <f t="shared" si="22"/>
        <v/>
      </c>
      <c r="D7522" s="45" t="str">
        <f t="shared" si="23"/>
        <v/>
      </c>
      <c r="E7522" s="45" t="str">
        <f t="shared" si="24"/>
        <v/>
      </c>
      <c r="F7522" s="59" t="str">
        <f t="shared" si="25"/>
        <v/>
      </c>
      <c r="G7522" s="59" t="str">
        <f t="shared" si="26"/>
        <v/>
      </c>
      <c r="H7522" s="59" t="str">
        <f t="shared" si="27"/>
        <v>28C06369</v>
      </c>
      <c r="I7522" s="59" t="str">
        <f>IF(OR($A7522="",$C7522="",$D7522="",$E7522="",$H7522=""),"",SUMIFS(DATA_GOC!$H:$H,DATA_GOC!$A:$A,"BOM",DATA_GOC!$D:$D,$H7522,DATA_GOC!$E:$E,$C7522,DATA_GOC!$F:$F,"Xuất nội bộ từ téc",DATA_GOC!$B:$B,"&gt;="&amp;$D7522,DATA_GOC!$B:$B,"&lt;="&amp;$E7522))</f>
        <v/>
      </c>
      <c r="J7522" s="59">
        <f t="shared" si="28"/>
        <v>0</v>
      </c>
      <c r="K7522" s="59">
        <f t="shared" si="29"/>
        <v>0</v>
      </c>
      <c r="L7522" s="59">
        <f t="shared" si="30"/>
        <v>0</v>
      </c>
      <c r="M7522" s="59">
        <f t="shared" si="31"/>
        <v>0</v>
      </c>
    </row>
    <row r="7523" ht="15.0" hidden="1" customHeight="1">
      <c r="A7523" s="59">
        <f t="shared" si="20"/>
        <v>122</v>
      </c>
      <c r="B7523" s="59" t="str">
        <f t="shared" si="21"/>
        <v/>
      </c>
      <c r="C7523" s="59" t="str">
        <f t="shared" si="22"/>
        <v/>
      </c>
      <c r="D7523" s="45" t="str">
        <f t="shared" si="23"/>
        <v/>
      </c>
      <c r="E7523" s="45" t="str">
        <f t="shared" si="24"/>
        <v/>
      </c>
      <c r="F7523" s="59" t="str">
        <f t="shared" si="25"/>
        <v/>
      </c>
      <c r="G7523" s="59" t="str">
        <f t="shared" si="26"/>
        <v/>
      </c>
      <c r="H7523" s="59" t="str">
        <f t="shared" si="27"/>
        <v>28C06447</v>
      </c>
      <c r="I7523" s="59" t="str">
        <f>IF(OR($A7523="",$C7523="",$D7523="",$E7523="",$H7523=""),"",SUMIFS(DATA_GOC!$H:$H,DATA_GOC!$A:$A,"BOM",DATA_GOC!$D:$D,$H7523,DATA_GOC!$E:$E,$C7523,DATA_GOC!$F:$F,"Xuất nội bộ từ téc",DATA_GOC!$B:$B,"&gt;="&amp;$D7523,DATA_GOC!$B:$B,"&lt;="&amp;$E7523))</f>
        <v/>
      </c>
      <c r="J7523" s="59">
        <f t="shared" si="28"/>
        <v>0</v>
      </c>
      <c r="K7523" s="59">
        <f t="shared" si="29"/>
        <v>0</v>
      </c>
      <c r="L7523" s="59">
        <f t="shared" si="30"/>
        <v>0</v>
      </c>
      <c r="M7523" s="59">
        <f t="shared" si="31"/>
        <v>0</v>
      </c>
    </row>
    <row r="7524" ht="15.0" hidden="1" customHeight="1">
      <c r="A7524" s="59">
        <f t="shared" si="20"/>
        <v>122</v>
      </c>
      <c r="B7524" s="59" t="str">
        <f t="shared" si="21"/>
        <v/>
      </c>
      <c r="C7524" s="59" t="str">
        <f t="shared" si="22"/>
        <v/>
      </c>
      <c r="D7524" s="45" t="str">
        <f t="shared" si="23"/>
        <v/>
      </c>
      <c r="E7524" s="45" t="str">
        <f t="shared" si="24"/>
        <v/>
      </c>
      <c r="F7524" s="59" t="str">
        <f t="shared" si="25"/>
        <v/>
      </c>
      <c r="G7524" s="59" t="str">
        <f t="shared" si="26"/>
        <v/>
      </c>
      <c r="H7524" s="59" t="str">
        <f t="shared" si="27"/>
        <v>28H00003</v>
      </c>
      <c r="I7524" s="59" t="str">
        <f>IF(OR($A7524="",$C7524="",$D7524="",$E7524="",$H7524=""),"",SUMIFS(DATA_GOC!$H:$H,DATA_GOC!$A:$A,"BOM",DATA_GOC!$D:$D,$H7524,DATA_GOC!$E:$E,$C7524,DATA_GOC!$F:$F,"Xuất nội bộ từ téc",DATA_GOC!$B:$B,"&gt;="&amp;$D7524,DATA_GOC!$B:$B,"&lt;="&amp;$E7524))</f>
        <v/>
      </c>
      <c r="J7524" s="59">
        <f t="shared" si="28"/>
        <v>0</v>
      </c>
      <c r="K7524" s="59">
        <f t="shared" si="29"/>
        <v>0</v>
      </c>
      <c r="L7524" s="59">
        <f t="shared" si="30"/>
        <v>0</v>
      </c>
      <c r="M7524" s="59">
        <f t="shared" si="31"/>
        <v>0</v>
      </c>
    </row>
    <row r="7525" ht="15.0" hidden="1" customHeight="1">
      <c r="A7525" s="59">
        <f t="shared" si="20"/>
        <v>122</v>
      </c>
      <c r="B7525" s="59" t="str">
        <f t="shared" si="21"/>
        <v/>
      </c>
      <c r="C7525" s="59" t="str">
        <f t="shared" si="22"/>
        <v/>
      </c>
      <c r="D7525" s="45" t="str">
        <f t="shared" si="23"/>
        <v/>
      </c>
      <c r="E7525" s="45" t="str">
        <f t="shared" si="24"/>
        <v/>
      </c>
      <c r="F7525" s="59" t="str">
        <f t="shared" si="25"/>
        <v/>
      </c>
      <c r="G7525" s="59" t="str">
        <f t="shared" si="26"/>
        <v/>
      </c>
      <c r="H7525" s="59" t="str">
        <f t="shared" si="27"/>
        <v>28H00061</v>
      </c>
      <c r="I7525" s="59" t="str">
        <f>IF(OR($A7525="",$C7525="",$D7525="",$E7525="",$H7525=""),"",SUMIFS(DATA_GOC!$H:$H,DATA_GOC!$A:$A,"BOM",DATA_GOC!$D:$D,$H7525,DATA_GOC!$E:$E,$C7525,DATA_GOC!$F:$F,"Xuất nội bộ từ téc",DATA_GOC!$B:$B,"&gt;="&amp;$D7525,DATA_GOC!$B:$B,"&lt;="&amp;$E7525))</f>
        <v/>
      </c>
      <c r="J7525" s="59">
        <f t="shared" si="28"/>
        <v>0</v>
      </c>
      <c r="K7525" s="59">
        <f t="shared" si="29"/>
        <v>0</v>
      </c>
      <c r="L7525" s="59">
        <f t="shared" si="30"/>
        <v>0</v>
      </c>
      <c r="M7525" s="59">
        <f t="shared" si="31"/>
        <v>0</v>
      </c>
    </row>
    <row r="7526" ht="15.0" hidden="1" customHeight="1">
      <c r="A7526" s="59">
        <f t="shared" si="20"/>
        <v>122</v>
      </c>
      <c r="B7526" s="59" t="str">
        <f t="shared" si="21"/>
        <v/>
      </c>
      <c r="C7526" s="59" t="str">
        <f t="shared" si="22"/>
        <v/>
      </c>
      <c r="D7526" s="45" t="str">
        <f t="shared" si="23"/>
        <v/>
      </c>
      <c r="E7526" s="45" t="str">
        <f t="shared" si="24"/>
        <v/>
      </c>
      <c r="F7526" s="59" t="str">
        <f t="shared" si="25"/>
        <v/>
      </c>
      <c r="G7526" s="59" t="str">
        <f t="shared" si="26"/>
        <v/>
      </c>
      <c r="H7526" s="59" t="str">
        <f t="shared" si="27"/>
        <v>28H00354</v>
      </c>
      <c r="I7526" s="59" t="str">
        <f>IF(OR($A7526="",$C7526="",$D7526="",$E7526="",$H7526=""),"",SUMIFS(DATA_GOC!$H:$H,DATA_GOC!$A:$A,"BOM",DATA_GOC!$D:$D,$H7526,DATA_GOC!$E:$E,$C7526,DATA_GOC!$F:$F,"Xuất nội bộ từ téc",DATA_GOC!$B:$B,"&gt;="&amp;$D7526,DATA_GOC!$B:$B,"&lt;="&amp;$E7526))</f>
        <v/>
      </c>
      <c r="J7526" s="59">
        <f t="shared" si="28"/>
        <v>0</v>
      </c>
      <c r="K7526" s="59">
        <f t="shared" si="29"/>
        <v>0</v>
      </c>
      <c r="L7526" s="59">
        <f t="shared" si="30"/>
        <v>0</v>
      </c>
      <c r="M7526" s="59">
        <f t="shared" si="31"/>
        <v>0</v>
      </c>
    </row>
    <row r="7527" ht="15.0" hidden="1" customHeight="1">
      <c r="A7527" s="59">
        <f t="shared" si="20"/>
        <v>122</v>
      </c>
      <c r="B7527" s="59" t="str">
        <f t="shared" si="21"/>
        <v/>
      </c>
      <c r="C7527" s="59" t="str">
        <f t="shared" si="22"/>
        <v/>
      </c>
      <c r="D7527" s="45" t="str">
        <f t="shared" si="23"/>
        <v/>
      </c>
      <c r="E7527" s="45" t="str">
        <f t="shared" si="24"/>
        <v/>
      </c>
      <c r="F7527" s="59" t="str">
        <f t="shared" si="25"/>
        <v/>
      </c>
      <c r="G7527" s="59" t="str">
        <f t="shared" si="26"/>
        <v/>
      </c>
      <c r="H7527" s="59" t="str">
        <f t="shared" si="27"/>
        <v>28H00603</v>
      </c>
      <c r="I7527" s="59" t="str">
        <f>IF(OR($A7527="",$C7527="",$D7527="",$E7527="",$H7527=""),"",SUMIFS(DATA_GOC!$H:$H,DATA_GOC!$A:$A,"BOM",DATA_GOC!$D:$D,$H7527,DATA_GOC!$E:$E,$C7527,DATA_GOC!$F:$F,"Xuất nội bộ từ téc",DATA_GOC!$B:$B,"&gt;="&amp;$D7527,DATA_GOC!$B:$B,"&lt;="&amp;$E7527))</f>
        <v/>
      </c>
      <c r="J7527" s="59">
        <f t="shared" si="28"/>
        <v>0</v>
      </c>
      <c r="K7527" s="59">
        <f t="shared" si="29"/>
        <v>0</v>
      </c>
      <c r="L7527" s="59">
        <f t="shared" si="30"/>
        <v>0</v>
      </c>
      <c r="M7527" s="59">
        <f t="shared" si="31"/>
        <v>0</v>
      </c>
    </row>
    <row r="7528" ht="15.0" hidden="1" customHeight="1">
      <c r="A7528" s="59">
        <f t="shared" si="20"/>
        <v>122</v>
      </c>
      <c r="B7528" s="59" t="str">
        <f t="shared" si="21"/>
        <v/>
      </c>
      <c r="C7528" s="59" t="str">
        <f t="shared" si="22"/>
        <v/>
      </c>
      <c r="D7528" s="45" t="str">
        <f t="shared" si="23"/>
        <v/>
      </c>
      <c r="E7528" s="45" t="str">
        <f t="shared" si="24"/>
        <v/>
      </c>
      <c r="F7528" s="59" t="str">
        <f t="shared" si="25"/>
        <v/>
      </c>
      <c r="G7528" s="59" t="str">
        <f t="shared" si="26"/>
        <v/>
      </c>
      <c r="H7528" s="59" t="str">
        <f t="shared" si="27"/>
        <v>28H00609</v>
      </c>
      <c r="I7528" s="59" t="str">
        <f>IF(OR($A7528="",$C7528="",$D7528="",$E7528="",$H7528=""),"",SUMIFS(DATA_GOC!$H:$H,DATA_GOC!$A:$A,"BOM",DATA_GOC!$D:$D,$H7528,DATA_GOC!$E:$E,$C7528,DATA_GOC!$F:$F,"Xuất nội bộ từ téc",DATA_GOC!$B:$B,"&gt;="&amp;$D7528,DATA_GOC!$B:$B,"&lt;="&amp;$E7528))</f>
        <v/>
      </c>
      <c r="J7528" s="59">
        <f t="shared" si="28"/>
        <v>0</v>
      </c>
      <c r="K7528" s="59">
        <f t="shared" si="29"/>
        <v>0</v>
      </c>
      <c r="L7528" s="59">
        <f t="shared" si="30"/>
        <v>0</v>
      </c>
      <c r="M7528" s="59">
        <f t="shared" si="31"/>
        <v>0</v>
      </c>
    </row>
    <row r="7529" ht="15.0" hidden="1" customHeight="1">
      <c r="A7529" s="59">
        <f t="shared" si="20"/>
        <v>122</v>
      </c>
      <c r="B7529" s="59" t="str">
        <f t="shared" si="21"/>
        <v/>
      </c>
      <c r="C7529" s="59" t="str">
        <f t="shared" si="22"/>
        <v/>
      </c>
      <c r="D7529" s="45" t="str">
        <f t="shared" si="23"/>
        <v/>
      </c>
      <c r="E7529" s="45" t="str">
        <f t="shared" si="24"/>
        <v/>
      </c>
      <c r="F7529" s="59" t="str">
        <f t="shared" si="25"/>
        <v/>
      </c>
      <c r="G7529" s="59" t="str">
        <f t="shared" si="26"/>
        <v/>
      </c>
      <c r="H7529" s="59" t="str">
        <f t="shared" si="27"/>
        <v>28H00669</v>
      </c>
      <c r="I7529" s="59" t="str">
        <f>IF(OR($A7529="",$C7529="",$D7529="",$E7529="",$H7529=""),"",SUMIFS(DATA_GOC!$H:$H,DATA_GOC!$A:$A,"BOM",DATA_GOC!$D:$D,$H7529,DATA_GOC!$E:$E,$C7529,DATA_GOC!$F:$F,"Xuất nội bộ từ téc",DATA_GOC!$B:$B,"&gt;="&amp;$D7529,DATA_GOC!$B:$B,"&lt;="&amp;$E7529))</f>
        <v/>
      </c>
      <c r="J7529" s="59">
        <f t="shared" si="28"/>
        <v>0</v>
      </c>
      <c r="K7529" s="59">
        <f t="shared" si="29"/>
        <v>0</v>
      </c>
      <c r="L7529" s="59">
        <f t="shared" si="30"/>
        <v>0</v>
      </c>
      <c r="M7529" s="59">
        <f t="shared" si="31"/>
        <v>0</v>
      </c>
    </row>
    <row r="7530" ht="15.0" hidden="1" customHeight="1">
      <c r="A7530" s="59">
        <f t="shared" si="20"/>
        <v>122</v>
      </c>
      <c r="B7530" s="59" t="str">
        <f t="shared" si="21"/>
        <v/>
      </c>
      <c r="C7530" s="59" t="str">
        <f t="shared" si="22"/>
        <v/>
      </c>
      <c r="D7530" s="45" t="str">
        <f t="shared" si="23"/>
        <v/>
      </c>
      <c r="E7530" s="45" t="str">
        <f t="shared" si="24"/>
        <v/>
      </c>
      <c r="F7530" s="59" t="str">
        <f t="shared" si="25"/>
        <v/>
      </c>
      <c r="G7530" s="59" t="str">
        <f t="shared" si="26"/>
        <v/>
      </c>
      <c r="H7530" s="59" t="str">
        <f t="shared" si="27"/>
        <v>28H00680</v>
      </c>
      <c r="I7530" s="59" t="str">
        <f>IF(OR($A7530="",$C7530="",$D7530="",$E7530="",$H7530=""),"",SUMIFS(DATA_GOC!$H:$H,DATA_GOC!$A:$A,"BOM",DATA_GOC!$D:$D,$H7530,DATA_GOC!$E:$E,$C7530,DATA_GOC!$F:$F,"Xuất nội bộ từ téc",DATA_GOC!$B:$B,"&gt;="&amp;$D7530,DATA_GOC!$B:$B,"&lt;="&amp;$E7530))</f>
        <v/>
      </c>
      <c r="J7530" s="59">
        <f t="shared" si="28"/>
        <v>0</v>
      </c>
      <c r="K7530" s="59">
        <f t="shared" si="29"/>
        <v>0</v>
      </c>
      <c r="L7530" s="59">
        <f t="shared" si="30"/>
        <v>0</v>
      </c>
      <c r="M7530" s="59">
        <f t="shared" si="31"/>
        <v>0</v>
      </c>
    </row>
    <row r="7531" ht="15.0" hidden="1" customHeight="1">
      <c r="A7531" s="59">
        <f t="shared" si="20"/>
        <v>122</v>
      </c>
      <c r="B7531" s="59" t="str">
        <f t="shared" si="21"/>
        <v/>
      </c>
      <c r="C7531" s="59" t="str">
        <f t="shared" si="22"/>
        <v/>
      </c>
      <c r="D7531" s="45" t="str">
        <f t="shared" si="23"/>
        <v/>
      </c>
      <c r="E7531" s="45" t="str">
        <f t="shared" si="24"/>
        <v/>
      </c>
      <c r="F7531" s="59" t="str">
        <f t="shared" si="25"/>
        <v/>
      </c>
      <c r="G7531" s="59" t="str">
        <f t="shared" si="26"/>
        <v/>
      </c>
      <c r="H7531" s="59" t="str">
        <f t="shared" si="27"/>
        <v>28H01070</v>
      </c>
      <c r="I7531" s="59" t="str">
        <f>IF(OR($A7531="",$C7531="",$D7531="",$E7531="",$H7531=""),"",SUMIFS(DATA_GOC!$H:$H,DATA_GOC!$A:$A,"BOM",DATA_GOC!$D:$D,$H7531,DATA_GOC!$E:$E,$C7531,DATA_GOC!$F:$F,"Xuất nội bộ từ téc",DATA_GOC!$B:$B,"&gt;="&amp;$D7531,DATA_GOC!$B:$B,"&lt;="&amp;$E7531))</f>
        <v/>
      </c>
      <c r="J7531" s="59">
        <f t="shared" si="28"/>
        <v>0</v>
      </c>
      <c r="K7531" s="59">
        <f t="shared" si="29"/>
        <v>0</v>
      </c>
      <c r="L7531" s="59">
        <f t="shared" si="30"/>
        <v>0</v>
      </c>
      <c r="M7531" s="59">
        <f t="shared" si="31"/>
        <v>0</v>
      </c>
    </row>
    <row r="7532" ht="15.0" hidden="1" customHeight="1">
      <c r="A7532" s="59">
        <f t="shared" si="20"/>
        <v>122</v>
      </c>
      <c r="B7532" s="59" t="str">
        <f t="shared" si="21"/>
        <v/>
      </c>
      <c r="C7532" s="59" t="str">
        <f t="shared" si="22"/>
        <v/>
      </c>
      <c r="D7532" s="45" t="str">
        <f t="shared" si="23"/>
        <v/>
      </c>
      <c r="E7532" s="45" t="str">
        <f t="shared" si="24"/>
        <v/>
      </c>
      <c r="F7532" s="59" t="str">
        <f t="shared" si="25"/>
        <v/>
      </c>
      <c r="G7532" s="59" t="str">
        <f t="shared" si="26"/>
        <v/>
      </c>
      <c r="H7532" s="59" t="str">
        <f t="shared" si="27"/>
        <v>28H01364</v>
      </c>
      <c r="I7532" s="59" t="str">
        <f>IF(OR($A7532="",$C7532="",$D7532="",$E7532="",$H7532=""),"",SUMIFS(DATA_GOC!$H:$H,DATA_GOC!$A:$A,"BOM",DATA_GOC!$D:$D,$H7532,DATA_GOC!$E:$E,$C7532,DATA_GOC!$F:$F,"Xuất nội bộ từ téc",DATA_GOC!$B:$B,"&gt;="&amp;$D7532,DATA_GOC!$B:$B,"&lt;="&amp;$E7532))</f>
        <v/>
      </c>
      <c r="J7532" s="59">
        <f t="shared" si="28"/>
        <v>0</v>
      </c>
      <c r="K7532" s="59">
        <f t="shared" si="29"/>
        <v>0</v>
      </c>
      <c r="L7532" s="59">
        <f t="shared" si="30"/>
        <v>0</v>
      </c>
      <c r="M7532" s="59">
        <f t="shared" si="31"/>
        <v>0</v>
      </c>
    </row>
    <row r="7533" ht="15.0" hidden="1" customHeight="1">
      <c r="A7533" s="59">
        <f t="shared" si="20"/>
        <v>122</v>
      </c>
      <c r="B7533" s="59" t="str">
        <f t="shared" si="21"/>
        <v/>
      </c>
      <c r="C7533" s="59" t="str">
        <f t="shared" si="22"/>
        <v/>
      </c>
      <c r="D7533" s="45" t="str">
        <f t="shared" si="23"/>
        <v/>
      </c>
      <c r="E7533" s="45" t="str">
        <f t="shared" si="24"/>
        <v/>
      </c>
      <c r="F7533" s="59" t="str">
        <f t="shared" si="25"/>
        <v/>
      </c>
      <c r="G7533" s="59" t="str">
        <f t="shared" si="26"/>
        <v/>
      </c>
      <c r="H7533" s="59" t="str">
        <f t="shared" si="27"/>
        <v>29E17269</v>
      </c>
      <c r="I7533" s="59" t="str">
        <f>IF(OR($A7533="",$C7533="",$D7533="",$E7533="",$H7533=""),"",SUMIFS(DATA_GOC!$H:$H,DATA_GOC!$A:$A,"BOM",DATA_GOC!$D:$D,$H7533,DATA_GOC!$E:$E,$C7533,DATA_GOC!$F:$F,"Xuất nội bộ từ téc",DATA_GOC!$B:$B,"&gt;="&amp;$D7533,DATA_GOC!$B:$B,"&lt;="&amp;$E7533))</f>
        <v/>
      </c>
      <c r="J7533" s="59">
        <f t="shared" si="28"/>
        <v>0</v>
      </c>
      <c r="K7533" s="59">
        <f t="shared" si="29"/>
        <v>0</v>
      </c>
      <c r="L7533" s="59">
        <f t="shared" si="30"/>
        <v>0</v>
      </c>
      <c r="M7533" s="59">
        <f t="shared" si="31"/>
        <v>0</v>
      </c>
    </row>
    <row r="7534" ht="15.0" hidden="1" customHeight="1">
      <c r="A7534" s="59">
        <f t="shared" si="20"/>
        <v>122</v>
      </c>
      <c r="B7534" s="59" t="str">
        <f t="shared" si="21"/>
        <v/>
      </c>
      <c r="C7534" s="59" t="str">
        <f t="shared" si="22"/>
        <v/>
      </c>
      <c r="D7534" s="45" t="str">
        <f t="shared" si="23"/>
        <v/>
      </c>
      <c r="E7534" s="45" t="str">
        <f t="shared" si="24"/>
        <v/>
      </c>
      <c r="F7534" s="59" t="str">
        <f t="shared" si="25"/>
        <v/>
      </c>
      <c r="G7534" s="59" t="str">
        <f t="shared" si="26"/>
        <v/>
      </c>
      <c r="H7534" s="59" t="str">
        <f t="shared" si="27"/>
        <v>29E17273</v>
      </c>
      <c r="I7534" s="59" t="str">
        <f>IF(OR($A7534="",$C7534="",$D7534="",$E7534="",$H7534=""),"",SUMIFS(DATA_GOC!$H:$H,DATA_GOC!$A:$A,"BOM",DATA_GOC!$D:$D,$H7534,DATA_GOC!$E:$E,$C7534,DATA_GOC!$F:$F,"Xuất nội bộ từ téc",DATA_GOC!$B:$B,"&gt;="&amp;$D7534,DATA_GOC!$B:$B,"&lt;="&amp;$E7534))</f>
        <v/>
      </c>
      <c r="J7534" s="59">
        <f t="shared" si="28"/>
        <v>0</v>
      </c>
      <c r="K7534" s="59">
        <f t="shared" si="29"/>
        <v>0</v>
      </c>
      <c r="L7534" s="59">
        <f t="shared" si="30"/>
        <v>0</v>
      </c>
      <c r="M7534" s="59">
        <f t="shared" si="31"/>
        <v>0</v>
      </c>
    </row>
    <row r="7535" ht="15.0" hidden="1" customHeight="1">
      <c r="A7535" s="59">
        <f t="shared" si="20"/>
        <v>122</v>
      </c>
      <c r="B7535" s="59" t="str">
        <f t="shared" si="21"/>
        <v/>
      </c>
      <c r="C7535" s="59" t="str">
        <f t="shared" si="22"/>
        <v/>
      </c>
      <c r="D7535" s="45" t="str">
        <f t="shared" si="23"/>
        <v/>
      </c>
      <c r="E7535" s="45" t="str">
        <f t="shared" si="24"/>
        <v/>
      </c>
      <c r="F7535" s="59" t="str">
        <f t="shared" si="25"/>
        <v/>
      </c>
      <c r="G7535" s="59" t="str">
        <f t="shared" si="26"/>
        <v/>
      </c>
      <c r="H7535" s="59" t="str">
        <f t="shared" si="27"/>
        <v>29E17410</v>
      </c>
      <c r="I7535" s="59" t="str">
        <f>IF(OR($A7535="",$C7535="",$D7535="",$E7535="",$H7535=""),"",SUMIFS(DATA_GOC!$H:$H,DATA_GOC!$A:$A,"BOM",DATA_GOC!$D:$D,$H7535,DATA_GOC!$E:$E,$C7535,DATA_GOC!$F:$F,"Xuất nội bộ từ téc",DATA_GOC!$B:$B,"&gt;="&amp;$D7535,DATA_GOC!$B:$B,"&lt;="&amp;$E7535))</f>
        <v/>
      </c>
      <c r="J7535" s="59">
        <f t="shared" si="28"/>
        <v>0</v>
      </c>
      <c r="K7535" s="59">
        <f t="shared" si="29"/>
        <v>0</v>
      </c>
      <c r="L7535" s="59">
        <f t="shared" si="30"/>
        <v>0</v>
      </c>
      <c r="M7535" s="59">
        <f t="shared" si="31"/>
        <v>0</v>
      </c>
    </row>
    <row r="7536" ht="15.0" hidden="1" customHeight="1">
      <c r="A7536" s="59">
        <f t="shared" si="20"/>
        <v>122</v>
      </c>
      <c r="B7536" s="59" t="str">
        <f t="shared" si="21"/>
        <v/>
      </c>
      <c r="C7536" s="59" t="str">
        <f t="shared" si="22"/>
        <v/>
      </c>
      <c r="D7536" s="45" t="str">
        <f t="shared" si="23"/>
        <v/>
      </c>
      <c r="E7536" s="45" t="str">
        <f t="shared" si="24"/>
        <v/>
      </c>
      <c r="F7536" s="59" t="str">
        <f t="shared" si="25"/>
        <v/>
      </c>
      <c r="G7536" s="59" t="str">
        <f t="shared" si="26"/>
        <v/>
      </c>
      <c r="H7536" s="59" t="str">
        <f t="shared" si="27"/>
        <v>29E17417</v>
      </c>
      <c r="I7536" s="59" t="str">
        <f>IF(OR($A7536="",$C7536="",$D7536="",$E7536="",$H7536=""),"",SUMIFS(DATA_GOC!$H:$H,DATA_GOC!$A:$A,"BOM",DATA_GOC!$D:$D,$H7536,DATA_GOC!$E:$E,$C7536,DATA_GOC!$F:$F,"Xuất nội bộ từ téc",DATA_GOC!$B:$B,"&gt;="&amp;$D7536,DATA_GOC!$B:$B,"&lt;="&amp;$E7536))</f>
        <v/>
      </c>
      <c r="J7536" s="59">
        <f t="shared" si="28"/>
        <v>0</v>
      </c>
      <c r="K7536" s="59">
        <f t="shared" si="29"/>
        <v>0</v>
      </c>
      <c r="L7536" s="59">
        <f t="shared" si="30"/>
        <v>0</v>
      </c>
      <c r="M7536" s="59">
        <f t="shared" si="31"/>
        <v>0</v>
      </c>
    </row>
    <row r="7537" ht="15.0" hidden="1" customHeight="1">
      <c r="A7537" s="59">
        <f t="shared" si="20"/>
        <v>122</v>
      </c>
      <c r="B7537" s="59" t="str">
        <f t="shared" si="21"/>
        <v/>
      </c>
      <c r="C7537" s="59" t="str">
        <f t="shared" si="22"/>
        <v/>
      </c>
      <c r="D7537" s="45" t="str">
        <f t="shared" si="23"/>
        <v/>
      </c>
      <c r="E7537" s="45" t="str">
        <f t="shared" si="24"/>
        <v/>
      </c>
      <c r="F7537" s="59" t="str">
        <f t="shared" si="25"/>
        <v/>
      </c>
      <c r="G7537" s="59" t="str">
        <f t="shared" si="26"/>
        <v/>
      </c>
      <c r="H7537" s="59" t="str">
        <f t="shared" si="27"/>
        <v>29E17539</v>
      </c>
      <c r="I7537" s="59" t="str">
        <f>IF(OR($A7537="",$C7537="",$D7537="",$E7537="",$H7537=""),"",SUMIFS(DATA_GOC!$H:$H,DATA_GOC!$A:$A,"BOM",DATA_GOC!$D:$D,$H7537,DATA_GOC!$E:$E,$C7537,DATA_GOC!$F:$F,"Xuất nội bộ từ téc",DATA_GOC!$B:$B,"&gt;="&amp;$D7537,DATA_GOC!$B:$B,"&lt;="&amp;$E7537))</f>
        <v/>
      </c>
      <c r="J7537" s="59">
        <f t="shared" si="28"/>
        <v>0</v>
      </c>
      <c r="K7537" s="59">
        <f t="shared" si="29"/>
        <v>0</v>
      </c>
      <c r="L7537" s="59">
        <f t="shared" si="30"/>
        <v>0</v>
      </c>
      <c r="M7537" s="59">
        <f t="shared" si="31"/>
        <v>0</v>
      </c>
    </row>
    <row r="7538" ht="15.0" hidden="1" customHeight="1">
      <c r="A7538" s="59">
        <f t="shared" si="20"/>
        <v>122</v>
      </c>
      <c r="B7538" s="59" t="str">
        <f t="shared" si="21"/>
        <v/>
      </c>
      <c r="C7538" s="59" t="str">
        <f t="shared" si="22"/>
        <v/>
      </c>
      <c r="D7538" s="45" t="str">
        <f t="shared" si="23"/>
        <v/>
      </c>
      <c r="E7538" s="45" t="str">
        <f t="shared" si="24"/>
        <v/>
      </c>
      <c r="F7538" s="59" t="str">
        <f t="shared" si="25"/>
        <v/>
      </c>
      <c r="G7538" s="59" t="str">
        <f t="shared" si="26"/>
        <v/>
      </c>
      <c r="H7538" s="59" t="str">
        <f t="shared" si="27"/>
        <v>29E18160</v>
      </c>
      <c r="I7538" s="59" t="str">
        <f>IF(OR($A7538="",$C7538="",$D7538="",$E7538="",$H7538=""),"",SUMIFS(DATA_GOC!$H:$H,DATA_GOC!$A:$A,"BOM",DATA_GOC!$D:$D,$H7538,DATA_GOC!$E:$E,$C7538,DATA_GOC!$F:$F,"Xuất nội bộ từ téc",DATA_GOC!$B:$B,"&gt;="&amp;$D7538,DATA_GOC!$B:$B,"&lt;="&amp;$E7538))</f>
        <v/>
      </c>
      <c r="J7538" s="59">
        <f t="shared" si="28"/>
        <v>0</v>
      </c>
      <c r="K7538" s="59">
        <f t="shared" si="29"/>
        <v>0</v>
      </c>
      <c r="L7538" s="59">
        <f t="shared" si="30"/>
        <v>0</v>
      </c>
      <c r="M7538" s="59">
        <f t="shared" si="31"/>
        <v>0</v>
      </c>
    </row>
    <row r="7539" ht="15.0" hidden="1" customHeight="1">
      <c r="A7539" s="59">
        <f t="shared" si="20"/>
        <v>122</v>
      </c>
      <c r="B7539" s="59" t="str">
        <f t="shared" si="21"/>
        <v/>
      </c>
      <c r="C7539" s="59" t="str">
        <f t="shared" si="22"/>
        <v/>
      </c>
      <c r="D7539" s="45" t="str">
        <f t="shared" si="23"/>
        <v/>
      </c>
      <c r="E7539" s="45" t="str">
        <f t="shared" si="24"/>
        <v/>
      </c>
      <c r="F7539" s="59" t="str">
        <f t="shared" si="25"/>
        <v/>
      </c>
      <c r="G7539" s="59" t="str">
        <f t="shared" si="26"/>
        <v/>
      </c>
      <c r="H7539" s="59" t="str">
        <f t="shared" si="27"/>
        <v>Công trình Asphalt</v>
      </c>
      <c r="I7539" s="59" t="str">
        <f>IF(OR($A7539="",$C7539="",$D7539="",$E7539="",$H7539=""),"",SUMIFS(DATA_GOC!$H:$H,DATA_GOC!$A:$A,"BOM",DATA_GOC!$D:$D,$H7539,DATA_GOC!$E:$E,$C7539,DATA_GOC!$F:$F,"Xuất nội bộ từ téc",DATA_GOC!$B:$B,"&gt;="&amp;$D7539,DATA_GOC!$B:$B,"&lt;="&amp;$E7539))</f>
        <v/>
      </c>
      <c r="J7539" s="59">
        <f t="shared" si="28"/>
        <v>0</v>
      </c>
      <c r="K7539" s="59">
        <f t="shared" si="29"/>
        <v>0</v>
      </c>
      <c r="L7539" s="59">
        <f t="shared" si="30"/>
        <v>0</v>
      </c>
      <c r="M7539" s="59">
        <f t="shared" si="31"/>
        <v>0</v>
      </c>
    </row>
    <row r="7540" ht="15.0" hidden="1" customHeight="1">
      <c r="A7540" s="59">
        <f t="shared" si="20"/>
        <v>122</v>
      </c>
      <c r="B7540" s="59" t="str">
        <f t="shared" si="21"/>
        <v/>
      </c>
      <c r="C7540" s="59" t="str">
        <f t="shared" si="22"/>
        <v/>
      </c>
      <c r="D7540" s="45" t="str">
        <f t="shared" si="23"/>
        <v/>
      </c>
      <c r="E7540" s="45" t="str">
        <f t="shared" si="24"/>
        <v/>
      </c>
      <c r="F7540" s="59" t="str">
        <f t="shared" si="25"/>
        <v/>
      </c>
      <c r="G7540" s="59" t="str">
        <f t="shared" si="26"/>
        <v/>
      </c>
      <c r="H7540" s="59" t="str">
        <f t="shared" si="27"/>
        <v>LG53F</v>
      </c>
      <c r="I7540" s="59" t="str">
        <f>IF(OR($A7540="",$C7540="",$D7540="",$E7540="",$H7540=""),"",SUMIFS(DATA_GOC!$H:$H,DATA_GOC!$A:$A,"BOM",DATA_GOC!$D:$D,$H7540,DATA_GOC!$E:$E,$C7540,DATA_GOC!$F:$F,"Xuất nội bộ từ téc",DATA_GOC!$B:$B,"&gt;="&amp;$D7540,DATA_GOC!$B:$B,"&lt;="&amp;$E7540))</f>
        <v/>
      </c>
      <c r="J7540" s="59">
        <f t="shared" si="28"/>
        <v>0</v>
      </c>
      <c r="K7540" s="59">
        <f t="shared" si="29"/>
        <v>0</v>
      </c>
      <c r="L7540" s="59">
        <f t="shared" si="30"/>
        <v>0</v>
      </c>
      <c r="M7540" s="59">
        <f t="shared" si="31"/>
        <v>0</v>
      </c>
    </row>
    <row r="7541" ht="15.0" hidden="1" customHeight="1">
      <c r="A7541" s="59">
        <f t="shared" si="20"/>
        <v>122</v>
      </c>
      <c r="B7541" s="59" t="str">
        <f t="shared" si="21"/>
        <v/>
      </c>
      <c r="C7541" s="59" t="str">
        <f t="shared" si="22"/>
        <v/>
      </c>
      <c r="D7541" s="45" t="str">
        <f t="shared" si="23"/>
        <v/>
      </c>
      <c r="E7541" s="45" t="str">
        <f t="shared" si="24"/>
        <v/>
      </c>
      <c r="F7541" s="59" t="str">
        <f t="shared" si="25"/>
        <v/>
      </c>
      <c r="G7541" s="59" t="str">
        <f t="shared" si="26"/>
        <v/>
      </c>
      <c r="H7541" s="59" t="str">
        <f t="shared" si="27"/>
        <v>Máy phát điện</v>
      </c>
      <c r="I7541" s="59" t="str">
        <f>IF(OR($A7541="",$C7541="",$D7541="",$E7541="",$H7541=""),"",SUMIFS(DATA_GOC!$H:$H,DATA_GOC!$A:$A,"BOM",DATA_GOC!$D:$D,$H7541,DATA_GOC!$E:$E,$C7541,DATA_GOC!$F:$F,"Xuất nội bộ từ téc",DATA_GOC!$B:$B,"&gt;="&amp;$D7541,DATA_GOC!$B:$B,"&lt;="&amp;$E7541))</f>
        <v/>
      </c>
      <c r="J7541" s="59">
        <f t="shared" si="28"/>
        <v>0</v>
      </c>
      <c r="K7541" s="59">
        <f t="shared" si="29"/>
        <v>0</v>
      </c>
      <c r="L7541" s="59">
        <f t="shared" si="30"/>
        <v>0</v>
      </c>
      <c r="M7541" s="59">
        <f t="shared" si="31"/>
        <v>0</v>
      </c>
    </row>
    <row r="7542" ht="15.0" hidden="1" customHeight="1">
      <c r="A7542" s="59">
        <f t="shared" si="20"/>
        <v>122</v>
      </c>
      <c r="B7542" s="59" t="str">
        <f t="shared" si="21"/>
        <v/>
      </c>
      <c r="C7542" s="59" t="str">
        <f t="shared" si="22"/>
        <v/>
      </c>
      <c r="D7542" s="45" t="str">
        <f t="shared" si="23"/>
        <v/>
      </c>
      <c r="E7542" s="45" t="str">
        <f t="shared" si="24"/>
        <v/>
      </c>
      <c r="F7542" s="59" t="str">
        <f t="shared" si="25"/>
        <v/>
      </c>
      <c r="G7542" s="59" t="str">
        <f t="shared" si="26"/>
        <v/>
      </c>
      <c r="H7542" s="59" t="str">
        <f t="shared" si="27"/>
        <v>Máy rải thảm</v>
      </c>
      <c r="I7542" s="59" t="str">
        <f>IF(OR($A7542="",$C7542="",$D7542="",$E7542="",$H7542=""),"",SUMIFS(DATA_GOC!$H:$H,DATA_GOC!$A:$A,"BOM",DATA_GOC!$D:$D,$H7542,DATA_GOC!$E:$E,$C7542,DATA_GOC!$F:$F,"Xuất nội bộ từ téc",DATA_GOC!$B:$B,"&gt;="&amp;$D7542,DATA_GOC!$B:$B,"&lt;="&amp;$E7542))</f>
        <v/>
      </c>
      <c r="J7542" s="59">
        <f t="shared" si="28"/>
        <v>0</v>
      </c>
      <c r="K7542" s="59">
        <f t="shared" si="29"/>
        <v>0</v>
      </c>
      <c r="L7542" s="59">
        <f t="shared" si="30"/>
        <v>0</v>
      </c>
      <c r="M7542" s="59">
        <f t="shared" si="31"/>
        <v>0</v>
      </c>
    </row>
    <row r="7543" ht="15.0" hidden="1" customHeight="1">
      <c r="A7543" s="59">
        <f t="shared" si="20"/>
        <v>122</v>
      </c>
      <c r="B7543" s="59" t="str">
        <f t="shared" si="21"/>
        <v/>
      </c>
      <c r="C7543" s="59" t="str">
        <f t="shared" si="22"/>
        <v/>
      </c>
      <c r="D7543" s="45" t="str">
        <f t="shared" si="23"/>
        <v/>
      </c>
      <c r="E7543" s="45" t="str">
        <f t="shared" si="24"/>
        <v/>
      </c>
      <c r="F7543" s="59" t="str">
        <f t="shared" si="25"/>
        <v/>
      </c>
      <c r="G7543" s="59" t="str">
        <f t="shared" si="26"/>
        <v/>
      </c>
      <c r="H7543" s="59" t="str">
        <f t="shared" si="27"/>
        <v>Xúc Đào</v>
      </c>
      <c r="I7543" s="59" t="str">
        <f>IF(OR($A7543="",$C7543="",$D7543="",$E7543="",$H7543=""),"",SUMIFS(DATA_GOC!$H:$H,DATA_GOC!$A:$A,"BOM",DATA_GOC!$D:$D,$H7543,DATA_GOC!$E:$E,$C7543,DATA_GOC!$F:$F,"Xuất nội bộ từ téc",DATA_GOC!$B:$B,"&gt;="&amp;$D7543,DATA_GOC!$B:$B,"&lt;="&amp;$E7543))</f>
        <v/>
      </c>
      <c r="J7543" s="59">
        <f t="shared" si="28"/>
        <v>0</v>
      </c>
      <c r="K7543" s="59">
        <f t="shared" si="29"/>
        <v>0</v>
      </c>
      <c r="L7543" s="59">
        <f t="shared" si="30"/>
        <v>0</v>
      </c>
      <c r="M7543" s="59">
        <f t="shared" si="31"/>
        <v>0</v>
      </c>
    </row>
    <row r="7544" ht="15.0" hidden="1" customHeight="1">
      <c r="A7544" s="59">
        <f t="shared" si="20"/>
        <v>122</v>
      </c>
      <c r="B7544" s="59" t="str">
        <f t="shared" si="21"/>
        <v/>
      </c>
      <c r="C7544" s="59" t="str">
        <f t="shared" si="22"/>
        <v/>
      </c>
      <c r="D7544" s="45" t="str">
        <f t="shared" si="23"/>
        <v/>
      </c>
      <c r="E7544" s="45" t="str">
        <f t="shared" si="24"/>
        <v/>
      </c>
      <c r="F7544" s="59" t="str">
        <f t="shared" si="25"/>
        <v/>
      </c>
      <c r="G7544" s="59" t="str">
        <f t="shared" si="26"/>
        <v/>
      </c>
      <c r="H7544" s="59" t="str">
        <f t="shared" si="27"/>
        <v>Xúclật asphalt</v>
      </c>
      <c r="I7544" s="59" t="str">
        <f>IF(OR($A7544="",$C7544="",$D7544="",$E7544="",$H7544=""),"",SUMIFS(DATA_GOC!$H:$H,DATA_GOC!$A:$A,"BOM",DATA_GOC!$D:$D,$H7544,DATA_GOC!$E:$E,$C7544,DATA_GOC!$F:$F,"Xuất nội bộ từ téc",DATA_GOC!$B:$B,"&gt;="&amp;$D7544,DATA_GOC!$B:$B,"&lt;="&amp;$E7544))</f>
        <v/>
      </c>
      <c r="J7544" s="59">
        <f t="shared" si="28"/>
        <v>0</v>
      </c>
      <c r="K7544" s="59">
        <f t="shared" si="29"/>
        <v>0</v>
      </c>
      <c r="L7544" s="59">
        <f t="shared" si="30"/>
        <v>0</v>
      </c>
      <c r="M7544" s="59">
        <f t="shared" si="31"/>
        <v>0</v>
      </c>
    </row>
    <row r="7545" ht="15.0" hidden="1" customHeight="1">
      <c r="A7545" s="59">
        <f t="shared" si="20"/>
        <v>122</v>
      </c>
      <c r="B7545" s="59" t="str">
        <f t="shared" si="21"/>
        <v/>
      </c>
      <c r="C7545" s="59" t="str">
        <f t="shared" si="22"/>
        <v/>
      </c>
      <c r="D7545" s="45" t="str">
        <f t="shared" si="23"/>
        <v/>
      </c>
      <c r="E7545" s="45" t="str">
        <f t="shared" si="24"/>
        <v/>
      </c>
      <c r="F7545" s="59" t="str">
        <f t="shared" si="25"/>
        <v/>
      </c>
      <c r="G7545" s="59" t="str">
        <f t="shared" si="26"/>
        <v/>
      </c>
      <c r="H7545" s="59" t="str">
        <f t="shared" si="27"/>
        <v>Xúclật855H</v>
      </c>
      <c r="I7545" s="59" t="str">
        <f>IF(OR($A7545="",$C7545="",$D7545="",$E7545="",$H7545=""),"",SUMIFS(DATA_GOC!$H:$H,DATA_GOC!$A:$A,"BOM",DATA_GOC!$D:$D,$H7545,DATA_GOC!$E:$E,$C7545,DATA_GOC!$F:$F,"Xuất nội bộ từ téc",DATA_GOC!$B:$B,"&gt;="&amp;$D7545,DATA_GOC!$B:$B,"&lt;="&amp;$E7545))</f>
        <v/>
      </c>
      <c r="J7545" s="59">
        <f t="shared" si="28"/>
        <v>0</v>
      </c>
      <c r="K7545" s="59">
        <f t="shared" si="29"/>
        <v>0</v>
      </c>
      <c r="L7545" s="59">
        <f t="shared" si="30"/>
        <v>0</v>
      </c>
      <c r="M7545" s="59">
        <f t="shared" si="31"/>
        <v>0</v>
      </c>
    </row>
    <row r="7546" ht="15.0" hidden="1" customHeight="1">
      <c r="A7546" s="59">
        <f t="shared" si="20"/>
        <v>122</v>
      </c>
      <c r="B7546" s="59" t="str">
        <f t="shared" si="21"/>
        <v/>
      </c>
      <c r="C7546" s="59" t="str">
        <f t="shared" si="22"/>
        <v/>
      </c>
      <c r="D7546" s="45" t="str">
        <f t="shared" si="23"/>
        <v/>
      </c>
      <c r="E7546" s="45" t="str">
        <f t="shared" si="24"/>
        <v/>
      </c>
      <c r="F7546" s="59" t="str">
        <f t="shared" si="25"/>
        <v/>
      </c>
      <c r="G7546" s="59" t="str">
        <f t="shared" si="26"/>
        <v/>
      </c>
      <c r="H7546" s="59" t="str">
        <f t="shared" si="27"/>
        <v>Xúclật855N</v>
      </c>
      <c r="I7546" s="59" t="str">
        <f>IF(OR($A7546="",$C7546="",$D7546="",$E7546="",$H7546=""),"",SUMIFS(DATA_GOC!$H:$H,DATA_GOC!$A:$A,"BOM",DATA_GOC!$D:$D,$H7546,DATA_GOC!$E:$E,$C7546,DATA_GOC!$F:$F,"Xuất nội bộ từ téc",DATA_GOC!$B:$B,"&gt;="&amp;$D7546,DATA_GOC!$B:$B,"&lt;="&amp;$E7546))</f>
        <v/>
      </c>
      <c r="J7546" s="59">
        <f t="shared" si="28"/>
        <v>0</v>
      </c>
      <c r="K7546" s="59">
        <f t="shared" si="29"/>
        <v>0</v>
      </c>
      <c r="L7546" s="59">
        <f t="shared" si="30"/>
        <v>0</v>
      </c>
      <c r="M7546" s="59">
        <f t="shared" si="31"/>
        <v>0</v>
      </c>
    </row>
    <row r="7547" ht="15.0" hidden="1" customHeight="1">
      <c r="A7547" s="59">
        <f t="shared" si="20"/>
        <v>122</v>
      </c>
      <c r="B7547" s="59" t="str">
        <f t="shared" si="21"/>
        <v/>
      </c>
      <c r="C7547" s="59" t="str">
        <f t="shared" si="22"/>
        <v/>
      </c>
      <c r="D7547" s="45" t="str">
        <f t="shared" si="23"/>
        <v/>
      </c>
      <c r="E7547" s="45" t="str">
        <f t="shared" si="24"/>
        <v/>
      </c>
      <c r="F7547" s="59" t="str">
        <f t="shared" si="25"/>
        <v/>
      </c>
      <c r="G7547" s="59" t="str">
        <f t="shared" si="26"/>
        <v/>
      </c>
      <c r="H7547" s="59" t="str">
        <f t="shared" si="27"/>
        <v>Cát nghiền</v>
      </c>
      <c r="I7547" s="59" t="str">
        <f>IF(OR($A7547="",$C7547="",$D7547="",$E7547="",$H7547=""),"",SUMIFS(DATA_GOC!$H:$H,DATA_GOC!$A:$A,"BOM",DATA_GOC!$D:$D,$H7547,DATA_GOC!$E:$E,$C7547,DATA_GOC!$F:$F,"Xuất nội bộ từ téc",DATA_GOC!$B:$B,"&gt;="&amp;$D7547,DATA_GOC!$B:$B,"&lt;="&amp;$E7547))</f>
        <v/>
      </c>
      <c r="J7547" s="59">
        <f t="shared" si="28"/>
        <v>0</v>
      </c>
      <c r="K7547" s="59">
        <f t="shared" si="29"/>
        <v>0</v>
      </c>
      <c r="L7547" s="59">
        <f t="shared" si="30"/>
        <v>0</v>
      </c>
      <c r="M7547" s="59">
        <f t="shared" si="31"/>
        <v>0</v>
      </c>
    </row>
    <row r="7548" ht="15.0" hidden="1" customHeight="1">
      <c r="A7548" s="59">
        <f t="shared" si="20"/>
        <v>122</v>
      </c>
      <c r="B7548" s="59" t="str">
        <f t="shared" si="21"/>
        <v/>
      </c>
      <c r="C7548" s="59" t="str">
        <f t="shared" si="22"/>
        <v/>
      </c>
      <c r="D7548" s="45" t="str">
        <f t="shared" si="23"/>
        <v/>
      </c>
      <c r="E7548" s="45" t="str">
        <f t="shared" si="24"/>
        <v/>
      </c>
      <c r="F7548" s="59" t="str">
        <f t="shared" si="25"/>
        <v/>
      </c>
      <c r="G7548" s="59" t="str">
        <f t="shared" si="26"/>
        <v/>
      </c>
      <c r="H7548" s="59" t="str">
        <f t="shared" si="27"/>
        <v>28C02973</v>
      </c>
      <c r="I7548" s="59" t="str">
        <f>IF(OR($A7548="",$C7548="",$D7548="",$E7548="",$H7548=""),"",SUMIFS(DATA_GOC!$H:$H,DATA_GOC!$A:$A,"BOM",DATA_GOC!$D:$D,$H7548,DATA_GOC!$E:$E,$C7548,DATA_GOC!$F:$F,"Xuất nội bộ từ téc",DATA_GOC!$B:$B,"&gt;="&amp;$D7548,DATA_GOC!$B:$B,"&lt;="&amp;$E7548))</f>
        <v/>
      </c>
      <c r="J7548" s="59">
        <f t="shared" si="28"/>
        <v>0</v>
      </c>
      <c r="K7548" s="59">
        <f t="shared" si="29"/>
        <v>0</v>
      </c>
      <c r="L7548" s="59">
        <f t="shared" si="30"/>
        <v>0</v>
      </c>
      <c r="M7548" s="59">
        <f t="shared" si="31"/>
        <v>0</v>
      </c>
    </row>
    <row r="7549" ht="15.0" hidden="1" customHeight="1">
      <c r="A7549" s="59">
        <f t="shared" si="20"/>
        <v>122</v>
      </c>
      <c r="B7549" s="59" t="str">
        <f t="shared" si="21"/>
        <v/>
      </c>
      <c r="C7549" s="59" t="str">
        <f t="shared" si="22"/>
        <v/>
      </c>
      <c r="D7549" s="45" t="str">
        <f t="shared" si="23"/>
        <v/>
      </c>
      <c r="E7549" s="45" t="str">
        <f t="shared" si="24"/>
        <v/>
      </c>
      <c r="F7549" s="59" t="str">
        <f t="shared" si="25"/>
        <v/>
      </c>
      <c r="G7549" s="59" t="str">
        <f t="shared" si="26"/>
        <v/>
      </c>
      <c r="H7549" s="59" t="str">
        <f t="shared" si="27"/>
        <v>28C03044</v>
      </c>
      <c r="I7549" s="59" t="str">
        <f>IF(OR($A7549="",$C7549="",$D7549="",$E7549="",$H7549=""),"",SUMIFS(DATA_GOC!$H:$H,DATA_GOC!$A:$A,"BOM",DATA_GOC!$D:$D,$H7549,DATA_GOC!$E:$E,$C7549,DATA_GOC!$F:$F,"Xuất nội bộ từ téc",DATA_GOC!$B:$B,"&gt;="&amp;$D7549,DATA_GOC!$B:$B,"&lt;="&amp;$E7549))</f>
        <v/>
      </c>
      <c r="J7549" s="59">
        <f t="shared" si="28"/>
        <v>0</v>
      </c>
      <c r="K7549" s="59">
        <f t="shared" si="29"/>
        <v>0</v>
      </c>
      <c r="L7549" s="59">
        <f t="shared" si="30"/>
        <v>0</v>
      </c>
      <c r="M7549" s="59">
        <f t="shared" si="31"/>
        <v>0</v>
      </c>
    </row>
    <row r="7550" ht="15.0" hidden="1" customHeight="1">
      <c r="A7550" s="59">
        <f t="shared" si="20"/>
        <v>122</v>
      </c>
      <c r="B7550" s="59" t="str">
        <f t="shared" si="21"/>
        <v/>
      </c>
      <c r="C7550" s="59" t="str">
        <f t="shared" si="22"/>
        <v/>
      </c>
      <c r="D7550" s="45" t="str">
        <f t="shared" si="23"/>
        <v/>
      </c>
      <c r="E7550" s="45" t="str">
        <f t="shared" si="24"/>
        <v/>
      </c>
      <c r="F7550" s="59" t="str">
        <f t="shared" si="25"/>
        <v/>
      </c>
      <c r="G7550" s="59" t="str">
        <f t="shared" si="26"/>
        <v/>
      </c>
      <c r="H7550" s="59" t="str">
        <f t="shared" si="27"/>
        <v>Máy lu lốp</v>
      </c>
      <c r="I7550" s="59" t="str">
        <f>IF(OR($A7550="",$C7550="",$D7550="",$E7550="",$H7550=""),"",SUMIFS(DATA_GOC!$H:$H,DATA_GOC!$A:$A,"BOM",DATA_GOC!$D:$D,$H7550,DATA_GOC!$E:$E,$C7550,DATA_GOC!$F:$F,"Xuất nội bộ từ téc",DATA_GOC!$B:$B,"&gt;="&amp;$D7550,DATA_GOC!$B:$B,"&lt;="&amp;$E7550))</f>
        <v/>
      </c>
      <c r="J7550" s="59">
        <f t="shared" si="28"/>
        <v>0</v>
      </c>
      <c r="K7550" s="59">
        <f t="shared" si="29"/>
        <v>0</v>
      </c>
      <c r="L7550" s="59">
        <f t="shared" si="30"/>
        <v>0</v>
      </c>
      <c r="M7550" s="59">
        <f t="shared" si="31"/>
        <v>0</v>
      </c>
    </row>
    <row r="7551" ht="15.0" hidden="1" customHeight="1">
      <c r="A7551" s="59">
        <f t="shared" si="20"/>
        <v>122</v>
      </c>
      <c r="B7551" s="59" t="str">
        <f t="shared" si="21"/>
        <v/>
      </c>
      <c r="C7551" s="59" t="str">
        <f t="shared" si="22"/>
        <v/>
      </c>
      <c r="D7551" s="45" t="str">
        <f t="shared" si="23"/>
        <v/>
      </c>
      <c r="E7551" s="45" t="str">
        <f t="shared" si="24"/>
        <v/>
      </c>
      <c r="F7551" s="59" t="str">
        <f t="shared" si="25"/>
        <v/>
      </c>
      <c r="G7551" s="59" t="str">
        <f t="shared" si="26"/>
        <v/>
      </c>
      <c r="H7551" s="59" t="str">
        <f t="shared" si="27"/>
        <v>Xe 600148</v>
      </c>
      <c r="I7551" s="59" t="str">
        <f>IF(OR($A7551="",$C7551="",$D7551="",$E7551="",$H7551=""),"",SUMIFS(DATA_GOC!$H:$H,DATA_GOC!$A:$A,"BOM",DATA_GOC!$D:$D,$H7551,DATA_GOC!$E:$E,$C7551,DATA_GOC!$F:$F,"Xuất nội bộ từ téc",DATA_GOC!$B:$B,"&gt;="&amp;$D7551,DATA_GOC!$B:$B,"&lt;="&amp;$E7551))</f>
        <v/>
      </c>
      <c r="J7551" s="59">
        <f t="shared" si="28"/>
        <v>0</v>
      </c>
      <c r="K7551" s="59">
        <f t="shared" si="29"/>
        <v>0</v>
      </c>
      <c r="L7551" s="59">
        <f t="shared" si="30"/>
        <v>0</v>
      </c>
      <c r="M7551" s="59">
        <f t="shared" si="31"/>
        <v>0</v>
      </c>
    </row>
    <row r="7552" ht="15.0" hidden="1" customHeight="1">
      <c r="A7552" s="59">
        <f t="shared" si="20"/>
        <v>122</v>
      </c>
      <c r="B7552" s="59" t="str">
        <f t="shared" si="21"/>
        <v/>
      </c>
      <c r="C7552" s="59" t="str">
        <f t="shared" si="22"/>
        <v/>
      </c>
      <c r="D7552" s="45" t="str">
        <f t="shared" si="23"/>
        <v/>
      </c>
      <c r="E7552" s="45" t="str">
        <f t="shared" si="24"/>
        <v/>
      </c>
      <c r="F7552" s="59" t="str">
        <f t="shared" si="25"/>
        <v/>
      </c>
      <c r="G7552" s="59" t="str">
        <f t="shared" si="26"/>
        <v/>
      </c>
      <c r="H7552" s="59" t="str">
        <f t="shared" si="27"/>
        <v>Xe ben mới</v>
      </c>
      <c r="I7552" s="59" t="str">
        <f>IF(OR($A7552="",$C7552="",$D7552="",$E7552="",$H7552=""),"",SUMIFS(DATA_GOC!$H:$H,DATA_GOC!$A:$A,"BOM",DATA_GOC!$D:$D,$H7552,DATA_GOC!$E:$E,$C7552,DATA_GOC!$F:$F,"Xuất nội bộ từ téc",DATA_GOC!$B:$B,"&gt;="&amp;$D7552,DATA_GOC!$B:$B,"&lt;="&amp;$E7552))</f>
        <v/>
      </c>
      <c r="J7552" s="59">
        <f t="shared" si="28"/>
        <v>0</v>
      </c>
      <c r="K7552" s="59">
        <f t="shared" si="29"/>
        <v>0</v>
      </c>
      <c r="L7552" s="59">
        <f t="shared" si="30"/>
        <v>0</v>
      </c>
      <c r="M7552" s="59">
        <f t="shared" si="31"/>
        <v>0</v>
      </c>
    </row>
    <row r="7553" ht="15.0" hidden="1" customHeight="1">
      <c r="A7553" s="59">
        <f t="shared" si="20"/>
        <v>123</v>
      </c>
      <c r="B7553" s="59" t="str">
        <f t="shared" si="21"/>
        <v/>
      </c>
      <c r="C7553" s="59" t="str">
        <f t="shared" si="22"/>
        <v/>
      </c>
      <c r="D7553" s="45" t="str">
        <f t="shared" si="23"/>
        <v/>
      </c>
      <c r="E7553" s="45" t="str">
        <f t="shared" si="24"/>
        <v/>
      </c>
      <c r="F7553" s="59" t="str">
        <f t="shared" si="25"/>
        <v/>
      </c>
      <c r="G7553" s="59" t="str">
        <f t="shared" si="26"/>
        <v/>
      </c>
      <c r="H7553" s="59" t="str">
        <f t="shared" si="27"/>
        <v>19H09482</v>
      </c>
      <c r="I7553" s="59" t="str">
        <f>IF(OR($A7553="",$C7553="",$D7553="",$E7553="",$H7553=""),"",SUMIFS(DATA_GOC!$H:$H,DATA_GOC!$A:$A,"BOM",DATA_GOC!$D:$D,$H7553,DATA_GOC!$E:$E,$C7553,DATA_GOC!$F:$F,"Xuất nội bộ từ téc",DATA_GOC!$B:$B,"&gt;="&amp;$D7553,DATA_GOC!$B:$B,"&lt;="&amp;$E7553))</f>
        <v/>
      </c>
      <c r="J7553" s="59">
        <f t="shared" si="28"/>
        <v>0</v>
      </c>
      <c r="K7553" s="59">
        <f t="shared" si="29"/>
        <v>0</v>
      </c>
      <c r="L7553" s="59">
        <f t="shared" si="30"/>
        <v>0</v>
      </c>
      <c r="M7553" s="59">
        <f t="shared" si="31"/>
        <v>0</v>
      </c>
    </row>
    <row r="7554" ht="15.0" hidden="1" customHeight="1">
      <c r="A7554" s="59">
        <f t="shared" si="20"/>
        <v>123</v>
      </c>
      <c r="B7554" s="59" t="str">
        <f t="shared" si="21"/>
        <v/>
      </c>
      <c r="C7554" s="59" t="str">
        <f t="shared" si="22"/>
        <v/>
      </c>
      <c r="D7554" s="45" t="str">
        <f t="shared" si="23"/>
        <v/>
      </c>
      <c r="E7554" s="45" t="str">
        <f t="shared" si="24"/>
        <v/>
      </c>
      <c r="F7554" s="59" t="str">
        <f t="shared" si="25"/>
        <v/>
      </c>
      <c r="G7554" s="59" t="str">
        <f t="shared" si="26"/>
        <v/>
      </c>
      <c r="H7554" s="59" t="str">
        <f t="shared" si="27"/>
        <v>28A30696</v>
      </c>
      <c r="I7554" s="59" t="str">
        <f>IF(OR($A7554="",$C7554="",$D7554="",$E7554="",$H7554=""),"",SUMIFS(DATA_GOC!$H:$H,DATA_GOC!$A:$A,"BOM",DATA_GOC!$D:$D,$H7554,DATA_GOC!$E:$E,$C7554,DATA_GOC!$F:$F,"Xuất nội bộ từ téc",DATA_GOC!$B:$B,"&gt;="&amp;$D7554,DATA_GOC!$B:$B,"&lt;="&amp;$E7554))</f>
        <v/>
      </c>
      <c r="J7554" s="59">
        <f t="shared" si="28"/>
        <v>0</v>
      </c>
      <c r="K7554" s="59">
        <f t="shared" si="29"/>
        <v>0</v>
      </c>
      <c r="L7554" s="59">
        <f t="shared" si="30"/>
        <v>0</v>
      </c>
      <c r="M7554" s="59">
        <f t="shared" si="31"/>
        <v>0</v>
      </c>
    </row>
    <row r="7555" ht="15.0" hidden="1" customHeight="1">
      <c r="A7555" s="59">
        <f t="shared" si="20"/>
        <v>123</v>
      </c>
      <c r="B7555" s="59" t="str">
        <f t="shared" si="21"/>
        <v/>
      </c>
      <c r="C7555" s="59" t="str">
        <f t="shared" si="22"/>
        <v/>
      </c>
      <c r="D7555" s="45" t="str">
        <f t="shared" si="23"/>
        <v/>
      </c>
      <c r="E7555" s="45" t="str">
        <f t="shared" si="24"/>
        <v/>
      </c>
      <c r="F7555" s="59" t="str">
        <f t="shared" si="25"/>
        <v/>
      </c>
      <c r="G7555" s="59" t="str">
        <f t="shared" si="26"/>
        <v/>
      </c>
      <c r="H7555" s="59" t="str">
        <f t="shared" si="27"/>
        <v>28C00462</v>
      </c>
      <c r="I7555" s="59" t="str">
        <f>IF(OR($A7555="",$C7555="",$D7555="",$E7555="",$H7555=""),"",SUMIFS(DATA_GOC!$H:$H,DATA_GOC!$A:$A,"BOM",DATA_GOC!$D:$D,$H7555,DATA_GOC!$E:$E,$C7555,DATA_GOC!$F:$F,"Xuất nội bộ từ téc",DATA_GOC!$B:$B,"&gt;="&amp;$D7555,DATA_GOC!$B:$B,"&lt;="&amp;$E7555))</f>
        <v/>
      </c>
      <c r="J7555" s="59">
        <f t="shared" si="28"/>
        <v>0</v>
      </c>
      <c r="K7555" s="59">
        <f t="shared" si="29"/>
        <v>0</v>
      </c>
      <c r="L7555" s="59">
        <f t="shared" si="30"/>
        <v>0</v>
      </c>
      <c r="M7555" s="59">
        <f t="shared" si="31"/>
        <v>0</v>
      </c>
    </row>
    <row r="7556" ht="15.0" hidden="1" customHeight="1">
      <c r="A7556" s="59">
        <f t="shared" si="20"/>
        <v>123</v>
      </c>
      <c r="B7556" s="59" t="str">
        <f t="shared" si="21"/>
        <v/>
      </c>
      <c r="C7556" s="59" t="str">
        <f t="shared" si="22"/>
        <v/>
      </c>
      <c r="D7556" s="45" t="str">
        <f t="shared" si="23"/>
        <v/>
      </c>
      <c r="E7556" s="45" t="str">
        <f t="shared" si="24"/>
        <v/>
      </c>
      <c r="F7556" s="59" t="str">
        <f t="shared" si="25"/>
        <v/>
      </c>
      <c r="G7556" s="59" t="str">
        <f t="shared" si="26"/>
        <v/>
      </c>
      <c r="H7556" s="59" t="str">
        <f t="shared" si="27"/>
        <v>28C01165</v>
      </c>
      <c r="I7556" s="59" t="str">
        <f>IF(OR($A7556="",$C7556="",$D7556="",$E7556="",$H7556=""),"",SUMIFS(DATA_GOC!$H:$H,DATA_GOC!$A:$A,"BOM",DATA_GOC!$D:$D,$H7556,DATA_GOC!$E:$E,$C7556,DATA_GOC!$F:$F,"Xuất nội bộ từ téc",DATA_GOC!$B:$B,"&gt;="&amp;$D7556,DATA_GOC!$B:$B,"&lt;="&amp;$E7556))</f>
        <v/>
      </c>
      <c r="J7556" s="59">
        <f t="shared" si="28"/>
        <v>0</v>
      </c>
      <c r="K7556" s="59">
        <f t="shared" si="29"/>
        <v>0</v>
      </c>
      <c r="L7556" s="59">
        <f t="shared" si="30"/>
        <v>0</v>
      </c>
      <c r="M7556" s="59">
        <f t="shared" si="31"/>
        <v>0</v>
      </c>
    </row>
    <row r="7557" ht="15.0" hidden="1" customHeight="1">
      <c r="A7557" s="59">
        <f t="shared" si="20"/>
        <v>123</v>
      </c>
      <c r="B7557" s="59" t="str">
        <f t="shared" si="21"/>
        <v/>
      </c>
      <c r="C7557" s="59" t="str">
        <f t="shared" si="22"/>
        <v/>
      </c>
      <c r="D7557" s="45" t="str">
        <f t="shared" si="23"/>
        <v/>
      </c>
      <c r="E7557" s="45" t="str">
        <f t="shared" si="24"/>
        <v/>
      </c>
      <c r="F7557" s="59" t="str">
        <f t="shared" si="25"/>
        <v/>
      </c>
      <c r="G7557" s="59" t="str">
        <f t="shared" si="26"/>
        <v/>
      </c>
      <c r="H7557" s="59" t="str">
        <f t="shared" si="27"/>
        <v>28C01406</v>
      </c>
      <c r="I7557" s="59" t="str">
        <f>IF(OR($A7557="",$C7557="",$D7557="",$E7557="",$H7557=""),"",SUMIFS(DATA_GOC!$H:$H,DATA_GOC!$A:$A,"BOM",DATA_GOC!$D:$D,$H7557,DATA_GOC!$E:$E,$C7557,DATA_GOC!$F:$F,"Xuất nội bộ từ téc",DATA_GOC!$B:$B,"&gt;="&amp;$D7557,DATA_GOC!$B:$B,"&lt;="&amp;$E7557))</f>
        <v/>
      </c>
      <c r="J7557" s="59">
        <f t="shared" si="28"/>
        <v>0</v>
      </c>
      <c r="K7557" s="59">
        <f t="shared" si="29"/>
        <v>0</v>
      </c>
      <c r="L7557" s="59">
        <f t="shared" si="30"/>
        <v>0</v>
      </c>
      <c r="M7557" s="59">
        <f t="shared" si="31"/>
        <v>0</v>
      </c>
    </row>
    <row r="7558" ht="15.0" hidden="1" customHeight="1">
      <c r="A7558" s="59">
        <f t="shared" si="20"/>
        <v>123</v>
      </c>
      <c r="B7558" s="59" t="str">
        <f t="shared" si="21"/>
        <v/>
      </c>
      <c r="C7558" s="59" t="str">
        <f t="shared" si="22"/>
        <v/>
      </c>
      <c r="D7558" s="45" t="str">
        <f t="shared" si="23"/>
        <v/>
      </c>
      <c r="E7558" s="45" t="str">
        <f t="shared" si="24"/>
        <v/>
      </c>
      <c r="F7558" s="59" t="str">
        <f t="shared" si="25"/>
        <v/>
      </c>
      <c r="G7558" s="59" t="str">
        <f t="shared" si="26"/>
        <v/>
      </c>
      <c r="H7558" s="59" t="str">
        <f t="shared" si="27"/>
        <v>28C01544</v>
      </c>
      <c r="I7558" s="59" t="str">
        <f>IF(OR($A7558="",$C7558="",$D7558="",$E7558="",$H7558=""),"",SUMIFS(DATA_GOC!$H:$H,DATA_GOC!$A:$A,"BOM",DATA_GOC!$D:$D,$H7558,DATA_GOC!$E:$E,$C7558,DATA_GOC!$F:$F,"Xuất nội bộ từ téc",DATA_GOC!$B:$B,"&gt;="&amp;$D7558,DATA_GOC!$B:$B,"&lt;="&amp;$E7558))</f>
        <v/>
      </c>
      <c r="J7558" s="59">
        <f t="shared" si="28"/>
        <v>0</v>
      </c>
      <c r="K7558" s="59">
        <f t="shared" si="29"/>
        <v>0</v>
      </c>
      <c r="L7558" s="59">
        <f t="shared" si="30"/>
        <v>0</v>
      </c>
      <c r="M7558" s="59">
        <f t="shared" si="31"/>
        <v>0</v>
      </c>
    </row>
    <row r="7559" ht="15.0" hidden="1" customHeight="1">
      <c r="A7559" s="59">
        <f t="shared" si="20"/>
        <v>123</v>
      </c>
      <c r="B7559" s="59" t="str">
        <f t="shared" si="21"/>
        <v/>
      </c>
      <c r="C7559" s="59" t="str">
        <f t="shared" si="22"/>
        <v/>
      </c>
      <c r="D7559" s="45" t="str">
        <f t="shared" si="23"/>
        <v/>
      </c>
      <c r="E7559" s="45" t="str">
        <f t="shared" si="24"/>
        <v/>
      </c>
      <c r="F7559" s="59" t="str">
        <f t="shared" si="25"/>
        <v/>
      </c>
      <c r="G7559" s="59" t="str">
        <f t="shared" si="26"/>
        <v/>
      </c>
      <c r="H7559" s="59" t="str">
        <f t="shared" si="27"/>
        <v>28C01622</v>
      </c>
      <c r="I7559" s="59" t="str">
        <f>IF(OR($A7559="",$C7559="",$D7559="",$E7559="",$H7559=""),"",SUMIFS(DATA_GOC!$H:$H,DATA_GOC!$A:$A,"BOM",DATA_GOC!$D:$D,$H7559,DATA_GOC!$E:$E,$C7559,DATA_GOC!$F:$F,"Xuất nội bộ từ téc",DATA_GOC!$B:$B,"&gt;="&amp;$D7559,DATA_GOC!$B:$B,"&lt;="&amp;$E7559))</f>
        <v/>
      </c>
      <c r="J7559" s="59">
        <f t="shared" si="28"/>
        <v>0</v>
      </c>
      <c r="K7559" s="59">
        <f t="shared" si="29"/>
        <v>0</v>
      </c>
      <c r="L7559" s="59">
        <f t="shared" si="30"/>
        <v>0</v>
      </c>
      <c r="M7559" s="59">
        <f t="shared" si="31"/>
        <v>0</v>
      </c>
    </row>
    <row r="7560" ht="15.0" hidden="1" customHeight="1">
      <c r="A7560" s="59">
        <f t="shared" si="20"/>
        <v>123</v>
      </c>
      <c r="B7560" s="59" t="str">
        <f t="shared" si="21"/>
        <v/>
      </c>
      <c r="C7560" s="59" t="str">
        <f t="shared" si="22"/>
        <v/>
      </c>
      <c r="D7560" s="45" t="str">
        <f t="shared" si="23"/>
        <v/>
      </c>
      <c r="E7560" s="45" t="str">
        <f t="shared" si="24"/>
        <v/>
      </c>
      <c r="F7560" s="59" t="str">
        <f t="shared" si="25"/>
        <v/>
      </c>
      <c r="G7560" s="59" t="str">
        <f t="shared" si="26"/>
        <v/>
      </c>
      <c r="H7560" s="59" t="str">
        <f t="shared" si="27"/>
        <v>28C01647</v>
      </c>
      <c r="I7560" s="59" t="str">
        <f>IF(OR($A7560="",$C7560="",$D7560="",$E7560="",$H7560=""),"",SUMIFS(DATA_GOC!$H:$H,DATA_GOC!$A:$A,"BOM",DATA_GOC!$D:$D,$H7560,DATA_GOC!$E:$E,$C7560,DATA_GOC!$F:$F,"Xuất nội bộ từ téc",DATA_GOC!$B:$B,"&gt;="&amp;$D7560,DATA_GOC!$B:$B,"&lt;="&amp;$E7560))</f>
        <v/>
      </c>
      <c r="J7560" s="59">
        <f t="shared" si="28"/>
        <v>0</v>
      </c>
      <c r="K7560" s="59">
        <f t="shared" si="29"/>
        <v>0</v>
      </c>
      <c r="L7560" s="59">
        <f t="shared" si="30"/>
        <v>0</v>
      </c>
      <c r="M7560" s="59">
        <f t="shared" si="31"/>
        <v>0</v>
      </c>
    </row>
    <row r="7561" ht="15.0" hidden="1" customHeight="1">
      <c r="A7561" s="59">
        <f t="shared" si="20"/>
        <v>123</v>
      </c>
      <c r="B7561" s="59" t="str">
        <f t="shared" si="21"/>
        <v/>
      </c>
      <c r="C7561" s="59" t="str">
        <f t="shared" si="22"/>
        <v/>
      </c>
      <c r="D7561" s="45" t="str">
        <f t="shared" si="23"/>
        <v/>
      </c>
      <c r="E7561" s="45" t="str">
        <f t="shared" si="24"/>
        <v/>
      </c>
      <c r="F7561" s="59" t="str">
        <f t="shared" si="25"/>
        <v/>
      </c>
      <c r="G7561" s="59" t="str">
        <f t="shared" si="26"/>
        <v/>
      </c>
      <c r="H7561" s="59" t="str">
        <f t="shared" si="27"/>
        <v>28C01731</v>
      </c>
      <c r="I7561" s="59" t="str">
        <f>IF(OR($A7561="",$C7561="",$D7561="",$E7561="",$H7561=""),"",SUMIFS(DATA_GOC!$H:$H,DATA_GOC!$A:$A,"BOM",DATA_GOC!$D:$D,$H7561,DATA_GOC!$E:$E,$C7561,DATA_GOC!$F:$F,"Xuất nội bộ từ téc",DATA_GOC!$B:$B,"&gt;="&amp;$D7561,DATA_GOC!$B:$B,"&lt;="&amp;$E7561))</f>
        <v/>
      </c>
      <c r="J7561" s="59">
        <f t="shared" si="28"/>
        <v>0</v>
      </c>
      <c r="K7561" s="59">
        <f t="shared" si="29"/>
        <v>0</v>
      </c>
      <c r="L7561" s="59">
        <f t="shared" si="30"/>
        <v>0</v>
      </c>
      <c r="M7561" s="59">
        <f t="shared" si="31"/>
        <v>0</v>
      </c>
    </row>
    <row r="7562" ht="15.0" hidden="1" customHeight="1">
      <c r="A7562" s="59">
        <f t="shared" si="20"/>
        <v>123</v>
      </c>
      <c r="B7562" s="59" t="str">
        <f t="shared" si="21"/>
        <v/>
      </c>
      <c r="C7562" s="59" t="str">
        <f t="shared" si="22"/>
        <v/>
      </c>
      <c r="D7562" s="45" t="str">
        <f t="shared" si="23"/>
        <v/>
      </c>
      <c r="E7562" s="45" t="str">
        <f t="shared" si="24"/>
        <v/>
      </c>
      <c r="F7562" s="59" t="str">
        <f t="shared" si="25"/>
        <v/>
      </c>
      <c r="G7562" s="59" t="str">
        <f t="shared" si="26"/>
        <v/>
      </c>
      <c r="H7562" s="59" t="str">
        <f t="shared" si="27"/>
        <v>28C01743</v>
      </c>
      <c r="I7562" s="59" t="str">
        <f>IF(OR($A7562="",$C7562="",$D7562="",$E7562="",$H7562=""),"",SUMIFS(DATA_GOC!$H:$H,DATA_GOC!$A:$A,"BOM",DATA_GOC!$D:$D,$H7562,DATA_GOC!$E:$E,$C7562,DATA_GOC!$F:$F,"Xuất nội bộ từ téc",DATA_GOC!$B:$B,"&gt;="&amp;$D7562,DATA_GOC!$B:$B,"&lt;="&amp;$E7562))</f>
        <v/>
      </c>
      <c r="J7562" s="59">
        <f t="shared" si="28"/>
        <v>0</v>
      </c>
      <c r="K7562" s="59">
        <f t="shared" si="29"/>
        <v>0</v>
      </c>
      <c r="L7562" s="59">
        <f t="shared" si="30"/>
        <v>0</v>
      </c>
      <c r="M7562" s="59">
        <f t="shared" si="31"/>
        <v>0</v>
      </c>
    </row>
    <row r="7563" ht="15.0" hidden="1" customHeight="1">
      <c r="A7563" s="59">
        <f t="shared" si="20"/>
        <v>123</v>
      </c>
      <c r="B7563" s="59" t="str">
        <f t="shared" si="21"/>
        <v/>
      </c>
      <c r="C7563" s="59" t="str">
        <f t="shared" si="22"/>
        <v/>
      </c>
      <c r="D7563" s="45" t="str">
        <f t="shared" si="23"/>
        <v/>
      </c>
      <c r="E7563" s="45" t="str">
        <f t="shared" si="24"/>
        <v/>
      </c>
      <c r="F7563" s="59" t="str">
        <f t="shared" si="25"/>
        <v/>
      </c>
      <c r="G7563" s="59" t="str">
        <f t="shared" si="26"/>
        <v/>
      </c>
      <c r="H7563" s="59" t="str">
        <f t="shared" si="27"/>
        <v>28C02106</v>
      </c>
      <c r="I7563" s="59" t="str">
        <f>IF(OR($A7563="",$C7563="",$D7563="",$E7563="",$H7563=""),"",SUMIFS(DATA_GOC!$H:$H,DATA_GOC!$A:$A,"BOM",DATA_GOC!$D:$D,$H7563,DATA_GOC!$E:$E,$C7563,DATA_GOC!$F:$F,"Xuất nội bộ từ téc",DATA_GOC!$B:$B,"&gt;="&amp;$D7563,DATA_GOC!$B:$B,"&lt;="&amp;$E7563))</f>
        <v/>
      </c>
      <c r="J7563" s="59">
        <f t="shared" si="28"/>
        <v>0</v>
      </c>
      <c r="K7563" s="59">
        <f t="shared" si="29"/>
        <v>0</v>
      </c>
      <c r="L7563" s="59">
        <f t="shared" si="30"/>
        <v>0</v>
      </c>
      <c r="M7563" s="59">
        <f t="shared" si="31"/>
        <v>0</v>
      </c>
    </row>
    <row r="7564" ht="15.0" hidden="1" customHeight="1">
      <c r="A7564" s="59">
        <f t="shared" si="20"/>
        <v>123</v>
      </c>
      <c r="B7564" s="59" t="str">
        <f t="shared" si="21"/>
        <v/>
      </c>
      <c r="C7564" s="59" t="str">
        <f t="shared" si="22"/>
        <v/>
      </c>
      <c r="D7564" s="45" t="str">
        <f t="shared" si="23"/>
        <v/>
      </c>
      <c r="E7564" s="45" t="str">
        <f t="shared" si="24"/>
        <v/>
      </c>
      <c r="F7564" s="59" t="str">
        <f t="shared" si="25"/>
        <v/>
      </c>
      <c r="G7564" s="59" t="str">
        <f t="shared" si="26"/>
        <v/>
      </c>
      <c r="H7564" s="59" t="str">
        <f t="shared" si="27"/>
        <v>28C02410</v>
      </c>
      <c r="I7564" s="59" t="str">
        <f>IF(OR($A7564="",$C7564="",$D7564="",$E7564="",$H7564=""),"",SUMIFS(DATA_GOC!$H:$H,DATA_GOC!$A:$A,"BOM",DATA_GOC!$D:$D,$H7564,DATA_GOC!$E:$E,$C7564,DATA_GOC!$F:$F,"Xuất nội bộ từ téc",DATA_GOC!$B:$B,"&gt;="&amp;$D7564,DATA_GOC!$B:$B,"&lt;="&amp;$E7564))</f>
        <v/>
      </c>
      <c r="J7564" s="59">
        <f t="shared" si="28"/>
        <v>0</v>
      </c>
      <c r="K7564" s="59">
        <f t="shared" si="29"/>
        <v>0</v>
      </c>
      <c r="L7564" s="59">
        <f t="shared" si="30"/>
        <v>0</v>
      </c>
      <c r="M7564" s="59">
        <f t="shared" si="31"/>
        <v>0</v>
      </c>
    </row>
    <row r="7565" ht="15.0" hidden="1" customHeight="1">
      <c r="A7565" s="59">
        <f t="shared" si="20"/>
        <v>123</v>
      </c>
      <c r="B7565" s="59" t="str">
        <f t="shared" si="21"/>
        <v/>
      </c>
      <c r="C7565" s="59" t="str">
        <f t="shared" si="22"/>
        <v/>
      </c>
      <c r="D7565" s="45" t="str">
        <f t="shared" si="23"/>
        <v/>
      </c>
      <c r="E7565" s="45" t="str">
        <f t="shared" si="24"/>
        <v/>
      </c>
      <c r="F7565" s="59" t="str">
        <f t="shared" si="25"/>
        <v/>
      </c>
      <c r="G7565" s="59" t="str">
        <f t="shared" si="26"/>
        <v/>
      </c>
      <c r="H7565" s="59" t="str">
        <f t="shared" si="27"/>
        <v>28C02545</v>
      </c>
      <c r="I7565" s="59" t="str">
        <f>IF(OR($A7565="",$C7565="",$D7565="",$E7565="",$H7565=""),"",SUMIFS(DATA_GOC!$H:$H,DATA_GOC!$A:$A,"BOM",DATA_GOC!$D:$D,$H7565,DATA_GOC!$E:$E,$C7565,DATA_GOC!$F:$F,"Xuất nội bộ từ téc",DATA_GOC!$B:$B,"&gt;="&amp;$D7565,DATA_GOC!$B:$B,"&lt;="&amp;$E7565))</f>
        <v/>
      </c>
      <c r="J7565" s="59">
        <f t="shared" si="28"/>
        <v>0</v>
      </c>
      <c r="K7565" s="59">
        <f t="shared" si="29"/>
        <v>0</v>
      </c>
      <c r="L7565" s="59">
        <f t="shared" si="30"/>
        <v>0</v>
      </c>
      <c r="M7565" s="59">
        <f t="shared" si="31"/>
        <v>0</v>
      </c>
    </row>
    <row r="7566" ht="15.0" hidden="1" customHeight="1">
      <c r="A7566" s="59">
        <f t="shared" si="20"/>
        <v>123</v>
      </c>
      <c r="B7566" s="59" t="str">
        <f t="shared" si="21"/>
        <v/>
      </c>
      <c r="C7566" s="59" t="str">
        <f t="shared" si="22"/>
        <v/>
      </c>
      <c r="D7566" s="45" t="str">
        <f t="shared" si="23"/>
        <v/>
      </c>
      <c r="E7566" s="45" t="str">
        <f t="shared" si="24"/>
        <v/>
      </c>
      <c r="F7566" s="59" t="str">
        <f t="shared" si="25"/>
        <v/>
      </c>
      <c r="G7566" s="59" t="str">
        <f t="shared" si="26"/>
        <v/>
      </c>
      <c r="H7566" s="59" t="str">
        <f t="shared" si="27"/>
        <v>28C02574</v>
      </c>
      <c r="I7566" s="59" t="str">
        <f>IF(OR($A7566="",$C7566="",$D7566="",$E7566="",$H7566=""),"",SUMIFS(DATA_GOC!$H:$H,DATA_GOC!$A:$A,"BOM",DATA_GOC!$D:$D,$H7566,DATA_GOC!$E:$E,$C7566,DATA_GOC!$F:$F,"Xuất nội bộ từ téc",DATA_GOC!$B:$B,"&gt;="&amp;$D7566,DATA_GOC!$B:$B,"&lt;="&amp;$E7566))</f>
        <v/>
      </c>
      <c r="J7566" s="59">
        <f t="shared" si="28"/>
        <v>0</v>
      </c>
      <c r="K7566" s="59">
        <f t="shared" si="29"/>
        <v>0</v>
      </c>
      <c r="L7566" s="59">
        <f t="shared" si="30"/>
        <v>0</v>
      </c>
      <c r="M7566" s="59">
        <f t="shared" si="31"/>
        <v>0</v>
      </c>
    </row>
    <row r="7567" ht="15.0" hidden="1" customHeight="1">
      <c r="A7567" s="59">
        <f t="shared" si="20"/>
        <v>123</v>
      </c>
      <c r="B7567" s="59" t="str">
        <f t="shared" si="21"/>
        <v/>
      </c>
      <c r="C7567" s="59" t="str">
        <f t="shared" si="22"/>
        <v/>
      </c>
      <c r="D7567" s="45" t="str">
        <f t="shared" si="23"/>
        <v/>
      </c>
      <c r="E7567" s="45" t="str">
        <f t="shared" si="24"/>
        <v/>
      </c>
      <c r="F7567" s="59" t="str">
        <f t="shared" si="25"/>
        <v/>
      </c>
      <c r="G7567" s="59" t="str">
        <f t="shared" si="26"/>
        <v/>
      </c>
      <c r="H7567" s="59" t="str">
        <f t="shared" si="27"/>
        <v>28C02770</v>
      </c>
      <c r="I7567" s="59" t="str">
        <f>IF(OR($A7567="",$C7567="",$D7567="",$E7567="",$H7567=""),"",SUMIFS(DATA_GOC!$H:$H,DATA_GOC!$A:$A,"BOM",DATA_GOC!$D:$D,$H7567,DATA_GOC!$E:$E,$C7567,DATA_GOC!$F:$F,"Xuất nội bộ từ téc",DATA_GOC!$B:$B,"&gt;="&amp;$D7567,DATA_GOC!$B:$B,"&lt;="&amp;$E7567))</f>
        <v/>
      </c>
      <c r="J7567" s="59">
        <f t="shared" si="28"/>
        <v>0</v>
      </c>
      <c r="K7567" s="59">
        <f t="shared" si="29"/>
        <v>0</v>
      </c>
      <c r="L7567" s="59">
        <f t="shared" si="30"/>
        <v>0</v>
      </c>
      <c r="M7567" s="59">
        <f t="shared" si="31"/>
        <v>0</v>
      </c>
    </row>
    <row r="7568" ht="15.0" hidden="1" customHeight="1">
      <c r="A7568" s="59">
        <f t="shared" si="20"/>
        <v>123</v>
      </c>
      <c r="B7568" s="59" t="str">
        <f t="shared" si="21"/>
        <v/>
      </c>
      <c r="C7568" s="59" t="str">
        <f t="shared" si="22"/>
        <v/>
      </c>
      <c r="D7568" s="45" t="str">
        <f t="shared" si="23"/>
        <v/>
      </c>
      <c r="E7568" s="45" t="str">
        <f t="shared" si="24"/>
        <v/>
      </c>
      <c r="F7568" s="59" t="str">
        <f t="shared" si="25"/>
        <v/>
      </c>
      <c r="G7568" s="59" t="str">
        <f t="shared" si="26"/>
        <v/>
      </c>
      <c r="H7568" s="59" t="str">
        <f t="shared" si="27"/>
        <v>28C02986</v>
      </c>
      <c r="I7568" s="59" t="str">
        <f>IF(OR($A7568="",$C7568="",$D7568="",$E7568="",$H7568=""),"",SUMIFS(DATA_GOC!$H:$H,DATA_GOC!$A:$A,"BOM",DATA_GOC!$D:$D,$H7568,DATA_GOC!$E:$E,$C7568,DATA_GOC!$F:$F,"Xuất nội bộ từ téc",DATA_GOC!$B:$B,"&gt;="&amp;$D7568,DATA_GOC!$B:$B,"&lt;="&amp;$E7568))</f>
        <v/>
      </c>
      <c r="J7568" s="59">
        <f t="shared" si="28"/>
        <v>0</v>
      </c>
      <c r="K7568" s="59">
        <f t="shared" si="29"/>
        <v>0</v>
      </c>
      <c r="L7568" s="59">
        <f t="shared" si="30"/>
        <v>0</v>
      </c>
      <c r="M7568" s="59">
        <f t="shared" si="31"/>
        <v>0</v>
      </c>
    </row>
    <row r="7569" ht="15.0" hidden="1" customHeight="1">
      <c r="A7569" s="59">
        <f t="shared" si="20"/>
        <v>123</v>
      </c>
      <c r="B7569" s="59" t="str">
        <f t="shared" si="21"/>
        <v/>
      </c>
      <c r="C7569" s="59" t="str">
        <f t="shared" si="22"/>
        <v/>
      </c>
      <c r="D7569" s="45" t="str">
        <f t="shared" si="23"/>
        <v/>
      </c>
      <c r="E7569" s="45" t="str">
        <f t="shared" si="24"/>
        <v/>
      </c>
      <c r="F7569" s="59" t="str">
        <f t="shared" si="25"/>
        <v/>
      </c>
      <c r="G7569" s="59" t="str">
        <f t="shared" si="26"/>
        <v/>
      </c>
      <c r="H7569" s="59" t="str">
        <f t="shared" si="27"/>
        <v>28C03261</v>
      </c>
      <c r="I7569" s="59" t="str">
        <f>IF(OR($A7569="",$C7569="",$D7569="",$E7569="",$H7569=""),"",SUMIFS(DATA_GOC!$H:$H,DATA_GOC!$A:$A,"BOM",DATA_GOC!$D:$D,$H7569,DATA_GOC!$E:$E,$C7569,DATA_GOC!$F:$F,"Xuất nội bộ từ téc",DATA_GOC!$B:$B,"&gt;="&amp;$D7569,DATA_GOC!$B:$B,"&lt;="&amp;$E7569))</f>
        <v/>
      </c>
      <c r="J7569" s="59">
        <f t="shared" si="28"/>
        <v>0</v>
      </c>
      <c r="K7569" s="59">
        <f t="shared" si="29"/>
        <v>0</v>
      </c>
      <c r="L7569" s="59">
        <f t="shared" si="30"/>
        <v>0</v>
      </c>
      <c r="M7569" s="59">
        <f t="shared" si="31"/>
        <v>0</v>
      </c>
    </row>
    <row r="7570" ht="15.0" hidden="1" customHeight="1">
      <c r="A7570" s="59">
        <f t="shared" si="20"/>
        <v>123</v>
      </c>
      <c r="B7570" s="59" t="str">
        <f t="shared" si="21"/>
        <v/>
      </c>
      <c r="C7570" s="59" t="str">
        <f t="shared" si="22"/>
        <v/>
      </c>
      <c r="D7570" s="45" t="str">
        <f t="shared" si="23"/>
        <v/>
      </c>
      <c r="E7570" s="45" t="str">
        <f t="shared" si="24"/>
        <v/>
      </c>
      <c r="F7570" s="59" t="str">
        <f t="shared" si="25"/>
        <v/>
      </c>
      <c r="G7570" s="59" t="str">
        <f t="shared" si="26"/>
        <v/>
      </c>
      <c r="H7570" s="59" t="str">
        <f t="shared" si="27"/>
        <v>28C03323</v>
      </c>
      <c r="I7570" s="59" t="str">
        <f>IF(OR($A7570="",$C7570="",$D7570="",$E7570="",$H7570=""),"",SUMIFS(DATA_GOC!$H:$H,DATA_GOC!$A:$A,"BOM",DATA_GOC!$D:$D,$H7570,DATA_GOC!$E:$E,$C7570,DATA_GOC!$F:$F,"Xuất nội bộ từ téc",DATA_GOC!$B:$B,"&gt;="&amp;$D7570,DATA_GOC!$B:$B,"&lt;="&amp;$E7570))</f>
        <v/>
      </c>
      <c r="J7570" s="59">
        <f t="shared" si="28"/>
        <v>0</v>
      </c>
      <c r="K7570" s="59">
        <f t="shared" si="29"/>
        <v>0</v>
      </c>
      <c r="L7570" s="59">
        <f t="shared" si="30"/>
        <v>0</v>
      </c>
      <c r="M7570" s="59">
        <f t="shared" si="31"/>
        <v>0</v>
      </c>
    </row>
    <row r="7571" ht="15.0" hidden="1" customHeight="1">
      <c r="A7571" s="59">
        <f t="shared" si="20"/>
        <v>123</v>
      </c>
      <c r="B7571" s="59" t="str">
        <f t="shared" si="21"/>
        <v/>
      </c>
      <c r="C7571" s="59" t="str">
        <f t="shared" si="22"/>
        <v/>
      </c>
      <c r="D7571" s="45" t="str">
        <f t="shared" si="23"/>
        <v/>
      </c>
      <c r="E7571" s="45" t="str">
        <f t="shared" si="24"/>
        <v/>
      </c>
      <c r="F7571" s="59" t="str">
        <f t="shared" si="25"/>
        <v/>
      </c>
      <c r="G7571" s="59" t="str">
        <f t="shared" si="26"/>
        <v/>
      </c>
      <c r="H7571" s="59" t="str">
        <f t="shared" si="27"/>
        <v>28C03385</v>
      </c>
      <c r="I7571" s="59" t="str">
        <f>IF(OR($A7571="",$C7571="",$D7571="",$E7571="",$H7571=""),"",SUMIFS(DATA_GOC!$H:$H,DATA_GOC!$A:$A,"BOM",DATA_GOC!$D:$D,$H7571,DATA_GOC!$E:$E,$C7571,DATA_GOC!$F:$F,"Xuất nội bộ từ téc",DATA_GOC!$B:$B,"&gt;="&amp;$D7571,DATA_GOC!$B:$B,"&lt;="&amp;$E7571))</f>
        <v/>
      </c>
      <c r="J7571" s="59">
        <f t="shared" si="28"/>
        <v>0</v>
      </c>
      <c r="K7571" s="59">
        <f t="shared" si="29"/>
        <v>0</v>
      </c>
      <c r="L7571" s="59">
        <f t="shared" si="30"/>
        <v>0</v>
      </c>
      <c r="M7571" s="59">
        <f t="shared" si="31"/>
        <v>0</v>
      </c>
    </row>
    <row r="7572" ht="15.0" hidden="1" customHeight="1">
      <c r="A7572" s="59">
        <f t="shared" si="20"/>
        <v>123</v>
      </c>
      <c r="B7572" s="59" t="str">
        <f t="shared" si="21"/>
        <v/>
      </c>
      <c r="C7572" s="59" t="str">
        <f t="shared" si="22"/>
        <v/>
      </c>
      <c r="D7572" s="45" t="str">
        <f t="shared" si="23"/>
        <v/>
      </c>
      <c r="E7572" s="45" t="str">
        <f t="shared" si="24"/>
        <v/>
      </c>
      <c r="F7572" s="59" t="str">
        <f t="shared" si="25"/>
        <v/>
      </c>
      <c r="G7572" s="59" t="str">
        <f t="shared" si="26"/>
        <v/>
      </c>
      <c r="H7572" s="59" t="str">
        <f t="shared" si="27"/>
        <v>28C03652</v>
      </c>
      <c r="I7572" s="59" t="str">
        <f>IF(OR($A7572="",$C7572="",$D7572="",$E7572="",$H7572=""),"",SUMIFS(DATA_GOC!$H:$H,DATA_GOC!$A:$A,"BOM",DATA_GOC!$D:$D,$H7572,DATA_GOC!$E:$E,$C7572,DATA_GOC!$F:$F,"Xuất nội bộ từ téc",DATA_GOC!$B:$B,"&gt;="&amp;$D7572,DATA_GOC!$B:$B,"&lt;="&amp;$E7572))</f>
        <v/>
      </c>
      <c r="J7572" s="59">
        <f t="shared" si="28"/>
        <v>0</v>
      </c>
      <c r="K7572" s="59">
        <f t="shared" si="29"/>
        <v>0</v>
      </c>
      <c r="L7572" s="59">
        <f t="shared" si="30"/>
        <v>0</v>
      </c>
      <c r="M7572" s="59">
        <f t="shared" si="31"/>
        <v>0</v>
      </c>
    </row>
    <row r="7573" ht="15.0" hidden="1" customHeight="1">
      <c r="A7573" s="59">
        <f t="shared" si="20"/>
        <v>123</v>
      </c>
      <c r="B7573" s="59" t="str">
        <f t="shared" si="21"/>
        <v/>
      </c>
      <c r="C7573" s="59" t="str">
        <f t="shared" si="22"/>
        <v/>
      </c>
      <c r="D7573" s="45" t="str">
        <f t="shared" si="23"/>
        <v/>
      </c>
      <c r="E7573" s="45" t="str">
        <f t="shared" si="24"/>
        <v/>
      </c>
      <c r="F7573" s="59" t="str">
        <f t="shared" si="25"/>
        <v/>
      </c>
      <c r="G7573" s="59" t="str">
        <f t="shared" si="26"/>
        <v/>
      </c>
      <c r="H7573" s="59" t="str">
        <f t="shared" si="27"/>
        <v>28C03695</v>
      </c>
      <c r="I7573" s="59" t="str">
        <f>IF(OR($A7573="",$C7573="",$D7573="",$E7573="",$H7573=""),"",SUMIFS(DATA_GOC!$H:$H,DATA_GOC!$A:$A,"BOM",DATA_GOC!$D:$D,$H7573,DATA_GOC!$E:$E,$C7573,DATA_GOC!$F:$F,"Xuất nội bộ từ téc",DATA_GOC!$B:$B,"&gt;="&amp;$D7573,DATA_GOC!$B:$B,"&lt;="&amp;$E7573))</f>
        <v/>
      </c>
      <c r="J7573" s="59">
        <f t="shared" si="28"/>
        <v>0</v>
      </c>
      <c r="K7573" s="59">
        <f t="shared" si="29"/>
        <v>0</v>
      </c>
      <c r="L7573" s="59">
        <f t="shared" si="30"/>
        <v>0</v>
      </c>
      <c r="M7573" s="59">
        <f t="shared" si="31"/>
        <v>0</v>
      </c>
    </row>
    <row r="7574" ht="15.0" hidden="1" customHeight="1">
      <c r="A7574" s="59">
        <f t="shared" si="20"/>
        <v>123</v>
      </c>
      <c r="B7574" s="59" t="str">
        <f t="shared" si="21"/>
        <v/>
      </c>
      <c r="C7574" s="59" t="str">
        <f t="shared" si="22"/>
        <v/>
      </c>
      <c r="D7574" s="45" t="str">
        <f t="shared" si="23"/>
        <v/>
      </c>
      <c r="E7574" s="45" t="str">
        <f t="shared" si="24"/>
        <v/>
      </c>
      <c r="F7574" s="59" t="str">
        <f t="shared" si="25"/>
        <v/>
      </c>
      <c r="G7574" s="59" t="str">
        <f t="shared" si="26"/>
        <v/>
      </c>
      <c r="H7574" s="59" t="str">
        <f t="shared" si="27"/>
        <v>28C03927</v>
      </c>
      <c r="I7574" s="59" t="str">
        <f>IF(OR($A7574="",$C7574="",$D7574="",$E7574="",$H7574=""),"",SUMIFS(DATA_GOC!$H:$H,DATA_GOC!$A:$A,"BOM",DATA_GOC!$D:$D,$H7574,DATA_GOC!$E:$E,$C7574,DATA_GOC!$F:$F,"Xuất nội bộ từ téc",DATA_GOC!$B:$B,"&gt;="&amp;$D7574,DATA_GOC!$B:$B,"&lt;="&amp;$E7574))</f>
        <v/>
      </c>
      <c r="J7574" s="59">
        <f t="shared" si="28"/>
        <v>0</v>
      </c>
      <c r="K7574" s="59">
        <f t="shared" si="29"/>
        <v>0</v>
      </c>
      <c r="L7574" s="59">
        <f t="shared" si="30"/>
        <v>0</v>
      </c>
      <c r="M7574" s="59">
        <f t="shared" si="31"/>
        <v>0</v>
      </c>
    </row>
    <row r="7575" ht="15.0" hidden="1" customHeight="1">
      <c r="A7575" s="59">
        <f t="shared" si="20"/>
        <v>123</v>
      </c>
      <c r="B7575" s="59" t="str">
        <f t="shared" si="21"/>
        <v/>
      </c>
      <c r="C7575" s="59" t="str">
        <f t="shared" si="22"/>
        <v/>
      </c>
      <c r="D7575" s="45" t="str">
        <f t="shared" si="23"/>
        <v/>
      </c>
      <c r="E7575" s="45" t="str">
        <f t="shared" si="24"/>
        <v/>
      </c>
      <c r="F7575" s="59" t="str">
        <f t="shared" si="25"/>
        <v/>
      </c>
      <c r="G7575" s="59" t="str">
        <f t="shared" si="26"/>
        <v/>
      </c>
      <c r="H7575" s="59" t="str">
        <f t="shared" si="27"/>
        <v>28C04509</v>
      </c>
      <c r="I7575" s="59" t="str">
        <f>IF(OR($A7575="",$C7575="",$D7575="",$E7575="",$H7575=""),"",SUMIFS(DATA_GOC!$H:$H,DATA_GOC!$A:$A,"BOM",DATA_GOC!$D:$D,$H7575,DATA_GOC!$E:$E,$C7575,DATA_GOC!$F:$F,"Xuất nội bộ từ téc",DATA_GOC!$B:$B,"&gt;="&amp;$D7575,DATA_GOC!$B:$B,"&lt;="&amp;$E7575))</f>
        <v/>
      </c>
      <c r="J7575" s="59">
        <f t="shared" si="28"/>
        <v>0</v>
      </c>
      <c r="K7575" s="59">
        <f t="shared" si="29"/>
        <v>0</v>
      </c>
      <c r="L7575" s="59">
        <f t="shared" si="30"/>
        <v>0</v>
      </c>
      <c r="M7575" s="59">
        <f t="shared" si="31"/>
        <v>0</v>
      </c>
    </row>
    <row r="7576" ht="15.0" hidden="1" customHeight="1">
      <c r="A7576" s="59">
        <f t="shared" si="20"/>
        <v>123</v>
      </c>
      <c r="B7576" s="59" t="str">
        <f t="shared" si="21"/>
        <v/>
      </c>
      <c r="C7576" s="59" t="str">
        <f t="shared" si="22"/>
        <v/>
      </c>
      <c r="D7576" s="45" t="str">
        <f t="shared" si="23"/>
        <v/>
      </c>
      <c r="E7576" s="45" t="str">
        <f t="shared" si="24"/>
        <v/>
      </c>
      <c r="F7576" s="59" t="str">
        <f t="shared" si="25"/>
        <v/>
      </c>
      <c r="G7576" s="59" t="str">
        <f t="shared" si="26"/>
        <v/>
      </c>
      <c r="H7576" s="59" t="str">
        <f t="shared" si="27"/>
        <v>28C04536</v>
      </c>
      <c r="I7576" s="59" t="str">
        <f>IF(OR($A7576="",$C7576="",$D7576="",$E7576="",$H7576=""),"",SUMIFS(DATA_GOC!$H:$H,DATA_GOC!$A:$A,"BOM",DATA_GOC!$D:$D,$H7576,DATA_GOC!$E:$E,$C7576,DATA_GOC!$F:$F,"Xuất nội bộ từ téc",DATA_GOC!$B:$B,"&gt;="&amp;$D7576,DATA_GOC!$B:$B,"&lt;="&amp;$E7576))</f>
        <v/>
      </c>
      <c r="J7576" s="59">
        <f t="shared" si="28"/>
        <v>0</v>
      </c>
      <c r="K7576" s="59">
        <f t="shared" si="29"/>
        <v>0</v>
      </c>
      <c r="L7576" s="59">
        <f t="shared" si="30"/>
        <v>0</v>
      </c>
      <c r="M7576" s="59">
        <f t="shared" si="31"/>
        <v>0</v>
      </c>
    </row>
    <row r="7577" ht="15.0" hidden="1" customHeight="1">
      <c r="A7577" s="59">
        <f t="shared" si="20"/>
        <v>123</v>
      </c>
      <c r="B7577" s="59" t="str">
        <f t="shared" si="21"/>
        <v/>
      </c>
      <c r="C7577" s="59" t="str">
        <f t="shared" si="22"/>
        <v/>
      </c>
      <c r="D7577" s="45" t="str">
        <f t="shared" si="23"/>
        <v/>
      </c>
      <c r="E7577" s="45" t="str">
        <f t="shared" si="24"/>
        <v/>
      </c>
      <c r="F7577" s="59" t="str">
        <f t="shared" si="25"/>
        <v/>
      </c>
      <c r="G7577" s="59" t="str">
        <f t="shared" si="26"/>
        <v/>
      </c>
      <c r="H7577" s="59" t="str">
        <f t="shared" si="27"/>
        <v>28C04576</v>
      </c>
      <c r="I7577" s="59" t="str">
        <f>IF(OR($A7577="",$C7577="",$D7577="",$E7577="",$H7577=""),"",SUMIFS(DATA_GOC!$H:$H,DATA_GOC!$A:$A,"BOM",DATA_GOC!$D:$D,$H7577,DATA_GOC!$E:$E,$C7577,DATA_GOC!$F:$F,"Xuất nội bộ từ téc",DATA_GOC!$B:$B,"&gt;="&amp;$D7577,DATA_GOC!$B:$B,"&lt;="&amp;$E7577))</f>
        <v/>
      </c>
      <c r="J7577" s="59">
        <f t="shared" si="28"/>
        <v>0</v>
      </c>
      <c r="K7577" s="59">
        <f t="shared" si="29"/>
        <v>0</v>
      </c>
      <c r="L7577" s="59">
        <f t="shared" si="30"/>
        <v>0</v>
      </c>
      <c r="M7577" s="59">
        <f t="shared" si="31"/>
        <v>0</v>
      </c>
    </row>
    <row r="7578" ht="15.0" hidden="1" customHeight="1">
      <c r="A7578" s="59">
        <f t="shared" si="20"/>
        <v>123</v>
      </c>
      <c r="B7578" s="59" t="str">
        <f t="shared" si="21"/>
        <v/>
      </c>
      <c r="C7578" s="59" t="str">
        <f t="shared" si="22"/>
        <v/>
      </c>
      <c r="D7578" s="45" t="str">
        <f t="shared" si="23"/>
        <v/>
      </c>
      <c r="E7578" s="45" t="str">
        <f t="shared" si="24"/>
        <v/>
      </c>
      <c r="F7578" s="59" t="str">
        <f t="shared" si="25"/>
        <v/>
      </c>
      <c r="G7578" s="59" t="str">
        <f t="shared" si="26"/>
        <v/>
      </c>
      <c r="H7578" s="59" t="str">
        <f t="shared" si="27"/>
        <v>28C05090</v>
      </c>
      <c r="I7578" s="59" t="str">
        <f>IF(OR($A7578="",$C7578="",$D7578="",$E7578="",$H7578=""),"",SUMIFS(DATA_GOC!$H:$H,DATA_GOC!$A:$A,"BOM",DATA_GOC!$D:$D,$H7578,DATA_GOC!$E:$E,$C7578,DATA_GOC!$F:$F,"Xuất nội bộ từ téc",DATA_GOC!$B:$B,"&gt;="&amp;$D7578,DATA_GOC!$B:$B,"&lt;="&amp;$E7578))</f>
        <v/>
      </c>
      <c r="J7578" s="59">
        <f t="shared" si="28"/>
        <v>0</v>
      </c>
      <c r="K7578" s="59">
        <f t="shared" si="29"/>
        <v>0</v>
      </c>
      <c r="L7578" s="59">
        <f t="shared" si="30"/>
        <v>0</v>
      </c>
      <c r="M7578" s="59">
        <f t="shared" si="31"/>
        <v>0</v>
      </c>
    </row>
    <row r="7579" ht="15.0" hidden="1" customHeight="1">
      <c r="A7579" s="59">
        <f t="shared" si="20"/>
        <v>123</v>
      </c>
      <c r="B7579" s="59" t="str">
        <f t="shared" si="21"/>
        <v/>
      </c>
      <c r="C7579" s="59" t="str">
        <f t="shared" si="22"/>
        <v/>
      </c>
      <c r="D7579" s="45" t="str">
        <f t="shared" si="23"/>
        <v/>
      </c>
      <c r="E7579" s="45" t="str">
        <f t="shared" si="24"/>
        <v/>
      </c>
      <c r="F7579" s="59" t="str">
        <f t="shared" si="25"/>
        <v/>
      </c>
      <c r="G7579" s="59" t="str">
        <f t="shared" si="26"/>
        <v/>
      </c>
      <c r="H7579" s="59" t="str">
        <f t="shared" si="27"/>
        <v>28C05345</v>
      </c>
      <c r="I7579" s="59" t="str">
        <f>IF(OR($A7579="",$C7579="",$D7579="",$E7579="",$H7579=""),"",SUMIFS(DATA_GOC!$H:$H,DATA_GOC!$A:$A,"BOM",DATA_GOC!$D:$D,$H7579,DATA_GOC!$E:$E,$C7579,DATA_GOC!$F:$F,"Xuất nội bộ từ téc",DATA_GOC!$B:$B,"&gt;="&amp;$D7579,DATA_GOC!$B:$B,"&lt;="&amp;$E7579))</f>
        <v/>
      </c>
      <c r="J7579" s="59">
        <f t="shared" si="28"/>
        <v>0</v>
      </c>
      <c r="K7579" s="59">
        <f t="shared" si="29"/>
        <v>0</v>
      </c>
      <c r="L7579" s="59">
        <f t="shared" si="30"/>
        <v>0</v>
      </c>
      <c r="M7579" s="59">
        <f t="shared" si="31"/>
        <v>0</v>
      </c>
    </row>
    <row r="7580" ht="15.0" hidden="1" customHeight="1">
      <c r="A7580" s="59">
        <f t="shared" si="20"/>
        <v>123</v>
      </c>
      <c r="B7580" s="59" t="str">
        <f t="shared" si="21"/>
        <v/>
      </c>
      <c r="C7580" s="59" t="str">
        <f t="shared" si="22"/>
        <v/>
      </c>
      <c r="D7580" s="45" t="str">
        <f t="shared" si="23"/>
        <v/>
      </c>
      <c r="E7580" s="45" t="str">
        <f t="shared" si="24"/>
        <v/>
      </c>
      <c r="F7580" s="59" t="str">
        <f t="shared" si="25"/>
        <v/>
      </c>
      <c r="G7580" s="59" t="str">
        <f t="shared" si="26"/>
        <v/>
      </c>
      <c r="H7580" s="59" t="str">
        <f t="shared" si="27"/>
        <v>28C05661</v>
      </c>
      <c r="I7580" s="59" t="str">
        <f>IF(OR($A7580="",$C7580="",$D7580="",$E7580="",$H7580=""),"",SUMIFS(DATA_GOC!$H:$H,DATA_GOC!$A:$A,"BOM",DATA_GOC!$D:$D,$H7580,DATA_GOC!$E:$E,$C7580,DATA_GOC!$F:$F,"Xuất nội bộ từ téc",DATA_GOC!$B:$B,"&gt;="&amp;$D7580,DATA_GOC!$B:$B,"&lt;="&amp;$E7580))</f>
        <v/>
      </c>
      <c r="J7580" s="59">
        <f t="shared" si="28"/>
        <v>0</v>
      </c>
      <c r="K7580" s="59">
        <f t="shared" si="29"/>
        <v>0</v>
      </c>
      <c r="L7580" s="59">
        <f t="shared" si="30"/>
        <v>0</v>
      </c>
      <c r="M7580" s="59">
        <f t="shared" si="31"/>
        <v>0</v>
      </c>
    </row>
    <row r="7581" ht="15.0" hidden="1" customHeight="1">
      <c r="A7581" s="59">
        <f t="shared" si="20"/>
        <v>123</v>
      </c>
      <c r="B7581" s="59" t="str">
        <f t="shared" si="21"/>
        <v/>
      </c>
      <c r="C7581" s="59" t="str">
        <f t="shared" si="22"/>
        <v/>
      </c>
      <c r="D7581" s="45" t="str">
        <f t="shared" si="23"/>
        <v/>
      </c>
      <c r="E7581" s="45" t="str">
        <f t="shared" si="24"/>
        <v/>
      </c>
      <c r="F7581" s="59" t="str">
        <f t="shared" si="25"/>
        <v/>
      </c>
      <c r="G7581" s="59" t="str">
        <f t="shared" si="26"/>
        <v/>
      </c>
      <c r="H7581" s="59" t="str">
        <f t="shared" si="27"/>
        <v>28C05739</v>
      </c>
      <c r="I7581" s="59" t="str">
        <f>IF(OR($A7581="",$C7581="",$D7581="",$E7581="",$H7581=""),"",SUMIFS(DATA_GOC!$H:$H,DATA_GOC!$A:$A,"BOM",DATA_GOC!$D:$D,$H7581,DATA_GOC!$E:$E,$C7581,DATA_GOC!$F:$F,"Xuất nội bộ từ téc",DATA_GOC!$B:$B,"&gt;="&amp;$D7581,DATA_GOC!$B:$B,"&lt;="&amp;$E7581))</f>
        <v/>
      </c>
      <c r="J7581" s="59">
        <f t="shared" si="28"/>
        <v>0</v>
      </c>
      <c r="K7581" s="59">
        <f t="shared" si="29"/>
        <v>0</v>
      </c>
      <c r="L7581" s="59">
        <f t="shared" si="30"/>
        <v>0</v>
      </c>
      <c r="M7581" s="59">
        <f t="shared" si="31"/>
        <v>0</v>
      </c>
    </row>
    <row r="7582" ht="15.0" hidden="1" customHeight="1">
      <c r="A7582" s="59">
        <f t="shared" si="20"/>
        <v>123</v>
      </c>
      <c r="B7582" s="59" t="str">
        <f t="shared" si="21"/>
        <v/>
      </c>
      <c r="C7582" s="59" t="str">
        <f t="shared" si="22"/>
        <v/>
      </c>
      <c r="D7582" s="45" t="str">
        <f t="shared" si="23"/>
        <v/>
      </c>
      <c r="E7582" s="45" t="str">
        <f t="shared" si="24"/>
        <v/>
      </c>
      <c r="F7582" s="59" t="str">
        <f t="shared" si="25"/>
        <v/>
      </c>
      <c r="G7582" s="59" t="str">
        <f t="shared" si="26"/>
        <v/>
      </c>
      <c r="H7582" s="59" t="str">
        <f t="shared" si="27"/>
        <v>28C06369</v>
      </c>
      <c r="I7582" s="59" t="str">
        <f>IF(OR($A7582="",$C7582="",$D7582="",$E7582="",$H7582=""),"",SUMIFS(DATA_GOC!$H:$H,DATA_GOC!$A:$A,"BOM",DATA_GOC!$D:$D,$H7582,DATA_GOC!$E:$E,$C7582,DATA_GOC!$F:$F,"Xuất nội bộ từ téc",DATA_GOC!$B:$B,"&gt;="&amp;$D7582,DATA_GOC!$B:$B,"&lt;="&amp;$E7582))</f>
        <v/>
      </c>
      <c r="J7582" s="59">
        <f t="shared" si="28"/>
        <v>0</v>
      </c>
      <c r="K7582" s="59">
        <f t="shared" si="29"/>
        <v>0</v>
      </c>
      <c r="L7582" s="59">
        <f t="shared" si="30"/>
        <v>0</v>
      </c>
      <c r="M7582" s="59">
        <f t="shared" si="31"/>
        <v>0</v>
      </c>
    </row>
    <row r="7583" ht="15.0" hidden="1" customHeight="1">
      <c r="A7583" s="59">
        <f t="shared" si="20"/>
        <v>123</v>
      </c>
      <c r="B7583" s="59" t="str">
        <f t="shared" si="21"/>
        <v/>
      </c>
      <c r="C7583" s="59" t="str">
        <f t="shared" si="22"/>
        <v/>
      </c>
      <c r="D7583" s="45" t="str">
        <f t="shared" si="23"/>
        <v/>
      </c>
      <c r="E7583" s="45" t="str">
        <f t="shared" si="24"/>
        <v/>
      </c>
      <c r="F7583" s="59" t="str">
        <f t="shared" si="25"/>
        <v/>
      </c>
      <c r="G7583" s="59" t="str">
        <f t="shared" si="26"/>
        <v/>
      </c>
      <c r="H7583" s="59" t="str">
        <f t="shared" si="27"/>
        <v>28C06447</v>
      </c>
      <c r="I7583" s="59" t="str">
        <f>IF(OR($A7583="",$C7583="",$D7583="",$E7583="",$H7583=""),"",SUMIFS(DATA_GOC!$H:$H,DATA_GOC!$A:$A,"BOM",DATA_GOC!$D:$D,$H7583,DATA_GOC!$E:$E,$C7583,DATA_GOC!$F:$F,"Xuất nội bộ từ téc",DATA_GOC!$B:$B,"&gt;="&amp;$D7583,DATA_GOC!$B:$B,"&lt;="&amp;$E7583))</f>
        <v/>
      </c>
      <c r="J7583" s="59">
        <f t="shared" si="28"/>
        <v>0</v>
      </c>
      <c r="K7583" s="59">
        <f t="shared" si="29"/>
        <v>0</v>
      </c>
      <c r="L7583" s="59">
        <f t="shared" si="30"/>
        <v>0</v>
      </c>
      <c r="M7583" s="59">
        <f t="shared" si="31"/>
        <v>0</v>
      </c>
    </row>
    <row r="7584" ht="15.0" hidden="1" customHeight="1">
      <c r="A7584" s="59">
        <f t="shared" si="20"/>
        <v>123</v>
      </c>
      <c r="B7584" s="59" t="str">
        <f t="shared" si="21"/>
        <v/>
      </c>
      <c r="C7584" s="59" t="str">
        <f t="shared" si="22"/>
        <v/>
      </c>
      <c r="D7584" s="45" t="str">
        <f t="shared" si="23"/>
        <v/>
      </c>
      <c r="E7584" s="45" t="str">
        <f t="shared" si="24"/>
        <v/>
      </c>
      <c r="F7584" s="59" t="str">
        <f t="shared" si="25"/>
        <v/>
      </c>
      <c r="G7584" s="59" t="str">
        <f t="shared" si="26"/>
        <v/>
      </c>
      <c r="H7584" s="59" t="str">
        <f t="shared" si="27"/>
        <v>28H00003</v>
      </c>
      <c r="I7584" s="59" t="str">
        <f>IF(OR($A7584="",$C7584="",$D7584="",$E7584="",$H7584=""),"",SUMIFS(DATA_GOC!$H:$H,DATA_GOC!$A:$A,"BOM",DATA_GOC!$D:$D,$H7584,DATA_GOC!$E:$E,$C7584,DATA_GOC!$F:$F,"Xuất nội bộ từ téc",DATA_GOC!$B:$B,"&gt;="&amp;$D7584,DATA_GOC!$B:$B,"&lt;="&amp;$E7584))</f>
        <v/>
      </c>
      <c r="J7584" s="59">
        <f t="shared" si="28"/>
        <v>0</v>
      </c>
      <c r="K7584" s="59">
        <f t="shared" si="29"/>
        <v>0</v>
      </c>
      <c r="L7584" s="59">
        <f t="shared" si="30"/>
        <v>0</v>
      </c>
      <c r="M7584" s="59">
        <f t="shared" si="31"/>
        <v>0</v>
      </c>
    </row>
    <row r="7585" ht="15.0" hidden="1" customHeight="1">
      <c r="A7585" s="59">
        <f t="shared" si="20"/>
        <v>123</v>
      </c>
      <c r="B7585" s="59" t="str">
        <f t="shared" si="21"/>
        <v/>
      </c>
      <c r="C7585" s="59" t="str">
        <f t="shared" si="22"/>
        <v/>
      </c>
      <c r="D7585" s="45" t="str">
        <f t="shared" si="23"/>
        <v/>
      </c>
      <c r="E7585" s="45" t="str">
        <f t="shared" si="24"/>
        <v/>
      </c>
      <c r="F7585" s="59" t="str">
        <f t="shared" si="25"/>
        <v/>
      </c>
      <c r="G7585" s="59" t="str">
        <f t="shared" si="26"/>
        <v/>
      </c>
      <c r="H7585" s="59" t="str">
        <f t="shared" si="27"/>
        <v>28H00061</v>
      </c>
      <c r="I7585" s="59" t="str">
        <f>IF(OR($A7585="",$C7585="",$D7585="",$E7585="",$H7585=""),"",SUMIFS(DATA_GOC!$H:$H,DATA_GOC!$A:$A,"BOM",DATA_GOC!$D:$D,$H7585,DATA_GOC!$E:$E,$C7585,DATA_GOC!$F:$F,"Xuất nội bộ từ téc",DATA_GOC!$B:$B,"&gt;="&amp;$D7585,DATA_GOC!$B:$B,"&lt;="&amp;$E7585))</f>
        <v/>
      </c>
      <c r="J7585" s="59">
        <f t="shared" si="28"/>
        <v>0</v>
      </c>
      <c r="K7585" s="59">
        <f t="shared" si="29"/>
        <v>0</v>
      </c>
      <c r="L7585" s="59">
        <f t="shared" si="30"/>
        <v>0</v>
      </c>
      <c r="M7585" s="59">
        <f t="shared" si="31"/>
        <v>0</v>
      </c>
    </row>
    <row r="7586" ht="15.0" hidden="1" customHeight="1">
      <c r="A7586" s="59">
        <f t="shared" si="20"/>
        <v>123</v>
      </c>
      <c r="B7586" s="59" t="str">
        <f t="shared" si="21"/>
        <v/>
      </c>
      <c r="C7586" s="59" t="str">
        <f t="shared" si="22"/>
        <v/>
      </c>
      <c r="D7586" s="45" t="str">
        <f t="shared" si="23"/>
        <v/>
      </c>
      <c r="E7586" s="45" t="str">
        <f t="shared" si="24"/>
        <v/>
      </c>
      <c r="F7586" s="59" t="str">
        <f t="shared" si="25"/>
        <v/>
      </c>
      <c r="G7586" s="59" t="str">
        <f t="shared" si="26"/>
        <v/>
      </c>
      <c r="H7586" s="59" t="str">
        <f t="shared" si="27"/>
        <v>28H00354</v>
      </c>
      <c r="I7586" s="59" t="str">
        <f>IF(OR($A7586="",$C7586="",$D7586="",$E7586="",$H7586=""),"",SUMIFS(DATA_GOC!$H:$H,DATA_GOC!$A:$A,"BOM",DATA_GOC!$D:$D,$H7586,DATA_GOC!$E:$E,$C7586,DATA_GOC!$F:$F,"Xuất nội bộ từ téc",DATA_GOC!$B:$B,"&gt;="&amp;$D7586,DATA_GOC!$B:$B,"&lt;="&amp;$E7586))</f>
        <v/>
      </c>
      <c r="J7586" s="59">
        <f t="shared" si="28"/>
        <v>0</v>
      </c>
      <c r="K7586" s="59">
        <f t="shared" si="29"/>
        <v>0</v>
      </c>
      <c r="L7586" s="59">
        <f t="shared" si="30"/>
        <v>0</v>
      </c>
      <c r="M7586" s="59">
        <f t="shared" si="31"/>
        <v>0</v>
      </c>
    </row>
    <row r="7587" ht="15.0" hidden="1" customHeight="1">
      <c r="A7587" s="59">
        <f t="shared" si="20"/>
        <v>123</v>
      </c>
      <c r="B7587" s="59" t="str">
        <f t="shared" si="21"/>
        <v/>
      </c>
      <c r="C7587" s="59" t="str">
        <f t="shared" si="22"/>
        <v/>
      </c>
      <c r="D7587" s="45" t="str">
        <f t="shared" si="23"/>
        <v/>
      </c>
      <c r="E7587" s="45" t="str">
        <f t="shared" si="24"/>
        <v/>
      </c>
      <c r="F7587" s="59" t="str">
        <f t="shared" si="25"/>
        <v/>
      </c>
      <c r="G7587" s="59" t="str">
        <f t="shared" si="26"/>
        <v/>
      </c>
      <c r="H7587" s="59" t="str">
        <f t="shared" si="27"/>
        <v>28H00603</v>
      </c>
      <c r="I7587" s="59" t="str">
        <f>IF(OR($A7587="",$C7587="",$D7587="",$E7587="",$H7587=""),"",SUMIFS(DATA_GOC!$H:$H,DATA_GOC!$A:$A,"BOM",DATA_GOC!$D:$D,$H7587,DATA_GOC!$E:$E,$C7587,DATA_GOC!$F:$F,"Xuất nội bộ từ téc",DATA_GOC!$B:$B,"&gt;="&amp;$D7587,DATA_GOC!$B:$B,"&lt;="&amp;$E7587))</f>
        <v/>
      </c>
      <c r="J7587" s="59">
        <f t="shared" si="28"/>
        <v>0</v>
      </c>
      <c r="K7587" s="59">
        <f t="shared" si="29"/>
        <v>0</v>
      </c>
      <c r="L7587" s="59">
        <f t="shared" si="30"/>
        <v>0</v>
      </c>
      <c r="M7587" s="59">
        <f t="shared" si="31"/>
        <v>0</v>
      </c>
    </row>
    <row r="7588" ht="15.0" hidden="1" customHeight="1">
      <c r="A7588" s="59">
        <f t="shared" si="20"/>
        <v>123</v>
      </c>
      <c r="B7588" s="59" t="str">
        <f t="shared" si="21"/>
        <v/>
      </c>
      <c r="C7588" s="59" t="str">
        <f t="shared" si="22"/>
        <v/>
      </c>
      <c r="D7588" s="45" t="str">
        <f t="shared" si="23"/>
        <v/>
      </c>
      <c r="E7588" s="45" t="str">
        <f t="shared" si="24"/>
        <v/>
      </c>
      <c r="F7588" s="59" t="str">
        <f t="shared" si="25"/>
        <v/>
      </c>
      <c r="G7588" s="59" t="str">
        <f t="shared" si="26"/>
        <v/>
      </c>
      <c r="H7588" s="59" t="str">
        <f t="shared" si="27"/>
        <v>28H00609</v>
      </c>
      <c r="I7588" s="59" t="str">
        <f>IF(OR($A7588="",$C7588="",$D7588="",$E7588="",$H7588=""),"",SUMIFS(DATA_GOC!$H:$H,DATA_GOC!$A:$A,"BOM",DATA_GOC!$D:$D,$H7588,DATA_GOC!$E:$E,$C7588,DATA_GOC!$F:$F,"Xuất nội bộ từ téc",DATA_GOC!$B:$B,"&gt;="&amp;$D7588,DATA_GOC!$B:$B,"&lt;="&amp;$E7588))</f>
        <v/>
      </c>
      <c r="J7588" s="59">
        <f t="shared" si="28"/>
        <v>0</v>
      </c>
      <c r="K7588" s="59">
        <f t="shared" si="29"/>
        <v>0</v>
      </c>
      <c r="L7588" s="59">
        <f t="shared" si="30"/>
        <v>0</v>
      </c>
      <c r="M7588" s="59">
        <f t="shared" si="31"/>
        <v>0</v>
      </c>
    </row>
    <row r="7589" ht="15.0" hidden="1" customHeight="1">
      <c r="A7589" s="59">
        <f t="shared" si="20"/>
        <v>123</v>
      </c>
      <c r="B7589" s="59" t="str">
        <f t="shared" si="21"/>
        <v/>
      </c>
      <c r="C7589" s="59" t="str">
        <f t="shared" si="22"/>
        <v/>
      </c>
      <c r="D7589" s="45" t="str">
        <f t="shared" si="23"/>
        <v/>
      </c>
      <c r="E7589" s="45" t="str">
        <f t="shared" si="24"/>
        <v/>
      </c>
      <c r="F7589" s="59" t="str">
        <f t="shared" si="25"/>
        <v/>
      </c>
      <c r="G7589" s="59" t="str">
        <f t="shared" si="26"/>
        <v/>
      </c>
      <c r="H7589" s="59" t="str">
        <f t="shared" si="27"/>
        <v>28H00669</v>
      </c>
      <c r="I7589" s="59" t="str">
        <f>IF(OR($A7589="",$C7589="",$D7589="",$E7589="",$H7589=""),"",SUMIFS(DATA_GOC!$H:$H,DATA_GOC!$A:$A,"BOM",DATA_GOC!$D:$D,$H7589,DATA_GOC!$E:$E,$C7589,DATA_GOC!$F:$F,"Xuất nội bộ từ téc",DATA_GOC!$B:$B,"&gt;="&amp;$D7589,DATA_GOC!$B:$B,"&lt;="&amp;$E7589))</f>
        <v/>
      </c>
      <c r="J7589" s="59">
        <f t="shared" si="28"/>
        <v>0</v>
      </c>
      <c r="K7589" s="59">
        <f t="shared" si="29"/>
        <v>0</v>
      </c>
      <c r="L7589" s="59">
        <f t="shared" si="30"/>
        <v>0</v>
      </c>
      <c r="M7589" s="59">
        <f t="shared" si="31"/>
        <v>0</v>
      </c>
    </row>
    <row r="7590" ht="15.0" hidden="1" customHeight="1">
      <c r="A7590" s="59">
        <f t="shared" si="20"/>
        <v>123</v>
      </c>
      <c r="B7590" s="59" t="str">
        <f t="shared" si="21"/>
        <v/>
      </c>
      <c r="C7590" s="59" t="str">
        <f t="shared" si="22"/>
        <v/>
      </c>
      <c r="D7590" s="45" t="str">
        <f t="shared" si="23"/>
        <v/>
      </c>
      <c r="E7590" s="45" t="str">
        <f t="shared" si="24"/>
        <v/>
      </c>
      <c r="F7590" s="59" t="str">
        <f t="shared" si="25"/>
        <v/>
      </c>
      <c r="G7590" s="59" t="str">
        <f t="shared" si="26"/>
        <v/>
      </c>
      <c r="H7590" s="59" t="str">
        <f t="shared" si="27"/>
        <v>28H00680</v>
      </c>
      <c r="I7590" s="59" t="str">
        <f>IF(OR($A7590="",$C7590="",$D7590="",$E7590="",$H7590=""),"",SUMIFS(DATA_GOC!$H:$H,DATA_GOC!$A:$A,"BOM",DATA_GOC!$D:$D,$H7590,DATA_GOC!$E:$E,$C7590,DATA_GOC!$F:$F,"Xuất nội bộ từ téc",DATA_GOC!$B:$B,"&gt;="&amp;$D7590,DATA_GOC!$B:$B,"&lt;="&amp;$E7590))</f>
        <v/>
      </c>
      <c r="J7590" s="59">
        <f t="shared" si="28"/>
        <v>0</v>
      </c>
      <c r="K7590" s="59">
        <f t="shared" si="29"/>
        <v>0</v>
      </c>
      <c r="L7590" s="59">
        <f t="shared" si="30"/>
        <v>0</v>
      </c>
      <c r="M7590" s="59">
        <f t="shared" si="31"/>
        <v>0</v>
      </c>
    </row>
    <row r="7591" ht="15.0" hidden="1" customHeight="1">
      <c r="A7591" s="59">
        <f t="shared" si="20"/>
        <v>123</v>
      </c>
      <c r="B7591" s="59" t="str">
        <f t="shared" si="21"/>
        <v/>
      </c>
      <c r="C7591" s="59" t="str">
        <f t="shared" si="22"/>
        <v/>
      </c>
      <c r="D7591" s="45" t="str">
        <f t="shared" si="23"/>
        <v/>
      </c>
      <c r="E7591" s="45" t="str">
        <f t="shared" si="24"/>
        <v/>
      </c>
      <c r="F7591" s="59" t="str">
        <f t="shared" si="25"/>
        <v/>
      </c>
      <c r="G7591" s="59" t="str">
        <f t="shared" si="26"/>
        <v/>
      </c>
      <c r="H7591" s="59" t="str">
        <f t="shared" si="27"/>
        <v>28H01070</v>
      </c>
      <c r="I7591" s="59" t="str">
        <f>IF(OR($A7591="",$C7591="",$D7591="",$E7591="",$H7591=""),"",SUMIFS(DATA_GOC!$H:$H,DATA_GOC!$A:$A,"BOM",DATA_GOC!$D:$D,$H7591,DATA_GOC!$E:$E,$C7591,DATA_GOC!$F:$F,"Xuất nội bộ từ téc",DATA_GOC!$B:$B,"&gt;="&amp;$D7591,DATA_GOC!$B:$B,"&lt;="&amp;$E7591))</f>
        <v/>
      </c>
      <c r="J7591" s="59">
        <f t="shared" si="28"/>
        <v>0</v>
      </c>
      <c r="K7591" s="59">
        <f t="shared" si="29"/>
        <v>0</v>
      </c>
      <c r="L7591" s="59">
        <f t="shared" si="30"/>
        <v>0</v>
      </c>
      <c r="M7591" s="59">
        <f t="shared" si="31"/>
        <v>0</v>
      </c>
    </row>
    <row r="7592" ht="15.0" hidden="1" customHeight="1">
      <c r="A7592" s="59">
        <f t="shared" si="20"/>
        <v>123</v>
      </c>
      <c r="B7592" s="59" t="str">
        <f t="shared" si="21"/>
        <v/>
      </c>
      <c r="C7592" s="59" t="str">
        <f t="shared" si="22"/>
        <v/>
      </c>
      <c r="D7592" s="45" t="str">
        <f t="shared" si="23"/>
        <v/>
      </c>
      <c r="E7592" s="45" t="str">
        <f t="shared" si="24"/>
        <v/>
      </c>
      <c r="F7592" s="59" t="str">
        <f t="shared" si="25"/>
        <v/>
      </c>
      <c r="G7592" s="59" t="str">
        <f t="shared" si="26"/>
        <v/>
      </c>
      <c r="H7592" s="59" t="str">
        <f t="shared" si="27"/>
        <v>28H01364</v>
      </c>
      <c r="I7592" s="59" t="str">
        <f>IF(OR($A7592="",$C7592="",$D7592="",$E7592="",$H7592=""),"",SUMIFS(DATA_GOC!$H:$H,DATA_GOC!$A:$A,"BOM",DATA_GOC!$D:$D,$H7592,DATA_GOC!$E:$E,$C7592,DATA_GOC!$F:$F,"Xuất nội bộ từ téc",DATA_GOC!$B:$B,"&gt;="&amp;$D7592,DATA_GOC!$B:$B,"&lt;="&amp;$E7592))</f>
        <v/>
      </c>
      <c r="J7592" s="59">
        <f t="shared" si="28"/>
        <v>0</v>
      </c>
      <c r="K7592" s="59">
        <f t="shared" si="29"/>
        <v>0</v>
      </c>
      <c r="L7592" s="59">
        <f t="shared" si="30"/>
        <v>0</v>
      </c>
      <c r="M7592" s="59">
        <f t="shared" si="31"/>
        <v>0</v>
      </c>
    </row>
    <row r="7593" ht="15.0" hidden="1" customHeight="1">
      <c r="A7593" s="59">
        <f t="shared" si="20"/>
        <v>123</v>
      </c>
      <c r="B7593" s="59" t="str">
        <f t="shared" si="21"/>
        <v/>
      </c>
      <c r="C7593" s="59" t="str">
        <f t="shared" si="22"/>
        <v/>
      </c>
      <c r="D7593" s="45" t="str">
        <f t="shared" si="23"/>
        <v/>
      </c>
      <c r="E7593" s="45" t="str">
        <f t="shared" si="24"/>
        <v/>
      </c>
      <c r="F7593" s="59" t="str">
        <f t="shared" si="25"/>
        <v/>
      </c>
      <c r="G7593" s="59" t="str">
        <f t="shared" si="26"/>
        <v/>
      </c>
      <c r="H7593" s="59" t="str">
        <f t="shared" si="27"/>
        <v>29E17269</v>
      </c>
      <c r="I7593" s="59" t="str">
        <f>IF(OR($A7593="",$C7593="",$D7593="",$E7593="",$H7593=""),"",SUMIFS(DATA_GOC!$H:$H,DATA_GOC!$A:$A,"BOM",DATA_GOC!$D:$D,$H7593,DATA_GOC!$E:$E,$C7593,DATA_GOC!$F:$F,"Xuất nội bộ từ téc",DATA_GOC!$B:$B,"&gt;="&amp;$D7593,DATA_GOC!$B:$B,"&lt;="&amp;$E7593))</f>
        <v/>
      </c>
      <c r="J7593" s="59">
        <f t="shared" si="28"/>
        <v>0</v>
      </c>
      <c r="K7593" s="59">
        <f t="shared" si="29"/>
        <v>0</v>
      </c>
      <c r="L7593" s="59">
        <f t="shared" si="30"/>
        <v>0</v>
      </c>
      <c r="M7593" s="59">
        <f t="shared" si="31"/>
        <v>0</v>
      </c>
    </row>
    <row r="7594" ht="15.0" hidden="1" customHeight="1">
      <c r="A7594" s="59">
        <f t="shared" si="20"/>
        <v>123</v>
      </c>
      <c r="B7594" s="59" t="str">
        <f t="shared" si="21"/>
        <v/>
      </c>
      <c r="C7594" s="59" t="str">
        <f t="shared" si="22"/>
        <v/>
      </c>
      <c r="D7594" s="45" t="str">
        <f t="shared" si="23"/>
        <v/>
      </c>
      <c r="E7594" s="45" t="str">
        <f t="shared" si="24"/>
        <v/>
      </c>
      <c r="F7594" s="59" t="str">
        <f t="shared" si="25"/>
        <v/>
      </c>
      <c r="G7594" s="59" t="str">
        <f t="shared" si="26"/>
        <v/>
      </c>
      <c r="H7594" s="59" t="str">
        <f t="shared" si="27"/>
        <v>29E17273</v>
      </c>
      <c r="I7594" s="59" t="str">
        <f>IF(OR($A7594="",$C7594="",$D7594="",$E7594="",$H7594=""),"",SUMIFS(DATA_GOC!$H:$H,DATA_GOC!$A:$A,"BOM",DATA_GOC!$D:$D,$H7594,DATA_GOC!$E:$E,$C7594,DATA_GOC!$F:$F,"Xuất nội bộ từ téc",DATA_GOC!$B:$B,"&gt;="&amp;$D7594,DATA_GOC!$B:$B,"&lt;="&amp;$E7594))</f>
        <v/>
      </c>
      <c r="J7594" s="59">
        <f t="shared" si="28"/>
        <v>0</v>
      </c>
      <c r="K7594" s="59">
        <f t="shared" si="29"/>
        <v>0</v>
      </c>
      <c r="L7594" s="59">
        <f t="shared" si="30"/>
        <v>0</v>
      </c>
      <c r="M7594" s="59">
        <f t="shared" si="31"/>
        <v>0</v>
      </c>
    </row>
    <row r="7595" ht="15.0" hidden="1" customHeight="1">
      <c r="A7595" s="59">
        <f t="shared" si="20"/>
        <v>123</v>
      </c>
      <c r="B7595" s="59" t="str">
        <f t="shared" si="21"/>
        <v/>
      </c>
      <c r="C7595" s="59" t="str">
        <f t="shared" si="22"/>
        <v/>
      </c>
      <c r="D7595" s="45" t="str">
        <f t="shared" si="23"/>
        <v/>
      </c>
      <c r="E7595" s="45" t="str">
        <f t="shared" si="24"/>
        <v/>
      </c>
      <c r="F7595" s="59" t="str">
        <f t="shared" si="25"/>
        <v/>
      </c>
      <c r="G7595" s="59" t="str">
        <f t="shared" si="26"/>
        <v/>
      </c>
      <c r="H7595" s="59" t="str">
        <f t="shared" si="27"/>
        <v>29E17410</v>
      </c>
      <c r="I7595" s="59" t="str">
        <f>IF(OR($A7595="",$C7595="",$D7595="",$E7595="",$H7595=""),"",SUMIFS(DATA_GOC!$H:$H,DATA_GOC!$A:$A,"BOM",DATA_GOC!$D:$D,$H7595,DATA_GOC!$E:$E,$C7595,DATA_GOC!$F:$F,"Xuất nội bộ từ téc",DATA_GOC!$B:$B,"&gt;="&amp;$D7595,DATA_GOC!$B:$B,"&lt;="&amp;$E7595))</f>
        <v/>
      </c>
      <c r="J7595" s="59">
        <f t="shared" si="28"/>
        <v>0</v>
      </c>
      <c r="K7595" s="59">
        <f t="shared" si="29"/>
        <v>0</v>
      </c>
      <c r="L7595" s="59">
        <f t="shared" si="30"/>
        <v>0</v>
      </c>
      <c r="M7595" s="59">
        <f t="shared" si="31"/>
        <v>0</v>
      </c>
    </row>
    <row r="7596" ht="15.0" hidden="1" customHeight="1">
      <c r="A7596" s="59">
        <f t="shared" si="20"/>
        <v>123</v>
      </c>
      <c r="B7596" s="59" t="str">
        <f t="shared" si="21"/>
        <v/>
      </c>
      <c r="C7596" s="59" t="str">
        <f t="shared" si="22"/>
        <v/>
      </c>
      <c r="D7596" s="45" t="str">
        <f t="shared" si="23"/>
        <v/>
      </c>
      <c r="E7596" s="45" t="str">
        <f t="shared" si="24"/>
        <v/>
      </c>
      <c r="F7596" s="59" t="str">
        <f t="shared" si="25"/>
        <v/>
      </c>
      <c r="G7596" s="59" t="str">
        <f t="shared" si="26"/>
        <v/>
      </c>
      <c r="H7596" s="59" t="str">
        <f t="shared" si="27"/>
        <v>29E17417</v>
      </c>
      <c r="I7596" s="59" t="str">
        <f>IF(OR($A7596="",$C7596="",$D7596="",$E7596="",$H7596=""),"",SUMIFS(DATA_GOC!$H:$H,DATA_GOC!$A:$A,"BOM",DATA_GOC!$D:$D,$H7596,DATA_GOC!$E:$E,$C7596,DATA_GOC!$F:$F,"Xuất nội bộ từ téc",DATA_GOC!$B:$B,"&gt;="&amp;$D7596,DATA_GOC!$B:$B,"&lt;="&amp;$E7596))</f>
        <v/>
      </c>
      <c r="J7596" s="59">
        <f t="shared" si="28"/>
        <v>0</v>
      </c>
      <c r="K7596" s="59">
        <f t="shared" si="29"/>
        <v>0</v>
      </c>
      <c r="L7596" s="59">
        <f t="shared" si="30"/>
        <v>0</v>
      </c>
      <c r="M7596" s="59">
        <f t="shared" si="31"/>
        <v>0</v>
      </c>
    </row>
    <row r="7597" ht="15.0" hidden="1" customHeight="1">
      <c r="A7597" s="59">
        <f t="shared" si="20"/>
        <v>123</v>
      </c>
      <c r="B7597" s="59" t="str">
        <f t="shared" si="21"/>
        <v/>
      </c>
      <c r="C7597" s="59" t="str">
        <f t="shared" si="22"/>
        <v/>
      </c>
      <c r="D7597" s="45" t="str">
        <f t="shared" si="23"/>
        <v/>
      </c>
      <c r="E7597" s="45" t="str">
        <f t="shared" si="24"/>
        <v/>
      </c>
      <c r="F7597" s="59" t="str">
        <f t="shared" si="25"/>
        <v/>
      </c>
      <c r="G7597" s="59" t="str">
        <f t="shared" si="26"/>
        <v/>
      </c>
      <c r="H7597" s="59" t="str">
        <f t="shared" si="27"/>
        <v>29E17539</v>
      </c>
      <c r="I7597" s="59" t="str">
        <f>IF(OR($A7597="",$C7597="",$D7597="",$E7597="",$H7597=""),"",SUMIFS(DATA_GOC!$H:$H,DATA_GOC!$A:$A,"BOM",DATA_GOC!$D:$D,$H7597,DATA_GOC!$E:$E,$C7597,DATA_GOC!$F:$F,"Xuất nội bộ từ téc",DATA_GOC!$B:$B,"&gt;="&amp;$D7597,DATA_GOC!$B:$B,"&lt;="&amp;$E7597))</f>
        <v/>
      </c>
      <c r="J7597" s="59">
        <f t="shared" si="28"/>
        <v>0</v>
      </c>
      <c r="K7597" s="59">
        <f t="shared" si="29"/>
        <v>0</v>
      </c>
      <c r="L7597" s="59">
        <f t="shared" si="30"/>
        <v>0</v>
      </c>
      <c r="M7597" s="59">
        <f t="shared" si="31"/>
        <v>0</v>
      </c>
    </row>
    <row r="7598" ht="15.0" hidden="1" customHeight="1">
      <c r="A7598" s="59">
        <f t="shared" si="20"/>
        <v>123</v>
      </c>
      <c r="B7598" s="59" t="str">
        <f t="shared" si="21"/>
        <v/>
      </c>
      <c r="C7598" s="59" t="str">
        <f t="shared" si="22"/>
        <v/>
      </c>
      <c r="D7598" s="45" t="str">
        <f t="shared" si="23"/>
        <v/>
      </c>
      <c r="E7598" s="45" t="str">
        <f t="shared" si="24"/>
        <v/>
      </c>
      <c r="F7598" s="59" t="str">
        <f t="shared" si="25"/>
        <v/>
      </c>
      <c r="G7598" s="59" t="str">
        <f t="shared" si="26"/>
        <v/>
      </c>
      <c r="H7598" s="59" t="str">
        <f t="shared" si="27"/>
        <v>29E18160</v>
      </c>
      <c r="I7598" s="59" t="str">
        <f>IF(OR($A7598="",$C7598="",$D7598="",$E7598="",$H7598=""),"",SUMIFS(DATA_GOC!$H:$H,DATA_GOC!$A:$A,"BOM",DATA_GOC!$D:$D,$H7598,DATA_GOC!$E:$E,$C7598,DATA_GOC!$F:$F,"Xuất nội bộ từ téc",DATA_GOC!$B:$B,"&gt;="&amp;$D7598,DATA_GOC!$B:$B,"&lt;="&amp;$E7598))</f>
        <v/>
      </c>
      <c r="J7598" s="59">
        <f t="shared" si="28"/>
        <v>0</v>
      </c>
      <c r="K7598" s="59">
        <f t="shared" si="29"/>
        <v>0</v>
      </c>
      <c r="L7598" s="59">
        <f t="shared" si="30"/>
        <v>0</v>
      </c>
      <c r="M7598" s="59">
        <f t="shared" si="31"/>
        <v>0</v>
      </c>
    </row>
    <row r="7599" ht="15.0" hidden="1" customHeight="1">
      <c r="A7599" s="59">
        <f t="shared" si="20"/>
        <v>123</v>
      </c>
      <c r="B7599" s="59" t="str">
        <f t="shared" si="21"/>
        <v/>
      </c>
      <c r="C7599" s="59" t="str">
        <f t="shared" si="22"/>
        <v/>
      </c>
      <c r="D7599" s="45" t="str">
        <f t="shared" si="23"/>
        <v/>
      </c>
      <c r="E7599" s="45" t="str">
        <f t="shared" si="24"/>
        <v/>
      </c>
      <c r="F7599" s="59" t="str">
        <f t="shared" si="25"/>
        <v/>
      </c>
      <c r="G7599" s="59" t="str">
        <f t="shared" si="26"/>
        <v/>
      </c>
      <c r="H7599" s="59" t="str">
        <f t="shared" si="27"/>
        <v>Công trình Asphalt</v>
      </c>
      <c r="I7599" s="59" t="str">
        <f>IF(OR($A7599="",$C7599="",$D7599="",$E7599="",$H7599=""),"",SUMIFS(DATA_GOC!$H:$H,DATA_GOC!$A:$A,"BOM",DATA_GOC!$D:$D,$H7599,DATA_GOC!$E:$E,$C7599,DATA_GOC!$F:$F,"Xuất nội bộ từ téc",DATA_GOC!$B:$B,"&gt;="&amp;$D7599,DATA_GOC!$B:$B,"&lt;="&amp;$E7599))</f>
        <v/>
      </c>
      <c r="J7599" s="59">
        <f t="shared" si="28"/>
        <v>0</v>
      </c>
      <c r="K7599" s="59">
        <f t="shared" si="29"/>
        <v>0</v>
      </c>
      <c r="L7599" s="59">
        <f t="shared" si="30"/>
        <v>0</v>
      </c>
      <c r="M7599" s="59">
        <f t="shared" si="31"/>
        <v>0</v>
      </c>
    </row>
    <row r="7600" ht="15.0" hidden="1" customHeight="1">
      <c r="A7600" s="59">
        <f t="shared" si="20"/>
        <v>123</v>
      </c>
      <c r="B7600" s="59" t="str">
        <f t="shared" si="21"/>
        <v/>
      </c>
      <c r="C7600" s="59" t="str">
        <f t="shared" si="22"/>
        <v/>
      </c>
      <c r="D7600" s="45" t="str">
        <f t="shared" si="23"/>
        <v/>
      </c>
      <c r="E7600" s="45" t="str">
        <f t="shared" si="24"/>
        <v/>
      </c>
      <c r="F7600" s="59" t="str">
        <f t="shared" si="25"/>
        <v/>
      </c>
      <c r="G7600" s="59" t="str">
        <f t="shared" si="26"/>
        <v/>
      </c>
      <c r="H7600" s="59" t="str">
        <f t="shared" si="27"/>
        <v>LG53F</v>
      </c>
      <c r="I7600" s="59" t="str">
        <f>IF(OR($A7600="",$C7600="",$D7600="",$E7600="",$H7600=""),"",SUMIFS(DATA_GOC!$H:$H,DATA_GOC!$A:$A,"BOM",DATA_GOC!$D:$D,$H7600,DATA_GOC!$E:$E,$C7600,DATA_GOC!$F:$F,"Xuất nội bộ từ téc",DATA_GOC!$B:$B,"&gt;="&amp;$D7600,DATA_GOC!$B:$B,"&lt;="&amp;$E7600))</f>
        <v/>
      </c>
      <c r="J7600" s="59">
        <f t="shared" si="28"/>
        <v>0</v>
      </c>
      <c r="K7600" s="59">
        <f t="shared" si="29"/>
        <v>0</v>
      </c>
      <c r="L7600" s="59">
        <f t="shared" si="30"/>
        <v>0</v>
      </c>
      <c r="M7600" s="59">
        <f t="shared" si="31"/>
        <v>0</v>
      </c>
    </row>
    <row r="7601" ht="15.0" hidden="1" customHeight="1">
      <c r="A7601" s="59">
        <f t="shared" si="20"/>
        <v>123</v>
      </c>
      <c r="B7601" s="59" t="str">
        <f t="shared" si="21"/>
        <v/>
      </c>
      <c r="C7601" s="59" t="str">
        <f t="shared" si="22"/>
        <v/>
      </c>
      <c r="D7601" s="45" t="str">
        <f t="shared" si="23"/>
        <v/>
      </c>
      <c r="E7601" s="45" t="str">
        <f t="shared" si="24"/>
        <v/>
      </c>
      <c r="F7601" s="59" t="str">
        <f t="shared" si="25"/>
        <v/>
      </c>
      <c r="G7601" s="59" t="str">
        <f t="shared" si="26"/>
        <v/>
      </c>
      <c r="H7601" s="59" t="str">
        <f t="shared" si="27"/>
        <v>Máy phát điện</v>
      </c>
      <c r="I7601" s="59" t="str">
        <f>IF(OR($A7601="",$C7601="",$D7601="",$E7601="",$H7601=""),"",SUMIFS(DATA_GOC!$H:$H,DATA_GOC!$A:$A,"BOM",DATA_GOC!$D:$D,$H7601,DATA_GOC!$E:$E,$C7601,DATA_GOC!$F:$F,"Xuất nội bộ từ téc",DATA_GOC!$B:$B,"&gt;="&amp;$D7601,DATA_GOC!$B:$B,"&lt;="&amp;$E7601))</f>
        <v/>
      </c>
      <c r="J7601" s="59">
        <f t="shared" si="28"/>
        <v>0</v>
      </c>
      <c r="K7601" s="59">
        <f t="shared" si="29"/>
        <v>0</v>
      </c>
      <c r="L7601" s="59">
        <f t="shared" si="30"/>
        <v>0</v>
      </c>
      <c r="M7601" s="59">
        <f t="shared" si="31"/>
        <v>0</v>
      </c>
    </row>
    <row r="7602" ht="15.0" hidden="1" customHeight="1">
      <c r="A7602" s="59">
        <f t="shared" si="20"/>
        <v>123</v>
      </c>
      <c r="B7602" s="59" t="str">
        <f t="shared" si="21"/>
        <v/>
      </c>
      <c r="C7602" s="59" t="str">
        <f t="shared" si="22"/>
        <v/>
      </c>
      <c r="D7602" s="45" t="str">
        <f t="shared" si="23"/>
        <v/>
      </c>
      <c r="E7602" s="45" t="str">
        <f t="shared" si="24"/>
        <v/>
      </c>
      <c r="F7602" s="59" t="str">
        <f t="shared" si="25"/>
        <v/>
      </c>
      <c r="G7602" s="59" t="str">
        <f t="shared" si="26"/>
        <v/>
      </c>
      <c r="H7602" s="59" t="str">
        <f t="shared" si="27"/>
        <v>Máy rải thảm</v>
      </c>
      <c r="I7602" s="59" t="str">
        <f>IF(OR($A7602="",$C7602="",$D7602="",$E7602="",$H7602=""),"",SUMIFS(DATA_GOC!$H:$H,DATA_GOC!$A:$A,"BOM",DATA_GOC!$D:$D,$H7602,DATA_GOC!$E:$E,$C7602,DATA_GOC!$F:$F,"Xuất nội bộ từ téc",DATA_GOC!$B:$B,"&gt;="&amp;$D7602,DATA_GOC!$B:$B,"&lt;="&amp;$E7602))</f>
        <v/>
      </c>
      <c r="J7602" s="59">
        <f t="shared" si="28"/>
        <v>0</v>
      </c>
      <c r="K7602" s="59">
        <f t="shared" si="29"/>
        <v>0</v>
      </c>
      <c r="L7602" s="59">
        <f t="shared" si="30"/>
        <v>0</v>
      </c>
      <c r="M7602" s="59">
        <f t="shared" si="31"/>
        <v>0</v>
      </c>
    </row>
    <row r="7603" ht="15.0" hidden="1" customHeight="1">
      <c r="A7603" s="59">
        <f t="shared" si="20"/>
        <v>123</v>
      </c>
      <c r="B7603" s="59" t="str">
        <f t="shared" si="21"/>
        <v/>
      </c>
      <c r="C7603" s="59" t="str">
        <f t="shared" si="22"/>
        <v/>
      </c>
      <c r="D7603" s="45" t="str">
        <f t="shared" si="23"/>
        <v/>
      </c>
      <c r="E7603" s="45" t="str">
        <f t="shared" si="24"/>
        <v/>
      </c>
      <c r="F7603" s="59" t="str">
        <f t="shared" si="25"/>
        <v/>
      </c>
      <c r="G7603" s="59" t="str">
        <f t="shared" si="26"/>
        <v/>
      </c>
      <c r="H7603" s="59" t="str">
        <f t="shared" si="27"/>
        <v>Xúc Đào</v>
      </c>
      <c r="I7603" s="59" t="str">
        <f>IF(OR($A7603="",$C7603="",$D7603="",$E7603="",$H7603=""),"",SUMIFS(DATA_GOC!$H:$H,DATA_GOC!$A:$A,"BOM",DATA_GOC!$D:$D,$H7603,DATA_GOC!$E:$E,$C7603,DATA_GOC!$F:$F,"Xuất nội bộ từ téc",DATA_GOC!$B:$B,"&gt;="&amp;$D7603,DATA_GOC!$B:$B,"&lt;="&amp;$E7603))</f>
        <v/>
      </c>
      <c r="J7603" s="59">
        <f t="shared" si="28"/>
        <v>0</v>
      </c>
      <c r="K7603" s="59">
        <f t="shared" si="29"/>
        <v>0</v>
      </c>
      <c r="L7603" s="59">
        <f t="shared" si="30"/>
        <v>0</v>
      </c>
      <c r="M7603" s="59">
        <f t="shared" si="31"/>
        <v>0</v>
      </c>
    </row>
    <row r="7604" ht="15.0" hidden="1" customHeight="1">
      <c r="A7604" s="59">
        <f t="shared" si="20"/>
        <v>123</v>
      </c>
      <c r="B7604" s="59" t="str">
        <f t="shared" si="21"/>
        <v/>
      </c>
      <c r="C7604" s="59" t="str">
        <f t="shared" si="22"/>
        <v/>
      </c>
      <c r="D7604" s="45" t="str">
        <f t="shared" si="23"/>
        <v/>
      </c>
      <c r="E7604" s="45" t="str">
        <f t="shared" si="24"/>
        <v/>
      </c>
      <c r="F7604" s="59" t="str">
        <f t="shared" si="25"/>
        <v/>
      </c>
      <c r="G7604" s="59" t="str">
        <f t="shared" si="26"/>
        <v/>
      </c>
      <c r="H7604" s="59" t="str">
        <f t="shared" si="27"/>
        <v>Xúclật asphalt</v>
      </c>
      <c r="I7604" s="59" t="str">
        <f>IF(OR($A7604="",$C7604="",$D7604="",$E7604="",$H7604=""),"",SUMIFS(DATA_GOC!$H:$H,DATA_GOC!$A:$A,"BOM",DATA_GOC!$D:$D,$H7604,DATA_GOC!$E:$E,$C7604,DATA_GOC!$F:$F,"Xuất nội bộ từ téc",DATA_GOC!$B:$B,"&gt;="&amp;$D7604,DATA_GOC!$B:$B,"&lt;="&amp;$E7604))</f>
        <v/>
      </c>
      <c r="J7604" s="59">
        <f t="shared" si="28"/>
        <v>0</v>
      </c>
      <c r="K7604" s="59">
        <f t="shared" si="29"/>
        <v>0</v>
      </c>
      <c r="L7604" s="59">
        <f t="shared" si="30"/>
        <v>0</v>
      </c>
      <c r="M7604" s="59">
        <f t="shared" si="31"/>
        <v>0</v>
      </c>
    </row>
    <row r="7605" ht="15.0" hidden="1" customHeight="1">
      <c r="A7605" s="59">
        <f t="shared" si="20"/>
        <v>123</v>
      </c>
      <c r="B7605" s="59" t="str">
        <f t="shared" si="21"/>
        <v/>
      </c>
      <c r="C7605" s="59" t="str">
        <f t="shared" si="22"/>
        <v/>
      </c>
      <c r="D7605" s="45" t="str">
        <f t="shared" si="23"/>
        <v/>
      </c>
      <c r="E7605" s="45" t="str">
        <f t="shared" si="24"/>
        <v/>
      </c>
      <c r="F7605" s="59" t="str">
        <f t="shared" si="25"/>
        <v/>
      </c>
      <c r="G7605" s="59" t="str">
        <f t="shared" si="26"/>
        <v/>
      </c>
      <c r="H7605" s="59" t="str">
        <f t="shared" si="27"/>
        <v>Xúclật855H</v>
      </c>
      <c r="I7605" s="59" t="str">
        <f>IF(OR($A7605="",$C7605="",$D7605="",$E7605="",$H7605=""),"",SUMIFS(DATA_GOC!$H:$H,DATA_GOC!$A:$A,"BOM",DATA_GOC!$D:$D,$H7605,DATA_GOC!$E:$E,$C7605,DATA_GOC!$F:$F,"Xuất nội bộ từ téc",DATA_GOC!$B:$B,"&gt;="&amp;$D7605,DATA_GOC!$B:$B,"&lt;="&amp;$E7605))</f>
        <v/>
      </c>
      <c r="J7605" s="59">
        <f t="shared" si="28"/>
        <v>0</v>
      </c>
      <c r="K7605" s="59">
        <f t="shared" si="29"/>
        <v>0</v>
      </c>
      <c r="L7605" s="59">
        <f t="shared" si="30"/>
        <v>0</v>
      </c>
      <c r="M7605" s="59">
        <f t="shared" si="31"/>
        <v>0</v>
      </c>
    </row>
    <row r="7606" ht="15.0" hidden="1" customHeight="1">
      <c r="A7606" s="59">
        <f t="shared" si="20"/>
        <v>123</v>
      </c>
      <c r="B7606" s="59" t="str">
        <f t="shared" si="21"/>
        <v/>
      </c>
      <c r="C7606" s="59" t="str">
        <f t="shared" si="22"/>
        <v/>
      </c>
      <c r="D7606" s="45" t="str">
        <f t="shared" si="23"/>
        <v/>
      </c>
      <c r="E7606" s="45" t="str">
        <f t="shared" si="24"/>
        <v/>
      </c>
      <c r="F7606" s="59" t="str">
        <f t="shared" si="25"/>
        <v/>
      </c>
      <c r="G7606" s="59" t="str">
        <f t="shared" si="26"/>
        <v/>
      </c>
      <c r="H7606" s="59" t="str">
        <f t="shared" si="27"/>
        <v>Xúclật855N</v>
      </c>
      <c r="I7606" s="59" t="str">
        <f>IF(OR($A7606="",$C7606="",$D7606="",$E7606="",$H7606=""),"",SUMIFS(DATA_GOC!$H:$H,DATA_GOC!$A:$A,"BOM",DATA_GOC!$D:$D,$H7606,DATA_GOC!$E:$E,$C7606,DATA_GOC!$F:$F,"Xuất nội bộ từ téc",DATA_GOC!$B:$B,"&gt;="&amp;$D7606,DATA_GOC!$B:$B,"&lt;="&amp;$E7606))</f>
        <v/>
      </c>
      <c r="J7606" s="59">
        <f t="shared" si="28"/>
        <v>0</v>
      </c>
      <c r="K7606" s="59">
        <f t="shared" si="29"/>
        <v>0</v>
      </c>
      <c r="L7606" s="59">
        <f t="shared" si="30"/>
        <v>0</v>
      </c>
      <c r="M7606" s="59">
        <f t="shared" si="31"/>
        <v>0</v>
      </c>
    </row>
    <row r="7607" ht="15.0" hidden="1" customHeight="1">
      <c r="A7607" s="59">
        <f t="shared" si="20"/>
        <v>123</v>
      </c>
      <c r="B7607" s="59" t="str">
        <f t="shared" si="21"/>
        <v/>
      </c>
      <c r="C7607" s="59" t="str">
        <f t="shared" si="22"/>
        <v/>
      </c>
      <c r="D7607" s="45" t="str">
        <f t="shared" si="23"/>
        <v/>
      </c>
      <c r="E7607" s="45" t="str">
        <f t="shared" si="24"/>
        <v/>
      </c>
      <c r="F7607" s="59" t="str">
        <f t="shared" si="25"/>
        <v/>
      </c>
      <c r="G7607" s="59" t="str">
        <f t="shared" si="26"/>
        <v/>
      </c>
      <c r="H7607" s="59" t="str">
        <f t="shared" si="27"/>
        <v>Cát nghiền</v>
      </c>
      <c r="I7607" s="59" t="str">
        <f>IF(OR($A7607="",$C7607="",$D7607="",$E7607="",$H7607=""),"",SUMIFS(DATA_GOC!$H:$H,DATA_GOC!$A:$A,"BOM",DATA_GOC!$D:$D,$H7607,DATA_GOC!$E:$E,$C7607,DATA_GOC!$F:$F,"Xuất nội bộ từ téc",DATA_GOC!$B:$B,"&gt;="&amp;$D7607,DATA_GOC!$B:$B,"&lt;="&amp;$E7607))</f>
        <v/>
      </c>
      <c r="J7607" s="59">
        <f t="shared" si="28"/>
        <v>0</v>
      </c>
      <c r="K7607" s="59">
        <f t="shared" si="29"/>
        <v>0</v>
      </c>
      <c r="L7607" s="59">
        <f t="shared" si="30"/>
        <v>0</v>
      </c>
      <c r="M7607" s="59">
        <f t="shared" si="31"/>
        <v>0</v>
      </c>
    </row>
    <row r="7608" ht="15.0" hidden="1" customHeight="1">
      <c r="A7608" s="59">
        <f t="shared" si="20"/>
        <v>123</v>
      </c>
      <c r="B7608" s="59" t="str">
        <f t="shared" si="21"/>
        <v/>
      </c>
      <c r="C7608" s="59" t="str">
        <f t="shared" si="22"/>
        <v/>
      </c>
      <c r="D7608" s="45" t="str">
        <f t="shared" si="23"/>
        <v/>
      </c>
      <c r="E7608" s="45" t="str">
        <f t="shared" si="24"/>
        <v/>
      </c>
      <c r="F7608" s="59" t="str">
        <f t="shared" si="25"/>
        <v/>
      </c>
      <c r="G7608" s="59" t="str">
        <f t="shared" si="26"/>
        <v/>
      </c>
      <c r="H7608" s="59" t="str">
        <f t="shared" si="27"/>
        <v>28C02973</v>
      </c>
      <c r="I7608" s="59" t="str">
        <f>IF(OR($A7608="",$C7608="",$D7608="",$E7608="",$H7608=""),"",SUMIFS(DATA_GOC!$H:$H,DATA_GOC!$A:$A,"BOM",DATA_GOC!$D:$D,$H7608,DATA_GOC!$E:$E,$C7608,DATA_GOC!$F:$F,"Xuất nội bộ từ téc",DATA_GOC!$B:$B,"&gt;="&amp;$D7608,DATA_GOC!$B:$B,"&lt;="&amp;$E7608))</f>
        <v/>
      </c>
      <c r="J7608" s="59">
        <f t="shared" si="28"/>
        <v>0</v>
      </c>
      <c r="K7608" s="59">
        <f t="shared" si="29"/>
        <v>0</v>
      </c>
      <c r="L7608" s="59">
        <f t="shared" si="30"/>
        <v>0</v>
      </c>
      <c r="M7608" s="59">
        <f t="shared" si="31"/>
        <v>0</v>
      </c>
    </row>
    <row r="7609" ht="15.0" hidden="1" customHeight="1">
      <c r="A7609" s="59">
        <f t="shared" si="20"/>
        <v>123</v>
      </c>
      <c r="B7609" s="59" t="str">
        <f t="shared" si="21"/>
        <v/>
      </c>
      <c r="C7609" s="59" t="str">
        <f t="shared" si="22"/>
        <v/>
      </c>
      <c r="D7609" s="45" t="str">
        <f t="shared" si="23"/>
        <v/>
      </c>
      <c r="E7609" s="45" t="str">
        <f t="shared" si="24"/>
        <v/>
      </c>
      <c r="F7609" s="59" t="str">
        <f t="shared" si="25"/>
        <v/>
      </c>
      <c r="G7609" s="59" t="str">
        <f t="shared" si="26"/>
        <v/>
      </c>
      <c r="H7609" s="59" t="str">
        <f t="shared" si="27"/>
        <v>28C03044</v>
      </c>
      <c r="I7609" s="59" t="str">
        <f>IF(OR($A7609="",$C7609="",$D7609="",$E7609="",$H7609=""),"",SUMIFS(DATA_GOC!$H:$H,DATA_GOC!$A:$A,"BOM",DATA_GOC!$D:$D,$H7609,DATA_GOC!$E:$E,$C7609,DATA_GOC!$F:$F,"Xuất nội bộ từ téc",DATA_GOC!$B:$B,"&gt;="&amp;$D7609,DATA_GOC!$B:$B,"&lt;="&amp;$E7609))</f>
        <v/>
      </c>
      <c r="J7609" s="59">
        <f t="shared" si="28"/>
        <v>0</v>
      </c>
      <c r="K7609" s="59">
        <f t="shared" si="29"/>
        <v>0</v>
      </c>
      <c r="L7609" s="59">
        <f t="shared" si="30"/>
        <v>0</v>
      </c>
      <c r="M7609" s="59">
        <f t="shared" si="31"/>
        <v>0</v>
      </c>
    </row>
    <row r="7610" ht="15.0" hidden="1" customHeight="1">
      <c r="A7610" s="59">
        <f t="shared" si="20"/>
        <v>123</v>
      </c>
      <c r="B7610" s="59" t="str">
        <f t="shared" si="21"/>
        <v/>
      </c>
      <c r="C7610" s="59" t="str">
        <f t="shared" si="22"/>
        <v/>
      </c>
      <c r="D7610" s="45" t="str">
        <f t="shared" si="23"/>
        <v/>
      </c>
      <c r="E7610" s="45" t="str">
        <f t="shared" si="24"/>
        <v/>
      </c>
      <c r="F7610" s="59" t="str">
        <f t="shared" si="25"/>
        <v/>
      </c>
      <c r="G7610" s="59" t="str">
        <f t="shared" si="26"/>
        <v/>
      </c>
      <c r="H7610" s="59" t="str">
        <f t="shared" si="27"/>
        <v>Máy lu lốp</v>
      </c>
      <c r="I7610" s="59" t="str">
        <f>IF(OR($A7610="",$C7610="",$D7610="",$E7610="",$H7610=""),"",SUMIFS(DATA_GOC!$H:$H,DATA_GOC!$A:$A,"BOM",DATA_GOC!$D:$D,$H7610,DATA_GOC!$E:$E,$C7610,DATA_GOC!$F:$F,"Xuất nội bộ từ téc",DATA_GOC!$B:$B,"&gt;="&amp;$D7610,DATA_GOC!$B:$B,"&lt;="&amp;$E7610))</f>
        <v/>
      </c>
      <c r="J7610" s="59">
        <f t="shared" si="28"/>
        <v>0</v>
      </c>
      <c r="K7610" s="59">
        <f t="shared" si="29"/>
        <v>0</v>
      </c>
      <c r="L7610" s="59">
        <f t="shared" si="30"/>
        <v>0</v>
      </c>
      <c r="M7610" s="59">
        <f t="shared" si="31"/>
        <v>0</v>
      </c>
    </row>
    <row r="7611" ht="15.0" hidden="1" customHeight="1">
      <c r="A7611" s="59">
        <f t="shared" si="20"/>
        <v>123</v>
      </c>
      <c r="B7611" s="59" t="str">
        <f t="shared" si="21"/>
        <v/>
      </c>
      <c r="C7611" s="59" t="str">
        <f t="shared" si="22"/>
        <v/>
      </c>
      <c r="D7611" s="45" t="str">
        <f t="shared" si="23"/>
        <v/>
      </c>
      <c r="E7611" s="45" t="str">
        <f t="shared" si="24"/>
        <v/>
      </c>
      <c r="F7611" s="59" t="str">
        <f t="shared" si="25"/>
        <v/>
      </c>
      <c r="G7611" s="59" t="str">
        <f t="shared" si="26"/>
        <v/>
      </c>
      <c r="H7611" s="59" t="str">
        <f t="shared" si="27"/>
        <v>Xe 600148</v>
      </c>
      <c r="I7611" s="59" t="str">
        <f>IF(OR($A7611="",$C7611="",$D7611="",$E7611="",$H7611=""),"",SUMIFS(DATA_GOC!$H:$H,DATA_GOC!$A:$A,"BOM",DATA_GOC!$D:$D,$H7611,DATA_GOC!$E:$E,$C7611,DATA_GOC!$F:$F,"Xuất nội bộ từ téc",DATA_GOC!$B:$B,"&gt;="&amp;$D7611,DATA_GOC!$B:$B,"&lt;="&amp;$E7611))</f>
        <v/>
      </c>
      <c r="J7611" s="59">
        <f t="shared" si="28"/>
        <v>0</v>
      </c>
      <c r="K7611" s="59">
        <f t="shared" si="29"/>
        <v>0</v>
      </c>
      <c r="L7611" s="59">
        <f t="shared" si="30"/>
        <v>0</v>
      </c>
      <c r="M7611" s="59">
        <f t="shared" si="31"/>
        <v>0</v>
      </c>
    </row>
    <row r="7612" ht="15.0" hidden="1" customHeight="1">
      <c r="A7612" s="59">
        <f t="shared" si="20"/>
        <v>123</v>
      </c>
      <c r="B7612" s="59" t="str">
        <f t="shared" si="21"/>
        <v/>
      </c>
      <c r="C7612" s="59" t="str">
        <f t="shared" si="22"/>
        <v/>
      </c>
      <c r="D7612" s="45" t="str">
        <f t="shared" si="23"/>
        <v/>
      </c>
      <c r="E7612" s="45" t="str">
        <f t="shared" si="24"/>
        <v/>
      </c>
      <c r="F7612" s="59" t="str">
        <f t="shared" si="25"/>
        <v/>
      </c>
      <c r="G7612" s="59" t="str">
        <f t="shared" si="26"/>
        <v/>
      </c>
      <c r="H7612" s="59" t="str">
        <f t="shared" si="27"/>
        <v>Xe ben mới</v>
      </c>
      <c r="I7612" s="59" t="str">
        <f>IF(OR($A7612="",$C7612="",$D7612="",$E7612="",$H7612=""),"",SUMIFS(DATA_GOC!$H:$H,DATA_GOC!$A:$A,"BOM",DATA_GOC!$D:$D,$H7612,DATA_GOC!$E:$E,$C7612,DATA_GOC!$F:$F,"Xuất nội bộ từ téc",DATA_GOC!$B:$B,"&gt;="&amp;$D7612,DATA_GOC!$B:$B,"&lt;="&amp;$E7612))</f>
        <v/>
      </c>
      <c r="J7612" s="59">
        <f t="shared" si="28"/>
        <v>0</v>
      </c>
      <c r="K7612" s="59">
        <f t="shared" si="29"/>
        <v>0</v>
      </c>
      <c r="L7612" s="59">
        <f t="shared" si="30"/>
        <v>0</v>
      </c>
      <c r="M7612" s="59">
        <f t="shared" si="31"/>
        <v>0</v>
      </c>
    </row>
    <row r="7613" ht="15.0" hidden="1" customHeight="1">
      <c r="A7613" s="59">
        <f t="shared" si="20"/>
        <v>124</v>
      </c>
      <c r="B7613" s="59" t="str">
        <f t="shared" si="21"/>
        <v/>
      </c>
      <c r="C7613" s="59" t="str">
        <f t="shared" si="22"/>
        <v/>
      </c>
      <c r="D7613" s="45" t="str">
        <f t="shared" si="23"/>
        <v/>
      </c>
      <c r="E7613" s="45" t="str">
        <f t="shared" si="24"/>
        <v/>
      </c>
      <c r="F7613" s="59" t="str">
        <f t="shared" si="25"/>
        <v/>
      </c>
      <c r="G7613" s="59" t="str">
        <f t="shared" si="26"/>
        <v/>
      </c>
      <c r="H7613" s="59" t="str">
        <f t="shared" si="27"/>
        <v>19H09482</v>
      </c>
      <c r="I7613" s="59" t="str">
        <f>IF(OR($A7613="",$C7613="",$D7613="",$E7613="",$H7613=""),"",SUMIFS(DATA_GOC!$H:$H,DATA_GOC!$A:$A,"BOM",DATA_GOC!$D:$D,$H7613,DATA_GOC!$E:$E,$C7613,DATA_GOC!$F:$F,"Xuất nội bộ từ téc",DATA_GOC!$B:$B,"&gt;="&amp;$D7613,DATA_GOC!$B:$B,"&lt;="&amp;$E7613))</f>
        <v/>
      </c>
      <c r="J7613" s="59">
        <f t="shared" si="28"/>
        <v>0</v>
      </c>
      <c r="K7613" s="59">
        <f t="shared" si="29"/>
        <v>0</v>
      </c>
      <c r="L7613" s="59">
        <f t="shared" si="30"/>
        <v>0</v>
      </c>
      <c r="M7613" s="59">
        <f t="shared" si="31"/>
        <v>0</v>
      </c>
    </row>
    <row r="7614" ht="15.0" hidden="1" customHeight="1">
      <c r="A7614" s="59">
        <f t="shared" si="20"/>
        <v>124</v>
      </c>
      <c r="B7614" s="59" t="str">
        <f t="shared" si="21"/>
        <v/>
      </c>
      <c r="C7614" s="59" t="str">
        <f t="shared" si="22"/>
        <v/>
      </c>
      <c r="D7614" s="45" t="str">
        <f t="shared" si="23"/>
        <v/>
      </c>
      <c r="E7614" s="45" t="str">
        <f t="shared" si="24"/>
        <v/>
      </c>
      <c r="F7614" s="59" t="str">
        <f t="shared" si="25"/>
        <v/>
      </c>
      <c r="G7614" s="59" t="str">
        <f t="shared" si="26"/>
        <v/>
      </c>
      <c r="H7614" s="59" t="str">
        <f t="shared" si="27"/>
        <v>28A30696</v>
      </c>
      <c r="I7614" s="59" t="str">
        <f>IF(OR($A7614="",$C7614="",$D7614="",$E7614="",$H7614=""),"",SUMIFS(DATA_GOC!$H:$H,DATA_GOC!$A:$A,"BOM",DATA_GOC!$D:$D,$H7614,DATA_GOC!$E:$E,$C7614,DATA_GOC!$F:$F,"Xuất nội bộ từ téc",DATA_GOC!$B:$B,"&gt;="&amp;$D7614,DATA_GOC!$B:$B,"&lt;="&amp;$E7614))</f>
        <v/>
      </c>
      <c r="J7614" s="59">
        <f t="shared" si="28"/>
        <v>0</v>
      </c>
      <c r="K7614" s="59">
        <f t="shared" si="29"/>
        <v>0</v>
      </c>
      <c r="L7614" s="59">
        <f t="shared" si="30"/>
        <v>0</v>
      </c>
      <c r="M7614" s="59">
        <f t="shared" si="31"/>
        <v>0</v>
      </c>
    </row>
    <row r="7615" ht="15.0" hidden="1" customHeight="1">
      <c r="A7615" s="59">
        <f t="shared" si="20"/>
        <v>124</v>
      </c>
      <c r="B7615" s="59" t="str">
        <f t="shared" si="21"/>
        <v/>
      </c>
      <c r="C7615" s="59" t="str">
        <f t="shared" si="22"/>
        <v/>
      </c>
      <c r="D7615" s="45" t="str">
        <f t="shared" si="23"/>
        <v/>
      </c>
      <c r="E7615" s="45" t="str">
        <f t="shared" si="24"/>
        <v/>
      </c>
      <c r="F7615" s="59" t="str">
        <f t="shared" si="25"/>
        <v/>
      </c>
      <c r="G7615" s="59" t="str">
        <f t="shared" si="26"/>
        <v/>
      </c>
      <c r="H7615" s="59" t="str">
        <f t="shared" si="27"/>
        <v>28C00462</v>
      </c>
      <c r="I7615" s="59" t="str">
        <f>IF(OR($A7615="",$C7615="",$D7615="",$E7615="",$H7615=""),"",SUMIFS(DATA_GOC!$H:$H,DATA_GOC!$A:$A,"BOM",DATA_GOC!$D:$D,$H7615,DATA_GOC!$E:$E,$C7615,DATA_GOC!$F:$F,"Xuất nội bộ từ téc",DATA_GOC!$B:$B,"&gt;="&amp;$D7615,DATA_GOC!$B:$B,"&lt;="&amp;$E7615))</f>
        <v/>
      </c>
      <c r="J7615" s="59">
        <f t="shared" si="28"/>
        <v>0</v>
      </c>
      <c r="K7615" s="59">
        <f t="shared" si="29"/>
        <v>0</v>
      </c>
      <c r="L7615" s="59">
        <f t="shared" si="30"/>
        <v>0</v>
      </c>
      <c r="M7615" s="59">
        <f t="shared" si="31"/>
        <v>0</v>
      </c>
    </row>
    <row r="7616" ht="15.0" hidden="1" customHeight="1">
      <c r="A7616" s="59">
        <f t="shared" si="20"/>
        <v>124</v>
      </c>
      <c r="B7616" s="59" t="str">
        <f t="shared" si="21"/>
        <v/>
      </c>
      <c r="C7616" s="59" t="str">
        <f t="shared" si="22"/>
        <v/>
      </c>
      <c r="D7616" s="45" t="str">
        <f t="shared" si="23"/>
        <v/>
      </c>
      <c r="E7616" s="45" t="str">
        <f t="shared" si="24"/>
        <v/>
      </c>
      <c r="F7616" s="59" t="str">
        <f t="shared" si="25"/>
        <v/>
      </c>
      <c r="G7616" s="59" t="str">
        <f t="shared" si="26"/>
        <v/>
      </c>
      <c r="H7616" s="59" t="str">
        <f t="shared" si="27"/>
        <v>28C01165</v>
      </c>
      <c r="I7616" s="59" t="str">
        <f>IF(OR($A7616="",$C7616="",$D7616="",$E7616="",$H7616=""),"",SUMIFS(DATA_GOC!$H:$H,DATA_GOC!$A:$A,"BOM",DATA_GOC!$D:$D,$H7616,DATA_GOC!$E:$E,$C7616,DATA_GOC!$F:$F,"Xuất nội bộ từ téc",DATA_GOC!$B:$B,"&gt;="&amp;$D7616,DATA_GOC!$B:$B,"&lt;="&amp;$E7616))</f>
        <v/>
      </c>
      <c r="J7616" s="59">
        <f t="shared" si="28"/>
        <v>0</v>
      </c>
      <c r="K7616" s="59">
        <f t="shared" si="29"/>
        <v>0</v>
      </c>
      <c r="L7616" s="59">
        <f t="shared" si="30"/>
        <v>0</v>
      </c>
      <c r="M7616" s="59">
        <f t="shared" si="31"/>
        <v>0</v>
      </c>
    </row>
    <row r="7617" ht="15.0" hidden="1" customHeight="1">
      <c r="A7617" s="59">
        <f t="shared" si="20"/>
        <v>124</v>
      </c>
      <c r="B7617" s="59" t="str">
        <f t="shared" si="21"/>
        <v/>
      </c>
      <c r="C7617" s="59" t="str">
        <f t="shared" si="22"/>
        <v/>
      </c>
      <c r="D7617" s="45" t="str">
        <f t="shared" si="23"/>
        <v/>
      </c>
      <c r="E7617" s="45" t="str">
        <f t="shared" si="24"/>
        <v/>
      </c>
      <c r="F7617" s="59" t="str">
        <f t="shared" si="25"/>
        <v/>
      </c>
      <c r="G7617" s="59" t="str">
        <f t="shared" si="26"/>
        <v/>
      </c>
      <c r="H7617" s="59" t="str">
        <f t="shared" si="27"/>
        <v>28C01406</v>
      </c>
      <c r="I7617" s="59" t="str">
        <f>IF(OR($A7617="",$C7617="",$D7617="",$E7617="",$H7617=""),"",SUMIFS(DATA_GOC!$H:$H,DATA_GOC!$A:$A,"BOM",DATA_GOC!$D:$D,$H7617,DATA_GOC!$E:$E,$C7617,DATA_GOC!$F:$F,"Xuất nội bộ từ téc",DATA_GOC!$B:$B,"&gt;="&amp;$D7617,DATA_GOC!$B:$B,"&lt;="&amp;$E7617))</f>
        <v/>
      </c>
      <c r="J7617" s="59">
        <f t="shared" si="28"/>
        <v>0</v>
      </c>
      <c r="K7617" s="59">
        <f t="shared" si="29"/>
        <v>0</v>
      </c>
      <c r="L7617" s="59">
        <f t="shared" si="30"/>
        <v>0</v>
      </c>
      <c r="M7617" s="59">
        <f t="shared" si="31"/>
        <v>0</v>
      </c>
    </row>
    <row r="7618" ht="15.0" hidden="1" customHeight="1">
      <c r="A7618" s="59">
        <f t="shared" si="20"/>
        <v>124</v>
      </c>
      <c r="B7618" s="59" t="str">
        <f t="shared" si="21"/>
        <v/>
      </c>
      <c r="C7618" s="59" t="str">
        <f t="shared" si="22"/>
        <v/>
      </c>
      <c r="D7618" s="45" t="str">
        <f t="shared" si="23"/>
        <v/>
      </c>
      <c r="E7618" s="45" t="str">
        <f t="shared" si="24"/>
        <v/>
      </c>
      <c r="F7618" s="59" t="str">
        <f t="shared" si="25"/>
        <v/>
      </c>
      <c r="G7618" s="59" t="str">
        <f t="shared" si="26"/>
        <v/>
      </c>
      <c r="H7618" s="59" t="str">
        <f t="shared" si="27"/>
        <v>28C01544</v>
      </c>
      <c r="I7618" s="59" t="str">
        <f>IF(OR($A7618="",$C7618="",$D7618="",$E7618="",$H7618=""),"",SUMIFS(DATA_GOC!$H:$H,DATA_GOC!$A:$A,"BOM",DATA_GOC!$D:$D,$H7618,DATA_GOC!$E:$E,$C7618,DATA_GOC!$F:$F,"Xuất nội bộ từ téc",DATA_GOC!$B:$B,"&gt;="&amp;$D7618,DATA_GOC!$B:$B,"&lt;="&amp;$E7618))</f>
        <v/>
      </c>
      <c r="J7618" s="59">
        <f t="shared" si="28"/>
        <v>0</v>
      </c>
      <c r="K7618" s="59">
        <f t="shared" si="29"/>
        <v>0</v>
      </c>
      <c r="L7618" s="59">
        <f t="shared" si="30"/>
        <v>0</v>
      </c>
      <c r="M7618" s="59">
        <f t="shared" si="31"/>
        <v>0</v>
      </c>
    </row>
    <row r="7619" ht="15.0" hidden="1" customHeight="1">
      <c r="A7619" s="59">
        <f t="shared" si="20"/>
        <v>124</v>
      </c>
      <c r="B7619" s="59" t="str">
        <f t="shared" si="21"/>
        <v/>
      </c>
      <c r="C7619" s="59" t="str">
        <f t="shared" si="22"/>
        <v/>
      </c>
      <c r="D7619" s="45" t="str">
        <f t="shared" si="23"/>
        <v/>
      </c>
      <c r="E7619" s="45" t="str">
        <f t="shared" si="24"/>
        <v/>
      </c>
      <c r="F7619" s="59" t="str">
        <f t="shared" si="25"/>
        <v/>
      </c>
      <c r="G7619" s="59" t="str">
        <f t="shared" si="26"/>
        <v/>
      </c>
      <c r="H7619" s="59" t="str">
        <f t="shared" si="27"/>
        <v>28C01622</v>
      </c>
      <c r="I7619" s="59" t="str">
        <f>IF(OR($A7619="",$C7619="",$D7619="",$E7619="",$H7619=""),"",SUMIFS(DATA_GOC!$H:$H,DATA_GOC!$A:$A,"BOM",DATA_GOC!$D:$D,$H7619,DATA_GOC!$E:$E,$C7619,DATA_GOC!$F:$F,"Xuất nội bộ từ téc",DATA_GOC!$B:$B,"&gt;="&amp;$D7619,DATA_GOC!$B:$B,"&lt;="&amp;$E7619))</f>
        <v/>
      </c>
      <c r="J7619" s="59">
        <f t="shared" si="28"/>
        <v>0</v>
      </c>
      <c r="K7619" s="59">
        <f t="shared" si="29"/>
        <v>0</v>
      </c>
      <c r="L7619" s="59">
        <f t="shared" si="30"/>
        <v>0</v>
      </c>
      <c r="M7619" s="59">
        <f t="shared" si="31"/>
        <v>0</v>
      </c>
    </row>
    <row r="7620" ht="15.0" hidden="1" customHeight="1">
      <c r="A7620" s="59">
        <f t="shared" si="20"/>
        <v>124</v>
      </c>
      <c r="B7620" s="59" t="str">
        <f t="shared" si="21"/>
        <v/>
      </c>
      <c r="C7620" s="59" t="str">
        <f t="shared" si="22"/>
        <v/>
      </c>
      <c r="D7620" s="45" t="str">
        <f t="shared" si="23"/>
        <v/>
      </c>
      <c r="E7620" s="45" t="str">
        <f t="shared" si="24"/>
        <v/>
      </c>
      <c r="F7620" s="59" t="str">
        <f t="shared" si="25"/>
        <v/>
      </c>
      <c r="G7620" s="59" t="str">
        <f t="shared" si="26"/>
        <v/>
      </c>
      <c r="H7620" s="59" t="str">
        <f t="shared" si="27"/>
        <v>28C01647</v>
      </c>
      <c r="I7620" s="59" t="str">
        <f>IF(OR($A7620="",$C7620="",$D7620="",$E7620="",$H7620=""),"",SUMIFS(DATA_GOC!$H:$H,DATA_GOC!$A:$A,"BOM",DATA_GOC!$D:$D,$H7620,DATA_GOC!$E:$E,$C7620,DATA_GOC!$F:$F,"Xuất nội bộ từ téc",DATA_GOC!$B:$B,"&gt;="&amp;$D7620,DATA_GOC!$B:$B,"&lt;="&amp;$E7620))</f>
        <v/>
      </c>
      <c r="J7620" s="59">
        <f t="shared" si="28"/>
        <v>0</v>
      </c>
      <c r="K7620" s="59">
        <f t="shared" si="29"/>
        <v>0</v>
      </c>
      <c r="L7620" s="59">
        <f t="shared" si="30"/>
        <v>0</v>
      </c>
      <c r="M7620" s="59">
        <f t="shared" si="31"/>
        <v>0</v>
      </c>
    </row>
    <row r="7621" ht="15.0" hidden="1" customHeight="1">
      <c r="A7621" s="59">
        <f t="shared" si="20"/>
        <v>124</v>
      </c>
      <c r="B7621" s="59" t="str">
        <f t="shared" si="21"/>
        <v/>
      </c>
      <c r="C7621" s="59" t="str">
        <f t="shared" si="22"/>
        <v/>
      </c>
      <c r="D7621" s="45" t="str">
        <f t="shared" si="23"/>
        <v/>
      </c>
      <c r="E7621" s="45" t="str">
        <f t="shared" si="24"/>
        <v/>
      </c>
      <c r="F7621" s="59" t="str">
        <f t="shared" si="25"/>
        <v/>
      </c>
      <c r="G7621" s="59" t="str">
        <f t="shared" si="26"/>
        <v/>
      </c>
      <c r="H7621" s="59" t="str">
        <f t="shared" si="27"/>
        <v>28C01731</v>
      </c>
      <c r="I7621" s="59" t="str">
        <f>IF(OR($A7621="",$C7621="",$D7621="",$E7621="",$H7621=""),"",SUMIFS(DATA_GOC!$H:$H,DATA_GOC!$A:$A,"BOM",DATA_GOC!$D:$D,$H7621,DATA_GOC!$E:$E,$C7621,DATA_GOC!$F:$F,"Xuất nội bộ từ téc",DATA_GOC!$B:$B,"&gt;="&amp;$D7621,DATA_GOC!$B:$B,"&lt;="&amp;$E7621))</f>
        <v/>
      </c>
      <c r="J7621" s="59">
        <f t="shared" si="28"/>
        <v>0</v>
      </c>
      <c r="K7621" s="59">
        <f t="shared" si="29"/>
        <v>0</v>
      </c>
      <c r="L7621" s="59">
        <f t="shared" si="30"/>
        <v>0</v>
      </c>
      <c r="M7621" s="59">
        <f t="shared" si="31"/>
        <v>0</v>
      </c>
    </row>
    <row r="7622" ht="15.0" hidden="1" customHeight="1">
      <c r="A7622" s="59">
        <f t="shared" si="20"/>
        <v>124</v>
      </c>
      <c r="B7622" s="59" t="str">
        <f t="shared" si="21"/>
        <v/>
      </c>
      <c r="C7622" s="59" t="str">
        <f t="shared" si="22"/>
        <v/>
      </c>
      <c r="D7622" s="45" t="str">
        <f t="shared" si="23"/>
        <v/>
      </c>
      <c r="E7622" s="45" t="str">
        <f t="shared" si="24"/>
        <v/>
      </c>
      <c r="F7622" s="59" t="str">
        <f t="shared" si="25"/>
        <v/>
      </c>
      <c r="G7622" s="59" t="str">
        <f t="shared" si="26"/>
        <v/>
      </c>
      <c r="H7622" s="59" t="str">
        <f t="shared" si="27"/>
        <v>28C01743</v>
      </c>
      <c r="I7622" s="59" t="str">
        <f>IF(OR($A7622="",$C7622="",$D7622="",$E7622="",$H7622=""),"",SUMIFS(DATA_GOC!$H:$H,DATA_GOC!$A:$A,"BOM",DATA_GOC!$D:$D,$H7622,DATA_GOC!$E:$E,$C7622,DATA_GOC!$F:$F,"Xuất nội bộ từ téc",DATA_GOC!$B:$B,"&gt;="&amp;$D7622,DATA_GOC!$B:$B,"&lt;="&amp;$E7622))</f>
        <v/>
      </c>
      <c r="J7622" s="59">
        <f t="shared" si="28"/>
        <v>0</v>
      </c>
      <c r="K7622" s="59">
        <f t="shared" si="29"/>
        <v>0</v>
      </c>
      <c r="L7622" s="59">
        <f t="shared" si="30"/>
        <v>0</v>
      </c>
      <c r="M7622" s="59">
        <f t="shared" si="31"/>
        <v>0</v>
      </c>
    </row>
    <row r="7623" ht="15.0" hidden="1" customHeight="1">
      <c r="A7623" s="59">
        <f t="shared" si="20"/>
        <v>124</v>
      </c>
      <c r="B7623" s="59" t="str">
        <f t="shared" si="21"/>
        <v/>
      </c>
      <c r="C7623" s="59" t="str">
        <f t="shared" si="22"/>
        <v/>
      </c>
      <c r="D7623" s="45" t="str">
        <f t="shared" si="23"/>
        <v/>
      </c>
      <c r="E7623" s="45" t="str">
        <f t="shared" si="24"/>
        <v/>
      </c>
      <c r="F7623" s="59" t="str">
        <f t="shared" si="25"/>
        <v/>
      </c>
      <c r="G7623" s="59" t="str">
        <f t="shared" si="26"/>
        <v/>
      </c>
      <c r="H7623" s="59" t="str">
        <f t="shared" si="27"/>
        <v>28C02106</v>
      </c>
      <c r="I7623" s="59" t="str">
        <f>IF(OR($A7623="",$C7623="",$D7623="",$E7623="",$H7623=""),"",SUMIFS(DATA_GOC!$H:$H,DATA_GOC!$A:$A,"BOM",DATA_GOC!$D:$D,$H7623,DATA_GOC!$E:$E,$C7623,DATA_GOC!$F:$F,"Xuất nội bộ từ téc",DATA_GOC!$B:$B,"&gt;="&amp;$D7623,DATA_GOC!$B:$B,"&lt;="&amp;$E7623))</f>
        <v/>
      </c>
      <c r="J7623" s="59">
        <f t="shared" si="28"/>
        <v>0</v>
      </c>
      <c r="K7623" s="59">
        <f t="shared" si="29"/>
        <v>0</v>
      </c>
      <c r="L7623" s="59">
        <f t="shared" si="30"/>
        <v>0</v>
      </c>
      <c r="M7623" s="59">
        <f t="shared" si="31"/>
        <v>0</v>
      </c>
    </row>
    <row r="7624" ht="15.0" hidden="1" customHeight="1">
      <c r="A7624" s="59">
        <f t="shared" si="20"/>
        <v>124</v>
      </c>
      <c r="B7624" s="59" t="str">
        <f t="shared" si="21"/>
        <v/>
      </c>
      <c r="C7624" s="59" t="str">
        <f t="shared" si="22"/>
        <v/>
      </c>
      <c r="D7624" s="45" t="str">
        <f t="shared" si="23"/>
        <v/>
      </c>
      <c r="E7624" s="45" t="str">
        <f t="shared" si="24"/>
        <v/>
      </c>
      <c r="F7624" s="59" t="str">
        <f t="shared" si="25"/>
        <v/>
      </c>
      <c r="G7624" s="59" t="str">
        <f t="shared" si="26"/>
        <v/>
      </c>
      <c r="H7624" s="59" t="str">
        <f t="shared" si="27"/>
        <v>28C02410</v>
      </c>
      <c r="I7624" s="59" t="str">
        <f>IF(OR($A7624="",$C7624="",$D7624="",$E7624="",$H7624=""),"",SUMIFS(DATA_GOC!$H:$H,DATA_GOC!$A:$A,"BOM",DATA_GOC!$D:$D,$H7624,DATA_GOC!$E:$E,$C7624,DATA_GOC!$F:$F,"Xuất nội bộ từ téc",DATA_GOC!$B:$B,"&gt;="&amp;$D7624,DATA_GOC!$B:$B,"&lt;="&amp;$E7624))</f>
        <v/>
      </c>
      <c r="J7624" s="59">
        <f t="shared" si="28"/>
        <v>0</v>
      </c>
      <c r="K7624" s="59">
        <f t="shared" si="29"/>
        <v>0</v>
      </c>
      <c r="L7624" s="59">
        <f t="shared" si="30"/>
        <v>0</v>
      </c>
      <c r="M7624" s="59">
        <f t="shared" si="31"/>
        <v>0</v>
      </c>
    </row>
    <row r="7625" ht="15.0" hidden="1" customHeight="1">
      <c r="A7625" s="59">
        <f t="shared" si="20"/>
        <v>124</v>
      </c>
      <c r="B7625" s="59" t="str">
        <f t="shared" si="21"/>
        <v/>
      </c>
      <c r="C7625" s="59" t="str">
        <f t="shared" si="22"/>
        <v/>
      </c>
      <c r="D7625" s="45" t="str">
        <f t="shared" si="23"/>
        <v/>
      </c>
      <c r="E7625" s="45" t="str">
        <f t="shared" si="24"/>
        <v/>
      </c>
      <c r="F7625" s="59" t="str">
        <f t="shared" si="25"/>
        <v/>
      </c>
      <c r="G7625" s="59" t="str">
        <f t="shared" si="26"/>
        <v/>
      </c>
      <c r="H7625" s="59" t="str">
        <f t="shared" si="27"/>
        <v>28C02545</v>
      </c>
      <c r="I7625" s="59" t="str">
        <f>IF(OR($A7625="",$C7625="",$D7625="",$E7625="",$H7625=""),"",SUMIFS(DATA_GOC!$H:$H,DATA_GOC!$A:$A,"BOM",DATA_GOC!$D:$D,$H7625,DATA_GOC!$E:$E,$C7625,DATA_GOC!$F:$F,"Xuất nội bộ từ téc",DATA_GOC!$B:$B,"&gt;="&amp;$D7625,DATA_GOC!$B:$B,"&lt;="&amp;$E7625))</f>
        <v/>
      </c>
      <c r="J7625" s="59">
        <f t="shared" si="28"/>
        <v>0</v>
      </c>
      <c r="K7625" s="59">
        <f t="shared" si="29"/>
        <v>0</v>
      </c>
      <c r="L7625" s="59">
        <f t="shared" si="30"/>
        <v>0</v>
      </c>
      <c r="M7625" s="59">
        <f t="shared" si="31"/>
        <v>0</v>
      </c>
    </row>
    <row r="7626" ht="15.0" hidden="1" customHeight="1">
      <c r="A7626" s="59">
        <f t="shared" si="20"/>
        <v>124</v>
      </c>
      <c r="B7626" s="59" t="str">
        <f t="shared" si="21"/>
        <v/>
      </c>
      <c r="C7626" s="59" t="str">
        <f t="shared" si="22"/>
        <v/>
      </c>
      <c r="D7626" s="45" t="str">
        <f t="shared" si="23"/>
        <v/>
      </c>
      <c r="E7626" s="45" t="str">
        <f t="shared" si="24"/>
        <v/>
      </c>
      <c r="F7626" s="59" t="str">
        <f t="shared" si="25"/>
        <v/>
      </c>
      <c r="G7626" s="59" t="str">
        <f t="shared" si="26"/>
        <v/>
      </c>
      <c r="H7626" s="59" t="str">
        <f t="shared" si="27"/>
        <v>28C02574</v>
      </c>
      <c r="I7626" s="59" t="str">
        <f>IF(OR($A7626="",$C7626="",$D7626="",$E7626="",$H7626=""),"",SUMIFS(DATA_GOC!$H:$H,DATA_GOC!$A:$A,"BOM",DATA_GOC!$D:$D,$H7626,DATA_GOC!$E:$E,$C7626,DATA_GOC!$F:$F,"Xuất nội bộ từ téc",DATA_GOC!$B:$B,"&gt;="&amp;$D7626,DATA_GOC!$B:$B,"&lt;="&amp;$E7626))</f>
        <v/>
      </c>
      <c r="J7626" s="59">
        <f t="shared" si="28"/>
        <v>0</v>
      </c>
      <c r="K7626" s="59">
        <f t="shared" si="29"/>
        <v>0</v>
      </c>
      <c r="L7626" s="59">
        <f t="shared" si="30"/>
        <v>0</v>
      </c>
      <c r="M7626" s="59">
        <f t="shared" si="31"/>
        <v>0</v>
      </c>
    </row>
    <row r="7627" ht="15.0" hidden="1" customHeight="1">
      <c r="A7627" s="59">
        <f t="shared" si="20"/>
        <v>124</v>
      </c>
      <c r="B7627" s="59" t="str">
        <f t="shared" si="21"/>
        <v/>
      </c>
      <c r="C7627" s="59" t="str">
        <f t="shared" si="22"/>
        <v/>
      </c>
      <c r="D7627" s="45" t="str">
        <f t="shared" si="23"/>
        <v/>
      </c>
      <c r="E7627" s="45" t="str">
        <f t="shared" si="24"/>
        <v/>
      </c>
      <c r="F7627" s="59" t="str">
        <f t="shared" si="25"/>
        <v/>
      </c>
      <c r="G7627" s="59" t="str">
        <f t="shared" si="26"/>
        <v/>
      </c>
      <c r="H7627" s="59" t="str">
        <f t="shared" si="27"/>
        <v>28C02770</v>
      </c>
      <c r="I7627" s="59" t="str">
        <f>IF(OR($A7627="",$C7627="",$D7627="",$E7627="",$H7627=""),"",SUMIFS(DATA_GOC!$H:$H,DATA_GOC!$A:$A,"BOM",DATA_GOC!$D:$D,$H7627,DATA_GOC!$E:$E,$C7627,DATA_GOC!$F:$F,"Xuất nội bộ từ téc",DATA_GOC!$B:$B,"&gt;="&amp;$D7627,DATA_GOC!$B:$B,"&lt;="&amp;$E7627))</f>
        <v/>
      </c>
      <c r="J7627" s="59">
        <f t="shared" si="28"/>
        <v>0</v>
      </c>
      <c r="K7627" s="59">
        <f t="shared" si="29"/>
        <v>0</v>
      </c>
      <c r="L7627" s="59">
        <f t="shared" si="30"/>
        <v>0</v>
      </c>
      <c r="M7627" s="59">
        <f t="shared" si="31"/>
        <v>0</v>
      </c>
    </row>
    <row r="7628" ht="15.0" hidden="1" customHeight="1">
      <c r="A7628" s="59">
        <f t="shared" si="20"/>
        <v>124</v>
      </c>
      <c r="B7628" s="59" t="str">
        <f t="shared" si="21"/>
        <v/>
      </c>
      <c r="C7628" s="59" t="str">
        <f t="shared" si="22"/>
        <v/>
      </c>
      <c r="D7628" s="45" t="str">
        <f t="shared" si="23"/>
        <v/>
      </c>
      <c r="E7628" s="45" t="str">
        <f t="shared" si="24"/>
        <v/>
      </c>
      <c r="F7628" s="59" t="str">
        <f t="shared" si="25"/>
        <v/>
      </c>
      <c r="G7628" s="59" t="str">
        <f t="shared" si="26"/>
        <v/>
      </c>
      <c r="H7628" s="59" t="str">
        <f t="shared" si="27"/>
        <v>28C02986</v>
      </c>
      <c r="I7628" s="59" t="str">
        <f>IF(OR($A7628="",$C7628="",$D7628="",$E7628="",$H7628=""),"",SUMIFS(DATA_GOC!$H:$H,DATA_GOC!$A:$A,"BOM",DATA_GOC!$D:$D,$H7628,DATA_GOC!$E:$E,$C7628,DATA_GOC!$F:$F,"Xuất nội bộ từ téc",DATA_GOC!$B:$B,"&gt;="&amp;$D7628,DATA_GOC!$B:$B,"&lt;="&amp;$E7628))</f>
        <v/>
      </c>
      <c r="J7628" s="59">
        <f t="shared" si="28"/>
        <v>0</v>
      </c>
      <c r="K7628" s="59">
        <f t="shared" si="29"/>
        <v>0</v>
      </c>
      <c r="L7628" s="59">
        <f t="shared" si="30"/>
        <v>0</v>
      </c>
      <c r="M7628" s="59">
        <f t="shared" si="31"/>
        <v>0</v>
      </c>
    </row>
    <row r="7629" ht="15.0" hidden="1" customHeight="1">
      <c r="A7629" s="59">
        <f t="shared" si="20"/>
        <v>124</v>
      </c>
      <c r="B7629" s="59" t="str">
        <f t="shared" si="21"/>
        <v/>
      </c>
      <c r="C7629" s="59" t="str">
        <f t="shared" si="22"/>
        <v/>
      </c>
      <c r="D7629" s="45" t="str">
        <f t="shared" si="23"/>
        <v/>
      </c>
      <c r="E7629" s="45" t="str">
        <f t="shared" si="24"/>
        <v/>
      </c>
      <c r="F7629" s="59" t="str">
        <f t="shared" si="25"/>
        <v/>
      </c>
      <c r="G7629" s="59" t="str">
        <f t="shared" si="26"/>
        <v/>
      </c>
      <c r="H7629" s="59" t="str">
        <f t="shared" si="27"/>
        <v>28C03261</v>
      </c>
      <c r="I7629" s="59" t="str">
        <f>IF(OR($A7629="",$C7629="",$D7629="",$E7629="",$H7629=""),"",SUMIFS(DATA_GOC!$H:$H,DATA_GOC!$A:$A,"BOM",DATA_GOC!$D:$D,$H7629,DATA_GOC!$E:$E,$C7629,DATA_GOC!$F:$F,"Xuất nội bộ từ téc",DATA_GOC!$B:$B,"&gt;="&amp;$D7629,DATA_GOC!$B:$B,"&lt;="&amp;$E7629))</f>
        <v/>
      </c>
      <c r="J7629" s="59">
        <f t="shared" si="28"/>
        <v>0</v>
      </c>
      <c r="K7629" s="59">
        <f t="shared" si="29"/>
        <v>0</v>
      </c>
      <c r="L7629" s="59">
        <f t="shared" si="30"/>
        <v>0</v>
      </c>
      <c r="M7629" s="59">
        <f t="shared" si="31"/>
        <v>0</v>
      </c>
    </row>
    <row r="7630" ht="15.0" hidden="1" customHeight="1">
      <c r="A7630" s="59">
        <f t="shared" si="20"/>
        <v>124</v>
      </c>
      <c r="B7630" s="59" t="str">
        <f t="shared" si="21"/>
        <v/>
      </c>
      <c r="C7630" s="59" t="str">
        <f t="shared" si="22"/>
        <v/>
      </c>
      <c r="D7630" s="45" t="str">
        <f t="shared" si="23"/>
        <v/>
      </c>
      <c r="E7630" s="45" t="str">
        <f t="shared" si="24"/>
        <v/>
      </c>
      <c r="F7630" s="59" t="str">
        <f t="shared" si="25"/>
        <v/>
      </c>
      <c r="G7630" s="59" t="str">
        <f t="shared" si="26"/>
        <v/>
      </c>
      <c r="H7630" s="59" t="str">
        <f t="shared" si="27"/>
        <v>28C03323</v>
      </c>
      <c r="I7630" s="59" t="str">
        <f>IF(OR($A7630="",$C7630="",$D7630="",$E7630="",$H7630=""),"",SUMIFS(DATA_GOC!$H:$H,DATA_GOC!$A:$A,"BOM",DATA_GOC!$D:$D,$H7630,DATA_GOC!$E:$E,$C7630,DATA_GOC!$F:$F,"Xuất nội bộ từ téc",DATA_GOC!$B:$B,"&gt;="&amp;$D7630,DATA_GOC!$B:$B,"&lt;="&amp;$E7630))</f>
        <v/>
      </c>
      <c r="J7630" s="59">
        <f t="shared" si="28"/>
        <v>0</v>
      </c>
      <c r="K7630" s="59">
        <f t="shared" si="29"/>
        <v>0</v>
      </c>
      <c r="L7630" s="59">
        <f t="shared" si="30"/>
        <v>0</v>
      </c>
      <c r="M7630" s="59">
        <f t="shared" si="31"/>
        <v>0</v>
      </c>
    </row>
    <row r="7631" ht="15.0" hidden="1" customHeight="1">
      <c r="A7631" s="59">
        <f t="shared" si="20"/>
        <v>124</v>
      </c>
      <c r="B7631" s="59" t="str">
        <f t="shared" si="21"/>
        <v/>
      </c>
      <c r="C7631" s="59" t="str">
        <f t="shared" si="22"/>
        <v/>
      </c>
      <c r="D7631" s="45" t="str">
        <f t="shared" si="23"/>
        <v/>
      </c>
      <c r="E7631" s="45" t="str">
        <f t="shared" si="24"/>
        <v/>
      </c>
      <c r="F7631" s="59" t="str">
        <f t="shared" si="25"/>
        <v/>
      </c>
      <c r="G7631" s="59" t="str">
        <f t="shared" si="26"/>
        <v/>
      </c>
      <c r="H7631" s="59" t="str">
        <f t="shared" si="27"/>
        <v>28C03385</v>
      </c>
      <c r="I7631" s="59" t="str">
        <f>IF(OR($A7631="",$C7631="",$D7631="",$E7631="",$H7631=""),"",SUMIFS(DATA_GOC!$H:$H,DATA_GOC!$A:$A,"BOM",DATA_GOC!$D:$D,$H7631,DATA_GOC!$E:$E,$C7631,DATA_GOC!$F:$F,"Xuất nội bộ từ téc",DATA_GOC!$B:$B,"&gt;="&amp;$D7631,DATA_GOC!$B:$B,"&lt;="&amp;$E7631))</f>
        <v/>
      </c>
      <c r="J7631" s="59">
        <f t="shared" si="28"/>
        <v>0</v>
      </c>
      <c r="K7631" s="59">
        <f t="shared" si="29"/>
        <v>0</v>
      </c>
      <c r="L7631" s="59">
        <f t="shared" si="30"/>
        <v>0</v>
      </c>
      <c r="M7631" s="59">
        <f t="shared" si="31"/>
        <v>0</v>
      </c>
    </row>
    <row r="7632" ht="15.0" hidden="1" customHeight="1">
      <c r="A7632" s="59">
        <f t="shared" si="20"/>
        <v>124</v>
      </c>
      <c r="B7632" s="59" t="str">
        <f t="shared" si="21"/>
        <v/>
      </c>
      <c r="C7632" s="59" t="str">
        <f t="shared" si="22"/>
        <v/>
      </c>
      <c r="D7632" s="45" t="str">
        <f t="shared" si="23"/>
        <v/>
      </c>
      <c r="E7632" s="45" t="str">
        <f t="shared" si="24"/>
        <v/>
      </c>
      <c r="F7632" s="59" t="str">
        <f t="shared" si="25"/>
        <v/>
      </c>
      <c r="G7632" s="59" t="str">
        <f t="shared" si="26"/>
        <v/>
      </c>
      <c r="H7632" s="59" t="str">
        <f t="shared" si="27"/>
        <v>28C03652</v>
      </c>
      <c r="I7632" s="59" t="str">
        <f>IF(OR($A7632="",$C7632="",$D7632="",$E7632="",$H7632=""),"",SUMIFS(DATA_GOC!$H:$H,DATA_GOC!$A:$A,"BOM",DATA_GOC!$D:$D,$H7632,DATA_GOC!$E:$E,$C7632,DATA_GOC!$F:$F,"Xuất nội bộ từ téc",DATA_GOC!$B:$B,"&gt;="&amp;$D7632,DATA_GOC!$B:$B,"&lt;="&amp;$E7632))</f>
        <v/>
      </c>
      <c r="J7632" s="59">
        <f t="shared" si="28"/>
        <v>0</v>
      </c>
      <c r="K7632" s="59">
        <f t="shared" si="29"/>
        <v>0</v>
      </c>
      <c r="L7632" s="59">
        <f t="shared" si="30"/>
        <v>0</v>
      </c>
      <c r="M7632" s="59">
        <f t="shared" si="31"/>
        <v>0</v>
      </c>
    </row>
    <row r="7633" ht="15.0" hidden="1" customHeight="1">
      <c r="A7633" s="59">
        <f t="shared" si="20"/>
        <v>124</v>
      </c>
      <c r="B7633" s="59" t="str">
        <f t="shared" si="21"/>
        <v/>
      </c>
      <c r="C7633" s="59" t="str">
        <f t="shared" si="22"/>
        <v/>
      </c>
      <c r="D7633" s="45" t="str">
        <f t="shared" si="23"/>
        <v/>
      </c>
      <c r="E7633" s="45" t="str">
        <f t="shared" si="24"/>
        <v/>
      </c>
      <c r="F7633" s="59" t="str">
        <f t="shared" si="25"/>
        <v/>
      </c>
      <c r="G7633" s="59" t="str">
        <f t="shared" si="26"/>
        <v/>
      </c>
      <c r="H7633" s="59" t="str">
        <f t="shared" si="27"/>
        <v>28C03695</v>
      </c>
      <c r="I7633" s="59" t="str">
        <f>IF(OR($A7633="",$C7633="",$D7633="",$E7633="",$H7633=""),"",SUMIFS(DATA_GOC!$H:$H,DATA_GOC!$A:$A,"BOM",DATA_GOC!$D:$D,$H7633,DATA_GOC!$E:$E,$C7633,DATA_GOC!$F:$F,"Xuất nội bộ từ téc",DATA_GOC!$B:$B,"&gt;="&amp;$D7633,DATA_GOC!$B:$B,"&lt;="&amp;$E7633))</f>
        <v/>
      </c>
      <c r="J7633" s="59">
        <f t="shared" si="28"/>
        <v>0</v>
      </c>
      <c r="K7633" s="59">
        <f t="shared" si="29"/>
        <v>0</v>
      </c>
      <c r="L7633" s="59">
        <f t="shared" si="30"/>
        <v>0</v>
      </c>
      <c r="M7633" s="59">
        <f t="shared" si="31"/>
        <v>0</v>
      </c>
    </row>
    <row r="7634" ht="15.0" hidden="1" customHeight="1">
      <c r="A7634" s="59">
        <f t="shared" si="20"/>
        <v>124</v>
      </c>
      <c r="B7634" s="59" t="str">
        <f t="shared" si="21"/>
        <v/>
      </c>
      <c r="C7634" s="59" t="str">
        <f t="shared" si="22"/>
        <v/>
      </c>
      <c r="D7634" s="45" t="str">
        <f t="shared" si="23"/>
        <v/>
      </c>
      <c r="E7634" s="45" t="str">
        <f t="shared" si="24"/>
        <v/>
      </c>
      <c r="F7634" s="59" t="str">
        <f t="shared" si="25"/>
        <v/>
      </c>
      <c r="G7634" s="59" t="str">
        <f t="shared" si="26"/>
        <v/>
      </c>
      <c r="H7634" s="59" t="str">
        <f t="shared" si="27"/>
        <v>28C03927</v>
      </c>
      <c r="I7634" s="59" t="str">
        <f>IF(OR($A7634="",$C7634="",$D7634="",$E7634="",$H7634=""),"",SUMIFS(DATA_GOC!$H:$H,DATA_GOC!$A:$A,"BOM",DATA_GOC!$D:$D,$H7634,DATA_GOC!$E:$E,$C7634,DATA_GOC!$F:$F,"Xuất nội bộ từ téc",DATA_GOC!$B:$B,"&gt;="&amp;$D7634,DATA_GOC!$B:$B,"&lt;="&amp;$E7634))</f>
        <v/>
      </c>
      <c r="J7634" s="59">
        <f t="shared" si="28"/>
        <v>0</v>
      </c>
      <c r="K7634" s="59">
        <f t="shared" si="29"/>
        <v>0</v>
      </c>
      <c r="L7634" s="59">
        <f t="shared" si="30"/>
        <v>0</v>
      </c>
      <c r="M7634" s="59">
        <f t="shared" si="31"/>
        <v>0</v>
      </c>
    </row>
    <row r="7635" ht="15.0" hidden="1" customHeight="1">
      <c r="A7635" s="59">
        <f t="shared" si="20"/>
        <v>124</v>
      </c>
      <c r="B7635" s="59" t="str">
        <f t="shared" si="21"/>
        <v/>
      </c>
      <c r="C7635" s="59" t="str">
        <f t="shared" si="22"/>
        <v/>
      </c>
      <c r="D7635" s="45" t="str">
        <f t="shared" si="23"/>
        <v/>
      </c>
      <c r="E7635" s="45" t="str">
        <f t="shared" si="24"/>
        <v/>
      </c>
      <c r="F7635" s="59" t="str">
        <f t="shared" si="25"/>
        <v/>
      </c>
      <c r="G7635" s="59" t="str">
        <f t="shared" si="26"/>
        <v/>
      </c>
      <c r="H7635" s="59" t="str">
        <f t="shared" si="27"/>
        <v>28C04509</v>
      </c>
      <c r="I7635" s="59" t="str">
        <f>IF(OR($A7635="",$C7635="",$D7635="",$E7635="",$H7635=""),"",SUMIFS(DATA_GOC!$H:$H,DATA_GOC!$A:$A,"BOM",DATA_GOC!$D:$D,$H7635,DATA_GOC!$E:$E,$C7635,DATA_GOC!$F:$F,"Xuất nội bộ từ téc",DATA_GOC!$B:$B,"&gt;="&amp;$D7635,DATA_GOC!$B:$B,"&lt;="&amp;$E7635))</f>
        <v/>
      </c>
      <c r="J7635" s="59">
        <f t="shared" si="28"/>
        <v>0</v>
      </c>
      <c r="K7635" s="59">
        <f t="shared" si="29"/>
        <v>0</v>
      </c>
      <c r="L7635" s="59">
        <f t="shared" si="30"/>
        <v>0</v>
      </c>
      <c r="M7635" s="59">
        <f t="shared" si="31"/>
        <v>0</v>
      </c>
    </row>
    <row r="7636" ht="15.0" hidden="1" customHeight="1">
      <c r="A7636" s="59">
        <f t="shared" si="20"/>
        <v>124</v>
      </c>
      <c r="B7636" s="59" t="str">
        <f t="shared" si="21"/>
        <v/>
      </c>
      <c r="C7636" s="59" t="str">
        <f t="shared" si="22"/>
        <v/>
      </c>
      <c r="D7636" s="45" t="str">
        <f t="shared" si="23"/>
        <v/>
      </c>
      <c r="E7636" s="45" t="str">
        <f t="shared" si="24"/>
        <v/>
      </c>
      <c r="F7636" s="59" t="str">
        <f t="shared" si="25"/>
        <v/>
      </c>
      <c r="G7636" s="59" t="str">
        <f t="shared" si="26"/>
        <v/>
      </c>
      <c r="H7636" s="59" t="str">
        <f t="shared" si="27"/>
        <v>28C04536</v>
      </c>
      <c r="I7636" s="59" t="str">
        <f>IF(OR($A7636="",$C7636="",$D7636="",$E7636="",$H7636=""),"",SUMIFS(DATA_GOC!$H:$H,DATA_GOC!$A:$A,"BOM",DATA_GOC!$D:$D,$H7636,DATA_GOC!$E:$E,$C7636,DATA_GOC!$F:$F,"Xuất nội bộ từ téc",DATA_GOC!$B:$B,"&gt;="&amp;$D7636,DATA_GOC!$B:$B,"&lt;="&amp;$E7636))</f>
        <v/>
      </c>
      <c r="J7636" s="59">
        <f t="shared" si="28"/>
        <v>0</v>
      </c>
      <c r="K7636" s="59">
        <f t="shared" si="29"/>
        <v>0</v>
      </c>
      <c r="L7636" s="59">
        <f t="shared" si="30"/>
        <v>0</v>
      </c>
      <c r="M7636" s="59">
        <f t="shared" si="31"/>
        <v>0</v>
      </c>
    </row>
    <row r="7637" ht="15.0" hidden="1" customHeight="1">
      <c r="A7637" s="59">
        <f t="shared" si="20"/>
        <v>124</v>
      </c>
      <c r="B7637" s="59" t="str">
        <f t="shared" si="21"/>
        <v/>
      </c>
      <c r="C7637" s="59" t="str">
        <f t="shared" si="22"/>
        <v/>
      </c>
      <c r="D7637" s="45" t="str">
        <f t="shared" si="23"/>
        <v/>
      </c>
      <c r="E7637" s="45" t="str">
        <f t="shared" si="24"/>
        <v/>
      </c>
      <c r="F7637" s="59" t="str">
        <f t="shared" si="25"/>
        <v/>
      </c>
      <c r="G7637" s="59" t="str">
        <f t="shared" si="26"/>
        <v/>
      </c>
      <c r="H7637" s="59" t="str">
        <f t="shared" si="27"/>
        <v>28C04576</v>
      </c>
      <c r="I7637" s="59" t="str">
        <f>IF(OR($A7637="",$C7637="",$D7637="",$E7637="",$H7637=""),"",SUMIFS(DATA_GOC!$H:$H,DATA_GOC!$A:$A,"BOM",DATA_GOC!$D:$D,$H7637,DATA_GOC!$E:$E,$C7637,DATA_GOC!$F:$F,"Xuất nội bộ từ téc",DATA_GOC!$B:$B,"&gt;="&amp;$D7637,DATA_GOC!$B:$B,"&lt;="&amp;$E7637))</f>
        <v/>
      </c>
      <c r="J7637" s="59">
        <f t="shared" si="28"/>
        <v>0</v>
      </c>
      <c r="K7637" s="59">
        <f t="shared" si="29"/>
        <v>0</v>
      </c>
      <c r="L7637" s="59">
        <f t="shared" si="30"/>
        <v>0</v>
      </c>
      <c r="M7637" s="59">
        <f t="shared" si="31"/>
        <v>0</v>
      </c>
    </row>
    <row r="7638" ht="15.0" hidden="1" customHeight="1">
      <c r="A7638" s="59">
        <f t="shared" si="20"/>
        <v>124</v>
      </c>
      <c r="B7638" s="59" t="str">
        <f t="shared" si="21"/>
        <v/>
      </c>
      <c r="C7638" s="59" t="str">
        <f t="shared" si="22"/>
        <v/>
      </c>
      <c r="D7638" s="45" t="str">
        <f t="shared" si="23"/>
        <v/>
      </c>
      <c r="E7638" s="45" t="str">
        <f t="shared" si="24"/>
        <v/>
      </c>
      <c r="F7638" s="59" t="str">
        <f t="shared" si="25"/>
        <v/>
      </c>
      <c r="G7638" s="59" t="str">
        <f t="shared" si="26"/>
        <v/>
      </c>
      <c r="H7638" s="59" t="str">
        <f t="shared" si="27"/>
        <v>28C05090</v>
      </c>
      <c r="I7638" s="59" t="str">
        <f>IF(OR($A7638="",$C7638="",$D7638="",$E7638="",$H7638=""),"",SUMIFS(DATA_GOC!$H:$H,DATA_GOC!$A:$A,"BOM",DATA_GOC!$D:$D,$H7638,DATA_GOC!$E:$E,$C7638,DATA_GOC!$F:$F,"Xuất nội bộ từ téc",DATA_GOC!$B:$B,"&gt;="&amp;$D7638,DATA_GOC!$B:$B,"&lt;="&amp;$E7638))</f>
        <v/>
      </c>
      <c r="J7638" s="59">
        <f t="shared" si="28"/>
        <v>0</v>
      </c>
      <c r="K7638" s="59">
        <f t="shared" si="29"/>
        <v>0</v>
      </c>
      <c r="L7638" s="59">
        <f t="shared" si="30"/>
        <v>0</v>
      </c>
      <c r="M7638" s="59">
        <f t="shared" si="31"/>
        <v>0</v>
      </c>
    </row>
    <row r="7639" ht="15.0" hidden="1" customHeight="1">
      <c r="A7639" s="59">
        <f t="shared" si="20"/>
        <v>124</v>
      </c>
      <c r="B7639" s="59" t="str">
        <f t="shared" si="21"/>
        <v/>
      </c>
      <c r="C7639" s="59" t="str">
        <f t="shared" si="22"/>
        <v/>
      </c>
      <c r="D7639" s="45" t="str">
        <f t="shared" si="23"/>
        <v/>
      </c>
      <c r="E7639" s="45" t="str">
        <f t="shared" si="24"/>
        <v/>
      </c>
      <c r="F7639" s="59" t="str">
        <f t="shared" si="25"/>
        <v/>
      </c>
      <c r="G7639" s="59" t="str">
        <f t="shared" si="26"/>
        <v/>
      </c>
      <c r="H7639" s="59" t="str">
        <f t="shared" si="27"/>
        <v>28C05345</v>
      </c>
      <c r="I7639" s="59" t="str">
        <f>IF(OR($A7639="",$C7639="",$D7639="",$E7639="",$H7639=""),"",SUMIFS(DATA_GOC!$H:$H,DATA_GOC!$A:$A,"BOM",DATA_GOC!$D:$D,$H7639,DATA_GOC!$E:$E,$C7639,DATA_GOC!$F:$F,"Xuất nội bộ từ téc",DATA_GOC!$B:$B,"&gt;="&amp;$D7639,DATA_GOC!$B:$B,"&lt;="&amp;$E7639))</f>
        <v/>
      </c>
      <c r="J7639" s="59">
        <f t="shared" si="28"/>
        <v>0</v>
      </c>
      <c r="K7639" s="59">
        <f t="shared" si="29"/>
        <v>0</v>
      </c>
      <c r="L7639" s="59">
        <f t="shared" si="30"/>
        <v>0</v>
      </c>
      <c r="M7639" s="59">
        <f t="shared" si="31"/>
        <v>0</v>
      </c>
    </row>
    <row r="7640" ht="15.0" hidden="1" customHeight="1">
      <c r="A7640" s="59">
        <f t="shared" si="20"/>
        <v>124</v>
      </c>
      <c r="B7640" s="59" t="str">
        <f t="shared" si="21"/>
        <v/>
      </c>
      <c r="C7640" s="59" t="str">
        <f t="shared" si="22"/>
        <v/>
      </c>
      <c r="D7640" s="45" t="str">
        <f t="shared" si="23"/>
        <v/>
      </c>
      <c r="E7640" s="45" t="str">
        <f t="shared" si="24"/>
        <v/>
      </c>
      <c r="F7640" s="59" t="str">
        <f t="shared" si="25"/>
        <v/>
      </c>
      <c r="G7640" s="59" t="str">
        <f t="shared" si="26"/>
        <v/>
      </c>
      <c r="H7640" s="59" t="str">
        <f t="shared" si="27"/>
        <v>28C05661</v>
      </c>
      <c r="I7640" s="59" t="str">
        <f>IF(OR($A7640="",$C7640="",$D7640="",$E7640="",$H7640=""),"",SUMIFS(DATA_GOC!$H:$H,DATA_GOC!$A:$A,"BOM",DATA_GOC!$D:$D,$H7640,DATA_GOC!$E:$E,$C7640,DATA_GOC!$F:$F,"Xuất nội bộ từ téc",DATA_GOC!$B:$B,"&gt;="&amp;$D7640,DATA_GOC!$B:$B,"&lt;="&amp;$E7640))</f>
        <v/>
      </c>
      <c r="J7640" s="59">
        <f t="shared" si="28"/>
        <v>0</v>
      </c>
      <c r="K7640" s="59">
        <f t="shared" si="29"/>
        <v>0</v>
      </c>
      <c r="L7640" s="59">
        <f t="shared" si="30"/>
        <v>0</v>
      </c>
      <c r="M7640" s="59">
        <f t="shared" si="31"/>
        <v>0</v>
      </c>
    </row>
    <row r="7641" ht="15.0" hidden="1" customHeight="1">
      <c r="A7641" s="59">
        <f t="shared" si="20"/>
        <v>124</v>
      </c>
      <c r="B7641" s="59" t="str">
        <f t="shared" si="21"/>
        <v/>
      </c>
      <c r="C7641" s="59" t="str">
        <f t="shared" si="22"/>
        <v/>
      </c>
      <c r="D7641" s="45" t="str">
        <f t="shared" si="23"/>
        <v/>
      </c>
      <c r="E7641" s="45" t="str">
        <f t="shared" si="24"/>
        <v/>
      </c>
      <c r="F7641" s="59" t="str">
        <f t="shared" si="25"/>
        <v/>
      </c>
      <c r="G7641" s="59" t="str">
        <f t="shared" si="26"/>
        <v/>
      </c>
      <c r="H7641" s="59" t="str">
        <f t="shared" si="27"/>
        <v>28C05739</v>
      </c>
      <c r="I7641" s="59" t="str">
        <f>IF(OR($A7641="",$C7641="",$D7641="",$E7641="",$H7641=""),"",SUMIFS(DATA_GOC!$H:$H,DATA_GOC!$A:$A,"BOM",DATA_GOC!$D:$D,$H7641,DATA_GOC!$E:$E,$C7641,DATA_GOC!$F:$F,"Xuất nội bộ từ téc",DATA_GOC!$B:$B,"&gt;="&amp;$D7641,DATA_GOC!$B:$B,"&lt;="&amp;$E7641))</f>
        <v/>
      </c>
      <c r="J7641" s="59">
        <f t="shared" si="28"/>
        <v>0</v>
      </c>
      <c r="K7641" s="59">
        <f t="shared" si="29"/>
        <v>0</v>
      </c>
      <c r="L7641" s="59">
        <f t="shared" si="30"/>
        <v>0</v>
      </c>
      <c r="M7641" s="59">
        <f t="shared" si="31"/>
        <v>0</v>
      </c>
    </row>
    <row r="7642" ht="15.0" hidden="1" customHeight="1">
      <c r="A7642" s="59">
        <f t="shared" si="20"/>
        <v>124</v>
      </c>
      <c r="B7642" s="59" t="str">
        <f t="shared" si="21"/>
        <v/>
      </c>
      <c r="C7642" s="59" t="str">
        <f t="shared" si="22"/>
        <v/>
      </c>
      <c r="D7642" s="45" t="str">
        <f t="shared" si="23"/>
        <v/>
      </c>
      <c r="E7642" s="45" t="str">
        <f t="shared" si="24"/>
        <v/>
      </c>
      <c r="F7642" s="59" t="str">
        <f t="shared" si="25"/>
        <v/>
      </c>
      <c r="G7642" s="59" t="str">
        <f t="shared" si="26"/>
        <v/>
      </c>
      <c r="H7642" s="59" t="str">
        <f t="shared" si="27"/>
        <v>28C06369</v>
      </c>
      <c r="I7642" s="59" t="str">
        <f>IF(OR($A7642="",$C7642="",$D7642="",$E7642="",$H7642=""),"",SUMIFS(DATA_GOC!$H:$H,DATA_GOC!$A:$A,"BOM",DATA_GOC!$D:$D,$H7642,DATA_GOC!$E:$E,$C7642,DATA_GOC!$F:$F,"Xuất nội bộ từ téc",DATA_GOC!$B:$B,"&gt;="&amp;$D7642,DATA_GOC!$B:$B,"&lt;="&amp;$E7642))</f>
        <v/>
      </c>
      <c r="J7642" s="59">
        <f t="shared" si="28"/>
        <v>0</v>
      </c>
      <c r="K7642" s="59">
        <f t="shared" si="29"/>
        <v>0</v>
      </c>
      <c r="L7642" s="59">
        <f t="shared" si="30"/>
        <v>0</v>
      </c>
      <c r="M7642" s="59">
        <f t="shared" si="31"/>
        <v>0</v>
      </c>
    </row>
    <row r="7643" ht="15.0" hidden="1" customHeight="1">
      <c r="A7643" s="59">
        <f t="shared" si="20"/>
        <v>124</v>
      </c>
      <c r="B7643" s="59" t="str">
        <f t="shared" si="21"/>
        <v/>
      </c>
      <c r="C7643" s="59" t="str">
        <f t="shared" si="22"/>
        <v/>
      </c>
      <c r="D7643" s="45" t="str">
        <f t="shared" si="23"/>
        <v/>
      </c>
      <c r="E7643" s="45" t="str">
        <f t="shared" si="24"/>
        <v/>
      </c>
      <c r="F7643" s="59" t="str">
        <f t="shared" si="25"/>
        <v/>
      </c>
      <c r="G7643" s="59" t="str">
        <f t="shared" si="26"/>
        <v/>
      </c>
      <c r="H7643" s="59" t="str">
        <f t="shared" si="27"/>
        <v>28C06447</v>
      </c>
      <c r="I7643" s="59" t="str">
        <f>IF(OR($A7643="",$C7643="",$D7643="",$E7643="",$H7643=""),"",SUMIFS(DATA_GOC!$H:$H,DATA_GOC!$A:$A,"BOM",DATA_GOC!$D:$D,$H7643,DATA_GOC!$E:$E,$C7643,DATA_GOC!$F:$F,"Xuất nội bộ từ téc",DATA_GOC!$B:$B,"&gt;="&amp;$D7643,DATA_GOC!$B:$B,"&lt;="&amp;$E7643))</f>
        <v/>
      </c>
      <c r="J7643" s="59">
        <f t="shared" si="28"/>
        <v>0</v>
      </c>
      <c r="K7643" s="59">
        <f t="shared" si="29"/>
        <v>0</v>
      </c>
      <c r="L7643" s="59">
        <f t="shared" si="30"/>
        <v>0</v>
      </c>
      <c r="M7643" s="59">
        <f t="shared" si="31"/>
        <v>0</v>
      </c>
    </row>
    <row r="7644" ht="15.0" hidden="1" customHeight="1">
      <c r="A7644" s="59">
        <f t="shared" si="20"/>
        <v>124</v>
      </c>
      <c r="B7644" s="59" t="str">
        <f t="shared" si="21"/>
        <v/>
      </c>
      <c r="C7644" s="59" t="str">
        <f t="shared" si="22"/>
        <v/>
      </c>
      <c r="D7644" s="45" t="str">
        <f t="shared" si="23"/>
        <v/>
      </c>
      <c r="E7644" s="45" t="str">
        <f t="shared" si="24"/>
        <v/>
      </c>
      <c r="F7644" s="59" t="str">
        <f t="shared" si="25"/>
        <v/>
      </c>
      <c r="G7644" s="59" t="str">
        <f t="shared" si="26"/>
        <v/>
      </c>
      <c r="H7644" s="59" t="str">
        <f t="shared" si="27"/>
        <v>28H00003</v>
      </c>
      <c r="I7644" s="59" t="str">
        <f>IF(OR($A7644="",$C7644="",$D7644="",$E7644="",$H7644=""),"",SUMIFS(DATA_GOC!$H:$H,DATA_GOC!$A:$A,"BOM",DATA_GOC!$D:$D,$H7644,DATA_GOC!$E:$E,$C7644,DATA_GOC!$F:$F,"Xuất nội bộ từ téc",DATA_GOC!$B:$B,"&gt;="&amp;$D7644,DATA_GOC!$B:$B,"&lt;="&amp;$E7644))</f>
        <v/>
      </c>
      <c r="J7644" s="59">
        <f t="shared" si="28"/>
        <v>0</v>
      </c>
      <c r="K7644" s="59">
        <f t="shared" si="29"/>
        <v>0</v>
      </c>
      <c r="L7644" s="59">
        <f t="shared" si="30"/>
        <v>0</v>
      </c>
      <c r="M7644" s="59">
        <f t="shared" si="31"/>
        <v>0</v>
      </c>
    </row>
    <row r="7645" ht="15.0" hidden="1" customHeight="1">
      <c r="A7645" s="59">
        <f t="shared" si="20"/>
        <v>124</v>
      </c>
      <c r="B7645" s="59" t="str">
        <f t="shared" si="21"/>
        <v/>
      </c>
      <c r="C7645" s="59" t="str">
        <f t="shared" si="22"/>
        <v/>
      </c>
      <c r="D7645" s="45" t="str">
        <f t="shared" si="23"/>
        <v/>
      </c>
      <c r="E7645" s="45" t="str">
        <f t="shared" si="24"/>
        <v/>
      </c>
      <c r="F7645" s="59" t="str">
        <f t="shared" si="25"/>
        <v/>
      </c>
      <c r="G7645" s="59" t="str">
        <f t="shared" si="26"/>
        <v/>
      </c>
      <c r="H7645" s="59" t="str">
        <f t="shared" si="27"/>
        <v>28H00061</v>
      </c>
      <c r="I7645" s="59" t="str">
        <f>IF(OR($A7645="",$C7645="",$D7645="",$E7645="",$H7645=""),"",SUMIFS(DATA_GOC!$H:$H,DATA_GOC!$A:$A,"BOM",DATA_GOC!$D:$D,$H7645,DATA_GOC!$E:$E,$C7645,DATA_GOC!$F:$F,"Xuất nội bộ từ téc",DATA_GOC!$B:$B,"&gt;="&amp;$D7645,DATA_GOC!$B:$B,"&lt;="&amp;$E7645))</f>
        <v/>
      </c>
      <c r="J7645" s="59">
        <f t="shared" si="28"/>
        <v>0</v>
      </c>
      <c r="K7645" s="59">
        <f t="shared" si="29"/>
        <v>0</v>
      </c>
      <c r="L7645" s="59">
        <f t="shared" si="30"/>
        <v>0</v>
      </c>
      <c r="M7645" s="59">
        <f t="shared" si="31"/>
        <v>0</v>
      </c>
    </row>
    <row r="7646" ht="15.0" hidden="1" customHeight="1">
      <c r="A7646" s="59">
        <f t="shared" si="20"/>
        <v>124</v>
      </c>
      <c r="B7646" s="59" t="str">
        <f t="shared" si="21"/>
        <v/>
      </c>
      <c r="C7646" s="59" t="str">
        <f t="shared" si="22"/>
        <v/>
      </c>
      <c r="D7646" s="45" t="str">
        <f t="shared" si="23"/>
        <v/>
      </c>
      <c r="E7646" s="45" t="str">
        <f t="shared" si="24"/>
        <v/>
      </c>
      <c r="F7646" s="59" t="str">
        <f t="shared" si="25"/>
        <v/>
      </c>
      <c r="G7646" s="59" t="str">
        <f t="shared" si="26"/>
        <v/>
      </c>
      <c r="H7646" s="59" t="str">
        <f t="shared" si="27"/>
        <v>28H00354</v>
      </c>
      <c r="I7646" s="59" t="str">
        <f>IF(OR($A7646="",$C7646="",$D7646="",$E7646="",$H7646=""),"",SUMIFS(DATA_GOC!$H:$H,DATA_GOC!$A:$A,"BOM",DATA_GOC!$D:$D,$H7646,DATA_GOC!$E:$E,$C7646,DATA_GOC!$F:$F,"Xuất nội bộ từ téc",DATA_GOC!$B:$B,"&gt;="&amp;$D7646,DATA_GOC!$B:$B,"&lt;="&amp;$E7646))</f>
        <v/>
      </c>
      <c r="J7646" s="59">
        <f t="shared" si="28"/>
        <v>0</v>
      </c>
      <c r="K7646" s="59">
        <f t="shared" si="29"/>
        <v>0</v>
      </c>
      <c r="L7646" s="59">
        <f t="shared" si="30"/>
        <v>0</v>
      </c>
      <c r="M7646" s="59">
        <f t="shared" si="31"/>
        <v>0</v>
      </c>
    </row>
    <row r="7647" ht="15.0" hidden="1" customHeight="1">
      <c r="A7647" s="59">
        <f t="shared" si="20"/>
        <v>124</v>
      </c>
      <c r="B7647" s="59" t="str">
        <f t="shared" si="21"/>
        <v/>
      </c>
      <c r="C7647" s="59" t="str">
        <f t="shared" si="22"/>
        <v/>
      </c>
      <c r="D7647" s="45" t="str">
        <f t="shared" si="23"/>
        <v/>
      </c>
      <c r="E7647" s="45" t="str">
        <f t="shared" si="24"/>
        <v/>
      </c>
      <c r="F7647" s="59" t="str">
        <f t="shared" si="25"/>
        <v/>
      </c>
      <c r="G7647" s="59" t="str">
        <f t="shared" si="26"/>
        <v/>
      </c>
      <c r="H7647" s="59" t="str">
        <f t="shared" si="27"/>
        <v>28H00603</v>
      </c>
      <c r="I7647" s="59" t="str">
        <f>IF(OR($A7647="",$C7647="",$D7647="",$E7647="",$H7647=""),"",SUMIFS(DATA_GOC!$H:$H,DATA_GOC!$A:$A,"BOM",DATA_GOC!$D:$D,$H7647,DATA_GOC!$E:$E,$C7647,DATA_GOC!$F:$F,"Xuất nội bộ từ téc",DATA_GOC!$B:$B,"&gt;="&amp;$D7647,DATA_GOC!$B:$B,"&lt;="&amp;$E7647))</f>
        <v/>
      </c>
      <c r="J7647" s="59">
        <f t="shared" si="28"/>
        <v>0</v>
      </c>
      <c r="K7647" s="59">
        <f t="shared" si="29"/>
        <v>0</v>
      </c>
      <c r="L7647" s="59">
        <f t="shared" si="30"/>
        <v>0</v>
      </c>
      <c r="M7647" s="59">
        <f t="shared" si="31"/>
        <v>0</v>
      </c>
    </row>
    <row r="7648" ht="15.0" hidden="1" customHeight="1">
      <c r="A7648" s="59">
        <f t="shared" si="20"/>
        <v>124</v>
      </c>
      <c r="B7648" s="59" t="str">
        <f t="shared" si="21"/>
        <v/>
      </c>
      <c r="C7648" s="59" t="str">
        <f t="shared" si="22"/>
        <v/>
      </c>
      <c r="D7648" s="45" t="str">
        <f t="shared" si="23"/>
        <v/>
      </c>
      <c r="E7648" s="45" t="str">
        <f t="shared" si="24"/>
        <v/>
      </c>
      <c r="F7648" s="59" t="str">
        <f t="shared" si="25"/>
        <v/>
      </c>
      <c r="G7648" s="59" t="str">
        <f t="shared" si="26"/>
        <v/>
      </c>
      <c r="H7648" s="59" t="str">
        <f t="shared" si="27"/>
        <v>28H00609</v>
      </c>
      <c r="I7648" s="59" t="str">
        <f>IF(OR($A7648="",$C7648="",$D7648="",$E7648="",$H7648=""),"",SUMIFS(DATA_GOC!$H:$H,DATA_GOC!$A:$A,"BOM",DATA_GOC!$D:$D,$H7648,DATA_GOC!$E:$E,$C7648,DATA_GOC!$F:$F,"Xuất nội bộ từ téc",DATA_GOC!$B:$B,"&gt;="&amp;$D7648,DATA_GOC!$B:$B,"&lt;="&amp;$E7648))</f>
        <v/>
      </c>
      <c r="J7648" s="59">
        <f t="shared" si="28"/>
        <v>0</v>
      </c>
      <c r="K7648" s="59">
        <f t="shared" si="29"/>
        <v>0</v>
      </c>
      <c r="L7648" s="59">
        <f t="shared" si="30"/>
        <v>0</v>
      </c>
      <c r="M7648" s="59">
        <f t="shared" si="31"/>
        <v>0</v>
      </c>
    </row>
    <row r="7649" ht="15.0" hidden="1" customHeight="1">
      <c r="A7649" s="59">
        <f t="shared" si="20"/>
        <v>124</v>
      </c>
      <c r="B7649" s="59" t="str">
        <f t="shared" si="21"/>
        <v/>
      </c>
      <c r="C7649" s="59" t="str">
        <f t="shared" si="22"/>
        <v/>
      </c>
      <c r="D7649" s="45" t="str">
        <f t="shared" si="23"/>
        <v/>
      </c>
      <c r="E7649" s="45" t="str">
        <f t="shared" si="24"/>
        <v/>
      </c>
      <c r="F7649" s="59" t="str">
        <f t="shared" si="25"/>
        <v/>
      </c>
      <c r="G7649" s="59" t="str">
        <f t="shared" si="26"/>
        <v/>
      </c>
      <c r="H7649" s="59" t="str">
        <f t="shared" si="27"/>
        <v>28H00669</v>
      </c>
      <c r="I7649" s="59" t="str">
        <f>IF(OR($A7649="",$C7649="",$D7649="",$E7649="",$H7649=""),"",SUMIFS(DATA_GOC!$H:$H,DATA_GOC!$A:$A,"BOM",DATA_GOC!$D:$D,$H7649,DATA_GOC!$E:$E,$C7649,DATA_GOC!$F:$F,"Xuất nội bộ từ téc",DATA_GOC!$B:$B,"&gt;="&amp;$D7649,DATA_GOC!$B:$B,"&lt;="&amp;$E7649))</f>
        <v/>
      </c>
      <c r="J7649" s="59">
        <f t="shared" si="28"/>
        <v>0</v>
      </c>
      <c r="K7649" s="59">
        <f t="shared" si="29"/>
        <v>0</v>
      </c>
      <c r="L7649" s="59">
        <f t="shared" si="30"/>
        <v>0</v>
      </c>
      <c r="M7649" s="59">
        <f t="shared" si="31"/>
        <v>0</v>
      </c>
    </row>
    <row r="7650" ht="15.0" hidden="1" customHeight="1">
      <c r="A7650" s="59">
        <f t="shared" si="20"/>
        <v>124</v>
      </c>
      <c r="B7650" s="59" t="str">
        <f t="shared" si="21"/>
        <v/>
      </c>
      <c r="C7650" s="59" t="str">
        <f t="shared" si="22"/>
        <v/>
      </c>
      <c r="D7650" s="45" t="str">
        <f t="shared" si="23"/>
        <v/>
      </c>
      <c r="E7650" s="45" t="str">
        <f t="shared" si="24"/>
        <v/>
      </c>
      <c r="F7650" s="59" t="str">
        <f t="shared" si="25"/>
        <v/>
      </c>
      <c r="G7650" s="59" t="str">
        <f t="shared" si="26"/>
        <v/>
      </c>
      <c r="H7650" s="59" t="str">
        <f t="shared" si="27"/>
        <v>28H00680</v>
      </c>
      <c r="I7650" s="59" t="str">
        <f>IF(OR($A7650="",$C7650="",$D7650="",$E7650="",$H7650=""),"",SUMIFS(DATA_GOC!$H:$H,DATA_GOC!$A:$A,"BOM",DATA_GOC!$D:$D,$H7650,DATA_GOC!$E:$E,$C7650,DATA_GOC!$F:$F,"Xuất nội bộ từ téc",DATA_GOC!$B:$B,"&gt;="&amp;$D7650,DATA_GOC!$B:$B,"&lt;="&amp;$E7650))</f>
        <v/>
      </c>
      <c r="J7650" s="59">
        <f t="shared" si="28"/>
        <v>0</v>
      </c>
      <c r="K7650" s="59">
        <f t="shared" si="29"/>
        <v>0</v>
      </c>
      <c r="L7650" s="59">
        <f t="shared" si="30"/>
        <v>0</v>
      </c>
      <c r="M7650" s="59">
        <f t="shared" si="31"/>
        <v>0</v>
      </c>
    </row>
    <row r="7651" ht="15.0" hidden="1" customHeight="1">
      <c r="A7651" s="59">
        <f t="shared" si="20"/>
        <v>124</v>
      </c>
      <c r="B7651" s="59" t="str">
        <f t="shared" si="21"/>
        <v/>
      </c>
      <c r="C7651" s="59" t="str">
        <f t="shared" si="22"/>
        <v/>
      </c>
      <c r="D7651" s="45" t="str">
        <f t="shared" si="23"/>
        <v/>
      </c>
      <c r="E7651" s="45" t="str">
        <f t="shared" si="24"/>
        <v/>
      </c>
      <c r="F7651" s="59" t="str">
        <f t="shared" si="25"/>
        <v/>
      </c>
      <c r="G7651" s="59" t="str">
        <f t="shared" si="26"/>
        <v/>
      </c>
      <c r="H7651" s="59" t="str">
        <f t="shared" si="27"/>
        <v>28H01070</v>
      </c>
      <c r="I7651" s="59" t="str">
        <f>IF(OR($A7651="",$C7651="",$D7651="",$E7651="",$H7651=""),"",SUMIFS(DATA_GOC!$H:$H,DATA_GOC!$A:$A,"BOM",DATA_GOC!$D:$D,$H7651,DATA_GOC!$E:$E,$C7651,DATA_GOC!$F:$F,"Xuất nội bộ từ téc",DATA_GOC!$B:$B,"&gt;="&amp;$D7651,DATA_GOC!$B:$B,"&lt;="&amp;$E7651))</f>
        <v/>
      </c>
      <c r="J7651" s="59">
        <f t="shared" si="28"/>
        <v>0</v>
      </c>
      <c r="K7651" s="59">
        <f t="shared" si="29"/>
        <v>0</v>
      </c>
      <c r="L7651" s="59">
        <f t="shared" si="30"/>
        <v>0</v>
      </c>
      <c r="M7651" s="59">
        <f t="shared" si="31"/>
        <v>0</v>
      </c>
    </row>
    <row r="7652" ht="15.0" hidden="1" customHeight="1">
      <c r="A7652" s="59">
        <f t="shared" si="20"/>
        <v>124</v>
      </c>
      <c r="B7652" s="59" t="str">
        <f t="shared" si="21"/>
        <v/>
      </c>
      <c r="C7652" s="59" t="str">
        <f t="shared" si="22"/>
        <v/>
      </c>
      <c r="D7652" s="45" t="str">
        <f t="shared" si="23"/>
        <v/>
      </c>
      <c r="E7652" s="45" t="str">
        <f t="shared" si="24"/>
        <v/>
      </c>
      <c r="F7652" s="59" t="str">
        <f t="shared" si="25"/>
        <v/>
      </c>
      <c r="G7652" s="59" t="str">
        <f t="shared" si="26"/>
        <v/>
      </c>
      <c r="H7652" s="59" t="str">
        <f t="shared" si="27"/>
        <v>28H01364</v>
      </c>
      <c r="I7652" s="59" t="str">
        <f>IF(OR($A7652="",$C7652="",$D7652="",$E7652="",$H7652=""),"",SUMIFS(DATA_GOC!$H:$H,DATA_GOC!$A:$A,"BOM",DATA_GOC!$D:$D,$H7652,DATA_GOC!$E:$E,$C7652,DATA_GOC!$F:$F,"Xuất nội bộ từ téc",DATA_GOC!$B:$B,"&gt;="&amp;$D7652,DATA_GOC!$B:$B,"&lt;="&amp;$E7652))</f>
        <v/>
      </c>
      <c r="J7652" s="59">
        <f t="shared" si="28"/>
        <v>0</v>
      </c>
      <c r="K7652" s="59">
        <f t="shared" si="29"/>
        <v>0</v>
      </c>
      <c r="L7652" s="59">
        <f t="shared" si="30"/>
        <v>0</v>
      </c>
      <c r="M7652" s="59">
        <f t="shared" si="31"/>
        <v>0</v>
      </c>
    </row>
    <row r="7653" ht="15.0" hidden="1" customHeight="1">
      <c r="A7653" s="59">
        <f t="shared" si="20"/>
        <v>124</v>
      </c>
      <c r="B7653" s="59" t="str">
        <f t="shared" si="21"/>
        <v/>
      </c>
      <c r="C7653" s="59" t="str">
        <f t="shared" si="22"/>
        <v/>
      </c>
      <c r="D7653" s="45" t="str">
        <f t="shared" si="23"/>
        <v/>
      </c>
      <c r="E7653" s="45" t="str">
        <f t="shared" si="24"/>
        <v/>
      </c>
      <c r="F7653" s="59" t="str">
        <f t="shared" si="25"/>
        <v/>
      </c>
      <c r="G7653" s="59" t="str">
        <f t="shared" si="26"/>
        <v/>
      </c>
      <c r="H7653" s="59" t="str">
        <f t="shared" si="27"/>
        <v>29E17269</v>
      </c>
      <c r="I7653" s="59" t="str">
        <f>IF(OR($A7653="",$C7653="",$D7653="",$E7653="",$H7653=""),"",SUMIFS(DATA_GOC!$H:$H,DATA_GOC!$A:$A,"BOM",DATA_GOC!$D:$D,$H7653,DATA_GOC!$E:$E,$C7653,DATA_GOC!$F:$F,"Xuất nội bộ từ téc",DATA_GOC!$B:$B,"&gt;="&amp;$D7653,DATA_GOC!$B:$B,"&lt;="&amp;$E7653))</f>
        <v/>
      </c>
      <c r="J7653" s="59">
        <f t="shared" si="28"/>
        <v>0</v>
      </c>
      <c r="K7653" s="59">
        <f t="shared" si="29"/>
        <v>0</v>
      </c>
      <c r="L7653" s="59">
        <f t="shared" si="30"/>
        <v>0</v>
      </c>
      <c r="M7653" s="59">
        <f t="shared" si="31"/>
        <v>0</v>
      </c>
    </row>
    <row r="7654" ht="15.0" hidden="1" customHeight="1">
      <c r="A7654" s="59">
        <f t="shared" si="20"/>
        <v>124</v>
      </c>
      <c r="B7654" s="59" t="str">
        <f t="shared" si="21"/>
        <v/>
      </c>
      <c r="C7654" s="59" t="str">
        <f t="shared" si="22"/>
        <v/>
      </c>
      <c r="D7654" s="45" t="str">
        <f t="shared" si="23"/>
        <v/>
      </c>
      <c r="E7654" s="45" t="str">
        <f t="shared" si="24"/>
        <v/>
      </c>
      <c r="F7654" s="59" t="str">
        <f t="shared" si="25"/>
        <v/>
      </c>
      <c r="G7654" s="59" t="str">
        <f t="shared" si="26"/>
        <v/>
      </c>
      <c r="H7654" s="59" t="str">
        <f t="shared" si="27"/>
        <v>29E17273</v>
      </c>
      <c r="I7654" s="59" t="str">
        <f>IF(OR($A7654="",$C7654="",$D7654="",$E7654="",$H7654=""),"",SUMIFS(DATA_GOC!$H:$H,DATA_GOC!$A:$A,"BOM",DATA_GOC!$D:$D,$H7654,DATA_GOC!$E:$E,$C7654,DATA_GOC!$F:$F,"Xuất nội bộ từ téc",DATA_GOC!$B:$B,"&gt;="&amp;$D7654,DATA_GOC!$B:$B,"&lt;="&amp;$E7654))</f>
        <v/>
      </c>
      <c r="J7654" s="59">
        <f t="shared" si="28"/>
        <v>0</v>
      </c>
      <c r="K7654" s="59">
        <f t="shared" si="29"/>
        <v>0</v>
      </c>
      <c r="L7654" s="59">
        <f t="shared" si="30"/>
        <v>0</v>
      </c>
      <c r="M7654" s="59">
        <f t="shared" si="31"/>
        <v>0</v>
      </c>
    </row>
    <row r="7655" ht="15.0" hidden="1" customHeight="1">
      <c r="A7655" s="59">
        <f t="shared" si="20"/>
        <v>124</v>
      </c>
      <c r="B7655" s="59" t="str">
        <f t="shared" si="21"/>
        <v/>
      </c>
      <c r="C7655" s="59" t="str">
        <f t="shared" si="22"/>
        <v/>
      </c>
      <c r="D7655" s="45" t="str">
        <f t="shared" si="23"/>
        <v/>
      </c>
      <c r="E7655" s="45" t="str">
        <f t="shared" si="24"/>
        <v/>
      </c>
      <c r="F7655" s="59" t="str">
        <f t="shared" si="25"/>
        <v/>
      </c>
      <c r="G7655" s="59" t="str">
        <f t="shared" si="26"/>
        <v/>
      </c>
      <c r="H7655" s="59" t="str">
        <f t="shared" si="27"/>
        <v>29E17410</v>
      </c>
      <c r="I7655" s="59" t="str">
        <f>IF(OR($A7655="",$C7655="",$D7655="",$E7655="",$H7655=""),"",SUMIFS(DATA_GOC!$H:$H,DATA_GOC!$A:$A,"BOM",DATA_GOC!$D:$D,$H7655,DATA_GOC!$E:$E,$C7655,DATA_GOC!$F:$F,"Xuất nội bộ từ téc",DATA_GOC!$B:$B,"&gt;="&amp;$D7655,DATA_GOC!$B:$B,"&lt;="&amp;$E7655))</f>
        <v/>
      </c>
      <c r="J7655" s="59">
        <f t="shared" si="28"/>
        <v>0</v>
      </c>
      <c r="K7655" s="59">
        <f t="shared" si="29"/>
        <v>0</v>
      </c>
      <c r="L7655" s="59">
        <f t="shared" si="30"/>
        <v>0</v>
      </c>
      <c r="M7655" s="59">
        <f t="shared" si="31"/>
        <v>0</v>
      </c>
    </row>
    <row r="7656" ht="15.0" hidden="1" customHeight="1">
      <c r="A7656" s="59">
        <f t="shared" si="20"/>
        <v>124</v>
      </c>
      <c r="B7656" s="59" t="str">
        <f t="shared" si="21"/>
        <v/>
      </c>
      <c r="C7656" s="59" t="str">
        <f t="shared" si="22"/>
        <v/>
      </c>
      <c r="D7656" s="45" t="str">
        <f t="shared" si="23"/>
        <v/>
      </c>
      <c r="E7656" s="45" t="str">
        <f t="shared" si="24"/>
        <v/>
      </c>
      <c r="F7656" s="59" t="str">
        <f t="shared" si="25"/>
        <v/>
      </c>
      <c r="G7656" s="59" t="str">
        <f t="shared" si="26"/>
        <v/>
      </c>
      <c r="H7656" s="59" t="str">
        <f t="shared" si="27"/>
        <v>29E17417</v>
      </c>
      <c r="I7656" s="59" t="str">
        <f>IF(OR($A7656="",$C7656="",$D7656="",$E7656="",$H7656=""),"",SUMIFS(DATA_GOC!$H:$H,DATA_GOC!$A:$A,"BOM",DATA_GOC!$D:$D,$H7656,DATA_GOC!$E:$E,$C7656,DATA_GOC!$F:$F,"Xuất nội bộ từ téc",DATA_GOC!$B:$B,"&gt;="&amp;$D7656,DATA_GOC!$B:$B,"&lt;="&amp;$E7656))</f>
        <v/>
      </c>
      <c r="J7656" s="59">
        <f t="shared" si="28"/>
        <v>0</v>
      </c>
      <c r="K7656" s="59">
        <f t="shared" si="29"/>
        <v>0</v>
      </c>
      <c r="L7656" s="59">
        <f t="shared" si="30"/>
        <v>0</v>
      </c>
      <c r="M7656" s="59">
        <f t="shared" si="31"/>
        <v>0</v>
      </c>
    </row>
    <row r="7657" ht="15.0" hidden="1" customHeight="1">
      <c r="A7657" s="59">
        <f t="shared" si="20"/>
        <v>124</v>
      </c>
      <c r="B7657" s="59" t="str">
        <f t="shared" si="21"/>
        <v/>
      </c>
      <c r="C7657" s="59" t="str">
        <f t="shared" si="22"/>
        <v/>
      </c>
      <c r="D7657" s="45" t="str">
        <f t="shared" si="23"/>
        <v/>
      </c>
      <c r="E7657" s="45" t="str">
        <f t="shared" si="24"/>
        <v/>
      </c>
      <c r="F7657" s="59" t="str">
        <f t="shared" si="25"/>
        <v/>
      </c>
      <c r="G7657" s="59" t="str">
        <f t="shared" si="26"/>
        <v/>
      </c>
      <c r="H7657" s="59" t="str">
        <f t="shared" si="27"/>
        <v>29E17539</v>
      </c>
      <c r="I7657" s="59" t="str">
        <f>IF(OR($A7657="",$C7657="",$D7657="",$E7657="",$H7657=""),"",SUMIFS(DATA_GOC!$H:$H,DATA_GOC!$A:$A,"BOM",DATA_GOC!$D:$D,$H7657,DATA_GOC!$E:$E,$C7657,DATA_GOC!$F:$F,"Xuất nội bộ từ téc",DATA_GOC!$B:$B,"&gt;="&amp;$D7657,DATA_GOC!$B:$B,"&lt;="&amp;$E7657))</f>
        <v/>
      </c>
      <c r="J7657" s="59">
        <f t="shared" si="28"/>
        <v>0</v>
      </c>
      <c r="K7657" s="59">
        <f t="shared" si="29"/>
        <v>0</v>
      </c>
      <c r="L7657" s="59">
        <f t="shared" si="30"/>
        <v>0</v>
      </c>
      <c r="M7657" s="59">
        <f t="shared" si="31"/>
        <v>0</v>
      </c>
    </row>
    <row r="7658" ht="15.0" hidden="1" customHeight="1">
      <c r="A7658" s="59">
        <f t="shared" si="20"/>
        <v>124</v>
      </c>
      <c r="B7658" s="59" t="str">
        <f t="shared" si="21"/>
        <v/>
      </c>
      <c r="C7658" s="59" t="str">
        <f t="shared" si="22"/>
        <v/>
      </c>
      <c r="D7658" s="45" t="str">
        <f t="shared" si="23"/>
        <v/>
      </c>
      <c r="E7658" s="45" t="str">
        <f t="shared" si="24"/>
        <v/>
      </c>
      <c r="F7658" s="59" t="str">
        <f t="shared" si="25"/>
        <v/>
      </c>
      <c r="G7658" s="59" t="str">
        <f t="shared" si="26"/>
        <v/>
      </c>
      <c r="H7658" s="59" t="str">
        <f t="shared" si="27"/>
        <v>29E18160</v>
      </c>
      <c r="I7658" s="59" t="str">
        <f>IF(OR($A7658="",$C7658="",$D7658="",$E7658="",$H7658=""),"",SUMIFS(DATA_GOC!$H:$H,DATA_GOC!$A:$A,"BOM",DATA_GOC!$D:$D,$H7658,DATA_GOC!$E:$E,$C7658,DATA_GOC!$F:$F,"Xuất nội bộ từ téc",DATA_GOC!$B:$B,"&gt;="&amp;$D7658,DATA_GOC!$B:$B,"&lt;="&amp;$E7658))</f>
        <v/>
      </c>
      <c r="J7658" s="59">
        <f t="shared" si="28"/>
        <v>0</v>
      </c>
      <c r="K7658" s="59">
        <f t="shared" si="29"/>
        <v>0</v>
      </c>
      <c r="L7658" s="59">
        <f t="shared" si="30"/>
        <v>0</v>
      </c>
      <c r="M7658" s="59">
        <f t="shared" si="31"/>
        <v>0</v>
      </c>
    </row>
    <row r="7659" ht="15.0" hidden="1" customHeight="1">
      <c r="A7659" s="59">
        <f t="shared" si="20"/>
        <v>124</v>
      </c>
      <c r="B7659" s="59" t="str">
        <f t="shared" si="21"/>
        <v/>
      </c>
      <c r="C7659" s="59" t="str">
        <f t="shared" si="22"/>
        <v/>
      </c>
      <c r="D7659" s="45" t="str">
        <f t="shared" si="23"/>
        <v/>
      </c>
      <c r="E7659" s="45" t="str">
        <f t="shared" si="24"/>
        <v/>
      </c>
      <c r="F7659" s="59" t="str">
        <f t="shared" si="25"/>
        <v/>
      </c>
      <c r="G7659" s="59" t="str">
        <f t="shared" si="26"/>
        <v/>
      </c>
      <c r="H7659" s="59" t="str">
        <f t="shared" si="27"/>
        <v>Công trình Asphalt</v>
      </c>
      <c r="I7659" s="59" t="str">
        <f>IF(OR($A7659="",$C7659="",$D7659="",$E7659="",$H7659=""),"",SUMIFS(DATA_GOC!$H:$H,DATA_GOC!$A:$A,"BOM",DATA_GOC!$D:$D,$H7659,DATA_GOC!$E:$E,$C7659,DATA_GOC!$F:$F,"Xuất nội bộ từ téc",DATA_GOC!$B:$B,"&gt;="&amp;$D7659,DATA_GOC!$B:$B,"&lt;="&amp;$E7659))</f>
        <v/>
      </c>
      <c r="J7659" s="59">
        <f t="shared" si="28"/>
        <v>0</v>
      </c>
      <c r="K7659" s="59">
        <f t="shared" si="29"/>
        <v>0</v>
      </c>
      <c r="L7659" s="59">
        <f t="shared" si="30"/>
        <v>0</v>
      </c>
      <c r="M7659" s="59">
        <f t="shared" si="31"/>
        <v>0</v>
      </c>
    </row>
    <row r="7660" ht="15.0" hidden="1" customHeight="1">
      <c r="A7660" s="59">
        <f t="shared" si="20"/>
        <v>124</v>
      </c>
      <c r="B7660" s="59" t="str">
        <f t="shared" si="21"/>
        <v/>
      </c>
      <c r="C7660" s="59" t="str">
        <f t="shared" si="22"/>
        <v/>
      </c>
      <c r="D7660" s="45" t="str">
        <f t="shared" si="23"/>
        <v/>
      </c>
      <c r="E7660" s="45" t="str">
        <f t="shared" si="24"/>
        <v/>
      </c>
      <c r="F7660" s="59" t="str">
        <f t="shared" si="25"/>
        <v/>
      </c>
      <c r="G7660" s="59" t="str">
        <f t="shared" si="26"/>
        <v/>
      </c>
      <c r="H7660" s="59" t="str">
        <f t="shared" si="27"/>
        <v>LG53F</v>
      </c>
      <c r="I7660" s="59" t="str">
        <f>IF(OR($A7660="",$C7660="",$D7660="",$E7660="",$H7660=""),"",SUMIFS(DATA_GOC!$H:$H,DATA_GOC!$A:$A,"BOM",DATA_GOC!$D:$D,$H7660,DATA_GOC!$E:$E,$C7660,DATA_GOC!$F:$F,"Xuất nội bộ từ téc",DATA_GOC!$B:$B,"&gt;="&amp;$D7660,DATA_GOC!$B:$B,"&lt;="&amp;$E7660))</f>
        <v/>
      </c>
      <c r="J7660" s="59">
        <f t="shared" si="28"/>
        <v>0</v>
      </c>
      <c r="K7660" s="59">
        <f t="shared" si="29"/>
        <v>0</v>
      </c>
      <c r="L7660" s="59">
        <f t="shared" si="30"/>
        <v>0</v>
      </c>
      <c r="M7660" s="59">
        <f t="shared" si="31"/>
        <v>0</v>
      </c>
    </row>
    <row r="7661" ht="15.0" hidden="1" customHeight="1">
      <c r="A7661" s="59">
        <f t="shared" si="20"/>
        <v>124</v>
      </c>
      <c r="B7661" s="59" t="str">
        <f t="shared" si="21"/>
        <v/>
      </c>
      <c r="C7661" s="59" t="str">
        <f t="shared" si="22"/>
        <v/>
      </c>
      <c r="D7661" s="45" t="str">
        <f t="shared" si="23"/>
        <v/>
      </c>
      <c r="E7661" s="45" t="str">
        <f t="shared" si="24"/>
        <v/>
      </c>
      <c r="F7661" s="59" t="str">
        <f t="shared" si="25"/>
        <v/>
      </c>
      <c r="G7661" s="59" t="str">
        <f t="shared" si="26"/>
        <v/>
      </c>
      <c r="H7661" s="59" t="str">
        <f t="shared" si="27"/>
        <v>Máy phát điện</v>
      </c>
      <c r="I7661" s="59" t="str">
        <f>IF(OR($A7661="",$C7661="",$D7661="",$E7661="",$H7661=""),"",SUMIFS(DATA_GOC!$H:$H,DATA_GOC!$A:$A,"BOM",DATA_GOC!$D:$D,$H7661,DATA_GOC!$E:$E,$C7661,DATA_GOC!$F:$F,"Xuất nội bộ từ téc",DATA_GOC!$B:$B,"&gt;="&amp;$D7661,DATA_GOC!$B:$B,"&lt;="&amp;$E7661))</f>
        <v/>
      </c>
      <c r="J7661" s="59">
        <f t="shared" si="28"/>
        <v>0</v>
      </c>
      <c r="K7661" s="59">
        <f t="shared" si="29"/>
        <v>0</v>
      </c>
      <c r="L7661" s="59">
        <f t="shared" si="30"/>
        <v>0</v>
      </c>
      <c r="M7661" s="59">
        <f t="shared" si="31"/>
        <v>0</v>
      </c>
    </row>
    <row r="7662" ht="15.0" hidden="1" customHeight="1">
      <c r="A7662" s="59">
        <f t="shared" si="20"/>
        <v>124</v>
      </c>
      <c r="B7662" s="59" t="str">
        <f t="shared" si="21"/>
        <v/>
      </c>
      <c r="C7662" s="59" t="str">
        <f t="shared" si="22"/>
        <v/>
      </c>
      <c r="D7662" s="45" t="str">
        <f t="shared" si="23"/>
        <v/>
      </c>
      <c r="E7662" s="45" t="str">
        <f t="shared" si="24"/>
        <v/>
      </c>
      <c r="F7662" s="59" t="str">
        <f t="shared" si="25"/>
        <v/>
      </c>
      <c r="G7662" s="59" t="str">
        <f t="shared" si="26"/>
        <v/>
      </c>
      <c r="H7662" s="59" t="str">
        <f t="shared" si="27"/>
        <v>Máy rải thảm</v>
      </c>
      <c r="I7662" s="59" t="str">
        <f>IF(OR($A7662="",$C7662="",$D7662="",$E7662="",$H7662=""),"",SUMIFS(DATA_GOC!$H:$H,DATA_GOC!$A:$A,"BOM",DATA_GOC!$D:$D,$H7662,DATA_GOC!$E:$E,$C7662,DATA_GOC!$F:$F,"Xuất nội bộ từ téc",DATA_GOC!$B:$B,"&gt;="&amp;$D7662,DATA_GOC!$B:$B,"&lt;="&amp;$E7662))</f>
        <v/>
      </c>
      <c r="J7662" s="59">
        <f t="shared" si="28"/>
        <v>0</v>
      </c>
      <c r="K7662" s="59">
        <f t="shared" si="29"/>
        <v>0</v>
      </c>
      <c r="L7662" s="59">
        <f t="shared" si="30"/>
        <v>0</v>
      </c>
      <c r="M7662" s="59">
        <f t="shared" si="31"/>
        <v>0</v>
      </c>
    </row>
    <row r="7663" ht="15.0" hidden="1" customHeight="1">
      <c r="A7663" s="59">
        <f t="shared" si="20"/>
        <v>124</v>
      </c>
      <c r="B7663" s="59" t="str">
        <f t="shared" si="21"/>
        <v/>
      </c>
      <c r="C7663" s="59" t="str">
        <f t="shared" si="22"/>
        <v/>
      </c>
      <c r="D7663" s="45" t="str">
        <f t="shared" si="23"/>
        <v/>
      </c>
      <c r="E7663" s="45" t="str">
        <f t="shared" si="24"/>
        <v/>
      </c>
      <c r="F7663" s="59" t="str">
        <f t="shared" si="25"/>
        <v/>
      </c>
      <c r="G7663" s="59" t="str">
        <f t="shared" si="26"/>
        <v/>
      </c>
      <c r="H7663" s="59" t="str">
        <f t="shared" si="27"/>
        <v>Xúc Đào</v>
      </c>
      <c r="I7663" s="59" t="str">
        <f>IF(OR($A7663="",$C7663="",$D7663="",$E7663="",$H7663=""),"",SUMIFS(DATA_GOC!$H:$H,DATA_GOC!$A:$A,"BOM",DATA_GOC!$D:$D,$H7663,DATA_GOC!$E:$E,$C7663,DATA_GOC!$F:$F,"Xuất nội bộ từ téc",DATA_GOC!$B:$B,"&gt;="&amp;$D7663,DATA_GOC!$B:$B,"&lt;="&amp;$E7663))</f>
        <v/>
      </c>
      <c r="J7663" s="59">
        <f t="shared" si="28"/>
        <v>0</v>
      </c>
      <c r="K7663" s="59">
        <f t="shared" si="29"/>
        <v>0</v>
      </c>
      <c r="L7663" s="59">
        <f t="shared" si="30"/>
        <v>0</v>
      </c>
      <c r="M7663" s="59">
        <f t="shared" si="31"/>
        <v>0</v>
      </c>
    </row>
    <row r="7664" ht="15.0" hidden="1" customHeight="1">
      <c r="A7664" s="59">
        <f t="shared" si="20"/>
        <v>124</v>
      </c>
      <c r="B7664" s="59" t="str">
        <f t="shared" si="21"/>
        <v/>
      </c>
      <c r="C7664" s="59" t="str">
        <f t="shared" si="22"/>
        <v/>
      </c>
      <c r="D7664" s="45" t="str">
        <f t="shared" si="23"/>
        <v/>
      </c>
      <c r="E7664" s="45" t="str">
        <f t="shared" si="24"/>
        <v/>
      </c>
      <c r="F7664" s="59" t="str">
        <f t="shared" si="25"/>
        <v/>
      </c>
      <c r="G7664" s="59" t="str">
        <f t="shared" si="26"/>
        <v/>
      </c>
      <c r="H7664" s="59" t="str">
        <f t="shared" si="27"/>
        <v>Xúclật asphalt</v>
      </c>
      <c r="I7664" s="59" t="str">
        <f>IF(OR($A7664="",$C7664="",$D7664="",$E7664="",$H7664=""),"",SUMIFS(DATA_GOC!$H:$H,DATA_GOC!$A:$A,"BOM",DATA_GOC!$D:$D,$H7664,DATA_GOC!$E:$E,$C7664,DATA_GOC!$F:$F,"Xuất nội bộ từ téc",DATA_GOC!$B:$B,"&gt;="&amp;$D7664,DATA_GOC!$B:$B,"&lt;="&amp;$E7664))</f>
        <v/>
      </c>
      <c r="J7664" s="59">
        <f t="shared" si="28"/>
        <v>0</v>
      </c>
      <c r="K7664" s="59">
        <f t="shared" si="29"/>
        <v>0</v>
      </c>
      <c r="L7664" s="59">
        <f t="shared" si="30"/>
        <v>0</v>
      </c>
      <c r="M7664" s="59">
        <f t="shared" si="31"/>
        <v>0</v>
      </c>
    </row>
    <row r="7665" ht="15.0" hidden="1" customHeight="1">
      <c r="A7665" s="59">
        <f t="shared" si="20"/>
        <v>124</v>
      </c>
      <c r="B7665" s="59" t="str">
        <f t="shared" si="21"/>
        <v/>
      </c>
      <c r="C7665" s="59" t="str">
        <f t="shared" si="22"/>
        <v/>
      </c>
      <c r="D7665" s="45" t="str">
        <f t="shared" si="23"/>
        <v/>
      </c>
      <c r="E7665" s="45" t="str">
        <f t="shared" si="24"/>
        <v/>
      </c>
      <c r="F7665" s="59" t="str">
        <f t="shared" si="25"/>
        <v/>
      </c>
      <c r="G7665" s="59" t="str">
        <f t="shared" si="26"/>
        <v/>
      </c>
      <c r="H7665" s="59" t="str">
        <f t="shared" si="27"/>
        <v>Xúclật855H</v>
      </c>
      <c r="I7665" s="59" t="str">
        <f>IF(OR($A7665="",$C7665="",$D7665="",$E7665="",$H7665=""),"",SUMIFS(DATA_GOC!$H:$H,DATA_GOC!$A:$A,"BOM",DATA_GOC!$D:$D,$H7665,DATA_GOC!$E:$E,$C7665,DATA_GOC!$F:$F,"Xuất nội bộ từ téc",DATA_GOC!$B:$B,"&gt;="&amp;$D7665,DATA_GOC!$B:$B,"&lt;="&amp;$E7665))</f>
        <v/>
      </c>
      <c r="J7665" s="59">
        <f t="shared" si="28"/>
        <v>0</v>
      </c>
      <c r="K7665" s="59">
        <f t="shared" si="29"/>
        <v>0</v>
      </c>
      <c r="L7665" s="59">
        <f t="shared" si="30"/>
        <v>0</v>
      </c>
      <c r="M7665" s="59">
        <f t="shared" si="31"/>
        <v>0</v>
      </c>
    </row>
    <row r="7666" ht="15.0" hidden="1" customHeight="1">
      <c r="A7666" s="59">
        <f t="shared" si="20"/>
        <v>124</v>
      </c>
      <c r="B7666" s="59" t="str">
        <f t="shared" si="21"/>
        <v/>
      </c>
      <c r="C7666" s="59" t="str">
        <f t="shared" si="22"/>
        <v/>
      </c>
      <c r="D7666" s="45" t="str">
        <f t="shared" si="23"/>
        <v/>
      </c>
      <c r="E7666" s="45" t="str">
        <f t="shared" si="24"/>
        <v/>
      </c>
      <c r="F7666" s="59" t="str">
        <f t="shared" si="25"/>
        <v/>
      </c>
      <c r="G7666" s="59" t="str">
        <f t="shared" si="26"/>
        <v/>
      </c>
      <c r="H7666" s="59" t="str">
        <f t="shared" si="27"/>
        <v>Xúclật855N</v>
      </c>
      <c r="I7666" s="59" t="str">
        <f>IF(OR($A7666="",$C7666="",$D7666="",$E7666="",$H7666=""),"",SUMIFS(DATA_GOC!$H:$H,DATA_GOC!$A:$A,"BOM",DATA_GOC!$D:$D,$H7666,DATA_GOC!$E:$E,$C7666,DATA_GOC!$F:$F,"Xuất nội bộ từ téc",DATA_GOC!$B:$B,"&gt;="&amp;$D7666,DATA_GOC!$B:$B,"&lt;="&amp;$E7666))</f>
        <v/>
      </c>
      <c r="J7666" s="59">
        <f t="shared" si="28"/>
        <v>0</v>
      </c>
      <c r="K7666" s="59">
        <f t="shared" si="29"/>
        <v>0</v>
      </c>
      <c r="L7666" s="59">
        <f t="shared" si="30"/>
        <v>0</v>
      </c>
      <c r="M7666" s="59">
        <f t="shared" si="31"/>
        <v>0</v>
      </c>
    </row>
    <row r="7667" ht="15.0" hidden="1" customHeight="1">
      <c r="A7667" s="59">
        <f t="shared" si="20"/>
        <v>124</v>
      </c>
      <c r="B7667" s="59" t="str">
        <f t="shared" si="21"/>
        <v/>
      </c>
      <c r="C7667" s="59" t="str">
        <f t="shared" si="22"/>
        <v/>
      </c>
      <c r="D7667" s="45" t="str">
        <f t="shared" si="23"/>
        <v/>
      </c>
      <c r="E7667" s="45" t="str">
        <f t="shared" si="24"/>
        <v/>
      </c>
      <c r="F7667" s="59" t="str">
        <f t="shared" si="25"/>
        <v/>
      </c>
      <c r="G7667" s="59" t="str">
        <f t="shared" si="26"/>
        <v/>
      </c>
      <c r="H7667" s="59" t="str">
        <f t="shared" si="27"/>
        <v>Cát nghiền</v>
      </c>
      <c r="I7667" s="59" t="str">
        <f>IF(OR($A7667="",$C7667="",$D7667="",$E7667="",$H7667=""),"",SUMIFS(DATA_GOC!$H:$H,DATA_GOC!$A:$A,"BOM",DATA_GOC!$D:$D,$H7667,DATA_GOC!$E:$E,$C7667,DATA_GOC!$F:$F,"Xuất nội bộ từ téc",DATA_GOC!$B:$B,"&gt;="&amp;$D7667,DATA_GOC!$B:$B,"&lt;="&amp;$E7667))</f>
        <v/>
      </c>
      <c r="J7667" s="59">
        <f t="shared" si="28"/>
        <v>0</v>
      </c>
      <c r="K7667" s="59">
        <f t="shared" si="29"/>
        <v>0</v>
      </c>
      <c r="L7667" s="59">
        <f t="shared" si="30"/>
        <v>0</v>
      </c>
      <c r="M7667" s="59">
        <f t="shared" si="31"/>
        <v>0</v>
      </c>
    </row>
    <row r="7668" ht="15.0" hidden="1" customHeight="1">
      <c r="A7668" s="59">
        <f t="shared" si="20"/>
        <v>124</v>
      </c>
      <c r="B7668" s="59" t="str">
        <f t="shared" si="21"/>
        <v/>
      </c>
      <c r="C7668" s="59" t="str">
        <f t="shared" si="22"/>
        <v/>
      </c>
      <c r="D7668" s="45" t="str">
        <f t="shared" si="23"/>
        <v/>
      </c>
      <c r="E7668" s="45" t="str">
        <f t="shared" si="24"/>
        <v/>
      </c>
      <c r="F7668" s="59" t="str">
        <f t="shared" si="25"/>
        <v/>
      </c>
      <c r="G7668" s="59" t="str">
        <f t="shared" si="26"/>
        <v/>
      </c>
      <c r="H7668" s="59" t="str">
        <f t="shared" si="27"/>
        <v>28C02973</v>
      </c>
      <c r="I7668" s="59" t="str">
        <f>IF(OR($A7668="",$C7668="",$D7668="",$E7668="",$H7668=""),"",SUMIFS(DATA_GOC!$H:$H,DATA_GOC!$A:$A,"BOM",DATA_GOC!$D:$D,$H7668,DATA_GOC!$E:$E,$C7668,DATA_GOC!$F:$F,"Xuất nội bộ từ téc",DATA_GOC!$B:$B,"&gt;="&amp;$D7668,DATA_GOC!$B:$B,"&lt;="&amp;$E7668))</f>
        <v/>
      </c>
      <c r="J7668" s="59">
        <f t="shared" si="28"/>
        <v>0</v>
      </c>
      <c r="K7668" s="59">
        <f t="shared" si="29"/>
        <v>0</v>
      </c>
      <c r="L7668" s="59">
        <f t="shared" si="30"/>
        <v>0</v>
      </c>
      <c r="M7668" s="59">
        <f t="shared" si="31"/>
        <v>0</v>
      </c>
    </row>
    <row r="7669" ht="15.0" hidden="1" customHeight="1">
      <c r="A7669" s="59">
        <f t="shared" si="20"/>
        <v>124</v>
      </c>
      <c r="B7669" s="59" t="str">
        <f t="shared" si="21"/>
        <v/>
      </c>
      <c r="C7669" s="59" t="str">
        <f t="shared" si="22"/>
        <v/>
      </c>
      <c r="D7669" s="45" t="str">
        <f t="shared" si="23"/>
        <v/>
      </c>
      <c r="E7669" s="45" t="str">
        <f t="shared" si="24"/>
        <v/>
      </c>
      <c r="F7669" s="59" t="str">
        <f t="shared" si="25"/>
        <v/>
      </c>
      <c r="G7669" s="59" t="str">
        <f t="shared" si="26"/>
        <v/>
      </c>
      <c r="H7669" s="59" t="str">
        <f t="shared" si="27"/>
        <v>28C03044</v>
      </c>
      <c r="I7669" s="59" t="str">
        <f>IF(OR($A7669="",$C7669="",$D7669="",$E7669="",$H7669=""),"",SUMIFS(DATA_GOC!$H:$H,DATA_GOC!$A:$A,"BOM",DATA_GOC!$D:$D,$H7669,DATA_GOC!$E:$E,$C7669,DATA_GOC!$F:$F,"Xuất nội bộ từ téc",DATA_GOC!$B:$B,"&gt;="&amp;$D7669,DATA_GOC!$B:$B,"&lt;="&amp;$E7669))</f>
        <v/>
      </c>
      <c r="J7669" s="59">
        <f t="shared" si="28"/>
        <v>0</v>
      </c>
      <c r="K7669" s="59">
        <f t="shared" si="29"/>
        <v>0</v>
      </c>
      <c r="L7669" s="59">
        <f t="shared" si="30"/>
        <v>0</v>
      </c>
      <c r="M7669" s="59">
        <f t="shared" si="31"/>
        <v>0</v>
      </c>
    </row>
    <row r="7670" ht="15.0" hidden="1" customHeight="1">
      <c r="A7670" s="59">
        <f t="shared" si="20"/>
        <v>124</v>
      </c>
      <c r="B7670" s="59" t="str">
        <f t="shared" si="21"/>
        <v/>
      </c>
      <c r="C7670" s="59" t="str">
        <f t="shared" si="22"/>
        <v/>
      </c>
      <c r="D7670" s="45" t="str">
        <f t="shared" si="23"/>
        <v/>
      </c>
      <c r="E7670" s="45" t="str">
        <f t="shared" si="24"/>
        <v/>
      </c>
      <c r="F7670" s="59" t="str">
        <f t="shared" si="25"/>
        <v/>
      </c>
      <c r="G7670" s="59" t="str">
        <f t="shared" si="26"/>
        <v/>
      </c>
      <c r="H7670" s="59" t="str">
        <f t="shared" si="27"/>
        <v>Máy lu lốp</v>
      </c>
      <c r="I7670" s="59" t="str">
        <f>IF(OR($A7670="",$C7670="",$D7670="",$E7670="",$H7670=""),"",SUMIFS(DATA_GOC!$H:$H,DATA_GOC!$A:$A,"BOM",DATA_GOC!$D:$D,$H7670,DATA_GOC!$E:$E,$C7670,DATA_GOC!$F:$F,"Xuất nội bộ từ téc",DATA_GOC!$B:$B,"&gt;="&amp;$D7670,DATA_GOC!$B:$B,"&lt;="&amp;$E7670))</f>
        <v/>
      </c>
      <c r="J7670" s="59">
        <f t="shared" si="28"/>
        <v>0</v>
      </c>
      <c r="K7670" s="59">
        <f t="shared" si="29"/>
        <v>0</v>
      </c>
      <c r="L7670" s="59">
        <f t="shared" si="30"/>
        <v>0</v>
      </c>
      <c r="M7670" s="59">
        <f t="shared" si="31"/>
        <v>0</v>
      </c>
    </row>
    <row r="7671" ht="15.0" hidden="1" customHeight="1">
      <c r="A7671" s="59">
        <f t="shared" si="20"/>
        <v>124</v>
      </c>
      <c r="B7671" s="59" t="str">
        <f t="shared" si="21"/>
        <v/>
      </c>
      <c r="C7671" s="59" t="str">
        <f t="shared" si="22"/>
        <v/>
      </c>
      <c r="D7671" s="45" t="str">
        <f t="shared" si="23"/>
        <v/>
      </c>
      <c r="E7671" s="45" t="str">
        <f t="shared" si="24"/>
        <v/>
      </c>
      <c r="F7671" s="59" t="str">
        <f t="shared" si="25"/>
        <v/>
      </c>
      <c r="G7671" s="59" t="str">
        <f t="shared" si="26"/>
        <v/>
      </c>
      <c r="H7671" s="59" t="str">
        <f t="shared" si="27"/>
        <v>Xe 600148</v>
      </c>
      <c r="I7671" s="59" t="str">
        <f>IF(OR($A7671="",$C7671="",$D7671="",$E7671="",$H7671=""),"",SUMIFS(DATA_GOC!$H:$H,DATA_GOC!$A:$A,"BOM",DATA_GOC!$D:$D,$H7671,DATA_GOC!$E:$E,$C7671,DATA_GOC!$F:$F,"Xuất nội bộ từ téc",DATA_GOC!$B:$B,"&gt;="&amp;$D7671,DATA_GOC!$B:$B,"&lt;="&amp;$E7671))</f>
        <v/>
      </c>
      <c r="J7671" s="59">
        <f t="shared" si="28"/>
        <v>0</v>
      </c>
      <c r="K7671" s="59">
        <f t="shared" si="29"/>
        <v>0</v>
      </c>
      <c r="L7671" s="59">
        <f t="shared" si="30"/>
        <v>0</v>
      </c>
      <c r="M7671" s="59">
        <f t="shared" si="31"/>
        <v>0</v>
      </c>
    </row>
    <row r="7672" ht="15.0" hidden="1" customHeight="1">
      <c r="A7672" s="59">
        <f t="shared" si="20"/>
        <v>124</v>
      </c>
      <c r="B7672" s="59" t="str">
        <f t="shared" si="21"/>
        <v/>
      </c>
      <c r="C7672" s="59" t="str">
        <f t="shared" si="22"/>
        <v/>
      </c>
      <c r="D7672" s="45" t="str">
        <f t="shared" si="23"/>
        <v/>
      </c>
      <c r="E7672" s="45" t="str">
        <f t="shared" si="24"/>
        <v/>
      </c>
      <c r="F7672" s="59" t="str">
        <f t="shared" si="25"/>
        <v/>
      </c>
      <c r="G7672" s="59" t="str">
        <f t="shared" si="26"/>
        <v/>
      </c>
      <c r="H7672" s="59" t="str">
        <f t="shared" si="27"/>
        <v>Xe ben mới</v>
      </c>
      <c r="I7672" s="59" t="str">
        <f>IF(OR($A7672="",$C7672="",$D7672="",$E7672="",$H7672=""),"",SUMIFS(DATA_GOC!$H:$H,DATA_GOC!$A:$A,"BOM",DATA_GOC!$D:$D,$H7672,DATA_GOC!$E:$E,$C7672,DATA_GOC!$F:$F,"Xuất nội bộ từ téc",DATA_GOC!$B:$B,"&gt;="&amp;$D7672,DATA_GOC!$B:$B,"&lt;="&amp;$E7672))</f>
        <v/>
      </c>
      <c r="J7672" s="59">
        <f t="shared" si="28"/>
        <v>0</v>
      </c>
      <c r="K7672" s="59">
        <f t="shared" si="29"/>
        <v>0</v>
      </c>
      <c r="L7672" s="59">
        <f t="shared" si="30"/>
        <v>0</v>
      </c>
      <c r="M7672" s="59">
        <f t="shared" si="31"/>
        <v>0</v>
      </c>
    </row>
    <row r="7673" ht="15.0" hidden="1" customHeight="1">
      <c r="A7673" s="59">
        <f t="shared" si="20"/>
        <v>125</v>
      </c>
      <c r="B7673" s="59" t="str">
        <f t="shared" si="21"/>
        <v/>
      </c>
      <c r="C7673" s="59" t="str">
        <f t="shared" si="22"/>
        <v/>
      </c>
      <c r="D7673" s="45" t="str">
        <f t="shared" si="23"/>
        <v/>
      </c>
      <c r="E7673" s="45" t="str">
        <f t="shared" si="24"/>
        <v/>
      </c>
      <c r="F7673" s="59" t="str">
        <f t="shared" si="25"/>
        <v/>
      </c>
      <c r="G7673" s="59" t="str">
        <f t="shared" si="26"/>
        <v/>
      </c>
      <c r="H7673" s="59" t="str">
        <f t="shared" si="27"/>
        <v>19H09482</v>
      </c>
      <c r="I7673" s="59" t="str">
        <f>IF(OR($A7673="",$C7673="",$D7673="",$E7673="",$H7673=""),"",SUMIFS(DATA_GOC!$H:$H,DATA_GOC!$A:$A,"BOM",DATA_GOC!$D:$D,$H7673,DATA_GOC!$E:$E,$C7673,DATA_GOC!$F:$F,"Xuất nội bộ từ téc",DATA_GOC!$B:$B,"&gt;="&amp;$D7673,DATA_GOC!$B:$B,"&lt;="&amp;$E7673))</f>
        <v/>
      </c>
      <c r="J7673" s="59">
        <f t="shared" si="28"/>
        <v>0</v>
      </c>
      <c r="K7673" s="59">
        <f t="shared" si="29"/>
        <v>0</v>
      </c>
      <c r="L7673" s="59">
        <f t="shared" si="30"/>
        <v>0</v>
      </c>
      <c r="M7673" s="59">
        <f t="shared" si="31"/>
        <v>0</v>
      </c>
    </row>
    <row r="7674" ht="15.0" hidden="1" customHeight="1">
      <c r="A7674" s="59">
        <f t="shared" si="20"/>
        <v>125</v>
      </c>
      <c r="B7674" s="59" t="str">
        <f t="shared" si="21"/>
        <v/>
      </c>
      <c r="C7674" s="59" t="str">
        <f t="shared" si="22"/>
        <v/>
      </c>
      <c r="D7674" s="45" t="str">
        <f t="shared" si="23"/>
        <v/>
      </c>
      <c r="E7674" s="45" t="str">
        <f t="shared" si="24"/>
        <v/>
      </c>
      <c r="F7674" s="59" t="str">
        <f t="shared" si="25"/>
        <v/>
      </c>
      <c r="G7674" s="59" t="str">
        <f t="shared" si="26"/>
        <v/>
      </c>
      <c r="H7674" s="59" t="str">
        <f t="shared" si="27"/>
        <v>28A30696</v>
      </c>
      <c r="I7674" s="59" t="str">
        <f>IF(OR($A7674="",$C7674="",$D7674="",$E7674="",$H7674=""),"",SUMIFS(DATA_GOC!$H:$H,DATA_GOC!$A:$A,"BOM",DATA_GOC!$D:$D,$H7674,DATA_GOC!$E:$E,$C7674,DATA_GOC!$F:$F,"Xuất nội bộ từ téc",DATA_GOC!$B:$B,"&gt;="&amp;$D7674,DATA_GOC!$B:$B,"&lt;="&amp;$E7674))</f>
        <v/>
      </c>
      <c r="J7674" s="59">
        <f t="shared" si="28"/>
        <v>0</v>
      </c>
      <c r="K7674" s="59">
        <f t="shared" si="29"/>
        <v>0</v>
      </c>
      <c r="L7674" s="59">
        <f t="shared" si="30"/>
        <v>0</v>
      </c>
      <c r="M7674" s="59">
        <f t="shared" si="31"/>
        <v>0</v>
      </c>
    </row>
    <row r="7675" ht="15.0" hidden="1" customHeight="1">
      <c r="A7675" s="59">
        <f t="shared" si="20"/>
        <v>125</v>
      </c>
      <c r="B7675" s="59" t="str">
        <f t="shared" si="21"/>
        <v/>
      </c>
      <c r="C7675" s="59" t="str">
        <f t="shared" si="22"/>
        <v/>
      </c>
      <c r="D7675" s="45" t="str">
        <f t="shared" si="23"/>
        <v/>
      </c>
      <c r="E7675" s="45" t="str">
        <f t="shared" si="24"/>
        <v/>
      </c>
      <c r="F7675" s="59" t="str">
        <f t="shared" si="25"/>
        <v/>
      </c>
      <c r="G7675" s="59" t="str">
        <f t="shared" si="26"/>
        <v/>
      </c>
      <c r="H7675" s="59" t="str">
        <f t="shared" si="27"/>
        <v>28C00462</v>
      </c>
      <c r="I7675" s="59" t="str">
        <f>IF(OR($A7675="",$C7675="",$D7675="",$E7675="",$H7675=""),"",SUMIFS(DATA_GOC!$H:$H,DATA_GOC!$A:$A,"BOM",DATA_GOC!$D:$D,$H7675,DATA_GOC!$E:$E,$C7675,DATA_GOC!$F:$F,"Xuất nội bộ từ téc",DATA_GOC!$B:$B,"&gt;="&amp;$D7675,DATA_GOC!$B:$B,"&lt;="&amp;$E7675))</f>
        <v/>
      </c>
      <c r="J7675" s="59">
        <f t="shared" si="28"/>
        <v>0</v>
      </c>
      <c r="K7675" s="59">
        <f t="shared" si="29"/>
        <v>0</v>
      </c>
      <c r="L7675" s="59">
        <f t="shared" si="30"/>
        <v>0</v>
      </c>
      <c r="M7675" s="59">
        <f t="shared" si="31"/>
        <v>0</v>
      </c>
    </row>
    <row r="7676" ht="15.0" hidden="1" customHeight="1">
      <c r="A7676" s="59">
        <f t="shared" si="20"/>
        <v>125</v>
      </c>
      <c r="B7676" s="59" t="str">
        <f t="shared" si="21"/>
        <v/>
      </c>
      <c r="C7676" s="59" t="str">
        <f t="shared" si="22"/>
        <v/>
      </c>
      <c r="D7676" s="45" t="str">
        <f t="shared" si="23"/>
        <v/>
      </c>
      <c r="E7676" s="45" t="str">
        <f t="shared" si="24"/>
        <v/>
      </c>
      <c r="F7676" s="59" t="str">
        <f t="shared" si="25"/>
        <v/>
      </c>
      <c r="G7676" s="59" t="str">
        <f t="shared" si="26"/>
        <v/>
      </c>
      <c r="H7676" s="59" t="str">
        <f t="shared" si="27"/>
        <v>28C01165</v>
      </c>
      <c r="I7676" s="59" t="str">
        <f>IF(OR($A7676="",$C7676="",$D7676="",$E7676="",$H7676=""),"",SUMIFS(DATA_GOC!$H:$H,DATA_GOC!$A:$A,"BOM",DATA_GOC!$D:$D,$H7676,DATA_GOC!$E:$E,$C7676,DATA_GOC!$F:$F,"Xuất nội bộ từ téc",DATA_GOC!$B:$B,"&gt;="&amp;$D7676,DATA_GOC!$B:$B,"&lt;="&amp;$E7676))</f>
        <v/>
      </c>
      <c r="J7676" s="59">
        <f t="shared" si="28"/>
        <v>0</v>
      </c>
      <c r="K7676" s="59">
        <f t="shared" si="29"/>
        <v>0</v>
      </c>
      <c r="L7676" s="59">
        <f t="shared" si="30"/>
        <v>0</v>
      </c>
      <c r="M7676" s="59">
        <f t="shared" si="31"/>
        <v>0</v>
      </c>
    </row>
    <row r="7677" ht="15.0" hidden="1" customHeight="1">
      <c r="A7677" s="59">
        <f t="shared" si="20"/>
        <v>125</v>
      </c>
      <c r="B7677" s="59" t="str">
        <f t="shared" si="21"/>
        <v/>
      </c>
      <c r="C7677" s="59" t="str">
        <f t="shared" si="22"/>
        <v/>
      </c>
      <c r="D7677" s="45" t="str">
        <f t="shared" si="23"/>
        <v/>
      </c>
      <c r="E7677" s="45" t="str">
        <f t="shared" si="24"/>
        <v/>
      </c>
      <c r="F7677" s="59" t="str">
        <f t="shared" si="25"/>
        <v/>
      </c>
      <c r="G7677" s="59" t="str">
        <f t="shared" si="26"/>
        <v/>
      </c>
      <c r="H7677" s="59" t="str">
        <f t="shared" si="27"/>
        <v>28C01406</v>
      </c>
      <c r="I7677" s="59" t="str">
        <f>IF(OR($A7677="",$C7677="",$D7677="",$E7677="",$H7677=""),"",SUMIFS(DATA_GOC!$H:$H,DATA_GOC!$A:$A,"BOM",DATA_GOC!$D:$D,$H7677,DATA_GOC!$E:$E,$C7677,DATA_GOC!$F:$F,"Xuất nội bộ từ téc",DATA_GOC!$B:$B,"&gt;="&amp;$D7677,DATA_GOC!$B:$B,"&lt;="&amp;$E7677))</f>
        <v/>
      </c>
      <c r="J7677" s="59">
        <f t="shared" si="28"/>
        <v>0</v>
      </c>
      <c r="K7677" s="59">
        <f t="shared" si="29"/>
        <v>0</v>
      </c>
      <c r="L7677" s="59">
        <f t="shared" si="30"/>
        <v>0</v>
      </c>
      <c r="M7677" s="59">
        <f t="shared" si="31"/>
        <v>0</v>
      </c>
    </row>
    <row r="7678" ht="15.0" hidden="1" customHeight="1">
      <c r="A7678" s="59">
        <f t="shared" si="20"/>
        <v>125</v>
      </c>
      <c r="B7678" s="59" t="str">
        <f t="shared" si="21"/>
        <v/>
      </c>
      <c r="C7678" s="59" t="str">
        <f t="shared" si="22"/>
        <v/>
      </c>
      <c r="D7678" s="45" t="str">
        <f t="shared" si="23"/>
        <v/>
      </c>
      <c r="E7678" s="45" t="str">
        <f t="shared" si="24"/>
        <v/>
      </c>
      <c r="F7678" s="59" t="str">
        <f t="shared" si="25"/>
        <v/>
      </c>
      <c r="G7678" s="59" t="str">
        <f t="shared" si="26"/>
        <v/>
      </c>
      <c r="H7678" s="59" t="str">
        <f t="shared" si="27"/>
        <v>28C01544</v>
      </c>
      <c r="I7678" s="59" t="str">
        <f>IF(OR($A7678="",$C7678="",$D7678="",$E7678="",$H7678=""),"",SUMIFS(DATA_GOC!$H:$H,DATA_GOC!$A:$A,"BOM",DATA_GOC!$D:$D,$H7678,DATA_GOC!$E:$E,$C7678,DATA_GOC!$F:$F,"Xuất nội bộ từ téc",DATA_GOC!$B:$B,"&gt;="&amp;$D7678,DATA_GOC!$B:$B,"&lt;="&amp;$E7678))</f>
        <v/>
      </c>
      <c r="J7678" s="59">
        <f t="shared" si="28"/>
        <v>0</v>
      </c>
      <c r="K7678" s="59">
        <f t="shared" si="29"/>
        <v>0</v>
      </c>
      <c r="L7678" s="59">
        <f t="shared" si="30"/>
        <v>0</v>
      </c>
      <c r="M7678" s="59">
        <f t="shared" si="31"/>
        <v>0</v>
      </c>
    </row>
    <row r="7679" ht="15.0" hidden="1" customHeight="1">
      <c r="A7679" s="59">
        <f t="shared" si="20"/>
        <v>125</v>
      </c>
      <c r="B7679" s="59" t="str">
        <f t="shared" si="21"/>
        <v/>
      </c>
      <c r="C7679" s="59" t="str">
        <f t="shared" si="22"/>
        <v/>
      </c>
      <c r="D7679" s="45" t="str">
        <f t="shared" si="23"/>
        <v/>
      </c>
      <c r="E7679" s="45" t="str">
        <f t="shared" si="24"/>
        <v/>
      </c>
      <c r="F7679" s="59" t="str">
        <f t="shared" si="25"/>
        <v/>
      </c>
      <c r="G7679" s="59" t="str">
        <f t="shared" si="26"/>
        <v/>
      </c>
      <c r="H7679" s="59" t="str">
        <f t="shared" si="27"/>
        <v>28C01622</v>
      </c>
      <c r="I7679" s="59" t="str">
        <f>IF(OR($A7679="",$C7679="",$D7679="",$E7679="",$H7679=""),"",SUMIFS(DATA_GOC!$H:$H,DATA_GOC!$A:$A,"BOM",DATA_GOC!$D:$D,$H7679,DATA_GOC!$E:$E,$C7679,DATA_GOC!$F:$F,"Xuất nội bộ từ téc",DATA_GOC!$B:$B,"&gt;="&amp;$D7679,DATA_GOC!$B:$B,"&lt;="&amp;$E7679))</f>
        <v/>
      </c>
      <c r="J7679" s="59">
        <f t="shared" si="28"/>
        <v>0</v>
      </c>
      <c r="K7679" s="59">
        <f t="shared" si="29"/>
        <v>0</v>
      </c>
      <c r="L7679" s="59">
        <f t="shared" si="30"/>
        <v>0</v>
      </c>
      <c r="M7679" s="59">
        <f t="shared" si="31"/>
        <v>0</v>
      </c>
    </row>
    <row r="7680" ht="15.0" hidden="1" customHeight="1">
      <c r="A7680" s="59">
        <f t="shared" si="20"/>
        <v>125</v>
      </c>
      <c r="B7680" s="59" t="str">
        <f t="shared" si="21"/>
        <v/>
      </c>
      <c r="C7680" s="59" t="str">
        <f t="shared" si="22"/>
        <v/>
      </c>
      <c r="D7680" s="45" t="str">
        <f t="shared" si="23"/>
        <v/>
      </c>
      <c r="E7680" s="45" t="str">
        <f t="shared" si="24"/>
        <v/>
      </c>
      <c r="F7680" s="59" t="str">
        <f t="shared" si="25"/>
        <v/>
      </c>
      <c r="G7680" s="59" t="str">
        <f t="shared" si="26"/>
        <v/>
      </c>
      <c r="H7680" s="59" t="str">
        <f t="shared" si="27"/>
        <v>28C01647</v>
      </c>
      <c r="I7680" s="59" t="str">
        <f>IF(OR($A7680="",$C7680="",$D7680="",$E7680="",$H7680=""),"",SUMIFS(DATA_GOC!$H:$H,DATA_GOC!$A:$A,"BOM",DATA_GOC!$D:$D,$H7680,DATA_GOC!$E:$E,$C7680,DATA_GOC!$F:$F,"Xuất nội bộ từ téc",DATA_GOC!$B:$B,"&gt;="&amp;$D7680,DATA_GOC!$B:$B,"&lt;="&amp;$E7680))</f>
        <v/>
      </c>
      <c r="J7680" s="59">
        <f t="shared" si="28"/>
        <v>0</v>
      </c>
      <c r="K7680" s="59">
        <f t="shared" si="29"/>
        <v>0</v>
      </c>
      <c r="L7680" s="59">
        <f t="shared" si="30"/>
        <v>0</v>
      </c>
      <c r="M7680" s="59">
        <f t="shared" si="31"/>
        <v>0</v>
      </c>
    </row>
    <row r="7681" ht="15.0" hidden="1" customHeight="1">
      <c r="A7681" s="59">
        <f t="shared" si="20"/>
        <v>125</v>
      </c>
      <c r="B7681" s="59" t="str">
        <f t="shared" si="21"/>
        <v/>
      </c>
      <c r="C7681" s="59" t="str">
        <f t="shared" si="22"/>
        <v/>
      </c>
      <c r="D7681" s="45" t="str">
        <f t="shared" si="23"/>
        <v/>
      </c>
      <c r="E7681" s="45" t="str">
        <f t="shared" si="24"/>
        <v/>
      </c>
      <c r="F7681" s="59" t="str">
        <f t="shared" si="25"/>
        <v/>
      </c>
      <c r="G7681" s="59" t="str">
        <f t="shared" si="26"/>
        <v/>
      </c>
      <c r="H7681" s="59" t="str">
        <f t="shared" si="27"/>
        <v>28C01731</v>
      </c>
      <c r="I7681" s="59" t="str">
        <f>IF(OR($A7681="",$C7681="",$D7681="",$E7681="",$H7681=""),"",SUMIFS(DATA_GOC!$H:$H,DATA_GOC!$A:$A,"BOM",DATA_GOC!$D:$D,$H7681,DATA_GOC!$E:$E,$C7681,DATA_GOC!$F:$F,"Xuất nội bộ từ téc",DATA_GOC!$B:$B,"&gt;="&amp;$D7681,DATA_GOC!$B:$B,"&lt;="&amp;$E7681))</f>
        <v/>
      </c>
      <c r="J7681" s="59">
        <f t="shared" si="28"/>
        <v>0</v>
      </c>
      <c r="K7681" s="59">
        <f t="shared" si="29"/>
        <v>0</v>
      </c>
      <c r="L7681" s="59">
        <f t="shared" si="30"/>
        <v>0</v>
      </c>
      <c r="M7681" s="59">
        <f t="shared" si="31"/>
        <v>0</v>
      </c>
    </row>
    <row r="7682" ht="15.0" hidden="1" customHeight="1">
      <c r="A7682" s="59">
        <f t="shared" si="20"/>
        <v>125</v>
      </c>
      <c r="B7682" s="59" t="str">
        <f t="shared" si="21"/>
        <v/>
      </c>
      <c r="C7682" s="59" t="str">
        <f t="shared" si="22"/>
        <v/>
      </c>
      <c r="D7682" s="45" t="str">
        <f t="shared" si="23"/>
        <v/>
      </c>
      <c r="E7682" s="45" t="str">
        <f t="shared" si="24"/>
        <v/>
      </c>
      <c r="F7682" s="59" t="str">
        <f t="shared" si="25"/>
        <v/>
      </c>
      <c r="G7682" s="59" t="str">
        <f t="shared" si="26"/>
        <v/>
      </c>
      <c r="H7682" s="59" t="str">
        <f t="shared" si="27"/>
        <v>28C01743</v>
      </c>
      <c r="I7682" s="59" t="str">
        <f>IF(OR($A7682="",$C7682="",$D7682="",$E7682="",$H7682=""),"",SUMIFS(DATA_GOC!$H:$H,DATA_GOC!$A:$A,"BOM",DATA_GOC!$D:$D,$H7682,DATA_GOC!$E:$E,$C7682,DATA_GOC!$F:$F,"Xuất nội bộ từ téc",DATA_GOC!$B:$B,"&gt;="&amp;$D7682,DATA_GOC!$B:$B,"&lt;="&amp;$E7682))</f>
        <v/>
      </c>
      <c r="J7682" s="59">
        <f t="shared" si="28"/>
        <v>0</v>
      </c>
      <c r="K7682" s="59">
        <f t="shared" si="29"/>
        <v>0</v>
      </c>
      <c r="L7682" s="59">
        <f t="shared" si="30"/>
        <v>0</v>
      </c>
      <c r="M7682" s="59">
        <f t="shared" si="31"/>
        <v>0</v>
      </c>
    </row>
    <row r="7683" ht="15.0" hidden="1" customHeight="1">
      <c r="A7683" s="59">
        <f t="shared" si="20"/>
        <v>125</v>
      </c>
      <c r="B7683" s="59" t="str">
        <f t="shared" si="21"/>
        <v/>
      </c>
      <c r="C7683" s="59" t="str">
        <f t="shared" si="22"/>
        <v/>
      </c>
      <c r="D7683" s="45" t="str">
        <f t="shared" si="23"/>
        <v/>
      </c>
      <c r="E7683" s="45" t="str">
        <f t="shared" si="24"/>
        <v/>
      </c>
      <c r="F7683" s="59" t="str">
        <f t="shared" si="25"/>
        <v/>
      </c>
      <c r="G7683" s="59" t="str">
        <f t="shared" si="26"/>
        <v/>
      </c>
      <c r="H7683" s="59" t="str">
        <f t="shared" si="27"/>
        <v>28C02106</v>
      </c>
      <c r="I7683" s="59" t="str">
        <f>IF(OR($A7683="",$C7683="",$D7683="",$E7683="",$H7683=""),"",SUMIFS(DATA_GOC!$H:$H,DATA_GOC!$A:$A,"BOM",DATA_GOC!$D:$D,$H7683,DATA_GOC!$E:$E,$C7683,DATA_GOC!$F:$F,"Xuất nội bộ từ téc",DATA_GOC!$B:$B,"&gt;="&amp;$D7683,DATA_GOC!$B:$B,"&lt;="&amp;$E7683))</f>
        <v/>
      </c>
      <c r="J7683" s="59">
        <f t="shared" si="28"/>
        <v>0</v>
      </c>
      <c r="K7683" s="59">
        <f t="shared" si="29"/>
        <v>0</v>
      </c>
      <c r="L7683" s="59">
        <f t="shared" si="30"/>
        <v>0</v>
      </c>
      <c r="M7683" s="59">
        <f t="shared" si="31"/>
        <v>0</v>
      </c>
    </row>
    <row r="7684" ht="15.0" hidden="1" customHeight="1">
      <c r="A7684" s="59">
        <f t="shared" si="20"/>
        <v>125</v>
      </c>
      <c r="B7684" s="59" t="str">
        <f t="shared" si="21"/>
        <v/>
      </c>
      <c r="C7684" s="59" t="str">
        <f t="shared" si="22"/>
        <v/>
      </c>
      <c r="D7684" s="45" t="str">
        <f t="shared" si="23"/>
        <v/>
      </c>
      <c r="E7684" s="45" t="str">
        <f t="shared" si="24"/>
        <v/>
      </c>
      <c r="F7684" s="59" t="str">
        <f t="shared" si="25"/>
        <v/>
      </c>
      <c r="G7684" s="59" t="str">
        <f t="shared" si="26"/>
        <v/>
      </c>
      <c r="H7684" s="59" t="str">
        <f t="shared" si="27"/>
        <v>28C02410</v>
      </c>
      <c r="I7684" s="59" t="str">
        <f>IF(OR($A7684="",$C7684="",$D7684="",$E7684="",$H7684=""),"",SUMIFS(DATA_GOC!$H:$H,DATA_GOC!$A:$A,"BOM",DATA_GOC!$D:$D,$H7684,DATA_GOC!$E:$E,$C7684,DATA_GOC!$F:$F,"Xuất nội bộ từ téc",DATA_GOC!$B:$B,"&gt;="&amp;$D7684,DATA_GOC!$B:$B,"&lt;="&amp;$E7684))</f>
        <v/>
      </c>
      <c r="J7684" s="59">
        <f t="shared" si="28"/>
        <v>0</v>
      </c>
      <c r="K7684" s="59">
        <f t="shared" si="29"/>
        <v>0</v>
      </c>
      <c r="L7684" s="59">
        <f t="shared" si="30"/>
        <v>0</v>
      </c>
      <c r="M7684" s="59">
        <f t="shared" si="31"/>
        <v>0</v>
      </c>
    </row>
    <row r="7685" ht="15.0" hidden="1" customHeight="1">
      <c r="A7685" s="59">
        <f t="shared" si="20"/>
        <v>125</v>
      </c>
      <c r="B7685" s="59" t="str">
        <f t="shared" si="21"/>
        <v/>
      </c>
      <c r="C7685" s="59" t="str">
        <f t="shared" si="22"/>
        <v/>
      </c>
      <c r="D7685" s="45" t="str">
        <f t="shared" si="23"/>
        <v/>
      </c>
      <c r="E7685" s="45" t="str">
        <f t="shared" si="24"/>
        <v/>
      </c>
      <c r="F7685" s="59" t="str">
        <f t="shared" si="25"/>
        <v/>
      </c>
      <c r="G7685" s="59" t="str">
        <f t="shared" si="26"/>
        <v/>
      </c>
      <c r="H7685" s="59" t="str">
        <f t="shared" si="27"/>
        <v>28C02545</v>
      </c>
      <c r="I7685" s="59" t="str">
        <f>IF(OR($A7685="",$C7685="",$D7685="",$E7685="",$H7685=""),"",SUMIFS(DATA_GOC!$H:$H,DATA_GOC!$A:$A,"BOM",DATA_GOC!$D:$D,$H7685,DATA_GOC!$E:$E,$C7685,DATA_GOC!$F:$F,"Xuất nội bộ từ téc",DATA_GOC!$B:$B,"&gt;="&amp;$D7685,DATA_GOC!$B:$B,"&lt;="&amp;$E7685))</f>
        <v/>
      </c>
      <c r="J7685" s="59">
        <f t="shared" si="28"/>
        <v>0</v>
      </c>
      <c r="K7685" s="59">
        <f t="shared" si="29"/>
        <v>0</v>
      </c>
      <c r="L7685" s="59">
        <f t="shared" si="30"/>
        <v>0</v>
      </c>
      <c r="M7685" s="59">
        <f t="shared" si="31"/>
        <v>0</v>
      </c>
    </row>
    <row r="7686" ht="15.0" hidden="1" customHeight="1">
      <c r="A7686" s="59">
        <f t="shared" si="20"/>
        <v>125</v>
      </c>
      <c r="B7686" s="59" t="str">
        <f t="shared" si="21"/>
        <v/>
      </c>
      <c r="C7686" s="59" t="str">
        <f t="shared" si="22"/>
        <v/>
      </c>
      <c r="D7686" s="45" t="str">
        <f t="shared" si="23"/>
        <v/>
      </c>
      <c r="E7686" s="45" t="str">
        <f t="shared" si="24"/>
        <v/>
      </c>
      <c r="F7686" s="59" t="str">
        <f t="shared" si="25"/>
        <v/>
      </c>
      <c r="G7686" s="59" t="str">
        <f t="shared" si="26"/>
        <v/>
      </c>
      <c r="H7686" s="59" t="str">
        <f t="shared" si="27"/>
        <v>28C02574</v>
      </c>
      <c r="I7686" s="59" t="str">
        <f>IF(OR($A7686="",$C7686="",$D7686="",$E7686="",$H7686=""),"",SUMIFS(DATA_GOC!$H:$H,DATA_GOC!$A:$A,"BOM",DATA_GOC!$D:$D,$H7686,DATA_GOC!$E:$E,$C7686,DATA_GOC!$F:$F,"Xuất nội bộ từ téc",DATA_GOC!$B:$B,"&gt;="&amp;$D7686,DATA_GOC!$B:$B,"&lt;="&amp;$E7686))</f>
        <v/>
      </c>
      <c r="J7686" s="59">
        <f t="shared" si="28"/>
        <v>0</v>
      </c>
      <c r="K7686" s="59">
        <f t="shared" si="29"/>
        <v>0</v>
      </c>
      <c r="L7686" s="59">
        <f t="shared" si="30"/>
        <v>0</v>
      </c>
      <c r="M7686" s="59">
        <f t="shared" si="31"/>
        <v>0</v>
      </c>
    </row>
    <row r="7687" ht="15.0" hidden="1" customHeight="1">
      <c r="A7687" s="59">
        <f t="shared" si="20"/>
        <v>125</v>
      </c>
      <c r="B7687" s="59" t="str">
        <f t="shared" si="21"/>
        <v/>
      </c>
      <c r="C7687" s="59" t="str">
        <f t="shared" si="22"/>
        <v/>
      </c>
      <c r="D7687" s="45" t="str">
        <f t="shared" si="23"/>
        <v/>
      </c>
      <c r="E7687" s="45" t="str">
        <f t="shared" si="24"/>
        <v/>
      </c>
      <c r="F7687" s="59" t="str">
        <f t="shared" si="25"/>
        <v/>
      </c>
      <c r="G7687" s="59" t="str">
        <f t="shared" si="26"/>
        <v/>
      </c>
      <c r="H7687" s="59" t="str">
        <f t="shared" si="27"/>
        <v>28C02770</v>
      </c>
      <c r="I7687" s="59" t="str">
        <f>IF(OR($A7687="",$C7687="",$D7687="",$E7687="",$H7687=""),"",SUMIFS(DATA_GOC!$H:$H,DATA_GOC!$A:$A,"BOM",DATA_GOC!$D:$D,$H7687,DATA_GOC!$E:$E,$C7687,DATA_GOC!$F:$F,"Xuất nội bộ từ téc",DATA_GOC!$B:$B,"&gt;="&amp;$D7687,DATA_GOC!$B:$B,"&lt;="&amp;$E7687))</f>
        <v/>
      </c>
      <c r="J7687" s="59">
        <f t="shared" si="28"/>
        <v>0</v>
      </c>
      <c r="K7687" s="59">
        <f t="shared" si="29"/>
        <v>0</v>
      </c>
      <c r="L7687" s="59">
        <f t="shared" si="30"/>
        <v>0</v>
      </c>
      <c r="M7687" s="59">
        <f t="shared" si="31"/>
        <v>0</v>
      </c>
    </row>
    <row r="7688" ht="15.0" hidden="1" customHeight="1">
      <c r="A7688" s="59">
        <f t="shared" si="20"/>
        <v>125</v>
      </c>
      <c r="B7688" s="59" t="str">
        <f t="shared" si="21"/>
        <v/>
      </c>
      <c r="C7688" s="59" t="str">
        <f t="shared" si="22"/>
        <v/>
      </c>
      <c r="D7688" s="45" t="str">
        <f t="shared" si="23"/>
        <v/>
      </c>
      <c r="E7688" s="45" t="str">
        <f t="shared" si="24"/>
        <v/>
      </c>
      <c r="F7688" s="59" t="str">
        <f t="shared" si="25"/>
        <v/>
      </c>
      <c r="G7688" s="59" t="str">
        <f t="shared" si="26"/>
        <v/>
      </c>
      <c r="H7688" s="59" t="str">
        <f t="shared" si="27"/>
        <v>28C02986</v>
      </c>
      <c r="I7688" s="59" t="str">
        <f>IF(OR($A7688="",$C7688="",$D7688="",$E7688="",$H7688=""),"",SUMIFS(DATA_GOC!$H:$H,DATA_GOC!$A:$A,"BOM",DATA_GOC!$D:$D,$H7688,DATA_GOC!$E:$E,$C7688,DATA_GOC!$F:$F,"Xuất nội bộ từ téc",DATA_GOC!$B:$B,"&gt;="&amp;$D7688,DATA_GOC!$B:$B,"&lt;="&amp;$E7688))</f>
        <v/>
      </c>
      <c r="J7688" s="59">
        <f t="shared" si="28"/>
        <v>0</v>
      </c>
      <c r="K7688" s="59">
        <f t="shared" si="29"/>
        <v>0</v>
      </c>
      <c r="L7688" s="59">
        <f t="shared" si="30"/>
        <v>0</v>
      </c>
      <c r="M7688" s="59">
        <f t="shared" si="31"/>
        <v>0</v>
      </c>
    </row>
    <row r="7689" ht="15.0" hidden="1" customHeight="1">
      <c r="A7689" s="59">
        <f t="shared" si="20"/>
        <v>125</v>
      </c>
      <c r="B7689" s="59" t="str">
        <f t="shared" si="21"/>
        <v/>
      </c>
      <c r="C7689" s="59" t="str">
        <f t="shared" si="22"/>
        <v/>
      </c>
      <c r="D7689" s="45" t="str">
        <f t="shared" si="23"/>
        <v/>
      </c>
      <c r="E7689" s="45" t="str">
        <f t="shared" si="24"/>
        <v/>
      </c>
      <c r="F7689" s="59" t="str">
        <f t="shared" si="25"/>
        <v/>
      </c>
      <c r="G7689" s="59" t="str">
        <f t="shared" si="26"/>
        <v/>
      </c>
      <c r="H7689" s="59" t="str">
        <f t="shared" si="27"/>
        <v>28C03261</v>
      </c>
      <c r="I7689" s="59" t="str">
        <f>IF(OR($A7689="",$C7689="",$D7689="",$E7689="",$H7689=""),"",SUMIFS(DATA_GOC!$H:$H,DATA_GOC!$A:$A,"BOM",DATA_GOC!$D:$D,$H7689,DATA_GOC!$E:$E,$C7689,DATA_GOC!$F:$F,"Xuất nội bộ từ téc",DATA_GOC!$B:$B,"&gt;="&amp;$D7689,DATA_GOC!$B:$B,"&lt;="&amp;$E7689))</f>
        <v/>
      </c>
      <c r="J7689" s="59">
        <f t="shared" si="28"/>
        <v>0</v>
      </c>
      <c r="K7689" s="59">
        <f t="shared" si="29"/>
        <v>0</v>
      </c>
      <c r="L7689" s="59">
        <f t="shared" si="30"/>
        <v>0</v>
      </c>
      <c r="M7689" s="59">
        <f t="shared" si="31"/>
        <v>0</v>
      </c>
    </row>
    <row r="7690" ht="15.0" hidden="1" customHeight="1">
      <c r="A7690" s="59">
        <f t="shared" si="20"/>
        <v>125</v>
      </c>
      <c r="B7690" s="59" t="str">
        <f t="shared" si="21"/>
        <v/>
      </c>
      <c r="C7690" s="59" t="str">
        <f t="shared" si="22"/>
        <v/>
      </c>
      <c r="D7690" s="45" t="str">
        <f t="shared" si="23"/>
        <v/>
      </c>
      <c r="E7690" s="45" t="str">
        <f t="shared" si="24"/>
        <v/>
      </c>
      <c r="F7690" s="59" t="str">
        <f t="shared" si="25"/>
        <v/>
      </c>
      <c r="G7690" s="59" t="str">
        <f t="shared" si="26"/>
        <v/>
      </c>
      <c r="H7690" s="59" t="str">
        <f t="shared" si="27"/>
        <v>28C03323</v>
      </c>
      <c r="I7690" s="59" t="str">
        <f>IF(OR($A7690="",$C7690="",$D7690="",$E7690="",$H7690=""),"",SUMIFS(DATA_GOC!$H:$H,DATA_GOC!$A:$A,"BOM",DATA_GOC!$D:$D,$H7690,DATA_GOC!$E:$E,$C7690,DATA_GOC!$F:$F,"Xuất nội bộ từ téc",DATA_GOC!$B:$B,"&gt;="&amp;$D7690,DATA_GOC!$B:$B,"&lt;="&amp;$E7690))</f>
        <v/>
      </c>
      <c r="J7690" s="59">
        <f t="shared" si="28"/>
        <v>0</v>
      </c>
      <c r="K7690" s="59">
        <f t="shared" si="29"/>
        <v>0</v>
      </c>
      <c r="L7690" s="59">
        <f t="shared" si="30"/>
        <v>0</v>
      </c>
      <c r="M7690" s="59">
        <f t="shared" si="31"/>
        <v>0</v>
      </c>
    </row>
    <row r="7691" ht="15.0" hidden="1" customHeight="1">
      <c r="A7691" s="59">
        <f t="shared" si="20"/>
        <v>125</v>
      </c>
      <c r="B7691" s="59" t="str">
        <f t="shared" si="21"/>
        <v/>
      </c>
      <c r="C7691" s="59" t="str">
        <f t="shared" si="22"/>
        <v/>
      </c>
      <c r="D7691" s="45" t="str">
        <f t="shared" si="23"/>
        <v/>
      </c>
      <c r="E7691" s="45" t="str">
        <f t="shared" si="24"/>
        <v/>
      </c>
      <c r="F7691" s="59" t="str">
        <f t="shared" si="25"/>
        <v/>
      </c>
      <c r="G7691" s="59" t="str">
        <f t="shared" si="26"/>
        <v/>
      </c>
      <c r="H7691" s="59" t="str">
        <f t="shared" si="27"/>
        <v>28C03385</v>
      </c>
      <c r="I7691" s="59" t="str">
        <f>IF(OR($A7691="",$C7691="",$D7691="",$E7691="",$H7691=""),"",SUMIFS(DATA_GOC!$H:$H,DATA_GOC!$A:$A,"BOM",DATA_GOC!$D:$D,$H7691,DATA_GOC!$E:$E,$C7691,DATA_GOC!$F:$F,"Xuất nội bộ từ téc",DATA_GOC!$B:$B,"&gt;="&amp;$D7691,DATA_GOC!$B:$B,"&lt;="&amp;$E7691))</f>
        <v/>
      </c>
      <c r="J7691" s="59">
        <f t="shared" si="28"/>
        <v>0</v>
      </c>
      <c r="K7691" s="59">
        <f t="shared" si="29"/>
        <v>0</v>
      </c>
      <c r="L7691" s="59">
        <f t="shared" si="30"/>
        <v>0</v>
      </c>
      <c r="M7691" s="59">
        <f t="shared" si="31"/>
        <v>0</v>
      </c>
    </row>
    <row r="7692" ht="15.0" hidden="1" customHeight="1">
      <c r="A7692" s="59">
        <f t="shared" si="20"/>
        <v>125</v>
      </c>
      <c r="B7692" s="59" t="str">
        <f t="shared" si="21"/>
        <v/>
      </c>
      <c r="C7692" s="59" t="str">
        <f t="shared" si="22"/>
        <v/>
      </c>
      <c r="D7692" s="45" t="str">
        <f t="shared" si="23"/>
        <v/>
      </c>
      <c r="E7692" s="45" t="str">
        <f t="shared" si="24"/>
        <v/>
      </c>
      <c r="F7692" s="59" t="str">
        <f t="shared" si="25"/>
        <v/>
      </c>
      <c r="G7692" s="59" t="str">
        <f t="shared" si="26"/>
        <v/>
      </c>
      <c r="H7692" s="59" t="str">
        <f t="shared" si="27"/>
        <v>28C03652</v>
      </c>
      <c r="I7692" s="59" t="str">
        <f>IF(OR($A7692="",$C7692="",$D7692="",$E7692="",$H7692=""),"",SUMIFS(DATA_GOC!$H:$H,DATA_GOC!$A:$A,"BOM",DATA_GOC!$D:$D,$H7692,DATA_GOC!$E:$E,$C7692,DATA_GOC!$F:$F,"Xuất nội bộ từ téc",DATA_GOC!$B:$B,"&gt;="&amp;$D7692,DATA_GOC!$B:$B,"&lt;="&amp;$E7692))</f>
        <v/>
      </c>
      <c r="J7692" s="59">
        <f t="shared" si="28"/>
        <v>0</v>
      </c>
      <c r="K7692" s="59">
        <f t="shared" si="29"/>
        <v>0</v>
      </c>
      <c r="L7692" s="59">
        <f t="shared" si="30"/>
        <v>0</v>
      </c>
      <c r="M7692" s="59">
        <f t="shared" si="31"/>
        <v>0</v>
      </c>
    </row>
    <row r="7693" ht="15.0" hidden="1" customHeight="1">
      <c r="A7693" s="59">
        <f t="shared" si="20"/>
        <v>125</v>
      </c>
      <c r="B7693" s="59" t="str">
        <f t="shared" si="21"/>
        <v/>
      </c>
      <c r="C7693" s="59" t="str">
        <f t="shared" si="22"/>
        <v/>
      </c>
      <c r="D7693" s="45" t="str">
        <f t="shared" si="23"/>
        <v/>
      </c>
      <c r="E7693" s="45" t="str">
        <f t="shared" si="24"/>
        <v/>
      </c>
      <c r="F7693" s="59" t="str">
        <f t="shared" si="25"/>
        <v/>
      </c>
      <c r="G7693" s="59" t="str">
        <f t="shared" si="26"/>
        <v/>
      </c>
      <c r="H7693" s="59" t="str">
        <f t="shared" si="27"/>
        <v>28C03695</v>
      </c>
      <c r="I7693" s="59" t="str">
        <f>IF(OR($A7693="",$C7693="",$D7693="",$E7693="",$H7693=""),"",SUMIFS(DATA_GOC!$H:$H,DATA_GOC!$A:$A,"BOM",DATA_GOC!$D:$D,$H7693,DATA_GOC!$E:$E,$C7693,DATA_GOC!$F:$F,"Xuất nội bộ từ téc",DATA_GOC!$B:$B,"&gt;="&amp;$D7693,DATA_GOC!$B:$B,"&lt;="&amp;$E7693))</f>
        <v/>
      </c>
      <c r="J7693" s="59">
        <f t="shared" si="28"/>
        <v>0</v>
      </c>
      <c r="K7693" s="59">
        <f t="shared" si="29"/>
        <v>0</v>
      </c>
      <c r="L7693" s="59">
        <f t="shared" si="30"/>
        <v>0</v>
      </c>
      <c r="M7693" s="59">
        <f t="shared" si="31"/>
        <v>0</v>
      </c>
    </row>
    <row r="7694" ht="15.0" hidden="1" customHeight="1">
      <c r="A7694" s="59">
        <f t="shared" si="20"/>
        <v>125</v>
      </c>
      <c r="B7694" s="59" t="str">
        <f t="shared" si="21"/>
        <v/>
      </c>
      <c r="C7694" s="59" t="str">
        <f t="shared" si="22"/>
        <v/>
      </c>
      <c r="D7694" s="45" t="str">
        <f t="shared" si="23"/>
        <v/>
      </c>
      <c r="E7694" s="45" t="str">
        <f t="shared" si="24"/>
        <v/>
      </c>
      <c r="F7694" s="59" t="str">
        <f t="shared" si="25"/>
        <v/>
      </c>
      <c r="G7694" s="59" t="str">
        <f t="shared" si="26"/>
        <v/>
      </c>
      <c r="H7694" s="59" t="str">
        <f t="shared" si="27"/>
        <v>28C03927</v>
      </c>
      <c r="I7694" s="59" t="str">
        <f>IF(OR($A7694="",$C7694="",$D7694="",$E7694="",$H7694=""),"",SUMIFS(DATA_GOC!$H:$H,DATA_GOC!$A:$A,"BOM",DATA_GOC!$D:$D,$H7694,DATA_GOC!$E:$E,$C7694,DATA_GOC!$F:$F,"Xuất nội bộ từ téc",DATA_GOC!$B:$B,"&gt;="&amp;$D7694,DATA_GOC!$B:$B,"&lt;="&amp;$E7694))</f>
        <v/>
      </c>
      <c r="J7694" s="59">
        <f t="shared" si="28"/>
        <v>0</v>
      </c>
      <c r="K7694" s="59">
        <f t="shared" si="29"/>
        <v>0</v>
      </c>
      <c r="L7694" s="59">
        <f t="shared" si="30"/>
        <v>0</v>
      </c>
      <c r="M7694" s="59">
        <f t="shared" si="31"/>
        <v>0</v>
      </c>
    </row>
    <row r="7695" ht="15.0" hidden="1" customHeight="1">
      <c r="A7695" s="59">
        <f t="shared" si="20"/>
        <v>125</v>
      </c>
      <c r="B7695" s="59" t="str">
        <f t="shared" si="21"/>
        <v/>
      </c>
      <c r="C7695" s="59" t="str">
        <f t="shared" si="22"/>
        <v/>
      </c>
      <c r="D7695" s="45" t="str">
        <f t="shared" si="23"/>
        <v/>
      </c>
      <c r="E7695" s="45" t="str">
        <f t="shared" si="24"/>
        <v/>
      </c>
      <c r="F7695" s="59" t="str">
        <f t="shared" si="25"/>
        <v/>
      </c>
      <c r="G7695" s="59" t="str">
        <f t="shared" si="26"/>
        <v/>
      </c>
      <c r="H7695" s="59" t="str">
        <f t="shared" si="27"/>
        <v>28C04509</v>
      </c>
      <c r="I7695" s="59" t="str">
        <f>IF(OR($A7695="",$C7695="",$D7695="",$E7695="",$H7695=""),"",SUMIFS(DATA_GOC!$H:$H,DATA_GOC!$A:$A,"BOM",DATA_GOC!$D:$D,$H7695,DATA_GOC!$E:$E,$C7695,DATA_GOC!$F:$F,"Xuất nội bộ từ téc",DATA_GOC!$B:$B,"&gt;="&amp;$D7695,DATA_GOC!$B:$B,"&lt;="&amp;$E7695))</f>
        <v/>
      </c>
      <c r="J7695" s="59">
        <f t="shared" si="28"/>
        <v>0</v>
      </c>
      <c r="K7695" s="59">
        <f t="shared" si="29"/>
        <v>0</v>
      </c>
      <c r="L7695" s="59">
        <f t="shared" si="30"/>
        <v>0</v>
      </c>
      <c r="M7695" s="59">
        <f t="shared" si="31"/>
        <v>0</v>
      </c>
    </row>
    <row r="7696" ht="15.0" hidden="1" customHeight="1">
      <c r="A7696" s="59">
        <f t="shared" si="20"/>
        <v>125</v>
      </c>
      <c r="B7696" s="59" t="str">
        <f t="shared" si="21"/>
        <v/>
      </c>
      <c r="C7696" s="59" t="str">
        <f t="shared" si="22"/>
        <v/>
      </c>
      <c r="D7696" s="45" t="str">
        <f t="shared" si="23"/>
        <v/>
      </c>
      <c r="E7696" s="45" t="str">
        <f t="shared" si="24"/>
        <v/>
      </c>
      <c r="F7696" s="59" t="str">
        <f t="shared" si="25"/>
        <v/>
      </c>
      <c r="G7696" s="59" t="str">
        <f t="shared" si="26"/>
        <v/>
      </c>
      <c r="H7696" s="59" t="str">
        <f t="shared" si="27"/>
        <v>28C04536</v>
      </c>
      <c r="I7696" s="59" t="str">
        <f>IF(OR($A7696="",$C7696="",$D7696="",$E7696="",$H7696=""),"",SUMIFS(DATA_GOC!$H:$H,DATA_GOC!$A:$A,"BOM",DATA_GOC!$D:$D,$H7696,DATA_GOC!$E:$E,$C7696,DATA_GOC!$F:$F,"Xuất nội bộ từ téc",DATA_GOC!$B:$B,"&gt;="&amp;$D7696,DATA_GOC!$B:$B,"&lt;="&amp;$E7696))</f>
        <v/>
      </c>
      <c r="J7696" s="59">
        <f t="shared" si="28"/>
        <v>0</v>
      </c>
      <c r="K7696" s="59">
        <f t="shared" si="29"/>
        <v>0</v>
      </c>
      <c r="L7696" s="59">
        <f t="shared" si="30"/>
        <v>0</v>
      </c>
      <c r="M7696" s="59">
        <f t="shared" si="31"/>
        <v>0</v>
      </c>
    </row>
    <row r="7697" ht="15.0" hidden="1" customHeight="1">
      <c r="A7697" s="59">
        <f t="shared" si="20"/>
        <v>125</v>
      </c>
      <c r="B7697" s="59" t="str">
        <f t="shared" si="21"/>
        <v/>
      </c>
      <c r="C7697" s="59" t="str">
        <f t="shared" si="22"/>
        <v/>
      </c>
      <c r="D7697" s="45" t="str">
        <f t="shared" si="23"/>
        <v/>
      </c>
      <c r="E7697" s="45" t="str">
        <f t="shared" si="24"/>
        <v/>
      </c>
      <c r="F7697" s="59" t="str">
        <f t="shared" si="25"/>
        <v/>
      </c>
      <c r="G7697" s="59" t="str">
        <f t="shared" si="26"/>
        <v/>
      </c>
      <c r="H7697" s="59" t="str">
        <f t="shared" si="27"/>
        <v>28C04576</v>
      </c>
      <c r="I7697" s="59" t="str">
        <f>IF(OR($A7697="",$C7697="",$D7697="",$E7697="",$H7697=""),"",SUMIFS(DATA_GOC!$H:$H,DATA_GOC!$A:$A,"BOM",DATA_GOC!$D:$D,$H7697,DATA_GOC!$E:$E,$C7697,DATA_GOC!$F:$F,"Xuất nội bộ từ téc",DATA_GOC!$B:$B,"&gt;="&amp;$D7697,DATA_GOC!$B:$B,"&lt;="&amp;$E7697))</f>
        <v/>
      </c>
      <c r="J7697" s="59">
        <f t="shared" si="28"/>
        <v>0</v>
      </c>
      <c r="K7697" s="59">
        <f t="shared" si="29"/>
        <v>0</v>
      </c>
      <c r="L7697" s="59">
        <f t="shared" si="30"/>
        <v>0</v>
      </c>
      <c r="M7697" s="59">
        <f t="shared" si="31"/>
        <v>0</v>
      </c>
    </row>
    <row r="7698" ht="15.0" hidden="1" customHeight="1">
      <c r="A7698" s="59">
        <f t="shared" si="20"/>
        <v>125</v>
      </c>
      <c r="B7698" s="59" t="str">
        <f t="shared" si="21"/>
        <v/>
      </c>
      <c r="C7698" s="59" t="str">
        <f t="shared" si="22"/>
        <v/>
      </c>
      <c r="D7698" s="45" t="str">
        <f t="shared" si="23"/>
        <v/>
      </c>
      <c r="E7698" s="45" t="str">
        <f t="shared" si="24"/>
        <v/>
      </c>
      <c r="F7698" s="59" t="str">
        <f t="shared" si="25"/>
        <v/>
      </c>
      <c r="G7698" s="59" t="str">
        <f t="shared" si="26"/>
        <v/>
      </c>
      <c r="H7698" s="59" t="str">
        <f t="shared" si="27"/>
        <v>28C05090</v>
      </c>
      <c r="I7698" s="59" t="str">
        <f>IF(OR($A7698="",$C7698="",$D7698="",$E7698="",$H7698=""),"",SUMIFS(DATA_GOC!$H:$H,DATA_GOC!$A:$A,"BOM",DATA_GOC!$D:$D,$H7698,DATA_GOC!$E:$E,$C7698,DATA_GOC!$F:$F,"Xuất nội bộ từ téc",DATA_GOC!$B:$B,"&gt;="&amp;$D7698,DATA_GOC!$B:$B,"&lt;="&amp;$E7698))</f>
        <v/>
      </c>
      <c r="J7698" s="59">
        <f t="shared" si="28"/>
        <v>0</v>
      </c>
      <c r="K7698" s="59">
        <f t="shared" si="29"/>
        <v>0</v>
      </c>
      <c r="L7698" s="59">
        <f t="shared" si="30"/>
        <v>0</v>
      </c>
      <c r="M7698" s="59">
        <f t="shared" si="31"/>
        <v>0</v>
      </c>
    </row>
    <row r="7699" ht="15.0" hidden="1" customHeight="1">
      <c r="A7699" s="59">
        <f t="shared" si="20"/>
        <v>125</v>
      </c>
      <c r="B7699" s="59" t="str">
        <f t="shared" si="21"/>
        <v/>
      </c>
      <c r="C7699" s="59" t="str">
        <f t="shared" si="22"/>
        <v/>
      </c>
      <c r="D7699" s="45" t="str">
        <f t="shared" si="23"/>
        <v/>
      </c>
      <c r="E7699" s="45" t="str">
        <f t="shared" si="24"/>
        <v/>
      </c>
      <c r="F7699" s="59" t="str">
        <f t="shared" si="25"/>
        <v/>
      </c>
      <c r="G7699" s="59" t="str">
        <f t="shared" si="26"/>
        <v/>
      </c>
      <c r="H7699" s="59" t="str">
        <f t="shared" si="27"/>
        <v>28C05345</v>
      </c>
      <c r="I7699" s="59" t="str">
        <f>IF(OR($A7699="",$C7699="",$D7699="",$E7699="",$H7699=""),"",SUMIFS(DATA_GOC!$H:$H,DATA_GOC!$A:$A,"BOM",DATA_GOC!$D:$D,$H7699,DATA_GOC!$E:$E,$C7699,DATA_GOC!$F:$F,"Xuất nội bộ từ téc",DATA_GOC!$B:$B,"&gt;="&amp;$D7699,DATA_GOC!$B:$B,"&lt;="&amp;$E7699))</f>
        <v/>
      </c>
      <c r="J7699" s="59">
        <f t="shared" si="28"/>
        <v>0</v>
      </c>
      <c r="K7699" s="59">
        <f t="shared" si="29"/>
        <v>0</v>
      </c>
      <c r="L7699" s="59">
        <f t="shared" si="30"/>
        <v>0</v>
      </c>
      <c r="M7699" s="59">
        <f t="shared" si="31"/>
        <v>0</v>
      </c>
    </row>
    <row r="7700" ht="15.0" hidden="1" customHeight="1">
      <c r="A7700" s="59">
        <f t="shared" si="20"/>
        <v>125</v>
      </c>
      <c r="B7700" s="59" t="str">
        <f t="shared" si="21"/>
        <v/>
      </c>
      <c r="C7700" s="59" t="str">
        <f t="shared" si="22"/>
        <v/>
      </c>
      <c r="D7700" s="45" t="str">
        <f t="shared" si="23"/>
        <v/>
      </c>
      <c r="E7700" s="45" t="str">
        <f t="shared" si="24"/>
        <v/>
      </c>
      <c r="F7700" s="59" t="str">
        <f t="shared" si="25"/>
        <v/>
      </c>
      <c r="G7700" s="59" t="str">
        <f t="shared" si="26"/>
        <v/>
      </c>
      <c r="H7700" s="59" t="str">
        <f t="shared" si="27"/>
        <v>28C05661</v>
      </c>
      <c r="I7700" s="59" t="str">
        <f>IF(OR($A7700="",$C7700="",$D7700="",$E7700="",$H7700=""),"",SUMIFS(DATA_GOC!$H:$H,DATA_GOC!$A:$A,"BOM",DATA_GOC!$D:$D,$H7700,DATA_GOC!$E:$E,$C7700,DATA_GOC!$F:$F,"Xuất nội bộ từ téc",DATA_GOC!$B:$B,"&gt;="&amp;$D7700,DATA_GOC!$B:$B,"&lt;="&amp;$E7700))</f>
        <v/>
      </c>
      <c r="J7700" s="59">
        <f t="shared" si="28"/>
        <v>0</v>
      </c>
      <c r="K7700" s="59">
        <f t="shared" si="29"/>
        <v>0</v>
      </c>
      <c r="L7700" s="59">
        <f t="shared" si="30"/>
        <v>0</v>
      </c>
      <c r="M7700" s="59">
        <f t="shared" si="31"/>
        <v>0</v>
      </c>
    </row>
    <row r="7701" ht="15.0" hidden="1" customHeight="1">
      <c r="A7701" s="59">
        <f t="shared" si="20"/>
        <v>125</v>
      </c>
      <c r="B7701" s="59" t="str">
        <f t="shared" si="21"/>
        <v/>
      </c>
      <c r="C7701" s="59" t="str">
        <f t="shared" si="22"/>
        <v/>
      </c>
      <c r="D7701" s="45" t="str">
        <f t="shared" si="23"/>
        <v/>
      </c>
      <c r="E7701" s="45" t="str">
        <f t="shared" si="24"/>
        <v/>
      </c>
      <c r="F7701" s="59" t="str">
        <f t="shared" si="25"/>
        <v/>
      </c>
      <c r="G7701" s="59" t="str">
        <f t="shared" si="26"/>
        <v/>
      </c>
      <c r="H7701" s="59" t="str">
        <f t="shared" si="27"/>
        <v>28C05739</v>
      </c>
      <c r="I7701" s="59" t="str">
        <f>IF(OR($A7701="",$C7701="",$D7701="",$E7701="",$H7701=""),"",SUMIFS(DATA_GOC!$H:$H,DATA_GOC!$A:$A,"BOM",DATA_GOC!$D:$D,$H7701,DATA_GOC!$E:$E,$C7701,DATA_GOC!$F:$F,"Xuất nội bộ từ téc",DATA_GOC!$B:$B,"&gt;="&amp;$D7701,DATA_GOC!$B:$B,"&lt;="&amp;$E7701))</f>
        <v/>
      </c>
      <c r="J7701" s="59">
        <f t="shared" si="28"/>
        <v>0</v>
      </c>
      <c r="K7701" s="59">
        <f t="shared" si="29"/>
        <v>0</v>
      </c>
      <c r="L7701" s="59">
        <f t="shared" si="30"/>
        <v>0</v>
      </c>
      <c r="M7701" s="59">
        <f t="shared" si="31"/>
        <v>0</v>
      </c>
    </row>
    <row r="7702" ht="15.0" hidden="1" customHeight="1">
      <c r="A7702" s="59">
        <f t="shared" si="20"/>
        <v>125</v>
      </c>
      <c r="B7702" s="59" t="str">
        <f t="shared" si="21"/>
        <v/>
      </c>
      <c r="C7702" s="59" t="str">
        <f t="shared" si="22"/>
        <v/>
      </c>
      <c r="D7702" s="45" t="str">
        <f t="shared" si="23"/>
        <v/>
      </c>
      <c r="E7702" s="45" t="str">
        <f t="shared" si="24"/>
        <v/>
      </c>
      <c r="F7702" s="59" t="str">
        <f t="shared" si="25"/>
        <v/>
      </c>
      <c r="G7702" s="59" t="str">
        <f t="shared" si="26"/>
        <v/>
      </c>
      <c r="H7702" s="59" t="str">
        <f t="shared" si="27"/>
        <v>28C06369</v>
      </c>
      <c r="I7702" s="59" t="str">
        <f>IF(OR($A7702="",$C7702="",$D7702="",$E7702="",$H7702=""),"",SUMIFS(DATA_GOC!$H:$H,DATA_GOC!$A:$A,"BOM",DATA_GOC!$D:$D,$H7702,DATA_GOC!$E:$E,$C7702,DATA_GOC!$F:$F,"Xuất nội bộ từ téc",DATA_GOC!$B:$B,"&gt;="&amp;$D7702,DATA_GOC!$B:$B,"&lt;="&amp;$E7702))</f>
        <v/>
      </c>
      <c r="J7702" s="59">
        <f t="shared" si="28"/>
        <v>0</v>
      </c>
      <c r="K7702" s="59">
        <f t="shared" si="29"/>
        <v>0</v>
      </c>
      <c r="L7702" s="59">
        <f t="shared" si="30"/>
        <v>0</v>
      </c>
      <c r="M7702" s="59">
        <f t="shared" si="31"/>
        <v>0</v>
      </c>
    </row>
    <row r="7703" ht="15.0" hidden="1" customHeight="1">
      <c r="A7703" s="59">
        <f t="shared" si="20"/>
        <v>125</v>
      </c>
      <c r="B7703" s="59" t="str">
        <f t="shared" si="21"/>
        <v/>
      </c>
      <c r="C7703" s="59" t="str">
        <f t="shared" si="22"/>
        <v/>
      </c>
      <c r="D7703" s="45" t="str">
        <f t="shared" si="23"/>
        <v/>
      </c>
      <c r="E7703" s="45" t="str">
        <f t="shared" si="24"/>
        <v/>
      </c>
      <c r="F7703" s="59" t="str">
        <f t="shared" si="25"/>
        <v/>
      </c>
      <c r="G7703" s="59" t="str">
        <f t="shared" si="26"/>
        <v/>
      </c>
      <c r="H7703" s="59" t="str">
        <f t="shared" si="27"/>
        <v>28C06447</v>
      </c>
      <c r="I7703" s="59" t="str">
        <f>IF(OR($A7703="",$C7703="",$D7703="",$E7703="",$H7703=""),"",SUMIFS(DATA_GOC!$H:$H,DATA_GOC!$A:$A,"BOM",DATA_GOC!$D:$D,$H7703,DATA_GOC!$E:$E,$C7703,DATA_GOC!$F:$F,"Xuất nội bộ từ téc",DATA_GOC!$B:$B,"&gt;="&amp;$D7703,DATA_GOC!$B:$B,"&lt;="&amp;$E7703))</f>
        <v/>
      </c>
      <c r="J7703" s="59">
        <f t="shared" si="28"/>
        <v>0</v>
      </c>
      <c r="K7703" s="59">
        <f t="shared" si="29"/>
        <v>0</v>
      </c>
      <c r="L7703" s="59">
        <f t="shared" si="30"/>
        <v>0</v>
      </c>
      <c r="M7703" s="59">
        <f t="shared" si="31"/>
        <v>0</v>
      </c>
    </row>
    <row r="7704" ht="15.0" hidden="1" customHeight="1">
      <c r="A7704" s="59">
        <f t="shared" si="20"/>
        <v>125</v>
      </c>
      <c r="B7704" s="59" t="str">
        <f t="shared" si="21"/>
        <v/>
      </c>
      <c r="C7704" s="59" t="str">
        <f t="shared" si="22"/>
        <v/>
      </c>
      <c r="D7704" s="45" t="str">
        <f t="shared" si="23"/>
        <v/>
      </c>
      <c r="E7704" s="45" t="str">
        <f t="shared" si="24"/>
        <v/>
      </c>
      <c r="F7704" s="59" t="str">
        <f t="shared" si="25"/>
        <v/>
      </c>
      <c r="G7704" s="59" t="str">
        <f t="shared" si="26"/>
        <v/>
      </c>
      <c r="H7704" s="59" t="str">
        <f t="shared" si="27"/>
        <v>28H00003</v>
      </c>
      <c r="I7704" s="59" t="str">
        <f>IF(OR($A7704="",$C7704="",$D7704="",$E7704="",$H7704=""),"",SUMIFS(DATA_GOC!$H:$H,DATA_GOC!$A:$A,"BOM",DATA_GOC!$D:$D,$H7704,DATA_GOC!$E:$E,$C7704,DATA_GOC!$F:$F,"Xuất nội bộ từ téc",DATA_GOC!$B:$B,"&gt;="&amp;$D7704,DATA_GOC!$B:$B,"&lt;="&amp;$E7704))</f>
        <v/>
      </c>
      <c r="J7704" s="59">
        <f t="shared" si="28"/>
        <v>0</v>
      </c>
      <c r="K7704" s="59">
        <f t="shared" si="29"/>
        <v>0</v>
      </c>
      <c r="L7704" s="59">
        <f t="shared" si="30"/>
        <v>0</v>
      </c>
      <c r="M7704" s="59">
        <f t="shared" si="31"/>
        <v>0</v>
      </c>
    </row>
    <row r="7705" ht="15.0" hidden="1" customHeight="1">
      <c r="A7705" s="59">
        <f t="shared" si="20"/>
        <v>125</v>
      </c>
      <c r="B7705" s="59" t="str">
        <f t="shared" si="21"/>
        <v/>
      </c>
      <c r="C7705" s="59" t="str">
        <f t="shared" si="22"/>
        <v/>
      </c>
      <c r="D7705" s="45" t="str">
        <f t="shared" si="23"/>
        <v/>
      </c>
      <c r="E7705" s="45" t="str">
        <f t="shared" si="24"/>
        <v/>
      </c>
      <c r="F7705" s="59" t="str">
        <f t="shared" si="25"/>
        <v/>
      </c>
      <c r="G7705" s="59" t="str">
        <f t="shared" si="26"/>
        <v/>
      </c>
      <c r="H7705" s="59" t="str">
        <f t="shared" si="27"/>
        <v>28H00061</v>
      </c>
      <c r="I7705" s="59" t="str">
        <f>IF(OR($A7705="",$C7705="",$D7705="",$E7705="",$H7705=""),"",SUMIFS(DATA_GOC!$H:$H,DATA_GOC!$A:$A,"BOM",DATA_GOC!$D:$D,$H7705,DATA_GOC!$E:$E,$C7705,DATA_GOC!$F:$F,"Xuất nội bộ từ téc",DATA_GOC!$B:$B,"&gt;="&amp;$D7705,DATA_GOC!$B:$B,"&lt;="&amp;$E7705))</f>
        <v/>
      </c>
      <c r="J7705" s="59">
        <f t="shared" si="28"/>
        <v>0</v>
      </c>
      <c r="K7705" s="59">
        <f t="shared" si="29"/>
        <v>0</v>
      </c>
      <c r="L7705" s="59">
        <f t="shared" si="30"/>
        <v>0</v>
      </c>
      <c r="M7705" s="59">
        <f t="shared" si="31"/>
        <v>0</v>
      </c>
    </row>
    <row r="7706" ht="15.0" hidden="1" customHeight="1">
      <c r="A7706" s="59">
        <f t="shared" si="20"/>
        <v>125</v>
      </c>
      <c r="B7706" s="59" t="str">
        <f t="shared" si="21"/>
        <v/>
      </c>
      <c r="C7706" s="59" t="str">
        <f t="shared" si="22"/>
        <v/>
      </c>
      <c r="D7706" s="45" t="str">
        <f t="shared" si="23"/>
        <v/>
      </c>
      <c r="E7706" s="45" t="str">
        <f t="shared" si="24"/>
        <v/>
      </c>
      <c r="F7706" s="59" t="str">
        <f t="shared" si="25"/>
        <v/>
      </c>
      <c r="G7706" s="59" t="str">
        <f t="shared" si="26"/>
        <v/>
      </c>
      <c r="H7706" s="59" t="str">
        <f t="shared" si="27"/>
        <v>28H00354</v>
      </c>
      <c r="I7706" s="59" t="str">
        <f>IF(OR($A7706="",$C7706="",$D7706="",$E7706="",$H7706=""),"",SUMIFS(DATA_GOC!$H:$H,DATA_GOC!$A:$A,"BOM",DATA_GOC!$D:$D,$H7706,DATA_GOC!$E:$E,$C7706,DATA_GOC!$F:$F,"Xuất nội bộ từ téc",DATA_GOC!$B:$B,"&gt;="&amp;$D7706,DATA_GOC!$B:$B,"&lt;="&amp;$E7706))</f>
        <v/>
      </c>
      <c r="J7706" s="59">
        <f t="shared" si="28"/>
        <v>0</v>
      </c>
      <c r="K7706" s="59">
        <f t="shared" si="29"/>
        <v>0</v>
      </c>
      <c r="L7706" s="59">
        <f t="shared" si="30"/>
        <v>0</v>
      </c>
      <c r="M7706" s="59">
        <f t="shared" si="31"/>
        <v>0</v>
      </c>
    </row>
    <row r="7707" ht="15.0" hidden="1" customHeight="1">
      <c r="A7707" s="59">
        <f t="shared" si="20"/>
        <v>125</v>
      </c>
      <c r="B7707" s="59" t="str">
        <f t="shared" si="21"/>
        <v/>
      </c>
      <c r="C7707" s="59" t="str">
        <f t="shared" si="22"/>
        <v/>
      </c>
      <c r="D7707" s="45" t="str">
        <f t="shared" si="23"/>
        <v/>
      </c>
      <c r="E7707" s="45" t="str">
        <f t="shared" si="24"/>
        <v/>
      </c>
      <c r="F7707" s="59" t="str">
        <f t="shared" si="25"/>
        <v/>
      </c>
      <c r="G7707" s="59" t="str">
        <f t="shared" si="26"/>
        <v/>
      </c>
      <c r="H7707" s="59" t="str">
        <f t="shared" si="27"/>
        <v>28H00603</v>
      </c>
      <c r="I7707" s="59" t="str">
        <f>IF(OR($A7707="",$C7707="",$D7707="",$E7707="",$H7707=""),"",SUMIFS(DATA_GOC!$H:$H,DATA_GOC!$A:$A,"BOM",DATA_GOC!$D:$D,$H7707,DATA_GOC!$E:$E,$C7707,DATA_GOC!$F:$F,"Xuất nội bộ từ téc",DATA_GOC!$B:$B,"&gt;="&amp;$D7707,DATA_GOC!$B:$B,"&lt;="&amp;$E7707))</f>
        <v/>
      </c>
      <c r="J7707" s="59">
        <f t="shared" si="28"/>
        <v>0</v>
      </c>
      <c r="K7707" s="59">
        <f t="shared" si="29"/>
        <v>0</v>
      </c>
      <c r="L7707" s="59">
        <f t="shared" si="30"/>
        <v>0</v>
      </c>
      <c r="M7707" s="59">
        <f t="shared" si="31"/>
        <v>0</v>
      </c>
    </row>
    <row r="7708" ht="15.0" hidden="1" customHeight="1">
      <c r="A7708" s="59">
        <f t="shared" si="20"/>
        <v>125</v>
      </c>
      <c r="B7708" s="59" t="str">
        <f t="shared" si="21"/>
        <v/>
      </c>
      <c r="C7708" s="59" t="str">
        <f t="shared" si="22"/>
        <v/>
      </c>
      <c r="D7708" s="45" t="str">
        <f t="shared" si="23"/>
        <v/>
      </c>
      <c r="E7708" s="45" t="str">
        <f t="shared" si="24"/>
        <v/>
      </c>
      <c r="F7708" s="59" t="str">
        <f t="shared" si="25"/>
        <v/>
      </c>
      <c r="G7708" s="59" t="str">
        <f t="shared" si="26"/>
        <v/>
      </c>
      <c r="H7708" s="59" t="str">
        <f t="shared" si="27"/>
        <v>28H00609</v>
      </c>
      <c r="I7708" s="59" t="str">
        <f>IF(OR($A7708="",$C7708="",$D7708="",$E7708="",$H7708=""),"",SUMIFS(DATA_GOC!$H:$H,DATA_GOC!$A:$A,"BOM",DATA_GOC!$D:$D,$H7708,DATA_GOC!$E:$E,$C7708,DATA_GOC!$F:$F,"Xuất nội bộ từ téc",DATA_GOC!$B:$B,"&gt;="&amp;$D7708,DATA_GOC!$B:$B,"&lt;="&amp;$E7708))</f>
        <v/>
      </c>
      <c r="J7708" s="59">
        <f t="shared" si="28"/>
        <v>0</v>
      </c>
      <c r="K7708" s="59">
        <f t="shared" si="29"/>
        <v>0</v>
      </c>
      <c r="L7708" s="59">
        <f t="shared" si="30"/>
        <v>0</v>
      </c>
      <c r="M7708" s="59">
        <f t="shared" si="31"/>
        <v>0</v>
      </c>
    </row>
    <row r="7709" ht="15.0" hidden="1" customHeight="1">
      <c r="A7709" s="59">
        <f t="shared" si="20"/>
        <v>125</v>
      </c>
      <c r="B7709" s="59" t="str">
        <f t="shared" si="21"/>
        <v/>
      </c>
      <c r="C7709" s="59" t="str">
        <f t="shared" si="22"/>
        <v/>
      </c>
      <c r="D7709" s="45" t="str">
        <f t="shared" si="23"/>
        <v/>
      </c>
      <c r="E7709" s="45" t="str">
        <f t="shared" si="24"/>
        <v/>
      </c>
      <c r="F7709" s="59" t="str">
        <f t="shared" si="25"/>
        <v/>
      </c>
      <c r="G7709" s="59" t="str">
        <f t="shared" si="26"/>
        <v/>
      </c>
      <c r="H7709" s="59" t="str">
        <f t="shared" si="27"/>
        <v>28H00669</v>
      </c>
      <c r="I7709" s="59" t="str">
        <f>IF(OR($A7709="",$C7709="",$D7709="",$E7709="",$H7709=""),"",SUMIFS(DATA_GOC!$H:$H,DATA_GOC!$A:$A,"BOM",DATA_GOC!$D:$D,$H7709,DATA_GOC!$E:$E,$C7709,DATA_GOC!$F:$F,"Xuất nội bộ từ téc",DATA_GOC!$B:$B,"&gt;="&amp;$D7709,DATA_GOC!$B:$B,"&lt;="&amp;$E7709))</f>
        <v/>
      </c>
      <c r="J7709" s="59">
        <f t="shared" si="28"/>
        <v>0</v>
      </c>
      <c r="K7709" s="59">
        <f t="shared" si="29"/>
        <v>0</v>
      </c>
      <c r="L7709" s="59">
        <f t="shared" si="30"/>
        <v>0</v>
      </c>
      <c r="M7709" s="59">
        <f t="shared" si="31"/>
        <v>0</v>
      </c>
    </row>
    <row r="7710" ht="15.0" hidden="1" customHeight="1">
      <c r="A7710" s="59">
        <f t="shared" si="20"/>
        <v>125</v>
      </c>
      <c r="B7710" s="59" t="str">
        <f t="shared" si="21"/>
        <v/>
      </c>
      <c r="C7710" s="59" t="str">
        <f t="shared" si="22"/>
        <v/>
      </c>
      <c r="D7710" s="45" t="str">
        <f t="shared" si="23"/>
        <v/>
      </c>
      <c r="E7710" s="45" t="str">
        <f t="shared" si="24"/>
        <v/>
      </c>
      <c r="F7710" s="59" t="str">
        <f t="shared" si="25"/>
        <v/>
      </c>
      <c r="G7710" s="59" t="str">
        <f t="shared" si="26"/>
        <v/>
      </c>
      <c r="H7710" s="59" t="str">
        <f t="shared" si="27"/>
        <v>28H00680</v>
      </c>
      <c r="I7710" s="59" t="str">
        <f>IF(OR($A7710="",$C7710="",$D7710="",$E7710="",$H7710=""),"",SUMIFS(DATA_GOC!$H:$H,DATA_GOC!$A:$A,"BOM",DATA_GOC!$D:$D,$H7710,DATA_GOC!$E:$E,$C7710,DATA_GOC!$F:$F,"Xuất nội bộ từ téc",DATA_GOC!$B:$B,"&gt;="&amp;$D7710,DATA_GOC!$B:$B,"&lt;="&amp;$E7710))</f>
        <v/>
      </c>
      <c r="J7710" s="59">
        <f t="shared" si="28"/>
        <v>0</v>
      </c>
      <c r="K7710" s="59">
        <f t="shared" si="29"/>
        <v>0</v>
      </c>
      <c r="L7710" s="59">
        <f t="shared" si="30"/>
        <v>0</v>
      </c>
      <c r="M7710" s="59">
        <f t="shared" si="31"/>
        <v>0</v>
      </c>
    </row>
    <row r="7711" ht="15.0" hidden="1" customHeight="1">
      <c r="A7711" s="59">
        <f t="shared" si="20"/>
        <v>125</v>
      </c>
      <c r="B7711" s="59" t="str">
        <f t="shared" si="21"/>
        <v/>
      </c>
      <c r="C7711" s="59" t="str">
        <f t="shared" si="22"/>
        <v/>
      </c>
      <c r="D7711" s="45" t="str">
        <f t="shared" si="23"/>
        <v/>
      </c>
      <c r="E7711" s="45" t="str">
        <f t="shared" si="24"/>
        <v/>
      </c>
      <c r="F7711" s="59" t="str">
        <f t="shared" si="25"/>
        <v/>
      </c>
      <c r="G7711" s="59" t="str">
        <f t="shared" si="26"/>
        <v/>
      </c>
      <c r="H7711" s="59" t="str">
        <f t="shared" si="27"/>
        <v>28H01070</v>
      </c>
      <c r="I7711" s="59" t="str">
        <f>IF(OR($A7711="",$C7711="",$D7711="",$E7711="",$H7711=""),"",SUMIFS(DATA_GOC!$H:$H,DATA_GOC!$A:$A,"BOM",DATA_GOC!$D:$D,$H7711,DATA_GOC!$E:$E,$C7711,DATA_GOC!$F:$F,"Xuất nội bộ từ téc",DATA_GOC!$B:$B,"&gt;="&amp;$D7711,DATA_GOC!$B:$B,"&lt;="&amp;$E7711))</f>
        <v/>
      </c>
      <c r="J7711" s="59">
        <f t="shared" si="28"/>
        <v>0</v>
      </c>
      <c r="K7711" s="59">
        <f t="shared" si="29"/>
        <v>0</v>
      </c>
      <c r="L7711" s="59">
        <f t="shared" si="30"/>
        <v>0</v>
      </c>
      <c r="M7711" s="59">
        <f t="shared" si="31"/>
        <v>0</v>
      </c>
    </row>
    <row r="7712" ht="15.0" hidden="1" customHeight="1">
      <c r="A7712" s="59">
        <f t="shared" si="20"/>
        <v>125</v>
      </c>
      <c r="B7712" s="59" t="str">
        <f t="shared" si="21"/>
        <v/>
      </c>
      <c r="C7712" s="59" t="str">
        <f t="shared" si="22"/>
        <v/>
      </c>
      <c r="D7712" s="45" t="str">
        <f t="shared" si="23"/>
        <v/>
      </c>
      <c r="E7712" s="45" t="str">
        <f t="shared" si="24"/>
        <v/>
      </c>
      <c r="F7712" s="59" t="str">
        <f t="shared" si="25"/>
        <v/>
      </c>
      <c r="G7712" s="59" t="str">
        <f t="shared" si="26"/>
        <v/>
      </c>
      <c r="H7712" s="59" t="str">
        <f t="shared" si="27"/>
        <v>28H01364</v>
      </c>
      <c r="I7712" s="59" t="str">
        <f>IF(OR($A7712="",$C7712="",$D7712="",$E7712="",$H7712=""),"",SUMIFS(DATA_GOC!$H:$H,DATA_GOC!$A:$A,"BOM",DATA_GOC!$D:$D,$H7712,DATA_GOC!$E:$E,$C7712,DATA_GOC!$F:$F,"Xuất nội bộ từ téc",DATA_GOC!$B:$B,"&gt;="&amp;$D7712,DATA_GOC!$B:$B,"&lt;="&amp;$E7712))</f>
        <v/>
      </c>
      <c r="J7712" s="59">
        <f t="shared" si="28"/>
        <v>0</v>
      </c>
      <c r="K7712" s="59">
        <f t="shared" si="29"/>
        <v>0</v>
      </c>
      <c r="L7712" s="59">
        <f t="shared" si="30"/>
        <v>0</v>
      </c>
      <c r="M7712" s="59">
        <f t="shared" si="31"/>
        <v>0</v>
      </c>
    </row>
    <row r="7713" ht="15.0" hidden="1" customHeight="1">
      <c r="A7713" s="59">
        <f t="shared" si="20"/>
        <v>125</v>
      </c>
      <c r="B7713" s="59" t="str">
        <f t="shared" si="21"/>
        <v/>
      </c>
      <c r="C7713" s="59" t="str">
        <f t="shared" si="22"/>
        <v/>
      </c>
      <c r="D7713" s="45" t="str">
        <f t="shared" si="23"/>
        <v/>
      </c>
      <c r="E7713" s="45" t="str">
        <f t="shared" si="24"/>
        <v/>
      </c>
      <c r="F7713" s="59" t="str">
        <f t="shared" si="25"/>
        <v/>
      </c>
      <c r="G7713" s="59" t="str">
        <f t="shared" si="26"/>
        <v/>
      </c>
      <c r="H7713" s="59" t="str">
        <f t="shared" si="27"/>
        <v>29E17269</v>
      </c>
      <c r="I7713" s="59" t="str">
        <f>IF(OR($A7713="",$C7713="",$D7713="",$E7713="",$H7713=""),"",SUMIFS(DATA_GOC!$H:$H,DATA_GOC!$A:$A,"BOM",DATA_GOC!$D:$D,$H7713,DATA_GOC!$E:$E,$C7713,DATA_GOC!$F:$F,"Xuất nội bộ từ téc",DATA_GOC!$B:$B,"&gt;="&amp;$D7713,DATA_GOC!$B:$B,"&lt;="&amp;$E7713))</f>
        <v/>
      </c>
      <c r="J7713" s="59">
        <f t="shared" si="28"/>
        <v>0</v>
      </c>
      <c r="K7713" s="59">
        <f t="shared" si="29"/>
        <v>0</v>
      </c>
      <c r="L7713" s="59">
        <f t="shared" si="30"/>
        <v>0</v>
      </c>
      <c r="M7713" s="59">
        <f t="shared" si="31"/>
        <v>0</v>
      </c>
    </row>
    <row r="7714" ht="15.0" hidden="1" customHeight="1">
      <c r="A7714" s="59">
        <f t="shared" si="20"/>
        <v>125</v>
      </c>
      <c r="B7714" s="59" t="str">
        <f t="shared" si="21"/>
        <v/>
      </c>
      <c r="C7714" s="59" t="str">
        <f t="shared" si="22"/>
        <v/>
      </c>
      <c r="D7714" s="45" t="str">
        <f t="shared" si="23"/>
        <v/>
      </c>
      <c r="E7714" s="45" t="str">
        <f t="shared" si="24"/>
        <v/>
      </c>
      <c r="F7714" s="59" t="str">
        <f t="shared" si="25"/>
        <v/>
      </c>
      <c r="G7714" s="59" t="str">
        <f t="shared" si="26"/>
        <v/>
      </c>
      <c r="H7714" s="59" t="str">
        <f t="shared" si="27"/>
        <v>29E17273</v>
      </c>
      <c r="I7714" s="59" t="str">
        <f>IF(OR($A7714="",$C7714="",$D7714="",$E7714="",$H7714=""),"",SUMIFS(DATA_GOC!$H:$H,DATA_GOC!$A:$A,"BOM",DATA_GOC!$D:$D,$H7714,DATA_GOC!$E:$E,$C7714,DATA_GOC!$F:$F,"Xuất nội bộ từ téc",DATA_GOC!$B:$B,"&gt;="&amp;$D7714,DATA_GOC!$B:$B,"&lt;="&amp;$E7714))</f>
        <v/>
      </c>
      <c r="J7714" s="59">
        <f t="shared" si="28"/>
        <v>0</v>
      </c>
      <c r="K7714" s="59">
        <f t="shared" si="29"/>
        <v>0</v>
      </c>
      <c r="L7714" s="59">
        <f t="shared" si="30"/>
        <v>0</v>
      </c>
      <c r="M7714" s="59">
        <f t="shared" si="31"/>
        <v>0</v>
      </c>
    </row>
    <row r="7715" ht="15.0" hidden="1" customHeight="1">
      <c r="A7715" s="59">
        <f t="shared" si="20"/>
        <v>125</v>
      </c>
      <c r="B7715" s="59" t="str">
        <f t="shared" si="21"/>
        <v/>
      </c>
      <c r="C7715" s="59" t="str">
        <f t="shared" si="22"/>
        <v/>
      </c>
      <c r="D7715" s="45" t="str">
        <f t="shared" si="23"/>
        <v/>
      </c>
      <c r="E7715" s="45" t="str">
        <f t="shared" si="24"/>
        <v/>
      </c>
      <c r="F7715" s="59" t="str">
        <f t="shared" si="25"/>
        <v/>
      </c>
      <c r="G7715" s="59" t="str">
        <f t="shared" si="26"/>
        <v/>
      </c>
      <c r="H7715" s="59" t="str">
        <f t="shared" si="27"/>
        <v>29E17410</v>
      </c>
      <c r="I7715" s="59" t="str">
        <f>IF(OR($A7715="",$C7715="",$D7715="",$E7715="",$H7715=""),"",SUMIFS(DATA_GOC!$H:$H,DATA_GOC!$A:$A,"BOM",DATA_GOC!$D:$D,$H7715,DATA_GOC!$E:$E,$C7715,DATA_GOC!$F:$F,"Xuất nội bộ từ téc",DATA_GOC!$B:$B,"&gt;="&amp;$D7715,DATA_GOC!$B:$B,"&lt;="&amp;$E7715))</f>
        <v/>
      </c>
      <c r="J7715" s="59">
        <f t="shared" si="28"/>
        <v>0</v>
      </c>
      <c r="K7715" s="59">
        <f t="shared" si="29"/>
        <v>0</v>
      </c>
      <c r="L7715" s="59">
        <f t="shared" si="30"/>
        <v>0</v>
      </c>
      <c r="M7715" s="59">
        <f t="shared" si="31"/>
        <v>0</v>
      </c>
    </row>
    <row r="7716" ht="15.0" hidden="1" customHeight="1">
      <c r="A7716" s="59">
        <f t="shared" si="20"/>
        <v>125</v>
      </c>
      <c r="B7716" s="59" t="str">
        <f t="shared" si="21"/>
        <v/>
      </c>
      <c r="C7716" s="59" t="str">
        <f t="shared" si="22"/>
        <v/>
      </c>
      <c r="D7716" s="45" t="str">
        <f t="shared" si="23"/>
        <v/>
      </c>
      <c r="E7716" s="45" t="str">
        <f t="shared" si="24"/>
        <v/>
      </c>
      <c r="F7716" s="59" t="str">
        <f t="shared" si="25"/>
        <v/>
      </c>
      <c r="G7716" s="59" t="str">
        <f t="shared" si="26"/>
        <v/>
      </c>
      <c r="H7716" s="59" t="str">
        <f t="shared" si="27"/>
        <v>29E17417</v>
      </c>
      <c r="I7716" s="59" t="str">
        <f>IF(OR($A7716="",$C7716="",$D7716="",$E7716="",$H7716=""),"",SUMIFS(DATA_GOC!$H:$H,DATA_GOC!$A:$A,"BOM",DATA_GOC!$D:$D,$H7716,DATA_GOC!$E:$E,$C7716,DATA_GOC!$F:$F,"Xuất nội bộ từ téc",DATA_GOC!$B:$B,"&gt;="&amp;$D7716,DATA_GOC!$B:$B,"&lt;="&amp;$E7716))</f>
        <v/>
      </c>
      <c r="J7716" s="59">
        <f t="shared" si="28"/>
        <v>0</v>
      </c>
      <c r="K7716" s="59">
        <f t="shared" si="29"/>
        <v>0</v>
      </c>
      <c r="L7716" s="59">
        <f t="shared" si="30"/>
        <v>0</v>
      </c>
      <c r="M7716" s="59">
        <f t="shared" si="31"/>
        <v>0</v>
      </c>
    </row>
    <row r="7717" ht="15.0" hidden="1" customHeight="1">
      <c r="A7717" s="59">
        <f t="shared" si="20"/>
        <v>125</v>
      </c>
      <c r="B7717" s="59" t="str">
        <f t="shared" si="21"/>
        <v/>
      </c>
      <c r="C7717" s="59" t="str">
        <f t="shared" si="22"/>
        <v/>
      </c>
      <c r="D7717" s="45" t="str">
        <f t="shared" si="23"/>
        <v/>
      </c>
      <c r="E7717" s="45" t="str">
        <f t="shared" si="24"/>
        <v/>
      </c>
      <c r="F7717" s="59" t="str">
        <f t="shared" si="25"/>
        <v/>
      </c>
      <c r="G7717" s="59" t="str">
        <f t="shared" si="26"/>
        <v/>
      </c>
      <c r="H7717" s="59" t="str">
        <f t="shared" si="27"/>
        <v>29E17539</v>
      </c>
      <c r="I7717" s="59" t="str">
        <f>IF(OR($A7717="",$C7717="",$D7717="",$E7717="",$H7717=""),"",SUMIFS(DATA_GOC!$H:$H,DATA_GOC!$A:$A,"BOM",DATA_GOC!$D:$D,$H7717,DATA_GOC!$E:$E,$C7717,DATA_GOC!$F:$F,"Xuất nội bộ từ téc",DATA_GOC!$B:$B,"&gt;="&amp;$D7717,DATA_GOC!$B:$B,"&lt;="&amp;$E7717))</f>
        <v/>
      </c>
      <c r="J7717" s="59">
        <f t="shared" si="28"/>
        <v>0</v>
      </c>
      <c r="K7717" s="59">
        <f t="shared" si="29"/>
        <v>0</v>
      </c>
      <c r="L7717" s="59">
        <f t="shared" si="30"/>
        <v>0</v>
      </c>
      <c r="M7717" s="59">
        <f t="shared" si="31"/>
        <v>0</v>
      </c>
    </row>
    <row r="7718" ht="15.0" hidden="1" customHeight="1">
      <c r="A7718" s="59">
        <f t="shared" si="20"/>
        <v>125</v>
      </c>
      <c r="B7718" s="59" t="str">
        <f t="shared" si="21"/>
        <v/>
      </c>
      <c r="C7718" s="59" t="str">
        <f t="shared" si="22"/>
        <v/>
      </c>
      <c r="D7718" s="45" t="str">
        <f t="shared" si="23"/>
        <v/>
      </c>
      <c r="E7718" s="45" t="str">
        <f t="shared" si="24"/>
        <v/>
      </c>
      <c r="F7718" s="59" t="str">
        <f t="shared" si="25"/>
        <v/>
      </c>
      <c r="G7718" s="59" t="str">
        <f t="shared" si="26"/>
        <v/>
      </c>
      <c r="H7718" s="59" t="str">
        <f t="shared" si="27"/>
        <v>29E18160</v>
      </c>
      <c r="I7718" s="59" t="str">
        <f>IF(OR($A7718="",$C7718="",$D7718="",$E7718="",$H7718=""),"",SUMIFS(DATA_GOC!$H:$H,DATA_GOC!$A:$A,"BOM",DATA_GOC!$D:$D,$H7718,DATA_GOC!$E:$E,$C7718,DATA_GOC!$F:$F,"Xuất nội bộ từ téc",DATA_GOC!$B:$B,"&gt;="&amp;$D7718,DATA_GOC!$B:$B,"&lt;="&amp;$E7718))</f>
        <v/>
      </c>
      <c r="J7718" s="59">
        <f t="shared" si="28"/>
        <v>0</v>
      </c>
      <c r="K7718" s="59">
        <f t="shared" si="29"/>
        <v>0</v>
      </c>
      <c r="L7718" s="59">
        <f t="shared" si="30"/>
        <v>0</v>
      </c>
      <c r="M7718" s="59">
        <f t="shared" si="31"/>
        <v>0</v>
      </c>
    </row>
    <row r="7719" ht="15.0" hidden="1" customHeight="1">
      <c r="A7719" s="59">
        <f t="shared" si="20"/>
        <v>125</v>
      </c>
      <c r="B7719" s="59" t="str">
        <f t="shared" si="21"/>
        <v/>
      </c>
      <c r="C7719" s="59" t="str">
        <f t="shared" si="22"/>
        <v/>
      </c>
      <c r="D7719" s="45" t="str">
        <f t="shared" si="23"/>
        <v/>
      </c>
      <c r="E7719" s="45" t="str">
        <f t="shared" si="24"/>
        <v/>
      </c>
      <c r="F7719" s="59" t="str">
        <f t="shared" si="25"/>
        <v/>
      </c>
      <c r="G7719" s="59" t="str">
        <f t="shared" si="26"/>
        <v/>
      </c>
      <c r="H7719" s="59" t="str">
        <f t="shared" si="27"/>
        <v>Công trình Asphalt</v>
      </c>
      <c r="I7719" s="59" t="str">
        <f>IF(OR($A7719="",$C7719="",$D7719="",$E7719="",$H7719=""),"",SUMIFS(DATA_GOC!$H:$H,DATA_GOC!$A:$A,"BOM",DATA_GOC!$D:$D,$H7719,DATA_GOC!$E:$E,$C7719,DATA_GOC!$F:$F,"Xuất nội bộ từ téc",DATA_GOC!$B:$B,"&gt;="&amp;$D7719,DATA_GOC!$B:$B,"&lt;="&amp;$E7719))</f>
        <v/>
      </c>
      <c r="J7719" s="59">
        <f t="shared" si="28"/>
        <v>0</v>
      </c>
      <c r="K7719" s="59">
        <f t="shared" si="29"/>
        <v>0</v>
      </c>
      <c r="L7719" s="59">
        <f t="shared" si="30"/>
        <v>0</v>
      </c>
      <c r="M7719" s="59">
        <f t="shared" si="31"/>
        <v>0</v>
      </c>
    </row>
    <row r="7720" ht="15.0" hidden="1" customHeight="1">
      <c r="A7720" s="59">
        <f t="shared" si="20"/>
        <v>125</v>
      </c>
      <c r="B7720" s="59" t="str">
        <f t="shared" si="21"/>
        <v/>
      </c>
      <c r="C7720" s="59" t="str">
        <f t="shared" si="22"/>
        <v/>
      </c>
      <c r="D7720" s="45" t="str">
        <f t="shared" si="23"/>
        <v/>
      </c>
      <c r="E7720" s="45" t="str">
        <f t="shared" si="24"/>
        <v/>
      </c>
      <c r="F7720" s="59" t="str">
        <f t="shared" si="25"/>
        <v/>
      </c>
      <c r="G7720" s="59" t="str">
        <f t="shared" si="26"/>
        <v/>
      </c>
      <c r="H7720" s="59" t="str">
        <f t="shared" si="27"/>
        <v>LG53F</v>
      </c>
      <c r="I7720" s="59" t="str">
        <f>IF(OR($A7720="",$C7720="",$D7720="",$E7720="",$H7720=""),"",SUMIFS(DATA_GOC!$H:$H,DATA_GOC!$A:$A,"BOM",DATA_GOC!$D:$D,$H7720,DATA_GOC!$E:$E,$C7720,DATA_GOC!$F:$F,"Xuất nội bộ từ téc",DATA_GOC!$B:$B,"&gt;="&amp;$D7720,DATA_GOC!$B:$B,"&lt;="&amp;$E7720))</f>
        <v/>
      </c>
      <c r="J7720" s="59">
        <f t="shared" si="28"/>
        <v>0</v>
      </c>
      <c r="K7720" s="59">
        <f t="shared" si="29"/>
        <v>0</v>
      </c>
      <c r="L7720" s="59">
        <f t="shared" si="30"/>
        <v>0</v>
      </c>
      <c r="M7720" s="59">
        <f t="shared" si="31"/>
        <v>0</v>
      </c>
    </row>
    <row r="7721" ht="15.0" hidden="1" customHeight="1">
      <c r="A7721" s="59">
        <f t="shared" si="20"/>
        <v>125</v>
      </c>
      <c r="B7721" s="59" t="str">
        <f t="shared" si="21"/>
        <v/>
      </c>
      <c r="C7721" s="59" t="str">
        <f t="shared" si="22"/>
        <v/>
      </c>
      <c r="D7721" s="45" t="str">
        <f t="shared" si="23"/>
        <v/>
      </c>
      <c r="E7721" s="45" t="str">
        <f t="shared" si="24"/>
        <v/>
      </c>
      <c r="F7721" s="59" t="str">
        <f t="shared" si="25"/>
        <v/>
      </c>
      <c r="G7721" s="59" t="str">
        <f t="shared" si="26"/>
        <v/>
      </c>
      <c r="H7721" s="59" t="str">
        <f t="shared" si="27"/>
        <v>Máy phát điện</v>
      </c>
      <c r="I7721" s="59" t="str">
        <f>IF(OR($A7721="",$C7721="",$D7721="",$E7721="",$H7721=""),"",SUMIFS(DATA_GOC!$H:$H,DATA_GOC!$A:$A,"BOM",DATA_GOC!$D:$D,$H7721,DATA_GOC!$E:$E,$C7721,DATA_GOC!$F:$F,"Xuất nội bộ từ téc",DATA_GOC!$B:$B,"&gt;="&amp;$D7721,DATA_GOC!$B:$B,"&lt;="&amp;$E7721))</f>
        <v/>
      </c>
      <c r="J7721" s="59">
        <f t="shared" si="28"/>
        <v>0</v>
      </c>
      <c r="K7721" s="59">
        <f t="shared" si="29"/>
        <v>0</v>
      </c>
      <c r="L7721" s="59">
        <f t="shared" si="30"/>
        <v>0</v>
      </c>
      <c r="M7721" s="59">
        <f t="shared" si="31"/>
        <v>0</v>
      </c>
    </row>
    <row r="7722" ht="15.0" hidden="1" customHeight="1">
      <c r="A7722" s="59">
        <f t="shared" si="20"/>
        <v>125</v>
      </c>
      <c r="B7722" s="59" t="str">
        <f t="shared" si="21"/>
        <v/>
      </c>
      <c r="C7722" s="59" t="str">
        <f t="shared" si="22"/>
        <v/>
      </c>
      <c r="D7722" s="45" t="str">
        <f t="shared" si="23"/>
        <v/>
      </c>
      <c r="E7722" s="45" t="str">
        <f t="shared" si="24"/>
        <v/>
      </c>
      <c r="F7722" s="59" t="str">
        <f t="shared" si="25"/>
        <v/>
      </c>
      <c r="G7722" s="59" t="str">
        <f t="shared" si="26"/>
        <v/>
      </c>
      <c r="H7722" s="59" t="str">
        <f t="shared" si="27"/>
        <v>Máy rải thảm</v>
      </c>
      <c r="I7722" s="59" t="str">
        <f>IF(OR($A7722="",$C7722="",$D7722="",$E7722="",$H7722=""),"",SUMIFS(DATA_GOC!$H:$H,DATA_GOC!$A:$A,"BOM",DATA_GOC!$D:$D,$H7722,DATA_GOC!$E:$E,$C7722,DATA_GOC!$F:$F,"Xuất nội bộ từ téc",DATA_GOC!$B:$B,"&gt;="&amp;$D7722,DATA_GOC!$B:$B,"&lt;="&amp;$E7722))</f>
        <v/>
      </c>
      <c r="J7722" s="59">
        <f t="shared" si="28"/>
        <v>0</v>
      </c>
      <c r="K7722" s="59">
        <f t="shared" si="29"/>
        <v>0</v>
      </c>
      <c r="L7722" s="59">
        <f t="shared" si="30"/>
        <v>0</v>
      </c>
      <c r="M7722" s="59">
        <f t="shared" si="31"/>
        <v>0</v>
      </c>
    </row>
    <row r="7723" ht="15.0" hidden="1" customHeight="1">
      <c r="A7723" s="59">
        <f t="shared" si="20"/>
        <v>125</v>
      </c>
      <c r="B7723" s="59" t="str">
        <f t="shared" si="21"/>
        <v/>
      </c>
      <c r="C7723" s="59" t="str">
        <f t="shared" si="22"/>
        <v/>
      </c>
      <c r="D7723" s="45" t="str">
        <f t="shared" si="23"/>
        <v/>
      </c>
      <c r="E7723" s="45" t="str">
        <f t="shared" si="24"/>
        <v/>
      </c>
      <c r="F7723" s="59" t="str">
        <f t="shared" si="25"/>
        <v/>
      </c>
      <c r="G7723" s="59" t="str">
        <f t="shared" si="26"/>
        <v/>
      </c>
      <c r="H7723" s="59" t="str">
        <f t="shared" si="27"/>
        <v>Xúc Đào</v>
      </c>
      <c r="I7723" s="59" t="str">
        <f>IF(OR($A7723="",$C7723="",$D7723="",$E7723="",$H7723=""),"",SUMIFS(DATA_GOC!$H:$H,DATA_GOC!$A:$A,"BOM",DATA_GOC!$D:$D,$H7723,DATA_GOC!$E:$E,$C7723,DATA_GOC!$F:$F,"Xuất nội bộ từ téc",DATA_GOC!$B:$B,"&gt;="&amp;$D7723,DATA_GOC!$B:$B,"&lt;="&amp;$E7723))</f>
        <v/>
      </c>
      <c r="J7723" s="59">
        <f t="shared" si="28"/>
        <v>0</v>
      </c>
      <c r="K7723" s="59">
        <f t="shared" si="29"/>
        <v>0</v>
      </c>
      <c r="L7723" s="59">
        <f t="shared" si="30"/>
        <v>0</v>
      </c>
      <c r="M7723" s="59">
        <f t="shared" si="31"/>
        <v>0</v>
      </c>
    </row>
    <row r="7724" ht="15.0" hidden="1" customHeight="1">
      <c r="A7724" s="59">
        <f t="shared" si="20"/>
        <v>125</v>
      </c>
      <c r="B7724" s="59" t="str">
        <f t="shared" si="21"/>
        <v/>
      </c>
      <c r="C7724" s="59" t="str">
        <f t="shared" si="22"/>
        <v/>
      </c>
      <c r="D7724" s="45" t="str">
        <f t="shared" si="23"/>
        <v/>
      </c>
      <c r="E7724" s="45" t="str">
        <f t="shared" si="24"/>
        <v/>
      </c>
      <c r="F7724" s="59" t="str">
        <f t="shared" si="25"/>
        <v/>
      </c>
      <c r="G7724" s="59" t="str">
        <f t="shared" si="26"/>
        <v/>
      </c>
      <c r="H7724" s="59" t="str">
        <f t="shared" si="27"/>
        <v>Xúclật asphalt</v>
      </c>
      <c r="I7724" s="59" t="str">
        <f>IF(OR($A7724="",$C7724="",$D7724="",$E7724="",$H7724=""),"",SUMIFS(DATA_GOC!$H:$H,DATA_GOC!$A:$A,"BOM",DATA_GOC!$D:$D,$H7724,DATA_GOC!$E:$E,$C7724,DATA_GOC!$F:$F,"Xuất nội bộ từ téc",DATA_GOC!$B:$B,"&gt;="&amp;$D7724,DATA_GOC!$B:$B,"&lt;="&amp;$E7724))</f>
        <v/>
      </c>
      <c r="J7724" s="59">
        <f t="shared" si="28"/>
        <v>0</v>
      </c>
      <c r="K7724" s="59">
        <f t="shared" si="29"/>
        <v>0</v>
      </c>
      <c r="L7724" s="59">
        <f t="shared" si="30"/>
        <v>0</v>
      </c>
      <c r="M7724" s="59">
        <f t="shared" si="31"/>
        <v>0</v>
      </c>
    </row>
    <row r="7725" ht="15.0" hidden="1" customHeight="1">
      <c r="A7725" s="59">
        <f t="shared" si="20"/>
        <v>125</v>
      </c>
      <c r="B7725" s="59" t="str">
        <f t="shared" si="21"/>
        <v/>
      </c>
      <c r="C7725" s="59" t="str">
        <f t="shared" si="22"/>
        <v/>
      </c>
      <c r="D7725" s="45" t="str">
        <f t="shared" si="23"/>
        <v/>
      </c>
      <c r="E7725" s="45" t="str">
        <f t="shared" si="24"/>
        <v/>
      </c>
      <c r="F7725" s="59" t="str">
        <f t="shared" si="25"/>
        <v/>
      </c>
      <c r="G7725" s="59" t="str">
        <f t="shared" si="26"/>
        <v/>
      </c>
      <c r="H7725" s="59" t="str">
        <f t="shared" si="27"/>
        <v>Xúclật855H</v>
      </c>
      <c r="I7725" s="59" t="str">
        <f>IF(OR($A7725="",$C7725="",$D7725="",$E7725="",$H7725=""),"",SUMIFS(DATA_GOC!$H:$H,DATA_GOC!$A:$A,"BOM",DATA_GOC!$D:$D,$H7725,DATA_GOC!$E:$E,$C7725,DATA_GOC!$F:$F,"Xuất nội bộ từ téc",DATA_GOC!$B:$B,"&gt;="&amp;$D7725,DATA_GOC!$B:$B,"&lt;="&amp;$E7725))</f>
        <v/>
      </c>
      <c r="J7725" s="59">
        <f t="shared" si="28"/>
        <v>0</v>
      </c>
      <c r="K7725" s="59">
        <f t="shared" si="29"/>
        <v>0</v>
      </c>
      <c r="L7725" s="59">
        <f t="shared" si="30"/>
        <v>0</v>
      </c>
      <c r="M7725" s="59">
        <f t="shared" si="31"/>
        <v>0</v>
      </c>
    </row>
    <row r="7726" ht="15.0" hidden="1" customHeight="1">
      <c r="A7726" s="59">
        <f t="shared" si="20"/>
        <v>125</v>
      </c>
      <c r="B7726" s="59" t="str">
        <f t="shared" si="21"/>
        <v/>
      </c>
      <c r="C7726" s="59" t="str">
        <f t="shared" si="22"/>
        <v/>
      </c>
      <c r="D7726" s="45" t="str">
        <f t="shared" si="23"/>
        <v/>
      </c>
      <c r="E7726" s="45" t="str">
        <f t="shared" si="24"/>
        <v/>
      </c>
      <c r="F7726" s="59" t="str">
        <f t="shared" si="25"/>
        <v/>
      </c>
      <c r="G7726" s="59" t="str">
        <f t="shared" si="26"/>
        <v/>
      </c>
      <c r="H7726" s="59" t="str">
        <f t="shared" si="27"/>
        <v>Xúclật855N</v>
      </c>
      <c r="I7726" s="59" t="str">
        <f>IF(OR($A7726="",$C7726="",$D7726="",$E7726="",$H7726=""),"",SUMIFS(DATA_GOC!$H:$H,DATA_GOC!$A:$A,"BOM",DATA_GOC!$D:$D,$H7726,DATA_GOC!$E:$E,$C7726,DATA_GOC!$F:$F,"Xuất nội bộ từ téc",DATA_GOC!$B:$B,"&gt;="&amp;$D7726,DATA_GOC!$B:$B,"&lt;="&amp;$E7726))</f>
        <v/>
      </c>
      <c r="J7726" s="59">
        <f t="shared" si="28"/>
        <v>0</v>
      </c>
      <c r="K7726" s="59">
        <f t="shared" si="29"/>
        <v>0</v>
      </c>
      <c r="L7726" s="59">
        <f t="shared" si="30"/>
        <v>0</v>
      </c>
      <c r="M7726" s="59">
        <f t="shared" si="31"/>
        <v>0</v>
      </c>
    </row>
    <row r="7727" ht="15.0" hidden="1" customHeight="1">
      <c r="A7727" s="59">
        <f t="shared" si="20"/>
        <v>125</v>
      </c>
      <c r="B7727" s="59" t="str">
        <f t="shared" si="21"/>
        <v/>
      </c>
      <c r="C7727" s="59" t="str">
        <f t="shared" si="22"/>
        <v/>
      </c>
      <c r="D7727" s="45" t="str">
        <f t="shared" si="23"/>
        <v/>
      </c>
      <c r="E7727" s="45" t="str">
        <f t="shared" si="24"/>
        <v/>
      </c>
      <c r="F7727" s="59" t="str">
        <f t="shared" si="25"/>
        <v/>
      </c>
      <c r="G7727" s="59" t="str">
        <f t="shared" si="26"/>
        <v/>
      </c>
      <c r="H7727" s="59" t="str">
        <f t="shared" si="27"/>
        <v>Cát nghiền</v>
      </c>
      <c r="I7727" s="59" t="str">
        <f>IF(OR($A7727="",$C7727="",$D7727="",$E7727="",$H7727=""),"",SUMIFS(DATA_GOC!$H:$H,DATA_GOC!$A:$A,"BOM",DATA_GOC!$D:$D,$H7727,DATA_GOC!$E:$E,$C7727,DATA_GOC!$F:$F,"Xuất nội bộ từ téc",DATA_GOC!$B:$B,"&gt;="&amp;$D7727,DATA_GOC!$B:$B,"&lt;="&amp;$E7727))</f>
        <v/>
      </c>
      <c r="J7727" s="59">
        <f t="shared" si="28"/>
        <v>0</v>
      </c>
      <c r="K7727" s="59">
        <f t="shared" si="29"/>
        <v>0</v>
      </c>
      <c r="L7727" s="59">
        <f t="shared" si="30"/>
        <v>0</v>
      </c>
      <c r="M7727" s="59">
        <f t="shared" si="31"/>
        <v>0</v>
      </c>
    </row>
    <row r="7728" ht="15.0" hidden="1" customHeight="1">
      <c r="A7728" s="59">
        <f t="shared" si="20"/>
        <v>125</v>
      </c>
      <c r="B7728" s="59" t="str">
        <f t="shared" si="21"/>
        <v/>
      </c>
      <c r="C7728" s="59" t="str">
        <f t="shared" si="22"/>
        <v/>
      </c>
      <c r="D7728" s="45" t="str">
        <f t="shared" si="23"/>
        <v/>
      </c>
      <c r="E7728" s="45" t="str">
        <f t="shared" si="24"/>
        <v/>
      </c>
      <c r="F7728" s="59" t="str">
        <f t="shared" si="25"/>
        <v/>
      </c>
      <c r="G7728" s="59" t="str">
        <f t="shared" si="26"/>
        <v/>
      </c>
      <c r="H7728" s="59" t="str">
        <f t="shared" si="27"/>
        <v>28C02973</v>
      </c>
      <c r="I7728" s="59" t="str">
        <f>IF(OR($A7728="",$C7728="",$D7728="",$E7728="",$H7728=""),"",SUMIFS(DATA_GOC!$H:$H,DATA_GOC!$A:$A,"BOM",DATA_GOC!$D:$D,$H7728,DATA_GOC!$E:$E,$C7728,DATA_GOC!$F:$F,"Xuất nội bộ từ téc",DATA_GOC!$B:$B,"&gt;="&amp;$D7728,DATA_GOC!$B:$B,"&lt;="&amp;$E7728))</f>
        <v/>
      </c>
      <c r="J7728" s="59">
        <f t="shared" si="28"/>
        <v>0</v>
      </c>
      <c r="K7728" s="59">
        <f t="shared" si="29"/>
        <v>0</v>
      </c>
      <c r="L7728" s="59">
        <f t="shared" si="30"/>
        <v>0</v>
      </c>
      <c r="M7728" s="59">
        <f t="shared" si="31"/>
        <v>0</v>
      </c>
    </row>
    <row r="7729" ht="15.0" hidden="1" customHeight="1">
      <c r="A7729" s="59">
        <f t="shared" si="20"/>
        <v>125</v>
      </c>
      <c r="B7729" s="59" t="str">
        <f t="shared" si="21"/>
        <v/>
      </c>
      <c r="C7729" s="59" t="str">
        <f t="shared" si="22"/>
        <v/>
      </c>
      <c r="D7729" s="45" t="str">
        <f t="shared" si="23"/>
        <v/>
      </c>
      <c r="E7729" s="45" t="str">
        <f t="shared" si="24"/>
        <v/>
      </c>
      <c r="F7729" s="59" t="str">
        <f t="shared" si="25"/>
        <v/>
      </c>
      <c r="G7729" s="59" t="str">
        <f t="shared" si="26"/>
        <v/>
      </c>
      <c r="H7729" s="59" t="str">
        <f t="shared" si="27"/>
        <v>28C03044</v>
      </c>
      <c r="I7729" s="59" t="str">
        <f>IF(OR($A7729="",$C7729="",$D7729="",$E7729="",$H7729=""),"",SUMIFS(DATA_GOC!$H:$H,DATA_GOC!$A:$A,"BOM",DATA_GOC!$D:$D,$H7729,DATA_GOC!$E:$E,$C7729,DATA_GOC!$F:$F,"Xuất nội bộ từ téc",DATA_GOC!$B:$B,"&gt;="&amp;$D7729,DATA_GOC!$B:$B,"&lt;="&amp;$E7729))</f>
        <v/>
      </c>
      <c r="J7729" s="59">
        <f t="shared" si="28"/>
        <v>0</v>
      </c>
      <c r="K7729" s="59">
        <f t="shared" si="29"/>
        <v>0</v>
      </c>
      <c r="L7729" s="59">
        <f t="shared" si="30"/>
        <v>0</v>
      </c>
      <c r="M7729" s="59">
        <f t="shared" si="31"/>
        <v>0</v>
      </c>
    </row>
    <row r="7730" ht="15.0" hidden="1" customHeight="1">
      <c r="A7730" s="59">
        <f t="shared" si="20"/>
        <v>125</v>
      </c>
      <c r="B7730" s="59" t="str">
        <f t="shared" si="21"/>
        <v/>
      </c>
      <c r="C7730" s="59" t="str">
        <f t="shared" si="22"/>
        <v/>
      </c>
      <c r="D7730" s="45" t="str">
        <f t="shared" si="23"/>
        <v/>
      </c>
      <c r="E7730" s="45" t="str">
        <f t="shared" si="24"/>
        <v/>
      </c>
      <c r="F7730" s="59" t="str">
        <f t="shared" si="25"/>
        <v/>
      </c>
      <c r="G7730" s="59" t="str">
        <f t="shared" si="26"/>
        <v/>
      </c>
      <c r="H7730" s="59" t="str">
        <f t="shared" si="27"/>
        <v>Máy lu lốp</v>
      </c>
      <c r="I7730" s="59" t="str">
        <f>IF(OR($A7730="",$C7730="",$D7730="",$E7730="",$H7730=""),"",SUMIFS(DATA_GOC!$H:$H,DATA_GOC!$A:$A,"BOM",DATA_GOC!$D:$D,$H7730,DATA_GOC!$E:$E,$C7730,DATA_GOC!$F:$F,"Xuất nội bộ từ téc",DATA_GOC!$B:$B,"&gt;="&amp;$D7730,DATA_GOC!$B:$B,"&lt;="&amp;$E7730))</f>
        <v/>
      </c>
      <c r="J7730" s="59">
        <f t="shared" si="28"/>
        <v>0</v>
      </c>
      <c r="K7730" s="59">
        <f t="shared" si="29"/>
        <v>0</v>
      </c>
      <c r="L7730" s="59">
        <f t="shared" si="30"/>
        <v>0</v>
      </c>
      <c r="M7730" s="59">
        <f t="shared" si="31"/>
        <v>0</v>
      </c>
    </row>
    <row r="7731" ht="15.0" hidden="1" customHeight="1">
      <c r="A7731" s="59">
        <f t="shared" si="20"/>
        <v>125</v>
      </c>
      <c r="B7731" s="59" t="str">
        <f t="shared" si="21"/>
        <v/>
      </c>
      <c r="C7731" s="59" t="str">
        <f t="shared" si="22"/>
        <v/>
      </c>
      <c r="D7731" s="45" t="str">
        <f t="shared" si="23"/>
        <v/>
      </c>
      <c r="E7731" s="45" t="str">
        <f t="shared" si="24"/>
        <v/>
      </c>
      <c r="F7731" s="59" t="str">
        <f t="shared" si="25"/>
        <v/>
      </c>
      <c r="G7731" s="59" t="str">
        <f t="shared" si="26"/>
        <v/>
      </c>
      <c r="H7731" s="59" t="str">
        <f t="shared" si="27"/>
        <v>Xe 600148</v>
      </c>
      <c r="I7731" s="59" t="str">
        <f>IF(OR($A7731="",$C7731="",$D7731="",$E7731="",$H7731=""),"",SUMIFS(DATA_GOC!$H:$H,DATA_GOC!$A:$A,"BOM",DATA_GOC!$D:$D,$H7731,DATA_GOC!$E:$E,$C7731,DATA_GOC!$F:$F,"Xuất nội bộ từ téc",DATA_GOC!$B:$B,"&gt;="&amp;$D7731,DATA_GOC!$B:$B,"&lt;="&amp;$E7731))</f>
        <v/>
      </c>
      <c r="J7731" s="59">
        <f t="shared" si="28"/>
        <v>0</v>
      </c>
      <c r="K7731" s="59">
        <f t="shared" si="29"/>
        <v>0</v>
      </c>
      <c r="L7731" s="59">
        <f t="shared" si="30"/>
        <v>0</v>
      </c>
      <c r="M7731" s="59">
        <f t="shared" si="31"/>
        <v>0</v>
      </c>
    </row>
    <row r="7732" ht="15.0" hidden="1" customHeight="1">
      <c r="A7732" s="59">
        <f t="shared" si="20"/>
        <v>125</v>
      </c>
      <c r="B7732" s="59" t="str">
        <f t="shared" si="21"/>
        <v/>
      </c>
      <c r="C7732" s="59" t="str">
        <f t="shared" si="22"/>
        <v/>
      </c>
      <c r="D7732" s="45" t="str">
        <f t="shared" si="23"/>
        <v/>
      </c>
      <c r="E7732" s="45" t="str">
        <f t="shared" si="24"/>
        <v/>
      </c>
      <c r="F7732" s="59" t="str">
        <f t="shared" si="25"/>
        <v/>
      </c>
      <c r="G7732" s="59" t="str">
        <f t="shared" si="26"/>
        <v/>
      </c>
      <c r="H7732" s="59" t="str">
        <f t="shared" si="27"/>
        <v>Xe ben mới</v>
      </c>
      <c r="I7732" s="59" t="str">
        <f>IF(OR($A7732="",$C7732="",$D7732="",$E7732="",$H7732=""),"",SUMIFS(DATA_GOC!$H:$H,DATA_GOC!$A:$A,"BOM",DATA_GOC!$D:$D,$H7732,DATA_GOC!$E:$E,$C7732,DATA_GOC!$F:$F,"Xuất nội bộ từ téc",DATA_GOC!$B:$B,"&gt;="&amp;$D7732,DATA_GOC!$B:$B,"&lt;="&amp;$E7732))</f>
        <v/>
      </c>
      <c r="J7732" s="59">
        <f t="shared" si="28"/>
        <v>0</v>
      </c>
      <c r="K7732" s="59">
        <f t="shared" si="29"/>
        <v>0</v>
      </c>
      <c r="L7732" s="59">
        <f t="shared" si="30"/>
        <v>0</v>
      </c>
      <c r="M7732" s="59">
        <f t="shared" si="31"/>
        <v>0</v>
      </c>
    </row>
    <row r="7733" ht="15.0" hidden="1" customHeight="1">
      <c r="A7733" s="59">
        <f t="shared" si="20"/>
        <v>126</v>
      </c>
      <c r="B7733" s="59" t="str">
        <f t="shared" si="21"/>
        <v/>
      </c>
      <c r="C7733" s="59" t="str">
        <f t="shared" si="22"/>
        <v/>
      </c>
      <c r="D7733" s="45" t="str">
        <f t="shared" si="23"/>
        <v/>
      </c>
      <c r="E7733" s="45" t="str">
        <f t="shared" si="24"/>
        <v/>
      </c>
      <c r="F7733" s="59" t="str">
        <f t="shared" si="25"/>
        <v/>
      </c>
      <c r="G7733" s="59" t="str">
        <f t="shared" si="26"/>
        <v/>
      </c>
      <c r="H7733" s="59" t="str">
        <f t="shared" si="27"/>
        <v>19H09482</v>
      </c>
      <c r="I7733" s="59" t="str">
        <f>IF(OR($A7733="",$C7733="",$D7733="",$E7733="",$H7733=""),"",SUMIFS(DATA_GOC!$H:$H,DATA_GOC!$A:$A,"BOM",DATA_GOC!$D:$D,$H7733,DATA_GOC!$E:$E,$C7733,DATA_GOC!$F:$F,"Xuất nội bộ từ téc",DATA_GOC!$B:$B,"&gt;="&amp;$D7733,DATA_GOC!$B:$B,"&lt;="&amp;$E7733))</f>
        <v/>
      </c>
      <c r="J7733" s="59">
        <f t="shared" si="28"/>
        <v>0</v>
      </c>
      <c r="K7733" s="59">
        <f t="shared" si="29"/>
        <v>0</v>
      </c>
      <c r="L7733" s="59">
        <f t="shared" si="30"/>
        <v>0</v>
      </c>
      <c r="M7733" s="59">
        <f t="shared" si="31"/>
        <v>0</v>
      </c>
    </row>
    <row r="7734" ht="15.0" hidden="1" customHeight="1">
      <c r="A7734" s="59">
        <f t="shared" si="20"/>
        <v>126</v>
      </c>
      <c r="B7734" s="59" t="str">
        <f t="shared" si="21"/>
        <v/>
      </c>
      <c r="C7734" s="59" t="str">
        <f t="shared" si="22"/>
        <v/>
      </c>
      <c r="D7734" s="45" t="str">
        <f t="shared" si="23"/>
        <v/>
      </c>
      <c r="E7734" s="45" t="str">
        <f t="shared" si="24"/>
        <v/>
      </c>
      <c r="F7734" s="59" t="str">
        <f t="shared" si="25"/>
        <v/>
      </c>
      <c r="G7734" s="59" t="str">
        <f t="shared" si="26"/>
        <v/>
      </c>
      <c r="H7734" s="59" t="str">
        <f t="shared" si="27"/>
        <v>28A30696</v>
      </c>
      <c r="I7734" s="59" t="str">
        <f>IF(OR($A7734="",$C7734="",$D7734="",$E7734="",$H7734=""),"",SUMIFS(DATA_GOC!$H:$H,DATA_GOC!$A:$A,"BOM",DATA_GOC!$D:$D,$H7734,DATA_GOC!$E:$E,$C7734,DATA_GOC!$F:$F,"Xuất nội bộ từ téc",DATA_GOC!$B:$B,"&gt;="&amp;$D7734,DATA_GOC!$B:$B,"&lt;="&amp;$E7734))</f>
        <v/>
      </c>
      <c r="J7734" s="59">
        <f t="shared" si="28"/>
        <v>0</v>
      </c>
      <c r="K7734" s="59">
        <f t="shared" si="29"/>
        <v>0</v>
      </c>
      <c r="L7734" s="59">
        <f t="shared" si="30"/>
        <v>0</v>
      </c>
      <c r="M7734" s="59">
        <f t="shared" si="31"/>
        <v>0</v>
      </c>
    </row>
    <row r="7735" ht="15.0" hidden="1" customHeight="1">
      <c r="A7735" s="59">
        <f t="shared" si="20"/>
        <v>126</v>
      </c>
      <c r="B7735" s="59" t="str">
        <f t="shared" si="21"/>
        <v/>
      </c>
      <c r="C7735" s="59" t="str">
        <f t="shared" si="22"/>
        <v/>
      </c>
      <c r="D7735" s="45" t="str">
        <f t="shared" si="23"/>
        <v/>
      </c>
      <c r="E7735" s="45" t="str">
        <f t="shared" si="24"/>
        <v/>
      </c>
      <c r="F7735" s="59" t="str">
        <f t="shared" si="25"/>
        <v/>
      </c>
      <c r="G7735" s="59" t="str">
        <f t="shared" si="26"/>
        <v/>
      </c>
      <c r="H7735" s="59" t="str">
        <f t="shared" si="27"/>
        <v>28C00462</v>
      </c>
      <c r="I7735" s="59" t="str">
        <f>IF(OR($A7735="",$C7735="",$D7735="",$E7735="",$H7735=""),"",SUMIFS(DATA_GOC!$H:$H,DATA_GOC!$A:$A,"BOM",DATA_GOC!$D:$D,$H7735,DATA_GOC!$E:$E,$C7735,DATA_GOC!$F:$F,"Xuất nội bộ từ téc",DATA_GOC!$B:$B,"&gt;="&amp;$D7735,DATA_GOC!$B:$B,"&lt;="&amp;$E7735))</f>
        <v/>
      </c>
      <c r="J7735" s="59">
        <f t="shared" si="28"/>
        <v>0</v>
      </c>
      <c r="K7735" s="59">
        <f t="shared" si="29"/>
        <v>0</v>
      </c>
      <c r="L7735" s="59">
        <f t="shared" si="30"/>
        <v>0</v>
      </c>
      <c r="M7735" s="59">
        <f t="shared" si="31"/>
        <v>0</v>
      </c>
    </row>
    <row r="7736" ht="15.0" hidden="1" customHeight="1">
      <c r="A7736" s="59">
        <f t="shared" si="20"/>
        <v>126</v>
      </c>
      <c r="B7736" s="59" t="str">
        <f t="shared" si="21"/>
        <v/>
      </c>
      <c r="C7736" s="59" t="str">
        <f t="shared" si="22"/>
        <v/>
      </c>
      <c r="D7736" s="45" t="str">
        <f t="shared" si="23"/>
        <v/>
      </c>
      <c r="E7736" s="45" t="str">
        <f t="shared" si="24"/>
        <v/>
      </c>
      <c r="F7736" s="59" t="str">
        <f t="shared" si="25"/>
        <v/>
      </c>
      <c r="G7736" s="59" t="str">
        <f t="shared" si="26"/>
        <v/>
      </c>
      <c r="H7736" s="59" t="str">
        <f t="shared" si="27"/>
        <v>28C01165</v>
      </c>
      <c r="I7736" s="59" t="str">
        <f>IF(OR($A7736="",$C7736="",$D7736="",$E7736="",$H7736=""),"",SUMIFS(DATA_GOC!$H:$H,DATA_GOC!$A:$A,"BOM",DATA_GOC!$D:$D,$H7736,DATA_GOC!$E:$E,$C7736,DATA_GOC!$F:$F,"Xuất nội bộ từ téc",DATA_GOC!$B:$B,"&gt;="&amp;$D7736,DATA_GOC!$B:$B,"&lt;="&amp;$E7736))</f>
        <v/>
      </c>
      <c r="J7736" s="59">
        <f t="shared" si="28"/>
        <v>0</v>
      </c>
      <c r="K7736" s="59">
        <f t="shared" si="29"/>
        <v>0</v>
      </c>
      <c r="L7736" s="59">
        <f t="shared" si="30"/>
        <v>0</v>
      </c>
      <c r="M7736" s="59">
        <f t="shared" si="31"/>
        <v>0</v>
      </c>
    </row>
    <row r="7737" ht="15.0" hidden="1" customHeight="1">
      <c r="A7737" s="59">
        <f t="shared" si="20"/>
        <v>126</v>
      </c>
      <c r="B7737" s="59" t="str">
        <f t="shared" si="21"/>
        <v/>
      </c>
      <c r="C7737" s="59" t="str">
        <f t="shared" si="22"/>
        <v/>
      </c>
      <c r="D7737" s="45" t="str">
        <f t="shared" si="23"/>
        <v/>
      </c>
      <c r="E7737" s="45" t="str">
        <f t="shared" si="24"/>
        <v/>
      </c>
      <c r="F7737" s="59" t="str">
        <f t="shared" si="25"/>
        <v/>
      </c>
      <c r="G7737" s="59" t="str">
        <f t="shared" si="26"/>
        <v/>
      </c>
      <c r="H7737" s="59" t="str">
        <f t="shared" si="27"/>
        <v>28C01406</v>
      </c>
      <c r="I7737" s="59" t="str">
        <f>IF(OR($A7737="",$C7737="",$D7737="",$E7737="",$H7737=""),"",SUMIFS(DATA_GOC!$H:$H,DATA_GOC!$A:$A,"BOM",DATA_GOC!$D:$D,$H7737,DATA_GOC!$E:$E,$C7737,DATA_GOC!$F:$F,"Xuất nội bộ từ téc",DATA_GOC!$B:$B,"&gt;="&amp;$D7737,DATA_GOC!$B:$B,"&lt;="&amp;$E7737))</f>
        <v/>
      </c>
      <c r="J7737" s="59">
        <f t="shared" si="28"/>
        <v>0</v>
      </c>
      <c r="K7737" s="59">
        <f t="shared" si="29"/>
        <v>0</v>
      </c>
      <c r="L7737" s="59">
        <f t="shared" si="30"/>
        <v>0</v>
      </c>
      <c r="M7737" s="59">
        <f t="shared" si="31"/>
        <v>0</v>
      </c>
    </row>
    <row r="7738" ht="15.0" hidden="1" customHeight="1">
      <c r="A7738" s="59">
        <f t="shared" si="20"/>
        <v>126</v>
      </c>
      <c r="B7738" s="59" t="str">
        <f t="shared" si="21"/>
        <v/>
      </c>
      <c r="C7738" s="59" t="str">
        <f t="shared" si="22"/>
        <v/>
      </c>
      <c r="D7738" s="45" t="str">
        <f t="shared" si="23"/>
        <v/>
      </c>
      <c r="E7738" s="45" t="str">
        <f t="shared" si="24"/>
        <v/>
      </c>
      <c r="F7738" s="59" t="str">
        <f t="shared" si="25"/>
        <v/>
      </c>
      <c r="G7738" s="59" t="str">
        <f t="shared" si="26"/>
        <v/>
      </c>
      <c r="H7738" s="59" t="str">
        <f t="shared" si="27"/>
        <v>28C01544</v>
      </c>
      <c r="I7738" s="59" t="str">
        <f>IF(OR($A7738="",$C7738="",$D7738="",$E7738="",$H7738=""),"",SUMIFS(DATA_GOC!$H:$H,DATA_GOC!$A:$A,"BOM",DATA_GOC!$D:$D,$H7738,DATA_GOC!$E:$E,$C7738,DATA_GOC!$F:$F,"Xuất nội bộ từ téc",DATA_GOC!$B:$B,"&gt;="&amp;$D7738,DATA_GOC!$B:$B,"&lt;="&amp;$E7738))</f>
        <v/>
      </c>
      <c r="J7738" s="59">
        <f t="shared" si="28"/>
        <v>0</v>
      </c>
      <c r="K7738" s="59">
        <f t="shared" si="29"/>
        <v>0</v>
      </c>
      <c r="L7738" s="59">
        <f t="shared" si="30"/>
        <v>0</v>
      </c>
      <c r="M7738" s="59">
        <f t="shared" si="31"/>
        <v>0</v>
      </c>
    </row>
    <row r="7739" ht="15.0" hidden="1" customHeight="1">
      <c r="A7739" s="59">
        <f t="shared" si="20"/>
        <v>126</v>
      </c>
      <c r="B7739" s="59" t="str">
        <f t="shared" si="21"/>
        <v/>
      </c>
      <c r="C7739" s="59" t="str">
        <f t="shared" si="22"/>
        <v/>
      </c>
      <c r="D7739" s="45" t="str">
        <f t="shared" si="23"/>
        <v/>
      </c>
      <c r="E7739" s="45" t="str">
        <f t="shared" si="24"/>
        <v/>
      </c>
      <c r="F7739" s="59" t="str">
        <f t="shared" si="25"/>
        <v/>
      </c>
      <c r="G7739" s="59" t="str">
        <f t="shared" si="26"/>
        <v/>
      </c>
      <c r="H7739" s="59" t="str">
        <f t="shared" si="27"/>
        <v>28C01622</v>
      </c>
      <c r="I7739" s="59" t="str">
        <f>IF(OR($A7739="",$C7739="",$D7739="",$E7739="",$H7739=""),"",SUMIFS(DATA_GOC!$H:$H,DATA_GOC!$A:$A,"BOM",DATA_GOC!$D:$D,$H7739,DATA_GOC!$E:$E,$C7739,DATA_GOC!$F:$F,"Xuất nội bộ từ téc",DATA_GOC!$B:$B,"&gt;="&amp;$D7739,DATA_GOC!$B:$B,"&lt;="&amp;$E7739))</f>
        <v/>
      </c>
      <c r="J7739" s="59">
        <f t="shared" si="28"/>
        <v>0</v>
      </c>
      <c r="K7739" s="59">
        <f t="shared" si="29"/>
        <v>0</v>
      </c>
      <c r="L7739" s="59">
        <f t="shared" si="30"/>
        <v>0</v>
      </c>
      <c r="M7739" s="59">
        <f t="shared" si="31"/>
        <v>0</v>
      </c>
    </row>
    <row r="7740" ht="15.0" hidden="1" customHeight="1">
      <c r="A7740" s="59">
        <f t="shared" si="20"/>
        <v>126</v>
      </c>
      <c r="B7740" s="59" t="str">
        <f t="shared" si="21"/>
        <v/>
      </c>
      <c r="C7740" s="59" t="str">
        <f t="shared" si="22"/>
        <v/>
      </c>
      <c r="D7740" s="45" t="str">
        <f t="shared" si="23"/>
        <v/>
      </c>
      <c r="E7740" s="45" t="str">
        <f t="shared" si="24"/>
        <v/>
      </c>
      <c r="F7740" s="59" t="str">
        <f t="shared" si="25"/>
        <v/>
      </c>
      <c r="G7740" s="59" t="str">
        <f t="shared" si="26"/>
        <v/>
      </c>
      <c r="H7740" s="59" t="str">
        <f t="shared" si="27"/>
        <v>28C01647</v>
      </c>
      <c r="I7740" s="59" t="str">
        <f>IF(OR($A7740="",$C7740="",$D7740="",$E7740="",$H7740=""),"",SUMIFS(DATA_GOC!$H:$H,DATA_GOC!$A:$A,"BOM",DATA_GOC!$D:$D,$H7740,DATA_GOC!$E:$E,$C7740,DATA_GOC!$F:$F,"Xuất nội bộ từ téc",DATA_GOC!$B:$B,"&gt;="&amp;$D7740,DATA_GOC!$B:$B,"&lt;="&amp;$E7740))</f>
        <v/>
      </c>
      <c r="J7740" s="59">
        <f t="shared" si="28"/>
        <v>0</v>
      </c>
      <c r="K7740" s="59">
        <f t="shared" si="29"/>
        <v>0</v>
      </c>
      <c r="L7740" s="59">
        <f t="shared" si="30"/>
        <v>0</v>
      </c>
      <c r="M7740" s="59">
        <f t="shared" si="31"/>
        <v>0</v>
      </c>
    </row>
    <row r="7741" ht="15.0" hidden="1" customHeight="1">
      <c r="A7741" s="59">
        <f t="shared" si="20"/>
        <v>126</v>
      </c>
      <c r="B7741" s="59" t="str">
        <f t="shared" si="21"/>
        <v/>
      </c>
      <c r="C7741" s="59" t="str">
        <f t="shared" si="22"/>
        <v/>
      </c>
      <c r="D7741" s="45" t="str">
        <f t="shared" si="23"/>
        <v/>
      </c>
      <c r="E7741" s="45" t="str">
        <f t="shared" si="24"/>
        <v/>
      </c>
      <c r="F7741" s="59" t="str">
        <f t="shared" si="25"/>
        <v/>
      </c>
      <c r="G7741" s="59" t="str">
        <f t="shared" si="26"/>
        <v/>
      </c>
      <c r="H7741" s="59" t="str">
        <f t="shared" si="27"/>
        <v>28C01731</v>
      </c>
      <c r="I7741" s="59" t="str">
        <f>IF(OR($A7741="",$C7741="",$D7741="",$E7741="",$H7741=""),"",SUMIFS(DATA_GOC!$H:$H,DATA_GOC!$A:$A,"BOM",DATA_GOC!$D:$D,$H7741,DATA_GOC!$E:$E,$C7741,DATA_GOC!$F:$F,"Xuất nội bộ từ téc",DATA_GOC!$B:$B,"&gt;="&amp;$D7741,DATA_GOC!$B:$B,"&lt;="&amp;$E7741))</f>
        <v/>
      </c>
      <c r="J7741" s="59">
        <f t="shared" si="28"/>
        <v>0</v>
      </c>
      <c r="K7741" s="59">
        <f t="shared" si="29"/>
        <v>0</v>
      </c>
      <c r="L7741" s="59">
        <f t="shared" si="30"/>
        <v>0</v>
      </c>
      <c r="M7741" s="59">
        <f t="shared" si="31"/>
        <v>0</v>
      </c>
    </row>
    <row r="7742" ht="15.0" hidden="1" customHeight="1">
      <c r="A7742" s="59">
        <f t="shared" si="20"/>
        <v>126</v>
      </c>
      <c r="B7742" s="59" t="str">
        <f t="shared" si="21"/>
        <v/>
      </c>
      <c r="C7742" s="59" t="str">
        <f t="shared" si="22"/>
        <v/>
      </c>
      <c r="D7742" s="45" t="str">
        <f t="shared" si="23"/>
        <v/>
      </c>
      <c r="E7742" s="45" t="str">
        <f t="shared" si="24"/>
        <v/>
      </c>
      <c r="F7742" s="59" t="str">
        <f t="shared" si="25"/>
        <v/>
      </c>
      <c r="G7742" s="59" t="str">
        <f t="shared" si="26"/>
        <v/>
      </c>
      <c r="H7742" s="59" t="str">
        <f t="shared" si="27"/>
        <v>28C01743</v>
      </c>
      <c r="I7742" s="59" t="str">
        <f>IF(OR($A7742="",$C7742="",$D7742="",$E7742="",$H7742=""),"",SUMIFS(DATA_GOC!$H:$H,DATA_GOC!$A:$A,"BOM",DATA_GOC!$D:$D,$H7742,DATA_GOC!$E:$E,$C7742,DATA_GOC!$F:$F,"Xuất nội bộ từ téc",DATA_GOC!$B:$B,"&gt;="&amp;$D7742,DATA_GOC!$B:$B,"&lt;="&amp;$E7742))</f>
        <v/>
      </c>
      <c r="J7742" s="59">
        <f t="shared" si="28"/>
        <v>0</v>
      </c>
      <c r="K7742" s="59">
        <f t="shared" si="29"/>
        <v>0</v>
      </c>
      <c r="L7742" s="59">
        <f t="shared" si="30"/>
        <v>0</v>
      </c>
      <c r="M7742" s="59">
        <f t="shared" si="31"/>
        <v>0</v>
      </c>
    </row>
    <row r="7743" ht="15.0" hidden="1" customHeight="1">
      <c r="A7743" s="59">
        <f t="shared" si="20"/>
        <v>126</v>
      </c>
      <c r="B7743" s="59" t="str">
        <f t="shared" si="21"/>
        <v/>
      </c>
      <c r="C7743" s="59" t="str">
        <f t="shared" si="22"/>
        <v/>
      </c>
      <c r="D7743" s="45" t="str">
        <f t="shared" si="23"/>
        <v/>
      </c>
      <c r="E7743" s="45" t="str">
        <f t="shared" si="24"/>
        <v/>
      </c>
      <c r="F7743" s="59" t="str">
        <f t="shared" si="25"/>
        <v/>
      </c>
      <c r="G7743" s="59" t="str">
        <f t="shared" si="26"/>
        <v/>
      </c>
      <c r="H7743" s="59" t="str">
        <f t="shared" si="27"/>
        <v>28C02106</v>
      </c>
      <c r="I7743" s="59" t="str">
        <f>IF(OR($A7743="",$C7743="",$D7743="",$E7743="",$H7743=""),"",SUMIFS(DATA_GOC!$H:$H,DATA_GOC!$A:$A,"BOM",DATA_GOC!$D:$D,$H7743,DATA_GOC!$E:$E,$C7743,DATA_GOC!$F:$F,"Xuất nội bộ từ téc",DATA_GOC!$B:$B,"&gt;="&amp;$D7743,DATA_GOC!$B:$B,"&lt;="&amp;$E7743))</f>
        <v/>
      </c>
      <c r="J7743" s="59">
        <f t="shared" si="28"/>
        <v>0</v>
      </c>
      <c r="K7743" s="59">
        <f t="shared" si="29"/>
        <v>0</v>
      </c>
      <c r="L7743" s="59">
        <f t="shared" si="30"/>
        <v>0</v>
      </c>
      <c r="M7743" s="59">
        <f t="shared" si="31"/>
        <v>0</v>
      </c>
    </row>
    <row r="7744" ht="15.0" hidden="1" customHeight="1">
      <c r="A7744" s="59">
        <f t="shared" si="20"/>
        <v>126</v>
      </c>
      <c r="B7744" s="59" t="str">
        <f t="shared" si="21"/>
        <v/>
      </c>
      <c r="C7744" s="59" t="str">
        <f t="shared" si="22"/>
        <v/>
      </c>
      <c r="D7744" s="45" t="str">
        <f t="shared" si="23"/>
        <v/>
      </c>
      <c r="E7744" s="45" t="str">
        <f t="shared" si="24"/>
        <v/>
      </c>
      <c r="F7744" s="59" t="str">
        <f t="shared" si="25"/>
        <v/>
      </c>
      <c r="G7744" s="59" t="str">
        <f t="shared" si="26"/>
        <v/>
      </c>
      <c r="H7744" s="59" t="str">
        <f t="shared" si="27"/>
        <v>28C02410</v>
      </c>
      <c r="I7744" s="59" t="str">
        <f>IF(OR($A7744="",$C7744="",$D7744="",$E7744="",$H7744=""),"",SUMIFS(DATA_GOC!$H:$H,DATA_GOC!$A:$A,"BOM",DATA_GOC!$D:$D,$H7744,DATA_GOC!$E:$E,$C7744,DATA_GOC!$F:$F,"Xuất nội bộ từ téc",DATA_GOC!$B:$B,"&gt;="&amp;$D7744,DATA_GOC!$B:$B,"&lt;="&amp;$E7744))</f>
        <v/>
      </c>
      <c r="J7744" s="59">
        <f t="shared" si="28"/>
        <v>0</v>
      </c>
      <c r="K7744" s="59">
        <f t="shared" si="29"/>
        <v>0</v>
      </c>
      <c r="L7744" s="59">
        <f t="shared" si="30"/>
        <v>0</v>
      </c>
      <c r="M7744" s="59">
        <f t="shared" si="31"/>
        <v>0</v>
      </c>
    </row>
    <row r="7745" ht="15.0" hidden="1" customHeight="1">
      <c r="A7745" s="59">
        <f t="shared" si="20"/>
        <v>126</v>
      </c>
      <c r="B7745" s="59" t="str">
        <f t="shared" si="21"/>
        <v/>
      </c>
      <c r="C7745" s="59" t="str">
        <f t="shared" si="22"/>
        <v/>
      </c>
      <c r="D7745" s="45" t="str">
        <f t="shared" si="23"/>
        <v/>
      </c>
      <c r="E7745" s="45" t="str">
        <f t="shared" si="24"/>
        <v/>
      </c>
      <c r="F7745" s="59" t="str">
        <f t="shared" si="25"/>
        <v/>
      </c>
      <c r="G7745" s="59" t="str">
        <f t="shared" si="26"/>
        <v/>
      </c>
      <c r="H7745" s="59" t="str">
        <f t="shared" si="27"/>
        <v>28C02545</v>
      </c>
      <c r="I7745" s="59" t="str">
        <f>IF(OR($A7745="",$C7745="",$D7745="",$E7745="",$H7745=""),"",SUMIFS(DATA_GOC!$H:$H,DATA_GOC!$A:$A,"BOM",DATA_GOC!$D:$D,$H7745,DATA_GOC!$E:$E,$C7745,DATA_GOC!$F:$F,"Xuất nội bộ từ téc",DATA_GOC!$B:$B,"&gt;="&amp;$D7745,DATA_GOC!$B:$B,"&lt;="&amp;$E7745))</f>
        <v/>
      </c>
      <c r="J7745" s="59">
        <f t="shared" si="28"/>
        <v>0</v>
      </c>
      <c r="K7745" s="59">
        <f t="shared" si="29"/>
        <v>0</v>
      </c>
      <c r="L7745" s="59">
        <f t="shared" si="30"/>
        <v>0</v>
      </c>
      <c r="M7745" s="59">
        <f t="shared" si="31"/>
        <v>0</v>
      </c>
    </row>
    <row r="7746" ht="15.0" hidden="1" customHeight="1">
      <c r="A7746" s="59">
        <f t="shared" si="20"/>
        <v>126</v>
      </c>
      <c r="B7746" s="59" t="str">
        <f t="shared" si="21"/>
        <v/>
      </c>
      <c r="C7746" s="59" t="str">
        <f t="shared" si="22"/>
        <v/>
      </c>
      <c r="D7746" s="45" t="str">
        <f t="shared" si="23"/>
        <v/>
      </c>
      <c r="E7746" s="45" t="str">
        <f t="shared" si="24"/>
        <v/>
      </c>
      <c r="F7746" s="59" t="str">
        <f t="shared" si="25"/>
        <v/>
      </c>
      <c r="G7746" s="59" t="str">
        <f t="shared" si="26"/>
        <v/>
      </c>
      <c r="H7746" s="59" t="str">
        <f t="shared" si="27"/>
        <v>28C02574</v>
      </c>
      <c r="I7746" s="59" t="str">
        <f>IF(OR($A7746="",$C7746="",$D7746="",$E7746="",$H7746=""),"",SUMIFS(DATA_GOC!$H:$H,DATA_GOC!$A:$A,"BOM",DATA_GOC!$D:$D,$H7746,DATA_GOC!$E:$E,$C7746,DATA_GOC!$F:$F,"Xuất nội bộ từ téc",DATA_GOC!$B:$B,"&gt;="&amp;$D7746,DATA_GOC!$B:$B,"&lt;="&amp;$E7746))</f>
        <v/>
      </c>
      <c r="J7746" s="59">
        <f t="shared" si="28"/>
        <v>0</v>
      </c>
      <c r="K7746" s="59">
        <f t="shared" si="29"/>
        <v>0</v>
      </c>
      <c r="L7746" s="59">
        <f t="shared" si="30"/>
        <v>0</v>
      </c>
      <c r="M7746" s="59">
        <f t="shared" si="31"/>
        <v>0</v>
      </c>
    </row>
    <row r="7747" ht="15.0" hidden="1" customHeight="1">
      <c r="A7747" s="59">
        <f t="shared" si="20"/>
        <v>126</v>
      </c>
      <c r="B7747" s="59" t="str">
        <f t="shared" si="21"/>
        <v/>
      </c>
      <c r="C7747" s="59" t="str">
        <f t="shared" si="22"/>
        <v/>
      </c>
      <c r="D7747" s="45" t="str">
        <f t="shared" si="23"/>
        <v/>
      </c>
      <c r="E7747" s="45" t="str">
        <f t="shared" si="24"/>
        <v/>
      </c>
      <c r="F7747" s="59" t="str">
        <f t="shared" si="25"/>
        <v/>
      </c>
      <c r="G7747" s="59" t="str">
        <f t="shared" si="26"/>
        <v/>
      </c>
      <c r="H7747" s="59" t="str">
        <f t="shared" si="27"/>
        <v>28C02770</v>
      </c>
      <c r="I7747" s="59" t="str">
        <f>IF(OR($A7747="",$C7747="",$D7747="",$E7747="",$H7747=""),"",SUMIFS(DATA_GOC!$H:$H,DATA_GOC!$A:$A,"BOM",DATA_GOC!$D:$D,$H7747,DATA_GOC!$E:$E,$C7747,DATA_GOC!$F:$F,"Xuất nội bộ từ téc",DATA_GOC!$B:$B,"&gt;="&amp;$D7747,DATA_GOC!$B:$B,"&lt;="&amp;$E7747))</f>
        <v/>
      </c>
      <c r="J7747" s="59">
        <f t="shared" si="28"/>
        <v>0</v>
      </c>
      <c r="K7747" s="59">
        <f t="shared" si="29"/>
        <v>0</v>
      </c>
      <c r="L7747" s="59">
        <f t="shared" si="30"/>
        <v>0</v>
      </c>
      <c r="M7747" s="59">
        <f t="shared" si="31"/>
        <v>0</v>
      </c>
    </row>
    <row r="7748" ht="15.0" hidden="1" customHeight="1">
      <c r="A7748" s="59">
        <f t="shared" si="20"/>
        <v>126</v>
      </c>
      <c r="B7748" s="59" t="str">
        <f t="shared" si="21"/>
        <v/>
      </c>
      <c r="C7748" s="59" t="str">
        <f t="shared" si="22"/>
        <v/>
      </c>
      <c r="D7748" s="45" t="str">
        <f t="shared" si="23"/>
        <v/>
      </c>
      <c r="E7748" s="45" t="str">
        <f t="shared" si="24"/>
        <v/>
      </c>
      <c r="F7748" s="59" t="str">
        <f t="shared" si="25"/>
        <v/>
      </c>
      <c r="G7748" s="59" t="str">
        <f t="shared" si="26"/>
        <v/>
      </c>
      <c r="H7748" s="59" t="str">
        <f t="shared" si="27"/>
        <v>28C02986</v>
      </c>
      <c r="I7748" s="59" t="str">
        <f>IF(OR($A7748="",$C7748="",$D7748="",$E7748="",$H7748=""),"",SUMIFS(DATA_GOC!$H:$H,DATA_GOC!$A:$A,"BOM",DATA_GOC!$D:$D,$H7748,DATA_GOC!$E:$E,$C7748,DATA_GOC!$F:$F,"Xuất nội bộ từ téc",DATA_GOC!$B:$B,"&gt;="&amp;$D7748,DATA_GOC!$B:$B,"&lt;="&amp;$E7748))</f>
        <v/>
      </c>
      <c r="J7748" s="59">
        <f t="shared" si="28"/>
        <v>0</v>
      </c>
      <c r="K7748" s="59">
        <f t="shared" si="29"/>
        <v>0</v>
      </c>
      <c r="L7748" s="59">
        <f t="shared" si="30"/>
        <v>0</v>
      </c>
      <c r="M7748" s="59">
        <f t="shared" si="31"/>
        <v>0</v>
      </c>
    </row>
    <row r="7749" ht="15.0" hidden="1" customHeight="1">
      <c r="A7749" s="59">
        <f t="shared" si="20"/>
        <v>126</v>
      </c>
      <c r="B7749" s="59" t="str">
        <f t="shared" si="21"/>
        <v/>
      </c>
      <c r="C7749" s="59" t="str">
        <f t="shared" si="22"/>
        <v/>
      </c>
      <c r="D7749" s="45" t="str">
        <f t="shared" si="23"/>
        <v/>
      </c>
      <c r="E7749" s="45" t="str">
        <f t="shared" si="24"/>
        <v/>
      </c>
      <c r="F7749" s="59" t="str">
        <f t="shared" si="25"/>
        <v/>
      </c>
      <c r="G7749" s="59" t="str">
        <f t="shared" si="26"/>
        <v/>
      </c>
      <c r="H7749" s="59" t="str">
        <f t="shared" si="27"/>
        <v>28C03261</v>
      </c>
      <c r="I7749" s="59" t="str">
        <f>IF(OR($A7749="",$C7749="",$D7749="",$E7749="",$H7749=""),"",SUMIFS(DATA_GOC!$H:$H,DATA_GOC!$A:$A,"BOM",DATA_GOC!$D:$D,$H7749,DATA_GOC!$E:$E,$C7749,DATA_GOC!$F:$F,"Xuất nội bộ từ téc",DATA_GOC!$B:$B,"&gt;="&amp;$D7749,DATA_GOC!$B:$B,"&lt;="&amp;$E7749))</f>
        <v/>
      </c>
      <c r="J7749" s="59">
        <f t="shared" si="28"/>
        <v>0</v>
      </c>
      <c r="K7749" s="59">
        <f t="shared" si="29"/>
        <v>0</v>
      </c>
      <c r="L7749" s="59">
        <f t="shared" si="30"/>
        <v>0</v>
      </c>
      <c r="M7749" s="59">
        <f t="shared" si="31"/>
        <v>0</v>
      </c>
    </row>
    <row r="7750" ht="15.0" hidden="1" customHeight="1">
      <c r="A7750" s="59">
        <f t="shared" si="20"/>
        <v>126</v>
      </c>
      <c r="B7750" s="59" t="str">
        <f t="shared" si="21"/>
        <v/>
      </c>
      <c r="C7750" s="59" t="str">
        <f t="shared" si="22"/>
        <v/>
      </c>
      <c r="D7750" s="45" t="str">
        <f t="shared" si="23"/>
        <v/>
      </c>
      <c r="E7750" s="45" t="str">
        <f t="shared" si="24"/>
        <v/>
      </c>
      <c r="F7750" s="59" t="str">
        <f t="shared" si="25"/>
        <v/>
      </c>
      <c r="G7750" s="59" t="str">
        <f t="shared" si="26"/>
        <v/>
      </c>
      <c r="H7750" s="59" t="str">
        <f t="shared" si="27"/>
        <v>28C03323</v>
      </c>
      <c r="I7750" s="59" t="str">
        <f>IF(OR($A7750="",$C7750="",$D7750="",$E7750="",$H7750=""),"",SUMIFS(DATA_GOC!$H:$H,DATA_GOC!$A:$A,"BOM",DATA_GOC!$D:$D,$H7750,DATA_GOC!$E:$E,$C7750,DATA_GOC!$F:$F,"Xuất nội bộ từ téc",DATA_GOC!$B:$B,"&gt;="&amp;$D7750,DATA_GOC!$B:$B,"&lt;="&amp;$E7750))</f>
        <v/>
      </c>
      <c r="J7750" s="59">
        <f t="shared" si="28"/>
        <v>0</v>
      </c>
      <c r="K7750" s="59">
        <f t="shared" si="29"/>
        <v>0</v>
      </c>
      <c r="L7750" s="59">
        <f t="shared" si="30"/>
        <v>0</v>
      </c>
      <c r="M7750" s="59">
        <f t="shared" si="31"/>
        <v>0</v>
      </c>
    </row>
    <row r="7751" ht="15.0" hidden="1" customHeight="1">
      <c r="A7751" s="59">
        <f t="shared" si="20"/>
        <v>126</v>
      </c>
      <c r="B7751" s="59" t="str">
        <f t="shared" si="21"/>
        <v/>
      </c>
      <c r="C7751" s="59" t="str">
        <f t="shared" si="22"/>
        <v/>
      </c>
      <c r="D7751" s="45" t="str">
        <f t="shared" si="23"/>
        <v/>
      </c>
      <c r="E7751" s="45" t="str">
        <f t="shared" si="24"/>
        <v/>
      </c>
      <c r="F7751" s="59" t="str">
        <f t="shared" si="25"/>
        <v/>
      </c>
      <c r="G7751" s="59" t="str">
        <f t="shared" si="26"/>
        <v/>
      </c>
      <c r="H7751" s="59" t="str">
        <f t="shared" si="27"/>
        <v>28C03385</v>
      </c>
      <c r="I7751" s="59" t="str">
        <f>IF(OR($A7751="",$C7751="",$D7751="",$E7751="",$H7751=""),"",SUMIFS(DATA_GOC!$H:$H,DATA_GOC!$A:$A,"BOM",DATA_GOC!$D:$D,$H7751,DATA_GOC!$E:$E,$C7751,DATA_GOC!$F:$F,"Xuất nội bộ từ téc",DATA_GOC!$B:$B,"&gt;="&amp;$D7751,DATA_GOC!$B:$B,"&lt;="&amp;$E7751))</f>
        <v/>
      </c>
      <c r="J7751" s="59">
        <f t="shared" si="28"/>
        <v>0</v>
      </c>
      <c r="K7751" s="59">
        <f t="shared" si="29"/>
        <v>0</v>
      </c>
      <c r="L7751" s="59">
        <f t="shared" si="30"/>
        <v>0</v>
      </c>
      <c r="M7751" s="59">
        <f t="shared" si="31"/>
        <v>0</v>
      </c>
    </row>
    <row r="7752" ht="15.0" hidden="1" customHeight="1">
      <c r="A7752" s="59">
        <f t="shared" si="20"/>
        <v>126</v>
      </c>
      <c r="B7752" s="59" t="str">
        <f t="shared" si="21"/>
        <v/>
      </c>
      <c r="C7752" s="59" t="str">
        <f t="shared" si="22"/>
        <v/>
      </c>
      <c r="D7752" s="45" t="str">
        <f t="shared" si="23"/>
        <v/>
      </c>
      <c r="E7752" s="45" t="str">
        <f t="shared" si="24"/>
        <v/>
      </c>
      <c r="F7752" s="59" t="str">
        <f t="shared" si="25"/>
        <v/>
      </c>
      <c r="G7752" s="59" t="str">
        <f t="shared" si="26"/>
        <v/>
      </c>
      <c r="H7752" s="59" t="str">
        <f t="shared" si="27"/>
        <v>28C03652</v>
      </c>
      <c r="I7752" s="59" t="str">
        <f>IF(OR($A7752="",$C7752="",$D7752="",$E7752="",$H7752=""),"",SUMIFS(DATA_GOC!$H:$H,DATA_GOC!$A:$A,"BOM",DATA_GOC!$D:$D,$H7752,DATA_GOC!$E:$E,$C7752,DATA_GOC!$F:$F,"Xuất nội bộ từ téc",DATA_GOC!$B:$B,"&gt;="&amp;$D7752,DATA_GOC!$B:$B,"&lt;="&amp;$E7752))</f>
        <v/>
      </c>
      <c r="J7752" s="59">
        <f t="shared" si="28"/>
        <v>0</v>
      </c>
      <c r="K7752" s="59">
        <f t="shared" si="29"/>
        <v>0</v>
      </c>
      <c r="L7752" s="59">
        <f t="shared" si="30"/>
        <v>0</v>
      </c>
      <c r="M7752" s="59">
        <f t="shared" si="31"/>
        <v>0</v>
      </c>
    </row>
    <row r="7753" ht="15.0" hidden="1" customHeight="1">
      <c r="A7753" s="59">
        <f t="shared" si="20"/>
        <v>126</v>
      </c>
      <c r="B7753" s="59" t="str">
        <f t="shared" si="21"/>
        <v/>
      </c>
      <c r="C7753" s="59" t="str">
        <f t="shared" si="22"/>
        <v/>
      </c>
      <c r="D7753" s="45" t="str">
        <f t="shared" si="23"/>
        <v/>
      </c>
      <c r="E7753" s="45" t="str">
        <f t="shared" si="24"/>
        <v/>
      </c>
      <c r="F7753" s="59" t="str">
        <f t="shared" si="25"/>
        <v/>
      </c>
      <c r="G7753" s="59" t="str">
        <f t="shared" si="26"/>
        <v/>
      </c>
      <c r="H7753" s="59" t="str">
        <f t="shared" si="27"/>
        <v>28C03695</v>
      </c>
      <c r="I7753" s="59" t="str">
        <f>IF(OR($A7753="",$C7753="",$D7753="",$E7753="",$H7753=""),"",SUMIFS(DATA_GOC!$H:$H,DATA_GOC!$A:$A,"BOM",DATA_GOC!$D:$D,$H7753,DATA_GOC!$E:$E,$C7753,DATA_GOC!$F:$F,"Xuất nội bộ từ téc",DATA_GOC!$B:$B,"&gt;="&amp;$D7753,DATA_GOC!$B:$B,"&lt;="&amp;$E7753))</f>
        <v/>
      </c>
      <c r="J7753" s="59">
        <f t="shared" si="28"/>
        <v>0</v>
      </c>
      <c r="K7753" s="59">
        <f t="shared" si="29"/>
        <v>0</v>
      </c>
      <c r="L7753" s="59">
        <f t="shared" si="30"/>
        <v>0</v>
      </c>
      <c r="M7753" s="59">
        <f t="shared" si="31"/>
        <v>0</v>
      </c>
    </row>
    <row r="7754" ht="15.0" hidden="1" customHeight="1">
      <c r="A7754" s="59">
        <f t="shared" si="20"/>
        <v>126</v>
      </c>
      <c r="B7754" s="59" t="str">
        <f t="shared" si="21"/>
        <v/>
      </c>
      <c r="C7754" s="59" t="str">
        <f t="shared" si="22"/>
        <v/>
      </c>
      <c r="D7754" s="45" t="str">
        <f t="shared" si="23"/>
        <v/>
      </c>
      <c r="E7754" s="45" t="str">
        <f t="shared" si="24"/>
        <v/>
      </c>
      <c r="F7754" s="59" t="str">
        <f t="shared" si="25"/>
        <v/>
      </c>
      <c r="G7754" s="59" t="str">
        <f t="shared" si="26"/>
        <v/>
      </c>
      <c r="H7754" s="59" t="str">
        <f t="shared" si="27"/>
        <v>28C03927</v>
      </c>
      <c r="I7754" s="59" t="str">
        <f>IF(OR($A7754="",$C7754="",$D7754="",$E7754="",$H7754=""),"",SUMIFS(DATA_GOC!$H:$H,DATA_GOC!$A:$A,"BOM",DATA_GOC!$D:$D,$H7754,DATA_GOC!$E:$E,$C7754,DATA_GOC!$F:$F,"Xuất nội bộ từ téc",DATA_GOC!$B:$B,"&gt;="&amp;$D7754,DATA_GOC!$B:$B,"&lt;="&amp;$E7754))</f>
        <v/>
      </c>
      <c r="J7754" s="59">
        <f t="shared" si="28"/>
        <v>0</v>
      </c>
      <c r="K7754" s="59">
        <f t="shared" si="29"/>
        <v>0</v>
      </c>
      <c r="L7754" s="59">
        <f t="shared" si="30"/>
        <v>0</v>
      </c>
      <c r="M7754" s="59">
        <f t="shared" si="31"/>
        <v>0</v>
      </c>
    </row>
    <row r="7755" ht="15.0" hidden="1" customHeight="1">
      <c r="A7755" s="59">
        <f t="shared" si="20"/>
        <v>126</v>
      </c>
      <c r="B7755" s="59" t="str">
        <f t="shared" si="21"/>
        <v/>
      </c>
      <c r="C7755" s="59" t="str">
        <f t="shared" si="22"/>
        <v/>
      </c>
      <c r="D7755" s="45" t="str">
        <f t="shared" si="23"/>
        <v/>
      </c>
      <c r="E7755" s="45" t="str">
        <f t="shared" si="24"/>
        <v/>
      </c>
      <c r="F7755" s="59" t="str">
        <f t="shared" si="25"/>
        <v/>
      </c>
      <c r="G7755" s="59" t="str">
        <f t="shared" si="26"/>
        <v/>
      </c>
      <c r="H7755" s="59" t="str">
        <f t="shared" si="27"/>
        <v>28C04509</v>
      </c>
      <c r="I7755" s="59" t="str">
        <f>IF(OR($A7755="",$C7755="",$D7755="",$E7755="",$H7755=""),"",SUMIFS(DATA_GOC!$H:$H,DATA_GOC!$A:$A,"BOM",DATA_GOC!$D:$D,$H7755,DATA_GOC!$E:$E,$C7755,DATA_GOC!$F:$F,"Xuất nội bộ từ téc",DATA_GOC!$B:$B,"&gt;="&amp;$D7755,DATA_GOC!$B:$B,"&lt;="&amp;$E7755))</f>
        <v/>
      </c>
      <c r="J7755" s="59">
        <f t="shared" si="28"/>
        <v>0</v>
      </c>
      <c r="K7755" s="59">
        <f t="shared" si="29"/>
        <v>0</v>
      </c>
      <c r="L7755" s="59">
        <f t="shared" si="30"/>
        <v>0</v>
      </c>
      <c r="M7755" s="59">
        <f t="shared" si="31"/>
        <v>0</v>
      </c>
    </row>
    <row r="7756" ht="15.0" hidden="1" customHeight="1">
      <c r="A7756" s="59">
        <f t="shared" si="20"/>
        <v>126</v>
      </c>
      <c r="B7756" s="59" t="str">
        <f t="shared" si="21"/>
        <v/>
      </c>
      <c r="C7756" s="59" t="str">
        <f t="shared" si="22"/>
        <v/>
      </c>
      <c r="D7756" s="45" t="str">
        <f t="shared" si="23"/>
        <v/>
      </c>
      <c r="E7756" s="45" t="str">
        <f t="shared" si="24"/>
        <v/>
      </c>
      <c r="F7756" s="59" t="str">
        <f t="shared" si="25"/>
        <v/>
      </c>
      <c r="G7756" s="59" t="str">
        <f t="shared" si="26"/>
        <v/>
      </c>
      <c r="H7756" s="59" t="str">
        <f t="shared" si="27"/>
        <v>28C04536</v>
      </c>
      <c r="I7756" s="59" t="str">
        <f>IF(OR($A7756="",$C7756="",$D7756="",$E7756="",$H7756=""),"",SUMIFS(DATA_GOC!$H:$H,DATA_GOC!$A:$A,"BOM",DATA_GOC!$D:$D,$H7756,DATA_GOC!$E:$E,$C7756,DATA_GOC!$F:$F,"Xuất nội bộ từ téc",DATA_GOC!$B:$B,"&gt;="&amp;$D7756,DATA_GOC!$B:$B,"&lt;="&amp;$E7756))</f>
        <v/>
      </c>
      <c r="J7756" s="59">
        <f t="shared" si="28"/>
        <v>0</v>
      </c>
      <c r="K7756" s="59">
        <f t="shared" si="29"/>
        <v>0</v>
      </c>
      <c r="L7756" s="59">
        <f t="shared" si="30"/>
        <v>0</v>
      </c>
      <c r="M7756" s="59">
        <f t="shared" si="31"/>
        <v>0</v>
      </c>
    </row>
    <row r="7757" ht="15.0" hidden="1" customHeight="1">
      <c r="A7757" s="59">
        <f t="shared" si="20"/>
        <v>126</v>
      </c>
      <c r="B7757" s="59" t="str">
        <f t="shared" si="21"/>
        <v/>
      </c>
      <c r="C7757" s="59" t="str">
        <f t="shared" si="22"/>
        <v/>
      </c>
      <c r="D7757" s="45" t="str">
        <f t="shared" si="23"/>
        <v/>
      </c>
      <c r="E7757" s="45" t="str">
        <f t="shared" si="24"/>
        <v/>
      </c>
      <c r="F7757" s="59" t="str">
        <f t="shared" si="25"/>
        <v/>
      </c>
      <c r="G7757" s="59" t="str">
        <f t="shared" si="26"/>
        <v/>
      </c>
      <c r="H7757" s="59" t="str">
        <f t="shared" si="27"/>
        <v>28C04576</v>
      </c>
      <c r="I7757" s="59" t="str">
        <f>IF(OR($A7757="",$C7757="",$D7757="",$E7757="",$H7757=""),"",SUMIFS(DATA_GOC!$H:$H,DATA_GOC!$A:$A,"BOM",DATA_GOC!$D:$D,$H7757,DATA_GOC!$E:$E,$C7757,DATA_GOC!$F:$F,"Xuất nội bộ từ téc",DATA_GOC!$B:$B,"&gt;="&amp;$D7757,DATA_GOC!$B:$B,"&lt;="&amp;$E7757))</f>
        <v/>
      </c>
      <c r="J7757" s="59">
        <f t="shared" si="28"/>
        <v>0</v>
      </c>
      <c r="K7757" s="59">
        <f t="shared" si="29"/>
        <v>0</v>
      </c>
      <c r="L7757" s="59">
        <f t="shared" si="30"/>
        <v>0</v>
      </c>
      <c r="M7757" s="59">
        <f t="shared" si="31"/>
        <v>0</v>
      </c>
    </row>
    <row r="7758" ht="15.0" hidden="1" customHeight="1">
      <c r="A7758" s="59">
        <f t="shared" si="20"/>
        <v>126</v>
      </c>
      <c r="B7758" s="59" t="str">
        <f t="shared" si="21"/>
        <v/>
      </c>
      <c r="C7758" s="59" t="str">
        <f t="shared" si="22"/>
        <v/>
      </c>
      <c r="D7758" s="45" t="str">
        <f t="shared" si="23"/>
        <v/>
      </c>
      <c r="E7758" s="45" t="str">
        <f t="shared" si="24"/>
        <v/>
      </c>
      <c r="F7758" s="59" t="str">
        <f t="shared" si="25"/>
        <v/>
      </c>
      <c r="G7758" s="59" t="str">
        <f t="shared" si="26"/>
        <v/>
      </c>
      <c r="H7758" s="59" t="str">
        <f t="shared" si="27"/>
        <v>28C05090</v>
      </c>
      <c r="I7758" s="59" t="str">
        <f>IF(OR($A7758="",$C7758="",$D7758="",$E7758="",$H7758=""),"",SUMIFS(DATA_GOC!$H:$H,DATA_GOC!$A:$A,"BOM",DATA_GOC!$D:$D,$H7758,DATA_GOC!$E:$E,$C7758,DATA_GOC!$F:$F,"Xuất nội bộ từ téc",DATA_GOC!$B:$B,"&gt;="&amp;$D7758,DATA_GOC!$B:$B,"&lt;="&amp;$E7758))</f>
        <v/>
      </c>
      <c r="J7758" s="59">
        <f t="shared" si="28"/>
        <v>0</v>
      </c>
      <c r="K7758" s="59">
        <f t="shared" si="29"/>
        <v>0</v>
      </c>
      <c r="L7758" s="59">
        <f t="shared" si="30"/>
        <v>0</v>
      </c>
      <c r="M7758" s="59">
        <f t="shared" si="31"/>
        <v>0</v>
      </c>
    </row>
    <row r="7759" ht="15.0" hidden="1" customHeight="1">
      <c r="A7759" s="59">
        <f t="shared" si="20"/>
        <v>126</v>
      </c>
      <c r="B7759" s="59" t="str">
        <f t="shared" si="21"/>
        <v/>
      </c>
      <c r="C7759" s="59" t="str">
        <f t="shared" si="22"/>
        <v/>
      </c>
      <c r="D7759" s="45" t="str">
        <f t="shared" si="23"/>
        <v/>
      </c>
      <c r="E7759" s="45" t="str">
        <f t="shared" si="24"/>
        <v/>
      </c>
      <c r="F7759" s="59" t="str">
        <f t="shared" si="25"/>
        <v/>
      </c>
      <c r="G7759" s="59" t="str">
        <f t="shared" si="26"/>
        <v/>
      </c>
      <c r="H7759" s="59" t="str">
        <f t="shared" si="27"/>
        <v>28C05345</v>
      </c>
      <c r="I7759" s="59" t="str">
        <f>IF(OR($A7759="",$C7759="",$D7759="",$E7759="",$H7759=""),"",SUMIFS(DATA_GOC!$H:$H,DATA_GOC!$A:$A,"BOM",DATA_GOC!$D:$D,$H7759,DATA_GOC!$E:$E,$C7759,DATA_GOC!$F:$F,"Xuất nội bộ từ téc",DATA_GOC!$B:$B,"&gt;="&amp;$D7759,DATA_GOC!$B:$B,"&lt;="&amp;$E7759))</f>
        <v/>
      </c>
      <c r="J7759" s="59">
        <f t="shared" si="28"/>
        <v>0</v>
      </c>
      <c r="K7759" s="59">
        <f t="shared" si="29"/>
        <v>0</v>
      </c>
      <c r="L7759" s="59">
        <f t="shared" si="30"/>
        <v>0</v>
      </c>
      <c r="M7759" s="59">
        <f t="shared" si="31"/>
        <v>0</v>
      </c>
    </row>
    <row r="7760" ht="15.0" hidden="1" customHeight="1">
      <c r="A7760" s="59">
        <f t="shared" si="20"/>
        <v>126</v>
      </c>
      <c r="B7760" s="59" t="str">
        <f t="shared" si="21"/>
        <v/>
      </c>
      <c r="C7760" s="59" t="str">
        <f t="shared" si="22"/>
        <v/>
      </c>
      <c r="D7760" s="45" t="str">
        <f t="shared" si="23"/>
        <v/>
      </c>
      <c r="E7760" s="45" t="str">
        <f t="shared" si="24"/>
        <v/>
      </c>
      <c r="F7760" s="59" t="str">
        <f t="shared" si="25"/>
        <v/>
      </c>
      <c r="G7760" s="59" t="str">
        <f t="shared" si="26"/>
        <v/>
      </c>
      <c r="H7760" s="59" t="str">
        <f t="shared" si="27"/>
        <v>28C05661</v>
      </c>
      <c r="I7760" s="59" t="str">
        <f>IF(OR($A7760="",$C7760="",$D7760="",$E7760="",$H7760=""),"",SUMIFS(DATA_GOC!$H:$H,DATA_GOC!$A:$A,"BOM",DATA_GOC!$D:$D,$H7760,DATA_GOC!$E:$E,$C7760,DATA_GOC!$F:$F,"Xuất nội bộ từ téc",DATA_GOC!$B:$B,"&gt;="&amp;$D7760,DATA_GOC!$B:$B,"&lt;="&amp;$E7760))</f>
        <v/>
      </c>
      <c r="J7760" s="59">
        <f t="shared" si="28"/>
        <v>0</v>
      </c>
      <c r="K7760" s="59">
        <f t="shared" si="29"/>
        <v>0</v>
      </c>
      <c r="L7760" s="59">
        <f t="shared" si="30"/>
        <v>0</v>
      </c>
      <c r="M7760" s="59">
        <f t="shared" si="31"/>
        <v>0</v>
      </c>
    </row>
    <row r="7761" ht="15.0" hidden="1" customHeight="1">
      <c r="A7761" s="59">
        <f t="shared" si="20"/>
        <v>126</v>
      </c>
      <c r="B7761" s="59" t="str">
        <f t="shared" si="21"/>
        <v/>
      </c>
      <c r="C7761" s="59" t="str">
        <f t="shared" si="22"/>
        <v/>
      </c>
      <c r="D7761" s="45" t="str">
        <f t="shared" si="23"/>
        <v/>
      </c>
      <c r="E7761" s="45" t="str">
        <f t="shared" si="24"/>
        <v/>
      </c>
      <c r="F7761" s="59" t="str">
        <f t="shared" si="25"/>
        <v/>
      </c>
      <c r="G7761" s="59" t="str">
        <f t="shared" si="26"/>
        <v/>
      </c>
      <c r="H7761" s="59" t="str">
        <f t="shared" si="27"/>
        <v>28C05739</v>
      </c>
      <c r="I7761" s="59" t="str">
        <f>IF(OR($A7761="",$C7761="",$D7761="",$E7761="",$H7761=""),"",SUMIFS(DATA_GOC!$H:$H,DATA_GOC!$A:$A,"BOM",DATA_GOC!$D:$D,$H7761,DATA_GOC!$E:$E,$C7761,DATA_GOC!$F:$F,"Xuất nội bộ từ téc",DATA_GOC!$B:$B,"&gt;="&amp;$D7761,DATA_GOC!$B:$B,"&lt;="&amp;$E7761))</f>
        <v/>
      </c>
      <c r="J7761" s="59">
        <f t="shared" si="28"/>
        <v>0</v>
      </c>
      <c r="K7761" s="59">
        <f t="shared" si="29"/>
        <v>0</v>
      </c>
      <c r="L7761" s="59">
        <f t="shared" si="30"/>
        <v>0</v>
      </c>
      <c r="M7761" s="59">
        <f t="shared" si="31"/>
        <v>0</v>
      </c>
    </row>
    <row r="7762" ht="15.0" hidden="1" customHeight="1">
      <c r="A7762" s="59">
        <f t="shared" si="20"/>
        <v>126</v>
      </c>
      <c r="B7762" s="59" t="str">
        <f t="shared" si="21"/>
        <v/>
      </c>
      <c r="C7762" s="59" t="str">
        <f t="shared" si="22"/>
        <v/>
      </c>
      <c r="D7762" s="45" t="str">
        <f t="shared" si="23"/>
        <v/>
      </c>
      <c r="E7762" s="45" t="str">
        <f t="shared" si="24"/>
        <v/>
      </c>
      <c r="F7762" s="59" t="str">
        <f t="shared" si="25"/>
        <v/>
      </c>
      <c r="G7762" s="59" t="str">
        <f t="shared" si="26"/>
        <v/>
      </c>
      <c r="H7762" s="59" t="str">
        <f t="shared" si="27"/>
        <v>28C06369</v>
      </c>
      <c r="I7762" s="59" t="str">
        <f>IF(OR($A7762="",$C7762="",$D7762="",$E7762="",$H7762=""),"",SUMIFS(DATA_GOC!$H:$H,DATA_GOC!$A:$A,"BOM",DATA_GOC!$D:$D,$H7762,DATA_GOC!$E:$E,$C7762,DATA_GOC!$F:$F,"Xuất nội bộ từ téc",DATA_GOC!$B:$B,"&gt;="&amp;$D7762,DATA_GOC!$B:$B,"&lt;="&amp;$E7762))</f>
        <v/>
      </c>
      <c r="J7762" s="59">
        <f t="shared" si="28"/>
        <v>0</v>
      </c>
      <c r="K7762" s="59">
        <f t="shared" si="29"/>
        <v>0</v>
      </c>
      <c r="L7762" s="59">
        <f t="shared" si="30"/>
        <v>0</v>
      </c>
      <c r="M7762" s="59">
        <f t="shared" si="31"/>
        <v>0</v>
      </c>
    </row>
    <row r="7763" ht="15.0" hidden="1" customHeight="1">
      <c r="A7763" s="59">
        <f t="shared" si="20"/>
        <v>126</v>
      </c>
      <c r="B7763" s="59" t="str">
        <f t="shared" si="21"/>
        <v/>
      </c>
      <c r="C7763" s="59" t="str">
        <f t="shared" si="22"/>
        <v/>
      </c>
      <c r="D7763" s="45" t="str">
        <f t="shared" si="23"/>
        <v/>
      </c>
      <c r="E7763" s="45" t="str">
        <f t="shared" si="24"/>
        <v/>
      </c>
      <c r="F7763" s="59" t="str">
        <f t="shared" si="25"/>
        <v/>
      </c>
      <c r="G7763" s="59" t="str">
        <f t="shared" si="26"/>
        <v/>
      </c>
      <c r="H7763" s="59" t="str">
        <f t="shared" si="27"/>
        <v>28C06447</v>
      </c>
      <c r="I7763" s="59" t="str">
        <f>IF(OR($A7763="",$C7763="",$D7763="",$E7763="",$H7763=""),"",SUMIFS(DATA_GOC!$H:$H,DATA_GOC!$A:$A,"BOM",DATA_GOC!$D:$D,$H7763,DATA_GOC!$E:$E,$C7763,DATA_GOC!$F:$F,"Xuất nội bộ từ téc",DATA_GOC!$B:$B,"&gt;="&amp;$D7763,DATA_GOC!$B:$B,"&lt;="&amp;$E7763))</f>
        <v/>
      </c>
      <c r="J7763" s="59">
        <f t="shared" si="28"/>
        <v>0</v>
      </c>
      <c r="K7763" s="59">
        <f t="shared" si="29"/>
        <v>0</v>
      </c>
      <c r="L7763" s="59">
        <f t="shared" si="30"/>
        <v>0</v>
      </c>
      <c r="M7763" s="59">
        <f t="shared" si="31"/>
        <v>0</v>
      </c>
    </row>
    <row r="7764" ht="15.0" hidden="1" customHeight="1">
      <c r="A7764" s="59">
        <f t="shared" si="20"/>
        <v>126</v>
      </c>
      <c r="B7764" s="59" t="str">
        <f t="shared" si="21"/>
        <v/>
      </c>
      <c r="C7764" s="59" t="str">
        <f t="shared" si="22"/>
        <v/>
      </c>
      <c r="D7764" s="45" t="str">
        <f t="shared" si="23"/>
        <v/>
      </c>
      <c r="E7764" s="45" t="str">
        <f t="shared" si="24"/>
        <v/>
      </c>
      <c r="F7764" s="59" t="str">
        <f t="shared" si="25"/>
        <v/>
      </c>
      <c r="G7764" s="59" t="str">
        <f t="shared" si="26"/>
        <v/>
      </c>
      <c r="H7764" s="59" t="str">
        <f t="shared" si="27"/>
        <v>28H00003</v>
      </c>
      <c r="I7764" s="59" t="str">
        <f>IF(OR($A7764="",$C7764="",$D7764="",$E7764="",$H7764=""),"",SUMIFS(DATA_GOC!$H:$H,DATA_GOC!$A:$A,"BOM",DATA_GOC!$D:$D,$H7764,DATA_GOC!$E:$E,$C7764,DATA_GOC!$F:$F,"Xuất nội bộ từ téc",DATA_GOC!$B:$B,"&gt;="&amp;$D7764,DATA_GOC!$B:$B,"&lt;="&amp;$E7764))</f>
        <v/>
      </c>
      <c r="J7764" s="59">
        <f t="shared" si="28"/>
        <v>0</v>
      </c>
      <c r="K7764" s="59">
        <f t="shared" si="29"/>
        <v>0</v>
      </c>
      <c r="L7764" s="59">
        <f t="shared" si="30"/>
        <v>0</v>
      </c>
      <c r="M7764" s="59">
        <f t="shared" si="31"/>
        <v>0</v>
      </c>
    </row>
    <row r="7765" ht="15.0" hidden="1" customHeight="1">
      <c r="A7765" s="59">
        <f t="shared" si="20"/>
        <v>126</v>
      </c>
      <c r="B7765" s="59" t="str">
        <f t="shared" si="21"/>
        <v/>
      </c>
      <c r="C7765" s="59" t="str">
        <f t="shared" si="22"/>
        <v/>
      </c>
      <c r="D7765" s="45" t="str">
        <f t="shared" si="23"/>
        <v/>
      </c>
      <c r="E7765" s="45" t="str">
        <f t="shared" si="24"/>
        <v/>
      </c>
      <c r="F7765" s="59" t="str">
        <f t="shared" si="25"/>
        <v/>
      </c>
      <c r="G7765" s="59" t="str">
        <f t="shared" si="26"/>
        <v/>
      </c>
      <c r="H7765" s="59" t="str">
        <f t="shared" si="27"/>
        <v>28H00061</v>
      </c>
      <c r="I7765" s="59" t="str">
        <f>IF(OR($A7765="",$C7765="",$D7765="",$E7765="",$H7765=""),"",SUMIFS(DATA_GOC!$H:$H,DATA_GOC!$A:$A,"BOM",DATA_GOC!$D:$D,$H7765,DATA_GOC!$E:$E,$C7765,DATA_GOC!$F:$F,"Xuất nội bộ từ téc",DATA_GOC!$B:$B,"&gt;="&amp;$D7765,DATA_GOC!$B:$B,"&lt;="&amp;$E7765))</f>
        <v/>
      </c>
      <c r="J7765" s="59">
        <f t="shared" si="28"/>
        <v>0</v>
      </c>
      <c r="K7765" s="59">
        <f t="shared" si="29"/>
        <v>0</v>
      </c>
      <c r="L7765" s="59">
        <f t="shared" si="30"/>
        <v>0</v>
      </c>
      <c r="M7765" s="59">
        <f t="shared" si="31"/>
        <v>0</v>
      </c>
    </row>
    <row r="7766" ht="15.0" hidden="1" customHeight="1">
      <c r="A7766" s="59">
        <f t="shared" si="20"/>
        <v>126</v>
      </c>
      <c r="B7766" s="59" t="str">
        <f t="shared" si="21"/>
        <v/>
      </c>
      <c r="C7766" s="59" t="str">
        <f t="shared" si="22"/>
        <v/>
      </c>
      <c r="D7766" s="45" t="str">
        <f t="shared" si="23"/>
        <v/>
      </c>
      <c r="E7766" s="45" t="str">
        <f t="shared" si="24"/>
        <v/>
      </c>
      <c r="F7766" s="59" t="str">
        <f t="shared" si="25"/>
        <v/>
      </c>
      <c r="G7766" s="59" t="str">
        <f t="shared" si="26"/>
        <v/>
      </c>
      <c r="H7766" s="59" t="str">
        <f t="shared" si="27"/>
        <v>28H00354</v>
      </c>
      <c r="I7766" s="59" t="str">
        <f>IF(OR($A7766="",$C7766="",$D7766="",$E7766="",$H7766=""),"",SUMIFS(DATA_GOC!$H:$H,DATA_GOC!$A:$A,"BOM",DATA_GOC!$D:$D,$H7766,DATA_GOC!$E:$E,$C7766,DATA_GOC!$F:$F,"Xuất nội bộ từ téc",DATA_GOC!$B:$B,"&gt;="&amp;$D7766,DATA_GOC!$B:$B,"&lt;="&amp;$E7766))</f>
        <v/>
      </c>
      <c r="J7766" s="59">
        <f t="shared" si="28"/>
        <v>0</v>
      </c>
      <c r="K7766" s="59">
        <f t="shared" si="29"/>
        <v>0</v>
      </c>
      <c r="L7766" s="59">
        <f t="shared" si="30"/>
        <v>0</v>
      </c>
      <c r="M7766" s="59">
        <f t="shared" si="31"/>
        <v>0</v>
      </c>
    </row>
    <row r="7767" ht="15.0" hidden="1" customHeight="1">
      <c r="A7767" s="59">
        <f t="shared" si="20"/>
        <v>126</v>
      </c>
      <c r="B7767" s="59" t="str">
        <f t="shared" si="21"/>
        <v/>
      </c>
      <c r="C7767" s="59" t="str">
        <f t="shared" si="22"/>
        <v/>
      </c>
      <c r="D7767" s="45" t="str">
        <f t="shared" si="23"/>
        <v/>
      </c>
      <c r="E7767" s="45" t="str">
        <f t="shared" si="24"/>
        <v/>
      </c>
      <c r="F7767" s="59" t="str">
        <f t="shared" si="25"/>
        <v/>
      </c>
      <c r="G7767" s="59" t="str">
        <f t="shared" si="26"/>
        <v/>
      </c>
      <c r="H7767" s="59" t="str">
        <f t="shared" si="27"/>
        <v>28H00603</v>
      </c>
      <c r="I7767" s="59" t="str">
        <f>IF(OR($A7767="",$C7767="",$D7767="",$E7767="",$H7767=""),"",SUMIFS(DATA_GOC!$H:$H,DATA_GOC!$A:$A,"BOM",DATA_GOC!$D:$D,$H7767,DATA_GOC!$E:$E,$C7767,DATA_GOC!$F:$F,"Xuất nội bộ từ téc",DATA_GOC!$B:$B,"&gt;="&amp;$D7767,DATA_GOC!$B:$B,"&lt;="&amp;$E7767))</f>
        <v/>
      </c>
      <c r="J7767" s="59">
        <f t="shared" si="28"/>
        <v>0</v>
      </c>
      <c r="K7767" s="59">
        <f t="shared" si="29"/>
        <v>0</v>
      </c>
      <c r="L7767" s="59">
        <f t="shared" si="30"/>
        <v>0</v>
      </c>
      <c r="M7767" s="59">
        <f t="shared" si="31"/>
        <v>0</v>
      </c>
    </row>
    <row r="7768" ht="15.0" hidden="1" customHeight="1">
      <c r="A7768" s="59">
        <f t="shared" si="20"/>
        <v>126</v>
      </c>
      <c r="B7768" s="59" t="str">
        <f t="shared" si="21"/>
        <v/>
      </c>
      <c r="C7768" s="59" t="str">
        <f t="shared" si="22"/>
        <v/>
      </c>
      <c r="D7768" s="45" t="str">
        <f t="shared" si="23"/>
        <v/>
      </c>
      <c r="E7768" s="45" t="str">
        <f t="shared" si="24"/>
        <v/>
      </c>
      <c r="F7768" s="59" t="str">
        <f t="shared" si="25"/>
        <v/>
      </c>
      <c r="G7768" s="59" t="str">
        <f t="shared" si="26"/>
        <v/>
      </c>
      <c r="H7768" s="59" t="str">
        <f t="shared" si="27"/>
        <v>28H00609</v>
      </c>
      <c r="I7768" s="59" t="str">
        <f>IF(OR($A7768="",$C7768="",$D7768="",$E7768="",$H7768=""),"",SUMIFS(DATA_GOC!$H:$H,DATA_GOC!$A:$A,"BOM",DATA_GOC!$D:$D,$H7768,DATA_GOC!$E:$E,$C7768,DATA_GOC!$F:$F,"Xuất nội bộ từ téc",DATA_GOC!$B:$B,"&gt;="&amp;$D7768,DATA_GOC!$B:$B,"&lt;="&amp;$E7768))</f>
        <v/>
      </c>
      <c r="J7768" s="59">
        <f t="shared" si="28"/>
        <v>0</v>
      </c>
      <c r="K7768" s="59">
        <f t="shared" si="29"/>
        <v>0</v>
      </c>
      <c r="L7768" s="59">
        <f t="shared" si="30"/>
        <v>0</v>
      </c>
      <c r="M7768" s="59">
        <f t="shared" si="31"/>
        <v>0</v>
      </c>
    </row>
    <row r="7769" ht="15.0" hidden="1" customHeight="1">
      <c r="A7769" s="59">
        <f t="shared" si="20"/>
        <v>126</v>
      </c>
      <c r="B7769" s="59" t="str">
        <f t="shared" si="21"/>
        <v/>
      </c>
      <c r="C7769" s="59" t="str">
        <f t="shared" si="22"/>
        <v/>
      </c>
      <c r="D7769" s="45" t="str">
        <f t="shared" si="23"/>
        <v/>
      </c>
      <c r="E7769" s="45" t="str">
        <f t="shared" si="24"/>
        <v/>
      </c>
      <c r="F7769" s="59" t="str">
        <f t="shared" si="25"/>
        <v/>
      </c>
      <c r="G7769" s="59" t="str">
        <f t="shared" si="26"/>
        <v/>
      </c>
      <c r="H7769" s="59" t="str">
        <f t="shared" si="27"/>
        <v>28H00669</v>
      </c>
      <c r="I7769" s="59" t="str">
        <f>IF(OR($A7769="",$C7769="",$D7769="",$E7769="",$H7769=""),"",SUMIFS(DATA_GOC!$H:$H,DATA_GOC!$A:$A,"BOM",DATA_GOC!$D:$D,$H7769,DATA_GOC!$E:$E,$C7769,DATA_GOC!$F:$F,"Xuất nội bộ từ téc",DATA_GOC!$B:$B,"&gt;="&amp;$D7769,DATA_GOC!$B:$B,"&lt;="&amp;$E7769))</f>
        <v/>
      </c>
      <c r="J7769" s="59">
        <f t="shared" si="28"/>
        <v>0</v>
      </c>
      <c r="K7769" s="59">
        <f t="shared" si="29"/>
        <v>0</v>
      </c>
      <c r="L7769" s="59">
        <f t="shared" si="30"/>
        <v>0</v>
      </c>
      <c r="M7769" s="59">
        <f t="shared" si="31"/>
        <v>0</v>
      </c>
    </row>
    <row r="7770" ht="15.0" hidden="1" customHeight="1">
      <c r="A7770" s="59">
        <f t="shared" si="20"/>
        <v>126</v>
      </c>
      <c r="B7770" s="59" t="str">
        <f t="shared" si="21"/>
        <v/>
      </c>
      <c r="C7770" s="59" t="str">
        <f t="shared" si="22"/>
        <v/>
      </c>
      <c r="D7770" s="45" t="str">
        <f t="shared" si="23"/>
        <v/>
      </c>
      <c r="E7770" s="45" t="str">
        <f t="shared" si="24"/>
        <v/>
      </c>
      <c r="F7770" s="59" t="str">
        <f t="shared" si="25"/>
        <v/>
      </c>
      <c r="G7770" s="59" t="str">
        <f t="shared" si="26"/>
        <v/>
      </c>
      <c r="H7770" s="59" t="str">
        <f t="shared" si="27"/>
        <v>28H00680</v>
      </c>
      <c r="I7770" s="59" t="str">
        <f>IF(OR($A7770="",$C7770="",$D7770="",$E7770="",$H7770=""),"",SUMIFS(DATA_GOC!$H:$H,DATA_GOC!$A:$A,"BOM",DATA_GOC!$D:$D,$H7770,DATA_GOC!$E:$E,$C7770,DATA_GOC!$F:$F,"Xuất nội bộ từ téc",DATA_GOC!$B:$B,"&gt;="&amp;$D7770,DATA_GOC!$B:$B,"&lt;="&amp;$E7770))</f>
        <v/>
      </c>
      <c r="J7770" s="59">
        <f t="shared" si="28"/>
        <v>0</v>
      </c>
      <c r="K7770" s="59">
        <f t="shared" si="29"/>
        <v>0</v>
      </c>
      <c r="L7770" s="59">
        <f t="shared" si="30"/>
        <v>0</v>
      </c>
      <c r="M7770" s="59">
        <f t="shared" si="31"/>
        <v>0</v>
      </c>
    </row>
    <row r="7771" ht="15.0" hidden="1" customHeight="1">
      <c r="A7771" s="59">
        <f t="shared" si="20"/>
        <v>126</v>
      </c>
      <c r="B7771" s="59" t="str">
        <f t="shared" si="21"/>
        <v/>
      </c>
      <c r="C7771" s="59" t="str">
        <f t="shared" si="22"/>
        <v/>
      </c>
      <c r="D7771" s="45" t="str">
        <f t="shared" si="23"/>
        <v/>
      </c>
      <c r="E7771" s="45" t="str">
        <f t="shared" si="24"/>
        <v/>
      </c>
      <c r="F7771" s="59" t="str">
        <f t="shared" si="25"/>
        <v/>
      </c>
      <c r="G7771" s="59" t="str">
        <f t="shared" si="26"/>
        <v/>
      </c>
      <c r="H7771" s="59" t="str">
        <f t="shared" si="27"/>
        <v>28H01070</v>
      </c>
      <c r="I7771" s="59" t="str">
        <f>IF(OR($A7771="",$C7771="",$D7771="",$E7771="",$H7771=""),"",SUMIFS(DATA_GOC!$H:$H,DATA_GOC!$A:$A,"BOM",DATA_GOC!$D:$D,$H7771,DATA_GOC!$E:$E,$C7771,DATA_GOC!$F:$F,"Xuất nội bộ từ téc",DATA_GOC!$B:$B,"&gt;="&amp;$D7771,DATA_GOC!$B:$B,"&lt;="&amp;$E7771))</f>
        <v/>
      </c>
      <c r="J7771" s="59">
        <f t="shared" si="28"/>
        <v>0</v>
      </c>
      <c r="K7771" s="59">
        <f t="shared" si="29"/>
        <v>0</v>
      </c>
      <c r="L7771" s="59">
        <f t="shared" si="30"/>
        <v>0</v>
      </c>
      <c r="M7771" s="59">
        <f t="shared" si="31"/>
        <v>0</v>
      </c>
    </row>
    <row r="7772" ht="15.0" hidden="1" customHeight="1">
      <c r="A7772" s="59">
        <f t="shared" si="20"/>
        <v>126</v>
      </c>
      <c r="B7772" s="59" t="str">
        <f t="shared" si="21"/>
        <v/>
      </c>
      <c r="C7772" s="59" t="str">
        <f t="shared" si="22"/>
        <v/>
      </c>
      <c r="D7772" s="45" t="str">
        <f t="shared" si="23"/>
        <v/>
      </c>
      <c r="E7772" s="45" t="str">
        <f t="shared" si="24"/>
        <v/>
      </c>
      <c r="F7772" s="59" t="str">
        <f t="shared" si="25"/>
        <v/>
      </c>
      <c r="G7772" s="59" t="str">
        <f t="shared" si="26"/>
        <v/>
      </c>
      <c r="H7772" s="59" t="str">
        <f t="shared" si="27"/>
        <v>28H01364</v>
      </c>
      <c r="I7772" s="59" t="str">
        <f>IF(OR($A7772="",$C7772="",$D7772="",$E7772="",$H7772=""),"",SUMIFS(DATA_GOC!$H:$H,DATA_GOC!$A:$A,"BOM",DATA_GOC!$D:$D,$H7772,DATA_GOC!$E:$E,$C7772,DATA_GOC!$F:$F,"Xuất nội bộ từ téc",DATA_GOC!$B:$B,"&gt;="&amp;$D7772,DATA_GOC!$B:$B,"&lt;="&amp;$E7772))</f>
        <v/>
      </c>
      <c r="J7772" s="59">
        <f t="shared" si="28"/>
        <v>0</v>
      </c>
      <c r="K7772" s="59">
        <f t="shared" si="29"/>
        <v>0</v>
      </c>
      <c r="L7772" s="59">
        <f t="shared" si="30"/>
        <v>0</v>
      </c>
      <c r="M7772" s="59">
        <f t="shared" si="31"/>
        <v>0</v>
      </c>
    </row>
    <row r="7773" ht="15.0" hidden="1" customHeight="1">
      <c r="A7773" s="59">
        <f t="shared" si="20"/>
        <v>126</v>
      </c>
      <c r="B7773" s="59" t="str">
        <f t="shared" si="21"/>
        <v/>
      </c>
      <c r="C7773" s="59" t="str">
        <f t="shared" si="22"/>
        <v/>
      </c>
      <c r="D7773" s="45" t="str">
        <f t="shared" si="23"/>
        <v/>
      </c>
      <c r="E7773" s="45" t="str">
        <f t="shared" si="24"/>
        <v/>
      </c>
      <c r="F7773" s="59" t="str">
        <f t="shared" si="25"/>
        <v/>
      </c>
      <c r="G7773" s="59" t="str">
        <f t="shared" si="26"/>
        <v/>
      </c>
      <c r="H7773" s="59" t="str">
        <f t="shared" si="27"/>
        <v>29E17269</v>
      </c>
      <c r="I7773" s="59" t="str">
        <f>IF(OR($A7773="",$C7773="",$D7773="",$E7773="",$H7773=""),"",SUMIFS(DATA_GOC!$H:$H,DATA_GOC!$A:$A,"BOM",DATA_GOC!$D:$D,$H7773,DATA_GOC!$E:$E,$C7773,DATA_GOC!$F:$F,"Xuất nội bộ từ téc",DATA_GOC!$B:$B,"&gt;="&amp;$D7773,DATA_GOC!$B:$B,"&lt;="&amp;$E7773))</f>
        <v/>
      </c>
      <c r="J7773" s="59">
        <f t="shared" si="28"/>
        <v>0</v>
      </c>
      <c r="K7773" s="59">
        <f t="shared" si="29"/>
        <v>0</v>
      </c>
      <c r="L7773" s="59">
        <f t="shared" si="30"/>
        <v>0</v>
      </c>
      <c r="M7773" s="59">
        <f t="shared" si="31"/>
        <v>0</v>
      </c>
    </row>
    <row r="7774" ht="15.0" hidden="1" customHeight="1">
      <c r="A7774" s="59">
        <f t="shared" si="20"/>
        <v>126</v>
      </c>
      <c r="B7774" s="59" t="str">
        <f t="shared" si="21"/>
        <v/>
      </c>
      <c r="C7774" s="59" t="str">
        <f t="shared" si="22"/>
        <v/>
      </c>
      <c r="D7774" s="45" t="str">
        <f t="shared" si="23"/>
        <v/>
      </c>
      <c r="E7774" s="45" t="str">
        <f t="shared" si="24"/>
        <v/>
      </c>
      <c r="F7774" s="59" t="str">
        <f t="shared" si="25"/>
        <v/>
      </c>
      <c r="G7774" s="59" t="str">
        <f t="shared" si="26"/>
        <v/>
      </c>
      <c r="H7774" s="59" t="str">
        <f t="shared" si="27"/>
        <v>29E17273</v>
      </c>
      <c r="I7774" s="59" t="str">
        <f>IF(OR($A7774="",$C7774="",$D7774="",$E7774="",$H7774=""),"",SUMIFS(DATA_GOC!$H:$H,DATA_GOC!$A:$A,"BOM",DATA_GOC!$D:$D,$H7774,DATA_GOC!$E:$E,$C7774,DATA_GOC!$F:$F,"Xuất nội bộ từ téc",DATA_GOC!$B:$B,"&gt;="&amp;$D7774,DATA_GOC!$B:$B,"&lt;="&amp;$E7774))</f>
        <v/>
      </c>
      <c r="J7774" s="59">
        <f t="shared" si="28"/>
        <v>0</v>
      </c>
      <c r="K7774" s="59">
        <f t="shared" si="29"/>
        <v>0</v>
      </c>
      <c r="L7774" s="59">
        <f t="shared" si="30"/>
        <v>0</v>
      </c>
      <c r="M7774" s="59">
        <f t="shared" si="31"/>
        <v>0</v>
      </c>
    </row>
    <row r="7775" ht="15.0" hidden="1" customHeight="1">
      <c r="A7775" s="59">
        <f t="shared" si="20"/>
        <v>126</v>
      </c>
      <c r="B7775" s="59" t="str">
        <f t="shared" si="21"/>
        <v/>
      </c>
      <c r="C7775" s="59" t="str">
        <f t="shared" si="22"/>
        <v/>
      </c>
      <c r="D7775" s="45" t="str">
        <f t="shared" si="23"/>
        <v/>
      </c>
      <c r="E7775" s="45" t="str">
        <f t="shared" si="24"/>
        <v/>
      </c>
      <c r="F7775" s="59" t="str">
        <f t="shared" si="25"/>
        <v/>
      </c>
      <c r="G7775" s="59" t="str">
        <f t="shared" si="26"/>
        <v/>
      </c>
      <c r="H7775" s="59" t="str">
        <f t="shared" si="27"/>
        <v>29E17410</v>
      </c>
      <c r="I7775" s="59" t="str">
        <f>IF(OR($A7775="",$C7775="",$D7775="",$E7775="",$H7775=""),"",SUMIFS(DATA_GOC!$H:$H,DATA_GOC!$A:$A,"BOM",DATA_GOC!$D:$D,$H7775,DATA_GOC!$E:$E,$C7775,DATA_GOC!$F:$F,"Xuất nội bộ từ téc",DATA_GOC!$B:$B,"&gt;="&amp;$D7775,DATA_GOC!$B:$B,"&lt;="&amp;$E7775))</f>
        <v/>
      </c>
      <c r="J7775" s="59">
        <f t="shared" si="28"/>
        <v>0</v>
      </c>
      <c r="K7775" s="59">
        <f t="shared" si="29"/>
        <v>0</v>
      </c>
      <c r="L7775" s="59">
        <f t="shared" si="30"/>
        <v>0</v>
      </c>
      <c r="M7775" s="59">
        <f t="shared" si="31"/>
        <v>0</v>
      </c>
    </row>
    <row r="7776" ht="15.0" hidden="1" customHeight="1">
      <c r="A7776" s="59">
        <f t="shared" si="20"/>
        <v>126</v>
      </c>
      <c r="B7776" s="59" t="str">
        <f t="shared" si="21"/>
        <v/>
      </c>
      <c r="C7776" s="59" t="str">
        <f t="shared" si="22"/>
        <v/>
      </c>
      <c r="D7776" s="45" t="str">
        <f t="shared" si="23"/>
        <v/>
      </c>
      <c r="E7776" s="45" t="str">
        <f t="shared" si="24"/>
        <v/>
      </c>
      <c r="F7776" s="59" t="str">
        <f t="shared" si="25"/>
        <v/>
      </c>
      <c r="G7776" s="59" t="str">
        <f t="shared" si="26"/>
        <v/>
      </c>
      <c r="H7776" s="59" t="str">
        <f t="shared" si="27"/>
        <v>29E17417</v>
      </c>
      <c r="I7776" s="59" t="str">
        <f>IF(OR($A7776="",$C7776="",$D7776="",$E7776="",$H7776=""),"",SUMIFS(DATA_GOC!$H:$H,DATA_GOC!$A:$A,"BOM",DATA_GOC!$D:$D,$H7776,DATA_GOC!$E:$E,$C7776,DATA_GOC!$F:$F,"Xuất nội bộ từ téc",DATA_GOC!$B:$B,"&gt;="&amp;$D7776,DATA_GOC!$B:$B,"&lt;="&amp;$E7776))</f>
        <v/>
      </c>
      <c r="J7776" s="59">
        <f t="shared" si="28"/>
        <v>0</v>
      </c>
      <c r="K7776" s="59">
        <f t="shared" si="29"/>
        <v>0</v>
      </c>
      <c r="L7776" s="59">
        <f t="shared" si="30"/>
        <v>0</v>
      </c>
      <c r="M7776" s="59">
        <f t="shared" si="31"/>
        <v>0</v>
      </c>
    </row>
    <row r="7777" ht="15.0" hidden="1" customHeight="1">
      <c r="A7777" s="59">
        <f t="shared" si="20"/>
        <v>126</v>
      </c>
      <c r="B7777" s="59" t="str">
        <f t="shared" si="21"/>
        <v/>
      </c>
      <c r="C7777" s="59" t="str">
        <f t="shared" si="22"/>
        <v/>
      </c>
      <c r="D7777" s="45" t="str">
        <f t="shared" si="23"/>
        <v/>
      </c>
      <c r="E7777" s="45" t="str">
        <f t="shared" si="24"/>
        <v/>
      </c>
      <c r="F7777" s="59" t="str">
        <f t="shared" si="25"/>
        <v/>
      </c>
      <c r="G7777" s="59" t="str">
        <f t="shared" si="26"/>
        <v/>
      </c>
      <c r="H7777" s="59" t="str">
        <f t="shared" si="27"/>
        <v>29E17539</v>
      </c>
      <c r="I7777" s="59" t="str">
        <f>IF(OR($A7777="",$C7777="",$D7777="",$E7777="",$H7777=""),"",SUMIFS(DATA_GOC!$H:$H,DATA_GOC!$A:$A,"BOM",DATA_GOC!$D:$D,$H7777,DATA_GOC!$E:$E,$C7777,DATA_GOC!$F:$F,"Xuất nội bộ từ téc",DATA_GOC!$B:$B,"&gt;="&amp;$D7777,DATA_GOC!$B:$B,"&lt;="&amp;$E7777))</f>
        <v/>
      </c>
      <c r="J7777" s="59">
        <f t="shared" si="28"/>
        <v>0</v>
      </c>
      <c r="K7777" s="59">
        <f t="shared" si="29"/>
        <v>0</v>
      </c>
      <c r="L7777" s="59">
        <f t="shared" si="30"/>
        <v>0</v>
      </c>
      <c r="M7777" s="59">
        <f t="shared" si="31"/>
        <v>0</v>
      </c>
    </row>
    <row r="7778" ht="15.0" hidden="1" customHeight="1">
      <c r="A7778" s="59">
        <f t="shared" si="20"/>
        <v>126</v>
      </c>
      <c r="B7778" s="59" t="str">
        <f t="shared" si="21"/>
        <v/>
      </c>
      <c r="C7778" s="59" t="str">
        <f t="shared" si="22"/>
        <v/>
      </c>
      <c r="D7778" s="45" t="str">
        <f t="shared" si="23"/>
        <v/>
      </c>
      <c r="E7778" s="45" t="str">
        <f t="shared" si="24"/>
        <v/>
      </c>
      <c r="F7778" s="59" t="str">
        <f t="shared" si="25"/>
        <v/>
      </c>
      <c r="G7778" s="59" t="str">
        <f t="shared" si="26"/>
        <v/>
      </c>
      <c r="H7778" s="59" t="str">
        <f t="shared" si="27"/>
        <v>29E18160</v>
      </c>
      <c r="I7778" s="59" t="str">
        <f>IF(OR($A7778="",$C7778="",$D7778="",$E7778="",$H7778=""),"",SUMIFS(DATA_GOC!$H:$H,DATA_GOC!$A:$A,"BOM",DATA_GOC!$D:$D,$H7778,DATA_GOC!$E:$E,$C7778,DATA_GOC!$F:$F,"Xuất nội bộ từ téc",DATA_GOC!$B:$B,"&gt;="&amp;$D7778,DATA_GOC!$B:$B,"&lt;="&amp;$E7778))</f>
        <v/>
      </c>
      <c r="J7778" s="59">
        <f t="shared" si="28"/>
        <v>0</v>
      </c>
      <c r="K7778" s="59">
        <f t="shared" si="29"/>
        <v>0</v>
      </c>
      <c r="L7778" s="59">
        <f t="shared" si="30"/>
        <v>0</v>
      </c>
      <c r="M7778" s="59">
        <f t="shared" si="31"/>
        <v>0</v>
      </c>
    </row>
    <row r="7779" ht="15.0" hidden="1" customHeight="1">
      <c r="A7779" s="59">
        <f t="shared" si="20"/>
        <v>126</v>
      </c>
      <c r="B7779" s="59" t="str">
        <f t="shared" si="21"/>
        <v/>
      </c>
      <c r="C7779" s="59" t="str">
        <f t="shared" si="22"/>
        <v/>
      </c>
      <c r="D7779" s="45" t="str">
        <f t="shared" si="23"/>
        <v/>
      </c>
      <c r="E7779" s="45" t="str">
        <f t="shared" si="24"/>
        <v/>
      </c>
      <c r="F7779" s="59" t="str">
        <f t="shared" si="25"/>
        <v/>
      </c>
      <c r="G7779" s="59" t="str">
        <f t="shared" si="26"/>
        <v/>
      </c>
      <c r="H7779" s="59" t="str">
        <f t="shared" si="27"/>
        <v>Công trình Asphalt</v>
      </c>
      <c r="I7779" s="59" t="str">
        <f>IF(OR($A7779="",$C7779="",$D7779="",$E7779="",$H7779=""),"",SUMIFS(DATA_GOC!$H:$H,DATA_GOC!$A:$A,"BOM",DATA_GOC!$D:$D,$H7779,DATA_GOC!$E:$E,$C7779,DATA_GOC!$F:$F,"Xuất nội bộ từ téc",DATA_GOC!$B:$B,"&gt;="&amp;$D7779,DATA_GOC!$B:$B,"&lt;="&amp;$E7779))</f>
        <v/>
      </c>
      <c r="J7779" s="59">
        <f t="shared" si="28"/>
        <v>0</v>
      </c>
      <c r="K7779" s="59">
        <f t="shared" si="29"/>
        <v>0</v>
      </c>
      <c r="L7779" s="59">
        <f t="shared" si="30"/>
        <v>0</v>
      </c>
      <c r="M7779" s="59">
        <f t="shared" si="31"/>
        <v>0</v>
      </c>
    </row>
    <row r="7780" ht="15.0" hidden="1" customHeight="1">
      <c r="A7780" s="59">
        <f t="shared" si="20"/>
        <v>126</v>
      </c>
      <c r="B7780" s="59" t="str">
        <f t="shared" si="21"/>
        <v/>
      </c>
      <c r="C7780" s="59" t="str">
        <f t="shared" si="22"/>
        <v/>
      </c>
      <c r="D7780" s="45" t="str">
        <f t="shared" si="23"/>
        <v/>
      </c>
      <c r="E7780" s="45" t="str">
        <f t="shared" si="24"/>
        <v/>
      </c>
      <c r="F7780" s="59" t="str">
        <f t="shared" si="25"/>
        <v/>
      </c>
      <c r="G7780" s="59" t="str">
        <f t="shared" si="26"/>
        <v/>
      </c>
      <c r="H7780" s="59" t="str">
        <f t="shared" si="27"/>
        <v>LG53F</v>
      </c>
      <c r="I7780" s="59" t="str">
        <f>IF(OR($A7780="",$C7780="",$D7780="",$E7780="",$H7780=""),"",SUMIFS(DATA_GOC!$H:$H,DATA_GOC!$A:$A,"BOM",DATA_GOC!$D:$D,$H7780,DATA_GOC!$E:$E,$C7780,DATA_GOC!$F:$F,"Xuất nội bộ từ téc",DATA_GOC!$B:$B,"&gt;="&amp;$D7780,DATA_GOC!$B:$B,"&lt;="&amp;$E7780))</f>
        <v/>
      </c>
      <c r="J7780" s="59">
        <f t="shared" si="28"/>
        <v>0</v>
      </c>
      <c r="K7780" s="59">
        <f t="shared" si="29"/>
        <v>0</v>
      </c>
      <c r="L7780" s="59">
        <f t="shared" si="30"/>
        <v>0</v>
      </c>
      <c r="M7780" s="59">
        <f t="shared" si="31"/>
        <v>0</v>
      </c>
    </row>
    <row r="7781" ht="15.0" hidden="1" customHeight="1">
      <c r="A7781" s="59">
        <f t="shared" si="20"/>
        <v>126</v>
      </c>
      <c r="B7781" s="59" t="str">
        <f t="shared" si="21"/>
        <v/>
      </c>
      <c r="C7781" s="59" t="str">
        <f t="shared" si="22"/>
        <v/>
      </c>
      <c r="D7781" s="45" t="str">
        <f t="shared" si="23"/>
        <v/>
      </c>
      <c r="E7781" s="45" t="str">
        <f t="shared" si="24"/>
        <v/>
      </c>
      <c r="F7781" s="59" t="str">
        <f t="shared" si="25"/>
        <v/>
      </c>
      <c r="G7781" s="59" t="str">
        <f t="shared" si="26"/>
        <v/>
      </c>
      <c r="H7781" s="59" t="str">
        <f t="shared" si="27"/>
        <v>Máy phát điện</v>
      </c>
      <c r="I7781" s="59" t="str">
        <f>IF(OR($A7781="",$C7781="",$D7781="",$E7781="",$H7781=""),"",SUMIFS(DATA_GOC!$H:$H,DATA_GOC!$A:$A,"BOM",DATA_GOC!$D:$D,$H7781,DATA_GOC!$E:$E,$C7781,DATA_GOC!$F:$F,"Xuất nội bộ từ téc",DATA_GOC!$B:$B,"&gt;="&amp;$D7781,DATA_GOC!$B:$B,"&lt;="&amp;$E7781))</f>
        <v/>
      </c>
      <c r="J7781" s="59">
        <f t="shared" si="28"/>
        <v>0</v>
      </c>
      <c r="K7781" s="59">
        <f t="shared" si="29"/>
        <v>0</v>
      </c>
      <c r="L7781" s="59">
        <f t="shared" si="30"/>
        <v>0</v>
      </c>
      <c r="M7781" s="59">
        <f t="shared" si="31"/>
        <v>0</v>
      </c>
    </row>
    <row r="7782" ht="15.0" hidden="1" customHeight="1">
      <c r="A7782" s="59">
        <f t="shared" si="20"/>
        <v>126</v>
      </c>
      <c r="B7782" s="59" t="str">
        <f t="shared" si="21"/>
        <v/>
      </c>
      <c r="C7782" s="59" t="str">
        <f t="shared" si="22"/>
        <v/>
      </c>
      <c r="D7782" s="45" t="str">
        <f t="shared" si="23"/>
        <v/>
      </c>
      <c r="E7782" s="45" t="str">
        <f t="shared" si="24"/>
        <v/>
      </c>
      <c r="F7782" s="59" t="str">
        <f t="shared" si="25"/>
        <v/>
      </c>
      <c r="G7782" s="59" t="str">
        <f t="shared" si="26"/>
        <v/>
      </c>
      <c r="H7782" s="59" t="str">
        <f t="shared" si="27"/>
        <v>Máy rải thảm</v>
      </c>
      <c r="I7782" s="59" t="str">
        <f>IF(OR($A7782="",$C7782="",$D7782="",$E7782="",$H7782=""),"",SUMIFS(DATA_GOC!$H:$H,DATA_GOC!$A:$A,"BOM",DATA_GOC!$D:$D,$H7782,DATA_GOC!$E:$E,$C7782,DATA_GOC!$F:$F,"Xuất nội bộ từ téc",DATA_GOC!$B:$B,"&gt;="&amp;$D7782,DATA_GOC!$B:$B,"&lt;="&amp;$E7782))</f>
        <v/>
      </c>
      <c r="J7782" s="59">
        <f t="shared" si="28"/>
        <v>0</v>
      </c>
      <c r="K7782" s="59">
        <f t="shared" si="29"/>
        <v>0</v>
      </c>
      <c r="L7782" s="59">
        <f t="shared" si="30"/>
        <v>0</v>
      </c>
      <c r="M7782" s="59">
        <f t="shared" si="31"/>
        <v>0</v>
      </c>
    </row>
    <row r="7783" ht="15.0" hidden="1" customHeight="1">
      <c r="A7783" s="59">
        <f t="shared" si="20"/>
        <v>126</v>
      </c>
      <c r="B7783" s="59" t="str">
        <f t="shared" si="21"/>
        <v/>
      </c>
      <c r="C7783" s="59" t="str">
        <f t="shared" si="22"/>
        <v/>
      </c>
      <c r="D7783" s="45" t="str">
        <f t="shared" si="23"/>
        <v/>
      </c>
      <c r="E7783" s="45" t="str">
        <f t="shared" si="24"/>
        <v/>
      </c>
      <c r="F7783" s="59" t="str">
        <f t="shared" si="25"/>
        <v/>
      </c>
      <c r="G7783" s="59" t="str">
        <f t="shared" si="26"/>
        <v/>
      </c>
      <c r="H7783" s="59" t="str">
        <f t="shared" si="27"/>
        <v>Xúc Đào</v>
      </c>
      <c r="I7783" s="59" t="str">
        <f>IF(OR($A7783="",$C7783="",$D7783="",$E7783="",$H7783=""),"",SUMIFS(DATA_GOC!$H:$H,DATA_GOC!$A:$A,"BOM",DATA_GOC!$D:$D,$H7783,DATA_GOC!$E:$E,$C7783,DATA_GOC!$F:$F,"Xuất nội bộ từ téc",DATA_GOC!$B:$B,"&gt;="&amp;$D7783,DATA_GOC!$B:$B,"&lt;="&amp;$E7783))</f>
        <v/>
      </c>
      <c r="J7783" s="59">
        <f t="shared" si="28"/>
        <v>0</v>
      </c>
      <c r="K7783" s="59">
        <f t="shared" si="29"/>
        <v>0</v>
      </c>
      <c r="L7783" s="59">
        <f t="shared" si="30"/>
        <v>0</v>
      </c>
      <c r="M7783" s="59">
        <f t="shared" si="31"/>
        <v>0</v>
      </c>
    </row>
    <row r="7784" ht="15.0" hidden="1" customHeight="1">
      <c r="A7784" s="59">
        <f t="shared" si="20"/>
        <v>126</v>
      </c>
      <c r="B7784" s="59" t="str">
        <f t="shared" si="21"/>
        <v/>
      </c>
      <c r="C7784" s="59" t="str">
        <f t="shared" si="22"/>
        <v/>
      </c>
      <c r="D7784" s="45" t="str">
        <f t="shared" si="23"/>
        <v/>
      </c>
      <c r="E7784" s="45" t="str">
        <f t="shared" si="24"/>
        <v/>
      </c>
      <c r="F7784" s="59" t="str">
        <f t="shared" si="25"/>
        <v/>
      </c>
      <c r="G7784" s="59" t="str">
        <f t="shared" si="26"/>
        <v/>
      </c>
      <c r="H7784" s="59" t="str">
        <f t="shared" si="27"/>
        <v>Xúclật asphalt</v>
      </c>
      <c r="I7784" s="59" t="str">
        <f>IF(OR($A7784="",$C7784="",$D7784="",$E7784="",$H7784=""),"",SUMIFS(DATA_GOC!$H:$H,DATA_GOC!$A:$A,"BOM",DATA_GOC!$D:$D,$H7784,DATA_GOC!$E:$E,$C7784,DATA_GOC!$F:$F,"Xuất nội bộ từ téc",DATA_GOC!$B:$B,"&gt;="&amp;$D7784,DATA_GOC!$B:$B,"&lt;="&amp;$E7784))</f>
        <v/>
      </c>
      <c r="J7784" s="59">
        <f t="shared" si="28"/>
        <v>0</v>
      </c>
      <c r="K7784" s="59">
        <f t="shared" si="29"/>
        <v>0</v>
      </c>
      <c r="L7784" s="59">
        <f t="shared" si="30"/>
        <v>0</v>
      </c>
      <c r="M7784" s="59">
        <f t="shared" si="31"/>
        <v>0</v>
      </c>
    </row>
    <row r="7785" ht="15.0" hidden="1" customHeight="1">
      <c r="A7785" s="59">
        <f t="shared" si="20"/>
        <v>126</v>
      </c>
      <c r="B7785" s="59" t="str">
        <f t="shared" si="21"/>
        <v/>
      </c>
      <c r="C7785" s="59" t="str">
        <f t="shared" si="22"/>
        <v/>
      </c>
      <c r="D7785" s="45" t="str">
        <f t="shared" si="23"/>
        <v/>
      </c>
      <c r="E7785" s="45" t="str">
        <f t="shared" si="24"/>
        <v/>
      </c>
      <c r="F7785" s="59" t="str">
        <f t="shared" si="25"/>
        <v/>
      </c>
      <c r="G7785" s="59" t="str">
        <f t="shared" si="26"/>
        <v/>
      </c>
      <c r="H7785" s="59" t="str">
        <f t="shared" si="27"/>
        <v>Xúclật855H</v>
      </c>
      <c r="I7785" s="59" t="str">
        <f>IF(OR($A7785="",$C7785="",$D7785="",$E7785="",$H7785=""),"",SUMIFS(DATA_GOC!$H:$H,DATA_GOC!$A:$A,"BOM",DATA_GOC!$D:$D,$H7785,DATA_GOC!$E:$E,$C7785,DATA_GOC!$F:$F,"Xuất nội bộ từ téc",DATA_GOC!$B:$B,"&gt;="&amp;$D7785,DATA_GOC!$B:$B,"&lt;="&amp;$E7785))</f>
        <v/>
      </c>
      <c r="J7785" s="59">
        <f t="shared" si="28"/>
        <v>0</v>
      </c>
      <c r="K7785" s="59">
        <f t="shared" si="29"/>
        <v>0</v>
      </c>
      <c r="L7785" s="59">
        <f t="shared" si="30"/>
        <v>0</v>
      </c>
      <c r="M7785" s="59">
        <f t="shared" si="31"/>
        <v>0</v>
      </c>
    </row>
    <row r="7786" ht="15.0" hidden="1" customHeight="1">
      <c r="A7786" s="59">
        <f t="shared" si="20"/>
        <v>126</v>
      </c>
      <c r="B7786" s="59" t="str">
        <f t="shared" si="21"/>
        <v/>
      </c>
      <c r="C7786" s="59" t="str">
        <f t="shared" si="22"/>
        <v/>
      </c>
      <c r="D7786" s="45" t="str">
        <f t="shared" si="23"/>
        <v/>
      </c>
      <c r="E7786" s="45" t="str">
        <f t="shared" si="24"/>
        <v/>
      </c>
      <c r="F7786" s="59" t="str">
        <f t="shared" si="25"/>
        <v/>
      </c>
      <c r="G7786" s="59" t="str">
        <f t="shared" si="26"/>
        <v/>
      </c>
      <c r="H7786" s="59" t="str">
        <f t="shared" si="27"/>
        <v>Xúclật855N</v>
      </c>
      <c r="I7786" s="59" t="str">
        <f>IF(OR($A7786="",$C7786="",$D7786="",$E7786="",$H7786=""),"",SUMIFS(DATA_GOC!$H:$H,DATA_GOC!$A:$A,"BOM",DATA_GOC!$D:$D,$H7786,DATA_GOC!$E:$E,$C7786,DATA_GOC!$F:$F,"Xuất nội bộ từ téc",DATA_GOC!$B:$B,"&gt;="&amp;$D7786,DATA_GOC!$B:$B,"&lt;="&amp;$E7786))</f>
        <v/>
      </c>
      <c r="J7786" s="59">
        <f t="shared" si="28"/>
        <v>0</v>
      </c>
      <c r="K7786" s="59">
        <f t="shared" si="29"/>
        <v>0</v>
      </c>
      <c r="L7786" s="59">
        <f t="shared" si="30"/>
        <v>0</v>
      </c>
      <c r="M7786" s="59">
        <f t="shared" si="31"/>
        <v>0</v>
      </c>
    </row>
    <row r="7787" ht="15.0" hidden="1" customHeight="1">
      <c r="A7787" s="59">
        <f t="shared" si="20"/>
        <v>126</v>
      </c>
      <c r="B7787" s="59" t="str">
        <f t="shared" si="21"/>
        <v/>
      </c>
      <c r="C7787" s="59" t="str">
        <f t="shared" si="22"/>
        <v/>
      </c>
      <c r="D7787" s="45" t="str">
        <f t="shared" si="23"/>
        <v/>
      </c>
      <c r="E7787" s="45" t="str">
        <f t="shared" si="24"/>
        <v/>
      </c>
      <c r="F7787" s="59" t="str">
        <f t="shared" si="25"/>
        <v/>
      </c>
      <c r="G7787" s="59" t="str">
        <f t="shared" si="26"/>
        <v/>
      </c>
      <c r="H7787" s="59" t="str">
        <f t="shared" si="27"/>
        <v>Cát nghiền</v>
      </c>
      <c r="I7787" s="59" t="str">
        <f>IF(OR($A7787="",$C7787="",$D7787="",$E7787="",$H7787=""),"",SUMIFS(DATA_GOC!$H:$H,DATA_GOC!$A:$A,"BOM",DATA_GOC!$D:$D,$H7787,DATA_GOC!$E:$E,$C7787,DATA_GOC!$F:$F,"Xuất nội bộ từ téc",DATA_GOC!$B:$B,"&gt;="&amp;$D7787,DATA_GOC!$B:$B,"&lt;="&amp;$E7787))</f>
        <v/>
      </c>
      <c r="J7787" s="59">
        <f t="shared" si="28"/>
        <v>0</v>
      </c>
      <c r="K7787" s="59">
        <f t="shared" si="29"/>
        <v>0</v>
      </c>
      <c r="L7787" s="59">
        <f t="shared" si="30"/>
        <v>0</v>
      </c>
      <c r="M7787" s="59">
        <f t="shared" si="31"/>
        <v>0</v>
      </c>
    </row>
    <row r="7788" ht="15.0" hidden="1" customHeight="1">
      <c r="A7788" s="59">
        <f t="shared" si="20"/>
        <v>126</v>
      </c>
      <c r="B7788" s="59" t="str">
        <f t="shared" si="21"/>
        <v/>
      </c>
      <c r="C7788" s="59" t="str">
        <f t="shared" si="22"/>
        <v/>
      </c>
      <c r="D7788" s="45" t="str">
        <f t="shared" si="23"/>
        <v/>
      </c>
      <c r="E7788" s="45" t="str">
        <f t="shared" si="24"/>
        <v/>
      </c>
      <c r="F7788" s="59" t="str">
        <f t="shared" si="25"/>
        <v/>
      </c>
      <c r="G7788" s="59" t="str">
        <f t="shared" si="26"/>
        <v/>
      </c>
      <c r="H7788" s="59" t="str">
        <f t="shared" si="27"/>
        <v>28C02973</v>
      </c>
      <c r="I7788" s="59" t="str">
        <f>IF(OR($A7788="",$C7788="",$D7788="",$E7788="",$H7788=""),"",SUMIFS(DATA_GOC!$H:$H,DATA_GOC!$A:$A,"BOM",DATA_GOC!$D:$D,$H7788,DATA_GOC!$E:$E,$C7788,DATA_GOC!$F:$F,"Xuất nội bộ từ téc",DATA_GOC!$B:$B,"&gt;="&amp;$D7788,DATA_GOC!$B:$B,"&lt;="&amp;$E7788))</f>
        <v/>
      </c>
      <c r="J7788" s="59">
        <f t="shared" si="28"/>
        <v>0</v>
      </c>
      <c r="K7788" s="59">
        <f t="shared" si="29"/>
        <v>0</v>
      </c>
      <c r="L7788" s="59">
        <f t="shared" si="30"/>
        <v>0</v>
      </c>
      <c r="M7788" s="59">
        <f t="shared" si="31"/>
        <v>0</v>
      </c>
    </row>
    <row r="7789" ht="15.0" hidden="1" customHeight="1">
      <c r="A7789" s="59">
        <f t="shared" si="20"/>
        <v>126</v>
      </c>
      <c r="B7789" s="59" t="str">
        <f t="shared" si="21"/>
        <v/>
      </c>
      <c r="C7789" s="59" t="str">
        <f t="shared" si="22"/>
        <v/>
      </c>
      <c r="D7789" s="45" t="str">
        <f t="shared" si="23"/>
        <v/>
      </c>
      <c r="E7789" s="45" t="str">
        <f t="shared" si="24"/>
        <v/>
      </c>
      <c r="F7789" s="59" t="str">
        <f t="shared" si="25"/>
        <v/>
      </c>
      <c r="G7789" s="59" t="str">
        <f t="shared" si="26"/>
        <v/>
      </c>
      <c r="H7789" s="59" t="str">
        <f t="shared" si="27"/>
        <v>28C03044</v>
      </c>
      <c r="I7789" s="59" t="str">
        <f>IF(OR($A7789="",$C7789="",$D7789="",$E7789="",$H7789=""),"",SUMIFS(DATA_GOC!$H:$H,DATA_GOC!$A:$A,"BOM",DATA_GOC!$D:$D,$H7789,DATA_GOC!$E:$E,$C7789,DATA_GOC!$F:$F,"Xuất nội bộ từ téc",DATA_GOC!$B:$B,"&gt;="&amp;$D7789,DATA_GOC!$B:$B,"&lt;="&amp;$E7789))</f>
        <v/>
      </c>
      <c r="J7789" s="59">
        <f t="shared" si="28"/>
        <v>0</v>
      </c>
      <c r="K7789" s="59">
        <f t="shared" si="29"/>
        <v>0</v>
      </c>
      <c r="L7789" s="59">
        <f t="shared" si="30"/>
        <v>0</v>
      </c>
      <c r="M7789" s="59">
        <f t="shared" si="31"/>
        <v>0</v>
      </c>
    </row>
    <row r="7790" ht="15.0" hidden="1" customHeight="1">
      <c r="A7790" s="59">
        <f t="shared" si="20"/>
        <v>126</v>
      </c>
      <c r="B7790" s="59" t="str">
        <f t="shared" si="21"/>
        <v/>
      </c>
      <c r="C7790" s="59" t="str">
        <f t="shared" si="22"/>
        <v/>
      </c>
      <c r="D7790" s="45" t="str">
        <f t="shared" si="23"/>
        <v/>
      </c>
      <c r="E7790" s="45" t="str">
        <f t="shared" si="24"/>
        <v/>
      </c>
      <c r="F7790" s="59" t="str">
        <f t="shared" si="25"/>
        <v/>
      </c>
      <c r="G7790" s="59" t="str">
        <f t="shared" si="26"/>
        <v/>
      </c>
      <c r="H7790" s="59" t="str">
        <f t="shared" si="27"/>
        <v>Máy lu lốp</v>
      </c>
      <c r="I7790" s="59" t="str">
        <f>IF(OR($A7790="",$C7790="",$D7790="",$E7790="",$H7790=""),"",SUMIFS(DATA_GOC!$H:$H,DATA_GOC!$A:$A,"BOM",DATA_GOC!$D:$D,$H7790,DATA_GOC!$E:$E,$C7790,DATA_GOC!$F:$F,"Xuất nội bộ từ téc",DATA_GOC!$B:$B,"&gt;="&amp;$D7790,DATA_GOC!$B:$B,"&lt;="&amp;$E7790))</f>
        <v/>
      </c>
      <c r="J7790" s="59">
        <f t="shared" si="28"/>
        <v>0</v>
      </c>
      <c r="K7790" s="59">
        <f t="shared" si="29"/>
        <v>0</v>
      </c>
      <c r="L7790" s="59">
        <f t="shared" si="30"/>
        <v>0</v>
      </c>
      <c r="M7790" s="59">
        <f t="shared" si="31"/>
        <v>0</v>
      </c>
    </row>
    <row r="7791" ht="15.0" hidden="1" customHeight="1">
      <c r="A7791" s="59">
        <f t="shared" si="20"/>
        <v>126</v>
      </c>
      <c r="B7791" s="59" t="str">
        <f t="shared" si="21"/>
        <v/>
      </c>
      <c r="C7791" s="59" t="str">
        <f t="shared" si="22"/>
        <v/>
      </c>
      <c r="D7791" s="45" t="str">
        <f t="shared" si="23"/>
        <v/>
      </c>
      <c r="E7791" s="45" t="str">
        <f t="shared" si="24"/>
        <v/>
      </c>
      <c r="F7791" s="59" t="str">
        <f t="shared" si="25"/>
        <v/>
      </c>
      <c r="G7791" s="59" t="str">
        <f t="shared" si="26"/>
        <v/>
      </c>
      <c r="H7791" s="59" t="str">
        <f t="shared" si="27"/>
        <v>Xe 600148</v>
      </c>
      <c r="I7791" s="59" t="str">
        <f>IF(OR($A7791="",$C7791="",$D7791="",$E7791="",$H7791=""),"",SUMIFS(DATA_GOC!$H:$H,DATA_GOC!$A:$A,"BOM",DATA_GOC!$D:$D,$H7791,DATA_GOC!$E:$E,$C7791,DATA_GOC!$F:$F,"Xuất nội bộ từ téc",DATA_GOC!$B:$B,"&gt;="&amp;$D7791,DATA_GOC!$B:$B,"&lt;="&amp;$E7791))</f>
        <v/>
      </c>
      <c r="J7791" s="59">
        <f t="shared" si="28"/>
        <v>0</v>
      </c>
      <c r="K7791" s="59">
        <f t="shared" si="29"/>
        <v>0</v>
      </c>
      <c r="L7791" s="59">
        <f t="shared" si="30"/>
        <v>0</v>
      </c>
      <c r="M7791" s="59">
        <f t="shared" si="31"/>
        <v>0</v>
      </c>
    </row>
    <row r="7792" ht="15.0" hidden="1" customHeight="1">
      <c r="A7792" s="59">
        <f t="shared" si="20"/>
        <v>126</v>
      </c>
      <c r="B7792" s="59" t="str">
        <f t="shared" si="21"/>
        <v/>
      </c>
      <c r="C7792" s="59" t="str">
        <f t="shared" si="22"/>
        <v/>
      </c>
      <c r="D7792" s="45" t="str">
        <f t="shared" si="23"/>
        <v/>
      </c>
      <c r="E7792" s="45" t="str">
        <f t="shared" si="24"/>
        <v/>
      </c>
      <c r="F7792" s="59" t="str">
        <f t="shared" si="25"/>
        <v/>
      </c>
      <c r="G7792" s="59" t="str">
        <f t="shared" si="26"/>
        <v/>
      </c>
      <c r="H7792" s="59" t="str">
        <f t="shared" si="27"/>
        <v>Xe ben mới</v>
      </c>
      <c r="I7792" s="59" t="str">
        <f>IF(OR($A7792="",$C7792="",$D7792="",$E7792="",$H7792=""),"",SUMIFS(DATA_GOC!$H:$H,DATA_GOC!$A:$A,"BOM",DATA_GOC!$D:$D,$H7792,DATA_GOC!$E:$E,$C7792,DATA_GOC!$F:$F,"Xuất nội bộ từ téc",DATA_GOC!$B:$B,"&gt;="&amp;$D7792,DATA_GOC!$B:$B,"&lt;="&amp;$E7792))</f>
        <v/>
      </c>
      <c r="J7792" s="59">
        <f t="shared" si="28"/>
        <v>0</v>
      </c>
      <c r="K7792" s="59">
        <f t="shared" si="29"/>
        <v>0</v>
      </c>
      <c r="L7792" s="59">
        <f t="shared" si="30"/>
        <v>0</v>
      </c>
      <c r="M7792" s="59">
        <f t="shared" si="31"/>
        <v>0</v>
      </c>
    </row>
    <row r="7793" ht="15.0" hidden="1" customHeight="1">
      <c r="A7793" s="59">
        <f t="shared" si="20"/>
        <v>127</v>
      </c>
      <c r="B7793" s="59" t="str">
        <f t="shared" si="21"/>
        <v/>
      </c>
      <c r="C7793" s="59" t="str">
        <f t="shared" si="22"/>
        <v/>
      </c>
      <c r="D7793" s="45" t="str">
        <f t="shared" si="23"/>
        <v/>
      </c>
      <c r="E7793" s="45" t="str">
        <f t="shared" si="24"/>
        <v/>
      </c>
      <c r="F7793" s="59" t="str">
        <f t="shared" si="25"/>
        <v/>
      </c>
      <c r="G7793" s="59" t="str">
        <f t="shared" si="26"/>
        <v/>
      </c>
      <c r="H7793" s="59" t="str">
        <f t="shared" si="27"/>
        <v>19H09482</v>
      </c>
      <c r="I7793" s="59" t="str">
        <f>IF(OR($A7793="",$C7793="",$D7793="",$E7793="",$H7793=""),"",SUMIFS(DATA_GOC!$H:$H,DATA_GOC!$A:$A,"BOM",DATA_GOC!$D:$D,$H7793,DATA_GOC!$E:$E,$C7793,DATA_GOC!$F:$F,"Xuất nội bộ từ téc",DATA_GOC!$B:$B,"&gt;="&amp;$D7793,DATA_GOC!$B:$B,"&lt;="&amp;$E7793))</f>
        <v/>
      </c>
      <c r="J7793" s="59">
        <f t="shared" si="28"/>
        <v>0</v>
      </c>
      <c r="K7793" s="59">
        <f t="shared" si="29"/>
        <v>0</v>
      </c>
      <c r="L7793" s="59">
        <f t="shared" si="30"/>
        <v>0</v>
      </c>
      <c r="M7793" s="59">
        <f t="shared" si="31"/>
        <v>0</v>
      </c>
    </row>
    <row r="7794" ht="15.0" hidden="1" customHeight="1">
      <c r="A7794" s="59">
        <f t="shared" si="20"/>
        <v>127</v>
      </c>
      <c r="B7794" s="59" t="str">
        <f t="shared" si="21"/>
        <v/>
      </c>
      <c r="C7794" s="59" t="str">
        <f t="shared" si="22"/>
        <v/>
      </c>
      <c r="D7794" s="45" t="str">
        <f t="shared" si="23"/>
        <v/>
      </c>
      <c r="E7794" s="45" t="str">
        <f t="shared" si="24"/>
        <v/>
      </c>
      <c r="F7794" s="59" t="str">
        <f t="shared" si="25"/>
        <v/>
      </c>
      <c r="G7794" s="59" t="str">
        <f t="shared" si="26"/>
        <v/>
      </c>
      <c r="H7794" s="59" t="str">
        <f t="shared" si="27"/>
        <v>28A30696</v>
      </c>
      <c r="I7794" s="59" t="str">
        <f>IF(OR($A7794="",$C7794="",$D7794="",$E7794="",$H7794=""),"",SUMIFS(DATA_GOC!$H:$H,DATA_GOC!$A:$A,"BOM",DATA_GOC!$D:$D,$H7794,DATA_GOC!$E:$E,$C7794,DATA_GOC!$F:$F,"Xuất nội bộ từ téc",DATA_GOC!$B:$B,"&gt;="&amp;$D7794,DATA_GOC!$B:$B,"&lt;="&amp;$E7794))</f>
        <v/>
      </c>
      <c r="J7794" s="59">
        <f t="shared" si="28"/>
        <v>0</v>
      </c>
      <c r="K7794" s="59">
        <f t="shared" si="29"/>
        <v>0</v>
      </c>
      <c r="L7794" s="59">
        <f t="shared" si="30"/>
        <v>0</v>
      </c>
      <c r="M7794" s="59">
        <f t="shared" si="31"/>
        <v>0</v>
      </c>
    </row>
    <row r="7795" ht="15.0" hidden="1" customHeight="1">
      <c r="A7795" s="59">
        <f t="shared" si="20"/>
        <v>127</v>
      </c>
      <c r="B7795" s="59" t="str">
        <f t="shared" si="21"/>
        <v/>
      </c>
      <c r="C7795" s="59" t="str">
        <f t="shared" si="22"/>
        <v/>
      </c>
      <c r="D7795" s="45" t="str">
        <f t="shared" si="23"/>
        <v/>
      </c>
      <c r="E7795" s="45" t="str">
        <f t="shared" si="24"/>
        <v/>
      </c>
      <c r="F7795" s="59" t="str">
        <f t="shared" si="25"/>
        <v/>
      </c>
      <c r="G7795" s="59" t="str">
        <f t="shared" si="26"/>
        <v/>
      </c>
      <c r="H7795" s="59" t="str">
        <f t="shared" si="27"/>
        <v>28C00462</v>
      </c>
      <c r="I7795" s="59" t="str">
        <f>IF(OR($A7795="",$C7795="",$D7795="",$E7795="",$H7795=""),"",SUMIFS(DATA_GOC!$H:$H,DATA_GOC!$A:$A,"BOM",DATA_GOC!$D:$D,$H7795,DATA_GOC!$E:$E,$C7795,DATA_GOC!$F:$F,"Xuất nội bộ từ téc",DATA_GOC!$B:$B,"&gt;="&amp;$D7795,DATA_GOC!$B:$B,"&lt;="&amp;$E7795))</f>
        <v/>
      </c>
      <c r="J7795" s="59">
        <f t="shared" si="28"/>
        <v>0</v>
      </c>
      <c r="K7795" s="59">
        <f t="shared" si="29"/>
        <v>0</v>
      </c>
      <c r="L7795" s="59">
        <f t="shared" si="30"/>
        <v>0</v>
      </c>
      <c r="M7795" s="59">
        <f t="shared" si="31"/>
        <v>0</v>
      </c>
    </row>
    <row r="7796" ht="15.0" hidden="1" customHeight="1">
      <c r="A7796" s="59">
        <f t="shared" si="20"/>
        <v>127</v>
      </c>
      <c r="B7796" s="59" t="str">
        <f t="shared" si="21"/>
        <v/>
      </c>
      <c r="C7796" s="59" t="str">
        <f t="shared" si="22"/>
        <v/>
      </c>
      <c r="D7796" s="45" t="str">
        <f t="shared" si="23"/>
        <v/>
      </c>
      <c r="E7796" s="45" t="str">
        <f t="shared" si="24"/>
        <v/>
      </c>
      <c r="F7796" s="59" t="str">
        <f t="shared" si="25"/>
        <v/>
      </c>
      <c r="G7796" s="59" t="str">
        <f t="shared" si="26"/>
        <v/>
      </c>
      <c r="H7796" s="59" t="str">
        <f t="shared" si="27"/>
        <v>28C01165</v>
      </c>
      <c r="I7796" s="59" t="str">
        <f>IF(OR($A7796="",$C7796="",$D7796="",$E7796="",$H7796=""),"",SUMIFS(DATA_GOC!$H:$H,DATA_GOC!$A:$A,"BOM",DATA_GOC!$D:$D,$H7796,DATA_GOC!$E:$E,$C7796,DATA_GOC!$F:$F,"Xuất nội bộ từ téc",DATA_GOC!$B:$B,"&gt;="&amp;$D7796,DATA_GOC!$B:$B,"&lt;="&amp;$E7796))</f>
        <v/>
      </c>
      <c r="J7796" s="59">
        <f t="shared" si="28"/>
        <v>0</v>
      </c>
      <c r="K7796" s="59">
        <f t="shared" si="29"/>
        <v>0</v>
      </c>
      <c r="L7796" s="59">
        <f t="shared" si="30"/>
        <v>0</v>
      </c>
      <c r="M7796" s="59">
        <f t="shared" si="31"/>
        <v>0</v>
      </c>
    </row>
    <row r="7797" ht="15.0" hidden="1" customHeight="1">
      <c r="A7797" s="59">
        <f t="shared" si="20"/>
        <v>127</v>
      </c>
      <c r="B7797" s="59" t="str">
        <f t="shared" si="21"/>
        <v/>
      </c>
      <c r="C7797" s="59" t="str">
        <f t="shared" si="22"/>
        <v/>
      </c>
      <c r="D7797" s="45" t="str">
        <f t="shared" si="23"/>
        <v/>
      </c>
      <c r="E7797" s="45" t="str">
        <f t="shared" si="24"/>
        <v/>
      </c>
      <c r="F7797" s="59" t="str">
        <f t="shared" si="25"/>
        <v/>
      </c>
      <c r="G7797" s="59" t="str">
        <f t="shared" si="26"/>
        <v/>
      </c>
      <c r="H7797" s="59" t="str">
        <f t="shared" si="27"/>
        <v>28C01406</v>
      </c>
      <c r="I7797" s="59" t="str">
        <f>IF(OR($A7797="",$C7797="",$D7797="",$E7797="",$H7797=""),"",SUMIFS(DATA_GOC!$H:$H,DATA_GOC!$A:$A,"BOM",DATA_GOC!$D:$D,$H7797,DATA_GOC!$E:$E,$C7797,DATA_GOC!$F:$F,"Xuất nội bộ từ téc",DATA_GOC!$B:$B,"&gt;="&amp;$D7797,DATA_GOC!$B:$B,"&lt;="&amp;$E7797))</f>
        <v/>
      </c>
      <c r="J7797" s="59">
        <f t="shared" si="28"/>
        <v>0</v>
      </c>
      <c r="K7797" s="59">
        <f t="shared" si="29"/>
        <v>0</v>
      </c>
      <c r="L7797" s="59">
        <f t="shared" si="30"/>
        <v>0</v>
      </c>
      <c r="M7797" s="59">
        <f t="shared" si="31"/>
        <v>0</v>
      </c>
    </row>
    <row r="7798" ht="15.0" hidden="1" customHeight="1">
      <c r="A7798" s="59">
        <f t="shared" si="20"/>
        <v>127</v>
      </c>
      <c r="B7798" s="59" t="str">
        <f t="shared" si="21"/>
        <v/>
      </c>
      <c r="C7798" s="59" t="str">
        <f t="shared" si="22"/>
        <v/>
      </c>
      <c r="D7798" s="45" t="str">
        <f t="shared" si="23"/>
        <v/>
      </c>
      <c r="E7798" s="45" t="str">
        <f t="shared" si="24"/>
        <v/>
      </c>
      <c r="F7798" s="59" t="str">
        <f t="shared" si="25"/>
        <v/>
      </c>
      <c r="G7798" s="59" t="str">
        <f t="shared" si="26"/>
        <v/>
      </c>
      <c r="H7798" s="59" t="str">
        <f t="shared" si="27"/>
        <v>28C01544</v>
      </c>
      <c r="I7798" s="59" t="str">
        <f>IF(OR($A7798="",$C7798="",$D7798="",$E7798="",$H7798=""),"",SUMIFS(DATA_GOC!$H:$H,DATA_GOC!$A:$A,"BOM",DATA_GOC!$D:$D,$H7798,DATA_GOC!$E:$E,$C7798,DATA_GOC!$F:$F,"Xuất nội bộ từ téc",DATA_GOC!$B:$B,"&gt;="&amp;$D7798,DATA_GOC!$B:$B,"&lt;="&amp;$E7798))</f>
        <v/>
      </c>
      <c r="J7798" s="59">
        <f t="shared" si="28"/>
        <v>0</v>
      </c>
      <c r="K7798" s="59">
        <f t="shared" si="29"/>
        <v>0</v>
      </c>
      <c r="L7798" s="59">
        <f t="shared" si="30"/>
        <v>0</v>
      </c>
      <c r="M7798" s="59">
        <f t="shared" si="31"/>
        <v>0</v>
      </c>
    </row>
    <row r="7799" ht="15.0" hidden="1" customHeight="1">
      <c r="A7799" s="59">
        <f t="shared" si="20"/>
        <v>127</v>
      </c>
      <c r="B7799" s="59" t="str">
        <f t="shared" si="21"/>
        <v/>
      </c>
      <c r="C7799" s="59" t="str">
        <f t="shared" si="22"/>
        <v/>
      </c>
      <c r="D7799" s="45" t="str">
        <f t="shared" si="23"/>
        <v/>
      </c>
      <c r="E7799" s="45" t="str">
        <f t="shared" si="24"/>
        <v/>
      </c>
      <c r="F7799" s="59" t="str">
        <f t="shared" si="25"/>
        <v/>
      </c>
      <c r="G7799" s="59" t="str">
        <f t="shared" si="26"/>
        <v/>
      </c>
      <c r="H7799" s="59" t="str">
        <f t="shared" si="27"/>
        <v>28C01622</v>
      </c>
      <c r="I7799" s="59" t="str">
        <f>IF(OR($A7799="",$C7799="",$D7799="",$E7799="",$H7799=""),"",SUMIFS(DATA_GOC!$H:$H,DATA_GOC!$A:$A,"BOM",DATA_GOC!$D:$D,$H7799,DATA_GOC!$E:$E,$C7799,DATA_GOC!$F:$F,"Xuất nội bộ từ téc",DATA_GOC!$B:$B,"&gt;="&amp;$D7799,DATA_GOC!$B:$B,"&lt;="&amp;$E7799))</f>
        <v/>
      </c>
      <c r="J7799" s="59">
        <f t="shared" si="28"/>
        <v>0</v>
      </c>
      <c r="K7799" s="59">
        <f t="shared" si="29"/>
        <v>0</v>
      </c>
      <c r="L7799" s="59">
        <f t="shared" si="30"/>
        <v>0</v>
      </c>
      <c r="M7799" s="59">
        <f t="shared" si="31"/>
        <v>0</v>
      </c>
    </row>
    <row r="7800" ht="15.0" hidden="1" customHeight="1">
      <c r="A7800" s="59">
        <f t="shared" si="20"/>
        <v>127</v>
      </c>
      <c r="B7800" s="59" t="str">
        <f t="shared" si="21"/>
        <v/>
      </c>
      <c r="C7800" s="59" t="str">
        <f t="shared" si="22"/>
        <v/>
      </c>
      <c r="D7800" s="45" t="str">
        <f t="shared" si="23"/>
        <v/>
      </c>
      <c r="E7800" s="45" t="str">
        <f t="shared" si="24"/>
        <v/>
      </c>
      <c r="F7800" s="59" t="str">
        <f t="shared" si="25"/>
        <v/>
      </c>
      <c r="G7800" s="59" t="str">
        <f t="shared" si="26"/>
        <v/>
      </c>
      <c r="H7800" s="59" t="str">
        <f t="shared" si="27"/>
        <v>28C01647</v>
      </c>
      <c r="I7800" s="59" t="str">
        <f>IF(OR($A7800="",$C7800="",$D7800="",$E7800="",$H7800=""),"",SUMIFS(DATA_GOC!$H:$H,DATA_GOC!$A:$A,"BOM",DATA_GOC!$D:$D,$H7800,DATA_GOC!$E:$E,$C7800,DATA_GOC!$F:$F,"Xuất nội bộ từ téc",DATA_GOC!$B:$B,"&gt;="&amp;$D7800,DATA_GOC!$B:$B,"&lt;="&amp;$E7800))</f>
        <v/>
      </c>
      <c r="J7800" s="59">
        <f t="shared" si="28"/>
        <v>0</v>
      </c>
      <c r="K7800" s="59">
        <f t="shared" si="29"/>
        <v>0</v>
      </c>
      <c r="L7800" s="59">
        <f t="shared" si="30"/>
        <v>0</v>
      </c>
      <c r="M7800" s="59">
        <f t="shared" si="31"/>
        <v>0</v>
      </c>
    </row>
    <row r="7801" ht="15.0" hidden="1" customHeight="1">
      <c r="A7801" s="59">
        <f t="shared" si="20"/>
        <v>127</v>
      </c>
      <c r="B7801" s="59" t="str">
        <f t="shared" si="21"/>
        <v/>
      </c>
      <c r="C7801" s="59" t="str">
        <f t="shared" si="22"/>
        <v/>
      </c>
      <c r="D7801" s="45" t="str">
        <f t="shared" si="23"/>
        <v/>
      </c>
      <c r="E7801" s="45" t="str">
        <f t="shared" si="24"/>
        <v/>
      </c>
      <c r="F7801" s="59" t="str">
        <f t="shared" si="25"/>
        <v/>
      </c>
      <c r="G7801" s="59" t="str">
        <f t="shared" si="26"/>
        <v/>
      </c>
      <c r="H7801" s="59" t="str">
        <f t="shared" si="27"/>
        <v>28C01731</v>
      </c>
      <c r="I7801" s="59" t="str">
        <f>IF(OR($A7801="",$C7801="",$D7801="",$E7801="",$H7801=""),"",SUMIFS(DATA_GOC!$H:$H,DATA_GOC!$A:$A,"BOM",DATA_GOC!$D:$D,$H7801,DATA_GOC!$E:$E,$C7801,DATA_GOC!$F:$F,"Xuất nội bộ từ téc",DATA_GOC!$B:$B,"&gt;="&amp;$D7801,DATA_GOC!$B:$B,"&lt;="&amp;$E7801))</f>
        <v/>
      </c>
      <c r="J7801" s="59">
        <f t="shared" si="28"/>
        <v>0</v>
      </c>
      <c r="K7801" s="59">
        <f t="shared" si="29"/>
        <v>0</v>
      </c>
      <c r="L7801" s="59">
        <f t="shared" si="30"/>
        <v>0</v>
      </c>
      <c r="M7801" s="59">
        <f t="shared" si="31"/>
        <v>0</v>
      </c>
    </row>
    <row r="7802" ht="15.0" hidden="1" customHeight="1">
      <c r="A7802" s="59">
        <f t="shared" si="20"/>
        <v>127</v>
      </c>
      <c r="B7802" s="59" t="str">
        <f t="shared" si="21"/>
        <v/>
      </c>
      <c r="C7802" s="59" t="str">
        <f t="shared" si="22"/>
        <v/>
      </c>
      <c r="D7802" s="45" t="str">
        <f t="shared" si="23"/>
        <v/>
      </c>
      <c r="E7802" s="45" t="str">
        <f t="shared" si="24"/>
        <v/>
      </c>
      <c r="F7802" s="59" t="str">
        <f t="shared" si="25"/>
        <v/>
      </c>
      <c r="G7802" s="59" t="str">
        <f t="shared" si="26"/>
        <v/>
      </c>
      <c r="H7802" s="59" t="str">
        <f t="shared" si="27"/>
        <v>28C01743</v>
      </c>
      <c r="I7802" s="59" t="str">
        <f>IF(OR($A7802="",$C7802="",$D7802="",$E7802="",$H7802=""),"",SUMIFS(DATA_GOC!$H:$H,DATA_GOC!$A:$A,"BOM",DATA_GOC!$D:$D,$H7802,DATA_GOC!$E:$E,$C7802,DATA_GOC!$F:$F,"Xuất nội bộ từ téc",DATA_GOC!$B:$B,"&gt;="&amp;$D7802,DATA_GOC!$B:$B,"&lt;="&amp;$E7802))</f>
        <v/>
      </c>
      <c r="J7802" s="59">
        <f t="shared" si="28"/>
        <v>0</v>
      </c>
      <c r="K7802" s="59">
        <f t="shared" si="29"/>
        <v>0</v>
      </c>
      <c r="L7802" s="59">
        <f t="shared" si="30"/>
        <v>0</v>
      </c>
      <c r="M7802" s="59">
        <f t="shared" si="31"/>
        <v>0</v>
      </c>
    </row>
    <row r="7803" ht="15.0" hidden="1" customHeight="1">
      <c r="A7803" s="59">
        <f t="shared" si="20"/>
        <v>127</v>
      </c>
      <c r="B7803" s="59" t="str">
        <f t="shared" si="21"/>
        <v/>
      </c>
      <c r="C7803" s="59" t="str">
        <f t="shared" si="22"/>
        <v/>
      </c>
      <c r="D7803" s="45" t="str">
        <f t="shared" si="23"/>
        <v/>
      </c>
      <c r="E7803" s="45" t="str">
        <f t="shared" si="24"/>
        <v/>
      </c>
      <c r="F7803" s="59" t="str">
        <f t="shared" si="25"/>
        <v/>
      </c>
      <c r="G7803" s="59" t="str">
        <f t="shared" si="26"/>
        <v/>
      </c>
      <c r="H7803" s="59" t="str">
        <f t="shared" si="27"/>
        <v>28C02106</v>
      </c>
      <c r="I7803" s="59" t="str">
        <f>IF(OR($A7803="",$C7803="",$D7803="",$E7803="",$H7803=""),"",SUMIFS(DATA_GOC!$H:$H,DATA_GOC!$A:$A,"BOM",DATA_GOC!$D:$D,$H7803,DATA_GOC!$E:$E,$C7803,DATA_GOC!$F:$F,"Xuất nội bộ từ téc",DATA_GOC!$B:$B,"&gt;="&amp;$D7803,DATA_GOC!$B:$B,"&lt;="&amp;$E7803))</f>
        <v/>
      </c>
      <c r="J7803" s="59">
        <f t="shared" si="28"/>
        <v>0</v>
      </c>
      <c r="K7803" s="59">
        <f t="shared" si="29"/>
        <v>0</v>
      </c>
      <c r="L7803" s="59">
        <f t="shared" si="30"/>
        <v>0</v>
      </c>
      <c r="M7803" s="59">
        <f t="shared" si="31"/>
        <v>0</v>
      </c>
    </row>
    <row r="7804" ht="15.0" hidden="1" customHeight="1">
      <c r="A7804" s="59">
        <f t="shared" si="20"/>
        <v>127</v>
      </c>
      <c r="B7804" s="59" t="str">
        <f t="shared" si="21"/>
        <v/>
      </c>
      <c r="C7804" s="59" t="str">
        <f t="shared" si="22"/>
        <v/>
      </c>
      <c r="D7804" s="45" t="str">
        <f t="shared" si="23"/>
        <v/>
      </c>
      <c r="E7804" s="45" t="str">
        <f t="shared" si="24"/>
        <v/>
      </c>
      <c r="F7804" s="59" t="str">
        <f t="shared" si="25"/>
        <v/>
      </c>
      <c r="G7804" s="59" t="str">
        <f t="shared" si="26"/>
        <v/>
      </c>
      <c r="H7804" s="59" t="str">
        <f t="shared" si="27"/>
        <v>28C02410</v>
      </c>
      <c r="I7804" s="59" t="str">
        <f>IF(OR($A7804="",$C7804="",$D7804="",$E7804="",$H7804=""),"",SUMIFS(DATA_GOC!$H:$H,DATA_GOC!$A:$A,"BOM",DATA_GOC!$D:$D,$H7804,DATA_GOC!$E:$E,$C7804,DATA_GOC!$F:$F,"Xuất nội bộ từ téc",DATA_GOC!$B:$B,"&gt;="&amp;$D7804,DATA_GOC!$B:$B,"&lt;="&amp;$E7804))</f>
        <v/>
      </c>
      <c r="J7804" s="59">
        <f t="shared" si="28"/>
        <v>0</v>
      </c>
      <c r="K7804" s="59">
        <f t="shared" si="29"/>
        <v>0</v>
      </c>
      <c r="L7804" s="59">
        <f t="shared" si="30"/>
        <v>0</v>
      </c>
      <c r="M7804" s="59">
        <f t="shared" si="31"/>
        <v>0</v>
      </c>
    </row>
    <row r="7805" ht="15.0" hidden="1" customHeight="1">
      <c r="A7805" s="59">
        <f t="shared" si="20"/>
        <v>127</v>
      </c>
      <c r="B7805" s="59" t="str">
        <f t="shared" si="21"/>
        <v/>
      </c>
      <c r="C7805" s="59" t="str">
        <f t="shared" si="22"/>
        <v/>
      </c>
      <c r="D7805" s="45" t="str">
        <f t="shared" si="23"/>
        <v/>
      </c>
      <c r="E7805" s="45" t="str">
        <f t="shared" si="24"/>
        <v/>
      </c>
      <c r="F7805" s="59" t="str">
        <f t="shared" si="25"/>
        <v/>
      </c>
      <c r="G7805" s="59" t="str">
        <f t="shared" si="26"/>
        <v/>
      </c>
      <c r="H7805" s="59" t="str">
        <f t="shared" si="27"/>
        <v>28C02545</v>
      </c>
      <c r="I7805" s="59" t="str">
        <f>IF(OR($A7805="",$C7805="",$D7805="",$E7805="",$H7805=""),"",SUMIFS(DATA_GOC!$H:$H,DATA_GOC!$A:$A,"BOM",DATA_GOC!$D:$D,$H7805,DATA_GOC!$E:$E,$C7805,DATA_GOC!$F:$F,"Xuất nội bộ từ téc",DATA_GOC!$B:$B,"&gt;="&amp;$D7805,DATA_GOC!$B:$B,"&lt;="&amp;$E7805))</f>
        <v/>
      </c>
      <c r="J7805" s="59">
        <f t="shared" si="28"/>
        <v>0</v>
      </c>
      <c r="K7805" s="59">
        <f t="shared" si="29"/>
        <v>0</v>
      </c>
      <c r="L7805" s="59">
        <f t="shared" si="30"/>
        <v>0</v>
      </c>
      <c r="M7805" s="59">
        <f t="shared" si="31"/>
        <v>0</v>
      </c>
    </row>
    <row r="7806" ht="15.0" hidden="1" customHeight="1">
      <c r="A7806" s="59">
        <f t="shared" si="20"/>
        <v>127</v>
      </c>
      <c r="B7806" s="59" t="str">
        <f t="shared" si="21"/>
        <v/>
      </c>
      <c r="C7806" s="59" t="str">
        <f t="shared" si="22"/>
        <v/>
      </c>
      <c r="D7806" s="45" t="str">
        <f t="shared" si="23"/>
        <v/>
      </c>
      <c r="E7806" s="45" t="str">
        <f t="shared" si="24"/>
        <v/>
      </c>
      <c r="F7806" s="59" t="str">
        <f t="shared" si="25"/>
        <v/>
      </c>
      <c r="G7806" s="59" t="str">
        <f t="shared" si="26"/>
        <v/>
      </c>
      <c r="H7806" s="59" t="str">
        <f t="shared" si="27"/>
        <v>28C02574</v>
      </c>
      <c r="I7806" s="59" t="str">
        <f>IF(OR($A7806="",$C7806="",$D7806="",$E7806="",$H7806=""),"",SUMIFS(DATA_GOC!$H:$H,DATA_GOC!$A:$A,"BOM",DATA_GOC!$D:$D,$H7806,DATA_GOC!$E:$E,$C7806,DATA_GOC!$F:$F,"Xuất nội bộ từ téc",DATA_GOC!$B:$B,"&gt;="&amp;$D7806,DATA_GOC!$B:$B,"&lt;="&amp;$E7806))</f>
        <v/>
      </c>
      <c r="J7806" s="59">
        <f t="shared" si="28"/>
        <v>0</v>
      </c>
      <c r="K7806" s="59">
        <f t="shared" si="29"/>
        <v>0</v>
      </c>
      <c r="L7806" s="59">
        <f t="shared" si="30"/>
        <v>0</v>
      </c>
      <c r="M7806" s="59">
        <f t="shared" si="31"/>
        <v>0</v>
      </c>
    </row>
    <row r="7807" ht="15.0" hidden="1" customHeight="1">
      <c r="A7807" s="59">
        <f t="shared" si="20"/>
        <v>127</v>
      </c>
      <c r="B7807" s="59" t="str">
        <f t="shared" si="21"/>
        <v/>
      </c>
      <c r="C7807" s="59" t="str">
        <f t="shared" si="22"/>
        <v/>
      </c>
      <c r="D7807" s="45" t="str">
        <f t="shared" si="23"/>
        <v/>
      </c>
      <c r="E7807" s="45" t="str">
        <f t="shared" si="24"/>
        <v/>
      </c>
      <c r="F7807" s="59" t="str">
        <f t="shared" si="25"/>
        <v/>
      </c>
      <c r="G7807" s="59" t="str">
        <f t="shared" si="26"/>
        <v/>
      </c>
      <c r="H7807" s="59" t="str">
        <f t="shared" si="27"/>
        <v>28C02770</v>
      </c>
      <c r="I7807" s="59" t="str">
        <f>IF(OR($A7807="",$C7807="",$D7807="",$E7807="",$H7807=""),"",SUMIFS(DATA_GOC!$H:$H,DATA_GOC!$A:$A,"BOM",DATA_GOC!$D:$D,$H7807,DATA_GOC!$E:$E,$C7807,DATA_GOC!$F:$F,"Xuất nội bộ từ téc",DATA_GOC!$B:$B,"&gt;="&amp;$D7807,DATA_GOC!$B:$B,"&lt;="&amp;$E7807))</f>
        <v/>
      </c>
      <c r="J7807" s="59">
        <f t="shared" si="28"/>
        <v>0</v>
      </c>
      <c r="K7807" s="59">
        <f t="shared" si="29"/>
        <v>0</v>
      </c>
      <c r="L7807" s="59">
        <f t="shared" si="30"/>
        <v>0</v>
      </c>
      <c r="M7807" s="59">
        <f t="shared" si="31"/>
        <v>0</v>
      </c>
    </row>
    <row r="7808" ht="15.0" hidden="1" customHeight="1">
      <c r="A7808" s="59">
        <f t="shared" si="20"/>
        <v>127</v>
      </c>
      <c r="B7808" s="59" t="str">
        <f t="shared" si="21"/>
        <v/>
      </c>
      <c r="C7808" s="59" t="str">
        <f t="shared" si="22"/>
        <v/>
      </c>
      <c r="D7808" s="45" t="str">
        <f t="shared" si="23"/>
        <v/>
      </c>
      <c r="E7808" s="45" t="str">
        <f t="shared" si="24"/>
        <v/>
      </c>
      <c r="F7808" s="59" t="str">
        <f t="shared" si="25"/>
        <v/>
      </c>
      <c r="G7808" s="59" t="str">
        <f t="shared" si="26"/>
        <v/>
      </c>
      <c r="H7808" s="59" t="str">
        <f t="shared" si="27"/>
        <v>28C02986</v>
      </c>
      <c r="I7808" s="59" t="str">
        <f>IF(OR($A7808="",$C7808="",$D7808="",$E7808="",$H7808=""),"",SUMIFS(DATA_GOC!$H:$H,DATA_GOC!$A:$A,"BOM",DATA_GOC!$D:$D,$H7808,DATA_GOC!$E:$E,$C7808,DATA_GOC!$F:$F,"Xuất nội bộ từ téc",DATA_GOC!$B:$B,"&gt;="&amp;$D7808,DATA_GOC!$B:$B,"&lt;="&amp;$E7808))</f>
        <v/>
      </c>
      <c r="J7808" s="59">
        <f t="shared" si="28"/>
        <v>0</v>
      </c>
      <c r="K7808" s="59">
        <f t="shared" si="29"/>
        <v>0</v>
      </c>
      <c r="L7808" s="59">
        <f t="shared" si="30"/>
        <v>0</v>
      </c>
      <c r="M7808" s="59">
        <f t="shared" si="31"/>
        <v>0</v>
      </c>
    </row>
    <row r="7809" ht="15.0" hidden="1" customHeight="1">
      <c r="A7809" s="59">
        <f t="shared" si="20"/>
        <v>127</v>
      </c>
      <c r="B7809" s="59" t="str">
        <f t="shared" si="21"/>
        <v/>
      </c>
      <c r="C7809" s="59" t="str">
        <f t="shared" si="22"/>
        <v/>
      </c>
      <c r="D7809" s="45" t="str">
        <f t="shared" si="23"/>
        <v/>
      </c>
      <c r="E7809" s="45" t="str">
        <f t="shared" si="24"/>
        <v/>
      </c>
      <c r="F7809" s="59" t="str">
        <f t="shared" si="25"/>
        <v/>
      </c>
      <c r="G7809" s="59" t="str">
        <f t="shared" si="26"/>
        <v/>
      </c>
      <c r="H7809" s="59" t="str">
        <f t="shared" si="27"/>
        <v>28C03261</v>
      </c>
      <c r="I7809" s="59" t="str">
        <f>IF(OR($A7809="",$C7809="",$D7809="",$E7809="",$H7809=""),"",SUMIFS(DATA_GOC!$H:$H,DATA_GOC!$A:$A,"BOM",DATA_GOC!$D:$D,$H7809,DATA_GOC!$E:$E,$C7809,DATA_GOC!$F:$F,"Xuất nội bộ từ téc",DATA_GOC!$B:$B,"&gt;="&amp;$D7809,DATA_GOC!$B:$B,"&lt;="&amp;$E7809))</f>
        <v/>
      </c>
      <c r="J7809" s="59">
        <f t="shared" si="28"/>
        <v>0</v>
      </c>
      <c r="K7809" s="59">
        <f t="shared" si="29"/>
        <v>0</v>
      </c>
      <c r="L7809" s="59">
        <f t="shared" si="30"/>
        <v>0</v>
      </c>
      <c r="M7809" s="59">
        <f t="shared" si="31"/>
        <v>0</v>
      </c>
    </row>
    <row r="7810" ht="15.0" hidden="1" customHeight="1">
      <c r="A7810" s="59">
        <f t="shared" si="20"/>
        <v>127</v>
      </c>
      <c r="B7810" s="59" t="str">
        <f t="shared" si="21"/>
        <v/>
      </c>
      <c r="C7810" s="59" t="str">
        <f t="shared" si="22"/>
        <v/>
      </c>
      <c r="D7810" s="45" t="str">
        <f t="shared" si="23"/>
        <v/>
      </c>
      <c r="E7810" s="45" t="str">
        <f t="shared" si="24"/>
        <v/>
      </c>
      <c r="F7810" s="59" t="str">
        <f t="shared" si="25"/>
        <v/>
      </c>
      <c r="G7810" s="59" t="str">
        <f t="shared" si="26"/>
        <v/>
      </c>
      <c r="H7810" s="59" t="str">
        <f t="shared" si="27"/>
        <v>28C03323</v>
      </c>
      <c r="I7810" s="59" t="str">
        <f>IF(OR($A7810="",$C7810="",$D7810="",$E7810="",$H7810=""),"",SUMIFS(DATA_GOC!$H:$H,DATA_GOC!$A:$A,"BOM",DATA_GOC!$D:$D,$H7810,DATA_GOC!$E:$E,$C7810,DATA_GOC!$F:$F,"Xuất nội bộ từ téc",DATA_GOC!$B:$B,"&gt;="&amp;$D7810,DATA_GOC!$B:$B,"&lt;="&amp;$E7810))</f>
        <v/>
      </c>
      <c r="J7810" s="59">
        <f t="shared" si="28"/>
        <v>0</v>
      </c>
      <c r="K7810" s="59">
        <f t="shared" si="29"/>
        <v>0</v>
      </c>
      <c r="L7810" s="59">
        <f t="shared" si="30"/>
        <v>0</v>
      </c>
      <c r="M7810" s="59">
        <f t="shared" si="31"/>
        <v>0</v>
      </c>
    </row>
    <row r="7811" ht="15.0" hidden="1" customHeight="1">
      <c r="A7811" s="59">
        <f t="shared" si="20"/>
        <v>127</v>
      </c>
      <c r="B7811" s="59" t="str">
        <f t="shared" si="21"/>
        <v/>
      </c>
      <c r="C7811" s="59" t="str">
        <f t="shared" si="22"/>
        <v/>
      </c>
      <c r="D7811" s="45" t="str">
        <f t="shared" si="23"/>
        <v/>
      </c>
      <c r="E7811" s="45" t="str">
        <f t="shared" si="24"/>
        <v/>
      </c>
      <c r="F7811" s="59" t="str">
        <f t="shared" si="25"/>
        <v/>
      </c>
      <c r="G7811" s="59" t="str">
        <f t="shared" si="26"/>
        <v/>
      </c>
      <c r="H7811" s="59" t="str">
        <f t="shared" si="27"/>
        <v>28C03385</v>
      </c>
      <c r="I7811" s="59" t="str">
        <f>IF(OR($A7811="",$C7811="",$D7811="",$E7811="",$H7811=""),"",SUMIFS(DATA_GOC!$H:$H,DATA_GOC!$A:$A,"BOM",DATA_GOC!$D:$D,$H7811,DATA_GOC!$E:$E,$C7811,DATA_GOC!$F:$F,"Xuất nội bộ từ téc",DATA_GOC!$B:$B,"&gt;="&amp;$D7811,DATA_GOC!$B:$B,"&lt;="&amp;$E7811))</f>
        <v/>
      </c>
      <c r="J7811" s="59">
        <f t="shared" si="28"/>
        <v>0</v>
      </c>
      <c r="K7811" s="59">
        <f t="shared" si="29"/>
        <v>0</v>
      </c>
      <c r="L7811" s="59">
        <f t="shared" si="30"/>
        <v>0</v>
      </c>
      <c r="M7811" s="59">
        <f t="shared" si="31"/>
        <v>0</v>
      </c>
    </row>
    <row r="7812" ht="15.0" hidden="1" customHeight="1">
      <c r="A7812" s="59">
        <f t="shared" si="20"/>
        <v>127</v>
      </c>
      <c r="B7812" s="59" t="str">
        <f t="shared" si="21"/>
        <v/>
      </c>
      <c r="C7812" s="59" t="str">
        <f t="shared" si="22"/>
        <v/>
      </c>
      <c r="D7812" s="45" t="str">
        <f t="shared" si="23"/>
        <v/>
      </c>
      <c r="E7812" s="45" t="str">
        <f t="shared" si="24"/>
        <v/>
      </c>
      <c r="F7812" s="59" t="str">
        <f t="shared" si="25"/>
        <v/>
      </c>
      <c r="G7812" s="59" t="str">
        <f t="shared" si="26"/>
        <v/>
      </c>
      <c r="H7812" s="59" t="str">
        <f t="shared" si="27"/>
        <v>28C03652</v>
      </c>
      <c r="I7812" s="59" t="str">
        <f>IF(OR($A7812="",$C7812="",$D7812="",$E7812="",$H7812=""),"",SUMIFS(DATA_GOC!$H:$H,DATA_GOC!$A:$A,"BOM",DATA_GOC!$D:$D,$H7812,DATA_GOC!$E:$E,$C7812,DATA_GOC!$F:$F,"Xuất nội bộ từ téc",DATA_GOC!$B:$B,"&gt;="&amp;$D7812,DATA_GOC!$B:$B,"&lt;="&amp;$E7812))</f>
        <v/>
      </c>
      <c r="J7812" s="59">
        <f t="shared" si="28"/>
        <v>0</v>
      </c>
      <c r="K7812" s="59">
        <f t="shared" si="29"/>
        <v>0</v>
      </c>
      <c r="L7812" s="59">
        <f t="shared" si="30"/>
        <v>0</v>
      </c>
      <c r="M7812" s="59">
        <f t="shared" si="31"/>
        <v>0</v>
      </c>
    </row>
    <row r="7813" ht="15.0" hidden="1" customHeight="1">
      <c r="A7813" s="59">
        <f t="shared" si="20"/>
        <v>127</v>
      </c>
      <c r="B7813" s="59" t="str">
        <f t="shared" si="21"/>
        <v/>
      </c>
      <c r="C7813" s="59" t="str">
        <f t="shared" si="22"/>
        <v/>
      </c>
      <c r="D7813" s="45" t="str">
        <f t="shared" si="23"/>
        <v/>
      </c>
      <c r="E7813" s="45" t="str">
        <f t="shared" si="24"/>
        <v/>
      </c>
      <c r="F7813" s="59" t="str">
        <f t="shared" si="25"/>
        <v/>
      </c>
      <c r="G7813" s="59" t="str">
        <f t="shared" si="26"/>
        <v/>
      </c>
      <c r="H7813" s="59" t="str">
        <f t="shared" si="27"/>
        <v>28C03695</v>
      </c>
      <c r="I7813" s="59" t="str">
        <f>IF(OR($A7813="",$C7813="",$D7813="",$E7813="",$H7813=""),"",SUMIFS(DATA_GOC!$H:$H,DATA_GOC!$A:$A,"BOM",DATA_GOC!$D:$D,$H7813,DATA_GOC!$E:$E,$C7813,DATA_GOC!$F:$F,"Xuất nội bộ từ téc",DATA_GOC!$B:$B,"&gt;="&amp;$D7813,DATA_GOC!$B:$B,"&lt;="&amp;$E7813))</f>
        <v/>
      </c>
      <c r="J7813" s="59">
        <f t="shared" si="28"/>
        <v>0</v>
      </c>
      <c r="K7813" s="59">
        <f t="shared" si="29"/>
        <v>0</v>
      </c>
      <c r="L7813" s="59">
        <f t="shared" si="30"/>
        <v>0</v>
      </c>
      <c r="M7813" s="59">
        <f t="shared" si="31"/>
        <v>0</v>
      </c>
    </row>
    <row r="7814" ht="15.0" hidden="1" customHeight="1">
      <c r="A7814" s="59">
        <f t="shared" si="20"/>
        <v>127</v>
      </c>
      <c r="B7814" s="59" t="str">
        <f t="shared" si="21"/>
        <v/>
      </c>
      <c r="C7814" s="59" t="str">
        <f t="shared" si="22"/>
        <v/>
      </c>
      <c r="D7814" s="45" t="str">
        <f t="shared" si="23"/>
        <v/>
      </c>
      <c r="E7814" s="45" t="str">
        <f t="shared" si="24"/>
        <v/>
      </c>
      <c r="F7814" s="59" t="str">
        <f t="shared" si="25"/>
        <v/>
      </c>
      <c r="G7814" s="59" t="str">
        <f t="shared" si="26"/>
        <v/>
      </c>
      <c r="H7814" s="59" t="str">
        <f t="shared" si="27"/>
        <v>28C03927</v>
      </c>
      <c r="I7814" s="59" t="str">
        <f>IF(OR($A7814="",$C7814="",$D7814="",$E7814="",$H7814=""),"",SUMIFS(DATA_GOC!$H:$H,DATA_GOC!$A:$A,"BOM",DATA_GOC!$D:$D,$H7814,DATA_GOC!$E:$E,$C7814,DATA_GOC!$F:$F,"Xuất nội bộ từ téc",DATA_GOC!$B:$B,"&gt;="&amp;$D7814,DATA_GOC!$B:$B,"&lt;="&amp;$E7814))</f>
        <v/>
      </c>
      <c r="J7814" s="59">
        <f t="shared" si="28"/>
        <v>0</v>
      </c>
      <c r="K7814" s="59">
        <f t="shared" si="29"/>
        <v>0</v>
      </c>
      <c r="L7814" s="59">
        <f t="shared" si="30"/>
        <v>0</v>
      </c>
      <c r="M7814" s="59">
        <f t="shared" si="31"/>
        <v>0</v>
      </c>
    </row>
    <row r="7815" ht="15.0" hidden="1" customHeight="1">
      <c r="A7815" s="59">
        <f t="shared" si="20"/>
        <v>127</v>
      </c>
      <c r="B7815" s="59" t="str">
        <f t="shared" si="21"/>
        <v/>
      </c>
      <c r="C7815" s="59" t="str">
        <f t="shared" si="22"/>
        <v/>
      </c>
      <c r="D7815" s="45" t="str">
        <f t="shared" si="23"/>
        <v/>
      </c>
      <c r="E7815" s="45" t="str">
        <f t="shared" si="24"/>
        <v/>
      </c>
      <c r="F7815" s="59" t="str">
        <f t="shared" si="25"/>
        <v/>
      </c>
      <c r="G7815" s="59" t="str">
        <f t="shared" si="26"/>
        <v/>
      </c>
      <c r="H7815" s="59" t="str">
        <f t="shared" si="27"/>
        <v>28C04509</v>
      </c>
      <c r="I7815" s="59" t="str">
        <f>IF(OR($A7815="",$C7815="",$D7815="",$E7815="",$H7815=""),"",SUMIFS(DATA_GOC!$H:$H,DATA_GOC!$A:$A,"BOM",DATA_GOC!$D:$D,$H7815,DATA_GOC!$E:$E,$C7815,DATA_GOC!$F:$F,"Xuất nội bộ từ téc",DATA_GOC!$B:$B,"&gt;="&amp;$D7815,DATA_GOC!$B:$B,"&lt;="&amp;$E7815))</f>
        <v/>
      </c>
      <c r="J7815" s="59">
        <f t="shared" si="28"/>
        <v>0</v>
      </c>
      <c r="K7815" s="59">
        <f t="shared" si="29"/>
        <v>0</v>
      </c>
      <c r="L7815" s="59">
        <f t="shared" si="30"/>
        <v>0</v>
      </c>
      <c r="M7815" s="59">
        <f t="shared" si="31"/>
        <v>0</v>
      </c>
    </row>
    <row r="7816" ht="15.0" hidden="1" customHeight="1">
      <c r="A7816" s="59">
        <f t="shared" si="20"/>
        <v>127</v>
      </c>
      <c r="B7816" s="59" t="str">
        <f t="shared" si="21"/>
        <v/>
      </c>
      <c r="C7816" s="59" t="str">
        <f t="shared" si="22"/>
        <v/>
      </c>
      <c r="D7816" s="45" t="str">
        <f t="shared" si="23"/>
        <v/>
      </c>
      <c r="E7816" s="45" t="str">
        <f t="shared" si="24"/>
        <v/>
      </c>
      <c r="F7816" s="59" t="str">
        <f t="shared" si="25"/>
        <v/>
      </c>
      <c r="G7816" s="59" t="str">
        <f t="shared" si="26"/>
        <v/>
      </c>
      <c r="H7816" s="59" t="str">
        <f t="shared" si="27"/>
        <v>28C04536</v>
      </c>
      <c r="I7816" s="59" t="str">
        <f>IF(OR($A7816="",$C7816="",$D7816="",$E7816="",$H7816=""),"",SUMIFS(DATA_GOC!$H:$H,DATA_GOC!$A:$A,"BOM",DATA_GOC!$D:$D,$H7816,DATA_GOC!$E:$E,$C7816,DATA_GOC!$F:$F,"Xuất nội bộ từ téc",DATA_GOC!$B:$B,"&gt;="&amp;$D7816,DATA_GOC!$B:$B,"&lt;="&amp;$E7816))</f>
        <v/>
      </c>
      <c r="J7816" s="59">
        <f t="shared" si="28"/>
        <v>0</v>
      </c>
      <c r="K7816" s="59">
        <f t="shared" si="29"/>
        <v>0</v>
      </c>
      <c r="L7816" s="59">
        <f t="shared" si="30"/>
        <v>0</v>
      </c>
      <c r="M7816" s="59">
        <f t="shared" si="31"/>
        <v>0</v>
      </c>
    </row>
    <row r="7817" ht="15.0" hidden="1" customHeight="1">
      <c r="A7817" s="59">
        <f t="shared" si="20"/>
        <v>127</v>
      </c>
      <c r="B7817" s="59" t="str">
        <f t="shared" si="21"/>
        <v/>
      </c>
      <c r="C7817" s="59" t="str">
        <f t="shared" si="22"/>
        <v/>
      </c>
      <c r="D7817" s="45" t="str">
        <f t="shared" si="23"/>
        <v/>
      </c>
      <c r="E7817" s="45" t="str">
        <f t="shared" si="24"/>
        <v/>
      </c>
      <c r="F7817" s="59" t="str">
        <f t="shared" si="25"/>
        <v/>
      </c>
      <c r="G7817" s="59" t="str">
        <f t="shared" si="26"/>
        <v/>
      </c>
      <c r="H7817" s="59" t="str">
        <f t="shared" si="27"/>
        <v>28C04576</v>
      </c>
      <c r="I7817" s="59" t="str">
        <f>IF(OR($A7817="",$C7817="",$D7817="",$E7817="",$H7817=""),"",SUMIFS(DATA_GOC!$H:$H,DATA_GOC!$A:$A,"BOM",DATA_GOC!$D:$D,$H7817,DATA_GOC!$E:$E,$C7817,DATA_GOC!$F:$F,"Xuất nội bộ từ téc",DATA_GOC!$B:$B,"&gt;="&amp;$D7817,DATA_GOC!$B:$B,"&lt;="&amp;$E7817))</f>
        <v/>
      </c>
      <c r="J7817" s="59">
        <f t="shared" si="28"/>
        <v>0</v>
      </c>
      <c r="K7817" s="59">
        <f t="shared" si="29"/>
        <v>0</v>
      </c>
      <c r="L7817" s="59">
        <f t="shared" si="30"/>
        <v>0</v>
      </c>
      <c r="M7817" s="59">
        <f t="shared" si="31"/>
        <v>0</v>
      </c>
    </row>
    <row r="7818" ht="15.0" hidden="1" customHeight="1">
      <c r="A7818" s="59">
        <f t="shared" si="20"/>
        <v>127</v>
      </c>
      <c r="B7818" s="59" t="str">
        <f t="shared" si="21"/>
        <v/>
      </c>
      <c r="C7818" s="59" t="str">
        <f t="shared" si="22"/>
        <v/>
      </c>
      <c r="D7818" s="45" t="str">
        <f t="shared" si="23"/>
        <v/>
      </c>
      <c r="E7818" s="45" t="str">
        <f t="shared" si="24"/>
        <v/>
      </c>
      <c r="F7818" s="59" t="str">
        <f t="shared" si="25"/>
        <v/>
      </c>
      <c r="G7818" s="59" t="str">
        <f t="shared" si="26"/>
        <v/>
      </c>
      <c r="H7818" s="59" t="str">
        <f t="shared" si="27"/>
        <v>28C05090</v>
      </c>
      <c r="I7818" s="59" t="str">
        <f>IF(OR($A7818="",$C7818="",$D7818="",$E7818="",$H7818=""),"",SUMIFS(DATA_GOC!$H:$H,DATA_GOC!$A:$A,"BOM",DATA_GOC!$D:$D,$H7818,DATA_GOC!$E:$E,$C7818,DATA_GOC!$F:$F,"Xuất nội bộ từ téc",DATA_GOC!$B:$B,"&gt;="&amp;$D7818,DATA_GOC!$B:$B,"&lt;="&amp;$E7818))</f>
        <v/>
      </c>
      <c r="J7818" s="59">
        <f t="shared" si="28"/>
        <v>0</v>
      </c>
      <c r="K7818" s="59">
        <f t="shared" si="29"/>
        <v>0</v>
      </c>
      <c r="L7818" s="59">
        <f t="shared" si="30"/>
        <v>0</v>
      </c>
      <c r="M7818" s="59">
        <f t="shared" si="31"/>
        <v>0</v>
      </c>
    </row>
    <row r="7819" ht="15.0" hidden="1" customHeight="1">
      <c r="A7819" s="59">
        <f t="shared" si="20"/>
        <v>127</v>
      </c>
      <c r="B7819" s="59" t="str">
        <f t="shared" si="21"/>
        <v/>
      </c>
      <c r="C7819" s="59" t="str">
        <f t="shared" si="22"/>
        <v/>
      </c>
      <c r="D7819" s="45" t="str">
        <f t="shared" si="23"/>
        <v/>
      </c>
      <c r="E7819" s="45" t="str">
        <f t="shared" si="24"/>
        <v/>
      </c>
      <c r="F7819" s="59" t="str">
        <f t="shared" si="25"/>
        <v/>
      </c>
      <c r="G7819" s="59" t="str">
        <f t="shared" si="26"/>
        <v/>
      </c>
      <c r="H7819" s="59" t="str">
        <f t="shared" si="27"/>
        <v>28C05345</v>
      </c>
      <c r="I7819" s="59" t="str">
        <f>IF(OR($A7819="",$C7819="",$D7819="",$E7819="",$H7819=""),"",SUMIFS(DATA_GOC!$H:$H,DATA_GOC!$A:$A,"BOM",DATA_GOC!$D:$D,$H7819,DATA_GOC!$E:$E,$C7819,DATA_GOC!$F:$F,"Xuất nội bộ từ téc",DATA_GOC!$B:$B,"&gt;="&amp;$D7819,DATA_GOC!$B:$B,"&lt;="&amp;$E7819))</f>
        <v/>
      </c>
      <c r="J7819" s="59">
        <f t="shared" si="28"/>
        <v>0</v>
      </c>
      <c r="K7819" s="59">
        <f t="shared" si="29"/>
        <v>0</v>
      </c>
      <c r="L7819" s="59">
        <f t="shared" si="30"/>
        <v>0</v>
      </c>
      <c r="M7819" s="59">
        <f t="shared" si="31"/>
        <v>0</v>
      </c>
    </row>
    <row r="7820" ht="15.0" hidden="1" customHeight="1">
      <c r="A7820" s="59">
        <f t="shared" si="20"/>
        <v>127</v>
      </c>
      <c r="B7820" s="59" t="str">
        <f t="shared" si="21"/>
        <v/>
      </c>
      <c r="C7820" s="59" t="str">
        <f t="shared" si="22"/>
        <v/>
      </c>
      <c r="D7820" s="45" t="str">
        <f t="shared" si="23"/>
        <v/>
      </c>
      <c r="E7820" s="45" t="str">
        <f t="shared" si="24"/>
        <v/>
      </c>
      <c r="F7820" s="59" t="str">
        <f t="shared" si="25"/>
        <v/>
      </c>
      <c r="G7820" s="59" t="str">
        <f t="shared" si="26"/>
        <v/>
      </c>
      <c r="H7820" s="59" t="str">
        <f t="shared" si="27"/>
        <v>28C05661</v>
      </c>
      <c r="I7820" s="59" t="str">
        <f>IF(OR($A7820="",$C7820="",$D7820="",$E7820="",$H7820=""),"",SUMIFS(DATA_GOC!$H:$H,DATA_GOC!$A:$A,"BOM",DATA_GOC!$D:$D,$H7820,DATA_GOC!$E:$E,$C7820,DATA_GOC!$F:$F,"Xuất nội bộ từ téc",DATA_GOC!$B:$B,"&gt;="&amp;$D7820,DATA_GOC!$B:$B,"&lt;="&amp;$E7820))</f>
        <v/>
      </c>
      <c r="J7820" s="59">
        <f t="shared" si="28"/>
        <v>0</v>
      </c>
      <c r="K7820" s="59">
        <f t="shared" si="29"/>
        <v>0</v>
      </c>
      <c r="L7820" s="59">
        <f t="shared" si="30"/>
        <v>0</v>
      </c>
      <c r="M7820" s="59">
        <f t="shared" si="31"/>
        <v>0</v>
      </c>
    </row>
    <row r="7821" ht="15.0" hidden="1" customHeight="1">
      <c r="A7821" s="59">
        <f t="shared" si="20"/>
        <v>127</v>
      </c>
      <c r="B7821" s="59" t="str">
        <f t="shared" si="21"/>
        <v/>
      </c>
      <c r="C7821" s="59" t="str">
        <f t="shared" si="22"/>
        <v/>
      </c>
      <c r="D7821" s="45" t="str">
        <f t="shared" si="23"/>
        <v/>
      </c>
      <c r="E7821" s="45" t="str">
        <f t="shared" si="24"/>
        <v/>
      </c>
      <c r="F7821" s="59" t="str">
        <f t="shared" si="25"/>
        <v/>
      </c>
      <c r="G7821" s="59" t="str">
        <f t="shared" si="26"/>
        <v/>
      </c>
      <c r="H7821" s="59" t="str">
        <f t="shared" si="27"/>
        <v>28C05739</v>
      </c>
      <c r="I7821" s="59" t="str">
        <f>IF(OR($A7821="",$C7821="",$D7821="",$E7821="",$H7821=""),"",SUMIFS(DATA_GOC!$H:$H,DATA_GOC!$A:$A,"BOM",DATA_GOC!$D:$D,$H7821,DATA_GOC!$E:$E,$C7821,DATA_GOC!$F:$F,"Xuất nội bộ từ téc",DATA_GOC!$B:$B,"&gt;="&amp;$D7821,DATA_GOC!$B:$B,"&lt;="&amp;$E7821))</f>
        <v/>
      </c>
      <c r="J7821" s="59">
        <f t="shared" si="28"/>
        <v>0</v>
      </c>
      <c r="K7821" s="59">
        <f t="shared" si="29"/>
        <v>0</v>
      </c>
      <c r="L7821" s="59">
        <f t="shared" si="30"/>
        <v>0</v>
      </c>
      <c r="M7821" s="59">
        <f t="shared" si="31"/>
        <v>0</v>
      </c>
    </row>
    <row r="7822" ht="15.0" hidden="1" customHeight="1">
      <c r="A7822" s="59">
        <f t="shared" si="20"/>
        <v>127</v>
      </c>
      <c r="B7822" s="59" t="str">
        <f t="shared" si="21"/>
        <v/>
      </c>
      <c r="C7822" s="59" t="str">
        <f t="shared" si="22"/>
        <v/>
      </c>
      <c r="D7822" s="45" t="str">
        <f t="shared" si="23"/>
        <v/>
      </c>
      <c r="E7822" s="45" t="str">
        <f t="shared" si="24"/>
        <v/>
      </c>
      <c r="F7822" s="59" t="str">
        <f t="shared" si="25"/>
        <v/>
      </c>
      <c r="G7822" s="59" t="str">
        <f t="shared" si="26"/>
        <v/>
      </c>
      <c r="H7822" s="59" t="str">
        <f t="shared" si="27"/>
        <v>28C06369</v>
      </c>
      <c r="I7822" s="59" t="str">
        <f>IF(OR($A7822="",$C7822="",$D7822="",$E7822="",$H7822=""),"",SUMIFS(DATA_GOC!$H:$H,DATA_GOC!$A:$A,"BOM",DATA_GOC!$D:$D,$H7822,DATA_GOC!$E:$E,$C7822,DATA_GOC!$F:$F,"Xuất nội bộ từ téc",DATA_GOC!$B:$B,"&gt;="&amp;$D7822,DATA_GOC!$B:$B,"&lt;="&amp;$E7822))</f>
        <v/>
      </c>
      <c r="J7822" s="59">
        <f t="shared" si="28"/>
        <v>0</v>
      </c>
      <c r="K7822" s="59">
        <f t="shared" si="29"/>
        <v>0</v>
      </c>
      <c r="L7822" s="59">
        <f t="shared" si="30"/>
        <v>0</v>
      </c>
      <c r="M7822" s="59">
        <f t="shared" si="31"/>
        <v>0</v>
      </c>
    </row>
    <row r="7823" ht="15.0" hidden="1" customHeight="1">
      <c r="A7823" s="59">
        <f t="shared" si="20"/>
        <v>127</v>
      </c>
      <c r="B7823" s="59" t="str">
        <f t="shared" si="21"/>
        <v/>
      </c>
      <c r="C7823" s="59" t="str">
        <f t="shared" si="22"/>
        <v/>
      </c>
      <c r="D7823" s="45" t="str">
        <f t="shared" si="23"/>
        <v/>
      </c>
      <c r="E7823" s="45" t="str">
        <f t="shared" si="24"/>
        <v/>
      </c>
      <c r="F7823" s="59" t="str">
        <f t="shared" si="25"/>
        <v/>
      </c>
      <c r="G7823" s="59" t="str">
        <f t="shared" si="26"/>
        <v/>
      </c>
      <c r="H7823" s="59" t="str">
        <f t="shared" si="27"/>
        <v>28C06447</v>
      </c>
      <c r="I7823" s="59" t="str">
        <f>IF(OR($A7823="",$C7823="",$D7823="",$E7823="",$H7823=""),"",SUMIFS(DATA_GOC!$H:$H,DATA_GOC!$A:$A,"BOM",DATA_GOC!$D:$D,$H7823,DATA_GOC!$E:$E,$C7823,DATA_GOC!$F:$F,"Xuất nội bộ từ téc",DATA_GOC!$B:$B,"&gt;="&amp;$D7823,DATA_GOC!$B:$B,"&lt;="&amp;$E7823))</f>
        <v/>
      </c>
      <c r="J7823" s="59">
        <f t="shared" si="28"/>
        <v>0</v>
      </c>
      <c r="K7823" s="59">
        <f t="shared" si="29"/>
        <v>0</v>
      </c>
      <c r="L7823" s="59">
        <f t="shared" si="30"/>
        <v>0</v>
      </c>
      <c r="M7823" s="59">
        <f t="shared" si="31"/>
        <v>0</v>
      </c>
    </row>
    <row r="7824" ht="15.0" hidden="1" customHeight="1">
      <c r="A7824" s="59">
        <f t="shared" si="20"/>
        <v>127</v>
      </c>
      <c r="B7824" s="59" t="str">
        <f t="shared" si="21"/>
        <v/>
      </c>
      <c r="C7824" s="59" t="str">
        <f t="shared" si="22"/>
        <v/>
      </c>
      <c r="D7824" s="45" t="str">
        <f t="shared" si="23"/>
        <v/>
      </c>
      <c r="E7824" s="45" t="str">
        <f t="shared" si="24"/>
        <v/>
      </c>
      <c r="F7824" s="59" t="str">
        <f t="shared" si="25"/>
        <v/>
      </c>
      <c r="G7824" s="59" t="str">
        <f t="shared" si="26"/>
        <v/>
      </c>
      <c r="H7824" s="59" t="str">
        <f t="shared" si="27"/>
        <v>28H00003</v>
      </c>
      <c r="I7824" s="59" t="str">
        <f>IF(OR($A7824="",$C7824="",$D7824="",$E7824="",$H7824=""),"",SUMIFS(DATA_GOC!$H:$H,DATA_GOC!$A:$A,"BOM",DATA_GOC!$D:$D,$H7824,DATA_GOC!$E:$E,$C7824,DATA_GOC!$F:$F,"Xuất nội bộ từ téc",DATA_GOC!$B:$B,"&gt;="&amp;$D7824,DATA_GOC!$B:$B,"&lt;="&amp;$E7824))</f>
        <v/>
      </c>
      <c r="J7824" s="59">
        <f t="shared" si="28"/>
        <v>0</v>
      </c>
      <c r="K7824" s="59">
        <f t="shared" si="29"/>
        <v>0</v>
      </c>
      <c r="L7824" s="59">
        <f t="shared" si="30"/>
        <v>0</v>
      </c>
      <c r="M7824" s="59">
        <f t="shared" si="31"/>
        <v>0</v>
      </c>
    </row>
    <row r="7825" ht="15.0" hidden="1" customHeight="1">
      <c r="A7825" s="59">
        <f t="shared" si="20"/>
        <v>127</v>
      </c>
      <c r="B7825" s="59" t="str">
        <f t="shared" si="21"/>
        <v/>
      </c>
      <c r="C7825" s="59" t="str">
        <f t="shared" si="22"/>
        <v/>
      </c>
      <c r="D7825" s="45" t="str">
        <f t="shared" si="23"/>
        <v/>
      </c>
      <c r="E7825" s="45" t="str">
        <f t="shared" si="24"/>
        <v/>
      </c>
      <c r="F7825" s="59" t="str">
        <f t="shared" si="25"/>
        <v/>
      </c>
      <c r="G7825" s="59" t="str">
        <f t="shared" si="26"/>
        <v/>
      </c>
      <c r="H7825" s="59" t="str">
        <f t="shared" si="27"/>
        <v>28H00061</v>
      </c>
      <c r="I7825" s="59" t="str">
        <f>IF(OR($A7825="",$C7825="",$D7825="",$E7825="",$H7825=""),"",SUMIFS(DATA_GOC!$H:$H,DATA_GOC!$A:$A,"BOM",DATA_GOC!$D:$D,$H7825,DATA_GOC!$E:$E,$C7825,DATA_GOC!$F:$F,"Xuất nội bộ từ téc",DATA_GOC!$B:$B,"&gt;="&amp;$D7825,DATA_GOC!$B:$B,"&lt;="&amp;$E7825))</f>
        <v/>
      </c>
      <c r="J7825" s="59">
        <f t="shared" si="28"/>
        <v>0</v>
      </c>
      <c r="K7825" s="59">
        <f t="shared" si="29"/>
        <v>0</v>
      </c>
      <c r="L7825" s="59">
        <f t="shared" si="30"/>
        <v>0</v>
      </c>
      <c r="M7825" s="59">
        <f t="shared" si="31"/>
        <v>0</v>
      </c>
    </row>
    <row r="7826" ht="15.0" hidden="1" customHeight="1">
      <c r="A7826" s="59">
        <f t="shared" si="20"/>
        <v>127</v>
      </c>
      <c r="B7826" s="59" t="str">
        <f t="shared" si="21"/>
        <v/>
      </c>
      <c r="C7826" s="59" t="str">
        <f t="shared" si="22"/>
        <v/>
      </c>
      <c r="D7826" s="45" t="str">
        <f t="shared" si="23"/>
        <v/>
      </c>
      <c r="E7826" s="45" t="str">
        <f t="shared" si="24"/>
        <v/>
      </c>
      <c r="F7826" s="59" t="str">
        <f t="shared" si="25"/>
        <v/>
      </c>
      <c r="G7826" s="59" t="str">
        <f t="shared" si="26"/>
        <v/>
      </c>
      <c r="H7826" s="59" t="str">
        <f t="shared" si="27"/>
        <v>28H00354</v>
      </c>
      <c r="I7826" s="59" t="str">
        <f>IF(OR($A7826="",$C7826="",$D7826="",$E7826="",$H7826=""),"",SUMIFS(DATA_GOC!$H:$H,DATA_GOC!$A:$A,"BOM",DATA_GOC!$D:$D,$H7826,DATA_GOC!$E:$E,$C7826,DATA_GOC!$F:$F,"Xuất nội bộ từ téc",DATA_GOC!$B:$B,"&gt;="&amp;$D7826,DATA_GOC!$B:$B,"&lt;="&amp;$E7826))</f>
        <v/>
      </c>
      <c r="J7826" s="59">
        <f t="shared" si="28"/>
        <v>0</v>
      </c>
      <c r="K7826" s="59">
        <f t="shared" si="29"/>
        <v>0</v>
      </c>
      <c r="L7826" s="59">
        <f t="shared" si="30"/>
        <v>0</v>
      </c>
      <c r="M7826" s="59">
        <f t="shared" si="31"/>
        <v>0</v>
      </c>
    </row>
    <row r="7827" ht="15.0" hidden="1" customHeight="1">
      <c r="A7827" s="59">
        <f t="shared" si="20"/>
        <v>127</v>
      </c>
      <c r="B7827" s="59" t="str">
        <f t="shared" si="21"/>
        <v/>
      </c>
      <c r="C7827" s="59" t="str">
        <f t="shared" si="22"/>
        <v/>
      </c>
      <c r="D7827" s="45" t="str">
        <f t="shared" si="23"/>
        <v/>
      </c>
      <c r="E7827" s="45" t="str">
        <f t="shared" si="24"/>
        <v/>
      </c>
      <c r="F7827" s="59" t="str">
        <f t="shared" si="25"/>
        <v/>
      </c>
      <c r="G7827" s="59" t="str">
        <f t="shared" si="26"/>
        <v/>
      </c>
      <c r="H7827" s="59" t="str">
        <f t="shared" si="27"/>
        <v>28H00603</v>
      </c>
      <c r="I7827" s="59" t="str">
        <f>IF(OR($A7827="",$C7827="",$D7827="",$E7827="",$H7827=""),"",SUMIFS(DATA_GOC!$H:$H,DATA_GOC!$A:$A,"BOM",DATA_GOC!$D:$D,$H7827,DATA_GOC!$E:$E,$C7827,DATA_GOC!$F:$F,"Xuất nội bộ từ téc",DATA_GOC!$B:$B,"&gt;="&amp;$D7827,DATA_GOC!$B:$B,"&lt;="&amp;$E7827))</f>
        <v/>
      </c>
      <c r="J7827" s="59">
        <f t="shared" si="28"/>
        <v>0</v>
      </c>
      <c r="K7827" s="59">
        <f t="shared" si="29"/>
        <v>0</v>
      </c>
      <c r="L7827" s="59">
        <f t="shared" si="30"/>
        <v>0</v>
      </c>
      <c r="M7827" s="59">
        <f t="shared" si="31"/>
        <v>0</v>
      </c>
    </row>
    <row r="7828" ht="15.0" hidden="1" customHeight="1">
      <c r="A7828" s="59">
        <f t="shared" si="20"/>
        <v>127</v>
      </c>
      <c r="B7828" s="59" t="str">
        <f t="shared" si="21"/>
        <v/>
      </c>
      <c r="C7828" s="59" t="str">
        <f t="shared" si="22"/>
        <v/>
      </c>
      <c r="D7828" s="45" t="str">
        <f t="shared" si="23"/>
        <v/>
      </c>
      <c r="E7828" s="45" t="str">
        <f t="shared" si="24"/>
        <v/>
      </c>
      <c r="F7828" s="59" t="str">
        <f t="shared" si="25"/>
        <v/>
      </c>
      <c r="G7828" s="59" t="str">
        <f t="shared" si="26"/>
        <v/>
      </c>
      <c r="H7828" s="59" t="str">
        <f t="shared" si="27"/>
        <v>28H00609</v>
      </c>
      <c r="I7828" s="59" t="str">
        <f>IF(OR($A7828="",$C7828="",$D7828="",$E7828="",$H7828=""),"",SUMIFS(DATA_GOC!$H:$H,DATA_GOC!$A:$A,"BOM",DATA_GOC!$D:$D,$H7828,DATA_GOC!$E:$E,$C7828,DATA_GOC!$F:$F,"Xuất nội bộ từ téc",DATA_GOC!$B:$B,"&gt;="&amp;$D7828,DATA_GOC!$B:$B,"&lt;="&amp;$E7828))</f>
        <v/>
      </c>
      <c r="J7828" s="59">
        <f t="shared" si="28"/>
        <v>0</v>
      </c>
      <c r="K7828" s="59">
        <f t="shared" si="29"/>
        <v>0</v>
      </c>
      <c r="L7828" s="59">
        <f t="shared" si="30"/>
        <v>0</v>
      </c>
      <c r="M7828" s="59">
        <f t="shared" si="31"/>
        <v>0</v>
      </c>
    </row>
    <row r="7829" ht="15.0" hidden="1" customHeight="1">
      <c r="A7829" s="59">
        <f t="shared" si="20"/>
        <v>127</v>
      </c>
      <c r="B7829" s="59" t="str">
        <f t="shared" si="21"/>
        <v/>
      </c>
      <c r="C7829" s="59" t="str">
        <f t="shared" si="22"/>
        <v/>
      </c>
      <c r="D7829" s="45" t="str">
        <f t="shared" si="23"/>
        <v/>
      </c>
      <c r="E7829" s="45" t="str">
        <f t="shared" si="24"/>
        <v/>
      </c>
      <c r="F7829" s="59" t="str">
        <f t="shared" si="25"/>
        <v/>
      </c>
      <c r="G7829" s="59" t="str">
        <f t="shared" si="26"/>
        <v/>
      </c>
      <c r="H7829" s="59" t="str">
        <f t="shared" si="27"/>
        <v>28H00669</v>
      </c>
      <c r="I7829" s="59" t="str">
        <f>IF(OR($A7829="",$C7829="",$D7829="",$E7829="",$H7829=""),"",SUMIFS(DATA_GOC!$H:$H,DATA_GOC!$A:$A,"BOM",DATA_GOC!$D:$D,$H7829,DATA_GOC!$E:$E,$C7829,DATA_GOC!$F:$F,"Xuất nội bộ từ téc",DATA_GOC!$B:$B,"&gt;="&amp;$D7829,DATA_GOC!$B:$B,"&lt;="&amp;$E7829))</f>
        <v/>
      </c>
      <c r="J7829" s="59">
        <f t="shared" si="28"/>
        <v>0</v>
      </c>
      <c r="K7829" s="59">
        <f t="shared" si="29"/>
        <v>0</v>
      </c>
      <c r="L7829" s="59">
        <f t="shared" si="30"/>
        <v>0</v>
      </c>
      <c r="M7829" s="59">
        <f t="shared" si="31"/>
        <v>0</v>
      </c>
    </row>
    <row r="7830" ht="15.0" hidden="1" customHeight="1">
      <c r="A7830" s="59">
        <f t="shared" si="20"/>
        <v>127</v>
      </c>
      <c r="B7830" s="59" t="str">
        <f t="shared" si="21"/>
        <v/>
      </c>
      <c r="C7830" s="59" t="str">
        <f t="shared" si="22"/>
        <v/>
      </c>
      <c r="D7830" s="45" t="str">
        <f t="shared" si="23"/>
        <v/>
      </c>
      <c r="E7830" s="45" t="str">
        <f t="shared" si="24"/>
        <v/>
      </c>
      <c r="F7830" s="59" t="str">
        <f t="shared" si="25"/>
        <v/>
      </c>
      <c r="G7830" s="59" t="str">
        <f t="shared" si="26"/>
        <v/>
      </c>
      <c r="H7830" s="59" t="str">
        <f t="shared" si="27"/>
        <v>28H00680</v>
      </c>
      <c r="I7830" s="59" t="str">
        <f>IF(OR($A7830="",$C7830="",$D7830="",$E7830="",$H7830=""),"",SUMIFS(DATA_GOC!$H:$H,DATA_GOC!$A:$A,"BOM",DATA_GOC!$D:$D,$H7830,DATA_GOC!$E:$E,$C7830,DATA_GOC!$F:$F,"Xuất nội bộ từ téc",DATA_GOC!$B:$B,"&gt;="&amp;$D7830,DATA_GOC!$B:$B,"&lt;="&amp;$E7830))</f>
        <v/>
      </c>
      <c r="J7830" s="59">
        <f t="shared" si="28"/>
        <v>0</v>
      </c>
      <c r="K7830" s="59">
        <f t="shared" si="29"/>
        <v>0</v>
      </c>
      <c r="L7830" s="59">
        <f t="shared" si="30"/>
        <v>0</v>
      </c>
      <c r="M7830" s="59">
        <f t="shared" si="31"/>
        <v>0</v>
      </c>
    </row>
    <row r="7831" ht="15.0" hidden="1" customHeight="1">
      <c r="A7831" s="59">
        <f t="shared" si="20"/>
        <v>127</v>
      </c>
      <c r="B7831" s="59" t="str">
        <f t="shared" si="21"/>
        <v/>
      </c>
      <c r="C7831" s="59" t="str">
        <f t="shared" si="22"/>
        <v/>
      </c>
      <c r="D7831" s="45" t="str">
        <f t="shared" si="23"/>
        <v/>
      </c>
      <c r="E7831" s="45" t="str">
        <f t="shared" si="24"/>
        <v/>
      </c>
      <c r="F7831" s="59" t="str">
        <f t="shared" si="25"/>
        <v/>
      </c>
      <c r="G7831" s="59" t="str">
        <f t="shared" si="26"/>
        <v/>
      </c>
      <c r="H7831" s="59" t="str">
        <f t="shared" si="27"/>
        <v>28H01070</v>
      </c>
      <c r="I7831" s="59" t="str">
        <f>IF(OR($A7831="",$C7831="",$D7831="",$E7831="",$H7831=""),"",SUMIFS(DATA_GOC!$H:$H,DATA_GOC!$A:$A,"BOM",DATA_GOC!$D:$D,$H7831,DATA_GOC!$E:$E,$C7831,DATA_GOC!$F:$F,"Xuất nội bộ từ téc",DATA_GOC!$B:$B,"&gt;="&amp;$D7831,DATA_GOC!$B:$B,"&lt;="&amp;$E7831))</f>
        <v/>
      </c>
      <c r="J7831" s="59">
        <f t="shared" si="28"/>
        <v>0</v>
      </c>
      <c r="K7831" s="59">
        <f t="shared" si="29"/>
        <v>0</v>
      </c>
      <c r="L7831" s="59">
        <f t="shared" si="30"/>
        <v>0</v>
      </c>
      <c r="M7831" s="59">
        <f t="shared" si="31"/>
        <v>0</v>
      </c>
    </row>
    <row r="7832" ht="15.0" hidden="1" customHeight="1">
      <c r="A7832" s="59">
        <f t="shared" si="20"/>
        <v>127</v>
      </c>
      <c r="B7832" s="59" t="str">
        <f t="shared" si="21"/>
        <v/>
      </c>
      <c r="C7832" s="59" t="str">
        <f t="shared" si="22"/>
        <v/>
      </c>
      <c r="D7832" s="45" t="str">
        <f t="shared" si="23"/>
        <v/>
      </c>
      <c r="E7832" s="45" t="str">
        <f t="shared" si="24"/>
        <v/>
      </c>
      <c r="F7832" s="59" t="str">
        <f t="shared" si="25"/>
        <v/>
      </c>
      <c r="G7832" s="59" t="str">
        <f t="shared" si="26"/>
        <v/>
      </c>
      <c r="H7832" s="59" t="str">
        <f t="shared" si="27"/>
        <v>28H01364</v>
      </c>
      <c r="I7832" s="59" t="str">
        <f>IF(OR($A7832="",$C7832="",$D7832="",$E7832="",$H7832=""),"",SUMIFS(DATA_GOC!$H:$H,DATA_GOC!$A:$A,"BOM",DATA_GOC!$D:$D,$H7832,DATA_GOC!$E:$E,$C7832,DATA_GOC!$F:$F,"Xuất nội bộ từ téc",DATA_GOC!$B:$B,"&gt;="&amp;$D7832,DATA_GOC!$B:$B,"&lt;="&amp;$E7832))</f>
        <v/>
      </c>
      <c r="J7832" s="59">
        <f t="shared" si="28"/>
        <v>0</v>
      </c>
      <c r="K7832" s="59">
        <f t="shared" si="29"/>
        <v>0</v>
      </c>
      <c r="L7832" s="59">
        <f t="shared" si="30"/>
        <v>0</v>
      </c>
      <c r="M7832" s="59">
        <f t="shared" si="31"/>
        <v>0</v>
      </c>
    </row>
    <row r="7833" ht="15.0" hidden="1" customHeight="1">
      <c r="A7833" s="59">
        <f t="shared" si="20"/>
        <v>127</v>
      </c>
      <c r="B7833" s="59" t="str">
        <f t="shared" si="21"/>
        <v/>
      </c>
      <c r="C7833" s="59" t="str">
        <f t="shared" si="22"/>
        <v/>
      </c>
      <c r="D7833" s="45" t="str">
        <f t="shared" si="23"/>
        <v/>
      </c>
      <c r="E7833" s="45" t="str">
        <f t="shared" si="24"/>
        <v/>
      </c>
      <c r="F7833" s="59" t="str">
        <f t="shared" si="25"/>
        <v/>
      </c>
      <c r="G7833" s="59" t="str">
        <f t="shared" si="26"/>
        <v/>
      </c>
      <c r="H7833" s="59" t="str">
        <f t="shared" si="27"/>
        <v>29E17269</v>
      </c>
      <c r="I7833" s="59" t="str">
        <f>IF(OR($A7833="",$C7833="",$D7833="",$E7833="",$H7833=""),"",SUMIFS(DATA_GOC!$H:$H,DATA_GOC!$A:$A,"BOM",DATA_GOC!$D:$D,$H7833,DATA_GOC!$E:$E,$C7833,DATA_GOC!$F:$F,"Xuất nội bộ từ téc",DATA_GOC!$B:$B,"&gt;="&amp;$D7833,DATA_GOC!$B:$B,"&lt;="&amp;$E7833))</f>
        <v/>
      </c>
      <c r="J7833" s="59">
        <f t="shared" si="28"/>
        <v>0</v>
      </c>
      <c r="K7833" s="59">
        <f t="shared" si="29"/>
        <v>0</v>
      </c>
      <c r="L7833" s="59">
        <f t="shared" si="30"/>
        <v>0</v>
      </c>
      <c r="M7833" s="59">
        <f t="shared" si="31"/>
        <v>0</v>
      </c>
    </row>
    <row r="7834" ht="15.0" hidden="1" customHeight="1">
      <c r="A7834" s="59">
        <f t="shared" si="20"/>
        <v>127</v>
      </c>
      <c r="B7834" s="59" t="str">
        <f t="shared" si="21"/>
        <v/>
      </c>
      <c r="C7834" s="59" t="str">
        <f t="shared" si="22"/>
        <v/>
      </c>
      <c r="D7834" s="45" t="str">
        <f t="shared" si="23"/>
        <v/>
      </c>
      <c r="E7834" s="45" t="str">
        <f t="shared" si="24"/>
        <v/>
      </c>
      <c r="F7834" s="59" t="str">
        <f t="shared" si="25"/>
        <v/>
      </c>
      <c r="G7834" s="59" t="str">
        <f t="shared" si="26"/>
        <v/>
      </c>
      <c r="H7834" s="59" t="str">
        <f t="shared" si="27"/>
        <v>29E17273</v>
      </c>
      <c r="I7834" s="59" t="str">
        <f>IF(OR($A7834="",$C7834="",$D7834="",$E7834="",$H7834=""),"",SUMIFS(DATA_GOC!$H:$H,DATA_GOC!$A:$A,"BOM",DATA_GOC!$D:$D,$H7834,DATA_GOC!$E:$E,$C7834,DATA_GOC!$F:$F,"Xuất nội bộ từ téc",DATA_GOC!$B:$B,"&gt;="&amp;$D7834,DATA_GOC!$B:$B,"&lt;="&amp;$E7834))</f>
        <v/>
      </c>
      <c r="J7834" s="59">
        <f t="shared" si="28"/>
        <v>0</v>
      </c>
      <c r="K7834" s="59">
        <f t="shared" si="29"/>
        <v>0</v>
      </c>
      <c r="L7834" s="59">
        <f t="shared" si="30"/>
        <v>0</v>
      </c>
      <c r="M7834" s="59">
        <f t="shared" si="31"/>
        <v>0</v>
      </c>
    </row>
    <row r="7835" ht="15.0" hidden="1" customHeight="1">
      <c r="A7835" s="59">
        <f t="shared" si="20"/>
        <v>127</v>
      </c>
      <c r="B7835" s="59" t="str">
        <f t="shared" si="21"/>
        <v/>
      </c>
      <c r="C7835" s="59" t="str">
        <f t="shared" si="22"/>
        <v/>
      </c>
      <c r="D7835" s="45" t="str">
        <f t="shared" si="23"/>
        <v/>
      </c>
      <c r="E7835" s="45" t="str">
        <f t="shared" si="24"/>
        <v/>
      </c>
      <c r="F7835" s="59" t="str">
        <f t="shared" si="25"/>
        <v/>
      </c>
      <c r="G7835" s="59" t="str">
        <f t="shared" si="26"/>
        <v/>
      </c>
      <c r="H7835" s="59" t="str">
        <f t="shared" si="27"/>
        <v>29E17410</v>
      </c>
      <c r="I7835" s="59" t="str">
        <f>IF(OR($A7835="",$C7835="",$D7835="",$E7835="",$H7835=""),"",SUMIFS(DATA_GOC!$H:$H,DATA_GOC!$A:$A,"BOM",DATA_GOC!$D:$D,$H7835,DATA_GOC!$E:$E,$C7835,DATA_GOC!$F:$F,"Xuất nội bộ từ téc",DATA_GOC!$B:$B,"&gt;="&amp;$D7835,DATA_GOC!$B:$B,"&lt;="&amp;$E7835))</f>
        <v/>
      </c>
      <c r="J7835" s="59">
        <f t="shared" si="28"/>
        <v>0</v>
      </c>
      <c r="K7835" s="59">
        <f t="shared" si="29"/>
        <v>0</v>
      </c>
      <c r="L7835" s="59">
        <f t="shared" si="30"/>
        <v>0</v>
      </c>
      <c r="M7835" s="59">
        <f t="shared" si="31"/>
        <v>0</v>
      </c>
    </row>
    <row r="7836" ht="15.0" hidden="1" customHeight="1">
      <c r="A7836" s="59">
        <f t="shared" si="20"/>
        <v>127</v>
      </c>
      <c r="B7836" s="59" t="str">
        <f t="shared" si="21"/>
        <v/>
      </c>
      <c r="C7836" s="59" t="str">
        <f t="shared" si="22"/>
        <v/>
      </c>
      <c r="D7836" s="45" t="str">
        <f t="shared" si="23"/>
        <v/>
      </c>
      <c r="E7836" s="45" t="str">
        <f t="shared" si="24"/>
        <v/>
      </c>
      <c r="F7836" s="59" t="str">
        <f t="shared" si="25"/>
        <v/>
      </c>
      <c r="G7836" s="59" t="str">
        <f t="shared" si="26"/>
        <v/>
      </c>
      <c r="H7836" s="59" t="str">
        <f t="shared" si="27"/>
        <v>29E17417</v>
      </c>
      <c r="I7836" s="59" t="str">
        <f>IF(OR($A7836="",$C7836="",$D7836="",$E7836="",$H7836=""),"",SUMIFS(DATA_GOC!$H:$H,DATA_GOC!$A:$A,"BOM",DATA_GOC!$D:$D,$H7836,DATA_GOC!$E:$E,$C7836,DATA_GOC!$F:$F,"Xuất nội bộ từ téc",DATA_GOC!$B:$B,"&gt;="&amp;$D7836,DATA_GOC!$B:$B,"&lt;="&amp;$E7836))</f>
        <v/>
      </c>
      <c r="J7836" s="59">
        <f t="shared" si="28"/>
        <v>0</v>
      </c>
      <c r="K7836" s="59">
        <f t="shared" si="29"/>
        <v>0</v>
      </c>
      <c r="L7836" s="59">
        <f t="shared" si="30"/>
        <v>0</v>
      </c>
      <c r="M7836" s="59">
        <f t="shared" si="31"/>
        <v>0</v>
      </c>
    </row>
    <row r="7837" ht="15.0" hidden="1" customHeight="1">
      <c r="A7837" s="59">
        <f t="shared" si="20"/>
        <v>127</v>
      </c>
      <c r="B7837" s="59" t="str">
        <f t="shared" si="21"/>
        <v/>
      </c>
      <c r="C7837" s="59" t="str">
        <f t="shared" si="22"/>
        <v/>
      </c>
      <c r="D7837" s="45" t="str">
        <f t="shared" si="23"/>
        <v/>
      </c>
      <c r="E7837" s="45" t="str">
        <f t="shared" si="24"/>
        <v/>
      </c>
      <c r="F7837" s="59" t="str">
        <f t="shared" si="25"/>
        <v/>
      </c>
      <c r="G7837" s="59" t="str">
        <f t="shared" si="26"/>
        <v/>
      </c>
      <c r="H7837" s="59" t="str">
        <f t="shared" si="27"/>
        <v>29E17539</v>
      </c>
      <c r="I7837" s="59" t="str">
        <f>IF(OR($A7837="",$C7837="",$D7837="",$E7837="",$H7837=""),"",SUMIFS(DATA_GOC!$H:$H,DATA_GOC!$A:$A,"BOM",DATA_GOC!$D:$D,$H7837,DATA_GOC!$E:$E,$C7837,DATA_GOC!$F:$F,"Xuất nội bộ từ téc",DATA_GOC!$B:$B,"&gt;="&amp;$D7837,DATA_GOC!$B:$B,"&lt;="&amp;$E7837))</f>
        <v/>
      </c>
      <c r="J7837" s="59">
        <f t="shared" si="28"/>
        <v>0</v>
      </c>
      <c r="K7837" s="59">
        <f t="shared" si="29"/>
        <v>0</v>
      </c>
      <c r="L7837" s="59">
        <f t="shared" si="30"/>
        <v>0</v>
      </c>
      <c r="M7837" s="59">
        <f t="shared" si="31"/>
        <v>0</v>
      </c>
    </row>
    <row r="7838" ht="15.0" hidden="1" customHeight="1">
      <c r="A7838" s="59">
        <f t="shared" si="20"/>
        <v>127</v>
      </c>
      <c r="B7838" s="59" t="str">
        <f t="shared" si="21"/>
        <v/>
      </c>
      <c r="C7838" s="59" t="str">
        <f t="shared" si="22"/>
        <v/>
      </c>
      <c r="D7838" s="45" t="str">
        <f t="shared" si="23"/>
        <v/>
      </c>
      <c r="E7838" s="45" t="str">
        <f t="shared" si="24"/>
        <v/>
      </c>
      <c r="F7838" s="59" t="str">
        <f t="shared" si="25"/>
        <v/>
      </c>
      <c r="G7838" s="59" t="str">
        <f t="shared" si="26"/>
        <v/>
      </c>
      <c r="H7838" s="59" t="str">
        <f t="shared" si="27"/>
        <v>29E18160</v>
      </c>
      <c r="I7838" s="59" t="str">
        <f>IF(OR($A7838="",$C7838="",$D7838="",$E7838="",$H7838=""),"",SUMIFS(DATA_GOC!$H:$H,DATA_GOC!$A:$A,"BOM",DATA_GOC!$D:$D,$H7838,DATA_GOC!$E:$E,$C7838,DATA_GOC!$F:$F,"Xuất nội bộ từ téc",DATA_GOC!$B:$B,"&gt;="&amp;$D7838,DATA_GOC!$B:$B,"&lt;="&amp;$E7838))</f>
        <v/>
      </c>
      <c r="J7838" s="59">
        <f t="shared" si="28"/>
        <v>0</v>
      </c>
      <c r="K7838" s="59">
        <f t="shared" si="29"/>
        <v>0</v>
      </c>
      <c r="L7838" s="59">
        <f t="shared" si="30"/>
        <v>0</v>
      </c>
      <c r="M7838" s="59">
        <f t="shared" si="31"/>
        <v>0</v>
      </c>
    </row>
    <row r="7839" ht="15.0" hidden="1" customHeight="1">
      <c r="A7839" s="59">
        <f t="shared" si="20"/>
        <v>127</v>
      </c>
      <c r="B7839" s="59" t="str">
        <f t="shared" si="21"/>
        <v/>
      </c>
      <c r="C7839" s="59" t="str">
        <f t="shared" si="22"/>
        <v/>
      </c>
      <c r="D7839" s="45" t="str">
        <f t="shared" si="23"/>
        <v/>
      </c>
      <c r="E7839" s="45" t="str">
        <f t="shared" si="24"/>
        <v/>
      </c>
      <c r="F7839" s="59" t="str">
        <f t="shared" si="25"/>
        <v/>
      </c>
      <c r="G7839" s="59" t="str">
        <f t="shared" si="26"/>
        <v/>
      </c>
      <c r="H7839" s="59" t="str">
        <f t="shared" si="27"/>
        <v>Công trình Asphalt</v>
      </c>
      <c r="I7839" s="59" t="str">
        <f>IF(OR($A7839="",$C7839="",$D7839="",$E7839="",$H7839=""),"",SUMIFS(DATA_GOC!$H:$H,DATA_GOC!$A:$A,"BOM",DATA_GOC!$D:$D,$H7839,DATA_GOC!$E:$E,$C7839,DATA_GOC!$F:$F,"Xuất nội bộ từ téc",DATA_GOC!$B:$B,"&gt;="&amp;$D7839,DATA_GOC!$B:$B,"&lt;="&amp;$E7839))</f>
        <v/>
      </c>
      <c r="J7839" s="59">
        <f t="shared" si="28"/>
        <v>0</v>
      </c>
      <c r="K7839" s="59">
        <f t="shared" si="29"/>
        <v>0</v>
      </c>
      <c r="L7839" s="59">
        <f t="shared" si="30"/>
        <v>0</v>
      </c>
      <c r="M7839" s="59">
        <f t="shared" si="31"/>
        <v>0</v>
      </c>
    </row>
    <row r="7840" ht="15.0" hidden="1" customHeight="1">
      <c r="A7840" s="59">
        <f t="shared" si="20"/>
        <v>127</v>
      </c>
      <c r="B7840" s="59" t="str">
        <f t="shared" si="21"/>
        <v/>
      </c>
      <c r="C7840" s="59" t="str">
        <f t="shared" si="22"/>
        <v/>
      </c>
      <c r="D7840" s="45" t="str">
        <f t="shared" si="23"/>
        <v/>
      </c>
      <c r="E7840" s="45" t="str">
        <f t="shared" si="24"/>
        <v/>
      </c>
      <c r="F7840" s="59" t="str">
        <f t="shared" si="25"/>
        <v/>
      </c>
      <c r="G7840" s="59" t="str">
        <f t="shared" si="26"/>
        <v/>
      </c>
      <c r="H7840" s="59" t="str">
        <f t="shared" si="27"/>
        <v>LG53F</v>
      </c>
      <c r="I7840" s="59" t="str">
        <f>IF(OR($A7840="",$C7840="",$D7840="",$E7840="",$H7840=""),"",SUMIFS(DATA_GOC!$H:$H,DATA_GOC!$A:$A,"BOM",DATA_GOC!$D:$D,$H7840,DATA_GOC!$E:$E,$C7840,DATA_GOC!$F:$F,"Xuất nội bộ từ téc",DATA_GOC!$B:$B,"&gt;="&amp;$D7840,DATA_GOC!$B:$B,"&lt;="&amp;$E7840))</f>
        <v/>
      </c>
      <c r="J7840" s="59">
        <f t="shared" si="28"/>
        <v>0</v>
      </c>
      <c r="K7840" s="59">
        <f t="shared" si="29"/>
        <v>0</v>
      </c>
      <c r="L7840" s="59">
        <f t="shared" si="30"/>
        <v>0</v>
      </c>
      <c r="M7840" s="59">
        <f t="shared" si="31"/>
        <v>0</v>
      </c>
    </row>
    <row r="7841" ht="15.0" hidden="1" customHeight="1">
      <c r="A7841" s="59">
        <f t="shared" si="20"/>
        <v>127</v>
      </c>
      <c r="B7841" s="59" t="str">
        <f t="shared" si="21"/>
        <v/>
      </c>
      <c r="C7841" s="59" t="str">
        <f t="shared" si="22"/>
        <v/>
      </c>
      <c r="D7841" s="45" t="str">
        <f t="shared" si="23"/>
        <v/>
      </c>
      <c r="E7841" s="45" t="str">
        <f t="shared" si="24"/>
        <v/>
      </c>
      <c r="F7841" s="59" t="str">
        <f t="shared" si="25"/>
        <v/>
      </c>
      <c r="G7841" s="59" t="str">
        <f t="shared" si="26"/>
        <v/>
      </c>
      <c r="H7841" s="59" t="str">
        <f t="shared" si="27"/>
        <v>Máy phát điện</v>
      </c>
      <c r="I7841" s="59" t="str">
        <f>IF(OR($A7841="",$C7841="",$D7841="",$E7841="",$H7841=""),"",SUMIFS(DATA_GOC!$H:$H,DATA_GOC!$A:$A,"BOM",DATA_GOC!$D:$D,$H7841,DATA_GOC!$E:$E,$C7841,DATA_GOC!$F:$F,"Xuất nội bộ từ téc",DATA_GOC!$B:$B,"&gt;="&amp;$D7841,DATA_GOC!$B:$B,"&lt;="&amp;$E7841))</f>
        <v/>
      </c>
      <c r="J7841" s="59">
        <f t="shared" si="28"/>
        <v>0</v>
      </c>
      <c r="K7841" s="59">
        <f t="shared" si="29"/>
        <v>0</v>
      </c>
      <c r="L7841" s="59">
        <f t="shared" si="30"/>
        <v>0</v>
      </c>
      <c r="M7841" s="59">
        <f t="shared" si="31"/>
        <v>0</v>
      </c>
    </row>
    <row r="7842" ht="15.0" hidden="1" customHeight="1">
      <c r="A7842" s="59">
        <f t="shared" si="20"/>
        <v>127</v>
      </c>
      <c r="B7842" s="59" t="str">
        <f t="shared" si="21"/>
        <v/>
      </c>
      <c r="C7842" s="59" t="str">
        <f t="shared" si="22"/>
        <v/>
      </c>
      <c r="D7842" s="45" t="str">
        <f t="shared" si="23"/>
        <v/>
      </c>
      <c r="E7842" s="45" t="str">
        <f t="shared" si="24"/>
        <v/>
      </c>
      <c r="F7842" s="59" t="str">
        <f t="shared" si="25"/>
        <v/>
      </c>
      <c r="G7842" s="59" t="str">
        <f t="shared" si="26"/>
        <v/>
      </c>
      <c r="H7842" s="59" t="str">
        <f t="shared" si="27"/>
        <v>Máy rải thảm</v>
      </c>
      <c r="I7842" s="59" t="str">
        <f>IF(OR($A7842="",$C7842="",$D7842="",$E7842="",$H7842=""),"",SUMIFS(DATA_GOC!$H:$H,DATA_GOC!$A:$A,"BOM",DATA_GOC!$D:$D,$H7842,DATA_GOC!$E:$E,$C7842,DATA_GOC!$F:$F,"Xuất nội bộ từ téc",DATA_GOC!$B:$B,"&gt;="&amp;$D7842,DATA_GOC!$B:$B,"&lt;="&amp;$E7842))</f>
        <v/>
      </c>
      <c r="J7842" s="59">
        <f t="shared" si="28"/>
        <v>0</v>
      </c>
      <c r="K7842" s="59">
        <f t="shared" si="29"/>
        <v>0</v>
      </c>
      <c r="L7842" s="59">
        <f t="shared" si="30"/>
        <v>0</v>
      </c>
      <c r="M7842" s="59">
        <f t="shared" si="31"/>
        <v>0</v>
      </c>
    </row>
    <row r="7843" ht="15.0" hidden="1" customHeight="1">
      <c r="A7843" s="59">
        <f t="shared" si="20"/>
        <v>127</v>
      </c>
      <c r="B7843" s="59" t="str">
        <f t="shared" si="21"/>
        <v/>
      </c>
      <c r="C7843" s="59" t="str">
        <f t="shared" si="22"/>
        <v/>
      </c>
      <c r="D7843" s="45" t="str">
        <f t="shared" si="23"/>
        <v/>
      </c>
      <c r="E7843" s="45" t="str">
        <f t="shared" si="24"/>
        <v/>
      </c>
      <c r="F7843" s="59" t="str">
        <f t="shared" si="25"/>
        <v/>
      </c>
      <c r="G7843" s="59" t="str">
        <f t="shared" si="26"/>
        <v/>
      </c>
      <c r="H7843" s="59" t="str">
        <f t="shared" si="27"/>
        <v>Xúc Đào</v>
      </c>
      <c r="I7843" s="59" t="str">
        <f>IF(OR($A7843="",$C7843="",$D7843="",$E7843="",$H7843=""),"",SUMIFS(DATA_GOC!$H:$H,DATA_GOC!$A:$A,"BOM",DATA_GOC!$D:$D,$H7843,DATA_GOC!$E:$E,$C7843,DATA_GOC!$F:$F,"Xuất nội bộ từ téc",DATA_GOC!$B:$B,"&gt;="&amp;$D7843,DATA_GOC!$B:$B,"&lt;="&amp;$E7843))</f>
        <v/>
      </c>
      <c r="J7843" s="59">
        <f t="shared" si="28"/>
        <v>0</v>
      </c>
      <c r="K7843" s="59">
        <f t="shared" si="29"/>
        <v>0</v>
      </c>
      <c r="L7843" s="59">
        <f t="shared" si="30"/>
        <v>0</v>
      </c>
      <c r="M7843" s="59">
        <f t="shared" si="31"/>
        <v>0</v>
      </c>
    </row>
    <row r="7844" ht="15.0" hidden="1" customHeight="1">
      <c r="A7844" s="59">
        <f t="shared" si="20"/>
        <v>127</v>
      </c>
      <c r="B7844" s="59" t="str">
        <f t="shared" si="21"/>
        <v/>
      </c>
      <c r="C7844" s="59" t="str">
        <f t="shared" si="22"/>
        <v/>
      </c>
      <c r="D7844" s="45" t="str">
        <f t="shared" si="23"/>
        <v/>
      </c>
      <c r="E7844" s="45" t="str">
        <f t="shared" si="24"/>
        <v/>
      </c>
      <c r="F7844" s="59" t="str">
        <f t="shared" si="25"/>
        <v/>
      </c>
      <c r="G7844" s="59" t="str">
        <f t="shared" si="26"/>
        <v/>
      </c>
      <c r="H7844" s="59" t="str">
        <f t="shared" si="27"/>
        <v>Xúclật asphalt</v>
      </c>
      <c r="I7844" s="59" t="str">
        <f>IF(OR($A7844="",$C7844="",$D7844="",$E7844="",$H7844=""),"",SUMIFS(DATA_GOC!$H:$H,DATA_GOC!$A:$A,"BOM",DATA_GOC!$D:$D,$H7844,DATA_GOC!$E:$E,$C7844,DATA_GOC!$F:$F,"Xuất nội bộ từ téc",DATA_GOC!$B:$B,"&gt;="&amp;$D7844,DATA_GOC!$B:$B,"&lt;="&amp;$E7844))</f>
        <v/>
      </c>
      <c r="J7844" s="59">
        <f t="shared" si="28"/>
        <v>0</v>
      </c>
      <c r="K7844" s="59">
        <f t="shared" si="29"/>
        <v>0</v>
      </c>
      <c r="L7844" s="59">
        <f t="shared" si="30"/>
        <v>0</v>
      </c>
      <c r="M7844" s="59">
        <f t="shared" si="31"/>
        <v>0</v>
      </c>
    </row>
    <row r="7845" ht="15.0" hidden="1" customHeight="1">
      <c r="A7845" s="59">
        <f t="shared" si="20"/>
        <v>127</v>
      </c>
      <c r="B7845" s="59" t="str">
        <f t="shared" si="21"/>
        <v/>
      </c>
      <c r="C7845" s="59" t="str">
        <f t="shared" si="22"/>
        <v/>
      </c>
      <c r="D7845" s="45" t="str">
        <f t="shared" si="23"/>
        <v/>
      </c>
      <c r="E7845" s="45" t="str">
        <f t="shared" si="24"/>
        <v/>
      </c>
      <c r="F7845" s="59" t="str">
        <f t="shared" si="25"/>
        <v/>
      </c>
      <c r="G7845" s="59" t="str">
        <f t="shared" si="26"/>
        <v/>
      </c>
      <c r="H7845" s="59" t="str">
        <f t="shared" si="27"/>
        <v>Xúclật855H</v>
      </c>
      <c r="I7845" s="59" t="str">
        <f>IF(OR($A7845="",$C7845="",$D7845="",$E7845="",$H7845=""),"",SUMIFS(DATA_GOC!$H:$H,DATA_GOC!$A:$A,"BOM",DATA_GOC!$D:$D,$H7845,DATA_GOC!$E:$E,$C7845,DATA_GOC!$F:$F,"Xuất nội bộ từ téc",DATA_GOC!$B:$B,"&gt;="&amp;$D7845,DATA_GOC!$B:$B,"&lt;="&amp;$E7845))</f>
        <v/>
      </c>
      <c r="J7845" s="59">
        <f t="shared" si="28"/>
        <v>0</v>
      </c>
      <c r="K7845" s="59">
        <f t="shared" si="29"/>
        <v>0</v>
      </c>
      <c r="L7845" s="59">
        <f t="shared" si="30"/>
        <v>0</v>
      </c>
      <c r="M7845" s="59">
        <f t="shared" si="31"/>
        <v>0</v>
      </c>
    </row>
    <row r="7846" ht="15.0" hidden="1" customHeight="1">
      <c r="A7846" s="59">
        <f t="shared" si="20"/>
        <v>127</v>
      </c>
      <c r="B7846" s="59" t="str">
        <f t="shared" si="21"/>
        <v/>
      </c>
      <c r="C7846" s="59" t="str">
        <f t="shared" si="22"/>
        <v/>
      </c>
      <c r="D7846" s="45" t="str">
        <f t="shared" si="23"/>
        <v/>
      </c>
      <c r="E7846" s="45" t="str">
        <f t="shared" si="24"/>
        <v/>
      </c>
      <c r="F7846" s="59" t="str">
        <f t="shared" si="25"/>
        <v/>
      </c>
      <c r="G7846" s="59" t="str">
        <f t="shared" si="26"/>
        <v/>
      </c>
      <c r="H7846" s="59" t="str">
        <f t="shared" si="27"/>
        <v>Xúclật855N</v>
      </c>
      <c r="I7846" s="59" t="str">
        <f>IF(OR($A7846="",$C7846="",$D7846="",$E7846="",$H7846=""),"",SUMIFS(DATA_GOC!$H:$H,DATA_GOC!$A:$A,"BOM",DATA_GOC!$D:$D,$H7846,DATA_GOC!$E:$E,$C7846,DATA_GOC!$F:$F,"Xuất nội bộ từ téc",DATA_GOC!$B:$B,"&gt;="&amp;$D7846,DATA_GOC!$B:$B,"&lt;="&amp;$E7846))</f>
        <v/>
      </c>
      <c r="J7846" s="59">
        <f t="shared" si="28"/>
        <v>0</v>
      </c>
      <c r="K7846" s="59">
        <f t="shared" si="29"/>
        <v>0</v>
      </c>
      <c r="L7846" s="59">
        <f t="shared" si="30"/>
        <v>0</v>
      </c>
      <c r="M7846" s="59">
        <f t="shared" si="31"/>
        <v>0</v>
      </c>
    </row>
    <row r="7847" ht="15.0" hidden="1" customHeight="1">
      <c r="A7847" s="59">
        <f t="shared" si="20"/>
        <v>127</v>
      </c>
      <c r="B7847" s="59" t="str">
        <f t="shared" si="21"/>
        <v/>
      </c>
      <c r="C7847" s="59" t="str">
        <f t="shared" si="22"/>
        <v/>
      </c>
      <c r="D7847" s="45" t="str">
        <f t="shared" si="23"/>
        <v/>
      </c>
      <c r="E7847" s="45" t="str">
        <f t="shared" si="24"/>
        <v/>
      </c>
      <c r="F7847" s="59" t="str">
        <f t="shared" si="25"/>
        <v/>
      </c>
      <c r="G7847" s="59" t="str">
        <f t="shared" si="26"/>
        <v/>
      </c>
      <c r="H7847" s="59" t="str">
        <f t="shared" si="27"/>
        <v>Cát nghiền</v>
      </c>
      <c r="I7847" s="59" t="str">
        <f>IF(OR($A7847="",$C7847="",$D7847="",$E7847="",$H7847=""),"",SUMIFS(DATA_GOC!$H:$H,DATA_GOC!$A:$A,"BOM",DATA_GOC!$D:$D,$H7847,DATA_GOC!$E:$E,$C7847,DATA_GOC!$F:$F,"Xuất nội bộ từ téc",DATA_GOC!$B:$B,"&gt;="&amp;$D7847,DATA_GOC!$B:$B,"&lt;="&amp;$E7847))</f>
        <v/>
      </c>
      <c r="J7847" s="59">
        <f t="shared" si="28"/>
        <v>0</v>
      </c>
      <c r="K7847" s="59">
        <f t="shared" si="29"/>
        <v>0</v>
      </c>
      <c r="L7847" s="59">
        <f t="shared" si="30"/>
        <v>0</v>
      </c>
      <c r="M7847" s="59">
        <f t="shared" si="31"/>
        <v>0</v>
      </c>
    </row>
    <row r="7848" ht="15.0" hidden="1" customHeight="1">
      <c r="A7848" s="59">
        <f t="shared" si="20"/>
        <v>127</v>
      </c>
      <c r="B7848" s="59" t="str">
        <f t="shared" si="21"/>
        <v/>
      </c>
      <c r="C7848" s="59" t="str">
        <f t="shared" si="22"/>
        <v/>
      </c>
      <c r="D7848" s="45" t="str">
        <f t="shared" si="23"/>
        <v/>
      </c>
      <c r="E7848" s="45" t="str">
        <f t="shared" si="24"/>
        <v/>
      </c>
      <c r="F7848" s="59" t="str">
        <f t="shared" si="25"/>
        <v/>
      </c>
      <c r="G7848" s="59" t="str">
        <f t="shared" si="26"/>
        <v/>
      </c>
      <c r="H7848" s="59" t="str">
        <f t="shared" si="27"/>
        <v>28C02973</v>
      </c>
      <c r="I7848" s="59" t="str">
        <f>IF(OR($A7848="",$C7848="",$D7848="",$E7848="",$H7848=""),"",SUMIFS(DATA_GOC!$H:$H,DATA_GOC!$A:$A,"BOM",DATA_GOC!$D:$D,$H7848,DATA_GOC!$E:$E,$C7848,DATA_GOC!$F:$F,"Xuất nội bộ từ téc",DATA_GOC!$B:$B,"&gt;="&amp;$D7848,DATA_GOC!$B:$B,"&lt;="&amp;$E7848))</f>
        <v/>
      </c>
      <c r="J7848" s="59">
        <f t="shared" si="28"/>
        <v>0</v>
      </c>
      <c r="K7848" s="59">
        <f t="shared" si="29"/>
        <v>0</v>
      </c>
      <c r="L7848" s="59">
        <f t="shared" si="30"/>
        <v>0</v>
      </c>
      <c r="M7848" s="59">
        <f t="shared" si="31"/>
        <v>0</v>
      </c>
    </row>
    <row r="7849" ht="15.0" hidden="1" customHeight="1">
      <c r="A7849" s="59">
        <f t="shared" si="20"/>
        <v>127</v>
      </c>
      <c r="B7849" s="59" t="str">
        <f t="shared" si="21"/>
        <v/>
      </c>
      <c r="C7849" s="59" t="str">
        <f t="shared" si="22"/>
        <v/>
      </c>
      <c r="D7849" s="45" t="str">
        <f t="shared" si="23"/>
        <v/>
      </c>
      <c r="E7849" s="45" t="str">
        <f t="shared" si="24"/>
        <v/>
      </c>
      <c r="F7849" s="59" t="str">
        <f t="shared" si="25"/>
        <v/>
      </c>
      <c r="G7849" s="59" t="str">
        <f t="shared" si="26"/>
        <v/>
      </c>
      <c r="H7849" s="59" t="str">
        <f t="shared" si="27"/>
        <v>28C03044</v>
      </c>
      <c r="I7849" s="59" t="str">
        <f>IF(OR($A7849="",$C7849="",$D7849="",$E7849="",$H7849=""),"",SUMIFS(DATA_GOC!$H:$H,DATA_GOC!$A:$A,"BOM",DATA_GOC!$D:$D,$H7849,DATA_GOC!$E:$E,$C7849,DATA_GOC!$F:$F,"Xuất nội bộ từ téc",DATA_GOC!$B:$B,"&gt;="&amp;$D7849,DATA_GOC!$B:$B,"&lt;="&amp;$E7849))</f>
        <v/>
      </c>
      <c r="J7849" s="59">
        <f t="shared" si="28"/>
        <v>0</v>
      </c>
      <c r="K7849" s="59">
        <f t="shared" si="29"/>
        <v>0</v>
      </c>
      <c r="L7849" s="59">
        <f t="shared" si="30"/>
        <v>0</v>
      </c>
      <c r="M7849" s="59">
        <f t="shared" si="31"/>
        <v>0</v>
      </c>
    </row>
    <row r="7850" ht="15.0" hidden="1" customHeight="1">
      <c r="A7850" s="59">
        <f t="shared" si="20"/>
        <v>127</v>
      </c>
      <c r="B7850" s="59" t="str">
        <f t="shared" si="21"/>
        <v/>
      </c>
      <c r="C7850" s="59" t="str">
        <f t="shared" si="22"/>
        <v/>
      </c>
      <c r="D7850" s="45" t="str">
        <f t="shared" si="23"/>
        <v/>
      </c>
      <c r="E7850" s="45" t="str">
        <f t="shared" si="24"/>
        <v/>
      </c>
      <c r="F7850" s="59" t="str">
        <f t="shared" si="25"/>
        <v/>
      </c>
      <c r="G7850" s="59" t="str">
        <f t="shared" si="26"/>
        <v/>
      </c>
      <c r="H7850" s="59" t="str">
        <f t="shared" si="27"/>
        <v>Máy lu lốp</v>
      </c>
      <c r="I7850" s="59" t="str">
        <f>IF(OR($A7850="",$C7850="",$D7850="",$E7850="",$H7850=""),"",SUMIFS(DATA_GOC!$H:$H,DATA_GOC!$A:$A,"BOM",DATA_GOC!$D:$D,$H7850,DATA_GOC!$E:$E,$C7850,DATA_GOC!$F:$F,"Xuất nội bộ từ téc",DATA_GOC!$B:$B,"&gt;="&amp;$D7850,DATA_GOC!$B:$B,"&lt;="&amp;$E7850))</f>
        <v/>
      </c>
      <c r="J7850" s="59">
        <f t="shared" si="28"/>
        <v>0</v>
      </c>
      <c r="K7850" s="59">
        <f t="shared" si="29"/>
        <v>0</v>
      </c>
      <c r="L7850" s="59">
        <f t="shared" si="30"/>
        <v>0</v>
      </c>
      <c r="M7850" s="59">
        <f t="shared" si="31"/>
        <v>0</v>
      </c>
    </row>
    <row r="7851" ht="15.0" hidden="1" customHeight="1">
      <c r="A7851" s="59">
        <f t="shared" si="20"/>
        <v>127</v>
      </c>
      <c r="B7851" s="59" t="str">
        <f t="shared" si="21"/>
        <v/>
      </c>
      <c r="C7851" s="59" t="str">
        <f t="shared" si="22"/>
        <v/>
      </c>
      <c r="D7851" s="45" t="str">
        <f t="shared" si="23"/>
        <v/>
      </c>
      <c r="E7851" s="45" t="str">
        <f t="shared" si="24"/>
        <v/>
      </c>
      <c r="F7851" s="59" t="str">
        <f t="shared" si="25"/>
        <v/>
      </c>
      <c r="G7851" s="59" t="str">
        <f t="shared" si="26"/>
        <v/>
      </c>
      <c r="H7851" s="59" t="str">
        <f t="shared" si="27"/>
        <v>Xe 600148</v>
      </c>
      <c r="I7851" s="59" t="str">
        <f>IF(OR($A7851="",$C7851="",$D7851="",$E7851="",$H7851=""),"",SUMIFS(DATA_GOC!$H:$H,DATA_GOC!$A:$A,"BOM",DATA_GOC!$D:$D,$H7851,DATA_GOC!$E:$E,$C7851,DATA_GOC!$F:$F,"Xuất nội bộ từ téc",DATA_GOC!$B:$B,"&gt;="&amp;$D7851,DATA_GOC!$B:$B,"&lt;="&amp;$E7851))</f>
        <v/>
      </c>
      <c r="J7851" s="59">
        <f t="shared" si="28"/>
        <v>0</v>
      </c>
      <c r="K7851" s="59">
        <f t="shared" si="29"/>
        <v>0</v>
      </c>
      <c r="L7851" s="59">
        <f t="shared" si="30"/>
        <v>0</v>
      </c>
      <c r="M7851" s="59">
        <f t="shared" si="31"/>
        <v>0</v>
      </c>
    </row>
    <row r="7852" ht="15.0" hidden="1" customHeight="1">
      <c r="A7852" s="59">
        <f t="shared" si="20"/>
        <v>127</v>
      </c>
      <c r="B7852" s="59" t="str">
        <f t="shared" si="21"/>
        <v/>
      </c>
      <c r="C7852" s="59" t="str">
        <f t="shared" si="22"/>
        <v/>
      </c>
      <c r="D7852" s="45" t="str">
        <f t="shared" si="23"/>
        <v/>
      </c>
      <c r="E7852" s="45" t="str">
        <f t="shared" si="24"/>
        <v/>
      </c>
      <c r="F7852" s="59" t="str">
        <f t="shared" si="25"/>
        <v/>
      </c>
      <c r="G7852" s="59" t="str">
        <f t="shared" si="26"/>
        <v/>
      </c>
      <c r="H7852" s="59" t="str">
        <f t="shared" si="27"/>
        <v>Xe ben mới</v>
      </c>
      <c r="I7852" s="59" t="str">
        <f>IF(OR($A7852="",$C7852="",$D7852="",$E7852="",$H7852=""),"",SUMIFS(DATA_GOC!$H:$H,DATA_GOC!$A:$A,"BOM",DATA_GOC!$D:$D,$H7852,DATA_GOC!$E:$E,$C7852,DATA_GOC!$F:$F,"Xuất nội bộ từ téc",DATA_GOC!$B:$B,"&gt;="&amp;$D7852,DATA_GOC!$B:$B,"&lt;="&amp;$E7852))</f>
        <v/>
      </c>
      <c r="J7852" s="59">
        <f t="shared" si="28"/>
        <v>0</v>
      </c>
      <c r="K7852" s="59">
        <f t="shared" si="29"/>
        <v>0</v>
      </c>
      <c r="L7852" s="59">
        <f t="shared" si="30"/>
        <v>0</v>
      </c>
      <c r="M7852" s="59">
        <f t="shared" si="31"/>
        <v>0</v>
      </c>
    </row>
    <row r="7853" ht="15.0" hidden="1" customHeight="1">
      <c r="A7853" s="59">
        <f t="shared" si="20"/>
        <v>128</v>
      </c>
      <c r="B7853" s="59" t="str">
        <f t="shared" si="21"/>
        <v/>
      </c>
      <c r="C7853" s="59" t="str">
        <f t="shared" si="22"/>
        <v/>
      </c>
      <c r="D7853" s="45" t="str">
        <f t="shared" si="23"/>
        <v/>
      </c>
      <c r="E7853" s="45" t="str">
        <f t="shared" si="24"/>
        <v/>
      </c>
      <c r="F7853" s="59" t="str">
        <f t="shared" si="25"/>
        <v/>
      </c>
      <c r="G7853" s="59" t="str">
        <f t="shared" si="26"/>
        <v/>
      </c>
      <c r="H7853" s="59" t="str">
        <f t="shared" si="27"/>
        <v>19H09482</v>
      </c>
      <c r="I7853" s="59" t="str">
        <f>IF(OR($A7853="",$C7853="",$D7853="",$E7853="",$H7853=""),"",SUMIFS(DATA_GOC!$H:$H,DATA_GOC!$A:$A,"BOM",DATA_GOC!$D:$D,$H7853,DATA_GOC!$E:$E,$C7853,DATA_GOC!$F:$F,"Xuất nội bộ từ téc",DATA_GOC!$B:$B,"&gt;="&amp;$D7853,DATA_GOC!$B:$B,"&lt;="&amp;$E7853))</f>
        <v/>
      </c>
      <c r="J7853" s="59">
        <f t="shared" si="28"/>
        <v>0</v>
      </c>
      <c r="K7853" s="59">
        <f t="shared" si="29"/>
        <v>0</v>
      </c>
      <c r="L7853" s="59">
        <f t="shared" si="30"/>
        <v>0</v>
      </c>
      <c r="M7853" s="59">
        <f t="shared" si="31"/>
        <v>0</v>
      </c>
    </row>
    <row r="7854" ht="15.0" hidden="1" customHeight="1">
      <c r="A7854" s="59">
        <f t="shared" si="20"/>
        <v>128</v>
      </c>
      <c r="B7854" s="59" t="str">
        <f t="shared" si="21"/>
        <v/>
      </c>
      <c r="C7854" s="59" t="str">
        <f t="shared" si="22"/>
        <v/>
      </c>
      <c r="D7854" s="45" t="str">
        <f t="shared" si="23"/>
        <v/>
      </c>
      <c r="E7854" s="45" t="str">
        <f t="shared" si="24"/>
        <v/>
      </c>
      <c r="F7854" s="59" t="str">
        <f t="shared" si="25"/>
        <v/>
      </c>
      <c r="G7854" s="59" t="str">
        <f t="shared" si="26"/>
        <v/>
      </c>
      <c r="H7854" s="59" t="str">
        <f t="shared" si="27"/>
        <v>28A30696</v>
      </c>
      <c r="I7854" s="59" t="str">
        <f>IF(OR($A7854="",$C7854="",$D7854="",$E7854="",$H7854=""),"",SUMIFS(DATA_GOC!$H:$H,DATA_GOC!$A:$A,"BOM",DATA_GOC!$D:$D,$H7854,DATA_GOC!$E:$E,$C7854,DATA_GOC!$F:$F,"Xuất nội bộ từ téc",DATA_GOC!$B:$B,"&gt;="&amp;$D7854,DATA_GOC!$B:$B,"&lt;="&amp;$E7854))</f>
        <v/>
      </c>
      <c r="J7854" s="59">
        <f t="shared" si="28"/>
        <v>0</v>
      </c>
      <c r="K7854" s="59">
        <f t="shared" si="29"/>
        <v>0</v>
      </c>
      <c r="L7854" s="59">
        <f t="shared" si="30"/>
        <v>0</v>
      </c>
      <c r="M7854" s="59">
        <f t="shared" si="31"/>
        <v>0</v>
      </c>
    </row>
    <row r="7855" ht="15.0" hidden="1" customHeight="1">
      <c r="A7855" s="59">
        <f t="shared" si="20"/>
        <v>128</v>
      </c>
      <c r="B7855" s="59" t="str">
        <f t="shared" si="21"/>
        <v/>
      </c>
      <c r="C7855" s="59" t="str">
        <f t="shared" si="22"/>
        <v/>
      </c>
      <c r="D7855" s="45" t="str">
        <f t="shared" si="23"/>
        <v/>
      </c>
      <c r="E7855" s="45" t="str">
        <f t="shared" si="24"/>
        <v/>
      </c>
      <c r="F7855" s="59" t="str">
        <f t="shared" si="25"/>
        <v/>
      </c>
      <c r="G7855" s="59" t="str">
        <f t="shared" si="26"/>
        <v/>
      </c>
      <c r="H7855" s="59" t="str">
        <f t="shared" si="27"/>
        <v>28C00462</v>
      </c>
      <c r="I7855" s="59" t="str">
        <f>IF(OR($A7855="",$C7855="",$D7855="",$E7855="",$H7855=""),"",SUMIFS(DATA_GOC!$H:$H,DATA_GOC!$A:$A,"BOM",DATA_GOC!$D:$D,$H7855,DATA_GOC!$E:$E,$C7855,DATA_GOC!$F:$F,"Xuất nội bộ từ téc",DATA_GOC!$B:$B,"&gt;="&amp;$D7855,DATA_GOC!$B:$B,"&lt;="&amp;$E7855))</f>
        <v/>
      </c>
      <c r="J7855" s="59">
        <f t="shared" si="28"/>
        <v>0</v>
      </c>
      <c r="K7855" s="59">
        <f t="shared" si="29"/>
        <v>0</v>
      </c>
      <c r="L7855" s="59">
        <f t="shared" si="30"/>
        <v>0</v>
      </c>
      <c r="M7855" s="59">
        <f t="shared" si="31"/>
        <v>0</v>
      </c>
    </row>
    <row r="7856" ht="15.0" hidden="1" customHeight="1">
      <c r="A7856" s="59">
        <f t="shared" si="20"/>
        <v>128</v>
      </c>
      <c r="B7856" s="59" t="str">
        <f t="shared" si="21"/>
        <v/>
      </c>
      <c r="C7856" s="59" t="str">
        <f t="shared" si="22"/>
        <v/>
      </c>
      <c r="D7856" s="45" t="str">
        <f t="shared" si="23"/>
        <v/>
      </c>
      <c r="E7856" s="45" t="str">
        <f t="shared" si="24"/>
        <v/>
      </c>
      <c r="F7856" s="59" t="str">
        <f t="shared" si="25"/>
        <v/>
      </c>
      <c r="G7856" s="59" t="str">
        <f t="shared" si="26"/>
        <v/>
      </c>
      <c r="H7856" s="59" t="str">
        <f t="shared" si="27"/>
        <v>28C01165</v>
      </c>
      <c r="I7856" s="59" t="str">
        <f>IF(OR($A7856="",$C7856="",$D7856="",$E7856="",$H7856=""),"",SUMIFS(DATA_GOC!$H:$H,DATA_GOC!$A:$A,"BOM",DATA_GOC!$D:$D,$H7856,DATA_GOC!$E:$E,$C7856,DATA_GOC!$F:$F,"Xuất nội bộ từ téc",DATA_GOC!$B:$B,"&gt;="&amp;$D7856,DATA_GOC!$B:$B,"&lt;="&amp;$E7856))</f>
        <v/>
      </c>
      <c r="J7856" s="59">
        <f t="shared" si="28"/>
        <v>0</v>
      </c>
      <c r="K7856" s="59">
        <f t="shared" si="29"/>
        <v>0</v>
      </c>
      <c r="L7856" s="59">
        <f t="shared" si="30"/>
        <v>0</v>
      </c>
      <c r="M7856" s="59">
        <f t="shared" si="31"/>
        <v>0</v>
      </c>
    </row>
    <row r="7857" ht="15.0" hidden="1" customHeight="1">
      <c r="A7857" s="59">
        <f t="shared" si="20"/>
        <v>128</v>
      </c>
      <c r="B7857" s="59" t="str">
        <f t="shared" si="21"/>
        <v/>
      </c>
      <c r="C7857" s="59" t="str">
        <f t="shared" si="22"/>
        <v/>
      </c>
      <c r="D7857" s="45" t="str">
        <f t="shared" si="23"/>
        <v/>
      </c>
      <c r="E7857" s="45" t="str">
        <f t="shared" si="24"/>
        <v/>
      </c>
      <c r="F7857" s="59" t="str">
        <f t="shared" si="25"/>
        <v/>
      </c>
      <c r="G7857" s="59" t="str">
        <f t="shared" si="26"/>
        <v/>
      </c>
      <c r="H7857" s="59" t="str">
        <f t="shared" si="27"/>
        <v>28C01406</v>
      </c>
      <c r="I7857" s="59" t="str">
        <f>IF(OR($A7857="",$C7857="",$D7857="",$E7857="",$H7857=""),"",SUMIFS(DATA_GOC!$H:$H,DATA_GOC!$A:$A,"BOM",DATA_GOC!$D:$D,$H7857,DATA_GOC!$E:$E,$C7857,DATA_GOC!$F:$F,"Xuất nội bộ từ téc",DATA_GOC!$B:$B,"&gt;="&amp;$D7857,DATA_GOC!$B:$B,"&lt;="&amp;$E7857))</f>
        <v/>
      </c>
      <c r="J7857" s="59">
        <f t="shared" si="28"/>
        <v>0</v>
      </c>
      <c r="K7857" s="59">
        <f t="shared" si="29"/>
        <v>0</v>
      </c>
      <c r="L7857" s="59">
        <f t="shared" si="30"/>
        <v>0</v>
      </c>
      <c r="M7857" s="59">
        <f t="shared" si="31"/>
        <v>0</v>
      </c>
    </row>
    <row r="7858" ht="15.0" hidden="1" customHeight="1">
      <c r="A7858" s="59">
        <f t="shared" si="20"/>
        <v>128</v>
      </c>
      <c r="B7858" s="59" t="str">
        <f t="shared" si="21"/>
        <v/>
      </c>
      <c r="C7858" s="59" t="str">
        <f t="shared" si="22"/>
        <v/>
      </c>
      <c r="D7858" s="45" t="str">
        <f t="shared" si="23"/>
        <v/>
      </c>
      <c r="E7858" s="45" t="str">
        <f t="shared" si="24"/>
        <v/>
      </c>
      <c r="F7858" s="59" t="str">
        <f t="shared" si="25"/>
        <v/>
      </c>
      <c r="G7858" s="59" t="str">
        <f t="shared" si="26"/>
        <v/>
      </c>
      <c r="H7858" s="59" t="str">
        <f t="shared" si="27"/>
        <v>28C01544</v>
      </c>
      <c r="I7858" s="59" t="str">
        <f>IF(OR($A7858="",$C7858="",$D7858="",$E7858="",$H7858=""),"",SUMIFS(DATA_GOC!$H:$H,DATA_GOC!$A:$A,"BOM",DATA_GOC!$D:$D,$H7858,DATA_GOC!$E:$E,$C7858,DATA_GOC!$F:$F,"Xuất nội bộ từ téc",DATA_GOC!$B:$B,"&gt;="&amp;$D7858,DATA_GOC!$B:$B,"&lt;="&amp;$E7858))</f>
        <v/>
      </c>
      <c r="J7858" s="59">
        <f t="shared" si="28"/>
        <v>0</v>
      </c>
      <c r="K7858" s="59">
        <f t="shared" si="29"/>
        <v>0</v>
      </c>
      <c r="L7858" s="59">
        <f t="shared" si="30"/>
        <v>0</v>
      </c>
      <c r="M7858" s="59">
        <f t="shared" si="31"/>
        <v>0</v>
      </c>
    </row>
    <row r="7859" ht="15.0" hidden="1" customHeight="1">
      <c r="A7859" s="59">
        <f t="shared" si="20"/>
        <v>128</v>
      </c>
      <c r="B7859" s="59" t="str">
        <f t="shared" si="21"/>
        <v/>
      </c>
      <c r="C7859" s="59" t="str">
        <f t="shared" si="22"/>
        <v/>
      </c>
      <c r="D7859" s="45" t="str">
        <f t="shared" si="23"/>
        <v/>
      </c>
      <c r="E7859" s="45" t="str">
        <f t="shared" si="24"/>
        <v/>
      </c>
      <c r="F7859" s="59" t="str">
        <f t="shared" si="25"/>
        <v/>
      </c>
      <c r="G7859" s="59" t="str">
        <f t="shared" si="26"/>
        <v/>
      </c>
      <c r="H7859" s="59" t="str">
        <f t="shared" si="27"/>
        <v>28C01622</v>
      </c>
      <c r="I7859" s="59" t="str">
        <f>IF(OR($A7859="",$C7859="",$D7859="",$E7859="",$H7859=""),"",SUMIFS(DATA_GOC!$H:$H,DATA_GOC!$A:$A,"BOM",DATA_GOC!$D:$D,$H7859,DATA_GOC!$E:$E,$C7859,DATA_GOC!$F:$F,"Xuất nội bộ từ téc",DATA_GOC!$B:$B,"&gt;="&amp;$D7859,DATA_GOC!$B:$B,"&lt;="&amp;$E7859))</f>
        <v/>
      </c>
      <c r="J7859" s="59">
        <f t="shared" si="28"/>
        <v>0</v>
      </c>
      <c r="K7859" s="59">
        <f t="shared" si="29"/>
        <v>0</v>
      </c>
      <c r="L7859" s="59">
        <f t="shared" si="30"/>
        <v>0</v>
      </c>
      <c r="M7859" s="59">
        <f t="shared" si="31"/>
        <v>0</v>
      </c>
    </row>
    <row r="7860" ht="15.0" hidden="1" customHeight="1">
      <c r="A7860" s="59">
        <f t="shared" si="20"/>
        <v>128</v>
      </c>
      <c r="B7860" s="59" t="str">
        <f t="shared" si="21"/>
        <v/>
      </c>
      <c r="C7860" s="59" t="str">
        <f t="shared" si="22"/>
        <v/>
      </c>
      <c r="D7860" s="45" t="str">
        <f t="shared" si="23"/>
        <v/>
      </c>
      <c r="E7860" s="45" t="str">
        <f t="shared" si="24"/>
        <v/>
      </c>
      <c r="F7860" s="59" t="str">
        <f t="shared" si="25"/>
        <v/>
      </c>
      <c r="G7860" s="59" t="str">
        <f t="shared" si="26"/>
        <v/>
      </c>
      <c r="H7860" s="59" t="str">
        <f t="shared" si="27"/>
        <v>28C01647</v>
      </c>
      <c r="I7860" s="59" t="str">
        <f>IF(OR($A7860="",$C7860="",$D7860="",$E7860="",$H7860=""),"",SUMIFS(DATA_GOC!$H:$H,DATA_GOC!$A:$A,"BOM",DATA_GOC!$D:$D,$H7860,DATA_GOC!$E:$E,$C7860,DATA_GOC!$F:$F,"Xuất nội bộ từ téc",DATA_GOC!$B:$B,"&gt;="&amp;$D7860,DATA_GOC!$B:$B,"&lt;="&amp;$E7860))</f>
        <v/>
      </c>
      <c r="J7860" s="59">
        <f t="shared" si="28"/>
        <v>0</v>
      </c>
      <c r="K7860" s="59">
        <f t="shared" si="29"/>
        <v>0</v>
      </c>
      <c r="L7860" s="59">
        <f t="shared" si="30"/>
        <v>0</v>
      </c>
      <c r="M7860" s="59">
        <f t="shared" si="31"/>
        <v>0</v>
      </c>
    </row>
    <row r="7861" ht="15.0" hidden="1" customHeight="1">
      <c r="A7861" s="59">
        <f t="shared" si="20"/>
        <v>128</v>
      </c>
      <c r="B7861" s="59" t="str">
        <f t="shared" si="21"/>
        <v/>
      </c>
      <c r="C7861" s="59" t="str">
        <f t="shared" si="22"/>
        <v/>
      </c>
      <c r="D7861" s="45" t="str">
        <f t="shared" si="23"/>
        <v/>
      </c>
      <c r="E7861" s="45" t="str">
        <f t="shared" si="24"/>
        <v/>
      </c>
      <c r="F7861" s="59" t="str">
        <f t="shared" si="25"/>
        <v/>
      </c>
      <c r="G7861" s="59" t="str">
        <f t="shared" si="26"/>
        <v/>
      </c>
      <c r="H7861" s="59" t="str">
        <f t="shared" si="27"/>
        <v>28C01731</v>
      </c>
      <c r="I7861" s="59" t="str">
        <f>IF(OR($A7861="",$C7861="",$D7861="",$E7861="",$H7861=""),"",SUMIFS(DATA_GOC!$H:$H,DATA_GOC!$A:$A,"BOM",DATA_GOC!$D:$D,$H7861,DATA_GOC!$E:$E,$C7861,DATA_GOC!$F:$F,"Xuất nội bộ từ téc",DATA_GOC!$B:$B,"&gt;="&amp;$D7861,DATA_GOC!$B:$B,"&lt;="&amp;$E7861))</f>
        <v/>
      </c>
      <c r="J7861" s="59">
        <f t="shared" si="28"/>
        <v>0</v>
      </c>
      <c r="K7861" s="59">
        <f t="shared" si="29"/>
        <v>0</v>
      </c>
      <c r="L7861" s="59">
        <f t="shared" si="30"/>
        <v>0</v>
      </c>
      <c r="M7861" s="59">
        <f t="shared" si="31"/>
        <v>0</v>
      </c>
    </row>
    <row r="7862" ht="15.0" hidden="1" customHeight="1">
      <c r="A7862" s="59">
        <f t="shared" si="20"/>
        <v>128</v>
      </c>
      <c r="B7862" s="59" t="str">
        <f t="shared" si="21"/>
        <v/>
      </c>
      <c r="C7862" s="59" t="str">
        <f t="shared" si="22"/>
        <v/>
      </c>
      <c r="D7862" s="45" t="str">
        <f t="shared" si="23"/>
        <v/>
      </c>
      <c r="E7862" s="45" t="str">
        <f t="shared" si="24"/>
        <v/>
      </c>
      <c r="F7862" s="59" t="str">
        <f t="shared" si="25"/>
        <v/>
      </c>
      <c r="G7862" s="59" t="str">
        <f t="shared" si="26"/>
        <v/>
      </c>
      <c r="H7862" s="59" t="str">
        <f t="shared" si="27"/>
        <v>28C01743</v>
      </c>
      <c r="I7862" s="59" t="str">
        <f>IF(OR($A7862="",$C7862="",$D7862="",$E7862="",$H7862=""),"",SUMIFS(DATA_GOC!$H:$H,DATA_GOC!$A:$A,"BOM",DATA_GOC!$D:$D,$H7862,DATA_GOC!$E:$E,$C7862,DATA_GOC!$F:$F,"Xuất nội bộ từ téc",DATA_GOC!$B:$B,"&gt;="&amp;$D7862,DATA_GOC!$B:$B,"&lt;="&amp;$E7862))</f>
        <v/>
      </c>
      <c r="J7862" s="59">
        <f t="shared" si="28"/>
        <v>0</v>
      </c>
      <c r="K7862" s="59">
        <f t="shared" si="29"/>
        <v>0</v>
      </c>
      <c r="L7862" s="59">
        <f t="shared" si="30"/>
        <v>0</v>
      </c>
      <c r="M7862" s="59">
        <f t="shared" si="31"/>
        <v>0</v>
      </c>
    </row>
    <row r="7863" ht="15.0" hidden="1" customHeight="1">
      <c r="A7863" s="59">
        <f t="shared" si="20"/>
        <v>128</v>
      </c>
      <c r="B7863" s="59" t="str">
        <f t="shared" si="21"/>
        <v/>
      </c>
      <c r="C7863" s="59" t="str">
        <f t="shared" si="22"/>
        <v/>
      </c>
      <c r="D7863" s="45" t="str">
        <f t="shared" si="23"/>
        <v/>
      </c>
      <c r="E7863" s="45" t="str">
        <f t="shared" si="24"/>
        <v/>
      </c>
      <c r="F7863" s="59" t="str">
        <f t="shared" si="25"/>
        <v/>
      </c>
      <c r="G7863" s="59" t="str">
        <f t="shared" si="26"/>
        <v/>
      </c>
      <c r="H7863" s="59" t="str">
        <f t="shared" si="27"/>
        <v>28C02106</v>
      </c>
      <c r="I7863" s="59" t="str">
        <f>IF(OR($A7863="",$C7863="",$D7863="",$E7863="",$H7863=""),"",SUMIFS(DATA_GOC!$H:$H,DATA_GOC!$A:$A,"BOM",DATA_GOC!$D:$D,$H7863,DATA_GOC!$E:$E,$C7863,DATA_GOC!$F:$F,"Xuất nội bộ từ téc",DATA_GOC!$B:$B,"&gt;="&amp;$D7863,DATA_GOC!$B:$B,"&lt;="&amp;$E7863))</f>
        <v/>
      </c>
      <c r="J7863" s="59">
        <f t="shared" si="28"/>
        <v>0</v>
      </c>
      <c r="K7863" s="59">
        <f t="shared" si="29"/>
        <v>0</v>
      </c>
      <c r="L7863" s="59">
        <f t="shared" si="30"/>
        <v>0</v>
      </c>
      <c r="M7863" s="59">
        <f t="shared" si="31"/>
        <v>0</v>
      </c>
    </row>
    <row r="7864" ht="15.0" hidden="1" customHeight="1">
      <c r="A7864" s="59">
        <f t="shared" si="20"/>
        <v>128</v>
      </c>
      <c r="B7864" s="59" t="str">
        <f t="shared" si="21"/>
        <v/>
      </c>
      <c r="C7864" s="59" t="str">
        <f t="shared" si="22"/>
        <v/>
      </c>
      <c r="D7864" s="45" t="str">
        <f t="shared" si="23"/>
        <v/>
      </c>
      <c r="E7864" s="45" t="str">
        <f t="shared" si="24"/>
        <v/>
      </c>
      <c r="F7864" s="59" t="str">
        <f t="shared" si="25"/>
        <v/>
      </c>
      <c r="G7864" s="59" t="str">
        <f t="shared" si="26"/>
        <v/>
      </c>
      <c r="H7864" s="59" t="str">
        <f t="shared" si="27"/>
        <v>28C02410</v>
      </c>
      <c r="I7864" s="59" t="str">
        <f>IF(OR($A7864="",$C7864="",$D7864="",$E7864="",$H7864=""),"",SUMIFS(DATA_GOC!$H:$H,DATA_GOC!$A:$A,"BOM",DATA_GOC!$D:$D,$H7864,DATA_GOC!$E:$E,$C7864,DATA_GOC!$F:$F,"Xuất nội bộ từ téc",DATA_GOC!$B:$B,"&gt;="&amp;$D7864,DATA_GOC!$B:$B,"&lt;="&amp;$E7864))</f>
        <v/>
      </c>
      <c r="J7864" s="59">
        <f t="shared" si="28"/>
        <v>0</v>
      </c>
      <c r="K7864" s="59">
        <f t="shared" si="29"/>
        <v>0</v>
      </c>
      <c r="L7864" s="59">
        <f t="shared" si="30"/>
        <v>0</v>
      </c>
      <c r="M7864" s="59">
        <f t="shared" si="31"/>
        <v>0</v>
      </c>
    </row>
    <row r="7865" ht="15.0" hidden="1" customHeight="1">
      <c r="A7865" s="59">
        <f t="shared" si="20"/>
        <v>128</v>
      </c>
      <c r="B7865" s="59" t="str">
        <f t="shared" si="21"/>
        <v/>
      </c>
      <c r="C7865" s="59" t="str">
        <f t="shared" si="22"/>
        <v/>
      </c>
      <c r="D7865" s="45" t="str">
        <f t="shared" si="23"/>
        <v/>
      </c>
      <c r="E7865" s="45" t="str">
        <f t="shared" si="24"/>
        <v/>
      </c>
      <c r="F7865" s="59" t="str">
        <f t="shared" si="25"/>
        <v/>
      </c>
      <c r="G7865" s="59" t="str">
        <f t="shared" si="26"/>
        <v/>
      </c>
      <c r="H7865" s="59" t="str">
        <f t="shared" si="27"/>
        <v>28C02545</v>
      </c>
      <c r="I7865" s="59" t="str">
        <f>IF(OR($A7865="",$C7865="",$D7865="",$E7865="",$H7865=""),"",SUMIFS(DATA_GOC!$H:$H,DATA_GOC!$A:$A,"BOM",DATA_GOC!$D:$D,$H7865,DATA_GOC!$E:$E,$C7865,DATA_GOC!$F:$F,"Xuất nội bộ từ téc",DATA_GOC!$B:$B,"&gt;="&amp;$D7865,DATA_GOC!$B:$B,"&lt;="&amp;$E7865))</f>
        <v/>
      </c>
      <c r="J7865" s="59">
        <f t="shared" si="28"/>
        <v>0</v>
      </c>
      <c r="K7865" s="59">
        <f t="shared" si="29"/>
        <v>0</v>
      </c>
      <c r="L7865" s="59">
        <f t="shared" si="30"/>
        <v>0</v>
      </c>
      <c r="M7865" s="59">
        <f t="shared" si="31"/>
        <v>0</v>
      </c>
    </row>
    <row r="7866" ht="15.0" hidden="1" customHeight="1">
      <c r="A7866" s="59">
        <f t="shared" si="20"/>
        <v>128</v>
      </c>
      <c r="B7866" s="59" t="str">
        <f t="shared" si="21"/>
        <v/>
      </c>
      <c r="C7866" s="59" t="str">
        <f t="shared" si="22"/>
        <v/>
      </c>
      <c r="D7866" s="45" t="str">
        <f t="shared" si="23"/>
        <v/>
      </c>
      <c r="E7866" s="45" t="str">
        <f t="shared" si="24"/>
        <v/>
      </c>
      <c r="F7866" s="59" t="str">
        <f t="shared" si="25"/>
        <v/>
      </c>
      <c r="G7866" s="59" t="str">
        <f t="shared" si="26"/>
        <v/>
      </c>
      <c r="H7866" s="59" t="str">
        <f t="shared" si="27"/>
        <v>28C02574</v>
      </c>
      <c r="I7866" s="59" t="str">
        <f>IF(OR($A7866="",$C7866="",$D7866="",$E7866="",$H7866=""),"",SUMIFS(DATA_GOC!$H:$H,DATA_GOC!$A:$A,"BOM",DATA_GOC!$D:$D,$H7866,DATA_GOC!$E:$E,$C7866,DATA_GOC!$F:$F,"Xuất nội bộ từ téc",DATA_GOC!$B:$B,"&gt;="&amp;$D7866,DATA_GOC!$B:$B,"&lt;="&amp;$E7866))</f>
        <v/>
      </c>
      <c r="J7866" s="59">
        <f t="shared" si="28"/>
        <v>0</v>
      </c>
      <c r="K7866" s="59">
        <f t="shared" si="29"/>
        <v>0</v>
      </c>
      <c r="L7866" s="59">
        <f t="shared" si="30"/>
        <v>0</v>
      </c>
      <c r="M7866" s="59">
        <f t="shared" si="31"/>
        <v>0</v>
      </c>
    </row>
    <row r="7867" ht="15.0" hidden="1" customHeight="1">
      <c r="A7867" s="59">
        <f t="shared" si="20"/>
        <v>128</v>
      </c>
      <c r="B7867" s="59" t="str">
        <f t="shared" si="21"/>
        <v/>
      </c>
      <c r="C7867" s="59" t="str">
        <f t="shared" si="22"/>
        <v/>
      </c>
      <c r="D7867" s="45" t="str">
        <f t="shared" si="23"/>
        <v/>
      </c>
      <c r="E7867" s="45" t="str">
        <f t="shared" si="24"/>
        <v/>
      </c>
      <c r="F7867" s="59" t="str">
        <f t="shared" si="25"/>
        <v/>
      </c>
      <c r="G7867" s="59" t="str">
        <f t="shared" si="26"/>
        <v/>
      </c>
      <c r="H7867" s="59" t="str">
        <f t="shared" si="27"/>
        <v>28C02770</v>
      </c>
      <c r="I7867" s="59" t="str">
        <f>IF(OR($A7867="",$C7867="",$D7867="",$E7867="",$H7867=""),"",SUMIFS(DATA_GOC!$H:$H,DATA_GOC!$A:$A,"BOM",DATA_GOC!$D:$D,$H7867,DATA_GOC!$E:$E,$C7867,DATA_GOC!$F:$F,"Xuất nội bộ từ téc",DATA_GOC!$B:$B,"&gt;="&amp;$D7867,DATA_GOC!$B:$B,"&lt;="&amp;$E7867))</f>
        <v/>
      </c>
      <c r="J7867" s="59">
        <f t="shared" si="28"/>
        <v>0</v>
      </c>
      <c r="K7867" s="59">
        <f t="shared" si="29"/>
        <v>0</v>
      </c>
      <c r="L7867" s="59">
        <f t="shared" si="30"/>
        <v>0</v>
      </c>
      <c r="M7867" s="59">
        <f t="shared" si="31"/>
        <v>0</v>
      </c>
    </row>
    <row r="7868" ht="15.0" hidden="1" customHeight="1">
      <c r="A7868" s="59">
        <f t="shared" si="20"/>
        <v>128</v>
      </c>
      <c r="B7868" s="59" t="str">
        <f t="shared" si="21"/>
        <v/>
      </c>
      <c r="C7868" s="59" t="str">
        <f t="shared" si="22"/>
        <v/>
      </c>
      <c r="D7868" s="45" t="str">
        <f t="shared" si="23"/>
        <v/>
      </c>
      <c r="E7868" s="45" t="str">
        <f t="shared" si="24"/>
        <v/>
      </c>
      <c r="F7868" s="59" t="str">
        <f t="shared" si="25"/>
        <v/>
      </c>
      <c r="G7868" s="59" t="str">
        <f t="shared" si="26"/>
        <v/>
      </c>
      <c r="H7868" s="59" t="str">
        <f t="shared" si="27"/>
        <v>28C02986</v>
      </c>
      <c r="I7868" s="59" t="str">
        <f>IF(OR($A7868="",$C7868="",$D7868="",$E7868="",$H7868=""),"",SUMIFS(DATA_GOC!$H:$H,DATA_GOC!$A:$A,"BOM",DATA_GOC!$D:$D,$H7868,DATA_GOC!$E:$E,$C7868,DATA_GOC!$F:$F,"Xuất nội bộ từ téc",DATA_GOC!$B:$B,"&gt;="&amp;$D7868,DATA_GOC!$B:$B,"&lt;="&amp;$E7868))</f>
        <v/>
      </c>
      <c r="J7868" s="59">
        <f t="shared" si="28"/>
        <v>0</v>
      </c>
      <c r="K7868" s="59">
        <f t="shared" si="29"/>
        <v>0</v>
      </c>
      <c r="L7868" s="59">
        <f t="shared" si="30"/>
        <v>0</v>
      </c>
      <c r="M7868" s="59">
        <f t="shared" si="31"/>
        <v>0</v>
      </c>
    </row>
    <row r="7869" ht="15.0" hidden="1" customHeight="1">
      <c r="A7869" s="59">
        <f t="shared" si="20"/>
        <v>128</v>
      </c>
      <c r="B7869" s="59" t="str">
        <f t="shared" si="21"/>
        <v/>
      </c>
      <c r="C7869" s="59" t="str">
        <f t="shared" si="22"/>
        <v/>
      </c>
      <c r="D7869" s="45" t="str">
        <f t="shared" si="23"/>
        <v/>
      </c>
      <c r="E7869" s="45" t="str">
        <f t="shared" si="24"/>
        <v/>
      </c>
      <c r="F7869" s="59" t="str">
        <f t="shared" si="25"/>
        <v/>
      </c>
      <c r="G7869" s="59" t="str">
        <f t="shared" si="26"/>
        <v/>
      </c>
      <c r="H7869" s="59" t="str">
        <f t="shared" si="27"/>
        <v>28C03261</v>
      </c>
      <c r="I7869" s="59" t="str">
        <f>IF(OR($A7869="",$C7869="",$D7869="",$E7869="",$H7869=""),"",SUMIFS(DATA_GOC!$H:$H,DATA_GOC!$A:$A,"BOM",DATA_GOC!$D:$D,$H7869,DATA_GOC!$E:$E,$C7869,DATA_GOC!$F:$F,"Xuất nội bộ từ téc",DATA_GOC!$B:$B,"&gt;="&amp;$D7869,DATA_GOC!$B:$B,"&lt;="&amp;$E7869))</f>
        <v/>
      </c>
      <c r="J7869" s="59">
        <f t="shared" si="28"/>
        <v>0</v>
      </c>
      <c r="K7869" s="59">
        <f t="shared" si="29"/>
        <v>0</v>
      </c>
      <c r="L7869" s="59">
        <f t="shared" si="30"/>
        <v>0</v>
      </c>
      <c r="M7869" s="59">
        <f t="shared" si="31"/>
        <v>0</v>
      </c>
    </row>
    <row r="7870" ht="15.0" hidden="1" customHeight="1">
      <c r="A7870" s="59">
        <f t="shared" si="20"/>
        <v>128</v>
      </c>
      <c r="B7870" s="59" t="str">
        <f t="shared" si="21"/>
        <v/>
      </c>
      <c r="C7870" s="59" t="str">
        <f t="shared" si="22"/>
        <v/>
      </c>
      <c r="D7870" s="45" t="str">
        <f t="shared" si="23"/>
        <v/>
      </c>
      <c r="E7870" s="45" t="str">
        <f t="shared" si="24"/>
        <v/>
      </c>
      <c r="F7870" s="59" t="str">
        <f t="shared" si="25"/>
        <v/>
      </c>
      <c r="G7870" s="59" t="str">
        <f t="shared" si="26"/>
        <v/>
      </c>
      <c r="H7870" s="59" t="str">
        <f t="shared" si="27"/>
        <v>28C03323</v>
      </c>
      <c r="I7870" s="59" t="str">
        <f>IF(OR($A7870="",$C7870="",$D7870="",$E7870="",$H7870=""),"",SUMIFS(DATA_GOC!$H:$H,DATA_GOC!$A:$A,"BOM",DATA_GOC!$D:$D,$H7870,DATA_GOC!$E:$E,$C7870,DATA_GOC!$F:$F,"Xuất nội bộ từ téc",DATA_GOC!$B:$B,"&gt;="&amp;$D7870,DATA_GOC!$B:$B,"&lt;="&amp;$E7870))</f>
        <v/>
      </c>
      <c r="J7870" s="59">
        <f t="shared" si="28"/>
        <v>0</v>
      </c>
      <c r="K7870" s="59">
        <f t="shared" si="29"/>
        <v>0</v>
      </c>
      <c r="L7870" s="59">
        <f t="shared" si="30"/>
        <v>0</v>
      </c>
      <c r="M7870" s="59">
        <f t="shared" si="31"/>
        <v>0</v>
      </c>
    </row>
    <row r="7871" ht="15.0" hidden="1" customHeight="1">
      <c r="A7871" s="59">
        <f t="shared" si="20"/>
        <v>128</v>
      </c>
      <c r="B7871" s="59" t="str">
        <f t="shared" si="21"/>
        <v/>
      </c>
      <c r="C7871" s="59" t="str">
        <f t="shared" si="22"/>
        <v/>
      </c>
      <c r="D7871" s="45" t="str">
        <f t="shared" si="23"/>
        <v/>
      </c>
      <c r="E7871" s="45" t="str">
        <f t="shared" si="24"/>
        <v/>
      </c>
      <c r="F7871" s="59" t="str">
        <f t="shared" si="25"/>
        <v/>
      </c>
      <c r="G7871" s="59" t="str">
        <f t="shared" si="26"/>
        <v/>
      </c>
      <c r="H7871" s="59" t="str">
        <f t="shared" si="27"/>
        <v>28C03385</v>
      </c>
      <c r="I7871" s="59" t="str">
        <f>IF(OR($A7871="",$C7871="",$D7871="",$E7871="",$H7871=""),"",SUMIFS(DATA_GOC!$H:$H,DATA_GOC!$A:$A,"BOM",DATA_GOC!$D:$D,$H7871,DATA_GOC!$E:$E,$C7871,DATA_GOC!$F:$F,"Xuất nội bộ từ téc",DATA_GOC!$B:$B,"&gt;="&amp;$D7871,DATA_GOC!$B:$B,"&lt;="&amp;$E7871))</f>
        <v/>
      </c>
      <c r="J7871" s="59">
        <f t="shared" si="28"/>
        <v>0</v>
      </c>
      <c r="K7871" s="59">
        <f t="shared" si="29"/>
        <v>0</v>
      </c>
      <c r="L7871" s="59">
        <f t="shared" si="30"/>
        <v>0</v>
      </c>
      <c r="M7871" s="59">
        <f t="shared" si="31"/>
        <v>0</v>
      </c>
    </row>
    <row r="7872" ht="15.0" hidden="1" customHeight="1">
      <c r="A7872" s="59">
        <f t="shared" si="20"/>
        <v>128</v>
      </c>
      <c r="B7872" s="59" t="str">
        <f t="shared" si="21"/>
        <v/>
      </c>
      <c r="C7872" s="59" t="str">
        <f t="shared" si="22"/>
        <v/>
      </c>
      <c r="D7872" s="45" t="str">
        <f t="shared" si="23"/>
        <v/>
      </c>
      <c r="E7872" s="45" t="str">
        <f t="shared" si="24"/>
        <v/>
      </c>
      <c r="F7872" s="59" t="str">
        <f t="shared" si="25"/>
        <v/>
      </c>
      <c r="G7872" s="59" t="str">
        <f t="shared" si="26"/>
        <v/>
      </c>
      <c r="H7872" s="59" t="str">
        <f t="shared" si="27"/>
        <v>28C03652</v>
      </c>
      <c r="I7872" s="59" t="str">
        <f>IF(OR($A7872="",$C7872="",$D7872="",$E7872="",$H7872=""),"",SUMIFS(DATA_GOC!$H:$H,DATA_GOC!$A:$A,"BOM",DATA_GOC!$D:$D,$H7872,DATA_GOC!$E:$E,$C7872,DATA_GOC!$F:$F,"Xuất nội bộ từ téc",DATA_GOC!$B:$B,"&gt;="&amp;$D7872,DATA_GOC!$B:$B,"&lt;="&amp;$E7872))</f>
        <v/>
      </c>
      <c r="J7872" s="59">
        <f t="shared" si="28"/>
        <v>0</v>
      </c>
      <c r="K7872" s="59">
        <f t="shared" si="29"/>
        <v>0</v>
      </c>
      <c r="L7872" s="59">
        <f t="shared" si="30"/>
        <v>0</v>
      </c>
      <c r="M7872" s="59">
        <f t="shared" si="31"/>
        <v>0</v>
      </c>
    </row>
    <row r="7873" ht="15.0" hidden="1" customHeight="1">
      <c r="A7873" s="59">
        <f t="shared" si="20"/>
        <v>128</v>
      </c>
      <c r="B7873" s="59" t="str">
        <f t="shared" si="21"/>
        <v/>
      </c>
      <c r="C7873" s="59" t="str">
        <f t="shared" si="22"/>
        <v/>
      </c>
      <c r="D7873" s="45" t="str">
        <f t="shared" si="23"/>
        <v/>
      </c>
      <c r="E7873" s="45" t="str">
        <f t="shared" si="24"/>
        <v/>
      </c>
      <c r="F7873" s="59" t="str">
        <f t="shared" si="25"/>
        <v/>
      </c>
      <c r="G7873" s="59" t="str">
        <f t="shared" si="26"/>
        <v/>
      </c>
      <c r="H7873" s="59" t="str">
        <f t="shared" si="27"/>
        <v>28C03695</v>
      </c>
      <c r="I7873" s="59" t="str">
        <f>IF(OR($A7873="",$C7873="",$D7873="",$E7873="",$H7873=""),"",SUMIFS(DATA_GOC!$H:$H,DATA_GOC!$A:$A,"BOM",DATA_GOC!$D:$D,$H7873,DATA_GOC!$E:$E,$C7873,DATA_GOC!$F:$F,"Xuất nội bộ từ téc",DATA_GOC!$B:$B,"&gt;="&amp;$D7873,DATA_GOC!$B:$B,"&lt;="&amp;$E7873))</f>
        <v/>
      </c>
      <c r="J7873" s="59">
        <f t="shared" si="28"/>
        <v>0</v>
      </c>
      <c r="K7873" s="59">
        <f t="shared" si="29"/>
        <v>0</v>
      </c>
      <c r="L7873" s="59">
        <f t="shared" si="30"/>
        <v>0</v>
      </c>
      <c r="M7873" s="59">
        <f t="shared" si="31"/>
        <v>0</v>
      </c>
    </row>
    <row r="7874" ht="15.0" hidden="1" customHeight="1">
      <c r="A7874" s="59">
        <f t="shared" si="20"/>
        <v>128</v>
      </c>
      <c r="B7874" s="59" t="str">
        <f t="shared" si="21"/>
        <v/>
      </c>
      <c r="C7874" s="59" t="str">
        <f t="shared" si="22"/>
        <v/>
      </c>
      <c r="D7874" s="45" t="str">
        <f t="shared" si="23"/>
        <v/>
      </c>
      <c r="E7874" s="45" t="str">
        <f t="shared" si="24"/>
        <v/>
      </c>
      <c r="F7874" s="59" t="str">
        <f t="shared" si="25"/>
        <v/>
      </c>
      <c r="G7874" s="59" t="str">
        <f t="shared" si="26"/>
        <v/>
      </c>
      <c r="H7874" s="59" t="str">
        <f t="shared" si="27"/>
        <v>28C03927</v>
      </c>
      <c r="I7874" s="59" t="str">
        <f>IF(OR($A7874="",$C7874="",$D7874="",$E7874="",$H7874=""),"",SUMIFS(DATA_GOC!$H:$H,DATA_GOC!$A:$A,"BOM",DATA_GOC!$D:$D,$H7874,DATA_GOC!$E:$E,$C7874,DATA_GOC!$F:$F,"Xuất nội bộ từ téc",DATA_GOC!$B:$B,"&gt;="&amp;$D7874,DATA_GOC!$B:$B,"&lt;="&amp;$E7874))</f>
        <v/>
      </c>
      <c r="J7874" s="59">
        <f t="shared" si="28"/>
        <v>0</v>
      </c>
      <c r="K7874" s="59">
        <f t="shared" si="29"/>
        <v>0</v>
      </c>
      <c r="L7874" s="59">
        <f t="shared" si="30"/>
        <v>0</v>
      </c>
      <c r="M7874" s="59">
        <f t="shared" si="31"/>
        <v>0</v>
      </c>
    </row>
    <row r="7875" ht="15.0" hidden="1" customHeight="1">
      <c r="A7875" s="59">
        <f t="shared" si="20"/>
        <v>128</v>
      </c>
      <c r="B7875" s="59" t="str">
        <f t="shared" si="21"/>
        <v/>
      </c>
      <c r="C7875" s="59" t="str">
        <f t="shared" si="22"/>
        <v/>
      </c>
      <c r="D7875" s="45" t="str">
        <f t="shared" si="23"/>
        <v/>
      </c>
      <c r="E7875" s="45" t="str">
        <f t="shared" si="24"/>
        <v/>
      </c>
      <c r="F7875" s="59" t="str">
        <f t="shared" si="25"/>
        <v/>
      </c>
      <c r="G7875" s="59" t="str">
        <f t="shared" si="26"/>
        <v/>
      </c>
      <c r="H7875" s="59" t="str">
        <f t="shared" si="27"/>
        <v>28C04509</v>
      </c>
      <c r="I7875" s="59" t="str">
        <f>IF(OR($A7875="",$C7875="",$D7875="",$E7875="",$H7875=""),"",SUMIFS(DATA_GOC!$H:$H,DATA_GOC!$A:$A,"BOM",DATA_GOC!$D:$D,$H7875,DATA_GOC!$E:$E,$C7875,DATA_GOC!$F:$F,"Xuất nội bộ từ téc",DATA_GOC!$B:$B,"&gt;="&amp;$D7875,DATA_GOC!$B:$B,"&lt;="&amp;$E7875))</f>
        <v/>
      </c>
      <c r="J7875" s="59">
        <f t="shared" si="28"/>
        <v>0</v>
      </c>
      <c r="K7875" s="59">
        <f t="shared" si="29"/>
        <v>0</v>
      </c>
      <c r="L7875" s="59">
        <f t="shared" si="30"/>
        <v>0</v>
      </c>
      <c r="M7875" s="59">
        <f t="shared" si="31"/>
        <v>0</v>
      </c>
    </row>
    <row r="7876" ht="15.0" hidden="1" customHeight="1">
      <c r="A7876" s="59">
        <f t="shared" si="20"/>
        <v>128</v>
      </c>
      <c r="B7876" s="59" t="str">
        <f t="shared" si="21"/>
        <v/>
      </c>
      <c r="C7876" s="59" t="str">
        <f t="shared" si="22"/>
        <v/>
      </c>
      <c r="D7876" s="45" t="str">
        <f t="shared" si="23"/>
        <v/>
      </c>
      <c r="E7876" s="45" t="str">
        <f t="shared" si="24"/>
        <v/>
      </c>
      <c r="F7876" s="59" t="str">
        <f t="shared" si="25"/>
        <v/>
      </c>
      <c r="G7876" s="59" t="str">
        <f t="shared" si="26"/>
        <v/>
      </c>
      <c r="H7876" s="59" t="str">
        <f t="shared" si="27"/>
        <v>28C04536</v>
      </c>
      <c r="I7876" s="59" t="str">
        <f>IF(OR($A7876="",$C7876="",$D7876="",$E7876="",$H7876=""),"",SUMIFS(DATA_GOC!$H:$H,DATA_GOC!$A:$A,"BOM",DATA_GOC!$D:$D,$H7876,DATA_GOC!$E:$E,$C7876,DATA_GOC!$F:$F,"Xuất nội bộ từ téc",DATA_GOC!$B:$B,"&gt;="&amp;$D7876,DATA_GOC!$B:$B,"&lt;="&amp;$E7876))</f>
        <v/>
      </c>
      <c r="J7876" s="59">
        <f t="shared" si="28"/>
        <v>0</v>
      </c>
      <c r="K7876" s="59">
        <f t="shared" si="29"/>
        <v>0</v>
      </c>
      <c r="L7876" s="59">
        <f t="shared" si="30"/>
        <v>0</v>
      </c>
      <c r="M7876" s="59">
        <f t="shared" si="31"/>
        <v>0</v>
      </c>
    </row>
    <row r="7877" ht="15.0" hidden="1" customHeight="1">
      <c r="A7877" s="59">
        <f t="shared" si="20"/>
        <v>128</v>
      </c>
      <c r="B7877" s="59" t="str">
        <f t="shared" si="21"/>
        <v/>
      </c>
      <c r="C7877" s="59" t="str">
        <f t="shared" si="22"/>
        <v/>
      </c>
      <c r="D7877" s="45" t="str">
        <f t="shared" si="23"/>
        <v/>
      </c>
      <c r="E7877" s="45" t="str">
        <f t="shared" si="24"/>
        <v/>
      </c>
      <c r="F7877" s="59" t="str">
        <f t="shared" si="25"/>
        <v/>
      </c>
      <c r="G7877" s="59" t="str">
        <f t="shared" si="26"/>
        <v/>
      </c>
      <c r="H7877" s="59" t="str">
        <f t="shared" si="27"/>
        <v>28C04576</v>
      </c>
      <c r="I7877" s="59" t="str">
        <f>IF(OR($A7877="",$C7877="",$D7877="",$E7877="",$H7877=""),"",SUMIFS(DATA_GOC!$H:$H,DATA_GOC!$A:$A,"BOM",DATA_GOC!$D:$D,$H7877,DATA_GOC!$E:$E,$C7877,DATA_GOC!$F:$F,"Xuất nội bộ từ téc",DATA_GOC!$B:$B,"&gt;="&amp;$D7877,DATA_GOC!$B:$B,"&lt;="&amp;$E7877))</f>
        <v/>
      </c>
      <c r="J7877" s="59">
        <f t="shared" si="28"/>
        <v>0</v>
      </c>
      <c r="K7877" s="59">
        <f t="shared" si="29"/>
        <v>0</v>
      </c>
      <c r="L7877" s="59">
        <f t="shared" si="30"/>
        <v>0</v>
      </c>
      <c r="M7877" s="59">
        <f t="shared" si="31"/>
        <v>0</v>
      </c>
    </row>
    <row r="7878" ht="15.0" hidden="1" customHeight="1">
      <c r="A7878" s="59">
        <f t="shared" si="20"/>
        <v>128</v>
      </c>
      <c r="B7878" s="59" t="str">
        <f t="shared" si="21"/>
        <v/>
      </c>
      <c r="C7878" s="59" t="str">
        <f t="shared" si="22"/>
        <v/>
      </c>
      <c r="D7878" s="45" t="str">
        <f t="shared" si="23"/>
        <v/>
      </c>
      <c r="E7878" s="45" t="str">
        <f t="shared" si="24"/>
        <v/>
      </c>
      <c r="F7878" s="59" t="str">
        <f t="shared" si="25"/>
        <v/>
      </c>
      <c r="G7878" s="59" t="str">
        <f t="shared" si="26"/>
        <v/>
      </c>
      <c r="H7878" s="59" t="str">
        <f t="shared" si="27"/>
        <v>28C05090</v>
      </c>
      <c r="I7878" s="59" t="str">
        <f>IF(OR($A7878="",$C7878="",$D7878="",$E7878="",$H7878=""),"",SUMIFS(DATA_GOC!$H:$H,DATA_GOC!$A:$A,"BOM",DATA_GOC!$D:$D,$H7878,DATA_GOC!$E:$E,$C7878,DATA_GOC!$F:$F,"Xuất nội bộ từ téc",DATA_GOC!$B:$B,"&gt;="&amp;$D7878,DATA_GOC!$B:$B,"&lt;="&amp;$E7878))</f>
        <v/>
      </c>
      <c r="J7878" s="59">
        <f t="shared" si="28"/>
        <v>0</v>
      </c>
      <c r="K7878" s="59">
        <f t="shared" si="29"/>
        <v>0</v>
      </c>
      <c r="L7878" s="59">
        <f t="shared" si="30"/>
        <v>0</v>
      </c>
      <c r="M7878" s="59">
        <f t="shared" si="31"/>
        <v>0</v>
      </c>
    </row>
    <row r="7879" ht="15.0" hidden="1" customHeight="1">
      <c r="A7879" s="59">
        <f t="shared" si="20"/>
        <v>128</v>
      </c>
      <c r="B7879" s="59" t="str">
        <f t="shared" si="21"/>
        <v/>
      </c>
      <c r="C7879" s="59" t="str">
        <f t="shared" si="22"/>
        <v/>
      </c>
      <c r="D7879" s="45" t="str">
        <f t="shared" si="23"/>
        <v/>
      </c>
      <c r="E7879" s="45" t="str">
        <f t="shared" si="24"/>
        <v/>
      </c>
      <c r="F7879" s="59" t="str">
        <f t="shared" si="25"/>
        <v/>
      </c>
      <c r="G7879" s="59" t="str">
        <f t="shared" si="26"/>
        <v/>
      </c>
      <c r="H7879" s="59" t="str">
        <f t="shared" si="27"/>
        <v>28C05345</v>
      </c>
      <c r="I7879" s="59" t="str">
        <f>IF(OR($A7879="",$C7879="",$D7879="",$E7879="",$H7879=""),"",SUMIFS(DATA_GOC!$H:$H,DATA_GOC!$A:$A,"BOM",DATA_GOC!$D:$D,$H7879,DATA_GOC!$E:$E,$C7879,DATA_GOC!$F:$F,"Xuất nội bộ từ téc",DATA_GOC!$B:$B,"&gt;="&amp;$D7879,DATA_GOC!$B:$B,"&lt;="&amp;$E7879))</f>
        <v/>
      </c>
      <c r="J7879" s="59">
        <f t="shared" si="28"/>
        <v>0</v>
      </c>
      <c r="K7879" s="59">
        <f t="shared" si="29"/>
        <v>0</v>
      </c>
      <c r="L7879" s="59">
        <f t="shared" si="30"/>
        <v>0</v>
      </c>
      <c r="M7879" s="59">
        <f t="shared" si="31"/>
        <v>0</v>
      </c>
    </row>
    <row r="7880" ht="15.0" hidden="1" customHeight="1">
      <c r="A7880" s="59">
        <f t="shared" si="20"/>
        <v>128</v>
      </c>
      <c r="B7880" s="59" t="str">
        <f t="shared" si="21"/>
        <v/>
      </c>
      <c r="C7880" s="59" t="str">
        <f t="shared" si="22"/>
        <v/>
      </c>
      <c r="D7880" s="45" t="str">
        <f t="shared" si="23"/>
        <v/>
      </c>
      <c r="E7880" s="45" t="str">
        <f t="shared" si="24"/>
        <v/>
      </c>
      <c r="F7880" s="59" t="str">
        <f t="shared" si="25"/>
        <v/>
      </c>
      <c r="G7880" s="59" t="str">
        <f t="shared" si="26"/>
        <v/>
      </c>
      <c r="H7880" s="59" t="str">
        <f t="shared" si="27"/>
        <v>28C05661</v>
      </c>
      <c r="I7880" s="59" t="str">
        <f>IF(OR($A7880="",$C7880="",$D7880="",$E7880="",$H7880=""),"",SUMIFS(DATA_GOC!$H:$H,DATA_GOC!$A:$A,"BOM",DATA_GOC!$D:$D,$H7880,DATA_GOC!$E:$E,$C7880,DATA_GOC!$F:$F,"Xuất nội bộ từ téc",DATA_GOC!$B:$B,"&gt;="&amp;$D7880,DATA_GOC!$B:$B,"&lt;="&amp;$E7880))</f>
        <v/>
      </c>
      <c r="J7880" s="59">
        <f t="shared" si="28"/>
        <v>0</v>
      </c>
      <c r="K7880" s="59">
        <f t="shared" si="29"/>
        <v>0</v>
      </c>
      <c r="L7880" s="59">
        <f t="shared" si="30"/>
        <v>0</v>
      </c>
      <c r="M7880" s="59">
        <f t="shared" si="31"/>
        <v>0</v>
      </c>
    </row>
    <row r="7881" ht="15.0" hidden="1" customHeight="1">
      <c r="A7881" s="59">
        <f t="shared" si="20"/>
        <v>128</v>
      </c>
      <c r="B7881" s="59" t="str">
        <f t="shared" si="21"/>
        <v/>
      </c>
      <c r="C7881" s="59" t="str">
        <f t="shared" si="22"/>
        <v/>
      </c>
      <c r="D7881" s="45" t="str">
        <f t="shared" si="23"/>
        <v/>
      </c>
      <c r="E7881" s="45" t="str">
        <f t="shared" si="24"/>
        <v/>
      </c>
      <c r="F7881" s="59" t="str">
        <f t="shared" si="25"/>
        <v/>
      </c>
      <c r="G7881" s="59" t="str">
        <f t="shared" si="26"/>
        <v/>
      </c>
      <c r="H7881" s="59" t="str">
        <f t="shared" si="27"/>
        <v>28C05739</v>
      </c>
      <c r="I7881" s="59" t="str">
        <f>IF(OR($A7881="",$C7881="",$D7881="",$E7881="",$H7881=""),"",SUMIFS(DATA_GOC!$H:$H,DATA_GOC!$A:$A,"BOM",DATA_GOC!$D:$D,$H7881,DATA_GOC!$E:$E,$C7881,DATA_GOC!$F:$F,"Xuất nội bộ từ téc",DATA_GOC!$B:$B,"&gt;="&amp;$D7881,DATA_GOC!$B:$B,"&lt;="&amp;$E7881))</f>
        <v/>
      </c>
      <c r="J7881" s="59">
        <f t="shared" si="28"/>
        <v>0</v>
      </c>
      <c r="K7881" s="59">
        <f t="shared" si="29"/>
        <v>0</v>
      </c>
      <c r="L7881" s="59">
        <f t="shared" si="30"/>
        <v>0</v>
      </c>
      <c r="M7881" s="59">
        <f t="shared" si="31"/>
        <v>0</v>
      </c>
    </row>
    <row r="7882" ht="15.0" hidden="1" customHeight="1">
      <c r="A7882" s="59">
        <f t="shared" si="20"/>
        <v>128</v>
      </c>
      <c r="B7882" s="59" t="str">
        <f t="shared" si="21"/>
        <v/>
      </c>
      <c r="C7882" s="59" t="str">
        <f t="shared" si="22"/>
        <v/>
      </c>
      <c r="D7882" s="45" t="str">
        <f t="shared" si="23"/>
        <v/>
      </c>
      <c r="E7882" s="45" t="str">
        <f t="shared" si="24"/>
        <v/>
      </c>
      <c r="F7882" s="59" t="str">
        <f t="shared" si="25"/>
        <v/>
      </c>
      <c r="G7882" s="59" t="str">
        <f t="shared" si="26"/>
        <v/>
      </c>
      <c r="H7882" s="59" t="str">
        <f t="shared" si="27"/>
        <v>28C06369</v>
      </c>
      <c r="I7882" s="59" t="str">
        <f>IF(OR($A7882="",$C7882="",$D7882="",$E7882="",$H7882=""),"",SUMIFS(DATA_GOC!$H:$H,DATA_GOC!$A:$A,"BOM",DATA_GOC!$D:$D,$H7882,DATA_GOC!$E:$E,$C7882,DATA_GOC!$F:$F,"Xuất nội bộ từ téc",DATA_GOC!$B:$B,"&gt;="&amp;$D7882,DATA_GOC!$B:$B,"&lt;="&amp;$E7882))</f>
        <v/>
      </c>
      <c r="J7882" s="59">
        <f t="shared" si="28"/>
        <v>0</v>
      </c>
      <c r="K7882" s="59">
        <f t="shared" si="29"/>
        <v>0</v>
      </c>
      <c r="L7882" s="59">
        <f t="shared" si="30"/>
        <v>0</v>
      </c>
      <c r="M7882" s="59">
        <f t="shared" si="31"/>
        <v>0</v>
      </c>
    </row>
    <row r="7883" ht="15.0" hidden="1" customHeight="1">
      <c r="A7883" s="59">
        <f t="shared" si="20"/>
        <v>128</v>
      </c>
      <c r="B7883" s="59" t="str">
        <f t="shared" si="21"/>
        <v/>
      </c>
      <c r="C7883" s="59" t="str">
        <f t="shared" si="22"/>
        <v/>
      </c>
      <c r="D7883" s="45" t="str">
        <f t="shared" si="23"/>
        <v/>
      </c>
      <c r="E7883" s="45" t="str">
        <f t="shared" si="24"/>
        <v/>
      </c>
      <c r="F7883" s="59" t="str">
        <f t="shared" si="25"/>
        <v/>
      </c>
      <c r="G7883" s="59" t="str">
        <f t="shared" si="26"/>
        <v/>
      </c>
      <c r="H7883" s="59" t="str">
        <f t="shared" si="27"/>
        <v>28C06447</v>
      </c>
      <c r="I7883" s="59" t="str">
        <f>IF(OR($A7883="",$C7883="",$D7883="",$E7883="",$H7883=""),"",SUMIFS(DATA_GOC!$H:$H,DATA_GOC!$A:$A,"BOM",DATA_GOC!$D:$D,$H7883,DATA_GOC!$E:$E,$C7883,DATA_GOC!$F:$F,"Xuất nội bộ từ téc",DATA_GOC!$B:$B,"&gt;="&amp;$D7883,DATA_GOC!$B:$B,"&lt;="&amp;$E7883))</f>
        <v/>
      </c>
      <c r="J7883" s="59">
        <f t="shared" si="28"/>
        <v>0</v>
      </c>
      <c r="K7883" s="59">
        <f t="shared" si="29"/>
        <v>0</v>
      </c>
      <c r="L7883" s="59">
        <f t="shared" si="30"/>
        <v>0</v>
      </c>
      <c r="M7883" s="59">
        <f t="shared" si="31"/>
        <v>0</v>
      </c>
    </row>
    <row r="7884" ht="15.0" hidden="1" customHeight="1">
      <c r="A7884" s="59">
        <f t="shared" si="20"/>
        <v>128</v>
      </c>
      <c r="B7884" s="59" t="str">
        <f t="shared" si="21"/>
        <v/>
      </c>
      <c r="C7884" s="59" t="str">
        <f t="shared" si="22"/>
        <v/>
      </c>
      <c r="D7884" s="45" t="str">
        <f t="shared" si="23"/>
        <v/>
      </c>
      <c r="E7884" s="45" t="str">
        <f t="shared" si="24"/>
        <v/>
      </c>
      <c r="F7884" s="59" t="str">
        <f t="shared" si="25"/>
        <v/>
      </c>
      <c r="G7884" s="59" t="str">
        <f t="shared" si="26"/>
        <v/>
      </c>
      <c r="H7884" s="59" t="str">
        <f t="shared" si="27"/>
        <v>28H00003</v>
      </c>
      <c r="I7884" s="59" t="str">
        <f>IF(OR($A7884="",$C7884="",$D7884="",$E7884="",$H7884=""),"",SUMIFS(DATA_GOC!$H:$H,DATA_GOC!$A:$A,"BOM",DATA_GOC!$D:$D,$H7884,DATA_GOC!$E:$E,$C7884,DATA_GOC!$F:$F,"Xuất nội bộ từ téc",DATA_GOC!$B:$B,"&gt;="&amp;$D7884,DATA_GOC!$B:$B,"&lt;="&amp;$E7884))</f>
        <v/>
      </c>
      <c r="J7884" s="59">
        <f t="shared" si="28"/>
        <v>0</v>
      </c>
      <c r="K7884" s="59">
        <f t="shared" si="29"/>
        <v>0</v>
      </c>
      <c r="L7884" s="59">
        <f t="shared" si="30"/>
        <v>0</v>
      </c>
      <c r="M7884" s="59">
        <f t="shared" si="31"/>
        <v>0</v>
      </c>
    </row>
    <row r="7885" ht="15.0" hidden="1" customHeight="1">
      <c r="A7885" s="59">
        <f t="shared" si="20"/>
        <v>128</v>
      </c>
      <c r="B7885" s="59" t="str">
        <f t="shared" si="21"/>
        <v/>
      </c>
      <c r="C7885" s="59" t="str">
        <f t="shared" si="22"/>
        <v/>
      </c>
      <c r="D7885" s="45" t="str">
        <f t="shared" si="23"/>
        <v/>
      </c>
      <c r="E7885" s="45" t="str">
        <f t="shared" si="24"/>
        <v/>
      </c>
      <c r="F7885" s="59" t="str">
        <f t="shared" si="25"/>
        <v/>
      </c>
      <c r="G7885" s="59" t="str">
        <f t="shared" si="26"/>
        <v/>
      </c>
      <c r="H7885" s="59" t="str">
        <f t="shared" si="27"/>
        <v>28H00061</v>
      </c>
      <c r="I7885" s="59" t="str">
        <f>IF(OR($A7885="",$C7885="",$D7885="",$E7885="",$H7885=""),"",SUMIFS(DATA_GOC!$H:$H,DATA_GOC!$A:$A,"BOM",DATA_GOC!$D:$D,$H7885,DATA_GOC!$E:$E,$C7885,DATA_GOC!$F:$F,"Xuất nội bộ từ téc",DATA_GOC!$B:$B,"&gt;="&amp;$D7885,DATA_GOC!$B:$B,"&lt;="&amp;$E7885))</f>
        <v/>
      </c>
      <c r="J7885" s="59">
        <f t="shared" si="28"/>
        <v>0</v>
      </c>
      <c r="K7885" s="59">
        <f t="shared" si="29"/>
        <v>0</v>
      </c>
      <c r="L7885" s="59">
        <f t="shared" si="30"/>
        <v>0</v>
      </c>
      <c r="M7885" s="59">
        <f t="shared" si="31"/>
        <v>0</v>
      </c>
    </row>
    <row r="7886" ht="15.0" hidden="1" customHeight="1">
      <c r="A7886" s="59">
        <f t="shared" si="20"/>
        <v>128</v>
      </c>
      <c r="B7886" s="59" t="str">
        <f t="shared" si="21"/>
        <v/>
      </c>
      <c r="C7886" s="59" t="str">
        <f t="shared" si="22"/>
        <v/>
      </c>
      <c r="D7886" s="45" t="str">
        <f t="shared" si="23"/>
        <v/>
      </c>
      <c r="E7886" s="45" t="str">
        <f t="shared" si="24"/>
        <v/>
      </c>
      <c r="F7886" s="59" t="str">
        <f t="shared" si="25"/>
        <v/>
      </c>
      <c r="G7886" s="59" t="str">
        <f t="shared" si="26"/>
        <v/>
      </c>
      <c r="H7886" s="59" t="str">
        <f t="shared" si="27"/>
        <v>28H00354</v>
      </c>
      <c r="I7886" s="59" t="str">
        <f>IF(OR($A7886="",$C7886="",$D7886="",$E7886="",$H7886=""),"",SUMIFS(DATA_GOC!$H:$H,DATA_GOC!$A:$A,"BOM",DATA_GOC!$D:$D,$H7886,DATA_GOC!$E:$E,$C7886,DATA_GOC!$F:$F,"Xuất nội bộ từ téc",DATA_GOC!$B:$B,"&gt;="&amp;$D7886,DATA_GOC!$B:$B,"&lt;="&amp;$E7886))</f>
        <v/>
      </c>
      <c r="J7886" s="59">
        <f t="shared" si="28"/>
        <v>0</v>
      </c>
      <c r="K7886" s="59">
        <f t="shared" si="29"/>
        <v>0</v>
      </c>
      <c r="L7886" s="59">
        <f t="shared" si="30"/>
        <v>0</v>
      </c>
      <c r="M7886" s="59">
        <f t="shared" si="31"/>
        <v>0</v>
      </c>
    </row>
    <row r="7887" ht="15.0" hidden="1" customHeight="1">
      <c r="A7887" s="59">
        <f t="shared" si="20"/>
        <v>128</v>
      </c>
      <c r="B7887" s="59" t="str">
        <f t="shared" si="21"/>
        <v/>
      </c>
      <c r="C7887" s="59" t="str">
        <f t="shared" si="22"/>
        <v/>
      </c>
      <c r="D7887" s="45" t="str">
        <f t="shared" si="23"/>
        <v/>
      </c>
      <c r="E7887" s="45" t="str">
        <f t="shared" si="24"/>
        <v/>
      </c>
      <c r="F7887" s="59" t="str">
        <f t="shared" si="25"/>
        <v/>
      </c>
      <c r="G7887" s="59" t="str">
        <f t="shared" si="26"/>
        <v/>
      </c>
      <c r="H7887" s="59" t="str">
        <f t="shared" si="27"/>
        <v>28H00603</v>
      </c>
      <c r="I7887" s="59" t="str">
        <f>IF(OR($A7887="",$C7887="",$D7887="",$E7887="",$H7887=""),"",SUMIFS(DATA_GOC!$H:$H,DATA_GOC!$A:$A,"BOM",DATA_GOC!$D:$D,$H7887,DATA_GOC!$E:$E,$C7887,DATA_GOC!$F:$F,"Xuất nội bộ từ téc",DATA_GOC!$B:$B,"&gt;="&amp;$D7887,DATA_GOC!$B:$B,"&lt;="&amp;$E7887))</f>
        <v/>
      </c>
      <c r="J7887" s="59">
        <f t="shared" si="28"/>
        <v>0</v>
      </c>
      <c r="K7887" s="59">
        <f t="shared" si="29"/>
        <v>0</v>
      </c>
      <c r="L7887" s="59">
        <f t="shared" si="30"/>
        <v>0</v>
      </c>
      <c r="M7887" s="59">
        <f t="shared" si="31"/>
        <v>0</v>
      </c>
    </row>
    <row r="7888" ht="15.0" hidden="1" customHeight="1">
      <c r="A7888" s="59">
        <f t="shared" si="20"/>
        <v>128</v>
      </c>
      <c r="B7888" s="59" t="str">
        <f t="shared" si="21"/>
        <v/>
      </c>
      <c r="C7888" s="59" t="str">
        <f t="shared" si="22"/>
        <v/>
      </c>
      <c r="D7888" s="45" t="str">
        <f t="shared" si="23"/>
        <v/>
      </c>
      <c r="E7888" s="45" t="str">
        <f t="shared" si="24"/>
        <v/>
      </c>
      <c r="F7888" s="59" t="str">
        <f t="shared" si="25"/>
        <v/>
      </c>
      <c r="G7888" s="59" t="str">
        <f t="shared" si="26"/>
        <v/>
      </c>
      <c r="H7888" s="59" t="str">
        <f t="shared" si="27"/>
        <v>28H00609</v>
      </c>
      <c r="I7888" s="59" t="str">
        <f>IF(OR($A7888="",$C7888="",$D7888="",$E7888="",$H7888=""),"",SUMIFS(DATA_GOC!$H:$H,DATA_GOC!$A:$A,"BOM",DATA_GOC!$D:$D,$H7888,DATA_GOC!$E:$E,$C7888,DATA_GOC!$F:$F,"Xuất nội bộ từ téc",DATA_GOC!$B:$B,"&gt;="&amp;$D7888,DATA_GOC!$B:$B,"&lt;="&amp;$E7888))</f>
        <v/>
      </c>
      <c r="J7888" s="59">
        <f t="shared" si="28"/>
        <v>0</v>
      </c>
      <c r="K7888" s="59">
        <f t="shared" si="29"/>
        <v>0</v>
      </c>
      <c r="L7888" s="59">
        <f t="shared" si="30"/>
        <v>0</v>
      </c>
      <c r="M7888" s="59">
        <f t="shared" si="31"/>
        <v>0</v>
      </c>
    </row>
    <row r="7889" ht="15.0" hidden="1" customHeight="1">
      <c r="A7889" s="59">
        <f t="shared" si="20"/>
        <v>128</v>
      </c>
      <c r="B7889" s="59" t="str">
        <f t="shared" si="21"/>
        <v/>
      </c>
      <c r="C7889" s="59" t="str">
        <f t="shared" si="22"/>
        <v/>
      </c>
      <c r="D7889" s="45" t="str">
        <f t="shared" si="23"/>
        <v/>
      </c>
      <c r="E7889" s="45" t="str">
        <f t="shared" si="24"/>
        <v/>
      </c>
      <c r="F7889" s="59" t="str">
        <f t="shared" si="25"/>
        <v/>
      </c>
      <c r="G7889" s="59" t="str">
        <f t="shared" si="26"/>
        <v/>
      </c>
      <c r="H7889" s="59" t="str">
        <f t="shared" si="27"/>
        <v>28H00669</v>
      </c>
      <c r="I7889" s="59" t="str">
        <f>IF(OR($A7889="",$C7889="",$D7889="",$E7889="",$H7889=""),"",SUMIFS(DATA_GOC!$H:$H,DATA_GOC!$A:$A,"BOM",DATA_GOC!$D:$D,$H7889,DATA_GOC!$E:$E,$C7889,DATA_GOC!$F:$F,"Xuất nội bộ từ téc",DATA_GOC!$B:$B,"&gt;="&amp;$D7889,DATA_GOC!$B:$B,"&lt;="&amp;$E7889))</f>
        <v/>
      </c>
      <c r="J7889" s="59">
        <f t="shared" si="28"/>
        <v>0</v>
      </c>
      <c r="K7889" s="59">
        <f t="shared" si="29"/>
        <v>0</v>
      </c>
      <c r="L7889" s="59">
        <f t="shared" si="30"/>
        <v>0</v>
      </c>
      <c r="M7889" s="59">
        <f t="shared" si="31"/>
        <v>0</v>
      </c>
    </row>
    <row r="7890" ht="15.0" hidden="1" customHeight="1">
      <c r="A7890" s="59">
        <f t="shared" si="20"/>
        <v>128</v>
      </c>
      <c r="B7890" s="59" t="str">
        <f t="shared" si="21"/>
        <v/>
      </c>
      <c r="C7890" s="59" t="str">
        <f t="shared" si="22"/>
        <v/>
      </c>
      <c r="D7890" s="45" t="str">
        <f t="shared" si="23"/>
        <v/>
      </c>
      <c r="E7890" s="45" t="str">
        <f t="shared" si="24"/>
        <v/>
      </c>
      <c r="F7890" s="59" t="str">
        <f t="shared" si="25"/>
        <v/>
      </c>
      <c r="G7890" s="59" t="str">
        <f t="shared" si="26"/>
        <v/>
      </c>
      <c r="H7890" s="59" t="str">
        <f t="shared" si="27"/>
        <v>28H00680</v>
      </c>
      <c r="I7890" s="59" t="str">
        <f>IF(OR($A7890="",$C7890="",$D7890="",$E7890="",$H7890=""),"",SUMIFS(DATA_GOC!$H:$H,DATA_GOC!$A:$A,"BOM",DATA_GOC!$D:$D,$H7890,DATA_GOC!$E:$E,$C7890,DATA_GOC!$F:$F,"Xuất nội bộ từ téc",DATA_GOC!$B:$B,"&gt;="&amp;$D7890,DATA_GOC!$B:$B,"&lt;="&amp;$E7890))</f>
        <v/>
      </c>
      <c r="J7890" s="59">
        <f t="shared" si="28"/>
        <v>0</v>
      </c>
      <c r="K7890" s="59">
        <f t="shared" si="29"/>
        <v>0</v>
      </c>
      <c r="L7890" s="59">
        <f t="shared" si="30"/>
        <v>0</v>
      </c>
      <c r="M7890" s="59">
        <f t="shared" si="31"/>
        <v>0</v>
      </c>
    </row>
    <row r="7891" ht="15.0" hidden="1" customHeight="1">
      <c r="A7891" s="59">
        <f t="shared" si="20"/>
        <v>128</v>
      </c>
      <c r="B7891" s="59" t="str">
        <f t="shared" si="21"/>
        <v/>
      </c>
      <c r="C7891" s="59" t="str">
        <f t="shared" si="22"/>
        <v/>
      </c>
      <c r="D7891" s="45" t="str">
        <f t="shared" si="23"/>
        <v/>
      </c>
      <c r="E7891" s="45" t="str">
        <f t="shared" si="24"/>
        <v/>
      </c>
      <c r="F7891" s="59" t="str">
        <f t="shared" si="25"/>
        <v/>
      </c>
      <c r="G7891" s="59" t="str">
        <f t="shared" si="26"/>
        <v/>
      </c>
      <c r="H7891" s="59" t="str">
        <f t="shared" si="27"/>
        <v>28H01070</v>
      </c>
      <c r="I7891" s="59" t="str">
        <f>IF(OR($A7891="",$C7891="",$D7891="",$E7891="",$H7891=""),"",SUMIFS(DATA_GOC!$H:$H,DATA_GOC!$A:$A,"BOM",DATA_GOC!$D:$D,$H7891,DATA_GOC!$E:$E,$C7891,DATA_GOC!$F:$F,"Xuất nội bộ từ téc",DATA_GOC!$B:$B,"&gt;="&amp;$D7891,DATA_GOC!$B:$B,"&lt;="&amp;$E7891))</f>
        <v/>
      </c>
      <c r="J7891" s="59">
        <f t="shared" si="28"/>
        <v>0</v>
      </c>
      <c r="K7891" s="59">
        <f t="shared" si="29"/>
        <v>0</v>
      </c>
      <c r="L7891" s="59">
        <f t="shared" si="30"/>
        <v>0</v>
      </c>
      <c r="M7891" s="59">
        <f t="shared" si="31"/>
        <v>0</v>
      </c>
    </row>
    <row r="7892" ht="15.0" hidden="1" customHeight="1">
      <c r="A7892" s="59">
        <f t="shared" si="20"/>
        <v>128</v>
      </c>
      <c r="B7892" s="59" t="str">
        <f t="shared" si="21"/>
        <v/>
      </c>
      <c r="C7892" s="59" t="str">
        <f t="shared" si="22"/>
        <v/>
      </c>
      <c r="D7892" s="45" t="str">
        <f t="shared" si="23"/>
        <v/>
      </c>
      <c r="E7892" s="45" t="str">
        <f t="shared" si="24"/>
        <v/>
      </c>
      <c r="F7892" s="59" t="str">
        <f t="shared" si="25"/>
        <v/>
      </c>
      <c r="G7892" s="59" t="str">
        <f t="shared" si="26"/>
        <v/>
      </c>
      <c r="H7892" s="59" t="str">
        <f t="shared" si="27"/>
        <v>28H01364</v>
      </c>
      <c r="I7892" s="59" t="str">
        <f>IF(OR($A7892="",$C7892="",$D7892="",$E7892="",$H7892=""),"",SUMIFS(DATA_GOC!$H:$H,DATA_GOC!$A:$A,"BOM",DATA_GOC!$D:$D,$H7892,DATA_GOC!$E:$E,$C7892,DATA_GOC!$F:$F,"Xuất nội bộ từ téc",DATA_GOC!$B:$B,"&gt;="&amp;$D7892,DATA_GOC!$B:$B,"&lt;="&amp;$E7892))</f>
        <v/>
      </c>
      <c r="J7892" s="59">
        <f t="shared" si="28"/>
        <v>0</v>
      </c>
      <c r="K7892" s="59">
        <f t="shared" si="29"/>
        <v>0</v>
      </c>
      <c r="L7892" s="59">
        <f t="shared" si="30"/>
        <v>0</v>
      </c>
      <c r="M7892" s="59">
        <f t="shared" si="31"/>
        <v>0</v>
      </c>
    </row>
    <row r="7893" ht="15.0" hidden="1" customHeight="1">
      <c r="A7893" s="59">
        <f t="shared" si="20"/>
        <v>128</v>
      </c>
      <c r="B7893" s="59" t="str">
        <f t="shared" si="21"/>
        <v/>
      </c>
      <c r="C7893" s="59" t="str">
        <f t="shared" si="22"/>
        <v/>
      </c>
      <c r="D7893" s="45" t="str">
        <f t="shared" si="23"/>
        <v/>
      </c>
      <c r="E7893" s="45" t="str">
        <f t="shared" si="24"/>
        <v/>
      </c>
      <c r="F7893" s="59" t="str">
        <f t="shared" si="25"/>
        <v/>
      </c>
      <c r="G7893" s="59" t="str">
        <f t="shared" si="26"/>
        <v/>
      </c>
      <c r="H7893" s="59" t="str">
        <f t="shared" si="27"/>
        <v>29E17269</v>
      </c>
      <c r="I7893" s="59" t="str">
        <f>IF(OR($A7893="",$C7893="",$D7893="",$E7893="",$H7893=""),"",SUMIFS(DATA_GOC!$H:$H,DATA_GOC!$A:$A,"BOM",DATA_GOC!$D:$D,$H7893,DATA_GOC!$E:$E,$C7893,DATA_GOC!$F:$F,"Xuất nội bộ từ téc",DATA_GOC!$B:$B,"&gt;="&amp;$D7893,DATA_GOC!$B:$B,"&lt;="&amp;$E7893))</f>
        <v/>
      </c>
      <c r="J7893" s="59">
        <f t="shared" si="28"/>
        <v>0</v>
      </c>
      <c r="K7893" s="59">
        <f t="shared" si="29"/>
        <v>0</v>
      </c>
      <c r="L7893" s="59">
        <f t="shared" si="30"/>
        <v>0</v>
      </c>
      <c r="M7893" s="59">
        <f t="shared" si="31"/>
        <v>0</v>
      </c>
    </row>
    <row r="7894" ht="15.0" hidden="1" customHeight="1">
      <c r="A7894" s="59">
        <f t="shared" si="20"/>
        <v>128</v>
      </c>
      <c r="B7894" s="59" t="str">
        <f t="shared" si="21"/>
        <v/>
      </c>
      <c r="C7894" s="59" t="str">
        <f t="shared" si="22"/>
        <v/>
      </c>
      <c r="D7894" s="45" t="str">
        <f t="shared" si="23"/>
        <v/>
      </c>
      <c r="E7894" s="45" t="str">
        <f t="shared" si="24"/>
        <v/>
      </c>
      <c r="F7894" s="59" t="str">
        <f t="shared" si="25"/>
        <v/>
      </c>
      <c r="G7894" s="59" t="str">
        <f t="shared" si="26"/>
        <v/>
      </c>
      <c r="H7894" s="59" t="str">
        <f t="shared" si="27"/>
        <v>29E17273</v>
      </c>
      <c r="I7894" s="59" t="str">
        <f>IF(OR($A7894="",$C7894="",$D7894="",$E7894="",$H7894=""),"",SUMIFS(DATA_GOC!$H:$H,DATA_GOC!$A:$A,"BOM",DATA_GOC!$D:$D,$H7894,DATA_GOC!$E:$E,$C7894,DATA_GOC!$F:$F,"Xuất nội bộ từ téc",DATA_GOC!$B:$B,"&gt;="&amp;$D7894,DATA_GOC!$B:$B,"&lt;="&amp;$E7894))</f>
        <v/>
      </c>
      <c r="J7894" s="59">
        <f t="shared" si="28"/>
        <v>0</v>
      </c>
      <c r="K7894" s="59">
        <f t="shared" si="29"/>
        <v>0</v>
      </c>
      <c r="L7894" s="59">
        <f t="shared" si="30"/>
        <v>0</v>
      </c>
      <c r="M7894" s="59">
        <f t="shared" si="31"/>
        <v>0</v>
      </c>
    </row>
    <row r="7895" ht="15.0" hidden="1" customHeight="1">
      <c r="A7895" s="59">
        <f t="shared" si="20"/>
        <v>128</v>
      </c>
      <c r="B7895" s="59" t="str">
        <f t="shared" si="21"/>
        <v/>
      </c>
      <c r="C7895" s="59" t="str">
        <f t="shared" si="22"/>
        <v/>
      </c>
      <c r="D7895" s="45" t="str">
        <f t="shared" si="23"/>
        <v/>
      </c>
      <c r="E7895" s="45" t="str">
        <f t="shared" si="24"/>
        <v/>
      </c>
      <c r="F7895" s="59" t="str">
        <f t="shared" si="25"/>
        <v/>
      </c>
      <c r="G7895" s="59" t="str">
        <f t="shared" si="26"/>
        <v/>
      </c>
      <c r="H7895" s="59" t="str">
        <f t="shared" si="27"/>
        <v>29E17410</v>
      </c>
      <c r="I7895" s="59" t="str">
        <f>IF(OR($A7895="",$C7895="",$D7895="",$E7895="",$H7895=""),"",SUMIFS(DATA_GOC!$H:$H,DATA_GOC!$A:$A,"BOM",DATA_GOC!$D:$D,$H7895,DATA_GOC!$E:$E,$C7895,DATA_GOC!$F:$F,"Xuất nội bộ từ téc",DATA_GOC!$B:$B,"&gt;="&amp;$D7895,DATA_GOC!$B:$B,"&lt;="&amp;$E7895))</f>
        <v/>
      </c>
      <c r="J7895" s="59">
        <f t="shared" si="28"/>
        <v>0</v>
      </c>
      <c r="K7895" s="59">
        <f t="shared" si="29"/>
        <v>0</v>
      </c>
      <c r="L7895" s="59">
        <f t="shared" si="30"/>
        <v>0</v>
      </c>
      <c r="M7895" s="59">
        <f t="shared" si="31"/>
        <v>0</v>
      </c>
    </row>
    <row r="7896" ht="15.0" hidden="1" customHeight="1">
      <c r="A7896" s="59">
        <f t="shared" si="20"/>
        <v>128</v>
      </c>
      <c r="B7896" s="59" t="str">
        <f t="shared" si="21"/>
        <v/>
      </c>
      <c r="C7896" s="59" t="str">
        <f t="shared" si="22"/>
        <v/>
      </c>
      <c r="D7896" s="45" t="str">
        <f t="shared" si="23"/>
        <v/>
      </c>
      <c r="E7896" s="45" t="str">
        <f t="shared" si="24"/>
        <v/>
      </c>
      <c r="F7896" s="59" t="str">
        <f t="shared" si="25"/>
        <v/>
      </c>
      <c r="G7896" s="59" t="str">
        <f t="shared" si="26"/>
        <v/>
      </c>
      <c r="H7896" s="59" t="str">
        <f t="shared" si="27"/>
        <v>29E17417</v>
      </c>
      <c r="I7896" s="59" t="str">
        <f>IF(OR($A7896="",$C7896="",$D7896="",$E7896="",$H7896=""),"",SUMIFS(DATA_GOC!$H:$H,DATA_GOC!$A:$A,"BOM",DATA_GOC!$D:$D,$H7896,DATA_GOC!$E:$E,$C7896,DATA_GOC!$F:$F,"Xuất nội bộ từ téc",DATA_GOC!$B:$B,"&gt;="&amp;$D7896,DATA_GOC!$B:$B,"&lt;="&amp;$E7896))</f>
        <v/>
      </c>
      <c r="J7896" s="59">
        <f t="shared" si="28"/>
        <v>0</v>
      </c>
      <c r="K7896" s="59">
        <f t="shared" si="29"/>
        <v>0</v>
      </c>
      <c r="L7896" s="59">
        <f t="shared" si="30"/>
        <v>0</v>
      </c>
      <c r="M7896" s="59">
        <f t="shared" si="31"/>
        <v>0</v>
      </c>
    </row>
    <row r="7897" ht="15.0" hidden="1" customHeight="1">
      <c r="A7897" s="59">
        <f t="shared" si="20"/>
        <v>128</v>
      </c>
      <c r="B7897" s="59" t="str">
        <f t="shared" si="21"/>
        <v/>
      </c>
      <c r="C7897" s="59" t="str">
        <f t="shared" si="22"/>
        <v/>
      </c>
      <c r="D7897" s="45" t="str">
        <f t="shared" si="23"/>
        <v/>
      </c>
      <c r="E7897" s="45" t="str">
        <f t="shared" si="24"/>
        <v/>
      </c>
      <c r="F7897" s="59" t="str">
        <f t="shared" si="25"/>
        <v/>
      </c>
      <c r="G7897" s="59" t="str">
        <f t="shared" si="26"/>
        <v/>
      </c>
      <c r="H7897" s="59" t="str">
        <f t="shared" si="27"/>
        <v>29E17539</v>
      </c>
      <c r="I7897" s="59" t="str">
        <f>IF(OR($A7897="",$C7897="",$D7897="",$E7897="",$H7897=""),"",SUMIFS(DATA_GOC!$H:$H,DATA_GOC!$A:$A,"BOM",DATA_GOC!$D:$D,$H7897,DATA_GOC!$E:$E,$C7897,DATA_GOC!$F:$F,"Xuất nội bộ từ téc",DATA_GOC!$B:$B,"&gt;="&amp;$D7897,DATA_GOC!$B:$B,"&lt;="&amp;$E7897))</f>
        <v/>
      </c>
      <c r="J7897" s="59">
        <f t="shared" si="28"/>
        <v>0</v>
      </c>
      <c r="K7897" s="59">
        <f t="shared" si="29"/>
        <v>0</v>
      </c>
      <c r="L7897" s="59">
        <f t="shared" si="30"/>
        <v>0</v>
      </c>
      <c r="M7897" s="59">
        <f t="shared" si="31"/>
        <v>0</v>
      </c>
    </row>
    <row r="7898" ht="15.0" hidden="1" customHeight="1">
      <c r="A7898" s="59">
        <f t="shared" si="20"/>
        <v>128</v>
      </c>
      <c r="B7898" s="59" t="str">
        <f t="shared" si="21"/>
        <v/>
      </c>
      <c r="C7898" s="59" t="str">
        <f t="shared" si="22"/>
        <v/>
      </c>
      <c r="D7898" s="45" t="str">
        <f t="shared" si="23"/>
        <v/>
      </c>
      <c r="E7898" s="45" t="str">
        <f t="shared" si="24"/>
        <v/>
      </c>
      <c r="F7898" s="59" t="str">
        <f t="shared" si="25"/>
        <v/>
      </c>
      <c r="G7898" s="59" t="str">
        <f t="shared" si="26"/>
        <v/>
      </c>
      <c r="H7898" s="59" t="str">
        <f t="shared" si="27"/>
        <v>29E18160</v>
      </c>
      <c r="I7898" s="59" t="str">
        <f>IF(OR($A7898="",$C7898="",$D7898="",$E7898="",$H7898=""),"",SUMIFS(DATA_GOC!$H:$H,DATA_GOC!$A:$A,"BOM",DATA_GOC!$D:$D,$H7898,DATA_GOC!$E:$E,$C7898,DATA_GOC!$F:$F,"Xuất nội bộ từ téc",DATA_GOC!$B:$B,"&gt;="&amp;$D7898,DATA_GOC!$B:$B,"&lt;="&amp;$E7898))</f>
        <v/>
      </c>
      <c r="J7898" s="59">
        <f t="shared" si="28"/>
        <v>0</v>
      </c>
      <c r="K7898" s="59">
        <f t="shared" si="29"/>
        <v>0</v>
      </c>
      <c r="L7898" s="59">
        <f t="shared" si="30"/>
        <v>0</v>
      </c>
      <c r="M7898" s="59">
        <f t="shared" si="31"/>
        <v>0</v>
      </c>
    </row>
    <row r="7899" ht="15.0" hidden="1" customHeight="1">
      <c r="A7899" s="59">
        <f t="shared" si="20"/>
        <v>128</v>
      </c>
      <c r="B7899" s="59" t="str">
        <f t="shared" si="21"/>
        <v/>
      </c>
      <c r="C7899" s="59" t="str">
        <f t="shared" si="22"/>
        <v/>
      </c>
      <c r="D7899" s="45" t="str">
        <f t="shared" si="23"/>
        <v/>
      </c>
      <c r="E7899" s="45" t="str">
        <f t="shared" si="24"/>
        <v/>
      </c>
      <c r="F7899" s="59" t="str">
        <f t="shared" si="25"/>
        <v/>
      </c>
      <c r="G7899" s="59" t="str">
        <f t="shared" si="26"/>
        <v/>
      </c>
      <c r="H7899" s="59" t="str">
        <f t="shared" si="27"/>
        <v>Công trình Asphalt</v>
      </c>
      <c r="I7899" s="59" t="str">
        <f>IF(OR($A7899="",$C7899="",$D7899="",$E7899="",$H7899=""),"",SUMIFS(DATA_GOC!$H:$H,DATA_GOC!$A:$A,"BOM",DATA_GOC!$D:$D,$H7899,DATA_GOC!$E:$E,$C7899,DATA_GOC!$F:$F,"Xuất nội bộ từ téc",DATA_GOC!$B:$B,"&gt;="&amp;$D7899,DATA_GOC!$B:$B,"&lt;="&amp;$E7899))</f>
        <v/>
      </c>
      <c r="J7899" s="59">
        <f t="shared" si="28"/>
        <v>0</v>
      </c>
      <c r="K7899" s="59">
        <f t="shared" si="29"/>
        <v>0</v>
      </c>
      <c r="L7899" s="59">
        <f t="shared" si="30"/>
        <v>0</v>
      </c>
      <c r="M7899" s="59">
        <f t="shared" si="31"/>
        <v>0</v>
      </c>
    </row>
    <row r="7900" ht="15.0" hidden="1" customHeight="1">
      <c r="A7900" s="59">
        <f t="shared" si="20"/>
        <v>128</v>
      </c>
      <c r="B7900" s="59" t="str">
        <f t="shared" si="21"/>
        <v/>
      </c>
      <c r="C7900" s="59" t="str">
        <f t="shared" si="22"/>
        <v/>
      </c>
      <c r="D7900" s="45" t="str">
        <f t="shared" si="23"/>
        <v/>
      </c>
      <c r="E7900" s="45" t="str">
        <f t="shared" si="24"/>
        <v/>
      </c>
      <c r="F7900" s="59" t="str">
        <f t="shared" si="25"/>
        <v/>
      </c>
      <c r="G7900" s="59" t="str">
        <f t="shared" si="26"/>
        <v/>
      </c>
      <c r="H7900" s="59" t="str">
        <f t="shared" si="27"/>
        <v>LG53F</v>
      </c>
      <c r="I7900" s="59" t="str">
        <f>IF(OR($A7900="",$C7900="",$D7900="",$E7900="",$H7900=""),"",SUMIFS(DATA_GOC!$H:$H,DATA_GOC!$A:$A,"BOM",DATA_GOC!$D:$D,$H7900,DATA_GOC!$E:$E,$C7900,DATA_GOC!$F:$F,"Xuất nội bộ từ téc",DATA_GOC!$B:$B,"&gt;="&amp;$D7900,DATA_GOC!$B:$B,"&lt;="&amp;$E7900))</f>
        <v/>
      </c>
      <c r="J7900" s="59">
        <f t="shared" si="28"/>
        <v>0</v>
      </c>
      <c r="K7900" s="59">
        <f t="shared" si="29"/>
        <v>0</v>
      </c>
      <c r="L7900" s="59">
        <f t="shared" si="30"/>
        <v>0</v>
      </c>
      <c r="M7900" s="59">
        <f t="shared" si="31"/>
        <v>0</v>
      </c>
    </row>
    <row r="7901" ht="15.0" hidden="1" customHeight="1">
      <c r="A7901" s="59">
        <f t="shared" si="20"/>
        <v>128</v>
      </c>
      <c r="B7901" s="59" t="str">
        <f t="shared" si="21"/>
        <v/>
      </c>
      <c r="C7901" s="59" t="str">
        <f t="shared" si="22"/>
        <v/>
      </c>
      <c r="D7901" s="45" t="str">
        <f t="shared" si="23"/>
        <v/>
      </c>
      <c r="E7901" s="45" t="str">
        <f t="shared" si="24"/>
        <v/>
      </c>
      <c r="F7901" s="59" t="str">
        <f t="shared" si="25"/>
        <v/>
      </c>
      <c r="G7901" s="59" t="str">
        <f t="shared" si="26"/>
        <v/>
      </c>
      <c r="H7901" s="59" t="str">
        <f t="shared" si="27"/>
        <v>Máy phát điện</v>
      </c>
      <c r="I7901" s="59" t="str">
        <f>IF(OR($A7901="",$C7901="",$D7901="",$E7901="",$H7901=""),"",SUMIFS(DATA_GOC!$H:$H,DATA_GOC!$A:$A,"BOM",DATA_GOC!$D:$D,$H7901,DATA_GOC!$E:$E,$C7901,DATA_GOC!$F:$F,"Xuất nội bộ từ téc",DATA_GOC!$B:$B,"&gt;="&amp;$D7901,DATA_GOC!$B:$B,"&lt;="&amp;$E7901))</f>
        <v/>
      </c>
      <c r="J7901" s="59">
        <f t="shared" si="28"/>
        <v>0</v>
      </c>
      <c r="K7901" s="59">
        <f t="shared" si="29"/>
        <v>0</v>
      </c>
      <c r="L7901" s="59">
        <f t="shared" si="30"/>
        <v>0</v>
      </c>
      <c r="M7901" s="59">
        <f t="shared" si="31"/>
        <v>0</v>
      </c>
    </row>
    <row r="7902" ht="15.0" hidden="1" customHeight="1">
      <c r="A7902" s="59">
        <f t="shared" si="20"/>
        <v>128</v>
      </c>
      <c r="B7902" s="59" t="str">
        <f t="shared" si="21"/>
        <v/>
      </c>
      <c r="C7902" s="59" t="str">
        <f t="shared" si="22"/>
        <v/>
      </c>
      <c r="D7902" s="45" t="str">
        <f t="shared" si="23"/>
        <v/>
      </c>
      <c r="E7902" s="45" t="str">
        <f t="shared" si="24"/>
        <v/>
      </c>
      <c r="F7902" s="59" t="str">
        <f t="shared" si="25"/>
        <v/>
      </c>
      <c r="G7902" s="59" t="str">
        <f t="shared" si="26"/>
        <v/>
      </c>
      <c r="H7902" s="59" t="str">
        <f t="shared" si="27"/>
        <v>Máy rải thảm</v>
      </c>
      <c r="I7902" s="59" t="str">
        <f>IF(OR($A7902="",$C7902="",$D7902="",$E7902="",$H7902=""),"",SUMIFS(DATA_GOC!$H:$H,DATA_GOC!$A:$A,"BOM",DATA_GOC!$D:$D,$H7902,DATA_GOC!$E:$E,$C7902,DATA_GOC!$F:$F,"Xuất nội bộ từ téc",DATA_GOC!$B:$B,"&gt;="&amp;$D7902,DATA_GOC!$B:$B,"&lt;="&amp;$E7902))</f>
        <v/>
      </c>
      <c r="J7902" s="59">
        <f t="shared" si="28"/>
        <v>0</v>
      </c>
      <c r="K7902" s="59">
        <f t="shared" si="29"/>
        <v>0</v>
      </c>
      <c r="L7902" s="59">
        <f t="shared" si="30"/>
        <v>0</v>
      </c>
      <c r="M7902" s="59">
        <f t="shared" si="31"/>
        <v>0</v>
      </c>
    </row>
    <row r="7903" ht="15.0" hidden="1" customHeight="1">
      <c r="A7903" s="59">
        <f t="shared" si="20"/>
        <v>128</v>
      </c>
      <c r="B7903" s="59" t="str">
        <f t="shared" si="21"/>
        <v/>
      </c>
      <c r="C7903" s="59" t="str">
        <f t="shared" si="22"/>
        <v/>
      </c>
      <c r="D7903" s="45" t="str">
        <f t="shared" si="23"/>
        <v/>
      </c>
      <c r="E7903" s="45" t="str">
        <f t="shared" si="24"/>
        <v/>
      </c>
      <c r="F7903" s="59" t="str">
        <f t="shared" si="25"/>
        <v/>
      </c>
      <c r="G7903" s="59" t="str">
        <f t="shared" si="26"/>
        <v/>
      </c>
      <c r="H7903" s="59" t="str">
        <f t="shared" si="27"/>
        <v>Xúc Đào</v>
      </c>
      <c r="I7903" s="59" t="str">
        <f>IF(OR($A7903="",$C7903="",$D7903="",$E7903="",$H7903=""),"",SUMIFS(DATA_GOC!$H:$H,DATA_GOC!$A:$A,"BOM",DATA_GOC!$D:$D,$H7903,DATA_GOC!$E:$E,$C7903,DATA_GOC!$F:$F,"Xuất nội bộ từ téc",DATA_GOC!$B:$B,"&gt;="&amp;$D7903,DATA_GOC!$B:$B,"&lt;="&amp;$E7903))</f>
        <v/>
      </c>
      <c r="J7903" s="59">
        <f t="shared" si="28"/>
        <v>0</v>
      </c>
      <c r="K7903" s="59">
        <f t="shared" si="29"/>
        <v>0</v>
      </c>
      <c r="L7903" s="59">
        <f t="shared" si="30"/>
        <v>0</v>
      </c>
      <c r="M7903" s="59">
        <f t="shared" si="31"/>
        <v>0</v>
      </c>
    </row>
    <row r="7904" ht="15.0" hidden="1" customHeight="1">
      <c r="A7904" s="59">
        <f t="shared" si="20"/>
        <v>128</v>
      </c>
      <c r="B7904" s="59" t="str">
        <f t="shared" si="21"/>
        <v/>
      </c>
      <c r="C7904" s="59" t="str">
        <f t="shared" si="22"/>
        <v/>
      </c>
      <c r="D7904" s="45" t="str">
        <f t="shared" si="23"/>
        <v/>
      </c>
      <c r="E7904" s="45" t="str">
        <f t="shared" si="24"/>
        <v/>
      </c>
      <c r="F7904" s="59" t="str">
        <f t="shared" si="25"/>
        <v/>
      </c>
      <c r="G7904" s="59" t="str">
        <f t="shared" si="26"/>
        <v/>
      </c>
      <c r="H7904" s="59" t="str">
        <f t="shared" si="27"/>
        <v>Xúclật asphalt</v>
      </c>
      <c r="I7904" s="59" t="str">
        <f>IF(OR($A7904="",$C7904="",$D7904="",$E7904="",$H7904=""),"",SUMIFS(DATA_GOC!$H:$H,DATA_GOC!$A:$A,"BOM",DATA_GOC!$D:$D,$H7904,DATA_GOC!$E:$E,$C7904,DATA_GOC!$F:$F,"Xuất nội bộ từ téc",DATA_GOC!$B:$B,"&gt;="&amp;$D7904,DATA_GOC!$B:$B,"&lt;="&amp;$E7904))</f>
        <v/>
      </c>
      <c r="J7904" s="59">
        <f t="shared" si="28"/>
        <v>0</v>
      </c>
      <c r="K7904" s="59">
        <f t="shared" si="29"/>
        <v>0</v>
      </c>
      <c r="L7904" s="59">
        <f t="shared" si="30"/>
        <v>0</v>
      </c>
      <c r="M7904" s="59">
        <f t="shared" si="31"/>
        <v>0</v>
      </c>
    </row>
    <row r="7905" ht="15.0" hidden="1" customHeight="1">
      <c r="A7905" s="59">
        <f t="shared" si="20"/>
        <v>128</v>
      </c>
      <c r="B7905" s="59" t="str">
        <f t="shared" si="21"/>
        <v/>
      </c>
      <c r="C7905" s="59" t="str">
        <f t="shared" si="22"/>
        <v/>
      </c>
      <c r="D7905" s="45" t="str">
        <f t="shared" si="23"/>
        <v/>
      </c>
      <c r="E7905" s="45" t="str">
        <f t="shared" si="24"/>
        <v/>
      </c>
      <c r="F7905" s="59" t="str">
        <f t="shared" si="25"/>
        <v/>
      </c>
      <c r="G7905" s="59" t="str">
        <f t="shared" si="26"/>
        <v/>
      </c>
      <c r="H7905" s="59" t="str">
        <f t="shared" si="27"/>
        <v>Xúclật855H</v>
      </c>
      <c r="I7905" s="59" t="str">
        <f>IF(OR($A7905="",$C7905="",$D7905="",$E7905="",$H7905=""),"",SUMIFS(DATA_GOC!$H:$H,DATA_GOC!$A:$A,"BOM",DATA_GOC!$D:$D,$H7905,DATA_GOC!$E:$E,$C7905,DATA_GOC!$F:$F,"Xuất nội bộ từ téc",DATA_GOC!$B:$B,"&gt;="&amp;$D7905,DATA_GOC!$B:$B,"&lt;="&amp;$E7905))</f>
        <v/>
      </c>
      <c r="J7905" s="59">
        <f t="shared" si="28"/>
        <v>0</v>
      </c>
      <c r="K7905" s="59">
        <f t="shared" si="29"/>
        <v>0</v>
      </c>
      <c r="L7905" s="59">
        <f t="shared" si="30"/>
        <v>0</v>
      </c>
      <c r="M7905" s="59">
        <f t="shared" si="31"/>
        <v>0</v>
      </c>
    </row>
    <row r="7906" ht="15.0" hidden="1" customHeight="1">
      <c r="A7906" s="59">
        <f t="shared" si="20"/>
        <v>128</v>
      </c>
      <c r="B7906" s="59" t="str">
        <f t="shared" si="21"/>
        <v/>
      </c>
      <c r="C7906" s="59" t="str">
        <f t="shared" si="22"/>
        <v/>
      </c>
      <c r="D7906" s="45" t="str">
        <f t="shared" si="23"/>
        <v/>
      </c>
      <c r="E7906" s="45" t="str">
        <f t="shared" si="24"/>
        <v/>
      </c>
      <c r="F7906" s="59" t="str">
        <f t="shared" si="25"/>
        <v/>
      </c>
      <c r="G7906" s="59" t="str">
        <f t="shared" si="26"/>
        <v/>
      </c>
      <c r="H7906" s="59" t="str">
        <f t="shared" si="27"/>
        <v>Xúclật855N</v>
      </c>
      <c r="I7906" s="59" t="str">
        <f>IF(OR($A7906="",$C7906="",$D7906="",$E7906="",$H7906=""),"",SUMIFS(DATA_GOC!$H:$H,DATA_GOC!$A:$A,"BOM",DATA_GOC!$D:$D,$H7906,DATA_GOC!$E:$E,$C7906,DATA_GOC!$F:$F,"Xuất nội bộ từ téc",DATA_GOC!$B:$B,"&gt;="&amp;$D7906,DATA_GOC!$B:$B,"&lt;="&amp;$E7906))</f>
        <v/>
      </c>
      <c r="J7906" s="59">
        <f t="shared" si="28"/>
        <v>0</v>
      </c>
      <c r="K7906" s="59">
        <f t="shared" si="29"/>
        <v>0</v>
      </c>
      <c r="L7906" s="59">
        <f t="shared" si="30"/>
        <v>0</v>
      </c>
      <c r="M7906" s="59">
        <f t="shared" si="31"/>
        <v>0</v>
      </c>
    </row>
    <row r="7907" ht="15.0" hidden="1" customHeight="1">
      <c r="A7907" s="59">
        <f t="shared" si="20"/>
        <v>128</v>
      </c>
      <c r="B7907" s="59" t="str">
        <f t="shared" si="21"/>
        <v/>
      </c>
      <c r="C7907" s="59" t="str">
        <f t="shared" si="22"/>
        <v/>
      </c>
      <c r="D7907" s="45" t="str">
        <f t="shared" si="23"/>
        <v/>
      </c>
      <c r="E7907" s="45" t="str">
        <f t="shared" si="24"/>
        <v/>
      </c>
      <c r="F7907" s="59" t="str">
        <f t="shared" si="25"/>
        <v/>
      </c>
      <c r="G7907" s="59" t="str">
        <f t="shared" si="26"/>
        <v/>
      </c>
      <c r="H7907" s="59" t="str">
        <f t="shared" si="27"/>
        <v>Cát nghiền</v>
      </c>
      <c r="I7907" s="59" t="str">
        <f>IF(OR($A7907="",$C7907="",$D7907="",$E7907="",$H7907=""),"",SUMIFS(DATA_GOC!$H:$H,DATA_GOC!$A:$A,"BOM",DATA_GOC!$D:$D,$H7907,DATA_GOC!$E:$E,$C7907,DATA_GOC!$F:$F,"Xuất nội bộ từ téc",DATA_GOC!$B:$B,"&gt;="&amp;$D7907,DATA_GOC!$B:$B,"&lt;="&amp;$E7907))</f>
        <v/>
      </c>
      <c r="J7907" s="59">
        <f t="shared" si="28"/>
        <v>0</v>
      </c>
      <c r="K7907" s="59">
        <f t="shared" si="29"/>
        <v>0</v>
      </c>
      <c r="L7907" s="59">
        <f t="shared" si="30"/>
        <v>0</v>
      </c>
      <c r="M7907" s="59">
        <f t="shared" si="31"/>
        <v>0</v>
      </c>
    </row>
    <row r="7908" ht="15.0" hidden="1" customHeight="1">
      <c r="A7908" s="59">
        <f t="shared" si="20"/>
        <v>128</v>
      </c>
      <c r="B7908" s="59" t="str">
        <f t="shared" si="21"/>
        <v/>
      </c>
      <c r="C7908" s="59" t="str">
        <f t="shared" si="22"/>
        <v/>
      </c>
      <c r="D7908" s="45" t="str">
        <f t="shared" si="23"/>
        <v/>
      </c>
      <c r="E7908" s="45" t="str">
        <f t="shared" si="24"/>
        <v/>
      </c>
      <c r="F7908" s="59" t="str">
        <f t="shared" si="25"/>
        <v/>
      </c>
      <c r="G7908" s="59" t="str">
        <f t="shared" si="26"/>
        <v/>
      </c>
      <c r="H7908" s="59" t="str">
        <f t="shared" si="27"/>
        <v>28C02973</v>
      </c>
      <c r="I7908" s="59" t="str">
        <f>IF(OR($A7908="",$C7908="",$D7908="",$E7908="",$H7908=""),"",SUMIFS(DATA_GOC!$H:$H,DATA_GOC!$A:$A,"BOM",DATA_GOC!$D:$D,$H7908,DATA_GOC!$E:$E,$C7908,DATA_GOC!$F:$F,"Xuất nội bộ từ téc",DATA_GOC!$B:$B,"&gt;="&amp;$D7908,DATA_GOC!$B:$B,"&lt;="&amp;$E7908))</f>
        <v/>
      </c>
      <c r="J7908" s="59">
        <f t="shared" si="28"/>
        <v>0</v>
      </c>
      <c r="K7908" s="59">
        <f t="shared" si="29"/>
        <v>0</v>
      </c>
      <c r="L7908" s="59">
        <f t="shared" si="30"/>
        <v>0</v>
      </c>
      <c r="M7908" s="59">
        <f t="shared" si="31"/>
        <v>0</v>
      </c>
    </row>
    <row r="7909" ht="15.0" hidden="1" customHeight="1">
      <c r="A7909" s="59">
        <f t="shared" si="20"/>
        <v>128</v>
      </c>
      <c r="B7909" s="59" t="str">
        <f t="shared" si="21"/>
        <v/>
      </c>
      <c r="C7909" s="59" t="str">
        <f t="shared" si="22"/>
        <v/>
      </c>
      <c r="D7909" s="45" t="str">
        <f t="shared" si="23"/>
        <v/>
      </c>
      <c r="E7909" s="45" t="str">
        <f t="shared" si="24"/>
        <v/>
      </c>
      <c r="F7909" s="59" t="str">
        <f t="shared" si="25"/>
        <v/>
      </c>
      <c r="G7909" s="59" t="str">
        <f t="shared" si="26"/>
        <v/>
      </c>
      <c r="H7909" s="59" t="str">
        <f t="shared" si="27"/>
        <v>28C03044</v>
      </c>
      <c r="I7909" s="59" t="str">
        <f>IF(OR($A7909="",$C7909="",$D7909="",$E7909="",$H7909=""),"",SUMIFS(DATA_GOC!$H:$H,DATA_GOC!$A:$A,"BOM",DATA_GOC!$D:$D,$H7909,DATA_GOC!$E:$E,$C7909,DATA_GOC!$F:$F,"Xuất nội bộ từ téc",DATA_GOC!$B:$B,"&gt;="&amp;$D7909,DATA_GOC!$B:$B,"&lt;="&amp;$E7909))</f>
        <v/>
      </c>
      <c r="J7909" s="59">
        <f t="shared" si="28"/>
        <v>0</v>
      </c>
      <c r="K7909" s="59">
        <f t="shared" si="29"/>
        <v>0</v>
      </c>
      <c r="L7909" s="59">
        <f t="shared" si="30"/>
        <v>0</v>
      </c>
      <c r="M7909" s="59">
        <f t="shared" si="31"/>
        <v>0</v>
      </c>
    </row>
    <row r="7910" ht="15.0" hidden="1" customHeight="1">
      <c r="A7910" s="59">
        <f t="shared" si="20"/>
        <v>128</v>
      </c>
      <c r="B7910" s="59" t="str">
        <f t="shared" si="21"/>
        <v/>
      </c>
      <c r="C7910" s="59" t="str">
        <f t="shared" si="22"/>
        <v/>
      </c>
      <c r="D7910" s="45" t="str">
        <f t="shared" si="23"/>
        <v/>
      </c>
      <c r="E7910" s="45" t="str">
        <f t="shared" si="24"/>
        <v/>
      </c>
      <c r="F7910" s="59" t="str">
        <f t="shared" si="25"/>
        <v/>
      </c>
      <c r="G7910" s="59" t="str">
        <f t="shared" si="26"/>
        <v/>
      </c>
      <c r="H7910" s="59" t="str">
        <f t="shared" si="27"/>
        <v>Máy lu lốp</v>
      </c>
      <c r="I7910" s="59" t="str">
        <f>IF(OR($A7910="",$C7910="",$D7910="",$E7910="",$H7910=""),"",SUMIFS(DATA_GOC!$H:$H,DATA_GOC!$A:$A,"BOM",DATA_GOC!$D:$D,$H7910,DATA_GOC!$E:$E,$C7910,DATA_GOC!$F:$F,"Xuất nội bộ từ téc",DATA_GOC!$B:$B,"&gt;="&amp;$D7910,DATA_GOC!$B:$B,"&lt;="&amp;$E7910))</f>
        <v/>
      </c>
      <c r="J7910" s="59">
        <f t="shared" si="28"/>
        <v>0</v>
      </c>
      <c r="K7910" s="59">
        <f t="shared" si="29"/>
        <v>0</v>
      </c>
      <c r="L7910" s="59">
        <f t="shared" si="30"/>
        <v>0</v>
      </c>
      <c r="M7910" s="59">
        <f t="shared" si="31"/>
        <v>0</v>
      </c>
    </row>
    <row r="7911" ht="15.0" hidden="1" customHeight="1">
      <c r="A7911" s="59">
        <f t="shared" si="20"/>
        <v>128</v>
      </c>
      <c r="B7911" s="59" t="str">
        <f t="shared" si="21"/>
        <v/>
      </c>
      <c r="C7911" s="59" t="str">
        <f t="shared" si="22"/>
        <v/>
      </c>
      <c r="D7911" s="45" t="str">
        <f t="shared" si="23"/>
        <v/>
      </c>
      <c r="E7911" s="45" t="str">
        <f t="shared" si="24"/>
        <v/>
      </c>
      <c r="F7911" s="59" t="str">
        <f t="shared" si="25"/>
        <v/>
      </c>
      <c r="G7911" s="59" t="str">
        <f t="shared" si="26"/>
        <v/>
      </c>
      <c r="H7911" s="59" t="str">
        <f t="shared" si="27"/>
        <v>Xe 600148</v>
      </c>
      <c r="I7911" s="59" t="str">
        <f>IF(OR($A7911="",$C7911="",$D7911="",$E7911="",$H7911=""),"",SUMIFS(DATA_GOC!$H:$H,DATA_GOC!$A:$A,"BOM",DATA_GOC!$D:$D,$H7911,DATA_GOC!$E:$E,$C7911,DATA_GOC!$F:$F,"Xuất nội bộ từ téc",DATA_GOC!$B:$B,"&gt;="&amp;$D7911,DATA_GOC!$B:$B,"&lt;="&amp;$E7911))</f>
        <v/>
      </c>
      <c r="J7911" s="59">
        <f t="shared" si="28"/>
        <v>0</v>
      </c>
      <c r="K7911" s="59">
        <f t="shared" si="29"/>
        <v>0</v>
      </c>
      <c r="L7911" s="59">
        <f t="shared" si="30"/>
        <v>0</v>
      </c>
      <c r="M7911" s="59">
        <f t="shared" si="31"/>
        <v>0</v>
      </c>
    </row>
    <row r="7912" ht="15.0" hidden="1" customHeight="1">
      <c r="A7912" s="59">
        <f t="shared" si="20"/>
        <v>128</v>
      </c>
      <c r="B7912" s="59" t="str">
        <f t="shared" si="21"/>
        <v/>
      </c>
      <c r="C7912" s="59" t="str">
        <f t="shared" si="22"/>
        <v/>
      </c>
      <c r="D7912" s="45" t="str">
        <f t="shared" si="23"/>
        <v/>
      </c>
      <c r="E7912" s="45" t="str">
        <f t="shared" si="24"/>
        <v/>
      </c>
      <c r="F7912" s="59" t="str">
        <f t="shared" si="25"/>
        <v/>
      </c>
      <c r="G7912" s="59" t="str">
        <f t="shared" si="26"/>
        <v/>
      </c>
      <c r="H7912" s="59" t="str">
        <f t="shared" si="27"/>
        <v>Xe ben mới</v>
      </c>
      <c r="I7912" s="59" t="str">
        <f>IF(OR($A7912="",$C7912="",$D7912="",$E7912="",$H7912=""),"",SUMIFS(DATA_GOC!$H:$H,DATA_GOC!$A:$A,"BOM",DATA_GOC!$D:$D,$H7912,DATA_GOC!$E:$E,$C7912,DATA_GOC!$F:$F,"Xuất nội bộ từ téc",DATA_GOC!$B:$B,"&gt;="&amp;$D7912,DATA_GOC!$B:$B,"&lt;="&amp;$E7912))</f>
        <v/>
      </c>
      <c r="J7912" s="59">
        <f t="shared" si="28"/>
        <v>0</v>
      </c>
      <c r="K7912" s="59">
        <f t="shared" si="29"/>
        <v>0</v>
      </c>
      <c r="L7912" s="59">
        <f t="shared" si="30"/>
        <v>0</v>
      </c>
      <c r="M7912" s="59">
        <f t="shared" si="31"/>
        <v>0</v>
      </c>
    </row>
    <row r="7913" ht="15.0" hidden="1" customHeight="1">
      <c r="A7913" s="59">
        <f t="shared" si="20"/>
        <v>129</v>
      </c>
      <c r="B7913" s="59" t="str">
        <f t="shared" si="21"/>
        <v/>
      </c>
      <c r="C7913" s="59" t="str">
        <f t="shared" si="22"/>
        <v/>
      </c>
      <c r="D7913" s="45" t="str">
        <f t="shared" si="23"/>
        <v/>
      </c>
      <c r="E7913" s="45" t="str">
        <f t="shared" si="24"/>
        <v/>
      </c>
      <c r="F7913" s="59" t="str">
        <f t="shared" si="25"/>
        <v/>
      </c>
      <c r="G7913" s="59" t="str">
        <f t="shared" si="26"/>
        <v/>
      </c>
      <c r="H7913" s="59" t="str">
        <f t="shared" si="27"/>
        <v>19H09482</v>
      </c>
      <c r="I7913" s="59" t="str">
        <f>IF(OR($A7913="",$C7913="",$D7913="",$E7913="",$H7913=""),"",SUMIFS(DATA_GOC!$H:$H,DATA_GOC!$A:$A,"BOM",DATA_GOC!$D:$D,$H7913,DATA_GOC!$E:$E,$C7913,DATA_GOC!$F:$F,"Xuất nội bộ từ téc",DATA_GOC!$B:$B,"&gt;="&amp;$D7913,DATA_GOC!$B:$B,"&lt;="&amp;$E7913))</f>
        <v/>
      </c>
      <c r="J7913" s="59">
        <f t="shared" si="28"/>
        <v>0</v>
      </c>
      <c r="K7913" s="59">
        <f t="shared" si="29"/>
        <v>0</v>
      </c>
      <c r="L7913" s="59">
        <f t="shared" si="30"/>
        <v>0</v>
      </c>
      <c r="M7913" s="59">
        <f t="shared" si="31"/>
        <v>0</v>
      </c>
    </row>
    <row r="7914" ht="15.0" hidden="1" customHeight="1">
      <c r="A7914" s="59">
        <f t="shared" si="20"/>
        <v>129</v>
      </c>
      <c r="B7914" s="59" t="str">
        <f t="shared" si="21"/>
        <v/>
      </c>
      <c r="C7914" s="59" t="str">
        <f t="shared" si="22"/>
        <v/>
      </c>
      <c r="D7914" s="45" t="str">
        <f t="shared" si="23"/>
        <v/>
      </c>
      <c r="E7914" s="45" t="str">
        <f t="shared" si="24"/>
        <v/>
      </c>
      <c r="F7914" s="59" t="str">
        <f t="shared" si="25"/>
        <v/>
      </c>
      <c r="G7914" s="59" t="str">
        <f t="shared" si="26"/>
        <v/>
      </c>
      <c r="H7914" s="59" t="str">
        <f t="shared" si="27"/>
        <v>28A30696</v>
      </c>
      <c r="I7914" s="59" t="str">
        <f>IF(OR($A7914="",$C7914="",$D7914="",$E7914="",$H7914=""),"",SUMIFS(DATA_GOC!$H:$H,DATA_GOC!$A:$A,"BOM",DATA_GOC!$D:$D,$H7914,DATA_GOC!$E:$E,$C7914,DATA_GOC!$F:$F,"Xuất nội bộ từ téc",DATA_GOC!$B:$B,"&gt;="&amp;$D7914,DATA_GOC!$B:$B,"&lt;="&amp;$E7914))</f>
        <v/>
      </c>
      <c r="J7914" s="59">
        <f t="shared" si="28"/>
        <v>0</v>
      </c>
      <c r="K7914" s="59">
        <f t="shared" si="29"/>
        <v>0</v>
      </c>
      <c r="L7914" s="59">
        <f t="shared" si="30"/>
        <v>0</v>
      </c>
      <c r="M7914" s="59">
        <f t="shared" si="31"/>
        <v>0</v>
      </c>
    </row>
    <row r="7915" ht="15.0" hidden="1" customHeight="1">
      <c r="A7915" s="59">
        <f t="shared" si="20"/>
        <v>129</v>
      </c>
      <c r="B7915" s="59" t="str">
        <f t="shared" si="21"/>
        <v/>
      </c>
      <c r="C7915" s="59" t="str">
        <f t="shared" si="22"/>
        <v/>
      </c>
      <c r="D7915" s="45" t="str">
        <f t="shared" si="23"/>
        <v/>
      </c>
      <c r="E7915" s="45" t="str">
        <f t="shared" si="24"/>
        <v/>
      </c>
      <c r="F7915" s="59" t="str">
        <f t="shared" si="25"/>
        <v/>
      </c>
      <c r="G7915" s="59" t="str">
        <f t="shared" si="26"/>
        <v/>
      </c>
      <c r="H7915" s="59" t="str">
        <f t="shared" si="27"/>
        <v>28C00462</v>
      </c>
      <c r="I7915" s="59" t="str">
        <f>IF(OR($A7915="",$C7915="",$D7915="",$E7915="",$H7915=""),"",SUMIFS(DATA_GOC!$H:$H,DATA_GOC!$A:$A,"BOM",DATA_GOC!$D:$D,$H7915,DATA_GOC!$E:$E,$C7915,DATA_GOC!$F:$F,"Xuất nội bộ từ téc",DATA_GOC!$B:$B,"&gt;="&amp;$D7915,DATA_GOC!$B:$B,"&lt;="&amp;$E7915))</f>
        <v/>
      </c>
      <c r="J7915" s="59">
        <f t="shared" si="28"/>
        <v>0</v>
      </c>
      <c r="K7915" s="59">
        <f t="shared" si="29"/>
        <v>0</v>
      </c>
      <c r="L7915" s="59">
        <f t="shared" si="30"/>
        <v>0</v>
      </c>
      <c r="M7915" s="59">
        <f t="shared" si="31"/>
        <v>0</v>
      </c>
    </row>
    <row r="7916" ht="15.0" hidden="1" customHeight="1">
      <c r="A7916" s="59">
        <f t="shared" si="20"/>
        <v>129</v>
      </c>
      <c r="B7916" s="59" t="str">
        <f t="shared" si="21"/>
        <v/>
      </c>
      <c r="C7916" s="59" t="str">
        <f t="shared" si="22"/>
        <v/>
      </c>
      <c r="D7916" s="45" t="str">
        <f t="shared" si="23"/>
        <v/>
      </c>
      <c r="E7916" s="45" t="str">
        <f t="shared" si="24"/>
        <v/>
      </c>
      <c r="F7916" s="59" t="str">
        <f t="shared" si="25"/>
        <v/>
      </c>
      <c r="G7916" s="59" t="str">
        <f t="shared" si="26"/>
        <v/>
      </c>
      <c r="H7916" s="59" t="str">
        <f t="shared" si="27"/>
        <v>28C01165</v>
      </c>
      <c r="I7916" s="59" t="str">
        <f>IF(OR($A7916="",$C7916="",$D7916="",$E7916="",$H7916=""),"",SUMIFS(DATA_GOC!$H:$H,DATA_GOC!$A:$A,"BOM",DATA_GOC!$D:$D,$H7916,DATA_GOC!$E:$E,$C7916,DATA_GOC!$F:$F,"Xuất nội bộ từ téc",DATA_GOC!$B:$B,"&gt;="&amp;$D7916,DATA_GOC!$B:$B,"&lt;="&amp;$E7916))</f>
        <v/>
      </c>
      <c r="J7916" s="59">
        <f t="shared" si="28"/>
        <v>0</v>
      </c>
      <c r="K7916" s="59">
        <f t="shared" si="29"/>
        <v>0</v>
      </c>
      <c r="L7916" s="59">
        <f t="shared" si="30"/>
        <v>0</v>
      </c>
      <c r="M7916" s="59">
        <f t="shared" si="31"/>
        <v>0</v>
      </c>
    </row>
    <row r="7917" ht="15.0" hidden="1" customHeight="1">
      <c r="A7917" s="59">
        <f t="shared" si="20"/>
        <v>129</v>
      </c>
      <c r="B7917" s="59" t="str">
        <f t="shared" si="21"/>
        <v/>
      </c>
      <c r="C7917" s="59" t="str">
        <f t="shared" si="22"/>
        <v/>
      </c>
      <c r="D7917" s="45" t="str">
        <f t="shared" si="23"/>
        <v/>
      </c>
      <c r="E7917" s="45" t="str">
        <f t="shared" si="24"/>
        <v/>
      </c>
      <c r="F7917" s="59" t="str">
        <f t="shared" si="25"/>
        <v/>
      </c>
      <c r="G7917" s="59" t="str">
        <f t="shared" si="26"/>
        <v/>
      </c>
      <c r="H7917" s="59" t="str">
        <f t="shared" si="27"/>
        <v>28C01406</v>
      </c>
      <c r="I7917" s="59" t="str">
        <f>IF(OR($A7917="",$C7917="",$D7917="",$E7917="",$H7917=""),"",SUMIFS(DATA_GOC!$H:$H,DATA_GOC!$A:$A,"BOM",DATA_GOC!$D:$D,$H7917,DATA_GOC!$E:$E,$C7917,DATA_GOC!$F:$F,"Xuất nội bộ từ téc",DATA_GOC!$B:$B,"&gt;="&amp;$D7917,DATA_GOC!$B:$B,"&lt;="&amp;$E7917))</f>
        <v/>
      </c>
      <c r="J7917" s="59">
        <f t="shared" si="28"/>
        <v>0</v>
      </c>
      <c r="K7917" s="59">
        <f t="shared" si="29"/>
        <v>0</v>
      </c>
      <c r="L7917" s="59">
        <f t="shared" si="30"/>
        <v>0</v>
      </c>
      <c r="M7917" s="59">
        <f t="shared" si="31"/>
        <v>0</v>
      </c>
    </row>
    <row r="7918" ht="15.0" hidden="1" customHeight="1">
      <c r="A7918" s="59">
        <f t="shared" si="20"/>
        <v>129</v>
      </c>
      <c r="B7918" s="59" t="str">
        <f t="shared" si="21"/>
        <v/>
      </c>
      <c r="C7918" s="59" t="str">
        <f t="shared" si="22"/>
        <v/>
      </c>
      <c r="D7918" s="45" t="str">
        <f t="shared" si="23"/>
        <v/>
      </c>
      <c r="E7918" s="45" t="str">
        <f t="shared" si="24"/>
        <v/>
      </c>
      <c r="F7918" s="59" t="str">
        <f t="shared" si="25"/>
        <v/>
      </c>
      <c r="G7918" s="59" t="str">
        <f t="shared" si="26"/>
        <v/>
      </c>
      <c r="H7918" s="59" t="str">
        <f t="shared" si="27"/>
        <v>28C01544</v>
      </c>
      <c r="I7918" s="59" t="str">
        <f>IF(OR($A7918="",$C7918="",$D7918="",$E7918="",$H7918=""),"",SUMIFS(DATA_GOC!$H:$H,DATA_GOC!$A:$A,"BOM",DATA_GOC!$D:$D,$H7918,DATA_GOC!$E:$E,$C7918,DATA_GOC!$F:$F,"Xuất nội bộ từ téc",DATA_GOC!$B:$B,"&gt;="&amp;$D7918,DATA_GOC!$B:$B,"&lt;="&amp;$E7918))</f>
        <v/>
      </c>
      <c r="J7918" s="59">
        <f t="shared" si="28"/>
        <v>0</v>
      </c>
      <c r="K7918" s="59">
        <f t="shared" si="29"/>
        <v>0</v>
      </c>
      <c r="L7918" s="59">
        <f t="shared" si="30"/>
        <v>0</v>
      </c>
      <c r="M7918" s="59">
        <f t="shared" si="31"/>
        <v>0</v>
      </c>
    </row>
    <row r="7919" ht="15.0" hidden="1" customHeight="1">
      <c r="A7919" s="59">
        <f t="shared" si="20"/>
        <v>129</v>
      </c>
      <c r="B7919" s="59" t="str">
        <f t="shared" si="21"/>
        <v/>
      </c>
      <c r="C7919" s="59" t="str">
        <f t="shared" si="22"/>
        <v/>
      </c>
      <c r="D7919" s="45" t="str">
        <f t="shared" si="23"/>
        <v/>
      </c>
      <c r="E7919" s="45" t="str">
        <f t="shared" si="24"/>
        <v/>
      </c>
      <c r="F7919" s="59" t="str">
        <f t="shared" si="25"/>
        <v/>
      </c>
      <c r="G7919" s="59" t="str">
        <f t="shared" si="26"/>
        <v/>
      </c>
      <c r="H7919" s="59" t="str">
        <f t="shared" si="27"/>
        <v>28C01622</v>
      </c>
      <c r="I7919" s="59" t="str">
        <f>IF(OR($A7919="",$C7919="",$D7919="",$E7919="",$H7919=""),"",SUMIFS(DATA_GOC!$H:$H,DATA_GOC!$A:$A,"BOM",DATA_GOC!$D:$D,$H7919,DATA_GOC!$E:$E,$C7919,DATA_GOC!$F:$F,"Xuất nội bộ từ téc",DATA_GOC!$B:$B,"&gt;="&amp;$D7919,DATA_GOC!$B:$B,"&lt;="&amp;$E7919))</f>
        <v/>
      </c>
      <c r="J7919" s="59">
        <f t="shared" si="28"/>
        <v>0</v>
      </c>
      <c r="K7919" s="59">
        <f t="shared" si="29"/>
        <v>0</v>
      </c>
      <c r="L7919" s="59">
        <f t="shared" si="30"/>
        <v>0</v>
      </c>
      <c r="M7919" s="59">
        <f t="shared" si="31"/>
        <v>0</v>
      </c>
    </row>
    <row r="7920" ht="15.0" hidden="1" customHeight="1">
      <c r="A7920" s="59">
        <f t="shared" si="20"/>
        <v>129</v>
      </c>
      <c r="B7920" s="59" t="str">
        <f t="shared" si="21"/>
        <v/>
      </c>
      <c r="C7920" s="59" t="str">
        <f t="shared" si="22"/>
        <v/>
      </c>
      <c r="D7920" s="45" t="str">
        <f t="shared" si="23"/>
        <v/>
      </c>
      <c r="E7920" s="45" t="str">
        <f t="shared" si="24"/>
        <v/>
      </c>
      <c r="F7920" s="59" t="str">
        <f t="shared" si="25"/>
        <v/>
      </c>
      <c r="G7920" s="59" t="str">
        <f t="shared" si="26"/>
        <v/>
      </c>
      <c r="H7920" s="59" t="str">
        <f t="shared" si="27"/>
        <v>28C01647</v>
      </c>
      <c r="I7920" s="59" t="str">
        <f>IF(OR($A7920="",$C7920="",$D7920="",$E7920="",$H7920=""),"",SUMIFS(DATA_GOC!$H:$H,DATA_GOC!$A:$A,"BOM",DATA_GOC!$D:$D,$H7920,DATA_GOC!$E:$E,$C7920,DATA_GOC!$F:$F,"Xuất nội bộ từ téc",DATA_GOC!$B:$B,"&gt;="&amp;$D7920,DATA_GOC!$B:$B,"&lt;="&amp;$E7920))</f>
        <v/>
      </c>
      <c r="J7920" s="59">
        <f t="shared" si="28"/>
        <v>0</v>
      </c>
      <c r="K7920" s="59">
        <f t="shared" si="29"/>
        <v>0</v>
      </c>
      <c r="L7920" s="59">
        <f t="shared" si="30"/>
        <v>0</v>
      </c>
      <c r="M7920" s="59">
        <f t="shared" si="31"/>
        <v>0</v>
      </c>
    </row>
    <row r="7921" ht="15.0" hidden="1" customHeight="1">
      <c r="A7921" s="59">
        <f t="shared" si="20"/>
        <v>129</v>
      </c>
      <c r="B7921" s="59" t="str">
        <f t="shared" si="21"/>
        <v/>
      </c>
      <c r="C7921" s="59" t="str">
        <f t="shared" si="22"/>
        <v/>
      </c>
      <c r="D7921" s="45" t="str">
        <f t="shared" si="23"/>
        <v/>
      </c>
      <c r="E7921" s="45" t="str">
        <f t="shared" si="24"/>
        <v/>
      </c>
      <c r="F7921" s="59" t="str">
        <f t="shared" si="25"/>
        <v/>
      </c>
      <c r="G7921" s="59" t="str">
        <f t="shared" si="26"/>
        <v/>
      </c>
      <c r="H7921" s="59" t="str">
        <f t="shared" si="27"/>
        <v>28C01731</v>
      </c>
      <c r="I7921" s="59" t="str">
        <f>IF(OR($A7921="",$C7921="",$D7921="",$E7921="",$H7921=""),"",SUMIFS(DATA_GOC!$H:$H,DATA_GOC!$A:$A,"BOM",DATA_GOC!$D:$D,$H7921,DATA_GOC!$E:$E,$C7921,DATA_GOC!$F:$F,"Xuất nội bộ từ téc",DATA_GOC!$B:$B,"&gt;="&amp;$D7921,DATA_GOC!$B:$B,"&lt;="&amp;$E7921))</f>
        <v/>
      </c>
      <c r="J7921" s="59">
        <f t="shared" si="28"/>
        <v>0</v>
      </c>
      <c r="K7921" s="59">
        <f t="shared" si="29"/>
        <v>0</v>
      </c>
      <c r="L7921" s="59">
        <f t="shared" si="30"/>
        <v>0</v>
      </c>
      <c r="M7921" s="59">
        <f t="shared" si="31"/>
        <v>0</v>
      </c>
    </row>
    <row r="7922" ht="15.0" hidden="1" customHeight="1">
      <c r="A7922" s="59">
        <f t="shared" si="20"/>
        <v>129</v>
      </c>
      <c r="B7922" s="59" t="str">
        <f t="shared" si="21"/>
        <v/>
      </c>
      <c r="C7922" s="59" t="str">
        <f t="shared" si="22"/>
        <v/>
      </c>
      <c r="D7922" s="45" t="str">
        <f t="shared" si="23"/>
        <v/>
      </c>
      <c r="E7922" s="45" t="str">
        <f t="shared" si="24"/>
        <v/>
      </c>
      <c r="F7922" s="59" t="str">
        <f t="shared" si="25"/>
        <v/>
      </c>
      <c r="G7922" s="59" t="str">
        <f t="shared" si="26"/>
        <v/>
      </c>
      <c r="H7922" s="59" t="str">
        <f t="shared" si="27"/>
        <v>28C01743</v>
      </c>
      <c r="I7922" s="59" t="str">
        <f>IF(OR($A7922="",$C7922="",$D7922="",$E7922="",$H7922=""),"",SUMIFS(DATA_GOC!$H:$H,DATA_GOC!$A:$A,"BOM",DATA_GOC!$D:$D,$H7922,DATA_GOC!$E:$E,$C7922,DATA_GOC!$F:$F,"Xuất nội bộ từ téc",DATA_GOC!$B:$B,"&gt;="&amp;$D7922,DATA_GOC!$B:$B,"&lt;="&amp;$E7922))</f>
        <v/>
      </c>
      <c r="J7922" s="59">
        <f t="shared" si="28"/>
        <v>0</v>
      </c>
      <c r="K7922" s="59">
        <f t="shared" si="29"/>
        <v>0</v>
      </c>
      <c r="L7922" s="59">
        <f t="shared" si="30"/>
        <v>0</v>
      </c>
      <c r="M7922" s="59">
        <f t="shared" si="31"/>
        <v>0</v>
      </c>
    </row>
    <row r="7923" ht="15.0" hidden="1" customHeight="1">
      <c r="A7923" s="59">
        <f t="shared" si="20"/>
        <v>129</v>
      </c>
      <c r="B7923" s="59" t="str">
        <f t="shared" si="21"/>
        <v/>
      </c>
      <c r="C7923" s="59" t="str">
        <f t="shared" si="22"/>
        <v/>
      </c>
      <c r="D7923" s="45" t="str">
        <f t="shared" si="23"/>
        <v/>
      </c>
      <c r="E7923" s="45" t="str">
        <f t="shared" si="24"/>
        <v/>
      </c>
      <c r="F7923" s="59" t="str">
        <f t="shared" si="25"/>
        <v/>
      </c>
      <c r="G7923" s="59" t="str">
        <f t="shared" si="26"/>
        <v/>
      </c>
      <c r="H7923" s="59" t="str">
        <f t="shared" si="27"/>
        <v>28C02106</v>
      </c>
      <c r="I7923" s="59" t="str">
        <f>IF(OR($A7923="",$C7923="",$D7923="",$E7923="",$H7923=""),"",SUMIFS(DATA_GOC!$H:$H,DATA_GOC!$A:$A,"BOM",DATA_GOC!$D:$D,$H7923,DATA_GOC!$E:$E,$C7923,DATA_GOC!$F:$F,"Xuất nội bộ từ téc",DATA_GOC!$B:$B,"&gt;="&amp;$D7923,DATA_GOC!$B:$B,"&lt;="&amp;$E7923))</f>
        <v/>
      </c>
      <c r="J7923" s="59">
        <f t="shared" si="28"/>
        <v>0</v>
      </c>
      <c r="K7923" s="59">
        <f t="shared" si="29"/>
        <v>0</v>
      </c>
      <c r="L7923" s="59">
        <f t="shared" si="30"/>
        <v>0</v>
      </c>
      <c r="M7923" s="59">
        <f t="shared" si="31"/>
        <v>0</v>
      </c>
    </row>
    <row r="7924" ht="15.0" hidden="1" customHeight="1">
      <c r="A7924" s="59">
        <f t="shared" si="20"/>
        <v>129</v>
      </c>
      <c r="B7924" s="59" t="str">
        <f t="shared" si="21"/>
        <v/>
      </c>
      <c r="C7924" s="59" t="str">
        <f t="shared" si="22"/>
        <v/>
      </c>
      <c r="D7924" s="45" t="str">
        <f t="shared" si="23"/>
        <v/>
      </c>
      <c r="E7924" s="45" t="str">
        <f t="shared" si="24"/>
        <v/>
      </c>
      <c r="F7924" s="59" t="str">
        <f t="shared" si="25"/>
        <v/>
      </c>
      <c r="G7924" s="59" t="str">
        <f t="shared" si="26"/>
        <v/>
      </c>
      <c r="H7924" s="59" t="str">
        <f t="shared" si="27"/>
        <v>28C02410</v>
      </c>
      <c r="I7924" s="59" t="str">
        <f>IF(OR($A7924="",$C7924="",$D7924="",$E7924="",$H7924=""),"",SUMIFS(DATA_GOC!$H:$H,DATA_GOC!$A:$A,"BOM",DATA_GOC!$D:$D,$H7924,DATA_GOC!$E:$E,$C7924,DATA_GOC!$F:$F,"Xuất nội bộ từ téc",DATA_GOC!$B:$B,"&gt;="&amp;$D7924,DATA_GOC!$B:$B,"&lt;="&amp;$E7924))</f>
        <v/>
      </c>
      <c r="J7924" s="59">
        <f t="shared" si="28"/>
        <v>0</v>
      </c>
      <c r="K7924" s="59">
        <f t="shared" si="29"/>
        <v>0</v>
      </c>
      <c r="L7924" s="59">
        <f t="shared" si="30"/>
        <v>0</v>
      </c>
      <c r="M7924" s="59">
        <f t="shared" si="31"/>
        <v>0</v>
      </c>
    </row>
    <row r="7925" ht="15.0" hidden="1" customHeight="1">
      <c r="A7925" s="59">
        <f t="shared" si="20"/>
        <v>129</v>
      </c>
      <c r="B7925" s="59" t="str">
        <f t="shared" si="21"/>
        <v/>
      </c>
      <c r="C7925" s="59" t="str">
        <f t="shared" si="22"/>
        <v/>
      </c>
      <c r="D7925" s="45" t="str">
        <f t="shared" si="23"/>
        <v/>
      </c>
      <c r="E7925" s="45" t="str">
        <f t="shared" si="24"/>
        <v/>
      </c>
      <c r="F7925" s="59" t="str">
        <f t="shared" si="25"/>
        <v/>
      </c>
      <c r="G7925" s="59" t="str">
        <f t="shared" si="26"/>
        <v/>
      </c>
      <c r="H7925" s="59" t="str">
        <f t="shared" si="27"/>
        <v>28C02545</v>
      </c>
      <c r="I7925" s="59" t="str">
        <f>IF(OR($A7925="",$C7925="",$D7925="",$E7925="",$H7925=""),"",SUMIFS(DATA_GOC!$H:$H,DATA_GOC!$A:$A,"BOM",DATA_GOC!$D:$D,$H7925,DATA_GOC!$E:$E,$C7925,DATA_GOC!$F:$F,"Xuất nội bộ từ téc",DATA_GOC!$B:$B,"&gt;="&amp;$D7925,DATA_GOC!$B:$B,"&lt;="&amp;$E7925))</f>
        <v/>
      </c>
      <c r="J7925" s="59">
        <f t="shared" si="28"/>
        <v>0</v>
      </c>
      <c r="K7925" s="59">
        <f t="shared" si="29"/>
        <v>0</v>
      </c>
      <c r="L7925" s="59">
        <f t="shared" si="30"/>
        <v>0</v>
      </c>
      <c r="M7925" s="59">
        <f t="shared" si="31"/>
        <v>0</v>
      </c>
    </row>
    <row r="7926" ht="15.0" hidden="1" customHeight="1">
      <c r="A7926" s="59">
        <f t="shared" si="20"/>
        <v>129</v>
      </c>
      <c r="B7926" s="59" t="str">
        <f t="shared" si="21"/>
        <v/>
      </c>
      <c r="C7926" s="59" t="str">
        <f t="shared" si="22"/>
        <v/>
      </c>
      <c r="D7926" s="45" t="str">
        <f t="shared" si="23"/>
        <v/>
      </c>
      <c r="E7926" s="45" t="str">
        <f t="shared" si="24"/>
        <v/>
      </c>
      <c r="F7926" s="59" t="str">
        <f t="shared" si="25"/>
        <v/>
      </c>
      <c r="G7926" s="59" t="str">
        <f t="shared" si="26"/>
        <v/>
      </c>
      <c r="H7926" s="59" t="str">
        <f t="shared" si="27"/>
        <v>28C02574</v>
      </c>
      <c r="I7926" s="59" t="str">
        <f>IF(OR($A7926="",$C7926="",$D7926="",$E7926="",$H7926=""),"",SUMIFS(DATA_GOC!$H:$H,DATA_GOC!$A:$A,"BOM",DATA_GOC!$D:$D,$H7926,DATA_GOC!$E:$E,$C7926,DATA_GOC!$F:$F,"Xuất nội bộ từ téc",DATA_GOC!$B:$B,"&gt;="&amp;$D7926,DATA_GOC!$B:$B,"&lt;="&amp;$E7926))</f>
        <v/>
      </c>
      <c r="J7926" s="59">
        <f t="shared" si="28"/>
        <v>0</v>
      </c>
      <c r="K7926" s="59">
        <f t="shared" si="29"/>
        <v>0</v>
      </c>
      <c r="L7926" s="59">
        <f t="shared" si="30"/>
        <v>0</v>
      </c>
      <c r="M7926" s="59">
        <f t="shared" si="31"/>
        <v>0</v>
      </c>
    </row>
    <row r="7927" ht="15.0" hidden="1" customHeight="1">
      <c r="A7927" s="59">
        <f t="shared" si="20"/>
        <v>129</v>
      </c>
      <c r="B7927" s="59" t="str">
        <f t="shared" si="21"/>
        <v/>
      </c>
      <c r="C7927" s="59" t="str">
        <f t="shared" si="22"/>
        <v/>
      </c>
      <c r="D7927" s="45" t="str">
        <f t="shared" si="23"/>
        <v/>
      </c>
      <c r="E7927" s="45" t="str">
        <f t="shared" si="24"/>
        <v/>
      </c>
      <c r="F7927" s="59" t="str">
        <f t="shared" si="25"/>
        <v/>
      </c>
      <c r="G7927" s="59" t="str">
        <f t="shared" si="26"/>
        <v/>
      </c>
      <c r="H7927" s="59" t="str">
        <f t="shared" si="27"/>
        <v>28C02770</v>
      </c>
      <c r="I7927" s="59" t="str">
        <f>IF(OR($A7927="",$C7927="",$D7927="",$E7927="",$H7927=""),"",SUMIFS(DATA_GOC!$H:$H,DATA_GOC!$A:$A,"BOM",DATA_GOC!$D:$D,$H7927,DATA_GOC!$E:$E,$C7927,DATA_GOC!$F:$F,"Xuất nội bộ từ téc",DATA_GOC!$B:$B,"&gt;="&amp;$D7927,DATA_GOC!$B:$B,"&lt;="&amp;$E7927))</f>
        <v/>
      </c>
      <c r="J7927" s="59">
        <f t="shared" si="28"/>
        <v>0</v>
      </c>
      <c r="K7927" s="59">
        <f t="shared" si="29"/>
        <v>0</v>
      </c>
      <c r="L7927" s="59">
        <f t="shared" si="30"/>
        <v>0</v>
      </c>
      <c r="M7927" s="59">
        <f t="shared" si="31"/>
        <v>0</v>
      </c>
    </row>
    <row r="7928" ht="15.0" hidden="1" customHeight="1">
      <c r="A7928" s="59">
        <f t="shared" si="20"/>
        <v>129</v>
      </c>
      <c r="B7928" s="59" t="str">
        <f t="shared" si="21"/>
        <v/>
      </c>
      <c r="C7928" s="59" t="str">
        <f t="shared" si="22"/>
        <v/>
      </c>
      <c r="D7928" s="45" t="str">
        <f t="shared" si="23"/>
        <v/>
      </c>
      <c r="E7928" s="45" t="str">
        <f t="shared" si="24"/>
        <v/>
      </c>
      <c r="F7928" s="59" t="str">
        <f t="shared" si="25"/>
        <v/>
      </c>
      <c r="G7928" s="59" t="str">
        <f t="shared" si="26"/>
        <v/>
      </c>
      <c r="H7928" s="59" t="str">
        <f t="shared" si="27"/>
        <v>28C02986</v>
      </c>
      <c r="I7928" s="59" t="str">
        <f>IF(OR($A7928="",$C7928="",$D7928="",$E7928="",$H7928=""),"",SUMIFS(DATA_GOC!$H:$H,DATA_GOC!$A:$A,"BOM",DATA_GOC!$D:$D,$H7928,DATA_GOC!$E:$E,$C7928,DATA_GOC!$F:$F,"Xuất nội bộ từ téc",DATA_GOC!$B:$B,"&gt;="&amp;$D7928,DATA_GOC!$B:$B,"&lt;="&amp;$E7928))</f>
        <v/>
      </c>
      <c r="J7928" s="59">
        <f t="shared" si="28"/>
        <v>0</v>
      </c>
      <c r="K7928" s="59">
        <f t="shared" si="29"/>
        <v>0</v>
      </c>
      <c r="L7928" s="59">
        <f t="shared" si="30"/>
        <v>0</v>
      </c>
      <c r="M7928" s="59">
        <f t="shared" si="31"/>
        <v>0</v>
      </c>
    </row>
    <row r="7929" ht="15.0" hidden="1" customHeight="1">
      <c r="A7929" s="59">
        <f t="shared" si="20"/>
        <v>129</v>
      </c>
      <c r="B7929" s="59" t="str">
        <f t="shared" si="21"/>
        <v/>
      </c>
      <c r="C7929" s="59" t="str">
        <f t="shared" si="22"/>
        <v/>
      </c>
      <c r="D7929" s="45" t="str">
        <f t="shared" si="23"/>
        <v/>
      </c>
      <c r="E7929" s="45" t="str">
        <f t="shared" si="24"/>
        <v/>
      </c>
      <c r="F7929" s="59" t="str">
        <f t="shared" si="25"/>
        <v/>
      </c>
      <c r="G7929" s="59" t="str">
        <f t="shared" si="26"/>
        <v/>
      </c>
      <c r="H7929" s="59" t="str">
        <f t="shared" si="27"/>
        <v>28C03261</v>
      </c>
      <c r="I7929" s="59" t="str">
        <f>IF(OR($A7929="",$C7929="",$D7929="",$E7929="",$H7929=""),"",SUMIFS(DATA_GOC!$H:$H,DATA_GOC!$A:$A,"BOM",DATA_GOC!$D:$D,$H7929,DATA_GOC!$E:$E,$C7929,DATA_GOC!$F:$F,"Xuất nội bộ từ téc",DATA_GOC!$B:$B,"&gt;="&amp;$D7929,DATA_GOC!$B:$B,"&lt;="&amp;$E7929))</f>
        <v/>
      </c>
      <c r="J7929" s="59">
        <f t="shared" si="28"/>
        <v>0</v>
      </c>
      <c r="K7929" s="59">
        <f t="shared" si="29"/>
        <v>0</v>
      </c>
      <c r="L7929" s="59">
        <f t="shared" si="30"/>
        <v>0</v>
      </c>
      <c r="M7929" s="59">
        <f t="shared" si="31"/>
        <v>0</v>
      </c>
    </row>
    <row r="7930" ht="15.0" hidden="1" customHeight="1">
      <c r="A7930" s="59">
        <f t="shared" si="20"/>
        <v>129</v>
      </c>
      <c r="B7930" s="59" t="str">
        <f t="shared" si="21"/>
        <v/>
      </c>
      <c r="C7930" s="59" t="str">
        <f t="shared" si="22"/>
        <v/>
      </c>
      <c r="D7930" s="45" t="str">
        <f t="shared" si="23"/>
        <v/>
      </c>
      <c r="E7930" s="45" t="str">
        <f t="shared" si="24"/>
        <v/>
      </c>
      <c r="F7930" s="59" t="str">
        <f t="shared" si="25"/>
        <v/>
      </c>
      <c r="G7930" s="59" t="str">
        <f t="shared" si="26"/>
        <v/>
      </c>
      <c r="H7930" s="59" t="str">
        <f t="shared" si="27"/>
        <v>28C03323</v>
      </c>
      <c r="I7930" s="59" t="str">
        <f>IF(OR($A7930="",$C7930="",$D7930="",$E7930="",$H7930=""),"",SUMIFS(DATA_GOC!$H:$H,DATA_GOC!$A:$A,"BOM",DATA_GOC!$D:$D,$H7930,DATA_GOC!$E:$E,$C7930,DATA_GOC!$F:$F,"Xuất nội bộ từ téc",DATA_GOC!$B:$B,"&gt;="&amp;$D7930,DATA_GOC!$B:$B,"&lt;="&amp;$E7930))</f>
        <v/>
      </c>
      <c r="J7930" s="59">
        <f t="shared" si="28"/>
        <v>0</v>
      </c>
      <c r="K7930" s="59">
        <f t="shared" si="29"/>
        <v>0</v>
      </c>
      <c r="L7930" s="59">
        <f t="shared" si="30"/>
        <v>0</v>
      </c>
      <c r="M7930" s="59">
        <f t="shared" si="31"/>
        <v>0</v>
      </c>
    </row>
    <row r="7931" ht="15.0" hidden="1" customHeight="1">
      <c r="A7931" s="59">
        <f t="shared" si="20"/>
        <v>129</v>
      </c>
      <c r="B7931" s="59" t="str">
        <f t="shared" si="21"/>
        <v/>
      </c>
      <c r="C7931" s="59" t="str">
        <f t="shared" si="22"/>
        <v/>
      </c>
      <c r="D7931" s="45" t="str">
        <f t="shared" si="23"/>
        <v/>
      </c>
      <c r="E7931" s="45" t="str">
        <f t="shared" si="24"/>
        <v/>
      </c>
      <c r="F7931" s="59" t="str">
        <f t="shared" si="25"/>
        <v/>
      </c>
      <c r="G7931" s="59" t="str">
        <f t="shared" si="26"/>
        <v/>
      </c>
      <c r="H7931" s="59" t="str">
        <f t="shared" si="27"/>
        <v>28C03385</v>
      </c>
      <c r="I7931" s="59" t="str">
        <f>IF(OR($A7931="",$C7931="",$D7931="",$E7931="",$H7931=""),"",SUMIFS(DATA_GOC!$H:$H,DATA_GOC!$A:$A,"BOM",DATA_GOC!$D:$D,$H7931,DATA_GOC!$E:$E,$C7931,DATA_GOC!$F:$F,"Xuất nội bộ từ téc",DATA_GOC!$B:$B,"&gt;="&amp;$D7931,DATA_GOC!$B:$B,"&lt;="&amp;$E7931))</f>
        <v/>
      </c>
      <c r="J7931" s="59">
        <f t="shared" si="28"/>
        <v>0</v>
      </c>
      <c r="K7931" s="59">
        <f t="shared" si="29"/>
        <v>0</v>
      </c>
      <c r="L7931" s="59">
        <f t="shared" si="30"/>
        <v>0</v>
      </c>
      <c r="M7931" s="59">
        <f t="shared" si="31"/>
        <v>0</v>
      </c>
    </row>
    <row r="7932" ht="15.0" hidden="1" customHeight="1">
      <c r="A7932" s="59">
        <f t="shared" si="20"/>
        <v>129</v>
      </c>
      <c r="B7932" s="59" t="str">
        <f t="shared" si="21"/>
        <v/>
      </c>
      <c r="C7932" s="59" t="str">
        <f t="shared" si="22"/>
        <v/>
      </c>
      <c r="D7932" s="45" t="str">
        <f t="shared" si="23"/>
        <v/>
      </c>
      <c r="E7932" s="45" t="str">
        <f t="shared" si="24"/>
        <v/>
      </c>
      <c r="F7932" s="59" t="str">
        <f t="shared" si="25"/>
        <v/>
      </c>
      <c r="G7932" s="59" t="str">
        <f t="shared" si="26"/>
        <v/>
      </c>
      <c r="H7932" s="59" t="str">
        <f t="shared" si="27"/>
        <v>28C03652</v>
      </c>
      <c r="I7932" s="59" t="str">
        <f>IF(OR($A7932="",$C7932="",$D7932="",$E7932="",$H7932=""),"",SUMIFS(DATA_GOC!$H:$H,DATA_GOC!$A:$A,"BOM",DATA_GOC!$D:$D,$H7932,DATA_GOC!$E:$E,$C7932,DATA_GOC!$F:$F,"Xuất nội bộ từ téc",DATA_GOC!$B:$B,"&gt;="&amp;$D7932,DATA_GOC!$B:$B,"&lt;="&amp;$E7932))</f>
        <v/>
      </c>
      <c r="J7932" s="59">
        <f t="shared" si="28"/>
        <v>0</v>
      </c>
      <c r="K7932" s="59">
        <f t="shared" si="29"/>
        <v>0</v>
      </c>
      <c r="L7932" s="59">
        <f t="shared" si="30"/>
        <v>0</v>
      </c>
      <c r="M7932" s="59">
        <f t="shared" si="31"/>
        <v>0</v>
      </c>
    </row>
    <row r="7933" ht="15.0" hidden="1" customHeight="1">
      <c r="A7933" s="59">
        <f t="shared" si="20"/>
        <v>129</v>
      </c>
      <c r="B7933" s="59" t="str">
        <f t="shared" si="21"/>
        <v/>
      </c>
      <c r="C7933" s="59" t="str">
        <f t="shared" si="22"/>
        <v/>
      </c>
      <c r="D7933" s="45" t="str">
        <f t="shared" si="23"/>
        <v/>
      </c>
      <c r="E7933" s="45" t="str">
        <f t="shared" si="24"/>
        <v/>
      </c>
      <c r="F7933" s="59" t="str">
        <f t="shared" si="25"/>
        <v/>
      </c>
      <c r="G7933" s="59" t="str">
        <f t="shared" si="26"/>
        <v/>
      </c>
      <c r="H7933" s="59" t="str">
        <f t="shared" si="27"/>
        <v>28C03695</v>
      </c>
      <c r="I7933" s="59" t="str">
        <f>IF(OR($A7933="",$C7933="",$D7933="",$E7933="",$H7933=""),"",SUMIFS(DATA_GOC!$H:$H,DATA_GOC!$A:$A,"BOM",DATA_GOC!$D:$D,$H7933,DATA_GOC!$E:$E,$C7933,DATA_GOC!$F:$F,"Xuất nội bộ từ téc",DATA_GOC!$B:$B,"&gt;="&amp;$D7933,DATA_GOC!$B:$B,"&lt;="&amp;$E7933))</f>
        <v/>
      </c>
      <c r="J7933" s="59">
        <f t="shared" si="28"/>
        <v>0</v>
      </c>
      <c r="K7933" s="59">
        <f t="shared" si="29"/>
        <v>0</v>
      </c>
      <c r="L7933" s="59">
        <f t="shared" si="30"/>
        <v>0</v>
      </c>
      <c r="M7933" s="59">
        <f t="shared" si="31"/>
        <v>0</v>
      </c>
    </row>
    <row r="7934" ht="15.0" hidden="1" customHeight="1">
      <c r="A7934" s="59">
        <f t="shared" si="20"/>
        <v>129</v>
      </c>
      <c r="B7934" s="59" t="str">
        <f t="shared" si="21"/>
        <v/>
      </c>
      <c r="C7934" s="59" t="str">
        <f t="shared" si="22"/>
        <v/>
      </c>
      <c r="D7934" s="45" t="str">
        <f t="shared" si="23"/>
        <v/>
      </c>
      <c r="E7934" s="45" t="str">
        <f t="shared" si="24"/>
        <v/>
      </c>
      <c r="F7934" s="59" t="str">
        <f t="shared" si="25"/>
        <v/>
      </c>
      <c r="G7934" s="59" t="str">
        <f t="shared" si="26"/>
        <v/>
      </c>
      <c r="H7934" s="59" t="str">
        <f t="shared" si="27"/>
        <v>28C03927</v>
      </c>
      <c r="I7934" s="59" t="str">
        <f>IF(OR($A7934="",$C7934="",$D7934="",$E7934="",$H7934=""),"",SUMIFS(DATA_GOC!$H:$H,DATA_GOC!$A:$A,"BOM",DATA_GOC!$D:$D,$H7934,DATA_GOC!$E:$E,$C7934,DATA_GOC!$F:$F,"Xuất nội bộ từ téc",DATA_GOC!$B:$B,"&gt;="&amp;$D7934,DATA_GOC!$B:$B,"&lt;="&amp;$E7934))</f>
        <v/>
      </c>
      <c r="J7934" s="59">
        <f t="shared" si="28"/>
        <v>0</v>
      </c>
      <c r="K7934" s="59">
        <f t="shared" si="29"/>
        <v>0</v>
      </c>
      <c r="L7934" s="59">
        <f t="shared" si="30"/>
        <v>0</v>
      </c>
      <c r="M7934" s="59">
        <f t="shared" si="31"/>
        <v>0</v>
      </c>
    </row>
    <row r="7935" ht="15.0" hidden="1" customHeight="1">
      <c r="A7935" s="59">
        <f t="shared" si="20"/>
        <v>129</v>
      </c>
      <c r="B7935" s="59" t="str">
        <f t="shared" si="21"/>
        <v/>
      </c>
      <c r="C7935" s="59" t="str">
        <f t="shared" si="22"/>
        <v/>
      </c>
      <c r="D7935" s="45" t="str">
        <f t="shared" si="23"/>
        <v/>
      </c>
      <c r="E7935" s="45" t="str">
        <f t="shared" si="24"/>
        <v/>
      </c>
      <c r="F7935" s="59" t="str">
        <f t="shared" si="25"/>
        <v/>
      </c>
      <c r="G7935" s="59" t="str">
        <f t="shared" si="26"/>
        <v/>
      </c>
      <c r="H7935" s="59" t="str">
        <f t="shared" si="27"/>
        <v>28C04509</v>
      </c>
      <c r="I7935" s="59" t="str">
        <f>IF(OR($A7935="",$C7935="",$D7935="",$E7935="",$H7935=""),"",SUMIFS(DATA_GOC!$H:$H,DATA_GOC!$A:$A,"BOM",DATA_GOC!$D:$D,$H7935,DATA_GOC!$E:$E,$C7935,DATA_GOC!$F:$F,"Xuất nội bộ từ téc",DATA_GOC!$B:$B,"&gt;="&amp;$D7935,DATA_GOC!$B:$B,"&lt;="&amp;$E7935))</f>
        <v/>
      </c>
      <c r="J7935" s="59">
        <f t="shared" si="28"/>
        <v>0</v>
      </c>
      <c r="K7935" s="59">
        <f t="shared" si="29"/>
        <v>0</v>
      </c>
      <c r="L7935" s="59">
        <f t="shared" si="30"/>
        <v>0</v>
      </c>
      <c r="M7935" s="59">
        <f t="shared" si="31"/>
        <v>0</v>
      </c>
    </row>
    <row r="7936" ht="15.0" hidden="1" customHeight="1">
      <c r="A7936" s="59">
        <f t="shared" si="20"/>
        <v>129</v>
      </c>
      <c r="B7936" s="59" t="str">
        <f t="shared" si="21"/>
        <v/>
      </c>
      <c r="C7936" s="59" t="str">
        <f t="shared" si="22"/>
        <v/>
      </c>
      <c r="D7936" s="45" t="str">
        <f t="shared" si="23"/>
        <v/>
      </c>
      <c r="E7936" s="45" t="str">
        <f t="shared" si="24"/>
        <v/>
      </c>
      <c r="F7936" s="59" t="str">
        <f t="shared" si="25"/>
        <v/>
      </c>
      <c r="G7936" s="59" t="str">
        <f t="shared" si="26"/>
        <v/>
      </c>
      <c r="H7936" s="59" t="str">
        <f t="shared" si="27"/>
        <v>28C04536</v>
      </c>
      <c r="I7936" s="59" t="str">
        <f>IF(OR($A7936="",$C7936="",$D7936="",$E7936="",$H7936=""),"",SUMIFS(DATA_GOC!$H:$H,DATA_GOC!$A:$A,"BOM",DATA_GOC!$D:$D,$H7936,DATA_GOC!$E:$E,$C7936,DATA_GOC!$F:$F,"Xuất nội bộ từ téc",DATA_GOC!$B:$B,"&gt;="&amp;$D7936,DATA_GOC!$B:$B,"&lt;="&amp;$E7936))</f>
        <v/>
      </c>
      <c r="J7936" s="59">
        <f t="shared" si="28"/>
        <v>0</v>
      </c>
      <c r="K7936" s="59">
        <f t="shared" si="29"/>
        <v>0</v>
      </c>
      <c r="L7936" s="59">
        <f t="shared" si="30"/>
        <v>0</v>
      </c>
      <c r="M7936" s="59">
        <f t="shared" si="31"/>
        <v>0</v>
      </c>
    </row>
    <row r="7937" ht="15.0" hidden="1" customHeight="1">
      <c r="A7937" s="59">
        <f t="shared" si="20"/>
        <v>129</v>
      </c>
      <c r="B7937" s="59" t="str">
        <f t="shared" si="21"/>
        <v/>
      </c>
      <c r="C7937" s="59" t="str">
        <f t="shared" si="22"/>
        <v/>
      </c>
      <c r="D7937" s="45" t="str">
        <f t="shared" si="23"/>
        <v/>
      </c>
      <c r="E7937" s="45" t="str">
        <f t="shared" si="24"/>
        <v/>
      </c>
      <c r="F7937" s="59" t="str">
        <f t="shared" si="25"/>
        <v/>
      </c>
      <c r="G7937" s="59" t="str">
        <f t="shared" si="26"/>
        <v/>
      </c>
      <c r="H7937" s="59" t="str">
        <f t="shared" si="27"/>
        <v>28C04576</v>
      </c>
      <c r="I7937" s="59" t="str">
        <f>IF(OR($A7937="",$C7937="",$D7937="",$E7937="",$H7937=""),"",SUMIFS(DATA_GOC!$H:$H,DATA_GOC!$A:$A,"BOM",DATA_GOC!$D:$D,$H7937,DATA_GOC!$E:$E,$C7937,DATA_GOC!$F:$F,"Xuất nội bộ từ téc",DATA_GOC!$B:$B,"&gt;="&amp;$D7937,DATA_GOC!$B:$B,"&lt;="&amp;$E7937))</f>
        <v/>
      </c>
      <c r="J7937" s="59">
        <f t="shared" si="28"/>
        <v>0</v>
      </c>
      <c r="K7937" s="59">
        <f t="shared" si="29"/>
        <v>0</v>
      </c>
      <c r="L7937" s="59">
        <f t="shared" si="30"/>
        <v>0</v>
      </c>
      <c r="M7937" s="59">
        <f t="shared" si="31"/>
        <v>0</v>
      </c>
    </row>
    <row r="7938" ht="15.0" hidden="1" customHeight="1">
      <c r="A7938" s="59">
        <f t="shared" si="20"/>
        <v>129</v>
      </c>
      <c r="B7938" s="59" t="str">
        <f t="shared" si="21"/>
        <v/>
      </c>
      <c r="C7938" s="59" t="str">
        <f t="shared" si="22"/>
        <v/>
      </c>
      <c r="D7938" s="45" t="str">
        <f t="shared" si="23"/>
        <v/>
      </c>
      <c r="E7938" s="45" t="str">
        <f t="shared" si="24"/>
        <v/>
      </c>
      <c r="F7938" s="59" t="str">
        <f t="shared" si="25"/>
        <v/>
      </c>
      <c r="G7938" s="59" t="str">
        <f t="shared" si="26"/>
        <v/>
      </c>
      <c r="H7938" s="59" t="str">
        <f t="shared" si="27"/>
        <v>28C05090</v>
      </c>
      <c r="I7938" s="59" t="str">
        <f>IF(OR($A7938="",$C7938="",$D7938="",$E7938="",$H7938=""),"",SUMIFS(DATA_GOC!$H:$H,DATA_GOC!$A:$A,"BOM",DATA_GOC!$D:$D,$H7938,DATA_GOC!$E:$E,$C7938,DATA_GOC!$F:$F,"Xuất nội bộ từ téc",DATA_GOC!$B:$B,"&gt;="&amp;$D7938,DATA_GOC!$B:$B,"&lt;="&amp;$E7938))</f>
        <v/>
      </c>
      <c r="J7938" s="59">
        <f t="shared" si="28"/>
        <v>0</v>
      </c>
      <c r="K7938" s="59">
        <f t="shared" si="29"/>
        <v>0</v>
      </c>
      <c r="L7938" s="59">
        <f t="shared" si="30"/>
        <v>0</v>
      </c>
      <c r="M7938" s="59">
        <f t="shared" si="31"/>
        <v>0</v>
      </c>
    </row>
    <row r="7939" ht="15.0" hidden="1" customHeight="1">
      <c r="A7939" s="59">
        <f t="shared" si="20"/>
        <v>129</v>
      </c>
      <c r="B7939" s="59" t="str">
        <f t="shared" si="21"/>
        <v/>
      </c>
      <c r="C7939" s="59" t="str">
        <f t="shared" si="22"/>
        <v/>
      </c>
      <c r="D7939" s="45" t="str">
        <f t="shared" si="23"/>
        <v/>
      </c>
      <c r="E7939" s="45" t="str">
        <f t="shared" si="24"/>
        <v/>
      </c>
      <c r="F7939" s="59" t="str">
        <f t="shared" si="25"/>
        <v/>
      </c>
      <c r="G7939" s="59" t="str">
        <f t="shared" si="26"/>
        <v/>
      </c>
      <c r="H7939" s="59" t="str">
        <f t="shared" si="27"/>
        <v>28C05345</v>
      </c>
      <c r="I7939" s="59" t="str">
        <f>IF(OR($A7939="",$C7939="",$D7939="",$E7939="",$H7939=""),"",SUMIFS(DATA_GOC!$H:$H,DATA_GOC!$A:$A,"BOM",DATA_GOC!$D:$D,$H7939,DATA_GOC!$E:$E,$C7939,DATA_GOC!$F:$F,"Xuất nội bộ từ téc",DATA_GOC!$B:$B,"&gt;="&amp;$D7939,DATA_GOC!$B:$B,"&lt;="&amp;$E7939))</f>
        <v/>
      </c>
      <c r="J7939" s="59">
        <f t="shared" si="28"/>
        <v>0</v>
      </c>
      <c r="K7939" s="59">
        <f t="shared" si="29"/>
        <v>0</v>
      </c>
      <c r="L7939" s="59">
        <f t="shared" si="30"/>
        <v>0</v>
      </c>
      <c r="M7939" s="59">
        <f t="shared" si="31"/>
        <v>0</v>
      </c>
    </row>
    <row r="7940" ht="15.0" hidden="1" customHeight="1">
      <c r="A7940" s="59">
        <f t="shared" si="20"/>
        <v>129</v>
      </c>
      <c r="B7940" s="59" t="str">
        <f t="shared" si="21"/>
        <v/>
      </c>
      <c r="C7940" s="59" t="str">
        <f t="shared" si="22"/>
        <v/>
      </c>
      <c r="D7940" s="45" t="str">
        <f t="shared" si="23"/>
        <v/>
      </c>
      <c r="E7940" s="45" t="str">
        <f t="shared" si="24"/>
        <v/>
      </c>
      <c r="F7940" s="59" t="str">
        <f t="shared" si="25"/>
        <v/>
      </c>
      <c r="G7940" s="59" t="str">
        <f t="shared" si="26"/>
        <v/>
      </c>
      <c r="H7940" s="59" t="str">
        <f t="shared" si="27"/>
        <v>28C05661</v>
      </c>
      <c r="I7940" s="59" t="str">
        <f>IF(OR($A7940="",$C7940="",$D7940="",$E7940="",$H7940=""),"",SUMIFS(DATA_GOC!$H:$H,DATA_GOC!$A:$A,"BOM",DATA_GOC!$D:$D,$H7940,DATA_GOC!$E:$E,$C7940,DATA_GOC!$F:$F,"Xuất nội bộ từ téc",DATA_GOC!$B:$B,"&gt;="&amp;$D7940,DATA_GOC!$B:$B,"&lt;="&amp;$E7940))</f>
        <v/>
      </c>
      <c r="J7940" s="59">
        <f t="shared" si="28"/>
        <v>0</v>
      </c>
      <c r="K7940" s="59">
        <f t="shared" si="29"/>
        <v>0</v>
      </c>
      <c r="L7940" s="59">
        <f t="shared" si="30"/>
        <v>0</v>
      </c>
      <c r="M7940" s="59">
        <f t="shared" si="31"/>
        <v>0</v>
      </c>
    </row>
    <row r="7941" ht="15.0" hidden="1" customHeight="1">
      <c r="A7941" s="59">
        <f t="shared" si="20"/>
        <v>129</v>
      </c>
      <c r="B7941" s="59" t="str">
        <f t="shared" si="21"/>
        <v/>
      </c>
      <c r="C7941" s="59" t="str">
        <f t="shared" si="22"/>
        <v/>
      </c>
      <c r="D7941" s="45" t="str">
        <f t="shared" si="23"/>
        <v/>
      </c>
      <c r="E7941" s="45" t="str">
        <f t="shared" si="24"/>
        <v/>
      </c>
      <c r="F7941" s="59" t="str">
        <f t="shared" si="25"/>
        <v/>
      </c>
      <c r="G7941" s="59" t="str">
        <f t="shared" si="26"/>
        <v/>
      </c>
      <c r="H7941" s="59" t="str">
        <f t="shared" si="27"/>
        <v>28C05739</v>
      </c>
      <c r="I7941" s="59" t="str">
        <f>IF(OR($A7941="",$C7941="",$D7941="",$E7941="",$H7941=""),"",SUMIFS(DATA_GOC!$H:$H,DATA_GOC!$A:$A,"BOM",DATA_GOC!$D:$D,$H7941,DATA_GOC!$E:$E,$C7941,DATA_GOC!$F:$F,"Xuất nội bộ từ téc",DATA_GOC!$B:$B,"&gt;="&amp;$D7941,DATA_GOC!$B:$B,"&lt;="&amp;$E7941))</f>
        <v/>
      </c>
      <c r="J7941" s="59">
        <f t="shared" si="28"/>
        <v>0</v>
      </c>
      <c r="K7941" s="59">
        <f t="shared" si="29"/>
        <v>0</v>
      </c>
      <c r="L7941" s="59">
        <f t="shared" si="30"/>
        <v>0</v>
      </c>
      <c r="M7941" s="59">
        <f t="shared" si="31"/>
        <v>0</v>
      </c>
    </row>
    <row r="7942" ht="15.0" hidden="1" customHeight="1">
      <c r="A7942" s="59">
        <f t="shared" si="20"/>
        <v>129</v>
      </c>
      <c r="B7942" s="59" t="str">
        <f t="shared" si="21"/>
        <v/>
      </c>
      <c r="C7942" s="59" t="str">
        <f t="shared" si="22"/>
        <v/>
      </c>
      <c r="D7942" s="45" t="str">
        <f t="shared" si="23"/>
        <v/>
      </c>
      <c r="E7942" s="45" t="str">
        <f t="shared" si="24"/>
        <v/>
      </c>
      <c r="F7942" s="59" t="str">
        <f t="shared" si="25"/>
        <v/>
      </c>
      <c r="G7942" s="59" t="str">
        <f t="shared" si="26"/>
        <v/>
      </c>
      <c r="H7942" s="59" t="str">
        <f t="shared" si="27"/>
        <v>28C06369</v>
      </c>
      <c r="I7942" s="59" t="str">
        <f>IF(OR($A7942="",$C7942="",$D7942="",$E7942="",$H7942=""),"",SUMIFS(DATA_GOC!$H:$H,DATA_GOC!$A:$A,"BOM",DATA_GOC!$D:$D,$H7942,DATA_GOC!$E:$E,$C7942,DATA_GOC!$F:$F,"Xuất nội bộ từ téc",DATA_GOC!$B:$B,"&gt;="&amp;$D7942,DATA_GOC!$B:$B,"&lt;="&amp;$E7942))</f>
        <v/>
      </c>
      <c r="J7942" s="59">
        <f t="shared" si="28"/>
        <v>0</v>
      </c>
      <c r="K7942" s="59">
        <f t="shared" si="29"/>
        <v>0</v>
      </c>
      <c r="L7942" s="59">
        <f t="shared" si="30"/>
        <v>0</v>
      </c>
      <c r="M7942" s="59">
        <f t="shared" si="31"/>
        <v>0</v>
      </c>
    </row>
    <row r="7943" ht="15.0" hidden="1" customHeight="1">
      <c r="A7943" s="59">
        <f t="shared" si="20"/>
        <v>129</v>
      </c>
      <c r="B7943" s="59" t="str">
        <f t="shared" si="21"/>
        <v/>
      </c>
      <c r="C7943" s="59" t="str">
        <f t="shared" si="22"/>
        <v/>
      </c>
      <c r="D7943" s="45" t="str">
        <f t="shared" si="23"/>
        <v/>
      </c>
      <c r="E7943" s="45" t="str">
        <f t="shared" si="24"/>
        <v/>
      </c>
      <c r="F7943" s="59" t="str">
        <f t="shared" si="25"/>
        <v/>
      </c>
      <c r="G7943" s="59" t="str">
        <f t="shared" si="26"/>
        <v/>
      </c>
      <c r="H7943" s="59" t="str">
        <f t="shared" si="27"/>
        <v>28C06447</v>
      </c>
      <c r="I7943" s="59" t="str">
        <f>IF(OR($A7943="",$C7943="",$D7943="",$E7943="",$H7943=""),"",SUMIFS(DATA_GOC!$H:$H,DATA_GOC!$A:$A,"BOM",DATA_GOC!$D:$D,$H7943,DATA_GOC!$E:$E,$C7943,DATA_GOC!$F:$F,"Xuất nội bộ từ téc",DATA_GOC!$B:$B,"&gt;="&amp;$D7943,DATA_GOC!$B:$B,"&lt;="&amp;$E7943))</f>
        <v/>
      </c>
      <c r="J7943" s="59">
        <f t="shared" si="28"/>
        <v>0</v>
      </c>
      <c r="K7943" s="59">
        <f t="shared" si="29"/>
        <v>0</v>
      </c>
      <c r="L7943" s="59">
        <f t="shared" si="30"/>
        <v>0</v>
      </c>
      <c r="M7943" s="59">
        <f t="shared" si="31"/>
        <v>0</v>
      </c>
    </row>
    <row r="7944" ht="15.0" hidden="1" customHeight="1">
      <c r="A7944" s="59">
        <f t="shared" si="20"/>
        <v>129</v>
      </c>
      <c r="B7944" s="59" t="str">
        <f t="shared" si="21"/>
        <v/>
      </c>
      <c r="C7944" s="59" t="str">
        <f t="shared" si="22"/>
        <v/>
      </c>
      <c r="D7944" s="45" t="str">
        <f t="shared" si="23"/>
        <v/>
      </c>
      <c r="E7944" s="45" t="str">
        <f t="shared" si="24"/>
        <v/>
      </c>
      <c r="F7944" s="59" t="str">
        <f t="shared" si="25"/>
        <v/>
      </c>
      <c r="G7944" s="59" t="str">
        <f t="shared" si="26"/>
        <v/>
      </c>
      <c r="H7944" s="59" t="str">
        <f t="shared" si="27"/>
        <v>28H00003</v>
      </c>
      <c r="I7944" s="59" t="str">
        <f>IF(OR($A7944="",$C7944="",$D7944="",$E7944="",$H7944=""),"",SUMIFS(DATA_GOC!$H:$H,DATA_GOC!$A:$A,"BOM",DATA_GOC!$D:$D,$H7944,DATA_GOC!$E:$E,$C7944,DATA_GOC!$F:$F,"Xuất nội bộ từ téc",DATA_GOC!$B:$B,"&gt;="&amp;$D7944,DATA_GOC!$B:$B,"&lt;="&amp;$E7944))</f>
        <v/>
      </c>
      <c r="J7944" s="59">
        <f t="shared" si="28"/>
        <v>0</v>
      </c>
      <c r="K7944" s="59">
        <f t="shared" si="29"/>
        <v>0</v>
      </c>
      <c r="L7944" s="59">
        <f t="shared" si="30"/>
        <v>0</v>
      </c>
      <c r="M7944" s="59">
        <f t="shared" si="31"/>
        <v>0</v>
      </c>
    </row>
    <row r="7945" ht="15.0" hidden="1" customHeight="1">
      <c r="A7945" s="59">
        <f t="shared" si="20"/>
        <v>129</v>
      </c>
      <c r="B7945" s="59" t="str">
        <f t="shared" si="21"/>
        <v/>
      </c>
      <c r="C7945" s="59" t="str">
        <f t="shared" si="22"/>
        <v/>
      </c>
      <c r="D7945" s="45" t="str">
        <f t="shared" si="23"/>
        <v/>
      </c>
      <c r="E7945" s="45" t="str">
        <f t="shared" si="24"/>
        <v/>
      </c>
      <c r="F7945" s="59" t="str">
        <f t="shared" si="25"/>
        <v/>
      </c>
      <c r="G7945" s="59" t="str">
        <f t="shared" si="26"/>
        <v/>
      </c>
      <c r="H7945" s="59" t="str">
        <f t="shared" si="27"/>
        <v>28H00061</v>
      </c>
      <c r="I7945" s="59" t="str">
        <f>IF(OR($A7945="",$C7945="",$D7945="",$E7945="",$H7945=""),"",SUMIFS(DATA_GOC!$H:$H,DATA_GOC!$A:$A,"BOM",DATA_GOC!$D:$D,$H7945,DATA_GOC!$E:$E,$C7945,DATA_GOC!$F:$F,"Xuất nội bộ từ téc",DATA_GOC!$B:$B,"&gt;="&amp;$D7945,DATA_GOC!$B:$B,"&lt;="&amp;$E7945))</f>
        <v/>
      </c>
      <c r="J7945" s="59">
        <f t="shared" si="28"/>
        <v>0</v>
      </c>
      <c r="K7945" s="59">
        <f t="shared" si="29"/>
        <v>0</v>
      </c>
      <c r="L7945" s="59">
        <f t="shared" si="30"/>
        <v>0</v>
      </c>
      <c r="M7945" s="59">
        <f t="shared" si="31"/>
        <v>0</v>
      </c>
    </row>
    <row r="7946" ht="15.0" hidden="1" customHeight="1">
      <c r="A7946" s="59">
        <f t="shared" si="20"/>
        <v>129</v>
      </c>
      <c r="B7946" s="59" t="str">
        <f t="shared" si="21"/>
        <v/>
      </c>
      <c r="C7946" s="59" t="str">
        <f t="shared" si="22"/>
        <v/>
      </c>
      <c r="D7946" s="45" t="str">
        <f t="shared" si="23"/>
        <v/>
      </c>
      <c r="E7946" s="45" t="str">
        <f t="shared" si="24"/>
        <v/>
      </c>
      <c r="F7946" s="59" t="str">
        <f t="shared" si="25"/>
        <v/>
      </c>
      <c r="G7946" s="59" t="str">
        <f t="shared" si="26"/>
        <v/>
      </c>
      <c r="H7946" s="59" t="str">
        <f t="shared" si="27"/>
        <v>28H00354</v>
      </c>
      <c r="I7946" s="59" t="str">
        <f>IF(OR($A7946="",$C7946="",$D7946="",$E7946="",$H7946=""),"",SUMIFS(DATA_GOC!$H:$H,DATA_GOC!$A:$A,"BOM",DATA_GOC!$D:$D,$H7946,DATA_GOC!$E:$E,$C7946,DATA_GOC!$F:$F,"Xuất nội bộ từ téc",DATA_GOC!$B:$B,"&gt;="&amp;$D7946,DATA_GOC!$B:$B,"&lt;="&amp;$E7946))</f>
        <v/>
      </c>
      <c r="J7946" s="59">
        <f t="shared" si="28"/>
        <v>0</v>
      </c>
      <c r="K7946" s="59">
        <f t="shared" si="29"/>
        <v>0</v>
      </c>
      <c r="L7946" s="59">
        <f t="shared" si="30"/>
        <v>0</v>
      </c>
      <c r="M7946" s="59">
        <f t="shared" si="31"/>
        <v>0</v>
      </c>
    </row>
    <row r="7947" ht="15.0" hidden="1" customHeight="1">
      <c r="A7947" s="59">
        <f t="shared" si="20"/>
        <v>129</v>
      </c>
      <c r="B7947" s="59" t="str">
        <f t="shared" si="21"/>
        <v/>
      </c>
      <c r="C7947" s="59" t="str">
        <f t="shared" si="22"/>
        <v/>
      </c>
      <c r="D7947" s="45" t="str">
        <f t="shared" si="23"/>
        <v/>
      </c>
      <c r="E7947" s="45" t="str">
        <f t="shared" si="24"/>
        <v/>
      </c>
      <c r="F7947" s="59" t="str">
        <f t="shared" si="25"/>
        <v/>
      </c>
      <c r="G7947" s="59" t="str">
        <f t="shared" si="26"/>
        <v/>
      </c>
      <c r="H7947" s="59" t="str">
        <f t="shared" si="27"/>
        <v>28H00603</v>
      </c>
      <c r="I7947" s="59" t="str">
        <f>IF(OR($A7947="",$C7947="",$D7947="",$E7947="",$H7947=""),"",SUMIFS(DATA_GOC!$H:$H,DATA_GOC!$A:$A,"BOM",DATA_GOC!$D:$D,$H7947,DATA_GOC!$E:$E,$C7947,DATA_GOC!$F:$F,"Xuất nội bộ từ téc",DATA_GOC!$B:$B,"&gt;="&amp;$D7947,DATA_GOC!$B:$B,"&lt;="&amp;$E7947))</f>
        <v/>
      </c>
      <c r="J7947" s="59">
        <f t="shared" si="28"/>
        <v>0</v>
      </c>
      <c r="K7947" s="59">
        <f t="shared" si="29"/>
        <v>0</v>
      </c>
      <c r="L7947" s="59">
        <f t="shared" si="30"/>
        <v>0</v>
      </c>
      <c r="M7947" s="59">
        <f t="shared" si="31"/>
        <v>0</v>
      </c>
    </row>
    <row r="7948" ht="15.0" hidden="1" customHeight="1">
      <c r="A7948" s="59">
        <f t="shared" si="20"/>
        <v>129</v>
      </c>
      <c r="B7948" s="59" t="str">
        <f t="shared" si="21"/>
        <v/>
      </c>
      <c r="C7948" s="59" t="str">
        <f t="shared" si="22"/>
        <v/>
      </c>
      <c r="D7948" s="45" t="str">
        <f t="shared" si="23"/>
        <v/>
      </c>
      <c r="E7948" s="45" t="str">
        <f t="shared" si="24"/>
        <v/>
      </c>
      <c r="F7948" s="59" t="str">
        <f t="shared" si="25"/>
        <v/>
      </c>
      <c r="G7948" s="59" t="str">
        <f t="shared" si="26"/>
        <v/>
      </c>
      <c r="H7948" s="59" t="str">
        <f t="shared" si="27"/>
        <v>28H00609</v>
      </c>
      <c r="I7948" s="59" t="str">
        <f>IF(OR($A7948="",$C7948="",$D7948="",$E7948="",$H7948=""),"",SUMIFS(DATA_GOC!$H:$H,DATA_GOC!$A:$A,"BOM",DATA_GOC!$D:$D,$H7948,DATA_GOC!$E:$E,$C7948,DATA_GOC!$F:$F,"Xuất nội bộ từ téc",DATA_GOC!$B:$B,"&gt;="&amp;$D7948,DATA_GOC!$B:$B,"&lt;="&amp;$E7948))</f>
        <v/>
      </c>
      <c r="J7948" s="59">
        <f t="shared" si="28"/>
        <v>0</v>
      </c>
      <c r="K7948" s="59">
        <f t="shared" si="29"/>
        <v>0</v>
      </c>
      <c r="L7948" s="59">
        <f t="shared" si="30"/>
        <v>0</v>
      </c>
      <c r="M7948" s="59">
        <f t="shared" si="31"/>
        <v>0</v>
      </c>
    </row>
    <row r="7949" ht="15.0" hidden="1" customHeight="1">
      <c r="A7949" s="59">
        <f t="shared" si="20"/>
        <v>129</v>
      </c>
      <c r="B7949" s="59" t="str">
        <f t="shared" si="21"/>
        <v/>
      </c>
      <c r="C7949" s="59" t="str">
        <f t="shared" si="22"/>
        <v/>
      </c>
      <c r="D7949" s="45" t="str">
        <f t="shared" si="23"/>
        <v/>
      </c>
      <c r="E7949" s="45" t="str">
        <f t="shared" si="24"/>
        <v/>
      </c>
      <c r="F7949" s="59" t="str">
        <f t="shared" si="25"/>
        <v/>
      </c>
      <c r="G7949" s="59" t="str">
        <f t="shared" si="26"/>
        <v/>
      </c>
      <c r="H7949" s="59" t="str">
        <f t="shared" si="27"/>
        <v>28H00669</v>
      </c>
      <c r="I7949" s="59" t="str">
        <f>IF(OR($A7949="",$C7949="",$D7949="",$E7949="",$H7949=""),"",SUMIFS(DATA_GOC!$H:$H,DATA_GOC!$A:$A,"BOM",DATA_GOC!$D:$D,$H7949,DATA_GOC!$E:$E,$C7949,DATA_GOC!$F:$F,"Xuất nội bộ từ téc",DATA_GOC!$B:$B,"&gt;="&amp;$D7949,DATA_GOC!$B:$B,"&lt;="&amp;$E7949))</f>
        <v/>
      </c>
      <c r="J7949" s="59">
        <f t="shared" si="28"/>
        <v>0</v>
      </c>
      <c r="K7949" s="59">
        <f t="shared" si="29"/>
        <v>0</v>
      </c>
      <c r="L7949" s="59">
        <f t="shared" si="30"/>
        <v>0</v>
      </c>
      <c r="M7949" s="59">
        <f t="shared" si="31"/>
        <v>0</v>
      </c>
    </row>
    <row r="7950" ht="15.0" hidden="1" customHeight="1">
      <c r="A7950" s="59">
        <f t="shared" si="20"/>
        <v>129</v>
      </c>
      <c r="B7950" s="59" t="str">
        <f t="shared" si="21"/>
        <v/>
      </c>
      <c r="C7950" s="59" t="str">
        <f t="shared" si="22"/>
        <v/>
      </c>
      <c r="D7950" s="45" t="str">
        <f t="shared" si="23"/>
        <v/>
      </c>
      <c r="E7950" s="45" t="str">
        <f t="shared" si="24"/>
        <v/>
      </c>
      <c r="F7950" s="59" t="str">
        <f t="shared" si="25"/>
        <v/>
      </c>
      <c r="G7950" s="59" t="str">
        <f t="shared" si="26"/>
        <v/>
      </c>
      <c r="H7950" s="59" t="str">
        <f t="shared" si="27"/>
        <v>28H00680</v>
      </c>
      <c r="I7950" s="59" t="str">
        <f>IF(OR($A7950="",$C7950="",$D7950="",$E7950="",$H7950=""),"",SUMIFS(DATA_GOC!$H:$H,DATA_GOC!$A:$A,"BOM",DATA_GOC!$D:$D,$H7950,DATA_GOC!$E:$E,$C7950,DATA_GOC!$F:$F,"Xuất nội bộ từ téc",DATA_GOC!$B:$B,"&gt;="&amp;$D7950,DATA_GOC!$B:$B,"&lt;="&amp;$E7950))</f>
        <v/>
      </c>
      <c r="J7950" s="59">
        <f t="shared" si="28"/>
        <v>0</v>
      </c>
      <c r="K7950" s="59">
        <f t="shared" si="29"/>
        <v>0</v>
      </c>
      <c r="L7950" s="59">
        <f t="shared" si="30"/>
        <v>0</v>
      </c>
      <c r="M7950" s="59">
        <f t="shared" si="31"/>
        <v>0</v>
      </c>
    </row>
    <row r="7951" ht="15.0" hidden="1" customHeight="1">
      <c r="A7951" s="59">
        <f t="shared" si="20"/>
        <v>129</v>
      </c>
      <c r="B7951" s="59" t="str">
        <f t="shared" si="21"/>
        <v/>
      </c>
      <c r="C7951" s="59" t="str">
        <f t="shared" si="22"/>
        <v/>
      </c>
      <c r="D7951" s="45" t="str">
        <f t="shared" si="23"/>
        <v/>
      </c>
      <c r="E7951" s="45" t="str">
        <f t="shared" si="24"/>
        <v/>
      </c>
      <c r="F7951" s="59" t="str">
        <f t="shared" si="25"/>
        <v/>
      </c>
      <c r="G7951" s="59" t="str">
        <f t="shared" si="26"/>
        <v/>
      </c>
      <c r="H7951" s="59" t="str">
        <f t="shared" si="27"/>
        <v>28H01070</v>
      </c>
      <c r="I7951" s="59" t="str">
        <f>IF(OR($A7951="",$C7951="",$D7951="",$E7951="",$H7951=""),"",SUMIFS(DATA_GOC!$H:$H,DATA_GOC!$A:$A,"BOM",DATA_GOC!$D:$D,$H7951,DATA_GOC!$E:$E,$C7951,DATA_GOC!$F:$F,"Xuất nội bộ từ téc",DATA_GOC!$B:$B,"&gt;="&amp;$D7951,DATA_GOC!$B:$B,"&lt;="&amp;$E7951))</f>
        <v/>
      </c>
      <c r="J7951" s="59">
        <f t="shared" si="28"/>
        <v>0</v>
      </c>
      <c r="K7951" s="59">
        <f t="shared" si="29"/>
        <v>0</v>
      </c>
      <c r="L7951" s="59">
        <f t="shared" si="30"/>
        <v>0</v>
      </c>
      <c r="M7951" s="59">
        <f t="shared" si="31"/>
        <v>0</v>
      </c>
    </row>
    <row r="7952" ht="15.0" hidden="1" customHeight="1">
      <c r="A7952" s="59">
        <f t="shared" si="20"/>
        <v>129</v>
      </c>
      <c r="B7952" s="59" t="str">
        <f t="shared" si="21"/>
        <v/>
      </c>
      <c r="C7952" s="59" t="str">
        <f t="shared" si="22"/>
        <v/>
      </c>
      <c r="D7952" s="45" t="str">
        <f t="shared" si="23"/>
        <v/>
      </c>
      <c r="E7952" s="45" t="str">
        <f t="shared" si="24"/>
        <v/>
      </c>
      <c r="F7952" s="59" t="str">
        <f t="shared" si="25"/>
        <v/>
      </c>
      <c r="G7952" s="59" t="str">
        <f t="shared" si="26"/>
        <v/>
      </c>
      <c r="H7952" s="59" t="str">
        <f t="shared" si="27"/>
        <v>28H01364</v>
      </c>
      <c r="I7952" s="59" t="str">
        <f>IF(OR($A7952="",$C7952="",$D7952="",$E7952="",$H7952=""),"",SUMIFS(DATA_GOC!$H:$H,DATA_GOC!$A:$A,"BOM",DATA_GOC!$D:$D,$H7952,DATA_GOC!$E:$E,$C7952,DATA_GOC!$F:$F,"Xuất nội bộ từ téc",DATA_GOC!$B:$B,"&gt;="&amp;$D7952,DATA_GOC!$B:$B,"&lt;="&amp;$E7952))</f>
        <v/>
      </c>
      <c r="J7952" s="59">
        <f t="shared" si="28"/>
        <v>0</v>
      </c>
      <c r="K7952" s="59">
        <f t="shared" si="29"/>
        <v>0</v>
      </c>
      <c r="L7952" s="59">
        <f t="shared" si="30"/>
        <v>0</v>
      </c>
      <c r="M7952" s="59">
        <f t="shared" si="31"/>
        <v>0</v>
      </c>
    </row>
    <row r="7953" ht="15.0" hidden="1" customHeight="1">
      <c r="A7953" s="59">
        <f t="shared" si="20"/>
        <v>129</v>
      </c>
      <c r="B7953" s="59" t="str">
        <f t="shared" si="21"/>
        <v/>
      </c>
      <c r="C7953" s="59" t="str">
        <f t="shared" si="22"/>
        <v/>
      </c>
      <c r="D7953" s="45" t="str">
        <f t="shared" si="23"/>
        <v/>
      </c>
      <c r="E7953" s="45" t="str">
        <f t="shared" si="24"/>
        <v/>
      </c>
      <c r="F7953" s="59" t="str">
        <f t="shared" si="25"/>
        <v/>
      </c>
      <c r="G7953" s="59" t="str">
        <f t="shared" si="26"/>
        <v/>
      </c>
      <c r="H7953" s="59" t="str">
        <f t="shared" si="27"/>
        <v>29E17269</v>
      </c>
      <c r="I7953" s="59" t="str">
        <f>IF(OR($A7953="",$C7953="",$D7953="",$E7953="",$H7953=""),"",SUMIFS(DATA_GOC!$H:$H,DATA_GOC!$A:$A,"BOM",DATA_GOC!$D:$D,$H7953,DATA_GOC!$E:$E,$C7953,DATA_GOC!$F:$F,"Xuất nội bộ từ téc",DATA_GOC!$B:$B,"&gt;="&amp;$D7953,DATA_GOC!$B:$B,"&lt;="&amp;$E7953))</f>
        <v/>
      </c>
      <c r="J7953" s="59">
        <f t="shared" si="28"/>
        <v>0</v>
      </c>
      <c r="K7953" s="59">
        <f t="shared" si="29"/>
        <v>0</v>
      </c>
      <c r="L7953" s="59">
        <f t="shared" si="30"/>
        <v>0</v>
      </c>
      <c r="M7953" s="59">
        <f t="shared" si="31"/>
        <v>0</v>
      </c>
    </row>
    <row r="7954" ht="15.0" hidden="1" customHeight="1">
      <c r="A7954" s="59">
        <f t="shared" si="20"/>
        <v>129</v>
      </c>
      <c r="B7954" s="59" t="str">
        <f t="shared" si="21"/>
        <v/>
      </c>
      <c r="C7954" s="59" t="str">
        <f t="shared" si="22"/>
        <v/>
      </c>
      <c r="D7954" s="45" t="str">
        <f t="shared" si="23"/>
        <v/>
      </c>
      <c r="E7954" s="45" t="str">
        <f t="shared" si="24"/>
        <v/>
      </c>
      <c r="F7954" s="59" t="str">
        <f t="shared" si="25"/>
        <v/>
      </c>
      <c r="G7954" s="59" t="str">
        <f t="shared" si="26"/>
        <v/>
      </c>
      <c r="H7954" s="59" t="str">
        <f t="shared" si="27"/>
        <v>29E17273</v>
      </c>
      <c r="I7954" s="59" t="str">
        <f>IF(OR($A7954="",$C7954="",$D7954="",$E7954="",$H7954=""),"",SUMIFS(DATA_GOC!$H:$H,DATA_GOC!$A:$A,"BOM",DATA_GOC!$D:$D,$H7954,DATA_GOC!$E:$E,$C7954,DATA_GOC!$F:$F,"Xuất nội bộ từ téc",DATA_GOC!$B:$B,"&gt;="&amp;$D7954,DATA_GOC!$B:$B,"&lt;="&amp;$E7954))</f>
        <v/>
      </c>
      <c r="J7954" s="59">
        <f t="shared" si="28"/>
        <v>0</v>
      </c>
      <c r="K7954" s="59">
        <f t="shared" si="29"/>
        <v>0</v>
      </c>
      <c r="L7954" s="59">
        <f t="shared" si="30"/>
        <v>0</v>
      </c>
      <c r="M7954" s="59">
        <f t="shared" si="31"/>
        <v>0</v>
      </c>
    </row>
    <row r="7955" ht="15.0" hidden="1" customHeight="1">
      <c r="A7955" s="59">
        <f t="shared" si="20"/>
        <v>129</v>
      </c>
      <c r="B7955" s="59" t="str">
        <f t="shared" si="21"/>
        <v/>
      </c>
      <c r="C7955" s="59" t="str">
        <f t="shared" si="22"/>
        <v/>
      </c>
      <c r="D7955" s="45" t="str">
        <f t="shared" si="23"/>
        <v/>
      </c>
      <c r="E7955" s="45" t="str">
        <f t="shared" si="24"/>
        <v/>
      </c>
      <c r="F7955" s="59" t="str">
        <f t="shared" si="25"/>
        <v/>
      </c>
      <c r="G7955" s="59" t="str">
        <f t="shared" si="26"/>
        <v/>
      </c>
      <c r="H7955" s="59" t="str">
        <f t="shared" si="27"/>
        <v>29E17410</v>
      </c>
      <c r="I7955" s="59" t="str">
        <f>IF(OR($A7955="",$C7955="",$D7955="",$E7955="",$H7955=""),"",SUMIFS(DATA_GOC!$H:$H,DATA_GOC!$A:$A,"BOM",DATA_GOC!$D:$D,$H7955,DATA_GOC!$E:$E,$C7955,DATA_GOC!$F:$F,"Xuất nội bộ từ téc",DATA_GOC!$B:$B,"&gt;="&amp;$D7955,DATA_GOC!$B:$B,"&lt;="&amp;$E7955))</f>
        <v/>
      </c>
      <c r="J7955" s="59">
        <f t="shared" si="28"/>
        <v>0</v>
      </c>
      <c r="K7955" s="59">
        <f t="shared" si="29"/>
        <v>0</v>
      </c>
      <c r="L7955" s="59">
        <f t="shared" si="30"/>
        <v>0</v>
      </c>
      <c r="M7955" s="59">
        <f t="shared" si="31"/>
        <v>0</v>
      </c>
    </row>
    <row r="7956" ht="15.0" hidden="1" customHeight="1">
      <c r="A7956" s="59">
        <f t="shared" si="20"/>
        <v>129</v>
      </c>
      <c r="B7956" s="59" t="str">
        <f t="shared" si="21"/>
        <v/>
      </c>
      <c r="C7956" s="59" t="str">
        <f t="shared" si="22"/>
        <v/>
      </c>
      <c r="D7956" s="45" t="str">
        <f t="shared" si="23"/>
        <v/>
      </c>
      <c r="E7956" s="45" t="str">
        <f t="shared" si="24"/>
        <v/>
      </c>
      <c r="F7956" s="59" t="str">
        <f t="shared" si="25"/>
        <v/>
      </c>
      <c r="G7956" s="59" t="str">
        <f t="shared" si="26"/>
        <v/>
      </c>
      <c r="H7956" s="59" t="str">
        <f t="shared" si="27"/>
        <v>29E17417</v>
      </c>
      <c r="I7956" s="59" t="str">
        <f>IF(OR($A7956="",$C7956="",$D7956="",$E7956="",$H7956=""),"",SUMIFS(DATA_GOC!$H:$H,DATA_GOC!$A:$A,"BOM",DATA_GOC!$D:$D,$H7956,DATA_GOC!$E:$E,$C7956,DATA_GOC!$F:$F,"Xuất nội bộ từ téc",DATA_GOC!$B:$B,"&gt;="&amp;$D7956,DATA_GOC!$B:$B,"&lt;="&amp;$E7956))</f>
        <v/>
      </c>
      <c r="J7956" s="59">
        <f t="shared" si="28"/>
        <v>0</v>
      </c>
      <c r="K7956" s="59">
        <f t="shared" si="29"/>
        <v>0</v>
      </c>
      <c r="L7956" s="59">
        <f t="shared" si="30"/>
        <v>0</v>
      </c>
      <c r="M7956" s="59">
        <f t="shared" si="31"/>
        <v>0</v>
      </c>
    </row>
    <row r="7957" ht="15.0" hidden="1" customHeight="1">
      <c r="A7957" s="59">
        <f t="shared" si="20"/>
        <v>129</v>
      </c>
      <c r="B7957" s="59" t="str">
        <f t="shared" si="21"/>
        <v/>
      </c>
      <c r="C7957" s="59" t="str">
        <f t="shared" si="22"/>
        <v/>
      </c>
      <c r="D7957" s="45" t="str">
        <f t="shared" si="23"/>
        <v/>
      </c>
      <c r="E7957" s="45" t="str">
        <f t="shared" si="24"/>
        <v/>
      </c>
      <c r="F7957" s="59" t="str">
        <f t="shared" si="25"/>
        <v/>
      </c>
      <c r="G7957" s="59" t="str">
        <f t="shared" si="26"/>
        <v/>
      </c>
      <c r="H7957" s="59" t="str">
        <f t="shared" si="27"/>
        <v>29E17539</v>
      </c>
      <c r="I7957" s="59" t="str">
        <f>IF(OR($A7957="",$C7957="",$D7957="",$E7957="",$H7957=""),"",SUMIFS(DATA_GOC!$H:$H,DATA_GOC!$A:$A,"BOM",DATA_GOC!$D:$D,$H7957,DATA_GOC!$E:$E,$C7957,DATA_GOC!$F:$F,"Xuất nội bộ từ téc",DATA_GOC!$B:$B,"&gt;="&amp;$D7957,DATA_GOC!$B:$B,"&lt;="&amp;$E7957))</f>
        <v/>
      </c>
      <c r="J7957" s="59">
        <f t="shared" si="28"/>
        <v>0</v>
      </c>
      <c r="K7957" s="59">
        <f t="shared" si="29"/>
        <v>0</v>
      </c>
      <c r="L7957" s="59">
        <f t="shared" si="30"/>
        <v>0</v>
      </c>
      <c r="M7957" s="59">
        <f t="shared" si="31"/>
        <v>0</v>
      </c>
    </row>
    <row r="7958" ht="15.0" hidden="1" customHeight="1">
      <c r="A7958" s="59">
        <f t="shared" si="20"/>
        <v>129</v>
      </c>
      <c r="B7958" s="59" t="str">
        <f t="shared" si="21"/>
        <v/>
      </c>
      <c r="C7958" s="59" t="str">
        <f t="shared" si="22"/>
        <v/>
      </c>
      <c r="D7958" s="45" t="str">
        <f t="shared" si="23"/>
        <v/>
      </c>
      <c r="E7958" s="45" t="str">
        <f t="shared" si="24"/>
        <v/>
      </c>
      <c r="F7958" s="59" t="str">
        <f t="shared" si="25"/>
        <v/>
      </c>
      <c r="G7958" s="59" t="str">
        <f t="shared" si="26"/>
        <v/>
      </c>
      <c r="H7958" s="59" t="str">
        <f t="shared" si="27"/>
        <v>29E18160</v>
      </c>
      <c r="I7958" s="59" t="str">
        <f>IF(OR($A7958="",$C7958="",$D7958="",$E7958="",$H7958=""),"",SUMIFS(DATA_GOC!$H:$H,DATA_GOC!$A:$A,"BOM",DATA_GOC!$D:$D,$H7958,DATA_GOC!$E:$E,$C7958,DATA_GOC!$F:$F,"Xuất nội bộ từ téc",DATA_GOC!$B:$B,"&gt;="&amp;$D7958,DATA_GOC!$B:$B,"&lt;="&amp;$E7958))</f>
        <v/>
      </c>
      <c r="J7958" s="59">
        <f t="shared" si="28"/>
        <v>0</v>
      </c>
      <c r="K7958" s="59">
        <f t="shared" si="29"/>
        <v>0</v>
      </c>
      <c r="L7958" s="59">
        <f t="shared" si="30"/>
        <v>0</v>
      </c>
      <c r="M7958" s="59">
        <f t="shared" si="31"/>
        <v>0</v>
      </c>
    </row>
    <row r="7959" ht="15.0" hidden="1" customHeight="1">
      <c r="A7959" s="59">
        <f t="shared" si="20"/>
        <v>129</v>
      </c>
      <c r="B7959" s="59" t="str">
        <f t="shared" si="21"/>
        <v/>
      </c>
      <c r="C7959" s="59" t="str">
        <f t="shared" si="22"/>
        <v/>
      </c>
      <c r="D7959" s="45" t="str">
        <f t="shared" si="23"/>
        <v/>
      </c>
      <c r="E7959" s="45" t="str">
        <f t="shared" si="24"/>
        <v/>
      </c>
      <c r="F7959" s="59" t="str">
        <f t="shared" si="25"/>
        <v/>
      </c>
      <c r="G7959" s="59" t="str">
        <f t="shared" si="26"/>
        <v/>
      </c>
      <c r="H7959" s="59" t="str">
        <f t="shared" si="27"/>
        <v>Công trình Asphalt</v>
      </c>
      <c r="I7959" s="59" t="str">
        <f>IF(OR($A7959="",$C7959="",$D7959="",$E7959="",$H7959=""),"",SUMIFS(DATA_GOC!$H:$H,DATA_GOC!$A:$A,"BOM",DATA_GOC!$D:$D,$H7959,DATA_GOC!$E:$E,$C7959,DATA_GOC!$F:$F,"Xuất nội bộ từ téc",DATA_GOC!$B:$B,"&gt;="&amp;$D7959,DATA_GOC!$B:$B,"&lt;="&amp;$E7959))</f>
        <v/>
      </c>
      <c r="J7959" s="59">
        <f t="shared" si="28"/>
        <v>0</v>
      </c>
      <c r="K7959" s="59">
        <f t="shared" si="29"/>
        <v>0</v>
      </c>
      <c r="L7959" s="59">
        <f t="shared" si="30"/>
        <v>0</v>
      </c>
      <c r="M7959" s="59">
        <f t="shared" si="31"/>
        <v>0</v>
      </c>
    </row>
    <row r="7960" ht="15.0" hidden="1" customHeight="1">
      <c r="A7960" s="59">
        <f t="shared" si="20"/>
        <v>129</v>
      </c>
      <c r="B7960" s="59" t="str">
        <f t="shared" si="21"/>
        <v/>
      </c>
      <c r="C7960" s="59" t="str">
        <f t="shared" si="22"/>
        <v/>
      </c>
      <c r="D7960" s="45" t="str">
        <f t="shared" si="23"/>
        <v/>
      </c>
      <c r="E7960" s="45" t="str">
        <f t="shared" si="24"/>
        <v/>
      </c>
      <c r="F7960" s="59" t="str">
        <f t="shared" si="25"/>
        <v/>
      </c>
      <c r="G7960" s="59" t="str">
        <f t="shared" si="26"/>
        <v/>
      </c>
      <c r="H7960" s="59" t="str">
        <f t="shared" si="27"/>
        <v>LG53F</v>
      </c>
      <c r="I7960" s="59" t="str">
        <f>IF(OR($A7960="",$C7960="",$D7960="",$E7960="",$H7960=""),"",SUMIFS(DATA_GOC!$H:$H,DATA_GOC!$A:$A,"BOM",DATA_GOC!$D:$D,$H7960,DATA_GOC!$E:$E,$C7960,DATA_GOC!$F:$F,"Xuất nội bộ từ téc",DATA_GOC!$B:$B,"&gt;="&amp;$D7960,DATA_GOC!$B:$B,"&lt;="&amp;$E7960))</f>
        <v/>
      </c>
      <c r="J7960" s="59">
        <f t="shared" si="28"/>
        <v>0</v>
      </c>
      <c r="K7960" s="59">
        <f t="shared" si="29"/>
        <v>0</v>
      </c>
      <c r="L7960" s="59">
        <f t="shared" si="30"/>
        <v>0</v>
      </c>
      <c r="M7960" s="59">
        <f t="shared" si="31"/>
        <v>0</v>
      </c>
    </row>
    <row r="7961" ht="15.0" hidden="1" customHeight="1">
      <c r="A7961" s="59">
        <f t="shared" si="20"/>
        <v>129</v>
      </c>
      <c r="B7961" s="59" t="str">
        <f t="shared" si="21"/>
        <v/>
      </c>
      <c r="C7961" s="59" t="str">
        <f t="shared" si="22"/>
        <v/>
      </c>
      <c r="D7961" s="45" t="str">
        <f t="shared" si="23"/>
        <v/>
      </c>
      <c r="E7961" s="45" t="str">
        <f t="shared" si="24"/>
        <v/>
      </c>
      <c r="F7961" s="59" t="str">
        <f t="shared" si="25"/>
        <v/>
      </c>
      <c r="G7961" s="59" t="str">
        <f t="shared" si="26"/>
        <v/>
      </c>
      <c r="H7961" s="59" t="str">
        <f t="shared" si="27"/>
        <v>Máy phát điện</v>
      </c>
      <c r="I7961" s="59" t="str">
        <f>IF(OR($A7961="",$C7961="",$D7961="",$E7961="",$H7961=""),"",SUMIFS(DATA_GOC!$H:$H,DATA_GOC!$A:$A,"BOM",DATA_GOC!$D:$D,$H7961,DATA_GOC!$E:$E,$C7961,DATA_GOC!$F:$F,"Xuất nội bộ từ téc",DATA_GOC!$B:$B,"&gt;="&amp;$D7961,DATA_GOC!$B:$B,"&lt;="&amp;$E7961))</f>
        <v/>
      </c>
      <c r="J7961" s="59">
        <f t="shared" si="28"/>
        <v>0</v>
      </c>
      <c r="K7961" s="59">
        <f t="shared" si="29"/>
        <v>0</v>
      </c>
      <c r="L7961" s="59">
        <f t="shared" si="30"/>
        <v>0</v>
      </c>
      <c r="M7961" s="59">
        <f t="shared" si="31"/>
        <v>0</v>
      </c>
    </row>
    <row r="7962" ht="15.0" hidden="1" customHeight="1">
      <c r="A7962" s="59">
        <f t="shared" si="20"/>
        <v>129</v>
      </c>
      <c r="B7962" s="59" t="str">
        <f t="shared" si="21"/>
        <v/>
      </c>
      <c r="C7962" s="59" t="str">
        <f t="shared" si="22"/>
        <v/>
      </c>
      <c r="D7962" s="45" t="str">
        <f t="shared" si="23"/>
        <v/>
      </c>
      <c r="E7962" s="45" t="str">
        <f t="shared" si="24"/>
        <v/>
      </c>
      <c r="F7962" s="59" t="str">
        <f t="shared" si="25"/>
        <v/>
      </c>
      <c r="G7962" s="59" t="str">
        <f t="shared" si="26"/>
        <v/>
      </c>
      <c r="H7962" s="59" t="str">
        <f t="shared" si="27"/>
        <v>Máy rải thảm</v>
      </c>
      <c r="I7962" s="59" t="str">
        <f>IF(OR($A7962="",$C7962="",$D7962="",$E7962="",$H7962=""),"",SUMIFS(DATA_GOC!$H:$H,DATA_GOC!$A:$A,"BOM",DATA_GOC!$D:$D,$H7962,DATA_GOC!$E:$E,$C7962,DATA_GOC!$F:$F,"Xuất nội bộ từ téc",DATA_GOC!$B:$B,"&gt;="&amp;$D7962,DATA_GOC!$B:$B,"&lt;="&amp;$E7962))</f>
        <v/>
      </c>
      <c r="J7962" s="59">
        <f t="shared" si="28"/>
        <v>0</v>
      </c>
      <c r="K7962" s="59">
        <f t="shared" si="29"/>
        <v>0</v>
      </c>
      <c r="L7962" s="59">
        <f t="shared" si="30"/>
        <v>0</v>
      </c>
      <c r="M7962" s="59">
        <f t="shared" si="31"/>
        <v>0</v>
      </c>
    </row>
    <row r="7963" ht="15.0" hidden="1" customHeight="1">
      <c r="A7963" s="59">
        <f t="shared" si="20"/>
        <v>129</v>
      </c>
      <c r="B7963" s="59" t="str">
        <f t="shared" si="21"/>
        <v/>
      </c>
      <c r="C7963" s="59" t="str">
        <f t="shared" si="22"/>
        <v/>
      </c>
      <c r="D7963" s="45" t="str">
        <f t="shared" si="23"/>
        <v/>
      </c>
      <c r="E7963" s="45" t="str">
        <f t="shared" si="24"/>
        <v/>
      </c>
      <c r="F7963" s="59" t="str">
        <f t="shared" si="25"/>
        <v/>
      </c>
      <c r="G7963" s="59" t="str">
        <f t="shared" si="26"/>
        <v/>
      </c>
      <c r="H7963" s="59" t="str">
        <f t="shared" si="27"/>
        <v>Xúc Đào</v>
      </c>
      <c r="I7963" s="59" t="str">
        <f>IF(OR($A7963="",$C7963="",$D7963="",$E7963="",$H7963=""),"",SUMIFS(DATA_GOC!$H:$H,DATA_GOC!$A:$A,"BOM",DATA_GOC!$D:$D,$H7963,DATA_GOC!$E:$E,$C7963,DATA_GOC!$F:$F,"Xuất nội bộ từ téc",DATA_GOC!$B:$B,"&gt;="&amp;$D7963,DATA_GOC!$B:$B,"&lt;="&amp;$E7963))</f>
        <v/>
      </c>
      <c r="J7963" s="59">
        <f t="shared" si="28"/>
        <v>0</v>
      </c>
      <c r="K7963" s="59">
        <f t="shared" si="29"/>
        <v>0</v>
      </c>
      <c r="L7963" s="59">
        <f t="shared" si="30"/>
        <v>0</v>
      </c>
      <c r="M7963" s="59">
        <f t="shared" si="31"/>
        <v>0</v>
      </c>
    </row>
    <row r="7964" ht="15.0" hidden="1" customHeight="1">
      <c r="A7964" s="59">
        <f t="shared" si="20"/>
        <v>129</v>
      </c>
      <c r="B7964" s="59" t="str">
        <f t="shared" si="21"/>
        <v/>
      </c>
      <c r="C7964" s="59" t="str">
        <f t="shared" si="22"/>
        <v/>
      </c>
      <c r="D7964" s="45" t="str">
        <f t="shared" si="23"/>
        <v/>
      </c>
      <c r="E7964" s="45" t="str">
        <f t="shared" si="24"/>
        <v/>
      </c>
      <c r="F7964" s="59" t="str">
        <f t="shared" si="25"/>
        <v/>
      </c>
      <c r="G7964" s="59" t="str">
        <f t="shared" si="26"/>
        <v/>
      </c>
      <c r="H7964" s="59" t="str">
        <f t="shared" si="27"/>
        <v>Xúclật asphalt</v>
      </c>
      <c r="I7964" s="59" t="str">
        <f>IF(OR($A7964="",$C7964="",$D7964="",$E7964="",$H7964=""),"",SUMIFS(DATA_GOC!$H:$H,DATA_GOC!$A:$A,"BOM",DATA_GOC!$D:$D,$H7964,DATA_GOC!$E:$E,$C7964,DATA_GOC!$F:$F,"Xuất nội bộ từ téc",DATA_GOC!$B:$B,"&gt;="&amp;$D7964,DATA_GOC!$B:$B,"&lt;="&amp;$E7964))</f>
        <v/>
      </c>
      <c r="J7964" s="59">
        <f t="shared" si="28"/>
        <v>0</v>
      </c>
      <c r="K7964" s="59">
        <f t="shared" si="29"/>
        <v>0</v>
      </c>
      <c r="L7964" s="59">
        <f t="shared" si="30"/>
        <v>0</v>
      </c>
      <c r="M7964" s="59">
        <f t="shared" si="31"/>
        <v>0</v>
      </c>
    </row>
    <row r="7965" ht="15.0" hidden="1" customHeight="1">
      <c r="A7965" s="59">
        <f t="shared" si="20"/>
        <v>129</v>
      </c>
      <c r="B7965" s="59" t="str">
        <f t="shared" si="21"/>
        <v/>
      </c>
      <c r="C7965" s="59" t="str">
        <f t="shared" si="22"/>
        <v/>
      </c>
      <c r="D7965" s="45" t="str">
        <f t="shared" si="23"/>
        <v/>
      </c>
      <c r="E7965" s="45" t="str">
        <f t="shared" si="24"/>
        <v/>
      </c>
      <c r="F7965" s="59" t="str">
        <f t="shared" si="25"/>
        <v/>
      </c>
      <c r="G7965" s="59" t="str">
        <f t="shared" si="26"/>
        <v/>
      </c>
      <c r="H7965" s="59" t="str">
        <f t="shared" si="27"/>
        <v>Xúclật855H</v>
      </c>
      <c r="I7965" s="59" t="str">
        <f>IF(OR($A7965="",$C7965="",$D7965="",$E7965="",$H7965=""),"",SUMIFS(DATA_GOC!$H:$H,DATA_GOC!$A:$A,"BOM",DATA_GOC!$D:$D,$H7965,DATA_GOC!$E:$E,$C7965,DATA_GOC!$F:$F,"Xuất nội bộ từ téc",DATA_GOC!$B:$B,"&gt;="&amp;$D7965,DATA_GOC!$B:$B,"&lt;="&amp;$E7965))</f>
        <v/>
      </c>
      <c r="J7965" s="59">
        <f t="shared" si="28"/>
        <v>0</v>
      </c>
      <c r="K7965" s="59">
        <f t="shared" si="29"/>
        <v>0</v>
      </c>
      <c r="L7965" s="59">
        <f t="shared" si="30"/>
        <v>0</v>
      </c>
      <c r="M7965" s="59">
        <f t="shared" si="31"/>
        <v>0</v>
      </c>
    </row>
    <row r="7966" ht="15.0" hidden="1" customHeight="1">
      <c r="A7966" s="59">
        <f t="shared" si="20"/>
        <v>129</v>
      </c>
      <c r="B7966" s="59" t="str">
        <f t="shared" si="21"/>
        <v/>
      </c>
      <c r="C7966" s="59" t="str">
        <f t="shared" si="22"/>
        <v/>
      </c>
      <c r="D7966" s="45" t="str">
        <f t="shared" si="23"/>
        <v/>
      </c>
      <c r="E7966" s="45" t="str">
        <f t="shared" si="24"/>
        <v/>
      </c>
      <c r="F7966" s="59" t="str">
        <f t="shared" si="25"/>
        <v/>
      </c>
      <c r="G7966" s="59" t="str">
        <f t="shared" si="26"/>
        <v/>
      </c>
      <c r="H7966" s="59" t="str">
        <f t="shared" si="27"/>
        <v>Xúclật855N</v>
      </c>
      <c r="I7966" s="59" t="str">
        <f>IF(OR($A7966="",$C7966="",$D7966="",$E7966="",$H7966=""),"",SUMIFS(DATA_GOC!$H:$H,DATA_GOC!$A:$A,"BOM",DATA_GOC!$D:$D,$H7966,DATA_GOC!$E:$E,$C7966,DATA_GOC!$F:$F,"Xuất nội bộ từ téc",DATA_GOC!$B:$B,"&gt;="&amp;$D7966,DATA_GOC!$B:$B,"&lt;="&amp;$E7966))</f>
        <v/>
      </c>
      <c r="J7966" s="59">
        <f t="shared" si="28"/>
        <v>0</v>
      </c>
      <c r="K7966" s="59">
        <f t="shared" si="29"/>
        <v>0</v>
      </c>
      <c r="L7966" s="59">
        <f t="shared" si="30"/>
        <v>0</v>
      </c>
      <c r="M7966" s="59">
        <f t="shared" si="31"/>
        <v>0</v>
      </c>
    </row>
    <row r="7967" ht="15.0" hidden="1" customHeight="1">
      <c r="A7967" s="59">
        <f t="shared" si="20"/>
        <v>129</v>
      </c>
      <c r="B7967" s="59" t="str">
        <f t="shared" si="21"/>
        <v/>
      </c>
      <c r="C7967" s="59" t="str">
        <f t="shared" si="22"/>
        <v/>
      </c>
      <c r="D7967" s="45" t="str">
        <f t="shared" si="23"/>
        <v/>
      </c>
      <c r="E7967" s="45" t="str">
        <f t="shared" si="24"/>
        <v/>
      </c>
      <c r="F7967" s="59" t="str">
        <f t="shared" si="25"/>
        <v/>
      </c>
      <c r="G7967" s="59" t="str">
        <f t="shared" si="26"/>
        <v/>
      </c>
      <c r="H7967" s="59" t="str">
        <f t="shared" si="27"/>
        <v>Cát nghiền</v>
      </c>
      <c r="I7967" s="59" t="str">
        <f>IF(OR($A7967="",$C7967="",$D7967="",$E7967="",$H7967=""),"",SUMIFS(DATA_GOC!$H:$H,DATA_GOC!$A:$A,"BOM",DATA_GOC!$D:$D,$H7967,DATA_GOC!$E:$E,$C7967,DATA_GOC!$F:$F,"Xuất nội bộ từ téc",DATA_GOC!$B:$B,"&gt;="&amp;$D7967,DATA_GOC!$B:$B,"&lt;="&amp;$E7967))</f>
        <v/>
      </c>
      <c r="J7967" s="59">
        <f t="shared" si="28"/>
        <v>0</v>
      </c>
      <c r="K7967" s="59">
        <f t="shared" si="29"/>
        <v>0</v>
      </c>
      <c r="L7967" s="59">
        <f t="shared" si="30"/>
        <v>0</v>
      </c>
      <c r="M7967" s="59">
        <f t="shared" si="31"/>
        <v>0</v>
      </c>
    </row>
    <row r="7968" ht="15.0" hidden="1" customHeight="1">
      <c r="A7968" s="59">
        <f t="shared" si="20"/>
        <v>129</v>
      </c>
      <c r="B7968" s="59" t="str">
        <f t="shared" si="21"/>
        <v/>
      </c>
      <c r="C7968" s="59" t="str">
        <f t="shared" si="22"/>
        <v/>
      </c>
      <c r="D7968" s="45" t="str">
        <f t="shared" si="23"/>
        <v/>
      </c>
      <c r="E7968" s="45" t="str">
        <f t="shared" si="24"/>
        <v/>
      </c>
      <c r="F7968" s="59" t="str">
        <f t="shared" si="25"/>
        <v/>
      </c>
      <c r="G7968" s="59" t="str">
        <f t="shared" si="26"/>
        <v/>
      </c>
      <c r="H7968" s="59" t="str">
        <f t="shared" si="27"/>
        <v>28C02973</v>
      </c>
      <c r="I7968" s="59" t="str">
        <f>IF(OR($A7968="",$C7968="",$D7968="",$E7968="",$H7968=""),"",SUMIFS(DATA_GOC!$H:$H,DATA_GOC!$A:$A,"BOM",DATA_GOC!$D:$D,$H7968,DATA_GOC!$E:$E,$C7968,DATA_GOC!$F:$F,"Xuất nội bộ từ téc",DATA_GOC!$B:$B,"&gt;="&amp;$D7968,DATA_GOC!$B:$B,"&lt;="&amp;$E7968))</f>
        <v/>
      </c>
      <c r="J7968" s="59">
        <f t="shared" si="28"/>
        <v>0</v>
      </c>
      <c r="K7968" s="59">
        <f t="shared" si="29"/>
        <v>0</v>
      </c>
      <c r="L7968" s="59">
        <f t="shared" si="30"/>
        <v>0</v>
      </c>
      <c r="M7968" s="59">
        <f t="shared" si="31"/>
        <v>0</v>
      </c>
    </row>
    <row r="7969" ht="15.0" hidden="1" customHeight="1">
      <c r="A7969" s="59">
        <f t="shared" si="20"/>
        <v>129</v>
      </c>
      <c r="B7969" s="59" t="str">
        <f t="shared" si="21"/>
        <v/>
      </c>
      <c r="C7969" s="59" t="str">
        <f t="shared" si="22"/>
        <v/>
      </c>
      <c r="D7969" s="45" t="str">
        <f t="shared" si="23"/>
        <v/>
      </c>
      <c r="E7969" s="45" t="str">
        <f t="shared" si="24"/>
        <v/>
      </c>
      <c r="F7969" s="59" t="str">
        <f t="shared" si="25"/>
        <v/>
      </c>
      <c r="G7969" s="59" t="str">
        <f t="shared" si="26"/>
        <v/>
      </c>
      <c r="H7969" s="59" t="str">
        <f t="shared" si="27"/>
        <v>28C03044</v>
      </c>
      <c r="I7969" s="59" t="str">
        <f>IF(OR($A7969="",$C7969="",$D7969="",$E7969="",$H7969=""),"",SUMIFS(DATA_GOC!$H:$H,DATA_GOC!$A:$A,"BOM",DATA_GOC!$D:$D,$H7969,DATA_GOC!$E:$E,$C7969,DATA_GOC!$F:$F,"Xuất nội bộ từ téc",DATA_GOC!$B:$B,"&gt;="&amp;$D7969,DATA_GOC!$B:$B,"&lt;="&amp;$E7969))</f>
        <v/>
      </c>
      <c r="J7969" s="59">
        <f t="shared" si="28"/>
        <v>0</v>
      </c>
      <c r="K7969" s="59">
        <f t="shared" si="29"/>
        <v>0</v>
      </c>
      <c r="L7969" s="59">
        <f t="shared" si="30"/>
        <v>0</v>
      </c>
      <c r="M7969" s="59">
        <f t="shared" si="31"/>
        <v>0</v>
      </c>
    </row>
    <row r="7970" ht="15.0" hidden="1" customHeight="1">
      <c r="A7970" s="59">
        <f t="shared" si="20"/>
        <v>129</v>
      </c>
      <c r="B7970" s="59" t="str">
        <f t="shared" si="21"/>
        <v/>
      </c>
      <c r="C7970" s="59" t="str">
        <f t="shared" si="22"/>
        <v/>
      </c>
      <c r="D7970" s="45" t="str">
        <f t="shared" si="23"/>
        <v/>
      </c>
      <c r="E7970" s="45" t="str">
        <f t="shared" si="24"/>
        <v/>
      </c>
      <c r="F7970" s="59" t="str">
        <f t="shared" si="25"/>
        <v/>
      </c>
      <c r="G7970" s="59" t="str">
        <f t="shared" si="26"/>
        <v/>
      </c>
      <c r="H7970" s="59" t="str">
        <f t="shared" si="27"/>
        <v>Máy lu lốp</v>
      </c>
      <c r="I7970" s="59" t="str">
        <f>IF(OR($A7970="",$C7970="",$D7970="",$E7970="",$H7970=""),"",SUMIFS(DATA_GOC!$H:$H,DATA_GOC!$A:$A,"BOM",DATA_GOC!$D:$D,$H7970,DATA_GOC!$E:$E,$C7970,DATA_GOC!$F:$F,"Xuất nội bộ từ téc",DATA_GOC!$B:$B,"&gt;="&amp;$D7970,DATA_GOC!$B:$B,"&lt;="&amp;$E7970))</f>
        <v/>
      </c>
      <c r="J7970" s="59">
        <f t="shared" si="28"/>
        <v>0</v>
      </c>
      <c r="K7970" s="59">
        <f t="shared" si="29"/>
        <v>0</v>
      </c>
      <c r="L7970" s="59">
        <f t="shared" si="30"/>
        <v>0</v>
      </c>
      <c r="M7970" s="59">
        <f t="shared" si="31"/>
        <v>0</v>
      </c>
    </row>
    <row r="7971" ht="15.0" hidden="1" customHeight="1">
      <c r="A7971" s="59">
        <f t="shared" si="20"/>
        <v>129</v>
      </c>
      <c r="B7971" s="59" t="str">
        <f t="shared" si="21"/>
        <v/>
      </c>
      <c r="C7971" s="59" t="str">
        <f t="shared" si="22"/>
        <v/>
      </c>
      <c r="D7971" s="45" t="str">
        <f t="shared" si="23"/>
        <v/>
      </c>
      <c r="E7971" s="45" t="str">
        <f t="shared" si="24"/>
        <v/>
      </c>
      <c r="F7971" s="59" t="str">
        <f t="shared" si="25"/>
        <v/>
      </c>
      <c r="G7971" s="59" t="str">
        <f t="shared" si="26"/>
        <v/>
      </c>
      <c r="H7971" s="59" t="str">
        <f t="shared" si="27"/>
        <v>Xe 600148</v>
      </c>
      <c r="I7971" s="59" t="str">
        <f>IF(OR($A7971="",$C7971="",$D7971="",$E7971="",$H7971=""),"",SUMIFS(DATA_GOC!$H:$H,DATA_GOC!$A:$A,"BOM",DATA_GOC!$D:$D,$H7971,DATA_GOC!$E:$E,$C7971,DATA_GOC!$F:$F,"Xuất nội bộ từ téc",DATA_GOC!$B:$B,"&gt;="&amp;$D7971,DATA_GOC!$B:$B,"&lt;="&amp;$E7971))</f>
        <v/>
      </c>
      <c r="J7971" s="59">
        <f t="shared" si="28"/>
        <v>0</v>
      </c>
      <c r="K7971" s="59">
        <f t="shared" si="29"/>
        <v>0</v>
      </c>
      <c r="L7971" s="59">
        <f t="shared" si="30"/>
        <v>0</v>
      </c>
      <c r="M7971" s="59">
        <f t="shared" si="31"/>
        <v>0</v>
      </c>
    </row>
    <row r="7972" ht="15.0" hidden="1" customHeight="1">
      <c r="A7972" s="59">
        <f t="shared" si="20"/>
        <v>129</v>
      </c>
      <c r="B7972" s="59" t="str">
        <f t="shared" si="21"/>
        <v/>
      </c>
      <c r="C7972" s="59" t="str">
        <f t="shared" si="22"/>
        <v/>
      </c>
      <c r="D7972" s="45" t="str">
        <f t="shared" si="23"/>
        <v/>
      </c>
      <c r="E7972" s="45" t="str">
        <f t="shared" si="24"/>
        <v/>
      </c>
      <c r="F7972" s="59" t="str">
        <f t="shared" si="25"/>
        <v/>
      </c>
      <c r="G7972" s="59" t="str">
        <f t="shared" si="26"/>
        <v/>
      </c>
      <c r="H7972" s="59" t="str">
        <f t="shared" si="27"/>
        <v>Xe ben mới</v>
      </c>
      <c r="I7972" s="59" t="str">
        <f>IF(OR($A7972="",$C7972="",$D7972="",$E7972="",$H7972=""),"",SUMIFS(DATA_GOC!$H:$H,DATA_GOC!$A:$A,"BOM",DATA_GOC!$D:$D,$H7972,DATA_GOC!$E:$E,$C7972,DATA_GOC!$F:$F,"Xuất nội bộ từ téc",DATA_GOC!$B:$B,"&gt;="&amp;$D7972,DATA_GOC!$B:$B,"&lt;="&amp;$E7972))</f>
        <v/>
      </c>
      <c r="J7972" s="59">
        <f t="shared" si="28"/>
        <v>0</v>
      </c>
      <c r="K7972" s="59">
        <f t="shared" si="29"/>
        <v>0</v>
      </c>
      <c r="L7972" s="59">
        <f t="shared" si="30"/>
        <v>0</v>
      </c>
      <c r="M7972" s="59">
        <f t="shared" si="31"/>
        <v>0</v>
      </c>
    </row>
    <row r="7973" ht="15.0" hidden="1" customHeight="1">
      <c r="A7973" s="59">
        <f t="shared" si="20"/>
        <v>130</v>
      </c>
      <c r="B7973" s="59" t="str">
        <f t="shared" si="21"/>
        <v/>
      </c>
      <c r="C7973" s="59" t="str">
        <f t="shared" si="22"/>
        <v/>
      </c>
      <c r="D7973" s="45" t="str">
        <f t="shared" si="23"/>
        <v/>
      </c>
      <c r="E7973" s="45" t="str">
        <f t="shared" si="24"/>
        <v/>
      </c>
      <c r="F7973" s="59" t="str">
        <f t="shared" si="25"/>
        <v/>
      </c>
      <c r="G7973" s="59" t="str">
        <f t="shared" si="26"/>
        <v/>
      </c>
      <c r="H7973" s="59" t="str">
        <f t="shared" si="27"/>
        <v>19H09482</v>
      </c>
      <c r="I7973" s="59" t="str">
        <f>IF(OR($A7973="",$C7973="",$D7973="",$E7973="",$H7973=""),"",SUMIFS(DATA_GOC!$H:$H,DATA_GOC!$A:$A,"BOM",DATA_GOC!$D:$D,$H7973,DATA_GOC!$E:$E,$C7973,DATA_GOC!$F:$F,"Xuất nội bộ từ téc",DATA_GOC!$B:$B,"&gt;="&amp;$D7973,DATA_GOC!$B:$B,"&lt;="&amp;$E7973))</f>
        <v/>
      </c>
      <c r="J7973" s="59">
        <f t="shared" si="28"/>
        <v>0</v>
      </c>
      <c r="K7973" s="59">
        <f t="shared" si="29"/>
        <v>0</v>
      </c>
      <c r="L7973" s="59">
        <f t="shared" si="30"/>
        <v>0</v>
      </c>
      <c r="M7973" s="59">
        <f t="shared" si="31"/>
        <v>0</v>
      </c>
    </row>
    <row r="7974" ht="15.0" hidden="1" customHeight="1">
      <c r="A7974" s="59">
        <f t="shared" si="20"/>
        <v>130</v>
      </c>
      <c r="B7974" s="59" t="str">
        <f t="shared" si="21"/>
        <v/>
      </c>
      <c r="C7974" s="59" t="str">
        <f t="shared" si="22"/>
        <v/>
      </c>
      <c r="D7974" s="45" t="str">
        <f t="shared" si="23"/>
        <v/>
      </c>
      <c r="E7974" s="45" t="str">
        <f t="shared" si="24"/>
        <v/>
      </c>
      <c r="F7974" s="59" t="str">
        <f t="shared" si="25"/>
        <v/>
      </c>
      <c r="G7974" s="59" t="str">
        <f t="shared" si="26"/>
        <v/>
      </c>
      <c r="H7974" s="59" t="str">
        <f t="shared" si="27"/>
        <v>28A30696</v>
      </c>
      <c r="I7974" s="59" t="str">
        <f>IF(OR($A7974="",$C7974="",$D7974="",$E7974="",$H7974=""),"",SUMIFS(DATA_GOC!$H:$H,DATA_GOC!$A:$A,"BOM",DATA_GOC!$D:$D,$H7974,DATA_GOC!$E:$E,$C7974,DATA_GOC!$F:$F,"Xuất nội bộ từ téc",DATA_GOC!$B:$B,"&gt;="&amp;$D7974,DATA_GOC!$B:$B,"&lt;="&amp;$E7974))</f>
        <v/>
      </c>
      <c r="J7974" s="59">
        <f t="shared" si="28"/>
        <v>0</v>
      </c>
      <c r="K7974" s="59">
        <f t="shared" si="29"/>
        <v>0</v>
      </c>
      <c r="L7974" s="59">
        <f t="shared" si="30"/>
        <v>0</v>
      </c>
      <c r="M7974" s="59">
        <f t="shared" si="31"/>
        <v>0</v>
      </c>
    </row>
    <row r="7975" ht="15.0" hidden="1" customHeight="1">
      <c r="A7975" s="59">
        <f t="shared" si="20"/>
        <v>130</v>
      </c>
      <c r="B7975" s="59" t="str">
        <f t="shared" si="21"/>
        <v/>
      </c>
      <c r="C7975" s="59" t="str">
        <f t="shared" si="22"/>
        <v/>
      </c>
      <c r="D7975" s="45" t="str">
        <f t="shared" si="23"/>
        <v/>
      </c>
      <c r="E7975" s="45" t="str">
        <f t="shared" si="24"/>
        <v/>
      </c>
      <c r="F7975" s="59" t="str">
        <f t="shared" si="25"/>
        <v/>
      </c>
      <c r="G7975" s="59" t="str">
        <f t="shared" si="26"/>
        <v/>
      </c>
      <c r="H7975" s="59" t="str">
        <f t="shared" si="27"/>
        <v>28C00462</v>
      </c>
      <c r="I7975" s="59" t="str">
        <f>IF(OR($A7975="",$C7975="",$D7975="",$E7975="",$H7975=""),"",SUMIFS(DATA_GOC!$H:$H,DATA_GOC!$A:$A,"BOM",DATA_GOC!$D:$D,$H7975,DATA_GOC!$E:$E,$C7975,DATA_GOC!$F:$F,"Xuất nội bộ từ téc",DATA_GOC!$B:$B,"&gt;="&amp;$D7975,DATA_GOC!$B:$B,"&lt;="&amp;$E7975))</f>
        <v/>
      </c>
      <c r="J7975" s="59">
        <f t="shared" si="28"/>
        <v>0</v>
      </c>
      <c r="K7975" s="59">
        <f t="shared" si="29"/>
        <v>0</v>
      </c>
      <c r="L7975" s="59">
        <f t="shared" si="30"/>
        <v>0</v>
      </c>
      <c r="M7975" s="59">
        <f t="shared" si="31"/>
        <v>0</v>
      </c>
    </row>
    <row r="7976" ht="15.0" hidden="1" customHeight="1">
      <c r="A7976" s="59">
        <f t="shared" si="20"/>
        <v>130</v>
      </c>
      <c r="B7976" s="59" t="str">
        <f t="shared" si="21"/>
        <v/>
      </c>
      <c r="C7976" s="59" t="str">
        <f t="shared" si="22"/>
        <v/>
      </c>
      <c r="D7976" s="45" t="str">
        <f t="shared" si="23"/>
        <v/>
      </c>
      <c r="E7976" s="45" t="str">
        <f t="shared" si="24"/>
        <v/>
      </c>
      <c r="F7976" s="59" t="str">
        <f t="shared" si="25"/>
        <v/>
      </c>
      <c r="G7976" s="59" t="str">
        <f t="shared" si="26"/>
        <v/>
      </c>
      <c r="H7976" s="59" t="str">
        <f t="shared" si="27"/>
        <v>28C01165</v>
      </c>
      <c r="I7976" s="59" t="str">
        <f>IF(OR($A7976="",$C7976="",$D7976="",$E7976="",$H7976=""),"",SUMIFS(DATA_GOC!$H:$H,DATA_GOC!$A:$A,"BOM",DATA_GOC!$D:$D,$H7976,DATA_GOC!$E:$E,$C7976,DATA_GOC!$F:$F,"Xuất nội bộ từ téc",DATA_GOC!$B:$B,"&gt;="&amp;$D7976,DATA_GOC!$B:$B,"&lt;="&amp;$E7976))</f>
        <v/>
      </c>
      <c r="J7976" s="59">
        <f t="shared" si="28"/>
        <v>0</v>
      </c>
      <c r="K7976" s="59">
        <f t="shared" si="29"/>
        <v>0</v>
      </c>
      <c r="L7976" s="59">
        <f t="shared" si="30"/>
        <v>0</v>
      </c>
      <c r="M7976" s="59">
        <f t="shared" si="31"/>
        <v>0</v>
      </c>
    </row>
    <row r="7977" ht="15.0" hidden="1" customHeight="1">
      <c r="A7977" s="59">
        <f t="shared" si="20"/>
        <v>130</v>
      </c>
      <c r="B7977" s="59" t="str">
        <f t="shared" si="21"/>
        <v/>
      </c>
      <c r="C7977" s="59" t="str">
        <f t="shared" si="22"/>
        <v/>
      </c>
      <c r="D7977" s="45" t="str">
        <f t="shared" si="23"/>
        <v/>
      </c>
      <c r="E7977" s="45" t="str">
        <f t="shared" si="24"/>
        <v/>
      </c>
      <c r="F7977" s="59" t="str">
        <f t="shared" si="25"/>
        <v/>
      </c>
      <c r="G7977" s="59" t="str">
        <f t="shared" si="26"/>
        <v/>
      </c>
      <c r="H7977" s="59" t="str">
        <f t="shared" si="27"/>
        <v>28C01406</v>
      </c>
      <c r="I7977" s="59" t="str">
        <f>IF(OR($A7977="",$C7977="",$D7977="",$E7977="",$H7977=""),"",SUMIFS(DATA_GOC!$H:$H,DATA_GOC!$A:$A,"BOM",DATA_GOC!$D:$D,$H7977,DATA_GOC!$E:$E,$C7977,DATA_GOC!$F:$F,"Xuất nội bộ từ téc",DATA_GOC!$B:$B,"&gt;="&amp;$D7977,DATA_GOC!$B:$B,"&lt;="&amp;$E7977))</f>
        <v/>
      </c>
      <c r="J7977" s="59">
        <f t="shared" si="28"/>
        <v>0</v>
      </c>
      <c r="K7977" s="59">
        <f t="shared" si="29"/>
        <v>0</v>
      </c>
      <c r="L7977" s="59">
        <f t="shared" si="30"/>
        <v>0</v>
      </c>
      <c r="M7977" s="59">
        <f t="shared" si="31"/>
        <v>0</v>
      </c>
    </row>
    <row r="7978" ht="15.0" hidden="1" customHeight="1">
      <c r="A7978" s="59">
        <f t="shared" si="20"/>
        <v>130</v>
      </c>
      <c r="B7978" s="59" t="str">
        <f t="shared" si="21"/>
        <v/>
      </c>
      <c r="C7978" s="59" t="str">
        <f t="shared" si="22"/>
        <v/>
      </c>
      <c r="D7978" s="45" t="str">
        <f t="shared" si="23"/>
        <v/>
      </c>
      <c r="E7978" s="45" t="str">
        <f t="shared" si="24"/>
        <v/>
      </c>
      <c r="F7978" s="59" t="str">
        <f t="shared" si="25"/>
        <v/>
      </c>
      <c r="G7978" s="59" t="str">
        <f t="shared" si="26"/>
        <v/>
      </c>
      <c r="H7978" s="59" t="str">
        <f t="shared" si="27"/>
        <v>28C01544</v>
      </c>
      <c r="I7978" s="59" t="str">
        <f>IF(OR($A7978="",$C7978="",$D7978="",$E7978="",$H7978=""),"",SUMIFS(DATA_GOC!$H:$H,DATA_GOC!$A:$A,"BOM",DATA_GOC!$D:$D,$H7978,DATA_GOC!$E:$E,$C7978,DATA_GOC!$F:$F,"Xuất nội bộ từ téc",DATA_GOC!$B:$B,"&gt;="&amp;$D7978,DATA_GOC!$B:$B,"&lt;="&amp;$E7978))</f>
        <v/>
      </c>
      <c r="J7978" s="59">
        <f t="shared" si="28"/>
        <v>0</v>
      </c>
      <c r="K7978" s="59">
        <f t="shared" si="29"/>
        <v>0</v>
      </c>
      <c r="L7978" s="59">
        <f t="shared" si="30"/>
        <v>0</v>
      </c>
      <c r="M7978" s="59">
        <f t="shared" si="31"/>
        <v>0</v>
      </c>
    </row>
    <row r="7979" ht="15.0" hidden="1" customHeight="1">
      <c r="A7979" s="59">
        <f t="shared" si="20"/>
        <v>130</v>
      </c>
      <c r="B7979" s="59" t="str">
        <f t="shared" si="21"/>
        <v/>
      </c>
      <c r="C7979" s="59" t="str">
        <f t="shared" si="22"/>
        <v/>
      </c>
      <c r="D7979" s="45" t="str">
        <f t="shared" si="23"/>
        <v/>
      </c>
      <c r="E7979" s="45" t="str">
        <f t="shared" si="24"/>
        <v/>
      </c>
      <c r="F7979" s="59" t="str">
        <f t="shared" si="25"/>
        <v/>
      </c>
      <c r="G7979" s="59" t="str">
        <f t="shared" si="26"/>
        <v/>
      </c>
      <c r="H7979" s="59" t="str">
        <f t="shared" si="27"/>
        <v>28C01622</v>
      </c>
      <c r="I7979" s="59" t="str">
        <f>IF(OR($A7979="",$C7979="",$D7979="",$E7979="",$H7979=""),"",SUMIFS(DATA_GOC!$H:$H,DATA_GOC!$A:$A,"BOM",DATA_GOC!$D:$D,$H7979,DATA_GOC!$E:$E,$C7979,DATA_GOC!$F:$F,"Xuất nội bộ từ téc",DATA_GOC!$B:$B,"&gt;="&amp;$D7979,DATA_GOC!$B:$B,"&lt;="&amp;$E7979))</f>
        <v/>
      </c>
      <c r="J7979" s="59">
        <f t="shared" si="28"/>
        <v>0</v>
      </c>
      <c r="K7979" s="59">
        <f t="shared" si="29"/>
        <v>0</v>
      </c>
      <c r="L7979" s="59">
        <f t="shared" si="30"/>
        <v>0</v>
      </c>
      <c r="M7979" s="59">
        <f t="shared" si="31"/>
        <v>0</v>
      </c>
    </row>
    <row r="7980" ht="15.0" hidden="1" customHeight="1">
      <c r="A7980" s="59">
        <f t="shared" si="20"/>
        <v>130</v>
      </c>
      <c r="B7980" s="59" t="str">
        <f t="shared" si="21"/>
        <v/>
      </c>
      <c r="C7980" s="59" t="str">
        <f t="shared" si="22"/>
        <v/>
      </c>
      <c r="D7980" s="45" t="str">
        <f t="shared" si="23"/>
        <v/>
      </c>
      <c r="E7980" s="45" t="str">
        <f t="shared" si="24"/>
        <v/>
      </c>
      <c r="F7980" s="59" t="str">
        <f t="shared" si="25"/>
        <v/>
      </c>
      <c r="G7980" s="59" t="str">
        <f t="shared" si="26"/>
        <v/>
      </c>
      <c r="H7980" s="59" t="str">
        <f t="shared" si="27"/>
        <v>28C01647</v>
      </c>
      <c r="I7980" s="59" t="str">
        <f>IF(OR($A7980="",$C7980="",$D7980="",$E7980="",$H7980=""),"",SUMIFS(DATA_GOC!$H:$H,DATA_GOC!$A:$A,"BOM",DATA_GOC!$D:$D,$H7980,DATA_GOC!$E:$E,$C7980,DATA_GOC!$F:$F,"Xuất nội bộ từ téc",DATA_GOC!$B:$B,"&gt;="&amp;$D7980,DATA_GOC!$B:$B,"&lt;="&amp;$E7980))</f>
        <v/>
      </c>
      <c r="J7980" s="59">
        <f t="shared" si="28"/>
        <v>0</v>
      </c>
      <c r="K7980" s="59">
        <f t="shared" si="29"/>
        <v>0</v>
      </c>
      <c r="L7980" s="59">
        <f t="shared" si="30"/>
        <v>0</v>
      </c>
      <c r="M7980" s="59">
        <f t="shared" si="31"/>
        <v>0</v>
      </c>
    </row>
    <row r="7981" ht="15.0" hidden="1" customHeight="1">
      <c r="A7981" s="59">
        <f t="shared" si="20"/>
        <v>130</v>
      </c>
      <c r="B7981" s="59" t="str">
        <f t="shared" si="21"/>
        <v/>
      </c>
      <c r="C7981" s="59" t="str">
        <f t="shared" si="22"/>
        <v/>
      </c>
      <c r="D7981" s="45" t="str">
        <f t="shared" si="23"/>
        <v/>
      </c>
      <c r="E7981" s="45" t="str">
        <f t="shared" si="24"/>
        <v/>
      </c>
      <c r="F7981" s="59" t="str">
        <f t="shared" si="25"/>
        <v/>
      </c>
      <c r="G7981" s="59" t="str">
        <f t="shared" si="26"/>
        <v/>
      </c>
      <c r="H7981" s="59" t="str">
        <f t="shared" si="27"/>
        <v>28C01731</v>
      </c>
      <c r="I7981" s="59" t="str">
        <f>IF(OR($A7981="",$C7981="",$D7981="",$E7981="",$H7981=""),"",SUMIFS(DATA_GOC!$H:$H,DATA_GOC!$A:$A,"BOM",DATA_GOC!$D:$D,$H7981,DATA_GOC!$E:$E,$C7981,DATA_GOC!$F:$F,"Xuất nội bộ từ téc",DATA_GOC!$B:$B,"&gt;="&amp;$D7981,DATA_GOC!$B:$B,"&lt;="&amp;$E7981))</f>
        <v/>
      </c>
      <c r="J7981" s="59">
        <f t="shared" si="28"/>
        <v>0</v>
      </c>
      <c r="K7981" s="59">
        <f t="shared" si="29"/>
        <v>0</v>
      </c>
      <c r="L7981" s="59">
        <f t="shared" si="30"/>
        <v>0</v>
      </c>
      <c r="M7981" s="59">
        <f t="shared" si="31"/>
        <v>0</v>
      </c>
    </row>
    <row r="7982" ht="15.0" hidden="1" customHeight="1">
      <c r="A7982" s="59">
        <f t="shared" si="20"/>
        <v>130</v>
      </c>
      <c r="B7982" s="59" t="str">
        <f t="shared" si="21"/>
        <v/>
      </c>
      <c r="C7982" s="59" t="str">
        <f t="shared" si="22"/>
        <v/>
      </c>
      <c r="D7982" s="45" t="str">
        <f t="shared" si="23"/>
        <v/>
      </c>
      <c r="E7982" s="45" t="str">
        <f t="shared" si="24"/>
        <v/>
      </c>
      <c r="F7982" s="59" t="str">
        <f t="shared" si="25"/>
        <v/>
      </c>
      <c r="G7982" s="59" t="str">
        <f t="shared" si="26"/>
        <v/>
      </c>
      <c r="H7982" s="59" t="str">
        <f t="shared" si="27"/>
        <v>28C01743</v>
      </c>
      <c r="I7982" s="59" t="str">
        <f>IF(OR($A7982="",$C7982="",$D7982="",$E7982="",$H7982=""),"",SUMIFS(DATA_GOC!$H:$H,DATA_GOC!$A:$A,"BOM",DATA_GOC!$D:$D,$H7982,DATA_GOC!$E:$E,$C7982,DATA_GOC!$F:$F,"Xuất nội bộ từ téc",DATA_GOC!$B:$B,"&gt;="&amp;$D7982,DATA_GOC!$B:$B,"&lt;="&amp;$E7982))</f>
        <v/>
      </c>
      <c r="J7982" s="59">
        <f t="shared" si="28"/>
        <v>0</v>
      </c>
      <c r="K7982" s="59">
        <f t="shared" si="29"/>
        <v>0</v>
      </c>
      <c r="L7982" s="59">
        <f t="shared" si="30"/>
        <v>0</v>
      </c>
      <c r="M7982" s="59">
        <f t="shared" si="31"/>
        <v>0</v>
      </c>
    </row>
    <row r="7983" ht="15.0" hidden="1" customHeight="1">
      <c r="A7983" s="59">
        <f t="shared" si="20"/>
        <v>130</v>
      </c>
      <c r="B7983" s="59" t="str">
        <f t="shared" si="21"/>
        <v/>
      </c>
      <c r="C7983" s="59" t="str">
        <f t="shared" si="22"/>
        <v/>
      </c>
      <c r="D7983" s="45" t="str">
        <f t="shared" si="23"/>
        <v/>
      </c>
      <c r="E7983" s="45" t="str">
        <f t="shared" si="24"/>
        <v/>
      </c>
      <c r="F7983" s="59" t="str">
        <f t="shared" si="25"/>
        <v/>
      </c>
      <c r="G7983" s="59" t="str">
        <f t="shared" si="26"/>
        <v/>
      </c>
      <c r="H7983" s="59" t="str">
        <f t="shared" si="27"/>
        <v>28C02106</v>
      </c>
      <c r="I7983" s="59" t="str">
        <f>IF(OR($A7983="",$C7983="",$D7983="",$E7983="",$H7983=""),"",SUMIFS(DATA_GOC!$H:$H,DATA_GOC!$A:$A,"BOM",DATA_GOC!$D:$D,$H7983,DATA_GOC!$E:$E,$C7983,DATA_GOC!$F:$F,"Xuất nội bộ từ téc",DATA_GOC!$B:$B,"&gt;="&amp;$D7983,DATA_GOC!$B:$B,"&lt;="&amp;$E7983))</f>
        <v/>
      </c>
      <c r="J7983" s="59">
        <f t="shared" si="28"/>
        <v>0</v>
      </c>
      <c r="K7983" s="59">
        <f t="shared" si="29"/>
        <v>0</v>
      </c>
      <c r="L7983" s="59">
        <f t="shared" si="30"/>
        <v>0</v>
      </c>
      <c r="M7983" s="59">
        <f t="shared" si="31"/>
        <v>0</v>
      </c>
    </row>
    <row r="7984" ht="15.0" hidden="1" customHeight="1">
      <c r="A7984" s="59">
        <f t="shared" si="20"/>
        <v>130</v>
      </c>
      <c r="B7984" s="59" t="str">
        <f t="shared" si="21"/>
        <v/>
      </c>
      <c r="C7984" s="59" t="str">
        <f t="shared" si="22"/>
        <v/>
      </c>
      <c r="D7984" s="45" t="str">
        <f t="shared" si="23"/>
        <v/>
      </c>
      <c r="E7984" s="45" t="str">
        <f t="shared" si="24"/>
        <v/>
      </c>
      <c r="F7984" s="59" t="str">
        <f t="shared" si="25"/>
        <v/>
      </c>
      <c r="G7984" s="59" t="str">
        <f t="shared" si="26"/>
        <v/>
      </c>
      <c r="H7984" s="59" t="str">
        <f t="shared" si="27"/>
        <v>28C02410</v>
      </c>
      <c r="I7984" s="59" t="str">
        <f>IF(OR($A7984="",$C7984="",$D7984="",$E7984="",$H7984=""),"",SUMIFS(DATA_GOC!$H:$H,DATA_GOC!$A:$A,"BOM",DATA_GOC!$D:$D,$H7984,DATA_GOC!$E:$E,$C7984,DATA_GOC!$F:$F,"Xuất nội bộ từ téc",DATA_GOC!$B:$B,"&gt;="&amp;$D7984,DATA_GOC!$B:$B,"&lt;="&amp;$E7984))</f>
        <v/>
      </c>
      <c r="J7984" s="59">
        <f t="shared" si="28"/>
        <v>0</v>
      </c>
      <c r="K7984" s="59">
        <f t="shared" si="29"/>
        <v>0</v>
      </c>
      <c r="L7984" s="59">
        <f t="shared" si="30"/>
        <v>0</v>
      </c>
      <c r="M7984" s="59">
        <f t="shared" si="31"/>
        <v>0</v>
      </c>
    </row>
    <row r="7985" ht="15.0" hidden="1" customHeight="1">
      <c r="A7985" s="59">
        <f t="shared" si="20"/>
        <v>130</v>
      </c>
      <c r="B7985" s="59" t="str">
        <f t="shared" si="21"/>
        <v/>
      </c>
      <c r="C7985" s="59" t="str">
        <f t="shared" si="22"/>
        <v/>
      </c>
      <c r="D7985" s="45" t="str">
        <f t="shared" si="23"/>
        <v/>
      </c>
      <c r="E7985" s="45" t="str">
        <f t="shared" si="24"/>
        <v/>
      </c>
      <c r="F7985" s="59" t="str">
        <f t="shared" si="25"/>
        <v/>
      </c>
      <c r="G7985" s="59" t="str">
        <f t="shared" si="26"/>
        <v/>
      </c>
      <c r="H7985" s="59" t="str">
        <f t="shared" si="27"/>
        <v>28C02545</v>
      </c>
      <c r="I7985" s="59" t="str">
        <f>IF(OR($A7985="",$C7985="",$D7985="",$E7985="",$H7985=""),"",SUMIFS(DATA_GOC!$H:$H,DATA_GOC!$A:$A,"BOM",DATA_GOC!$D:$D,$H7985,DATA_GOC!$E:$E,$C7985,DATA_GOC!$F:$F,"Xuất nội bộ từ téc",DATA_GOC!$B:$B,"&gt;="&amp;$D7985,DATA_GOC!$B:$B,"&lt;="&amp;$E7985))</f>
        <v/>
      </c>
      <c r="J7985" s="59">
        <f t="shared" si="28"/>
        <v>0</v>
      </c>
      <c r="K7985" s="59">
        <f t="shared" si="29"/>
        <v>0</v>
      </c>
      <c r="L7985" s="59">
        <f t="shared" si="30"/>
        <v>0</v>
      </c>
      <c r="M7985" s="59">
        <f t="shared" si="31"/>
        <v>0</v>
      </c>
    </row>
    <row r="7986" ht="15.0" hidden="1" customHeight="1">
      <c r="A7986" s="59">
        <f t="shared" si="20"/>
        <v>130</v>
      </c>
      <c r="B7986" s="59" t="str">
        <f t="shared" si="21"/>
        <v/>
      </c>
      <c r="C7986" s="59" t="str">
        <f t="shared" si="22"/>
        <v/>
      </c>
      <c r="D7986" s="45" t="str">
        <f t="shared" si="23"/>
        <v/>
      </c>
      <c r="E7986" s="45" t="str">
        <f t="shared" si="24"/>
        <v/>
      </c>
      <c r="F7986" s="59" t="str">
        <f t="shared" si="25"/>
        <v/>
      </c>
      <c r="G7986" s="59" t="str">
        <f t="shared" si="26"/>
        <v/>
      </c>
      <c r="H7986" s="59" t="str">
        <f t="shared" si="27"/>
        <v>28C02574</v>
      </c>
      <c r="I7986" s="59" t="str">
        <f>IF(OR($A7986="",$C7986="",$D7986="",$E7986="",$H7986=""),"",SUMIFS(DATA_GOC!$H:$H,DATA_GOC!$A:$A,"BOM",DATA_GOC!$D:$D,$H7986,DATA_GOC!$E:$E,$C7986,DATA_GOC!$F:$F,"Xuất nội bộ từ téc",DATA_GOC!$B:$B,"&gt;="&amp;$D7986,DATA_GOC!$B:$B,"&lt;="&amp;$E7986))</f>
        <v/>
      </c>
      <c r="J7986" s="59">
        <f t="shared" si="28"/>
        <v>0</v>
      </c>
      <c r="K7986" s="59">
        <f t="shared" si="29"/>
        <v>0</v>
      </c>
      <c r="L7986" s="59">
        <f t="shared" si="30"/>
        <v>0</v>
      </c>
      <c r="M7986" s="59">
        <f t="shared" si="31"/>
        <v>0</v>
      </c>
    </row>
    <row r="7987" ht="15.0" hidden="1" customHeight="1">
      <c r="A7987" s="59">
        <f t="shared" si="20"/>
        <v>130</v>
      </c>
      <c r="B7987" s="59" t="str">
        <f t="shared" si="21"/>
        <v/>
      </c>
      <c r="C7987" s="59" t="str">
        <f t="shared" si="22"/>
        <v/>
      </c>
      <c r="D7987" s="45" t="str">
        <f t="shared" si="23"/>
        <v/>
      </c>
      <c r="E7987" s="45" t="str">
        <f t="shared" si="24"/>
        <v/>
      </c>
      <c r="F7987" s="59" t="str">
        <f t="shared" si="25"/>
        <v/>
      </c>
      <c r="G7987" s="59" t="str">
        <f t="shared" si="26"/>
        <v/>
      </c>
      <c r="H7987" s="59" t="str">
        <f t="shared" si="27"/>
        <v>28C02770</v>
      </c>
      <c r="I7987" s="59" t="str">
        <f>IF(OR($A7987="",$C7987="",$D7987="",$E7987="",$H7987=""),"",SUMIFS(DATA_GOC!$H:$H,DATA_GOC!$A:$A,"BOM",DATA_GOC!$D:$D,$H7987,DATA_GOC!$E:$E,$C7987,DATA_GOC!$F:$F,"Xuất nội bộ từ téc",DATA_GOC!$B:$B,"&gt;="&amp;$D7987,DATA_GOC!$B:$B,"&lt;="&amp;$E7987))</f>
        <v/>
      </c>
      <c r="J7987" s="59">
        <f t="shared" si="28"/>
        <v>0</v>
      </c>
      <c r="K7987" s="59">
        <f t="shared" si="29"/>
        <v>0</v>
      </c>
      <c r="L7987" s="59">
        <f t="shared" si="30"/>
        <v>0</v>
      </c>
      <c r="M7987" s="59">
        <f t="shared" si="31"/>
        <v>0</v>
      </c>
    </row>
    <row r="7988" ht="15.0" hidden="1" customHeight="1">
      <c r="A7988" s="59">
        <f t="shared" si="20"/>
        <v>130</v>
      </c>
      <c r="B7988" s="59" t="str">
        <f t="shared" si="21"/>
        <v/>
      </c>
      <c r="C7988" s="59" t="str">
        <f t="shared" si="22"/>
        <v/>
      </c>
      <c r="D7988" s="45" t="str">
        <f t="shared" si="23"/>
        <v/>
      </c>
      <c r="E7988" s="45" t="str">
        <f t="shared" si="24"/>
        <v/>
      </c>
      <c r="F7988" s="59" t="str">
        <f t="shared" si="25"/>
        <v/>
      </c>
      <c r="G7988" s="59" t="str">
        <f t="shared" si="26"/>
        <v/>
      </c>
      <c r="H7988" s="59" t="str">
        <f t="shared" si="27"/>
        <v>28C02986</v>
      </c>
      <c r="I7988" s="59" t="str">
        <f>IF(OR($A7988="",$C7988="",$D7988="",$E7988="",$H7988=""),"",SUMIFS(DATA_GOC!$H:$H,DATA_GOC!$A:$A,"BOM",DATA_GOC!$D:$D,$H7988,DATA_GOC!$E:$E,$C7988,DATA_GOC!$F:$F,"Xuất nội bộ từ téc",DATA_GOC!$B:$B,"&gt;="&amp;$D7988,DATA_GOC!$B:$B,"&lt;="&amp;$E7988))</f>
        <v/>
      </c>
      <c r="J7988" s="59">
        <f t="shared" si="28"/>
        <v>0</v>
      </c>
      <c r="K7988" s="59">
        <f t="shared" si="29"/>
        <v>0</v>
      </c>
      <c r="L7988" s="59">
        <f t="shared" si="30"/>
        <v>0</v>
      </c>
      <c r="M7988" s="59">
        <f t="shared" si="31"/>
        <v>0</v>
      </c>
    </row>
    <row r="7989" ht="15.0" hidden="1" customHeight="1">
      <c r="A7989" s="59">
        <f t="shared" si="20"/>
        <v>130</v>
      </c>
      <c r="B7989" s="59" t="str">
        <f t="shared" si="21"/>
        <v/>
      </c>
      <c r="C7989" s="59" t="str">
        <f t="shared" si="22"/>
        <v/>
      </c>
      <c r="D7989" s="45" t="str">
        <f t="shared" si="23"/>
        <v/>
      </c>
      <c r="E7989" s="45" t="str">
        <f t="shared" si="24"/>
        <v/>
      </c>
      <c r="F7989" s="59" t="str">
        <f t="shared" si="25"/>
        <v/>
      </c>
      <c r="G7989" s="59" t="str">
        <f t="shared" si="26"/>
        <v/>
      </c>
      <c r="H7989" s="59" t="str">
        <f t="shared" si="27"/>
        <v>28C03261</v>
      </c>
      <c r="I7989" s="59" t="str">
        <f>IF(OR($A7989="",$C7989="",$D7989="",$E7989="",$H7989=""),"",SUMIFS(DATA_GOC!$H:$H,DATA_GOC!$A:$A,"BOM",DATA_GOC!$D:$D,$H7989,DATA_GOC!$E:$E,$C7989,DATA_GOC!$F:$F,"Xuất nội bộ từ téc",DATA_GOC!$B:$B,"&gt;="&amp;$D7989,DATA_GOC!$B:$B,"&lt;="&amp;$E7989))</f>
        <v/>
      </c>
      <c r="J7989" s="59">
        <f t="shared" si="28"/>
        <v>0</v>
      </c>
      <c r="K7989" s="59">
        <f t="shared" si="29"/>
        <v>0</v>
      </c>
      <c r="L7989" s="59">
        <f t="shared" si="30"/>
        <v>0</v>
      </c>
      <c r="M7989" s="59">
        <f t="shared" si="31"/>
        <v>0</v>
      </c>
    </row>
    <row r="7990" ht="15.0" hidden="1" customHeight="1">
      <c r="A7990" s="59">
        <f t="shared" si="20"/>
        <v>130</v>
      </c>
      <c r="B7990" s="59" t="str">
        <f t="shared" si="21"/>
        <v/>
      </c>
      <c r="C7990" s="59" t="str">
        <f t="shared" si="22"/>
        <v/>
      </c>
      <c r="D7990" s="45" t="str">
        <f t="shared" si="23"/>
        <v/>
      </c>
      <c r="E7990" s="45" t="str">
        <f t="shared" si="24"/>
        <v/>
      </c>
      <c r="F7990" s="59" t="str">
        <f t="shared" si="25"/>
        <v/>
      </c>
      <c r="G7990" s="59" t="str">
        <f t="shared" si="26"/>
        <v/>
      </c>
      <c r="H7990" s="59" t="str">
        <f t="shared" si="27"/>
        <v>28C03323</v>
      </c>
      <c r="I7990" s="59" t="str">
        <f>IF(OR($A7990="",$C7990="",$D7990="",$E7990="",$H7990=""),"",SUMIFS(DATA_GOC!$H:$H,DATA_GOC!$A:$A,"BOM",DATA_GOC!$D:$D,$H7990,DATA_GOC!$E:$E,$C7990,DATA_GOC!$F:$F,"Xuất nội bộ từ téc",DATA_GOC!$B:$B,"&gt;="&amp;$D7990,DATA_GOC!$B:$B,"&lt;="&amp;$E7990))</f>
        <v/>
      </c>
      <c r="J7990" s="59">
        <f t="shared" si="28"/>
        <v>0</v>
      </c>
      <c r="K7990" s="59">
        <f t="shared" si="29"/>
        <v>0</v>
      </c>
      <c r="L7990" s="59">
        <f t="shared" si="30"/>
        <v>0</v>
      </c>
      <c r="M7990" s="59">
        <f t="shared" si="31"/>
        <v>0</v>
      </c>
    </row>
    <row r="7991" ht="15.0" hidden="1" customHeight="1">
      <c r="A7991" s="59">
        <f t="shared" si="20"/>
        <v>130</v>
      </c>
      <c r="B7991" s="59" t="str">
        <f t="shared" si="21"/>
        <v/>
      </c>
      <c r="C7991" s="59" t="str">
        <f t="shared" si="22"/>
        <v/>
      </c>
      <c r="D7991" s="45" t="str">
        <f t="shared" si="23"/>
        <v/>
      </c>
      <c r="E7991" s="45" t="str">
        <f t="shared" si="24"/>
        <v/>
      </c>
      <c r="F7991" s="59" t="str">
        <f t="shared" si="25"/>
        <v/>
      </c>
      <c r="G7991" s="59" t="str">
        <f t="shared" si="26"/>
        <v/>
      </c>
      <c r="H7991" s="59" t="str">
        <f t="shared" si="27"/>
        <v>28C03385</v>
      </c>
      <c r="I7991" s="59" t="str">
        <f>IF(OR($A7991="",$C7991="",$D7991="",$E7991="",$H7991=""),"",SUMIFS(DATA_GOC!$H:$H,DATA_GOC!$A:$A,"BOM",DATA_GOC!$D:$D,$H7991,DATA_GOC!$E:$E,$C7991,DATA_GOC!$F:$F,"Xuất nội bộ từ téc",DATA_GOC!$B:$B,"&gt;="&amp;$D7991,DATA_GOC!$B:$B,"&lt;="&amp;$E7991))</f>
        <v/>
      </c>
      <c r="J7991" s="59">
        <f t="shared" si="28"/>
        <v>0</v>
      </c>
      <c r="K7991" s="59">
        <f t="shared" si="29"/>
        <v>0</v>
      </c>
      <c r="L7991" s="59">
        <f t="shared" si="30"/>
        <v>0</v>
      </c>
      <c r="M7991" s="59">
        <f t="shared" si="31"/>
        <v>0</v>
      </c>
    </row>
    <row r="7992" ht="15.0" hidden="1" customHeight="1">
      <c r="A7992" s="59">
        <f t="shared" si="20"/>
        <v>130</v>
      </c>
      <c r="B7992" s="59" t="str">
        <f t="shared" si="21"/>
        <v/>
      </c>
      <c r="C7992" s="59" t="str">
        <f t="shared" si="22"/>
        <v/>
      </c>
      <c r="D7992" s="45" t="str">
        <f t="shared" si="23"/>
        <v/>
      </c>
      <c r="E7992" s="45" t="str">
        <f t="shared" si="24"/>
        <v/>
      </c>
      <c r="F7992" s="59" t="str">
        <f t="shared" si="25"/>
        <v/>
      </c>
      <c r="G7992" s="59" t="str">
        <f t="shared" si="26"/>
        <v/>
      </c>
      <c r="H7992" s="59" t="str">
        <f t="shared" si="27"/>
        <v>28C03652</v>
      </c>
      <c r="I7992" s="59" t="str">
        <f>IF(OR($A7992="",$C7992="",$D7992="",$E7992="",$H7992=""),"",SUMIFS(DATA_GOC!$H:$H,DATA_GOC!$A:$A,"BOM",DATA_GOC!$D:$D,$H7992,DATA_GOC!$E:$E,$C7992,DATA_GOC!$F:$F,"Xuất nội bộ từ téc",DATA_GOC!$B:$B,"&gt;="&amp;$D7992,DATA_GOC!$B:$B,"&lt;="&amp;$E7992))</f>
        <v/>
      </c>
      <c r="J7992" s="59">
        <f t="shared" si="28"/>
        <v>0</v>
      </c>
      <c r="K7992" s="59">
        <f t="shared" si="29"/>
        <v>0</v>
      </c>
      <c r="L7992" s="59">
        <f t="shared" si="30"/>
        <v>0</v>
      </c>
      <c r="M7992" s="59">
        <f t="shared" si="31"/>
        <v>0</v>
      </c>
    </row>
    <row r="7993" ht="15.0" hidden="1" customHeight="1">
      <c r="A7993" s="59">
        <f t="shared" si="20"/>
        <v>130</v>
      </c>
      <c r="B7993" s="59" t="str">
        <f t="shared" si="21"/>
        <v/>
      </c>
      <c r="C7993" s="59" t="str">
        <f t="shared" si="22"/>
        <v/>
      </c>
      <c r="D7993" s="45" t="str">
        <f t="shared" si="23"/>
        <v/>
      </c>
      <c r="E7993" s="45" t="str">
        <f t="shared" si="24"/>
        <v/>
      </c>
      <c r="F7993" s="59" t="str">
        <f t="shared" si="25"/>
        <v/>
      </c>
      <c r="G7993" s="59" t="str">
        <f t="shared" si="26"/>
        <v/>
      </c>
      <c r="H7993" s="59" t="str">
        <f t="shared" si="27"/>
        <v>28C03695</v>
      </c>
      <c r="I7993" s="59" t="str">
        <f>IF(OR($A7993="",$C7993="",$D7993="",$E7993="",$H7993=""),"",SUMIFS(DATA_GOC!$H:$H,DATA_GOC!$A:$A,"BOM",DATA_GOC!$D:$D,$H7993,DATA_GOC!$E:$E,$C7993,DATA_GOC!$F:$F,"Xuất nội bộ từ téc",DATA_GOC!$B:$B,"&gt;="&amp;$D7993,DATA_GOC!$B:$B,"&lt;="&amp;$E7993))</f>
        <v/>
      </c>
      <c r="J7993" s="59">
        <f t="shared" si="28"/>
        <v>0</v>
      </c>
      <c r="K7993" s="59">
        <f t="shared" si="29"/>
        <v>0</v>
      </c>
      <c r="L7993" s="59">
        <f t="shared" si="30"/>
        <v>0</v>
      </c>
      <c r="M7993" s="59">
        <f t="shared" si="31"/>
        <v>0</v>
      </c>
    </row>
    <row r="7994" ht="15.0" hidden="1" customHeight="1">
      <c r="A7994" s="59">
        <f t="shared" si="20"/>
        <v>130</v>
      </c>
      <c r="B7994" s="59" t="str">
        <f t="shared" si="21"/>
        <v/>
      </c>
      <c r="C7994" s="59" t="str">
        <f t="shared" si="22"/>
        <v/>
      </c>
      <c r="D7994" s="45" t="str">
        <f t="shared" si="23"/>
        <v/>
      </c>
      <c r="E7994" s="45" t="str">
        <f t="shared" si="24"/>
        <v/>
      </c>
      <c r="F7994" s="59" t="str">
        <f t="shared" si="25"/>
        <v/>
      </c>
      <c r="G7994" s="59" t="str">
        <f t="shared" si="26"/>
        <v/>
      </c>
      <c r="H7994" s="59" t="str">
        <f t="shared" si="27"/>
        <v>28C03927</v>
      </c>
      <c r="I7994" s="59" t="str">
        <f>IF(OR($A7994="",$C7994="",$D7994="",$E7994="",$H7994=""),"",SUMIFS(DATA_GOC!$H:$H,DATA_GOC!$A:$A,"BOM",DATA_GOC!$D:$D,$H7994,DATA_GOC!$E:$E,$C7994,DATA_GOC!$F:$F,"Xuất nội bộ từ téc",DATA_GOC!$B:$B,"&gt;="&amp;$D7994,DATA_GOC!$B:$B,"&lt;="&amp;$E7994))</f>
        <v/>
      </c>
      <c r="J7994" s="59">
        <f t="shared" si="28"/>
        <v>0</v>
      </c>
      <c r="K7994" s="59">
        <f t="shared" si="29"/>
        <v>0</v>
      </c>
      <c r="L7994" s="59">
        <f t="shared" si="30"/>
        <v>0</v>
      </c>
      <c r="M7994" s="59">
        <f t="shared" si="31"/>
        <v>0</v>
      </c>
    </row>
    <row r="7995" ht="15.0" hidden="1" customHeight="1">
      <c r="A7995" s="59">
        <f t="shared" si="20"/>
        <v>130</v>
      </c>
      <c r="B7995" s="59" t="str">
        <f t="shared" si="21"/>
        <v/>
      </c>
      <c r="C7995" s="59" t="str">
        <f t="shared" si="22"/>
        <v/>
      </c>
      <c r="D7995" s="45" t="str">
        <f t="shared" si="23"/>
        <v/>
      </c>
      <c r="E7995" s="45" t="str">
        <f t="shared" si="24"/>
        <v/>
      </c>
      <c r="F7995" s="59" t="str">
        <f t="shared" si="25"/>
        <v/>
      </c>
      <c r="G7995" s="59" t="str">
        <f t="shared" si="26"/>
        <v/>
      </c>
      <c r="H7995" s="59" t="str">
        <f t="shared" si="27"/>
        <v>28C04509</v>
      </c>
      <c r="I7995" s="59" t="str">
        <f>IF(OR($A7995="",$C7995="",$D7995="",$E7995="",$H7995=""),"",SUMIFS(DATA_GOC!$H:$H,DATA_GOC!$A:$A,"BOM",DATA_GOC!$D:$D,$H7995,DATA_GOC!$E:$E,$C7995,DATA_GOC!$F:$F,"Xuất nội bộ từ téc",DATA_GOC!$B:$B,"&gt;="&amp;$D7995,DATA_GOC!$B:$B,"&lt;="&amp;$E7995))</f>
        <v/>
      </c>
      <c r="J7995" s="59">
        <f t="shared" si="28"/>
        <v>0</v>
      </c>
      <c r="K7995" s="59">
        <f t="shared" si="29"/>
        <v>0</v>
      </c>
      <c r="L7995" s="59">
        <f t="shared" si="30"/>
        <v>0</v>
      </c>
      <c r="M7995" s="59">
        <f t="shared" si="31"/>
        <v>0</v>
      </c>
    </row>
    <row r="7996" ht="15.0" hidden="1" customHeight="1">
      <c r="A7996" s="59">
        <f t="shared" si="20"/>
        <v>130</v>
      </c>
      <c r="B7996" s="59" t="str">
        <f t="shared" si="21"/>
        <v/>
      </c>
      <c r="C7996" s="59" t="str">
        <f t="shared" si="22"/>
        <v/>
      </c>
      <c r="D7996" s="45" t="str">
        <f t="shared" si="23"/>
        <v/>
      </c>
      <c r="E7996" s="45" t="str">
        <f t="shared" si="24"/>
        <v/>
      </c>
      <c r="F7996" s="59" t="str">
        <f t="shared" si="25"/>
        <v/>
      </c>
      <c r="G7996" s="59" t="str">
        <f t="shared" si="26"/>
        <v/>
      </c>
      <c r="H7996" s="59" t="str">
        <f t="shared" si="27"/>
        <v>28C04536</v>
      </c>
      <c r="I7996" s="59" t="str">
        <f>IF(OR($A7996="",$C7996="",$D7996="",$E7996="",$H7996=""),"",SUMIFS(DATA_GOC!$H:$H,DATA_GOC!$A:$A,"BOM",DATA_GOC!$D:$D,$H7996,DATA_GOC!$E:$E,$C7996,DATA_GOC!$F:$F,"Xuất nội bộ từ téc",DATA_GOC!$B:$B,"&gt;="&amp;$D7996,DATA_GOC!$B:$B,"&lt;="&amp;$E7996))</f>
        <v/>
      </c>
      <c r="J7996" s="59">
        <f t="shared" si="28"/>
        <v>0</v>
      </c>
      <c r="K7996" s="59">
        <f t="shared" si="29"/>
        <v>0</v>
      </c>
      <c r="L7996" s="59">
        <f t="shared" si="30"/>
        <v>0</v>
      </c>
      <c r="M7996" s="59">
        <f t="shared" si="31"/>
        <v>0</v>
      </c>
    </row>
    <row r="7997" ht="15.0" hidden="1" customHeight="1">
      <c r="A7997" s="59">
        <f t="shared" si="20"/>
        <v>130</v>
      </c>
      <c r="B7997" s="59" t="str">
        <f t="shared" si="21"/>
        <v/>
      </c>
      <c r="C7997" s="59" t="str">
        <f t="shared" si="22"/>
        <v/>
      </c>
      <c r="D7997" s="45" t="str">
        <f t="shared" si="23"/>
        <v/>
      </c>
      <c r="E7997" s="45" t="str">
        <f t="shared" si="24"/>
        <v/>
      </c>
      <c r="F7997" s="59" t="str">
        <f t="shared" si="25"/>
        <v/>
      </c>
      <c r="G7997" s="59" t="str">
        <f t="shared" si="26"/>
        <v/>
      </c>
      <c r="H7997" s="59" t="str">
        <f t="shared" si="27"/>
        <v>28C04576</v>
      </c>
      <c r="I7997" s="59" t="str">
        <f>IF(OR($A7997="",$C7997="",$D7997="",$E7997="",$H7997=""),"",SUMIFS(DATA_GOC!$H:$H,DATA_GOC!$A:$A,"BOM",DATA_GOC!$D:$D,$H7997,DATA_GOC!$E:$E,$C7997,DATA_GOC!$F:$F,"Xuất nội bộ từ téc",DATA_GOC!$B:$B,"&gt;="&amp;$D7997,DATA_GOC!$B:$B,"&lt;="&amp;$E7997))</f>
        <v/>
      </c>
      <c r="J7997" s="59">
        <f t="shared" si="28"/>
        <v>0</v>
      </c>
      <c r="K7997" s="59">
        <f t="shared" si="29"/>
        <v>0</v>
      </c>
      <c r="L7997" s="59">
        <f t="shared" si="30"/>
        <v>0</v>
      </c>
      <c r="M7997" s="59">
        <f t="shared" si="31"/>
        <v>0</v>
      </c>
    </row>
    <row r="7998" ht="15.0" hidden="1" customHeight="1">
      <c r="A7998" s="59">
        <f t="shared" si="20"/>
        <v>130</v>
      </c>
      <c r="B7998" s="59" t="str">
        <f t="shared" si="21"/>
        <v/>
      </c>
      <c r="C7998" s="59" t="str">
        <f t="shared" si="22"/>
        <v/>
      </c>
      <c r="D7998" s="45" t="str">
        <f t="shared" si="23"/>
        <v/>
      </c>
      <c r="E7998" s="45" t="str">
        <f t="shared" si="24"/>
        <v/>
      </c>
      <c r="F7998" s="59" t="str">
        <f t="shared" si="25"/>
        <v/>
      </c>
      <c r="G7998" s="59" t="str">
        <f t="shared" si="26"/>
        <v/>
      </c>
      <c r="H7998" s="59" t="str">
        <f t="shared" si="27"/>
        <v>28C05090</v>
      </c>
      <c r="I7998" s="59" t="str">
        <f>IF(OR($A7998="",$C7998="",$D7998="",$E7998="",$H7998=""),"",SUMIFS(DATA_GOC!$H:$H,DATA_GOC!$A:$A,"BOM",DATA_GOC!$D:$D,$H7998,DATA_GOC!$E:$E,$C7998,DATA_GOC!$F:$F,"Xuất nội bộ từ téc",DATA_GOC!$B:$B,"&gt;="&amp;$D7998,DATA_GOC!$B:$B,"&lt;="&amp;$E7998))</f>
        <v/>
      </c>
      <c r="J7998" s="59">
        <f t="shared" si="28"/>
        <v>0</v>
      </c>
      <c r="K7998" s="59">
        <f t="shared" si="29"/>
        <v>0</v>
      </c>
      <c r="L7998" s="59">
        <f t="shared" si="30"/>
        <v>0</v>
      </c>
      <c r="M7998" s="59">
        <f t="shared" si="31"/>
        <v>0</v>
      </c>
    </row>
    <row r="7999" ht="15.0" hidden="1" customHeight="1">
      <c r="A7999" s="59">
        <f t="shared" si="20"/>
        <v>130</v>
      </c>
      <c r="B7999" s="59" t="str">
        <f t="shared" si="21"/>
        <v/>
      </c>
      <c r="C7999" s="59" t="str">
        <f t="shared" si="22"/>
        <v/>
      </c>
      <c r="D7999" s="45" t="str">
        <f t="shared" si="23"/>
        <v/>
      </c>
      <c r="E7999" s="45" t="str">
        <f t="shared" si="24"/>
        <v/>
      </c>
      <c r="F7999" s="59" t="str">
        <f t="shared" si="25"/>
        <v/>
      </c>
      <c r="G7999" s="59" t="str">
        <f t="shared" si="26"/>
        <v/>
      </c>
      <c r="H7999" s="59" t="str">
        <f t="shared" si="27"/>
        <v>28C05345</v>
      </c>
      <c r="I7999" s="59" t="str">
        <f>IF(OR($A7999="",$C7999="",$D7999="",$E7999="",$H7999=""),"",SUMIFS(DATA_GOC!$H:$H,DATA_GOC!$A:$A,"BOM",DATA_GOC!$D:$D,$H7999,DATA_GOC!$E:$E,$C7999,DATA_GOC!$F:$F,"Xuất nội bộ từ téc",DATA_GOC!$B:$B,"&gt;="&amp;$D7999,DATA_GOC!$B:$B,"&lt;="&amp;$E7999))</f>
        <v/>
      </c>
      <c r="J7999" s="59">
        <f t="shared" si="28"/>
        <v>0</v>
      </c>
      <c r="K7999" s="59">
        <f t="shared" si="29"/>
        <v>0</v>
      </c>
      <c r="L7999" s="59">
        <f t="shared" si="30"/>
        <v>0</v>
      </c>
      <c r="M7999" s="59">
        <f t="shared" si="31"/>
        <v>0</v>
      </c>
    </row>
    <row r="8000" ht="15.0" hidden="1" customHeight="1">
      <c r="A8000" s="59">
        <f t="shared" si="20"/>
        <v>130</v>
      </c>
      <c r="B8000" s="59" t="str">
        <f t="shared" si="21"/>
        <v/>
      </c>
      <c r="C8000" s="59" t="str">
        <f t="shared" si="22"/>
        <v/>
      </c>
      <c r="D8000" s="45" t="str">
        <f t="shared" si="23"/>
        <v/>
      </c>
      <c r="E8000" s="45" t="str">
        <f t="shared" si="24"/>
        <v/>
      </c>
      <c r="F8000" s="59" t="str">
        <f t="shared" si="25"/>
        <v/>
      </c>
      <c r="G8000" s="59" t="str">
        <f t="shared" si="26"/>
        <v/>
      </c>
      <c r="H8000" s="59" t="str">
        <f t="shared" si="27"/>
        <v>28C05661</v>
      </c>
      <c r="I8000" s="59" t="str">
        <f>IF(OR($A8000="",$C8000="",$D8000="",$E8000="",$H8000=""),"",SUMIFS(DATA_GOC!$H:$H,DATA_GOC!$A:$A,"BOM",DATA_GOC!$D:$D,$H8000,DATA_GOC!$E:$E,$C8000,DATA_GOC!$F:$F,"Xuất nội bộ từ téc",DATA_GOC!$B:$B,"&gt;="&amp;$D8000,DATA_GOC!$B:$B,"&lt;="&amp;$E8000))</f>
        <v/>
      </c>
      <c r="J8000" s="59">
        <f t="shared" si="28"/>
        <v>0</v>
      </c>
      <c r="K8000" s="59">
        <f t="shared" si="29"/>
        <v>0</v>
      </c>
      <c r="L8000" s="59">
        <f t="shared" si="30"/>
        <v>0</v>
      </c>
      <c r="M8000" s="59">
        <f t="shared" si="31"/>
        <v>0</v>
      </c>
    </row>
    <row r="8001" ht="15.0" hidden="1" customHeight="1">
      <c r="A8001" s="59">
        <f t="shared" si="20"/>
        <v>130</v>
      </c>
      <c r="B8001" s="59" t="str">
        <f t="shared" si="21"/>
        <v/>
      </c>
      <c r="C8001" s="59" t="str">
        <f t="shared" si="22"/>
        <v/>
      </c>
      <c r="D8001" s="45" t="str">
        <f t="shared" si="23"/>
        <v/>
      </c>
      <c r="E8001" s="45" t="str">
        <f t="shared" si="24"/>
        <v/>
      </c>
      <c r="F8001" s="59" t="str">
        <f t="shared" si="25"/>
        <v/>
      </c>
      <c r="G8001" s="59" t="str">
        <f t="shared" si="26"/>
        <v/>
      </c>
      <c r="H8001" s="59" t="str">
        <f t="shared" si="27"/>
        <v>28C05739</v>
      </c>
      <c r="I8001" s="59" t="str">
        <f>IF(OR($A8001="",$C8001="",$D8001="",$E8001="",$H8001=""),"",SUMIFS(DATA_GOC!$H:$H,DATA_GOC!$A:$A,"BOM",DATA_GOC!$D:$D,$H8001,DATA_GOC!$E:$E,$C8001,DATA_GOC!$F:$F,"Xuất nội bộ từ téc",DATA_GOC!$B:$B,"&gt;="&amp;$D8001,DATA_GOC!$B:$B,"&lt;="&amp;$E8001))</f>
        <v/>
      </c>
      <c r="J8001" s="59">
        <f t="shared" si="28"/>
        <v>0</v>
      </c>
      <c r="K8001" s="59">
        <f t="shared" si="29"/>
        <v>0</v>
      </c>
      <c r="L8001" s="59">
        <f t="shared" si="30"/>
        <v>0</v>
      </c>
      <c r="M8001" s="59">
        <f t="shared" si="31"/>
        <v>0</v>
      </c>
    </row>
    <row r="8002" ht="15.0" hidden="1" customHeight="1">
      <c r="A8002" s="59">
        <f t="shared" si="20"/>
        <v>130</v>
      </c>
      <c r="B8002" s="59" t="str">
        <f t="shared" si="21"/>
        <v/>
      </c>
      <c r="C8002" s="59" t="str">
        <f t="shared" si="22"/>
        <v/>
      </c>
      <c r="D8002" s="45" t="str">
        <f t="shared" si="23"/>
        <v/>
      </c>
      <c r="E8002" s="45" t="str">
        <f t="shared" si="24"/>
        <v/>
      </c>
      <c r="F8002" s="59" t="str">
        <f t="shared" si="25"/>
        <v/>
      </c>
      <c r="G8002" s="59" t="str">
        <f t="shared" si="26"/>
        <v/>
      </c>
      <c r="H8002" s="59" t="str">
        <f t="shared" si="27"/>
        <v>28C06369</v>
      </c>
      <c r="I8002" s="59" t="str">
        <f>IF(OR($A8002="",$C8002="",$D8002="",$E8002="",$H8002=""),"",SUMIFS(DATA_GOC!$H:$H,DATA_GOC!$A:$A,"BOM",DATA_GOC!$D:$D,$H8002,DATA_GOC!$E:$E,$C8002,DATA_GOC!$F:$F,"Xuất nội bộ từ téc",DATA_GOC!$B:$B,"&gt;="&amp;$D8002,DATA_GOC!$B:$B,"&lt;="&amp;$E8002))</f>
        <v/>
      </c>
      <c r="J8002" s="59">
        <f t="shared" si="28"/>
        <v>0</v>
      </c>
      <c r="K8002" s="59">
        <f t="shared" si="29"/>
        <v>0</v>
      </c>
      <c r="L8002" s="59">
        <f t="shared" si="30"/>
        <v>0</v>
      </c>
      <c r="M8002" s="59">
        <f t="shared" si="31"/>
        <v>0</v>
      </c>
    </row>
    <row r="8003" ht="15.0" hidden="1" customHeight="1">
      <c r="A8003" s="59">
        <f t="shared" si="20"/>
        <v>130</v>
      </c>
      <c r="B8003" s="59" t="str">
        <f t="shared" si="21"/>
        <v/>
      </c>
      <c r="C8003" s="59" t="str">
        <f t="shared" si="22"/>
        <v/>
      </c>
      <c r="D8003" s="45" t="str">
        <f t="shared" si="23"/>
        <v/>
      </c>
      <c r="E8003" s="45" t="str">
        <f t="shared" si="24"/>
        <v/>
      </c>
      <c r="F8003" s="59" t="str">
        <f t="shared" si="25"/>
        <v/>
      </c>
      <c r="G8003" s="59" t="str">
        <f t="shared" si="26"/>
        <v/>
      </c>
      <c r="H8003" s="59" t="str">
        <f t="shared" si="27"/>
        <v>28C06447</v>
      </c>
      <c r="I8003" s="59" t="str">
        <f>IF(OR($A8003="",$C8003="",$D8003="",$E8003="",$H8003=""),"",SUMIFS(DATA_GOC!$H:$H,DATA_GOC!$A:$A,"BOM",DATA_GOC!$D:$D,$H8003,DATA_GOC!$E:$E,$C8003,DATA_GOC!$F:$F,"Xuất nội bộ từ téc",DATA_GOC!$B:$B,"&gt;="&amp;$D8003,DATA_GOC!$B:$B,"&lt;="&amp;$E8003))</f>
        <v/>
      </c>
      <c r="J8003" s="59">
        <f t="shared" si="28"/>
        <v>0</v>
      </c>
      <c r="K8003" s="59">
        <f t="shared" si="29"/>
        <v>0</v>
      </c>
      <c r="L8003" s="59">
        <f t="shared" si="30"/>
        <v>0</v>
      </c>
      <c r="M8003" s="59">
        <f t="shared" si="31"/>
        <v>0</v>
      </c>
    </row>
    <row r="8004" ht="15.0" hidden="1" customHeight="1">
      <c r="A8004" s="59">
        <f t="shared" si="20"/>
        <v>130</v>
      </c>
      <c r="B8004" s="59" t="str">
        <f t="shared" si="21"/>
        <v/>
      </c>
      <c r="C8004" s="59" t="str">
        <f t="shared" si="22"/>
        <v/>
      </c>
      <c r="D8004" s="45" t="str">
        <f t="shared" si="23"/>
        <v/>
      </c>
      <c r="E8004" s="45" t="str">
        <f t="shared" si="24"/>
        <v/>
      </c>
      <c r="F8004" s="59" t="str">
        <f t="shared" si="25"/>
        <v/>
      </c>
      <c r="G8004" s="59" t="str">
        <f t="shared" si="26"/>
        <v/>
      </c>
      <c r="H8004" s="59" t="str">
        <f t="shared" si="27"/>
        <v>28H00003</v>
      </c>
      <c r="I8004" s="59" t="str">
        <f>IF(OR($A8004="",$C8004="",$D8004="",$E8004="",$H8004=""),"",SUMIFS(DATA_GOC!$H:$H,DATA_GOC!$A:$A,"BOM",DATA_GOC!$D:$D,$H8004,DATA_GOC!$E:$E,$C8004,DATA_GOC!$F:$F,"Xuất nội bộ từ téc",DATA_GOC!$B:$B,"&gt;="&amp;$D8004,DATA_GOC!$B:$B,"&lt;="&amp;$E8004))</f>
        <v/>
      </c>
      <c r="J8004" s="59">
        <f t="shared" si="28"/>
        <v>0</v>
      </c>
      <c r="K8004" s="59">
        <f t="shared" si="29"/>
        <v>0</v>
      </c>
      <c r="L8004" s="59">
        <f t="shared" si="30"/>
        <v>0</v>
      </c>
      <c r="M8004" s="59">
        <f t="shared" si="31"/>
        <v>0</v>
      </c>
    </row>
    <row r="8005" ht="15.0" hidden="1" customHeight="1">
      <c r="A8005" s="59">
        <f t="shared" si="20"/>
        <v>130</v>
      </c>
      <c r="B8005" s="59" t="str">
        <f t="shared" si="21"/>
        <v/>
      </c>
      <c r="C8005" s="59" t="str">
        <f t="shared" si="22"/>
        <v/>
      </c>
      <c r="D8005" s="45" t="str">
        <f t="shared" si="23"/>
        <v/>
      </c>
      <c r="E8005" s="45" t="str">
        <f t="shared" si="24"/>
        <v/>
      </c>
      <c r="F8005" s="59" t="str">
        <f t="shared" si="25"/>
        <v/>
      </c>
      <c r="G8005" s="59" t="str">
        <f t="shared" si="26"/>
        <v/>
      </c>
      <c r="H8005" s="59" t="str">
        <f t="shared" si="27"/>
        <v>28H00061</v>
      </c>
      <c r="I8005" s="59" t="str">
        <f>IF(OR($A8005="",$C8005="",$D8005="",$E8005="",$H8005=""),"",SUMIFS(DATA_GOC!$H:$H,DATA_GOC!$A:$A,"BOM",DATA_GOC!$D:$D,$H8005,DATA_GOC!$E:$E,$C8005,DATA_GOC!$F:$F,"Xuất nội bộ từ téc",DATA_GOC!$B:$B,"&gt;="&amp;$D8005,DATA_GOC!$B:$B,"&lt;="&amp;$E8005))</f>
        <v/>
      </c>
      <c r="J8005" s="59">
        <f t="shared" si="28"/>
        <v>0</v>
      </c>
      <c r="K8005" s="59">
        <f t="shared" si="29"/>
        <v>0</v>
      </c>
      <c r="L8005" s="59">
        <f t="shared" si="30"/>
        <v>0</v>
      </c>
      <c r="M8005" s="59">
        <f t="shared" si="31"/>
        <v>0</v>
      </c>
    </row>
    <row r="8006" ht="15.0" hidden="1" customHeight="1">
      <c r="A8006" s="59">
        <f t="shared" si="20"/>
        <v>130</v>
      </c>
      <c r="B8006" s="59" t="str">
        <f t="shared" si="21"/>
        <v/>
      </c>
      <c r="C8006" s="59" t="str">
        <f t="shared" si="22"/>
        <v/>
      </c>
      <c r="D8006" s="45" t="str">
        <f t="shared" si="23"/>
        <v/>
      </c>
      <c r="E8006" s="45" t="str">
        <f t="shared" si="24"/>
        <v/>
      </c>
      <c r="F8006" s="59" t="str">
        <f t="shared" si="25"/>
        <v/>
      </c>
      <c r="G8006" s="59" t="str">
        <f t="shared" si="26"/>
        <v/>
      </c>
      <c r="H8006" s="59" t="str">
        <f t="shared" si="27"/>
        <v>28H00354</v>
      </c>
      <c r="I8006" s="59" t="str">
        <f>IF(OR($A8006="",$C8006="",$D8006="",$E8006="",$H8006=""),"",SUMIFS(DATA_GOC!$H:$H,DATA_GOC!$A:$A,"BOM",DATA_GOC!$D:$D,$H8006,DATA_GOC!$E:$E,$C8006,DATA_GOC!$F:$F,"Xuất nội bộ từ téc",DATA_GOC!$B:$B,"&gt;="&amp;$D8006,DATA_GOC!$B:$B,"&lt;="&amp;$E8006))</f>
        <v/>
      </c>
      <c r="J8006" s="59">
        <f t="shared" si="28"/>
        <v>0</v>
      </c>
      <c r="K8006" s="59">
        <f t="shared" si="29"/>
        <v>0</v>
      </c>
      <c r="L8006" s="59">
        <f t="shared" si="30"/>
        <v>0</v>
      </c>
      <c r="M8006" s="59">
        <f t="shared" si="31"/>
        <v>0</v>
      </c>
    </row>
    <row r="8007" ht="15.0" hidden="1" customHeight="1">
      <c r="A8007" s="59">
        <f t="shared" si="20"/>
        <v>130</v>
      </c>
      <c r="B8007" s="59" t="str">
        <f t="shared" si="21"/>
        <v/>
      </c>
      <c r="C8007" s="59" t="str">
        <f t="shared" si="22"/>
        <v/>
      </c>
      <c r="D8007" s="45" t="str">
        <f t="shared" si="23"/>
        <v/>
      </c>
      <c r="E8007" s="45" t="str">
        <f t="shared" si="24"/>
        <v/>
      </c>
      <c r="F8007" s="59" t="str">
        <f t="shared" si="25"/>
        <v/>
      </c>
      <c r="G8007" s="59" t="str">
        <f t="shared" si="26"/>
        <v/>
      </c>
      <c r="H8007" s="59" t="str">
        <f t="shared" si="27"/>
        <v>28H00603</v>
      </c>
      <c r="I8007" s="59" t="str">
        <f>IF(OR($A8007="",$C8007="",$D8007="",$E8007="",$H8007=""),"",SUMIFS(DATA_GOC!$H:$H,DATA_GOC!$A:$A,"BOM",DATA_GOC!$D:$D,$H8007,DATA_GOC!$E:$E,$C8007,DATA_GOC!$F:$F,"Xuất nội bộ từ téc",DATA_GOC!$B:$B,"&gt;="&amp;$D8007,DATA_GOC!$B:$B,"&lt;="&amp;$E8007))</f>
        <v/>
      </c>
      <c r="J8007" s="59">
        <f t="shared" si="28"/>
        <v>0</v>
      </c>
      <c r="K8007" s="59">
        <f t="shared" si="29"/>
        <v>0</v>
      </c>
      <c r="L8007" s="59">
        <f t="shared" si="30"/>
        <v>0</v>
      </c>
      <c r="M8007" s="59">
        <f t="shared" si="31"/>
        <v>0</v>
      </c>
    </row>
    <row r="8008" ht="15.0" hidden="1" customHeight="1">
      <c r="A8008" s="59">
        <f t="shared" si="20"/>
        <v>130</v>
      </c>
      <c r="B8008" s="59" t="str">
        <f t="shared" si="21"/>
        <v/>
      </c>
      <c r="C8008" s="59" t="str">
        <f t="shared" si="22"/>
        <v/>
      </c>
      <c r="D8008" s="45" t="str">
        <f t="shared" si="23"/>
        <v/>
      </c>
      <c r="E8008" s="45" t="str">
        <f t="shared" si="24"/>
        <v/>
      </c>
      <c r="F8008" s="59" t="str">
        <f t="shared" si="25"/>
        <v/>
      </c>
      <c r="G8008" s="59" t="str">
        <f t="shared" si="26"/>
        <v/>
      </c>
      <c r="H8008" s="59" t="str">
        <f t="shared" si="27"/>
        <v>28H00609</v>
      </c>
      <c r="I8008" s="59" t="str">
        <f>IF(OR($A8008="",$C8008="",$D8008="",$E8008="",$H8008=""),"",SUMIFS(DATA_GOC!$H:$H,DATA_GOC!$A:$A,"BOM",DATA_GOC!$D:$D,$H8008,DATA_GOC!$E:$E,$C8008,DATA_GOC!$F:$F,"Xuất nội bộ từ téc",DATA_GOC!$B:$B,"&gt;="&amp;$D8008,DATA_GOC!$B:$B,"&lt;="&amp;$E8008))</f>
        <v/>
      </c>
      <c r="J8008" s="59">
        <f t="shared" si="28"/>
        <v>0</v>
      </c>
      <c r="K8008" s="59">
        <f t="shared" si="29"/>
        <v>0</v>
      </c>
      <c r="L8008" s="59">
        <f t="shared" si="30"/>
        <v>0</v>
      </c>
      <c r="M8008" s="59">
        <f t="shared" si="31"/>
        <v>0</v>
      </c>
    </row>
    <row r="8009" ht="15.0" hidden="1" customHeight="1">
      <c r="A8009" s="59">
        <f t="shared" si="20"/>
        <v>130</v>
      </c>
      <c r="B8009" s="59" t="str">
        <f t="shared" si="21"/>
        <v/>
      </c>
      <c r="C8009" s="59" t="str">
        <f t="shared" si="22"/>
        <v/>
      </c>
      <c r="D8009" s="45" t="str">
        <f t="shared" si="23"/>
        <v/>
      </c>
      <c r="E8009" s="45" t="str">
        <f t="shared" si="24"/>
        <v/>
      </c>
      <c r="F8009" s="59" t="str">
        <f t="shared" si="25"/>
        <v/>
      </c>
      <c r="G8009" s="59" t="str">
        <f t="shared" si="26"/>
        <v/>
      </c>
      <c r="H8009" s="59" t="str">
        <f t="shared" si="27"/>
        <v>28H00669</v>
      </c>
      <c r="I8009" s="59" t="str">
        <f>IF(OR($A8009="",$C8009="",$D8009="",$E8009="",$H8009=""),"",SUMIFS(DATA_GOC!$H:$H,DATA_GOC!$A:$A,"BOM",DATA_GOC!$D:$D,$H8009,DATA_GOC!$E:$E,$C8009,DATA_GOC!$F:$F,"Xuất nội bộ từ téc",DATA_GOC!$B:$B,"&gt;="&amp;$D8009,DATA_GOC!$B:$B,"&lt;="&amp;$E8009))</f>
        <v/>
      </c>
      <c r="J8009" s="59">
        <f t="shared" si="28"/>
        <v>0</v>
      </c>
      <c r="K8009" s="59">
        <f t="shared" si="29"/>
        <v>0</v>
      </c>
      <c r="L8009" s="59">
        <f t="shared" si="30"/>
        <v>0</v>
      </c>
      <c r="M8009" s="59">
        <f t="shared" si="31"/>
        <v>0</v>
      </c>
    </row>
    <row r="8010" ht="15.0" hidden="1" customHeight="1">
      <c r="A8010" s="59">
        <f t="shared" si="20"/>
        <v>130</v>
      </c>
      <c r="B8010" s="59" t="str">
        <f t="shared" si="21"/>
        <v/>
      </c>
      <c r="C8010" s="59" t="str">
        <f t="shared" si="22"/>
        <v/>
      </c>
      <c r="D8010" s="45" t="str">
        <f t="shared" si="23"/>
        <v/>
      </c>
      <c r="E8010" s="45" t="str">
        <f t="shared" si="24"/>
        <v/>
      </c>
      <c r="F8010" s="59" t="str">
        <f t="shared" si="25"/>
        <v/>
      </c>
      <c r="G8010" s="59" t="str">
        <f t="shared" si="26"/>
        <v/>
      </c>
      <c r="H8010" s="59" t="str">
        <f t="shared" si="27"/>
        <v>28H00680</v>
      </c>
      <c r="I8010" s="59" t="str">
        <f>IF(OR($A8010="",$C8010="",$D8010="",$E8010="",$H8010=""),"",SUMIFS(DATA_GOC!$H:$H,DATA_GOC!$A:$A,"BOM",DATA_GOC!$D:$D,$H8010,DATA_GOC!$E:$E,$C8010,DATA_GOC!$F:$F,"Xuất nội bộ từ téc",DATA_GOC!$B:$B,"&gt;="&amp;$D8010,DATA_GOC!$B:$B,"&lt;="&amp;$E8010))</f>
        <v/>
      </c>
      <c r="J8010" s="59">
        <f t="shared" si="28"/>
        <v>0</v>
      </c>
      <c r="K8010" s="59">
        <f t="shared" si="29"/>
        <v>0</v>
      </c>
      <c r="L8010" s="59">
        <f t="shared" si="30"/>
        <v>0</v>
      </c>
      <c r="M8010" s="59">
        <f t="shared" si="31"/>
        <v>0</v>
      </c>
    </row>
    <row r="8011" ht="15.0" hidden="1" customHeight="1">
      <c r="A8011" s="59">
        <f t="shared" si="20"/>
        <v>130</v>
      </c>
      <c r="B8011" s="59" t="str">
        <f t="shared" si="21"/>
        <v/>
      </c>
      <c r="C8011" s="59" t="str">
        <f t="shared" si="22"/>
        <v/>
      </c>
      <c r="D8011" s="45" t="str">
        <f t="shared" si="23"/>
        <v/>
      </c>
      <c r="E8011" s="45" t="str">
        <f t="shared" si="24"/>
        <v/>
      </c>
      <c r="F8011" s="59" t="str">
        <f t="shared" si="25"/>
        <v/>
      </c>
      <c r="G8011" s="59" t="str">
        <f t="shared" si="26"/>
        <v/>
      </c>
      <c r="H8011" s="59" t="str">
        <f t="shared" si="27"/>
        <v>28H01070</v>
      </c>
      <c r="I8011" s="59" t="str">
        <f>IF(OR($A8011="",$C8011="",$D8011="",$E8011="",$H8011=""),"",SUMIFS(DATA_GOC!$H:$H,DATA_GOC!$A:$A,"BOM",DATA_GOC!$D:$D,$H8011,DATA_GOC!$E:$E,$C8011,DATA_GOC!$F:$F,"Xuất nội bộ từ téc",DATA_GOC!$B:$B,"&gt;="&amp;$D8011,DATA_GOC!$B:$B,"&lt;="&amp;$E8011))</f>
        <v/>
      </c>
      <c r="J8011" s="59">
        <f t="shared" si="28"/>
        <v>0</v>
      </c>
      <c r="K8011" s="59">
        <f t="shared" si="29"/>
        <v>0</v>
      </c>
      <c r="L8011" s="59">
        <f t="shared" si="30"/>
        <v>0</v>
      </c>
      <c r="M8011" s="59">
        <f t="shared" si="31"/>
        <v>0</v>
      </c>
    </row>
    <row r="8012" ht="15.0" hidden="1" customHeight="1">
      <c r="A8012" s="59">
        <f t="shared" si="20"/>
        <v>130</v>
      </c>
      <c r="B8012" s="59" t="str">
        <f t="shared" si="21"/>
        <v/>
      </c>
      <c r="C8012" s="59" t="str">
        <f t="shared" si="22"/>
        <v/>
      </c>
      <c r="D8012" s="45" t="str">
        <f t="shared" si="23"/>
        <v/>
      </c>
      <c r="E8012" s="45" t="str">
        <f t="shared" si="24"/>
        <v/>
      </c>
      <c r="F8012" s="59" t="str">
        <f t="shared" si="25"/>
        <v/>
      </c>
      <c r="G8012" s="59" t="str">
        <f t="shared" si="26"/>
        <v/>
      </c>
      <c r="H8012" s="59" t="str">
        <f t="shared" si="27"/>
        <v>28H01364</v>
      </c>
      <c r="I8012" s="59" t="str">
        <f>IF(OR($A8012="",$C8012="",$D8012="",$E8012="",$H8012=""),"",SUMIFS(DATA_GOC!$H:$H,DATA_GOC!$A:$A,"BOM",DATA_GOC!$D:$D,$H8012,DATA_GOC!$E:$E,$C8012,DATA_GOC!$F:$F,"Xuất nội bộ từ téc",DATA_GOC!$B:$B,"&gt;="&amp;$D8012,DATA_GOC!$B:$B,"&lt;="&amp;$E8012))</f>
        <v/>
      </c>
      <c r="J8012" s="59">
        <f t="shared" si="28"/>
        <v>0</v>
      </c>
      <c r="K8012" s="59">
        <f t="shared" si="29"/>
        <v>0</v>
      </c>
      <c r="L8012" s="59">
        <f t="shared" si="30"/>
        <v>0</v>
      </c>
      <c r="M8012" s="59">
        <f t="shared" si="31"/>
        <v>0</v>
      </c>
    </row>
    <row r="8013" ht="15.0" hidden="1" customHeight="1">
      <c r="A8013" s="59">
        <f t="shared" si="20"/>
        <v>130</v>
      </c>
      <c r="B8013" s="59" t="str">
        <f t="shared" si="21"/>
        <v/>
      </c>
      <c r="C8013" s="59" t="str">
        <f t="shared" si="22"/>
        <v/>
      </c>
      <c r="D8013" s="45" t="str">
        <f t="shared" si="23"/>
        <v/>
      </c>
      <c r="E8013" s="45" t="str">
        <f t="shared" si="24"/>
        <v/>
      </c>
      <c r="F8013" s="59" t="str">
        <f t="shared" si="25"/>
        <v/>
      </c>
      <c r="G8013" s="59" t="str">
        <f t="shared" si="26"/>
        <v/>
      </c>
      <c r="H8013" s="59" t="str">
        <f t="shared" si="27"/>
        <v>29E17269</v>
      </c>
      <c r="I8013" s="59" t="str">
        <f>IF(OR($A8013="",$C8013="",$D8013="",$E8013="",$H8013=""),"",SUMIFS(DATA_GOC!$H:$H,DATA_GOC!$A:$A,"BOM",DATA_GOC!$D:$D,$H8013,DATA_GOC!$E:$E,$C8013,DATA_GOC!$F:$F,"Xuất nội bộ từ téc",DATA_GOC!$B:$B,"&gt;="&amp;$D8013,DATA_GOC!$B:$B,"&lt;="&amp;$E8013))</f>
        <v/>
      </c>
      <c r="J8013" s="59">
        <f t="shared" si="28"/>
        <v>0</v>
      </c>
      <c r="K8013" s="59">
        <f t="shared" si="29"/>
        <v>0</v>
      </c>
      <c r="L8013" s="59">
        <f t="shared" si="30"/>
        <v>0</v>
      </c>
      <c r="M8013" s="59">
        <f t="shared" si="31"/>
        <v>0</v>
      </c>
    </row>
    <row r="8014" ht="15.0" hidden="1" customHeight="1">
      <c r="A8014" s="59">
        <f t="shared" si="20"/>
        <v>130</v>
      </c>
      <c r="B8014" s="59" t="str">
        <f t="shared" si="21"/>
        <v/>
      </c>
      <c r="C8014" s="59" t="str">
        <f t="shared" si="22"/>
        <v/>
      </c>
      <c r="D8014" s="45" t="str">
        <f t="shared" si="23"/>
        <v/>
      </c>
      <c r="E8014" s="45" t="str">
        <f t="shared" si="24"/>
        <v/>
      </c>
      <c r="F8014" s="59" t="str">
        <f t="shared" si="25"/>
        <v/>
      </c>
      <c r="G8014" s="59" t="str">
        <f t="shared" si="26"/>
        <v/>
      </c>
      <c r="H8014" s="59" t="str">
        <f t="shared" si="27"/>
        <v>29E17273</v>
      </c>
      <c r="I8014" s="59" t="str">
        <f>IF(OR($A8014="",$C8014="",$D8014="",$E8014="",$H8014=""),"",SUMIFS(DATA_GOC!$H:$H,DATA_GOC!$A:$A,"BOM",DATA_GOC!$D:$D,$H8014,DATA_GOC!$E:$E,$C8014,DATA_GOC!$F:$F,"Xuất nội bộ từ téc",DATA_GOC!$B:$B,"&gt;="&amp;$D8014,DATA_GOC!$B:$B,"&lt;="&amp;$E8014))</f>
        <v/>
      </c>
      <c r="J8014" s="59">
        <f t="shared" si="28"/>
        <v>0</v>
      </c>
      <c r="K8014" s="59">
        <f t="shared" si="29"/>
        <v>0</v>
      </c>
      <c r="L8014" s="59">
        <f t="shared" si="30"/>
        <v>0</v>
      </c>
      <c r="M8014" s="59">
        <f t="shared" si="31"/>
        <v>0</v>
      </c>
    </row>
    <row r="8015" ht="15.0" hidden="1" customHeight="1">
      <c r="A8015" s="59">
        <f t="shared" si="20"/>
        <v>130</v>
      </c>
      <c r="B8015" s="59" t="str">
        <f t="shared" si="21"/>
        <v/>
      </c>
      <c r="C8015" s="59" t="str">
        <f t="shared" si="22"/>
        <v/>
      </c>
      <c r="D8015" s="45" t="str">
        <f t="shared" si="23"/>
        <v/>
      </c>
      <c r="E8015" s="45" t="str">
        <f t="shared" si="24"/>
        <v/>
      </c>
      <c r="F8015" s="59" t="str">
        <f t="shared" si="25"/>
        <v/>
      </c>
      <c r="G8015" s="59" t="str">
        <f t="shared" si="26"/>
        <v/>
      </c>
      <c r="H8015" s="59" t="str">
        <f t="shared" si="27"/>
        <v>29E17410</v>
      </c>
      <c r="I8015" s="59" t="str">
        <f>IF(OR($A8015="",$C8015="",$D8015="",$E8015="",$H8015=""),"",SUMIFS(DATA_GOC!$H:$H,DATA_GOC!$A:$A,"BOM",DATA_GOC!$D:$D,$H8015,DATA_GOC!$E:$E,$C8015,DATA_GOC!$F:$F,"Xuất nội bộ từ téc",DATA_GOC!$B:$B,"&gt;="&amp;$D8015,DATA_GOC!$B:$B,"&lt;="&amp;$E8015))</f>
        <v/>
      </c>
      <c r="J8015" s="59">
        <f t="shared" si="28"/>
        <v>0</v>
      </c>
      <c r="K8015" s="59">
        <f t="shared" si="29"/>
        <v>0</v>
      </c>
      <c r="L8015" s="59">
        <f t="shared" si="30"/>
        <v>0</v>
      </c>
      <c r="M8015" s="59">
        <f t="shared" si="31"/>
        <v>0</v>
      </c>
    </row>
    <row r="8016" ht="15.0" hidden="1" customHeight="1">
      <c r="A8016" s="59">
        <f t="shared" si="20"/>
        <v>130</v>
      </c>
      <c r="B8016" s="59" t="str">
        <f t="shared" si="21"/>
        <v/>
      </c>
      <c r="C8016" s="59" t="str">
        <f t="shared" si="22"/>
        <v/>
      </c>
      <c r="D8016" s="45" t="str">
        <f t="shared" si="23"/>
        <v/>
      </c>
      <c r="E8016" s="45" t="str">
        <f t="shared" si="24"/>
        <v/>
      </c>
      <c r="F8016" s="59" t="str">
        <f t="shared" si="25"/>
        <v/>
      </c>
      <c r="G8016" s="59" t="str">
        <f t="shared" si="26"/>
        <v/>
      </c>
      <c r="H8016" s="59" t="str">
        <f t="shared" si="27"/>
        <v>29E17417</v>
      </c>
      <c r="I8016" s="59" t="str">
        <f>IF(OR($A8016="",$C8016="",$D8016="",$E8016="",$H8016=""),"",SUMIFS(DATA_GOC!$H:$H,DATA_GOC!$A:$A,"BOM",DATA_GOC!$D:$D,$H8016,DATA_GOC!$E:$E,$C8016,DATA_GOC!$F:$F,"Xuất nội bộ từ téc",DATA_GOC!$B:$B,"&gt;="&amp;$D8016,DATA_GOC!$B:$B,"&lt;="&amp;$E8016))</f>
        <v/>
      </c>
      <c r="J8016" s="59">
        <f t="shared" si="28"/>
        <v>0</v>
      </c>
      <c r="K8016" s="59">
        <f t="shared" si="29"/>
        <v>0</v>
      </c>
      <c r="L8016" s="59">
        <f t="shared" si="30"/>
        <v>0</v>
      </c>
      <c r="M8016" s="59">
        <f t="shared" si="31"/>
        <v>0</v>
      </c>
    </row>
    <row r="8017" ht="15.0" hidden="1" customHeight="1">
      <c r="A8017" s="59">
        <f t="shared" si="20"/>
        <v>130</v>
      </c>
      <c r="B8017" s="59" t="str">
        <f t="shared" si="21"/>
        <v/>
      </c>
      <c r="C8017" s="59" t="str">
        <f t="shared" si="22"/>
        <v/>
      </c>
      <c r="D8017" s="45" t="str">
        <f t="shared" si="23"/>
        <v/>
      </c>
      <c r="E8017" s="45" t="str">
        <f t="shared" si="24"/>
        <v/>
      </c>
      <c r="F8017" s="59" t="str">
        <f t="shared" si="25"/>
        <v/>
      </c>
      <c r="G8017" s="59" t="str">
        <f t="shared" si="26"/>
        <v/>
      </c>
      <c r="H8017" s="59" t="str">
        <f t="shared" si="27"/>
        <v>29E17539</v>
      </c>
      <c r="I8017" s="59" t="str">
        <f>IF(OR($A8017="",$C8017="",$D8017="",$E8017="",$H8017=""),"",SUMIFS(DATA_GOC!$H:$H,DATA_GOC!$A:$A,"BOM",DATA_GOC!$D:$D,$H8017,DATA_GOC!$E:$E,$C8017,DATA_GOC!$F:$F,"Xuất nội bộ từ téc",DATA_GOC!$B:$B,"&gt;="&amp;$D8017,DATA_GOC!$B:$B,"&lt;="&amp;$E8017))</f>
        <v/>
      </c>
      <c r="J8017" s="59">
        <f t="shared" si="28"/>
        <v>0</v>
      </c>
      <c r="K8017" s="59">
        <f t="shared" si="29"/>
        <v>0</v>
      </c>
      <c r="L8017" s="59">
        <f t="shared" si="30"/>
        <v>0</v>
      </c>
      <c r="M8017" s="59">
        <f t="shared" si="31"/>
        <v>0</v>
      </c>
    </row>
    <row r="8018" ht="15.0" hidden="1" customHeight="1">
      <c r="A8018" s="59">
        <f t="shared" si="20"/>
        <v>130</v>
      </c>
      <c r="B8018" s="59" t="str">
        <f t="shared" si="21"/>
        <v/>
      </c>
      <c r="C8018" s="59" t="str">
        <f t="shared" si="22"/>
        <v/>
      </c>
      <c r="D8018" s="45" t="str">
        <f t="shared" si="23"/>
        <v/>
      </c>
      <c r="E8018" s="45" t="str">
        <f t="shared" si="24"/>
        <v/>
      </c>
      <c r="F8018" s="59" t="str">
        <f t="shared" si="25"/>
        <v/>
      </c>
      <c r="G8018" s="59" t="str">
        <f t="shared" si="26"/>
        <v/>
      </c>
      <c r="H8018" s="59" t="str">
        <f t="shared" si="27"/>
        <v>29E18160</v>
      </c>
      <c r="I8018" s="59" t="str">
        <f>IF(OR($A8018="",$C8018="",$D8018="",$E8018="",$H8018=""),"",SUMIFS(DATA_GOC!$H:$H,DATA_GOC!$A:$A,"BOM",DATA_GOC!$D:$D,$H8018,DATA_GOC!$E:$E,$C8018,DATA_GOC!$F:$F,"Xuất nội bộ từ téc",DATA_GOC!$B:$B,"&gt;="&amp;$D8018,DATA_GOC!$B:$B,"&lt;="&amp;$E8018))</f>
        <v/>
      </c>
      <c r="J8018" s="59">
        <f t="shared" si="28"/>
        <v>0</v>
      </c>
      <c r="K8018" s="59">
        <f t="shared" si="29"/>
        <v>0</v>
      </c>
      <c r="L8018" s="59">
        <f t="shared" si="30"/>
        <v>0</v>
      </c>
      <c r="M8018" s="59">
        <f t="shared" si="31"/>
        <v>0</v>
      </c>
    </row>
    <row r="8019" ht="15.0" hidden="1" customHeight="1">
      <c r="A8019" s="59">
        <f t="shared" si="20"/>
        <v>130</v>
      </c>
      <c r="B8019" s="59" t="str">
        <f t="shared" si="21"/>
        <v/>
      </c>
      <c r="C8019" s="59" t="str">
        <f t="shared" si="22"/>
        <v/>
      </c>
      <c r="D8019" s="45" t="str">
        <f t="shared" si="23"/>
        <v/>
      </c>
      <c r="E8019" s="45" t="str">
        <f t="shared" si="24"/>
        <v/>
      </c>
      <c r="F8019" s="59" t="str">
        <f t="shared" si="25"/>
        <v/>
      </c>
      <c r="G8019" s="59" t="str">
        <f t="shared" si="26"/>
        <v/>
      </c>
      <c r="H8019" s="59" t="str">
        <f t="shared" si="27"/>
        <v>Công trình Asphalt</v>
      </c>
      <c r="I8019" s="59" t="str">
        <f>IF(OR($A8019="",$C8019="",$D8019="",$E8019="",$H8019=""),"",SUMIFS(DATA_GOC!$H:$H,DATA_GOC!$A:$A,"BOM",DATA_GOC!$D:$D,$H8019,DATA_GOC!$E:$E,$C8019,DATA_GOC!$F:$F,"Xuất nội bộ từ téc",DATA_GOC!$B:$B,"&gt;="&amp;$D8019,DATA_GOC!$B:$B,"&lt;="&amp;$E8019))</f>
        <v/>
      </c>
      <c r="J8019" s="59">
        <f t="shared" si="28"/>
        <v>0</v>
      </c>
      <c r="K8019" s="59">
        <f t="shared" si="29"/>
        <v>0</v>
      </c>
      <c r="L8019" s="59">
        <f t="shared" si="30"/>
        <v>0</v>
      </c>
      <c r="M8019" s="59">
        <f t="shared" si="31"/>
        <v>0</v>
      </c>
    </row>
    <row r="8020" ht="15.0" hidden="1" customHeight="1">
      <c r="A8020" s="59">
        <f t="shared" si="20"/>
        <v>130</v>
      </c>
      <c r="B8020" s="59" t="str">
        <f t="shared" si="21"/>
        <v/>
      </c>
      <c r="C8020" s="59" t="str">
        <f t="shared" si="22"/>
        <v/>
      </c>
      <c r="D8020" s="45" t="str">
        <f t="shared" si="23"/>
        <v/>
      </c>
      <c r="E8020" s="45" t="str">
        <f t="shared" si="24"/>
        <v/>
      </c>
      <c r="F8020" s="59" t="str">
        <f t="shared" si="25"/>
        <v/>
      </c>
      <c r="G8020" s="59" t="str">
        <f t="shared" si="26"/>
        <v/>
      </c>
      <c r="H8020" s="59" t="str">
        <f t="shared" si="27"/>
        <v>LG53F</v>
      </c>
      <c r="I8020" s="59" t="str">
        <f>IF(OR($A8020="",$C8020="",$D8020="",$E8020="",$H8020=""),"",SUMIFS(DATA_GOC!$H:$H,DATA_GOC!$A:$A,"BOM",DATA_GOC!$D:$D,$H8020,DATA_GOC!$E:$E,$C8020,DATA_GOC!$F:$F,"Xuất nội bộ từ téc",DATA_GOC!$B:$B,"&gt;="&amp;$D8020,DATA_GOC!$B:$B,"&lt;="&amp;$E8020))</f>
        <v/>
      </c>
      <c r="J8020" s="59">
        <f t="shared" si="28"/>
        <v>0</v>
      </c>
      <c r="K8020" s="59">
        <f t="shared" si="29"/>
        <v>0</v>
      </c>
      <c r="L8020" s="59">
        <f t="shared" si="30"/>
        <v>0</v>
      </c>
      <c r="M8020" s="59">
        <f t="shared" si="31"/>
        <v>0</v>
      </c>
    </row>
    <row r="8021" ht="15.0" hidden="1" customHeight="1">
      <c r="A8021" s="59">
        <f t="shared" si="20"/>
        <v>130</v>
      </c>
      <c r="B8021" s="59" t="str">
        <f t="shared" si="21"/>
        <v/>
      </c>
      <c r="C8021" s="59" t="str">
        <f t="shared" si="22"/>
        <v/>
      </c>
      <c r="D8021" s="45" t="str">
        <f t="shared" si="23"/>
        <v/>
      </c>
      <c r="E8021" s="45" t="str">
        <f t="shared" si="24"/>
        <v/>
      </c>
      <c r="F8021" s="59" t="str">
        <f t="shared" si="25"/>
        <v/>
      </c>
      <c r="G8021" s="59" t="str">
        <f t="shared" si="26"/>
        <v/>
      </c>
      <c r="H8021" s="59" t="str">
        <f t="shared" si="27"/>
        <v>Máy phát điện</v>
      </c>
      <c r="I8021" s="59" t="str">
        <f>IF(OR($A8021="",$C8021="",$D8021="",$E8021="",$H8021=""),"",SUMIFS(DATA_GOC!$H:$H,DATA_GOC!$A:$A,"BOM",DATA_GOC!$D:$D,$H8021,DATA_GOC!$E:$E,$C8021,DATA_GOC!$F:$F,"Xuất nội bộ từ téc",DATA_GOC!$B:$B,"&gt;="&amp;$D8021,DATA_GOC!$B:$B,"&lt;="&amp;$E8021))</f>
        <v/>
      </c>
      <c r="J8021" s="59">
        <f t="shared" si="28"/>
        <v>0</v>
      </c>
      <c r="K8021" s="59">
        <f t="shared" si="29"/>
        <v>0</v>
      </c>
      <c r="L8021" s="59">
        <f t="shared" si="30"/>
        <v>0</v>
      </c>
      <c r="M8021" s="59">
        <f t="shared" si="31"/>
        <v>0</v>
      </c>
    </row>
    <row r="8022" ht="15.0" hidden="1" customHeight="1">
      <c r="A8022" s="59">
        <f t="shared" si="20"/>
        <v>130</v>
      </c>
      <c r="B8022" s="59" t="str">
        <f t="shared" si="21"/>
        <v/>
      </c>
      <c r="C8022" s="59" t="str">
        <f t="shared" si="22"/>
        <v/>
      </c>
      <c r="D8022" s="45" t="str">
        <f t="shared" si="23"/>
        <v/>
      </c>
      <c r="E8022" s="45" t="str">
        <f t="shared" si="24"/>
        <v/>
      </c>
      <c r="F8022" s="59" t="str">
        <f t="shared" si="25"/>
        <v/>
      </c>
      <c r="G8022" s="59" t="str">
        <f t="shared" si="26"/>
        <v/>
      </c>
      <c r="H8022" s="59" t="str">
        <f t="shared" si="27"/>
        <v>Máy rải thảm</v>
      </c>
      <c r="I8022" s="59" t="str">
        <f>IF(OR($A8022="",$C8022="",$D8022="",$E8022="",$H8022=""),"",SUMIFS(DATA_GOC!$H:$H,DATA_GOC!$A:$A,"BOM",DATA_GOC!$D:$D,$H8022,DATA_GOC!$E:$E,$C8022,DATA_GOC!$F:$F,"Xuất nội bộ từ téc",DATA_GOC!$B:$B,"&gt;="&amp;$D8022,DATA_GOC!$B:$B,"&lt;="&amp;$E8022))</f>
        <v/>
      </c>
      <c r="J8022" s="59">
        <f t="shared" si="28"/>
        <v>0</v>
      </c>
      <c r="K8022" s="59">
        <f t="shared" si="29"/>
        <v>0</v>
      </c>
      <c r="L8022" s="59">
        <f t="shared" si="30"/>
        <v>0</v>
      </c>
      <c r="M8022" s="59">
        <f t="shared" si="31"/>
        <v>0</v>
      </c>
    </row>
    <row r="8023" ht="15.0" hidden="1" customHeight="1">
      <c r="A8023" s="59">
        <f t="shared" si="20"/>
        <v>130</v>
      </c>
      <c r="B8023" s="59" t="str">
        <f t="shared" si="21"/>
        <v/>
      </c>
      <c r="C8023" s="59" t="str">
        <f t="shared" si="22"/>
        <v/>
      </c>
      <c r="D8023" s="45" t="str">
        <f t="shared" si="23"/>
        <v/>
      </c>
      <c r="E8023" s="45" t="str">
        <f t="shared" si="24"/>
        <v/>
      </c>
      <c r="F8023" s="59" t="str">
        <f t="shared" si="25"/>
        <v/>
      </c>
      <c r="G8023" s="59" t="str">
        <f t="shared" si="26"/>
        <v/>
      </c>
      <c r="H8023" s="59" t="str">
        <f t="shared" si="27"/>
        <v>Xúc Đào</v>
      </c>
      <c r="I8023" s="59" t="str">
        <f>IF(OR($A8023="",$C8023="",$D8023="",$E8023="",$H8023=""),"",SUMIFS(DATA_GOC!$H:$H,DATA_GOC!$A:$A,"BOM",DATA_GOC!$D:$D,$H8023,DATA_GOC!$E:$E,$C8023,DATA_GOC!$F:$F,"Xuất nội bộ từ téc",DATA_GOC!$B:$B,"&gt;="&amp;$D8023,DATA_GOC!$B:$B,"&lt;="&amp;$E8023))</f>
        <v/>
      </c>
      <c r="J8023" s="59">
        <f t="shared" si="28"/>
        <v>0</v>
      </c>
      <c r="K8023" s="59">
        <f t="shared" si="29"/>
        <v>0</v>
      </c>
      <c r="L8023" s="59">
        <f t="shared" si="30"/>
        <v>0</v>
      </c>
      <c r="M8023" s="59">
        <f t="shared" si="31"/>
        <v>0</v>
      </c>
    </row>
    <row r="8024" ht="15.0" hidden="1" customHeight="1">
      <c r="A8024" s="59">
        <f t="shared" si="20"/>
        <v>130</v>
      </c>
      <c r="B8024" s="59" t="str">
        <f t="shared" si="21"/>
        <v/>
      </c>
      <c r="C8024" s="59" t="str">
        <f t="shared" si="22"/>
        <v/>
      </c>
      <c r="D8024" s="45" t="str">
        <f t="shared" si="23"/>
        <v/>
      </c>
      <c r="E8024" s="45" t="str">
        <f t="shared" si="24"/>
        <v/>
      </c>
      <c r="F8024" s="59" t="str">
        <f t="shared" si="25"/>
        <v/>
      </c>
      <c r="G8024" s="59" t="str">
        <f t="shared" si="26"/>
        <v/>
      </c>
      <c r="H8024" s="59" t="str">
        <f t="shared" si="27"/>
        <v>Xúclật asphalt</v>
      </c>
      <c r="I8024" s="59" t="str">
        <f>IF(OR($A8024="",$C8024="",$D8024="",$E8024="",$H8024=""),"",SUMIFS(DATA_GOC!$H:$H,DATA_GOC!$A:$A,"BOM",DATA_GOC!$D:$D,$H8024,DATA_GOC!$E:$E,$C8024,DATA_GOC!$F:$F,"Xuất nội bộ từ téc",DATA_GOC!$B:$B,"&gt;="&amp;$D8024,DATA_GOC!$B:$B,"&lt;="&amp;$E8024))</f>
        <v/>
      </c>
      <c r="J8024" s="59">
        <f t="shared" si="28"/>
        <v>0</v>
      </c>
      <c r="K8024" s="59">
        <f t="shared" si="29"/>
        <v>0</v>
      </c>
      <c r="L8024" s="59">
        <f t="shared" si="30"/>
        <v>0</v>
      </c>
      <c r="M8024" s="59">
        <f t="shared" si="31"/>
        <v>0</v>
      </c>
    </row>
    <row r="8025" ht="15.0" hidden="1" customHeight="1">
      <c r="A8025" s="59">
        <f t="shared" si="20"/>
        <v>130</v>
      </c>
      <c r="B8025" s="59" t="str">
        <f t="shared" si="21"/>
        <v/>
      </c>
      <c r="C8025" s="59" t="str">
        <f t="shared" si="22"/>
        <v/>
      </c>
      <c r="D8025" s="45" t="str">
        <f t="shared" si="23"/>
        <v/>
      </c>
      <c r="E8025" s="45" t="str">
        <f t="shared" si="24"/>
        <v/>
      </c>
      <c r="F8025" s="59" t="str">
        <f t="shared" si="25"/>
        <v/>
      </c>
      <c r="G8025" s="59" t="str">
        <f t="shared" si="26"/>
        <v/>
      </c>
      <c r="H8025" s="59" t="str">
        <f t="shared" si="27"/>
        <v>Xúclật855H</v>
      </c>
      <c r="I8025" s="59" t="str">
        <f>IF(OR($A8025="",$C8025="",$D8025="",$E8025="",$H8025=""),"",SUMIFS(DATA_GOC!$H:$H,DATA_GOC!$A:$A,"BOM",DATA_GOC!$D:$D,$H8025,DATA_GOC!$E:$E,$C8025,DATA_GOC!$F:$F,"Xuất nội bộ từ téc",DATA_GOC!$B:$B,"&gt;="&amp;$D8025,DATA_GOC!$B:$B,"&lt;="&amp;$E8025))</f>
        <v/>
      </c>
      <c r="J8025" s="59">
        <f t="shared" si="28"/>
        <v>0</v>
      </c>
      <c r="K8025" s="59">
        <f t="shared" si="29"/>
        <v>0</v>
      </c>
      <c r="L8025" s="59">
        <f t="shared" si="30"/>
        <v>0</v>
      </c>
      <c r="M8025" s="59">
        <f t="shared" si="31"/>
        <v>0</v>
      </c>
    </row>
    <row r="8026" ht="15.0" hidden="1" customHeight="1">
      <c r="A8026" s="59">
        <f t="shared" si="20"/>
        <v>130</v>
      </c>
      <c r="B8026" s="59" t="str">
        <f t="shared" si="21"/>
        <v/>
      </c>
      <c r="C8026" s="59" t="str">
        <f t="shared" si="22"/>
        <v/>
      </c>
      <c r="D8026" s="45" t="str">
        <f t="shared" si="23"/>
        <v/>
      </c>
      <c r="E8026" s="45" t="str">
        <f t="shared" si="24"/>
        <v/>
      </c>
      <c r="F8026" s="59" t="str">
        <f t="shared" si="25"/>
        <v/>
      </c>
      <c r="G8026" s="59" t="str">
        <f t="shared" si="26"/>
        <v/>
      </c>
      <c r="H8026" s="59" t="str">
        <f t="shared" si="27"/>
        <v>Xúclật855N</v>
      </c>
      <c r="I8026" s="59" t="str">
        <f>IF(OR($A8026="",$C8026="",$D8026="",$E8026="",$H8026=""),"",SUMIFS(DATA_GOC!$H:$H,DATA_GOC!$A:$A,"BOM",DATA_GOC!$D:$D,$H8026,DATA_GOC!$E:$E,$C8026,DATA_GOC!$F:$F,"Xuất nội bộ từ téc",DATA_GOC!$B:$B,"&gt;="&amp;$D8026,DATA_GOC!$B:$B,"&lt;="&amp;$E8026))</f>
        <v/>
      </c>
      <c r="J8026" s="59">
        <f t="shared" si="28"/>
        <v>0</v>
      </c>
      <c r="K8026" s="59">
        <f t="shared" si="29"/>
        <v>0</v>
      </c>
      <c r="L8026" s="59">
        <f t="shared" si="30"/>
        <v>0</v>
      </c>
      <c r="M8026" s="59">
        <f t="shared" si="31"/>
        <v>0</v>
      </c>
    </row>
    <row r="8027" ht="15.0" hidden="1" customHeight="1">
      <c r="A8027" s="59">
        <f t="shared" si="20"/>
        <v>130</v>
      </c>
      <c r="B8027" s="59" t="str">
        <f t="shared" si="21"/>
        <v/>
      </c>
      <c r="C8027" s="59" t="str">
        <f t="shared" si="22"/>
        <v/>
      </c>
      <c r="D8027" s="45" t="str">
        <f t="shared" si="23"/>
        <v/>
      </c>
      <c r="E8027" s="45" t="str">
        <f t="shared" si="24"/>
        <v/>
      </c>
      <c r="F8027" s="59" t="str">
        <f t="shared" si="25"/>
        <v/>
      </c>
      <c r="G8027" s="59" t="str">
        <f t="shared" si="26"/>
        <v/>
      </c>
      <c r="H8027" s="59" t="str">
        <f t="shared" si="27"/>
        <v>Cát nghiền</v>
      </c>
      <c r="I8027" s="59" t="str">
        <f>IF(OR($A8027="",$C8027="",$D8027="",$E8027="",$H8027=""),"",SUMIFS(DATA_GOC!$H:$H,DATA_GOC!$A:$A,"BOM",DATA_GOC!$D:$D,$H8027,DATA_GOC!$E:$E,$C8027,DATA_GOC!$F:$F,"Xuất nội bộ từ téc",DATA_GOC!$B:$B,"&gt;="&amp;$D8027,DATA_GOC!$B:$B,"&lt;="&amp;$E8027))</f>
        <v/>
      </c>
      <c r="J8027" s="59">
        <f t="shared" si="28"/>
        <v>0</v>
      </c>
      <c r="K8027" s="59">
        <f t="shared" si="29"/>
        <v>0</v>
      </c>
      <c r="L8027" s="59">
        <f t="shared" si="30"/>
        <v>0</v>
      </c>
      <c r="M8027" s="59">
        <f t="shared" si="31"/>
        <v>0</v>
      </c>
    </row>
    <row r="8028" ht="15.0" hidden="1" customHeight="1">
      <c r="A8028" s="59">
        <f t="shared" si="20"/>
        <v>130</v>
      </c>
      <c r="B8028" s="59" t="str">
        <f t="shared" si="21"/>
        <v/>
      </c>
      <c r="C8028" s="59" t="str">
        <f t="shared" si="22"/>
        <v/>
      </c>
      <c r="D8028" s="45" t="str">
        <f t="shared" si="23"/>
        <v/>
      </c>
      <c r="E8028" s="45" t="str">
        <f t="shared" si="24"/>
        <v/>
      </c>
      <c r="F8028" s="59" t="str">
        <f t="shared" si="25"/>
        <v/>
      </c>
      <c r="G8028" s="59" t="str">
        <f t="shared" si="26"/>
        <v/>
      </c>
      <c r="H8028" s="59" t="str">
        <f t="shared" si="27"/>
        <v>28C02973</v>
      </c>
      <c r="I8028" s="59" t="str">
        <f>IF(OR($A8028="",$C8028="",$D8028="",$E8028="",$H8028=""),"",SUMIFS(DATA_GOC!$H:$H,DATA_GOC!$A:$A,"BOM",DATA_GOC!$D:$D,$H8028,DATA_GOC!$E:$E,$C8028,DATA_GOC!$F:$F,"Xuất nội bộ từ téc",DATA_GOC!$B:$B,"&gt;="&amp;$D8028,DATA_GOC!$B:$B,"&lt;="&amp;$E8028))</f>
        <v/>
      </c>
      <c r="J8028" s="59">
        <f t="shared" si="28"/>
        <v>0</v>
      </c>
      <c r="K8028" s="59">
        <f t="shared" si="29"/>
        <v>0</v>
      </c>
      <c r="L8028" s="59">
        <f t="shared" si="30"/>
        <v>0</v>
      </c>
      <c r="M8028" s="59">
        <f t="shared" si="31"/>
        <v>0</v>
      </c>
    </row>
    <row r="8029" ht="15.0" hidden="1" customHeight="1">
      <c r="A8029" s="59">
        <f t="shared" si="20"/>
        <v>130</v>
      </c>
      <c r="B8029" s="59" t="str">
        <f t="shared" si="21"/>
        <v/>
      </c>
      <c r="C8029" s="59" t="str">
        <f t="shared" si="22"/>
        <v/>
      </c>
      <c r="D8029" s="45" t="str">
        <f t="shared" si="23"/>
        <v/>
      </c>
      <c r="E8029" s="45" t="str">
        <f t="shared" si="24"/>
        <v/>
      </c>
      <c r="F8029" s="59" t="str">
        <f t="shared" si="25"/>
        <v/>
      </c>
      <c r="G8029" s="59" t="str">
        <f t="shared" si="26"/>
        <v/>
      </c>
      <c r="H8029" s="59" t="str">
        <f t="shared" si="27"/>
        <v>28C03044</v>
      </c>
      <c r="I8029" s="59" t="str">
        <f>IF(OR($A8029="",$C8029="",$D8029="",$E8029="",$H8029=""),"",SUMIFS(DATA_GOC!$H:$H,DATA_GOC!$A:$A,"BOM",DATA_GOC!$D:$D,$H8029,DATA_GOC!$E:$E,$C8029,DATA_GOC!$F:$F,"Xuất nội bộ từ téc",DATA_GOC!$B:$B,"&gt;="&amp;$D8029,DATA_GOC!$B:$B,"&lt;="&amp;$E8029))</f>
        <v/>
      </c>
      <c r="J8029" s="59">
        <f t="shared" si="28"/>
        <v>0</v>
      </c>
      <c r="K8029" s="59">
        <f t="shared" si="29"/>
        <v>0</v>
      </c>
      <c r="L8029" s="59">
        <f t="shared" si="30"/>
        <v>0</v>
      </c>
      <c r="M8029" s="59">
        <f t="shared" si="31"/>
        <v>0</v>
      </c>
    </row>
    <row r="8030" ht="15.0" hidden="1" customHeight="1">
      <c r="A8030" s="59">
        <f t="shared" si="20"/>
        <v>130</v>
      </c>
      <c r="B8030" s="59" t="str">
        <f t="shared" si="21"/>
        <v/>
      </c>
      <c r="C8030" s="59" t="str">
        <f t="shared" si="22"/>
        <v/>
      </c>
      <c r="D8030" s="45" t="str">
        <f t="shared" si="23"/>
        <v/>
      </c>
      <c r="E8030" s="45" t="str">
        <f t="shared" si="24"/>
        <v/>
      </c>
      <c r="F8030" s="59" t="str">
        <f t="shared" si="25"/>
        <v/>
      </c>
      <c r="G8030" s="59" t="str">
        <f t="shared" si="26"/>
        <v/>
      </c>
      <c r="H8030" s="59" t="str">
        <f t="shared" si="27"/>
        <v>Máy lu lốp</v>
      </c>
      <c r="I8030" s="59" t="str">
        <f>IF(OR($A8030="",$C8030="",$D8030="",$E8030="",$H8030=""),"",SUMIFS(DATA_GOC!$H:$H,DATA_GOC!$A:$A,"BOM",DATA_GOC!$D:$D,$H8030,DATA_GOC!$E:$E,$C8030,DATA_GOC!$F:$F,"Xuất nội bộ từ téc",DATA_GOC!$B:$B,"&gt;="&amp;$D8030,DATA_GOC!$B:$B,"&lt;="&amp;$E8030))</f>
        <v/>
      </c>
      <c r="J8030" s="59">
        <f t="shared" si="28"/>
        <v>0</v>
      </c>
      <c r="K8030" s="59">
        <f t="shared" si="29"/>
        <v>0</v>
      </c>
      <c r="L8030" s="59">
        <f t="shared" si="30"/>
        <v>0</v>
      </c>
      <c r="M8030" s="59">
        <f t="shared" si="31"/>
        <v>0</v>
      </c>
    </row>
    <row r="8031" ht="15.0" hidden="1" customHeight="1">
      <c r="A8031" s="59">
        <f t="shared" si="20"/>
        <v>130</v>
      </c>
      <c r="B8031" s="59" t="str">
        <f t="shared" si="21"/>
        <v/>
      </c>
      <c r="C8031" s="59" t="str">
        <f t="shared" si="22"/>
        <v/>
      </c>
      <c r="D8031" s="45" t="str">
        <f t="shared" si="23"/>
        <v/>
      </c>
      <c r="E8031" s="45" t="str">
        <f t="shared" si="24"/>
        <v/>
      </c>
      <c r="F8031" s="59" t="str">
        <f t="shared" si="25"/>
        <v/>
      </c>
      <c r="G8031" s="59" t="str">
        <f t="shared" si="26"/>
        <v/>
      </c>
      <c r="H8031" s="59" t="str">
        <f t="shared" si="27"/>
        <v>Xe 600148</v>
      </c>
      <c r="I8031" s="59" t="str">
        <f>IF(OR($A8031="",$C8031="",$D8031="",$E8031="",$H8031=""),"",SUMIFS(DATA_GOC!$H:$H,DATA_GOC!$A:$A,"BOM",DATA_GOC!$D:$D,$H8031,DATA_GOC!$E:$E,$C8031,DATA_GOC!$F:$F,"Xuất nội bộ từ téc",DATA_GOC!$B:$B,"&gt;="&amp;$D8031,DATA_GOC!$B:$B,"&lt;="&amp;$E8031))</f>
        <v/>
      </c>
      <c r="J8031" s="59">
        <f t="shared" si="28"/>
        <v>0</v>
      </c>
      <c r="K8031" s="59">
        <f t="shared" si="29"/>
        <v>0</v>
      </c>
      <c r="L8031" s="59">
        <f t="shared" si="30"/>
        <v>0</v>
      </c>
      <c r="M8031" s="59">
        <f t="shared" si="31"/>
        <v>0</v>
      </c>
    </row>
    <row r="8032" ht="15.0" hidden="1" customHeight="1">
      <c r="A8032" s="59">
        <f t="shared" si="20"/>
        <v>130</v>
      </c>
      <c r="B8032" s="59" t="str">
        <f t="shared" si="21"/>
        <v/>
      </c>
      <c r="C8032" s="59" t="str">
        <f t="shared" si="22"/>
        <v/>
      </c>
      <c r="D8032" s="45" t="str">
        <f t="shared" si="23"/>
        <v/>
      </c>
      <c r="E8032" s="45" t="str">
        <f t="shared" si="24"/>
        <v/>
      </c>
      <c r="F8032" s="59" t="str">
        <f t="shared" si="25"/>
        <v/>
      </c>
      <c r="G8032" s="59" t="str">
        <f t="shared" si="26"/>
        <v/>
      </c>
      <c r="H8032" s="59" t="str">
        <f t="shared" si="27"/>
        <v>Xe ben mới</v>
      </c>
      <c r="I8032" s="59" t="str">
        <f>IF(OR($A8032="",$C8032="",$D8032="",$E8032="",$H8032=""),"",SUMIFS(DATA_GOC!$H:$H,DATA_GOC!$A:$A,"BOM",DATA_GOC!$D:$D,$H8032,DATA_GOC!$E:$E,$C8032,DATA_GOC!$F:$F,"Xuất nội bộ từ téc",DATA_GOC!$B:$B,"&gt;="&amp;$D8032,DATA_GOC!$B:$B,"&lt;="&amp;$E8032))</f>
        <v/>
      </c>
      <c r="J8032" s="59">
        <f t="shared" si="28"/>
        <v>0</v>
      </c>
      <c r="K8032" s="59">
        <f t="shared" si="29"/>
        <v>0</v>
      </c>
      <c r="L8032" s="59">
        <f t="shared" si="30"/>
        <v>0</v>
      </c>
      <c r="M8032" s="59">
        <f t="shared" si="31"/>
        <v>0</v>
      </c>
    </row>
    <row r="8033" ht="15.0" hidden="1" customHeight="1">
      <c r="A8033" s="59">
        <f t="shared" si="20"/>
        <v>131</v>
      </c>
      <c r="B8033" s="59" t="str">
        <f t="shared" si="21"/>
        <v/>
      </c>
      <c r="C8033" s="59" t="str">
        <f t="shared" si="22"/>
        <v/>
      </c>
      <c r="D8033" s="45" t="str">
        <f t="shared" si="23"/>
        <v/>
      </c>
      <c r="E8033" s="45" t="str">
        <f t="shared" si="24"/>
        <v/>
      </c>
      <c r="F8033" s="59" t="str">
        <f t="shared" si="25"/>
        <v/>
      </c>
      <c r="G8033" s="59" t="str">
        <f t="shared" si="26"/>
        <v/>
      </c>
      <c r="H8033" s="59" t="str">
        <f t="shared" si="27"/>
        <v>19H09482</v>
      </c>
      <c r="I8033" s="59" t="str">
        <f>IF(OR($A8033="",$C8033="",$D8033="",$E8033="",$H8033=""),"",SUMIFS(DATA_GOC!$H:$H,DATA_GOC!$A:$A,"BOM",DATA_GOC!$D:$D,$H8033,DATA_GOC!$E:$E,$C8033,DATA_GOC!$F:$F,"Xuất nội bộ từ téc",DATA_GOC!$B:$B,"&gt;="&amp;$D8033,DATA_GOC!$B:$B,"&lt;="&amp;$E8033))</f>
        <v/>
      </c>
      <c r="J8033" s="59">
        <f t="shared" si="28"/>
        <v>0</v>
      </c>
      <c r="K8033" s="59">
        <f t="shared" si="29"/>
        <v>0</v>
      </c>
      <c r="L8033" s="59">
        <f t="shared" si="30"/>
        <v>0</v>
      </c>
      <c r="M8033" s="59">
        <f t="shared" si="31"/>
        <v>0</v>
      </c>
    </row>
    <row r="8034" ht="15.0" hidden="1" customHeight="1">
      <c r="A8034" s="59">
        <f t="shared" si="20"/>
        <v>131</v>
      </c>
      <c r="B8034" s="59" t="str">
        <f t="shared" si="21"/>
        <v/>
      </c>
      <c r="C8034" s="59" t="str">
        <f t="shared" si="22"/>
        <v/>
      </c>
      <c r="D8034" s="45" t="str">
        <f t="shared" si="23"/>
        <v/>
      </c>
      <c r="E8034" s="45" t="str">
        <f t="shared" si="24"/>
        <v/>
      </c>
      <c r="F8034" s="59" t="str">
        <f t="shared" si="25"/>
        <v/>
      </c>
      <c r="G8034" s="59" t="str">
        <f t="shared" si="26"/>
        <v/>
      </c>
      <c r="H8034" s="59" t="str">
        <f t="shared" si="27"/>
        <v>28A30696</v>
      </c>
      <c r="I8034" s="59" t="str">
        <f>IF(OR($A8034="",$C8034="",$D8034="",$E8034="",$H8034=""),"",SUMIFS(DATA_GOC!$H:$H,DATA_GOC!$A:$A,"BOM",DATA_GOC!$D:$D,$H8034,DATA_GOC!$E:$E,$C8034,DATA_GOC!$F:$F,"Xuất nội bộ từ téc",DATA_GOC!$B:$B,"&gt;="&amp;$D8034,DATA_GOC!$B:$B,"&lt;="&amp;$E8034))</f>
        <v/>
      </c>
      <c r="J8034" s="59">
        <f t="shared" si="28"/>
        <v>0</v>
      </c>
      <c r="K8034" s="59">
        <f t="shared" si="29"/>
        <v>0</v>
      </c>
      <c r="L8034" s="59">
        <f t="shared" si="30"/>
        <v>0</v>
      </c>
      <c r="M8034" s="59">
        <f t="shared" si="31"/>
        <v>0</v>
      </c>
    </row>
    <row r="8035" ht="15.0" hidden="1" customHeight="1">
      <c r="A8035" s="59">
        <f t="shared" si="20"/>
        <v>131</v>
      </c>
      <c r="B8035" s="59" t="str">
        <f t="shared" si="21"/>
        <v/>
      </c>
      <c r="C8035" s="59" t="str">
        <f t="shared" si="22"/>
        <v/>
      </c>
      <c r="D8035" s="45" t="str">
        <f t="shared" si="23"/>
        <v/>
      </c>
      <c r="E8035" s="45" t="str">
        <f t="shared" si="24"/>
        <v/>
      </c>
      <c r="F8035" s="59" t="str">
        <f t="shared" si="25"/>
        <v/>
      </c>
      <c r="G8035" s="59" t="str">
        <f t="shared" si="26"/>
        <v/>
      </c>
      <c r="H8035" s="59" t="str">
        <f t="shared" si="27"/>
        <v>28C00462</v>
      </c>
      <c r="I8035" s="59" t="str">
        <f>IF(OR($A8035="",$C8035="",$D8035="",$E8035="",$H8035=""),"",SUMIFS(DATA_GOC!$H:$H,DATA_GOC!$A:$A,"BOM",DATA_GOC!$D:$D,$H8035,DATA_GOC!$E:$E,$C8035,DATA_GOC!$F:$F,"Xuất nội bộ từ téc",DATA_GOC!$B:$B,"&gt;="&amp;$D8035,DATA_GOC!$B:$B,"&lt;="&amp;$E8035))</f>
        <v/>
      </c>
      <c r="J8035" s="59">
        <f t="shared" si="28"/>
        <v>0</v>
      </c>
      <c r="K8035" s="59">
        <f t="shared" si="29"/>
        <v>0</v>
      </c>
      <c r="L8035" s="59">
        <f t="shared" si="30"/>
        <v>0</v>
      </c>
      <c r="M8035" s="59">
        <f t="shared" si="31"/>
        <v>0</v>
      </c>
    </row>
    <row r="8036" ht="15.0" hidden="1" customHeight="1">
      <c r="A8036" s="59">
        <f t="shared" si="20"/>
        <v>131</v>
      </c>
      <c r="B8036" s="59" t="str">
        <f t="shared" si="21"/>
        <v/>
      </c>
      <c r="C8036" s="59" t="str">
        <f t="shared" si="22"/>
        <v/>
      </c>
      <c r="D8036" s="45" t="str">
        <f t="shared" si="23"/>
        <v/>
      </c>
      <c r="E8036" s="45" t="str">
        <f t="shared" si="24"/>
        <v/>
      </c>
      <c r="F8036" s="59" t="str">
        <f t="shared" si="25"/>
        <v/>
      </c>
      <c r="G8036" s="59" t="str">
        <f t="shared" si="26"/>
        <v/>
      </c>
      <c r="H8036" s="59" t="str">
        <f t="shared" si="27"/>
        <v>28C01165</v>
      </c>
      <c r="I8036" s="59" t="str">
        <f>IF(OR($A8036="",$C8036="",$D8036="",$E8036="",$H8036=""),"",SUMIFS(DATA_GOC!$H:$H,DATA_GOC!$A:$A,"BOM",DATA_GOC!$D:$D,$H8036,DATA_GOC!$E:$E,$C8036,DATA_GOC!$F:$F,"Xuất nội bộ từ téc",DATA_GOC!$B:$B,"&gt;="&amp;$D8036,DATA_GOC!$B:$B,"&lt;="&amp;$E8036))</f>
        <v/>
      </c>
      <c r="J8036" s="59">
        <f t="shared" si="28"/>
        <v>0</v>
      </c>
      <c r="K8036" s="59">
        <f t="shared" si="29"/>
        <v>0</v>
      </c>
      <c r="L8036" s="59">
        <f t="shared" si="30"/>
        <v>0</v>
      </c>
      <c r="M8036" s="59">
        <f t="shared" si="31"/>
        <v>0</v>
      </c>
    </row>
    <row r="8037" ht="15.0" hidden="1" customHeight="1">
      <c r="A8037" s="59">
        <f t="shared" si="20"/>
        <v>131</v>
      </c>
      <c r="B8037" s="59" t="str">
        <f t="shared" si="21"/>
        <v/>
      </c>
      <c r="C8037" s="59" t="str">
        <f t="shared" si="22"/>
        <v/>
      </c>
      <c r="D8037" s="45" t="str">
        <f t="shared" si="23"/>
        <v/>
      </c>
      <c r="E8037" s="45" t="str">
        <f t="shared" si="24"/>
        <v/>
      </c>
      <c r="F8037" s="59" t="str">
        <f t="shared" si="25"/>
        <v/>
      </c>
      <c r="G8037" s="59" t="str">
        <f t="shared" si="26"/>
        <v/>
      </c>
      <c r="H8037" s="59" t="str">
        <f t="shared" si="27"/>
        <v>28C01406</v>
      </c>
      <c r="I8037" s="59" t="str">
        <f>IF(OR($A8037="",$C8037="",$D8037="",$E8037="",$H8037=""),"",SUMIFS(DATA_GOC!$H:$H,DATA_GOC!$A:$A,"BOM",DATA_GOC!$D:$D,$H8037,DATA_GOC!$E:$E,$C8037,DATA_GOC!$F:$F,"Xuất nội bộ từ téc",DATA_GOC!$B:$B,"&gt;="&amp;$D8037,DATA_GOC!$B:$B,"&lt;="&amp;$E8037))</f>
        <v/>
      </c>
      <c r="J8037" s="59">
        <f t="shared" si="28"/>
        <v>0</v>
      </c>
      <c r="K8037" s="59">
        <f t="shared" si="29"/>
        <v>0</v>
      </c>
      <c r="L8037" s="59">
        <f t="shared" si="30"/>
        <v>0</v>
      </c>
      <c r="M8037" s="59">
        <f t="shared" si="31"/>
        <v>0</v>
      </c>
    </row>
    <row r="8038" ht="15.0" hidden="1" customHeight="1">
      <c r="A8038" s="59">
        <f t="shared" si="20"/>
        <v>131</v>
      </c>
      <c r="B8038" s="59" t="str">
        <f t="shared" si="21"/>
        <v/>
      </c>
      <c r="C8038" s="59" t="str">
        <f t="shared" si="22"/>
        <v/>
      </c>
      <c r="D8038" s="45" t="str">
        <f t="shared" si="23"/>
        <v/>
      </c>
      <c r="E8038" s="45" t="str">
        <f t="shared" si="24"/>
        <v/>
      </c>
      <c r="F8038" s="59" t="str">
        <f t="shared" si="25"/>
        <v/>
      </c>
      <c r="G8038" s="59" t="str">
        <f t="shared" si="26"/>
        <v/>
      </c>
      <c r="H8038" s="59" t="str">
        <f t="shared" si="27"/>
        <v>28C01544</v>
      </c>
      <c r="I8038" s="59" t="str">
        <f>IF(OR($A8038="",$C8038="",$D8038="",$E8038="",$H8038=""),"",SUMIFS(DATA_GOC!$H:$H,DATA_GOC!$A:$A,"BOM",DATA_GOC!$D:$D,$H8038,DATA_GOC!$E:$E,$C8038,DATA_GOC!$F:$F,"Xuất nội bộ từ téc",DATA_GOC!$B:$B,"&gt;="&amp;$D8038,DATA_GOC!$B:$B,"&lt;="&amp;$E8038))</f>
        <v/>
      </c>
      <c r="J8038" s="59">
        <f t="shared" si="28"/>
        <v>0</v>
      </c>
      <c r="K8038" s="59">
        <f t="shared" si="29"/>
        <v>0</v>
      </c>
      <c r="L8038" s="59">
        <f t="shared" si="30"/>
        <v>0</v>
      </c>
      <c r="M8038" s="59">
        <f t="shared" si="31"/>
        <v>0</v>
      </c>
    </row>
    <row r="8039" ht="15.0" hidden="1" customHeight="1">
      <c r="A8039" s="59">
        <f t="shared" si="20"/>
        <v>131</v>
      </c>
      <c r="B8039" s="59" t="str">
        <f t="shared" si="21"/>
        <v/>
      </c>
      <c r="C8039" s="59" t="str">
        <f t="shared" si="22"/>
        <v/>
      </c>
      <c r="D8039" s="45" t="str">
        <f t="shared" si="23"/>
        <v/>
      </c>
      <c r="E8039" s="45" t="str">
        <f t="shared" si="24"/>
        <v/>
      </c>
      <c r="F8039" s="59" t="str">
        <f t="shared" si="25"/>
        <v/>
      </c>
      <c r="G8039" s="59" t="str">
        <f t="shared" si="26"/>
        <v/>
      </c>
      <c r="H8039" s="59" t="str">
        <f t="shared" si="27"/>
        <v>28C01622</v>
      </c>
      <c r="I8039" s="59" t="str">
        <f>IF(OR($A8039="",$C8039="",$D8039="",$E8039="",$H8039=""),"",SUMIFS(DATA_GOC!$H:$H,DATA_GOC!$A:$A,"BOM",DATA_GOC!$D:$D,$H8039,DATA_GOC!$E:$E,$C8039,DATA_GOC!$F:$F,"Xuất nội bộ từ téc",DATA_GOC!$B:$B,"&gt;="&amp;$D8039,DATA_GOC!$B:$B,"&lt;="&amp;$E8039))</f>
        <v/>
      </c>
      <c r="J8039" s="59">
        <f t="shared" si="28"/>
        <v>0</v>
      </c>
      <c r="K8039" s="59">
        <f t="shared" si="29"/>
        <v>0</v>
      </c>
      <c r="L8039" s="59">
        <f t="shared" si="30"/>
        <v>0</v>
      </c>
      <c r="M8039" s="59">
        <f t="shared" si="31"/>
        <v>0</v>
      </c>
    </row>
    <row r="8040" ht="15.0" hidden="1" customHeight="1">
      <c r="A8040" s="59">
        <f t="shared" si="20"/>
        <v>131</v>
      </c>
      <c r="B8040" s="59" t="str">
        <f t="shared" si="21"/>
        <v/>
      </c>
      <c r="C8040" s="59" t="str">
        <f t="shared" si="22"/>
        <v/>
      </c>
      <c r="D8040" s="45" t="str">
        <f t="shared" si="23"/>
        <v/>
      </c>
      <c r="E8040" s="45" t="str">
        <f t="shared" si="24"/>
        <v/>
      </c>
      <c r="F8040" s="59" t="str">
        <f t="shared" si="25"/>
        <v/>
      </c>
      <c r="G8040" s="59" t="str">
        <f t="shared" si="26"/>
        <v/>
      </c>
      <c r="H8040" s="59" t="str">
        <f t="shared" si="27"/>
        <v>28C01647</v>
      </c>
      <c r="I8040" s="59" t="str">
        <f>IF(OR($A8040="",$C8040="",$D8040="",$E8040="",$H8040=""),"",SUMIFS(DATA_GOC!$H:$H,DATA_GOC!$A:$A,"BOM",DATA_GOC!$D:$D,$H8040,DATA_GOC!$E:$E,$C8040,DATA_GOC!$F:$F,"Xuất nội bộ từ téc",DATA_GOC!$B:$B,"&gt;="&amp;$D8040,DATA_GOC!$B:$B,"&lt;="&amp;$E8040))</f>
        <v/>
      </c>
      <c r="J8040" s="59">
        <f t="shared" si="28"/>
        <v>0</v>
      </c>
      <c r="K8040" s="59">
        <f t="shared" si="29"/>
        <v>0</v>
      </c>
      <c r="L8040" s="59">
        <f t="shared" si="30"/>
        <v>0</v>
      </c>
      <c r="M8040" s="59">
        <f t="shared" si="31"/>
        <v>0</v>
      </c>
    </row>
    <row r="8041" ht="15.0" hidden="1" customHeight="1">
      <c r="A8041" s="59">
        <f t="shared" si="20"/>
        <v>131</v>
      </c>
      <c r="B8041" s="59" t="str">
        <f t="shared" si="21"/>
        <v/>
      </c>
      <c r="C8041" s="59" t="str">
        <f t="shared" si="22"/>
        <v/>
      </c>
      <c r="D8041" s="45" t="str">
        <f t="shared" si="23"/>
        <v/>
      </c>
      <c r="E8041" s="45" t="str">
        <f t="shared" si="24"/>
        <v/>
      </c>
      <c r="F8041" s="59" t="str">
        <f t="shared" si="25"/>
        <v/>
      </c>
      <c r="G8041" s="59" t="str">
        <f t="shared" si="26"/>
        <v/>
      </c>
      <c r="H8041" s="59" t="str">
        <f t="shared" si="27"/>
        <v>28C01731</v>
      </c>
      <c r="I8041" s="59" t="str">
        <f>IF(OR($A8041="",$C8041="",$D8041="",$E8041="",$H8041=""),"",SUMIFS(DATA_GOC!$H:$H,DATA_GOC!$A:$A,"BOM",DATA_GOC!$D:$D,$H8041,DATA_GOC!$E:$E,$C8041,DATA_GOC!$F:$F,"Xuất nội bộ từ téc",DATA_GOC!$B:$B,"&gt;="&amp;$D8041,DATA_GOC!$B:$B,"&lt;="&amp;$E8041))</f>
        <v/>
      </c>
      <c r="J8041" s="59">
        <f t="shared" si="28"/>
        <v>0</v>
      </c>
      <c r="K8041" s="59">
        <f t="shared" si="29"/>
        <v>0</v>
      </c>
      <c r="L8041" s="59">
        <f t="shared" si="30"/>
        <v>0</v>
      </c>
      <c r="M8041" s="59">
        <f t="shared" si="31"/>
        <v>0</v>
      </c>
    </row>
    <row r="8042" ht="15.0" hidden="1" customHeight="1">
      <c r="A8042" s="59">
        <f t="shared" si="20"/>
        <v>131</v>
      </c>
      <c r="B8042" s="59" t="str">
        <f t="shared" si="21"/>
        <v/>
      </c>
      <c r="C8042" s="59" t="str">
        <f t="shared" si="22"/>
        <v/>
      </c>
      <c r="D8042" s="45" t="str">
        <f t="shared" si="23"/>
        <v/>
      </c>
      <c r="E8042" s="45" t="str">
        <f t="shared" si="24"/>
        <v/>
      </c>
      <c r="F8042" s="59" t="str">
        <f t="shared" si="25"/>
        <v/>
      </c>
      <c r="G8042" s="59" t="str">
        <f t="shared" si="26"/>
        <v/>
      </c>
      <c r="H8042" s="59" t="str">
        <f t="shared" si="27"/>
        <v>28C01743</v>
      </c>
      <c r="I8042" s="59" t="str">
        <f>IF(OR($A8042="",$C8042="",$D8042="",$E8042="",$H8042=""),"",SUMIFS(DATA_GOC!$H:$H,DATA_GOC!$A:$A,"BOM",DATA_GOC!$D:$D,$H8042,DATA_GOC!$E:$E,$C8042,DATA_GOC!$F:$F,"Xuất nội bộ từ téc",DATA_GOC!$B:$B,"&gt;="&amp;$D8042,DATA_GOC!$B:$B,"&lt;="&amp;$E8042))</f>
        <v/>
      </c>
      <c r="J8042" s="59">
        <f t="shared" si="28"/>
        <v>0</v>
      </c>
      <c r="K8042" s="59">
        <f t="shared" si="29"/>
        <v>0</v>
      </c>
      <c r="L8042" s="59">
        <f t="shared" si="30"/>
        <v>0</v>
      </c>
      <c r="M8042" s="59">
        <f t="shared" si="31"/>
        <v>0</v>
      </c>
    </row>
    <row r="8043" ht="15.0" hidden="1" customHeight="1">
      <c r="A8043" s="59">
        <f t="shared" si="20"/>
        <v>131</v>
      </c>
      <c r="B8043" s="59" t="str">
        <f t="shared" si="21"/>
        <v/>
      </c>
      <c r="C8043" s="59" t="str">
        <f t="shared" si="22"/>
        <v/>
      </c>
      <c r="D8043" s="45" t="str">
        <f t="shared" si="23"/>
        <v/>
      </c>
      <c r="E8043" s="45" t="str">
        <f t="shared" si="24"/>
        <v/>
      </c>
      <c r="F8043" s="59" t="str">
        <f t="shared" si="25"/>
        <v/>
      </c>
      <c r="G8043" s="59" t="str">
        <f t="shared" si="26"/>
        <v/>
      </c>
      <c r="H8043" s="59" t="str">
        <f t="shared" si="27"/>
        <v>28C02106</v>
      </c>
      <c r="I8043" s="59" t="str">
        <f>IF(OR($A8043="",$C8043="",$D8043="",$E8043="",$H8043=""),"",SUMIFS(DATA_GOC!$H:$H,DATA_GOC!$A:$A,"BOM",DATA_GOC!$D:$D,$H8043,DATA_GOC!$E:$E,$C8043,DATA_GOC!$F:$F,"Xuất nội bộ từ téc",DATA_GOC!$B:$B,"&gt;="&amp;$D8043,DATA_GOC!$B:$B,"&lt;="&amp;$E8043))</f>
        <v/>
      </c>
      <c r="J8043" s="59">
        <f t="shared" si="28"/>
        <v>0</v>
      </c>
      <c r="K8043" s="59">
        <f t="shared" si="29"/>
        <v>0</v>
      </c>
      <c r="L8043" s="59">
        <f t="shared" si="30"/>
        <v>0</v>
      </c>
      <c r="M8043" s="59">
        <f t="shared" si="31"/>
        <v>0</v>
      </c>
    </row>
    <row r="8044" ht="15.0" hidden="1" customHeight="1">
      <c r="A8044" s="59">
        <f t="shared" si="20"/>
        <v>131</v>
      </c>
      <c r="B8044" s="59" t="str">
        <f t="shared" si="21"/>
        <v/>
      </c>
      <c r="C8044" s="59" t="str">
        <f t="shared" si="22"/>
        <v/>
      </c>
      <c r="D8044" s="45" t="str">
        <f t="shared" si="23"/>
        <v/>
      </c>
      <c r="E8044" s="45" t="str">
        <f t="shared" si="24"/>
        <v/>
      </c>
      <c r="F8044" s="59" t="str">
        <f t="shared" si="25"/>
        <v/>
      </c>
      <c r="G8044" s="59" t="str">
        <f t="shared" si="26"/>
        <v/>
      </c>
      <c r="H8044" s="59" t="str">
        <f t="shared" si="27"/>
        <v>28C02410</v>
      </c>
      <c r="I8044" s="59" t="str">
        <f>IF(OR($A8044="",$C8044="",$D8044="",$E8044="",$H8044=""),"",SUMIFS(DATA_GOC!$H:$H,DATA_GOC!$A:$A,"BOM",DATA_GOC!$D:$D,$H8044,DATA_GOC!$E:$E,$C8044,DATA_GOC!$F:$F,"Xuất nội bộ từ téc",DATA_GOC!$B:$B,"&gt;="&amp;$D8044,DATA_GOC!$B:$B,"&lt;="&amp;$E8044))</f>
        <v/>
      </c>
      <c r="J8044" s="59">
        <f t="shared" si="28"/>
        <v>0</v>
      </c>
      <c r="K8044" s="59">
        <f t="shared" si="29"/>
        <v>0</v>
      </c>
      <c r="L8044" s="59">
        <f t="shared" si="30"/>
        <v>0</v>
      </c>
      <c r="M8044" s="59">
        <f t="shared" si="31"/>
        <v>0</v>
      </c>
    </row>
    <row r="8045" ht="15.0" hidden="1" customHeight="1">
      <c r="A8045" s="59">
        <f t="shared" si="20"/>
        <v>131</v>
      </c>
      <c r="B8045" s="59" t="str">
        <f t="shared" si="21"/>
        <v/>
      </c>
      <c r="C8045" s="59" t="str">
        <f t="shared" si="22"/>
        <v/>
      </c>
      <c r="D8045" s="45" t="str">
        <f t="shared" si="23"/>
        <v/>
      </c>
      <c r="E8045" s="45" t="str">
        <f t="shared" si="24"/>
        <v/>
      </c>
      <c r="F8045" s="59" t="str">
        <f t="shared" si="25"/>
        <v/>
      </c>
      <c r="G8045" s="59" t="str">
        <f t="shared" si="26"/>
        <v/>
      </c>
      <c r="H8045" s="59" t="str">
        <f t="shared" si="27"/>
        <v>28C02545</v>
      </c>
      <c r="I8045" s="59" t="str">
        <f>IF(OR($A8045="",$C8045="",$D8045="",$E8045="",$H8045=""),"",SUMIFS(DATA_GOC!$H:$H,DATA_GOC!$A:$A,"BOM",DATA_GOC!$D:$D,$H8045,DATA_GOC!$E:$E,$C8045,DATA_GOC!$F:$F,"Xuất nội bộ từ téc",DATA_GOC!$B:$B,"&gt;="&amp;$D8045,DATA_GOC!$B:$B,"&lt;="&amp;$E8045))</f>
        <v/>
      </c>
      <c r="J8045" s="59">
        <f t="shared" si="28"/>
        <v>0</v>
      </c>
      <c r="K8045" s="59">
        <f t="shared" si="29"/>
        <v>0</v>
      </c>
      <c r="L8045" s="59">
        <f t="shared" si="30"/>
        <v>0</v>
      </c>
      <c r="M8045" s="59">
        <f t="shared" si="31"/>
        <v>0</v>
      </c>
    </row>
    <row r="8046" ht="15.0" hidden="1" customHeight="1">
      <c r="A8046" s="59">
        <f t="shared" si="20"/>
        <v>131</v>
      </c>
      <c r="B8046" s="59" t="str">
        <f t="shared" si="21"/>
        <v/>
      </c>
      <c r="C8046" s="59" t="str">
        <f t="shared" si="22"/>
        <v/>
      </c>
      <c r="D8046" s="45" t="str">
        <f t="shared" si="23"/>
        <v/>
      </c>
      <c r="E8046" s="45" t="str">
        <f t="shared" si="24"/>
        <v/>
      </c>
      <c r="F8046" s="59" t="str">
        <f t="shared" si="25"/>
        <v/>
      </c>
      <c r="G8046" s="59" t="str">
        <f t="shared" si="26"/>
        <v/>
      </c>
      <c r="H8046" s="59" t="str">
        <f t="shared" si="27"/>
        <v>28C02574</v>
      </c>
      <c r="I8046" s="59" t="str">
        <f>IF(OR($A8046="",$C8046="",$D8046="",$E8046="",$H8046=""),"",SUMIFS(DATA_GOC!$H:$H,DATA_GOC!$A:$A,"BOM",DATA_GOC!$D:$D,$H8046,DATA_GOC!$E:$E,$C8046,DATA_GOC!$F:$F,"Xuất nội bộ từ téc",DATA_GOC!$B:$B,"&gt;="&amp;$D8046,DATA_GOC!$B:$B,"&lt;="&amp;$E8046))</f>
        <v/>
      </c>
      <c r="J8046" s="59">
        <f t="shared" si="28"/>
        <v>0</v>
      </c>
      <c r="K8046" s="59">
        <f t="shared" si="29"/>
        <v>0</v>
      </c>
      <c r="L8046" s="59">
        <f t="shared" si="30"/>
        <v>0</v>
      </c>
      <c r="M8046" s="59">
        <f t="shared" si="31"/>
        <v>0</v>
      </c>
    </row>
    <row r="8047" ht="15.0" hidden="1" customHeight="1">
      <c r="A8047" s="59">
        <f t="shared" si="20"/>
        <v>131</v>
      </c>
      <c r="B8047" s="59" t="str">
        <f t="shared" si="21"/>
        <v/>
      </c>
      <c r="C8047" s="59" t="str">
        <f t="shared" si="22"/>
        <v/>
      </c>
      <c r="D8047" s="45" t="str">
        <f t="shared" si="23"/>
        <v/>
      </c>
      <c r="E8047" s="45" t="str">
        <f t="shared" si="24"/>
        <v/>
      </c>
      <c r="F8047" s="59" t="str">
        <f t="shared" si="25"/>
        <v/>
      </c>
      <c r="G8047" s="59" t="str">
        <f t="shared" si="26"/>
        <v/>
      </c>
      <c r="H8047" s="59" t="str">
        <f t="shared" si="27"/>
        <v>28C02770</v>
      </c>
      <c r="I8047" s="59" t="str">
        <f>IF(OR($A8047="",$C8047="",$D8047="",$E8047="",$H8047=""),"",SUMIFS(DATA_GOC!$H:$H,DATA_GOC!$A:$A,"BOM",DATA_GOC!$D:$D,$H8047,DATA_GOC!$E:$E,$C8047,DATA_GOC!$F:$F,"Xuất nội bộ từ téc",DATA_GOC!$B:$B,"&gt;="&amp;$D8047,DATA_GOC!$B:$B,"&lt;="&amp;$E8047))</f>
        <v/>
      </c>
      <c r="J8047" s="59">
        <f t="shared" si="28"/>
        <v>0</v>
      </c>
      <c r="K8047" s="59">
        <f t="shared" si="29"/>
        <v>0</v>
      </c>
      <c r="L8047" s="59">
        <f t="shared" si="30"/>
        <v>0</v>
      </c>
      <c r="M8047" s="59">
        <f t="shared" si="31"/>
        <v>0</v>
      </c>
    </row>
    <row r="8048" ht="15.0" hidden="1" customHeight="1">
      <c r="A8048" s="59">
        <f t="shared" si="20"/>
        <v>131</v>
      </c>
      <c r="B8048" s="59" t="str">
        <f t="shared" si="21"/>
        <v/>
      </c>
      <c r="C8048" s="59" t="str">
        <f t="shared" si="22"/>
        <v/>
      </c>
      <c r="D8048" s="45" t="str">
        <f t="shared" si="23"/>
        <v/>
      </c>
      <c r="E8048" s="45" t="str">
        <f t="shared" si="24"/>
        <v/>
      </c>
      <c r="F8048" s="59" t="str">
        <f t="shared" si="25"/>
        <v/>
      </c>
      <c r="G8048" s="59" t="str">
        <f t="shared" si="26"/>
        <v/>
      </c>
      <c r="H8048" s="59" t="str">
        <f t="shared" si="27"/>
        <v>28C02986</v>
      </c>
      <c r="I8048" s="59" t="str">
        <f>IF(OR($A8048="",$C8048="",$D8048="",$E8048="",$H8048=""),"",SUMIFS(DATA_GOC!$H:$H,DATA_GOC!$A:$A,"BOM",DATA_GOC!$D:$D,$H8048,DATA_GOC!$E:$E,$C8048,DATA_GOC!$F:$F,"Xuất nội bộ từ téc",DATA_GOC!$B:$B,"&gt;="&amp;$D8048,DATA_GOC!$B:$B,"&lt;="&amp;$E8048))</f>
        <v/>
      </c>
      <c r="J8048" s="59">
        <f t="shared" si="28"/>
        <v>0</v>
      </c>
      <c r="K8048" s="59">
        <f t="shared" si="29"/>
        <v>0</v>
      </c>
      <c r="L8048" s="59">
        <f t="shared" si="30"/>
        <v>0</v>
      </c>
      <c r="M8048" s="59">
        <f t="shared" si="31"/>
        <v>0</v>
      </c>
    </row>
    <row r="8049" ht="15.0" hidden="1" customHeight="1">
      <c r="A8049" s="59">
        <f t="shared" si="20"/>
        <v>131</v>
      </c>
      <c r="B8049" s="59" t="str">
        <f t="shared" si="21"/>
        <v/>
      </c>
      <c r="C8049" s="59" t="str">
        <f t="shared" si="22"/>
        <v/>
      </c>
      <c r="D8049" s="45" t="str">
        <f t="shared" si="23"/>
        <v/>
      </c>
      <c r="E8049" s="45" t="str">
        <f t="shared" si="24"/>
        <v/>
      </c>
      <c r="F8049" s="59" t="str">
        <f t="shared" si="25"/>
        <v/>
      </c>
      <c r="G8049" s="59" t="str">
        <f t="shared" si="26"/>
        <v/>
      </c>
      <c r="H8049" s="59" t="str">
        <f t="shared" si="27"/>
        <v>28C03261</v>
      </c>
      <c r="I8049" s="59" t="str">
        <f>IF(OR($A8049="",$C8049="",$D8049="",$E8049="",$H8049=""),"",SUMIFS(DATA_GOC!$H:$H,DATA_GOC!$A:$A,"BOM",DATA_GOC!$D:$D,$H8049,DATA_GOC!$E:$E,$C8049,DATA_GOC!$F:$F,"Xuất nội bộ từ téc",DATA_GOC!$B:$B,"&gt;="&amp;$D8049,DATA_GOC!$B:$B,"&lt;="&amp;$E8049))</f>
        <v/>
      </c>
      <c r="J8049" s="59">
        <f t="shared" si="28"/>
        <v>0</v>
      </c>
      <c r="K8049" s="59">
        <f t="shared" si="29"/>
        <v>0</v>
      </c>
      <c r="L8049" s="59">
        <f t="shared" si="30"/>
        <v>0</v>
      </c>
      <c r="M8049" s="59">
        <f t="shared" si="31"/>
        <v>0</v>
      </c>
    </row>
    <row r="8050" ht="15.0" hidden="1" customHeight="1">
      <c r="A8050" s="59">
        <f t="shared" si="20"/>
        <v>131</v>
      </c>
      <c r="B8050" s="59" t="str">
        <f t="shared" si="21"/>
        <v/>
      </c>
      <c r="C8050" s="59" t="str">
        <f t="shared" si="22"/>
        <v/>
      </c>
      <c r="D8050" s="45" t="str">
        <f t="shared" si="23"/>
        <v/>
      </c>
      <c r="E8050" s="45" t="str">
        <f t="shared" si="24"/>
        <v/>
      </c>
      <c r="F8050" s="59" t="str">
        <f t="shared" si="25"/>
        <v/>
      </c>
      <c r="G8050" s="59" t="str">
        <f t="shared" si="26"/>
        <v/>
      </c>
      <c r="H8050" s="59" t="str">
        <f t="shared" si="27"/>
        <v>28C03323</v>
      </c>
      <c r="I8050" s="59" t="str">
        <f>IF(OR($A8050="",$C8050="",$D8050="",$E8050="",$H8050=""),"",SUMIFS(DATA_GOC!$H:$H,DATA_GOC!$A:$A,"BOM",DATA_GOC!$D:$D,$H8050,DATA_GOC!$E:$E,$C8050,DATA_GOC!$F:$F,"Xuất nội bộ từ téc",DATA_GOC!$B:$B,"&gt;="&amp;$D8050,DATA_GOC!$B:$B,"&lt;="&amp;$E8050))</f>
        <v/>
      </c>
      <c r="J8050" s="59">
        <f t="shared" si="28"/>
        <v>0</v>
      </c>
      <c r="K8050" s="59">
        <f t="shared" si="29"/>
        <v>0</v>
      </c>
      <c r="L8050" s="59">
        <f t="shared" si="30"/>
        <v>0</v>
      </c>
      <c r="M8050" s="59">
        <f t="shared" si="31"/>
        <v>0</v>
      </c>
    </row>
    <row r="8051" ht="15.0" hidden="1" customHeight="1">
      <c r="A8051" s="59">
        <f t="shared" si="20"/>
        <v>131</v>
      </c>
      <c r="B8051" s="59" t="str">
        <f t="shared" si="21"/>
        <v/>
      </c>
      <c r="C8051" s="59" t="str">
        <f t="shared" si="22"/>
        <v/>
      </c>
      <c r="D8051" s="45" t="str">
        <f t="shared" si="23"/>
        <v/>
      </c>
      <c r="E8051" s="45" t="str">
        <f t="shared" si="24"/>
        <v/>
      </c>
      <c r="F8051" s="59" t="str">
        <f t="shared" si="25"/>
        <v/>
      </c>
      <c r="G8051" s="59" t="str">
        <f t="shared" si="26"/>
        <v/>
      </c>
      <c r="H8051" s="59" t="str">
        <f t="shared" si="27"/>
        <v>28C03385</v>
      </c>
      <c r="I8051" s="59" t="str">
        <f>IF(OR($A8051="",$C8051="",$D8051="",$E8051="",$H8051=""),"",SUMIFS(DATA_GOC!$H:$H,DATA_GOC!$A:$A,"BOM",DATA_GOC!$D:$D,$H8051,DATA_GOC!$E:$E,$C8051,DATA_GOC!$F:$F,"Xuất nội bộ từ téc",DATA_GOC!$B:$B,"&gt;="&amp;$D8051,DATA_GOC!$B:$B,"&lt;="&amp;$E8051))</f>
        <v/>
      </c>
      <c r="J8051" s="59">
        <f t="shared" si="28"/>
        <v>0</v>
      </c>
      <c r="K8051" s="59">
        <f t="shared" si="29"/>
        <v>0</v>
      </c>
      <c r="L8051" s="59">
        <f t="shared" si="30"/>
        <v>0</v>
      </c>
      <c r="M8051" s="59">
        <f t="shared" si="31"/>
        <v>0</v>
      </c>
    </row>
    <row r="8052" ht="15.0" hidden="1" customHeight="1">
      <c r="A8052" s="59">
        <f t="shared" si="20"/>
        <v>131</v>
      </c>
      <c r="B8052" s="59" t="str">
        <f t="shared" si="21"/>
        <v/>
      </c>
      <c r="C8052" s="59" t="str">
        <f t="shared" si="22"/>
        <v/>
      </c>
      <c r="D8052" s="45" t="str">
        <f t="shared" si="23"/>
        <v/>
      </c>
      <c r="E8052" s="45" t="str">
        <f t="shared" si="24"/>
        <v/>
      </c>
      <c r="F8052" s="59" t="str">
        <f t="shared" si="25"/>
        <v/>
      </c>
      <c r="G8052" s="59" t="str">
        <f t="shared" si="26"/>
        <v/>
      </c>
      <c r="H8052" s="59" t="str">
        <f t="shared" si="27"/>
        <v>28C03652</v>
      </c>
      <c r="I8052" s="59" t="str">
        <f>IF(OR($A8052="",$C8052="",$D8052="",$E8052="",$H8052=""),"",SUMIFS(DATA_GOC!$H:$H,DATA_GOC!$A:$A,"BOM",DATA_GOC!$D:$D,$H8052,DATA_GOC!$E:$E,$C8052,DATA_GOC!$F:$F,"Xuất nội bộ từ téc",DATA_GOC!$B:$B,"&gt;="&amp;$D8052,DATA_GOC!$B:$B,"&lt;="&amp;$E8052))</f>
        <v/>
      </c>
      <c r="J8052" s="59">
        <f t="shared" si="28"/>
        <v>0</v>
      </c>
      <c r="K8052" s="59">
        <f t="shared" si="29"/>
        <v>0</v>
      </c>
      <c r="L8052" s="59">
        <f t="shared" si="30"/>
        <v>0</v>
      </c>
      <c r="M8052" s="59">
        <f t="shared" si="31"/>
        <v>0</v>
      </c>
    </row>
    <row r="8053" ht="15.0" hidden="1" customHeight="1">
      <c r="A8053" s="59">
        <f t="shared" si="20"/>
        <v>131</v>
      </c>
      <c r="B8053" s="59" t="str">
        <f t="shared" si="21"/>
        <v/>
      </c>
      <c r="C8053" s="59" t="str">
        <f t="shared" si="22"/>
        <v/>
      </c>
      <c r="D8053" s="45" t="str">
        <f t="shared" si="23"/>
        <v/>
      </c>
      <c r="E8053" s="45" t="str">
        <f t="shared" si="24"/>
        <v/>
      </c>
      <c r="F8053" s="59" t="str">
        <f t="shared" si="25"/>
        <v/>
      </c>
      <c r="G8053" s="59" t="str">
        <f t="shared" si="26"/>
        <v/>
      </c>
      <c r="H8053" s="59" t="str">
        <f t="shared" si="27"/>
        <v>28C03695</v>
      </c>
      <c r="I8053" s="59" t="str">
        <f>IF(OR($A8053="",$C8053="",$D8053="",$E8053="",$H8053=""),"",SUMIFS(DATA_GOC!$H:$H,DATA_GOC!$A:$A,"BOM",DATA_GOC!$D:$D,$H8053,DATA_GOC!$E:$E,$C8053,DATA_GOC!$F:$F,"Xuất nội bộ từ téc",DATA_GOC!$B:$B,"&gt;="&amp;$D8053,DATA_GOC!$B:$B,"&lt;="&amp;$E8053))</f>
        <v/>
      </c>
      <c r="J8053" s="59">
        <f t="shared" si="28"/>
        <v>0</v>
      </c>
      <c r="K8053" s="59">
        <f t="shared" si="29"/>
        <v>0</v>
      </c>
      <c r="L8053" s="59">
        <f t="shared" si="30"/>
        <v>0</v>
      </c>
      <c r="M8053" s="59">
        <f t="shared" si="31"/>
        <v>0</v>
      </c>
    </row>
    <row r="8054" ht="15.0" hidden="1" customHeight="1">
      <c r="A8054" s="59">
        <f t="shared" si="20"/>
        <v>131</v>
      </c>
      <c r="B8054" s="59" t="str">
        <f t="shared" si="21"/>
        <v/>
      </c>
      <c r="C8054" s="59" t="str">
        <f t="shared" si="22"/>
        <v/>
      </c>
      <c r="D8054" s="45" t="str">
        <f t="shared" si="23"/>
        <v/>
      </c>
      <c r="E8054" s="45" t="str">
        <f t="shared" si="24"/>
        <v/>
      </c>
      <c r="F8054" s="59" t="str">
        <f t="shared" si="25"/>
        <v/>
      </c>
      <c r="G8054" s="59" t="str">
        <f t="shared" si="26"/>
        <v/>
      </c>
      <c r="H8054" s="59" t="str">
        <f t="shared" si="27"/>
        <v>28C03927</v>
      </c>
      <c r="I8054" s="59" t="str">
        <f>IF(OR($A8054="",$C8054="",$D8054="",$E8054="",$H8054=""),"",SUMIFS(DATA_GOC!$H:$H,DATA_GOC!$A:$A,"BOM",DATA_GOC!$D:$D,$H8054,DATA_GOC!$E:$E,$C8054,DATA_GOC!$F:$F,"Xuất nội bộ từ téc",DATA_GOC!$B:$B,"&gt;="&amp;$D8054,DATA_GOC!$B:$B,"&lt;="&amp;$E8054))</f>
        <v/>
      </c>
      <c r="J8054" s="59">
        <f t="shared" si="28"/>
        <v>0</v>
      </c>
      <c r="K8054" s="59">
        <f t="shared" si="29"/>
        <v>0</v>
      </c>
      <c r="L8054" s="59">
        <f t="shared" si="30"/>
        <v>0</v>
      </c>
      <c r="M8054" s="59">
        <f t="shared" si="31"/>
        <v>0</v>
      </c>
    </row>
    <row r="8055" ht="15.0" hidden="1" customHeight="1">
      <c r="A8055" s="59">
        <f t="shared" si="20"/>
        <v>131</v>
      </c>
      <c r="B8055" s="59" t="str">
        <f t="shared" si="21"/>
        <v/>
      </c>
      <c r="C8055" s="59" t="str">
        <f t="shared" si="22"/>
        <v/>
      </c>
      <c r="D8055" s="45" t="str">
        <f t="shared" si="23"/>
        <v/>
      </c>
      <c r="E8055" s="45" t="str">
        <f t="shared" si="24"/>
        <v/>
      </c>
      <c r="F8055" s="59" t="str">
        <f t="shared" si="25"/>
        <v/>
      </c>
      <c r="G8055" s="59" t="str">
        <f t="shared" si="26"/>
        <v/>
      </c>
      <c r="H8055" s="59" t="str">
        <f t="shared" si="27"/>
        <v>28C04509</v>
      </c>
      <c r="I8055" s="59" t="str">
        <f>IF(OR($A8055="",$C8055="",$D8055="",$E8055="",$H8055=""),"",SUMIFS(DATA_GOC!$H:$H,DATA_GOC!$A:$A,"BOM",DATA_GOC!$D:$D,$H8055,DATA_GOC!$E:$E,$C8055,DATA_GOC!$F:$F,"Xuất nội bộ từ téc",DATA_GOC!$B:$B,"&gt;="&amp;$D8055,DATA_GOC!$B:$B,"&lt;="&amp;$E8055))</f>
        <v/>
      </c>
      <c r="J8055" s="59">
        <f t="shared" si="28"/>
        <v>0</v>
      </c>
      <c r="K8055" s="59">
        <f t="shared" si="29"/>
        <v>0</v>
      </c>
      <c r="L8055" s="59">
        <f t="shared" si="30"/>
        <v>0</v>
      </c>
      <c r="M8055" s="59">
        <f t="shared" si="31"/>
        <v>0</v>
      </c>
    </row>
    <row r="8056" ht="15.0" hidden="1" customHeight="1">
      <c r="A8056" s="59">
        <f t="shared" si="20"/>
        <v>131</v>
      </c>
      <c r="B8056" s="59" t="str">
        <f t="shared" si="21"/>
        <v/>
      </c>
      <c r="C8056" s="59" t="str">
        <f t="shared" si="22"/>
        <v/>
      </c>
      <c r="D8056" s="45" t="str">
        <f t="shared" si="23"/>
        <v/>
      </c>
      <c r="E8056" s="45" t="str">
        <f t="shared" si="24"/>
        <v/>
      </c>
      <c r="F8056" s="59" t="str">
        <f t="shared" si="25"/>
        <v/>
      </c>
      <c r="G8056" s="59" t="str">
        <f t="shared" si="26"/>
        <v/>
      </c>
      <c r="H8056" s="59" t="str">
        <f t="shared" si="27"/>
        <v>28C04536</v>
      </c>
      <c r="I8056" s="59" t="str">
        <f>IF(OR($A8056="",$C8056="",$D8056="",$E8056="",$H8056=""),"",SUMIFS(DATA_GOC!$H:$H,DATA_GOC!$A:$A,"BOM",DATA_GOC!$D:$D,$H8056,DATA_GOC!$E:$E,$C8056,DATA_GOC!$F:$F,"Xuất nội bộ từ téc",DATA_GOC!$B:$B,"&gt;="&amp;$D8056,DATA_GOC!$B:$B,"&lt;="&amp;$E8056))</f>
        <v/>
      </c>
      <c r="J8056" s="59">
        <f t="shared" si="28"/>
        <v>0</v>
      </c>
      <c r="K8056" s="59">
        <f t="shared" si="29"/>
        <v>0</v>
      </c>
      <c r="L8056" s="59">
        <f t="shared" si="30"/>
        <v>0</v>
      </c>
      <c r="M8056" s="59">
        <f t="shared" si="31"/>
        <v>0</v>
      </c>
    </row>
    <row r="8057" ht="15.0" hidden="1" customHeight="1">
      <c r="A8057" s="59">
        <f t="shared" si="20"/>
        <v>131</v>
      </c>
      <c r="B8057" s="59" t="str">
        <f t="shared" si="21"/>
        <v/>
      </c>
      <c r="C8057" s="59" t="str">
        <f t="shared" si="22"/>
        <v/>
      </c>
      <c r="D8057" s="45" t="str">
        <f t="shared" si="23"/>
        <v/>
      </c>
      <c r="E8057" s="45" t="str">
        <f t="shared" si="24"/>
        <v/>
      </c>
      <c r="F8057" s="59" t="str">
        <f t="shared" si="25"/>
        <v/>
      </c>
      <c r="G8057" s="59" t="str">
        <f t="shared" si="26"/>
        <v/>
      </c>
      <c r="H8057" s="59" t="str">
        <f t="shared" si="27"/>
        <v>28C04576</v>
      </c>
      <c r="I8057" s="59" t="str">
        <f>IF(OR($A8057="",$C8057="",$D8057="",$E8057="",$H8057=""),"",SUMIFS(DATA_GOC!$H:$H,DATA_GOC!$A:$A,"BOM",DATA_GOC!$D:$D,$H8057,DATA_GOC!$E:$E,$C8057,DATA_GOC!$F:$F,"Xuất nội bộ từ téc",DATA_GOC!$B:$B,"&gt;="&amp;$D8057,DATA_GOC!$B:$B,"&lt;="&amp;$E8057))</f>
        <v/>
      </c>
      <c r="J8057" s="59">
        <f t="shared" si="28"/>
        <v>0</v>
      </c>
      <c r="K8057" s="59">
        <f t="shared" si="29"/>
        <v>0</v>
      </c>
      <c r="L8057" s="59">
        <f t="shared" si="30"/>
        <v>0</v>
      </c>
      <c r="M8057" s="59">
        <f t="shared" si="31"/>
        <v>0</v>
      </c>
    </row>
    <row r="8058" ht="15.0" hidden="1" customHeight="1">
      <c r="A8058" s="59">
        <f t="shared" si="20"/>
        <v>131</v>
      </c>
      <c r="B8058" s="59" t="str">
        <f t="shared" si="21"/>
        <v/>
      </c>
      <c r="C8058" s="59" t="str">
        <f t="shared" si="22"/>
        <v/>
      </c>
      <c r="D8058" s="45" t="str">
        <f t="shared" si="23"/>
        <v/>
      </c>
      <c r="E8058" s="45" t="str">
        <f t="shared" si="24"/>
        <v/>
      </c>
      <c r="F8058" s="59" t="str">
        <f t="shared" si="25"/>
        <v/>
      </c>
      <c r="G8058" s="59" t="str">
        <f t="shared" si="26"/>
        <v/>
      </c>
      <c r="H8058" s="59" t="str">
        <f t="shared" si="27"/>
        <v>28C05090</v>
      </c>
      <c r="I8058" s="59" t="str">
        <f>IF(OR($A8058="",$C8058="",$D8058="",$E8058="",$H8058=""),"",SUMIFS(DATA_GOC!$H:$H,DATA_GOC!$A:$A,"BOM",DATA_GOC!$D:$D,$H8058,DATA_GOC!$E:$E,$C8058,DATA_GOC!$F:$F,"Xuất nội bộ từ téc",DATA_GOC!$B:$B,"&gt;="&amp;$D8058,DATA_GOC!$B:$B,"&lt;="&amp;$E8058))</f>
        <v/>
      </c>
      <c r="J8058" s="59">
        <f t="shared" si="28"/>
        <v>0</v>
      </c>
      <c r="K8058" s="59">
        <f t="shared" si="29"/>
        <v>0</v>
      </c>
      <c r="L8058" s="59">
        <f t="shared" si="30"/>
        <v>0</v>
      </c>
      <c r="M8058" s="59">
        <f t="shared" si="31"/>
        <v>0</v>
      </c>
    </row>
    <row r="8059" ht="15.0" hidden="1" customHeight="1">
      <c r="A8059" s="59">
        <f t="shared" si="20"/>
        <v>131</v>
      </c>
      <c r="B8059" s="59" t="str">
        <f t="shared" si="21"/>
        <v/>
      </c>
      <c r="C8059" s="59" t="str">
        <f t="shared" si="22"/>
        <v/>
      </c>
      <c r="D8059" s="45" t="str">
        <f t="shared" si="23"/>
        <v/>
      </c>
      <c r="E8059" s="45" t="str">
        <f t="shared" si="24"/>
        <v/>
      </c>
      <c r="F8059" s="59" t="str">
        <f t="shared" si="25"/>
        <v/>
      </c>
      <c r="G8059" s="59" t="str">
        <f t="shared" si="26"/>
        <v/>
      </c>
      <c r="H8059" s="59" t="str">
        <f t="shared" si="27"/>
        <v>28C05345</v>
      </c>
      <c r="I8059" s="59" t="str">
        <f>IF(OR($A8059="",$C8059="",$D8059="",$E8059="",$H8059=""),"",SUMIFS(DATA_GOC!$H:$H,DATA_GOC!$A:$A,"BOM",DATA_GOC!$D:$D,$H8059,DATA_GOC!$E:$E,$C8059,DATA_GOC!$F:$F,"Xuất nội bộ từ téc",DATA_GOC!$B:$B,"&gt;="&amp;$D8059,DATA_GOC!$B:$B,"&lt;="&amp;$E8059))</f>
        <v/>
      </c>
      <c r="J8059" s="59">
        <f t="shared" si="28"/>
        <v>0</v>
      </c>
      <c r="K8059" s="59">
        <f t="shared" si="29"/>
        <v>0</v>
      </c>
      <c r="L8059" s="59">
        <f t="shared" si="30"/>
        <v>0</v>
      </c>
      <c r="M8059" s="59">
        <f t="shared" si="31"/>
        <v>0</v>
      </c>
    </row>
    <row r="8060" ht="15.0" hidden="1" customHeight="1">
      <c r="A8060" s="59">
        <f t="shared" si="20"/>
        <v>131</v>
      </c>
      <c r="B8060" s="59" t="str">
        <f t="shared" si="21"/>
        <v/>
      </c>
      <c r="C8060" s="59" t="str">
        <f t="shared" si="22"/>
        <v/>
      </c>
      <c r="D8060" s="45" t="str">
        <f t="shared" si="23"/>
        <v/>
      </c>
      <c r="E8060" s="45" t="str">
        <f t="shared" si="24"/>
        <v/>
      </c>
      <c r="F8060" s="59" t="str">
        <f t="shared" si="25"/>
        <v/>
      </c>
      <c r="G8060" s="59" t="str">
        <f t="shared" si="26"/>
        <v/>
      </c>
      <c r="H8060" s="59" t="str">
        <f t="shared" si="27"/>
        <v>28C05661</v>
      </c>
      <c r="I8060" s="59" t="str">
        <f>IF(OR($A8060="",$C8060="",$D8060="",$E8060="",$H8060=""),"",SUMIFS(DATA_GOC!$H:$H,DATA_GOC!$A:$A,"BOM",DATA_GOC!$D:$D,$H8060,DATA_GOC!$E:$E,$C8060,DATA_GOC!$F:$F,"Xuất nội bộ từ téc",DATA_GOC!$B:$B,"&gt;="&amp;$D8060,DATA_GOC!$B:$B,"&lt;="&amp;$E8060))</f>
        <v/>
      </c>
      <c r="J8060" s="59">
        <f t="shared" si="28"/>
        <v>0</v>
      </c>
      <c r="K8060" s="59">
        <f t="shared" si="29"/>
        <v>0</v>
      </c>
      <c r="L8060" s="59">
        <f t="shared" si="30"/>
        <v>0</v>
      </c>
      <c r="M8060" s="59">
        <f t="shared" si="31"/>
        <v>0</v>
      </c>
    </row>
    <row r="8061" ht="15.0" hidden="1" customHeight="1">
      <c r="A8061" s="59">
        <f t="shared" si="20"/>
        <v>131</v>
      </c>
      <c r="B8061" s="59" t="str">
        <f t="shared" si="21"/>
        <v/>
      </c>
      <c r="C8061" s="59" t="str">
        <f t="shared" si="22"/>
        <v/>
      </c>
      <c r="D8061" s="45" t="str">
        <f t="shared" si="23"/>
        <v/>
      </c>
      <c r="E8061" s="45" t="str">
        <f t="shared" si="24"/>
        <v/>
      </c>
      <c r="F8061" s="59" t="str">
        <f t="shared" si="25"/>
        <v/>
      </c>
      <c r="G8061" s="59" t="str">
        <f t="shared" si="26"/>
        <v/>
      </c>
      <c r="H8061" s="59" t="str">
        <f t="shared" si="27"/>
        <v>28C05739</v>
      </c>
      <c r="I8061" s="59" t="str">
        <f>IF(OR($A8061="",$C8061="",$D8061="",$E8061="",$H8061=""),"",SUMIFS(DATA_GOC!$H:$H,DATA_GOC!$A:$A,"BOM",DATA_GOC!$D:$D,$H8061,DATA_GOC!$E:$E,$C8061,DATA_GOC!$F:$F,"Xuất nội bộ từ téc",DATA_GOC!$B:$B,"&gt;="&amp;$D8061,DATA_GOC!$B:$B,"&lt;="&amp;$E8061))</f>
        <v/>
      </c>
      <c r="J8061" s="59">
        <f t="shared" si="28"/>
        <v>0</v>
      </c>
      <c r="K8061" s="59">
        <f t="shared" si="29"/>
        <v>0</v>
      </c>
      <c r="L8061" s="59">
        <f t="shared" si="30"/>
        <v>0</v>
      </c>
      <c r="M8061" s="59">
        <f t="shared" si="31"/>
        <v>0</v>
      </c>
    </row>
    <row r="8062" ht="15.0" hidden="1" customHeight="1">
      <c r="A8062" s="59">
        <f t="shared" si="20"/>
        <v>131</v>
      </c>
      <c r="B8062" s="59" t="str">
        <f t="shared" si="21"/>
        <v/>
      </c>
      <c r="C8062" s="59" t="str">
        <f t="shared" si="22"/>
        <v/>
      </c>
      <c r="D8062" s="45" t="str">
        <f t="shared" si="23"/>
        <v/>
      </c>
      <c r="E8062" s="45" t="str">
        <f t="shared" si="24"/>
        <v/>
      </c>
      <c r="F8062" s="59" t="str">
        <f t="shared" si="25"/>
        <v/>
      </c>
      <c r="G8062" s="59" t="str">
        <f t="shared" si="26"/>
        <v/>
      </c>
      <c r="H8062" s="59" t="str">
        <f t="shared" si="27"/>
        <v>28C06369</v>
      </c>
      <c r="I8062" s="59" t="str">
        <f>IF(OR($A8062="",$C8062="",$D8062="",$E8062="",$H8062=""),"",SUMIFS(DATA_GOC!$H:$H,DATA_GOC!$A:$A,"BOM",DATA_GOC!$D:$D,$H8062,DATA_GOC!$E:$E,$C8062,DATA_GOC!$F:$F,"Xuất nội bộ từ téc",DATA_GOC!$B:$B,"&gt;="&amp;$D8062,DATA_GOC!$B:$B,"&lt;="&amp;$E8062))</f>
        <v/>
      </c>
      <c r="J8062" s="59">
        <f t="shared" si="28"/>
        <v>0</v>
      </c>
      <c r="K8062" s="59">
        <f t="shared" si="29"/>
        <v>0</v>
      </c>
      <c r="L8062" s="59">
        <f t="shared" si="30"/>
        <v>0</v>
      </c>
      <c r="M8062" s="59">
        <f t="shared" si="31"/>
        <v>0</v>
      </c>
    </row>
    <row r="8063" ht="15.0" hidden="1" customHeight="1">
      <c r="A8063" s="59">
        <f t="shared" si="20"/>
        <v>131</v>
      </c>
      <c r="B8063" s="59" t="str">
        <f t="shared" si="21"/>
        <v/>
      </c>
      <c r="C8063" s="59" t="str">
        <f t="shared" si="22"/>
        <v/>
      </c>
      <c r="D8063" s="45" t="str">
        <f t="shared" si="23"/>
        <v/>
      </c>
      <c r="E8063" s="45" t="str">
        <f t="shared" si="24"/>
        <v/>
      </c>
      <c r="F8063" s="59" t="str">
        <f t="shared" si="25"/>
        <v/>
      </c>
      <c r="G8063" s="59" t="str">
        <f t="shared" si="26"/>
        <v/>
      </c>
      <c r="H8063" s="59" t="str">
        <f t="shared" si="27"/>
        <v>28C06447</v>
      </c>
      <c r="I8063" s="59" t="str">
        <f>IF(OR($A8063="",$C8063="",$D8063="",$E8063="",$H8063=""),"",SUMIFS(DATA_GOC!$H:$H,DATA_GOC!$A:$A,"BOM",DATA_GOC!$D:$D,$H8063,DATA_GOC!$E:$E,$C8063,DATA_GOC!$F:$F,"Xuất nội bộ từ téc",DATA_GOC!$B:$B,"&gt;="&amp;$D8063,DATA_GOC!$B:$B,"&lt;="&amp;$E8063))</f>
        <v/>
      </c>
      <c r="J8063" s="59">
        <f t="shared" si="28"/>
        <v>0</v>
      </c>
      <c r="K8063" s="59">
        <f t="shared" si="29"/>
        <v>0</v>
      </c>
      <c r="L8063" s="59">
        <f t="shared" si="30"/>
        <v>0</v>
      </c>
      <c r="M8063" s="59">
        <f t="shared" si="31"/>
        <v>0</v>
      </c>
    </row>
    <row r="8064" ht="15.0" hidden="1" customHeight="1">
      <c r="A8064" s="59">
        <f t="shared" si="20"/>
        <v>131</v>
      </c>
      <c r="B8064" s="59" t="str">
        <f t="shared" si="21"/>
        <v/>
      </c>
      <c r="C8064" s="59" t="str">
        <f t="shared" si="22"/>
        <v/>
      </c>
      <c r="D8064" s="45" t="str">
        <f t="shared" si="23"/>
        <v/>
      </c>
      <c r="E8064" s="45" t="str">
        <f t="shared" si="24"/>
        <v/>
      </c>
      <c r="F8064" s="59" t="str">
        <f t="shared" si="25"/>
        <v/>
      </c>
      <c r="G8064" s="59" t="str">
        <f t="shared" si="26"/>
        <v/>
      </c>
      <c r="H8064" s="59" t="str">
        <f t="shared" si="27"/>
        <v>28H00003</v>
      </c>
      <c r="I8064" s="59" t="str">
        <f>IF(OR($A8064="",$C8064="",$D8064="",$E8064="",$H8064=""),"",SUMIFS(DATA_GOC!$H:$H,DATA_GOC!$A:$A,"BOM",DATA_GOC!$D:$D,$H8064,DATA_GOC!$E:$E,$C8064,DATA_GOC!$F:$F,"Xuất nội bộ từ téc",DATA_GOC!$B:$B,"&gt;="&amp;$D8064,DATA_GOC!$B:$B,"&lt;="&amp;$E8064))</f>
        <v/>
      </c>
      <c r="J8064" s="59">
        <f t="shared" si="28"/>
        <v>0</v>
      </c>
      <c r="K8064" s="59">
        <f t="shared" si="29"/>
        <v>0</v>
      </c>
      <c r="L8064" s="59">
        <f t="shared" si="30"/>
        <v>0</v>
      </c>
      <c r="M8064" s="59">
        <f t="shared" si="31"/>
        <v>0</v>
      </c>
    </row>
    <row r="8065" ht="15.0" hidden="1" customHeight="1">
      <c r="A8065" s="59">
        <f t="shared" si="20"/>
        <v>131</v>
      </c>
      <c r="B8065" s="59" t="str">
        <f t="shared" si="21"/>
        <v/>
      </c>
      <c r="C8065" s="59" t="str">
        <f t="shared" si="22"/>
        <v/>
      </c>
      <c r="D8065" s="45" t="str">
        <f t="shared" si="23"/>
        <v/>
      </c>
      <c r="E8065" s="45" t="str">
        <f t="shared" si="24"/>
        <v/>
      </c>
      <c r="F8065" s="59" t="str">
        <f t="shared" si="25"/>
        <v/>
      </c>
      <c r="G8065" s="59" t="str">
        <f t="shared" si="26"/>
        <v/>
      </c>
      <c r="H8065" s="59" t="str">
        <f t="shared" si="27"/>
        <v>28H00061</v>
      </c>
      <c r="I8065" s="59" t="str">
        <f>IF(OR($A8065="",$C8065="",$D8065="",$E8065="",$H8065=""),"",SUMIFS(DATA_GOC!$H:$H,DATA_GOC!$A:$A,"BOM",DATA_GOC!$D:$D,$H8065,DATA_GOC!$E:$E,$C8065,DATA_GOC!$F:$F,"Xuất nội bộ từ téc",DATA_GOC!$B:$B,"&gt;="&amp;$D8065,DATA_GOC!$B:$B,"&lt;="&amp;$E8065))</f>
        <v/>
      </c>
      <c r="J8065" s="59">
        <f t="shared" si="28"/>
        <v>0</v>
      </c>
      <c r="K8065" s="59">
        <f t="shared" si="29"/>
        <v>0</v>
      </c>
      <c r="L8065" s="59">
        <f t="shared" si="30"/>
        <v>0</v>
      </c>
      <c r="M8065" s="59">
        <f t="shared" si="31"/>
        <v>0</v>
      </c>
    </row>
    <row r="8066" ht="15.0" hidden="1" customHeight="1">
      <c r="A8066" s="59">
        <f t="shared" si="20"/>
        <v>131</v>
      </c>
      <c r="B8066" s="59" t="str">
        <f t="shared" si="21"/>
        <v/>
      </c>
      <c r="C8066" s="59" t="str">
        <f t="shared" si="22"/>
        <v/>
      </c>
      <c r="D8066" s="45" t="str">
        <f t="shared" si="23"/>
        <v/>
      </c>
      <c r="E8066" s="45" t="str">
        <f t="shared" si="24"/>
        <v/>
      </c>
      <c r="F8066" s="59" t="str">
        <f t="shared" si="25"/>
        <v/>
      </c>
      <c r="G8066" s="59" t="str">
        <f t="shared" si="26"/>
        <v/>
      </c>
      <c r="H8066" s="59" t="str">
        <f t="shared" si="27"/>
        <v>28H00354</v>
      </c>
      <c r="I8066" s="59" t="str">
        <f>IF(OR($A8066="",$C8066="",$D8066="",$E8066="",$H8066=""),"",SUMIFS(DATA_GOC!$H:$H,DATA_GOC!$A:$A,"BOM",DATA_GOC!$D:$D,$H8066,DATA_GOC!$E:$E,$C8066,DATA_GOC!$F:$F,"Xuất nội bộ từ téc",DATA_GOC!$B:$B,"&gt;="&amp;$D8066,DATA_GOC!$B:$B,"&lt;="&amp;$E8066))</f>
        <v/>
      </c>
      <c r="J8066" s="59">
        <f t="shared" si="28"/>
        <v>0</v>
      </c>
      <c r="K8066" s="59">
        <f t="shared" si="29"/>
        <v>0</v>
      </c>
      <c r="L8066" s="59">
        <f t="shared" si="30"/>
        <v>0</v>
      </c>
      <c r="M8066" s="59">
        <f t="shared" si="31"/>
        <v>0</v>
      </c>
    </row>
    <row r="8067" ht="15.0" hidden="1" customHeight="1">
      <c r="A8067" s="59">
        <f t="shared" si="20"/>
        <v>131</v>
      </c>
      <c r="B8067" s="59" t="str">
        <f t="shared" si="21"/>
        <v/>
      </c>
      <c r="C8067" s="59" t="str">
        <f t="shared" si="22"/>
        <v/>
      </c>
      <c r="D8067" s="45" t="str">
        <f t="shared" si="23"/>
        <v/>
      </c>
      <c r="E8067" s="45" t="str">
        <f t="shared" si="24"/>
        <v/>
      </c>
      <c r="F8067" s="59" t="str">
        <f t="shared" si="25"/>
        <v/>
      </c>
      <c r="G8067" s="59" t="str">
        <f t="shared" si="26"/>
        <v/>
      </c>
      <c r="H8067" s="59" t="str">
        <f t="shared" si="27"/>
        <v>28H00603</v>
      </c>
      <c r="I8067" s="59" t="str">
        <f>IF(OR($A8067="",$C8067="",$D8067="",$E8067="",$H8067=""),"",SUMIFS(DATA_GOC!$H:$H,DATA_GOC!$A:$A,"BOM",DATA_GOC!$D:$D,$H8067,DATA_GOC!$E:$E,$C8067,DATA_GOC!$F:$F,"Xuất nội bộ từ téc",DATA_GOC!$B:$B,"&gt;="&amp;$D8067,DATA_GOC!$B:$B,"&lt;="&amp;$E8067))</f>
        <v/>
      </c>
      <c r="J8067" s="59">
        <f t="shared" si="28"/>
        <v>0</v>
      </c>
      <c r="K8067" s="59">
        <f t="shared" si="29"/>
        <v>0</v>
      </c>
      <c r="L8067" s="59">
        <f t="shared" si="30"/>
        <v>0</v>
      </c>
      <c r="M8067" s="59">
        <f t="shared" si="31"/>
        <v>0</v>
      </c>
    </row>
    <row r="8068" ht="15.0" hidden="1" customHeight="1">
      <c r="A8068" s="59">
        <f t="shared" si="20"/>
        <v>131</v>
      </c>
      <c r="B8068" s="59" t="str">
        <f t="shared" si="21"/>
        <v/>
      </c>
      <c r="C8068" s="59" t="str">
        <f t="shared" si="22"/>
        <v/>
      </c>
      <c r="D8068" s="45" t="str">
        <f t="shared" si="23"/>
        <v/>
      </c>
      <c r="E8068" s="45" t="str">
        <f t="shared" si="24"/>
        <v/>
      </c>
      <c r="F8068" s="59" t="str">
        <f t="shared" si="25"/>
        <v/>
      </c>
      <c r="G8068" s="59" t="str">
        <f t="shared" si="26"/>
        <v/>
      </c>
      <c r="H8068" s="59" t="str">
        <f t="shared" si="27"/>
        <v>28H00609</v>
      </c>
      <c r="I8068" s="59" t="str">
        <f>IF(OR($A8068="",$C8068="",$D8068="",$E8068="",$H8068=""),"",SUMIFS(DATA_GOC!$H:$H,DATA_GOC!$A:$A,"BOM",DATA_GOC!$D:$D,$H8068,DATA_GOC!$E:$E,$C8068,DATA_GOC!$F:$F,"Xuất nội bộ từ téc",DATA_GOC!$B:$B,"&gt;="&amp;$D8068,DATA_GOC!$B:$B,"&lt;="&amp;$E8068))</f>
        <v/>
      </c>
      <c r="J8068" s="59">
        <f t="shared" si="28"/>
        <v>0</v>
      </c>
      <c r="K8068" s="59">
        <f t="shared" si="29"/>
        <v>0</v>
      </c>
      <c r="L8068" s="59">
        <f t="shared" si="30"/>
        <v>0</v>
      </c>
      <c r="M8068" s="59">
        <f t="shared" si="31"/>
        <v>0</v>
      </c>
    </row>
    <row r="8069" ht="15.0" hidden="1" customHeight="1">
      <c r="A8069" s="59">
        <f t="shared" si="20"/>
        <v>131</v>
      </c>
      <c r="B8069" s="59" t="str">
        <f t="shared" si="21"/>
        <v/>
      </c>
      <c r="C8069" s="59" t="str">
        <f t="shared" si="22"/>
        <v/>
      </c>
      <c r="D8069" s="45" t="str">
        <f t="shared" si="23"/>
        <v/>
      </c>
      <c r="E8069" s="45" t="str">
        <f t="shared" si="24"/>
        <v/>
      </c>
      <c r="F8069" s="59" t="str">
        <f t="shared" si="25"/>
        <v/>
      </c>
      <c r="G8069" s="59" t="str">
        <f t="shared" si="26"/>
        <v/>
      </c>
      <c r="H8069" s="59" t="str">
        <f t="shared" si="27"/>
        <v>28H00669</v>
      </c>
      <c r="I8069" s="59" t="str">
        <f>IF(OR($A8069="",$C8069="",$D8069="",$E8069="",$H8069=""),"",SUMIFS(DATA_GOC!$H:$H,DATA_GOC!$A:$A,"BOM",DATA_GOC!$D:$D,$H8069,DATA_GOC!$E:$E,$C8069,DATA_GOC!$F:$F,"Xuất nội bộ từ téc",DATA_GOC!$B:$B,"&gt;="&amp;$D8069,DATA_GOC!$B:$B,"&lt;="&amp;$E8069))</f>
        <v/>
      </c>
      <c r="J8069" s="59">
        <f t="shared" si="28"/>
        <v>0</v>
      </c>
      <c r="K8069" s="59">
        <f t="shared" si="29"/>
        <v>0</v>
      </c>
      <c r="L8069" s="59">
        <f t="shared" si="30"/>
        <v>0</v>
      </c>
      <c r="M8069" s="59">
        <f t="shared" si="31"/>
        <v>0</v>
      </c>
    </row>
    <row r="8070" ht="15.0" hidden="1" customHeight="1">
      <c r="A8070" s="59">
        <f t="shared" si="20"/>
        <v>131</v>
      </c>
      <c r="B8070" s="59" t="str">
        <f t="shared" si="21"/>
        <v/>
      </c>
      <c r="C8070" s="59" t="str">
        <f t="shared" si="22"/>
        <v/>
      </c>
      <c r="D8070" s="45" t="str">
        <f t="shared" si="23"/>
        <v/>
      </c>
      <c r="E8070" s="45" t="str">
        <f t="shared" si="24"/>
        <v/>
      </c>
      <c r="F8070" s="59" t="str">
        <f t="shared" si="25"/>
        <v/>
      </c>
      <c r="G8070" s="59" t="str">
        <f t="shared" si="26"/>
        <v/>
      </c>
      <c r="H8070" s="59" t="str">
        <f t="shared" si="27"/>
        <v>28H00680</v>
      </c>
      <c r="I8070" s="59" t="str">
        <f>IF(OR($A8070="",$C8070="",$D8070="",$E8070="",$H8070=""),"",SUMIFS(DATA_GOC!$H:$H,DATA_GOC!$A:$A,"BOM",DATA_GOC!$D:$D,$H8070,DATA_GOC!$E:$E,$C8070,DATA_GOC!$F:$F,"Xuất nội bộ từ téc",DATA_GOC!$B:$B,"&gt;="&amp;$D8070,DATA_GOC!$B:$B,"&lt;="&amp;$E8070))</f>
        <v/>
      </c>
      <c r="J8070" s="59">
        <f t="shared" si="28"/>
        <v>0</v>
      </c>
      <c r="K8070" s="59">
        <f t="shared" si="29"/>
        <v>0</v>
      </c>
      <c r="L8070" s="59">
        <f t="shared" si="30"/>
        <v>0</v>
      </c>
      <c r="M8070" s="59">
        <f t="shared" si="31"/>
        <v>0</v>
      </c>
    </row>
    <row r="8071" ht="15.0" hidden="1" customHeight="1">
      <c r="A8071" s="59">
        <f t="shared" si="20"/>
        <v>131</v>
      </c>
      <c r="B8071" s="59" t="str">
        <f t="shared" si="21"/>
        <v/>
      </c>
      <c r="C8071" s="59" t="str">
        <f t="shared" si="22"/>
        <v/>
      </c>
      <c r="D8071" s="45" t="str">
        <f t="shared" si="23"/>
        <v/>
      </c>
      <c r="E8071" s="45" t="str">
        <f t="shared" si="24"/>
        <v/>
      </c>
      <c r="F8071" s="59" t="str">
        <f t="shared" si="25"/>
        <v/>
      </c>
      <c r="G8071" s="59" t="str">
        <f t="shared" si="26"/>
        <v/>
      </c>
      <c r="H8071" s="59" t="str">
        <f t="shared" si="27"/>
        <v>28H01070</v>
      </c>
      <c r="I8071" s="59" t="str">
        <f>IF(OR($A8071="",$C8071="",$D8071="",$E8071="",$H8071=""),"",SUMIFS(DATA_GOC!$H:$H,DATA_GOC!$A:$A,"BOM",DATA_GOC!$D:$D,$H8071,DATA_GOC!$E:$E,$C8071,DATA_GOC!$F:$F,"Xuất nội bộ từ téc",DATA_GOC!$B:$B,"&gt;="&amp;$D8071,DATA_GOC!$B:$B,"&lt;="&amp;$E8071))</f>
        <v/>
      </c>
      <c r="J8071" s="59">
        <f t="shared" si="28"/>
        <v>0</v>
      </c>
      <c r="K8071" s="59">
        <f t="shared" si="29"/>
        <v>0</v>
      </c>
      <c r="L8071" s="59">
        <f t="shared" si="30"/>
        <v>0</v>
      </c>
      <c r="M8071" s="59">
        <f t="shared" si="31"/>
        <v>0</v>
      </c>
    </row>
    <row r="8072" ht="15.0" hidden="1" customHeight="1">
      <c r="A8072" s="59">
        <f t="shared" si="20"/>
        <v>131</v>
      </c>
      <c r="B8072" s="59" t="str">
        <f t="shared" si="21"/>
        <v/>
      </c>
      <c r="C8072" s="59" t="str">
        <f t="shared" si="22"/>
        <v/>
      </c>
      <c r="D8072" s="45" t="str">
        <f t="shared" si="23"/>
        <v/>
      </c>
      <c r="E8072" s="45" t="str">
        <f t="shared" si="24"/>
        <v/>
      </c>
      <c r="F8072" s="59" t="str">
        <f t="shared" si="25"/>
        <v/>
      </c>
      <c r="G8072" s="59" t="str">
        <f t="shared" si="26"/>
        <v/>
      </c>
      <c r="H8072" s="59" t="str">
        <f t="shared" si="27"/>
        <v>28H01364</v>
      </c>
      <c r="I8072" s="59" t="str">
        <f>IF(OR($A8072="",$C8072="",$D8072="",$E8072="",$H8072=""),"",SUMIFS(DATA_GOC!$H:$H,DATA_GOC!$A:$A,"BOM",DATA_GOC!$D:$D,$H8072,DATA_GOC!$E:$E,$C8072,DATA_GOC!$F:$F,"Xuất nội bộ từ téc",DATA_GOC!$B:$B,"&gt;="&amp;$D8072,DATA_GOC!$B:$B,"&lt;="&amp;$E8072))</f>
        <v/>
      </c>
      <c r="J8072" s="59">
        <f t="shared" si="28"/>
        <v>0</v>
      </c>
      <c r="K8072" s="59">
        <f t="shared" si="29"/>
        <v>0</v>
      </c>
      <c r="L8072" s="59">
        <f t="shared" si="30"/>
        <v>0</v>
      </c>
      <c r="M8072" s="59">
        <f t="shared" si="31"/>
        <v>0</v>
      </c>
    </row>
    <row r="8073" ht="15.0" hidden="1" customHeight="1">
      <c r="A8073" s="59">
        <f t="shared" si="20"/>
        <v>131</v>
      </c>
      <c r="B8073" s="59" t="str">
        <f t="shared" si="21"/>
        <v/>
      </c>
      <c r="C8073" s="59" t="str">
        <f t="shared" si="22"/>
        <v/>
      </c>
      <c r="D8073" s="45" t="str">
        <f t="shared" si="23"/>
        <v/>
      </c>
      <c r="E8073" s="45" t="str">
        <f t="shared" si="24"/>
        <v/>
      </c>
      <c r="F8073" s="59" t="str">
        <f t="shared" si="25"/>
        <v/>
      </c>
      <c r="G8073" s="59" t="str">
        <f t="shared" si="26"/>
        <v/>
      </c>
      <c r="H8073" s="59" t="str">
        <f t="shared" si="27"/>
        <v>29E17269</v>
      </c>
      <c r="I8073" s="59" t="str">
        <f>IF(OR($A8073="",$C8073="",$D8073="",$E8073="",$H8073=""),"",SUMIFS(DATA_GOC!$H:$H,DATA_GOC!$A:$A,"BOM",DATA_GOC!$D:$D,$H8073,DATA_GOC!$E:$E,$C8073,DATA_GOC!$F:$F,"Xuất nội bộ từ téc",DATA_GOC!$B:$B,"&gt;="&amp;$D8073,DATA_GOC!$B:$B,"&lt;="&amp;$E8073))</f>
        <v/>
      </c>
      <c r="J8073" s="59">
        <f t="shared" si="28"/>
        <v>0</v>
      </c>
      <c r="K8073" s="59">
        <f t="shared" si="29"/>
        <v>0</v>
      </c>
      <c r="L8073" s="59">
        <f t="shared" si="30"/>
        <v>0</v>
      </c>
      <c r="M8073" s="59">
        <f t="shared" si="31"/>
        <v>0</v>
      </c>
    </row>
    <row r="8074" ht="15.0" hidden="1" customHeight="1">
      <c r="A8074" s="59">
        <f t="shared" si="20"/>
        <v>131</v>
      </c>
      <c r="B8074" s="59" t="str">
        <f t="shared" si="21"/>
        <v/>
      </c>
      <c r="C8074" s="59" t="str">
        <f t="shared" si="22"/>
        <v/>
      </c>
      <c r="D8074" s="45" t="str">
        <f t="shared" si="23"/>
        <v/>
      </c>
      <c r="E8074" s="45" t="str">
        <f t="shared" si="24"/>
        <v/>
      </c>
      <c r="F8074" s="59" t="str">
        <f t="shared" si="25"/>
        <v/>
      </c>
      <c r="G8074" s="59" t="str">
        <f t="shared" si="26"/>
        <v/>
      </c>
      <c r="H8074" s="59" t="str">
        <f t="shared" si="27"/>
        <v>29E17273</v>
      </c>
      <c r="I8074" s="59" t="str">
        <f>IF(OR($A8074="",$C8074="",$D8074="",$E8074="",$H8074=""),"",SUMIFS(DATA_GOC!$H:$H,DATA_GOC!$A:$A,"BOM",DATA_GOC!$D:$D,$H8074,DATA_GOC!$E:$E,$C8074,DATA_GOC!$F:$F,"Xuất nội bộ từ téc",DATA_GOC!$B:$B,"&gt;="&amp;$D8074,DATA_GOC!$B:$B,"&lt;="&amp;$E8074))</f>
        <v/>
      </c>
      <c r="J8074" s="59">
        <f t="shared" si="28"/>
        <v>0</v>
      </c>
      <c r="K8074" s="59">
        <f t="shared" si="29"/>
        <v>0</v>
      </c>
      <c r="L8074" s="59">
        <f t="shared" si="30"/>
        <v>0</v>
      </c>
      <c r="M8074" s="59">
        <f t="shared" si="31"/>
        <v>0</v>
      </c>
    </row>
    <row r="8075" ht="15.0" hidden="1" customHeight="1">
      <c r="A8075" s="59">
        <f t="shared" si="20"/>
        <v>131</v>
      </c>
      <c r="B8075" s="59" t="str">
        <f t="shared" si="21"/>
        <v/>
      </c>
      <c r="C8075" s="59" t="str">
        <f t="shared" si="22"/>
        <v/>
      </c>
      <c r="D8075" s="45" t="str">
        <f t="shared" si="23"/>
        <v/>
      </c>
      <c r="E8075" s="45" t="str">
        <f t="shared" si="24"/>
        <v/>
      </c>
      <c r="F8075" s="59" t="str">
        <f t="shared" si="25"/>
        <v/>
      </c>
      <c r="G8075" s="59" t="str">
        <f t="shared" si="26"/>
        <v/>
      </c>
      <c r="H8075" s="59" t="str">
        <f t="shared" si="27"/>
        <v>29E17410</v>
      </c>
      <c r="I8075" s="59" t="str">
        <f>IF(OR($A8075="",$C8075="",$D8075="",$E8075="",$H8075=""),"",SUMIFS(DATA_GOC!$H:$H,DATA_GOC!$A:$A,"BOM",DATA_GOC!$D:$D,$H8075,DATA_GOC!$E:$E,$C8075,DATA_GOC!$F:$F,"Xuất nội bộ từ téc",DATA_GOC!$B:$B,"&gt;="&amp;$D8075,DATA_GOC!$B:$B,"&lt;="&amp;$E8075))</f>
        <v/>
      </c>
      <c r="J8075" s="59">
        <f t="shared" si="28"/>
        <v>0</v>
      </c>
      <c r="K8075" s="59">
        <f t="shared" si="29"/>
        <v>0</v>
      </c>
      <c r="L8075" s="59">
        <f t="shared" si="30"/>
        <v>0</v>
      </c>
      <c r="M8075" s="59">
        <f t="shared" si="31"/>
        <v>0</v>
      </c>
    </row>
    <row r="8076" ht="15.0" hidden="1" customHeight="1">
      <c r="A8076" s="59">
        <f t="shared" si="20"/>
        <v>131</v>
      </c>
      <c r="B8076" s="59" t="str">
        <f t="shared" si="21"/>
        <v/>
      </c>
      <c r="C8076" s="59" t="str">
        <f t="shared" si="22"/>
        <v/>
      </c>
      <c r="D8076" s="45" t="str">
        <f t="shared" si="23"/>
        <v/>
      </c>
      <c r="E8076" s="45" t="str">
        <f t="shared" si="24"/>
        <v/>
      </c>
      <c r="F8076" s="59" t="str">
        <f t="shared" si="25"/>
        <v/>
      </c>
      <c r="G8076" s="59" t="str">
        <f t="shared" si="26"/>
        <v/>
      </c>
      <c r="H8076" s="59" t="str">
        <f t="shared" si="27"/>
        <v>29E17417</v>
      </c>
      <c r="I8076" s="59" t="str">
        <f>IF(OR($A8076="",$C8076="",$D8076="",$E8076="",$H8076=""),"",SUMIFS(DATA_GOC!$H:$H,DATA_GOC!$A:$A,"BOM",DATA_GOC!$D:$D,$H8076,DATA_GOC!$E:$E,$C8076,DATA_GOC!$F:$F,"Xuất nội bộ từ téc",DATA_GOC!$B:$B,"&gt;="&amp;$D8076,DATA_GOC!$B:$B,"&lt;="&amp;$E8076))</f>
        <v/>
      </c>
      <c r="J8076" s="59">
        <f t="shared" si="28"/>
        <v>0</v>
      </c>
      <c r="K8076" s="59">
        <f t="shared" si="29"/>
        <v>0</v>
      </c>
      <c r="L8076" s="59">
        <f t="shared" si="30"/>
        <v>0</v>
      </c>
      <c r="M8076" s="59">
        <f t="shared" si="31"/>
        <v>0</v>
      </c>
    </row>
    <row r="8077" ht="15.0" hidden="1" customHeight="1">
      <c r="A8077" s="59">
        <f t="shared" si="20"/>
        <v>131</v>
      </c>
      <c r="B8077" s="59" t="str">
        <f t="shared" si="21"/>
        <v/>
      </c>
      <c r="C8077" s="59" t="str">
        <f t="shared" si="22"/>
        <v/>
      </c>
      <c r="D8077" s="45" t="str">
        <f t="shared" si="23"/>
        <v/>
      </c>
      <c r="E8077" s="45" t="str">
        <f t="shared" si="24"/>
        <v/>
      </c>
      <c r="F8077" s="59" t="str">
        <f t="shared" si="25"/>
        <v/>
      </c>
      <c r="G8077" s="59" t="str">
        <f t="shared" si="26"/>
        <v/>
      </c>
      <c r="H8077" s="59" t="str">
        <f t="shared" si="27"/>
        <v>29E17539</v>
      </c>
      <c r="I8077" s="59" t="str">
        <f>IF(OR($A8077="",$C8077="",$D8077="",$E8077="",$H8077=""),"",SUMIFS(DATA_GOC!$H:$H,DATA_GOC!$A:$A,"BOM",DATA_GOC!$D:$D,$H8077,DATA_GOC!$E:$E,$C8077,DATA_GOC!$F:$F,"Xuất nội bộ từ téc",DATA_GOC!$B:$B,"&gt;="&amp;$D8077,DATA_GOC!$B:$B,"&lt;="&amp;$E8077))</f>
        <v/>
      </c>
      <c r="J8077" s="59">
        <f t="shared" si="28"/>
        <v>0</v>
      </c>
      <c r="K8077" s="59">
        <f t="shared" si="29"/>
        <v>0</v>
      </c>
      <c r="L8077" s="59">
        <f t="shared" si="30"/>
        <v>0</v>
      </c>
      <c r="M8077" s="59">
        <f t="shared" si="31"/>
        <v>0</v>
      </c>
    </row>
    <row r="8078" ht="15.0" hidden="1" customHeight="1">
      <c r="A8078" s="59">
        <f t="shared" si="20"/>
        <v>131</v>
      </c>
      <c r="B8078" s="59" t="str">
        <f t="shared" si="21"/>
        <v/>
      </c>
      <c r="C8078" s="59" t="str">
        <f t="shared" si="22"/>
        <v/>
      </c>
      <c r="D8078" s="45" t="str">
        <f t="shared" si="23"/>
        <v/>
      </c>
      <c r="E8078" s="45" t="str">
        <f t="shared" si="24"/>
        <v/>
      </c>
      <c r="F8078" s="59" t="str">
        <f t="shared" si="25"/>
        <v/>
      </c>
      <c r="G8078" s="59" t="str">
        <f t="shared" si="26"/>
        <v/>
      </c>
      <c r="H8078" s="59" t="str">
        <f t="shared" si="27"/>
        <v>29E18160</v>
      </c>
      <c r="I8078" s="59" t="str">
        <f>IF(OR($A8078="",$C8078="",$D8078="",$E8078="",$H8078=""),"",SUMIFS(DATA_GOC!$H:$H,DATA_GOC!$A:$A,"BOM",DATA_GOC!$D:$D,$H8078,DATA_GOC!$E:$E,$C8078,DATA_GOC!$F:$F,"Xuất nội bộ từ téc",DATA_GOC!$B:$B,"&gt;="&amp;$D8078,DATA_GOC!$B:$B,"&lt;="&amp;$E8078))</f>
        <v/>
      </c>
      <c r="J8078" s="59">
        <f t="shared" si="28"/>
        <v>0</v>
      </c>
      <c r="K8078" s="59">
        <f t="shared" si="29"/>
        <v>0</v>
      </c>
      <c r="L8078" s="59">
        <f t="shared" si="30"/>
        <v>0</v>
      </c>
      <c r="M8078" s="59">
        <f t="shared" si="31"/>
        <v>0</v>
      </c>
    </row>
    <row r="8079" ht="15.0" hidden="1" customHeight="1">
      <c r="A8079" s="59">
        <f t="shared" si="20"/>
        <v>131</v>
      </c>
      <c r="B8079" s="59" t="str">
        <f t="shared" si="21"/>
        <v/>
      </c>
      <c r="C8079" s="59" t="str">
        <f t="shared" si="22"/>
        <v/>
      </c>
      <c r="D8079" s="45" t="str">
        <f t="shared" si="23"/>
        <v/>
      </c>
      <c r="E8079" s="45" t="str">
        <f t="shared" si="24"/>
        <v/>
      </c>
      <c r="F8079" s="59" t="str">
        <f t="shared" si="25"/>
        <v/>
      </c>
      <c r="G8079" s="59" t="str">
        <f t="shared" si="26"/>
        <v/>
      </c>
      <c r="H8079" s="59" t="str">
        <f t="shared" si="27"/>
        <v>Công trình Asphalt</v>
      </c>
      <c r="I8079" s="59" t="str">
        <f>IF(OR($A8079="",$C8079="",$D8079="",$E8079="",$H8079=""),"",SUMIFS(DATA_GOC!$H:$H,DATA_GOC!$A:$A,"BOM",DATA_GOC!$D:$D,$H8079,DATA_GOC!$E:$E,$C8079,DATA_GOC!$F:$F,"Xuất nội bộ từ téc",DATA_GOC!$B:$B,"&gt;="&amp;$D8079,DATA_GOC!$B:$B,"&lt;="&amp;$E8079))</f>
        <v/>
      </c>
      <c r="J8079" s="59">
        <f t="shared" si="28"/>
        <v>0</v>
      </c>
      <c r="K8079" s="59">
        <f t="shared" si="29"/>
        <v>0</v>
      </c>
      <c r="L8079" s="59">
        <f t="shared" si="30"/>
        <v>0</v>
      </c>
      <c r="M8079" s="59">
        <f t="shared" si="31"/>
        <v>0</v>
      </c>
    </row>
    <row r="8080" ht="15.0" hidden="1" customHeight="1">
      <c r="A8080" s="59">
        <f t="shared" si="20"/>
        <v>131</v>
      </c>
      <c r="B8080" s="59" t="str">
        <f t="shared" si="21"/>
        <v/>
      </c>
      <c r="C8080" s="59" t="str">
        <f t="shared" si="22"/>
        <v/>
      </c>
      <c r="D8080" s="45" t="str">
        <f t="shared" si="23"/>
        <v/>
      </c>
      <c r="E8080" s="45" t="str">
        <f t="shared" si="24"/>
        <v/>
      </c>
      <c r="F8080" s="59" t="str">
        <f t="shared" si="25"/>
        <v/>
      </c>
      <c r="G8080" s="59" t="str">
        <f t="shared" si="26"/>
        <v/>
      </c>
      <c r="H8080" s="59" t="str">
        <f t="shared" si="27"/>
        <v>LG53F</v>
      </c>
      <c r="I8080" s="59" t="str">
        <f>IF(OR($A8080="",$C8080="",$D8080="",$E8080="",$H8080=""),"",SUMIFS(DATA_GOC!$H:$H,DATA_GOC!$A:$A,"BOM",DATA_GOC!$D:$D,$H8080,DATA_GOC!$E:$E,$C8080,DATA_GOC!$F:$F,"Xuất nội bộ từ téc",DATA_GOC!$B:$B,"&gt;="&amp;$D8080,DATA_GOC!$B:$B,"&lt;="&amp;$E8080))</f>
        <v/>
      </c>
      <c r="J8080" s="59">
        <f t="shared" si="28"/>
        <v>0</v>
      </c>
      <c r="K8080" s="59">
        <f t="shared" si="29"/>
        <v>0</v>
      </c>
      <c r="L8080" s="59">
        <f t="shared" si="30"/>
        <v>0</v>
      </c>
      <c r="M8080" s="59">
        <f t="shared" si="31"/>
        <v>0</v>
      </c>
    </row>
    <row r="8081" ht="15.0" hidden="1" customHeight="1">
      <c r="A8081" s="59">
        <f t="shared" si="20"/>
        <v>131</v>
      </c>
      <c r="B8081" s="59" t="str">
        <f t="shared" si="21"/>
        <v/>
      </c>
      <c r="C8081" s="59" t="str">
        <f t="shared" si="22"/>
        <v/>
      </c>
      <c r="D8081" s="45" t="str">
        <f t="shared" si="23"/>
        <v/>
      </c>
      <c r="E8081" s="45" t="str">
        <f t="shared" si="24"/>
        <v/>
      </c>
      <c r="F8081" s="59" t="str">
        <f t="shared" si="25"/>
        <v/>
      </c>
      <c r="G8081" s="59" t="str">
        <f t="shared" si="26"/>
        <v/>
      </c>
      <c r="H8081" s="59" t="str">
        <f t="shared" si="27"/>
        <v>Máy phát điện</v>
      </c>
      <c r="I8081" s="59" t="str">
        <f>IF(OR($A8081="",$C8081="",$D8081="",$E8081="",$H8081=""),"",SUMIFS(DATA_GOC!$H:$H,DATA_GOC!$A:$A,"BOM",DATA_GOC!$D:$D,$H8081,DATA_GOC!$E:$E,$C8081,DATA_GOC!$F:$F,"Xuất nội bộ từ téc",DATA_GOC!$B:$B,"&gt;="&amp;$D8081,DATA_GOC!$B:$B,"&lt;="&amp;$E8081))</f>
        <v/>
      </c>
      <c r="J8081" s="59">
        <f t="shared" si="28"/>
        <v>0</v>
      </c>
      <c r="K8081" s="59">
        <f t="shared" si="29"/>
        <v>0</v>
      </c>
      <c r="L8081" s="59">
        <f t="shared" si="30"/>
        <v>0</v>
      </c>
      <c r="M8081" s="59">
        <f t="shared" si="31"/>
        <v>0</v>
      </c>
    </row>
    <row r="8082" ht="15.0" hidden="1" customHeight="1">
      <c r="A8082" s="59">
        <f t="shared" si="20"/>
        <v>131</v>
      </c>
      <c r="B8082" s="59" t="str">
        <f t="shared" si="21"/>
        <v/>
      </c>
      <c r="C8082" s="59" t="str">
        <f t="shared" si="22"/>
        <v/>
      </c>
      <c r="D8082" s="45" t="str">
        <f t="shared" si="23"/>
        <v/>
      </c>
      <c r="E8082" s="45" t="str">
        <f t="shared" si="24"/>
        <v/>
      </c>
      <c r="F8082" s="59" t="str">
        <f t="shared" si="25"/>
        <v/>
      </c>
      <c r="G8082" s="59" t="str">
        <f t="shared" si="26"/>
        <v/>
      </c>
      <c r="H8082" s="59" t="str">
        <f t="shared" si="27"/>
        <v>Máy rải thảm</v>
      </c>
      <c r="I8082" s="59" t="str">
        <f>IF(OR($A8082="",$C8082="",$D8082="",$E8082="",$H8082=""),"",SUMIFS(DATA_GOC!$H:$H,DATA_GOC!$A:$A,"BOM",DATA_GOC!$D:$D,$H8082,DATA_GOC!$E:$E,$C8082,DATA_GOC!$F:$F,"Xuất nội bộ từ téc",DATA_GOC!$B:$B,"&gt;="&amp;$D8082,DATA_GOC!$B:$B,"&lt;="&amp;$E8082))</f>
        <v/>
      </c>
      <c r="J8082" s="59">
        <f t="shared" si="28"/>
        <v>0</v>
      </c>
      <c r="K8082" s="59">
        <f t="shared" si="29"/>
        <v>0</v>
      </c>
      <c r="L8082" s="59">
        <f t="shared" si="30"/>
        <v>0</v>
      </c>
      <c r="M8082" s="59">
        <f t="shared" si="31"/>
        <v>0</v>
      </c>
    </row>
    <row r="8083" ht="15.0" hidden="1" customHeight="1">
      <c r="A8083" s="59">
        <f t="shared" si="20"/>
        <v>131</v>
      </c>
      <c r="B8083" s="59" t="str">
        <f t="shared" si="21"/>
        <v/>
      </c>
      <c r="C8083" s="59" t="str">
        <f t="shared" si="22"/>
        <v/>
      </c>
      <c r="D8083" s="45" t="str">
        <f t="shared" si="23"/>
        <v/>
      </c>
      <c r="E8083" s="45" t="str">
        <f t="shared" si="24"/>
        <v/>
      </c>
      <c r="F8083" s="59" t="str">
        <f t="shared" si="25"/>
        <v/>
      </c>
      <c r="G8083" s="59" t="str">
        <f t="shared" si="26"/>
        <v/>
      </c>
      <c r="H8083" s="59" t="str">
        <f t="shared" si="27"/>
        <v>Xúc Đào</v>
      </c>
      <c r="I8083" s="59" t="str">
        <f>IF(OR($A8083="",$C8083="",$D8083="",$E8083="",$H8083=""),"",SUMIFS(DATA_GOC!$H:$H,DATA_GOC!$A:$A,"BOM",DATA_GOC!$D:$D,$H8083,DATA_GOC!$E:$E,$C8083,DATA_GOC!$F:$F,"Xuất nội bộ từ téc",DATA_GOC!$B:$B,"&gt;="&amp;$D8083,DATA_GOC!$B:$B,"&lt;="&amp;$E8083))</f>
        <v/>
      </c>
      <c r="J8083" s="59">
        <f t="shared" si="28"/>
        <v>0</v>
      </c>
      <c r="K8083" s="59">
        <f t="shared" si="29"/>
        <v>0</v>
      </c>
      <c r="L8083" s="59">
        <f t="shared" si="30"/>
        <v>0</v>
      </c>
      <c r="M8083" s="59">
        <f t="shared" si="31"/>
        <v>0</v>
      </c>
    </row>
    <row r="8084" ht="15.0" hidden="1" customHeight="1">
      <c r="A8084" s="59">
        <f t="shared" si="20"/>
        <v>131</v>
      </c>
      <c r="B8084" s="59" t="str">
        <f t="shared" si="21"/>
        <v/>
      </c>
      <c r="C8084" s="59" t="str">
        <f t="shared" si="22"/>
        <v/>
      </c>
      <c r="D8084" s="45" t="str">
        <f t="shared" si="23"/>
        <v/>
      </c>
      <c r="E8084" s="45" t="str">
        <f t="shared" si="24"/>
        <v/>
      </c>
      <c r="F8084" s="59" t="str">
        <f t="shared" si="25"/>
        <v/>
      </c>
      <c r="G8084" s="59" t="str">
        <f t="shared" si="26"/>
        <v/>
      </c>
      <c r="H8084" s="59" t="str">
        <f t="shared" si="27"/>
        <v>Xúclật asphalt</v>
      </c>
      <c r="I8084" s="59" t="str">
        <f>IF(OR($A8084="",$C8084="",$D8084="",$E8084="",$H8084=""),"",SUMIFS(DATA_GOC!$H:$H,DATA_GOC!$A:$A,"BOM",DATA_GOC!$D:$D,$H8084,DATA_GOC!$E:$E,$C8084,DATA_GOC!$F:$F,"Xuất nội bộ từ téc",DATA_GOC!$B:$B,"&gt;="&amp;$D8084,DATA_GOC!$B:$B,"&lt;="&amp;$E8084))</f>
        <v/>
      </c>
      <c r="J8084" s="59">
        <f t="shared" si="28"/>
        <v>0</v>
      </c>
      <c r="K8084" s="59">
        <f t="shared" si="29"/>
        <v>0</v>
      </c>
      <c r="L8084" s="59">
        <f t="shared" si="30"/>
        <v>0</v>
      </c>
      <c r="M8084" s="59">
        <f t="shared" si="31"/>
        <v>0</v>
      </c>
    </row>
    <row r="8085" ht="15.0" hidden="1" customHeight="1">
      <c r="A8085" s="59">
        <f t="shared" si="20"/>
        <v>131</v>
      </c>
      <c r="B8085" s="59" t="str">
        <f t="shared" si="21"/>
        <v/>
      </c>
      <c r="C8085" s="59" t="str">
        <f t="shared" si="22"/>
        <v/>
      </c>
      <c r="D8085" s="45" t="str">
        <f t="shared" si="23"/>
        <v/>
      </c>
      <c r="E8085" s="45" t="str">
        <f t="shared" si="24"/>
        <v/>
      </c>
      <c r="F8085" s="59" t="str">
        <f t="shared" si="25"/>
        <v/>
      </c>
      <c r="G8085" s="59" t="str">
        <f t="shared" si="26"/>
        <v/>
      </c>
      <c r="H8085" s="59" t="str">
        <f t="shared" si="27"/>
        <v>Xúclật855H</v>
      </c>
      <c r="I8085" s="59" t="str">
        <f>IF(OR($A8085="",$C8085="",$D8085="",$E8085="",$H8085=""),"",SUMIFS(DATA_GOC!$H:$H,DATA_GOC!$A:$A,"BOM",DATA_GOC!$D:$D,$H8085,DATA_GOC!$E:$E,$C8085,DATA_GOC!$F:$F,"Xuất nội bộ từ téc",DATA_GOC!$B:$B,"&gt;="&amp;$D8085,DATA_GOC!$B:$B,"&lt;="&amp;$E8085))</f>
        <v/>
      </c>
      <c r="J8085" s="59">
        <f t="shared" si="28"/>
        <v>0</v>
      </c>
      <c r="K8085" s="59">
        <f t="shared" si="29"/>
        <v>0</v>
      </c>
      <c r="L8085" s="59">
        <f t="shared" si="30"/>
        <v>0</v>
      </c>
      <c r="M8085" s="59">
        <f t="shared" si="31"/>
        <v>0</v>
      </c>
    </row>
    <row r="8086" ht="15.0" hidden="1" customHeight="1">
      <c r="A8086" s="59">
        <f t="shared" si="20"/>
        <v>131</v>
      </c>
      <c r="B8086" s="59" t="str">
        <f t="shared" si="21"/>
        <v/>
      </c>
      <c r="C8086" s="59" t="str">
        <f t="shared" si="22"/>
        <v/>
      </c>
      <c r="D8086" s="45" t="str">
        <f t="shared" si="23"/>
        <v/>
      </c>
      <c r="E8086" s="45" t="str">
        <f t="shared" si="24"/>
        <v/>
      </c>
      <c r="F8086" s="59" t="str">
        <f t="shared" si="25"/>
        <v/>
      </c>
      <c r="G8086" s="59" t="str">
        <f t="shared" si="26"/>
        <v/>
      </c>
      <c r="H8086" s="59" t="str">
        <f t="shared" si="27"/>
        <v>Xúclật855N</v>
      </c>
      <c r="I8086" s="59" t="str">
        <f>IF(OR($A8086="",$C8086="",$D8086="",$E8086="",$H8086=""),"",SUMIFS(DATA_GOC!$H:$H,DATA_GOC!$A:$A,"BOM",DATA_GOC!$D:$D,$H8086,DATA_GOC!$E:$E,$C8086,DATA_GOC!$F:$F,"Xuất nội bộ từ téc",DATA_GOC!$B:$B,"&gt;="&amp;$D8086,DATA_GOC!$B:$B,"&lt;="&amp;$E8086))</f>
        <v/>
      </c>
      <c r="J8086" s="59">
        <f t="shared" si="28"/>
        <v>0</v>
      </c>
      <c r="K8086" s="59">
        <f t="shared" si="29"/>
        <v>0</v>
      </c>
      <c r="L8086" s="59">
        <f t="shared" si="30"/>
        <v>0</v>
      </c>
      <c r="M8086" s="59">
        <f t="shared" si="31"/>
        <v>0</v>
      </c>
    </row>
    <row r="8087" ht="15.0" hidden="1" customHeight="1">
      <c r="A8087" s="59">
        <f t="shared" si="20"/>
        <v>131</v>
      </c>
      <c r="B8087" s="59" t="str">
        <f t="shared" si="21"/>
        <v/>
      </c>
      <c r="C8087" s="59" t="str">
        <f t="shared" si="22"/>
        <v/>
      </c>
      <c r="D8087" s="45" t="str">
        <f t="shared" si="23"/>
        <v/>
      </c>
      <c r="E8087" s="45" t="str">
        <f t="shared" si="24"/>
        <v/>
      </c>
      <c r="F8087" s="59" t="str">
        <f t="shared" si="25"/>
        <v/>
      </c>
      <c r="G8087" s="59" t="str">
        <f t="shared" si="26"/>
        <v/>
      </c>
      <c r="H8087" s="59" t="str">
        <f t="shared" si="27"/>
        <v>Cát nghiền</v>
      </c>
      <c r="I8087" s="59" t="str">
        <f>IF(OR($A8087="",$C8087="",$D8087="",$E8087="",$H8087=""),"",SUMIFS(DATA_GOC!$H:$H,DATA_GOC!$A:$A,"BOM",DATA_GOC!$D:$D,$H8087,DATA_GOC!$E:$E,$C8087,DATA_GOC!$F:$F,"Xuất nội bộ từ téc",DATA_GOC!$B:$B,"&gt;="&amp;$D8087,DATA_GOC!$B:$B,"&lt;="&amp;$E8087))</f>
        <v/>
      </c>
      <c r="J8087" s="59">
        <f t="shared" si="28"/>
        <v>0</v>
      </c>
      <c r="K8087" s="59">
        <f t="shared" si="29"/>
        <v>0</v>
      </c>
      <c r="L8087" s="59">
        <f t="shared" si="30"/>
        <v>0</v>
      </c>
      <c r="M8087" s="59">
        <f t="shared" si="31"/>
        <v>0</v>
      </c>
    </row>
    <row r="8088" ht="15.0" hidden="1" customHeight="1">
      <c r="A8088" s="59">
        <f t="shared" si="20"/>
        <v>131</v>
      </c>
      <c r="B8088" s="59" t="str">
        <f t="shared" si="21"/>
        <v/>
      </c>
      <c r="C8088" s="59" t="str">
        <f t="shared" si="22"/>
        <v/>
      </c>
      <c r="D8088" s="45" t="str">
        <f t="shared" si="23"/>
        <v/>
      </c>
      <c r="E8088" s="45" t="str">
        <f t="shared" si="24"/>
        <v/>
      </c>
      <c r="F8088" s="59" t="str">
        <f t="shared" si="25"/>
        <v/>
      </c>
      <c r="G8088" s="59" t="str">
        <f t="shared" si="26"/>
        <v/>
      </c>
      <c r="H8088" s="59" t="str">
        <f t="shared" si="27"/>
        <v>28C02973</v>
      </c>
      <c r="I8088" s="59" t="str">
        <f>IF(OR($A8088="",$C8088="",$D8088="",$E8088="",$H8088=""),"",SUMIFS(DATA_GOC!$H:$H,DATA_GOC!$A:$A,"BOM",DATA_GOC!$D:$D,$H8088,DATA_GOC!$E:$E,$C8088,DATA_GOC!$F:$F,"Xuất nội bộ từ téc",DATA_GOC!$B:$B,"&gt;="&amp;$D8088,DATA_GOC!$B:$B,"&lt;="&amp;$E8088))</f>
        <v/>
      </c>
      <c r="J8088" s="59">
        <f t="shared" si="28"/>
        <v>0</v>
      </c>
      <c r="K8088" s="59">
        <f t="shared" si="29"/>
        <v>0</v>
      </c>
      <c r="L8088" s="59">
        <f t="shared" si="30"/>
        <v>0</v>
      </c>
      <c r="M8088" s="59">
        <f t="shared" si="31"/>
        <v>0</v>
      </c>
    </row>
    <row r="8089" ht="15.0" hidden="1" customHeight="1">
      <c r="A8089" s="59">
        <f t="shared" si="20"/>
        <v>131</v>
      </c>
      <c r="B8089" s="59" t="str">
        <f t="shared" si="21"/>
        <v/>
      </c>
      <c r="C8089" s="59" t="str">
        <f t="shared" si="22"/>
        <v/>
      </c>
      <c r="D8089" s="45" t="str">
        <f t="shared" si="23"/>
        <v/>
      </c>
      <c r="E8089" s="45" t="str">
        <f t="shared" si="24"/>
        <v/>
      </c>
      <c r="F8089" s="59" t="str">
        <f t="shared" si="25"/>
        <v/>
      </c>
      <c r="G8089" s="59" t="str">
        <f t="shared" si="26"/>
        <v/>
      </c>
      <c r="H8089" s="59" t="str">
        <f t="shared" si="27"/>
        <v>28C03044</v>
      </c>
      <c r="I8089" s="59" t="str">
        <f>IF(OR($A8089="",$C8089="",$D8089="",$E8089="",$H8089=""),"",SUMIFS(DATA_GOC!$H:$H,DATA_GOC!$A:$A,"BOM",DATA_GOC!$D:$D,$H8089,DATA_GOC!$E:$E,$C8089,DATA_GOC!$F:$F,"Xuất nội bộ từ téc",DATA_GOC!$B:$B,"&gt;="&amp;$D8089,DATA_GOC!$B:$B,"&lt;="&amp;$E8089))</f>
        <v/>
      </c>
      <c r="J8089" s="59">
        <f t="shared" si="28"/>
        <v>0</v>
      </c>
      <c r="K8089" s="59">
        <f t="shared" si="29"/>
        <v>0</v>
      </c>
      <c r="L8089" s="59">
        <f t="shared" si="30"/>
        <v>0</v>
      </c>
      <c r="M8089" s="59">
        <f t="shared" si="31"/>
        <v>0</v>
      </c>
    </row>
    <row r="8090" ht="15.0" hidden="1" customHeight="1">
      <c r="A8090" s="59">
        <f t="shared" si="20"/>
        <v>131</v>
      </c>
      <c r="B8090" s="59" t="str">
        <f t="shared" si="21"/>
        <v/>
      </c>
      <c r="C8090" s="59" t="str">
        <f t="shared" si="22"/>
        <v/>
      </c>
      <c r="D8090" s="45" t="str">
        <f t="shared" si="23"/>
        <v/>
      </c>
      <c r="E8090" s="45" t="str">
        <f t="shared" si="24"/>
        <v/>
      </c>
      <c r="F8090" s="59" t="str">
        <f t="shared" si="25"/>
        <v/>
      </c>
      <c r="G8090" s="59" t="str">
        <f t="shared" si="26"/>
        <v/>
      </c>
      <c r="H8090" s="59" t="str">
        <f t="shared" si="27"/>
        <v>Máy lu lốp</v>
      </c>
      <c r="I8090" s="59" t="str">
        <f>IF(OR($A8090="",$C8090="",$D8090="",$E8090="",$H8090=""),"",SUMIFS(DATA_GOC!$H:$H,DATA_GOC!$A:$A,"BOM",DATA_GOC!$D:$D,$H8090,DATA_GOC!$E:$E,$C8090,DATA_GOC!$F:$F,"Xuất nội bộ từ téc",DATA_GOC!$B:$B,"&gt;="&amp;$D8090,DATA_GOC!$B:$B,"&lt;="&amp;$E8090))</f>
        <v/>
      </c>
      <c r="J8090" s="59">
        <f t="shared" si="28"/>
        <v>0</v>
      </c>
      <c r="K8090" s="59">
        <f t="shared" si="29"/>
        <v>0</v>
      </c>
      <c r="L8090" s="59">
        <f t="shared" si="30"/>
        <v>0</v>
      </c>
      <c r="M8090" s="59">
        <f t="shared" si="31"/>
        <v>0</v>
      </c>
    </row>
    <row r="8091" ht="15.0" hidden="1" customHeight="1">
      <c r="A8091" s="59">
        <f t="shared" si="20"/>
        <v>131</v>
      </c>
      <c r="B8091" s="59" t="str">
        <f t="shared" si="21"/>
        <v/>
      </c>
      <c r="C8091" s="59" t="str">
        <f t="shared" si="22"/>
        <v/>
      </c>
      <c r="D8091" s="45" t="str">
        <f t="shared" si="23"/>
        <v/>
      </c>
      <c r="E8091" s="45" t="str">
        <f t="shared" si="24"/>
        <v/>
      </c>
      <c r="F8091" s="59" t="str">
        <f t="shared" si="25"/>
        <v/>
      </c>
      <c r="G8091" s="59" t="str">
        <f t="shared" si="26"/>
        <v/>
      </c>
      <c r="H8091" s="59" t="str">
        <f t="shared" si="27"/>
        <v>Xe 600148</v>
      </c>
      <c r="I8091" s="59" t="str">
        <f>IF(OR($A8091="",$C8091="",$D8091="",$E8091="",$H8091=""),"",SUMIFS(DATA_GOC!$H:$H,DATA_GOC!$A:$A,"BOM",DATA_GOC!$D:$D,$H8091,DATA_GOC!$E:$E,$C8091,DATA_GOC!$F:$F,"Xuất nội bộ từ téc",DATA_GOC!$B:$B,"&gt;="&amp;$D8091,DATA_GOC!$B:$B,"&lt;="&amp;$E8091))</f>
        <v/>
      </c>
      <c r="J8091" s="59">
        <f t="shared" si="28"/>
        <v>0</v>
      </c>
      <c r="K8091" s="59">
        <f t="shared" si="29"/>
        <v>0</v>
      </c>
      <c r="L8091" s="59">
        <f t="shared" si="30"/>
        <v>0</v>
      </c>
      <c r="M8091" s="59">
        <f t="shared" si="31"/>
        <v>0</v>
      </c>
    </row>
    <row r="8092" ht="15.0" hidden="1" customHeight="1">
      <c r="A8092" s="59">
        <f t="shared" si="20"/>
        <v>131</v>
      </c>
      <c r="B8092" s="59" t="str">
        <f t="shared" si="21"/>
        <v/>
      </c>
      <c r="C8092" s="59" t="str">
        <f t="shared" si="22"/>
        <v/>
      </c>
      <c r="D8092" s="45" t="str">
        <f t="shared" si="23"/>
        <v/>
      </c>
      <c r="E8092" s="45" t="str">
        <f t="shared" si="24"/>
        <v/>
      </c>
      <c r="F8092" s="59" t="str">
        <f t="shared" si="25"/>
        <v/>
      </c>
      <c r="G8092" s="59" t="str">
        <f t="shared" si="26"/>
        <v/>
      </c>
      <c r="H8092" s="59" t="str">
        <f t="shared" si="27"/>
        <v>Xe ben mới</v>
      </c>
      <c r="I8092" s="59" t="str">
        <f>IF(OR($A8092="",$C8092="",$D8092="",$E8092="",$H8092=""),"",SUMIFS(DATA_GOC!$H:$H,DATA_GOC!$A:$A,"BOM",DATA_GOC!$D:$D,$H8092,DATA_GOC!$E:$E,$C8092,DATA_GOC!$F:$F,"Xuất nội bộ từ téc",DATA_GOC!$B:$B,"&gt;="&amp;$D8092,DATA_GOC!$B:$B,"&lt;="&amp;$E8092))</f>
        <v/>
      </c>
      <c r="J8092" s="59">
        <f t="shared" si="28"/>
        <v>0</v>
      </c>
      <c r="K8092" s="59">
        <f t="shared" si="29"/>
        <v>0</v>
      </c>
      <c r="L8092" s="59">
        <f t="shared" si="30"/>
        <v>0</v>
      </c>
      <c r="M8092" s="59">
        <f t="shared" si="31"/>
        <v>0</v>
      </c>
    </row>
    <row r="8093" ht="15.0" hidden="1" customHeight="1">
      <c r="A8093" s="59">
        <f t="shared" si="20"/>
        <v>132</v>
      </c>
      <c r="B8093" s="59" t="str">
        <f t="shared" si="21"/>
        <v/>
      </c>
      <c r="C8093" s="59" t="str">
        <f t="shared" si="22"/>
        <v/>
      </c>
      <c r="D8093" s="45" t="str">
        <f t="shared" si="23"/>
        <v/>
      </c>
      <c r="E8093" s="45" t="str">
        <f t="shared" si="24"/>
        <v/>
      </c>
      <c r="F8093" s="59" t="str">
        <f t="shared" si="25"/>
        <v/>
      </c>
      <c r="G8093" s="59" t="str">
        <f t="shared" si="26"/>
        <v/>
      </c>
      <c r="H8093" s="59" t="str">
        <f t="shared" si="27"/>
        <v>19H09482</v>
      </c>
      <c r="I8093" s="59" t="str">
        <f>IF(OR($A8093="",$C8093="",$D8093="",$E8093="",$H8093=""),"",SUMIFS(DATA_GOC!$H:$H,DATA_GOC!$A:$A,"BOM",DATA_GOC!$D:$D,$H8093,DATA_GOC!$E:$E,$C8093,DATA_GOC!$F:$F,"Xuất nội bộ từ téc",DATA_GOC!$B:$B,"&gt;="&amp;$D8093,DATA_GOC!$B:$B,"&lt;="&amp;$E8093))</f>
        <v/>
      </c>
      <c r="J8093" s="59">
        <f t="shared" si="28"/>
        <v>0</v>
      </c>
      <c r="K8093" s="59">
        <f t="shared" si="29"/>
        <v>0</v>
      </c>
      <c r="L8093" s="59">
        <f t="shared" si="30"/>
        <v>0</v>
      </c>
      <c r="M8093" s="59">
        <f t="shared" si="31"/>
        <v>0</v>
      </c>
    </row>
    <row r="8094" ht="15.0" hidden="1" customHeight="1">
      <c r="A8094" s="59">
        <f t="shared" si="20"/>
        <v>132</v>
      </c>
      <c r="B8094" s="59" t="str">
        <f t="shared" si="21"/>
        <v/>
      </c>
      <c r="C8094" s="59" t="str">
        <f t="shared" si="22"/>
        <v/>
      </c>
      <c r="D8094" s="45" t="str">
        <f t="shared" si="23"/>
        <v/>
      </c>
      <c r="E8094" s="45" t="str">
        <f t="shared" si="24"/>
        <v/>
      </c>
      <c r="F8094" s="59" t="str">
        <f t="shared" si="25"/>
        <v/>
      </c>
      <c r="G8094" s="59" t="str">
        <f t="shared" si="26"/>
        <v/>
      </c>
      <c r="H8094" s="59" t="str">
        <f t="shared" si="27"/>
        <v>28A30696</v>
      </c>
      <c r="I8094" s="59" t="str">
        <f>IF(OR($A8094="",$C8094="",$D8094="",$E8094="",$H8094=""),"",SUMIFS(DATA_GOC!$H:$H,DATA_GOC!$A:$A,"BOM",DATA_GOC!$D:$D,$H8094,DATA_GOC!$E:$E,$C8094,DATA_GOC!$F:$F,"Xuất nội bộ từ téc",DATA_GOC!$B:$B,"&gt;="&amp;$D8094,DATA_GOC!$B:$B,"&lt;="&amp;$E8094))</f>
        <v/>
      </c>
      <c r="J8094" s="59">
        <f t="shared" si="28"/>
        <v>0</v>
      </c>
      <c r="K8094" s="59">
        <f t="shared" si="29"/>
        <v>0</v>
      </c>
      <c r="L8094" s="59">
        <f t="shared" si="30"/>
        <v>0</v>
      </c>
      <c r="M8094" s="59">
        <f t="shared" si="31"/>
        <v>0</v>
      </c>
    </row>
    <row r="8095" ht="15.0" hidden="1" customHeight="1">
      <c r="A8095" s="59">
        <f t="shared" si="20"/>
        <v>132</v>
      </c>
      <c r="B8095" s="59" t="str">
        <f t="shared" si="21"/>
        <v/>
      </c>
      <c r="C8095" s="59" t="str">
        <f t="shared" si="22"/>
        <v/>
      </c>
      <c r="D8095" s="45" t="str">
        <f t="shared" si="23"/>
        <v/>
      </c>
      <c r="E8095" s="45" t="str">
        <f t="shared" si="24"/>
        <v/>
      </c>
      <c r="F8095" s="59" t="str">
        <f t="shared" si="25"/>
        <v/>
      </c>
      <c r="G8095" s="59" t="str">
        <f t="shared" si="26"/>
        <v/>
      </c>
      <c r="H8095" s="59" t="str">
        <f t="shared" si="27"/>
        <v>28C00462</v>
      </c>
      <c r="I8095" s="59" t="str">
        <f>IF(OR($A8095="",$C8095="",$D8095="",$E8095="",$H8095=""),"",SUMIFS(DATA_GOC!$H:$H,DATA_GOC!$A:$A,"BOM",DATA_GOC!$D:$D,$H8095,DATA_GOC!$E:$E,$C8095,DATA_GOC!$F:$F,"Xuất nội bộ từ téc",DATA_GOC!$B:$B,"&gt;="&amp;$D8095,DATA_GOC!$B:$B,"&lt;="&amp;$E8095))</f>
        <v/>
      </c>
      <c r="J8095" s="59">
        <f t="shared" si="28"/>
        <v>0</v>
      </c>
      <c r="K8095" s="59">
        <f t="shared" si="29"/>
        <v>0</v>
      </c>
      <c r="L8095" s="59">
        <f t="shared" si="30"/>
        <v>0</v>
      </c>
      <c r="M8095" s="59">
        <f t="shared" si="31"/>
        <v>0</v>
      </c>
    </row>
    <row r="8096" ht="15.0" hidden="1" customHeight="1">
      <c r="A8096" s="59">
        <f t="shared" si="20"/>
        <v>132</v>
      </c>
      <c r="B8096" s="59" t="str">
        <f t="shared" si="21"/>
        <v/>
      </c>
      <c r="C8096" s="59" t="str">
        <f t="shared" si="22"/>
        <v/>
      </c>
      <c r="D8096" s="45" t="str">
        <f t="shared" si="23"/>
        <v/>
      </c>
      <c r="E8096" s="45" t="str">
        <f t="shared" si="24"/>
        <v/>
      </c>
      <c r="F8096" s="59" t="str">
        <f t="shared" si="25"/>
        <v/>
      </c>
      <c r="G8096" s="59" t="str">
        <f t="shared" si="26"/>
        <v/>
      </c>
      <c r="H8096" s="59" t="str">
        <f t="shared" si="27"/>
        <v>28C01165</v>
      </c>
      <c r="I8096" s="59" t="str">
        <f>IF(OR($A8096="",$C8096="",$D8096="",$E8096="",$H8096=""),"",SUMIFS(DATA_GOC!$H:$H,DATA_GOC!$A:$A,"BOM",DATA_GOC!$D:$D,$H8096,DATA_GOC!$E:$E,$C8096,DATA_GOC!$F:$F,"Xuất nội bộ từ téc",DATA_GOC!$B:$B,"&gt;="&amp;$D8096,DATA_GOC!$B:$B,"&lt;="&amp;$E8096))</f>
        <v/>
      </c>
      <c r="J8096" s="59">
        <f t="shared" si="28"/>
        <v>0</v>
      </c>
      <c r="K8096" s="59">
        <f t="shared" si="29"/>
        <v>0</v>
      </c>
      <c r="L8096" s="59">
        <f t="shared" si="30"/>
        <v>0</v>
      </c>
      <c r="M8096" s="59">
        <f t="shared" si="31"/>
        <v>0</v>
      </c>
    </row>
    <row r="8097" ht="15.0" hidden="1" customHeight="1">
      <c r="A8097" s="59">
        <f t="shared" si="20"/>
        <v>132</v>
      </c>
      <c r="B8097" s="59" t="str">
        <f t="shared" si="21"/>
        <v/>
      </c>
      <c r="C8097" s="59" t="str">
        <f t="shared" si="22"/>
        <v/>
      </c>
      <c r="D8097" s="45" t="str">
        <f t="shared" si="23"/>
        <v/>
      </c>
      <c r="E8097" s="45" t="str">
        <f t="shared" si="24"/>
        <v/>
      </c>
      <c r="F8097" s="59" t="str">
        <f t="shared" si="25"/>
        <v/>
      </c>
      <c r="G8097" s="59" t="str">
        <f t="shared" si="26"/>
        <v/>
      </c>
      <c r="H8097" s="59" t="str">
        <f t="shared" si="27"/>
        <v>28C01406</v>
      </c>
      <c r="I8097" s="59" t="str">
        <f>IF(OR($A8097="",$C8097="",$D8097="",$E8097="",$H8097=""),"",SUMIFS(DATA_GOC!$H:$H,DATA_GOC!$A:$A,"BOM",DATA_GOC!$D:$D,$H8097,DATA_GOC!$E:$E,$C8097,DATA_GOC!$F:$F,"Xuất nội bộ từ téc",DATA_GOC!$B:$B,"&gt;="&amp;$D8097,DATA_GOC!$B:$B,"&lt;="&amp;$E8097))</f>
        <v/>
      </c>
      <c r="J8097" s="59">
        <f t="shared" si="28"/>
        <v>0</v>
      </c>
      <c r="K8097" s="59">
        <f t="shared" si="29"/>
        <v>0</v>
      </c>
      <c r="L8097" s="59">
        <f t="shared" si="30"/>
        <v>0</v>
      </c>
      <c r="M8097" s="59">
        <f t="shared" si="31"/>
        <v>0</v>
      </c>
    </row>
    <row r="8098" ht="15.0" hidden="1" customHeight="1">
      <c r="A8098" s="59">
        <f t="shared" si="20"/>
        <v>132</v>
      </c>
      <c r="B8098" s="59" t="str">
        <f t="shared" si="21"/>
        <v/>
      </c>
      <c r="C8098" s="59" t="str">
        <f t="shared" si="22"/>
        <v/>
      </c>
      <c r="D8098" s="45" t="str">
        <f t="shared" si="23"/>
        <v/>
      </c>
      <c r="E8098" s="45" t="str">
        <f t="shared" si="24"/>
        <v/>
      </c>
      <c r="F8098" s="59" t="str">
        <f t="shared" si="25"/>
        <v/>
      </c>
      <c r="G8098" s="59" t="str">
        <f t="shared" si="26"/>
        <v/>
      </c>
      <c r="H8098" s="59" t="str">
        <f t="shared" si="27"/>
        <v>28C01544</v>
      </c>
      <c r="I8098" s="59" t="str">
        <f>IF(OR($A8098="",$C8098="",$D8098="",$E8098="",$H8098=""),"",SUMIFS(DATA_GOC!$H:$H,DATA_GOC!$A:$A,"BOM",DATA_GOC!$D:$D,$H8098,DATA_GOC!$E:$E,$C8098,DATA_GOC!$F:$F,"Xuất nội bộ từ téc",DATA_GOC!$B:$B,"&gt;="&amp;$D8098,DATA_GOC!$B:$B,"&lt;="&amp;$E8098))</f>
        <v/>
      </c>
      <c r="J8098" s="59">
        <f t="shared" si="28"/>
        <v>0</v>
      </c>
      <c r="K8098" s="59">
        <f t="shared" si="29"/>
        <v>0</v>
      </c>
      <c r="L8098" s="59">
        <f t="shared" si="30"/>
        <v>0</v>
      </c>
      <c r="M8098" s="59">
        <f t="shared" si="31"/>
        <v>0</v>
      </c>
    </row>
    <row r="8099" ht="15.0" hidden="1" customHeight="1">
      <c r="A8099" s="59">
        <f t="shared" si="20"/>
        <v>132</v>
      </c>
      <c r="B8099" s="59" t="str">
        <f t="shared" si="21"/>
        <v/>
      </c>
      <c r="C8099" s="59" t="str">
        <f t="shared" si="22"/>
        <v/>
      </c>
      <c r="D8099" s="45" t="str">
        <f t="shared" si="23"/>
        <v/>
      </c>
      <c r="E8099" s="45" t="str">
        <f t="shared" si="24"/>
        <v/>
      </c>
      <c r="F8099" s="59" t="str">
        <f t="shared" si="25"/>
        <v/>
      </c>
      <c r="G8099" s="59" t="str">
        <f t="shared" si="26"/>
        <v/>
      </c>
      <c r="H8099" s="59" t="str">
        <f t="shared" si="27"/>
        <v>28C01622</v>
      </c>
      <c r="I8099" s="59" t="str">
        <f>IF(OR($A8099="",$C8099="",$D8099="",$E8099="",$H8099=""),"",SUMIFS(DATA_GOC!$H:$H,DATA_GOC!$A:$A,"BOM",DATA_GOC!$D:$D,$H8099,DATA_GOC!$E:$E,$C8099,DATA_GOC!$F:$F,"Xuất nội bộ từ téc",DATA_GOC!$B:$B,"&gt;="&amp;$D8099,DATA_GOC!$B:$B,"&lt;="&amp;$E8099))</f>
        <v/>
      </c>
      <c r="J8099" s="59">
        <f t="shared" si="28"/>
        <v>0</v>
      </c>
      <c r="K8099" s="59">
        <f t="shared" si="29"/>
        <v>0</v>
      </c>
      <c r="L8099" s="59">
        <f t="shared" si="30"/>
        <v>0</v>
      </c>
      <c r="M8099" s="59">
        <f t="shared" si="31"/>
        <v>0</v>
      </c>
    </row>
    <row r="8100" ht="15.0" hidden="1" customHeight="1">
      <c r="A8100" s="59">
        <f t="shared" si="20"/>
        <v>132</v>
      </c>
      <c r="B8100" s="59" t="str">
        <f t="shared" si="21"/>
        <v/>
      </c>
      <c r="C8100" s="59" t="str">
        <f t="shared" si="22"/>
        <v/>
      </c>
      <c r="D8100" s="45" t="str">
        <f t="shared" si="23"/>
        <v/>
      </c>
      <c r="E8100" s="45" t="str">
        <f t="shared" si="24"/>
        <v/>
      </c>
      <c r="F8100" s="59" t="str">
        <f t="shared" si="25"/>
        <v/>
      </c>
      <c r="G8100" s="59" t="str">
        <f t="shared" si="26"/>
        <v/>
      </c>
      <c r="H8100" s="59" t="str">
        <f t="shared" si="27"/>
        <v>28C01647</v>
      </c>
      <c r="I8100" s="59" t="str">
        <f>IF(OR($A8100="",$C8100="",$D8100="",$E8100="",$H8100=""),"",SUMIFS(DATA_GOC!$H:$H,DATA_GOC!$A:$A,"BOM",DATA_GOC!$D:$D,$H8100,DATA_GOC!$E:$E,$C8100,DATA_GOC!$F:$F,"Xuất nội bộ từ téc",DATA_GOC!$B:$B,"&gt;="&amp;$D8100,DATA_GOC!$B:$B,"&lt;="&amp;$E8100))</f>
        <v/>
      </c>
      <c r="J8100" s="59">
        <f t="shared" si="28"/>
        <v>0</v>
      </c>
      <c r="K8100" s="59">
        <f t="shared" si="29"/>
        <v>0</v>
      </c>
      <c r="L8100" s="59">
        <f t="shared" si="30"/>
        <v>0</v>
      </c>
      <c r="M8100" s="59">
        <f t="shared" si="31"/>
        <v>0</v>
      </c>
    </row>
    <row r="8101" ht="15.0" hidden="1" customHeight="1">
      <c r="A8101" s="59">
        <f t="shared" si="20"/>
        <v>132</v>
      </c>
      <c r="B8101" s="59" t="str">
        <f t="shared" si="21"/>
        <v/>
      </c>
      <c r="C8101" s="59" t="str">
        <f t="shared" si="22"/>
        <v/>
      </c>
      <c r="D8101" s="45" t="str">
        <f t="shared" si="23"/>
        <v/>
      </c>
      <c r="E8101" s="45" t="str">
        <f t="shared" si="24"/>
        <v/>
      </c>
      <c r="F8101" s="59" t="str">
        <f t="shared" si="25"/>
        <v/>
      </c>
      <c r="G8101" s="59" t="str">
        <f t="shared" si="26"/>
        <v/>
      </c>
      <c r="H8101" s="59" t="str">
        <f t="shared" si="27"/>
        <v>28C01731</v>
      </c>
      <c r="I8101" s="59" t="str">
        <f>IF(OR($A8101="",$C8101="",$D8101="",$E8101="",$H8101=""),"",SUMIFS(DATA_GOC!$H:$H,DATA_GOC!$A:$A,"BOM",DATA_GOC!$D:$D,$H8101,DATA_GOC!$E:$E,$C8101,DATA_GOC!$F:$F,"Xuất nội bộ từ téc",DATA_GOC!$B:$B,"&gt;="&amp;$D8101,DATA_GOC!$B:$B,"&lt;="&amp;$E8101))</f>
        <v/>
      </c>
      <c r="J8101" s="59">
        <f t="shared" si="28"/>
        <v>0</v>
      </c>
      <c r="K8101" s="59">
        <f t="shared" si="29"/>
        <v>0</v>
      </c>
      <c r="L8101" s="59">
        <f t="shared" si="30"/>
        <v>0</v>
      </c>
      <c r="M8101" s="59">
        <f t="shared" si="31"/>
        <v>0</v>
      </c>
    </row>
    <row r="8102" ht="15.0" hidden="1" customHeight="1">
      <c r="A8102" s="59">
        <f t="shared" si="20"/>
        <v>132</v>
      </c>
      <c r="B8102" s="59" t="str">
        <f t="shared" si="21"/>
        <v/>
      </c>
      <c r="C8102" s="59" t="str">
        <f t="shared" si="22"/>
        <v/>
      </c>
      <c r="D8102" s="45" t="str">
        <f t="shared" si="23"/>
        <v/>
      </c>
      <c r="E8102" s="45" t="str">
        <f t="shared" si="24"/>
        <v/>
      </c>
      <c r="F8102" s="59" t="str">
        <f t="shared" si="25"/>
        <v/>
      </c>
      <c r="G8102" s="59" t="str">
        <f t="shared" si="26"/>
        <v/>
      </c>
      <c r="H8102" s="59" t="str">
        <f t="shared" si="27"/>
        <v>28C01743</v>
      </c>
      <c r="I8102" s="59" t="str">
        <f>IF(OR($A8102="",$C8102="",$D8102="",$E8102="",$H8102=""),"",SUMIFS(DATA_GOC!$H:$H,DATA_GOC!$A:$A,"BOM",DATA_GOC!$D:$D,$H8102,DATA_GOC!$E:$E,$C8102,DATA_GOC!$F:$F,"Xuất nội bộ từ téc",DATA_GOC!$B:$B,"&gt;="&amp;$D8102,DATA_GOC!$B:$B,"&lt;="&amp;$E8102))</f>
        <v/>
      </c>
      <c r="J8102" s="59">
        <f t="shared" si="28"/>
        <v>0</v>
      </c>
      <c r="K8102" s="59">
        <f t="shared" si="29"/>
        <v>0</v>
      </c>
      <c r="L8102" s="59">
        <f t="shared" si="30"/>
        <v>0</v>
      </c>
      <c r="M8102" s="59">
        <f t="shared" si="31"/>
        <v>0</v>
      </c>
    </row>
    <row r="8103" ht="15.0" hidden="1" customHeight="1">
      <c r="A8103" s="59">
        <f t="shared" si="20"/>
        <v>132</v>
      </c>
      <c r="B8103" s="59" t="str">
        <f t="shared" si="21"/>
        <v/>
      </c>
      <c r="C8103" s="59" t="str">
        <f t="shared" si="22"/>
        <v/>
      </c>
      <c r="D8103" s="45" t="str">
        <f t="shared" si="23"/>
        <v/>
      </c>
      <c r="E8103" s="45" t="str">
        <f t="shared" si="24"/>
        <v/>
      </c>
      <c r="F8103" s="59" t="str">
        <f t="shared" si="25"/>
        <v/>
      </c>
      <c r="G8103" s="59" t="str">
        <f t="shared" si="26"/>
        <v/>
      </c>
      <c r="H8103" s="59" t="str">
        <f t="shared" si="27"/>
        <v>28C02106</v>
      </c>
      <c r="I8103" s="59" t="str">
        <f>IF(OR($A8103="",$C8103="",$D8103="",$E8103="",$H8103=""),"",SUMIFS(DATA_GOC!$H:$H,DATA_GOC!$A:$A,"BOM",DATA_GOC!$D:$D,$H8103,DATA_GOC!$E:$E,$C8103,DATA_GOC!$F:$F,"Xuất nội bộ từ téc",DATA_GOC!$B:$B,"&gt;="&amp;$D8103,DATA_GOC!$B:$B,"&lt;="&amp;$E8103))</f>
        <v/>
      </c>
      <c r="J8103" s="59">
        <f t="shared" si="28"/>
        <v>0</v>
      </c>
      <c r="K8103" s="59">
        <f t="shared" si="29"/>
        <v>0</v>
      </c>
      <c r="L8103" s="59">
        <f t="shared" si="30"/>
        <v>0</v>
      </c>
      <c r="M8103" s="59">
        <f t="shared" si="31"/>
        <v>0</v>
      </c>
    </row>
    <row r="8104" ht="15.0" hidden="1" customHeight="1">
      <c r="A8104" s="59">
        <f t="shared" si="20"/>
        <v>132</v>
      </c>
      <c r="B8104" s="59" t="str">
        <f t="shared" si="21"/>
        <v/>
      </c>
      <c r="C8104" s="59" t="str">
        <f t="shared" si="22"/>
        <v/>
      </c>
      <c r="D8104" s="45" t="str">
        <f t="shared" si="23"/>
        <v/>
      </c>
      <c r="E8104" s="45" t="str">
        <f t="shared" si="24"/>
        <v/>
      </c>
      <c r="F8104" s="59" t="str">
        <f t="shared" si="25"/>
        <v/>
      </c>
      <c r="G8104" s="59" t="str">
        <f t="shared" si="26"/>
        <v/>
      </c>
      <c r="H8104" s="59" t="str">
        <f t="shared" si="27"/>
        <v>28C02410</v>
      </c>
      <c r="I8104" s="59" t="str">
        <f>IF(OR($A8104="",$C8104="",$D8104="",$E8104="",$H8104=""),"",SUMIFS(DATA_GOC!$H:$H,DATA_GOC!$A:$A,"BOM",DATA_GOC!$D:$D,$H8104,DATA_GOC!$E:$E,$C8104,DATA_GOC!$F:$F,"Xuất nội bộ từ téc",DATA_GOC!$B:$B,"&gt;="&amp;$D8104,DATA_GOC!$B:$B,"&lt;="&amp;$E8104))</f>
        <v/>
      </c>
      <c r="J8104" s="59">
        <f t="shared" si="28"/>
        <v>0</v>
      </c>
      <c r="K8104" s="59">
        <f t="shared" si="29"/>
        <v>0</v>
      </c>
      <c r="L8104" s="59">
        <f t="shared" si="30"/>
        <v>0</v>
      </c>
      <c r="M8104" s="59">
        <f t="shared" si="31"/>
        <v>0</v>
      </c>
    </row>
    <row r="8105" ht="15.0" hidden="1" customHeight="1">
      <c r="A8105" s="59">
        <f t="shared" si="20"/>
        <v>132</v>
      </c>
      <c r="B8105" s="59" t="str">
        <f t="shared" si="21"/>
        <v/>
      </c>
      <c r="C8105" s="59" t="str">
        <f t="shared" si="22"/>
        <v/>
      </c>
      <c r="D8105" s="45" t="str">
        <f t="shared" si="23"/>
        <v/>
      </c>
      <c r="E8105" s="45" t="str">
        <f t="shared" si="24"/>
        <v/>
      </c>
      <c r="F8105" s="59" t="str">
        <f t="shared" si="25"/>
        <v/>
      </c>
      <c r="G8105" s="59" t="str">
        <f t="shared" si="26"/>
        <v/>
      </c>
      <c r="H8105" s="59" t="str">
        <f t="shared" si="27"/>
        <v>28C02545</v>
      </c>
      <c r="I8105" s="59" t="str">
        <f>IF(OR($A8105="",$C8105="",$D8105="",$E8105="",$H8105=""),"",SUMIFS(DATA_GOC!$H:$H,DATA_GOC!$A:$A,"BOM",DATA_GOC!$D:$D,$H8105,DATA_GOC!$E:$E,$C8105,DATA_GOC!$F:$F,"Xuất nội bộ từ téc",DATA_GOC!$B:$B,"&gt;="&amp;$D8105,DATA_GOC!$B:$B,"&lt;="&amp;$E8105))</f>
        <v/>
      </c>
      <c r="J8105" s="59">
        <f t="shared" si="28"/>
        <v>0</v>
      </c>
      <c r="K8105" s="59">
        <f t="shared" si="29"/>
        <v>0</v>
      </c>
      <c r="L8105" s="59">
        <f t="shared" si="30"/>
        <v>0</v>
      </c>
      <c r="M8105" s="59">
        <f t="shared" si="31"/>
        <v>0</v>
      </c>
    </row>
    <row r="8106" ht="15.0" hidden="1" customHeight="1">
      <c r="A8106" s="59">
        <f t="shared" si="20"/>
        <v>132</v>
      </c>
      <c r="B8106" s="59" t="str">
        <f t="shared" si="21"/>
        <v/>
      </c>
      <c r="C8106" s="59" t="str">
        <f t="shared" si="22"/>
        <v/>
      </c>
      <c r="D8106" s="45" t="str">
        <f t="shared" si="23"/>
        <v/>
      </c>
      <c r="E8106" s="45" t="str">
        <f t="shared" si="24"/>
        <v/>
      </c>
      <c r="F8106" s="59" t="str">
        <f t="shared" si="25"/>
        <v/>
      </c>
      <c r="G8106" s="59" t="str">
        <f t="shared" si="26"/>
        <v/>
      </c>
      <c r="H8106" s="59" t="str">
        <f t="shared" si="27"/>
        <v>28C02574</v>
      </c>
      <c r="I8106" s="59" t="str">
        <f>IF(OR($A8106="",$C8106="",$D8106="",$E8106="",$H8106=""),"",SUMIFS(DATA_GOC!$H:$H,DATA_GOC!$A:$A,"BOM",DATA_GOC!$D:$D,$H8106,DATA_GOC!$E:$E,$C8106,DATA_GOC!$F:$F,"Xuất nội bộ từ téc",DATA_GOC!$B:$B,"&gt;="&amp;$D8106,DATA_GOC!$B:$B,"&lt;="&amp;$E8106))</f>
        <v/>
      </c>
      <c r="J8106" s="59">
        <f t="shared" si="28"/>
        <v>0</v>
      </c>
      <c r="K8106" s="59">
        <f t="shared" si="29"/>
        <v>0</v>
      </c>
      <c r="L8106" s="59">
        <f t="shared" si="30"/>
        <v>0</v>
      </c>
      <c r="M8106" s="59">
        <f t="shared" si="31"/>
        <v>0</v>
      </c>
    </row>
    <row r="8107" ht="15.0" hidden="1" customHeight="1">
      <c r="A8107" s="59">
        <f t="shared" si="20"/>
        <v>132</v>
      </c>
      <c r="B8107" s="59" t="str">
        <f t="shared" si="21"/>
        <v/>
      </c>
      <c r="C8107" s="59" t="str">
        <f t="shared" si="22"/>
        <v/>
      </c>
      <c r="D8107" s="45" t="str">
        <f t="shared" si="23"/>
        <v/>
      </c>
      <c r="E8107" s="45" t="str">
        <f t="shared" si="24"/>
        <v/>
      </c>
      <c r="F8107" s="59" t="str">
        <f t="shared" si="25"/>
        <v/>
      </c>
      <c r="G8107" s="59" t="str">
        <f t="shared" si="26"/>
        <v/>
      </c>
      <c r="H8107" s="59" t="str">
        <f t="shared" si="27"/>
        <v>28C02770</v>
      </c>
      <c r="I8107" s="59" t="str">
        <f>IF(OR($A8107="",$C8107="",$D8107="",$E8107="",$H8107=""),"",SUMIFS(DATA_GOC!$H:$H,DATA_GOC!$A:$A,"BOM",DATA_GOC!$D:$D,$H8107,DATA_GOC!$E:$E,$C8107,DATA_GOC!$F:$F,"Xuất nội bộ từ téc",DATA_GOC!$B:$B,"&gt;="&amp;$D8107,DATA_GOC!$B:$B,"&lt;="&amp;$E8107))</f>
        <v/>
      </c>
      <c r="J8107" s="59">
        <f t="shared" si="28"/>
        <v>0</v>
      </c>
      <c r="K8107" s="59">
        <f t="shared" si="29"/>
        <v>0</v>
      </c>
      <c r="L8107" s="59">
        <f t="shared" si="30"/>
        <v>0</v>
      </c>
      <c r="M8107" s="59">
        <f t="shared" si="31"/>
        <v>0</v>
      </c>
    </row>
    <row r="8108" ht="15.0" hidden="1" customHeight="1">
      <c r="A8108" s="59">
        <f t="shared" si="20"/>
        <v>132</v>
      </c>
      <c r="B8108" s="59" t="str">
        <f t="shared" si="21"/>
        <v/>
      </c>
      <c r="C8108" s="59" t="str">
        <f t="shared" si="22"/>
        <v/>
      </c>
      <c r="D8108" s="45" t="str">
        <f t="shared" si="23"/>
        <v/>
      </c>
      <c r="E8108" s="45" t="str">
        <f t="shared" si="24"/>
        <v/>
      </c>
      <c r="F8108" s="59" t="str">
        <f t="shared" si="25"/>
        <v/>
      </c>
      <c r="G8108" s="59" t="str">
        <f t="shared" si="26"/>
        <v/>
      </c>
      <c r="H8108" s="59" t="str">
        <f t="shared" si="27"/>
        <v>28C02986</v>
      </c>
      <c r="I8108" s="59" t="str">
        <f>IF(OR($A8108="",$C8108="",$D8108="",$E8108="",$H8108=""),"",SUMIFS(DATA_GOC!$H:$H,DATA_GOC!$A:$A,"BOM",DATA_GOC!$D:$D,$H8108,DATA_GOC!$E:$E,$C8108,DATA_GOC!$F:$F,"Xuất nội bộ từ téc",DATA_GOC!$B:$B,"&gt;="&amp;$D8108,DATA_GOC!$B:$B,"&lt;="&amp;$E8108))</f>
        <v/>
      </c>
      <c r="J8108" s="59">
        <f t="shared" si="28"/>
        <v>0</v>
      </c>
      <c r="K8108" s="59">
        <f t="shared" si="29"/>
        <v>0</v>
      </c>
      <c r="L8108" s="59">
        <f t="shared" si="30"/>
        <v>0</v>
      </c>
      <c r="M8108" s="59">
        <f t="shared" si="31"/>
        <v>0</v>
      </c>
    </row>
    <row r="8109" ht="15.0" hidden="1" customHeight="1">
      <c r="A8109" s="59">
        <f t="shared" si="20"/>
        <v>132</v>
      </c>
      <c r="B8109" s="59" t="str">
        <f t="shared" si="21"/>
        <v/>
      </c>
      <c r="C8109" s="59" t="str">
        <f t="shared" si="22"/>
        <v/>
      </c>
      <c r="D8109" s="45" t="str">
        <f t="shared" si="23"/>
        <v/>
      </c>
      <c r="E8109" s="45" t="str">
        <f t="shared" si="24"/>
        <v/>
      </c>
      <c r="F8109" s="59" t="str">
        <f t="shared" si="25"/>
        <v/>
      </c>
      <c r="G8109" s="59" t="str">
        <f t="shared" si="26"/>
        <v/>
      </c>
      <c r="H8109" s="59" t="str">
        <f t="shared" si="27"/>
        <v>28C03261</v>
      </c>
      <c r="I8109" s="59" t="str">
        <f>IF(OR($A8109="",$C8109="",$D8109="",$E8109="",$H8109=""),"",SUMIFS(DATA_GOC!$H:$H,DATA_GOC!$A:$A,"BOM",DATA_GOC!$D:$D,$H8109,DATA_GOC!$E:$E,$C8109,DATA_GOC!$F:$F,"Xuất nội bộ từ téc",DATA_GOC!$B:$B,"&gt;="&amp;$D8109,DATA_GOC!$B:$B,"&lt;="&amp;$E8109))</f>
        <v/>
      </c>
      <c r="J8109" s="59">
        <f t="shared" si="28"/>
        <v>0</v>
      </c>
      <c r="K8109" s="59">
        <f t="shared" si="29"/>
        <v>0</v>
      </c>
      <c r="L8109" s="59">
        <f t="shared" si="30"/>
        <v>0</v>
      </c>
      <c r="M8109" s="59">
        <f t="shared" si="31"/>
        <v>0</v>
      </c>
    </row>
    <row r="8110" ht="15.0" hidden="1" customHeight="1">
      <c r="A8110" s="59">
        <f t="shared" si="20"/>
        <v>132</v>
      </c>
      <c r="B8110" s="59" t="str">
        <f t="shared" si="21"/>
        <v/>
      </c>
      <c r="C8110" s="59" t="str">
        <f t="shared" si="22"/>
        <v/>
      </c>
      <c r="D8110" s="45" t="str">
        <f t="shared" si="23"/>
        <v/>
      </c>
      <c r="E8110" s="45" t="str">
        <f t="shared" si="24"/>
        <v/>
      </c>
      <c r="F8110" s="59" t="str">
        <f t="shared" si="25"/>
        <v/>
      </c>
      <c r="G8110" s="59" t="str">
        <f t="shared" si="26"/>
        <v/>
      </c>
      <c r="H8110" s="59" t="str">
        <f t="shared" si="27"/>
        <v>28C03323</v>
      </c>
      <c r="I8110" s="59" t="str">
        <f>IF(OR($A8110="",$C8110="",$D8110="",$E8110="",$H8110=""),"",SUMIFS(DATA_GOC!$H:$H,DATA_GOC!$A:$A,"BOM",DATA_GOC!$D:$D,$H8110,DATA_GOC!$E:$E,$C8110,DATA_GOC!$F:$F,"Xuất nội bộ từ téc",DATA_GOC!$B:$B,"&gt;="&amp;$D8110,DATA_GOC!$B:$B,"&lt;="&amp;$E8110))</f>
        <v/>
      </c>
      <c r="J8110" s="59">
        <f t="shared" si="28"/>
        <v>0</v>
      </c>
      <c r="K8110" s="59">
        <f t="shared" si="29"/>
        <v>0</v>
      </c>
      <c r="L8110" s="59">
        <f t="shared" si="30"/>
        <v>0</v>
      </c>
      <c r="M8110" s="59">
        <f t="shared" si="31"/>
        <v>0</v>
      </c>
    </row>
    <row r="8111" ht="15.0" hidden="1" customHeight="1">
      <c r="A8111" s="59">
        <f t="shared" si="20"/>
        <v>132</v>
      </c>
      <c r="B8111" s="59" t="str">
        <f t="shared" si="21"/>
        <v/>
      </c>
      <c r="C8111" s="59" t="str">
        <f t="shared" si="22"/>
        <v/>
      </c>
      <c r="D8111" s="45" t="str">
        <f t="shared" si="23"/>
        <v/>
      </c>
      <c r="E8111" s="45" t="str">
        <f t="shared" si="24"/>
        <v/>
      </c>
      <c r="F8111" s="59" t="str">
        <f t="shared" si="25"/>
        <v/>
      </c>
      <c r="G8111" s="59" t="str">
        <f t="shared" si="26"/>
        <v/>
      </c>
      <c r="H8111" s="59" t="str">
        <f t="shared" si="27"/>
        <v>28C03385</v>
      </c>
      <c r="I8111" s="59" t="str">
        <f>IF(OR($A8111="",$C8111="",$D8111="",$E8111="",$H8111=""),"",SUMIFS(DATA_GOC!$H:$H,DATA_GOC!$A:$A,"BOM",DATA_GOC!$D:$D,$H8111,DATA_GOC!$E:$E,$C8111,DATA_GOC!$F:$F,"Xuất nội bộ từ téc",DATA_GOC!$B:$B,"&gt;="&amp;$D8111,DATA_GOC!$B:$B,"&lt;="&amp;$E8111))</f>
        <v/>
      </c>
      <c r="J8111" s="59">
        <f t="shared" si="28"/>
        <v>0</v>
      </c>
      <c r="K8111" s="59">
        <f t="shared" si="29"/>
        <v>0</v>
      </c>
      <c r="L8111" s="59">
        <f t="shared" si="30"/>
        <v>0</v>
      </c>
      <c r="M8111" s="59">
        <f t="shared" si="31"/>
        <v>0</v>
      </c>
    </row>
    <row r="8112" ht="15.0" hidden="1" customHeight="1">
      <c r="A8112" s="59">
        <f t="shared" si="20"/>
        <v>132</v>
      </c>
      <c r="B8112" s="59" t="str">
        <f t="shared" si="21"/>
        <v/>
      </c>
      <c r="C8112" s="59" t="str">
        <f t="shared" si="22"/>
        <v/>
      </c>
      <c r="D8112" s="45" t="str">
        <f t="shared" si="23"/>
        <v/>
      </c>
      <c r="E8112" s="45" t="str">
        <f t="shared" si="24"/>
        <v/>
      </c>
      <c r="F8112" s="59" t="str">
        <f t="shared" si="25"/>
        <v/>
      </c>
      <c r="G8112" s="59" t="str">
        <f t="shared" si="26"/>
        <v/>
      </c>
      <c r="H8112" s="59" t="str">
        <f t="shared" si="27"/>
        <v>28C03652</v>
      </c>
      <c r="I8112" s="59" t="str">
        <f>IF(OR($A8112="",$C8112="",$D8112="",$E8112="",$H8112=""),"",SUMIFS(DATA_GOC!$H:$H,DATA_GOC!$A:$A,"BOM",DATA_GOC!$D:$D,$H8112,DATA_GOC!$E:$E,$C8112,DATA_GOC!$F:$F,"Xuất nội bộ từ téc",DATA_GOC!$B:$B,"&gt;="&amp;$D8112,DATA_GOC!$B:$B,"&lt;="&amp;$E8112))</f>
        <v/>
      </c>
      <c r="J8112" s="59">
        <f t="shared" si="28"/>
        <v>0</v>
      </c>
      <c r="K8112" s="59">
        <f t="shared" si="29"/>
        <v>0</v>
      </c>
      <c r="L8112" s="59">
        <f t="shared" si="30"/>
        <v>0</v>
      </c>
      <c r="M8112" s="59">
        <f t="shared" si="31"/>
        <v>0</v>
      </c>
    </row>
    <row r="8113" ht="15.0" hidden="1" customHeight="1">
      <c r="A8113" s="59">
        <f t="shared" si="20"/>
        <v>132</v>
      </c>
      <c r="B8113" s="59" t="str">
        <f t="shared" si="21"/>
        <v/>
      </c>
      <c r="C8113" s="59" t="str">
        <f t="shared" si="22"/>
        <v/>
      </c>
      <c r="D8113" s="45" t="str">
        <f t="shared" si="23"/>
        <v/>
      </c>
      <c r="E8113" s="45" t="str">
        <f t="shared" si="24"/>
        <v/>
      </c>
      <c r="F8113" s="59" t="str">
        <f t="shared" si="25"/>
        <v/>
      </c>
      <c r="G8113" s="59" t="str">
        <f t="shared" si="26"/>
        <v/>
      </c>
      <c r="H8113" s="59" t="str">
        <f t="shared" si="27"/>
        <v>28C03695</v>
      </c>
      <c r="I8113" s="59" t="str">
        <f>IF(OR($A8113="",$C8113="",$D8113="",$E8113="",$H8113=""),"",SUMIFS(DATA_GOC!$H:$H,DATA_GOC!$A:$A,"BOM",DATA_GOC!$D:$D,$H8113,DATA_GOC!$E:$E,$C8113,DATA_GOC!$F:$F,"Xuất nội bộ từ téc",DATA_GOC!$B:$B,"&gt;="&amp;$D8113,DATA_GOC!$B:$B,"&lt;="&amp;$E8113))</f>
        <v/>
      </c>
      <c r="J8113" s="59">
        <f t="shared" si="28"/>
        <v>0</v>
      </c>
      <c r="K8113" s="59">
        <f t="shared" si="29"/>
        <v>0</v>
      </c>
      <c r="L8113" s="59">
        <f t="shared" si="30"/>
        <v>0</v>
      </c>
      <c r="M8113" s="59">
        <f t="shared" si="31"/>
        <v>0</v>
      </c>
    </row>
    <row r="8114" ht="15.0" hidden="1" customHeight="1">
      <c r="A8114" s="59">
        <f t="shared" si="20"/>
        <v>132</v>
      </c>
      <c r="B8114" s="59" t="str">
        <f t="shared" si="21"/>
        <v/>
      </c>
      <c r="C8114" s="59" t="str">
        <f t="shared" si="22"/>
        <v/>
      </c>
      <c r="D8114" s="45" t="str">
        <f t="shared" si="23"/>
        <v/>
      </c>
      <c r="E8114" s="45" t="str">
        <f t="shared" si="24"/>
        <v/>
      </c>
      <c r="F8114" s="59" t="str">
        <f t="shared" si="25"/>
        <v/>
      </c>
      <c r="G8114" s="59" t="str">
        <f t="shared" si="26"/>
        <v/>
      </c>
      <c r="H8114" s="59" t="str">
        <f t="shared" si="27"/>
        <v>28C03927</v>
      </c>
      <c r="I8114" s="59" t="str">
        <f>IF(OR($A8114="",$C8114="",$D8114="",$E8114="",$H8114=""),"",SUMIFS(DATA_GOC!$H:$H,DATA_GOC!$A:$A,"BOM",DATA_GOC!$D:$D,$H8114,DATA_GOC!$E:$E,$C8114,DATA_GOC!$F:$F,"Xuất nội bộ từ téc",DATA_GOC!$B:$B,"&gt;="&amp;$D8114,DATA_GOC!$B:$B,"&lt;="&amp;$E8114))</f>
        <v/>
      </c>
      <c r="J8114" s="59">
        <f t="shared" si="28"/>
        <v>0</v>
      </c>
      <c r="K8114" s="59">
        <f t="shared" si="29"/>
        <v>0</v>
      </c>
      <c r="L8114" s="59">
        <f t="shared" si="30"/>
        <v>0</v>
      </c>
      <c r="M8114" s="59">
        <f t="shared" si="31"/>
        <v>0</v>
      </c>
    </row>
    <row r="8115" ht="15.0" hidden="1" customHeight="1">
      <c r="A8115" s="59">
        <f t="shared" si="20"/>
        <v>132</v>
      </c>
      <c r="B8115" s="59" t="str">
        <f t="shared" si="21"/>
        <v/>
      </c>
      <c r="C8115" s="59" t="str">
        <f t="shared" si="22"/>
        <v/>
      </c>
      <c r="D8115" s="45" t="str">
        <f t="shared" si="23"/>
        <v/>
      </c>
      <c r="E8115" s="45" t="str">
        <f t="shared" si="24"/>
        <v/>
      </c>
      <c r="F8115" s="59" t="str">
        <f t="shared" si="25"/>
        <v/>
      </c>
      <c r="G8115" s="59" t="str">
        <f t="shared" si="26"/>
        <v/>
      </c>
      <c r="H8115" s="59" t="str">
        <f t="shared" si="27"/>
        <v>28C04509</v>
      </c>
      <c r="I8115" s="59" t="str">
        <f>IF(OR($A8115="",$C8115="",$D8115="",$E8115="",$H8115=""),"",SUMIFS(DATA_GOC!$H:$H,DATA_GOC!$A:$A,"BOM",DATA_GOC!$D:$D,$H8115,DATA_GOC!$E:$E,$C8115,DATA_GOC!$F:$F,"Xuất nội bộ từ téc",DATA_GOC!$B:$B,"&gt;="&amp;$D8115,DATA_GOC!$B:$B,"&lt;="&amp;$E8115))</f>
        <v/>
      </c>
      <c r="J8115" s="59">
        <f t="shared" si="28"/>
        <v>0</v>
      </c>
      <c r="K8115" s="59">
        <f t="shared" si="29"/>
        <v>0</v>
      </c>
      <c r="L8115" s="59">
        <f t="shared" si="30"/>
        <v>0</v>
      </c>
      <c r="M8115" s="59">
        <f t="shared" si="31"/>
        <v>0</v>
      </c>
    </row>
    <row r="8116" ht="15.0" hidden="1" customHeight="1">
      <c r="A8116" s="59">
        <f t="shared" si="20"/>
        <v>132</v>
      </c>
      <c r="B8116" s="59" t="str">
        <f t="shared" si="21"/>
        <v/>
      </c>
      <c r="C8116" s="59" t="str">
        <f t="shared" si="22"/>
        <v/>
      </c>
      <c r="D8116" s="45" t="str">
        <f t="shared" si="23"/>
        <v/>
      </c>
      <c r="E8116" s="45" t="str">
        <f t="shared" si="24"/>
        <v/>
      </c>
      <c r="F8116" s="59" t="str">
        <f t="shared" si="25"/>
        <v/>
      </c>
      <c r="G8116" s="59" t="str">
        <f t="shared" si="26"/>
        <v/>
      </c>
      <c r="H8116" s="59" t="str">
        <f t="shared" si="27"/>
        <v>28C04536</v>
      </c>
      <c r="I8116" s="59" t="str">
        <f>IF(OR($A8116="",$C8116="",$D8116="",$E8116="",$H8116=""),"",SUMIFS(DATA_GOC!$H:$H,DATA_GOC!$A:$A,"BOM",DATA_GOC!$D:$D,$H8116,DATA_GOC!$E:$E,$C8116,DATA_GOC!$F:$F,"Xuất nội bộ từ téc",DATA_GOC!$B:$B,"&gt;="&amp;$D8116,DATA_GOC!$B:$B,"&lt;="&amp;$E8116))</f>
        <v/>
      </c>
      <c r="J8116" s="59">
        <f t="shared" si="28"/>
        <v>0</v>
      </c>
      <c r="K8116" s="59">
        <f t="shared" si="29"/>
        <v>0</v>
      </c>
      <c r="L8116" s="59">
        <f t="shared" si="30"/>
        <v>0</v>
      </c>
      <c r="M8116" s="59">
        <f t="shared" si="31"/>
        <v>0</v>
      </c>
    </row>
    <row r="8117" ht="15.0" hidden="1" customHeight="1">
      <c r="A8117" s="59">
        <f t="shared" si="20"/>
        <v>132</v>
      </c>
      <c r="B8117" s="59" t="str">
        <f t="shared" si="21"/>
        <v/>
      </c>
      <c r="C8117" s="59" t="str">
        <f t="shared" si="22"/>
        <v/>
      </c>
      <c r="D8117" s="45" t="str">
        <f t="shared" si="23"/>
        <v/>
      </c>
      <c r="E8117" s="45" t="str">
        <f t="shared" si="24"/>
        <v/>
      </c>
      <c r="F8117" s="59" t="str">
        <f t="shared" si="25"/>
        <v/>
      </c>
      <c r="G8117" s="59" t="str">
        <f t="shared" si="26"/>
        <v/>
      </c>
      <c r="H8117" s="59" t="str">
        <f t="shared" si="27"/>
        <v>28C04576</v>
      </c>
      <c r="I8117" s="59" t="str">
        <f>IF(OR($A8117="",$C8117="",$D8117="",$E8117="",$H8117=""),"",SUMIFS(DATA_GOC!$H:$H,DATA_GOC!$A:$A,"BOM",DATA_GOC!$D:$D,$H8117,DATA_GOC!$E:$E,$C8117,DATA_GOC!$F:$F,"Xuất nội bộ từ téc",DATA_GOC!$B:$B,"&gt;="&amp;$D8117,DATA_GOC!$B:$B,"&lt;="&amp;$E8117))</f>
        <v/>
      </c>
      <c r="J8117" s="59">
        <f t="shared" si="28"/>
        <v>0</v>
      </c>
      <c r="K8117" s="59">
        <f t="shared" si="29"/>
        <v>0</v>
      </c>
      <c r="L8117" s="59">
        <f t="shared" si="30"/>
        <v>0</v>
      </c>
      <c r="M8117" s="59">
        <f t="shared" si="31"/>
        <v>0</v>
      </c>
    </row>
    <row r="8118" ht="15.0" hidden="1" customHeight="1">
      <c r="A8118" s="59">
        <f t="shared" si="20"/>
        <v>132</v>
      </c>
      <c r="B8118" s="59" t="str">
        <f t="shared" si="21"/>
        <v/>
      </c>
      <c r="C8118" s="59" t="str">
        <f t="shared" si="22"/>
        <v/>
      </c>
      <c r="D8118" s="45" t="str">
        <f t="shared" si="23"/>
        <v/>
      </c>
      <c r="E8118" s="45" t="str">
        <f t="shared" si="24"/>
        <v/>
      </c>
      <c r="F8118" s="59" t="str">
        <f t="shared" si="25"/>
        <v/>
      </c>
      <c r="G8118" s="59" t="str">
        <f t="shared" si="26"/>
        <v/>
      </c>
      <c r="H8118" s="59" t="str">
        <f t="shared" si="27"/>
        <v>28C05090</v>
      </c>
      <c r="I8118" s="59" t="str">
        <f>IF(OR($A8118="",$C8118="",$D8118="",$E8118="",$H8118=""),"",SUMIFS(DATA_GOC!$H:$H,DATA_GOC!$A:$A,"BOM",DATA_GOC!$D:$D,$H8118,DATA_GOC!$E:$E,$C8118,DATA_GOC!$F:$F,"Xuất nội bộ từ téc",DATA_GOC!$B:$B,"&gt;="&amp;$D8118,DATA_GOC!$B:$B,"&lt;="&amp;$E8118))</f>
        <v/>
      </c>
      <c r="J8118" s="59">
        <f t="shared" si="28"/>
        <v>0</v>
      </c>
      <c r="K8118" s="59">
        <f t="shared" si="29"/>
        <v>0</v>
      </c>
      <c r="L8118" s="59">
        <f t="shared" si="30"/>
        <v>0</v>
      </c>
      <c r="M8118" s="59">
        <f t="shared" si="31"/>
        <v>0</v>
      </c>
    </row>
    <row r="8119" ht="15.0" hidden="1" customHeight="1">
      <c r="A8119" s="59">
        <f t="shared" si="20"/>
        <v>132</v>
      </c>
      <c r="B8119" s="59" t="str">
        <f t="shared" si="21"/>
        <v/>
      </c>
      <c r="C8119" s="59" t="str">
        <f t="shared" si="22"/>
        <v/>
      </c>
      <c r="D8119" s="45" t="str">
        <f t="shared" si="23"/>
        <v/>
      </c>
      <c r="E8119" s="45" t="str">
        <f t="shared" si="24"/>
        <v/>
      </c>
      <c r="F8119" s="59" t="str">
        <f t="shared" si="25"/>
        <v/>
      </c>
      <c r="G8119" s="59" t="str">
        <f t="shared" si="26"/>
        <v/>
      </c>
      <c r="H8119" s="59" t="str">
        <f t="shared" si="27"/>
        <v>28C05345</v>
      </c>
      <c r="I8119" s="59" t="str">
        <f>IF(OR($A8119="",$C8119="",$D8119="",$E8119="",$H8119=""),"",SUMIFS(DATA_GOC!$H:$H,DATA_GOC!$A:$A,"BOM",DATA_GOC!$D:$D,$H8119,DATA_GOC!$E:$E,$C8119,DATA_GOC!$F:$F,"Xuất nội bộ từ téc",DATA_GOC!$B:$B,"&gt;="&amp;$D8119,DATA_GOC!$B:$B,"&lt;="&amp;$E8119))</f>
        <v/>
      </c>
      <c r="J8119" s="59">
        <f t="shared" si="28"/>
        <v>0</v>
      </c>
      <c r="K8119" s="59">
        <f t="shared" si="29"/>
        <v>0</v>
      </c>
      <c r="L8119" s="59">
        <f t="shared" si="30"/>
        <v>0</v>
      </c>
      <c r="M8119" s="59">
        <f t="shared" si="31"/>
        <v>0</v>
      </c>
    </row>
    <row r="8120" ht="15.0" hidden="1" customHeight="1">
      <c r="A8120" s="59">
        <f t="shared" si="20"/>
        <v>132</v>
      </c>
      <c r="B8120" s="59" t="str">
        <f t="shared" si="21"/>
        <v/>
      </c>
      <c r="C8120" s="59" t="str">
        <f t="shared" si="22"/>
        <v/>
      </c>
      <c r="D8120" s="45" t="str">
        <f t="shared" si="23"/>
        <v/>
      </c>
      <c r="E8120" s="45" t="str">
        <f t="shared" si="24"/>
        <v/>
      </c>
      <c r="F8120" s="59" t="str">
        <f t="shared" si="25"/>
        <v/>
      </c>
      <c r="G8120" s="59" t="str">
        <f t="shared" si="26"/>
        <v/>
      </c>
      <c r="H8120" s="59" t="str">
        <f t="shared" si="27"/>
        <v>28C05661</v>
      </c>
      <c r="I8120" s="59" t="str">
        <f>IF(OR($A8120="",$C8120="",$D8120="",$E8120="",$H8120=""),"",SUMIFS(DATA_GOC!$H:$H,DATA_GOC!$A:$A,"BOM",DATA_GOC!$D:$D,$H8120,DATA_GOC!$E:$E,$C8120,DATA_GOC!$F:$F,"Xuất nội bộ từ téc",DATA_GOC!$B:$B,"&gt;="&amp;$D8120,DATA_GOC!$B:$B,"&lt;="&amp;$E8120))</f>
        <v/>
      </c>
      <c r="J8120" s="59">
        <f t="shared" si="28"/>
        <v>0</v>
      </c>
      <c r="K8120" s="59">
        <f t="shared" si="29"/>
        <v>0</v>
      </c>
      <c r="L8120" s="59">
        <f t="shared" si="30"/>
        <v>0</v>
      </c>
      <c r="M8120" s="59">
        <f t="shared" si="31"/>
        <v>0</v>
      </c>
    </row>
    <row r="8121" ht="15.0" hidden="1" customHeight="1">
      <c r="A8121" s="59">
        <f t="shared" si="20"/>
        <v>132</v>
      </c>
      <c r="B8121" s="59" t="str">
        <f t="shared" si="21"/>
        <v/>
      </c>
      <c r="C8121" s="59" t="str">
        <f t="shared" si="22"/>
        <v/>
      </c>
      <c r="D8121" s="45" t="str">
        <f t="shared" si="23"/>
        <v/>
      </c>
      <c r="E8121" s="45" t="str">
        <f t="shared" si="24"/>
        <v/>
      </c>
      <c r="F8121" s="59" t="str">
        <f t="shared" si="25"/>
        <v/>
      </c>
      <c r="G8121" s="59" t="str">
        <f t="shared" si="26"/>
        <v/>
      </c>
      <c r="H8121" s="59" t="str">
        <f t="shared" si="27"/>
        <v>28C05739</v>
      </c>
      <c r="I8121" s="59" t="str">
        <f>IF(OR($A8121="",$C8121="",$D8121="",$E8121="",$H8121=""),"",SUMIFS(DATA_GOC!$H:$H,DATA_GOC!$A:$A,"BOM",DATA_GOC!$D:$D,$H8121,DATA_GOC!$E:$E,$C8121,DATA_GOC!$F:$F,"Xuất nội bộ từ téc",DATA_GOC!$B:$B,"&gt;="&amp;$D8121,DATA_GOC!$B:$B,"&lt;="&amp;$E8121))</f>
        <v/>
      </c>
      <c r="J8121" s="59">
        <f t="shared" si="28"/>
        <v>0</v>
      </c>
      <c r="K8121" s="59">
        <f t="shared" si="29"/>
        <v>0</v>
      </c>
      <c r="L8121" s="59">
        <f t="shared" si="30"/>
        <v>0</v>
      </c>
      <c r="M8121" s="59">
        <f t="shared" si="31"/>
        <v>0</v>
      </c>
    </row>
    <row r="8122" ht="15.0" hidden="1" customHeight="1">
      <c r="A8122" s="59">
        <f t="shared" si="20"/>
        <v>132</v>
      </c>
      <c r="B8122" s="59" t="str">
        <f t="shared" si="21"/>
        <v/>
      </c>
      <c r="C8122" s="59" t="str">
        <f t="shared" si="22"/>
        <v/>
      </c>
      <c r="D8122" s="45" t="str">
        <f t="shared" si="23"/>
        <v/>
      </c>
      <c r="E8122" s="45" t="str">
        <f t="shared" si="24"/>
        <v/>
      </c>
      <c r="F8122" s="59" t="str">
        <f t="shared" si="25"/>
        <v/>
      </c>
      <c r="G8122" s="59" t="str">
        <f t="shared" si="26"/>
        <v/>
      </c>
      <c r="H8122" s="59" t="str">
        <f t="shared" si="27"/>
        <v>28C06369</v>
      </c>
      <c r="I8122" s="59" t="str">
        <f>IF(OR($A8122="",$C8122="",$D8122="",$E8122="",$H8122=""),"",SUMIFS(DATA_GOC!$H:$H,DATA_GOC!$A:$A,"BOM",DATA_GOC!$D:$D,$H8122,DATA_GOC!$E:$E,$C8122,DATA_GOC!$F:$F,"Xuất nội bộ từ téc",DATA_GOC!$B:$B,"&gt;="&amp;$D8122,DATA_GOC!$B:$B,"&lt;="&amp;$E8122))</f>
        <v/>
      </c>
      <c r="J8122" s="59">
        <f t="shared" si="28"/>
        <v>0</v>
      </c>
      <c r="K8122" s="59">
        <f t="shared" si="29"/>
        <v>0</v>
      </c>
      <c r="L8122" s="59">
        <f t="shared" si="30"/>
        <v>0</v>
      </c>
      <c r="M8122" s="59">
        <f t="shared" si="31"/>
        <v>0</v>
      </c>
    </row>
    <row r="8123" ht="15.0" hidden="1" customHeight="1">
      <c r="A8123" s="59">
        <f t="shared" si="20"/>
        <v>132</v>
      </c>
      <c r="B8123" s="59" t="str">
        <f t="shared" si="21"/>
        <v/>
      </c>
      <c r="C8123" s="59" t="str">
        <f t="shared" si="22"/>
        <v/>
      </c>
      <c r="D8123" s="45" t="str">
        <f t="shared" si="23"/>
        <v/>
      </c>
      <c r="E8123" s="45" t="str">
        <f t="shared" si="24"/>
        <v/>
      </c>
      <c r="F8123" s="59" t="str">
        <f t="shared" si="25"/>
        <v/>
      </c>
      <c r="G8123" s="59" t="str">
        <f t="shared" si="26"/>
        <v/>
      </c>
      <c r="H8123" s="59" t="str">
        <f t="shared" si="27"/>
        <v>28C06447</v>
      </c>
      <c r="I8123" s="59" t="str">
        <f>IF(OR($A8123="",$C8123="",$D8123="",$E8123="",$H8123=""),"",SUMIFS(DATA_GOC!$H:$H,DATA_GOC!$A:$A,"BOM",DATA_GOC!$D:$D,$H8123,DATA_GOC!$E:$E,$C8123,DATA_GOC!$F:$F,"Xuất nội bộ từ téc",DATA_GOC!$B:$B,"&gt;="&amp;$D8123,DATA_GOC!$B:$B,"&lt;="&amp;$E8123))</f>
        <v/>
      </c>
      <c r="J8123" s="59">
        <f t="shared" si="28"/>
        <v>0</v>
      </c>
      <c r="K8123" s="59">
        <f t="shared" si="29"/>
        <v>0</v>
      </c>
      <c r="L8123" s="59">
        <f t="shared" si="30"/>
        <v>0</v>
      </c>
      <c r="M8123" s="59">
        <f t="shared" si="31"/>
        <v>0</v>
      </c>
    </row>
    <row r="8124" ht="15.0" hidden="1" customHeight="1">
      <c r="A8124" s="59">
        <f t="shared" si="20"/>
        <v>132</v>
      </c>
      <c r="B8124" s="59" t="str">
        <f t="shared" si="21"/>
        <v/>
      </c>
      <c r="C8124" s="59" t="str">
        <f t="shared" si="22"/>
        <v/>
      </c>
      <c r="D8124" s="45" t="str">
        <f t="shared" si="23"/>
        <v/>
      </c>
      <c r="E8124" s="45" t="str">
        <f t="shared" si="24"/>
        <v/>
      </c>
      <c r="F8124" s="59" t="str">
        <f t="shared" si="25"/>
        <v/>
      </c>
      <c r="G8124" s="59" t="str">
        <f t="shared" si="26"/>
        <v/>
      </c>
      <c r="H8124" s="59" t="str">
        <f t="shared" si="27"/>
        <v>28H00003</v>
      </c>
      <c r="I8124" s="59" t="str">
        <f>IF(OR($A8124="",$C8124="",$D8124="",$E8124="",$H8124=""),"",SUMIFS(DATA_GOC!$H:$H,DATA_GOC!$A:$A,"BOM",DATA_GOC!$D:$D,$H8124,DATA_GOC!$E:$E,$C8124,DATA_GOC!$F:$F,"Xuất nội bộ từ téc",DATA_GOC!$B:$B,"&gt;="&amp;$D8124,DATA_GOC!$B:$B,"&lt;="&amp;$E8124))</f>
        <v/>
      </c>
      <c r="J8124" s="59">
        <f t="shared" si="28"/>
        <v>0</v>
      </c>
      <c r="K8124" s="59">
        <f t="shared" si="29"/>
        <v>0</v>
      </c>
      <c r="L8124" s="59">
        <f t="shared" si="30"/>
        <v>0</v>
      </c>
      <c r="M8124" s="59">
        <f t="shared" si="31"/>
        <v>0</v>
      </c>
    </row>
    <row r="8125" ht="15.0" hidden="1" customHeight="1">
      <c r="A8125" s="59">
        <f t="shared" si="20"/>
        <v>132</v>
      </c>
      <c r="B8125" s="59" t="str">
        <f t="shared" si="21"/>
        <v/>
      </c>
      <c r="C8125" s="59" t="str">
        <f t="shared" si="22"/>
        <v/>
      </c>
      <c r="D8125" s="45" t="str">
        <f t="shared" si="23"/>
        <v/>
      </c>
      <c r="E8125" s="45" t="str">
        <f t="shared" si="24"/>
        <v/>
      </c>
      <c r="F8125" s="59" t="str">
        <f t="shared" si="25"/>
        <v/>
      </c>
      <c r="G8125" s="59" t="str">
        <f t="shared" si="26"/>
        <v/>
      </c>
      <c r="H8125" s="59" t="str">
        <f t="shared" si="27"/>
        <v>28H00061</v>
      </c>
      <c r="I8125" s="59" t="str">
        <f>IF(OR($A8125="",$C8125="",$D8125="",$E8125="",$H8125=""),"",SUMIFS(DATA_GOC!$H:$H,DATA_GOC!$A:$A,"BOM",DATA_GOC!$D:$D,$H8125,DATA_GOC!$E:$E,$C8125,DATA_GOC!$F:$F,"Xuất nội bộ từ téc",DATA_GOC!$B:$B,"&gt;="&amp;$D8125,DATA_GOC!$B:$B,"&lt;="&amp;$E8125))</f>
        <v/>
      </c>
      <c r="J8125" s="59">
        <f t="shared" si="28"/>
        <v>0</v>
      </c>
      <c r="K8125" s="59">
        <f t="shared" si="29"/>
        <v>0</v>
      </c>
      <c r="L8125" s="59">
        <f t="shared" si="30"/>
        <v>0</v>
      </c>
      <c r="M8125" s="59">
        <f t="shared" si="31"/>
        <v>0</v>
      </c>
    </row>
    <row r="8126" ht="15.0" hidden="1" customHeight="1">
      <c r="A8126" s="59">
        <f t="shared" si="20"/>
        <v>132</v>
      </c>
      <c r="B8126" s="59" t="str">
        <f t="shared" si="21"/>
        <v/>
      </c>
      <c r="C8126" s="59" t="str">
        <f t="shared" si="22"/>
        <v/>
      </c>
      <c r="D8126" s="45" t="str">
        <f t="shared" si="23"/>
        <v/>
      </c>
      <c r="E8126" s="45" t="str">
        <f t="shared" si="24"/>
        <v/>
      </c>
      <c r="F8126" s="59" t="str">
        <f t="shared" si="25"/>
        <v/>
      </c>
      <c r="G8126" s="59" t="str">
        <f t="shared" si="26"/>
        <v/>
      </c>
      <c r="H8126" s="59" t="str">
        <f t="shared" si="27"/>
        <v>28H00354</v>
      </c>
      <c r="I8126" s="59" t="str">
        <f>IF(OR($A8126="",$C8126="",$D8126="",$E8126="",$H8126=""),"",SUMIFS(DATA_GOC!$H:$H,DATA_GOC!$A:$A,"BOM",DATA_GOC!$D:$D,$H8126,DATA_GOC!$E:$E,$C8126,DATA_GOC!$F:$F,"Xuất nội bộ từ téc",DATA_GOC!$B:$B,"&gt;="&amp;$D8126,DATA_GOC!$B:$B,"&lt;="&amp;$E8126))</f>
        <v/>
      </c>
      <c r="J8126" s="59">
        <f t="shared" si="28"/>
        <v>0</v>
      </c>
      <c r="K8126" s="59">
        <f t="shared" si="29"/>
        <v>0</v>
      </c>
      <c r="L8126" s="59">
        <f t="shared" si="30"/>
        <v>0</v>
      </c>
      <c r="M8126" s="59">
        <f t="shared" si="31"/>
        <v>0</v>
      </c>
    </row>
    <row r="8127" ht="15.0" hidden="1" customHeight="1">
      <c r="A8127" s="59">
        <f t="shared" si="20"/>
        <v>132</v>
      </c>
      <c r="B8127" s="59" t="str">
        <f t="shared" si="21"/>
        <v/>
      </c>
      <c r="C8127" s="59" t="str">
        <f t="shared" si="22"/>
        <v/>
      </c>
      <c r="D8127" s="45" t="str">
        <f t="shared" si="23"/>
        <v/>
      </c>
      <c r="E8127" s="45" t="str">
        <f t="shared" si="24"/>
        <v/>
      </c>
      <c r="F8127" s="59" t="str">
        <f t="shared" si="25"/>
        <v/>
      </c>
      <c r="G8127" s="59" t="str">
        <f t="shared" si="26"/>
        <v/>
      </c>
      <c r="H8127" s="59" t="str">
        <f t="shared" si="27"/>
        <v>28H00603</v>
      </c>
      <c r="I8127" s="59" t="str">
        <f>IF(OR($A8127="",$C8127="",$D8127="",$E8127="",$H8127=""),"",SUMIFS(DATA_GOC!$H:$H,DATA_GOC!$A:$A,"BOM",DATA_GOC!$D:$D,$H8127,DATA_GOC!$E:$E,$C8127,DATA_GOC!$F:$F,"Xuất nội bộ từ téc",DATA_GOC!$B:$B,"&gt;="&amp;$D8127,DATA_GOC!$B:$B,"&lt;="&amp;$E8127))</f>
        <v/>
      </c>
      <c r="J8127" s="59">
        <f t="shared" si="28"/>
        <v>0</v>
      </c>
      <c r="K8127" s="59">
        <f t="shared" si="29"/>
        <v>0</v>
      </c>
      <c r="L8127" s="59">
        <f t="shared" si="30"/>
        <v>0</v>
      </c>
      <c r="M8127" s="59">
        <f t="shared" si="31"/>
        <v>0</v>
      </c>
    </row>
    <row r="8128" ht="15.0" hidden="1" customHeight="1">
      <c r="A8128" s="59">
        <f t="shared" si="20"/>
        <v>132</v>
      </c>
      <c r="B8128" s="59" t="str">
        <f t="shared" si="21"/>
        <v/>
      </c>
      <c r="C8128" s="59" t="str">
        <f t="shared" si="22"/>
        <v/>
      </c>
      <c r="D8128" s="45" t="str">
        <f t="shared" si="23"/>
        <v/>
      </c>
      <c r="E8128" s="45" t="str">
        <f t="shared" si="24"/>
        <v/>
      </c>
      <c r="F8128" s="59" t="str">
        <f t="shared" si="25"/>
        <v/>
      </c>
      <c r="G8128" s="59" t="str">
        <f t="shared" si="26"/>
        <v/>
      </c>
      <c r="H8128" s="59" t="str">
        <f t="shared" si="27"/>
        <v>28H00609</v>
      </c>
      <c r="I8128" s="59" t="str">
        <f>IF(OR($A8128="",$C8128="",$D8128="",$E8128="",$H8128=""),"",SUMIFS(DATA_GOC!$H:$H,DATA_GOC!$A:$A,"BOM",DATA_GOC!$D:$D,$H8128,DATA_GOC!$E:$E,$C8128,DATA_GOC!$F:$F,"Xuất nội bộ từ téc",DATA_GOC!$B:$B,"&gt;="&amp;$D8128,DATA_GOC!$B:$B,"&lt;="&amp;$E8128))</f>
        <v/>
      </c>
      <c r="J8128" s="59">
        <f t="shared" si="28"/>
        <v>0</v>
      </c>
      <c r="K8128" s="59">
        <f t="shared" si="29"/>
        <v>0</v>
      </c>
      <c r="L8128" s="59">
        <f t="shared" si="30"/>
        <v>0</v>
      </c>
      <c r="M8128" s="59">
        <f t="shared" si="31"/>
        <v>0</v>
      </c>
    </row>
    <row r="8129" ht="15.0" hidden="1" customHeight="1">
      <c r="A8129" s="59">
        <f t="shared" si="20"/>
        <v>132</v>
      </c>
      <c r="B8129" s="59" t="str">
        <f t="shared" si="21"/>
        <v/>
      </c>
      <c r="C8129" s="59" t="str">
        <f t="shared" si="22"/>
        <v/>
      </c>
      <c r="D8129" s="45" t="str">
        <f t="shared" si="23"/>
        <v/>
      </c>
      <c r="E8129" s="45" t="str">
        <f t="shared" si="24"/>
        <v/>
      </c>
      <c r="F8129" s="59" t="str">
        <f t="shared" si="25"/>
        <v/>
      </c>
      <c r="G8129" s="59" t="str">
        <f t="shared" si="26"/>
        <v/>
      </c>
      <c r="H8129" s="59" t="str">
        <f t="shared" si="27"/>
        <v>28H00669</v>
      </c>
      <c r="I8129" s="59" t="str">
        <f>IF(OR($A8129="",$C8129="",$D8129="",$E8129="",$H8129=""),"",SUMIFS(DATA_GOC!$H:$H,DATA_GOC!$A:$A,"BOM",DATA_GOC!$D:$D,$H8129,DATA_GOC!$E:$E,$C8129,DATA_GOC!$F:$F,"Xuất nội bộ từ téc",DATA_GOC!$B:$B,"&gt;="&amp;$D8129,DATA_GOC!$B:$B,"&lt;="&amp;$E8129))</f>
        <v/>
      </c>
      <c r="J8129" s="59">
        <f t="shared" si="28"/>
        <v>0</v>
      </c>
      <c r="K8129" s="59">
        <f t="shared" si="29"/>
        <v>0</v>
      </c>
      <c r="L8129" s="59">
        <f t="shared" si="30"/>
        <v>0</v>
      </c>
      <c r="M8129" s="59">
        <f t="shared" si="31"/>
        <v>0</v>
      </c>
    </row>
    <row r="8130" ht="15.0" hidden="1" customHeight="1">
      <c r="A8130" s="59">
        <f t="shared" si="20"/>
        <v>132</v>
      </c>
      <c r="B8130" s="59" t="str">
        <f t="shared" si="21"/>
        <v/>
      </c>
      <c r="C8130" s="59" t="str">
        <f t="shared" si="22"/>
        <v/>
      </c>
      <c r="D8130" s="45" t="str">
        <f t="shared" si="23"/>
        <v/>
      </c>
      <c r="E8130" s="45" t="str">
        <f t="shared" si="24"/>
        <v/>
      </c>
      <c r="F8130" s="59" t="str">
        <f t="shared" si="25"/>
        <v/>
      </c>
      <c r="G8130" s="59" t="str">
        <f t="shared" si="26"/>
        <v/>
      </c>
      <c r="H8130" s="59" t="str">
        <f t="shared" si="27"/>
        <v>28H00680</v>
      </c>
      <c r="I8130" s="59" t="str">
        <f>IF(OR($A8130="",$C8130="",$D8130="",$E8130="",$H8130=""),"",SUMIFS(DATA_GOC!$H:$H,DATA_GOC!$A:$A,"BOM",DATA_GOC!$D:$D,$H8130,DATA_GOC!$E:$E,$C8130,DATA_GOC!$F:$F,"Xuất nội bộ từ téc",DATA_GOC!$B:$B,"&gt;="&amp;$D8130,DATA_GOC!$B:$B,"&lt;="&amp;$E8130))</f>
        <v/>
      </c>
      <c r="J8130" s="59">
        <f t="shared" si="28"/>
        <v>0</v>
      </c>
      <c r="K8130" s="59">
        <f t="shared" si="29"/>
        <v>0</v>
      </c>
      <c r="L8130" s="59">
        <f t="shared" si="30"/>
        <v>0</v>
      </c>
      <c r="M8130" s="59">
        <f t="shared" si="31"/>
        <v>0</v>
      </c>
    </row>
    <row r="8131" ht="15.0" hidden="1" customHeight="1">
      <c r="A8131" s="59">
        <f t="shared" si="20"/>
        <v>132</v>
      </c>
      <c r="B8131" s="59" t="str">
        <f t="shared" si="21"/>
        <v/>
      </c>
      <c r="C8131" s="59" t="str">
        <f t="shared" si="22"/>
        <v/>
      </c>
      <c r="D8131" s="45" t="str">
        <f t="shared" si="23"/>
        <v/>
      </c>
      <c r="E8131" s="45" t="str">
        <f t="shared" si="24"/>
        <v/>
      </c>
      <c r="F8131" s="59" t="str">
        <f t="shared" si="25"/>
        <v/>
      </c>
      <c r="G8131" s="59" t="str">
        <f t="shared" si="26"/>
        <v/>
      </c>
      <c r="H8131" s="59" t="str">
        <f t="shared" si="27"/>
        <v>28H01070</v>
      </c>
      <c r="I8131" s="59" t="str">
        <f>IF(OR($A8131="",$C8131="",$D8131="",$E8131="",$H8131=""),"",SUMIFS(DATA_GOC!$H:$H,DATA_GOC!$A:$A,"BOM",DATA_GOC!$D:$D,$H8131,DATA_GOC!$E:$E,$C8131,DATA_GOC!$F:$F,"Xuất nội bộ từ téc",DATA_GOC!$B:$B,"&gt;="&amp;$D8131,DATA_GOC!$B:$B,"&lt;="&amp;$E8131))</f>
        <v/>
      </c>
      <c r="J8131" s="59">
        <f t="shared" si="28"/>
        <v>0</v>
      </c>
      <c r="K8131" s="59">
        <f t="shared" si="29"/>
        <v>0</v>
      </c>
      <c r="L8131" s="59">
        <f t="shared" si="30"/>
        <v>0</v>
      </c>
      <c r="M8131" s="59">
        <f t="shared" si="31"/>
        <v>0</v>
      </c>
    </row>
    <row r="8132" ht="15.0" hidden="1" customHeight="1">
      <c r="A8132" s="59">
        <f t="shared" si="20"/>
        <v>132</v>
      </c>
      <c r="B8132" s="59" t="str">
        <f t="shared" si="21"/>
        <v/>
      </c>
      <c r="C8132" s="59" t="str">
        <f t="shared" si="22"/>
        <v/>
      </c>
      <c r="D8132" s="45" t="str">
        <f t="shared" si="23"/>
        <v/>
      </c>
      <c r="E8132" s="45" t="str">
        <f t="shared" si="24"/>
        <v/>
      </c>
      <c r="F8132" s="59" t="str">
        <f t="shared" si="25"/>
        <v/>
      </c>
      <c r="G8132" s="59" t="str">
        <f t="shared" si="26"/>
        <v/>
      </c>
      <c r="H8132" s="59" t="str">
        <f t="shared" si="27"/>
        <v>28H01364</v>
      </c>
      <c r="I8132" s="59" t="str">
        <f>IF(OR($A8132="",$C8132="",$D8132="",$E8132="",$H8132=""),"",SUMIFS(DATA_GOC!$H:$H,DATA_GOC!$A:$A,"BOM",DATA_GOC!$D:$D,$H8132,DATA_GOC!$E:$E,$C8132,DATA_GOC!$F:$F,"Xuất nội bộ từ téc",DATA_GOC!$B:$B,"&gt;="&amp;$D8132,DATA_GOC!$B:$B,"&lt;="&amp;$E8132))</f>
        <v/>
      </c>
      <c r="J8132" s="59">
        <f t="shared" si="28"/>
        <v>0</v>
      </c>
      <c r="K8132" s="59">
        <f t="shared" si="29"/>
        <v>0</v>
      </c>
      <c r="L8132" s="59">
        <f t="shared" si="30"/>
        <v>0</v>
      </c>
      <c r="M8132" s="59">
        <f t="shared" si="31"/>
        <v>0</v>
      </c>
    </row>
    <row r="8133" ht="15.0" hidden="1" customHeight="1">
      <c r="A8133" s="59">
        <f t="shared" si="20"/>
        <v>132</v>
      </c>
      <c r="B8133" s="59" t="str">
        <f t="shared" si="21"/>
        <v/>
      </c>
      <c r="C8133" s="59" t="str">
        <f t="shared" si="22"/>
        <v/>
      </c>
      <c r="D8133" s="45" t="str">
        <f t="shared" si="23"/>
        <v/>
      </c>
      <c r="E8133" s="45" t="str">
        <f t="shared" si="24"/>
        <v/>
      </c>
      <c r="F8133" s="59" t="str">
        <f t="shared" si="25"/>
        <v/>
      </c>
      <c r="G8133" s="59" t="str">
        <f t="shared" si="26"/>
        <v/>
      </c>
      <c r="H8133" s="59" t="str">
        <f t="shared" si="27"/>
        <v>29E17269</v>
      </c>
      <c r="I8133" s="59" t="str">
        <f>IF(OR($A8133="",$C8133="",$D8133="",$E8133="",$H8133=""),"",SUMIFS(DATA_GOC!$H:$H,DATA_GOC!$A:$A,"BOM",DATA_GOC!$D:$D,$H8133,DATA_GOC!$E:$E,$C8133,DATA_GOC!$F:$F,"Xuất nội bộ từ téc",DATA_GOC!$B:$B,"&gt;="&amp;$D8133,DATA_GOC!$B:$B,"&lt;="&amp;$E8133))</f>
        <v/>
      </c>
      <c r="J8133" s="59">
        <f t="shared" si="28"/>
        <v>0</v>
      </c>
      <c r="K8133" s="59">
        <f t="shared" si="29"/>
        <v>0</v>
      </c>
      <c r="L8133" s="59">
        <f t="shared" si="30"/>
        <v>0</v>
      </c>
      <c r="M8133" s="59">
        <f t="shared" si="31"/>
        <v>0</v>
      </c>
    </row>
    <row r="8134" ht="15.0" hidden="1" customHeight="1">
      <c r="A8134" s="59">
        <f t="shared" si="20"/>
        <v>132</v>
      </c>
      <c r="B8134" s="59" t="str">
        <f t="shared" si="21"/>
        <v/>
      </c>
      <c r="C8134" s="59" t="str">
        <f t="shared" si="22"/>
        <v/>
      </c>
      <c r="D8134" s="45" t="str">
        <f t="shared" si="23"/>
        <v/>
      </c>
      <c r="E8134" s="45" t="str">
        <f t="shared" si="24"/>
        <v/>
      </c>
      <c r="F8134" s="59" t="str">
        <f t="shared" si="25"/>
        <v/>
      </c>
      <c r="G8134" s="59" t="str">
        <f t="shared" si="26"/>
        <v/>
      </c>
      <c r="H8134" s="59" t="str">
        <f t="shared" si="27"/>
        <v>29E17273</v>
      </c>
      <c r="I8134" s="59" t="str">
        <f>IF(OR($A8134="",$C8134="",$D8134="",$E8134="",$H8134=""),"",SUMIFS(DATA_GOC!$H:$H,DATA_GOC!$A:$A,"BOM",DATA_GOC!$D:$D,$H8134,DATA_GOC!$E:$E,$C8134,DATA_GOC!$F:$F,"Xuất nội bộ từ téc",DATA_GOC!$B:$B,"&gt;="&amp;$D8134,DATA_GOC!$B:$B,"&lt;="&amp;$E8134))</f>
        <v/>
      </c>
      <c r="J8134" s="59">
        <f t="shared" si="28"/>
        <v>0</v>
      </c>
      <c r="K8134" s="59">
        <f t="shared" si="29"/>
        <v>0</v>
      </c>
      <c r="L8134" s="59">
        <f t="shared" si="30"/>
        <v>0</v>
      </c>
      <c r="M8134" s="59">
        <f t="shared" si="31"/>
        <v>0</v>
      </c>
    </row>
    <row r="8135" ht="15.0" hidden="1" customHeight="1">
      <c r="A8135" s="59">
        <f t="shared" si="20"/>
        <v>132</v>
      </c>
      <c r="B8135" s="59" t="str">
        <f t="shared" si="21"/>
        <v/>
      </c>
      <c r="C8135" s="59" t="str">
        <f t="shared" si="22"/>
        <v/>
      </c>
      <c r="D8135" s="45" t="str">
        <f t="shared" si="23"/>
        <v/>
      </c>
      <c r="E8135" s="45" t="str">
        <f t="shared" si="24"/>
        <v/>
      </c>
      <c r="F8135" s="59" t="str">
        <f t="shared" si="25"/>
        <v/>
      </c>
      <c r="G8135" s="59" t="str">
        <f t="shared" si="26"/>
        <v/>
      </c>
      <c r="H8135" s="59" t="str">
        <f t="shared" si="27"/>
        <v>29E17410</v>
      </c>
      <c r="I8135" s="59" t="str">
        <f>IF(OR($A8135="",$C8135="",$D8135="",$E8135="",$H8135=""),"",SUMIFS(DATA_GOC!$H:$H,DATA_GOC!$A:$A,"BOM",DATA_GOC!$D:$D,$H8135,DATA_GOC!$E:$E,$C8135,DATA_GOC!$F:$F,"Xuất nội bộ từ téc",DATA_GOC!$B:$B,"&gt;="&amp;$D8135,DATA_GOC!$B:$B,"&lt;="&amp;$E8135))</f>
        <v/>
      </c>
      <c r="J8135" s="59">
        <f t="shared" si="28"/>
        <v>0</v>
      </c>
      <c r="K8135" s="59">
        <f t="shared" si="29"/>
        <v>0</v>
      </c>
      <c r="L8135" s="59">
        <f t="shared" si="30"/>
        <v>0</v>
      </c>
      <c r="M8135" s="59">
        <f t="shared" si="31"/>
        <v>0</v>
      </c>
    </row>
    <row r="8136" ht="15.0" hidden="1" customHeight="1">
      <c r="A8136" s="59">
        <f t="shared" si="20"/>
        <v>132</v>
      </c>
      <c r="B8136" s="59" t="str">
        <f t="shared" si="21"/>
        <v/>
      </c>
      <c r="C8136" s="59" t="str">
        <f t="shared" si="22"/>
        <v/>
      </c>
      <c r="D8136" s="45" t="str">
        <f t="shared" si="23"/>
        <v/>
      </c>
      <c r="E8136" s="45" t="str">
        <f t="shared" si="24"/>
        <v/>
      </c>
      <c r="F8136" s="59" t="str">
        <f t="shared" si="25"/>
        <v/>
      </c>
      <c r="G8136" s="59" t="str">
        <f t="shared" si="26"/>
        <v/>
      </c>
      <c r="H8136" s="59" t="str">
        <f t="shared" si="27"/>
        <v>29E17417</v>
      </c>
      <c r="I8136" s="59" t="str">
        <f>IF(OR($A8136="",$C8136="",$D8136="",$E8136="",$H8136=""),"",SUMIFS(DATA_GOC!$H:$H,DATA_GOC!$A:$A,"BOM",DATA_GOC!$D:$D,$H8136,DATA_GOC!$E:$E,$C8136,DATA_GOC!$F:$F,"Xuất nội bộ từ téc",DATA_GOC!$B:$B,"&gt;="&amp;$D8136,DATA_GOC!$B:$B,"&lt;="&amp;$E8136))</f>
        <v/>
      </c>
      <c r="J8136" s="59">
        <f t="shared" si="28"/>
        <v>0</v>
      </c>
      <c r="K8136" s="59">
        <f t="shared" si="29"/>
        <v>0</v>
      </c>
      <c r="L8136" s="59">
        <f t="shared" si="30"/>
        <v>0</v>
      </c>
      <c r="M8136" s="59">
        <f t="shared" si="31"/>
        <v>0</v>
      </c>
    </row>
    <row r="8137" ht="15.0" hidden="1" customHeight="1">
      <c r="A8137" s="59">
        <f t="shared" si="20"/>
        <v>132</v>
      </c>
      <c r="B8137" s="59" t="str">
        <f t="shared" si="21"/>
        <v/>
      </c>
      <c r="C8137" s="59" t="str">
        <f t="shared" si="22"/>
        <v/>
      </c>
      <c r="D8137" s="45" t="str">
        <f t="shared" si="23"/>
        <v/>
      </c>
      <c r="E8137" s="45" t="str">
        <f t="shared" si="24"/>
        <v/>
      </c>
      <c r="F8137" s="59" t="str">
        <f t="shared" si="25"/>
        <v/>
      </c>
      <c r="G8137" s="59" t="str">
        <f t="shared" si="26"/>
        <v/>
      </c>
      <c r="H8137" s="59" t="str">
        <f t="shared" si="27"/>
        <v>29E17539</v>
      </c>
      <c r="I8137" s="59" t="str">
        <f>IF(OR($A8137="",$C8137="",$D8137="",$E8137="",$H8137=""),"",SUMIFS(DATA_GOC!$H:$H,DATA_GOC!$A:$A,"BOM",DATA_GOC!$D:$D,$H8137,DATA_GOC!$E:$E,$C8137,DATA_GOC!$F:$F,"Xuất nội bộ từ téc",DATA_GOC!$B:$B,"&gt;="&amp;$D8137,DATA_GOC!$B:$B,"&lt;="&amp;$E8137))</f>
        <v/>
      </c>
      <c r="J8137" s="59">
        <f t="shared" si="28"/>
        <v>0</v>
      </c>
      <c r="K8137" s="59">
        <f t="shared" si="29"/>
        <v>0</v>
      </c>
      <c r="L8137" s="59">
        <f t="shared" si="30"/>
        <v>0</v>
      </c>
      <c r="M8137" s="59">
        <f t="shared" si="31"/>
        <v>0</v>
      </c>
    </row>
    <row r="8138" ht="15.0" hidden="1" customHeight="1">
      <c r="A8138" s="59">
        <f t="shared" si="20"/>
        <v>132</v>
      </c>
      <c r="B8138" s="59" t="str">
        <f t="shared" si="21"/>
        <v/>
      </c>
      <c r="C8138" s="59" t="str">
        <f t="shared" si="22"/>
        <v/>
      </c>
      <c r="D8138" s="45" t="str">
        <f t="shared" si="23"/>
        <v/>
      </c>
      <c r="E8138" s="45" t="str">
        <f t="shared" si="24"/>
        <v/>
      </c>
      <c r="F8138" s="59" t="str">
        <f t="shared" si="25"/>
        <v/>
      </c>
      <c r="G8138" s="59" t="str">
        <f t="shared" si="26"/>
        <v/>
      </c>
      <c r="H8138" s="59" t="str">
        <f t="shared" si="27"/>
        <v>29E18160</v>
      </c>
      <c r="I8138" s="59" t="str">
        <f>IF(OR($A8138="",$C8138="",$D8138="",$E8138="",$H8138=""),"",SUMIFS(DATA_GOC!$H:$H,DATA_GOC!$A:$A,"BOM",DATA_GOC!$D:$D,$H8138,DATA_GOC!$E:$E,$C8138,DATA_GOC!$F:$F,"Xuất nội bộ từ téc",DATA_GOC!$B:$B,"&gt;="&amp;$D8138,DATA_GOC!$B:$B,"&lt;="&amp;$E8138))</f>
        <v/>
      </c>
      <c r="J8138" s="59">
        <f t="shared" si="28"/>
        <v>0</v>
      </c>
      <c r="K8138" s="59">
        <f t="shared" si="29"/>
        <v>0</v>
      </c>
      <c r="L8138" s="59">
        <f t="shared" si="30"/>
        <v>0</v>
      </c>
      <c r="M8138" s="59">
        <f t="shared" si="31"/>
        <v>0</v>
      </c>
    </row>
    <row r="8139" ht="15.0" hidden="1" customHeight="1">
      <c r="A8139" s="59">
        <f t="shared" si="20"/>
        <v>132</v>
      </c>
      <c r="B8139" s="59" t="str">
        <f t="shared" si="21"/>
        <v/>
      </c>
      <c r="C8139" s="59" t="str">
        <f t="shared" si="22"/>
        <v/>
      </c>
      <c r="D8139" s="45" t="str">
        <f t="shared" si="23"/>
        <v/>
      </c>
      <c r="E8139" s="45" t="str">
        <f t="shared" si="24"/>
        <v/>
      </c>
      <c r="F8139" s="59" t="str">
        <f t="shared" si="25"/>
        <v/>
      </c>
      <c r="G8139" s="59" t="str">
        <f t="shared" si="26"/>
        <v/>
      </c>
      <c r="H8139" s="59" t="str">
        <f t="shared" si="27"/>
        <v>Công trình Asphalt</v>
      </c>
      <c r="I8139" s="59" t="str">
        <f>IF(OR($A8139="",$C8139="",$D8139="",$E8139="",$H8139=""),"",SUMIFS(DATA_GOC!$H:$H,DATA_GOC!$A:$A,"BOM",DATA_GOC!$D:$D,$H8139,DATA_GOC!$E:$E,$C8139,DATA_GOC!$F:$F,"Xuất nội bộ từ téc",DATA_GOC!$B:$B,"&gt;="&amp;$D8139,DATA_GOC!$B:$B,"&lt;="&amp;$E8139))</f>
        <v/>
      </c>
      <c r="J8139" s="59">
        <f t="shared" si="28"/>
        <v>0</v>
      </c>
      <c r="K8139" s="59">
        <f t="shared" si="29"/>
        <v>0</v>
      </c>
      <c r="L8139" s="59">
        <f t="shared" si="30"/>
        <v>0</v>
      </c>
      <c r="M8139" s="59">
        <f t="shared" si="31"/>
        <v>0</v>
      </c>
    </row>
    <row r="8140" ht="15.0" hidden="1" customHeight="1">
      <c r="A8140" s="59">
        <f t="shared" si="20"/>
        <v>132</v>
      </c>
      <c r="B8140" s="59" t="str">
        <f t="shared" si="21"/>
        <v/>
      </c>
      <c r="C8140" s="59" t="str">
        <f t="shared" si="22"/>
        <v/>
      </c>
      <c r="D8140" s="45" t="str">
        <f t="shared" si="23"/>
        <v/>
      </c>
      <c r="E8140" s="45" t="str">
        <f t="shared" si="24"/>
        <v/>
      </c>
      <c r="F8140" s="59" t="str">
        <f t="shared" si="25"/>
        <v/>
      </c>
      <c r="G8140" s="59" t="str">
        <f t="shared" si="26"/>
        <v/>
      </c>
      <c r="H8140" s="59" t="str">
        <f t="shared" si="27"/>
        <v>LG53F</v>
      </c>
      <c r="I8140" s="59" t="str">
        <f>IF(OR($A8140="",$C8140="",$D8140="",$E8140="",$H8140=""),"",SUMIFS(DATA_GOC!$H:$H,DATA_GOC!$A:$A,"BOM",DATA_GOC!$D:$D,$H8140,DATA_GOC!$E:$E,$C8140,DATA_GOC!$F:$F,"Xuất nội bộ từ téc",DATA_GOC!$B:$B,"&gt;="&amp;$D8140,DATA_GOC!$B:$B,"&lt;="&amp;$E8140))</f>
        <v/>
      </c>
      <c r="J8140" s="59">
        <f t="shared" si="28"/>
        <v>0</v>
      </c>
      <c r="K8140" s="59">
        <f t="shared" si="29"/>
        <v>0</v>
      </c>
      <c r="L8140" s="59">
        <f t="shared" si="30"/>
        <v>0</v>
      </c>
      <c r="M8140" s="59">
        <f t="shared" si="31"/>
        <v>0</v>
      </c>
    </row>
    <row r="8141" ht="15.0" hidden="1" customHeight="1">
      <c r="A8141" s="59">
        <f t="shared" si="20"/>
        <v>132</v>
      </c>
      <c r="B8141" s="59" t="str">
        <f t="shared" si="21"/>
        <v/>
      </c>
      <c r="C8141" s="59" t="str">
        <f t="shared" si="22"/>
        <v/>
      </c>
      <c r="D8141" s="45" t="str">
        <f t="shared" si="23"/>
        <v/>
      </c>
      <c r="E8141" s="45" t="str">
        <f t="shared" si="24"/>
        <v/>
      </c>
      <c r="F8141" s="59" t="str">
        <f t="shared" si="25"/>
        <v/>
      </c>
      <c r="G8141" s="59" t="str">
        <f t="shared" si="26"/>
        <v/>
      </c>
      <c r="H8141" s="59" t="str">
        <f t="shared" si="27"/>
        <v>Máy phát điện</v>
      </c>
      <c r="I8141" s="59" t="str">
        <f>IF(OR($A8141="",$C8141="",$D8141="",$E8141="",$H8141=""),"",SUMIFS(DATA_GOC!$H:$H,DATA_GOC!$A:$A,"BOM",DATA_GOC!$D:$D,$H8141,DATA_GOC!$E:$E,$C8141,DATA_GOC!$F:$F,"Xuất nội bộ từ téc",DATA_GOC!$B:$B,"&gt;="&amp;$D8141,DATA_GOC!$B:$B,"&lt;="&amp;$E8141))</f>
        <v/>
      </c>
      <c r="J8141" s="59">
        <f t="shared" si="28"/>
        <v>0</v>
      </c>
      <c r="K8141" s="59">
        <f t="shared" si="29"/>
        <v>0</v>
      </c>
      <c r="L8141" s="59">
        <f t="shared" si="30"/>
        <v>0</v>
      </c>
      <c r="M8141" s="59">
        <f t="shared" si="31"/>
        <v>0</v>
      </c>
    </row>
    <row r="8142" ht="15.0" hidden="1" customHeight="1">
      <c r="A8142" s="59">
        <f t="shared" si="20"/>
        <v>132</v>
      </c>
      <c r="B8142" s="59" t="str">
        <f t="shared" si="21"/>
        <v/>
      </c>
      <c r="C8142" s="59" t="str">
        <f t="shared" si="22"/>
        <v/>
      </c>
      <c r="D8142" s="45" t="str">
        <f t="shared" si="23"/>
        <v/>
      </c>
      <c r="E8142" s="45" t="str">
        <f t="shared" si="24"/>
        <v/>
      </c>
      <c r="F8142" s="59" t="str">
        <f t="shared" si="25"/>
        <v/>
      </c>
      <c r="G8142" s="59" t="str">
        <f t="shared" si="26"/>
        <v/>
      </c>
      <c r="H8142" s="59" t="str">
        <f t="shared" si="27"/>
        <v>Máy rải thảm</v>
      </c>
      <c r="I8142" s="59" t="str">
        <f>IF(OR($A8142="",$C8142="",$D8142="",$E8142="",$H8142=""),"",SUMIFS(DATA_GOC!$H:$H,DATA_GOC!$A:$A,"BOM",DATA_GOC!$D:$D,$H8142,DATA_GOC!$E:$E,$C8142,DATA_GOC!$F:$F,"Xuất nội bộ từ téc",DATA_GOC!$B:$B,"&gt;="&amp;$D8142,DATA_GOC!$B:$B,"&lt;="&amp;$E8142))</f>
        <v/>
      </c>
      <c r="J8142" s="59">
        <f t="shared" si="28"/>
        <v>0</v>
      </c>
      <c r="K8142" s="59">
        <f t="shared" si="29"/>
        <v>0</v>
      </c>
      <c r="L8142" s="59">
        <f t="shared" si="30"/>
        <v>0</v>
      </c>
      <c r="M8142" s="59">
        <f t="shared" si="31"/>
        <v>0</v>
      </c>
    </row>
    <row r="8143" ht="15.0" hidden="1" customHeight="1">
      <c r="A8143" s="59">
        <f t="shared" si="20"/>
        <v>132</v>
      </c>
      <c r="B8143" s="59" t="str">
        <f t="shared" si="21"/>
        <v/>
      </c>
      <c r="C8143" s="59" t="str">
        <f t="shared" si="22"/>
        <v/>
      </c>
      <c r="D8143" s="45" t="str">
        <f t="shared" si="23"/>
        <v/>
      </c>
      <c r="E8143" s="45" t="str">
        <f t="shared" si="24"/>
        <v/>
      </c>
      <c r="F8143" s="59" t="str">
        <f t="shared" si="25"/>
        <v/>
      </c>
      <c r="G8143" s="59" t="str">
        <f t="shared" si="26"/>
        <v/>
      </c>
      <c r="H8143" s="59" t="str">
        <f t="shared" si="27"/>
        <v>Xúc Đào</v>
      </c>
      <c r="I8143" s="59" t="str">
        <f>IF(OR($A8143="",$C8143="",$D8143="",$E8143="",$H8143=""),"",SUMIFS(DATA_GOC!$H:$H,DATA_GOC!$A:$A,"BOM",DATA_GOC!$D:$D,$H8143,DATA_GOC!$E:$E,$C8143,DATA_GOC!$F:$F,"Xuất nội bộ từ téc",DATA_GOC!$B:$B,"&gt;="&amp;$D8143,DATA_GOC!$B:$B,"&lt;="&amp;$E8143))</f>
        <v/>
      </c>
      <c r="J8143" s="59">
        <f t="shared" si="28"/>
        <v>0</v>
      </c>
      <c r="K8143" s="59">
        <f t="shared" si="29"/>
        <v>0</v>
      </c>
      <c r="L8143" s="59">
        <f t="shared" si="30"/>
        <v>0</v>
      </c>
      <c r="M8143" s="59">
        <f t="shared" si="31"/>
        <v>0</v>
      </c>
    </row>
    <row r="8144" ht="15.0" hidden="1" customHeight="1">
      <c r="A8144" s="59">
        <f t="shared" si="20"/>
        <v>132</v>
      </c>
      <c r="B8144" s="59" t="str">
        <f t="shared" si="21"/>
        <v/>
      </c>
      <c r="C8144" s="59" t="str">
        <f t="shared" si="22"/>
        <v/>
      </c>
      <c r="D8144" s="45" t="str">
        <f t="shared" si="23"/>
        <v/>
      </c>
      <c r="E8144" s="45" t="str">
        <f t="shared" si="24"/>
        <v/>
      </c>
      <c r="F8144" s="59" t="str">
        <f t="shared" si="25"/>
        <v/>
      </c>
      <c r="G8144" s="59" t="str">
        <f t="shared" si="26"/>
        <v/>
      </c>
      <c r="H8144" s="59" t="str">
        <f t="shared" si="27"/>
        <v>Xúclật asphalt</v>
      </c>
      <c r="I8144" s="59" t="str">
        <f>IF(OR($A8144="",$C8144="",$D8144="",$E8144="",$H8144=""),"",SUMIFS(DATA_GOC!$H:$H,DATA_GOC!$A:$A,"BOM",DATA_GOC!$D:$D,$H8144,DATA_GOC!$E:$E,$C8144,DATA_GOC!$F:$F,"Xuất nội bộ từ téc",DATA_GOC!$B:$B,"&gt;="&amp;$D8144,DATA_GOC!$B:$B,"&lt;="&amp;$E8144))</f>
        <v/>
      </c>
      <c r="J8144" s="59">
        <f t="shared" si="28"/>
        <v>0</v>
      </c>
      <c r="K8144" s="59">
        <f t="shared" si="29"/>
        <v>0</v>
      </c>
      <c r="L8144" s="59">
        <f t="shared" si="30"/>
        <v>0</v>
      </c>
      <c r="M8144" s="59">
        <f t="shared" si="31"/>
        <v>0</v>
      </c>
    </row>
    <row r="8145" ht="15.0" hidden="1" customHeight="1">
      <c r="A8145" s="59">
        <f t="shared" si="20"/>
        <v>132</v>
      </c>
      <c r="B8145" s="59" t="str">
        <f t="shared" si="21"/>
        <v/>
      </c>
      <c r="C8145" s="59" t="str">
        <f t="shared" si="22"/>
        <v/>
      </c>
      <c r="D8145" s="45" t="str">
        <f t="shared" si="23"/>
        <v/>
      </c>
      <c r="E8145" s="45" t="str">
        <f t="shared" si="24"/>
        <v/>
      </c>
      <c r="F8145" s="59" t="str">
        <f t="shared" si="25"/>
        <v/>
      </c>
      <c r="G8145" s="59" t="str">
        <f t="shared" si="26"/>
        <v/>
      </c>
      <c r="H8145" s="59" t="str">
        <f t="shared" si="27"/>
        <v>Xúclật855H</v>
      </c>
      <c r="I8145" s="59" t="str">
        <f>IF(OR($A8145="",$C8145="",$D8145="",$E8145="",$H8145=""),"",SUMIFS(DATA_GOC!$H:$H,DATA_GOC!$A:$A,"BOM",DATA_GOC!$D:$D,$H8145,DATA_GOC!$E:$E,$C8145,DATA_GOC!$F:$F,"Xuất nội bộ từ téc",DATA_GOC!$B:$B,"&gt;="&amp;$D8145,DATA_GOC!$B:$B,"&lt;="&amp;$E8145))</f>
        <v/>
      </c>
      <c r="J8145" s="59">
        <f t="shared" si="28"/>
        <v>0</v>
      </c>
      <c r="K8145" s="59">
        <f t="shared" si="29"/>
        <v>0</v>
      </c>
      <c r="L8145" s="59">
        <f t="shared" si="30"/>
        <v>0</v>
      </c>
      <c r="M8145" s="59">
        <f t="shared" si="31"/>
        <v>0</v>
      </c>
    </row>
    <row r="8146" ht="15.0" hidden="1" customHeight="1">
      <c r="A8146" s="59">
        <f t="shared" si="20"/>
        <v>132</v>
      </c>
      <c r="B8146" s="59" t="str">
        <f t="shared" si="21"/>
        <v/>
      </c>
      <c r="C8146" s="59" t="str">
        <f t="shared" si="22"/>
        <v/>
      </c>
      <c r="D8146" s="45" t="str">
        <f t="shared" si="23"/>
        <v/>
      </c>
      <c r="E8146" s="45" t="str">
        <f t="shared" si="24"/>
        <v/>
      </c>
      <c r="F8146" s="59" t="str">
        <f t="shared" si="25"/>
        <v/>
      </c>
      <c r="G8146" s="59" t="str">
        <f t="shared" si="26"/>
        <v/>
      </c>
      <c r="H8146" s="59" t="str">
        <f t="shared" si="27"/>
        <v>Xúclật855N</v>
      </c>
      <c r="I8146" s="59" t="str">
        <f>IF(OR($A8146="",$C8146="",$D8146="",$E8146="",$H8146=""),"",SUMIFS(DATA_GOC!$H:$H,DATA_GOC!$A:$A,"BOM",DATA_GOC!$D:$D,$H8146,DATA_GOC!$E:$E,$C8146,DATA_GOC!$F:$F,"Xuất nội bộ từ téc",DATA_GOC!$B:$B,"&gt;="&amp;$D8146,DATA_GOC!$B:$B,"&lt;="&amp;$E8146))</f>
        <v/>
      </c>
      <c r="J8146" s="59">
        <f t="shared" si="28"/>
        <v>0</v>
      </c>
      <c r="K8146" s="59">
        <f t="shared" si="29"/>
        <v>0</v>
      </c>
      <c r="L8146" s="59">
        <f t="shared" si="30"/>
        <v>0</v>
      </c>
      <c r="M8146" s="59">
        <f t="shared" si="31"/>
        <v>0</v>
      </c>
    </row>
    <row r="8147" ht="15.0" hidden="1" customHeight="1">
      <c r="A8147" s="59">
        <f t="shared" si="20"/>
        <v>132</v>
      </c>
      <c r="B8147" s="59" t="str">
        <f t="shared" si="21"/>
        <v/>
      </c>
      <c r="C8147" s="59" t="str">
        <f t="shared" si="22"/>
        <v/>
      </c>
      <c r="D8147" s="45" t="str">
        <f t="shared" si="23"/>
        <v/>
      </c>
      <c r="E8147" s="45" t="str">
        <f t="shared" si="24"/>
        <v/>
      </c>
      <c r="F8147" s="59" t="str">
        <f t="shared" si="25"/>
        <v/>
      </c>
      <c r="G8147" s="59" t="str">
        <f t="shared" si="26"/>
        <v/>
      </c>
      <c r="H8147" s="59" t="str">
        <f t="shared" si="27"/>
        <v>Cát nghiền</v>
      </c>
      <c r="I8147" s="59" t="str">
        <f>IF(OR($A8147="",$C8147="",$D8147="",$E8147="",$H8147=""),"",SUMIFS(DATA_GOC!$H:$H,DATA_GOC!$A:$A,"BOM",DATA_GOC!$D:$D,$H8147,DATA_GOC!$E:$E,$C8147,DATA_GOC!$F:$F,"Xuất nội bộ từ téc",DATA_GOC!$B:$B,"&gt;="&amp;$D8147,DATA_GOC!$B:$B,"&lt;="&amp;$E8147))</f>
        <v/>
      </c>
      <c r="J8147" s="59">
        <f t="shared" si="28"/>
        <v>0</v>
      </c>
      <c r="K8147" s="59">
        <f t="shared" si="29"/>
        <v>0</v>
      </c>
      <c r="L8147" s="59">
        <f t="shared" si="30"/>
        <v>0</v>
      </c>
      <c r="M8147" s="59">
        <f t="shared" si="31"/>
        <v>0</v>
      </c>
    </row>
    <row r="8148" ht="15.0" hidden="1" customHeight="1">
      <c r="A8148" s="59">
        <f t="shared" si="20"/>
        <v>132</v>
      </c>
      <c r="B8148" s="59" t="str">
        <f t="shared" si="21"/>
        <v/>
      </c>
      <c r="C8148" s="59" t="str">
        <f t="shared" si="22"/>
        <v/>
      </c>
      <c r="D8148" s="45" t="str">
        <f t="shared" si="23"/>
        <v/>
      </c>
      <c r="E8148" s="45" t="str">
        <f t="shared" si="24"/>
        <v/>
      </c>
      <c r="F8148" s="59" t="str">
        <f t="shared" si="25"/>
        <v/>
      </c>
      <c r="G8148" s="59" t="str">
        <f t="shared" si="26"/>
        <v/>
      </c>
      <c r="H8148" s="59" t="str">
        <f t="shared" si="27"/>
        <v>28C02973</v>
      </c>
      <c r="I8148" s="59" t="str">
        <f>IF(OR($A8148="",$C8148="",$D8148="",$E8148="",$H8148=""),"",SUMIFS(DATA_GOC!$H:$H,DATA_GOC!$A:$A,"BOM",DATA_GOC!$D:$D,$H8148,DATA_GOC!$E:$E,$C8148,DATA_GOC!$F:$F,"Xuất nội bộ từ téc",DATA_GOC!$B:$B,"&gt;="&amp;$D8148,DATA_GOC!$B:$B,"&lt;="&amp;$E8148))</f>
        <v/>
      </c>
      <c r="J8148" s="59">
        <f t="shared" si="28"/>
        <v>0</v>
      </c>
      <c r="K8148" s="59">
        <f t="shared" si="29"/>
        <v>0</v>
      </c>
      <c r="L8148" s="59">
        <f t="shared" si="30"/>
        <v>0</v>
      </c>
      <c r="M8148" s="59">
        <f t="shared" si="31"/>
        <v>0</v>
      </c>
    </row>
    <row r="8149" ht="15.0" hidden="1" customHeight="1">
      <c r="A8149" s="59">
        <f t="shared" si="20"/>
        <v>132</v>
      </c>
      <c r="B8149" s="59" t="str">
        <f t="shared" si="21"/>
        <v/>
      </c>
      <c r="C8149" s="59" t="str">
        <f t="shared" si="22"/>
        <v/>
      </c>
      <c r="D8149" s="45" t="str">
        <f t="shared" si="23"/>
        <v/>
      </c>
      <c r="E8149" s="45" t="str">
        <f t="shared" si="24"/>
        <v/>
      </c>
      <c r="F8149" s="59" t="str">
        <f t="shared" si="25"/>
        <v/>
      </c>
      <c r="G8149" s="59" t="str">
        <f t="shared" si="26"/>
        <v/>
      </c>
      <c r="H8149" s="59" t="str">
        <f t="shared" si="27"/>
        <v>28C03044</v>
      </c>
      <c r="I8149" s="59" t="str">
        <f>IF(OR($A8149="",$C8149="",$D8149="",$E8149="",$H8149=""),"",SUMIFS(DATA_GOC!$H:$H,DATA_GOC!$A:$A,"BOM",DATA_GOC!$D:$D,$H8149,DATA_GOC!$E:$E,$C8149,DATA_GOC!$F:$F,"Xuất nội bộ từ téc",DATA_GOC!$B:$B,"&gt;="&amp;$D8149,DATA_GOC!$B:$B,"&lt;="&amp;$E8149))</f>
        <v/>
      </c>
      <c r="J8149" s="59">
        <f t="shared" si="28"/>
        <v>0</v>
      </c>
      <c r="K8149" s="59">
        <f t="shared" si="29"/>
        <v>0</v>
      </c>
      <c r="L8149" s="59">
        <f t="shared" si="30"/>
        <v>0</v>
      </c>
      <c r="M8149" s="59">
        <f t="shared" si="31"/>
        <v>0</v>
      </c>
    </row>
    <row r="8150" ht="15.0" hidden="1" customHeight="1">
      <c r="A8150" s="59">
        <f t="shared" si="20"/>
        <v>132</v>
      </c>
      <c r="B8150" s="59" t="str">
        <f t="shared" si="21"/>
        <v/>
      </c>
      <c r="C8150" s="59" t="str">
        <f t="shared" si="22"/>
        <v/>
      </c>
      <c r="D8150" s="45" t="str">
        <f t="shared" si="23"/>
        <v/>
      </c>
      <c r="E8150" s="45" t="str">
        <f t="shared" si="24"/>
        <v/>
      </c>
      <c r="F8150" s="59" t="str">
        <f t="shared" si="25"/>
        <v/>
      </c>
      <c r="G8150" s="59" t="str">
        <f t="shared" si="26"/>
        <v/>
      </c>
      <c r="H8150" s="59" t="str">
        <f t="shared" si="27"/>
        <v>Máy lu lốp</v>
      </c>
      <c r="I8150" s="59" t="str">
        <f>IF(OR($A8150="",$C8150="",$D8150="",$E8150="",$H8150=""),"",SUMIFS(DATA_GOC!$H:$H,DATA_GOC!$A:$A,"BOM",DATA_GOC!$D:$D,$H8150,DATA_GOC!$E:$E,$C8150,DATA_GOC!$F:$F,"Xuất nội bộ từ téc",DATA_GOC!$B:$B,"&gt;="&amp;$D8150,DATA_GOC!$B:$B,"&lt;="&amp;$E8150))</f>
        <v/>
      </c>
      <c r="J8150" s="59">
        <f t="shared" si="28"/>
        <v>0</v>
      </c>
      <c r="K8150" s="59">
        <f t="shared" si="29"/>
        <v>0</v>
      </c>
      <c r="L8150" s="59">
        <f t="shared" si="30"/>
        <v>0</v>
      </c>
      <c r="M8150" s="59">
        <f t="shared" si="31"/>
        <v>0</v>
      </c>
    </row>
    <row r="8151" ht="15.0" hidden="1" customHeight="1">
      <c r="A8151" s="59">
        <f t="shared" si="20"/>
        <v>132</v>
      </c>
      <c r="B8151" s="59" t="str">
        <f t="shared" si="21"/>
        <v/>
      </c>
      <c r="C8151" s="59" t="str">
        <f t="shared" si="22"/>
        <v/>
      </c>
      <c r="D8151" s="45" t="str">
        <f t="shared" si="23"/>
        <v/>
      </c>
      <c r="E8151" s="45" t="str">
        <f t="shared" si="24"/>
        <v/>
      </c>
      <c r="F8151" s="59" t="str">
        <f t="shared" si="25"/>
        <v/>
      </c>
      <c r="G8151" s="59" t="str">
        <f t="shared" si="26"/>
        <v/>
      </c>
      <c r="H8151" s="59" t="str">
        <f t="shared" si="27"/>
        <v>Xe 600148</v>
      </c>
      <c r="I8151" s="59" t="str">
        <f>IF(OR($A8151="",$C8151="",$D8151="",$E8151="",$H8151=""),"",SUMIFS(DATA_GOC!$H:$H,DATA_GOC!$A:$A,"BOM",DATA_GOC!$D:$D,$H8151,DATA_GOC!$E:$E,$C8151,DATA_GOC!$F:$F,"Xuất nội bộ từ téc",DATA_GOC!$B:$B,"&gt;="&amp;$D8151,DATA_GOC!$B:$B,"&lt;="&amp;$E8151))</f>
        <v/>
      </c>
      <c r="J8151" s="59">
        <f t="shared" si="28"/>
        <v>0</v>
      </c>
      <c r="K8151" s="59">
        <f t="shared" si="29"/>
        <v>0</v>
      </c>
      <c r="L8151" s="59">
        <f t="shared" si="30"/>
        <v>0</v>
      </c>
      <c r="M8151" s="59">
        <f t="shared" si="31"/>
        <v>0</v>
      </c>
    </row>
    <row r="8152" ht="15.0" hidden="1" customHeight="1">
      <c r="A8152" s="59">
        <f t="shared" si="20"/>
        <v>132</v>
      </c>
      <c r="B8152" s="59" t="str">
        <f t="shared" si="21"/>
        <v/>
      </c>
      <c r="C8152" s="59" t="str">
        <f t="shared" si="22"/>
        <v/>
      </c>
      <c r="D8152" s="45" t="str">
        <f t="shared" si="23"/>
        <v/>
      </c>
      <c r="E8152" s="45" t="str">
        <f t="shared" si="24"/>
        <v/>
      </c>
      <c r="F8152" s="59" t="str">
        <f t="shared" si="25"/>
        <v/>
      </c>
      <c r="G8152" s="59" t="str">
        <f t="shared" si="26"/>
        <v/>
      </c>
      <c r="H8152" s="59" t="str">
        <f t="shared" si="27"/>
        <v>Xe ben mới</v>
      </c>
      <c r="I8152" s="59" t="str">
        <f>IF(OR($A8152="",$C8152="",$D8152="",$E8152="",$H8152=""),"",SUMIFS(DATA_GOC!$H:$H,DATA_GOC!$A:$A,"BOM",DATA_GOC!$D:$D,$H8152,DATA_GOC!$E:$E,$C8152,DATA_GOC!$F:$F,"Xuất nội bộ từ téc",DATA_GOC!$B:$B,"&gt;="&amp;$D8152,DATA_GOC!$B:$B,"&lt;="&amp;$E8152))</f>
        <v/>
      </c>
      <c r="J8152" s="59">
        <f t="shared" si="28"/>
        <v>0</v>
      </c>
      <c r="K8152" s="59">
        <f t="shared" si="29"/>
        <v>0</v>
      </c>
      <c r="L8152" s="59">
        <f t="shared" si="30"/>
        <v>0</v>
      </c>
      <c r="M8152" s="59">
        <f t="shared" si="31"/>
        <v>0</v>
      </c>
    </row>
    <row r="8153" ht="15.0" hidden="1" customHeight="1">
      <c r="A8153" s="59">
        <f t="shared" si="20"/>
        <v>133</v>
      </c>
      <c r="B8153" s="59" t="str">
        <f t="shared" si="21"/>
        <v/>
      </c>
      <c r="C8153" s="59" t="str">
        <f t="shared" si="22"/>
        <v/>
      </c>
      <c r="D8153" s="45" t="str">
        <f t="shared" si="23"/>
        <v/>
      </c>
      <c r="E8153" s="45" t="str">
        <f t="shared" si="24"/>
        <v/>
      </c>
      <c r="F8153" s="59" t="str">
        <f t="shared" si="25"/>
        <v/>
      </c>
      <c r="G8153" s="59" t="str">
        <f t="shared" si="26"/>
        <v/>
      </c>
      <c r="H8153" s="59" t="str">
        <f t="shared" si="27"/>
        <v>19H09482</v>
      </c>
      <c r="I8153" s="59" t="str">
        <f>IF(OR($A8153="",$C8153="",$D8153="",$E8153="",$H8153=""),"",SUMIFS(DATA_GOC!$H:$H,DATA_GOC!$A:$A,"BOM",DATA_GOC!$D:$D,$H8153,DATA_GOC!$E:$E,$C8153,DATA_GOC!$F:$F,"Xuất nội bộ từ téc",DATA_GOC!$B:$B,"&gt;="&amp;$D8153,DATA_GOC!$B:$B,"&lt;="&amp;$E8153))</f>
        <v/>
      </c>
      <c r="J8153" s="59">
        <f t="shared" si="28"/>
        <v>0</v>
      </c>
      <c r="K8153" s="59">
        <f t="shared" si="29"/>
        <v>0</v>
      </c>
      <c r="L8153" s="59">
        <f t="shared" si="30"/>
        <v>0</v>
      </c>
      <c r="M8153" s="59">
        <f t="shared" si="31"/>
        <v>0</v>
      </c>
    </row>
    <row r="8154" ht="15.0" hidden="1" customHeight="1">
      <c r="A8154" s="59">
        <f t="shared" si="20"/>
        <v>133</v>
      </c>
      <c r="B8154" s="59" t="str">
        <f t="shared" si="21"/>
        <v/>
      </c>
      <c r="C8154" s="59" t="str">
        <f t="shared" si="22"/>
        <v/>
      </c>
      <c r="D8154" s="45" t="str">
        <f t="shared" si="23"/>
        <v/>
      </c>
      <c r="E8154" s="45" t="str">
        <f t="shared" si="24"/>
        <v/>
      </c>
      <c r="F8154" s="59" t="str">
        <f t="shared" si="25"/>
        <v/>
      </c>
      <c r="G8154" s="59" t="str">
        <f t="shared" si="26"/>
        <v/>
      </c>
      <c r="H8154" s="59" t="str">
        <f t="shared" si="27"/>
        <v>28A30696</v>
      </c>
      <c r="I8154" s="59" t="str">
        <f>IF(OR($A8154="",$C8154="",$D8154="",$E8154="",$H8154=""),"",SUMIFS(DATA_GOC!$H:$H,DATA_GOC!$A:$A,"BOM",DATA_GOC!$D:$D,$H8154,DATA_GOC!$E:$E,$C8154,DATA_GOC!$F:$F,"Xuất nội bộ từ téc",DATA_GOC!$B:$B,"&gt;="&amp;$D8154,DATA_GOC!$B:$B,"&lt;="&amp;$E8154))</f>
        <v/>
      </c>
      <c r="J8154" s="59">
        <f t="shared" si="28"/>
        <v>0</v>
      </c>
      <c r="K8154" s="59">
        <f t="shared" si="29"/>
        <v>0</v>
      </c>
      <c r="L8154" s="59">
        <f t="shared" si="30"/>
        <v>0</v>
      </c>
      <c r="M8154" s="59">
        <f t="shared" si="31"/>
        <v>0</v>
      </c>
    </row>
    <row r="8155" ht="15.0" hidden="1" customHeight="1">
      <c r="A8155" s="59">
        <f t="shared" si="20"/>
        <v>133</v>
      </c>
      <c r="B8155" s="59" t="str">
        <f t="shared" si="21"/>
        <v/>
      </c>
      <c r="C8155" s="59" t="str">
        <f t="shared" si="22"/>
        <v/>
      </c>
      <c r="D8155" s="45" t="str">
        <f t="shared" si="23"/>
        <v/>
      </c>
      <c r="E8155" s="45" t="str">
        <f t="shared" si="24"/>
        <v/>
      </c>
      <c r="F8155" s="59" t="str">
        <f t="shared" si="25"/>
        <v/>
      </c>
      <c r="G8155" s="59" t="str">
        <f t="shared" si="26"/>
        <v/>
      </c>
      <c r="H8155" s="59" t="str">
        <f t="shared" si="27"/>
        <v>28C00462</v>
      </c>
      <c r="I8155" s="59" t="str">
        <f>IF(OR($A8155="",$C8155="",$D8155="",$E8155="",$H8155=""),"",SUMIFS(DATA_GOC!$H:$H,DATA_GOC!$A:$A,"BOM",DATA_GOC!$D:$D,$H8155,DATA_GOC!$E:$E,$C8155,DATA_GOC!$F:$F,"Xuất nội bộ từ téc",DATA_GOC!$B:$B,"&gt;="&amp;$D8155,DATA_GOC!$B:$B,"&lt;="&amp;$E8155))</f>
        <v/>
      </c>
      <c r="J8155" s="59">
        <f t="shared" si="28"/>
        <v>0</v>
      </c>
      <c r="K8155" s="59">
        <f t="shared" si="29"/>
        <v>0</v>
      </c>
      <c r="L8155" s="59">
        <f t="shared" si="30"/>
        <v>0</v>
      </c>
      <c r="M8155" s="59">
        <f t="shared" si="31"/>
        <v>0</v>
      </c>
    </row>
    <row r="8156" ht="15.0" hidden="1" customHeight="1">
      <c r="A8156" s="59">
        <f t="shared" si="20"/>
        <v>133</v>
      </c>
      <c r="B8156" s="59" t="str">
        <f t="shared" si="21"/>
        <v/>
      </c>
      <c r="C8156" s="59" t="str">
        <f t="shared" si="22"/>
        <v/>
      </c>
      <c r="D8156" s="45" t="str">
        <f t="shared" si="23"/>
        <v/>
      </c>
      <c r="E8156" s="45" t="str">
        <f t="shared" si="24"/>
        <v/>
      </c>
      <c r="F8156" s="59" t="str">
        <f t="shared" si="25"/>
        <v/>
      </c>
      <c r="G8156" s="59" t="str">
        <f t="shared" si="26"/>
        <v/>
      </c>
      <c r="H8156" s="59" t="str">
        <f t="shared" si="27"/>
        <v>28C01165</v>
      </c>
      <c r="I8156" s="59" t="str">
        <f>IF(OR($A8156="",$C8156="",$D8156="",$E8156="",$H8156=""),"",SUMIFS(DATA_GOC!$H:$H,DATA_GOC!$A:$A,"BOM",DATA_GOC!$D:$D,$H8156,DATA_GOC!$E:$E,$C8156,DATA_GOC!$F:$F,"Xuất nội bộ từ téc",DATA_GOC!$B:$B,"&gt;="&amp;$D8156,DATA_GOC!$B:$B,"&lt;="&amp;$E8156))</f>
        <v/>
      </c>
      <c r="J8156" s="59">
        <f t="shared" si="28"/>
        <v>0</v>
      </c>
      <c r="K8156" s="59">
        <f t="shared" si="29"/>
        <v>0</v>
      </c>
      <c r="L8156" s="59">
        <f t="shared" si="30"/>
        <v>0</v>
      </c>
      <c r="M8156" s="59">
        <f t="shared" si="31"/>
        <v>0</v>
      </c>
    </row>
    <row r="8157" ht="15.0" hidden="1" customHeight="1">
      <c r="A8157" s="59">
        <f t="shared" si="20"/>
        <v>133</v>
      </c>
      <c r="B8157" s="59" t="str">
        <f t="shared" si="21"/>
        <v/>
      </c>
      <c r="C8157" s="59" t="str">
        <f t="shared" si="22"/>
        <v/>
      </c>
      <c r="D8157" s="45" t="str">
        <f t="shared" si="23"/>
        <v/>
      </c>
      <c r="E8157" s="45" t="str">
        <f t="shared" si="24"/>
        <v/>
      </c>
      <c r="F8157" s="59" t="str">
        <f t="shared" si="25"/>
        <v/>
      </c>
      <c r="G8157" s="59" t="str">
        <f t="shared" si="26"/>
        <v/>
      </c>
      <c r="H8157" s="59" t="str">
        <f t="shared" si="27"/>
        <v>28C01406</v>
      </c>
      <c r="I8157" s="59" t="str">
        <f>IF(OR($A8157="",$C8157="",$D8157="",$E8157="",$H8157=""),"",SUMIFS(DATA_GOC!$H:$H,DATA_GOC!$A:$A,"BOM",DATA_GOC!$D:$D,$H8157,DATA_GOC!$E:$E,$C8157,DATA_GOC!$F:$F,"Xuất nội bộ từ téc",DATA_GOC!$B:$B,"&gt;="&amp;$D8157,DATA_GOC!$B:$B,"&lt;="&amp;$E8157))</f>
        <v/>
      </c>
      <c r="J8157" s="59">
        <f t="shared" si="28"/>
        <v>0</v>
      </c>
      <c r="K8157" s="59">
        <f t="shared" si="29"/>
        <v>0</v>
      </c>
      <c r="L8157" s="59">
        <f t="shared" si="30"/>
        <v>0</v>
      </c>
      <c r="M8157" s="59">
        <f t="shared" si="31"/>
        <v>0</v>
      </c>
    </row>
    <row r="8158" ht="15.0" hidden="1" customHeight="1">
      <c r="A8158" s="59">
        <f t="shared" si="20"/>
        <v>133</v>
      </c>
      <c r="B8158" s="59" t="str">
        <f t="shared" si="21"/>
        <v/>
      </c>
      <c r="C8158" s="59" t="str">
        <f t="shared" si="22"/>
        <v/>
      </c>
      <c r="D8158" s="45" t="str">
        <f t="shared" si="23"/>
        <v/>
      </c>
      <c r="E8158" s="45" t="str">
        <f t="shared" si="24"/>
        <v/>
      </c>
      <c r="F8158" s="59" t="str">
        <f t="shared" si="25"/>
        <v/>
      </c>
      <c r="G8158" s="59" t="str">
        <f t="shared" si="26"/>
        <v/>
      </c>
      <c r="H8158" s="59" t="str">
        <f t="shared" si="27"/>
        <v>28C01544</v>
      </c>
      <c r="I8158" s="59" t="str">
        <f>IF(OR($A8158="",$C8158="",$D8158="",$E8158="",$H8158=""),"",SUMIFS(DATA_GOC!$H:$H,DATA_GOC!$A:$A,"BOM",DATA_GOC!$D:$D,$H8158,DATA_GOC!$E:$E,$C8158,DATA_GOC!$F:$F,"Xuất nội bộ từ téc",DATA_GOC!$B:$B,"&gt;="&amp;$D8158,DATA_GOC!$B:$B,"&lt;="&amp;$E8158))</f>
        <v/>
      </c>
      <c r="J8158" s="59">
        <f t="shared" si="28"/>
        <v>0</v>
      </c>
      <c r="K8158" s="59">
        <f t="shared" si="29"/>
        <v>0</v>
      </c>
      <c r="L8158" s="59">
        <f t="shared" si="30"/>
        <v>0</v>
      </c>
      <c r="M8158" s="59">
        <f t="shared" si="31"/>
        <v>0</v>
      </c>
    </row>
    <row r="8159" ht="15.0" hidden="1" customHeight="1">
      <c r="A8159" s="59">
        <f t="shared" si="20"/>
        <v>133</v>
      </c>
      <c r="B8159" s="59" t="str">
        <f t="shared" si="21"/>
        <v/>
      </c>
      <c r="C8159" s="59" t="str">
        <f t="shared" si="22"/>
        <v/>
      </c>
      <c r="D8159" s="45" t="str">
        <f t="shared" si="23"/>
        <v/>
      </c>
      <c r="E8159" s="45" t="str">
        <f t="shared" si="24"/>
        <v/>
      </c>
      <c r="F8159" s="59" t="str">
        <f t="shared" si="25"/>
        <v/>
      </c>
      <c r="G8159" s="59" t="str">
        <f t="shared" si="26"/>
        <v/>
      </c>
      <c r="H8159" s="59" t="str">
        <f t="shared" si="27"/>
        <v>28C01622</v>
      </c>
      <c r="I8159" s="59" t="str">
        <f>IF(OR($A8159="",$C8159="",$D8159="",$E8159="",$H8159=""),"",SUMIFS(DATA_GOC!$H:$H,DATA_GOC!$A:$A,"BOM",DATA_GOC!$D:$D,$H8159,DATA_GOC!$E:$E,$C8159,DATA_GOC!$F:$F,"Xuất nội bộ từ téc",DATA_GOC!$B:$B,"&gt;="&amp;$D8159,DATA_GOC!$B:$B,"&lt;="&amp;$E8159))</f>
        <v/>
      </c>
      <c r="J8159" s="59">
        <f t="shared" si="28"/>
        <v>0</v>
      </c>
      <c r="K8159" s="59">
        <f t="shared" si="29"/>
        <v>0</v>
      </c>
      <c r="L8159" s="59">
        <f t="shared" si="30"/>
        <v>0</v>
      </c>
      <c r="M8159" s="59">
        <f t="shared" si="31"/>
        <v>0</v>
      </c>
    </row>
    <row r="8160" ht="15.0" hidden="1" customHeight="1">
      <c r="A8160" s="59">
        <f t="shared" si="20"/>
        <v>133</v>
      </c>
      <c r="B8160" s="59" t="str">
        <f t="shared" si="21"/>
        <v/>
      </c>
      <c r="C8160" s="59" t="str">
        <f t="shared" si="22"/>
        <v/>
      </c>
      <c r="D8160" s="45" t="str">
        <f t="shared" si="23"/>
        <v/>
      </c>
      <c r="E8160" s="45" t="str">
        <f t="shared" si="24"/>
        <v/>
      </c>
      <c r="F8160" s="59" t="str">
        <f t="shared" si="25"/>
        <v/>
      </c>
      <c r="G8160" s="59" t="str">
        <f t="shared" si="26"/>
        <v/>
      </c>
      <c r="H8160" s="59" t="str">
        <f t="shared" si="27"/>
        <v>28C01647</v>
      </c>
      <c r="I8160" s="59" t="str">
        <f>IF(OR($A8160="",$C8160="",$D8160="",$E8160="",$H8160=""),"",SUMIFS(DATA_GOC!$H:$H,DATA_GOC!$A:$A,"BOM",DATA_GOC!$D:$D,$H8160,DATA_GOC!$E:$E,$C8160,DATA_GOC!$F:$F,"Xuất nội bộ từ téc",DATA_GOC!$B:$B,"&gt;="&amp;$D8160,DATA_GOC!$B:$B,"&lt;="&amp;$E8160))</f>
        <v/>
      </c>
      <c r="J8160" s="59">
        <f t="shared" si="28"/>
        <v>0</v>
      </c>
      <c r="K8160" s="59">
        <f t="shared" si="29"/>
        <v>0</v>
      </c>
      <c r="L8160" s="59">
        <f t="shared" si="30"/>
        <v>0</v>
      </c>
      <c r="M8160" s="59">
        <f t="shared" si="31"/>
        <v>0</v>
      </c>
    </row>
    <row r="8161" ht="15.0" hidden="1" customHeight="1">
      <c r="A8161" s="59">
        <f t="shared" si="20"/>
        <v>133</v>
      </c>
      <c r="B8161" s="59" t="str">
        <f t="shared" si="21"/>
        <v/>
      </c>
      <c r="C8161" s="59" t="str">
        <f t="shared" si="22"/>
        <v/>
      </c>
      <c r="D8161" s="45" t="str">
        <f t="shared" si="23"/>
        <v/>
      </c>
      <c r="E8161" s="45" t="str">
        <f t="shared" si="24"/>
        <v/>
      </c>
      <c r="F8161" s="59" t="str">
        <f t="shared" si="25"/>
        <v/>
      </c>
      <c r="G8161" s="59" t="str">
        <f t="shared" si="26"/>
        <v/>
      </c>
      <c r="H8161" s="59" t="str">
        <f t="shared" si="27"/>
        <v>28C01731</v>
      </c>
      <c r="I8161" s="59" t="str">
        <f>IF(OR($A8161="",$C8161="",$D8161="",$E8161="",$H8161=""),"",SUMIFS(DATA_GOC!$H:$H,DATA_GOC!$A:$A,"BOM",DATA_GOC!$D:$D,$H8161,DATA_GOC!$E:$E,$C8161,DATA_GOC!$F:$F,"Xuất nội bộ từ téc",DATA_GOC!$B:$B,"&gt;="&amp;$D8161,DATA_GOC!$B:$B,"&lt;="&amp;$E8161))</f>
        <v/>
      </c>
      <c r="J8161" s="59">
        <f t="shared" si="28"/>
        <v>0</v>
      </c>
      <c r="K8161" s="59">
        <f t="shared" si="29"/>
        <v>0</v>
      </c>
      <c r="L8161" s="59">
        <f t="shared" si="30"/>
        <v>0</v>
      </c>
      <c r="M8161" s="59">
        <f t="shared" si="31"/>
        <v>0</v>
      </c>
    </row>
    <row r="8162" ht="15.0" hidden="1" customHeight="1">
      <c r="A8162" s="59">
        <f t="shared" si="20"/>
        <v>133</v>
      </c>
      <c r="B8162" s="59" t="str">
        <f t="shared" si="21"/>
        <v/>
      </c>
      <c r="C8162" s="59" t="str">
        <f t="shared" si="22"/>
        <v/>
      </c>
      <c r="D8162" s="45" t="str">
        <f t="shared" si="23"/>
        <v/>
      </c>
      <c r="E8162" s="45" t="str">
        <f t="shared" si="24"/>
        <v/>
      </c>
      <c r="F8162" s="59" t="str">
        <f t="shared" si="25"/>
        <v/>
      </c>
      <c r="G8162" s="59" t="str">
        <f t="shared" si="26"/>
        <v/>
      </c>
      <c r="H8162" s="59" t="str">
        <f t="shared" si="27"/>
        <v>28C01743</v>
      </c>
      <c r="I8162" s="59" t="str">
        <f>IF(OR($A8162="",$C8162="",$D8162="",$E8162="",$H8162=""),"",SUMIFS(DATA_GOC!$H:$H,DATA_GOC!$A:$A,"BOM",DATA_GOC!$D:$D,$H8162,DATA_GOC!$E:$E,$C8162,DATA_GOC!$F:$F,"Xuất nội bộ từ téc",DATA_GOC!$B:$B,"&gt;="&amp;$D8162,DATA_GOC!$B:$B,"&lt;="&amp;$E8162))</f>
        <v/>
      </c>
      <c r="J8162" s="59">
        <f t="shared" si="28"/>
        <v>0</v>
      </c>
      <c r="K8162" s="59">
        <f t="shared" si="29"/>
        <v>0</v>
      </c>
      <c r="L8162" s="59">
        <f t="shared" si="30"/>
        <v>0</v>
      </c>
      <c r="M8162" s="59">
        <f t="shared" si="31"/>
        <v>0</v>
      </c>
    </row>
    <row r="8163" ht="15.0" hidden="1" customHeight="1">
      <c r="A8163" s="59">
        <f t="shared" si="20"/>
        <v>133</v>
      </c>
      <c r="B8163" s="59" t="str">
        <f t="shared" si="21"/>
        <v/>
      </c>
      <c r="C8163" s="59" t="str">
        <f t="shared" si="22"/>
        <v/>
      </c>
      <c r="D8163" s="45" t="str">
        <f t="shared" si="23"/>
        <v/>
      </c>
      <c r="E8163" s="45" t="str">
        <f t="shared" si="24"/>
        <v/>
      </c>
      <c r="F8163" s="59" t="str">
        <f t="shared" si="25"/>
        <v/>
      </c>
      <c r="G8163" s="59" t="str">
        <f t="shared" si="26"/>
        <v/>
      </c>
      <c r="H8163" s="59" t="str">
        <f t="shared" si="27"/>
        <v>28C02106</v>
      </c>
      <c r="I8163" s="59" t="str">
        <f>IF(OR($A8163="",$C8163="",$D8163="",$E8163="",$H8163=""),"",SUMIFS(DATA_GOC!$H:$H,DATA_GOC!$A:$A,"BOM",DATA_GOC!$D:$D,$H8163,DATA_GOC!$E:$E,$C8163,DATA_GOC!$F:$F,"Xuất nội bộ từ téc",DATA_GOC!$B:$B,"&gt;="&amp;$D8163,DATA_GOC!$B:$B,"&lt;="&amp;$E8163))</f>
        <v/>
      </c>
      <c r="J8163" s="59">
        <f t="shared" si="28"/>
        <v>0</v>
      </c>
      <c r="K8163" s="59">
        <f t="shared" si="29"/>
        <v>0</v>
      </c>
      <c r="L8163" s="59">
        <f t="shared" si="30"/>
        <v>0</v>
      </c>
      <c r="M8163" s="59">
        <f t="shared" si="31"/>
        <v>0</v>
      </c>
    </row>
    <row r="8164" ht="15.0" hidden="1" customHeight="1">
      <c r="A8164" s="59">
        <f t="shared" si="20"/>
        <v>133</v>
      </c>
      <c r="B8164" s="59" t="str">
        <f t="shared" si="21"/>
        <v/>
      </c>
      <c r="C8164" s="59" t="str">
        <f t="shared" si="22"/>
        <v/>
      </c>
      <c r="D8164" s="45" t="str">
        <f t="shared" si="23"/>
        <v/>
      </c>
      <c r="E8164" s="45" t="str">
        <f t="shared" si="24"/>
        <v/>
      </c>
      <c r="F8164" s="59" t="str">
        <f t="shared" si="25"/>
        <v/>
      </c>
      <c r="G8164" s="59" t="str">
        <f t="shared" si="26"/>
        <v/>
      </c>
      <c r="H8164" s="59" t="str">
        <f t="shared" si="27"/>
        <v>28C02410</v>
      </c>
      <c r="I8164" s="59" t="str">
        <f>IF(OR($A8164="",$C8164="",$D8164="",$E8164="",$H8164=""),"",SUMIFS(DATA_GOC!$H:$H,DATA_GOC!$A:$A,"BOM",DATA_GOC!$D:$D,$H8164,DATA_GOC!$E:$E,$C8164,DATA_GOC!$F:$F,"Xuất nội bộ từ téc",DATA_GOC!$B:$B,"&gt;="&amp;$D8164,DATA_GOC!$B:$B,"&lt;="&amp;$E8164))</f>
        <v/>
      </c>
      <c r="J8164" s="59">
        <f t="shared" si="28"/>
        <v>0</v>
      </c>
      <c r="K8164" s="59">
        <f t="shared" si="29"/>
        <v>0</v>
      </c>
      <c r="L8164" s="59">
        <f t="shared" si="30"/>
        <v>0</v>
      </c>
      <c r="M8164" s="59">
        <f t="shared" si="31"/>
        <v>0</v>
      </c>
    </row>
    <row r="8165" ht="15.0" hidden="1" customHeight="1">
      <c r="A8165" s="59">
        <f t="shared" si="20"/>
        <v>133</v>
      </c>
      <c r="B8165" s="59" t="str">
        <f t="shared" si="21"/>
        <v/>
      </c>
      <c r="C8165" s="59" t="str">
        <f t="shared" si="22"/>
        <v/>
      </c>
      <c r="D8165" s="45" t="str">
        <f t="shared" si="23"/>
        <v/>
      </c>
      <c r="E8165" s="45" t="str">
        <f t="shared" si="24"/>
        <v/>
      </c>
      <c r="F8165" s="59" t="str">
        <f t="shared" si="25"/>
        <v/>
      </c>
      <c r="G8165" s="59" t="str">
        <f t="shared" si="26"/>
        <v/>
      </c>
      <c r="H8165" s="59" t="str">
        <f t="shared" si="27"/>
        <v>28C02545</v>
      </c>
      <c r="I8165" s="59" t="str">
        <f>IF(OR($A8165="",$C8165="",$D8165="",$E8165="",$H8165=""),"",SUMIFS(DATA_GOC!$H:$H,DATA_GOC!$A:$A,"BOM",DATA_GOC!$D:$D,$H8165,DATA_GOC!$E:$E,$C8165,DATA_GOC!$F:$F,"Xuất nội bộ từ téc",DATA_GOC!$B:$B,"&gt;="&amp;$D8165,DATA_GOC!$B:$B,"&lt;="&amp;$E8165))</f>
        <v/>
      </c>
      <c r="J8165" s="59">
        <f t="shared" si="28"/>
        <v>0</v>
      </c>
      <c r="K8165" s="59">
        <f t="shared" si="29"/>
        <v>0</v>
      </c>
      <c r="L8165" s="59">
        <f t="shared" si="30"/>
        <v>0</v>
      </c>
      <c r="M8165" s="59">
        <f t="shared" si="31"/>
        <v>0</v>
      </c>
    </row>
    <row r="8166" ht="15.0" hidden="1" customHeight="1">
      <c r="A8166" s="59">
        <f t="shared" si="20"/>
        <v>133</v>
      </c>
      <c r="B8166" s="59" t="str">
        <f t="shared" si="21"/>
        <v/>
      </c>
      <c r="C8166" s="59" t="str">
        <f t="shared" si="22"/>
        <v/>
      </c>
      <c r="D8166" s="45" t="str">
        <f t="shared" si="23"/>
        <v/>
      </c>
      <c r="E8166" s="45" t="str">
        <f t="shared" si="24"/>
        <v/>
      </c>
      <c r="F8166" s="59" t="str">
        <f t="shared" si="25"/>
        <v/>
      </c>
      <c r="G8166" s="59" t="str">
        <f t="shared" si="26"/>
        <v/>
      </c>
      <c r="H8166" s="59" t="str">
        <f t="shared" si="27"/>
        <v>28C02574</v>
      </c>
      <c r="I8166" s="59" t="str">
        <f>IF(OR($A8166="",$C8166="",$D8166="",$E8166="",$H8166=""),"",SUMIFS(DATA_GOC!$H:$H,DATA_GOC!$A:$A,"BOM",DATA_GOC!$D:$D,$H8166,DATA_GOC!$E:$E,$C8166,DATA_GOC!$F:$F,"Xuất nội bộ từ téc",DATA_GOC!$B:$B,"&gt;="&amp;$D8166,DATA_GOC!$B:$B,"&lt;="&amp;$E8166))</f>
        <v/>
      </c>
      <c r="J8166" s="59">
        <f t="shared" si="28"/>
        <v>0</v>
      </c>
      <c r="K8166" s="59">
        <f t="shared" si="29"/>
        <v>0</v>
      </c>
      <c r="L8166" s="59">
        <f t="shared" si="30"/>
        <v>0</v>
      </c>
      <c r="M8166" s="59">
        <f t="shared" si="31"/>
        <v>0</v>
      </c>
    </row>
    <row r="8167" ht="15.0" hidden="1" customHeight="1">
      <c r="A8167" s="59">
        <f t="shared" si="20"/>
        <v>133</v>
      </c>
      <c r="B8167" s="59" t="str">
        <f t="shared" si="21"/>
        <v/>
      </c>
      <c r="C8167" s="59" t="str">
        <f t="shared" si="22"/>
        <v/>
      </c>
      <c r="D8167" s="45" t="str">
        <f t="shared" si="23"/>
        <v/>
      </c>
      <c r="E8167" s="45" t="str">
        <f t="shared" si="24"/>
        <v/>
      </c>
      <c r="F8167" s="59" t="str">
        <f t="shared" si="25"/>
        <v/>
      </c>
      <c r="G8167" s="59" t="str">
        <f t="shared" si="26"/>
        <v/>
      </c>
      <c r="H8167" s="59" t="str">
        <f t="shared" si="27"/>
        <v>28C02770</v>
      </c>
      <c r="I8167" s="59" t="str">
        <f>IF(OR($A8167="",$C8167="",$D8167="",$E8167="",$H8167=""),"",SUMIFS(DATA_GOC!$H:$H,DATA_GOC!$A:$A,"BOM",DATA_GOC!$D:$D,$H8167,DATA_GOC!$E:$E,$C8167,DATA_GOC!$F:$F,"Xuất nội bộ từ téc",DATA_GOC!$B:$B,"&gt;="&amp;$D8167,DATA_GOC!$B:$B,"&lt;="&amp;$E8167))</f>
        <v/>
      </c>
      <c r="J8167" s="59">
        <f t="shared" si="28"/>
        <v>0</v>
      </c>
      <c r="K8167" s="59">
        <f t="shared" si="29"/>
        <v>0</v>
      </c>
      <c r="L8167" s="59">
        <f t="shared" si="30"/>
        <v>0</v>
      </c>
      <c r="M8167" s="59">
        <f t="shared" si="31"/>
        <v>0</v>
      </c>
    </row>
    <row r="8168" ht="15.0" hidden="1" customHeight="1">
      <c r="A8168" s="59">
        <f t="shared" si="20"/>
        <v>133</v>
      </c>
      <c r="B8168" s="59" t="str">
        <f t="shared" si="21"/>
        <v/>
      </c>
      <c r="C8168" s="59" t="str">
        <f t="shared" si="22"/>
        <v/>
      </c>
      <c r="D8168" s="45" t="str">
        <f t="shared" si="23"/>
        <v/>
      </c>
      <c r="E8168" s="45" t="str">
        <f t="shared" si="24"/>
        <v/>
      </c>
      <c r="F8168" s="59" t="str">
        <f t="shared" si="25"/>
        <v/>
      </c>
      <c r="G8168" s="59" t="str">
        <f t="shared" si="26"/>
        <v/>
      </c>
      <c r="H8168" s="59" t="str">
        <f t="shared" si="27"/>
        <v>28C02986</v>
      </c>
      <c r="I8168" s="59" t="str">
        <f>IF(OR($A8168="",$C8168="",$D8168="",$E8168="",$H8168=""),"",SUMIFS(DATA_GOC!$H:$H,DATA_GOC!$A:$A,"BOM",DATA_GOC!$D:$D,$H8168,DATA_GOC!$E:$E,$C8168,DATA_GOC!$F:$F,"Xuất nội bộ từ téc",DATA_GOC!$B:$B,"&gt;="&amp;$D8168,DATA_GOC!$B:$B,"&lt;="&amp;$E8168))</f>
        <v/>
      </c>
      <c r="J8168" s="59">
        <f t="shared" si="28"/>
        <v>0</v>
      </c>
      <c r="K8168" s="59">
        <f t="shared" si="29"/>
        <v>0</v>
      </c>
      <c r="L8168" s="59">
        <f t="shared" si="30"/>
        <v>0</v>
      </c>
      <c r="M8168" s="59">
        <f t="shared" si="31"/>
        <v>0</v>
      </c>
    </row>
    <row r="8169" ht="15.0" hidden="1" customHeight="1">
      <c r="A8169" s="59">
        <f t="shared" si="20"/>
        <v>133</v>
      </c>
      <c r="B8169" s="59" t="str">
        <f t="shared" si="21"/>
        <v/>
      </c>
      <c r="C8169" s="59" t="str">
        <f t="shared" si="22"/>
        <v/>
      </c>
      <c r="D8169" s="45" t="str">
        <f t="shared" si="23"/>
        <v/>
      </c>
      <c r="E8169" s="45" t="str">
        <f t="shared" si="24"/>
        <v/>
      </c>
      <c r="F8169" s="59" t="str">
        <f t="shared" si="25"/>
        <v/>
      </c>
      <c r="G8169" s="59" t="str">
        <f t="shared" si="26"/>
        <v/>
      </c>
      <c r="H8169" s="59" t="str">
        <f t="shared" si="27"/>
        <v>28C03261</v>
      </c>
      <c r="I8169" s="59" t="str">
        <f>IF(OR($A8169="",$C8169="",$D8169="",$E8169="",$H8169=""),"",SUMIFS(DATA_GOC!$H:$H,DATA_GOC!$A:$A,"BOM",DATA_GOC!$D:$D,$H8169,DATA_GOC!$E:$E,$C8169,DATA_GOC!$F:$F,"Xuất nội bộ từ téc",DATA_GOC!$B:$B,"&gt;="&amp;$D8169,DATA_GOC!$B:$B,"&lt;="&amp;$E8169))</f>
        <v/>
      </c>
      <c r="J8169" s="59">
        <f t="shared" si="28"/>
        <v>0</v>
      </c>
      <c r="K8169" s="59">
        <f t="shared" si="29"/>
        <v>0</v>
      </c>
      <c r="L8169" s="59">
        <f t="shared" si="30"/>
        <v>0</v>
      </c>
      <c r="M8169" s="59">
        <f t="shared" si="31"/>
        <v>0</v>
      </c>
    </row>
    <row r="8170" ht="15.0" hidden="1" customHeight="1">
      <c r="A8170" s="59">
        <f t="shared" si="20"/>
        <v>133</v>
      </c>
      <c r="B8170" s="59" t="str">
        <f t="shared" si="21"/>
        <v/>
      </c>
      <c r="C8170" s="59" t="str">
        <f t="shared" si="22"/>
        <v/>
      </c>
      <c r="D8170" s="45" t="str">
        <f t="shared" si="23"/>
        <v/>
      </c>
      <c r="E8170" s="45" t="str">
        <f t="shared" si="24"/>
        <v/>
      </c>
      <c r="F8170" s="59" t="str">
        <f t="shared" si="25"/>
        <v/>
      </c>
      <c r="G8170" s="59" t="str">
        <f t="shared" si="26"/>
        <v/>
      </c>
      <c r="H8170" s="59" t="str">
        <f t="shared" si="27"/>
        <v>28C03323</v>
      </c>
      <c r="I8170" s="59" t="str">
        <f>IF(OR($A8170="",$C8170="",$D8170="",$E8170="",$H8170=""),"",SUMIFS(DATA_GOC!$H:$H,DATA_GOC!$A:$A,"BOM",DATA_GOC!$D:$D,$H8170,DATA_GOC!$E:$E,$C8170,DATA_GOC!$F:$F,"Xuất nội bộ từ téc",DATA_GOC!$B:$B,"&gt;="&amp;$D8170,DATA_GOC!$B:$B,"&lt;="&amp;$E8170))</f>
        <v/>
      </c>
      <c r="J8170" s="59">
        <f t="shared" si="28"/>
        <v>0</v>
      </c>
      <c r="K8170" s="59">
        <f t="shared" si="29"/>
        <v>0</v>
      </c>
      <c r="L8170" s="59">
        <f t="shared" si="30"/>
        <v>0</v>
      </c>
      <c r="M8170" s="59">
        <f t="shared" si="31"/>
        <v>0</v>
      </c>
    </row>
    <row r="8171" ht="15.0" hidden="1" customHeight="1">
      <c r="A8171" s="59">
        <f t="shared" si="20"/>
        <v>133</v>
      </c>
      <c r="B8171" s="59" t="str">
        <f t="shared" si="21"/>
        <v/>
      </c>
      <c r="C8171" s="59" t="str">
        <f t="shared" si="22"/>
        <v/>
      </c>
      <c r="D8171" s="45" t="str">
        <f t="shared" si="23"/>
        <v/>
      </c>
      <c r="E8171" s="45" t="str">
        <f t="shared" si="24"/>
        <v/>
      </c>
      <c r="F8171" s="59" t="str">
        <f t="shared" si="25"/>
        <v/>
      </c>
      <c r="G8171" s="59" t="str">
        <f t="shared" si="26"/>
        <v/>
      </c>
      <c r="H8171" s="59" t="str">
        <f t="shared" si="27"/>
        <v>28C03385</v>
      </c>
      <c r="I8171" s="59" t="str">
        <f>IF(OR($A8171="",$C8171="",$D8171="",$E8171="",$H8171=""),"",SUMIFS(DATA_GOC!$H:$H,DATA_GOC!$A:$A,"BOM",DATA_GOC!$D:$D,$H8171,DATA_GOC!$E:$E,$C8171,DATA_GOC!$F:$F,"Xuất nội bộ từ téc",DATA_GOC!$B:$B,"&gt;="&amp;$D8171,DATA_GOC!$B:$B,"&lt;="&amp;$E8171))</f>
        <v/>
      </c>
      <c r="J8171" s="59">
        <f t="shared" si="28"/>
        <v>0</v>
      </c>
      <c r="K8171" s="59">
        <f t="shared" si="29"/>
        <v>0</v>
      </c>
      <c r="L8171" s="59">
        <f t="shared" si="30"/>
        <v>0</v>
      </c>
      <c r="M8171" s="59">
        <f t="shared" si="31"/>
        <v>0</v>
      </c>
    </row>
    <row r="8172" ht="15.0" hidden="1" customHeight="1">
      <c r="A8172" s="59">
        <f t="shared" si="20"/>
        <v>133</v>
      </c>
      <c r="B8172" s="59" t="str">
        <f t="shared" si="21"/>
        <v/>
      </c>
      <c r="C8172" s="59" t="str">
        <f t="shared" si="22"/>
        <v/>
      </c>
      <c r="D8172" s="45" t="str">
        <f t="shared" si="23"/>
        <v/>
      </c>
      <c r="E8172" s="45" t="str">
        <f t="shared" si="24"/>
        <v/>
      </c>
      <c r="F8172" s="59" t="str">
        <f t="shared" si="25"/>
        <v/>
      </c>
      <c r="G8172" s="59" t="str">
        <f t="shared" si="26"/>
        <v/>
      </c>
      <c r="H8172" s="59" t="str">
        <f t="shared" si="27"/>
        <v>28C03652</v>
      </c>
      <c r="I8172" s="59" t="str">
        <f>IF(OR($A8172="",$C8172="",$D8172="",$E8172="",$H8172=""),"",SUMIFS(DATA_GOC!$H:$H,DATA_GOC!$A:$A,"BOM",DATA_GOC!$D:$D,$H8172,DATA_GOC!$E:$E,$C8172,DATA_GOC!$F:$F,"Xuất nội bộ từ téc",DATA_GOC!$B:$B,"&gt;="&amp;$D8172,DATA_GOC!$B:$B,"&lt;="&amp;$E8172))</f>
        <v/>
      </c>
      <c r="J8172" s="59">
        <f t="shared" si="28"/>
        <v>0</v>
      </c>
      <c r="K8172" s="59">
        <f t="shared" si="29"/>
        <v>0</v>
      </c>
      <c r="L8172" s="59">
        <f t="shared" si="30"/>
        <v>0</v>
      </c>
      <c r="M8172" s="59">
        <f t="shared" si="31"/>
        <v>0</v>
      </c>
    </row>
    <row r="8173" ht="15.0" hidden="1" customHeight="1">
      <c r="A8173" s="59">
        <f t="shared" si="20"/>
        <v>133</v>
      </c>
      <c r="B8173" s="59" t="str">
        <f t="shared" si="21"/>
        <v/>
      </c>
      <c r="C8173" s="59" t="str">
        <f t="shared" si="22"/>
        <v/>
      </c>
      <c r="D8173" s="45" t="str">
        <f t="shared" si="23"/>
        <v/>
      </c>
      <c r="E8173" s="45" t="str">
        <f t="shared" si="24"/>
        <v/>
      </c>
      <c r="F8173" s="59" t="str">
        <f t="shared" si="25"/>
        <v/>
      </c>
      <c r="G8173" s="59" t="str">
        <f t="shared" si="26"/>
        <v/>
      </c>
      <c r="H8173" s="59" t="str">
        <f t="shared" si="27"/>
        <v>28C03695</v>
      </c>
      <c r="I8173" s="59" t="str">
        <f>IF(OR($A8173="",$C8173="",$D8173="",$E8173="",$H8173=""),"",SUMIFS(DATA_GOC!$H:$H,DATA_GOC!$A:$A,"BOM",DATA_GOC!$D:$D,$H8173,DATA_GOC!$E:$E,$C8173,DATA_GOC!$F:$F,"Xuất nội bộ từ téc",DATA_GOC!$B:$B,"&gt;="&amp;$D8173,DATA_GOC!$B:$B,"&lt;="&amp;$E8173))</f>
        <v/>
      </c>
      <c r="J8173" s="59">
        <f t="shared" si="28"/>
        <v>0</v>
      </c>
      <c r="K8173" s="59">
        <f t="shared" si="29"/>
        <v>0</v>
      </c>
      <c r="L8173" s="59">
        <f t="shared" si="30"/>
        <v>0</v>
      </c>
      <c r="M8173" s="59">
        <f t="shared" si="31"/>
        <v>0</v>
      </c>
    </row>
    <row r="8174" ht="15.0" hidden="1" customHeight="1">
      <c r="A8174" s="59">
        <f t="shared" si="20"/>
        <v>133</v>
      </c>
      <c r="B8174" s="59" t="str">
        <f t="shared" si="21"/>
        <v/>
      </c>
      <c r="C8174" s="59" t="str">
        <f t="shared" si="22"/>
        <v/>
      </c>
      <c r="D8174" s="45" t="str">
        <f t="shared" si="23"/>
        <v/>
      </c>
      <c r="E8174" s="45" t="str">
        <f t="shared" si="24"/>
        <v/>
      </c>
      <c r="F8174" s="59" t="str">
        <f t="shared" si="25"/>
        <v/>
      </c>
      <c r="G8174" s="59" t="str">
        <f t="shared" si="26"/>
        <v/>
      </c>
      <c r="H8174" s="59" t="str">
        <f t="shared" si="27"/>
        <v>28C03927</v>
      </c>
      <c r="I8174" s="59" t="str">
        <f>IF(OR($A8174="",$C8174="",$D8174="",$E8174="",$H8174=""),"",SUMIFS(DATA_GOC!$H:$H,DATA_GOC!$A:$A,"BOM",DATA_GOC!$D:$D,$H8174,DATA_GOC!$E:$E,$C8174,DATA_GOC!$F:$F,"Xuất nội bộ từ téc",DATA_GOC!$B:$B,"&gt;="&amp;$D8174,DATA_GOC!$B:$B,"&lt;="&amp;$E8174))</f>
        <v/>
      </c>
      <c r="J8174" s="59">
        <f t="shared" si="28"/>
        <v>0</v>
      </c>
      <c r="K8174" s="59">
        <f t="shared" si="29"/>
        <v>0</v>
      </c>
      <c r="L8174" s="59">
        <f t="shared" si="30"/>
        <v>0</v>
      </c>
      <c r="M8174" s="59">
        <f t="shared" si="31"/>
        <v>0</v>
      </c>
    </row>
    <row r="8175" ht="15.0" hidden="1" customHeight="1">
      <c r="A8175" s="59">
        <f t="shared" si="20"/>
        <v>133</v>
      </c>
      <c r="B8175" s="59" t="str">
        <f t="shared" si="21"/>
        <v/>
      </c>
      <c r="C8175" s="59" t="str">
        <f t="shared" si="22"/>
        <v/>
      </c>
      <c r="D8175" s="45" t="str">
        <f t="shared" si="23"/>
        <v/>
      </c>
      <c r="E8175" s="45" t="str">
        <f t="shared" si="24"/>
        <v/>
      </c>
      <c r="F8175" s="59" t="str">
        <f t="shared" si="25"/>
        <v/>
      </c>
      <c r="G8175" s="59" t="str">
        <f t="shared" si="26"/>
        <v/>
      </c>
      <c r="H8175" s="59" t="str">
        <f t="shared" si="27"/>
        <v>28C04509</v>
      </c>
      <c r="I8175" s="59" t="str">
        <f>IF(OR($A8175="",$C8175="",$D8175="",$E8175="",$H8175=""),"",SUMIFS(DATA_GOC!$H:$H,DATA_GOC!$A:$A,"BOM",DATA_GOC!$D:$D,$H8175,DATA_GOC!$E:$E,$C8175,DATA_GOC!$F:$F,"Xuất nội bộ từ téc",DATA_GOC!$B:$B,"&gt;="&amp;$D8175,DATA_GOC!$B:$B,"&lt;="&amp;$E8175))</f>
        <v/>
      </c>
      <c r="J8175" s="59">
        <f t="shared" si="28"/>
        <v>0</v>
      </c>
      <c r="K8175" s="59">
        <f t="shared" si="29"/>
        <v>0</v>
      </c>
      <c r="L8175" s="59">
        <f t="shared" si="30"/>
        <v>0</v>
      </c>
      <c r="M8175" s="59">
        <f t="shared" si="31"/>
        <v>0</v>
      </c>
    </row>
    <row r="8176" ht="15.0" hidden="1" customHeight="1">
      <c r="A8176" s="59">
        <f t="shared" si="20"/>
        <v>133</v>
      </c>
      <c r="B8176" s="59" t="str">
        <f t="shared" si="21"/>
        <v/>
      </c>
      <c r="C8176" s="59" t="str">
        <f t="shared" si="22"/>
        <v/>
      </c>
      <c r="D8176" s="45" t="str">
        <f t="shared" si="23"/>
        <v/>
      </c>
      <c r="E8176" s="45" t="str">
        <f t="shared" si="24"/>
        <v/>
      </c>
      <c r="F8176" s="59" t="str">
        <f t="shared" si="25"/>
        <v/>
      </c>
      <c r="G8176" s="59" t="str">
        <f t="shared" si="26"/>
        <v/>
      </c>
      <c r="H8176" s="59" t="str">
        <f t="shared" si="27"/>
        <v>28C04536</v>
      </c>
      <c r="I8176" s="59" t="str">
        <f>IF(OR($A8176="",$C8176="",$D8176="",$E8176="",$H8176=""),"",SUMIFS(DATA_GOC!$H:$H,DATA_GOC!$A:$A,"BOM",DATA_GOC!$D:$D,$H8176,DATA_GOC!$E:$E,$C8176,DATA_GOC!$F:$F,"Xuất nội bộ từ téc",DATA_GOC!$B:$B,"&gt;="&amp;$D8176,DATA_GOC!$B:$B,"&lt;="&amp;$E8176))</f>
        <v/>
      </c>
      <c r="J8176" s="59">
        <f t="shared" si="28"/>
        <v>0</v>
      </c>
      <c r="K8176" s="59">
        <f t="shared" si="29"/>
        <v>0</v>
      </c>
      <c r="L8176" s="59">
        <f t="shared" si="30"/>
        <v>0</v>
      </c>
      <c r="M8176" s="59">
        <f t="shared" si="31"/>
        <v>0</v>
      </c>
    </row>
    <row r="8177" ht="15.0" hidden="1" customHeight="1">
      <c r="A8177" s="59">
        <f t="shared" si="20"/>
        <v>133</v>
      </c>
      <c r="B8177" s="59" t="str">
        <f t="shared" si="21"/>
        <v/>
      </c>
      <c r="C8177" s="59" t="str">
        <f t="shared" si="22"/>
        <v/>
      </c>
      <c r="D8177" s="45" t="str">
        <f t="shared" si="23"/>
        <v/>
      </c>
      <c r="E8177" s="45" t="str">
        <f t="shared" si="24"/>
        <v/>
      </c>
      <c r="F8177" s="59" t="str">
        <f t="shared" si="25"/>
        <v/>
      </c>
      <c r="G8177" s="59" t="str">
        <f t="shared" si="26"/>
        <v/>
      </c>
      <c r="H8177" s="59" t="str">
        <f t="shared" si="27"/>
        <v>28C04576</v>
      </c>
      <c r="I8177" s="59" t="str">
        <f>IF(OR($A8177="",$C8177="",$D8177="",$E8177="",$H8177=""),"",SUMIFS(DATA_GOC!$H:$H,DATA_GOC!$A:$A,"BOM",DATA_GOC!$D:$D,$H8177,DATA_GOC!$E:$E,$C8177,DATA_GOC!$F:$F,"Xuất nội bộ từ téc",DATA_GOC!$B:$B,"&gt;="&amp;$D8177,DATA_GOC!$B:$B,"&lt;="&amp;$E8177))</f>
        <v/>
      </c>
      <c r="J8177" s="59">
        <f t="shared" si="28"/>
        <v>0</v>
      </c>
      <c r="K8177" s="59">
        <f t="shared" si="29"/>
        <v>0</v>
      </c>
      <c r="L8177" s="59">
        <f t="shared" si="30"/>
        <v>0</v>
      </c>
      <c r="M8177" s="59">
        <f t="shared" si="31"/>
        <v>0</v>
      </c>
    </row>
    <row r="8178" ht="15.0" hidden="1" customHeight="1">
      <c r="A8178" s="59">
        <f t="shared" si="20"/>
        <v>133</v>
      </c>
      <c r="B8178" s="59" t="str">
        <f t="shared" si="21"/>
        <v/>
      </c>
      <c r="C8178" s="59" t="str">
        <f t="shared" si="22"/>
        <v/>
      </c>
      <c r="D8178" s="45" t="str">
        <f t="shared" si="23"/>
        <v/>
      </c>
      <c r="E8178" s="45" t="str">
        <f t="shared" si="24"/>
        <v/>
      </c>
      <c r="F8178" s="59" t="str">
        <f t="shared" si="25"/>
        <v/>
      </c>
      <c r="G8178" s="59" t="str">
        <f t="shared" si="26"/>
        <v/>
      </c>
      <c r="H8178" s="59" t="str">
        <f t="shared" si="27"/>
        <v>28C05090</v>
      </c>
      <c r="I8178" s="59" t="str">
        <f>IF(OR($A8178="",$C8178="",$D8178="",$E8178="",$H8178=""),"",SUMIFS(DATA_GOC!$H:$H,DATA_GOC!$A:$A,"BOM",DATA_GOC!$D:$D,$H8178,DATA_GOC!$E:$E,$C8178,DATA_GOC!$F:$F,"Xuất nội bộ từ téc",DATA_GOC!$B:$B,"&gt;="&amp;$D8178,DATA_GOC!$B:$B,"&lt;="&amp;$E8178))</f>
        <v/>
      </c>
      <c r="J8178" s="59">
        <f t="shared" si="28"/>
        <v>0</v>
      </c>
      <c r="K8178" s="59">
        <f t="shared" si="29"/>
        <v>0</v>
      </c>
      <c r="L8178" s="59">
        <f t="shared" si="30"/>
        <v>0</v>
      </c>
      <c r="M8178" s="59">
        <f t="shared" si="31"/>
        <v>0</v>
      </c>
    </row>
    <row r="8179" ht="15.0" hidden="1" customHeight="1">
      <c r="A8179" s="59">
        <f t="shared" si="20"/>
        <v>133</v>
      </c>
      <c r="B8179" s="59" t="str">
        <f t="shared" si="21"/>
        <v/>
      </c>
      <c r="C8179" s="59" t="str">
        <f t="shared" si="22"/>
        <v/>
      </c>
      <c r="D8179" s="45" t="str">
        <f t="shared" si="23"/>
        <v/>
      </c>
      <c r="E8179" s="45" t="str">
        <f t="shared" si="24"/>
        <v/>
      </c>
      <c r="F8179" s="59" t="str">
        <f t="shared" si="25"/>
        <v/>
      </c>
      <c r="G8179" s="59" t="str">
        <f t="shared" si="26"/>
        <v/>
      </c>
      <c r="H8179" s="59" t="str">
        <f t="shared" si="27"/>
        <v>28C05345</v>
      </c>
      <c r="I8179" s="59" t="str">
        <f>IF(OR($A8179="",$C8179="",$D8179="",$E8179="",$H8179=""),"",SUMIFS(DATA_GOC!$H:$H,DATA_GOC!$A:$A,"BOM",DATA_GOC!$D:$D,$H8179,DATA_GOC!$E:$E,$C8179,DATA_GOC!$F:$F,"Xuất nội bộ từ téc",DATA_GOC!$B:$B,"&gt;="&amp;$D8179,DATA_GOC!$B:$B,"&lt;="&amp;$E8179))</f>
        <v/>
      </c>
      <c r="J8179" s="59">
        <f t="shared" si="28"/>
        <v>0</v>
      </c>
      <c r="K8179" s="59">
        <f t="shared" si="29"/>
        <v>0</v>
      </c>
      <c r="L8179" s="59">
        <f t="shared" si="30"/>
        <v>0</v>
      </c>
      <c r="M8179" s="59">
        <f t="shared" si="31"/>
        <v>0</v>
      </c>
    </row>
    <row r="8180" ht="15.0" hidden="1" customHeight="1">
      <c r="A8180" s="59">
        <f t="shared" si="20"/>
        <v>133</v>
      </c>
      <c r="B8180" s="59" t="str">
        <f t="shared" si="21"/>
        <v/>
      </c>
      <c r="C8180" s="59" t="str">
        <f t="shared" si="22"/>
        <v/>
      </c>
      <c r="D8180" s="45" t="str">
        <f t="shared" si="23"/>
        <v/>
      </c>
      <c r="E8180" s="45" t="str">
        <f t="shared" si="24"/>
        <v/>
      </c>
      <c r="F8180" s="59" t="str">
        <f t="shared" si="25"/>
        <v/>
      </c>
      <c r="G8180" s="59" t="str">
        <f t="shared" si="26"/>
        <v/>
      </c>
      <c r="H8180" s="59" t="str">
        <f t="shared" si="27"/>
        <v>28C05661</v>
      </c>
      <c r="I8180" s="59" t="str">
        <f>IF(OR($A8180="",$C8180="",$D8180="",$E8180="",$H8180=""),"",SUMIFS(DATA_GOC!$H:$H,DATA_GOC!$A:$A,"BOM",DATA_GOC!$D:$D,$H8180,DATA_GOC!$E:$E,$C8180,DATA_GOC!$F:$F,"Xuất nội bộ từ téc",DATA_GOC!$B:$B,"&gt;="&amp;$D8180,DATA_GOC!$B:$B,"&lt;="&amp;$E8180))</f>
        <v/>
      </c>
      <c r="J8180" s="59">
        <f t="shared" si="28"/>
        <v>0</v>
      </c>
      <c r="K8180" s="59">
        <f t="shared" si="29"/>
        <v>0</v>
      </c>
      <c r="L8180" s="59">
        <f t="shared" si="30"/>
        <v>0</v>
      </c>
      <c r="M8180" s="59">
        <f t="shared" si="31"/>
        <v>0</v>
      </c>
    </row>
    <row r="8181" ht="15.0" hidden="1" customHeight="1">
      <c r="A8181" s="59">
        <f t="shared" si="20"/>
        <v>133</v>
      </c>
      <c r="B8181" s="59" t="str">
        <f t="shared" si="21"/>
        <v/>
      </c>
      <c r="C8181" s="59" t="str">
        <f t="shared" si="22"/>
        <v/>
      </c>
      <c r="D8181" s="45" t="str">
        <f t="shared" si="23"/>
        <v/>
      </c>
      <c r="E8181" s="45" t="str">
        <f t="shared" si="24"/>
        <v/>
      </c>
      <c r="F8181" s="59" t="str">
        <f t="shared" si="25"/>
        <v/>
      </c>
      <c r="G8181" s="59" t="str">
        <f t="shared" si="26"/>
        <v/>
      </c>
      <c r="H8181" s="59" t="str">
        <f t="shared" si="27"/>
        <v>28C05739</v>
      </c>
      <c r="I8181" s="59" t="str">
        <f>IF(OR($A8181="",$C8181="",$D8181="",$E8181="",$H8181=""),"",SUMIFS(DATA_GOC!$H:$H,DATA_GOC!$A:$A,"BOM",DATA_GOC!$D:$D,$H8181,DATA_GOC!$E:$E,$C8181,DATA_GOC!$F:$F,"Xuất nội bộ từ téc",DATA_GOC!$B:$B,"&gt;="&amp;$D8181,DATA_GOC!$B:$B,"&lt;="&amp;$E8181))</f>
        <v/>
      </c>
      <c r="J8181" s="59">
        <f t="shared" si="28"/>
        <v>0</v>
      </c>
      <c r="K8181" s="59">
        <f t="shared" si="29"/>
        <v>0</v>
      </c>
      <c r="L8181" s="59">
        <f t="shared" si="30"/>
        <v>0</v>
      </c>
      <c r="M8181" s="59">
        <f t="shared" si="31"/>
        <v>0</v>
      </c>
    </row>
    <row r="8182" ht="15.0" hidden="1" customHeight="1">
      <c r="A8182" s="59">
        <f t="shared" si="20"/>
        <v>133</v>
      </c>
      <c r="B8182" s="59" t="str">
        <f t="shared" si="21"/>
        <v/>
      </c>
      <c r="C8182" s="59" t="str">
        <f t="shared" si="22"/>
        <v/>
      </c>
      <c r="D8182" s="45" t="str">
        <f t="shared" si="23"/>
        <v/>
      </c>
      <c r="E8182" s="45" t="str">
        <f t="shared" si="24"/>
        <v/>
      </c>
      <c r="F8182" s="59" t="str">
        <f t="shared" si="25"/>
        <v/>
      </c>
      <c r="G8182" s="59" t="str">
        <f t="shared" si="26"/>
        <v/>
      </c>
      <c r="H8182" s="59" t="str">
        <f t="shared" si="27"/>
        <v>28C06369</v>
      </c>
      <c r="I8182" s="59" t="str">
        <f>IF(OR($A8182="",$C8182="",$D8182="",$E8182="",$H8182=""),"",SUMIFS(DATA_GOC!$H:$H,DATA_GOC!$A:$A,"BOM",DATA_GOC!$D:$D,$H8182,DATA_GOC!$E:$E,$C8182,DATA_GOC!$F:$F,"Xuất nội bộ từ téc",DATA_GOC!$B:$B,"&gt;="&amp;$D8182,DATA_GOC!$B:$B,"&lt;="&amp;$E8182))</f>
        <v/>
      </c>
      <c r="J8182" s="59">
        <f t="shared" si="28"/>
        <v>0</v>
      </c>
      <c r="K8182" s="59">
        <f t="shared" si="29"/>
        <v>0</v>
      </c>
      <c r="L8182" s="59">
        <f t="shared" si="30"/>
        <v>0</v>
      </c>
      <c r="M8182" s="59">
        <f t="shared" si="31"/>
        <v>0</v>
      </c>
    </row>
    <row r="8183" ht="15.0" hidden="1" customHeight="1">
      <c r="A8183" s="59">
        <f t="shared" si="20"/>
        <v>133</v>
      </c>
      <c r="B8183" s="59" t="str">
        <f t="shared" si="21"/>
        <v/>
      </c>
      <c r="C8183" s="59" t="str">
        <f t="shared" si="22"/>
        <v/>
      </c>
      <c r="D8183" s="45" t="str">
        <f t="shared" si="23"/>
        <v/>
      </c>
      <c r="E8183" s="45" t="str">
        <f t="shared" si="24"/>
        <v/>
      </c>
      <c r="F8183" s="59" t="str">
        <f t="shared" si="25"/>
        <v/>
      </c>
      <c r="G8183" s="59" t="str">
        <f t="shared" si="26"/>
        <v/>
      </c>
      <c r="H8183" s="59" t="str">
        <f t="shared" si="27"/>
        <v>28C06447</v>
      </c>
      <c r="I8183" s="59" t="str">
        <f>IF(OR($A8183="",$C8183="",$D8183="",$E8183="",$H8183=""),"",SUMIFS(DATA_GOC!$H:$H,DATA_GOC!$A:$A,"BOM",DATA_GOC!$D:$D,$H8183,DATA_GOC!$E:$E,$C8183,DATA_GOC!$F:$F,"Xuất nội bộ từ téc",DATA_GOC!$B:$B,"&gt;="&amp;$D8183,DATA_GOC!$B:$B,"&lt;="&amp;$E8183))</f>
        <v/>
      </c>
      <c r="J8183" s="59">
        <f t="shared" si="28"/>
        <v>0</v>
      </c>
      <c r="K8183" s="59">
        <f t="shared" si="29"/>
        <v>0</v>
      </c>
      <c r="L8183" s="59">
        <f t="shared" si="30"/>
        <v>0</v>
      </c>
      <c r="M8183" s="59">
        <f t="shared" si="31"/>
        <v>0</v>
      </c>
    </row>
    <row r="8184" ht="15.0" hidden="1" customHeight="1">
      <c r="A8184" s="59">
        <f t="shared" si="20"/>
        <v>133</v>
      </c>
      <c r="B8184" s="59" t="str">
        <f t="shared" si="21"/>
        <v/>
      </c>
      <c r="C8184" s="59" t="str">
        <f t="shared" si="22"/>
        <v/>
      </c>
      <c r="D8184" s="45" t="str">
        <f t="shared" si="23"/>
        <v/>
      </c>
      <c r="E8184" s="45" t="str">
        <f t="shared" si="24"/>
        <v/>
      </c>
      <c r="F8184" s="59" t="str">
        <f t="shared" si="25"/>
        <v/>
      </c>
      <c r="G8184" s="59" t="str">
        <f t="shared" si="26"/>
        <v/>
      </c>
      <c r="H8184" s="59" t="str">
        <f t="shared" si="27"/>
        <v>28H00003</v>
      </c>
      <c r="I8184" s="59" t="str">
        <f>IF(OR($A8184="",$C8184="",$D8184="",$E8184="",$H8184=""),"",SUMIFS(DATA_GOC!$H:$H,DATA_GOC!$A:$A,"BOM",DATA_GOC!$D:$D,$H8184,DATA_GOC!$E:$E,$C8184,DATA_GOC!$F:$F,"Xuất nội bộ từ téc",DATA_GOC!$B:$B,"&gt;="&amp;$D8184,DATA_GOC!$B:$B,"&lt;="&amp;$E8184))</f>
        <v/>
      </c>
      <c r="J8184" s="59">
        <f t="shared" si="28"/>
        <v>0</v>
      </c>
      <c r="K8184" s="59">
        <f t="shared" si="29"/>
        <v>0</v>
      </c>
      <c r="L8184" s="59">
        <f t="shared" si="30"/>
        <v>0</v>
      </c>
      <c r="M8184" s="59">
        <f t="shared" si="31"/>
        <v>0</v>
      </c>
    </row>
    <row r="8185" ht="15.0" hidden="1" customHeight="1">
      <c r="A8185" s="59">
        <f t="shared" si="20"/>
        <v>133</v>
      </c>
      <c r="B8185" s="59" t="str">
        <f t="shared" si="21"/>
        <v/>
      </c>
      <c r="C8185" s="59" t="str">
        <f t="shared" si="22"/>
        <v/>
      </c>
      <c r="D8185" s="45" t="str">
        <f t="shared" si="23"/>
        <v/>
      </c>
      <c r="E8185" s="45" t="str">
        <f t="shared" si="24"/>
        <v/>
      </c>
      <c r="F8185" s="59" t="str">
        <f t="shared" si="25"/>
        <v/>
      </c>
      <c r="G8185" s="59" t="str">
        <f t="shared" si="26"/>
        <v/>
      </c>
      <c r="H8185" s="59" t="str">
        <f t="shared" si="27"/>
        <v>28H00061</v>
      </c>
      <c r="I8185" s="59" t="str">
        <f>IF(OR($A8185="",$C8185="",$D8185="",$E8185="",$H8185=""),"",SUMIFS(DATA_GOC!$H:$H,DATA_GOC!$A:$A,"BOM",DATA_GOC!$D:$D,$H8185,DATA_GOC!$E:$E,$C8185,DATA_GOC!$F:$F,"Xuất nội bộ từ téc",DATA_GOC!$B:$B,"&gt;="&amp;$D8185,DATA_GOC!$B:$B,"&lt;="&amp;$E8185))</f>
        <v/>
      </c>
      <c r="J8185" s="59">
        <f t="shared" si="28"/>
        <v>0</v>
      </c>
      <c r="K8185" s="59">
        <f t="shared" si="29"/>
        <v>0</v>
      </c>
      <c r="L8185" s="59">
        <f t="shared" si="30"/>
        <v>0</v>
      </c>
      <c r="M8185" s="59">
        <f t="shared" si="31"/>
        <v>0</v>
      </c>
    </row>
    <row r="8186" ht="15.0" hidden="1" customHeight="1">
      <c r="A8186" s="59">
        <f t="shared" si="20"/>
        <v>133</v>
      </c>
      <c r="B8186" s="59" t="str">
        <f t="shared" si="21"/>
        <v/>
      </c>
      <c r="C8186" s="59" t="str">
        <f t="shared" si="22"/>
        <v/>
      </c>
      <c r="D8186" s="45" t="str">
        <f t="shared" si="23"/>
        <v/>
      </c>
      <c r="E8186" s="45" t="str">
        <f t="shared" si="24"/>
        <v/>
      </c>
      <c r="F8186" s="59" t="str">
        <f t="shared" si="25"/>
        <v/>
      </c>
      <c r="G8186" s="59" t="str">
        <f t="shared" si="26"/>
        <v/>
      </c>
      <c r="H8186" s="59" t="str">
        <f t="shared" si="27"/>
        <v>28H00354</v>
      </c>
      <c r="I8186" s="59" t="str">
        <f>IF(OR($A8186="",$C8186="",$D8186="",$E8186="",$H8186=""),"",SUMIFS(DATA_GOC!$H:$H,DATA_GOC!$A:$A,"BOM",DATA_GOC!$D:$D,$H8186,DATA_GOC!$E:$E,$C8186,DATA_GOC!$F:$F,"Xuất nội bộ từ téc",DATA_GOC!$B:$B,"&gt;="&amp;$D8186,DATA_GOC!$B:$B,"&lt;="&amp;$E8186))</f>
        <v/>
      </c>
      <c r="J8186" s="59">
        <f t="shared" si="28"/>
        <v>0</v>
      </c>
      <c r="K8186" s="59">
        <f t="shared" si="29"/>
        <v>0</v>
      </c>
      <c r="L8186" s="59">
        <f t="shared" si="30"/>
        <v>0</v>
      </c>
      <c r="M8186" s="59">
        <f t="shared" si="31"/>
        <v>0</v>
      </c>
    </row>
    <row r="8187" ht="15.0" hidden="1" customHeight="1">
      <c r="A8187" s="59">
        <f t="shared" si="20"/>
        <v>133</v>
      </c>
      <c r="B8187" s="59" t="str">
        <f t="shared" si="21"/>
        <v/>
      </c>
      <c r="C8187" s="59" t="str">
        <f t="shared" si="22"/>
        <v/>
      </c>
      <c r="D8187" s="45" t="str">
        <f t="shared" si="23"/>
        <v/>
      </c>
      <c r="E8187" s="45" t="str">
        <f t="shared" si="24"/>
        <v/>
      </c>
      <c r="F8187" s="59" t="str">
        <f t="shared" si="25"/>
        <v/>
      </c>
      <c r="G8187" s="59" t="str">
        <f t="shared" si="26"/>
        <v/>
      </c>
      <c r="H8187" s="59" t="str">
        <f t="shared" si="27"/>
        <v>28H00603</v>
      </c>
      <c r="I8187" s="59" t="str">
        <f>IF(OR($A8187="",$C8187="",$D8187="",$E8187="",$H8187=""),"",SUMIFS(DATA_GOC!$H:$H,DATA_GOC!$A:$A,"BOM",DATA_GOC!$D:$D,$H8187,DATA_GOC!$E:$E,$C8187,DATA_GOC!$F:$F,"Xuất nội bộ từ téc",DATA_GOC!$B:$B,"&gt;="&amp;$D8187,DATA_GOC!$B:$B,"&lt;="&amp;$E8187))</f>
        <v/>
      </c>
      <c r="J8187" s="59">
        <f t="shared" si="28"/>
        <v>0</v>
      </c>
      <c r="K8187" s="59">
        <f t="shared" si="29"/>
        <v>0</v>
      </c>
      <c r="L8187" s="59">
        <f t="shared" si="30"/>
        <v>0</v>
      </c>
      <c r="M8187" s="59">
        <f t="shared" si="31"/>
        <v>0</v>
      </c>
    </row>
    <row r="8188" ht="15.0" hidden="1" customHeight="1">
      <c r="A8188" s="59">
        <f t="shared" si="20"/>
        <v>133</v>
      </c>
      <c r="B8188" s="59" t="str">
        <f t="shared" si="21"/>
        <v/>
      </c>
      <c r="C8188" s="59" t="str">
        <f t="shared" si="22"/>
        <v/>
      </c>
      <c r="D8188" s="45" t="str">
        <f t="shared" si="23"/>
        <v/>
      </c>
      <c r="E8188" s="45" t="str">
        <f t="shared" si="24"/>
        <v/>
      </c>
      <c r="F8188" s="59" t="str">
        <f t="shared" si="25"/>
        <v/>
      </c>
      <c r="G8188" s="59" t="str">
        <f t="shared" si="26"/>
        <v/>
      </c>
      <c r="H8188" s="59" t="str">
        <f t="shared" si="27"/>
        <v>28H00609</v>
      </c>
      <c r="I8188" s="59" t="str">
        <f>IF(OR($A8188="",$C8188="",$D8188="",$E8188="",$H8188=""),"",SUMIFS(DATA_GOC!$H:$H,DATA_GOC!$A:$A,"BOM",DATA_GOC!$D:$D,$H8188,DATA_GOC!$E:$E,$C8188,DATA_GOC!$F:$F,"Xuất nội bộ từ téc",DATA_GOC!$B:$B,"&gt;="&amp;$D8188,DATA_GOC!$B:$B,"&lt;="&amp;$E8188))</f>
        <v/>
      </c>
      <c r="J8188" s="59">
        <f t="shared" si="28"/>
        <v>0</v>
      </c>
      <c r="K8188" s="59">
        <f t="shared" si="29"/>
        <v>0</v>
      </c>
      <c r="L8188" s="59">
        <f t="shared" si="30"/>
        <v>0</v>
      </c>
      <c r="M8188" s="59">
        <f t="shared" si="31"/>
        <v>0</v>
      </c>
    </row>
    <row r="8189" ht="15.0" hidden="1" customHeight="1">
      <c r="A8189" s="59">
        <f t="shared" si="20"/>
        <v>133</v>
      </c>
      <c r="B8189" s="59" t="str">
        <f t="shared" si="21"/>
        <v/>
      </c>
      <c r="C8189" s="59" t="str">
        <f t="shared" si="22"/>
        <v/>
      </c>
      <c r="D8189" s="45" t="str">
        <f t="shared" si="23"/>
        <v/>
      </c>
      <c r="E8189" s="45" t="str">
        <f t="shared" si="24"/>
        <v/>
      </c>
      <c r="F8189" s="59" t="str">
        <f t="shared" si="25"/>
        <v/>
      </c>
      <c r="G8189" s="59" t="str">
        <f t="shared" si="26"/>
        <v/>
      </c>
      <c r="H8189" s="59" t="str">
        <f t="shared" si="27"/>
        <v>28H00669</v>
      </c>
      <c r="I8189" s="59" t="str">
        <f>IF(OR($A8189="",$C8189="",$D8189="",$E8189="",$H8189=""),"",SUMIFS(DATA_GOC!$H:$H,DATA_GOC!$A:$A,"BOM",DATA_GOC!$D:$D,$H8189,DATA_GOC!$E:$E,$C8189,DATA_GOC!$F:$F,"Xuất nội bộ từ téc",DATA_GOC!$B:$B,"&gt;="&amp;$D8189,DATA_GOC!$B:$B,"&lt;="&amp;$E8189))</f>
        <v/>
      </c>
      <c r="J8189" s="59">
        <f t="shared" si="28"/>
        <v>0</v>
      </c>
      <c r="K8189" s="59">
        <f t="shared" si="29"/>
        <v>0</v>
      </c>
      <c r="L8189" s="59">
        <f t="shared" si="30"/>
        <v>0</v>
      </c>
      <c r="M8189" s="59">
        <f t="shared" si="31"/>
        <v>0</v>
      </c>
    </row>
    <row r="8190" ht="15.0" hidden="1" customHeight="1">
      <c r="A8190" s="59">
        <f t="shared" si="20"/>
        <v>133</v>
      </c>
      <c r="B8190" s="59" t="str">
        <f t="shared" si="21"/>
        <v/>
      </c>
      <c r="C8190" s="59" t="str">
        <f t="shared" si="22"/>
        <v/>
      </c>
      <c r="D8190" s="45" t="str">
        <f t="shared" si="23"/>
        <v/>
      </c>
      <c r="E8190" s="45" t="str">
        <f t="shared" si="24"/>
        <v/>
      </c>
      <c r="F8190" s="59" t="str">
        <f t="shared" si="25"/>
        <v/>
      </c>
      <c r="G8190" s="59" t="str">
        <f t="shared" si="26"/>
        <v/>
      </c>
      <c r="H8190" s="59" t="str">
        <f t="shared" si="27"/>
        <v>28H00680</v>
      </c>
      <c r="I8190" s="59" t="str">
        <f>IF(OR($A8190="",$C8190="",$D8190="",$E8190="",$H8190=""),"",SUMIFS(DATA_GOC!$H:$H,DATA_GOC!$A:$A,"BOM",DATA_GOC!$D:$D,$H8190,DATA_GOC!$E:$E,$C8190,DATA_GOC!$F:$F,"Xuất nội bộ từ téc",DATA_GOC!$B:$B,"&gt;="&amp;$D8190,DATA_GOC!$B:$B,"&lt;="&amp;$E8190))</f>
        <v/>
      </c>
      <c r="J8190" s="59">
        <f t="shared" si="28"/>
        <v>0</v>
      </c>
      <c r="K8190" s="59">
        <f t="shared" si="29"/>
        <v>0</v>
      </c>
      <c r="L8190" s="59">
        <f t="shared" si="30"/>
        <v>0</v>
      </c>
      <c r="M8190" s="59">
        <f t="shared" si="31"/>
        <v>0</v>
      </c>
    </row>
    <row r="8191" ht="15.0" hidden="1" customHeight="1">
      <c r="A8191" s="59">
        <f t="shared" si="20"/>
        <v>133</v>
      </c>
      <c r="B8191" s="59" t="str">
        <f t="shared" si="21"/>
        <v/>
      </c>
      <c r="C8191" s="59" t="str">
        <f t="shared" si="22"/>
        <v/>
      </c>
      <c r="D8191" s="45" t="str">
        <f t="shared" si="23"/>
        <v/>
      </c>
      <c r="E8191" s="45" t="str">
        <f t="shared" si="24"/>
        <v/>
      </c>
      <c r="F8191" s="59" t="str">
        <f t="shared" si="25"/>
        <v/>
      </c>
      <c r="G8191" s="59" t="str">
        <f t="shared" si="26"/>
        <v/>
      </c>
      <c r="H8191" s="59" t="str">
        <f t="shared" si="27"/>
        <v>28H01070</v>
      </c>
      <c r="I8191" s="59" t="str">
        <f>IF(OR($A8191="",$C8191="",$D8191="",$E8191="",$H8191=""),"",SUMIFS(DATA_GOC!$H:$H,DATA_GOC!$A:$A,"BOM",DATA_GOC!$D:$D,$H8191,DATA_GOC!$E:$E,$C8191,DATA_GOC!$F:$F,"Xuất nội bộ từ téc",DATA_GOC!$B:$B,"&gt;="&amp;$D8191,DATA_GOC!$B:$B,"&lt;="&amp;$E8191))</f>
        <v/>
      </c>
      <c r="J8191" s="59">
        <f t="shared" si="28"/>
        <v>0</v>
      </c>
      <c r="K8191" s="59">
        <f t="shared" si="29"/>
        <v>0</v>
      </c>
      <c r="L8191" s="59">
        <f t="shared" si="30"/>
        <v>0</v>
      </c>
      <c r="M8191" s="59">
        <f t="shared" si="31"/>
        <v>0</v>
      </c>
    </row>
    <row r="8192" ht="15.0" hidden="1" customHeight="1">
      <c r="A8192" s="59">
        <f t="shared" si="20"/>
        <v>133</v>
      </c>
      <c r="B8192" s="59" t="str">
        <f t="shared" si="21"/>
        <v/>
      </c>
      <c r="C8192" s="59" t="str">
        <f t="shared" si="22"/>
        <v/>
      </c>
      <c r="D8192" s="45" t="str">
        <f t="shared" si="23"/>
        <v/>
      </c>
      <c r="E8192" s="45" t="str">
        <f t="shared" si="24"/>
        <v/>
      </c>
      <c r="F8192" s="59" t="str">
        <f t="shared" si="25"/>
        <v/>
      </c>
      <c r="G8192" s="59" t="str">
        <f t="shared" si="26"/>
        <v/>
      </c>
      <c r="H8192" s="59" t="str">
        <f t="shared" si="27"/>
        <v>28H01364</v>
      </c>
      <c r="I8192" s="59" t="str">
        <f>IF(OR($A8192="",$C8192="",$D8192="",$E8192="",$H8192=""),"",SUMIFS(DATA_GOC!$H:$H,DATA_GOC!$A:$A,"BOM",DATA_GOC!$D:$D,$H8192,DATA_GOC!$E:$E,$C8192,DATA_GOC!$F:$F,"Xuất nội bộ từ téc",DATA_GOC!$B:$B,"&gt;="&amp;$D8192,DATA_GOC!$B:$B,"&lt;="&amp;$E8192))</f>
        <v/>
      </c>
      <c r="J8192" s="59">
        <f t="shared" si="28"/>
        <v>0</v>
      </c>
      <c r="K8192" s="59">
        <f t="shared" si="29"/>
        <v>0</v>
      </c>
      <c r="L8192" s="59">
        <f t="shared" si="30"/>
        <v>0</v>
      </c>
      <c r="M8192" s="59">
        <f t="shared" si="31"/>
        <v>0</v>
      </c>
    </row>
    <row r="8193" ht="15.0" hidden="1" customHeight="1">
      <c r="A8193" s="59">
        <f t="shared" si="20"/>
        <v>133</v>
      </c>
      <c r="B8193" s="59" t="str">
        <f t="shared" si="21"/>
        <v/>
      </c>
      <c r="C8193" s="59" t="str">
        <f t="shared" si="22"/>
        <v/>
      </c>
      <c r="D8193" s="45" t="str">
        <f t="shared" si="23"/>
        <v/>
      </c>
      <c r="E8193" s="45" t="str">
        <f t="shared" si="24"/>
        <v/>
      </c>
      <c r="F8193" s="59" t="str">
        <f t="shared" si="25"/>
        <v/>
      </c>
      <c r="G8193" s="59" t="str">
        <f t="shared" si="26"/>
        <v/>
      </c>
      <c r="H8193" s="59" t="str">
        <f t="shared" si="27"/>
        <v>29E17269</v>
      </c>
      <c r="I8193" s="59" t="str">
        <f>IF(OR($A8193="",$C8193="",$D8193="",$E8193="",$H8193=""),"",SUMIFS(DATA_GOC!$H:$H,DATA_GOC!$A:$A,"BOM",DATA_GOC!$D:$D,$H8193,DATA_GOC!$E:$E,$C8193,DATA_GOC!$F:$F,"Xuất nội bộ từ téc",DATA_GOC!$B:$B,"&gt;="&amp;$D8193,DATA_GOC!$B:$B,"&lt;="&amp;$E8193))</f>
        <v/>
      </c>
      <c r="J8193" s="59">
        <f t="shared" si="28"/>
        <v>0</v>
      </c>
      <c r="K8193" s="59">
        <f t="shared" si="29"/>
        <v>0</v>
      </c>
      <c r="L8193" s="59">
        <f t="shared" si="30"/>
        <v>0</v>
      </c>
      <c r="M8193" s="59">
        <f t="shared" si="31"/>
        <v>0</v>
      </c>
    </row>
    <row r="8194" ht="15.0" hidden="1" customHeight="1">
      <c r="A8194" s="59">
        <f t="shared" si="20"/>
        <v>133</v>
      </c>
      <c r="B8194" s="59" t="str">
        <f t="shared" si="21"/>
        <v/>
      </c>
      <c r="C8194" s="59" t="str">
        <f t="shared" si="22"/>
        <v/>
      </c>
      <c r="D8194" s="45" t="str">
        <f t="shared" si="23"/>
        <v/>
      </c>
      <c r="E8194" s="45" t="str">
        <f t="shared" si="24"/>
        <v/>
      </c>
      <c r="F8194" s="59" t="str">
        <f t="shared" si="25"/>
        <v/>
      </c>
      <c r="G8194" s="59" t="str">
        <f t="shared" si="26"/>
        <v/>
      </c>
      <c r="H8194" s="59" t="str">
        <f t="shared" si="27"/>
        <v>29E17273</v>
      </c>
      <c r="I8194" s="59" t="str">
        <f>IF(OR($A8194="",$C8194="",$D8194="",$E8194="",$H8194=""),"",SUMIFS(DATA_GOC!$H:$H,DATA_GOC!$A:$A,"BOM",DATA_GOC!$D:$D,$H8194,DATA_GOC!$E:$E,$C8194,DATA_GOC!$F:$F,"Xuất nội bộ từ téc",DATA_GOC!$B:$B,"&gt;="&amp;$D8194,DATA_GOC!$B:$B,"&lt;="&amp;$E8194))</f>
        <v/>
      </c>
      <c r="J8194" s="59">
        <f t="shared" si="28"/>
        <v>0</v>
      </c>
      <c r="K8194" s="59">
        <f t="shared" si="29"/>
        <v>0</v>
      </c>
      <c r="L8194" s="59">
        <f t="shared" si="30"/>
        <v>0</v>
      </c>
      <c r="M8194" s="59">
        <f t="shared" si="31"/>
        <v>0</v>
      </c>
    </row>
    <row r="8195" ht="15.0" hidden="1" customHeight="1">
      <c r="A8195" s="59">
        <f t="shared" si="20"/>
        <v>133</v>
      </c>
      <c r="B8195" s="59" t="str">
        <f t="shared" si="21"/>
        <v/>
      </c>
      <c r="C8195" s="59" t="str">
        <f t="shared" si="22"/>
        <v/>
      </c>
      <c r="D8195" s="45" t="str">
        <f t="shared" si="23"/>
        <v/>
      </c>
      <c r="E8195" s="45" t="str">
        <f t="shared" si="24"/>
        <v/>
      </c>
      <c r="F8195" s="59" t="str">
        <f t="shared" si="25"/>
        <v/>
      </c>
      <c r="G8195" s="59" t="str">
        <f t="shared" si="26"/>
        <v/>
      </c>
      <c r="H8195" s="59" t="str">
        <f t="shared" si="27"/>
        <v>29E17410</v>
      </c>
      <c r="I8195" s="59" t="str">
        <f>IF(OR($A8195="",$C8195="",$D8195="",$E8195="",$H8195=""),"",SUMIFS(DATA_GOC!$H:$H,DATA_GOC!$A:$A,"BOM",DATA_GOC!$D:$D,$H8195,DATA_GOC!$E:$E,$C8195,DATA_GOC!$F:$F,"Xuất nội bộ từ téc",DATA_GOC!$B:$B,"&gt;="&amp;$D8195,DATA_GOC!$B:$B,"&lt;="&amp;$E8195))</f>
        <v/>
      </c>
      <c r="J8195" s="59">
        <f t="shared" si="28"/>
        <v>0</v>
      </c>
      <c r="K8195" s="59">
        <f t="shared" si="29"/>
        <v>0</v>
      </c>
      <c r="L8195" s="59">
        <f t="shared" si="30"/>
        <v>0</v>
      </c>
      <c r="M8195" s="59">
        <f t="shared" si="31"/>
        <v>0</v>
      </c>
    </row>
    <row r="8196" ht="15.0" hidden="1" customHeight="1">
      <c r="A8196" s="59">
        <f t="shared" si="20"/>
        <v>133</v>
      </c>
      <c r="B8196" s="59" t="str">
        <f t="shared" si="21"/>
        <v/>
      </c>
      <c r="C8196" s="59" t="str">
        <f t="shared" si="22"/>
        <v/>
      </c>
      <c r="D8196" s="45" t="str">
        <f t="shared" si="23"/>
        <v/>
      </c>
      <c r="E8196" s="45" t="str">
        <f t="shared" si="24"/>
        <v/>
      </c>
      <c r="F8196" s="59" t="str">
        <f t="shared" si="25"/>
        <v/>
      </c>
      <c r="G8196" s="59" t="str">
        <f t="shared" si="26"/>
        <v/>
      </c>
      <c r="H8196" s="59" t="str">
        <f t="shared" si="27"/>
        <v>29E17417</v>
      </c>
      <c r="I8196" s="59" t="str">
        <f>IF(OR($A8196="",$C8196="",$D8196="",$E8196="",$H8196=""),"",SUMIFS(DATA_GOC!$H:$H,DATA_GOC!$A:$A,"BOM",DATA_GOC!$D:$D,$H8196,DATA_GOC!$E:$E,$C8196,DATA_GOC!$F:$F,"Xuất nội bộ từ téc",DATA_GOC!$B:$B,"&gt;="&amp;$D8196,DATA_GOC!$B:$B,"&lt;="&amp;$E8196))</f>
        <v/>
      </c>
      <c r="J8196" s="59">
        <f t="shared" si="28"/>
        <v>0</v>
      </c>
      <c r="K8196" s="59">
        <f t="shared" si="29"/>
        <v>0</v>
      </c>
      <c r="L8196" s="59">
        <f t="shared" si="30"/>
        <v>0</v>
      </c>
      <c r="M8196" s="59">
        <f t="shared" si="31"/>
        <v>0</v>
      </c>
    </row>
    <row r="8197" ht="15.0" hidden="1" customHeight="1">
      <c r="A8197" s="59">
        <f t="shared" si="20"/>
        <v>133</v>
      </c>
      <c r="B8197" s="59" t="str">
        <f t="shared" si="21"/>
        <v/>
      </c>
      <c r="C8197" s="59" t="str">
        <f t="shared" si="22"/>
        <v/>
      </c>
      <c r="D8197" s="45" t="str">
        <f t="shared" si="23"/>
        <v/>
      </c>
      <c r="E8197" s="45" t="str">
        <f t="shared" si="24"/>
        <v/>
      </c>
      <c r="F8197" s="59" t="str">
        <f t="shared" si="25"/>
        <v/>
      </c>
      <c r="G8197" s="59" t="str">
        <f t="shared" si="26"/>
        <v/>
      </c>
      <c r="H8197" s="59" t="str">
        <f t="shared" si="27"/>
        <v>29E17539</v>
      </c>
      <c r="I8197" s="59" t="str">
        <f>IF(OR($A8197="",$C8197="",$D8197="",$E8197="",$H8197=""),"",SUMIFS(DATA_GOC!$H:$H,DATA_GOC!$A:$A,"BOM",DATA_GOC!$D:$D,$H8197,DATA_GOC!$E:$E,$C8197,DATA_GOC!$F:$F,"Xuất nội bộ từ téc",DATA_GOC!$B:$B,"&gt;="&amp;$D8197,DATA_GOC!$B:$B,"&lt;="&amp;$E8197))</f>
        <v/>
      </c>
      <c r="J8197" s="59">
        <f t="shared" si="28"/>
        <v>0</v>
      </c>
      <c r="K8197" s="59">
        <f t="shared" si="29"/>
        <v>0</v>
      </c>
      <c r="L8197" s="59">
        <f t="shared" si="30"/>
        <v>0</v>
      </c>
      <c r="M8197" s="59">
        <f t="shared" si="31"/>
        <v>0</v>
      </c>
    </row>
    <row r="8198" ht="15.0" hidden="1" customHeight="1">
      <c r="A8198" s="59">
        <f t="shared" si="20"/>
        <v>133</v>
      </c>
      <c r="B8198" s="59" t="str">
        <f t="shared" si="21"/>
        <v/>
      </c>
      <c r="C8198" s="59" t="str">
        <f t="shared" si="22"/>
        <v/>
      </c>
      <c r="D8198" s="45" t="str">
        <f t="shared" si="23"/>
        <v/>
      </c>
      <c r="E8198" s="45" t="str">
        <f t="shared" si="24"/>
        <v/>
      </c>
      <c r="F8198" s="59" t="str">
        <f t="shared" si="25"/>
        <v/>
      </c>
      <c r="G8198" s="59" t="str">
        <f t="shared" si="26"/>
        <v/>
      </c>
      <c r="H8198" s="59" t="str">
        <f t="shared" si="27"/>
        <v>29E18160</v>
      </c>
      <c r="I8198" s="59" t="str">
        <f>IF(OR($A8198="",$C8198="",$D8198="",$E8198="",$H8198=""),"",SUMIFS(DATA_GOC!$H:$H,DATA_GOC!$A:$A,"BOM",DATA_GOC!$D:$D,$H8198,DATA_GOC!$E:$E,$C8198,DATA_GOC!$F:$F,"Xuất nội bộ từ téc",DATA_GOC!$B:$B,"&gt;="&amp;$D8198,DATA_GOC!$B:$B,"&lt;="&amp;$E8198))</f>
        <v/>
      </c>
      <c r="J8198" s="59">
        <f t="shared" si="28"/>
        <v>0</v>
      </c>
      <c r="K8198" s="59">
        <f t="shared" si="29"/>
        <v>0</v>
      </c>
      <c r="L8198" s="59">
        <f t="shared" si="30"/>
        <v>0</v>
      </c>
      <c r="M8198" s="59">
        <f t="shared" si="31"/>
        <v>0</v>
      </c>
    </row>
    <row r="8199" ht="15.0" hidden="1" customHeight="1">
      <c r="A8199" s="59">
        <f t="shared" si="20"/>
        <v>133</v>
      </c>
      <c r="B8199" s="59" t="str">
        <f t="shared" si="21"/>
        <v/>
      </c>
      <c r="C8199" s="59" t="str">
        <f t="shared" si="22"/>
        <v/>
      </c>
      <c r="D8199" s="45" t="str">
        <f t="shared" si="23"/>
        <v/>
      </c>
      <c r="E8199" s="45" t="str">
        <f t="shared" si="24"/>
        <v/>
      </c>
      <c r="F8199" s="59" t="str">
        <f t="shared" si="25"/>
        <v/>
      </c>
      <c r="G8199" s="59" t="str">
        <f t="shared" si="26"/>
        <v/>
      </c>
      <c r="H8199" s="59" t="str">
        <f t="shared" si="27"/>
        <v>Công trình Asphalt</v>
      </c>
      <c r="I8199" s="59" t="str">
        <f>IF(OR($A8199="",$C8199="",$D8199="",$E8199="",$H8199=""),"",SUMIFS(DATA_GOC!$H:$H,DATA_GOC!$A:$A,"BOM",DATA_GOC!$D:$D,$H8199,DATA_GOC!$E:$E,$C8199,DATA_GOC!$F:$F,"Xuất nội bộ từ téc",DATA_GOC!$B:$B,"&gt;="&amp;$D8199,DATA_GOC!$B:$B,"&lt;="&amp;$E8199))</f>
        <v/>
      </c>
      <c r="J8199" s="59">
        <f t="shared" si="28"/>
        <v>0</v>
      </c>
      <c r="K8199" s="59">
        <f t="shared" si="29"/>
        <v>0</v>
      </c>
      <c r="L8199" s="59">
        <f t="shared" si="30"/>
        <v>0</v>
      </c>
      <c r="M8199" s="59">
        <f t="shared" si="31"/>
        <v>0</v>
      </c>
    </row>
    <row r="8200" ht="15.0" hidden="1" customHeight="1">
      <c r="A8200" s="59">
        <f t="shared" si="20"/>
        <v>133</v>
      </c>
      <c r="B8200" s="59" t="str">
        <f t="shared" si="21"/>
        <v/>
      </c>
      <c r="C8200" s="59" t="str">
        <f t="shared" si="22"/>
        <v/>
      </c>
      <c r="D8200" s="45" t="str">
        <f t="shared" si="23"/>
        <v/>
      </c>
      <c r="E8200" s="45" t="str">
        <f t="shared" si="24"/>
        <v/>
      </c>
      <c r="F8200" s="59" t="str">
        <f t="shared" si="25"/>
        <v/>
      </c>
      <c r="G8200" s="59" t="str">
        <f t="shared" si="26"/>
        <v/>
      </c>
      <c r="H8200" s="59" t="str">
        <f t="shared" si="27"/>
        <v>LG53F</v>
      </c>
      <c r="I8200" s="59" t="str">
        <f>IF(OR($A8200="",$C8200="",$D8200="",$E8200="",$H8200=""),"",SUMIFS(DATA_GOC!$H:$H,DATA_GOC!$A:$A,"BOM",DATA_GOC!$D:$D,$H8200,DATA_GOC!$E:$E,$C8200,DATA_GOC!$F:$F,"Xuất nội bộ từ téc",DATA_GOC!$B:$B,"&gt;="&amp;$D8200,DATA_GOC!$B:$B,"&lt;="&amp;$E8200))</f>
        <v/>
      </c>
      <c r="J8200" s="59">
        <f t="shared" si="28"/>
        <v>0</v>
      </c>
      <c r="K8200" s="59">
        <f t="shared" si="29"/>
        <v>0</v>
      </c>
      <c r="L8200" s="59">
        <f t="shared" si="30"/>
        <v>0</v>
      </c>
      <c r="M8200" s="59">
        <f t="shared" si="31"/>
        <v>0</v>
      </c>
    </row>
    <row r="8201" ht="15.0" hidden="1" customHeight="1">
      <c r="A8201" s="59">
        <f t="shared" si="20"/>
        <v>133</v>
      </c>
      <c r="B8201" s="59" t="str">
        <f t="shared" si="21"/>
        <v/>
      </c>
      <c r="C8201" s="59" t="str">
        <f t="shared" si="22"/>
        <v/>
      </c>
      <c r="D8201" s="45" t="str">
        <f t="shared" si="23"/>
        <v/>
      </c>
      <c r="E8201" s="45" t="str">
        <f t="shared" si="24"/>
        <v/>
      </c>
      <c r="F8201" s="59" t="str">
        <f t="shared" si="25"/>
        <v/>
      </c>
      <c r="G8201" s="59" t="str">
        <f t="shared" si="26"/>
        <v/>
      </c>
      <c r="H8201" s="59" t="str">
        <f t="shared" si="27"/>
        <v>Máy phát điện</v>
      </c>
      <c r="I8201" s="59" t="str">
        <f>IF(OR($A8201="",$C8201="",$D8201="",$E8201="",$H8201=""),"",SUMIFS(DATA_GOC!$H:$H,DATA_GOC!$A:$A,"BOM",DATA_GOC!$D:$D,$H8201,DATA_GOC!$E:$E,$C8201,DATA_GOC!$F:$F,"Xuất nội bộ từ téc",DATA_GOC!$B:$B,"&gt;="&amp;$D8201,DATA_GOC!$B:$B,"&lt;="&amp;$E8201))</f>
        <v/>
      </c>
      <c r="J8201" s="59">
        <f t="shared" si="28"/>
        <v>0</v>
      </c>
      <c r="K8201" s="59">
        <f t="shared" si="29"/>
        <v>0</v>
      </c>
      <c r="L8201" s="59">
        <f t="shared" si="30"/>
        <v>0</v>
      </c>
      <c r="M8201" s="59">
        <f t="shared" si="31"/>
        <v>0</v>
      </c>
    </row>
    <row r="8202" ht="15.0" hidden="1" customHeight="1">
      <c r="A8202" s="59">
        <f t="shared" si="20"/>
        <v>133</v>
      </c>
      <c r="B8202" s="59" t="str">
        <f t="shared" si="21"/>
        <v/>
      </c>
      <c r="C8202" s="59" t="str">
        <f t="shared" si="22"/>
        <v/>
      </c>
      <c r="D8202" s="45" t="str">
        <f t="shared" si="23"/>
        <v/>
      </c>
      <c r="E8202" s="45" t="str">
        <f t="shared" si="24"/>
        <v/>
      </c>
      <c r="F8202" s="59" t="str">
        <f t="shared" si="25"/>
        <v/>
      </c>
      <c r="G8202" s="59" t="str">
        <f t="shared" si="26"/>
        <v/>
      </c>
      <c r="H8202" s="59" t="str">
        <f t="shared" si="27"/>
        <v>Máy rải thảm</v>
      </c>
      <c r="I8202" s="59" t="str">
        <f>IF(OR($A8202="",$C8202="",$D8202="",$E8202="",$H8202=""),"",SUMIFS(DATA_GOC!$H:$H,DATA_GOC!$A:$A,"BOM",DATA_GOC!$D:$D,$H8202,DATA_GOC!$E:$E,$C8202,DATA_GOC!$F:$F,"Xuất nội bộ từ téc",DATA_GOC!$B:$B,"&gt;="&amp;$D8202,DATA_GOC!$B:$B,"&lt;="&amp;$E8202))</f>
        <v/>
      </c>
      <c r="J8202" s="59">
        <f t="shared" si="28"/>
        <v>0</v>
      </c>
      <c r="K8202" s="59">
        <f t="shared" si="29"/>
        <v>0</v>
      </c>
      <c r="L8202" s="59">
        <f t="shared" si="30"/>
        <v>0</v>
      </c>
      <c r="M8202" s="59">
        <f t="shared" si="31"/>
        <v>0</v>
      </c>
    </row>
    <row r="8203" ht="15.0" hidden="1" customHeight="1">
      <c r="A8203" s="59">
        <f t="shared" si="20"/>
        <v>133</v>
      </c>
      <c r="B8203" s="59" t="str">
        <f t="shared" si="21"/>
        <v/>
      </c>
      <c r="C8203" s="59" t="str">
        <f t="shared" si="22"/>
        <v/>
      </c>
      <c r="D8203" s="45" t="str">
        <f t="shared" si="23"/>
        <v/>
      </c>
      <c r="E8203" s="45" t="str">
        <f t="shared" si="24"/>
        <v/>
      </c>
      <c r="F8203" s="59" t="str">
        <f t="shared" si="25"/>
        <v/>
      </c>
      <c r="G8203" s="59" t="str">
        <f t="shared" si="26"/>
        <v/>
      </c>
      <c r="H8203" s="59" t="str">
        <f t="shared" si="27"/>
        <v>Xúc Đào</v>
      </c>
      <c r="I8203" s="59" t="str">
        <f>IF(OR($A8203="",$C8203="",$D8203="",$E8203="",$H8203=""),"",SUMIFS(DATA_GOC!$H:$H,DATA_GOC!$A:$A,"BOM",DATA_GOC!$D:$D,$H8203,DATA_GOC!$E:$E,$C8203,DATA_GOC!$F:$F,"Xuất nội bộ từ téc",DATA_GOC!$B:$B,"&gt;="&amp;$D8203,DATA_GOC!$B:$B,"&lt;="&amp;$E8203))</f>
        <v/>
      </c>
      <c r="J8203" s="59">
        <f t="shared" si="28"/>
        <v>0</v>
      </c>
      <c r="K8203" s="59">
        <f t="shared" si="29"/>
        <v>0</v>
      </c>
      <c r="L8203" s="59">
        <f t="shared" si="30"/>
        <v>0</v>
      </c>
      <c r="M8203" s="59">
        <f t="shared" si="31"/>
        <v>0</v>
      </c>
    </row>
    <row r="8204" ht="15.0" hidden="1" customHeight="1">
      <c r="A8204" s="59">
        <f t="shared" si="20"/>
        <v>133</v>
      </c>
      <c r="B8204" s="59" t="str">
        <f t="shared" si="21"/>
        <v/>
      </c>
      <c r="C8204" s="59" t="str">
        <f t="shared" si="22"/>
        <v/>
      </c>
      <c r="D8204" s="45" t="str">
        <f t="shared" si="23"/>
        <v/>
      </c>
      <c r="E8204" s="45" t="str">
        <f t="shared" si="24"/>
        <v/>
      </c>
      <c r="F8204" s="59" t="str">
        <f t="shared" si="25"/>
        <v/>
      </c>
      <c r="G8204" s="59" t="str">
        <f t="shared" si="26"/>
        <v/>
      </c>
      <c r="H8204" s="59" t="str">
        <f t="shared" si="27"/>
        <v>Xúclật asphalt</v>
      </c>
      <c r="I8204" s="59" t="str">
        <f>IF(OR($A8204="",$C8204="",$D8204="",$E8204="",$H8204=""),"",SUMIFS(DATA_GOC!$H:$H,DATA_GOC!$A:$A,"BOM",DATA_GOC!$D:$D,$H8204,DATA_GOC!$E:$E,$C8204,DATA_GOC!$F:$F,"Xuất nội bộ từ téc",DATA_GOC!$B:$B,"&gt;="&amp;$D8204,DATA_GOC!$B:$B,"&lt;="&amp;$E8204))</f>
        <v/>
      </c>
      <c r="J8204" s="59">
        <f t="shared" si="28"/>
        <v>0</v>
      </c>
      <c r="K8204" s="59">
        <f t="shared" si="29"/>
        <v>0</v>
      </c>
      <c r="L8204" s="59">
        <f t="shared" si="30"/>
        <v>0</v>
      </c>
      <c r="M8204" s="59">
        <f t="shared" si="31"/>
        <v>0</v>
      </c>
    </row>
    <row r="8205" ht="15.0" hidden="1" customHeight="1">
      <c r="A8205" s="59">
        <f t="shared" si="20"/>
        <v>133</v>
      </c>
      <c r="B8205" s="59" t="str">
        <f t="shared" si="21"/>
        <v/>
      </c>
      <c r="C8205" s="59" t="str">
        <f t="shared" si="22"/>
        <v/>
      </c>
      <c r="D8205" s="45" t="str">
        <f t="shared" si="23"/>
        <v/>
      </c>
      <c r="E8205" s="45" t="str">
        <f t="shared" si="24"/>
        <v/>
      </c>
      <c r="F8205" s="59" t="str">
        <f t="shared" si="25"/>
        <v/>
      </c>
      <c r="G8205" s="59" t="str">
        <f t="shared" si="26"/>
        <v/>
      </c>
      <c r="H8205" s="59" t="str">
        <f t="shared" si="27"/>
        <v>Xúclật855H</v>
      </c>
      <c r="I8205" s="59" t="str">
        <f>IF(OR($A8205="",$C8205="",$D8205="",$E8205="",$H8205=""),"",SUMIFS(DATA_GOC!$H:$H,DATA_GOC!$A:$A,"BOM",DATA_GOC!$D:$D,$H8205,DATA_GOC!$E:$E,$C8205,DATA_GOC!$F:$F,"Xuất nội bộ từ téc",DATA_GOC!$B:$B,"&gt;="&amp;$D8205,DATA_GOC!$B:$B,"&lt;="&amp;$E8205))</f>
        <v/>
      </c>
      <c r="J8205" s="59">
        <f t="shared" si="28"/>
        <v>0</v>
      </c>
      <c r="K8205" s="59">
        <f t="shared" si="29"/>
        <v>0</v>
      </c>
      <c r="L8205" s="59">
        <f t="shared" si="30"/>
        <v>0</v>
      </c>
      <c r="M8205" s="59">
        <f t="shared" si="31"/>
        <v>0</v>
      </c>
    </row>
    <row r="8206" ht="15.0" hidden="1" customHeight="1">
      <c r="A8206" s="59">
        <f t="shared" si="20"/>
        <v>133</v>
      </c>
      <c r="B8206" s="59" t="str">
        <f t="shared" si="21"/>
        <v/>
      </c>
      <c r="C8206" s="59" t="str">
        <f t="shared" si="22"/>
        <v/>
      </c>
      <c r="D8206" s="45" t="str">
        <f t="shared" si="23"/>
        <v/>
      </c>
      <c r="E8206" s="45" t="str">
        <f t="shared" si="24"/>
        <v/>
      </c>
      <c r="F8206" s="59" t="str">
        <f t="shared" si="25"/>
        <v/>
      </c>
      <c r="G8206" s="59" t="str">
        <f t="shared" si="26"/>
        <v/>
      </c>
      <c r="H8206" s="59" t="str">
        <f t="shared" si="27"/>
        <v>Xúclật855N</v>
      </c>
      <c r="I8206" s="59" t="str">
        <f>IF(OR($A8206="",$C8206="",$D8206="",$E8206="",$H8206=""),"",SUMIFS(DATA_GOC!$H:$H,DATA_GOC!$A:$A,"BOM",DATA_GOC!$D:$D,$H8206,DATA_GOC!$E:$E,$C8206,DATA_GOC!$F:$F,"Xuất nội bộ từ téc",DATA_GOC!$B:$B,"&gt;="&amp;$D8206,DATA_GOC!$B:$B,"&lt;="&amp;$E8206))</f>
        <v/>
      </c>
      <c r="J8206" s="59">
        <f t="shared" si="28"/>
        <v>0</v>
      </c>
      <c r="K8206" s="59">
        <f t="shared" si="29"/>
        <v>0</v>
      </c>
      <c r="L8206" s="59">
        <f t="shared" si="30"/>
        <v>0</v>
      </c>
      <c r="M8206" s="59">
        <f t="shared" si="31"/>
        <v>0</v>
      </c>
    </row>
    <row r="8207" ht="15.0" hidden="1" customHeight="1">
      <c r="A8207" s="59">
        <f t="shared" si="20"/>
        <v>133</v>
      </c>
      <c r="B8207" s="59" t="str">
        <f t="shared" si="21"/>
        <v/>
      </c>
      <c r="C8207" s="59" t="str">
        <f t="shared" si="22"/>
        <v/>
      </c>
      <c r="D8207" s="45" t="str">
        <f t="shared" si="23"/>
        <v/>
      </c>
      <c r="E8207" s="45" t="str">
        <f t="shared" si="24"/>
        <v/>
      </c>
      <c r="F8207" s="59" t="str">
        <f t="shared" si="25"/>
        <v/>
      </c>
      <c r="G8207" s="59" t="str">
        <f t="shared" si="26"/>
        <v/>
      </c>
      <c r="H8207" s="59" t="str">
        <f t="shared" si="27"/>
        <v>Cát nghiền</v>
      </c>
      <c r="I8207" s="59" t="str">
        <f>IF(OR($A8207="",$C8207="",$D8207="",$E8207="",$H8207=""),"",SUMIFS(DATA_GOC!$H:$H,DATA_GOC!$A:$A,"BOM",DATA_GOC!$D:$D,$H8207,DATA_GOC!$E:$E,$C8207,DATA_GOC!$F:$F,"Xuất nội bộ từ téc",DATA_GOC!$B:$B,"&gt;="&amp;$D8207,DATA_GOC!$B:$B,"&lt;="&amp;$E8207))</f>
        <v/>
      </c>
      <c r="J8207" s="59">
        <f t="shared" si="28"/>
        <v>0</v>
      </c>
      <c r="K8207" s="59">
        <f t="shared" si="29"/>
        <v>0</v>
      </c>
      <c r="L8207" s="59">
        <f t="shared" si="30"/>
        <v>0</v>
      </c>
      <c r="M8207" s="59">
        <f t="shared" si="31"/>
        <v>0</v>
      </c>
    </row>
    <row r="8208" ht="15.0" hidden="1" customHeight="1">
      <c r="A8208" s="59">
        <f t="shared" si="20"/>
        <v>133</v>
      </c>
      <c r="B8208" s="59" t="str">
        <f t="shared" si="21"/>
        <v/>
      </c>
      <c r="C8208" s="59" t="str">
        <f t="shared" si="22"/>
        <v/>
      </c>
      <c r="D8208" s="45" t="str">
        <f t="shared" si="23"/>
        <v/>
      </c>
      <c r="E8208" s="45" t="str">
        <f t="shared" si="24"/>
        <v/>
      </c>
      <c r="F8208" s="59" t="str">
        <f t="shared" si="25"/>
        <v/>
      </c>
      <c r="G8208" s="59" t="str">
        <f t="shared" si="26"/>
        <v/>
      </c>
      <c r="H8208" s="59" t="str">
        <f t="shared" si="27"/>
        <v>28C02973</v>
      </c>
      <c r="I8208" s="59" t="str">
        <f>IF(OR($A8208="",$C8208="",$D8208="",$E8208="",$H8208=""),"",SUMIFS(DATA_GOC!$H:$H,DATA_GOC!$A:$A,"BOM",DATA_GOC!$D:$D,$H8208,DATA_GOC!$E:$E,$C8208,DATA_GOC!$F:$F,"Xuất nội bộ từ téc",DATA_GOC!$B:$B,"&gt;="&amp;$D8208,DATA_GOC!$B:$B,"&lt;="&amp;$E8208))</f>
        <v/>
      </c>
      <c r="J8208" s="59">
        <f t="shared" si="28"/>
        <v>0</v>
      </c>
      <c r="K8208" s="59">
        <f t="shared" si="29"/>
        <v>0</v>
      </c>
      <c r="L8208" s="59">
        <f t="shared" si="30"/>
        <v>0</v>
      </c>
      <c r="M8208" s="59">
        <f t="shared" si="31"/>
        <v>0</v>
      </c>
    </row>
    <row r="8209" ht="15.0" hidden="1" customHeight="1">
      <c r="A8209" s="59">
        <f t="shared" si="20"/>
        <v>133</v>
      </c>
      <c r="B8209" s="59" t="str">
        <f t="shared" si="21"/>
        <v/>
      </c>
      <c r="C8209" s="59" t="str">
        <f t="shared" si="22"/>
        <v/>
      </c>
      <c r="D8209" s="45" t="str">
        <f t="shared" si="23"/>
        <v/>
      </c>
      <c r="E8209" s="45" t="str">
        <f t="shared" si="24"/>
        <v/>
      </c>
      <c r="F8209" s="59" t="str">
        <f t="shared" si="25"/>
        <v/>
      </c>
      <c r="G8209" s="59" t="str">
        <f t="shared" si="26"/>
        <v/>
      </c>
      <c r="H8209" s="59" t="str">
        <f t="shared" si="27"/>
        <v>28C03044</v>
      </c>
      <c r="I8209" s="59" t="str">
        <f>IF(OR($A8209="",$C8209="",$D8209="",$E8209="",$H8209=""),"",SUMIFS(DATA_GOC!$H:$H,DATA_GOC!$A:$A,"BOM",DATA_GOC!$D:$D,$H8209,DATA_GOC!$E:$E,$C8209,DATA_GOC!$F:$F,"Xuất nội bộ từ téc",DATA_GOC!$B:$B,"&gt;="&amp;$D8209,DATA_GOC!$B:$B,"&lt;="&amp;$E8209))</f>
        <v/>
      </c>
      <c r="J8209" s="59">
        <f t="shared" si="28"/>
        <v>0</v>
      </c>
      <c r="K8209" s="59">
        <f t="shared" si="29"/>
        <v>0</v>
      </c>
      <c r="L8209" s="59">
        <f t="shared" si="30"/>
        <v>0</v>
      </c>
      <c r="M8209" s="59">
        <f t="shared" si="31"/>
        <v>0</v>
      </c>
    </row>
    <row r="8210" ht="15.0" hidden="1" customHeight="1">
      <c r="A8210" s="59">
        <f t="shared" si="20"/>
        <v>133</v>
      </c>
      <c r="B8210" s="59" t="str">
        <f t="shared" si="21"/>
        <v/>
      </c>
      <c r="C8210" s="59" t="str">
        <f t="shared" si="22"/>
        <v/>
      </c>
      <c r="D8210" s="45" t="str">
        <f t="shared" si="23"/>
        <v/>
      </c>
      <c r="E8210" s="45" t="str">
        <f t="shared" si="24"/>
        <v/>
      </c>
      <c r="F8210" s="59" t="str">
        <f t="shared" si="25"/>
        <v/>
      </c>
      <c r="G8210" s="59" t="str">
        <f t="shared" si="26"/>
        <v/>
      </c>
      <c r="H8210" s="59" t="str">
        <f t="shared" si="27"/>
        <v>Máy lu lốp</v>
      </c>
      <c r="I8210" s="59" t="str">
        <f>IF(OR($A8210="",$C8210="",$D8210="",$E8210="",$H8210=""),"",SUMIFS(DATA_GOC!$H:$H,DATA_GOC!$A:$A,"BOM",DATA_GOC!$D:$D,$H8210,DATA_GOC!$E:$E,$C8210,DATA_GOC!$F:$F,"Xuất nội bộ từ téc",DATA_GOC!$B:$B,"&gt;="&amp;$D8210,DATA_GOC!$B:$B,"&lt;="&amp;$E8210))</f>
        <v/>
      </c>
      <c r="J8210" s="59">
        <f t="shared" si="28"/>
        <v>0</v>
      </c>
      <c r="K8210" s="59">
        <f t="shared" si="29"/>
        <v>0</v>
      </c>
      <c r="L8210" s="59">
        <f t="shared" si="30"/>
        <v>0</v>
      </c>
      <c r="M8210" s="59">
        <f t="shared" si="31"/>
        <v>0</v>
      </c>
    </row>
    <row r="8211" ht="15.0" hidden="1" customHeight="1">
      <c r="A8211" s="59">
        <f t="shared" si="20"/>
        <v>133</v>
      </c>
      <c r="B8211" s="59" t="str">
        <f t="shared" si="21"/>
        <v/>
      </c>
      <c r="C8211" s="59" t="str">
        <f t="shared" si="22"/>
        <v/>
      </c>
      <c r="D8211" s="45" t="str">
        <f t="shared" si="23"/>
        <v/>
      </c>
      <c r="E8211" s="45" t="str">
        <f t="shared" si="24"/>
        <v/>
      </c>
      <c r="F8211" s="59" t="str">
        <f t="shared" si="25"/>
        <v/>
      </c>
      <c r="G8211" s="59" t="str">
        <f t="shared" si="26"/>
        <v/>
      </c>
      <c r="H8211" s="59" t="str">
        <f t="shared" si="27"/>
        <v>Xe 600148</v>
      </c>
      <c r="I8211" s="59" t="str">
        <f>IF(OR($A8211="",$C8211="",$D8211="",$E8211="",$H8211=""),"",SUMIFS(DATA_GOC!$H:$H,DATA_GOC!$A:$A,"BOM",DATA_GOC!$D:$D,$H8211,DATA_GOC!$E:$E,$C8211,DATA_GOC!$F:$F,"Xuất nội bộ từ téc",DATA_GOC!$B:$B,"&gt;="&amp;$D8211,DATA_GOC!$B:$B,"&lt;="&amp;$E8211))</f>
        <v/>
      </c>
      <c r="J8211" s="59">
        <f t="shared" si="28"/>
        <v>0</v>
      </c>
      <c r="K8211" s="59">
        <f t="shared" si="29"/>
        <v>0</v>
      </c>
      <c r="L8211" s="59">
        <f t="shared" si="30"/>
        <v>0</v>
      </c>
      <c r="M8211" s="59">
        <f t="shared" si="31"/>
        <v>0</v>
      </c>
    </row>
    <row r="8212" ht="15.0" hidden="1" customHeight="1">
      <c r="A8212" s="59">
        <f t="shared" si="20"/>
        <v>133</v>
      </c>
      <c r="B8212" s="59" t="str">
        <f t="shared" si="21"/>
        <v/>
      </c>
      <c r="C8212" s="59" t="str">
        <f t="shared" si="22"/>
        <v/>
      </c>
      <c r="D8212" s="45" t="str">
        <f t="shared" si="23"/>
        <v/>
      </c>
      <c r="E8212" s="45" t="str">
        <f t="shared" si="24"/>
        <v/>
      </c>
      <c r="F8212" s="59" t="str">
        <f t="shared" si="25"/>
        <v/>
      </c>
      <c r="G8212" s="59" t="str">
        <f t="shared" si="26"/>
        <v/>
      </c>
      <c r="H8212" s="59" t="str">
        <f t="shared" si="27"/>
        <v>Xe ben mới</v>
      </c>
      <c r="I8212" s="59" t="str">
        <f>IF(OR($A8212="",$C8212="",$D8212="",$E8212="",$H8212=""),"",SUMIFS(DATA_GOC!$H:$H,DATA_GOC!$A:$A,"BOM",DATA_GOC!$D:$D,$H8212,DATA_GOC!$E:$E,$C8212,DATA_GOC!$F:$F,"Xuất nội bộ từ téc",DATA_GOC!$B:$B,"&gt;="&amp;$D8212,DATA_GOC!$B:$B,"&lt;="&amp;$E8212))</f>
        <v/>
      </c>
      <c r="J8212" s="59">
        <f t="shared" si="28"/>
        <v>0</v>
      </c>
      <c r="K8212" s="59">
        <f t="shared" si="29"/>
        <v>0</v>
      </c>
      <c r="L8212" s="59">
        <f t="shared" si="30"/>
        <v>0</v>
      </c>
      <c r="M8212" s="59">
        <f t="shared" si="31"/>
        <v>0</v>
      </c>
    </row>
    <row r="8213" ht="15.0" hidden="1" customHeight="1">
      <c r="A8213" s="59">
        <f t="shared" si="20"/>
        <v>134</v>
      </c>
      <c r="B8213" s="59" t="str">
        <f t="shared" si="21"/>
        <v/>
      </c>
      <c r="C8213" s="59" t="str">
        <f t="shared" si="22"/>
        <v/>
      </c>
      <c r="D8213" s="45" t="str">
        <f t="shared" si="23"/>
        <v/>
      </c>
      <c r="E8213" s="45" t="str">
        <f t="shared" si="24"/>
        <v/>
      </c>
      <c r="F8213" s="59" t="str">
        <f t="shared" si="25"/>
        <v/>
      </c>
      <c r="G8213" s="59" t="str">
        <f t="shared" si="26"/>
        <v/>
      </c>
      <c r="H8213" s="59" t="str">
        <f t="shared" si="27"/>
        <v>19H09482</v>
      </c>
      <c r="I8213" s="59" t="str">
        <f>IF(OR($A8213="",$C8213="",$D8213="",$E8213="",$H8213=""),"",SUMIFS(DATA_GOC!$H:$H,DATA_GOC!$A:$A,"BOM",DATA_GOC!$D:$D,$H8213,DATA_GOC!$E:$E,$C8213,DATA_GOC!$F:$F,"Xuất nội bộ từ téc",DATA_GOC!$B:$B,"&gt;="&amp;$D8213,DATA_GOC!$B:$B,"&lt;="&amp;$E8213))</f>
        <v/>
      </c>
      <c r="J8213" s="59">
        <f t="shared" si="28"/>
        <v>0</v>
      </c>
      <c r="K8213" s="59">
        <f t="shared" si="29"/>
        <v>0</v>
      </c>
      <c r="L8213" s="59">
        <f t="shared" si="30"/>
        <v>0</v>
      </c>
      <c r="M8213" s="59">
        <f t="shared" si="31"/>
        <v>0</v>
      </c>
    </row>
    <row r="8214" ht="15.0" hidden="1" customHeight="1">
      <c r="A8214" s="59">
        <f t="shared" si="20"/>
        <v>134</v>
      </c>
      <c r="B8214" s="59" t="str">
        <f t="shared" si="21"/>
        <v/>
      </c>
      <c r="C8214" s="59" t="str">
        <f t="shared" si="22"/>
        <v/>
      </c>
      <c r="D8214" s="45" t="str">
        <f t="shared" si="23"/>
        <v/>
      </c>
      <c r="E8214" s="45" t="str">
        <f t="shared" si="24"/>
        <v/>
      </c>
      <c r="F8214" s="59" t="str">
        <f t="shared" si="25"/>
        <v/>
      </c>
      <c r="G8214" s="59" t="str">
        <f t="shared" si="26"/>
        <v/>
      </c>
      <c r="H8214" s="59" t="str">
        <f t="shared" si="27"/>
        <v>28A30696</v>
      </c>
      <c r="I8214" s="59" t="str">
        <f>IF(OR($A8214="",$C8214="",$D8214="",$E8214="",$H8214=""),"",SUMIFS(DATA_GOC!$H:$H,DATA_GOC!$A:$A,"BOM",DATA_GOC!$D:$D,$H8214,DATA_GOC!$E:$E,$C8214,DATA_GOC!$F:$F,"Xuất nội bộ từ téc",DATA_GOC!$B:$B,"&gt;="&amp;$D8214,DATA_GOC!$B:$B,"&lt;="&amp;$E8214))</f>
        <v/>
      </c>
      <c r="J8214" s="59">
        <f t="shared" si="28"/>
        <v>0</v>
      </c>
      <c r="K8214" s="59">
        <f t="shared" si="29"/>
        <v>0</v>
      </c>
      <c r="L8214" s="59">
        <f t="shared" si="30"/>
        <v>0</v>
      </c>
      <c r="M8214" s="59">
        <f t="shared" si="31"/>
        <v>0</v>
      </c>
    </row>
    <row r="8215" ht="15.0" hidden="1" customHeight="1">
      <c r="A8215" s="59">
        <f t="shared" si="20"/>
        <v>134</v>
      </c>
      <c r="B8215" s="59" t="str">
        <f t="shared" si="21"/>
        <v/>
      </c>
      <c r="C8215" s="59" t="str">
        <f t="shared" si="22"/>
        <v/>
      </c>
      <c r="D8215" s="45" t="str">
        <f t="shared" si="23"/>
        <v/>
      </c>
      <c r="E8215" s="45" t="str">
        <f t="shared" si="24"/>
        <v/>
      </c>
      <c r="F8215" s="59" t="str">
        <f t="shared" si="25"/>
        <v/>
      </c>
      <c r="G8215" s="59" t="str">
        <f t="shared" si="26"/>
        <v/>
      </c>
      <c r="H8215" s="59" t="str">
        <f t="shared" si="27"/>
        <v>28C00462</v>
      </c>
      <c r="I8215" s="59" t="str">
        <f>IF(OR($A8215="",$C8215="",$D8215="",$E8215="",$H8215=""),"",SUMIFS(DATA_GOC!$H:$H,DATA_GOC!$A:$A,"BOM",DATA_GOC!$D:$D,$H8215,DATA_GOC!$E:$E,$C8215,DATA_GOC!$F:$F,"Xuất nội bộ từ téc",DATA_GOC!$B:$B,"&gt;="&amp;$D8215,DATA_GOC!$B:$B,"&lt;="&amp;$E8215))</f>
        <v/>
      </c>
      <c r="J8215" s="59">
        <f t="shared" si="28"/>
        <v>0</v>
      </c>
      <c r="K8215" s="59">
        <f t="shared" si="29"/>
        <v>0</v>
      </c>
      <c r="L8215" s="59">
        <f t="shared" si="30"/>
        <v>0</v>
      </c>
      <c r="M8215" s="59">
        <f t="shared" si="31"/>
        <v>0</v>
      </c>
    </row>
    <row r="8216" ht="15.0" hidden="1" customHeight="1">
      <c r="A8216" s="59">
        <f t="shared" si="20"/>
        <v>134</v>
      </c>
      <c r="B8216" s="59" t="str">
        <f t="shared" si="21"/>
        <v/>
      </c>
      <c r="C8216" s="59" t="str">
        <f t="shared" si="22"/>
        <v/>
      </c>
      <c r="D8216" s="45" t="str">
        <f t="shared" si="23"/>
        <v/>
      </c>
      <c r="E8216" s="45" t="str">
        <f t="shared" si="24"/>
        <v/>
      </c>
      <c r="F8216" s="59" t="str">
        <f t="shared" si="25"/>
        <v/>
      </c>
      <c r="G8216" s="59" t="str">
        <f t="shared" si="26"/>
        <v/>
      </c>
      <c r="H8216" s="59" t="str">
        <f t="shared" si="27"/>
        <v>28C01165</v>
      </c>
      <c r="I8216" s="59" t="str">
        <f>IF(OR($A8216="",$C8216="",$D8216="",$E8216="",$H8216=""),"",SUMIFS(DATA_GOC!$H:$H,DATA_GOC!$A:$A,"BOM",DATA_GOC!$D:$D,$H8216,DATA_GOC!$E:$E,$C8216,DATA_GOC!$F:$F,"Xuất nội bộ từ téc",DATA_GOC!$B:$B,"&gt;="&amp;$D8216,DATA_GOC!$B:$B,"&lt;="&amp;$E8216))</f>
        <v/>
      </c>
      <c r="J8216" s="59">
        <f t="shared" si="28"/>
        <v>0</v>
      </c>
      <c r="K8216" s="59">
        <f t="shared" si="29"/>
        <v>0</v>
      </c>
      <c r="L8216" s="59">
        <f t="shared" si="30"/>
        <v>0</v>
      </c>
      <c r="M8216" s="59">
        <f t="shared" si="31"/>
        <v>0</v>
      </c>
    </row>
    <row r="8217" ht="15.0" hidden="1" customHeight="1">
      <c r="A8217" s="59">
        <f t="shared" si="20"/>
        <v>134</v>
      </c>
      <c r="B8217" s="59" t="str">
        <f t="shared" si="21"/>
        <v/>
      </c>
      <c r="C8217" s="59" t="str">
        <f t="shared" si="22"/>
        <v/>
      </c>
      <c r="D8217" s="45" t="str">
        <f t="shared" si="23"/>
        <v/>
      </c>
      <c r="E8217" s="45" t="str">
        <f t="shared" si="24"/>
        <v/>
      </c>
      <c r="F8217" s="59" t="str">
        <f t="shared" si="25"/>
        <v/>
      </c>
      <c r="G8217" s="59" t="str">
        <f t="shared" si="26"/>
        <v/>
      </c>
      <c r="H8217" s="59" t="str">
        <f t="shared" si="27"/>
        <v>28C01406</v>
      </c>
      <c r="I8217" s="59" t="str">
        <f>IF(OR($A8217="",$C8217="",$D8217="",$E8217="",$H8217=""),"",SUMIFS(DATA_GOC!$H:$H,DATA_GOC!$A:$A,"BOM",DATA_GOC!$D:$D,$H8217,DATA_GOC!$E:$E,$C8217,DATA_GOC!$F:$F,"Xuất nội bộ từ téc",DATA_GOC!$B:$B,"&gt;="&amp;$D8217,DATA_GOC!$B:$B,"&lt;="&amp;$E8217))</f>
        <v/>
      </c>
      <c r="J8217" s="59">
        <f t="shared" si="28"/>
        <v>0</v>
      </c>
      <c r="K8217" s="59">
        <f t="shared" si="29"/>
        <v>0</v>
      </c>
      <c r="L8217" s="59">
        <f t="shared" si="30"/>
        <v>0</v>
      </c>
      <c r="M8217" s="59">
        <f t="shared" si="31"/>
        <v>0</v>
      </c>
    </row>
    <row r="8218" ht="15.0" hidden="1" customHeight="1">
      <c r="A8218" s="59">
        <f t="shared" si="20"/>
        <v>134</v>
      </c>
      <c r="B8218" s="59" t="str">
        <f t="shared" si="21"/>
        <v/>
      </c>
      <c r="C8218" s="59" t="str">
        <f t="shared" si="22"/>
        <v/>
      </c>
      <c r="D8218" s="45" t="str">
        <f t="shared" si="23"/>
        <v/>
      </c>
      <c r="E8218" s="45" t="str">
        <f t="shared" si="24"/>
        <v/>
      </c>
      <c r="F8218" s="59" t="str">
        <f t="shared" si="25"/>
        <v/>
      </c>
      <c r="G8218" s="59" t="str">
        <f t="shared" si="26"/>
        <v/>
      </c>
      <c r="H8218" s="59" t="str">
        <f t="shared" si="27"/>
        <v>28C01544</v>
      </c>
      <c r="I8218" s="59" t="str">
        <f>IF(OR($A8218="",$C8218="",$D8218="",$E8218="",$H8218=""),"",SUMIFS(DATA_GOC!$H:$H,DATA_GOC!$A:$A,"BOM",DATA_GOC!$D:$D,$H8218,DATA_GOC!$E:$E,$C8218,DATA_GOC!$F:$F,"Xuất nội bộ từ téc",DATA_GOC!$B:$B,"&gt;="&amp;$D8218,DATA_GOC!$B:$B,"&lt;="&amp;$E8218))</f>
        <v/>
      </c>
      <c r="J8218" s="59">
        <f t="shared" si="28"/>
        <v>0</v>
      </c>
      <c r="K8218" s="59">
        <f t="shared" si="29"/>
        <v>0</v>
      </c>
      <c r="L8218" s="59">
        <f t="shared" si="30"/>
        <v>0</v>
      </c>
      <c r="M8218" s="59">
        <f t="shared" si="31"/>
        <v>0</v>
      </c>
    </row>
    <row r="8219" ht="15.0" hidden="1" customHeight="1">
      <c r="A8219" s="59">
        <f t="shared" si="20"/>
        <v>134</v>
      </c>
      <c r="B8219" s="59" t="str">
        <f t="shared" si="21"/>
        <v/>
      </c>
      <c r="C8219" s="59" t="str">
        <f t="shared" si="22"/>
        <v/>
      </c>
      <c r="D8219" s="45" t="str">
        <f t="shared" si="23"/>
        <v/>
      </c>
      <c r="E8219" s="45" t="str">
        <f t="shared" si="24"/>
        <v/>
      </c>
      <c r="F8219" s="59" t="str">
        <f t="shared" si="25"/>
        <v/>
      </c>
      <c r="G8219" s="59" t="str">
        <f t="shared" si="26"/>
        <v/>
      </c>
      <c r="H8219" s="59" t="str">
        <f t="shared" si="27"/>
        <v>28C01622</v>
      </c>
      <c r="I8219" s="59" t="str">
        <f>IF(OR($A8219="",$C8219="",$D8219="",$E8219="",$H8219=""),"",SUMIFS(DATA_GOC!$H:$H,DATA_GOC!$A:$A,"BOM",DATA_GOC!$D:$D,$H8219,DATA_GOC!$E:$E,$C8219,DATA_GOC!$F:$F,"Xuất nội bộ từ téc",DATA_GOC!$B:$B,"&gt;="&amp;$D8219,DATA_GOC!$B:$B,"&lt;="&amp;$E8219))</f>
        <v/>
      </c>
      <c r="J8219" s="59">
        <f t="shared" si="28"/>
        <v>0</v>
      </c>
      <c r="K8219" s="59">
        <f t="shared" si="29"/>
        <v>0</v>
      </c>
      <c r="L8219" s="59">
        <f t="shared" si="30"/>
        <v>0</v>
      </c>
      <c r="M8219" s="59">
        <f t="shared" si="31"/>
        <v>0</v>
      </c>
    </row>
    <row r="8220" ht="15.0" hidden="1" customHeight="1">
      <c r="A8220" s="59">
        <f t="shared" si="20"/>
        <v>134</v>
      </c>
      <c r="B8220" s="59" t="str">
        <f t="shared" si="21"/>
        <v/>
      </c>
      <c r="C8220" s="59" t="str">
        <f t="shared" si="22"/>
        <v/>
      </c>
      <c r="D8220" s="45" t="str">
        <f t="shared" si="23"/>
        <v/>
      </c>
      <c r="E8220" s="45" t="str">
        <f t="shared" si="24"/>
        <v/>
      </c>
      <c r="F8220" s="59" t="str">
        <f t="shared" si="25"/>
        <v/>
      </c>
      <c r="G8220" s="59" t="str">
        <f t="shared" si="26"/>
        <v/>
      </c>
      <c r="H8220" s="59" t="str">
        <f t="shared" si="27"/>
        <v>28C01647</v>
      </c>
      <c r="I8220" s="59" t="str">
        <f>IF(OR($A8220="",$C8220="",$D8220="",$E8220="",$H8220=""),"",SUMIFS(DATA_GOC!$H:$H,DATA_GOC!$A:$A,"BOM",DATA_GOC!$D:$D,$H8220,DATA_GOC!$E:$E,$C8220,DATA_GOC!$F:$F,"Xuất nội bộ từ téc",DATA_GOC!$B:$B,"&gt;="&amp;$D8220,DATA_GOC!$B:$B,"&lt;="&amp;$E8220))</f>
        <v/>
      </c>
      <c r="J8220" s="59">
        <f t="shared" si="28"/>
        <v>0</v>
      </c>
      <c r="K8220" s="59">
        <f t="shared" si="29"/>
        <v>0</v>
      </c>
      <c r="L8220" s="59">
        <f t="shared" si="30"/>
        <v>0</v>
      </c>
      <c r="M8220" s="59">
        <f t="shared" si="31"/>
        <v>0</v>
      </c>
    </row>
    <row r="8221" ht="15.0" hidden="1" customHeight="1">
      <c r="A8221" s="59">
        <f t="shared" si="20"/>
        <v>134</v>
      </c>
      <c r="B8221" s="59" t="str">
        <f t="shared" si="21"/>
        <v/>
      </c>
      <c r="C8221" s="59" t="str">
        <f t="shared" si="22"/>
        <v/>
      </c>
      <c r="D8221" s="45" t="str">
        <f t="shared" si="23"/>
        <v/>
      </c>
      <c r="E8221" s="45" t="str">
        <f t="shared" si="24"/>
        <v/>
      </c>
      <c r="F8221" s="59" t="str">
        <f t="shared" si="25"/>
        <v/>
      </c>
      <c r="G8221" s="59" t="str">
        <f t="shared" si="26"/>
        <v/>
      </c>
      <c r="H8221" s="59" t="str">
        <f t="shared" si="27"/>
        <v>28C01731</v>
      </c>
      <c r="I8221" s="59" t="str">
        <f>IF(OR($A8221="",$C8221="",$D8221="",$E8221="",$H8221=""),"",SUMIFS(DATA_GOC!$H:$H,DATA_GOC!$A:$A,"BOM",DATA_GOC!$D:$D,$H8221,DATA_GOC!$E:$E,$C8221,DATA_GOC!$F:$F,"Xuất nội bộ từ téc",DATA_GOC!$B:$B,"&gt;="&amp;$D8221,DATA_GOC!$B:$B,"&lt;="&amp;$E8221))</f>
        <v/>
      </c>
      <c r="J8221" s="59">
        <f t="shared" si="28"/>
        <v>0</v>
      </c>
      <c r="K8221" s="59">
        <f t="shared" si="29"/>
        <v>0</v>
      </c>
      <c r="L8221" s="59">
        <f t="shared" si="30"/>
        <v>0</v>
      </c>
      <c r="M8221" s="59">
        <f t="shared" si="31"/>
        <v>0</v>
      </c>
    </row>
    <row r="8222" ht="15.0" hidden="1" customHeight="1">
      <c r="A8222" s="59">
        <f t="shared" si="20"/>
        <v>134</v>
      </c>
      <c r="B8222" s="59" t="str">
        <f t="shared" si="21"/>
        <v/>
      </c>
      <c r="C8222" s="59" t="str">
        <f t="shared" si="22"/>
        <v/>
      </c>
      <c r="D8222" s="45" t="str">
        <f t="shared" si="23"/>
        <v/>
      </c>
      <c r="E8222" s="45" t="str">
        <f t="shared" si="24"/>
        <v/>
      </c>
      <c r="F8222" s="59" t="str">
        <f t="shared" si="25"/>
        <v/>
      </c>
      <c r="G8222" s="59" t="str">
        <f t="shared" si="26"/>
        <v/>
      </c>
      <c r="H8222" s="59" t="str">
        <f t="shared" si="27"/>
        <v>28C01743</v>
      </c>
      <c r="I8222" s="59" t="str">
        <f>IF(OR($A8222="",$C8222="",$D8222="",$E8222="",$H8222=""),"",SUMIFS(DATA_GOC!$H:$H,DATA_GOC!$A:$A,"BOM",DATA_GOC!$D:$D,$H8222,DATA_GOC!$E:$E,$C8222,DATA_GOC!$F:$F,"Xuất nội bộ từ téc",DATA_GOC!$B:$B,"&gt;="&amp;$D8222,DATA_GOC!$B:$B,"&lt;="&amp;$E8222))</f>
        <v/>
      </c>
      <c r="J8222" s="59">
        <f t="shared" si="28"/>
        <v>0</v>
      </c>
      <c r="K8222" s="59">
        <f t="shared" si="29"/>
        <v>0</v>
      </c>
      <c r="L8222" s="59">
        <f t="shared" si="30"/>
        <v>0</v>
      </c>
      <c r="M8222" s="59">
        <f t="shared" si="31"/>
        <v>0</v>
      </c>
    </row>
    <row r="8223" ht="15.0" hidden="1" customHeight="1">
      <c r="A8223" s="59">
        <f t="shared" si="20"/>
        <v>134</v>
      </c>
      <c r="B8223" s="59" t="str">
        <f t="shared" si="21"/>
        <v/>
      </c>
      <c r="C8223" s="59" t="str">
        <f t="shared" si="22"/>
        <v/>
      </c>
      <c r="D8223" s="45" t="str">
        <f t="shared" si="23"/>
        <v/>
      </c>
      <c r="E8223" s="45" t="str">
        <f t="shared" si="24"/>
        <v/>
      </c>
      <c r="F8223" s="59" t="str">
        <f t="shared" si="25"/>
        <v/>
      </c>
      <c r="G8223" s="59" t="str">
        <f t="shared" si="26"/>
        <v/>
      </c>
      <c r="H8223" s="59" t="str">
        <f t="shared" si="27"/>
        <v>28C02106</v>
      </c>
      <c r="I8223" s="59" t="str">
        <f>IF(OR($A8223="",$C8223="",$D8223="",$E8223="",$H8223=""),"",SUMIFS(DATA_GOC!$H:$H,DATA_GOC!$A:$A,"BOM",DATA_GOC!$D:$D,$H8223,DATA_GOC!$E:$E,$C8223,DATA_GOC!$F:$F,"Xuất nội bộ từ téc",DATA_GOC!$B:$B,"&gt;="&amp;$D8223,DATA_GOC!$B:$B,"&lt;="&amp;$E8223))</f>
        <v/>
      </c>
      <c r="J8223" s="59">
        <f t="shared" si="28"/>
        <v>0</v>
      </c>
      <c r="K8223" s="59">
        <f t="shared" si="29"/>
        <v>0</v>
      </c>
      <c r="L8223" s="59">
        <f t="shared" si="30"/>
        <v>0</v>
      </c>
      <c r="M8223" s="59">
        <f t="shared" si="31"/>
        <v>0</v>
      </c>
    </row>
    <row r="8224" ht="15.0" hidden="1" customHeight="1">
      <c r="A8224" s="59">
        <f t="shared" si="20"/>
        <v>134</v>
      </c>
      <c r="B8224" s="59" t="str">
        <f t="shared" si="21"/>
        <v/>
      </c>
      <c r="C8224" s="59" t="str">
        <f t="shared" si="22"/>
        <v/>
      </c>
      <c r="D8224" s="45" t="str">
        <f t="shared" si="23"/>
        <v/>
      </c>
      <c r="E8224" s="45" t="str">
        <f t="shared" si="24"/>
        <v/>
      </c>
      <c r="F8224" s="59" t="str">
        <f t="shared" si="25"/>
        <v/>
      </c>
      <c r="G8224" s="59" t="str">
        <f t="shared" si="26"/>
        <v/>
      </c>
      <c r="H8224" s="59" t="str">
        <f t="shared" si="27"/>
        <v>28C02410</v>
      </c>
      <c r="I8224" s="59" t="str">
        <f>IF(OR($A8224="",$C8224="",$D8224="",$E8224="",$H8224=""),"",SUMIFS(DATA_GOC!$H:$H,DATA_GOC!$A:$A,"BOM",DATA_GOC!$D:$D,$H8224,DATA_GOC!$E:$E,$C8224,DATA_GOC!$F:$F,"Xuất nội bộ từ téc",DATA_GOC!$B:$B,"&gt;="&amp;$D8224,DATA_GOC!$B:$B,"&lt;="&amp;$E8224))</f>
        <v/>
      </c>
      <c r="J8224" s="59">
        <f t="shared" si="28"/>
        <v>0</v>
      </c>
      <c r="K8224" s="59">
        <f t="shared" si="29"/>
        <v>0</v>
      </c>
      <c r="L8224" s="59">
        <f t="shared" si="30"/>
        <v>0</v>
      </c>
      <c r="M8224" s="59">
        <f t="shared" si="31"/>
        <v>0</v>
      </c>
    </row>
    <row r="8225" ht="15.0" hidden="1" customHeight="1">
      <c r="A8225" s="59">
        <f t="shared" si="20"/>
        <v>134</v>
      </c>
      <c r="B8225" s="59" t="str">
        <f t="shared" si="21"/>
        <v/>
      </c>
      <c r="C8225" s="59" t="str">
        <f t="shared" si="22"/>
        <v/>
      </c>
      <c r="D8225" s="45" t="str">
        <f t="shared" si="23"/>
        <v/>
      </c>
      <c r="E8225" s="45" t="str">
        <f t="shared" si="24"/>
        <v/>
      </c>
      <c r="F8225" s="59" t="str">
        <f t="shared" si="25"/>
        <v/>
      </c>
      <c r="G8225" s="59" t="str">
        <f t="shared" si="26"/>
        <v/>
      </c>
      <c r="H8225" s="59" t="str">
        <f t="shared" si="27"/>
        <v>28C02545</v>
      </c>
      <c r="I8225" s="59" t="str">
        <f>IF(OR($A8225="",$C8225="",$D8225="",$E8225="",$H8225=""),"",SUMIFS(DATA_GOC!$H:$H,DATA_GOC!$A:$A,"BOM",DATA_GOC!$D:$D,$H8225,DATA_GOC!$E:$E,$C8225,DATA_GOC!$F:$F,"Xuất nội bộ từ téc",DATA_GOC!$B:$B,"&gt;="&amp;$D8225,DATA_GOC!$B:$B,"&lt;="&amp;$E8225))</f>
        <v/>
      </c>
      <c r="J8225" s="59">
        <f t="shared" si="28"/>
        <v>0</v>
      </c>
      <c r="K8225" s="59">
        <f t="shared" si="29"/>
        <v>0</v>
      </c>
      <c r="L8225" s="59">
        <f t="shared" si="30"/>
        <v>0</v>
      </c>
      <c r="M8225" s="59">
        <f t="shared" si="31"/>
        <v>0</v>
      </c>
    </row>
    <row r="8226" ht="15.0" hidden="1" customHeight="1">
      <c r="A8226" s="59">
        <f t="shared" si="20"/>
        <v>134</v>
      </c>
      <c r="B8226" s="59" t="str">
        <f t="shared" si="21"/>
        <v/>
      </c>
      <c r="C8226" s="59" t="str">
        <f t="shared" si="22"/>
        <v/>
      </c>
      <c r="D8226" s="45" t="str">
        <f t="shared" si="23"/>
        <v/>
      </c>
      <c r="E8226" s="45" t="str">
        <f t="shared" si="24"/>
        <v/>
      </c>
      <c r="F8226" s="59" t="str">
        <f t="shared" si="25"/>
        <v/>
      </c>
      <c r="G8226" s="59" t="str">
        <f t="shared" si="26"/>
        <v/>
      </c>
      <c r="H8226" s="59" t="str">
        <f t="shared" si="27"/>
        <v>28C02574</v>
      </c>
      <c r="I8226" s="59" t="str">
        <f>IF(OR($A8226="",$C8226="",$D8226="",$E8226="",$H8226=""),"",SUMIFS(DATA_GOC!$H:$H,DATA_GOC!$A:$A,"BOM",DATA_GOC!$D:$D,$H8226,DATA_GOC!$E:$E,$C8226,DATA_GOC!$F:$F,"Xuất nội bộ từ téc",DATA_GOC!$B:$B,"&gt;="&amp;$D8226,DATA_GOC!$B:$B,"&lt;="&amp;$E8226))</f>
        <v/>
      </c>
      <c r="J8226" s="59">
        <f t="shared" si="28"/>
        <v>0</v>
      </c>
      <c r="K8226" s="59">
        <f t="shared" si="29"/>
        <v>0</v>
      </c>
      <c r="L8226" s="59">
        <f t="shared" si="30"/>
        <v>0</v>
      </c>
      <c r="M8226" s="59">
        <f t="shared" si="31"/>
        <v>0</v>
      </c>
    </row>
    <row r="8227" ht="15.0" hidden="1" customHeight="1">
      <c r="A8227" s="59">
        <f t="shared" si="20"/>
        <v>134</v>
      </c>
      <c r="B8227" s="59" t="str">
        <f t="shared" si="21"/>
        <v/>
      </c>
      <c r="C8227" s="59" t="str">
        <f t="shared" si="22"/>
        <v/>
      </c>
      <c r="D8227" s="45" t="str">
        <f t="shared" si="23"/>
        <v/>
      </c>
      <c r="E8227" s="45" t="str">
        <f t="shared" si="24"/>
        <v/>
      </c>
      <c r="F8227" s="59" t="str">
        <f t="shared" si="25"/>
        <v/>
      </c>
      <c r="G8227" s="59" t="str">
        <f t="shared" si="26"/>
        <v/>
      </c>
      <c r="H8227" s="59" t="str">
        <f t="shared" si="27"/>
        <v>28C02770</v>
      </c>
      <c r="I8227" s="59" t="str">
        <f>IF(OR($A8227="",$C8227="",$D8227="",$E8227="",$H8227=""),"",SUMIFS(DATA_GOC!$H:$H,DATA_GOC!$A:$A,"BOM",DATA_GOC!$D:$D,$H8227,DATA_GOC!$E:$E,$C8227,DATA_GOC!$F:$F,"Xuất nội bộ từ téc",DATA_GOC!$B:$B,"&gt;="&amp;$D8227,DATA_GOC!$B:$B,"&lt;="&amp;$E8227))</f>
        <v/>
      </c>
      <c r="J8227" s="59">
        <f t="shared" si="28"/>
        <v>0</v>
      </c>
      <c r="K8227" s="59">
        <f t="shared" si="29"/>
        <v>0</v>
      </c>
      <c r="L8227" s="59">
        <f t="shared" si="30"/>
        <v>0</v>
      </c>
      <c r="M8227" s="59">
        <f t="shared" si="31"/>
        <v>0</v>
      </c>
    </row>
    <row r="8228" ht="15.0" hidden="1" customHeight="1">
      <c r="A8228" s="59">
        <f t="shared" si="20"/>
        <v>134</v>
      </c>
      <c r="B8228" s="59" t="str">
        <f t="shared" si="21"/>
        <v/>
      </c>
      <c r="C8228" s="59" t="str">
        <f t="shared" si="22"/>
        <v/>
      </c>
      <c r="D8228" s="45" t="str">
        <f t="shared" si="23"/>
        <v/>
      </c>
      <c r="E8228" s="45" t="str">
        <f t="shared" si="24"/>
        <v/>
      </c>
      <c r="F8228" s="59" t="str">
        <f t="shared" si="25"/>
        <v/>
      </c>
      <c r="G8228" s="59" t="str">
        <f t="shared" si="26"/>
        <v/>
      </c>
      <c r="H8228" s="59" t="str">
        <f t="shared" si="27"/>
        <v>28C02986</v>
      </c>
      <c r="I8228" s="59" t="str">
        <f>IF(OR($A8228="",$C8228="",$D8228="",$E8228="",$H8228=""),"",SUMIFS(DATA_GOC!$H:$H,DATA_GOC!$A:$A,"BOM",DATA_GOC!$D:$D,$H8228,DATA_GOC!$E:$E,$C8228,DATA_GOC!$F:$F,"Xuất nội bộ từ téc",DATA_GOC!$B:$B,"&gt;="&amp;$D8228,DATA_GOC!$B:$B,"&lt;="&amp;$E8228))</f>
        <v/>
      </c>
      <c r="J8228" s="59">
        <f t="shared" si="28"/>
        <v>0</v>
      </c>
      <c r="K8228" s="59">
        <f t="shared" si="29"/>
        <v>0</v>
      </c>
      <c r="L8228" s="59">
        <f t="shared" si="30"/>
        <v>0</v>
      </c>
      <c r="M8228" s="59">
        <f t="shared" si="31"/>
        <v>0</v>
      </c>
    </row>
    <row r="8229" ht="15.0" hidden="1" customHeight="1">
      <c r="A8229" s="59">
        <f t="shared" si="20"/>
        <v>134</v>
      </c>
      <c r="B8229" s="59" t="str">
        <f t="shared" si="21"/>
        <v/>
      </c>
      <c r="C8229" s="59" t="str">
        <f t="shared" si="22"/>
        <v/>
      </c>
      <c r="D8229" s="45" t="str">
        <f t="shared" si="23"/>
        <v/>
      </c>
      <c r="E8229" s="45" t="str">
        <f t="shared" si="24"/>
        <v/>
      </c>
      <c r="F8229" s="59" t="str">
        <f t="shared" si="25"/>
        <v/>
      </c>
      <c r="G8229" s="59" t="str">
        <f t="shared" si="26"/>
        <v/>
      </c>
      <c r="H8229" s="59" t="str">
        <f t="shared" si="27"/>
        <v>28C03261</v>
      </c>
      <c r="I8229" s="59" t="str">
        <f>IF(OR($A8229="",$C8229="",$D8229="",$E8229="",$H8229=""),"",SUMIFS(DATA_GOC!$H:$H,DATA_GOC!$A:$A,"BOM",DATA_GOC!$D:$D,$H8229,DATA_GOC!$E:$E,$C8229,DATA_GOC!$F:$F,"Xuất nội bộ từ téc",DATA_GOC!$B:$B,"&gt;="&amp;$D8229,DATA_GOC!$B:$B,"&lt;="&amp;$E8229))</f>
        <v/>
      </c>
      <c r="J8229" s="59">
        <f t="shared" si="28"/>
        <v>0</v>
      </c>
      <c r="K8229" s="59">
        <f t="shared" si="29"/>
        <v>0</v>
      </c>
      <c r="L8229" s="59">
        <f t="shared" si="30"/>
        <v>0</v>
      </c>
      <c r="M8229" s="59">
        <f t="shared" si="31"/>
        <v>0</v>
      </c>
    </row>
    <row r="8230" ht="15.0" hidden="1" customHeight="1">
      <c r="A8230" s="59">
        <f t="shared" si="20"/>
        <v>134</v>
      </c>
      <c r="B8230" s="59" t="str">
        <f t="shared" si="21"/>
        <v/>
      </c>
      <c r="C8230" s="59" t="str">
        <f t="shared" si="22"/>
        <v/>
      </c>
      <c r="D8230" s="45" t="str">
        <f t="shared" si="23"/>
        <v/>
      </c>
      <c r="E8230" s="45" t="str">
        <f t="shared" si="24"/>
        <v/>
      </c>
      <c r="F8230" s="59" t="str">
        <f t="shared" si="25"/>
        <v/>
      </c>
      <c r="G8230" s="59" t="str">
        <f t="shared" si="26"/>
        <v/>
      </c>
      <c r="H8230" s="59" t="str">
        <f t="shared" si="27"/>
        <v>28C03323</v>
      </c>
      <c r="I8230" s="59" t="str">
        <f>IF(OR($A8230="",$C8230="",$D8230="",$E8230="",$H8230=""),"",SUMIFS(DATA_GOC!$H:$H,DATA_GOC!$A:$A,"BOM",DATA_GOC!$D:$D,$H8230,DATA_GOC!$E:$E,$C8230,DATA_GOC!$F:$F,"Xuất nội bộ từ téc",DATA_GOC!$B:$B,"&gt;="&amp;$D8230,DATA_GOC!$B:$B,"&lt;="&amp;$E8230))</f>
        <v/>
      </c>
      <c r="J8230" s="59">
        <f t="shared" si="28"/>
        <v>0</v>
      </c>
      <c r="K8230" s="59">
        <f t="shared" si="29"/>
        <v>0</v>
      </c>
      <c r="L8230" s="59">
        <f t="shared" si="30"/>
        <v>0</v>
      </c>
      <c r="M8230" s="59">
        <f t="shared" si="31"/>
        <v>0</v>
      </c>
    </row>
    <row r="8231" ht="15.0" hidden="1" customHeight="1">
      <c r="A8231" s="59">
        <f t="shared" si="20"/>
        <v>134</v>
      </c>
      <c r="B8231" s="59" t="str">
        <f t="shared" si="21"/>
        <v/>
      </c>
      <c r="C8231" s="59" t="str">
        <f t="shared" si="22"/>
        <v/>
      </c>
      <c r="D8231" s="45" t="str">
        <f t="shared" si="23"/>
        <v/>
      </c>
      <c r="E8231" s="45" t="str">
        <f t="shared" si="24"/>
        <v/>
      </c>
      <c r="F8231" s="59" t="str">
        <f t="shared" si="25"/>
        <v/>
      </c>
      <c r="G8231" s="59" t="str">
        <f t="shared" si="26"/>
        <v/>
      </c>
      <c r="H8231" s="59" t="str">
        <f t="shared" si="27"/>
        <v>28C03385</v>
      </c>
      <c r="I8231" s="59" t="str">
        <f>IF(OR($A8231="",$C8231="",$D8231="",$E8231="",$H8231=""),"",SUMIFS(DATA_GOC!$H:$H,DATA_GOC!$A:$A,"BOM",DATA_GOC!$D:$D,$H8231,DATA_GOC!$E:$E,$C8231,DATA_GOC!$F:$F,"Xuất nội bộ từ téc",DATA_GOC!$B:$B,"&gt;="&amp;$D8231,DATA_GOC!$B:$B,"&lt;="&amp;$E8231))</f>
        <v/>
      </c>
      <c r="J8231" s="59">
        <f t="shared" si="28"/>
        <v>0</v>
      </c>
      <c r="K8231" s="59">
        <f t="shared" si="29"/>
        <v>0</v>
      </c>
      <c r="L8231" s="59">
        <f t="shared" si="30"/>
        <v>0</v>
      </c>
      <c r="M8231" s="59">
        <f t="shared" si="31"/>
        <v>0</v>
      </c>
    </row>
    <row r="8232" ht="15.0" hidden="1" customHeight="1">
      <c r="A8232" s="59">
        <f t="shared" si="20"/>
        <v>134</v>
      </c>
      <c r="B8232" s="59" t="str">
        <f t="shared" si="21"/>
        <v/>
      </c>
      <c r="C8232" s="59" t="str">
        <f t="shared" si="22"/>
        <v/>
      </c>
      <c r="D8232" s="45" t="str">
        <f t="shared" si="23"/>
        <v/>
      </c>
      <c r="E8232" s="45" t="str">
        <f t="shared" si="24"/>
        <v/>
      </c>
      <c r="F8232" s="59" t="str">
        <f t="shared" si="25"/>
        <v/>
      </c>
      <c r="G8232" s="59" t="str">
        <f t="shared" si="26"/>
        <v/>
      </c>
      <c r="H8232" s="59" t="str">
        <f t="shared" si="27"/>
        <v>28C03652</v>
      </c>
      <c r="I8232" s="59" t="str">
        <f>IF(OR($A8232="",$C8232="",$D8232="",$E8232="",$H8232=""),"",SUMIFS(DATA_GOC!$H:$H,DATA_GOC!$A:$A,"BOM",DATA_GOC!$D:$D,$H8232,DATA_GOC!$E:$E,$C8232,DATA_GOC!$F:$F,"Xuất nội bộ từ téc",DATA_GOC!$B:$B,"&gt;="&amp;$D8232,DATA_GOC!$B:$B,"&lt;="&amp;$E8232))</f>
        <v/>
      </c>
      <c r="J8232" s="59">
        <f t="shared" si="28"/>
        <v>0</v>
      </c>
      <c r="K8232" s="59">
        <f t="shared" si="29"/>
        <v>0</v>
      </c>
      <c r="L8232" s="59">
        <f t="shared" si="30"/>
        <v>0</v>
      </c>
      <c r="M8232" s="59">
        <f t="shared" si="31"/>
        <v>0</v>
      </c>
    </row>
    <row r="8233" ht="15.0" hidden="1" customHeight="1">
      <c r="A8233" s="59">
        <f t="shared" si="20"/>
        <v>134</v>
      </c>
      <c r="B8233" s="59" t="str">
        <f t="shared" si="21"/>
        <v/>
      </c>
      <c r="C8233" s="59" t="str">
        <f t="shared" si="22"/>
        <v/>
      </c>
      <c r="D8233" s="45" t="str">
        <f t="shared" si="23"/>
        <v/>
      </c>
      <c r="E8233" s="45" t="str">
        <f t="shared" si="24"/>
        <v/>
      </c>
      <c r="F8233" s="59" t="str">
        <f t="shared" si="25"/>
        <v/>
      </c>
      <c r="G8233" s="59" t="str">
        <f t="shared" si="26"/>
        <v/>
      </c>
      <c r="H8233" s="59" t="str">
        <f t="shared" si="27"/>
        <v>28C03695</v>
      </c>
      <c r="I8233" s="59" t="str">
        <f>IF(OR($A8233="",$C8233="",$D8233="",$E8233="",$H8233=""),"",SUMIFS(DATA_GOC!$H:$H,DATA_GOC!$A:$A,"BOM",DATA_GOC!$D:$D,$H8233,DATA_GOC!$E:$E,$C8233,DATA_GOC!$F:$F,"Xuất nội bộ từ téc",DATA_GOC!$B:$B,"&gt;="&amp;$D8233,DATA_GOC!$B:$B,"&lt;="&amp;$E8233))</f>
        <v/>
      </c>
      <c r="J8233" s="59">
        <f t="shared" si="28"/>
        <v>0</v>
      </c>
      <c r="K8233" s="59">
        <f t="shared" si="29"/>
        <v>0</v>
      </c>
      <c r="L8233" s="59">
        <f t="shared" si="30"/>
        <v>0</v>
      </c>
      <c r="M8233" s="59">
        <f t="shared" si="31"/>
        <v>0</v>
      </c>
    </row>
    <row r="8234" ht="15.0" hidden="1" customHeight="1">
      <c r="A8234" s="59">
        <f t="shared" si="20"/>
        <v>134</v>
      </c>
      <c r="B8234" s="59" t="str">
        <f t="shared" si="21"/>
        <v/>
      </c>
      <c r="C8234" s="59" t="str">
        <f t="shared" si="22"/>
        <v/>
      </c>
      <c r="D8234" s="45" t="str">
        <f t="shared" si="23"/>
        <v/>
      </c>
      <c r="E8234" s="45" t="str">
        <f t="shared" si="24"/>
        <v/>
      </c>
      <c r="F8234" s="59" t="str">
        <f t="shared" si="25"/>
        <v/>
      </c>
      <c r="G8234" s="59" t="str">
        <f t="shared" si="26"/>
        <v/>
      </c>
      <c r="H8234" s="59" t="str">
        <f t="shared" si="27"/>
        <v>28C03927</v>
      </c>
      <c r="I8234" s="59" t="str">
        <f>IF(OR($A8234="",$C8234="",$D8234="",$E8234="",$H8234=""),"",SUMIFS(DATA_GOC!$H:$H,DATA_GOC!$A:$A,"BOM",DATA_GOC!$D:$D,$H8234,DATA_GOC!$E:$E,$C8234,DATA_GOC!$F:$F,"Xuất nội bộ từ téc",DATA_GOC!$B:$B,"&gt;="&amp;$D8234,DATA_GOC!$B:$B,"&lt;="&amp;$E8234))</f>
        <v/>
      </c>
      <c r="J8234" s="59">
        <f t="shared" si="28"/>
        <v>0</v>
      </c>
      <c r="K8234" s="59">
        <f t="shared" si="29"/>
        <v>0</v>
      </c>
      <c r="L8234" s="59">
        <f t="shared" si="30"/>
        <v>0</v>
      </c>
      <c r="M8234" s="59">
        <f t="shared" si="31"/>
        <v>0</v>
      </c>
    </row>
    <row r="8235" ht="15.0" hidden="1" customHeight="1">
      <c r="A8235" s="59">
        <f t="shared" si="20"/>
        <v>134</v>
      </c>
      <c r="B8235" s="59" t="str">
        <f t="shared" si="21"/>
        <v/>
      </c>
      <c r="C8235" s="59" t="str">
        <f t="shared" si="22"/>
        <v/>
      </c>
      <c r="D8235" s="45" t="str">
        <f t="shared" si="23"/>
        <v/>
      </c>
      <c r="E8235" s="45" t="str">
        <f t="shared" si="24"/>
        <v/>
      </c>
      <c r="F8235" s="59" t="str">
        <f t="shared" si="25"/>
        <v/>
      </c>
      <c r="G8235" s="59" t="str">
        <f t="shared" si="26"/>
        <v/>
      </c>
      <c r="H8235" s="59" t="str">
        <f t="shared" si="27"/>
        <v>28C04509</v>
      </c>
      <c r="I8235" s="59" t="str">
        <f>IF(OR($A8235="",$C8235="",$D8235="",$E8235="",$H8235=""),"",SUMIFS(DATA_GOC!$H:$H,DATA_GOC!$A:$A,"BOM",DATA_GOC!$D:$D,$H8235,DATA_GOC!$E:$E,$C8235,DATA_GOC!$F:$F,"Xuất nội bộ từ téc",DATA_GOC!$B:$B,"&gt;="&amp;$D8235,DATA_GOC!$B:$B,"&lt;="&amp;$E8235))</f>
        <v/>
      </c>
      <c r="J8235" s="59">
        <f t="shared" si="28"/>
        <v>0</v>
      </c>
      <c r="K8235" s="59">
        <f t="shared" si="29"/>
        <v>0</v>
      </c>
      <c r="L8235" s="59">
        <f t="shared" si="30"/>
        <v>0</v>
      </c>
      <c r="M8235" s="59">
        <f t="shared" si="31"/>
        <v>0</v>
      </c>
    </row>
    <row r="8236" ht="15.0" hidden="1" customHeight="1">
      <c r="A8236" s="59">
        <f t="shared" si="20"/>
        <v>134</v>
      </c>
      <c r="B8236" s="59" t="str">
        <f t="shared" si="21"/>
        <v/>
      </c>
      <c r="C8236" s="59" t="str">
        <f t="shared" si="22"/>
        <v/>
      </c>
      <c r="D8236" s="45" t="str">
        <f t="shared" si="23"/>
        <v/>
      </c>
      <c r="E8236" s="45" t="str">
        <f t="shared" si="24"/>
        <v/>
      </c>
      <c r="F8236" s="59" t="str">
        <f t="shared" si="25"/>
        <v/>
      </c>
      <c r="G8236" s="59" t="str">
        <f t="shared" si="26"/>
        <v/>
      </c>
      <c r="H8236" s="59" t="str">
        <f t="shared" si="27"/>
        <v>28C04536</v>
      </c>
      <c r="I8236" s="59" t="str">
        <f>IF(OR($A8236="",$C8236="",$D8236="",$E8236="",$H8236=""),"",SUMIFS(DATA_GOC!$H:$H,DATA_GOC!$A:$A,"BOM",DATA_GOC!$D:$D,$H8236,DATA_GOC!$E:$E,$C8236,DATA_GOC!$F:$F,"Xuất nội bộ từ téc",DATA_GOC!$B:$B,"&gt;="&amp;$D8236,DATA_GOC!$B:$B,"&lt;="&amp;$E8236))</f>
        <v/>
      </c>
      <c r="J8236" s="59">
        <f t="shared" si="28"/>
        <v>0</v>
      </c>
      <c r="K8236" s="59">
        <f t="shared" si="29"/>
        <v>0</v>
      </c>
      <c r="L8236" s="59">
        <f t="shared" si="30"/>
        <v>0</v>
      </c>
      <c r="M8236" s="59">
        <f t="shared" si="31"/>
        <v>0</v>
      </c>
    </row>
    <row r="8237" ht="15.0" hidden="1" customHeight="1">
      <c r="A8237" s="59">
        <f t="shared" si="20"/>
        <v>134</v>
      </c>
      <c r="B8237" s="59" t="str">
        <f t="shared" si="21"/>
        <v/>
      </c>
      <c r="C8237" s="59" t="str">
        <f t="shared" si="22"/>
        <v/>
      </c>
      <c r="D8237" s="45" t="str">
        <f t="shared" si="23"/>
        <v/>
      </c>
      <c r="E8237" s="45" t="str">
        <f t="shared" si="24"/>
        <v/>
      </c>
      <c r="F8237" s="59" t="str">
        <f t="shared" si="25"/>
        <v/>
      </c>
      <c r="G8237" s="59" t="str">
        <f t="shared" si="26"/>
        <v/>
      </c>
      <c r="H8237" s="59" t="str">
        <f t="shared" si="27"/>
        <v>28C04576</v>
      </c>
      <c r="I8237" s="59" t="str">
        <f>IF(OR($A8237="",$C8237="",$D8237="",$E8237="",$H8237=""),"",SUMIFS(DATA_GOC!$H:$H,DATA_GOC!$A:$A,"BOM",DATA_GOC!$D:$D,$H8237,DATA_GOC!$E:$E,$C8237,DATA_GOC!$F:$F,"Xuất nội bộ từ téc",DATA_GOC!$B:$B,"&gt;="&amp;$D8237,DATA_GOC!$B:$B,"&lt;="&amp;$E8237))</f>
        <v/>
      </c>
      <c r="J8237" s="59">
        <f t="shared" si="28"/>
        <v>0</v>
      </c>
      <c r="K8237" s="59">
        <f t="shared" si="29"/>
        <v>0</v>
      </c>
      <c r="L8237" s="59">
        <f t="shared" si="30"/>
        <v>0</v>
      </c>
      <c r="M8237" s="59">
        <f t="shared" si="31"/>
        <v>0</v>
      </c>
    </row>
    <row r="8238" ht="15.0" hidden="1" customHeight="1">
      <c r="A8238" s="59">
        <f t="shared" si="20"/>
        <v>134</v>
      </c>
      <c r="B8238" s="59" t="str">
        <f t="shared" si="21"/>
        <v/>
      </c>
      <c r="C8238" s="59" t="str">
        <f t="shared" si="22"/>
        <v/>
      </c>
      <c r="D8238" s="45" t="str">
        <f t="shared" si="23"/>
        <v/>
      </c>
      <c r="E8238" s="45" t="str">
        <f t="shared" si="24"/>
        <v/>
      </c>
      <c r="F8238" s="59" t="str">
        <f t="shared" si="25"/>
        <v/>
      </c>
      <c r="G8238" s="59" t="str">
        <f t="shared" si="26"/>
        <v/>
      </c>
      <c r="H8238" s="59" t="str">
        <f t="shared" si="27"/>
        <v>28C05090</v>
      </c>
      <c r="I8238" s="59" t="str">
        <f>IF(OR($A8238="",$C8238="",$D8238="",$E8238="",$H8238=""),"",SUMIFS(DATA_GOC!$H:$H,DATA_GOC!$A:$A,"BOM",DATA_GOC!$D:$D,$H8238,DATA_GOC!$E:$E,$C8238,DATA_GOC!$F:$F,"Xuất nội bộ từ téc",DATA_GOC!$B:$B,"&gt;="&amp;$D8238,DATA_GOC!$B:$B,"&lt;="&amp;$E8238))</f>
        <v/>
      </c>
      <c r="J8238" s="59">
        <f t="shared" si="28"/>
        <v>0</v>
      </c>
      <c r="K8238" s="59">
        <f t="shared" si="29"/>
        <v>0</v>
      </c>
      <c r="L8238" s="59">
        <f t="shared" si="30"/>
        <v>0</v>
      </c>
      <c r="M8238" s="59">
        <f t="shared" si="31"/>
        <v>0</v>
      </c>
    </row>
    <row r="8239" ht="15.0" hidden="1" customHeight="1">
      <c r="A8239" s="59">
        <f t="shared" si="20"/>
        <v>134</v>
      </c>
      <c r="B8239" s="59" t="str">
        <f t="shared" si="21"/>
        <v/>
      </c>
      <c r="C8239" s="59" t="str">
        <f t="shared" si="22"/>
        <v/>
      </c>
      <c r="D8239" s="45" t="str">
        <f t="shared" si="23"/>
        <v/>
      </c>
      <c r="E8239" s="45" t="str">
        <f t="shared" si="24"/>
        <v/>
      </c>
      <c r="F8239" s="59" t="str">
        <f t="shared" si="25"/>
        <v/>
      </c>
      <c r="G8239" s="59" t="str">
        <f t="shared" si="26"/>
        <v/>
      </c>
      <c r="H8239" s="59" t="str">
        <f t="shared" si="27"/>
        <v>28C05345</v>
      </c>
      <c r="I8239" s="59" t="str">
        <f>IF(OR($A8239="",$C8239="",$D8239="",$E8239="",$H8239=""),"",SUMIFS(DATA_GOC!$H:$H,DATA_GOC!$A:$A,"BOM",DATA_GOC!$D:$D,$H8239,DATA_GOC!$E:$E,$C8239,DATA_GOC!$F:$F,"Xuất nội bộ từ téc",DATA_GOC!$B:$B,"&gt;="&amp;$D8239,DATA_GOC!$B:$B,"&lt;="&amp;$E8239))</f>
        <v/>
      </c>
      <c r="J8239" s="59">
        <f t="shared" si="28"/>
        <v>0</v>
      </c>
      <c r="K8239" s="59">
        <f t="shared" si="29"/>
        <v>0</v>
      </c>
      <c r="L8239" s="59">
        <f t="shared" si="30"/>
        <v>0</v>
      </c>
      <c r="M8239" s="59">
        <f t="shared" si="31"/>
        <v>0</v>
      </c>
    </row>
    <row r="8240" ht="15.0" hidden="1" customHeight="1">
      <c r="A8240" s="59">
        <f t="shared" si="20"/>
        <v>134</v>
      </c>
      <c r="B8240" s="59" t="str">
        <f t="shared" si="21"/>
        <v/>
      </c>
      <c r="C8240" s="59" t="str">
        <f t="shared" si="22"/>
        <v/>
      </c>
      <c r="D8240" s="45" t="str">
        <f t="shared" si="23"/>
        <v/>
      </c>
      <c r="E8240" s="45" t="str">
        <f t="shared" si="24"/>
        <v/>
      </c>
      <c r="F8240" s="59" t="str">
        <f t="shared" si="25"/>
        <v/>
      </c>
      <c r="G8240" s="59" t="str">
        <f t="shared" si="26"/>
        <v/>
      </c>
      <c r="H8240" s="59" t="str">
        <f t="shared" si="27"/>
        <v>28C05661</v>
      </c>
      <c r="I8240" s="59" t="str">
        <f>IF(OR($A8240="",$C8240="",$D8240="",$E8240="",$H8240=""),"",SUMIFS(DATA_GOC!$H:$H,DATA_GOC!$A:$A,"BOM",DATA_GOC!$D:$D,$H8240,DATA_GOC!$E:$E,$C8240,DATA_GOC!$F:$F,"Xuất nội bộ từ téc",DATA_GOC!$B:$B,"&gt;="&amp;$D8240,DATA_GOC!$B:$B,"&lt;="&amp;$E8240))</f>
        <v/>
      </c>
      <c r="J8240" s="59">
        <f t="shared" si="28"/>
        <v>0</v>
      </c>
      <c r="K8240" s="59">
        <f t="shared" si="29"/>
        <v>0</v>
      </c>
      <c r="L8240" s="59">
        <f t="shared" si="30"/>
        <v>0</v>
      </c>
      <c r="M8240" s="59">
        <f t="shared" si="31"/>
        <v>0</v>
      </c>
    </row>
    <row r="8241" ht="15.0" hidden="1" customHeight="1">
      <c r="A8241" s="59">
        <f t="shared" si="20"/>
        <v>134</v>
      </c>
      <c r="B8241" s="59" t="str">
        <f t="shared" si="21"/>
        <v/>
      </c>
      <c r="C8241" s="59" t="str">
        <f t="shared" si="22"/>
        <v/>
      </c>
      <c r="D8241" s="45" t="str">
        <f t="shared" si="23"/>
        <v/>
      </c>
      <c r="E8241" s="45" t="str">
        <f t="shared" si="24"/>
        <v/>
      </c>
      <c r="F8241" s="59" t="str">
        <f t="shared" si="25"/>
        <v/>
      </c>
      <c r="G8241" s="59" t="str">
        <f t="shared" si="26"/>
        <v/>
      </c>
      <c r="H8241" s="59" t="str">
        <f t="shared" si="27"/>
        <v>28C05739</v>
      </c>
      <c r="I8241" s="59" t="str">
        <f>IF(OR($A8241="",$C8241="",$D8241="",$E8241="",$H8241=""),"",SUMIFS(DATA_GOC!$H:$H,DATA_GOC!$A:$A,"BOM",DATA_GOC!$D:$D,$H8241,DATA_GOC!$E:$E,$C8241,DATA_GOC!$F:$F,"Xuất nội bộ từ téc",DATA_GOC!$B:$B,"&gt;="&amp;$D8241,DATA_GOC!$B:$B,"&lt;="&amp;$E8241))</f>
        <v/>
      </c>
      <c r="J8241" s="59">
        <f t="shared" si="28"/>
        <v>0</v>
      </c>
      <c r="K8241" s="59">
        <f t="shared" si="29"/>
        <v>0</v>
      </c>
      <c r="L8241" s="59">
        <f t="shared" si="30"/>
        <v>0</v>
      </c>
      <c r="M8241" s="59">
        <f t="shared" si="31"/>
        <v>0</v>
      </c>
    </row>
    <row r="8242" ht="15.0" hidden="1" customHeight="1">
      <c r="A8242" s="59">
        <f t="shared" si="20"/>
        <v>134</v>
      </c>
      <c r="B8242" s="59" t="str">
        <f t="shared" si="21"/>
        <v/>
      </c>
      <c r="C8242" s="59" t="str">
        <f t="shared" si="22"/>
        <v/>
      </c>
      <c r="D8242" s="45" t="str">
        <f t="shared" si="23"/>
        <v/>
      </c>
      <c r="E8242" s="45" t="str">
        <f t="shared" si="24"/>
        <v/>
      </c>
      <c r="F8242" s="59" t="str">
        <f t="shared" si="25"/>
        <v/>
      </c>
      <c r="G8242" s="59" t="str">
        <f t="shared" si="26"/>
        <v/>
      </c>
      <c r="H8242" s="59" t="str">
        <f t="shared" si="27"/>
        <v>28C06369</v>
      </c>
      <c r="I8242" s="59" t="str">
        <f>IF(OR($A8242="",$C8242="",$D8242="",$E8242="",$H8242=""),"",SUMIFS(DATA_GOC!$H:$H,DATA_GOC!$A:$A,"BOM",DATA_GOC!$D:$D,$H8242,DATA_GOC!$E:$E,$C8242,DATA_GOC!$F:$F,"Xuất nội bộ từ téc",DATA_GOC!$B:$B,"&gt;="&amp;$D8242,DATA_GOC!$B:$B,"&lt;="&amp;$E8242))</f>
        <v/>
      </c>
      <c r="J8242" s="59">
        <f t="shared" si="28"/>
        <v>0</v>
      </c>
      <c r="K8242" s="59">
        <f t="shared" si="29"/>
        <v>0</v>
      </c>
      <c r="L8242" s="59">
        <f t="shared" si="30"/>
        <v>0</v>
      </c>
      <c r="M8242" s="59">
        <f t="shared" si="31"/>
        <v>0</v>
      </c>
    </row>
    <row r="8243" ht="15.0" hidden="1" customHeight="1">
      <c r="A8243" s="59">
        <f t="shared" si="20"/>
        <v>134</v>
      </c>
      <c r="B8243" s="59" t="str">
        <f t="shared" si="21"/>
        <v/>
      </c>
      <c r="C8243" s="59" t="str">
        <f t="shared" si="22"/>
        <v/>
      </c>
      <c r="D8243" s="45" t="str">
        <f t="shared" si="23"/>
        <v/>
      </c>
      <c r="E8243" s="45" t="str">
        <f t="shared" si="24"/>
        <v/>
      </c>
      <c r="F8243" s="59" t="str">
        <f t="shared" si="25"/>
        <v/>
      </c>
      <c r="G8243" s="59" t="str">
        <f t="shared" si="26"/>
        <v/>
      </c>
      <c r="H8243" s="59" t="str">
        <f t="shared" si="27"/>
        <v>28C06447</v>
      </c>
      <c r="I8243" s="59" t="str">
        <f>IF(OR($A8243="",$C8243="",$D8243="",$E8243="",$H8243=""),"",SUMIFS(DATA_GOC!$H:$H,DATA_GOC!$A:$A,"BOM",DATA_GOC!$D:$D,$H8243,DATA_GOC!$E:$E,$C8243,DATA_GOC!$F:$F,"Xuất nội bộ từ téc",DATA_GOC!$B:$B,"&gt;="&amp;$D8243,DATA_GOC!$B:$B,"&lt;="&amp;$E8243))</f>
        <v/>
      </c>
      <c r="J8243" s="59">
        <f t="shared" si="28"/>
        <v>0</v>
      </c>
      <c r="K8243" s="59">
        <f t="shared" si="29"/>
        <v>0</v>
      </c>
      <c r="L8243" s="59">
        <f t="shared" si="30"/>
        <v>0</v>
      </c>
      <c r="M8243" s="59">
        <f t="shared" si="31"/>
        <v>0</v>
      </c>
    </row>
    <row r="8244" ht="15.0" hidden="1" customHeight="1">
      <c r="A8244" s="59">
        <f t="shared" si="20"/>
        <v>134</v>
      </c>
      <c r="B8244" s="59" t="str">
        <f t="shared" si="21"/>
        <v/>
      </c>
      <c r="C8244" s="59" t="str">
        <f t="shared" si="22"/>
        <v/>
      </c>
      <c r="D8244" s="45" t="str">
        <f t="shared" si="23"/>
        <v/>
      </c>
      <c r="E8244" s="45" t="str">
        <f t="shared" si="24"/>
        <v/>
      </c>
      <c r="F8244" s="59" t="str">
        <f t="shared" si="25"/>
        <v/>
      </c>
      <c r="G8244" s="59" t="str">
        <f t="shared" si="26"/>
        <v/>
      </c>
      <c r="H8244" s="59" t="str">
        <f t="shared" si="27"/>
        <v>28H00003</v>
      </c>
      <c r="I8244" s="59" t="str">
        <f>IF(OR($A8244="",$C8244="",$D8244="",$E8244="",$H8244=""),"",SUMIFS(DATA_GOC!$H:$H,DATA_GOC!$A:$A,"BOM",DATA_GOC!$D:$D,$H8244,DATA_GOC!$E:$E,$C8244,DATA_GOC!$F:$F,"Xuất nội bộ từ téc",DATA_GOC!$B:$B,"&gt;="&amp;$D8244,DATA_GOC!$B:$B,"&lt;="&amp;$E8244))</f>
        <v/>
      </c>
      <c r="J8244" s="59">
        <f t="shared" si="28"/>
        <v>0</v>
      </c>
      <c r="K8244" s="59">
        <f t="shared" si="29"/>
        <v>0</v>
      </c>
      <c r="L8244" s="59">
        <f t="shared" si="30"/>
        <v>0</v>
      </c>
      <c r="M8244" s="59">
        <f t="shared" si="31"/>
        <v>0</v>
      </c>
    </row>
    <row r="8245" ht="15.0" hidden="1" customHeight="1">
      <c r="A8245" s="59">
        <f t="shared" si="20"/>
        <v>134</v>
      </c>
      <c r="B8245" s="59" t="str">
        <f t="shared" si="21"/>
        <v/>
      </c>
      <c r="C8245" s="59" t="str">
        <f t="shared" si="22"/>
        <v/>
      </c>
      <c r="D8245" s="45" t="str">
        <f t="shared" si="23"/>
        <v/>
      </c>
      <c r="E8245" s="45" t="str">
        <f t="shared" si="24"/>
        <v/>
      </c>
      <c r="F8245" s="59" t="str">
        <f t="shared" si="25"/>
        <v/>
      </c>
      <c r="G8245" s="59" t="str">
        <f t="shared" si="26"/>
        <v/>
      </c>
      <c r="H8245" s="59" t="str">
        <f t="shared" si="27"/>
        <v>28H00061</v>
      </c>
      <c r="I8245" s="59" t="str">
        <f>IF(OR($A8245="",$C8245="",$D8245="",$E8245="",$H8245=""),"",SUMIFS(DATA_GOC!$H:$H,DATA_GOC!$A:$A,"BOM",DATA_GOC!$D:$D,$H8245,DATA_GOC!$E:$E,$C8245,DATA_GOC!$F:$F,"Xuất nội bộ từ téc",DATA_GOC!$B:$B,"&gt;="&amp;$D8245,DATA_GOC!$B:$B,"&lt;="&amp;$E8245))</f>
        <v/>
      </c>
      <c r="J8245" s="59">
        <f t="shared" si="28"/>
        <v>0</v>
      </c>
      <c r="K8245" s="59">
        <f t="shared" si="29"/>
        <v>0</v>
      </c>
      <c r="L8245" s="59">
        <f t="shared" si="30"/>
        <v>0</v>
      </c>
      <c r="M8245" s="59">
        <f t="shared" si="31"/>
        <v>0</v>
      </c>
    </row>
    <row r="8246" ht="15.0" hidden="1" customHeight="1">
      <c r="A8246" s="59">
        <f t="shared" si="20"/>
        <v>134</v>
      </c>
      <c r="B8246" s="59" t="str">
        <f t="shared" si="21"/>
        <v/>
      </c>
      <c r="C8246" s="59" t="str">
        <f t="shared" si="22"/>
        <v/>
      </c>
      <c r="D8246" s="45" t="str">
        <f t="shared" si="23"/>
        <v/>
      </c>
      <c r="E8246" s="45" t="str">
        <f t="shared" si="24"/>
        <v/>
      </c>
      <c r="F8246" s="59" t="str">
        <f t="shared" si="25"/>
        <v/>
      </c>
      <c r="G8246" s="59" t="str">
        <f t="shared" si="26"/>
        <v/>
      </c>
      <c r="H8246" s="59" t="str">
        <f t="shared" si="27"/>
        <v>28H00354</v>
      </c>
      <c r="I8246" s="59" t="str">
        <f>IF(OR($A8246="",$C8246="",$D8246="",$E8246="",$H8246=""),"",SUMIFS(DATA_GOC!$H:$H,DATA_GOC!$A:$A,"BOM",DATA_GOC!$D:$D,$H8246,DATA_GOC!$E:$E,$C8246,DATA_GOC!$F:$F,"Xuất nội bộ từ téc",DATA_GOC!$B:$B,"&gt;="&amp;$D8246,DATA_GOC!$B:$B,"&lt;="&amp;$E8246))</f>
        <v/>
      </c>
      <c r="J8246" s="59">
        <f t="shared" si="28"/>
        <v>0</v>
      </c>
      <c r="K8246" s="59">
        <f t="shared" si="29"/>
        <v>0</v>
      </c>
      <c r="L8246" s="59">
        <f t="shared" si="30"/>
        <v>0</v>
      </c>
      <c r="M8246" s="59">
        <f t="shared" si="31"/>
        <v>0</v>
      </c>
    </row>
    <row r="8247" ht="15.0" hidden="1" customHeight="1">
      <c r="A8247" s="59">
        <f t="shared" si="20"/>
        <v>134</v>
      </c>
      <c r="B8247" s="59" t="str">
        <f t="shared" si="21"/>
        <v/>
      </c>
      <c r="C8247" s="59" t="str">
        <f t="shared" si="22"/>
        <v/>
      </c>
      <c r="D8247" s="45" t="str">
        <f t="shared" si="23"/>
        <v/>
      </c>
      <c r="E8247" s="45" t="str">
        <f t="shared" si="24"/>
        <v/>
      </c>
      <c r="F8247" s="59" t="str">
        <f t="shared" si="25"/>
        <v/>
      </c>
      <c r="G8247" s="59" t="str">
        <f t="shared" si="26"/>
        <v/>
      </c>
      <c r="H8247" s="59" t="str">
        <f t="shared" si="27"/>
        <v>28H00603</v>
      </c>
      <c r="I8247" s="59" t="str">
        <f>IF(OR($A8247="",$C8247="",$D8247="",$E8247="",$H8247=""),"",SUMIFS(DATA_GOC!$H:$H,DATA_GOC!$A:$A,"BOM",DATA_GOC!$D:$D,$H8247,DATA_GOC!$E:$E,$C8247,DATA_GOC!$F:$F,"Xuất nội bộ từ téc",DATA_GOC!$B:$B,"&gt;="&amp;$D8247,DATA_GOC!$B:$B,"&lt;="&amp;$E8247))</f>
        <v/>
      </c>
      <c r="J8247" s="59">
        <f t="shared" si="28"/>
        <v>0</v>
      </c>
      <c r="K8247" s="59">
        <f t="shared" si="29"/>
        <v>0</v>
      </c>
      <c r="L8247" s="59">
        <f t="shared" si="30"/>
        <v>0</v>
      </c>
      <c r="M8247" s="59">
        <f t="shared" si="31"/>
        <v>0</v>
      </c>
    </row>
    <row r="8248" ht="15.0" hidden="1" customHeight="1">
      <c r="A8248" s="59">
        <f t="shared" si="20"/>
        <v>134</v>
      </c>
      <c r="B8248" s="59" t="str">
        <f t="shared" si="21"/>
        <v/>
      </c>
      <c r="C8248" s="59" t="str">
        <f t="shared" si="22"/>
        <v/>
      </c>
      <c r="D8248" s="45" t="str">
        <f t="shared" si="23"/>
        <v/>
      </c>
      <c r="E8248" s="45" t="str">
        <f t="shared" si="24"/>
        <v/>
      </c>
      <c r="F8248" s="59" t="str">
        <f t="shared" si="25"/>
        <v/>
      </c>
      <c r="G8248" s="59" t="str">
        <f t="shared" si="26"/>
        <v/>
      </c>
      <c r="H8248" s="59" t="str">
        <f t="shared" si="27"/>
        <v>28H00609</v>
      </c>
      <c r="I8248" s="59" t="str">
        <f>IF(OR($A8248="",$C8248="",$D8248="",$E8248="",$H8248=""),"",SUMIFS(DATA_GOC!$H:$H,DATA_GOC!$A:$A,"BOM",DATA_GOC!$D:$D,$H8248,DATA_GOC!$E:$E,$C8248,DATA_GOC!$F:$F,"Xuất nội bộ từ téc",DATA_GOC!$B:$B,"&gt;="&amp;$D8248,DATA_GOC!$B:$B,"&lt;="&amp;$E8248))</f>
        <v/>
      </c>
      <c r="J8248" s="59">
        <f t="shared" si="28"/>
        <v>0</v>
      </c>
      <c r="K8248" s="59">
        <f t="shared" si="29"/>
        <v>0</v>
      </c>
      <c r="L8248" s="59">
        <f t="shared" si="30"/>
        <v>0</v>
      </c>
      <c r="M8248" s="59">
        <f t="shared" si="31"/>
        <v>0</v>
      </c>
    </row>
    <row r="8249" ht="15.0" hidden="1" customHeight="1">
      <c r="A8249" s="59">
        <f t="shared" si="20"/>
        <v>134</v>
      </c>
      <c r="B8249" s="59" t="str">
        <f t="shared" si="21"/>
        <v/>
      </c>
      <c r="C8249" s="59" t="str">
        <f t="shared" si="22"/>
        <v/>
      </c>
      <c r="D8249" s="45" t="str">
        <f t="shared" si="23"/>
        <v/>
      </c>
      <c r="E8249" s="45" t="str">
        <f t="shared" si="24"/>
        <v/>
      </c>
      <c r="F8249" s="59" t="str">
        <f t="shared" si="25"/>
        <v/>
      </c>
      <c r="G8249" s="59" t="str">
        <f t="shared" si="26"/>
        <v/>
      </c>
      <c r="H8249" s="59" t="str">
        <f t="shared" si="27"/>
        <v>28H00669</v>
      </c>
      <c r="I8249" s="59" t="str">
        <f>IF(OR($A8249="",$C8249="",$D8249="",$E8249="",$H8249=""),"",SUMIFS(DATA_GOC!$H:$H,DATA_GOC!$A:$A,"BOM",DATA_GOC!$D:$D,$H8249,DATA_GOC!$E:$E,$C8249,DATA_GOC!$F:$F,"Xuất nội bộ từ téc",DATA_GOC!$B:$B,"&gt;="&amp;$D8249,DATA_GOC!$B:$B,"&lt;="&amp;$E8249))</f>
        <v/>
      </c>
      <c r="J8249" s="59">
        <f t="shared" si="28"/>
        <v>0</v>
      </c>
      <c r="K8249" s="59">
        <f t="shared" si="29"/>
        <v>0</v>
      </c>
      <c r="L8249" s="59">
        <f t="shared" si="30"/>
        <v>0</v>
      </c>
      <c r="M8249" s="59">
        <f t="shared" si="31"/>
        <v>0</v>
      </c>
    </row>
    <row r="8250" ht="15.0" hidden="1" customHeight="1">
      <c r="A8250" s="59">
        <f t="shared" si="20"/>
        <v>134</v>
      </c>
      <c r="B8250" s="59" t="str">
        <f t="shared" si="21"/>
        <v/>
      </c>
      <c r="C8250" s="59" t="str">
        <f t="shared" si="22"/>
        <v/>
      </c>
      <c r="D8250" s="45" t="str">
        <f t="shared" si="23"/>
        <v/>
      </c>
      <c r="E8250" s="45" t="str">
        <f t="shared" si="24"/>
        <v/>
      </c>
      <c r="F8250" s="59" t="str">
        <f t="shared" si="25"/>
        <v/>
      </c>
      <c r="G8250" s="59" t="str">
        <f t="shared" si="26"/>
        <v/>
      </c>
      <c r="H8250" s="59" t="str">
        <f t="shared" si="27"/>
        <v>28H00680</v>
      </c>
      <c r="I8250" s="59" t="str">
        <f>IF(OR($A8250="",$C8250="",$D8250="",$E8250="",$H8250=""),"",SUMIFS(DATA_GOC!$H:$H,DATA_GOC!$A:$A,"BOM",DATA_GOC!$D:$D,$H8250,DATA_GOC!$E:$E,$C8250,DATA_GOC!$F:$F,"Xuất nội bộ từ téc",DATA_GOC!$B:$B,"&gt;="&amp;$D8250,DATA_GOC!$B:$B,"&lt;="&amp;$E8250))</f>
        <v/>
      </c>
      <c r="J8250" s="59">
        <f t="shared" si="28"/>
        <v>0</v>
      </c>
      <c r="K8250" s="59">
        <f t="shared" si="29"/>
        <v>0</v>
      </c>
      <c r="L8250" s="59">
        <f t="shared" si="30"/>
        <v>0</v>
      </c>
      <c r="M8250" s="59">
        <f t="shared" si="31"/>
        <v>0</v>
      </c>
    </row>
    <row r="8251" ht="15.0" hidden="1" customHeight="1">
      <c r="A8251" s="59">
        <f t="shared" si="20"/>
        <v>134</v>
      </c>
      <c r="B8251" s="59" t="str">
        <f t="shared" si="21"/>
        <v/>
      </c>
      <c r="C8251" s="59" t="str">
        <f t="shared" si="22"/>
        <v/>
      </c>
      <c r="D8251" s="45" t="str">
        <f t="shared" si="23"/>
        <v/>
      </c>
      <c r="E8251" s="45" t="str">
        <f t="shared" si="24"/>
        <v/>
      </c>
      <c r="F8251" s="59" t="str">
        <f t="shared" si="25"/>
        <v/>
      </c>
      <c r="G8251" s="59" t="str">
        <f t="shared" si="26"/>
        <v/>
      </c>
      <c r="H8251" s="59" t="str">
        <f t="shared" si="27"/>
        <v>28H01070</v>
      </c>
      <c r="I8251" s="59" t="str">
        <f>IF(OR($A8251="",$C8251="",$D8251="",$E8251="",$H8251=""),"",SUMIFS(DATA_GOC!$H:$H,DATA_GOC!$A:$A,"BOM",DATA_GOC!$D:$D,$H8251,DATA_GOC!$E:$E,$C8251,DATA_GOC!$F:$F,"Xuất nội bộ từ téc",DATA_GOC!$B:$B,"&gt;="&amp;$D8251,DATA_GOC!$B:$B,"&lt;="&amp;$E8251))</f>
        <v/>
      </c>
      <c r="J8251" s="59">
        <f t="shared" si="28"/>
        <v>0</v>
      </c>
      <c r="K8251" s="59">
        <f t="shared" si="29"/>
        <v>0</v>
      </c>
      <c r="L8251" s="59">
        <f t="shared" si="30"/>
        <v>0</v>
      </c>
      <c r="M8251" s="59">
        <f t="shared" si="31"/>
        <v>0</v>
      </c>
    </row>
    <row r="8252" ht="15.0" hidden="1" customHeight="1">
      <c r="A8252" s="59">
        <f t="shared" si="20"/>
        <v>134</v>
      </c>
      <c r="B8252" s="59" t="str">
        <f t="shared" si="21"/>
        <v/>
      </c>
      <c r="C8252" s="59" t="str">
        <f t="shared" si="22"/>
        <v/>
      </c>
      <c r="D8252" s="45" t="str">
        <f t="shared" si="23"/>
        <v/>
      </c>
      <c r="E8252" s="45" t="str">
        <f t="shared" si="24"/>
        <v/>
      </c>
      <c r="F8252" s="59" t="str">
        <f t="shared" si="25"/>
        <v/>
      </c>
      <c r="G8252" s="59" t="str">
        <f t="shared" si="26"/>
        <v/>
      </c>
      <c r="H8252" s="59" t="str">
        <f t="shared" si="27"/>
        <v>28H01364</v>
      </c>
      <c r="I8252" s="59" t="str">
        <f>IF(OR($A8252="",$C8252="",$D8252="",$E8252="",$H8252=""),"",SUMIFS(DATA_GOC!$H:$H,DATA_GOC!$A:$A,"BOM",DATA_GOC!$D:$D,$H8252,DATA_GOC!$E:$E,$C8252,DATA_GOC!$F:$F,"Xuất nội bộ từ téc",DATA_GOC!$B:$B,"&gt;="&amp;$D8252,DATA_GOC!$B:$B,"&lt;="&amp;$E8252))</f>
        <v/>
      </c>
      <c r="J8252" s="59">
        <f t="shared" si="28"/>
        <v>0</v>
      </c>
      <c r="K8252" s="59">
        <f t="shared" si="29"/>
        <v>0</v>
      </c>
      <c r="L8252" s="59">
        <f t="shared" si="30"/>
        <v>0</v>
      </c>
      <c r="M8252" s="59">
        <f t="shared" si="31"/>
        <v>0</v>
      </c>
    </row>
    <row r="8253" ht="15.0" hidden="1" customHeight="1">
      <c r="A8253" s="59">
        <f t="shared" si="20"/>
        <v>134</v>
      </c>
      <c r="B8253" s="59" t="str">
        <f t="shared" si="21"/>
        <v/>
      </c>
      <c r="C8253" s="59" t="str">
        <f t="shared" si="22"/>
        <v/>
      </c>
      <c r="D8253" s="45" t="str">
        <f t="shared" si="23"/>
        <v/>
      </c>
      <c r="E8253" s="45" t="str">
        <f t="shared" si="24"/>
        <v/>
      </c>
      <c r="F8253" s="59" t="str">
        <f t="shared" si="25"/>
        <v/>
      </c>
      <c r="G8253" s="59" t="str">
        <f t="shared" si="26"/>
        <v/>
      </c>
      <c r="H8253" s="59" t="str">
        <f t="shared" si="27"/>
        <v>29E17269</v>
      </c>
      <c r="I8253" s="59" t="str">
        <f>IF(OR($A8253="",$C8253="",$D8253="",$E8253="",$H8253=""),"",SUMIFS(DATA_GOC!$H:$H,DATA_GOC!$A:$A,"BOM",DATA_GOC!$D:$D,$H8253,DATA_GOC!$E:$E,$C8253,DATA_GOC!$F:$F,"Xuất nội bộ từ téc",DATA_GOC!$B:$B,"&gt;="&amp;$D8253,DATA_GOC!$B:$B,"&lt;="&amp;$E8253))</f>
        <v/>
      </c>
      <c r="J8253" s="59">
        <f t="shared" si="28"/>
        <v>0</v>
      </c>
      <c r="K8253" s="59">
        <f t="shared" si="29"/>
        <v>0</v>
      </c>
      <c r="L8253" s="59">
        <f t="shared" si="30"/>
        <v>0</v>
      </c>
      <c r="M8253" s="59">
        <f t="shared" si="31"/>
        <v>0</v>
      </c>
    </row>
    <row r="8254" ht="15.0" hidden="1" customHeight="1">
      <c r="A8254" s="59">
        <f t="shared" si="20"/>
        <v>134</v>
      </c>
      <c r="B8254" s="59" t="str">
        <f t="shared" si="21"/>
        <v/>
      </c>
      <c r="C8254" s="59" t="str">
        <f t="shared" si="22"/>
        <v/>
      </c>
      <c r="D8254" s="45" t="str">
        <f t="shared" si="23"/>
        <v/>
      </c>
      <c r="E8254" s="45" t="str">
        <f t="shared" si="24"/>
        <v/>
      </c>
      <c r="F8254" s="59" t="str">
        <f t="shared" si="25"/>
        <v/>
      </c>
      <c r="G8254" s="59" t="str">
        <f t="shared" si="26"/>
        <v/>
      </c>
      <c r="H8254" s="59" t="str">
        <f t="shared" si="27"/>
        <v>29E17273</v>
      </c>
      <c r="I8254" s="59" t="str">
        <f>IF(OR($A8254="",$C8254="",$D8254="",$E8254="",$H8254=""),"",SUMIFS(DATA_GOC!$H:$H,DATA_GOC!$A:$A,"BOM",DATA_GOC!$D:$D,$H8254,DATA_GOC!$E:$E,$C8254,DATA_GOC!$F:$F,"Xuất nội bộ từ téc",DATA_GOC!$B:$B,"&gt;="&amp;$D8254,DATA_GOC!$B:$B,"&lt;="&amp;$E8254))</f>
        <v/>
      </c>
      <c r="J8254" s="59">
        <f t="shared" si="28"/>
        <v>0</v>
      </c>
      <c r="K8254" s="59">
        <f t="shared" si="29"/>
        <v>0</v>
      </c>
      <c r="L8254" s="59">
        <f t="shared" si="30"/>
        <v>0</v>
      </c>
      <c r="M8254" s="59">
        <f t="shared" si="31"/>
        <v>0</v>
      </c>
    </row>
    <row r="8255" ht="15.0" hidden="1" customHeight="1">
      <c r="A8255" s="59">
        <f t="shared" si="20"/>
        <v>134</v>
      </c>
      <c r="B8255" s="59" t="str">
        <f t="shared" si="21"/>
        <v/>
      </c>
      <c r="C8255" s="59" t="str">
        <f t="shared" si="22"/>
        <v/>
      </c>
      <c r="D8255" s="45" t="str">
        <f t="shared" si="23"/>
        <v/>
      </c>
      <c r="E8255" s="45" t="str">
        <f t="shared" si="24"/>
        <v/>
      </c>
      <c r="F8255" s="59" t="str">
        <f t="shared" si="25"/>
        <v/>
      </c>
      <c r="G8255" s="59" t="str">
        <f t="shared" si="26"/>
        <v/>
      </c>
      <c r="H8255" s="59" t="str">
        <f t="shared" si="27"/>
        <v>29E17410</v>
      </c>
      <c r="I8255" s="59" t="str">
        <f>IF(OR($A8255="",$C8255="",$D8255="",$E8255="",$H8255=""),"",SUMIFS(DATA_GOC!$H:$H,DATA_GOC!$A:$A,"BOM",DATA_GOC!$D:$D,$H8255,DATA_GOC!$E:$E,$C8255,DATA_GOC!$F:$F,"Xuất nội bộ từ téc",DATA_GOC!$B:$B,"&gt;="&amp;$D8255,DATA_GOC!$B:$B,"&lt;="&amp;$E8255))</f>
        <v/>
      </c>
      <c r="J8255" s="59">
        <f t="shared" si="28"/>
        <v>0</v>
      </c>
      <c r="K8255" s="59">
        <f t="shared" si="29"/>
        <v>0</v>
      </c>
      <c r="L8255" s="59">
        <f t="shared" si="30"/>
        <v>0</v>
      </c>
      <c r="M8255" s="59">
        <f t="shared" si="31"/>
        <v>0</v>
      </c>
    </row>
    <row r="8256" ht="15.0" hidden="1" customHeight="1">
      <c r="A8256" s="59">
        <f t="shared" si="20"/>
        <v>134</v>
      </c>
      <c r="B8256" s="59" t="str">
        <f t="shared" si="21"/>
        <v/>
      </c>
      <c r="C8256" s="59" t="str">
        <f t="shared" si="22"/>
        <v/>
      </c>
      <c r="D8256" s="45" t="str">
        <f t="shared" si="23"/>
        <v/>
      </c>
      <c r="E8256" s="45" t="str">
        <f t="shared" si="24"/>
        <v/>
      </c>
      <c r="F8256" s="59" t="str">
        <f t="shared" si="25"/>
        <v/>
      </c>
      <c r="G8256" s="59" t="str">
        <f t="shared" si="26"/>
        <v/>
      </c>
      <c r="H8256" s="59" t="str">
        <f t="shared" si="27"/>
        <v>29E17417</v>
      </c>
      <c r="I8256" s="59" t="str">
        <f>IF(OR($A8256="",$C8256="",$D8256="",$E8256="",$H8256=""),"",SUMIFS(DATA_GOC!$H:$H,DATA_GOC!$A:$A,"BOM",DATA_GOC!$D:$D,$H8256,DATA_GOC!$E:$E,$C8256,DATA_GOC!$F:$F,"Xuất nội bộ từ téc",DATA_GOC!$B:$B,"&gt;="&amp;$D8256,DATA_GOC!$B:$B,"&lt;="&amp;$E8256))</f>
        <v/>
      </c>
      <c r="J8256" s="59">
        <f t="shared" si="28"/>
        <v>0</v>
      </c>
      <c r="K8256" s="59">
        <f t="shared" si="29"/>
        <v>0</v>
      </c>
      <c r="L8256" s="59">
        <f t="shared" si="30"/>
        <v>0</v>
      </c>
      <c r="M8256" s="59">
        <f t="shared" si="31"/>
        <v>0</v>
      </c>
    </row>
    <row r="8257" ht="15.0" hidden="1" customHeight="1">
      <c r="A8257" s="59">
        <f t="shared" si="20"/>
        <v>134</v>
      </c>
      <c r="B8257" s="59" t="str">
        <f t="shared" si="21"/>
        <v/>
      </c>
      <c r="C8257" s="59" t="str">
        <f t="shared" si="22"/>
        <v/>
      </c>
      <c r="D8257" s="45" t="str">
        <f t="shared" si="23"/>
        <v/>
      </c>
      <c r="E8257" s="45" t="str">
        <f t="shared" si="24"/>
        <v/>
      </c>
      <c r="F8257" s="59" t="str">
        <f t="shared" si="25"/>
        <v/>
      </c>
      <c r="G8257" s="59" t="str">
        <f t="shared" si="26"/>
        <v/>
      </c>
      <c r="H8257" s="59" t="str">
        <f t="shared" si="27"/>
        <v>29E17539</v>
      </c>
      <c r="I8257" s="59" t="str">
        <f>IF(OR($A8257="",$C8257="",$D8257="",$E8257="",$H8257=""),"",SUMIFS(DATA_GOC!$H:$H,DATA_GOC!$A:$A,"BOM",DATA_GOC!$D:$D,$H8257,DATA_GOC!$E:$E,$C8257,DATA_GOC!$F:$F,"Xuất nội bộ từ téc",DATA_GOC!$B:$B,"&gt;="&amp;$D8257,DATA_GOC!$B:$B,"&lt;="&amp;$E8257))</f>
        <v/>
      </c>
      <c r="J8257" s="59">
        <f t="shared" si="28"/>
        <v>0</v>
      </c>
      <c r="K8257" s="59">
        <f t="shared" si="29"/>
        <v>0</v>
      </c>
      <c r="L8257" s="59">
        <f t="shared" si="30"/>
        <v>0</v>
      </c>
      <c r="M8257" s="59">
        <f t="shared" si="31"/>
        <v>0</v>
      </c>
    </row>
    <row r="8258" ht="15.0" hidden="1" customHeight="1">
      <c r="A8258" s="59">
        <f t="shared" si="20"/>
        <v>134</v>
      </c>
      <c r="B8258" s="59" t="str">
        <f t="shared" si="21"/>
        <v/>
      </c>
      <c r="C8258" s="59" t="str">
        <f t="shared" si="22"/>
        <v/>
      </c>
      <c r="D8258" s="45" t="str">
        <f t="shared" si="23"/>
        <v/>
      </c>
      <c r="E8258" s="45" t="str">
        <f t="shared" si="24"/>
        <v/>
      </c>
      <c r="F8258" s="59" t="str">
        <f t="shared" si="25"/>
        <v/>
      </c>
      <c r="G8258" s="59" t="str">
        <f t="shared" si="26"/>
        <v/>
      </c>
      <c r="H8258" s="59" t="str">
        <f t="shared" si="27"/>
        <v>29E18160</v>
      </c>
      <c r="I8258" s="59" t="str">
        <f>IF(OR($A8258="",$C8258="",$D8258="",$E8258="",$H8258=""),"",SUMIFS(DATA_GOC!$H:$H,DATA_GOC!$A:$A,"BOM",DATA_GOC!$D:$D,$H8258,DATA_GOC!$E:$E,$C8258,DATA_GOC!$F:$F,"Xuất nội bộ từ téc",DATA_GOC!$B:$B,"&gt;="&amp;$D8258,DATA_GOC!$B:$B,"&lt;="&amp;$E8258))</f>
        <v/>
      </c>
      <c r="J8258" s="59">
        <f t="shared" si="28"/>
        <v>0</v>
      </c>
      <c r="K8258" s="59">
        <f t="shared" si="29"/>
        <v>0</v>
      </c>
      <c r="L8258" s="59">
        <f t="shared" si="30"/>
        <v>0</v>
      </c>
      <c r="M8258" s="59">
        <f t="shared" si="31"/>
        <v>0</v>
      </c>
    </row>
    <row r="8259" ht="15.0" hidden="1" customHeight="1">
      <c r="A8259" s="59">
        <f t="shared" si="20"/>
        <v>134</v>
      </c>
      <c r="B8259" s="59" t="str">
        <f t="shared" si="21"/>
        <v/>
      </c>
      <c r="C8259" s="59" t="str">
        <f t="shared" si="22"/>
        <v/>
      </c>
      <c r="D8259" s="45" t="str">
        <f t="shared" si="23"/>
        <v/>
      </c>
      <c r="E8259" s="45" t="str">
        <f t="shared" si="24"/>
        <v/>
      </c>
      <c r="F8259" s="59" t="str">
        <f t="shared" si="25"/>
        <v/>
      </c>
      <c r="G8259" s="59" t="str">
        <f t="shared" si="26"/>
        <v/>
      </c>
      <c r="H8259" s="59" t="str">
        <f t="shared" si="27"/>
        <v>Công trình Asphalt</v>
      </c>
      <c r="I8259" s="59" t="str">
        <f>IF(OR($A8259="",$C8259="",$D8259="",$E8259="",$H8259=""),"",SUMIFS(DATA_GOC!$H:$H,DATA_GOC!$A:$A,"BOM",DATA_GOC!$D:$D,$H8259,DATA_GOC!$E:$E,$C8259,DATA_GOC!$F:$F,"Xuất nội bộ từ téc",DATA_GOC!$B:$B,"&gt;="&amp;$D8259,DATA_GOC!$B:$B,"&lt;="&amp;$E8259))</f>
        <v/>
      </c>
      <c r="J8259" s="59">
        <f t="shared" si="28"/>
        <v>0</v>
      </c>
      <c r="K8259" s="59">
        <f t="shared" si="29"/>
        <v>0</v>
      </c>
      <c r="L8259" s="59">
        <f t="shared" si="30"/>
        <v>0</v>
      </c>
      <c r="M8259" s="59">
        <f t="shared" si="31"/>
        <v>0</v>
      </c>
    </row>
    <row r="8260" ht="15.0" hidden="1" customHeight="1">
      <c r="A8260" s="59">
        <f t="shared" si="20"/>
        <v>134</v>
      </c>
      <c r="B8260" s="59" t="str">
        <f t="shared" si="21"/>
        <v/>
      </c>
      <c r="C8260" s="59" t="str">
        <f t="shared" si="22"/>
        <v/>
      </c>
      <c r="D8260" s="45" t="str">
        <f t="shared" si="23"/>
        <v/>
      </c>
      <c r="E8260" s="45" t="str">
        <f t="shared" si="24"/>
        <v/>
      </c>
      <c r="F8260" s="59" t="str">
        <f t="shared" si="25"/>
        <v/>
      </c>
      <c r="G8260" s="59" t="str">
        <f t="shared" si="26"/>
        <v/>
      </c>
      <c r="H8260" s="59" t="str">
        <f t="shared" si="27"/>
        <v>LG53F</v>
      </c>
      <c r="I8260" s="59" t="str">
        <f>IF(OR($A8260="",$C8260="",$D8260="",$E8260="",$H8260=""),"",SUMIFS(DATA_GOC!$H:$H,DATA_GOC!$A:$A,"BOM",DATA_GOC!$D:$D,$H8260,DATA_GOC!$E:$E,$C8260,DATA_GOC!$F:$F,"Xuất nội bộ từ téc",DATA_GOC!$B:$B,"&gt;="&amp;$D8260,DATA_GOC!$B:$B,"&lt;="&amp;$E8260))</f>
        <v/>
      </c>
      <c r="J8260" s="59">
        <f t="shared" si="28"/>
        <v>0</v>
      </c>
      <c r="K8260" s="59">
        <f t="shared" si="29"/>
        <v>0</v>
      </c>
      <c r="L8260" s="59">
        <f t="shared" si="30"/>
        <v>0</v>
      </c>
      <c r="M8260" s="59">
        <f t="shared" si="31"/>
        <v>0</v>
      </c>
    </row>
    <row r="8261" ht="15.0" hidden="1" customHeight="1">
      <c r="A8261" s="59">
        <f t="shared" si="20"/>
        <v>134</v>
      </c>
      <c r="B8261" s="59" t="str">
        <f t="shared" si="21"/>
        <v/>
      </c>
      <c r="C8261" s="59" t="str">
        <f t="shared" si="22"/>
        <v/>
      </c>
      <c r="D8261" s="45" t="str">
        <f t="shared" si="23"/>
        <v/>
      </c>
      <c r="E8261" s="45" t="str">
        <f t="shared" si="24"/>
        <v/>
      </c>
      <c r="F8261" s="59" t="str">
        <f t="shared" si="25"/>
        <v/>
      </c>
      <c r="G8261" s="59" t="str">
        <f t="shared" si="26"/>
        <v/>
      </c>
      <c r="H8261" s="59" t="str">
        <f t="shared" si="27"/>
        <v>Máy phát điện</v>
      </c>
      <c r="I8261" s="59" t="str">
        <f>IF(OR($A8261="",$C8261="",$D8261="",$E8261="",$H8261=""),"",SUMIFS(DATA_GOC!$H:$H,DATA_GOC!$A:$A,"BOM",DATA_GOC!$D:$D,$H8261,DATA_GOC!$E:$E,$C8261,DATA_GOC!$F:$F,"Xuất nội bộ từ téc",DATA_GOC!$B:$B,"&gt;="&amp;$D8261,DATA_GOC!$B:$B,"&lt;="&amp;$E8261))</f>
        <v/>
      </c>
      <c r="J8261" s="59">
        <f t="shared" si="28"/>
        <v>0</v>
      </c>
      <c r="K8261" s="59">
        <f t="shared" si="29"/>
        <v>0</v>
      </c>
      <c r="L8261" s="59">
        <f t="shared" si="30"/>
        <v>0</v>
      </c>
      <c r="M8261" s="59">
        <f t="shared" si="31"/>
        <v>0</v>
      </c>
    </row>
    <row r="8262" ht="15.0" hidden="1" customHeight="1">
      <c r="A8262" s="59">
        <f t="shared" si="20"/>
        <v>134</v>
      </c>
      <c r="B8262" s="59" t="str">
        <f t="shared" si="21"/>
        <v/>
      </c>
      <c r="C8262" s="59" t="str">
        <f t="shared" si="22"/>
        <v/>
      </c>
      <c r="D8262" s="45" t="str">
        <f t="shared" si="23"/>
        <v/>
      </c>
      <c r="E8262" s="45" t="str">
        <f t="shared" si="24"/>
        <v/>
      </c>
      <c r="F8262" s="59" t="str">
        <f t="shared" si="25"/>
        <v/>
      </c>
      <c r="G8262" s="59" t="str">
        <f t="shared" si="26"/>
        <v/>
      </c>
      <c r="H8262" s="59" t="str">
        <f t="shared" si="27"/>
        <v>Máy rải thảm</v>
      </c>
      <c r="I8262" s="59" t="str">
        <f>IF(OR($A8262="",$C8262="",$D8262="",$E8262="",$H8262=""),"",SUMIFS(DATA_GOC!$H:$H,DATA_GOC!$A:$A,"BOM",DATA_GOC!$D:$D,$H8262,DATA_GOC!$E:$E,$C8262,DATA_GOC!$F:$F,"Xuất nội bộ từ téc",DATA_GOC!$B:$B,"&gt;="&amp;$D8262,DATA_GOC!$B:$B,"&lt;="&amp;$E8262))</f>
        <v/>
      </c>
      <c r="J8262" s="59">
        <f t="shared" si="28"/>
        <v>0</v>
      </c>
      <c r="K8262" s="59">
        <f t="shared" si="29"/>
        <v>0</v>
      </c>
      <c r="L8262" s="59">
        <f t="shared" si="30"/>
        <v>0</v>
      </c>
      <c r="M8262" s="59">
        <f t="shared" si="31"/>
        <v>0</v>
      </c>
    </row>
    <row r="8263" ht="15.0" hidden="1" customHeight="1">
      <c r="A8263" s="59">
        <f t="shared" si="20"/>
        <v>134</v>
      </c>
      <c r="B8263" s="59" t="str">
        <f t="shared" si="21"/>
        <v/>
      </c>
      <c r="C8263" s="59" t="str">
        <f t="shared" si="22"/>
        <v/>
      </c>
      <c r="D8263" s="45" t="str">
        <f t="shared" si="23"/>
        <v/>
      </c>
      <c r="E8263" s="45" t="str">
        <f t="shared" si="24"/>
        <v/>
      </c>
      <c r="F8263" s="59" t="str">
        <f t="shared" si="25"/>
        <v/>
      </c>
      <c r="G8263" s="59" t="str">
        <f t="shared" si="26"/>
        <v/>
      </c>
      <c r="H8263" s="59" t="str">
        <f t="shared" si="27"/>
        <v>Xúc Đào</v>
      </c>
      <c r="I8263" s="59" t="str">
        <f>IF(OR($A8263="",$C8263="",$D8263="",$E8263="",$H8263=""),"",SUMIFS(DATA_GOC!$H:$H,DATA_GOC!$A:$A,"BOM",DATA_GOC!$D:$D,$H8263,DATA_GOC!$E:$E,$C8263,DATA_GOC!$F:$F,"Xuất nội bộ từ téc",DATA_GOC!$B:$B,"&gt;="&amp;$D8263,DATA_GOC!$B:$B,"&lt;="&amp;$E8263))</f>
        <v/>
      </c>
      <c r="J8263" s="59">
        <f t="shared" si="28"/>
        <v>0</v>
      </c>
      <c r="K8263" s="59">
        <f t="shared" si="29"/>
        <v>0</v>
      </c>
      <c r="L8263" s="59">
        <f t="shared" si="30"/>
        <v>0</v>
      </c>
      <c r="M8263" s="59">
        <f t="shared" si="31"/>
        <v>0</v>
      </c>
    </row>
    <row r="8264" ht="15.0" hidden="1" customHeight="1">
      <c r="A8264" s="59">
        <f t="shared" si="20"/>
        <v>134</v>
      </c>
      <c r="B8264" s="59" t="str">
        <f t="shared" si="21"/>
        <v/>
      </c>
      <c r="C8264" s="59" t="str">
        <f t="shared" si="22"/>
        <v/>
      </c>
      <c r="D8264" s="45" t="str">
        <f t="shared" si="23"/>
        <v/>
      </c>
      <c r="E8264" s="45" t="str">
        <f t="shared" si="24"/>
        <v/>
      </c>
      <c r="F8264" s="59" t="str">
        <f t="shared" si="25"/>
        <v/>
      </c>
      <c r="G8264" s="59" t="str">
        <f t="shared" si="26"/>
        <v/>
      </c>
      <c r="H8264" s="59" t="str">
        <f t="shared" si="27"/>
        <v>Xúclật asphalt</v>
      </c>
      <c r="I8264" s="59" t="str">
        <f>IF(OR($A8264="",$C8264="",$D8264="",$E8264="",$H8264=""),"",SUMIFS(DATA_GOC!$H:$H,DATA_GOC!$A:$A,"BOM",DATA_GOC!$D:$D,$H8264,DATA_GOC!$E:$E,$C8264,DATA_GOC!$F:$F,"Xuất nội bộ từ téc",DATA_GOC!$B:$B,"&gt;="&amp;$D8264,DATA_GOC!$B:$B,"&lt;="&amp;$E8264))</f>
        <v/>
      </c>
      <c r="J8264" s="59">
        <f t="shared" si="28"/>
        <v>0</v>
      </c>
      <c r="K8264" s="59">
        <f t="shared" si="29"/>
        <v>0</v>
      </c>
      <c r="L8264" s="59">
        <f t="shared" si="30"/>
        <v>0</v>
      </c>
      <c r="M8264" s="59">
        <f t="shared" si="31"/>
        <v>0</v>
      </c>
    </row>
    <row r="8265" ht="15.0" hidden="1" customHeight="1">
      <c r="A8265" s="59">
        <f t="shared" si="20"/>
        <v>134</v>
      </c>
      <c r="B8265" s="59" t="str">
        <f t="shared" si="21"/>
        <v/>
      </c>
      <c r="C8265" s="59" t="str">
        <f t="shared" si="22"/>
        <v/>
      </c>
      <c r="D8265" s="45" t="str">
        <f t="shared" si="23"/>
        <v/>
      </c>
      <c r="E8265" s="45" t="str">
        <f t="shared" si="24"/>
        <v/>
      </c>
      <c r="F8265" s="59" t="str">
        <f t="shared" si="25"/>
        <v/>
      </c>
      <c r="G8265" s="59" t="str">
        <f t="shared" si="26"/>
        <v/>
      </c>
      <c r="H8265" s="59" t="str">
        <f t="shared" si="27"/>
        <v>Xúclật855H</v>
      </c>
      <c r="I8265" s="59" t="str">
        <f>IF(OR($A8265="",$C8265="",$D8265="",$E8265="",$H8265=""),"",SUMIFS(DATA_GOC!$H:$H,DATA_GOC!$A:$A,"BOM",DATA_GOC!$D:$D,$H8265,DATA_GOC!$E:$E,$C8265,DATA_GOC!$F:$F,"Xuất nội bộ từ téc",DATA_GOC!$B:$B,"&gt;="&amp;$D8265,DATA_GOC!$B:$B,"&lt;="&amp;$E8265))</f>
        <v/>
      </c>
      <c r="J8265" s="59">
        <f t="shared" si="28"/>
        <v>0</v>
      </c>
      <c r="K8265" s="59">
        <f t="shared" si="29"/>
        <v>0</v>
      </c>
      <c r="L8265" s="59">
        <f t="shared" si="30"/>
        <v>0</v>
      </c>
      <c r="M8265" s="59">
        <f t="shared" si="31"/>
        <v>0</v>
      </c>
    </row>
    <row r="8266" ht="15.0" hidden="1" customHeight="1">
      <c r="A8266" s="59">
        <f t="shared" si="20"/>
        <v>134</v>
      </c>
      <c r="B8266" s="59" t="str">
        <f t="shared" si="21"/>
        <v/>
      </c>
      <c r="C8266" s="59" t="str">
        <f t="shared" si="22"/>
        <v/>
      </c>
      <c r="D8266" s="45" t="str">
        <f t="shared" si="23"/>
        <v/>
      </c>
      <c r="E8266" s="45" t="str">
        <f t="shared" si="24"/>
        <v/>
      </c>
      <c r="F8266" s="59" t="str">
        <f t="shared" si="25"/>
        <v/>
      </c>
      <c r="G8266" s="59" t="str">
        <f t="shared" si="26"/>
        <v/>
      </c>
      <c r="H8266" s="59" t="str">
        <f t="shared" si="27"/>
        <v>Xúclật855N</v>
      </c>
      <c r="I8266" s="59" t="str">
        <f>IF(OR($A8266="",$C8266="",$D8266="",$E8266="",$H8266=""),"",SUMIFS(DATA_GOC!$H:$H,DATA_GOC!$A:$A,"BOM",DATA_GOC!$D:$D,$H8266,DATA_GOC!$E:$E,$C8266,DATA_GOC!$F:$F,"Xuất nội bộ từ téc",DATA_GOC!$B:$B,"&gt;="&amp;$D8266,DATA_GOC!$B:$B,"&lt;="&amp;$E8266))</f>
        <v/>
      </c>
      <c r="J8266" s="59">
        <f t="shared" si="28"/>
        <v>0</v>
      </c>
      <c r="K8266" s="59">
        <f t="shared" si="29"/>
        <v>0</v>
      </c>
      <c r="L8266" s="59">
        <f t="shared" si="30"/>
        <v>0</v>
      </c>
      <c r="M8266" s="59">
        <f t="shared" si="31"/>
        <v>0</v>
      </c>
    </row>
    <row r="8267" ht="15.0" hidden="1" customHeight="1">
      <c r="A8267" s="59">
        <f t="shared" si="20"/>
        <v>134</v>
      </c>
      <c r="B8267" s="59" t="str">
        <f t="shared" si="21"/>
        <v/>
      </c>
      <c r="C8267" s="59" t="str">
        <f t="shared" si="22"/>
        <v/>
      </c>
      <c r="D8267" s="45" t="str">
        <f t="shared" si="23"/>
        <v/>
      </c>
      <c r="E8267" s="45" t="str">
        <f t="shared" si="24"/>
        <v/>
      </c>
      <c r="F8267" s="59" t="str">
        <f t="shared" si="25"/>
        <v/>
      </c>
      <c r="G8267" s="59" t="str">
        <f t="shared" si="26"/>
        <v/>
      </c>
      <c r="H8267" s="59" t="str">
        <f t="shared" si="27"/>
        <v>Cát nghiền</v>
      </c>
      <c r="I8267" s="59" t="str">
        <f>IF(OR($A8267="",$C8267="",$D8267="",$E8267="",$H8267=""),"",SUMIFS(DATA_GOC!$H:$H,DATA_GOC!$A:$A,"BOM",DATA_GOC!$D:$D,$H8267,DATA_GOC!$E:$E,$C8267,DATA_GOC!$F:$F,"Xuất nội bộ từ téc",DATA_GOC!$B:$B,"&gt;="&amp;$D8267,DATA_GOC!$B:$B,"&lt;="&amp;$E8267))</f>
        <v/>
      </c>
      <c r="J8267" s="59">
        <f t="shared" si="28"/>
        <v>0</v>
      </c>
      <c r="K8267" s="59">
        <f t="shared" si="29"/>
        <v>0</v>
      </c>
      <c r="L8267" s="59">
        <f t="shared" si="30"/>
        <v>0</v>
      </c>
      <c r="M8267" s="59">
        <f t="shared" si="31"/>
        <v>0</v>
      </c>
    </row>
    <row r="8268" ht="15.0" hidden="1" customHeight="1">
      <c r="A8268" s="59">
        <f t="shared" si="20"/>
        <v>134</v>
      </c>
      <c r="B8268" s="59" t="str">
        <f t="shared" si="21"/>
        <v/>
      </c>
      <c r="C8268" s="59" t="str">
        <f t="shared" si="22"/>
        <v/>
      </c>
      <c r="D8268" s="45" t="str">
        <f t="shared" si="23"/>
        <v/>
      </c>
      <c r="E8268" s="45" t="str">
        <f t="shared" si="24"/>
        <v/>
      </c>
      <c r="F8268" s="59" t="str">
        <f t="shared" si="25"/>
        <v/>
      </c>
      <c r="G8268" s="59" t="str">
        <f t="shared" si="26"/>
        <v/>
      </c>
      <c r="H8268" s="59" t="str">
        <f t="shared" si="27"/>
        <v>28C02973</v>
      </c>
      <c r="I8268" s="59" t="str">
        <f>IF(OR($A8268="",$C8268="",$D8268="",$E8268="",$H8268=""),"",SUMIFS(DATA_GOC!$H:$H,DATA_GOC!$A:$A,"BOM",DATA_GOC!$D:$D,$H8268,DATA_GOC!$E:$E,$C8268,DATA_GOC!$F:$F,"Xuất nội bộ từ téc",DATA_GOC!$B:$B,"&gt;="&amp;$D8268,DATA_GOC!$B:$B,"&lt;="&amp;$E8268))</f>
        <v/>
      </c>
      <c r="J8268" s="59">
        <f t="shared" si="28"/>
        <v>0</v>
      </c>
      <c r="K8268" s="59">
        <f t="shared" si="29"/>
        <v>0</v>
      </c>
      <c r="L8268" s="59">
        <f t="shared" si="30"/>
        <v>0</v>
      </c>
      <c r="M8268" s="59">
        <f t="shared" si="31"/>
        <v>0</v>
      </c>
    </row>
    <row r="8269" ht="15.0" hidden="1" customHeight="1">
      <c r="A8269" s="59">
        <f t="shared" si="20"/>
        <v>134</v>
      </c>
      <c r="B8269" s="59" t="str">
        <f t="shared" si="21"/>
        <v/>
      </c>
      <c r="C8269" s="59" t="str">
        <f t="shared" si="22"/>
        <v/>
      </c>
      <c r="D8269" s="45" t="str">
        <f t="shared" si="23"/>
        <v/>
      </c>
      <c r="E8269" s="45" t="str">
        <f t="shared" si="24"/>
        <v/>
      </c>
      <c r="F8269" s="59" t="str">
        <f t="shared" si="25"/>
        <v/>
      </c>
      <c r="G8269" s="59" t="str">
        <f t="shared" si="26"/>
        <v/>
      </c>
      <c r="H8269" s="59" t="str">
        <f t="shared" si="27"/>
        <v>28C03044</v>
      </c>
      <c r="I8269" s="59" t="str">
        <f>IF(OR($A8269="",$C8269="",$D8269="",$E8269="",$H8269=""),"",SUMIFS(DATA_GOC!$H:$H,DATA_GOC!$A:$A,"BOM",DATA_GOC!$D:$D,$H8269,DATA_GOC!$E:$E,$C8269,DATA_GOC!$F:$F,"Xuất nội bộ từ téc",DATA_GOC!$B:$B,"&gt;="&amp;$D8269,DATA_GOC!$B:$B,"&lt;="&amp;$E8269))</f>
        <v/>
      </c>
      <c r="J8269" s="59">
        <f t="shared" si="28"/>
        <v>0</v>
      </c>
      <c r="K8269" s="59">
        <f t="shared" si="29"/>
        <v>0</v>
      </c>
      <c r="L8269" s="59">
        <f t="shared" si="30"/>
        <v>0</v>
      </c>
      <c r="M8269" s="59">
        <f t="shared" si="31"/>
        <v>0</v>
      </c>
    </row>
    <row r="8270" ht="15.0" hidden="1" customHeight="1">
      <c r="A8270" s="59">
        <f t="shared" si="20"/>
        <v>134</v>
      </c>
      <c r="B8270" s="59" t="str">
        <f t="shared" si="21"/>
        <v/>
      </c>
      <c r="C8270" s="59" t="str">
        <f t="shared" si="22"/>
        <v/>
      </c>
      <c r="D8270" s="45" t="str">
        <f t="shared" si="23"/>
        <v/>
      </c>
      <c r="E8270" s="45" t="str">
        <f t="shared" si="24"/>
        <v/>
      </c>
      <c r="F8270" s="59" t="str">
        <f t="shared" si="25"/>
        <v/>
      </c>
      <c r="G8270" s="59" t="str">
        <f t="shared" si="26"/>
        <v/>
      </c>
      <c r="H8270" s="59" t="str">
        <f t="shared" si="27"/>
        <v>Máy lu lốp</v>
      </c>
      <c r="I8270" s="59" t="str">
        <f>IF(OR($A8270="",$C8270="",$D8270="",$E8270="",$H8270=""),"",SUMIFS(DATA_GOC!$H:$H,DATA_GOC!$A:$A,"BOM",DATA_GOC!$D:$D,$H8270,DATA_GOC!$E:$E,$C8270,DATA_GOC!$F:$F,"Xuất nội bộ từ téc",DATA_GOC!$B:$B,"&gt;="&amp;$D8270,DATA_GOC!$B:$B,"&lt;="&amp;$E8270))</f>
        <v/>
      </c>
      <c r="J8270" s="59">
        <f t="shared" si="28"/>
        <v>0</v>
      </c>
      <c r="K8270" s="59">
        <f t="shared" si="29"/>
        <v>0</v>
      </c>
      <c r="L8270" s="59">
        <f t="shared" si="30"/>
        <v>0</v>
      </c>
      <c r="M8270" s="59">
        <f t="shared" si="31"/>
        <v>0</v>
      </c>
    </row>
    <row r="8271" ht="15.0" hidden="1" customHeight="1">
      <c r="A8271" s="59">
        <f t="shared" si="20"/>
        <v>134</v>
      </c>
      <c r="B8271" s="59" t="str">
        <f t="shared" si="21"/>
        <v/>
      </c>
      <c r="C8271" s="59" t="str">
        <f t="shared" si="22"/>
        <v/>
      </c>
      <c r="D8271" s="45" t="str">
        <f t="shared" si="23"/>
        <v/>
      </c>
      <c r="E8271" s="45" t="str">
        <f t="shared" si="24"/>
        <v/>
      </c>
      <c r="F8271" s="59" t="str">
        <f t="shared" si="25"/>
        <v/>
      </c>
      <c r="G8271" s="59" t="str">
        <f t="shared" si="26"/>
        <v/>
      </c>
      <c r="H8271" s="59" t="str">
        <f t="shared" si="27"/>
        <v>Xe 600148</v>
      </c>
      <c r="I8271" s="59" t="str">
        <f>IF(OR($A8271="",$C8271="",$D8271="",$E8271="",$H8271=""),"",SUMIFS(DATA_GOC!$H:$H,DATA_GOC!$A:$A,"BOM",DATA_GOC!$D:$D,$H8271,DATA_GOC!$E:$E,$C8271,DATA_GOC!$F:$F,"Xuất nội bộ từ téc",DATA_GOC!$B:$B,"&gt;="&amp;$D8271,DATA_GOC!$B:$B,"&lt;="&amp;$E8271))</f>
        <v/>
      </c>
      <c r="J8271" s="59">
        <f t="shared" si="28"/>
        <v>0</v>
      </c>
      <c r="K8271" s="59">
        <f t="shared" si="29"/>
        <v>0</v>
      </c>
      <c r="L8271" s="59">
        <f t="shared" si="30"/>
        <v>0</v>
      </c>
      <c r="M8271" s="59">
        <f t="shared" si="31"/>
        <v>0</v>
      </c>
    </row>
    <row r="8272" ht="15.0" hidden="1" customHeight="1">
      <c r="A8272" s="59">
        <f t="shared" si="20"/>
        <v>134</v>
      </c>
      <c r="B8272" s="59" t="str">
        <f t="shared" si="21"/>
        <v/>
      </c>
      <c r="C8272" s="59" t="str">
        <f t="shared" si="22"/>
        <v/>
      </c>
      <c r="D8272" s="45" t="str">
        <f t="shared" si="23"/>
        <v/>
      </c>
      <c r="E8272" s="45" t="str">
        <f t="shared" si="24"/>
        <v/>
      </c>
      <c r="F8272" s="59" t="str">
        <f t="shared" si="25"/>
        <v/>
      </c>
      <c r="G8272" s="59" t="str">
        <f t="shared" si="26"/>
        <v/>
      </c>
      <c r="H8272" s="59" t="str">
        <f t="shared" si="27"/>
        <v>Xe ben mới</v>
      </c>
      <c r="I8272" s="59" t="str">
        <f>IF(OR($A8272="",$C8272="",$D8272="",$E8272="",$H8272=""),"",SUMIFS(DATA_GOC!$H:$H,DATA_GOC!$A:$A,"BOM",DATA_GOC!$D:$D,$H8272,DATA_GOC!$E:$E,$C8272,DATA_GOC!$F:$F,"Xuất nội bộ từ téc",DATA_GOC!$B:$B,"&gt;="&amp;$D8272,DATA_GOC!$B:$B,"&lt;="&amp;$E8272))</f>
        <v/>
      </c>
      <c r="J8272" s="59">
        <f t="shared" si="28"/>
        <v>0</v>
      </c>
      <c r="K8272" s="59">
        <f t="shared" si="29"/>
        <v>0</v>
      </c>
      <c r="L8272" s="59">
        <f t="shared" si="30"/>
        <v>0</v>
      </c>
      <c r="M8272" s="59">
        <f t="shared" si="31"/>
        <v>0</v>
      </c>
    </row>
    <row r="8273" ht="15.0" hidden="1" customHeight="1">
      <c r="A8273" s="59">
        <f t="shared" si="20"/>
        <v>135</v>
      </c>
      <c r="B8273" s="59" t="str">
        <f t="shared" si="21"/>
        <v/>
      </c>
      <c r="C8273" s="59" t="str">
        <f t="shared" si="22"/>
        <v/>
      </c>
      <c r="D8273" s="45" t="str">
        <f t="shared" si="23"/>
        <v/>
      </c>
      <c r="E8273" s="45" t="str">
        <f t="shared" si="24"/>
        <v/>
      </c>
      <c r="F8273" s="59" t="str">
        <f t="shared" si="25"/>
        <v/>
      </c>
      <c r="G8273" s="59" t="str">
        <f t="shared" si="26"/>
        <v/>
      </c>
      <c r="H8273" s="59" t="str">
        <f t="shared" si="27"/>
        <v>19H09482</v>
      </c>
      <c r="I8273" s="59" t="str">
        <f>IF(OR($A8273="",$C8273="",$D8273="",$E8273="",$H8273=""),"",SUMIFS(DATA_GOC!$H:$H,DATA_GOC!$A:$A,"BOM",DATA_GOC!$D:$D,$H8273,DATA_GOC!$E:$E,$C8273,DATA_GOC!$F:$F,"Xuất nội bộ từ téc",DATA_GOC!$B:$B,"&gt;="&amp;$D8273,DATA_GOC!$B:$B,"&lt;="&amp;$E8273))</f>
        <v/>
      </c>
      <c r="J8273" s="59">
        <f t="shared" si="28"/>
        <v>0</v>
      </c>
      <c r="K8273" s="59">
        <f t="shared" si="29"/>
        <v>0</v>
      </c>
      <c r="L8273" s="59">
        <f t="shared" si="30"/>
        <v>0</v>
      </c>
      <c r="M8273" s="59">
        <f t="shared" si="31"/>
        <v>0</v>
      </c>
    </row>
    <row r="8274" ht="15.0" hidden="1" customHeight="1">
      <c r="A8274" s="59">
        <f t="shared" si="20"/>
        <v>135</v>
      </c>
      <c r="B8274" s="59" t="str">
        <f t="shared" si="21"/>
        <v/>
      </c>
      <c r="C8274" s="59" t="str">
        <f t="shared" si="22"/>
        <v/>
      </c>
      <c r="D8274" s="45" t="str">
        <f t="shared" si="23"/>
        <v/>
      </c>
      <c r="E8274" s="45" t="str">
        <f t="shared" si="24"/>
        <v/>
      </c>
      <c r="F8274" s="59" t="str">
        <f t="shared" si="25"/>
        <v/>
      </c>
      <c r="G8274" s="59" t="str">
        <f t="shared" si="26"/>
        <v/>
      </c>
      <c r="H8274" s="59" t="str">
        <f t="shared" si="27"/>
        <v>28A30696</v>
      </c>
      <c r="I8274" s="59" t="str">
        <f>IF(OR($A8274="",$C8274="",$D8274="",$E8274="",$H8274=""),"",SUMIFS(DATA_GOC!$H:$H,DATA_GOC!$A:$A,"BOM",DATA_GOC!$D:$D,$H8274,DATA_GOC!$E:$E,$C8274,DATA_GOC!$F:$F,"Xuất nội bộ từ téc",DATA_GOC!$B:$B,"&gt;="&amp;$D8274,DATA_GOC!$B:$B,"&lt;="&amp;$E8274))</f>
        <v/>
      </c>
      <c r="J8274" s="59">
        <f t="shared" si="28"/>
        <v>0</v>
      </c>
      <c r="K8274" s="59">
        <f t="shared" si="29"/>
        <v>0</v>
      </c>
      <c r="L8274" s="59">
        <f t="shared" si="30"/>
        <v>0</v>
      </c>
      <c r="M8274" s="59">
        <f t="shared" si="31"/>
        <v>0</v>
      </c>
    </row>
    <row r="8275" ht="15.0" hidden="1" customHeight="1">
      <c r="A8275" s="59">
        <f t="shared" si="20"/>
        <v>135</v>
      </c>
      <c r="B8275" s="59" t="str">
        <f t="shared" si="21"/>
        <v/>
      </c>
      <c r="C8275" s="59" t="str">
        <f t="shared" si="22"/>
        <v/>
      </c>
      <c r="D8275" s="45" t="str">
        <f t="shared" si="23"/>
        <v/>
      </c>
      <c r="E8275" s="45" t="str">
        <f t="shared" si="24"/>
        <v/>
      </c>
      <c r="F8275" s="59" t="str">
        <f t="shared" si="25"/>
        <v/>
      </c>
      <c r="G8275" s="59" t="str">
        <f t="shared" si="26"/>
        <v/>
      </c>
      <c r="H8275" s="59" t="str">
        <f t="shared" si="27"/>
        <v>28C00462</v>
      </c>
      <c r="I8275" s="59" t="str">
        <f>IF(OR($A8275="",$C8275="",$D8275="",$E8275="",$H8275=""),"",SUMIFS(DATA_GOC!$H:$H,DATA_GOC!$A:$A,"BOM",DATA_GOC!$D:$D,$H8275,DATA_GOC!$E:$E,$C8275,DATA_GOC!$F:$F,"Xuất nội bộ từ téc",DATA_GOC!$B:$B,"&gt;="&amp;$D8275,DATA_GOC!$B:$B,"&lt;="&amp;$E8275))</f>
        <v/>
      </c>
      <c r="J8275" s="59">
        <f t="shared" si="28"/>
        <v>0</v>
      </c>
      <c r="K8275" s="59">
        <f t="shared" si="29"/>
        <v>0</v>
      </c>
      <c r="L8275" s="59">
        <f t="shared" si="30"/>
        <v>0</v>
      </c>
      <c r="M8275" s="59">
        <f t="shared" si="31"/>
        <v>0</v>
      </c>
    </row>
    <row r="8276" ht="15.0" hidden="1" customHeight="1">
      <c r="A8276" s="59">
        <f t="shared" si="20"/>
        <v>135</v>
      </c>
      <c r="B8276" s="59" t="str">
        <f t="shared" si="21"/>
        <v/>
      </c>
      <c r="C8276" s="59" t="str">
        <f t="shared" si="22"/>
        <v/>
      </c>
      <c r="D8276" s="45" t="str">
        <f t="shared" si="23"/>
        <v/>
      </c>
      <c r="E8276" s="45" t="str">
        <f t="shared" si="24"/>
        <v/>
      </c>
      <c r="F8276" s="59" t="str">
        <f t="shared" si="25"/>
        <v/>
      </c>
      <c r="G8276" s="59" t="str">
        <f t="shared" si="26"/>
        <v/>
      </c>
      <c r="H8276" s="59" t="str">
        <f t="shared" si="27"/>
        <v>28C01165</v>
      </c>
      <c r="I8276" s="59" t="str">
        <f>IF(OR($A8276="",$C8276="",$D8276="",$E8276="",$H8276=""),"",SUMIFS(DATA_GOC!$H:$H,DATA_GOC!$A:$A,"BOM",DATA_GOC!$D:$D,$H8276,DATA_GOC!$E:$E,$C8276,DATA_GOC!$F:$F,"Xuất nội bộ từ téc",DATA_GOC!$B:$B,"&gt;="&amp;$D8276,DATA_GOC!$B:$B,"&lt;="&amp;$E8276))</f>
        <v/>
      </c>
      <c r="J8276" s="59">
        <f t="shared" si="28"/>
        <v>0</v>
      </c>
      <c r="K8276" s="59">
        <f t="shared" si="29"/>
        <v>0</v>
      </c>
      <c r="L8276" s="59">
        <f t="shared" si="30"/>
        <v>0</v>
      </c>
      <c r="M8276" s="59">
        <f t="shared" si="31"/>
        <v>0</v>
      </c>
    </row>
    <row r="8277" ht="15.0" hidden="1" customHeight="1">
      <c r="A8277" s="59">
        <f t="shared" si="20"/>
        <v>135</v>
      </c>
      <c r="B8277" s="59" t="str">
        <f t="shared" si="21"/>
        <v/>
      </c>
      <c r="C8277" s="59" t="str">
        <f t="shared" si="22"/>
        <v/>
      </c>
      <c r="D8277" s="45" t="str">
        <f t="shared" si="23"/>
        <v/>
      </c>
      <c r="E8277" s="45" t="str">
        <f t="shared" si="24"/>
        <v/>
      </c>
      <c r="F8277" s="59" t="str">
        <f t="shared" si="25"/>
        <v/>
      </c>
      <c r="G8277" s="59" t="str">
        <f t="shared" si="26"/>
        <v/>
      </c>
      <c r="H8277" s="59" t="str">
        <f t="shared" si="27"/>
        <v>28C01406</v>
      </c>
      <c r="I8277" s="59" t="str">
        <f>IF(OR($A8277="",$C8277="",$D8277="",$E8277="",$H8277=""),"",SUMIFS(DATA_GOC!$H:$H,DATA_GOC!$A:$A,"BOM",DATA_GOC!$D:$D,$H8277,DATA_GOC!$E:$E,$C8277,DATA_GOC!$F:$F,"Xuất nội bộ từ téc",DATA_GOC!$B:$B,"&gt;="&amp;$D8277,DATA_GOC!$B:$B,"&lt;="&amp;$E8277))</f>
        <v/>
      </c>
      <c r="J8277" s="59">
        <f t="shared" si="28"/>
        <v>0</v>
      </c>
      <c r="K8277" s="59">
        <f t="shared" si="29"/>
        <v>0</v>
      </c>
      <c r="L8277" s="59">
        <f t="shared" si="30"/>
        <v>0</v>
      </c>
      <c r="M8277" s="59">
        <f t="shared" si="31"/>
        <v>0</v>
      </c>
    </row>
    <row r="8278" ht="15.0" hidden="1" customHeight="1">
      <c r="A8278" s="59">
        <f t="shared" si="20"/>
        <v>135</v>
      </c>
      <c r="B8278" s="59" t="str">
        <f t="shared" si="21"/>
        <v/>
      </c>
      <c r="C8278" s="59" t="str">
        <f t="shared" si="22"/>
        <v/>
      </c>
      <c r="D8278" s="45" t="str">
        <f t="shared" si="23"/>
        <v/>
      </c>
      <c r="E8278" s="45" t="str">
        <f t="shared" si="24"/>
        <v/>
      </c>
      <c r="F8278" s="59" t="str">
        <f t="shared" si="25"/>
        <v/>
      </c>
      <c r="G8278" s="59" t="str">
        <f t="shared" si="26"/>
        <v/>
      </c>
      <c r="H8278" s="59" t="str">
        <f t="shared" si="27"/>
        <v>28C01544</v>
      </c>
      <c r="I8278" s="59" t="str">
        <f>IF(OR($A8278="",$C8278="",$D8278="",$E8278="",$H8278=""),"",SUMIFS(DATA_GOC!$H:$H,DATA_GOC!$A:$A,"BOM",DATA_GOC!$D:$D,$H8278,DATA_GOC!$E:$E,$C8278,DATA_GOC!$F:$F,"Xuất nội bộ từ téc",DATA_GOC!$B:$B,"&gt;="&amp;$D8278,DATA_GOC!$B:$B,"&lt;="&amp;$E8278))</f>
        <v/>
      </c>
      <c r="J8278" s="59">
        <f t="shared" si="28"/>
        <v>0</v>
      </c>
      <c r="K8278" s="59">
        <f t="shared" si="29"/>
        <v>0</v>
      </c>
      <c r="L8278" s="59">
        <f t="shared" si="30"/>
        <v>0</v>
      </c>
      <c r="M8278" s="59">
        <f t="shared" si="31"/>
        <v>0</v>
      </c>
    </row>
    <row r="8279" ht="15.0" hidden="1" customHeight="1">
      <c r="A8279" s="59">
        <f t="shared" si="20"/>
        <v>135</v>
      </c>
      <c r="B8279" s="59" t="str">
        <f t="shared" si="21"/>
        <v/>
      </c>
      <c r="C8279" s="59" t="str">
        <f t="shared" si="22"/>
        <v/>
      </c>
      <c r="D8279" s="45" t="str">
        <f t="shared" si="23"/>
        <v/>
      </c>
      <c r="E8279" s="45" t="str">
        <f t="shared" si="24"/>
        <v/>
      </c>
      <c r="F8279" s="59" t="str">
        <f t="shared" si="25"/>
        <v/>
      </c>
      <c r="G8279" s="59" t="str">
        <f t="shared" si="26"/>
        <v/>
      </c>
      <c r="H8279" s="59" t="str">
        <f t="shared" si="27"/>
        <v>28C01622</v>
      </c>
      <c r="I8279" s="59" t="str">
        <f>IF(OR($A8279="",$C8279="",$D8279="",$E8279="",$H8279=""),"",SUMIFS(DATA_GOC!$H:$H,DATA_GOC!$A:$A,"BOM",DATA_GOC!$D:$D,$H8279,DATA_GOC!$E:$E,$C8279,DATA_GOC!$F:$F,"Xuất nội bộ từ téc",DATA_GOC!$B:$B,"&gt;="&amp;$D8279,DATA_GOC!$B:$B,"&lt;="&amp;$E8279))</f>
        <v/>
      </c>
      <c r="J8279" s="59">
        <f t="shared" si="28"/>
        <v>0</v>
      </c>
      <c r="K8279" s="59">
        <f t="shared" si="29"/>
        <v>0</v>
      </c>
      <c r="L8279" s="59">
        <f t="shared" si="30"/>
        <v>0</v>
      </c>
      <c r="M8279" s="59">
        <f t="shared" si="31"/>
        <v>0</v>
      </c>
    </row>
    <row r="8280" ht="15.0" hidden="1" customHeight="1">
      <c r="A8280" s="59">
        <f t="shared" si="20"/>
        <v>135</v>
      </c>
      <c r="B8280" s="59" t="str">
        <f t="shared" si="21"/>
        <v/>
      </c>
      <c r="C8280" s="59" t="str">
        <f t="shared" si="22"/>
        <v/>
      </c>
      <c r="D8280" s="45" t="str">
        <f t="shared" si="23"/>
        <v/>
      </c>
      <c r="E8280" s="45" t="str">
        <f t="shared" si="24"/>
        <v/>
      </c>
      <c r="F8280" s="59" t="str">
        <f t="shared" si="25"/>
        <v/>
      </c>
      <c r="G8280" s="59" t="str">
        <f t="shared" si="26"/>
        <v/>
      </c>
      <c r="H8280" s="59" t="str">
        <f t="shared" si="27"/>
        <v>28C01647</v>
      </c>
      <c r="I8280" s="59" t="str">
        <f>IF(OR($A8280="",$C8280="",$D8280="",$E8280="",$H8280=""),"",SUMIFS(DATA_GOC!$H:$H,DATA_GOC!$A:$A,"BOM",DATA_GOC!$D:$D,$H8280,DATA_GOC!$E:$E,$C8280,DATA_GOC!$F:$F,"Xuất nội bộ từ téc",DATA_GOC!$B:$B,"&gt;="&amp;$D8280,DATA_GOC!$B:$B,"&lt;="&amp;$E8280))</f>
        <v/>
      </c>
      <c r="J8280" s="59">
        <f t="shared" si="28"/>
        <v>0</v>
      </c>
      <c r="K8280" s="59">
        <f t="shared" si="29"/>
        <v>0</v>
      </c>
      <c r="L8280" s="59">
        <f t="shared" si="30"/>
        <v>0</v>
      </c>
      <c r="M8280" s="59">
        <f t="shared" si="31"/>
        <v>0</v>
      </c>
    </row>
    <row r="8281" ht="15.0" hidden="1" customHeight="1">
      <c r="A8281" s="59">
        <f t="shared" si="20"/>
        <v>135</v>
      </c>
      <c r="B8281" s="59" t="str">
        <f t="shared" si="21"/>
        <v/>
      </c>
      <c r="C8281" s="59" t="str">
        <f t="shared" si="22"/>
        <v/>
      </c>
      <c r="D8281" s="45" t="str">
        <f t="shared" si="23"/>
        <v/>
      </c>
      <c r="E8281" s="45" t="str">
        <f t="shared" si="24"/>
        <v/>
      </c>
      <c r="F8281" s="59" t="str">
        <f t="shared" si="25"/>
        <v/>
      </c>
      <c r="G8281" s="59" t="str">
        <f t="shared" si="26"/>
        <v/>
      </c>
      <c r="H8281" s="59" t="str">
        <f t="shared" si="27"/>
        <v>28C01731</v>
      </c>
      <c r="I8281" s="59" t="str">
        <f>IF(OR($A8281="",$C8281="",$D8281="",$E8281="",$H8281=""),"",SUMIFS(DATA_GOC!$H:$H,DATA_GOC!$A:$A,"BOM",DATA_GOC!$D:$D,$H8281,DATA_GOC!$E:$E,$C8281,DATA_GOC!$F:$F,"Xuất nội bộ từ téc",DATA_GOC!$B:$B,"&gt;="&amp;$D8281,DATA_GOC!$B:$B,"&lt;="&amp;$E8281))</f>
        <v/>
      </c>
      <c r="J8281" s="59">
        <f t="shared" si="28"/>
        <v>0</v>
      </c>
      <c r="K8281" s="59">
        <f t="shared" si="29"/>
        <v>0</v>
      </c>
      <c r="L8281" s="59">
        <f t="shared" si="30"/>
        <v>0</v>
      </c>
      <c r="M8281" s="59">
        <f t="shared" si="31"/>
        <v>0</v>
      </c>
    </row>
    <row r="8282" ht="15.0" hidden="1" customHeight="1">
      <c r="A8282" s="59">
        <f t="shared" si="20"/>
        <v>135</v>
      </c>
      <c r="B8282" s="59" t="str">
        <f t="shared" si="21"/>
        <v/>
      </c>
      <c r="C8282" s="59" t="str">
        <f t="shared" si="22"/>
        <v/>
      </c>
      <c r="D8282" s="45" t="str">
        <f t="shared" si="23"/>
        <v/>
      </c>
      <c r="E8282" s="45" t="str">
        <f t="shared" si="24"/>
        <v/>
      </c>
      <c r="F8282" s="59" t="str">
        <f t="shared" si="25"/>
        <v/>
      </c>
      <c r="G8282" s="59" t="str">
        <f t="shared" si="26"/>
        <v/>
      </c>
      <c r="H8282" s="59" t="str">
        <f t="shared" si="27"/>
        <v>28C01743</v>
      </c>
      <c r="I8282" s="59" t="str">
        <f>IF(OR($A8282="",$C8282="",$D8282="",$E8282="",$H8282=""),"",SUMIFS(DATA_GOC!$H:$H,DATA_GOC!$A:$A,"BOM",DATA_GOC!$D:$D,$H8282,DATA_GOC!$E:$E,$C8282,DATA_GOC!$F:$F,"Xuất nội bộ từ téc",DATA_GOC!$B:$B,"&gt;="&amp;$D8282,DATA_GOC!$B:$B,"&lt;="&amp;$E8282))</f>
        <v/>
      </c>
      <c r="J8282" s="59">
        <f t="shared" si="28"/>
        <v>0</v>
      </c>
      <c r="K8282" s="59">
        <f t="shared" si="29"/>
        <v>0</v>
      </c>
      <c r="L8282" s="59">
        <f t="shared" si="30"/>
        <v>0</v>
      </c>
      <c r="M8282" s="59">
        <f t="shared" si="31"/>
        <v>0</v>
      </c>
    </row>
    <row r="8283" ht="15.0" hidden="1" customHeight="1">
      <c r="A8283" s="59">
        <f t="shared" si="20"/>
        <v>135</v>
      </c>
      <c r="B8283" s="59" t="str">
        <f t="shared" si="21"/>
        <v/>
      </c>
      <c r="C8283" s="59" t="str">
        <f t="shared" si="22"/>
        <v/>
      </c>
      <c r="D8283" s="45" t="str">
        <f t="shared" si="23"/>
        <v/>
      </c>
      <c r="E8283" s="45" t="str">
        <f t="shared" si="24"/>
        <v/>
      </c>
      <c r="F8283" s="59" t="str">
        <f t="shared" si="25"/>
        <v/>
      </c>
      <c r="G8283" s="59" t="str">
        <f t="shared" si="26"/>
        <v/>
      </c>
      <c r="H8283" s="59" t="str">
        <f t="shared" si="27"/>
        <v>28C02106</v>
      </c>
      <c r="I8283" s="59" t="str">
        <f>IF(OR($A8283="",$C8283="",$D8283="",$E8283="",$H8283=""),"",SUMIFS(DATA_GOC!$H:$H,DATA_GOC!$A:$A,"BOM",DATA_GOC!$D:$D,$H8283,DATA_GOC!$E:$E,$C8283,DATA_GOC!$F:$F,"Xuất nội bộ từ téc",DATA_GOC!$B:$B,"&gt;="&amp;$D8283,DATA_GOC!$B:$B,"&lt;="&amp;$E8283))</f>
        <v/>
      </c>
      <c r="J8283" s="59">
        <f t="shared" si="28"/>
        <v>0</v>
      </c>
      <c r="K8283" s="59">
        <f t="shared" si="29"/>
        <v>0</v>
      </c>
      <c r="L8283" s="59">
        <f t="shared" si="30"/>
        <v>0</v>
      </c>
      <c r="M8283" s="59">
        <f t="shared" si="31"/>
        <v>0</v>
      </c>
    </row>
    <row r="8284" ht="15.0" hidden="1" customHeight="1">
      <c r="A8284" s="59">
        <f t="shared" si="20"/>
        <v>135</v>
      </c>
      <c r="B8284" s="59" t="str">
        <f t="shared" si="21"/>
        <v/>
      </c>
      <c r="C8284" s="59" t="str">
        <f t="shared" si="22"/>
        <v/>
      </c>
      <c r="D8284" s="45" t="str">
        <f t="shared" si="23"/>
        <v/>
      </c>
      <c r="E8284" s="45" t="str">
        <f t="shared" si="24"/>
        <v/>
      </c>
      <c r="F8284" s="59" t="str">
        <f t="shared" si="25"/>
        <v/>
      </c>
      <c r="G8284" s="59" t="str">
        <f t="shared" si="26"/>
        <v/>
      </c>
      <c r="H8284" s="59" t="str">
        <f t="shared" si="27"/>
        <v>28C02410</v>
      </c>
      <c r="I8284" s="59" t="str">
        <f>IF(OR($A8284="",$C8284="",$D8284="",$E8284="",$H8284=""),"",SUMIFS(DATA_GOC!$H:$H,DATA_GOC!$A:$A,"BOM",DATA_GOC!$D:$D,$H8284,DATA_GOC!$E:$E,$C8284,DATA_GOC!$F:$F,"Xuất nội bộ từ téc",DATA_GOC!$B:$B,"&gt;="&amp;$D8284,DATA_GOC!$B:$B,"&lt;="&amp;$E8284))</f>
        <v/>
      </c>
      <c r="J8284" s="59">
        <f t="shared" si="28"/>
        <v>0</v>
      </c>
      <c r="K8284" s="59">
        <f t="shared" si="29"/>
        <v>0</v>
      </c>
      <c r="L8284" s="59">
        <f t="shared" si="30"/>
        <v>0</v>
      </c>
      <c r="M8284" s="59">
        <f t="shared" si="31"/>
        <v>0</v>
      </c>
    </row>
    <row r="8285" ht="15.0" hidden="1" customHeight="1">
      <c r="A8285" s="59">
        <f t="shared" si="20"/>
        <v>135</v>
      </c>
      <c r="B8285" s="59" t="str">
        <f t="shared" si="21"/>
        <v/>
      </c>
      <c r="C8285" s="59" t="str">
        <f t="shared" si="22"/>
        <v/>
      </c>
      <c r="D8285" s="45" t="str">
        <f t="shared" si="23"/>
        <v/>
      </c>
      <c r="E8285" s="45" t="str">
        <f t="shared" si="24"/>
        <v/>
      </c>
      <c r="F8285" s="59" t="str">
        <f t="shared" si="25"/>
        <v/>
      </c>
      <c r="G8285" s="59" t="str">
        <f t="shared" si="26"/>
        <v/>
      </c>
      <c r="H8285" s="59" t="str">
        <f t="shared" si="27"/>
        <v>28C02545</v>
      </c>
      <c r="I8285" s="59" t="str">
        <f>IF(OR($A8285="",$C8285="",$D8285="",$E8285="",$H8285=""),"",SUMIFS(DATA_GOC!$H:$H,DATA_GOC!$A:$A,"BOM",DATA_GOC!$D:$D,$H8285,DATA_GOC!$E:$E,$C8285,DATA_GOC!$F:$F,"Xuất nội bộ từ téc",DATA_GOC!$B:$B,"&gt;="&amp;$D8285,DATA_GOC!$B:$B,"&lt;="&amp;$E8285))</f>
        <v/>
      </c>
      <c r="J8285" s="59">
        <f t="shared" si="28"/>
        <v>0</v>
      </c>
      <c r="K8285" s="59">
        <f t="shared" si="29"/>
        <v>0</v>
      </c>
      <c r="L8285" s="59">
        <f t="shared" si="30"/>
        <v>0</v>
      </c>
      <c r="M8285" s="59">
        <f t="shared" si="31"/>
        <v>0</v>
      </c>
    </row>
    <row r="8286" ht="15.0" hidden="1" customHeight="1">
      <c r="A8286" s="59">
        <f t="shared" si="20"/>
        <v>135</v>
      </c>
      <c r="B8286" s="59" t="str">
        <f t="shared" si="21"/>
        <v/>
      </c>
      <c r="C8286" s="59" t="str">
        <f t="shared" si="22"/>
        <v/>
      </c>
      <c r="D8286" s="45" t="str">
        <f t="shared" si="23"/>
        <v/>
      </c>
      <c r="E8286" s="45" t="str">
        <f t="shared" si="24"/>
        <v/>
      </c>
      <c r="F8286" s="59" t="str">
        <f t="shared" si="25"/>
        <v/>
      </c>
      <c r="G8286" s="59" t="str">
        <f t="shared" si="26"/>
        <v/>
      </c>
      <c r="H8286" s="59" t="str">
        <f t="shared" si="27"/>
        <v>28C02574</v>
      </c>
      <c r="I8286" s="59" t="str">
        <f>IF(OR($A8286="",$C8286="",$D8286="",$E8286="",$H8286=""),"",SUMIFS(DATA_GOC!$H:$H,DATA_GOC!$A:$A,"BOM",DATA_GOC!$D:$D,$H8286,DATA_GOC!$E:$E,$C8286,DATA_GOC!$F:$F,"Xuất nội bộ từ téc",DATA_GOC!$B:$B,"&gt;="&amp;$D8286,DATA_GOC!$B:$B,"&lt;="&amp;$E8286))</f>
        <v/>
      </c>
      <c r="J8286" s="59">
        <f t="shared" si="28"/>
        <v>0</v>
      </c>
      <c r="K8286" s="59">
        <f t="shared" si="29"/>
        <v>0</v>
      </c>
      <c r="L8286" s="59">
        <f t="shared" si="30"/>
        <v>0</v>
      </c>
      <c r="M8286" s="59">
        <f t="shared" si="31"/>
        <v>0</v>
      </c>
    </row>
    <row r="8287" ht="15.0" hidden="1" customHeight="1">
      <c r="A8287" s="59">
        <f t="shared" si="20"/>
        <v>135</v>
      </c>
      <c r="B8287" s="59" t="str">
        <f t="shared" si="21"/>
        <v/>
      </c>
      <c r="C8287" s="59" t="str">
        <f t="shared" si="22"/>
        <v/>
      </c>
      <c r="D8287" s="45" t="str">
        <f t="shared" si="23"/>
        <v/>
      </c>
      <c r="E8287" s="45" t="str">
        <f t="shared" si="24"/>
        <v/>
      </c>
      <c r="F8287" s="59" t="str">
        <f t="shared" si="25"/>
        <v/>
      </c>
      <c r="G8287" s="59" t="str">
        <f t="shared" si="26"/>
        <v/>
      </c>
      <c r="H8287" s="59" t="str">
        <f t="shared" si="27"/>
        <v>28C02770</v>
      </c>
      <c r="I8287" s="59" t="str">
        <f>IF(OR($A8287="",$C8287="",$D8287="",$E8287="",$H8287=""),"",SUMIFS(DATA_GOC!$H:$H,DATA_GOC!$A:$A,"BOM",DATA_GOC!$D:$D,$H8287,DATA_GOC!$E:$E,$C8287,DATA_GOC!$F:$F,"Xuất nội bộ từ téc",DATA_GOC!$B:$B,"&gt;="&amp;$D8287,DATA_GOC!$B:$B,"&lt;="&amp;$E8287))</f>
        <v/>
      </c>
      <c r="J8287" s="59">
        <f t="shared" si="28"/>
        <v>0</v>
      </c>
      <c r="K8287" s="59">
        <f t="shared" si="29"/>
        <v>0</v>
      </c>
      <c r="L8287" s="59">
        <f t="shared" si="30"/>
        <v>0</v>
      </c>
      <c r="M8287" s="59">
        <f t="shared" si="31"/>
        <v>0</v>
      </c>
    </row>
    <row r="8288" ht="15.0" hidden="1" customHeight="1">
      <c r="A8288" s="59">
        <f t="shared" si="20"/>
        <v>135</v>
      </c>
      <c r="B8288" s="59" t="str">
        <f t="shared" si="21"/>
        <v/>
      </c>
      <c r="C8288" s="59" t="str">
        <f t="shared" si="22"/>
        <v/>
      </c>
      <c r="D8288" s="45" t="str">
        <f t="shared" si="23"/>
        <v/>
      </c>
      <c r="E8288" s="45" t="str">
        <f t="shared" si="24"/>
        <v/>
      </c>
      <c r="F8288" s="59" t="str">
        <f t="shared" si="25"/>
        <v/>
      </c>
      <c r="G8288" s="59" t="str">
        <f t="shared" si="26"/>
        <v/>
      </c>
      <c r="H8288" s="59" t="str">
        <f t="shared" si="27"/>
        <v>28C02986</v>
      </c>
      <c r="I8288" s="59" t="str">
        <f>IF(OR($A8288="",$C8288="",$D8288="",$E8288="",$H8288=""),"",SUMIFS(DATA_GOC!$H:$H,DATA_GOC!$A:$A,"BOM",DATA_GOC!$D:$D,$H8288,DATA_GOC!$E:$E,$C8288,DATA_GOC!$F:$F,"Xuất nội bộ từ téc",DATA_GOC!$B:$B,"&gt;="&amp;$D8288,DATA_GOC!$B:$B,"&lt;="&amp;$E8288))</f>
        <v/>
      </c>
      <c r="J8288" s="59">
        <f t="shared" si="28"/>
        <v>0</v>
      </c>
      <c r="K8288" s="59">
        <f t="shared" si="29"/>
        <v>0</v>
      </c>
      <c r="L8288" s="59">
        <f t="shared" si="30"/>
        <v>0</v>
      </c>
      <c r="M8288" s="59">
        <f t="shared" si="31"/>
        <v>0</v>
      </c>
    </row>
    <row r="8289" ht="15.0" hidden="1" customHeight="1">
      <c r="A8289" s="59">
        <f t="shared" si="20"/>
        <v>135</v>
      </c>
      <c r="B8289" s="59" t="str">
        <f t="shared" si="21"/>
        <v/>
      </c>
      <c r="C8289" s="59" t="str">
        <f t="shared" si="22"/>
        <v/>
      </c>
      <c r="D8289" s="45" t="str">
        <f t="shared" si="23"/>
        <v/>
      </c>
      <c r="E8289" s="45" t="str">
        <f t="shared" si="24"/>
        <v/>
      </c>
      <c r="F8289" s="59" t="str">
        <f t="shared" si="25"/>
        <v/>
      </c>
      <c r="G8289" s="59" t="str">
        <f t="shared" si="26"/>
        <v/>
      </c>
      <c r="H8289" s="59" t="str">
        <f t="shared" si="27"/>
        <v>28C03261</v>
      </c>
      <c r="I8289" s="59" t="str">
        <f>IF(OR($A8289="",$C8289="",$D8289="",$E8289="",$H8289=""),"",SUMIFS(DATA_GOC!$H:$H,DATA_GOC!$A:$A,"BOM",DATA_GOC!$D:$D,$H8289,DATA_GOC!$E:$E,$C8289,DATA_GOC!$F:$F,"Xuất nội bộ từ téc",DATA_GOC!$B:$B,"&gt;="&amp;$D8289,DATA_GOC!$B:$B,"&lt;="&amp;$E8289))</f>
        <v/>
      </c>
      <c r="J8289" s="59">
        <f t="shared" si="28"/>
        <v>0</v>
      </c>
      <c r="K8289" s="59">
        <f t="shared" si="29"/>
        <v>0</v>
      </c>
      <c r="L8289" s="59">
        <f t="shared" si="30"/>
        <v>0</v>
      </c>
      <c r="M8289" s="59">
        <f t="shared" si="31"/>
        <v>0</v>
      </c>
    </row>
    <row r="8290" ht="15.0" hidden="1" customHeight="1">
      <c r="A8290" s="59">
        <f t="shared" si="20"/>
        <v>135</v>
      </c>
      <c r="B8290" s="59" t="str">
        <f t="shared" si="21"/>
        <v/>
      </c>
      <c r="C8290" s="59" t="str">
        <f t="shared" si="22"/>
        <v/>
      </c>
      <c r="D8290" s="45" t="str">
        <f t="shared" si="23"/>
        <v/>
      </c>
      <c r="E8290" s="45" t="str">
        <f t="shared" si="24"/>
        <v/>
      </c>
      <c r="F8290" s="59" t="str">
        <f t="shared" si="25"/>
        <v/>
      </c>
      <c r="G8290" s="59" t="str">
        <f t="shared" si="26"/>
        <v/>
      </c>
      <c r="H8290" s="59" t="str">
        <f t="shared" si="27"/>
        <v>28C03323</v>
      </c>
      <c r="I8290" s="59" t="str">
        <f>IF(OR($A8290="",$C8290="",$D8290="",$E8290="",$H8290=""),"",SUMIFS(DATA_GOC!$H:$H,DATA_GOC!$A:$A,"BOM",DATA_GOC!$D:$D,$H8290,DATA_GOC!$E:$E,$C8290,DATA_GOC!$F:$F,"Xuất nội bộ từ téc",DATA_GOC!$B:$B,"&gt;="&amp;$D8290,DATA_GOC!$B:$B,"&lt;="&amp;$E8290))</f>
        <v/>
      </c>
      <c r="J8290" s="59">
        <f t="shared" si="28"/>
        <v>0</v>
      </c>
      <c r="K8290" s="59">
        <f t="shared" si="29"/>
        <v>0</v>
      </c>
      <c r="L8290" s="59">
        <f t="shared" si="30"/>
        <v>0</v>
      </c>
      <c r="M8290" s="59">
        <f t="shared" si="31"/>
        <v>0</v>
      </c>
    </row>
    <row r="8291" ht="15.0" hidden="1" customHeight="1">
      <c r="A8291" s="59">
        <f t="shared" si="20"/>
        <v>135</v>
      </c>
      <c r="B8291" s="59" t="str">
        <f t="shared" si="21"/>
        <v/>
      </c>
      <c r="C8291" s="59" t="str">
        <f t="shared" si="22"/>
        <v/>
      </c>
      <c r="D8291" s="45" t="str">
        <f t="shared" si="23"/>
        <v/>
      </c>
      <c r="E8291" s="45" t="str">
        <f t="shared" si="24"/>
        <v/>
      </c>
      <c r="F8291" s="59" t="str">
        <f t="shared" si="25"/>
        <v/>
      </c>
      <c r="G8291" s="59" t="str">
        <f t="shared" si="26"/>
        <v/>
      </c>
      <c r="H8291" s="59" t="str">
        <f t="shared" si="27"/>
        <v>28C03385</v>
      </c>
      <c r="I8291" s="59" t="str">
        <f>IF(OR($A8291="",$C8291="",$D8291="",$E8291="",$H8291=""),"",SUMIFS(DATA_GOC!$H:$H,DATA_GOC!$A:$A,"BOM",DATA_GOC!$D:$D,$H8291,DATA_GOC!$E:$E,$C8291,DATA_GOC!$F:$F,"Xuất nội bộ từ téc",DATA_GOC!$B:$B,"&gt;="&amp;$D8291,DATA_GOC!$B:$B,"&lt;="&amp;$E8291))</f>
        <v/>
      </c>
      <c r="J8291" s="59">
        <f t="shared" si="28"/>
        <v>0</v>
      </c>
      <c r="K8291" s="59">
        <f t="shared" si="29"/>
        <v>0</v>
      </c>
      <c r="L8291" s="59">
        <f t="shared" si="30"/>
        <v>0</v>
      </c>
      <c r="M8291" s="59">
        <f t="shared" si="31"/>
        <v>0</v>
      </c>
    </row>
    <row r="8292" ht="15.0" hidden="1" customHeight="1">
      <c r="A8292" s="59">
        <f t="shared" si="20"/>
        <v>135</v>
      </c>
      <c r="B8292" s="59" t="str">
        <f t="shared" si="21"/>
        <v/>
      </c>
      <c r="C8292" s="59" t="str">
        <f t="shared" si="22"/>
        <v/>
      </c>
      <c r="D8292" s="45" t="str">
        <f t="shared" si="23"/>
        <v/>
      </c>
      <c r="E8292" s="45" t="str">
        <f t="shared" si="24"/>
        <v/>
      </c>
      <c r="F8292" s="59" t="str">
        <f t="shared" si="25"/>
        <v/>
      </c>
      <c r="G8292" s="59" t="str">
        <f t="shared" si="26"/>
        <v/>
      </c>
      <c r="H8292" s="59" t="str">
        <f t="shared" si="27"/>
        <v>28C03652</v>
      </c>
      <c r="I8292" s="59" t="str">
        <f>IF(OR($A8292="",$C8292="",$D8292="",$E8292="",$H8292=""),"",SUMIFS(DATA_GOC!$H:$H,DATA_GOC!$A:$A,"BOM",DATA_GOC!$D:$D,$H8292,DATA_GOC!$E:$E,$C8292,DATA_GOC!$F:$F,"Xuất nội bộ từ téc",DATA_GOC!$B:$B,"&gt;="&amp;$D8292,DATA_GOC!$B:$B,"&lt;="&amp;$E8292))</f>
        <v/>
      </c>
      <c r="J8292" s="59">
        <f t="shared" si="28"/>
        <v>0</v>
      </c>
      <c r="K8292" s="59">
        <f t="shared" si="29"/>
        <v>0</v>
      </c>
      <c r="L8292" s="59">
        <f t="shared" si="30"/>
        <v>0</v>
      </c>
      <c r="M8292" s="59">
        <f t="shared" si="31"/>
        <v>0</v>
      </c>
    </row>
    <row r="8293" ht="15.0" hidden="1" customHeight="1">
      <c r="A8293" s="59">
        <f t="shared" si="20"/>
        <v>135</v>
      </c>
      <c r="B8293" s="59" t="str">
        <f t="shared" si="21"/>
        <v/>
      </c>
      <c r="C8293" s="59" t="str">
        <f t="shared" si="22"/>
        <v/>
      </c>
      <c r="D8293" s="45" t="str">
        <f t="shared" si="23"/>
        <v/>
      </c>
      <c r="E8293" s="45" t="str">
        <f t="shared" si="24"/>
        <v/>
      </c>
      <c r="F8293" s="59" t="str">
        <f t="shared" si="25"/>
        <v/>
      </c>
      <c r="G8293" s="59" t="str">
        <f t="shared" si="26"/>
        <v/>
      </c>
      <c r="H8293" s="59" t="str">
        <f t="shared" si="27"/>
        <v>28C03695</v>
      </c>
      <c r="I8293" s="59" t="str">
        <f>IF(OR($A8293="",$C8293="",$D8293="",$E8293="",$H8293=""),"",SUMIFS(DATA_GOC!$H:$H,DATA_GOC!$A:$A,"BOM",DATA_GOC!$D:$D,$H8293,DATA_GOC!$E:$E,$C8293,DATA_GOC!$F:$F,"Xuất nội bộ từ téc",DATA_GOC!$B:$B,"&gt;="&amp;$D8293,DATA_GOC!$B:$B,"&lt;="&amp;$E8293))</f>
        <v/>
      </c>
      <c r="J8293" s="59">
        <f t="shared" si="28"/>
        <v>0</v>
      </c>
      <c r="K8293" s="59">
        <f t="shared" si="29"/>
        <v>0</v>
      </c>
      <c r="L8293" s="59">
        <f t="shared" si="30"/>
        <v>0</v>
      </c>
      <c r="M8293" s="59">
        <f t="shared" si="31"/>
        <v>0</v>
      </c>
    </row>
    <row r="8294" ht="15.0" hidden="1" customHeight="1">
      <c r="A8294" s="59">
        <f t="shared" si="20"/>
        <v>135</v>
      </c>
      <c r="B8294" s="59" t="str">
        <f t="shared" si="21"/>
        <v/>
      </c>
      <c r="C8294" s="59" t="str">
        <f t="shared" si="22"/>
        <v/>
      </c>
      <c r="D8294" s="45" t="str">
        <f t="shared" si="23"/>
        <v/>
      </c>
      <c r="E8294" s="45" t="str">
        <f t="shared" si="24"/>
        <v/>
      </c>
      <c r="F8294" s="59" t="str">
        <f t="shared" si="25"/>
        <v/>
      </c>
      <c r="G8294" s="59" t="str">
        <f t="shared" si="26"/>
        <v/>
      </c>
      <c r="H8294" s="59" t="str">
        <f t="shared" si="27"/>
        <v>28C03927</v>
      </c>
      <c r="I8294" s="59" t="str">
        <f>IF(OR($A8294="",$C8294="",$D8294="",$E8294="",$H8294=""),"",SUMIFS(DATA_GOC!$H:$H,DATA_GOC!$A:$A,"BOM",DATA_GOC!$D:$D,$H8294,DATA_GOC!$E:$E,$C8294,DATA_GOC!$F:$F,"Xuất nội bộ từ téc",DATA_GOC!$B:$B,"&gt;="&amp;$D8294,DATA_GOC!$B:$B,"&lt;="&amp;$E8294))</f>
        <v/>
      </c>
      <c r="J8294" s="59">
        <f t="shared" si="28"/>
        <v>0</v>
      </c>
      <c r="K8294" s="59">
        <f t="shared" si="29"/>
        <v>0</v>
      </c>
      <c r="L8294" s="59">
        <f t="shared" si="30"/>
        <v>0</v>
      </c>
      <c r="M8294" s="59">
        <f t="shared" si="31"/>
        <v>0</v>
      </c>
    </row>
    <row r="8295" ht="15.0" hidden="1" customHeight="1">
      <c r="A8295" s="59">
        <f t="shared" si="20"/>
        <v>135</v>
      </c>
      <c r="B8295" s="59" t="str">
        <f t="shared" si="21"/>
        <v/>
      </c>
      <c r="C8295" s="59" t="str">
        <f t="shared" si="22"/>
        <v/>
      </c>
      <c r="D8295" s="45" t="str">
        <f t="shared" si="23"/>
        <v/>
      </c>
      <c r="E8295" s="45" t="str">
        <f t="shared" si="24"/>
        <v/>
      </c>
      <c r="F8295" s="59" t="str">
        <f t="shared" si="25"/>
        <v/>
      </c>
      <c r="G8295" s="59" t="str">
        <f t="shared" si="26"/>
        <v/>
      </c>
      <c r="H8295" s="59" t="str">
        <f t="shared" si="27"/>
        <v>28C04509</v>
      </c>
      <c r="I8295" s="59" t="str">
        <f>IF(OR($A8295="",$C8295="",$D8295="",$E8295="",$H8295=""),"",SUMIFS(DATA_GOC!$H:$H,DATA_GOC!$A:$A,"BOM",DATA_GOC!$D:$D,$H8295,DATA_GOC!$E:$E,$C8295,DATA_GOC!$F:$F,"Xuất nội bộ từ téc",DATA_GOC!$B:$B,"&gt;="&amp;$D8295,DATA_GOC!$B:$B,"&lt;="&amp;$E8295))</f>
        <v/>
      </c>
      <c r="J8295" s="59">
        <f t="shared" si="28"/>
        <v>0</v>
      </c>
      <c r="K8295" s="59">
        <f t="shared" si="29"/>
        <v>0</v>
      </c>
      <c r="L8295" s="59">
        <f t="shared" si="30"/>
        <v>0</v>
      </c>
      <c r="M8295" s="59">
        <f t="shared" si="31"/>
        <v>0</v>
      </c>
    </row>
    <row r="8296" ht="15.0" hidden="1" customHeight="1">
      <c r="A8296" s="59">
        <f t="shared" si="20"/>
        <v>135</v>
      </c>
      <c r="B8296" s="59" t="str">
        <f t="shared" si="21"/>
        <v/>
      </c>
      <c r="C8296" s="59" t="str">
        <f t="shared" si="22"/>
        <v/>
      </c>
      <c r="D8296" s="45" t="str">
        <f t="shared" si="23"/>
        <v/>
      </c>
      <c r="E8296" s="45" t="str">
        <f t="shared" si="24"/>
        <v/>
      </c>
      <c r="F8296" s="59" t="str">
        <f t="shared" si="25"/>
        <v/>
      </c>
      <c r="G8296" s="59" t="str">
        <f t="shared" si="26"/>
        <v/>
      </c>
      <c r="H8296" s="59" t="str">
        <f t="shared" si="27"/>
        <v>28C04536</v>
      </c>
      <c r="I8296" s="59" t="str">
        <f>IF(OR($A8296="",$C8296="",$D8296="",$E8296="",$H8296=""),"",SUMIFS(DATA_GOC!$H:$H,DATA_GOC!$A:$A,"BOM",DATA_GOC!$D:$D,$H8296,DATA_GOC!$E:$E,$C8296,DATA_GOC!$F:$F,"Xuất nội bộ từ téc",DATA_GOC!$B:$B,"&gt;="&amp;$D8296,DATA_GOC!$B:$B,"&lt;="&amp;$E8296))</f>
        <v/>
      </c>
      <c r="J8296" s="59">
        <f t="shared" si="28"/>
        <v>0</v>
      </c>
      <c r="K8296" s="59">
        <f t="shared" si="29"/>
        <v>0</v>
      </c>
      <c r="L8296" s="59">
        <f t="shared" si="30"/>
        <v>0</v>
      </c>
      <c r="M8296" s="59">
        <f t="shared" si="31"/>
        <v>0</v>
      </c>
    </row>
    <row r="8297" ht="15.0" hidden="1" customHeight="1">
      <c r="A8297" s="59">
        <f t="shared" si="20"/>
        <v>135</v>
      </c>
      <c r="B8297" s="59" t="str">
        <f t="shared" si="21"/>
        <v/>
      </c>
      <c r="C8297" s="59" t="str">
        <f t="shared" si="22"/>
        <v/>
      </c>
      <c r="D8297" s="45" t="str">
        <f t="shared" si="23"/>
        <v/>
      </c>
      <c r="E8297" s="45" t="str">
        <f t="shared" si="24"/>
        <v/>
      </c>
      <c r="F8297" s="59" t="str">
        <f t="shared" si="25"/>
        <v/>
      </c>
      <c r="G8297" s="59" t="str">
        <f t="shared" si="26"/>
        <v/>
      </c>
      <c r="H8297" s="59" t="str">
        <f t="shared" si="27"/>
        <v>28C04576</v>
      </c>
      <c r="I8297" s="59" t="str">
        <f>IF(OR($A8297="",$C8297="",$D8297="",$E8297="",$H8297=""),"",SUMIFS(DATA_GOC!$H:$H,DATA_GOC!$A:$A,"BOM",DATA_GOC!$D:$D,$H8297,DATA_GOC!$E:$E,$C8297,DATA_GOC!$F:$F,"Xuất nội bộ từ téc",DATA_GOC!$B:$B,"&gt;="&amp;$D8297,DATA_GOC!$B:$B,"&lt;="&amp;$E8297))</f>
        <v/>
      </c>
      <c r="J8297" s="59">
        <f t="shared" si="28"/>
        <v>0</v>
      </c>
      <c r="K8297" s="59">
        <f t="shared" si="29"/>
        <v>0</v>
      </c>
      <c r="L8297" s="59">
        <f t="shared" si="30"/>
        <v>0</v>
      </c>
      <c r="M8297" s="59">
        <f t="shared" si="31"/>
        <v>0</v>
      </c>
    </row>
    <row r="8298" ht="15.0" hidden="1" customHeight="1">
      <c r="A8298" s="59">
        <f t="shared" si="20"/>
        <v>135</v>
      </c>
      <c r="B8298" s="59" t="str">
        <f t="shared" si="21"/>
        <v/>
      </c>
      <c r="C8298" s="59" t="str">
        <f t="shared" si="22"/>
        <v/>
      </c>
      <c r="D8298" s="45" t="str">
        <f t="shared" si="23"/>
        <v/>
      </c>
      <c r="E8298" s="45" t="str">
        <f t="shared" si="24"/>
        <v/>
      </c>
      <c r="F8298" s="59" t="str">
        <f t="shared" si="25"/>
        <v/>
      </c>
      <c r="G8298" s="59" t="str">
        <f t="shared" si="26"/>
        <v/>
      </c>
      <c r="H8298" s="59" t="str">
        <f t="shared" si="27"/>
        <v>28C05090</v>
      </c>
      <c r="I8298" s="59" t="str">
        <f>IF(OR($A8298="",$C8298="",$D8298="",$E8298="",$H8298=""),"",SUMIFS(DATA_GOC!$H:$H,DATA_GOC!$A:$A,"BOM",DATA_GOC!$D:$D,$H8298,DATA_GOC!$E:$E,$C8298,DATA_GOC!$F:$F,"Xuất nội bộ từ téc",DATA_GOC!$B:$B,"&gt;="&amp;$D8298,DATA_GOC!$B:$B,"&lt;="&amp;$E8298))</f>
        <v/>
      </c>
      <c r="J8298" s="59">
        <f t="shared" si="28"/>
        <v>0</v>
      </c>
      <c r="K8298" s="59">
        <f t="shared" si="29"/>
        <v>0</v>
      </c>
      <c r="L8298" s="59">
        <f t="shared" si="30"/>
        <v>0</v>
      </c>
      <c r="M8298" s="59">
        <f t="shared" si="31"/>
        <v>0</v>
      </c>
    </row>
    <row r="8299" ht="15.0" hidden="1" customHeight="1">
      <c r="A8299" s="59">
        <f t="shared" si="20"/>
        <v>135</v>
      </c>
      <c r="B8299" s="59" t="str">
        <f t="shared" si="21"/>
        <v/>
      </c>
      <c r="C8299" s="59" t="str">
        <f t="shared" si="22"/>
        <v/>
      </c>
      <c r="D8299" s="45" t="str">
        <f t="shared" si="23"/>
        <v/>
      </c>
      <c r="E8299" s="45" t="str">
        <f t="shared" si="24"/>
        <v/>
      </c>
      <c r="F8299" s="59" t="str">
        <f t="shared" si="25"/>
        <v/>
      </c>
      <c r="G8299" s="59" t="str">
        <f t="shared" si="26"/>
        <v/>
      </c>
      <c r="H8299" s="59" t="str">
        <f t="shared" si="27"/>
        <v>28C05345</v>
      </c>
      <c r="I8299" s="59" t="str">
        <f>IF(OR($A8299="",$C8299="",$D8299="",$E8299="",$H8299=""),"",SUMIFS(DATA_GOC!$H:$H,DATA_GOC!$A:$A,"BOM",DATA_GOC!$D:$D,$H8299,DATA_GOC!$E:$E,$C8299,DATA_GOC!$F:$F,"Xuất nội bộ từ téc",DATA_GOC!$B:$B,"&gt;="&amp;$D8299,DATA_GOC!$B:$B,"&lt;="&amp;$E8299))</f>
        <v/>
      </c>
      <c r="J8299" s="59">
        <f t="shared" si="28"/>
        <v>0</v>
      </c>
      <c r="K8299" s="59">
        <f t="shared" si="29"/>
        <v>0</v>
      </c>
      <c r="L8299" s="59">
        <f t="shared" si="30"/>
        <v>0</v>
      </c>
      <c r="M8299" s="59">
        <f t="shared" si="31"/>
        <v>0</v>
      </c>
    </row>
    <row r="8300" ht="15.0" hidden="1" customHeight="1">
      <c r="A8300" s="59">
        <f t="shared" si="20"/>
        <v>135</v>
      </c>
      <c r="B8300" s="59" t="str">
        <f t="shared" si="21"/>
        <v/>
      </c>
      <c r="C8300" s="59" t="str">
        <f t="shared" si="22"/>
        <v/>
      </c>
      <c r="D8300" s="45" t="str">
        <f t="shared" si="23"/>
        <v/>
      </c>
      <c r="E8300" s="45" t="str">
        <f t="shared" si="24"/>
        <v/>
      </c>
      <c r="F8300" s="59" t="str">
        <f t="shared" si="25"/>
        <v/>
      </c>
      <c r="G8300" s="59" t="str">
        <f t="shared" si="26"/>
        <v/>
      </c>
      <c r="H8300" s="59" t="str">
        <f t="shared" si="27"/>
        <v>28C05661</v>
      </c>
      <c r="I8300" s="59" t="str">
        <f>IF(OR($A8300="",$C8300="",$D8300="",$E8300="",$H8300=""),"",SUMIFS(DATA_GOC!$H:$H,DATA_GOC!$A:$A,"BOM",DATA_GOC!$D:$D,$H8300,DATA_GOC!$E:$E,$C8300,DATA_GOC!$F:$F,"Xuất nội bộ từ téc",DATA_GOC!$B:$B,"&gt;="&amp;$D8300,DATA_GOC!$B:$B,"&lt;="&amp;$E8300))</f>
        <v/>
      </c>
      <c r="J8300" s="59">
        <f t="shared" si="28"/>
        <v>0</v>
      </c>
      <c r="K8300" s="59">
        <f t="shared" si="29"/>
        <v>0</v>
      </c>
      <c r="L8300" s="59">
        <f t="shared" si="30"/>
        <v>0</v>
      </c>
      <c r="M8300" s="59">
        <f t="shared" si="31"/>
        <v>0</v>
      </c>
    </row>
    <row r="8301" ht="15.0" hidden="1" customHeight="1">
      <c r="A8301" s="59">
        <f t="shared" si="20"/>
        <v>135</v>
      </c>
      <c r="B8301" s="59" t="str">
        <f t="shared" si="21"/>
        <v/>
      </c>
      <c r="C8301" s="59" t="str">
        <f t="shared" si="22"/>
        <v/>
      </c>
      <c r="D8301" s="45" t="str">
        <f t="shared" si="23"/>
        <v/>
      </c>
      <c r="E8301" s="45" t="str">
        <f t="shared" si="24"/>
        <v/>
      </c>
      <c r="F8301" s="59" t="str">
        <f t="shared" si="25"/>
        <v/>
      </c>
      <c r="G8301" s="59" t="str">
        <f t="shared" si="26"/>
        <v/>
      </c>
      <c r="H8301" s="59" t="str">
        <f t="shared" si="27"/>
        <v>28C05739</v>
      </c>
      <c r="I8301" s="59" t="str">
        <f>IF(OR($A8301="",$C8301="",$D8301="",$E8301="",$H8301=""),"",SUMIFS(DATA_GOC!$H:$H,DATA_GOC!$A:$A,"BOM",DATA_GOC!$D:$D,$H8301,DATA_GOC!$E:$E,$C8301,DATA_GOC!$F:$F,"Xuất nội bộ từ téc",DATA_GOC!$B:$B,"&gt;="&amp;$D8301,DATA_GOC!$B:$B,"&lt;="&amp;$E8301))</f>
        <v/>
      </c>
      <c r="J8301" s="59">
        <f t="shared" si="28"/>
        <v>0</v>
      </c>
      <c r="K8301" s="59">
        <f t="shared" si="29"/>
        <v>0</v>
      </c>
      <c r="L8301" s="59">
        <f t="shared" si="30"/>
        <v>0</v>
      </c>
      <c r="M8301" s="59">
        <f t="shared" si="31"/>
        <v>0</v>
      </c>
    </row>
    <row r="8302" ht="15.0" hidden="1" customHeight="1">
      <c r="A8302" s="59">
        <f t="shared" si="20"/>
        <v>135</v>
      </c>
      <c r="B8302" s="59" t="str">
        <f t="shared" si="21"/>
        <v/>
      </c>
      <c r="C8302" s="59" t="str">
        <f t="shared" si="22"/>
        <v/>
      </c>
      <c r="D8302" s="45" t="str">
        <f t="shared" si="23"/>
        <v/>
      </c>
      <c r="E8302" s="45" t="str">
        <f t="shared" si="24"/>
        <v/>
      </c>
      <c r="F8302" s="59" t="str">
        <f t="shared" si="25"/>
        <v/>
      </c>
      <c r="G8302" s="59" t="str">
        <f t="shared" si="26"/>
        <v/>
      </c>
      <c r="H8302" s="59" t="str">
        <f t="shared" si="27"/>
        <v>28C06369</v>
      </c>
      <c r="I8302" s="59" t="str">
        <f>IF(OR($A8302="",$C8302="",$D8302="",$E8302="",$H8302=""),"",SUMIFS(DATA_GOC!$H:$H,DATA_GOC!$A:$A,"BOM",DATA_GOC!$D:$D,$H8302,DATA_GOC!$E:$E,$C8302,DATA_GOC!$F:$F,"Xuất nội bộ từ téc",DATA_GOC!$B:$B,"&gt;="&amp;$D8302,DATA_GOC!$B:$B,"&lt;="&amp;$E8302))</f>
        <v/>
      </c>
      <c r="J8302" s="59">
        <f t="shared" si="28"/>
        <v>0</v>
      </c>
      <c r="K8302" s="59">
        <f t="shared" si="29"/>
        <v>0</v>
      </c>
      <c r="L8302" s="59">
        <f t="shared" si="30"/>
        <v>0</v>
      </c>
      <c r="M8302" s="59">
        <f t="shared" si="31"/>
        <v>0</v>
      </c>
    </row>
    <row r="8303" ht="15.0" hidden="1" customHeight="1">
      <c r="A8303" s="59">
        <f t="shared" si="20"/>
        <v>135</v>
      </c>
      <c r="B8303" s="59" t="str">
        <f t="shared" si="21"/>
        <v/>
      </c>
      <c r="C8303" s="59" t="str">
        <f t="shared" si="22"/>
        <v/>
      </c>
      <c r="D8303" s="45" t="str">
        <f t="shared" si="23"/>
        <v/>
      </c>
      <c r="E8303" s="45" t="str">
        <f t="shared" si="24"/>
        <v/>
      </c>
      <c r="F8303" s="59" t="str">
        <f t="shared" si="25"/>
        <v/>
      </c>
      <c r="G8303" s="59" t="str">
        <f t="shared" si="26"/>
        <v/>
      </c>
      <c r="H8303" s="59" t="str">
        <f t="shared" si="27"/>
        <v>28C06447</v>
      </c>
      <c r="I8303" s="59" t="str">
        <f>IF(OR($A8303="",$C8303="",$D8303="",$E8303="",$H8303=""),"",SUMIFS(DATA_GOC!$H:$H,DATA_GOC!$A:$A,"BOM",DATA_GOC!$D:$D,$H8303,DATA_GOC!$E:$E,$C8303,DATA_GOC!$F:$F,"Xuất nội bộ từ téc",DATA_GOC!$B:$B,"&gt;="&amp;$D8303,DATA_GOC!$B:$B,"&lt;="&amp;$E8303))</f>
        <v/>
      </c>
      <c r="J8303" s="59">
        <f t="shared" si="28"/>
        <v>0</v>
      </c>
      <c r="K8303" s="59">
        <f t="shared" si="29"/>
        <v>0</v>
      </c>
      <c r="L8303" s="59">
        <f t="shared" si="30"/>
        <v>0</v>
      </c>
      <c r="M8303" s="59">
        <f t="shared" si="31"/>
        <v>0</v>
      </c>
    </row>
    <row r="8304" ht="15.0" hidden="1" customHeight="1">
      <c r="A8304" s="59">
        <f t="shared" si="20"/>
        <v>135</v>
      </c>
      <c r="B8304" s="59" t="str">
        <f t="shared" si="21"/>
        <v/>
      </c>
      <c r="C8304" s="59" t="str">
        <f t="shared" si="22"/>
        <v/>
      </c>
      <c r="D8304" s="45" t="str">
        <f t="shared" si="23"/>
        <v/>
      </c>
      <c r="E8304" s="45" t="str">
        <f t="shared" si="24"/>
        <v/>
      </c>
      <c r="F8304" s="59" t="str">
        <f t="shared" si="25"/>
        <v/>
      </c>
      <c r="G8304" s="59" t="str">
        <f t="shared" si="26"/>
        <v/>
      </c>
      <c r="H8304" s="59" t="str">
        <f t="shared" si="27"/>
        <v>28H00003</v>
      </c>
      <c r="I8304" s="59" t="str">
        <f>IF(OR($A8304="",$C8304="",$D8304="",$E8304="",$H8304=""),"",SUMIFS(DATA_GOC!$H:$H,DATA_GOC!$A:$A,"BOM",DATA_GOC!$D:$D,$H8304,DATA_GOC!$E:$E,$C8304,DATA_GOC!$F:$F,"Xuất nội bộ từ téc",DATA_GOC!$B:$B,"&gt;="&amp;$D8304,DATA_GOC!$B:$B,"&lt;="&amp;$E8304))</f>
        <v/>
      </c>
      <c r="J8304" s="59">
        <f t="shared" si="28"/>
        <v>0</v>
      </c>
      <c r="K8304" s="59">
        <f t="shared" si="29"/>
        <v>0</v>
      </c>
      <c r="L8304" s="59">
        <f t="shared" si="30"/>
        <v>0</v>
      </c>
      <c r="M8304" s="59">
        <f t="shared" si="31"/>
        <v>0</v>
      </c>
    </row>
    <row r="8305" ht="15.0" hidden="1" customHeight="1">
      <c r="A8305" s="59">
        <f t="shared" si="20"/>
        <v>135</v>
      </c>
      <c r="B8305" s="59" t="str">
        <f t="shared" si="21"/>
        <v/>
      </c>
      <c r="C8305" s="59" t="str">
        <f t="shared" si="22"/>
        <v/>
      </c>
      <c r="D8305" s="45" t="str">
        <f t="shared" si="23"/>
        <v/>
      </c>
      <c r="E8305" s="45" t="str">
        <f t="shared" si="24"/>
        <v/>
      </c>
      <c r="F8305" s="59" t="str">
        <f t="shared" si="25"/>
        <v/>
      </c>
      <c r="G8305" s="59" t="str">
        <f t="shared" si="26"/>
        <v/>
      </c>
      <c r="H8305" s="59" t="str">
        <f t="shared" si="27"/>
        <v>28H00061</v>
      </c>
      <c r="I8305" s="59" t="str">
        <f>IF(OR($A8305="",$C8305="",$D8305="",$E8305="",$H8305=""),"",SUMIFS(DATA_GOC!$H:$H,DATA_GOC!$A:$A,"BOM",DATA_GOC!$D:$D,$H8305,DATA_GOC!$E:$E,$C8305,DATA_GOC!$F:$F,"Xuất nội bộ từ téc",DATA_GOC!$B:$B,"&gt;="&amp;$D8305,DATA_GOC!$B:$B,"&lt;="&amp;$E8305))</f>
        <v/>
      </c>
      <c r="J8305" s="59">
        <f t="shared" si="28"/>
        <v>0</v>
      </c>
      <c r="K8305" s="59">
        <f t="shared" si="29"/>
        <v>0</v>
      </c>
      <c r="L8305" s="59">
        <f t="shared" si="30"/>
        <v>0</v>
      </c>
      <c r="M8305" s="59">
        <f t="shared" si="31"/>
        <v>0</v>
      </c>
    </row>
    <row r="8306" ht="15.0" hidden="1" customHeight="1">
      <c r="A8306" s="59">
        <f t="shared" si="20"/>
        <v>135</v>
      </c>
      <c r="B8306" s="59" t="str">
        <f t="shared" si="21"/>
        <v/>
      </c>
      <c r="C8306" s="59" t="str">
        <f t="shared" si="22"/>
        <v/>
      </c>
      <c r="D8306" s="45" t="str">
        <f t="shared" si="23"/>
        <v/>
      </c>
      <c r="E8306" s="45" t="str">
        <f t="shared" si="24"/>
        <v/>
      </c>
      <c r="F8306" s="59" t="str">
        <f t="shared" si="25"/>
        <v/>
      </c>
      <c r="G8306" s="59" t="str">
        <f t="shared" si="26"/>
        <v/>
      </c>
      <c r="H8306" s="59" t="str">
        <f t="shared" si="27"/>
        <v>28H00354</v>
      </c>
      <c r="I8306" s="59" t="str">
        <f>IF(OR($A8306="",$C8306="",$D8306="",$E8306="",$H8306=""),"",SUMIFS(DATA_GOC!$H:$H,DATA_GOC!$A:$A,"BOM",DATA_GOC!$D:$D,$H8306,DATA_GOC!$E:$E,$C8306,DATA_GOC!$F:$F,"Xuất nội bộ từ téc",DATA_GOC!$B:$B,"&gt;="&amp;$D8306,DATA_GOC!$B:$B,"&lt;="&amp;$E8306))</f>
        <v/>
      </c>
      <c r="J8306" s="59">
        <f t="shared" si="28"/>
        <v>0</v>
      </c>
      <c r="K8306" s="59">
        <f t="shared" si="29"/>
        <v>0</v>
      </c>
      <c r="L8306" s="59">
        <f t="shared" si="30"/>
        <v>0</v>
      </c>
      <c r="M8306" s="59">
        <f t="shared" si="31"/>
        <v>0</v>
      </c>
    </row>
    <row r="8307" ht="15.0" hidden="1" customHeight="1">
      <c r="A8307" s="59">
        <f t="shared" si="20"/>
        <v>135</v>
      </c>
      <c r="B8307" s="59" t="str">
        <f t="shared" si="21"/>
        <v/>
      </c>
      <c r="C8307" s="59" t="str">
        <f t="shared" si="22"/>
        <v/>
      </c>
      <c r="D8307" s="45" t="str">
        <f t="shared" si="23"/>
        <v/>
      </c>
      <c r="E8307" s="45" t="str">
        <f t="shared" si="24"/>
        <v/>
      </c>
      <c r="F8307" s="59" t="str">
        <f t="shared" si="25"/>
        <v/>
      </c>
      <c r="G8307" s="59" t="str">
        <f t="shared" si="26"/>
        <v/>
      </c>
      <c r="H8307" s="59" t="str">
        <f t="shared" si="27"/>
        <v>28H00603</v>
      </c>
      <c r="I8307" s="59" t="str">
        <f>IF(OR($A8307="",$C8307="",$D8307="",$E8307="",$H8307=""),"",SUMIFS(DATA_GOC!$H:$H,DATA_GOC!$A:$A,"BOM",DATA_GOC!$D:$D,$H8307,DATA_GOC!$E:$E,$C8307,DATA_GOC!$F:$F,"Xuất nội bộ từ téc",DATA_GOC!$B:$B,"&gt;="&amp;$D8307,DATA_GOC!$B:$B,"&lt;="&amp;$E8307))</f>
        <v/>
      </c>
      <c r="J8307" s="59">
        <f t="shared" si="28"/>
        <v>0</v>
      </c>
      <c r="K8307" s="59">
        <f t="shared" si="29"/>
        <v>0</v>
      </c>
      <c r="L8307" s="59">
        <f t="shared" si="30"/>
        <v>0</v>
      </c>
      <c r="M8307" s="59">
        <f t="shared" si="31"/>
        <v>0</v>
      </c>
    </row>
    <row r="8308" ht="15.0" hidden="1" customHeight="1">
      <c r="A8308" s="59">
        <f t="shared" si="20"/>
        <v>135</v>
      </c>
      <c r="B8308" s="59" t="str">
        <f t="shared" si="21"/>
        <v/>
      </c>
      <c r="C8308" s="59" t="str">
        <f t="shared" si="22"/>
        <v/>
      </c>
      <c r="D8308" s="45" t="str">
        <f t="shared" si="23"/>
        <v/>
      </c>
      <c r="E8308" s="45" t="str">
        <f t="shared" si="24"/>
        <v/>
      </c>
      <c r="F8308" s="59" t="str">
        <f t="shared" si="25"/>
        <v/>
      </c>
      <c r="G8308" s="59" t="str">
        <f t="shared" si="26"/>
        <v/>
      </c>
      <c r="H8308" s="59" t="str">
        <f t="shared" si="27"/>
        <v>28H00609</v>
      </c>
      <c r="I8308" s="59" t="str">
        <f>IF(OR($A8308="",$C8308="",$D8308="",$E8308="",$H8308=""),"",SUMIFS(DATA_GOC!$H:$H,DATA_GOC!$A:$A,"BOM",DATA_GOC!$D:$D,$H8308,DATA_GOC!$E:$E,$C8308,DATA_GOC!$F:$F,"Xuất nội bộ từ téc",DATA_GOC!$B:$B,"&gt;="&amp;$D8308,DATA_GOC!$B:$B,"&lt;="&amp;$E8308))</f>
        <v/>
      </c>
      <c r="J8308" s="59">
        <f t="shared" si="28"/>
        <v>0</v>
      </c>
      <c r="K8308" s="59">
        <f t="shared" si="29"/>
        <v>0</v>
      </c>
      <c r="L8308" s="59">
        <f t="shared" si="30"/>
        <v>0</v>
      </c>
      <c r="M8308" s="59">
        <f t="shared" si="31"/>
        <v>0</v>
      </c>
    </row>
    <row r="8309" ht="15.0" hidden="1" customHeight="1">
      <c r="A8309" s="59">
        <f t="shared" si="20"/>
        <v>135</v>
      </c>
      <c r="B8309" s="59" t="str">
        <f t="shared" si="21"/>
        <v/>
      </c>
      <c r="C8309" s="59" t="str">
        <f t="shared" si="22"/>
        <v/>
      </c>
      <c r="D8309" s="45" t="str">
        <f t="shared" si="23"/>
        <v/>
      </c>
      <c r="E8309" s="45" t="str">
        <f t="shared" si="24"/>
        <v/>
      </c>
      <c r="F8309" s="59" t="str">
        <f t="shared" si="25"/>
        <v/>
      </c>
      <c r="G8309" s="59" t="str">
        <f t="shared" si="26"/>
        <v/>
      </c>
      <c r="H8309" s="59" t="str">
        <f t="shared" si="27"/>
        <v>28H00669</v>
      </c>
      <c r="I8309" s="59" t="str">
        <f>IF(OR($A8309="",$C8309="",$D8309="",$E8309="",$H8309=""),"",SUMIFS(DATA_GOC!$H:$H,DATA_GOC!$A:$A,"BOM",DATA_GOC!$D:$D,$H8309,DATA_GOC!$E:$E,$C8309,DATA_GOC!$F:$F,"Xuất nội bộ từ téc",DATA_GOC!$B:$B,"&gt;="&amp;$D8309,DATA_GOC!$B:$B,"&lt;="&amp;$E8309))</f>
        <v/>
      </c>
      <c r="J8309" s="59">
        <f t="shared" si="28"/>
        <v>0</v>
      </c>
      <c r="K8309" s="59">
        <f t="shared" si="29"/>
        <v>0</v>
      </c>
      <c r="L8309" s="59">
        <f t="shared" si="30"/>
        <v>0</v>
      </c>
      <c r="M8309" s="59">
        <f t="shared" si="31"/>
        <v>0</v>
      </c>
    </row>
    <row r="8310" ht="15.0" hidden="1" customHeight="1">
      <c r="A8310" s="59">
        <f t="shared" si="20"/>
        <v>135</v>
      </c>
      <c r="B8310" s="59" t="str">
        <f t="shared" si="21"/>
        <v/>
      </c>
      <c r="C8310" s="59" t="str">
        <f t="shared" si="22"/>
        <v/>
      </c>
      <c r="D8310" s="45" t="str">
        <f t="shared" si="23"/>
        <v/>
      </c>
      <c r="E8310" s="45" t="str">
        <f t="shared" si="24"/>
        <v/>
      </c>
      <c r="F8310" s="59" t="str">
        <f t="shared" si="25"/>
        <v/>
      </c>
      <c r="G8310" s="59" t="str">
        <f t="shared" si="26"/>
        <v/>
      </c>
      <c r="H8310" s="59" t="str">
        <f t="shared" si="27"/>
        <v>28H00680</v>
      </c>
      <c r="I8310" s="59" t="str">
        <f>IF(OR($A8310="",$C8310="",$D8310="",$E8310="",$H8310=""),"",SUMIFS(DATA_GOC!$H:$H,DATA_GOC!$A:$A,"BOM",DATA_GOC!$D:$D,$H8310,DATA_GOC!$E:$E,$C8310,DATA_GOC!$F:$F,"Xuất nội bộ từ téc",DATA_GOC!$B:$B,"&gt;="&amp;$D8310,DATA_GOC!$B:$B,"&lt;="&amp;$E8310))</f>
        <v/>
      </c>
      <c r="J8310" s="59">
        <f t="shared" si="28"/>
        <v>0</v>
      </c>
      <c r="K8310" s="59">
        <f t="shared" si="29"/>
        <v>0</v>
      </c>
      <c r="L8310" s="59">
        <f t="shared" si="30"/>
        <v>0</v>
      </c>
      <c r="M8310" s="59">
        <f t="shared" si="31"/>
        <v>0</v>
      </c>
    </row>
    <row r="8311" ht="15.0" hidden="1" customHeight="1">
      <c r="A8311" s="59">
        <f t="shared" si="20"/>
        <v>135</v>
      </c>
      <c r="B8311" s="59" t="str">
        <f t="shared" si="21"/>
        <v/>
      </c>
      <c r="C8311" s="59" t="str">
        <f t="shared" si="22"/>
        <v/>
      </c>
      <c r="D8311" s="45" t="str">
        <f t="shared" si="23"/>
        <v/>
      </c>
      <c r="E8311" s="45" t="str">
        <f t="shared" si="24"/>
        <v/>
      </c>
      <c r="F8311" s="59" t="str">
        <f t="shared" si="25"/>
        <v/>
      </c>
      <c r="G8311" s="59" t="str">
        <f t="shared" si="26"/>
        <v/>
      </c>
      <c r="H8311" s="59" t="str">
        <f t="shared" si="27"/>
        <v>28H01070</v>
      </c>
      <c r="I8311" s="59" t="str">
        <f>IF(OR($A8311="",$C8311="",$D8311="",$E8311="",$H8311=""),"",SUMIFS(DATA_GOC!$H:$H,DATA_GOC!$A:$A,"BOM",DATA_GOC!$D:$D,$H8311,DATA_GOC!$E:$E,$C8311,DATA_GOC!$F:$F,"Xuất nội bộ từ téc",DATA_GOC!$B:$B,"&gt;="&amp;$D8311,DATA_GOC!$B:$B,"&lt;="&amp;$E8311))</f>
        <v/>
      </c>
      <c r="J8311" s="59">
        <f t="shared" si="28"/>
        <v>0</v>
      </c>
      <c r="K8311" s="59">
        <f t="shared" si="29"/>
        <v>0</v>
      </c>
      <c r="L8311" s="59">
        <f t="shared" si="30"/>
        <v>0</v>
      </c>
      <c r="M8311" s="59">
        <f t="shared" si="31"/>
        <v>0</v>
      </c>
    </row>
    <row r="8312" ht="15.0" hidden="1" customHeight="1">
      <c r="A8312" s="59">
        <f t="shared" si="20"/>
        <v>135</v>
      </c>
      <c r="B8312" s="59" t="str">
        <f t="shared" si="21"/>
        <v/>
      </c>
      <c r="C8312" s="59" t="str">
        <f t="shared" si="22"/>
        <v/>
      </c>
      <c r="D8312" s="45" t="str">
        <f t="shared" si="23"/>
        <v/>
      </c>
      <c r="E8312" s="45" t="str">
        <f t="shared" si="24"/>
        <v/>
      </c>
      <c r="F8312" s="59" t="str">
        <f t="shared" si="25"/>
        <v/>
      </c>
      <c r="G8312" s="59" t="str">
        <f t="shared" si="26"/>
        <v/>
      </c>
      <c r="H8312" s="59" t="str">
        <f t="shared" si="27"/>
        <v>28H01364</v>
      </c>
      <c r="I8312" s="59" t="str">
        <f>IF(OR($A8312="",$C8312="",$D8312="",$E8312="",$H8312=""),"",SUMIFS(DATA_GOC!$H:$H,DATA_GOC!$A:$A,"BOM",DATA_GOC!$D:$D,$H8312,DATA_GOC!$E:$E,$C8312,DATA_GOC!$F:$F,"Xuất nội bộ từ téc",DATA_GOC!$B:$B,"&gt;="&amp;$D8312,DATA_GOC!$B:$B,"&lt;="&amp;$E8312))</f>
        <v/>
      </c>
      <c r="J8312" s="59">
        <f t="shared" si="28"/>
        <v>0</v>
      </c>
      <c r="K8312" s="59">
        <f t="shared" si="29"/>
        <v>0</v>
      </c>
      <c r="L8312" s="59">
        <f t="shared" si="30"/>
        <v>0</v>
      </c>
      <c r="M8312" s="59">
        <f t="shared" si="31"/>
        <v>0</v>
      </c>
    </row>
    <row r="8313" ht="15.0" hidden="1" customHeight="1">
      <c r="A8313" s="59">
        <f t="shared" si="20"/>
        <v>135</v>
      </c>
      <c r="B8313" s="59" t="str">
        <f t="shared" si="21"/>
        <v/>
      </c>
      <c r="C8313" s="59" t="str">
        <f t="shared" si="22"/>
        <v/>
      </c>
      <c r="D8313" s="45" t="str">
        <f t="shared" si="23"/>
        <v/>
      </c>
      <c r="E8313" s="45" t="str">
        <f t="shared" si="24"/>
        <v/>
      </c>
      <c r="F8313" s="59" t="str">
        <f t="shared" si="25"/>
        <v/>
      </c>
      <c r="G8313" s="59" t="str">
        <f t="shared" si="26"/>
        <v/>
      </c>
      <c r="H8313" s="59" t="str">
        <f t="shared" si="27"/>
        <v>29E17269</v>
      </c>
      <c r="I8313" s="59" t="str">
        <f>IF(OR($A8313="",$C8313="",$D8313="",$E8313="",$H8313=""),"",SUMIFS(DATA_GOC!$H:$H,DATA_GOC!$A:$A,"BOM",DATA_GOC!$D:$D,$H8313,DATA_GOC!$E:$E,$C8313,DATA_GOC!$F:$F,"Xuất nội bộ từ téc",DATA_GOC!$B:$B,"&gt;="&amp;$D8313,DATA_GOC!$B:$B,"&lt;="&amp;$E8313))</f>
        <v/>
      </c>
      <c r="J8313" s="59">
        <f t="shared" si="28"/>
        <v>0</v>
      </c>
      <c r="K8313" s="59">
        <f t="shared" si="29"/>
        <v>0</v>
      </c>
      <c r="L8313" s="59">
        <f t="shared" si="30"/>
        <v>0</v>
      </c>
      <c r="M8313" s="59">
        <f t="shared" si="31"/>
        <v>0</v>
      </c>
    </row>
    <row r="8314" ht="15.0" hidden="1" customHeight="1">
      <c r="A8314" s="59">
        <f t="shared" si="20"/>
        <v>135</v>
      </c>
      <c r="B8314" s="59" t="str">
        <f t="shared" si="21"/>
        <v/>
      </c>
      <c r="C8314" s="59" t="str">
        <f t="shared" si="22"/>
        <v/>
      </c>
      <c r="D8314" s="45" t="str">
        <f t="shared" si="23"/>
        <v/>
      </c>
      <c r="E8314" s="45" t="str">
        <f t="shared" si="24"/>
        <v/>
      </c>
      <c r="F8314" s="59" t="str">
        <f t="shared" si="25"/>
        <v/>
      </c>
      <c r="G8314" s="59" t="str">
        <f t="shared" si="26"/>
        <v/>
      </c>
      <c r="H8314" s="59" t="str">
        <f t="shared" si="27"/>
        <v>29E17273</v>
      </c>
      <c r="I8314" s="59" t="str">
        <f>IF(OR($A8314="",$C8314="",$D8314="",$E8314="",$H8314=""),"",SUMIFS(DATA_GOC!$H:$H,DATA_GOC!$A:$A,"BOM",DATA_GOC!$D:$D,$H8314,DATA_GOC!$E:$E,$C8314,DATA_GOC!$F:$F,"Xuất nội bộ từ téc",DATA_GOC!$B:$B,"&gt;="&amp;$D8314,DATA_GOC!$B:$B,"&lt;="&amp;$E8314))</f>
        <v/>
      </c>
      <c r="J8314" s="59">
        <f t="shared" si="28"/>
        <v>0</v>
      </c>
      <c r="K8314" s="59">
        <f t="shared" si="29"/>
        <v>0</v>
      </c>
      <c r="L8314" s="59">
        <f t="shared" si="30"/>
        <v>0</v>
      </c>
      <c r="M8314" s="59">
        <f t="shared" si="31"/>
        <v>0</v>
      </c>
    </row>
    <row r="8315" ht="15.0" hidden="1" customHeight="1">
      <c r="A8315" s="59">
        <f t="shared" si="20"/>
        <v>135</v>
      </c>
      <c r="B8315" s="59" t="str">
        <f t="shared" si="21"/>
        <v/>
      </c>
      <c r="C8315" s="59" t="str">
        <f t="shared" si="22"/>
        <v/>
      </c>
      <c r="D8315" s="45" t="str">
        <f t="shared" si="23"/>
        <v/>
      </c>
      <c r="E8315" s="45" t="str">
        <f t="shared" si="24"/>
        <v/>
      </c>
      <c r="F8315" s="59" t="str">
        <f t="shared" si="25"/>
        <v/>
      </c>
      <c r="G8315" s="59" t="str">
        <f t="shared" si="26"/>
        <v/>
      </c>
      <c r="H8315" s="59" t="str">
        <f t="shared" si="27"/>
        <v>29E17410</v>
      </c>
      <c r="I8315" s="59" t="str">
        <f>IF(OR($A8315="",$C8315="",$D8315="",$E8315="",$H8315=""),"",SUMIFS(DATA_GOC!$H:$H,DATA_GOC!$A:$A,"BOM",DATA_GOC!$D:$D,$H8315,DATA_GOC!$E:$E,$C8315,DATA_GOC!$F:$F,"Xuất nội bộ từ téc",DATA_GOC!$B:$B,"&gt;="&amp;$D8315,DATA_GOC!$B:$B,"&lt;="&amp;$E8315))</f>
        <v/>
      </c>
      <c r="J8315" s="59">
        <f t="shared" si="28"/>
        <v>0</v>
      </c>
      <c r="K8315" s="59">
        <f t="shared" si="29"/>
        <v>0</v>
      </c>
      <c r="L8315" s="59">
        <f t="shared" si="30"/>
        <v>0</v>
      </c>
      <c r="M8315" s="59">
        <f t="shared" si="31"/>
        <v>0</v>
      </c>
    </row>
    <row r="8316" ht="15.0" hidden="1" customHeight="1">
      <c r="A8316" s="59">
        <f t="shared" si="20"/>
        <v>135</v>
      </c>
      <c r="B8316" s="59" t="str">
        <f t="shared" si="21"/>
        <v/>
      </c>
      <c r="C8316" s="59" t="str">
        <f t="shared" si="22"/>
        <v/>
      </c>
      <c r="D8316" s="45" t="str">
        <f t="shared" si="23"/>
        <v/>
      </c>
      <c r="E8316" s="45" t="str">
        <f t="shared" si="24"/>
        <v/>
      </c>
      <c r="F8316" s="59" t="str">
        <f t="shared" si="25"/>
        <v/>
      </c>
      <c r="G8316" s="59" t="str">
        <f t="shared" si="26"/>
        <v/>
      </c>
      <c r="H8316" s="59" t="str">
        <f t="shared" si="27"/>
        <v>29E17417</v>
      </c>
      <c r="I8316" s="59" t="str">
        <f>IF(OR($A8316="",$C8316="",$D8316="",$E8316="",$H8316=""),"",SUMIFS(DATA_GOC!$H:$H,DATA_GOC!$A:$A,"BOM",DATA_GOC!$D:$D,$H8316,DATA_GOC!$E:$E,$C8316,DATA_GOC!$F:$F,"Xuất nội bộ từ téc",DATA_GOC!$B:$B,"&gt;="&amp;$D8316,DATA_GOC!$B:$B,"&lt;="&amp;$E8316))</f>
        <v/>
      </c>
      <c r="J8316" s="59">
        <f t="shared" si="28"/>
        <v>0</v>
      </c>
      <c r="K8316" s="59">
        <f t="shared" si="29"/>
        <v>0</v>
      </c>
      <c r="L8316" s="59">
        <f t="shared" si="30"/>
        <v>0</v>
      </c>
      <c r="M8316" s="59">
        <f t="shared" si="31"/>
        <v>0</v>
      </c>
    </row>
    <row r="8317" ht="15.0" hidden="1" customHeight="1">
      <c r="A8317" s="59">
        <f t="shared" si="20"/>
        <v>135</v>
      </c>
      <c r="B8317" s="59" t="str">
        <f t="shared" si="21"/>
        <v/>
      </c>
      <c r="C8317" s="59" t="str">
        <f t="shared" si="22"/>
        <v/>
      </c>
      <c r="D8317" s="45" t="str">
        <f t="shared" si="23"/>
        <v/>
      </c>
      <c r="E8317" s="45" t="str">
        <f t="shared" si="24"/>
        <v/>
      </c>
      <c r="F8317" s="59" t="str">
        <f t="shared" si="25"/>
        <v/>
      </c>
      <c r="G8317" s="59" t="str">
        <f t="shared" si="26"/>
        <v/>
      </c>
      <c r="H8317" s="59" t="str">
        <f t="shared" si="27"/>
        <v>29E17539</v>
      </c>
      <c r="I8317" s="59" t="str">
        <f>IF(OR($A8317="",$C8317="",$D8317="",$E8317="",$H8317=""),"",SUMIFS(DATA_GOC!$H:$H,DATA_GOC!$A:$A,"BOM",DATA_GOC!$D:$D,$H8317,DATA_GOC!$E:$E,$C8317,DATA_GOC!$F:$F,"Xuất nội bộ từ téc",DATA_GOC!$B:$B,"&gt;="&amp;$D8317,DATA_GOC!$B:$B,"&lt;="&amp;$E8317))</f>
        <v/>
      </c>
      <c r="J8317" s="59">
        <f t="shared" si="28"/>
        <v>0</v>
      </c>
      <c r="K8317" s="59">
        <f t="shared" si="29"/>
        <v>0</v>
      </c>
      <c r="L8317" s="59">
        <f t="shared" si="30"/>
        <v>0</v>
      </c>
      <c r="M8317" s="59">
        <f t="shared" si="31"/>
        <v>0</v>
      </c>
    </row>
    <row r="8318" ht="15.0" hidden="1" customHeight="1">
      <c r="A8318" s="59">
        <f t="shared" si="20"/>
        <v>135</v>
      </c>
      <c r="B8318" s="59" t="str">
        <f t="shared" si="21"/>
        <v/>
      </c>
      <c r="C8318" s="59" t="str">
        <f t="shared" si="22"/>
        <v/>
      </c>
      <c r="D8318" s="45" t="str">
        <f t="shared" si="23"/>
        <v/>
      </c>
      <c r="E8318" s="45" t="str">
        <f t="shared" si="24"/>
        <v/>
      </c>
      <c r="F8318" s="59" t="str">
        <f t="shared" si="25"/>
        <v/>
      </c>
      <c r="G8318" s="59" t="str">
        <f t="shared" si="26"/>
        <v/>
      </c>
      <c r="H8318" s="59" t="str">
        <f t="shared" si="27"/>
        <v>29E18160</v>
      </c>
      <c r="I8318" s="59" t="str">
        <f>IF(OR($A8318="",$C8318="",$D8318="",$E8318="",$H8318=""),"",SUMIFS(DATA_GOC!$H:$H,DATA_GOC!$A:$A,"BOM",DATA_GOC!$D:$D,$H8318,DATA_GOC!$E:$E,$C8318,DATA_GOC!$F:$F,"Xuất nội bộ từ téc",DATA_GOC!$B:$B,"&gt;="&amp;$D8318,DATA_GOC!$B:$B,"&lt;="&amp;$E8318))</f>
        <v/>
      </c>
      <c r="J8318" s="59">
        <f t="shared" si="28"/>
        <v>0</v>
      </c>
      <c r="K8318" s="59">
        <f t="shared" si="29"/>
        <v>0</v>
      </c>
      <c r="L8318" s="59">
        <f t="shared" si="30"/>
        <v>0</v>
      </c>
      <c r="M8318" s="59">
        <f t="shared" si="31"/>
        <v>0</v>
      </c>
    </row>
    <row r="8319" ht="15.0" hidden="1" customHeight="1">
      <c r="A8319" s="59">
        <f t="shared" si="20"/>
        <v>135</v>
      </c>
      <c r="B8319" s="59" t="str">
        <f t="shared" si="21"/>
        <v/>
      </c>
      <c r="C8319" s="59" t="str">
        <f t="shared" si="22"/>
        <v/>
      </c>
      <c r="D8319" s="45" t="str">
        <f t="shared" si="23"/>
        <v/>
      </c>
      <c r="E8319" s="45" t="str">
        <f t="shared" si="24"/>
        <v/>
      </c>
      <c r="F8319" s="59" t="str">
        <f t="shared" si="25"/>
        <v/>
      </c>
      <c r="G8319" s="59" t="str">
        <f t="shared" si="26"/>
        <v/>
      </c>
      <c r="H8319" s="59" t="str">
        <f t="shared" si="27"/>
        <v>Công trình Asphalt</v>
      </c>
      <c r="I8319" s="59" t="str">
        <f>IF(OR($A8319="",$C8319="",$D8319="",$E8319="",$H8319=""),"",SUMIFS(DATA_GOC!$H:$H,DATA_GOC!$A:$A,"BOM",DATA_GOC!$D:$D,$H8319,DATA_GOC!$E:$E,$C8319,DATA_GOC!$F:$F,"Xuất nội bộ từ téc",DATA_GOC!$B:$B,"&gt;="&amp;$D8319,DATA_GOC!$B:$B,"&lt;="&amp;$E8319))</f>
        <v/>
      </c>
      <c r="J8319" s="59">
        <f t="shared" si="28"/>
        <v>0</v>
      </c>
      <c r="K8319" s="59">
        <f t="shared" si="29"/>
        <v>0</v>
      </c>
      <c r="L8319" s="59">
        <f t="shared" si="30"/>
        <v>0</v>
      </c>
      <c r="M8319" s="59">
        <f t="shared" si="31"/>
        <v>0</v>
      </c>
    </row>
    <row r="8320" ht="15.0" hidden="1" customHeight="1">
      <c r="A8320" s="59">
        <f t="shared" si="20"/>
        <v>135</v>
      </c>
      <c r="B8320" s="59" t="str">
        <f t="shared" si="21"/>
        <v/>
      </c>
      <c r="C8320" s="59" t="str">
        <f t="shared" si="22"/>
        <v/>
      </c>
      <c r="D8320" s="45" t="str">
        <f t="shared" si="23"/>
        <v/>
      </c>
      <c r="E8320" s="45" t="str">
        <f t="shared" si="24"/>
        <v/>
      </c>
      <c r="F8320" s="59" t="str">
        <f t="shared" si="25"/>
        <v/>
      </c>
      <c r="G8320" s="59" t="str">
        <f t="shared" si="26"/>
        <v/>
      </c>
      <c r="H8320" s="59" t="str">
        <f t="shared" si="27"/>
        <v>LG53F</v>
      </c>
      <c r="I8320" s="59" t="str">
        <f>IF(OR($A8320="",$C8320="",$D8320="",$E8320="",$H8320=""),"",SUMIFS(DATA_GOC!$H:$H,DATA_GOC!$A:$A,"BOM",DATA_GOC!$D:$D,$H8320,DATA_GOC!$E:$E,$C8320,DATA_GOC!$F:$F,"Xuất nội bộ từ téc",DATA_GOC!$B:$B,"&gt;="&amp;$D8320,DATA_GOC!$B:$B,"&lt;="&amp;$E8320))</f>
        <v/>
      </c>
      <c r="J8320" s="59">
        <f t="shared" si="28"/>
        <v>0</v>
      </c>
      <c r="K8320" s="59">
        <f t="shared" si="29"/>
        <v>0</v>
      </c>
      <c r="L8320" s="59">
        <f t="shared" si="30"/>
        <v>0</v>
      </c>
      <c r="M8320" s="59">
        <f t="shared" si="31"/>
        <v>0</v>
      </c>
    </row>
    <row r="8321" ht="15.0" hidden="1" customHeight="1">
      <c r="A8321" s="59">
        <f t="shared" si="20"/>
        <v>135</v>
      </c>
      <c r="B8321" s="59" t="str">
        <f t="shared" si="21"/>
        <v/>
      </c>
      <c r="C8321" s="59" t="str">
        <f t="shared" si="22"/>
        <v/>
      </c>
      <c r="D8321" s="45" t="str">
        <f t="shared" si="23"/>
        <v/>
      </c>
      <c r="E8321" s="45" t="str">
        <f t="shared" si="24"/>
        <v/>
      </c>
      <c r="F8321" s="59" t="str">
        <f t="shared" si="25"/>
        <v/>
      </c>
      <c r="G8321" s="59" t="str">
        <f t="shared" si="26"/>
        <v/>
      </c>
      <c r="H8321" s="59" t="str">
        <f t="shared" si="27"/>
        <v>Máy phát điện</v>
      </c>
      <c r="I8321" s="59" t="str">
        <f>IF(OR($A8321="",$C8321="",$D8321="",$E8321="",$H8321=""),"",SUMIFS(DATA_GOC!$H:$H,DATA_GOC!$A:$A,"BOM",DATA_GOC!$D:$D,$H8321,DATA_GOC!$E:$E,$C8321,DATA_GOC!$F:$F,"Xuất nội bộ từ téc",DATA_GOC!$B:$B,"&gt;="&amp;$D8321,DATA_GOC!$B:$B,"&lt;="&amp;$E8321))</f>
        <v/>
      </c>
      <c r="J8321" s="59">
        <f t="shared" si="28"/>
        <v>0</v>
      </c>
      <c r="K8321" s="59">
        <f t="shared" si="29"/>
        <v>0</v>
      </c>
      <c r="L8321" s="59">
        <f t="shared" si="30"/>
        <v>0</v>
      </c>
      <c r="M8321" s="59">
        <f t="shared" si="31"/>
        <v>0</v>
      </c>
    </row>
    <row r="8322" ht="15.0" hidden="1" customHeight="1">
      <c r="A8322" s="59">
        <f t="shared" si="20"/>
        <v>135</v>
      </c>
      <c r="B8322" s="59" t="str">
        <f t="shared" si="21"/>
        <v/>
      </c>
      <c r="C8322" s="59" t="str">
        <f t="shared" si="22"/>
        <v/>
      </c>
      <c r="D8322" s="45" t="str">
        <f t="shared" si="23"/>
        <v/>
      </c>
      <c r="E8322" s="45" t="str">
        <f t="shared" si="24"/>
        <v/>
      </c>
      <c r="F8322" s="59" t="str">
        <f t="shared" si="25"/>
        <v/>
      </c>
      <c r="G8322" s="59" t="str">
        <f t="shared" si="26"/>
        <v/>
      </c>
      <c r="H8322" s="59" t="str">
        <f t="shared" si="27"/>
        <v>Máy rải thảm</v>
      </c>
      <c r="I8322" s="59" t="str">
        <f>IF(OR($A8322="",$C8322="",$D8322="",$E8322="",$H8322=""),"",SUMIFS(DATA_GOC!$H:$H,DATA_GOC!$A:$A,"BOM",DATA_GOC!$D:$D,$H8322,DATA_GOC!$E:$E,$C8322,DATA_GOC!$F:$F,"Xuất nội bộ từ téc",DATA_GOC!$B:$B,"&gt;="&amp;$D8322,DATA_GOC!$B:$B,"&lt;="&amp;$E8322))</f>
        <v/>
      </c>
      <c r="J8322" s="59">
        <f t="shared" si="28"/>
        <v>0</v>
      </c>
      <c r="K8322" s="59">
        <f t="shared" si="29"/>
        <v>0</v>
      </c>
      <c r="L8322" s="59">
        <f t="shared" si="30"/>
        <v>0</v>
      </c>
      <c r="M8322" s="59">
        <f t="shared" si="31"/>
        <v>0</v>
      </c>
    </row>
    <row r="8323" ht="15.0" hidden="1" customHeight="1">
      <c r="A8323" s="59">
        <f t="shared" si="20"/>
        <v>135</v>
      </c>
      <c r="B8323" s="59" t="str">
        <f t="shared" si="21"/>
        <v/>
      </c>
      <c r="C8323" s="59" t="str">
        <f t="shared" si="22"/>
        <v/>
      </c>
      <c r="D8323" s="45" t="str">
        <f t="shared" si="23"/>
        <v/>
      </c>
      <c r="E8323" s="45" t="str">
        <f t="shared" si="24"/>
        <v/>
      </c>
      <c r="F8323" s="59" t="str">
        <f t="shared" si="25"/>
        <v/>
      </c>
      <c r="G8323" s="59" t="str">
        <f t="shared" si="26"/>
        <v/>
      </c>
      <c r="H8323" s="59" t="str">
        <f t="shared" si="27"/>
        <v>Xúc Đào</v>
      </c>
      <c r="I8323" s="59" t="str">
        <f>IF(OR($A8323="",$C8323="",$D8323="",$E8323="",$H8323=""),"",SUMIFS(DATA_GOC!$H:$H,DATA_GOC!$A:$A,"BOM",DATA_GOC!$D:$D,$H8323,DATA_GOC!$E:$E,$C8323,DATA_GOC!$F:$F,"Xuất nội bộ từ téc",DATA_GOC!$B:$B,"&gt;="&amp;$D8323,DATA_GOC!$B:$B,"&lt;="&amp;$E8323))</f>
        <v/>
      </c>
      <c r="J8323" s="59">
        <f t="shared" si="28"/>
        <v>0</v>
      </c>
      <c r="K8323" s="59">
        <f t="shared" si="29"/>
        <v>0</v>
      </c>
      <c r="L8323" s="59">
        <f t="shared" si="30"/>
        <v>0</v>
      </c>
      <c r="M8323" s="59">
        <f t="shared" si="31"/>
        <v>0</v>
      </c>
    </row>
    <row r="8324" ht="15.0" hidden="1" customHeight="1">
      <c r="A8324" s="59">
        <f t="shared" si="20"/>
        <v>135</v>
      </c>
      <c r="B8324" s="59" t="str">
        <f t="shared" si="21"/>
        <v/>
      </c>
      <c r="C8324" s="59" t="str">
        <f t="shared" si="22"/>
        <v/>
      </c>
      <c r="D8324" s="45" t="str">
        <f t="shared" si="23"/>
        <v/>
      </c>
      <c r="E8324" s="45" t="str">
        <f t="shared" si="24"/>
        <v/>
      </c>
      <c r="F8324" s="59" t="str">
        <f t="shared" si="25"/>
        <v/>
      </c>
      <c r="G8324" s="59" t="str">
        <f t="shared" si="26"/>
        <v/>
      </c>
      <c r="H8324" s="59" t="str">
        <f t="shared" si="27"/>
        <v>Xúclật asphalt</v>
      </c>
      <c r="I8324" s="59" t="str">
        <f>IF(OR($A8324="",$C8324="",$D8324="",$E8324="",$H8324=""),"",SUMIFS(DATA_GOC!$H:$H,DATA_GOC!$A:$A,"BOM",DATA_GOC!$D:$D,$H8324,DATA_GOC!$E:$E,$C8324,DATA_GOC!$F:$F,"Xuất nội bộ từ téc",DATA_GOC!$B:$B,"&gt;="&amp;$D8324,DATA_GOC!$B:$B,"&lt;="&amp;$E8324))</f>
        <v/>
      </c>
      <c r="J8324" s="59">
        <f t="shared" si="28"/>
        <v>0</v>
      </c>
      <c r="K8324" s="59">
        <f t="shared" si="29"/>
        <v>0</v>
      </c>
      <c r="L8324" s="59">
        <f t="shared" si="30"/>
        <v>0</v>
      </c>
      <c r="M8324" s="59">
        <f t="shared" si="31"/>
        <v>0</v>
      </c>
    </row>
    <row r="8325" ht="15.0" hidden="1" customHeight="1">
      <c r="A8325" s="59">
        <f t="shared" si="20"/>
        <v>135</v>
      </c>
      <c r="B8325" s="59" t="str">
        <f t="shared" si="21"/>
        <v/>
      </c>
      <c r="C8325" s="59" t="str">
        <f t="shared" si="22"/>
        <v/>
      </c>
      <c r="D8325" s="45" t="str">
        <f t="shared" si="23"/>
        <v/>
      </c>
      <c r="E8325" s="45" t="str">
        <f t="shared" si="24"/>
        <v/>
      </c>
      <c r="F8325" s="59" t="str">
        <f t="shared" si="25"/>
        <v/>
      </c>
      <c r="G8325" s="59" t="str">
        <f t="shared" si="26"/>
        <v/>
      </c>
      <c r="H8325" s="59" t="str">
        <f t="shared" si="27"/>
        <v>Xúclật855H</v>
      </c>
      <c r="I8325" s="59" t="str">
        <f>IF(OR($A8325="",$C8325="",$D8325="",$E8325="",$H8325=""),"",SUMIFS(DATA_GOC!$H:$H,DATA_GOC!$A:$A,"BOM",DATA_GOC!$D:$D,$H8325,DATA_GOC!$E:$E,$C8325,DATA_GOC!$F:$F,"Xuất nội bộ từ téc",DATA_GOC!$B:$B,"&gt;="&amp;$D8325,DATA_GOC!$B:$B,"&lt;="&amp;$E8325))</f>
        <v/>
      </c>
      <c r="J8325" s="59">
        <f t="shared" si="28"/>
        <v>0</v>
      </c>
      <c r="K8325" s="59">
        <f t="shared" si="29"/>
        <v>0</v>
      </c>
      <c r="L8325" s="59">
        <f t="shared" si="30"/>
        <v>0</v>
      </c>
      <c r="M8325" s="59">
        <f t="shared" si="31"/>
        <v>0</v>
      </c>
    </row>
    <row r="8326" ht="15.0" hidden="1" customHeight="1">
      <c r="A8326" s="59">
        <f t="shared" si="20"/>
        <v>135</v>
      </c>
      <c r="B8326" s="59" t="str">
        <f t="shared" si="21"/>
        <v/>
      </c>
      <c r="C8326" s="59" t="str">
        <f t="shared" si="22"/>
        <v/>
      </c>
      <c r="D8326" s="45" t="str">
        <f t="shared" si="23"/>
        <v/>
      </c>
      <c r="E8326" s="45" t="str">
        <f t="shared" si="24"/>
        <v/>
      </c>
      <c r="F8326" s="59" t="str">
        <f t="shared" si="25"/>
        <v/>
      </c>
      <c r="G8326" s="59" t="str">
        <f t="shared" si="26"/>
        <v/>
      </c>
      <c r="H8326" s="59" t="str">
        <f t="shared" si="27"/>
        <v>Xúclật855N</v>
      </c>
      <c r="I8326" s="59" t="str">
        <f>IF(OR($A8326="",$C8326="",$D8326="",$E8326="",$H8326=""),"",SUMIFS(DATA_GOC!$H:$H,DATA_GOC!$A:$A,"BOM",DATA_GOC!$D:$D,$H8326,DATA_GOC!$E:$E,$C8326,DATA_GOC!$F:$F,"Xuất nội bộ từ téc",DATA_GOC!$B:$B,"&gt;="&amp;$D8326,DATA_GOC!$B:$B,"&lt;="&amp;$E8326))</f>
        <v/>
      </c>
      <c r="J8326" s="59">
        <f t="shared" si="28"/>
        <v>0</v>
      </c>
      <c r="K8326" s="59">
        <f t="shared" si="29"/>
        <v>0</v>
      </c>
      <c r="L8326" s="59">
        <f t="shared" si="30"/>
        <v>0</v>
      </c>
      <c r="M8326" s="59">
        <f t="shared" si="31"/>
        <v>0</v>
      </c>
    </row>
    <row r="8327" ht="15.0" hidden="1" customHeight="1">
      <c r="A8327" s="59">
        <f t="shared" si="20"/>
        <v>135</v>
      </c>
      <c r="B8327" s="59" t="str">
        <f t="shared" si="21"/>
        <v/>
      </c>
      <c r="C8327" s="59" t="str">
        <f t="shared" si="22"/>
        <v/>
      </c>
      <c r="D8327" s="45" t="str">
        <f t="shared" si="23"/>
        <v/>
      </c>
      <c r="E8327" s="45" t="str">
        <f t="shared" si="24"/>
        <v/>
      </c>
      <c r="F8327" s="59" t="str">
        <f t="shared" si="25"/>
        <v/>
      </c>
      <c r="G8327" s="59" t="str">
        <f t="shared" si="26"/>
        <v/>
      </c>
      <c r="H8327" s="59" t="str">
        <f t="shared" si="27"/>
        <v>Cát nghiền</v>
      </c>
      <c r="I8327" s="59" t="str">
        <f>IF(OR($A8327="",$C8327="",$D8327="",$E8327="",$H8327=""),"",SUMIFS(DATA_GOC!$H:$H,DATA_GOC!$A:$A,"BOM",DATA_GOC!$D:$D,$H8327,DATA_GOC!$E:$E,$C8327,DATA_GOC!$F:$F,"Xuất nội bộ từ téc",DATA_GOC!$B:$B,"&gt;="&amp;$D8327,DATA_GOC!$B:$B,"&lt;="&amp;$E8327))</f>
        <v/>
      </c>
      <c r="J8327" s="59">
        <f t="shared" si="28"/>
        <v>0</v>
      </c>
      <c r="K8327" s="59">
        <f t="shared" si="29"/>
        <v>0</v>
      </c>
      <c r="L8327" s="59">
        <f t="shared" si="30"/>
        <v>0</v>
      </c>
      <c r="M8327" s="59">
        <f t="shared" si="31"/>
        <v>0</v>
      </c>
    </row>
    <row r="8328" ht="15.0" hidden="1" customHeight="1">
      <c r="A8328" s="59">
        <f t="shared" si="20"/>
        <v>135</v>
      </c>
      <c r="B8328" s="59" t="str">
        <f t="shared" si="21"/>
        <v/>
      </c>
      <c r="C8328" s="59" t="str">
        <f t="shared" si="22"/>
        <v/>
      </c>
      <c r="D8328" s="45" t="str">
        <f t="shared" si="23"/>
        <v/>
      </c>
      <c r="E8328" s="45" t="str">
        <f t="shared" si="24"/>
        <v/>
      </c>
      <c r="F8328" s="59" t="str">
        <f t="shared" si="25"/>
        <v/>
      </c>
      <c r="G8328" s="59" t="str">
        <f t="shared" si="26"/>
        <v/>
      </c>
      <c r="H8328" s="59" t="str">
        <f t="shared" si="27"/>
        <v>28C02973</v>
      </c>
      <c r="I8328" s="59" t="str">
        <f>IF(OR($A8328="",$C8328="",$D8328="",$E8328="",$H8328=""),"",SUMIFS(DATA_GOC!$H:$H,DATA_GOC!$A:$A,"BOM",DATA_GOC!$D:$D,$H8328,DATA_GOC!$E:$E,$C8328,DATA_GOC!$F:$F,"Xuất nội bộ từ téc",DATA_GOC!$B:$B,"&gt;="&amp;$D8328,DATA_GOC!$B:$B,"&lt;="&amp;$E8328))</f>
        <v/>
      </c>
      <c r="J8328" s="59">
        <f t="shared" si="28"/>
        <v>0</v>
      </c>
      <c r="K8328" s="59">
        <f t="shared" si="29"/>
        <v>0</v>
      </c>
      <c r="L8328" s="59">
        <f t="shared" si="30"/>
        <v>0</v>
      </c>
      <c r="M8328" s="59">
        <f t="shared" si="31"/>
        <v>0</v>
      </c>
    </row>
    <row r="8329" ht="15.0" hidden="1" customHeight="1">
      <c r="A8329" s="59">
        <f t="shared" si="20"/>
        <v>135</v>
      </c>
      <c r="B8329" s="59" t="str">
        <f t="shared" si="21"/>
        <v/>
      </c>
      <c r="C8329" s="59" t="str">
        <f t="shared" si="22"/>
        <v/>
      </c>
      <c r="D8329" s="45" t="str">
        <f t="shared" si="23"/>
        <v/>
      </c>
      <c r="E8329" s="45" t="str">
        <f t="shared" si="24"/>
        <v/>
      </c>
      <c r="F8329" s="59" t="str">
        <f t="shared" si="25"/>
        <v/>
      </c>
      <c r="G8329" s="59" t="str">
        <f t="shared" si="26"/>
        <v/>
      </c>
      <c r="H8329" s="59" t="str">
        <f t="shared" si="27"/>
        <v>28C03044</v>
      </c>
      <c r="I8329" s="59" t="str">
        <f>IF(OR($A8329="",$C8329="",$D8329="",$E8329="",$H8329=""),"",SUMIFS(DATA_GOC!$H:$H,DATA_GOC!$A:$A,"BOM",DATA_GOC!$D:$D,$H8329,DATA_GOC!$E:$E,$C8329,DATA_GOC!$F:$F,"Xuất nội bộ từ téc",DATA_GOC!$B:$B,"&gt;="&amp;$D8329,DATA_GOC!$B:$B,"&lt;="&amp;$E8329))</f>
        <v/>
      </c>
      <c r="J8329" s="59">
        <f t="shared" si="28"/>
        <v>0</v>
      </c>
      <c r="K8329" s="59">
        <f t="shared" si="29"/>
        <v>0</v>
      </c>
      <c r="L8329" s="59">
        <f t="shared" si="30"/>
        <v>0</v>
      </c>
      <c r="M8329" s="59">
        <f t="shared" si="31"/>
        <v>0</v>
      </c>
    </row>
    <row r="8330" ht="15.0" hidden="1" customHeight="1">
      <c r="A8330" s="59">
        <f t="shared" si="20"/>
        <v>135</v>
      </c>
      <c r="B8330" s="59" t="str">
        <f t="shared" si="21"/>
        <v/>
      </c>
      <c r="C8330" s="59" t="str">
        <f t="shared" si="22"/>
        <v/>
      </c>
      <c r="D8330" s="45" t="str">
        <f t="shared" si="23"/>
        <v/>
      </c>
      <c r="E8330" s="45" t="str">
        <f t="shared" si="24"/>
        <v/>
      </c>
      <c r="F8330" s="59" t="str">
        <f t="shared" si="25"/>
        <v/>
      </c>
      <c r="G8330" s="59" t="str">
        <f t="shared" si="26"/>
        <v/>
      </c>
      <c r="H8330" s="59" t="str">
        <f t="shared" si="27"/>
        <v>Máy lu lốp</v>
      </c>
      <c r="I8330" s="59" t="str">
        <f>IF(OR($A8330="",$C8330="",$D8330="",$E8330="",$H8330=""),"",SUMIFS(DATA_GOC!$H:$H,DATA_GOC!$A:$A,"BOM",DATA_GOC!$D:$D,$H8330,DATA_GOC!$E:$E,$C8330,DATA_GOC!$F:$F,"Xuất nội bộ từ téc",DATA_GOC!$B:$B,"&gt;="&amp;$D8330,DATA_GOC!$B:$B,"&lt;="&amp;$E8330))</f>
        <v/>
      </c>
      <c r="J8330" s="59">
        <f t="shared" si="28"/>
        <v>0</v>
      </c>
      <c r="K8330" s="59">
        <f t="shared" si="29"/>
        <v>0</v>
      </c>
      <c r="L8330" s="59">
        <f t="shared" si="30"/>
        <v>0</v>
      </c>
      <c r="M8330" s="59">
        <f t="shared" si="31"/>
        <v>0</v>
      </c>
    </row>
    <row r="8331" ht="15.0" hidden="1" customHeight="1">
      <c r="A8331" s="59">
        <f t="shared" si="20"/>
        <v>135</v>
      </c>
      <c r="B8331" s="59" t="str">
        <f t="shared" si="21"/>
        <v/>
      </c>
      <c r="C8331" s="59" t="str">
        <f t="shared" si="22"/>
        <v/>
      </c>
      <c r="D8331" s="45" t="str">
        <f t="shared" si="23"/>
        <v/>
      </c>
      <c r="E8331" s="45" t="str">
        <f t="shared" si="24"/>
        <v/>
      </c>
      <c r="F8331" s="59" t="str">
        <f t="shared" si="25"/>
        <v/>
      </c>
      <c r="G8331" s="59" t="str">
        <f t="shared" si="26"/>
        <v/>
      </c>
      <c r="H8331" s="59" t="str">
        <f t="shared" si="27"/>
        <v>Xe 600148</v>
      </c>
      <c r="I8331" s="59" t="str">
        <f>IF(OR($A8331="",$C8331="",$D8331="",$E8331="",$H8331=""),"",SUMIFS(DATA_GOC!$H:$H,DATA_GOC!$A:$A,"BOM",DATA_GOC!$D:$D,$H8331,DATA_GOC!$E:$E,$C8331,DATA_GOC!$F:$F,"Xuất nội bộ từ téc",DATA_GOC!$B:$B,"&gt;="&amp;$D8331,DATA_GOC!$B:$B,"&lt;="&amp;$E8331))</f>
        <v/>
      </c>
      <c r="J8331" s="59">
        <f t="shared" si="28"/>
        <v>0</v>
      </c>
      <c r="K8331" s="59">
        <f t="shared" si="29"/>
        <v>0</v>
      </c>
      <c r="L8331" s="59">
        <f t="shared" si="30"/>
        <v>0</v>
      </c>
      <c r="M8331" s="59">
        <f t="shared" si="31"/>
        <v>0</v>
      </c>
    </row>
    <row r="8332" ht="15.0" hidden="1" customHeight="1">
      <c r="A8332" s="59">
        <f t="shared" si="20"/>
        <v>135</v>
      </c>
      <c r="B8332" s="59" t="str">
        <f t="shared" si="21"/>
        <v/>
      </c>
      <c r="C8332" s="59" t="str">
        <f t="shared" si="22"/>
        <v/>
      </c>
      <c r="D8332" s="45" t="str">
        <f t="shared" si="23"/>
        <v/>
      </c>
      <c r="E8332" s="45" t="str">
        <f t="shared" si="24"/>
        <v/>
      </c>
      <c r="F8332" s="59" t="str">
        <f t="shared" si="25"/>
        <v/>
      </c>
      <c r="G8332" s="59" t="str">
        <f t="shared" si="26"/>
        <v/>
      </c>
      <c r="H8332" s="59" t="str">
        <f t="shared" si="27"/>
        <v>Xe ben mới</v>
      </c>
      <c r="I8332" s="59" t="str">
        <f>IF(OR($A8332="",$C8332="",$D8332="",$E8332="",$H8332=""),"",SUMIFS(DATA_GOC!$H:$H,DATA_GOC!$A:$A,"BOM",DATA_GOC!$D:$D,$H8332,DATA_GOC!$E:$E,$C8332,DATA_GOC!$F:$F,"Xuất nội bộ từ téc",DATA_GOC!$B:$B,"&gt;="&amp;$D8332,DATA_GOC!$B:$B,"&lt;="&amp;$E8332))</f>
        <v/>
      </c>
      <c r="J8332" s="59">
        <f t="shared" si="28"/>
        <v>0</v>
      </c>
      <c r="K8332" s="59">
        <f t="shared" si="29"/>
        <v>0</v>
      </c>
      <c r="L8332" s="59">
        <f t="shared" si="30"/>
        <v>0</v>
      </c>
      <c r="M8332" s="59">
        <f t="shared" si="31"/>
        <v>0</v>
      </c>
    </row>
    <row r="8333" ht="15.0" hidden="1" customHeight="1">
      <c r="A8333" s="59">
        <f t="shared" si="20"/>
        <v>136</v>
      </c>
      <c r="B8333" s="59" t="str">
        <f t="shared" si="21"/>
        <v/>
      </c>
      <c r="C8333" s="59" t="str">
        <f t="shared" si="22"/>
        <v/>
      </c>
      <c r="D8333" s="45" t="str">
        <f t="shared" si="23"/>
        <v/>
      </c>
      <c r="E8333" s="45" t="str">
        <f t="shared" si="24"/>
        <v/>
      </c>
      <c r="F8333" s="59" t="str">
        <f t="shared" si="25"/>
        <v/>
      </c>
      <c r="G8333" s="59" t="str">
        <f t="shared" si="26"/>
        <v/>
      </c>
      <c r="H8333" s="59" t="str">
        <f t="shared" si="27"/>
        <v>19H09482</v>
      </c>
      <c r="I8333" s="59" t="str">
        <f>IF(OR($A8333="",$C8333="",$D8333="",$E8333="",$H8333=""),"",SUMIFS(DATA_GOC!$H:$H,DATA_GOC!$A:$A,"BOM",DATA_GOC!$D:$D,$H8333,DATA_GOC!$E:$E,$C8333,DATA_GOC!$F:$F,"Xuất nội bộ từ téc",DATA_GOC!$B:$B,"&gt;="&amp;$D8333,DATA_GOC!$B:$B,"&lt;="&amp;$E8333))</f>
        <v/>
      </c>
      <c r="J8333" s="59">
        <f t="shared" si="28"/>
        <v>0</v>
      </c>
      <c r="K8333" s="59">
        <f t="shared" si="29"/>
        <v>0</v>
      </c>
      <c r="L8333" s="59">
        <f t="shared" si="30"/>
        <v>0</v>
      </c>
      <c r="M8333" s="59">
        <f t="shared" si="31"/>
        <v>0</v>
      </c>
    </row>
    <row r="8334" ht="15.0" hidden="1" customHeight="1">
      <c r="A8334" s="59">
        <f t="shared" si="20"/>
        <v>136</v>
      </c>
      <c r="B8334" s="59" t="str">
        <f t="shared" si="21"/>
        <v/>
      </c>
      <c r="C8334" s="59" t="str">
        <f t="shared" si="22"/>
        <v/>
      </c>
      <c r="D8334" s="45" t="str">
        <f t="shared" si="23"/>
        <v/>
      </c>
      <c r="E8334" s="45" t="str">
        <f t="shared" si="24"/>
        <v/>
      </c>
      <c r="F8334" s="59" t="str">
        <f t="shared" si="25"/>
        <v/>
      </c>
      <c r="G8334" s="59" t="str">
        <f t="shared" si="26"/>
        <v/>
      </c>
      <c r="H8334" s="59" t="str">
        <f t="shared" si="27"/>
        <v>28A30696</v>
      </c>
      <c r="I8334" s="59" t="str">
        <f>IF(OR($A8334="",$C8334="",$D8334="",$E8334="",$H8334=""),"",SUMIFS(DATA_GOC!$H:$H,DATA_GOC!$A:$A,"BOM",DATA_GOC!$D:$D,$H8334,DATA_GOC!$E:$E,$C8334,DATA_GOC!$F:$F,"Xuất nội bộ từ téc",DATA_GOC!$B:$B,"&gt;="&amp;$D8334,DATA_GOC!$B:$B,"&lt;="&amp;$E8334))</f>
        <v/>
      </c>
      <c r="J8334" s="59">
        <f t="shared" si="28"/>
        <v>0</v>
      </c>
      <c r="K8334" s="59">
        <f t="shared" si="29"/>
        <v>0</v>
      </c>
      <c r="L8334" s="59">
        <f t="shared" si="30"/>
        <v>0</v>
      </c>
      <c r="M8334" s="59">
        <f t="shared" si="31"/>
        <v>0</v>
      </c>
    </row>
    <row r="8335" ht="15.0" hidden="1" customHeight="1">
      <c r="A8335" s="59">
        <f t="shared" si="20"/>
        <v>136</v>
      </c>
      <c r="B8335" s="59" t="str">
        <f t="shared" si="21"/>
        <v/>
      </c>
      <c r="C8335" s="59" t="str">
        <f t="shared" si="22"/>
        <v/>
      </c>
      <c r="D8335" s="45" t="str">
        <f t="shared" si="23"/>
        <v/>
      </c>
      <c r="E8335" s="45" t="str">
        <f t="shared" si="24"/>
        <v/>
      </c>
      <c r="F8335" s="59" t="str">
        <f t="shared" si="25"/>
        <v/>
      </c>
      <c r="G8335" s="59" t="str">
        <f t="shared" si="26"/>
        <v/>
      </c>
      <c r="H8335" s="59" t="str">
        <f t="shared" si="27"/>
        <v>28C00462</v>
      </c>
      <c r="I8335" s="59" t="str">
        <f>IF(OR($A8335="",$C8335="",$D8335="",$E8335="",$H8335=""),"",SUMIFS(DATA_GOC!$H:$H,DATA_GOC!$A:$A,"BOM",DATA_GOC!$D:$D,$H8335,DATA_GOC!$E:$E,$C8335,DATA_GOC!$F:$F,"Xuất nội bộ từ téc",DATA_GOC!$B:$B,"&gt;="&amp;$D8335,DATA_GOC!$B:$B,"&lt;="&amp;$E8335))</f>
        <v/>
      </c>
      <c r="J8335" s="59">
        <f t="shared" si="28"/>
        <v>0</v>
      </c>
      <c r="K8335" s="59">
        <f t="shared" si="29"/>
        <v>0</v>
      </c>
      <c r="L8335" s="59">
        <f t="shared" si="30"/>
        <v>0</v>
      </c>
      <c r="M8335" s="59">
        <f t="shared" si="31"/>
        <v>0</v>
      </c>
    </row>
    <row r="8336" ht="15.0" hidden="1" customHeight="1">
      <c r="A8336" s="59">
        <f t="shared" si="20"/>
        <v>136</v>
      </c>
      <c r="B8336" s="59" t="str">
        <f t="shared" si="21"/>
        <v/>
      </c>
      <c r="C8336" s="59" t="str">
        <f t="shared" si="22"/>
        <v/>
      </c>
      <c r="D8336" s="45" t="str">
        <f t="shared" si="23"/>
        <v/>
      </c>
      <c r="E8336" s="45" t="str">
        <f t="shared" si="24"/>
        <v/>
      </c>
      <c r="F8336" s="59" t="str">
        <f t="shared" si="25"/>
        <v/>
      </c>
      <c r="G8336" s="59" t="str">
        <f t="shared" si="26"/>
        <v/>
      </c>
      <c r="H8336" s="59" t="str">
        <f t="shared" si="27"/>
        <v>28C01165</v>
      </c>
      <c r="I8336" s="59" t="str">
        <f>IF(OR($A8336="",$C8336="",$D8336="",$E8336="",$H8336=""),"",SUMIFS(DATA_GOC!$H:$H,DATA_GOC!$A:$A,"BOM",DATA_GOC!$D:$D,$H8336,DATA_GOC!$E:$E,$C8336,DATA_GOC!$F:$F,"Xuất nội bộ từ téc",DATA_GOC!$B:$B,"&gt;="&amp;$D8336,DATA_GOC!$B:$B,"&lt;="&amp;$E8336))</f>
        <v/>
      </c>
      <c r="J8336" s="59">
        <f t="shared" si="28"/>
        <v>0</v>
      </c>
      <c r="K8336" s="59">
        <f t="shared" si="29"/>
        <v>0</v>
      </c>
      <c r="L8336" s="59">
        <f t="shared" si="30"/>
        <v>0</v>
      </c>
      <c r="M8336" s="59">
        <f t="shared" si="31"/>
        <v>0</v>
      </c>
    </row>
    <row r="8337" ht="15.0" hidden="1" customHeight="1">
      <c r="A8337" s="59">
        <f t="shared" si="20"/>
        <v>136</v>
      </c>
      <c r="B8337" s="59" t="str">
        <f t="shared" si="21"/>
        <v/>
      </c>
      <c r="C8337" s="59" t="str">
        <f t="shared" si="22"/>
        <v/>
      </c>
      <c r="D8337" s="45" t="str">
        <f t="shared" si="23"/>
        <v/>
      </c>
      <c r="E8337" s="45" t="str">
        <f t="shared" si="24"/>
        <v/>
      </c>
      <c r="F8337" s="59" t="str">
        <f t="shared" si="25"/>
        <v/>
      </c>
      <c r="G8337" s="59" t="str">
        <f t="shared" si="26"/>
        <v/>
      </c>
      <c r="H8337" s="59" t="str">
        <f t="shared" si="27"/>
        <v>28C01406</v>
      </c>
      <c r="I8337" s="59" t="str">
        <f>IF(OR($A8337="",$C8337="",$D8337="",$E8337="",$H8337=""),"",SUMIFS(DATA_GOC!$H:$H,DATA_GOC!$A:$A,"BOM",DATA_GOC!$D:$D,$H8337,DATA_GOC!$E:$E,$C8337,DATA_GOC!$F:$F,"Xuất nội bộ từ téc",DATA_GOC!$B:$B,"&gt;="&amp;$D8337,DATA_GOC!$B:$B,"&lt;="&amp;$E8337))</f>
        <v/>
      </c>
      <c r="J8337" s="59">
        <f t="shared" si="28"/>
        <v>0</v>
      </c>
      <c r="K8337" s="59">
        <f t="shared" si="29"/>
        <v>0</v>
      </c>
      <c r="L8337" s="59">
        <f t="shared" si="30"/>
        <v>0</v>
      </c>
      <c r="M8337" s="59">
        <f t="shared" si="31"/>
        <v>0</v>
      </c>
    </row>
    <row r="8338" ht="15.0" hidden="1" customHeight="1">
      <c r="A8338" s="59">
        <f t="shared" si="20"/>
        <v>136</v>
      </c>
      <c r="B8338" s="59" t="str">
        <f t="shared" si="21"/>
        <v/>
      </c>
      <c r="C8338" s="59" t="str">
        <f t="shared" si="22"/>
        <v/>
      </c>
      <c r="D8338" s="45" t="str">
        <f t="shared" si="23"/>
        <v/>
      </c>
      <c r="E8338" s="45" t="str">
        <f t="shared" si="24"/>
        <v/>
      </c>
      <c r="F8338" s="59" t="str">
        <f t="shared" si="25"/>
        <v/>
      </c>
      <c r="G8338" s="59" t="str">
        <f t="shared" si="26"/>
        <v/>
      </c>
      <c r="H8338" s="59" t="str">
        <f t="shared" si="27"/>
        <v>28C01544</v>
      </c>
      <c r="I8338" s="59" t="str">
        <f>IF(OR($A8338="",$C8338="",$D8338="",$E8338="",$H8338=""),"",SUMIFS(DATA_GOC!$H:$H,DATA_GOC!$A:$A,"BOM",DATA_GOC!$D:$D,$H8338,DATA_GOC!$E:$E,$C8338,DATA_GOC!$F:$F,"Xuất nội bộ từ téc",DATA_GOC!$B:$B,"&gt;="&amp;$D8338,DATA_GOC!$B:$B,"&lt;="&amp;$E8338))</f>
        <v/>
      </c>
      <c r="J8338" s="59">
        <f t="shared" si="28"/>
        <v>0</v>
      </c>
      <c r="K8338" s="59">
        <f t="shared" si="29"/>
        <v>0</v>
      </c>
      <c r="L8338" s="59">
        <f t="shared" si="30"/>
        <v>0</v>
      </c>
      <c r="M8338" s="59">
        <f t="shared" si="31"/>
        <v>0</v>
      </c>
    </row>
    <row r="8339" ht="15.0" hidden="1" customHeight="1">
      <c r="A8339" s="59">
        <f t="shared" si="20"/>
        <v>136</v>
      </c>
      <c r="B8339" s="59" t="str">
        <f t="shared" si="21"/>
        <v/>
      </c>
      <c r="C8339" s="59" t="str">
        <f t="shared" si="22"/>
        <v/>
      </c>
      <c r="D8339" s="45" t="str">
        <f t="shared" si="23"/>
        <v/>
      </c>
      <c r="E8339" s="45" t="str">
        <f t="shared" si="24"/>
        <v/>
      </c>
      <c r="F8339" s="59" t="str">
        <f t="shared" si="25"/>
        <v/>
      </c>
      <c r="G8339" s="59" t="str">
        <f t="shared" si="26"/>
        <v/>
      </c>
      <c r="H8339" s="59" t="str">
        <f t="shared" si="27"/>
        <v>28C01622</v>
      </c>
      <c r="I8339" s="59" t="str">
        <f>IF(OR($A8339="",$C8339="",$D8339="",$E8339="",$H8339=""),"",SUMIFS(DATA_GOC!$H:$H,DATA_GOC!$A:$A,"BOM",DATA_GOC!$D:$D,$H8339,DATA_GOC!$E:$E,$C8339,DATA_GOC!$F:$F,"Xuất nội bộ từ téc",DATA_GOC!$B:$B,"&gt;="&amp;$D8339,DATA_GOC!$B:$B,"&lt;="&amp;$E8339))</f>
        <v/>
      </c>
      <c r="J8339" s="59">
        <f t="shared" si="28"/>
        <v>0</v>
      </c>
      <c r="K8339" s="59">
        <f t="shared" si="29"/>
        <v>0</v>
      </c>
      <c r="L8339" s="59">
        <f t="shared" si="30"/>
        <v>0</v>
      </c>
      <c r="M8339" s="59">
        <f t="shared" si="31"/>
        <v>0</v>
      </c>
    </row>
    <row r="8340" ht="15.0" hidden="1" customHeight="1">
      <c r="A8340" s="59">
        <f t="shared" si="20"/>
        <v>136</v>
      </c>
      <c r="B8340" s="59" t="str">
        <f t="shared" si="21"/>
        <v/>
      </c>
      <c r="C8340" s="59" t="str">
        <f t="shared" si="22"/>
        <v/>
      </c>
      <c r="D8340" s="45" t="str">
        <f t="shared" si="23"/>
        <v/>
      </c>
      <c r="E8340" s="45" t="str">
        <f t="shared" si="24"/>
        <v/>
      </c>
      <c r="F8340" s="59" t="str">
        <f t="shared" si="25"/>
        <v/>
      </c>
      <c r="G8340" s="59" t="str">
        <f t="shared" si="26"/>
        <v/>
      </c>
      <c r="H8340" s="59" t="str">
        <f t="shared" si="27"/>
        <v>28C01647</v>
      </c>
      <c r="I8340" s="59" t="str">
        <f>IF(OR($A8340="",$C8340="",$D8340="",$E8340="",$H8340=""),"",SUMIFS(DATA_GOC!$H:$H,DATA_GOC!$A:$A,"BOM",DATA_GOC!$D:$D,$H8340,DATA_GOC!$E:$E,$C8340,DATA_GOC!$F:$F,"Xuất nội bộ từ téc",DATA_GOC!$B:$B,"&gt;="&amp;$D8340,DATA_GOC!$B:$B,"&lt;="&amp;$E8340))</f>
        <v/>
      </c>
      <c r="J8340" s="59">
        <f t="shared" si="28"/>
        <v>0</v>
      </c>
      <c r="K8340" s="59">
        <f t="shared" si="29"/>
        <v>0</v>
      </c>
      <c r="L8340" s="59">
        <f t="shared" si="30"/>
        <v>0</v>
      </c>
      <c r="M8340" s="59">
        <f t="shared" si="31"/>
        <v>0</v>
      </c>
    </row>
    <row r="8341" ht="15.0" hidden="1" customHeight="1">
      <c r="A8341" s="59">
        <f t="shared" si="20"/>
        <v>136</v>
      </c>
      <c r="B8341" s="59" t="str">
        <f t="shared" si="21"/>
        <v/>
      </c>
      <c r="C8341" s="59" t="str">
        <f t="shared" si="22"/>
        <v/>
      </c>
      <c r="D8341" s="45" t="str">
        <f t="shared" si="23"/>
        <v/>
      </c>
      <c r="E8341" s="45" t="str">
        <f t="shared" si="24"/>
        <v/>
      </c>
      <c r="F8341" s="59" t="str">
        <f t="shared" si="25"/>
        <v/>
      </c>
      <c r="G8341" s="59" t="str">
        <f t="shared" si="26"/>
        <v/>
      </c>
      <c r="H8341" s="59" t="str">
        <f t="shared" si="27"/>
        <v>28C01731</v>
      </c>
      <c r="I8341" s="59" t="str">
        <f>IF(OR($A8341="",$C8341="",$D8341="",$E8341="",$H8341=""),"",SUMIFS(DATA_GOC!$H:$H,DATA_GOC!$A:$A,"BOM",DATA_GOC!$D:$D,$H8341,DATA_GOC!$E:$E,$C8341,DATA_GOC!$F:$F,"Xuất nội bộ từ téc",DATA_GOC!$B:$B,"&gt;="&amp;$D8341,DATA_GOC!$B:$B,"&lt;="&amp;$E8341))</f>
        <v/>
      </c>
      <c r="J8341" s="59">
        <f t="shared" si="28"/>
        <v>0</v>
      </c>
      <c r="K8341" s="59">
        <f t="shared" si="29"/>
        <v>0</v>
      </c>
      <c r="L8341" s="59">
        <f t="shared" si="30"/>
        <v>0</v>
      </c>
      <c r="M8341" s="59">
        <f t="shared" si="31"/>
        <v>0</v>
      </c>
    </row>
    <row r="8342" ht="15.0" hidden="1" customHeight="1">
      <c r="A8342" s="59">
        <f t="shared" si="20"/>
        <v>136</v>
      </c>
      <c r="B8342" s="59" t="str">
        <f t="shared" si="21"/>
        <v/>
      </c>
      <c r="C8342" s="59" t="str">
        <f t="shared" si="22"/>
        <v/>
      </c>
      <c r="D8342" s="45" t="str">
        <f t="shared" si="23"/>
        <v/>
      </c>
      <c r="E8342" s="45" t="str">
        <f t="shared" si="24"/>
        <v/>
      </c>
      <c r="F8342" s="59" t="str">
        <f t="shared" si="25"/>
        <v/>
      </c>
      <c r="G8342" s="59" t="str">
        <f t="shared" si="26"/>
        <v/>
      </c>
      <c r="H8342" s="59" t="str">
        <f t="shared" si="27"/>
        <v>28C01743</v>
      </c>
      <c r="I8342" s="59" t="str">
        <f>IF(OR($A8342="",$C8342="",$D8342="",$E8342="",$H8342=""),"",SUMIFS(DATA_GOC!$H:$H,DATA_GOC!$A:$A,"BOM",DATA_GOC!$D:$D,$H8342,DATA_GOC!$E:$E,$C8342,DATA_GOC!$F:$F,"Xuất nội bộ từ téc",DATA_GOC!$B:$B,"&gt;="&amp;$D8342,DATA_GOC!$B:$B,"&lt;="&amp;$E8342))</f>
        <v/>
      </c>
      <c r="J8342" s="59">
        <f t="shared" si="28"/>
        <v>0</v>
      </c>
      <c r="K8342" s="59">
        <f t="shared" si="29"/>
        <v>0</v>
      </c>
      <c r="L8342" s="59">
        <f t="shared" si="30"/>
        <v>0</v>
      </c>
      <c r="M8342" s="59">
        <f t="shared" si="31"/>
        <v>0</v>
      </c>
    </row>
    <row r="8343" ht="15.0" hidden="1" customHeight="1">
      <c r="A8343" s="59">
        <f t="shared" si="20"/>
        <v>136</v>
      </c>
      <c r="B8343" s="59" t="str">
        <f t="shared" si="21"/>
        <v/>
      </c>
      <c r="C8343" s="59" t="str">
        <f t="shared" si="22"/>
        <v/>
      </c>
      <c r="D8343" s="45" t="str">
        <f t="shared" si="23"/>
        <v/>
      </c>
      <c r="E8343" s="45" t="str">
        <f t="shared" si="24"/>
        <v/>
      </c>
      <c r="F8343" s="59" t="str">
        <f t="shared" si="25"/>
        <v/>
      </c>
      <c r="G8343" s="59" t="str">
        <f t="shared" si="26"/>
        <v/>
      </c>
      <c r="H8343" s="59" t="str">
        <f t="shared" si="27"/>
        <v>28C02106</v>
      </c>
      <c r="I8343" s="59" t="str">
        <f>IF(OR($A8343="",$C8343="",$D8343="",$E8343="",$H8343=""),"",SUMIFS(DATA_GOC!$H:$H,DATA_GOC!$A:$A,"BOM",DATA_GOC!$D:$D,$H8343,DATA_GOC!$E:$E,$C8343,DATA_GOC!$F:$F,"Xuất nội bộ từ téc",DATA_GOC!$B:$B,"&gt;="&amp;$D8343,DATA_GOC!$B:$B,"&lt;="&amp;$E8343))</f>
        <v/>
      </c>
      <c r="J8343" s="59">
        <f t="shared" si="28"/>
        <v>0</v>
      </c>
      <c r="K8343" s="59">
        <f t="shared" si="29"/>
        <v>0</v>
      </c>
      <c r="L8343" s="59">
        <f t="shared" si="30"/>
        <v>0</v>
      </c>
      <c r="M8343" s="59">
        <f t="shared" si="31"/>
        <v>0</v>
      </c>
    </row>
    <row r="8344" ht="15.0" hidden="1" customHeight="1">
      <c r="A8344" s="59">
        <f t="shared" si="20"/>
        <v>136</v>
      </c>
      <c r="B8344" s="59" t="str">
        <f t="shared" si="21"/>
        <v/>
      </c>
      <c r="C8344" s="59" t="str">
        <f t="shared" si="22"/>
        <v/>
      </c>
      <c r="D8344" s="45" t="str">
        <f t="shared" si="23"/>
        <v/>
      </c>
      <c r="E8344" s="45" t="str">
        <f t="shared" si="24"/>
        <v/>
      </c>
      <c r="F8344" s="59" t="str">
        <f t="shared" si="25"/>
        <v/>
      </c>
      <c r="G8344" s="59" t="str">
        <f t="shared" si="26"/>
        <v/>
      </c>
      <c r="H8344" s="59" t="str">
        <f t="shared" si="27"/>
        <v>28C02410</v>
      </c>
      <c r="I8344" s="59" t="str">
        <f>IF(OR($A8344="",$C8344="",$D8344="",$E8344="",$H8344=""),"",SUMIFS(DATA_GOC!$H:$H,DATA_GOC!$A:$A,"BOM",DATA_GOC!$D:$D,$H8344,DATA_GOC!$E:$E,$C8344,DATA_GOC!$F:$F,"Xuất nội bộ từ téc",DATA_GOC!$B:$B,"&gt;="&amp;$D8344,DATA_GOC!$B:$B,"&lt;="&amp;$E8344))</f>
        <v/>
      </c>
      <c r="J8344" s="59">
        <f t="shared" si="28"/>
        <v>0</v>
      </c>
      <c r="K8344" s="59">
        <f t="shared" si="29"/>
        <v>0</v>
      </c>
      <c r="L8344" s="59">
        <f t="shared" si="30"/>
        <v>0</v>
      </c>
      <c r="M8344" s="59">
        <f t="shared" si="31"/>
        <v>0</v>
      </c>
    </row>
    <row r="8345" ht="15.0" hidden="1" customHeight="1">
      <c r="A8345" s="59">
        <f t="shared" si="20"/>
        <v>136</v>
      </c>
      <c r="B8345" s="59" t="str">
        <f t="shared" si="21"/>
        <v/>
      </c>
      <c r="C8345" s="59" t="str">
        <f t="shared" si="22"/>
        <v/>
      </c>
      <c r="D8345" s="45" t="str">
        <f t="shared" si="23"/>
        <v/>
      </c>
      <c r="E8345" s="45" t="str">
        <f t="shared" si="24"/>
        <v/>
      </c>
      <c r="F8345" s="59" t="str">
        <f t="shared" si="25"/>
        <v/>
      </c>
      <c r="G8345" s="59" t="str">
        <f t="shared" si="26"/>
        <v/>
      </c>
      <c r="H8345" s="59" t="str">
        <f t="shared" si="27"/>
        <v>28C02545</v>
      </c>
      <c r="I8345" s="59" t="str">
        <f>IF(OR($A8345="",$C8345="",$D8345="",$E8345="",$H8345=""),"",SUMIFS(DATA_GOC!$H:$H,DATA_GOC!$A:$A,"BOM",DATA_GOC!$D:$D,$H8345,DATA_GOC!$E:$E,$C8345,DATA_GOC!$F:$F,"Xuất nội bộ từ téc",DATA_GOC!$B:$B,"&gt;="&amp;$D8345,DATA_GOC!$B:$B,"&lt;="&amp;$E8345))</f>
        <v/>
      </c>
      <c r="J8345" s="59">
        <f t="shared" si="28"/>
        <v>0</v>
      </c>
      <c r="K8345" s="59">
        <f t="shared" si="29"/>
        <v>0</v>
      </c>
      <c r="L8345" s="59">
        <f t="shared" si="30"/>
        <v>0</v>
      </c>
      <c r="M8345" s="59">
        <f t="shared" si="31"/>
        <v>0</v>
      </c>
    </row>
    <row r="8346" ht="15.0" hidden="1" customHeight="1">
      <c r="A8346" s="59">
        <f t="shared" si="20"/>
        <v>136</v>
      </c>
      <c r="B8346" s="59" t="str">
        <f t="shared" si="21"/>
        <v/>
      </c>
      <c r="C8346" s="59" t="str">
        <f t="shared" si="22"/>
        <v/>
      </c>
      <c r="D8346" s="45" t="str">
        <f t="shared" si="23"/>
        <v/>
      </c>
      <c r="E8346" s="45" t="str">
        <f t="shared" si="24"/>
        <v/>
      </c>
      <c r="F8346" s="59" t="str">
        <f t="shared" si="25"/>
        <v/>
      </c>
      <c r="G8346" s="59" t="str">
        <f t="shared" si="26"/>
        <v/>
      </c>
      <c r="H8346" s="59" t="str">
        <f t="shared" si="27"/>
        <v>28C02574</v>
      </c>
      <c r="I8346" s="59" t="str">
        <f>IF(OR($A8346="",$C8346="",$D8346="",$E8346="",$H8346=""),"",SUMIFS(DATA_GOC!$H:$H,DATA_GOC!$A:$A,"BOM",DATA_GOC!$D:$D,$H8346,DATA_GOC!$E:$E,$C8346,DATA_GOC!$F:$F,"Xuất nội bộ từ téc",DATA_GOC!$B:$B,"&gt;="&amp;$D8346,DATA_GOC!$B:$B,"&lt;="&amp;$E8346))</f>
        <v/>
      </c>
      <c r="J8346" s="59">
        <f t="shared" si="28"/>
        <v>0</v>
      </c>
      <c r="K8346" s="59">
        <f t="shared" si="29"/>
        <v>0</v>
      </c>
      <c r="L8346" s="59">
        <f t="shared" si="30"/>
        <v>0</v>
      </c>
      <c r="M8346" s="59">
        <f t="shared" si="31"/>
        <v>0</v>
      </c>
    </row>
    <row r="8347" ht="15.0" hidden="1" customHeight="1">
      <c r="A8347" s="59">
        <f t="shared" si="20"/>
        <v>136</v>
      </c>
      <c r="B8347" s="59" t="str">
        <f t="shared" si="21"/>
        <v/>
      </c>
      <c r="C8347" s="59" t="str">
        <f t="shared" si="22"/>
        <v/>
      </c>
      <c r="D8347" s="45" t="str">
        <f t="shared" si="23"/>
        <v/>
      </c>
      <c r="E8347" s="45" t="str">
        <f t="shared" si="24"/>
        <v/>
      </c>
      <c r="F8347" s="59" t="str">
        <f t="shared" si="25"/>
        <v/>
      </c>
      <c r="G8347" s="59" t="str">
        <f t="shared" si="26"/>
        <v/>
      </c>
      <c r="H8347" s="59" t="str">
        <f t="shared" si="27"/>
        <v>28C02770</v>
      </c>
      <c r="I8347" s="59" t="str">
        <f>IF(OR($A8347="",$C8347="",$D8347="",$E8347="",$H8347=""),"",SUMIFS(DATA_GOC!$H:$H,DATA_GOC!$A:$A,"BOM",DATA_GOC!$D:$D,$H8347,DATA_GOC!$E:$E,$C8347,DATA_GOC!$F:$F,"Xuất nội bộ từ téc",DATA_GOC!$B:$B,"&gt;="&amp;$D8347,DATA_GOC!$B:$B,"&lt;="&amp;$E8347))</f>
        <v/>
      </c>
      <c r="J8347" s="59">
        <f t="shared" si="28"/>
        <v>0</v>
      </c>
      <c r="K8347" s="59">
        <f t="shared" si="29"/>
        <v>0</v>
      </c>
      <c r="L8347" s="59">
        <f t="shared" si="30"/>
        <v>0</v>
      </c>
      <c r="M8347" s="59">
        <f t="shared" si="31"/>
        <v>0</v>
      </c>
    </row>
    <row r="8348" ht="15.0" hidden="1" customHeight="1">
      <c r="A8348" s="59">
        <f t="shared" si="20"/>
        <v>136</v>
      </c>
      <c r="B8348" s="59" t="str">
        <f t="shared" si="21"/>
        <v/>
      </c>
      <c r="C8348" s="59" t="str">
        <f t="shared" si="22"/>
        <v/>
      </c>
      <c r="D8348" s="45" t="str">
        <f t="shared" si="23"/>
        <v/>
      </c>
      <c r="E8348" s="45" t="str">
        <f t="shared" si="24"/>
        <v/>
      </c>
      <c r="F8348" s="59" t="str">
        <f t="shared" si="25"/>
        <v/>
      </c>
      <c r="G8348" s="59" t="str">
        <f t="shared" si="26"/>
        <v/>
      </c>
      <c r="H8348" s="59" t="str">
        <f t="shared" si="27"/>
        <v>28C02986</v>
      </c>
      <c r="I8348" s="59" t="str">
        <f>IF(OR($A8348="",$C8348="",$D8348="",$E8348="",$H8348=""),"",SUMIFS(DATA_GOC!$H:$H,DATA_GOC!$A:$A,"BOM",DATA_GOC!$D:$D,$H8348,DATA_GOC!$E:$E,$C8348,DATA_GOC!$F:$F,"Xuất nội bộ từ téc",DATA_GOC!$B:$B,"&gt;="&amp;$D8348,DATA_GOC!$B:$B,"&lt;="&amp;$E8348))</f>
        <v/>
      </c>
      <c r="J8348" s="59">
        <f t="shared" si="28"/>
        <v>0</v>
      </c>
      <c r="K8348" s="59">
        <f t="shared" si="29"/>
        <v>0</v>
      </c>
      <c r="L8348" s="59">
        <f t="shared" si="30"/>
        <v>0</v>
      </c>
      <c r="M8348" s="59">
        <f t="shared" si="31"/>
        <v>0</v>
      </c>
    </row>
    <row r="8349" ht="15.0" hidden="1" customHeight="1">
      <c r="A8349" s="59">
        <f t="shared" si="20"/>
        <v>136</v>
      </c>
      <c r="B8349" s="59" t="str">
        <f t="shared" si="21"/>
        <v/>
      </c>
      <c r="C8349" s="59" t="str">
        <f t="shared" si="22"/>
        <v/>
      </c>
      <c r="D8349" s="45" t="str">
        <f t="shared" si="23"/>
        <v/>
      </c>
      <c r="E8349" s="45" t="str">
        <f t="shared" si="24"/>
        <v/>
      </c>
      <c r="F8349" s="59" t="str">
        <f t="shared" si="25"/>
        <v/>
      </c>
      <c r="G8349" s="59" t="str">
        <f t="shared" si="26"/>
        <v/>
      </c>
      <c r="H8349" s="59" t="str">
        <f t="shared" si="27"/>
        <v>28C03261</v>
      </c>
      <c r="I8349" s="59" t="str">
        <f>IF(OR($A8349="",$C8349="",$D8349="",$E8349="",$H8349=""),"",SUMIFS(DATA_GOC!$H:$H,DATA_GOC!$A:$A,"BOM",DATA_GOC!$D:$D,$H8349,DATA_GOC!$E:$E,$C8349,DATA_GOC!$F:$F,"Xuất nội bộ từ téc",DATA_GOC!$B:$B,"&gt;="&amp;$D8349,DATA_GOC!$B:$B,"&lt;="&amp;$E8349))</f>
        <v/>
      </c>
      <c r="J8349" s="59">
        <f t="shared" si="28"/>
        <v>0</v>
      </c>
      <c r="K8349" s="59">
        <f t="shared" si="29"/>
        <v>0</v>
      </c>
      <c r="L8349" s="59">
        <f t="shared" si="30"/>
        <v>0</v>
      </c>
      <c r="M8349" s="59">
        <f t="shared" si="31"/>
        <v>0</v>
      </c>
    </row>
    <row r="8350" ht="15.0" hidden="1" customHeight="1">
      <c r="A8350" s="59">
        <f t="shared" si="20"/>
        <v>136</v>
      </c>
      <c r="B8350" s="59" t="str">
        <f t="shared" si="21"/>
        <v/>
      </c>
      <c r="C8350" s="59" t="str">
        <f t="shared" si="22"/>
        <v/>
      </c>
      <c r="D8350" s="45" t="str">
        <f t="shared" si="23"/>
        <v/>
      </c>
      <c r="E8350" s="45" t="str">
        <f t="shared" si="24"/>
        <v/>
      </c>
      <c r="F8350" s="59" t="str">
        <f t="shared" si="25"/>
        <v/>
      </c>
      <c r="G8350" s="59" t="str">
        <f t="shared" si="26"/>
        <v/>
      </c>
      <c r="H8350" s="59" t="str">
        <f t="shared" si="27"/>
        <v>28C03323</v>
      </c>
      <c r="I8350" s="59" t="str">
        <f>IF(OR($A8350="",$C8350="",$D8350="",$E8350="",$H8350=""),"",SUMIFS(DATA_GOC!$H:$H,DATA_GOC!$A:$A,"BOM",DATA_GOC!$D:$D,$H8350,DATA_GOC!$E:$E,$C8350,DATA_GOC!$F:$F,"Xuất nội bộ từ téc",DATA_GOC!$B:$B,"&gt;="&amp;$D8350,DATA_GOC!$B:$B,"&lt;="&amp;$E8350))</f>
        <v/>
      </c>
      <c r="J8350" s="59">
        <f t="shared" si="28"/>
        <v>0</v>
      </c>
      <c r="K8350" s="59">
        <f t="shared" si="29"/>
        <v>0</v>
      </c>
      <c r="L8350" s="59">
        <f t="shared" si="30"/>
        <v>0</v>
      </c>
      <c r="M8350" s="59">
        <f t="shared" si="31"/>
        <v>0</v>
      </c>
    </row>
    <row r="8351" ht="15.0" hidden="1" customHeight="1">
      <c r="A8351" s="59">
        <f t="shared" si="20"/>
        <v>136</v>
      </c>
      <c r="B8351" s="59" t="str">
        <f t="shared" si="21"/>
        <v/>
      </c>
      <c r="C8351" s="59" t="str">
        <f t="shared" si="22"/>
        <v/>
      </c>
      <c r="D8351" s="45" t="str">
        <f t="shared" si="23"/>
        <v/>
      </c>
      <c r="E8351" s="45" t="str">
        <f t="shared" si="24"/>
        <v/>
      </c>
      <c r="F8351" s="59" t="str">
        <f t="shared" si="25"/>
        <v/>
      </c>
      <c r="G8351" s="59" t="str">
        <f t="shared" si="26"/>
        <v/>
      </c>
      <c r="H8351" s="59" t="str">
        <f t="shared" si="27"/>
        <v>28C03385</v>
      </c>
      <c r="I8351" s="59" t="str">
        <f>IF(OR($A8351="",$C8351="",$D8351="",$E8351="",$H8351=""),"",SUMIFS(DATA_GOC!$H:$H,DATA_GOC!$A:$A,"BOM",DATA_GOC!$D:$D,$H8351,DATA_GOC!$E:$E,$C8351,DATA_GOC!$F:$F,"Xuất nội bộ từ téc",DATA_GOC!$B:$B,"&gt;="&amp;$D8351,DATA_GOC!$B:$B,"&lt;="&amp;$E8351))</f>
        <v/>
      </c>
      <c r="J8351" s="59">
        <f t="shared" si="28"/>
        <v>0</v>
      </c>
      <c r="K8351" s="59">
        <f t="shared" si="29"/>
        <v>0</v>
      </c>
      <c r="L8351" s="59">
        <f t="shared" si="30"/>
        <v>0</v>
      </c>
      <c r="M8351" s="59">
        <f t="shared" si="31"/>
        <v>0</v>
      </c>
    </row>
    <row r="8352" ht="15.0" hidden="1" customHeight="1">
      <c r="A8352" s="59">
        <f t="shared" si="20"/>
        <v>136</v>
      </c>
      <c r="B8352" s="59" t="str">
        <f t="shared" si="21"/>
        <v/>
      </c>
      <c r="C8352" s="59" t="str">
        <f t="shared" si="22"/>
        <v/>
      </c>
      <c r="D8352" s="45" t="str">
        <f t="shared" si="23"/>
        <v/>
      </c>
      <c r="E8352" s="45" t="str">
        <f t="shared" si="24"/>
        <v/>
      </c>
      <c r="F8352" s="59" t="str">
        <f t="shared" si="25"/>
        <v/>
      </c>
      <c r="G8352" s="59" t="str">
        <f t="shared" si="26"/>
        <v/>
      </c>
      <c r="H8352" s="59" t="str">
        <f t="shared" si="27"/>
        <v>28C03652</v>
      </c>
      <c r="I8352" s="59" t="str">
        <f>IF(OR($A8352="",$C8352="",$D8352="",$E8352="",$H8352=""),"",SUMIFS(DATA_GOC!$H:$H,DATA_GOC!$A:$A,"BOM",DATA_GOC!$D:$D,$H8352,DATA_GOC!$E:$E,$C8352,DATA_GOC!$F:$F,"Xuất nội bộ từ téc",DATA_GOC!$B:$B,"&gt;="&amp;$D8352,DATA_GOC!$B:$B,"&lt;="&amp;$E8352))</f>
        <v/>
      </c>
      <c r="J8352" s="59">
        <f t="shared" si="28"/>
        <v>0</v>
      </c>
      <c r="K8352" s="59">
        <f t="shared" si="29"/>
        <v>0</v>
      </c>
      <c r="L8352" s="59">
        <f t="shared" si="30"/>
        <v>0</v>
      </c>
      <c r="M8352" s="59">
        <f t="shared" si="31"/>
        <v>0</v>
      </c>
    </row>
    <row r="8353" ht="15.0" hidden="1" customHeight="1">
      <c r="A8353" s="59">
        <f t="shared" si="20"/>
        <v>136</v>
      </c>
      <c r="B8353" s="59" t="str">
        <f t="shared" si="21"/>
        <v/>
      </c>
      <c r="C8353" s="59" t="str">
        <f t="shared" si="22"/>
        <v/>
      </c>
      <c r="D8353" s="45" t="str">
        <f t="shared" si="23"/>
        <v/>
      </c>
      <c r="E8353" s="45" t="str">
        <f t="shared" si="24"/>
        <v/>
      </c>
      <c r="F8353" s="59" t="str">
        <f t="shared" si="25"/>
        <v/>
      </c>
      <c r="G8353" s="59" t="str">
        <f t="shared" si="26"/>
        <v/>
      </c>
      <c r="H8353" s="59" t="str">
        <f t="shared" si="27"/>
        <v>28C03695</v>
      </c>
      <c r="I8353" s="59" t="str">
        <f>IF(OR($A8353="",$C8353="",$D8353="",$E8353="",$H8353=""),"",SUMIFS(DATA_GOC!$H:$H,DATA_GOC!$A:$A,"BOM",DATA_GOC!$D:$D,$H8353,DATA_GOC!$E:$E,$C8353,DATA_GOC!$F:$F,"Xuất nội bộ từ téc",DATA_GOC!$B:$B,"&gt;="&amp;$D8353,DATA_GOC!$B:$B,"&lt;="&amp;$E8353))</f>
        <v/>
      </c>
      <c r="J8353" s="59">
        <f t="shared" si="28"/>
        <v>0</v>
      </c>
      <c r="K8353" s="59">
        <f t="shared" si="29"/>
        <v>0</v>
      </c>
      <c r="L8353" s="59">
        <f t="shared" si="30"/>
        <v>0</v>
      </c>
      <c r="M8353" s="59">
        <f t="shared" si="31"/>
        <v>0</v>
      </c>
    </row>
    <row r="8354" ht="15.0" hidden="1" customHeight="1">
      <c r="A8354" s="59">
        <f t="shared" si="20"/>
        <v>136</v>
      </c>
      <c r="B8354" s="59" t="str">
        <f t="shared" si="21"/>
        <v/>
      </c>
      <c r="C8354" s="59" t="str">
        <f t="shared" si="22"/>
        <v/>
      </c>
      <c r="D8354" s="45" t="str">
        <f t="shared" si="23"/>
        <v/>
      </c>
      <c r="E8354" s="45" t="str">
        <f t="shared" si="24"/>
        <v/>
      </c>
      <c r="F8354" s="59" t="str">
        <f t="shared" si="25"/>
        <v/>
      </c>
      <c r="G8354" s="59" t="str">
        <f t="shared" si="26"/>
        <v/>
      </c>
      <c r="H8354" s="59" t="str">
        <f t="shared" si="27"/>
        <v>28C03927</v>
      </c>
      <c r="I8354" s="59" t="str">
        <f>IF(OR($A8354="",$C8354="",$D8354="",$E8354="",$H8354=""),"",SUMIFS(DATA_GOC!$H:$H,DATA_GOC!$A:$A,"BOM",DATA_GOC!$D:$D,$H8354,DATA_GOC!$E:$E,$C8354,DATA_GOC!$F:$F,"Xuất nội bộ từ téc",DATA_GOC!$B:$B,"&gt;="&amp;$D8354,DATA_GOC!$B:$B,"&lt;="&amp;$E8354))</f>
        <v/>
      </c>
      <c r="J8354" s="59">
        <f t="shared" si="28"/>
        <v>0</v>
      </c>
      <c r="K8354" s="59">
        <f t="shared" si="29"/>
        <v>0</v>
      </c>
      <c r="L8354" s="59">
        <f t="shared" si="30"/>
        <v>0</v>
      </c>
      <c r="M8354" s="59">
        <f t="shared" si="31"/>
        <v>0</v>
      </c>
    </row>
    <row r="8355" ht="15.0" hidden="1" customHeight="1">
      <c r="A8355" s="59">
        <f t="shared" si="20"/>
        <v>136</v>
      </c>
      <c r="B8355" s="59" t="str">
        <f t="shared" si="21"/>
        <v/>
      </c>
      <c r="C8355" s="59" t="str">
        <f t="shared" si="22"/>
        <v/>
      </c>
      <c r="D8355" s="45" t="str">
        <f t="shared" si="23"/>
        <v/>
      </c>
      <c r="E8355" s="45" t="str">
        <f t="shared" si="24"/>
        <v/>
      </c>
      <c r="F8355" s="59" t="str">
        <f t="shared" si="25"/>
        <v/>
      </c>
      <c r="G8355" s="59" t="str">
        <f t="shared" si="26"/>
        <v/>
      </c>
      <c r="H8355" s="59" t="str">
        <f t="shared" si="27"/>
        <v>28C04509</v>
      </c>
      <c r="I8355" s="59" t="str">
        <f>IF(OR($A8355="",$C8355="",$D8355="",$E8355="",$H8355=""),"",SUMIFS(DATA_GOC!$H:$H,DATA_GOC!$A:$A,"BOM",DATA_GOC!$D:$D,$H8355,DATA_GOC!$E:$E,$C8355,DATA_GOC!$F:$F,"Xuất nội bộ từ téc",DATA_GOC!$B:$B,"&gt;="&amp;$D8355,DATA_GOC!$B:$B,"&lt;="&amp;$E8355))</f>
        <v/>
      </c>
      <c r="J8355" s="59">
        <f t="shared" si="28"/>
        <v>0</v>
      </c>
      <c r="K8355" s="59">
        <f t="shared" si="29"/>
        <v>0</v>
      </c>
      <c r="L8355" s="59">
        <f t="shared" si="30"/>
        <v>0</v>
      </c>
      <c r="M8355" s="59">
        <f t="shared" si="31"/>
        <v>0</v>
      </c>
    </row>
    <row r="8356" ht="15.0" hidden="1" customHeight="1">
      <c r="A8356" s="59">
        <f t="shared" si="20"/>
        <v>136</v>
      </c>
      <c r="B8356" s="59" t="str">
        <f t="shared" si="21"/>
        <v/>
      </c>
      <c r="C8356" s="59" t="str">
        <f t="shared" si="22"/>
        <v/>
      </c>
      <c r="D8356" s="45" t="str">
        <f t="shared" si="23"/>
        <v/>
      </c>
      <c r="E8356" s="45" t="str">
        <f t="shared" si="24"/>
        <v/>
      </c>
      <c r="F8356" s="59" t="str">
        <f t="shared" si="25"/>
        <v/>
      </c>
      <c r="G8356" s="59" t="str">
        <f t="shared" si="26"/>
        <v/>
      </c>
      <c r="H8356" s="59" t="str">
        <f t="shared" si="27"/>
        <v>28C04536</v>
      </c>
      <c r="I8356" s="59" t="str">
        <f>IF(OR($A8356="",$C8356="",$D8356="",$E8356="",$H8356=""),"",SUMIFS(DATA_GOC!$H:$H,DATA_GOC!$A:$A,"BOM",DATA_GOC!$D:$D,$H8356,DATA_GOC!$E:$E,$C8356,DATA_GOC!$F:$F,"Xuất nội bộ từ téc",DATA_GOC!$B:$B,"&gt;="&amp;$D8356,DATA_GOC!$B:$B,"&lt;="&amp;$E8356))</f>
        <v/>
      </c>
      <c r="J8356" s="59">
        <f t="shared" si="28"/>
        <v>0</v>
      </c>
      <c r="K8356" s="59">
        <f t="shared" si="29"/>
        <v>0</v>
      </c>
      <c r="L8356" s="59">
        <f t="shared" si="30"/>
        <v>0</v>
      </c>
      <c r="M8356" s="59">
        <f t="shared" si="31"/>
        <v>0</v>
      </c>
    </row>
    <row r="8357" ht="15.0" hidden="1" customHeight="1">
      <c r="A8357" s="59">
        <f t="shared" si="20"/>
        <v>136</v>
      </c>
      <c r="B8357" s="59" t="str">
        <f t="shared" si="21"/>
        <v/>
      </c>
      <c r="C8357" s="59" t="str">
        <f t="shared" si="22"/>
        <v/>
      </c>
      <c r="D8357" s="45" t="str">
        <f t="shared" si="23"/>
        <v/>
      </c>
      <c r="E8357" s="45" t="str">
        <f t="shared" si="24"/>
        <v/>
      </c>
      <c r="F8357" s="59" t="str">
        <f t="shared" si="25"/>
        <v/>
      </c>
      <c r="G8357" s="59" t="str">
        <f t="shared" si="26"/>
        <v/>
      </c>
      <c r="H8357" s="59" t="str">
        <f t="shared" si="27"/>
        <v>28C04576</v>
      </c>
      <c r="I8357" s="59" t="str">
        <f>IF(OR($A8357="",$C8357="",$D8357="",$E8357="",$H8357=""),"",SUMIFS(DATA_GOC!$H:$H,DATA_GOC!$A:$A,"BOM",DATA_GOC!$D:$D,$H8357,DATA_GOC!$E:$E,$C8357,DATA_GOC!$F:$F,"Xuất nội bộ từ téc",DATA_GOC!$B:$B,"&gt;="&amp;$D8357,DATA_GOC!$B:$B,"&lt;="&amp;$E8357))</f>
        <v/>
      </c>
      <c r="J8357" s="59">
        <f t="shared" si="28"/>
        <v>0</v>
      </c>
      <c r="K8357" s="59">
        <f t="shared" si="29"/>
        <v>0</v>
      </c>
      <c r="L8357" s="59">
        <f t="shared" si="30"/>
        <v>0</v>
      </c>
      <c r="M8357" s="59">
        <f t="shared" si="31"/>
        <v>0</v>
      </c>
    </row>
    <row r="8358" ht="15.0" hidden="1" customHeight="1">
      <c r="A8358" s="59">
        <f t="shared" si="20"/>
        <v>136</v>
      </c>
      <c r="B8358" s="59" t="str">
        <f t="shared" si="21"/>
        <v/>
      </c>
      <c r="C8358" s="59" t="str">
        <f t="shared" si="22"/>
        <v/>
      </c>
      <c r="D8358" s="45" t="str">
        <f t="shared" si="23"/>
        <v/>
      </c>
      <c r="E8358" s="45" t="str">
        <f t="shared" si="24"/>
        <v/>
      </c>
      <c r="F8358" s="59" t="str">
        <f t="shared" si="25"/>
        <v/>
      </c>
      <c r="G8358" s="59" t="str">
        <f t="shared" si="26"/>
        <v/>
      </c>
      <c r="H8358" s="59" t="str">
        <f t="shared" si="27"/>
        <v>28C05090</v>
      </c>
      <c r="I8358" s="59" t="str">
        <f>IF(OR($A8358="",$C8358="",$D8358="",$E8358="",$H8358=""),"",SUMIFS(DATA_GOC!$H:$H,DATA_GOC!$A:$A,"BOM",DATA_GOC!$D:$D,$H8358,DATA_GOC!$E:$E,$C8358,DATA_GOC!$F:$F,"Xuất nội bộ từ téc",DATA_GOC!$B:$B,"&gt;="&amp;$D8358,DATA_GOC!$B:$B,"&lt;="&amp;$E8358))</f>
        <v/>
      </c>
      <c r="J8358" s="59">
        <f t="shared" si="28"/>
        <v>0</v>
      </c>
      <c r="K8358" s="59">
        <f t="shared" si="29"/>
        <v>0</v>
      </c>
      <c r="L8358" s="59">
        <f t="shared" si="30"/>
        <v>0</v>
      </c>
      <c r="M8358" s="59">
        <f t="shared" si="31"/>
        <v>0</v>
      </c>
    </row>
    <row r="8359" ht="15.0" hidden="1" customHeight="1">
      <c r="A8359" s="59">
        <f t="shared" si="20"/>
        <v>136</v>
      </c>
      <c r="B8359" s="59" t="str">
        <f t="shared" si="21"/>
        <v/>
      </c>
      <c r="C8359" s="59" t="str">
        <f t="shared" si="22"/>
        <v/>
      </c>
      <c r="D8359" s="45" t="str">
        <f t="shared" si="23"/>
        <v/>
      </c>
      <c r="E8359" s="45" t="str">
        <f t="shared" si="24"/>
        <v/>
      </c>
      <c r="F8359" s="59" t="str">
        <f t="shared" si="25"/>
        <v/>
      </c>
      <c r="G8359" s="59" t="str">
        <f t="shared" si="26"/>
        <v/>
      </c>
      <c r="H8359" s="59" t="str">
        <f t="shared" si="27"/>
        <v>28C05345</v>
      </c>
      <c r="I8359" s="59" t="str">
        <f>IF(OR($A8359="",$C8359="",$D8359="",$E8359="",$H8359=""),"",SUMIFS(DATA_GOC!$H:$H,DATA_GOC!$A:$A,"BOM",DATA_GOC!$D:$D,$H8359,DATA_GOC!$E:$E,$C8359,DATA_GOC!$F:$F,"Xuất nội bộ từ téc",DATA_GOC!$B:$B,"&gt;="&amp;$D8359,DATA_GOC!$B:$B,"&lt;="&amp;$E8359))</f>
        <v/>
      </c>
      <c r="J8359" s="59">
        <f t="shared" si="28"/>
        <v>0</v>
      </c>
      <c r="K8359" s="59">
        <f t="shared" si="29"/>
        <v>0</v>
      </c>
      <c r="L8359" s="59">
        <f t="shared" si="30"/>
        <v>0</v>
      </c>
      <c r="M8359" s="59">
        <f t="shared" si="31"/>
        <v>0</v>
      </c>
    </row>
    <row r="8360" ht="15.0" hidden="1" customHeight="1">
      <c r="A8360" s="59">
        <f t="shared" si="20"/>
        <v>136</v>
      </c>
      <c r="B8360" s="59" t="str">
        <f t="shared" si="21"/>
        <v/>
      </c>
      <c r="C8360" s="59" t="str">
        <f t="shared" si="22"/>
        <v/>
      </c>
      <c r="D8360" s="45" t="str">
        <f t="shared" si="23"/>
        <v/>
      </c>
      <c r="E8360" s="45" t="str">
        <f t="shared" si="24"/>
        <v/>
      </c>
      <c r="F8360" s="59" t="str">
        <f t="shared" si="25"/>
        <v/>
      </c>
      <c r="G8360" s="59" t="str">
        <f t="shared" si="26"/>
        <v/>
      </c>
      <c r="H8360" s="59" t="str">
        <f t="shared" si="27"/>
        <v>28C05661</v>
      </c>
      <c r="I8360" s="59" t="str">
        <f>IF(OR($A8360="",$C8360="",$D8360="",$E8360="",$H8360=""),"",SUMIFS(DATA_GOC!$H:$H,DATA_GOC!$A:$A,"BOM",DATA_GOC!$D:$D,$H8360,DATA_GOC!$E:$E,$C8360,DATA_GOC!$F:$F,"Xuất nội bộ từ téc",DATA_GOC!$B:$B,"&gt;="&amp;$D8360,DATA_GOC!$B:$B,"&lt;="&amp;$E8360))</f>
        <v/>
      </c>
      <c r="J8360" s="59">
        <f t="shared" si="28"/>
        <v>0</v>
      </c>
      <c r="K8360" s="59">
        <f t="shared" si="29"/>
        <v>0</v>
      </c>
      <c r="L8360" s="59">
        <f t="shared" si="30"/>
        <v>0</v>
      </c>
      <c r="M8360" s="59">
        <f t="shared" si="31"/>
        <v>0</v>
      </c>
    </row>
    <row r="8361" ht="15.0" hidden="1" customHeight="1">
      <c r="A8361" s="59">
        <f t="shared" si="20"/>
        <v>136</v>
      </c>
      <c r="B8361" s="59" t="str">
        <f t="shared" si="21"/>
        <v/>
      </c>
      <c r="C8361" s="59" t="str">
        <f t="shared" si="22"/>
        <v/>
      </c>
      <c r="D8361" s="45" t="str">
        <f t="shared" si="23"/>
        <v/>
      </c>
      <c r="E8361" s="45" t="str">
        <f t="shared" si="24"/>
        <v/>
      </c>
      <c r="F8361" s="59" t="str">
        <f t="shared" si="25"/>
        <v/>
      </c>
      <c r="G8361" s="59" t="str">
        <f t="shared" si="26"/>
        <v/>
      </c>
      <c r="H8361" s="59" t="str">
        <f t="shared" si="27"/>
        <v>28C05739</v>
      </c>
      <c r="I8361" s="59" t="str">
        <f>IF(OR($A8361="",$C8361="",$D8361="",$E8361="",$H8361=""),"",SUMIFS(DATA_GOC!$H:$H,DATA_GOC!$A:$A,"BOM",DATA_GOC!$D:$D,$H8361,DATA_GOC!$E:$E,$C8361,DATA_GOC!$F:$F,"Xuất nội bộ từ téc",DATA_GOC!$B:$B,"&gt;="&amp;$D8361,DATA_GOC!$B:$B,"&lt;="&amp;$E8361))</f>
        <v/>
      </c>
      <c r="J8361" s="59">
        <f t="shared" si="28"/>
        <v>0</v>
      </c>
      <c r="K8361" s="59">
        <f t="shared" si="29"/>
        <v>0</v>
      </c>
      <c r="L8361" s="59">
        <f t="shared" si="30"/>
        <v>0</v>
      </c>
      <c r="M8361" s="59">
        <f t="shared" si="31"/>
        <v>0</v>
      </c>
    </row>
    <row r="8362" ht="15.0" hidden="1" customHeight="1">
      <c r="A8362" s="59">
        <f t="shared" si="20"/>
        <v>136</v>
      </c>
      <c r="B8362" s="59" t="str">
        <f t="shared" si="21"/>
        <v/>
      </c>
      <c r="C8362" s="59" t="str">
        <f t="shared" si="22"/>
        <v/>
      </c>
      <c r="D8362" s="45" t="str">
        <f t="shared" si="23"/>
        <v/>
      </c>
      <c r="E8362" s="45" t="str">
        <f t="shared" si="24"/>
        <v/>
      </c>
      <c r="F8362" s="59" t="str">
        <f t="shared" si="25"/>
        <v/>
      </c>
      <c r="G8362" s="59" t="str">
        <f t="shared" si="26"/>
        <v/>
      </c>
      <c r="H8362" s="59" t="str">
        <f t="shared" si="27"/>
        <v>28C06369</v>
      </c>
      <c r="I8362" s="59" t="str">
        <f>IF(OR($A8362="",$C8362="",$D8362="",$E8362="",$H8362=""),"",SUMIFS(DATA_GOC!$H:$H,DATA_GOC!$A:$A,"BOM",DATA_GOC!$D:$D,$H8362,DATA_GOC!$E:$E,$C8362,DATA_GOC!$F:$F,"Xuất nội bộ từ téc",DATA_GOC!$B:$B,"&gt;="&amp;$D8362,DATA_GOC!$B:$B,"&lt;="&amp;$E8362))</f>
        <v/>
      </c>
      <c r="J8362" s="59">
        <f t="shared" si="28"/>
        <v>0</v>
      </c>
      <c r="K8362" s="59">
        <f t="shared" si="29"/>
        <v>0</v>
      </c>
      <c r="L8362" s="59">
        <f t="shared" si="30"/>
        <v>0</v>
      </c>
      <c r="M8362" s="59">
        <f t="shared" si="31"/>
        <v>0</v>
      </c>
    </row>
    <row r="8363" ht="15.0" hidden="1" customHeight="1">
      <c r="A8363" s="59">
        <f t="shared" si="20"/>
        <v>136</v>
      </c>
      <c r="B8363" s="59" t="str">
        <f t="shared" si="21"/>
        <v/>
      </c>
      <c r="C8363" s="59" t="str">
        <f t="shared" si="22"/>
        <v/>
      </c>
      <c r="D8363" s="45" t="str">
        <f t="shared" si="23"/>
        <v/>
      </c>
      <c r="E8363" s="45" t="str">
        <f t="shared" si="24"/>
        <v/>
      </c>
      <c r="F8363" s="59" t="str">
        <f t="shared" si="25"/>
        <v/>
      </c>
      <c r="G8363" s="59" t="str">
        <f t="shared" si="26"/>
        <v/>
      </c>
      <c r="H8363" s="59" t="str">
        <f t="shared" si="27"/>
        <v>28C06447</v>
      </c>
      <c r="I8363" s="59" t="str">
        <f>IF(OR($A8363="",$C8363="",$D8363="",$E8363="",$H8363=""),"",SUMIFS(DATA_GOC!$H:$H,DATA_GOC!$A:$A,"BOM",DATA_GOC!$D:$D,$H8363,DATA_GOC!$E:$E,$C8363,DATA_GOC!$F:$F,"Xuất nội bộ từ téc",DATA_GOC!$B:$B,"&gt;="&amp;$D8363,DATA_GOC!$B:$B,"&lt;="&amp;$E8363))</f>
        <v/>
      </c>
      <c r="J8363" s="59">
        <f t="shared" si="28"/>
        <v>0</v>
      </c>
      <c r="K8363" s="59">
        <f t="shared" si="29"/>
        <v>0</v>
      </c>
      <c r="L8363" s="59">
        <f t="shared" si="30"/>
        <v>0</v>
      </c>
      <c r="M8363" s="59">
        <f t="shared" si="31"/>
        <v>0</v>
      </c>
    </row>
    <row r="8364" ht="15.0" hidden="1" customHeight="1">
      <c r="A8364" s="59">
        <f t="shared" si="20"/>
        <v>136</v>
      </c>
      <c r="B8364" s="59" t="str">
        <f t="shared" si="21"/>
        <v/>
      </c>
      <c r="C8364" s="59" t="str">
        <f t="shared" si="22"/>
        <v/>
      </c>
      <c r="D8364" s="45" t="str">
        <f t="shared" si="23"/>
        <v/>
      </c>
      <c r="E8364" s="45" t="str">
        <f t="shared" si="24"/>
        <v/>
      </c>
      <c r="F8364" s="59" t="str">
        <f t="shared" si="25"/>
        <v/>
      </c>
      <c r="G8364" s="59" t="str">
        <f t="shared" si="26"/>
        <v/>
      </c>
      <c r="H8364" s="59" t="str">
        <f t="shared" si="27"/>
        <v>28H00003</v>
      </c>
      <c r="I8364" s="59" t="str">
        <f>IF(OR($A8364="",$C8364="",$D8364="",$E8364="",$H8364=""),"",SUMIFS(DATA_GOC!$H:$H,DATA_GOC!$A:$A,"BOM",DATA_GOC!$D:$D,$H8364,DATA_GOC!$E:$E,$C8364,DATA_GOC!$F:$F,"Xuất nội bộ từ téc",DATA_GOC!$B:$B,"&gt;="&amp;$D8364,DATA_GOC!$B:$B,"&lt;="&amp;$E8364))</f>
        <v/>
      </c>
      <c r="J8364" s="59">
        <f t="shared" si="28"/>
        <v>0</v>
      </c>
      <c r="K8364" s="59">
        <f t="shared" si="29"/>
        <v>0</v>
      </c>
      <c r="L8364" s="59">
        <f t="shared" si="30"/>
        <v>0</v>
      </c>
      <c r="M8364" s="59">
        <f t="shared" si="31"/>
        <v>0</v>
      </c>
    </row>
    <row r="8365" ht="15.0" hidden="1" customHeight="1">
      <c r="A8365" s="59">
        <f t="shared" si="20"/>
        <v>136</v>
      </c>
      <c r="B8365" s="59" t="str">
        <f t="shared" si="21"/>
        <v/>
      </c>
      <c r="C8365" s="59" t="str">
        <f t="shared" si="22"/>
        <v/>
      </c>
      <c r="D8365" s="45" t="str">
        <f t="shared" si="23"/>
        <v/>
      </c>
      <c r="E8365" s="45" t="str">
        <f t="shared" si="24"/>
        <v/>
      </c>
      <c r="F8365" s="59" t="str">
        <f t="shared" si="25"/>
        <v/>
      </c>
      <c r="G8365" s="59" t="str">
        <f t="shared" si="26"/>
        <v/>
      </c>
      <c r="H8365" s="59" t="str">
        <f t="shared" si="27"/>
        <v>28H00061</v>
      </c>
      <c r="I8365" s="59" t="str">
        <f>IF(OR($A8365="",$C8365="",$D8365="",$E8365="",$H8365=""),"",SUMIFS(DATA_GOC!$H:$H,DATA_GOC!$A:$A,"BOM",DATA_GOC!$D:$D,$H8365,DATA_GOC!$E:$E,$C8365,DATA_GOC!$F:$F,"Xuất nội bộ từ téc",DATA_GOC!$B:$B,"&gt;="&amp;$D8365,DATA_GOC!$B:$B,"&lt;="&amp;$E8365))</f>
        <v/>
      </c>
      <c r="J8365" s="59">
        <f t="shared" si="28"/>
        <v>0</v>
      </c>
      <c r="K8365" s="59">
        <f t="shared" si="29"/>
        <v>0</v>
      </c>
      <c r="L8365" s="59">
        <f t="shared" si="30"/>
        <v>0</v>
      </c>
      <c r="M8365" s="59">
        <f t="shared" si="31"/>
        <v>0</v>
      </c>
    </row>
    <row r="8366" ht="15.0" hidden="1" customHeight="1">
      <c r="A8366" s="59">
        <f t="shared" si="20"/>
        <v>136</v>
      </c>
      <c r="B8366" s="59" t="str">
        <f t="shared" si="21"/>
        <v/>
      </c>
      <c r="C8366" s="59" t="str">
        <f t="shared" si="22"/>
        <v/>
      </c>
      <c r="D8366" s="45" t="str">
        <f t="shared" si="23"/>
        <v/>
      </c>
      <c r="E8366" s="45" t="str">
        <f t="shared" si="24"/>
        <v/>
      </c>
      <c r="F8366" s="59" t="str">
        <f t="shared" si="25"/>
        <v/>
      </c>
      <c r="G8366" s="59" t="str">
        <f t="shared" si="26"/>
        <v/>
      </c>
      <c r="H8366" s="59" t="str">
        <f t="shared" si="27"/>
        <v>28H00354</v>
      </c>
      <c r="I8366" s="59" t="str">
        <f>IF(OR($A8366="",$C8366="",$D8366="",$E8366="",$H8366=""),"",SUMIFS(DATA_GOC!$H:$H,DATA_GOC!$A:$A,"BOM",DATA_GOC!$D:$D,$H8366,DATA_GOC!$E:$E,$C8366,DATA_GOC!$F:$F,"Xuất nội bộ từ téc",DATA_GOC!$B:$B,"&gt;="&amp;$D8366,DATA_GOC!$B:$B,"&lt;="&amp;$E8366))</f>
        <v/>
      </c>
      <c r="J8366" s="59">
        <f t="shared" si="28"/>
        <v>0</v>
      </c>
      <c r="K8366" s="59">
        <f t="shared" si="29"/>
        <v>0</v>
      </c>
      <c r="L8366" s="59">
        <f t="shared" si="30"/>
        <v>0</v>
      </c>
      <c r="M8366" s="59">
        <f t="shared" si="31"/>
        <v>0</v>
      </c>
    </row>
    <row r="8367" ht="15.0" hidden="1" customHeight="1">
      <c r="A8367" s="59">
        <f t="shared" si="20"/>
        <v>136</v>
      </c>
      <c r="B8367" s="59" t="str">
        <f t="shared" si="21"/>
        <v/>
      </c>
      <c r="C8367" s="59" t="str">
        <f t="shared" si="22"/>
        <v/>
      </c>
      <c r="D8367" s="45" t="str">
        <f t="shared" si="23"/>
        <v/>
      </c>
      <c r="E8367" s="45" t="str">
        <f t="shared" si="24"/>
        <v/>
      </c>
      <c r="F8367" s="59" t="str">
        <f t="shared" si="25"/>
        <v/>
      </c>
      <c r="G8367" s="59" t="str">
        <f t="shared" si="26"/>
        <v/>
      </c>
      <c r="H8367" s="59" t="str">
        <f t="shared" si="27"/>
        <v>28H00603</v>
      </c>
      <c r="I8367" s="59" t="str">
        <f>IF(OR($A8367="",$C8367="",$D8367="",$E8367="",$H8367=""),"",SUMIFS(DATA_GOC!$H:$H,DATA_GOC!$A:$A,"BOM",DATA_GOC!$D:$D,$H8367,DATA_GOC!$E:$E,$C8367,DATA_GOC!$F:$F,"Xuất nội bộ từ téc",DATA_GOC!$B:$B,"&gt;="&amp;$D8367,DATA_GOC!$B:$B,"&lt;="&amp;$E8367))</f>
        <v/>
      </c>
      <c r="J8367" s="59">
        <f t="shared" si="28"/>
        <v>0</v>
      </c>
      <c r="K8367" s="59">
        <f t="shared" si="29"/>
        <v>0</v>
      </c>
      <c r="L8367" s="59">
        <f t="shared" si="30"/>
        <v>0</v>
      </c>
      <c r="M8367" s="59">
        <f t="shared" si="31"/>
        <v>0</v>
      </c>
    </row>
    <row r="8368" ht="15.0" hidden="1" customHeight="1">
      <c r="A8368" s="59">
        <f t="shared" si="20"/>
        <v>136</v>
      </c>
      <c r="B8368" s="59" t="str">
        <f t="shared" si="21"/>
        <v/>
      </c>
      <c r="C8368" s="59" t="str">
        <f t="shared" si="22"/>
        <v/>
      </c>
      <c r="D8368" s="45" t="str">
        <f t="shared" si="23"/>
        <v/>
      </c>
      <c r="E8368" s="45" t="str">
        <f t="shared" si="24"/>
        <v/>
      </c>
      <c r="F8368" s="59" t="str">
        <f t="shared" si="25"/>
        <v/>
      </c>
      <c r="G8368" s="59" t="str">
        <f t="shared" si="26"/>
        <v/>
      </c>
      <c r="H8368" s="59" t="str">
        <f t="shared" si="27"/>
        <v>28H00609</v>
      </c>
      <c r="I8368" s="59" t="str">
        <f>IF(OR($A8368="",$C8368="",$D8368="",$E8368="",$H8368=""),"",SUMIFS(DATA_GOC!$H:$H,DATA_GOC!$A:$A,"BOM",DATA_GOC!$D:$D,$H8368,DATA_GOC!$E:$E,$C8368,DATA_GOC!$F:$F,"Xuất nội bộ từ téc",DATA_GOC!$B:$B,"&gt;="&amp;$D8368,DATA_GOC!$B:$B,"&lt;="&amp;$E8368))</f>
        <v/>
      </c>
      <c r="J8368" s="59">
        <f t="shared" si="28"/>
        <v>0</v>
      </c>
      <c r="K8368" s="59">
        <f t="shared" si="29"/>
        <v>0</v>
      </c>
      <c r="L8368" s="59">
        <f t="shared" si="30"/>
        <v>0</v>
      </c>
      <c r="M8368" s="59">
        <f t="shared" si="31"/>
        <v>0</v>
      </c>
    </row>
    <row r="8369" ht="15.0" hidden="1" customHeight="1">
      <c r="A8369" s="59">
        <f t="shared" si="20"/>
        <v>136</v>
      </c>
      <c r="B8369" s="59" t="str">
        <f t="shared" si="21"/>
        <v/>
      </c>
      <c r="C8369" s="59" t="str">
        <f t="shared" si="22"/>
        <v/>
      </c>
      <c r="D8369" s="45" t="str">
        <f t="shared" si="23"/>
        <v/>
      </c>
      <c r="E8369" s="45" t="str">
        <f t="shared" si="24"/>
        <v/>
      </c>
      <c r="F8369" s="59" t="str">
        <f t="shared" si="25"/>
        <v/>
      </c>
      <c r="G8369" s="59" t="str">
        <f t="shared" si="26"/>
        <v/>
      </c>
      <c r="H8369" s="59" t="str">
        <f t="shared" si="27"/>
        <v>28H00669</v>
      </c>
      <c r="I8369" s="59" t="str">
        <f>IF(OR($A8369="",$C8369="",$D8369="",$E8369="",$H8369=""),"",SUMIFS(DATA_GOC!$H:$H,DATA_GOC!$A:$A,"BOM",DATA_GOC!$D:$D,$H8369,DATA_GOC!$E:$E,$C8369,DATA_GOC!$F:$F,"Xuất nội bộ từ téc",DATA_GOC!$B:$B,"&gt;="&amp;$D8369,DATA_GOC!$B:$B,"&lt;="&amp;$E8369))</f>
        <v/>
      </c>
      <c r="J8369" s="59">
        <f t="shared" si="28"/>
        <v>0</v>
      </c>
      <c r="K8369" s="59">
        <f t="shared" si="29"/>
        <v>0</v>
      </c>
      <c r="L8369" s="59">
        <f t="shared" si="30"/>
        <v>0</v>
      </c>
      <c r="M8369" s="59">
        <f t="shared" si="31"/>
        <v>0</v>
      </c>
    </row>
    <row r="8370" ht="15.0" hidden="1" customHeight="1">
      <c r="A8370" s="59">
        <f t="shared" si="20"/>
        <v>136</v>
      </c>
      <c r="B8370" s="59" t="str">
        <f t="shared" si="21"/>
        <v/>
      </c>
      <c r="C8370" s="59" t="str">
        <f t="shared" si="22"/>
        <v/>
      </c>
      <c r="D8370" s="45" t="str">
        <f t="shared" si="23"/>
        <v/>
      </c>
      <c r="E8370" s="45" t="str">
        <f t="shared" si="24"/>
        <v/>
      </c>
      <c r="F8370" s="59" t="str">
        <f t="shared" si="25"/>
        <v/>
      </c>
      <c r="G8370" s="59" t="str">
        <f t="shared" si="26"/>
        <v/>
      </c>
      <c r="H8370" s="59" t="str">
        <f t="shared" si="27"/>
        <v>28H00680</v>
      </c>
      <c r="I8370" s="59" t="str">
        <f>IF(OR($A8370="",$C8370="",$D8370="",$E8370="",$H8370=""),"",SUMIFS(DATA_GOC!$H:$H,DATA_GOC!$A:$A,"BOM",DATA_GOC!$D:$D,$H8370,DATA_GOC!$E:$E,$C8370,DATA_GOC!$F:$F,"Xuất nội bộ từ téc",DATA_GOC!$B:$B,"&gt;="&amp;$D8370,DATA_GOC!$B:$B,"&lt;="&amp;$E8370))</f>
        <v/>
      </c>
      <c r="J8370" s="59">
        <f t="shared" si="28"/>
        <v>0</v>
      </c>
      <c r="K8370" s="59">
        <f t="shared" si="29"/>
        <v>0</v>
      </c>
      <c r="L8370" s="59">
        <f t="shared" si="30"/>
        <v>0</v>
      </c>
      <c r="M8370" s="59">
        <f t="shared" si="31"/>
        <v>0</v>
      </c>
    </row>
    <row r="8371" ht="15.0" hidden="1" customHeight="1">
      <c r="A8371" s="59">
        <f t="shared" si="20"/>
        <v>136</v>
      </c>
      <c r="B8371" s="59" t="str">
        <f t="shared" si="21"/>
        <v/>
      </c>
      <c r="C8371" s="59" t="str">
        <f t="shared" si="22"/>
        <v/>
      </c>
      <c r="D8371" s="45" t="str">
        <f t="shared" si="23"/>
        <v/>
      </c>
      <c r="E8371" s="45" t="str">
        <f t="shared" si="24"/>
        <v/>
      </c>
      <c r="F8371" s="59" t="str">
        <f t="shared" si="25"/>
        <v/>
      </c>
      <c r="G8371" s="59" t="str">
        <f t="shared" si="26"/>
        <v/>
      </c>
      <c r="H8371" s="59" t="str">
        <f t="shared" si="27"/>
        <v>28H01070</v>
      </c>
      <c r="I8371" s="59" t="str">
        <f>IF(OR($A8371="",$C8371="",$D8371="",$E8371="",$H8371=""),"",SUMIFS(DATA_GOC!$H:$H,DATA_GOC!$A:$A,"BOM",DATA_GOC!$D:$D,$H8371,DATA_GOC!$E:$E,$C8371,DATA_GOC!$F:$F,"Xuất nội bộ từ téc",DATA_GOC!$B:$B,"&gt;="&amp;$D8371,DATA_GOC!$B:$B,"&lt;="&amp;$E8371))</f>
        <v/>
      </c>
      <c r="J8371" s="59">
        <f t="shared" si="28"/>
        <v>0</v>
      </c>
      <c r="K8371" s="59">
        <f t="shared" si="29"/>
        <v>0</v>
      </c>
      <c r="L8371" s="59">
        <f t="shared" si="30"/>
        <v>0</v>
      </c>
      <c r="M8371" s="59">
        <f t="shared" si="31"/>
        <v>0</v>
      </c>
    </row>
    <row r="8372" ht="15.0" hidden="1" customHeight="1">
      <c r="A8372" s="59">
        <f t="shared" si="20"/>
        <v>136</v>
      </c>
      <c r="B8372" s="59" t="str">
        <f t="shared" si="21"/>
        <v/>
      </c>
      <c r="C8372" s="59" t="str">
        <f t="shared" si="22"/>
        <v/>
      </c>
      <c r="D8372" s="45" t="str">
        <f t="shared" si="23"/>
        <v/>
      </c>
      <c r="E8372" s="45" t="str">
        <f t="shared" si="24"/>
        <v/>
      </c>
      <c r="F8372" s="59" t="str">
        <f t="shared" si="25"/>
        <v/>
      </c>
      <c r="G8372" s="59" t="str">
        <f t="shared" si="26"/>
        <v/>
      </c>
      <c r="H8372" s="59" t="str">
        <f t="shared" si="27"/>
        <v>28H01364</v>
      </c>
      <c r="I8372" s="59" t="str">
        <f>IF(OR($A8372="",$C8372="",$D8372="",$E8372="",$H8372=""),"",SUMIFS(DATA_GOC!$H:$H,DATA_GOC!$A:$A,"BOM",DATA_GOC!$D:$D,$H8372,DATA_GOC!$E:$E,$C8372,DATA_GOC!$F:$F,"Xuất nội bộ từ téc",DATA_GOC!$B:$B,"&gt;="&amp;$D8372,DATA_GOC!$B:$B,"&lt;="&amp;$E8372))</f>
        <v/>
      </c>
      <c r="J8372" s="59">
        <f t="shared" si="28"/>
        <v>0</v>
      </c>
      <c r="K8372" s="59">
        <f t="shared" si="29"/>
        <v>0</v>
      </c>
      <c r="L8372" s="59">
        <f t="shared" si="30"/>
        <v>0</v>
      </c>
      <c r="M8372" s="59">
        <f t="shared" si="31"/>
        <v>0</v>
      </c>
    </row>
    <row r="8373" ht="15.0" hidden="1" customHeight="1">
      <c r="A8373" s="59">
        <f t="shared" si="20"/>
        <v>136</v>
      </c>
      <c r="B8373" s="59" t="str">
        <f t="shared" si="21"/>
        <v/>
      </c>
      <c r="C8373" s="59" t="str">
        <f t="shared" si="22"/>
        <v/>
      </c>
      <c r="D8373" s="45" t="str">
        <f t="shared" si="23"/>
        <v/>
      </c>
      <c r="E8373" s="45" t="str">
        <f t="shared" si="24"/>
        <v/>
      </c>
      <c r="F8373" s="59" t="str">
        <f t="shared" si="25"/>
        <v/>
      </c>
      <c r="G8373" s="59" t="str">
        <f t="shared" si="26"/>
        <v/>
      </c>
      <c r="H8373" s="59" t="str">
        <f t="shared" si="27"/>
        <v>29E17269</v>
      </c>
      <c r="I8373" s="59" t="str">
        <f>IF(OR($A8373="",$C8373="",$D8373="",$E8373="",$H8373=""),"",SUMIFS(DATA_GOC!$H:$H,DATA_GOC!$A:$A,"BOM",DATA_GOC!$D:$D,$H8373,DATA_GOC!$E:$E,$C8373,DATA_GOC!$F:$F,"Xuất nội bộ từ téc",DATA_GOC!$B:$B,"&gt;="&amp;$D8373,DATA_GOC!$B:$B,"&lt;="&amp;$E8373))</f>
        <v/>
      </c>
      <c r="J8373" s="59">
        <f t="shared" si="28"/>
        <v>0</v>
      </c>
      <c r="K8373" s="59">
        <f t="shared" si="29"/>
        <v>0</v>
      </c>
      <c r="L8373" s="59">
        <f t="shared" si="30"/>
        <v>0</v>
      </c>
      <c r="M8373" s="59">
        <f t="shared" si="31"/>
        <v>0</v>
      </c>
    </row>
    <row r="8374" ht="15.0" hidden="1" customHeight="1">
      <c r="A8374" s="59">
        <f t="shared" si="20"/>
        <v>136</v>
      </c>
      <c r="B8374" s="59" t="str">
        <f t="shared" si="21"/>
        <v/>
      </c>
      <c r="C8374" s="59" t="str">
        <f t="shared" si="22"/>
        <v/>
      </c>
      <c r="D8374" s="45" t="str">
        <f t="shared" si="23"/>
        <v/>
      </c>
      <c r="E8374" s="45" t="str">
        <f t="shared" si="24"/>
        <v/>
      </c>
      <c r="F8374" s="59" t="str">
        <f t="shared" si="25"/>
        <v/>
      </c>
      <c r="G8374" s="59" t="str">
        <f t="shared" si="26"/>
        <v/>
      </c>
      <c r="H8374" s="59" t="str">
        <f t="shared" si="27"/>
        <v>29E17273</v>
      </c>
      <c r="I8374" s="59" t="str">
        <f>IF(OR($A8374="",$C8374="",$D8374="",$E8374="",$H8374=""),"",SUMIFS(DATA_GOC!$H:$H,DATA_GOC!$A:$A,"BOM",DATA_GOC!$D:$D,$H8374,DATA_GOC!$E:$E,$C8374,DATA_GOC!$F:$F,"Xuất nội bộ từ téc",DATA_GOC!$B:$B,"&gt;="&amp;$D8374,DATA_GOC!$B:$B,"&lt;="&amp;$E8374))</f>
        <v/>
      </c>
      <c r="J8374" s="59">
        <f t="shared" si="28"/>
        <v>0</v>
      </c>
      <c r="K8374" s="59">
        <f t="shared" si="29"/>
        <v>0</v>
      </c>
      <c r="L8374" s="59">
        <f t="shared" si="30"/>
        <v>0</v>
      </c>
      <c r="M8374" s="59">
        <f t="shared" si="31"/>
        <v>0</v>
      </c>
    </row>
    <row r="8375" ht="15.0" hidden="1" customHeight="1">
      <c r="A8375" s="59">
        <f t="shared" si="20"/>
        <v>136</v>
      </c>
      <c r="B8375" s="59" t="str">
        <f t="shared" si="21"/>
        <v/>
      </c>
      <c r="C8375" s="59" t="str">
        <f t="shared" si="22"/>
        <v/>
      </c>
      <c r="D8375" s="45" t="str">
        <f t="shared" si="23"/>
        <v/>
      </c>
      <c r="E8375" s="45" t="str">
        <f t="shared" si="24"/>
        <v/>
      </c>
      <c r="F8375" s="59" t="str">
        <f t="shared" si="25"/>
        <v/>
      </c>
      <c r="G8375" s="59" t="str">
        <f t="shared" si="26"/>
        <v/>
      </c>
      <c r="H8375" s="59" t="str">
        <f t="shared" si="27"/>
        <v>29E17410</v>
      </c>
      <c r="I8375" s="59" t="str">
        <f>IF(OR($A8375="",$C8375="",$D8375="",$E8375="",$H8375=""),"",SUMIFS(DATA_GOC!$H:$H,DATA_GOC!$A:$A,"BOM",DATA_GOC!$D:$D,$H8375,DATA_GOC!$E:$E,$C8375,DATA_GOC!$F:$F,"Xuất nội bộ từ téc",DATA_GOC!$B:$B,"&gt;="&amp;$D8375,DATA_GOC!$B:$B,"&lt;="&amp;$E8375))</f>
        <v/>
      </c>
      <c r="J8375" s="59">
        <f t="shared" si="28"/>
        <v>0</v>
      </c>
      <c r="K8375" s="59">
        <f t="shared" si="29"/>
        <v>0</v>
      </c>
      <c r="L8375" s="59">
        <f t="shared" si="30"/>
        <v>0</v>
      </c>
      <c r="M8375" s="59">
        <f t="shared" si="31"/>
        <v>0</v>
      </c>
    </row>
    <row r="8376" ht="15.0" hidden="1" customHeight="1">
      <c r="A8376" s="59">
        <f t="shared" si="20"/>
        <v>136</v>
      </c>
      <c r="B8376" s="59" t="str">
        <f t="shared" si="21"/>
        <v/>
      </c>
      <c r="C8376" s="59" t="str">
        <f t="shared" si="22"/>
        <v/>
      </c>
      <c r="D8376" s="45" t="str">
        <f t="shared" si="23"/>
        <v/>
      </c>
      <c r="E8376" s="45" t="str">
        <f t="shared" si="24"/>
        <v/>
      </c>
      <c r="F8376" s="59" t="str">
        <f t="shared" si="25"/>
        <v/>
      </c>
      <c r="G8376" s="59" t="str">
        <f t="shared" si="26"/>
        <v/>
      </c>
      <c r="H8376" s="59" t="str">
        <f t="shared" si="27"/>
        <v>29E17417</v>
      </c>
      <c r="I8376" s="59" t="str">
        <f>IF(OR($A8376="",$C8376="",$D8376="",$E8376="",$H8376=""),"",SUMIFS(DATA_GOC!$H:$H,DATA_GOC!$A:$A,"BOM",DATA_GOC!$D:$D,$H8376,DATA_GOC!$E:$E,$C8376,DATA_GOC!$F:$F,"Xuất nội bộ từ téc",DATA_GOC!$B:$B,"&gt;="&amp;$D8376,DATA_GOC!$B:$B,"&lt;="&amp;$E8376))</f>
        <v/>
      </c>
      <c r="J8376" s="59">
        <f t="shared" si="28"/>
        <v>0</v>
      </c>
      <c r="K8376" s="59">
        <f t="shared" si="29"/>
        <v>0</v>
      </c>
      <c r="L8376" s="59">
        <f t="shared" si="30"/>
        <v>0</v>
      </c>
      <c r="M8376" s="59">
        <f t="shared" si="31"/>
        <v>0</v>
      </c>
    </row>
    <row r="8377" ht="15.0" hidden="1" customHeight="1">
      <c r="A8377" s="59">
        <f t="shared" si="20"/>
        <v>136</v>
      </c>
      <c r="B8377" s="59" t="str">
        <f t="shared" si="21"/>
        <v/>
      </c>
      <c r="C8377" s="59" t="str">
        <f t="shared" si="22"/>
        <v/>
      </c>
      <c r="D8377" s="45" t="str">
        <f t="shared" si="23"/>
        <v/>
      </c>
      <c r="E8377" s="45" t="str">
        <f t="shared" si="24"/>
        <v/>
      </c>
      <c r="F8377" s="59" t="str">
        <f t="shared" si="25"/>
        <v/>
      </c>
      <c r="G8377" s="59" t="str">
        <f t="shared" si="26"/>
        <v/>
      </c>
      <c r="H8377" s="59" t="str">
        <f t="shared" si="27"/>
        <v>29E17539</v>
      </c>
      <c r="I8377" s="59" t="str">
        <f>IF(OR($A8377="",$C8377="",$D8377="",$E8377="",$H8377=""),"",SUMIFS(DATA_GOC!$H:$H,DATA_GOC!$A:$A,"BOM",DATA_GOC!$D:$D,$H8377,DATA_GOC!$E:$E,$C8377,DATA_GOC!$F:$F,"Xuất nội bộ từ téc",DATA_GOC!$B:$B,"&gt;="&amp;$D8377,DATA_GOC!$B:$B,"&lt;="&amp;$E8377))</f>
        <v/>
      </c>
      <c r="J8377" s="59">
        <f t="shared" si="28"/>
        <v>0</v>
      </c>
      <c r="K8377" s="59">
        <f t="shared" si="29"/>
        <v>0</v>
      </c>
      <c r="L8377" s="59">
        <f t="shared" si="30"/>
        <v>0</v>
      </c>
      <c r="M8377" s="59">
        <f t="shared" si="31"/>
        <v>0</v>
      </c>
    </row>
    <row r="8378" ht="15.0" hidden="1" customHeight="1">
      <c r="A8378" s="59">
        <f t="shared" si="20"/>
        <v>136</v>
      </c>
      <c r="B8378" s="59" t="str">
        <f t="shared" si="21"/>
        <v/>
      </c>
      <c r="C8378" s="59" t="str">
        <f t="shared" si="22"/>
        <v/>
      </c>
      <c r="D8378" s="45" t="str">
        <f t="shared" si="23"/>
        <v/>
      </c>
      <c r="E8378" s="45" t="str">
        <f t="shared" si="24"/>
        <v/>
      </c>
      <c r="F8378" s="59" t="str">
        <f t="shared" si="25"/>
        <v/>
      </c>
      <c r="G8378" s="59" t="str">
        <f t="shared" si="26"/>
        <v/>
      </c>
      <c r="H8378" s="59" t="str">
        <f t="shared" si="27"/>
        <v>29E18160</v>
      </c>
      <c r="I8378" s="59" t="str">
        <f>IF(OR($A8378="",$C8378="",$D8378="",$E8378="",$H8378=""),"",SUMIFS(DATA_GOC!$H:$H,DATA_GOC!$A:$A,"BOM",DATA_GOC!$D:$D,$H8378,DATA_GOC!$E:$E,$C8378,DATA_GOC!$F:$F,"Xuất nội bộ từ téc",DATA_GOC!$B:$B,"&gt;="&amp;$D8378,DATA_GOC!$B:$B,"&lt;="&amp;$E8378))</f>
        <v/>
      </c>
      <c r="J8378" s="59">
        <f t="shared" si="28"/>
        <v>0</v>
      </c>
      <c r="K8378" s="59">
        <f t="shared" si="29"/>
        <v>0</v>
      </c>
      <c r="L8378" s="59">
        <f t="shared" si="30"/>
        <v>0</v>
      </c>
      <c r="M8378" s="59">
        <f t="shared" si="31"/>
        <v>0</v>
      </c>
    </row>
    <row r="8379" ht="15.0" hidden="1" customHeight="1">
      <c r="A8379" s="59">
        <f t="shared" si="20"/>
        <v>136</v>
      </c>
      <c r="B8379" s="59" t="str">
        <f t="shared" si="21"/>
        <v/>
      </c>
      <c r="C8379" s="59" t="str">
        <f t="shared" si="22"/>
        <v/>
      </c>
      <c r="D8379" s="45" t="str">
        <f t="shared" si="23"/>
        <v/>
      </c>
      <c r="E8379" s="45" t="str">
        <f t="shared" si="24"/>
        <v/>
      </c>
      <c r="F8379" s="59" t="str">
        <f t="shared" si="25"/>
        <v/>
      </c>
      <c r="G8379" s="59" t="str">
        <f t="shared" si="26"/>
        <v/>
      </c>
      <c r="H8379" s="59" t="str">
        <f t="shared" si="27"/>
        <v>Công trình Asphalt</v>
      </c>
      <c r="I8379" s="59" t="str">
        <f>IF(OR($A8379="",$C8379="",$D8379="",$E8379="",$H8379=""),"",SUMIFS(DATA_GOC!$H:$H,DATA_GOC!$A:$A,"BOM",DATA_GOC!$D:$D,$H8379,DATA_GOC!$E:$E,$C8379,DATA_GOC!$F:$F,"Xuất nội bộ từ téc",DATA_GOC!$B:$B,"&gt;="&amp;$D8379,DATA_GOC!$B:$B,"&lt;="&amp;$E8379))</f>
        <v/>
      </c>
      <c r="J8379" s="59">
        <f t="shared" si="28"/>
        <v>0</v>
      </c>
      <c r="K8379" s="59">
        <f t="shared" si="29"/>
        <v>0</v>
      </c>
      <c r="L8379" s="59">
        <f t="shared" si="30"/>
        <v>0</v>
      </c>
      <c r="M8379" s="59">
        <f t="shared" si="31"/>
        <v>0</v>
      </c>
    </row>
    <row r="8380" ht="15.0" hidden="1" customHeight="1">
      <c r="A8380" s="59">
        <f t="shared" si="20"/>
        <v>136</v>
      </c>
      <c r="B8380" s="59" t="str">
        <f t="shared" si="21"/>
        <v/>
      </c>
      <c r="C8380" s="59" t="str">
        <f t="shared" si="22"/>
        <v/>
      </c>
      <c r="D8380" s="45" t="str">
        <f t="shared" si="23"/>
        <v/>
      </c>
      <c r="E8380" s="45" t="str">
        <f t="shared" si="24"/>
        <v/>
      </c>
      <c r="F8380" s="59" t="str">
        <f t="shared" si="25"/>
        <v/>
      </c>
      <c r="G8380" s="59" t="str">
        <f t="shared" si="26"/>
        <v/>
      </c>
      <c r="H8380" s="59" t="str">
        <f t="shared" si="27"/>
        <v>LG53F</v>
      </c>
      <c r="I8380" s="59" t="str">
        <f>IF(OR($A8380="",$C8380="",$D8380="",$E8380="",$H8380=""),"",SUMIFS(DATA_GOC!$H:$H,DATA_GOC!$A:$A,"BOM",DATA_GOC!$D:$D,$H8380,DATA_GOC!$E:$E,$C8380,DATA_GOC!$F:$F,"Xuất nội bộ từ téc",DATA_GOC!$B:$B,"&gt;="&amp;$D8380,DATA_GOC!$B:$B,"&lt;="&amp;$E8380))</f>
        <v/>
      </c>
      <c r="J8380" s="59">
        <f t="shared" si="28"/>
        <v>0</v>
      </c>
      <c r="K8380" s="59">
        <f t="shared" si="29"/>
        <v>0</v>
      </c>
      <c r="L8380" s="59">
        <f t="shared" si="30"/>
        <v>0</v>
      </c>
      <c r="M8380" s="59">
        <f t="shared" si="31"/>
        <v>0</v>
      </c>
    </row>
    <row r="8381" ht="15.0" hidden="1" customHeight="1">
      <c r="A8381" s="59">
        <f t="shared" si="20"/>
        <v>136</v>
      </c>
      <c r="B8381" s="59" t="str">
        <f t="shared" si="21"/>
        <v/>
      </c>
      <c r="C8381" s="59" t="str">
        <f t="shared" si="22"/>
        <v/>
      </c>
      <c r="D8381" s="45" t="str">
        <f t="shared" si="23"/>
        <v/>
      </c>
      <c r="E8381" s="45" t="str">
        <f t="shared" si="24"/>
        <v/>
      </c>
      <c r="F8381" s="59" t="str">
        <f t="shared" si="25"/>
        <v/>
      </c>
      <c r="G8381" s="59" t="str">
        <f t="shared" si="26"/>
        <v/>
      </c>
      <c r="H8381" s="59" t="str">
        <f t="shared" si="27"/>
        <v>Máy phát điện</v>
      </c>
      <c r="I8381" s="59" t="str">
        <f>IF(OR($A8381="",$C8381="",$D8381="",$E8381="",$H8381=""),"",SUMIFS(DATA_GOC!$H:$H,DATA_GOC!$A:$A,"BOM",DATA_GOC!$D:$D,$H8381,DATA_GOC!$E:$E,$C8381,DATA_GOC!$F:$F,"Xuất nội bộ từ téc",DATA_GOC!$B:$B,"&gt;="&amp;$D8381,DATA_GOC!$B:$B,"&lt;="&amp;$E8381))</f>
        <v/>
      </c>
      <c r="J8381" s="59">
        <f t="shared" si="28"/>
        <v>0</v>
      </c>
      <c r="K8381" s="59">
        <f t="shared" si="29"/>
        <v>0</v>
      </c>
      <c r="L8381" s="59">
        <f t="shared" si="30"/>
        <v>0</v>
      </c>
      <c r="M8381" s="59">
        <f t="shared" si="31"/>
        <v>0</v>
      </c>
    </row>
    <row r="8382" ht="15.0" hidden="1" customHeight="1">
      <c r="A8382" s="59">
        <f t="shared" si="20"/>
        <v>136</v>
      </c>
      <c r="B8382" s="59" t="str">
        <f t="shared" si="21"/>
        <v/>
      </c>
      <c r="C8382" s="59" t="str">
        <f t="shared" si="22"/>
        <v/>
      </c>
      <c r="D8382" s="45" t="str">
        <f t="shared" si="23"/>
        <v/>
      </c>
      <c r="E8382" s="45" t="str">
        <f t="shared" si="24"/>
        <v/>
      </c>
      <c r="F8382" s="59" t="str">
        <f t="shared" si="25"/>
        <v/>
      </c>
      <c r="G8382" s="59" t="str">
        <f t="shared" si="26"/>
        <v/>
      </c>
      <c r="H8382" s="59" t="str">
        <f t="shared" si="27"/>
        <v>Máy rải thảm</v>
      </c>
      <c r="I8382" s="59" t="str">
        <f>IF(OR($A8382="",$C8382="",$D8382="",$E8382="",$H8382=""),"",SUMIFS(DATA_GOC!$H:$H,DATA_GOC!$A:$A,"BOM",DATA_GOC!$D:$D,$H8382,DATA_GOC!$E:$E,$C8382,DATA_GOC!$F:$F,"Xuất nội bộ từ téc",DATA_GOC!$B:$B,"&gt;="&amp;$D8382,DATA_GOC!$B:$B,"&lt;="&amp;$E8382))</f>
        <v/>
      </c>
      <c r="J8382" s="59">
        <f t="shared" si="28"/>
        <v>0</v>
      </c>
      <c r="K8382" s="59">
        <f t="shared" si="29"/>
        <v>0</v>
      </c>
      <c r="L8382" s="59">
        <f t="shared" si="30"/>
        <v>0</v>
      </c>
      <c r="M8382" s="59">
        <f t="shared" si="31"/>
        <v>0</v>
      </c>
    </row>
    <row r="8383" ht="15.0" hidden="1" customHeight="1">
      <c r="A8383" s="59">
        <f t="shared" si="20"/>
        <v>136</v>
      </c>
      <c r="B8383" s="59" t="str">
        <f t="shared" si="21"/>
        <v/>
      </c>
      <c r="C8383" s="59" t="str">
        <f t="shared" si="22"/>
        <v/>
      </c>
      <c r="D8383" s="45" t="str">
        <f t="shared" si="23"/>
        <v/>
      </c>
      <c r="E8383" s="45" t="str">
        <f t="shared" si="24"/>
        <v/>
      </c>
      <c r="F8383" s="59" t="str">
        <f t="shared" si="25"/>
        <v/>
      </c>
      <c r="G8383" s="59" t="str">
        <f t="shared" si="26"/>
        <v/>
      </c>
      <c r="H8383" s="59" t="str">
        <f t="shared" si="27"/>
        <v>Xúc Đào</v>
      </c>
      <c r="I8383" s="59" t="str">
        <f>IF(OR($A8383="",$C8383="",$D8383="",$E8383="",$H8383=""),"",SUMIFS(DATA_GOC!$H:$H,DATA_GOC!$A:$A,"BOM",DATA_GOC!$D:$D,$H8383,DATA_GOC!$E:$E,$C8383,DATA_GOC!$F:$F,"Xuất nội bộ từ téc",DATA_GOC!$B:$B,"&gt;="&amp;$D8383,DATA_GOC!$B:$B,"&lt;="&amp;$E8383))</f>
        <v/>
      </c>
      <c r="J8383" s="59">
        <f t="shared" si="28"/>
        <v>0</v>
      </c>
      <c r="K8383" s="59">
        <f t="shared" si="29"/>
        <v>0</v>
      </c>
      <c r="L8383" s="59">
        <f t="shared" si="30"/>
        <v>0</v>
      </c>
      <c r="M8383" s="59">
        <f t="shared" si="31"/>
        <v>0</v>
      </c>
    </row>
    <row r="8384" ht="15.0" hidden="1" customHeight="1">
      <c r="A8384" s="59">
        <f t="shared" si="20"/>
        <v>136</v>
      </c>
      <c r="B8384" s="59" t="str">
        <f t="shared" si="21"/>
        <v/>
      </c>
      <c r="C8384" s="59" t="str">
        <f t="shared" si="22"/>
        <v/>
      </c>
      <c r="D8384" s="45" t="str">
        <f t="shared" si="23"/>
        <v/>
      </c>
      <c r="E8384" s="45" t="str">
        <f t="shared" si="24"/>
        <v/>
      </c>
      <c r="F8384" s="59" t="str">
        <f t="shared" si="25"/>
        <v/>
      </c>
      <c r="G8384" s="59" t="str">
        <f t="shared" si="26"/>
        <v/>
      </c>
      <c r="H8384" s="59" t="str">
        <f t="shared" si="27"/>
        <v>Xúclật asphalt</v>
      </c>
      <c r="I8384" s="59" t="str">
        <f>IF(OR($A8384="",$C8384="",$D8384="",$E8384="",$H8384=""),"",SUMIFS(DATA_GOC!$H:$H,DATA_GOC!$A:$A,"BOM",DATA_GOC!$D:$D,$H8384,DATA_GOC!$E:$E,$C8384,DATA_GOC!$F:$F,"Xuất nội bộ từ téc",DATA_GOC!$B:$B,"&gt;="&amp;$D8384,DATA_GOC!$B:$B,"&lt;="&amp;$E8384))</f>
        <v/>
      </c>
      <c r="J8384" s="59">
        <f t="shared" si="28"/>
        <v>0</v>
      </c>
      <c r="K8384" s="59">
        <f t="shared" si="29"/>
        <v>0</v>
      </c>
      <c r="L8384" s="59">
        <f t="shared" si="30"/>
        <v>0</v>
      </c>
      <c r="M8384" s="59">
        <f t="shared" si="31"/>
        <v>0</v>
      </c>
    </row>
    <row r="8385" ht="15.0" hidden="1" customHeight="1">
      <c r="A8385" s="59">
        <f t="shared" si="20"/>
        <v>136</v>
      </c>
      <c r="B8385" s="59" t="str">
        <f t="shared" si="21"/>
        <v/>
      </c>
      <c r="C8385" s="59" t="str">
        <f t="shared" si="22"/>
        <v/>
      </c>
      <c r="D8385" s="45" t="str">
        <f t="shared" si="23"/>
        <v/>
      </c>
      <c r="E8385" s="45" t="str">
        <f t="shared" si="24"/>
        <v/>
      </c>
      <c r="F8385" s="59" t="str">
        <f t="shared" si="25"/>
        <v/>
      </c>
      <c r="G8385" s="59" t="str">
        <f t="shared" si="26"/>
        <v/>
      </c>
      <c r="H8385" s="59" t="str">
        <f t="shared" si="27"/>
        <v>Xúclật855H</v>
      </c>
      <c r="I8385" s="59" t="str">
        <f>IF(OR($A8385="",$C8385="",$D8385="",$E8385="",$H8385=""),"",SUMIFS(DATA_GOC!$H:$H,DATA_GOC!$A:$A,"BOM",DATA_GOC!$D:$D,$H8385,DATA_GOC!$E:$E,$C8385,DATA_GOC!$F:$F,"Xuất nội bộ từ téc",DATA_GOC!$B:$B,"&gt;="&amp;$D8385,DATA_GOC!$B:$B,"&lt;="&amp;$E8385))</f>
        <v/>
      </c>
      <c r="J8385" s="59">
        <f t="shared" si="28"/>
        <v>0</v>
      </c>
      <c r="K8385" s="59">
        <f t="shared" si="29"/>
        <v>0</v>
      </c>
      <c r="L8385" s="59">
        <f t="shared" si="30"/>
        <v>0</v>
      </c>
      <c r="M8385" s="59">
        <f t="shared" si="31"/>
        <v>0</v>
      </c>
    </row>
    <row r="8386" ht="15.0" hidden="1" customHeight="1">
      <c r="A8386" s="59">
        <f t="shared" si="20"/>
        <v>136</v>
      </c>
      <c r="B8386" s="59" t="str">
        <f t="shared" si="21"/>
        <v/>
      </c>
      <c r="C8386" s="59" t="str">
        <f t="shared" si="22"/>
        <v/>
      </c>
      <c r="D8386" s="45" t="str">
        <f t="shared" si="23"/>
        <v/>
      </c>
      <c r="E8386" s="45" t="str">
        <f t="shared" si="24"/>
        <v/>
      </c>
      <c r="F8386" s="59" t="str">
        <f t="shared" si="25"/>
        <v/>
      </c>
      <c r="G8386" s="59" t="str">
        <f t="shared" si="26"/>
        <v/>
      </c>
      <c r="H8386" s="59" t="str">
        <f t="shared" si="27"/>
        <v>Xúclật855N</v>
      </c>
      <c r="I8386" s="59" t="str">
        <f>IF(OR($A8386="",$C8386="",$D8386="",$E8386="",$H8386=""),"",SUMIFS(DATA_GOC!$H:$H,DATA_GOC!$A:$A,"BOM",DATA_GOC!$D:$D,$H8386,DATA_GOC!$E:$E,$C8386,DATA_GOC!$F:$F,"Xuất nội bộ từ téc",DATA_GOC!$B:$B,"&gt;="&amp;$D8386,DATA_GOC!$B:$B,"&lt;="&amp;$E8386))</f>
        <v/>
      </c>
      <c r="J8386" s="59">
        <f t="shared" si="28"/>
        <v>0</v>
      </c>
      <c r="K8386" s="59">
        <f t="shared" si="29"/>
        <v>0</v>
      </c>
      <c r="L8386" s="59">
        <f t="shared" si="30"/>
        <v>0</v>
      </c>
      <c r="M8386" s="59">
        <f t="shared" si="31"/>
        <v>0</v>
      </c>
    </row>
    <row r="8387" ht="15.0" hidden="1" customHeight="1">
      <c r="A8387" s="59">
        <f t="shared" si="20"/>
        <v>136</v>
      </c>
      <c r="B8387" s="59" t="str">
        <f t="shared" si="21"/>
        <v/>
      </c>
      <c r="C8387" s="59" t="str">
        <f t="shared" si="22"/>
        <v/>
      </c>
      <c r="D8387" s="45" t="str">
        <f t="shared" si="23"/>
        <v/>
      </c>
      <c r="E8387" s="45" t="str">
        <f t="shared" si="24"/>
        <v/>
      </c>
      <c r="F8387" s="59" t="str">
        <f t="shared" si="25"/>
        <v/>
      </c>
      <c r="G8387" s="59" t="str">
        <f t="shared" si="26"/>
        <v/>
      </c>
      <c r="H8387" s="59" t="str">
        <f t="shared" si="27"/>
        <v>Cát nghiền</v>
      </c>
      <c r="I8387" s="59" t="str">
        <f>IF(OR($A8387="",$C8387="",$D8387="",$E8387="",$H8387=""),"",SUMIFS(DATA_GOC!$H:$H,DATA_GOC!$A:$A,"BOM",DATA_GOC!$D:$D,$H8387,DATA_GOC!$E:$E,$C8387,DATA_GOC!$F:$F,"Xuất nội bộ từ téc",DATA_GOC!$B:$B,"&gt;="&amp;$D8387,DATA_GOC!$B:$B,"&lt;="&amp;$E8387))</f>
        <v/>
      </c>
      <c r="J8387" s="59">
        <f t="shared" si="28"/>
        <v>0</v>
      </c>
      <c r="K8387" s="59">
        <f t="shared" si="29"/>
        <v>0</v>
      </c>
      <c r="L8387" s="59">
        <f t="shared" si="30"/>
        <v>0</v>
      </c>
      <c r="M8387" s="59">
        <f t="shared" si="31"/>
        <v>0</v>
      </c>
    </row>
    <row r="8388" ht="15.0" hidden="1" customHeight="1">
      <c r="A8388" s="59">
        <f t="shared" si="20"/>
        <v>136</v>
      </c>
      <c r="B8388" s="59" t="str">
        <f t="shared" si="21"/>
        <v/>
      </c>
      <c r="C8388" s="59" t="str">
        <f t="shared" si="22"/>
        <v/>
      </c>
      <c r="D8388" s="45" t="str">
        <f t="shared" si="23"/>
        <v/>
      </c>
      <c r="E8388" s="45" t="str">
        <f t="shared" si="24"/>
        <v/>
      </c>
      <c r="F8388" s="59" t="str">
        <f t="shared" si="25"/>
        <v/>
      </c>
      <c r="G8388" s="59" t="str">
        <f t="shared" si="26"/>
        <v/>
      </c>
      <c r="H8388" s="59" t="str">
        <f t="shared" si="27"/>
        <v>28C02973</v>
      </c>
      <c r="I8388" s="59" t="str">
        <f>IF(OR($A8388="",$C8388="",$D8388="",$E8388="",$H8388=""),"",SUMIFS(DATA_GOC!$H:$H,DATA_GOC!$A:$A,"BOM",DATA_GOC!$D:$D,$H8388,DATA_GOC!$E:$E,$C8388,DATA_GOC!$F:$F,"Xuất nội bộ từ téc",DATA_GOC!$B:$B,"&gt;="&amp;$D8388,DATA_GOC!$B:$B,"&lt;="&amp;$E8388))</f>
        <v/>
      </c>
      <c r="J8388" s="59">
        <f t="shared" si="28"/>
        <v>0</v>
      </c>
      <c r="K8388" s="59">
        <f t="shared" si="29"/>
        <v>0</v>
      </c>
      <c r="L8388" s="59">
        <f t="shared" si="30"/>
        <v>0</v>
      </c>
      <c r="M8388" s="59">
        <f t="shared" si="31"/>
        <v>0</v>
      </c>
    </row>
    <row r="8389" ht="15.0" hidden="1" customHeight="1">
      <c r="A8389" s="59">
        <f t="shared" si="20"/>
        <v>136</v>
      </c>
      <c r="B8389" s="59" t="str">
        <f t="shared" si="21"/>
        <v/>
      </c>
      <c r="C8389" s="59" t="str">
        <f t="shared" si="22"/>
        <v/>
      </c>
      <c r="D8389" s="45" t="str">
        <f t="shared" si="23"/>
        <v/>
      </c>
      <c r="E8389" s="45" t="str">
        <f t="shared" si="24"/>
        <v/>
      </c>
      <c r="F8389" s="59" t="str">
        <f t="shared" si="25"/>
        <v/>
      </c>
      <c r="G8389" s="59" t="str">
        <f t="shared" si="26"/>
        <v/>
      </c>
      <c r="H8389" s="59" t="str">
        <f t="shared" si="27"/>
        <v>28C03044</v>
      </c>
      <c r="I8389" s="59" t="str">
        <f>IF(OR($A8389="",$C8389="",$D8389="",$E8389="",$H8389=""),"",SUMIFS(DATA_GOC!$H:$H,DATA_GOC!$A:$A,"BOM",DATA_GOC!$D:$D,$H8389,DATA_GOC!$E:$E,$C8389,DATA_GOC!$F:$F,"Xuất nội bộ từ téc",DATA_GOC!$B:$B,"&gt;="&amp;$D8389,DATA_GOC!$B:$B,"&lt;="&amp;$E8389))</f>
        <v/>
      </c>
      <c r="J8389" s="59">
        <f t="shared" si="28"/>
        <v>0</v>
      </c>
      <c r="K8389" s="59">
        <f t="shared" si="29"/>
        <v>0</v>
      </c>
      <c r="L8389" s="59">
        <f t="shared" si="30"/>
        <v>0</v>
      </c>
      <c r="M8389" s="59">
        <f t="shared" si="31"/>
        <v>0</v>
      </c>
    </row>
    <row r="8390" ht="15.0" hidden="1" customHeight="1">
      <c r="A8390" s="59">
        <f t="shared" si="20"/>
        <v>136</v>
      </c>
      <c r="B8390" s="59" t="str">
        <f t="shared" si="21"/>
        <v/>
      </c>
      <c r="C8390" s="59" t="str">
        <f t="shared" si="22"/>
        <v/>
      </c>
      <c r="D8390" s="45" t="str">
        <f t="shared" si="23"/>
        <v/>
      </c>
      <c r="E8390" s="45" t="str">
        <f t="shared" si="24"/>
        <v/>
      </c>
      <c r="F8390" s="59" t="str">
        <f t="shared" si="25"/>
        <v/>
      </c>
      <c r="G8390" s="59" t="str">
        <f t="shared" si="26"/>
        <v/>
      </c>
      <c r="H8390" s="59" t="str">
        <f t="shared" si="27"/>
        <v>Máy lu lốp</v>
      </c>
      <c r="I8390" s="59" t="str">
        <f>IF(OR($A8390="",$C8390="",$D8390="",$E8390="",$H8390=""),"",SUMIFS(DATA_GOC!$H:$H,DATA_GOC!$A:$A,"BOM",DATA_GOC!$D:$D,$H8390,DATA_GOC!$E:$E,$C8390,DATA_GOC!$F:$F,"Xuất nội bộ từ téc",DATA_GOC!$B:$B,"&gt;="&amp;$D8390,DATA_GOC!$B:$B,"&lt;="&amp;$E8390))</f>
        <v/>
      </c>
      <c r="J8390" s="59">
        <f t="shared" si="28"/>
        <v>0</v>
      </c>
      <c r="K8390" s="59">
        <f t="shared" si="29"/>
        <v>0</v>
      </c>
      <c r="L8390" s="59">
        <f t="shared" si="30"/>
        <v>0</v>
      </c>
      <c r="M8390" s="59">
        <f t="shared" si="31"/>
        <v>0</v>
      </c>
    </row>
    <row r="8391" ht="15.0" hidden="1" customHeight="1">
      <c r="A8391" s="59">
        <f t="shared" si="20"/>
        <v>136</v>
      </c>
      <c r="B8391" s="59" t="str">
        <f t="shared" si="21"/>
        <v/>
      </c>
      <c r="C8391" s="59" t="str">
        <f t="shared" si="22"/>
        <v/>
      </c>
      <c r="D8391" s="45" t="str">
        <f t="shared" si="23"/>
        <v/>
      </c>
      <c r="E8391" s="45" t="str">
        <f t="shared" si="24"/>
        <v/>
      </c>
      <c r="F8391" s="59" t="str">
        <f t="shared" si="25"/>
        <v/>
      </c>
      <c r="G8391" s="59" t="str">
        <f t="shared" si="26"/>
        <v/>
      </c>
      <c r="H8391" s="59" t="str">
        <f t="shared" si="27"/>
        <v>Xe 600148</v>
      </c>
      <c r="I8391" s="59" t="str">
        <f>IF(OR($A8391="",$C8391="",$D8391="",$E8391="",$H8391=""),"",SUMIFS(DATA_GOC!$H:$H,DATA_GOC!$A:$A,"BOM",DATA_GOC!$D:$D,$H8391,DATA_GOC!$E:$E,$C8391,DATA_GOC!$F:$F,"Xuất nội bộ từ téc",DATA_GOC!$B:$B,"&gt;="&amp;$D8391,DATA_GOC!$B:$B,"&lt;="&amp;$E8391))</f>
        <v/>
      </c>
      <c r="J8391" s="59">
        <f t="shared" si="28"/>
        <v>0</v>
      </c>
      <c r="K8391" s="59">
        <f t="shared" si="29"/>
        <v>0</v>
      </c>
      <c r="L8391" s="59">
        <f t="shared" si="30"/>
        <v>0</v>
      </c>
      <c r="M8391" s="59">
        <f t="shared" si="31"/>
        <v>0</v>
      </c>
    </row>
    <row r="8392" ht="15.0" hidden="1" customHeight="1">
      <c r="A8392" s="59">
        <f t="shared" si="20"/>
        <v>136</v>
      </c>
      <c r="B8392" s="59" t="str">
        <f t="shared" si="21"/>
        <v/>
      </c>
      <c r="C8392" s="59" t="str">
        <f t="shared" si="22"/>
        <v/>
      </c>
      <c r="D8392" s="45" t="str">
        <f t="shared" si="23"/>
        <v/>
      </c>
      <c r="E8392" s="45" t="str">
        <f t="shared" si="24"/>
        <v/>
      </c>
      <c r="F8392" s="59" t="str">
        <f t="shared" si="25"/>
        <v/>
      </c>
      <c r="G8392" s="59" t="str">
        <f t="shared" si="26"/>
        <v/>
      </c>
      <c r="H8392" s="59" t="str">
        <f t="shared" si="27"/>
        <v>Xe ben mới</v>
      </c>
      <c r="I8392" s="59" t="str">
        <f>IF(OR($A8392="",$C8392="",$D8392="",$E8392="",$H8392=""),"",SUMIFS(DATA_GOC!$H:$H,DATA_GOC!$A:$A,"BOM",DATA_GOC!$D:$D,$H8392,DATA_GOC!$E:$E,$C8392,DATA_GOC!$F:$F,"Xuất nội bộ từ téc",DATA_GOC!$B:$B,"&gt;="&amp;$D8392,DATA_GOC!$B:$B,"&lt;="&amp;$E8392))</f>
        <v/>
      </c>
      <c r="J8392" s="59">
        <f t="shared" si="28"/>
        <v>0</v>
      </c>
      <c r="K8392" s="59">
        <f t="shared" si="29"/>
        <v>0</v>
      </c>
      <c r="L8392" s="59">
        <f t="shared" si="30"/>
        <v>0</v>
      </c>
      <c r="M8392" s="59">
        <f t="shared" si="31"/>
        <v>0</v>
      </c>
    </row>
    <row r="8393" ht="15.0" hidden="1" customHeight="1">
      <c r="A8393" s="59">
        <f t="shared" si="20"/>
        <v>137</v>
      </c>
      <c r="B8393" s="59" t="str">
        <f t="shared" si="21"/>
        <v/>
      </c>
      <c r="C8393" s="59" t="str">
        <f t="shared" si="22"/>
        <v/>
      </c>
      <c r="D8393" s="45" t="str">
        <f t="shared" si="23"/>
        <v/>
      </c>
      <c r="E8393" s="45" t="str">
        <f t="shared" si="24"/>
        <v/>
      </c>
      <c r="F8393" s="59" t="str">
        <f t="shared" si="25"/>
        <v/>
      </c>
      <c r="G8393" s="59" t="str">
        <f t="shared" si="26"/>
        <v/>
      </c>
      <c r="H8393" s="59" t="str">
        <f t="shared" si="27"/>
        <v>19H09482</v>
      </c>
      <c r="I8393" s="59" t="str">
        <f>IF(OR($A8393="",$C8393="",$D8393="",$E8393="",$H8393=""),"",SUMIFS(DATA_GOC!$H:$H,DATA_GOC!$A:$A,"BOM",DATA_GOC!$D:$D,$H8393,DATA_GOC!$E:$E,$C8393,DATA_GOC!$F:$F,"Xuất nội bộ từ téc",DATA_GOC!$B:$B,"&gt;="&amp;$D8393,DATA_GOC!$B:$B,"&lt;="&amp;$E8393))</f>
        <v/>
      </c>
      <c r="J8393" s="59">
        <f t="shared" si="28"/>
        <v>0</v>
      </c>
      <c r="K8393" s="59">
        <f t="shared" si="29"/>
        <v>0</v>
      </c>
      <c r="L8393" s="59">
        <f t="shared" si="30"/>
        <v>0</v>
      </c>
      <c r="M8393" s="59">
        <f t="shared" si="31"/>
        <v>0</v>
      </c>
    </row>
    <row r="8394" ht="15.0" hidden="1" customHeight="1">
      <c r="A8394" s="59">
        <f t="shared" si="20"/>
        <v>137</v>
      </c>
      <c r="B8394" s="59" t="str">
        <f t="shared" si="21"/>
        <v/>
      </c>
      <c r="C8394" s="59" t="str">
        <f t="shared" si="22"/>
        <v/>
      </c>
      <c r="D8394" s="45" t="str">
        <f t="shared" si="23"/>
        <v/>
      </c>
      <c r="E8394" s="45" t="str">
        <f t="shared" si="24"/>
        <v/>
      </c>
      <c r="F8394" s="59" t="str">
        <f t="shared" si="25"/>
        <v/>
      </c>
      <c r="G8394" s="59" t="str">
        <f t="shared" si="26"/>
        <v/>
      </c>
      <c r="H8394" s="59" t="str">
        <f t="shared" si="27"/>
        <v>28A30696</v>
      </c>
      <c r="I8394" s="59" t="str">
        <f>IF(OR($A8394="",$C8394="",$D8394="",$E8394="",$H8394=""),"",SUMIFS(DATA_GOC!$H:$H,DATA_GOC!$A:$A,"BOM",DATA_GOC!$D:$D,$H8394,DATA_GOC!$E:$E,$C8394,DATA_GOC!$F:$F,"Xuất nội bộ từ téc",DATA_GOC!$B:$B,"&gt;="&amp;$D8394,DATA_GOC!$B:$B,"&lt;="&amp;$E8394))</f>
        <v/>
      </c>
      <c r="J8394" s="59">
        <f t="shared" si="28"/>
        <v>0</v>
      </c>
      <c r="K8394" s="59">
        <f t="shared" si="29"/>
        <v>0</v>
      </c>
      <c r="L8394" s="59">
        <f t="shared" si="30"/>
        <v>0</v>
      </c>
      <c r="M8394" s="59">
        <f t="shared" si="31"/>
        <v>0</v>
      </c>
    </row>
    <row r="8395" ht="15.0" hidden="1" customHeight="1">
      <c r="A8395" s="59">
        <f t="shared" si="20"/>
        <v>137</v>
      </c>
      <c r="B8395" s="59" t="str">
        <f t="shared" si="21"/>
        <v/>
      </c>
      <c r="C8395" s="59" t="str">
        <f t="shared" si="22"/>
        <v/>
      </c>
      <c r="D8395" s="45" t="str">
        <f t="shared" si="23"/>
        <v/>
      </c>
      <c r="E8395" s="45" t="str">
        <f t="shared" si="24"/>
        <v/>
      </c>
      <c r="F8395" s="59" t="str">
        <f t="shared" si="25"/>
        <v/>
      </c>
      <c r="G8395" s="59" t="str">
        <f t="shared" si="26"/>
        <v/>
      </c>
      <c r="H8395" s="59" t="str">
        <f t="shared" si="27"/>
        <v>28C00462</v>
      </c>
      <c r="I8395" s="59" t="str">
        <f>IF(OR($A8395="",$C8395="",$D8395="",$E8395="",$H8395=""),"",SUMIFS(DATA_GOC!$H:$H,DATA_GOC!$A:$A,"BOM",DATA_GOC!$D:$D,$H8395,DATA_GOC!$E:$E,$C8395,DATA_GOC!$F:$F,"Xuất nội bộ từ téc",DATA_GOC!$B:$B,"&gt;="&amp;$D8395,DATA_GOC!$B:$B,"&lt;="&amp;$E8395))</f>
        <v/>
      </c>
      <c r="J8395" s="59">
        <f t="shared" si="28"/>
        <v>0</v>
      </c>
      <c r="K8395" s="59">
        <f t="shared" si="29"/>
        <v>0</v>
      </c>
      <c r="L8395" s="59">
        <f t="shared" si="30"/>
        <v>0</v>
      </c>
      <c r="M8395" s="59">
        <f t="shared" si="31"/>
        <v>0</v>
      </c>
    </row>
    <row r="8396" ht="15.0" hidden="1" customHeight="1">
      <c r="A8396" s="59">
        <f t="shared" si="20"/>
        <v>137</v>
      </c>
      <c r="B8396" s="59" t="str">
        <f t="shared" si="21"/>
        <v/>
      </c>
      <c r="C8396" s="59" t="str">
        <f t="shared" si="22"/>
        <v/>
      </c>
      <c r="D8396" s="45" t="str">
        <f t="shared" si="23"/>
        <v/>
      </c>
      <c r="E8396" s="45" t="str">
        <f t="shared" si="24"/>
        <v/>
      </c>
      <c r="F8396" s="59" t="str">
        <f t="shared" si="25"/>
        <v/>
      </c>
      <c r="G8396" s="59" t="str">
        <f t="shared" si="26"/>
        <v/>
      </c>
      <c r="H8396" s="59" t="str">
        <f t="shared" si="27"/>
        <v>28C01165</v>
      </c>
      <c r="I8396" s="59" t="str">
        <f>IF(OR($A8396="",$C8396="",$D8396="",$E8396="",$H8396=""),"",SUMIFS(DATA_GOC!$H:$H,DATA_GOC!$A:$A,"BOM",DATA_GOC!$D:$D,$H8396,DATA_GOC!$E:$E,$C8396,DATA_GOC!$F:$F,"Xuất nội bộ từ téc",DATA_GOC!$B:$B,"&gt;="&amp;$D8396,DATA_GOC!$B:$B,"&lt;="&amp;$E8396))</f>
        <v/>
      </c>
      <c r="J8396" s="59">
        <f t="shared" si="28"/>
        <v>0</v>
      </c>
      <c r="K8396" s="59">
        <f t="shared" si="29"/>
        <v>0</v>
      </c>
      <c r="L8396" s="59">
        <f t="shared" si="30"/>
        <v>0</v>
      </c>
      <c r="M8396" s="59">
        <f t="shared" si="31"/>
        <v>0</v>
      </c>
    </row>
    <row r="8397" ht="15.0" hidden="1" customHeight="1">
      <c r="A8397" s="59">
        <f t="shared" si="20"/>
        <v>137</v>
      </c>
      <c r="B8397" s="59" t="str">
        <f t="shared" si="21"/>
        <v/>
      </c>
      <c r="C8397" s="59" t="str">
        <f t="shared" si="22"/>
        <v/>
      </c>
      <c r="D8397" s="45" t="str">
        <f t="shared" si="23"/>
        <v/>
      </c>
      <c r="E8397" s="45" t="str">
        <f t="shared" si="24"/>
        <v/>
      </c>
      <c r="F8397" s="59" t="str">
        <f t="shared" si="25"/>
        <v/>
      </c>
      <c r="G8397" s="59" t="str">
        <f t="shared" si="26"/>
        <v/>
      </c>
      <c r="H8397" s="59" t="str">
        <f t="shared" si="27"/>
        <v>28C01406</v>
      </c>
      <c r="I8397" s="59" t="str">
        <f>IF(OR($A8397="",$C8397="",$D8397="",$E8397="",$H8397=""),"",SUMIFS(DATA_GOC!$H:$H,DATA_GOC!$A:$A,"BOM",DATA_GOC!$D:$D,$H8397,DATA_GOC!$E:$E,$C8397,DATA_GOC!$F:$F,"Xuất nội bộ từ téc",DATA_GOC!$B:$B,"&gt;="&amp;$D8397,DATA_GOC!$B:$B,"&lt;="&amp;$E8397))</f>
        <v/>
      </c>
      <c r="J8397" s="59">
        <f t="shared" si="28"/>
        <v>0</v>
      </c>
      <c r="K8397" s="59">
        <f t="shared" si="29"/>
        <v>0</v>
      </c>
      <c r="L8397" s="59">
        <f t="shared" si="30"/>
        <v>0</v>
      </c>
      <c r="M8397" s="59">
        <f t="shared" si="31"/>
        <v>0</v>
      </c>
    </row>
    <row r="8398" ht="15.0" hidden="1" customHeight="1">
      <c r="A8398" s="59">
        <f t="shared" si="20"/>
        <v>137</v>
      </c>
      <c r="B8398" s="59" t="str">
        <f t="shared" si="21"/>
        <v/>
      </c>
      <c r="C8398" s="59" t="str">
        <f t="shared" si="22"/>
        <v/>
      </c>
      <c r="D8398" s="45" t="str">
        <f t="shared" si="23"/>
        <v/>
      </c>
      <c r="E8398" s="45" t="str">
        <f t="shared" si="24"/>
        <v/>
      </c>
      <c r="F8398" s="59" t="str">
        <f t="shared" si="25"/>
        <v/>
      </c>
      <c r="G8398" s="59" t="str">
        <f t="shared" si="26"/>
        <v/>
      </c>
      <c r="H8398" s="59" t="str">
        <f t="shared" si="27"/>
        <v>28C01544</v>
      </c>
      <c r="I8398" s="59" t="str">
        <f>IF(OR($A8398="",$C8398="",$D8398="",$E8398="",$H8398=""),"",SUMIFS(DATA_GOC!$H:$H,DATA_GOC!$A:$A,"BOM",DATA_GOC!$D:$D,$H8398,DATA_GOC!$E:$E,$C8398,DATA_GOC!$F:$F,"Xuất nội bộ từ téc",DATA_GOC!$B:$B,"&gt;="&amp;$D8398,DATA_GOC!$B:$B,"&lt;="&amp;$E8398))</f>
        <v/>
      </c>
      <c r="J8398" s="59">
        <f t="shared" si="28"/>
        <v>0</v>
      </c>
      <c r="K8398" s="59">
        <f t="shared" si="29"/>
        <v>0</v>
      </c>
      <c r="L8398" s="59">
        <f t="shared" si="30"/>
        <v>0</v>
      </c>
      <c r="M8398" s="59">
        <f t="shared" si="31"/>
        <v>0</v>
      </c>
    </row>
    <row r="8399" ht="15.0" hidden="1" customHeight="1">
      <c r="A8399" s="59">
        <f t="shared" si="20"/>
        <v>137</v>
      </c>
      <c r="B8399" s="59" t="str">
        <f t="shared" si="21"/>
        <v/>
      </c>
      <c r="C8399" s="59" t="str">
        <f t="shared" si="22"/>
        <v/>
      </c>
      <c r="D8399" s="45" t="str">
        <f t="shared" si="23"/>
        <v/>
      </c>
      <c r="E8399" s="45" t="str">
        <f t="shared" si="24"/>
        <v/>
      </c>
      <c r="F8399" s="59" t="str">
        <f t="shared" si="25"/>
        <v/>
      </c>
      <c r="G8399" s="59" t="str">
        <f t="shared" si="26"/>
        <v/>
      </c>
      <c r="H8399" s="59" t="str">
        <f t="shared" si="27"/>
        <v>28C01622</v>
      </c>
      <c r="I8399" s="59" t="str">
        <f>IF(OR($A8399="",$C8399="",$D8399="",$E8399="",$H8399=""),"",SUMIFS(DATA_GOC!$H:$H,DATA_GOC!$A:$A,"BOM",DATA_GOC!$D:$D,$H8399,DATA_GOC!$E:$E,$C8399,DATA_GOC!$F:$F,"Xuất nội bộ từ téc",DATA_GOC!$B:$B,"&gt;="&amp;$D8399,DATA_GOC!$B:$B,"&lt;="&amp;$E8399))</f>
        <v/>
      </c>
      <c r="J8399" s="59">
        <f t="shared" si="28"/>
        <v>0</v>
      </c>
      <c r="K8399" s="59">
        <f t="shared" si="29"/>
        <v>0</v>
      </c>
      <c r="L8399" s="59">
        <f t="shared" si="30"/>
        <v>0</v>
      </c>
      <c r="M8399" s="59">
        <f t="shared" si="31"/>
        <v>0</v>
      </c>
    </row>
    <row r="8400" ht="15.0" hidden="1" customHeight="1">
      <c r="A8400" s="59">
        <f t="shared" si="20"/>
        <v>137</v>
      </c>
      <c r="B8400" s="59" t="str">
        <f t="shared" si="21"/>
        <v/>
      </c>
      <c r="C8400" s="59" t="str">
        <f t="shared" si="22"/>
        <v/>
      </c>
      <c r="D8400" s="45" t="str">
        <f t="shared" si="23"/>
        <v/>
      </c>
      <c r="E8400" s="45" t="str">
        <f t="shared" si="24"/>
        <v/>
      </c>
      <c r="F8400" s="59" t="str">
        <f t="shared" si="25"/>
        <v/>
      </c>
      <c r="G8400" s="59" t="str">
        <f t="shared" si="26"/>
        <v/>
      </c>
      <c r="H8400" s="59" t="str">
        <f t="shared" si="27"/>
        <v>28C01647</v>
      </c>
      <c r="I8400" s="59" t="str">
        <f>IF(OR($A8400="",$C8400="",$D8400="",$E8400="",$H8400=""),"",SUMIFS(DATA_GOC!$H:$H,DATA_GOC!$A:$A,"BOM",DATA_GOC!$D:$D,$H8400,DATA_GOC!$E:$E,$C8400,DATA_GOC!$F:$F,"Xuất nội bộ từ téc",DATA_GOC!$B:$B,"&gt;="&amp;$D8400,DATA_GOC!$B:$B,"&lt;="&amp;$E8400))</f>
        <v/>
      </c>
      <c r="J8400" s="59">
        <f t="shared" si="28"/>
        <v>0</v>
      </c>
      <c r="K8400" s="59">
        <f t="shared" si="29"/>
        <v>0</v>
      </c>
      <c r="L8400" s="59">
        <f t="shared" si="30"/>
        <v>0</v>
      </c>
      <c r="M8400" s="59">
        <f t="shared" si="31"/>
        <v>0</v>
      </c>
    </row>
    <row r="8401" ht="15.0" hidden="1" customHeight="1">
      <c r="A8401" s="59">
        <f t="shared" si="20"/>
        <v>137</v>
      </c>
      <c r="B8401" s="59" t="str">
        <f t="shared" si="21"/>
        <v/>
      </c>
      <c r="C8401" s="59" t="str">
        <f t="shared" si="22"/>
        <v/>
      </c>
      <c r="D8401" s="45" t="str">
        <f t="shared" si="23"/>
        <v/>
      </c>
      <c r="E8401" s="45" t="str">
        <f t="shared" si="24"/>
        <v/>
      </c>
      <c r="F8401" s="59" t="str">
        <f t="shared" si="25"/>
        <v/>
      </c>
      <c r="G8401" s="59" t="str">
        <f t="shared" si="26"/>
        <v/>
      </c>
      <c r="H8401" s="59" t="str">
        <f t="shared" si="27"/>
        <v>28C01731</v>
      </c>
      <c r="I8401" s="59" t="str">
        <f>IF(OR($A8401="",$C8401="",$D8401="",$E8401="",$H8401=""),"",SUMIFS(DATA_GOC!$H:$H,DATA_GOC!$A:$A,"BOM",DATA_GOC!$D:$D,$H8401,DATA_GOC!$E:$E,$C8401,DATA_GOC!$F:$F,"Xuất nội bộ từ téc",DATA_GOC!$B:$B,"&gt;="&amp;$D8401,DATA_GOC!$B:$B,"&lt;="&amp;$E8401))</f>
        <v/>
      </c>
      <c r="J8401" s="59">
        <f t="shared" si="28"/>
        <v>0</v>
      </c>
      <c r="K8401" s="59">
        <f t="shared" si="29"/>
        <v>0</v>
      </c>
      <c r="L8401" s="59">
        <f t="shared" si="30"/>
        <v>0</v>
      </c>
      <c r="M8401" s="59">
        <f t="shared" si="31"/>
        <v>0</v>
      </c>
    </row>
    <row r="8402" ht="15.0" hidden="1" customHeight="1">
      <c r="A8402" s="59">
        <f t="shared" si="20"/>
        <v>137</v>
      </c>
      <c r="B8402" s="59" t="str">
        <f t="shared" si="21"/>
        <v/>
      </c>
      <c r="C8402" s="59" t="str">
        <f t="shared" si="22"/>
        <v/>
      </c>
      <c r="D8402" s="45" t="str">
        <f t="shared" si="23"/>
        <v/>
      </c>
      <c r="E8402" s="45" t="str">
        <f t="shared" si="24"/>
        <v/>
      </c>
      <c r="F8402" s="59" t="str">
        <f t="shared" si="25"/>
        <v/>
      </c>
      <c r="G8402" s="59" t="str">
        <f t="shared" si="26"/>
        <v/>
      </c>
      <c r="H8402" s="59" t="str">
        <f t="shared" si="27"/>
        <v>28C01743</v>
      </c>
      <c r="I8402" s="59" t="str">
        <f>IF(OR($A8402="",$C8402="",$D8402="",$E8402="",$H8402=""),"",SUMIFS(DATA_GOC!$H:$H,DATA_GOC!$A:$A,"BOM",DATA_GOC!$D:$D,$H8402,DATA_GOC!$E:$E,$C8402,DATA_GOC!$F:$F,"Xuất nội bộ từ téc",DATA_GOC!$B:$B,"&gt;="&amp;$D8402,DATA_GOC!$B:$B,"&lt;="&amp;$E8402))</f>
        <v/>
      </c>
      <c r="J8402" s="59">
        <f t="shared" si="28"/>
        <v>0</v>
      </c>
      <c r="K8402" s="59">
        <f t="shared" si="29"/>
        <v>0</v>
      </c>
      <c r="L8402" s="59">
        <f t="shared" si="30"/>
        <v>0</v>
      </c>
      <c r="M8402" s="59">
        <f t="shared" si="31"/>
        <v>0</v>
      </c>
    </row>
    <row r="8403" ht="15.0" hidden="1" customHeight="1">
      <c r="A8403" s="59">
        <f t="shared" si="20"/>
        <v>137</v>
      </c>
      <c r="B8403" s="59" t="str">
        <f t="shared" si="21"/>
        <v/>
      </c>
      <c r="C8403" s="59" t="str">
        <f t="shared" si="22"/>
        <v/>
      </c>
      <c r="D8403" s="45" t="str">
        <f t="shared" si="23"/>
        <v/>
      </c>
      <c r="E8403" s="45" t="str">
        <f t="shared" si="24"/>
        <v/>
      </c>
      <c r="F8403" s="59" t="str">
        <f t="shared" si="25"/>
        <v/>
      </c>
      <c r="G8403" s="59" t="str">
        <f t="shared" si="26"/>
        <v/>
      </c>
      <c r="H8403" s="59" t="str">
        <f t="shared" si="27"/>
        <v>28C02106</v>
      </c>
      <c r="I8403" s="59" t="str">
        <f>IF(OR($A8403="",$C8403="",$D8403="",$E8403="",$H8403=""),"",SUMIFS(DATA_GOC!$H:$H,DATA_GOC!$A:$A,"BOM",DATA_GOC!$D:$D,$H8403,DATA_GOC!$E:$E,$C8403,DATA_GOC!$F:$F,"Xuất nội bộ từ téc",DATA_GOC!$B:$B,"&gt;="&amp;$D8403,DATA_GOC!$B:$B,"&lt;="&amp;$E8403))</f>
        <v/>
      </c>
      <c r="J8403" s="59">
        <f t="shared" si="28"/>
        <v>0</v>
      </c>
      <c r="K8403" s="59">
        <f t="shared" si="29"/>
        <v>0</v>
      </c>
      <c r="L8403" s="59">
        <f t="shared" si="30"/>
        <v>0</v>
      </c>
      <c r="M8403" s="59">
        <f t="shared" si="31"/>
        <v>0</v>
      </c>
    </row>
    <row r="8404" ht="15.0" hidden="1" customHeight="1">
      <c r="A8404" s="59">
        <f t="shared" si="20"/>
        <v>137</v>
      </c>
      <c r="B8404" s="59" t="str">
        <f t="shared" si="21"/>
        <v/>
      </c>
      <c r="C8404" s="59" t="str">
        <f t="shared" si="22"/>
        <v/>
      </c>
      <c r="D8404" s="45" t="str">
        <f t="shared" si="23"/>
        <v/>
      </c>
      <c r="E8404" s="45" t="str">
        <f t="shared" si="24"/>
        <v/>
      </c>
      <c r="F8404" s="59" t="str">
        <f t="shared" si="25"/>
        <v/>
      </c>
      <c r="G8404" s="59" t="str">
        <f t="shared" si="26"/>
        <v/>
      </c>
      <c r="H8404" s="59" t="str">
        <f t="shared" si="27"/>
        <v>28C02410</v>
      </c>
      <c r="I8404" s="59" t="str">
        <f>IF(OR($A8404="",$C8404="",$D8404="",$E8404="",$H8404=""),"",SUMIFS(DATA_GOC!$H:$H,DATA_GOC!$A:$A,"BOM",DATA_GOC!$D:$D,$H8404,DATA_GOC!$E:$E,$C8404,DATA_GOC!$F:$F,"Xuất nội bộ từ téc",DATA_GOC!$B:$B,"&gt;="&amp;$D8404,DATA_GOC!$B:$B,"&lt;="&amp;$E8404))</f>
        <v/>
      </c>
      <c r="J8404" s="59">
        <f t="shared" si="28"/>
        <v>0</v>
      </c>
      <c r="K8404" s="59">
        <f t="shared" si="29"/>
        <v>0</v>
      </c>
      <c r="L8404" s="59">
        <f t="shared" si="30"/>
        <v>0</v>
      </c>
      <c r="M8404" s="59">
        <f t="shared" si="31"/>
        <v>0</v>
      </c>
    </row>
    <row r="8405" ht="15.0" hidden="1" customHeight="1">
      <c r="A8405" s="59">
        <f t="shared" si="20"/>
        <v>137</v>
      </c>
      <c r="B8405" s="59" t="str">
        <f t="shared" si="21"/>
        <v/>
      </c>
      <c r="C8405" s="59" t="str">
        <f t="shared" si="22"/>
        <v/>
      </c>
      <c r="D8405" s="45" t="str">
        <f t="shared" si="23"/>
        <v/>
      </c>
      <c r="E8405" s="45" t="str">
        <f t="shared" si="24"/>
        <v/>
      </c>
      <c r="F8405" s="59" t="str">
        <f t="shared" si="25"/>
        <v/>
      </c>
      <c r="G8405" s="59" t="str">
        <f t="shared" si="26"/>
        <v/>
      </c>
      <c r="H8405" s="59" t="str">
        <f t="shared" si="27"/>
        <v>28C02545</v>
      </c>
      <c r="I8405" s="59" t="str">
        <f>IF(OR($A8405="",$C8405="",$D8405="",$E8405="",$H8405=""),"",SUMIFS(DATA_GOC!$H:$H,DATA_GOC!$A:$A,"BOM",DATA_GOC!$D:$D,$H8405,DATA_GOC!$E:$E,$C8405,DATA_GOC!$F:$F,"Xuất nội bộ từ téc",DATA_GOC!$B:$B,"&gt;="&amp;$D8405,DATA_GOC!$B:$B,"&lt;="&amp;$E8405))</f>
        <v/>
      </c>
      <c r="J8405" s="59">
        <f t="shared" si="28"/>
        <v>0</v>
      </c>
      <c r="K8405" s="59">
        <f t="shared" si="29"/>
        <v>0</v>
      </c>
      <c r="L8405" s="59">
        <f t="shared" si="30"/>
        <v>0</v>
      </c>
      <c r="M8405" s="59">
        <f t="shared" si="31"/>
        <v>0</v>
      </c>
    </row>
    <row r="8406" ht="15.0" hidden="1" customHeight="1">
      <c r="A8406" s="59">
        <f t="shared" si="20"/>
        <v>137</v>
      </c>
      <c r="B8406" s="59" t="str">
        <f t="shared" si="21"/>
        <v/>
      </c>
      <c r="C8406" s="59" t="str">
        <f t="shared" si="22"/>
        <v/>
      </c>
      <c r="D8406" s="45" t="str">
        <f t="shared" si="23"/>
        <v/>
      </c>
      <c r="E8406" s="45" t="str">
        <f t="shared" si="24"/>
        <v/>
      </c>
      <c r="F8406" s="59" t="str">
        <f t="shared" si="25"/>
        <v/>
      </c>
      <c r="G8406" s="59" t="str">
        <f t="shared" si="26"/>
        <v/>
      </c>
      <c r="H8406" s="59" t="str">
        <f t="shared" si="27"/>
        <v>28C02574</v>
      </c>
      <c r="I8406" s="59" t="str">
        <f>IF(OR($A8406="",$C8406="",$D8406="",$E8406="",$H8406=""),"",SUMIFS(DATA_GOC!$H:$H,DATA_GOC!$A:$A,"BOM",DATA_GOC!$D:$D,$H8406,DATA_GOC!$E:$E,$C8406,DATA_GOC!$F:$F,"Xuất nội bộ từ téc",DATA_GOC!$B:$B,"&gt;="&amp;$D8406,DATA_GOC!$B:$B,"&lt;="&amp;$E8406))</f>
        <v/>
      </c>
      <c r="J8406" s="59">
        <f t="shared" si="28"/>
        <v>0</v>
      </c>
      <c r="K8406" s="59">
        <f t="shared" si="29"/>
        <v>0</v>
      </c>
      <c r="L8406" s="59">
        <f t="shared" si="30"/>
        <v>0</v>
      </c>
      <c r="M8406" s="59">
        <f t="shared" si="31"/>
        <v>0</v>
      </c>
    </row>
    <row r="8407" ht="15.0" hidden="1" customHeight="1">
      <c r="A8407" s="59">
        <f t="shared" si="20"/>
        <v>137</v>
      </c>
      <c r="B8407" s="59" t="str">
        <f t="shared" si="21"/>
        <v/>
      </c>
      <c r="C8407" s="59" t="str">
        <f t="shared" si="22"/>
        <v/>
      </c>
      <c r="D8407" s="45" t="str">
        <f t="shared" si="23"/>
        <v/>
      </c>
      <c r="E8407" s="45" t="str">
        <f t="shared" si="24"/>
        <v/>
      </c>
      <c r="F8407" s="59" t="str">
        <f t="shared" si="25"/>
        <v/>
      </c>
      <c r="G8407" s="59" t="str">
        <f t="shared" si="26"/>
        <v/>
      </c>
      <c r="H8407" s="59" t="str">
        <f t="shared" si="27"/>
        <v>28C02770</v>
      </c>
      <c r="I8407" s="59" t="str">
        <f>IF(OR($A8407="",$C8407="",$D8407="",$E8407="",$H8407=""),"",SUMIFS(DATA_GOC!$H:$H,DATA_GOC!$A:$A,"BOM",DATA_GOC!$D:$D,$H8407,DATA_GOC!$E:$E,$C8407,DATA_GOC!$F:$F,"Xuất nội bộ từ téc",DATA_GOC!$B:$B,"&gt;="&amp;$D8407,DATA_GOC!$B:$B,"&lt;="&amp;$E8407))</f>
        <v/>
      </c>
      <c r="J8407" s="59">
        <f t="shared" si="28"/>
        <v>0</v>
      </c>
      <c r="K8407" s="59">
        <f t="shared" si="29"/>
        <v>0</v>
      </c>
      <c r="L8407" s="59">
        <f t="shared" si="30"/>
        <v>0</v>
      </c>
      <c r="M8407" s="59">
        <f t="shared" si="31"/>
        <v>0</v>
      </c>
    </row>
    <row r="8408" ht="15.0" hidden="1" customHeight="1">
      <c r="A8408" s="59">
        <f t="shared" si="20"/>
        <v>137</v>
      </c>
      <c r="B8408" s="59" t="str">
        <f t="shared" si="21"/>
        <v/>
      </c>
      <c r="C8408" s="59" t="str">
        <f t="shared" si="22"/>
        <v/>
      </c>
      <c r="D8408" s="45" t="str">
        <f t="shared" si="23"/>
        <v/>
      </c>
      <c r="E8408" s="45" t="str">
        <f t="shared" si="24"/>
        <v/>
      </c>
      <c r="F8408" s="59" t="str">
        <f t="shared" si="25"/>
        <v/>
      </c>
      <c r="G8408" s="59" t="str">
        <f t="shared" si="26"/>
        <v/>
      </c>
      <c r="H8408" s="59" t="str">
        <f t="shared" si="27"/>
        <v>28C02986</v>
      </c>
      <c r="I8408" s="59" t="str">
        <f>IF(OR($A8408="",$C8408="",$D8408="",$E8408="",$H8408=""),"",SUMIFS(DATA_GOC!$H:$H,DATA_GOC!$A:$A,"BOM",DATA_GOC!$D:$D,$H8408,DATA_GOC!$E:$E,$C8408,DATA_GOC!$F:$F,"Xuất nội bộ từ téc",DATA_GOC!$B:$B,"&gt;="&amp;$D8408,DATA_GOC!$B:$B,"&lt;="&amp;$E8408))</f>
        <v/>
      </c>
      <c r="J8408" s="59">
        <f t="shared" si="28"/>
        <v>0</v>
      </c>
      <c r="K8408" s="59">
        <f t="shared" si="29"/>
        <v>0</v>
      </c>
      <c r="L8408" s="59">
        <f t="shared" si="30"/>
        <v>0</v>
      </c>
      <c r="M8408" s="59">
        <f t="shared" si="31"/>
        <v>0</v>
      </c>
    </row>
    <row r="8409" ht="15.0" hidden="1" customHeight="1">
      <c r="A8409" s="59">
        <f t="shared" si="20"/>
        <v>137</v>
      </c>
      <c r="B8409" s="59" t="str">
        <f t="shared" si="21"/>
        <v/>
      </c>
      <c r="C8409" s="59" t="str">
        <f t="shared" si="22"/>
        <v/>
      </c>
      <c r="D8409" s="45" t="str">
        <f t="shared" si="23"/>
        <v/>
      </c>
      <c r="E8409" s="45" t="str">
        <f t="shared" si="24"/>
        <v/>
      </c>
      <c r="F8409" s="59" t="str">
        <f t="shared" si="25"/>
        <v/>
      </c>
      <c r="G8409" s="59" t="str">
        <f t="shared" si="26"/>
        <v/>
      </c>
      <c r="H8409" s="59" t="str">
        <f t="shared" si="27"/>
        <v>28C03261</v>
      </c>
      <c r="I8409" s="59" t="str">
        <f>IF(OR($A8409="",$C8409="",$D8409="",$E8409="",$H8409=""),"",SUMIFS(DATA_GOC!$H:$H,DATA_GOC!$A:$A,"BOM",DATA_GOC!$D:$D,$H8409,DATA_GOC!$E:$E,$C8409,DATA_GOC!$F:$F,"Xuất nội bộ từ téc",DATA_GOC!$B:$B,"&gt;="&amp;$D8409,DATA_GOC!$B:$B,"&lt;="&amp;$E8409))</f>
        <v/>
      </c>
      <c r="J8409" s="59">
        <f t="shared" si="28"/>
        <v>0</v>
      </c>
      <c r="K8409" s="59">
        <f t="shared" si="29"/>
        <v>0</v>
      </c>
      <c r="L8409" s="59">
        <f t="shared" si="30"/>
        <v>0</v>
      </c>
      <c r="M8409" s="59">
        <f t="shared" si="31"/>
        <v>0</v>
      </c>
    </row>
    <row r="8410" ht="15.0" hidden="1" customHeight="1">
      <c r="A8410" s="59">
        <f t="shared" si="20"/>
        <v>137</v>
      </c>
      <c r="B8410" s="59" t="str">
        <f t="shared" si="21"/>
        <v/>
      </c>
      <c r="C8410" s="59" t="str">
        <f t="shared" si="22"/>
        <v/>
      </c>
      <c r="D8410" s="45" t="str">
        <f t="shared" si="23"/>
        <v/>
      </c>
      <c r="E8410" s="45" t="str">
        <f t="shared" si="24"/>
        <v/>
      </c>
      <c r="F8410" s="59" t="str">
        <f t="shared" si="25"/>
        <v/>
      </c>
      <c r="G8410" s="59" t="str">
        <f t="shared" si="26"/>
        <v/>
      </c>
      <c r="H8410" s="59" t="str">
        <f t="shared" si="27"/>
        <v>28C03323</v>
      </c>
      <c r="I8410" s="59" t="str">
        <f>IF(OR($A8410="",$C8410="",$D8410="",$E8410="",$H8410=""),"",SUMIFS(DATA_GOC!$H:$H,DATA_GOC!$A:$A,"BOM",DATA_GOC!$D:$D,$H8410,DATA_GOC!$E:$E,$C8410,DATA_GOC!$F:$F,"Xuất nội bộ từ téc",DATA_GOC!$B:$B,"&gt;="&amp;$D8410,DATA_GOC!$B:$B,"&lt;="&amp;$E8410))</f>
        <v/>
      </c>
      <c r="J8410" s="59">
        <f t="shared" si="28"/>
        <v>0</v>
      </c>
      <c r="K8410" s="59">
        <f t="shared" si="29"/>
        <v>0</v>
      </c>
      <c r="L8410" s="59">
        <f t="shared" si="30"/>
        <v>0</v>
      </c>
      <c r="M8410" s="59">
        <f t="shared" si="31"/>
        <v>0</v>
      </c>
    </row>
    <row r="8411" ht="15.0" hidden="1" customHeight="1">
      <c r="A8411" s="59">
        <f t="shared" si="20"/>
        <v>137</v>
      </c>
      <c r="B8411" s="59" t="str">
        <f t="shared" si="21"/>
        <v/>
      </c>
      <c r="C8411" s="59" t="str">
        <f t="shared" si="22"/>
        <v/>
      </c>
      <c r="D8411" s="45" t="str">
        <f t="shared" si="23"/>
        <v/>
      </c>
      <c r="E8411" s="45" t="str">
        <f t="shared" si="24"/>
        <v/>
      </c>
      <c r="F8411" s="59" t="str">
        <f t="shared" si="25"/>
        <v/>
      </c>
      <c r="G8411" s="59" t="str">
        <f t="shared" si="26"/>
        <v/>
      </c>
      <c r="H8411" s="59" t="str">
        <f t="shared" si="27"/>
        <v>28C03385</v>
      </c>
      <c r="I8411" s="59" t="str">
        <f>IF(OR($A8411="",$C8411="",$D8411="",$E8411="",$H8411=""),"",SUMIFS(DATA_GOC!$H:$H,DATA_GOC!$A:$A,"BOM",DATA_GOC!$D:$D,$H8411,DATA_GOC!$E:$E,$C8411,DATA_GOC!$F:$F,"Xuất nội bộ từ téc",DATA_GOC!$B:$B,"&gt;="&amp;$D8411,DATA_GOC!$B:$B,"&lt;="&amp;$E8411))</f>
        <v/>
      </c>
      <c r="J8411" s="59">
        <f t="shared" si="28"/>
        <v>0</v>
      </c>
      <c r="K8411" s="59">
        <f t="shared" si="29"/>
        <v>0</v>
      </c>
      <c r="L8411" s="59">
        <f t="shared" si="30"/>
        <v>0</v>
      </c>
      <c r="M8411" s="59">
        <f t="shared" si="31"/>
        <v>0</v>
      </c>
    </row>
    <row r="8412" ht="15.0" hidden="1" customHeight="1">
      <c r="A8412" s="59">
        <f t="shared" si="20"/>
        <v>137</v>
      </c>
      <c r="B8412" s="59" t="str">
        <f t="shared" si="21"/>
        <v/>
      </c>
      <c r="C8412" s="59" t="str">
        <f t="shared" si="22"/>
        <v/>
      </c>
      <c r="D8412" s="45" t="str">
        <f t="shared" si="23"/>
        <v/>
      </c>
      <c r="E8412" s="45" t="str">
        <f t="shared" si="24"/>
        <v/>
      </c>
      <c r="F8412" s="59" t="str">
        <f t="shared" si="25"/>
        <v/>
      </c>
      <c r="G8412" s="59" t="str">
        <f t="shared" si="26"/>
        <v/>
      </c>
      <c r="H8412" s="59" t="str">
        <f t="shared" si="27"/>
        <v>28C03652</v>
      </c>
      <c r="I8412" s="59" t="str">
        <f>IF(OR($A8412="",$C8412="",$D8412="",$E8412="",$H8412=""),"",SUMIFS(DATA_GOC!$H:$H,DATA_GOC!$A:$A,"BOM",DATA_GOC!$D:$D,$H8412,DATA_GOC!$E:$E,$C8412,DATA_GOC!$F:$F,"Xuất nội bộ từ téc",DATA_GOC!$B:$B,"&gt;="&amp;$D8412,DATA_GOC!$B:$B,"&lt;="&amp;$E8412))</f>
        <v/>
      </c>
      <c r="J8412" s="59">
        <f t="shared" si="28"/>
        <v>0</v>
      </c>
      <c r="K8412" s="59">
        <f t="shared" si="29"/>
        <v>0</v>
      </c>
      <c r="L8412" s="59">
        <f t="shared" si="30"/>
        <v>0</v>
      </c>
      <c r="M8412" s="59">
        <f t="shared" si="31"/>
        <v>0</v>
      </c>
    </row>
    <row r="8413" ht="15.0" hidden="1" customHeight="1">
      <c r="A8413" s="59">
        <f t="shared" si="20"/>
        <v>137</v>
      </c>
      <c r="B8413" s="59" t="str">
        <f t="shared" si="21"/>
        <v/>
      </c>
      <c r="C8413" s="59" t="str">
        <f t="shared" si="22"/>
        <v/>
      </c>
      <c r="D8413" s="45" t="str">
        <f t="shared" si="23"/>
        <v/>
      </c>
      <c r="E8413" s="45" t="str">
        <f t="shared" si="24"/>
        <v/>
      </c>
      <c r="F8413" s="59" t="str">
        <f t="shared" si="25"/>
        <v/>
      </c>
      <c r="G8413" s="59" t="str">
        <f t="shared" si="26"/>
        <v/>
      </c>
      <c r="H8413" s="59" t="str">
        <f t="shared" si="27"/>
        <v>28C03695</v>
      </c>
      <c r="I8413" s="59" t="str">
        <f>IF(OR($A8413="",$C8413="",$D8413="",$E8413="",$H8413=""),"",SUMIFS(DATA_GOC!$H:$H,DATA_GOC!$A:$A,"BOM",DATA_GOC!$D:$D,$H8413,DATA_GOC!$E:$E,$C8413,DATA_GOC!$F:$F,"Xuất nội bộ từ téc",DATA_GOC!$B:$B,"&gt;="&amp;$D8413,DATA_GOC!$B:$B,"&lt;="&amp;$E8413))</f>
        <v/>
      </c>
      <c r="J8413" s="59">
        <f t="shared" si="28"/>
        <v>0</v>
      </c>
      <c r="K8413" s="59">
        <f t="shared" si="29"/>
        <v>0</v>
      </c>
      <c r="L8413" s="59">
        <f t="shared" si="30"/>
        <v>0</v>
      </c>
      <c r="M8413" s="59">
        <f t="shared" si="31"/>
        <v>0</v>
      </c>
    </row>
    <row r="8414" ht="15.0" hidden="1" customHeight="1">
      <c r="A8414" s="59">
        <f t="shared" si="20"/>
        <v>137</v>
      </c>
      <c r="B8414" s="59" t="str">
        <f t="shared" si="21"/>
        <v/>
      </c>
      <c r="C8414" s="59" t="str">
        <f t="shared" si="22"/>
        <v/>
      </c>
      <c r="D8414" s="45" t="str">
        <f t="shared" si="23"/>
        <v/>
      </c>
      <c r="E8414" s="45" t="str">
        <f t="shared" si="24"/>
        <v/>
      </c>
      <c r="F8414" s="59" t="str">
        <f t="shared" si="25"/>
        <v/>
      </c>
      <c r="G8414" s="59" t="str">
        <f t="shared" si="26"/>
        <v/>
      </c>
      <c r="H8414" s="59" t="str">
        <f t="shared" si="27"/>
        <v>28C03927</v>
      </c>
      <c r="I8414" s="59" t="str">
        <f>IF(OR($A8414="",$C8414="",$D8414="",$E8414="",$H8414=""),"",SUMIFS(DATA_GOC!$H:$H,DATA_GOC!$A:$A,"BOM",DATA_GOC!$D:$D,$H8414,DATA_GOC!$E:$E,$C8414,DATA_GOC!$F:$F,"Xuất nội bộ từ téc",DATA_GOC!$B:$B,"&gt;="&amp;$D8414,DATA_GOC!$B:$B,"&lt;="&amp;$E8414))</f>
        <v/>
      </c>
      <c r="J8414" s="59">
        <f t="shared" si="28"/>
        <v>0</v>
      </c>
      <c r="K8414" s="59">
        <f t="shared" si="29"/>
        <v>0</v>
      </c>
      <c r="L8414" s="59">
        <f t="shared" si="30"/>
        <v>0</v>
      </c>
      <c r="M8414" s="59">
        <f t="shared" si="31"/>
        <v>0</v>
      </c>
    </row>
    <row r="8415" ht="15.0" hidden="1" customHeight="1">
      <c r="A8415" s="59">
        <f t="shared" si="20"/>
        <v>137</v>
      </c>
      <c r="B8415" s="59" t="str">
        <f t="shared" si="21"/>
        <v/>
      </c>
      <c r="C8415" s="59" t="str">
        <f t="shared" si="22"/>
        <v/>
      </c>
      <c r="D8415" s="45" t="str">
        <f t="shared" si="23"/>
        <v/>
      </c>
      <c r="E8415" s="45" t="str">
        <f t="shared" si="24"/>
        <v/>
      </c>
      <c r="F8415" s="59" t="str">
        <f t="shared" si="25"/>
        <v/>
      </c>
      <c r="G8415" s="59" t="str">
        <f t="shared" si="26"/>
        <v/>
      </c>
      <c r="H8415" s="59" t="str">
        <f t="shared" si="27"/>
        <v>28C04509</v>
      </c>
      <c r="I8415" s="59" t="str">
        <f>IF(OR($A8415="",$C8415="",$D8415="",$E8415="",$H8415=""),"",SUMIFS(DATA_GOC!$H:$H,DATA_GOC!$A:$A,"BOM",DATA_GOC!$D:$D,$H8415,DATA_GOC!$E:$E,$C8415,DATA_GOC!$F:$F,"Xuất nội bộ từ téc",DATA_GOC!$B:$B,"&gt;="&amp;$D8415,DATA_GOC!$B:$B,"&lt;="&amp;$E8415))</f>
        <v/>
      </c>
      <c r="J8415" s="59">
        <f t="shared" si="28"/>
        <v>0</v>
      </c>
      <c r="K8415" s="59">
        <f t="shared" si="29"/>
        <v>0</v>
      </c>
      <c r="L8415" s="59">
        <f t="shared" si="30"/>
        <v>0</v>
      </c>
      <c r="M8415" s="59">
        <f t="shared" si="31"/>
        <v>0</v>
      </c>
    </row>
    <row r="8416" ht="15.0" hidden="1" customHeight="1">
      <c r="A8416" s="59">
        <f t="shared" si="20"/>
        <v>137</v>
      </c>
      <c r="B8416" s="59" t="str">
        <f t="shared" si="21"/>
        <v/>
      </c>
      <c r="C8416" s="59" t="str">
        <f t="shared" si="22"/>
        <v/>
      </c>
      <c r="D8416" s="45" t="str">
        <f t="shared" si="23"/>
        <v/>
      </c>
      <c r="E8416" s="45" t="str">
        <f t="shared" si="24"/>
        <v/>
      </c>
      <c r="F8416" s="59" t="str">
        <f t="shared" si="25"/>
        <v/>
      </c>
      <c r="G8416" s="59" t="str">
        <f t="shared" si="26"/>
        <v/>
      </c>
      <c r="H8416" s="59" t="str">
        <f t="shared" si="27"/>
        <v>28C04536</v>
      </c>
      <c r="I8416" s="59" t="str">
        <f>IF(OR($A8416="",$C8416="",$D8416="",$E8416="",$H8416=""),"",SUMIFS(DATA_GOC!$H:$H,DATA_GOC!$A:$A,"BOM",DATA_GOC!$D:$D,$H8416,DATA_GOC!$E:$E,$C8416,DATA_GOC!$F:$F,"Xuất nội bộ từ téc",DATA_GOC!$B:$B,"&gt;="&amp;$D8416,DATA_GOC!$B:$B,"&lt;="&amp;$E8416))</f>
        <v/>
      </c>
      <c r="J8416" s="59">
        <f t="shared" si="28"/>
        <v>0</v>
      </c>
      <c r="K8416" s="59">
        <f t="shared" si="29"/>
        <v>0</v>
      </c>
      <c r="L8416" s="59">
        <f t="shared" si="30"/>
        <v>0</v>
      </c>
      <c r="M8416" s="59">
        <f t="shared" si="31"/>
        <v>0</v>
      </c>
    </row>
    <row r="8417" ht="15.0" hidden="1" customHeight="1">
      <c r="A8417" s="59">
        <f t="shared" si="20"/>
        <v>137</v>
      </c>
      <c r="B8417" s="59" t="str">
        <f t="shared" si="21"/>
        <v/>
      </c>
      <c r="C8417" s="59" t="str">
        <f t="shared" si="22"/>
        <v/>
      </c>
      <c r="D8417" s="45" t="str">
        <f t="shared" si="23"/>
        <v/>
      </c>
      <c r="E8417" s="45" t="str">
        <f t="shared" si="24"/>
        <v/>
      </c>
      <c r="F8417" s="59" t="str">
        <f t="shared" si="25"/>
        <v/>
      </c>
      <c r="G8417" s="59" t="str">
        <f t="shared" si="26"/>
        <v/>
      </c>
      <c r="H8417" s="59" t="str">
        <f t="shared" si="27"/>
        <v>28C04576</v>
      </c>
      <c r="I8417" s="59" t="str">
        <f>IF(OR($A8417="",$C8417="",$D8417="",$E8417="",$H8417=""),"",SUMIFS(DATA_GOC!$H:$H,DATA_GOC!$A:$A,"BOM",DATA_GOC!$D:$D,$H8417,DATA_GOC!$E:$E,$C8417,DATA_GOC!$F:$F,"Xuất nội bộ từ téc",DATA_GOC!$B:$B,"&gt;="&amp;$D8417,DATA_GOC!$B:$B,"&lt;="&amp;$E8417))</f>
        <v/>
      </c>
      <c r="J8417" s="59">
        <f t="shared" si="28"/>
        <v>0</v>
      </c>
      <c r="K8417" s="59">
        <f t="shared" si="29"/>
        <v>0</v>
      </c>
      <c r="L8417" s="59">
        <f t="shared" si="30"/>
        <v>0</v>
      </c>
      <c r="M8417" s="59">
        <f t="shared" si="31"/>
        <v>0</v>
      </c>
    </row>
    <row r="8418" ht="15.0" hidden="1" customHeight="1">
      <c r="A8418" s="59">
        <f t="shared" si="20"/>
        <v>137</v>
      </c>
      <c r="B8418" s="59" t="str">
        <f t="shared" si="21"/>
        <v/>
      </c>
      <c r="C8418" s="59" t="str">
        <f t="shared" si="22"/>
        <v/>
      </c>
      <c r="D8418" s="45" t="str">
        <f t="shared" si="23"/>
        <v/>
      </c>
      <c r="E8418" s="45" t="str">
        <f t="shared" si="24"/>
        <v/>
      </c>
      <c r="F8418" s="59" t="str">
        <f t="shared" si="25"/>
        <v/>
      </c>
      <c r="G8418" s="59" t="str">
        <f t="shared" si="26"/>
        <v/>
      </c>
      <c r="H8418" s="59" t="str">
        <f t="shared" si="27"/>
        <v>28C05090</v>
      </c>
      <c r="I8418" s="59" t="str">
        <f>IF(OR($A8418="",$C8418="",$D8418="",$E8418="",$H8418=""),"",SUMIFS(DATA_GOC!$H:$H,DATA_GOC!$A:$A,"BOM",DATA_GOC!$D:$D,$H8418,DATA_GOC!$E:$E,$C8418,DATA_GOC!$F:$F,"Xuất nội bộ từ téc",DATA_GOC!$B:$B,"&gt;="&amp;$D8418,DATA_GOC!$B:$B,"&lt;="&amp;$E8418))</f>
        <v/>
      </c>
      <c r="J8418" s="59">
        <f t="shared" si="28"/>
        <v>0</v>
      </c>
      <c r="K8418" s="59">
        <f t="shared" si="29"/>
        <v>0</v>
      </c>
      <c r="L8418" s="59">
        <f t="shared" si="30"/>
        <v>0</v>
      </c>
      <c r="M8418" s="59">
        <f t="shared" si="31"/>
        <v>0</v>
      </c>
    </row>
    <row r="8419" ht="15.0" hidden="1" customHeight="1">
      <c r="A8419" s="59">
        <f t="shared" si="20"/>
        <v>137</v>
      </c>
      <c r="B8419" s="59" t="str">
        <f t="shared" si="21"/>
        <v/>
      </c>
      <c r="C8419" s="59" t="str">
        <f t="shared" si="22"/>
        <v/>
      </c>
      <c r="D8419" s="45" t="str">
        <f t="shared" si="23"/>
        <v/>
      </c>
      <c r="E8419" s="45" t="str">
        <f t="shared" si="24"/>
        <v/>
      </c>
      <c r="F8419" s="59" t="str">
        <f t="shared" si="25"/>
        <v/>
      </c>
      <c r="G8419" s="59" t="str">
        <f t="shared" si="26"/>
        <v/>
      </c>
      <c r="H8419" s="59" t="str">
        <f t="shared" si="27"/>
        <v>28C05345</v>
      </c>
      <c r="I8419" s="59" t="str">
        <f>IF(OR($A8419="",$C8419="",$D8419="",$E8419="",$H8419=""),"",SUMIFS(DATA_GOC!$H:$H,DATA_GOC!$A:$A,"BOM",DATA_GOC!$D:$D,$H8419,DATA_GOC!$E:$E,$C8419,DATA_GOC!$F:$F,"Xuất nội bộ từ téc",DATA_GOC!$B:$B,"&gt;="&amp;$D8419,DATA_GOC!$B:$B,"&lt;="&amp;$E8419))</f>
        <v/>
      </c>
      <c r="J8419" s="59">
        <f t="shared" si="28"/>
        <v>0</v>
      </c>
      <c r="K8419" s="59">
        <f t="shared" si="29"/>
        <v>0</v>
      </c>
      <c r="L8419" s="59">
        <f t="shared" si="30"/>
        <v>0</v>
      </c>
      <c r="M8419" s="59">
        <f t="shared" si="31"/>
        <v>0</v>
      </c>
    </row>
    <row r="8420" ht="15.0" hidden="1" customHeight="1">
      <c r="A8420" s="59">
        <f t="shared" si="20"/>
        <v>137</v>
      </c>
      <c r="B8420" s="59" t="str">
        <f t="shared" si="21"/>
        <v/>
      </c>
      <c r="C8420" s="59" t="str">
        <f t="shared" si="22"/>
        <v/>
      </c>
      <c r="D8420" s="45" t="str">
        <f t="shared" si="23"/>
        <v/>
      </c>
      <c r="E8420" s="45" t="str">
        <f t="shared" si="24"/>
        <v/>
      </c>
      <c r="F8420" s="59" t="str">
        <f t="shared" si="25"/>
        <v/>
      </c>
      <c r="G8420" s="59" t="str">
        <f t="shared" si="26"/>
        <v/>
      </c>
      <c r="H8420" s="59" t="str">
        <f t="shared" si="27"/>
        <v>28C05661</v>
      </c>
      <c r="I8420" s="59" t="str">
        <f>IF(OR($A8420="",$C8420="",$D8420="",$E8420="",$H8420=""),"",SUMIFS(DATA_GOC!$H:$H,DATA_GOC!$A:$A,"BOM",DATA_GOC!$D:$D,$H8420,DATA_GOC!$E:$E,$C8420,DATA_GOC!$F:$F,"Xuất nội bộ từ téc",DATA_GOC!$B:$B,"&gt;="&amp;$D8420,DATA_GOC!$B:$B,"&lt;="&amp;$E8420))</f>
        <v/>
      </c>
      <c r="J8420" s="59">
        <f t="shared" si="28"/>
        <v>0</v>
      </c>
      <c r="K8420" s="59">
        <f t="shared" si="29"/>
        <v>0</v>
      </c>
      <c r="L8420" s="59">
        <f t="shared" si="30"/>
        <v>0</v>
      </c>
      <c r="M8420" s="59">
        <f t="shared" si="31"/>
        <v>0</v>
      </c>
    </row>
    <row r="8421" ht="15.0" hidden="1" customHeight="1">
      <c r="A8421" s="59">
        <f t="shared" si="20"/>
        <v>137</v>
      </c>
      <c r="B8421" s="59" t="str">
        <f t="shared" si="21"/>
        <v/>
      </c>
      <c r="C8421" s="59" t="str">
        <f t="shared" si="22"/>
        <v/>
      </c>
      <c r="D8421" s="45" t="str">
        <f t="shared" si="23"/>
        <v/>
      </c>
      <c r="E8421" s="45" t="str">
        <f t="shared" si="24"/>
        <v/>
      </c>
      <c r="F8421" s="59" t="str">
        <f t="shared" si="25"/>
        <v/>
      </c>
      <c r="G8421" s="59" t="str">
        <f t="shared" si="26"/>
        <v/>
      </c>
      <c r="H8421" s="59" t="str">
        <f t="shared" si="27"/>
        <v>28C05739</v>
      </c>
      <c r="I8421" s="59" t="str">
        <f>IF(OR($A8421="",$C8421="",$D8421="",$E8421="",$H8421=""),"",SUMIFS(DATA_GOC!$H:$H,DATA_GOC!$A:$A,"BOM",DATA_GOC!$D:$D,$H8421,DATA_GOC!$E:$E,$C8421,DATA_GOC!$F:$F,"Xuất nội bộ từ téc",DATA_GOC!$B:$B,"&gt;="&amp;$D8421,DATA_GOC!$B:$B,"&lt;="&amp;$E8421))</f>
        <v/>
      </c>
      <c r="J8421" s="59">
        <f t="shared" si="28"/>
        <v>0</v>
      </c>
      <c r="K8421" s="59">
        <f t="shared" si="29"/>
        <v>0</v>
      </c>
      <c r="L8421" s="59">
        <f t="shared" si="30"/>
        <v>0</v>
      </c>
      <c r="M8421" s="59">
        <f t="shared" si="31"/>
        <v>0</v>
      </c>
    </row>
    <row r="8422" ht="15.0" hidden="1" customHeight="1">
      <c r="A8422" s="59">
        <f t="shared" si="20"/>
        <v>137</v>
      </c>
      <c r="B8422" s="59" t="str">
        <f t="shared" si="21"/>
        <v/>
      </c>
      <c r="C8422" s="59" t="str">
        <f t="shared" si="22"/>
        <v/>
      </c>
      <c r="D8422" s="45" t="str">
        <f t="shared" si="23"/>
        <v/>
      </c>
      <c r="E8422" s="45" t="str">
        <f t="shared" si="24"/>
        <v/>
      </c>
      <c r="F8422" s="59" t="str">
        <f t="shared" si="25"/>
        <v/>
      </c>
      <c r="G8422" s="59" t="str">
        <f t="shared" si="26"/>
        <v/>
      </c>
      <c r="H8422" s="59" t="str">
        <f t="shared" si="27"/>
        <v>28C06369</v>
      </c>
      <c r="I8422" s="59" t="str">
        <f>IF(OR($A8422="",$C8422="",$D8422="",$E8422="",$H8422=""),"",SUMIFS(DATA_GOC!$H:$H,DATA_GOC!$A:$A,"BOM",DATA_GOC!$D:$D,$H8422,DATA_GOC!$E:$E,$C8422,DATA_GOC!$F:$F,"Xuất nội bộ từ téc",DATA_GOC!$B:$B,"&gt;="&amp;$D8422,DATA_GOC!$B:$B,"&lt;="&amp;$E8422))</f>
        <v/>
      </c>
      <c r="J8422" s="59">
        <f t="shared" si="28"/>
        <v>0</v>
      </c>
      <c r="K8422" s="59">
        <f t="shared" si="29"/>
        <v>0</v>
      </c>
      <c r="L8422" s="59">
        <f t="shared" si="30"/>
        <v>0</v>
      </c>
      <c r="M8422" s="59">
        <f t="shared" si="31"/>
        <v>0</v>
      </c>
    </row>
    <row r="8423" ht="15.0" hidden="1" customHeight="1">
      <c r="A8423" s="59">
        <f t="shared" si="20"/>
        <v>137</v>
      </c>
      <c r="B8423" s="59" t="str">
        <f t="shared" si="21"/>
        <v/>
      </c>
      <c r="C8423" s="59" t="str">
        <f t="shared" si="22"/>
        <v/>
      </c>
      <c r="D8423" s="45" t="str">
        <f t="shared" si="23"/>
        <v/>
      </c>
      <c r="E8423" s="45" t="str">
        <f t="shared" si="24"/>
        <v/>
      </c>
      <c r="F8423" s="59" t="str">
        <f t="shared" si="25"/>
        <v/>
      </c>
      <c r="G8423" s="59" t="str">
        <f t="shared" si="26"/>
        <v/>
      </c>
      <c r="H8423" s="59" t="str">
        <f t="shared" si="27"/>
        <v>28C06447</v>
      </c>
      <c r="I8423" s="59" t="str">
        <f>IF(OR($A8423="",$C8423="",$D8423="",$E8423="",$H8423=""),"",SUMIFS(DATA_GOC!$H:$H,DATA_GOC!$A:$A,"BOM",DATA_GOC!$D:$D,$H8423,DATA_GOC!$E:$E,$C8423,DATA_GOC!$F:$F,"Xuất nội bộ từ téc",DATA_GOC!$B:$B,"&gt;="&amp;$D8423,DATA_GOC!$B:$B,"&lt;="&amp;$E8423))</f>
        <v/>
      </c>
      <c r="J8423" s="59">
        <f t="shared" si="28"/>
        <v>0</v>
      </c>
      <c r="K8423" s="59">
        <f t="shared" si="29"/>
        <v>0</v>
      </c>
      <c r="L8423" s="59">
        <f t="shared" si="30"/>
        <v>0</v>
      </c>
      <c r="M8423" s="59">
        <f t="shared" si="31"/>
        <v>0</v>
      </c>
    </row>
    <row r="8424" ht="15.0" hidden="1" customHeight="1">
      <c r="A8424" s="59">
        <f t="shared" si="20"/>
        <v>137</v>
      </c>
      <c r="B8424" s="59" t="str">
        <f t="shared" si="21"/>
        <v/>
      </c>
      <c r="C8424" s="59" t="str">
        <f t="shared" si="22"/>
        <v/>
      </c>
      <c r="D8424" s="45" t="str">
        <f t="shared" si="23"/>
        <v/>
      </c>
      <c r="E8424" s="45" t="str">
        <f t="shared" si="24"/>
        <v/>
      </c>
      <c r="F8424" s="59" t="str">
        <f t="shared" si="25"/>
        <v/>
      </c>
      <c r="G8424" s="59" t="str">
        <f t="shared" si="26"/>
        <v/>
      </c>
      <c r="H8424" s="59" t="str">
        <f t="shared" si="27"/>
        <v>28H00003</v>
      </c>
      <c r="I8424" s="59" t="str">
        <f>IF(OR($A8424="",$C8424="",$D8424="",$E8424="",$H8424=""),"",SUMIFS(DATA_GOC!$H:$H,DATA_GOC!$A:$A,"BOM",DATA_GOC!$D:$D,$H8424,DATA_GOC!$E:$E,$C8424,DATA_GOC!$F:$F,"Xuất nội bộ từ téc",DATA_GOC!$B:$B,"&gt;="&amp;$D8424,DATA_GOC!$B:$B,"&lt;="&amp;$E8424))</f>
        <v/>
      </c>
      <c r="J8424" s="59">
        <f t="shared" si="28"/>
        <v>0</v>
      </c>
      <c r="K8424" s="59">
        <f t="shared" si="29"/>
        <v>0</v>
      </c>
      <c r="L8424" s="59">
        <f t="shared" si="30"/>
        <v>0</v>
      </c>
      <c r="M8424" s="59">
        <f t="shared" si="31"/>
        <v>0</v>
      </c>
    </row>
    <row r="8425" ht="15.0" hidden="1" customHeight="1">
      <c r="A8425" s="59">
        <f t="shared" si="20"/>
        <v>137</v>
      </c>
      <c r="B8425" s="59" t="str">
        <f t="shared" si="21"/>
        <v/>
      </c>
      <c r="C8425" s="59" t="str">
        <f t="shared" si="22"/>
        <v/>
      </c>
      <c r="D8425" s="45" t="str">
        <f t="shared" si="23"/>
        <v/>
      </c>
      <c r="E8425" s="45" t="str">
        <f t="shared" si="24"/>
        <v/>
      </c>
      <c r="F8425" s="59" t="str">
        <f t="shared" si="25"/>
        <v/>
      </c>
      <c r="G8425" s="59" t="str">
        <f t="shared" si="26"/>
        <v/>
      </c>
      <c r="H8425" s="59" t="str">
        <f t="shared" si="27"/>
        <v>28H00061</v>
      </c>
      <c r="I8425" s="59" t="str">
        <f>IF(OR($A8425="",$C8425="",$D8425="",$E8425="",$H8425=""),"",SUMIFS(DATA_GOC!$H:$H,DATA_GOC!$A:$A,"BOM",DATA_GOC!$D:$D,$H8425,DATA_GOC!$E:$E,$C8425,DATA_GOC!$F:$F,"Xuất nội bộ từ téc",DATA_GOC!$B:$B,"&gt;="&amp;$D8425,DATA_GOC!$B:$B,"&lt;="&amp;$E8425))</f>
        <v/>
      </c>
      <c r="J8425" s="59">
        <f t="shared" si="28"/>
        <v>0</v>
      </c>
      <c r="K8425" s="59">
        <f t="shared" si="29"/>
        <v>0</v>
      </c>
      <c r="L8425" s="59">
        <f t="shared" si="30"/>
        <v>0</v>
      </c>
      <c r="M8425" s="59">
        <f t="shared" si="31"/>
        <v>0</v>
      </c>
    </row>
    <row r="8426" ht="15.0" hidden="1" customHeight="1">
      <c r="A8426" s="59">
        <f t="shared" si="20"/>
        <v>137</v>
      </c>
      <c r="B8426" s="59" t="str">
        <f t="shared" si="21"/>
        <v/>
      </c>
      <c r="C8426" s="59" t="str">
        <f t="shared" si="22"/>
        <v/>
      </c>
      <c r="D8426" s="45" t="str">
        <f t="shared" si="23"/>
        <v/>
      </c>
      <c r="E8426" s="45" t="str">
        <f t="shared" si="24"/>
        <v/>
      </c>
      <c r="F8426" s="59" t="str">
        <f t="shared" si="25"/>
        <v/>
      </c>
      <c r="G8426" s="59" t="str">
        <f t="shared" si="26"/>
        <v/>
      </c>
      <c r="H8426" s="59" t="str">
        <f t="shared" si="27"/>
        <v>28H00354</v>
      </c>
      <c r="I8426" s="59" t="str">
        <f>IF(OR($A8426="",$C8426="",$D8426="",$E8426="",$H8426=""),"",SUMIFS(DATA_GOC!$H:$H,DATA_GOC!$A:$A,"BOM",DATA_GOC!$D:$D,$H8426,DATA_GOC!$E:$E,$C8426,DATA_GOC!$F:$F,"Xuất nội bộ từ téc",DATA_GOC!$B:$B,"&gt;="&amp;$D8426,DATA_GOC!$B:$B,"&lt;="&amp;$E8426))</f>
        <v/>
      </c>
      <c r="J8426" s="59">
        <f t="shared" si="28"/>
        <v>0</v>
      </c>
      <c r="K8426" s="59">
        <f t="shared" si="29"/>
        <v>0</v>
      </c>
      <c r="L8426" s="59">
        <f t="shared" si="30"/>
        <v>0</v>
      </c>
      <c r="M8426" s="59">
        <f t="shared" si="31"/>
        <v>0</v>
      </c>
    </row>
    <row r="8427" ht="15.0" hidden="1" customHeight="1">
      <c r="A8427" s="59">
        <f t="shared" si="20"/>
        <v>137</v>
      </c>
      <c r="B8427" s="59" t="str">
        <f t="shared" si="21"/>
        <v/>
      </c>
      <c r="C8427" s="59" t="str">
        <f t="shared" si="22"/>
        <v/>
      </c>
      <c r="D8427" s="45" t="str">
        <f t="shared" si="23"/>
        <v/>
      </c>
      <c r="E8427" s="45" t="str">
        <f t="shared" si="24"/>
        <v/>
      </c>
      <c r="F8427" s="59" t="str">
        <f t="shared" si="25"/>
        <v/>
      </c>
      <c r="G8427" s="59" t="str">
        <f t="shared" si="26"/>
        <v/>
      </c>
      <c r="H8427" s="59" t="str">
        <f t="shared" si="27"/>
        <v>28H00603</v>
      </c>
      <c r="I8427" s="59" t="str">
        <f>IF(OR($A8427="",$C8427="",$D8427="",$E8427="",$H8427=""),"",SUMIFS(DATA_GOC!$H:$H,DATA_GOC!$A:$A,"BOM",DATA_GOC!$D:$D,$H8427,DATA_GOC!$E:$E,$C8427,DATA_GOC!$F:$F,"Xuất nội bộ từ téc",DATA_GOC!$B:$B,"&gt;="&amp;$D8427,DATA_GOC!$B:$B,"&lt;="&amp;$E8427))</f>
        <v/>
      </c>
      <c r="J8427" s="59">
        <f t="shared" si="28"/>
        <v>0</v>
      </c>
      <c r="K8427" s="59">
        <f t="shared" si="29"/>
        <v>0</v>
      </c>
      <c r="L8427" s="59">
        <f t="shared" si="30"/>
        <v>0</v>
      </c>
      <c r="M8427" s="59">
        <f t="shared" si="31"/>
        <v>0</v>
      </c>
    </row>
    <row r="8428" ht="15.0" hidden="1" customHeight="1">
      <c r="A8428" s="59">
        <f t="shared" si="20"/>
        <v>137</v>
      </c>
      <c r="B8428" s="59" t="str">
        <f t="shared" si="21"/>
        <v/>
      </c>
      <c r="C8428" s="59" t="str">
        <f t="shared" si="22"/>
        <v/>
      </c>
      <c r="D8428" s="45" t="str">
        <f t="shared" si="23"/>
        <v/>
      </c>
      <c r="E8428" s="45" t="str">
        <f t="shared" si="24"/>
        <v/>
      </c>
      <c r="F8428" s="59" t="str">
        <f t="shared" si="25"/>
        <v/>
      </c>
      <c r="G8428" s="59" t="str">
        <f t="shared" si="26"/>
        <v/>
      </c>
      <c r="H8428" s="59" t="str">
        <f t="shared" si="27"/>
        <v>28H00609</v>
      </c>
      <c r="I8428" s="59" t="str">
        <f>IF(OR($A8428="",$C8428="",$D8428="",$E8428="",$H8428=""),"",SUMIFS(DATA_GOC!$H:$H,DATA_GOC!$A:$A,"BOM",DATA_GOC!$D:$D,$H8428,DATA_GOC!$E:$E,$C8428,DATA_GOC!$F:$F,"Xuất nội bộ từ téc",DATA_GOC!$B:$B,"&gt;="&amp;$D8428,DATA_GOC!$B:$B,"&lt;="&amp;$E8428))</f>
        <v/>
      </c>
      <c r="J8428" s="59">
        <f t="shared" si="28"/>
        <v>0</v>
      </c>
      <c r="K8428" s="59">
        <f t="shared" si="29"/>
        <v>0</v>
      </c>
      <c r="L8428" s="59">
        <f t="shared" si="30"/>
        <v>0</v>
      </c>
      <c r="M8428" s="59">
        <f t="shared" si="31"/>
        <v>0</v>
      </c>
    </row>
    <row r="8429" ht="15.0" hidden="1" customHeight="1">
      <c r="A8429" s="59">
        <f t="shared" si="20"/>
        <v>137</v>
      </c>
      <c r="B8429" s="59" t="str">
        <f t="shared" si="21"/>
        <v/>
      </c>
      <c r="C8429" s="59" t="str">
        <f t="shared" si="22"/>
        <v/>
      </c>
      <c r="D8429" s="45" t="str">
        <f t="shared" si="23"/>
        <v/>
      </c>
      <c r="E8429" s="45" t="str">
        <f t="shared" si="24"/>
        <v/>
      </c>
      <c r="F8429" s="59" t="str">
        <f t="shared" si="25"/>
        <v/>
      </c>
      <c r="G8429" s="59" t="str">
        <f t="shared" si="26"/>
        <v/>
      </c>
      <c r="H8429" s="59" t="str">
        <f t="shared" si="27"/>
        <v>28H00669</v>
      </c>
      <c r="I8429" s="59" t="str">
        <f>IF(OR($A8429="",$C8429="",$D8429="",$E8429="",$H8429=""),"",SUMIFS(DATA_GOC!$H:$H,DATA_GOC!$A:$A,"BOM",DATA_GOC!$D:$D,$H8429,DATA_GOC!$E:$E,$C8429,DATA_GOC!$F:$F,"Xuất nội bộ từ téc",DATA_GOC!$B:$B,"&gt;="&amp;$D8429,DATA_GOC!$B:$B,"&lt;="&amp;$E8429))</f>
        <v/>
      </c>
      <c r="J8429" s="59">
        <f t="shared" si="28"/>
        <v>0</v>
      </c>
      <c r="K8429" s="59">
        <f t="shared" si="29"/>
        <v>0</v>
      </c>
      <c r="L8429" s="59">
        <f t="shared" si="30"/>
        <v>0</v>
      </c>
      <c r="M8429" s="59">
        <f t="shared" si="31"/>
        <v>0</v>
      </c>
    </row>
    <row r="8430" ht="15.0" hidden="1" customHeight="1">
      <c r="A8430" s="59">
        <f t="shared" si="20"/>
        <v>137</v>
      </c>
      <c r="B8430" s="59" t="str">
        <f t="shared" si="21"/>
        <v/>
      </c>
      <c r="C8430" s="59" t="str">
        <f t="shared" si="22"/>
        <v/>
      </c>
      <c r="D8430" s="45" t="str">
        <f t="shared" si="23"/>
        <v/>
      </c>
      <c r="E8430" s="45" t="str">
        <f t="shared" si="24"/>
        <v/>
      </c>
      <c r="F8430" s="59" t="str">
        <f t="shared" si="25"/>
        <v/>
      </c>
      <c r="G8430" s="59" t="str">
        <f t="shared" si="26"/>
        <v/>
      </c>
      <c r="H8430" s="59" t="str">
        <f t="shared" si="27"/>
        <v>28H00680</v>
      </c>
      <c r="I8430" s="59" t="str">
        <f>IF(OR($A8430="",$C8430="",$D8430="",$E8430="",$H8430=""),"",SUMIFS(DATA_GOC!$H:$H,DATA_GOC!$A:$A,"BOM",DATA_GOC!$D:$D,$H8430,DATA_GOC!$E:$E,$C8430,DATA_GOC!$F:$F,"Xuất nội bộ từ téc",DATA_GOC!$B:$B,"&gt;="&amp;$D8430,DATA_GOC!$B:$B,"&lt;="&amp;$E8430))</f>
        <v/>
      </c>
      <c r="J8430" s="59">
        <f t="shared" si="28"/>
        <v>0</v>
      </c>
      <c r="K8430" s="59">
        <f t="shared" si="29"/>
        <v>0</v>
      </c>
      <c r="L8430" s="59">
        <f t="shared" si="30"/>
        <v>0</v>
      </c>
      <c r="M8430" s="59">
        <f t="shared" si="31"/>
        <v>0</v>
      </c>
    </row>
    <row r="8431" ht="15.0" hidden="1" customHeight="1">
      <c r="A8431" s="59">
        <f t="shared" si="20"/>
        <v>137</v>
      </c>
      <c r="B8431" s="59" t="str">
        <f t="shared" si="21"/>
        <v/>
      </c>
      <c r="C8431" s="59" t="str">
        <f t="shared" si="22"/>
        <v/>
      </c>
      <c r="D8431" s="45" t="str">
        <f t="shared" si="23"/>
        <v/>
      </c>
      <c r="E8431" s="45" t="str">
        <f t="shared" si="24"/>
        <v/>
      </c>
      <c r="F8431" s="59" t="str">
        <f t="shared" si="25"/>
        <v/>
      </c>
      <c r="G8431" s="59" t="str">
        <f t="shared" si="26"/>
        <v/>
      </c>
      <c r="H8431" s="59" t="str">
        <f t="shared" si="27"/>
        <v>28H01070</v>
      </c>
      <c r="I8431" s="59" t="str">
        <f>IF(OR($A8431="",$C8431="",$D8431="",$E8431="",$H8431=""),"",SUMIFS(DATA_GOC!$H:$H,DATA_GOC!$A:$A,"BOM",DATA_GOC!$D:$D,$H8431,DATA_GOC!$E:$E,$C8431,DATA_GOC!$F:$F,"Xuất nội bộ từ téc",DATA_GOC!$B:$B,"&gt;="&amp;$D8431,DATA_GOC!$B:$B,"&lt;="&amp;$E8431))</f>
        <v/>
      </c>
      <c r="J8431" s="59">
        <f t="shared" si="28"/>
        <v>0</v>
      </c>
      <c r="K8431" s="59">
        <f t="shared" si="29"/>
        <v>0</v>
      </c>
      <c r="L8431" s="59">
        <f t="shared" si="30"/>
        <v>0</v>
      </c>
      <c r="M8431" s="59">
        <f t="shared" si="31"/>
        <v>0</v>
      </c>
    </row>
    <row r="8432" ht="15.0" hidden="1" customHeight="1">
      <c r="A8432" s="59">
        <f t="shared" si="20"/>
        <v>137</v>
      </c>
      <c r="B8432" s="59" t="str">
        <f t="shared" si="21"/>
        <v/>
      </c>
      <c r="C8432" s="59" t="str">
        <f t="shared" si="22"/>
        <v/>
      </c>
      <c r="D8432" s="45" t="str">
        <f t="shared" si="23"/>
        <v/>
      </c>
      <c r="E8432" s="45" t="str">
        <f t="shared" si="24"/>
        <v/>
      </c>
      <c r="F8432" s="59" t="str">
        <f t="shared" si="25"/>
        <v/>
      </c>
      <c r="G8432" s="59" t="str">
        <f t="shared" si="26"/>
        <v/>
      </c>
      <c r="H8432" s="59" t="str">
        <f t="shared" si="27"/>
        <v>28H01364</v>
      </c>
      <c r="I8432" s="59" t="str">
        <f>IF(OR($A8432="",$C8432="",$D8432="",$E8432="",$H8432=""),"",SUMIFS(DATA_GOC!$H:$H,DATA_GOC!$A:$A,"BOM",DATA_GOC!$D:$D,$H8432,DATA_GOC!$E:$E,$C8432,DATA_GOC!$F:$F,"Xuất nội bộ từ téc",DATA_GOC!$B:$B,"&gt;="&amp;$D8432,DATA_GOC!$B:$B,"&lt;="&amp;$E8432))</f>
        <v/>
      </c>
      <c r="J8432" s="59">
        <f t="shared" si="28"/>
        <v>0</v>
      </c>
      <c r="K8432" s="59">
        <f t="shared" si="29"/>
        <v>0</v>
      </c>
      <c r="L8432" s="59">
        <f t="shared" si="30"/>
        <v>0</v>
      </c>
      <c r="M8432" s="59">
        <f t="shared" si="31"/>
        <v>0</v>
      </c>
    </row>
    <row r="8433" ht="15.0" hidden="1" customHeight="1">
      <c r="A8433" s="59">
        <f t="shared" si="20"/>
        <v>137</v>
      </c>
      <c r="B8433" s="59" t="str">
        <f t="shared" si="21"/>
        <v/>
      </c>
      <c r="C8433" s="59" t="str">
        <f t="shared" si="22"/>
        <v/>
      </c>
      <c r="D8433" s="45" t="str">
        <f t="shared" si="23"/>
        <v/>
      </c>
      <c r="E8433" s="45" t="str">
        <f t="shared" si="24"/>
        <v/>
      </c>
      <c r="F8433" s="59" t="str">
        <f t="shared" si="25"/>
        <v/>
      </c>
      <c r="G8433" s="59" t="str">
        <f t="shared" si="26"/>
        <v/>
      </c>
      <c r="H8433" s="59" t="str">
        <f t="shared" si="27"/>
        <v>29E17269</v>
      </c>
      <c r="I8433" s="59" t="str">
        <f>IF(OR($A8433="",$C8433="",$D8433="",$E8433="",$H8433=""),"",SUMIFS(DATA_GOC!$H:$H,DATA_GOC!$A:$A,"BOM",DATA_GOC!$D:$D,$H8433,DATA_GOC!$E:$E,$C8433,DATA_GOC!$F:$F,"Xuất nội bộ từ téc",DATA_GOC!$B:$B,"&gt;="&amp;$D8433,DATA_GOC!$B:$B,"&lt;="&amp;$E8433))</f>
        <v/>
      </c>
      <c r="J8433" s="59">
        <f t="shared" si="28"/>
        <v>0</v>
      </c>
      <c r="K8433" s="59">
        <f t="shared" si="29"/>
        <v>0</v>
      </c>
      <c r="L8433" s="59">
        <f t="shared" si="30"/>
        <v>0</v>
      </c>
      <c r="M8433" s="59">
        <f t="shared" si="31"/>
        <v>0</v>
      </c>
    </row>
    <row r="8434" ht="15.0" hidden="1" customHeight="1">
      <c r="A8434" s="59">
        <f t="shared" si="20"/>
        <v>137</v>
      </c>
      <c r="B8434" s="59" t="str">
        <f t="shared" si="21"/>
        <v/>
      </c>
      <c r="C8434" s="59" t="str">
        <f t="shared" si="22"/>
        <v/>
      </c>
      <c r="D8434" s="45" t="str">
        <f t="shared" si="23"/>
        <v/>
      </c>
      <c r="E8434" s="45" t="str">
        <f t="shared" si="24"/>
        <v/>
      </c>
      <c r="F8434" s="59" t="str">
        <f t="shared" si="25"/>
        <v/>
      </c>
      <c r="G8434" s="59" t="str">
        <f t="shared" si="26"/>
        <v/>
      </c>
      <c r="H8434" s="59" t="str">
        <f t="shared" si="27"/>
        <v>29E17273</v>
      </c>
      <c r="I8434" s="59" t="str">
        <f>IF(OR($A8434="",$C8434="",$D8434="",$E8434="",$H8434=""),"",SUMIFS(DATA_GOC!$H:$H,DATA_GOC!$A:$A,"BOM",DATA_GOC!$D:$D,$H8434,DATA_GOC!$E:$E,$C8434,DATA_GOC!$F:$F,"Xuất nội bộ từ téc",DATA_GOC!$B:$B,"&gt;="&amp;$D8434,DATA_GOC!$B:$B,"&lt;="&amp;$E8434))</f>
        <v/>
      </c>
      <c r="J8434" s="59">
        <f t="shared" si="28"/>
        <v>0</v>
      </c>
      <c r="K8434" s="59">
        <f t="shared" si="29"/>
        <v>0</v>
      </c>
      <c r="L8434" s="59">
        <f t="shared" si="30"/>
        <v>0</v>
      </c>
      <c r="M8434" s="59">
        <f t="shared" si="31"/>
        <v>0</v>
      </c>
    </row>
    <row r="8435" ht="15.0" hidden="1" customHeight="1">
      <c r="A8435" s="59">
        <f t="shared" si="20"/>
        <v>137</v>
      </c>
      <c r="B8435" s="59" t="str">
        <f t="shared" si="21"/>
        <v/>
      </c>
      <c r="C8435" s="59" t="str">
        <f t="shared" si="22"/>
        <v/>
      </c>
      <c r="D8435" s="45" t="str">
        <f t="shared" si="23"/>
        <v/>
      </c>
      <c r="E8435" s="45" t="str">
        <f t="shared" si="24"/>
        <v/>
      </c>
      <c r="F8435" s="59" t="str">
        <f t="shared" si="25"/>
        <v/>
      </c>
      <c r="G8435" s="59" t="str">
        <f t="shared" si="26"/>
        <v/>
      </c>
      <c r="H8435" s="59" t="str">
        <f t="shared" si="27"/>
        <v>29E17410</v>
      </c>
      <c r="I8435" s="59" t="str">
        <f>IF(OR($A8435="",$C8435="",$D8435="",$E8435="",$H8435=""),"",SUMIFS(DATA_GOC!$H:$H,DATA_GOC!$A:$A,"BOM",DATA_GOC!$D:$D,$H8435,DATA_GOC!$E:$E,$C8435,DATA_GOC!$F:$F,"Xuất nội bộ từ téc",DATA_GOC!$B:$B,"&gt;="&amp;$D8435,DATA_GOC!$B:$B,"&lt;="&amp;$E8435))</f>
        <v/>
      </c>
      <c r="J8435" s="59">
        <f t="shared" si="28"/>
        <v>0</v>
      </c>
      <c r="K8435" s="59">
        <f t="shared" si="29"/>
        <v>0</v>
      </c>
      <c r="L8435" s="59">
        <f t="shared" si="30"/>
        <v>0</v>
      </c>
      <c r="M8435" s="59">
        <f t="shared" si="31"/>
        <v>0</v>
      </c>
    </row>
    <row r="8436" ht="15.0" hidden="1" customHeight="1">
      <c r="A8436" s="59">
        <f t="shared" si="20"/>
        <v>137</v>
      </c>
      <c r="B8436" s="59" t="str">
        <f t="shared" si="21"/>
        <v/>
      </c>
      <c r="C8436" s="59" t="str">
        <f t="shared" si="22"/>
        <v/>
      </c>
      <c r="D8436" s="45" t="str">
        <f t="shared" si="23"/>
        <v/>
      </c>
      <c r="E8436" s="45" t="str">
        <f t="shared" si="24"/>
        <v/>
      </c>
      <c r="F8436" s="59" t="str">
        <f t="shared" si="25"/>
        <v/>
      </c>
      <c r="G8436" s="59" t="str">
        <f t="shared" si="26"/>
        <v/>
      </c>
      <c r="H8436" s="59" t="str">
        <f t="shared" si="27"/>
        <v>29E17417</v>
      </c>
      <c r="I8436" s="59" t="str">
        <f>IF(OR($A8436="",$C8436="",$D8436="",$E8436="",$H8436=""),"",SUMIFS(DATA_GOC!$H:$H,DATA_GOC!$A:$A,"BOM",DATA_GOC!$D:$D,$H8436,DATA_GOC!$E:$E,$C8436,DATA_GOC!$F:$F,"Xuất nội bộ từ téc",DATA_GOC!$B:$B,"&gt;="&amp;$D8436,DATA_GOC!$B:$B,"&lt;="&amp;$E8436))</f>
        <v/>
      </c>
      <c r="J8436" s="59">
        <f t="shared" si="28"/>
        <v>0</v>
      </c>
      <c r="K8436" s="59">
        <f t="shared" si="29"/>
        <v>0</v>
      </c>
      <c r="L8436" s="59">
        <f t="shared" si="30"/>
        <v>0</v>
      </c>
      <c r="M8436" s="59">
        <f t="shared" si="31"/>
        <v>0</v>
      </c>
    </row>
    <row r="8437" ht="15.0" hidden="1" customHeight="1">
      <c r="A8437" s="59">
        <f t="shared" si="20"/>
        <v>137</v>
      </c>
      <c r="B8437" s="59" t="str">
        <f t="shared" si="21"/>
        <v/>
      </c>
      <c r="C8437" s="59" t="str">
        <f t="shared" si="22"/>
        <v/>
      </c>
      <c r="D8437" s="45" t="str">
        <f t="shared" si="23"/>
        <v/>
      </c>
      <c r="E8437" s="45" t="str">
        <f t="shared" si="24"/>
        <v/>
      </c>
      <c r="F8437" s="59" t="str">
        <f t="shared" si="25"/>
        <v/>
      </c>
      <c r="G8437" s="59" t="str">
        <f t="shared" si="26"/>
        <v/>
      </c>
      <c r="H8437" s="59" t="str">
        <f t="shared" si="27"/>
        <v>29E17539</v>
      </c>
      <c r="I8437" s="59" t="str">
        <f>IF(OR($A8437="",$C8437="",$D8437="",$E8437="",$H8437=""),"",SUMIFS(DATA_GOC!$H:$H,DATA_GOC!$A:$A,"BOM",DATA_GOC!$D:$D,$H8437,DATA_GOC!$E:$E,$C8437,DATA_GOC!$F:$F,"Xuất nội bộ từ téc",DATA_GOC!$B:$B,"&gt;="&amp;$D8437,DATA_GOC!$B:$B,"&lt;="&amp;$E8437))</f>
        <v/>
      </c>
      <c r="J8437" s="59">
        <f t="shared" si="28"/>
        <v>0</v>
      </c>
      <c r="K8437" s="59">
        <f t="shared" si="29"/>
        <v>0</v>
      </c>
      <c r="L8437" s="59">
        <f t="shared" si="30"/>
        <v>0</v>
      </c>
      <c r="M8437" s="59">
        <f t="shared" si="31"/>
        <v>0</v>
      </c>
    </row>
    <row r="8438" ht="15.0" hidden="1" customHeight="1">
      <c r="A8438" s="59">
        <f t="shared" si="20"/>
        <v>137</v>
      </c>
      <c r="B8438" s="59" t="str">
        <f t="shared" si="21"/>
        <v/>
      </c>
      <c r="C8438" s="59" t="str">
        <f t="shared" si="22"/>
        <v/>
      </c>
      <c r="D8438" s="45" t="str">
        <f t="shared" si="23"/>
        <v/>
      </c>
      <c r="E8438" s="45" t="str">
        <f t="shared" si="24"/>
        <v/>
      </c>
      <c r="F8438" s="59" t="str">
        <f t="shared" si="25"/>
        <v/>
      </c>
      <c r="G8438" s="59" t="str">
        <f t="shared" si="26"/>
        <v/>
      </c>
      <c r="H8438" s="59" t="str">
        <f t="shared" si="27"/>
        <v>29E18160</v>
      </c>
      <c r="I8438" s="59" t="str">
        <f>IF(OR($A8438="",$C8438="",$D8438="",$E8438="",$H8438=""),"",SUMIFS(DATA_GOC!$H:$H,DATA_GOC!$A:$A,"BOM",DATA_GOC!$D:$D,$H8438,DATA_GOC!$E:$E,$C8438,DATA_GOC!$F:$F,"Xuất nội bộ từ téc",DATA_GOC!$B:$B,"&gt;="&amp;$D8438,DATA_GOC!$B:$B,"&lt;="&amp;$E8438))</f>
        <v/>
      </c>
      <c r="J8438" s="59">
        <f t="shared" si="28"/>
        <v>0</v>
      </c>
      <c r="K8438" s="59">
        <f t="shared" si="29"/>
        <v>0</v>
      </c>
      <c r="L8438" s="59">
        <f t="shared" si="30"/>
        <v>0</v>
      </c>
      <c r="M8438" s="59">
        <f t="shared" si="31"/>
        <v>0</v>
      </c>
    </row>
    <row r="8439" ht="15.0" hidden="1" customHeight="1">
      <c r="A8439" s="59">
        <f t="shared" si="20"/>
        <v>137</v>
      </c>
      <c r="B8439" s="59" t="str">
        <f t="shared" si="21"/>
        <v/>
      </c>
      <c r="C8439" s="59" t="str">
        <f t="shared" si="22"/>
        <v/>
      </c>
      <c r="D8439" s="45" t="str">
        <f t="shared" si="23"/>
        <v/>
      </c>
      <c r="E8439" s="45" t="str">
        <f t="shared" si="24"/>
        <v/>
      </c>
      <c r="F8439" s="59" t="str">
        <f t="shared" si="25"/>
        <v/>
      </c>
      <c r="G8439" s="59" t="str">
        <f t="shared" si="26"/>
        <v/>
      </c>
      <c r="H8439" s="59" t="str">
        <f t="shared" si="27"/>
        <v>Công trình Asphalt</v>
      </c>
      <c r="I8439" s="59" t="str">
        <f>IF(OR($A8439="",$C8439="",$D8439="",$E8439="",$H8439=""),"",SUMIFS(DATA_GOC!$H:$H,DATA_GOC!$A:$A,"BOM",DATA_GOC!$D:$D,$H8439,DATA_GOC!$E:$E,$C8439,DATA_GOC!$F:$F,"Xuất nội bộ từ téc",DATA_GOC!$B:$B,"&gt;="&amp;$D8439,DATA_GOC!$B:$B,"&lt;="&amp;$E8439))</f>
        <v/>
      </c>
      <c r="J8439" s="59">
        <f t="shared" si="28"/>
        <v>0</v>
      </c>
      <c r="K8439" s="59">
        <f t="shared" si="29"/>
        <v>0</v>
      </c>
      <c r="L8439" s="59">
        <f t="shared" si="30"/>
        <v>0</v>
      </c>
      <c r="M8439" s="59">
        <f t="shared" si="31"/>
        <v>0</v>
      </c>
    </row>
    <row r="8440" ht="15.0" hidden="1" customHeight="1">
      <c r="A8440" s="59">
        <f t="shared" si="20"/>
        <v>137</v>
      </c>
      <c r="B8440" s="59" t="str">
        <f t="shared" si="21"/>
        <v/>
      </c>
      <c r="C8440" s="59" t="str">
        <f t="shared" si="22"/>
        <v/>
      </c>
      <c r="D8440" s="45" t="str">
        <f t="shared" si="23"/>
        <v/>
      </c>
      <c r="E8440" s="45" t="str">
        <f t="shared" si="24"/>
        <v/>
      </c>
      <c r="F8440" s="59" t="str">
        <f t="shared" si="25"/>
        <v/>
      </c>
      <c r="G8440" s="59" t="str">
        <f t="shared" si="26"/>
        <v/>
      </c>
      <c r="H8440" s="59" t="str">
        <f t="shared" si="27"/>
        <v>LG53F</v>
      </c>
      <c r="I8440" s="59" t="str">
        <f>IF(OR($A8440="",$C8440="",$D8440="",$E8440="",$H8440=""),"",SUMIFS(DATA_GOC!$H:$H,DATA_GOC!$A:$A,"BOM",DATA_GOC!$D:$D,$H8440,DATA_GOC!$E:$E,$C8440,DATA_GOC!$F:$F,"Xuất nội bộ từ téc",DATA_GOC!$B:$B,"&gt;="&amp;$D8440,DATA_GOC!$B:$B,"&lt;="&amp;$E8440))</f>
        <v/>
      </c>
      <c r="J8440" s="59">
        <f t="shared" si="28"/>
        <v>0</v>
      </c>
      <c r="K8440" s="59">
        <f t="shared" si="29"/>
        <v>0</v>
      </c>
      <c r="L8440" s="59">
        <f t="shared" si="30"/>
        <v>0</v>
      </c>
      <c r="M8440" s="59">
        <f t="shared" si="31"/>
        <v>0</v>
      </c>
    </row>
    <row r="8441" ht="15.0" hidden="1" customHeight="1">
      <c r="A8441" s="59">
        <f t="shared" si="20"/>
        <v>137</v>
      </c>
      <c r="B8441" s="59" t="str">
        <f t="shared" si="21"/>
        <v/>
      </c>
      <c r="C8441" s="59" t="str">
        <f t="shared" si="22"/>
        <v/>
      </c>
      <c r="D8441" s="45" t="str">
        <f t="shared" si="23"/>
        <v/>
      </c>
      <c r="E8441" s="45" t="str">
        <f t="shared" si="24"/>
        <v/>
      </c>
      <c r="F8441" s="59" t="str">
        <f t="shared" si="25"/>
        <v/>
      </c>
      <c r="G8441" s="59" t="str">
        <f t="shared" si="26"/>
        <v/>
      </c>
      <c r="H8441" s="59" t="str">
        <f t="shared" si="27"/>
        <v>Máy phát điện</v>
      </c>
      <c r="I8441" s="59" t="str">
        <f>IF(OR($A8441="",$C8441="",$D8441="",$E8441="",$H8441=""),"",SUMIFS(DATA_GOC!$H:$H,DATA_GOC!$A:$A,"BOM",DATA_GOC!$D:$D,$H8441,DATA_GOC!$E:$E,$C8441,DATA_GOC!$F:$F,"Xuất nội bộ từ téc",DATA_GOC!$B:$B,"&gt;="&amp;$D8441,DATA_GOC!$B:$B,"&lt;="&amp;$E8441))</f>
        <v/>
      </c>
      <c r="J8441" s="59">
        <f t="shared" si="28"/>
        <v>0</v>
      </c>
      <c r="K8441" s="59">
        <f t="shared" si="29"/>
        <v>0</v>
      </c>
      <c r="L8441" s="59">
        <f t="shared" si="30"/>
        <v>0</v>
      </c>
      <c r="M8441" s="59">
        <f t="shared" si="31"/>
        <v>0</v>
      </c>
    </row>
    <row r="8442" ht="15.0" hidden="1" customHeight="1">
      <c r="A8442" s="59">
        <f t="shared" si="20"/>
        <v>137</v>
      </c>
      <c r="B8442" s="59" t="str">
        <f t="shared" si="21"/>
        <v/>
      </c>
      <c r="C8442" s="59" t="str">
        <f t="shared" si="22"/>
        <v/>
      </c>
      <c r="D8442" s="45" t="str">
        <f t="shared" si="23"/>
        <v/>
      </c>
      <c r="E8442" s="45" t="str">
        <f t="shared" si="24"/>
        <v/>
      </c>
      <c r="F8442" s="59" t="str">
        <f t="shared" si="25"/>
        <v/>
      </c>
      <c r="G8442" s="59" t="str">
        <f t="shared" si="26"/>
        <v/>
      </c>
      <c r="H8442" s="59" t="str">
        <f t="shared" si="27"/>
        <v>Máy rải thảm</v>
      </c>
      <c r="I8442" s="59" t="str">
        <f>IF(OR($A8442="",$C8442="",$D8442="",$E8442="",$H8442=""),"",SUMIFS(DATA_GOC!$H:$H,DATA_GOC!$A:$A,"BOM",DATA_GOC!$D:$D,$H8442,DATA_GOC!$E:$E,$C8442,DATA_GOC!$F:$F,"Xuất nội bộ từ téc",DATA_GOC!$B:$B,"&gt;="&amp;$D8442,DATA_GOC!$B:$B,"&lt;="&amp;$E8442))</f>
        <v/>
      </c>
      <c r="J8442" s="59">
        <f t="shared" si="28"/>
        <v>0</v>
      </c>
      <c r="K8442" s="59">
        <f t="shared" si="29"/>
        <v>0</v>
      </c>
      <c r="L8442" s="59">
        <f t="shared" si="30"/>
        <v>0</v>
      </c>
      <c r="M8442" s="59">
        <f t="shared" si="31"/>
        <v>0</v>
      </c>
    </row>
    <row r="8443" ht="15.0" hidden="1" customHeight="1">
      <c r="A8443" s="59">
        <f t="shared" si="20"/>
        <v>137</v>
      </c>
      <c r="B8443" s="59" t="str">
        <f t="shared" si="21"/>
        <v/>
      </c>
      <c r="C8443" s="59" t="str">
        <f t="shared" si="22"/>
        <v/>
      </c>
      <c r="D8443" s="45" t="str">
        <f t="shared" si="23"/>
        <v/>
      </c>
      <c r="E8443" s="45" t="str">
        <f t="shared" si="24"/>
        <v/>
      </c>
      <c r="F8443" s="59" t="str">
        <f t="shared" si="25"/>
        <v/>
      </c>
      <c r="G8443" s="59" t="str">
        <f t="shared" si="26"/>
        <v/>
      </c>
      <c r="H8443" s="59" t="str">
        <f t="shared" si="27"/>
        <v>Xúc Đào</v>
      </c>
      <c r="I8443" s="59" t="str">
        <f>IF(OR($A8443="",$C8443="",$D8443="",$E8443="",$H8443=""),"",SUMIFS(DATA_GOC!$H:$H,DATA_GOC!$A:$A,"BOM",DATA_GOC!$D:$D,$H8443,DATA_GOC!$E:$E,$C8443,DATA_GOC!$F:$F,"Xuất nội bộ từ téc",DATA_GOC!$B:$B,"&gt;="&amp;$D8443,DATA_GOC!$B:$B,"&lt;="&amp;$E8443))</f>
        <v/>
      </c>
      <c r="J8443" s="59">
        <f t="shared" si="28"/>
        <v>0</v>
      </c>
      <c r="K8443" s="59">
        <f t="shared" si="29"/>
        <v>0</v>
      </c>
      <c r="L8443" s="59">
        <f t="shared" si="30"/>
        <v>0</v>
      </c>
      <c r="M8443" s="59">
        <f t="shared" si="31"/>
        <v>0</v>
      </c>
    </row>
    <row r="8444" ht="15.0" hidden="1" customHeight="1">
      <c r="A8444" s="59">
        <f t="shared" si="20"/>
        <v>137</v>
      </c>
      <c r="B8444" s="59" t="str">
        <f t="shared" si="21"/>
        <v/>
      </c>
      <c r="C8444" s="59" t="str">
        <f t="shared" si="22"/>
        <v/>
      </c>
      <c r="D8444" s="45" t="str">
        <f t="shared" si="23"/>
        <v/>
      </c>
      <c r="E8444" s="45" t="str">
        <f t="shared" si="24"/>
        <v/>
      </c>
      <c r="F8444" s="59" t="str">
        <f t="shared" si="25"/>
        <v/>
      </c>
      <c r="G8444" s="59" t="str">
        <f t="shared" si="26"/>
        <v/>
      </c>
      <c r="H8444" s="59" t="str">
        <f t="shared" si="27"/>
        <v>Xúclật asphalt</v>
      </c>
      <c r="I8444" s="59" t="str">
        <f>IF(OR($A8444="",$C8444="",$D8444="",$E8444="",$H8444=""),"",SUMIFS(DATA_GOC!$H:$H,DATA_GOC!$A:$A,"BOM",DATA_GOC!$D:$D,$H8444,DATA_GOC!$E:$E,$C8444,DATA_GOC!$F:$F,"Xuất nội bộ từ téc",DATA_GOC!$B:$B,"&gt;="&amp;$D8444,DATA_GOC!$B:$B,"&lt;="&amp;$E8444))</f>
        <v/>
      </c>
      <c r="J8444" s="59">
        <f t="shared" si="28"/>
        <v>0</v>
      </c>
      <c r="K8444" s="59">
        <f t="shared" si="29"/>
        <v>0</v>
      </c>
      <c r="L8444" s="59">
        <f t="shared" si="30"/>
        <v>0</v>
      </c>
      <c r="M8444" s="59">
        <f t="shared" si="31"/>
        <v>0</v>
      </c>
    </row>
    <row r="8445" ht="15.0" hidden="1" customHeight="1">
      <c r="A8445" s="59">
        <f t="shared" si="20"/>
        <v>137</v>
      </c>
      <c r="B8445" s="59" t="str">
        <f t="shared" si="21"/>
        <v/>
      </c>
      <c r="C8445" s="59" t="str">
        <f t="shared" si="22"/>
        <v/>
      </c>
      <c r="D8445" s="45" t="str">
        <f t="shared" si="23"/>
        <v/>
      </c>
      <c r="E8445" s="45" t="str">
        <f t="shared" si="24"/>
        <v/>
      </c>
      <c r="F8445" s="59" t="str">
        <f t="shared" si="25"/>
        <v/>
      </c>
      <c r="G8445" s="59" t="str">
        <f t="shared" si="26"/>
        <v/>
      </c>
      <c r="H8445" s="59" t="str">
        <f t="shared" si="27"/>
        <v>Xúclật855H</v>
      </c>
      <c r="I8445" s="59" t="str">
        <f>IF(OR($A8445="",$C8445="",$D8445="",$E8445="",$H8445=""),"",SUMIFS(DATA_GOC!$H:$H,DATA_GOC!$A:$A,"BOM",DATA_GOC!$D:$D,$H8445,DATA_GOC!$E:$E,$C8445,DATA_GOC!$F:$F,"Xuất nội bộ từ téc",DATA_GOC!$B:$B,"&gt;="&amp;$D8445,DATA_GOC!$B:$B,"&lt;="&amp;$E8445))</f>
        <v/>
      </c>
      <c r="J8445" s="59">
        <f t="shared" si="28"/>
        <v>0</v>
      </c>
      <c r="K8445" s="59">
        <f t="shared" si="29"/>
        <v>0</v>
      </c>
      <c r="L8445" s="59">
        <f t="shared" si="30"/>
        <v>0</v>
      </c>
      <c r="M8445" s="59">
        <f t="shared" si="31"/>
        <v>0</v>
      </c>
    </row>
    <row r="8446" ht="15.0" hidden="1" customHeight="1">
      <c r="A8446" s="59">
        <f t="shared" si="20"/>
        <v>137</v>
      </c>
      <c r="B8446" s="59" t="str">
        <f t="shared" si="21"/>
        <v/>
      </c>
      <c r="C8446" s="59" t="str">
        <f t="shared" si="22"/>
        <v/>
      </c>
      <c r="D8446" s="45" t="str">
        <f t="shared" si="23"/>
        <v/>
      </c>
      <c r="E8446" s="45" t="str">
        <f t="shared" si="24"/>
        <v/>
      </c>
      <c r="F8446" s="59" t="str">
        <f t="shared" si="25"/>
        <v/>
      </c>
      <c r="G8446" s="59" t="str">
        <f t="shared" si="26"/>
        <v/>
      </c>
      <c r="H8446" s="59" t="str">
        <f t="shared" si="27"/>
        <v>Xúclật855N</v>
      </c>
      <c r="I8446" s="59" t="str">
        <f>IF(OR($A8446="",$C8446="",$D8446="",$E8446="",$H8446=""),"",SUMIFS(DATA_GOC!$H:$H,DATA_GOC!$A:$A,"BOM",DATA_GOC!$D:$D,$H8446,DATA_GOC!$E:$E,$C8446,DATA_GOC!$F:$F,"Xuất nội bộ từ téc",DATA_GOC!$B:$B,"&gt;="&amp;$D8446,DATA_GOC!$B:$B,"&lt;="&amp;$E8446))</f>
        <v/>
      </c>
      <c r="J8446" s="59">
        <f t="shared" si="28"/>
        <v>0</v>
      </c>
      <c r="K8446" s="59">
        <f t="shared" si="29"/>
        <v>0</v>
      </c>
      <c r="L8446" s="59">
        <f t="shared" si="30"/>
        <v>0</v>
      </c>
      <c r="M8446" s="59">
        <f t="shared" si="31"/>
        <v>0</v>
      </c>
    </row>
    <row r="8447" ht="15.0" hidden="1" customHeight="1">
      <c r="A8447" s="59">
        <f t="shared" si="20"/>
        <v>137</v>
      </c>
      <c r="B8447" s="59" t="str">
        <f t="shared" si="21"/>
        <v/>
      </c>
      <c r="C8447" s="59" t="str">
        <f t="shared" si="22"/>
        <v/>
      </c>
      <c r="D8447" s="45" t="str">
        <f t="shared" si="23"/>
        <v/>
      </c>
      <c r="E8447" s="45" t="str">
        <f t="shared" si="24"/>
        <v/>
      </c>
      <c r="F8447" s="59" t="str">
        <f t="shared" si="25"/>
        <v/>
      </c>
      <c r="G8447" s="59" t="str">
        <f t="shared" si="26"/>
        <v/>
      </c>
      <c r="H8447" s="59" t="str">
        <f t="shared" si="27"/>
        <v>Cát nghiền</v>
      </c>
      <c r="I8447" s="59" t="str">
        <f>IF(OR($A8447="",$C8447="",$D8447="",$E8447="",$H8447=""),"",SUMIFS(DATA_GOC!$H:$H,DATA_GOC!$A:$A,"BOM",DATA_GOC!$D:$D,$H8447,DATA_GOC!$E:$E,$C8447,DATA_GOC!$F:$F,"Xuất nội bộ từ téc",DATA_GOC!$B:$B,"&gt;="&amp;$D8447,DATA_GOC!$B:$B,"&lt;="&amp;$E8447))</f>
        <v/>
      </c>
      <c r="J8447" s="59">
        <f t="shared" si="28"/>
        <v>0</v>
      </c>
      <c r="K8447" s="59">
        <f t="shared" si="29"/>
        <v>0</v>
      </c>
      <c r="L8447" s="59">
        <f t="shared" si="30"/>
        <v>0</v>
      </c>
      <c r="M8447" s="59">
        <f t="shared" si="31"/>
        <v>0</v>
      </c>
    </row>
    <row r="8448" ht="15.0" hidden="1" customHeight="1">
      <c r="A8448" s="59">
        <f t="shared" si="20"/>
        <v>137</v>
      </c>
      <c r="B8448" s="59" t="str">
        <f t="shared" si="21"/>
        <v/>
      </c>
      <c r="C8448" s="59" t="str">
        <f t="shared" si="22"/>
        <v/>
      </c>
      <c r="D8448" s="45" t="str">
        <f t="shared" si="23"/>
        <v/>
      </c>
      <c r="E8448" s="45" t="str">
        <f t="shared" si="24"/>
        <v/>
      </c>
      <c r="F8448" s="59" t="str">
        <f t="shared" si="25"/>
        <v/>
      </c>
      <c r="G8448" s="59" t="str">
        <f t="shared" si="26"/>
        <v/>
      </c>
      <c r="H8448" s="59" t="str">
        <f t="shared" si="27"/>
        <v>28C02973</v>
      </c>
      <c r="I8448" s="59" t="str">
        <f>IF(OR($A8448="",$C8448="",$D8448="",$E8448="",$H8448=""),"",SUMIFS(DATA_GOC!$H:$H,DATA_GOC!$A:$A,"BOM",DATA_GOC!$D:$D,$H8448,DATA_GOC!$E:$E,$C8448,DATA_GOC!$F:$F,"Xuất nội bộ từ téc",DATA_GOC!$B:$B,"&gt;="&amp;$D8448,DATA_GOC!$B:$B,"&lt;="&amp;$E8448))</f>
        <v/>
      </c>
      <c r="J8448" s="59">
        <f t="shared" si="28"/>
        <v>0</v>
      </c>
      <c r="K8448" s="59">
        <f t="shared" si="29"/>
        <v>0</v>
      </c>
      <c r="L8448" s="59">
        <f t="shared" si="30"/>
        <v>0</v>
      </c>
      <c r="M8448" s="59">
        <f t="shared" si="31"/>
        <v>0</v>
      </c>
    </row>
    <row r="8449" ht="15.0" hidden="1" customHeight="1">
      <c r="A8449" s="59">
        <f t="shared" si="20"/>
        <v>137</v>
      </c>
      <c r="B8449" s="59" t="str">
        <f t="shared" si="21"/>
        <v/>
      </c>
      <c r="C8449" s="59" t="str">
        <f t="shared" si="22"/>
        <v/>
      </c>
      <c r="D8449" s="45" t="str">
        <f t="shared" si="23"/>
        <v/>
      </c>
      <c r="E8449" s="45" t="str">
        <f t="shared" si="24"/>
        <v/>
      </c>
      <c r="F8449" s="59" t="str">
        <f t="shared" si="25"/>
        <v/>
      </c>
      <c r="G8449" s="59" t="str">
        <f t="shared" si="26"/>
        <v/>
      </c>
      <c r="H8449" s="59" t="str">
        <f t="shared" si="27"/>
        <v>28C03044</v>
      </c>
      <c r="I8449" s="59" t="str">
        <f>IF(OR($A8449="",$C8449="",$D8449="",$E8449="",$H8449=""),"",SUMIFS(DATA_GOC!$H:$H,DATA_GOC!$A:$A,"BOM",DATA_GOC!$D:$D,$H8449,DATA_GOC!$E:$E,$C8449,DATA_GOC!$F:$F,"Xuất nội bộ từ téc",DATA_GOC!$B:$B,"&gt;="&amp;$D8449,DATA_GOC!$B:$B,"&lt;="&amp;$E8449))</f>
        <v/>
      </c>
      <c r="J8449" s="59">
        <f t="shared" si="28"/>
        <v>0</v>
      </c>
      <c r="K8449" s="59">
        <f t="shared" si="29"/>
        <v>0</v>
      </c>
      <c r="L8449" s="59">
        <f t="shared" si="30"/>
        <v>0</v>
      </c>
      <c r="M8449" s="59">
        <f t="shared" si="31"/>
        <v>0</v>
      </c>
    </row>
    <row r="8450" ht="15.0" hidden="1" customHeight="1">
      <c r="A8450" s="59">
        <f t="shared" si="20"/>
        <v>137</v>
      </c>
      <c r="B8450" s="59" t="str">
        <f t="shared" si="21"/>
        <v/>
      </c>
      <c r="C8450" s="59" t="str">
        <f t="shared" si="22"/>
        <v/>
      </c>
      <c r="D8450" s="45" t="str">
        <f t="shared" si="23"/>
        <v/>
      </c>
      <c r="E8450" s="45" t="str">
        <f t="shared" si="24"/>
        <v/>
      </c>
      <c r="F8450" s="59" t="str">
        <f t="shared" si="25"/>
        <v/>
      </c>
      <c r="G8450" s="59" t="str">
        <f t="shared" si="26"/>
        <v/>
      </c>
      <c r="H8450" s="59" t="str">
        <f t="shared" si="27"/>
        <v>Máy lu lốp</v>
      </c>
      <c r="I8450" s="59" t="str">
        <f>IF(OR($A8450="",$C8450="",$D8450="",$E8450="",$H8450=""),"",SUMIFS(DATA_GOC!$H:$H,DATA_GOC!$A:$A,"BOM",DATA_GOC!$D:$D,$H8450,DATA_GOC!$E:$E,$C8450,DATA_GOC!$F:$F,"Xuất nội bộ từ téc",DATA_GOC!$B:$B,"&gt;="&amp;$D8450,DATA_GOC!$B:$B,"&lt;="&amp;$E8450))</f>
        <v/>
      </c>
      <c r="J8450" s="59">
        <f t="shared" si="28"/>
        <v>0</v>
      </c>
      <c r="K8450" s="59">
        <f t="shared" si="29"/>
        <v>0</v>
      </c>
      <c r="L8450" s="59">
        <f t="shared" si="30"/>
        <v>0</v>
      </c>
      <c r="M8450" s="59">
        <f t="shared" si="31"/>
        <v>0</v>
      </c>
    </row>
    <row r="8451" ht="15.0" hidden="1" customHeight="1">
      <c r="A8451" s="59">
        <f t="shared" si="20"/>
        <v>137</v>
      </c>
      <c r="B8451" s="59" t="str">
        <f t="shared" si="21"/>
        <v/>
      </c>
      <c r="C8451" s="59" t="str">
        <f t="shared" si="22"/>
        <v/>
      </c>
      <c r="D8451" s="45" t="str">
        <f t="shared" si="23"/>
        <v/>
      </c>
      <c r="E8451" s="45" t="str">
        <f t="shared" si="24"/>
        <v/>
      </c>
      <c r="F8451" s="59" t="str">
        <f t="shared" si="25"/>
        <v/>
      </c>
      <c r="G8451" s="59" t="str">
        <f t="shared" si="26"/>
        <v/>
      </c>
      <c r="H8451" s="59" t="str">
        <f t="shared" si="27"/>
        <v>Xe 600148</v>
      </c>
      <c r="I8451" s="59" t="str">
        <f>IF(OR($A8451="",$C8451="",$D8451="",$E8451="",$H8451=""),"",SUMIFS(DATA_GOC!$H:$H,DATA_GOC!$A:$A,"BOM",DATA_GOC!$D:$D,$H8451,DATA_GOC!$E:$E,$C8451,DATA_GOC!$F:$F,"Xuất nội bộ từ téc",DATA_GOC!$B:$B,"&gt;="&amp;$D8451,DATA_GOC!$B:$B,"&lt;="&amp;$E8451))</f>
        <v/>
      </c>
      <c r="J8451" s="59">
        <f t="shared" si="28"/>
        <v>0</v>
      </c>
      <c r="K8451" s="59">
        <f t="shared" si="29"/>
        <v>0</v>
      </c>
      <c r="L8451" s="59">
        <f t="shared" si="30"/>
        <v>0</v>
      </c>
      <c r="M8451" s="59">
        <f t="shared" si="31"/>
        <v>0</v>
      </c>
    </row>
    <row r="8452" ht="15.0" hidden="1" customHeight="1">
      <c r="A8452" s="59">
        <f t="shared" si="20"/>
        <v>137</v>
      </c>
      <c r="B8452" s="59" t="str">
        <f t="shared" si="21"/>
        <v/>
      </c>
      <c r="C8452" s="59" t="str">
        <f t="shared" si="22"/>
        <v/>
      </c>
      <c r="D8452" s="45" t="str">
        <f t="shared" si="23"/>
        <v/>
      </c>
      <c r="E8452" s="45" t="str">
        <f t="shared" si="24"/>
        <v/>
      </c>
      <c r="F8452" s="59" t="str">
        <f t="shared" si="25"/>
        <v/>
      </c>
      <c r="G8452" s="59" t="str">
        <f t="shared" si="26"/>
        <v/>
      </c>
      <c r="H8452" s="59" t="str">
        <f t="shared" si="27"/>
        <v>Xe ben mới</v>
      </c>
      <c r="I8452" s="59" t="str">
        <f>IF(OR($A8452="",$C8452="",$D8452="",$E8452="",$H8452=""),"",SUMIFS(DATA_GOC!$H:$H,DATA_GOC!$A:$A,"BOM",DATA_GOC!$D:$D,$H8452,DATA_GOC!$E:$E,$C8452,DATA_GOC!$F:$F,"Xuất nội bộ từ téc",DATA_GOC!$B:$B,"&gt;="&amp;$D8452,DATA_GOC!$B:$B,"&lt;="&amp;$E8452))</f>
        <v/>
      </c>
      <c r="J8452" s="59">
        <f t="shared" si="28"/>
        <v>0</v>
      </c>
      <c r="K8452" s="59">
        <f t="shared" si="29"/>
        <v>0</v>
      </c>
      <c r="L8452" s="59">
        <f t="shared" si="30"/>
        <v>0</v>
      </c>
      <c r="M8452" s="59">
        <f t="shared" si="31"/>
        <v>0</v>
      </c>
    </row>
    <row r="8453" ht="15.0" hidden="1" customHeight="1">
      <c r="A8453" s="59">
        <f t="shared" si="20"/>
        <v>138</v>
      </c>
      <c r="B8453" s="59" t="str">
        <f t="shared" si="21"/>
        <v/>
      </c>
      <c r="C8453" s="59" t="str">
        <f t="shared" si="22"/>
        <v/>
      </c>
      <c r="D8453" s="45" t="str">
        <f t="shared" si="23"/>
        <v/>
      </c>
      <c r="E8453" s="45" t="str">
        <f t="shared" si="24"/>
        <v/>
      </c>
      <c r="F8453" s="59" t="str">
        <f t="shared" si="25"/>
        <v/>
      </c>
      <c r="G8453" s="59" t="str">
        <f t="shared" si="26"/>
        <v/>
      </c>
      <c r="H8453" s="59" t="str">
        <f t="shared" si="27"/>
        <v>19H09482</v>
      </c>
      <c r="I8453" s="59" t="str">
        <f>IF(OR($A8453="",$C8453="",$D8453="",$E8453="",$H8453=""),"",SUMIFS(DATA_GOC!$H:$H,DATA_GOC!$A:$A,"BOM",DATA_GOC!$D:$D,$H8453,DATA_GOC!$E:$E,$C8453,DATA_GOC!$F:$F,"Xuất nội bộ từ téc",DATA_GOC!$B:$B,"&gt;="&amp;$D8453,DATA_GOC!$B:$B,"&lt;="&amp;$E8453))</f>
        <v/>
      </c>
      <c r="J8453" s="59">
        <f t="shared" si="28"/>
        <v>0</v>
      </c>
      <c r="K8453" s="59">
        <f t="shared" si="29"/>
        <v>0</v>
      </c>
      <c r="L8453" s="59">
        <f t="shared" si="30"/>
        <v>0</v>
      </c>
      <c r="M8453" s="59">
        <f t="shared" si="31"/>
        <v>0</v>
      </c>
    </row>
    <row r="8454" ht="15.0" hidden="1" customHeight="1">
      <c r="A8454" s="59">
        <f t="shared" si="20"/>
        <v>138</v>
      </c>
      <c r="B8454" s="59" t="str">
        <f t="shared" si="21"/>
        <v/>
      </c>
      <c r="C8454" s="59" t="str">
        <f t="shared" si="22"/>
        <v/>
      </c>
      <c r="D8454" s="45" t="str">
        <f t="shared" si="23"/>
        <v/>
      </c>
      <c r="E8454" s="45" t="str">
        <f t="shared" si="24"/>
        <v/>
      </c>
      <c r="F8454" s="59" t="str">
        <f t="shared" si="25"/>
        <v/>
      </c>
      <c r="G8454" s="59" t="str">
        <f t="shared" si="26"/>
        <v/>
      </c>
      <c r="H8454" s="59" t="str">
        <f t="shared" si="27"/>
        <v>28A30696</v>
      </c>
      <c r="I8454" s="59" t="str">
        <f>IF(OR($A8454="",$C8454="",$D8454="",$E8454="",$H8454=""),"",SUMIFS(DATA_GOC!$H:$H,DATA_GOC!$A:$A,"BOM",DATA_GOC!$D:$D,$H8454,DATA_GOC!$E:$E,$C8454,DATA_GOC!$F:$F,"Xuất nội bộ từ téc",DATA_GOC!$B:$B,"&gt;="&amp;$D8454,DATA_GOC!$B:$B,"&lt;="&amp;$E8454))</f>
        <v/>
      </c>
      <c r="J8454" s="59">
        <f t="shared" si="28"/>
        <v>0</v>
      </c>
      <c r="K8454" s="59">
        <f t="shared" si="29"/>
        <v>0</v>
      </c>
      <c r="L8454" s="59">
        <f t="shared" si="30"/>
        <v>0</v>
      </c>
      <c r="M8454" s="59">
        <f t="shared" si="31"/>
        <v>0</v>
      </c>
    </row>
    <row r="8455" ht="15.0" hidden="1" customHeight="1">
      <c r="A8455" s="59">
        <f t="shared" si="20"/>
        <v>138</v>
      </c>
      <c r="B8455" s="59" t="str">
        <f t="shared" si="21"/>
        <v/>
      </c>
      <c r="C8455" s="59" t="str">
        <f t="shared" si="22"/>
        <v/>
      </c>
      <c r="D8455" s="45" t="str">
        <f t="shared" si="23"/>
        <v/>
      </c>
      <c r="E8455" s="45" t="str">
        <f t="shared" si="24"/>
        <v/>
      </c>
      <c r="F8455" s="59" t="str">
        <f t="shared" si="25"/>
        <v/>
      </c>
      <c r="G8455" s="59" t="str">
        <f t="shared" si="26"/>
        <v/>
      </c>
      <c r="H8455" s="59" t="str">
        <f t="shared" si="27"/>
        <v>28C00462</v>
      </c>
      <c r="I8455" s="59" t="str">
        <f>IF(OR($A8455="",$C8455="",$D8455="",$E8455="",$H8455=""),"",SUMIFS(DATA_GOC!$H:$H,DATA_GOC!$A:$A,"BOM",DATA_GOC!$D:$D,$H8455,DATA_GOC!$E:$E,$C8455,DATA_GOC!$F:$F,"Xuất nội bộ từ téc",DATA_GOC!$B:$B,"&gt;="&amp;$D8455,DATA_GOC!$B:$B,"&lt;="&amp;$E8455))</f>
        <v/>
      </c>
      <c r="J8455" s="59">
        <f t="shared" si="28"/>
        <v>0</v>
      </c>
      <c r="K8455" s="59">
        <f t="shared" si="29"/>
        <v>0</v>
      </c>
      <c r="L8455" s="59">
        <f t="shared" si="30"/>
        <v>0</v>
      </c>
      <c r="M8455" s="59">
        <f t="shared" si="31"/>
        <v>0</v>
      </c>
    </row>
    <row r="8456" ht="15.0" hidden="1" customHeight="1">
      <c r="A8456" s="59">
        <f t="shared" si="20"/>
        <v>138</v>
      </c>
      <c r="B8456" s="59" t="str">
        <f t="shared" si="21"/>
        <v/>
      </c>
      <c r="C8456" s="59" t="str">
        <f t="shared" si="22"/>
        <v/>
      </c>
      <c r="D8456" s="45" t="str">
        <f t="shared" si="23"/>
        <v/>
      </c>
      <c r="E8456" s="45" t="str">
        <f t="shared" si="24"/>
        <v/>
      </c>
      <c r="F8456" s="59" t="str">
        <f t="shared" si="25"/>
        <v/>
      </c>
      <c r="G8456" s="59" t="str">
        <f t="shared" si="26"/>
        <v/>
      </c>
      <c r="H8456" s="59" t="str">
        <f t="shared" si="27"/>
        <v>28C01165</v>
      </c>
      <c r="I8456" s="59" t="str">
        <f>IF(OR($A8456="",$C8456="",$D8456="",$E8456="",$H8456=""),"",SUMIFS(DATA_GOC!$H:$H,DATA_GOC!$A:$A,"BOM",DATA_GOC!$D:$D,$H8456,DATA_GOC!$E:$E,$C8456,DATA_GOC!$F:$F,"Xuất nội bộ từ téc",DATA_GOC!$B:$B,"&gt;="&amp;$D8456,DATA_GOC!$B:$B,"&lt;="&amp;$E8456))</f>
        <v/>
      </c>
      <c r="J8456" s="59">
        <f t="shared" si="28"/>
        <v>0</v>
      </c>
      <c r="K8456" s="59">
        <f t="shared" si="29"/>
        <v>0</v>
      </c>
      <c r="L8456" s="59">
        <f t="shared" si="30"/>
        <v>0</v>
      </c>
      <c r="M8456" s="59">
        <f t="shared" si="31"/>
        <v>0</v>
      </c>
    </row>
    <row r="8457" ht="15.0" hidden="1" customHeight="1">
      <c r="A8457" s="59">
        <f t="shared" si="20"/>
        <v>138</v>
      </c>
      <c r="B8457" s="59" t="str">
        <f t="shared" si="21"/>
        <v/>
      </c>
      <c r="C8457" s="59" t="str">
        <f t="shared" si="22"/>
        <v/>
      </c>
      <c r="D8457" s="45" t="str">
        <f t="shared" si="23"/>
        <v/>
      </c>
      <c r="E8457" s="45" t="str">
        <f t="shared" si="24"/>
        <v/>
      </c>
      <c r="F8457" s="59" t="str">
        <f t="shared" si="25"/>
        <v/>
      </c>
      <c r="G8457" s="59" t="str">
        <f t="shared" si="26"/>
        <v/>
      </c>
      <c r="H8457" s="59" t="str">
        <f t="shared" si="27"/>
        <v>28C01406</v>
      </c>
      <c r="I8457" s="59" t="str">
        <f>IF(OR($A8457="",$C8457="",$D8457="",$E8457="",$H8457=""),"",SUMIFS(DATA_GOC!$H:$H,DATA_GOC!$A:$A,"BOM",DATA_GOC!$D:$D,$H8457,DATA_GOC!$E:$E,$C8457,DATA_GOC!$F:$F,"Xuất nội bộ từ téc",DATA_GOC!$B:$B,"&gt;="&amp;$D8457,DATA_GOC!$B:$B,"&lt;="&amp;$E8457))</f>
        <v/>
      </c>
      <c r="J8457" s="59">
        <f t="shared" si="28"/>
        <v>0</v>
      </c>
      <c r="K8457" s="59">
        <f t="shared" si="29"/>
        <v>0</v>
      </c>
      <c r="L8457" s="59">
        <f t="shared" si="30"/>
        <v>0</v>
      </c>
      <c r="M8457" s="59">
        <f t="shared" si="31"/>
        <v>0</v>
      </c>
    </row>
    <row r="8458" ht="15.0" hidden="1" customHeight="1">
      <c r="A8458" s="59">
        <f t="shared" si="20"/>
        <v>138</v>
      </c>
      <c r="B8458" s="59" t="str">
        <f t="shared" si="21"/>
        <v/>
      </c>
      <c r="C8458" s="59" t="str">
        <f t="shared" si="22"/>
        <v/>
      </c>
      <c r="D8458" s="45" t="str">
        <f t="shared" si="23"/>
        <v/>
      </c>
      <c r="E8458" s="45" t="str">
        <f t="shared" si="24"/>
        <v/>
      </c>
      <c r="F8458" s="59" t="str">
        <f t="shared" si="25"/>
        <v/>
      </c>
      <c r="G8458" s="59" t="str">
        <f t="shared" si="26"/>
        <v/>
      </c>
      <c r="H8458" s="59" t="str">
        <f t="shared" si="27"/>
        <v>28C01544</v>
      </c>
      <c r="I8458" s="59" t="str">
        <f>IF(OR($A8458="",$C8458="",$D8458="",$E8458="",$H8458=""),"",SUMIFS(DATA_GOC!$H:$H,DATA_GOC!$A:$A,"BOM",DATA_GOC!$D:$D,$H8458,DATA_GOC!$E:$E,$C8458,DATA_GOC!$F:$F,"Xuất nội bộ từ téc",DATA_GOC!$B:$B,"&gt;="&amp;$D8458,DATA_GOC!$B:$B,"&lt;="&amp;$E8458))</f>
        <v/>
      </c>
      <c r="J8458" s="59">
        <f t="shared" si="28"/>
        <v>0</v>
      </c>
      <c r="K8458" s="59">
        <f t="shared" si="29"/>
        <v>0</v>
      </c>
      <c r="L8458" s="59">
        <f t="shared" si="30"/>
        <v>0</v>
      </c>
      <c r="M8458" s="59">
        <f t="shared" si="31"/>
        <v>0</v>
      </c>
    </row>
    <row r="8459" ht="15.0" hidden="1" customHeight="1">
      <c r="A8459" s="59">
        <f t="shared" si="20"/>
        <v>138</v>
      </c>
      <c r="B8459" s="59" t="str">
        <f t="shared" si="21"/>
        <v/>
      </c>
      <c r="C8459" s="59" t="str">
        <f t="shared" si="22"/>
        <v/>
      </c>
      <c r="D8459" s="45" t="str">
        <f t="shared" si="23"/>
        <v/>
      </c>
      <c r="E8459" s="45" t="str">
        <f t="shared" si="24"/>
        <v/>
      </c>
      <c r="F8459" s="59" t="str">
        <f t="shared" si="25"/>
        <v/>
      </c>
      <c r="G8459" s="59" t="str">
        <f t="shared" si="26"/>
        <v/>
      </c>
      <c r="H8459" s="59" t="str">
        <f t="shared" si="27"/>
        <v>28C01622</v>
      </c>
      <c r="I8459" s="59" t="str">
        <f>IF(OR($A8459="",$C8459="",$D8459="",$E8459="",$H8459=""),"",SUMIFS(DATA_GOC!$H:$H,DATA_GOC!$A:$A,"BOM",DATA_GOC!$D:$D,$H8459,DATA_GOC!$E:$E,$C8459,DATA_GOC!$F:$F,"Xuất nội bộ từ téc",DATA_GOC!$B:$B,"&gt;="&amp;$D8459,DATA_GOC!$B:$B,"&lt;="&amp;$E8459))</f>
        <v/>
      </c>
      <c r="J8459" s="59">
        <f t="shared" si="28"/>
        <v>0</v>
      </c>
      <c r="K8459" s="59">
        <f t="shared" si="29"/>
        <v>0</v>
      </c>
      <c r="L8459" s="59">
        <f t="shared" si="30"/>
        <v>0</v>
      </c>
      <c r="M8459" s="59">
        <f t="shared" si="31"/>
        <v>0</v>
      </c>
    </row>
    <row r="8460" ht="15.0" hidden="1" customHeight="1">
      <c r="A8460" s="59">
        <f t="shared" si="20"/>
        <v>138</v>
      </c>
      <c r="B8460" s="59" t="str">
        <f t="shared" si="21"/>
        <v/>
      </c>
      <c r="C8460" s="59" t="str">
        <f t="shared" si="22"/>
        <v/>
      </c>
      <c r="D8460" s="45" t="str">
        <f t="shared" si="23"/>
        <v/>
      </c>
      <c r="E8460" s="45" t="str">
        <f t="shared" si="24"/>
        <v/>
      </c>
      <c r="F8460" s="59" t="str">
        <f t="shared" si="25"/>
        <v/>
      </c>
      <c r="G8460" s="59" t="str">
        <f t="shared" si="26"/>
        <v/>
      </c>
      <c r="H8460" s="59" t="str">
        <f t="shared" si="27"/>
        <v>28C01647</v>
      </c>
      <c r="I8460" s="59" t="str">
        <f>IF(OR($A8460="",$C8460="",$D8460="",$E8460="",$H8460=""),"",SUMIFS(DATA_GOC!$H:$H,DATA_GOC!$A:$A,"BOM",DATA_GOC!$D:$D,$H8460,DATA_GOC!$E:$E,$C8460,DATA_GOC!$F:$F,"Xuất nội bộ từ téc",DATA_GOC!$B:$B,"&gt;="&amp;$D8460,DATA_GOC!$B:$B,"&lt;="&amp;$E8460))</f>
        <v/>
      </c>
      <c r="J8460" s="59">
        <f t="shared" si="28"/>
        <v>0</v>
      </c>
      <c r="K8460" s="59">
        <f t="shared" si="29"/>
        <v>0</v>
      </c>
      <c r="L8460" s="59">
        <f t="shared" si="30"/>
        <v>0</v>
      </c>
      <c r="M8460" s="59">
        <f t="shared" si="31"/>
        <v>0</v>
      </c>
    </row>
    <row r="8461" ht="15.0" hidden="1" customHeight="1">
      <c r="A8461" s="59">
        <f t="shared" si="20"/>
        <v>138</v>
      </c>
      <c r="B8461" s="59" t="str">
        <f t="shared" si="21"/>
        <v/>
      </c>
      <c r="C8461" s="59" t="str">
        <f t="shared" si="22"/>
        <v/>
      </c>
      <c r="D8461" s="45" t="str">
        <f t="shared" si="23"/>
        <v/>
      </c>
      <c r="E8461" s="45" t="str">
        <f t="shared" si="24"/>
        <v/>
      </c>
      <c r="F8461" s="59" t="str">
        <f t="shared" si="25"/>
        <v/>
      </c>
      <c r="G8461" s="59" t="str">
        <f t="shared" si="26"/>
        <v/>
      </c>
      <c r="H8461" s="59" t="str">
        <f t="shared" si="27"/>
        <v>28C01731</v>
      </c>
      <c r="I8461" s="59" t="str">
        <f>IF(OR($A8461="",$C8461="",$D8461="",$E8461="",$H8461=""),"",SUMIFS(DATA_GOC!$H:$H,DATA_GOC!$A:$A,"BOM",DATA_GOC!$D:$D,$H8461,DATA_GOC!$E:$E,$C8461,DATA_GOC!$F:$F,"Xuất nội bộ từ téc",DATA_GOC!$B:$B,"&gt;="&amp;$D8461,DATA_GOC!$B:$B,"&lt;="&amp;$E8461))</f>
        <v/>
      </c>
      <c r="J8461" s="59">
        <f t="shared" si="28"/>
        <v>0</v>
      </c>
      <c r="K8461" s="59">
        <f t="shared" si="29"/>
        <v>0</v>
      </c>
      <c r="L8461" s="59">
        <f t="shared" si="30"/>
        <v>0</v>
      </c>
      <c r="M8461" s="59">
        <f t="shared" si="31"/>
        <v>0</v>
      </c>
    </row>
    <row r="8462" ht="15.0" hidden="1" customHeight="1">
      <c r="A8462" s="59">
        <f t="shared" si="20"/>
        <v>138</v>
      </c>
      <c r="B8462" s="59" t="str">
        <f t="shared" si="21"/>
        <v/>
      </c>
      <c r="C8462" s="59" t="str">
        <f t="shared" si="22"/>
        <v/>
      </c>
      <c r="D8462" s="45" t="str">
        <f t="shared" si="23"/>
        <v/>
      </c>
      <c r="E8462" s="45" t="str">
        <f t="shared" si="24"/>
        <v/>
      </c>
      <c r="F8462" s="59" t="str">
        <f t="shared" si="25"/>
        <v/>
      </c>
      <c r="G8462" s="59" t="str">
        <f t="shared" si="26"/>
        <v/>
      </c>
      <c r="H8462" s="59" t="str">
        <f t="shared" si="27"/>
        <v>28C01743</v>
      </c>
      <c r="I8462" s="59" t="str">
        <f>IF(OR($A8462="",$C8462="",$D8462="",$E8462="",$H8462=""),"",SUMIFS(DATA_GOC!$H:$H,DATA_GOC!$A:$A,"BOM",DATA_GOC!$D:$D,$H8462,DATA_GOC!$E:$E,$C8462,DATA_GOC!$F:$F,"Xuất nội bộ từ téc",DATA_GOC!$B:$B,"&gt;="&amp;$D8462,DATA_GOC!$B:$B,"&lt;="&amp;$E8462))</f>
        <v/>
      </c>
      <c r="J8462" s="59">
        <f t="shared" si="28"/>
        <v>0</v>
      </c>
      <c r="K8462" s="59">
        <f t="shared" si="29"/>
        <v>0</v>
      </c>
      <c r="L8462" s="59">
        <f t="shared" si="30"/>
        <v>0</v>
      </c>
      <c r="M8462" s="59">
        <f t="shared" si="31"/>
        <v>0</v>
      </c>
    </row>
    <row r="8463" ht="15.0" hidden="1" customHeight="1">
      <c r="A8463" s="59">
        <f t="shared" si="20"/>
        <v>138</v>
      </c>
      <c r="B8463" s="59" t="str">
        <f t="shared" si="21"/>
        <v/>
      </c>
      <c r="C8463" s="59" t="str">
        <f t="shared" si="22"/>
        <v/>
      </c>
      <c r="D8463" s="45" t="str">
        <f t="shared" si="23"/>
        <v/>
      </c>
      <c r="E8463" s="45" t="str">
        <f t="shared" si="24"/>
        <v/>
      </c>
      <c r="F8463" s="59" t="str">
        <f t="shared" si="25"/>
        <v/>
      </c>
      <c r="G8463" s="59" t="str">
        <f t="shared" si="26"/>
        <v/>
      </c>
      <c r="H8463" s="59" t="str">
        <f t="shared" si="27"/>
        <v>28C02106</v>
      </c>
      <c r="I8463" s="59" t="str">
        <f>IF(OR($A8463="",$C8463="",$D8463="",$E8463="",$H8463=""),"",SUMIFS(DATA_GOC!$H:$H,DATA_GOC!$A:$A,"BOM",DATA_GOC!$D:$D,$H8463,DATA_GOC!$E:$E,$C8463,DATA_GOC!$F:$F,"Xuất nội bộ từ téc",DATA_GOC!$B:$B,"&gt;="&amp;$D8463,DATA_GOC!$B:$B,"&lt;="&amp;$E8463))</f>
        <v/>
      </c>
      <c r="J8463" s="59">
        <f t="shared" si="28"/>
        <v>0</v>
      </c>
      <c r="K8463" s="59">
        <f t="shared" si="29"/>
        <v>0</v>
      </c>
      <c r="L8463" s="59">
        <f t="shared" si="30"/>
        <v>0</v>
      </c>
      <c r="M8463" s="59">
        <f t="shared" si="31"/>
        <v>0</v>
      </c>
    </row>
    <row r="8464" ht="15.0" hidden="1" customHeight="1">
      <c r="A8464" s="59">
        <f t="shared" si="20"/>
        <v>138</v>
      </c>
      <c r="B8464" s="59" t="str">
        <f t="shared" si="21"/>
        <v/>
      </c>
      <c r="C8464" s="59" t="str">
        <f t="shared" si="22"/>
        <v/>
      </c>
      <c r="D8464" s="45" t="str">
        <f t="shared" si="23"/>
        <v/>
      </c>
      <c r="E8464" s="45" t="str">
        <f t="shared" si="24"/>
        <v/>
      </c>
      <c r="F8464" s="59" t="str">
        <f t="shared" si="25"/>
        <v/>
      </c>
      <c r="G8464" s="59" t="str">
        <f t="shared" si="26"/>
        <v/>
      </c>
      <c r="H8464" s="59" t="str">
        <f t="shared" si="27"/>
        <v>28C02410</v>
      </c>
      <c r="I8464" s="59" t="str">
        <f>IF(OR($A8464="",$C8464="",$D8464="",$E8464="",$H8464=""),"",SUMIFS(DATA_GOC!$H:$H,DATA_GOC!$A:$A,"BOM",DATA_GOC!$D:$D,$H8464,DATA_GOC!$E:$E,$C8464,DATA_GOC!$F:$F,"Xuất nội bộ từ téc",DATA_GOC!$B:$B,"&gt;="&amp;$D8464,DATA_GOC!$B:$B,"&lt;="&amp;$E8464))</f>
        <v/>
      </c>
      <c r="J8464" s="59">
        <f t="shared" si="28"/>
        <v>0</v>
      </c>
      <c r="K8464" s="59">
        <f t="shared" si="29"/>
        <v>0</v>
      </c>
      <c r="L8464" s="59">
        <f t="shared" si="30"/>
        <v>0</v>
      </c>
      <c r="M8464" s="59">
        <f t="shared" si="31"/>
        <v>0</v>
      </c>
    </row>
    <row r="8465" ht="15.0" hidden="1" customHeight="1">
      <c r="A8465" s="59">
        <f t="shared" si="20"/>
        <v>138</v>
      </c>
      <c r="B8465" s="59" t="str">
        <f t="shared" si="21"/>
        <v/>
      </c>
      <c r="C8465" s="59" t="str">
        <f t="shared" si="22"/>
        <v/>
      </c>
      <c r="D8465" s="45" t="str">
        <f t="shared" si="23"/>
        <v/>
      </c>
      <c r="E8465" s="45" t="str">
        <f t="shared" si="24"/>
        <v/>
      </c>
      <c r="F8465" s="59" t="str">
        <f t="shared" si="25"/>
        <v/>
      </c>
      <c r="G8465" s="59" t="str">
        <f t="shared" si="26"/>
        <v/>
      </c>
      <c r="H8465" s="59" t="str">
        <f t="shared" si="27"/>
        <v>28C02545</v>
      </c>
      <c r="I8465" s="59" t="str">
        <f>IF(OR($A8465="",$C8465="",$D8465="",$E8465="",$H8465=""),"",SUMIFS(DATA_GOC!$H:$H,DATA_GOC!$A:$A,"BOM",DATA_GOC!$D:$D,$H8465,DATA_GOC!$E:$E,$C8465,DATA_GOC!$F:$F,"Xuất nội bộ từ téc",DATA_GOC!$B:$B,"&gt;="&amp;$D8465,DATA_GOC!$B:$B,"&lt;="&amp;$E8465))</f>
        <v/>
      </c>
      <c r="J8465" s="59">
        <f t="shared" si="28"/>
        <v>0</v>
      </c>
      <c r="K8465" s="59">
        <f t="shared" si="29"/>
        <v>0</v>
      </c>
      <c r="L8465" s="59">
        <f t="shared" si="30"/>
        <v>0</v>
      </c>
      <c r="M8465" s="59">
        <f t="shared" si="31"/>
        <v>0</v>
      </c>
    </row>
    <row r="8466" ht="15.0" hidden="1" customHeight="1">
      <c r="A8466" s="59">
        <f t="shared" si="20"/>
        <v>138</v>
      </c>
      <c r="B8466" s="59" t="str">
        <f t="shared" si="21"/>
        <v/>
      </c>
      <c r="C8466" s="59" t="str">
        <f t="shared" si="22"/>
        <v/>
      </c>
      <c r="D8466" s="45" t="str">
        <f t="shared" si="23"/>
        <v/>
      </c>
      <c r="E8466" s="45" t="str">
        <f t="shared" si="24"/>
        <v/>
      </c>
      <c r="F8466" s="59" t="str">
        <f t="shared" si="25"/>
        <v/>
      </c>
      <c r="G8466" s="59" t="str">
        <f t="shared" si="26"/>
        <v/>
      </c>
      <c r="H8466" s="59" t="str">
        <f t="shared" si="27"/>
        <v>28C02574</v>
      </c>
      <c r="I8466" s="59" t="str">
        <f>IF(OR($A8466="",$C8466="",$D8466="",$E8466="",$H8466=""),"",SUMIFS(DATA_GOC!$H:$H,DATA_GOC!$A:$A,"BOM",DATA_GOC!$D:$D,$H8466,DATA_GOC!$E:$E,$C8466,DATA_GOC!$F:$F,"Xuất nội bộ từ téc",DATA_GOC!$B:$B,"&gt;="&amp;$D8466,DATA_GOC!$B:$B,"&lt;="&amp;$E8466))</f>
        <v/>
      </c>
      <c r="J8466" s="59">
        <f t="shared" si="28"/>
        <v>0</v>
      </c>
      <c r="K8466" s="59">
        <f t="shared" si="29"/>
        <v>0</v>
      </c>
      <c r="L8466" s="59">
        <f t="shared" si="30"/>
        <v>0</v>
      </c>
      <c r="M8466" s="59">
        <f t="shared" si="31"/>
        <v>0</v>
      </c>
    </row>
    <row r="8467" ht="15.0" hidden="1" customHeight="1">
      <c r="A8467" s="59">
        <f t="shared" si="20"/>
        <v>138</v>
      </c>
      <c r="B8467" s="59" t="str">
        <f t="shared" si="21"/>
        <v/>
      </c>
      <c r="C8467" s="59" t="str">
        <f t="shared" si="22"/>
        <v/>
      </c>
      <c r="D8467" s="45" t="str">
        <f t="shared" si="23"/>
        <v/>
      </c>
      <c r="E8467" s="45" t="str">
        <f t="shared" si="24"/>
        <v/>
      </c>
      <c r="F8467" s="59" t="str">
        <f t="shared" si="25"/>
        <v/>
      </c>
      <c r="G8467" s="59" t="str">
        <f t="shared" si="26"/>
        <v/>
      </c>
      <c r="H8467" s="59" t="str">
        <f t="shared" si="27"/>
        <v>28C02770</v>
      </c>
      <c r="I8467" s="59" t="str">
        <f>IF(OR($A8467="",$C8467="",$D8467="",$E8467="",$H8467=""),"",SUMIFS(DATA_GOC!$H:$H,DATA_GOC!$A:$A,"BOM",DATA_GOC!$D:$D,$H8467,DATA_GOC!$E:$E,$C8467,DATA_GOC!$F:$F,"Xuất nội bộ từ téc",DATA_GOC!$B:$B,"&gt;="&amp;$D8467,DATA_GOC!$B:$B,"&lt;="&amp;$E8467))</f>
        <v/>
      </c>
      <c r="J8467" s="59">
        <f t="shared" si="28"/>
        <v>0</v>
      </c>
      <c r="K8467" s="59">
        <f t="shared" si="29"/>
        <v>0</v>
      </c>
      <c r="L8467" s="59">
        <f t="shared" si="30"/>
        <v>0</v>
      </c>
      <c r="M8467" s="59">
        <f t="shared" si="31"/>
        <v>0</v>
      </c>
    </row>
    <row r="8468" ht="15.0" hidden="1" customHeight="1">
      <c r="A8468" s="59">
        <f t="shared" si="20"/>
        <v>138</v>
      </c>
      <c r="B8468" s="59" t="str">
        <f t="shared" si="21"/>
        <v/>
      </c>
      <c r="C8468" s="59" t="str">
        <f t="shared" si="22"/>
        <v/>
      </c>
      <c r="D8468" s="45" t="str">
        <f t="shared" si="23"/>
        <v/>
      </c>
      <c r="E8468" s="45" t="str">
        <f t="shared" si="24"/>
        <v/>
      </c>
      <c r="F8468" s="59" t="str">
        <f t="shared" si="25"/>
        <v/>
      </c>
      <c r="G8468" s="59" t="str">
        <f t="shared" si="26"/>
        <v/>
      </c>
      <c r="H8468" s="59" t="str">
        <f t="shared" si="27"/>
        <v>28C02986</v>
      </c>
      <c r="I8468" s="59" t="str">
        <f>IF(OR($A8468="",$C8468="",$D8468="",$E8468="",$H8468=""),"",SUMIFS(DATA_GOC!$H:$H,DATA_GOC!$A:$A,"BOM",DATA_GOC!$D:$D,$H8468,DATA_GOC!$E:$E,$C8468,DATA_GOC!$F:$F,"Xuất nội bộ từ téc",DATA_GOC!$B:$B,"&gt;="&amp;$D8468,DATA_GOC!$B:$B,"&lt;="&amp;$E8468))</f>
        <v/>
      </c>
      <c r="J8468" s="59">
        <f t="shared" si="28"/>
        <v>0</v>
      </c>
      <c r="K8468" s="59">
        <f t="shared" si="29"/>
        <v>0</v>
      </c>
      <c r="L8468" s="59">
        <f t="shared" si="30"/>
        <v>0</v>
      </c>
      <c r="M8468" s="59">
        <f t="shared" si="31"/>
        <v>0</v>
      </c>
    </row>
    <row r="8469" ht="15.0" hidden="1" customHeight="1">
      <c r="A8469" s="59">
        <f t="shared" si="20"/>
        <v>138</v>
      </c>
      <c r="B8469" s="59" t="str">
        <f t="shared" si="21"/>
        <v/>
      </c>
      <c r="C8469" s="59" t="str">
        <f t="shared" si="22"/>
        <v/>
      </c>
      <c r="D8469" s="45" t="str">
        <f t="shared" si="23"/>
        <v/>
      </c>
      <c r="E8469" s="45" t="str">
        <f t="shared" si="24"/>
        <v/>
      </c>
      <c r="F8469" s="59" t="str">
        <f t="shared" si="25"/>
        <v/>
      </c>
      <c r="G8469" s="59" t="str">
        <f t="shared" si="26"/>
        <v/>
      </c>
      <c r="H8469" s="59" t="str">
        <f t="shared" si="27"/>
        <v>28C03261</v>
      </c>
      <c r="I8469" s="59" t="str">
        <f>IF(OR($A8469="",$C8469="",$D8469="",$E8469="",$H8469=""),"",SUMIFS(DATA_GOC!$H:$H,DATA_GOC!$A:$A,"BOM",DATA_GOC!$D:$D,$H8469,DATA_GOC!$E:$E,$C8469,DATA_GOC!$F:$F,"Xuất nội bộ từ téc",DATA_GOC!$B:$B,"&gt;="&amp;$D8469,DATA_GOC!$B:$B,"&lt;="&amp;$E8469))</f>
        <v/>
      </c>
      <c r="J8469" s="59">
        <f t="shared" si="28"/>
        <v>0</v>
      </c>
      <c r="K8469" s="59">
        <f t="shared" si="29"/>
        <v>0</v>
      </c>
      <c r="L8469" s="59">
        <f t="shared" si="30"/>
        <v>0</v>
      </c>
      <c r="M8469" s="59">
        <f t="shared" si="31"/>
        <v>0</v>
      </c>
    </row>
    <row r="8470" ht="15.0" hidden="1" customHeight="1">
      <c r="A8470" s="59">
        <f t="shared" si="20"/>
        <v>138</v>
      </c>
      <c r="B8470" s="59" t="str">
        <f t="shared" si="21"/>
        <v/>
      </c>
      <c r="C8470" s="59" t="str">
        <f t="shared" si="22"/>
        <v/>
      </c>
      <c r="D8470" s="45" t="str">
        <f t="shared" si="23"/>
        <v/>
      </c>
      <c r="E8470" s="45" t="str">
        <f t="shared" si="24"/>
        <v/>
      </c>
      <c r="F8470" s="59" t="str">
        <f t="shared" si="25"/>
        <v/>
      </c>
      <c r="G8470" s="59" t="str">
        <f t="shared" si="26"/>
        <v/>
      </c>
      <c r="H8470" s="59" t="str">
        <f t="shared" si="27"/>
        <v>28C03323</v>
      </c>
      <c r="I8470" s="59" t="str">
        <f>IF(OR($A8470="",$C8470="",$D8470="",$E8470="",$H8470=""),"",SUMIFS(DATA_GOC!$H:$H,DATA_GOC!$A:$A,"BOM",DATA_GOC!$D:$D,$H8470,DATA_GOC!$E:$E,$C8470,DATA_GOC!$F:$F,"Xuất nội bộ từ téc",DATA_GOC!$B:$B,"&gt;="&amp;$D8470,DATA_GOC!$B:$B,"&lt;="&amp;$E8470))</f>
        <v/>
      </c>
      <c r="J8470" s="59">
        <f t="shared" si="28"/>
        <v>0</v>
      </c>
      <c r="K8470" s="59">
        <f t="shared" si="29"/>
        <v>0</v>
      </c>
      <c r="L8470" s="59">
        <f t="shared" si="30"/>
        <v>0</v>
      </c>
      <c r="M8470" s="59">
        <f t="shared" si="31"/>
        <v>0</v>
      </c>
    </row>
    <row r="8471" ht="15.0" hidden="1" customHeight="1">
      <c r="A8471" s="59">
        <f t="shared" si="20"/>
        <v>138</v>
      </c>
      <c r="B8471" s="59" t="str">
        <f t="shared" si="21"/>
        <v/>
      </c>
      <c r="C8471" s="59" t="str">
        <f t="shared" si="22"/>
        <v/>
      </c>
      <c r="D8471" s="45" t="str">
        <f t="shared" si="23"/>
        <v/>
      </c>
      <c r="E8471" s="45" t="str">
        <f t="shared" si="24"/>
        <v/>
      </c>
      <c r="F8471" s="59" t="str">
        <f t="shared" si="25"/>
        <v/>
      </c>
      <c r="G8471" s="59" t="str">
        <f t="shared" si="26"/>
        <v/>
      </c>
      <c r="H8471" s="59" t="str">
        <f t="shared" si="27"/>
        <v>28C03385</v>
      </c>
      <c r="I8471" s="59" t="str">
        <f>IF(OR($A8471="",$C8471="",$D8471="",$E8471="",$H8471=""),"",SUMIFS(DATA_GOC!$H:$H,DATA_GOC!$A:$A,"BOM",DATA_GOC!$D:$D,$H8471,DATA_GOC!$E:$E,$C8471,DATA_GOC!$F:$F,"Xuất nội bộ từ téc",DATA_GOC!$B:$B,"&gt;="&amp;$D8471,DATA_GOC!$B:$B,"&lt;="&amp;$E8471))</f>
        <v/>
      </c>
      <c r="J8471" s="59">
        <f t="shared" si="28"/>
        <v>0</v>
      </c>
      <c r="K8471" s="59">
        <f t="shared" si="29"/>
        <v>0</v>
      </c>
      <c r="L8471" s="59">
        <f t="shared" si="30"/>
        <v>0</v>
      </c>
      <c r="M8471" s="59">
        <f t="shared" si="31"/>
        <v>0</v>
      </c>
    </row>
    <row r="8472" ht="15.0" hidden="1" customHeight="1">
      <c r="A8472" s="59">
        <f t="shared" si="20"/>
        <v>138</v>
      </c>
      <c r="B8472" s="59" t="str">
        <f t="shared" si="21"/>
        <v/>
      </c>
      <c r="C8472" s="59" t="str">
        <f t="shared" si="22"/>
        <v/>
      </c>
      <c r="D8472" s="45" t="str">
        <f t="shared" si="23"/>
        <v/>
      </c>
      <c r="E8472" s="45" t="str">
        <f t="shared" si="24"/>
        <v/>
      </c>
      <c r="F8472" s="59" t="str">
        <f t="shared" si="25"/>
        <v/>
      </c>
      <c r="G8472" s="59" t="str">
        <f t="shared" si="26"/>
        <v/>
      </c>
      <c r="H8472" s="59" t="str">
        <f t="shared" si="27"/>
        <v>28C03652</v>
      </c>
      <c r="I8472" s="59" t="str">
        <f>IF(OR($A8472="",$C8472="",$D8472="",$E8472="",$H8472=""),"",SUMIFS(DATA_GOC!$H:$H,DATA_GOC!$A:$A,"BOM",DATA_GOC!$D:$D,$H8472,DATA_GOC!$E:$E,$C8472,DATA_GOC!$F:$F,"Xuất nội bộ từ téc",DATA_GOC!$B:$B,"&gt;="&amp;$D8472,DATA_GOC!$B:$B,"&lt;="&amp;$E8472))</f>
        <v/>
      </c>
      <c r="J8472" s="59">
        <f t="shared" si="28"/>
        <v>0</v>
      </c>
      <c r="K8472" s="59">
        <f t="shared" si="29"/>
        <v>0</v>
      </c>
      <c r="L8472" s="59">
        <f t="shared" si="30"/>
        <v>0</v>
      </c>
      <c r="M8472" s="59">
        <f t="shared" si="31"/>
        <v>0</v>
      </c>
    </row>
    <row r="8473" ht="15.0" hidden="1" customHeight="1">
      <c r="A8473" s="59">
        <f t="shared" si="20"/>
        <v>138</v>
      </c>
      <c r="B8473" s="59" t="str">
        <f t="shared" si="21"/>
        <v/>
      </c>
      <c r="C8473" s="59" t="str">
        <f t="shared" si="22"/>
        <v/>
      </c>
      <c r="D8473" s="45" t="str">
        <f t="shared" si="23"/>
        <v/>
      </c>
      <c r="E8473" s="45" t="str">
        <f t="shared" si="24"/>
        <v/>
      </c>
      <c r="F8473" s="59" t="str">
        <f t="shared" si="25"/>
        <v/>
      </c>
      <c r="G8473" s="59" t="str">
        <f t="shared" si="26"/>
        <v/>
      </c>
      <c r="H8473" s="59" t="str">
        <f t="shared" si="27"/>
        <v>28C03695</v>
      </c>
      <c r="I8473" s="59" t="str">
        <f>IF(OR($A8473="",$C8473="",$D8473="",$E8473="",$H8473=""),"",SUMIFS(DATA_GOC!$H:$H,DATA_GOC!$A:$A,"BOM",DATA_GOC!$D:$D,$H8473,DATA_GOC!$E:$E,$C8473,DATA_GOC!$F:$F,"Xuất nội bộ từ téc",DATA_GOC!$B:$B,"&gt;="&amp;$D8473,DATA_GOC!$B:$B,"&lt;="&amp;$E8473))</f>
        <v/>
      </c>
      <c r="J8473" s="59">
        <f t="shared" si="28"/>
        <v>0</v>
      </c>
      <c r="K8473" s="59">
        <f t="shared" si="29"/>
        <v>0</v>
      </c>
      <c r="L8473" s="59">
        <f t="shared" si="30"/>
        <v>0</v>
      </c>
      <c r="M8473" s="59">
        <f t="shared" si="31"/>
        <v>0</v>
      </c>
    </row>
    <row r="8474" ht="15.0" hidden="1" customHeight="1">
      <c r="A8474" s="59">
        <f t="shared" si="20"/>
        <v>138</v>
      </c>
      <c r="B8474" s="59" t="str">
        <f t="shared" si="21"/>
        <v/>
      </c>
      <c r="C8474" s="59" t="str">
        <f t="shared" si="22"/>
        <v/>
      </c>
      <c r="D8474" s="45" t="str">
        <f t="shared" si="23"/>
        <v/>
      </c>
      <c r="E8474" s="45" t="str">
        <f t="shared" si="24"/>
        <v/>
      </c>
      <c r="F8474" s="59" t="str">
        <f t="shared" si="25"/>
        <v/>
      </c>
      <c r="G8474" s="59" t="str">
        <f t="shared" si="26"/>
        <v/>
      </c>
      <c r="H8474" s="59" t="str">
        <f t="shared" si="27"/>
        <v>28C03927</v>
      </c>
      <c r="I8474" s="59" t="str">
        <f>IF(OR($A8474="",$C8474="",$D8474="",$E8474="",$H8474=""),"",SUMIFS(DATA_GOC!$H:$H,DATA_GOC!$A:$A,"BOM",DATA_GOC!$D:$D,$H8474,DATA_GOC!$E:$E,$C8474,DATA_GOC!$F:$F,"Xuất nội bộ từ téc",DATA_GOC!$B:$B,"&gt;="&amp;$D8474,DATA_GOC!$B:$B,"&lt;="&amp;$E8474))</f>
        <v/>
      </c>
      <c r="J8474" s="59">
        <f t="shared" si="28"/>
        <v>0</v>
      </c>
      <c r="K8474" s="59">
        <f t="shared" si="29"/>
        <v>0</v>
      </c>
      <c r="L8474" s="59">
        <f t="shared" si="30"/>
        <v>0</v>
      </c>
      <c r="M8474" s="59">
        <f t="shared" si="31"/>
        <v>0</v>
      </c>
    </row>
    <row r="8475" ht="15.0" hidden="1" customHeight="1">
      <c r="A8475" s="59">
        <f t="shared" si="20"/>
        <v>138</v>
      </c>
      <c r="B8475" s="59" t="str">
        <f t="shared" si="21"/>
        <v/>
      </c>
      <c r="C8475" s="59" t="str">
        <f t="shared" si="22"/>
        <v/>
      </c>
      <c r="D8475" s="45" t="str">
        <f t="shared" si="23"/>
        <v/>
      </c>
      <c r="E8475" s="45" t="str">
        <f t="shared" si="24"/>
        <v/>
      </c>
      <c r="F8475" s="59" t="str">
        <f t="shared" si="25"/>
        <v/>
      </c>
      <c r="G8475" s="59" t="str">
        <f t="shared" si="26"/>
        <v/>
      </c>
      <c r="H8475" s="59" t="str">
        <f t="shared" si="27"/>
        <v>28C04509</v>
      </c>
      <c r="I8475" s="59" t="str">
        <f>IF(OR($A8475="",$C8475="",$D8475="",$E8475="",$H8475=""),"",SUMIFS(DATA_GOC!$H:$H,DATA_GOC!$A:$A,"BOM",DATA_GOC!$D:$D,$H8475,DATA_GOC!$E:$E,$C8475,DATA_GOC!$F:$F,"Xuất nội bộ từ téc",DATA_GOC!$B:$B,"&gt;="&amp;$D8475,DATA_GOC!$B:$B,"&lt;="&amp;$E8475))</f>
        <v/>
      </c>
      <c r="J8475" s="59">
        <f t="shared" si="28"/>
        <v>0</v>
      </c>
      <c r="K8475" s="59">
        <f t="shared" si="29"/>
        <v>0</v>
      </c>
      <c r="L8475" s="59">
        <f t="shared" si="30"/>
        <v>0</v>
      </c>
      <c r="M8475" s="59">
        <f t="shared" si="31"/>
        <v>0</v>
      </c>
    </row>
    <row r="8476" ht="15.0" hidden="1" customHeight="1">
      <c r="A8476" s="59">
        <f t="shared" si="20"/>
        <v>138</v>
      </c>
      <c r="B8476" s="59" t="str">
        <f t="shared" si="21"/>
        <v/>
      </c>
      <c r="C8476" s="59" t="str">
        <f t="shared" si="22"/>
        <v/>
      </c>
      <c r="D8476" s="45" t="str">
        <f t="shared" si="23"/>
        <v/>
      </c>
      <c r="E8476" s="45" t="str">
        <f t="shared" si="24"/>
        <v/>
      </c>
      <c r="F8476" s="59" t="str">
        <f t="shared" si="25"/>
        <v/>
      </c>
      <c r="G8476" s="59" t="str">
        <f t="shared" si="26"/>
        <v/>
      </c>
      <c r="H8476" s="59" t="str">
        <f t="shared" si="27"/>
        <v>28C04536</v>
      </c>
      <c r="I8476" s="59" t="str">
        <f>IF(OR($A8476="",$C8476="",$D8476="",$E8476="",$H8476=""),"",SUMIFS(DATA_GOC!$H:$H,DATA_GOC!$A:$A,"BOM",DATA_GOC!$D:$D,$H8476,DATA_GOC!$E:$E,$C8476,DATA_GOC!$F:$F,"Xuất nội bộ từ téc",DATA_GOC!$B:$B,"&gt;="&amp;$D8476,DATA_GOC!$B:$B,"&lt;="&amp;$E8476))</f>
        <v/>
      </c>
      <c r="J8476" s="59">
        <f t="shared" si="28"/>
        <v>0</v>
      </c>
      <c r="K8476" s="59">
        <f t="shared" si="29"/>
        <v>0</v>
      </c>
      <c r="L8476" s="59">
        <f t="shared" si="30"/>
        <v>0</v>
      </c>
      <c r="M8476" s="59">
        <f t="shared" si="31"/>
        <v>0</v>
      </c>
    </row>
    <row r="8477" ht="15.0" hidden="1" customHeight="1">
      <c r="A8477" s="59">
        <f t="shared" si="20"/>
        <v>138</v>
      </c>
      <c r="B8477" s="59" t="str">
        <f t="shared" si="21"/>
        <v/>
      </c>
      <c r="C8477" s="59" t="str">
        <f t="shared" si="22"/>
        <v/>
      </c>
      <c r="D8477" s="45" t="str">
        <f t="shared" si="23"/>
        <v/>
      </c>
      <c r="E8477" s="45" t="str">
        <f t="shared" si="24"/>
        <v/>
      </c>
      <c r="F8477" s="59" t="str">
        <f t="shared" si="25"/>
        <v/>
      </c>
      <c r="G8477" s="59" t="str">
        <f t="shared" si="26"/>
        <v/>
      </c>
      <c r="H8477" s="59" t="str">
        <f t="shared" si="27"/>
        <v>28C04576</v>
      </c>
      <c r="I8477" s="59" t="str">
        <f>IF(OR($A8477="",$C8477="",$D8477="",$E8477="",$H8477=""),"",SUMIFS(DATA_GOC!$H:$H,DATA_GOC!$A:$A,"BOM",DATA_GOC!$D:$D,$H8477,DATA_GOC!$E:$E,$C8477,DATA_GOC!$F:$F,"Xuất nội bộ từ téc",DATA_GOC!$B:$B,"&gt;="&amp;$D8477,DATA_GOC!$B:$B,"&lt;="&amp;$E8477))</f>
        <v/>
      </c>
      <c r="J8477" s="59">
        <f t="shared" si="28"/>
        <v>0</v>
      </c>
      <c r="K8477" s="59">
        <f t="shared" si="29"/>
        <v>0</v>
      </c>
      <c r="L8477" s="59">
        <f t="shared" si="30"/>
        <v>0</v>
      </c>
      <c r="M8477" s="59">
        <f t="shared" si="31"/>
        <v>0</v>
      </c>
    </row>
    <row r="8478" ht="15.0" hidden="1" customHeight="1">
      <c r="A8478" s="59">
        <f t="shared" si="20"/>
        <v>138</v>
      </c>
      <c r="B8478" s="59" t="str">
        <f t="shared" si="21"/>
        <v/>
      </c>
      <c r="C8478" s="59" t="str">
        <f t="shared" si="22"/>
        <v/>
      </c>
      <c r="D8478" s="45" t="str">
        <f t="shared" si="23"/>
        <v/>
      </c>
      <c r="E8478" s="45" t="str">
        <f t="shared" si="24"/>
        <v/>
      </c>
      <c r="F8478" s="59" t="str">
        <f t="shared" si="25"/>
        <v/>
      </c>
      <c r="G8478" s="59" t="str">
        <f t="shared" si="26"/>
        <v/>
      </c>
      <c r="H8478" s="59" t="str">
        <f t="shared" si="27"/>
        <v>28C05090</v>
      </c>
      <c r="I8478" s="59" t="str">
        <f>IF(OR($A8478="",$C8478="",$D8478="",$E8478="",$H8478=""),"",SUMIFS(DATA_GOC!$H:$H,DATA_GOC!$A:$A,"BOM",DATA_GOC!$D:$D,$H8478,DATA_GOC!$E:$E,$C8478,DATA_GOC!$F:$F,"Xuất nội bộ từ téc",DATA_GOC!$B:$B,"&gt;="&amp;$D8478,DATA_GOC!$B:$B,"&lt;="&amp;$E8478))</f>
        <v/>
      </c>
      <c r="J8478" s="59">
        <f t="shared" si="28"/>
        <v>0</v>
      </c>
      <c r="K8478" s="59">
        <f t="shared" si="29"/>
        <v>0</v>
      </c>
      <c r="L8478" s="59">
        <f t="shared" si="30"/>
        <v>0</v>
      </c>
      <c r="M8478" s="59">
        <f t="shared" si="31"/>
        <v>0</v>
      </c>
    </row>
    <row r="8479" ht="15.0" hidden="1" customHeight="1">
      <c r="A8479" s="59">
        <f t="shared" si="20"/>
        <v>138</v>
      </c>
      <c r="B8479" s="59" t="str">
        <f t="shared" si="21"/>
        <v/>
      </c>
      <c r="C8479" s="59" t="str">
        <f t="shared" si="22"/>
        <v/>
      </c>
      <c r="D8479" s="45" t="str">
        <f t="shared" si="23"/>
        <v/>
      </c>
      <c r="E8479" s="45" t="str">
        <f t="shared" si="24"/>
        <v/>
      </c>
      <c r="F8479" s="59" t="str">
        <f t="shared" si="25"/>
        <v/>
      </c>
      <c r="G8479" s="59" t="str">
        <f t="shared" si="26"/>
        <v/>
      </c>
      <c r="H8479" s="59" t="str">
        <f t="shared" si="27"/>
        <v>28C05345</v>
      </c>
      <c r="I8479" s="59" t="str">
        <f>IF(OR($A8479="",$C8479="",$D8479="",$E8479="",$H8479=""),"",SUMIFS(DATA_GOC!$H:$H,DATA_GOC!$A:$A,"BOM",DATA_GOC!$D:$D,$H8479,DATA_GOC!$E:$E,$C8479,DATA_GOC!$F:$F,"Xuất nội bộ từ téc",DATA_GOC!$B:$B,"&gt;="&amp;$D8479,DATA_GOC!$B:$B,"&lt;="&amp;$E8479))</f>
        <v/>
      </c>
      <c r="J8479" s="59">
        <f t="shared" si="28"/>
        <v>0</v>
      </c>
      <c r="K8479" s="59">
        <f t="shared" si="29"/>
        <v>0</v>
      </c>
      <c r="L8479" s="59">
        <f t="shared" si="30"/>
        <v>0</v>
      </c>
      <c r="M8479" s="59">
        <f t="shared" si="31"/>
        <v>0</v>
      </c>
    </row>
    <row r="8480" ht="15.0" hidden="1" customHeight="1">
      <c r="A8480" s="59">
        <f t="shared" si="20"/>
        <v>138</v>
      </c>
      <c r="B8480" s="59" t="str">
        <f t="shared" si="21"/>
        <v/>
      </c>
      <c r="C8480" s="59" t="str">
        <f t="shared" si="22"/>
        <v/>
      </c>
      <c r="D8480" s="45" t="str">
        <f t="shared" si="23"/>
        <v/>
      </c>
      <c r="E8480" s="45" t="str">
        <f t="shared" si="24"/>
        <v/>
      </c>
      <c r="F8480" s="59" t="str">
        <f t="shared" si="25"/>
        <v/>
      </c>
      <c r="G8480" s="59" t="str">
        <f t="shared" si="26"/>
        <v/>
      </c>
      <c r="H8480" s="59" t="str">
        <f t="shared" si="27"/>
        <v>28C05661</v>
      </c>
      <c r="I8480" s="59" t="str">
        <f>IF(OR($A8480="",$C8480="",$D8480="",$E8480="",$H8480=""),"",SUMIFS(DATA_GOC!$H:$H,DATA_GOC!$A:$A,"BOM",DATA_GOC!$D:$D,$H8480,DATA_GOC!$E:$E,$C8480,DATA_GOC!$F:$F,"Xuất nội bộ từ téc",DATA_GOC!$B:$B,"&gt;="&amp;$D8480,DATA_GOC!$B:$B,"&lt;="&amp;$E8480))</f>
        <v/>
      </c>
      <c r="J8480" s="59">
        <f t="shared" si="28"/>
        <v>0</v>
      </c>
      <c r="K8480" s="59">
        <f t="shared" si="29"/>
        <v>0</v>
      </c>
      <c r="L8480" s="59">
        <f t="shared" si="30"/>
        <v>0</v>
      </c>
      <c r="M8480" s="59">
        <f t="shared" si="31"/>
        <v>0</v>
      </c>
    </row>
    <row r="8481" ht="15.0" hidden="1" customHeight="1">
      <c r="A8481" s="59">
        <f t="shared" si="20"/>
        <v>138</v>
      </c>
      <c r="B8481" s="59" t="str">
        <f t="shared" si="21"/>
        <v/>
      </c>
      <c r="C8481" s="59" t="str">
        <f t="shared" si="22"/>
        <v/>
      </c>
      <c r="D8481" s="45" t="str">
        <f t="shared" si="23"/>
        <v/>
      </c>
      <c r="E8481" s="45" t="str">
        <f t="shared" si="24"/>
        <v/>
      </c>
      <c r="F8481" s="59" t="str">
        <f t="shared" si="25"/>
        <v/>
      </c>
      <c r="G8481" s="59" t="str">
        <f t="shared" si="26"/>
        <v/>
      </c>
      <c r="H8481" s="59" t="str">
        <f t="shared" si="27"/>
        <v>28C05739</v>
      </c>
      <c r="I8481" s="59" t="str">
        <f>IF(OR($A8481="",$C8481="",$D8481="",$E8481="",$H8481=""),"",SUMIFS(DATA_GOC!$H:$H,DATA_GOC!$A:$A,"BOM",DATA_GOC!$D:$D,$H8481,DATA_GOC!$E:$E,$C8481,DATA_GOC!$F:$F,"Xuất nội bộ từ téc",DATA_GOC!$B:$B,"&gt;="&amp;$D8481,DATA_GOC!$B:$B,"&lt;="&amp;$E8481))</f>
        <v/>
      </c>
      <c r="J8481" s="59">
        <f t="shared" si="28"/>
        <v>0</v>
      </c>
      <c r="K8481" s="59">
        <f t="shared" si="29"/>
        <v>0</v>
      </c>
      <c r="L8481" s="59">
        <f t="shared" si="30"/>
        <v>0</v>
      </c>
      <c r="M8481" s="59">
        <f t="shared" si="31"/>
        <v>0</v>
      </c>
    </row>
    <row r="8482" ht="15.0" hidden="1" customHeight="1">
      <c r="A8482" s="59">
        <f t="shared" si="20"/>
        <v>138</v>
      </c>
      <c r="B8482" s="59" t="str">
        <f t="shared" si="21"/>
        <v/>
      </c>
      <c r="C8482" s="59" t="str">
        <f t="shared" si="22"/>
        <v/>
      </c>
      <c r="D8482" s="45" t="str">
        <f t="shared" si="23"/>
        <v/>
      </c>
      <c r="E8482" s="45" t="str">
        <f t="shared" si="24"/>
        <v/>
      </c>
      <c r="F8482" s="59" t="str">
        <f t="shared" si="25"/>
        <v/>
      </c>
      <c r="G8482" s="59" t="str">
        <f t="shared" si="26"/>
        <v/>
      </c>
      <c r="H8482" s="59" t="str">
        <f t="shared" si="27"/>
        <v>28C06369</v>
      </c>
      <c r="I8482" s="59" t="str">
        <f>IF(OR($A8482="",$C8482="",$D8482="",$E8482="",$H8482=""),"",SUMIFS(DATA_GOC!$H:$H,DATA_GOC!$A:$A,"BOM",DATA_GOC!$D:$D,$H8482,DATA_GOC!$E:$E,$C8482,DATA_GOC!$F:$F,"Xuất nội bộ từ téc",DATA_GOC!$B:$B,"&gt;="&amp;$D8482,DATA_GOC!$B:$B,"&lt;="&amp;$E8482))</f>
        <v/>
      </c>
      <c r="J8482" s="59">
        <f t="shared" si="28"/>
        <v>0</v>
      </c>
      <c r="K8482" s="59">
        <f t="shared" si="29"/>
        <v>0</v>
      </c>
      <c r="L8482" s="59">
        <f t="shared" si="30"/>
        <v>0</v>
      </c>
      <c r="M8482" s="59">
        <f t="shared" si="31"/>
        <v>0</v>
      </c>
    </row>
    <row r="8483" ht="15.0" hidden="1" customHeight="1">
      <c r="A8483" s="59">
        <f t="shared" si="20"/>
        <v>138</v>
      </c>
      <c r="B8483" s="59" t="str">
        <f t="shared" si="21"/>
        <v/>
      </c>
      <c r="C8483" s="59" t="str">
        <f t="shared" si="22"/>
        <v/>
      </c>
      <c r="D8483" s="45" t="str">
        <f t="shared" si="23"/>
        <v/>
      </c>
      <c r="E8483" s="45" t="str">
        <f t="shared" si="24"/>
        <v/>
      </c>
      <c r="F8483" s="59" t="str">
        <f t="shared" si="25"/>
        <v/>
      </c>
      <c r="G8483" s="59" t="str">
        <f t="shared" si="26"/>
        <v/>
      </c>
      <c r="H8483" s="59" t="str">
        <f t="shared" si="27"/>
        <v>28C06447</v>
      </c>
      <c r="I8483" s="59" t="str">
        <f>IF(OR($A8483="",$C8483="",$D8483="",$E8483="",$H8483=""),"",SUMIFS(DATA_GOC!$H:$H,DATA_GOC!$A:$A,"BOM",DATA_GOC!$D:$D,$H8483,DATA_GOC!$E:$E,$C8483,DATA_GOC!$F:$F,"Xuất nội bộ từ téc",DATA_GOC!$B:$B,"&gt;="&amp;$D8483,DATA_GOC!$B:$B,"&lt;="&amp;$E8483))</f>
        <v/>
      </c>
      <c r="J8483" s="59">
        <f t="shared" si="28"/>
        <v>0</v>
      </c>
      <c r="K8483" s="59">
        <f t="shared" si="29"/>
        <v>0</v>
      </c>
      <c r="L8483" s="59">
        <f t="shared" si="30"/>
        <v>0</v>
      </c>
      <c r="M8483" s="59">
        <f t="shared" si="31"/>
        <v>0</v>
      </c>
    </row>
    <row r="8484" ht="15.0" hidden="1" customHeight="1">
      <c r="A8484" s="59">
        <f t="shared" si="20"/>
        <v>138</v>
      </c>
      <c r="B8484" s="59" t="str">
        <f t="shared" si="21"/>
        <v/>
      </c>
      <c r="C8484" s="59" t="str">
        <f t="shared" si="22"/>
        <v/>
      </c>
      <c r="D8484" s="45" t="str">
        <f t="shared" si="23"/>
        <v/>
      </c>
      <c r="E8484" s="45" t="str">
        <f t="shared" si="24"/>
        <v/>
      </c>
      <c r="F8484" s="59" t="str">
        <f t="shared" si="25"/>
        <v/>
      </c>
      <c r="G8484" s="59" t="str">
        <f t="shared" si="26"/>
        <v/>
      </c>
      <c r="H8484" s="59" t="str">
        <f t="shared" si="27"/>
        <v>28H00003</v>
      </c>
      <c r="I8484" s="59" t="str">
        <f>IF(OR($A8484="",$C8484="",$D8484="",$E8484="",$H8484=""),"",SUMIFS(DATA_GOC!$H:$H,DATA_GOC!$A:$A,"BOM",DATA_GOC!$D:$D,$H8484,DATA_GOC!$E:$E,$C8484,DATA_GOC!$F:$F,"Xuất nội bộ từ téc",DATA_GOC!$B:$B,"&gt;="&amp;$D8484,DATA_GOC!$B:$B,"&lt;="&amp;$E8484))</f>
        <v/>
      </c>
      <c r="J8484" s="59">
        <f t="shared" si="28"/>
        <v>0</v>
      </c>
      <c r="K8484" s="59">
        <f t="shared" si="29"/>
        <v>0</v>
      </c>
      <c r="L8484" s="59">
        <f t="shared" si="30"/>
        <v>0</v>
      </c>
      <c r="M8484" s="59">
        <f t="shared" si="31"/>
        <v>0</v>
      </c>
    </row>
    <row r="8485" ht="15.0" hidden="1" customHeight="1">
      <c r="A8485" s="59">
        <f t="shared" si="20"/>
        <v>138</v>
      </c>
      <c r="B8485" s="59" t="str">
        <f t="shared" si="21"/>
        <v/>
      </c>
      <c r="C8485" s="59" t="str">
        <f t="shared" si="22"/>
        <v/>
      </c>
      <c r="D8485" s="45" t="str">
        <f t="shared" si="23"/>
        <v/>
      </c>
      <c r="E8485" s="45" t="str">
        <f t="shared" si="24"/>
        <v/>
      </c>
      <c r="F8485" s="59" t="str">
        <f t="shared" si="25"/>
        <v/>
      </c>
      <c r="G8485" s="59" t="str">
        <f t="shared" si="26"/>
        <v/>
      </c>
      <c r="H8485" s="59" t="str">
        <f t="shared" si="27"/>
        <v>28H00061</v>
      </c>
      <c r="I8485" s="59" t="str">
        <f>IF(OR($A8485="",$C8485="",$D8485="",$E8485="",$H8485=""),"",SUMIFS(DATA_GOC!$H:$H,DATA_GOC!$A:$A,"BOM",DATA_GOC!$D:$D,$H8485,DATA_GOC!$E:$E,$C8485,DATA_GOC!$F:$F,"Xuất nội bộ từ téc",DATA_GOC!$B:$B,"&gt;="&amp;$D8485,DATA_GOC!$B:$B,"&lt;="&amp;$E8485))</f>
        <v/>
      </c>
      <c r="J8485" s="59">
        <f t="shared" si="28"/>
        <v>0</v>
      </c>
      <c r="K8485" s="59">
        <f t="shared" si="29"/>
        <v>0</v>
      </c>
      <c r="L8485" s="59">
        <f t="shared" si="30"/>
        <v>0</v>
      </c>
      <c r="M8485" s="59">
        <f t="shared" si="31"/>
        <v>0</v>
      </c>
    </row>
    <row r="8486" ht="15.0" hidden="1" customHeight="1">
      <c r="A8486" s="59">
        <f t="shared" si="20"/>
        <v>138</v>
      </c>
      <c r="B8486" s="59" t="str">
        <f t="shared" si="21"/>
        <v/>
      </c>
      <c r="C8486" s="59" t="str">
        <f t="shared" si="22"/>
        <v/>
      </c>
      <c r="D8486" s="45" t="str">
        <f t="shared" si="23"/>
        <v/>
      </c>
      <c r="E8486" s="45" t="str">
        <f t="shared" si="24"/>
        <v/>
      </c>
      <c r="F8486" s="59" t="str">
        <f t="shared" si="25"/>
        <v/>
      </c>
      <c r="G8486" s="59" t="str">
        <f t="shared" si="26"/>
        <v/>
      </c>
      <c r="H8486" s="59" t="str">
        <f t="shared" si="27"/>
        <v>28H00354</v>
      </c>
      <c r="I8486" s="59" t="str">
        <f>IF(OR($A8486="",$C8486="",$D8486="",$E8486="",$H8486=""),"",SUMIFS(DATA_GOC!$H:$H,DATA_GOC!$A:$A,"BOM",DATA_GOC!$D:$D,$H8486,DATA_GOC!$E:$E,$C8486,DATA_GOC!$F:$F,"Xuất nội bộ từ téc",DATA_GOC!$B:$B,"&gt;="&amp;$D8486,DATA_GOC!$B:$B,"&lt;="&amp;$E8486))</f>
        <v/>
      </c>
      <c r="J8486" s="59">
        <f t="shared" si="28"/>
        <v>0</v>
      </c>
      <c r="K8486" s="59">
        <f t="shared" si="29"/>
        <v>0</v>
      </c>
      <c r="L8486" s="59">
        <f t="shared" si="30"/>
        <v>0</v>
      </c>
      <c r="M8486" s="59">
        <f t="shared" si="31"/>
        <v>0</v>
      </c>
    </row>
    <row r="8487" ht="15.0" hidden="1" customHeight="1">
      <c r="A8487" s="59">
        <f t="shared" si="20"/>
        <v>138</v>
      </c>
      <c r="B8487" s="59" t="str">
        <f t="shared" si="21"/>
        <v/>
      </c>
      <c r="C8487" s="59" t="str">
        <f t="shared" si="22"/>
        <v/>
      </c>
      <c r="D8487" s="45" t="str">
        <f t="shared" si="23"/>
        <v/>
      </c>
      <c r="E8487" s="45" t="str">
        <f t="shared" si="24"/>
        <v/>
      </c>
      <c r="F8487" s="59" t="str">
        <f t="shared" si="25"/>
        <v/>
      </c>
      <c r="G8487" s="59" t="str">
        <f t="shared" si="26"/>
        <v/>
      </c>
      <c r="H8487" s="59" t="str">
        <f t="shared" si="27"/>
        <v>28H00603</v>
      </c>
      <c r="I8487" s="59" t="str">
        <f>IF(OR($A8487="",$C8487="",$D8487="",$E8487="",$H8487=""),"",SUMIFS(DATA_GOC!$H:$H,DATA_GOC!$A:$A,"BOM",DATA_GOC!$D:$D,$H8487,DATA_GOC!$E:$E,$C8487,DATA_GOC!$F:$F,"Xuất nội bộ từ téc",DATA_GOC!$B:$B,"&gt;="&amp;$D8487,DATA_GOC!$B:$B,"&lt;="&amp;$E8487))</f>
        <v/>
      </c>
      <c r="J8487" s="59">
        <f t="shared" si="28"/>
        <v>0</v>
      </c>
      <c r="K8487" s="59">
        <f t="shared" si="29"/>
        <v>0</v>
      </c>
      <c r="L8487" s="59">
        <f t="shared" si="30"/>
        <v>0</v>
      </c>
      <c r="M8487" s="59">
        <f t="shared" si="31"/>
        <v>0</v>
      </c>
    </row>
    <row r="8488" ht="15.0" hidden="1" customHeight="1">
      <c r="A8488" s="59">
        <f t="shared" si="20"/>
        <v>138</v>
      </c>
      <c r="B8488" s="59" t="str">
        <f t="shared" si="21"/>
        <v/>
      </c>
      <c r="C8488" s="59" t="str">
        <f t="shared" si="22"/>
        <v/>
      </c>
      <c r="D8488" s="45" t="str">
        <f t="shared" si="23"/>
        <v/>
      </c>
      <c r="E8488" s="45" t="str">
        <f t="shared" si="24"/>
        <v/>
      </c>
      <c r="F8488" s="59" t="str">
        <f t="shared" si="25"/>
        <v/>
      </c>
      <c r="G8488" s="59" t="str">
        <f t="shared" si="26"/>
        <v/>
      </c>
      <c r="H8488" s="59" t="str">
        <f t="shared" si="27"/>
        <v>28H00609</v>
      </c>
      <c r="I8488" s="59" t="str">
        <f>IF(OR($A8488="",$C8488="",$D8488="",$E8488="",$H8488=""),"",SUMIFS(DATA_GOC!$H:$H,DATA_GOC!$A:$A,"BOM",DATA_GOC!$D:$D,$H8488,DATA_GOC!$E:$E,$C8488,DATA_GOC!$F:$F,"Xuất nội bộ từ téc",DATA_GOC!$B:$B,"&gt;="&amp;$D8488,DATA_GOC!$B:$B,"&lt;="&amp;$E8488))</f>
        <v/>
      </c>
      <c r="J8488" s="59">
        <f t="shared" si="28"/>
        <v>0</v>
      </c>
      <c r="K8488" s="59">
        <f t="shared" si="29"/>
        <v>0</v>
      </c>
      <c r="L8488" s="59">
        <f t="shared" si="30"/>
        <v>0</v>
      </c>
      <c r="M8488" s="59">
        <f t="shared" si="31"/>
        <v>0</v>
      </c>
    </row>
    <row r="8489" ht="15.0" hidden="1" customHeight="1">
      <c r="A8489" s="59">
        <f t="shared" si="20"/>
        <v>138</v>
      </c>
      <c r="B8489" s="59" t="str">
        <f t="shared" si="21"/>
        <v/>
      </c>
      <c r="C8489" s="59" t="str">
        <f t="shared" si="22"/>
        <v/>
      </c>
      <c r="D8489" s="45" t="str">
        <f t="shared" si="23"/>
        <v/>
      </c>
      <c r="E8489" s="45" t="str">
        <f t="shared" si="24"/>
        <v/>
      </c>
      <c r="F8489" s="59" t="str">
        <f t="shared" si="25"/>
        <v/>
      </c>
      <c r="G8489" s="59" t="str">
        <f t="shared" si="26"/>
        <v/>
      </c>
      <c r="H8489" s="59" t="str">
        <f t="shared" si="27"/>
        <v>28H00669</v>
      </c>
      <c r="I8489" s="59" t="str">
        <f>IF(OR($A8489="",$C8489="",$D8489="",$E8489="",$H8489=""),"",SUMIFS(DATA_GOC!$H:$H,DATA_GOC!$A:$A,"BOM",DATA_GOC!$D:$D,$H8489,DATA_GOC!$E:$E,$C8489,DATA_GOC!$F:$F,"Xuất nội bộ từ téc",DATA_GOC!$B:$B,"&gt;="&amp;$D8489,DATA_GOC!$B:$B,"&lt;="&amp;$E8489))</f>
        <v/>
      </c>
      <c r="J8489" s="59">
        <f t="shared" si="28"/>
        <v>0</v>
      </c>
      <c r="K8489" s="59">
        <f t="shared" si="29"/>
        <v>0</v>
      </c>
      <c r="L8489" s="59">
        <f t="shared" si="30"/>
        <v>0</v>
      </c>
      <c r="M8489" s="59">
        <f t="shared" si="31"/>
        <v>0</v>
      </c>
    </row>
    <row r="8490" ht="15.0" hidden="1" customHeight="1">
      <c r="A8490" s="59">
        <f t="shared" si="20"/>
        <v>138</v>
      </c>
      <c r="B8490" s="59" t="str">
        <f t="shared" si="21"/>
        <v/>
      </c>
      <c r="C8490" s="59" t="str">
        <f t="shared" si="22"/>
        <v/>
      </c>
      <c r="D8490" s="45" t="str">
        <f t="shared" si="23"/>
        <v/>
      </c>
      <c r="E8490" s="45" t="str">
        <f t="shared" si="24"/>
        <v/>
      </c>
      <c r="F8490" s="59" t="str">
        <f t="shared" si="25"/>
        <v/>
      </c>
      <c r="G8490" s="59" t="str">
        <f t="shared" si="26"/>
        <v/>
      </c>
      <c r="H8490" s="59" t="str">
        <f t="shared" si="27"/>
        <v>28H00680</v>
      </c>
      <c r="I8490" s="59" t="str">
        <f>IF(OR($A8490="",$C8490="",$D8490="",$E8490="",$H8490=""),"",SUMIFS(DATA_GOC!$H:$H,DATA_GOC!$A:$A,"BOM",DATA_GOC!$D:$D,$H8490,DATA_GOC!$E:$E,$C8490,DATA_GOC!$F:$F,"Xuất nội bộ từ téc",DATA_GOC!$B:$B,"&gt;="&amp;$D8490,DATA_GOC!$B:$B,"&lt;="&amp;$E8490))</f>
        <v/>
      </c>
      <c r="J8490" s="59">
        <f t="shared" si="28"/>
        <v>0</v>
      </c>
      <c r="K8490" s="59">
        <f t="shared" si="29"/>
        <v>0</v>
      </c>
      <c r="L8490" s="59">
        <f t="shared" si="30"/>
        <v>0</v>
      </c>
      <c r="M8490" s="59">
        <f t="shared" si="31"/>
        <v>0</v>
      </c>
    </row>
    <row r="8491" ht="15.0" hidden="1" customHeight="1">
      <c r="A8491" s="59">
        <f t="shared" si="20"/>
        <v>138</v>
      </c>
      <c r="B8491" s="59" t="str">
        <f t="shared" si="21"/>
        <v/>
      </c>
      <c r="C8491" s="59" t="str">
        <f t="shared" si="22"/>
        <v/>
      </c>
      <c r="D8491" s="45" t="str">
        <f t="shared" si="23"/>
        <v/>
      </c>
      <c r="E8491" s="45" t="str">
        <f t="shared" si="24"/>
        <v/>
      </c>
      <c r="F8491" s="59" t="str">
        <f t="shared" si="25"/>
        <v/>
      </c>
      <c r="G8491" s="59" t="str">
        <f t="shared" si="26"/>
        <v/>
      </c>
      <c r="H8491" s="59" t="str">
        <f t="shared" si="27"/>
        <v>28H01070</v>
      </c>
      <c r="I8491" s="59" t="str">
        <f>IF(OR($A8491="",$C8491="",$D8491="",$E8491="",$H8491=""),"",SUMIFS(DATA_GOC!$H:$H,DATA_GOC!$A:$A,"BOM",DATA_GOC!$D:$D,$H8491,DATA_GOC!$E:$E,$C8491,DATA_GOC!$F:$F,"Xuất nội bộ từ téc",DATA_GOC!$B:$B,"&gt;="&amp;$D8491,DATA_GOC!$B:$B,"&lt;="&amp;$E8491))</f>
        <v/>
      </c>
      <c r="J8491" s="59">
        <f t="shared" si="28"/>
        <v>0</v>
      </c>
      <c r="K8491" s="59">
        <f t="shared" si="29"/>
        <v>0</v>
      </c>
      <c r="L8491" s="59">
        <f t="shared" si="30"/>
        <v>0</v>
      </c>
      <c r="M8491" s="59">
        <f t="shared" si="31"/>
        <v>0</v>
      </c>
    </row>
    <row r="8492" ht="15.0" hidden="1" customHeight="1">
      <c r="A8492" s="59">
        <f t="shared" si="20"/>
        <v>138</v>
      </c>
      <c r="B8492" s="59" t="str">
        <f t="shared" si="21"/>
        <v/>
      </c>
      <c r="C8492" s="59" t="str">
        <f t="shared" si="22"/>
        <v/>
      </c>
      <c r="D8492" s="45" t="str">
        <f t="shared" si="23"/>
        <v/>
      </c>
      <c r="E8492" s="45" t="str">
        <f t="shared" si="24"/>
        <v/>
      </c>
      <c r="F8492" s="59" t="str">
        <f t="shared" si="25"/>
        <v/>
      </c>
      <c r="G8492" s="59" t="str">
        <f t="shared" si="26"/>
        <v/>
      </c>
      <c r="H8492" s="59" t="str">
        <f t="shared" si="27"/>
        <v>28H01364</v>
      </c>
      <c r="I8492" s="59" t="str">
        <f>IF(OR($A8492="",$C8492="",$D8492="",$E8492="",$H8492=""),"",SUMIFS(DATA_GOC!$H:$H,DATA_GOC!$A:$A,"BOM",DATA_GOC!$D:$D,$H8492,DATA_GOC!$E:$E,$C8492,DATA_GOC!$F:$F,"Xuất nội bộ từ téc",DATA_GOC!$B:$B,"&gt;="&amp;$D8492,DATA_GOC!$B:$B,"&lt;="&amp;$E8492))</f>
        <v/>
      </c>
      <c r="J8492" s="59">
        <f t="shared" si="28"/>
        <v>0</v>
      </c>
      <c r="K8492" s="59">
        <f t="shared" si="29"/>
        <v>0</v>
      </c>
      <c r="L8492" s="59">
        <f t="shared" si="30"/>
        <v>0</v>
      </c>
      <c r="M8492" s="59">
        <f t="shared" si="31"/>
        <v>0</v>
      </c>
    </row>
    <row r="8493" ht="15.0" hidden="1" customHeight="1">
      <c r="A8493" s="59">
        <f t="shared" si="20"/>
        <v>138</v>
      </c>
      <c r="B8493" s="59" t="str">
        <f t="shared" si="21"/>
        <v/>
      </c>
      <c r="C8493" s="59" t="str">
        <f t="shared" si="22"/>
        <v/>
      </c>
      <c r="D8493" s="45" t="str">
        <f t="shared" si="23"/>
        <v/>
      </c>
      <c r="E8493" s="45" t="str">
        <f t="shared" si="24"/>
        <v/>
      </c>
      <c r="F8493" s="59" t="str">
        <f t="shared" si="25"/>
        <v/>
      </c>
      <c r="G8493" s="59" t="str">
        <f t="shared" si="26"/>
        <v/>
      </c>
      <c r="H8493" s="59" t="str">
        <f t="shared" si="27"/>
        <v>29E17269</v>
      </c>
      <c r="I8493" s="59" t="str">
        <f>IF(OR($A8493="",$C8493="",$D8493="",$E8493="",$H8493=""),"",SUMIFS(DATA_GOC!$H:$H,DATA_GOC!$A:$A,"BOM",DATA_GOC!$D:$D,$H8493,DATA_GOC!$E:$E,$C8493,DATA_GOC!$F:$F,"Xuất nội bộ từ téc",DATA_GOC!$B:$B,"&gt;="&amp;$D8493,DATA_GOC!$B:$B,"&lt;="&amp;$E8493))</f>
        <v/>
      </c>
      <c r="J8493" s="59">
        <f t="shared" si="28"/>
        <v>0</v>
      </c>
      <c r="K8493" s="59">
        <f t="shared" si="29"/>
        <v>0</v>
      </c>
      <c r="L8493" s="59">
        <f t="shared" si="30"/>
        <v>0</v>
      </c>
      <c r="M8493" s="59">
        <f t="shared" si="31"/>
        <v>0</v>
      </c>
    </row>
    <row r="8494" ht="15.0" hidden="1" customHeight="1">
      <c r="A8494" s="59">
        <f t="shared" si="20"/>
        <v>138</v>
      </c>
      <c r="B8494" s="59" t="str">
        <f t="shared" si="21"/>
        <v/>
      </c>
      <c r="C8494" s="59" t="str">
        <f t="shared" si="22"/>
        <v/>
      </c>
      <c r="D8494" s="45" t="str">
        <f t="shared" si="23"/>
        <v/>
      </c>
      <c r="E8494" s="45" t="str">
        <f t="shared" si="24"/>
        <v/>
      </c>
      <c r="F8494" s="59" t="str">
        <f t="shared" si="25"/>
        <v/>
      </c>
      <c r="G8494" s="59" t="str">
        <f t="shared" si="26"/>
        <v/>
      </c>
      <c r="H8494" s="59" t="str">
        <f t="shared" si="27"/>
        <v>29E17273</v>
      </c>
      <c r="I8494" s="59" t="str">
        <f>IF(OR($A8494="",$C8494="",$D8494="",$E8494="",$H8494=""),"",SUMIFS(DATA_GOC!$H:$H,DATA_GOC!$A:$A,"BOM",DATA_GOC!$D:$D,$H8494,DATA_GOC!$E:$E,$C8494,DATA_GOC!$F:$F,"Xuất nội bộ từ téc",DATA_GOC!$B:$B,"&gt;="&amp;$D8494,DATA_GOC!$B:$B,"&lt;="&amp;$E8494))</f>
        <v/>
      </c>
      <c r="J8494" s="59">
        <f t="shared" si="28"/>
        <v>0</v>
      </c>
      <c r="K8494" s="59">
        <f t="shared" si="29"/>
        <v>0</v>
      </c>
      <c r="L8494" s="59">
        <f t="shared" si="30"/>
        <v>0</v>
      </c>
      <c r="M8494" s="59">
        <f t="shared" si="31"/>
        <v>0</v>
      </c>
    </row>
    <row r="8495" ht="15.0" hidden="1" customHeight="1">
      <c r="A8495" s="59">
        <f t="shared" si="20"/>
        <v>138</v>
      </c>
      <c r="B8495" s="59" t="str">
        <f t="shared" si="21"/>
        <v/>
      </c>
      <c r="C8495" s="59" t="str">
        <f t="shared" si="22"/>
        <v/>
      </c>
      <c r="D8495" s="45" t="str">
        <f t="shared" si="23"/>
        <v/>
      </c>
      <c r="E8495" s="45" t="str">
        <f t="shared" si="24"/>
        <v/>
      </c>
      <c r="F8495" s="59" t="str">
        <f t="shared" si="25"/>
        <v/>
      </c>
      <c r="G8495" s="59" t="str">
        <f t="shared" si="26"/>
        <v/>
      </c>
      <c r="H8495" s="59" t="str">
        <f t="shared" si="27"/>
        <v>29E17410</v>
      </c>
      <c r="I8495" s="59" t="str">
        <f>IF(OR($A8495="",$C8495="",$D8495="",$E8495="",$H8495=""),"",SUMIFS(DATA_GOC!$H:$H,DATA_GOC!$A:$A,"BOM",DATA_GOC!$D:$D,$H8495,DATA_GOC!$E:$E,$C8495,DATA_GOC!$F:$F,"Xuất nội bộ từ téc",DATA_GOC!$B:$B,"&gt;="&amp;$D8495,DATA_GOC!$B:$B,"&lt;="&amp;$E8495))</f>
        <v/>
      </c>
      <c r="J8495" s="59">
        <f t="shared" si="28"/>
        <v>0</v>
      </c>
      <c r="K8495" s="59">
        <f t="shared" si="29"/>
        <v>0</v>
      </c>
      <c r="L8495" s="59">
        <f t="shared" si="30"/>
        <v>0</v>
      </c>
      <c r="M8495" s="59">
        <f t="shared" si="31"/>
        <v>0</v>
      </c>
    </row>
    <row r="8496" ht="15.0" hidden="1" customHeight="1">
      <c r="A8496" s="59">
        <f t="shared" si="20"/>
        <v>138</v>
      </c>
      <c r="B8496" s="59" t="str">
        <f t="shared" si="21"/>
        <v/>
      </c>
      <c r="C8496" s="59" t="str">
        <f t="shared" si="22"/>
        <v/>
      </c>
      <c r="D8496" s="45" t="str">
        <f t="shared" si="23"/>
        <v/>
      </c>
      <c r="E8496" s="45" t="str">
        <f t="shared" si="24"/>
        <v/>
      </c>
      <c r="F8496" s="59" t="str">
        <f t="shared" si="25"/>
        <v/>
      </c>
      <c r="G8496" s="59" t="str">
        <f t="shared" si="26"/>
        <v/>
      </c>
      <c r="H8496" s="59" t="str">
        <f t="shared" si="27"/>
        <v>29E17417</v>
      </c>
      <c r="I8496" s="59" t="str">
        <f>IF(OR($A8496="",$C8496="",$D8496="",$E8496="",$H8496=""),"",SUMIFS(DATA_GOC!$H:$H,DATA_GOC!$A:$A,"BOM",DATA_GOC!$D:$D,$H8496,DATA_GOC!$E:$E,$C8496,DATA_GOC!$F:$F,"Xuất nội bộ từ téc",DATA_GOC!$B:$B,"&gt;="&amp;$D8496,DATA_GOC!$B:$B,"&lt;="&amp;$E8496))</f>
        <v/>
      </c>
      <c r="J8496" s="59">
        <f t="shared" si="28"/>
        <v>0</v>
      </c>
      <c r="K8496" s="59">
        <f t="shared" si="29"/>
        <v>0</v>
      </c>
      <c r="L8496" s="59">
        <f t="shared" si="30"/>
        <v>0</v>
      </c>
      <c r="M8496" s="59">
        <f t="shared" si="31"/>
        <v>0</v>
      </c>
    </row>
    <row r="8497" ht="15.0" hidden="1" customHeight="1">
      <c r="A8497" s="59">
        <f t="shared" si="20"/>
        <v>138</v>
      </c>
      <c r="B8497" s="59" t="str">
        <f t="shared" si="21"/>
        <v/>
      </c>
      <c r="C8497" s="59" t="str">
        <f t="shared" si="22"/>
        <v/>
      </c>
      <c r="D8497" s="45" t="str">
        <f t="shared" si="23"/>
        <v/>
      </c>
      <c r="E8497" s="45" t="str">
        <f t="shared" si="24"/>
        <v/>
      </c>
      <c r="F8497" s="59" t="str">
        <f t="shared" si="25"/>
        <v/>
      </c>
      <c r="G8497" s="59" t="str">
        <f t="shared" si="26"/>
        <v/>
      </c>
      <c r="H8497" s="59" t="str">
        <f t="shared" si="27"/>
        <v>29E17539</v>
      </c>
      <c r="I8497" s="59" t="str">
        <f>IF(OR($A8497="",$C8497="",$D8497="",$E8497="",$H8497=""),"",SUMIFS(DATA_GOC!$H:$H,DATA_GOC!$A:$A,"BOM",DATA_GOC!$D:$D,$H8497,DATA_GOC!$E:$E,$C8497,DATA_GOC!$F:$F,"Xuất nội bộ từ téc",DATA_GOC!$B:$B,"&gt;="&amp;$D8497,DATA_GOC!$B:$B,"&lt;="&amp;$E8497))</f>
        <v/>
      </c>
      <c r="J8497" s="59">
        <f t="shared" si="28"/>
        <v>0</v>
      </c>
      <c r="K8497" s="59">
        <f t="shared" si="29"/>
        <v>0</v>
      </c>
      <c r="L8497" s="59">
        <f t="shared" si="30"/>
        <v>0</v>
      </c>
      <c r="M8497" s="59">
        <f t="shared" si="31"/>
        <v>0</v>
      </c>
    </row>
    <row r="8498" ht="15.0" hidden="1" customHeight="1">
      <c r="A8498" s="59">
        <f t="shared" si="20"/>
        <v>138</v>
      </c>
      <c r="B8498" s="59" t="str">
        <f t="shared" si="21"/>
        <v/>
      </c>
      <c r="C8498" s="59" t="str">
        <f t="shared" si="22"/>
        <v/>
      </c>
      <c r="D8498" s="45" t="str">
        <f t="shared" si="23"/>
        <v/>
      </c>
      <c r="E8498" s="45" t="str">
        <f t="shared" si="24"/>
        <v/>
      </c>
      <c r="F8498" s="59" t="str">
        <f t="shared" si="25"/>
        <v/>
      </c>
      <c r="G8498" s="59" t="str">
        <f t="shared" si="26"/>
        <v/>
      </c>
      <c r="H8498" s="59" t="str">
        <f t="shared" si="27"/>
        <v>29E18160</v>
      </c>
      <c r="I8498" s="59" t="str">
        <f>IF(OR($A8498="",$C8498="",$D8498="",$E8498="",$H8498=""),"",SUMIFS(DATA_GOC!$H:$H,DATA_GOC!$A:$A,"BOM",DATA_GOC!$D:$D,$H8498,DATA_GOC!$E:$E,$C8498,DATA_GOC!$F:$F,"Xuất nội bộ từ téc",DATA_GOC!$B:$B,"&gt;="&amp;$D8498,DATA_GOC!$B:$B,"&lt;="&amp;$E8498))</f>
        <v/>
      </c>
      <c r="J8498" s="59">
        <f t="shared" si="28"/>
        <v>0</v>
      </c>
      <c r="K8498" s="59">
        <f t="shared" si="29"/>
        <v>0</v>
      </c>
      <c r="L8498" s="59">
        <f t="shared" si="30"/>
        <v>0</v>
      </c>
      <c r="M8498" s="59">
        <f t="shared" si="31"/>
        <v>0</v>
      </c>
    </row>
    <row r="8499" ht="15.0" hidden="1" customHeight="1">
      <c r="A8499" s="59">
        <f t="shared" si="20"/>
        <v>138</v>
      </c>
      <c r="B8499" s="59" t="str">
        <f t="shared" si="21"/>
        <v/>
      </c>
      <c r="C8499" s="59" t="str">
        <f t="shared" si="22"/>
        <v/>
      </c>
      <c r="D8499" s="45" t="str">
        <f t="shared" si="23"/>
        <v/>
      </c>
      <c r="E8499" s="45" t="str">
        <f t="shared" si="24"/>
        <v/>
      </c>
      <c r="F8499" s="59" t="str">
        <f t="shared" si="25"/>
        <v/>
      </c>
      <c r="G8499" s="59" t="str">
        <f t="shared" si="26"/>
        <v/>
      </c>
      <c r="H8499" s="59" t="str">
        <f t="shared" si="27"/>
        <v>Công trình Asphalt</v>
      </c>
      <c r="I8499" s="59" t="str">
        <f>IF(OR($A8499="",$C8499="",$D8499="",$E8499="",$H8499=""),"",SUMIFS(DATA_GOC!$H:$H,DATA_GOC!$A:$A,"BOM",DATA_GOC!$D:$D,$H8499,DATA_GOC!$E:$E,$C8499,DATA_GOC!$F:$F,"Xuất nội bộ từ téc",DATA_GOC!$B:$B,"&gt;="&amp;$D8499,DATA_GOC!$B:$B,"&lt;="&amp;$E8499))</f>
        <v/>
      </c>
      <c r="J8499" s="59">
        <f t="shared" si="28"/>
        <v>0</v>
      </c>
      <c r="K8499" s="59">
        <f t="shared" si="29"/>
        <v>0</v>
      </c>
      <c r="L8499" s="59">
        <f t="shared" si="30"/>
        <v>0</v>
      </c>
      <c r="M8499" s="59">
        <f t="shared" si="31"/>
        <v>0</v>
      </c>
    </row>
    <row r="8500" ht="15.0" hidden="1" customHeight="1">
      <c r="A8500" s="59">
        <f t="shared" si="20"/>
        <v>138</v>
      </c>
      <c r="B8500" s="59" t="str">
        <f t="shared" si="21"/>
        <v/>
      </c>
      <c r="C8500" s="59" t="str">
        <f t="shared" si="22"/>
        <v/>
      </c>
      <c r="D8500" s="45" t="str">
        <f t="shared" si="23"/>
        <v/>
      </c>
      <c r="E8500" s="45" t="str">
        <f t="shared" si="24"/>
        <v/>
      </c>
      <c r="F8500" s="59" t="str">
        <f t="shared" si="25"/>
        <v/>
      </c>
      <c r="G8500" s="59" t="str">
        <f t="shared" si="26"/>
        <v/>
      </c>
      <c r="H8500" s="59" t="str">
        <f t="shared" si="27"/>
        <v>LG53F</v>
      </c>
      <c r="I8500" s="59" t="str">
        <f>IF(OR($A8500="",$C8500="",$D8500="",$E8500="",$H8500=""),"",SUMIFS(DATA_GOC!$H:$H,DATA_GOC!$A:$A,"BOM",DATA_GOC!$D:$D,$H8500,DATA_GOC!$E:$E,$C8500,DATA_GOC!$F:$F,"Xuất nội bộ từ téc",DATA_GOC!$B:$B,"&gt;="&amp;$D8500,DATA_GOC!$B:$B,"&lt;="&amp;$E8500))</f>
        <v/>
      </c>
      <c r="J8500" s="59">
        <f t="shared" si="28"/>
        <v>0</v>
      </c>
      <c r="K8500" s="59">
        <f t="shared" si="29"/>
        <v>0</v>
      </c>
      <c r="L8500" s="59">
        <f t="shared" si="30"/>
        <v>0</v>
      </c>
      <c r="M8500" s="59">
        <f t="shared" si="31"/>
        <v>0</v>
      </c>
    </row>
    <row r="8501" ht="15.0" hidden="1" customHeight="1">
      <c r="A8501" s="59">
        <f t="shared" si="20"/>
        <v>138</v>
      </c>
      <c r="B8501" s="59" t="str">
        <f t="shared" si="21"/>
        <v/>
      </c>
      <c r="C8501" s="59" t="str">
        <f t="shared" si="22"/>
        <v/>
      </c>
      <c r="D8501" s="45" t="str">
        <f t="shared" si="23"/>
        <v/>
      </c>
      <c r="E8501" s="45" t="str">
        <f t="shared" si="24"/>
        <v/>
      </c>
      <c r="F8501" s="59" t="str">
        <f t="shared" si="25"/>
        <v/>
      </c>
      <c r="G8501" s="59" t="str">
        <f t="shared" si="26"/>
        <v/>
      </c>
      <c r="H8501" s="59" t="str">
        <f t="shared" si="27"/>
        <v>Máy phát điện</v>
      </c>
      <c r="I8501" s="59" t="str">
        <f>IF(OR($A8501="",$C8501="",$D8501="",$E8501="",$H8501=""),"",SUMIFS(DATA_GOC!$H:$H,DATA_GOC!$A:$A,"BOM",DATA_GOC!$D:$D,$H8501,DATA_GOC!$E:$E,$C8501,DATA_GOC!$F:$F,"Xuất nội bộ từ téc",DATA_GOC!$B:$B,"&gt;="&amp;$D8501,DATA_GOC!$B:$B,"&lt;="&amp;$E8501))</f>
        <v/>
      </c>
      <c r="J8501" s="59">
        <f t="shared" si="28"/>
        <v>0</v>
      </c>
      <c r="K8501" s="59">
        <f t="shared" si="29"/>
        <v>0</v>
      </c>
      <c r="L8501" s="59">
        <f t="shared" si="30"/>
        <v>0</v>
      </c>
      <c r="M8501" s="59">
        <f t="shared" si="31"/>
        <v>0</v>
      </c>
    </row>
    <row r="8502" ht="15.0" hidden="1" customHeight="1">
      <c r="A8502" s="59">
        <f t="shared" si="20"/>
        <v>138</v>
      </c>
      <c r="B8502" s="59" t="str">
        <f t="shared" si="21"/>
        <v/>
      </c>
      <c r="C8502" s="59" t="str">
        <f t="shared" si="22"/>
        <v/>
      </c>
      <c r="D8502" s="45" t="str">
        <f t="shared" si="23"/>
        <v/>
      </c>
      <c r="E8502" s="45" t="str">
        <f t="shared" si="24"/>
        <v/>
      </c>
      <c r="F8502" s="59" t="str">
        <f t="shared" si="25"/>
        <v/>
      </c>
      <c r="G8502" s="59" t="str">
        <f t="shared" si="26"/>
        <v/>
      </c>
      <c r="H8502" s="59" t="str">
        <f t="shared" si="27"/>
        <v>Máy rải thảm</v>
      </c>
      <c r="I8502" s="59" t="str">
        <f>IF(OR($A8502="",$C8502="",$D8502="",$E8502="",$H8502=""),"",SUMIFS(DATA_GOC!$H:$H,DATA_GOC!$A:$A,"BOM",DATA_GOC!$D:$D,$H8502,DATA_GOC!$E:$E,$C8502,DATA_GOC!$F:$F,"Xuất nội bộ từ téc",DATA_GOC!$B:$B,"&gt;="&amp;$D8502,DATA_GOC!$B:$B,"&lt;="&amp;$E8502))</f>
        <v/>
      </c>
      <c r="J8502" s="59">
        <f t="shared" si="28"/>
        <v>0</v>
      </c>
      <c r="K8502" s="59">
        <f t="shared" si="29"/>
        <v>0</v>
      </c>
      <c r="L8502" s="59">
        <f t="shared" si="30"/>
        <v>0</v>
      </c>
      <c r="M8502" s="59">
        <f t="shared" si="31"/>
        <v>0</v>
      </c>
    </row>
    <row r="8503" ht="15.0" hidden="1" customHeight="1">
      <c r="A8503" s="59">
        <f t="shared" si="20"/>
        <v>138</v>
      </c>
      <c r="B8503" s="59" t="str">
        <f t="shared" si="21"/>
        <v/>
      </c>
      <c r="C8503" s="59" t="str">
        <f t="shared" si="22"/>
        <v/>
      </c>
      <c r="D8503" s="45" t="str">
        <f t="shared" si="23"/>
        <v/>
      </c>
      <c r="E8503" s="45" t="str">
        <f t="shared" si="24"/>
        <v/>
      </c>
      <c r="F8503" s="59" t="str">
        <f t="shared" si="25"/>
        <v/>
      </c>
      <c r="G8503" s="59" t="str">
        <f t="shared" si="26"/>
        <v/>
      </c>
      <c r="H8503" s="59" t="str">
        <f t="shared" si="27"/>
        <v>Xúc Đào</v>
      </c>
      <c r="I8503" s="59" t="str">
        <f>IF(OR($A8503="",$C8503="",$D8503="",$E8503="",$H8503=""),"",SUMIFS(DATA_GOC!$H:$H,DATA_GOC!$A:$A,"BOM",DATA_GOC!$D:$D,$H8503,DATA_GOC!$E:$E,$C8503,DATA_GOC!$F:$F,"Xuất nội bộ từ téc",DATA_GOC!$B:$B,"&gt;="&amp;$D8503,DATA_GOC!$B:$B,"&lt;="&amp;$E8503))</f>
        <v/>
      </c>
      <c r="J8503" s="59">
        <f t="shared" si="28"/>
        <v>0</v>
      </c>
      <c r="K8503" s="59">
        <f t="shared" si="29"/>
        <v>0</v>
      </c>
      <c r="L8503" s="59">
        <f t="shared" si="30"/>
        <v>0</v>
      </c>
      <c r="M8503" s="59">
        <f t="shared" si="31"/>
        <v>0</v>
      </c>
    </row>
    <row r="8504" ht="15.0" hidden="1" customHeight="1">
      <c r="A8504" s="59">
        <f t="shared" si="20"/>
        <v>138</v>
      </c>
      <c r="B8504" s="59" t="str">
        <f t="shared" si="21"/>
        <v/>
      </c>
      <c r="C8504" s="59" t="str">
        <f t="shared" si="22"/>
        <v/>
      </c>
      <c r="D8504" s="45" t="str">
        <f t="shared" si="23"/>
        <v/>
      </c>
      <c r="E8504" s="45" t="str">
        <f t="shared" si="24"/>
        <v/>
      </c>
      <c r="F8504" s="59" t="str">
        <f t="shared" si="25"/>
        <v/>
      </c>
      <c r="G8504" s="59" t="str">
        <f t="shared" si="26"/>
        <v/>
      </c>
      <c r="H8504" s="59" t="str">
        <f t="shared" si="27"/>
        <v>Xúclật asphalt</v>
      </c>
      <c r="I8504" s="59" t="str">
        <f>IF(OR($A8504="",$C8504="",$D8504="",$E8504="",$H8504=""),"",SUMIFS(DATA_GOC!$H:$H,DATA_GOC!$A:$A,"BOM",DATA_GOC!$D:$D,$H8504,DATA_GOC!$E:$E,$C8504,DATA_GOC!$F:$F,"Xuất nội bộ từ téc",DATA_GOC!$B:$B,"&gt;="&amp;$D8504,DATA_GOC!$B:$B,"&lt;="&amp;$E8504))</f>
        <v/>
      </c>
      <c r="J8504" s="59">
        <f t="shared" si="28"/>
        <v>0</v>
      </c>
      <c r="K8504" s="59">
        <f t="shared" si="29"/>
        <v>0</v>
      </c>
      <c r="L8504" s="59">
        <f t="shared" si="30"/>
        <v>0</v>
      </c>
      <c r="M8504" s="59">
        <f t="shared" si="31"/>
        <v>0</v>
      </c>
    </row>
    <row r="8505" ht="15.0" hidden="1" customHeight="1">
      <c r="A8505" s="59">
        <f t="shared" si="20"/>
        <v>138</v>
      </c>
      <c r="B8505" s="59" t="str">
        <f t="shared" si="21"/>
        <v/>
      </c>
      <c r="C8505" s="59" t="str">
        <f t="shared" si="22"/>
        <v/>
      </c>
      <c r="D8505" s="45" t="str">
        <f t="shared" si="23"/>
        <v/>
      </c>
      <c r="E8505" s="45" t="str">
        <f t="shared" si="24"/>
        <v/>
      </c>
      <c r="F8505" s="59" t="str">
        <f t="shared" si="25"/>
        <v/>
      </c>
      <c r="G8505" s="59" t="str">
        <f t="shared" si="26"/>
        <v/>
      </c>
      <c r="H8505" s="59" t="str">
        <f t="shared" si="27"/>
        <v>Xúclật855H</v>
      </c>
      <c r="I8505" s="59" t="str">
        <f>IF(OR($A8505="",$C8505="",$D8505="",$E8505="",$H8505=""),"",SUMIFS(DATA_GOC!$H:$H,DATA_GOC!$A:$A,"BOM",DATA_GOC!$D:$D,$H8505,DATA_GOC!$E:$E,$C8505,DATA_GOC!$F:$F,"Xuất nội bộ từ téc",DATA_GOC!$B:$B,"&gt;="&amp;$D8505,DATA_GOC!$B:$B,"&lt;="&amp;$E8505))</f>
        <v/>
      </c>
      <c r="J8505" s="59">
        <f t="shared" si="28"/>
        <v>0</v>
      </c>
      <c r="K8505" s="59">
        <f t="shared" si="29"/>
        <v>0</v>
      </c>
      <c r="L8505" s="59">
        <f t="shared" si="30"/>
        <v>0</v>
      </c>
      <c r="M8505" s="59">
        <f t="shared" si="31"/>
        <v>0</v>
      </c>
    </row>
    <row r="8506" ht="15.0" hidden="1" customHeight="1">
      <c r="A8506" s="59">
        <f t="shared" si="20"/>
        <v>138</v>
      </c>
      <c r="B8506" s="59" t="str">
        <f t="shared" si="21"/>
        <v/>
      </c>
      <c r="C8506" s="59" t="str">
        <f t="shared" si="22"/>
        <v/>
      </c>
      <c r="D8506" s="45" t="str">
        <f t="shared" si="23"/>
        <v/>
      </c>
      <c r="E8506" s="45" t="str">
        <f t="shared" si="24"/>
        <v/>
      </c>
      <c r="F8506" s="59" t="str">
        <f t="shared" si="25"/>
        <v/>
      </c>
      <c r="G8506" s="59" t="str">
        <f t="shared" si="26"/>
        <v/>
      </c>
      <c r="H8506" s="59" t="str">
        <f t="shared" si="27"/>
        <v>Xúclật855N</v>
      </c>
      <c r="I8506" s="59" t="str">
        <f>IF(OR($A8506="",$C8506="",$D8506="",$E8506="",$H8506=""),"",SUMIFS(DATA_GOC!$H:$H,DATA_GOC!$A:$A,"BOM",DATA_GOC!$D:$D,$H8506,DATA_GOC!$E:$E,$C8506,DATA_GOC!$F:$F,"Xuất nội bộ từ téc",DATA_GOC!$B:$B,"&gt;="&amp;$D8506,DATA_GOC!$B:$B,"&lt;="&amp;$E8506))</f>
        <v/>
      </c>
      <c r="J8506" s="59">
        <f t="shared" si="28"/>
        <v>0</v>
      </c>
      <c r="K8506" s="59">
        <f t="shared" si="29"/>
        <v>0</v>
      </c>
      <c r="L8506" s="59">
        <f t="shared" si="30"/>
        <v>0</v>
      </c>
      <c r="M8506" s="59">
        <f t="shared" si="31"/>
        <v>0</v>
      </c>
    </row>
    <row r="8507" ht="15.0" hidden="1" customHeight="1">
      <c r="A8507" s="59">
        <f t="shared" si="20"/>
        <v>138</v>
      </c>
      <c r="B8507" s="59" t="str">
        <f t="shared" si="21"/>
        <v/>
      </c>
      <c r="C8507" s="59" t="str">
        <f t="shared" si="22"/>
        <v/>
      </c>
      <c r="D8507" s="45" t="str">
        <f t="shared" si="23"/>
        <v/>
      </c>
      <c r="E8507" s="45" t="str">
        <f t="shared" si="24"/>
        <v/>
      </c>
      <c r="F8507" s="59" t="str">
        <f t="shared" si="25"/>
        <v/>
      </c>
      <c r="G8507" s="59" t="str">
        <f t="shared" si="26"/>
        <v/>
      </c>
      <c r="H8507" s="59" t="str">
        <f t="shared" si="27"/>
        <v>Cát nghiền</v>
      </c>
      <c r="I8507" s="59" t="str">
        <f>IF(OR($A8507="",$C8507="",$D8507="",$E8507="",$H8507=""),"",SUMIFS(DATA_GOC!$H:$H,DATA_GOC!$A:$A,"BOM",DATA_GOC!$D:$D,$H8507,DATA_GOC!$E:$E,$C8507,DATA_GOC!$F:$F,"Xuất nội bộ từ téc",DATA_GOC!$B:$B,"&gt;="&amp;$D8507,DATA_GOC!$B:$B,"&lt;="&amp;$E8507))</f>
        <v/>
      </c>
      <c r="J8507" s="59">
        <f t="shared" si="28"/>
        <v>0</v>
      </c>
      <c r="K8507" s="59">
        <f t="shared" si="29"/>
        <v>0</v>
      </c>
      <c r="L8507" s="59">
        <f t="shared" si="30"/>
        <v>0</v>
      </c>
      <c r="M8507" s="59">
        <f t="shared" si="31"/>
        <v>0</v>
      </c>
    </row>
    <row r="8508" ht="15.0" hidden="1" customHeight="1">
      <c r="A8508" s="59">
        <f t="shared" si="20"/>
        <v>138</v>
      </c>
      <c r="B8508" s="59" t="str">
        <f t="shared" si="21"/>
        <v/>
      </c>
      <c r="C8508" s="59" t="str">
        <f t="shared" si="22"/>
        <v/>
      </c>
      <c r="D8508" s="45" t="str">
        <f t="shared" si="23"/>
        <v/>
      </c>
      <c r="E8508" s="45" t="str">
        <f t="shared" si="24"/>
        <v/>
      </c>
      <c r="F8508" s="59" t="str">
        <f t="shared" si="25"/>
        <v/>
      </c>
      <c r="G8508" s="59" t="str">
        <f t="shared" si="26"/>
        <v/>
      </c>
      <c r="H8508" s="59" t="str">
        <f t="shared" si="27"/>
        <v>28C02973</v>
      </c>
      <c r="I8508" s="59" t="str">
        <f>IF(OR($A8508="",$C8508="",$D8508="",$E8508="",$H8508=""),"",SUMIFS(DATA_GOC!$H:$H,DATA_GOC!$A:$A,"BOM",DATA_GOC!$D:$D,$H8508,DATA_GOC!$E:$E,$C8508,DATA_GOC!$F:$F,"Xuất nội bộ từ téc",DATA_GOC!$B:$B,"&gt;="&amp;$D8508,DATA_GOC!$B:$B,"&lt;="&amp;$E8508))</f>
        <v/>
      </c>
      <c r="J8508" s="59">
        <f t="shared" si="28"/>
        <v>0</v>
      </c>
      <c r="K8508" s="59">
        <f t="shared" si="29"/>
        <v>0</v>
      </c>
      <c r="L8508" s="59">
        <f t="shared" si="30"/>
        <v>0</v>
      </c>
      <c r="M8508" s="59">
        <f t="shared" si="31"/>
        <v>0</v>
      </c>
    </row>
    <row r="8509" ht="15.0" hidden="1" customHeight="1">
      <c r="A8509" s="59">
        <f t="shared" si="20"/>
        <v>138</v>
      </c>
      <c r="B8509" s="59" t="str">
        <f t="shared" si="21"/>
        <v/>
      </c>
      <c r="C8509" s="59" t="str">
        <f t="shared" si="22"/>
        <v/>
      </c>
      <c r="D8509" s="45" t="str">
        <f t="shared" si="23"/>
        <v/>
      </c>
      <c r="E8509" s="45" t="str">
        <f t="shared" si="24"/>
        <v/>
      </c>
      <c r="F8509" s="59" t="str">
        <f t="shared" si="25"/>
        <v/>
      </c>
      <c r="G8509" s="59" t="str">
        <f t="shared" si="26"/>
        <v/>
      </c>
      <c r="H8509" s="59" t="str">
        <f t="shared" si="27"/>
        <v>28C03044</v>
      </c>
      <c r="I8509" s="59" t="str">
        <f>IF(OR($A8509="",$C8509="",$D8509="",$E8509="",$H8509=""),"",SUMIFS(DATA_GOC!$H:$H,DATA_GOC!$A:$A,"BOM",DATA_GOC!$D:$D,$H8509,DATA_GOC!$E:$E,$C8509,DATA_GOC!$F:$F,"Xuất nội bộ từ téc",DATA_GOC!$B:$B,"&gt;="&amp;$D8509,DATA_GOC!$B:$B,"&lt;="&amp;$E8509))</f>
        <v/>
      </c>
      <c r="J8509" s="59">
        <f t="shared" si="28"/>
        <v>0</v>
      </c>
      <c r="K8509" s="59">
        <f t="shared" si="29"/>
        <v>0</v>
      </c>
      <c r="L8509" s="59">
        <f t="shared" si="30"/>
        <v>0</v>
      </c>
      <c r="M8509" s="59">
        <f t="shared" si="31"/>
        <v>0</v>
      </c>
    </row>
    <row r="8510" ht="15.0" hidden="1" customHeight="1">
      <c r="A8510" s="59">
        <f t="shared" si="20"/>
        <v>138</v>
      </c>
      <c r="B8510" s="59" t="str">
        <f t="shared" si="21"/>
        <v/>
      </c>
      <c r="C8510" s="59" t="str">
        <f t="shared" si="22"/>
        <v/>
      </c>
      <c r="D8510" s="45" t="str">
        <f t="shared" si="23"/>
        <v/>
      </c>
      <c r="E8510" s="45" t="str">
        <f t="shared" si="24"/>
        <v/>
      </c>
      <c r="F8510" s="59" t="str">
        <f t="shared" si="25"/>
        <v/>
      </c>
      <c r="G8510" s="59" t="str">
        <f t="shared" si="26"/>
        <v/>
      </c>
      <c r="H8510" s="59" t="str">
        <f t="shared" si="27"/>
        <v>Máy lu lốp</v>
      </c>
      <c r="I8510" s="59" t="str">
        <f>IF(OR($A8510="",$C8510="",$D8510="",$E8510="",$H8510=""),"",SUMIFS(DATA_GOC!$H:$H,DATA_GOC!$A:$A,"BOM",DATA_GOC!$D:$D,$H8510,DATA_GOC!$E:$E,$C8510,DATA_GOC!$F:$F,"Xuất nội bộ từ téc",DATA_GOC!$B:$B,"&gt;="&amp;$D8510,DATA_GOC!$B:$B,"&lt;="&amp;$E8510))</f>
        <v/>
      </c>
      <c r="J8510" s="59">
        <f t="shared" si="28"/>
        <v>0</v>
      </c>
      <c r="K8510" s="59">
        <f t="shared" si="29"/>
        <v>0</v>
      </c>
      <c r="L8510" s="59">
        <f t="shared" si="30"/>
        <v>0</v>
      </c>
      <c r="M8510" s="59">
        <f t="shared" si="31"/>
        <v>0</v>
      </c>
    </row>
    <row r="8511" ht="15.0" hidden="1" customHeight="1">
      <c r="A8511" s="59">
        <f t="shared" si="20"/>
        <v>138</v>
      </c>
      <c r="B8511" s="59" t="str">
        <f t="shared" si="21"/>
        <v/>
      </c>
      <c r="C8511" s="59" t="str">
        <f t="shared" si="22"/>
        <v/>
      </c>
      <c r="D8511" s="45" t="str">
        <f t="shared" si="23"/>
        <v/>
      </c>
      <c r="E8511" s="45" t="str">
        <f t="shared" si="24"/>
        <v/>
      </c>
      <c r="F8511" s="59" t="str">
        <f t="shared" si="25"/>
        <v/>
      </c>
      <c r="G8511" s="59" t="str">
        <f t="shared" si="26"/>
        <v/>
      </c>
      <c r="H8511" s="59" t="str">
        <f t="shared" si="27"/>
        <v>Xe 600148</v>
      </c>
      <c r="I8511" s="59" t="str">
        <f>IF(OR($A8511="",$C8511="",$D8511="",$E8511="",$H8511=""),"",SUMIFS(DATA_GOC!$H:$H,DATA_GOC!$A:$A,"BOM",DATA_GOC!$D:$D,$H8511,DATA_GOC!$E:$E,$C8511,DATA_GOC!$F:$F,"Xuất nội bộ từ téc",DATA_GOC!$B:$B,"&gt;="&amp;$D8511,DATA_GOC!$B:$B,"&lt;="&amp;$E8511))</f>
        <v/>
      </c>
      <c r="J8511" s="59">
        <f t="shared" si="28"/>
        <v>0</v>
      </c>
      <c r="K8511" s="59">
        <f t="shared" si="29"/>
        <v>0</v>
      </c>
      <c r="L8511" s="59">
        <f t="shared" si="30"/>
        <v>0</v>
      </c>
      <c r="M8511" s="59">
        <f t="shared" si="31"/>
        <v>0</v>
      </c>
    </row>
    <row r="8512" ht="15.0" hidden="1" customHeight="1">
      <c r="A8512" s="59">
        <f t="shared" si="20"/>
        <v>138</v>
      </c>
      <c r="B8512" s="59" t="str">
        <f t="shared" si="21"/>
        <v/>
      </c>
      <c r="C8512" s="59" t="str">
        <f t="shared" si="22"/>
        <v/>
      </c>
      <c r="D8512" s="45" t="str">
        <f t="shared" si="23"/>
        <v/>
      </c>
      <c r="E8512" s="45" t="str">
        <f t="shared" si="24"/>
        <v/>
      </c>
      <c r="F8512" s="59" t="str">
        <f t="shared" si="25"/>
        <v/>
      </c>
      <c r="G8512" s="59" t="str">
        <f t="shared" si="26"/>
        <v/>
      </c>
      <c r="H8512" s="59" t="str">
        <f t="shared" si="27"/>
        <v>Xe ben mới</v>
      </c>
      <c r="I8512" s="59" t="str">
        <f>IF(OR($A8512="",$C8512="",$D8512="",$E8512="",$H8512=""),"",SUMIFS(DATA_GOC!$H:$H,DATA_GOC!$A:$A,"BOM",DATA_GOC!$D:$D,$H8512,DATA_GOC!$E:$E,$C8512,DATA_GOC!$F:$F,"Xuất nội bộ từ téc",DATA_GOC!$B:$B,"&gt;="&amp;$D8512,DATA_GOC!$B:$B,"&lt;="&amp;$E8512))</f>
        <v/>
      </c>
      <c r="J8512" s="59">
        <f t="shared" si="28"/>
        <v>0</v>
      </c>
      <c r="K8512" s="59">
        <f t="shared" si="29"/>
        <v>0</v>
      </c>
      <c r="L8512" s="59">
        <f t="shared" si="30"/>
        <v>0</v>
      </c>
      <c r="M8512" s="59">
        <f t="shared" si="31"/>
        <v>0</v>
      </c>
    </row>
    <row r="8513" ht="15.0" hidden="1" customHeight="1">
      <c r="A8513" s="59">
        <f t="shared" si="20"/>
        <v>139</v>
      </c>
      <c r="B8513" s="59" t="str">
        <f t="shared" si="21"/>
        <v/>
      </c>
      <c r="C8513" s="59" t="str">
        <f t="shared" si="22"/>
        <v/>
      </c>
      <c r="D8513" s="45" t="str">
        <f t="shared" si="23"/>
        <v/>
      </c>
      <c r="E8513" s="45" t="str">
        <f t="shared" si="24"/>
        <v/>
      </c>
      <c r="F8513" s="59" t="str">
        <f t="shared" si="25"/>
        <v/>
      </c>
      <c r="G8513" s="59" t="str">
        <f t="shared" si="26"/>
        <v/>
      </c>
      <c r="H8513" s="59" t="str">
        <f t="shared" si="27"/>
        <v>19H09482</v>
      </c>
      <c r="I8513" s="59" t="str">
        <f>IF(OR($A8513="",$C8513="",$D8513="",$E8513="",$H8513=""),"",SUMIFS(DATA_GOC!$H:$H,DATA_GOC!$A:$A,"BOM",DATA_GOC!$D:$D,$H8513,DATA_GOC!$E:$E,$C8513,DATA_GOC!$F:$F,"Xuất nội bộ từ téc",DATA_GOC!$B:$B,"&gt;="&amp;$D8513,DATA_GOC!$B:$B,"&lt;="&amp;$E8513))</f>
        <v/>
      </c>
      <c r="J8513" s="59">
        <f t="shared" si="28"/>
        <v>0</v>
      </c>
      <c r="K8513" s="59">
        <f t="shared" si="29"/>
        <v>0</v>
      </c>
      <c r="L8513" s="59">
        <f t="shared" si="30"/>
        <v>0</v>
      </c>
      <c r="M8513" s="59">
        <f t="shared" si="31"/>
        <v>0</v>
      </c>
    </row>
    <row r="8514" ht="15.0" hidden="1" customHeight="1">
      <c r="A8514" s="59">
        <f t="shared" si="20"/>
        <v>139</v>
      </c>
      <c r="B8514" s="59" t="str">
        <f t="shared" si="21"/>
        <v/>
      </c>
      <c r="C8514" s="59" t="str">
        <f t="shared" si="22"/>
        <v/>
      </c>
      <c r="D8514" s="45" t="str">
        <f t="shared" si="23"/>
        <v/>
      </c>
      <c r="E8514" s="45" t="str">
        <f t="shared" si="24"/>
        <v/>
      </c>
      <c r="F8514" s="59" t="str">
        <f t="shared" si="25"/>
        <v/>
      </c>
      <c r="G8514" s="59" t="str">
        <f t="shared" si="26"/>
        <v/>
      </c>
      <c r="H8514" s="59" t="str">
        <f t="shared" si="27"/>
        <v>28A30696</v>
      </c>
      <c r="I8514" s="59" t="str">
        <f>IF(OR($A8514="",$C8514="",$D8514="",$E8514="",$H8514=""),"",SUMIFS(DATA_GOC!$H:$H,DATA_GOC!$A:$A,"BOM",DATA_GOC!$D:$D,$H8514,DATA_GOC!$E:$E,$C8514,DATA_GOC!$F:$F,"Xuất nội bộ từ téc",DATA_GOC!$B:$B,"&gt;="&amp;$D8514,DATA_GOC!$B:$B,"&lt;="&amp;$E8514))</f>
        <v/>
      </c>
      <c r="J8514" s="59">
        <f t="shared" si="28"/>
        <v>0</v>
      </c>
      <c r="K8514" s="59">
        <f t="shared" si="29"/>
        <v>0</v>
      </c>
      <c r="L8514" s="59">
        <f t="shared" si="30"/>
        <v>0</v>
      </c>
      <c r="M8514" s="59">
        <f t="shared" si="31"/>
        <v>0</v>
      </c>
    </row>
    <row r="8515" ht="15.0" hidden="1" customHeight="1">
      <c r="A8515" s="59">
        <f t="shared" si="20"/>
        <v>139</v>
      </c>
      <c r="B8515" s="59" t="str">
        <f t="shared" si="21"/>
        <v/>
      </c>
      <c r="C8515" s="59" t="str">
        <f t="shared" si="22"/>
        <v/>
      </c>
      <c r="D8515" s="45" t="str">
        <f t="shared" si="23"/>
        <v/>
      </c>
      <c r="E8515" s="45" t="str">
        <f t="shared" si="24"/>
        <v/>
      </c>
      <c r="F8515" s="59" t="str">
        <f t="shared" si="25"/>
        <v/>
      </c>
      <c r="G8515" s="59" t="str">
        <f t="shared" si="26"/>
        <v/>
      </c>
      <c r="H8515" s="59" t="str">
        <f t="shared" si="27"/>
        <v>28C00462</v>
      </c>
      <c r="I8515" s="59" t="str">
        <f>IF(OR($A8515="",$C8515="",$D8515="",$E8515="",$H8515=""),"",SUMIFS(DATA_GOC!$H:$H,DATA_GOC!$A:$A,"BOM",DATA_GOC!$D:$D,$H8515,DATA_GOC!$E:$E,$C8515,DATA_GOC!$F:$F,"Xuất nội bộ từ téc",DATA_GOC!$B:$B,"&gt;="&amp;$D8515,DATA_GOC!$B:$B,"&lt;="&amp;$E8515))</f>
        <v/>
      </c>
      <c r="J8515" s="59">
        <f t="shared" si="28"/>
        <v>0</v>
      </c>
      <c r="K8515" s="59">
        <f t="shared" si="29"/>
        <v>0</v>
      </c>
      <c r="L8515" s="59">
        <f t="shared" si="30"/>
        <v>0</v>
      </c>
      <c r="M8515" s="59">
        <f t="shared" si="31"/>
        <v>0</v>
      </c>
    </row>
    <row r="8516" ht="15.0" hidden="1" customHeight="1">
      <c r="A8516" s="59">
        <f t="shared" si="20"/>
        <v>139</v>
      </c>
      <c r="B8516" s="59" t="str">
        <f t="shared" si="21"/>
        <v/>
      </c>
      <c r="C8516" s="59" t="str">
        <f t="shared" si="22"/>
        <v/>
      </c>
      <c r="D8516" s="45" t="str">
        <f t="shared" si="23"/>
        <v/>
      </c>
      <c r="E8516" s="45" t="str">
        <f t="shared" si="24"/>
        <v/>
      </c>
      <c r="F8516" s="59" t="str">
        <f t="shared" si="25"/>
        <v/>
      </c>
      <c r="G8516" s="59" t="str">
        <f t="shared" si="26"/>
        <v/>
      </c>
      <c r="H8516" s="59" t="str">
        <f t="shared" si="27"/>
        <v>28C01165</v>
      </c>
      <c r="I8516" s="59" t="str">
        <f>IF(OR($A8516="",$C8516="",$D8516="",$E8516="",$H8516=""),"",SUMIFS(DATA_GOC!$H:$H,DATA_GOC!$A:$A,"BOM",DATA_GOC!$D:$D,$H8516,DATA_GOC!$E:$E,$C8516,DATA_GOC!$F:$F,"Xuất nội bộ từ téc",DATA_GOC!$B:$B,"&gt;="&amp;$D8516,DATA_GOC!$B:$B,"&lt;="&amp;$E8516))</f>
        <v/>
      </c>
      <c r="J8516" s="59">
        <f t="shared" si="28"/>
        <v>0</v>
      </c>
      <c r="K8516" s="59">
        <f t="shared" si="29"/>
        <v>0</v>
      </c>
      <c r="L8516" s="59">
        <f t="shared" si="30"/>
        <v>0</v>
      </c>
      <c r="M8516" s="59">
        <f t="shared" si="31"/>
        <v>0</v>
      </c>
    </row>
    <row r="8517" ht="15.0" hidden="1" customHeight="1">
      <c r="A8517" s="59">
        <f t="shared" si="20"/>
        <v>139</v>
      </c>
      <c r="B8517" s="59" t="str">
        <f t="shared" si="21"/>
        <v/>
      </c>
      <c r="C8517" s="59" t="str">
        <f t="shared" si="22"/>
        <v/>
      </c>
      <c r="D8517" s="45" t="str">
        <f t="shared" si="23"/>
        <v/>
      </c>
      <c r="E8517" s="45" t="str">
        <f t="shared" si="24"/>
        <v/>
      </c>
      <c r="F8517" s="59" t="str">
        <f t="shared" si="25"/>
        <v/>
      </c>
      <c r="G8517" s="59" t="str">
        <f t="shared" si="26"/>
        <v/>
      </c>
      <c r="H8517" s="59" t="str">
        <f t="shared" si="27"/>
        <v>28C01406</v>
      </c>
      <c r="I8517" s="59" t="str">
        <f>IF(OR($A8517="",$C8517="",$D8517="",$E8517="",$H8517=""),"",SUMIFS(DATA_GOC!$H:$H,DATA_GOC!$A:$A,"BOM",DATA_GOC!$D:$D,$H8517,DATA_GOC!$E:$E,$C8517,DATA_GOC!$F:$F,"Xuất nội bộ từ téc",DATA_GOC!$B:$B,"&gt;="&amp;$D8517,DATA_GOC!$B:$B,"&lt;="&amp;$E8517))</f>
        <v/>
      </c>
      <c r="J8517" s="59">
        <f t="shared" si="28"/>
        <v>0</v>
      </c>
      <c r="K8517" s="59">
        <f t="shared" si="29"/>
        <v>0</v>
      </c>
      <c r="L8517" s="59">
        <f t="shared" si="30"/>
        <v>0</v>
      </c>
      <c r="M8517" s="59">
        <f t="shared" si="31"/>
        <v>0</v>
      </c>
    </row>
    <row r="8518" ht="15.0" hidden="1" customHeight="1">
      <c r="A8518" s="59">
        <f t="shared" si="20"/>
        <v>139</v>
      </c>
      <c r="B8518" s="59" t="str">
        <f t="shared" si="21"/>
        <v/>
      </c>
      <c r="C8518" s="59" t="str">
        <f t="shared" si="22"/>
        <v/>
      </c>
      <c r="D8518" s="45" t="str">
        <f t="shared" si="23"/>
        <v/>
      </c>
      <c r="E8518" s="45" t="str">
        <f t="shared" si="24"/>
        <v/>
      </c>
      <c r="F8518" s="59" t="str">
        <f t="shared" si="25"/>
        <v/>
      </c>
      <c r="G8518" s="59" t="str">
        <f t="shared" si="26"/>
        <v/>
      </c>
      <c r="H8518" s="59" t="str">
        <f t="shared" si="27"/>
        <v>28C01544</v>
      </c>
      <c r="I8518" s="59" t="str">
        <f>IF(OR($A8518="",$C8518="",$D8518="",$E8518="",$H8518=""),"",SUMIFS(DATA_GOC!$H:$H,DATA_GOC!$A:$A,"BOM",DATA_GOC!$D:$D,$H8518,DATA_GOC!$E:$E,$C8518,DATA_GOC!$F:$F,"Xuất nội bộ từ téc",DATA_GOC!$B:$B,"&gt;="&amp;$D8518,DATA_GOC!$B:$B,"&lt;="&amp;$E8518))</f>
        <v/>
      </c>
      <c r="J8518" s="59">
        <f t="shared" si="28"/>
        <v>0</v>
      </c>
      <c r="K8518" s="59">
        <f t="shared" si="29"/>
        <v>0</v>
      </c>
      <c r="L8518" s="59">
        <f t="shared" si="30"/>
        <v>0</v>
      </c>
      <c r="M8518" s="59">
        <f t="shared" si="31"/>
        <v>0</v>
      </c>
    </row>
    <row r="8519" ht="15.0" hidden="1" customHeight="1">
      <c r="A8519" s="59">
        <f t="shared" si="20"/>
        <v>139</v>
      </c>
      <c r="B8519" s="59" t="str">
        <f t="shared" si="21"/>
        <v/>
      </c>
      <c r="C8519" s="59" t="str">
        <f t="shared" si="22"/>
        <v/>
      </c>
      <c r="D8519" s="45" t="str">
        <f t="shared" si="23"/>
        <v/>
      </c>
      <c r="E8519" s="45" t="str">
        <f t="shared" si="24"/>
        <v/>
      </c>
      <c r="F8519" s="59" t="str">
        <f t="shared" si="25"/>
        <v/>
      </c>
      <c r="G8519" s="59" t="str">
        <f t="shared" si="26"/>
        <v/>
      </c>
      <c r="H8519" s="59" t="str">
        <f t="shared" si="27"/>
        <v>28C01622</v>
      </c>
      <c r="I8519" s="59" t="str">
        <f>IF(OR($A8519="",$C8519="",$D8519="",$E8519="",$H8519=""),"",SUMIFS(DATA_GOC!$H:$H,DATA_GOC!$A:$A,"BOM",DATA_GOC!$D:$D,$H8519,DATA_GOC!$E:$E,$C8519,DATA_GOC!$F:$F,"Xuất nội bộ từ téc",DATA_GOC!$B:$B,"&gt;="&amp;$D8519,DATA_GOC!$B:$B,"&lt;="&amp;$E8519))</f>
        <v/>
      </c>
      <c r="J8519" s="59">
        <f t="shared" si="28"/>
        <v>0</v>
      </c>
      <c r="K8519" s="59">
        <f t="shared" si="29"/>
        <v>0</v>
      </c>
      <c r="L8519" s="59">
        <f t="shared" si="30"/>
        <v>0</v>
      </c>
      <c r="M8519" s="59">
        <f t="shared" si="31"/>
        <v>0</v>
      </c>
    </row>
    <row r="8520" ht="15.0" hidden="1" customHeight="1">
      <c r="A8520" s="59">
        <f t="shared" si="20"/>
        <v>139</v>
      </c>
      <c r="B8520" s="59" t="str">
        <f t="shared" si="21"/>
        <v/>
      </c>
      <c r="C8520" s="59" t="str">
        <f t="shared" si="22"/>
        <v/>
      </c>
      <c r="D8520" s="45" t="str">
        <f t="shared" si="23"/>
        <v/>
      </c>
      <c r="E8520" s="45" t="str">
        <f t="shared" si="24"/>
        <v/>
      </c>
      <c r="F8520" s="59" t="str">
        <f t="shared" si="25"/>
        <v/>
      </c>
      <c r="G8520" s="59" t="str">
        <f t="shared" si="26"/>
        <v/>
      </c>
      <c r="H8520" s="59" t="str">
        <f t="shared" si="27"/>
        <v>28C01647</v>
      </c>
      <c r="I8520" s="59" t="str">
        <f>IF(OR($A8520="",$C8520="",$D8520="",$E8520="",$H8520=""),"",SUMIFS(DATA_GOC!$H:$H,DATA_GOC!$A:$A,"BOM",DATA_GOC!$D:$D,$H8520,DATA_GOC!$E:$E,$C8520,DATA_GOC!$F:$F,"Xuất nội bộ từ téc",DATA_GOC!$B:$B,"&gt;="&amp;$D8520,DATA_GOC!$B:$B,"&lt;="&amp;$E8520))</f>
        <v/>
      </c>
      <c r="J8520" s="59">
        <f t="shared" si="28"/>
        <v>0</v>
      </c>
      <c r="K8520" s="59">
        <f t="shared" si="29"/>
        <v>0</v>
      </c>
      <c r="L8520" s="59">
        <f t="shared" si="30"/>
        <v>0</v>
      </c>
      <c r="M8520" s="59">
        <f t="shared" si="31"/>
        <v>0</v>
      </c>
    </row>
    <row r="8521" ht="15.0" hidden="1" customHeight="1">
      <c r="A8521" s="59">
        <f t="shared" si="20"/>
        <v>139</v>
      </c>
      <c r="B8521" s="59" t="str">
        <f t="shared" si="21"/>
        <v/>
      </c>
      <c r="C8521" s="59" t="str">
        <f t="shared" si="22"/>
        <v/>
      </c>
      <c r="D8521" s="45" t="str">
        <f t="shared" si="23"/>
        <v/>
      </c>
      <c r="E8521" s="45" t="str">
        <f t="shared" si="24"/>
        <v/>
      </c>
      <c r="F8521" s="59" t="str">
        <f t="shared" si="25"/>
        <v/>
      </c>
      <c r="G8521" s="59" t="str">
        <f t="shared" si="26"/>
        <v/>
      </c>
      <c r="H8521" s="59" t="str">
        <f t="shared" si="27"/>
        <v>28C01731</v>
      </c>
      <c r="I8521" s="59" t="str">
        <f>IF(OR($A8521="",$C8521="",$D8521="",$E8521="",$H8521=""),"",SUMIFS(DATA_GOC!$H:$H,DATA_GOC!$A:$A,"BOM",DATA_GOC!$D:$D,$H8521,DATA_GOC!$E:$E,$C8521,DATA_GOC!$F:$F,"Xuất nội bộ từ téc",DATA_GOC!$B:$B,"&gt;="&amp;$D8521,DATA_GOC!$B:$B,"&lt;="&amp;$E8521))</f>
        <v/>
      </c>
      <c r="J8521" s="59">
        <f t="shared" si="28"/>
        <v>0</v>
      </c>
      <c r="K8521" s="59">
        <f t="shared" si="29"/>
        <v>0</v>
      </c>
      <c r="L8521" s="59">
        <f t="shared" si="30"/>
        <v>0</v>
      </c>
      <c r="M8521" s="59">
        <f t="shared" si="31"/>
        <v>0</v>
      </c>
    </row>
    <row r="8522" ht="15.0" hidden="1" customHeight="1">
      <c r="A8522" s="59">
        <f t="shared" si="20"/>
        <v>139</v>
      </c>
      <c r="B8522" s="59" t="str">
        <f t="shared" si="21"/>
        <v/>
      </c>
      <c r="C8522" s="59" t="str">
        <f t="shared" si="22"/>
        <v/>
      </c>
      <c r="D8522" s="45" t="str">
        <f t="shared" si="23"/>
        <v/>
      </c>
      <c r="E8522" s="45" t="str">
        <f t="shared" si="24"/>
        <v/>
      </c>
      <c r="F8522" s="59" t="str">
        <f t="shared" si="25"/>
        <v/>
      </c>
      <c r="G8522" s="59" t="str">
        <f t="shared" si="26"/>
        <v/>
      </c>
      <c r="H8522" s="59" t="str">
        <f t="shared" si="27"/>
        <v>28C01743</v>
      </c>
      <c r="I8522" s="59" t="str">
        <f>IF(OR($A8522="",$C8522="",$D8522="",$E8522="",$H8522=""),"",SUMIFS(DATA_GOC!$H:$H,DATA_GOC!$A:$A,"BOM",DATA_GOC!$D:$D,$H8522,DATA_GOC!$E:$E,$C8522,DATA_GOC!$F:$F,"Xuất nội bộ từ téc",DATA_GOC!$B:$B,"&gt;="&amp;$D8522,DATA_GOC!$B:$B,"&lt;="&amp;$E8522))</f>
        <v/>
      </c>
      <c r="J8522" s="59">
        <f t="shared" si="28"/>
        <v>0</v>
      </c>
      <c r="K8522" s="59">
        <f t="shared" si="29"/>
        <v>0</v>
      </c>
      <c r="L8522" s="59">
        <f t="shared" si="30"/>
        <v>0</v>
      </c>
      <c r="M8522" s="59">
        <f t="shared" si="31"/>
        <v>0</v>
      </c>
    </row>
    <row r="8523" ht="15.0" hidden="1" customHeight="1">
      <c r="A8523" s="59">
        <f t="shared" si="20"/>
        <v>139</v>
      </c>
      <c r="B8523" s="59" t="str">
        <f t="shared" si="21"/>
        <v/>
      </c>
      <c r="C8523" s="59" t="str">
        <f t="shared" si="22"/>
        <v/>
      </c>
      <c r="D8523" s="45" t="str">
        <f t="shared" si="23"/>
        <v/>
      </c>
      <c r="E8523" s="45" t="str">
        <f t="shared" si="24"/>
        <v/>
      </c>
      <c r="F8523" s="59" t="str">
        <f t="shared" si="25"/>
        <v/>
      </c>
      <c r="G8523" s="59" t="str">
        <f t="shared" si="26"/>
        <v/>
      </c>
      <c r="H8523" s="59" t="str">
        <f t="shared" si="27"/>
        <v>28C02106</v>
      </c>
      <c r="I8523" s="59" t="str">
        <f>IF(OR($A8523="",$C8523="",$D8523="",$E8523="",$H8523=""),"",SUMIFS(DATA_GOC!$H:$H,DATA_GOC!$A:$A,"BOM",DATA_GOC!$D:$D,$H8523,DATA_GOC!$E:$E,$C8523,DATA_GOC!$F:$F,"Xuất nội bộ từ téc",DATA_GOC!$B:$B,"&gt;="&amp;$D8523,DATA_GOC!$B:$B,"&lt;="&amp;$E8523))</f>
        <v/>
      </c>
      <c r="J8523" s="59">
        <f t="shared" si="28"/>
        <v>0</v>
      </c>
      <c r="K8523" s="59">
        <f t="shared" si="29"/>
        <v>0</v>
      </c>
      <c r="L8523" s="59">
        <f t="shared" si="30"/>
        <v>0</v>
      </c>
      <c r="M8523" s="59">
        <f t="shared" si="31"/>
        <v>0</v>
      </c>
    </row>
    <row r="8524" ht="15.0" hidden="1" customHeight="1">
      <c r="A8524" s="59">
        <f t="shared" si="20"/>
        <v>139</v>
      </c>
      <c r="B8524" s="59" t="str">
        <f t="shared" si="21"/>
        <v/>
      </c>
      <c r="C8524" s="59" t="str">
        <f t="shared" si="22"/>
        <v/>
      </c>
      <c r="D8524" s="45" t="str">
        <f t="shared" si="23"/>
        <v/>
      </c>
      <c r="E8524" s="45" t="str">
        <f t="shared" si="24"/>
        <v/>
      </c>
      <c r="F8524" s="59" t="str">
        <f t="shared" si="25"/>
        <v/>
      </c>
      <c r="G8524" s="59" t="str">
        <f t="shared" si="26"/>
        <v/>
      </c>
      <c r="H8524" s="59" t="str">
        <f t="shared" si="27"/>
        <v>28C02410</v>
      </c>
      <c r="I8524" s="59" t="str">
        <f>IF(OR($A8524="",$C8524="",$D8524="",$E8524="",$H8524=""),"",SUMIFS(DATA_GOC!$H:$H,DATA_GOC!$A:$A,"BOM",DATA_GOC!$D:$D,$H8524,DATA_GOC!$E:$E,$C8524,DATA_GOC!$F:$F,"Xuất nội bộ từ téc",DATA_GOC!$B:$B,"&gt;="&amp;$D8524,DATA_GOC!$B:$B,"&lt;="&amp;$E8524))</f>
        <v/>
      </c>
      <c r="J8524" s="59">
        <f t="shared" si="28"/>
        <v>0</v>
      </c>
      <c r="K8524" s="59">
        <f t="shared" si="29"/>
        <v>0</v>
      </c>
      <c r="L8524" s="59">
        <f t="shared" si="30"/>
        <v>0</v>
      </c>
      <c r="M8524" s="59">
        <f t="shared" si="31"/>
        <v>0</v>
      </c>
    </row>
    <row r="8525" ht="15.0" hidden="1" customHeight="1">
      <c r="A8525" s="59">
        <f t="shared" si="20"/>
        <v>139</v>
      </c>
      <c r="B8525" s="59" t="str">
        <f t="shared" si="21"/>
        <v/>
      </c>
      <c r="C8525" s="59" t="str">
        <f t="shared" si="22"/>
        <v/>
      </c>
      <c r="D8525" s="45" t="str">
        <f t="shared" si="23"/>
        <v/>
      </c>
      <c r="E8525" s="45" t="str">
        <f t="shared" si="24"/>
        <v/>
      </c>
      <c r="F8525" s="59" t="str">
        <f t="shared" si="25"/>
        <v/>
      </c>
      <c r="G8525" s="59" t="str">
        <f t="shared" si="26"/>
        <v/>
      </c>
      <c r="H8525" s="59" t="str">
        <f t="shared" si="27"/>
        <v>28C02545</v>
      </c>
      <c r="I8525" s="59" t="str">
        <f>IF(OR($A8525="",$C8525="",$D8525="",$E8525="",$H8525=""),"",SUMIFS(DATA_GOC!$H:$H,DATA_GOC!$A:$A,"BOM",DATA_GOC!$D:$D,$H8525,DATA_GOC!$E:$E,$C8525,DATA_GOC!$F:$F,"Xuất nội bộ từ téc",DATA_GOC!$B:$B,"&gt;="&amp;$D8525,DATA_GOC!$B:$B,"&lt;="&amp;$E8525))</f>
        <v/>
      </c>
      <c r="J8525" s="59">
        <f t="shared" si="28"/>
        <v>0</v>
      </c>
      <c r="K8525" s="59">
        <f t="shared" si="29"/>
        <v>0</v>
      </c>
      <c r="L8525" s="59">
        <f t="shared" si="30"/>
        <v>0</v>
      </c>
      <c r="M8525" s="59">
        <f t="shared" si="31"/>
        <v>0</v>
      </c>
    </row>
    <row r="8526" ht="15.0" hidden="1" customHeight="1">
      <c r="A8526" s="59">
        <f t="shared" si="20"/>
        <v>139</v>
      </c>
      <c r="B8526" s="59" t="str">
        <f t="shared" si="21"/>
        <v/>
      </c>
      <c r="C8526" s="59" t="str">
        <f t="shared" si="22"/>
        <v/>
      </c>
      <c r="D8526" s="45" t="str">
        <f t="shared" si="23"/>
        <v/>
      </c>
      <c r="E8526" s="45" t="str">
        <f t="shared" si="24"/>
        <v/>
      </c>
      <c r="F8526" s="59" t="str">
        <f t="shared" si="25"/>
        <v/>
      </c>
      <c r="G8526" s="59" t="str">
        <f t="shared" si="26"/>
        <v/>
      </c>
      <c r="H8526" s="59" t="str">
        <f t="shared" si="27"/>
        <v>28C02574</v>
      </c>
      <c r="I8526" s="59" t="str">
        <f>IF(OR($A8526="",$C8526="",$D8526="",$E8526="",$H8526=""),"",SUMIFS(DATA_GOC!$H:$H,DATA_GOC!$A:$A,"BOM",DATA_GOC!$D:$D,$H8526,DATA_GOC!$E:$E,$C8526,DATA_GOC!$F:$F,"Xuất nội bộ từ téc",DATA_GOC!$B:$B,"&gt;="&amp;$D8526,DATA_GOC!$B:$B,"&lt;="&amp;$E8526))</f>
        <v/>
      </c>
      <c r="J8526" s="59">
        <f t="shared" si="28"/>
        <v>0</v>
      </c>
      <c r="K8526" s="59">
        <f t="shared" si="29"/>
        <v>0</v>
      </c>
      <c r="L8526" s="59">
        <f t="shared" si="30"/>
        <v>0</v>
      </c>
      <c r="M8526" s="59">
        <f t="shared" si="31"/>
        <v>0</v>
      </c>
    </row>
    <row r="8527" ht="15.0" hidden="1" customHeight="1">
      <c r="A8527" s="59">
        <f t="shared" si="20"/>
        <v>139</v>
      </c>
      <c r="B8527" s="59" t="str">
        <f t="shared" si="21"/>
        <v/>
      </c>
      <c r="C8527" s="59" t="str">
        <f t="shared" si="22"/>
        <v/>
      </c>
      <c r="D8527" s="45" t="str">
        <f t="shared" si="23"/>
        <v/>
      </c>
      <c r="E8527" s="45" t="str">
        <f t="shared" si="24"/>
        <v/>
      </c>
      <c r="F8527" s="59" t="str">
        <f t="shared" si="25"/>
        <v/>
      </c>
      <c r="G8527" s="59" t="str">
        <f t="shared" si="26"/>
        <v/>
      </c>
      <c r="H8527" s="59" t="str">
        <f t="shared" si="27"/>
        <v>28C02770</v>
      </c>
      <c r="I8527" s="59" t="str">
        <f>IF(OR($A8527="",$C8527="",$D8527="",$E8527="",$H8527=""),"",SUMIFS(DATA_GOC!$H:$H,DATA_GOC!$A:$A,"BOM",DATA_GOC!$D:$D,$H8527,DATA_GOC!$E:$E,$C8527,DATA_GOC!$F:$F,"Xuất nội bộ từ téc",DATA_GOC!$B:$B,"&gt;="&amp;$D8527,DATA_GOC!$B:$B,"&lt;="&amp;$E8527))</f>
        <v/>
      </c>
      <c r="J8527" s="59">
        <f t="shared" si="28"/>
        <v>0</v>
      </c>
      <c r="K8527" s="59">
        <f t="shared" si="29"/>
        <v>0</v>
      </c>
      <c r="L8527" s="59">
        <f t="shared" si="30"/>
        <v>0</v>
      </c>
      <c r="M8527" s="59">
        <f t="shared" si="31"/>
        <v>0</v>
      </c>
    </row>
    <row r="8528" ht="15.0" hidden="1" customHeight="1">
      <c r="A8528" s="59">
        <f t="shared" si="20"/>
        <v>139</v>
      </c>
      <c r="B8528" s="59" t="str">
        <f t="shared" si="21"/>
        <v/>
      </c>
      <c r="C8528" s="59" t="str">
        <f t="shared" si="22"/>
        <v/>
      </c>
      <c r="D8528" s="45" t="str">
        <f t="shared" si="23"/>
        <v/>
      </c>
      <c r="E8528" s="45" t="str">
        <f t="shared" si="24"/>
        <v/>
      </c>
      <c r="F8528" s="59" t="str">
        <f t="shared" si="25"/>
        <v/>
      </c>
      <c r="G8528" s="59" t="str">
        <f t="shared" si="26"/>
        <v/>
      </c>
      <c r="H8528" s="59" t="str">
        <f t="shared" si="27"/>
        <v>28C02986</v>
      </c>
      <c r="I8528" s="59" t="str">
        <f>IF(OR($A8528="",$C8528="",$D8528="",$E8528="",$H8528=""),"",SUMIFS(DATA_GOC!$H:$H,DATA_GOC!$A:$A,"BOM",DATA_GOC!$D:$D,$H8528,DATA_GOC!$E:$E,$C8528,DATA_GOC!$F:$F,"Xuất nội bộ từ téc",DATA_GOC!$B:$B,"&gt;="&amp;$D8528,DATA_GOC!$B:$B,"&lt;="&amp;$E8528))</f>
        <v/>
      </c>
      <c r="J8528" s="59">
        <f t="shared" si="28"/>
        <v>0</v>
      </c>
      <c r="K8528" s="59">
        <f t="shared" si="29"/>
        <v>0</v>
      </c>
      <c r="L8528" s="59">
        <f t="shared" si="30"/>
        <v>0</v>
      </c>
      <c r="M8528" s="59">
        <f t="shared" si="31"/>
        <v>0</v>
      </c>
    </row>
    <row r="8529" ht="15.0" hidden="1" customHeight="1">
      <c r="A8529" s="59">
        <f t="shared" si="20"/>
        <v>139</v>
      </c>
      <c r="B8529" s="59" t="str">
        <f t="shared" si="21"/>
        <v/>
      </c>
      <c r="C8529" s="59" t="str">
        <f t="shared" si="22"/>
        <v/>
      </c>
      <c r="D8529" s="45" t="str">
        <f t="shared" si="23"/>
        <v/>
      </c>
      <c r="E8529" s="45" t="str">
        <f t="shared" si="24"/>
        <v/>
      </c>
      <c r="F8529" s="59" t="str">
        <f t="shared" si="25"/>
        <v/>
      </c>
      <c r="G8529" s="59" t="str">
        <f t="shared" si="26"/>
        <v/>
      </c>
      <c r="H8529" s="59" t="str">
        <f t="shared" si="27"/>
        <v>28C03261</v>
      </c>
      <c r="I8529" s="59" t="str">
        <f>IF(OR($A8529="",$C8529="",$D8529="",$E8529="",$H8529=""),"",SUMIFS(DATA_GOC!$H:$H,DATA_GOC!$A:$A,"BOM",DATA_GOC!$D:$D,$H8529,DATA_GOC!$E:$E,$C8529,DATA_GOC!$F:$F,"Xuất nội bộ từ téc",DATA_GOC!$B:$B,"&gt;="&amp;$D8529,DATA_GOC!$B:$B,"&lt;="&amp;$E8529))</f>
        <v/>
      </c>
      <c r="J8529" s="59">
        <f t="shared" si="28"/>
        <v>0</v>
      </c>
      <c r="K8529" s="59">
        <f t="shared" si="29"/>
        <v>0</v>
      </c>
      <c r="L8529" s="59">
        <f t="shared" si="30"/>
        <v>0</v>
      </c>
      <c r="M8529" s="59">
        <f t="shared" si="31"/>
        <v>0</v>
      </c>
    </row>
    <row r="8530" ht="15.0" hidden="1" customHeight="1">
      <c r="A8530" s="59">
        <f t="shared" si="20"/>
        <v>139</v>
      </c>
      <c r="B8530" s="59" t="str">
        <f t="shared" si="21"/>
        <v/>
      </c>
      <c r="C8530" s="59" t="str">
        <f t="shared" si="22"/>
        <v/>
      </c>
      <c r="D8530" s="45" t="str">
        <f t="shared" si="23"/>
        <v/>
      </c>
      <c r="E8530" s="45" t="str">
        <f t="shared" si="24"/>
        <v/>
      </c>
      <c r="F8530" s="59" t="str">
        <f t="shared" si="25"/>
        <v/>
      </c>
      <c r="G8530" s="59" t="str">
        <f t="shared" si="26"/>
        <v/>
      </c>
      <c r="H8530" s="59" t="str">
        <f t="shared" si="27"/>
        <v>28C03323</v>
      </c>
      <c r="I8530" s="59" t="str">
        <f>IF(OR($A8530="",$C8530="",$D8530="",$E8530="",$H8530=""),"",SUMIFS(DATA_GOC!$H:$H,DATA_GOC!$A:$A,"BOM",DATA_GOC!$D:$D,$H8530,DATA_GOC!$E:$E,$C8530,DATA_GOC!$F:$F,"Xuất nội bộ từ téc",DATA_GOC!$B:$B,"&gt;="&amp;$D8530,DATA_GOC!$B:$B,"&lt;="&amp;$E8530))</f>
        <v/>
      </c>
      <c r="J8530" s="59">
        <f t="shared" si="28"/>
        <v>0</v>
      </c>
      <c r="K8530" s="59">
        <f t="shared" si="29"/>
        <v>0</v>
      </c>
      <c r="L8530" s="59">
        <f t="shared" si="30"/>
        <v>0</v>
      </c>
      <c r="M8530" s="59">
        <f t="shared" si="31"/>
        <v>0</v>
      </c>
    </row>
    <row r="8531" ht="15.0" hidden="1" customHeight="1">
      <c r="A8531" s="59">
        <f t="shared" si="20"/>
        <v>139</v>
      </c>
      <c r="B8531" s="59" t="str">
        <f t="shared" si="21"/>
        <v/>
      </c>
      <c r="C8531" s="59" t="str">
        <f t="shared" si="22"/>
        <v/>
      </c>
      <c r="D8531" s="45" t="str">
        <f t="shared" si="23"/>
        <v/>
      </c>
      <c r="E8531" s="45" t="str">
        <f t="shared" si="24"/>
        <v/>
      </c>
      <c r="F8531" s="59" t="str">
        <f t="shared" si="25"/>
        <v/>
      </c>
      <c r="G8531" s="59" t="str">
        <f t="shared" si="26"/>
        <v/>
      </c>
      <c r="H8531" s="59" t="str">
        <f t="shared" si="27"/>
        <v>28C03385</v>
      </c>
      <c r="I8531" s="59" t="str">
        <f>IF(OR($A8531="",$C8531="",$D8531="",$E8531="",$H8531=""),"",SUMIFS(DATA_GOC!$H:$H,DATA_GOC!$A:$A,"BOM",DATA_GOC!$D:$D,$H8531,DATA_GOC!$E:$E,$C8531,DATA_GOC!$F:$F,"Xuất nội bộ từ téc",DATA_GOC!$B:$B,"&gt;="&amp;$D8531,DATA_GOC!$B:$B,"&lt;="&amp;$E8531))</f>
        <v/>
      </c>
      <c r="J8531" s="59">
        <f t="shared" si="28"/>
        <v>0</v>
      </c>
      <c r="K8531" s="59">
        <f t="shared" si="29"/>
        <v>0</v>
      </c>
      <c r="L8531" s="59">
        <f t="shared" si="30"/>
        <v>0</v>
      </c>
      <c r="M8531" s="59">
        <f t="shared" si="31"/>
        <v>0</v>
      </c>
    </row>
    <row r="8532" ht="15.0" hidden="1" customHeight="1">
      <c r="A8532" s="59">
        <f t="shared" si="20"/>
        <v>139</v>
      </c>
      <c r="B8532" s="59" t="str">
        <f t="shared" si="21"/>
        <v/>
      </c>
      <c r="C8532" s="59" t="str">
        <f t="shared" si="22"/>
        <v/>
      </c>
      <c r="D8532" s="45" t="str">
        <f t="shared" si="23"/>
        <v/>
      </c>
      <c r="E8532" s="45" t="str">
        <f t="shared" si="24"/>
        <v/>
      </c>
      <c r="F8532" s="59" t="str">
        <f t="shared" si="25"/>
        <v/>
      </c>
      <c r="G8532" s="59" t="str">
        <f t="shared" si="26"/>
        <v/>
      </c>
      <c r="H8532" s="59" t="str">
        <f t="shared" si="27"/>
        <v>28C03652</v>
      </c>
      <c r="I8532" s="59" t="str">
        <f>IF(OR($A8532="",$C8532="",$D8532="",$E8532="",$H8532=""),"",SUMIFS(DATA_GOC!$H:$H,DATA_GOC!$A:$A,"BOM",DATA_GOC!$D:$D,$H8532,DATA_GOC!$E:$E,$C8532,DATA_GOC!$F:$F,"Xuất nội bộ từ téc",DATA_GOC!$B:$B,"&gt;="&amp;$D8532,DATA_GOC!$B:$B,"&lt;="&amp;$E8532))</f>
        <v/>
      </c>
      <c r="J8532" s="59">
        <f t="shared" si="28"/>
        <v>0</v>
      </c>
      <c r="K8532" s="59">
        <f t="shared" si="29"/>
        <v>0</v>
      </c>
      <c r="L8532" s="59">
        <f t="shared" si="30"/>
        <v>0</v>
      </c>
      <c r="M8532" s="59">
        <f t="shared" si="31"/>
        <v>0</v>
      </c>
    </row>
    <row r="8533" ht="15.0" hidden="1" customHeight="1">
      <c r="A8533" s="59">
        <f t="shared" si="20"/>
        <v>139</v>
      </c>
      <c r="B8533" s="59" t="str">
        <f t="shared" si="21"/>
        <v/>
      </c>
      <c r="C8533" s="59" t="str">
        <f t="shared" si="22"/>
        <v/>
      </c>
      <c r="D8533" s="45" t="str">
        <f t="shared" si="23"/>
        <v/>
      </c>
      <c r="E8533" s="45" t="str">
        <f t="shared" si="24"/>
        <v/>
      </c>
      <c r="F8533" s="59" t="str">
        <f t="shared" si="25"/>
        <v/>
      </c>
      <c r="G8533" s="59" t="str">
        <f t="shared" si="26"/>
        <v/>
      </c>
      <c r="H8533" s="59" t="str">
        <f t="shared" si="27"/>
        <v>28C03695</v>
      </c>
      <c r="I8533" s="59" t="str">
        <f>IF(OR($A8533="",$C8533="",$D8533="",$E8533="",$H8533=""),"",SUMIFS(DATA_GOC!$H:$H,DATA_GOC!$A:$A,"BOM",DATA_GOC!$D:$D,$H8533,DATA_GOC!$E:$E,$C8533,DATA_GOC!$F:$F,"Xuất nội bộ từ téc",DATA_GOC!$B:$B,"&gt;="&amp;$D8533,DATA_GOC!$B:$B,"&lt;="&amp;$E8533))</f>
        <v/>
      </c>
      <c r="J8533" s="59">
        <f t="shared" si="28"/>
        <v>0</v>
      </c>
      <c r="K8533" s="59">
        <f t="shared" si="29"/>
        <v>0</v>
      </c>
      <c r="L8533" s="59">
        <f t="shared" si="30"/>
        <v>0</v>
      </c>
      <c r="M8533" s="59">
        <f t="shared" si="31"/>
        <v>0</v>
      </c>
    </row>
    <row r="8534" ht="15.0" hidden="1" customHeight="1">
      <c r="A8534" s="59">
        <f t="shared" si="20"/>
        <v>139</v>
      </c>
      <c r="B8534" s="59" t="str">
        <f t="shared" si="21"/>
        <v/>
      </c>
      <c r="C8534" s="59" t="str">
        <f t="shared" si="22"/>
        <v/>
      </c>
      <c r="D8534" s="45" t="str">
        <f t="shared" si="23"/>
        <v/>
      </c>
      <c r="E8534" s="45" t="str">
        <f t="shared" si="24"/>
        <v/>
      </c>
      <c r="F8534" s="59" t="str">
        <f t="shared" si="25"/>
        <v/>
      </c>
      <c r="G8534" s="59" t="str">
        <f t="shared" si="26"/>
        <v/>
      </c>
      <c r="H8534" s="59" t="str">
        <f t="shared" si="27"/>
        <v>28C03927</v>
      </c>
      <c r="I8534" s="59" t="str">
        <f>IF(OR($A8534="",$C8534="",$D8534="",$E8534="",$H8534=""),"",SUMIFS(DATA_GOC!$H:$H,DATA_GOC!$A:$A,"BOM",DATA_GOC!$D:$D,$H8534,DATA_GOC!$E:$E,$C8534,DATA_GOC!$F:$F,"Xuất nội bộ từ téc",DATA_GOC!$B:$B,"&gt;="&amp;$D8534,DATA_GOC!$B:$B,"&lt;="&amp;$E8534))</f>
        <v/>
      </c>
      <c r="J8534" s="59">
        <f t="shared" si="28"/>
        <v>0</v>
      </c>
      <c r="K8534" s="59">
        <f t="shared" si="29"/>
        <v>0</v>
      </c>
      <c r="L8534" s="59">
        <f t="shared" si="30"/>
        <v>0</v>
      </c>
      <c r="M8534" s="59">
        <f t="shared" si="31"/>
        <v>0</v>
      </c>
    </row>
    <row r="8535" ht="15.0" hidden="1" customHeight="1">
      <c r="A8535" s="59">
        <f t="shared" si="20"/>
        <v>139</v>
      </c>
      <c r="B8535" s="59" t="str">
        <f t="shared" si="21"/>
        <v/>
      </c>
      <c r="C8535" s="59" t="str">
        <f t="shared" si="22"/>
        <v/>
      </c>
      <c r="D8535" s="45" t="str">
        <f t="shared" si="23"/>
        <v/>
      </c>
      <c r="E8535" s="45" t="str">
        <f t="shared" si="24"/>
        <v/>
      </c>
      <c r="F8535" s="59" t="str">
        <f t="shared" si="25"/>
        <v/>
      </c>
      <c r="G8535" s="59" t="str">
        <f t="shared" si="26"/>
        <v/>
      </c>
      <c r="H8535" s="59" t="str">
        <f t="shared" si="27"/>
        <v>28C04509</v>
      </c>
      <c r="I8535" s="59" t="str">
        <f>IF(OR($A8535="",$C8535="",$D8535="",$E8535="",$H8535=""),"",SUMIFS(DATA_GOC!$H:$H,DATA_GOC!$A:$A,"BOM",DATA_GOC!$D:$D,$H8535,DATA_GOC!$E:$E,$C8535,DATA_GOC!$F:$F,"Xuất nội bộ từ téc",DATA_GOC!$B:$B,"&gt;="&amp;$D8535,DATA_GOC!$B:$B,"&lt;="&amp;$E8535))</f>
        <v/>
      </c>
      <c r="J8535" s="59">
        <f t="shared" si="28"/>
        <v>0</v>
      </c>
      <c r="K8535" s="59">
        <f t="shared" si="29"/>
        <v>0</v>
      </c>
      <c r="L8535" s="59">
        <f t="shared" si="30"/>
        <v>0</v>
      </c>
      <c r="M8535" s="59">
        <f t="shared" si="31"/>
        <v>0</v>
      </c>
    </row>
    <row r="8536" ht="15.0" hidden="1" customHeight="1">
      <c r="A8536" s="59">
        <f t="shared" si="20"/>
        <v>139</v>
      </c>
      <c r="B8536" s="59" t="str">
        <f t="shared" si="21"/>
        <v/>
      </c>
      <c r="C8536" s="59" t="str">
        <f t="shared" si="22"/>
        <v/>
      </c>
      <c r="D8536" s="45" t="str">
        <f t="shared" si="23"/>
        <v/>
      </c>
      <c r="E8536" s="45" t="str">
        <f t="shared" si="24"/>
        <v/>
      </c>
      <c r="F8536" s="59" t="str">
        <f t="shared" si="25"/>
        <v/>
      </c>
      <c r="G8536" s="59" t="str">
        <f t="shared" si="26"/>
        <v/>
      </c>
      <c r="H8536" s="59" t="str">
        <f t="shared" si="27"/>
        <v>28C04536</v>
      </c>
      <c r="I8536" s="59" t="str">
        <f>IF(OR($A8536="",$C8536="",$D8536="",$E8536="",$H8536=""),"",SUMIFS(DATA_GOC!$H:$H,DATA_GOC!$A:$A,"BOM",DATA_GOC!$D:$D,$H8536,DATA_GOC!$E:$E,$C8536,DATA_GOC!$F:$F,"Xuất nội bộ từ téc",DATA_GOC!$B:$B,"&gt;="&amp;$D8536,DATA_GOC!$B:$B,"&lt;="&amp;$E8536))</f>
        <v/>
      </c>
      <c r="J8536" s="59">
        <f t="shared" si="28"/>
        <v>0</v>
      </c>
      <c r="K8536" s="59">
        <f t="shared" si="29"/>
        <v>0</v>
      </c>
      <c r="L8536" s="59">
        <f t="shared" si="30"/>
        <v>0</v>
      </c>
      <c r="M8536" s="59">
        <f t="shared" si="31"/>
        <v>0</v>
      </c>
    </row>
    <row r="8537" ht="15.0" hidden="1" customHeight="1">
      <c r="A8537" s="59">
        <f t="shared" si="20"/>
        <v>139</v>
      </c>
      <c r="B8537" s="59" t="str">
        <f t="shared" si="21"/>
        <v/>
      </c>
      <c r="C8537" s="59" t="str">
        <f t="shared" si="22"/>
        <v/>
      </c>
      <c r="D8537" s="45" t="str">
        <f t="shared" si="23"/>
        <v/>
      </c>
      <c r="E8537" s="45" t="str">
        <f t="shared" si="24"/>
        <v/>
      </c>
      <c r="F8537" s="59" t="str">
        <f t="shared" si="25"/>
        <v/>
      </c>
      <c r="G8537" s="59" t="str">
        <f t="shared" si="26"/>
        <v/>
      </c>
      <c r="H8537" s="59" t="str">
        <f t="shared" si="27"/>
        <v>28C04576</v>
      </c>
      <c r="I8537" s="59" t="str">
        <f>IF(OR($A8537="",$C8537="",$D8537="",$E8537="",$H8537=""),"",SUMIFS(DATA_GOC!$H:$H,DATA_GOC!$A:$A,"BOM",DATA_GOC!$D:$D,$H8537,DATA_GOC!$E:$E,$C8537,DATA_GOC!$F:$F,"Xuất nội bộ từ téc",DATA_GOC!$B:$B,"&gt;="&amp;$D8537,DATA_GOC!$B:$B,"&lt;="&amp;$E8537))</f>
        <v/>
      </c>
      <c r="J8537" s="59">
        <f t="shared" si="28"/>
        <v>0</v>
      </c>
      <c r="K8537" s="59">
        <f t="shared" si="29"/>
        <v>0</v>
      </c>
      <c r="L8537" s="59">
        <f t="shared" si="30"/>
        <v>0</v>
      </c>
      <c r="M8537" s="59">
        <f t="shared" si="31"/>
        <v>0</v>
      </c>
    </row>
    <row r="8538" ht="15.0" hidden="1" customHeight="1">
      <c r="A8538" s="59">
        <f t="shared" si="20"/>
        <v>139</v>
      </c>
      <c r="B8538" s="59" t="str">
        <f t="shared" si="21"/>
        <v/>
      </c>
      <c r="C8538" s="59" t="str">
        <f t="shared" si="22"/>
        <v/>
      </c>
      <c r="D8538" s="45" t="str">
        <f t="shared" si="23"/>
        <v/>
      </c>
      <c r="E8538" s="45" t="str">
        <f t="shared" si="24"/>
        <v/>
      </c>
      <c r="F8538" s="59" t="str">
        <f t="shared" si="25"/>
        <v/>
      </c>
      <c r="G8538" s="59" t="str">
        <f t="shared" si="26"/>
        <v/>
      </c>
      <c r="H8538" s="59" t="str">
        <f t="shared" si="27"/>
        <v>28C05090</v>
      </c>
      <c r="I8538" s="59" t="str">
        <f>IF(OR($A8538="",$C8538="",$D8538="",$E8538="",$H8538=""),"",SUMIFS(DATA_GOC!$H:$H,DATA_GOC!$A:$A,"BOM",DATA_GOC!$D:$D,$H8538,DATA_GOC!$E:$E,$C8538,DATA_GOC!$F:$F,"Xuất nội bộ từ téc",DATA_GOC!$B:$B,"&gt;="&amp;$D8538,DATA_GOC!$B:$B,"&lt;="&amp;$E8538))</f>
        <v/>
      </c>
      <c r="J8538" s="59">
        <f t="shared" si="28"/>
        <v>0</v>
      </c>
      <c r="K8538" s="59">
        <f t="shared" si="29"/>
        <v>0</v>
      </c>
      <c r="L8538" s="59">
        <f t="shared" si="30"/>
        <v>0</v>
      </c>
      <c r="M8538" s="59">
        <f t="shared" si="31"/>
        <v>0</v>
      </c>
    </row>
    <row r="8539" ht="15.0" hidden="1" customHeight="1">
      <c r="A8539" s="59">
        <f t="shared" si="20"/>
        <v>139</v>
      </c>
      <c r="B8539" s="59" t="str">
        <f t="shared" si="21"/>
        <v/>
      </c>
      <c r="C8539" s="59" t="str">
        <f t="shared" si="22"/>
        <v/>
      </c>
      <c r="D8539" s="45" t="str">
        <f t="shared" si="23"/>
        <v/>
      </c>
      <c r="E8539" s="45" t="str">
        <f t="shared" si="24"/>
        <v/>
      </c>
      <c r="F8539" s="59" t="str">
        <f t="shared" si="25"/>
        <v/>
      </c>
      <c r="G8539" s="59" t="str">
        <f t="shared" si="26"/>
        <v/>
      </c>
      <c r="H8539" s="59" t="str">
        <f t="shared" si="27"/>
        <v>28C05345</v>
      </c>
      <c r="I8539" s="59" t="str">
        <f>IF(OR($A8539="",$C8539="",$D8539="",$E8539="",$H8539=""),"",SUMIFS(DATA_GOC!$H:$H,DATA_GOC!$A:$A,"BOM",DATA_GOC!$D:$D,$H8539,DATA_GOC!$E:$E,$C8539,DATA_GOC!$F:$F,"Xuất nội bộ từ téc",DATA_GOC!$B:$B,"&gt;="&amp;$D8539,DATA_GOC!$B:$B,"&lt;="&amp;$E8539))</f>
        <v/>
      </c>
      <c r="J8539" s="59">
        <f t="shared" si="28"/>
        <v>0</v>
      </c>
      <c r="K8539" s="59">
        <f t="shared" si="29"/>
        <v>0</v>
      </c>
      <c r="L8539" s="59">
        <f t="shared" si="30"/>
        <v>0</v>
      </c>
      <c r="M8539" s="59">
        <f t="shared" si="31"/>
        <v>0</v>
      </c>
    </row>
    <row r="8540" ht="15.0" hidden="1" customHeight="1">
      <c r="A8540" s="59">
        <f t="shared" si="20"/>
        <v>139</v>
      </c>
      <c r="B8540" s="59" t="str">
        <f t="shared" si="21"/>
        <v/>
      </c>
      <c r="C8540" s="59" t="str">
        <f t="shared" si="22"/>
        <v/>
      </c>
      <c r="D8540" s="45" t="str">
        <f t="shared" si="23"/>
        <v/>
      </c>
      <c r="E8540" s="45" t="str">
        <f t="shared" si="24"/>
        <v/>
      </c>
      <c r="F8540" s="59" t="str">
        <f t="shared" si="25"/>
        <v/>
      </c>
      <c r="G8540" s="59" t="str">
        <f t="shared" si="26"/>
        <v/>
      </c>
      <c r="H8540" s="59" t="str">
        <f t="shared" si="27"/>
        <v>28C05661</v>
      </c>
      <c r="I8540" s="59" t="str">
        <f>IF(OR($A8540="",$C8540="",$D8540="",$E8540="",$H8540=""),"",SUMIFS(DATA_GOC!$H:$H,DATA_GOC!$A:$A,"BOM",DATA_GOC!$D:$D,$H8540,DATA_GOC!$E:$E,$C8540,DATA_GOC!$F:$F,"Xuất nội bộ từ téc",DATA_GOC!$B:$B,"&gt;="&amp;$D8540,DATA_GOC!$B:$B,"&lt;="&amp;$E8540))</f>
        <v/>
      </c>
      <c r="J8540" s="59">
        <f t="shared" si="28"/>
        <v>0</v>
      </c>
      <c r="K8540" s="59">
        <f t="shared" si="29"/>
        <v>0</v>
      </c>
      <c r="L8540" s="59">
        <f t="shared" si="30"/>
        <v>0</v>
      </c>
      <c r="M8540" s="59">
        <f t="shared" si="31"/>
        <v>0</v>
      </c>
    </row>
    <row r="8541" ht="15.0" hidden="1" customHeight="1">
      <c r="A8541" s="59">
        <f t="shared" si="20"/>
        <v>139</v>
      </c>
      <c r="B8541" s="59" t="str">
        <f t="shared" si="21"/>
        <v/>
      </c>
      <c r="C8541" s="59" t="str">
        <f t="shared" si="22"/>
        <v/>
      </c>
      <c r="D8541" s="45" t="str">
        <f t="shared" si="23"/>
        <v/>
      </c>
      <c r="E8541" s="45" t="str">
        <f t="shared" si="24"/>
        <v/>
      </c>
      <c r="F8541" s="59" t="str">
        <f t="shared" si="25"/>
        <v/>
      </c>
      <c r="G8541" s="59" t="str">
        <f t="shared" si="26"/>
        <v/>
      </c>
      <c r="H8541" s="59" t="str">
        <f t="shared" si="27"/>
        <v>28C05739</v>
      </c>
      <c r="I8541" s="59" t="str">
        <f>IF(OR($A8541="",$C8541="",$D8541="",$E8541="",$H8541=""),"",SUMIFS(DATA_GOC!$H:$H,DATA_GOC!$A:$A,"BOM",DATA_GOC!$D:$D,$H8541,DATA_GOC!$E:$E,$C8541,DATA_GOC!$F:$F,"Xuất nội bộ từ téc",DATA_GOC!$B:$B,"&gt;="&amp;$D8541,DATA_GOC!$B:$B,"&lt;="&amp;$E8541))</f>
        <v/>
      </c>
      <c r="J8541" s="59">
        <f t="shared" si="28"/>
        <v>0</v>
      </c>
      <c r="K8541" s="59">
        <f t="shared" si="29"/>
        <v>0</v>
      </c>
      <c r="L8541" s="59">
        <f t="shared" si="30"/>
        <v>0</v>
      </c>
      <c r="M8541" s="59">
        <f t="shared" si="31"/>
        <v>0</v>
      </c>
    </row>
    <row r="8542" ht="15.0" hidden="1" customHeight="1">
      <c r="A8542" s="59">
        <f t="shared" si="20"/>
        <v>139</v>
      </c>
      <c r="B8542" s="59" t="str">
        <f t="shared" si="21"/>
        <v/>
      </c>
      <c r="C8542" s="59" t="str">
        <f t="shared" si="22"/>
        <v/>
      </c>
      <c r="D8542" s="45" t="str">
        <f t="shared" si="23"/>
        <v/>
      </c>
      <c r="E8542" s="45" t="str">
        <f t="shared" si="24"/>
        <v/>
      </c>
      <c r="F8542" s="59" t="str">
        <f t="shared" si="25"/>
        <v/>
      </c>
      <c r="G8542" s="59" t="str">
        <f t="shared" si="26"/>
        <v/>
      </c>
      <c r="H8542" s="59" t="str">
        <f t="shared" si="27"/>
        <v>28C06369</v>
      </c>
      <c r="I8542" s="59" t="str">
        <f>IF(OR($A8542="",$C8542="",$D8542="",$E8542="",$H8542=""),"",SUMIFS(DATA_GOC!$H:$H,DATA_GOC!$A:$A,"BOM",DATA_GOC!$D:$D,$H8542,DATA_GOC!$E:$E,$C8542,DATA_GOC!$F:$F,"Xuất nội bộ từ téc",DATA_GOC!$B:$B,"&gt;="&amp;$D8542,DATA_GOC!$B:$B,"&lt;="&amp;$E8542))</f>
        <v/>
      </c>
      <c r="J8542" s="59">
        <f t="shared" si="28"/>
        <v>0</v>
      </c>
      <c r="K8542" s="59">
        <f t="shared" si="29"/>
        <v>0</v>
      </c>
      <c r="L8542" s="59">
        <f t="shared" si="30"/>
        <v>0</v>
      </c>
      <c r="M8542" s="59">
        <f t="shared" si="31"/>
        <v>0</v>
      </c>
    </row>
    <row r="8543" ht="15.0" hidden="1" customHeight="1">
      <c r="A8543" s="59">
        <f t="shared" si="20"/>
        <v>139</v>
      </c>
      <c r="B8543" s="59" t="str">
        <f t="shared" si="21"/>
        <v/>
      </c>
      <c r="C8543" s="59" t="str">
        <f t="shared" si="22"/>
        <v/>
      </c>
      <c r="D8543" s="45" t="str">
        <f t="shared" si="23"/>
        <v/>
      </c>
      <c r="E8543" s="45" t="str">
        <f t="shared" si="24"/>
        <v/>
      </c>
      <c r="F8543" s="59" t="str">
        <f t="shared" si="25"/>
        <v/>
      </c>
      <c r="G8543" s="59" t="str">
        <f t="shared" si="26"/>
        <v/>
      </c>
      <c r="H8543" s="59" t="str">
        <f t="shared" si="27"/>
        <v>28C06447</v>
      </c>
      <c r="I8543" s="59" t="str">
        <f>IF(OR($A8543="",$C8543="",$D8543="",$E8543="",$H8543=""),"",SUMIFS(DATA_GOC!$H:$H,DATA_GOC!$A:$A,"BOM",DATA_GOC!$D:$D,$H8543,DATA_GOC!$E:$E,$C8543,DATA_GOC!$F:$F,"Xuất nội bộ từ téc",DATA_GOC!$B:$B,"&gt;="&amp;$D8543,DATA_GOC!$B:$B,"&lt;="&amp;$E8543))</f>
        <v/>
      </c>
      <c r="J8543" s="59">
        <f t="shared" si="28"/>
        <v>0</v>
      </c>
      <c r="K8543" s="59">
        <f t="shared" si="29"/>
        <v>0</v>
      </c>
      <c r="L8543" s="59">
        <f t="shared" si="30"/>
        <v>0</v>
      </c>
      <c r="M8543" s="59">
        <f t="shared" si="31"/>
        <v>0</v>
      </c>
    </row>
    <row r="8544" ht="15.0" hidden="1" customHeight="1">
      <c r="A8544" s="59">
        <f t="shared" si="20"/>
        <v>139</v>
      </c>
      <c r="B8544" s="59" t="str">
        <f t="shared" si="21"/>
        <v/>
      </c>
      <c r="C8544" s="59" t="str">
        <f t="shared" si="22"/>
        <v/>
      </c>
      <c r="D8544" s="45" t="str">
        <f t="shared" si="23"/>
        <v/>
      </c>
      <c r="E8544" s="45" t="str">
        <f t="shared" si="24"/>
        <v/>
      </c>
      <c r="F8544" s="59" t="str">
        <f t="shared" si="25"/>
        <v/>
      </c>
      <c r="G8544" s="59" t="str">
        <f t="shared" si="26"/>
        <v/>
      </c>
      <c r="H8544" s="59" t="str">
        <f t="shared" si="27"/>
        <v>28H00003</v>
      </c>
      <c r="I8544" s="59" t="str">
        <f>IF(OR($A8544="",$C8544="",$D8544="",$E8544="",$H8544=""),"",SUMIFS(DATA_GOC!$H:$H,DATA_GOC!$A:$A,"BOM",DATA_GOC!$D:$D,$H8544,DATA_GOC!$E:$E,$C8544,DATA_GOC!$F:$F,"Xuất nội bộ từ téc",DATA_GOC!$B:$B,"&gt;="&amp;$D8544,DATA_GOC!$B:$B,"&lt;="&amp;$E8544))</f>
        <v/>
      </c>
      <c r="J8544" s="59">
        <f t="shared" si="28"/>
        <v>0</v>
      </c>
      <c r="K8544" s="59">
        <f t="shared" si="29"/>
        <v>0</v>
      </c>
      <c r="L8544" s="59">
        <f t="shared" si="30"/>
        <v>0</v>
      </c>
      <c r="M8544" s="59">
        <f t="shared" si="31"/>
        <v>0</v>
      </c>
    </row>
    <row r="8545" ht="15.0" hidden="1" customHeight="1">
      <c r="A8545" s="59">
        <f t="shared" si="20"/>
        <v>139</v>
      </c>
      <c r="B8545" s="59" t="str">
        <f t="shared" si="21"/>
        <v/>
      </c>
      <c r="C8545" s="59" t="str">
        <f t="shared" si="22"/>
        <v/>
      </c>
      <c r="D8545" s="45" t="str">
        <f t="shared" si="23"/>
        <v/>
      </c>
      <c r="E8545" s="45" t="str">
        <f t="shared" si="24"/>
        <v/>
      </c>
      <c r="F8545" s="59" t="str">
        <f t="shared" si="25"/>
        <v/>
      </c>
      <c r="G8545" s="59" t="str">
        <f t="shared" si="26"/>
        <v/>
      </c>
      <c r="H8545" s="59" t="str">
        <f t="shared" si="27"/>
        <v>28H00061</v>
      </c>
      <c r="I8545" s="59" t="str">
        <f>IF(OR($A8545="",$C8545="",$D8545="",$E8545="",$H8545=""),"",SUMIFS(DATA_GOC!$H:$H,DATA_GOC!$A:$A,"BOM",DATA_GOC!$D:$D,$H8545,DATA_GOC!$E:$E,$C8545,DATA_GOC!$F:$F,"Xuất nội bộ từ téc",DATA_GOC!$B:$B,"&gt;="&amp;$D8545,DATA_GOC!$B:$B,"&lt;="&amp;$E8545))</f>
        <v/>
      </c>
      <c r="J8545" s="59">
        <f t="shared" si="28"/>
        <v>0</v>
      </c>
      <c r="K8545" s="59">
        <f t="shared" si="29"/>
        <v>0</v>
      </c>
      <c r="L8545" s="59">
        <f t="shared" si="30"/>
        <v>0</v>
      </c>
      <c r="M8545" s="59">
        <f t="shared" si="31"/>
        <v>0</v>
      </c>
    </row>
    <row r="8546" ht="15.0" hidden="1" customHeight="1">
      <c r="A8546" s="59">
        <f t="shared" si="20"/>
        <v>139</v>
      </c>
      <c r="B8546" s="59" t="str">
        <f t="shared" si="21"/>
        <v/>
      </c>
      <c r="C8546" s="59" t="str">
        <f t="shared" si="22"/>
        <v/>
      </c>
      <c r="D8546" s="45" t="str">
        <f t="shared" si="23"/>
        <v/>
      </c>
      <c r="E8546" s="45" t="str">
        <f t="shared" si="24"/>
        <v/>
      </c>
      <c r="F8546" s="59" t="str">
        <f t="shared" si="25"/>
        <v/>
      </c>
      <c r="G8546" s="59" t="str">
        <f t="shared" si="26"/>
        <v/>
      </c>
      <c r="H8546" s="59" t="str">
        <f t="shared" si="27"/>
        <v>28H00354</v>
      </c>
      <c r="I8546" s="59" t="str">
        <f>IF(OR($A8546="",$C8546="",$D8546="",$E8546="",$H8546=""),"",SUMIFS(DATA_GOC!$H:$H,DATA_GOC!$A:$A,"BOM",DATA_GOC!$D:$D,$H8546,DATA_GOC!$E:$E,$C8546,DATA_GOC!$F:$F,"Xuất nội bộ từ téc",DATA_GOC!$B:$B,"&gt;="&amp;$D8546,DATA_GOC!$B:$B,"&lt;="&amp;$E8546))</f>
        <v/>
      </c>
      <c r="J8546" s="59">
        <f t="shared" si="28"/>
        <v>0</v>
      </c>
      <c r="K8546" s="59">
        <f t="shared" si="29"/>
        <v>0</v>
      </c>
      <c r="L8546" s="59">
        <f t="shared" si="30"/>
        <v>0</v>
      </c>
      <c r="M8546" s="59">
        <f t="shared" si="31"/>
        <v>0</v>
      </c>
    </row>
    <row r="8547" ht="15.0" hidden="1" customHeight="1">
      <c r="A8547" s="59">
        <f t="shared" si="20"/>
        <v>139</v>
      </c>
      <c r="B8547" s="59" t="str">
        <f t="shared" si="21"/>
        <v/>
      </c>
      <c r="C8547" s="59" t="str">
        <f t="shared" si="22"/>
        <v/>
      </c>
      <c r="D8547" s="45" t="str">
        <f t="shared" si="23"/>
        <v/>
      </c>
      <c r="E8547" s="45" t="str">
        <f t="shared" si="24"/>
        <v/>
      </c>
      <c r="F8547" s="59" t="str">
        <f t="shared" si="25"/>
        <v/>
      </c>
      <c r="G8547" s="59" t="str">
        <f t="shared" si="26"/>
        <v/>
      </c>
      <c r="H8547" s="59" t="str">
        <f t="shared" si="27"/>
        <v>28H00603</v>
      </c>
      <c r="I8547" s="59" t="str">
        <f>IF(OR($A8547="",$C8547="",$D8547="",$E8547="",$H8547=""),"",SUMIFS(DATA_GOC!$H:$H,DATA_GOC!$A:$A,"BOM",DATA_GOC!$D:$D,$H8547,DATA_GOC!$E:$E,$C8547,DATA_GOC!$F:$F,"Xuất nội bộ từ téc",DATA_GOC!$B:$B,"&gt;="&amp;$D8547,DATA_GOC!$B:$B,"&lt;="&amp;$E8547))</f>
        <v/>
      </c>
      <c r="J8547" s="59">
        <f t="shared" si="28"/>
        <v>0</v>
      </c>
      <c r="K8547" s="59">
        <f t="shared" si="29"/>
        <v>0</v>
      </c>
      <c r="L8547" s="59">
        <f t="shared" si="30"/>
        <v>0</v>
      </c>
      <c r="M8547" s="59">
        <f t="shared" si="31"/>
        <v>0</v>
      </c>
    </row>
    <row r="8548" ht="15.0" hidden="1" customHeight="1">
      <c r="A8548" s="59">
        <f t="shared" si="20"/>
        <v>139</v>
      </c>
      <c r="B8548" s="59" t="str">
        <f t="shared" si="21"/>
        <v/>
      </c>
      <c r="C8548" s="59" t="str">
        <f t="shared" si="22"/>
        <v/>
      </c>
      <c r="D8548" s="45" t="str">
        <f t="shared" si="23"/>
        <v/>
      </c>
      <c r="E8548" s="45" t="str">
        <f t="shared" si="24"/>
        <v/>
      </c>
      <c r="F8548" s="59" t="str">
        <f t="shared" si="25"/>
        <v/>
      </c>
      <c r="G8548" s="59" t="str">
        <f t="shared" si="26"/>
        <v/>
      </c>
      <c r="H8548" s="59" t="str">
        <f t="shared" si="27"/>
        <v>28H00609</v>
      </c>
      <c r="I8548" s="59" t="str">
        <f>IF(OR($A8548="",$C8548="",$D8548="",$E8548="",$H8548=""),"",SUMIFS(DATA_GOC!$H:$H,DATA_GOC!$A:$A,"BOM",DATA_GOC!$D:$D,$H8548,DATA_GOC!$E:$E,$C8548,DATA_GOC!$F:$F,"Xuất nội bộ từ téc",DATA_GOC!$B:$B,"&gt;="&amp;$D8548,DATA_GOC!$B:$B,"&lt;="&amp;$E8548))</f>
        <v/>
      </c>
      <c r="J8548" s="59">
        <f t="shared" si="28"/>
        <v>0</v>
      </c>
      <c r="K8548" s="59">
        <f t="shared" si="29"/>
        <v>0</v>
      </c>
      <c r="L8548" s="59">
        <f t="shared" si="30"/>
        <v>0</v>
      </c>
      <c r="M8548" s="59">
        <f t="shared" si="31"/>
        <v>0</v>
      </c>
    </row>
    <row r="8549" ht="15.0" hidden="1" customHeight="1">
      <c r="A8549" s="59">
        <f t="shared" si="20"/>
        <v>139</v>
      </c>
      <c r="B8549" s="59" t="str">
        <f t="shared" si="21"/>
        <v/>
      </c>
      <c r="C8549" s="59" t="str">
        <f t="shared" si="22"/>
        <v/>
      </c>
      <c r="D8549" s="45" t="str">
        <f t="shared" si="23"/>
        <v/>
      </c>
      <c r="E8549" s="45" t="str">
        <f t="shared" si="24"/>
        <v/>
      </c>
      <c r="F8549" s="59" t="str">
        <f t="shared" si="25"/>
        <v/>
      </c>
      <c r="G8549" s="59" t="str">
        <f t="shared" si="26"/>
        <v/>
      </c>
      <c r="H8549" s="59" t="str">
        <f t="shared" si="27"/>
        <v>28H00669</v>
      </c>
      <c r="I8549" s="59" t="str">
        <f>IF(OR($A8549="",$C8549="",$D8549="",$E8549="",$H8549=""),"",SUMIFS(DATA_GOC!$H:$H,DATA_GOC!$A:$A,"BOM",DATA_GOC!$D:$D,$H8549,DATA_GOC!$E:$E,$C8549,DATA_GOC!$F:$F,"Xuất nội bộ từ téc",DATA_GOC!$B:$B,"&gt;="&amp;$D8549,DATA_GOC!$B:$B,"&lt;="&amp;$E8549))</f>
        <v/>
      </c>
      <c r="J8549" s="59">
        <f t="shared" si="28"/>
        <v>0</v>
      </c>
      <c r="K8549" s="59">
        <f t="shared" si="29"/>
        <v>0</v>
      </c>
      <c r="L8549" s="59">
        <f t="shared" si="30"/>
        <v>0</v>
      </c>
      <c r="M8549" s="59">
        <f t="shared" si="31"/>
        <v>0</v>
      </c>
    </row>
    <row r="8550" ht="15.0" hidden="1" customHeight="1">
      <c r="A8550" s="59">
        <f t="shared" si="20"/>
        <v>139</v>
      </c>
      <c r="B8550" s="59" t="str">
        <f t="shared" si="21"/>
        <v/>
      </c>
      <c r="C8550" s="59" t="str">
        <f t="shared" si="22"/>
        <v/>
      </c>
      <c r="D8550" s="45" t="str">
        <f t="shared" si="23"/>
        <v/>
      </c>
      <c r="E8550" s="45" t="str">
        <f t="shared" si="24"/>
        <v/>
      </c>
      <c r="F8550" s="59" t="str">
        <f t="shared" si="25"/>
        <v/>
      </c>
      <c r="G8550" s="59" t="str">
        <f t="shared" si="26"/>
        <v/>
      </c>
      <c r="H8550" s="59" t="str">
        <f t="shared" si="27"/>
        <v>28H00680</v>
      </c>
      <c r="I8550" s="59" t="str">
        <f>IF(OR($A8550="",$C8550="",$D8550="",$E8550="",$H8550=""),"",SUMIFS(DATA_GOC!$H:$H,DATA_GOC!$A:$A,"BOM",DATA_GOC!$D:$D,$H8550,DATA_GOC!$E:$E,$C8550,DATA_GOC!$F:$F,"Xuất nội bộ từ téc",DATA_GOC!$B:$B,"&gt;="&amp;$D8550,DATA_GOC!$B:$B,"&lt;="&amp;$E8550))</f>
        <v/>
      </c>
      <c r="J8550" s="59">
        <f t="shared" si="28"/>
        <v>0</v>
      </c>
      <c r="K8550" s="59">
        <f t="shared" si="29"/>
        <v>0</v>
      </c>
      <c r="L8550" s="59">
        <f t="shared" si="30"/>
        <v>0</v>
      </c>
      <c r="M8550" s="59">
        <f t="shared" si="31"/>
        <v>0</v>
      </c>
    </row>
    <row r="8551" ht="15.0" hidden="1" customHeight="1">
      <c r="A8551" s="59">
        <f t="shared" si="20"/>
        <v>139</v>
      </c>
      <c r="B8551" s="59" t="str">
        <f t="shared" si="21"/>
        <v/>
      </c>
      <c r="C8551" s="59" t="str">
        <f t="shared" si="22"/>
        <v/>
      </c>
      <c r="D8551" s="45" t="str">
        <f t="shared" si="23"/>
        <v/>
      </c>
      <c r="E8551" s="45" t="str">
        <f t="shared" si="24"/>
        <v/>
      </c>
      <c r="F8551" s="59" t="str">
        <f t="shared" si="25"/>
        <v/>
      </c>
      <c r="G8551" s="59" t="str">
        <f t="shared" si="26"/>
        <v/>
      </c>
      <c r="H8551" s="59" t="str">
        <f t="shared" si="27"/>
        <v>28H01070</v>
      </c>
      <c r="I8551" s="59" t="str">
        <f>IF(OR($A8551="",$C8551="",$D8551="",$E8551="",$H8551=""),"",SUMIFS(DATA_GOC!$H:$H,DATA_GOC!$A:$A,"BOM",DATA_GOC!$D:$D,$H8551,DATA_GOC!$E:$E,$C8551,DATA_GOC!$F:$F,"Xuất nội bộ từ téc",DATA_GOC!$B:$B,"&gt;="&amp;$D8551,DATA_GOC!$B:$B,"&lt;="&amp;$E8551))</f>
        <v/>
      </c>
      <c r="J8551" s="59">
        <f t="shared" si="28"/>
        <v>0</v>
      </c>
      <c r="K8551" s="59">
        <f t="shared" si="29"/>
        <v>0</v>
      </c>
      <c r="L8551" s="59">
        <f t="shared" si="30"/>
        <v>0</v>
      </c>
      <c r="M8551" s="59">
        <f t="shared" si="31"/>
        <v>0</v>
      </c>
    </row>
    <row r="8552" ht="15.0" hidden="1" customHeight="1">
      <c r="A8552" s="59">
        <f t="shared" si="20"/>
        <v>139</v>
      </c>
      <c r="B8552" s="59" t="str">
        <f t="shared" si="21"/>
        <v/>
      </c>
      <c r="C8552" s="59" t="str">
        <f t="shared" si="22"/>
        <v/>
      </c>
      <c r="D8552" s="45" t="str">
        <f t="shared" si="23"/>
        <v/>
      </c>
      <c r="E8552" s="45" t="str">
        <f t="shared" si="24"/>
        <v/>
      </c>
      <c r="F8552" s="59" t="str">
        <f t="shared" si="25"/>
        <v/>
      </c>
      <c r="G8552" s="59" t="str">
        <f t="shared" si="26"/>
        <v/>
      </c>
      <c r="H8552" s="59" t="str">
        <f t="shared" si="27"/>
        <v>28H01364</v>
      </c>
      <c r="I8552" s="59" t="str">
        <f>IF(OR($A8552="",$C8552="",$D8552="",$E8552="",$H8552=""),"",SUMIFS(DATA_GOC!$H:$H,DATA_GOC!$A:$A,"BOM",DATA_GOC!$D:$D,$H8552,DATA_GOC!$E:$E,$C8552,DATA_GOC!$F:$F,"Xuất nội bộ từ téc",DATA_GOC!$B:$B,"&gt;="&amp;$D8552,DATA_GOC!$B:$B,"&lt;="&amp;$E8552))</f>
        <v/>
      </c>
      <c r="J8552" s="59">
        <f t="shared" si="28"/>
        <v>0</v>
      </c>
      <c r="K8552" s="59">
        <f t="shared" si="29"/>
        <v>0</v>
      </c>
      <c r="L8552" s="59">
        <f t="shared" si="30"/>
        <v>0</v>
      </c>
      <c r="M8552" s="59">
        <f t="shared" si="31"/>
        <v>0</v>
      </c>
    </row>
    <row r="8553" ht="15.0" hidden="1" customHeight="1">
      <c r="A8553" s="59">
        <f t="shared" si="20"/>
        <v>139</v>
      </c>
      <c r="B8553" s="59" t="str">
        <f t="shared" si="21"/>
        <v/>
      </c>
      <c r="C8553" s="59" t="str">
        <f t="shared" si="22"/>
        <v/>
      </c>
      <c r="D8553" s="45" t="str">
        <f t="shared" si="23"/>
        <v/>
      </c>
      <c r="E8553" s="45" t="str">
        <f t="shared" si="24"/>
        <v/>
      </c>
      <c r="F8553" s="59" t="str">
        <f t="shared" si="25"/>
        <v/>
      </c>
      <c r="G8553" s="59" t="str">
        <f t="shared" si="26"/>
        <v/>
      </c>
      <c r="H8553" s="59" t="str">
        <f t="shared" si="27"/>
        <v>29E17269</v>
      </c>
      <c r="I8553" s="59" t="str">
        <f>IF(OR($A8553="",$C8553="",$D8553="",$E8553="",$H8553=""),"",SUMIFS(DATA_GOC!$H:$H,DATA_GOC!$A:$A,"BOM",DATA_GOC!$D:$D,$H8553,DATA_GOC!$E:$E,$C8553,DATA_GOC!$F:$F,"Xuất nội bộ từ téc",DATA_GOC!$B:$B,"&gt;="&amp;$D8553,DATA_GOC!$B:$B,"&lt;="&amp;$E8553))</f>
        <v/>
      </c>
      <c r="J8553" s="59">
        <f t="shared" si="28"/>
        <v>0</v>
      </c>
      <c r="K8553" s="59">
        <f t="shared" si="29"/>
        <v>0</v>
      </c>
      <c r="L8553" s="59">
        <f t="shared" si="30"/>
        <v>0</v>
      </c>
      <c r="M8553" s="59">
        <f t="shared" si="31"/>
        <v>0</v>
      </c>
    </row>
    <row r="8554" ht="15.0" hidden="1" customHeight="1">
      <c r="A8554" s="59">
        <f t="shared" si="20"/>
        <v>139</v>
      </c>
      <c r="B8554" s="59" t="str">
        <f t="shared" si="21"/>
        <v/>
      </c>
      <c r="C8554" s="59" t="str">
        <f t="shared" si="22"/>
        <v/>
      </c>
      <c r="D8554" s="45" t="str">
        <f t="shared" si="23"/>
        <v/>
      </c>
      <c r="E8554" s="45" t="str">
        <f t="shared" si="24"/>
        <v/>
      </c>
      <c r="F8554" s="59" t="str">
        <f t="shared" si="25"/>
        <v/>
      </c>
      <c r="G8554" s="59" t="str">
        <f t="shared" si="26"/>
        <v/>
      </c>
      <c r="H8554" s="59" t="str">
        <f t="shared" si="27"/>
        <v>29E17273</v>
      </c>
      <c r="I8554" s="59" t="str">
        <f>IF(OR($A8554="",$C8554="",$D8554="",$E8554="",$H8554=""),"",SUMIFS(DATA_GOC!$H:$H,DATA_GOC!$A:$A,"BOM",DATA_GOC!$D:$D,$H8554,DATA_GOC!$E:$E,$C8554,DATA_GOC!$F:$F,"Xuất nội bộ từ téc",DATA_GOC!$B:$B,"&gt;="&amp;$D8554,DATA_GOC!$B:$B,"&lt;="&amp;$E8554))</f>
        <v/>
      </c>
      <c r="J8554" s="59">
        <f t="shared" si="28"/>
        <v>0</v>
      </c>
      <c r="K8554" s="59">
        <f t="shared" si="29"/>
        <v>0</v>
      </c>
      <c r="L8554" s="59">
        <f t="shared" si="30"/>
        <v>0</v>
      </c>
      <c r="M8554" s="59">
        <f t="shared" si="31"/>
        <v>0</v>
      </c>
    </row>
    <row r="8555" ht="15.0" hidden="1" customHeight="1">
      <c r="A8555" s="59">
        <f t="shared" si="20"/>
        <v>139</v>
      </c>
      <c r="B8555" s="59" t="str">
        <f t="shared" si="21"/>
        <v/>
      </c>
      <c r="C8555" s="59" t="str">
        <f t="shared" si="22"/>
        <v/>
      </c>
      <c r="D8555" s="45" t="str">
        <f t="shared" si="23"/>
        <v/>
      </c>
      <c r="E8555" s="45" t="str">
        <f t="shared" si="24"/>
        <v/>
      </c>
      <c r="F8555" s="59" t="str">
        <f t="shared" si="25"/>
        <v/>
      </c>
      <c r="G8555" s="59" t="str">
        <f t="shared" si="26"/>
        <v/>
      </c>
      <c r="H8555" s="59" t="str">
        <f t="shared" si="27"/>
        <v>29E17410</v>
      </c>
      <c r="I8555" s="59" t="str">
        <f>IF(OR($A8555="",$C8555="",$D8555="",$E8555="",$H8555=""),"",SUMIFS(DATA_GOC!$H:$H,DATA_GOC!$A:$A,"BOM",DATA_GOC!$D:$D,$H8555,DATA_GOC!$E:$E,$C8555,DATA_GOC!$F:$F,"Xuất nội bộ từ téc",DATA_GOC!$B:$B,"&gt;="&amp;$D8555,DATA_GOC!$B:$B,"&lt;="&amp;$E8555))</f>
        <v/>
      </c>
      <c r="J8555" s="59">
        <f t="shared" si="28"/>
        <v>0</v>
      </c>
      <c r="K8555" s="59">
        <f t="shared" si="29"/>
        <v>0</v>
      </c>
      <c r="L8555" s="59">
        <f t="shared" si="30"/>
        <v>0</v>
      </c>
      <c r="M8555" s="59">
        <f t="shared" si="31"/>
        <v>0</v>
      </c>
    </row>
    <row r="8556" ht="15.0" hidden="1" customHeight="1">
      <c r="A8556" s="59">
        <f t="shared" si="20"/>
        <v>139</v>
      </c>
      <c r="B8556" s="59" t="str">
        <f t="shared" si="21"/>
        <v/>
      </c>
      <c r="C8556" s="59" t="str">
        <f t="shared" si="22"/>
        <v/>
      </c>
      <c r="D8556" s="45" t="str">
        <f t="shared" si="23"/>
        <v/>
      </c>
      <c r="E8556" s="45" t="str">
        <f t="shared" si="24"/>
        <v/>
      </c>
      <c r="F8556" s="59" t="str">
        <f t="shared" si="25"/>
        <v/>
      </c>
      <c r="G8556" s="59" t="str">
        <f t="shared" si="26"/>
        <v/>
      </c>
      <c r="H8556" s="59" t="str">
        <f t="shared" si="27"/>
        <v>29E17417</v>
      </c>
      <c r="I8556" s="59" t="str">
        <f>IF(OR($A8556="",$C8556="",$D8556="",$E8556="",$H8556=""),"",SUMIFS(DATA_GOC!$H:$H,DATA_GOC!$A:$A,"BOM",DATA_GOC!$D:$D,$H8556,DATA_GOC!$E:$E,$C8556,DATA_GOC!$F:$F,"Xuất nội bộ từ téc",DATA_GOC!$B:$B,"&gt;="&amp;$D8556,DATA_GOC!$B:$B,"&lt;="&amp;$E8556))</f>
        <v/>
      </c>
      <c r="J8556" s="59">
        <f t="shared" si="28"/>
        <v>0</v>
      </c>
      <c r="K8556" s="59">
        <f t="shared" si="29"/>
        <v>0</v>
      </c>
      <c r="L8556" s="59">
        <f t="shared" si="30"/>
        <v>0</v>
      </c>
      <c r="M8556" s="59">
        <f t="shared" si="31"/>
        <v>0</v>
      </c>
    </row>
    <row r="8557" ht="15.0" hidden="1" customHeight="1">
      <c r="A8557" s="59">
        <f t="shared" si="20"/>
        <v>139</v>
      </c>
      <c r="B8557" s="59" t="str">
        <f t="shared" si="21"/>
        <v/>
      </c>
      <c r="C8557" s="59" t="str">
        <f t="shared" si="22"/>
        <v/>
      </c>
      <c r="D8557" s="45" t="str">
        <f t="shared" si="23"/>
        <v/>
      </c>
      <c r="E8557" s="45" t="str">
        <f t="shared" si="24"/>
        <v/>
      </c>
      <c r="F8557" s="59" t="str">
        <f t="shared" si="25"/>
        <v/>
      </c>
      <c r="G8557" s="59" t="str">
        <f t="shared" si="26"/>
        <v/>
      </c>
      <c r="H8557" s="59" t="str">
        <f t="shared" si="27"/>
        <v>29E17539</v>
      </c>
      <c r="I8557" s="59" t="str">
        <f>IF(OR($A8557="",$C8557="",$D8557="",$E8557="",$H8557=""),"",SUMIFS(DATA_GOC!$H:$H,DATA_GOC!$A:$A,"BOM",DATA_GOC!$D:$D,$H8557,DATA_GOC!$E:$E,$C8557,DATA_GOC!$F:$F,"Xuất nội bộ từ téc",DATA_GOC!$B:$B,"&gt;="&amp;$D8557,DATA_GOC!$B:$B,"&lt;="&amp;$E8557))</f>
        <v/>
      </c>
      <c r="J8557" s="59">
        <f t="shared" si="28"/>
        <v>0</v>
      </c>
      <c r="K8557" s="59">
        <f t="shared" si="29"/>
        <v>0</v>
      </c>
      <c r="L8557" s="59">
        <f t="shared" si="30"/>
        <v>0</v>
      </c>
      <c r="M8557" s="59">
        <f t="shared" si="31"/>
        <v>0</v>
      </c>
    </row>
    <row r="8558" ht="15.0" hidden="1" customHeight="1">
      <c r="A8558" s="59">
        <f t="shared" si="20"/>
        <v>139</v>
      </c>
      <c r="B8558" s="59" t="str">
        <f t="shared" si="21"/>
        <v/>
      </c>
      <c r="C8558" s="59" t="str">
        <f t="shared" si="22"/>
        <v/>
      </c>
      <c r="D8558" s="45" t="str">
        <f t="shared" si="23"/>
        <v/>
      </c>
      <c r="E8558" s="45" t="str">
        <f t="shared" si="24"/>
        <v/>
      </c>
      <c r="F8558" s="59" t="str">
        <f t="shared" si="25"/>
        <v/>
      </c>
      <c r="G8558" s="59" t="str">
        <f t="shared" si="26"/>
        <v/>
      </c>
      <c r="H8558" s="59" t="str">
        <f t="shared" si="27"/>
        <v>29E18160</v>
      </c>
      <c r="I8558" s="59" t="str">
        <f>IF(OR($A8558="",$C8558="",$D8558="",$E8558="",$H8558=""),"",SUMIFS(DATA_GOC!$H:$H,DATA_GOC!$A:$A,"BOM",DATA_GOC!$D:$D,$H8558,DATA_GOC!$E:$E,$C8558,DATA_GOC!$F:$F,"Xuất nội bộ từ téc",DATA_GOC!$B:$B,"&gt;="&amp;$D8558,DATA_GOC!$B:$B,"&lt;="&amp;$E8558))</f>
        <v/>
      </c>
      <c r="J8558" s="59">
        <f t="shared" si="28"/>
        <v>0</v>
      </c>
      <c r="K8558" s="59">
        <f t="shared" si="29"/>
        <v>0</v>
      </c>
      <c r="L8558" s="59">
        <f t="shared" si="30"/>
        <v>0</v>
      </c>
      <c r="M8558" s="59">
        <f t="shared" si="31"/>
        <v>0</v>
      </c>
    </row>
    <row r="8559" ht="15.0" hidden="1" customHeight="1">
      <c r="A8559" s="59">
        <f t="shared" si="20"/>
        <v>139</v>
      </c>
      <c r="B8559" s="59" t="str">
        <f t="shared" si="21"/>
        <v/>
      </c>
      <c r="C8559" s="59" t="str">
        <f t="shared" si="22"/>
        <v/>
      </c>
      <c r="D8559" s="45" t="str">
        <f t="shared" si="23"/>
        <v/>
      </c>
      <c r="E8559" s="45" t="str">
        <f t="shared" si="24"/>
        <v/>
      </c>
      <c r="F8559" s="59" t="str">
        <f t="shared" si="25"/>
        <v/>
      </c>
      <c r="G8559" s="59" t="str">
        <f t="shared" si="26"/>
        <v/>
      </c>
      <c r="H8559" s="59" t="str">
        <f t="shared" si="27"/>
        <v>Công trình Asphalt</v>
      </c>
      <c r="I8559" s="59" t="str">
        <f>IF(OR($A8559="",$C8559="",$D8559="",$E8559="",$H8559=""),"",SUMIFS(DATA_GOC!$H:$H,DATA_GOC!$A:$A,"BOM",DATA_GOC!$D:$D,$H8559,DATA_GOC!$E:$E,$C8559,DATA_GOC!$F:$F,"Xuất nội bộ từ téc",DATA_GOC!$B:$B,"&gt;="&amp;$D8559,DATA_GOC!$B:$B,"&lt;="&amp;$E8559))</f>
        <v/>
      </c>
      <c r="J8559" s="59">
        <f t="shared" si="28"/>
        <v>0</v>
      </c>
      <c r="K8559" s="59">
        <f t="shared" si="29"/>
        <v>0</v>
      </c>
      <c r="L8559" s="59">
        <f t="shared" si="30"/>
        <v>0</v>
      </c>
      <c r="M8559" s="59">
        <f t="shared" si="31"/>
        <v>0</v>
      </c>
    </row>
    <row r="8560" ht="15.0" hidden="1" customHeight="1">
      <c r="A8560" s="59">
        <f t="shared" si="20"/>
        <v>139</v>
      </c>
      <c r="B8560" s="59" t="str">
        <f t="shared" si="21"/>
        <v/>
      </c>
      <c r="C8560" s="59" t="str">
        <f t="shared" si="22"/>
        <v/>
      </c>
      <c r="D8560" s="45" t="str">
        <f t="shared" si="23"/>
        <v/>
      </c>
      <c r="E8560" s="45" t="str">
        <f t="shared" si="24"/>
        <v/>
      </c>
      <c r="F8560" s="59" t="str">
        <f t="shared" si="25"/>
        <v/>
      </c>
      <c r="G8560" s="59" t="str">
        <f t="shared" si="26"/>
        <v/>
      </c>
      <c r="H8560" s="59" t="str">
        <f t="shared" si="27"/>
        <v>LG53F</v>
      </c>
      <c r="I8560" s="59" t="str">
        <f>IF(OR($A8560="",$C8560="",$D8560="",$E8560="",$H8560=""),"",SUMIFS(DATA_GOC!$H:$H,DATA_GOC!$A:$A,"BOM",DATA_GOC!$D:$D,$H8560,DATA_GOC!$E:$E,$C8560,DATA_GOC!$F:$F,"Xuất nội bộ từ téc",DATA_GOC!$B:$B,"&gt;="&amp;$D8560,DATA_GOC!$B:$B,"&lt;="&amp;$E8560))</f>
        <v/>
      </c>
      <c r="J8560" s="59">
        <f t="shared" si="28"/>
        <v>0</v>
      </c>
      <c r="K8560" s="59">
        <f t="shared" si="29"/>
        <v>0</v>
      </c>
      <c r="L8560" s="59">
        <f t="shared" si="30"/>
        <v>0</v>
      </c>
      <c r="M8560" s="59">
        <f t="shared" si="31"/>
        <v>0</v>
      </c>
    </row>
    <row r="8561" ht="15.0" hidden="1" customHeight="1">
      <c r="A8561" s="59">
        <f t="shared" si="20"/>
        <v>139</v>
      </c>
      <c r="B8561" s="59" t="str">
        <f t="shared" si="21"/>
        <v/>
      </c>
      <c r="C8561" s="59" t="str">
        <f t="shared" si="22"/>
        <v/>
      </c>
      <c r="D8561" s="45" t="str">
        <f t="shared" si="23"/>
        <v/>
      </c>
      <c r="E8561" s="45" t="str">
        <f t="shared" si="24"/>
        <v/>
      </c>
      <c r="F8561" s="59" t="str">
        <f t="shared" si="25"/>
        <v/>
      </c>
      <c r="G8561" s="59" t="str">
        <f t="shared" si="26"/>
        <v/>
      </c>
      <c r="H8561" s="59" t="str">
        <f t="shared" si="27"/>
        <v>Máy phát điện</v>
      </c>
      <c r="I8561" s="59" t="str">
        <f>IF(OR($A8561="",$C8561="",$D8561="",$E8561="",$H8561=""),"",SUMIFS(DATA_GOC!$H:$H,DATA_GOC!$A:$A,"BOM",DATA_GOC!$D:$D,$H8561,DATA_GOC!$E:$E,$C8561,DATA_GOC!$F:$F,"Xuất nội bộ từ téc",DATA_GOC!$B:$B,"&gt;="&amp;$D8561,DATA_GOC!$B:$B,"&lt;="&amp;$E8561))</f>
        <v/>
      </c>
      <c r="J8561" s="59">
        <f t="shared" si="28"/>
        <v>0</v>
      </c>
      <c r="K8561" s="59">
        <f t="shared" si="29"/>
        <v>0</v>
      </c>
      <c r="L8561" s="59">
        <f t="shared" si="30"/>
        <v>0</v>
      </c>
      <c r="M8561" s="59">
        <f t="shared" si="31"/>
        <v>0</v>
      </c>
    </row>
    <row r="8562" ht="15.0" hidden="1" customHeight="1">
      <c r="A8562" s="59">
        <f t="shared" si="20"/>
        <v>139</v>
      </c>
      <c r="B8562" s="59" t="str">
        <f t="shared" si="21"/>
        <v/>
      </c>
      <c r="C8562" s="59" t="str">
        <f t="shared" si="22"/>
        <v/>
      </c>
      <c r="D8562" s="45" t="str">
        <f t="shared" si="23"/>
        <v/>
      </c>
      <c r="E8562" s="45" t="str">
        <f t="shared" si="24"/>
        <v/>
      </c>
      <c r="F8562" s="59" t="str">
        <f t="shared" si="25"/>
        <v/>
      </c>
      <c r="G8562" s="59" t="str">
        <f t="shared" si="26"/>
        <v/>
      </c>
      <c r="H8562" s="59" t="str">
        <f t="shared" si="27"/>
        <v>Máy rải thảm</v>
      </c>
      <c r="I8562" s="59" t="str">
        <f>IF(OR($A8562="",$C8562="",$D8562="",$E8562="",$H8562=""),"",SUMIFS(DATA_GOC!$H:$H,DATA_GOC!$A:$A,"BOM",DATA_GOC!$D:$D,$H8562,DATA_GOC!$E:$E,$C8562,DATA_GOC!$F:$F,"Xuất nội bộ từ téc",DATA_GOC!$B:$B,"&gt;="&amp;$D8562,DATA_GOC!$B:$B,"&lt;="&amp;$E8562))</f>
        <v/>
      </c>
      <c r="J8562" s="59">
        <f t="shared" si="28"/>
        <v>0</v>
      </c>
      <c r="K8562" s="59">
        <f t="shared" si="29"/>
        <v>0</v>
      </c>
      <c r="L8562" s="59">
        <f t="shared" si="30"/>
        <v>0</v>
      </c>
      <c r="M8562" s="59">
        <f t="shared" si="31"/>
        <v>0</v>
      </c>
    </row>
    <row r="8563" ht="15.0" hidden="1" customHeight="1">
      <c r="A8563" s="59">
        <f t="shared" si="20"/>
        <v>139</v>
      </c>
      <c r="B8563" s="59" t="str">
        <f t="shared" si="21"/>
        <v/>
      </c>
      <c r="C8563" s="59" t="str">
        <f t="shared" si="22"/>
        <v/>
      </c>
      <c r="D8563" s="45" t="str">
        <f t="shared" si="23"/>
        <v/>
      </c>
      <c r="E8563" s="45" t="str">
        <f t="shared" si="24"/>
        <v/>
      </c>
      <c r="F8563" s="59" t="str">
        <f t="shared" si="25"/>
        <v/>
      </c>
      <c r="G8563" s="59" t="str">
        <f t="shared" si="26"/>
        <v/>
      </c>
      <c r="H8563" s="59" t="str">
        <f t="shared" si="27"/>
        <v>Xúc Đào</v>
      </c>
      <c r="I8563" s="59" t="str">
        <f>IF(OR($A8563="",$C8563="",$D8563="",$E8563="",$H8563=""),"",SUMIFS(DATA_GOC!$H:$H,DATA_GOC!$A:$A,"BOM",DATA_GOC!$D:$D,$H8563,DATA_GOC!$E:$E,$C8563,DATA_GOC!$F:$F,"Xuất nội bộ từ téc",DATA_GOC!$B:$B,"&gt;="&amp;$D8563,DATA_GOC!$B:$B,"&lt;="&amp;$E8563))</f>
        <v/>
      </c>
      <c r="J8563" s="59">
        <f t="shared" si="28"/>
        <v>0</v>
      </c>
      <c r="K8563" s="59">
        <f t="shared" si="29"/>
        <v>0</v>
      </c>
      <c r="L8563" s="59">
        <f t="shared" si="30"/>
        <v>0</v>
      </c>
      <c r="M8563" s="59">
        <f t="shared" si="31"/>
        <v>0</v>
      </c>
    </row>
    <row r="8564" ht="15.0" hidden="1" customHeight="1">
      <c r="A8564" s="59">
        <f t="shared" si="20"/>
        <v>139</v>
      </c>
      <c r="B8564" s="59" t="str">
        <f t="shared" si="21"/>
        <v/>
      </c>
      <c r="C8564" s="59" t="str">
        <f t="shared" si="22"/>
        <v/>
      </c>
      <c r="D8564" s="45" t="str">
        <f t="shared" si="23"/>
        <v/>
      </c>
      <c r="E8564" s="45" t="str">
        <f t="shared" si="24"/>
        <v/>
      </c>
      <c r="F8564" s="59" t="str">
        <f t="shared" si="25"/>
        <v/>
      </c>
      <c r="G8564" s="59" t="str">
        <f t="shared" si="26"/>
        <v/>
      </c>
      <c r="H8564" s="59" t="str">
        <f t="shared" si="27"/>
        <v>Xúclật asphalt</v>
      </c>
      <c r="I8564" s="59" t="str">
        <f>IF(OR($A8564="",$C8564="",$D8564="",$E8564="",$H8564=""),"",SUMIFS(DATA_GOC!$H:$H,DATA_GOC!$A:$A,"BOM",DATA_GOC!$D:$D,$H8564,DATA_GOC!$E:$E,$C8564,DATA_GOC!$F:$F,"Xuất nội bộ từ téc",DATA_GOC!$B:$B,"&gt;="&amp;$D8564,DATA_GOC!$B:$B,"&lt;="&amp;$E8564))</f>
        <v/>
      </c>
      <c r="J8564" s="59">
        <f t="shared" si="28"/>
        <v>0</v>
      </c>
      <c r="K8564" s="59">
        <f t="shared" si="29"/>
        <v>0</v>
      </c>
      <c r="L8564" s="59">
        <f t="shared" si="30"/>
        <v>0</v>
      </c>
      <c r="M8564" s="59">
        <f t="shared" si="31"/>
        <v>0</v>
      </c>
    </row>
    <row r="8565" ht="15.0" hidden="1" customHeight="1">
      <c r="A8565" s="59">
        <f t="shared" si="20"/>
        <v>139</v>
      </c>
      <c r="B8565" s="59" t="str">
        <f t="shared" si="21"/>
        <v/>
      </c>
      <c r="C8565" s="59" t="str">
        <f t="shared" si="22"/>
        <v/>
      </c>
      <c r="D8565" s="45" t="str">
        <f t="shared" si="23"/>
        <v/>
      </c>
      <c r="E8565" s="45" t="str">
        <f t="shared" si="24"/>
        <v/>
      </c>
      <c r="F8565" s="59" t="str">
        <f t="shared" si="25"/>
        <v/>
      </c>
      <c r="G8565" s="59" t="str">
        <f t="shared" si="26"/>
        <v/>
      </c>
      <c r="H8565" s="59" t="str">
        <f t="shared" si="27"/>
        <v>Xúclật855H</v>
      </c>
      <c r="I8565" s="59" t="str">
        <f>IF(OR($A8565="",$C8565="",$D8565="",$E8565="",$H8565=""),"",SUMIFS(DATA_GOC!$H:$H,DATA_GOC!$A:$A,"BOM",DATA_GOC!$D:$D,$H8565,DATA_GOC!$E:$E,$C8565,DATA_GOC!$F:$F,"Xuất nội bộ từ téc",DATA_GOC!$B:$B,"&gt;="&amp;$D8565,DATA_GOC!$B:$B,"&lt;="&amp;$E8565))</f>
        <v/>
      </c>
      <c r="J8565" s="59">
        <f t="shared" si="28"/>
        <v>0</v>
      </c>
      <c r="K8565" s="59">
        <f t="shared" si="29"/>
        <v>0</v>
      </c>
      <c r="L8565" s="59">
        <f t="shared" si="30"/>
        <v>0</v>
      </c>
      <c r="M8565" s="59">
        <f t="shared" si="31"/>
        <v>0</v>
      </c>
    </row>
    <row r="8566" ht="15.0" hidden="1" customHeight="1">
      <c r="A8566" s="59">
        <f t="shared" si="20"/>
        <v>139</v>
      </c>
      <c r="B8566" s="59" t="str">
        <f t="shared" si="21"/>
        <v/>
      </c>
      <c r="C8566" s="59" t="str">
        <f t="shared" si="22"/>
        <v/>
      </c>
      <c r="D8566" s="45" t="str">
        <f t="shared" si="23"/>
        <v/>
      </c>
      <c r="E8566" s="45" t="str">
        <f t="shared" si="24"/>
        <v/>
      </c>
      <c r="F8566" s="59" t="str">
        <f t="shared" si="25"/>
        <v/>
      </c>
      <c r="G8566" s="59" t="str">
        <f t="shared" si="26"/>
        <v/>
      </c>
      <c r="H8566" s="59" t="str">
        <f t="shared" si="27"/>
        <v>Xúclật855N</v>
      </c>
      <c r="I8566" s="59" t="str">
        <f>IF(OR($A8566="",$C8566="",$D8566="",$E8566="",$H8566=""),"",SUMIFS(DATA_GOC!$H:$H,DATA_GOC!$A:$A,"BOM",DATA_GOC!$D:$D,$H8566,DATA_GOC!$E:$E,$C8566,DATA_GOC!$F:$F,"Xuất nội bộ từ téc",DATA_GOC!$B:$B,"&gt;="&amp;$D8566,DATA_GOC!$B:$B,"&lt;="&amp;$E8566))</f>
        <v/>
      </c>
      <c r="J8566" s="59">
        <f t="shared" si="28"/>
        <v>0</v>
      </c>
      <c r="K8566" s="59">
        <f t="shared" si="29"/>
        <v>0</v>
      </c>
      <c r="L8566" s="59">
        <f t="shared" si="30"/>
        <v>0</v>
      </c>
      <c r="M8566" s="59">
        <f t="shared" si="31"/>
        <v>0</v>
      </c>
    </row>
    <row r="8567" ht="15.0" hidden="1" customHeight="1">
      <c r="A8567" s="59">
        <f t="shared" si="20"/>
        <v>139</v>
      </c>
      <c r="B8567" s="59" t="str">
        <f t="shared" si="21"/>
        <v/>
      </c>
      <c r="C8567" s="59" t="str">
        <f t="shared" si="22"/>
        <v/>
      </c>
      <c r="D8567" s="45" t="str">
        <f t="shared" si="23"/>
        <v/>
      </c>
      <c r="E8567" s="45" t="str">
        <f t="shared" si="24"/>
        <v/>
      </c>
      <c r="F8567" s="59" t="str">
        <f t="shared" si="25"/>
        <v/>
      </c>
      <c r="G8567" s="59" t="str">
        <f t="shared" si="26"/>
        <v/>
      </c>
      <c r="H8567" s="59" t="str">
        <f t="shared" si="27"/>
        <v>Cát nghiền</v>
      </c>
      <c r="I8567" s="59" t="str">
        <f>IF(OR($A8567="",$C8567="",$D8567="",$E8567="",$H8567=""),"",SUMIFS(DATA_GOC!$H:$H,DATA_GOC!$A:$A,"BOM",DATA_GOC!$D:$D,$H8567,DATA_GOC!$E:$E,$C8567,DATA_GOC!$F:$F,"Xuất nội bộ từ téc",DATA_GOC!$B:$B,"&gt;="&amp;$D8567,DATA_GOC!$B:$B,"&lt;="&amp;$E8567))</f>
        <v/>
      </c>
      <c r="J8567" s="59">
        <f t="shared" si="28"/>
        <v>0</v>
      </c>
      <c r="K8567" s="59">
        <f t="shared" si="29"/>
        <v>0</v>
      </c>
      <c r="L8567" s="59">
        <f t="shared" si="30"/>
        <v>0</v>
      </c>
      <c r="M8567" s="59">
        <f t="shared" si="31"/>
        <v>0</v>
      </c>
    </row>
    <row r="8568" ht="15.0" hidden="1" customHeight="1">
      <c r="A8568" s="59">
        <f t="shared" si="20"/>
        <v>139</v>
      </c>
      <c r="B8568" s="59" t="str">
        <f t="shared" si="21"/>
        <v/>
      </c>
      <c r="C8568" s="59" t="str">
        <f t="shared" si="22"/>
        <v/>
      </c>
      <c r="D8568" s="45" t="str">
        <f t="shared" si="23"/>
        <v/>
      </c>
      <c r="E8568" s="45" t="str">
        <f t="shared" si="24"/>
        <v/>
      </c>
      <c r="F8568" s="59" t="str">
        <f t="shared" si="25"/>
        <v/>
      </c>
      <c r="G8568" s="59" t="str">
        <f t="shared" si="26"/>
        <v/>
      </c>
      <c r="H8568" s="59" t="str">
        <f t="shared" si="27"/>
        <v>28C02973</v>
      </c>
      <c r="I8568" s="59" t="str">
        <f>IF(OR($A8568="",$C8568="",$D8568="",$E8568="",$H8568=""),"",SUMIFS(DATA_GOC!$H:$H,DATA_GOC!$A:$A,"BOM",DATA_GOC!$D:$D,$H8568,DATA_GOC!$E:$E,$C8568,DATA_GOC!$F:$F,"Xuất nội bộ từ téc",DATA_GOC!$B:$B,"&gt;="&amp;$D8568,DATA_GOC!$B:$B,"&lt;="&amp;$E8568))</f>
        <v/>
      </c>
      <c r="J8568" s="59">
        <f t="shared" si="28"/>
        <v>0</v>
      </c>
      <c r="K8568" s="59">
        <f t="shared" si="29"/>
        <v>0</v>
      </c>
      <c r="L8568" s="59">
        <f t="shared" si="30"/>
        <v>0</v>
      </c>
      <c r="M8568" s="59">
        <f t="shared" si="31"/>
        <v>0</v>
      </c>
    </row>
    <row r="8569" ht="15.0" hidden="1" customHeight="1">
      <c r="A8569" s="59">
        <f t="shared" si="20"/>
        <v>139</v>
      </c>
      <c r="B8569" s="59" t="str">
        <f t="shared" si="21"/>
        <v/>
      </c>
      <c r="C8569" s="59" t="str">
        <f t="shared" si="22"/>
        <v/>
      </c>
      <c r="D8569" s="45" t="str">
        <f t="shared" si="23"/>
        <v/>
      </c>
      <c r="E8569" s="45" t="str">
        <f t="shared" si="24"/>
        <v/>
      </c>
      <c r="F8569" s="59" t="str">
        <f t="shared" si="25"/>
        <v/>
      </c>
      <c r="G8569" s="59" t="str">
        <f t="shared" si="26"/>
        <v/>
      </c>
      <c r="H8569" s="59" t="str">
        <f t="shared" si="27"/>
        <v>28C03044</v>
      </c>
      <c r="I8569" s="59" t="str">
        <f>IF(OR($A8569="",$C8569="",$D8569="",$E8569="",$H8569=""),"",SUMIFS(DATA_GOC!$H:$H,DATA_GOC!$A:$A,"BOM",DATA_GOC!$D:$D,$H8569,DATA_GOC!$E:$E,$C8569,DATA_GOC!$F:$F,"Xuất nội bộ từ téc",DATA_GOC!$B:$B,"&gt;="&amp;$D8569,DATA_GOC!$B:$B,"&lt;="&amp;$E8569))</f>
        <v/>
      </c>
      <c r="J8569" s="59">
        <f t="shared" si="28"/>
        <v>0</v>
      </c>
      <c r="K8569" s="59">
        <f t="shared" si="29"/>
        <v>0</v>
      </c>
      <c r="L8569" s="59">
        <f t="shared" si="30"/>
        <v>0</v>
      </c>
      <c r="M8569" s="59">
        <f t="shared" si="31"/>
        <v>0</v>
      </c>
    </row>
    <row r="8570" ht="15.0" hidden="1" customHeight="1">
      <c r="A8570" s="59">
        <f t="shared" si="20"/>
        <v>139</v>
      </c>
      <c r="B8570" s="59" t="str">
        <f t="shared" si="21"/>
        <v/>
      </c>
      <c r="C8570" s="59" t="str">
        <f t="shared" si="22"/>
        <v/>
      </c>
      <c r="D8570" s="45" t="str">
        <f t="shared" si="23"/>
        <v/>
      </c>
      <c r="E8570" s="45" t="str">
        <f t="shared" si="24"/>
        <v/>
      </c>
      <c r="F8570" s="59" t="str">
        <f t="shared" si="25"/>
        <v/>
      </c>
      <c r="G8570" s="59" t="str">
        <f t="shared" si="26"/>
        <v/>
      </c>
      <c r="H8570" s="59" t="str">
        <f t="shared" si="27"/>
        <v>Máy lu lốp</v>
      </c>
      <c r="I8570" s="59" t="str">
        <f>IF(OR($A8570="",$C8570="",$D8570="",$E8570="",$H8570=""),"",SUMIFS(DATA_GOC!$H:$H,DATA_GOC!$A:$A,"BOM",DATA_GOC!$D:$D,$H8570,DATA_GOC!$E:$E,$C8570,DATA_GOC!$F:$F,"Xuất nội bộ từ téc",DATA_GOC!$B:$B,"&gt;="&amp;$D8570,DATA_GOC!$B:$B,"&lt;="&amp;$E8570))</f>
        <v/>
      </c>
      <c r="J8570" s="59">
        <f t="shared" si="28"/>
        <v>0</v>
      </c>
      <c r="K8570" s="59">
        <f t="shared" si="29"/>
        <v>0</v>
      </c>
      <c r="L8570" s="59">
        <f t="shared" si="30"/>
        <v>0</v>
      </c>
      <c r="M8570" s="59">
        <f t="shared" si="31"/>
        <v>0</v>
      </c>
    </row>
    <row r="8571" ht="15.0" hidden="1" customHeight="1">
      <c r="A8571" s="59">
        <f t="shared" si="20"/>
        <v>139</v>
      </c>
      <c r="B8571" s="59" t="str">
        <f t="shared" si="21"/>
        <v/>
      </c>
      <c r="C8571" s="59" t="str">
        <f t="shared" si="22"/>
        <v/>
      </c>
      <c r="D8571" s="45" t="str">
        <f t="shared" si="23"/>
        <v/>
      </c>
      <c r="E8571" s="45" t="str">
        <f t="shared" si="24"/>
        <v/>
      </c>
      <c r="F8571" s="59" t="str">
        <f t="shared" si="25"/>
        <v/>
      </c>
      <c r="G8571" s="59" t="str">
        <f t="shared" si="26"/>
        <v/>
      </c>
      <c r="H8571" s="59" t="str">
        <f t="shared" si="27"/>
        <v>Xe 600148</v>
      </c>
      <c r="I8571" s="59" t="str">
        <f>IF(OR($A8571="",$C8571="",$D8571="",$E8571="",$H8571=""),"",SUMIFS(DATA_GOC!$H:$H,DATA_GOC!$A:$A,"BOM",DATA_GOC!$D:$D,$H8571,DATA_GOC!$E:$E,$C8571,DATA_GOC!$F:$F,"Xuất nội bộ từ téc",DATA_GOC!$B:$B,"&gt;="&amp;$D8571,DATA_GOC!$B:$B,"&lt;="&amp;$E8571))</f>
        <v/>
      </c>
      <c r="J8571" s="59">
        <f t="shared" si="28"/>
        <v>0</v>
      </c>
      <c r="K8571" s="59">
        <f t="shared" si="29"/>
        <v>0</v>
      </c>
      <c r="L8571" s="59">
        <f t="shared" si="30"/>
        <v>0</v>
      </c>
      <c r="M8571" s="59">
        <f t="shared" si="31"/>
        <v>0</v>
      </c>
    </row>
    <row r="8572" ht="15.0" hidden="1" customHeight="1">
      <c r="A8572" s="59">
        <f t="shared" si="20"/>
        <v>139</v>
      </c>
      <c r="B8572" s="59" t="str">
        <f t="shared" si="21"/>
        <v/>
      </c>
      <c r="C8572" s="59" t="str">
        <f t="shared" si="22"/>
        <v/>
      </c>
      <c r="D8572" s="45" t="str">
        <f t="shared" si="23"/>
        <v/>
      </c>
      <c r="E8572" s="45" t="str">
        <f t="shared" si="24"/>
        <v/>
      </c>
      <c r="F8572" s="59" t="str">
        <f t="shared" si="25"/>
        <v/>
      </c>
      <c r="G8572" s="59" t="str">
        <f t="shared" si="26"/>
        <v/>
      </c>
      <c r="H8572" s="59" t="str">
        <f t="shared" si="27"/>
        <v>Xe ben mới</v>
      </c>
      <c r="I8572" s="59" t="str">
        <f>IF(OR($A8572="",$C8572="",$D8572="",$E8572="",$H8572=""),"",SUMIFS(DATA_GOC!$H:$H,DATA_GOC!$A:$A,"BOM",DATA_GOC!$D:$D,$H8572,DATA_GOC!$E:$E,$C8572,DATA_GOC!$F:$F,"Xuất nội bộ từ téc",DATA_GOC!$B:$B,"&gt;="&amp;$D8572,DATA_GOC!$B:$B,"&lt;="&amp;$E8572))</f>
        <v/>
      </c>
      <c r="J8572" s="59">
        <f t="shared" si="28"/>
        <v>0</v>
      </c>
      <c r="K8572" s="59">
        <f t="shared" si="29"/>
        <v>0</v>
      </c>
      <c r="L8572" s="59">
        <f t="shared" si="30"/>
        <v>0</v>
      </c>
      <c r="M8572" s="59">
        <f t="shared" si="31"/>
        <v>0</v>
      </c>
    </row>
    <row r="8573" ht="15.0" hidden="1" customHeight="1">
      <c r="A8573" s="59">
        <f t="shared" si="20"/>
        <v>140</v>
      </c>
      <c r="B8573" s="59" t="str">
        <f t="shared" si="21"/>
        <v/>
      </c>
      <c r="C8573" s="59" t="str">
        <f t="shared" si="22"/>
        <v/>
      </c>
      <c r="D8573" s="45" t="str">
        <f t="shared" si="23"/>
        <v/>
      </c>
      <c r="E8573" s="45" t="str">
        <f t="shared" si="24"/>
        <v/>
      </c>
      <c r="F8573" s="59" t="str">
        <f t="shared" si="25"/>
        <v/>
      </c>
      <c r="G8573" s="59" t="str">
        <f t="shared" si="26"/>
        <v/>
      </c>
      <c r="H8573" s="59" t="str">
        <f t="shared" si="27"/>
        <v>19H09482</v>
      </c>
      <c r="I8573" s="59" t="str">
        <f>IF(OR($A8573="",$C8573="",$D8573="",$E8573="",$H8573=""),"",SUMIFS(DATA_GOC!$H:$H,DATA_GOC!$A:$A,"BOM",DATA_GOC!$D:$D,$H8573,DATA_GOC!$E:$E,$C8573,DATA_GOC!$F:$F,"Xuất nội bộ từ téc",DATA_GOC!$B:$B,"&gt;="&amp;$D8573,DATA_GOC!$B:$B,"&lt;="&amp;$E8573))</f>
        <v/>
      </c>
      <c r="J8573" s="59">
        <f t="shared" si="28"/>
        <v>0</v>
      </c>
      <c r="K8573" s="59">
        <f t="shared" si="29"/>
        <v>0</v>
      </c>
      <c r="L8573" s="59">
        <f t="shared" si="30"/>
        <v>0</v>
      </c>
      <c r="M8573" s="59">
        <f t="shared" si="31"/>
        <v>0</v>
      </c>
    </row>
    <row r="8574" ht="15.0" hidden="1" customHeight="1">
      <c r="A8574" s="59">
        <f t="shared" si="20"/>
        <v>140</v>
      </c>
      <c r="B8574" s="59" t="str">
        <f t="shared" si="21"/>
        <v/>
      </c>
      <c r="C8574" s="59" t="str">
        <f t="shared" si="22"/>
        <v/>
      </c>
      <c r="D8574" s="45" t="str">
        <f t="shared" si="23"/>
        <v/>
      </c>
      <c r="E8574" s="45" t="str">
        <f t="shared" si="24"/>
        <v/>
      </c>
      <c r="F8574" s="59" t="str">
        <f t="shared" si="25"/>
        <v/>
      </c>
      <c r="G8574" s="59" t="str">
        <f t="shared" si="26"/>
        <v/>
      </c>
      <c r="H8574" s="59" t="str">
        <f t="shared" si="27"/>
        <v>28A30696</v>
      </c>
      <c r="I8574" s="59" t="str">
        <f>IF(OR($A8574="",$C8574="",$D8574="",$E8574="",$H8574=""),"",SUMIFS(DATA_GOC!$H:$H,DATA_GOC!$A:$A,"BOM",DATA_GOC!$D:$D,$H8574,DATA_GOC!$E:$E,$C8574,DATA_GOC!$F:$F,"Xuất nội bộ từ téc",DATA_GOC!$B:$B,"&gt;="&amp;$D8574,DATA_GOC!$B:$B,"&lt;="&amp;$E8574))</f>
        <v/>
      </c>
      <c r="J8574" s="59">
        <f t="shared" si="28"/>
        <v>0</v>
      </c>
      <c r="K8574" s="59">
        <f t="shared" si="29"/>
        <v>0</v>
      </c>
      <c r="L8574" s="59">
        <f t="shared" si="30"/>
        <v>0</v>
      </c>
      <c r="M8574" s="59">
        <f t="shared" si="31"/>
        <v>0</v>
      </c>
    </row>
    <row r="8575" ht="15.0" hidden="1" customHeight="1">
      <c r="A8575" s="59">
        <f t="shared" si="20"/>
        <v>140</v>
      </c>
      <c r="B8575" s="59" t="str">
        <f t="shared" si="21"/>
        <v/>
      </c>
      <c r="C8575" s="59" t="str">
        <f t="shared" si="22"/>
        <v/>
      </c>
      <c r="D8575" s="45" t="str">
        <f t="shared" si="23"/>
        <v/>
      </c>
      <c r="E8575" s="45" t="str">
        <f t="shared" si="24"/>
        <v/>
      </c>
      <c r="F8575" s="59" t="str">
        <f t="shared" si="25"/>
        <v/>
      </c>
      <c r="G8575" s="59" t="str">
        <f t="shared" si="26"/>
        <v/>
      </c>
      <c r="H8575" s="59" t="str">
        <f t="shared" si="27"/>
        <v>28C00462</v>
      </c>
      <c r="I8575" s="59" t="str">
        <f>IF(OR($A8575="",$C8575="",$D8575="",$E8575="",$H8575=""),"",SUMIFS(DATA_GOC!$H:$H,DATA_GOC!$A:$A,"BOM",DATA_GOC!$D:$D,$H8575,DATA_GOC!$E:$E,$C8575,DATA_GOC!$F:$F,"Xuất nội bộ từ téc",DATA_GOC!$B:$B,"&gt;="&amp;$D8575,DATA_GOC!$B:$B,"&lt;="&amp;$E8575))</f>
        <v/>
      </c>
      <c r="J8575" s="59">
        <f t="shared" si="28"/>
        <v>0</v>
      </c>
      <c r="K8575" s="59">
        <f t="shared" si="29"/>
        <v>0</v>
      </c>
      <c r="L8575" s="59">
        <f t="shared" si="30"/>
        <v>0</v>
      </c>
      <c r="M8575" s="59">
        <f t="shared" si="31"/>
        <v>0</v>
      </c>
    </row>
    <row r="8576" ht="15.0" hidden="1" customHeight="1">
      <c r="A8576" s="59">
        <f t="shared" si="20"/>
        <v>140</v>
      </c>
      <c r="B8576" s="59" t="str">
        <f t="shared" si="21"/>
        <v/>
      </c>
      <c r="C8576" s="59" t="str">
        <f t="shared" si="22"/>
        <v/>
      </c>
      <c r="D8576" s="45" t="str">
        <f t="shared" si="23"/>
        <v/>
      </c>
      <c r="E8576" s="45" t="str">
        <f t="shared" si="24"/>
        <v/>
      </c>
      <c r="F8576" s="59" t="str">
        <f t="shared" si="25"/>
        <v/>
      </c>
      <c r="G8576" s="59" t="str">
        <f t="shared" si="26"/>
        <v/>
      </c>
      <c r="H8576" s="59" t="str">
        <f t="shared" si="27"/>
        <v>28C01165</v>
      </c>
      <c r="I8576" s="59" t="str">
        <f>IF(OR($A8576="",$C8576="",$D8576="",$E8576="",$H8576=""),"",SUMIFS(DATA_GOC!$H:$H,DATA_GOC!$A:$A,"BOM",DATA_GOC!$D:$D,$H8576,DATA_GOC!$E:$E,$C8576,DATA_GOC!$F:$F,"Xuất nội bộ từ téc",DATA_GOC!$B:$B,"&gt;="&amp;$D8576,DATA_GOC!$B:$B,"&lt;="&amp;$E8576))</f>
        <v/>
      </c>
      <c r="J8576" s="59">
        <f t="shared" si="28"/>
        <v>0</v>
      </c>
      <c r="K8576" s="59">
        <f t="shared" si="29"/>
        <v>0</v>
      </c>
      <c r="L8576" s="59">
        <f t="shared" si="30"/>
        <v>0</v>
      </c>
      <c r="M8576" s="59">
        <f t="shared" si="31"/>
        <v>0</v>
      </c>
    </row>
    <row r="8577" ht="15.0" hidden="1" customHeight="1">
      <c r="A8577" s="59">
        <f t="shared" si="20"/>
        <v>140</v>
      </c>
      <c r="B8577" s="59" t="str">
        <f t="shared" si="21"/>
        <v/>
      </c>
      <c r="C8577" s="59" t="str">
        <f t="shared" si="22"/>
        <v/>
      </c>
      <c r="D8577" s="45" t="str">
        <f t="shared" si="23"/>
        <v/>
      </c>
      <c r="E8577" s="45" t="str">
        <f t="shared" si="24"/>
        <v/>
      </c>
      <c r="F8577" s="59" t="str">
        <f t="shared" si="25"/>
        <v/>
      </c>
      <c r="G8577" s="59" t="str">
        <f t="shared" si="26"/>
        <v/>
      </c>
      <c r="H8577" s="59" t="str">
        <f t="shared" si="27"/>
        <v>28C01406</v>
      </c>
      <c r="I8577" s="59" t="str">
        <f>IF(OR($A8577="",$C8577="",$D8577="",$E8577="",$H8577=""),"",SUMIFS(DATA_GOC!$H:$H,DATA_GOC!$A:$A,"BOM",DATA_GOC!$D:$D,$H8577,DATA_GOC!$E:$E,$C8577,DATA_GOC!$F:$F,"Xuất nội bộ từ téc",DATA_GOC!$B:$B,"&gt;="&amp;$D8577,DATA_GOC!$B:$B,"&lt;="&amp;$E8577))</f>
        <v/>
      </c>
      <c r="J8577" s="59">
        <f t="shared" si="28"/>
        <v>0</v>
      </c>
      <c r="K8577" s="59">
        <f t="shared" si="29"/>
        <v>0</v>
      </c>
      <c r="L8577" s="59">
        <f t="shared" si="30"/>
        <v>0</v>
      </c>
      <c r="M8577" s="59">
        <f t="shared" si="31"/>
        <v>0</v>
      </c>
    </row>
    <row r="8578" ht="15.0" hidden="1" customHeight="1">
      <c r="A8578" s="59">
        <f t="shared" si="20"/>
        <v>140</v>
      </c>
      <c r="B8578" s="59" t="str">
        <f t="shared" si="21"/>
        <v/>
      </c>
      <c r="C8578" s="59" t="str">
        <f t="shared" si="22"/>
        <v/>
      </c>
      <c r="D8578" s="45" t="str">
        <f t="shared" si="23"/>
        <v/>
      </c>
      <c r="E8578" s="45" t="str">
        <f t="shared" si="24"/>
        <v/>
      </c>
      <c r="F8578" s="59" t="str">
        <f t="shared" si="25"/>
        <v/>
      </c>
      <c r="G8578" s="59" t="str">
        <f t="shared" si="26"/>
        <v/>
      </c>
      <c r="H8578" s="59" t="str">
        <f t="shared" si="27"/>
        <v>28C01544</v>
      </c>
      <c r="I8578" s="59" t="str">
        <f>IF(OR($A8578="",$C8578="",$D8578="",$E8578="",$H8578=""),"",SUMIFS(DATA_GOC!$H:$H,DATA_GOC!$A:$A,"BOM",DATA_GOC!$D:$D,$H8578,DATA_GOC!$E:$E,$C8578,DATA_GOC!$F:$F,"Xuất nội bộ từ téc",DATA_GOC!$B:$B,"&gt;="&amp;$D8578,DATA_GOC!$B:$B,"&lt;="&amp;$E8578))</f>
        <v/>
      </c>
      <c r="J8578" s="59">
        <f t="shared" si="28"/>
        <v>0</v>
      </c>
      <c r="K8578" s="59">
        <f t="shared" si="29"/>
        <v>0</v>
      </c>
      <c r="L8578" s="59">
        <f t="shared" si="30"/>
        <v>0</v>
      </c>
      <c r="M8578" s="59">
        <f t="shared" si="31"/>
        <v>0</v>
      </c>
    </row>
    <row r="8579" ht="15.0" hidden="1" customHeight="1">
      <c r="A8579" s="59">
        <f t="shared" si="20"/>
        <v>140</v>
      </c>
      <c r="B8579" s="59" t="str">
        <f t="shared" si="21"/>
        <v/>
      </c>
      <c r="C8579" s="59" t="str">
        <f t="shared" si="22"/>
        <v/>
      </c>
      <c r="D8579" s="45" t="str">
        <f t="shared" si="23"/>
        <v/>
      </c>
      <c r="E8579" s="45" t="str">
        <f t="shared" si="24"/>
        <v/>
      </c>
      <c r="F8579" s="59" t="str">
        <f t="shared" si="25"/>
        <v/>
      </c>
      <c r="G8579" s="59" t="str">
        <f t="shared" si="26"/>
        <v/>
      </c>
      <c r="H8579" s="59" t="str">
        <f t="shared" si="27"/>
        <v>28C01622</v>
      </c>
      <c r="I8579" s="59" t="str">
        <f>IF(OR($A8579="",$C8579="",$D8579="",$E8579="",$H8579=""),"",SUMIFS(DATA_GOC!$H:$H,DATA_GOC!$A:$A,"BOM",DATA_GOC!$D:$D,$H8579,DATA_GOC!$E:$E,$C8579,DATA_GOC!$F:$F,"Xuất nội bộ từ téc",DATA_GOC!$B:$B,"&gt;="&amp;$D8579,DATA_GOC!$B:$B,"&lt;="&amp;$E8579))</f>
        <v/>
      </c>
      <c r="J8579" s="59">
        <f t="shared" si="28"/>
        <v>0</v>
      </c>
      <c r="K8579" s="59">
        <f t="shared" si="29"/>
        <v>0</v>
      </c>
      <c r="L8579" s="59">
        <f t="shared" si="30"/>
        <v>0</v>
      </c>
      <c r="M8579" s="59">
        <f t="shared" si="31"/>
        <v>0</v>
      </c>
    </row>
    <row r="8580" ht="15.0" hidden="1" customHeight="1">
      <c r="A8580" s="59">
        <f t="shared" si="20"/>
        <v>140</v>
      </c>
      <c r="B8580" s="59" t="str">
        <f t="shared" si="21"/>
        <v/>
      </c>
      <c r="C8580" s="59" t="str">
        <f t="shared" si="22"/>
        <v/>
      </c>
      <c r="D8580" s="45" t="str">
        <f t="shared" si="23"/>
        <v/>
      </c>
      <c r="E8580" s="45" t="str">
        <f t="shared" si="24"/>
        <v/>
      </c>
      <c r="F8580" s="59" t="str">
        <f t="shared" si="25"/>
        <v/>
      </c>
      <c r="G8580" s="59" t="str">
        <f t="shared" si="26"/>
        <v/>
      </c>
      <c r="H8580" s="59" t="str">
        <f t="shared" si="27"/>
        <v>28C01647</v>
      </c>
      <c r="I8580" s="59" t="str">
        <f>IF(OR($A8580="",$C8580="",$D8580="",$E8580="",$H8580=""),"",SUMIFS(DATA_GOC!$H:$H,DATA_GOC!$A:$A,"BOM",DATA_GOC!$D:$D,$H8580,DATA_GOC!$E:$E,$C8580,DATA_GOC!$F:$F,"Xuất nội bộ từ téc",DATA_GOC!$B:$B,"&gt;="&amp;$D8580,DATA_GOC!$B:$B,"&lt;="&amp;$E8580))</f>
        <v/>
      </c>
      <c r="J8580" s="59">
        <f t="shared" si="28"/>
        <v>0</v>
      </c>
      <c r="K8580" s="59">
        <f t="shared" si="29"/>
        <v>0</v>
      </c>
      <c r="L8580" s="59">
        <f t="shared" si="30"/>
        <v>0</v>
      </c>
      <c r="M8580" s="59">
        <f t="shared" si="31"/>
        <v>0</v>
      </c>
    </row>
    <row r="8581" ht="15.0" hidden="1" customHeight="1">
      <c r="A8581" s="59">
        <f t="shared" si="20"/>
        <v>140</v>
      </c>
      <c r="B8581" s="59" t="str">
        <f t="shared" si="21"/>
        <v/>
      </c>
      <c r="C8581" s="59" t="str">
        <f t="shared" si="22"/>
        <v/>
      </c>
      <c r="D8581" s="45" t="str">
        <f t="shared" si="23"/>
        <v/>
      </c>
      <c r="E8581" s="45" t="str">
        <f t="shared" si="24"/>
        <v/>
      </c>
      <c r="F8581" s="59" t="str">
        <f t="shared" si="25"/>
        <v/>
      </c>
      <c r="G8581" s="59" t="str">
        <f t="shared" si="26"/>
        <v/>
      </c>
      <c r="H8581" s="59" t="str">
        <f t="shared" si="27"/>
        <v>28C01731</v>
      </c>
      <c r="I8581" s="59" t="str">
        <f>IF(OR($A8581="",$C8581="",$D8581="",$E8581="",$H8581=""),"",SUMIFS(DATA_GOC!$H:$H,DATA_GOC!$A:$A,"BOM",DATA_GOC!$D:$D,$H8581,DATA_GOC!$E:$E,$C8581,DATA_GOC!$F:$F,"Xuất nội bộ từ téc",DATA_GOC!$B:$B,"&gt;="&amp;$D8581,DATA_GOC!$B:$B,"&lt;="&amp;$E8581))</f>
        <v/>
      </c>
      <c r="J8581" s="59">
        <f t="shared" si="28"/>
        <v>0</v>
      </c>
      <c r="K8581" s="59">
        <f t="shared" si="29"/>
        <v>0</v>
      </c>
      <c r="L8581" s="59">
        <f t="shared" si="30"/>
        <v>0</v>
      </c>
      <c r="M8581" s="59">
        <f t="shared" si="31"/>
        <v>0</v>
      </c>
    </row>
    <row r="8582" ht="15.0" hidden="1" customHeight="1">
      <c r="A8582" s="59">
        <f t="shared" si="20"/>
        <v>140</v>
      </c>
      <c r="B8582" s="59" t="str">
        <f t="shared" si="21"/>
        <v/>
      </c>
      <c r="C8582" s="59" t="str">
        <f t="shared" si="22"/>
        <v/>
      </c>
      <c r="D8582" s="45" t="str">
        <f t="shared" si="23"/>
        <v/>
      </c>
      <c r="E8582" s="45" t="str">
        <f t="shared" si="24"/>
        <v/>
      </c>
      <c r="F8582" s="59" t="str">
        <f t="shared" si="25"/>
        <v/>
      </c>
      <c r="G8582" s="59" t="str">
        <f t="shared" si="26"/>
        <v/>
      </c>
      <c r="H8582" s="59" t="str">
        <f t="shared" si="27"/>
        <v>28C01743</v>
      </c>
      <c r="I8582" s="59" t="str">
        <f>IF(OR($A8582="",$C8582="",$D8582="",$E8582="",$H8582=""),"",SUMIFS(DATA_GOC!$H:$H,DATA_GOC!$A:$A,"BOM",DATA_GOC!$D:$D,$H8582,DATA_GOC!$E:$E,$C8582,DATA_GOC!$F:$F,"Xuất nội bộ từ téc",DATA_GOC!$B:$B,"&gt;="&amp;$D8582,DATA_GOC!$B:$B,"&lt;="&amp;$E8582))</f>
        <v/>
      </c>
      <c r="J8582" s="59">
        <f t="shared" si="28"/>
        <v>0</v>
      </c>
      <c r="K8582" s="59">
        <f t="shared" si="29"/>
        <v>0</v>
      </c>
      <c r="L8582" s="59">
        <f t="shared" si="30"/>
        <v>0</v>
      </c>
      <c r="M8582" s="59">
        <f t="shared" si="31"/>
        <v>0</v>
      </c>
    </row>
    <row r="8583" ht="15.0" hidden="1" customHeight="1">
      <c r="A8583" s="59">
        <f t="shared" si="20"/>
        <v>140</v>
      </c>
      <c r="B8583" s="59" t="str">
        <f t="shared" si="21"/>
        <v/>
      </c>
      <c r="C8583" s="59" t="str">
        <f t="shared" si="22"/>
        <v/>
      </c>
      <c r="D8583" s="45" t="str">
        <f t="shared" si="23"/>
        <v/>
      </c>
      <c r="E8583" s="45" t="str">
        <f t="shared" si="24"/>
        <v/>
      </c>
      <c r="F8583" s="59" t="str">
        <f t="shared" si="25"/>
        <v/>
      </c>
      <c r="G8583" s="59" t="str">
        <f t="shared" si="26"/>
        <v/>
      </c>
      <c r="H8583" s="59" t="str">
        <f t="shared" si="27"/>
        <v>28C02106</v>
      </c>
      <c r="I8583" s="59" t="str">
        <f>IF(OR($A8583="",$C8583="",$D8583="",$E8583="",$H8583=""),"",SUMIFS(DATA_GOC!$H:$H,DATA_GOC!$A:$A,"BOM",DATA_GOC!$D:$D,$H8583,DATA_GOC!$E:$E,$C8583,DATA_GOC!$F:$F,"Xuất nội bộ từ téc",DATA_GOC!$B:$B,"&gt;="&amp;$D8583,DATA_GOC!$B:$B,"&lt;="&amp;$E8583))</f>
        <v/>
      </c>
      <c r="J8583" s="59">
        <f t="shared" si="28"/>
        <v>0</v>
      </c>
      <c r="K8583" s="59">
        <f t="shared" si="29"/>
        <v>0</v>
      </c>
      <c r="L8583" s="59">
        <f t="shared" si="30"/>
        <v>0</v>
      </c>
      <c r="M8583" s="59">
        <f t="shared" si="31"/>
        <v>0</v>
      </c>
    </row>
    <row r="8584" ht="15.0" hidden="1" customHeight="1">
      <c r="A8584" s="59">
        <f t="shared" si="20"/>
        <v>140</v>
      </c>
      <c r="B8584" s="59" t="str">
        <f t="shared" si="21"/>
        <v/>
      </c>
      <c r="C8584" s="59" t="str">
        <f t="shared" si="22"/>
        <v/>
      </c>
      <c r="D8584" s="45" t="str">
        <f t="shared" si="23"/>
        <v/>
      </c>
      <c r="E8584" s="45" t="str">
        <f t="shared" si="24"/>
        <v/>
      </c>
      <c r="F8584" s="59" t="str">
        <f t="shared" si="25"/>
        <v/>
      </c>
      <c r="G8584" s="59" t="str">
        <f t="shared" si="26"/>
        <v/>
      </c>
      <c r="H8584" s="59" t="str">
        <f t="shared" si="27"/>
        <v>28C02410</v>
      </c>
      <c r="I8584" s="59" t="str">
        <f>IF(OR($A8584="",$C8584="",$D8584="",$E8584="",$H8584=""),"",SUMIFS(DATA_GOC!$H:$H,DATA_GOC!$A:$A,"BOM",DATA_GOC!$D:$D,$H8584,DATA_GOC!$E:$E,$C8584,DATA_GOC!$F:$F,"Xuất nội bộ từ téc",DATA_GOC!$B:$B,"&gt;="&amp;$D8584,DATA_GOC!$B:$B,"&lt;="&amp;$E8584))</f>
        <v/>
      </c>
      <c r="J8584" s="59">
        <f t="shared" si="28"/>
        <v>0</v>
      </c>
      <c r="K8584" s="59">
        <f t="shared" si="29"/>
        <v>0</v>
      </c>
      <c r="L8584" s="59">
        <f t="shared" si="30"/>
        <v>0</v>
      </c>
      <c r="M8584" s="59">
        <f t="shared" si="31"/>
        <v>0</v>
      </c>
    </row>
    <row r="8585" ht="15.0" hidden="1" customHeight="1">
      <c r="A8585" s="59">
        <f t="shared" si="20"/>
        <v>140</v>
      </c>
      <c r="B8585" s="59" t="str">
        <f t="shared" si="21"/>
        <v/>
      </c>
      <c r="C8585" s="59" t="str">
        <f t="shared" si="22"/>
        <v/>
      </c>
      <c r="D8585" s="45" t="str">
        <f t="shared" si="23"/>
        <v/>
      </c>
      <c r="E8585" s="45" t="str">
        <f t="shared" si="24"/>
        <v/>
      </c>
      <c r="F8585" s="59" t="str">
        <f t="shared" si="25"/>
        <v/>
      </c>
      <c r="G8585" s="59" t="str">
        <f t="shared" si="26"/>
        <v/>
      </c>
      <c r="H8585" s="59" t="str">
        <f t="shared" si="27"/>
        <v>28C02545</v>
      </c>
      <c r="I8585" s="59" t="str">
        <f>IF(OR($A8585="",$C8585="",$D8585="",$E8585="",$H8585=""),"",SUMIFS(DATA_GOC!$H:$H,DATA_GOC!$A:$A,"BOM",DATA_GOC!$D:$D,$H8585,DATA_GOC!$E:$E,$C8585,DATA_GOC!$F:$F,"Xuất nội bộ từ téc",DATA_GOC!$B:$B,"&gt;="&amp;$D8585,DATA_GOC!$B:$B,"&lt;="&amp;$E8585))</f>
        <v/>
      </c>
      <c r="J8585" s="59">
        <f t="shared" si="28"/>
        <v>0</v>
      </c>
      <c r="K8585" s="59">
        <f t="shared" si="29"/>
        <v>0</v>
      </c>
      <c r="L8585" s="59">
        <f t="shared" si="30"/>
        <v>0</v>
      </c>
      <c r="M8585" s="59">
        <f t="shared" si="31"/>
        <v>0</v>
      </c>
    </row>
    <row r="8586" ht="15.0" hidden="1" customHeight="1">
      <c r="A8586" s="59">
        <f t="shared" si="20"/>
        <v>140</v>
      </c>
      <c r="B8586" s="59" t="str">
        <f t="shared" si="21"/>
        <v/>
      </c>
      <c r="C8586" s="59" t="str">
        <f t="shared" si="22"/>
        <v/>
      </c>
      <c r="D8586" s="45" t="str">
        <f t="shared" si="23"/>
        <v/>
      </c>
      <c r="E8586" s="45" t="str">
        <f t="shared" si="24"/>
        <v/>
      </c>
      <c r="F8586" s="59" t="str">
        <f t="shared" si="25"/>
        <v/>
      </c>
      <c r="G8586" s="59" t="str">
        <f t="shared" si="26"/>
        <v/>
      </c>
      <c r="H8586" s="59" t="str">
        <f t="shared" si="27"/>
        <v>28C02574</v>
      </c>
      <c r="I8586" s="59" t="str">
        <f>IF(OR($A8586="",$C8586="",$D8586="",$E8586="",$H8586=""),"",SUMIFS(DATA_GOC!$H:$H,DATA_GOC!$A:$A,"BOM",DATA_GOC!$D:$D,$H8586,DATA_GOC!$E:$E,$C8586,DATA_GOC!$F:$F,"Xuất nội bộ từ téc",DATA_GOC!$B:$B,"&gt;="&amp;$D8586,DATA_GOC!$B:$B,"&lt;="&amp;$E8586))</f>
        <v/>
      </c>
      <c r="J8586" s="59">
        <f t="shared" si="28"/>
        <v>0</v>
      </c>
      <c r="K8586" s="59">
        <f t="shared" si="29"/>
        <v>0</v>
      </c>
      <c r="L8586" s="59">
        <f t="shared" si="30"/>
        <v>0</v>
      </c>
      <c r="M8586" s="59">
        <f t="shared" si="31"/>
        <v>0</v>
      </c>
    </row>
    <row r="8587" ht="15.0" hidden="1" customHeight="1">
      <c r="A8587" s="59">
        <f t="shared" si="20"/>
        <v>140</v>
      </c>
      <c r="B8587" s="59" t="str">
        <f t="shared" si="21"/>
        <v/>
      </c>
      <c r="C8587" s="59" t="str">
        <f t="shared" si="22"/>
        <v/>
      </c>
      <c r="D8587" s="45" t="str">
        <f t="shared" si="23"/>
        <v/>
      </c>
      <c r="E8587" s="45" t="str">
        <f t="shared" si="24"/>
        <v/>
      </c>
      <c r="F8587" s="59" t="str">
        <f t="shared" si="25"/>
        <v/>
      </c>
      <c r="G8587" s="59" t="str">
        <f t="shared" si="26"/>
        <v/>
      </c>
      <c r="H8587" s="59" t="str">
        <f t="shared" si="27"/>
        <v>28C02770</v>
      </c>
      <c r="I8587" s="59" t="str">
        <f>IF(OR($A8587="",$C8587="",$D8587="",$E8587="",$H8587=""),"",SUMIFS(DATA_GOC!$H:$H,DATA_GOC!$A:$A,"BOM",DATA_GOC!$D:$D,$H8587,DATA_GOC!$E:$E,$C8587,DATA_GOC!$F:$F,"Xuất nội bộ từ téc",DATA_GOC!$B:$B,"&gt;="&amp;$D8587,DATA_GOC!$B:$B,"&lt;="&amp;$E8587))</f>
        <v/>
      </c>
      <c r="J8587" s="59">
        <f t="shared" si="28"/>
        <v>0</v>
      </c>
      <c r="K8587" s="59">
        <f t="shared" si="29"/>
        <v>0</v>
      </c>
      <c r="L8587" s="59">
        <f t="shared" si="30"/>
        <v>0</v>
      </c>
      <c r="M8587" s="59">
        <f t="shared" si="31"/>
        <v>0</v>
      </c>
    </row>
    <row r="8588" ht="15.0" hidden="1" customHeight="1">
      <c r="A8588" s="59">
        <f t="shared" si="20"/>
        <v>140</v>
      </c>
      <c r="B8588" s="59" t="str">
        <f t="shared" si="21"/>
        <v/>
      </c>
      <c r="C8588" s="59" t="str">
        <f t="shared" si="22"/>
        <v/>
      </c>
      <c r="D8588" s="45" t="str">
        <f t="shared" si="23"/>
        <v/>
      </c>
      <c r="E8588" s="45" t="str">
        <f t="shared" si="24"/>
        <v/>
      </c>
      <c r="F8588" s="59" t="str">
        <f t="shared" si="25"/>
        <v/>
      </c>
      <c r="G8588" s="59" t="str">
        <f t="shared" si="26"/>
        <v/>
      </c>
      <c r="H8588" s="59" t="str">
        <f t="shared" si="27"/>
        <v>28C02986</v>
      </c>
      <c r="I8588" s="59" t="str">
        <f>IF(OR($A8588="",$C8588="",$D8588="",$E8588="",$H8588=""),"",SUMIFS(DATA_GOC!$H:$H,DATA_GOC!$A:$A,"BOM",DATA_GOC!$D:$D,$H8588,DATA_GOC!$E:$E,$C8588,DATA_GOC!$F:$F,"Xuất nội bộ từ téc",DATA_GOC!$B:$B,"&gt;="&amp;$D8588,DATA_GOC!$B:$B,"&lt;="&amp;$E8588))</f>
        <v/>
      </c>
      <c r="J8588" s="59">
        <f t="shared" si="28"/>
        <v>0</v>
      </c>
      <c r="K8588" s="59">
        <f t="shared" si="29"/>
        <v>0</v>
      </c>
      <c r="L8588" s="59">
        <f t="shared" si="30"/>
        <v>0</v>
      </c>
      <c r="M8588" s="59">
        <f t="shared" si="31"/>
        <v>0</v>
      </c>
    </row>
    <row r="8589" ht="15.0" hidden="1" customHeight="1">
      <c r="A8589" s="59">
        <f t="shared" si="20"/>
        <v>140</v>
      </c>
      <c r="B8589" s="59" t="str">
        <f t="shared" si="21"/>
        <v/>
      </c>
      <c r="C8589" s="59" t="str">
        <f t="shared" si="22"/>
        <v/>
      </c>
      <c r="D8589" s="45" t="str">
        <f t="shared" si="23"/>
        <v/>
      </c>
      <c r="E8589" s="45" t="str">
        <f t="shared" si="24"/>
        <v/>
      </c>
      <c r="F8589" s="59" t="str">
        <f t="shared" si="25"/>
        <v/>
      </c>
      <c r="G8589" s="59" t="str">
        <f t="shared" si="26"/>
        <v/>
      </c>
      <c r="H8589" s="59" t="str">
        <f t="shared" si="27"/>
        <v>28C03261</v>
      </c>
      <c r="I8589" s="59" t="str">
        <f>IF(OR($A8589="",$C8589="",$D8589="",$E8589="",$H8589=""),"",SUMIFS(DATA_GOC!$H:$H,DATA_GOC!$A:$A,"BOM",DATA_GOC!$D:$D,$H8589,DATA_GOC!$E:$E,$C8589,DATA_GOC!$F:$F,"Xuất nội bộ từ téc",DATA_GOC!$B:$B,"&gt;="&amp;$D8589,DATA_GOC!$B:$B,"&lt;="&amp;$E8589))</f>
        <v/>
      </c>
      <c r="J8589" s="59">
        <f t="shared" si="28"/>
        <v>0</v>
      </c>
      <c r="K8589" s="59">
        <f t="shared" si="29"/>
        <v>0</v>
      </c>
      <c r="L8589" s="59">
        <f t="shared" si="30"/>
        <v>0</v>
      </c>
      <c r="M8589" s="59">
        <f t="shared" si="31"/>
        <v>0</v>
      </c>
    </row>
    <row r="8590" ht="15.0" hidden="1" customHeight="1">
      <c r="A8590" s="59">
        <f t="shared" si="20"/>
        <v>140</v>
      </c>
      <c r="B8590" s="59" t="str">
        <f t="shared" si="21"/>
        <v/>
      </c>
      <c r="C8590" s="59" t="str">
        <f t="shared" si="22"/>
        <v/>
      </c>
      <c r="D8590" s="45" t="str">
        <f t="shared" si="23"/>
        <v/>
      </c>
      <c r="E8590" s="45" t="str">
        <f t="shared" si="24"/>
        <v/>
      </c>
      <c r="F8590" s="59" t="str">
        <f t="shared" si="25"/>
        <v/>
      </c>
      <c r="G8590" s="59" t="str">
        <f t="shared" si="26"/>
        <v/>
      </c>
      <c r="H8590" s="59" t="str">
        <f t="shared" si="27"/>
        <v>28C03323</v>
      </c>
      <c r="I8590" s="59" t="str">
        <f>IF(OR($A8590="",$C8590="",$D8590="",$E8590="",$H8590=""),"",SUMIFS(DATA_GOC!$H:$H,DATA_GOC!$A:$A,"BOM",DATA_GOC!$D:$D,$H8590,DATA_GOC!$E:$E,$C8590,DATA_GOC!$F:$F,"Xuất nội bộ từ téc",DATA_GOC!$B:$B,"&gt;="&amp;$D8590,DATA_GOC!$B:$B,"&lt;="&amp;$E8590))</f>
        <v/>
      </c>
      <c r="J8590" s="59">
        <f t="shared" si="28"/>
        <v>0</v>
      </c>
      <c r="K8590" s="59">
        <f t="shared" si="29"/>
        <v>0</v>
      </c>
      <c r="L8590" s="59">
        <f t="shared" si="30"/>
        <v>0</v>
      </c>
      <c r="M8590" s="59">
        <f t="shared" si="31"/>
        <v>0</v>
      </c>
    </row>
    <row r="8591" ht="15.0" hidden="1" customHeight="1">
      <c r="A8591" s="59">
        <f t="shared" si="20"/>
        <v>140</v>
      </c>
      <c r="B8591" s="59" t="str">
        <f t="shared" si="21"/>
        <v/>
      </c>
      <c r="C8591" s="59" t="str">
        <f t="shared" si="22"/>
        <v/>
      </c>
      <c r="D8591" s="45" t="str">
        <f t="shared" si="23"/>
        <v/>
      </c>
      <c r="E8591" s="45" t="str">
        <f t="shared" si="24"/>
        <v/>
      </c>
      <c r="F8591" s="59" t="str">
        <f t="shared" si="25"/>
        <v/>
      </c>
      <c r="G8591" s="59" t="str">
        <f t="shared" si="26"/>
        <v/>
      </c>
      <c r="H8591" s="59" t="str">
        <f t="shared" si="27"/>
        <v>28C03385</v>
      </c>
      <c r="I8591" s="59" t="str">
        <f>IF(OR($A8591="",$C8591="",$D8591="",$E8591="",$H8591=""),"",SUMIFS(DATA_GOC!$H:$H,DATA_GOC!$A:$A,"BOM",DATA_GOC!$D:$D,$H8591,DATA_GOC!$E:$E,$C8591,DATA_GOC!$F:$F,"Xuất nội bộ từ téc",DATA_GOC!$B:$B,"&gt;="&amp;$D8591,DATA_GOC!$B:$B,"&lt;="&amp;$E8591))</f>
        <v/>
      </c>
      <c r="J8591" s="59">
        <f t="shared" si="28"/>
        <v>0</v>
      </c>
      <c r="K8591" s="59">
        <f t="shared" si="29"/>
        <v>0</v>
      </c>
      <c r="L8591" s="59">
        <f t="shared" si="30"/>
        <v>0</v>
      </c>
      <c r="M8591" s="59">
        <f t="shared" si="31"/>
        <v>0</v>
      </c>
    </row>
    <row r="8592" ht="15.0" hidden="1" customHeight="1">
      <c r="A8592" s="59">
        <f t="shared" si="20"/>
        <v>140</v>
      </c>
      <c r="B8592" s="59" t="str">
        <f t="shared" si="21"/>
        <v/>
      </c>
      <c r="C8592" s="59" t="str">
        <f t="shared" si="22"/>
        <v/>
      </c>
      <c r="D8592" s="45" t="str">
        <f t="shared" si="23"/>
        <v/>
      </c>
      <c r="E8592" s="45" t="str">
        <f t="shared" si="24"/>
        <v/>
      </c>
      <c r="F8592" s="59" t="str">
        <f t="shared" si="25"/>
        <v/>
      </c>
      <c r="G8592" s="59" t="str">
        <f t="shared" si="26"/>
        <v/>
      </c>
      <c r="H8592" s="59" t="str">
        <f t="shared" si="27"/>
        <v>28C03652</v>
      </c>
      <c r="I8592" s="59" t="str">
        <f>IF(OR($A8592="",$C8592="",$D8592="",$E8592="",$H8592=""),"",SUMIFS(DATA_GOC!$H:$H,DATA_GOC!$A:$A,"BOM",DATA_GOC!$D:$D,$H8592,DATA_GOC!$E:$E,$C8592,DATA_GOC!$F:$F,"Xuất nội bộ từ téc",DATA_GOC!$B:$B,"&gt;="&amp;$D8592,DATA_GOC!$B:$B,"&lt;="&amp;$E8592))</f>
        <v/>
      </c>
      <c r="J8592" s="59">
        <f t="shared" si="28"/>
        <v>0</v>
      </c>
      <c r="K8592" s="59">
        <f t="shared" si="29"/>
        <v>0</v>
      </c>
      <c r="L8592" s="59">
        <f t="shared" si="30"/>
        <v>0</v>
      </c>
      <c r="M8592" s="59">
        <f t="shared" si="31"/>
        <v>0</v>
      </c>
    </row>
    <row r="8593" ht="15.0" hidden="1" customHeight="1">
      <c r="A8593" s="59">
        <f t="shared" si="20"/>
        <v>140</v>
      </c>
      <c r="B8593" s="59" t="str">
        <f t="shared" si="21"/>
        <v/>
      </c>
      <c r="C8593" s="59" t="str">
        <f t="shared" si="22"/>
        <v/>
      </c>
      <c r="D8593" s="45" t="str">
        <f t="shared" si="23"/>
        <v/>
      </c>
      <c r="E8593" s="45" t="str">
        <f t="shared" si="24"/>
        <v/>
      </c>
      <c r="F8593" s="59" t="str">
        <f t="shared" si="25"/>
        <v/>
      </c>
      <c r="G8593" s="59" t="str">
        <f t="shared" si="26"/>
        <v/>
      </c>
      <c r="H8593" s="59" t="str">
        <f t="shared" si="27"/>
        <v>28C03695</v>
      </c>
      <c r="I8593" s="59" t="str">
        <f>IF(OR($A8593="",$C8593="",$D8593="",$E8593="",$H8593=""),"",SUMIFS(DATA_GOC!$H:$H,DATA_GOC!$A:$A,"BOM",DATA_GOC!$D:$D,$H8593,DATA_GOC!$E:$E,$C8593,DATA_GOC!$F:$F,"Xuất nội bộ từ téc",DATA_GOC!$B:$B,"&gt;="&amp;$D8593,DATA_GOC!$B:$B,"&lt;="&amp;$E8593))</f>
        <v/>
      </c>
      <c r="J8593" s="59">
        <f t="shared" si="28"/>
        <v>0</v>
      </c>
      <c r="K8593" s="59">
        <f t="shared" si="29"/>
        <v>0</v>
      </c>
      <c r="L8593" s="59">
        <f t="shared" si="30"/>
        <v>0</v>
      </c>
      <c r="M8593" s="59">
        <f t="shared" si="31"/>
        <v>0</v>
      </c>
    </row>
    <row r="8594" ht="15.0" hidden="1" customHeight="1">
      <c r="A8594" s="59">
        <f t="shared" si="20"/>
        <v>140</v>
      </c>
      <c r="B8594" s="59" t="str">
        <f t="shared" si="21"/>
        <v/>
      </c>
      <c r="C8594" s="59" t="str">
        <f t="shared" si="22"/>
        <v/>
      </c>
      <c r="D8594" s="45" t="str">
        <f t="shared" si="23"/>
        <v/>
      </c>
      <c r="E8594" s="45" t="str">
        <f t="shared" si="24"/>
        <v/>
      </c>
      <c r="F8594" s="59" t="str">
        <f t="shared" si="25"/>
        <v/>
      </c>
      <c r="G8594" s="59" t="str">
        <f t="shared" si="26"/>
        <v/>
      </c>
      <c r="H8594" s="59" t="str">
        <f t="shared" si="27"/>
        <v>28C03927</v>
      </c>
      <c r="I8594" s="59" t="str">
        <f>IF(OR($A8594="",$C8594="",$D8594="",$E8594="",$H8594=""),"",SUMIFS(DATA_GOC!$H:$H,DATA_GOC!$A:$A,"BOM",DATA_GOC!$D:$D,$H8594,DATA_GOC!$E:$E,$C8594,DATA_GOC!$F:$F,"Xuất nội bộ từ téc",DATA_GOC!$B:$B,"&gt;="&amp;$D8594,DATA_GOC!$B:$B,"&lt;="&amp;$E8594))</f>
        <v/>
      </c>
      <c r="J8594" s="59">
        <f t="shared" si="28"/>
        <v>0</v>
      </c>
      <c r="K8594" s="59">
        <f t="shared" si="29"/>
        <v>0</v>
      </c>
      <c r="L8594" s="59">
        <f t="shared" si="30"/>
        <v>0</v>
      </c>
      <c r="M8594" s="59">
        <f t="shared" si="31"/>
        <v>0</v>
      </c>
    </row>
    <row r="8595" ht="15.0" hidden="1" customHeight="1">
      <c r="A8595" s="59">
        <f t="shared" si="20"/>
        <v>140</v>
      </c>
      <c r="B8595" s="59" t="str">
        <f t="shared" si="21"/>
        <v/>
      </c>
      <c r="C8595" s="59" t="str">
        <f t="shared" si="22"/>
        <v/>
      </c>
      <c r="D8595" s="45" t="str">
        <f t="shared" si="23"/>
        <v/>
      </c>
      <c r="E8595" s="45" t="str">
        <f t="shared" si="24"/>
        <v/>
      </c>
      <c r="F8595" s="59" t="str">
        <f t="shared" si="25"/>
        <v/>
      </c>
      <c r="G8595" s="59" t="str">
        <f t="shared" si="26"/>
        <v/>
      </c>
      <c r="H8595" s="59" t="str">
        <f t="shared" si="27"/>
        <v>28C04509</v>
      </c>
      <c r="I8595" s="59" t="str">
        <f>IF(OR($A8595="",$C8595="",$D8595="",$E8595="",$H8595=""),"",SUMIFS(DATA_GOC!$H:$H,DATA_GOC!$A:$A,"BOM",DATA_GOC!$D:$D,$H8595,DATA_GOC!$E:$E,$C8595,DATA_GOC!$F:$F,"Xuất nội bộ từ téc",DATA_GOC!$B:$B,"&gt;="&amp;$D8595,DATA_GOC!$B:$B,"&lt;="&amp;$E8595))</f>
        <v/>
      </c>
      <c r="J8595" s="59">
        <f t="shared" si="28"/>
        <v>0</v>
      </c>
      <c r="K8595" s="59">
        <f t="shared" si="29"/>
        <v>0</v>
      </c>
      <c r="L8595" s="59">
        <f t="shared" si="30"/>
        <v>0</v>
      </c>
      <c r="M8595" s="59">
        <f t="shared" si="31"/>
        <v>0</v>
      </c>
    </row>
    <row r="8596" ht="15.0" hidden="1" customHeight="1">
      <c r="A8596" s="59">
        <f t="shared" si="20"/>
        <v>140</v>
      </c>
      <c r="B8596" s="59" t="str">
        <f t="shared" si="21"/>
        <v/>
      </c>
      <c r="C8596" s="59" t="str">
        <f t="shared" si="22"/>
        <v/>
      </c>
      <c r="D8596" s="45" t="str">
        <f t="shared" si="23"/>
        <v/>
      </c>
      <c r="E8596" s="45" t="str">
        <f t="shared" si="24"/>
        <v/>
      </c>
      <c r="F8596" s="59" t="str">
        <f t="shared" si="25"/>
        <v/>
      </c>
      <c r="G8596" s="59" t="str">
        <f t="shared" si="26"/>
        <v/>
      </c>
      <c r="H8596" s="59" t="str">
        <f t="shared" si="27"/>
        <v>28C04536</v>
      </c>
      <c r="I8596" s="59" t="str">
        <f>IF(OR($A8596="",$C8596="",$D8596="",$E8596="",$H8596=""),"",SUMIFS(DATA_GOC!$H:$H,DATA_GOC!$A:$A,"BOM",DATA_GOC!$D:$D,$H8596,DATA_GOC!$E:$E,$C8596,DATA_GOC!$F:$F,"Xuất nội bộ từ téc",DATA_GOC!$B:$B,"&gt;="&amp;$D8596,DATA_GOC!$B:$B,"&lt;="&amp;$E8596))</f>
        <v/>
      </c>
      <c r="J8596" s="59">
        <f t="shared" si="28"/>
        <v>0</v>
      </c>
      <c r="K8596" s="59">
        <f t="shared" si="29"/>
        <v>0</v>
      </c>
      <c r="L8596" s="59">
        <f t="shared" si="30"/>
        <v>0</v>
      </c>
      <c r="M8596" s="59">
        <f t="shared" si="31"/>
        <v>0</v>
      </c>
    </row>
    <row r="8597" ht="15.0" hidden="1" customHeight="1">
      <c r="A8597" s="59">
        <f t="shared" si="20"/>
        <v>140</v>
      </c>
      <c r="B8597" s="59" t="str">
        <f t="shared" si="21"/>
        <v/>
      </c>
      <c r="C8597" s="59" t="str">
        <f t="shared" si="22"/>
        <v/>
      </c>
      <c r="D8597" s="45" t="str">
        <f t="shared" si="23"/>
        <v/>
      </c>
      <c r="E8597" s="45" t="str">
        <f t="shared" si="24"/>
        <v/>
      </c>
      <c r="F8597" s="59" t="str">
        <f t="shared" si="25"/>
        <v/>
      </c>
      <c r="G8597" s="59" t="str">
        <f t="shared" si="26"/>
        <v/>
      </c>
      <c r="H8597" s="59" t="str">
        <f t="shared" si="27"/>
        <v>28C04576</v>
      </c>
      <c r="I8597" s="59" t="str">
        <f>IF(OR($A8597="",$C8597="",$D8597="",$E8597="",$H8597=""),"",SUMIFS(DATA_GOC!$H:$H,DATA_GOC!$A:$A,"BOM",DATA_GOC!$D:$D,$H8597,DATA_GOC!$E:$E,$C8597,DATA_GOC!$F:$F,"Xuất nội bộ từ téc",DATA_GOC!$B:$B,"&gt;="&amp;$D8597,DATA_GOC!$B:$B,"&lt;="&amp;$E8597))</f>
        <v/>
      </c>
      <c r="J8597" s="59">
        <f t="shared" si="28"/>
        <v>0</v>
      </c>
      <c r="K8597" s="59">
        <f t="shared" si="29"/>
        <v>0</v>
      </c>
      <c r="L8597" s="59">
        <f t="shared" si="30"/>
        <v>0</v>
      </c>
      <c r="M8597" s="59">
        <f t="shared" si="31"/>
        <v>0</v>
      </c>
    </row>
    <row r="8598" ht="15.0" hidden="1" customHeight="1">
      <c r="A8598" s="59">
        <f t="shared" si="20"/>
        <v>140</v>
      </c>
      <c r="B8598" s="59" t="str">
        <f t="shared" si="21"/>
        <v/>
      </c>
      <c r="C8598" s="59" t="str">
        <f t="shared" si="22"/>
        <v/>
      </c>
      <c r="D8598" s="45" t="str">
        <f t="shared" si="23"/>
        <v/>
      </c>
      <c r="E8598" s="45" t="str">
        <f t="shared" si="24"/>
        <v/>
      </c>
      <c r="F8598" s="59" t="str">
        <f t="shared" si="25"/>
        <v/>
      </c>
      <c r="G8598" s="59" t="str">
        <f t="shared" si="26"/>
        <v/>
      </c>
      <c r="H8598" s="59" t="str">
        <f t="shared" si="27"/>
        <v>28C05090</v>
      </c>
      <c r="I8598" s="59" t="str">
        <f>IF(OR($A8598="",$C8598="",$D8598="",$E8598="",$H8598=""),"",SUMIFS(DATA_GOC!$H:$H,DATA_GOC!$A:$A,"BOM",DATA_GOC!$D:$D,$H8598,DATA_GOC!$E:$E,$C8598,DATA_GOC!$F:$F,"Xuất nội bộ từ téc",DATA_GOC!$B:$B,"&gt;="&amp;$D8598,DATA_GOC!$B:$B,"&lt;="&amp;$E8598))</f>
        <v/>
      </c>
      <c r="J8598" s="59">
        <f t="shared" si="28"/>
        <v>0</v>
      </c>
      <c r="K8598" s="59">
        <f t="shared" si="29"/>
        <v>0</v>
      </c>
      <c r="L8598" s="59">
        <f t="shared" si="30"/>
        <v>0</v>
      </c>
      <c r="M8598" s="59">
        <f t="shared" si="31"/>
        <v>0</v>
      </c>
    </row>
    <row r="8599" ht="15.0" hidden="1" customHeight="1">
      <c r="A8599" s="59">
        <f t="shared" si="20"/>
        <v>140</v>
      </c>
      <c r="B8599" s="59" t="str">
        <f t="shared" si="21"/>
        <v/>
      </c>
      <c r="C8599" s="59" t="str">
        <f t="shared" si="22"/>
        <v/>
      </c>
      <c r="D8599" s="45" t="str">
        <f t="shared" si="23"/>
        <v/>
      </c>
      <c r="E8599" s="45" t="str">
        <f t="shared" si="24"/>
        <v/>
      </c>
      <c r="F8599" s="59" t="str">
        <f t="shared" si="25"/>
        <v/>
      </c>
      <c r="G8599" s="59" t="str">
        <f t="shared" si="26"/>
        <v/>
      </c>
      <c r="H8599" s="59" t="str">
        <f t="shared" si="27"/>
        <v>28C05345</v>
      </c>
      <c r="I8599" s="59" t="str">
        <f>IF(OR($A8599="",$C8599="",$D8599="",$E8599="",$H8599=""),"",SUMIFS(DATA_GOC!$H:$H,DATA_GOC!$A:$A,"BOM",DATA_GOC!$D:$D,$H8599,DATA_GOC!$E:$E,$C8599,DATA_GOC!$F:$F,"Xuất nội bộ từ téc",DATA_GOC!$B:$B,"&gt;="&amp;$D8599,DATA_GOC!$B:$B,"&lt;="&amp;$E8599))</f>
        <v/>
      </c>
      <c r="J8599" s="59">
        <f t="shared" si="28"/>
        <v>0</v>
      </c>
      <c r="K8599" s="59">
        <f t="shared" si="29"/>
        <v>0</v>
      </c>
      <c r="L8599" s="59">
        <f t="shared" si="30"/>
        <v>0</v>
      </c>
      <c r="M8599" s="59">
        <f t="shared" si="31"/>
        <v>0</v>
      </c>
    </row>
    <row r="8600" ht="15.0" hidden="1" customHeight="1">
      <c r="A8600" s="59">
        <f t="shared" si="20"/>
        <v>140</v>
      </c>
      <c r="B8600" s="59" t="str">
        <f t="shared" si="21"/>
        <v/>
      </c>
      <c r="C8600" s="59" t="str">
        <f t="shared" si="22"/>
        <v/>
      </c>
      <c r="D8600" s="45" t="str">
        <f t="shared" si="23"/>
        <v/>
      </c>
      <c r="E8600" s="45" t="str">
        <f t="shared" si="24"/>
        <v/>
      </c>
      <c r="F8600" s="59" t="str">
        <f t="shared" si="25"/>
        <v/>
      </c>
      <c r="G8600" s="59" t="str">
        <f t="shared" si="26"/>
        <v/>
      </c>
      <c r="H8600" s="59" t="str">
        <f t="shared" si="27"/>
        <v>28C05661</v>
      </c>
      <c r="I8600" s="59" t="str">
        <f>IF(OR($A8600="",$C8600="",$D8600="",$E8600="",$H8600=""),"",SUMIFS(DATA_GOC!$H:$H,DATA_GOC!$A:$A,"BOM",DATA_GOC!$D:$D,$H8600,DATA_GOC!$E:$E,$C8600,DATA_GOC!$F:$F,"Xuất nội bộ từ téc",DATA_GOC!$B:$B,"&gt;="&amp;$D8600,DATA_GOC!$B:$B,"&lt;="&amp;$E8600))</f>
        <v/>
      </c>
      <c r="J8600" s="59">
        <f t="shared" si="28"/>
        <v>0</v>
      </c>
      <c r="K8600" s="59">
        <f t="shared" si="29"/>
        <v>0</v>
      </c>
      <c r="L8600" s="59">
        <f t="shared" si="30"/>
        <v>0</v>
      </c>
      <c r="M8600" s="59">
        <f t="shared" si="31"/>
        <v>0</v>
      </c>
    </row>
    <row r="8601" ht="15.0" hidden="1" customHeight="1">
      <c r="A8601" s="59">
        <f t="shared" si="20"/>
        <v>140</v>
      </c>
      <c r="B8601" s="59" t="str">
        <f t="shared" si="21"/>
        <v/>
      </c>
      <c r="C8601" s="59" t="str">
        <f t="shared" si="22"/>
        <v/>
      </c>
      <c r="D8601" s="45" t="str">
        <f t="shared" si="23"/>
        <v/>
      </c>
      <c r="E8601" s="45" t="str">
        <f t="shared" si="24"/>
        <v/>
      </c>
      <c r="F8601" s="59" t="str">
        <f t="shared" si="25"/>
        <v/>
      </c>
      <c r="G8601" s="59" t="str">
        <f t="shared" si="26"/>
        <v/>
      </c>
      <c r="H8601" s="59" t="str">
        <f t="shared" si="27"/>
        <v>28C05739</v>
      </c>
      <c r="I8601" s="59" t="str">
        <f>IF(OR($A8601="",$C8601="",$D8601="",$E8601="",$H8601=""),"",SUMIFS(DATA_GOC!$H:$H,DATA_GOC!$A:$A,"BOM",DATA_GOC!$D:$D,$H8601,DATA_GOC!$E:$E,$C8601,DATA_GOC!$F:$F,"Xuất nội bộ từ téc",DATA_GOC!$B:$B,"&gt;="&amp;$D8601,DATA_GOC!$B:$B,"&lt;="&amp;$E8601))</f>
        <v/>
      </c>
      <c r="J8601" s="59">
        <f t="shared" si="28"/>
        <v>0</v>
      </c>
      <c r="K8601" s="59">
        <f t="shared" si="29"/>
        <v>0</v>
      </c>
      <c r="L8601" s="59">
        <f t="shared" si="30"/>
        <v>0</v>
      </c>
      <c r="M8601" s="59">
        <f t="shared" si="31"/>
        <v>0</v>
      </c>
    </row>
    <row r="8602" ht="15.0" hidden="1" customHeight="1">
      <c r="A8602" s="59">
        <f t="shared" si="20"/>
        <v>140</v>
      </c>
      <c r="B8602" s="59" t="str">
        <f t="shared" si="21"/>
        <v/>
      </c>
      <c r="C8602" s="59" t="str">
        <f t="shared" si="22"/>
        <v/>
      </c>
      <c r="D8602" s="45" t="str">
        <f t="shared" si="23"/>
        <v/>
      </c>
      <c r="E8602" s="45" t="str">
        <f t="shared" si="24"/>
        <v/>
      </c>
      <c r="F8602" s="59" t="str">
        <f t="shared" si="25"/>
        <v/>
      </c>
      <c r="G8602" s="59" t="str">
        <f t="shared" si="26"/>
        <v/>
      </c>
      <c r="H8602" s="59" t="str">
        <f t="shared" si="27"/>
        <v>28C06369</v>
      </c>
      <c r="I8602" s="59" t="str">
        <f>IF(OR($A8602="",$C8602="",$D8602="",$E8602="",$H8602=""),"",SUMIFS(DATA_GOC!$H:$H,DATA_GOC!$A:$A,"BOM",DATA_GOC!$D:$D,$H8602,DATA_GOC!$E:$E,$C8602,DATA_GOC!$F:$F,"Xuất nội bộ từ téc",DATA_GOC!$B:$B,"&gt;="&amp;$D8602,DATA_GOC!$B:$B,"&lt;="&amp;$E8602))</f>
        <v/>
      </c>
      <c r="J8602" s="59">
        <f t="shared" si="28"/>
        <v>0</v>
      </c>
      <c r="K8602" s="59">
        <f t="shared" si="29"/>
        <v>0</v>
      </c>
      <c r="L8602" s="59">
        <f t="shared" si="30"/>
        <v>0</v>
      </c>
      <c r="M8602" s="59">
        <f t="shared" si="31"/>
        <v>0</v>
      </c>
    </row>
    <row r="8603" ht="15.0" hidden="1" customHeight="1">
      <c r="A8603" s="59">
        <f t="shared" si="20"/>
        <v>140</v>
      </c>
      <c r="B8603" s="59" t="str">
        <f t="shared" si="21"/>
        <v/>
      </c>
      <c r="C8603" s="59" t="str">
        <f t="shared" si="22"/>
        <v/>
      </c>
      <c r="D8603" s="45" t="str">
        <f t="shared" si="23"/>
        <v/>
      </c>
      <c r="E8603" s="45" t="str">
        <f t="shared" si="24"/>
        <v/>
      </c>
      <c r="F8603" s="59" t="str">
        <f t="shared" si="25"/>
        <v/>
      </c>
      <c r="G8603" s="59" t="str">
        <f t="shared" si="26"/>
        <v/>
      </c>
      <c r="H8603" s="59" t="str">
        <f t="shared" si="27"/>
        <v>28C06447</v>
      </c>
      <c r="I8603" s="59" t="str">
        <f>IF(OR($A8603="",$C8603="",$D8603="",$E8603="",$H8603=""),"",SUMIFS(DATA_GOC!$H:$H,DATA_GOC!$A:$A,"BOM",DATA_GOC!$D:$D,$H8603,DATA_GOC!$E:$E,$C8603,DATA_GOC!$F:$F,"Xuất nội bộ từ téc",DATA_GOC!$B:$B,"&gt;="&amp;$D8603,DATA_GOC!$B:$B,"&lt;="&amp;$E8603))</f>
        <v/>
      </c>
      <c r="J8603" s="59">
        <f t="shared" si="28"/>
        <v>0</v>
      </c>
      <c r="K8603" s="59">
        <f t="shared" si="29"/>
        <v>0</v>
      </c>
      <c r="L8603" s="59">
        <f t="shared" si="30"/>
        <v>0</v>
      </c>
      <c r="M8603" s="59">
        <f t="shared" si="31"/>
        <v>0</v>
      </c>
    </row>
    <row r="8604" ht="15.0" hidden="1" customHeight="1">
      <c r="A8604" s="59">
        <f t="shared" si="20"/>
        <v>140</v>
      </c>
      <c r="B8604" s="59" t="str">
        <f t="shared" si="21"/>
        <v/>
      </c>
      <c r="C8604" s="59" t="str">
        <f t="shared" si="22"/>
        <v/>
      </c>
      <c r="D8604" s="45" t="str">
        <f t="shared" si="23"/>
        <v/>
      </c>
      <c r="E8604" s="45" t="str">
        <f t="shared" si="24"/>
        <v/>
      </c>
      <c r="F8604" s="59" t="str">
        <f t="shared" si="25"/>
        <v/>
      </c>
      <c r="G8604" s="59" t="str">
        <f t="shared" si="26"/>
        <v/>
      </c>
      <c r="H8604" s="59" t="str">
        <f t="shared" si="27"/>
        <v>28H00003</v>
      </c>
      <c r="I8604" s="59" t="str">
        <f>IF(OR($A8604="",$C8604="",$D8604="",$E8604="",$H8604=""),"",SUMIFS(DATA_GOC!$H:$H,DATA_GOC!$A:$A,"BOM",DATA_GOC!$D:$D,$H8604,DATA_GOC!$E:$E,$C8604,DATA_GOC!$F:$F,"Xuất nội bộ từ téc",DATA_GOC!$B:$B,"&gt;="&amp;$D8604,DATA_GOC!$B:$B,"&lt;="&amp;$E8604))</f>
        <v/>
      </c>
      <c r="J8604" s="59">
        <f t="shared" si="28"/>
        <v>0</v>
      </c>
      <c r="K8604" s="59">
        <f t="shared" si="29"/>
        <v>0</v>
      </c>
      <c r="L8604" s="59">
        <f t="shared" si="30"/>
        <v>0</v>
      </c>
      <c r="M8604" s="59">
        <f t="shared" si="31"/>
        <v>0</v>
      </c>
    </row>
    <row r="8605" ht="15.0" hidden="1" customHeight="1">
      <c r="A8605" s="59">
        <f t="shared" si="20"/>
        <v>140</v>
      </c>
      <c r="B8605" s="59" t="str">
        <f t="shared" si="21"/>
        <v/>
      </c>
      <c r="C8605" s="59" t="str">
        <f t="shared" si="22"/>
        <v/>
      </c>
      <c r="D8605" s="45" t="str">
        <f t="shared" si="23"/>
        <v/>
      </c>
      <c r="E8605" s="45" t="str">
        <f t="shared" si="24"/>
        <v/>
      </c>
      <c r="F8605" s="59" t="str">
        <f t="shared" si="25"/>
        <v/>
      </c>
      <c r="G8605" s="59" t="str">
        <f t="shared" si="26"/>
        <v/>
      </c>
      <c r="H8605" s="59" t="str">
        <f t="shared" si="27"/>
        <v>28H00061</v>
      </c>
      <c r="I8605" s="59" t="str">
        <f>IF(OR($A8605="",$C8605="",$D8605="",$E8605="",$H8605=""),"",SUMIFS(DATA_GOC!$H:$H,DATA_GOC!$A:$A,"BOM",DATA_GOC!$D:$D,$H8605,DATA_GOC!$E:$E,$C8605,DATA_GOC!$F:$F,"Xuất nội bộ từ téc",DATA_GOC!$B:$B,"&gt;="&amp;$D8605,DATA_GOC!$B:$B,"&lt;="&amp;$E8605))</f>
        <v/>
      </c>
      <c r="J8605" s="59">
        <f t="shared" si="28"/>
        <v>0</v>
      </c>
      <c r="K8605" s="59">
        <f t="shared" si="29"/>
        <v>0</v>
      </c>
      <c r="L8605" s="59">
        <f t="shared" si="30"/>
        <v>0</v>
      </c>
      <c r="M8605" s="59">
        <f t="shared" si="31"/>
        <v>0</v>
      </c>
    </row>
    <row r="8606" ht="15.0" hidden="1" customHeight="1">
      <c r="A8606" s="59">
        <f t="shared" si="20"/>
        <v>140</v>
      </c>
      <c r="B8606" s="59" t="str">
        <f t="shared" si="21"/>
        <v/>
      </c>
      <c r="C8606" s="59" t="str">
        <f t="shared" si="22"/>
        <v/>
      </c>
      <c r="D8606" s="45" t="str">
        <f t="shared" si="23"/>
        <v/>
      </c>
      <c r="E8606" s="45" t="str">
        <f t="shared" si="24"/>
        <v/>
      </c>
      <c r="F8606" s="59" t="str">
        <f t="shared" si="25"/>
        <v/>
      </c>
      <c r="G8606" s="59" t="str">
        <f t="shared" si="26"/>
        <v/>
      </c>
      <c r="H8606" s="59" t="str">
        <f t="shared" si="27"/>
        <v>28H00354</v>
      </c>
      <c r="I8606" s="59" t="str">
        <f>IF(OR($A8606="",$C8606="",$D8606="",$E8606="",$H8606=""),"",SUMIFS(DATA_GOC!$H:$H,DATA_GOC!$A:$A,"BOM",DATA_GOC!$D:$D,$H8606,DATA_GOC!$E:$E,$C8606,DATA_GOC!$F:$F,"Xuất nội bộ từ téc",DATA_GOC!$B:$B,"&gt;="&amp;$D8606,DATA_GOC!$B:$B,"&lt;="&amp;$E8606))</f>
        <v/>
      </c>
      <c r="J8606" s="59">
        <f t="shared" si="28"/>
        <v>0</v>
      </c>
      <c r="K8606" s="59">
        <f t="shared" si="29"/>
        <v>0</v>
      </c>
      <c r="L8606" s="59">
        <f t="shared" si="30"/>
        <v>0</v>
      </c>
      <c r="M8606" s="59">
        <f t="shared" si="31"/>
        <v>0</v>
      </c>
    </row>
    <row r="8607" ht="15.0" hidden="1" customHeight="1">
      <c r="A8607" s="59">
        <f t="shared" si="20"/>
        <v>140</v>
      </c>
      <c r="B8607" s="59" t="str">
        <f t="shared" si="21"/>
        <v/>
      </c>
      <c r="C8607" s="59" t="str">
        <f t="shared" si="22"/>
        <v/>
      </c>
      <c r="D8607" s="45" t="str">
        <f t="shared" si="23"/>
        <v/>
      </c>
      <c r="E8607" s="45" t="str">
        <f t="shared" si="24"/>
        <v/>
      </c>
      <c r="F8607" s="59" t="str">
        <f t="shared" si="25"/>
        <v/>
      </c>
      <c r="G8607" s="59" t="str">
        <f t="shared" si="26"/>
        <v/>
      </c>
      <c r="H8607" s="59" t="str">
        <f t="shared" si="27"/>
        <v>28H00603</v>
      </c>
      <c r="I8607" s="59" t="str">
        <f>IF(OR($A8607="",$C8607="",$D8607="",$E8607="",$H8607=""),"",SUMIFS(DATA_GOC!$H:$H,DATA_GOC!$A:$A,"BOM",DATA_GOC!$D:$D,$H8607,DATA_GOC!$E:$E,$C8607,DATA_GOC!$F:$F,"Xuất nội bộ từ téc",DATA_GOC!$B:$B,"&gt;="&amp;$D8607,DATA_GOC!$B:$B,"&lt;="&amp;$E8607))</f>
        <v/>
      </c>
      <c r="J8607" s="59">
        <f t="shared" si="28"/>
        <v>0</v>
      </c>
      <c r="K8607" s="59">
        <f t="shared" si="29"/>
        <v>0</v>
      </c>
      <c r="L8607" s="59">
        <f t="shared" si="30"/>
        <v>0</v>
      </c>
      <c r="M8607" s="59">
        <f t="shared" si="31"/>
        <v>0</v>
      </c>
    </row>
    <row r="8608" ht="15.0" hidden="1" customHeight="1">
      <c r="A8608" s="59">
        <f t="shared" si="20"/>
        <v>140</v>
      </c>
      <c r="B8608" s="59" t="str">
        <f t="shared" si="21"/>
        <v/>
      </c>
      <c r="C8608" s="59" t="str">
        <f t="shared" si="22"/>
        <v/>
      </c>
      <c r="D8608" s="45" t="str">
        <f t="shared" si="23"/>
        <v/>
      </c>
      <c r="E8608" s="45" t="str">
        <f t="shared" si="24"/>
        <v/>
      </c>
      <c r="F8608" s="59" t="str">
        <f t="shared" si="25"/>
        <v/>
      </c>
      <c r="G8608" s="59" t="str">
        <f t="shared" si="26"/>
        <v/>
      </c>
      <c r="H8608" s="59" t="str">
        <f t="shared" si="27"/>
        <v>28H00609</v>
      </c>
      <c r="I8608" s="59" t="str">
        <f>IF(OR($A8608="",$C8608="",$D8608="",$E8608="",$H8608=""),"",SUMIFS(DATA_GOC!$H:$H,DATA_GOC!$A:$A,"BOM",DATA_GOC!$D:$D,$H8608,DATA_GOC!$E:$E,$C8608,DATA_GOC!$F:$F,"Xuất nội bộ từ téc",DATA_GOC!$B:$B,"&gt;="&amp;$D8608,DATA_GOC!$B:$B,"&lt;="&amp;$E8608))</f>
        <v/>
      </c>
      <c r="J8608" s="59">
        <f t="shared" si="28"/>
        <v>0</v>
      </c>
      <c r="K8608" s="59">
        <f t="shared" si="29"/>
        <v>0</v>
      </c>
      <c r="L8608" s="59">
        <f t="shared" si="30"/>
        <v>0</v>
      </c>
      <c r="M8608" s="59">
        <f t="shared" si="31"/>
        <v>0</v>
      </c>
    </row>
    <row r="8609" ht="15.0" hidden="1" customHeight="1">
      <c r="A8609" s="59">
        <f t="shared" si="20"/>
        <v>140</v>
      </c>
      <c r="B8609" s="59" t="str">
        <f t="shared" si="21"/>
        <v/>
      </c>
      <c r="C8609" s="59" t="str">
        <f t="shared" si="22"/>
        <v/>
      </c>
      <c r="D8609" s="45" t="str">
        <f t="shared" si="23"/>
        <v/>
      </c>
      <c r="E8609" s="45" t="str">
        <f t="shared" si="24"/>
        <v/>
      </c>
      <c r="F8609" s="59" t="str">
        <f t="shared" si="25"/>
        <v/>
      </c>
      <c r="G8609" s="59" t="str">
        <f t="shared" si="26"/>
        <v/>
      </c>
      <c r="H8609" s="59" t="str">
        <f t="shared" si="27"/>
        <v>28H00669</v>
      </c>
      <c r="I8609" s="59" t="str">
        <f>IF(OR($A8609="",$C8609="",$D8609="",$E8609="",$H8609=""),"",SUMIFS(DATA_GOC!$H:$H,DATA_GOC!$A:$A,"BOM",DATA_GOC!$D:$D,$H8609,DATA_GOC!$E:$E,$C8609,DATA_GOC!$F:$F,"Xuất nội bộ từ téc",DATA_GOC!$B:$B,"&gt;="&amp;$D8609,DATA_GOC!$B:$B,"&lt;="&amp;$E8609))</f>
        <v/>
      </c>
      <c r="J8609" s="59">
        <f t="shared" si="28"/>
        <v>0</v>
      </c>
      <c r="K8609" s="59">
        <f t="shared" si="29"/>
        <v>0</v>
      </c>
      <c r="L8609" s="59">
        <f t="shared" si="30"/>
        <v>0</v>
      </c>
      <c r="M8609" s="59">
        <f t="shared" si="31"/>
        <v>0</v>
      </c>
    </row>
    <row r="8610" ht="15.0" hidden="1" customHeight="1">
      <c r="A8610" s="59">
        <f t="shared" si="20"/>
        <v>140</v>
      </c>
      <c r="B8610" s="59" t="str">
        <f t="shared" si="21"/>
        <v/>
      </c>
      <c r="C8610" s="59" t="str">
        <f t="shared" si="22"/>
        <v/>
      </c>
      <c r="D8610" s="45" t="str">
        <f t="shared" si="23"/>
        <v/>
      </c>
      <c r="E8610" s="45" t="str">
        <f t="shared" si="24"/>
        <v/>
      </c>
      <c r="F8610" s="59" t="str">
        <f t="shared" si="25"/>
        <v/>
      </c>
      <c r="G8610" s="59" t="str">
        <f t="shared" si="26"/>
        <v/>
      </c>
      <c r="H8610" s="59" t="str">
        <f t="shared" si="27"/>
        <v>28H00680</v>
      </c>
      <c r="I8610" s="59" t="str">
        <f>IF(OR($A8610="",$C8610="",$D8610="",$E8610="",$H8610=""),"",SUMIFS(DATA_GOC!$H:$H,DATA_GOC!$A:$A,"BOM",DATA_GOC!$D:$D,$H8610,DATA_GOC!$E:$E,$C8610,DATA_GOC!$F:$F,"Xuất nội bộ từ téc",DATA_GOC!$B:$B,"&gt;="&amp;$D8610,DATA_GOC!$B:$B,"&lt;="&amp;$E8610))</f>
        <v/>
      </c>
      <c r="J8610" s="59">
        <f t="shared" si="28"/>
        <v>0</v>
      </c>
      <c r="K8610" s="59">
        <f t="shared" si="29"/>
        <v>0</v>
      </c>
      <c r="L8610" s="59">
        <f t="shared" si="30"/>
        <v>0</v>
      </c>
      <c r="M8610" s="59">
        <f t="shared" si="31"/>
        <v>0</v>
      </c>
    </row>
    <row r="8611" ht="15.0" hidden="1" customHeight="1">
      <c r="A8611" s="59">
        <f t="shared" si="20"/>
        <v>140</v>
      </c>
      <c r="B8611" s="59" t="str">
        <f t="shared" si="21"/>
        <v/>
      </c>
      <c r="C8611" s="59" t="str">
        <f t="shared" si="22"/>
        <v/>
      </c>
      <c r="D8611" s="45" t="str">
        <f t="shared" si="23"/>
        <v/>
      </c>
      <c r="E8611" s="45" t="str">
        <f t="shared" si="24"/>
        <v/>
      </c>
      <c r="F8611" s="59" t="str">
        <f t="shared" si="25"/>
        <v/>
      </c>
      <c r="G8611" s="59" t="str">
        <f t="shared" si="26"/>
        <v/>
      </c>
      <c r="H8611" s="59" t="str">
        <f t="shared" si="27"/>
        <v>28H01070</v>
      </c>
      <c r="I8611" s="59" t="str">
        <f>IF(OR($A8611="",$C8611="",$D8611="",$E8611="",$H8611=""),"",SUMIFS(DATA_GOC!$H:$H,DATA_GOC!$A:$A,"BOM",DATA_GOC!$D:$D,$H8611,DATA_GOC!$E:$E,$C8611,DATA_GOC!$F:$F,"Xuất nội bộ từ téc",DATA_GOC!$B:$B,"&gt;="&amp;$D8611,DATA_GOC!$B:$B,"&lt;="&amp;$E8611))</f>
        <v/>
      </c>
      <c r="J8611" s="59">
        <f t="shared" si="28"/>
        <v>0</v>
      </c>
      <c r="K8611" s="59">
        <f t="shared" si="29"/>
        <v>0</v>
      </c>
      <c r="L8611" s="59">
        <f t="shared" si="30"/>
        <v>0</v>
      </c>
      <c r="M8611" s="59">
        <f t="shared" si="31"/>
        <v>0</v>
      </c>
    </row>
    <row r="8612" ht="15.0" hidden="1" customHeight="1">
      <c r="A8612" s="59">
        <f t="shared" si="20"/>
        <v>140</v>
      </c>
      <c r="B8612" s="59" t="str">
        <f t="shared" si="21"/>
        <v/>
      </c>
      <c r="C8612" s="59" t="str">
        <f t="shared" si="22"/>
        <v/>
      </c>
      <c r="D8612" s="45" t="str">
        <f t="shared" si="23"/>
        <v/>
      </c>
      <c r="E8612" s="45" t="str">
        <f t="shared" si="24"/>
        <v/>
      </c>
      <c r="F8612" s="59" t="str">
        <f t="shared" si="25"/>
        <v/>
      </c>
      <c r="G8612" s="59" t="str">
        <f t="shared" si="26"/>
        <v/>
      </c>
      <c r="H8612" s="59" t="str">
        <f t="shared" si="27"/>
        <v>28H01364</v>
      </c>
      <c r="I8612" s="59" t="str">
        <f>IF(OR($A8612="",$C8612="",$D8612="",$E8612="",$H8612=""),"",SUMIFS(DATA_GOC!$H:$H,DATA_GOC!$A:$A,"BOM",DATA_GOC!$D:$D,$H8612,DATA_GOC!$E:$E,$C8612,DATA_GOC!$F:$F,"Xuất nội bộ từ téc",DATA_GOC!$B:$B,"&gt;="&amp;$D8612,DATA_GOC!$B:$B,"&lt;="&amp;$E8612))</f>
        <v/>
      </c>
      <c r="J8612" s="59">
        <f t="shared" si="28"/>
        <v>0</v>
      </c>
      <c r="K8612" s="59">
        <f t="shared" si="29"/>
        <v>0</v>
      </c>
      <c r="L8612" s="59">
        <f t="shared" si="30"/>
        <v>0</v>
      </c>
      <c r="M8612" s="59">
        <f t="shared" si="31"/>
        <v>0</v>
      </c>
    </row>
    <row r="8613" ht="15.0" hidden="1" customHeight="1">
      <c r="A8613" s="59">
        <f t="shared" si="20"/>
        <v>140</v>
      </c>
      <c r="B8613" s="59" t="str">
        <f t="shared" si="21"/>
        <v/>
      </c>
      <c r="C8613" s="59" t="str">
        <f t="shared" si="22"/>
        <v/>
      </c>
      <c r="D8613" s="45" t="str">
        <f t="shared" si="23"/>
        <v/>
      </c>
      <c r="E8613" s="45" t="str">
        <f t="shared" si="24"/>
        <v/>
      </c>
      <c r="F8613" s="59" t="str">
        <f t="shared" si="25"/>
        <v/>
      </c>
      <c r="G8613" s="59" t="str">
        <f t="shared" si="26"/>
        <v/>
      </c>
      <c r="H8613" s="59" t="str">
        <f t="shared" si="27"/>
        <v>29E17269</v>
      </c>
      <c r="I8613" s="59" t="str">
        <f>IF(OR($A8613="",$C8613="",$D8613="",$E8613="",$H8613=""),"",SUMIFS(DATA_GOC!$H:$H,DATA_GOC!$A:$A,"BOM",DATA_GOC!$D:$D,$H8613,DATA_GOC!$E:$E,$C8613,DATA_GOC!$F:$F,"Xuất nội bộ từ téc",DATA_GOC!$B:$B,"&gt;="&amp;$D8613,DATA_GOC!$B:$B,"&lt;="&amp;$E8613))</f>
        <v/>
      </c>
      <c r="J8613" s="59">
        <f t="shared" si="28"/>
        <v>0</v>
      </c>
      <c r="K8613" s="59">
        <f t="shared" si="29"/>
        <v>0</v>
      </c>
      <c r="L8613" s="59">
        <f t="shared" si="30"/>
        <v>0</v>
      </c>
      <c r="M8613" s="59">
        <f t="shared" si="31"/>
        <v>0</v>
      </c>
    </row>
    <row r="8614" ht="15.0" hidden="1" customHeight="1">
      <c r="A8614" s="59">
        <f t="shared" si="20"/>
        <v>140</v>
      </c>
      <c r="B8614" s="59" t="str">
        <f t="shared" si="21"/>
        <v/>
      </c>
      <c r="C8614" s="59" t="str">
        <f t="shared" si="22"/>
        <v/>
      </c>
      <c r="D8614" s="45" t="str">
        <f t="shared" si="23"/>
        <v/>
      </c>
      <c r="E8614" s="45" t="str">
        <f t="shared" si="24"/>
        <v/>
      </c>
      <c r="F8614" s="59" t="str">
        <f t="shared" si="25"/>
        <v/>
      </c>
      <c r="G8614" s="59" t="str">
        <f t="shared" si="26"/>
        <v/>
      </c>
      <c r="H8614" s="59" t="str">
        <f t="shared" si="27"/>
        <v>29E17273</v>
      </c>
      <c r="I8614" s="59" t="str">
        <f>IF(OR($A8614="",$C8614="",$D8614="",$E8614="",$H8614=""),"",SUMIFS(DATA_GOC!$H:$H,DATA_GOC!$A:$A,"BOM",DATA_GOC!$D:$D,$H8614,DATA_GOC!$E:$E,$C8614,DATA_GOC!$F:$F,"Xuất nội bộ từ téc",DATA_GOC!$B:$B,"&gt;="&amp;$D8614,DATA_GOC!$B:$B,"&lt;="&amp;$E8614))</f>
        <v/>
      </c>
      <c r="J8614" s="59">
        <f t="shared" si="28"/>
        <v>0</v>
      </c>
      <c r="K8614" s="59">
        <f t="shared" si="29"/>
        <v>0</v>
      </c>
      <c r="L8614" s="59">
        <f t="shared" si="30"/>
        <v>0</v>
      </c>
      <c r="M8614" s="59">
        <f t="shared" si="31"/>
        <v>0</v>
      </c>
    </row>
    <row r="8615" ht="15.0" hidden="1" customHeight="1">
      <c r="A8615" s="59">
        <f t="shared" si="20"/>
        <v>140</v>
      </c>
      <c r="B8615" s="59" t="str">
        <f t="shared" si="21"/>
        <v/>
      </c>
      <c r="C8615" s="59" t="str">
        <f t="shared" si="22"/>
        <v/>
      </c>
      <c r="D8615" s="45" t="str">
        <f t="shared" si="23"/>
        <v/>
      </c>
      <c r="E8615" s="45" t="str">
        <f t="shared" si="24"/>
        <v/>
      </c>
      <c r="F8615" s="59" t="str">
        <f t="shared" si="25"/>
        <v/>
      </c>
      <c r="G8615" s="59" t="str">
        <f t="shared" si="26"/>
        <v/>
      </c>
      <c r="H8615" s="59" t="str">
        <f t="shared" si="27"/>
        <v>29E17410</v>
      </c>
      <c r="I8615" s="59" t="str">
        <f>IF(OR($A8615="",$C8615="",$D8615="",$E8615="",$H8615=""),"",SUMIFS(DATA_GOC!$H:$H,DATA_GOC!$A:$A,"BOM",DATA_GOC!$D:$D,$H8615,DATA_GOC!$E:$E,$C8615,DATA_GOC!$F:$F,"Xuất nội bộ từ téc",DATA_GOC!$B:$B,"&gt;="&amp;$D8615,DATA_GOC!$B:$B,"&lt;="&amp;$E8615))</f>
        <v/>
      </c>
      <c r="J8615" s="59">
        <f t="shared" si="28"/>
        <v>0</v>
      </c>
      <c r="K8615" s="59">
        <f t="shared" si="29"/>
        <v>0</v>
      </c>
      <c r="L8615" s="59">
        <f t="shared" si="30"/>
        <v>0</v>
      </c>
      <c r="M8615" s="59">
        <f t="shared" si="31"/>
        <v>0</v>
      </c>
    </row>
    <row r="8616" ht="15.0" hidden="1" customHeight="1">
      <c r="A8616" s="59">
        <f t="shared" si="20"/>
        <v>140</v>
      </c>
      <c r="B8616" s="59" t="str">
        <f t="shared" si="21"/>
        <v/>
      </c>
      <c r="C8616" s="59" t="str">
        <f t="shared" si="22"/>
        <v/>
      </c>
      <c r="D8616" s="45" t="str">
        <f t="shared" si="23"/>
        <v/>
      </c>
      <c r="E8616" s="45" t="str">
        <f t="shared" si="24"/>
        <v/>
      </c>
      <c r="F8616" s="59" t="str">
        <f t="shared" si="25"/>
        <v/>
      </c>
      <c r="G8616" s="59" t="str">
        <f t="shared" si="26"/>
        <v/>
      </c>
      <c r="H8616" s="59" t="str">
        <f t="shared" si="27"/>
        <v>29E17417</v>
      </c>
      <c r="I8616" s="59" t="str">
        <f>IF(OR($A8616="",$C8616="",$D8616="",$E8616="",$H8616=""),"",SUMIFS(DATA_GOC!$H:$H,DATA_GOC!$A:$A,"BOM",DATA_GOC!$D:$D,$H8616,DATA_GOC!$E:$E,$C8616,DATA_GOC!$F:$F,"Xuất nội bộ từ téc",DATA_GOC!$B:$B,"&gt;="&amp;$D8616,DATA_GOC!$B:$B,"&lt;="&amp;$E8616))</f>
        <v/>
      </c>
      <c r="J8616" s="59">
        <f t="shared" si="28"/>
        <v>0</v>
      </c>
      <c r="K8616" s="59">
        <f t="shared" si="29"/>
        <v>0</v>
      </c>
      <c r="L8616" s="59">
        <f t="shared" si="30"/>
        <v>0</v>
      </c>
      <c r="M8616" s="59">
        <f t="shared" si="31"/>
        <v>0</v>
      </c>
    </row>
    <row r="8617" ht="15.0" hidden="1" customHeight="1">
      <c r="A8617" s="59">
        <f t="shared" si="20"/>
        <v>140</v>
      </c>
      <c r="B8617" s="59" t="str">
        <f t="shared" si="21"/>
        <v/>
      </c>
      <c r="C8617" s="59" t="str">
        <f t="shared" si="22"/>
        <v/>
      </c>
      <c r="D8617" s="45" t="str">
        <f t="shared" si="23"/>
        <v/>
      </c>
      <c r="E8617" s="45" t="str">
        <f t="shared" si="24"/>
        <v/>
      </c>
      <c r="F8617" s="59" t="str">
        <f t="shared" si="25"/>
        <v/>
      </c>
      <c r="G8617" s="59" t="str">
        <f t="shared" si="26"/>
        <v/>
      </c>
      <c r="H8617" s="59" t="str">
        <f t="shared" si="27"/>
        <v>29E17539</v>
      </c>
      <c r="I8617" s="59" t="str">
        <f>IF(OR($A8617="",$C8617="",$D8617="",$E8617="",$H8617=""),"",SUMIFS(DATA_GOC!$H:$H,DATA_GOC!$A:$A,"BOM",DATA_GOC!$D:$D,$H8617,DATA_GOC!$E:$E,$C8617,DATA_GOC!$F:$F,"Xuất nội bộ từ téc",DATA_GOC!$B:$B,"&gt;="&amp;$D8617,DATA_GOC!$B:$B,"&lt;="&amp;$E8617))</f>
        <v/>
      </c>
      <c r="J8617" s="59">
        <f t="shared" si="28"/>
        <v>0</v>
      </c>
      <c r="K8617" s="59">
        <f t="shared" si="29"/>
        <v>0</v>
      </c>
      <c r="L8617" s="59">
        <f t="shared" si="30"/>
        <v>0</v>
      </c>
      <c r="M8617" s="59">
        <f t="shared" si="31"/>
        <v>0</v>
      </c>
    </row>
    <row r="8618" ht="15.0" hidden="1" customHeight="1">
      <c r="A8618" s="59">
        <f t="shared" si="20"/>
        <v>140</v>
      </c>
      <c r="B8618" s="59" t="str">
        <f t="shared" si="21"/>
        <v/>
      </c>
      <c r="C8618" s="59" t="str">
        <f t="shared" si="22"/>
        <v/>
      </c>
      <c r="D8618" s="45" t="str">
        <f t="shared" si="23"/>
        <v/>
      </c>
      <c r="E8618" s="45" t="str">
        <f t="shared" si="24"/>
        <v/>
      </c>
      <c r="F8618" s="59" t="str">
        <f t="shared" si="25"/>
        <v/>
      </c>
      <c r="G8618" s="59" t="str">
        <f t="shared" si="26"/>
        <v/>
      </c>
      <c r="H8618" s="59" t="str">
        <f t="shared" si="27"/>
        <v>29E18160</v>
      </c>
      <c r="I8618" s="59" t="str">
        <f>IF(OR($A8618="",$C8618="",$D8618="",$E8618="",$H8618=""),"",SUMIFS(DATA_GOC!$H:$H,DATA_GOC!$A:$A,"BOM",DATA_GOC!$D:$D,$H8618,DATA_GOC!$E:$E,$C8618,DATA_GOC!$F:$F,"Xuất nội bộ từ téc",DATA_GOC!$B:$B,"&gt;="&amp;$D8618,DATA_GOC!$B:$B,"&lt;="&amp;$E8618))</f>
        <v/>
      </c>
      <c r="J8618" s="59">
        <f t="shared" si="28"/>
        <v>0</v>
      </c>
      <c r="K8618" s="59">
        <f t="shared" si="29"/>
        <v>0</v>
      </c>
      <c r="L8618" s="59">
        <f t="shared" si="30"/>
        <v>0</v>
      </c>
      <c r="M8618" s="59">
        <f t="shared" si="31"/>
        <v>0</v>
      </c>
    </row>
    <row r="8619" ht="15.0" hidden="1" customHeight="1">
      <c r="A8619" s="59">
        <f t="shared" si="20"/>
        <v>140</v>
      </c>
      <c r="B8619" s="59" t="str">
        <f t="shared" si="21"/>
        <v/>
      </c>
      <c r="C8619" s="59" t="str">
        <f t="shared" si="22"/>
        <v/>
      </c>
      <c r="D8619" s="45" t="str">
        <f t="shared" si="23"/>
        <v/>
      </c>
      <c r="E8619" s="45" t="str">
        <f t="shared" si="24"/>
        <v/>
      </c>
      <c r="F8619" s="59" t="str">
        <f t="shared" si="25"/>
        <v/>
      </c>
      <c r="G8619" s="59" t="str">
        <f t="shared" si="26"/>
        <v/>
      </c>
      <c r="H8619" s="59" t="str">
        <f t="shared" si="27"/>
        <v>Công trình Asphalt</v>
      </c>
      <c r="I8619" s="59" t="str">
        <f>IF(OR($A8619="",$C8619="",$D8619="",$E8619="",$H8619=""),"",SUMIFS(DATA_GOC!$H:$H,DATA_GOC!$A:$A,"BOM",DATA_GOC!$D:$D,$H8619,DATA_GOC!$E:$E,$C8619,DATA_GOC!$F:$F,"Xuất nội bộ từ téc",DATA_GOC!$B:$B,"&gt;="&amp;$D8619,DATA_GOC!$B:$B,"&lt;="&amp;$E8619))</f>
        <v/>
      </c>
      <c r="J8619" s="59">
        <f t="shared" si="28"/>
        <v>0</v>
      </c>
      <c r="K8619" s="59">
        <f t="shared" si="29"/>
        <v>0</v>
      </c>
      <c r="L8619" s="59">
        <f t="shared" si="30"/>
        <v>0</v>
      </c>
      <c r="M8619" s="59">
        <f t="shared" si="31"/>
        <v>0</v>
      </c>
    </row>
    <row r="8620" ht="15.0" hidden="1" customHeight="1">
      <c r="A8620" s="59">
        <f t="shared" si="20"/>
        <v>140</v>
      </c>
      <c r="B8620" s="59" t="str">
        <f t="shared" si="21"/>
        <v/>
      </c>
      <c r="C8620" s="59" t="str">
        <f t="shared" si="22"/>
        <v/>
      </c>
      <c r="D8620" s="45" t="str">
        <f t="shared" si="23"/>
        <v/>
      </c>
      <c r="E8620" s="45" t="str">
        <f t="shared" si="24"/>
        <v/>
      </c>
      <c r="F8620" s="59" t="str">
        <f t="shared" si="25"/>
        <v/>
      </c>
      <c r="G8620" s="59" t="str">
        <f t="shared" si="26"/>
        <v/>
      </c>
      <c r="H8620" s="59" t="str">
        <f t="shared" si="27"/>
        <v>LG53F</v>
      </c>
      <c r="I8620" s="59" t="str">
        <f>IF(OR($A8620="",$C8620="",$D8620="",$E8620="",$H8620=""),"",SUMIFS(DATA_GOC!$H:$H,DATA_GOC!$A:$A,"BOM",DATA_GOC!$D:$D,$H8620,DATA_GOC!$E:$E,$C8620,DATA_GOC!$F:$F,"Xuất nội bộ từ téc",DATA_GOC!$B:$B,"&gt;="&amp;$D8620,DATA_GOC!$B:$B,"&lt;="&amp;$E8620))</f>
        <v/>
      </c>
      <c r="J8620" s="59">
        <f t="shared" si="28"/>
        <v>0</v>
      </c>
      <c r="K8620" s="59">
        <f t="shared" si="29"/>
        <v>0</v>
      </c>
      <c r="L8620" s="59">
        <f t="shared" si="30"/>
        <v>0</v>
      </c>
      <c r="M8620" s="59">
        <f t="shared" si="31"/>
        <v>0</v>
      </c>
    </row>
    <row r="8621" ht="15.0" hidden="1" customHeight="1">
      <c r="A8621" s="59">
        <f t="shared" si="20"/>
        <v>140</v>
      </c>
      <c r="B8621" s="59" t="str">
        <f t="shared" si="21"/>
        <v/>
      </c>
      <c r="C8621" s="59" t="str">
        <f t="shared" si="22"/>
        <v/>
      </c>
      <c r="D8621" s="45" t="str">
        <f t="shared" si="23"/>
        <v/>
      </c>
      <c r="E8621" s="45" t="str">
        <f t="shared" si="24"/>
        <v/>
      </c>
      <c r="F8621" s="59" t="str">
        <f t="shared" si="25"/>
        <v/>
      </c>
      <c r="G8621" s="59" t="str">
        <f t="shared" si="26"/>
        <v/>
      </c>
      <c r="H8621" s="59" t="str">
        <f t="shared" si="27"/>
        <v>Máy phát điện</v>
      </c>
      <c r="I8621" s="59" t="str">
        <f>IF(OR($A8621="",$C8621="",$D8621="",$E8621="",$H8621=""),"",SUMIFS(DATA_GOC!$H:$H,DATA_GOC!$A:$A,"BOM",DATA_GOC!$D:$D,$H8621,DATA_GOC!$E:$E,$C8621,DATA_GOC!$F:$F,"Xuất nội bộ từ téc",DATA_GOC!$B:$B,"&gt;="&amp;$D8621,DATA_GOC!$B:$B,"&lt;="&amp;$E8621))</f>
        <v/>
      </c>
      <c r="J8621" s="59">
        <f t="shared" si="28"/>
        <v>0</v>
      </c>
      <c r="K8621" s="59">
        <f t="shared" si="29"/>
        <v>0</v>
      </c>
      <c r="L8621" s="59">
        <f t="shared" si="30"/>
        <v>0</v>
      </c>
      <c r="M8621" s="59">
        <f t="shared" si="31"/>
        <v>0</v>
      </c>
    </row>
    <row r="8622" ht="15.0" hidden="1" customHeight="1">
      <c r="A8622" s="59">
        <f t="shared" si="20"/>
        <v>140</v>
      </c>
      <c r="B8622" s="59" t="str">
        <f t="shared" si="21"/>
        <v/>
      </c>
      <c r="C8622" s="59" t="str">
        <f t="shared" si="22"/>
        <v/>
      </c>
      <c r="D8622" s="45" t="str">
        <f t="shared" si="23"/>
        <v/>
      </c>
      <c r="E8622" s="45" t="str">
        <f t="shared" si="24"/>
        <v/>
      </c>
      <c r="F8622" s="59" t="str">
        <f t="shared" si="25"/>
        <v/>
      </c>
      <c r="G8622" s="59" t="str">
        <f t="shared" si="26"/>
        <v/>
      </c>
      <c r="H8622" s="59" t="str">
        <f t="shared" si="27"/>
        <v>Máy rải thảm</v>
      </c>
      <c r="I8622" s="59" t="str">
        <f>IF(OR($A8622="",$C8622="",$D8622="",$E8622="",$H8622=""),"",SUMIFS(DATA_GOC!$H:$H,DATA_GOC!$A:$A,"BOM",DATA_GOC!$D:$D,$H8622,DATA_GOC!$E:$E,$C8622,DATA_GOC!$F:$F,"Xuất nội bộ từ téc",DATA_GOC!$B:$B,"&gt;="&amp;$D8622,DATA_GOC!$B:$B,"&lt;="&amp;$E8622))</f>
        <v/>
      </c>
      <c r="J8622" s="59">
        <f t="shared" si="28"/>
        <v>0</v>
      </c>
      <c r="K8622" s="59">
        <f t="shared" si="29"/>
        <v>0</v>
      </c>
      <c r="L8622" s="59">
        <f t="shared" si="30"/>
        <v>0</v>
      </c>
      <c r="M8622" s="59">
        <f t="shared" si="31"/>
        <v>0</v>
      </c>
    </row>
    <row r="8623" ht="15.0" hidden="1" customHeight="1">
      <c r="A8623" s="59">
        <f t="shared" si="20"/>
        <v>140</v>
      </c>
      <c r="B8623" s="59" t="str">
        <f t="shared" si="21"/>
        <v/>
      </c>
      <c r="C8623" s="59" t="str">
        <f t="shared" si="22"/>
        <v/>
      </c>
      <c r="D8623" s="45" t="str">
        <f t="shared" si="23"/>
        <v/>
      </c>
      <c r="E8623" s="45" t="str">
        <f t="shared" si="24"/>
        <v/>
      </c>
      <c r="F8623" s="59" t="str">
        <f t="shared" si="25"/>
        <v/>
      </c>
      <c r="G8623" s="59" t="str">
        <f t="shared" si="26"/>
        <v/>
      </c>
      <c r="H8623" s="59" t="str">
        <f t="shared" si="27"/>
        <v>Xúc Đào</v>
      </c>
      <c r="I8623" s="59" t="str">
        <f>IF(OR($A8623="",$C8623="",$D8623="",$E8623="",$H8623=""),"",SUMIFS(DATA_GOC!$H:$H,DATA_GOC!$A:$A,"BOM",DATA_GOC!$D:$D,$H8623,DATA_GOC!$E:$E,$C8623,DATA_GOC!$F:$F,"Xuất nội bộ từ téc",DATA_GOC!$B:$B,"&gt;="&amp;$D8623,DATA_GOC!$B:$B,"&lt;="&amp;$E8623))</f>
        <v/>
      </c>
      <c r="J8623" s="59">
        <f t="shared" si="28"/>
        <v>0</v>
      </c>
      <c r="K8623" s="59">
        <f t="shared" si="29"/>
        <v>0</v>
      </c>
      <c r="L8623" s="59">
        <f t="shared" si="30"/>
        <v>0</v>
      </c>
      <c r="M8623" s="59">
        <f t="shared" si="31"/>
        <v>0</v>
      </c>
    </row>
    <row r="8624" ht="15.0" hidden="1" customHeight="1">
      <c r="A8624" s="59">
        <f t="shared" si="20"/>
        <v>140</v>
      </c>
      <c r="B8624" s="59" t="str">
        <f t="shared" si="21"/>
        <v/>
      </c>
      <c r="C8624" s="59" t="str">
        <f t="shared" si="22"/>
        <v/>
      </c>
      <c r="D8624" s="45" t="str">
        <f t="shared" si="23"/>
        <v/>
      </c>
      <c r="E8624" s="45" t="str">
        <f t="shared" si="24"/>
        <v/>
      </c>
      <c r="F8624" s="59" t="str">
        <f t="shared" si="25"/>
        <v/>
      </c>
      <c r="G8624" s="59" t="str">
        <f t="shared" si="26"/>
        <v/>
      </c>
      <c r="H8624" s="59" t="str">
        <f t="shared" si="27"/>
        <v>Xúclật asphalt</v>
      </c>
      <c r="I8624" s="59" t="str">
        <f>IF(OR($A8624="",$C8624="",$D8624="",$E8624="",$H8624=""),"",SUMIFS(DATA_GOC!$H:$H,DATA_GOC!$A:$A,"BOM",DATA_GOC!$D:$D,$H8624,DATA_GOC!$E:$E,$C8624,DATA_GOC!$F:$F,"Xuất nội bộ từ téc",DATA_GOC!$B:$B,"&gt;="&amp;$D8624,DATA_GOC!$B:$B,"&lt;="&amp;$E8624))</f>
        <v/>
      </c>
      <c r="J8624" s="59">
        <f t="shared" si="28"/>
        <v>0</v>
      </c>
      <c r="K8624" s="59">
        <f t="shared" si="29"/>
        <v>0</v>
      </c>
      <c r="L8624" s="59">
        <f t="shared" si="30"/>
        <v>0</v>
      </c>
      <c r="M8624" s="59">
        <f t="shared" si="31"/>
        <v>0</v>
      </c>
    </row>
    <row r="8625" ht="15.0" hidden="1" customHeight="1">
      <c r="A8625" s="59">
        <f t="shared" si="20"/>
        <v>140</v>
      </c>
      <c r="B8625" s="59" t="str">
        <f t="shared" si="21"/>
        <v/>
      </c>
      <c r="C8625" s="59" t="str">
        <f t="shared" si="22"/>
        <v/>
      </c>
      <c r="D8625" s="45" t="str">
        <f t="shared" si="23"/>
        <v/>
      </c>
      <c r="E8625" s="45" t="str">
        <f t="shared" si="24"/>
        <v/>
      </c>
      <c r="F8625" s="59" t="str">
        <f t="shared" si="25"/>
        <v/>
      </c>
      <c r="G8625" s="59" t="str">
        <f t="shared" si="26"/>
        <v/>
      </c>
      <c r="H8625" s="59" t="str">
        <f t="shared" si="27"/>
        <v>Xúclật855H</v>
      </c>
      <c r="I8625" s="59" t="str">
        <f>IF(OR($A8625="",$C8625="",$D8625="",$E8625="",$H8625=""),"",SUMIFS(DATA_GOC!$H:$H,DATA_GOC!$A:$A,"BOM",DATA_GOC!$D:$D,$H8625,DATA_GOC!$E:$E,$C8625,DATA_GOC!$F:$F,"Xuất nội bộ từ téc",DATA_GOC!$B:$B,"&gt;="&amp;$D8625,DATA_GOC!$B:$B,"&lt;="&amp;$E8625))</f>
        <v/>
      </c>
      <c r="J8625" s="59">
        <f t="shared" si="28"/>
        <v>0</v>
      </c>
      <c r="K8625" s="59">
        <f t="shared" si="29"/>
        <v>0</v>
      </c>
      <c r="L8625" s="59">
        <f t="shared" si="30"/>
        <v>0</v>
      </c>
      <c r="M8625" s="59">
        <f t="shared" si="31"/>
        <v>0</v>
      </c>
    </row>
    <row r="8626" ht="15.0" hidden="1" customHeight="1">
      <c r="A8626" s="59">
        <f t="shared" si="20"/>
        <v>140</v>
      </c>
      <c r="B8626" s="59" t="str">
        <f t="shared" si="21"/>
        <v/>
      </c>
      <c r="C8626" s="59" t="str">
        <f t="shared" si="22"/>
        <v/>
      </c>
      <c r="D8626" s="45" t="str">
        <f t="shared" si="23"/>
        <v/>
      </c>
      <c r="E8626" s="45" t="str">
        <f t="shared" si="24"/>
        <v/>
      </c>
      <c r="F8626" s="59" t="str">
        <f t="shared" si="25"/>
        <v/>
      </c>
      <c r="G8626" s="59" t="str">
        <f t="shared" si="26"/>
        <v/>
      </c>
      <c r="H8626" s="59" t="str">
        <f t="shared" si="27"/>
        <v>Xúclật855N</v>
      </c>
      <c r="I8626" s="59" t="str">
        <f>IF(OR($A8626="",$C8626="",$D8626="",$E8626="",$H8626=""),"",SUMIFS(DATA_GOC!$H:$H,DATA_GOC!$A:$A,"BOM",DATA_GOC!$D:$D,$H8626,DATA_GOC!$E:$E,$C8626,DATA_GOC!$F:$F,"Xuất nội bộ từ téc",DATA_GOC!$B:$B,"&gt;="&amp;$D8626,DATA_GOC!$B:$B,"&lt;="&amp;$E8626))</f>
        <v/>
      </c>
      <c r="J8626" s="59">
        <f t="shared" si="28"/>
        <v>0</v>
      </c>
      <c r="K8626" s="59">
        <f t="shared" si="29"/>
        <v>0</v>
      </c>
      <c r="L8626" s="59">
        <f t="shared" si="30"/>
        <v>0</v>
      </c>
      <c r="M8626" s="59">
        <f t="shared" si="31"/>
        <v>0</v>
      </c>
    </row>
    <row r="8627" ht="15.0" hidden="1" customHeight="1">
      <c r="A8627" s="59">
        <f t="shared" si="20"/>
        <v>140</v>
      </c>
      <c r="B8627" s="59" t="str">
        <f t="shared" si="21"/>
        <v/>
      </c>
      <c r="C8627" s="59" t="str">
        <f t="shared" si="22"/>
        <v/>
      </c>
      <c r="D8627" s="45" t="str">
        <f t="shared" si="23"/>
        <v/>
      </c>
      <c r="E8627" s="45" t="str">
        <f t="shared" si="24"/>
        <v/>
      </c>
      <c r="F8627" s="59" t="str">
        <f t="shared" si="25"/>
        <v/>
      </c>
      <c r="G8627" s="59" t="str">
        <f t="shared" si="26"/>
        <v/>
      </c>
      <c r="H8627" s="59" t="str">
        <f t="shared" si="27"/>
        <v>Cát nghiền</v>
      </c>
      <c r="I8627" s="59" t="str">
        <f>IF(OR($A8627="",$C8627="",$D8627="",$E8627="",$H8627=""),"",SUMIFS(DATA_GOC!$H:$H,DATA_GOC!$A:$A,"BOM",DATA_GOC!$D:$D,$H8627,DATA_GOC!$E:$E,$C8627,DATA_GOC!$F:$F,"Xuất nội bộ từ téc",DATA_GOC!$B:$B,"&gt;="&amp;$D8627,DATA_GOC!$B:$B,"&lt;="&amp;$E8627))</f>
        <v/>
      </c>
      <c r="J8627" s="59">
        <f t="shared" si="28"/>
        <v>0</v>
      </c>
      <c r="K8627" s="59">
        <f t="shared" si="29"/>
        <v>0</v>
      </c>
      <c r="L8627" s="59">
        <f t="shared" si="30"/>
        <v>0</v>
      </c>
      <c r="M8627" s="59">
        <f t="shared" si="31"/>
        <v>0</v>
      </c>
    </row>
    <row r="8628" ht="15.0" hidden="1" customHeight="1">
      <c r="A8628" s="59">
        <f t="shared" si="20"/>
        <v>140</v>
      </c>
      <c r="B8628" s="59" t="str">
        <f t="shared" si="21"/>
        <v/>
      </c>
      <c r="C8628" s="59" t="str">
        <f t="shared" si="22"/>
        <v/>
      </c>
      <c r="D8628" s="45" t="str">
        <f t="shared" si="23"/>
        <v/>
      </c>
      <c r="E8628" s="45" t="str">
        <f t="shared" si="24"/>
        <v/>
      </c>
      <c r="F8628" s="59" t="str">
        <f t="shared" si="25"/>
        <v/>
      </c>
      <c r="G8628" s="59" t="str">
        <f t="shared" si="26"/>
        <v/>
      </c>
      <c r="H8628" s="59" t="str">
        <f t="shared" si="27"/>
        <v>28C02973</v>
      </c>
      <c r="I8628" s="59" t="str">
        <f>IF(OR($A8628="",$C8628="",$D8628="",$E8628="",$H8628=""),"",SUMIFS(DATA_GOC!$H:$H,DATA_GOC!$A:$A,"BOM",DATA_GOC!$D:$D,$H8628,DATA_GOC!$E:$E,$C8628,DATA_GOC!$F:$F,"Xuất nội bộ từ téc",DATA_GOC!$B:$B,"&gt;="&amp;$D8628,DATA_GOC!$B:$B,"&lt;="&amp;$E8628))</f>
        <v/>
      </c>
      <c r="J8628" s="59">
        <f t="shared" si="28"/>
        <v>0</v>
      </c>
      <c r="K8628" s="59">
        <f t="shared" si="29"/>
        <v>0</v>
      </c>
      <c r="L8628" s="59">
        <f t="shared" si="30"/>
        <v>0</v>
      </c>
      <c r="M8628" s="59">
        <f t="shared" si="31"/>
        <v>0</v>
      </c>
    </row>
    <row r="8629" ht="15.0" hidden="1" customHeight="1">
      <c r="A8629" s="59">
        <f t="shared" si="20"/>
        <v>140</v>
      </c>
      <c r="B8629" s="59" t="str">
        <f t="shared" si="21"/>
        <v/>
      </c>
      <c r="C8629" s="59" t="str">
        <f t="shared" si="22"/>
        <v/>
      </c>
      <c r="D8629" s="45" t="str">
        <f t="shared" si="23"/>
        <v/>
      </c>
      <c r="E8629" s="45" t="str">
        <f t="shared" si="24"/>
        <v/>
      </c>
      <c r="F8629" s="59" t="str">
        <f t="shared" si="25"/>
        <v/>
      </c>
      <c r="G8629" s="59" t="str">
        <f t="shared" si="26"/>
        <v/>
      </c>
      <c r="H8629" s="59" t="str">
        <f t="shared" si="27"/>
        <v>28C03044</v>
      </c>
      <c r="I8629" s="59" t="str">
        <f>IF(OR($A8629="",$C8629="",$D8629="",$E8629="",$H8629=""),"",SUMIFS(DATA_GOC!$H:$H,DATA_GOC!$A:$A,"BOM",DATA_GOC!$D:$D,$H8629,DATA_GOC!$E:$E,$C8629,DATA_GOC!$F:$F,"Xuất nội bộ từ téc",DATA_GOC!$B:$B,"&gt;="&amp;$D8629,DATA_GOC!$B:$B,"&lt;="&amp;$E8629))</f>
        <v/>
      </c>
      <c r="J8629" s="59">
        <f t="shared" si="28"/>
        <v>0</v>
      </c>
      <c r="K8629" s="59">
        <f t="shared" si="29"/>
        <v>0</v>
      </c>
      <c r="L8629" s="59">
        <f t="shared" si="30"/>
        <v>0</v>
      </c>
      <c r="M8629" s="59">
        <f t="shared" si="31"/>
        <v>0</v>
      </c>
    </row>
    <row r="8630" ht="15.0" hidden="1" customHeight="1">
      <c r="A8630" s="59">
        <f t="shared" si="20"/>
        <v>140</v>
      </c>
      <c r="B8630" s="59" t="str">
        <f t="shared" si="21"/>
        <v/>
      </c>
      <c r="C8630" s="59" t="str">
        <f t="shared" si="22"/>
        <v/>
      </c>
      <c r="D8630" s="45" t="str">
        <f t="shared" si="23"/>
        <v/>
      </c>
      <c r="E8630" s="45" t="str">
        <f t="shared" si="24"/>
        <v/>
      </c>
      <c r="F8630" s="59" t="str">
        <f t="shared" si="25"/>
        <v/>
      </c>
      <c r="G8630" s="59" t="str">
        <f t="shared" si="26"/>
        <v/>
      </c>
      <c r="H8630" s="59" t="str">
        <f t="shared" si="27"/>
        <v>Máy lu lốp</v>
      </c>
      <c r="I8630" s="59" t="str">
        <f>IF(OR($A8630="",$C8630="",$D8630="",$E8630="",$H8630=""),"",SUMIFS(DATA_GOC!$H:$H,DATA_GOC!$A:$A,"BOM",DATA_GOC!$D:$D,$H8630,DATA_GOC!$E:$E,$C8630,DATA_GOC!$F:$F,"Xuất nội bộ từ téc",DATA_GOC!$B:$B,"&gt;="&amp;$D8630,DATA_GOC!$B:$B,"&lt;="&amp;$E8630))</f>
        <v/>
      </c>
      <c r="J8630" s="59">
        <f t="shared" si="28"/>
        <v>0</v>
      </c>
      <c r="K8630" s="59">
        <f t="shared" si="29"/>
        <v>0</v>
      </c>
      <c r="L8630" s="59">
        <f t="shared" si="30"/>
        <v>0</v>
      </c>
      <c r="M8630" s="59">
        <f t="shared" si="31"/>
        <v>0</v>
      </c>
    </row>
    <row r="8631" ht="15.0" hidden="1" customHeight="1">
      <c r="A8631" s="59">
        <f t="shared" si="20"/>
        <v>140</v>
      </c>
      <c r="B8631" s="59" t="str">
        <f t="shared" si="21"/>
        <v/>
      </c>
      <c r="C8631" s="59" t="str">
        <f t="shared" si="22"/>
        <v/>
      </c>
      <c r="D8631" s="45" t="str">
        <f t="shared" si="23"/>
        <v/>
      </c>
      <c r="E8631" s="45" t="str">
        <f t="shared" si="24"/>
        <v/>
      </c>
      <c r="F8631" s="59" t="str">
        <f t="shared" si="25"/>
        <v/>
      </c>
      <c r="G8631" s="59" t="str">
        <f t="shared" si="26"/>
        <v/>
      </c>
      <c r="H8631" s="59" t="str">
        <f t="shared" si="27"/>
        <v>Xe 600148</v>
      </c>
      <c r="I8631" s="59" t="str">
        <f>IF(OR($A8631="",$C8631="",$D8631="",$E8631="",$H8631=""),"",SUMIFS(DATA_GOC!$H:$H,DATA_GOC!$A:$A,"BOM",DATA_GOC!$D:$D,$H8631,DATA_GOC!$E:$E,$C8631,DATA_GOC!$F:$F,"Xuất nội bộ từ téc",DATA_GOC!$B:$B,"&gt;="&amp;$D8631,DATA_GOC!$B:$B,"&lt;="&amp;$E8631))</f>
        <v/>
      </c>
      <c r="J8631" s="59">
        <f t="shared" si="28"/>
        <v>0</v>
      </c>
      <c r="K8631" s="59">
        <f t="shared" si="29"/>
        <v>0</v>
      </c>
      <c r="L8631" s="59">
        <f t="shared" si="30"/>
        <v>0</v>
      </c>
      <c r="M8631" s="59">
        <f t="shared" si="31"/>
        <v>0</v>
      </c>
    </row>
    <row r="8632" ht="15.0" hidden="1" customHeight="1">
      <c r="A8632" s="59">
        <f t="shared" si="20"/>
        <v>140</v>
      </c>
      <c r="B8632" s="59" t="str">
        <f t="shared" si="21"/>
        <v/>
      </c>
      <c r="C8632" s="59" t="str">
        <f t="shared" si="22"/>
        <v/>
      </c>
      <c r="D8632" s="45" t="str">
        <f t="shared" si="23"/>
        <v/>
      </c>
      <c r="E8632" s="45" t="str">
        <f t="shared" si="24"/>
        <v/>
      </c>
      <c r="F8632" s="59" t="str">
        <f t="shared" si="25"/>
        <v/>
      </c>
      <c r="G8632" s="59" t="str">
        <f t="shared" si="26"/>
        <v/>
      </c>
      <c r="H8632" s="59" t="str">
        <f t="shared" si="27"/>
        <v>Xe ben mới</v>
      </c>
      <c r="I8632" s="59" t="str">
        <f>IF(OR($A8632="",$C8632="",$D8632="",$E8632="",$H8632=""),"",SUMIFS(DATA_GOC!$H:$H,DATA_GOC!$A:$A,"BOM",DATA_GOC!$D:$D,$H8632,DATA_GOC!$E:$E,$C8632,DATA_GOC!$F:$F,"Xuất nội bộ từ téc",DATA_GOC!$B:$B,"&gt;="&amp;$D8632,DATA_GOC!$B:$B,"&lt;="&amp;$E8632))</f>
        <v/>
      </c>
      <c r="J8632" s="59">
        <f t="shared" si="28"/>
        <v>0</v>
      </c>
      <c r="K8632" s="59">
        <f t="shared" si="29"/>
        <v>0</v>
      </c>
      <c r="L8632" s="59">
        <f t="shared" si="30"/>
        <v>0</v>
      </c>
      <c r="M8632" s="59">
        <f t="shared" si="31"/>
        <v>0</v>
      </c>
    </row>
    <row r="8633" ht="15.0" hidden="1" customHeight="1">
      <c r="A8633" s="59">
        <f t="shared" si="20"/>
        <v>141</v>
      </c>
      <c r="B8633" s="59" t="str">
        <f t="shared" si="21"/>
        <v/>
      </c>
      <c r="C8633" s="59" t="str">
        <f t="shared" si="22"/>
        <v/>
      </c>
      <c r="D8633" s="45" t="str">
        <f t="shared" si="23"/>
        <v/>
      </c>
      <c r="E8633" s="45" t="str">
        <f t="shared" si="24"/>
        <v/>
      </c>
      <c r="F8633" s="59" t="str">
        <f t="shared" si="25"/>
        <v/>
      </c>
      <c r="G8633" s="59" t="str">
        <f t="shared" si="26"/>
        <v/>
      </c>
      <c r="H8633" s="59" t="str">
        <f t="shared" si="27"/>
        <v>19H09482</v>
      </c>
      <c r="I8633" s="59" t="str">
        <f>IF(OR($A8633="",$C8633="",$D8633="",$E8633="",$H8633=""),"",SUMIFS(DATA_GOC!$H:$H,DATA_GOC!$A:$A,"BOM",DATA_GOC!$D:$D,$H8633,DATA_GOC!$E:$E,$C8633,DATA_GOC!$F:$F,"Xuất nội bộ từ téc",DATA_GOC!$B:$B,"&gt;="&amp;$D8633,DATA_GOC!$B:$B,"&lt;="&amp;$E8633))</f>
        <v/>
      </c>
      <c r="J8633" s="59">
        <f t="shared" si="28"/>
        <v>0</v>
      </c>
      <c r="K8633" s="59">
        <f t="shared" si="29"/>
        <v>0</v>
      </c>
      <c r="L8633" s="59">
        <f t="shared" si="30"/>
        <v>0</v>
      </c>
      <c r="M8633" s="59">
        <f t="shared" si="31"/>
        <v>0</v>
      </c>
    </row>
    <row r="8634" ht="15.0" hidden="1" customHeight="1">
      <c r="A8634" s="59">
        <f t="shared" si="20"/>
        <v>141</v>
      </c>
      <c r="B8634" s="59" t="str">
        <f t="shared" si="21"/>
        <v/>
      </c>
      <c r="C8634" s="59" t="str">
        <f t="shared" si="22"/>
        <v/>
      </c>
      <c r="D8634" s="45" t="str">
        <f t="shared" si="23"/>
        <v/>
      </c>
      <c r="E8634" s="45" t="str">
        <f t="shared" si="24"/>
        <v/>
      </c>
      <c r="F8634" s="59" t="str">
        <f t="shared" si="25"/>
        <v/>
      </c>
      <c r="G8634" s="59" t="str">
        <f t="shared" si="26"/>
        <v/>
      </c>
      <c r="H8634" s="59" t="str">
        <f t="shared" si="27"/>
        <v>28A30696</v>
      </c>
      <c r="I8634" s="59" t="str">
        <f>IF(OR($A8634="",$C8634="",$D8634="",$E8634="",$H8634=""),"",SUMIFS(DATA_GOC!$H:$H,DATA_GOC!$A:$A,"BOM",DATA_GOC!$D:$D,$H8634,DATA_GOC!$E:$E,$C8634,DATA_GOC!$F:$F,"Xuất nội bộ từ téc",DATA_GOC!$B:$B,"&gt;="&amp;$D8634,DATA_GOC!$B:$B,"&lt;="&amp;$E8634))</f>
        <v/>
      </c>
      <c r="J8634" s="59">
        <f t="shared" si="28"/>
        <v>0</v>
      </c>
      <c r="K8634" s="59">
        <f t="shared" si="29"/>
        <v>0</v>
      </c>
      <c r="L8634" s="59">
        <f t="shared" si="30"/>
        <v>0</v>
      </c>
      <c r="M8634" s="59">
        <f t="shared" si="31"/>
        <v>0</v>
      </c>
    </row>
    <row r="8635" ht="15.0" hidden="1" customHeight="1">
      <c r="A8635" s="59">
        <f t="shared" si="20"/>
        <v>141</v>
      </c>
      <c r="B8635" s="59" t="str">
        <f t="shared" si="21"/>
        <v/>
      </c>
      <c r="C8635" s="59" t="str">
        <f t="shared" si="22"/>
        <v/>
      </c>
      <c r="D8635" s="45" t="str">
        <f t="shared" si="23"/>
        <v/>
      </c>
      <c r="E8635" s="45" t="str">
        <f t="shared" si="24"/>
        <v/>
      </c>
      <c r="F8635" s="59" t="str">
        <f t="shared" si="25"/>
        <v/>
      </c>
      <c r="G8635" s="59" t="str">
        <f t="shared" si="26"/>
        <v/>
      </c>
      <c r="H8635" s="59" t="str">
        <f t="shared" si="27"/>
        <v>28C00462</v>
      </c>
      <c r="I8635" s="59" t="str">
        <f>IF(OR($A8635="",$C8635="",$D8635="",$E8635="",$H8635=""),"",SUMIFS(DATA_GOC!$H:$H,DATA_GOC!$A:$A,"BOM",DATA_GOC!$D:$D,$H8635,DATA_GOC!$E:$E,$C8635,DATA_GOC!$F:$F,"Xuất nội bộ từ téc",DATA_GOC!$B:$B,"&gt;="&amp;$D8635,DATA_GOC!$B:$B,"&lt;="&amp;$E8635))</f>
        <v/>
      </c>
      <c r="J8635" s="59">
        <f t="shared" si="28"/>
        <v>0</v>
      </c>
      <c r="K8635" s="59">
        <f t="shared" si="29"/>
        <v>0</v>
      </c>
      <c r="L8635" s="59">
        <f t="shared" si="30"/>
        <v>0</v>
      </c>
      <c r="M8635" s="59">
        <f t="shared" si="31"/>
        <v>0</v>
      </c>
    </row>
    <row r="8636" ht="15.0" hidden="1" customHeight="1">
      <c r="A8636" s="59">
        <f t="shared" si="20"/>
        <v>141</v>
      </c>
      <c r="B8636" s="59" t="str">
        <f t="shared" si="21"/>
        <v/>
      </c>
      <c r="C8636" s="59" t="str">
        <f t="shared" si="22"/>
        <v/>
      </c>
      <c r="D8636" s="45" t="str">
        <f t="shared" si="23"/>
        <v/>
      </c>
      <c r="E8636" s="45" t="str">
        <f t="shared" si="24"/>
        <v/>
      </c>
      <c r="F8636" s="59" t="str">
        <f t="shared" si="25"/>
        <v/>
      </c>
      <c r="G8636" s="59" t="str">
        <f t="shared" si="26"/>
        <v/>
      </c>
      <c r="H8636" s="59" t="str">
        <f t="shared" si="27"/>
        <v>28C01165</v>
      </c>
      <c r="I8636" s="59" t="str">
        <f>IF(OR($A8636="",$C8636="",$D8636="",$E8636="",$H8636=""),"",SUMIFS(DATA_GOC!$H:$H,DATA_GOC!$A:$A,"BOM",DATA_GOC!$D:$D,$H8636,DATA_GOC!$E:$E,$C8636,DATA_GOC!$F:$F,"Xuất nội bộ từ téc",DATA_GOC!$B:$B,"&gt;="&amp;$D8636,DATA_GOC!$B:$B,"&lt;="&amp;$E8636))</f>
        <v/>
      </c>
      <c r="J8636" s="59">
        <f t="shared" si="28"/>
        <v>0</v>
      </c>
      <c r="K8636" s="59">
        <f t="shared" si="29"/>
        <v>0</v>
      </c>
      <c r="L8636" s="59">
        <f t="shared" si="30"/>
        <v>0</v>
      </c>
      <c r="M8636" s="59">
        <f t="shared" si="31"/>
        <v>0</v>
      </c>
    </row>
    <row r="8637" ht="15.0" hidden="1" customHeight="1">
      <c r="A8637" s="59">
        <f t="shared" si="20"/>
        <v>141</v>
      </c>
      <c r="B8637" s="59" t="str">
        <f t="shared" si="21"/>
        <v/>
      </c>
      <c r="C8637" s="59" t="str">
        <f t="shared" si="22"/>
        <v/>
      </c>
      <c r="D8637" s="45" t="str">
        <f t="shared" si="23"/>
        <v/>
      </c>
      <c r="E8637" s="45" t="str">
        <f t="shared" si="24"/>
        <v/>
      </c>
      <c r="F8637" s="59" t="str">
        <f t="shared" si="25"/>
        <v/>
      </c>
      <c r="G8637" s="59" t="str">
        <f t="shared" si="26"/>
        <v/>
      </c>
      <c r="H8637" s="59" t="str">
        <f t="shared" si="27"/>
        <v>28C01406</v>
      </c>
      <c r="I8637" s="59" t="str">
        <f>IF(OR($A8637="",$C8637="",$D8637="",$E8637="",$H8637=""),"",SUMIFS(DATA_GOC!$H:$H,DATA_GOC!$A:$A,"BOM",DATA_GOC!$D:$D,$H8637,DATA_GOC!$E:$E,$C8637,DATA_GOC!$F:$F,"Xuất nội bộ từ téc",DATA_GOC!$B:$B,"&gt;="&amp;$D8637,DATA_GOC!$B:$B,"&lt;="&amp;$E8637))</f>
        <v/>
      </c>
      <c r="J8637" s="59">
        <f t="shared" si="28"/>
        <v>0</v>
      </c>
      <c r="K8637" s="59">
        <f t="shared" si="29"/>
        <v>0</v>
      </c>
      <c r="L8637" s="59">
        <f t="shared" si="30"/>
        <v>0</v>
      </c>
      <c r="M8637" s="59">
        <f t="shared" si="31"/>
        <v>0</v>
      </c>
    </row>
    <row r="8638" ht="15.0" hidden="1" customHeight="1">
      <c r="A8638" s="59">
        <f t="shared" si="20"/>
        <v>141</v>
      </c>
      <c r="B8638" s="59" t="str">
        <f t="shared" si="21"/>
        <v/>
      </c>
      <c r="C8638" s="59" t="str">
        <f t="shared" si="22"/>
        <v/>
      </c>
      <c r="D8638" s="45" t="str">
        <f t="shared" si="23"/>
        <v/>
      </c>
      <c r="E8638" s="45" t="str">
        <f t="shared" si="24"/>
        <v/>
      </c>
      <c r="F8638" s="59" t="str">
        <f t="shared" si="25"/>
        <v/>
      </c>
      <c r="G8638" s="59" t="str">
        <f t="shared" si="26"/>
        <v/>
      </c>
      <c r="H8638" s="59" t="str">
        <f t="shared" si="27"/>
        <v>28C01544</v>
      </c>
      <c r="I8638" s="59" t="str">
        <f>IF(OR($A8638="",$C8638="",$D8638="",$E8638="",$H8638=""),"",SUMIFS(DATA_GOC!$H:$H,DATA_GOC!$A:$A,"BOM",DATA_GOC!$D:$D,$H8638,DATA_GOC!$E:$E,$C8638,DATA_GOC!$F:$F,"Xuất nội bộ từ téc",DATA_GOC!$B:$B,"&gt;="&amp;$D8638,DATA_GOC!$B:$B,"&lt;="&amp;$E8638))</f>
        <v/>
      </c>
      <c r="J8638" s="59">
        <f t="shared" si="28"/>
        <v>0</v>
      </c>
      <c r="K8638" s="59">
        <f t="shared" si="29"/>
        <v>0</v>
      </c>
      <c r="L8638" s="59">
        <f t="shared" si="30"/>
        <v>0</v>
      </c>
      <c r="M8638" s="59">
        <f t="shared" si="31"/>
        <v>0</v>
      </c>
    </row>
    <row r="8639" ht="15.0" hidden="1" customHeight="1">
      <c r="A8639" s="59">
        <f t="shared" si="20"/>
        <v>141</v>
      </c>
      <c r="B8639" s="59" t="str">
        <f t="shared" si="21"/>
        <v/>
      </c>
      <c r="C8639" s="59" t="str">
        <f t="shared" si="22"/>
        <v/>
      </c>
      <c r="D8639" s="45" t="str">
        <f t="shared" si="23"/>
        <v/>
      </c>
      <c r="E8639" s="45" t="str">
        <f t="shared" si="24"/>
        <v/>
      </c>
      <c r="F8639" s="59" t="str">
        <f t="shared" si="25"/>
        <v/>
      </c>
      <c r="G8639" s="59" t="str">
        <f t="shared" si="26"/>
        <v/>
      </c>
      <c r="H8639" s="59" t="str">
        <f t="shared" si="27"/>
        <v>28C01622</v>
      </c>
      <c r="I8639" s="59" t="str">
        <f>IF(OR($A8639="",$C8639="",$D8639="",$E8639="",$H8639=""),"",SUMIFS(DATA_GOC!$H:$H,DATA_GOC!$A:$A,"BOM",DATA_GOC!$D:$D,$H8639,DATA_GOC!$E:$E,$C8639,DATA_GOC!$F:$F,"Xuất nội bộ từ téc",DATA_GOC!$B:$B,"&gt;="&amp;$D8639,DATA_GOC!$B:$B,"&lt;="&amp;$E8639))</f>
        <v/>
      </c>
      <c r="J8639" s="59">
        <f t="shared" si="28"/>
        <v>0</v>
      </c>
      <c r="K8639" s="59">
        <f t="shared" si="29"/>
        <v>0</v>
      </c>
      <c r="L8639" s="59">
        <f t="shared" si="30"/>
        <v>0</v>
      </c>
      <c r="M8639" s="59">
        <f t="shared" si="31"/>
        <v>0</v>
      </c>
    </row>
    <row r="8640" ht="15.0" hidden="1" customHeight="1">
      <c r="A8640" s="59">
        <f t="shared" si="20"/>
        <v>141</v>
      </c>
      <c r="B8640" s="59" t="str">
        <f t="shared" si="21"/>
        <v/>
      </c>
      <c r="C8640" s="59" t="str">
        <f t="shared" si="22"/>
        <v/>
      </c>
      <c r="D8640" s="45" t="str">
        <f t="shared" si="23"/>
        <v/>
      </c>
      <c r="E8640" s="45" t="str">
        <f t="shared" si="24"/>
        <v/>
      </c>
      <c r="F8640" s="59" t="str">
        <f t="shared" si="25"/>
        <v/>
      </c>
      <c r="G8640" s="59" t="str">
        <f t="shared" si="26"/>
        <v/>
      </c>
      <c r="H8640" s="59" t="str">
        <f t="shared" si="27"/>
        <v>28C01647</v>
      </c>
      <c r="I8640" s="59" t="str">
        <f>IF(OR($A8640="",$C8640="",$D8640="",$E8640="",$H8640=""),"",SUMIFS(DATA_GOC!$H:$H,DATA_GOC!$A:$A,"BOM",DATA_GOC!$D:$D,$H8640,DATA_GOC!$E:$E,$C8640,DATA_GOC!$F:$F,"Xuất nội bộ từ téc",DATA_GOC!$B:$B,"&gt;="&amp;$D8640,DATA_GOC!$B:$B,"&lt;="&amp;$E8640))</f>
        <v/>
      </c>
      <c r="J8640" s="59">
        <f t="shared" si="28"/>
        <v>0</v>
      </c>
      <c r="K8640" s="59">
        <f t="shared" si="29"/>
        <v>0</v>
      </c>
      <c r="L8640" s="59">
        <f t="shared" si="30"/>
        <v>0</v>
      </c>
      <c r="M8640" s="59">
        <f t="shared" si="31"/>
        <v>0</v>
      </c>
    </row>
    <row r="8641" ht="15.0" hidden="1" customHeight="1">
      <c r="A8641" s="59">
        <f t="shared" si="20"/>
        <v>141</v>
      </c>
      <c r="B8641" s="59" t="str">
        <f t="shared" si="21"/>
        <v/>
      </c>
      <c r="C8641" s="59" t="str">
        <f t="shared" si="22"/>
        <v/>
      </c>
      <c r="D8641" s="45" t="str">
        <f t="shared" si="23"/>
        <v/>
      </c>
      <c r="E8641" s="45" t="str">
        <f t="shared" si="24"/>
        <v/>
      </c>
      <c r="F8641" s="59" t="str">
        <f t="shared" si="25"/>
        <v/>
      </c>
      <c r="G8641" s="59" t="str">
        <f t="shared" si="26"/>
        <v/>
      </c>
      <c r="H8641" s="59" t="str">
        <f t="shared" si="27"/>
        <v>28C01731</v>
      </c>
      <c r="I8641" s="59" t="str">
        <f>IF(OR($A8641="",$C8641="",$D8641="",$E8641="",$H8641=""),"",SUMIFS(DATA_GOC!$H:$H,DATA_GOC!$A:$A,"BOM",DATA_GOC!$D:$D,$H8641,DATA_GOC!$E:$E,$C8641,DATA_GOC!$F:$F,"Xuất nội bộ từ téc",DATA_GOC!$B:$B,"&gt;="&amp;$D8641,DATA_GOC!$B:$B,"&lt;="&amp;$E8641))</f>
        <v/>
      </c>
      <c r="J8641" s="59">
        <f t="shared" si="28"/>
        <v>0</v>
      </c>
      <c r="K8641" s="59">
        <f t="shared" si="29"/>
        <v>0</v>
      </c>
      <c r="L8641" s="59">
        <f t="shared" si="30"/>
        <v>0</v>
      </c>
      <c r="M8641" s="59">
        <f t="shared" si="31"/>
        <v>0</v>
      </c>
    </row>
    <row r="8642" ht="15.0" hidden="1" customHeight="1">
      <c r="A8642" s="59">
        <f t="shared" si="20"/>
        <v>141</v>
      </c>
      <c r="B8642" s="59" t="str">
        <f t="shared" si="21"/>
        <v/>
      </c>
      <c r="C8642" s="59" t="str">
        <f t="shared" si="22"/>
        <v/>
      </c>
      <c r="D8642" s="45" t="str">
        <f t="shared" si="23"/>
        <v/>
      </c>
      <c r="E8642" s="45" t="str">
        <f t="shared" si="24"/>
        <v/>
      </c>
      <c r="F8642" s="59" t="str">
        <f t="shared" si="25"/>
        <v/>
      </c>
      <c r="G8642" s="59" t="str">
        <f t="shared" si="26"/>
        <v/>
      </c>
      <c r="H8642" s="59" t="str">
        <f t="shared" si="27"/>
        <v>28C01743</v>
      </c>
      <c r="I8642" s="59" t="str">
        <f>IF(OR($A8642="",$C8642="",$D8642="",$E8642="",$H8642=""),"",SUMIFS(DATA_GOC!$H:$H,DATA_GOC!$A:$A,"BOM",DATA_GOC!$D:$D,$H8642,DATA_GOC!$E:$E,$C8642,DATA_GOC!$F:$F,"Xuất nội bộ từ téc",DATA_GOC!$B:$B,"&gt;="&amp;$D8642,DATA_GOC!$B:$B,"&lt;="&amp;$E8642))</f>
        <v/>
      </c>
      <c r="J8642" s="59">
        <f t="shared" si="28"/>
        <v>0</v>
      </c>
      <c r="K8642" s="59">
        <f t="shared" si="29"/>
        <v>0</v>
      </c>
      <c r="L8642" s="59">
        <f t="shared" si="30"/>
        <v>0</v>
      </c>
      <c r="M8642" s="59">
        <f t="shared" si="31"/>
        <v>0</v>
      </c>
    </row>
    <row r="8643" ht="15.0" hidden="1" customHeight="1">
      <c r="A8643" s="59">
        <f t="shared" si="20"/>
        <v>141</v>
      </c>
      <c r="B8643" s="59" t="str">
        <f t="shared" si="21"/>
        <v/>
      </c>
      <c r="C8643" s="59" t="str">
        <f t="shared" si="22"/>
        <v/>
      </c>
      <c r="D8643" s="45" t="str">
        <f t="shared" si="23"/>
        <v/>
      </c>
      <c r="E8643" s="45" t="str">
        <f t="shared" si="24"/>
        <v/>
      </c>
      <c r="F8643" s="59" t="str">
        <f t="shared" si="25"/>
        <v/>
      </c>
      <c r="G8643" s="59" t="str">
        <f t="shared" si="26"/>
        <v/>
      </c>
      <c r="H8643" s="59" t="str">
        <f t="shared" si="27"/>
        <v>28C02106</v>
      </c>
      <c r="I8643" s="59" t="str">
        <f>IF(OR($A8643="",$C8643="",$D8643="",$E8643="",$H8643=""),"",SUMIFS(DATA_GOC!$H:$H,DATA_GOC!$A:$A,"BOM",DATA_GOC!$D:$D,$H8643,DATA_GOC!$E:$E,$C8643,DATA_GOC!$F:$F,"Xuất nội bộ từ téc",DATA_GOC!$B:$B,"&gt;="&amp;$D8643,DATA_GOC!$B:$B,"&lt;="&amp;$E8643))</f>
        <v/>
      </c>
      <c r="J8643" s="59">
        <f t="shared" si="28"/>
        <v>0</v>
      </c>
      <c r="K8643" s="59">
        <f t="shared" si="29"/>
        <v>0</v>
      </c>
      <c r="L8643" s="59">
        <f t="shared" si="30"/>
        <v>0</v>
      </c>
      <c r="M8643" s="59">
        <f t="shared" si="31"/>
        <v>0</v>
      </c>
    </row>
    <row r="8644" ht="15.0" hidden="1" customHeight="1">
      <c r="A8644" s="59">
        <f t="shared" si="20"/>
        <v>141</v>
      </c>
      <c r="B8644" s="59" t="str">
        <f t="shared" si="21"/>
        <v/>
      </c>
      <c r="C8644" s="59" t="str">
        <f t="shared" si="22"/>
        <v/>
      </c>
      <c r="D8644" s="45" t="str">
        <f t="shared" si="23"/>
        <v/>
      </c>
      <c r="E8644" s="45" t="str">
        <f t="shared" si="24"/>
        <v/>
      </c>
      <c r="F8644" s="59" t="str">
        <f t="shared" si="25"/>
        <v/>
      </c>
      <c r="G8644" s="59" t="str">
        <f t="shared" si="26"/>
        <v/>
      </c>
      <c r="H8644" s="59" t="str">
        <f t="shared" si="27"/>
        <v>28C02410</v>
      </c>
      <c r="I8644" s="59" t="str">
        <f>IF(OR($A8644="",$C8644="",$D8644="",$E8644="",$H8644=""),"",SUMIFS(DATA_GOC!$H:$H,DATA_GOC!$A:$A,"BOM",DATA_GOC!$D:$D,$H8644,DATA_GOC!$E:$E,$C8644,DATA_GOC!$F:$F,"Xuất nội bộ từ téc",DATA_GOC!$B:$B,"&gt;="&amp;$D8644,DATA_GOC!$B:$B,"&lt;="&amp;$E8644))</f>
        <v/>
      </c>
      <c r="J8644" s="59">
        <f t="shared" si="28"/>
        <v>0</v>
      </c>
      <c r="K8644" s="59">
        <f t="shared" si="29"/>
        <v>0</v>
      </c>
      <c r="L8644" s="59">
        <f t="shared" si="30"/>
        <v>0</v>
      </c>
      <c r="M8644" s="59">
        <f t="shared" si="31"/>
        <v>0</v>
      </c>
    </row>
    <row r="8645" ht="15.0" hidden="1" customHeight="1">
      <c r="A8645" s="59">
        <f t="shared" si="20"/>
        <v>141</v>
      </c>
      <c r="B8645" s="59" t="str">
        <f t="shared" si="21"/>
        <v/>
      </c>
      <c r="C8645" s="59" t="str">
        <f t="shared" si="22"/>
        <v/>
      </c>
      <c r="D8645" s="45" t="str">
        <f t="shared" si="23"/>
        <v/>
      </c>
      <c r="E8645" s="45" t="str">
        <f t="shared" si="24"/>
        <v/>
      </c>
      <c r="F8645" s="59" t="str">
        <f t="shared" si="25"/>
        <v/>
      </c>
      <c r="G8645" s="59" t="str">
        <f t="shared" si="26"/>
        <v/>
      </c>
      <c r="H8645" s="59" t="str">
        <f t="shared" si="27"/>
        <v>28C02545</v>
      </c>
      <c r="I8645" s="59" t="str">
        <f>IF(OR($A8645="",$C8645="",$D8645="",$E8645="",$H8645=""),"",SUMIFS(DATA_GOC!$H:$H,DATA_GOC!$A:$A,"BOM",DATA_GOC!$D:$D,$H8645,DATA_GOC!$E:$E,$C8645,DATA_GOC!$F:$F,"Xuất nội bộ từ téc",DATA_GOC!$B:$B,"&gt;="&amp;$D8645,DATA_GOC!$B:$B,"&lt;="&amp;$E8645))</f>
        <v/>
      </c>
      <c r="J8645" s="59">
        <f t="shared" si="28"/>
        <v>0</v>
      </c>
      <c r="K8645" s="59">
        <f t="shared" si="29"/>
        <v>0</v>
      </c>
      <c r="L8645" s="59">
        <f t="shared" si="30"/>
        <v>0</v>
      </c>
      <c r="M8645" s="59">
        <f t="shared" si="31"/>
        <v>0</v>
      </c>
    </row>
    <row r="8646" ht="15.0" hidden="1" customHeight="1">
      <c r="A8646" s="59">
        <f t="shared" si="20"/>
        <v>141</v>
      </c>
      <c r="B8646" s="59" t="str">
        <f t="shared" si="21"/>
        <v/>
      </c>
      <c r="C8646" s="59" t="str">
        <f t="shared" si="22"/>
        <v/>
      </c>
      <c r="D8646" s="45" t="str">
        <f t="shared" si="23"/>
        <v/>
      </c>
      <c r="E8646" s="45" t="str">
        <f t="shared" si="24"/>
        <v/>
      </c>
      <c r="F8646" s="59" t="str">
        <f t="shared" si="25"/>
        <v/>
      </c>
      <c r="G8646" s="59" t="str">
        <f t="shared" si="26"/>
        <v/>
      </c>
      <c r="H8646" s="59" t="str">
        <f t="shared" si="27"/>
        <v>28C02574</v>
      </c>
      <c r="I8646" s="59" t="str">
        <f>IF(OR($A8646="",$C8646="",$D8646="",$E8646="",$H8646=""),"",SUMIFS(DATA_GOC!$H:$H,DATA_GOC!$A:$A,"BOM",DATA_GOC!$D:$D,$H8646,DATA_GOC!$E:$E,$C8646,DATA_GOC!$F:$F,"Xuất nội bộ từ téc",DATA_GOC!$B:$B,"&gt;="&amp;$D8646,DATA_GOC!$B:$B,"&lt;="&amp;$E8646))</f>
        <v/>
      </c>
      <c r="J8646" s="59">
        <f t="shared" si="28"/>
        <v>0</v>
      </c>
      <c r="K8646" s="59">
        <f t="shared" si="29"/>
        <v>0</v>
      </c>
      <c r="L8646" s="59">
        <f t="shared" si="30"/>
        <v>0</v>
      </c>
      <c r="M8646" s="59">
        <f t="shared" si="31"/>
        <v>0</v>
      </c>
    </row>
    <row r="8647" ht="15.0" hidden="1" customHeight="1">
      <c r="A8647" s="59">
        <f t="shared" si="20"/>
        <v>141</v>
      </c>
      <c r="B8647" s="59" t="str">
        <f t="shared" si="21"/>
        <v/>
      </c>
      <c r="C8647" s="59" t="str">
        <f t="shared" si="22"/>
        <v/>
      </c>
      <c r="D8647" s="45" t="str">
        <f t="shared" si="23"/>
        <v/>
      </c>
      <c r="E8647" s="45" t="str">
        <f t="shared" si="24"/>
        <v/>
      </c>
      <c r="F8647" s="59" t="str">
        <f t="shared" si="25"/>
        <v/>
      </c>
      <c r="G8647" s="59" t="str">
        <f t="shared" si="26"/>
        <v/>
      </c>
      <c r="H8647" s="59" t="str">
        <f t="shared" si="27"/>
        <v>28C02770</v>
      </c>
      <c r="I8647" s="59" t="str">
        <f>IF(OR($A8647="",$C8647="",$D8647="",$E8647="",$H8647=""),"",SUMIFS(DATA_GOC!$H:$H,DATA_GOC!$A:$A,"BOM",DATA_GOC!$D:$D,$H8647,DATA_GOC!$E:$E,$C8647,DATA_GOC!$F:$F,"Xuất nội bộ từ téc",DATA_GOC!$B:$B,"&gt;="&amp;$D8647,DATA_GOC!$B:$B,"&lt;="&amp;$E8647))</f>
        <v/>
      </c>
      <c r="J8647" s="59">
        <f t="shared" si="28"/>
        <v>0</v>
      </c>
      <c r="K8647" s="59">
        <f t="shared" si="29"/>
        <v>0</v>
      </c>
      <c r="L8647" s="59">
        <f t="shared" si="30"/>
        <v>0</v>
      </c>
      <c r="M8647" s="59">
        <f t="shared" si="31"/>
        <v>0</v>
      </c>
    </row>
    <row r="8648" ht="15.0" hidden="1" customHeight="1">
      <c r="A8648" s="59">
        <f t="shared" si="20"/>
        <v>141</v>
      </c>
      <c r="B8648" s="59" t="str">
        <f t="shared" si="21"/>
        <v/>
      </c>
      <c r="C8648" s="59" t="str">
        <f t="shared" si="22"/>
        <v/>
      </c>
      <c r="D8648" s="45" t="str">
        <f t="shared" si="23"/>
        <v/>
      </c>
      <c r="E8648" s="45" t="str">
        <f t="shared" si="24"/>
        <v/>
      </c>
      <c r="F8648" s="59" t="str">
        <f t="shared" si="25"/>
        <v/>
      </c>
      <c r="G8648" s="59" t="str">
        <f t="shared" si="26"/>
        <v/>
      </c>
      <c r="H8648" s="59" t="str">
        <f t="shared" si="27"/>
        <v>28C02986</v>
      </c>
      <c r="I8648" s="59" t="str">
        <f>IF(OR($A8648="",$C8648="",$D8648="",$E8648="",$H8648=""),"",SUMIFS(DATA_GOC!$H:$H,DATA_GOC!$A:$A,"BOM",DATA_GOC!$D:$D,$H8648,DATA_GOC!$E:$E,$C8648,DATA_GOC!$F:$F,"Xuất nội bộ từ téc",DATA_GOC!$B:$B,"&gt;="&amp;$D8648,DATA_GOC!$B:$B,"&lt;="&amp;$E8648))</f>
        <v/>
      </c>
      <c r="J8648" s="59">
        <f t="shared" si="28"/>
        <v>0</v>
      </c>
      <c r="K8648" s="59">
        <f t="shared" si="29"/>
        <v>0</v>
      </c>
      <c r="L8648" s="59">
        <f t="shared" si="30"/>
        <v>0</v>
      </c>
      <c r="M8648" s="59">
        <f t="shared" si="31"/>
        <v>0</v>
      </c>
    </row>
    <row r="8649" ht="15.0" hidden="1" customHeight="1">
      <c r="A8649" s="59">
        <f t="shared" si="20"/>
        <v>141</v>
      </c>
      <c r="B8649" s="59" t="str">
        <f t="shared" si="21"/>
        <v/>
      </c>
      <c r="C8649" s="59" t="str">
        <f t="shared" si="22"/>
        <v/>
      </c>
      <c r="D8649" s="45" t="str">
        <f t="shared" si="23"/>
        <v/>
      </c>
      <c r="E8649" s="45" t="str">
        <f t="shared" si="24"/>
        <v/>
      </c>
      <c r="F8649" s="59" t="str">
        <f t="shared" si="25"/>
        <v/>
      </c>
      <c r="G8649" s="59" t="str">
        <f t="shared" si="26"/>
        <v/>
      </c>
      <c r="H8649" s="59" t="str">
        <f t="shared" si="27"/>
        <v>28C03261</v>
      </c>
      <c r="I8649" s="59" t="str">
        <f>IF(OR($A8649="",$C8649="",$D8649="",$E8649="",$H8649=""),"",SUMIFS(DATA_GOC!$H:$H,DATA_GOC!$A:$A,"BOM",DATA_GOC!$D:$D,$H8649,DATA_GOC!$E:$E,$C8649,DATA_GOC!$F:$F,"Xuất nội bộ từ téc",DATA_GOC!$B:$B,"&gt;="&amp;$D8649,DATA_GOC!$B:$B,"&lt;="&amp;$E8649))</f>
        <v/>
      </c>
      <c r="J8649" s="59">
        <f t="shared" si="28"/>
        <v>0</v>
      </c>
      <c r="K8649" s="59">
        <f t="shared" si="29"/>
        <v>0</v>
      </c>
      <c r="L8649" s="59">
        <f t="shared" si="30"/>
        <v>0</v>
      </c>
      <c r="M8649" s="59">
        <f t="shared" si="31"/>
        <v>0</v>
      </c>
    </row>
    <row r="8650" ht="15.0" hidden="1" customHeight="1">
      <c r="A8650" s="59">
        <f t="shared" si="20"/>
        <v>141</v>
      </c>
      <c r="B8650" s="59" t="str">
        <f t="shared" si="21"/>
        <v/>
      </c>
      <c r="C8650" s="59" t="str">
        <f t="shared" si="22"/>
        <v/>
      </c>
      <c r="D8650" s="45" t="str">
        <f t="shared" si="23"/>
        <v/>
      </c>
      <c r="E8650" s="45" t="str">
        <f t="shared" si="24"/>
        <v/>
      </c>
      <c r="F8650" s="59" t="str">
        <f t="shared" si="25"/>
        <v/>
      </c>
      <c r="G8650" s="59" t="str">
        <f t="shared" si="26"/>
        <v/>
      </c>
      <c r="H8650" s="59" t="str">
        <f t="shared" si="27"/>
        <v>28C03323</v>
      </c>
      <c r="I8650" s="59" t="str">
        <f>IF(OR($A8650="",$C8650="",$D8650="",$E8650="",$H8650=""),"",SUMIFS(DATA_GOC!$H:$H,DATA_GOC!$A:$A,"BOM",DATA_GOC!$D:$D,$H8650,DATA_GOC!$E:$E,$C8650,DATA_GOC!$F:$F,"Xuất nội bộ từ téc",DATA_GOC!$B:$B,"&gt;="&amp;$D8650,DATA_GOC!$B:$B,"&lt;="&amp;$E8650))</f>
        <v/>
      </c>
      <c r="J8650" s="59">
        <f t="shared" si="28"/>
        <v>0</v>
      </c>
      <c r="K8650" s="59">
        <f t="shared" si="29"/>
        <v>0</v>
      </c>
      <c r="L8650" s="59">
        <f t="shared" si="30"/>
        <v>0</v>
      </c>
      <c r="M8650" s="59">
        <f t="shared" si="31"/>
        <v>0</v>
      </c>
    </row>
    <row r="8651" ht="15.0" hidden="1" customHeight="1">
      <c r="A8651" s="59">
        <f t="shared" si="20"/>
        <v>141</v>
      </c>
      <c r="B8651" s="59" t="str">
        <f t="shared" si="21"/>
        <v/>
      </c>
      <c r="C8651" s="59" t="str">
        <f t="shared" si="22"/>
        <v/>
      </c>
      <c r="D8651" s="45" t="str">
        <f t="shared" si="23"/>
        <v/>
      </c>
      <c r="E8651" s="45" t="str">
        <f t="shared" si="24"/>
        <v/>
      </c>
      <c r="F8651" s="59" t="str">
        <f t="shared" si="25"/>
        <v/>
      </c>
      <c r="G8651" s="59" t="str">
        <f t="shared" si="26"/>
        <v/>
      </c>
      <c r="H8651" s="59" t="str">
        <f t="shared" si="27"/>
        <v>28C03385</v>
      </c>
      <c r="I8651" s="59" t="str">
        <f>IF(OR($A8651="",$C8651="",$D8651="",$E8651="",$H8651=""),"",SUMIFS(DATA_GOC!$H:$H,DATA_GOC!$A:$A,"BOM",DATA_GOC!$D:$D,$H8651,DATA_GOC!$E:$E,$C8651,DATA_GOC!$F:$F,"Xuất nội bộ từ téc",DATA_GOC!$B:$B,"&gt;="&amp;$D8651,DATA_GOC!$B:$B,"&lt;="&amp;$E8651))</f>
        <v/>
      </c>
      <c r="J8651" s="59">
        <f t="shared" si="28"/>
        <v>0</v>
      </c>
      <c r="K8651" s="59">
        <f t="shared" si="29"/>
        <v>0</v>
      </c>
      <c r="L8651" s="59">
        <f t="shared" si="30"/>
        <v>0</v>
      </c>
      <c r="M8651" s="59">
        <f t="shared" si="31"/>
        <v>0</v>
      </c>
    </row>
    <row r="8652" ht="15.0" hidden="1" customHeight="1">
      <c r="A8652" s="59">
        <f t="shared" si="20"/>
        <v>141</v>
      </c>
      <c r="B8652" s="59" t="str">
        <f t="shared" si="21"/>
        <v/>
      </c>
      <c r="C8652" s="59" t="str">
        <f t="shared" si="22"/>
        <v/>
      </c>
      <c r="D8652" s="45" t="str">
        <f t="shared" si="23"/>
        <v/>
      </c>
      <c r="E8652" s="45" t="str">
        <f t="shared" si="24"/>
        <v/>
      </c>
      <c r="F8652" s="59" t="str">
        <f t="shared" si="25"/>
        <v/>
      </c>
      <c r="G8652" s="59" t="str">
        <f t="shared" si="26"/>
        <v/>
      </c>
      <c r="H8652" s="59" t="str">
        <f t="shared" si="27"/>
        <v>28C03652</v>
      </c>
      <c r="I8652" s="59" t="str">
        <f>IF(OR($A8652="",$C8652="",$D8652="",$E8652="",$H8652=""),"",SUMIFS(DATA_GOC!$H:$H,DATA_GOC!$A:$A,"BOM",DATA_GOC!$D:$D,$H8652,DATA_GOC!$E:$E,$C8652,DATA_GOC!$F:$F,"Xuất nội bộ từ téc",DATA_GOC!$B:$B,"&gt;="&amp;$D8652,DATA_GOC!$B:$B,"&lt;="&amp;$E8652))</f>
        <v/>
      </c>
      <c r="J8652" s="59">
        <f t="shared" si="28"/>
        <v>0</v>
      </c>
      <c r="K8652" s="59">
        <f t="shared" si="29"/>
        <v>0</v>
      </c>
      <c r="L8652" s="59">
        <f t="shared" si="30"/>
        <v>0</v>
      </c>
      <c r="M8652" s="59">
        <f t="shared" si="31"/>
        <v>0</v>
      </c>
    </row>
    <row r="8653" ht="15.0" hidden="1" customHeight="1">
      <c r="A8653" s="59">
        <f t="shared" si="20"/>
        <v>141</v>
      </c>
      <c r="B8653" s="59" t="str">
        <f t="shared" si="21"/>
        <v/>
      </c>
      <c r="C8653" s="59" t="str">
        <f t="shared" si="22"/>
        <v/>
      </c>
      <c r="D8653" s="45" t="str">
        <f t="shared" si="23"/>
        <v/>
      </c>
      <c r="E8653" s="45" t="str">
        <f t="shared" si="24"/>
        <v/>
      </c>
      <c r="F8653" s="59" t="str">
        <f t="shared" si="25"/>
        <v/>
      </c>
      <c r="G8653" s="59" t="str">
        <f t="shared" si="26"/>
        <v/>
      </c>
      <c r="H8653" s="59" t="str">
        <f t="shared" si="27"/>
        <v>28C03695</v>
      </c>
      <c r="I8653" s="59" t="str">
        <f>IF(OR($A8653="",$C8653="",$D8653="",$E8653="",$H8653=""),"",SUMIFS(DATA_GOC!$H:$H,DATA_GOC!$A:$A,"BOM",DATA_GOC!$D:$D,$H8653,DATA_GOC!$E:$E,$C8653,DATA_GOC!$F:$F,"Xuất nội bộ từ téc",DATA_GOC!$B:$B,"&gt;="&amp;$D8653,DATA_GOC!$B:$B,"&lt;="&amp;$E8653))</f>
        <v/>
      </c>
      <c r="J8653" s="59">
        <f t="shared" si="28"/>
        <v>0</v>
      </c>
      <c r="K8653" s="59">
        <f t="shared" si="29"/>
        <v>0</v>
      </c>
      <c r="L8653" s="59">
        <f t="shared" si="30"/>
        <v>0</v>
      </c>
      <c r="M8653" s="59">
        <f t="shared" si="31"/>
        <v>0</v>
      </c>
    </row>
    <row r="8654" ht="15.0" hidden="1" customHeight="1">
      <c r="A8654" s="59">
        <f t="shared" si="20"/>
        <v>141</v>
      </c>
      <c r="B8654" s="59" t="str">
        <f t="shared" si="21"/>
        <v/>
      </c>
      <c r="C8654" s="59" t="str">
        <f t="shared" si="22"/>
        <v/>
      </c>
      <c r="D8654" s="45" t="str">
        <f t="shared" si="23"/>
        <v/>
      </c>
      <c r="E8654" s="45" t="str">
        <f t="shared" si="24"/>
        <v/>
      </c>
      <c r="F8654" s="59" t="str">
        <f t="shared" si="25"/>
        <v/>
      </c>
      <c r="G8654" s="59" t="str">
        <f t="shared" si="26"/>
        <v/>
      </c>
      <c r="H8654" s="59" t="str">
        <f t="shared" si="27"/>
        <v>28C03927</v>
      </c>
      <c r="I8654" s="59" t="str">
        <f>IF(OR($A8654="",$C8654="",$D8654="",$E8654="",$H8654=""),"",SUMIFS(DATA_GOC!$H:$H,DATA_GOC!$A:$A,"BOM",DATA_GOC!$D:$D,$H8654,DATA_GOC!$E:$E,$C8654,DATA_GOC!$F:$F,"Xuất nội bộ từ téc",DATA_GOC!$B:$B,"&gt;="&amp;$D8654,DATA_GOC!$B:$B,"&lt;="&amp;$E8654))</f>
        <v/>
      </c>
      <c r="J8654" s="59">
        <f t="shared" si="28"/>
        <v>0</v>
      </c>
      <c r="K8654" s="59">
        <f t="shared" si="29"/>
        <v>0</v>
      </c>
      <c r="L8654" s="59">
        <f t="shared" si="30"/>
        <v>0</v>
      </c>
      <c r="M8654" s="59">
        <f t="shared" si="31"/>
        <v>0</v>
      </c>
    </row>
    <row r="8655" ht="15.0" hidden="1" customHeight="1">
      <c r="A8655" s="59">
        <f t="shared" si="20"/>
        <v>141</v>
      </c>
      <c r="B8655" s="59" t="str">
        <f t="shared" si="21"/>
        <v/>
      </c>
      <c r="C8655" s="59" t="str">
        <f t="shared" si="22"/>
        <v/>
      </c>
      <c r="D8655" s="45" t="str">
        <f t="shared" si="23"/>
        <v/>
      </c>
      <c r="E8655" s="45" t="str">
        <f t="shared" si="24"/>
        <v/>
      </c>
      <c r="F8655" s="59" t="str">
        <f t="shared" si="25"/>
        <v/>
      </c>
      <c r="G8655" s="59" t="str">
        <f t="shared" si="26"/>
        <v/>
      </c>
      <c r="H8655" s="59" t="str">
        <f t="shared" si="27"/>
        <v>28C04509</v>
      </c>
      <c r="I8655" s="59" t="str">
        <f>IF(OR($A8655="",$C8655="",$D8655="",$E8655="",$H8655=""),"",SUMIFS(DATA_GOC!$H:$H,DATA_GOC!$A:$A,"BOM",DATA_GOC!$D:$D,$H8655,DATA_GOC!$E:$E,$C8655,DATA_GOC!$F:$F,"Xuất nội bộ từ téc",DATA_GOC!$B:$B,"&gt;="&amp;$D8655,DATA_GOC!$B:$B,"&lt;="&amp;$E8655))</f>
        <v/>
      </c>
      <c r="J8655" s="59">
        <f t="shared" si="28"/>
        <v>0</v>
      </c>
      <c r="K8655" s="59">
        <f t="shared" si="29"/>
        <v>0</v>
      </c>
      <c r="L8655" s="59">
        <f t="shared" si="30"/>
        <v>0</v>
      </c>
      <c r="M8655" s="59">
        <f t="shared" si="31"/>
        <v>0</v>
      </c>
    </row>
    <row r="8656" ht="15.0" hidden="1" customHeight="1">
      <c r="A8656" s="59">
        <f t="shared" si="20"/>
        <v>141</v>
      </c>
      <c r="B8656" s="59" t="str">
        <f t="shared" si="21"/>
        <v/>
      </c>
      <c r="C8656" s="59" t="str">
        <f t="shared" si="22"/>
        <v/>
      </c>
      <c r="D8656" s="45" t="str">
        <f t="shared" si="23"/>
        <v/>
      </c>
      <c r="E8656" s="45" t="str">
        <f t="shared" si="24"/>
        <v/>
      </c>
      <c r="F8656" s="59" t="str">
        <f t="shared" si="25"/>
        <v/>
      </c>
      <c r="G8656" s="59" t="str">
        <f t="shared" si="26"/>
        <v/>
      </c>
      <c r="H8656" s="59" t="str">
        <f t="shared" si="27"/>
        <v>28C04536</v>
      </c>
      <c r="I8656" s="59" t="str">
        <f>IF(OR($A8656="",$C8656="",$D8656="",$E8656="",$H8656=""),"",SUMIFS(DATA_GOC!$H:$H,DATA_GOC!$A:$A,"BOM",DATA_GOC!$D:$D,$H8656,DATA_GOC!$E:$E,$C8656,DATA_GOC!$F:$F,"Xuất nội bộ từ téc",DATA_GOC!$B:$B,"&gt;="&amp;$D8656,DATA_GOC!$B:$B,"&lt;="&amp;$E8656))</f>
        <v/>
      </c>
      <c r="J8656" s="59">
        <f t="shared" si="28"/>
        <v>0</v>
      </c>
      <c r="K8656" s="59">
        <f t="shared" si="29"/>
        <v>0</v>
      </c>
      <c r="L8656" s="59">
        <f t="shared" si="30"/>
        <v>0</v>
      </c>
      <c r="M8656" s="59">
        <f t="shared" si="31"/>
        <v>0</v>
      </c>
    </row>
    <row r="8657" ht="15.0" hidden="1" customHeight="1">
      <c r="A8657" s="59">
        <f t="shared" si="20"/>
        <v>141</v>
      </c>
      <c r="B8657" s="59" t="str">
        <f t="shared" si="21"/>
        <v/>
      </c>
      <c r="C8657" s="59" t="str">
        <f t="shared" si="22"/>
        <v/>
      </c>
      <c r="D8657" s="45" t="str">
        <f t="shared" si="23"/>
        <v/>
      </c>
      <c r="E8657" s="45" t="str">
        <f t="shared" si="24"/>
        <v/>
      </c>
      <c r="F8657" s="59" t="str">
        <f t="shared" si="25"/>
        <v/>
      </c>
      <c r="G8657" s="59" t="str">
        <f t="shared" si="26"/>
        <v/>
      </c>
      <c r="H8657" s="59" t="str">
        <f t="shared" si="27"/>
        <v>28C04576</v>
      </c>
      <c r="I8657" s="59" t="str">
        <f>IF(OR($A8657="",$C8657="",$D8657="",$E8657="",$H8657=""),"",SUMIFS(DATA_GOC!$H:$H,DATA_GOC!$A:$A,"BOM",DATA_GOC!$D:$D,$H8657,DATA_GOC!$E:$E,$C8657,DATA_GOC!$F:$F,"Xuất nội bộ từ téc",DATA_GOC!$B:$B,"&gt;="&amp;$D8657,DATA_GOC!$B:$B,"&lt;="&amp;$E8657))</f>
        <v/>
      </c>
      <c r="J8657" s="59">
        <f t="shared" si="28"/>
        <v>0</v>
      </c>
      <c r="K8657" s="59">
        <f t="shared" si="29"/>
        <v>0</v>
      </c>
      <c r="L8657" s="59">
        <f t="shared" si="30"/>
        <v>0</v>
      </c>
      <c r="M8657" s="59">
        <f t="shared" si="31"/>
        <v>0</v>
      </c>
    </row>
    <row r="8658" ht="15.0" hidden="1" customHeight="1">
      <c r="A8658" s="59">
        <f t="shared" si="20"/>
        <v>141</v>
      </c>
      <c r="B8658" s="59" t="str">
        <f t="shared" si="21"/>
        <v/>
      </c>
      <c r="C8658" s="59" t="str">
        <f t="shared" si="22"/>
        <v/>
      </c>
      <c r="D8658" s="45" t="str">
        <f t="shared" si="23"/>
        <v/>
      </c>
      <c r="E8658" s="45" t="str">
        <f t="shared" si="24"/>
        <v/>
      </c>
      <c r="F8658" s="59" t="str">
        <f t="shared" si="25"/>
        <v/>
      </c>
      <c r="G8658" s="59" t="str">
        <f t="shared" si="26"/>
        <v/>
      </c>
      <c r="H8658" s="59" t="str">
        <f t="shared" si="27"/>
        <v>28C05090</v>
      </c>
      <c r="I8658" s="59" t="str">
        <f>IF(OR($A8658="",$C8658="",$D8658="",$E8658="",$H8658=""),"",SUMIFS(DATA_GOC!$H:$H,DATA_GOC!$A:$A,"BOM",DATA_GOC!$D:$D,$H8658,DATA_GOC!$E:$E,$C8658,DATA_GOC!$F:$F,"Xuất nội bộ từ téc",DATA_GOC!$B:$B,"&gt;="&amp;$D8658,DATA_GOC!$B:$B,"&lt;="&amp;$E8658))</f>
        <v/>
      </c>
      <c r="J8658" s="59">
        <f t="shared" si="28"/>
        <v>0</v>
      </c>
      <c r="K8658" s="59">
        <f t="shared" si="29"/>
        <v>0</v>
      </c>
      <c r="L8658" s="59">
        <f t="shared" si="30"/>
        <v>0</v>
      </c>
      <c r="M8658" s="59">
        <f t="shared" si="31"/>
        <v>0</v>
      </c>
    </row>
    <row r="8659" ht="15.0" hidden="1" customHeight="1">
      <c r="A8659" s="59">
        <f t="shared" si="20"/>
        <v>141</v>
      </c>
      <c r="B8659" s="59" t="str">
        <f t="shared" si="21"/>
        <v/>
      </c>
      <c r="C8659" s="59" t="str">
        <f t="shared" si="22"/>
        <v/>
      </c>
      <c r="D8659" s="45" t="str">
        <f t="shared" si="23"/>
        <v/>
      </c>
      <c r="E8659" s="45" t="str">
        <f t="shared" si="24"/>
        <v/>
      </c>
      <c r="F8659" s="59" t="str">
        <f t="shared" si="25"/>
        <v/>
      </c>
      <c r="G8659" s="59" t="str">
        <f t="shared" si="26"/>
        <v/>
      </c>
      <c r="H8659" s="59" t="str">
        <f t="shared" si="27"/>
        <v>28C05345</v>
      </c>
      <c r="I8659" s="59" t="str">
        <f>IF(OR($A8659="",$C8659="",$D8659="",$E8659="",$H8659=""),"",SUMIFS(DATA_GOC!$H:$H,DATA_GOC!$A:$A,"BOM",DATA_GOC!$D:$D,$H8659,DATA_GOC!$E:$E,$C8659,DATA_GOC!$F:$F,"Xuất nội bộ từ téc",DATA_GOC!$B:$B,"&gt;="&amp;$D8659,DATA_GOC!$B:$B,"&lt;="&amp;$E8659))</f>
        <v/>
      </c>
      <c r="J8659" s="59">
        <f t="shared" si="28"/>
        <v>0</v>
      </c>
      <c r="K8659" s="59">
        <f t="shared" si="29"/>
        <v>0</v>
      </c>
      <c r="L8659" s="59">
        <f t="shared" si="30"/>
        <v>0</v>
      </c>
      <c r="M8659" s="59">
        <f t="shared" si="31"/>
        <v>0</v>
      </c>
    </row>
    <row r="8660" ht="15.0" hidden="1" customHeight="1">
      <c r="A8660" s="59">
        <f t="shared" si="20"/>
        <v>141</v>
      </c>
      <c r="B8660" s="59" t="str">
        <f t="shared" si="21"/>
        <v/>
      </c>
      <c r="C8660" s="59" t="str">
        <f t="shared" si="22"/>
        <v/>
      </c>
      <c r="D8660" s="45" t="str">
        <f t="shared" si="23"/>
        <v/>
      </c>
      <c r="E8660" s="45" t="str">
        <f t="shared" si="24"/>
        <v/>
      </c>
      <c r="F8660" s="59" t="str">
        <f t="shared" si="25"/>
        <v/>
      </c>
      <c r="G8660" s="59" t="str">
        <f t="shared" si="26"/>
        <v/>
      </c>
      <c r="H8660" s="59" t="str">
        <f t="shared" si="27"/>
        <v>28C05661</v>
      </c>
      <c r="I8660" s="59" t="str">
        <f>IF(OR($A8660="",$C8660="",$D8660="",$E8660="",$H8660=""),"",SUMIFS(DATA_GOC!$H:$H,DATA_GOC!$A:$A,"BOM",DATA_GOC!$D:$D,$H8660,DATA_GOC!$E:$E,$C8660,DATA_GOC!$F:$F,"Xuất nội bộ từ téc",DATA_GOC!$B:$B,"&gt;="&amp;$D8660,DATA_GOC!$B:$B,"&lt;="&amp;$E8660))</f>
        <v/>
      </c>
      <c r="J8660" s="59">
        <f t="shared" si="28"/>
        <v>0</v>
      </c>
      <c r="K8660" s="59">
        <f t="shared" si="29"/>
        <v>0</v>
      </c>
      <c r="L8660" s="59">
        <f t="shared" si="30"/>
        <v>0</v>
      </c>
      <c r="M8660" s="59">
        <f t="shared" si="31"/>
        <v>0</v>
      </c>
    </row>
    <row r="8661" ht="15.0" hidden="1" customHeight="1">
      <c r="A8661" s="59">
        <f t="shared" si="20"/>
        <v>141</v>
      </c>
      <c r="B8661" s="59" t="str">
        <f t="shared" si="21"/>
        <v/>
      </c>
      <c r="C8661" s="59" t="str">
        <f t="shared" si="22"/>
        <v/>
      </c>
      <c r="D8661" s="45" t="str">
        <f t="shared" si="23"/>
        <v/>
      </c>
      <c r="E8661" s="45" t="str">
        <f t="shared" si="24"/>
        <v/>
      </c>
      <c r="F8661" s="59" t="str">
        <f t="shared" si="25"/>
        <v/>
      </c>
      <c r="G8661" s="59" t="str">
        <f t="shared" si="26"/>
        <v/>
      </c>
      <c r="H8661" s="59" t="str">
        <f t="shared" si="27"/>
        <v>28C05739</v>
      </c>
      <c r="I8661" s="59" t="str">
        <f>IF(OR($A8661="",$C8661="",$D8661="",$E8661="",$H8661=""),"",SUMIFS(DATA_GOC!$H:$H,DATA_GOC!$A:$A,"BOM",DATA_GOC!$D:$D,$H8661,DATA_GOC!$E:$E,$C8661,DATA_GOC!$F:$F,"Xuất nội bộ từ téc",DATA_GOC!$B:$B,"&gt;="&amp;$D8661,DATA_GOC!$B:$B,"&lt;="&amp;$E8661))</f>
        <v/>
      </c>
      <c r="J8661" s="59">
        <f t="shared" si="28"/>
        <v>0</v>
      </c>
      <c r="K8661" s="59">
        <f t="shared" si="29"/>
        <v>0</v>
      </c>
      <c r="L8661" s="59">
        <f t="shared" si="30"/>
        <v>0</v>
      </c>
      <c r="M8661" s="59">
        <f t="shared" si="31"/>
        <v>0</v>
      </c>
    </row>
    <row r="8662" ht="15.0" hidden="1" customHeight="1">
      <c r="A8662" s="59">
        <f t="shared" si="20"/>
        <v>141</v>
      </c>
      <c r="B8662" s="59" t="str">
        <f t="shared" si="21"/>
        <v/>
      </c>
      <c r="C8662" s="59" t="str">
        <f t="shared" si="22"/>
        <v/>
      </c>
      <c r="D8662" s="45" t="str">
        <f t="shared" si="23"/>
        <v/>
      </c>
      <c r="E8662" s="45" t="str">
        <f t="shared" si="24"/>
        <v/>
      </c>
      <c r="F8662" s="59" t="str">
        <f t="shared" si="25"/>
        <v/>
      </c>
      <c r="G8662" s="59" t="str">
        <f t="shared" si="26"/>
        <v/>
      </c>
      <c r="H8662" s="59" t="str">
        <f t="shared" si="27"/>
        <v>28C06369</v>
      </c>
      <c r="I8662" s="59" t="str">
        <f>IF(OR($A8662="",$C8662="",$D8662="",$E8662="",$H8662=""),"",SUMIFS(DATA_GOC!$H:$H,DATA_GOC!$A:$A,"BOM",DATA_GOC!$D:$D,$H8662,DATA_GOC!$E:$E,$C8662,DATA_GOC!$F:$F,"Xuất nội bộ từ téc",DATA_GOC!$B:$B,"&gt;="&amp;$D8662,DATA_GOC!$B:$B,"&lt;="&amp;$E8662))</f>
        <v/>
      </c>
      <c r="J8662" s="59">
        <f t="shared" si="28"/>
        <v>0</v>
      </c>
      <c r="K8662" s="59">
        <f t="shared" si="29"/>
        <v>0</v>
      </c>
      <c r="L8662" s="59">
        <f t="shared" si="30"/>
        <v>0</v>
      </c>
      <c r="M8662" s="59">
        <f t="shared" si="31"/>
        <v>0</v>
      </c>
    </row>
    <row r="8663" ht="15.0" hidden="1" customHeight="1">
      <c r="A8663" s="59">
        <f t="shared" si="20"/>
        <v>141</v>
      </c>
      <c r="B8663" s="59" t="str">
        <f t="shared" si="21"/>
        <v/>
      </c>
      <c r="C8663" s="59" t="str">
        <f t="shared" si="22"/>
        <v/>
      </c>
      <c r="D8663" s="45" t="str">
        <f t="shared" si="23"/>
        <v/>
      </c>
      <c r="E8663" s="45" t="str">
        <f t="shared" si="24"/>
        <v/>
      </c>
      <c r="F8663" s="59" t="str">
        <f t="shared" si="25"/>
        <v/>
      </c>
      <c r="G8663" s="59" t="str">
        <f t="shared" si="26"/>
        <v/>
      </c>
      <c r="H8663" s="59" t="str">
        <f t="shared" si="27"/>
        <v>28C06447</v>
      </c>
      <c r="I8663" s="59" t="str">
        <f>IF(OR($A8663="",$C8663="",$D8663="",$E8663="",$H8663=""),"",SUMIFS(DATA_GOC!$H:$H,DATA_GOC!$A:$A,"BOM",DATA_GOC!$D:$D,$H8663,DATA_GOC!$E:$E,$C8663,DATA_GOC!$F:$F,"Xuất nội bộ từ téc",DATA_GOC!$B:$B,"&gt;="&amp;$D8663,DATA_GOC!$B:$B,"&lt;="&amp;$E8663))</f>
        <v/>
      </c>
      <c r="J8663" s="59">
        <f t="shared" si="28"/>
        <v>0</v>
      </c>
      <c r="K8663" s="59">
        <f t="shared" si="29"/>
        <v>0</v>
      </c>
      <c r="L8663" s="59">
        <f t="shared" si="30"/>
        <v>0</v>
      </c>
      <c r="M8663" s="59">
        <f t="shared" si="31"/>
        <v>0</v>
      </c>
    </row>
    <row r="8664" ht="15.0" hidden="1" customHeight="1">
      <c r="A8664" s="59">
        <f t="shared" si="20"/>
        <v>141</v>
      </c>
      <c r="B8664" s="59" t="str">
        <f t="shared" si="21"/>
        <v/>
      </c>
      <c r="C8664" s="59" t="str">
        <f t="shared" si="22"/>
        <v/>
      </c>
      <c r="D8664" s="45" t="str">
        <f t="shared" si="23"/>
        <v/>
      </c>
      <c r="E8664" s="45" t="str">
        <f t="shared" si="24"/>
        <v/>
      </c>
      <c r="F8664" s="59" t="str">
        <f t="shared" si="25"/>
        <v/>
      </c>
      <c r="G8664" s="59" t="str">
        <f t="shared" si="26"/>
        <v/>
      </c>
      <c r="H8664" s="59" t="str">
        <f t="shared" si="27"/>
        <v>28H00003</v>
      </c>
      <c r="I8664" s="59" t="str">
        <f>IF(OR($A8664="",$C8664="",$D8664="",$E8664="",$H8664=""),"",SUMIFS(DATA_GOC!$H:$H,DATA_GOC!$A:$A,"BOM",DATA_GOC!$D:$D,$H8664,DATA_GOC!$E:$E,$C8664,DATA_GOC!$F:$F,"Xuất nội bộ từ téc",DATA_GOC!$B:$B,"&gt;="&amp;$D8664,DATA_GOC!$B:$B,"&lt;="&amp;$E8664))</f>
        <v/>
      </c>
      <c r="J8664" s="59">
        <f t="shared" si="28"/>
        <v>0</v>
      </c>
      <c r="K8664" s="59">
        <f t="shared" si="29"/>
        <v>0</v>
      </c>
      <c r="L8664" s="59">
        <f t="shared" si="30"/>
        <v>0</v>
      </c>
      <c r="M8664" s="59">
        <f t="shared" si="31"/>
        <v>0</v>
      </c>
    </row>
    <row r="8665" ht="15.0" hidden="1" customHeight="1">
      <c r="A8665" s="59">
        <f t="shared" si="20"/>
        <v>141</v>
      </c>
      <c r="B8665" s="59" t="str">
        <f t="shared" si="21"/>
        <v/>
      </c>
      <c r="C8665" s="59" t="str">
        <f t="shared" si="22"/>
        <v/>
      </c>
      <c r="D8665" s="45" t="str">
        <f t="shared" si="23"/>
        <v/>
      </c>
      <c r="E8665" s="45" t="str">
        <f t="shared" si="24"/>
        <v/>
      </c>
      <c r="F8665" s="59" t="str">
        <f t="shared" si="25"/>
        <v/>
      </c>
      <c r="G8665" s="59" t="str">
        <f t="shared" si="26"/>
        <v/>
      </c>
      <c r="H8665" s="59" t="str">
        <f t="shared" si="27"/>
        <v>28H00061</v>
      </c>
      <c r="I8665" s="59" t="str">
        <f>IF(OR($A8665="",$C8665="",$D8665="",$E8665="",$H8665=""),"",SUMIFS(DATA_GOC!$H:$H,DATA_GOC!$A:$A,"BOM",DATA_GOC!$D:$D,$H8665,DATA_GOC!$E:$E,$C8665,DATA_GOC!$F:$F,"Xuất nội bộ từ téc",DATA_GOC!$B:$B,"&gt;="&amp;$D8665,DATA_GOC!$B:$B,"&lt;="&amp;$E8665))</f>
        <v/>
      </c>
      <c r="J8665" s="59">
        <f t="shared" si="28"/>
        <v>0</v>
      </c>
      <c r="K8665" s="59">
        <f t="shared" si="29"/>
        <v>0</v>
      </c>
      <c r="L8665" s="59">
        <f t="shared" si="30"/>
        <v>0</v>
      </c>
      <c r="M8665" s="59">
        <f t="shared" si="31"/>
        <v>0</v>
      </c>
    </row>
    <row r="8666" ht="15.0" hidden="1" customHeight="1">
      <c r="A8666" s="59">
        <f t="shared" si="20"/>
        <v>141</v>
      </c>
      <c r="B8666" s="59" t="str">
        <f t="shared" si="21"/>
        <v/>
      </c>
      <c r="C8666" s="59" t="str">
        <f t="shared" si="22"/>
        <v/>
      </c>
      <c r="D8666" s="45" t="str">
        <f t="shared" si="23"/>
        <v/>
      </c>
      <c r="E8666" s="45" t="str">
        <f t="shared" si="24"/>
        <v/>
      </c>
      <c r="F8666" s="59" t="str">
        <f t="shared" si="25"/>
        <v/>
      </c>
      <c r="G8666" s="59" t="str">
        <f t="shared" si="26"/>
        <v/>
      </c>
      <c r="H8666" s="59" t="str">
        <f t="shared" si="27"/>
        <v>28H00354</v>
      </c>
      <c r="I8666" s="59" t="str">
        <f>IF(OR($A8666="",$C8666="",$D8666="",$E8666="",$H8666=""),"",SUMIFS(DATA_GOC!$H:$H,DATA_GOC!$A:$A,"BOM",DATA_GOC!$D:$D,$H8666,DATA_GOC!$E:$E,$C8666,DATA_GOC!$F:$F,"Xuất nội bộ từ téc",DATA_GOC!$B:$B,"&gt;="&amp;$D8666,DATA_GOC!$B:$B,"&lt;="&amp;$E8666))</f>
        <v/>
      </c>
      <c r="J8666" s="59">
        <f t="shared" si="28"/>
        <v>0</v>
      </c>
      <c r="K8666" s="59">
        <f t="shared" si="29"/>
        <v>0</v>
      </c>
      <c r="L8666" s="59">
        <f t="shared" si="30"/>
        <v>0</v>
      </c>
      <c r="M8666" s="59">
        <f t="shared" si="31"/>
        <v>0</v>
      </c>
    </row>
    <row r="8667" ht="15.0" hidden="1" customHeight="1">
      <c r="A8667" s="59">
        <f t="shared" si="20"/>
        <v>141</v>
      </c>
      <c r="B8667" s="59" t="str">
        <f t="shared" si="21"/>
        <v/>
      </c>
      <c r="C8667" s="59" t="str">
        <f t="shared" si="22"/>
        <v/>
      </c>
      <c r="D8667" s="45" t="str">
        <f t="shared" si="23"/>
        <v/>
      </c>
      <c r="E8667" s="45" t="str">
        <f t="shared" si="24"/>
        <v/>
      </c>
      <c r="F8667" s="59" t="str">
        <f t="shared" si="25"/>
        <v/>
      </c>
      <c r="G8667" s="59" t="str">
        <f t="shared" si="26"/>
        <v/>
      </c>
      <c r="H8667" s="59" t="str">
        <f t="shared" si="27"/>
        <v>28H00603</v>
      </c>
      <c r="I8667" s="59" t="str">
        <f>IF(OR($A8667="",$C8667="",$D8667="",$E8667="",$H8667=""),"",SUMIFS(DATA_GOC!$H:$H,DATA_GOC!$A:$A,"BOM",DATA_GOC!$D:$D,$H8667,DATA_GOC!$E:$E,$C8667,DATA_GOC!$F:$F,"Xuất nội bộ từ téc",DATA_GOC!$B:$B,"&gt;="&amp;$D8667,DATA_GOC!$B:$B,"&lt;="&amp;$E8667))</f>
        <v/>
      </c>
      <c r="J8667" s="59">
        <f t="shared" si="28"/>
        <v>0</v>
      </c>
      <c r="K8667" s="59">
        <f t="shared" si="29"/>
        <v>0</v>
      </c>
      <c r="L8667" s="59">
        <f t="shared" si="30"/>
        <v>0</v>
      </c>
      <c r="M8667" s="59">
        <f t="shared" si="31"/>
        <v>0</v>
      </c>
    </row>
    <row r="8668" ht="15.0" hidden="1" customHeight="1">
      <c r="A8668" s="59">
        <f t="shared" si="20"/>
        <v>141</v>
      </c>
      <c r="B8668" s="59" t="str">
        <f t="shared" si="21"/>
        <v/>
      </c>
      <c r="C8668" s="59" t="str">
        <f t="shared" si="22"/>
        <v/>
      </c>
      <c r="D8668" s="45" t="str">
        <f t="shared" si="23"/>
        <v/>
      </c>
      <c r="E8668" s="45" t="str">
        <f t="shared" si="24"/>
        <v/>
      </c>
      <c r="F8668" s="59" t="str">
        <f t="shared" si="25"/>
        <v/>
      </c>
      <c r="G8668" s="59" t="str">
        <f t="shared" si="26"/>
        <v/>
      </c>
      <c r="H8668" s="59" t="str">
        <f t="shared" si="27"/>
        <v>28H00609</v>
      </c>
      <c r="I8668" s="59" t="str">
        <f>IF(OR($A8668="",$C8668="",$D8668="",$E8668="",$H8668=""),"",SUMIFS(DATA_GOC!$H:$H,DATA_GOC!$A:$A,"BOM",DATA_GOC!$D:$D,$H8668,DATA_GOC!$E:$E,$C8668,DATA_GOC!$F:$F,"Xuất nội bộ từ téc",DATA_GOC!$B:$B,"&gt;="&amp;$D8668,DATA_GOC!$B:$B,"&lt;="&amp;$E8668))</f>
        <v/>
      </c>
      <c r="J8668" s="59">
        <f t="shared" si="28"/>
        <v>0</v>
      </c>
      <c r="K8668" s="59">
        <f t="shared" si="29"/>
        <v>0</v>
      </c>
      <c r="L8668" s="59">
        <f t="shared" si="30"/>
        <v>0</v>
      </c>
      <c r="M8668" s="59">
        <f t="shared" si="31"/>
        <v>0</v>
      </c>
    </row>
    <row r="8669" ht="15.0" hidden="1" customHeight="1">
      <c r="A8669" s="59">
        <f t="shared" si="20"/>
        <v>141</v>
      </c>
      <c r="B8669" s="59" t="str">
        <f t="shared" si="21"/>
        <v/>
      </c>
      <c r="C8669" s="59" t="str">
        <f t="shared" si="22"/>
        <v/>
      </c>
      <c r="D8669" s="45" t="str">
        <f t="shared" si="23"/>
        <v/>
      </c>
      <c r="E8669" s="45" t="str">
        <f t="shared" si="24"/>
        <v/>
      </c>
      <c r="F8669" s="59" t="str">
        <f t="shared" si="25"/>
        <v/>
      </c>
      <c r="G8669" s="59" t="str">
        <f t="shared" si="26"/>
        <v/>
      </c>
      <c r="H8669" s="59" t="str">
        <f t="shared" si="27"/>
        <v>28H00669</v>
      </c>
      <c r="I8669" s="59" t="str">
        <f>IF(OR($A8669="",$C8669="",$D8669="",$E8669="",$H8669=""),"",SUMIFS(DATA_GOC!$H:$H,DATA_GOC!$A:$A,"BOM",DATA_GOC!$D:$D,$H8669,DATA_GOC!$E:$E,$C8669,DATA_GOC!$F:$F,"Xuất nội bộ từ téc",DATA_GOC!$B:$B,"&gt;="&amp;$D8669,DATA_GOC!$B:$B,"&lt;="&amp;$E8669))</f>
        <v/>
      </c>
      <c r="J8669" s="59">
        <f t="shared" si="28"/>
        <v>0</v>
      </c>
      <c r="K8669" s="59">
        <f t="shared" si="29"/>
        <v>0</v>
      </c>
      <c r="L8669" s="59">
        <f t="shared" si="30"/>
        <v>0</v>
      </c>
      <c r="M8669" s="59">
        <f t="shared" si="31"/>
        <v>0</v>
      </c>
    </row>
    <row r="8670" ht="15.0" hidden="1" customHeight="1">
      <c r="A8670" s="59">
        <f t="shared" si="20"/>
        <v>141</v>
      </c>
      <c r="B8670" s="59" t="str">
        <f t="shared" si="21"/>
        <v/>
      </c>
      <c r="C8670" s="59" t="str">
        <f t="shared" si="22"/>
        <v/>
      </c>
      <c r="D8670" s="45" t="str">
        <f t="shared" si="23"/>
        <v/>
      </c>
      <c r="E8670" s="45" t="str">
        <f t="shared" si="24"/>
        <v/>
      </c>
      <c r="F8670" s="59" t="str">
        <f t="shared" si="25"/>
        <v/>
      </c>
      <c r="G8670" s="59" t="str">
        <f t="shared" si="26"/>
        <v/>
      </c>
      <c r="H8670" s="59" t="str">
        <f t="shared" si="27"/>
        <v>28H00680</v>
      </c>
      <c r="I8670" s="59" t="str">
        <f>IF(OR($A8670="",$C8670="",$D8670="",$E8670="",$H8670=""),"",SUMIFS(DATA_GOC!$H:$H,DATA_GOC!$A:$A,"BOM",DATA_GOC!$D:$D,$H8670,DATA_GOC!$E:$E,$C8670,DATA_GOC!$F:$F,"Xuất nội bộ từ téc",DATA_GOC!$B:$B,"&gt;="&amp;$D8670,DATA_GOC!$B:$B,"&lt;="&amp;$E8670))</f>
        <v/>
      </c>
      <c r="J8670" s="59">
        <f t="shared" si="28"/>
        <v>0</v>
      </c>
      <c r="K8670" s="59">
        <f t="shared" si="29"/>
        <v>0</v>
      </c>
      <c r="L8670" s="59">
        <f t="shared" si="30"/>
        <v>0</v>
      </c>
      <c r="M8670" s="59">
        <f t="shared" si="31"/>
        <v>0</v>
      </c>
    </row>
    <row r="8671" ht="15.0" hidden="1" customHeight="1">
      <c r="A8671" s="59">
        <f t="shared" si="20"/>
        <v>141</v>
      </c>
      <c r="B8671" s="59" t="str">
        <f t="shared" si="21"/>
        <v/>
      </c>
      <c r="C8671" s="59" t="str">
        <f t="shared" si="22"/>
        <v/>
      </c>
      <c r="D8671" s="45" t="str">
        <f t="shared" si="23"/>
        <v/>
      </c>
      <c r="E8671" s="45" t="str">
        <f t="shared" si="24"/>
        <v/>
      </c>
      <c r="F8671" s="59" t="str">
        <f t="shared" si="25"/>
        <v/>
      </c>
      <c r="G8671" s="59" t="str">
        <f t="shared" si="26"/>
        <v/>
      </c>
      <c r="H8671" s="59" t="str">
        <f t="shared" si="27"/>
        <v>28H01070</v>
      </c>
      <c r="I8671" s="59" t="str">
        <f>IF(OR($A8671="",$C8671="",$D8671="",$E8671="",$H8671=""),"",SUMIFS(DATA_GOC!$H:$H,DATA_GOC!$A:$A,"BOM",DATA_GOC!$D:$D,$H8671,DATA_GOC!$E:$E,$C8671,DATA_GOC!$F:$F,"Xuất nội bộ từ téc",DATA_GOC!$B:$B,"&gt;="&amp;$D8671,DATA_GOC!$B:$B,"&lt;="&amp;$E8671))</f>
        <v/>
      </c>
      <c r="J8671" s="59">
        <f t="shared" si="28"/>
        <v>0</v>
      </c>
      <c r="K8671" s="59">
        <f t="shared" si="29"/>
        <v>0</v>
      </c>
      <c r="L8671" s="59">
        <f t="shared" si="30"/>
        <v>0</v>
      </c>
      <c r="M8671" s="59">
        <f t="shared" si="31"/>
        <v>0</v>
      </c>
    </row>
    <row r="8672" ht="15.0" hidden="1" customHeight="1">
      <c r="A8672" s="59">
        <f t="shared" si="20"/>
        <v>141</v>
      </c>
      <c r="B8672" s="59" t="str">
        <f t="shared" si="21"/>
        <v/>
      </c>
      <c r="C8672" s="59" t="str">
        <f t="shared" si="22"/>
        <v/>
      </c>
      <c r="D8672" s="45" t="str">
        <f t="shared" si="23"/>
        <v/>
      </c>
      <c r="E8672" s="45" t="str">
        <f t="shared" si="24"/>
        <v/>
      </c>
      <c r="F8672" s="59" t="str">
        <f t="shared" si="25"/>
        <v/>
      </c>
      <c r="G8672" s="59" t="str">
        <f t="shared" si="26"/>
        <v/>
      </c>
      <c r="H8672" s="59" t="str">
        <f t="shared" si="27"/>
        <v>28H01364</v>
      </c>
      <c r="I8672" s="59" t="str">
        <f>IF(OR($A8672="",$C8672="",$D8672="",$E8672="",$H8672=""),"",SUMIFS(DATA_GOC!$H:$H,DATA_GOC!$A:$A,"BOM",DATA_GOC!$D:$D,$H8672,DATA_GOC!$E:$E,$C8672,DATA_GOC!$F:$F,"Xuất nội bộ từ téc",DATA_GOC!$B:$B,"&gt;="&amp;$D8672,DATA_GOC!$B:$B,"&lt;="&amp;$E8672))</f>
        <v/>
      </c>
      <c r="J8672" s="59">
        <f t="shared" si="28"/>
        <v>0</v>
      </c>
      <c r="K8672" s="59">
        <f t="shared" si="29"/>
        <v>0</v>
      </c>
      <c r="L8672" s="59">
        <f t="shared" si="30"/>
        <v>0</v>
      </c>
      <c r="M8672" s="59">
        <f t="shared" si="31"/>
        <v>0</v>
      </c>
    </row>
    <row r="8673" ht="15.0" hidden="1" customHeight="1">
      <c r="A8673" s="59">
        <f t="shared" si="20"/>
        <v>141</v>
      </c>
      <c r="B8673" s="59" t="str">
        <f t="shared" si="21"/>
        <v/>
      </c>
      <c r="C8673" s="59" t="str">
        <f t="shared" si="22"/>
        <v/>
      </c>
      <c r="D8673" s="45" t="str">
        <f t="shared" si="23"/>
        <v/>
      </c>
      <c r="E8673" s="45" t="str">
        <f t="shared" si="24"/>
        <v/>
      </c>
      <c r="F8673" s="59" t="str">
        <f t="shared" si="25"/>
        <v/>
      </c>
      <c r="G8673" s="59" t="str">
        <f t="shared" si="26"/>
        <v/>
      </c>
      <c r="H8673" s="59" t="str">
        <f t="shared" si="27"/>
        <v>29E17269</v>
      </c>
      <c r="I8673" s="59" t="str">
        <f>IF(OR($A8673="",$C8673="",$D8673="",$E8673="",$H8673=""),"",SUMIFS(DATA_GOC!$H:$H,DATA_GOC!$A:$A,"BOM",DATA_GOC!$D:$D,$H8673,DATA_GOC!$E:$E,$C8673,DATA_GOC!$F:$F,"Xuất nội bộ từ téc",DATA_GOC!$B:$B,"&gt;="&amp;$D8673,DATA_GOC!$B:$B,"&lt;="&amp;$E8673))</f>
        <v/>
      </c>
      <c r="J8673" s="59">
        <f t="shared" si="28"/>
        <v>0</v>
      </c>
      <c r="K8673" s="59">
        <f t="shared" si="29"/>
        <v>0</v>
      </c>
      <c r="L8673" s="59">
        <f t="shared" si="30"/>
        <v>0</v>
      </c>
      <c r="M8673" s="59">
        <f t="shared" si="31"/>
        <v>0</v>
      </c>
    </row>
    <row r="8674" ht="15.0" hidden="1" customHeight="1">
      <c r="A8674" s="59">
        <f t="shared" si="20"/>
        <v>141</v>
      </c>
      <c r="B8674" s="59" t="str">
        <f t="shared" si="21"/>
        <v/>
      </c>
      <c r="C8674" s="59" t="str">
        <f t="shared" si="22"/>
        <v/>
      </c>
      <c r="D8674" s="45" t="str">
        <f t="shared" si="23"/>
        <v/>
      </c>
      <c r="E8674" s="45" t="str">
        <f t="shared" si="24"/>
        <v/>
      </c>
      <c r="F8674" s="59" t="str">
        <f t="shared" si="25"/>
        <v/>
      </c>
      <c r="G8674" s="59" t="str">
        <f t="shared" si="26"/>
        <v/>
      </c>
      <c r="H8674" s="59" t="str">
        <f t="shared" si="27"/>
        <v>29E17273</v>
      </c>
      <c r="I8674" s="59" t="str">
        <f>IF(OR($A8674="",$C8674="",$D8674="",$E8674="",$H8674=""),"",SUMIFS(DATA_GOC!$H:$H,DATA_GOC!$A:$A,"BOM",DATA_GOC!$D:$D,$H8674,DATA_GOC!$E:$E,$C8674,DATA_GOC!$F:$F,"Xuất nội bộ từ téc",DATA_GOC!$B:$B,"&gt;="&amp;$D8674,DATA_GOC!$B:$B,"&lt;="&amp;$E8674))</f>
        <v/>
      </c>
      <c r="J8674" s="59">
        <f t="shared" si="28"/>
        <v>0</v>
      </c>
      <c r="K8674" s="59">
        <f t="shared" si="29"/>
        <v>0</v>
      </c>
      <c r="L8674" s="59">
        <f t="shared" si="30"/>
        <v>0</v>
      </c>
      <c r="M8674" s="59">
        <f t="shared" si="31"/>
        <v>0</v>
      </c>
    </row>
    <row r="8675" ht="15.0" hidden="1" customHeight="1">
      <c r="A8675" s="59">
        <f t="shared" si="20"/>
        <v>141</v>
      </c>
      <c r="B8675" s="59" t="str">
        <f t="shared" si="21"/>
        <v/>
      </c>
      <c r="C8675" s="59" t="str">
        <f t="shared" si="22"/>
        <v/>
      </c>
      <c r="D8675" s="45" t="str">
        <f t="shared" si="23"/>
        <v/>
      </c>
      <c r="E8675" s="45" t="str">
        <f t="shared" si="24"/>
        <v/>
      </c>
      <c r="F8675" s="59" t="str">
        <f t="shared" si="25"/>
        <v/>
      </c>
      <c r="G8675" s="59" t="str">
        <f t="shared" si="26"/>
        <v/>
      </c>
      <c r="H8675" s="59" t="str">
        <f t="shared" si="27"/>
        <v>29E17410</v>
      </c>
      <c r="I8675" s="59" t="str">
        <f>IF(OR($A8675="",$C8675="",$D8675="",$E8675="",$H8675=""),"",SUMIFS(DATA_GOC!$H:$H,DATA_GOC!$A:$A,"BOM",DATA_GOC!$D:$D,$H8675,DATA_GOC!$E:$E,$C8675,DATA_GOC!$F:$F,"Xuất nội bộ từ téc",DATA_GOC!$B:$B,"&gt;="&amp;$D8675,DATA_GOC!$B:$B,"&lt;="&amp;$E8675))</f>
        <v/>
      </c>
      <c r="J8675" s="59">
        <f t="shared" si="28"/>
        <v>0</v>
      </c>
      <c r="K8675" s="59">
        <f t="shared" si="29"/>
        <v>0</v>
      </c>
      <c r="L8675" s="59">
        <f t="shared" si="30"/>
        <v>0</v>
      </c>
      <c r="M8675" s="59">
        <f t="shared" si="31"/>
        <v>0</v>
      </c>
    </row>
    <row r="8676" ht="15.0" hidden="1" customHeight="1">
      <c r="A8676" s="59">
        <f t="shared" si="20"/>
        <v>141</v>
      </c>
      <c r="B8676" s="59" t="str">
        <f t="shared" si="21"/>
        <v/>
      </c>
      <c r="C8676" s="59" t="str">
        <f t="shared" si="22"/>
        <v/>
      </c>
      <c r="D8676" s="45" t="str">
        <f t="shared" si="23"/>
        <v/>
      </c>
      <c r="E8676" s="45" t="str">
        <f t="shared" si="24"/>
        <v/>
      </c>
      <c r="F8676" s="59" t="str">
        <f t="shared" si="25"/>
        <v/>
      </c>
      <c r="G8676" s="59" t="str">
        <f t="shared" si="26"/>
        <v/>
      </c>
      <c r="H8676" s="59" t="str">
        <f t="shared" si="27"/>
        <v>29E17417</v>
      </c>
      <c r="I8676" s="59" t="str">
        <f>IF(OR($A8676="",$C8676="",$D8676="",$E8676="",$H8676=""),"",SUMIFS(DATA_GOC!$H:$H,DATA_GOC!$A:$A,"BOM",DATA_GOC!$D:$D,$H8676,DATA_GOC!$E:$E,$C8676,DATA_GOC!$F:$F,"Xuất nội bộ từ téc",DATA_GOC!$B:$B,"&gt;="&amp;$D8676,DATA_GOC!$B:$B,"&lt;="&amp;$E8676))</f>
        <v/>
      </c>
      <c r="J8676" s="59">
        <f t="shared" si="28"/>
        <v>0</v>
      </c>
      <c r="K8676" s="59">
        <f t="shared" si="29"/>
        <v>0</v>
      </c>
      <c r="L8676" s="59">
        <f t="shared" si="30"/>
        <v>0</v>
      </c>
      <c r="M8676" s="59">
        <f t="shared" si="31"/>
        <v>0</v>
      </c>
    </row>
    <row r="8677" ht="15.0" hidden="1" customHeight="1">
      <c r="A8677" s="59">
        <f t="shared" si="20"/>
        <v>141</v>
      </c>
      <c r="B8677" s="59" t="str">
        <f t="shared" si="21"/>
        <v/>
      </c>
      <c r="C8677" s="59" t="str">
        <f t="shared" si="22"/>
        <v/>
      </c>
      <c r="D8677" s="45" t="str">
        <f t="shared" si="23"/>
        <v/>
      </c>
      <c r="E8677" s="45" t="str">
        <f t="shared" si="24"/>
        <v/>
      </c>
      <c r="F8677" s="59" t="str">
        <f t="shared" si="25"/>
        <v/>
      </c>
      <c r="G8677" s="59" t="str">
        <f t="shared" si="26"/>
        <v/>
      </c>
      <c r="H8677" s="59" t="str">
        <f t="shared" si="27"/>
        <v>29E17539</v>
      </c>
      <c r="I8677" s="59" t="str">
        <f>IF(OR($A8677="",$C8677="",$D8677="",$E8677="",$H8677=""),"",SUMIFS(DATA_GOC!$H:$H,DATA_GOC!$A:$A,"BOM",DATA_GOC!$D:$D,$H8677,DATA_GOC!$E:$E,$C8677,DATA_GOC!$F:$F,"Xuất nội bộ từ téc",DATA_GOC!$B:$B,"&gt;="&amp;$D8677,DATA_GOC!$B:$B,"&lt;="&amp;$E8677))</f>
        <v/>
      </c>
      <c r="J8677" s="59">
        <f t="shared" si="28"/>
        <v>0</v>
      </c>
      <c r="K8677" s="59">
        <f t="shared" si="29"/>
        <v>0</v>
      </c>
      <c r="L8677" s="59">
        <f t="shared" si="30"/>
        <v>0</v>
      </c>
      <c r="M8677" s="59">
        <f t="shared" si="31"/>
        <v>0</v>
      </c>
    </row>
    <row r="8678" ht="15.0" hidden="1" customHeight="1">
      <c r="A8678" s="59">
        <f t="shared" si="20"/>
        <v>141</v>
      </c>
      <c r="B8678" s="59" t="str">
        <f t="shared" si="21"/>
        <v/>
      </c>
      <c r="C8678" s="59" t="str">
        <f t="shared" si="22"/>
        <v/>
      </c>
      <c r="D8678" s="45" t="str">
        <f t="shared" si="23"/>
        <v/>
      </c>
      <c r="E8678" s="45" t="str">
        <f t="shared" si="24"/>
        <v/>
      </c>
      <c r="F8678" s="59" t="str">
        <f t="shared" si="25"/>
        <v/>
      </c>
      <c r="G8678" s="59" t="str">
        <f t="shared" si="26"/>
        <v/>
      </c>
      <c r="H8678" s="59" t="str">
        <f t="shared" si="27"/>
        <v>29E18160</v>
      </c>
      <c r="I8678" s="59" t="str">
        <f>IF(OR($A8678="",$C8678="",$D8678="",$E8678="",$H8678=""),"",SUMIFS(DATA_GOC!$H:$H,DATA_GOC!$A:$A,"BOM",DATA_GOC!$D:$D,$H8678,DATA_GOC!$E:$E,$C8678,DATA_GOC!$F:$F,"Xuất nội bộ từ téc",DATA_GOC!$B:$B,"&gt;="&amp;$D8678,DATA_GOC!$B:$B,"&lt;="&amp;$E8678))</f>
        <v/>
      </c>
      <c r="J8678" s="59">
        <f t="shared" si="28"/>
        <v>0</v>
      </c>
      <c r="K8678" s="59">
        <f t="shared" si="29"/>
        <v>0</v>
      </c>
      <c r="L8678" s="59">
        <f t="shared" si="30"/>
        <v>0</v>
      </c>
      <c r="M8678" s="59">
        <f t="shared" si="31"/>
        <v>0</v>
      </c>
    </row>
    <row r="8679" ht="15.0" hidden="1" customHeight="1">
      <c r="A8679" s="59">
        <f t="shared" si="20"/>
        <v>141</v>
      </c>
      <c r="B8679" s="59" t="str">
        <f t="shared" si="21"/>
        <v/>
      </c>
      <c r="C8679" s="59" t="str">
        <f t="shared" si="22"/>
        <v/>
      </c>
      <c r="D8679" s="45" t="str">
        <f t="shared" si="23"/>
        <v/>
      </c>
      <c r="E8679" s="45" t="str">
        <f t="shared" si="24"/>
        <v/>
      </c>
      <c r="F8679" s="59" t="str">
        <f t="shared" si="25"/>
        <v/>
      </c>
      <c r="G8679" s="59" t="str">
        <f t="shared" si="26"/>
        <v/>
      </c>
      <c r="H8679" s="59" t="str">
        <f t="shared" si="27"/>
        <v>Công trình Asphalt</v>
      </c>
      <c r="I8679" s="59" t="str">
        <f>IF(OR($A8679="",$C8679="",$D8679="",$E8679="",$H8679=""),"",SUMIFS(DATA_GOC!$H:$H,DATA_GOC!$A:$A,"BOM",DATA_GOC!$D:$D,$H8679,DATA_GOC!$E:$E,$C8679,DATA_GOC!$F:$F,"Xuất nội bộ từ téc",DATA_GOC!$B:$B,"&gt;="&amp;$D8679,DATA_GOC!$B:$B,"&lt;="&amp;$E8679))</f>
        <v/>
      </c>
      <c r="J8679" s="59">
        <f t="shared" si="28"/>
        <v>0</v>
      </c>
      <c r="K8679" s="59">
        <f t="shared" si="29"/>
        <v>0</v>
      </c>
      <c r="L8679" s="59">
        <f t="shared" si="30"/>
        <v>0</v>
      </c>
      <c r="M8679" s="59">
        <f t="shared" si="31"/>
        <v>0</v>
      </c>
    </row>
    <row r="8680" ht="15.0" hidden="1" customHeight="1">
      <c r="A8680" s="59">
        <f t="shared" si="20"/>
        <v>141</v>
      </c>
      <c r="B8680" s="59" t="str">
        <f t="shared" si="21"/>
        <v/>
      </c>
      <c r="C8680" s="59" t="str">
        <f t="shared" si="22"/>
        <v/>
      </c>
      <c r="D8680" s="45" t="str">
        <f t="shared" si="23"/>
        <v/>
      </c>
      <c r="E8680" s="45" t="str">
        <f t="shared" si="24"/>
        <v/>
      </c>
      <c r="F8680" s="59" t="str">
        <f t="shared" si="25"/>
        <v/>
      </c>
      <c r="G8680" s="59" t="str">
        <f t="shared" si="26"/>
        <v/>
      </c>
      <c r="H8680" s="59" t="str">
        <f t="shared" si="27"/>
        <v>LG53F</v>
      </c>
      <c r="I8680" s="59" t="str">
        <f>IF(OR($A8680="",$C8680="",$D8680="",$E8680="",$H8680=""),"",SUMIFS(DATA_GOC!$H:$H,DATA_GOC!$A:$A,"BOM",DATA_GOC!$D:$D,$H8680,DATA_GOC!$E:$E,$C8680,DATA_GOC!$F:$F,"Xuất nội bộ từ téc",DATA_GOC!$B:$B,"&gt;="&amp;$D8680,DATA_GOC!$B:$B,"&lt;="&amp;$E8680))</f>
        <v/>
      </c>
      <c r="J8680" s="59">
        <f t="shared" si="28"/>
        <v>0</v>
      </c>
      <c r="K8680" s="59">
        <f t="shared" si="29"/>
        <v>0</v>
      </c>
      <c r="L8680" s="59">
        <f t="shared" si="30"/>
        <v>0</v>
      </c>
      <c r="M8680" s="59">
        <f t="shared" si="31"/>
        <v>0</v>
      </c>
    </row>
    <row r="8681" ht="15.0" hidden="1" customHeight="1">
      <c r="A8681" s="59">
        <f t="shared" si="20"/>
        <v>141</v>
      </c>
      <c r="B8681" s="59" t="str">
        <f t="shared" si="21"/>
        <v/>
      </c>
      <c r="C8681" s="59" t="str">
        <f t="shared" si="22"/>
        <v/>
      </c>
      <c r="D8681" s="45" t="str">
        <f t="shared" si="23"/>
        <v/>
      </c>
      <c r="E8681" s="45" t="str">
        <f t="shared" si="24"/>
        <v/>
      </c>
      <c r="F8681" s="59" t="str">
        <f t="shared" si="25"/>
        <v/>
      </c>
      <c r="G8681" s="59" t="str">
        <f t="shared" si="26"/>
        <v/>
      </c>
      <c r="H8681" s="59" t="str">
        <f t="shared" si="27"/>
        <v>Máy phát điện</v>
      </c>
      <c r="I8681" s="59" t="str">
        <f>IF(OR($A8681="",$C8681="",$D8681="",$E8681="",$H8681=""),"",SUMIFS(DATA_GOC!$H:$H,DATA_GOC!$A:$A,"BOM",DATA_GOC!$D:$D,$H8681,DATA_GOC!$E:$E,$C8681,DATA_GOC!$F:$F,"Xuất nội bộ từ téc",DATA_GOC!$B:$B,"&gt;="&amp;$D8681,DATA_GOC!$B:$B,"&lt;="&amp;$E8681))</f>
        <v/>
      </c>
      <c r="J8681" s="59">
        <f t="shared" si="28"/>
        <v>0</v>
      </c>
      <c r="K8681" s="59">
        <f t="shared" si="29"/>
        <v>0</v>
      </c>
      <c r="L8681" s="59">
        <f t="shared" si="30"/>
        <v>0</v>
      </c>
      <c r="M8681" s="59">
        <f t="shared" si="31"/>
        <v>0</v>
      </c>
    </row>
    <row r="8682" ht="15.0" hidden="1" customHeight="1">
      <c r="A8682" s="59">
        <f t="shared" si="20"/>
        <v>141</v>
      </c>
      <c r="B8682" s="59" t="str">
        <f t="shared" si="21"/>
        <v/>
      </c>
      <c r="C8682" s="59" t="str">
        <f t="shared" si="22"/>
        <v/>
      </c>
      <c r="D8682" s="45" t="str">
        <f t="shared" si="23"/>
        <v/>
      </c>
      <c r="E8682" s="45" t="str">
        <f t="shared" si="24"/>
        <v/>
      </c>
      <c r="F8682" s="59" t="str">
        <f t="shared" si="25"/>
        <v/>
      </c>
      <c r="G8682" s="59" t="str">
        <f t="shared" si="26"/>
        <v/>
      </c>
      <c r="H8682" s="59" t="str">
        <f t="shared" si="27"/>
        <v>Máy rải thảm</v>
      </c>
      <c r="I8682" s="59" t="str">
        <f>IF(OR($A8682="",$C8682="",$D8682="",$E8682="",$H8682=""),"",SUMIFS(DATA_GOC!$H:$H,DATA_GOC!$A:$A,"BOM",DATA_GOC!$D:$D,$H8682,DATA_GOC!$E:$E,$C8682,DATA_GOC!$F:$F,"Xuất nội bộ từ téc",DATA_GOC!$B:$B,"&gt;="&amp;$D8682,DATA_GOC!$B:$B,"&lt;="&amp;$E8682))</f>
        <v/>
      </c>
      <c r="J8682" s="59">
        <f t="shared" si="28"/>
        <v>0</v>
      </c>
      <c r="K8682" s="59">
        <f t="shared" si="29"/>
        <v>0</v>
      </c>
      <c r="L8682" s="59">
        <f t="shared" si="30"/>
        <v>0</v>
      </c>
      <c r="M8682" s="59">
        <f t="shared" si="31"/>
        <v>0</v>
      </c>
    </row>
    <row r="8683" ht="15.0" hidden="1" customHeight="1">
      <c r="A8683" s="59">
        <f t="shared" si="20"/>
        <v>141</v>
      </c>
      <c r="B8683" s="59" t="str">
        <f t="shared" si="21"/>
        <v/>
      </c>
      <c r="C8683" s="59" t="str">
        <f t="shared" si="22"/>
        <v/>
      </c>
      <c r="D8683" s="45" t="str">
        <f t="shared" si="23"/>
        <v/>
      </c>
      <c r="E8683" s="45" t="str">
        <f t="shared" si="24"/>
        <v/>
      </c>
      <c r="F8683" s="59" t="str">
        <f t="shared" si="25"/>
        <v/>
      </c>
      <c r="G8683" s="59" t="str">
        <f t="shared" si="26"/>
        <v/>
      </c>
      <c r="H8683" s="59" t="str">
        <f t="shared" si="27"/>
        <v>Xúc Đào</v>
      </c>
      <c r="I8683" s="59" t="str">
        <f>IF(OR($A8683="",$C8683="",$D8683="",$E8683="",$H8683=""),"",SUMIFS(DATA_GOC!$H:$H,DATA_GOC!$A:$A,"BOM",DATA_GOC!$D:$D,$H8683,DATA_GOC!$E:$E,$C8683,DATA_GOC!$F:$F,"Xuất nội bộ từ téc",DATA_GOC!$B:$B,"&gt;="&amp;$D8683,DATA_GOC!$B:$B,"&lt;="&amp;$E8683))</f>
        <v/>
      </c>
      <c r="J8683" s="59">
        <f t="shared" si="28"/>
        <v>0</v>
      </c>
      <c r="K8683" s="59">
        <f t="shared" si="29"/>
        <v>0</v>
      </c>
      <c r="L8683" s="59">
        <f t="shared" si="30"/>
        <v>0</v>
      </c>
      <c r="M8683" s="59">
        <f t="shared" si="31"/>
        <v>0</v>
      </c>
    </row>
    <row r="8684" ht="15.0" hidden="1" customHeight="1">
      <c r="A8684" s="59">
        <f t="shared" si="20"/>
        <v>141</v>
      </c>
      <c r="B8684" s="59" t="str">
        <f t="shared" si="21"/>
        <v/>
      </c>
      <c r="C8684" s="59" t="str">
        <f t="shared" si="22"/>
        <v/>
      </c>
      <c r="D8684" s="45" t="str">
        <f t="shared" si="23"/>
        <v/>
      </c>
      <c r="E8684" s="45" t="str">
        <f t="shared" si="24"/>
        <v/>
      </c>
      <c r="F8684" s="59" t="str">
        <f t="shared" si="25"/>
        <v/>
      </c>
      <c r="G8684" s="59" t="str">
        <f t="shared" si="26"/>
        <v/>
      </c>
      <c r="H8684" s="59" t="str">
        <f t="shared" si="27"/>
        <v>Xúclật asphalt</v>
      </c>
      <c r="I8684" s="59" t="str">
        <f>IF(OR($A8684="",$C8684="",$D8684="",$E8684="",$H8684=""),"",SUMIFS(DATA_GOC!$H:$H,DATA_GOC!$A:$A,"BOM",DATA_GOC!$D:$D,$H8684,DATA_GOC!$E:$E,$C8684,DATA_GOC!$F:$F,"Xuất nội bộ từ téc",DATA_GOC!$B:$B,"&gt;="&amp;$D8684,DATA_GOC!$B:$B,"&lt;="&amp;$E8684))</f>
        <v/>
      </c>
      <c r="J8684" s="59">
        <f t="shared" si="28"/>
        <v>0</v>
      </c>
      <c r="K8684" s="59">
        <f t="shared" si="29"/>
        <v>0</v>
      </c>
      <c r="L8684" s="59">
        <f t="shared" si="30"/>
        <v>0</v>
      </c>
      <c r="M8684" s="59">
        <f t="shared" si="31"/>
        <v>0</v>
      </c>
    </row>
    <row r="8685" ht="15.0" hidden="1" customHeight="1">
      <c r="A8685" s="59">
        <f t="shared" si="20"/>
        <v>141</v>
      </c>
      <c r="B8685" s="59" t="str">
        <f t="shared" si="21"/>
        <v/>
      </c>
      <c r="C8685" s="59" t="str">
        <f t="shared" si="22"/>
        <v/>
      </c>
      <c r="D8685" s="45" t="str">
        <f t="shared" si="23"/>
        <v/>
      </c>
      <c r="E8685" s="45" t="str">
        <f t="shared" si="24"/>
        <v/>
      </c>
      <c r="F8685" s="59" t="str">
        <f t="shared" si="25"/>
        <v/>
      </c>
      <c r="G8685" s="59" t="str">
        <f t="shared" si="26"/>
        <v/>
      </c>
      <c r="H8685" s="59" t="str">
        <f t="shared" si="27"/>
        <v>Xúclật855H</v>
      </c>
      <c r="I8685" s="59" t="str">
        <f>IF(OR($A8685="",$C8685="",$D8685="",$E8685="",$H8685=""),"",SUMIFS(DATA_GOC!$H:$H,DATA_GOC!$A:$A,"BOM",DATA_GOC!$D:$D,$H8685,DATA_GOC!$E:$E,$C8685,DATA_GOC!$F:$F,"Xuất nội bộ từ téc",DATA_GOC!$B:$B,"&gt;="&amp;$D8685,DATA_GOC!$B:$B,"&lt;="&amp;$E8685))</f>
        <v/>
      </c>
      <c r="J8685" s="59">
        <f t="shared" si="28"/>
        <v>0</v>
      </c>
      <c r="K8685" s="59">
        <f t="shared" si="29"/>
        <v>0</v>
      </c>
      <c r="L8685" s="59">
        <f t="shared" si="30"/>
        <v>0</v>
      </c>
      <c r="M8685" s="59">
        <f t="shared" si="31"/>
        <v>0</v>
      </c>
    </row>
    <row r="8686" ht="15.0" hidden="1" customHeight="1">
      <c r="A8686" s="59">
        <f t="shared" si="20"/>
        <v>141</v>
      </c>
      <c r="B8686" s="59" t="str">
        <f t="shared" si="21"/>
        <v/>
      </c>
      <c r="C8686" s="59" t="str">
        <f t="shared" si="22"/>
        <v/>
      </c>
      <c r="D8686" s="45" t="str">
        <f t="shared" si="23"/>
        <v/>
      </c>
      <c r="E8686" s="45" t="str">
        <f t="shared" si="24"/>
        <v/>
      </c>
      <c r="F8686" s="59" t="str">
        <f t="shared" si="25"/>
        <v/>
      </c>
      <c r="G8686" s="59" t="str">
        <f t="shared" si="26"/>
        <v/>
      </c>
      <c r="H8686" s="59" t="str">
        <f t="shared" si="27"/>
        <v>Xúclật855N</v>
      </c>
      <c r="I8686" s="59" t="str">
        <f>IF(OR($A8686="",$C8686="",$D8686="",$E8686="",$H8686=""),"",SUMIFS(DATA_GOC!$H:$H,DATA_GOC!$A:$A,"BOM",DATA_GOC!$D:$D,$H8686,DATA_GOC!$E:$E,$C8686,DATA_GOC!$F:$F,"Xuất nội bộ từ téc",DATA_GOC!$B:$B,"&gt;="&amp;$D8686,DATA_GOC!$B:$B,"&lt;="&amp;$E8686))</f>
        <v/>
      </c>
      <c r="J8686" s="59">
        <f t="shared" si="28"/>
        <v>0</v>
      </c>
      <c r="K8686" s="59">
        <f t="shared" si="29"/>
        <v>0</v>
      </c>
      <c r="L8686" s="59">
        <f t="shared" si="30"/>
        <v>0</v>
      </c>
      <c r="M8686" s="59">
        <f t="shared" si="31"/>
        <v>0</v>
      </c>
    </row>
    <row r="8687" ht="15.0" hidden="1" customHeight="1">
      <c r="A8687" s="59">
        <f t="shared" si="20"/>
        <v>141</v>
      </c>
      <c r="B8687" s="59" t="str">
        <f t="shared" si="21"/>
        <v/>
      </c>
      <c r="C8687" s="59" t="str">
        <f t="shared" si="22"/>
        <v/>
      </c>
      <c r="D8687" s="45" t="str">
        <f t="shared" si="23"/>
        <v/>
      </c>
      <c r="E8687" s="45" t="str">
        <f t="shared" si="24"/>
        <v/>
      </c>
      <c r="F8687" s="59" t="str">
        <f t="shared" si="25"/>
        <v/>
      </c>
      <c r="G8687" s="59" t="str">
        <f t="shared" si="26"/>
        <v/>
      </c>
      <c r="H8687" s="59" t="str">
        <f t="shared" si="27"/>
        <v>Cát nghiền</v>
      </c>
      <c r="I8687" s="59" t="str">
        <f>IF(OR($A8687="",$C8687="",$D8687="",$E8687="",$H8687=""),"",SUMIFS(DATA_GOC!$H:$H,DATA_GOC!$A:$A,"BOM",DATA_GOC!$D:$D,$H8687,DATA_GOC!$E:$E,$C8687,DATA_GOC!$F:$F,"Xuất nội bộ từ téc",DATA_GOC!$B:$B,"&gt;="&amp;$D8687,DATA_GOC!$B:$B,"&lt;="&amp;$E8687))</f>
        <v/>
      </c>
      <c r="J8687" s="59">
        <f t="shared" si="28"/>
        <v>0</v>
      </c>
      <c r="K8687" s="59">
        <f t="shared" si="29"/>
        <v>0</v>
      </c>
      <c r="L8687" s="59">
        <f t="shared" si="30"/>
        <v>0</v>
      </c>
      <c r="M8687" s="59">
        <f t="shared" si="31"/>
        <v>0</v>
      </c>
    </row>
    <row r="8688" ht="15.0" hidden="1" customHeight="1">
      <c r="A8688" s="59">
        <f t="shared" si="20"/>
        <v>141</v>
      </c>
      <c r="B8688" s="59" t="str">
        <f t="shared" si="21"/>
        <v/>
      </c>
      <c r="C8688" s="59" t="str">
        <f t="shared" si="22"/>
        <v/>
      </c>
      <c r="D8688" s="45" t="str">
        <f t="shared" si="23"/>
        <v/>
      </c>
      <c r="E8688" s="45" t="str">
        <f t="shared" si="24"/>
        <v/>
      </c>
      <c r="F8688" s="59" t="str">
        <f t="shared" si="25"/>
        <v/>
      </c>
      <c r="G8688" s="59" t="str">
        <f t="shared" si="26"/>
        <v/>
      </c>
      <c r="H8688" s="59" t="str">
        <f t="shared" si="27"/>
        <v>28C02973</v>
      </c>
      <c r="I8688" s="59" t="str">
        <f>IF(OR($A8688="",$C8688="",$D8688="",$E8688="",$H8688=""),"",SUMIFS(DATA_GOC!$H:$H,DATA_GOC!$A:$A,"BOM",DATA_GOC!$D:$D,$H8688,DATA_GOC!$E:$E,$C8688,DATA_GOC!$F:$F,"Xuất nội bộ từ téc",DATA_GOC!$B:$B,"&gt;="&amp;$D8688,DATA_GOC!$B:$B,"&lt;="&amp;$E8688))</f>
        <v/>
      </c>
      <c r="J8688" s="59">
        <f t="shared" si="28"/>
        <v>0</v>
      </c>
      <c r="K8688" s="59">
        <f t="shared" si="29"/>
        <v>0</v>
      </c>
      <c r="L8688" s="59">
        <f t="shared" si="30"/>
        <v>0</v>
      </c>
      <c r="M8688" s="59">
        <f t="shared" si="31"/>
        <v>0</v>
      </c>
    </row>
    <row r="8689" ht="15.0" hidden="1" customHeight="1">
      <c r="A8689" s="59">
        <f t="shared" si="20"/>
        <v>141</v>
      </c>
      <c r="B8689" s="59" t="str">
        <f t="shared" si="21"/>
        <v/>
      </c>
      <c r="C8689" s="59" t="str">
        <f t="shared" si="22"/>
        <v/>
      </c>
      <c r="D8689" s="45" t="str">
        <f t="shared" si="23"/>
        <v/>
      </c>
      <c r="E8689" s="45" t="str">
        <f t="shared" si="24"/>
        <v/>
      </c>
      <c r="F8689" s="59" t="str">
        <f t="shared" si="25"/>
        <v/>
      </c>
      <c r="G8689" s="59" t="str">
        <f t="shared" si="26"/>
        <v/>
      </c>
      <c r="H8689" s="59" t="str">
        <f t="shared" si="27"/>
        <v>28C03044</v>
      </c>
      <c r="I8689" s="59" t="str">
        <f>IF(OR($A8689="",$C8689="",$D8689="",$E8689="",$H8689=""),"",SUMIFS(DATA_GOC!$H:$H,DATA_GOC!$A:$A,"BOM",DATA_GOC!$D:$D,$H8689,DATA_GOC!$E:$E,$C8689,DATA_GOC!$F:$F,"Xuất nội bộ từ téc",DATA_GOC!$B:$B,"&gt;="&amp;$D8689,DATA_GOC!$B:$B,"&lt;="&amp;$E8689))</f>
        <v/>
      </c>
      <c r="J8689" s="59">
        <f t="shared" si="28"/>
        <v>0</v>
      </c>
      <c r="K8689" s="59">
        <f t="shared" si="29"/>
        <v>0</v>
      </c>
      <c r="L8689" s="59">
        <f t="shared" si="30"/>
        <v>0</v>
      </c>
      <c r="M8689" s="59">
        <f t="shared" si="31"/>
        <v>0</v>
      </c>
    </row>
    <row r="8690" ht="15.0" hidden="1" customHeight="1">
      <c r="A8690" s="59">
        <f t="shared" si="20"/>
        <v>141</v>
      </c>
      <c r="B8690" s="59" t="str">
        <f t="shared" si="21"/>
        <v/>
      </c>
      <c r="C8690" s="59" t="str">
        <f t="shared" si="22"/>
        <v/>
      </c>
      <c r="D8690" s="45" t="str">
        <f t="shared" si="23"/>
        <v/>
      </c>
      <c r="E8690" s="45" t="str">
        <f t="shared" si="24"/>
        <v/>
      </c>
      <c r="F8690" s="59" t="str">
        <f t="shared" si="25"/>
        <v/>
      </c>
      <c r="G8690" s="59" t="str">
        <f t="shared" si="26"/>
        <v/>
      </c>
      <c r="H8690" s="59" t="str">
        <f t="shared" si="27"/>
        <v>Máy lu lốp</v>
      </c>
      <c r="I8690" s="59" t="str">
        <f>IF(OR($A8690="",$C8690="",$D8690="",$E8690="",$H8690=""),"",SUMIFS(DATA_GOC!$H:$H,DATA_GOC!$A:$A,"BOM",DATA_GOC!$D:$D,$H8690,DATA_GOC!$E:$E,$C8690,DATA_GOC!$F:$F,"Xuất nội bộ từ téc",DATA_GOC!$B:$B,"&gt;="&amp;$D8690,DATA_GOC!$B:$B,"&lt;="&amp;$E8690))</f>
        <v/>
      </c>
      <c r="J8690" s="59">
        <f t="shared" si="28"/>
        <v>0</v>
      </c>
      <c r="K8690" s="59">
        <f t="shared" si="29"/>
        <v>0</v>
      </c>
      <c r="L8690" s="59">
        <f t="shared" si="30"/>
        <v>0</v>
      </c>
      <c r="M8690" s="59">
        <f t="shared" si="31"/>
        <v>0</v>
      </c>
    </row>
    <row r="8691" ht="15.0" hidden="1" customHeight="1">
      <c r="A8691" s="59">
        <f t="shared" si="20"/>
        <v>141</v>
      </c>
      <c r="B8691" s="59" t="str">
        <f t="shared" si="21"/>
        <v/>
      </c>
      <c r="C8691" s="59" t="str">
        <f t="shared" si="22"/>
        <v/>
      </c>
      <c r="D8691" s="45" t="str">
        <f t="shared" si="23"/>
        <v/>
      </c>
      <c r="E8691" s="45" t="str">
        <f t="shared" si="24"/>
        <v/>
      </c>
      <c r="F8691" s="59" t="str">
        <f t="shared" si="25"/>
        <v/>
      </c>
      <c r="G8691" s="59" t="str">
        <f t="shared" si="26"/>
        <v/>
      </c>
      <c r="H8691" s="59" t="str">
        <f t="shared" si="27"/>
        <v>Xe 600148</v>
      </c>
      <c r="I8691" s="59" t="str">
        <f>IF(OR($A8691="",$C8691="",$D8691="",$E8691="",$H8691=""),"",SUMIFS(DATA_GOC!$H:$H,DATA_GOC!$A:$A,"BOM",DATA_GOC!$D:$D,$H8691,DATA_GOC!$E:$E,$C8691,DATA_GOC!$F:$F,"Xuất nội bộ từ téc",DATA_GOC!$B:$B,"&gt;="&amp;$D8691,DATA_GOC!$B:$B,"&lt;="&amp;$E8691))</f>
        <v/>
      </c>
      <c r="J8691" s="59">
        <f t="shared" si="28"/>
        <v>0</v>
      </c>
      <c r="K8691" s="59">
        <f t="shared" si="29"/>
        <v>0</v>
      </c>
      <c r="L8691" s="59">
        <f t="shared" si="30"/>
        <v>0</v>
      </c>
      <c r="M8691" s="59">
        <f t="shared" si="31"/>
        <v>0</v>
      </c>
    </row>
    <row r="8692" ht="15.0" hidden="1" customHeight="1">
      <c r="A8692" s="59">
        <f t="shared" si="20"/>
        <v>141</v>
      </c>
      <c r="B8692" s="59" t="str">
        <f t="shared" si="21"/>
        <v/>
      </c>
      <c r="C8692" s="59" t="str">
        <f t="shared" si="22"/>
        <v/>
      </c>
      <c r="D8692" s="45" t="str">
        <f t="shared" si="23"/>
        <v/>
      </c>
      <c r="E8692" s="45" t="str">
        <f t="shared" si="24"/>
        <v/>
      </c>
      <c r="F8692" s="59" t="str">
        <f t="shared" si="25"/>
        <v/>
      </c>
      <c r="G8692" s="59" t="str">
        <f t="shared" si="26"/>
        <v/>
      </c>
      <c r="H8692" s="59" t="str">
        <f t="shared" si="27"/>
        <v>Xe ben mới</v>
      </c>
      <c r="I8692" s="59" t="str">
        <f>IF(OR($A8692="",$C8692="",$D8692="",$E8692="",$H8692=""),"",SUMIFS(DATA_GOC!$H:$H,DATA_GOC!$A:$A,"BOM",DATA_GOC!$D:$D,$H8692,DATA_GOC!$E:$E,$C8692,DATA_GOC!$F:$F,"Xuất nội bộ từ téc",DATA_GOC!$B:$B,"&gt;="&amp;$D8692,DATA_GOC!$B:$B,"&lt;="&amp;$E8692))</f>
        <v/>
      </c>
      <c r="J8692" s="59">
        <f t="shared" si="28"/>
        <v>0</v>
      </c>
      <c r="K8692" s="59">
        <f t="shared" si="29"/>
        <v>0</v>
      </c>
      <c r="L8692" s="59">
        <f t="shared" si="30"/>
        <v>0</v>
      </c>
      <c r="M8692" s="59">
        <f t="shared" si="31"/>
        <v>0</v>
      </c>
    </row>
    <row r="8693" ht="15.0" hidden="1" customHeight="1">
      <c r="A8693" s="59">
        <f t="shared" si="20"/>
        <v>142</v>
      </c>
      <c r="B8693" s="59" t="str">
        <f t="shared" si="21"/>
        <v/>
      </c>
      <c r="C8693" s="59" t="str">
        <f t="shared" si="22"/>
        <v/>
      </c>
      <c r="D8693" s="45" t="str">
        <f t="shared" si="23"/>
        <v/>
      </c>
      <c r="E8693" s="45" t="str">
        <f t="shared" si="24"/>
        <v/>
      </c>
      <c r="F8693" s="59" t="str">
        <f t="shared" si="25"/>
        <v/>
      </c>
      <c r="G8693" s="59" t="str">
        <f t="shared" si="26"/>
        <v/>
      </c>
      <c r="H8693" s="59" t="str">
        <f t="shared" si="27"/>
        <v>19H09482</v>
      </c>
      <c r="I8693" s="59" t="str">
        <f>IF(OR($A8693="",$C8693="",$D8693="",$E8693="",$H8693=""),"",SUMIFS(DATA_GOC!$H:$H,DATA_GOC!$A:$A,"BOM",DATA_GOC!$D:$D,$H8693,DATA_GOC!$E:$E,$C8693,DATA_GOC!$F:$F,"Xuất nội bộ từ téc",DATA_GOC!$B:$B,"&gt;="&amp;$D8693,DATA_GOC!$B:$B,"&lt;="&amp;$E8693))</f>
        <v/>
      </c>
      <c r="J8693" s="59">
        <f t="shared" si="28"/>
        <v>0</v>
      </c>
      <c r="K8693" s="59">
        <f t="shared" si="29"/>
        <v>0</v>
      </c>
      <c r="L8693" s="59">
        <f t="shared" si="30"/>
        <v>0</v>
      </c>
      <c r="M8693" s="59">
        <f t="shared" si="31"/>
        <v>0</v>
      </c>
    </row>
    <row r="8694" ht="15.0" hidden="1" customHeight="1">
      <c r="A8694" s="59">
        <f t="shared" si="20"/>
        <v>142</v>
      </c>
      <c r="B8694" s="59" t="str">
        <f t="shared" si="21"/>
        <v/>
      </c>
      <c r="C8694" s="59" t="str">
        <f t="shared" si="22"/>
        <v/>
      </c>
      <c r="D8694" s="45" t="str">
        <f t="shared" si="23"/>
        <v/>
      </c>
      <c r="E8694" s="45" t="str">
        <f t="shared" si="24"/>
        <v/>
      </c>
      <c r="F8694" s="59" t="str">
        <f t="shared" si="25"/>
        <v/>
      </c>
      <c r="G8694" s="59" t="str">
        <f t="shared" si="26"/>
        <v/>
      </c>
      <c r="H8694" s="59" t="str">
        <f t="shared" si="27"/>
        <v>28A30696</v>
      </c>
      <c r="I8694" s="59" t="str">
        <f>IF(OR($A8694="",$C8694="",$D8694="",$E8694="",$H8694=""),"",SUMIFS(DATA_GOC!$H:$H,DATA_GOC!$A:$A,"BOM",DATA_GOC!$D:$D,$H8694,DATA_GOC!$E:$E,$C8694,DATA_GOC!$F:$F,"Xuất nội bộ từ téc",DATA_GOC!$B:$B,"&gt;="&amp;$D8694,DATA_GOC!$B:$B,"&lt;="&amp;$E8694))</f>
        <v/>
      </c>
      <c r="J8694" s="59">
        <f t="shared" si="28"/>
        <v>0</v>
      </c>
      <c r="K8694" s="59">
        <f t="shared" si="29"/>
        <v>0</v>
      </c>
      <c r="L8694" s="59">
        <f t="shared" si="30"/>
        <v>0</v>
      </c>
      <c r="M8694" s="59">
        <f t="shared" si="31"/>
        <v>0</v>
      </c>
    </row>
    <row r="8695" ht="15.0" hidden="1" customHeight="1">
      <c r="A8695" s="59">
        <f t="shared" si="20"/>
        <v>142</v>
      </c>
      <c r="B8695" s="59" t="str">
        <f t="shared" si="21"/>
        <v/>
      </c>
      <c r="C8695" s="59" t="str">
        <f t="shared" si="22"/>
        <v/>
      </c>
      <c r="D8695" s="45" t="str">
        <f t="shared" si="23"/>
        <v/>
      </c>
      <c r="E8695" s="45" t="str">
        <f t="shared" si="24"/>
        <v/>
      </c>
      <c r="F8695" s="59" t="str">
        <f t="shared" si="25"/>
        <v/>
      </c>
      <c r="G8695" s="59" t="str">
        <f t="shared" si="26"/>
        <v/>
      </c>
      <c r="H8695" s="59" t="str">
        <f t="shared" si="27"/>
        <v>28C00462</v>
      </c>
      <c r="I8695" s="59" t="str">
        <f>IF(OR($A8695="",$C8695="",$D8695="",$E8695="",$H8695=""),"",SUMIFS(DATA_GOC!$H:$H,DATA_GOC!$A:$A,"BOM",DATA_GOC!$D:$D,$H8695,DATA_GOC!$E:$E,$C8695,DATA_GOC!$F:$F,"Xuất nội bộ từ téc",DATA_GOC!$B:$B,"&gt;="&amp;$D8695,DATA_GOC!$B:$B,"&lt;="&amp;$E8695))</f>
        <v/>
      </c>
      <c r="J8695" s="59">
        <f t="shared" si="28"/>
        <v>0</v>
      </c>
      <c r="K8695" s="59">
        <f t="shared" si="29"/>
        <v>0</v>
      </c>
      <c r="L8695" s="59">
        <f t="shared" si="30"/>
        <v>0</v>
      </c>
      <c r="M8695" s="59">
        <f t="shared" si="31"/>
        <v>0</v>
      </c>
    </row>
    <row r="8696" ht="15.0" hidden="1" customHeight="1">
      <c r="A8696" s="59">
        <f t="shared" si="20"/>
        <v>142</v>
      </c>
      <c r="B8696" s="59" t="str">
        <f t="shared" si="21"/>
        <v/>
      </c>
      <c r="C8696" s="59" t="str">
        <f t="shared" si="22"/>
        <v/>
      </c>
      <c r="D8696" s="45" t="str">
        <f t="shared" si="23"/>
        <v/>
      </c>
      <c r="E8696" s="45" t="str">
        <f t="shared" si="24"/>
        <v/>
      </c>
      <c r="F8696" s="59" t="str">
        <f t="shared" si="25"/>
        <v/>
      </c>
      <c r="G8696" s="59" t="str">
        <f t="shared" si="26"/>
        <v/>
      </c>
      <c r="H8696" s="59" t="str">
        <f t="shared" si="27"/>
        <v>28C01165</v>
      </c>
      <c r="I8696" s="59" t="str">
        <f>IF(OR($A8696="",$C8696="",$D8696="",$E8696="",$H8696=""),"",SUMIFS(DATA_GOC!$H:$H,DATA_GOC!$A:$A,"BOM",DATA_GOC!$D:$D,$H8696,DATA_GOC!$E:$E,$C8696,DATA_GOC!$F:$F,"Xuất nội bộ từ téc",DATA_GOC!$B:$B,"&gt;="&amp;$D8696,DATA_GOC!$B:$B,"&lt;="&amp;$E8696))</f>
        <v/>
      </c>
      <c r="J8696" s="59">
        <f t="shared" si="28"/>
        <v>0</v>
      </c>
      <c r="K8696" s="59">
        <f t="shared" si="29"/>
        <v>0</v>
      </c>
      <c r="L8696" s="59">
        <f t="shared" si="30"/>
        <v>0</v>
      </c>
      <c r="M8696" s="59">
        <f t="shared" si="31"/>
        <v>0</v>
      </c>
    </row>
    <row r="8697" ht="15.0" hidden="1" customHeight="1">
      <c r="A8697" s="59">
        <f t="shared" si="20"/>
        <v>142</v>
      </c>
      <c r="B8697" s="59" t="str">
        <f t="shared" si="21"/>
        <v/>
      </c>
      <c r="C8697" s="59" t="str">
        <f t="shared" si="22"/>
        <v/>
      </c>
      <c r="D8697" s="45" t="str">
        <f t="shared" si="23"/>
        <v/>
      </c>
      <c r="E8697" s="45" t="str">
        <f t="shared" si="24"/>
        <v/>
      </c>
      <c r="F8697" s="59" t="str">
        <f t="shared" si="25"/>
        <v/>
      </c>
      <c r="G8697" s="59" t="str">
        <f t="shared" si="26"/>
        <v/>
      </c>
      <c r="H8697" s="59" t="str">
        <f t="shared" si="27"/>
        <v>28C01406</v>
      </c>
      <c r="I8697" s="59" t="str">
        <f>IF(OR($A8697="",$C8697="",$D8697="",$E8697="",$H8697=""),"",SUMIFS(DATA_GOC!$H:$H,DATA_GOC!$A:$A,"BOM",DATA_GOC!$D:$D,$H8697,DATA_GOC!$E:$E,$C8697,DATA_GOC!$F:$F,"Xuất nội bộ từ téc",DATA_GOC!$B:$B,"&gt;="&amp;$D8697,DATA_GOC!$B:$B,"&lt;="&amp;$E8697))</f>
        <v/>
      </c>
      <c r="J8697" s="59">
        <f t="shared" si="28"/>
        <v>0</v>
      </c>
      <c r="K8697" s="59">
        <f t="shared" si="29"/>
        <v>0</v>
      </c>
      <c r="L8697" s="59">
        <f t="shared" si="30"/>
        <v>0</v>
      </c>
      <c r="M8697" s="59">
        <f t="shared" si="31"/>
        <v>0</v>
      </c>
    </row>
    <row r="8698" ht="15.0" hidden="1" customHeight="1">
      <c r="A8698" s="59">
        <f t="shared" si="20"/>
        <v>142</v>
      </c>
      <c r="B8698" s="59" t="str">
        <f t="shared" si="21"/>
        <v/>
      </c>
      <c r="C8698" s="59" t="str">
        <f t="shared" si="22"/>
        <v/>
      </c>
      <c r="D8698" s="45" t="str">
        <f t="shared" si="23"/>
        <v/>
      </c>
      <c r="E8698" s="45" t="str">
        <f t="shared" si="24"/>
        <v/>
      </c>
      <c r="F8698" s="59" t="str">
        <f t="shared" si="25"/>
        <v/>
      </c>
      <c r="G8698" s="59" t="str">
        <f t="shared" si="26"/>
        <v/>
      </c>
      <c r="H8698" s="59" t="str">
        <f t="shared" si="27"/>
        <v>28C01544</v>
      </c>
      <c r="I8698" s="59" t="str">
        <f>IF(OR($A8698="",$C8698="",$D8698="",$E8698="",$H8698=""),"",SUMIFS(DATA_GOC!$H:$H,DATA_GOC!$A:$A,"BOM",DATA_GOC!$D:$D,$H8698,DATA_GOC!$E:$E,$C8698,DATA_GOC!$F:$F,"Xuất nội bộ từ téc",DATA_GOC!$B:$B,"&gt;="&amp;$D8698,DATA_GOC!$B:$B,"&lt;="&amp;$E8698))</f>
        <v/>
      </c>
      <c r="J8698" s="59">
        <f t="shared" si="28"/>
        <v>0</v>
      </c>
      <c r="K8698" s="59">
        <f t="shared" si="29"/>
        <v>0</v>
      </c>
      <c r="L8698" s="59">
        <f t="shared" si="30"/>
        <v>0</v>
      </c>
      <c r="M8698" s="59">
        <f t="shared" si="31"/>
        <v>0</v>
      </c>
    </row>
    <row r="8699" ht="15.0" hidden="1" customHeight="1">
      <c r="A8699" s="59">
        <f t="shared" si="20"/>
        <v>142</v>
      </c>
      <c r="B8699" s="59" t="str">
        <f t="shared" si="21"/>
        <v/>
      </c>
      <c r="C8699" s="59" t="str">
        <f t="shared" si="22"/>
        <v/>
      </c>
      <c r="D8699" s="45" t="str">
        <f t="shared" si="23"/>
        <v/>
      </c>
      <c r="E8699" s="45" t="str">
        <f t="shared" si="24"/>
        <v/>
      </c>
      <c r="F8699" s="59" t="str">
        <f t="shared" si="25"/>
        <v/>
      </c>
      <c r="G8699" s="59" t="str">
        <f t="shared" si="26"/>
        <v/>
      </c>
      <c r="H8699" s="59" t="str">
        <f t="shared" si="27"/>
        <v>28C01622</v>
      </c>
      <c r="I8699" s="59" t="str">
        <f>IF(OR($A8699="",$C8699="",$D8699="",$E8699="",$H8699=""),"",SUMIFS(DATA_GOC!$H:$H,DATA_GOC!$A:$A,"BOM",DATA_GOC!$D:$D,$H8699,DATA_GOC!$E:$E,$C8699,DATA_GOC!$F:$F,"Xuất nội bộ từ téc",DATA_GOC!$B:$B,"&gt;="&amp;$D8699,DATA_GOC!$B:$B,"&lt;="&amp;$E8699))</f>
        <v/>
      </c>
      <c r="J8699" s="59">
        <f t="shared" si="28"/>
        <v>0</v>
      </c>
      <c r="K8699" s="59">
        <f t="shared" si="29"/>
        <v>0</v>
      </c>
      <c r="L8699" s="59">
        <f t="shared" si="30"/>
        <v>0</v>
      </c>
      <c r="M8699" s="59">
        <f t="shared" si="31"/>
        <v>0</v>
      </c>
    </row>
    <row r="8700" ht="15.0" hidden="1" customHeight="1">
      <c r="A8700" s="59">
        <f t="shared" si="20"/>
        <v>142</v>
      </c>
      <c r="B8700" s="59" t="str">
        <f t="shared" si="21"/>
        <v/>
      </c>
      <c r="C8700" s="59" t="str">
        <f t="shared" si="22"/>
        <v/>
      </c>
      <c r="D8700" s="45" t="str">
        <f t="shared" si="23"/>
        <v/>
      </c>
      <c r="E8700" s="45" t="str">
        <f t="shared" si="24"/>
        <v/>
      </c>
      <c r="F8700" s="59" t="str">
        <f t="shared" si="25"/>
        <v/>
      </c>
      <c r="G8700" s="59" t="str">
        <f t="shared" si="26"/>
        <v/>
      </c>
      <c r="H8700" s="59" t="str">
        <f t="shared" si="27"/>
        <v>28C01647</v>
      </c>
      <c r="I8700" s="59" t="str">
        <f>IF(OR($A8700="",$C8700="",$D8700="",$E8700="",$H8700=""),"",SUMIFS(DATA_GOC!$H:$H,DATA_GOC!$A:$A,"BOM",DATA_GOC!$D:$D,$H8700,DATA_GOC!$E:$E,$C8700,DATA_GOC!$F:$F,"Xuất nội bộ từ téc",DATA_GOC!$B:$B,"&gt;="&amp;$D8700,DATA_GOC!$B:$B,"&lt;="&amp;$E8700))</f>
        <v/>
      </c>
      <c r="J8700" s="59">
        <f t="shared" si="28"/>
        <v>0</v>
      </c>
      <c r="K8700" s="59">
        <f t="shared" si="29"/>
        <v>0</v>
      </c>
      <c r="L8700" s="59">
        <f t="shared" si="30"/>
        <v>0</v>
      </c>
      <c r="M8700" s="59">
        <f t="shared" si="31"/>
        <v>0</v>
      </c>
    </row>
    <row r="8701" ht="15.0" hidden="1" customHeight="1">
      <c r="A8701" s="59">
        <f t="shared" si="20"/>
        <v>142</v>
      </c>
      <c r="B8701" s="59" t="str">
        <f t="shared" si="21"/>
        <v/>
      </c>
      <c r="C8701" s="59" t="str">
        <f t="shared" si="22"/>
        <v/>
      </c>
      <c r="D8701" s="45" t="str">
        <f t="shared" si="23"/>
        <v/>
      </c>
      <c r="E8701" s="45" t="str">
        <f t="shared" si="24"/>
        <v/>
      </c>
      <c r="F8701" s="59" t="str">
        <f t="shared" si="25"/>
        <v/>
      </c>
      <c r="G8701" s="59" t="str">
        <f t="shared" si="26"/>
        <v/>
      </c>
      <c r="H8701" s="59" t="str">
        <f t="shared" si="27"/>
        <v>28C01731</v>
      </c>
      <c r="I8701" s="59" t="str">
        <f>IF(OR($A8701="",$C8701="",$D8701="",$E8701="",$H8701=""),"",SUMIFS(DATA_GOC!$H:$H,DATA_GOC!$A:$A,"BOM",DATA_GOC!$D:$D,$H8701,DATA_GOC!$E:$E,$C8701,DATA_GOC!$F:$F,"Xuất nội bộ từ téc",DATA_GOC!$B:$B,"&gt;="&amp;$D8701,DATA_GOC!$B:$B,"&lt;="&amp;$E8701))</f>
        <v/>
      </c>
      <c r="J8701" s="59">
        <f t="shared" si="28"/>
        <v>0</v>
      </c>
      <c r="K8701" s="59">
        <f t="shared" si="29"/>
        <v>0</v>
      </c>
      <c r="L8701" s="59">
        <f t="shared" si="30"/>
        <v>0</v>
      </c>
      <c r="M8701" s="59">
        <f t="shared" si="31"/>
        <v>0</v>
      </c>
    </row>
    <row r="8702" ht="15.0" hidden="1" customHeight="1">
      <c r="A8702" s="59">
        <f t="shared" si="20"/>
        <v>142</v>
      </c>
      <c r="B8702" s="59" t="str">
        <f t="shared" si="21"/>
        <v/>
      </c>
      <c r="C8702" s="59" t="str">
        <f t="shared" si="22"/>
        <v/>
      </c>
      <c r="D8702" s="45" t="str">
        <f t="shared" si="23"/>
        <v/>
      </c>
      <c r="E8702" s="45" t="str">
        <f t="shared" si="24"/>
        <v/>
      </c>
      <c r="F8702" s="59" t="str">
        <f t="shared" si="25"/>
        <v/>
      </c>
      <c r="G8702" s="59" t="str">
        <f t="shared" si="26"/>
        <v/>
      </c>
      <c r="H8702" s="59" t="str">
        <f t="shared" si="27"/>
        <v>28C01743</v>
      </c>
      <c r="I8702" s="59" t="str">
        <f>IF(OR($A8702="",$C8702="",$D8702="",$E8702="",$H8702=""),"",SUMIFS(DATA_GOC!$H:$H,DATA_GOC!$A:$A,"BOM",DATA_GOC!$D:$D,$H8702,DATA_GOC!$E:$E,$C8702,DATA_GOC!$F:$F,"Xuất nội bộ từ téc",DATA_GOC!$B:$B,"&gt;="&amp;$D8702,DATA_GOC!$B:$B,"&lt;="&amp;$E8702))</f>
        <v/>
      </c>
      <c r="J8702" s="59">
        <f t="shared" si="28"/>
        <v>0</v>
      </c>
      <c r="K8702" s="59">
        <f t="shared" si="29"/>
        <v>0</v>
      </c>
      <c r="L8702" s="59">
        <f t="shared" si="30"/>
        <v>0</v>
      </c>
      <c r="M8702" s="59">
        <f t="shared" si="31"/>
        <v>0</v>
      </c>
    </row>
    <row r="8703" ht="15.0" hidden="1" customHeight="1">
      <c r="A8703" s="59">
        <f t="shared" si="20"/>
        <v>142</v>
      </c>
      <c r="B8703" s="59" t="str">
        <f t="shared" si="21"/>
        <v/>
      </c>
      <c r="C8703" s="59" t="str">
        <f t="shared" si="22"/>
        <v/>
      </c>
      <c r="D8703" s="45" t="str">
        <f t="shared" si="23"/>
        <v/>
      </c>
      <c r="E8703" s="45" t="str">
        <f t="shared" si="24"/>
        <v/>
      </c>
      <c r="F8703" s="59" t="str">
        <f t="shared" si="25"/>
        <v/>
      </c>
      <c r="G8703" s="59" t="str">
        <f t="shared" si="26"/>
        <v/>
      </c>
      <c r="H8703" s="59" t="str">
        <f t="shared" si="27"/>
        <v>28C02106</v>
      </c>
      <c r="I8703" s="59" t="str">
        <f>IF(OR($A8703="",$C8703="",$D8703="",$E8703="",$H8703=""),"",SUMIFS(DATA_GOC!$H:$H,DATA_GOC!$A:$A,"BOM",DATA_GOC!$D:$D,$H8703,DATA_GOC!$E:$E,$C8703,DATA_GOC!$F:$F,"Xuất nội bộ từ téc",DATA_GOC!$B:$B,"&gt;="&amp;$D8703,DATA_GOC!$B:$B,"&lt;="&amp;$E8703))</f>
        <v/>
      </c>
      <c r="J8703" s="59">
        <f t="shared" si="28"/>
        <v>0</v>
      </c>
      <c r="K8703" s="59">
        <f t="shared" si="29"/>
        <v>0</v>
      </c>
      <c r="L8703" s="59">
        <f t="shared" si="30"/>
        <v>0</v>
      </c>
      <c r="M8703" s="59">
        <f t="shared" si="31"/>
        <v>0</v>
      </c>
    </row>
    <row r="8704" ht="15.0" hidden="1" customHeight="1">
      <c r="A8704" s="59">
        <f t="shared" si="20"/>
        <v>142</v>
      </c>
      <c r="B8704" s="59" t="str">
        <f t="shared" si="21"/>
        <v/>
      </c>
      <c r="C8704" s="59" t="str">
        <f t="shared" si="22"/>
        <v/>
      </c>
      <c r="D8704" s="45" t="str">
        <f t="shared" si="23"/>
        <v/>
      </c>
      <c r="E8704" s="45" t="str">
        <f t="shared" si="24"/>
        <v/>
      </c>
      <c r="F8704" s="59" t="str">
        <f t="shared" si="25"/>
        <v/>
      </c>
      <c r="G8704" s="59" t="str">
        <f t="shared" si="26"/>
        <v/>
      </c>
      <c r="H8704" s="59" t="str">
        <f t="shared" si="27"/>
        <v>28C02410</v>
      </c>
      <c r="I8704" s="59" t="str">
        <f>IF(OR($A8704="",$C8704="",$D8704="",$E8704="",$H8704=""),"",SUMIFS(DATA_GOC!$H:$H,DATA_GOC!$A:$A,"BOM",DATA_GOC!$D:$D,$H8704,DATA_GOC!$E:$E,$C8704,DATA_GOC!$F:$F,"Xuất nội bộ từ téc",DATA_GOC!$B:$B,"&gt;="&amp;$D8704,DATA_GOC!$B:$B,"&lt;="&amp;$E8704))</f>
        <v/>
      </c>
      <c r="J8704" s="59">
        <f t="shared" si="28"/>
        <v>0</v>
      </c>
      <c r="K8704" s="59">
        <f t="shared" si="29"/>
        <v>0</v>
      </c>
      <c r="L8704" s="59">
        <f t="shared" si="30"/>
        <v>0</v>
      </c>
      <c r="M8704" s="59">
        <f t="shared" si="31"/>
        <v>0</v>
      </c>
    </row>
    <row r="8705" ht="15.0" hidden="1" customHeight="1">
      <c r="A8705" s="59">
        <f t="shared" si="20"/>
        <v>142</v>
      </c>
      <c r="B8705" s="59" t="str">
        <f t="shared" si="21"/>
        <v/>
      </c>
      <c r="C8705" s="59" t="str">
        <f t="shared" si="22"/>
        <v/>
      </c>
      <c r="D8705" s="45" t="str">
        <f t="shared" si="23"/>
        <v/>
      </c>
      <c r="E8705" s="45" t="str">
        <f t="shared" si="24"/>
        <v/>
      </c>
      <c r="F8705" s="59" t="str">
        <f t="shared" si="25"/>
        <v/>
      </c>
      <c r="G8705" s="59" t="str">
        <f t="shared" si="26"/>
        <v/>
      </c>
      <c r="H8705" s="59" t="str">
        <f t="shared" si="27"/>
        <v>28C02545</v>
      </c>
      <c r="I8705" s="59" t="str">
        <f>IF(OR($A8705="",$C8705="",$D8705="",$E8705="",$H8705=""),"",SUMIFS(DATA_GOC!$H:$H,DATA_GOC!$A:$A,"BOM",DATA_GOC!$D:$D,$H8705,DATA_GOC!$E:$E,$C8705,DATA_GOC!$F:$F,"Xuất nội bộ từ téc",DATA_GOC!$B:$B,"&gt;="&amp;$D8705,DATA_GOC!$B:$B,"&lt;="&amp;$E8705))</f>
        <v/>
      </c>
      <c r="J8705" s="59">
        <f t="shared" si="28"/>
        <v>0</v>
      </c>
      <c r="K8705" s="59">
        <f t="shared" si="29"/>
        <v>0</v>
      </c>
      <c r="L8705" s="59">
        <f t="shared" si="30"/>
        <v>0</v>
      </c>
      <c r="M8705" s="59">
        <f t="shared" si="31"/>
        <v>0</v>
      </c>
    </row>
    <row r="8706" ht="15.0" hidden="1" customHeight="1">
      <c r="A8706" s="59">
        <f t="shared" si="20"/>
        <v>142</v>
      </c>
      <c r="B8706" s="59" t="str">
        <f t="shared" si="21"/>
        <v/>
      </c>
      <c r="C8706" s="59" t="str">
        <f t="shared" si="22"/>
        <v/>
      </c>
      <c r="D8706" s="45" t="str">
        <f t="shared" si="23"/>
        <v/>
      </c>
      <c r="E8706" s="45" t="str">
        <f t="shared" si="24"/>
        <v/>
      </c>
      <c r="F8706" s="59" t="str">
        <f t="shared" si="25"/>
        <v/>
      </c>
      <c r="G8706" s="59" t="str">
        <f t="shared" si="26"/>
        <v/>
      </c>
      <c r="H8706" s="59" t="str">
        <f t="shared" si="27"/>
        <v>28C02574</v>
      </c>
      <c r="I8706" s="59" t="str">
        <f>IF(OR($A8706="",$C8706="",$D8706="",$E8706="",$H8706=""),"",SUMIFS(DATA_GOC!$H:$H,DATA_GOC!$A:$A,"BOM",DATA_GOC!$D:$D,$H8706,DATA_GOC!$E:$E,$C8706,DATA_GOC!$F:$F,"Xuất nội bộ từ téc",DATA_GOC!$B:$B,"&gt;="&amp;$D8706,DATA_GOC!$B:$B,"&lt;="&amp;$E8706))</f>
        <v/>
      </c>
      <c r="J8706" s="59">
        <f t="shared" si="28"/>
        <v>0</v>
      </c>
      <c r="K8706" s="59">
        <f t="shared" si="29"/>
        <v>0</v>
      </c>
      <c r="L8706" s="59">
        <f t="shared" si="30"/>
        <v>0</v>
      </c>
      <c r="M8706" s="59">
        <f t="shared" si="31"/>
        <v>0</v>
      </c>
    </row>
    <row r="8707" ht="15.0" hidden="1" customHeight="1">
      <c r="A8707" s="59">
        <f t="shared" si="20"/>
        <v>142</v>
      </c>
      <c r="B8707" s="59" t="str">
        <f t="shared" si="21"/>
        <v/>
      </c>
      <c r="C8707" s="59" t="str">
        <f t="shared" si="22"/>
        <v/>
      </c>
      <c r="D8707" s="45" t="str">
        <f t="shared" si="23"/>
        <v/>
      </c>
      <c r="E8707" s="45" t="str">
        <f t="shared" si="24"/>
        <v/>
      </c>
      <c r="F8707" s="59" t="str">
        <f t="shared" si="25"/>
        <v/>
      </c>
      <c r="G8707" s="59" t="str">
        <f t="shared" si="26"/>
        <v/>
      </c>
      <c r="H8707" s="59" t="str">
        <f t="shared" si="27"/>
        <v>28C02770</v>
      </c>
      <c r="I8707" s="59" t="str">
        <f>IF(OR($A8707="",$C8707="",$D8707="",$E8707="",$H8707=""),"",SUMIFS(DATA_GOC!$H:$H,DATA_GOC!$A:$A,"BOM",DATA_GOC!$D:$D,$H8707,DATA_GOC!$E:$E,$C8707,DATA_GOC!$F:$F,"Xuất nội bộ từ téc",DATA_GOC!$B:$B,"&gt;="&amp;$D8707,DATA_GOC!$B:$B,"&lt;="&amp;$E8707))</f>
        <v/>
      </c>
      <c r="J8707" s="59">
        <f t="shared" si="28"/>
        <v>0</v>
      </c>
      <c r="K8707" s="59">
        <f t="shared" si="29"/>
        <v>0</v>
      </c>
      <c r="L8707" s="59">
        <f t="shared" si="30"/>
        <v>0</v>
      </c>
      <c r="M8707" s="59">
        <f t="shared" si="31"/>
        <v>0</v>
      </c>
    </row>
    <row r="8708" ht="15.0" hidden="1" customHeight="1">
      <c r="A8708" s="59">
        <f t="shared" si="20"/>
        <v>142</v>
      </c>
      <c r="B8708" s="59" t="str">
        <f t="shared" si="21"/>
        <v/>
      </c>
      <c r="C8708" s="59" t="str">
        <f t="shared" si="22"/>
        <v/>
      </c>
      <c r="D8708" s="45" t="str">
        <f t="shared" si="23"/>
        <v/>
      </c>
      <c r="E8708" s="45" t="str">
        <f t="shared" si="24"/>
        <v/>
      </c>
      <c r="F8708" s="59" t="str">
        <f t="shared" si="25"/>
        <v/>
      </c>
      <c r="G8708" s="59" t="str">
        <f t="shared" si="26"/>
        <v/>
      </c>
      <c r="H8708" s="59" t="str">
        <f t="shared" si="27"/>
        <v>28C02986</v>
      </c>
      <c r="I8708" s="59" t="str">
        <f>IF(OR($A8708="",$C8708="",$D8708="",$E8708="",$H8708=""),"",SUMIFS(DATA_GOC!$H:$H,DATA_GOC!$A:$A,"BOM",DATA_GOC!$D:$D,$H8708,DATA_GOC!$E:$E,$C8708,DATA_GOC!$F:$F,"Xuất nội bộ từ téc",DATA_GOC!$B:$B,"&gt;="&amp;$D8708,DATA_GOC!$B:$B,"&lt;="&amp;$E8708))</f>
        <v/>
      </c>
      <c r="J8708" s="59">
        <f t="shared" si="28"/>
        <v>0</v>
      </c>
      <c r="K8708" s="59">
        <f t="shared" si="29"/>
        <v>0</v>
      </c>
      <c r="L8708" s="59">
        <f t="shared" si="30"/>
        <v>0</v>
      </c>
      <c r="M8708" s="59">
        <f t="shared" si="31"/>
        <v>0</v>
      </c>
    </row>
    <row r="8709" ht="15.0" hidden="1" customHeight="1">
      <c r="A8709" s="59">
        <f t="shared" si="20"/>
        <v>142</v>
      </c>
      <c r="B8709" s="59" t="str">
        <f t="shared" si="21"/>
        <v/>
      </c>
      <c r="C8709" s="59" t="str">
        <f t="shared" si="22"/>
        <v/>
      </c>
      <c r="D8709" s="45" t="str">
        <f t="shared" si="23"/>
        <v/>
      </c>
      <c r="E8709" s="45" t="str">
        <f t="shared" si="24"/>
        <v/>
      </c>
      <c r="F8709" s="59" t="str">
        <f t="shared" si="25"/>
        <v/>
      </c>
      <c r="G8709" s="59" t="str">
        <f t="shared" si="26"/>
        <v/>
      </c>
      <c r="H8709" s="59" t="str">
        <f t="shared" si="27"/>
        <v>28C03261</v>
      </c>
      <c r="I8709" s="59" t="str">
        <f>IF(OR($A8709="",$C8709="",$D8709="",$E8709="",$H8709=""),"",SUMIFS(DATA_GOC!$H:$H,DATA_GOC!$A:$A,"BOM",DATA_GOC!$D:$D,$H8709,DATA_GOC!$E:$E,$C8709,DATA_GOC!$F:$F,"Xuất nội bộ từ téc",DATA_GOC!$B:$B,"&gt;="&amp;$D8709,DATA_GOC!$B:$B,"&lt;="&amp;$E8709))</f>
        <v/>
      </c>
      <c r="J8709" s="59">
        <f t="shared" si="28"/>
        <v>0</v>
      </c>
      <c r="K8709" s="59">
        <f t="shared" si="29"/>
        <v>0</v>
      </c>
      <c r="L8709" s="59">
        <f t="shared" si="30"/>
        <v>0</v>
      </c>
      <c r="M8709" s="59">
        <f t="shared" si="31"/>
        <v>0</v>
      </c>
    </row>
    <row r="8710" ht="15.0" hidden="1" customHeight="1">
      <c r="A8710" s="59">
        <f t="shared" si="20"/>
        <v>142</v>
      </c>
      <c r="B8710" s="59" t="str">
        <f t="shared" si="21"/>
        <v/>
      </c>
      <c r="C8710" s="59" t="str">
        <f t="shared" si="22"/>
        <v/>
      </c>
      <c r="D8710" s="45" t="str">
        <f t="shared" si="23"/>
        <v/>
      </c>
      <c r="E8710" s="45" t="str">
        <f t="shared" si="24"/>
        <v/>
      </c>
      <c r="F8710" s="59" t="str">
        <f t="shared" si="25"/>
        <v/>
      </c>
      <c r="G8710" s="59" t="str">
        <f t="shared" si="26"/>
        <v/>
      </c>
      <c r="H8710" s="59" t="str">
        <f t="shared" si="27"/>
        <v>28C03323</v>
      </c>
      <c r="I8710" s="59" t="str">
        <f>IF(OR($A8710="",$C8710="",$D8710="",$E8710="",$H8710=""),"",SUMIFS(DATA_GOC!$H:$H,DATA_GOC!$A:$A,"BOM",DATA_GOC!$D:$D,$H8710,DATA_GOC!$E:$E,$C8710,DATA_GOC!$F:$F,"Xuất nội bộ từ téc",DATA_GOC!$B:$B,"&gt;="&amp;$D8710,DATA_GOC!$B:$B,"&lt;="&amp;$E8710))</f>
        <v/>
      </c>
      <c r="J8710" s="59">
        <f t="shared" si="28"/>
        <v>0</v>
      </c>
      <c r="K8710" s="59">
        <f t="shared" si="29"/>
        <v>0</v>
      </c>
      <c r="L8710" s="59">
        <f t="shared" si="30"/>
        <v>0</v>
      </c>
      <c r="M8710" s="59">
        <f t="shared" si="31"/>
        <v>0</v>
      </c>
    </row>
    <row r="8711" ht="15.0" hidden="1" customHeight="1">
      <c r="A8711" s="59">
        <f t="shared" si="20"/>
        <v>142</v>
      </c>
      <c r="B8711" s="59" t="str">
        <f t="shared" si="21"/>
        <v/>
      </c>
      <c r="C8711" s="59" t="str">
        <f t="shared" si="22"/>
        <v/>
      </c>
      <c r="D8711" s="45" t="str">
        <f t="shared" si="23"/>
        <v/>
      </c>
      <c r="E8711" s="45" t="str">
        <f t="shared" si="24"/>
        <v/>
      </c>
      <c r="F8711" s="59" t="str">
        <f t="shared" si="25"/>
        <v/>
      </c>
      <c r="G8711" s="59" t="str">
        <f t="shared" si="26"/>
        <v/>
      </c>
      <c r="H8711" s="59" t="str">
        <f t="shared" si="27"/>
        <v>28C03385</v>
      </c>
      <c r="I8711" s="59" t="str">
        <f>IF(OR($A8711="",$C8711="",$D8711="",$E8711="",$H8711=""),"",SUMIFS(DATA_GOC!$H:$H,DATA_GOC!$A:$A,"BOM",DATA_GOC!$D:$D,$H8711,DATA_GOC!$E:$E,$C8711,DATA_GOC!$F:$F,"Xuất nội bộ từ téc",DATA_GOC!$B:$B,"&gt;="&amp;$D8711,DATA_GOC!$B:$B,"&lt;="&amp;$E8711))</f>
        <v/>
      </c>
      <c r="J8711" s="59">
        <f t="shared" si="28"/>
        <v>0</v>
      </c>
      <c r="K8711" s="59">
        <f t="shared" si="29"/>
        <v>0</v>
      </c>
      <c r="L8711" s="59">
        <f t="shared" si="30"/>
        <v>0</v>
      </c>
      <c r="M8711" s="59">
        <f t="shared" si="31"/>
        <v>0</v>
      </c>
    </row>
    <row r="8712" ht="15.0" hidden="1" customHeight="1">
      <c r="A8712" s="59">
        <f t="shared" si="20"/>
        <v>142</v>
      </c>
      <c r="B8712" s="59" t="str">
        <f t="shared" si="21"/>
        <v/>
      </c>
      <c r="C8712" s="59" t="str">
        <f t="shared" si="22"/>
        <v/>
      </c>
      <c r="D8712" s="45" t="str">
        <f t="shared" si="23"/>
        <v/>
      </c>
      <c r="E8712" s="45" t="str">
        <f t="shared" si="24"/>
        <v/>
      </c>
      <c r="F8712" s="59" t="str">
        <f t="shared" si="25"/>
        <v/>
      </c>
      <c r="G8712" s="59" t="str">
        <f t="shared" si="26"/>
        <v/>
      </c>
      <c r="H8712" s="59" t="str">
        <f t="shared" si="27"/>
        <v>28C03652</v>
      </c>
      <c r="I8712" s="59" t="str">
        <f>IF(OR($A8712="",$C8712="",$D8712="",$E8712="",$H8712=""),"",SUMIFS(DATA_GOC!$H:$H,DATA_GOC!$A:$A,"BOM",DATA_GOC!$D:$D,$H8712,DATA_GOC!$E:$E,$C8712,DATA_GOC!$F:$F,"Xuất nội bộ từ téc",DATA_GOC!$B:$B,"&gt;="&amp;$D8712,DATA_GOC!$B:$B,"&lt;="&amp;$E8712))</f>
        <v/>
      </c>
      <c r="J8712" s="59">
        <f t="shared" si="28"/>
        <v>0</v>
      </c>
      <c r="K8712" s="59">
        <f t="shared" si="29"/>
        <v>0</v>
      </c>
      <c r="L8712" s="59">
        <f t="shared" si="30"/>
        <v>0</v>
      </c>
      <c r="M8712" s="59">
        <f t="shared" si="31"/>
        <v>0</v>
      </c>
    </row>
    <row r="8713" ht="15.0" hidden="1" customHeight="1">
      <c r="A8713" s="59">
        <f t="shared" si="20"/>
        <v>142</v>
      </c>
      <c r="B8713" s="59" t="str">
        <f t="shared" si="21"/>
        <v/>
      </c>
      <c r="C8713" s="59" t="str">
        <f t="shared" si="22"/>
        <v/>
      </c>
      <c r="D8713" s="45" t="str">
        <f t="shared" si="23"/>
        <v/>
      </c>
      <c r="E8713" s="45" t="str">
        <f t="shared" si="24"/>
        <v/>
      </c>
      <c r="F8713" s="59" t="str">
        <f t="shared" si="25"/>
        <v/>
      </c>
      <c r="G8713" s="59" t="str">
        <f t="shared" si="26"/>
        <v/>
      </c>
      <c r="H8713" s="59" t="str">
        <f t="shared" si="27"/>
        <v>28C03695</v>
      </c>
      <c r="I8713" s="59" t="str">
        <f>IF(OR($A8713="",$C8713="",$D8713="",$E8713="",$H8713=""),"",SUMIFS(DATA_GOC!$H:$H,DATA_GOC!$A:$A,"BOM",DATA_GOC!$D:$D,$H8713,DATA_GOC!$E:$E,$C8713,DATA_GOC!$F:$F,"Xuất nội bộ từ téc",DATA_GOC!$B:$B,"&gt;="&amp;$D8713,DATA_GOC!$B:$B,"&lt;="&amp;$E8713))</f>
        <v/>
      </c>
      <c r="J8713" s="59">
        <f t="shared" si="28"/>
        <v>0</v>
      </c>
      <c r="K8713" s="59">
        <f t="shared" si="29"/>
        <v>0</v>
      </c>
      <c r="L8713" s="59">
        <f t="shared" si="30"/>
        <v>0</v>
      </c>
      <c r="M8713" s="59">
        <f t="shared" si="31"/>
        <v>0</v>
      </c>
    </row>
    <row r="8714" ht="15.0" hidden="1" customHeight="1">
      <c r="A8714" s="59">
        <f t="shared" si="20"/>
        <v>142</v>
      </c>
      <c r="B8714" s="59" t="str">
        <f t="shared" si="21"/>
        <v/>
      </c>
      <c r="C8714" s="59" t="str">
        <f t="shared" si="22"/>
        <v/>
      </c>
      <c r="D8714" s="45" t="str">
        <f t="shared" si="23"/>
        <v/>
      </c>
      <c r="E8714" s="45" t="str">
        <f t="shared" si="24"/>
        <v/>
      </c>
      <c r="F8714" s="59" t="str">
        <f t="shared" si="25"/>
        <v/>
      </c>
      <c r="G8714" s="59" t="str">
        <f t="shared" si="26"/>
        <v/>
      </c>
      <c r="H8714" s="59" t="str">
        <f t="shared" si="27"/>
        <v>28C03927</v>
      </c>
      <c r="I8714" s="59" t="str">
        <f>IF(OR($A8714="",$C8714="",$D8714="",$E8714="",$H8714=""),"",SUMIFS(DATA_GOC!$H:$H,DATA_GOC!$A:$A,"BOM",DATA_GOC!$D:$D,$H8714,DATA_GOC!$E:$E,$C8714,DATA_GOC!$F:$F,"Xuất nội bộ từ téc",DATA_GOC!$B:$B,"&gt;="&amp;$D8714,DATA_GOC!$B:$B,"&lt;="&amp;$E8714))</f>
        <v/>
      </c>
      <c r="J8714" s="59">
        <f t="shared" si="28"/>
        <v>0</v>
      </c>
      <c r="K8714" s="59">
        <f t="shared" si="29"/>
        <v>0</v>
      </c>
      <c r="L8714" s="59">
        <f t="shared" si="30"/>
        <v>0</v>
      </c>
      <c r="M8714" s="59">
        <f t="shared" si="31"/>
        <v>0</v>
      </c>
    </row>
    <row r="8715" ht="15.0" hidden="1" customHeight="1">
      <c r="A8715" s="59">
        <f t="shared" si="20"/>
        <v>142</v>
      </c>
      <c r="B8715" s="59" t="str">
        <f t="shared" si="21"/>
        <v/>
      </c>
      <c r="C8715" s="59" t="str">
        <f t="shared" si="22"/>
        <v/>
      </c>
      <c r="D8715" s="45" t="str">
        <f t="shared" si="23"/>
        <v/>
      </c>
      <c r="E8715" s="45" t="str">
        <f t="shared" si="24"/>
        <v/>
      </c>
      <c r="F8715" s="59" t="str">
        <f t="shared" si="25"/>
        <v/>
      </c>
      <c r="G8715" s="59" t="str">
        <f t="shared" si="26"/>
        <v/>
      </c>
      <c r="H8715" s="59" t="str">
        <f t="shared" si="27"/>
        <v>28C04509</v>
      </c>
      <c r="I8715" s="59" t="str">
        <f>IF(OR($A8715="",$C8715="",$D8715="",$E8715="",$H8715=""),"",SUMIFS(DATA_GOC!$H:$H,DATA_GOC!$A:$A,"BOM",DATA_GOC!$D:$D,$H8715,DATA_GOC!$E:$E,$C8715,DATA_GOC!$F:$F,"Xuất nội bộ từ téc",DATA_GOC!$B:$B,"&gt;="&amp;$D8715,DATA_GOC!$B:$B,"&lt;="&amp;$E8715))</f>
        <v/>
      </c>
      <c r="J8715" s="59">
        <f t="shared" si="28"/>
        <v>0</v>
      </c>
      <c r="K8715" s="59">
        <f t="shared" si="29"/>
        <v>0</v>
      </c>
      <c r="L8715" s="59">
        <f t="shared" si="30"/>
        <v>0</v>
      </c>
      <c r="M8715" s="59">
        <f t="shared" si="31"/>
        <v>0</v>
      </c>
    </row>
    <row r="8716" ht="15.0" hidden="1" customHeight="1">
      <c r="A8716" s="59">
        <f t="shared" si="20"/>
        <v>142</v>
      </c>
      <c r="B8716" s="59" t="str">
        <f t="shared" si="21"/>
        <v/>
      </c>
      <c r="C8716" s="59" t="str">
        <f t="shared" si="22"/>
        <v/>
      </c>
      <c r="D8716" s="45" t="str">
        <f t="shared" si="23"/>
        <v/>
      </c>
      <c r="E8716" s="45" t="str">
        <f t="shared" si="24"/>
        <v/>
      </c>
      <c r="F8716" s="59" t="str">
        <f t="shared" si="25"/>
        <v/>
      </c>
      <c r="G8716" s="59" t="str">
        <f t="shared" si="26"/>
        <v/>
      </c>
      <c r="H8716" s="59" t="str">
        <f t="shared" si="27"/>
        <v>28C04536</v>
      </c>
      <c r="I8716" s="59" t="str">
        <f>IF(OR($A8716="",$C8716="",$D8716="",$E8716="",$H8716=""),"",SUMIFS(DATA_GOC!$H:$H,DATA_GOC!$A:$A,"BOM",DATA_GOC!$D:$D,$H8716,DATA_GOC!$E:$E,$C8716,DATA_GOC!$F:$F,"Xuất nội bộ từ téc",DATA_GOC!$B:$B,"&gt;="&amp;$D8716,DATA_GOC!$B:$B,"&lt;="&amp;$E8716))</f>
        <v/>
      </c>
      <c r="J8716" s="59">
        <f t="shared" si="28"/>
        <v>0</v>
      </c>
      <c r="K8716" s="59">
        <f t="shared" si="29"/>
        <v>0</v>
      </c>
      <c r="L8716" s="59">
        <f t="shared" si="30"/>
        <v>0</v>
      </c>
      <c r="M8716" s="59">
        <f t="shared" si="31"/>
        <v>0</v>
      </c>
    </row>
    <row r="8717" ht="15.0" hidden="1" customHeight="1">
      <c r="A8717" s="59">
        <f t="shared" si="20"/>
        <v>142</v>
      </c>
      <c r="B8717" s="59" t="str">
        <f t="shared" si="21"/>
        <v/>
      </c>
      <c r="C8717" s="59" t="str">
        <f t="shared" si="22"/>
        <v/>
      </c>
      <c r="D8717" s="45" t="str">
        <f t="shared" si="23"/>
        <v/>
      </c>
      <c r="E8717" s="45" t="str">
        <f t="shared" si="24"/>
        <v/>
      </c>
      <c r="F8717" s="59" t="str">
        <f t="shared" si="25"/>
        <v/>
      </c>
      <c r="G8717" s="59" t="str">
        <f t="shared" si="26"/>
        <v/>
      </c>
      <c r="H8717" s="59" t="str">
        <f t="shared" si="27"/>
        <v>28C04576</v>
      </c>
      <c r="I8717" s="59" t="str">
        <f>IF(OR($A8717="",$C8717="",$D8717="",$E8717="",$H8717=""),"",SUMIFS(DATA_GOC!$H:$H,DATA_GOC!$A:$A,"BOM",DATA_GOC!$D:$D,$H8717,DATA_GOC!$E:$E,$C8717,DATA_GOC!$F:$F,"Xuất nội bộ từ téc",DATA_GOC!$B:$B,"&gt;="&amp;$D8717,DATA_GOC!$B:$B,"&lt;="&amp;$E8717))</f>
        <v/>
      </c>
      <c r="J8717" s="59">
        <f t="shared" si="28"/>
        <v>0</v>
      </c>
      <c r="K8717" s="59">
        <f t="shared" si="29"/>
        <v>0</v>
      </c>
      <c r="L8717" s="59">
        <f t="shared" si="30"/>
        <v>0</v>
      </c>
      <c r="M8717" s="59">
        <f t="shared" si="31"/>
        <v>0</v>
      </c>
    </row>
    <row r="8718" ht="15.0" hidden="1" customHeight="1">
      <c r="A8718" s="59">
        <f t="shared" si="20"/>
        <v>142</v>
      </c>
      <c r="B8718" s="59" t="str">
        <f t="shared" si="21"/>
        <v/>
      </c>
      <c r="C8718" s="59" t="str">
        <f t="shared" si="22"/>
        <v/>
      </c>
      <c r="D8718" s="45" t="str">
        <f t="shared" si="23"/>
        <v/>
      </c>
      <c r="E8718" s="45" t="str">
        <f t="shared" si="24"/>
        <v/>
      </c>
      <c r="F8718" s="59" t="str">
        <f t="shared" si="25"/>
        <v/>
      </c>
      <c r="G8718" s="59" t="str">
        <f t="shared" si="26"/>
        <v/>
      </c>
      <c r="H8718" s="59" t="str">
        <f t="shared" si="27"/>
        <v>28C05090</v>
      </c>
      <c r="I8718" s="59" t="str">
        <f>IF(OR($A8718="",$C8718="",$D8718="",$E8718="",$H8718=""),"",SUMIFS(DATA_GOC!$H:$H,DATA_GOC!$A:$A,"BOM",DATA_GOC!$D:$D,$H8718,DATA_GOC!$E:$E,$C8718,DATA_GOC!$F:$F,"Xuất nội bộ từ téc",DATA_GOC!$B:$B,"&gt;="&amp;$D8718,DATA_GOC!$B:$B,"&lt;="&amp;$E8718))</f>
        <v/>
      </c>
      <c r="J8718" s="59">
        <f t="shared" si="28"/>
        <v>0</v>
      </c>
      <c r="K8718" s="59">
        <f t="shared" si="29"/>
        <v>0</v>
      </c>
      <c r="L8718" s="59">
        <f t="shared" si="30"/>
        <v>0</v>
      </c>
      <c r="M8718" s="59">
        <f t="shared" si="31"/>
        <v>0</v>
      </c>
    </row>
    <row r="8719" ht="15.0" hidden="1" customHeight="1">
      <c r="A8719" s="59">
        <f t="shared" si="20"/>
        <v>142</v>
      </c>
      <c r="B8719" s="59" t="str">
        <f t="shared" si="21"/>
        <v/>
      </c>
      <c r="C8719" s="59" t="str">
        <f t="shared" si="22"/>
        <v/>
      </c>
      <c r="D8719" s="45" t="str">
        <f t="shared" si="23"/>
        <v/>
      </c>
      <c r="E8719" s="45" t="str">
        <f t="shared" si="24"/>
        <v/>
      </c>
      <c r="F8719" s="59" t="str">
        <f t="shared" si="25"/>
        <v/>
      </c>
      <c r="G8719" s="59" t="str">
        <f t="shared" si="26"/>
        <v/>
      </c>
      <c r="H8719" s="59" t="str">
        <f t="shared" si="27"/>
        <v>28C05345</v>
      </c>
      <c r="I8719" s="59" t="str">
        <f>IF(OR($A8719="",$C8719="",$D8719="",$E8719="",$H8719=""),"",SUMIFS(DATA_GOC!$H:$H,DATA_GOC!$A:$A,"BOM",DATA_GOC!$D:$D,$H8719,DATA_GOC!$E:$E,$C8719,DATA_GOC!$F:$F,"Xuất nội bộ từ téc",DATA_GOC!$B:$B,"&gt;="&amp;$D8719,DATA_GOC!$B:$B,"&lt;="&amp;$E8719))</f>
        <v/>
      </c>
      <c r="J8719" s="59">
        <f t="shared" si="28"/>
        <v>0</v>
      </c>
      <c r="K8719" s="59">
        <f t="shared" si="29"/>
        <v>0</v>
      </c>
      <c r="L8719" s="59">
        <f t="shared" si="30"/>
        <v>0</v>
      </c>
      <c r="M8719" s="59">
        <f t="shared" si="31"/>
        <v>0</v>
      </c>
    </row>
    <row r="8720" ht="15.0" hidden="1" customHeight="1">
      <c r="A8720" s="59">
        <f t="shared" si="20"/>
        <v>142</v>
      </c>
      <c r="B8720" s="59" t="str">
        <f t="shared" si="21"/>
        <v/>
      </c>
      <c r="C8720" s="59" t="str">
        <f t="shared" si="22"/>
        <v/>
      </c>
      <c r="D8720" s="45" t="str">
        <f t="shared" si="23"/>
        <v/>
      </c>
      <c r="E8720" s="45" t="str">
        <f t="shared" si="24"/>
        <v/>
      </c>
      <c r="F8720" s="59" t="str">
        <f t="shared" si="25"/>
        <v/>
      </c>
      <c r="G8720" s="59" t="str">
        <f t="shared" si="26"/>
        <v/>
      </c>
      <c r="H8720" s="59" t="str">
        <f t="shared" si="27"/>
        <v>28C05661</v>
      </c>
      <c r="I8720" s="59" t="str">
        <f>IF(OR($A8720="",$C8720="",$D8720="",$E8720="",$H8720=""),"",SUMIFS(DATA_GOC!$H:$H,DATA_GOC!$A:$A,"BOM",DATA_GOC!$D:$D,$H8720,DATA_GOC!$E:$E,$C8720,DATA_GOC!$F:$F,"Xuất nội bộ từ téc",DATA_GOC!$B:$B,"&gt;="&amp;$D8720,DATA_GOC!$B:$B,"&lt;="&amp;$E8720))</f>
        <v/>
      </c>
      <c r="J8720" s="59">
        <f t="shared" si="28"/>
        <v>0</v>
      </c>
      <c r="K8720" s="59">
        <f t="shared" si="29"/>
        <v>0</v>
      </c>
      <c r="L8720" s="59">
        <f t="shared" si="30"/>
        <v>0</v>
      </c>
      <c r="M8720" s="59">
        <f t="shared" si="31"/>
        <v>0</v>
      </c>
    </row>
    <row r="8721" ht="15.0" hidden="1" customHeight="1">
      <c r="A8721" s="59">
        <f t="shared" si="20"/>
        <v>142</v>
      </c>
      <c r="B8721" s="59" t="str">
        <f t="shared" si="21"/>
        <v/>
      </c>
      <c r="C8721" s="59" t="str">
        <f t="shared" si="22"/>
        <v/>
      </c>
      <c r="D8721" s="45" t="str">
        <f t="shared" si="23"/>
        <v/>
      </c>
      <c r="E8721" s="45" t="str">
        <f t="shared" si="24"/>
        <v/>
      </c>
      <c r="F8721" s="59" t="str">
        <f t="shared" si="25"/>
        <v/>
      </c>
      <c r="G8721" s="59" t="str">
        <f t="shared" si="26"/>
        <v/>
      </c>
      <c r="H8721" s="59" t="str">
        <f t="shared" si="27"/>
        <v>28C05739</v>
      </c>
      <c r="I8721" s="59" t="str">
        <f>IF(OR($A8721="",$C8721="",$D8721="",$E8721="",$H8721=""),"",SUMIFS(DATA_GOC!$H:$H,DATA_GOC!$A:$A,"BOM",DATA_GOC!$D:$D,$H8721,DATA_GOC!$E:$E,$C8721,DATA_GOC!$F:$F,"Xuất nội bộ từ téc",DATA_GOC!$B:$B,"&gt;="&amp;$D8721,DATA_GOC!$B:$B,"&lt;="&amp;$E8721))</f>
        <v/>
      </c>
      <c r="J8721" s="59">
        <f t="shared" si="28"/>
        <v>0</v>
      </c>
      <c r="K8721" s="59">
        <f t="shared" si="29"/>
        <v>0</v>
      </c>
      <c r="L8721" s="59">
        <f t="shared" si="30"/>
        <v>0</v>
      </c>
      <c r="M8721" s="59">
        <f t="shared" si="31"/>
        <v>0</v>
      </c>
    </row>
    <row r="8722" ht="15.0" hidden="1" customHeight="1">
      <c r="A8722" s="59">
        <f t="shared" si="20"/>
        <v>142</v>
      </c>
      <c r="B8722" s="59" t="str">
        <f t="shared" si="21"/>
        <v/>
      </c>
      <c r="C8722" s="59" t="str">
        <f t="shared" si="22"/>
        <v/>
      </c>
      <c r="D8722" s="45" t="str">
        <f t="shared" si="23"/>
        <v/>
      </c>
      <c r="E8722" s="45" t="str">
        <f t="shared" si="24"/>
        <v/>
      </c>
      <c r="F8722" s="59" t="str">
        <f t="shared" si="25"/>
        <v/>
      </c>
      <c r="G8722" s="59" t="str">
        <f t="shared" si="26"/>
        <v/>
      </c>
      <c r="H8722" s="59" t="str">
        <f t="shared" si="27"/>
        <v>28C06369</v>
      </c>
      <c r="I8722" s="59" t="str">
        <f>IF(OR($A8722="",$C8722="",$D8722="",$E8722="",$H8722=""),"",SUMIFS(DATA_GOC!$H:$H,DATA_GOC!$A:$A,"BOM",DATA_GOC!$D:$D,$H8722,DATA_GOC!$E:$E,$C8722,DATA_GOC!$F:$F,"Xuất nội bộ từ téc",DATA_GOC!$B:$B,"&gt;="&amp;$D8722,DATA_GOC!$B:$B,"&lt;="&amp;$E8722))</f>
        <v/>
      </c>
      <c r="J8722" s="59">
        <f t="shared" si="28"/>
        <v>0</v>
      </c>
      <c r="K8722" s="59">
        <f t="shared" si="29"/>
        <v>0</v>
      </c>
      <c r="L8722" s="59">
        <f t="shared" si="30"/>
        <v>0</v>
      </c>
      <c r="M8722" s="59">
        <f t="shared" si="31"/>
        <v>0</v>
      </c>
    </row>
    <row r="8723" ht="15.0" hidden="1" customHeight="1">
      <c r="A8723" s="59">
        <f t="shared" si="20"/>
        <v>142</v>
      </c>
      <c r="B8723" s="59" t="str">
        <f t="shared" si="21"/>
        <v/>
      </c>
      <c r="C8723" s="59" t="str">
        <f t="shared" si="22"/>
        <v/>
      </c>
      <c r="D8723" s="45" t="str">
        <f t="shared" si="23"/>
        <v/>
      </c>
      <c r="E8723" s="45" t="str">
        <f t="shared" si="24"/>
        <v/>
      </c>
      <c r="F8723" s="59" t="str">
        <f t="shared" si="25"/>
        <v/>
      </c>
      <c r="G8723" s="59" t="str">
        <f t="shared" si="26"/>
        <v/>
      </c>
      <c r="H8723" s="59" t="str">
        <f t="shared" si="27"/>
        <v>28C06447</v>
      </c>
      <c r="I8723" s="59" t="str">
        <f>IF(OR($A8723="",$C8723="",$D8723="",$E8723="",$H8723=""),"",SUMIFS(DATA_GOC!$H:$H,DATA_GOC!$A:$A,"BOM",DATA_GOC!$D:$D,$H8723,DATA_GOC!$E:$E,$C8723,DATA_GOC!$F:$F,"Xuất nội bộ từ téc",DATA_GOC!$B:$B,"&gt;="&amp;$D8723,DATA_GOC!$B:$B,"&lt;="&amp;$E8723))</f>
        <v/>
      </c>
      <c r="J8723" s="59">
        <f t="shared" si="28"/>
        <v>0</v>
      </c>
      <c r="K8723" s="59">
        <f t="shared" si="29"/>
        <v>0</v>
      </c>
      <c r="L8723" s="59">
        <f t="shared" si="30"/>
        <v>0</v>
      </c>
      <c r="M8723" s="59">
        <f t="shared" si="31"/>
        <v>0</v>
      </c>
    </row>
    <row r="8724" ht="15.0" hidden="1" customHeight="1">
      <c r="A8724" s="59">
        <f t="shared" si="20"/>
        <v>142</v>
      </c>
      <c r="B8724" s="59" t="str">
        <f t="shared" si="21"/>
        <v/>
      </c>
      <c r="C8724" s="59" t="str">
        <f t="shared" si="22"/>
        <v/>
      </c>
      <c r="D8724" s="45" t="str">
        <f t="shared" si="23"/>
        <v/>
      </c>
      <c r="E8724" s="45" t="str">
        <f t="shared" si="24"/>
        <v/>
      </c>
      <c r="F8724" s="59" t="str">
        <f t="shared" si="25"/>
        <v/>
      </c>
      <c r="G8724" s="59" t="str">
        <f t="shared" si="26"/>
        <v/>
      </c>
      <c r="H8724" s="59" t="str">
        <f t="shared" si="27"/>
        <v>28H00003</v>
      </c>
      <c r="I8724" s="59" t="str">
        <f>IF(OR($A8724="",$C8724="",$D8724="",$E8724="",$H8724=""),"",SUMIFS(DATA_GOC!$H:$H,DATA_GOC!$A:$A,"BOM",DATA_GOC!$D:$D,$H8724,DATA_GOC!$E:$E,$C8724,DATA_GOC!$F:$F,"Xuất nội bộ từ téc",DATA_GOC!$B:$B,"&gt;="&amp;$D8724,DATA_GOC!$B:$B,"&lt;="&amp;$E8724))</f>
        <v/>
      </c>
      <c r="J8724" s="59">
        <f t="shared" si="28"/>
        <v>0</v>
      </c>
      <c r="K8724" s="59">
        <f t="shared" si="29"/>
        <v>0</v>
      </c>
      <c r="L8724" s="59">
        <f t="shared" si="30"/>
        <v>0</v>
      </c>
      <c r="M8724" s="59">
        <f t="shared" si="31"/>
        <v>0</v>
      </c>
    </row>
    <row r="8725" ht="15.0" hidden="1" customHeight="1">
      <c r="A8725" s="59">
        <f t="shared" si="20"/>
        <v>142</v>
      </c>
      <c r="B8725" s="59" t="str">
        <f t="shared" si="21"/>
        <v/>
      </c>
      <c r="C8725" s="59" t="str">
        <f t="shared" si="22"/>
        <v/>
      </c>
      <c r="D8725" s="45" t="str">
        <f t="shared" si="23"/>
        <v/>
      </c>
      <c r="E8725" s="45" t="str">
        <f t="shared" si="24"/>
        <v/>
      </c>
      <c r="F8725" s="59" t="str">
        <f t="shared" si="25"/>
        <v/>
      </c>
      <c r="G8725" s="59" t="str">
        <f t="shared" si="26"/>
        <v/>
      </c>
      <c r="H8725" s="59" t="str">
        <f t="shared" si="27"/>
        <v>28H00061</v>
      </c>
      <c r="I8725" s="59" t="str">
        <f>IF(OR($A8725="",$C8725="",$D8725="",$E8725="",$H8725=""),"",SUMIFS(DATA_GOC!$H:$H,DATA_GOC!$A:$A,"BOM",DATA_GOC!$D:$D,$H8725,DATA_GOC!$E:$E,$C8725,DATA_GOC!$F:$F,"Xuất nội bộ từ téc",DATA_GOC!$B:$B,"&gt;="&amp;$D8725,DATA_GOC!$B:$B,"&lt;="&amp;$E8725))</f>
        <v/>
      </c>
      <c r="J8725" s="59">
        <f t="shared" si="28"/>
        <v>0</v>
      </c>
      <c r="K8725" s="59">
        <f t="shared" si="29"/>
        <v>0</v>
      </c>
      <c r="L8725" s="59">
        <f t="shared" si="30"/>
        <v>0</v>
      </c>
      <c r="M8725" s="59">
        <f t="shared" si="31"/>
        <v>0</v>
      </c>
    </row>
    <row r="8726" ht="15.0" hidden="1" customHeight="1">
      <c r="A8726" s="59">
        <f t="shared" si="20"/>
        <v>142</v>
      </c>
      <c r="B8726" s="59" t="str">
        <f t="shared" si="21"/>
        <v/>
      </c>
      <c r="C8726" s="59" t="str">
        <f t="shared" si="22"/>
        <v/>
      </c>
      <c r="D8726" s="45" t="str">
        <f t="shared" si="23"/>
        <v/>
      </c>
      <c r="E8726" s="45" t="str">
        <f t="shared" si="24"/>
        <v/>
      </c>
      <c r="F8726" s="59" t="str">
        <f t="shared" si="25"/>
        <v/>
      </c>
      <c r="G8726" s="59" t="str">
        <f t="shared" si="26"/>
        <v/>
      </c>
      <c r="H8726" s="59" t="str">
        <f t="shared" si="27"/>
        <v>28H00354</v>
      </c>
      <c r="I8726" s="59" t="str">
        <f>IF(OR($A8726="",$C8726="",$D8726="",$E8726="",$H8726=""),"",SUMIFS(DATA_GOC!$H:$H,DATA_GOC!$A:$A,"BOM",DATA_GOC!$D:$D,$H8726,DATA_GOC!$E:$E,$C8726,DATA_GOC!$F:$F,"Xuất nội bộ từ téc",DATA_GOC!$B:$B,"&gt;="&amp;$D8726,DATA_GOC!$B:$B,"&lt;="&amp;$E8726))</f>
        <v/>
      </c>
      <c r="J8726" s="59">
        <f t="shared" si="28"/>
        <v>0</v>
      </c>
      <c r="K8726" s="59">
        <f t="shared" si="29"/>
        <v>0</v>
      </c>
      <c r="L8726" s="59">
        <f t="shared" si="30"/>
        <v>0</v>
      </c>
      <c r="M8726" s="59">
        <f t="shared" si="31"/>
        <v>0</v>
      </c>
    </row>
    <row r="8727" ht="15.0" hidden="1" customHeight="1">
      <c r="A8727" s="59">
        <f t="shared" si="20"/>
        <v>142</v>
      </c>
      <c r="B8727" s="59" t="str">
        <f t="shared" si="21"/>
        <v/>
      </c>
      <c r="C8727" s="59" t="str">
        <f t="shared" si="22"/>
        <v/>
      </c>
      <c r="D8727" s="45" t="str">
        <f t="shared" si="23"/>
        <v/>
      </c>
      <c r="E8727" s="45" t="str">
        <f t="shared" si="24"/>
        <v/>
      </c>
      <c r="F8727" s="59" t="str">
        <f t="shared" si="25"/>
        <v/>
      </c>
      <c r="G8727" s="59" t="str">
        <f t="shared" si="26"/>
        <v/>
      </c>
      <c r="H8727" s="59" t="str">
        <f t="shared" si="27"/>
        <v>28H00603</v>
      </c>
      <c r="I8727" s="59" t="str">
        <f>IF(OR($A8727="",$C8727="",$D8727="",$E8727="",$H8727=""),"",SUMIFS(DATA_GOC!$H:$H,DATA_GOC!$A:$A,"BOM",DATA_GOC!$D:$D,$H8727,DATA_GOC!$E:$E,$C8727,DATA_GOC!$F:$F,"Xuất nội bộ từ téc",DATA_GOC!$B:$B,"&gt;="&amp;$D8727,DATA_GOC!$B:$B,"&lt;="&amp;$E8727))</f>
        <v/>
      </c>
      <c r="J8727" s="59">
        <f t="shared" si="28"/>
        <v>0</v>
      </c>
      <c r="K8727" s="59">
        <f t="shared" si="29"/>
        <v>0</v>
      </c>
      <c r="L8727" s="59">
        <f t="shared" si="30"/>
        <v>0</v>
      </c>
      <c r="M8727" s="59">
        <f t="shared" si="31"/>
        <v>0</v>
      </c>
    </row>
    <row r="8728" ht="15.0" hidden="1" customHeight="1">
      <c r="A8728" s="59">
        <f t="shared" si="20"/>
        <v>142</v>
      </c>
      <c r="B8728" s="59" t="str">
        <f t="shared" si="21"/>
        <v/>
      </c>
      <c r="C8728" s="59" t="str">
        <f t="shared" si="22"/>
        <v/>
      </c>
      <c r="D8728" s="45" t="str">
        <f t="shared" si="23"/>
        <v/>
      </c>
      <c r="E8728" s="45" t="str">
        <f t="shared" si="24"/>
        <v/>
      </c>
      <c r="F8728" s="59" t="str">
        <f t="shared" si="25"/>
        <v/>
      </c>
      <c r="G8728" s="59" t="str">
        <f t="shared" si="26"/>
        <v/>
      </c>
      <c r="H8728" s="59" t="str">
        <f t="shared" si="27"/>
        <v>28H00609</v>
      </c>
      <c r="I8728" s="59" t="str">
        <f>IF(OR($A8728="",$C8728="",$D8728="",$E8728="",$H8728=""),"",SUMIFS(DATA_GOC!$H:$H,DATA_GOC!$A:$A,"BOM",DATA_GOC!$D:$D,$H8728,DATA_GOC!$E:$E,$C8728,DATA_GOC!$F:$F,"Xuất nội bộ từ téc",DATA_GOC!$B:$B,"&gt;="&amp;$D8728,DATA_GOC!$B:$B,"&lt;="&amp;$E8728))</f>
        <v/>
      </c>
      <c r="J8728" s="59">
        <f t="shared" si="28"/>
        <v>0</v>
      </c>
      <c r="K8728" s="59">
        <f t="shared" si="29"/>
        <v>0</v>
      </c>
      <c r="L8728" s="59">
        <f t="shared" si="30"/>
        <v>0</v>
      </c>
      <c r="M8728" s="59">
        <f t="shared" si="31"/>
        <v>0</v>
      </c>
    </row>
    <row r="8729" ht="15.0" hidden="1" customHeight="1">
      <c r="A8729" s="59">
        <f t="shared" si="20"/>
        <v>142</v>
      </c>
      <c r="B8729" s="59" t="str">
        <f t="shared" si="21"/>
        <v/>
      </c>
      <c r="C8729" s="59" t="str">
        <f t="shared" si="22"/>
        <v/>
      </c>
      <c r="D8729" s="45" t="str">
        <f t="shared" si="23"/>
        <v/>
      </c>
      <c r="E8729" s="45" t="str">
        <f t="shared" si="24"/>
        <v/>
      </c>
      <c r="F8729" s="59" t="str">
        <f t="shared" si="25"/>
        <v/>
      </c>
      <c r="G8729" s="59" t="str">
        <f t="shared" si="26"/>
        <v/>
      </c>
      <c r="H8729" s="59" t="str">
        <f t="shared" si="27"/>
        <v>28H00669</v>
      </c>
      <c r="I8729" s="59" t="str">
        <f>IF(OR($A8729="",$C8729="",$D8729="",$E8729="",$H8729=""),"",SUMIFS(DATA_GOC!$H:$H,DATA_GOC!$A:$A,"BOM",DATA_GOC!$D:$D,$H8729,DATA_GOC!$E:$E,$C8729,DATA_GOC!$F:$F,"Xuất nội bộ từ téc",DATA_GOC!$B:$B,"&gt;="&amp;$D8729,DATA_GOC!$B:$B,"&lt;="&amp;$E8729))</f>
        <v/>
      </c>
      <c r="J8729" s="59">
        <f t="shared" si="28"/>
        <v>0</v>
      </c>
      <c r="K8729" s="59">
        <f t="shared" si="29"/>
        <v>0</v>
      </c>
      <c r="L8729" s="59">
        <f t="shared" si="30"/>
        <v>0</v>
      </c>
      <c r="M8729" s="59">
        <f t="shared" si="31"/>
        <v>0</v>
      </c>
    </row>
    <row r="8730" ht="15.0" hidden="1" customHeight="1">
      <c r="A8730" s="59">
        <f t="shared" si="20"/>
        <v>142</v>
      </c>
      <c r="B8730" s="59" t="str">
        <f t="shared" si="21"/>
        <v/>
      </c>
      <c r="C8730" s="59" t="str">
        <f t="shared" si="22"/>
        <v/>
      </c>
      <c r="D8730" s="45" t="str">
        <f t="shared" si="23"/>
        <v/>
      </c>
      <c r="E8730" s="45" t="str">
        <f t="shared" si="24"/>
        <v/>
      </c>
      <c r="F8730" s="59" t="str">
        <f t="shared" si="25"/>
        <v/>
      </c>
      <c r="G8730" s="59" t="str">
        <f t="shared" si="26"/>
        <v/>
      </c>
      <c r="H8730" s="59" t="str">
        <f t="shared" si="27"/>
        <v>28H00680</v>
      </c>
      <c r="I8730" s="59" t="str">
        <f>IF(OR($A8730="",$C8730="",$D8730="",$E8730="",$H8730=""),"",SUMIFS(DATA_GOC!$H:$H,DATA_GOC!$A:$A,"BOM",DATA_GOC!$D:$D,$H8730,DATA_GOC!$E:$E,$C8730,DATA_GOC!$F:$F,"Xuất nội bộ từ téc",DATA_GOC!$B:$B,"&gt;="&amp;$D8730,DATA_GOC!$B:$B,"&lt;="&amp;$E8730))</f>
        <v/>
      </c>
      <c r="J8730" s="59">
        <f t="shared" si="28"/>
        <v>0</v>
      </c>
      <c r="K8730" s="59">
        <f t="shared" si="29"/>
        <v>0</v>
      </c>
      <c r="L8730" s="59">
        <f t="shared" si="30"/>
        <v>0</v>
      </c>
      <c r="M8730" s="59">
        <f t="shared" si="31"/>
        <v>0</v>
      </c>
    </row>
    <row r="8731" ht="15.0" hidden="1" customHeight="1">
      <c r="A8731" s="59">
        <f t="shared" si="20"/>
        <v>142</v>
      </c>
      <c r="B8731" s="59" t="str">
        <f t="shared" si="21"/>
        <v/>
      </c>
      <c r="C8731" s="59" t="str">
        <f t="shared" si="22"/>
        <v/>
      </c>
      <c r="D8731" s="45" t="str">
        <f t="shared" si="23"/>
        <v/>
      </c>
      <c r="E8731" s="45" t="str">
        <f t="shared" si="24"/>
        <v/>
      </c>
      <c r="F8731" s="59" t="str">
        <f t="shared" si="25"/>
        <v/>
      </c>
      <c r="G8731" s="59" t="str">
        <f t="shared" si="26"/>
        <v/>
      </c>
      <c r="H8731" s="59" t="str">
        <f t="shared" si="27"/>
        <v>28H01070</v>
      </c>
      <c r="I8731" s="59" t="str">
        <f>IF(OR($A8731="",$C8731="",$D8731="",$E8731="",$H8731=""),"",SUMIFS(DATA_GOC!$H:$H,DATA_GOC!$A:$A,"BOM",DATA_GOC!$D:$D,$H8731,DATA_GOC!$E:$E,$C8731,DATA_GOC!$F:$F,"Xuất nội bộ từ téc",DATA_GOC!$B:$B,"&gt;="&amp;$D8731,DATA_GOC!$B:$B,"&lt;="&amp;$E8731))</f>
        <v/>
      </c>
      <c r="J8731" s="59">
        <f t="shared" si="28"/>
        <v>0</v>
      </c>
      <c r="K8731" s="59">
        <f t="shared" si="29"/>
        <v>0</v>
      </c>
      <c r="L8731" s="59">
        <f t="shared" si="30"/>
        <v>0</v>
      </c>
      <c r="M8731" s="59">
        <f t="shared" si="31"/>
        <v>0</v>
      </c>
    </row>
    <row r="8732" ht="15.0" hidden="1" customHeight="1">
      <c r="A8732" s="59">
        <f t="shared" si="20"/>
        <v>142</v>
      </c>
      <c r="B8732" s="59" t="str">
        <f t="shared" si="21"/>
        <v/>
      </c>
      <c r="C8732" s="59" t="str">
        <f t="shared" si="22"/>
        <v/>
      </c>
      <c r="D8732" s="45" t="str">
        <f t="shared" si="23"/>
        <v/>
      </c>
      <c r="E8732" s="45" t="str">
        <f t="shared" si="24"/>
        <v/>
      </c>
      <c r="F8732" s="59" t="str">
        <f t="shared" si="25"/>
        <v/>
      </c>
      <c r="G8732" s="59" t="str">
        <f t="shared" si="26"/>
        <v/>
      </c>
      <c r="H8732" s="59" t="str">
        <f t="shared" si="27"/>
        <v>28H01364</v>
      </c>
      <c r="I8732" s="59" t="str">
        <f>IF(OR($A8732="",$C8732="",$D8732="",$E8732="",$H8732=""),"",SUMIFS(DATA_GOC!$H:$H,DATA_GOC!$A:$A,"BOM",DATA_GOC!$D:$D,$H8732,DATA_GOC!$E:$E,$C8732,DATA_GOC!$F:$F,"Xuất nội bộ từ téc",DATA_GOC!$B:$B,"&gt;="&amp;$D8732,DATA_GOC!$B:$B,"&lt;="&amp;$E8732))</f>
        <v/>
      </c>
      <c r="J8732" s="59">
        <f t="shared" si="28"/>
        <v>0</v>
      </c>
      <c r="K8732" s="59">
        <f t="shared" si="29"/>
        <v>0</v>
      </c>
      <c r="L8732" s="59">
        <f t="shared" si="30"/>
        <v>0</v>
      </c>
      <c r="M8732" s="59">
        <f t="shared" si="31"/>
        <v>0</v>
      </c>
    </row>
    <row r="8733" ht="15.0" hidden="1" customHeight="1">
      <c r="A8733" s="59">
        <f t="shared" si="20"/>
        <v>142</v>
      </c>
      <c r="B8733" s="59" t="str">
        <f t="shared" si="21"/>
        <v/>
      </c>
      <c r="C8733" s="59" t="str">
        <f t="shared" si="22"/>
        <v/>
      </c>
      <c r="D8733" s="45" t="str">
        <f t="shared" si="23"/>
        <v/>
      </c>
      <c r="E8733" s="45" t="str">
        <f t="shared" si="24"/>
        <v/>
      </c>
      <c r="F8733" s="59" t="str">
        <f t="shared" si="25"/>
        <v/>
      </c>
      <c r="G8733" s="59" t="str">
        <f t="shared" si="26"/>
        <v/>
      </c>
      <c r="H8733" s="59" t="str">
        <f t="shared" si="27"/>
        <v>29E17269</v>
      </c>
      <c r="I8733" s="59" t="str">
        <f>IF(OR($A8733="",$C8733="",$D8733="",$E8733="",$H8733=""),"",SUMIFS(DATA_GOC!$H:$H,DATA_GOC!$A:$A,"BOM",DATA_GOC!$D:$D,$H8733,DATA_GOC!$E:$E,$C8733,DATA_GOC!$F:$F,"Xuất nội bộ từ téc",DATA_GOC!$B:$B,"&gt;="&amp;$D8733,DATA_GOC!$B:$B,"&lt;="&amp;$E8733))</f>
        <v/>
      </c>
      <c r="J8733" s="59">
        <f t="shared" si="28"/>
        <v>0</v>
      </c>
      <c r="K8733" s="59">
        <f t="shared" si="29"/>
        <v>0</v>
      </c>
      <c r="L8733" s="59">
        <f t="shared" si="30"/>
        <v>0</v>
      </c>
      <c r="M8733" s="59">
        <f t="shared" si="31"/>
        <v>0</v>
      </c>
    </row>
    <row r="8734" ht="15.0" hidden="1" customHeight="1">
      <c r="A8734" s="59">
        <f t="shared" si="20"/>
        <v>142</v>
      </c>
      <c r="B8734" s="59" t="str">
        <f t="shared" si="21"/>
        <v/>
      </c>
      <c r="C8734" s="59" t="str">
        <f t="shared" si="22"/>
        <v/>
      </c>
      <c r="D8734" s="45" t="str">
        <f t="shared" si="23"/>
        <v/>
      </c>
      <c r="E8734" s="45" t="str">
        <f t="shared" si="24"/>
        <v/>
      </c>
      <c r="F8734" s="59" t="str">
        <f t="shared" si="25"/>
        <v/>
      </c>
      <c r="G8734" s="59" t="str">
        <f t="shared" si="26"/>
        <v/>
      </c>
      <c r="H8734" s="59" t="str">
        <f t="shared" si="27"/>
        <v>29E17273</v>
      </c>
      <c r="I8734" s="59" t="str">
        <f>IF(OR($A8734="",$C8734="",$D8734="",$E8734="",$H8734=""),"",SUMIFS(DATA_GOC!$H:$H,DATA_GOC!$A:$A,"BOM",DATA_GOC!$D:$D,$H8734,DATA_GOC!$E:$E,$C8734,DATA_GOC!$F:$F,"Xuất nội bộ từ téc",DATA_GOC!$B:$B,"&gt;="&amp;$D8734,DATA_GOC!$B:$B,"&lt;="&amp;$E8734))</f>
        <v/>
      </c>
      <c r="J8734" s="59">
        <f t="shared" si="28"/>
        <v>0</v>
      </c>
      <c r="K8734" s="59">
        <f t="shared" si="29"/>
        <v>0</v>
      </c>
      <c r="L8734" s="59">
        <f t="shared" si="30"/>
        <v>0</v>
      </c>
      <c r="M8734" s="59">
        <f t="shared" si="31"/>
        <v>0</v>
      </c>
    </row>
    <row r="8735" ht="15.0" hidden="1" customHeight="1">
      <c r="A8735" s="59">
        <f t="shared" si="20"/>
        <v>142</v>
      </c>
      <c r="B8735" s="59" t="str">
        <f t="shared" si="21"/>
        <v/>
      </c>
      <c r="C8735" s="59" t="str">
        <f t="shared" si="22"/>
        <v/>
      </c>
      <c r="D8735" s="45" t="str">
        <f t="shared" si="23"/>
        <v/>
      </c>
      <c r="E8735" s="45" t="str">
        <f t="shared" si="24"/>
        <v/>
      </c>
      <c r="F8735" s="59" t="str">
        <f t="shared" si="25"/>
        <v/>
      </c>
      <c r="G8735" s="59" t="str">
        <f t="shared" si="26"/>
        <v/>
      </c>
      <c r="H8735" s="59" t="str">
        <f t="shared" si="27"/>
        <v>29E17410</v>
      </c>
      <c r="I8735" s="59" t="str">
        <f>IF(OR($A8735="",$C8735="",$D8735="",$E8735="",$H8735=""),"",SUMIFS(DATA_GOC!$H:$H,DATA_GOC!$A:$A,"BOM",DATA_GOC!$D:$D,$H8735,DATA_GOC!$E:$E,$C8735,DATA_GOC!$F:$F,"Xuất nội bộ từ téc",DATA_GOC!$B:$B,"&gt;="&amp;$D8735,DATA_GOC!$B:$B,"&lt;="&amp;$E8735))</f>
        <v/>
      </c>
      <c r="J8735" s="59">
        <f t="shared" si="28"/>
        <v>0</v>
      </c>
      <c r="K8735" s="59">
        <f t="shared" si="29"/>
        <v>0</v>
      </c>
      <c r="L8735" s="59">
        <f t="shared" si="30"/>
        <v>0</v>
      </c>
      <c r="M8735" s="59">
        <f t="shared" si="31"/>
        <v>0</v>
      </c>
    </row>
    <row r="8736" ht="15.0" hidden="1" customHeight="1">
      <c r="A8736" s="59">
        <f t="shared" si="20"/>
        <v>142</v>
      </c>
      <c r="B8736" s="59" t="str">
        <f t="shared" si="21"/>
        <v/>
      </c>
      <c r="C8736" s="59" t="str">
        <f t="shared" si="22"/>
        <v/>
      </c>
      <c r="D8736" s="45" t="str">
        <f t="shared" si="23"/>
        <v/>
      </c>
      <c r="E8736" s="45" t="str">
        <f t="shared" si="24"/>
        <v/>
      </c>
      <c r="F8736" s="59" t="str">
        <f t="shared" si="25"/>
        <v/>
      </c>
      <c r="G8736" s="59" t="str">
        <f t="shared" si="26"/>
        <v/>
      </c>
      <c r="H8736" s="59" t="str">
        <f t="shared" si="27"/>
        <v>29E17417</v>
      </c>
      <c r="I8736" s="59" t="str">
        <f>IF(OR($A8736="",$C8736="",$D8736="",$E8736="",$H8736=""),"",SUMIFS(DATA_GOC!$H:$H,DATA_GOC!$A:$A,"BOM",DATA_GOC!$D:$D,$H8736,DATA_GOC!$E:$E,$C8736,DATA_GOC!$F:$F,"Xuất nội bộ từ téc",DATA_GOC!$B:$B,"&gt;="&amp;$D8736,DATA_GOC!$B:$B,"&lt;="&amp;$E8736))</f>
        <v/>
      </c>
      <c r="J8736" s="59">
        <f t="shared" si="28"/>
        <v>0</v>
      </c>
      <c r="K8736" s="59">
        <f t="shared" si="29"/>
        <v>0</v>
      </c>
      <c r="L8736" s="59">
        <f t="shared" si="30"/>
        <v>0</v>
      </c>
      <c r="M8736" s="59">
        <f t="shared" si="31"/>
        <v>0</v>
      </c>
    </row>
    <row r="8737" ht="15.0" hidden="1" customHeight="1">
      <c r="A8737" s="59">
        <f t="shared" si="20"/>
        <v>142</v>
      </c>
      <c r="B8737" s="59" t="str">
        <f t="shared" si="21"/>
        <v/>
      </c>
      <c r="C8737" s="59" t="str">
        <f t="shared" si="22"/>
        <v/>
      </c>
      <c r="D8737" s="45" t="str">
        <f t="shared" si="23"/>
        <v/>
      </c>
      <c r="E8737" s="45" t="str">
        <f t="shared" si="24"/>
        <v/>
      </c>
      <c r="F8737" s="59" t="str">
        <f t="shared" si="25"/>
        <v/>
      </c>
      <c r="G8737" s="59" t="str">
        <f t="shared" si="26"/>
        <v/>
      </c>
      <c r="H8737" s="59" t="str">
        <f t="shared" si="27"/>
        <v>29E17539</v>
      </c>
      <c r="I8737" s="59" t="str">
        <f>IF(OR($A8737="",$C8737="",$D8737="",$E8737="",$H8737=""),"",SUMIFS(DATA_GOC!$H:$H,DATA_GOC!$A:$A,"BOM",DATA_GOC!$D:$D,$H8737,DATA_GOC!$E:$E,$C8737,DATA_GOC!$F:$F,"Xuất nội bộ từ téc",DATA_GOC!$B:$B,"&gt;="&amp;$D8737,DATA_GOC!$B:$B,"&lt;="&amp;$E8737))</f>
        <v/>
      </c>
      <c r="J8737" s="59">
        <f t="shared" si="28"/>
        <v>0</v>
      </c>
      <c r="K8737" s="59">
        <f t="shared" si="29"/>
        <v>0</v>
      </c>
      <c r="L8737" s="59">
        <f t="shared" si="30"/>
        <v>0</v>
      </c>
      <c r="M8737" s="59">
        <f t="shared" si="31"/>
        <v>0</v>
      </c>
    </row>
    <row r="8738" ht="15.0" hidden="1" customHeight="1">
      <c r="A8738" s="59">
        <f t="shared" si="20"/>
        <v>142</v>
      </c>
      <c r="B8738" s="59" t="str">
        <f t="shared" si="21"/>
        <v/>
      </c>
      <c r="C8738" s="59" t="str">
        <f t="shared" si="22"/>
        <v/>
      </c>
      <c r="D8738" s="45" t="str">
        <f t="shared" si="23"/>
        <v/>
      </c>
      <c r="E8738" s="45" t="str">
        <f t="shared" si="24"/>
        <v/>
      </c>
      <c r="F8738" s="59" t="str">
        <f t="shared" si="25"/>
        <v/>
      </c>
      <c r="G8738" s="59" t="str">
        <f t="shared" si="26"/>
        <v/>
      </c>
      <c r="H8738" s="59" t="str">
        <f t="shared" si="27"/>
        <v>29E18160</v>
      </c>
      <c r="I8738" s="59" t="str">
        <f>IF(OR($A8738="",$C8738="",$D8738="",$E8738="",$H8738=""),"",SUMIFS(DATA_GOC!$H:$H,DATA_GOC!$A:$A,"BOM",DATA_GOC!$D:$D,$H8738,DATA_GOC!$E:$E,$C8738,DATA_GOC!$F:$F,"Xuất nội bộ từ téc",DATA_GOC!$B:$B,"&gt;="&amp;$D8738,DATA_GOC!$B:$B,"&lt;="&amp;$E8738))</f>
        <v/>
      </c>
      <c r="J8738" s="59">
        <f t="shared" si="28"/>
        <v>0</v>
      </c>
      <c r="K8738" s="59">
        <f t="shared" si="29"/>
        <v>0</v>
      </c>
      <c r="L8738" s="59">
        <f t="shared" si="30"/>
        <v>0</v>
      </c>
      <c r="M8738" s="59">
        <f t="shared" si="31"/>
        <v>0</v>
      </c>
    </row>
    <row r="8739" ht="15.0" hidden="1" customHeight="1">
      <c r="A8739" s="59">
        <f t="shared" si="20"/>
        <v>142</v>
      </c>
      <c r="B8739" s="59" t="str">
        <f t="shared" si="21"/>
        <v/>
      </c>
      <c r="C8739" s="59" t="str">
        <f t="shared" si="22"/>
        <v/>
      </c>
      <c r="D8739" s="45" t="str">
        <f t="shared" si="23"/>
        <v/>
      </c>
      <c r="E8739" s="45" t="str">
        <f t="shared" si="24"/>
        <v/>
      </c>
      <c r="F8739" s="59" t="str">
        <f t="shared" si="25"/>
        <v/>
      </c>
      <c r="G8739" s="59" t="str">
        <f t="shared" si="26"/>
        <v/>
      </c>
      <c r="H8739" s="59" t="str">
        <f t="shared" si="27"/>
        <v>Công trình Asphalt</v>
      </c>
      <c r="I8739" s="59" t="str">
        <f>IF(OR($A8739="",$C8739="",$D8739="",$E8739="",$H8739=""),"",SUMIFS(DATA_GOC!$H:$H,DATA_GOC!$A:$A,"BOM",DATA_GOC!$D:$D,$H8739,DATA_GOC!$E:$E,$C8739,DATA_GOC!$F:$F,"Xuất nội bộ từ téc",DATA_GOC!$B:$B,"&gt;="&amp;$D8739,DATA_GOC!$B:$B,"&lt;="&amp;$E8739))</f>
        <v/>
      </c>
      <c r="J8739" s="59">
        <f t="shared" si="28"/>
        <v>0</v>
      </c>
      <c r="K8739" s="59">
        <f t="shared" si="29"/>
        <v>0</v>
      </c>
      <c r="L8739" s="59">
        <f t="shared" si="30"/>
        <v>0</v>
      </c>
      <c r="M8739" s="59">
        <f t="shared" si="31"/>
        <v>0</v>
      </c>
    </row>
    <row r="8740" ht="15.0" hidden="1" customHeight="1">
      <c r="A8740" s="59">
        <f t="shared" si="20"/>
        <v>142</v>
      </c>
      <c r="B8740" s="59" t="str">
        <f t="shared" si="21"/>
        <v/>
      </c>
      <c r="C8740" s="59" t="str">
        <f t="shared" si="22"/>
        <v/>
      </c>
      <c r="D8740" s="45" t="str">
        <f t="shared" si="23"/>
        <v/>
      </c>
      <c r="E8740" s="45" t="str">
        <f t="shared" si="24"/>
        <v/>
      </c>
      <c r="F8740" s="59" t="str">
        <f t="shared" si="25"/>
        <v/>
      </c>
      <c r="G8740" s="59" t="str">
        <f t="shared" si="26"/>
        <v/>
      </c>
      <c r="H8740" s="59" t="str">
        <f t="shared" si="27"/>
        <v>LG53F</v>
      </c>
      <c r="I8740" s="59" t="str">
        <f>IF(OR($A8740="",$C8740="",$D8740="",$E8740="",$H8740=""),"",SUMIFS(DATA_GOC!$H:$H,DATA_GOC!$A:$A,"BOM",DATA_GOC!$D:$D,$H8740,DATA_GOC!$E:$E,$C8740,DATA_GOC!$F:$F,"Xuất nội bộ từ téc",DATA_GOC!$B:$B,"&gt;="&amp;$D8740,DATA_GOC!$B:$B,"&lt;="&amp;$E8740))</f>
        <v/>
      </c>
      <c r="J8740" s="59">
        <f t="shared" si="28"/>
        <v>0</v>
      </c>
      <c r="K8740" s="59">
        <f t="shared" si="29"/>
        <v>0</v>
      </c>
      <c r="L8740" s="59">
        <f t="shared" si="30"/>
        <v>0</v>
      </c>
      <c r="M8740" s="59">
        <f t="shared" si="31"/>
        <v>0</v>
      </c>
    </row>
    <row r="8741" ht="15.0" hidden="1" customHeight="1">
      <c r="A8741" s="59">
        <f t="shared" si="20"/>
        <v>142</v>
      </c>
      <c r="B8741" s="59" t="str">
        <f t="shared" si="21"/>
        <v/>
      </c>
      <c r="C8741" s="59" t="str">
        <f t="shared" si="22"/>
        <v/>
      </c>
      <c r="D8741" s="45" t="str">
        <f t="shared" si="23"/>
        <v/>
      </c>
      <c r="E8741" s="45" t="str">
        <f t="shared" si="24"/>
        <v/>
      </c>
      <c r="F8741" s="59" t="str">
        <f t="shared" si="25"/>
        <v/>
      </c>
      <c r="G8741" s="59" t="str">
        <f t="shared" si="26"/>
        <v/>
      </c>
      <c r="H8741" s="59" t="str">
        <f t="shared" si="27"/>
        <v>Máy phát điện</v>
      </c>
      <c r="I8741" s="59" t="str">
        <f>IF(OR($A8741="",$C8741="",$D8741="",$E8741="",$H8741=""),"",SUMIFS(DATA_GOC!$H:$H,DATA_GOC!$A:$A,"BOM",DATA_GOC!$D:$D,$H8741,DATA_GOC!$E:$E,$C8741,DATA_GOC!$F:$F,"Xuất nội bộ từ téc",DATA_GOC!$B:$B,"&gt;="&amp;$D8741,DATA_GOC!$B:$B,"&lt;="&amp;$E8741))</f>
        <v/>
      </c>
      <c r="J8741" s="59">
        <f t="shared" si="28"/>
        <v>0</v>
      </c>
      <c r="K8741" s="59">
        <f t="shared" si="29"/>
        <v>0</v>
      </c>
      <c r="L8741" s="59">
        <f t="shared" si="30"/>
        <v>0</v>
      </c>
      <c r="M8741" s="59">
        <f t="shared" si="31"/>
        <v>0</v>
      </c>
    </row>
    <row r="8742" ht="15.0" hidden="1" customHeight="1">
      <c r="A8742" s="59">
        <f t="shared" si="20"/>
        <v>142</v>
      </c>
      <c r="B8742" s="59" t="str">
        <f t="shared" si="21"/>
        <v/>
      </c>
      <c r="C8742" s="59" t="str">
        <f t="shared" si="22"/>
        <v/>
      </c>
      <c r="D8742" s="45" t="str">
        <f t="shared" si="23"/>
        <v/>
      </c>
      <c r="E8742" s="45" t="str">
        <f t="shared" si="24"/>
        <v/>
      </c>
      <c r="F8742" s="59" t="str">
        <f t="shared" si="25"/>
        <v/>
      </c>
      <c r="G8742" s="59" t="str">
        <f t="shared" si="26"/>
        <v/>
      </c>
      <c r="H8742" s="59" t="str">
        <f t="shared" si="27"/>
        <v>Máy rải thảm</v>
      </c>
      <c r="I8742" s="59" t="str">
        <f>IF(OR($A8742="",$C8742="",$D8742="",$E8742="",$H8742=""),"",SUMIFS(DATA_GOC!$H:$H,DATA_GOC!$A:$A,"BOM",DATA_GOC!$D:$D,$H8742,DATA_GOC!$E:$E,$C8742,DATA_GOC!$F:$F,"Xuất nội bộ từ téc",DATA_GOC!$B:$B,"&gt;="&amp;$D8742,DATA_GOC!$B:$B,"&lt;="&amp;$E8742))</f>
        <v/>
      </c>
      <c r="J8742" s="59">
        <f t="shared" si="28"/>
        <v>0</v>
      </c>
      <c r="K8742" s="59">
        <f t="shared" si="29"/>
        <v>0</v>
      </c>
      <c r="L8742" s="59">
        <f t="shared" si="30"/>
        <v>0</v>
      </c>
      <c r="M8742" s="59">
        <f t="shared" si="31"/>
        <v>0</v>
      </c>
    </row>
    <row r="8743" ht="15.0" hidden="1" customHeight="1">
      <c r="A8743" s="59">
        <f t="shared" si="20"/>
        <v>142</v>
      </c>
      <c r="B8743" s="59" t="str">
        <f t="shared" si="21"/>
        <v/>
      </c>
      <c r="C8743" s="59" t="str">
        <f t="shared" si="22"/>
        <v/>
      </c>
      <c r="D8743" s="45" t="str">
        <f t="shared" si="23"/>
        <v/>
      </c>
      <c r="E8743" s="45" t="str">
        <f t="shared" si="24"/>
        <v/>
      </c>
      <c r="F8743" s="59" t="str">
        <f t="shared" si="25"/>
        <v/>
      </c>
      <c r="G8743" s="59" t="str">
        <f t="shared" si="26"/>
        <v/>
      </c>
      <c r="H8743" s="59" t="str">
        <f t="shared" si="27"/>
        <v>Xúc Đào</v>
      </c>
      <c r="I8743" s="59" t="str">
        <f>IF(OR($A8743="",$C8743="",$D8743="",$E8743="",$H8743=""),"",SUMIFS(DATA_GOC!$H:$H,DATA_GOC!$A:$A,"BOM",DATA_GOC!$D:$D,$H8743,DATA_GOC!$E:$E,$C8743,DATA_GOC!$F:$F,"Xuất nội bộ từ téc",DATA_GOC!$B:$B,"&gt;="&amp;$D8743,DATA_GOC!$B:$B,"&lt;="&amp;$E8743))</f>
        <v/>
      </c>
      <c r="J8743" s="59">
        <f t="shared" si="28"/>
        <v>0</v>
      </c>
      <c r="K8743" s="59">
        <f t="shared" si="29"/>
        <v>0</v>
      </c>
      <c r="L8743" s="59">
        <f t="shared" si="30"/>
        <v>0</v>
      </c>
      <c r="M8743" s="59">
        <f t="shared" si="31"/>
        <v>0</v>
      </c>
    </row>
    <row r="8744" ht="15.0" hidden="1" customHeight="1">
      <c r="A8744" s="59">
        <f t="shared" si="20"/>
        <v>142</v>
      </c>
      <c r="B8744" s="59" t="str">
        <f t="shared" si="21"/>
        <v/>
      </c>
      <c r="C8744" s="59" t="str">
        <f t="shared" si="22"/>
        <v/>
      </c>
      <c r="D8744" s="45" t="str">
        <f t="shared" si="23"/>
        <v/>
      </c>
      <c r="E8744" s="45" t="str">
        <f t="shared" si="24"/>
        <v/>
      </c>
      <c r="F8744" s="59" t="str">
        <f t="shared" si="25"/>
        <v/>
      </c>
      <c r="G8744" s="59" t="str">
        <f t="shared" si="26"/>
        <v/>
      </c>
      <c r="H8744" s="59" t="str">
        <f t="shared" si="27"/>
        <v>Xúclật asphalt</v>
      </c>
      <c r="I8744" s="59" t="str">
        <f>IF(OR($A8744="",$C8744="",$D8744="",$E8744="",$H8744=""),"",SUMIFS(DATA_GOC!$H:$H,DATA_GOC!$A:$A,"BOM",DATA_GOC!$D:$D,$H8744,DATA_GOC!$E:$E,$C8744,DATA_GOC!$F:$F,"Xuất nội bộ từ téc",DATA_GOC!$B:$B,"&gt;="&amp;$D8744,DATA_GOC!$B:$B,"&lt;="&amp;$E8744))</f>
        <v/>
      </c>
      <c r="J8744" s="59">
        <f t="shared" si="28"/>
        <v>0</v>
      </c>
      <c r="K8744" s="59">
        <f t="shared" si="29"/>
        <v>0</v>
      </c>
      <c r="L8744" s="59">
        <f t="shared" si="30"/>
        <v>0</v>
      </c>
      <c r="M8744" s="59">
        <f t="shared" si="31"/>
        <v>0</v>
      </c>
    </row>
    <row r="8745" ht="15.0" hidden="1" customHeight="1">
      <c r="A8745" s="59">
        <f t="shared" si="20"/>
        <v>142</v>
      </c>
      <c r="B8745" s="59" t="str">
        <f t="shared" si="21"/>
        <v/>
      </c>
      <c r="C8745" s="59" t="str">
        <f t="shared" si="22"/>
        <v/>
      </c>
      <c r="D8745" s="45" t="str">
        <f t="shared" si="23"/>
        <v/>
      </c>
      <c r="E8745" s="45" t="str">
        <f t="shared" si="24"/>
        <v/>
      </c>
      <c r="F8745" s="59" t="str">
        <f t="shared" si="25"/>
        <v/>
      </c>
      <c r="G8745" s="59" t="str">
        <f t="shared" si="26"/>
        <v/>
      </c>
      <c r="H8745" s="59" t="str">
        <f t="shared" si="27"/>
        <v>Xúclật855H</v>
      </c>
      <c r="I8745" s="59" t="str">
        <f>IF(OR($A8745="",$C8745="",$D8745="",$E8745="",$H8745=""),"",SUMIFS(DATA_GOC!$H:$H,DATA_GOC!$A:$A,"BOM",DATA_GOC!$D:$D,$H8745,DATA_GOC!$E:$E,$C8745,DATA_GOC!$F:$F,"Xuất nội bộ từ téc",DATA_GOC!$B:$B,"&gt;="&amp;$D8745,DATA_GOC!$B:$B,"&lt;="&amp;$E8745))</f>
        <v/>
      </c>
      <c r="J8745" s="59">
        <f t="shared" si="28"/>
        <v>0</v>
      </c>
      <c r="K8745" s="59">
        <f t="shared" si="29"/>
        <v>0</v>
      </c>
      <c r="L8745" s="59">
        <f t="shared" si="30"/>
        <v>0</v>
      </c>
      <c r="M8745" s="59">
        <f t="shared" si="31"/>
        <v>0</v>
      </c>
    </row>
    <row r="8746" ht="15.0" hidden="1" customHeight="1">
      <c r="A8746" s="59">
        <f t="shared" si="20"/>
        <v>142</v>
      </c>
      <c r="B8746" s="59" t="str">
        <f t="shared" si="21"/>
        <v/>
      </c>
      <c r="C8746" s="59" t="str">
        <f t="shared" si="22"/>
        <v/>
      </c>
      <c r="D8746" s="45" t="str">
        <f t="shared" si="23"/>
        <v/>
      </c>
      <c r="E8746" s="45" t="str">
        <f t="shared" si="24"/>
        <v/>
      </c>
      <c r="F8746" s="59" t="str">
        <f t="shared" si="25"/>
        <v/>
      </c>
      <c r="G8746" s="59" t="str">
        <f t="shared" si="26"/>
        <v/>
      </c>
      <c r="H8746" s="59" t="str">
        <f t="shared" si="27"/>
        <v>Xúclật855N</v>
      </c>
      <c r="I8746" s="59" t="str">
        <f>IF(OR($A8746="",$C8746="",$D8746="",$E8746="",$H8746=""),"",SUMIFS(DATA_GOC!$H:$H,DATA_GOC!$A:$A,"BOM",DATA_GOC!$D:$D,$H8746,DATA_GOC!$E:$E,$C8746,DATA_GOC!$F:$F,"Xuất nội bộ từ téc",DATA_GOC!$B:$B,"&gt;="&amp;$D8746,DATA_GOC!$B:$B,"&lt;="&amp;$E8746))</f>
        <v/>
      </c>
      <c r="J8746" s="59">
        <f t="shared" si="28"/>
        <v>0</v>
      </c>
      <c r="K8746" s="59">
        <f t="shared" si="29"/>
        <v>0</v>
      </c>
      <c r="L8746" s="59">
        <f t="shared" si="30"/>
        <v>0</v>
      </c>
      <c r="M8746" s="59">
        <f t="shared" si="31"/>
        <v>0</v>
      </c>
    </row>
    <row r="8747" ht="15.0" hidden="1" customHeight="1">
      <c r="A8747" s="59">
        <f t="shared" si="20"/>
        <v>142</v>
      </c>
      <c r="B8747" s="59" t="str">
        <f t="shared" si="21"/>
        <v/>
      </c>
      <c r="C8747" s="59" t="str">
        <f t="shared" si="22"/>
        <v/>
      </c>
      <c r="D8747" s="45" t="str">
        <f t="shared" si="23"/>
        <v/>
      </c>
      <c r="E8747" s="45" t="str">
        <f t="shared" si="24"/>
        <v/>
      </c>
      <c r="F8747" s="59" t="str">
        <f t="shared" si="25"/>
        <v/>
      </c>
      <c r="G8747" s="59" t="str">
        <f t="shared" si="26"/>
        <v/>
      </c>
      <c r="H8747" s="59" t="str">
        <f t="shared" si="27"/>
        <v>Cát nghiền</v>
      </c>
      <c r="I8747" s="59" t="str">
        <f>IF(OR($A8747="",$C8747="",$D8747="",$E8747="",$H8747=""),"",SUMIFS(DATA_GOC!$H:$H,DATA_GOC!$A:$A,"BOM",DATA_GOC!$D:$D,$H8747,DATA_GOC!$E:$E,$C8747,DATA_GOC!$F:$F,"Xuất nội bộ từ téc",DATA_GOC!$B:$B,"&gt;="&amp;$D8747,DATA_GOC!$B:$B,"&lt;="&amp;$E8747))</f>
        <v/>
      </c>
      <c r="J8747" s="59">
        <f t="shared" si="28"/>
        <v>0</v>
      </c>
      <c r="K8747" s="59">
        <f t="shared" si="29"/>
        <v>0</v>
      </c>
      <c r="L8747" s="59">
        <f t="shared" si="30"/>
        <v>0</v>
      </c>
      <c r="M8747" s="59">
        <f t="shared" si="31"/>
        <v>0</v>
      </c>
    </row>
    <row r="8748" ht="15.0" hidden="1" customHeight="1">
      <c r="A8748" s="59">
        <f t="shared" si="20"/>
        <v>142</v>
      </c>
      <c r="B8748" s="59" t="str">
        <f t="shared" si="21"/>
        <v/>
      </c>
      <c r="C8748" s="59" t="str">
        <f t="shared" si="22"/>
        <v/>
      </c>
      <c r="D8748" s="45" t="str">
        <f t="shared" si="23"/>
        <v/>
      </c>
      <c r="E8748" s="45" t="str">
        <f t="shared" si="24"/>
        <v/>
      </c>
      <c r="F8748" s="59" t="str">
        <f t="shared" si="25"/>
        <v/>
      </c>
      <c r="G8748" s="59" t="str">
        <f t="shared" si="26"/>
        <v/>
      </c>
      <c r="H8748" s="59" t="str">
        <f t="shared" si="27"/>
        <v>28C02973</v>
      </c>
      <c r="I8748" s="59" t="str">
        <f>IF(OR($A8748="",$C8748="",$D8748="",$E8748="",$H8748=""),"",SUMIFS(DATA_GOC!$H:$H,DATA_GOC!$A:$A,"BOM",DATA_GOC!$D:$D,$H8748,DATA_GOC!$E:$E,$C8748,DATA_GOC!$F:$F,"Xuất nội bộ từ téc",DATA_GOC!$B:$B,"&gt;="&amp;$D8748,DATA_GOC!$B:$B,"&lt;="&amp;$E8748))</f>
        <v/>
      </c>
      <c r="J8748" s="59">
        <f t="shared" si="28"/>
        <v>0</v>
      </c>
      <c r="K8748" s="59">
        <f t="shared" si="29"/>
        <v>0</v>
      </c>
      <c r="L8748" s="59">
        <f t="shared" si="30"/>
        <v>0</v>
      </c>
      <c r="M8748" s="59">
        <f t="shared" si="31"/>
        <v>0</v>
      </c>
    </row>
    <row r="8749" ht="15.0" hidden="1" customHeight="1">
      <c r="A8749" s="59">
        <f t="shared" si="20"/>
        <v>142</v>
      </c>
      <c r="B8749" s="59" t="str">
        <f t="shared" si="21"/>
        <v/>
      </c>
      <c r="C8749" s="59" t="str">
        <f t="shared" si="22"/>
        <v/>
      </c>
      <c r="D8749" s="45" t="str">
        <f t="shared" si="23"/>
        <v/>
      </c>
      <c r="E8749" s="45" t="str">
        <f t="shared" si="24"/>
        <v/>
      </c>
      <c r="F8749" s="59" t="str">
        <f t="shared" si="25"/>
        <v/>
      </c>
      <c r="G8749" s="59" t="str">
        <f t="shared" si="26"/>
        <v/>
      </c>
      <c r="H8749" s="59" t="str">
        <f t="shared" si="27"/>
        <v>28C03044</v>
      </c>
      <c r="I8749" s="59" t="str">
        <f>IF(OR($A8749="",$C8749="",$D8749="",$E8749="",$H8749=""),"",SUMIFS(DATA_GOC!$H:$H,DATA_GOC!$A:$A,"BOM",DATA_GOC!$D:$D,$H8749,DATA_GOC!$E:$E,$C8749,DATA_GOC!$F:$F,"Xuất nội bộ từ téc",DATA_GOC!$B:$B,"&gt;="&amp;$D8749,DATA_GOC!$B:$B,"&lt;="&amp;$E8749))</f>
        <v/>
      </c>
      <c r="J8749" s="59">
        <f t="shared" si="28"/>
        <v>0</v>
      </c>
      <c r="K8749" s="59">
        <f t="shared" si="29"/>
        <v>0</v>
      </c>
      <c r="L8749" s="59">
        <f t="shared" si="30"/>
        <v>0</v>
      </c>
      <c r="M8749" s="59">
        <f t="shared" si="31"/>
        <v>0</v>
      </c>
    </row>
    <row r="8750" ht="15.0" hidden="1" customHeight="1">
      <c r="A8750" s="59">
        <f t="shared" si="20"/>
        <v>142</v>
      </c>
      <c r="B8750" s="59" t="str">
        <f t="shared" si="21"/>
        <v/>
      </c>
      <c r="C8750" s="59" t="str">
        <f t="shared" si="22"/>
        <v/>
      </c>
      <c r="D8750" s="45" t="str">
        <f t="shared" si="23"/>
        <v/>
      </c>
      <c r="E8750" s="45" t="str">
        <f t="shared" si="24"/>
        <v/>
      </c>
      <c r="F8750" s="59" t="str">
        <f t="shared" si="25"/>
        <v/>
      </c>
      <c r="G8750" s="59" t="str">
        <f t="shared" si="26"/>
        <v/>
      </c>
      <c r="H8750" s="59" t="str">
        <f t="shared" si="27"/>
        <v>Máy lu lốp</v>
      </c>
      <c r="I8750" s="59" t="str">
        <f>IF(OR($A8750="",$C8750="",$D8750="",$E8750="",$H8750=""),"",SUMIFS(DATA_GOC!$H:$H,DATA_GOC!$A:$A,"BOM",DATA_GOC!$D:$D,$H8750,DATA_GOC!$E:$E,$C8750,DATA_GOC!$F:$F,"Xuất nội bộ từ téc",DATA_GOC!$B:$B,"&gt;="&amp;$D8750,DATA_GOC!$B:$B,"&lt;="&amp;$E8750))</f>
        <v/>
      </c>
      <c r="J8750" s="59">
        <f t="shared" si="28"/>
        <v>0</v>
      </c>
      <c r="K8750" s="59">
        <f t="shared" si="29"/>
        <v>0</v>
      </c>
      <c r="L8750" s="59">
        <f t="shared" si="30"/>
        <v>0</v>
      </c>
      <c r="M8750" s="59">
        <f t="shared" si="31"/>
        <v>0</v>
      </c>
    </row>
    <row r="8751" ht="15.0" hidden="1" customHeight="1">
      <c r="A8751" s="59">
        <f t="shared" si="20"/>
        <v>142</v>
      </c>
      <c r="B8751" s="59" t="str">
        <f t="shared" si="21"/>
        <v/>
      </c>
      <c r="C8751" s="59" t="str">
        <f t="shared" si="22"/>
        <v/>
      </c>
      <c r="D8751" s="45" t="str">
        <f t="shared" si="23"/>
        <v/>
      </c>
      <c r="E8751" s="45" t="str">
        <f t="shared" si="24"/>
        <v/>
      </c>
      <c r="F8751" s="59" t="str">
        <f t="shared" si="25"/>
        <v/>
      </c>
      <c r="G8751" s="59" t="str">
        <f t="shared" si="26"/>
        <v/>
      </c>
      <c r="H8751" s="59" t="str">
        <f t="shared" si="27"/>
        <v>Xe 600148</v>
      </c>
      <c r="I8751" s="59" t="str">
        <f>IF(OR($A8751="",$C8751="",$D8751="",$E8751="",$H8751=""),"",SUMIFS(DATA_GOC!$H:$H,DATA_GOC!$A:$A,"BOM",DATA_GOC!$D:$D,$H8751,DATA_GOC!$E:$E,$C8751,DATA_GOC!$F:$F,"Xuất nội bộ từ téc",DATA_GOC!$B:$B,"&gt;="&amp;$D8751,DATA_GOC!$B:$B,"&lt;="&amp;$E8751))</f>
        <v/>
      </c>
      <c r="J8751" s="59">
        <f t="shared" si="28"/>
        <v>0</v>
      </c>
      <c r="K8751" s="59">
        <f t="shared" si="29"/>
        <v>0</v>
      </c>
      <c r="L8751" s="59">
        <f t="shared" si="30"/>
        <v>0</v>
      </c>
      <c r="M8751" s="59">
        <f t="shared" si="31"/>
        <v>0</v>
      </c>
    </row>
    <row r="8752" ht="15.0" hidden="1" customHeight="1">
      <c r="A8752" s="59">
        <f t="shared" si="20"/>
        <v>142</v>
      </c>
      <c r="B8752" s="59" t="str">
        <f t="shared" si="21"/>
        <v/>
      </c>
      <c r="C8752" s="59" t="str">
        <f t="shared" si="22"/>
        <v/>
      </c>
      <c r="D8752" s="45" t="str">
        <f t="shared" si="23"/>
        <v/>
      </c>
      <c r="E8752" s="45" t="str">
        <f t="shared" si="24"/>
        <v/>
      </c>
      <c r="F8752" s="59" t="str">
        <f t="shared" si="25"/>
        <v/>
      </c>
      <c r="G8752" s="59" t="str">
        <f t="shared" si="26"/>
        <v/>
      </c>
      <c r="H8752" s="59" t="str">
        <f t="shared" si="27"/>
        <v>Xe ben mới</v>
      </c>
      <c r="I8752" s="59" t="str">
        <f>IF(OR($A8752="",$C8752="",$D8752="",$E8752="",$H8752=""),"",SUMIFS(DATA_GOC!$H:$H,DATA_GOC!$A:$A,"BOM",DATA_GOC!$D:$D,$H8752,DATA_GOC!$E:$E,$C8752,DATA_GOC!$F:$F,"Xuất nội bộ từ téc",DATA_GOC!$B:$B,"&gt;="&amp;$D8752,DATA_GOC!$B:$B,"&lt;="&amp;$E8752))</f>
        <v/>
      </c>
      <c r="J8752" s="59">
        <f t="shared" si="28"/>
        <v>0</v>
      </c>
      <c r="K8752" s="59">
        <f t="shared" si="29"/>
        <v>0</v>
      </c>
      <c r="L8752" s="59">
        <f t="shared" si="30"/>
        <v>0</v>
      </c>
      <c r="M8752" s="59">
        <f t="shared" si="31"/>
        <v>0</v>
      </c>
    </row>
    <row r="8753" ht="15.0" hidden="1" customHeight="1">
      <c r="A8753" s="59">
        <f t="shared" si="20"/>
        <v>143</v>
      </c>
      <c r="B8753" s="59" t="str">
        <f t="shared" si="21"/>
        <v/>
      </c>
      <c r="C8753" s="59" t="str">
        <f t="shared" si="22"/>
        <v/>
      </c>
      <c r="D8753" s="45" t="str">
        <f t="shared" si="23"/>
        <v/>
      </c>
      <c r="E8753" s="45" t="str">
        <f t="shared" si="24"/>
        <v/>
      </c>
      <c r="F8753" s="59" t="str">
        <f t="shared" si="25"/>
        <v/>
      </c>
      <c r="G8753" s="59" t="str">
        <f t="shared" si="26"/>
        <v/>
      </c>
      <c r="H8753" s="59" t="str">
        <f t="shared" si="27"/>
        <v>19H09482</v>
      </c>
      <c r="I8753" s="59" t="str">
        <f>IF(OR($A8753="",$C8753="",$D8753="",$E8753="",$H8753=""),"",SUMIFS(DATA_GOC!$H:$H,DATA_GOC!$A:$A,"BOM",DATA_GOC!$D:$D,$H8753,DATA_GOC!$E:$E,$C8753,DATA_GOC!$F:$F,"Xuất nội bộ từ téc",DATA_GOC!$B:$B,"&gt;="&amp;$D8753,DATA_GOC!$B:$B,"&lt;="&amp;$E8753))</f>
        <v/>
      </c>
      <c r="J8753" s="59">
        <f t="shared" si="28"/>
        <v>0</v>
      </c>
      <c r="K8753" s="59">
        <f t="shared" si="29"/>
        <v>0</v>
      </c>
      <c r="L8753" s="59">
        <f t="shared" si="30"/>
        <v>0</v>
      </c>
      <c r="M8753" s="59">
        <f t="shared" si="31"/>
        <v>0</v>
      </c>
    </row>
    <row r="8754" ht="15.0" hidden="1" customHeight="1">
      <c r="A8754" s="59">
        <f t="shared" si="20"/>
        <v>143</v>
      </c>
      <c r="B8754" s="59" t="str">
        <f t="shared" si="21"/>
        <v/>
      </c>
      <c r="C8754" s="59" t="str">
        <f t="shared" si="22"/>
        <v/>
      </c>
      <c r="D8754" s="45" t="str">
        <f t="shared" si="23"/>
        <v/>
      </c>
      <c r="E8754" s="45" t="str">
        <f t="shared" si="24"/>
        <v/>
      </c>
      <c r="F8754" s="59" t="str">
        <f t="shared" si="25"/>
        <v/>
      </c>
      <c r="G8754" s="59" t="str">
        <f t="shared" si="26"/>
        <v/>
      </c>
      <c r="H8754" s="59" t="str">
        <f t="shared" si="27"/>
        <v>28A30696</v>
      </c>
      <c r="I8754" s="59" t="str">
        <f>IF(OR($A8754="",$C8754="",$D8754="",$E8754="",$H8754=""),"",SUMIFS(DATA_GOC!$H:$H,DATA_GOC!$A:$A,"BOM",DATA_GOC!$D:$D,$H8754,DATA_GOC!$E:$E,$C8754,DATA_GOC!$F:$F,"Xuất nội bộ từ téc",DATA_GOC!$B:$B,"&gt;="&amp;$D8754,DATA_GOC!$B:$B,"&lt;="&amp;$E8754))</f>
        <v/>
      </c>
      <c r="J8754" s="59">
        <f t="shared" si="28"/>
        <v>0</v>
      </c>
      <c r="K8754" s="59">
        <f t="shared" si="29"/>
        <v>0</v>
      </c>
      <c r="L8754" s="59">
        <f t="shared" si="30"/>
        <v>0</v>
      </c>
      <c r="M8754" s="59">
        <f t="shared" si="31"/>
        <v>0</v>
      </c>
    </row>
    <row r="8755" ht="15.0" hidden="1" customHeight="1">
      <c r="A8755" s="59">
        <f t="shared" si="20"/>
        <v>143</v>
      </c>
      <c r="B8755" s="59" t="str">
        <f t="shared" si="21"/>
        <v/>
      </c>
      <c r="C8755" s="59" t="str">
        <f t="shared" si="22"/>
        <v/>
      </c>
      <c r="D8755" s="45" t="str">
        <f t="shared" si="23"/>
        <v/>
      </c>
      <c r="E8755" s="45" t="str">
        <f t="shared" si="24"/>
        <v/>
      </c>
      <c r="F8755" s="59" t="str">
        <f t="shared" si="25"/>
        <v/>
      </c>
      <c r="G8755" s="59" t="str">
        <f t="shared" si="26"/>
        <v/>
      </c>
      <c r="H8755" s="59" t="str">
        <f t="shared" si="27"/>
        <v>28C00462</v>
      </c>
      <c r="I8755" s="59" t="str">
        <f>IF(OR($A8755="",$C8755="",$D8755="",$E8755="",$H8755=""),"",SUMIFS(DATA_GOC!$H:$H,DATA_GOC!$A:$A,"BOM",DATA_GOC!$D:$D,$H8755,DATA_GOC!$E:$E,$C8755,DATA_GOC!$F:$F,"Xuất nội bộ từ téc",DATA_GOC!$B:$B,"&gt;="&amp;$D8755,DATA_GOC!$B:$B,"&lt;="&amp;$E8755))</f>
        <v/>
      </c>
      <c r="J8755" s="59">
        <f t="shared" si="28"/>
        <v>0</v>
      </c>
      <c r="K8755" s="59">
        <f t="shared" si="29"/>
        <v>0</v>
      </c>
      <c r="L8755" s="59">
        <f t="shared" si="30"/>
        <v>0</v>
      </c>
      <c r="M8755" s="59">
        <f t="shared" si="31"/>
        <v>0</v>
      </c>
    </row>
    <row r="8756" ht="15.0" hidden="1" customHeight="1">
      <c r="A8756" s="59">
        <f t="shared" si="20"/>
        <v>143</v>
      </c>
      <c r="B8756" s="59" t="str">
        <f t="shared" si="21"/>
        <v/>
      </c>
      <c r="C8756" s="59" t="str">
        <f t="shared" si="22"/>
        <v/>
      </c>
      <c r="D8756" s="45" t="str">
        <f t="shared" si="23"/>
        <v/>
      </c>
      <c r="E8756" s="45" t="str">
        <f t="shared" si="24"/>
        <v/>
      </c>
      <c r="F8756" s="59" t="str">
        <f t="shared" si="25"/>
        <v/>
      </c>
      <c r="G8756" s="59" t="str">
        <f t="shared" si="26"/>
        <v/>
      </c>
      <c r="H8756" s="59" t="str">
        <f t="shared" si="27"/>
        <v>28C01165</v>
      </c>
      <c r="I8756" s="59" t="str">
        <f>IF(OR($A8756="",$C8756="",$D8756="",$E8756="",$H8756=""),"",SUMIFS(DATA_GOC!$H:$H,DATA_GOC!$A:$A,"BOM",DATA_GOC!$D:$D,$H8756,DATA_GOC!$E:$E,$C8756,DATA_GOC!$F:$F,"Xuất nội bộ từ téc",DATA_GOC!$B:$B,"&gt;="&amp;$D8756,DATA_GOC!$B:$B,"&lt;="&amp;$E8756))</f>
        <v/>
      </c>
      <c r="J8756" s="59">
        <f t="shared" si="28"/>
        <v>0</v>
      </c>
      <c r="K8756" s="59">
        <f t="shared" si="29"/>
        <v>0</v>
      </c>
      <c r="L8756" s="59">
        <f t="shared" si="30"/>
        <v>0</v>
      </c>
      <c r="M8756" s="59">
        <f t="shared" si="31"/>
        <v>0</v>
      </c>
    </row>
    <row r="8757" ht="15.0" hidden="1" customHeight="1">
      <c r="A8757" s="59">
        <f t="shared" si="20"/>
        <v>143</v>
      </c>
      <c r="B8757" s="59" t="str">
        <f t="shared" si="21"/>
        <v/>
      </c>
      <c r="C8757" s="59" t="str">
        <f t="shared" si="22"/>
        <v/>
      </c>
      <c r="D8757" s="45" t="str">
        <f t="shared" si="23"/>
        <v/>
      </c>
      <c r="E8757" s="45" t="str">
        <f t="shared" si="24"/>
        <v/>
      </c>
      <c r="F8757" s="59" t="str">
        <f t="shared" si="25"/>
        <v/>
      </c>
      <c r="G8757" s="59" t="str">
        <f t="shared" si="26"/>
        <v/>
      </c>
      <c r="H8757" s="59" t="str">
        <f t="shared" si="27"/>
        <v>28C01406</v>
      </c>
      <c r="I8757" s="59" t="str">
        <f>IF(OR($A8757="",$C8757="",$D8757="",$E8757="",$H8757=""),"",SUMIFS(DATA_GOC!$H:$H,DATA_GOC!$A:$A,"BOM",DATA_GOC!$D:$D,$H8757,DATA_GOC!$E:$E,$C8757,DATA_GOC!$F:$F,"Xuất nội bộ từ téc",DATA_GOC!$B:$B,"&gt;="&amp;$D8757,DATA_GOC!$B:$B,"&lt;="&amp;$E8757))</f>
        <v/>
      </c>
      <c r="J8757" s="59">
        <f t="shared" si="28"/>
        <v>0</v>
      </c>
      <c r="K8757" s="59">
        <f t="shared" si="29"/>
        <v>0</v>
      </c>
      <c r="L8757" s="59">
        <f t="shared" si="30"/>
        <v>0</v>
      </c>
      <c r="M8757" s="59">
        <f t="shared" si="31"/>
        <v>0</v>
      </c>
    </row>
    <row r="8758" ht="15.0" hidden="1" customHeight="1">
      <c r="A8758" s="59">
        <f t="shared" si="20"/>
        <v>143</v>
      </c>
      <c r="B8758" s="59" t="str">
        <f t="shared" si="21"/>
        <v/>
      </c>
      <c r="C8758" s="59" t="str">
        <f t="shared" si="22"/>
        <v/>
      </c>
      <c r="D8758" s="45" t="str">
        <f t="shared" si="23"/>
        <v/>
      </c>
      <c r="E8758" s="45" t="str">
        <f t="shared" si="24"/>
        <v/>
      </c>
      <c r="F8758" s="59" t="str">
        <f t="shared" si="25"/>
        <v/>
      </c>
      <c r="G8758" s="59" t="str">
        <f t="shared" si="26"/>
        <v/>
      </c>
      <c r="H8758" s="59" t="str">
        <f t="shared" si="27"/>
        <v>28C01544</v>
      </c>
      <c r="I8758" s="59" t="str">
        <f>IF(OR($A8758="",$C8758="",$D8758="",$E8758="",$H8758=""),"",SUMIFS(DATA_GOC!$H:$H,DATA_GOC!$A:$A,"BOM",DATA_GOC!$D:$D,$H8758,DATA_GOC!$E:$E,$C8758,DATA_GOC!$F:$F,"Xuất nội bộ từ téc",DATA_GOC!$B:$B,"&gt;="&amp;$D8758,DATA_GOC!$B:$B,"&lt;="&amp;$E8758))</f>
        <v/>
      </c>
      <c r="J8758" s="59">
        <f t="shared" si="28"/>
        <v>0</v>
      </c>
      <c r="K8758" s="59">
        <f t="shared" si="29"/>
        <v>0</v>
      </c>
      <c r="L8758" s="59">
        <f t="shared" si="30"/>
        <v>0</v>
      </c>
      <c r="M8758" s="59">
        <f t="shared" si="31"/>
        <v>0</v>
      </c>
    </row>
    <row r="8759" ht="15.0" hidden="1" customHeight="1">
      <c r="A8759" s="59">
        <f t="shared" si="20"/>
        <v>143</v>
      </c>
      <c r="B8759" s="59" t="str">
        <f t="shared" si="21"/>
        <v/>
      </c>
      <c r="C8759" s="59" t="str">
        <f t="shared" si="22"/>
        <v/>
      </c>
      <c r="D8759" s="45" t="str">
        <f t="shared" si="23"/>
        <v/>
      </c>
      <c r="E8759" s="45" t="str">
        <f t="shared" si="24"/>
        <v/>
      </c>
      <c r="F8759" s="59" t="str">
        <f t="shared" si="25"/>
        <v/>
      </c>
      <c r="G8759" s="59" t="str">
        <f t="shared" si="26"/>
        <v/>
      </c>
      <c r="H8759" s="59" t="str">
        <f t="shared" si="27"/>
        <v>28C01622</v>
      </c>
      <c r="I8759" s="59" t="str">
        <f>IF(OR($A8759="",$C8759="",$D8759="",$E8759="",$H8759=""),"",SUMIFS(DATA_GOC!$H:$H,DATA_GOC!$A:$A,"BOM",DATA_GOC!$D:$D,$H8759,DATA_GOC!$E:$E,$C8759,DATA_GOC!$F:$F,"Xuất nội bộ từ téc",DATA_GOC!$B:$B,"&gt;="&amp;$D8759,DATA_GOC!$B:$B,"&lt;="&amp;$E8759))</f>
        <v/>
      </c>
      <c r="J8759" s="59">
        <f t="shared" si="28"/>
        <v>0</v>
      </c>
      <c r="K8759" s="59">
        <f t="shared" si="29"/>
        <v>0</v>
      </c>
      <c r="L8759" s="59">
        <f t="shared" si="30"/>
        <v>0</v>
      </c>
      <c r="M8759" s="59">
        <f t="shared" si="31"/>
        <v>0</v>
      </c>
    </row>
    <row r="8760" ht="15.0" hidden="1" customHeight="1">
      <c r="A8760" s="59">
        <f t="shared" si="20"/>
        <v>143</v>
      </c>
      <c r="B8760" s="59" t="str">
        <f t="shared" si="21"/>
        <v/>
      </c>
      <c r="C8760" s="59" t="str">
        <f t="shared" si="22"/>
        <v/>
      </c>
      <c r="D8760" s="45" t="str">
        <f t="shared" si="23"/>
        <v/>
      </c>
      <c r="E8760" s="45" t="str">
        <f t="shared" si="24"/>
        <v/>
      </c>
      <c r="F8760" s="59" t="str">
        <f t="shared" si="25"/>
        <v/>
      </c>
      <c r="G8760" s="59" t="str">
        <f t="shared" si="26"/>
        <v/>
      </c>
      <c r="H8760" s="59" t="str">
        <f t="shared" si="27"/>
        <v>28C01647</v>
      </c>
      <c r="I8760" s="59" t="str">
        <f>IF(OR($A8760="",$C8760="",$D8760="",$E8760="",$H8760=""),"",SUMIFS(DATA_GOC!$H:$H,DATA_GOC!$A:$A,"BOM",DATA_GOC!$D:$D,$H8760,DATA_GOC!$E:$E,$C8760,DATA_GOC!$F:$F,"Xuất nội bộ từ téc",DATA_GOC!$B:$B,"&gt;="&amp;$D8760,DATA_GOC!$B:$B,"&lt;="&amp;$E8760))</f>
        <v/>
      </c>
      <c r="J8760" s="59">
        <f t="shared" si="28"/>
        <v>0</v>
      </c>
      <c r="K8760" s="59">
        <f t="shared" si="29"/>
        <v>0</v>
      </c>
      <c r="L8760" s="59">
        <f t="shared" si="30"/>
        <v>0</v>
      </c>
      <c r="M8760" s="59">
        <f t="shared" si="31"/>
        <v>0</v>
      </c>
    </row>
    <row r="8761" ht="15.0" hidden="1" customHeight="1">
      <c r="A8761" s="59">
        <f t="shared" si="20"/>
        <v>143</v>
      </c>
      <c r="B8761" s="59" t="str">
        <f t="shared" si="21"/>
        <v/>
      </c>
      <c r="C8761" s="59" t="str">
        <f t="shared" si="22"/>
        <v/>
      </c>
      <c r="D8761" s="45" t="str">
        <f t="shared" si="23"/>
        <v/>
      </c>
      <c r="E8761" s="45" t="str">
        <f t="shared" si="24"/>
        <v/>
      </c>
      <c r="F8761" s="59" t="str">
        <f t="shared" si="25"/>
        <v/>
      </c>
      <c r="G8761" s="59" t="str">
        <f t="shared" si="26"/>
        <v/>
      </c>
      <c r="H8761" s="59" t="str">
        <f t="shared" si="27"/>
        <v>28C01731</v>
      </c>
      <c r="I8761" s="59" t="str">
        <f>IF(OR($A8761="",$C8761="",$D8761="",$E8761="",$H8761=""),"",SUMIFS(DATA_GOC!$H:$H,DATA_GOC!$A:$A,"BOM",DATA_GOC!$D:$D,$H8761,DATA_GOC!$E:$E,$C8761,DATA_GOC!$F:$F,"Xuất nội bộ từ téc",DATA_GOC!$B:$B,"&gt;="&amp;$D8761,DATA_GOC!$B:$B,"&lt;="&amp;$E8761))</f>
        <v/>
      </c>
      <c r="J8761" s="59">
        <f t="shared" si="28"/>
        <v>0</v>
      </c>
      <c r="K8761" s="59">
        <f t="shared" si="29"/>
        <v>0</v>
      </c>
      <c r="L8761" s="59">
        <f t="shared" si="30"/>
        <v>0</v>
      </c>
      <c r="M8761" s="59">
        <f t="shared" si="31"/>
        <v>0</v>
      </c>
    </row>
    <row r="8762" ht="15.0" hidden="1" customHeight="1">
      <c r="A8762" s="59">
        <f t="shared" si="20"/>
        <v>143</v>
      </c>
      <c r="B8762" s="59" t="str">
        <f t="shared" si="21"/>
        <v/>
      </c>
      <c r="C8762" s="59" t="str">
        <f t="shared" si="22"/>
        <v/>
      </c>
      <c r="D8762" s="45" t="str">
        <f t="shared" si="23"/>
        <v/>
      </c>
      <c r="E8762" s="45" t="str">
        <f t="shared" si="24"/>
        <v/>
      </c>
      <c r="F8762" s="59" t="str">
        <f t="shared" si="25"/>
        <v/>
      </c>
      <c r="G8762" s="59" t="str">
        <f t="shared" si="26"/>
        <v/>
      </c>
      <c r="H8762" s="59" t="str">
        <f t="shared" si="27"/>
        <v>28C01743</v>
      </c>
      <c r="I8762" s="59" t="str">
        <f>IF(OR($A8762="",$C8762="",$D8762="",$E8762="",$H8762=""),"",SUMIFS(DATA_GOC!$H:$H,DATA_GOC!$A:$A,"BOM",DATA_GOC!$D:$D,$H8762,DATA_GOC!$E:$E,$C8762,DATA_GOC!$F:$F,"Xuất nội bộ từ téc",DATA_GOC!$B:$B,"&gt;="&amp;$D8762,DATA_GOC!$B:$B,"&lt;="&amp;$E8762))</f>
        <v/>
      </c>
      <c r="J8762" s="59">
        <f t="shared" si="28"/>
        <v>0</v>
      </c>
      <c r="K8762" s="59">
        <f t="shared" si="29"/>
        <v>0</v>
      </c>
      <c r="L8762" s="59">
        <f t="shared" si="30"/>
        <v>0</v>
      </c>
      <c r="M8762" s="59">
        <f t="shared" si="31"/>
        <v>0</v>
      </c>
    </row>
    <row r="8763" ht="15.0" hidden="1" customHeight="1">
      <c r="A8763" s="59">
        <f t="shared" si="20"/>
        <v>143</v>
      </c>
      <c r="B8763" s="59" t="str">
        <f t="shared" si="21"/>
        <v/>
      </c>
      <c r="C8763" s="59" t="str">
        <f t="shared" si="22"/>
        <v/>
      </c>
      <c r="D8763" s="45" t="str">
        <f t="shared" si="23"/>
        <v/>
      </c>
      <c r="E8763" s="45" t="str">
        <f t="shared" si="24"/>
        <v/>
      </c>
      <c r="F8763" s="59" t="str">
        <f t="shared" si="25"/>
        <v/>
      </c>
      <c r="G8763" s="59" t="str">
        <f t="shared" si="26"/>
        <v/>
      </c>
      <c r="H8763" s="59" t="str">
        <f t="shared" si="27"/>
        <v>28C02106</v>
      </c>
      <c r="I8763" s="59" t="str">
        <f>IF(OR($A8763="",$C8763="",$D8763="",$E8763="",$H8763=""),"",SUMIFS(DATA_GOC!$H:$H,DATA_GOC!$A:$A,"BOM",DATA_GOC!$D:$D,$H8763,DATA_GOC!$E:$E,$C8763,DATA_GOC!$F:$F,"Xuất nội bộ từ téc",DATA_GOC!$B:$B,"&gt;="&amp;$D8763,DATA_GOC!$B:$B,"&lt;="&amp;$E8763))</f>
        <v/>
      </c>
      <c r="J8763" s="59">
        <f t="shared" si="28"/>
        <v>0</v>
      </c>
      <c r="K8763" s="59">
        <f t="shared" si="29"/>
        <v>0</v>
      </c>
      <c r="L8763" s="59">
        <f t="shared" si="30"/>
        <v>0</v>
      </c>
      <c r="M8763" s="59">
        <f t="shared" si="31"/>
        <v>0</v>
      </c>
    </row>
    <row r="8764" ht="15.0" hidden="1" customHeight="1">
      <c r="A8764" s="59">
        <f t="shared" si="20"/>
        <v>143</v>
      </c>
      <c r="B8764" s="59" t="str">
        <f t="shared" si="21"/>
        <v/>
      </c>
      <c r="C8764" s="59" t="str">
        <f t="shared" si="22"/>
        <v/>
      </c>
      <c r="D8764" s="45" t="str">
        <f t="shared" si="23"/>
        <v/>
      </c>
      <c r="E8764" s="45" t="str">
        <f t="shared" si="24"/>
        <v/>
      </c>
      <c r="F8764" s="59" t="str">
        <f t="shared" si="25"/>
        <v/>
      </c>
      <c r="G8764" s="59" t="str">
        <f t="shared" si="26"/>
        <v/>
      </c>
      <c r="H8764" s="59" t="str">
        <f t="shared" si="27"/>
        <v>28C02410</v>
      </c>
      <c r="I8764" s="59" t="str">
        <f>IF(OR($A8764="",$C8764="",$D8764="",$E8764="",$H8764=""),"",SUMIFS(DATA_GOC!$H:$H,DATA_GOC!$A:$A,"BOM",DATA_GOC!$D:$D,$H8764,DATA_GOC!$E:$E,$C8764,DATA_GOC!$F:$F,"Xuất nội bộ từ téc",DATA_GOC!$B:$B,"&gt;="&amp;$D8764,DATA_GOC!$B:$B,"&lt;="&amp;$E8764))</f>
        <v/>
      </c>
      <c r="J8764" s="59">
        <f t="shared" si="28"/>
        <v>0</v>
      </c>
      <c r="K8764" s="59">
        <f t="shared" si="29"/>
        <v>0</v>
      </c>
      <c r="L8764" s="59">
        <f t="shared" si="30"/>
        <v>0</v>
      </c>
      <c r="M8764" s="59">
        <f t="shared" si="31"/>
        <v>0</v>
      </c>
    </row>
    <row r="8765" ht="15.0" hidden="1" customHeight="1">
      <c r="A8765" s="59">
        <f t="shared" si="20"/>
        <v>143</v>
      </c>
      <c r="B8765" s="59" t="str">
        <f t="shared" si="21"/>
        <v/>
      </c>
      <c r="C8765" s="59" t="str">
        <f t="shared" si="22"/>
        <v/>
      </c>
      <c r="D8765" s="45" t="str">
        <f t="shared" si="23"/>
        <v/>
      </c>
      <c r="E8765" s="45" t="str">
        <f t="shared" si="24"/>
        <v/>
      </c>
      <c r="F8765" s="59" t="str">
        <f t="shared" si="25"/>
        <v/>
      </c>
      <c r="G8765" s="59" t="str">
        <f t="shared" si="26"/>
        <v/>
      </c>
      <c r="H8765" s="59" t="str">
        <f t="shared" si="27"/>
        <v>28C02545</v>
      </c>
      <c r="I8765" s="59" t="str">
        <f>IF(OR($A8765="",$C8765="",$D8765="",$E8765="",$H8765=""),"",SUMIFS(DATA_GOC!$H:$H,DATA_GOC!$A:$A,"BOM",DATA_GOC!$D:$D,$H8765,DATA_GOC!$E:$E,$C8765,DATA_GOC!$F:$F,"Xuất nội bộ từ téc",DATA_GOC!$B:$B,"&gt;="&amp;$D8765,DATA_GOC!$B:$B,"&lt;="&amp;$E8765))</f>
        <v/>
      </c>
      <c r="J8765" s="59">
        <f t="shared" si="28"/>
        <v>0</v>
      </c>
      <c r="K8765" s="59">
        <f t="shared" si="29"/>
        <v>0</v>
      </c>
      <c r="L8765" s="59">
        <f t="shared" si="30"/>
        <v>0</v>
      </c>
      <c r="M8765" s="59">
        <f t="shared" si="31"/>
        <v>0</v>
      </c>
    </row>
    <row r="8766" ht="15.0" hidden="1" customHeight="1">
      <c r="A8766" s="59">
        <f t="shared" si="20"/>
        <v>143</v>
      </c>
      <c r="B8766" s="59" t="str">
        <f t="shared" si="21"/>
        <v/>
      </c>
      <c r="C8766" s="59" t="str">
        <f t="shared" si="22"/>
        <v/>
      </c>
      <c r="D8766" s="45" t="str">
        <f t="shared" si="23"/>
        <v/>
      </c>
      <c r="E8766" s="45" t="str">
        <f t="shared" si="24"/>
        <v/>
      </c>
      <c r="F8766" s="59" t="str">
        <f t="shared" si="25"/>
        <v/>
      </c>
      <c r="G8766" s="59" t="str">
        <f t="shared" si="26"/>
        <v/>
      </c>
      <c r="H8766" s="59" t="str">
        <f t="shared" si="27"/>
        <v>28C02574</v>
      </c>
      <c r="I8766" s="59" t="str">
        <f>IF(OR($A8766="",$C8766="",$D8766="",$E8766="",$H8766=""),"",SUMIFS(DATA_GOC!$H:$H,DATA_GOC!$A:$A,"BOM",DATA_GOC!$D:$D,$H8766,DATA_GOC!$E:$E,$C8766,DATA_GOC!$F:$F,"Xuất nội bộ từ téc",DATA_GOC!$B:$B,"&gt;="&amp;$D8766,DATA_GOC!$B:$B,"&lt;="&amp;$E8766))</f>
        <v/>
      </c>
      <c r="J8766" s="59">
        <f t="shared" si="28"/>
        <v>0</v>
      </c>
      <c r="K8766" s="59">
        <f t="shared" si="29"/>
        <v>0</v>
      </c>
      <c r="L8766" s="59">
        <f t="shared" si="30"/>
        <v>0</v>
      </c>
      <c r="M8766" s="59">
        <f t="shared" si="31"/>
        <v>0</v>
      </c>
    </row>
    <row r="8767" ht="15.0" hidden="1" customHeight="1">
      <c r="A8767" s="59">
        <f t="shared" si="20"/>
        <v>143</v>
      </c>
      <c r="B8767" s="59" t="str">
        <f t="shared" si="21"/>
        <v/>
      </c>
      <c r="C8767" s="59" t="str">
        <f t="shared" si="22"/>
        <v/>
      </c>
      <c r="D8767" s="45" t="str">
        <f t="shared" si="23"/>
        <v/>
      </c>
      <c r="E8767" s="45" t="str">
        <f t="shared" si="24"/>
        <v/>
      </c>
      <c r="F8767" s="59" t="str">
        <f t="shared" si="25"/>
        <v/>
      </c>
      <c r="G8767" s="59" t="str">
        <f t="shared" si="26"/>
        <v/>
      </c>
      <c r="H8767" s="59" t="str">
        <f t="shared" si="27"/>
        <v>28C02770</v>
      </c>
      <c r="I8767" s="59" t="str">
        <f>IF(OR($A8767="",$C8767="",$D8767="",$E8767="",$H8767=""),"",SUMIFS(DATA_GOC!$H:$H,DATA_GOC!$A:$A,"BOM",DATA_GOC!$D:$D,$H8767,DATA_GOC!$E:$E,$C8767,DATA_GOC!$F:$F,"Xuất nội bộ từ téc",DATA_GOC!$B:$B,"&gt;="&amp;$D8767,DATA_GOC!$B:$B,"&lt;="&amp;$E8767))</f>
        <v/>
      </c>
      <c r="J8767" s="59">
        <f t="shared" si="28"/>
        <v>0</v>
      </c>
      <c r="K8767" s="59">
        <f t="shared" si="29"/>
        <v>0</v>
      </c>
      <c r="L8767" s="59">
        <f t="shared" si="30"/>
        <v>0</v>
      </c>
      <c r="M8767" s="59">
        <f t="shared" si="31"/>
        <v>0</v>
      </c>
    </row>
    <row r="8768" ht="15.0" hidden="1" customHeight="1">
      <c r="A8768" s="59">
        <f t="shared" si="20"/>
        <v>143</v>
      </c>
      <c r="B8768" s="59" t="str">
        <f t="shared" si="21"/>
        <v/>
      </c>
      <c r="C8768" s="59" t="str">
        <f t="shared" si="22"/>
        <v/>
      </c>
      <c r="D8768" s="45" t="str">
        <f t="shared" si="23"/>
        <v/>
      </c>
      <c r="E8768" s="45" t="str">
        <f t="shared" si="24"/>
        <v/>
      </c>
      <c r="F8768" s="59" t="str">
        <f t="shared" si="25"/>
        <v/>
      </c>
      <c r="G8768" s="59" t="str">
        <f t="shared" si="26"/>
        <v/>
      </c>
      <c r="H8768" s="59" t="str">
        <f t="shared" si="27"/>
        <v>28C02986</v>
      </c>
      <c r="I8768" s="59" t="str">
        <f>IF(OR($A8768="",$C8768="",$D8768="",$E8768="",$H8768=""),"",SUMIFS(DATA_GOC!$H:$H,DATA_GOC!$A:$A,"BOM",DATA_GOC!$D:$D,$H8768,DATA_GOC!$E:$E,$C8768,DATA_GOC!$F:$F,"Xuất nội bộ từ téc",DATA_GOC!$B:$B,"&gt;="&amp;$D8768,DATA_GOC!$B:$B,"&lt;="&amp;$E8768))</f>
        <v/>
      </c>
      <c r="J8768" s="59">
        <f t="shared" si="28"/>
        <v>0</v>
      </c>
      <c r="K8768" s="59">
        <f t="shared" si="29"/>
        <v>0</v>
      </c>
      <c r="L8768" s="59">
        <f t="shared" si="30"/>
        <v>0</v>
      </c>
      <c r="M8768" s="59">
        <f t="shared" si="31"/>
        <v>0</v>
      </c>
    </row>
    <row r="8769" ht="15.0" hidden="1" customHeight="1">
      <c r="A8769" s="59">
        <f t="shared" si="20"/>
        <v>143</v>
      </c>
      <c r="B8769" s="59" t="str">
        <f t="shared" si="21"/>
        <v/>
      </c>
      <c r="C8769" s="59" t="str">
        <f t="shared" si="22"/>
        <v/>
      </c>
      <c r="D8769" s="45" t="str">
        <f t="shared" si="23"/>
        <v/>
      </c>
      <c r="E8769" s="45" t="str">
        <f t="shared" si="24"/>
        <v/>
      </c>
      <c r="F8769" s="59" t="str">
        <f t="shared" si="25"/>
        <v/>
      </c>
      <c r="G8769" s="59" t="str">
        <f t="shared" si="26"/>
        <v/>
      </c>
      <c r="H8769" s="59" t="str">
        <f t="shared" si="27"/>
        <v>28C03261</v>
      </c>
      <c r="I8769" s="59" t="str">
        <f>IF(OR($A8769="",$C8769="",$D8769="",$E8769="",$H8769=""),"",SUMIFS(DATA_GOC!$H:$H,DATA_GOC!$A:$A,"BOM",DATA_GOC!$D:$D,$H8769,DATA_GOC!$E:$E,$C8769,DATA_GOC!$F:$F,"Xuất nội bộ từ téc",DATA_GOC!$B:$B,"&gt;="&amp;$D8769,DATA_GOC!$B:$B,"&lt;="&amp;$E8769))</f>
        <v/>
      </c>
      <c r="J8769" s="59">
        <f t="shared" si="28"/>
        <v>0</v>
      </c>
      <c r="K8769" s="59">
        <f t="shared" si="29"/>
        <v>0</v>
      </c>
      <c r="L8769" s="59">
        <f t="shared" si="30"/>
        <v>0</v>
      </c>
      <c r="M8769" s="59">
        <f t="shared" si="31"/>
        <v>0</v>
      </c>
    </row>
    <row r="8770" ht="15.0" hidden="1" customHeight="1">
      <c r="A8770" s="59">
        <f t="shared" si="20"/>
        <v>143</v>
      </c>
      <c r="B8770" s="59" t="str">
        <f t="shared" si="21"/>
        <v/>
      </c>
      <c r="C8770" s="59" t="str">
        <f t="shared" si="22"/>
        <v/>
      </c>
      <c r="D8770" s="45" t="str">
        <f t="shared" si="23"/>
        <v/>
      </c>
      <c r="E8770" s="45" t="str">
        <f t="shared" si="24"/>
        <v/>
      </c>
      <c r="F8770" s="59" t="str">
        <f t="shared" si="25"/>
        <v/>
      </c>
      <c r="G8770" s="59" t="str">
        <f t="shared" si="26"/>
        <v/>
      </c>
      <c r="H8770" s="59" t="str">
        <f t="shared" si="27"/>
        <v>28C03323</v>
      </c>
      <c r="I8770" s="59" t="str">
        <f>IF(OR($A8770="",$C8770="",$D8770="",$E8770="",$H8770=""),"",SUMIFS(DATA_GOC!$H:$H,DATA_GOC!$A:$A,"BOM",DATA_GOC!$D:$D,$H8770,DATA_GOC!$E:$E,$C8770,DATA_GOC!$F:$F,"Xuất nội bộ từ téc",DATA_GOC!$B:$B,"&gt;="&amp;$D8770,DATA_GOC!$B:$B,"&lt;="&amp;$E8770))</f>
        <v/>
      </c>
      <c r="J8770" s="59">
        <f t="shared" si="28"/>
        <v>0</v>
      </c>
      <c r="K8770" s="59">
        <f t="shared" si="29"/>
        <v>0</v>
      </c>
      <c r="L8770" s="59">
        <f t="shared" si="30"/>
        <v>0</v>
      </c>
      <c r="M8770" s="59">
        <f t="shared" si="31"/>
        <v>0</v>
      </c>
    </row>
    <row r="8771" ht="15.0" hidden="1" customHeight="1">
      <c r="A8771" s="59">
        <f t="shared" si="20"/>
        <v>143</v>
      </c>
      <c r="B8771" s="59" t="str">
        <f t="shared" si="21"/>
        <v/>
      </c>
      <c r="C8771" s="59" t="str">
        <f t="shared" si="22"/>
        <v/>
      </c>
      <c r="D8771" s="45" t="str">
        <f t="shared" si="23"/>
        <v/>
      </c>
      <c r="E8771" s="45" t="str">
        <f t="shared" si="24"/>
        <v/>
      </c>
      <c r="F8771" s="59" t="str">
        <f t="shared" si="25"/>
        <v/>
      </c>
      <c r="G8771" s="59" t="str">
        <f t="shared" si="26"/>
        <v/>
      </c>
      <c r="H8771" s="59" t="str">
        <f t="shared" si="27"/>
        <v>28C03385</v>
      </c>
      <c r="I8771" s="59" t="str">
        <f>IF(OR($A8771="",$C8771="",$D8771="",$E8771="",$H8771=""),"",SUMIFS(DATA_GOC!$H:$H,DATA_GOC!$A:$A,"BOM",DATA_GOC!$D:$D,$H8771,DATA_GOC!$E:$E,$C8771,DATA_GOC!$F:$F,"Xuất nội bộ từ téc",DATA_GOC!$B:$B,"&gt;="&amp;$D8771,DATA_GOC!$B:$B,"&lt;="&amp;$E8771))</f>
        <v/>
      </c>
      <c r="J8771" s="59">
        <f t="shared" si="28"/>
        <v>0</v>
      </c>
      <c r="K8771" s="59">
        <f t="shared" si="29"/>
        <v>0</v>
      </c>
      <c r="L8771" s="59">
        <f t="shared" si="30"/>
        <v>0</v>
      </c>
      <c r="M8771" s="59">
        <f t="shared" si="31"/>
        <v>0</v>
      </c>
    </row>
    <row r="8772" ht="15.0" hidden="1" customHeight="1">
      <c r="A8772" s="59">
        <f t="shared" si="20"/>
        <v>143</v>
      </c>
      <c r="B8772" s="59" t="str">
        <f t="shared" si="21"/>
        <v/>
      </c>
      <c r="C8772" s="59" t="str">
        <f t="shared" si="22"/>
        <v/>
      </c>
      <c r="D8772" s="45" t="str">
        <f t="shared" si="23"/>
        <v/>
      </c>
      <c r="E8772" s="45" t="str">
        <f t="shared" si="24"/>
        <v/>
      </c>
      <c r="F8772" s="59" t="str">
        <f t="shared" si="25"/>
        <v/>
      </c>
      <c r="G8772" s="59" t="str">
        <f t="shared" si="26"/>
        <v/>
      </c>
      <c r="H8772" s="59" t="str">
        <f t="shared" si="27"/>
        <v>28C03652</v>
      </c>
      <c r="I8772" s="59" t="str">
        <f>IF(OR($A8772="",$C8772="",$D8772="",$E8772="",$H8772=""),"",SUMIFS(DATA_GOC!$H:$H,DATA_GOC!$A:$A,"BOM",DATA_GOC!$D:$D,$H8772,DATA_GOC!$E:$E,$C8772,DATA_GOC!$F:$F,"Xuất nội bộ từ téc",DATA_GOC!$B:$B,"&gt;="&amp;$D8772,DATA_GOC!$B:$B,"&lt;="&amp;$E8772))</f>
        <v/>
      </c>
      <c r="J8772" s="59">
        <f t="shared" si="28"/>
        <v>0</v>
      </c>
      <c r="K8772" s="59">
        <f t="shared" si="29"/>
        <v>0</v>
      </c>
      <c r="L8772" s="59">
        <f t="shared" si="30"/>
        <v>0</v>
      </c>
      <c r="M8772" s="59">
        <f t="shared" si="31"/>
        <v>0</v>
      </c>
    </row>
    <row r="8773" ht="15.0" hidden="1" customHeight="1">
      <c r="A8773" s="59">
        <f t="shared" si="20"/>
        <v>143</v>
      </c>
      <c r="B8773" s="59" t="str">
        <f t="shared" si="21"/>
        <v/>
      </c>
      <c r="C8773" s="59" t="str">
        <f t="shared" si="22"/>
        <v/>
      </c>
      <c r="D8773" s="45" t="str">
        <f t="shared" si="23"/>
        <v/>
      </c>
      <c r="E8773" s="45" t="str">
        <f t="shared" si="24"/>
        <v/>
      </c>
      <c r="F8773" s="59" t="str">
        <f t="shared" si="25"/>
        <v/>
      </c>
      <c r="G8773" s="59" t="str">
        <f t="shared" si="26"/>
        <v/>
      </c>
      <c r="H8773" s="59" t="str">
        <f t="shared" si="27"/>
        <v>28C03695</v>
      </c>
      <c r="I8773" s="59" t="str">
        <f>IF(OR($A8773="",$C8773="",$D8773="",$E8773="",$H8773=""),"",SUMIFS(DATA_GOC!$H:$H,DATA_GOC!$A:$A,"BOM",DATA_GOC!$D:$D,$H8773,DATA_GOC!$E:$E,$C8773,DATA_GOC!$F:$F,"Xuất nội bộ từ téc",DATA_GOC!$B:$B,"&gt;="&amp;$D8773,DATA_GOC!$B:$B,"&lt;="&amp;$E8773))</f>
        <v/>
      </c>
      <c r="J8773" s="59">
        <f t="shared" si="28"/>
        <v>0</v>
      </c>
      <c r="K8773" s="59">
        <f t="shared" si="29"/>
        <v>0</v>
      </c>
      <c r="L8773" s="59">
        <f t="shared" si="30"/>
        <v>0</v>
      </c>
      <c r="M8773" s="59">
        <f t="shared" si="31"/>
        <v>0</v>
      </c>
    </row>
    <row r="8774" ht="15.0" hidden="1" customHeight="1">
      <c r="A8774" s="59">
        <f t="shared" si="20"/>
        <v>143</v>
      </c>
      <c r="B8774" s="59" t="str">
        <f t="shared" si="21"/>
        <v/>
      </c>
      <c r="C8774" s="59" t="str">
        <f t="shared" si="22"/>
        <v/>
      </c>
      <c r="D8774" s="45" t="str">
        <f t="shared" si="23"/>
        <v/>
      </c>
      <c r="E8774" s="45" t="str">
        <f t="shared" si="24"/>
        <v/>
      </c>
      <c r="F8774" s="59" t="str">
        <f t="shared" si="25"/>
        <v/>
      </c>
      <c r="G8774" s="59" t="str">
        <f t="shared" si="26"/>
        <v/>
      </c>
      <c r="H8774" s="59" t="str">
        <f t="shared" si="27"/>
        <v>28C03927</v>
      </c>
      <c r="I8774" s="59" t="str">
        <f>IF(OR($A8774="",$C8774="",$D8774="",$E8774="",$H8774=""),"",SUMIFS(DATA_GOC!$H:$H,DATA_GOC!$A:$A,"BOM",DATA_GOC!$D:$D,$H8774,DATA_GOC!$E:$E,$C8774,DATA_GOC!$F:$F,"Xuất nội bộ từ téc",DATA_GOC!$B:$B,"&gt;="&amp;$D8774,DATA_GOC!$B:$B,"&lt;="&amp;$E8774))</f>
        <v/>
      </c>
      <c r="J8774" s="59">
        <f t="shared" si="28"/>
        <v>0</v>
      </c>
      <c r="K8774" s="59">
        <f t="shared" si="29"/>
        <v>0</v>
      </c>
      <c r="L8774" s="59">
        <f t="shared" si="30"/>
        <v>0</v>
      </c>
      <c r="M8774" s="59">
        <f t="shared" si="31"/>
        <v>0</v>
      </c>
    </row>
    <row r="8775" ht="15.0" hidden="1" customHeight="1">
      <c r="A8775" s="59">
        <f t="shared" si="20"/>
        <v>143</v>
      </c>
      <c r="B8775" s="59" t="str">
        <f t="shared" si="21"/>
        <v/>
      </c>
      <c r="C8775" s="59" t="str">
        <f t="shared" si="22"/>
        <v/>
      </c>
      <c r="D8775" s="45" t="str">
        <f t="shared" si="23"/>
        <v/>
      </c>
      <c r="E8775" s="45" t="str">
        <f t="shared" si="24"/>
        <v/>
      </c>
      <c r="F8775" s="59" t="str">
        <f t="shared" si="25"/>
        <v/>
      </c>
      <c r="G8775" s="59" t="str">
        <f t="shared" si="26"/>
        <v/>
      </c>
      <c r="H8775" s="59" t="str">
        <f t="shared" si="27"/>
        <v>28C04509</v>
      </c>
      <c r="I8775" s="59" t="str">
        <f>IF(OR($A8775="",$C8775="",$D8775="",$E8775="",$H8775=""),"",SUMIFS(DATA_GOC!$H:$H,DATA_GOC!$A:$A,"BOM",DATA_GOC!$D:$D,$H8775,DATA_GOC!$E:$E,$C8775,DATA_GOC!$F:$F,"Xuất nội bộ từ téc",DATA_GOC!$B:$B,"&gt;="&amp;$D8775,DATA_GOC!$B:$B,"&lt;="&amp;$E8775))</f>
        <v/>
      </c>
      <c r="J8775" s="59">
        <f t="shared" si="28"/>
        <v>0</v>
      </c>
      <c r="K8775" s="59">
        <f t="shared" si="29"/>
        <v>0</v>
      </c>
      <c r="L8775" s="59">
        <f t="shared" si="30"/>
        <v>0</v>
      </c>
      <c r="M8775" s="59">
        <f t="shared" si="31"/>
        <v>0</v>
      </c>
    </row>
    <row r="8776" ht="15.0" hidden="1" customHeight="1">
      <c r="A8776" s="59">
        <f t="shared" si="20"/>
        <v>143</v>
      </c>
      <c r="B8776" s="59" t="str">
        <f t="shared" si="21"/>
        <v/>
      </c>
      <c r="C8776" s="59" t="str">
        <f t="shared" si="22"/>
        <v/>
      </c>
      <c r="D8776" s="45" t="str">
        <f t="shared" si="23"/>
        <v/>
      </c>
      <c r="E8776" s="45" t="str">
        <f t="shared" si="24"/>
        <v/>
      </c>
      <c r="F8776" s="59" t="str">
        <f t="shared" si="25"/>
        <v/>
      </c>
      <c r="G8776" s="59" t="str">
        <f t="shared" si="26"/>
        <v/>
      </c>
      <c r="H8776" s="59" t="str">
        <f t="shared" si="27"/>
        <v>28C04536</v>
      </c>
      <c r="I8776" s="59" t="str">
        <f>IF(OR($A8776="",$C8776="",$D8776="",$E8776="",$H8776=""),"",SUMIFS(DATA_GOC!$H:$H,DATA_GOC!$A:$A,"BOM",DATA_GOC!$D:$D,$H8776,DATA_GOC!$E:$E,$C8776,DATA_GOC!$F:$F,"Xuất nội bộ từ téc",DATA_GOC!$B:$B,"&gt;="&amp;$D8776,DATA_GOC!$B:$B,"&lt;="&amp;$E8776))</f>
        <v/>
      </c>
      <c r="J8776" s="59">
        <f t="shared" si="28"/>
        <v>0</v>
      </c>
      <c r="K8776" s="59">
        <f t="shared" si="29"/>
        <v>0</v>
      </c>
      <c r="L8776" s="59">
        <f t="shared" si="30"/>
        <v>0</v>
      </c>
      <c r="M8776" s="59">
        <f t="shared" si="31"/>
        <v>0</v>
      </c>
    </row>
    <row r="8777" ht="15.0" hidden="1" customHeight="1">
      <c r="A8777" s="59">
        <f t="shared" si="20"/>
        <v>143</v>
      </c>
      <c r="B8777" s="59" t="str">
        <f t="shared" si="21"/>
        <v/>
      </c>
      <c r="C8777" s="59" t="str">
        <f t="shared" si="22"/>
        <v/>
      </c>
      <c r="D8777" s="45" t="str">
        <f t="shared" si="23"/>
        <v/>
      </c>
      <c r="E8777" s="45" t="str">
        <f t="shared" si="24"/>
        <v/>
      </c>
      <c r="F8777" s="59" t="str">
        <f t="shared" si="25"/>
        <v/>
      </c>
      <c r="G8777" s="59" t="str">
        <f t="shared" si="26"/>
        <v/>
      </c>
      <c r="H8777" s="59" t="str">
        <f t="shared" si="27"/>
        <v>28C04576</v>
      </c>
      <c r="I8777" s="59" t="str">
        <f>IF(OR($A8777="",$C8777="",$D8777="",$E8777="",$H8777=""),"",SUMIFS(DATA_GOC!$H:$H,DATA_GOC!$A:$A,"BOM",DATA_GOC!$D:$D,$H8777,DATA_GOC!$E:$E,$C8777,DATA_GOC!$F:$F,"Xuất nội bộ từ téc",DATA_GOC!$B:$B,"&gt;="&amp;$D8777,DATA_GOC!$B:$B,"&lt;="&amp;$E8777))</f>
        <v/>
      </c>
      <c r="J8777" s="59">
        <f t="shared" si="28"/>
        <v>0</v>
      </c>
      <c r="K8777" s="59">
        <f t="shared" si="29"/>
        <v>0</v>
      </c>
      <c r="L8777" s="59">
        <f t="shared" si="30"/>
        <v>0</v>
      </c>
      <c r="M8777" s="59">
        <f t="shared" si="31"/>
        <v>0</v>
      </c>
    </row>
    <row r="8778" ht="15.0" hidden="1" customHeight="1">
      <c r="A8778" s="59">
        <f t="shared" si="20"/>
        <v>143</v>
      </c>
      <c r="B8778" s="59" t="str">
        <f t="shared" si="21"/>
        <v/>
      </c>
      <c r="C8778" s="59" t="str">
        <f t="shared" si="22"/>
        <v/>
      </c>
      <c r="D8778" s="45" t="str">
        <f t="shared" si="23"/>
        <v/>
      </c>
      <c r="E8778" s="45" t="str">
        <f t="shared" si="24"/>
        <v/>
      </c>
      <c r="F8778" s="59" t="str">
        <f t="shared" si="25"/>
        <v/>
      </c>
      <c r="G8778" s="59" t="str">
        <f t="shared" si="26"/>
        <v/>
      </c>
      <c r="H8778" s="59" t="str">
        <f t="shared" si="27"/>
        <v>28C05090</v>
      </c>
      <c r="I8778" s="59" t="str">
        <f>IF(OR($A8778="",$C8778="",$D8778="",$E8778="",$H8778=""),"",SUMIFS(DATA_GOC!$H:$H,DATA_GOC!$A:$A,"BOM",DATA_GOC!$D:$D,$H8778,DATA_GOC!$E:$E,$C8778,DATA_GOC!$F:$F,"Xuất nội bộ từ téc",DATA_GOC!$B:$B,"&gt;="&amp;$D8778,DATA_GOC!$B:$B,"&lt;="&amp;$E8778))</f>
        <v/>
      </c>
      <c r="J8778" s="59">
        <f t="shared" si="28"/>
        <v>0</v>
      </c>
      <c r="K8778" s="59">
        <f t="shared" si="29"/>
        <v>0</v>
      </c>
      <c r="L8778" s="59">
        <f t="shared" si="30"/>
        <v>0</v>
      </c>
      <c r="M8778" s="59">
        <f t="shared" si="31"/>
        <v>0</v>
      </c>
    </row>
    <row r="8779" ht="15.0" hidden="1" customHeight="1">
      <c r="A8779" s="59">
        <f t="shared" si="20"/>
        <v>143</v>
      </c>
      <c r="B8779" s="59" t="str">
        <f t="shared" si="21"/>
        <v/>
      </c>
      <c r="C8779" s="59" t="str">
        <f t="shared" si="22"/>
        <v/>
      </c>
      <c r="D8779" s="45" t="str">
        <f t="shared" si="23"/>
        <v/>
      </c>
      <c r="E8779" s="45" t="str">
        <f t="shared" si="24"/>
        <v/>
      </c>
      <c r="F8779" s="59" t="str">
        <f t="shared" si="25"/>
        <v/>
      </c>
      <c r="G8779" s="59" t="str">
        <f t="shared" si="26"/>
        <v/>
      </c>
      <c r="H8779" s="59" t="str">
        <f t="shared" si="27"/>
        <v>28C05345</v>
      </c>
      <c r="I8779" s="59" t="str">
        <f>IF(OR($A8779="",$C8779="",$D8779="",$E8779="",$H8779=""),"",SUMIFS(DATA_GOC!$H:$H,DATA_GOC!$A:$A,"BOM",DATA_GOC!$D:$D,$H8779,DATA_GOC!$E:$E,$C8779,DATA_GOC!$F:$F,"Xuất nội bộ từ téc",DATA_GOC!$B:$B,"&gt;="&amp;$D8779,DATA_GOC!$B:$B,"&lt;="&amp;$E8779))</f>
        <v/>
      </c>
      <c r="J8779" s="59">
        <f t="shared" si="28"/>
        <v>0</v>
      </c>
      <c r="K8779" s="59">
        <f t="shared" si="29"/>
        <v>0</v>
      </c>
      <c r="L8779" s="59">
        <f t="shared" si="30"/>
        <v>0</v>
      </c>
      <c r="M8779" s="59">
        <f t="shared" si="31"/>
        <v>0</v>
      </c>
    </row>
    <row r="8780" ht="15.0" hidden="1" customHeight="1">
      <c r="A8780" s="59">
        <f t="shared" si="20"/>
        <v>143</v>
      </c>
      <c r="B8780" s="59" t="str">
        <f t="shared" si="21"/>
        <v/>
      </c>
      <c r="C8780" s="59" t="str">
        <f t="shared" si="22"/>
        <v/>
      </c>
      <c r="D8780" s="45" t="str">
        <f t="shared" si="23"/>
        <v/>
      </c>
      <c r="E8780" s="45" t="str">
        <f t="shared" si="24"/>
        <v/>
      </c>
      <c r="F8780" s="59" t="str">
        <f t="shared" si="25"/>
        <v/>
      </c>
      <c r="G8780" s="59" t="str">
        <f t="shared" si="26"/>
        <v/>
      </c>
      <c r="H8780" s="59" t="str">
        <f t="shared" si="27"/>
        <v>28C05661</v>
      </c>
      <c r="I8780" s="59" t="str">
        <f>IF(OR($A8780="",$C8780="",$D8780="",$E8780="",$H8780=""),"",SUMIFS(DATA_GOC!$H:$H,DATA_GOC!$A:$A,"BOM",DATA_GOC!$D:$D,$H8780,DATA_GOC!$E:$E,$C8780,DATA_GOC!$F:$F,"Xuất nội bộ từ téc",DATA_GOC!$B:$B,"&gt;="&amp;$D8780,DATA_GOC!$B:$B,"&lt;="&amp;$E8780))</f>
        <v/>
      </c>
      <c r="J8780" s="59">
        <f t="shared" si="28"/>
        <v>0</v>
      </c>
      <c r="K8780" s="59">
        <f t="shared" si="29"/>
        <v>0</v>
      </c>
      <c r="L8780" s="59">
        <f t="shared" si="30"/>
        <v>0</v>
      </c>
      <c r="M8780" s="59">
        <f t="shared" si="31"/>
        <v>0</v>
      </c>
    </row>
    <row r="8781" ht="15.0" hidden="1" customHeight="1">
      <c r="A8781" s="59">
        <f t="shared" si="20"/>
        <v>143</v>
      </c>
      <c r="B8781" s="59" t="str">
        <f t="shared" si="21"/>
        <v/>
      </c>
      <c r="C8781" s="59" t="str">
        <f t="shared" si="22"/>
        <v/>
      </c>
      <c r="D8781" s="45" t="str">
        <f t="shared" si="23"/>
        <v/>
      </c>
      <c r="E8781" s="45" t="str">
        <f t="shared" si="24"/>
        <v/>
      </c>
      <c r="F8781" s="59" t="str">
        <f t="shared" si="25"/>
        <v/>
      </c>
      <c r="G8781" s="59" t="str">
        <f t="shared" si="26"/>
        <v/>
      </c>
      <c r="H8781" s="59" t="str">
        <f t="shared" si="27"/>
        <v>28C05739</v>
      </c>
      <c r="I8781" s="59" t="str">
        <f>IF(OR($A8781="",$C8781="",$D8781="",$E8781="",$H8781=""),"",SUMIFS(DATA_GOC!$H:$H,DATA_GOC!$A:$A,"BOM",DATA_GOC!$D:$D,$H8781,DATA_GOC!$E:$E,$C8781,DATA_GOC!$F:$F,"Xuất nội bộ từ téc",DATA_GOC!$B:$B,"&gt;="&amp;$D8781,DATA_GOC!$B:$B,"&lt;="&amp;$E8781))</f>
        <v/>
      </c>
      <c r="J8781" s="59">
        <f t="shared" si="28"/>
        <v>0</v>
      </c>
      <c r="K8781" s="59">
        <f t="shared" si="29"/>
        <v>0</v>
      </c>
      <c r="L8781" s="59">
        <f t="shared" si="30"/>
        <v>0</v>
      </c>
      <c r="M8781" s="59">
        <f t="shared" si="31"/>
        <v>0</v>
      </c>
    </row>
    <row r="8782" ht="15.0" hidden="1" customHeight="1">
      <c r="A8782" s="59">
        <f t="shared" si="20"/>
        <v>143</v>
      </c>
      <c r="B8782" s="59" t="str">
        <f t="shared" si="21"/>
        <v/>
      </c>
      <c r="C8782" s="59" t="str">
        <f t="shared" si="22"/>
        <v/>
      </c>
      <c r="D8782" s="45" t="str">
        <f t="shared" si="23"/>
        <v/>
      </c>
      <c r="E8782" s="45" t="str">
        <f t="shared" si="24"/>
        <v/>
      </c>
      <c r="F8782" s="59" t="str">
        <f t="shared" si="25"/>
        <v/>
      </c>
      <c r="G8782" s="59" t="str">
        <f t="shared" si="26"/>
        <v/>
      </c>
      <c r="H8782" s="59" t="str">
        <f t="shared" si="27"/>
        <v>28C06369</v>
      </c>
      <c r="I8782" s="59" t="str">
        <f>IF(OR($A8782="",$C8782="",$D8782="",$E8782="",$H8782=""),"",SUMIFS(DATA_GOC!$H:$H,DATA_GOC!$A:$A,"BOM",DATA_GOC!$D:$D,$H8782,DATA_GOC!$E:$E,$C8782,DATA_GOC!$F:$F,"Xuất nội bộ từ téc",DATA_GOC!$B:$B,"&gt;="&amp;$D8782,DATA_GOC!$B:$B,"&lt;="&amp;$E8782))</f>
        <v/>
      </c>
      <c r="J8782" s="59">
        <f t="shared" si="28"/>
        <v>0</v>
      </c>
      <c r="K8782" s="59">
        <f t="shared" si="29"/>
        <v>0</v>
      </c>
      <c r="L8782" s="59">
        <f t="shared" si="30"/>
        <v>0</v>
      </c>
      <c r="M8782" s="59">
        <f t="shared" si="31"/>
        <v>0</v>
      </c>
    </row>
    <row r="8783" ht="15.0" hidden="1" customHeight="1">
      <c r="A8783" s="59">
        <f t="shared" si="20"/>
        <v>143</v>
      </c>
      <c r="B8783" s="59" t="str">
        <f t="shared" si="21"/>
        <v/>
      </c>
      <c r="C8783" s="59" t="str">
        <f t="shared" si="22"/>
        <v/>
      </c>
      <c r="D8783" s="45" t="str">
        <f t="shared" si="23"/>
        <v/>
      </c>
      <c r="E8783" s="45" t="str">
        <f t="shared" si="24"/>
        <v/>
      </c>
      <c r="F8783" s="59" t="str">
        <f t="shared" si="25"/>
        <v/>
      </c>
      <c r="G8783" s="59" t="str">
        <f t="shared" si="26"/>
        <v/>
      </c>
      <c r="H8783" s="59" t="str">
        <f t="shared" si="27"/>
        <v>28C06447</v>
      </c>
      <c r="I8783" s="59" t="str">
        <f>IF(OR($A8783="",$C8783="",$D8783="",$E8783="",$H8783=""),"",SUMIFS(DATA_GOC!$H:$H,DATA_GOC!$A:$A,"BOM",DATA_GOC!$D:$D,$H8783,DATA_GOC!$E:$E,$C8783,DATA_GOC!$F:$F,"Xuất nội bộ từ téc",DATA_GOC!$B:$B,"&gt;="&amp;$D8783,DATA_GOC!$B:$B,"&lt;="&amp;$E8783))</f>
        <v/>
      </c>
      <c r="J8783" s="59">
        <f t="shared" si="28"/>
        <v>0</v>
      </c>
      <c r="K8783" s="59">
        <f t="shared" si="29"/>
        <v>0</v>
      </c>
      <c r="L8783" s="59">
        <f t="shared" si="30"/>
        <v>0</v>
      </c>
      <c r="M8783" s="59">
        <f t="shared" si="31"/>
        <v>0</v>
      </c>
    </row>
    <row r="8784" ht="15.0" hidden="1" customHeight="1">
      <c r="A8784" s="59">
        <f t="shared" si="20"/>
        <v>143</v>
      </c>
      <c r="B8784" s="59" t="str">
        <f t="shared" si="21"/>
        <v/>
      </c>
      <c r="C8784" s="59" t="str">
        <f t="shared" si="22"/>
        <v/>
      </c>
      <c r="D8784" s="45" t="str">
        <f t="shared" si="23"/>
        <v/>
      </c>
      <c r="E8784" s="45" t="str">
        <f t="shared" si="24"/>
        <v/>
      </c>
      <c r="F8784" s="59" t="str">
        <f t="shared" si="25"/>
        <v/>
      </c>
      <c r="G8784" s="59" t="str">
        <f t="shared" si="26"/>
        <v/>
      </c>
      <c r="H8784" s="59" t="str">
        <f t="shared" si="27"/>
        <v>28H00003</v>
      </c>
      <c r="I8784" s="59" t="str">
        <f>IF(OR($A8784="",$C8784="",$D8784="",$E8784="",$H8784=""),"",SUMIFS(DATA_GOC!$H:$H,DATA_GOC!$A:$A,"BOM",DATA_GOC!$D:$D,$H8784,DATA_GOC!$E:$E,$C8784,DATA_GOC!$F:$F,"Xuất nội bộ từ téc",DATA_GOC!$B:$B,"&gt;="&amp;$D8784,DATA_GOC!$B:$B,"&lt;="&amp;$E8784))</f>
        <v/>
      </c>
      <c r="J8784" s="59">
        <f t="shared" si="28"/>
        <v>0</v>
      </c>
      <c r="K8784" s="59">
        <f t="shared" si="29"/>
        <v>0</v>
      </c>
      <c r="L8784" s="59">
        <f t="shared" si="30"/>
        <v>0</v>
      </c>
      <c r="M8784" s="59">
        <f t="shared" si="31"/>
        <v>0</v>
      </c>
    </row>
    <row r="8785" ht="15.0" hidden="1" customHeight="1">
      <c r="A8785" s="59">
        <f t="shared" si="20"/>
        <v>143</v>
      </c>
      <c r="B8785" s="59" t="str">
        <f t="shared" si="21"/>
        <v/>
      </c>
      <c r="C8785" s="59" t="str">
        <f t="shared" si="22"/>
        <v/>
      </c>
      <c r="D8785" s="45" t="str">
        <f t="shared" si="23"/>
        <v/>
      </c>
      <c r="E8785" s="45" t="str">
        <f t="shared" si="24"/>
        <v/>
      </c>
      <c r="F8785" s="59" t="str">
        <f t="shared" si="25"/>
        <v/>
      </c>
      <c r="G8785" s="59" t="str">
        <f t="shared" si="26"/>
        <v/>
      </c>
      <c r="H8785" s="59" t="str">
        <f t="shared" si="27"/>
        <v>28H00061</v>
      </c>
      <c r="I8785" s="59" t="str">
        <f>IF(OR($A8785="",$C8785="",$D8785="",$E8785="",$H8785=""),"",SUMIFS(DATA_GOC!$H:$H,DATA_GOC!$A:$A,"BOM",DATA_GOC!$D:$D,$H8785,DATA_GOC!$E:$E,$C8785,DATA_GOC!$F:$F,"Xuất nội bộ từ téc",DATA_GOC!$B:$B,"&gt;="&amp;$D8785,DATA_GOC!$B:$B,"&lt;="&amp;$E8785))</f>
        <v/>
      </c>
      <c r="J8785" s="59">
        <f t="shared" si="28"/>
        <v>0</v>
      </c>
      <c r="K8785" s="59">
        <f t="shared" si="29"/>
        <v>0</v>
      </c>
      <c r="L8785" s="59">
        <f t="shared" si="30"/>
        <v>0</v>
      </c>
      <c r="M8785" s="59">
        <f t="shared" si="31"/>
        <v>0</v>
      </c>
    </row>
    <row r="8786" ht="15.0" hidden="1" customHeight="1">
      <c r="A8786" s="59">
        <f t="shared" si="20"/>
        <v>143</v>
      </c>
      <c r="B8786" s="59" t="str">
        <f t="shared" si="21"/>
        <v/>
      </c>
      <c r="C8786" s="59" t="str">
        <f t="shared" si="22"/>
        <v/>
      </c>
      <c r="D8786" s="45" t="str">
        <f t="shared" si="23"/>
        <v/>
      </c>
      <c r="E8786" s="45" t="str">
        <f t="shared" si="24"/>
        <v/>
      </c>
      <c r="F8786" s="59" t="str">
        <f t="shared" si="25"/>
        <v/>
      </c>
      <c r="G8786" s="59" t="str">
        <f t="shared" si="26"/>
        <v/>
      </c>
      <c r="H8786" s="59" t="str">
        <f t="shared" si="27"/>
        <v>28H00354</v>
      </c>
      <c r="I8786" s="59" t="str">
        <f>IF(OR($A8786="",$C8786="",$D8786="",$E8786="",$H8786=""),"",SUMIFS(DATA_GOC!$H:$H,DATA_GOC!$A:$A,"BOM",DATA_GOC!$D:$D,$H8786,DATA_GOC!$E:$E,$C8786,DATA_GOC!$F:$F,"Xuất nội bộ từ téc",DATA_GOC!$B:$B,"&gt;="&amp;$D8786,DATA_GOC!$B:$B,"&lt;="&amp;$E8786))</f>
        <v/>
      </c>
      <c r="J8786" s="59">
        <f t="shared" si="28"/>
        <v>0</v>
      </c>
      <c r="K8786" s="59">
        <f t="shared" si="29"/>
        <v>0</v>
      </c>
      <c r="L8786" s="59">
        <f t="shared" si="30"/>
        <v>0</v>
      </c>
      <c r="M8786" s="59">
        <f t="shared" si="31"/>
        <v>0</v>
      </c>
    </row>
    <row r="8787" ht="15.0" hidden="1" customHeight="1">
      <c r="A8787" s="59">
        <f t="shared" si="20"/>
        <v>143</v>
      </c>
      <c r="B8787" s="59" t="str">
        <f t="shared" si="21"/>
        <v/>
      </c>
      <c r="C8787" s="59" t="str">
        <f t="shared" si="22"/>
        <v/>
      </c>
      <c r="D8787" s="45" t="str">
        <f t="shared" si="23"/>
        <v/>
      </c>
      <c r="E8787" s="45" t="str">
        <f t="shared" si="24"/>
        <v/>
      </c>
      <c r="F8787" s="59" t="str">
        <f t="shared" si="25"/>
        <v/>
      </c>
      <c r="G8787" s="59" t="str">
        <f t="shared" si="26"/>
        <v/>
      </c>
      <c r="H8787" s="59" t="str">
        <f t="shared" si="27"/>
        <v>28H00603</v>
      </c>
      <c r="I8787" s="59" t="str">
        <f>IF(OR($A8787="",$C8787="",$D8787="",$E8787="",$H8787=""),"",SUMIFS(DATA_GOC!$H:$H,DATA_GOC!$A:$A,"BOM",DATA_GOC!$D:$D,$H8787,DATA_GOC!$E:$E,$C8787,DATA_GOC!$F:$F,"Xuất nội bộ từ téc",DATA_GOC!$B:$B,"&gt;="&amp;$D8787,DATA_GOC!$B:$B,"&lt;="&amp;$E8787))</f>
        <v/>
      </c>
      <c r="J8787" s="59">
        <f t="shared" si="28"/>
        <v>0</v>
      </c>
      <c r="K8787" s="59">
        <f t="shared" si="29"/>
        <v>0</v>
      </c>
      <c r="L8787" s="59">
        <f t="shared" si="30"/>
        <v>0</v>
      </c>
      <c r="M8787" s="59">
        <f t="shared" si="31"/>
        <v>0</v>
      </c>
    </row>
    <row r="8788" ht="15.0" hidden="1" customHeight="1">
      <c r="A8788" s="59">
        <f t="shared" si="20"/>
        <v>143</v>
      </c>
      <c r="B8788" s="59" t="str">
        <f t="shared" si="21"/>
        <v/>
      </c>
      <c r="C8788" s="59" t="str">
        <f t="shared" si="22"/>
        <v/>
      </c>
      <c r="D8788" s="45" t="str">
        <f t="shared" si="23"/>
        <v/>
      </c>
      <c r="E8788" s="45" t="str">
        <f t="shared" si="24"/>
        <v/>
      </c>
      <c r="F8788" s="59" t="str">
        <f t="shared" si="25"/>
        <v/>
      </c>
      <c r="G8788" s="59" t="str">
        <f t="shared" si="26"/>
        <v/>
      </c>
      <c r="H8788" s="59" t="str">
        <f t="shared" si="27"/>
        <v>28H00609</v>
      </c>
      <c r="I8788" s="59" t="str">
        <f>IF(OR($A8788="",$C8788="",$D8788="",$E8788="",$H8788=""),"",SUMIFS(DATA_GOC!$H:$H,DATA_GOC!$A:$A,"BOM",DATA_GOC!$D:$D,$H8788,DATA_GOC!$E:$E,$C8788,DATA_GOC!$F:$F,"Xuất nội bộ từ téc",DATA_GOC!$B:$B,"&gt;="&amp;$D8788,DATA_GOC!$B:$B,"&lt;="&amp;$E8788))</f>
        <v/>
      </c>
      <c r="J8788" s="59">
        <f t="shared" si="28"/>
        <v>0</v>
      </c>
      <c r="K8788" s="59">
        <f t="shared" si="29"/>
        <v>0</v>
      </c>
      <c r="L8788" s="59">
        <f t="shared" si="30"/>
        <v>0</v>
      </c>
      <c r="M8788" s="59">
        <f t="shared" si="31"/>
        <v>0</v>
      </c>
    </row>
    <row r="8789" ht="15.0" hidden="1" customHeight="1">
      <c r="A8789" s="59">
        <f t="shared" si="20"/>
        <v>143</v>
      </c>
      <c r="B8789" s="59" t="str">
        <f t="shared" si="21"/>
        <v/>
      </c>
      <c r="C8789" s="59" t="str">
        <f t="shared" si="22"/>
        <v/>
      </c>
      <c r="D8789" s="45" t="str">
        <f t="shared" si="23"/>
        <v/>
      </c>
      <c r="E8789" s="45" t="str">
        <f t="shared" si="24"/>
        <v/>
      </c>
      <c r="F8789" s="59" t="str">
        <f t="shared" si="25"/>
        <v/>
      </c>
      <c r="G8789" s="59" t="str">
        <f t="shared" si="26"/>
        <v/>
      </c>
      <c r="H8789" s="59" t="str">
        <f t="shared" si="27"/>
        <v>28H00669</v>
      </c>
      <c r="I8789" s="59" t="str">
        <f>IF(OR($A8789="",$C8789="",$D8789="",$E8789="",$H8789=""),"",SUMIFS(DATA_GOC!$H:$H,DATA_GOC!$A:$A,"BOM",DATA_GOC!$D:$D,$H8789,DATA_GOC!$E:$E,$C8789,DATA_GOC!$F:$F,"Xuất nội bộ từ téc",DATA_GOC!$B:$B,"&gt;="&amp;$D8789,DATA_GOC!$B:$B,"&lt;="&amp;$E8789))</f>
        <v/>
      </c>
      <c r="J8789" s="59">
        <f t="shared" si="28"/>
        <v>0</v>
      </c>
      <c r="K8789" s="59">
        <f t="shared" si="29"/>
        <v>0</v>
      </c>
      <c r="L8789" s="59">
        <f t="shared" si="30"/>
        <v>0</v>
      </c>
      <c r="M8789" s="59">
        <f t="shared" si="31"/>
        <v>0</v>
      </c>
    </row>
    <row r="8790" ht="15.0" hidden="1" customHeight="1">
      <c r="A8790" s="59">
        <f t="shared" si="20"/>
        <v>143</v>
      </c>
      <c r="B8790" s="59" t="str">
        <f t="shared" si="21"/>
        <v/>
      </c>
      <c r="C8790" s="59" t="str">
        <f t="shared" si="22"/>
        <v/>
      </c>
      <c r="D8790" s="45" t="str">
        <f t="shared" si="23"/>
        <v/>
      </c>
      <c r="E8790" s="45" t="str">
        <f t="shared" si="24"/>
        <v/>
      </c>
      <c r="F8790" s="59" t="str">
        <f t="shared" si="25"/>
        <v/>
      </c>
      <c r="G8790" s="59" t="str">
        <f t="shared" si="26"/>
        <v/>
      </c>
      <c r="H8790" s="59" t="str">
        <f t="shared" si="27"/>
        <v>28H00680</v>
      </c>
      <c r="I8790" s="59" t="str">
        <f>IF(OR($A8790="",$C8790="",$D8790="",$E8790="",$H8790=""),"",SUMIFS(DATA_GOC!$H:$H,DATA_GOC!$A:$A,"BOM",DATA_GOC!$D:$D,$H8790,DATA_GOC!$E:$E,$C8790,DATA_GOC!$F:$F,"Xuất nội bộ từ téc",DATA_GOC!$B:$B,"&gt;="&amp;$D8790,DATA_GOC!$B:$B,"&lt;="&amp;$E8790))</f>
        <v/>
      </c>
      <c r="J8790" s="59">
        <f t="shared" si="28"/>
        <v>0</v>
      </c>
      <c r="K8790" s="59">
        <f t="shared" si="29"/>
        <v>0</v>
      </c>
      <c r="L8790" s="59">
        <f t="shared" si="30"/>
        <v>0</v>
      </c>
      <c r="M8790" s="59">
        <f t="shared" si="31"/>
        <v>0</v>
      </c>
    </row>
    <row r="8791" ht="15.0" hidden="1" customHeight="1">
      <c r="A8791" s="59">
        <f t="shared" si="20"/>
        <v>143</v>
      </c>
      <c r="B8791" s="59" t="str">
        <f t="shared" si="21"/>
        <v/>
      </c>
      <c r="C8791" s="59" t="str">
        <f t="shared" si="22"/>
        <v/>
      </c>
      <c r="D8791" s="45" t="str">
        <f t="shared" si="23"/>
        <v/>
      </c>
      <c r="E8791" s="45" t="str">
        <f t="shared" si="24"/>
        <v/>
      </c>
      <c r="F8791" s="59" t="str">
        <f t="shared" si="25"/>
        <v/>
      </c>
      <c r="G8791" s="59" t="str">
        <f t="shared" si="26"/>
        <v/>
      </c>
      <c r="H8791" s="59" t="str">
        <f t="shared" si="27"/>
        <v>28H01070</v>
      </c>
      <c r="I8791" s="59" t="str">
        <f>IF(OR($A8791="",$C8791="",$D8791="",$E8791="",$H8791=""),"",SUMIFS(DATA_GOC!$H:$H,DATA_GOC!$A:$A,"BOM",DATA_GOC!$D:$D,$H8791,DATA_GOC!$E:$E,$C8791,DATA_GOC!$F:$F,"Xuất nội bộ từ téc",DATA_GOC!$B:$B,"&gt;="&amp;$D8791,DATA_GOC!$B:$B,"&lt;="&amp;$E8791))</f>
        <v/>
      </c>
      <c r="J8791" s="59">
        <f t="shared" si="28"/>
        <v>0</v>
      </c>
      <c r="K8791" s="59">
        <f t="shared" si="29"/>
        <v>0</v>
      </c>
      <c r="L8791" s="59">
        <f t="shared" si="30"/>
        <v>0</v>
      </c>
      <c r="M8791" s="59">
        <f t="shared" si="31"/>
        <v>0</v>
      </c>
    </row>
    <row r="8792" ht="15.0" hidden="1" customHeight="1">
      <c r="A8792" s="59">
        <f t="shared" si="20"/>
        <v>143</v>
      </c>
      <c r="B8792" s="59" t="str">
        <f t="shared" si="21"/>
        <v/>
      </c>
      <c r="C8792" s="59" t="str">
        <f t="shared" si="22"/>
        <v/>
      </c>
      <c r="D8792" s="45" t="str">
        <f t="shared" si="23"/>
        <v/>
      </c>
      <c r="E8792" s="45" t="str">
        <f t="shared" si="24"/>
        <v/>
      </c>
      <c r="F8792" s="59" t="str">
        <f t="shared" si="25"/>
        <v/>
      </c>
      <c r="G8792" s="59" t="str">
        <f t="shared" si="26"/>
        <v/>
      </c>
      <c r="H8792" s="59" t="str">
        <f t="shared" si="27"/>
        <v>28H01364</v>
      </c>
      <c r="I8792" s="59" t="str">
        <f>IF(OR($A8792="",$C8792="",$D8792="",$E8792="",$H8792=""),"",SUMIFS(DATA_GOC!$H:$H,DATA_GOC!$A:$A,"BOM",DATA_GOC!$D:$D,$H8792,DATA_GOC!$E:$E,$C8792,DATA_GOC!$F:$F,"Xuất nội bộ từ téc",DATA_GOC!$B:$B,"&gt;="&amp;$D8792,DATA_GOC!$B:$B,"&lt;="&amp;$E8792))</f>
        <v/>
      </c>
      <c r="J8792" s="59">
        <f t="shared" si="28"/>
        <v>0</v>
      </c>
      <c r="K8792" s="59">
        <f t="shared" si="29"/>
        <v>0</v>
      </c>
      <c r="L8792" s="59">
        <f t="shared" si="30"/>
        <v>0</v>
      </c>
      <c r="M8792" s="59">
        <f t="shared" si="31"/>
        <v>0</v>
      </c>
    </row>
    <row r="8793" ht="15.0" hidden="1" customHeight="1">
      <c r="A8793" s="59">
        <f t="shared" si="20"/>
        <v>143</v>
      </c>
      <c r="B8793" s="59" t="str">
        <f t="shared" si="21"/>
        <v/>
      </c>
      <c r="C8793" s="59" t="str">
        <f t="shared" si="22"/>
        <v/>
      </c>
      <c r="D8793" s="45" t="str">
        <f t="shared" si="23"/>
        <v/>
      </c>
      <c r="E8793" s="45" t="str">
        <f t="shared" si="24"/>
        <v/>
      </c>
      <c r="F8793" s="59" t="str">
        <f t="shared" si="25"/>
        <v/>
      </c>
      <c r="G8793" s="59" t="str">
        <f t="shared" si="26"/>
        <v/>
      </c>
      <c r="H8793" s="59" t="str">
        <f t="shared" si="27"/>
        <v>29E17269</v>
      </c>
      <c r="I8793" s="59" t="str">
        <f>IF(OR($A8793="",$C8793="",$D8793="",$E8793="",$H8793=""),"",SUMIFS(DATA_GOC!$H:$H,DATA_GOC!$A:$A,"BOM",DATA_GOC!$D:$D,$H8793,DATA_GOC!$E:$E,$C8793,DATA_GOC!$F:$F,"Xuất nội bộ từ téc",DATA_GOC!$B:$B,"&gt;="&amp;$D8793,DATA_GOC!$B:$B,"&lt;="&amp;$E8793))</f>
        <v/>
      </c>
      <c r="J8793" s="59">
        <f t="shared" si="28"/>
        <v>0</v>
      </c>
      <c r="K8793" s="59">
        <f t="shared" si="29"/>
        <v>0</v>
      </c>
      <c r="L8793" s="59">
        <f t="shared" si="30"/>
        <v>0</v>
      </c>
      <c r="M8793" s="59">
        <f t="shared" si="31"/>
        <v>0</v>
      </c>
    </row>
    <row r="8794" ht="15.0" hidden="1" customHeight="1">
      <c r="A8794" s="59">
        <f t="shared" si="20"/>
        <v>143</v>
      </c>
      <c r="B8794" s="59" t="str">
        <f t="shared" si="21"/>
        <v/>
      </c>
      <c r="C8794" s="59" t="str">
        <f t="shared" si="22"/>
        <v/>
      </c>
      <c r="D8794" s="45" t="str">
        <f t="shared" si="23"/>
        <v/>
      </c>
      <c r="E8794" s="45" t="str">
        <f t="shared" si="24"/>
        <v/>
      </c>
      <c r="F8794" s="59" t="str">
        <f t="shared" si="25"/>
        <v/>
      </c>
      <c r="G8794" s="59" t="str">
        <f t="shared" si="26"/>
        <v/>
      </c>
      <c r="H8794" s="59" t="str">
        <f t="shared" si="27"/>
        <v>29E17273</v>
      </c>
      <c r="I8794" s="59" t="str">
        <f>IF(OR($A8794="",$C8794="",$D8794="",$E8794="",$H8794=""),"",SUMIFS(DATA_GOC!$H:$H,DATA_GOC!$A:$A,"BOM",DATA_GOC!$D:$D,$H8794,DATA_GOC!$E:$E,$C8794,DATA_GOC!$F:$F,"Xuất nội bộ từ téc",DATA_GOC!$B:$B,"&gt;="&amp;$D8794,DATA_GOC!$B:$B,"&lt;="&amp;$E8794))</f>
        <v/>
      </c>
      <c r="J8794" s="59">
        <f t="shared" si="28"/>
        <v>0</v>
      </c>
      <c r="K8794" s="59">
        <f t="shared" si="29"/>
        <v>0</v>
      </c>
      <c r="L8794" s="59">
        <f t="shared" si="30"/>
        <v>0</v>
      </c>
      <c r="M8794" s="59">
        <f t="shared" si="31"/>
        <v>0</v>
      </c>
    </row>
    <row r="8795" ht="15.0" hidden="1" customHeight="1">
      <c r="A8795" s="59">
        <f t="shared" si="20"/>
        <v>143</v>
      </c>
      <c r="B8795" s="59" t="str">
        <f t="shared" si="21"/>
        <v/>
      </c>
      <c r="C8795" s="59" t="str">
        <f t="shared" si="22"/>
        <v/>
      </c>
      <c r="D8795" s="45" t="str">
        <f t="shared" si="23"/>
        <v/>
      </c>
      <c r="E8795" s="45" t="str">
        <f t="shared" si="24"/>
        <v/>
      </c>
      <c r="F8795" s="59" t="str">
        <f t="shared" si="25"/>
        <v/>
      </c>
      <c r="G8795" s="59" t="str">
        <f t="shared" si="26"/>
        <v/>
      </c>
      <c r="H8795" s="59" t="str">
        <f t="shared" si="27"/>
        <v>29E17410</v>
      </c>
      <c r="I8795" s="59" t="str">
        <f>IF(OR($A8795="",$C8795="",$D8795="",$E8795="",$H8795=""),"",SUMIFS(DATA_GOC!$H:$H,DATA_GOC!$A:$A,"BOM",DATA_GOC!$D:$D,$H8795,DATA_GOC!$E:$E,$C8795,DATA_GOC!$F:$F,"Xuất nội bộ từ téc",DATA_GOC!$B:$B,"&gt;="&amp;$D8795,DATA_GOC!$B:$B,"&lt;="&amp;$E8795))</f>
        <v/>
      </c>
      <c r="J8795" s="59">
        <f t="shared" si="28"/>
        <v>0</v>
      </c>
      <c r="K8795" s="59">
        <f t="shared" si="29"/>
        <v>0</v>
      </c>
      <c r="L8795" s="59">
        <f t="shared" si="30"/>
        <v>0</v>
      </c>
      <c r="M8795" s="59">
        <f t="shared" si="31"/>
        <v>0</v>
      </c>
    </row>
    <row r="8796" ht="15.0" hidden="1" customHeight="1">
      <c r="A8796" s="59">
        <f t="shared" si="20"/>
        <v>143</v>
      </c>
      <c r="B8796" s="59" t="str">
        <f t="shared" si="21"/>
        <v/>
      </c>
      <c r="C8796" s="59" t="str">
        <f t="shared" si="22"/>
        <v/>
      </c>
      <c r="D8796" s="45" t="str">
        <f t="shared" si="23"/>
        <v/>
      </c>
      <c r="E8796" s="45" t="str">
        <f t="shared" si="24"/>
        <v/>
      </c>
      <c r="F8796" s="59" t="str">
        <f t="shared" si="25"/>
        <v/>
      </c>
      <c r="G8796" s="59" t="str">
        <f t="shared" si="26"/>
        <v/>
      </c>
      <c r="H8796" s="59" t="str">
        <f t="shared" si="27"/>
        <v>29E17417</v>
      </c>
      <c r="I8796" s="59" t="str">
        <f>IF(OR($A8796="",$C8796="",$D8796="",$E8796="",$H8796=""),"",SUMIFS(DATA_GOC!$H:$H,DATA_GOC!$A:$A,"BOM",DATA_GOC!$D:$D,$H8796,DATA_GOC!$E:$E,$C8796,DATA_GOC!$F:$F,"Xuất nội bộ từ téc",DATA_GOC!$B:$B,"&gt;="&amp;$D8796,DATA_GOC!$B:$B,"&lt;="&amp;$E8796))</f>
        <v/>
      </c>
      <c r="J8796" s="59">
        <f t="shared" si="28"/>
        <v>0</v>
      </c>
      <c r="K8796" s="59">
        <f t="shared" si="29"/>
        <v>0</v>
      </c>
      <c r="L8796" s="59">
        <f t="shared" si="30"/>
        <v>0</v>
      </c>
      <c r="M8796" s="59">
        <f t="shared" si="31"/>
        <v>0</v>
      </c>
    </row>
    <row r="8797" ht="15.0" hidden="1" customHeight="1">
      <c r="A8797" s="59">
        <f t="shared" si="20"/>
        <v>143</v>
      </c>
      <c r="B8797" s="59" t="str">
        <f t="shared" si="21"/>
        <v/>
      </c>
      <c r="C8797" s="59" t="str">
        <f t="shared" si="22"/>
        <v/>
      </c>
      <c r="D8797" s="45" t="str">
        <f t="shared" si="23"/>
        <v/>
      </c>
      <c r="E8797" s="45" t="str">
        <f t="shared" si="24"/>
        <v/>
      </c>
      <c r="F8797" s="59" t="str">
        <f t="shared" si="25"/>
        <v/>
      </c>
      <c r="G8797" s="59" t="str">
        <f t="shared" si="26"/>
        <v/>
      </c>
      <c r="H8797" s="59" t="str">
        <f t="shared" si="27"/>
        <v>29E17539</v>
      </c>
      <c r="I8797" s="59" t="str">
        <f>IF(OR($A8797="",$C8797="",$D8797="",$E8797="",$H8797=""),"",SUMIFS(DATA_GOC!$H:$H,DATA_GOC!$A:$A,"BOM",DATA_GOC!$D:$D,$H8797,DATA_GOC!$E:$E,$C8797,DATA_GOC!$F:$F,"Xuất nội bộ từ téc",DATA_GOC!$B:$B,"&gt;="&amp;$D8797,DATA_GOC!$B:$B,"&lt;="&amp;$E8797))</f>
        <v/>
      </c>
      <c r="J8797" s="59">
        <f t="shared" si="28"/>
        <v>0</v>
      </c>
      <c r="K8797" s="59">
        <f t="shared" si="29"/>
        <v>0</v>
      </c>
      <c r="L8797" s="59">
        <f t="shared" si="30"/>
        <v>0</v>
      </c>
      <c r="M8797" s="59">
        <f t="shared" si="31"/>
        <v>0</v>
      </c>
    </row>
    <row r="8798" ht="15.0" hidden="1" customHeight="1">
      <c r="A8798" s="59">
        <f t="shared" si="20"/>
        <v>143</v>
      </c>
      <c r="B8798" s="59" t="str">
        <f t="shared" si="21"/>
        <v/>
      </c>
      <c r="C8798" s="59" t="str">
        <f t="shared" si="22"/>
        <v/>
      </c>
      <c r="D8798" s="45" t="str">
        <f t="shared" si="23"/>
        <v/>
      </c>
      <c r="E8798" s="45" t="str">
        <f t="shared" si="24"/>
        <v/>
      </c>
      <c r="F8798" s="59" t="str">
        <f t="shared" si="25"/>
        <v/>
      </c>
      <c r="G8798" s="59" t="str">
        <f t="shared" si="26"/>
        <v/>
      </c>
      <c r="H8798" s="59" t="str">
        <f t="shared" si="27"/>
        <v>29E18160</v>
      </c>
      <c r="I8798" s="59" t="str">
        <f>IF(OR($A8798="",$C8798="",$D8798="",$E8798="",$H8798=""),"",SUMIFS(DATA_GOC!$H:$H,DATA_GOC!$A:$A,"BOM",DATA_GOC!$D:$D,$H8798,DATA_GOC!$E:$E,$C8798,DATA_GOC!$F:$F,"Xuất nội bộ từ téc",DATA_GOC!$B:$B,"&gt;="&amp;$D8798,DATA_GOC!$B:$B,"&lt;="&amp;$E8798))</f>
        <v/>
      </c>
      <c r="J8798" s="59">
        <f t="shared" si="28"/>
        <v>0</v>
      </c>
      <c r="K8798" s="59">
        <f t="shared" si="29"/>
        <v>0</v>
      </c>
      <c r="L8798" s="59">
        <f t="shared" si="30"/>
        <v>0</v>
      </c>
      <c r="M8798" s="59">
        <f t="shared" si="31"/>
        <v>0</v>
      </c>
    </row>
    <row r="8799" ht="15.0" hidden="1" customHeight="1">
      <c r="A8799" s="59">
        <f t="shared" si="20"/>
        <v>143</v>
      </c>
      <c r="B8799" s="59" t="str">
        <f t="shared" si="21"/>
        <v/>
      </c>
      <c r="C8799" s="59" t="str">
        <f t="shared" si="22"/>
        <v/>
      </c>
      <c r="D8799" s="45" t="str">
        <f t="shared" si="23"/>
        <v/>
      </c>
      <c r="E8799" s="45" t="str">
        <f t="shared" si="24"/>
        <v/>
      </c>
      <c r="F8799" s="59" t="str">
        <f t="shared" si="25"/>
        <v/>
      </c>
      <c r="G8799" s="59" t="str">
        <f t="shared" si="26"/>
        <v/>
      </c>
      <c r="H8799" s="59" t="str">
        <f t="shared" si="27"/>
        <v>Công trình Asphalt</v>
      </c>
      <c r="I8799" s="59" t="str">
        <f>IF(OR($A8799="",$C8799="",$D8799="",$E8799="",$H8799=""),"",SUMIFS(DATA_GOC!$H:$H,DATA_GOC!$A:$A,"BOM",DATA_GOC!$D:$D,$H8799,DATA_GOC!$E:$E,$C8799,DATA_GOC!$F:$F,"Xuất nội bộ từ téc",DATA_GOC!$B:$B,"&gt;="&amp;$D8799,DATA_GOC!$B:$B,"&lt;="&amp;$E8799))</f>
        <v/>
      </c>
      <c r="J8799" s="59">
        <f t="shared" si="28"/>
        <v>0</v>
      </c>
      <c r="K8799" s="59">
        <f t="shared" si="29"/>
        <v>0</v>
      </c>
      <c r="L8799" s="59">
        <f t="shared" si="30"/>
        <v>0</v>
      </c>
      <c r="M8799" s="59">
        <f t="shared" si="31"/>
        <v>0</v>
      </c>
    </row>
    <row r="8800" ht="15.0" hidden="1" customHeight="1">
      <c r="A8800" s="59">
        <f t="shared" si="20"/>
        <v>143</v>
      </c>
      <c r="B8800" s="59" t="str">
        <f t="shared" si="21"/>
        <v/>
      </c>
      <c r="C8800" s="59" t="str">
        <f t="shared" si="22"/>
        <v/>
      </c>
      <c r="D8800" s="45" t="str">
        <f t="shared" si="23"/>
        <v/>
      </c>
      <c r="E8800" s="45" t="str">
        <f t="shared" si="24"/>
        <v/>
      </c>
      <c r="F8800" s="59" t="str">
        <f t="shared" si="25"/>
        <v/>
      </c>
      <c r="G8800" s="59" t="str">
        <f t="shared" si="26"/>
        <v/>
      </c>
      <c r="H8800" s="59" t="str">
        <f t="shared" si="27"/>
        <v>LG53F</v>
      </c>
      <c r="I8800" s="59" t="str">
        <f>IF(OR($A8800="",$C8800="",$D8800="",$E8800="",$H8800=""),"",SUMIFS(DATA_GOC!$H:$H,DATA_GOC!$A:$A,"BOM",DATA_GOC!$D:$D,$H8800,DATA_GOC!$E:$E,$C8800,DATA_GOC!$F:$F,"Xuất nội bộ từ téc",DATA_GOC!$B:$B,"&gt;="&amp;$D8800,DATA_GOC!$B:$B,"&lt;="&amp;$E8800))</f>
        <v/>
      </c>
      <c r="J8800" s="59">
        <f t="shared" si="28"/>
        <v>0</v>
      </c>
      <c r="K8800" s="59">
        <f t="shared" si="29"/>
        <v>0</v>
      </c>
      <c r="L8800" s="59">
        <f t="shared" si="30"/>
        <v>0</v>
      </c>
      <c r="M8800" s="59">
        <f t="shared" si="31"/>
        <v>0</v>
      </c>
    </row>
    <row r="8801" ht="15.0" hidden="1" customHeight="1">
      <c r="A8801" s="59">
        <f t="shared" si="20"/>
        <v>143</v>
      </c>
      <c r="B8801" s="59" t="str">
        <f t="shared" si="21"/>
        <v/>
      </c>
      <c r="C8801" s="59" t="str">
        <f t="shared" si="22"/>
        <v/>
      </c>
      <c r="D8801" s="45" t="str">
        <f t="shared" si="23"/>
        <v/>
      </c>
      <c r="E8801" s="45" t="str">
        <f t="shared" si="24"/>
        <v/>
      </c>
      <c r="F8801" s="59" t="str">
        <f t="shared" si="25"/>
        <v/>
      </c>
      <c r="G8801" s="59" t="str">
        <f t="shared" si="26"/>
        <v/>
      </c>
      <c r="H8801" s="59" t="str">
        <f t="shared" si="27"/>
        <v>Máy phát điện</v>
      </c>
      <c r="I8801" s="59" t="str">
        <f>IF(OR($A8801="",$C8801="",$D8801="",$E8801="",$H8801=""),"",SUMIFS(DATA_GOC!$H:$H,DATA_GOC!$A:$A,"BOM",DATA_GOC!$D:$D,$H8801,DATA_GOC!$E:$E,$C8801,DATA_GOC!$F:$F,"Xuất nội bộ từ téc",DATA_GOC!$B:$B,"&gt;="&amp;$D8801,DATA_GOC!$B:$B,"&lt;="&amp;$E8801))</f>
        <v/>
      </c>
      <c r="J8801" s="59">
        <f t="shared" si="28"/>
        <v>0</v>
      </c>
      <c r="K8801" s="59">
        <f t="shared" si="29"/>
        <v>0</v>
      </c>
      <c r="L8801" s="59">
        <f t="shared" si="30"/>
        <v>0</v>
      </c>
      <c r="M8801" s="59">
        <f t="shared" si="31"/>
        <v>0</v>
      </c>
    </row>
    <row r="8802" ht="15.0" hidden="1" customHeight="1">
      <c r="A8802" s="59">
        <f t="shared" si="20"/>
        <v>143</v>
      </c>
      <c r="B8802" s="59" t="str">
        <f t="shared" si="21"/>
        <v/>
      </c>
      <c r="C8802" s="59" t="str">
        <f t="shared" si="22"/>
        <v/>
      </c>
      <c r="D8802" s="45" t="str">
        <f t="shared" si="23"/>
        <v/>
      </c>
      <c r="E8802" s="45" t="str">
        <f t="shared" si="24"/>
        <v/>
      </c>
      <c r="F8802" s="59" t="str">
        <f t="shared" si="25"/>
        <v/>
      </c>
      <c r="G8802" s="59" t="str">
        <f t="shared" si="26"/>
        <v/>
      </c>
      <c r="H8802" s="59" t="str">
        <f t="shared" si="27"/>
        <v>Máy rải thảm</v>
      </c>
      <c r="I8802" s="59" t="str">
        <f>IF(OR($A8802="",$C8802="",$D8802="",$E8802="",$H8802=""),"",SUMIFS(DATA_GOC!$H:$H,DATA_GOC!$A:$A,"BOM",DATA_GOC!$D:$D,$H8802,DATA_GOC!$E:$E,$C8802,DATA_GOC!$F:$F,"Xuất nội bộ từ téc",DATA_GOC!$B:$B,"&gt;="&amp;$D8802,DATA_GOC!$B:$B,"&lt;="&amp;$E8802))</f>
        <v/>
      </c>
      <c r="J8802" s="59">
        <f t="shared" si="28"/>
        <v>0</v>
      </c>
      <c r="K8802" s="59">
        <f t="shared" si="29"/>
        <v>0</v>
      </c>
      <c r="L8802" s="59">
        <f t="shared" si="30"/>
        <v>0</v>
      </c>
      <c r="M8802" s="59">
        <f t="shared" si="31"/>
        <v>0</v>
      </c>
    </row>
    <row r="8803" ht="15.0" hidden="1" customHeight="1">
      <c r="A8803" s="59">
        <f t="shared" si="20"/>
        <v>143</v>
      </c>
      <c r="B8803" s="59" t="str">
        <f t="shared" si="21"/>
        <v/>
      </c>
      <c r="C8803" s="59" t="str">
        <f t="shared" si="22"/>
        <v/>
      </c>
      <c r="D8803" s="45" t="str">
        <f t="shared" si="23"/>
        <v/>
      </c>
      <c r="E8803" s="45" t="str">
        <f t="shared" si="24"/>
        <v/>
      </c>
      <c r="F8803" s="59" t="str">
        <f t="shared" si="25"/>
        <v/>
      </c>
      <c r="G8803" s="59" t="str">
        <f t="shared" si="26"/>
        <v/>
      </c>
      <c r="H8803" s="59" t="str">
        <f t="shared" si="27"/>
        <v>Xúc Đào</v>
      </c>
      <c r="I8803" s="59" t="str">
        <f>IF(OR($A8803="",$C8803="",$D8803="",$E8803="",$H8803=""),"",SUMIFS(DATA_GOC!$H:$H,DATA_GOC!$A:$A,"BOM",DATA_GOC!$D:$D,$H8803,DATA_GOC!$E:$E,$C8803,DATA_GOC!$F:$F,"Xuất nội bộ từ téc",DATA_GOC!$B:$B,"&gt;="&amp;$D8803,DATA_GOC!$B:$B,"&lt;="&amp;$E8803))</f>
        <v/>
      </c>
      <c r="J8803" s="59">
        <f t="shared" si="28"/>
        <v>0</v>
      </c>
      <c r="K8803" s="59">
        <f t="shared" si="29"/>
        <v>0</v>
      </c>
      <c r="L8803" s="59">
        <f t="shared" si="30"/>
        <v>0</v>
      </c>
      <c r="M8803" s="59">
        <f t="shared" si="31"/>
        <v>0</v>
      </c>
    </row>
    <row r="8804" ht="15.0" hidden="1" customHeight="1">
      <c r="A8804" s="59">
        <f t="shared" si="20"/>
        <v>143</v>
      </c>
      <c r="B8804" s="59" t="str">
        <f t="shared" si="21"/>
        <v/>
      </c>
      <c r="C8804" s="59" t="str">
        <f t="shared" si="22"/>
        <v/>
      </c>
      <c r="D8804" s="45" t="str">
        <f t="shared" si="23"/>
        <v/>
      </c>
      <c r="E8804" s="45" t="str">
        <f t="shared" si="24"/>
        <v/>
      </c>
      <c r="F8804" s="59" t="str">
        <f t="shared" si="25"/>
        <v/>
      </c>
      <c r="G8804" s="59" t="str">
        <f t="shared" si="26"/>
        <v/>
      </c>
      <c r="H8804" s="59" t="str">
        <f t="shared" si="27"/>
        <v>Xúclật asphalt</v>
      </c>
      <c r="I8804" s="59" t="str">
        <f>IF(OR($A8804="",$C8804="",$D8804="",$E8804="",$H8804=""),"",SUMIFS(DATA_GOC!$H:$H,DATA_GOC!$A:$A,"BOM",DATA_GOC!$D:$D,$H8804,DATA_GOC!$E:$E,$C8804,DATA_GOC!$F:$F,"Xuất nội bộ từ téc",DATA_GOC!$B:$B,"&gt;="&amp;$D8804,DATA_GOC!$B:$B,"&lt;="&amp;$E8804))</f>
        <v/>
      </c>
      <c r="J8804" s="59">
        <f t="shared" si="28"/>
        <v>0</v>
      </c>
      <c r="K8804" s="59">
        <f t="shared" si="29"/>
        <v>0</v>
      </c>
      <c r="L8804" s="59">
        <f t="shared" si="30"/>
        <v>0</v>
      </c>
      <c r="M8804" s="59">
        <f t="shared" si="31"/>
        <v>0</v>
      </c>
    </row>
    <row r="8805" ht="15.0" hidden="1" customHeight="1">
      <c r="A8805" s="59">
        <f t="shared" si="20"/>
        <v>143</v>
      </c>
      <c r="B8805" s="59" t="str">
        <f t="shared" si="21"/>
        <v/>
      </c>
      <c r="C8805" s="59" t="str">
        <f t="shared" si="22"/>
        <v/>
      </c>
      <c r="D8805" s="45" t="str">
        <f t="shared" si="23"/>
        <v/>
      </c>
      <c r="E8805" s="45" t="str">
        <f t="shared" si="24"/>
        <v/>
      </c>
      <c r="F8805" s="59" t="str">
        <f t="shared" si="25"/>
        <v/>
      </c>
      <c r="G8805" s="59" t="str">
        <f t="shared" si="26"/>
        <v/>
      </c>
      <c r="H8805" s="59" t="str">
        <f t="shared" si="27"/>
        <v>Xúclật855H</v>
      </c>
      <c r="I8805" s="59" t="str">
        <f>IF(OR($A8805="",$C8805="",$D8805="",$E8805="",$H8805=""),"",SUMIFS(DATA_GOC!$H:$H,DATA_GOC!$A:$A,"BOM",DATA_GOC!$D:$D,$H8805,DATA_GOC!$E:$E,$C8805,DATA_GOC!$F:$F,"Xuất nội bộ từ téc",DATA_GOC!$B:$B,"&gt;="&amp;$D8805,DATA_GOC!$B:$B,"&lt;="&amp;$E8805))</f>
        <v/>
      </c>
      <c r="J8805" s="59">
        <f t="shared" si="28"/>
        <v>0</v>
      </c>
      <c r="K8805" s="59">
        <f t="shared" si="29"/>
        <v>0</v>
      </c>
      <c r="L8805" s="59">
        <f t="shared" si="30"/>
        <v>0</v>
      </c>
      <c r="M8805" s="59">
        <f t="shared" si="31"/>
        <v>0</v>
      </c>
    </row>
    <row r="8806" ht="15.0" hidden="1" customHeight="1">
      <c r="A8806" s="59">
        <f t="shared" si="20"/>
        <v>143</v>
      </c>
      <c r="B8806" s="59" t="str">
        <f t="shared" si="21"/>
        <v/>
      </c>
      <c r="C8806" s="59" t="str">
        <f t="shared" si="22"/>
        <v/>
      </c>
      <c r="D8806" s="45" t="str">
        <f t="shared" si="23"/>
        <v/>
      </c>
      <c r="E8806" s="45" t="str">
        <f t="shared" si="24"/>
        <v/>
      </c>
      <c r="F8806" s="59" t="str">
        <f t="shared" si="25"/>
        <v/>
      </c>
      <c r="G8806" s="59" t="str">
        <f t="shared" si="26"/>
        <v/>
      </c>
      <c r="H8806" s="59" t="str">
        <f t="shared" si="27"/>
        <v>Xúclật855N</v>
      </c>
      <c r="I8806" s="59" t="str">
        <f>IF(OR($A8806="",$C8806="",$D8806="",$E8806="",$H8806=""),"",SUMIFS(DATA_GOC!$H:$H,DATA_GOC!$A:$A,"BOM",DATA_GOC!$D:$D,$H8806,DATA_GOC!$E:$E,$C8806,DATA_GOC!$F:$F,"Xuất nội bộ từ téc",DATA_GOC!$B:$B,"&gt;="&amp;$D8806,DATA_GOC!$B:$B,"&lt;="&amp;$E8806))</f>
        <v/>
      </c>
      <c r="J8806" s="59">
        <f t="shared" si="28"/>
        <v>0</v>
      </c>
      <c r="K8806" s="59">
        <f t="shared" si="29"/>
        <v>0</v>
      </c>
      <c r="L8806" s="59">
        <f t="shared" si="30"/>
        <v>0</v>
      </c>
      <c r="M8806" s="59">
        <f t="shared" si="31"/>
        <v>0</v>
      </c>
    </row>
    <row r="8807" ht="15.0" hidden="1" customHeight="1">
      <c r="A8807" s="59">
        <f t="shared" si="20"/>
        <v>143</v>
      </c>
      <c r="B8807" s="59" t="str">
        <f t="shared" si="21"/>
        <v/>
      </c>
      <c r="C8807" s="59" t="str">
        <f t="shared" si="22"/>
        <v/>
      </c>
      <c r="D8807" s="45" t="str">
        <f t="shared" si="23"/>
        <v/>
      </c>
      <c r="E8807" s="45" t="str">
        <f t="shared" si="24"/>
        <v/>
      </c>
      <c r="F8807" s="59" t="str">
        <f t="shared" si="25"/>
        <v/>
      </c>
      <c r="G8807" s="59" t="str">
        <f t="shared" si="26"/>
        <v/>
      </c>
      <c r="H8807" s="59" t="str">
        <f t="shared" si="27"/>
        <v>Cát nghiền</v>
      </c>
      <c r="I8807" s="59" t="str">
        <f>IF(OR($A8807="",$C8807="",$D8807="",$E8807="",$H8807=""),"",SUMIFS(DATA_GOC!$H:$H,DATA_GOC!$A:$A,"BOM",DATA_GOC!$D:$D,$H8807,DATA_GOC!$E:$E,$C8807,DATA_GOC!$F:$F,"Xuất nội bộ từ téc",DATA_GOC!$B:$B,"&gt;="&amp;$D8807,DATA_GOC!$B:$B,"&lt;="&amp;$E8807))</f>
        <v/>
      </c>
      <c r="J8807" s="59">
        <f t="shared" si="28"/>
        <v>0</v>
      </c>
      <c r="K8807" s="59">
        <f t="shared" si="29"/>
        <v>0</v>
      </c>
      <c r="L8807" s="59">
        <f t="shared" si="30"/>
        <v>0</v>
      </c>
      <c r="M8807" s="59">
        <f t="shared" si="31"/>
        <v>0</v>
      </c>
    </row>
    <row r="8808" ht="15.0" hidden="1" customHeight="1">
      <c r="A8808" s="59">
        <f t="shared" si="20"/>
        <v>143</v>
      </c>
      <c r="B8808" s="59" t="str">
        <f t="shared" si="21"/>
        <v/>
      </c>
      <c r="C8808" s="59" t="str">
        <f t="shared" si="22"/>
        <v/>
      </c>
      <c r="D8808" s="45" t="str">
        <f t="shared" si="23"/>
        <v/>
      </c>
      <c r="E8808" s="45" t="str">
        <f t="shared" si="24"/>
        <v/>
      </c>
      <c r="F8808" s="59" t="str">
        <f t="shared" si="25"/>
        <v/>
      </c>
      <c r="G8808" s="59" t="str">
        <f t="shared" si="26"/>
        <v/>
      </c>
      <c r="H8808" s="59" t="str">
        <f t="shared" si="27"/>
        <v>28C02973</v>
      </c>
      <c r="I8808" s="59" t="str">
        <f>IF(OR($A8808="",$C8808="",$D8808="",$E8808="",$H8808=""),"",SUMIFS(DATA_GOC!$H:$H,DATA_GOC!$A:$A,"BOM",DATA_GOC!$D:$D,$H8808,DATA_GOC!$E:$E,$C8808,DATA_GOC!$F:$F,"Xuất nội bộ từ téc",DATA_GOC!$B:$B,"&gt;="&amp;$D8808,DATA_GOC!$B:$B,"&lt;="&amp;$E8808))</f>
        <v/>
      </c>
      <c r="J8808" s="59">
        <f t="shared" si="28"/>
        <v>0</v>
      </c>
      <c r="K8808" s="59">
        <f t="shared" si="29"/>
        <v>0</v>
      </c>
      <c r="L8808" s="59">
        <f t="shared" si="30"/>
        <v>0</v>
      </c>
      <c r="M8808" s="59">
        <f t="shared" si="31"/>
        <v>0</v>
      </c>
    </row>
    <row r="8809" ht="15.0" hidden="1" customHeight="1">
      <c r="A8809" s="59">
        <f t="shared" si="20"/>
        <v>143</v>
      </c>
      <c r="B8809" s="59" t="str">
        <f t="shared" si="21"/>
        <v/>
      </c>
      <c r="C8809" s="59" t="str">
        <f t="shared" si="22"/>
        <v/>
      </c>
      <c r="D8809" s="45" t="str">
        <f t="shared" si="23"/>
        <v/>
      </c>
      <c r="E8809" s="45" t="str">
        <f t="shared" si="24"/>
        <v/>
      </c>
      <c r="F8809" s="59" t="str">
        <f t="shared" si="25"/>
        <v/>
      </c>
      <c r="G8809" s="59" t="str">
        <f t="shared" si="26"/>
        <v/>
      </c>
      <c r="H8809" s="59" t="str">
        <f t="shared" si="27"/>
        <v>28C03044</v>
      </c>
      <c r="I8809" s="59" t="str">
        <f>IF(OR($A8809="",$C8809="",$D8809="",$E8809="",$H8809=""),"",SUMIFS(DATA_GOC!$H:$H,DATA_GOC!$A:$A,"BOM",DATA_GOC!$D:$D,$H8809,DATA_GOC!$E:$E,$C8809,DATA_GOC!$F:$F,"Xuất nội bộ từ téc",DATA_GOC!$B:$B,"&gt;="&amp;$D8809,DATA_GOC!$B:$B,"&lt;="&amp;$E8809))</f>
        <v/>
      </c>
      <c r="J8809" s="59">
        <f t="shared" si="28"/>
        <v>0</v>
      </c>
      <c r="K8809" s="59">
        <f t="shared" si="29"/>
        <v>0</v>
      </c>
      <c r="L8809" s="59">
        <f t="shared" si="30"/>
        <v>0</v>
      </c>
      <c r="M8809" s="59">
        <f t="shared" si="31"/>
        <v>0</v>
      </c>
    </row>
    <row r="8810" ht="15.0" hidden="1" customHeight="1">
      <c r="A8810" s="59">
        <f t="shared" si="20"/>
        <v>143</v>
      </c>
      <c r="B8810" s="59" t="str">
        <f t="shared" si="21"/>
        <v/>
      </c>
      <c r="C8810" s="59" t="str">
        <f t="shared" si="22"/>
        <v/>
      </c>
      <c r="D8810" s="45" t="str">
        <f t="shared" si="23"/>
        <v/>
      </c>
      <c r="E8810" s="45" t="str">
        <f t="shared" si="24"/>
        <v/>
      </c>
      <c r="F8810" s="59" t="str">
        <f t="shared" si="25"/>
        <v/>
      </c>
      <c r="G8810" s="59" t="str">
        <f t="shared" si="26"/>
        <v/>
      </c>
      <c r="H8810" s="59" t="str">
        <f t="shared" si="27"/>
        <v>Máy lu lốp</v>
      </c>
      <c r="I8810" s="59" t="str">
        <f>IF(OR($A8810="",$C8810="",$D8810="",$E8810="",$H8810=""),"",SUMIFS(DATA_GOC!$H:$H,DATA_GOC!$A:$A,"BOM",DATA_GOC!$D:$D,$H8810,DATA_GOC!$E:$E,$C8810,DATA_GOC!$F:$F,"Xuất nội bộ từ téc",DATA_GOC!$B:$B,"&gt;="&amp;$D8810,DATA_GOC!$B:$B,"&lt;="&amp;$E8810))</f>
        <v/>
      </c>
      <c r="J8810" s="59">
        <f t="shared" si="28"/>
        <v>0</v>
      </c>
      <c r="K8810" s="59">
        <f t="shared" si="29"/>
        <v>0</v>
      </c>
      <c r="L8810" s="59">
        <f t="shared" si="30"/>
        <v>0</v>
      </c>
      <c r="M8810" s="59">
        <f t="shared" si="31"/>
        <v>0</v>
      </c>
    </row>
    <row r="8811" ht="15.0" hidden="1" customHeight="1">
      <c r="A8811" s="59">
        <f t="shared" si="20"/>
        <v>143</v>
      </c>
      <c r="B8811" s="59" t="str">
        <f t="shared" si="21"/>
        <v/>
      </c>
      <c r="C8811" s="59" t="str">
        <f t="shared" si="22"/>
        <v/>
      </c>
      <c r="D8811" s="45" t="str">
        <f t="shared" si="23"/>
        <v/>
      </c>
      <c r="E8811" s="45" t="str">
        <f t="shared" si="24"/>
        <v/>
      </c>
      <c r="F8811" s="59" t="str">
        <f t="shared" si="25"/>
        <v/>
      </c>
      <c r="G8811" s="59" t="str">
        <f t="shared" si="26"/>
        <v/>
      </c>
      <c r="H8811" s="59" t="str">
        <f t="shared" si="27"/>
        <v>Xe 600148</v>
      </c>
      <c r="I8811" s="59" t="str">
        <f>IF(OR($A8811="",$C8811="",$D8811="",$E8811="",$H8811=""),"",SUMIFS(DATA_GOC!$H:$H,DATA_GOC!$A:$A,"BOM",DATA_GOC!$D:$D,$H8811,DATA_GOC!$E:$E,$C8811,DATA_GOC!$F:$F,"Xuất nội bộ từ téc",DATA_GOC!$B:$B,"&gt;="&amp;$D8811,DATA_GOC!$B:$B,"&lt;="&amp;$E8811))</f>
        <v/>
      </c>
      <c r="J8811" s="59">
        <f t="shared" si="28"/>
        <v>0</v>
      </c>
      <c r="K8811" s="59">
        <f t="shared" si="29"/>
        <v>0</v>
      </c>
      <c r="L8811" s="59">
        <f t="shared" si="30"/>
        <v>0</v>
      </c>
      <c r="M8811" s="59">
        <f t="shared" si="31"/>
        <v>0</v>
      </c>
    </row>
    <row r="8812" ht="15.0" hidden="1" customHeight="1">
      <c r="A8812" s="59">
        <f t="shared" si="20"/>
        <v>143</v>
      </c>
      <c r="B8812" s="59" t="str">
        <f t="shared" si="21"/>
        <v/>
      </c>
      <c r="C8812" s="59" t="str">
        <f t="shared" si="22"/>
        <v/>
      </c>
      <c r="D8812" s="45" t="str">
        <f t="shared" si="23"/>
        <v/>
      </c>
      <c r="E8812" s="45" t="str">
        <f t="shared" si="24"/>
        <v/>
      </c>
      <c r="F8812" s="59" t="str">
        <f t="shared" si="25"/>
        <v/>
      </c>
      <c r="G8812" s="59" t="str">
        <f t="shared" si="26"/>
        <v/>
      </c>
      <c r="H8812" s="59" t="str">
        <f t="shared" si="27"/>
        <v>Xe ben mới</v>
      </c>
      <c r="I8812" s="59" t="str">
        <f>IF(OR($A8812="",$C8812="",$D8812="",$E8812="",$H8812=""),"",SUMIFS(DATA_GOC!$H:$H,DATA_GOC!$A:$A,"BOM",DATA_GOC!$D:$D,$H8812,DATA_GOC!$E:$E,$C8812,DATA_GOC!$F:$F,"Xuất nội bộ từ téc",DATA_GOC!$B:$B,"&gt;="&amp;$D8812,DATA_GOC!$B:$B,"&lt;="&amp;$E8812))</f>
        <v/>
      </c>
      <c r="J8812" s="59">
        <f t="shared" si="28"/>
        <v>0</v>
      </c>
      <c r="K8812" s="59">
        <f t="shared" si="29"/>
        <v>0</v>
      </c>
      <c r="L8812" s="59">
        <f t="shared" si="30"/>
        <v>0</v>
      </c>
      <c r="M8812" s="59">
        <f t="shared" si="31"/>
        <v>0</v>
      </c>
    </row>
    <row r="8813" ht="15.0" hidden="1" customHeight="1">
      <c r="A8813" s="59">
        <f t="shared" si="20"/>
        <v>144</v>
      </c>
      <c r="B8813" s="59" t="str">
        <f t="shared" si="21"/>
        <v/>
      </c>
      <c r="C8813" s="59" t="str">
        <f t="shared" si="22"/>
        <v/>
      </c>
      <c r="D8813" s="45" t="str">
        <f t="shared" si="23"/>
        <v/>
      </c>
      <c r="E8813" s="45" t="str">
        <f t="shared" si="24"/>
        <v/>
      </c>
      <c r="F8813" s="59" t="str">
        <f t="shared" si="25"/>
        <v/>
      </c>
      <c r="G8813" s="59" t="str">
        <f t="shared" si="26"/>
        <v/>
      </c>
      <c r="H8813" s="59" t="str">
        <f t="shared" si="27"/>
        <v>19H09482</v>
      </c>
      <c r="I8813" s="59" t="str">
        <f>IF(OR($A8813="",$C8813="",$D8813="",$E8813="",$H8813=""),"",SUMIFS(DATA_GOC!$H:$H,DATA_GOC!$A:$A,"BOM",DATA_GOC!$D:$D,$H8813,DATA_GOC!$E:$E,$C8813,DATA_GOC!$F:$F,"Xuất nội bộ từ téc",DATA_GOC!$B:$B,"&gt;="&amp;$D8813,DATA_GOC!$B:$B,"&lt;="&amp;$E8813))</f>
        <v/>
      </c>
      <c r="J8813" s="59">
        <f t="shared" si="28"/>
        <v>0</v>
      </c>
      <c r="K8813" s="59">
        <f t="shared" si="29"/>
        <v>0</v>
      </c>
      <c r="L8813" s="59">
        <f t="shared" si="30"/>
        <v>0</v>
      </c>
      <c r="M8813" s="59">
        <f t="shared" si="31"/>
        <v>0</v>
      </c>
    </row>
    <row r="8814" ht="15.0" hidden="1" customHeight="1">
      <c r="A8814" s="59">
        <f t="shared" si="20"/>
        <v>144</v>
      </c>
      <c r="B8814" s="59" t="str">
        <f t="shared" si="21"/>
        <v/>
      </c>
      <c r="C8814" s="59" t="str">
        <f t="shared" si="22"/>
        <v/>
      </c>
      <c r="D8814" s="45" t="str">
        <f t="shared" si="23"/>
        <v/>
      </c>
      <c r="E8814" s="45" t="str">
        <f t="shared" si="24"/>
        <v/>
      </c>
      <c r="F8814" s="59" t="str">
        <f t="shared" si="25"/>
        <v/>
      </c>
      <c r="G8814" s="59" t="str">
        <f t="shared" si="26"/>
        <v/>
      </c>
      <c r="H8814" s="59" t="str">
        <f t="shared" si="27"/>
        <v>28A30696</v>
      </c>
      <c r="I8814" s="59" t="str">
        <f>IF(OR($A8814="",$C8814="",$D8814="",$E8814="",$H8814=""),"",SUMIFS(DATA_GOC!$H:$H,DATA_GOC!$A:$A,"BOM",DATA_GOC!$D:$D,$H8814,DATA_GOC!$E:$E,$C8814,DATA_GOC!$F:$F,"Xuất nội bộ từ téc",DATA_GOC!$B:$B,"&gt;="&amp;$D8814,DATA_GOC!$B:$B,"&lt;="&amp;$E8814))</f>
        <v/>
      </c>
      <c r="J8814" s="59">
        <f t="shared" si="28"/>
        <v>0</v>
      </c>
      <c r="K8814" s="59">
        <f t="shared" si="29"/>
        <v>0</v>
      </c>
      <c r="L8814" s="59">
        <f t="shared" si="30"/>
        <v>0</v>
      </c>
      <c r="M8814" s="59">
        <f t="shared" si="31"/>
        <v>0</v>
      </c>
    </row>
    <row r="8815" ht="15.0" hidden="1" customHeight="1">
      <c r="A8815" s="59">
        <f t="shared" si="20"/>
        <v>144</v>
      </c>
      <c r="B8815" s="59" t="str">
        <f t="shared" si="21"/>
        <v/>
      </c>
      <c r="C8815" s="59" t="str">
        <f t="shared" si="22"/>
        <v/>
      </c>
      <c r="D8815" s="45" t="str">
        <f t="shared" si="23"/>
        <v/>
      </c>
      <c r="E8815" s="45" t="str">
        <f t="shared" si="24"/>
        <v/>
      </c>
      <c r="F8815" s="59" t="str">
        <f t="shared" si="25"/>
        <v/>
      </c>
      <c r="G8815" s="59" t="str">
        <f t="shared" si="26"/>
        <v/>
      </c>
      <c r="H8815" s="59" t="str">
        <f t="shared" si="27"/>
        <v>28C00462</v>
      </c>
      <c r="I8815" s="59" t="str">
        <f>IF(OR($A8815="",$C8815="",$D8815="",$E8815="",$H8815=""),"",SUMIFS(DATA_GOC!$H:$H,DATA_GOC!$A:$A,"BOM",DATA_GOC!$D:$D,$H8815,DATA_GOC!$E:$E,$C8815,DATA_GOC!$F:$F,"Xuất nội bộ từ téc",DATA_GOC!$B:$B,"&gt;="&amp;$D8815,DATA_GOC!$B:$B,"&lt;="&amp;$E8815))</f>
        <v/>
      </c>
      <c r="J8815" s="59">
        <f t="shared" si="28"/>
        <v>0</v>
      </c>
      <c r="K8815" s="59">
        <f t="shared" si="29"/>
        <v>0</v>
      </c>
      <c r="L8815" s="59">
        <f t="shared" si="30"/>
        <v>0</v>
      </c>
      <c r="M8815" s="59">
        <f t="shared" si="31"/>
        <v>0</v>
      </c>
    </row>
    <row r="8816" ht="15.0" hidden="1" customHeight="1">
      <c r="A8816" s="59">
        <f t="shared" si="20"/>
        <v>144</v>
      </c>
      <c r="B8816" s="59" t="str">
        <f t="shared" si="21"/>
        <v/>
      </c>
      <c r="C8816" s="59" t="str">
        <f t="shared" si="22"/>
        <v/>
      </c>
      <c r="D8816" s="45" t="str">
        <f t="shared" si="23"/>
        <v/>
      </c>
      <c r="E8816" s="45" t="str">
        <f t="shared" si="24"/>
        <v/>
      </c>
      <c r="F8816" s="59" t="str">
        <f t="shared" si="25"/>
        <v/>
      </c>
      <c r="G8816" s="59" t="str">
        <f t="shared" si="26"/>
        <v/>
      </c>
      <c r="H8816" s="59" t="str">
        <f t="shared" si="27"/>
        <v>28C01165</v>
      </c>
      <c r="I8816" s="59" t="str">
        <f>IF(OR($A8816="",$C8816="",$D8816="",$E8816="",$H8816=""),"",SUMIFS(DATA_GOC!$H:$H,DATA_GOC!$A:$A,"BOM",DATA_GOC!$D:$D,$H8816,DATA_GOC!$E:$E,$C8816,DATA_GOC!$F:$F,"Xuất nội bộ từ téc",DATA_GOC!$B:$B,"&gt;="&amp;$D8816,DATA_GOC!$B:$B,"&lt;="&amp;$E8816))</f>
        <v/>
      </c>
      <c r="J8816" s="59">
        <f t="shared" si="28"/>
        <v>0</v>
      </c>
      <c r="K8816" s="59">
        <f t="shared" si="29"/>
        <v>0</v>
      </c>
      <c r="L8816" s="59">
        <f t="shared" si="30"/>
        <v>0</v>
      </c>
      <c r="M8816" s="59">
        <f t="shared" si="31"/>
        <v>0</v>
      </c>
    </row>
    <row r="8817" ht="15.0" hidden="1" customHeight="1">
      <c r="A8817" s="59">
        <f t="shared" si="20"/>
        <v>144</v>
      </c>
      <c r="B8817" s="59" t="str">
        <f t="shared" si="21"/>
        <v/>
      </c>
      <c r="C8817" s="59" t="str">
        <f t="shared" si="22"/>
        <v/>
      </c>
      <c r="D8817" s="45" t="str">
        <f t="shared" si="23"/>
        <v/>
      </c>
      <c r="E8817" s="45" t="str">
        <f t="shared" si="24"/>
        <v/>
      </c>
      <c r="F8817" s="59" t="str">
        <f t="shared" si="25"/>
        <v/>
      </c>
      <c r="G8817" s="59" t="str">
        <f t="shared" si="26"/>
        <v/>
      </c>
      <c r="H8817" s="59" t="str">
        <f t="shared" si="27"/>
        <v>28C01406</v>
      </c>
      <c r="I8817" s="59" t="str">
        <f>IF(OR($A8817="",$C8817="",$D8817="",$E8817="",$H8817=""),"",SUMIFS(DATA_GOC!$H:$H,DATA_GOC!$A:$A,"BOM",DATA_GOC!$D:$D,$H8817,DATA_GOC!$E:$E,$C8817,DATA_GOC!$F:$F,"Xuất nội bộ từ téc",DATA_GOC!$B:$B,"&gt;="&amp;$D8817,DATA_GOC!$B:$B,"&lt;="&amp;$E8817))</f>
        <v/>
      </c>
      <c r="J8817" s="59">
        <f t="shared" si="28"/>
        <v>0</v>
      </c>
      <c r="K8817" s="59">
        <f t="shared" si="29"/>
        <v>0</v>
      </c>
      <c r="L8817" s="59">
        <f t="shared" si="30"/>
        <v>0</v>
      </c>
      <c r="M8817" s="59">
        <f t="shared" si="31"/>
        <v>0</v>
      </c>
    </row>
    <row r="8818" ht="15.0" hidden="1" customHeight="1">
      <c r="A8818" s="59">
        <f t="shared" si="20"/>
        <v>144</v>
      </c>
      <c r="B8818" s="59" t="str">
        <f t="shared" si="21"/>
        <v/>
      </c>
      <c r="C8818" s="59" t="str">
        <f t="shared" si="22"/>
        <v/>
      </c>
      <c r="D8818" s="45" t="str">
        <f t="shared" si="23"/>
        <v/>
      </c>
      <c r="E8818" s="45" t="str">
        <f t="shared" si="24"/>
        <v/>
      </c>
      <c r="F8818" s="59" t="str">
        <f t="shared" si="25"/>
        <v/>
      </c>
      <c r="G8818" s="59" t="str">
        <f t="shared" si="26"/>
        <v/>
      </c>
      <c r="H8818" s="59" t="str">
        <f t="shared" si="27"/>
        <v>28C01544</v>
      </c>
      <c r="I8818" s="59" t="str">
        <f>IF(OR($A8818="",$C8818="",$D8818="",$E8818="",$H8818=""),"",SUMIFS(DATA_GOC!$H:$H,DATA_GOC!$A:$A,"BOM",DATA_GOC!$D:$D,$H8818,DATA_GOC!$E:$E,$C8818,DATA_GOC!$F:$F,"Xuất nội bộ từ téc",DATA_GOC!$B:$B,"&gt;="&amp;$D8818,DATA_GOC!$B:$B,"&lt;="&amp;$E8818))</f>
        <v/>
      </c>
      <c r="J8818" s="59">
        <f t="shared" si="28"/>
        <v>0</v>
      </c>
      <c r="K8818" s="59">
        <f t="shared" si="29"/>
        <v>0</v>
      </c>
      <c r="L8818" s="59">
        <f t="shared" si="30"/>
        <v>0</v>
      </c>
      <c r="M8818" s="59">
        <f t="shared" si="31"/>
        <v>0</v>
      </c>
    </row>
    <row r="8819" ht="15.0" hidden="1" customHeight="1">
      <c r="A8819" s="59">
        <f t="shared" si="20"/>
        <v>144</v>
      </c>
      <c r="B8819" s="59" t="str">
        <f t="shared" si="21"/>
        <v/>
      </c>
      <c r="C8819" s="59" t="str">
        <f t="shared" si="22"/>
        <v/>
      </c>
      <c r="D8819" s="45" t="str">
        <f t="shared" si="23"/>
        <v/>
      </c>
      <c r="E8819" s="45" t="str">
        <f t="shared" si="24"/>
        <v/>
      </c>
      <c r="F8819" s="59" t="str">
        <f t="shared" si="25"/>
        <v/>
      </c>
      <c r="G8819" s="59" t="str">
        <f t="shared" si="26"/>
        <v/>
      </c>
      <c r="H8819" s="59" t="str">
        <f t="shared" si="27"/>
        <v>28C01622</v>
      </c>
      <c r="I8819" s="59" t="str">
        <f>IF(OR($A8819="",$C8819="",$D8819="",$E8819="",$H8819=""),"",SUMIFS(DATA_GOC!$H:$H,DATA_GOC!$A:$A,"BOM",DATA_GOC!$D:$D,$H8819,DATA_GOC!$E:$E,$C8819,DATA_GOC!$F:$F,"Xuất nội bộ từ téc",DATA_GOC!$B:$B,"&gt;="&amp;$D8819,DATA_GOC!$B:$B,"&lt;="&amp;$E8819))</f>
        <v/>
      </c>
      <c r="J8819" s="59">
        <f t="shared" si="28"/>
        <v>0</v>
      </c>
      <c r="K8819" s="59">
        <f t="shared" si="29"/>
        <v>0</v>
      </c>
      <c r="L8819" s="59">
        <f t="shared" si="30"/>
        <v>0</v>
      </c>
      <c r="M8819" s="59">
        <f t="shared" si="31"/>
        <v>0</v>
      </c>
    </row>
    <row r="8820" ht="15.0" hidden="1" customHeight="1">
      <c r="A8820" s="59">
        <f t="shared" si="20"/>
        <v>144</v>
      </c>
      <c r="B8820" s="59" t="str">
        <f t="shared" si="21"/>
        <v/>
      </c>
      <c r="C8820" s="59" t="str">
        <f t="shared" si="22"/>
        <v/>
      </c>
      <c r="D8820" s="45" t="str">
        <f t="shared" si="23"/>
        <v/>
      </c>
      <c r="E8820" s="45" t="str">
        <f t="shared" si="24"/>
        <v/>
      </c>
      <c r="F8820" s="59" t="str">
        <f t="shared" si="25"/>
        <v/>
      </c>
      <c r="G8820" s="59" t="str">
        <f t="shared" si="26"/>
        <v/>
      </c>
      <c r="H8820" s="59" t="str">
        <f t="shared" si="27"/>
        <v>28C01647</v>
      </c>
      <c r="I8820" s="59" t="str">
        <f>IF(OR($A8820="",$C8820="",$D8820="",$E8820="",$H8820=""),"",SUMIFS(DATA_GOC!$H:$H,DATA_GOC!$A:$A,"BOM",DATA_GOC!$D:$D,$H8820,DATA_GOC!$E:$E,$C8820,DATA_GOC!$F:$F,"Xuất nội bộ từ téc",DATA_GOC!$B:$B,"&gt;="&amp;$D8820,DATA_GOC!$B:$B,"&lt;="&amp;$E8820))</f>
        <v/>
      </c>
      <c r="J8820" s="59">
        <f t="shared" si="28"/>
        <v>0</v>
      </c>
      <c r="K8820" s="59">
        <f t="shared" si="29"/>
        <v>0</v>
      </c>
      <c r="L8820" s="59">
        <f t="shared" si="30"/>
        <v>0</v>
      </c>
      <c r="M8820" s="59">
        <f t="shared" si="31"/>
        <v>0</v>
      </c>
    </row>
    <row r="8821" ht="15.0" hidden="1" customHeight="1">
      <c r="A8821" s="59">
        <f t="shared" si="20"/>
        <v>144</v>
      </c>
      <c r="B8821" s="59" t="str">
        <f t="shared" si="21"/>
        <v/>
      </c>
      <c r="C8821" s="59" t="str">
        <f t="shared" si="22"/>
        <v/>
      </c>
      <c r="D8821" s="45" t="str">
        <f t="shared" si="23"/>
        <v/>
      </c>
      <c r="E8821" s="45" t="str">
        <f t="shared" si="24"/>
        <v/>
      </c>
      <c r="F8821" s="59" t="str">
        <f t="shared" si="25"/>
        <v/>
      </c>
      <c r="G8821" s="59" t="str">
        <f t="shared" si="26"/>
        <v/>
      </c>
      <c r="H8821" s="59" t="str">
        <f t="shared" si="27"/>
        <v>28C01731</v>
      </c>
      <c r="I8821" s="59" t="str">
        <f>IF(OR($A8821="",$C8821="",$D8821="",$E8821="",$H8821=""),"",SUMIFS(DATA_GOC!$H:$H,DATA_GOC!$A:$A,"BOM",DATA_GOC!$D:$D,$H8821,DATA_GOC!$E:$E,$C8821,DATA_GOC!$F:$F,"Xuất nội bộ từ téc",DATA_GOC!$B:$B,"&gt;="&amp;$D8821,DATA_GOC!$B:$B,"&lt;="&amp;$E8821))</f>
        <v/>
      </c>
      <c r="J8821" s="59">
        <f t="shared" si="28"/>
        <v>0</v>
      </c>
      <c r="K8821" s="59">
        <f t="shared" si="29"/>
        <v>0</v>
      </c>
      <c r="L8821" s="59">
        <f t="shared" si="30"/>
        <v>0</v>
      </c>
      <c r="M8821" s="59">
        <f t="shared" si="31"/>
        <v>0</v>
      </c>
    </row>
    <row r="8822" ht="15.0" hidden="1" customHeight="1">
      <c r="A8822" s="59">
        <f t="shared" si="20"/>
        <v>144</v>
      </c>
      <c r="B8822" s="59" t="str">
        <f t="shared" si="21"/>
        <v/>
      </c>
      <c r="C8822" s="59" t="str">
        <f t="shared" si="22"/>
        <v/>
      </c>
      <c r="D8822" s="45" t="str">
        <f t="shared" si="23"/>
        <v/>
      </c>
      <c r="E8822" s="45" t="str">
        <f t="shared" si="24"/>
        <v/>
      </c>
      <c r="F8822" s="59" t="str">
        <f t="shared" si="25"/>
        <v/>
      </c>
      <c r="G8822" s="59" t="str">
        <f t="shared" si="26"/>
        <v/>
      </c>
      <c r="H8822" s="59" t="str">
        <f t="shared" si="27"/>
        <v>28C01743</v>
      </c>
      <c r="I8822" s="59" t="str">
        <f>IF(OR($A8822="",$C8822="",$D8822="",$E8822="",$H8822=""),"",SUMIFS(DATA_GOC!$H:$H,DATA_GOC!$A:$A,"BOM",DATA_GOC!$D:$D,$H8822,DATA_GOC!$E:$E,$C8822,DATA_GOC!$F:$F,"Xuất nội bộ từ téc",DATA_GOC!$B:$B,"&gt;="&amp;$D8822,DATA_GOC!$B:$B,"&lt;="&amp;$E8822))</f>
        <v/>
      </c>
      <c r="J8822" s="59">
        <f t="shared" si="28"/>
        <v>0</v>
      </c>
      <c r="K8822" s="59">
        <f t="shared" si="29"/>
        <v>0</v>
      </c>
      <c r="L8822" s="59">
        <f t="shared" si="30"/>
        <v>0</v>
      </c>
      <c r="M8822" s="59">
        <f t="shared" si="31"/>
        <v>0</v>
      </c>
    </row>
    <row r="8823" ht="15.0" hidden="1" customHeight="1">
      <c r="A8823" s="59">
        <f t="shared" si="20"/>
        <v>144</v>
      </c>
      <c r="B8823" s="59" t="str">
        <f t="shared" si="21"/>
        <v/>
      </c>
      <c r="C8823" s="59" t="str">
        <f t="shared" si="22"/>
        <v/>
      </c>
      <c r="D8823" s="45" t="str">
        <f t="shared" si="23"/>
        <v/>
      </c>
      <c r="E8823" s="45" t="str">
        <f t="shared" si="24"/>
        <v/>
      </c>
      <c r="F8823" s="59" t="str">
        <f t="shared" si="25"/>
        <v/>
      </c>
      <c r="G8823" s="59" t="str">
        <f t="shared" si="26"/>
        <v/>
      </c>
      <c r="H8823" s="59" t="str">
        <f t="shared" si="27"/>
        <v>28C02106</v>
      </c>
      <c r="I8823" s="59" t="str">
        <f>IF(OR($A8823="",$C8823="",$D8823="",$E8823="",$H8823=""),"",SUMIFS(DATA_GOC!$H:$H,DATA_GOC!$A:$A,"BOM",DATA_GOC!$D:$D,$H8823,DATA_GOC!$E:$E,$C8823,DATA_GOC!$F:$F,"Xuất nội bộ từ téc",DATA_GOC!$B:$B,"&gt;="&amp;$D8823,DATA_GOC!$B:$B,"&lt;="&amp;$E8823))</f>
        <v/>
      </c>
      <c r="J8823" s="59">
        <f t="shared" si="28"/>
        <v>0</v>
      </c>
      <c r="K8823" s="59">
        <f t="shared" si="29"/>
        <v>0</v>
      </c>
      <c r="L8823" s="59">
        <f t="shared" si="30"/>
        <v>0</v>
      </c>
      <c r="M8823" s="59">
        <f t="shared" si="31"/>
        <v>0</v>
      </c>
    </row>
    <row r="8824" ht="15.0" hidden="1" customHeight="1">
      <c r="A8824" s="59">
        <f t="shared" si="20"/>
        <v>144</v>
      </c>
      <c r="B8824" s="59" t="str">
        <f t="shared" si="21"/>
        <v/>
      </c>
      <c r="C8824" s="59" t="str">
        <f t="shared" si="22"/>
        <v/>
      </c>
      <c r="D8824" s="45" t="str">
        <f t="shared" si="23"/>
        <v/>
      </c>
      <c r="E8824" s="45" t="str">
        <f t="shared" si="24"/>
        <v/>
      </c>
      <c r="F8824" s="59" t="str">
        <f t="shared" si="25"/>
        <v/>
      </c>
      <c r="G8824" s="59" t="str">
        <f t="shared" si="26"/>
        <v/>
      </c>
      <c r="H8824" s="59" t="str">
        <f t="shared" si="27"/>
        <v>28C02410</v>
      </c>
      <c r="I8824" s="59" t="str">
        <f>IF(OR($A8824="",$C8824="",$D8824="",$E8824="",$H8824=""),"",SUMIFS(DATA_GOC!$H:$H,DATA_GOC!$A:$A,"BOM",DATA_GOC!$D:$D,$H8824,DATA_GOC!$E:$E,$C8824,DATA_GOC!$F:$F,"Xuất nội bộ từ téc",DATA_GOC!$B:$B,"&gt;="&amp;$D8824,DATA_GOC!$B:$B,"&lt;="&amp;$E8824))</f>
        <v/>
      </c>
      <c r="J8824" s="59">
        <f t="shared" si="28"/>
        <v>0</v>
      </c>
      <c r="K8824" s="59">
        <f t="shared" si="29"/>
        <v>0</v>
      </c>
      <c r="L8824" s="59">
        <f t="shared" si="30"/>
        <v>0</v>
      </c>
      <c r="M8824" s="59">
        <f t="shared" si="31"/>
        <v>0</v>
      </c>
    </row>
    <row r="8825" ht="15.0" hidden="1" customHeight="1">
      <c r="A8825" s="59">
        <f t="shared" si="20"/>
        <v>144</v>
      </c>
      <c r="B8825" s="59" t="str">
        <f t="shared" si="21"/>
        <v/>
      </c>
      <c r="C8825" s="59" t="str">
        <f t="shared" si="22"/>
        <v/>
      </c>
      <c r="D8825" s="45" t="str">
        <f t="shared" si="23"/>
        <v/>
      </c>
      <c r="E8825" s="45" t="str">
        <f t="shared" si="24"/>
        <v/>
      </c>
      <c r="F8825" s="59" t="str">
        <f t="shared" si="25"/>
        <v/>
      </c>
      <c r="G8825" s="59" t="str">
        <f t="shared" si="26"/>
        <v/>
      </c>
      <c r="H8825" s="59" t="str">
        <f t="shared" si="27"/>
        <v>28C02545</v>
      </c>
      <c r="I8825" s="59" t="str">
        <f>IF(OR($A8825="",$C8825="",$D8825="",$E8825="",$H8825=""),"",SUMIFS(DATA_GOC!$H:$H,DATA_GOC!$A:$A,"BOM",DATA_GOC!$D:$D,$H8825,DATA_GOC!$E:$E,$C8825,DATA_GOC!$F:$F,"Xuất nội bộ từ téc",DATA_GOC!$B:$B,"&gt;="&amp;$D8825,DATA_GOC!$B:$B,"&lt;="&amp;$E8825))</f>
        <v/>
      </c>
      <c r="J8825" s="59">
        <f t="shared" si="28"/>
        <v>0</v>
      </c>
      <c r="K8825" s="59">
        <f t="shared" si="29"/>
        <v>0</v>
      </c>
      <c r="L8825" s="59">
        <f t="shared" si="30"/>
        <v>0</v>
      </c>
      <c r="M8825" s="59">
        <f t="shared" si="31"/>
        <v>0</v>
      </c>
    </row>
    <row r="8826" ht="15.0" hidden="1" customHeight="1">
      <c r="A8826" s="59">
        <f t="shared" si="20"/>
        <v>144</v>
      </c>
      <c r="B8826" s="59" t="str">
        <f t="shared" si="21"/>
        <v/>
      </c>
      <c r="C8826" s="59" t="str">
        <f t="shared" si="22"/>
        <v/>
      </c>
      <c r="D8826" s="45" t="str">
        <f t="shared" si="23"/>
        <v/>
      </c>
      <c r="E8826" s="45" t="str">
        <f t="shared" si="24"/>
        <v/>
      </c>
      <c r="F8826" s="59" t="str">
        <f t="shared" si="25"/>
        <v/>
      </c>
      <c r="G8826" s="59" t="str">
        <f t="shared" si="26"/>
        <v/>
      </c>
      <c r="H8826" s="59" t="str">
        <f t="shared" si="27"/>
        <v>28C02574</v>
      </c>
      <c r="I8826" s="59" t="str">
        <f>IF(OR($A8826="",$C8826="",$D8826="",$E8826="",$H8826=""),"",SUMIFS(DATA_GOC!$H:$H,DATA_GOC!$A:$A,"BOM",DATA_GOC!$D:$D,$H8826,DATA_GOC!$E:$E,$C8826,DATA_GOC!$F:$F,"Xuất nội bộ từ téc",DATA_GOC!$B:$B,"&gt;="&amp;$D8826,DATA_GOC!$B:$B,"&lt;="&amp;$E8826))</f>
        <v/>
      </c>
      <c r="J8826" s="59">
        <f t="shared" si="28"/>
        <v>0</v>
      </c>
      <c r="K8826" s="59">
        <f t="shared" si="29"/>
        <v>0</v>
      </c>
      <c r="L8826" s="59">
        <f t="shared" si="30"/>
        <v>0</v>
      </c>
      <c r="M8826" s="59">
        <f t="shared" si="31"/>
        <v>0</v>
      </c>
    </row>
    <row r="8827" ht="15.0" hidden="1" customHeight="1">
      <c r="A8827" s="59">
        <f t="shared" si="20"/>
        <v>144</v>
      </c>
      <c r="B8827" s="59" t="str">
        <f t="shared" si="21"/>
        <v/>
      </c>
      <c r="C8827" s="59" t="str">
        <f t="shared" si="22"/>
        <v/>
      </c>
      <c r="D8827" s="45" t="str">
        <f t="shared" si="23"/>
        <v/>
      </c>
      <c r="E8827" s="45" t="str">
        <f t="shared" si="24"/>
        <v/>
      </c>
      <c r="F8827" s="59" t="str">
        <f t="shared" si="25"/>
        <v/>
      </c>
      <c r="G8827" s="59" t="str">
        <f t="shared" si="26"/>
        <v/>
      </c>
      <c r="H8827" s="59" t="str">
        <f t="shared" si="27"/>
        <v>28C02770</v>
      </c>
      <c r="I8827" s="59" t="str">
        <f>IF(OR($A8827="",$C8827="",$D8827="",$E8827="",$H8827=""),"",SUMIFS(DATA_GOC!$H:$H,DATA_GOC!$A:$A,"BOM",DATA_GOC!$D:$D,$H8827,DATA_GOC!$E:$E,$C8827,DATA_GOC!$F:$F,"Xuất nội bộ từ téc",DATA_GOC!$B:$B,"&gt;="&amp;$D8827,DATA_GOC!$B:$B,"&lt;="&amp;$E8827))</f>
        <v/>
      </c>
      <c r="J8827" s="59">
        <f t="shared" si="28"/>
        <v>0</v>
      </c>
      <c r="K8827" s="59">
        <f t="shared" si="29"/>
        <v>0</v>
      </c>
      <c r="L8827" s="59">
        <f t="shared" si="30"/>
        <v>0</v>
      </c>
      <c r="M8827" s="59">
        <f t="shared" si="31"/>
        <v>0</v>
      </c>
    </row>
    <row r="8828" ht="15.0" hidden="1" customHeight="1">
      <c r="A8828" s="59">
        <f t="shared" si="20"/>
        <v>144</v>
      </c>
      <c r="B8828" s="59" t="str">
        <f t="shared" si="21"/>
        <v/>
      </c>
      <c r="C8828" s="59" t="str">
        <f t="shared" si="22"/>
        <v/>
      </c>
      <c r="D8828" s="45" t="str">
        <f t="shared" si="23"/>
        <v/>
      </c>
      <c r="E8828" s="45" t="str">
        <f t="shared" si="24"/>
        <v/>
      </c>
      <c r="F8828" s="59" t="str">
        <f t="shared" si="25"/>
        <v/>
      </c>
      <c r="G8828" s="59" t="str">
        <f t="shared" si="26"/>
        <v/>
      </c>
      <c r="H8828" s="59" t="str">
        <f t="shared" si="27"/>
        <v>28C02986</v>
      </c>
      <c r="I8828" s="59" t="str">
        <f>IF(OR($A8828="",$C8828="",$D8828="",$E8828="",$H8828=""),"",SUMIFS(DATA_GOC!$H:$H,DATA_GOC!$A:$A,"BOM",DATA_GOC!$D:$D,$H8828,DATA_GOC!$E:$E,$C8828,DATA_GOC!$F:$F,"Xuất nội bộ từ téc",DATA_GOC!$B:$B,"&gt;="&amp;$D8828,DATA_GOC!$B:$B,"&lt;="&amp;$E8828))</f>
        <v/>
      </c>
      <c r="J8828" s="59">
        <f t="shared" si="28"/>
        <v>0</v>
      </c>
      <c r="K8828" s="59">
        <f t="shared" si="29"/>
        <v>0</v>
      </c>
      <c r="L8828" s="59">
        <f t="shared" si="30"/>
        <v>0</v>
      </c>
      <c r="M8828" s="59">
        <f t="shared" si="31"/>
        <v>0</v>
      </c>
    </row>
    <row r="8829" ht="15.0" hidden="1" customHeight="1">
      <c r="A8829" s="59">
        <f t="shared" si="20"/>
        <v>144</v>
      </c>
      <c r="B8829" s="59" t="str">
        <f t="shared" si="21"/>
        <v/>
      </c>
      <c r="C8829" s="59" t="str">
        <f t="shared" si="22"/>
        <v/>
      </c>
      <c r="D8829" s="45" t="str">
        <f t="shared" si="23"/>
        <v/>
      </c>
      <c r="E8829" s="45" t="str">
        <f t="shared" si="24"/>
        <v/>
      </c>
      <c r="F8829" s="59" t="str">
        <f t="shared" si="25"/>
        <v/>
      </c>
      <c r="G8829" s="59" t="str">
        <f t="shared" si="26"/>
        <v/>
      </c>
      <c r="H8829" s="59" t="str">
        <f t="shared" si="27"/>
        <v>28C03261</v>
      </c>
      <c r="I8829" s="59" t="str">
        <f>IF(OR($A8829="",$C8829="",$D8829="",$E8829="",$H8829=""),"",SUMIFS(DATA_GOC!$H:$H,DATA_GOC!$A:$A,"BOM",DATA_GOC!$D:$D,$H8829,DATA_GOC!$E:$E,$C8829,DATA_GOC!$F:$F,"Xuất nội bộ từ téc",DATA_GOC!$B:$B,"&gt;="&amp;$D8829,DATA_GOC!$B:$B,"&lt;="&amp;$E8829))</f>
        <v/>
      </c>
      <c r="J8829" s="59">
        <f t="shared" si="28"/>
        <v>0</v>
      </c>
      <c r="K8829" s="59">
        <f t="shared" si="29"/>
        <v>0</v>
      </c>
      <c r="L8829" s="59">
        <f t="shared" si="30"/>
        <v>0</v>
      </c>
      <c r="M8829" s="59">
        <f t="shared" si="31"/>
        <v>0</v>
      </c>
    </row>
    <row r="8830" ht="15.0" hidden="1" customHeight="1">
      <c r="A8830" s="59">
        <f t="shared" si="20"/>
        <v>144</v>
      </c>
      <c r="B8830" s="59" t="str">
        <f t="shared" si="21"/>
        <v/>
      </c>
      <c r="C8830" s="59" t="str">
        <f t="shared" si="22"/>
        <v/>
      </c>
      <c r="D8830" s="45" t="str">
        <f t="shared" si="23"/>
        <v/>
      </c>
      <c r="E8830" s="45" t="str">
        <f t="shared" si="24"/>
        <v/>
      </c>
      <c r="F8830" s="59" t="str">
        <f t="shared" si="25"/>
        <v/>
      </c>
      <c r="G8830" s="59" t="str">
        <f t="shared" si="26"/>
        <v/>
      </c>
      <c r="H8830" s="59" t="str">
        <f t="shared" si="27"/>
        <v>28C03323</v>
      </c>
      <c r="I8830" s="59" t="str">
        <f>IF(OR($A8830="",$C8830="",$D8830="",$E8830="",$H8830=""),"",SUMIFS(DATA_GOC!$H:$H,DATA_GOC!$A:$A,"BOM",DATA_GOC!$D:$D,$H8830,DATA_GOC!$E:$E,$C8830,DATA_GOC!$F:$F,"Xuất nội bộ từ téc",DATA_GOC!$B:$B,"&gt;="&amp;$D8830,DATA_GOC!$B:$B,"&lt;="&amp;$E8830))</f>
        <v/>
      </c>
      <c r="J8830" s="59">
        <f t="shared" si="28"/>
        <v>0</v>
      </c>
      <c r="K8830" s="59">
        <f t="shared" si="29"/>
        <v>0</v>
      </c>
      <c r="L8830" s="59">
        <f t="shared" si="30"/>
        <v>0</v>
      </c>
      <c r="M8830" s="59">
        <f t="shared" si="31"/>
        <v>0</v>
      </c>
    </row>
    <row r="8831" ht="15.0" hidden="1" customHeight="1">
      <c r="A8831" s="59">
        <f t="shared" si="20"/>
        <v>144</v>
      </c>
      <c r="B8831" s="59" t="str">
        <f t="shared" si="21"/>
        <v/>
      </c>
      <c r="C8831" s="59" t="str">
        <f t="shared" si="22"/>
        <v/>
      </c>
      <c r="D8831" s="45" t="str">
        <f t="shared" si="23"/>
        <v/>
      </c>
      <c r="E8831" s="45" t="str">
        <f t="shared" si="24"/>
        <v/>
      </c>
      <c r="F8831" s="59" t="str">
        <f t="shared" si="25"/>
        <v/>
      </c>
      <c r="G8831" s="59" t="str">
        <f t="shared" si="26"/>
        <v/>
      </c>
      <c r="H8831" s="59" t="str">
        <f t="shared" si="27"/>
        <v>28C03385</v>
      </c>
      <c r="I8831" s="59" t="str">
        <f>IF(OR($A8831="",$C8831="",$D8831="",$E8831="",$H8831=""),"",SUMIFS(DATA_GOC!$H:$H,DATA_GOC!$A:$A,"BOM",DATA_GOC!$D:$D,$H8831,DATA_GOC!$E:$E,$C8831,DATA_GOC!$F:$F,"Xuất nội bộ từ téc",DATA_GOC!$B:$B,"&gt;="&amp;$D8831,DATA_GOC!$B:$B,"&lt;="&amp;$E8831))</f>
        <v/>
      </c>
      <c r="J8831" s="59">
        <f t="shared" si="28"/>
        <v>0</v>
      </c>
      <c r="K8831" s="59">
        <f t="shared" si="29"/>
        <v>0</v>
      </c>
      <c r="L8831" s="59">
        <f t="shared" si="30"/>
        <v>0</v>
      </c>
      <c r="M8831" s="59">
        <f t="shared" si="31"/>
        <v>0</v>
      </c>
    </row>
    <row r="8832" ht="15.0" hidden="1" customHeight="1">
      <c r="A8832" s="59">
        <f t="shared" si="20"/>
        <v>144</v>
      </c>
      <c r="B8832" s="59" t="str">
        <f t="shared" si="21"/>
        <v/>
      </c>
      <c r="C8832" s="59" t="str">
        <f t="shared" si="22"/>
        <v/>
      </c>
      <c r="D8832" s="45" t="str">
        <f t="shared" si="23"/>
        <v/>
      </c>
      <c r="E8832" s="45" t="str">
        <f t="shared" si="24"/>
        <v/>
      </c>
      <c r="F8832" s="59" t="str">
        <f t="shared" si="25"/>
        <v/>
      </c>
      <c r="G8832" s="59" t="str">
        <f t="shared" si="26"/>
        <v/>
      </c>
      <c r="H8832" s="59" t="str">
        <f t="shared" si="27"/>
        <v>28C03652</v>
      </c>
      <c r="I8832" s="59" t="str">
        <f>IF(OR($A8832="",$C8832="",$D8832="",$E8832="",$H8832=""),"",SUMIFS(DATA_GOC!$H:$H,DATA_GOC!$A:$A,"BOM",DATA_GOC!$D:$D,$H8832,DATA_GOC!$E:$E,$C8832,DATA_GOC!$F:$F,"Xuất nội bộ từ téc",DATA_GOC!$B:$B,"&gt;="&amp;$D8832,DATA_GOC!$B:$B,"&lt;="&amp;$E8832))</f>
        <v/>
      </c>
      <c r="J8832" s="59">
        <f t="shared" si="28"/>
        <v>0</v>
      </c>
      <c r="K8832" s="59">
        <f t="shared" si="29"/>
        <v>0</v>
      </c>
      <c r="L8832" s="59">
        <f t="shared" si="30"/>
        <v>0</v>
      </c>
      <c r="M8832" s="59">
        <f t="shared" si="31"/>
        <v>0</v>
      </c>
    </row>
    <row r="8833" ht="15.0" hidden="1" customHeight="1">
      <c r="A8833" s="59">
        <f t="shared" si="20"/>
        <v>144</v>
      </c>
      <c r="B8833" s="59" t="str">
        <f t="shared" si="21"/>
        <v/>
      </c>
      <c r="C8833" s="59" t="str">
        <f t="shared" si="22"/>
        <v/>
      </c>
      <c r="D8833" s="45" t="str">
        <f t="shared" si="23"/>
        <v/>
      </c>
      <c r="E8833" s="45" t="str">
        <f t="shared" si="24"/>
        <v/>
      </c>
      <c r="F8833" s="59" t="str">
        <f t="shared" si="25"/>
        <v/>
      </c>
      <c r="G8833" s="59" t="str">
        <f t="shared" si="26"/>
        <v/>
      </c>
      <c r="H8833" s="59" t="str">
        <f t="shared" si="27"/>
        <v>28C03695</v>
      </c>
      <c r="I8833" s="59" t="str">
        <f>IF(OR($A8833="",$C8833="",$D8833="",$E8833="",$H8833=""),"",SUMIFS(DATA_GOC!$H:$H,DATA_GOC!$A:$A,"BOM",DATA_GOC!$D:$D,$H8833,DATA_GOC!$E:$E,$C8833,DATA_GOC!$F:$F,"Xuất nội bộ từ téc",DATA_GOC!$B:$B,"&gt;="&amp;$D8833,DATA_GOC!$B:$B,"&lt;="&amp;$E8833))</f>
        <v/>
      </c>
      <c r="J8833" s="59">
        <f t="shared" si="28"/>
        <v>0</v>
      </c>
      <c r="K8833" s="59">
        <f t="shared" si="29"/>
        <v>0</v>
      </c>
      <c r="L8833" s="59">
        <f t="shared" si="30"/>
        <v>0</v>
      </c>
      <c r="M8833" s="59">
        <f t="shared" si="31"/>
        <v>0</v>
      </c>
    </row>
    <row r="8834" ht="15.0" hidden="1" customHeight="1">
      <c r="A8834" s="59">
        <f t="shared" si="20"/>
        <v>144</v>
      </c>
      <c r="B8834" s="59" t="str">
        <f t="shared" si="21"/>
        <v/>
      </c>
      <c r="C8834" s="59" t="str">
        <f t="shared" si="22"/>
        <v/>
      </c>
      <c r="D8834" s="45" t="str">
        <f t="shared" si="23"/>
        <v/>
      </c>
      <c r="E8834" s="45" t="str">
        <f t="shared" si="24"/>
        <v/>
      </c>
      <c r="F8834" s="59" t="str">
        <f t="shared" si="25"/>
        <v/>
      </c>
      <c r="G8834" s="59" t="str">
        <f t="shared" si="26"/>
        <v/>
      </c>
      <c r="H8834" s="59" t="str">
        <f t="shared" si="27"/>
        <v>28C03927</v>
      </c>
      <c r="I8834" s="59" t="str">
        <f>IF(OR($A8834="",$C8834="",$D8834="",$E8834="",$H8834=""),"",SUMIFS(DATA_GOC!$H:$H,DATA_GOC!$A:$A,"BOM",DATA_GOC!$D:$D,$H8834,DATA_GOC!$E:$E,$C8834,DATA_GOC!$F:$F,"Xuất nội bộ từ téc",DATA_GOC!$B:$B,"&gt;="&amp;$D8834,DATA_GOC!$B:$B,"&lt;="&amp;$E8834))</f>
        <v/>
      </c>
      <c r="J8834" s="59">
        <f t="shared" si="28"/>
        <v>0</v>
      </c>
      <c r="K8834" s="59">
        <f t="shared" si="29"/>
        <v>0</v>
      </c>
      <c r="L8834" s="59">
        <f t="shared" si="30"/>
        <v>0</v>
      </c>
      <c r="M8834" s="59">
        <f t="shared" si="31"/>
        <v>0</v>
      </c>
    </row>
    <row r="8835" ht="15.0" hidden="1" customHeight="1">
      <c r="A8835" s="59">
        <f t="shared" si="20"/>
        <v>144</v>
      </c>
      <c r="B8835" s="59" t="str">
        <f t="shared" si="21"/>
        <v/>
      </c>
      <c r="C8835" s="59" t="str">
        <f t="shared" si="22"/>
        <v/>
      </c>
      <c r="D8835" s="45" t="str">
        <f t="shared" si="23"/>
        <v/>
      </c>
      <c r="E8835" s="45" t="str">
        <f t="shared" si="24"/>
        <v/>
      </c>
      <c r="F8835" s="59" t="str">
        <f t="shared" si="25"/>
        <v/>
      </c>
      <c r="G8835" s="59" t="str">
        <f t="shared" si="26"/>
        <v/>
      </c>
      <c r="H8835" s="59" t="str">
        <f t="shared" si="27"/>
        <v>28C04509</v>
      </c>
      <c r="I8835" s="59" t="str">
        <f>IF(OR($A8835="",$C8835="",$D8835="",$E8835="",$H8835=""),"",SUMIFS(DATA_GOC!$H:$H,DATA_GOC!$A:$A,"BOM",DATA_GOC!$D:$D,$H8835,DATA_GOC!$E:$E,$C8835,DATA_GOC!$F:$F,"Xuất nội bộ từ téc",DATA_GOC!$B:$B,"&gt;="&amp;$D8835,DATA_GOC!$B:$B,"&lt;="&amp;$E8835))</f>
        <v/>
      </c>
      <c r="J8835" s="59">
        <f t="shared" si="28"/>
        <v>0</v>
      </c>
      <c r="K8835" s="59">
        <f t="shared" si="29"/>
        <v>0</v>
      </c>
      <c r="L8835" s="59">
        <f t="shared" si="30"/>
        <v>0</v>
      </c>
      <c r="M8835" s="59">
        <f t="shared" si="31"/>
        <v>0</v>
      </c>
    </row>
    <row r="8836" ht="15.0" hidden="1" customHeight="1">
      <c r="A8836" s="59">
        <f t="shared" si="20"/>
        <v>144</v>
      </c>
      <c r="B8836" s="59" t="str">
        <f t="shared" si="21"/>
        <v/>
      </c>
      <c r="C8836" s="59" t="str">
        <f t="shared" si="22"/>
        <v/>
      </c>
      <c r="D8836" s="45" t="str">
        <f t="shared" si="23"/>
        <v/>
      </c>
      <c r="E8836" s="45" t="str">
        <f t="shared" si="24"/>
        <v/>
      </c>
      <c r="F8836" s="59" t="str">
        <f t="shared" si="25"/>
        <v/>
      </c>
      <c r="G8836" s="59" t="str">
        <f t="shared" si="26"/>
        <v/>
      </c>
      <c r="H8836" s="59" t="str">
        <f t="shared" si="27"/>
        <v>28C04536</v>
      </c>
      <c r="I8836" s="59" t="str">
        <f>IF(OR($A8836="",$C8836="",$D8836="",$E8836="",$H8836=""),"",SUMIFS(DATA_GOC!$H:$H,DATA_GOC!$A:$A,"BOM",DATA_GOC!$D:$D,$H8836,DATA_GOC!$E:$E,$C8836,DATA_GOC!$F:$F,"Xuất nội bộ từ téc",DATA_GOC!$B:$B,"&gt;="&amp;$D8836,DATA_GOC!$B:$B,"&lt;="&amp;$E8836))</f>
        <v/>
      </c>
      <c r="J8836" s="59">
        <f t="shared" si="28"/>
        <v>0</v>
      </c>
      <c r="K8836" s="59">
        <f t="shared" si="29"/>
        <v>0</v>
      </c>
      <c r="L8836" s="59">
        <f t="shared" si="30"/>
        <v>0</v>
      </c>
      <c r="M8836" s="59">
        <f t="shared" si="31"/>
        <v>0</v>
      </c>
    </row>
    <row r="8837" ht="15.0" hidden="1" customHeight="1">
      <c r="A8837" s="59">
        <f t="shared" si="20"/>
        <v>144</v>
      </c>
      <c r="B8837" s="59" t="str">
        <f t="shared" si="21"/>
        <v/>
      </c>
      <c r="C8837" s="59" t="str">
        <f t="shared" si="22"/>
        <v/>
      </c>
      <c r="D8837" s="45" t="str">
        <f t="shared" si="23"/>
        <v/>
      </c>
      <c r="E8837" s="45" t="str">
        <f t="shared" si="24"/>
        <v/>
      </c>
      <c r="F8837" s="59" t="str">
        <f t="shared" si="25"/>
        <v/>
      </c>
      <c r="G8837" s="59" t="str">
        <f t="shared" si="26"/>
        <v/>
      </c>
      <c r="H8837" s="59" t="str">
        <f t="shared" si="27"/>
        <v>28C04576</v>
      </c>
      <c r="I8837" s="59" t="str">
        <f>IF(OR($A8837="",$C8837="",$D8837="",$E8837="",$H8837=""),"",SUMIFS(DATA_GOC!$H:$H,DATA_GOC!$A:$A,"BOM",DATA_GOC!$D:$D,$H8837,DATA_GOC!$E:$E,$C8837,DATA_GOC!$F:$F,"Xuất nội bộ từ téc",DATA_GOC!$B:$B,"&gt;="&amp;$D8837,DATA_GOC!$B:$B,"&lt;="&amp;$E8837))</f>
        <v/>
      </c>
      <c r="J8837" s="59">
        <f t="shared" si="28"/>
        <v>0</v>
      </c>
      <c r="K8837" s="59">
        <f t="shared" si="29"/>
        <v>0</v>
      </c>
      <c r="L8837" s="59">
        <f t="shared" si="30"/>
        <v>0</v>
      </c>
      <c r="M8837" s="59">
        <f t="shared" si="31"/>
        <v>0</v>
      </c>
    </row>
    <row r="8838" ht="15.0" hidden="1" customHeight="1">
      <c r="A8838" s="59">
        <f t="shared" si="20"/>
        <v>144</v>
      </c>
      <c r="B8838" s="59" t="str">
        <f t="shared" si="21"/>
        <v/>
      </c>
      <c r="C8838" s="59" t="str">
        <f t="shared" si="22"/>
        <v/>
      </c>
      <c r="D8838" s="45" t="str">
        <f t="shared" si="23"/>
        <v/>
      </c>
      <c r="E8838" s="45" t="str">
        <f t="shared" si="24"/>
        <v/>
      </c>
      <c r="F8838" s="59" t="str">
        <f t="shared" si="25"/>
        <v/>
      </c>
      <c r="G8838" s="59" t="str">
        <f t="shared" si="26"/>
        <v/>
      </c>
      <c r="H8838" s="59" t="str">
        <f t="shared" si="27"/>
        <v>28C05090</v>
      </c>
      <c r="I8838" s="59" t="str">
        <f>IF(OR($A8838="",$C8838="",$D8838="",$E8838="",$H8838=""),"",SUMIFS(DATA_GOC!$H:$H,DATA_GOC!$A:$A,"BOM",DATA_GOC!$D:$D,$H8838,DATA_GOC!$E:$E,$C8838,DATA_GOC!$F:$F,"Xuất nội bộ từ téc",DATA_GOC!$B:$B,"&gt;="&amp;$D8838,DATA_GOC!$B:$B,"&lt;="&amp;$E8838))</f>
        <v/>
      </c>
      <c r="J8838" s="59">
        <f t="shared" si="28"/>
        <v>0</v>
      </c>
      <c r="K8838" s="59">
        <f t="shared" si="29"/>
        <v>0</v>
      </c>
      <c r="L8838" s="59">
        <f t="shared" si="30"/>
        <v>0</v>
      </c>
      <c r="M8838" s="59">
        <f t="shared" si="31"/>
        <v>0</v>
      </c>
    </row>
    <row r="8839" ht="15.0" hidden="1" customHeight="1">
      <c r="A8839" s="59">
        <f t="shared" si="20"/>
        <v>144</v>
      </c>
      <c r="B8839" s="59" t="str">
        <f t="shared" si="21"/>
        <v/>
      </c>
      <c r="C8839" s="59" t="str">
        <f t="shared" si="22"/>
        <v/>
      </c>
      <c r="D8839" s="45" t="str">
        <f t="shared" si="23"/>
        <v/>
      </c>
      <c r="E8839" s="45" t="str">
        <f t="shared" si="24"/>
        <v/>
      </c>
      <c r="F8839" s="59" t="str">
        <f t="shared" si="25"/>
        <v/>
      </c>
      <c r="G8839" s="59" t="str">
        <f t="shared" si="26"/>
        <v/>
      </c>
      <c r="H8839" s="59" t="str">
        <f t="shared" si="27"/>
        <v>28C05345</v>
      </c>
      <c r="I8839" s="59" t="str">
        <f>IF(OR($A8839="",$C8839="",$D8839="",$E8839="",$H8839=""),"",SUMIFS(DATA_GOC!$H:$H,DATA_GOC!$A:$A,"BOM",DATA_GOC!$D:$D,$H8839,DATA_GOC!$E:$E,$C8839,DATA_GOC!$F:$F,"Xuất nội bộ từ téc",DATA_GOC!$B:$B,"&gt;="&amp;$D8839,DATA_GOC!$B:$B,"&lt;="&amp;$E8839))</f>
        <v/>
      </c>
      <c r="J8839" s="59">
        <f t="shared" si="28"/>
        <v>0</v>
      </c>
      <c r="K8839" s="59">
        <f t="shared" si="29"/>
        <v>0</v>
      </c>
      <c r="L8839" s="59">
        <f t="shared" si="30"/>
        <v>0</v>
      </c>
      <c r="M8839" s="59">
        <f t="shared" si="31"/>
        <v>0</v>
      </c>
    </row>
    <row r="8840" ht="15.0" hidden="1" customHeight="1">
      <c r="A8840" s="59">
        <f t="shared" si="20"/>
        <v>144</v>
      </c>
      <c r="B8840" s="59" t="str">
        <f t="shared" si="21"/>
        <v/>
      </c>
      <c r="C8840" s="59" t="str">
        <f t="shared" si="22"/>
        <v/>
      </c>
      <c r="D8840" s="45" t="str">
        <f t="shared" si="23"/>
        <v/>
      </c>
      <c r="E8840" s="45" t="str">
        <f t="shared" si="24"/>
        <v/>
      </c>
      <c r="F8840" s="59" t="str">
        <f t="shared" si="25"/>
        <v/>
      </c>
      <c r="G8840" s="59" t="str">
        <f t="shared" si="26"/>
        <v/>
      </c>
      <c r="H8840" s="59" t="str">
        <f t="shared" si="27"/>
        <v>28C05661</v>
      </c>
      <c r="I8840" s="59" t="str">
        <f>IF(OR($A8840="",$C8840="",$D8840="",$E8840="",$H8840=""),"",SUMIFS(DATA_GOC!$H:$H,DATA_GOC!$A:$A,"BOM",DATA_GOC!$D:$D,$H8840,DATA_GOC!$E:$E,$C8840,DATA_GOC!$F:$F,"Xuất nội bộ từ téc",DATA_GOC!$B:$B,"&gt;="&amp;$D8840,DATA_GOC!$B:$B,"&lt;="&amp;$E8840))</f>
        <v/>
      </c>
      <c r="J8840" s="59">
        <f t="shared" si="28"/>
        <v>0</v>
      </c>
      <c r="K8840" s="59">
        <f t="shared" si="29"/>
        <v>0</v>
      </c>
      <c r="L8840" s="59">
        <f t="shared" si="30"/>
        <v>0</v>
      </c>
      <c r="M8840" s="59">
        <f t="shared" si="31"/>
        <v>0</v>
      </c>
    </row>
    <row r="8841" ht="15.0" hidden="1" customHeight="1">
      <c r="A8841" s="59">
        <f t="shared" si="20"/>
        <v>144</v>
      </c>
      <c r="B8841" s="59" t="str">
        <f t="shared" si="21"/>
        <v/>
      </c>
      <c r="C8841" s="59" t="str">
        <f t="shared" si="22"/>
        <v/>
      </c>
      <c r="D8841" s="45" t="str">
        <f t="shared" si="23"/>
        <v/>
      </c>
      <c r="E8841" s="45" t="str">
        <f t="shared" si="24"/>
        <v/>
      </c>
      <c r="F8841" s="59" t="str">
        <f t="shared" si="25"/>
        <v/>
      </c>
      <c r="G8841" s="59" t="str">
        <f t="shared" si="26"/>
        <v/>
      </c>
      <c r="H8841" s="59" t="str">
        <f t="shared" si="27"/>
        <v>28C05739</v>
      </c>
      <c r="I8841" s="59" t="str">
        <f>IF(OR($A8841="",$C8841="",$D8841="",$E8841="",$H8841=""),"",SUMIFS(DATA_GOC!$H:$H,DATA_GOC!$A:$A,"BOM",DATA_GOC!$D:$D,$H8841,DATA_GOC!$E:$E,$C8841,DATA_GOC!$F:$F,"Xuất nội bộ từ téc",DATA_GOC!$B:$B,"&gt;="&amp;$D8841,DATA_GOC!$B:$B,"&lt;="&amp;$E8841))</f>
        <v/>
      </c>
      <c r="J8841" s="59">
        <f t="shared" si="28"/>
        <v>0</v>
      </c>
      <c r="K8841" s="59">
        <f t="shared" si="29"/>
        <v>0</v>
      </c>
      <c r="L8841" s="59">
        <f t="shared" si="30"/>
        <v>0</v>
      </c>
      <c r="M8841" s="59">
        <f t="shared" si="31"/>
        <v>0</v>
      </c>
    </row>
    <row r="8842" ht="15.0" hidden="1" customHeight="1">
      <c r="A8842" s="59">
        <f t="shared" si="20"/>
        <v>144</v>
      </c>
      <c r="B8842" s="59" t="str">
        <f t="shared" si="21"/>
        <v/>
      </c>
      <c r="C8842" s="59" t="str">
        <f t="shared" si="22"/>
        <v/>
      </c>
      <c r="D8842" s="45" t="str">
        <f t="shared" si="23"/>
        <v/>
      </c>
      <c r="E8842" s="45" t="str">
        <f t="shared" si="24"/>
        <v/>
      </c>
      <c r="F8842" s="59" t="str">
        <f t="shared" si="25"/>
        <v/>
      </c>
      <c r="G8842" s="59" t="str">
        <f t="shared" si="26"/>
        <v/>
      </c>
      <c r="H8842" s="59" t="str">
        <f t="shared" si="27"/>
        <v>28C06369</v>
      </c>
      <c r="I8842" s="59" t="str">
        <f>IF(OR($A8842="",$C8842="",$D8842="",$E8842="",$H8842=""),"",SUMIFS(DATA_GOC!$H:$H,DATA_GOC!$A:$A,"BOM",DATA_GOC!$D:$D,$H8842,DATA_GOC!$E:$E,$C8842,DATA_GOC!$F:$F,"Xuất nội bộ từ téc",DATA_GOC!$B:$B,"&gt;="&amp;$D8842,DATA_GOC!$B:$B,"&lt;="&amp;$E8842))</f>
        <v/>
      </c>
      <c r="J8842" s="59">
        <f t="shared" si="28"/>
        <v>0</v>
      </c>
      <c r="K8842" s="59">
        <f t="shared" si="29"/>
        <v>0</v>
      </c>
      <c r="L8842" s="59">
        <f t="shared" si="30"/>
        <v>0</v>
      </c>
      <c r="M8842" s="59">
        <f t="shared" si="31"/>
        <v>0</v>
      </c>
    </row>
    <row r="8843" ht="15.0" hidden="1" customHeight="1">
      <c r="A8843" s="59">
        <f t="shared" si="20"/>
        <v>144</v>
      </c>
      <c r="B8843" s="59" t="str">
        <f t="shared" si="21"/>
        <v/>
      </c>
      <c r="C8843" s="59" t="str">
        <f t="shared" si="22"/>
        <v/>
      </c>
      <c r="D8843" s="45" t="str">
        <f t="shared" si="23"/>
        <v/>
      </c>
      <c r="E8843" s="45" t="str">
        <f t="shared" si="24"/>
        <v/>
      </c>
      <c r="F8843" s="59" t="str">
        <f t="shared" si="25"/>
        <v/>
      </c>
      <c r="G8843" s="59" t="str">
        <f t="shared" si="26"/>
        <v/>
      </c>
      <c r="H8843" s="59" t="str">
        <f t="shared" si="27"/>
        <v>28C06447</v>
      </c>
      <c r="I8843" s="59" t="str">
        <f>IF(OR($A8843="",$C8843="",$D8843="",$E8843="",$H8843=""),"",SUMIFS(DATA_GOC!$H:$H,DATA_GOC!$A:$A,"BOM",DATA_GOC!$D:$D,$H8843,DATA_GOC!$E:$E,$C8843,DATA_GOC!$F:$F,"Xuất nội bộ từ téc",DATA_GOC!$B:$B,"&gt;="&amp;$D8843,DATA_GOC!$B:$B,"&lt;="&amp;$E8843))</f>
        <v/>
      </c>
      <c r="J8843" s="59">
        <f t="shared" si="28"/>
        <v>0</v>
      </c>
      <c r="K8843" s="59">
        <f t="shared" si="29"/>
        <v>0</v>
      </c>
      <c r="L8843" s="59">
        <f t="shared" si="30"/>
        <v>0</v>
      </c>
      <c r="M8843" s="59">
        <f t="shared" si="31"/>
        <v>0</v>
      </c>
    </row>
    <row r="8844" ht="15.0" hidden="1" customHeight="1">
      <c r="A8844" s="59">
        <f t="shared" si="20"/>
        <v>144</v>
      </c>
      <c r="B8844" s="59" t="str">
        <f t="shared" si="21"/>
        <v/>
      </c>
      <c r="C8844" s="59" t="str">
        <f t="shared" si="22"/>
        <v/>
      </c>
      <c r="D8844" s="45" t="str">
        <f t="shared" si="23"/>
        <v/>
      </c>
      <c r="E8844" s="45" t="str">
        <f t="shared" si="24"/>
        <v/>
      </c>
      <c r="F8844" s="59" t="str">
        <f t="shared" si="25"/>
        <v/>
      </c>
      <c r="G8844" s="59" t="str">
        <f t="shared" si="26"/>
        <v/>
      </c>
      <c r="H8844" s="59" t="str">
        <f t="shared" si="27"/>
        <v>28H00003</v>
      </c>
      <c r="I8844" s="59" t="str">
        <f>IF(OR($A8844="",$C8844="",$D8844="",$E8844="",$H8844=""),"",SUMIFS(DATA_GOC!$H:$H,DATA_GOC!$A:$A,"BOM",DATA_GOC!$D:$D,$H8844,DATA_GOC!$E:$E,$C8844,DATA_GOC!$F:$F,"Xuất nội bộ từ téc",DATA_GOC!$B:$B,"&gt;="&amp;$D8844,DATA_GOC!$B:$B,"&lt;="&amp;$E8844))</f>
        <v/>
      </c>
      <c r="J8844" s="59">
        <f t="shared" si="28"/>
        <v>0</v>
      </c>
      <c r="K8844" s="59">
        <f t="shared" si="29"/>
        <v>0</v>
      </c>
      <c r="L8844" s="59">
        <f t="shared" si="30"/>
        <v>0</v>
      </c>
      <c r="M8844" s="59">
        <f t="shared" si="31"/>
        <v>0</v>
      </c>
    </row>
    <row r="8845" ht="15.0" hidden="1" customHeight="1">
      <c r="A8845" s="59">
        <f t="shared" si="20"/>
        <v>144</v>
      </c>
      <c r="B8845" s="59" t="str">
        <f t="shared" si="21"/>
        <v/>
      </c>
      <c r="C8845" s="59" t="str">
        <f t="shared" si="22"/>
        <v/>
      </c>
      <c r="D8845" s="45" t="str">
        <f t="shared" si="23"/>
        <v/>
      </c>
      <c r="E8845" s="45" t="str">
        <f t="shared" si="24"/>
        <v/>
      </c>
      <c r="F8845" s="59" t="str">
        <f t="shared" si="25"/>
        <v/>
      </c>
      <c r="G8845" s="59" t="str">
        <f t="shared" si="26"/>
        <v/>
      </c>
      <c r="H8845" s="59" t="str">
        <f t="shared" si="27"/>
        <v>28H00061</v>
      </c>
      <c r="I8845" s="59" t="str">
        <f>IF(OR($A8845="",$C8845="",$D8845="",$E8845="",$H8845=""),"",SUMIFS(DATA_GOC!$H:$H,DATA_GOC!$A:$A,"BOM",DATA_GOC!$D:$D,$H8845,DATA_GOC!$E:$E,$C8845,DATA_GOC!$F:$F,"Xuất nội bộ từ téc",DATA_GOC!$B:$B,"&gt;="&amp;$D8845,DATA_GOC!$B:$B,"&lt;="&amp;$E8845))</f>
        <v/>
      </c>
      <c r="J8845" s="59">
        <f t="shared" si="28"/>
        <v>0</v>
      </c>
      <c r="K8845" s="59">
        <f t="shared" si="29"/>
        <v>0</v>
      </c>
      <c r="L8845" s="59">
        <f t="shared" si="30"/>
        <v>0</v>
      </c>
      <c r="M8845" s="59">
        <f t="shared" si="31"/>
        <v>0</v>
      </c>
    </row>
    <row r="8846" ht="15.0" hidden="1" customHeight="1">
      <c r="A8846" s="59">
        <f t="shared" si="20"/>
        <v>144</v>
      </c>
      <c r="B8846" s="59" t="str">
        <f t="shared" si="21"/>
        <v/>
      </c>
      <c r="C8846" s="59" t="str">
        <f t="shared" si="22"/>
        <v/>
      </c>
      <c r="D8846" s="45" t="str">
        <f t="shared" si="23"/>
        <v/>
      </c>
      <c r="E8846" s="45" t="str">
        <f t="shared" si="24"/>
        <v/>
      </c>
      <c r="F8846" s="59" t="str">
        <f t="shared" si="25"/>
        <v/>
      </c>
      <c r="G8846" s="59" t="str">
        <f t="shared" si="26"/>
        <v/>
      </c>
      <c r="H8846" s="59" t="str">
        <f t="shared" si="27"/>
        <v>28H00354</v>
      </c>
      <c r="I8846" s="59" t="str">
        <f>IF(OR($A8846="",$C8846="",$D8846="",$E8846="",$H8846=""),"",SUMIFS(DATA_GOC!$H:$H,DATA_GOC!$A:$A,"BOM",DATA_GOC!$D:$D,$H8846,DATA_GOC!$E:$E,$C8846,DATA_GOC!$F:$F,"Xuất nội bộ từ téc",DATA_GOC!$B:$B,"&gt;="&amp;$D8846,DATA_GOC!$B:$B,"&lt;="&amp;$E8846))</f>
        <v/>
      </c>
      <c r="J8846" s="59">
        <f t="shared" si="28"/>
        <v>0</v>
      </c>
      <c r="K8846" s="59">
        <f t="shared" si="29"/>
        <v>0</v>
      </c>
      <c r="L8846" s="59">
        <f t="shared" si="30"/>
        <v>0</v>
      </c>
      <c r="M8846" s="59">
        <f t="shared" si="31"/>
        <v>0</v>
      </c>
    </row>
    <row r="8847" ht="15.0" hidden="1" customHeight="1">
      <c r="A8847" s="59">
        <f t="shared" si="20"/>
        <v>144</v>
      </c>
      <c r="B8847" s="59" t="str">
        <f t="shared" si="21"/>
        <v/>
      </c>
      <c r="C8847" s="59" t="str">
        <f t="shared" si="22"/>
        <v/>
      </c>
      <c r="D8847" s="45" t="str">
        <f t="shared" si="23"/>
        <v/>
      </c>
      <c r="E8847" s="45" t="str">
        <f t="shared" si="24"/>
        <v/>
      </c>
      <c r="F8847" s="59" t="str">
        <f t="shared" si="25"/>
        <v/>
      </c>
      <c r="G8847" s="59" t="str">
        <f t="shared" si="26"/>
        <v/>
      </c>
      <c r="H8847" s="59" t="str">
        <f t="shared" si="27"/>
        <v>28H00603</v>
      </c>
      <c r="I8847" s="59" t="str">
        <f>IF(OR($A8847="",$C8847="",$D8847="",$E8847="",$H8847=""),"",SUMIFS(DATA_GOC!$H:$H,DATA_GOC!$A:$A,"BOM",DATA_GOC!$D:$D,$H8847,DATA_GOC!$E:$E,$C8847,DATA_GOC!$F:$F,"Xuất nội bộ từ téc",DATA_GOC!$B:$B,"&gt;="&amp;$D8847,DATA_GOC!$B:$B,"&lt;="&amp;$E8847))</f>
        <v/>
      </c>
      <c r="J8847" s="59">
        <f t="shared" si="28"/>
        <v>0</v>
      </c>
      <c r="K8847" s="59">
        <f t="shared" si="29"/>
        <v>0</v>
      </c>
      <c r="L8847" s="59">
        <f t="shared" si="30"/>
        <v>0</v>
      </c>
      <c r="M8847" s="59">
        <f t="shared" si="31"/>
        <v>0</v>
      </c>
    </row>
    <row r="8848" ht="15.0" hidden="1" customHeight="1">
      <c r="A8848" s="59">
        <f t="shared" si="20"/>
        <v>144</v>
      </c>
      <c r="B8848" s="59" t="str">
        <f t="shared" si="21"/>
        <v/>
      </c>
      <c r="C8848" s="59" t="str">
        <f t="shared" si="22"/>
        <v/>
      </c>
      <c r="D8848" s="45" t="str">
        <f t="shared" si="23"/>
        <v/>
      </c>
      <c r="E8848" s="45" t="str">
        <f t="shared" si="24"/>
        <v/>
      </c>
      <c r="F8848" s="59" t="str">
        <f t="shared" si="25"/>
        <v/>
      </c>
      <c r="G8848" s="59" t="str">
        <f t="shared" si="26"/>
        <v/>
      </c>
      <c r="H8848" s="59" t="str">
        <f t="shared" si="27"/>
        <v>28H00609</v>
      </c>
      <c r="I8848" s="59" t="str">
        <f>IF(OR($A8848="",$C8848="",$D8848="",$E8848="",$H8848=""),"",SUMIFS(DATA_GOC!$H:$H,DATA_GOC!$A:$A,"BOM",DATA_GOC!$D:$D,$H8848,DATA_GOC!$E:$E,$C8848,DATA_GOC!$F:$F,"Xuất nội bộ từ téc",DATA_GOC!$B:$B,"&gt;="&amp;$D8848,DATA_GOC!$B:$B,"&lt;="&amp;$E8848))</f>
        <v/>
      </c>
      <c r="J8848" s="59">
        <f t="shared" si="28"/>
        <v>0</v>
      </c>
      <c r="K8848" s="59">
        <f t="shared" si="29"/>
        <v>0</v>
      </c>
      <c r="L8848" s="59">
        <f t="shared" si="30"/>
        <v>0</v>
      </c>
      <c r="M8848" s="59">
        <f t="shared" si="31"/>
        <v>0</v>
      </c>
    </row>
    <row r="8849" ht="15.0" hidden="1" customHeight="1">
      <c r="A8849" s="59">
        <f t="shared" si="20"/>
        <v>144</v>
      </c>
      <c r="B8849" s="59" t="str">
        <f t="shared" si="21"/>
        <v/>
      </c>
      <c r="C8849" s="59" t="str">
        <f t="shared" si="22"/>
        <v/>
      </c>
      <c r="D8849" s="45" t="str">
        <f t="shared" si="23"/>
        <v/>
      </c>
      <c r="E8849" s="45" t="str">
        <f t="shared" si="24"/>
        <v/>
      </c>
      <c r="F8849" s="59" t="str">
        <f t="shared" si="25"/>
        <v/>
      </c>
      <c r="G8849" s="59" t="str">
        <f t="shared" si="26"/>
        <v/>
      </c>
      <c r="H8849" s="59" t="str">
        <f t="shared" si="27"/>
        <v>28H00669</v>
      </c>
      <c r="I8849" s="59" t="str">
        <f>IF(OR($A8849="",$C8849="",$D8849="",$E8849="",$H8849=""),"",SUMIFS(DATA_GOC!$H:$H,DATA_GOC!$A:$A,"BOM",DATA_GOC!$D:$D,$H8849,DATA_GOC!$E:$E,$C8849,DATA_GOC!$F:$F,"Xuất nội bộ từ téc",DATA_GOC!$B:$B,"&gt;="&amp;$D8849,DATA_GOC!$B:$B,"&lt;="&amp;$E8849))</f>
        <v/>
      </c>
      <c r="J8849" s="59">
        <f t="shared" si="28"/>
        <v>0</v>
      </c>
      <c r="K8849" s="59">
        <f t="shared" si="29"/>
        <v>0</v>
      </c>
      <c r="L8849" s="59">
        <f t="shared" si="30"/>
        <v>0</v>
      </c>
      <c r="M8849" s="59">
        <f t="shared" si="31"/>
        <v>0</v>
      </c>
    </row>
    <row r="8850" ht="15.0" hidden="1" customHeight="1">
      <c r="A8850" s="59">
        <f t="shared" si="20"/>
        <v>144</v>
      </c>
      <c r="B8850" s="59" t="str">
        <f t="shared" si="21"/>
        <v/>
      </c>
      <c r="C8850" s="59" t="str">
        <f t="shared" si="22"/>
        <v/>
      </c>
      <c r="D8850" s="45" t="str">
        <f t="shared" si="23"/>
        <v/>
      </c>
      <c r="E8850" s="45" t="str">
        <f t="shared" si="24"/>
        <v/>
      </c>
      <c r="F8850" s="59" t="str">
        <f t="shared" si="25"/>
        <v/>
      </c>
      <c r="G8850" s="59" t="str">
        <f t="shared" si="26"/>
        <v/>
      </c>
      <c r="H8850" s="59" t="str">
        <f t="shared" si="27"/>
        <v>28H00680</v>
      </c>
      <c r="I8850" s="59" t="str">
        <f>IF(OR($A8850="",$C8850="",$D8850="",$E8850="",$H8850=""),"",SUMIFS(DATA_GOC!$H:$H,DATA_GOC!$A:$A,"BOM",DATA_GOC!$D:$D,$H8850,DATA_GOC!$E:$E,$C8850,DATA_GOC!$F:$F,"Xuất nội bộ từ téc",DATA_GOC!$B:$B,"&gt;="&amp;$D8850,DATA_GOC!$B:$B,"&lt;="&amp;$E8850))</f>
        <v/>
      </c>
      <c r="J8850" s="59">
        <f t="shared" si="28"/>
        <v>0</v>
      </c>
      <c r="K8850" s="59">
        <f t="shared" si="29"/>
        <v>0</v>
      </c>
      <c r="L8850" s="59">
        <f t="shared" si="30"/>
        <v>0</v>
      </c>
      <c r="M8850" s="59">
        <f t="shared" si="31"/>
        <v>0</v>
      </c>
    </row>
    <row r="8851" ht="15.0" hidden="1" customHeight="1">
      <c r="A8851" s="59">
        <f t="shared" si="20"/>
        <v>144</v>
      </c>
      <c r="B8851" s="59" t="str">
        <f t="shared" si="21"/>
        <v/>
      </c>
      <c r="C8851" s="59" t="str">
        <f t="shared" si="22"/>
        <v/>
      </c>
      <c r="D8851" s="45" t="str">
        <f t="shared" si="23"/>
        <v/>
      </c>
      <c r="E8851" s="45" t="str">
        <f t="shared" si="24"/>
        <v/>
      </c>
      <c r="F8851" s="59" t="str">
        <f t="shared" si="25"/>
        <v/>
      </c>
      <c r="G8851" s="59" t="str">
        <f t="shared" si="26"/>
        <v/>
      </c>
      <c r="H8851" s="59" t="str">
        <f t="shared" si="27"/>
        <v>28H01070</v>
      </c>
      <c r="I8851" s="59" t="str">
        <f>IF(OR($A8851="",$C8851="",$D8851="",$E8851="",$H8851=""),"",SUMIFS(DATA_GOC!$H:$H,DATA_GOC!$A:$A,"BOM",DATA_GOC!$D:$D,$H8851,DATA_GOC!$E:$E,$C8851,DATA_GOC!$F:$F,"Xuất nội bộ từ téc",DATA_GOC!$B:$B,"&gt;="&amp;$D8851,DATA_GOC!$B:$B,"&lt;="&amp;$E8851))</f>
        <v/>
      </c>
      <c r="J8851" s="59">
        <f t="shared" si="28"/>
        <v>0</v>
      </c>
      <c r="K8851" s="59">
        <f t="shared" si="29"/>
        <v>0</v>
      </c>
      <c r="L8851" s="59">
        <f t="shared" si="30"/>
        <v>0</v>
      </c>
      <c r="M8851" s="59">
        <f t="shared" si="31"/>
        <v>0</v>
      </c>
    </row>
    <row r="8852" ht="15.0" hidden="1" customHeight="1">
      <c r="A8852" s="59">
        <f t="shared" si="20"/>
        <v>144</v>
      </c>
      <c r="B8852" s="59" t="str">
        <f t="shared" si="21"/>
        <v/>
      </c>
      <c r="C8852" s="59" t="str">
        <f t="shared" si="22"/>
        <v/>
      </c>
      <c r="D8852" s="45" t="str">
        <f t="shared" si="23"/>
        <v/>
      </c>
      <c r="E8852" s="45" t="str">
        <f t="shared" si="24"/>
        <v/>
      </c>
      <c r="F8852" s="59" t="str">
        <f t="shared" si="25"/>
        <v/>
      </c>
      <c r="G8852" s="59" t="str">
        <f t="shared" si="26"/>
        <v/>
      </c>
      <c r="H8852" s="59" t="str">
        <f t="shared" si="27"/>
        <v>28H01364</v>
      </c>
      <c r="I8852" s="59" t="str">
        <f>IF(OR($A8852="",$C8852="",$D8852="",$E8852="",$H8852=""),"",SUMIFS(DATA_GOC!$H:$H,DATA_GOC!$A:$A,"BOM",DATA_GOC!$D:$D,$H8852,DATA_GOC!$E:$E,$C8852,DATA_GOC!$F:$F,"Xuất nội bộ từ téc",DATA_GOC!$B:$B,"&gt;="&amp;$D8852,DATA_GOC!$B:$B,"&lt;="&amp;$E8852))</f>
        <v/>
      </c>
      <c r="J8852" s="59">
        <f t="shared" si="28"/>
        <v>0</v>
      </c>
      <c r="K8852" s="59">
        <f t="shared" si="29"/>
        <v>0</v>
      </c>
      <c r="L8852" s="59">
        <f t="shared" si="30"/>
        <v>0</v>
      </c>
      <c r="M8852" s="59">
        <f t="shared" si="31"/>
        <v>0</v>
      </c>
    </row>
    <row r="8853" ht="15.0" hidden="1" customHeight="1">
      <c r="A8853" s="59">
        <f t="shared" si="20"/>
        <v>144</v>
      </c>
      <c r="B8853" s="59" t="str">
        <f t="shared" si="21"/>
        <v/>
      </c>
      <c r="C8853" s="59" t="str">
        <f t="shared" si="22"/>
        <v/>
      </c>
      <c r="D8853" s="45" t="str">
        <f t="shared" si="23"/>
        <v/>
      </c>
      <c r="E8853" s="45" t="str">
        <f t="shared" si="24"/>
        <v/>
      </c>
      <c r="F8853" s="59" t="str">
        <f t="shared" si="25"/>
        <v/>
      </c>
      <c r="G8853" s="59" t="str">
        <f t="shared" si="26"/>
        <v/>
      </c>
      <c r="H8853" s="59" t="str">
        <f t="shared" si="27"/>
        <v>29E17269</v>
      </c>
      <c r="I8853" s="59" t="str">
        <f>IF(OR($A8853="",$C8853="",$D8853="",$E8853="",$H8853=""),"",SUMIFS(DATA_GOC!$H:$H,DATA_GOC!$A:$A,"BOM",DATA_GOC!$D:$D,$H8853,DATA_GOC!$E:$E,$C8853,DATA_GOC!$F:$F,"Xuất nội bộ từ téc",DATA_GOC!$B:$B,"&gt;="&amp;$D8853,DATA_GOC!$B:$B,"&lt;="&amp;$E8853))</f>
        <v/>
      </c>
      <c r="J8853" s="59">
        <f t="shared" si="28"/>
        <v>0</v>
      </c>
      <c r="K8853" s="59">
        <f t="shared" si="29"/>
        <v>0</v>
      </c>
      <c r="L8853" s="59">
        <f t="shared" si="30"/>
        <v>0</v>
      </c>
      <c r="M8853" s="59">
        <f t="shared" si="31"/>
        <v>0</v>
      </c>
    </row>
    <row r="8854" ht="15.0" hidden="1" customHeight="1">
      <c r="A8854" s="59">
        <f t="shared" si="20"/>
        <v>144</v>
      </c>
      <c r="B8854" s="59" t="str">
        <f t="shared" si="21"/>
        <v/>
      </c>
      <c r="C8854" s="59" t="str">
        <f t="shared" si="22"/>
        <v/>
      </c>
      <c r="D8854" s="45" t="str">
        <f t="shared" si="23"/>
        <v/>
      </c>
      <c r="E8854" s="45" t="str">
        <f t="shared" si="24"/>
        <v/>
      </c>
      <c r="F8854" s="59" t="str">
        <f t="shared" si="25"/>
        <v/>
      </c>
      <c r="G8854" s="59" t="str">
        <f t="shared" si="26"/>
        <v/>
      </c>
      <c r="H8854" s="59" t="str">
        <f t="shared" si="27"/>
        <v>29E17273</v>
      </c>
      <c r="I8854" s="59" t="str">
        <f>IF(OR($A8854="",$C8854="",$D8854="",$E8854="",$H8854=""),"",SUMIFS(DATA_GOC!$H:$H,DATA_GOC!$A:$A,"BOM",DATA_GOC!$D:$D,$H8854,DATA_GOC!$E:$E,$C8854,DATA_GOC!$F:$F,"Xuất nội bộ từ téc",DATA_GOC!$B:$B,"&gt;="&amp;$D8854,DATA_GOC!$B:$B,"&lt;="&amp;$E8854))</f>
        <v/>
      </c>
      <c r="J8854" s="59">
        <f t="shared" si="28"/>
        <v>0</v>
      </c>
      <c r="K8854" s="59">
        <f t="shared" si="29"/>
        <v>0</v>
      </c>
      <c r="L8854" s="59">
        <f t="shared" si="30"/>
        <v>0</v>
      </c>
      <c r="M8854" s="59">
        <f t="shared" si="31"/>
        <v>0</v>
      </c>
    </row>
    <row r="8855" ht="15.0" hidden="1" customHeight="1">
      <c r="A8855" s="59">
        <f t="shared" si="20"/>
        <v>144</v>
      </c>
      <c r="B8855" s="59" t="str">
        <f t="shared" si="21"/>
        <v/>
      </c>
      <c r="C8855" s="59" t="str">
        <f t="shared" si="22"/>
        <v/>
      </c>
      <c r="D8855" s="45" t="str">
        <f t="shared" si="23"/>
        <v/>
      </c>
      <c r="E8855" s="45" t="str">
        <f t="shared" si="24"/>
        <v/>
      </c>
      <c r="F8855" s="59" t="str">
        <f t="shared" si="25"/>
        <v/>
      </c>
      <c r="G8855" s="59" t="str">
        <f t="shared" si="26"/>
        <v/>
      </c>
      <c r="H8855" s="59" t="str">
        <f t="shared" si="27"/>
        <v>29E17410</v>
      </c>
      <c r="I8855" s="59" t="str">
        <f>IF(OR($A8855="",$C8855="",$D8855="",$E8855="",$H8855=""),"",SUMIFS(DATA_GOC!$H:$H,DATA_GOC!$A:$A,"BOM",DATA_GOC!$D:$D,$H8855,DATA_GOC!$E:$E,$C8855,DATA_GOC!$F:$F,"Xuất nội bộ từ téc",DATA_GOC!$B:$B,"&gt;="&amp;$D8855,DATA_GOC!$B:$B,"&lt;="&amp;$E8855))</f>
        <v/>
      </c>
      <c r="J8855" s="59">
        <f t="shared" si="28"/>
        <v>0</v>
      </c>
      <c r="K8855" s="59">
        <f t="shared" si="29"/>
        <v>0</v>
      </c>
      <c r="L8855" s="59">
        <f t="shared" si="30"/>
        <v>0</v>
      </c>
      <c r="M8855" s="59">
        <f t="shared" si="31"/>
        <v>0</v>
      </c>
    </row>
    <row r="8856" ht="15.0" hidden="1" customHeight="1">
      <c r="A8856" s="59">
        <f t="shared" si="20"/>
        <v>144</v>
      </c>
      <c r="B8856" s="59" t="str">
        <f t="shared" si="21"/>
        <v/>
      </c>
      <c r="C8856" s="59" t="str">
        <f t="shared" si="22"/>
        <v/>
      </c>
      <c r="D8856" s="45" t="str">
        <f t="shared" si="23"/>
        <v/>
      </c>
      <c r="E8856" s="45" t="str">
        <f t="shared" si="24"/>
        <v/>
      </c>
      <c r="F8856" s="59" t="str">
        <f t="shared" si="25"/>
        <v/>
      </c>
      <c r="G8856" s="59" t="str">
        <f t="shared" si="26"/>
        <v/>
      </c>
      <c r="H8856" s="59" t="str">
        <f t="shared" si="27"/>
        <v>29E17417</v>
      </c>
      <c r="I8856" s="59" t="str">
        <f>IF(OR($A8856="",$C8856="",$D8856="",$E8856="",$H8856=""),"",SUMIFS(DATA_GOC!$H:$H,DATA_GOC!$A:$A,"BOM",DATA_GOC!$D:$D,$H8856,DATA_GOC!$E:$E,$C8856,DATA_GOC!$F:$F,"Xuất nội bộ từ téc",DATA_GOC!$B:$B,"&gt;="&amp;$D8856,DATA_GOC!$B:$B,"&lt;="&amp;$E8856))</f>
        <v/>
      </c>
      <c r="J8856" s="59">
        <f t="shared" si="28"/>
        <v>0</v>
      </c>
      <c r="K8856" s="59">
        <f t="shared" si="29"/>
        <v>0</v>
      </c>
      <c r="L8856" s="59">
        <f t="shared" si="30"/>
        <v>0</v>
      </c>
      <c r="M8856" s="59">
        <f t="shared" si="31"/>
        <v>0</v>
      </c>
    </row>
    <row r="8857" ht="15.0" hidden="1" customHeight="1">
      <c r="A8857" s="59">
        <f t="shared" si="20"/>
        <v>144</v>
      </c>
      <c r="B8857" s="59" t="str">
        <f t="shared" si="21"/>
        <v/>
      </c>
      <c r="C8857" s="59" t="str">
        <f t="shared" si="22"/>
        <v/>
      </c>
      <c r="D8857" s="45" t="str">
        <f t="shared" si="23"/>
        <v/>
      </c>
      <c r="E8857" s="45" t="str">
        <f t="shared" si="24"/>
        <v/>
      </c>
      <c r="F8857" s="59" t="str">
        <f t="shared" si="25"/>
        <v/>
      </c>
      <c r="G8857" s="59" t="str">
        <f t="shared" si="26"/>
        <v/>
      </c>
      <c r="H8857" s="59" t="str">
        <f t="shared" si="27"/>
        <v>29E17539</v>
      </c>
      <c r="I8857" s="59" t="str">
        <f>IF(OR($A8857="",$C8857="",$D8857="",$E8857="",$H8857=""),"",SUMIFS(DATA_GOC!$H:$H,DATA_GOC!$A:$A,"BOM",DATA_GOC!$D:$D,$H8857,DATA_GOC!$E:$E,$C8857,DATA_GOC!$F:$F,"Xuất nội bộ từ téc",DATA_GOC!$B:$B,"&gt;="&amp;$D8857,DATA_GOC!$B:$B,"&lt;="&amp;$E8857))</f>
        <v/>
      </c>
      <c r="J8857" s="59">
        <f t="shared" si="28"/>
        <v>0</v>
      </c>
      <c r="K8857" s="59">
        <f t="shared" si="29"/>
        <v>0</v>
      </c>
      <c r="L8857" s="59">
        <f t="shared" si="30"/>
        <v>0</v>
      </c>
      <c r="M8857" s="59">
        <f t="shared" si="31"/>
        <v>0</v>
      </c>
    </row>
    <row r="8858" ht="15.0" hidden="1" customHeight="1">
      <c r="A8858" s="59">
        <f t="shared" si="20"/>
        <v>144</v>
      </c>
      <c r="B8858" s="59" t="str">
        <f t="shared" si="21"/>
        <v/>
      </c>
      <c r="C8858" s="59" t="str">
        <f t="shared" si="22"/>
        <v/>
      </c>
      <c r="D8858" s="45" t="str">
        <f t="shared" si="23"/>
        <v/>
      </c>
      <c r="E8858" s="45" t="str">
        <f t="shared" si="24"/>
        <v/>
      </c>
      <c r="F8858" s="59" t="str">
        <f t="shared" si="25"/>
        <v/>
      </c>
      <c r="G8858" s="59" t="str">
        <f t="shared" si="26"/>
        <v/>
      </c>
      <c r="H8858" s="59" t="str">
        <f t="shared" si="27"/>
        <v>29E18160</v>
      </c>
      <c r="I8858" s="59" t="str">
        <f>IF(OR($A8858="",$C8858="",$D8858="",$E8858="",$H8858=""),"",SUMIFS(DATA_GOC!$H:$H,DATA_GOC!$A:$A,"BOM",DATA_GOC!$D:$D,$H8858,DATA_GOC!$E:$E,$C8858,DATA_GOC!$F:$F,"Xuất nội bộ từ téc",DATA_GOC!$B:$B,"&gt;="&amp;$D8858,DATA_GOC!$B:$B,"&lt;="&amp;$E8858))</f>
        <v/>
      </c>
      <c r="J8858" s="59">
        <f t="shared" si="28"/>
        <v>0</v>
      </c>
      <c r="K8858" s="59">
        <f t="shared" si="29"/>
        <v>0</v>
      </c>
      <c r="L8858" s="59">
        <f t="shared" si="30"/>
        <v>0</v>
      </c>
      <c r="M8858" s="59">
        <f t="shared" si="31"/>
        <v>0</v>
      </c>
    </row>
    <row r="8859" ht="15.0" hidden="1" customHeight="1">
      <c r="A8859" s="59">
        <f t="shared" si="20"/>
        <v>144</v>
      </c>
      <c r="B8859" s="59" t="str">
        <f t="shared" si="21"/>
        <v/>
      </c>
      <c r="C8859" s="59" t="str">
        <f t="shared" si="22"/>
        <v/>
      </c>
      <c r="D8859" s="45" t="str">
        <f t="shared" si="23"/>
        <v/>
      </c>
      <c r="E8859" s="45" t="str">
        <f t="shared" si="24"/>
        <v/>
      </c>
      <c r="F8859" s="59" t="str">
        <f t="shared" si="25"/>
        <v/>
      </c>
      <c r="G8859" s="59" t="str">
        <f t="shared" si="26"/>
        <v/>
      </c>
      <c r="H8859" s="59" t="str">
        <f t="shared" si="27"/>
        <v>Công trình Asphalt</v>
      </c>
      <c r="I8859" s="59" t="str">
        <f>IF(OR($A8859="",$C8859="",$D8859="",$E8859="",$H8859=""),"",SUMIFS(DATA_GOC!$H:$H,DATA_GOC!$A:$A,"BOM",DATA_GOC!$D:$D,$H8859,DATA_GOC!$E:$E,$C8859,DATA_GOC!$F:$F,"Xuất nội bộ từ téc",DATA_GOC!$B:$B,"&gt;="&amp;$D8859,DATA_GOC!$B:$B,"&lt;="&amp;$E8859))</f>
        <v/>
      </c>
      <c r="J8859" s="59">
        <f t="shared" si="28"/>
        <v>0</v>
      </c>
      <c r="K8859" s="59">
        <f t="shared" si="29"/>
        <v>0</v>
      </c>
      <c r="L8859" s="59">
        <f t="shared" si="30"/>
        <v>0</v>
      </c>
      <c r="M8859" s="59">
        <f t="shared" si="31"/>
        <v>0</v>
      </c>
    </row>
    <row r="8860" ht="15.0" hidden="1" customHeight="1">
      <c r="A8860" s="59">
        <f t="shared" si="20"/>
        <v>144</v>
      </c>
      <c r="B8860" s="59" t="str">
        <f t="shared" si="21"/>
        <v/>
      </c>
      <c r="C8860" s="59" t="str">
        <f t="shared" si="22"/>
        <v/>
      </c>
      <c r="D8860" s="45" t="str">
        <f t="shared" si="23"/>
        <v/>
      </c>
      <c r="E8860" s="45" t="str">
        <f t="shared" si="24"/>
        <v/>
      </c>
      <c r="F8860" s="59" t="str">
        <f t="shared" si="25"/>
        <v/>
      </c>
      <c r="G8860" s="59" t="str">
        <f t="shared" si="26"/>
        <v/>
      </c>
      <c r="H8860" s="59" t="str">
        <f t="shared" si="27"/>
        <v>LG53F</v>
      </c>
      <c r="I8860" s="59" t="str">
        <f>IF(OR($A8860="",$C8860="",$D8860="",$E8860="",$H8860=""),"",SUMIFS(DATA_GOC!$H:$H,DATA_GOC!$A:$A,"BOM",DATA_GOC!$D:$D,$H8860,DATA_GOC!$E:$E,$C8860,DATA_GOC!$F:$F,"Xuất nội bộ từ téc",DATA_GOC!$B:$B,"&gt;="&amp;$D8860,DATA_GOC!$B:$B,"&lt;="&amp;$E8860))</f>
        <v/>
      </c>
      <c r="J8860" s="59">
        <f t="shared" si="28"/>
        <v>0</v>
      </c>
      <c r="K8860" s="59">
        <f t="shared" si="29"/>
        <v>0</v>
      </c>
      <c r="L8860" s="59">
        <f t="shared" si="30"/>
        <v>0</v>
      </c>
      <c r="M8860" s="59">
        <f t="shared" si="31"/>
        <v>0</v>
      </c>
    </row>
    <row r="8861" ht="15.0" hidden="1" customHeight="1">
      <c r="A8861" s="59">
        <f t="shared" si="20"/>
        <v>144</v>
      </c>
      <c r="B8861" s="59" t="str">
        <f t="shared" si="21"/>
        <v/>
      </c>
      <c r="C8861" s="59" t="str">
        <f t="shared" si="22"/>
        <v/>
      </c>
      <c r="D8861" s="45" t="str">
        <f t="shared" si="23"/>
        <v/>
      </c>
      <c r="E8861" s="45" t="str">
        <f t="shared" si="24"/>
        <v/>
      </c>
      <c r="F8861" s="59" t="str">
        <f t="shared" si="25"/>
        <v/>
      </c>
      <c r="G8861" s="59" t="str">
        <f t="shared" si="26"/>
        <v/>
      </c>
      <c r="H8861" s="59" t="str">
        <f t="shared" si="27"/>
        <v>Máy phát điện</v>
      </c>
      <c r="I8861" s="59" t="str">
        <f>IF(OR($A8861="",$C8861="",$D8861="",$E8861="",$H8861=""),"",SUMIFS(DATA_GOC!$H:$H,DATA_GOC!$A:$A,"BOM",DATA_GOC!$D:$D,$H8861,DATA_GOC!$E:$E,$C8861,DATA_GOC!$F:$F,"Xuất nội bộ từ téc",DATA_GOC!$B:$B,"&gt;="&amp;$D8861,DATA_GOC!$B:$B,"&lt;="&amp;$E8861))</f>
        <v/>
      </c>
      <c r="J8861" s="59">
        <f t="shared" si="28"/>
        <v>0</v>
      </c>
      <c r="K8861" s="59">
        <f t="shared" si="29"/>
        <v>0</v>
      </c>
      <c r="L8861" s="59">
        <f t="shared" si="30"/>
        <v>0</v>
      </c>
      <c r="M8861" s="59">
        <f t="shared" si="31"/>
        <v>0</v>
      </c>
    </row>
    <row r="8862" ht="15.0" hidden="1" customHeight="1">
      <c r="A8862" s="59">
        <f t="shared" si="20"/>
        <v>144</v>
      </c>
      <c r="B8862" s="59" t="str">
        <f t="shared" si="21"/>
        <v/>
      </c>
      <c r="C8862" s="59" t="str">
        <f t="shared" si="22"/>
        <v/>
      </c>
      <c r="D8862" s="45" t="str">
        <f t="shared" si="23"/>
        <v/>
      </c>
      <c r="E8862" s="45" t="str">
        <f t="shared" si="24"/>
        <v/>
      </c>
      <c r="F8862" s="59" t="str">
        <f t="shared" si="25"/>
        <v/>
      </c>
      <c r="G8862" s="59" t="str">
        <f t="shared" si="26"/>
        <v/>
      </c>
      <c r="H8862" s="59" t="str">
        <f t="shared" si="27"/>
        <v>Máy rải thảm</v>
      </c>
      <c r="I8862" s="59" t="str">
        <f>IF(OR($A8862="",$C8862="",$D8862="",$E8862="",$H8862=""),"",SUMIFS(DATA_GOC!$H:$H,DATA_GOC!$A:$A,"BOM",DATA_GOC!$D:$D,$H8862,DATA_GOC!$E:$E,$C8862,DATA_GOC!$F:$F,"Xuất nội bộ từ téc",DATA_GOC!$B:$B,"&gt;="&amp;$D8862,DATA_GOC!$B:$B,"&lt;="&amp;$E8862))</f>
        <v/>
      </c>
      <c r="J8862" s="59">
        <f t="shared" si="28"/>
        <v>0</v>
      </c>
      <c r="K8862" s="59">
        <f t="shared" si="29"/>
        <v>0</v>
      </c>
      <c r="L8862" s="59">
        <f t="shared" si="30"/>
        <v>0</v>
      </c>
      <c r="M8862" s="59">
        <f t="shared" si="31"/>
        <v>0</v>
      </c>
    </row>
    <row r="8863" ht="15.0" hidden="1" customHeight="1">
      <c r="A8863" s="59">
        <f t="shared" si="20"/>
        <v>144</v>
      </c>
      <c r="B8863" s="59" t="str">
        <f t="shared" si="21"/>
        <v/>
      </c>
      <c r="C8863" s="59" t="str">
        <f t="shared" si="22"/>
        <v/>
      </c>
      <c r="D8863" s="45" t="str">
        <f t="shared" si="23"/>
        <v/>
      </c>
      <c r="E8863" s="45" t="str">
        <f t="shared" si="24"/>
        <v/>
      </c>
      <c r="F8863" s="59" t="str">
        <f t="shared" si="25"/>
        <v/>
      </c>
      <c r="G8863" s="59" t="str">
        <f t="shared" si="26"/>
        <v/>
      </c>
      <c r="H8863" s="59" t="str">
        <f t="shared" si="27"/>
        <v>Xúc Đào</v>
      </c>
      <c r="I8863" s="59" t="str">
        <f>IF(OR($A8863="",$C8863="",$D8863="",$E8863="",$H8863=""),"",SUMIFS(DATA_GOC!$H:$H,DATA_GOC!$A:$A,"BOM",DATA_GOC!$D:$D,$H8863,DATA_GOC!$E:$E,$C8863,DATA_GOC!$F:$F,"Xuất nội bộ từ téc",DATA_GOC!$B:$B,"&gt;="&amp;$D8863,DATA_GOC!$B:$B,"&lt;="&amp;$E8863))</f>
        <v/>
      </c>
      <c r="J8863" s="59">
        <f t="shared" si="28"/>
        <v>0</v>
      </c>
      <c r="K8863" s="59">
        <f t="shared" si="29"/>
        <v>0</v>
      </c>
      <c r="L8863" s="59">
        <f t="shared" si="30"/>
        <v>0</v>
      </c>
      <c r="M8863" s="59">
        <f t="shared" si="31"/>
        <v>0</v>
      </c>
    </row>
    <row r="8864" ht="15.0" hidden="1" customHeight="1">
      <c r="A8864" s="59">
        <f t="shared" si="20"/>
        <v>144</v>
      </c>
      <c r="B8864" s="59" t="str">
        <f t="shared" si="21"/>
        <v/>
      </c>
      <c r="C8864" s="59" t="str">
        <f t="shared" si="22"/>
        <v/>
      </c>
      <c r="D8864" s="45" t="str">
        <f t="shared" si="23"/>
        <v/>
      </c>
      <c r="E8864" s="45" t="str">
        <f t="shared" si="24"/>
        <v/>
      </c>
      <c r="F8864" s="59" t="str">
        <f t="shared" si="25"/>
        <v/>
      </c>
      <c r="G8864" s="59" t="str">
        <f t="shared" si="26"/>
        <v/>
      </c>
      <c r="H8864" s="59" t="str">
        <f t="shared" si="27"/>
        <v>Xúclật asphalt</v>
      </c>
      <c r="I8864" s="59" t="str">
        <f>IF(OR($A8864="",$C8864="",$D8864="",$E8864="",$H8864=""),"",SUMIFS(DATA_GOC!$H:$H,DATA_GOC!$A:$A,"BOM",DATA_GOC!$D:$D,$H8864,DATA_GOC!$E:$E,$C8864,DATA_GOC!$F:$F,"Xuất nội bộ từ téc",DATA_GOC!$B:$B,"&gt;="&amp;$D8864,DATA_GOC!$B:$B,"&lt;="&amp;$E8864))</f>
        <v/>
      </c>
      <c r="J8864" s="59">
        <f t="shared" si="28"/>
        <v>0</v>
      </c>
      <c r="K8864" s="59">
        <f t="shared" si="29"/>
        <v>0</v>
      </c>
      <c r="L8864" s="59">
        <f t="shared" si="30"/>
        <v>0</v>
      </c>
      <c r="M8864" s="59">
        <f t="shared" si="31"/>
        <v>0</v>
      </c>
    </row>
    <row r="8865" ht="15.0" hidden="1" customHeight="1">
      <c r="A8865" s="59">
        <f t="shared" si="20"/>
        <v>144</v>
      </c>
      <c r="B8865" s="59" t="str">
        <f t="shared" si="21"/>
        <v/>
      </c>
      <c r="C8865" s="59" t="str">
        <f t="shared" si="22"/>
        <v/>
      </c>
      <c r="D8865" s="45" t="str">
        <f t="shared" si="23"/>
        <v/>
      </c>
      <c r="E8865" s="45" t="str">
        <f t="shared" si="24"/>
        <v/>
      </c>
      <c r="F8865" s="59" t="str">
        <f t="shared" si="25"/>
        <v/>
      </c>
      <c r="G8865" s="59" t="str">
        <f t="shared" si="26"/>
        <v/>
      </c>
      <c r="H8865" s="59" t="str">
        <f t="shared" si="27"/>
        <v>Xúclật855H</v>
      </c>
      <c r="I8865" s="59" t="str">
        <f>IF(OR($A8865="",$C8865="",$D8865="",$E8865="",$H8865=""),"",SUMIFS(DATA_GOC!$H:$H,DATA_GOC!$A:$A,"BOM",DATA_GOC!$D:$D,$H8865,DATA_GOC!$E:$E,$C8865,DATA_GOC!$F:$F,"Xuất nội bộ từ téc",DATA_GOC!$B:$B,"&gt;="&amp;$D8865,DATA_GOC!$B:$B,"&lt;="&amp;$E8865))</f>
        <v/>
      </c>
      <c r="J8865" s="59">
        <f t="shared" si="28"/>
        <v>0</v>
      </c>
      <c r="K8865" s="59">
        <f t="shared" si="29"/>
        <v>0</v>
      </c>
      <c r="L8865" s="59">
        <f t="shared" si="30"/>
        <v>0</v>
      </c>
      <c r="M8865" s="59">
        <f t="shared" si="31"/>
        <v>0</v>
      </c>
    </row>
    <row r="8866" ht="15.0" hidden="1" customHeight="1">
      <c r="A8866" s="59">
        <f t="shared" si="20"/>
        <v>144</v>
      </c>
      <c r="B8866" s="59" t="str">
        <f t="shared" si="21"/>
        <v/>
      </c>
      <c r="C8866" s="59" t="str">
        <f t="shared" si="22"/>
        <v/>
      </c>
      <c r="D8866" s="45" t="str">
        <f t="shared" si="23"/>
        <v/>
      </c>
      <c r="E8866" s="45" t="str">
        <f t="shared" si="24"/>
        <v/>
      </c>
      <c r="F8866" s="59" t="str">
        <f t="shared" si="25"/>
        <v/>
      </c>
      <c r="G8866" s="59" t="str">
        <f t="shared" si="26"/>
        <v/>
      </c>
      <c r="H8866" s="59" t="str">
        <f t="shared" si="27"/>
        <v>Xúclật855N</v>
      </c>
      <c r="I8866" s="59" t="str">
        <f>IF(OR($A8866="",$C8866="",$D8866="",$E8866="",$H8866=""),"",SUMIFS(DATA_GOC!$H:$H,DATA_GOC!$A:$A,"BOM",DATA_GOC!$D:$D,$H8866,DATA_GOC!$E:$E,$C8866,DATA_GOC!$F:$F,"Xuất nội bộ từ téc",DATA_GOC!$B:$B,"&gt;="&amp;$D8866,DATA_GOC!$B:$B,"&lt;="&amp;$E8866))</f>
        <v/>
      </c>
      <c r="J8866" s="59">
        <f t="shared" si="28"/>
        <v>0</v>
      </c>
      <c r="K8866" s="59">
        <f t="shared" si="29"/>
        <v>0</v>
      </c>
      <c r="L8866" s="59">
        <f t="shared" si="30"/>
        <v>0</v>
      </c>
      <c r="M8866" s="59">
        <f t="shared" si="31"/>
        <v>0</v>
      </c>
    </row>
    <row r="8867" ht="15.0" hidden="1" customHeight="1">
      <c r="A8867" s="59">
        <f t="shared" si="20"/>
        <v>144</v>
      </c>
      <c r="B8867" s="59" t="str">
        <f t="shared" si="21"/>
        <v/>
      </c>
      <c r="C8867" s="59" t="str">
        <f t="shared" si="22"/>
        <v/>
      </c>
      <c r="D8867" s="45" t="str">
        <f t="shared" si="23"/>
        <v/>
      </c>
      <c r="E8867" s="45" t="str">
        <f t="shared" si="24"/>
        <v/>
      </c>
      <c r="F8867" s="59" t="str">
        <f t="shared" si="25"/>
        <v/>
      </c>
      <c r="G8867" s="59" t="str">
        <f t="shared" si="26"/>
        <v/>
      </c>
      <c r="H8867" s="59" t="str">
        <f t="shared" si="27"/>
        <v>Cát nghiền</v>
      </c>
      <c r="I8867" s="59" t="str">
        <f>IF(OR($A8867="",$C8867="",$D8867="",$E8867="",$H8867=""),"",SUMIFS(DATA_GOC!$H:$H,DATA_GOC!$A:$A,"BOM",DATA_GOC!$D:$D,$H8867,DATA_GOC!$E:$E,$C8867,DATA_GOC!$F:$F,"Xuất nội bộ từ téc",DATA_GOC!$B:$B,"&gt;="&amp;$D8867,DATA_GOC!$B:$B,"&lt;="&amp;$E8867))</f>
        <v/>
      </c>
      <c r="J8867" s="59">
        <f t="shared" si="28"/>
        <v>0</v>
      </c>
      <c r="K8867" s="59">
        <f t="shared" si="29"/>
        <v>0</v>
      </c>
      <c r="L8867" s="59">
        <f t="shared" si="30"/>
        <v>0</v>
      </c>
      <c r="M8867" s="59">
        <f t="shared" si="31"/>
        <v>0</v>
      </c>
    </row>
    <row r="8868" ht="15.0" hidden="1" customHeight="1">
      <c r="A8868" s="59">
        <f t="shared" si="20"/>
        <v>144</v>
      </c>
      <c r="B8868" s="59" t="str">
        <f t="shared" si="21"/>
        <v/>
      </c>
      <c r="C8868" s="59" t="str">
        <f t="shared" si="22"/>
        <v/>
      </c>
      <c r="D8868" s="45" t="str">
        <f t="shared" si="23"/>
        <v/>
      </c>
      <c r="E8868" s="45" t="str">
        <f t="shared" si="24"/>
        <v/>
      </c>
      <c r="F8868" s="59" t="str">
        <f t="shared" si="25"/>
        <v/>
      </c>
      <c r="G8868" s="59" t="str">
        <f t="shared" si="26"/>
        <v/>
      </c>
      <c r="H8868" s="59" t="str">
        <f t="shared" si="27"/>
        <v>28C02973</v>
      </c>
      <c r="I8868" s="59" t="str">
        <f>IF(OR($A8868="",$C8868="",$D8868="",$E8868="",$H8868=""),"",SUMIFS(DATA_GOC!$H:$H,DATA_GOC!$A:$A,"BOM",DATA_GOC!$D:$D,$H8868,DATA_GOC!$E:$E,$C8868,DATA_GOC!$F:$F,"Xuất nội bộ từ téc",DATA_GOC!$B:$B,"&gt;="&amp;$D8868,DATA_GOC!$B:$B,"&lt;="&amp;$E8868))</f>
        <v/>
      </c>
      <c r="J8868" s="59">
        <f t="shared" si="28"/>
        <v>0</v>
      </c>
      <c r="K8868" s="59">
        <f t="shared" si="29"/>
        <v>0</v>
      </c>
      <c r="L8868" s="59">
        <f t="shared" si="30"/>
        <v>0</v>
      </c>
      <c r="M8868" s="59">
        <f t="shared" si="31"/>
        <v>0</v>
      </c>
    </row>
    <row r="8869" ht="15.0" hidden="1" customHeight="1">
      <c r="A8869" s="59">
        <f t="shared" si="20"/>
        <v>144</v>
      </c>
      <c r="B8869" s="59" t="str">
        <f t="shared" si="21"/>
        <v/>
      </c>
      <c r="C8869" s="59" t="str">
        <f t="shared" si="22"/>
        <v/>
      </c>
      <c r="D8869" s="45" t="str">
        <f t="shared" si="23"/>
        <v/>
      </c>
      <c r="E8869" s="45" t="str">
        <f t="shared" si="24"/>
        <v/>
      </c>
      <c r="F8869" s="59" t="str">
        <f t="shared" si="25"/>
        <v/>
      </c>
      <c r="G8869" s="59" t="str">
        <f t="shared" si="26"/>
        <v/>
      </c>
      <c r="H8869" s="59" t="str">
        <f t="shared" si="27"/>
        <v>28C03044</v>
      </c>
      <c r="I8869" s="59" t="str">
        <f>IF(OR($A8869="",$C8869="",$D8869="",$E8869="",$H8869=""),"",SUMIFS(DATA_GOC!$H:$H,DATA_GOC!$A:$A,"BOM",DATA_GOC!$D:$D,$H8869,DATA_GOC!$E:$E,$C8869,DATA_GOC!$F:$F,"Xuất nội bộ từ téc",DATA_GOC!$B:$B,"&gt;="&amp;$D8869,DATA_GOC!$B:$B,"&lt;="&amp;$E8869))</f>
        <v/>
      </c>
      <c r="J8869" s="59">
        <f t="shared" si="28"/>
        <v>0</v>
      </c>
      <c r="K8869" s="59">
        <f t="shared" si="29"/>
        <v>0</v>
      </c>
      <c r="L8869" s="59">
        <f t="shared" si="30"/>
        <v>0</v>
      </c>
      <c r="M8869" s="59">
        <f t="shared" si="31"/>
        <v>0</v>
      </c>
    </row>
    <row r="8870" ht="15.0" hidden="1" customHeight="1">
      <c r="A8870" s="59">
        <f t="shared" si="20"/>
        <v>144</v>
      </c>
      <c r="B8870" s="59" t="str">
        <f t="shared" si="21"/>
        <v/>
      </c>
      <c r="C8870" s="59" t="str">
        <f t="shared" si="22"/>
        <v/>
      </c>
      <c r="D8870" s="45" t="str">
        <f t="shared" si="23"/>
        <v/>
      </c>
      <c r="E8870" s="45" t="str">
        <f t="shared" si="24"/>
        <v/>
      </c>
      <c r="F8870" s="59" t="str">
        <f t="shared" si="25"/>
        <v/>
      </c>
      <c r="G8870" s="59" t="str">
        <f t="shared" si="26"/>
        <v/>
      </c>
      <c r="H8870" s="59" t="str">
        <f t="shared" si="27"/>
        <v>Máy lu lốp</v>
      </c>
      <c r="I8870" s="59" t="str">
        <f>IF(OR($A8870="",$C8870="",$D8870="",$E8870="",$H8870=""),"",SUMIFS(DATA_GOC!$H:$H,DATA_GOC!$A:$A,"BOM",DATA_GOC!$D:$D,$H8870,DATA_GOC!$E:$E,$C8870,DATA_GOC!$F:$F,"Xuất nội bộ từ téc",DATA_GOC!$B:$B,"&gt;="&amp;$D8870,DATA_GOC!$B:$B,"&lt;="&amp;$E8870))</f>
        <v/>
      </c>
      <c r="J8870" s="59">
        <f t="shared" si="28"/>
        <v>0</v>
      </c>
      <c r="K8870" s="59">
        <f t="shared" si="29"/>
        <v>0</v>
      </c>
      <c r="L8870" s="59">
        <f t="shared" si="30"/>
        <v>0</v>
      </c>
      <c r="M8870" s="59">
        <f t="shared" si="31"/>
        <v>0</v>
      </c>
    </row>
    <row r="8871" ht="15.0" hidden="1" customHeight="1">
      <c r="A8871" s="59">
        <f t="shared" si="20"/>
        <v>144</v>
      </c>
      <c r="B8871" s="59" t="str">
        <f t="shared" si="21"/>
        <v/>
      </c>
      <c r="C8871" s="59" t="str">
        <f t="shared" si="22"/>
        <v/>
      </c>
      <c r="D8871" s="45" t="str">
        <f t="shared" si="23"/>
        <v/>
      </c>
      <c r="E8871" s="45" t="str">
        <f t="shared" si="24"/>
        <v/>
      </c>
      <c r="F8871" s="59" t="str">
        <f t="shared" si="25"/>
        <v/>
      </c>
      <c r="G8871" s="59" t="str">
        <f t="shared" si="26"/>
        <v/>
      </c>
      <c r="H8871" s="59" t="str">
        <f t="shared" si="27"/>
        <v>Xe 600148</v>
      </c>
      <c r="I8871" s="59" t="str">
        <f>IF(OR($A8871="",$C8871="",$D8871="",$E8871="",$H8871=""),"",SUMIFS(DATA_GOC!$H:$H,DATA_GOC!$A:$A,"BOM",DATA_GOC!$D:$D,$H8871,DATA_GOC!$E:$E,$C8871,DATA_GOC!$F:$F,"Xuất nội bộ từ téc",DATA_GOC!$B:$B,"&gt;="&amp;$D8871,DATA_GOC!$B:$B,"&lt;="&amp;$E8871))</f>
        <v/>
      </c>
      <c r="J8871" s="59">
        <f t="shared" si="28"/>
        <v>0</v>
      </c>
      <c r="K8871" s="59">
        <f t="shared" si="29"/>
        <v>0</v>
      </c>
      <c r="L8871" s="59">
        <f t="shared" si="30"/>
        <v>0</v>
      </c>
      <c r="M8871" s="59">
        <f t="shared" si="31"/>
        <v>0</v>
      </c>
    </row>
    <row r="8872" ht="15.0" hidden="1" customHeight="1">
      <c r="A8872" s="59">
        <f t="shared" si="20"/>
        <v>144</v>
      </c>
      <c r="B8872" s="59" t="str">
        <f t="shared" si="21"/>
        <v/>
      </c>
      <c r="C8872" s="59" t="str">
        <f t="shared" si="22"/>
        <v/>
      </c>
      <c r="D8872" s="45" t="str">
        <f t="shared" si="23"/>
        <v/>
      </c>
      <c r="E8872" s="45" t="str">
        <f t="shared" si="24"/>
        <v/>
      </c>
      <c r="F8872" s="59" t="str">
        <f t="shared" si="25"/>
        <v/>
      </c>
      <c r="G8872" s="59" t="str">
        <f t="shared" si="26"/>
        <v/>
      </c>
      <c r="H8872" s="59" t="str">
        <f t="shared" si="27"/>
        <v>Xe ben mới</v>
      </c>
      <c r="I8872" s="59" t="str">
        <f>IF(OR($A8872="",$C8872="",$D8872="",$E8872="",$H8872=""),"",SUMIFS(DATA_GOC!$H:$H,DATA_GOC!$A:$A,"BOM",DATA_GOC!$D:$D,$H8872,DATA_GOC!$E:$E,$C8872,DATA_GOC!$F:$F,"Xuất nội bộ từ téc",DATA_GOC!$B:$B,"&gt;="&amp;$D8872,DATA_GOC!$B:$B,"&lt;="&amp;$E8872))</f>
        <v/>
      </c>
      <c r="J8872" s="59">
        <f t="shared" si="28"/>
        <v>0</v>
      </c>
      <c r="K8872" s="59">
        <f t="shared" si="29"/>
        <v>0</v>
      </c>
      <c r="L8872" s="59">
        <f t="shared" si="30"/>
        <v>0</v>
      </c>
      <c r="M8872" s="59">
        <f t="shared" si="31"/>
        <v>0</v>
      </c>
    </row>
    <row r="8873" ht="15.0" hidden="1" customHeight="1">
      <c r="A8873" s="59">
        <f t="shared" si="20"/>
        <v>145</v>
      </c>
      <c r="B8873" s="59" t="str">
        <f t="shared" si="21"/>
        <v/>
      </c>
      <c r="C8873" s="59" t="str">
        <f t="shared" si="22"/>
        <v/>
      </c>
      <c r="D8873" s="45" t="str">
        <f t="shared" si="23"/>
        <v/>
      </c>
      <c r="E8873" s="45" t="str">
        <f t="shared" si="24"/>
        <v/>
      </c>
      <c r="F8873" s="59" t="str">
        <f t="shared" si="25"/>
        <v/>
      </c>
      <c r="G8873" s="59" t="str">
        <f t="shared" si="26"/>
        <v/>
      </c>
      <c r="H8873" s="59" t="str">
        <f t="shared" si="27"/>
        <v>19H09482</v>
      </c>
      <c r="I8873" s="59" t="str">
        <f>IF(OR($A8873="",$C8873="",$D8873="",$E8873="",$H8873=""),"",SUMIFS(DATA_GOC!$H:$H,DATA_GOC!$A:$A,"BOM",DATA_GOC!$D:$D,$H8873,DATA_GOC!$E:$E,$C8873,DATA_GOC!$F:$F,"Xuất nội bộ từ téc",DATA_GOC!$B:$B,"&gt;="&amp;$D8873,DATA_GOC!$B:$B,"&lt;="&amp;$E8873))</f>
        <v/>
      </c>
      <c r="J8873" s="59">
        <f t="shared" si="28"/>
        <v>0</v>
      </c>
      <c r="K8873" s="59">
        <f t="shared" si="29"/>
        <v>0</v>
      </c>
      <c r="L8873" s="59">
        <f t="shared" si="30"/>
        <v>0</v>
      </c>
      <c r="M8873" s="59">
        <f t="shared" si="31"/>
        <v>0</v>
      </c>
    </row>
    <row r="8874" ht="15.0" hidden="1" customHeight="1">
      <c r="A8874" s="59">
        <f t="shared" si="20"/>
        <v>145</v>
      </c>
      <c r="B8874" s="59" t="str">
        <f t="shared" si="21"/>
        <v/>
      </c>
      <c r="C8874" s="59" t="str">
        <f t="shared" si="22"/>
        <v/>
      </c>
      <c r="D8874" s="45" t="str">
        <f t="shared" si="23"/>
        <v/>
      </c>
      <c r="E8874" s="45" t="str">
        <f t="shared" si="24"/>
        <v/>
      </c>
      <c r="F8874" s="59" t="str">
        <f t="shared" si="25"/>
        <v/>
      </c>
      <c r="G8874" s="59" t="str">
        <f t="shared" si="26"/>
        <v/>
      </c>
      <c r="H8874" s="59" t="str">
        <f t="shared" si="27"/>
        <v>28A30696</v>
      </c>
      <c r="I8874" s="59" t="str">
        <f>IF(OR($A8874="",$C8874="",$D8874="",$E8874="",$H8874=""),"",SUMIFS(DATA_GOC!$H:$H,DATA_GOC!$A:$A,"BOM",DATA_GOC!$D:$D,$H8874,DATA_GOC!$E:$E,$C8874,DATA_GOC!$F:$F,"Xuất nội bộ từ téc",DATA_GOC!$B:$B,"&gt;="&amp;$D8874,DATA_GOC!$B:$B,"&lt;="&amp;$E8874))</f>
        <v/>
      </c>
      <c r="J8874" s="59">
        <f t="shared" si="28"/>
        <v>0</v>
      </c>
      <c r="K8874" s="59">
        <f t="shared" si="29"/>
        <v>0</v>
      </c>
      <c r="L8874" s="59">
        <f t="shared" si="30"/>
        <v>0</v>
      </c>
      <c r="M8874" s="59">
        <f t="shared" si="31"/>
        <v>0</v>
      </c>
    </row>
    <row r="8875" ht="15.0" hidden="1" customHeight="1">
      <c r="A8875" s="59">
        <f t="shared" si="20"/>
        <v>145</v>
      </c>
      <c r="B8875" s="59" t="str">
        <f t="shared" si="21"/>
        <v/>
      </c>
      <c r="C8875" s="59" t="str">
        <f t="shared" si="22"/>
        <v/>
      </c>
      <c r="D8875" s="45" t="str">
        <f t="shared" si="23"/>
        <v/>
      </c>
      <c r="E8875" s="45" t="str">
        <f t="shared" si="24"/>
        <v/>
      </c>
      <c r="F8875" s="59" t="str">
        <f t="shared" si="25"/>
        <v/>
      </c>
      <c r="G8875" s="59" t="str">
        <f t="shared" si="26"/>
        <v/>
      </c>
      <c r="H8875" s="59" t="str">
        <f t="shared" si="27"/>
        <v>28C00462</v>
      </c>
      <c r="I8875" s="59" t="str">
        <f>IF(OR($A8875="",$C8875="",$D8875="",$E8875="",$H8875=""),"",SUMIFS(DATA_GOC!$H:$H,DATA_GOC!$A:$A,"BOM",DATA_GOC!$D:$D,$H8875,DATA_GOC!$E:$E,$C8875,DATA_GOC!$F:$F,"Xuất nội bộ từ téc",DATA_GOC!$B:$B,"&gt;="&amp;$D8875,DATA_GOC!$B:$B,"&lt;="&amp;$E8875))</f>
        <v/>
      </c>
      <c r="J8875" s="59">
        <f t="shared" si="28"/>
        <v>0</v>
      </c>
      <c r="K8875" s="59">
        <f t="shared" si="29"/>
        <v>0</v>
      </c>
      <c r="L8875" s="59">
        <f t="shared" si="30"/>
        <v>0</v>
      </c>
      <c r="M8875" s="59">
        <f t="shared" si="31"/>
        <v>0</v>
      </c>
    </row>
    <row r="8876" ht="15.0" hidden="1" customHeight="1">
      <c r="A8876" s="59">
        <f t="shared" si="20"/>
        <v>145</v>
      </c>
      <c r="B8876" s="59" t="str">
        <f t="shared" si="21"/>
        <v/>
      </c>
      <c r="C8876" s="59" t="str">
        <f t="shared" si="22"/>
        <v/>
      </c>
      <c r="D8876" s="45" t="str">
        <f t="shared" si="23"/>
        <v/>
      </c>
      <c r="E8876" s="45" t="str">
        <f t="shared" si="24"/>
        <v/>
      </c>
      <c r="F8876" s="59" t="str">
        <f t="shared" si="25"/>
        <v/>
      </c>
      <c r="G8876" s="59" t="str">
        <f t="shared" si="26"/>
        <v/>
      </c>
      <c r="H8876" s="59" t="str">
        <f t="shared" si="27"/>
        <v>28C01165</v>
      </c>
      <c r="I8876" s="59" t="str">
        <f>IF(OR($A8876="",$C8876="",$D8876="",$E8876="",$H8876=""),"",SUMIFS(DATA_GOC!$H:$H,DATA_GOC!$A:$A,"BOM",DATA_GOC!$D:$D,$H8876,DATA_GOC!$E:$E,$C8876,DATA_GOC!$F:$F,"Xuất nội bộ từ téc",DATA_GOC!$B:$B,"&gt;="&amp;$D8876,DATA_GOC!$B:$B,"&lt;="&amp;$E8876))</f>
        <v/>
      </c>
      <c r="J8876" s="59">
        <f t="shared" si="28"/>
        <v>0</v>
      </c>
      <c r="K8876" s="59">
        <f t="shared" si="29"/>
        <v>0</v>
      </c>
      <c r="L8876" s="59">
        <f t="shared" si="30"/>
        <v>0</v>
      </c>
      <c r="M8876" s="59">
        <f t="shared" si="31"/>
        <v>0</v>
      </c>
    </row>
    <row r="8877" ht="15.0" hidden="1" customHeight="1">
      <c r="A8877" s="59">
        <f t="shared" si="20"/>
        <v>145</v>
      </c>
      <c r="B8877" s="59" t="str">
        <f t="shared" si="21"/>
        <v/>
      </c>
      <c r="C8877" s="59" t="str">
        <f t="shared" si="22"/>
        <v/>
      </c>
      <c r="D8877" s="45" t="str">
        <f t="shared" si="23"/>
        <v/>
      </c>
      <c r="E8877" s="45" t="str">
        <f t="shared" si="24"/>
        <v/>
      </c>
      <c r="F8877" s="59" t="str">
        <f t="shared" si="25"/>
        <v/>
      </c>
      <c r="G8877" s="59" t="str">
        <f t="shared" si="26"/>
        <v/>
      </c>
      <c r="H8877" s="59" t="str">
        <f t="shared" si="27"/>
        <v>28C01406</v>
      </c>
      <c r="I8877" s="59" t="str">
        <f>IF(OR($A8877="",$C8877="",$D8877="",$E8877="",$H8877=""),"",SUMIFS(DATA_GOC!$H:$H,DATA_GOC!$A:$A,"BOM",DATA_GOC!$D:$D,$H8877,DATA_GOC!$E:$E,$C8877,DATA_GOC!$F:$F,"Xuất nội bộ từ téc",DATA_GOC!$B:$B,"&gt;="&amp;$D8877,DATA_GOC!$B:$B,"&lt;="&amp;$E8877))</f>
        <v/>
      </c>
      <c r="J8877" s="59">
        <f t="shared" si="28"/>
        <v>0</v>
      </c>
      <c r="K8877" s="59">
        <f t="shared" si="29"/>
        <v>0</v>
      </c>
      <c r="L8877" s="59">
        <f t="shared" si="30"/>
        <v>0</v>
      </c>
      <c r="M8877" s="59">
        <f t="shared" si="31"/>
        <v>0</v>
      </c>
    </row>
    <row r="8878" ht="15.0" hidden="1" customHeight="1">
      <c r="A8878" s="59">
        <f t="shared" si="20"/>
        <v>145</v>
      </c>
      <c r="B8878" s="59" t="str">
        <f t="shared" si="21"/>
        <v/>
      </c>
      <c r="C8878" s="59" t="str">
        <f t="shared" si="22"/>
        <v/>
      </c>
      <c r="D8878" s="45" t="str">
        <f t="shared" si="23"/>
        <v/>
      </c>
      <c r="E8878" s="45" t="str">
        <f t="shared" si="24"/>
        <v/>
      </c>
      <c r="F8878" s="59" t="str">
        <f t="shared" si="25"/>
        <v/>
      </c>
      <c r="G8878" s="59" t="str">
        <f t="shared" si="26"/>
        <v/>
      </c>
      <c r="H8878" s="59" t="str">
        <f t="shared" si="27"/>
        <v>28C01544</v>
      </c>
      <c r="I8878" s="59" t="str">
        <f>IF(OR($A8878="",$C8878="",$D8878="",$E8878="",$H8878=""),"",SUMIFS(DATA_GOC!$H:$H,DATA_GOC!$A:$A,"BOM",DATA_GOC!$D:$D,$H8878,DATA_GOC!$E:$E,$C8878,DATA_GOC!$F:$F,"Xuất nội bộ từ téc",DATA_GOC!$B:$B,"&gt;="&amp;$D8878,DATA_GOC!$B:$B,"&lt;="&amp;$E8878))</f>
        <v/>
      </c>
      <c r="J8878" s="59">
        <f t="shared" si="28"/>
        <v>0</v>
      </c>
      <c r="K8878" s="59">
        <f t="shared" si="29"/>
        <v>0</v>
      </c>
      <c r="L8878" s="59">
        <f t="shared" si="30"/>
        <v>0</v>
      </c>
      <c r="M8878" s="59">
        <f t="shared" si="31"/>
        <v>0</v>
      </c>
    </row>
    <row r="8879" ht="15.0" hidden="1" customHeight="1">
      <c r="A8879" s="59">
        <f t="shared" si="20"/>
        <v>145</v>
      </c>
      <c r="B8879" s="59" t="str">
        <f t="shared" si="21"/>
        <v/>
      </c>
      <c r="C8879" s="59" t="str">
        <f t="shared" si="22"/>
        <v/>
      </c>
      <c r="D8879" s="45" t="str">
        <f t="shared" si="23"/>
        <v/>
      </c>
      <c r="E8879" s="45" t="str">
        <f t="shared" si="24"/>
        <v/>
      </c>
      <c r="F8879" s="59" t="str">
        <f t="shared" si="25"/>
        <v/>
      </c>
      <c r="G8879" s="59" t="str">
        <f t="shared" si="26"/>
        <v/>
      </c>
      <c r="H8879" s="59" t="str">
        <f t="shared" si="27"/>
        <v>28C01622</v>
      </c>
      <c r="I8879" s="59" t="str">
        <f>IF(OR($A8879="",$C8879="",$D8879="",$E8879="",$H8879=""),"",SUMIFS(DATA_GOC!$H:$H,DATA_GOC!$A:$A,"BOM",DATA_GOC!$D:$D,$H8879,DATA_GOC!$E:$E,$C8879,DATA_GOC!$F:$F,"Xuất nội bộ từ téc",DATA_GOC!$B:$B,"&gt;="&amp;$D8879,DATA_GOC!$B:$B,"&lt;="&amp;$E8879))</f>
        <v/>
      </c>
      <c r="J8879" s="59">
        <f t="shared" si="28"/>
        <v>0</v>
      </c>
      <c r="K8879" s="59">
        <f t="shared" si="29"/>
        <v>0</v>
      </c>
      <c r="L8879" s="59">
        <f t="shared" si="30"/>
        <v>0</v>
      </c>
      <c r="M8879" s="59">
        <f t="shared" si="31"/>
        <v>0</v>
      </c>
    </row>
    <row r="8880" ht="15.0" hidden="1" customHeight="1">
      <c r="A8880" s="59">
        <f t="shared" si="20"/>
        <v>145</v>
      </c>
      <c r="B8880" s="59" t="str">
        <f t="shared" si="21"/>
        <v/>
      </c>
      <c r="C8880" s="59" t="str">
        <f t="shared" si="22"/>
        <v/>
      </c>
      <c r="D8880" s="45" t="str">
        <f t="shared" si="23"/>
        <v/>
      </c>
      <c r="E8880" s="45" t="str">
        <f t="shared" si="24"/>
        <v/>
      </c>
      <c r="F8880" s="59" t="str">
        <f t="shared" si="25"/>
        <v/>
      </c>
      <c r="G8880" s="59" t="str">
        <f t="shared" si="26"/>
        <v/>
      </c>
      <c r="H8880" s="59" t="str">
        <f t="shared" si="27"/>
        <v>28C01647</v>
      </c>
      <c r="I8880" s="59" t="str">
        <f>IF(OR($A8880="",$C8880="",$D8880="",$E8880="",$H8880=""),"",SUMIFS(DATA_GOC!$H:$H,DATA_GOC!$A:$A,"BOM",DATA_GOC!$D:$D,$H8880,DATA_GOC!$E:$E,$C8880,DATA_GOC!$F:$F,"Xuất nội bộ từ téc",DATA_GOC!$B:$B,"&gt;="&amp;$D8880,DATA_GOC!$B:$B,"&lt;="&amp;$E8880))</f>
        <v/>
      </c>
      <c r="J8880" s="59">
        <f t="shared" si="28"/>
        <v>0</v>
      </c>
      <c r="K8880" s="59">
        <f t="shared" si="29"/>
        <v>0</v>
      </c>
      <c r="L8880" s="59">
        <f t="shared" si="30"/>
        <v>0</v>
      </c>
      <c r="M8880" s="59">
        <f t="shared" si="31"/>
        <v>0</v>
      </c>
    </row>
    <row r="8881" ht="15.0" hidden="1" customHeight="1">
      <c r="A8881" s="59">
        <f t="shared" si="20"/>
        <v>145</v>
      </c>
      <c r="B8881" s="59" t="str">
        <f t="shared" si="21"/>
        <v/>
      </c>
      <c r="C8881" s="59" t="str">
        <f t="shared" si="22"/>
        <v/>
      </c>
      <c r="D8881" s="45" t="str">
        <f t="shared" si="23"/>
        <v/>
      </c>
      <c r="E8881" s="45" t="str">
        <f t="shared" si="24"/>
        <v/>
      </c>
      <c r="F8881" s="59" t="str">
        <f t="shared" si="25"/>
        <v/>
      </c>
      <c r="G8881" s="59" t="str">
        <f t="shared" si="26"/>
        <v/>
      </c>
      <c r="H8881" s="59" t="str">
        <f t="shared" si="27"/>
        <v>28C01731</v>
      </c>
      <c r="I8881" s="59" t="str">
        <f>IF(OR($A8881="",$C8881="",$D8881="",$E8881="",$H8881=""),"",SUMIFS(DATA_GOC!$H:$H,DATA_GOC!$A:$A,"BOM",DATA_GOC!$D:$D,$H8881,DATA_GOC!$E:$E,$C8881,DATA_GOC!$F:$F,"Xuất nội bộ từ téc",DATA_GOC!$B:$B,"&gt;="&amp;$D8881,DATA_GOC!$B:$B,"&lt;="&amp;$E8881))</f>
        <v/>
      </c>
      <c r="J8881" s="59">
        <f t="shared" si="28"/>
        <v>0</v>
      </c>
      <c r="K8881" s="59">
        <f t="shared" si="29"/>
        <v>0</v>
      </c>
      <c r="L8881" s="59">
        <f t="shared" si="30"/>
        <v>0</v>
      </c>
      <c r="M8881" s="59">
        <f t="shared" si="31"/>
        <v>0</v>
      </c>
    </row>
    <row r="8882" ht="15.0" hidden="1" customHeight="1">
      <c r="A8882" s="59">
        <f t="shared" si="20"/>
        <v>145</v>
      </c>
      <c r="B8882" s="59" t="str">
        <f t="shared" si="21"/>
        <v/>
      </c>
      <c r="C8882" s="59" t="str">
        <f t="shared" si="22"/>
        <v/>
      </c>
      <c r="D8882" s="45" t="str">
        <f t="shared" si="23"/>
        <v/>
      </c>
      <c r="E8882" s="45" t="str">
        <f t="shared" si="24"/>
        <v/>
      </c>
      <c r="F8882" s="59" t="str">
        <f t="shared" si="25"/>
        <v/>
      </c>
      <c r="G8882" s="59" t="str">
        <f t="shared" si="26"/>
        <v/>
      </c>
      <c r="H8882" s="59" t="str">
        <f t="shared" si="27"/>
        <v>28C01743</v>
      </c>
      <c r="I8882" s="59" t="str">
        <f>IF(OR($A8882="",$C8882="",$D8882="",$E8882="",$H8882=""),"",SUMIFS(DATA_GOC!$H:$H,DATA_GOC!$A:$A,"BOM",DATA_GOC!$D:$D,$H8882,DATA_GOC!$E:$E,$C8882,DATA_GOC!$F:$F,"Xuất nội bộ từ téc",DATA_GOC!$B:$B,"&gt;="&amp;$D8882,DATA_GOC!$B:$B,"&lt;="&amp;$E8882))</f>
        <v/>
      </c>
      <c r="J8882" s="59">
        <f t="shared" si="28"/>
        <v>0</v>
      </c>
      <c r="K8882" s="59">
        <f t="shared" si="29"/>
        <v>0</v>
      </c>
      <c r="L8882" s="59">
        <f t="shared" si="30"/>
        <v>0</v>
      </c>
      <c r="M8882" s="59">
        <f t="shared" si="31"/>
        <v>0</v>
      </c>
    </row>
    <row r="8883" ht="15.0" hidden="1" customHeight="1">
      <c r="A8883" s="59">
        <f t="shared" si="20"/>
        <v>145</v>
      </c>
      <c r="B8883" s="59" t="str">
        <f t="shared" si="21"/>
        <v/>
      </c>
      <c r="C8883" s="59" t="str">
        <f t="shared" si="22"/>
        <v/>
      </c>
      <c r="D8883" s="45" t="str">
        <f t="shared" si="23"/>
        <v/>
      </c>
      <c r="E8883" s="45" t="str">
        <f t="shared" si="24"/>
        <v/>
      </c>
      <c r="F8883" s="59" t="str">
        <f t="shared" si="25"/>
        <v/>
      </c>
      <c r="G8883" s="59" t="str">
        <f t="shared" si="26"/>
        <v/>
      </c>
      <c r="H8883" s="59" t="str">
        <f t="shared" si="27"/>
        <v>28C02106</v>
      </c>
      <c r="I8883" s="59" t="str">
        <f>IF(OR($A8883="",$C8883="",$D8883="",$E8883="",$H8883=""),"",SUMIFS(DATA_GOC!$H:$H,DATA_GOC!$A:$A,"BOM",DATA_GOC!$D:$D,$H8883,DATA_GOC!$E:$E,$C8883,DATA_GOC!$F:$F,"Xuất nội bộ từ téc",DATA_GOC!$B:$B,"&gt;="&amp;$D8883,DATA_GOC!$B:$B,"&lt;="&amp;$E8883))</f>
        <v/>
      </c>
      <c r="J8883" s="59">
        <f t="shared" si="28"/>
        <v>0</v>
      </c>
      <c r="K8883" s="59">
        <f t="shared" si="29"/>
        <v>0</v>
      </c>
      <c r="L8883" s="59">
        <f t="shared" si="30"/>
        <v>0</v>
      </c>
      <c r="M8883" s="59">
        <f t="shared" si="31"/>
        <v>0</v>
      </c>
    </row>
    <row r="8884" ht="15.0" hidden="1" customHeight="1">
      <c r="A8884" s="59">
        <f t="shared" si="20"/>
        <v>145</v>
      </c>
      <c r="B8884" s="59" t="str">
        <f t="shared" si="21"/>
        <v/>
      </c>
      <c r="C8884" s="59" t="str">
        <f t="shared" si="22"/>
        <v/>
      </c>
      <c r="D8884" s="45" t="str">
        <f t="shared" si="23"/>
        <v/>
      </c>
      <c r="E8884" s="45" t="str">
        <f t="shared" si="24"/>
        <v/>
      </c>
      <c r="F8884" s="59" t="str">
        <f t="shared" si="25"/>
        <v/>
      </c>
      <c r="G8884" s="59" t="str">
        <f t="shared" si="26"/>
        <v/>
      </c>
      <c r="H8884" s="59" t="str">
        <f t="shared" si="27"/>
        <v>28C02410</v>
      </c>
      <c r="I8884" s="59" t="str">
        <f>IF(OR($A8884="",$C8884="",$D8884="",$E8884="",$H8884=""),"",SUMIFS(DATA_GOC!$H:$H,DATA_GOC!$A:$A,"BOM",DATA_GOC!$D:$D,$H8884,DATA_GOC!$E:$E,$C8884,DATA_GOC!$F:$F,"Xuất nội bộ từ téc",DATA_GOC!$B:$B,"&gt;="&amp;$D8884,DATA_GOC!$B:$B,"&lt;="&amp;$E8884))</f>
        <v/>
      </c>
      <c r="J8884" s="59">
        <f t="shared" si="28"/>
        <v>0</v>
      </c>
      <c r="K8884" s="59">
        <f t="shared" si="29"/>
        <v>0</v>
      </c>
      <c r="L8884" s="59">
        <f t="shared" si="30"/>
        <v>0</v>
      </c>
      <c r="M8884" s="59">
        <f t="shared" si="31"/>
        <v>0</v>
      </c>
    </row>
    <row r="8885" ht="15.0" hidden="1" customHeight="1">
      <c r="A8885" s="59">
        <f t="shared" si="20"/>
        <v>145</v>
      </c>
      <c r="B8885" s="59" t="str">
        <f t="shared" si="21"/>
        <v/>
      </c>
      <c r="C8885" s="59" t="str">
        <f t="shared" si="22"/>
        <v/>
      </c>
      <c r="D8885" s="45" t="str">
        <f t="shared" si="23"/>
        <v/>
      </c>
      <c r="E8885" s="45" t="str">
        <f t="shared" si="24"/>
        <v/>
      </c>
      <c r="F8885" s="59" t="str">
        <f t="shared" si="25"/>
        <v/>
      </c>
      <c r="G8885" s="59" t="str">
        <f t="shared" si="26"/>
        <v/>
      </c>
      <c r="H8885" s="59" t="str">
        <f t="shared" si="27"/>
        <v>28C02545</v>
      </c>
      <c r="I8885" s="59" t="str">
        <f>IF(OR($A8885="",$C8885="",$D8885="",$E8885="",$H8885=""),"",SUMIFS(DATA_GOC!$H:$H,DATA_GOC!$A:$A,"BOM",DATA_GOC!$D:$D,$H8885,DATA_GOC!$E:$E,$C8885,DATA_GOC!$F:$F,"Xuất nội bộ từ téc",DATA_GOC!$B:$B,"&gt;="&amp;$D8885,DATA_GOC!$B:$B,"&lt;="&amp;$E8885))</f>
        <v/>
      </c>
      <c r="J8885" s="59">
        <f t="shared" si="28"/>
        <v>0</v>
      </c>
      <c r="K8885" s="59">
        <f t="shared" si="29"/>
        <v>0</v>
      </c>
      <c r="L8885" s="59">
        <f t="shared" si="30"/>
        <v>0</v>
      </c>
      <c r="M8885" s="59">
        <f t="shared" si="31"/>
        <v>0</v>
      </c>
    </row>
    <row r="8886" ht="15.0" hidden="1" customHeight="1">
      <c r="A8886" s="59">
        <f t="shared" si="20"/>
        <v>145</v>
      </c>
      <c r="B8886" s="59" t="str">
        <f t="shared" si="21"/>
        <v/>
      </c>
      <c r="C8886" s="59" t="str">
        <f t="shared" si="22"/>
        <v/>
      </c>
      <c r="D8886" s="45" t="str">
        <f t="shared" si="23"/>
        <v/>
      </c>
      <c r="E8886" s="45" t="str">
        <f t="shared" si="24"/>
        <v/>
      </c>
      <c r="F8886" s="59" t="str">
        <f t="shared" si="25"/>
        <v/>
      </c>
      <c r="G8886" s="59" t="str">
        <f t="shared" si="26"/>
        <v/>
      </c>
      <c r="H8886" s="59" t="str">
        <f t="shared" si="27"/>
        <v>28C02574</v>
      </c>
      <c r="I8886" s="59" t="str">
        <f>IF(OR($A8886="",$C8886="",$D8886="",$E8886="",$H8886=""),"",SUMIFS(DATA_GOC!$H:$H,DATA_GOC!$A:$A,"BOM",DATA_GOC!$D:$D,$H8886,DATA_GOC!$E:$E,$C8886,DATA_GOC!$F:$F,"Xuất nội bộ từ téc",DATA_GOC!$B:$B,"&gt;="&amp;$D8886,DATA_GOC!$B:$B,"&lt;="&amp;$E8886))</f>
        <v/>
      </c>
      <c r="J8886" s="59">
        <f t="shared" si="28"/>
        <v>0</v>
      </c>
      <c r="K8886" s="59">
        <f t="shared" si="29"/>
        <v>0</v>
      </c>
      <c r="L8886" s="59">
        <f t="shared" si="30"/>
        <v>0</v>
      </c>
      <c r="M8886" s="59">
        <f t="shared" si="31"/>
        <v>0</v>
      </c>
    </row>
    <row r="8887" ht="15.0" hidden="1" customHeight="1">
      <c r="A8887" s="59">
        <f t="shared" si="20"/>
        <v>145</v>
      </c>
      <c r="B8887" s="59" t="str">
        <f t="shared" si="21"/>
        <v/>
      </c>
      <c r="C8887" s="59" t="str">
        <f t="shared" si="22"/>
        <v/>
      </c>
      <c r="D8887" s="45" t="str">
        <f t="shared" si="23"/>
        <v/>
      </c>
      <c r="E8887" s="45" t="str">
        <f t="shared" si="24"/>
        <v/>
      </c>
      <c r="F8887" s="59" t="str">
        <f t="shared" si="25"/>
        <v/>
      </c>
      <c r="G8887" s="59" t="str">
        <f t="shared" si="26"/>
        <v/>
      </c>
      <c r="H8887" s="59" t="str">
        <f t="shared" si="27"/>
        <v>28C02770</v>
      </c>
      <c r="I8887" s="59" t="str">
        <f>IF(OR($A8887="",$C8887="",$D8887="",$E8887="",$H8887=""),"",SUMIFS(DATA_GOC!$H:$H,DATA_GOC!$A:$A,"BOM",DATA_GOC!$D:$D,$H8887,DATA_GOC!$E:$E,$C8887,DATA_GOC!$F:$F,"Xuất nội bộ từ téc",DATA_GOC!$B:$B,"&gt;="&amp;$D8887,DATA_GOC!$B:$B,"&lt;="&amp;$E8887))</f>
        <v/>
      </c>
      <c r="J8887" s="59">
        <f t="shared" si="28"/>
        <v>0</v>
      </c>
      <c r="K8887" s="59">
        <f t="shared" si="29"/>
        <v>0</v>
      </c>
      <c r="L8887" s="59">
        <f t="shared" si="30"/>
        <v>0</v>
      </c>
      <c r="M8887" s="59">
        <f t="shared" si="31"/>
        <v>0</v>
      </c>
    </row>
    <row r="8888" ht="15.0" hidden="1" customHeight="1">
      <c r="A8888" s="59">
        <f t="shared" si="20"/>
        <v>145</v>
      </c>
      <c r="B8888" s="59" t="str">
        <f t="shared" si="21"/>
        <v/>
      </c>
      <c r="C8888" s="59" t="str">
        <f t="shared" si="22"/>
        <v/>
      </c>
      <c r="D8888" s="45" t="str">
        <f t="shared" si="23"/>
        <v/>
      </c>
      <c r="E8888" s="45" t="str">
        <f t="shared" si="24"/>
        <v/>
      </c>
      <c r="F8888" s="59" t="str">
        <f t="shared" si="25"/>
        <v/>
      </c>
      <c r="G8888" s="59" t="str">
        <f t="shared" si="26"/>
        <v/>
      </c>
      <c r="H8888" s="59" t="str">
        <f t="shared" si="27"/>
        <v>28C02986</v>
      </c>
      <c r="I8888" s="59" t="str">
        <f>IF(OR($A8888="",$C8888="",$D8888="",$E8888="",$H8888=""),"",SUMIFS(DATA_GOC!$H:$H,DATA_GOC!$A:$A,"BOM",DATA_GOC!$D:$D,$H8888,DATA_GOC!$E:$E,$C8888,DATA_GOC!$F:$F,"Xuất nội bộ từ téc",DATA_GOC!$B:$B,"&gt;="&amp;$D8888,DATA_GOC!$B:$B,"&lt;="&amp;$E8888))</f>
        <v/>
      </c>
      <c r="J8888" s="59">
        <f t="shared" si="28"/>
        <v>0</v>
      </c>
      <c r="K8888" s="59">
        <f t="shared" si="29"/>
        <v>0</v>
      </c>
      <c r="L8888" s="59">
        <f t="shared" si="30"/>
        <v>0</v>
      </c>
      <c r="M8888" s="59">
        <f t="shared" si="31"/>
        <v>0</v>
      </c>
    </row>
    <row r="8889" ht="15.0" hidden="1" customHeight="1">
      <c r="A8889" s="59">
        <f t="shared" si="20"/>
        <v>145</v>
      </c>
      <c r="B8889" s="59" t="str">
        <f t="shared" si="21"/>
        <v/>
      </c>
      <c r="C8889" s="59" t="str">
        <f t="shared" si="22"/>
        <v/>
      </c>
      <c r="D8889" s="45" t="str">
        <f t="shared" si="23"/>
        <v/>
      </c>
      <c r="E8889" s="45" t="str">
        <f t="shared" si="24"/>
        <v/>
      </c>
      <c r="F8889" s="59" t="str">
        <f t="shared" si="25"/>
        <v/>
      </c>
      <c r="G8889" s="59" t="str">
        <f t="shared" si="26"/>
        <v/>
      </c>
      <c r="H8889" s="59" t="str">
        <f t="shared" si="27"/>
        <v>28C03261</v>
      </c>
      <c r="I8889" s="59" t="str">
        <f>IF(OR($A8889="",$C8889="",$D8889="",$E8889="",$H8889=""),"",SUMIFS(DATA_GOC!$H:$H,DATA_GOC!$A:$A,"BOM",DATA_GOC!$D:$D,$H8889,DATA_GOC!$E:$E,$C8889,DATA_GOC!$F:$F,"Xuất nội bộ từ téc",DATA_GOC!$B:$B,"&gt;="&amp;$D8889,DATA_GOC!$B:$B,"&lt;="&amp;$E8889))</f>
        <v/>
      </c>
      <c r="J8889" s="59">
        <f t="shared" si="28"/>
        <v>0</v>
      </c>
      <c r="K8889" s="59">
        <f t="shared" si="29"/>
        <v>0</v>
      </c>
      <c r="L8889" s="59">
        <f t="shared" si="30"/>
        <v>0</v>
      </c>
      <c r="M8889" s="59">
        <f t="shared" si="31"/>
        <v>0</v>
      </c>
    </row>
    <row r="8890" ht="15.0" hidden="1" customHeight="1">
      <c r="A8890" s="59">
        <f t="shared" si="20"/>
        <v>145</v>
      </c>
      <c r="B8890" s="59" t="str">
        <f t="shared" si="21"/>
        <v/>
      </c>
      <c r="C8890" s="59" t="str">
        <f t="shared" si="22"/>
        <v/>
      </c>
      <c r="D8890" s="45" t="str">
        <f t="shared" si="23"/>
        <v/>
      </c>
      <c r="E8890" s="45" t="str">
        <f t="shared" si="24"/>
        <v/>
      </c>
      <c r="F8890" s="59" t="str">
        <f t="shared" si="25"/>
        <v/>
      </c>
      <c r="G8890" s="59" t="str">
        <f t="shared" si="26"/>
        <v/>
      </c>
      <c r="H8890" s="59" t="str">
        <f t="shared" si="27"/>
        <v>28C03323</v>
      </c>
      <c r="I8890" s="59" t="str">
        <f>IF(OR($A8890="",$C8890="",$D8890="",$E8890="",$H8890=""),"",SUMIFS(DATA_GOC!$H:$H,DATA_GOC!$A:$A,"BOM",DATA_GOC!$D:$D,$H8890,DATA_GOC!$E:$E,$C8890,DATA_GOC!$F:$F,"Xuất nội bộ từ téc",DATA_GOC!$B:$B,"&gt;="&amp;$D8890,DATA_GOC!$B:$B,"&lt;="&amp;$E8890))</f>
        <v/>
      </c>
      <c r="J8890" s="59">
        <f t="shared" si="28"/>
        <v>0</v>
      </c>
      <c r="K8890" s="59">
        <f t="shared" si="29"/>
        <v>0</v>
      </c>
      <c r="L8890" s="59">
        <f t="shared" si="30"/>
        <v>0</v>
      </c>
      <c r="M8890" s="59">
        <f t="shared" si="31"/>
        <v>0</v>
      </c>
    </row>
    <row r="8891" ht="15.0" hidden="1" customHeight="1">
      <c r="A8891" s="59">
        <f t="shared" si="20"/>
        <v>145</v>
      </c>
      <c r="B8891" s="59" t="str">
        <f t="shared" si="21"/>
        <v/>
      </c>
      <c r="C8891" s="59" t="str">
        <f t="shared" si="22"/>
        <v/>
      </c>
      <c r="D8891" s="45" t="str">
        <f t="shared" si="23"/>
        <v/>
      </c>
      <c r="E8891" s="45" t="str">
        <f t="shared" si="24"/>
        <v/>
      </c>
      <c r="F8891" s="59" t="str">
        <f t="shared" si="25"/>
        <v/>
      </c>
      <c r="G8891" s="59" t="str">
        <f t="shared" si="26"/>
        <v/>
      </c>
      <c r="H8891" s="59" t="str">
        <f t="shared" si="27"/>
        <v>28C03385</v>
      </c>
      <c r="I8891" s="59" t="str">
        <f>IF(OR($A8891="",$C8891="",$D8891="",$E8891="",$H8891=""),"",SUMIFS(DATA_GOC!$H:$H,DATA_GOC!$A:$A,"BOM",DATA_GOC!$D:$D,$H8891,DATA_GOC!$E:$E,$C8891,DATA_GOC!$F:$F,"Xuất nội bộ từ téc",DATA_GOC!$B:$B,"&gt;="&amp;$D8891,DATA_GOC!$B:$B,"&lt;="&amp;$E8891))</f>
        <v/>
      </c>
      <c r="J8891" s="59">
        <f t="shared" si="28"/>
        <v>0</v>
      </c>
      <c r="K8891" s="59">
        <f t="shared" si="29"/>
        <v>0</v>
      </c>
      <c r="L8891" s="59">
        <f t="shared" si="30"/>
        <v>0</v>
      </c>
      <c r="M8891" s="59">
        <f t="shared" si="31"/>
        <v>0</v>
      </c>
    </row>
    <row r="8892" ht="15.0" hidden="1" customHeight="1">
      <c r="A8892" s="59">
        <f t="shared" si="20"/>
        <v>145</v>
      </c>
      <c r="B8892" s="59" t="str">
        <f t="shared" si="21"/>
        <v/>
      </c>
      <c r="C8892" s="59" t="str">
        <f t="shared" si="22"/>
        <v/>
      </c>
      <c r="D8892" s="45" t="str">
        <f t="shared" si="23"/>
        <v/>
      </c>
      <c r="E8892" s="45" t="str">
        <f t="shared" si="24"/>
        <v/>
      </c>
      <c r="F8892" s="59" t="str">
        <f t="shared" si="25"/>
        <v/>
      </c>
      <c r="G8892" s="59" t="str">
        <f t="shared" si="26"/>
        <v/>
      </c>
      <c r="H8892" s="59" t="str">
        <f t="shared" si="27"/>
        <v>28C03652</v>
      </c>
      <c r="I8892" s="59" t="str">
        <f>IF(OR($A8892="",$C8892="",$D8892="",$E8892="",$H8892=""),"",SUMIFS(DATA_GOC!$H:$H,DATA_GOC!$A:$A,"BOM",DATA_GOC!$D:$D,$H8892,DATA_GOC!$E:$E,$C8892,DATA_GOC!$F:$F,"Xuất nội bộ từ téc",DATA_GOC!$B:$B,"&gt;="&amp;$D8892,DATA_GOC!$B:$B,"&lt;="&amp;$E8892))</f>
        <v/>
      </c>
      <c r="J8892" s="59">
        <f t="shared" si="28"/>
        <v>0</v>
      </c>
      <c r="K8892" s="59">
        <f t="shared" si="29"/>
        <v>0</v>
      </c>
      <c r="L8892" s="59">
        <f t="shared" si="30"/>
        <v>0</v>
      </c>
      <c r="M8892" s="59">
        <f t="shared" si="31"/>
        <v>0</v>
      </c>
    </row>
    <row r="8893" ht="15.0" hidden="1" customHeight="1">
      <c r="A8893" s="59">
        <f t="shared" si="20"/>
        <v>145</v>
      </c>
      <c r="B8893" s="59" t="str">
        <f t="shared" si="21"/>
        <v/>
      </c>
      <c r="C8893" s="59" t="str">
        <f t="shared" si="22"/>
        <v/>
      </c>
      <c r="D8893" s="45" t="str">
        <f t="shared" si="23"/>
        <v/>
      </c>
      <c r="E8893" s="45" t="str">
        <f t="shared" si="24"/>
        <v/>
      </c>
      <c r="F8893" s="59" t="str">
        <f t="shared" si="25"/>
        <v/>
      </c>
      <c r="G8893" s="59" t="str">
        <f t="shared" si="26"/>
        <v/>
      </c>
      <c r="H8893" s="59" t="str">
        <f t="shared" si="27"/>
        <v>28C03695</v>
      </c>
      <c r="I8893" s="59" t="str">
        <f>IF(OR($A8893="",$C8893="",$D8893="",$E8893="",$H8893=""),"",SUMIFS(DATA_GOC!$H:$H,DATA_GOC!$A:$A,"BOM",DATA_GOC!$D:$D,$H8893,DATA_GOC!$E:$E,$C8893,DATA_GOC!$F:$F,"Xuất nội bộ từ téc",DATA_GOC!$B:$B,"&gt;="&amp;$D8893,DATA_GOC!$B:$B,"&lt;="&amp;$E8893))</f>
        <v/>
      </c>
      <c r="J8893" s="59">
        <f t="shared" si="28"/>
        <v>0</v>
      </c>
      <c r="K8893" s="59">
        <f t="shared" si="29"/>
        <v>0</v>
      </c>
      <c r="L8893" s="59">
        <f t="shared" si="30"/>
        <v>0</v>
      </c>
      <c r="M8893" s="59">
        <f t="shared" si="31"/>
        <v>0</v>
      </c>
    </row>
    <row r="8894" ht="15.0" hidden="1" customHeight="1">
      <c r="A8894" s="59">
        <f t="shared" si="20"/>
        <v>145</v>
      </c>
      <c r="B8894" s="59" t="str">
        <f t="shared" si="21"/>
        <v/>
      </c>
      <c r="C8894" s="59" t="str">
        <f t="shared" si="22"/>
        <v/>
      </c>
      <c r="D8894" s="45" t="str">
        <f t="shared" si="23"/>
        <v/>
      </c>
      <c r="E8894" s="45" t="str">
        <f t="shared" si="24"/>
        <v/>
      </c>
      <c r="F8894" s="59" t="str">
        <f t="shared" si="25"/>
        <v/>
      </c>
      <c r="G8894" s="59" t="str">
        <f t="shared" si="26"/>
        <v/>
      </c>
      <c r="H8894" s="59" t="str">
        <f t="shared" si="27"/>
        <v>28C03927</v>
      </c>
      <c r="I8894" s="59" t="str">
        <f>IF(OR($A8894="",$C8894="",$D8894="",$E8894="",$H8894=""),"",SUMIFS(DATA_GOC!$H:$H,DATA_GOC!$A:$A,"BOM",DATA_GOC!$D:$D,$H8894,DATA_GOC!$E:$E,$C8894,DATA_GOC!$F:$F,"Xuất nội bộ từ téc",DATA_GOC!$B:$B,"&gt;="&amp;$D8894,DATA_GOC!$B:$B,"&lt;="&amp;$E8894))</f>
        <v/>
      </c>
      <c r="J8894" s="59">
        <f t="shared" si="28"/>
        <v>0</v>
      </c>
      <c r="K8894" s="59">
        <f t="shared" si="29"/>
        <v>0</v>
      </c>
      <c r="L8894" s="59">
        <f t="shared" si="30"/>
        <v>0</v>
      </c>
      <c r="M8894" s="59">
        <f t="shared" si="31"/>
        <v>0</v>
      </c>
    </row>
    <row r="8895" ht="15.0" hidden="1" customHeight="1">
      <c r="A8895" s="59">
        <f t="shared" si="20"/>
        <v>145</v>
      </c>
      <c r="B8895" s="59" t="str">
        <f t="shared" si="21"/>
        <v/>
      </c>
      <c r="C8895" s="59" t="str">
        <f t="shared" si="22"/>
        <v/>
      </c>
      <c r="D8895" s="45" t="str">
        <f t="shared" si="23"/>
        <v/>
      </c>
      <c r="E8895" s="45" t="str">
        <f t="shared" si="24"/>
        <v/>
      </c>
      <c r="F8895" s="59" t="str">
        <f t="shared" si="25"/>
        <v/>
      </c>
      <c r="G8895" s="59" t="str">
        <f t="shared" si="26"/>
        <v/>
      </c>
      <c r="H8895" s="59" t="str">
        <f t="shared" si="27"/>
        <v>28C04509</v>
      </c>
      <c r="I8895" s="59" t="str">
        <f>IF(OR($A8895="",$C8895="",$D8895="",$E8895="",$H8895=""),"",SUMIFS(DATA_GOC!$H:$H,DATA_GOC!$A:$A,"BOM",DATA_GOC!$D:$D,$H8895,DATA_GOC!$E:$E,$C8895,DATA_GOC!$F:$F,"Xuất nội bộ từ téc",DATA_GOC!$B:$B,"&gt;="&amp;$D8895,DATA_GOC!$B:$B,"&lt;="&amp;$E8895))</f>
        <v/>
      </c>
      <c r="J8895" s="59">
        <f t="shared" si="28"/>
        <v>0</v>
      </c>
      <c r="K8895" s="59">
        <f t="shared" si="29"/>
        <v>0</v>
      </c>
      <c r="L8895" s="59">
        <f t="shared" si="30"/>
        <v>0</v>
      </c>
      <c r="M8895" s="59">
        <f t="shared" si="31"/>
        <v>0</v>
      </c>
    </row>
    <row r="8896" ht="15.0" hidden="1" customHeight="1">
      <c r="A8896" s="59">
        <f t="shared" si="20"/>
        <v>145</v>
      </c>
      <c r="B8896" s="59" t="str">
        <f t="shared" si="21"/>
        <v/>
      </c>
      <c r="C8896" s="59" t="str">
        <f t="shared" si="22"/>
        <v/>
      </c>
      <c r="D8896" s="45" t="str">
        <f t="shared" si="23"/>
        <v/>
      </c>
      <c r="E8896" s="45" t="str">
        <f t="shared" si="24"/>
        <v/>
      </c>
      <c r="F8896" s="59" t="str">
        <f t="shared" si="25"/>
        <v/>
      </c>
      <c r="G8896" s="59" t="str">
        <f t="shared" si="26"/>
        <v/>
      </c>
      <c r="H8896" s="59" t="str">
        <f t="shared" si="27"/>
        <v>28C04536</v>
      </c>
      <c r="I8896" s="59" t="str">
        <f>IF(OR($A8896="",$C8896="",$D8896="",$E8896="",$H8896=""),"",SUMIFS(DATA_GOC!$H:$H,DATA_GOC!$A:$A,"BOM",DATA_GOC!$D:$D,$H8896,DATA_GOC!$E:$E,$C8896,DATA_GOC!$F:$F,"Xuất nội bộ từ téc",DATA_GOC!$B:$B,"&gt;="&amp;$D8896,DATA_GOC!$B:$B,"&lt;="&amp;$E8896))</f>
        <v/>
      </c>
      <c r="J8896" s="59">
        <f t="shared" si="28"/>
        <v>0</v>
      </c>
      <c r="K8896" s="59">
        <f t="shared" si="29"/>
        <v>0</v>
      </c>
      <c r="L8896" s="59">
        <f t="shared" si="30"/>
        <v>0</v>
      </c>
      <c r="M8896" s="59">
        <f t="shared" si="31"/>
        <v>0</v>
      </c>
    </row>
    <row r="8897" ht="15.0" hidden="1" customHeight="1">
      <c r="A8897" s="59">
        <f t="shared" si="20"/>
        <v>145</v>
      </c>
      <c r="B8897" s="59" t="str">
        <f t="shared" si="21"/>
        <v/>
      </c>
      <c r="C8897" s="59" t="str">
        <f t="shared" si="22"/>
        <v/>
      </c>
      <c r="D8897" s="45" t="str">
        <f t="shared" si="23"/>
        <v/>
      </c>
      <c r="E8897" s="45" t="str">
        <f t="shared" si="24"/>
        <v/>
      </c>
      <c r="F8897" s="59" t="str">
        <f t="shared" si="25"/>
        <v/>
      </c>
      <c r="G8897" s="59" t="str">
        <f t="shared" si="26"/>
        <v/>
      </c>
      <c r="H8897" s="59" t="str">
        <f t="shared" si="27"/>
        <v>28C04576</v>
      </c>
      <c r="I8897" s="59" t="str">
        <f>IF(OR($A8897="",$C8897="",$D8897="",$E8897="",$H8897=""),"",SUMIFS(DATA_GOC!$H:$H,DATA_GOC!$A:$A,"BOM",DATA_GOC!$D:$D,$H8897,DATA_GOC!$E:$E,$C8897,DATA_GOC!$F:$F,"Xuất nội bộ từ téc",DATA_GOC!$B:$B,"&gt;="&amp;$D8897,DATA_GOC!$B:$B,"&lt;="&amp;$E8897))</f>
        <v/>
      </c>
      <c r="J8897" s="59">
        <f t="shared" si="28"/>
        <v>0</v>
      </c>
      <c r="K8897" s="59">
        <f t="shared" si="29"/>
        <v>0</v>
      </c>
      <c r="L8897" s="59">
        <f t="shared" si="30"/>
        <v>0</v>
      </c>
      <c r="M8897" s="59">
        <f t="shared" si="31"/>
        <v>0</v>
      </c>
    </row>
    <row r="8898" ht="15.0" hidden="1" customHeight="1">
      <c r="A8898" s="59">
        <f t="shared" si="20"/>
        <v>145</v>
      </c>
      <c r="B8898" s="59" t="str">
        <f t="shared" si="21"/>
        <v/>
      </c>
      <c r="C8898" s="59" t="str">
        <f t="shared" si="22"/>
        <v/>
      </c>
      <c r="D8898" s="45" t="str">
        <f t="shared" si="23"/>
        <v/>
      </c>
      <c r="E8898" s="45" t="str">
        <f t="shared" si="24"/>
        <v/>
      </c>
      <c r="F8898" s="59" t="str">
        <f t="shared" si="25"/>
        <v/>
      </c>
      <c r="G8898" s="59" t="str">
        <f t="shared" si="26"/>
        <v/>
      </c>
      <c r="H8898" s="59" t="str">
        <f t="shared" si="27"/>
        <v>28C05090</v>
      </c>
      <c r="I8898" s="59" t="str">
        <f>IF(OR($A8898="",$C8898="",$D8898="",$E8898="",$H8898=""),"",SUMIFS(DATA_GOC!$H:$H,DATA_GOC!$A:$A,"BOM",DATA_GOC!$D:$D,$H8898,DATA_GOC!$E:$E,$C8898,DATA_GOC!$F:$F,"Xuất nội bộ từ téc",DATA_GOC!$B:$B,"&gt;="&amp;$D8898,DATA_GOC!$B:$B,"&lt;="&amp;$E8898))</f>
        <v/>
      </c>
      <c r="J8898" s="59">
        <f t="shared" si="28"/>
        <v>0</v>
      </c>
      <c r="K8898" s="59">
        <f t="shared" si="29"/>
        <v>0</v>
      </c>
      <c r="L8898" s="59">
        <f t="shared" si="30"/>
        <v>0</v>
      </c>
      <c r="M8898" s="59">
        <f t="shared" si="31"/>
        <v>0</v>
      </c>
    </row>
    <row r="8899" ht="15.0" hidden="1" customHeight="1">
      <c r="A8899" s="59">
        <f t="shared" si="20"/>
        <v>145</v>
      </c>
      <c r="B8899" s="59" t="str">
        <f t="shared" si="21"/>
        <v/>
      </c>
      <c r="C8899" s="59" t="str">
        <f t="shared" si="22"/>
        <v/>
      </c>
      <c r="D8899" s="45" t="str">
        <f t="shared" si="23"/>
        <v/>
      </c>
      <c r="E8899" s="45" t="str">
        <f t="shared" si="24"/>
        <v/>
      </c>
      <c r="F8899" s="59" t="str">
        <f t="shared" si="25"/>
        <v/>
      </c>
      <c r="G8899" s="59" t="str">
        <f t="shared" si="26"/>
        <v/>
      </c>
      <c r="H8899" s="59" t="str">
        <f t="shared" si="27"/>
        <v>28C05345</v>
      </c>
      <c r="I8899" s="59" t="str">
        <f>IF(OR($A8899="",$C8899="",$D8899="",$E8899="",$H8899=""),"",SUMIFS(DATA_GOC!$H:$H,DATA_GOC!$A:$A,"BOM",DATA_GOC!$D:$D,$H8899,DATA_GOC!$E:$E,$C8899,DATA_GOC!$F:$F,"Xuất nội bộ từ téc",DATA_GOC!$B:$B,"&gt;="&amp;$D8899,DATA_GOC!$B:$B,"&lt;="&amp;$E8899))</f>
        <v/>
      </c>
      <c r="J8899" s="59">
        <f t="shared" si="28"/>
        <v>0</v>
      </c>
      <c r="K8899" s="59">
        <f t="shared" si="29"/>
        <v>0</v>
      </c>
      <c r="L8899" s="59">
        <f t="shared" si="30"/>
        <v>0</v>
      </c>
      <c r="M8899" s="59">
        <f t="shared" si="31"/>
        <v>0</v>
      </c>
    </row>
    <row r="8900" ht="15.0" hidden="1" customHeight="1">
      <c r="A8900" s="59">
        <f t="shared" si="20"/>
        <v>145</v>
      </c>
      <c r="B8900" s="59" t="str">
        <f t="shared" si="21"/>
        <v/>
      </c>
      <c r="C8900" s="59" t="str">
        <f t="shared" si="22"/>
        <v/>
      </c>
      <c r="D8900" s="45" t="str">
        <f t="shared" si="23"/>
        <v/>
      </c>
      <c r="E8900" s="45" t="str">
        <f t="shared" si="24"/>
        <v/>
      </c>
      <c r="F8900" s="59" t="str">
        <f t="shared" si="25"/>
        <v/>
      </c>
      <c r="G8900" s="59" t="str">
        <f t="shared" si="26"/>
        <v/>
      </c>
      <c r="H8900" s="59" t="str">
        <f t="shared" si="27"/>
        <v>28C05661</v>
      </c>
      <c r="I8900" s="59" t="str">
        <f>IF(OR($A8900="",$C8900="",$D8900="",$E8900="",$H8900=""),"",SUMIFS(DATA_GOC!$H:$H,DATA_GOC!$A:$A,"BOM",DATA_GOC!$D:$D,$H8900,DATA_GOC!$E:$E,$C8900,DATA_GOC!$F:$F,"Xuất nội bộ từ téc",DATA_GOC!$B:$B,"&gt;="&amp;$D8900,DATA_GOC!$B:$B,"&lt;="&amp;$E8900))</f>
        <v/>
      </c>
      <c r="J8900" s="59">
        <f t="shared" si="28"/>
        <v>0</v>
      </c>
      <c r="K8900" s="59">
        <f t="shared" si="29"/>
        <v>0</v>
      </c>
      <c r="L8900" s="59">
        <f t="shared" si="30"/>
        <v>0</v>
      </c>
      <c r="M8900" s="59">
        <f t="shared" si="31"/>
        <v>0</v>
      </c>
    </row>
    <row r="8901" ht="15.0" hidden="1" customHeight="1">
      <c r="A8901" s="59">
        <f t="shared" si="20"/>
        <v>145</v>
      </c>
      <c r="B8901" s="59" t="str">
        <f t="shared" si="21"/>
        <v/>
      </c>
      <c r="C8901" s="59" t="str">
        <f t="shared" si="22"/>
        <v/>
      </c>
      <c r="D8901" s="45" t="str">
        <f t="shared" si="23"/>
        <v/>
      </c>
      <c r="E8901" s="45" t="str">
        <f t="shared" si="24"/>
        <v/>
      </c>
      <c r="F8901" s="59" t="str">
        <f t="shared" si="25"/>
        <v/>
      </c>
      <c r="G8901" s="59" t="str">
        <f t="shared" si="26"/>
        <v/>
      </c>
      <c r="H8901" s="59" t="str">
        <f t="shared" si="27"/>
        <v>28C05739</v>
      </c>
      <c r="I8901" s="59" t="str">
        <f>IF(OR($A8901="",$C8901="",$D8901="",$E8901="",$H8901=""),"",SUMIFS(DATA_GOC!$H:$H,DATA_GOC!$A:$A,"BOM",DATA_GOC!$D:$D,$H8901,DATA_GOC!$E:$E,$C8901,DATA_GOC!$F:$F,"Xuất nội bộ từ téc",DATA_GOC!$B:$B,"&gt;="&amp;$D8901,DATA_GOC!$B:$B,"&lt;="&amp;$E8901))</f>
        <v/>
      </c>
      <c r="J8901" s="59">
        <f t="shared" si="28"/>
        <v>0</v>
      </c>
      <c r="K8901" s="59">
        <f t="shared" si="29"/>
        <v>0</v>
      </c>
      <c r="L8901" s="59">
        <f t="shared" si="30"/>
        <v>0</v>
      </c>
      <c r="M8901" s="59">
        <f t="shared" si="31"/>
        <v>0</v>
      </c>
    </row>
    <row r="8902" ht="15.0" hidden="1" customHeight="1">
      <c r="A8902" s="59">
        <f t="shared" si="20"/>
        <v>145</v>
      </c>
      <c r="B8902" s="59" t="str">
        <f t="shared" si="21"/>
        <v/>
      </c>
      <c r="C8902" s="59" t="str">
        <f t="shared" si="22"/>
        <v/>
      </c>
      <c r="D8902" s="45" t="str">
        <f t="shared" si="23"/>
        <v/>
      </c>
      <c r="E8902" s="45" t="str">
        <f t="shared" si="24"/>
        <v/>
      </c>
      <c r="F8902" s="59" t="str">
        <f t="shared" si="25"/>
        <v/>
      </c>
      <c r="G8902" s="59" t="str">
        <f t="shared" si="26"/>
        <v/>
      </c>
      <c r="H8902" s="59" t="str">
        <f t="shared" si="27"/>
        <v>28C06369</v>
      </c>
      <c r="I8902" s="59" t="str">
        <f>IF(OR($A8902="",$C8902="",$D8902="",$E8902="",$H8902=""),"",SUMIFS(DATA_GOC!$H:$H,DATA_GOC!$A:$A,"BOM",DATA_GOC!$D:$D,$H8902,DATA_GOC!$E:$E,$C8902,DATA_GOC!$F:$F,"Xuất nội bộ từ téc",DATA_GOC!$B:$B,"&gt;="&amp;$D8902,DATA_GOC!$B:$B,"&lt;="&amp;$E8902))</f>
        <v/>
      </c>
      <c r="J8902" s="59">
        <f t="shared" si="28"/>
        <v>0</v>
      </c>
      <c r="K8902" s="59">
        <f t="shared" si="29"/>
        <v>0</v>
      </c>
      <c r="L8902" s="59">
        <f t="shared" si="30"/>
        <v>0</v>
      </c>
      <c r="M8902" s="59">
        <f t="shared" si="31"/>
        <v>0</v>
      </c>
    </row>
    <row r="8903" ht="15.0" hidden="1" customHeight="1">
      <c r="A8903" s="59">
        <f t="shared" si="20"/>
        <v>145</v>
      </c>
      <c r="B8903" s="59" t="str">
        <f t="shared" si="21"/>
        <v/>
      </c>
      <c r="C8903" s="59" t="str">
        <f t="shared" si="22"/>
        <v/>
      </c>
      <c r="D8903" s="45" t="str">
        <f t="shared" si="23"/>
        <v/>
      </c>
      <c r="E8903" s="45" t="str">
        <f t="shared" si="24"/>
        <v/>
      </c>
      <c r="F8903" s="59" t="str">
        <f t="shared" si="25"/>
        <v/>
      </c>
      <c r="G8903" s="59" t="str">
        <f t="shared" si="26"/>
        <v/>
      </c>
      <c r="H8903" s="59" t="str">
        <f t="shared" si="27"/>
        <v>28C06447</v>
      </c>
      <c r="I8903" s="59" t="str">
        <f>IF(OR($A8903="",$C8903="",$D8903="",$E8903="",$H8903=""),"",SUMIFS(DATA_GOC!$H:$H,DATA_GOC!$A:$A,"BOM",DATA_GOC!$D:$D,$H8903,DATA_GOC!$E:$E,$C8903,DATA_GOC!$F:$F,"Xuất nội bộ từ téc",DATA_GOC!$B:$B,"&gt;="&amp;$D8903,DATA_GOC!$B:$B,"&lt;="&amp;$E8903))</f>
        <v/>
      </c>
      <c r="J8903" s="59">
        <f t="shared" si="28"/>
        <v>0</v>
      </c>
      <c r="K8903" s="59">
        <f t="shared" si="29"/>
        <v>0</v>
      </c>
      <c r="L8903" s="59">
        <f t="shared" si="30"/>
        <v>0</v>
      </c>
      <c r="M8903" s="59">
        <f t="shared" si="31"/>
        <v>0</v>
      </c>
    </row>
    <row r="8904" ht="15.0" hidden="1" customHeight="1">
      <c r="A8904" s="59">
        <f t="shared" si="20"/>
        <v>145</v>
      </c>
      <c r="B8904" s="59" t="str">
        <f t="shared" si="21"/>
        <v/>
      </c>
      <c r="C8904" s="59" t="str">
        <f t="shared" si="22"/>
        <v/>
      </c>
      <c r="D8904" s="45" t="str">
        <f t="shared" si="23"/>
        <v/>
      </c>
      <c r="E8904" s="45" t="str">
        <f t="shared" si="24"/>
        <v/>
      </c>
      <c r="F8904" s="59" t="str">
        <f t="shared" si="25"/>
        <v/>
      </c>
      <c r="G8904" s="59" t="str">
        <f t="shared" si="26"/>
        <v/>
      </c>
      <c r="H8904" s="59" t="str">
        <f t="shared" si="27"/>
        <v>28H00003</v>
      </c>
      <c r="I8904" s="59" t="str">
        <f>IF(OR($A8904="",$C8904="",$D8904="",$E8904="",$H8904=""),"",SUMIFS(DATA_GOC!$H:$H,DATA_GOC!$A:$A,"BOM",DATA_GOC!$D:$D,$H8904,DATA_GOC!$E:$E,$C8904,DATA_GOC!$F:$F,"Xuất nội bộ từ téc",DATA_GOC!$B:$B,"&gt;="&amp;$D8904,DATA_GOC!$B:$B,"&lt;="&amp;$E8904))</f>
        <v/>
      </c>
      <c r="J8904" s="59">
        <f t="shared" si="28"/>
        <v>0</v>
      </c>
      <c r="K8904" s="59">
        <f t="shared" si="29"/>
        <v>0</v>
      </c>
      <c r="L8904" s="59">
        <f t="shared" si="30"/>
        <v>0</v>
      </c>
      <c r="M8904" s="59">
        <f t="shared" si="31"/>
        <v>0</v>
      </c>
    </row>
    <row r="8905" ht="15.0" hidden="1" customHeight="1">
      <c r="A8905" s="59">
        <f t="shared" si="20"/>
        <v>145</v>
      </c>
      <c r="B8905" s="59" t="str">
        <f t="shared" si="21"/>
        <v/>
      </c>
      <c r="C8905" s="59" t="str">
        <f t="shared" si="22"/>
        <v/>
      </c>
      <c r="D8905" s="45" t="str">
        <f t="shared" si="23"/>
        <v/>
      </c>
      <c r="E8905" s="45" t="str">
        <f t="shared" si="24"/>
        <v/>
      </c>
      <c r="F8905" s="59" t="str">
        <f t="shared" si="25"/>
        <v/>
      </c>
      <c r="G8905" s="59" t="str">
        <f t="shared" si="26"/>
        <v/>
      </c>
      <c r="H8905" s="59" t="str">
        <f t="shared" si="27"/>
        <v>28H00061</v>
      </c>
      <c r="I8905" s="59" t="str">
        <f>IF(OR($A8905="",$C8905="",$D8905="",$E8905="",$H8905=""),"",SUMIFS(DATA_GOC!$H:$H,DATA_GOC!$A:$A,"BOM",DATA_GOC!$D:$D,$H8905,DATA_GOC!$E:$E,$C8905,DATA_GOC!$F:$F,"Xuất nội bộ từ téc",DATA_GOC!$B:$B,"&gt;="&amp;$D8905,DATA_GOC!$B:$B,"&lt;="&amp;$E8905))</f>
        <v/>
      </c>
      <c r="J8905" s="59">
        <f t="shared" si="28"/>
        <v>0</v>
      </c>
      <c r="K8905" s="59">
        <f t="shared" si="29"/>
        <v>0</v>
      </c>
      <c r="L8905" s="59">
        <f t="shared" si="30"/>
        <v>0</v>
      </c>
      <c r="M8905" s="59">
        <f t="shared" si="31"/>
        <v>0</v>
      </c>
    </row>
    <row r="8906" ht="15.0" hidden="1" customHeight="1">
      <c r="A8906" s="59">
        <f t="shared" si="20"/>
        <v>145</v>
      </c>
      <c r="B8906" s="59" t="str">
        <f t="shared" si="21"/>
        <v/>
      </c>
      <c r="C8906" s="59" t="str">
        <f t="shared" si="22"/>
        <v/>
      </c>
      <c r="D8906" s="45" t="str">
        <f t="shared" si="23"/>
        <v/>
      </c>
      <c r="E8906" s="45" t="str">
        <f t="shared" si="24"/>
        <v/>
      </c>
      <c r="F8906" s="59" t="str">
        <f t="shared" si="25"/>
        <v/>
      </c>
      <c r="G8906" s="59" t="str">
        <f t="shared" si="26"/>
        <v/>
      </c>
      <c r="H8906" s="59" t="str">
        <f t="shared" si="27"/>
        <v>28H00354</v>
      </c>
      <c r="I8906" s="59" t="str">
        <f>IF(OR($A8906="",$C8906="",$D8906="",$E8906="",$H8906=""),"",SUMIFS(DATA_GOC!$H:$H,DATA_GOC!$A:$A,"BOM",DATA_GOC!$D:$D,$H8906,DATA_GOC!$E:$E,$C8906,DATA_GOC!$F:$F,"Xuất nội bộ từ téc",DATA_GOC!$B:$B,"&gt;="&amp;$D8906,DATA_GOC!$B:$B,"&lt;="&amp;$E8906))</f>
        <v/>
      </c>
      <c r="J8906" s="59">
        <f t="shared" si="28"/>
        <v>0</v>
      </c>
      <c r="K8906" s="59">
        <f t="shared" si="29"/>
        <v>0</v>
      </c>
      <c r="L8906" s="59">
        <f t="shared" si="30"/>
        <v>0</v>
      </c>
      <c r="M8906" s="59">
        <f t="shared" si="31"/>
        <v>0</v>
      </c>
    </row>
    <row r="8907" ht="15.0" hidden="1" customHeight="1">
      <c r="A8907" s="59">
        <f t="shared" si="20"/>
        <v>145</v>
      </c>
      <c r="B8907" s="59" t="str">
        <f t="shared" si="21"/>
        <v/>
      </c>
      <c r="C8907" s="59" t="str">
        <f t="shared" si="22"/>
        <v/>
      </c>
      <c r="D8907" s="45" t="str">
        <f t="shared" si="23"/>
        <v/>
      </c>
      <c r="E8907" s="45" t="str">
        <f t="shared" si="24"/>
        <v/>
      </c>
      <c r="F8907" s="59" t="str">
        <f t="shared" si="25"/>
        <v/>
      </c>
      <c r="G8907" s="59" t="str">
        <f t="shared" si="26"/>
        <v/>
      </c>
      <c r="H8907" s="59" t="str">
        <f t="shared" si="27"/>
        <v>28H00603</v>
      </c>
      <c r="I8907" s="59" t="str">
        <f>IF(OR($A8907="",$C8907="",$D8907="",$E8907="",$H8907=""),"",SUMIFS(DATA_GOC!$H:$H,DATA_GOC!$A:$A,"BOM",DATA_GOC!$D:$D,$H8907,DATA_GOC!$E:$E,$C8907,DATA_GOC!$F:$F,"Xuất nội bộ từ téc",DATA_GOC!$B:$B,"&gt;="&amp;$D8907,DATA_GOC!$B:$B,"&lt;="&amp;$E8907))</f>
        <v/>
      </c>
      <c r="J8907" s="59">
        <f t="shared" si="28"/>
        <v>0</v>
      </c>
      <c r="K8907" s="59">
        <f t="shared" si="29"/>
        <v>0</v>
      </c>
      <c r="L8907" s="59">
        <f t="shared" si="30"/>
        <v>0</v>
      </c>
      <c r="M8907" s="59">
        <f t="shared" si="31"/>
        <v>0</v>
      </c>
    </row>
    <row r="8908" ht="15.0" hidden="1" customHeight="1">
      <c r="A8908" s="59">
        <f t="shared" si="20"/>
        <v>145</v>
      </c>
      <c r="B8908" s="59" t="str">
        <f t="shared" si="21"/>
        <v/>
      </c>
      <c r="C8908" s="59" t="str">
        <f t="shared" si="22"/>
        <v/>
      </c>
      <c r="D8908" s="45" t="str">
        <f t="shared" si="23"/>
        <v/>
      </c>
      <c r="E8908" s="45" t="str">
        <f t="shared" si="24"/>
        <v/>
      </c>
      <c r="F8908" s="59" t="str">
        <f t="shared" si="25"/>
        <v/>
      </c>
      <c r="G8908" s="59" t="str">
        <f t="shared" si="26"/>
        <v/>
      </c>
      <c r="H8908" s="59" t="str">
        <f t="shared" si="27"/>
        <v>28H00609</v>
      </c>
      <c r="I8908" s="59" t="str">
        <f>IF(OR($A8908="",$C8908="",$D8908="",$E8908="",$H8908=""),"",SUMIFS(DATA_GOC!$H:$H,DATA_GOC!$A:$A,"BOM",DATA_GOC!$D:$D,$H8908,DATA_GOC!$E:$E,$C8908,DATA_GOC!$F:$F,"Xuất nội bộ từ téc",DATA_GOC!$B:$B,"&gt;="&amp;$D8908,DATA_GOC!$B:$B,"&lt;="&amp;$E8908))</f>
        <v/>
      </c>
      <c r="J8908" s="59">
        <f t="shared" si="28"/>
        <v>0</v>
      </c>
      <c r="K8908" s="59">
        <f t="shared" si="29"/>
        <v>0</v>
      </c>
      <c r="L8908" s="59">
        <f t="shared" si="30"/>
        <v>0</v>
      </c>
      <c r="M8908" s="59">
        <f t="shared" si="31"/>
        <v>0</v>
      </c>
    </row>
    <row r="8909" ht="15.0" hidden="1" customHeight="1">
      <c r="A8909" s="59">
        <f t="shared" si="20"/>
        <v>145</v>
      </c>
      <c r="B8909" s="59" t="str">
        <f t="shared" si="21"/>
        <v/>
      </c>
      <c r="C8909" s="59" t="str">
        <f t="shared" si="22"/>
        <v/>
      </c>
      <c r="D8909" s="45" t="str">
        <f t="shared" si="23"/>
        <v/>
      </c>
      <c r="E8909" s="45" t="str">
        <f t="shared" si="24"/>
        <v/>
      </c>
      <c r="F8909" s="59" t="str">
        <f t="shared" si="25"/>
        <v/>
      </c>
      <c r="G8909" s="59" t="str">
        <f t="shared" si="26"/>
        <v/>
      </c>
      <c r="H8909" s="59" t="str">
        <f t="shared" si="27"/>
        <v>28H00669</v>
      </c>
      <c r="I8909" s="59" t="str">
        <f>IF(OR($A8909="",$C8909="",$D8909="",$E8909="",$H8909=""),"",SUMIFS(DATA_GOC!$H:$H,DATA_GOC!$A:$A,"BOM",DATA_GOC!$D:$D,$H8909,DATA_GOC!$E:$E,$C8909,DATA_GOC!$F:$F,"Xuất nội bộ từ téc",DATA_GOC!$B:$B,"&gt;="&amp;$D8909,DATA_GOC!$B:$B,"&lt;="&amp;$E8909))</f>
        <v/>
      </c>
      <c r="J8909" s="59">
        <f t="shared" si="28"/>
        <v>0</v>
      </c>
      <c r="K8909" s="59">
        <f t="shared" si="29"/>
        <v>0</v>
      </c>
      <c r="L8909" s="59">
        <f t="shared" si="30"/>
        <v>0</v>
      </c>
      <c r="M8909" s="59">
        <f t="shared" si="31"/>
        <v>0</v>
      </c>
    </row>
    <row r="8910" ht="15.0" hidden="1" customHeight="1">
      <c r="A8910" s="59">
        <f t="shared" si="20"/>
        <v>145</v>
      </c>
      <c r="B8910" s="59" t="str">
        <f t="shared" si="21"/>
        <v/>
      </c>
      <c r="C8910" s="59" t="str">
        <f t="shared" si="22"/>
        <v/>
      </c>
      <c r="D8910" s="45" t="str">
        <f t="shared" si="23"/>
        <v/>
      </c>
      <c r="E8910" s="45" t="str">
        <f t="shared" si="24"/>
        <v/>
      </c>
      <c r="F8910" s="59" t="str">
        <f t="shared" si="25"/>
        <v/>
      </c>
      <c r="G8910" s="59" t="str">
        <f t="shared" si="26"/>
        <v/>
      </c>
      <c r="H8910" s="59" t="str">
        <f t="shared" si="27"/>
        <v>28H00680</v>
      </c>
      <c r="I8910" s="59" t="str">
        <f>IF(OR($A8910="",$C8910="",$D8910="",$E8910="",$H8910=""),"",SUMIFS(DATA_GOC!$H:$H,DATA_GOC!$A:$A,"BOM",DATA_GOC!$D:$D,$H8910,DATA_GOC!$E:$E,$C8910,DATA_GOC!$F:$F,"Xuất nội bộ từ téc",DATA_GOC!$B:$B,"&gt;="&amp;$D8910,DATA_GOC!$B:$B,"&lt;="&amp;$E8910))</f>
        <v/>
      </c>
      <c r="J8910" s="59">
        <f t="shared" si="28"/>
        <v>0</v>
      </c>
      <c r="K8910" s="59">
        <f t="shared" si="29"/>
        <v>0</v>
      </c>
      <c r="L8910" s="59">
        <f t="shared" si="30"/>
        <v>0</v>
      </c>
      <c r="M8910" s="59">
        <f t="shared" si="31"/>
        <v>0</v>
      </c>
    </row>
    <row r="8911" ht="15.0" hidden="1" customHeight="1">
      <c r="A8911" s="59">
        <f t="shared" si="20"/>
        <v>145</v>
      </c>
      <c r="B8911" s="59" t="str">
        <f t="shared" si="21"/>
        <v/>
      </c>
      <c r="C8911" s="59" t="str">
        <f t="shared" si="22"/>
        <v/>
      </c>
      <c r="D8911" s="45" t="str">
        <f t="shared" si="23"/>
        <v/>
      </c>
      <c r="E8911" s="45" t="str">
        <f t="shared" si="24"/>
        <v/>
      </c>
      <c r="F8911" s="59" t="str">
        <f t="shared" si="25"/>
        <v/>
      </c>
      <c r="G8911" s="59" t="str">
        <f t="shared" si="26"/>
        <v/>
      </c>
      <c r="H8911" s="59" t="str">
        <f t="shared" si="27"/>
        <v>28H01070</v>
      </c>
      <c r="I8911" s="59" t="str">
        <f>IF(OR($A8911="",$C8911="",$D8911="",$E8911="",$H8911=""),"",SUMIFS(DATA_GOC!$H:$H,DATA_GOC!$A:$A,"BOM",DATA_GOC!$D:$D,$H8911,DATA_GOC!$E:$E,$C8911,DATA_GOC!$F:$F,"Xuất nội bộ từ téc",DATA_GOC!$B:$B,"&gt;="&amp;$D8911,DATA_GOC!$B:$B,"&lt;="&amp;$E8911))</f>
        <v/>
      </c>
      <c r="J8911" s="59">
        <f t="shared" si="28"/>
        <v>0</v>
      </c>
      <c r="K8911" s="59">
        <f t="shared" si="29"/>
        <v>0</v>
      </c>
      <c r="L8911" s="59">
        <f t="shared" si="30"/>
        <v>0</v>
      </c>
      <c r="M8911" s="59">
        <f t="shared" si="31"/>
        <v>0</v>
      </c>
    </row>
    <row r="8912" ht="15.0" hidden="1" customHeight="1">
      <c r="A8912" s="59">
        <f t="shared" si="20"/>
        <v>145</v>
      </c>
      <c r="B8912" s="59" t="str">
        <f t="shared" si="21"/>
        <v/>
      </c>
      <c r="C8912" s="59" t="str">
        <f t="shared" si="22"/>
        <v/>
      </c>
      <c r="D8912" s="45" t="str">
        <f t="shared" si="23"/>
        <v/>
      </c>
      <c r="E8912" s="45" t="str">
        <f t="shared" si="24"/>
        <v/>
      </c>
      <c r="F8912" s="59" t="str">
        <f t="shared" si="25"/>
        <v/>
      </c>
      <c r="G8912" s="59" t="str">
        <f t="shared" si="26"/>
        <v/>
      </c>
      <c r="H8912" s="59" t="str">
        <f t="shared" si="27"/>
        <v>28H01364</v>
      </c>
      <c r="I8912" s="59" t="str">
        <f>IF(OR($A8912="",$C8912="",$D8912="",$E8912="",$H8912=""),"",SUMIFS(DATA_GOC!$H:$H,DATA_GOC!$A:$A,"BOM",DATA_GOC!$D:$D,$H8912,DATA_GOC!$E:$E,$C8912,DATA_GOC!$F:$F,"Xuất nội bộ từ téc",DATA_GOC!$B:$B,"&gt;="&amp;$D8912,DATA_GOC!$B:$B,"&lt;="&amp;$E8912))</f>
        <v/>
      </c>
      <c r="J8912" s="59">
        <f t="shared" si="28"/>
        <v>0</v>
      </c>
      <c r="K8912" s="59">
        <f t="shared" si="29"/>
        <v>0</v>
      </c>
      <c r="L8912" s="59">
        <f t="shared" si="30"/>
        <v>0</v>
      </c>
      <c r="M8912" s="59">
        <f t="shared" si="31"/>
        <v>0</v>
      </c>
    </row>
    <row r="8913" ht="15.0" hidden="1" customHeight="1">
      <c r="A8913" s="59">
        <f t="shared" si="20"/>
        <v>145</v>
      </c>
      <c r="B8913" s="59" t="str">
        <f t="shared" si="21"/>
        <v/>
      </c>
      <c r="C8913" s="59" t="str">
        <f t="shared" si="22"/>
        <v/>
      </c>
      <c r="D8913" s="45" t="str">
        <f t="shared" si="23"/>
        <v/>
      </c>
      <c r="E8913" s="45" t="str">
        <f t="shared" si="24"/>
        <v/>
      </c>
      <c r="F8913" s="59" t="str">
        <f t="shared" si="25"/>
        <v/>
      </c>
      <c r="G8913" s="59" t="str">
        <f t="shared" si="26"/>
        <v/>
      </c>
      <c r="H8913" s="59" t="str">
        <f t="shared" si="27"/>
        <v>29E17269</v>
      </c>
      <c r="I8913" s="59" t="str">
        <f>IF(OR($A8913="",$C8913="",$D8913="",$E8913="",$H8913=""),"",SUMIFS(DATA_GOC!$H:$H,DATA_GOC!$A:$A,"BOM",DATA_GOC!$D:$D,$H8913,DATA_GOC!$E:$E,$C8913,DATA_GOC!$F:$F,"Xuất nội bộ từ téc",DATA_GOC!$B:$B,"&gt;="&amp;$D8913,DATA_GOC!$B:$B,"&lt;="&amp;$E8913))</f>
        <v/>
      </c>
      <c r="J8913" s="59">
        <f t="shared" si="28"/>
        <v>0</v>
      </c>
      <c r="K8913" s="59">
        <f t="shared" si="29"/>
        <v>0</v>
      </c>
      <c r="L8913" s="59">
        <f t="shared" si="30"/>
        <v>0</v>
      </c>
      <c r="M8913" s="59">
        <f t="shared" si="31"/>
        <v>0</v>
      </c>
    </row>
    <row r="8914" ht="15.0" hidden="1" customHeight="1">
      <c r="A8914" s="59">
        <f t="shared" si="20"/>
        <v>145</v>
      </c>
      <c r="B8914" s="59" t="str">
        <f t="shared" si="21"/>
        <v/>
      </c>
      <c r="C8914" s="59" t="str">
        <f t="shared" si="22"/>
        <v/>
      </c>
      <c r="D8914" s="45" t="str">
        <f t="shared" si="23"/>
        <v/>
      </c>
      <c r="E8914" s="45" t="str">
        <f t="shared" si="24"/>
        <v/>
      </c>
      <c r="F8914" s="59" t="str">
        <f t="shared" si="25"/>
        <v/>
      </c>
      <c r="G8914" s="59" t="str">
        <f t="shared" si="26"/>
        <v/>
      </c>
      <c r="H8914" s="59" t="str">
        <f t="shared" si="27"/>
        <v>29E17273</v>
      </c>
      <c r="I8914" s="59" t="str">
        <f>IF(OR($A8914="",$C8914="",$D8914="",$E8914="",$H8914=""),"",SUMIFS(DATA_GOC!$H:$H,DATA_GOC!$A:$A,"BOM",DATA_GOC!$D:$D,$H8914,DATA_GOC!$E:$E,$C8914,DATA_GOC!$F:$F,"Xuất nội bộ từ téc",DATA_GOC!$B:$B,"&gt;="&amp;$D8914,DATA_GOC!$B:$B,"&lt;="&amp;$E8914))</f>
        <v/>
      </c>
      <c r="J8914" s="59">
        <f t="shared" si="28"/>
        <v>0</v>
      </c>
      <c r="K8914" s="59">
        <f t="shared" si="29"/>
        <v>0</v>
      </c>
      <c r="L8914" s="59">
        <f t="shared" si="30"/>
        <v>0</v>
      </c>
      <c r="M8914" s="59">
        <f t="shared" si="31"/>
        <v>0</v>
      </c>
    </row>
    <row r="8915" ht="15.0" hidden="1" customHeight="1">
      <c r="A8915" s="59">
        <f t="shared" si="20"/>
        <v>145</v>
      </c>
      <c r="B8915" s="59" t="str">
        <f t="shared" si="21"/>
        <v/>
      </c>
      <c r="C8915" s="59" t="str">
        <f t="shared" si="22"/>
        <v/>
      </c>
      <c r="D8915" s="45" t="str">
        <f t="shared" si="23"/>
        <v/>
      </c>
      <c r="E8915" s="45" t="str">
        <f t="shared" si="24"/>
        <v/>
      </c>
      <c r="F8915" s="59" t="str">
        <f t="shared" si="25"/>
        <v/>
      </c>
      <c r="G8915" s="59" t="str">
        <f t="shared" si="26"/>
        <v/>
      </c>
      <c r="H8915" s="59" t="str">
        <f t="shared" si="27"/>
        <v>29E17410</v>
      </c>
      <c r="I8915" s="59" t="str">
        <f>IF(OR($A8915="",$C8915="",$D8915="",$E8915="",$H8915=""),"",SUMIFS(DATA_GOC!$H:$H,DATA_GOC!$A:$A,"BOM",DATA_GOC!$D:$D,$H8915,DATA_GOC!$E:$E,$C8915,DATA_GOC!$F:$F,"Xuất nội bộ từ téc",DATA_GOC!$B:$B,"&gt;="&amp;$D8915,DATA_GOC!$B:$B,"&lt;="&amp;$E8915))</f>
        <v/>
      </c>
      <c r="J8915" s="59">
        <f t="shared" si="28"/>
        <v>0</v>
      </c>
      <c r="K8915" s="59">
        <f t="shared" si="29"/>
        <v>0</v>
      </c>
      <c r="L8915" s="59">
        <f t="shared" si="30"/>
        <v>0</v>
      </c>
      <c r="M8915" s="59">
        <f t="shared" si="31"/>
        <v>0</v>
      </c>
    </row>
    <row r="8916" ht="15.0" hidden="1" customHeight="1">
      <c r="A8916" s="59">
        <f t="shared" si="20"/>
        <v>145</v>
      </c>
      <c r="B8916" s="59" t="str">
        <f t="shared" si="21"/>
        <v/>
      </c>
      <c r="C8916" s="59" t="str">
        <f t="shared" si="22"/>
        <v/>
      </c>
      <c r="D8916" s="45" t="str">
        <f t="shared" si="23"/>
        <v/>
      </c>
      <c r="E8916" s="45" t="str">
        <f t="shared" si="24"/>
        <v/>
      </c>
      <c r="F8916" s="59" t="str">
        <f t="shared" si="25"/>
        <v/>
      </c>
      <c r="G8916" s="59" t="str">
        <f t="shared" si="26"/>
        <v/>
      </c>
      <c r="H8916" s="59" t="str">
        <f t="shared" si="27"/>
        <v>29E17417</v>
      </c>
      <c r="I8916" s="59" t="str">
        <f>IF(OR($A8916="",$C8916="",$D8916="",$E8916="",$H8916=""),"",SUMIFS(DATA_GOC!$H:$H,DATA_GOC!$A:$A,"BOM",DATA_GOC!$D:$D,$H8916,DATA_GOC!$E:$E,$C8916,DATA_GOC!$F:$F,"Xuất nội bộ từ téc",DATA_GOC!$B:$B,"&gt;="&amp;$D8916,DATA_GOC!$B:$B,"&lt;="&amp;$E8916))</f>
        <v/>
      </c>
      <c r="J8916" s="59">
        <f t="shared" si="28"/>
        <v>0</v>
      </c>
      <c r="K8916" s="59">
        <f t="shared" si="29"/>
        <v>0</v>
      </c>
      <c r="L8916" s="59">
        <f t="shared" si="30"/>
        <v>0</v>
      </c>
      <c r="M8916" s="59">
        <f t="shared" si="31"/>
        <v>0</v>
      </c>
    </row>
    <row r="8917" ht="15.0" hidden="1" customHeight="1">
      <c r="A8917" s="59">
        <f t="shared" si="20"/>
        <v>145</v>
      </c>
      <c r="B8917" s="59" t="str">
        <f t="shared" si="21"/>
        <v/>
      </c>
      <c r="C8917" s="59" t="str">
        <f t="shared" si="22"/>
        <v/>
      </c>
      <c r="D8917" s="45" t="str">
        <f t="shared" si="23"/>
        <v/>
      </c>
      <c r="E8917" s="45" t="str">
        <f t="shared" si="24"/>
        <v/>
      </c>
      <c r="F8917" s="59" t="str">
        <f t="shared" si="25"/>
        <v/>
      </c>
      <c r="G8917" s="59" t="str">
        <f t="shared" si="26"/>
        <v/>
      </c>
      <c r="H8917" s="59" t="str">
        <f t="shared" si="27"/>
        <v>29E17539</v>
      </c>
      <c r="I8917" s="59" t="str">
        <f>IF(OR($A8917="",$C8917="",$D8917="",$E8917="",$H8917=""),"",SUMIFS(DATA_GOC!$H:$H,DATA_GOC!$A:$A,"BOM",DATA_GOC!$D:$D,$H8917,DATA_GOC!$E:$E,$C8917,DATA_GOC!$F:$F,"Xuất nội bộ từ téc",DATA_GOC!$B:$B,"&gt;="&amp;$D8917,DATA_GOC!$B:$B,"&lt;="&amp;$E8917))</f>
        <v/>
      </c>
      <c r="J8917" s="59">
        <f t="shared" si="28"/>
        <v>0</v>
      </c>
      <c r="K8917" s="59">
        <f t="shared" si="29"/>
        <v>0</v>
      </c>
      <c r="L8917" s="59">
        <f t="shared" si="30"/>
        <v>0</v>
      </c>
      <c r="M8917" s="59">
        <f t="shared" si="31"/>
        <v>0</v>
      </c>
    </row>
    <row r="8918" ht="15.0" hidden="1" customHeight="1">
      <c r="A8918" s="59">
        <f t="shared" si="20"/>
        <v>145</v>
      </c>
      <c r="B8918" s="59" t="str">
        <f t="shared" si="21"/>
        <v/>
      </c>
      <c r="C8918" s="59" t="str">
        <f t="shared" si="22"/>
        <v/>
      </c>
      <c r="D8918" s="45" t="str">
        <f t="shared" si="23"/>
        <v/>
      </c>
      <c r="E8918" s="45" t="str">
        <f t="shared" si="24"/>
        <v/>
      </c>
      <c r="F8918" s="59" t="str">
        <f t="shared" si="25"/>
        <v/>
      </c>
      <c r="G8918" s="59" t="str">
        <f t="shared" si="26"/>
        <v/>
      </c>
      <c r="H8918" s="59" t="str">
        <f t="shared" si="27"/>
        <v>29E18160</v>
      </c>
      <c r="I8918" s="59" t="str">
        <f>IF(OR($A8918="",$C8918="",$D8918="",$E8918="",$H8918=""),"",SUMIFS(DATA_GOC!$H:$H,DATA_GOC!$A:$A,"BOM",DATA_GOC!$D:$D,$H8918,DATA_GOC!$E:$E,$C8918,DATA_GOC!$F:$F,"Xuất nội bộ từ téc",DATA_GOC!$B:$B,"&gt;="&amp;$D8918,DATA_GOC!$B:$B,"&lt;="&amp;$E8918))</f>
        <v/>
      </c>
      <c r="J8918" s="59">
        <f t="shared" si="28"/>
        <v>0</v>
      </c>
      <c r="K8918" s="59">
        <f t="shared" si="29"/>
        <v>0</v>
      </c>
      <c r="L8918" s="59">
        <f t="shared" si="30"/>
        <v>0</v>
      </c>
      <c r="M8918" s="59">
        <f t="shared" si="31"/>
        <v>0</v>
      </c>
    </row>
    <row r="8919" ht="15.0" hidden="1" customHeight="1">
      <c r="A8919" s="59">
        <f t="shared" si="20"/>
        <v>145</v>
      </c>
      <c r="B8919" s="59" t="str">
        <f t="shared" si="21"/>
        <v/>
      </c>
      <c r="C8919" s="59" t="str">
        <f t="shared" si="22"/>
        <v/>
      </c>
      <c r="D8919" s="45" t="str">
        <f t="shared" si="23"/>
        <v/>
      </c>
      <c r="E8919" s="45" t="str">
        <f t="shared" si="24"/>
        <v/>
      </c>
      <c r="F8919" s="59" t="str">
        <f t="shared" si="25"/>
        <v/>
      </c>
      <c r="G8919" s="59" t="str">
        <f t="shared" si="26"/>
        <v/>
      </c>
      <c r="H8919" s="59" t="str">
        <f t="shared" si="27"/>
        <v>Công trình Asphalt</v>
      </c>
      <c r="I8919" s="59" t="str">
        <f>IF(OR($A8919="",$C8919="",$D8919="",$E8919="",$H8919=""),"",SUMIFS(DATA_GOC!$H:$H,DATA_GOC!$A:$A,"BOM",DATA_GOC!$D:$D,$H8919,DATA_GOC!$E:$E,$C8919,DATA_GOC!$F:$F,"Xuất nội bộ từ téc",DATA_GOC!$B:$B,"&gt;="&amp;$D8919,DATA_GOC!$B:$B,"&lt;="&amp;$E8919))</f>
        <v/>
      </c>
      <c r="J8919" s="59">
        <f t="shared" si="28"/>
        <v>0</v>
      </c>
      <c r="K8919" s="59">
        <f t="shared" si="29"/>
        <v>0</v>
      </c>
      <c r="L8919" s="59">
        <f t="shared" si="30"/>
        <v>0</v>
      </c>
      <c r="M8919" s="59">
        <f t="shared" si="31"/>
        <v>0</v>
      </c>
    </row>
    <row r="8920" ht="15.0" hidden="1" customHeight="1">
      <c r="A8920" s="59">
        <f t="shared" si="20"/>
        <v>145</v>
      </c>
      <c r="B8920" s="59" t="str">
        <f t="shared" si="21"/>
        <v/>
      </c>
      <c r="C8920" s="59" t="str">
        <f t="shared" si="22"/>
        <v/>
      </c>
      <c r="D8920" s="45" t="str">
        <f t="shared" si="23"/>
        <v/>
      </c>
      <c r="E8920" s="45" t="str">
        <f t="shared" si="24"/>
        <v/>
      </c>
      <c r="F8920" s="59" t="str">
        <f t="shared" si="25"/>
        <v/>
      </c>
      <c r="G8920" s="59" t="str">
        <f t="shared" si="26"/>
        <v/>
      </c>
      <c r="H8920" s="59" t="str">
        <f t="shared" si="27"/>
        <v>LG53F</v>
      </c>
      <c r="I8920" s="59" t="str">
        <f>IF(OR($A8920="",$C8920="",$D8920="",$E8920="",$H8920=""),"",SUMIFS(DATA_GOC!$H:$H,DATA_GOC!$A:$A,"BOM",DATA_GOC!$D:$D,$H8920,DATA_GOC!$E:$E,$C8920,DATA_GOC!$F:$F,"Xuất nội bộ từ téc",DATA_GOC!$B:$B,"&gt;="&amp;$D8920,DATA_GOC!$B:$B,"&lt;="&amp;$E8920))</f>
        <v/>
      </c>
      <c r="J8920" s="59">
        <f t="shared" si="28"/>
        <v>0</v>
      </c>
      <c r="K8920" s="59">
        <f t="shared" si="29"/>
        <v>0</v>
      </c>
      <c r="L8920" s="59">
        <f t="shared" si="30"/>
        <v>0</v>
      </c>
      <c r="M8920" s="59">
        <f t="shared" si="31"/>
        <v>0</v>
      </c>
    </row>
    <row r="8921" ht="15.0" hidden="1" customHeight="1">
      <c r="A8921" s="59">
        <f t="shared" si="20"/>
        <v>145</v>
      </c>
      <c r="B8921" s="59" t="str">
        <f t="shared" si="21"/>
        <v/>
      </c>
      <c r="C8921" s="59" t="str">
        <f t="shared" si="22"/>
        <v/>
      </c>
      <c r="D8921" s="45" t="str">
        <f t="shared" si="23"/>
        <v/>
      </c>
      <c r="E8921" s="45" t="str">
        <f t="shared" si="24"/>
        <v/>
      </c>
      <c r="F8921" s="59" t="str">
        <f t="shared" si="25"/>
        <v/>
      </c>
      <c r="G8921" s="59" t="str">
        <f t="shared" si="26"/>
        <v/>
      </c>
      <c r="H8921" s="59" t="str">
        <f t="shared" si="27"/>
        <v>Máy phát điện</v>
      </c>
      <c r="I8921" s="59" t="str">
        <f>IF(OR($A8921="",$C8921="",$D8921="",$E8921="",$H8921=""),"",SUMIFS(DATA_GOC!$H:$H,DATA_GOC!$A:$A,"BOM",DATA_GOC!$D:$D,$H8921,DATA_GOC!$E:$E,$C8921,DATA_GOC!$F:$F,"Xuất nội bộ từ téc",DATA_GOC!$B:$B,"&gt;="&amp;$D8921,DATA_GOC!$B:$B,"&lt;="&amp;$E8921))</f>
        <v/>
      </c>
      <c r="J8921" s="59">
        <f t="shared" si="28"/>
        <v>0</v>
      </c>
      <c r="K8921" s="59">
        <f t="shared" si="29"/>
        <v>0</v>
      </c>
      <c r="L8921" s="59">
        <f t="shared" si="30"/>
        <v>0</v>
      </c>
      <c r="M8921" s="59">
        <f t="shared" si="31"/>
        <v>0</v>
      </c>
    </row>
    <row r="8922" ht="15.0" hidden="1" customHeight="1">
      <c r="A8922" s="59">
        <f t="shared" si="20"/>
        <v>145</v>
      </c>
      <c r="B8922" s="59" t="str">
        <f t="shared" si="21"/>
        <v/>
      </c>
      <c r="C8922" s="59" t="str">
        <f t="shared" si="22"/>
        <v/>
      </c>
      <c r="D8922" s="45" t="str">
        <f t="shared" si="23"/>
        <v/>
      </c>
      <c r="E8922" s="45" t="str">
        <f t="shared" si="24"/>
        <v/>
      </c>
      <c r="F8922" s="59" t="str">
        <f t="shared" si="25"/>
        <v/>
      </c>
      <c r="G8922" s="59" t="str">
        <f t="shared" si="26"/>
        <v/>
      </c>
      <c r="H8922" s="59" t="str">
        <f t="shared" si="27"/>
        <v>Máy rải thảm</v>
      </c>
      <c r="I8922" s="59" t="str">
        <f>IF(OR($A8922="",$C8922="",$D8922="",$E8922="",$H8922=""),"",SUMIFS(DATA_GOC!$H:$H,DATA_GOC!$A:$A,"BOM",DATA_GOC!$D:$D,$H8922,DATA_GOC!$E:$E,$C8922,DATA_GOC!$F:$F,"Xuất nội bộ từ téc",DATA_GOC!$B:$B,"&gt;="&amp;$D8922,DATA_GOC!$B:$B,"&lt;="&amp;$E8922))</f>
        <v/>
      </c>
      <c r="J8922" s="59">
        <f t="shared" si="28"/>
        <v>0</v>
      </c>
      <c r="K8922" s="59">
        <f t="shared" si="29"/>
        <v>0</v>
      </c>
      <c r="L8922" s="59">
        <f t="shared" si="30"/>
        <v>0</v>
      </c>
      <c r="M8922" s="59">
        <f t="shared" si="31"/>
        <v>0</v>
      </c>
    </row>
    <row r="8923" ht="15.0" hidden="1" customHeight="1">
      <c r="A8923" s="59">
        <f t="shared" si="20"/>
        <v>145</v>
      </c>
      <c r="B8923" s="59" t="str">
        <f t="shared" si="21"/>
        <v/>
      </c>
      <c r="C8923" s="59" t="str">
        <f t="shared" si="22"/>
        <v/>
      </c>
      <c r="D8923" s="45" t="str">
        <f t="shared" si="23"/>
        <v/>
      </c>
      <c r="E8923" s="45" t="str">
        <f t="shared" si="24"/>
        <v/>
      </c>
      <c r="F8923" s="59" t="str">
        <f t="shared" si="25"/>
        <v/>
      </c>
      <c r="G8923" s="59" t="str">
        <f t="shared" si="26"/>
        <v/>
      </c>
      <c r="H8923" s="59" t="str">
        <f t="shared" si="27"/>
        <v>Xúc Đào</v>
      </c>
      <c r="I8923" s="59" t="str">
        <f>IF(OR($A8923="",$C8923="",$D8923="",$E8923="",$H8923=""),"",SUMIFS(DATA_GOC!$H:$H,DATA_GOC!$A:$A,"BOM",DATA_GOC!$D:$D,$H8923,DATA_GOC!$E:$E,$C8923,DATA_GOC!$F:$F,"Xuất nội bộ từ téc",DATA_GOC!$B:$B,"&gt;="&amp;$D8923,DATA_GOC!$B:$B,"&lt;="&amp;$E8923))</f>
        <v/>
      </c>
      <c r="J8923" s="59">
        <f t="shared" si="28"/>
        <v>0</v>
      </c>
      <c r="K8923" s="59">
        <f t="shared" si="29"/>
        <v>0</v>
      </c>
      <c r="L8923" s="59">
        <f t="shared" si="30"/>
        <v>0</v>
      </c>
      <c r="M8923" s="59">
        <f t="shared" si="31"/>
        <v>0</v>
      </c>
    </row>
    <row r="8924" ht="15.0" hidden="1" customHeight="1">
      <c r="A8924" s="59">
        <f t="shared" si="20"/>
        <v>145</v>
      </c>
      <c r="B8924" s="59" t="str">
        <f t="shared" si="21"/>
        <v/>
      </c>
      <c r="C8924" s="59" t="str">
        <f t="shared" si="22"/>
        <v/>
      </c>
      <c r="D8924" s="45" t="str">
        <f t="shared" si="23"/>
        <v/>
      </c>
      <c r="E8924" s="45" t="str">
        <f t="shared" si="24"/>
        <v/>
      </c>
      <c r="F8924" s="59" t="str">
        <f t="shared" si="25"/>
        <v/>
      </c>
      <c r="G8924" s="59" t="str">
        <f t="shared" si="26"/>
        <v/>
      </c>
      <c r="H8924" s="59" t="str">
        <f t="shared" si="27"/>
        <v>Xúclật asphalt</v>
      </c>
      <c r="I8924" s="59" t="str">
        <f>IF(OR($A8924="",$C8924="",$D8924="",$E8924="",$H8924=""),"",SUMIFS(DATA_GOC!$H:$H,DATA_GOC!$A:$A,"BOM",DATA_GOC!$D:$D,$H8924,DATA_GOC!$E:$E,$C8924,DATA_GOC!$F:$F,"Xuất nội bộ từ téc",DATA_GOC!$B:$B,"&gt;="&amp;$D8924,DATA_GOC!$B:$B,"&lt;="&amp;$E8924))</f>
        <v/>
      </c>
      <c r="J8924" s="59">
        <f t="shared" si="28"/>
        <v>0</v>
      </c>
      <c r="K8924" s="59">
        <f t="shared" si="29"/>
        <v>0</v>
      </c>
      <c r="L8924" s="59">
        <f t="shared" si="30"/>
        <v>0</v>
      </c>
      <c r="M8924" s="59">
        <f t="shared" si="31"/>
        <v>0</v>
      </c>
    </row>
    <row r="8925" ht="15.0" hidden="1" customHeight="1">
      <c r="A8925" s="59">
        <f t="shared" si="20"/>
        <v>145</v>
      </c>
      <c r="B8925" s="59" t="str">
        <f t="shared" si="21"/>
        <v/>
      </c>
      <c r="C8925" s="59" t="str">
        <f t="shared" si="22"/>
        <v/>
      </c>
      <c r="D8925" s="45" t="str">
        <f t="shared" si="23"/>
        <v/>
      </c>
      <c r="E8925" s="45" t="str">
        <f t="shared" si="24"/>
        <v/>
      </c>
      <c r="F8925" s="59" t="str">
        <f t="shared" si="25"/>
        <v/>
      </c>
      <c r="G8925" s="59" t="str">
        <f t="shared" si="26"/>
        <v/>
      </c>
      <c r="H8925" s="59" t="str">
        <f t="shared" si="27"/>
        <v>Xúclật855H</v>
      </c>
      <c r="I8925" s="59" t="str">
        <f>IF(OR($A8925="",$C8925="",$D8925="",$E8925="",$H8925=""),"",SUMIFS(DATA_GOC!$H:$H,DATA_GOC!$A:$A,"BOM",DATA_GOC!$D:$D,$H8925,DATA_GOC!$E:$E,$C8925,DATA_GOC!$F:$F,"Xuất nội bộ từ téc",DATA_GOC!$B:$B,"&gt;="&amp;$D8925,DATA_GOC!$B:$B,"&lt;="&amp;$E8925))</f>
        <v/>
      </c>
      <c r="J8925" s="59">
        <f t="shared" si="28"/>
        <v>0</v>
      </c>
      <c r="K8925" s="59">
        <f t="shared" si="29"/>
        <v>0</v>
      </c>
      <c r="L8925" s="59">
        <f t="shared" si="30"/>
        <v>0</v>
      </c>
      <c r="M8925" s="59">
        <f t="shared" si="31"/>
        <v>0</v>
      </c>
    </row>
    <row r="8926" ht="15.0" hidden="1" customHeight="1">
      <c r="A8926" s="59">
        <f t="shared" si="20"/>
        <v>145</v>
      </c>
      <c r="B8926" s="59" t="str">
        <f t="shared" si="21"/>
        <v/>
      </c>
      <c r="C8926" s="59" t="str">
        <f t="shared" si="22"/>
        <v/>
      </c>
      <c r="D8926" s="45" t="str">
        <f t="shared" si="23"/>
        <v/>
      </c>
      <c r="E8926" s="45" t="str">
        <f t="shared" si="24"/>
        <v/>
      </c>
      <c r="F8926" s="59" t="str">
        <f t="shared" si="25"/>
        <v/>
      </c>
      <c r="G8926" s="59" t="str">
        <f t="shared" si="26"/>
        <v/>
      </c>
      <c r="H8926" s="59" t="str">
        <f t="shared" si="27"/>
        <v>Xúclật855N</v>
      </c>
      <c r="I8926" s="59" t="str">
        <f>IF(OR($A8926="",$C8926="",$D8926="",$E8926="",$H8926=""),"",SUMIFS(DATA_GOC!$H:$H,DATA_GOC!$A:$A,"BOM",DATA_GOC!$D:$D,$H8926,DATA_GOC!$E:$E,$C8926,DATA_GOC!$F:$F,"Xuất nội bộ từ téc",DATA_GOC!$B:$B,"&gt;="&amp;$D8926,DATA_GOC!$B:$B,"&lt;="&amp;$E8926))</f>
        <v/>
      </c>
      <c r="J8926" s="59">
        <f t="shared" si="28"/>
        <v>0</v>
      </c>
      <c r="K8926" s="59">
        <f t="shared" si="29"/>
        <v>0</v>
      </c>
      <c r="L8926" s="59">
        <f t="shared" si="30"/>
        <v>0</v>
      </c>
      <c r="M8926" s="59">
        <f t="shared" si="31"/>
        <v>0</v>
      </c>
    </row>
    <row r="8927" ht="15.0" hidden="1" customHeight="1">
      <c r="A8927" s="59">
        <f t="shared" si="20"/>
        <v>145</v>
      </c>
      <c r="B8927" s="59" t="str">
        <f t="shared" si="21"/>
        <v/>
      </c>
      <c r="C8927" s="59" t="str">
        <f t="shared" si="22"/>
        <v/>
      </c>
      <c r="D8927" s="45" t="str">
        <f t="shared" si="23"/>
        <v/>
      </c>
      <c r="E8927" s="45" t="str">
        <f t="shared" si="24"/>
        <v/>
      </c>
      <c r="F8927" s="59" t="str">
        <f t="shared" si="25"/>
        <v/>
      </c>
      <c r="G8927" s="59" t="str">
        <f t="shared" si="26"/>
        <v/>
      </c>
      <c r="H8927" s="59" t="str">
        <f t="shared" si="27"/>
        <v>Cát nghiền</v>
      </c>
      <c r="I8927" s="59" t="str">
        <f>IF(OR($A8927="",$C8927="",$D8927="",$E8927="",$H8927=""),"",SUMIFS(DATA_GOC!$H:$H,DATA_GOC!$A:$A,"BOM",DATA_GOC!$D:$D,$H8927,DATA_GOC!$E:$E,$C8927,DATA_GOC!$F:$F,"Xuất nội bộ từ téc",DATA_GOC!$B:$B,"&gt;="&amp;$D8927,DATA_GOC!$B:$B,"&lt;="&amp;$E8927))</f>
        <v/>
      </c>
      <c r="J8927" s="59">
        <f t="shared" si="28"/>
        <v>0</v>
      </c>
      <c r="K8927" s="59">
        <f t="shared" si="29"/>
        <v>0</v>
      </c>
      <c r="L8927" s="59">
        <f t="shared" si="30"/>
        <v>0</v>
      </c>
      <c r="M8927" s="59">
        <f t="shared" si="31"/>
        <v>0</v>
      </c>
    </row>
    <row r="8928" ht="15.0" hidden="1" customHeight="1">
      <c r="A8928" s="59">
        <f t="shared" si="20"/>
        <v>145</v>
      </c>
      <c r="B8928" s="59" t="str">
        <f t="shared" si="21"/>
        <v/>
      </c>
      <c r="C8928" s="59" t="str">
        <f t="shared" si="22"/>
        <v/>
      </c>
      <c r="D8928" s="45" t="str">
        <f t="shared" si="23"/>
        <v/>
      </c>
      <c r="E8928" s="45" t="str">
        <f t="shared" si="24"/>
        <v/>
      </c>
      <c r="F8928" s="59" t="str">
        <f t="shared" si="25"/>
        <v/>
      </c>
      <c r="G8928" s="59" t="str">
        <f t="shared" si="26"/>
        <v/>
      </c>
      <c r="H8928" s="59" t="str">
        <f t="shared" si="27"/>
        <v>28C02973</v>
      </c>
      <c r="I8928" s="59" t="str">
        <f>IF(OR($A8928="",$C8928="",$D8928="",$E8928="",$H8928=""),"",SUMIFS(DATA_GOC!$H:$H,DATA_GOC!$A:$A,"BOM",DATA_GOC!$D:$D,$H8928,DATA_GOC!$E:$E,$C8928,DATA_GOC!$F:$F,"Xuất nội bộ từ téc",DATA_GOC!$B:$B,"&gt;="&amp;$D8928,DATA_GOC!$B:$B,"&lt;="&amp;$E8928))</f>
        <v/>
      </c>
      <c r="J8928" s="59">
        <f t="shared" si="28"/>
        <v>0</v>
      </c>
      <c r="K8928" s="59">
        <f t="shared" si="29"/>
        <v>0</v>
      </c>
      <c r="L8928" s="59">
        <f t="shared" si="30"/>
        <v>0</v>
      </c>
      <c r="M8928" s="59">
        <f t="shared" si="31"/>
        <v>0</v>
      </c>
    </row>
    <row r="8929" ht="15.0" hidden="1" customHeight="1">
      <c r="A8929" s="59">
        <f t="shared" si="20"/>
        <v>145</v>
      </c>
      <c r="B8929" s="59" t="str">
        <f t="shared" si="21"/>
        <v/>
      </c>
      <c r="C8929" s="59" t="str">
        <f t="shared" si="22"/>
        <v/>
      </c>
      <c r="D8929" s="45" t="str">
        <f t="shared" si="23"/>
        <v/>
      </c>
      <c r="E8929" s="45" t="str">
        <f t="shared" si="24"/>
        <v/>
      </c>
      <c r="F8929" s="59" t="str">
        <f t="shared" si="25"/>
        <v/>
      </c>
      <c r="G8929" s="59" t="str">
        <f t="shared" si="26"/>
        <v/>
      </c>
      <c r="H8929" s="59" t="str">
        <f t="shared" si="27"/>
        <v>28C03044</v>
      </c>
      <c r="I8929" s="59" t="str">
        <f>IF(OR($A8929="",$C8929="",$D8929="",$E8929="",$H8929=""),"",SUMIFS(DATA_GOC!$H:$H,DATA_GOC!$A:$A,"BOM",DATA_GOC!$D:$D,$H8929,DATA_GOC!$E:$E,$C8929,DATA_GOC!$F:$F,"Xuất nội bộ từ téc",DATA_GOC!$B:$B,"&gt;="&amp;$D8929,DATA_GOC!$B:$B,"&lt;="&amp;$E8929))</f>
        <v/>
      </c>
      <c r="J8929" s="59">
        <f t="shared" si="28"/>
        <v>0</v>
      </c>
      <c r="K8929" s="59">
        <f t="shared" si="29"/>
        <v>0</v>
      </c>
      <c r="L8929" s="59">
        <f t="shared" si="30"/>
        <v>0</v>
      </c>
      <c r="M8929" s="59">
        <f t="shared" si="31"/>
        <v>0</v>
      </c>
    </row>
    <row r="8930" ht="15.0" hidden="1" customHeight="1">
      <c r="A8930" s="59">
        <f t="shared" si="20"/>
        <v>145</v>
      </c>
      <c r="B8930" s="59" t="str">
        <f t="shared" si="21"/>
        <v/>
      </c>
      <c r="C8930" s="59" t="str">
        <f t="shared" si="22"/>
        <v/>
      </c>
      <c r="D8930" s="45" t="str">
        <f t="shared" si="23"/>
        <v/>
      </c>
      <c r="E8930" s="45" t="str">
        <f t="shared" si="24"/>
        <v/>
      </c>
      <c r="F8930" s="59" t="str">
        <f t="shared" si="25"/>
        <v/>
      </c>
      <c r="G8930" s="59" t="str">
        <f t="shared" si="26"/>
        <v/>
      </c>
      <c r="H8930" s="59" t="str">
        <f t="shared" si="27"/>
        <v>Máy lu lốp</v>
      </c>
      <c r="I8930" s="59" t="str">
        <f>IF(OR($A8930="",$C8930="",$D8930="",$E8930="",$H8930=""),"",SUMIFS(DATA_GOC!$H:$H,DATA_GOC!$A:$A,"BOM",DATA_GOC!$D:$D,$H8930,DATA_GOC!$E:$E,$C8930,DATA_GOC!$F:$F,"Xuất nội bộ từ téc",DATA_GOC!$B:$B,"&gt;="&amp;$D8930,DATA_GOC!$B:$B,"&lt;="&amp;$E8930))</f>
        <v/>
      </c>
      <c r="J8930" s="59">
        <f t="shared" si="28"/>
        <v>0</v>
      </c>
      <c r="K8930" s="59">
        <f t="shared" si="29"/>
        <v>0</v>
      </c>
      <c r="L8930" s="59">
        <f t="shared" si="30"/>
        <v>0</v>
      </c>
      <c r="M8930" s="59">
        <f t="shared" si="31"/>
        <v>0</v>
      </c>
    </row>
    <row r="8931" ht="15.0" hidden="1" customHeight="1">
      <c r="A8931" s="59">
        <f t="shared" si="20"/>
        <v>145</v>
      </c>
      <c r="B8931" s="59" t="str">
        <f t="shared" si="21"/>
        <v/>
      </c>
      <c r="C8931" s="59" t="str">
        <f t="shared" si="22"/>
        <v/>
      </c>
      <c r="D8931" s="45" t="str">
        <f t="shared" si="23"/>
        <v/>
      </c>
      <c r="E8931" s="45" t="str">
        <f t="shared" si="24"/>
        <v/>
      </c>
      <c r="F8931" s="59" t="str">
        <f t="shared" si="25"/>
        <v/>
      </c>
      <c r="G8931" s="59" t="str">
        <f t="shared" si="26"/>
        <v/>
      </c>
      <c r="H8931" s="59" t="str">
        <f t="shared" si="27"/>
        <v>Xe 600148</v>
      </c>
      <c r="I8931" s="59" t="str">
        <f>IF(OR($A8931="",$C8931="",$D8931="",$E8931="",$H8931=""),"",SUMIFS(DATA_GOC!$H:$H,DATA_GOC!$A:$A,"BOM",DATA_GOC!$D:$D,$H8931,DATA_GOC!$E:$E,$C8931,DATA_GOC!$F:$F,"Xuất nội bộ từ téc",DATA_GOC!$B:$B,"&gt;="&amp;$D8931,DATA_GOC!$B:$B,"&lt;="&amp;$E8931))</f>
        <v/>
      </c>
      <c r="J8931" s="59">
        <f t="shared" si="28"/>
        <v>0</v>
      </c>
      <c r="K8931" s="59">
        <f t="shared" si="29"/>
        <v>0</v>
      </c>
      <c r="L8931" s="59">
        <f t="shared" si="30"/>
        <v>0</v>
      </c>
      <c r="M8931" s="59">
        <f t="shared" si="31"/>
        <v>0</v>
      </c>
    </row>
    <row r="8932" ht="15.0" hidden="1" customHeight="1">
      <c r="A8932" s="59">
        <f t="shared" si="20"/>
        <v>145</v>
      </c>
      <c r="B8932" s="59" t="str">
        <f t="shared" si="21"/>
        <v/>
      </c>
      <c r="C8932" s="59" t="str">
        <f t="shared" si="22"/>
        <v/>
      </c>
      <c r="D8932" s="45" t="str">
        <f t="shared" si="23"/>
        <v/>
      </c>
      <c r="E8932" s="45" t="str">
        <f t="shared" si="24"/>
        <v/>
      </c>
      <c r="F8932" s="59" t="str">
        <f t="shared" si="25"/>
        <v/>
      </c>
      <c r="G8932" s="59" t="str">
        <f t="shared" si="26"/>
        <v/>
      </c>
      <c r="H8932" s="59" t="str">
        <f t="shared" si="27"/>
        <v>Xe ben mới</v>
      </c>
      <c r="I8932" s="59" t="str">
        <f>IF(OR($A8932="",$C8932="",$D8932="",$E8932="",$H8932=""),"",SUMIFS(DATA_GOC!$H:$H,DATA_GOC!$A:$A,"BOM",DATA_GOC!$D:$D,$H8932,DATA_GOC!$E:$E,$C8932,DATA_GOC!$F:$F,"Xuất nội bộ từ téc",DATA_GOC!$B:$B,"&gt;="&amp;$D8932,DATA_GOC!$B:$B,"&lt;="&amp;$E8932))</f>
        <v/>
      </c>
      <c r="J8932" s="59">
        <f t="shared" si="28"/>
        <v>0</v>
      </c>
      <c r="K8932" s="59">
        <f t="shared" si="29"/>
        <v>0</v>
      </c>
      <c r="L8932" s="59">
        <f t="shared" si="30"/>
        <v>0</v>
      </c>
      <c r="M8932" s="59">
        <f t="shared" si="31"/>
        <v>0</v>
      </c>
    </row>
    <row r="8933" ht="15.0" hidden="1" customHeight="1">
      <c r="A8933" s="59">
        <f t="shared" si="20"/>
        <v>146</v>
      </c>
      <c r="B8933" s="59" t="str">
        <f t="shared" si="21"/>
        <v/>
      </c>
      <c r="C8933" s="59" t="str">
        <f t="shared" si="22"/>
        <v/>
      </c>
      <c r="D8933" s="59" t="str">
        <f t="shared" si="23"/>
        <v/>
      </c>
      <c r="E8933" s="59" t="str">
        <f t="shared" si="24"/>
        <v/>
      </c>
      <c r="F8933" s="59" t="str">
        <f t="shared" si="25"/>
        <v/>
      </c>
      <c r="G8933" s="59" t="str">
        <f t="shared" si="26"/>
        <v/>
      </c>
      <c r="H8933" s="59" t="str">
        <f t="shared" si="27"/>
        <v>19H09482</v>
      </c>
      <c r="I8933" s="59" t="str">
        <f>IF(OR($A8933="",$C8933="",$D8933="",$E8933="",$H8933=""),"",SUMIFS(DATA_GOC!$H:$H,DATA_GOC!$A:$A,"BOM",DATA_GOC!$D:$D,$H8933,DATA_GOC!$E:$E,$C8933,DATA_GOC!$F:$F,"Xuất nội bộ từ téc",DATA_GOC!$B:$B,"&gt;="&amp;$D8933,DATA_GOC!$B:$B,"&lt;="&amp;$E8933))</f>
        <v/>
      </c>
      <c r="J8933" s="59">
        <f t="shared" si="28"/>
        <v>0</v>
      </c>
      <c r="K8933" s="59">
        <f t="shared" si="29"/>
        <v>0</v>
      </c>
      <c r="L8933" s="59">
        <f t="shared" si="30"/>
        <v>0</v>
      </c>
      <c r="M8933" s="59">
        <f t="shared" si="31"/>
        <v>0</v>
      </c>
    </row>
    <row r="8934" ht="15.0" hidden="1" customHeight="1">
      <c r="A8934" s="59">
        <f t="shared" si="20"/>
        <v>146</v>
      </c>
      <c r="B8934" s="59" t="str">
        <f t="shared" si="21"/>
        <v/>
      </c>
      <c r="C8934" s="59" t="str">
        <f t="shared" si="22"/>
        <v/>
      </c>
      <c r="D8934" s="59" t="str">
        <f t="shared" si="23"/>
        <v/>
      </c>
      <c r="E8934" s="59" t="str">
        <f t="shared" si="24"/>
        <v/>
      </c>
      <c r="F8934" s="59" t="str">
        <f t="shared" si="25"/>
        <v/>
      </c>
      <c r="G8934" s="59" t="str">
        <f t="shared" si="26"/>
        <v/>
      </c>
      <c r="H8934" s="59" t="str">
        <f t="shared" si="27"/>
        <v>28A30696</v>
      </c>
      <c r="I8934" s="59" t="str">
        <f>IF(OR($A8934="",$C8934="",$D8934="",$E8934="",$H8934=""),"",SUMIFS(DATA_GOC!$H:$H,DATA_GOC!$A:$A,"BOM",DATA_GOC!$D:$D,$H8934,DATA_GOC!$E:$E,$C8934,DATA_GOC!$F:$F,"Xuất nội bộ từ téc",DATA_GOC!$B:$B,"&gt;="&amp;$D8934,DATA_GOC!$B:$B,"&lt;="&amp;$E8934))</f>
        <v/>
      </c>
      <c r="J8934" s="59">
        <f t="shared" si="28"/>
        <v>0</v>
      </c>
      <c r="K8934" s="59">
        <f t="shared" si="29"/>
        <v>0</v>
      </c>
      <c r="L8934" s="59">
        <f t="shared" si="30"/>
        <v>0</v>
      </c>
      <c r="M8934" s="59">
        <f t="shared" si="31"/>
        <v>0</v>
      </c>
    </row>
    <row r="8935" ht="15.0" hidden="1" customHeight="1">
      <c r="A8935" s="59">
        <f t="shared" si="20"/>
        <v>146</v>
      </c>
      <c r="B8935" s="59" t="str">
        <f t="shared" si="21"/>
        <v/>
      </c>
      <c r="C8935" s="59" t="str">
        <f t="shared" si="22"/>
        <v/>
      </c>
      <c r="D8935" s="59" t="str">
        <f t="shared" si="23"/>
        <v/>
      </c>
      <c r="E8935" s="59" t="str">
        <f t="shared" si="24"/>
        <v/>
      </c>
      <c r="F8935" s="59" t="str">
        <f t="shared" si="25"/>
        <v/>
      </c>
      <c r="G8935" s="59" t="str">
        <f t="shared" si="26"/>
        <v/>
      </c>
      <c r="H8935" s="59" t="str">
        <f t="shared" si="27"/>
        <v>28C00462</v>
      </c>
      <c r="I8935" s="59" t="str">
        <f>IF(OR($A8935="",$C8935="",$D8935="",$E8935="",$H8935=""),"",SUMIFS(DATA_GOC!$H:$H,DATA_GOC!$A:$A,"BOM",DATA_GOC!$D:$D,$H8935,DATA_GOC!$E:$E,$C8935,DATA_GOC!$F:$F,"Xuất nội bộ từ téc",DATA_GOC!$B:$B,"&gt;="&amp;$D8935,DATA_GOC!$B:$B,"&lt;="&amp;$E8935))</f>
        <v/>
      </c>
      <c r="J8935" s="59">
        <f t="shared" si="28"/>
        <v>0</v>
      </c>
      <c r="K8935" s="59">
        <f t="shared" si="29"/>
        <v>0</v>
      </c>
      <c r="L8935" s="59">
        <f t="shared" si="30"/>
        <v>0</v>
      </c>
      <c r="M8935" s="59">
        <f t="shared" si="31"/>
        <v>0</v>
      </c>
    </row>
    <row r="8936" ht="15.0" hidden="1" customHeight="1">
      <c r="A8936" s="59">
        <f t="shared" si="20"/>
        <v>146</v>
      </c>
      <c r="B8936" s="59" t="str">
        <f t="shared" si="21"/>
        <v/>
      </c>
      <c r="C8936" s="59" t="str">
        <f t="shared" si="22"/>
        <v/>
      </c>
      <c r="D8936" s="59" t="str">
        <f t="shared" si="23"/>
        <v/>
      </c>
      <c r="E8936" s="59" t="str">
        <f t="shared" si="24"/>
        <v/>
      </c>
      <c r="F8936" s="59" t="str">
        <f t="shared" si="25"/>
        <v/>
      </c>
      <c r="G8936" s="59" t="str">
        <f t="shared" si="26"/>
        <v/>
      </c>
      <c r="H8936" s="59" t="str">
        <f t="shared" si="27"/>
        <v>28C01165</v>
      </c>
      <c r="I8936" s="59" t="str">
        <f>IF(OR($A8936="",$C8936="",$D8936="",$E8936="",$H8936=""),"",SUMIFS(DATA_GOC!$H:$H,DATA_GOC!$A:$A,"BOM",DATA_GOC!$D:$D,$H8936,DATA_GOC!$E:$E,$C8936,DATA_GOC!$F:$F,"Xuất nội bộ từ téc",DATA_GOC!$B:$B,"&gt;="&amp;$D8936,DATA_GOC!$B:$B,"&lt;="&amp;$E8936))</f>
        <v/>
      </c>
      <c r="J8936" s="59">
        <f t="shared" si="28"/>
        <v>0</v>
      </c>
      <c r="K8936" s="59">
        <f t="shared" si="29"/>
        <v>0</v>
      </c>
      <c r="L8936" s="59">
        <f t="shared" si="30"/>
        <v>0</v>
      </c>
      <c r="M8936" s="59">
        <f t="shared" si="31"/>
        <v>0</v>
      </c>
    </row>
    <row r="8937" ht="15.0" hidden="1" customHeight="1">
      <c r="A8937" s="59">
        <f t="shared" si="20"/>
        <v>146</v>
      </c>
      <c r="B8937" s="59" t="str">
        <f t="shared" si="21"/>
        <v/>
      </c>
      <c r="C8937" s="59" t="str">
        <f t="shared" si="22"/>
        <v/>
      </c>
      <c r="D8937" s="59" t="str">
        <f t="shared" si="23"/>
        <v/>
      </c>
      <c r="E8937" s="59" t="str">
        <f t="shared" si="24"/>
        <v/>
      </c>
      <c r="F8937" s="59" t="str">
        <f t="shared" si="25"/>
        <v/>
      </c>
      <c r="G8937" s="59" t="str">
        <f t="shared" si="26"/>
        <v/>
      </c>
      <c r="H8937" s="59" t="str">
        <f t="shared" si="27"/>
        <v>28C01406</v>
      </c>
      <c r="I8937" s="59" t="str">
        <f>IF(OR($A8937="",$C8937="",$D8937="",$E8937="",$H8937=""),"",SUMIFS(DATA_GOC!$H:$H,DATA_GOC!$A:$A,"BOM",DATA_GOC!$D:$D,$H8937,DATA_GOC!$E:$E,$C8937,DATA_GOC!$F:$F,"Xuất nội bộ từ téc",DATA_GOC!$B:$B,"&gt;="&amp;$D8937,DATA_GOC!$B:$B,"&lt;="&amp;$E8937))</f>
        <v/>
      </c>
      <c r="J8937" s="59">
        <f t="shared" si="28"/>
        <v>0</v>
      </c>
      <c r="K8937" s="59">
        <f t="shared" si="29"/>
        <v>0</v>
      </c>
      <c r="L8937" s="59">
        <f t="shared" si="30"/>
        <v>0</v>
      </c>
      <c r="M8937" s="59">
        <f t="shared" si="31"/>
        <v>0</v>
      </c>
    </row>
    <row r="8938" ht="15.0" hidden="1" customHeight="1">
      <c r="A8938" s="59">
        <f t="shared" si="20"/>
        <v>146</v>
      </c>
      <c r="B8938" s="59" t="str">
        <f t="shared" si="21"/>
        <v/>
      </c>
      <c r="C8938" s="59" t="str">
        <f t="shared" si="22"/>
        <v/>
      </c>
      <c r="D8938" s="59" t="str">
        <f t="shared" si="23"/>
        <v/>
      </c>
      <c r="E8938" s="59" t="str">
        <f t="shared" si="24"/>
        <v/>
      </c>
      <c r="F8938" s="59" t="str">
        <f t="shared" si="25"/>
        <v/>
      </c>
      <c r="G8938" s="59" t="str">
        <f t="shared" si="26"/>
        <v/>
      </c>
      <c r="H8938" s="59" t="str">
        <f t="shared" si="27"/>
        <v>28C01544</v>
      </c>
      <c r="I8938" s="59" t="str">
        <f>IF(OR($A8938="",$C8938="",$D8938="",$E8938="",$H8938=""),"",SUMIFS(DATA_GOC!$H:$H,DATA_GOC!$A:$A,"BOM",DATA_GOC!$D:$D,$H8938,DATA_GOC!$E:$E,$C8938,DATA_GOC!$F:$F,"Xuất nội bộ từ téc",DATA_GOC!$B:$B,"&gt;="&amp;$D8938,DATA_GOC!$B:$B,"&lt;="&amp;$E8938))</f>
        <v/>
      </c>
      <c r="J8938" s="59">
        <f t="shared" si="28"/>
        <v>0</v>
      </c>
      <c r="K8938" s="59">
        <f t="shared" si="29"/>
        <v>0</v>
      </c>
      <c r="L8938" s="59">
        <f t="shared" si="30"/>
        <v>0</v>
      </c>
      <c r="M8938" s="59">
        <f t="shared" si="31"/>
        <v>0</v>
      </c>
    </row>
    <row r="8939" ht="15.0" hidden="1" customHeight="1">
      <c r="A8939" s="59">
        <f t="shared" si="20"/>
        <v>146</v>
      </c>
      <c r="B8939" s="59" t="str">
        <f t="shared" si="21"/>
        <v/>
      </c>
      <c r="C8939" s="59" t="str">
        <f t="shared" si="22"/>
        <v/>
      </c>
      <c r="D8939" s="59" t="str">
        <f t="shared" si="23"/>
        <v/>
      </c>
      <c r="E8939" s="59" t="str">
        <f t="shared" si="24"/>
        <v/>
      </c>
      <c r="F8939" s="59" t="str">
        <f t="shared" si="25"/>
        <v/>
      </c>
      <c r="G8939" s="59" t="str">
        <f t="shared" si="26"/>
        <v/>
      </c>
      <c r="H8939" s="59" t="str">
        <f t="shared" si="27"/>
        <v>28C01622</v>
      </c>
      <c r="I8939" s="59" t="str">
        <f>IF(OR($A8939="",$C8939="",$D8939="",$E8939="",$H8939=""),"",SUMIFS(DATA_GOC!$H:$H,DATA_GOC!$A:$A,"BOM",DATA_GOC!$D:$D,$H8939,DATA_GOC!$E:$E,$C8939,DATA_GOC!$F:$F,"Xuất nội bộ từ téc",DATA_GOC!$B:$B,"&gt;="&amp;$D8939,DATA_GOC!$B:$B,"&lt;="&amp;$E8939))</f>
        <v/>
      </c>
      <c r="J8939" s="59">
        <f t="shared" si="28"/>
        <v>0</v>
      </c>
      <c r="K8939" s="59">
        <f t="shared" si="29"/>
        <v>0</v>
      </c>
      <c r="L8939" s="59">
        <f t="shared" si="30"/>
        <v>0</v>
      </c>
      <c r="M8939" s="59">
        <f t="shared" si="31"/>
        <v>0</v>
      </c>
    </row>
    <row r="8940" ht="15.0" hidden="1" customHeight="1">
      <c r="A8940" s="59">
        <f t="shared" si="20"/>
        <v>146</v>
      </c>
      <c r="B8940" s="59" t="str">
        <f t="shared" si="21"/>
        <v/>
      </c>
      <c r="C8940" s="59" t="str">
        <f t="shared" si="22"/>
        <v/>
      </c>
      <c r="D8940" s="59" t="str">
        <f t="shared" si="23"/>
        <v/>
      </c>
      <c r="E8940" s="59" t="str">
        <f t="shared" si="24"/>
        <v/>
      </c>
      <c r="F8940" s="59" t="str">
        <f t="shared" si="25"/>
        <v/>
      </c>
      <c r="G8940" s="59" t="str">
        <f t="shared" si="26"/>
        <v/>
      </c>
      <c r="H8940" s="59" t="str">
        <f t="shared" si="27"/>
        <v>28C01647</v>
      </c>
      <c r="I8940" s="59" t="str">
        <f>IF(OR($A8940="",$C8940="",$D8940="",$E8940="",$H8940=""),"",SUMIFS(DATA_GOC!$H:$H,DATA_GOC!$A:$A,"BOM",DATA_GOC!$D:$D,$H8940,DATA_GOC!$E:$E,$C8940,DATA_GOC!$F:$F,"Xuất nội bộ từ téc",DATA_GOC!$B:$B,"&gt;="&amp;$D8940,DATA_GOC!$B:$B,"&lt;="&amp;$E8940))</f>
        <v/>
      </c>
      <c r="J8940" s="59">
        <f t="shared" si="28"/>
        <v>0</v>
      </c>
      <c r="K8940" s="59">
        <f t="shared" si="29"/>
        <v>0</v>
      </c>
      <c r="L8940" s="59">
        <f t="shared" si="30"/>
        <v>0</v>
      </c>
      <c r="M8940" s="59">
        <f t="shared" si="31"/>
        <v>0</v>
      </c>
    </row>
    <row r="8941" ht="15.0" hidden="1" customHeight="1">
      <c r="A8941" s="59">
        <f t="shared" si="20"/>
        <v>146</v>
      </c>
      <c r="B8941" s="59" t="str">
        <f t="shared" si="21"/>
        <v/>
      </c>
      <c r="C8941" s="59" t="str">
        <f t="shared" si="22"/>
        <v/>
      </c>
      <c r="D8941" s="59" t="str">
        <f t="shared" si="23"/>
        <v/>
      </c>
      <c r="E8941" s="59" t="str">
        <f t="shared" si="24"/>
        <v/>
      </c>
      <c r="F8941" s="59" t="str">
        <f t="shared" si="25"/>
        <v/>
      </c>
      <c r="G8941" s="59" t="str">
        <f t="shared" si="26"/>
        <v/>
      </c>
      <c r="H8941" s="59" t="str">
        <f t="shared" si="27"/>
        <v>28C01731</v>
      </c>
      <c r="I8941" s="59" t="str">
        <f>IF(OR($A8941="",$C8941="",$D8941="",$E8941="",$H8941=""),"",SUMIFS(DATA_GOC!$H:$H,DATA_GOC!$A:$A,"BOM",DATA_GOC!$D:$D,$H8941,DATA_GOC!$E:$E,$C8941,DATA_GOC!$F:$F,"Xuất nội bộ từ téc",DATA_GOC!$B:$B,"&gt;="&amp;$D8941,DATA_GOC!$B:$B,"&lt;="&amp;$E8941))</f>
        <v/>
      </c>
      <c r="J8941" s="59">
        <f t="shared" si="28"/>
        <v>0</v>
      </c>
      <c r="K8941" s="59">
        <f t="shared" si="29"/>
        <v>0</v>
      </c>
      <c r="L8941" s="59">
        <f t="shared" si="30"/>
        <v>0</v>
      </c>
      <c r="M8941" s="59">
        <f t="shared" si="31"/>
        <v>0</v>
      </c>
    </row>
    <row r="8942" ht="15.0" hidden="1" customHeight="1">
      <c r="A8942" s="59">
        <f t="shared" si="20"/>
        <v>146</v>
      </c>
      <c r="B8942" s="59" t="str">
        <f t="shared" si="21"/>
        <v/>
      </c>
      <c r="C8942" s="59" t="str">
        <f t="shared" si="22"/>
        <v/>
      </c>
      <c r="D8942" s="59" t="str">
        <f t="shared" si="23"/>
        <v/>
      </c>
      <c r="E8942" s="59" t="str">
        <f t="shared" si="24"/>
        <v/>
      </c>
      <c r="F8942" s="59" t="str">
        <f t="shared" si="25"/>
        <v/>
      </c>
      <c r="G8942" s="59" t="str">
        <f t="shared" si="26"/>
        <v/>
      </c>
      <c r="H8942" s="59" t="str">
        <f t="shared" si="27"/>
        <v>28C01743</v>
      </c>
      <c r="I8942" s="59" t="str">
        <f>IF(OR($A8942="",$C8942="",$D8942="",$E8942="",$H8942=""),"",SUMIFS(DATA_GOC!$H:$H,DATA_GOC!$A:$A,"BOM",DATA_GOC!$D:$D,$H8942,DATA_GOC!$E:$E,$C8942,DATA_GOC!$F:$F,"Xuất nội bộ từ téc",DATA_GOC!$B:$B,"&gt;="&amp;$D8942,DATA_GOC!$B:$B,"&lt;="&amp;$E8942))</f>
        <v/>
      </c>
      <c r="J8942" s="59">
        <f t="shared" si="28"/>
        <v>0</v>
      </c>
      <c r="K8942" s="59">
        <f t="shared" si="29"/>
        <v>0</v>
      </c>
      <c r="L8942" s="59">
        <f t="shared" si="30"/>
        <v>0</v>
      </c>
      <c r="M8942" s="59">
        <f t="shared" si="31"/>
        <v>0</v>
      </c>
    </row>
    <row r="8943" ht="15.0" hidden="1" customHeight="1">
      <c r="A8943" s="59">
        <f t="shared" si="20"/>
        <v>146</v>
      </c>
      <c r="B8943" s="59" t="str">
        <f t="shared" si="21"/>
        <v/>
      </c>
      <c r="C8943" s="59" t="str">
        <f t="shared" si="22"/>
        <v/>
      </c>
      <c r="D8943" s="59" t="str">
        <f t="shared" si="23"/>
        <v/>
      </c>
      <c r="E8943" s="59" t="str">
        <f t="shared" si="24"/>
        <v/>
      </c>
      <c r="F8943" s="59" t="str">
        <f t="shared" si="25"/>
        <v/>
      </c>
      <c r="G8943" s="59" t="str">
        <f t="shared" si="26"/>
        <v/>
      </c>
      <c r="H8943" s="59" t="str">
        <f t="shared" si="27"/>
        <v>28C02106</v>
      </c>
      <c r="I8943" s="59" t="str">
        <f>IF(OR($A8943="",$C8943="",$D8943="",$E8943="",$H8943=""),"",SUMIFS(DATA_GOC!$H:$H,DATA_GOC!$A:$A,"BOM",DATA_GOC!$D:$D,$H8943,DATA_GOC!$E:$E,$C8943,DATA_GOC!$F:$F,"Xuất nội bộ từ téc",DATA_GOC!$B:$B,"&gt;="&amp;$D8943,DATA_GOC!$B:$B,"&lt;="&amp;$E8943))</f>
        <v/>
      </c>
      <c r="J8943" s="59">
        <f t="shared" si="28"/>
        <v>0</v>
      </c>
      <c r="K8943" s="59">
        <f t="shared" si="29"/>
        <v>0</v>
      </c>
      <c r="L8943" s="59">
        <f t="shared" si="30"/>
        <v>0</v>
      </c>
      <c r="M8943" s="59">
        <f t="shared" si="31"/>
        <v>0</v>
      </c>
    </row>
    <row r="8944" ht="15.0" hidden="1" customHeight="1">
      <c r="A8944" s="59">
        <f t="shared" si="20"/>
        <v>146</v>
      </c>
      <c r="B8944" s="59" t="str">
        <f t="shared" si="21"/>
        <v/>
      </c>
      <c r="C8944" s="59" t="str">
        <f t="shared" si="22"/>
        <v/>
      </c>
      <c r="D8944" s="59" t="str">
        <f t="shared" si="23"/>
        <v/>
      </c>
      <c r="E8944" s="59" t="str">
        <f t="shared" si="24"/>
        <v/>
      </c>
      <c r="F8944" s="59" t="str">
        <f t="shared" si="25"/>
        <v/>
      </c>
      <c r="G8944" s="59" t="str">
        <f t="shared" si="26"/>
        <v/>
      </c>
      <c r="H8944" s="59" t="str">
        <f t="shared" si="27"/>
        <v>28C02410</v>
      </c>
      <c r="I8944" s="59" t="str">
        <f>IF(OR($A8944="",$C8944="",$D8944="",$E8944="",$H8944=""),"",SUMIFS(DATA_GOC!$H:$H,DATA_GOC!$A:$A,"BOM",DATA_GOC!$D:$D,$H8944,DATA_GOC!$E:$E,$C8944,DATA_GOC!$F:$F,"Xuất nội bộ từ téc",DATA_GOC!$B:$B,"&gt;="&amp;$D8944,DATA_GOC!$B:$B,"&lt;="&amp;$E8944))</f>
        <v/>
      </c>
      <c r="J8944" s="59">
        <f t="shared" si="28"/>
        <v>0</v>
      </c>
      <c r="K8944" s="59">
        <f t="shared" si="29"/>
        <v>0</v>
      </c>
      <c r="L8944" s="59">
        <f t="shared" si="30"/>
        <v>0</v>
      </c>
      <c r="M8944" s="59">
        <f t="shared" si="31"/>
        <v>0</v>
      </c>
    </row>
    <row r="8945" ht="15.0" hidden="1" customHeight="1">
      <c r="A8945" s="59">
        <f t="shared" si="20"/>
        <v>146</v>
      </c>
      <c r="B8945" s="59" t="str">
        <f t="shared" si="21"/>
        <v/>
      </c>
      <c r="C8945" s="59" t="str">
        <f t="shared" si="22"/>
        <v/>
      </c>
      <c r="D8945" s="59" t="str">
        <f t="shared" si="23"/>
        <v/>
      </c>
      <c r="E8945" s="59" t="str">
        <f t="shared" si="24"/>
        <v/>
      </c>
      <c r="F8945" s="59" t="str">
        <f t="shared" si="25"/>
        <v/>
      </c>
      <c r="G8945" s="59" t="str">
        <f t="shared" si="26"/>
        <v/>
      </c>
      <c r="H8945" s="59" t="str">
        <f t="shared" si="27"/>
        <v>28C02545</v>
      </c>
      <c r="I8945" s="59" t="str">
        <f>IF(OR($A8945="",$C8945="",$D8945="",$E8945="",$H8945=""),"",SUMIFS(DATA_GOC!$H:$H,DATA_GOC!$A:$A,"BOM",DATA_GOC!$D:$D,$H8945,DATA_GOC!$E:$E,$C8945,DATA_GOC!$F:$F,"Xuất nội bộ từ téc",DATA_GOC!$B:$B,"&gt;="&amp;$D8945,DATA_GOC!$B:$B,"&lt;="&amp;$E8945))</f>
        <v/>
      </c>
      <c r="J8945" s="59">
        <f t="shared" si="28"/>
        <v>0</v>
      </c>
      <c r="K8945" s="59">
        <f t="shared" si="29"/>
        <v>0</v>
      </c>
      <c r="L8945" s="59">
        <f t="shared" si="30"/>
        <v>0</v>
      </c>
      <c r="M8945" s="59">
        <f t="shared" si="31"/>
        <v>0</v>
      </c>
    </row>
    <row r="8946" ht="15.0" hidden="1" customHeight="1">
      <c r="A8946" s="59">
        <f t="shared" si="20"/>
        <v>146</v>
      </c>
      <c r="B8946" s="59" t="str">
        <f t="shared" si="21"/>
        <v/>
      </c>
      <c r="C8946" s="59" t="str">
        <f t="shared" si="22"/>
        <v/>
      </c>
      <c r="D8946" s="59" t="str">
        <f t="shared" si="23"/>
        <v/>
      </c>
      <c r="E8946" s="59" t="str">
        <f t="shared" si="24"/>
        <v/>
      </c>
      <c r="F8946" s="59" t="str">
        <f t="shared" si="25"/>
        <v/>
      </c>
      <c r="G8946" s="59" t="str">
        <f t="shared" si="26"/>
        <v/>
      </c>
      <c r="H8946" s="59" t="str">
        <f t="shared" si="27"/>
        <v>28C02574</v>
      </c>
      <c r="I8946" s="59" t="str">
        <f>IF(OR($A8946="",$C8946="",$D8946="",$E8946="",$H8946=""),"",SUMIFS(DATA_GOC!$H:$H,DATA_GOC!$A:$A,"BOM",DATA_GOC!$D:$D,$H8946,DATA_GOC!$E:$E,$C8946,DATA_GOC!$F:$F,"Xuất nội bộ từ téc",DATA_GOC!$B:$B,"&gt;="&amp;$D8946,DATA_GOC!$B:$B,"&lt;="&amp;$E8946))</f>
        <v/>
      </c>
      <c r="J8946" s="59">
        <f t="shared" si="28"/>
        <v>0</v>
      </c>
      <c r="K8946" s="59">
        <f t="shared" si="29"/>
        <v>0</v>
      </c>
      <c r="L8946" s="59">
        <f t="shared" si="30"/>
        <v>0</v>
      </c>
      <c r="M8946" s="59">
        <f t="shared" si="31"/>
        <v>0</v>
      </c>
    </row>
    <row r="8947" ht="15.0" hidden="1" customHeight="1">
      <c r="A8947" s="59">
        <f t="shared" si="20"/>
        <v>146</v>
      </c>
      <c r="B8947" s="59" t="str">
        <f t="shared" si="21"/>
        <v/>
      </c>
      <c r="C8947" s="59" t="str">
        <f t="shared" si="22"/>
        <v/>
      </c>
      <c r="D8947" s="59" t="str">
        <f t="shared" si="23"/>
        <v/>
      </c>
      <c r="E8947" s="59" t="str">
        <f t="shared" si="24"/>
        <v/>
      </c>
      <c r="F8947" s="59" t="str">
        <f t="shared" si="25"/>
        <v/>
      </c>
      <c r="G8947" s="59" t="str">
        <f t="shared" si="26"/>
        <v/>
      </c>
      <c r="H8947" s="59" t="str">
        <f t="shared" si="27"/>
        <v>28C02770</v>
      </c>
      <c r="I8947" s="59" t="str">
        <f>IF(OR($A8947="",$C8947="",$D8947="",$E8947="",$H8947=""),"",SUMIFS(DATA_GOC!$H:$H,DATA_GOC!$A:$A,"BOM",DATA_GOC!$D:$D,$H8947,DATA_GOC!$E:$E,$C8947,DATA_GOC!$F:$F,"Xuất nội bộ từ téc",DATA_GOC!$B:$B,"&gt;="&amp;$D8947,DATA_GOC!$B:$B,"&lt;="&amp;$E8947))</f>
        <v/>
      </c>
      <c r="J8947" s="59">
        <f t="shared" si="28"/>
        <v>0</v>
      </c>
      <c r="K8947" s="59">
        <f t="shared" si="29"/>
        <v>0</v>
      </c>
      <c r="L8947" s="59">
        <f t="shared" si="30"/>
        <v>0</v>
      </c>
      <c r="M8947" s="59">
        <f t="shared" si="31"/>
        <v>0</v>
      </c>
    </row>
    <row r="8948" ht="15.0" hidden="1" customHeight="1">
      <c r="A8948" s="59">
        <f t="shared" si="20"/>
        <v>146</v>
      </c>
      <c r="B8948" s="59" t="str">
        <f t="shared" si="21"/>
        <v/>
      </c>
      <c r="C8948" s="59" t="str">
        <f t="shared" si="22"/>
        <v/>
      </c>
      <c r="D8948" s="59" t="str">
        <f t="shared" si="23"/>
        <v/>
      </c>
      <c r="E8948" s="59" t="str">
        <f t="shared" si="24"/>
        <v/>
      </c>
      <c r="F8948" s="59" t="str">
        <f t="shared" si="25"/>
        <v/>
      </c>
      <c r="G8948" s="59" t="str">
        <f t="shared" si="26"/>
        <v/>
      </c>
      <c r="H8948" s="59" t="str">
        <f t="shared" si="27"/>
        <v>28C02986</v>
      </c>
      <c r="I8948" s="59" t="str">
        <f>IF(OR($A8948="",$C8948="",$D8948="",$E8948="",$H8948=""),"",SUMIFS(DATA_GOC!$H:$H,DATA_GOC!$A:$A,"BOM",DATA_GOC!$D:$D,$H8948,DATA_GOC!$E:$E,$C8948,DATA_GOC!$F:$F,"Xuất nội bộ từ téc",DATA_GOC!$B:$B,"&gt;="&amp;$D8948,DATA_GOC!$B:$B,"&lt;="&amp;$E8948))</f>
        <v/>
      </c>
      <c r="J8948" s="59">
        <f t="shared" si="28"/>
        <v>0</v>
      </c>
      <c r="K8948" s="59">
        <f t="shared" si="29"/>
        <v>0</v>
      </c>
      <c r="L8948" s="59">
        <f t="shared" si="30"/>
        <v>0</v>
      </c>
      <c r="M8948" s="59">
        <f t="shared" si="31"/>
        <v>0</v>
      </c>
    </row>
    <row r="8949" ht="15.0" hidden="1" customHeight="1">
      <c r="A8949" s="59">
        <f t="shared" si="20"/>
        <v>146</v>
      </c>
      <c r="B8949" s="59" t="str">
        <f t="shared" si="21"/>
        <v/>
      </c>
      <c r="C8949" s="59" t="str">
        <f t="shared" si="22"/>
        <v/>
      </c>
      <c r="D8949" s="59" t="str">
        <f t="shared" si="23"/>
        <v/>
      </c>
      <c r="E8949" s="59" t="str">
        <f t="shared" si="24"/>
        <v/>
      </c>
      <c r="F8949" s="59" t="str">
        <f t="shared" si="25"/>
        <v/>
      </c>
      <c r="G8949" s="59" t="str">
        <f t="shared" si="26"/>
        <v/>
      </c>
      <c r="H8949" s="59" t="str">
        <f t="shared" si="27"/>
        <v>28C03261</v>
      </c>
      <c r="I8949" s="59" t="str">
        <f>IF(OR($A8949="",$C8949="",$D8949="",$E8949="",$H8949=""),"",SUMIFS(DATA_GOC!$H:$H,DATA_GOC!$A:$A,"BOM",DATA_GOC!$D:$D,$H8949,DATA_GOC!$E:$E,$C8949,DATA_GOC!$F:$F,"Xuất nội bộ từ téc",DATA_GOC!$B:$B,"&gt;="&amp;$D8949,DATA_GOC!$B:$B,"&lt;="&amp;$E8949))</f>
        <v/>
      </c>
      <c r="J8949" s="59">
        <f t="shared" si="28"/>
        <v>0</v>
      </c>
      <c r="K8949" s="59">
        <f t="shared" si="29"/>
        <v>0</v>
      </c>
      <c r="L8949" s="59">
        <f t="shared" si="30"/>
        <v>0</v>
      </c>
      <c r="M8949" s="59">
        <f t="shared" si="31"/>
        <v>0</v>
      </c>
    </row>
    <row r="8950" ht="15.0" hidden="1" customHeight="1">
      <c r="A8950" s="59">
        <f t="shared" si="20"/>
        <v>146</v>
      </c>
      <c r="B8950" s="59" t="str">
        <f t="shared" si="21"/>
        <v/>
      </c>
      <c r="C8950" s="59" t="str">
        <f t="shared" si="22"/>
        <v/>
      </c>
      <c r="D8950" s="59" t="str">
        <f t="shared" si="23"/>
        <v/>
      </c>
      <c r="E8950" s="59" t="str">
        <f t="shared" si="24"/>
        <v/>
      </c>
      <c r="F8950" s="59" t="str">
        <f t="shared" si="25"/>
        <v/>
      </c>
      <c r="G8950" s="59" t="str">
        <f t="shared" si="26"/>
        <v/>
      </c>
      <c r="H8950" s="59" t="str">
        <f t="shared" si="27"/>
        <v>28C03323</v>
      </c>
      <c r="I8950" s="59" t="str">
        <f>IF(OR($A8950="",$C8950="",$D8950="",$E8950="",$H8950=""),"",SUMIFS(DATA_GOC!$H:$H,DATA_GOC!$A:$A,"BOM",DATA_GOC!$D:$D,$H8950,DATA_GOC!$E:$E,$C8950,DATA_GOC!$F:$F,"Xuất nội bộ từ téc",DATA_GOC!$B:$B,"&gt;="&amp;$D8950,DATA_GOC!$B:$B,"&lt;="&amp;$E8950))</f>
        <v/>
      </c>
      <c r="J8950" s="59">
        <f t="shared" si="28"/>
        <v>0</v>
      </c>
      <c r="K8950" s="59">
        <f t="shared" si="29"/>
        <v>0</v>
      </c>
      <c r="L8950" s="59">
        <f t="shared" si="30"/>
        <v>0</v>
      </c>
      <c r="M8950" s="59">
        <f t="shared" si="31"/>
        <v>0</v>
      </c>
    </row>
    <row r="8951" ht="15.0" hidden="1" customHeight="1">
      <c r="A8951" s="59">
        <f t="shared" si="20"/>
        <v>146</v>
      </c>
      <c r="B8951" s="59" t="str">
        <f t="shared" si="21"/>
        <v/>
      </c>
      <c r="C8951" s="59" t="str">
        <f t="shared" si="22"/>
        <v/>
      </c>
      <c r="D8951" s="59" t="str">
        <f t="shared" si="23"/>
        <v/>
      </c>
      <c r="E8951" s="59" t="str">
        <f t="shared" si="24"/>
        <v/>
      </c>
      <c r="F8951" s="59" t="str">
        <f t="shared" si="25"/>
        <v/>
      </c>
      <c r="G8951" s="59" t="str">
        <f t="shared" si="26"/>
        <v/>
      </c>
      <c r="H8951" s="59" t="str">
        <f t="shared" si="27"/>
        <v>28C03385</v>
      </c>
      <c r="I8951" s="59" t="str">
        <f>IF(OR($A8951="",$C8951="",$D8951="",$E8951="",$H8951=""),"",SUMIFS(DATA_GOC!$H:$H,DATA_GOC!$A:$A,"BOM",DATA_GOC!$D:$D,$H8951,DATA_GOC!$E:$E,$C8951,DATA_GOC!$F:$F,"Xuất nội bộ từ téc",DATA_GOC!$B:$B,"&gt;="&amp;$D8951,DATA_GOC!$B:$B,"&lt;="&amp;$E8951))</f>
        <v/>
      </c>
      <c r="J8951" s="59">
        <f t="shared" si="28"/>
        <v>0</v>
      </c>
      <c r="K8951" s="59">
        <f t="shared" si="29"/>
        <v>0</v>
      </c>
      <c r="L8951" s="59">
        <f t="shared" si="30"/>
        <v>0</v>
      </c>
      <c r="M8951" s="59">
        <f t="shared" si="31"/>
        <v>0</v>
      </c>
    </row>
    <row r="8952" ht="15.0" hidden="1" customHeight="1">
      <c r="A8952" s="59">
        <f t="shared" si="20"/>
        <v>146</v>
      </c>
      <c r="B8952" s="59" t="str">
        <f t="shared" si="21"/>
        <v/>
      </c>
      <c r="C8952" s="59" t="str">
        <f t="shared" si="22"/>
        <v/>
      </c>
      <c r="D8952" s="59" t="str">
        <f t="shared" si="23"/>
        <v/>
      </c>
      <c r="E8952" s="59" t="str">
        <f t="shared" si="24"/>
        <v/>
      </c>
      <c r="F8952" s="59" t="str">
        <f t="shared" si="25"/>
        <v/>
      </c>
      <c r="G8952" s="59" t="str">
        <f t="shared" si="26"/>
        <v/>
      </c>
      <c r="H8952" s="59" t="str">
        <f t="shared" si="27"/>
        <v>28C03652</v>
      </c>
      <c r="I8952" s="59" t="str">
        <f>IF(OR($A8952="",$C8952="",$D8952="",$E8952="",$H8952=""),"",SUMIFS(DATA_GOC!$H:$H,DATA_GOC!$A:$A,"BOM",DATA_GOC!$D:$D,$H8952,DATA_GOC!$E:$E,$C8952,DATA_GOC!$F:$F,"Xuất nội bộ từ téc",DATA_GOC!$B:$B,"&gt;="&amp;$D8952,DATA_GOC!$B:$B,"&lt;="&amp;$E8952))</f>
        <v/>
      </c>
      <c r="J8952" s="59">
        <f t="shared" si="28"/>
        <v>0</v>
      </c>
      <c r="K8952" s="59">
        <f t="shared" si="29"/>
        <v>0</v>
      </c>
      <c r="L8952" s="59">
        <f t="shared" si="30"/>
        <v>0</v>
      </c>
      <c r="M8952" s="59">
        <f t="shared" si="31"/>
        <v>0</v>
      </c>
    </row>
    <row r="8953" ht="15.0" hidden="1" customHeight="1">
      <c r="A8953" s="59">
        <f t="shared" si="20"/>
        <v>146</v>
      </c>
      <c r="B8953" s="59" t="str">
        <f t="shared" si="21"/>
        <v/>
      </c>
      <c r="C8953" s="59" t="str">
        <f t="shared" si="22"/>
        <v/>
      </c>
      <c r="D8953" s="59" t="str">
        <f t="shared" si="23"/>
        <v/>
      </c>
      <c r="E8953" s="59" t="str">
        <f t="shared" si="24"/>
        <v/>
      </c>
      <c r="F8953" s="59" t="str">
        <f t="shared" si="25"/>
        <v/>
      </c>
      <c r="G8953" s="59" t="str">
        <f t="shared" si="26"/>
        <v/>
      </c>
      <c r="H8953" s="59" t="str">
        <f t="shared" si="27"/>
        <v>28C03695</v>
      </c>
      <c r="I8953" s="59" t="str">
        <f>IF(OR($A8953="",$C8953="",$D8953="",$E8953="",$H8953=""),"",SUMIFS(DATA_GOC!$H:$H,DATA_GOC!$A:$A,"BOM",DATA_GOC!$D:$D,$H8953,DATA_GOC!$E:$E,$C8953,DATA_GOC!$F:$F,"Xuất nội bộ từ téc",DATA_GOC!$B:$B,"&gt;="&amp;$D8953,DATA_GOC!$B:$B,"&lt;="&amp;$E8953))</f>
        <v/>
      </c>
      <c r="J8953" s="59">
        <f t="shared" si="28"/>
        <v>0</v>
      </c>
      <c r="K8953" s="59">
        <f t="shared" si="29"/>
        <v>0</v>
      </c>
      <c r="L8953" s="59">
        <f t="shared" si="30"/>
        <v>0</v>
      </c>
      <c r="M8953" s="59">
        <f t="shared" si="31"/>
        <v>0</v>
      </c>
    </row>
    <row r="8954" ht="15.0" hidden="1" customHeight="1">
      <c r="A8954" s="59">
        <f t="shared" si="20"/>
        <v>146</v>
      </c>
      <c r="B8954" s="59" t="str">
        <f t="shared" si="21"/>
        <v/>
      </c>
      <c r="C8954" s="59" t="str">
        <f t="shared" si="22"/>
        <v/>
      </c>
      <c r="D8954" s="59" t="str">
        <f t="shared" si="23"/>
        <v/>
      </c>
      <c r="E8954" s="59" t="str">
        <f t="shared" si="24"/>
        <v/>
      </c>
      <c r="F8954" s="59" t="str">
        <f t="shared" si="25"/>
        <v/>
      </c>
      <c r="G8954" s="59" t="str">
        <f t="shared" si="26"/>
        <v/>
      </c>
      <c r="H8954" s="59" t="str">
        <f t="shared" si="27"/>
        <v>28C03927</v>
      </c>
      <c r="I8954" s="59" t="str">
        <f>IF(OR($A8954="",$C8954="",$D8954="",$E8954="",$H8954=""),"",SUMIFS(DATA_GOC!$H:$H,DATA_GOC!$A:$A,"BOM",DATA_GOC!$D:$D,$H8954,DATA_GOC!$E:$E,$C8954,DATA_GOC!$F:$F,"Xuất nội bộ từ téc",DATA_GOC!$B:$B,"&gt;="&amp;$D8954,DATA_GOC!$B:$B,"&lt;="&amp;$E8954))</f>
        <v/>
      </c>
      <c r="J8954" s="59">
        <f t="shared" si="28"/>
        <v>0</v>
      </c>
      <c r="K8954" s="59">
        <f t="shared" si="29"/>
        <v>0</v>
      </c>
      <c r="L8954" s="59">
        <f t="shared" si="30"/>
        <v>0</v>
      </c>
      <c r="M8954" s="59">
        <f t="shared" si="31"/>
        <v>0</v>
      </c>
    </row>
    <row r="8955" ht="15.0" hidden="1" customHeight="1">
      <c r="A8955" s="59">
        <f t="shared" si="20"/>
        <v>146</v>
      </c>
      <c r="B8955" s="59" t="str">
        <f t="shared" si="21"/>
        <v/>
      </c>
      <c r="C8955" s="59" t="str">
        <f t="shared" si="22"/>
        <v/>
      </c>
      <c r="D8955" s="59" t="str">
        <f t="shared" si="23"/>
        <v/>
      </c>
      <c r="E8955" s="59" t="str">
        <f t="shared" si="24"/>
        <v/>
      </c>
      <c r="F8955" s="59" t="str">
        <f t="shared" si="25"/>
        <v/>
      </c>
      <c r="G8955" s="59" t="str">
        <f t="shared" si="26"/>
        <v/>
      </c>
      <c r="H8955" s="59" t="str">
        <f t="shared" si="27"/>
        <v>28C04509</v>
      </c>
      <c r="I8955" s="59" t="str">
        <f>IF(OR($A8955="",$C8955="",$D8955="",$E8955="",$H8955=""),"",SUMIFS(DATA_GOC!$H:$H,DATA_GOC!$A:$A,"BOM",DATA_GOC!$D:$D,$H8955,DATA_GOC!$E:$E,$C8955,DATA_GOC!$F:$F,"Xuất nội bộ từ téc",DATA_GOC!$B:$B,"&gt;="&amp;$D8955,DATA_GOC!$B:$B,"&lt;="&amp;$E8955))</f>
        <v/>
      </c>
      <c r="J8955" s="59">
        <f t="shared" si="28"/>
        <v>0</v>
      </c>
      <c r="K8955" s="59">
        <f t="shared" si="29"/>
        <v>0</v>
      </c>
      <c r="L8955" s="59">
        <f t="shared" si="30"/>
        <v>0</v>
      </c>
      <c r="M8955" s="59">
        <f t="shared" si="31"/>
        <v>0</v>
      </c>
    </row>
    <row r="8956" ht="15.0" hidden="1" customHeight="1">
      <c r="A8956" s="59">
        <f t="shared" si="20"/>
        <v>146</v>
      </c>
      <c r="B8956" s="59" t="str">
        <f t="shared" si="21"/>
        <v/>
      </c>
      <c r="C8956" s="59" t="str">
        <f t="shared" si="22"/>
        <v/>
      </c>
      <c r="D8956" s="59" t="str">
        <f t="shared" si="23"/>
        <v/>
      </c>
      <c r="E8956" s="59" t="str">
        <f t="shared" si="24"/>
        <v/>
      </c>
      <c r="F8956" s="59" t="str">
        <f t="shared" si="25"/>
        <v/>
      </c>
      <c r="G8956" s="59" t="str">
        <f t="shared" si="26"/>
        <v/>
      </c>
      <c r="H8956" s="59" t="str">
        <f t="shared" si="27"/>
        <v>28C04536</v>
      </c>
      <c r="I8956" s="59" t="str">
        <f>IF(OR($A8956="",$C8956="",$D8956="",$E8956="",$H8956=""),"",SUMIFS(DATA_GOC!$H:$H,DATA_GOC!$A:$A,"BOM",DATA_GOC!$D:$D,$H8956,DATA_GOC!$E:$E,$C8956,DATA_GOC!$F:$F,"Xuất nội bộ từ téc",DATA_GOC!$B:$B,"&gt;="&amp;$D8956,DATA_GOC!$B:$B,"&lt;="&amp;$E8956))</f>
        <v/>
      </c>
      <c r="J8956" s="59">
        <f t="shared" si="28"/>
        <v>0</v>
      </c>
      <c r="K8956" s="59">
        <f t="shared" si="29"/>
        <v>0</v>
      </c>
      <c r="L8956" s="59">
        <f t="shared" si="30"/>
        <v>0</v>
      </c>
      <c r="M8956" s="59">
        <f t="shared" si="31"/>
        <v>0</v>
      </c>
    </row>
    <row r="8957" ht="15.0" hidden="1" customHeight="1">
      <c r="A8957" s="59">
        <f t="shared" si="20"/>
        <v>146</v>
      </c>
      <c r="B8957" s="59" t="str">
        <f t="shared" si="21"/>
        <v/>
      </c>
      <c r="C8957" s="59" t="str">
        <f t="shared" si="22"/>
        <v/>
      </c>
      <c r="D8957" s="59" t="str">
        <f t="shared" si="23"/>
        <v/>
      </c>
      <c r="E8957" s="59" t="str">
        <f t="shared" si="24"/>
        <v/>
      </c>
      <c r="F8957" s="59" t="str">
        <f t="shared" si="25"/>
        <v/>
      </c>
      <c r="G8957" s="59" t="str">
        <f t="shared" si="26"/>
        <v/>
      </c>
      <c r="H8957" s="59" t="str">
        <f t="shared" si="27"/>
        <v>28C04576</v>
      </c>
      <c r="I8957" s="59" t="str">
        <f>IF(OR($A8957="",$C8957="",$D8957="",$E8957="",$H8957=""),"",SUMIFS(DATA_GOC!$H:$H,DATA_GOC!$A:$A,"BOM",DATA_GOC!$D:$D,$H8957,DATA_GOC!$E:$E,$C8957,DATA_GOC!$F:$F,"Xuất nội bộ từ téc",DATA_GOC!$B:$B,"&gt;="&amp;$D8957,DATA_GOC!$B:$B,"&lt;="&amp;$E8957))</f>
        <v/>
      </c>
      <c r="J8957" s="59">
        <f t="shared" si="28"/>
        <v>0</v>
      </c>
      <c r="K8957" s="59">
        <f t="shared" si="29"/>
        <v>0</v>
      </c>
      <c r="L8957" s="59">
        <f t="shared" si="30"/>
        <v>0</v>
      </c>
      <c r="M8957" s="59">
        <f t="shared" si="31"/>
        <v>0</v>
      </c>
    </row>
    <row r="8958" ht="15.0" hidden="1" customHeight="1">
      <c r="A8958" s="59">
        <f t="shared" si="20"/>
        <v>146</v>
      </c>
      <c r="B8958" s="59" t="str">
        <f t="shared" si="21"/>
        <v/>
      </c>
      <c r="C8958" s="59" t="str">
        <f t="shared" si="22"/>
        <v/>
      </c>
      <c r="D8958" s="59" t="str">
        <f t="shared" si="23"/>
        <v/>
      </c>
      <c r="E8958" s="59" t="str">
        <f t="shared" si="24"/>
        <v/>
      </c>
      <c r="F8958" s="59" t="str">
        <f t="shared" si="25"/>
        <v/>
      </c>
      <c r="G8958" s="59" t="str">
        <f t="shared" si="26"/>
        <v/>
      </c>
      <c r="H8958" s="59" t="str">
        <f t="shared" si="27"/>
        <v>28C05090</v>
      </c>
      <c r="I8958" s="59" t="str">
        <f>IF(OR($A8958="",$C8958="",$D8958="",$E8958="",$H8958=""),"",SUMIFS(DATA_GOC!$H:$H,DATA_GOC!$A:$A,"BOM",DATA_GOC!$D:$D,$H8958,DATA_GOC!$E:$E,$C8958,DATA_GOC!$F:$F,"Xuất nội bộ từ téc",DATA_GOC!$B:$B,"&gt;="&amp;$D8958,DATA_GOC!$B:$B,"&lt;="&amp;$E8958))</f>
        <v/>
      </c>
      <c r="J8958" s="59">
        <f t="shared" si="28"/>
        <v>0</v>
      </c>
      <c r="K8958" s="59">
        <f t="shared" si="29"/>
        <v>0</v>
      </c>
      <c r="L8958" s="59">
        <f t="shared" si="30"/>
        <v>0</v>
      </c>
      <c r="M8958" s="59">
        <f t="shared" si="31"/>
        <v>0</v>
      </c>
    </row>
    <row r="8959" ht="15.0" hidden="1" customHeight="1">
      <c r="A8959" s="59">
        <f t="shared" si="20"/>
        <v>146</v>
      </c>
      <c r="B8959" s="59" t="str">
        <f t="shared" si="21"/>
        <v/>
      </c>
      <c r="C8959" s="59" t="str">
        <f t="shared" si="22"/>
        <v/>
      </c>
      <c r="D8959" s="59" t="str">
        <f t="shared" si="23"/>
        <v/>
      </c>
      <c r="E8959" s="59" t="str">
        <f t="shared" si="24"/>
        <v/>
      </c>
      <c r="F8959" s="59" t="str">
        <f t="shared" si="25"/>
        <v/>
      </c>
      <c r="G8959" s="59" t="str">
        <f t="shared" si="26"/>
        <v/>
      </c>
      <c r="H8959" s="59" t="str">
        <f t="shared" si="27"/>
        <v>28C05345</v>
      </c>
      <c r="I8959" s="59" t="str">
        <f>IF(OR($A8959="",$C8959="",$D8959="",$E8959="",$H8959=""),"",SUMIFS(DATA_GOC!$H:$H,DATA_GOC!$A:$A,"BOM",DATA_GOC!$D:$D,$H8959,DATA_GOC!$E:$E,$C8959,DATA_GOC!$F:$F,"Xuất nội bộ từ téc",DATA_GOC!$B:$B,"&gt;="&amp;$D8959,DATA_GOC!$B:$B,"&lt;="&amp;$E8959))</f>
        <v/>
      </c>
      <c r="J8959" s="59">
        <f t="shared" si="28"/>
        <v>0</v>
      </c>
      <c r="K8959" s="59">
        <f t="shared" si="29"/>
        <v>0</v>
      </c>
      <c r="L8959" s="59">
        <f t="shared" si="30"/>
        <v>0</v>
      </c>
      <c r="M8959" s="59">
        <f t="shared" si="31"/>
        <v>0</v>
      </c>
    </row>
    <row r="8960" ht="15.0" hidden="1" customHeight="1">
      <c r="A8960" s="59">
        <f t="shared" si="20"/>
        <v>146</v>
      </c>
      <c r="B8960" s="59" t="str">
        <f t="shared" si="21"/>
        <v/>
      </c>
      <c r="C8960" s="59" t="str">
        <f t="shared" si="22"/>
        <v/>
      </c>
      <c r="D8960" s="59" t="str">
        <f t="shared" si="23"/>
        <v/>
      </c>
      <c r="E8960" s="59" t="str">
        <f t="shared" si="24"/>
        <v/>
      </c>
      <c r="F8960" s="59" t="str">
        <f t="shared" si="25"/>
        <v/>
      </c>
      <c r="G8960" s="59" t="str">
        <f t="shared" si="26"/>
        <v/>
      </c>
      <c r="H8960" s="59" t="str">
        <f t="shared" si="27"/>
        <v>28C05661</v>
      </c>
      <c r="I8960" s="59" t="str">
        <f>IF(OR($A8960="",$C8960="",$D8960="",$E8960="",$H8960=""),"",SUMIFS(DATA_GOC!$H:$H,DATA_GOC!$A:$A,"BOM",DATA_GOC!$D:$D,$H8960,DATA_GOC!$E:$E,$C8960,DATA_GOC!$F:$F,"Xuất nội bộ từ téc",DATA_GOC!$B:$B,"&gt;="&amp;$D8960,DATA_GOC!$B:$B,"&lt;="&amp;$E8960))</f>
        <v/>
      </c>
      <c r="J8960" s="59">
        <f t="shared" si="28"/>
        <v>0</v>
      </c>
      <c r="K8960" s="59">
        <f t="shared" si="29"/>
        <v>0</v>
      </c>
      <c r="L8960" s="59">
        <f t="shared" si="30"/>
        <v>0</v>
      </c>
      <c r="M8960" s="59">
        <f t="shared" si="31"/>
        <v>0</v>
      </c>
    </row>
    <row r="8961" ht="15.0" hidden="1" customHeight="1">
      <c r="A8961" s="59">
        <f t="shared" si="20"/>
        <v>146</v>
      </c>
      <c r="B8961" s="59" t="str">
        <f t="shared" si="21"/>
        <v/>
      </c>
      <c r="C8961" s="59" t="str">
        <f t="shared" si="22"/>
        <v/>
      </c>
      <c r="D8961" s="59" t="str">
        <f t="shared" si="23"/>
        <v/>
      </c>
      <c r="E8961" s="59" t="str">
        <f t="shared" si="24"/>
        <v/>
      </c>
      <c r="F8961" s="59" t="str">
        <f t="shared" si="25"/>
        <v/>
      </c>
      <c r="G8961" s="59" t="str">
        <f t="shared" si="26"/>
        <v/>
      </c>
      <c r="H8961" s="59" t="str">
        <f t="shared" si="27"/>
        <v>28C05739</v>
      </c>
      <c r="I8961" s="59" t="str">
        <f>IF(OR($A8961="",$C8961="",$D8961="",$E8961="",$H8961=""),"",SUMIFS(DATA_GOC!$H:$H,DATA_GOC!$A:$A,"BOM",DATA_GOC!$D:$D,$H8961,DATA_GOC!$E:$E,$C8961,DATA_GOC!$F:$F,"Xuất nội bộ từ téc",DATA_GOC!$B:$B,"&gt;="&amp;$D8961,DATA_GOC!$B:$B,"&lt;="&amp;$E8961))</f>
        <v/>
      </c>
      <c r="J8961" s="59">
        <f t="shared" si="28"/>
        <v>0</v>
      </c>
      <c r="K8961" s="59">
        <f t="shared" si="29"/>
        <v>0</v>
      </c>
      <c r="L8961" s="59">
        <f t="shared" si="30"/>
        <v>0</v>
      </c>
      <c r="M8961" s="59">
        <f t="shared" si="31"/>
        <v>0</v>
      </c>
    </row>
    <row r="8962" ht="15.0" hidden="1" customHeight="1">
      <c r="A8962" s="59">
        <f t="shared" si="20"/>
        <v>146</v>
      </c>
      <c r="B8962" s="59" t="str">
        <f t="shared" si="21"/>
        <v/>
      </c>
      <c r="C8962" s="59" t="str">
        <f t="shared" si="22"/>
        <v/>
      </c>
      <c r="D8962" s="59" t="str">
        <f t="shared" si="23"/>
        <v/>
      </c>
      <c r="E8962" s="59" t="str">
        <f t="shared" si="24"/>
        <v/>
      </c>
      <c r="F8962" s="59" t="str">
        <f t="shared" si="25"/>
        <v/>
      </c>
      <c r="G8962" s="59" t="str">
        <f t="shared" si="26"/>
        <v/>
      </c>
      <c r="H8962" s="59" t="str">
        <f t="shared" si="27"/>
        <v>28C06369</v>
      </c>
      <c r="I8962" s="59" t="str">
        <f>IF(OR($A8962="",$C8962="",$D8962="",$E8962="",$H8962=""),"",SUMIFS(DATA_GOC!$H:$H,DATA_GOC!$A:$A,"BOM",DATA_GOC!$D:$D,$H8962,DATA_GOC!$E:$E,$C8962,DATA_GOC!$F:$F,"Xuất nội bộ từ téc",DATA_GOC!$B:$B,"&gt;="&amp;$D8962,DATA_GOC!$B:$B,"&lt;="&amp;$E8962))</f>
        <v/>
      </c>
      <c r="J8962" s="59">
        <f t="shared" si="28"/>
        <v>0</v>
      </c>
      <c r="K8962" s="59">
        <f t="shared" si="29"/>
        <v>0</v>
      </c>
      <c r="L8962" s="59">
        <f t="shared" si="30"/>
        <v>0</v>
      </c>
      <c r="M8962" s="59">
        <f t="shared" si="31"/>
        <v>0</v>
      </c>
    </row>
    <row r="8963" ht="15.0" hidden="1" customHeight="1">
      <c r="A8963" s="59">
        <f t="shared" si="20"/>
        <v>146</v>
      </c>
      <c r="B8963" s="59" t="str">
        <f t="shared" si="21"/>
        <v/>
      </c>
      <c r="C8963" s="59" t="str">
        <f t="shared" si="22"/>
        <v/>
      </c>
      <c r="D8963" s="59" t="str">
        <f t="shared" si="23"/>
        <v/>
      </c>
      <c r="E8963" s="59" t="str">
        <f t="shared" si="24"/>
        <v/>
      </c>
      <c r="F8963" s="59" t="str">
        <f t="shared" si="25"/>
        <v/>
      </c>
      <c r="G8963" s="59" t="str">
        <f t="shared" si="26"/>
        <v/>
      </c>
      <c r="H8963" s="59" t="str">
        <f t="shared" si="27"/>
        <v>28C06447</v>
      </c>
      <c r="I8963" s="59" t="str">
        <f>IF(OR($A8963="",$C8963="",$D8963="",$E8963="",$H8963=""),"",SUMIFS(DATA_GOC!$H:$H,DATA_GOC!$A:$A,"BOM",DATA_GOC!$D:$D,$H8963,DATA_GOC!$E:$E,$C8963,DATA_GOC!$F:$F,"Xuất nội bộ từ téc",DATA_GOC!$B:$B,"&gt;="&amp;$D8963,DATA_GOC!$B:$B,"&lt;="&amp;$E8963))</f>
        <v/>
      </c>
      <c r="J8963" s="59">
        <f t="shared" si="28"/>
        <v>0</v>
      </c>
      <c r="K8963" s="59">
        <f t="shared" si="29"/>
        <v>0</v>
      </c>
      <c r="L8963" s="59">
        <f t="shared" si="30"/>
        <v>0</v>
      </c>
      <c r="M8963" s="59">
        <f t="shared" si="31"/>
        <v>0</v>
      </c>
    </row>
    <row r="8964" ht="15.0" hidden="1" customHeight="1">
      <c r="A8964" s="59">
        <f t="shared" si="20"/>
        <v>146</v>
      </c>
      <c r="B8964" s="59" t="str">
        <f t="shared" si="21"/>
        <v/>
      </c>
      <c r="C8964" s="59" t="str">
        <f t="shared" si="22"/>
        <v/>
      </c>
      <c r="D8964" s="59" t="str">
        <f t="shared" si="23"/>
        <v/>
      </c>
      <c r="E8964" s="59" t="str">
        <f t="shared" si="24"/>
        <v/>
      </c>
      <c r="F8964" s="59" t="str">
        <f t="shared" si="25"/>
        <v/>
      </c>
      <c r="G8964" s="59" t="str">
        <f t="shared" si="26"/>
        <v/>
      </c>
      <c r="H8964" s="59" t="str">
        <f t="shared" si="27"/>
        <v>28H00003</v>
      </c>
      <c r="I8964" s="59" t="str">
        <f>IF(OR($A8964="",$C8964="",$D8964="",$E8964="",$H8964=""),"",SUMIFS(DATA_GOC!$H:$H,DATA_GOC!$A:$A,"BOM",DATA_GOC!$D:$D,$H8964,DATA_GOC!$E:$E,$C8964,DATA_GOC!$F:$F,"Xuất nội bộ từ téc",DATA_GOC!$B:$B,"&gt;="&amp;$D8964,DATA_GOC!$B:$B,"&lt;="&amp;$E8964))</f>
        <v/>
      </c>
      <c r="J8964" s="59">
        <f t="shared" si="28"/>
        <v>0</v>
      </c>
      <c r="K8964" s="59">
        <f t="shared" si="29"/>
        <v>0</v>
      </c>
      <c r="L8964" s="59">
        <f t="shared" si="30"/>
        <v>0</v>
      </c>
      <c r="M8964" s="59">
        <f t="shared" si="31"/>
        <v>0</v>
      </c>
    </row>
    <row r="8965" ht="15.0" hidden="1" customHeight="1">
      <c r="A8965" s="59">
        <f t="shared" si="20"/>
        <v>146</v>
      </c>
      <c r="B8965" s="59" t="str">
        <f t="shared" si="21"/>
        <v/>
      </c>
      <c r="C8965" s="59" t="str">
        <f t="shared" si="22"/>
        <v/>
      </c>
      <c r="D8965" s="59" t="str">
        <f t="shared" si="23"/>
        <v/>
      </c>
      <c r="E8965" s="59" t="str">
        <f t="shared" si="24"/>
        <v/>
      </c>
      <c r="F8965" s="59" t="str">
        <f t="shared" si="25"/>
        <v/>
      </c>
      <c r="G8965" s="59" t="str">
        <f t="shared" si="26"/>
        <v/>
      </c>
      <c r="H8965" s="59" t="str">
        <f t="shared" si="27"/>
        <v>28H00061</v>
      </c>
      <c r="I8965" s="59" t="str">
        <f>IF(OR($A8965="",$C8965="",$D8965="",$E8965="",$H8965=""),"",SUMIFS(DATA_GOC!$H:$H,DATA_GOC!$A:$A,"BOM",DATA_GOC!$D:$D,$H8965,DATA_GOC!$E:$E,$C8965,DATA_GOC!$F:$F,"Xuất nội bộ từ téc",DATA_GOC!$B:$B,"&gt;="&amp;$D8965,DATA_GOC!$B:$B,"&lt;="&amp;$E8965))</f>
        <v/>
      </c>
      <c r="J8965" s="59">
        <f t="shared" si="28"/>
        <v>0</v>
      </c>
      <c r="K8965" s="59">
        <f t="shared" si="29"/>
        <v>0</v>
      </c>
      <c r="L8965" s="59">
        <f t="shared" si="30"/>
        <v>0</v>
      </c>
      <c r="M8965" s="59">
        <f t="shared" si="31"/>
        <v>0</v>
      </c>
    </row>
    <row r="8966" ht="15.0" hidden="1" customHeight="1">
      <c r="A8966" s="59">
        <f t="shared" si="20"/>
        <v>146</v>
      </c>
      <c r="B8966" s="59" t="str">
        <f t="shared" si="21"/>
        <v/>
      </c>
      <c r="C8966" s="59" t="str">
        <f t="shared" si="22"/>
        <v/>
      </c>
      <c r="D8966" s="59" t="str">
        <f t="shared" si="23"/>
        <v/>
      </c>
      <c r="E8966" s="59" t="str">
        <f t="shared" si="24"/>
        <v/>
      </c>
      <c r="F8966" s="59" t="str">
        <f t="shared" si="25"/>
        <v/>
      </c>
      <c r="G8966" s="59" t="str">
        <f t="shared" si="26"/>
        <v/>
      </c>
      <c r="H8966" s="59" t="str">
        <f t="shared" si="27"/>
        <v>28H00354</v>
      </c>
      <c r="I8966" s="59" t="str">
        <f>IF(OR($A8966="",$C8966="",$D8966="",$E8966="",$H8966=""),"",SUMIFS(DATA_GOC!$H:$H,DATA_GOC!$A:$A,"BOM",DATA_GOC!$D:$D,$H8966,DATA_GOC!$E:$E,$C8966,DATA_GOC!$F:$F,"Xuất nội bộ từ téc",DATA_GOC!$B:$B,"&gt;="&amp;$D8966,DATA_GOC!$B:$B,"&lt;="&amp;$E8966))</f>
        <v/>
      </c>
      <c r="J8966" s="59">
        <f t="shared" si="28"/>
        <v>0</v>
      </c>
      <c r="K8966" s="59">
        <f t="shared" si="29"/>
        <v>0</v>
      </c>
      <c r="L8966" s="59">
        <f t="shared" si="30"/>
        <v>0</v>
      </c>
      <c r="M8966" s="59">
        <f t="shared" si="31"/>
        <v>0</v>
      </c>
    </row>
    <row r="8967" ht="15.0" hidden="1" customHeight="1">
      <c r="A8967" s="59">
        <f t="shared" si="20"/>
        <v>146</v>
      </c>
      <c r="B8967" s="59" t="str">
        <f t="shared" si="21"/>
        <v/>
      </c>
      <c r="C8967" s="59" t="str">
        <f t="shared" si="22"/>
        <v/>
      </c>
      <c r="D8967" s="59" t="str">
        <f t="shared" si="23"/>
        <v/>
      </c>
      <c r="E8967" s="59" t="str">
        <f t="shared" si="24"/>
        <v/>
      </c>
      <c r="F8967" s="59" t="str">
        <f t="shared" si="25"/>
        <v/>
      </c>
      <c r="G8967" s="59" t="str">
        <f t="shared" si="26"/>
        <v/>
      </c>
      <c r="H8967" s="59" t="str">
        <f t="shared" si="27"/>
        <v>28H00603</v>
      </c>
      <c r="I8967" s="59" t="str">
        <f>IF(OR($A8967="",$C8967="",$D8967="",$E8967="",$H8967=""),"",SUMIFS(DATA_GOC!$H:$H,DATA_GOC!$A:$A,"BOM",DATA_GOC!$D:$D,$H8967,DATA_GOC!$E:$E,$C8967,DATA_GOC!$F:$F,"Xuất nội bộ từ téc",DATA_GOC!$B:$B,"&gt;="&amp;$D8967,DATA_GOC!$B:$B,"&lt;="&amp;$E8967))</f>
        <v/>
      </c>
      <c r="J8967" s="59">
        <f t="shared" si="28"/>
        <v>0</v>
      </c>
      <c r="K8967" s="59">
        <f t="shared" si="29"/>
        <v>0</v>
      </c>
      <c r="L8967" s="59">
        <f t="shared" si="30"/>
        <v>0</v>
      </c>
      <c r="M8967" s="59">
        <f t="shared" si="31"/>
        <v>0</v>
      </c>
    </row>
    <row r="8968" ht="15.0" hidden="1" customHeight="1">
      <c r="A8968" s="59">
        <f t="shared" si="20"/>
        <v>146</v>
      </c>
      <c r="B8968" s="59" t="str">
        <f t="shared" si="21"/>
        <v/>
      </c>
      <c r="C8968" s="59" t="str">
        <f t="shared" si="22"/>
        <v/>
      </c>
      <c r="D8968" s="59" t="str">
        <f t="shared" si="23"/>
        <v/>
      </c>
      <c r="E8968" s="59" t="str">
        <f t="shared" si="24"/>
        <v/>
      </c>
      <c r="F8968" s="59" t="str">
        <f t="shared" si="25"/>
        <v/>
      </c>
      <c r="G8968" s="59" t="str">
        <f t="shared" si="26"/>
        <v/>
      </c>
      <c r="H8968" s="59" t="str">
        <f t="shared" si="27"/>
        <v>28H00609</v>
      </c>
      <c r="I8968" s="59" t="str">
        <f>IF(OR($A8968="",$C8968="",$D8968="",$E8968="",$H8968=""),"",SUMIFS(DATA_GOC!$H:$H,DATA_GOC!$A:$A,"BOM",DATA_GOC!$D:$D,$H8968,DATA_GOC!$E:$E,$C8968,DATA_GOC!$F:$F,"Xuất nội bộ từ téc",DATA_GOC!$B:$B,"&gt;="&amp;$D8968,DATA_GOC!$B:$B,"&lt;="&amp;$E8968))</f>
        <v/>
      </c>
      <c r="J8968" s="59">
        <f t="shared" si="28"/>
        <v>0</v>
      </c>
      <c r="K8968" s="59">
        <f t="shared" si="29"/>
        <v>0</v>
      </c>
      <c r="L8968" s="59">
        <f t="shared" si="30"/>
        <v>0</v>
      </c>
      <c r="M8968" s="59">
        <f t="shared" si="31"/>
        <v>0</v>
      </c>
    </row>
    <row r="8969" ht="15.0" hidden="1" customHeight="1">
      <c r="A8969" s="59">
        <f t="shared" si="20"/>
        <v>146</v>
      </c>
      <c r="B8969" s="59" t="str">
        <f t="shared" si="21"/>
        <v/>
      </c>
      <c r="C8969" s="59" t="str">
        <f t="shared" si="22"/>
        <v/>
      </c>
      <c r="D8969" s="59" t="str">
        <f t="shared" si="23"/>
        <v/>
      </c>
      <c r="E8969" s="59" t="str">
        <f t="shared" si="24"/>
        <v/>
      </c>
      <c r="F8969" s="59" t="str">
        <f t="shared" si="25"/>
        <v/>
      </c>
      <c r="G8969" s="59" t="str">
        <f t="shared" si="26"/>
        <v/>
      </c>
      <c r="H8969" s="59" t="str">
        <f t="shared" si="27"/>
        <v>28H00669</v>
      </c>
      <c r="I8969" s="59" t="str">
        <f>IF(OR($A8969="",$C8969="",$D8969="",$E8969="",$H8969=""),"",SUMIFS(DATA_GOC!$H:$H,DATA_GOC!$A:$A,"BOM",DATA_GOC!$D:$D,$H8969,DATA_GOC!$E:$E,$C8969,DATA_GOC!$F:$F,"Xuất nội bộ từ téc",DATA_GOC!$B:$B,"&gt;="&amp;$D8969,DATA_GOC!$B:$B,"&lt;="&amp;$E8969))</f>
        <v/>
      </c>
      <c r="J8969" s="59">
        <f t="shared" si="28"/>
        <v>0</v>
      </c>
      <c r="K8969" s="59">
        <f t="shared" si="29"/>
        <v>0</v>
      </c>
      <c r="L8969" s="59">
        <f t="shared" si="30"/>
        <v>0</v>
      </c>
      <c r="M8969" s="59">
        <f t="shared" si="31"/>
        <v>0</v>
      </c>
    </row>
    <row r="8970" ht="15.0" hidden="1" customHeight="1">
      <c r="A8970" s="59">
        <f t="shared" si="20"/>
        <v>146</v>
      </c>
      <c r="B8970" s="59" t="str">
        <f t="shared" si="21"/>
        <v/>
      </c>
      <c r="C8970" s="59" t="str">
        <f t="shared" si="22"/>
        <v/>
      </c>
      <c r="D8970" s="59" t="str">
        <f t="shared" si="23"/>
        <v/>
      </c>
      <c r="E8970" s="59" t="str">
        <f t="shared" si="24"/>
        <v/>
      </c>
      <c r="F8970" s="59" t="str">
        <f t="shared" si="25"/>
        <v/>
      </c>
      <c r="G8970" s="59" t="str">
        <f t="shared" si="26"/>
        <v/>
      </c>
      <c r="H8970" s="59" t="str">
        <f t="shared" si="27"/>
        <v>28H00680</v>
      </c>
      <c r="I8970" s="59" t="str">
        <f>IF(OR($A8970="",$C8970="",$D8970="",$E8970="",$H8970=""),"",SUMIFS(DATA_GOC!$H:$H,DATA_GOC!$A:$A,"BOM",DATA_GOC!$D:$D,$H8970,DATA_GOC!$E:$E,$C8970,DATA_GOC!$F:$F,"Xuất nội bộ từ téc",DATA_GOC!$B:$B,"&gt;="&amp;$D8970,DATA_GOC!$B:$B,"&lt;="&amp;$E8970))</f>
        <v/>
      </c>
      <c r="J8970" s="59">
        <f t="shared" si="28"/>
        <v>0</v>
      </c>
      <c r="K8970" s="59">
        <f t="shared" si="29"/>
        <v>0</v>
      </c>
      <c r="L8970" s="59">
        <f t="shared" si="30"/>
        <v>0</v>
      </c>
      <c r="M8970" s="59">
        <f t="shared" si="31"/>
        <v>0</v>
      </c>
    </row>
    <row r="8971" ht="15.0" hidden="1" customHeight="1">
      <c r="A8971" s="59">
        <f t="shared" si="20"/>
        <v>146</v>
      </c>
      <c r="B8971" s="59" t="str">
        <f t="shared" si="21"/>
        <v/>
      </c>
      <c r="C8971" s="59" t="str">
        <f t="shared" si="22"/>
        <v/>
      </c>
      <c r="D8971" s="59" t="str">
        <f t="shared" si="23"/>
        <v/>
      </c>
      <c r="E8971" s="59" t="str">
        <f t="shared" si="24"/>
        <v/>
      </c>
      <c r="F8971" s="59" t="str">
        <f t="shared" si="25"/>
        <v/>
      </c>
      <c r="G8971" s="59" t="str">
        <f t="shared" si="26"/>
        <v/>
      </c>
      <c r="H8971" s="59" t="str">
        <f t="shared" si="27"/>
        <v>28H01070</v>
      </c>
      <c r="I8971" s="59" t="str">
        <f>IF(OR($A8971="",$C8971="",$D8971="",$E8971="",$H8971=""),"",SUMIFS(DATA_GOC!$H:$H,DATA_GOC!$A:$A,"BOM",DATA_GOC!$D:$D,$H8971,DATA_GOC!$E:$E,$C8971,DATA_GOC!$F:$F,"Xuất nội bộ từ téc",DATA_GOC!$B:$B,"&gt;="&amp;$D8971,DATA_GOC!$B:$B,"&lt;="&amp;$E8971))</f>
        <v/>
      </c>
      <c r="J8971" s="59">
        <f t="shared" si="28"/>
        <v>0</v>
      </c>
      <c r="K8971" s="59">
        <f t="shared" si="29"/>
        <v>0</v>
      </c>
      <c r="L8971" s="59">
        <f t="shared" si="30"/>
        <v>0</v>
      </c>
      <c r="M8971" s="59">
        <f t="shared" si="31"/>
        <v>0</v>
      </c>
    </row>
    <row r="8972" ht="15.0" hidden="1" customHeight="1">
      <c r="A8972" s="59">
        <f t="shared" si="20"/>
        <v>146</v>
      </c>
      <c r="B8972" s="59" t="str">
        <f t="shared" si="21"/>
        <v/>
      </c>
      <c r="C8972" s="59" t="str">
        <f t="shared" si="22"/>
        <v/>
      </c>
      <c r="D8972" s="59" t="str">
        <f t="shared" si="23"/>
        <v/>
      </c>
      <c r="E8972" s="59" t="str">
        <f t="shared" si="24"/>
        <v/>
      </c>
      <c r="F8972" s="59" t="str">
        <f t="shared" si="25"/>
        <v/>
      </c>
      <c r="G8972" s="59" t="str">
        <f t="shared" si="26"/>
        <v/>
      </c>
      <c r="H8972" s="59" t="str">
        <f t="shared" si="27"/>
        <v>28H01364</v>
      </c>
      <c r="I8972" s="59" t="str">
        <f>IF(OR($A8972="",$C8972="",$D8972="",$E8972="",$H8972=""),"",SUMIFS(DATA_GOC!$H:$H,DATA_GOC!$A:$A,"BOM",DATA_GOC!$D:$D,$H8972,DATA_GOC!$E:$E,$C8972,DATA_GOC!$F:$F,"Xuất nội bộ từ téc",DATA_GOC!$B:$B,"&gt;="&amp;$D8972,DATA_GOC!$B:$B,"&lt;="&amp;$E8972))</f>
        <v/>
      </c>
      <c r="J8972" s="59">
        <f t="shared" si="28"/>
        <v>0</v>
      </c>
      <c r="K8972" s="59">
        <f t="shared" si="29"/>
        <v>0</v>
      </c>
      <c r="L8972" s="59">
        <f t="shared" si="30"/>
        <v>0</v>
      </c>
      <c r="M8972" s="59">
        <f t="shared" si="31"/>
        <v>0</v>
      </c>
    </row>
    <row r="8973" ht="15.0" hidden="1" customHeight="1">
      <c r="A8973" s="59">
        <f t="shared" si="20"/>
        <v>146</v>
      </c>
      <c r="B8973" s="59" t="str">
        <f t="shared" si="21"/>
        <v/>
      </c>
      <c r="C8973" s="59" t="str">
        <f t="shared" si="22"/>
        <v/>
      </c>
      <c r="D8973" s="59" t="str">
        <f t="shared" si="23"/>
        <v/>
      </c>
      <c r="E8973" s="59" t="str">
        <f t="shared" si="24"/>
        <v/>
      </c>
      <c r="F8973" s="59" t="str">
        <f t="shared" si="25"/>
        <v/>
      </c>
      <c r="G8973" s="59" t="str">
        <f t="shared" si="26"/>
        <v/>
      </c>
      <c r="H8973" s="59" t="str">
        <f t="shared" si="27"/>
        <v>29E17269</v>
      </c>
      <c r="I8973" s="59" t="str">
        <f>IF(OR($A8973="",$C8973="",$D8973="",$E8973="",$H8973=""),"",SUMIFS(DATA_GOC!$H:$H,DATA_GOC!$A:$A,"BOM",DATA_GOC!$D:$D,$H8973,DATA_GOC!$E:$E,$C8973,DATA_GOC!$F:$F,"Xuất nội bộ từ téc",DATA_GOC!$B:$B,"&gt;="&amp;$D8973,DATA_GOC!$B:$B,"&lt;="&amp;$E8973))</f>
        <v/>
      </c>
      <c r="J8973" s="59">
        <f t="shared" si="28"/>
        <v>0</v>
      </c>
      <c r="K8973" s="59">
        <f t="shared" si="29"/>
        <v>0</v>
      </c>
      <c r="L8973" s="59">
        <f t="shared" si="30"/>
        <v>0</v>
      </c>
      <c r="M8973" s="59">
        <f t="shared" si="31"/>
        <v>0</v>
      </c>
    </row>
    <row r="8974" ht="15.0" hidden="1" customHeight="1">
      <c r="A8974" s="59">
        <f t="shared" si="20"/>
        <v>146</v>
      </c>
      <c r="B8974" s="59" t="str">
        <f t="shared" si="21"/>
        <v/>
      </c>
      <c r="C8974" s="59" t="str">
        <f t="shared" si="22"/>
        <v/>
      </c>
      <c r="D8974" s="59" t="str">
        <f t="shared" si="23"/>
        <v/>
      </c>
      <c r="E8974" s="59" t="str">
        <f t="shared" si="24"/>
        <v/>
      </c>
      <c r="F8974" s="59" t="str">
        <f t="shared" si="25"/>
        <v/>
      </c>
      <c r="G8974" s="59" t="str">
        <f t="shared" si="26"/>
        <v/>
      </c>
      <c r="H8974" s="59" t="str">
        <f t="shared" si="27"/>
        <v>29E17273</v>
      </c>
      <c r="I8974" s="59" t="str">
        <f>IF(OR($A8974="",$C8974="",$D8974="",$E8974="",$H8974=""),"",SUMIFS(DATA_GOC!$H:$H,DATA_GOC!$A:$A,"BOM",DATA_GOC!$D:$D,$H8974,DATA_GOC!$E:$E,$C8974,DATA_GOC!$F:$F,"Xuất nội bộ từ téc",DATA_GOC!$B:$B,"&gt;="&amp;$D8974,DATA_GOC!$B:$B,"&lt;="&amp;$E8974))</f>
        <v/>
      </c>
      <c r="J8974" s="59">
        <f t="shared" si="28"/>
        <v>0</v>
      </c>
      <c r="K8974" s="59">
        <f t="shared" si="29"/>
        <v>0</v>
      </c>
      <c r="L8974" s="59">
        <f t="shared" si="30"/>
        <v>0</v>
      </c>
      <c r="M8974" s="59">
        <f t="shared" si="31"/>
        <v>0</v>
      </c>
    </row>
    <row r="8975" ht="15.0" hidden="1" customHeight="1">
      <c r="A8975" s="59">
        <f t="shared" si="20"/>
        <v>146</v>
      </c>
      <c r="B8975" s="59" t="str">
        <f t="shared" si="21"/>
        <v/>
      </c>
      <c r="C8975" s="59" t="str">
        <f t="shared" si="22"/>
        <v/>
      </c>
      <c r="D8975" s="59" t="str">
        <f t="shared" si="23"/>
        <v/>
      </c>
      <c r="E8975" s="59" t="str">
        <f t="shared" si="24"/>
        <v/>
      </c>
      <c r="F8975" s="59" t="str">
        <f t="shared" si="25"/>
        <v/>
      </c>
      <c r="G8975" s="59" t="str">
        <f t="shared" si="26"/>
        <v/>
      </c>
      <c r="H8975" s="59" t="str">
        <f t="shared" si="27"/>
        <v>29E17410</v>
      </c>
      <c r="I8975" s="59" t="str">
        <f>IF(OR($A8975="",$C8975="",$D8975="",$E8975="",$H8975=""),"",SUMIFS(DATA_GOC!$H:$H,DATA_GOC!$A:$A,"BOM",DATA_GOC!$D:$D,$H8975,DATA_GOC!$E:$E,$C8975,DATA_GOC!$F:$F,"Xuất nội bộ từ téc",DATA_GOC!$B:$B,"&gt;="&amp;$D8975,DATA_GOC!$B:$B,"&lt;="&amp;$E8975))</f>
        <v/>
      </c>
      <c r="J8975" s="59">
        <f t="shared" si="28"/>
        <v>0</v>
      </c>
      <c r="K8975" s="59">
        <f t="shared" si="29"/>
        <v>0</v>
      </c>
      <c r="L8975" s="59">
        <f t="shared" si="30"/>
        <v>0</v>
      </c>
      <c r="M8975" s="59">
        <f t="shared" si="31"/>
        <v>0</v>
      </c>
    </row>
    <row r="8976" ht="15.0" hidden="1" customHeight="1">
      <c r="A8976" s="59">
        <f t="shared" si="20"/>
        <v>146</v>
      </c>
      <c r="B8976" s="59" t="str">
        <f t="shared" si="21"/>
        <v/>
      </c>
      <c r="C8976" s="59" t="str">
        <f t="shared" si="22"/>
        <v/>
      </c>
      <c r="D8976" s="59" t="str">
        <f t="shared" si="23"/>
        <v/>
      </c>
      <c r="E8976" s="59" t="str">
        <f t="shared" si="24"/>
        <v/>
      </c>
      <c r="F8976" s="59" t="str">
        <f t="shared" si="25"/>
        <v/>
      </c>
      <c r="G8976" s="59" t="str">
        <f t="shared" si="26"/>
        <v/>
      </c>
      <c r="H8976" s="59" t="str">
        <f t="shared" si="27"/>
        <v>29E17417</v>
      </c>
      <c r="I8976" s="59" t="str">
        <f>IF(OR($A8976="",$C8976="",$D8976="",$E8976="",$H8976=""),"",SUMIFS(DATA_GOC!$H:$H,DATA_GOC!$A:$A,"BOM",DATA_GOC!$D:$D,$H8976,DATA_GOC!$E:$E,$C8976,DATA_GOC!$F:$F,"Xuất nội bộ từ téc",DATA_GOC!$B:$B,"&gt;="&amp;$D8976,DATA_GOC!$B:$B,"&lt;="&amp;$E8976))</f>
        <v/>
      </c>
      <c r="J8976" s="59">
        <f t="shared" si="28"/>
        <v>0</v>
      </c>
      <c r="K8976" s="59">
        <f t="shared" si="29"/>
        <v>0</v>
      </c>
      <c r="L8976" s="59">
        <f t="shared" si="30"/>
        <v>0</v>
      </c>
      <c r="M8976" s="59">
        <f t="shared" si="31"/>
        <v>0</v>
      </c>
    </row>
    <row r="8977" ht="15.0" hidden="1" customHeight="1">
      <c r="A8977" s="59">
        <f t="shared" si="20"/>
        <v>146</v>
      </c>
      <c r="B8977" s="59" t="str">
        <f t="shared" si="21"/>
        <v/>
      </c>
      <c r="C8977" s="59" t="str">
        <f t="shared" si="22"/>
        <v/>
      </c>
      <c r="D8977" s="59" t="str">
        <f t="shared" si="23"/>
        <v/>
      </c>
      <c r="E8977" s="59" t="str">
        <f t="shared" si="24"/>
        <v/>
      </c>
      <c r="F8977" s="59" t="str">
        <f t="shared" si="25"/>
        <v/>
      </c>
      <c r="G8977" s="59" t="str">
        <f t="shared" si="26"/>
        <v/>
      </c>
      <c r="H8977" s="59" t="str">
        <f t="shared" si="27"/>
        <v>29E17539</v>
      </c>
      <c r="I8977" s="59" t="str">
        <f>IF(OR($A8977="",$C8977="",$D8977="",$E8977="",$H8977=""),"",SUMIFS(DATA_GOC!$H:$H,DATA_GOC!$A:$A,"BOM",DATA_GOC!$D:$D,$H8977,DATA_GOC!$E:$E,$C8977,DATA_GOC!$F:$F,"Xuất nội bộ từ téc",DATA_GOC!$B:$B,"&gt;="&amp;$D8977,DATA_GOC!$B:$B,"&lt;="&amp;$E8977))</f>
        <v/>
      </c>
      <c r="J8977" s="59">
        <f t="shared" si="28"/>
        <v>0</v>
      </c>
      <c r="K8977" s="59">
        <f t="shared" si="29"/>
        <v>0</v>
      </c>
      <c r="L8977" s="59">
        <f t="shared" si="30"/>
        <v>0</v>
      </c>
      <c r="M8977" s="59">
        <f t="shared" si="31"/>
        <v>0</v>
      </c>
    </row>
    <row r="8978" ht="15.0" hidden="1" customHeight="1">
      <c r="A8978" s="59">
        <f t="shared" si="20"/>
        <v>146</v>
      </c>
      <c r="B8978" s="59" t="str">
        <f t="shared" si="21"/>
        <v/>
      </c>
      <c r="C8978" s="59" t="str">
        <f t="shared" si="22"/>
        <v/>
      </c>
      <c r="D8978" s="59" t="str">
        <f t="shared" si="23"/>
        <v/>
      </c>
      <c r="E8978" s="59" t="str">
        <f t="shared" si="24"/>
        <v/>
      </c>
      <c r="F8978" s="59" t="str">
        <f t="shared" si="25"/>
        <v/>
      </c>
      <c r="G8978" s="59" t="str">
        <f t="shared" si="26"/>
        <v/>
      </c>
      <c r="H8978" s="59" t="str">
        <f t="shared" si="27"/>
        <v>29E18160</v>
      </c>
      <c r="I8978" s="59" t="str">
        <f>IF(OR($A8978="",$C8978="",$D8978="",$E8978="",$H8978=""),"",SUMIFS(DATA_GOC!$H:$H,DATA_GOC!$A:$A,"BOM",DATA_GOC!$D:$D,$H8978,DATA_GOC!$E:$E,$C8978,DATA_GOC!$F:$F,"Xuất nội bộ từ téc",DATA_GOC!$B:$B,"&gt;="&amp;$D8978,DATA_GOC!$B:$B,"&lt;="&amp;$E8978))</f>
        <v/>
      </c>
      <c r="J8978" s="59">
        <f t="shared" si="28"/>
        <v>0</v>
      </c>
      <c r="K8978" s="59">
        <f t="shared" si="29"/>
        <v>0</v>
      </c>
      <c r="L8978" s="59">
        <f t="shared" si="30"/>
        <v>0</v>
      </c>
      <c r="M8978" s="59">
        <f t="shared" si="31"/>
        <v>0</v>
      </c>
    </row>
    <row r="8979" ht="15.0" hidden="1" customHeight="1">
      <c r="A8979" s="59">
        <f t="shared" si="20"/>
        <v>146</v>
      </c>
      <c r="B8979" s="59" t="str">
        <f t="shared" si="21"/>
        <v/>
      </c>
      <c r="C8979" s="59" t="str">
        <f t="shared" si="22"/>
        <v/>
      </c>
      <c r="D8979" s="59" t="str">
        <f t="shared" si="23"/>
        <v/>
      </c>
      <c r="E8979" s="59" t="str">
        <f t="shared" si="24"/>
        <v/>
      </c>
      <c r="F8979" s="59" t="str">
        <f t="shared" si="25"/>
        <v/>
      </c>
      <c r="G8979" s="59" t="str">
        <f t="shared" si="26"/>
        <v/>
      </c>
      <c r="H8979" s="59" t="str">
        <f t="shared" si="27"/>
        <v>Công trình Asphalt</v>
      </c>
      <c r="I8979" s="59" t="str">
        <f>IF(OR($A8979="",$C8979="",$D8979="",$E8979="",$H8979=""),"",SUMIFS(DATA_GOC!$H:$H,DATA_GOC!$A:$A,"BOM",DATA_GOC!$D:$D,$H8979,DATA_GOC!$E:$E,$C8979,DATA_GOC!$F:$F,"Xuất nội bộ từ téc",DATA_GOC!$B:$B,"&gt;="&amp;$D8979,DATA_GOC!$B:$B,"&lt;="&amp;$E8979))</f>
        <v/>
      </c>
      <c r="J8979" s="59">
        <f t="shared" si="28"/>
        <v>0</v>
      </c>
      <c r="K8979" s="59">
        <f t="shared" si="29"/>
        <v>0</v>
      </c>
      <c r="L8979" s="59">
        <f t="shared" si="30"/>
        <v>0</v>
      </c>
      <c r="M8979" s="59">
        <f t="shared" si="31"/>
        <v>0</v>
      </c>
    </row>
    <row r="8980" ht="15.0" hidden="1" customHeight="1">
      <c r="A8980" s="59">
        <f t="shared" si="20"/>
        <v>146</v>
      </c>
      <c r="B8980" s="59" t="str">
        <f t="shared" si="21"/>
        <v/>
      </c>
      <c r="C8980" s="59" t="str">
        <f t="shared" si="22"/>
        <v/>
      </c>
      <c r="D8980" s="59" t="str">
        <f t="shared" si="23"/>
        <v/>
      </c>
      <c r="E8980" s="59" t="str">
        <f t="shared" si="24"/>
        <v/>
      </c>
      <c r="F8980" s="59" t="str">
        <f t="shared" si="25"/>
        <v/>
      </c>
      <c r="G8980" s="59" t="str">
        <f t="shared" si="26"/>
        <v/>
      </c>
      <c r="H8980" s="59" t="str">
        <f t="shared" si="27"/>
        <v>LG53F</v>
      </c>
      <c r="I8980" s="59" t="str">
        <f>IF(OR($A8980="",$C8980="",$D8980="",$E8980="",$H8980=""),"",SUMIFS(DATA_GOC!$H:$H,DATA_GOC!$A:$A,"BOM",DATA_GOC!$D:$D,$H8980,DATA_GOC!$E:$E,$C8980,DATA_GOC!$F:$F,"Xuất nội bộ từ téc",DATA_GOC!$B:$B,"&gt;="&amp;$D8980,DATA_GOC!$B:$B,"&lt;="&amp;$E8980))</f>
        <v/>
      </c>
      <c r="J8980" s="59">
        <f t="shared" si="28"/>
        <v>0</v>
      </c>
      <c r="K8980" s="59">
        <f t="shared" si="29"/>
        <v>0</v>
      </c>
      <c r="L8980" s="59">
        <f t="shared" si="30"/>
        <v>0</v>
      </c>
      <c r="M8980" s="59">
        <f t="shared" si="31"/>
        <v>0</v>
      </c>
    </row>
    <row r="8981" ht="15.0" hidden="1" customHeight="1">
      <c r="A8981" s="59">
        <f t="shared" si="20"/>
        <v>146</v>
      </c>
      <c r="B8981" s="59" t="str">
        <f t="shared" si="21"/>
        <v/>
      </c>
      <c r="C8981" s="59" t="str">
        <f t="shared" si="22"/>
        <v/>
      </c>
      <c r="D8981" s="59" t="str">
        <f t="shared" si="23"/>
        <v/>
      </c>
      <c r="E8981" s="59" t="str">
        <f t="shared" si="24"/>
        <v/>
      </c>
      <c r="F8981" s="59" t="str">
        <f t="shared" si="25"/>
        <v/>
      </c>
      <c r="G8981" s="59" t="str">
        <f t="shared" si="26"/>
        <v/>
      </c>
      <c r="H8981" s="59" t="str">
        <f t="shared" si="27"/>
        <v>Máy phát điện</v>
      </c>
      <c r="I8981" s="59" t="str">
        <f>IF(OR($A8981="",$C8981="",$D8981="",$E8981="",$H8981=""),"",SUMIFS(DATA_GOC!$H:$H,DATA_GOC!$A:$A,"BOM",DATA_GOC!$D:$D,$H8981,DATA_GOC!$E:$E,$C8981,DATA_GOC!$F:$F,"Xuất nội bộ từ téc",DATA_GOC!$B:$B,"&gt;="&amp;$D8981,DATA_GOC!$B:$B,"&lt;="&amp;$E8981))</f>
        <v/>
      </c>
      <c r="J8981" s="59">
        <f t="shared" si="28"/>
        <v>0</v>
      </c>
      <c r="K8981" s="59">
        <f t="shared" si="29"/>
        <v>0</v>
      </c>
      <c r="L8981" s="59">
        <f t="shared" si="30"/>
        <v>0</v>
      </c>
      <c r="M8981" s="59">
        <f t="shared" si="31"/>
        <v>0</v>
      </c>
    </row>
    <row r="8982" ht="15.0" hidden="1" customHeight="1">
      <c r="A8982" s="59">
        <f t="shared" si="20"/>
        <v>146</v>
      </c>
      <c r="B8982" s="59" t="str">
        <f t="shared" si="21"/>
        <v/>
      </c>
      <c r="C8982" s="59" t="str">
        <f t="shared" si="22"/>
        <v/>
      </c>
      <c r="D8982" s="59" t="str">
        <f t="shared" si="23"/>
        <v/>
      </c>
      <c r="E8982" s="59" t="str">
        <f t="shared" si="24"/>
        <v/>
      </c>
      <c r="F8982" s="59" t="str">
        <f t="shared" si="25"/>
        <v/>
      </c>
      <c r="G8982" s="59" t="str">
        <f t="shared" si="26"/>
        <v/>
      </c>
      <c r="H8982" s="59" t="str">
        <f t="shared" si="27"/>
        <v>Máy rải thảm</v>
      </c>
      <c r="I8982" s="59" t="str">
        <f>IF(OR($A8982="",$C8982="",$D8982="",$E8982="",$H8982=""),"",SUMIFS(DATA_GOC!$H:$H,DATA_GOC!$A:$A,"BOM",DATA_GOC!$D:$D,$H8982,DATA_GOC!$E:$E,$C8982,DATA_GOC!$F:$F,"Xuất nội bộ từ téc",DATA_GOC!$B:$B,"&gt;="&amp;$D8982,DATA_GOC!$B:$B,"&lt;="&amp;$E8982))</f>
        <v/>
      </c>
      <c r="J8982" s="59">
        <f t="shared" si="28"/>
        <v>0</v>
      </c>
      <c r="K8982" s="59">
        <f t="shared" si="29"/>
        <v>0</v>
      </c>
      <c r="L8982" s="59">
        <f t="shared" si="30"/>
        <v>0</v>
      </c>
      <c r="M8982" s="59">
        <f t="shared" si="31"/>
        <v>0</v>
      </c>
    </row>
    <row r="8983" ht="15.0" hidden="1" customHeight="1">
      <c r="A8983" s="59">
        <f t="shared" si="20"/>
        <v>146</v>
      </c>
      <c r="B8983" s="59" t="str">
        <f t="shared" si="21"/>
        <v/>
      </c>
      <c r="C8983" s="59" t="str">
        <f t="shared" si="22"/>
        <v/>
      </c>
      <c r="D8983" s="59" t="str">
        <f t="shared" si="23"/>
        <v/>
      </c>
      <c r="E8983" s="59" t="str">
        <f t="shared" si="24"/>
        <v/>
      </c>
      <c r="F8983" s="59" t="str">
        <f t="shared" si="25"/>
        <v/>
      </c>
      <c r="G8983" s="59" t="str">
        <f t="shared" si="26"/>
        <v/>
      </c>
      <c r="H8983" s="59" t="str">
        <f t="shared" si="27"/>
        <v>Xúc Đào</v>
      </c>
      <c r="I8983" s="59" t="str">
        <f>IF(OR($A8983="",$C8983="",$D8983="",$E8983="",$H8983=""),"",SUMIFS(DATA_GOC!$H:$H,DATA_GOC!$A:$A,"BOM",DATA_GOC!$D:$D,$H8983,DATA_GOC!$E:$E,$C8983,DATA_GOC!$F:$F,"Xuất nội bộ từ téc",DATA_GOC!$B:$B,"&gt;="&amp;$D8983,DATA_GOC!$B:$B,"&lt;="&amp;$E8983))</f>
        <v/>
      </c>
      <c r="J8983" s="59">
        <f t="shared" si="28"/>
        <v>0</v>
      </c>
      <c r="K8983" s="59">
        <f t="shared" si="29"/>
        <v>0</v>
      </c>
      <c r="L8983" s="59">
        <f t="shared" si="30"/>
        <v>0</v>
      </c>
      <c r="M8983" s="59">
        <f t="shared" si="31"/>
        <v>0</v>
      </c>
    </row>
    <row r="8984" ht="15.0" hidden="1" customHeight="1">
      <c r="A8984" s="59">
        <f t="shared" si="20"/>
        <v>146</v>
      </c>
      <c r="B8984" s="59" t="str">
        <f t="shared" si="21"/>
        <v/>
      </c>
      <c r="C8984" s="59" t="str">
        <f t="shared" si="22"/>
        <v/>
      </c>
      <c r="D8984" s="59" t="str">
        <f t="shared" si="23"/>
        <v/>
      </c>
      <c r="E8984" s="59" t="str">
        <f t="shared" si="24"/>
        <v/>
      </c>
      <c r="F8984" s="59" t="str">
        <f t="shared" si="25"/>
        <v/>
      </c>
      <c r="G8984" s="59" t="str">
        <f t="shared" si="26"/>
        <v/>
      </c>
      <c r="H8984" s="59" t="str">
        <f t="shared" si="27"/>
        <v>Xúclật asphalt</v>
      </c>
      <c r="I8984" s="59" t="str">
        <f>IF(OR($A8984="",$C8984="",$D8984="",$E8984="",$H8984=""),"",SUMIFS(DATA_GOC!$H:$H,DATA_GOC!$A:$A,"BOM",DATA_GOC!$D:$D,$H8984,DATA_GOC!$E:$E,$C8984,DATA_GOC!$F:$F,"Xuất nội bộ từ téc",DATA_GOC!$B:$B,"&gt;="&amp;$D8984,DATA_GOC!$B:$B,"&lt;="&amp;$E8984))</f>
        <v/>
      </c>
      <c r="J8984" s="59">
        <f t="shared" si="28"/>
        <v>0</v>
      </c>
      <c r="K8984" s="59">
        <f t="shared" si="29"/>
        <v>0</v>
      </c>
      <c r="L8984" s="59">
        <f t="shared" si="30"/>
        <v>0</v>
      </c>
      <c r="M8984" s="59">
        <f t="shared" si="31"/>
        <v>0</v>
      </c>
    </row>
    <row r="8985" ht="15.0" hidden="1" customHeight="1">
      <c r="A8985" s="59">
        <f t="shared" si="20"/>
        <v>146</v>
      </c>
      <c r="B8985" s="59" t="str">
        <f t="shared" si="21"/>
        <v/>
      </c>
      <c r="C8985" s="59" t="str">
        <f t="shared" si="22"/>
        <v/>
      </c>
      <c r="D8985" s="59" t="str">
        <f t="shared" si="23"/>
        <v/>
      </c>
      <c r="E8985" s="59" t="str">
        <f t="shared" si="24"/>
        <v/>
      </c>
      <c r="F8985" s="59" t="str">
        <f t="shared" si="25"/>
        <v/>
      </c>
      <c r="G8985" s="59" t="str">
        <f t="shared" si="26"/>
        <v/>
      </c>
      <c r="H8985" s="59" t="str">
        <f t="shared" si="27"/>
        <v>Xúclật855H</v>
      </c>
      <c r="I8985" s="59" t="str">
        <f>IF(OR($A8985="",$C8985="",$D8985="",$E8985="",$H8985=""),"",SUMIFS(DATA_GOC!$H:$H,DATA_GOC!$A:$A,"BOM",DATA_GOC!$D:$D,$H8985,DATA_GOC!$E:$E,$C8985,DATA_GOC!$F:$F,"Xuất nội bộ từ téc",DATA_GOC!$B:$B,"&gt;="&amp;$D8985,DATA_GOC!$B:$B,"&lt;="&amp;$E8985))</f>
        <v/>
      </c>
      <c r="J8985" s="59">
        <f t="shared" si="28"/>
        <v>0</v>
      </c>
      <c r="K8985" s="59">
        <f t="shared" si="29"/>
        <v>0</v>
      </c>
      <c r="L8985" s="59">
        <f t="shared" si="30"/>
        <v>0</v>
      </c>
      <c r="M8985" s="59">
        <f t="shared" si="31"/>
        <v>0</v>
      </c>
    </row>
    <row r="8986" ht="15.0" hidden="1" customHeight="1">
      <c r="A8986" s="59">
        <f t="shared" si="20"/>
        <v>146</v>
      </c>
      <c r="B8986" s="59" t="str">
        <f t="shared" si="21"/>
        <v/>
      </c>
      <c r="C8986" s="59" t="str">
        <f t="shared" si="22"/>
        <v/>
      </c>
      <c r="D8986" s="59" t="str">
        <f t="shared" si="23"/>
        <v/>
      </c>
      <c r="E8986" s="59" t="str">
        <f t="shared" si="24"/>
        <v/>
      </c>
      <c r="F8986" s="59" t="str">
        <f t="shared" si="25"/>
        <v/>
      </c>
      <c r="G8986" s="59" t="str">
        <f t="shared" si="26"/>
        <v/>
      </c>
      <c r="H8986" s="59" t="str">
        <f t="shared" si="27"/>
        <v>Xúclật855N</v>
      </c>
      <c r="I8986" s="59" t="str">
        <f>IF(OR($A8986="",$C8986="",$D8986="",$E8986="",$H8986=""),"",SUMIFS(DATA_GOC!$H:$H,DATA_GOC!$A:$A,"BOM",DATA_GOC!$D:$D,$H8986,DATA_GOC!$E:$E,$C8986,DATA_GOC!$F:$F,"Xuất nội bộ từ téc",DATA_GOC!$B:$B,"&gt;="&amp;$D8986,DATA_GOC!$B:$B,"&lt;="&amp;$E8986))</f>
        <v/>
      </c>
      <c r="J8986" s="59">
        <f t="shared" si="28"/>
        <v>0</v>
      </c>
      <c r="K8986" s="59">
        <f t="shared" si="29"/>
        <v>0</v>
      </c>
      <c r="L8986" s="59">
        <f t="shared" si="30"/>
        <v>0</v>
      </c>
      <c r="M8986" s="59">
        <f t="shared" si="31"/>
        <v>0</v>
      </c>
    </row>
    <row r="8987" ht="15.0" hidden="1" customHeight="1">
      <c r="A8987" s="59">
        <f t="shared" si="20"/>
        <v>146</v>
      </c>
      <c r="B8987" s="59" t="str">
        <f t="shared" si="21"/>
        <v/>
      </c>
      <c r="C8987" s="59" t="str">
        <f t="shared" si="22"/>
        <v/>
      </c>
      <c r="D8987" s="59" t="str">
        <f t="shared" si="23"/>
        <v/>
      </c>
      <c r="E8987" s="59" t="str">
        <f t="shared" si="24"/>
        <v/>
      </c>
      <c r="F8987" s="59" t="str">
        <f t="shared" si="25"/>
        <v/>
      </c>
      <c r="G8987" s="59" t="str">
        <f t="shared" si="26"/>
        <v/>
      </c>
      <c r="H8987" s="59" t="str">
        <f t="shared" si="27"/>
        <v>Cát nghiền</v>
      </c>
      <c r="I8987" s="59" t="str">
        <f>IF(OR($A8987="",$C8987="",$D8987="",$E8987="",$H8987=""),"",SUMIFS(DATA_GOC!$H:$H,DATA_GOC!$A:$A,"BOM",DATA_GOC!$D:$D,$H8987,DATA_GOC!$E:$E,$C8987,DATA_GOC!$F:$F,"Xuất nội bộ từ téc",DATA_GOC!$B:$B,"&gt;="&amp;$D8987,DATA_GOC!$B:$B,"&lt;="&amp;$E8987))</f>
        <v/>
      </c>
      <c r="J8987" s="59">
        <f t="shared" si="28"/>
        <v>0</v>
      </c>
      <c r="K8987" s="59">
        <f t="shared" si="29"/>
        <v>0</v>
      </c>
      <c r="L8987" s="59">
        <f t="shared" si="30"/>
        <v>0</v>
      </c>
      <c r="M8987" s="59">
        <f t="shared" si="31"/>
        <v>0</v>
      </c>
    </row>
    <row r="8988" ht="15.0" hidden="1" customHeight="1">
      <c r="A8988" s="59">
        <f t="shared" si="20"/>
        <v>146</v>
      </c>
      <c r="B8988" s="59" t="str">
        <f t="shared" si="21"/>
        <v/>
      </c>
      <c r="C8988" s="59" t="str">
        <f t="shared" si="22"/>
        <v/>
      </c>
      <c r="D8988" s="59" t="str">
        <f t="shared" si="23"/>
        <v/>
      </c>
      <c r="E8988" s="59" t="str">
        <f t="shared" si="24"/>
        <v/>
      </c>
      <c r="F8988" s="59" t="str">
        <f t="shared" si="25"/>
        <v/>
      </c>
      <c r="G8988" s="59" t="str">
        <f t="shared" si="26"/>
        <v/>
      </c>
      <c r="H8988" s="59" t="str">
        <f t="shared" si="27"/>
        <v>28C02973</v>
      </c>
      <c r="I8988" s="59" t="str">
        <f>IF(OR($A8988="",$C8988="",$D8988="",$E8988="",$H8988=""),"",SUMIFS(DATA_GOC!$H:$H,DATA_GOC!$A:$A,"BOM",DATA_GOC!$D:$D,$H8988,DATA_GOC!$E:$E,$C8988,DATA_GOC!$F:$F,"Xuất nội bộ từ téc",DATA_GOC!$B:$B,"&gt;="&amp;$D8988,DATA_GOC!$B:$B,"&lt;="&amp;$E8988))</f>
        <v/>
      </c>
      <c r="J8988" s="59">
        <f t="shared" si="28"/>
        <v>0</v>
      </c>
      <c r="K8988" s="59">
        <f t="shared" si="29"/>
        <v>0</v>
      </c>
      <c r="L8988" s="59">
        <f t="shared" si="30"/>
        <v>0</v>
      </c>
      <c r="M8988" s="59">
        <f t="shared" si="31"/>
        <v>0</v>
      </c>
    </row>
    <row r="8989" ht="15.0" hidden="1" customHeight="1">
      <c r="A8989" s="59">
        <f t="shared" si="20"/>
        <v>146</v>
      </c>
      <c r="B8989" s="59" t="str">
        <f t="shared" si="21"/>
        <v/>
      </c>
      <c r="C8989" s="59" t="str">
        <f t="shared" si="22"/>
        <v/>
      </c>
      <c r="D8989" s="59" t="str">
        <f t="shared" si="23"/>
        <v/>
      </c>
      <c r="E8989" s="59" t="str">
        <f t="shared" si="24"/>
        <v/>
      </c>
      <c r="F8989" s="59" t="str">
        <f t="shared" si="25"/>
        <v/>
      </c>
      <c r="G8989" s="59" t="str">
        <f t="shared" si="26"/>
        <v/>
      </c>
      <c r="H8989" s="59" t="str">
        <f t="shared" si="27"/>
        <v>28C03044</v>
      </c>
      <c r="I8989" s="59" t="str">
        <f>IF(OR($A8989="",$C8989="",$D8989="",$E8989="",$H8989=""),"",SUMIFS(DATA_GOC!$H:$H,DATA_GOC!$A:$A,"BOM",DATA_GOC!$D:$D,$H8989,DATA_GOC!$E:$E,$C8989,DATA_GOC!$F:$F,"Xuất nội bộ từ téc",DATA_GOC!$B:$B,"&gt;="&amp;$D8989,DATA_GOC!$B:$B,"&lt;="&amp;$E8989))</f>
        <v/>
      </c>
      <c r="J8989" s="59">
        <f t="shared" si="28"/>
        <v>0</v>
      </c>
      <c r="K8989" s="59">
        <f t="shared" si="29"/>
        <v>0</v>
      </c>
      <c r="L8989" s="59">
        <f t="shared" si="30"/>
        <v>0</v>
      </c>
      <c r="M8989" s="59">
        <f t="shared" si="31"/>
        <v>0</v>
      </c>
    </row>
    <row r="8990" ht="15.0" hidden="1" customHeight="1">
      <c r="A8990" s="59">
        <f t="shared" si="20"/>
        <v>146</v>
      </c>
      <c r="B8990" s="59" t="str">
        <f t="shared" si="21"/>
        <v/>
      </c>
      <c r="C8990" s="59" t="str">
        <f t="shared" si="22"/>
        <v/>
      </c>
      <c r="D8990" s="59" t="str">
        <f t="shared" si="23"/>
        <v/>
      </c>
      <c r="E8990" s="59" t="str">
        <f t="shared" si="24"/>
        <v/>
      </c>
      <c r="F8990" s="59" t="str">
        <f t="shared" si="25"/>
        <v/>
      </c>
      <c r="G8990" s="59" t="str">
        <f t="shared" si="26"/>
        <v/>
      </c>
      <c r="H8990" s="59" t="str">
        <f t="shared" si="27"/>
        <v>Máy lu lốp</v>
      </c>
      <c r="I8990" s="59" t="str">
        <f>IF(OR($A8990="",$C8990="",$D8990="",$E8990="",$H8990=""),"",SUMIFS(DATA_GOC!$H:$H,DATA_GOC!$A:$A,"BOM",DATA_GOC!$D:$D,$H8990,DATA_GOC!$E:$E,$C8990,DATA_GOC!$F:$F,"Xuất nội bộ từ téc",DATA_GOC!$B:$B,"&gt;="&amp;$D8990,DATA_GOC!$B:$B,"&lt;="&amp;$E8990))</f>
        <v/>
      </c>
      <c r="J8990" s="59">
        <f t="shared" si="28"/>
        <v>0</v>
      </c>
      <c r="K8990" s="59">
        <f t="shared" si="29"/>
        <v>0</v>
      </c>
      <c r="L8990" s="59">
        <f t="shared" si="30"/>
        <v>0</v>
      </c>
      <c r="M8990" s="59">
        <f t="shared" si="31"/>
        <v>0</v>
      </c>
    </row>
    <row r="8991" ht="15.0" hidden="1" customHeight="1">
      <c r="A8991" s="59">
        <f t="shared" si="20"/>
        <v>146</v>
      </c>
      <c r="B8991" s="59" t="str">
        <f t="shared" si="21"/>
        <v/>
      </c>
      <c r="C8991" s="59" t="str">
        <f t="shared" si="22"/>
        <v/>
      </c>
      <c r="D8991" s="59" t="str">
        <f t="shared" si="23"/>
        <v/>
      </c>
      <c r="E8991" s="59" t="str">
        <f t="shared" si="24"/>
        <v/>
      </c>
      <c r="F8991" s="59" t="str">
        <f t="shared" si="25"/>
        <v/>
      </c>
      <c r="G8991" s="59" t="str">
        <f t="shared" si="26"/>
        <v/>
      </c>
      <c r="H8991" s="59" t="str">
        <f t="shared" si="27"/>
        <v>Xe 600148</v>
      </c>
      <c r="I8991" s="59" t="str">
        <f>IF(OR($A8991="",$C8991="",$D8991="",$E8991="",$H8991=""),"",SUMIFS(DATA_GOC!$H:$H,DATA_GOC!$A:$A,"BOM",DATA_GOC!$D:$D,$H8991,DATA_GOC!$E:$E,$C8991,DATA_GOC!$F:$F,"Xuất nội bộ từ téc",DATA_GOC!$B:$B,"&gt;="&amp;$D8991,DATA_GOC!$B:$B,"&lt;="&amp;$E8991))</f>
        <v/>
      </c>
      <c r="J8991" s="59">
        <f t="shared" si="28"/>
        <v>0</v>
      </c>
      <c r="K8991" s="59">
        <f t="shared" si="29"/>
        <v>0</v>
      </c>
      <c r="L8991" s="59">
        <f t="shared" si="30"/>
        <v>0</v>
      </c>
      <c r="M8991" s="59">
        <f t="shared" si="31"/>
        <v>0</v>
      </c>
    </row>
    <row r="8992" ht="15.0" hidden="1" customHeight="1">
      <c r="A8992" s="59">
        <f t="shared" si="20"/>
        <v>146</v>
      </c>
      <c r="B8992" s="59" t="str">
        <f t="shared" si="21"/>
        <v/>
      </c>
      <c r="C8992" s="59" t="str">
        <f t="shared" si="22"/>
        <v/>
      </c>
      <c r="D8992" s="59" t="str">
        <f t="shared" si="23"/>
        <v/>
      </c>
      <c r="E8992" s="59" t="str">
        <f t="shared" si="24"/>
        <v/>
      </c>
      <c r="F8992" s="59" t="str">
        <f t="shared" si="25"/>
        <v/>
      </c>
      <c r="G8992" s="59" t="str">
        <f t="shared" si="26"/>
        <v/>
      </c>
      <c r="H8992" s="59" t="str">
        <f t="shared" si="27"/>
        <v>Xe ben mới</v>
      </c>
      <c r="I8992" s="59" t="str">
        <f>IF(OR($A8992="",$C8992="",$D8992="",$E8992="",$H8992=""),"",SUMIFS(DATA_GOC!$H:$H,DATA_GOC!$A:$A,"BOM",DATA_GOC!$D:$D,$H8992,DATA_GOC!$E:$E,$C8992,DATA_GOC!$F:$F,"Xuất nội bộ từ téc",DATA_GOC!$B:$B,"&gt;="&amp;$D8992,DATA_GOC!$B:$B,"&lt;="&amp;$E8992))</f>
        <v/>
      </c>
      <c r="J8992" s="59">
        <f t="shared" si="28"/>
        <v>0</v>
      </c>
      <c r="K8992" s="59">
        <f t="shared" si="29"/>
        <v>0</v>
      </c>
      <c r="L8992" s="59">
        <f t="shared" si="30"/>
        <v>0</v>
      </c>
      <c r="M8992" s="59">
        <f t="shared" si="31"/>
        <v>0</v>
      </c>
    </row>
    <row r="8993" ht="15.0" hidden="1" customHeight="1">
      <c r="A8993" s="59">
        <f t="shared" si="20"/>
        <v>147</v>
      </c>
      <c r="B8993" s="59" t="str">
        <f t="shared" si="21"/>
        <v/>
      </c>
      <c r="C8993" s="59" t="str">
        <f t="shared" si="22"/>
        <v/>
      </c>
      <c r="D8993" s="59" t="str">
        <f t="shared" si="23"/>
        <v/>
      </c>
      <c r="E8993" s="59" t="str">
        <f t="shared" si="24"/>
        <v/>
      </c>
      <c r="F8993" s="59" t="str">
        <f t="shared" si="25"/>
        <v/>
      </c>
      <c r="G8993" s="59" t="str">
        <f t="shared" si="26"/>
        <v/>
      </c>
      <c r="H8993" s="59" t="str">
        <f t="shared" si="27"/>
        <v>19H09482</v>
      </c>
      <c r="I8993" s="59" t="str">
        <f>IF(OR($A8993="",$C8993="",$D8993="",$E8993="",$H8993=""),"",SUMIFS(DATA_GOC!$H:$H,DATA_GOC!$A:$A,"BOM",DATA_GOC!$D:$D,$H8993,DATA_GOC!$E:$E,$C8993,DATA_GOC!$F:$F,"Xuất nội bộ từ téc",DATA_GOC!$B:$B,"&gt;="&amp;$D8993,DATA_GOC!$B:$B,"&lt;="&amp;$E8993))</f>
        <v/>
      </c>
      <c r="J8993" s="59">
        <f t="shared" si="28"/>
        <v>0</v>
      </c>
      <c r="K8993" s="59">
        <f t="shared" si="29"/>
        <v>0</v>
      </c>
      <c r="L8993" s="59">
        <f t="shared" si="30"/>
        <v>0</v>
      </c>
      <c r="M8993" s="59">
        <f t="shared" si="31"/>
        <v>0</v>
      </c>
    </row>
    <row r="8994" ht="15.0" hidden="1" customHeight="1">
      <c r="A8994" s="59">
        <f t="shared" si="20"/>
        <v>147</v>
      </c>
      <c r="B8994" s="59" t="str">
        <f t="shared" si="21"/>
        <v/>
      </c>
      <c r="C8994" s="59" t="str">
        <f t="shared" si="22"/>
        <v/>
      </c>
      <c r="D8994" s="59" t="str">
        <f t="shared" si="23"/>
        <v/>
      </c>
      <c r="E8994" s="59" t="str">
        <f t="shared" si="24"/>
        <v/>
      </c>
      <c r="F8994" s="59" t="str">
        <f t="shared" si="25"/>
        <v/>
      </c>
      <c r="G8994" s="59" t="str">
        <f t="shared" si="26"/>
        <v/>
      </c>
      <c r="H8994" s="59" t="str">
        <f t="shared" si="27"/>
        <v>28A30696</v>
      </c>
      <c r="I8994" s="59" t="str">
        <f>IF(OR($A8994="",$C8994="",$D8994="",$E8994="",$H8994=""),"",SUMIFS(DATA_GOC!$H:$H,DATA_GOC!$A:$A,"BOM",DATA_GOC!$D:$D,$H8994,DATA_GOC!$E:$E,$C8994,DATA_GOC!$F:$F,"Xuất nội bộ từ téc",DATA_GOC!$B:$B,"&gt;="&amp;$D8994,DATA_GOC!$B:$B,"&lt;="&amp;$E8994))</f>
        <v/>
      </c>
      <c r="J8994" s="59">
        <f t="shared" si="28"/>
        <v>0</v>
      </c>
      <c r="K8994" s="59">
        <f t="shared" si="29"/>
        <v>0</v>
      </c>
      <c r="L8994" s="59">
        <f t="shared" si="30"/>
        <v>0</v>
      </c>
      <c r="M8994" s="59">
        <f t="shared" si="31"/>
        <v>0</v>
      </c>
    </row>
    <row r="8995" ht="15.0" hidden="1" customHeight="1">
      <c r="A8995" s="59">
        <f t="shared" si="20"/>
        <v>147</v>
      </c>
      <c r="B8995" s="59" t="str">
        <f t="shared" si="21"/>
        <v/>
      </c>
      <c r="C8995" s="59" t="str">
        <f t="shared" si="22"/>
        <v/>
      </c>
      <c r="D8995" s="59" t="str">
        <f t="shared" si="23"/>
        <v/>
      </c>
      <c r="E8995" s="59" t="str">
        <f t="shared" si="24"/>
        <v/>
      </c>
      <c r="F8995" s="59" t="str">
        <f t="shared" si="25"/>
        <v/>
      </c>
      <c r="G8995" s="59" t="str">
        <f t="shared" si="26"/>
        <v/>
      </c>
      <c r="H8995" s="59" t="str">
        <f t="shared" si="27"/>
        <v>28C00462</v>
      </c>
      <c r="I8995" s="59" t="str">
        <f>IF(OR($A8995="",$C8995="",$D8995="",$E8995="",$H8995=""),"",SUMIFS(DATA_GOC!$H:$H,DATA_GOC!$A:$A,"BOM",DATA_GOC!$D:$D,$H8995,DATA_GOC!$E:$E,$C8995,DATA_GOC!$F:$F,"Xuất nội bộ từ téc",DATA_GOC!$B:$B,"&gt;="&amp;$D8995,DATA_GOC!$B:$B,"&lt;="&amp;$E8995))</f>
        <v/>
      </c>
      <c r="J8995" s="59">
        <f t="shared" si="28"/>
        <v>0</v>
      </c>
      <c r="K8995" s="59">
        <f t="shared" si="29"/>
        <v>0</v>
      </c>
      <c r="L8995" s="59">
        <f t="shared" si="30"/>
        <v>0</v>
      </c>
      <c r="M8995" s="59">
        <f t="shared" si="31"/>
        <v>0</v>
      </c>
    </row>
    <row r="8996" ht="15.0" hidden="1" customHeight="1">
      <c r="A8996" s="59">
        <f t="shared" si="20"/>
        <v>147</v>
      </c>
      <c r="B8996" s="59" t="str">
        <f t="shared" si="21"/>
        <v/>
      </c>
      <c r="C8996" s="59" t="str">
        <f t="shared" si="22"/>
        <v/>
      </c>
      <c r="D8996" s="59" t="str">
        <f t="shared" si="23"/>
        <v/>
      </c>
      <c r="E8996" s="59" t="str">
        <f t="shared" si="24"/>
        <v/>
      </c>
      <c r="F8996" s="59" t="str">
        <f t="shared" si="25"/>
        <v/>
      </c>
      <c r="G8996" s="59" t="str">
        <f t="shared" si="26"/>
        <v/>
      </c>
      <c r="H8996" s="59" t="str">
        <f t="shared" si="27"/>
        <v>28C01165</v>
      </c>
      <c r="I8996" s="59" t="str">
        <f>IF(OR($A8996="",$C8996="",$D8996="",$E8996="",$H8996=""),"",SUMIFS(DATA_GOC!$H:$H,DATA_GOC!$A:$A,"BOM",DATA_GOC!$D:$D,$H8996,DATA_GOC!$E:$E,$C8996,DATA_GOC!$F:$F,"Xuất nội bộ từ téc",DATA_GOC!$B:$B,"&gt;="&amp;$D8996,DATA_GOC!$B:$B,"&lt;="&amp;$E8996))</f>
        <v/>
      </c>
      <c r="J8996" s="59">
        <f t="shared" si="28"/>
        <v>0</v>
      </c>
      <c r="K8996" s="59">
        <f t="shared" si="29"/>
        <v>0</v>
      </c>
      <c r="L8996" s="59">
        <f t="shared" si="30"/>
        <v>0</v>
      </c>
      <c r="M8996" s="59">
        <f t="shared" si="31"/>
        <v>0</v>
      </c>
    </row>
    <row r="8997" ht="15.0" hidden="1" customHeight="1">
      <c r="A8997" s="59">
        <f t="shared" si="20"/>
        <v>147</v>
      </c>
      <c r="B8997" s="59" t="str">
        <f t="shared" si="21"/>
        <v/>
      </c>
      <c r="C8997" s="59" t="str">
        <f t="shared" si="22"/>
        <v/>
      </c>
      <c r="D8997" s="59" t="str">
        <f t="shared" si="23"/>
        <v/>
      </c>
      <c r="E8997" s="59" t="str">
        <f t="shared" si="24"/>
        <v/>
      </c>
      <c r="F8997" s="59" t="str">
        <f t="shared" si="25"/>
        <v/>
      </c>
      <c r="G8997" s="59" t="str">
        <f t="shared" si="26"/>
        <v/>
      </c>
      <c r="H8997" s="59" t="str">
        <f t="shared" si="27"/>
        <v>28C01406</v>
      </c>
      <c r="I8997" s="59" t="str">
        <f>IF(OR($A8997="",$C8997="",$D8997="",$E8997="",$H8997=""),"",SUMIFS(DATA_GOC!$H:$H,DATA_GOC!$A:$A,"BOM",DATA_GOC!$D:$D,$H8997,DATA_GOC!$E:$E,$C8997,DATA_GOC!$F:$F,"Xuất nội bộ từ téc",DATA_GOC!$B:$B,"&gt;="&amp;$D8997,DATA_GOC!$B:$B,"&lt;="&amp;$E8997))</f>
        <v/>
      </c>
      <c r="J8997" s="59">
        <f t="shared" si="28"/>
        <v>0</v>
      </c>
      <c r="K8997" s="59">
        <f t="shared" si="29"/>
        <v>0</v>
      </c>
      <c r="L8997" s="59">
        <f t="shared" si="30"/>
        <v>0</v>
      </c>
      <c r="M8997" s="59">
        <f t="shared" si="31"/>
        <v>0</v>
      </c>
    </row>
    <row r="8998" ht="15.0" hidden="1" customHeight="1">
      <c r="A8998" s="59">
        <f t="shared" si="20"/>
        <v>147</v>
      </c>
      <c r="B8998" s="59" t="str">
        <f t="shared" si="21"/>
        <v/>
      </c>
      <c r="C8998" s="59" t="str">
        <f t="shared" si="22"/>
        <v/>
      </c>
      <c r="D8998" s="59" t="str">
        <f t="shared" si="23"/>
        <v/>
      </c>
      <c r="E8998" s="59" t="str">
        <f t="shared" si="24"/>
        <v/>
      </c>
      <c r="F8998" s="59" t="str">
        <f t="shared" si="25"/>
        <v/>
      </c>
      <c r="G8998" s="59" t="str">
        <f t="shared" si="26"/>
        <v/>
      </c>
      <c r="H8998" s="59" t="str">
        <f t="shared" si="27"/>
        <v>28C01544</v>
      </c>
      <c r="I8998" s="59" t="str">
        <f>IF(OR($A8998="",$C8998="",$D8998="",$E8998="",$H8998=""),"",SUMIFS(DATA_GOC!$H:$H,DATA_GOC!$A:$A,"BOM",DATA_GOC!$D:$D,$H8998,DATA_GOC!$E:$E,$C8998,DATA_GOC!$F:$F,"Xuất nội bộ từ téc",DATA_GOC!$B:$B,"&gt;="&amp;$D8998,DATA_GOC!$B:$B,"&lt;="&amp;$E8998))</f>
        <v/>
      </c>
      <c r="J8998" s="59">
        <f t="shared" si="28"/>
        <v>0</v>
      </c>
      <c r="K8998" s="59">
        <f t="shared" si="29"/>
        <v>0</v>
      </c>
      <c r="L8998" s="59">
        <f t="shared" si="30"/>
        <v>0</v>
      </c>
      <c r="M8998" s="59">
        <f t="shared" si="31"/>
        <v>0</v>
      </c>
    </row>
    <row r="8999" ht="15.0" hidden="1" customHeight="1">
      <c r="A8999" s="59">
        <f t="shared" si="20"/>
        <v>147</v>
      </c>
      <c r="B8999" s="59" t="str">
        <f t="shared" si="21"/>
        <v/>
      </c>
      <c r="C8999" s="59" t="str">
        <f t="shared" si="22"/>
        <v/>
      </c>
      <c r="D8999" s="59" t="str">
        <f t="shared" si="23"/>
        <v/>
      </c>
      <c r="E8999" s="59" t="str">
        <f t="shared" si="24"/>
        <v/>
      </c>
      <c r="F8999" s="59" t="str">
        <f t="shared" si="25"/>
        <v/>
      </c>
      <c r="G8999" s="59" t="str">
        <f t="shared" si="26"/>
        <v/>
      </c>
      <c r="H8999" s="59" t="str">
        <f t="shared" si="27"/>
        <v>28C01622</v>
      </c>
      <c r="I8999" s="59" t="str">
        <f>IF(OR($A8999="",$C8999="",$D8999="",$E8999="",$H8999=""),"",SUMIFS(DATA_GOC!$H:$H,DATA_GOC!$A:$A,"BOM",DATA_GOC!$D:$D,$H8999,DATA_GOC!$E:$E,$C8999,DATA_GOC!$F:$F,"Xuất nội bộ từ téc",DATA_GOC!$B:$B,"&gt;="&amp;$D8999,DATA_GOC!$B:$B,"&lt;="&amp;$E8999))</f>
        <v/>
      </c>
      <c r="J8999" s="59">
        <f t="shared" si="28"/>
        <v>0</v>
      </c>
      <c r="K8999" s="59">
        <f t="shared" si="29"/>
        <v>0</v>
      </c>
      <c r="L8999" s="59">
        <f t="shared" si="30"/>
        <v>0</v>
      </c>
      <c r="M8999" s="59">
        <f t="shared" si="31"/>
        <v>0</v>
      </c>
    </row>
    <row r="9000" ht="15.0" hidden="1" customHeight="1">
      <c r="A9000" s="59">
        <f t="shared" si="20"/>
        <v>147</v>
      </c>
      <c r="B9000" s="59" t="str">
        <f t="shared" si="21"/>
        <v/>
      </c>
      <c r="C9000" s="59" t="str">
        <f t="shared" si="22"/>
        <v/>
      </c>
      <c r="D9000" s="59" t="str">
        <f t="shared" si="23"/>
        <v/>
      </c>
      <c r="E9000" s="59" t="str">
        <f t="shared" si="24"/>
        <v/>
      </c>
      <c r="F9000" s="59" t="str">
        <f t="shared" si="25"/>
        <v/>
      </c>
      <c r="G9000" s="59" t="str">
        <f t="shared" si="26"/>
        <v/>
      </c>
      <c r="H9000" s="59" t="str">
        <f t="shared" si="27"/>
        <v>28C01647</v>
      </c>
      <c r="I9000" s="59" t="str">
        <f>IF(OR($A9000="",$C9000="",$D9000="",$E9000="",$H9000=""),"",SUMIFS(DATA_GOC!$H:$H,DATA_GOC!$A:$A,"BOM",DATA_GOC!$D:$D,$H9000,DATA_GOC!$E:$E,$C9000,DATA_GOC!$F:$F,"Xuất nội bộ từ téc",DATA_GOC!$B:$B,"&gt;="&amp;$D9000,DATA_GOC!$B:$B,"&lt;="&amp;$E9000))</f>
        <v/>
      </c>
      <c r="J9000" s="59">
        <f t="shared" si="28"/>
        <v>0</v>
      </c>
      <c r="K9000" s="59">
        <f t="shared" si="29"/>
        <v>0</v>
      </c>
      <c r="L9000" s="59">
        <f t="shared" si="30"/>
        <v>0</v>
      </c>
      <c r="M9000" s="59">
        <f t="shared" si="31"/>
        <v>0</v>
      </c>
    </row>
    <row r="9001" ht="15.0" hidden="1" customHeight="1">
      <c r="A9001" s="59">
        <f t="shared" si="20"/>
        <v>147</v>
      </c>
      <c r="B9001" s="59" t="str">
        <f t="shared" si="21"/>
        <v/>
      </c>
      <c r="C9001" s="59" t="str">
        <f t="shared" si="22"/>
        <v/>
      </c>
      <c r="D9001" s="59" t="str">
        <f t="shared" si="23"/>
        <v/>
      </c>
      <c r="E9001" s="59" t="str">
        <f t="shared" si="24"/>
        <v/>
      </c>
      <c r="F9001" s="59" t="str">
        <f t="shared" si="25"/>
        <v/>
      </c>
      <c r="G9001" s="59" t="str">
        <f t="shared" si="26"/>
        <v/>
      </c>
      <c r="H9001" s="59" t="str">
        <f t="shared" si="27"/>
        <v>28C01731</v>
      </c>
      <c r="I9001" s="59" t="str">
        <f>IF(OR($A9001="",$C9001="",$D9001="",$E9001="",$H9001=""),"",SUMIFS(DATA_GOC!$H:$H,DATA_GOC!$A:$A,"BOM",DATA_GOC!$D:$D,$H9001,DATA_GOC!$E:$E,$C9001,DATA_GOC!$F:$F,"Xuất nội bộ từ téc",DATA_GOC!$B:$B,"&gt;="&amp;$D9001,DATA_GOC!$B:$B,"&lt;="&amp;$E9001))</f>
        <v/>
      </c>
      <c r="J9001" s="59">
        <f t="shared" si="28"/>
        <v>0</v>
      </c>
      <c r="K9001" s="59">
        <f t="shared" si="29"/>
        <v>0</v>
      </c>
      <c r="L9001" s="59">
        <f t="shared" si="30"/>
        <v>0</v>
      </c>
      <c r="M9001" s="59">
        <f t="shared" si="31"/>
        <v>0</v>
      </c>
    </row>
    <row r="9002" ht="15.0" hidden="1" customHeight="1">
      <c r="A9002" s="59">
        <f t="shared" si="20"/>
        <v>147</v>
      </c>
      <c r="B9002" s="59" t="str">
        <f t="shared" si="21"/>
        <v/>
      </c>
      <c r="C9002" s="59" t="str">
        <f t="shared" si="22"/>
        <v/>
      </c>
      <c r="D9002" s="59" t="str">
        <f t="shared" si="23"/>
        <v/>
      </c>
      <c r="E9002" s="59" t="str">
        <f t="shared" si="24"/>
        <v/>
      </c>
      <c r="F9002" s="59" t="str">
        <f t="shared" si="25"/>
        <v/>
      </c>
      <c r="G9002" s="59" t="str">
        <f t="shared" si="26"/>
        <v/>
      </c>
      <c r="H9002" s="59" t="str">
        <f t="shared" si="27"/>
        <v>28C01743</v>
      </c>
      <c r="I9002" s="59" t="str">
        <f>IF(OR($A9002="",$C9002="",$D9002="",$E9002="",$H9002=""),"",SUMIFS(DATA_GOC!$H:$H,DATA_GOC!$A:$A,"BOM",DATA_GOC!$D:$D,$H9002,DATA_GOC!$E:$E,$C9002,DATA_GOC!$F:$F,"Xuất nội bộ từ téc",DATA_GOC!$B:$B,"&gt;="&amp;$D9002,DATA_GOC!$B:$B,"&lt;="&amp;$E9002))</f>
        <v/>
      </c>
      <c r="J9002" s="59">
        <f t="shared" si="28"/>
        <v>0</v>
      </c>
      <c r="K9002" s="59">
        <f t="shared" si="29"/>
        <v>0</v>
      </c>
      <c r="L9002" s="59">
        <f t="shared" si="30"/>
        <v>0</v>
      </c>
      <c r="M9002" s="59">
        <f t="shared" si="31"/>
        <v>0</v>
      </c>
    </row>
    <row r="9003" ht="15.0" hidden="1" customHeight="1">
      <c r="A9003" s="59">
        <f t="shared" si="20"/>
        <v>147</v>
      </c>
      <c r="B9003" s="59" t="str">
        <f t="shared" si="21"/>
        <v/>
      </c>
      <c r="C9003" s="59" t="str">
        <f t="shared" si="22"/>
        <v/>
      </c>
      <c r="D9003" s="59" t="str">
        <f t="shared" si="23"/>
        <v/>
      </c>
      <c r="E9003" s="59" t="str">
        <f t="shared" si="24"/>
        <v/>
      </c>
      <c r="F9003" s="59" t="str">
        <f t="shared" si="25"/>
        <v/>
      </c>
      <c r="G9003" s="59" t="str">
        <f t="shared" si="26"/>
        <v/>
      </c>
      <c r="H9003" s="59" t="str">
        <f t="shared" si="27"/>
        <v>28C02106</v>
      </c>
      <c r="I9003" s="59" t="str">
        <f>IF(OR($A9003="",$C9003="",$D9003="",$E9003="",$H9003=""),"",SUMIFS(DATA_GOC!$H:$H,DATA_GOC!$A:$A,"BOM",DATA_GOC!$D:$D,$H9003,DATA_GOC!$E:$E,$C9003,DATA_GOC!$F:$F,"Xuất nội bộ từ téc",DATA_GOC!$B:$B,"&gt;="&amp;$D9003,DATA_GOC!$B:$B,"&lt;="&amp;$E9003))</f>
        <v/>
      </c>
      <c r="J9003" s="59">
        <f t="shared" si="28"/>
        <v>0</v>
      </c>
      <c r="K9003" s="59">
        <f t="shared" si="29"/>
        <v>0</v>
      </c>
      <c r="L9003" s="59">
        <f t="shared" si="30"/>
        <v>0</v>
      </c>
      <c r="M9003" s="59">
        <f t="shared" si="31"/>
        <v>0</v>
      </c>
    </row>
    <row r="9004" ht="15.0" hidden="1" customHeight="1">
      <c r="A9004" s="59">
        <f t="shared" si="20"/>
        <v>147</v>
      </c>
      <c r="B9004" s="59" t="str">
        <f t="shared" si="21"/>
        <v/>
      </c>
      <c r="C9004" s="59" t="str">
        <f t="shared" si="22"/>
        <v/>
      </c>
      <c r="D9004" s="59" t="str">
        <f t="shared" si="23"/>
        <v/>
      </c>
      <c r="E9004" s="59" t="str">
        <f t="shared" si="24"/>
        <v/>
      </c>
      <c r="F9004" s="59" t="str">
        <f t="shared" si="25"/>
        <v/>
      </c>
      <c r="G9004" s="59" t="str">
        <f t="shared" si="26"/>
        <v/>
      </c>
      <c r="H9004" s="59" t="str">
        <f t="shared" si="27"/>
        <v>28C02410</v>
      </c>
      <c r="I9004" s="59" t="str">
        <f>IF(OR($A9004="",$C9004="",$D9004="",$E9004="",$H9004=""),"",SUMIFS(DATA_GOC!$H:$H,DATA_GOC!$A:$A,"BOM",DATA_GOC!$D:$D,$H9004,DATA_GOC!$E:$E,$C9004,DATA_GOC!$F:$F,"Xuất nội bộ từ téc",DATA_GOC!$B:$B,"&gt;="&amp;$D9004,DATA_GOC!$B:$B,"&lt;="&amp;$E9004))</f>
        <v/>
      </c>
      <c r="J9004" s="59">
        <f t="shared" si="28"/>
        <v>0</v>
      </c>
      <c r="K9004" s="59">
        <f t="shared" si="29"/>
        <v>0</v>
      </c>
      <c r="L9004" s="59">
        <f t="shared" si="30"/>
        <v>0</v>
      </c>
      <c r="M9004" s="59">
        <f t="shared" si="31"/>
        <v>0</v>
      </c>
    </row>
    <row r="9005" ht="15.0" hidden="1" customHeight="1">
      <c r="A9005" s="59">
        <f t="shared" si="20"/>
        <v>147</v>
      </c>
      <c r="B9005" s="59" t="str">
        <f t="shared" si="21"/>
        <v/>
      </c>
      <c r="C9005" s="59" t="str">
        <f t="shared" si="22"/>
        <v/>
      </c>
      <c r="D9005" s="59" t="str">
        <f t="shared" si="23"/>
        <v/>
      </c>
      <c r="E9005" s="59" t="str">
        <f t="shared" si="24"/>
        <v/>
      </c>
      <c r="F9005" s="59" t="str">
        <f t="shared" si="25"/>
        <v/>
      </c>
      <c r="G9005" s="59" t="str">
        <f t="shared" si="26"/>
        <v/>
      </c>
      <c r="H9005" s="59" t="str">
        <f t="shared" si="27"/>
        <v>28C02545</v>
      </c>
      <c r="I9005" s="59" t="str">
        <f>IF(OR($A9005="",$C9005="",$D9005="",$E9005="",$H9005=""),"",SUMIFS(DATA_GOC!$H:$H,DATA_GOC!$A:$A,"BOM",DATA_GOC!$D:$D,$H9005,DATA_GOC!$E:$E,$C9005,DATA_GOC!$F:$F,"Xuất nội bộ từ téc",DATA_GOC!$B:$B,"&gt;="&amp;$D9005,DATA_GOC!$B:$B,"&lt;="&amp;$E9005))</f>
        <v/>
      </c>
      <c r="J9005" s="59">
        <f t="shared" si="28"/>
        <v>0</v>
      </c>
      <c r="K9005" s="59">
        <f t="shared" si="29"/>
        <v>0</v>
      </c>
      <c r="L9005" s="59">
        <f t="shared" si="30"/>
        <v>0</v>
      </c>
      <c r="M9005" s="59">
        <f t="shared" si="31"/>
        <v>0</v>
      </c>
    </row>
    <row r="9006" ht="15.0" hidden="1" customHeight="1">
      <c r="A9006" s="59">
        <f t="shared" si="20"/>
        <v>147</v>
      </c>
      <c r="B9006" s="59" t="str">
        <f t="shared" si="21"/>
        <v/>
      </c>
      <c r="C9006" s="59" t="str">
        <f t="shared" si="22"/>
        <v/>
      </c>
      <c r="D9006" s="59" t="str">
        <f t="shared" si="23"/>
        <v/>
      </c>
      <c r="E9006" s="59" t="str">
        <f t="shared" si="24"/>
        <v/>
      </c>
      <c r="F9006" s="59" t="str">
        <f t="shared" si="25"/>
        <v/>
      </c>
      <c r="G9006" s="59" t="str">
        <f t="shared" si="26"/>
        <v/>
      </c>
      <c r="H9006" s="59" t="str">
        <f t="shared" si="27"/>
        <v>28C02574</v>
      </c>
      <c r="I9006" s="59" t="str">
        <f>IF(OR($A9006="",$C9006="",$D9006="",$E9006="",$H9006=""),"",SUMIFS(DATA_GOC!$H:$H,DATA_GOC!$A:$A,"BOM",DATA_GOC!$D:$D,$H9006,DATA_GOC!$E:$E,$C9006,DATA_GOC!$F:$F,"Xuất nội bộ từ téc",DATA_GOC!$B:$B,"&gt;="&amp;$D9006,DATA_GOC!$B:$B,"&lt;="&amp;$E9006))</f>
        <v/>
      </c>
      <c r="J9006" s="59">
        <f t="shared" si="28"/>
        <v>0</v>
      </c>
      <c r="K9006" s="59">
        <f t="shared" si="29"/>
        <v>0</v>
      </c>
      <c r="L9006" s="59">
        <f t="shared" si="30"/>
        <v>0</v>
      </c>
      <c r="M9006" s="59">
        <f t="shared" si="31"/>
        <v>0</v>
      </c>
    </row>
    <row r="9007" ht="15.0" hidden="1" customHeight="1">
      <c r="A9007" s="59">
        <f t="shared" si="20"/>
        <v>147</v>
      </c>
      <c r="B9007" s="59" t="str">
        <f t="shared" si="21"/>
        <v/>
      </c>
      <c r="C9007" s="59" t="str">
        <f t="shared" si="22"/>
        <v/>
      </c>
      <c r="D9007" s="59" t="str">
        <f t="shared" si="23"/>
        <v/>
      </c>
      <c r="E9007" s="59" t="str">
        <f t="shared" si="24"/>
        <v/>
      </c>
      <c r="F9007" s="59" t="str">
        <f t="shared" si="25"/>
        <v/>
      </c>
      <c r="G9007" s="59" t="str">
        <f t="shared" si="26"/>
        <v/>
      </c>
      <c r="H9007" s="59" t="str">
        <f t="shared" si="27"/>
        <v>28C02770</v>
      </c>
      <c r="I9007" s="59" t="str">
        <f>IF(OR($A9007="",$C9007="",$D9007="",$E9007="",$H9007=""),"",SUMIFS(DATA_GOC!$H:$H,DATA_GOC!$A:$A,"BOM",DATA_GOC!$D:$D,$H9007,DATA_GOC!$E:$E,$C9007,DATA_GOC!$F:$F,"Xuất nội bộ từ téc",DATA_GOC!$B:$B,"&gt;="&amp;$D9007,DATA_GOC!$B:$B,"&lt;="&amp;$E9007))</f>
        <v/>
      </c>
      <c r="J9007" s="59">
        <f t="shared" si="28"/>
        <v>0</v>
      </c>
      <c r="K9007" s="59">
        <f t="shared" si="29"/>
        <v>0</v>
      </c>
      <c r="L9007" s="59">
        <f t="shared" si="30"/>
        <v>0</v>
      </c>
      <c r="M9007" s="59">
        <f t="shared" si="31"/>
        <v>0</v>
      </c>
    </row>
    <row r="9008" ht="15.0" hidden="1" customHeight="1">
      <c r="A9008" s="59">
        <f t="shared" si="20"/>
        <v>147</v>
      </c>
      <c r="B9008" s="59" t="str">
        <f t="shared" si="21"/>
        <v/>
      </c>
      <c r="C9008" s="59" t="str">
        <f t="shared" si="22"/>
        <v/>
      </c>
      <c r="D9008" s="59" t="str">
        <f t="shared" si="23"/>
        <v/>
      </c>
      <c r="E9008" s="59" t="str">
        <f t="shared" si="24"/>
        <v/>
      </c>
      <c r="F9008" s="59" t="str">
        <f t="shared" si="25"/>
        <v/>
      </c>
      <c r="G9008" s="59" t="str">
        <f t="shared" si="26"/>
        <v/>
      </c>
      <c r="H9008" s="59" t="str">
        <f t="shared" si="27"/>
        <v>28C02986</v>
      </c>
      <c r="I9008" s="59" t="str">
        <f>IF(OR($A9008="",$C9008="",$D9008="",$E9008="",$H9008=""),"",SUMIFS(DATA_GOC!$H:$H,DATA_GOC!$A:$A,"BOM",DATA_GOC!$D:$D,$H9008,DATA_GOC!$E:$E,$C9008,DATA_GOC!$F:$F,"Xuất nội bộ từ téc",DATA_GOC!$B:$B,"&gt;="&amp;$D9008,DATA_GOC!$B:$B,"&lt;="&amp;$E9008))</f>
        <v/>
      </c>
      <c r="J9008" s="59">
        <f t="shared" si="28"/>
        <v>0</v>
      </c>
      <c r="K9008" s="59">
        <f t="shared" si="29"/>
        <v>0</v>
      </c>
      <c r="L9008" s="59">
        <f t="shared" si="30"/>
        <v>0</v>
      </c>
      <c r="M9008" s="59">
        <f t="shared" si="31"/>
        <v>0</v>
      </c>
    </row>
    <row r="9009" ht="15.0" hidden="1" customHeight="1">
      <c r="A9009" s="59">
        <f t="shared" si="20"/>
        <v>147</v>
      </c>
      <c r="B9009" s="59" t="str">
        <f t="shared" si="21"/>
        <v/>
      </c>
      <c r="C9009" s="59" t="str">
        <f t="shared" si="22"/>
        <v/>
      </c>
      <c r="D9009" s="59" t="str">
        <f t="shared" si="23"/>
        <v/>
      </c>
      <c r="E9009" s="59" t="str">
        <f t="shared" si="24"/>
        <v/>
      </c>
      <c r="F9009" s="59" t="str">
        <f t="shared" si="25"/>
        <v/>
      </c>
      <c r="G9009" s="59" t="str">
        <f t="shared" si="26"/>
        <v/>
      </c>
      <c r="H9009" s="59" t="str">
        <f t="shared" si="27"/>
        <v>28C03261</v>
      </c>
      <c r="I9009" s="59" t="str">
        <f>IF(OR($A9009="",$C9009="",$D9009="",$E9009="",$H9009=""),"",SUMIFS(DATA_GOC!$H:$H,DATA_GOC!$A:$A,"BOM",DATA_GOC!$D:$D,$H9009,DATA_GOC!$E:$E,$C9009,DATA_GOC!$F:$F,"Xuất nội bộ từ téc",DATA_GOC!$B:$B,"&gt;="&amp;$D9009,DATA_GOC!$B:$B,"&lt;="&amp;$E9009))</f>
        <v/>
      </c>
      <c r="J9009" s="59">
        <f t="shared" si="28"/>
        <v>0</v>
      </c>
      <c r="K9009" s="59">
        <f t="shared" si="29"/>
        <v>0</v>
      </c>
      <c r="L9009" s="59">
        <f t="shared" si="30"/>
        <v>0</v>
      </c>
      <c r="M9009" s="59">
        <f t="shared" si="31"/>
        <v>0</v>
      </c>
    </row>
    <row r="9010" ht="15.0" hidden="1" customHeight="1">
      <c r="A9010" s="59">
        <f t="shared" si="20"/>
        <v>147</v>
      </c>
      <c r="B9010" s="59" t="str">
        <f t="shared" si="21"/>
        <v/>
      </c>
      <c r="C9010" s="59" t="str">
        <f t="shared" si="22"/>
        <v/>
      </c>
      <c r="D9010" s="59" t="str">
        <f t="shared" si="23"/>
        <v/>
      </c>
      <c r="E9010" s="59" t="str">
        <f t="shared" si="24"/>
        <v/>
      </c>
      <c r="F9010" s="59" t="str">
        <f t="shared" si="25"/>
        <v/>
      </c>
      <c r="G9010" s="59" t="str">
        <f t="shared" si="26"/>
        <v/>
      </c>
      <c r="H9010" s="59" t="str">
        <f t="shared" si="27"/>
        <v>28C03323</v>
      </c>
      <c r="I9010" s="59" t="str">
        <f>IF(OR($A9010="",$C9010="",$D9010="",$E9010="",$H9010=""),"",SUMIFS(DATA_GOC!$H:$H,DATA_GOC!$A:$A,"BOM",DATA_GOC!$D:$D,$H9010,DATA_GOC!$E:$E,$C9010,DATA_GOC!$F:$F,"Xuất nội bộ từ téc",DATA_GOC!$B:$B,"&gt;="&amp;$D9010,DATA_GOC!$B:$B,"&lt;="&amp;$E9010))</f>
        <v/>
      </c>
      <c r="J9010" s="59">
        <f t="shared" si="28"/>
        <v>0</v>
      </c>
      <c r="K9010" s="59">
        <f t="shared" si="29"/>
        <v>0</v>
      </c>
      <c r="L9010" s="59">
        <f t="shared" si="30"/>
        <v>0</v>
      </c>
      <c r="M9010" s="59">
        <f t="shared" si="31"/>
        <v>0</v>
      </c>
    </row>
    <row r="9011" ht="15.0" hidden="1" customHeight="1">
      <c r="A9011" s="59">
        <f t="shared" si="20"/>
        <v>147</v>
      </c>
      <c r="B9011" s="59" t="str">
        <f t="shared" si="21"/>
        <v/>
      </c>
      <c r="C9011" s="59" t="str">
        <f t="shared" si="22"/>
        <v/>
      </c>
      <c r="D9011" s="59" t="str">
        <f t="shared" si="23"/>
        <v/>
      </c>
      <c r="E9011" s="59" t="str">
        <f t="shared" si="24"/>
        <v/>
      </c>
      <c r="F9011" s="59" t="str">
        <f t="shared" si="25"/>
        <v/>
      </c>
      <c r="G9011" s="59" t="str">
        <f t="shared" si="26"/>
        <v/>
      </c>
      <c r="H9011" s="59" t="str">
        <f t="shared" si="27"/>
        <v>28C03385</v>
      </c>
      <c r="I9011" s="59" t="str">
        <f>IF(OR($A9011="",$C9011="",$D9011="",$E9011="",$H9011=""),"",SUMIFS(DATA_GOC!$H:$H,DATA_GOC!$A:$A,"BOM",DATA_GOC!$D:$D,$H9011,DATA_GOC!$E:$E,$C9011,DATA_GOC!$F:$F,"Xuất nội bộ từ téc",DATA_GOC!$B:$B,"&gt;="&amp;$D9011,DATA_GOC!$B:$B,"&lt;="&amp;$E9011))</f>
        <v/>
      </c>
      <c r="J9011" s="59">
        <f t="shared" si="28"/>
        <v>0</v>
      </c>
      <c r="K9011" s="59">
        <f t="shared" si="29"/>
        <v>0</v>
      </c>
      <c r="L9011" s="59">
        <f t="shared" si="30"/>
        <v>0</v>
      </c>
      <c r="M9011" s="59">
        <f t="shared" si="31"/>
        <v>0</v>
      </c>
    </row>
    <row r="9012" ht="15.0" hidden="1" customHeight="1">
      <c r="A9012" s="59">
        <f t="shared" si="20"/>
        <v>147</v>
      </c>
      <c r="B9012" s="59" t="str">
        <f t="shared" si="21"/>
        <v/>
      </c>
      <c r="C9012" s="59" t="str">
        <f t="shared" si="22"/>
        <v/>
      </c>
      <c r="D9012" s="59" t="str">
        <f t="shared" si="23"/>
        <v/>
      </c>
      <c r="E9012" s="59" t="str">
        <f t="shared" si="24"/>
        <v/>
      </c>
      <c r="F9012" s="59" t="str">
        <f t="shared" si="25"/>
        <v/>
      </c>
      <c r="G9012" s="59" t="str">
        <f t="shared" si="26"/>
        <v/>
      </c>
      <c r="H9012" s="59" t="str">
        <f t="shared" si="27"/>
        <v>28C03652</v>
      </c>
      <c r="I9012" s="59" t="str">
        <f>IF(OR($A9012="",$C9012="",$D9012="",$E9012="",$H9012=""),"",SUMIFS(DATA_GOC!$H:$H,DATA_GOC!$A:$A,"BOM",DATA_GOC!$D:$D,$H9012,DATA_GOC!$E:$E,$C9012,DATA_GOC!$F:$F,"Xuất nội bộ từ téc",DATA_GOC!$B:$B,"&gt;="&amp;$D9012,DATA_GOC!$B:$B,"&lt;="&amp;$E9012))</f>
        <v/>
      </c>
      <c r="J9012" s="59">
        <f t="shared" si="28"/>
        <v>0</v>
      </c>
      <c r="K9012" s="59">
        <f t="shared" si="29"/>
        <v>0</v>
      </c>
      <c r="L9012" s="59">
        <f t="shared" si="30"/>
        <v>0</v>
      </c>
      <c r="M9012" s="59">
        <f t="shared" si="31"/>
        <v>0</v>
      </c>
    </row>
    <row r="9013" ht="15.0" hidden="1" customHeight="1">
      <c r="A9013" s="59">
        <f t="shared" si="20"/>
        <v>147</v>
      </c>
      <c r="B9013" s="59" t="str">
        <f t="shared" si="21"/>
        <v/>
      </c>
      <c r="C9013" s="59" t="str">
        <f t="shared" si="22"/>
        <v/>
      </c>
      <c r="D9013" s="59" t="str">
        <f t="shared" si="23"/>
        <v/>
      </c>
      <c r="E9013" s="59" t="str">
        <f t="shared" si="24"/>
        <v/>
      </c>
      <c r="F9013" s="59" t="str">
        <f t="shared" si="25"/>
        <v/>
      </c>
      <c r="G9013" s="59" t="str">
        <f t="shared" si="26"/>
        <v/>
      </c>
      <c r="H9013" s="59" t="str">
        <f t="shared" si="27"/>
        <v>28C03695</v>
      </c>
      <c r="I9013" s="59" t="str">
        <f>IF(OR($A9013="",$C9013="",$D9013="",$E9013="",$H9013=""),"",SUMIFS(DATA_GOC!$H:$H,DATA_GOC!$A:$A,"BOM",DATA_GOC!$D:$D,$H9013,DATA_GOC!$E:$E,$C9013,DATA_GOC!$F:$F,"Xuất nội bộ từ téc",DATA_GOC!$B:$B,"&gt;="&amp;$D9013,DATA_GOC!$B:$B,"&lt;="&amp;$E9013))</f>
        <v/>
      </c>
      <c r="J9013" s="59">
        <f t="shared" si="28"/>
        <v>0</v>
      </c>
      <c r="K9013" s="59">
        <f t="shared" si="29"/>
        <v>0</v>
      </c>
      <c r="L9013" s="59">
        <f t="shared" si="30"/>
        <v>0</v>
      </c>
      <c r="M9013" s="59">
        <f t="shared" si="31"/>
        <v>0</v>
      </c>
    </row>
    <row r="9014" ht="15.0" hidden="1" customHeight="1">
      <c r="A9014" s="59">
        <f t="shared" si="20"/>
        <v>147</v>
      </c>
      <c r="B9014" s="59" t="str">
        <f t="shared" si="21"/>
        <v/>
      </c>
      <c r="C9014" s="59" t="str">
        <f t="shared" si="22"/>
        <v/>
      </c>
      <c r="D9014" s="59" t="str">
        <f t="shared" si="23"/>
        <v/>
      </c>
      <c r="E9014" s="59" t="str">
        <f t="shared" si="24"/>
        <v/>
      </c>
      <c r="F9014" s="59" t="str">
        <f t="shared" si="25"/>
        <v/>
      </c>
      <c r="G9014" s="59" t="str">
        <f t="shared" si="26"/>
        <v/>
      </c>
      <c r="H9014" s="59" t="str">
        <f t="shared" si="27"/>
        <v>28C03927</v>
      </c>
      <c r="I9014" s="59" t="str">
        <f>IF(OR($A9014="",$C9014="",$D9014="",$E9014="",$H9014=""),"",SUMIFS(DATA_GOC!$H:$H,DATA_GOC!$A:$A,"BOM",DATA_GOC!$D:$D,$H9014,DATA_GOC!$E:$E,$C9014,DATA_GOC!$F:$F,"Xuất nội bộ từ téc",DATA_GOC!$B:$B,"&gt;="&amp;$D9014,DATA_GOC!$B:$B,"&lt;="&amp;$E9014))</f>
        <v/>
      </c>
      <c r="J9014" s="59">
        <f t="shared" si="28"/>
        <v>0</v>
      </c>
      <c r="K9014" s="59">
        <f t="shared" si="29"/>
        <v>0</v>
      </c>
      <c r="L9014" s="59">
        <f t="shared" si="30"/>
        <v>0</v>
      </c>
      <c r="M9014" s="59">
        <f t="shared" si="31"/>
        <v>0</v>
      </c>
    </row>
    <row r="9015" ht="15.0" hidden="1" customHeight="1">
      <c r="A9015" s="59">
        <f t="shared" si="20"/>
        <v>147</v>
      </c>
      <c r="B9015" s="59" t="str">
        <f t="shared" si="21"/>
        <v/>
      </c>
      <c r="C9015" s="59" t="str">
        <f t="shared" si="22"/>
        <v/>
      </c>
      <c r="D9015" s="59" t="str">
        <f t="shared" si="23"/>
        <v/>
      </c>
      <c r="E9015" s="59" t="str">
        <f t="shared" si="24"/>
        <v/>
      </c>
      <c r="F9015" s="59" t="str">
        <f t="shared" si="25"/>
        <v/>
      </c>
      <c r="G9015" s="59" t="str">
        <f t="shared" si="26"/>
        <v/>
      </c>
      <c r="H9015" s="59" t="str">
        <f t="shared" si="27"/>
        <v>28C04509</v>
      </c>
      <c r="I9015" s="59" t="str">
        <f>IF(OR($A9015="",$C9015="",$D9015="",$E9015="",$H9015=""),"",SUMIFS(DATA_GOC!$H:$H,DATA_GOC!$A:$A,"BOM",DATA_GOC!$D:$D,$H9015,DATA_GOC!$E:$E,$C9015,DATA_GOC!$F:$F,"Xuất nội bộ từ téc",DATA_GOC!$B:$B,"&gt;="&amp;$D9015,DATA_GOC!$B:$B,"&lt;="&amp;$E9015))</f>
        <v/>
      </c>
      <c r="J9015" s="59">
        <f t="shared" si="28"/>
        <v>0</v>
      </c>
      <c r="K9015" s="59">
        <f t="shared" si="29"/>
        <v>0</v>
      </c>
      <c r="L9015" s="59">
        <f t="shared" si="30"/>
        <v>0</v>
      </c>
      <c r="M9015" s="59">
        <f t="shared" si="31"/>
        <v>0</v>
      </c>
    </row>
    <row r="9016" ht="15.0" hidden="1" customHeight="1">
      <c r="A9016" s="59">
        <f t="shared" si="20"/>
        <v>147</v>
      </c>
      <c r="B9016" s="59" t="str">
        <f t="shared" si="21"/>
        <v/>
      </c>
      <c r="C9016" s="59" t="str">
        <f t="shared" si="22"/>
        <v/>
      </c>
      <c r="D9016" s="59" t="str">
        <f t="shared" si="23"/>
        <v/>
      </c>
      <c r="E9016" s="59" t="str">
        <f t="shared" si="24"/>
        <v/>
      </c>
      <c r="F9016" s="59" t="str">
        <f t="shared" si="25"/>
        <v/>
      </c>
      <c r="G9016" s="59" t="str">
        <f t="shared" si="26"/>
        <v/>
      </c>
      <c r="H9016" s="59" t="str">
        <f t="shared" si="27"/>
        <v>28C04536</v>
      </c>
      <c r="I9016" s="59" t="str">
        <f>IF(OR($A9016="",$C9016="",$D9016="",$E9016="",$H9016=""),"",SUMIFS(DATA_GOC!$H:$H,DATA_GOC!$A:$A,"BOM",DATA_GOC!$D:$D,$H9016,DATA_GOC!$E:$E,$C9016,DATA_GOC!$F:$F,"Xuất nội bộ từ téc",DATA_GOC!$B:$B,"&gt;="&amp;$D9016,DATA_GOC!$B:$B,"&lt;="&amp;$E9016))</f>
        <v/>
      </c>
      <c r="J9016" s="59">
        <f t="shared" si="28"/>
        <v>0</v>
      </c>
      <c r="K9016" s="59">
        <f t="shared" si="29"/>
        <v>0</v>
      </c>
      <c r="L9016" s="59">
        <f t="shared" si="30"/>
        <v>0</v>
      </c>
      <c r="M9016" s="59">
        <f t="shared" si="31"/>
        <v>0</v>
      </c>
    </row>
    <row r="9017" ht="15.0" hidden="1" customHeight="1">
      <c r="A9017" s="59">
        <f t="shared" si="20"/>
        <v>147</v>
      </c>
      <c r="B9017" s="59" t="str">
        <f t="shared" si="21"/>
        <v/>
      </c>
      <c r="C9017" s="59" t="str">
        <f t="shared" si="22"/>
        <v/>
      </c>
      <c r="D9017" s="59" t="str">
        <f t="shared" si="23"/>
        <v/>
      </c>
      <c r="E9017" s="59" t="str">
        <f t="shared" si="24"/>
        <v/>
      </c>
      <c r="F9017" s="59" t="str">
        <f t="shared" si="25"/>
        <v/>
      </c>
      <c r="G9017" s="59" t="str">
        <f t="shared" si="26"/>
        <v/>
      </c>
      <c r="H9017" s="59" t="str">
        <f t="shared" si="27"/>
        <v>28C04576</v>
      </c>
      <c r="I9017" s="59" t="str">
        <f>IF(OR($A9017="",$C9017="",$D9017="",$E9017="",$H9017=""),"",SUMIFS(DATA_GOC!$H:$H,DATA_GOC!$A:$A,"BOM",DATA_GOC!$D:$D,$H9017,DATA_GOC!$E:$E,$C9017,DATA_GOC!$F:$F,"Xuất nội bộ từ téc",DATA_GOC!$B:$B,"&gt;="&amp;$D9017,DATA_GOC!$B:$B,"&lt;="&amp;$E9017))</f>
        <v/>
      </c>
      <c r="J9017" s="59">
        <f t="shared" si="28"/>
        <v>0</v>
      </c>
      <c r="K9017" s="59">
        <f t="shared" si="29"/>
        <v>0</v>
      </c>
      <c r="L9017" s="59">
        <f t="shared" si="30"/>
        <v>0</v>
      </c>
      <c r="M9017" s="59">
        <f t="shared" si="31"/>
        <v>0</v>
      </c>
    </row>
    <row r="9018" ht="15.0" hidden="1" customHeight="1">
      <c r="A9018" s="59">
        <f t="shared" si="20"/>
        <v>147</v>
      </c>
      <c r="B9018" s="59" t="str">
        <f t="shared" si="21"/>
        <v/>
      </c>
      <c r="C9018" s="59" t="str">
        <f t="shared" si="22"/>
        <v/>
      </c>
      <c r="D9018" s="59" t="str">
        <f t="shared" si="23"/>
        <v/>
      </c>
      <c r="E9018" s="59" t="str">
        <f t="shared" si="24"/>
        <v/>
      </c>
      <c r="F9018" s="59" t="str">
        <f t="shared" si="25"/>
        <v/>
      </c>
      <c r="G9018" s="59" t="str">
        <f t="shared" si="26"/>
        <v/>
      </c>
      <c r="H9018" s="59" t="str">
        <f t="shared" si="27"/>
        <v>28C05090</v>
      </c>
      <c r="I9018" s="59" t="str">
        <f>IF(OR($A9018="",$C9018="",$D9018="",$E9018="",$H9018=""),"",SUMIFS(DATA_GOC!$H:$H,DATA_GOC!$A:$A,"BOM",DATA_GOC!$D:$D,$H9018,DATA_GOC!$E:$E,$C9018,DATA_GOC!$F:$F,"Xuất nội bộ từ téc",DATA_GOC!$B:$B,"&gt;="&amp;$D9018,DATA_GOC!$B:$B,"&lt;="&amp;$E9018))</f>
        <v/>
      </c>
      <c r="J9018" s="59">
        <f t="shared" si="28"/>
        <v>0</v>
      </c>
      <c r="K9018" s="59">
        <f t="shared" si="29"/>
        <v>0</v>
      </c>
      <c r="L9018" s="59">
        <f t="shared" si="30"/>
        <v>0</v>
      </c>
      <c r="M9018" s="59">
        <f t="shared" si="31"/>
        <v>0</v>
      </c>
    </row>
    <row r="9019" ht="15.0" hidden="1" customHeight="1">
      <c r="A9019" s="59">
        <f t="shared" si="20"/>
        <v>147</v>
      </c>
      <c r="B9019" s="59" t="str">
        <f t="shared" si="21"/>
        <v/>
      </c>
      <c r="C9019" s="59" t="str">
        <f t="shared" si="22"/>
        <v/>
      </c>
      <c r="D9019" s="59" t="str">
        <f t="shared" si="23"/>
        <v/>
      </c>
      <c r="E9019" s="59" t="str">
        <f t="shared" si="24"/>
        <v/>
      </c>
      <c r="F9019" s="59" t="str">
        <f t="shared" si="25"/>
        <v/>
      </c>
      <c r="G9019" s="59" t="str">
        <f t="shared" si="26"/>
        <v/>
      </c>
      <c r="H9019" s="59" t="str">
        <f t="shared" si="27"/>
        <v>28C05345</v>
      </c>
      <c r="I9019" s="59" t="str">
        <f>IF(OR($A9019="",$C9019="",$D9019="",$E9019="",$H9019=""),"",SUMIFS(DATA_GOC!$H:$H,DATA_GOC!$A:$A,"BOM",DATA_GOC!$D:$D,$H9019,DATA_GOC!$E:$E,$C9019,DATA_GOC!$F:$F,"Xuất nội bộ từ téc",DATA_GOC!$B:$B,"&gt;="&amp;$D9019,DATA_GOC!$B:$B,"&lt;="&amp;$E9019))</f>
        <v/>
      </c>
      <c r="J9019" s="59">
        <f t="shared" si="28"/>
        <v>0</v>
      </c>
      <c r="K9019" s="59">
        <f t="shared" si="29"/>
        <v>0</v>
      </c>
      <c r="L9019" s="59">
        <f t="shared" si="30"/>
        <v>0</v>
      </c>
      <c r="M9019" s="59">
        <f t="shared" si="31"/>
        <v>0</v>
      </c>
    </row>
    <row r="9020" ht="15.0" hidden="1" customHeight="1">
      <c r="A9020" s="59">
        <f t="shared" si="20"/>
        <v>147</v>
      </c>
      <c r="B9020" s="59" t="str">
        <f t="shared" si="21"/>
        <v/>
      </c>
      <c r="C9020" s="59" t="str">
        <f t="shared" si="22"/>
        <v/>
      </c>
      <c r="D9020" s="59" t="str">
        <f t="shared" si="23"/>
        <v/>
      </c>
      <c r="E9020" s="59" t="str">
        <f t="shared" si="24"/>
        <v/>
      </c>
      <c r="F9020" s="59" t="str">
        <f t="shared" si="25"/>
        <v/>
      </c>
      <c r="G9020" s="59" t="str">
        <f t="shared" si="26"/>
        <v/>
      </c>
      <c r="H9020" s="59" t="str">
        <f t="shared" si="27"/>
        <v>28C05661</v>
      </c>
      <c r="I9020" s="59" t="str">
        <f>IF(OR($A9020="",$C9020="",$D9020="",$E9020="",$H9020=""),"",SUMIFS(DATA_GOC!$H:$H,DATA_GOC!$A:$A,"BOM",DATA_GOC!$D:$D,$H9020,DATA_GOC!$E:$E,$C9020,DATA_GOC!$F:$F,"Xuất nội bộ từ téc",DATA_GOC!$B:$B,"&gt;="&amp;$D9020,DATA_GOC!$B:$B,"&lt;="&amp;$E9020))</f>
        <v/>
      </c>
      <c r="J9020" s="59">
        <f t="shared" si="28"/>
        <v>0</v>
      </c>
      <c r="K9020" s="59">
        <f t="shared" si="29"/>
        <v>0</v>
      </c>
      <c r="L9020" s="59">
        <f t="shared" si="30"/>
        <v>0</v>
      </c>
      <c r="M9020" s="59">
        <f t="shared" si="31"/>
        <v>0</v>
      </c>
    </row>
    <row r="9021" ht="15.0" hidden="1" customHeight="1">
      <c r="A9021" s="59">
        <f t="shared" si="20"/>
        <v>147</v>
      </c>
      <c r="B9021" s="59" t="str">
        <f t="shared" si="21"/>
        <v/>
      </c>
      <c r="C9021" s="59" t="str">
        <f t="shared" si="22"/>
        <v/>
      </c>
      <c r="D9021" s="59" t="str">
        <f t="shared" si="23"/>
        <v/>
      </c>
      <c r="E9021" s="59" t="str">
        <f t="shared" si="24"/>
        <v/>
      </c>
      <c r="F9021" s="59" t="str">
        <f t="shared" si="25"/>
        <v/>
      </c>
      <c r="G9021" s="59" t="str">
        <f t="shared" si="26"/>
        <v/>
      </c>
      <c r="H9021" s="59" t="str">
        <f t="shared" si="27"/>
        <v>28C05739</v>
      </c>
      <c r="I9021" s="59" t="str">
        <f>IF(OR($A9021="",$C9021="",$D9021="",$E9021="",$H9021=""),"",SUMIFS(DATA_GOC!$H:$H,DATA_GOC!$A:$A,"BOM",DATA_GOC!$D:$D,$H9021,DATA_GOC!$E:$E,$C9021,DATA_GOC!$F:$F,"Xuất nội bộ từ téc",DATA_GOC!$B:$B,"&gt;="&amp;$D9021,DATA_GOC!$B:$B,"&lt;="&amp;$E9021))</f>
        <v/>
      </c>
      <c r="J9021" s="59">
        <f t="shared" si="28"/>
        <v>0</v>
      </c>
      <c r="K9021" s="59">
        <f t="shared" si="29"/>
        <v>0</v>
      </c>
      <c r="L9021" s="59">
        <f t="shared" si="30"/>
        <v>0</v>
      </c>
      <c r="M9021" s="59">
        <f t="shared" si="31"/>
        <v>0</v>
      </c>
    </row>
    <row r="9022" ht="15.0" hidden="1" customHeight="1">
      <c r="A9022" s="59">
        <f t="shared" si="20"/>
        <v>147</v>
      </c>
      <c r="B9022" s="59" t="str">
        <f t="shared" si="21"/>
        <v/>
      </c>
      <c r="C9022" s="59" t="str">
        <f t="shared" si="22"/>
        <v/>
      </c>
      <c r="D9022" s="59" t="str">
        <f t="shared" si="23"/>
        <v/>
      </c>
      <c r="E9022" s="59" t="str">
        <f t="shared" si="24"/>
        <v/>
      </c>
      <c r="F9022" s="59" t="str">
        <f t="shared" si="25"/>
        <v/>
      </c>
      <c r="G9022" s="59" t="str">
        <f t="shared" si="26"/>
        <v/>
      </c>
      <c r="H9022" s="59" t="str">
        <f t="shared" si="27"/>
        <v>28C06369</v>
      </c>
      <c r="I9022" s="59" t="str">
        <f>IF(OR($A9022="",$C9022="",$D9022="",$E9022="",$H9022=""),"",SUMIFS(DATA_GOC!$H:$H,DATA_GOC!$A:$A,"BOM",DATA_GOC!$D:$D,$H9022,DATA_GOC!$E:$E,$C9022,DATA_GOC!$F:$F,"Xuất nội bộ từ téc",DATA_GOC!$B:$B,"&gt;="&amp;$D9022,DATA_GOC!$B:$B,"&lt;="&amp;$E9022))</f>
        <v/>
      </c>
      <c r="J9022" s="59">
        <f t="shared" si="28"/>
        <v>0</v>
      </c>
      <c r="K9022" s="59">
        <f t="shared" si="29"/>
        <v>0</v>
      </c>
      <c r="L9022" s="59">
        <f t="shared" si="30"/>
        <v>0</v>
      </c>
      <c r="M9022" s="59">
        <f t="shared" si="31"/>
        <v>0</v>
      </c>
    </row>
    <row r="9023" ht="15.0" hidden="1" customHeight="1">
      <c r="A9023" s="59">
        <f t="shared" si="20"/>
        <v>147</v>
      </c>
      <c r="B9023" s="59" t="str">
        <f t="shared" si="21"/>
        <v/>
      </c>
      <c r="C9023" s="59" t="str">
        <f t="shared" si="22"/>
        <v/>
      </c>
      <c r="D9023" s="59" t="str">
        <f t="shared" si="23"/>
        <v/>
      </c>
      <c r="E9023" s="59" t="str">
        <f t="shared" si="24"/>
        <v/>
      </c>
      <c r="F9023" s="59" t="str">
        <f t="shared" si="25"/>
        <v/>
      </c>
      <c r="G9023" s="59" t="str">
        <f t="shared" si="26"/>
        <v/>
      </c>
      <c r="H9023" s="59" t="str">
        <f t="shared" si="27"/>
        <v>28C06447</v>
      </c>
      <c r="I9023" s="59" t="str">
        <f>IF(OR($A9023="",$C9023="",$D9023="",$E9023="",$H9023=""),"",SUMIFS(DATA_GOC!$H:$H,DATA_GOC!$A:$A,"BOM",DATA_GOC!$D:$D,$H9023,DATA_GOC!$E:$E,$C9023,DATA_GOC!$F:$F,"Xuất nội bộ từ téc",DATA_GOC!$B:$B,"&gt;="&amp;$D9023,DATA_GOC!$B:$B,"&lt;="&amp;$E9023))</f>
        <v/>
      </c>
      <c r="J9023" s="59">
        <f t="shared" si="28"/>
        <v>0</v>
      </c>
      <c r="K9023" s="59">
        <f t="shared" si="29"/>
        <v>0</v>
      </c>
      <c r="L9023" s="59">
        <f t="shared" si="30"/>
        <v>0</v>
      </c>
      <c r="M9023" s="59">
        <f t="shared" si="31"/>
        <v>0</v>
      </c>
    </row>
    <row r="9024" ht="15.0" hidden="1" customHeight="1">
      <c r="A9024" s="59">
        <f t="shared" si="20"/>
        <v>147</v>
      </c>
      <c r="B9024" s="59" t="str">
        <f t="shared" si="21"/>
        <v/>
      </c>
      <c r="C9024" s="59" t="str">
        <f t="shared" si="22"/>
        <v/>
      </c>
      <c r="D9024" s="59" t="str">
        <f t="shared" si="23"/>
        <v/>
      </c>
      <c r="E9024" s="59" t="str">
        <f t="shared" si="24"/>
        <v/>
      </c>
      <c r="F9024" s="59" t="str">
        <f t="shared" si="25"/>
        <v/>
      </c>
      <c r="G9024" s="59" t="str">
        <f t="shared" si="26"/>
        <v/>
      </c>
      <c r="H9024" s="59" t="str">
        <f t="shared" si="27"/>
        <v>28H00003</v>
      </c>
      <c r="I9024" s="59" t="str">
        <f>IF(OR($A9024="",$C9024="",$D9024="",$E9024="",$H9024=""),"",SUMIFS(DATA_GOC!$H:$H,DATA_GOC!$A:$A,"BOM",DATA_GOC!$D:$D,$H9024,DATA_GOC!$E:$E,$C9024,DATA_GOC!$F:$F,"Xuất nội bộ từ téc",DATA_GOC!$B:$B,"&gt;="&amp;$D9024,DATA_GOC!$B:$B,"&lt;="&amp;$E9024))</f>
        <v/>
      </c>
      <c r="J9024" s="59">
        <f t="shared" si="28"/>
        <v>0</v>
      </c>
      <c r="K9024" s="59">
        <f t="shared" si="29"/>
        <v>0</v>
      </c>
      <c r="L9024" s="59">
        <f t="shared" si="30"/>
        <v>0</v>
      </c>
      <c r="M9024" s="59">
        <f t="shared" si="31"/>
        <v>0</v>
      </c>
    </row>
    <row r="9025" ht="15.0" hidden="1" customHeight="1">
      <c r="A9025" s="59">
        <f t="shared" si="20"/>
        <v>147</v>
      </c>
      <c r="B9025" s="59" t="str">
        <f t="shared" si="21"/>
        <v/>
      </c>
      <c r="C9025" s="59" t="str">
        <f t="shared" si="22"/>
        <v/>
      </c>
      <c r="D9025" s="59" t="str">
        <f t="shared" si="23"/>
        <v/>
      </c>
      <c r="E9025" s="59" t="str">
        <f t="shared" si="24"/>
        <v/>
      </c>
      <c r="F9025" s="59" t="str">
        <f t="shared" si="25"/>
        <v/>
      </c>
      <c r="G9025" s="59" t="str">
        <f t="shared" si="26"/>
        <v/>
      </c>
      <c r="H9025" s="59" t="str">
        <f t="shared" si="27"/>
        <v>28H00061</v>
      </c>
      <c r="I9025" s="59" t="str">
        <f>IF(OR($A9025="",$C9025="",$D9025="",$E9025="",$H9025=""),"",SUMIFS(DATA_GOC!$H:$H,DATA_GOC!$A:$A,"BOM",DATA_GOC!$D:$D,$H9025,DATA_GOC!$E:$E,$C9025,DATA_GOC!$F:$F,"Xuất nội bộ từ téc",DATA_GOC!$B:$B,"&gt;="&amp;$D9025,DATA_GOC!$B:$B,"&lt;="&amp;$E9025))</f>
        <v/>
      </c>
      <c r="J9025" s="59">
        <f t="shared" si="28"/>
        <v>0</v>
      </c>
      <c r="K9025" s="59">
        <f t="shared" si="29"/>
        <v>0</v>
      </c>
      <c r="L9025" s="59">
        <f t="shared" si="30"/>
        <v>0</v>
      </c>
      <c r="M9025" s="59">
        <f t="shared" si="31"/>
        <v>0</v>
      </c>
    </row>
    <row r="9026" ht="15.0" hidden="1" customHeight="1">
      <c r="A9026" s="59">
        <f t="shared" si="20"/>
        <v>147</v>
      </c>
      <c r="B9026" s="59" t="str">
        <f t="shared" si="21"/>
        <v/>
      </c>
      <c r="C9026" s="59" t="str">
        <f t="shared" si="22"/>
        <v/>
      </c>
      <c r="D9026" s="59" t="str">
        <f t="shared" si="23"/>
        <v/>
      </c>
      <c r="E9026" s="59" t="str">
        <f t="shared" si="24"/>
        <v/>
      </c>
      <c r="F9026" s="59" t="str">
        <f t="shared" si="25"/>
        <v/>
      </c>
      <c r="G9026" s="59" t="str">
        <f t="shared" si="26"/>
        <v/>
      </c>
      <c r="H9026" s="59" t="str">
        <f t="shared" si="27"/>
        <v>28H00354</v>
      </c>
      <c r="I9026" s="59" t="str">
        <f>IF(OR($A9026="",$C9026="",$D9026="",$E9026="",$H9026=""),"",SUMIFS(DATA_GOC!$H:$H,DATA_GOC!$A:$A,"BOM",DATA_GOC!$D:$D,$H9026,DATA_GOC!$E:$E,$C9026,DATA_GOC!$F:$F,"Xuất nội bộ từ téc",DATA_GOC!$B:$B,"&gt;="&amp;$D9026,DATA_GOC!$B:$B,"&lt;="&amp;$E9026))</f>
        <v/>
      </c>
      <c r="J9026" s="59">
        <f t="shared" si="28"/>
        <v>0</v>
      </c>
      <c r="K9026" s="59">
        <f t="shared" si="29"/>
        <v>0</v>
      </c>
      <c r="L9026" s="59">
        <f t="shared" si="30"/>
        <v>0</v>
      </c>
      <c r="M9026" s="59">
        <f t="shared" si="31"/>
        <v>0</v>
      </c>
    </row>
    <row r="9027" ht="15.0" hidden="1" customHeight="1">
      <c r="A9027" s="59">
        <f t="shared" si="20"/>
        <v>147</v>
      </c>
      <c r="B9027" s="59" t="str">
        <f t="shared" si="21"/>
        <v/>
      </c>
      <c r="C9027" s="59" t="str">
        <f t="shared" si="22"/>
        <v/>
      </c>
      <c r="D9027" s="59" t="str">
        <f t="shared" si="23"/>
        <v/>
      </c>
      <c r="E9027" s="59" t="str">
        <f t="shared" si="24"/>
        <v/>
      </c>
      <c r="F9027" s="59" t="str">
        <f t="shared" si="25"/>
        <v/>
      </c>
      <c r="G9027" s="59" t="str">
        <f t="shared" si="26"/>
        <v/>
      </c>
      <c r="H9027" s="59" t="str">
        <f t="shared" si="27"/>
        <v>28H00603</v>
      </c>
      <c r="I9027" s="59" t="str">
        <f>IF(OR($A9027="",$C9027="",$D9027="",$E9027="",$H9027=""),"",SUMIFS(DATA_GOC!$H:$H,DATA_GOC!$A:$A,"BOM",DATA_GOC!$D:$D,$H9027,DATA_GOC!$E:$E,$C9027,DATA_GOC!$F:$F,"Xuất nội bộ từ téc",DATA_GOC!$B:$B,"&gt;="&amp;$D9027,DATA_GOC!$B:$B,"&lt;="&amp;$E9027))</f>
        <v/>
      </c>
      <c r="J9027" s="59">
        <f t="shared" si="28"/>
        <v>0</v>
      </c>
      <c r="K9027" s="59">
        <f t="shared" si="29"/>
        <v>0</v>
      </c>
      <c r="L9027" s="59">
        <f t="shared" si="30"/>
        <v>0</v>
      </c>
      <c r="M9027" s="59">
        <f t="shared" si="31"/>
        <v>0</v>
      </c>
    </row>
    <row r="9028" ht="15.0" hidden="1" customHeight="1">
      <c r="A9028" s="59">
        <f t="shared" si="20"/>
        <v>147</v>
      </c>
      <c r="B9028" s="59" t="str">
        <f t="shared" si="21"/>
        <v/>
      </c>
      <c r="C9028" s="59" t="str">
        <f t="shared" si="22"/>
        <v/>
      </c>
      <c r="D9028" s="59" t="str">
        <f t="shared" si="23"/>
        <v/>
      </c>
      <c r="E9028" s="59" t="str">
        <f t="shared" si="24"/>
        <v/>
      </c>
      <c r="F9028" s="59" t="str">
        <f t="shared" si="25"/>
        <v/>
      </c>
      <c r="G9028" s="59" t="str">
        <f t="shared" si="26"/>
        <v/>
      </c>
      <c r="H9028" s="59" t="str">
        <f t="shared" si="27"/>
        <v>28H00609</v>
      </c>
      <c r="I9028" s="59" t="str">
        <f>IF(OR($A9028="",$C9028="",$D9028="",$E9028="",$H9028=""),"",SUMIFS(DATA_GOC!$H:$H,DATA_GOC!$A:$A,"BOM",DATA_GOC!$D:$D,$H9028,DATA_GOC!$E:$E,$C9028,DATA_GOC!$F:$F,"Xuất nội bộ từ téc",DATA_GOC!$B:$B,"&gt;="&amp;$D9028,DATA_GOC!$B:$B,"&lt;="&amp;$E9028))</f>
        <v/>
      </c>
      <c r="J9028" s="59">
        <f t="shared" si="28"/>
        <v>0</v>
      </c>
      <c r="K9028" s="59">
        <f t="shared" si="29"/>
        <v>0</v>
      </c>
      <c r="L9028" s="59">
        <f t="shared" si="30"/>
        <v>0</v>
      </c>
      <c r="M9028" s="59">
        <f t="shared" si="31"/>
        <v>0</v>
      </c>
    </row>
    <row r="9029" ht="15.0" hidden="1" customHeight="1">
      <c r="A9029" s="59">
        <f t="shared" si="20"/>
        <v>147</v>
      </c>
      <c r="B9029" s="59" t="str">
        <f t="shared" si="21"/>
        <v/>
      </c>
      <c r="C9029" s="59" t="str">
        <f t="shared" si="22"/>
        <v/>
      </c>
      <c r="D9029" s="59" t="str">
        <f t="shared" si="23"/>
        <v/>
      </c>
      <c r="E9029" s="59" t="str">
        <f t="shared" si="24"/>
        <v/>
      </c>
      <c r="F9029" s="59" t="str">
        <f t="shared" si="25"/>
        <v/>
      </c>
      <c r="G9029" s="59" t="str">
        <f t="shared" si="26"/>
        <v/>
      </c>
      <c r="H9029" s="59" t="str">
        <f t="shared" si="27"/>
        <v>28H00669</v>
      </c>
      <c r="I9029" s="59" t="str">
        <f>IF(OR($A9029="",$C9029="",$D9029="",$E9029="",$H9029=""),"",SUMIFS(DATA_GOC!$H:$H,DATA_GOC!$A:$A,"BOM",DATA_GOC!$D:$D,$H9029,DATA_GOC!$E:$E,$C9029,DATA_GOC!$F:$F,"Xuất nội bộ từ téc",DATA_GOC!$B:$B,"&gt;="&amp;$D9029,DATA_GOC!$B:$B,"&lt;="&amp;$E9029))</f>
        <v/>
      </c>
      <c r="J9029" s="59">
        <f t="shared" si="28"/>
        <v>0</v>
      </c>
      <c r="K9029" s="59">
        <f t="shared" si="29"/>
        <v>0</v>
      </c>
      <c r="L9029" s="59">
        <f t="shared" si="30"/>
        <v>0</v>
      </c>
      <c r="M9029" s="59">
        <f t="shared" si="31"/>
        <v>0</v>
      </c>
    </row>
    <row r="9030" ht="15.0" hidden="1" customHeight="1">
      <c r="A9030" s="59">
        <f t="shared" si="20"/>
        <v>147</v>
      </c>
      <c r="B9030" s="59" t="str">
        <f t="shared" si="21"/>
        <v/>
      </c>
      <c r="C9030" s="59" t="str">
        <f t="shared" si="22"/>
        <v/>
      </c>
      <c r="D9030" s="59" t="str">
        <f t="shared" si="23"/>
        <v/>
      </c>
      <c r="E9030" s="59" t="str">
        <f t="shared" si="24"/>
        <v/>
      </c>
      <c r="F9030" s="59" t="str">
        <f t="shared" si="25"/>
        <v/>
      </c>
      <c r="G9030" s="59" t="str">
        <f t="shared" si="26"/>
        <v/>
      </c>
      <c r="H9030" s="59" t="str">
        <f t="shared" si="27"/>
        <v>28H00680</v>
      </c>
      <c r="I9030" s="59" t="str">
        <f>IF(OR($A9030="",$C9030="",$D9030="",$E9030="",$H9030=""),"",SUMIFS(DATA_GOC!$H:$H,DATA_GOC!$A:$A,"BOM",DATA_GOC!$D:$D,$H9030,DATA_GOC!$E:$E,$C9030,DATA_GOC!$F:$F,"Xuất nội bộ từ téc",DATA_GOC!$B:$B,"&gt;="&amp;$D9030,DATA_GOC!$B:$B,"&lt;="&amp;$E9030))</f>
        <v/>
      </c>
      <c r="J9030" s="59">
        <f t="shared" si="28"/>
        <v>0</v>
      </c>
      <c r="K9030" s="59">
        <f t="shared" si="29"/>
        <v>0</v>
      </c>
      <c r="L9030" s="59">
        <f t="shared" si="30"/>
        <v>0</v>
      </c>
      <c r="M9030" s="59">
        <f t="shared" si="31"/>
        <v>0</v>
      </c>
    </row>
    <row r="9031" ht="15.0" hidden="1" customHeight="1">
      <c r="A9031" s="59">
        <f t="shared" si="20"/>
        <v>147</v>
      </c>
      <c r="B9031" s="59" t="str">
        <f t="shared" si="21"/>
        <v/>
      </c>
      <c r="C9031" s="59" t="str">
        <f t="shared" si="22"/>
        <v/>
      </c>
      <c r="D9031" s="59" t="str">
        <f t="shared" si="23"/>
        <v/>
      </c>
      <c r="E9031" s="59" t="str">
        <f t="shared" si="24"/>
        <v/>
      </c>
      <c r="F9031" s="59" t="str">
        <f t="shared" si="25"/>
        <v/>
      </c>
      <c r="G9031" s="59" t="str">
        <f t="shared" si="26"/>
        <v/>
      </c>
      <c r="H9031" s="59" t="str">
        <f t="shared" si="27"/>
        <v>28H01070</v>
      </c>
      <c r="I9031" s="59" t="str">
        <f>IF(OR($A9031="",$C9031="",$D9031="",$E9031="",$H9031=""),"",SUMIFS(DATA_GOC!$H:$H,DATA_GOC!$A:$A,"BOM",DATA_GOC!$D:$D,$H9031,DATA_GOC!$E:$E,$C9031,DATA_GOC!$F:$F,"Xuất nội bộ từ téc",DATA_GOC!$B:$B,"&gt;="&amp;$D9031,DATA_GOC!$B:$B,"&lt;="&amp;$E9031))</f>
        <v/>
      </c>
      <c r="J9031" s="59">
        <f t="shared" si="28"/>
        <v>0</v>
      </c>
      <c r="K9031" s="59">
        <f t="shared" si="29"/>
        <v>0</v>
      </c>
      <c r="L9031" s="59">
        <f t="shared" si="30"/>
        <v>0</v>
      </c>
      <c r="M9031" s="59">
        <f t="shared" si="31"/>
        <v>0</v>
      </c>
    </row>
    <row r="9032" ht="15.0" hidden="1" customHeight="1">
      <c r="A9032" s="59">
        <f t="shared" si="20"/>
        <v>147</v>
      </c>
      <c r="B9032" s="59" t="str">
        <f t="shared" si="21"/>
        <v/>
      </c>
      <c r="C9032" s="59" t="str">
        <f t="shared" si="22"/>
        <v/>
      </c>
      <c r="D9032" s="59" t="str">
        <f t="shared" si="23"/>
        <v/>
      </c>
      <c r="E9032" s="59" t="str">
        <f t="shared" si="24"/>
        <v/>
      </c>
      <c r="F9032" s="59" t="str">
        <f t="shared" si="25"/>
        <v/>
      </c>
      <c r="G9032" s="59" t="str">
        <f t="shared" si="26"/>
        <v/>
      </c>
      <c r="H9032" s="59" t="str">
        <f t="shared" si="27"/>
        <v>28H01364</v>
      </c>
      <c r="I9032" s="59" t="str">
        <f>IF(OR($A9032="",$C9032="",$D9032="",$E9032="",$H9032=""),"",SUMIFS(DATA_GOC!$H:$H,DATA_GOC!$A:$A,"BOM",DATA_GOC!$D:$D,$H9032,DATA_GOC!$E:$E,$C9032,DATA_GOC!$F:$F,"Xuất nội bộ từ téc",DATA_GOC!$B:$B,"&gt;="&amp;$D9032,DATA_GOC!$B:$B,"&lt;="&amp;$E9032))</f>
        <v/>
      </c>
      <c r="J9032" s="59">
        <f t="shared" si="28"/>
        <v>0</v>
      </c>
      <c r="K9032" s="59">
        <f t="shared" si="29"/>
        <v>0</v>
      </c>
      <c r="L9032" s="59">
        <f t="shared" si="30"/>
        <v>0</v>
      </c>
      <c r="M9032" s="59">
        <f t="shared" si="31"/>
        <v>0</v>
      </c>
    </row>
    <row r="9033" ht="15.0" hidden="1" customHeight="1">
      <c r="A9033" s="59">
        <f t="shared" si="20"/>
        <v>147</v>
      </c>
      <c r="B9033" s="59" t="str">
        <f t="shared" si="21"/>
        <v/>
      </c>
      <c r="C9033" s="59" t="str">
        <f t="shared" si="22"/>
        <v/>
      </c>
      <c r="D9033" s="59" t="str">
        <f t="shared" si="23"/>
        <v/>
      </c>
      <c r="E9033" s="59" t="str">
        <f t="shared" si="24"/>
        <v/>
      </c>
      <c r="F9033" s="59" t="str">
        <f t="shared" si="25"/>
        <v/>
      </c>
      <c r="G9033" s="59" t="str">
        <f t="shared" si="26"/>
        <v/>
      </c>
      <c r="H9033" s="59" t="str">
        <f t="shared" si="27"/>
        <v>29E17269</v>
      </c>
      <c r="I9033" s="59" t="str">
        <f>IF(OR($A9033="",$C9033="",$D9033="",$E9033="",$H9033=""),"",SUMIFS(DATA_GOC!$H:$H,DATA_GOC!$A:$A,"BOM",DATA_GOC!$D:$D,$H9033,DATA_GOC!$E:$E,$C9033,DATA_GOC!$F:$F,"Xuất nội bộ từ téc",DATA_GOC!$B:$B,"&gt;="&amp;$D9033,DATA_GOC!$B:$B,"&lt;="&amp;$E9033))</f>
        <v/>
      </c>
      <c r="J9033" s="59">
        <f t="shared" si="28"/>
        <v>0</v>
      </c>
      <c r="K9033" s="59">
        <f t="shared" si="29"/>
        <v>0</v>
      </c>
      <c r="L9033" s="59">
        <f t="shared" si="30"/>
        <v>0</v>
      </c>
      <c r="M9033" s="59">
        <f t="shared" si="31"/>
        <v>0</v>
      </c>
    </row>
    <row r="9034" ht="15.0" hidden="1" customHeight="1">
      <c r="A9034" s="59">
        <f t="shared" si="20"/>
        <v>147</v>
      </c>
      <c r="B9034" s="59" t="str">
        <f t="shared" si="21"/>
        <v/>
      </c>
      <c r="C9034" s="59" t="str">
        <f t="shared" si="22"/>
        <v/>
      </c>
      <c r="D9034" s="59" t="str">
        <f t="shared" si="23"/>
        <v/>
      </c>
      <c r="E9034" s="59" t="str">
        <f t="shared" si="24"/>
        <v/>
      </c>
      <c r="F9034" s="59" t="str">
        <f t="shared" si="25"/>
        <v/>
      </c>
      <c r="G9034" s="59" t="str">
        <f t="shared" si="26"/>
        <v/>
      </c>
      <c r="H9034" s="59" t="str">
        <f t="shared" si="27"/>
        <v>29E17273</v>
      </c>
      <c r="I9034" s="59" t="str">
        <f>IF(OR($A9034="",$C9034="",$D9034="",$E9034="",$H9034=""),"",SUMIFS(DATA_GOC!$H:$H,DATA_GOC!$A:$A,"BOM",DATA_GOC!$D:$D,$H9034,DATA_GOC!$E:$E,$C9034,DATA_GOC!$F:$F,"Xuất nội bộ từ téc",DATA_GOC!$B:$B,"&gt;="&amp;$D9034,DATA_GOC!$B:$B,"&lt;="&amp;$E9034))</f>
        <v/>
      </c>
      <c r="J9034" s="59">
        <f t="shared" si="28"/>
        <v>0</v>
      </c>
      <c r="K9034" s="59">
        <f t="shared" si="29"/>
        <v>0</v>
      </c>
      <c r="L9034" s="59">
        <f t="shared" si="30"/>
        <v>0</v>
      </c>
      <c r="M9034" s="59">
        <f t="shared" si="31"/>
        <v>0</v>
      </c>
    </row>
    <row r="9035" ht="15.0" hidden="1" customHeight="1">
      <c r="A9035" s="59">
        <f t="shared" si="20"/>
        <v>147</v>
      </c>
      <c r="B9035" s="59" t="str">
        <f t="shared" si="21"/>
        <v/>
      </c>
      <c r="C9035" s="59" t="str">
        <f t="shared" si="22"/>
        <v/>
      </c>
      <c r="D9035" s="59" t="str">
        <f t="shared" si="23"/>
        <v/>
      </c>
      <c r="E9035" s="59" t="str">
        <f t="shared" si="24"/>
        <v/>
      </c>
      <c r="F9035" s="59" t="str">
        <f t="shared" si="25"/>
        <v/>
      </c>
      <c r="G9035" s="59" t="str">
        <f t="shared" si="26"/>
        <v/>
      </c>
      <c r="H9035" s="59" t="str">
        <f t="shared" si="27"/>
        <v>29E17410</v>
      </c>
      <c r="I9035" s="59" t="str">
        <f>IF(OR($A9035="",$C9035="",$D9035="",$E9035="",$H9035=""),"",SUMIFS(DATA_GOC!$H:$H,DATA_GOC!$A:$A,"BOM",DATA_GOC!$D:$D,$H9035,DATA_GOC!$E:$E,$C9035,DATA_GOC!$F:$F,"Xuất nội bộ từ téc",DATA_GOC!$B:$B,"&gt;="&amp;$D9035,DATA_GOC!$B:$B,"&lt;="&amp;$E9035))</f>
        <v/>
      </c>
      <c r="J9035" s="59">
        <f t="shared" si="28"/>
        <v>0</v>
      </c>
      <c r="K9035" s="59">
        <f t="shared" si="29"/>
        <v>0</v>
      </c>
      <c r="L9035" s="59">
        <f t="shared" si="30"/>
        <v>0</v>
      </c>
      <c r="M9035" s="59">
        <f t="shared" si="31"/>
        <v>0</v>
      </c>
    </row>
    <row r="9036" ht="15.0" hidden="1" customHeight="1">
      <c r="A9036" s="59">
        <f t="shared" si="20"/>
        <v>147</v>
      </c>
      <c r="B9036" s="59" t="str">
        <f t="shared" si="21"/>
        <v/>
      </c>
      <c r="C9036" s="59" t="str">
        <f t="shared" si="22"/>
        <v/>
      </c>
      <c r="D9036" s="59" t="str">
        <f t="shared" si="23"/>
        <v/>
      </c>
      <c r="E9036" s="59" t="str">
        <f t="shared" si="24"/>
        <v/>
      </c>
      <c r="F9036" s="59" t="str">
        <f t="shared" si="25"/>
        <v/>
      </c>
      <c r="G9036" s="59" t="str">
        <f t="shared" si="26"/>
        <v/>
      </c>
      <c r="H9036" s="59" t="str">
        <f t="shared" si="27"/>
        <v>29E17417</v>
      </c>
      <c r="I9036" s="59" t="str">
        <f>IF(OR($A9036="",$C9036="",$D9036="",$E9036="",$H9036=""),"",SUMIFS(DATA_GOC!$H:$H,DATA_GOC!$A:$A,"BOM",DATA_GOC!$D:$D,$H9036,DATA_GOC!$E:$E,$C9036,DATA_GOC!$F:$F,"Xuất nội bộ từ téc",DATA_GOC!$B:$B,"&gt;="&amp;$D9036,DATA_GOC!$B:$B,"&lt;="&amp;$E9036))</f>
        <v/>
      </c>
      <c r="J9036" s="59">
        <f t="shared" si="28"/>
        <v>0</v>
      </c>
      <c r="K9036" s="59">
        <f t="shared" si="29"/>
        <v>0</v>
      </c>
      <c r="L9036" s="59">
        <f t="shared" si="30"/>
        <v>0</v>
      </c>
      <c r="M9036" s="59">
        <f t="shared" si="31"/>
        <v>0</v>
      </c>
    </row>
    <row r="9037" ht="15.0" hidden="1" customHeight="1">
      <c r="A9037" s="59">
        <f t="shared" si="20"/>
        <v>147</v>
      </c>
      <c r="B9037" s="59" t="str">
        <f t="shared" si="21"/>
        <v/>
      </c>
      <c r="C9037" s="59" t="str">
        <f t="shared" si="22"/>
        <v/>
      </c>
      <c r="D9037" s="59" t="str">
        <f t="shared" si="23"/>
        <v/>
      </c>
      <c r="E9037" s="59" t="str">
        <f t="shared" si="24"/>
        <v/>
      </c>
      <c r="F9037" s="59" t="str">
        <f t="shared" si="25"/>
        <v/>
      </c>
      <c r="G9037" s="59" t="str">
        <f t="shared" si="26"/>
        <v/>
      </c>
      <c r="H9037" s="59" t="str">
        <f t="shared" si="27"/>
        <v>29E17539</v>
      </c>
      <c r="I9037" s="59" t="str">
        <f>IF(OR($A9037="",$C9037="",$D9037="",$E9037="",$H9037=""),"",SUMIFS(DATA_GOC!$H:$H,DATA_GOC!$A:$A,"BOM",DATA_GOC!$D:$D,$H9037,DATA_GOC!$E:$E,$C9037,DATA_GOC!$F:$F,"Xuất nội bộ từ téc",DATA_GOC!$B:$B,"&gt;="&amp;$D9037,DATA_GOC!$B:$B,"&lt;="&amp;$E9037))</f>
        <v/>
      </c>
      <c r="J9037" s="59">
        <f t="shared" si="28"/>
        <v>0</v>
      </c>
      <c r="K9037" s="59">
        <f t="shared" si="29"/>
        <v>0</v>
      </c>
      <c r="L9037" s="59">
        <f t="shared" si="30"/>
        <v>0</v>
      </c>
      <c r="M9037" s="59">
        <f t="shared" si="31"/>
        <v>0</v>
      </c>
    </row>
    <row r="9038" ht="15.0" hidden="1" customHeight="1">
      <c r="A9038" s="59">
        <f t="shared" si="20"/>
        <v>147</v>
      </c>
      <c r="B9038" s="59" t="str">
        <f t="shared" si="21"/>
        <v/>
      </c>
      <c r="C9038" s="59" t="str">
        <f t="shared" si="22"/>
        <v/>
      </c>
      <c r="D9038" s="59" t="str">
        <f t="shared" si="23"/>
        <v/>
      </c>
      <c r="E9038" s="59" t="str">
        <f t="shared" si="24"/>
        <v/>
      </c>
      <c r="F9038" s="59" t="str">
        <f t="shared" si="25"/>
        <v/>
      </c>
      <c r="G9038" s="59" t="str">
        <f t="shared" si="26"/>
        <v/>
      </c>
      <c r="H9038" s="59" t="str">
        <f t="shared" si="27"/>
        <v>29E18160</v>
      </c>
      <c r="I9038" s="59" t="str">
        <f>IF(OR($A9038="",$C9038="",$D9038="",$E9038="",$H9038=""),"",SUMIFS(DATA_GOC!$H:$H,DATA_GOC!$A:$A,"BOM",DATA_GOC!$D:$D,$H9038,DATA_GOC!$E:$E,$C9038,DATA_GOC!$F:$F,"Xuất nội bộ từ téc",DATA_GOC!$B:$B,"&gt;="&amp;$D9038,DATA_GOC!$B:$B,"&lt;="&amp;$E9038))</f>
        <v/>
      </c>
      <c r="J9038" s="59">
        <f t="shared" si="28"/>
        <v>0</v>
      </c>
      <c r="K9038" s="59">
        <f t="shared" si="29"/>
        <v>0</v>
      </c>
      <c r="L9038" s="59">
        <f t="shared" si="30"/>
        <v>0</v>
      </c>
      <c r="M9038" s="59">
        <f t="shared" si="31"/>
        <v>0</v>
      </c>
    </row>
    <row r="9039" ht="15.0" hidden="1" customHeight="1">
      <c r="A9039" s="59">
        <f t="shared" si="20"/>
        <v>147</v>
      </c>
      <c r="B9039" s="59" t="str">
        <f t="shared" si="21"/>
        <v/>
      </c>
      <c r="C9039" s="59" t="str">
        <f t="shared" si="22"/>
        <v/>
      </c>
      <c r="D9039" s="59" t="str">
        <f t="shared" si="23"/>
        <v/>
      </c>
      <c r="E9039" s="59" t="str">
        <f t="shared" si="24"/>
        <v/>
      </c>
      <c r="F9039" s="59" t="str">
        <f t="shared" si="25"/>
        <v/>
      </c>
      <c r="G9039" s="59" t="str">
        <f t="shared" si="26"/>
        <v/>
      </c>
      <c r="H9039" s="59" t="str">
        <f t="shared" si="27"/>
        <v>Công trình Asphalt</v>
      </c>
      <c r="I9039" s="59" t="str">
        <f>IF(OR($A9039="",$C9039="",$D9039="",$E9039="",$H9039=""),"",SUMIFS(DATA_GOC!$H:$H,DATA_GOC!$A:$A,"BOM",DATA_GOC!$D:$D,$H9039,DATA_GOC!$E:$E,$C9039,DATA_GOC!$F:$F,"Xuất nội bộ từ téc",DATA_GOC!$B:$B,"&gt;="&amp;$D9039,DATA_GOC!$B:$B,"&lt;="&amp;$E9039))</f>
        <v/>
      </c>
      <c r="J9039" s="59">
        <f t="shared" si="28"/>
        <v>0</v>
      </c>
      <c r="K9039" s="59">
        <f t="shared" si="29"/>
        <v>0</v>
      </c>
      <c r="L9039" s="59">
        <f t="shared" si="30"/>
        <v>0</v>
      </c>
      <c r="M9039" s="59">
        <f t="shared" si="31"/>
        <v>0</v>
      </c>
    </row>
    <row r="9040" ht="15.0" hidden="1" customHeight="1">
      <c r="A9040" s="59">
        <f t="shared" si="20"/>
        <v>147</v>
      </c>
      <c r="B9040" s="59" t="str">
        <f t="shared" si="21"/>
        <v/>
      </c>
      <c r="C9040" s="59" t="str">
        <f t="shared" si="22"/>
        <v/>
      </c>
      <c r="D9040" s="59" t="str">
        <f t="shared" si="23"/>
        <v/>
      </c>
      <c r="E9040" s="59" t="str">
        <f t="shared" si="24"/>
        <v/>
      </c>
      <c r="F9040" s="59" t="str">
        <f t="shared" si="25"/>
        <v/>
      </c>
      <c r="G9040" s="59" t="str">
        <f t="shared" si="26"/>
        <v/>
      </c>
      <c r="H9040" s="59" t="str">
        <f t="shared" si="27"/>
        <v>LG53F</v>
      </c>
      <c r="I9040" s="59" t="str">
        <f>IF(OR($A9040="",$C9040="",$D9040="",$E9040="",$H9040=""),"",SUMIFS(DATA_GOC!$H:$H,DATA_GOC!$A:$A,"BOM",DATA_GOC!$D:$D,$H9040,DATA_GOC!$E:$E,$C9040,DATA_GOC!$F:$F,"Xuất nội bộ từ téc",DATA_GOC!$B:$B,"&gt;="&amp;$D9040,DATA_GOC!$B:$B,"&lt;="&amp;$E9040))</f>
        <v/>
      </c>
      <c r="J9040" s="59">
        <f t="shared" si="28"/>
        <v>0</v>
      </c>
      <c r="K9040" s="59">
        <f t="shared" si="29"/>
        <v>0</v>
      </c>
      <c r="L9040" s="59">
        <f t="shared" si="30"/>
        <v>0</v>
      </c>
      <c r="M9040" s="59">
        <f t="shared" si="31"/>
        <v>0</v>
      </c>
    </row>
    <row r="9041" ht="15.0" hidden="1" customHeight="1">
      <c r="A9041" s="59">
        <f t="shared" si="20"/>
        <v>147</v>
      </c>
      <c r="B9041" s="59" t="str">
        <f t="shared" si="21"/>
        <v/>
      </c>
      <c r="C9041" s="59" t="str">
        <f t="shared" si="22"/>
        <v/>
      </c>
      <c r="D9041" s="59" t="str">
        <f t="shared" si="23"/>
        <v/>
      </c>
      <c r="E9041" s="59" t="str">
        <f t="shared" si="24"/>
        <v/>
      </c>
      <c r="F9041" s="59" t="str">
        <f t="shared" si="25"/>
        <v/>
      </c>
      <c r="G9041" s="59" t="str">
        <f t="shared" si="26"/>
        <v/>
      </c>
      <c r="H9041" s="59" t="str">
        <f t="shared" si="27"/>
        <v>Máy phát điện</v>
      </c>
      <c r="I9041" s="59" t="str">
        <f>IF(OR($A9041="",$C9041="",$D9041="",$E9041="",$H9041=""),"",SUMIFS(DATA_GOC!$H:$H,DATA_GOC!$A:$A,"BOM",DATA_GOC!$D:$D,$H9041,DATA_GOC!$E:$E,$C9041,DATA_GOC!$F:$F,"Xuất nội bộ từ téc",DATA_GOC!$B:$B,"&gt;="&amp;$D9041,DATA_GOC!$B:$B,"&lt;="&amp;$E9041))</f>
        <v/>
      </c>
      <c r="J9041" s="59">
        <f t="shared" si="28"/>
        <v>0</v>
      </c>
      <c r="K9041" s="59">
        <f t="shared" si="29"/>
        <v>0</v>
      </c>
      <c r="L9041" s="59">
        <f t="shared" si="30"/>
        <v>0</v>
      </c>
      <c r="M9041" s="59">
        <f t="shared" si="31"/>
        <v>0</v>
      </c>
    </row>
    <row r="9042" ht="15.0" hidden="1" customHeight="1">
      <c r="A9042" s="59">
        <f t="shared" si="20"/>
        <v>147</v>
      </c>
      <c r="B9042" s="59" t="str">
        <f t="shared" si="21"/>
        <v/>
      </c>
      <c r="C9042" s="59" t="str">
        <f t="shared" si="22"/>
        <v/>
      </c>
      <c r="D9042" s="59" t="str">
        <f t="shared" si="23"/>
        <v/>
      </c>
      <c r="E9042" s="59" t="str">
        <f t="shared" si="24"/>
        <v/>
      </c>
      <c r="F9042" s="59" t="str">
        <f t="shared" si="25"/>
        <v/>
      </c>
      <c r="G9042" s="59" t="str">
        <f t="shared" si="26"/>
        <v/>
      </c>
      <c r="H9042" s="59" t="str">
        <f t="shared" si="27"/>
        <v>Máy rải thảm</v>
      </c>
      <c r="I9042" s="59" t="str">
        <f>IF(OR($A9042="",$C9042="",$D9042="",$E9042="",$H9042=""),"",SUMIFS(DATA_GOC!$H:$H,DATA_GOC!$A:$A,"BOM",DATA_GOC!$D:$D,$H9042,DATA_GOC!$E:$E,$C9042,DATA_GOC!$F:$F,"Xuất nội bộ từ téc",DATA_GOC!$B:$B,"&gt;="&amp;$D9042,DATA_GOC!$B:$B,"&lt;="&amp;$E9042))</f>
        <v/>
      </c>
      <c r="J9042" s="59">
        <f t="shared" si="28"/>
        <v>0</v>
      </c>
      <c r="K9042" s="59">
        <f t="shared" si="29"/>
        <v>0</v>
      </c>
      <c r="L9042" s="59">
        <f t="shared" si="30"/>
        <v>0</v>
      </c>
      <c r="M9042" s="59">
        <f t="shared" si="31"/>
        <v>0</v>
      </c>
    </row>
    <row r="9043" ht="15.0" hidden="1" customHeight="1">
      <c r="A9043" s="59">
        <f t="shared" si="20"/>
        <v>147</v>
      </c>
      <c r="B9043" s="59" t="str">
        <f t="shared" si="21"/>
        <v/>
      </c>
      <c r="C9043" s="59" t="str">
        <f t="shared" si="22"/>
        <v/>
      </c>
      <c r="D9043" s="59" t="str">
        <f t="shared" si="23"/>
        <v/>
      </c>
      <c r="E9043" s="59" t="str">
        <f t="shared" si="24"/>
        <v/>
      </c>
      <c r="F9043" s="59" t="str">
        <f t="shared" si="25"/>
        <v/>
      </c>
      <c r="G9043" s="59" t="str">
        <f t="shared" si="26"/>
        <v/>
      </c>
      <c r="H9043" s="59" t="str">
        <f t="shared" si="27"/>
        <v>Xúc Đào</v>
      </c>
      <c r="I9043" s="59" t="str">
        <f>IF(OR($A9043="",$C9043="",$D9043="",$E9043="",$H9043=""),"",SUMIFS(DATA_GOC!$H:$H,DATA_GOC!$A:$A,"BOM",DATA_GOC!$D:$D,$H9043,DATA_GOC!$E:$E,$C9043,DATA_GOC!$F:$F,"Xuất nội bộ từ téc",DATA_GOC!$B:$B,"&gt;="&amp;$D9043,DATA_GOC!$B:$B,"&lt;="&amp;$E9043))</f>
        <v/>
      </c>
      <c r="J9043" s="59">
        <f t="shared" si="28"/>
        <v>0</v>
      </c>
      <c r="K9043" s="59">
        <f t="shared" si="29"/>
        <v>0</v>
      </c>
      <c r="L9043" s="59">
        <f t="shared" si="30"/>
        <v>0</v>
      </c>
      <c r="M9043" s="59">
        <f t="shared" si="31"/>
        <v>0</v>
      </c>
    </row>
    <row r="9044" ht="15.0" hidden="1" customHeight="1">
      <c r="A9044" s="59">
        <f t="shared" si="20"/>
        <v>147</v>
      </c>
      <c r="B9044" s="59" t="str">
        <f t="shared" si="21"/>
        <v/>
      </c>
      <c r="C9044" s="59" t="str">
        <f t="shared" si="22"/>
        <v/>
      </c>
      <c r="D9044" s="59" t="str">
        <f t="shared" si="23"/>
        <v/>
      </c>
      <c r="E9044" s="59" t="str">
        <f t="shared" si="24"/>
        <v/>
      </c>
      <c r="F9044" s="59" t="str">
        <f t="shared" si="25"/>
        <v/>
      </c>
      <c r="G9044" s="59" t="str">
        <f t="shared" si="26"/>
        <v/>
      </c>
      <c r="H9044" s="59" t="str">
        <f t="shared" si="27"/>
        <v>Xúclật asphalt</v>
      </c>
      <c r="I9044" s="59" t="str">
        <f>IF(OR($A9044="",$C9044="",$D9044="",$E9044="",$H9044=""),"",SUMIFS(DATA_GOC!$H:$H,DATA_GOC!$A:$A,"BOM",DATA_GOC!$D:$D,$H9044,DATA_GOC!$E:$E,$C9044,DATA_GOC!$F:$F,"Xuất nội bộ từ téc",DATA_GOC!$B:$B,"&gt;="&amp;$D9044,DATA_GOC!$B:$B,"&lt;="&amp;$E9044))</f>
        <v/>
      </c>
      <c r="J9044" s="59">
        <f t="shared" si="28"/>
        <v>0</v>
      </c>
      <c r="K9044" s="59">
        <f t="shared" si="29"/>
        <v>0</v>
      </c>
      <c r="L9044" s="59">
        <f t="shared" si="30"/>
        <v>0</v>
      </c>
      <c r="M9044" s="59">
        <f t="shared" si="31"/>
        <v>0</v>
      </c>
    </row>
    <row r="9045" ht="15.0" hidden="1" customHeight="1">
      <c r="A9045" s="59">
        <f t="shared" si="20"/>
        <v>147</v>
      </c>
      <c r="B9045" s="59" t="str">
        <f t="shared" si="21"/>
        <v/>
      </c>
      <c r="C9045" s="59" t="str">
        <f t="shared" si="22"/>
        <v/>
      </c>
      <c r="D9045" s="59" t="str">
        <f t="shared" si="23"/>
        <v/>
      </c>
      <c r="E9045" s="59" t="str">
        <f t="shared" si="24"/>
        <v/>
      </c>
      <c r="F9045" s="59" t="str">
        <f t="shared" si="25"/>
        <v/>
      </c>
      <c r="G9045" s="59" t="str">
        <f t="shared" si="26"/>
        <v/>
      </c>
      <c r="H9045" s="59" t="str">
        <f t="shared" si="27"/>
        <v>Xúclật855H</v>
      </c>
      <c r="I9045" s="59" t="str">
        <f>IF(OR($A9045="",$C9045="",$D9045="",$E9045="",$H9045=""),"",SUMIFS(DATA_GOC!$H:$H,DATA_GOC!$A:$A,"BOM",DATA_GOC!$D:$D,$H9045,DATA_GOC!$E:$E,$C9045,DATA_GOC!$F:$F,"Xuất nội bộ từ téc",DATA_GOC!$B:$B,"&gt;="&amp;$D9045,DATA_GOC!$B:$B,"&lt;="&amp;$E9045))</f>
        <v/>
      </c>
      <c r="J9045" s="59">
        <f t="shared" si="28"/>
        <v>0</v>
      </c>
      <c r="K9045" s="59">
        <f t="shared" si="29"/>
        <v>0</v>
      </c>
      <c r="L9045" s="59">
        <f t="shared" si="30"/>
        <v>0</v>
      </c>
      <c r="M9045" s="59">
        <f t="shared" si="31"/>
        <v>0</v>
      </c>
    </row>
    <row r="9046" ht="15.0" hidden="1" customHeight="1">
      <c r="A9046" s="59">
        <f t="shared" si="20"/>
        <v>147</v>
      </c>
      <c r="B9046" s="59" t="str">
        <f t="shared" si="21"/>
        <v/>
      </c>
      <c r="C9046" s="59" t="str">
        <f t="shared" si="22"/>
        <v/>
      </c>
      <c r="D9046" s="59" t="str">
        <f t="shared" si="23"/>
        <v/>
      </c>
      <c r="E9046" s="59" t="str">
        <f t="shared" si="24"/>
        <v/>
      </c>
      <c r="F9046" s="59" t="str">
        <f t="shared" si="25"/>
        <v/>
      </c>
      <c r="G9046" s="59" t="str">
        <f t="shared" si="26"/>
        <v/>
      </c>
      <c r="H9046" s="59" t="str">
        <f t="shared" si="27"/>
        <v>Xúclật855N</v>
      </c>
      <c r="I9046" s="59" t="str">
        <f>IF(OR($A9046="",$C9046="",$D9046="",$E9046="",$H9046=""),"",SUMIFS(DATA_GOC!$H:$H,DATA_GOC!$A:$A,"BOM",DATA_GOC!$D:$D,$H9046,DATA_GOC!$E:$E,$C9046,DATA_GOC!$F:$F,"Xuất nội bộ từ téc",DATA_GOC!$B:$B,"&gt;="&amp;$D9046,DATA_GOC!$B:$B,"&lt;="&amp;$E9046))</f>
        <v/>
      </c>
      <c r="J9046" s="59">
        <f t="shared" si="28"/>
        <v>0</v>
      </c>
      <c r="K9046" s="59">
        <f t="shared" si="29"/>
        <v>0</v>
      </c>
      <c r="L9046" s="59">
        <f t="shared" si="30"/>
        <v>0</v>
      </c>
      <c r="M9046" s="59">
        <f t="shared" si="31"/>
        <v>0</v>
      </c>
    </row>
    <row r="9047" ht="15.0" hidden="1" customHeight="1">
      <c r="A9047" s="59">
        <f t="shared" si="20"/>
        <v>147</v>
      </c>
      <c r="B9047" s="59" t="str">
        <f t="shared" si="21"/>
        <v/>
      </c>
      <c r="C9047" s="59" t="str">
        <f t="shared" si="22"/>
        <v/>
      </c>
      <c r="D9047" s="59" t="str">
        <f t="shared" si="23"/>
        <v/>
      </c>
      <c r="E9047" s="59" t="str">
        <f t="shared" si="24"/>
        <v/>
      </c>
      <c r="F9047" s="59" t="str">
        <f t="shared" si="25"/>
        <v/>
      </c>
      <c r="G9047" s="59" t="str">
        <f t="shared" si="26"/>
        <v/>
      </c>
      <c r="H9047" s="59" t="str">
        <f t="shared" si="27"/>
        <v>Cát nghiền</v>
      </c>
      <c r="I9047" s="59" t="str">
        <f>IF(OR($A9047="",$C9047="",$D9047="",$E9047="",$H9047=""),"",SUMIFS(DATA_GOC!$H:$H,DATA_GOC!$A:$A,"BOM",DATA_GOC!$D:$D,$H9047,DATA_GOC!$E:$E,$C9047,DATA_GOC!$F:$F,"Xuất nội bộ từ téc",DATA_GOC!$B:$B,"&gt;="&amp;$D9047,DATA_GOC!$B:$B,"&lt;="&amp;$E9047))</f>
        <v/>
      </c>
      <c r="J9047" s="59">
        <f t="shared" si="28"/>
        <v>0</v>
      </c>
      <c r="K9047" s="59">
        <f t="shared" si="29"/>
        <v>0</v>
      </c>
      <c r="L9047" s="59">
        <f t="shared" si="30"/>
        <v>0</v>
      </c>
      <c r="M9047" s="59">
        <f t="shared" si="31"/>
        <v>0</v>
      </c>
    </row>
    <row r="9048" ht="15.0" hidden="1" customHeight="1">
      <c r="A9048" s="59">
        <f t="shared" si="20"/>
        <v>147</v>
      </c>
      <c r="B9048" s="59" t="str">
        <f t="shared" si="21"/>
        <v/>
      </c>
      <c r="C9048" s="59" t="str">
        <f t="shared" si="22"/>
        <v/>
      </c>
      <c r="D9048" s="59" t="str">
        <f t="shared" si="23"/>
        <v/>
      </c>
      <c r="E9048" s="59" t="str">
        <f t="shared" si="24"/>
        <v/>
      </c>
      <c r="F9048" s="59" t="str">
        <f t="shared" si="25"/>
        <v/>
      </c>
      <c r="G9048" s="59" t="str">
        <f t="shared" si="26"/>
        <v/>
      </c>
      <c r="H9048" s="59" t="str">
        <f t="shared" si="27"/>
        <v>28C02973</v>
      </c>
      <c r="I9048" s="59" t="str">
        <f>IF(OR($A9048="",$C9048="",$D9048="",$E9048="",$H9048=""),"",SUMIFS(DATA_GOC!$H:$H,DATA_GOC!$A:$A,"BOM",DATA_GOC!$D:$D,$H9048,DATA_GOC!$E:$E,$C9048,DATA_GOC!$F:$F,"Xuất nội bộ từ téc",DATA_GOC!$B:$B,"&gt;="&amp;$D9048,DATA_GOC!$B:$B,"&lt;="&amp;$E9048))</f>
        <v/>
      </c>
      <c r="J9048" s="59">
        <f t="shared" si="28"/>
        <v>0</v>
      </c>
      <c r="K9048" s="59">
        <f t="shared" si="29"/>
        <v>0</v>
      </c>
      <c r="L9048" s="59">
        <f t="shared" si="30"/>
        <v>0</v>
      </c>
      <c r="M9048" s="59">
        <f t="shared" si="31"/>
        <v>0</v>
      </c>
    </row>
    <row r="9049" ht="15.0" hidden="1" customHeight="1">
      <c r="A9049" s="59">
        <f t="shared" si="20"/>
        <v>147</v>
      </c>
      <c r="B9049" s="59" t="str">
        <f t="shared" si="21"/>
        <v/>
      </c>
      <c r="C9049" s="59" t="str">
        <f t="shared" si="22"/>
        <v/>
      </c>
      <c r="D9049" s="59" t="str">
        <f t="shared" si="23"/>
        <v/>
      </c>
      <c r="E9049" s="59" t="str">
        <f t="shared" si="24"/>
        <v/>
      </c>
      <c r="F9049" s="59" t="str">
        <f t="shared" si="25"/>
        <v/>
      </c>
      <c r="G9049" s="59" t="str">
        <f t="shared" si="26"/>
        <v/>
      </c>
      <c r="H9049" s="59" t="str">
        <f t="shared" si="27"/>
        <v>28C03044</v>
      </c>
      <c r="I9049" s="59" t="str">
        <f>IF(OR($A9049="",$C9049="",$D9049="",$E9049="",$H9049=""),"",SUMIFS(DATA_GOC!$H:$H,DATA_GOC!$A:$A,"BOM",DATA_GOC!$D:$D,$H9049,DATA_GOC!$E:$E,$C9049,DATA_GOC!$F:$F,"Xuất nội bộ từ téc",DATA_GOC!$B:$B,"&gt;="&amp;$D9049,DATA_GOC!$B:$B,"&lt;="&amp;$E9049))</f>
        <v/>
      </c>
      <c r="J9049" s="59">
        <f t="shared" si="28"/>
        <v>0</v>
      </c>
      <c r="K9049" s="59">
        <f t="shared" si="29"/>
        <v>0</v>
      </c>
      <c r="L9049" s="59">
        <f t="shared" si="30"/>
        <v>0</v>
      </c>
      <c r="M9049" s="59">
        <f t="shared" si="31"/>
        <v>0</v>
      </c>
    </row>
    <row r="9050" ht="15.0" hidden="1" customHeight="1">
      <c r="A9050" s="59">
        <f t="shared" si="20"/>
        <v>147</v>
      </c>
      <c r="B9050" s="59" t="str">
        <f t="shared" si="21"/>
        <v/>
      </c>
      <c r="C9050" s="59" t="str">
        <f t="shared" si="22"/>
        <v/>
      </c>
      <c r="D9050" s="59" t="str">
        <f t="shared" si="23"/>
        <v/>
      </c>
      <c r="E9050" s="59" t="str">
        <f t="shared" si="24"/>
        <v/>
      </c>
      <c r="F9050" s="59" t="str">
        <f t="shared" si="25"/>
        <v/>
      </c>
      <c r="G9050" s="59" t="str">
        <f t="shared" si="26"/>
        <v/>
      </c>
      <c r="H9050" s="59" t="str">
        <f t="shared" si="27"/>
        <v>Máy lu lốp</v>
      </c>
      <c r="I9050" s="59" t="str">
        <f>IF(OR($A9050="",$C9050="",$D9050="",$E9050="",$H9050=""),"",SUMIFS(DATA_GOC!$H:$H,DATA_GOC!$A:$A,"BOM",DATA_GOC!$D:$D,$H9050,DATA_GOC!$E:$E,$C9050,DATA_GOC!$F:$F,"Xuất nội bộ từ téc",DATA_GOC!$B:$B,"&gt;="&amp;$D9050,DATA_GOC!$B:$B,"&lt;="&amp;$E9050))</f>
        <v/>
      </c>
      <c r="J9050" s="59">
        <f t="shared" si="28"/>
        <v>0</v>
      </c>
      <c r="K9050" s="59">
        <f t="shared" si="29"/>
        <v>0</v>
      </c>
      <c r="L9050" s="59">
        <f t="shared" si="30"/>
        <v>0</v>
      </c>
      <c r="M9050" s="59">
        <f t="shared" si="31"/>
        <v>0</v>
      </c>
    </row>
    <row r="9051" ht="15.0" hidden="1" customHeight="1">
      <c r="A9051" s="59">
        <f t="shared" si="20"/>
        <v>147</v>
      </c>
      <c r="B9051" s="59" t="str">
        <f t="shared" si="21"/>
        <v/>
      </c>
      <c r="C9051" s="59" t="str">
        <f t="shared" si="22"/>
        <v/>
      </c>
      <c r="D9051" s="59" t="str">
        <f t="shared" si="23"/>
        <v/>
      </c>
      <c r="E9051" s="59" t="str">
        <f t="shared" si="24"/>
        <v/>
      </c>
      <c r="F9051" s="59" t="str">
        <f t="shared" si="25"/>
        <v/>
      </c>
      <c r="G9051" s="59" t="str">
        <f t="shared" si="26"/>
        <v/>
      </c>
      <c r="H9051" s="59" t="str">
        <f t="shared" si="27"/>
        <v>Xe 600148</v>
      </c>
      <c r="I9051" s="59" t="str">
        <f>IF(OR($A9051="",$C9051="",$D9051="",$E9051="",$H9051=""),"",SUMIFS(DATA_GOC!$H:$H,DATA_GOC!$A:$A,"BOM",DATA_GOC!$D:$D,$H9051,DATA_GOC!$E:$E,$C9051,DATA_GOC!$F:$F,"Xuất nội bộ từ téc",DATA_GOC!$B:$B,"&gt;="&amp;$D9051,DATA_GOC!$B:$B,"&lt;="&amp;$E9051))</f>
        <v/>
      </c>
      <c r="J9051" s="59">
        <f t="shared" si="28"/>
        <v>0</v>
      </c>
      <c r="K9051" s="59">
        <f t="shared" si="29"/>
        <v>0</v>
      </c>
      <c r="L9051" s="59">
        <f t="shared" si="30"/>
        <v>0</v>
      </c>
      <c r="M9051" s="59">
        <f t="shared" si="31"/>
        <v>0</v>
      </c>
    </row>
    <row r="9052" ht="15.0" hidden="1" customHeight="1">
      <c r="A9052" s="59">
        <f t="shared" si="20"/>
        <v>147</v>
      </c>
      <c r="B9052" s="59" t="str">
        <f t="shared" si="21"/>
        <v/>
      </c>
      <c r="C9052" s="59" t="str">
        <f t="shared" si="22"/>
        <v/>
      </c>
      <c r="D9052" s="59" t="str">
        <f t="shared" si="23"/>
        <v/>
      </c>
      <c r="E9052" s="59" t="str">
        <f t="shared" si="24"/>
        <v/>
      </c>
      <c r="F9052" s="59" t="str">
        <f t="shared" si="25"/>
        <v/>
      </c>
      <c r="G9052" s="59" t="str">
        <f t="shared" si="26"/>
        <v/>
      </c>
      <c r="H9052" s="59" t="str">
        <f t="shared" si="27"/>
        <v>Xe ben mới</v>
      </c>
      <c r="I9052" s="59" t="str">
        <f>IF(OR($A9052="",$C9052="",$D9052="",$E9052="",$H9052=""),"",SUMIFS(DATA_GOC!$H:$H,DATA_GOC!$A:$A,"BOM",DATA_GOC!$D:$D,$H9052,DATA_GOC!$E:$E,$C9052,DATA_GOC!$F:$F,"Xuất nội bộ từ téc",DATA_GOC!$B:$B,"&gt;="&amp;$D9052,DATA_GOC!$B:$B,"&lt;="&amp;$E9052))</f>
        <v/>
      </c>
      <c r="J9052" s="59">
        <f t="shared" si="28"/>
        <v>0</v>
      </c>
      <c r="K9052" s="59">
        <f t="shared" si="29"/>
        <v>0</v>
      </c>
      <c r="L9052" s="59">
        <f t="shared" si="30"/>
        <v>0</v>
      </c>
      <c r="M9052" s="59">
        <f t="shared" si="31"/>
        <v>0</v>
      </c>
    </row>
    <row r="9053" ht="15.0" hidden="1" customHeight="1">
      <c r="A9053" s="59">
        <f t="shared" si="20"/>
        <v>148</v>
      </c>
      <c r="B9053" s="59" t="str">
        <f t="shared" si="21"/>
        <v/>
      </c>
      <c r="C9053" s="59" t="str">
        <f t="shared" si="22"/>
        <v/>
      </c>
      <c r="D9053" s="59" t="str">
        <f t="shared" si="23"/>
        <v/>
      </c>
      <c r="E9053" s="59" t="str">
        <f t="shared" si="24"/>
        <v/>
      </c>
      <c r="F9053" s="59" t="str">
        <f t="shared" si="25"/>
        <v/>
      </c>
      <c r="G9053" s="59" t="str">
        <f t="shared" si="26"/>
        <v/>
      </c>
      <c r="H9053" s="59" t="str">
        <f t="shared" si="27"/>
        <v>19H09482</v>
      </c>
      <c r="I9053" s="59" t="str">
        <f>IF(OR($A9053="",$C9053="",$D9053="",$E9053="",$H9053=""),"",SUMIFS(DATA_GOC!$H:$H,DATA_GOC!$A:$A,"BOM",DATA_GOC!$D:$D,$H9053,DATA_GOC!$E:$E,$C9053,DATA_GOC!$F:$F,"Xuất nội bộ từ téc",DATA_GOC!$B:$B,"&gt;="&amp;$D9053,DATA_GOC!$B:$B,"&lt;="&amp;$E9053))</f>
        <v/>
      </c>
      <c r="J9053" s="59">
        <f t="shared" si="28"/>
        <v>0</v>
      </c>
      <c r="K9053" s="59">
        <f t="shared" si="29"/>
        <v>0</v>
      </c>
      <c r="L9053" s="59">
        <f t="shared" si="30"/>
        <v>0</v>
      </c>
      <c r="M9053" s="59">
        <f t="shared" si="31"/>
        <v>0</v>
      </c>
    </row>
    <row r="9054" ht="15.0" hidden="1" customHeight="1">
      <c r="A9054" s="59">
        <f t="shared" si="20"/>
        <v>148</v>
      </c>
      <c r="B9054" s="59" t="str">
        <f t="shared" si="21"/>
        <v/>
      </c>
      <c r="C9054" s="59" t="str">
        <f t="shared" si="22"/>
        <v/>
      </c>
      <c r="D9054" s="59" t="str">
        <f t="shared" si="23"/>
        <v/>
      </c>
      <c r="E9054" s="59" t="str">
        <f t="shared" si="24"/>
        <v/>
      </c>
      <c r="F9054" s="59" t="str">
        <f t="shared" si="25"/>
        <v/>
      </c>
      <c r="G9054" s="59" t="str">
        <f t="shared" si="26"/>
        <v/>
      </c>
      <c r="H9054" s="59" t="str">
        <f t="shared" si="27"/>
        <v>28A30696</v>
      </c>
      <c r="I9054" s="59" t="str">
        <f>IF(OR($A9054="",$C9054="",$D9054="",$E9054="",$H9054=""),"",SUMIFS(DATA_GOC!$H:$H,DATA_GOC!$A:$A,"BOM",DATA_GOC!$D:$D,$H9054,DATA_GOC!$E:$E,$C9054,DATA_GOC!$F:$F,"Xuất nội bộ từ téc",DATA_GOC!$B:$B,"&gt;="&amp;$D9054,DATA_GOC!$B:$B,"&lt;="&amp;$E9054))</f>
        <v/>
      </c>
      <c r="J9054" s="59">
        <f t="shared" si="28"/>
        <v>0</v>
      </c>
      <c r="K9054" s="59">
        <f t="shared" si="29"/>
        <v>0</v>
      </c>
      <c r="L9054" s="59">
        <f t="shared" si="30"/>
        <v>0</v>
      </c>
      <c r="M9054" s="59">
        <f t="shared" si="31"/>
        <v>0</v>
      </c>
    </row>
    <row r="9055" ht="15.0" hidden="1" customHeight="1">
      <c r="A9055" s="59">
        <f t="shared" si="20"/>
        <v>148</v>
      </c>
      <c r="B9055" s="59" t="str">
        <f t="shared" si="21"/>
        <v/>
      </c>
      <c r="C9055" s="59" t="str">
        <f t="shared" si="22"/>
        <v/>
      </c>
      <c r="D9055" s="59" t="str">
        <f t="shared" si="23"/>
        <v/>
      </c>
      <c r="E9055" s="59" t="str">
        <f t="shared" si="24"/>
        <v/>
      </c>
      <c r="F9055" s="59" t="str">
        <f t="shared" si="25"/>
        <v/>
      </c>
      <c r="G9055" s="59" t="str">
        <f t="shared" si="26"/>
        <v/>
      </c>
      <c r="H9055" s="59" t="str">
        <f t="shared" si="27"/>
        <v>28C00462</v>
      </c>
      <c r="I9055" s="59" t="str">
        <f>IF(OR($A9055="",$C9055="",$D9055="",$E9055="",$H9055=""),"",SUMIFS(DATA_GOC!$H:$H,DATA_GOC!$A:$A,"BOM",DATA_GOC!$D:$D,$H9055,DATA_GOC!$E:$E,$C9055,DATA_GOC!$F:$F,"Xuất nội bộ từ téc",DATA_GOC!$B:$B,"&gt;="&amp;$D9055,DATA_GOC!$B:$B,"&lt;="&amp;$E9055))</f>
        <v/>
      </c>
      <c r="J9055" s="59">
        <f t="shared" si="28"/>
        <v>0</v>
      </c>
      <c r="K9055" s="59">
        <f t="shared" si="29"/>
        <v>0</v>
      </c>
      <c r="L9055" s="59">
        <f t="shared" si="30"/>
        <v>0</v>
      </c>
      <c r="M9055" s="59">
        <f t="shared" si="31"/>
        <v>0</v>
      </c>
    </row>
    <row r="9056" ht="15.0" hidden="1" customHeight="1">
      <c r="A9056" s="59">
        <f t="shared" si="20"/>
        <v>148</v>
      </c>
      <c r="B9056" s="59" t="str">
        <f t="shared" si="21"/>
        <v/>
      </c>
      <c r="C9056" s="59" t="str">
        <f t="shared" si="22"/>
        <v/>
      </c>
      <c r="D9056" s="59" t="str">
        <f t="shared" si="23"/>
        <v/>
      </c>
      <c r="E9056" s="59" t="str">
        <f t="shared" si="24"/>
        <v/>
      </c>
      <c r="F9056" s="59" t="str">
        <f t="shared" si="25"/>
        <v/>
      </c>
      <c r="G9056" s="59" t="str">
        <f t="shared" si="26"/>
        <v/>
      </c>
      <c r="H9056" s="59" t="str">
        <f t="shared" si="27"/>
        <v>28C01165</v>
      </c>
      <c r="I9056" s="59" t="str">
        <f>IF(OR($A9056="",$C9056="",$D9056="",$E9056="",$H9056=""),"",SUMIFS(DATA_GOC!$H:$H,DATA_GOC!$A:$A,"BOM",DATA_GOC!$D:$D,$H9056,DATA_GOC!$E:$E,$C9056,DATA_GOC!$F:$F,"Xuất nội bộ từ téc",DATA_GOC!$B:$B,"&gt;="&amp;$D9056,DATA_GOC!$B:$B,"&lt;="&amp;$E9056))</f>
        <v/>
      </c>
      <c r="J9056" s="59">
        <f t="shared" si="28"/>
        <v>0</v>
      </c>
      <c r="K9056" s="59">
        <f t="shared" si="29"/>
        <v>0</v>
      </c>
      <c r="L9056" s="59">
        <f t="shared" si="30"/>
        <v>0</v>
      </c>
      <c r="M9056" s="59">
        <f t="shared" si="31"/>
        <v>0</v>
      </c>
    </row>
    <row r="9057" ht="15.0" hidden="1" customHeight="1">
      <c r="A9057" s="59">
        <f t="shared" si="20"/>
        <v>148</v>
      </c>
      <c r="B9057" s="59" t="str">
        <f t="shared" si="21"/>
        <v/>
      </c>
      <c r="C9057" s="59" t="str">
        <f t="shared" si="22"/>
        <v/>
      </c>
      <c r="D9057" s="59" t="str">
        <f t="shared" si="23"/>
        <v/>
      </c>
      <c r="E9057" s="59" t="str">
        <f t="shared" si="24"/>
        <v/>
      </c>
      <c r="F9057" s="59" t="str">
        <f t="shared" si="25"/>
        <v/>
      </c>
      <c r="G9057" s="59" t="str">
        <f t="shared" si="26"/>
        <v/>
      </c>
      <c r="H9057" s="59" t="str">
        <f t="shared" si="27"/>
        <v>28C01406</v>
      </c>
      <c r="I9057" s="59" t="str">
        <f>IF(OR($A9057="",$C9057="",$D9057="",$E9057="",$H9057=""),"",SUMIFS(DATA_GOC!$H:$H,DATA_GOC!$A:$A,"BOM",DATA_GOC!$D:$D,$H9057,DATA_GOC!$E:$E,$C9057,DATA_GOC!$F:$F,"Xuất nội bộ từ téc",DATA_GOC!$B:$B,"&gt;="&amp;$D9057,DATA_GOC!$B:$B,"&lt;="&amp;$E9057))</f>
        <v/>
      </c>
      <c r="J9057" s="59">
        <f t="shared" si="28"/>
        <v>0</v>
      </c>
      <c r="K9057" s="59">
        <f t="shared" si="29"/>
        <v>0</v>
      </c>
      <c r="L9057" s="59">
        <f t="shared" si="30"/>
        <v>0</v>
      </c>
      <c r="M9057" s="59">
        <f t="shared" si="31"/>
        <v>0</v>
      </c>
    </row>
    <row r="9058" ht="15.0" hidden="1" customHeight="1">
      <c r="A9058" s="59">
        <f t="shared" si="20"/>
        <v>148</v>
      </c>
      <c r="B9058" s="59" t="str">
        <f t="shared" si="21"/>
        <v/>
      </c>
      <c r="C9058" s="59" t="str">
        <f t="shared" si="22"/>
        <v/>
      </c>
      <c r="D9058" s="59" t="str">
        <f t="shared" si="23"/>
        <v/>
      </c>
      <c r="E9058" s="59" t="str">
        <f t="shared" si="24"/>
        <v/>
      </c>
      <c r="F9058" s="59" t="str">
        <f t="shared" si="25"/>
        <v/>
      </c>
      <c r="G9058" s="59" t="str">
        <f t="shared" si="26"/>
        <v/>
      </c>
      <c r="H9058" s="59" t="str">
        <f t="shared" si="27"/>
        <v>28C01544</v>
      </c>
      <c r="I9058" s="59" t="str">
        <f>IF(OR($A9058="",$C9058="",$D9058="",$E9058="",$H9058=""),"",SUMIFS(DATA_GOC!$H:$H,DATA_GOC!$A:$A,"BOM",DATA_GOC!$D:$D,$H9058,DATA_GOC!$E:$E,$C9058,DATA_GOC!$F:$F,"Xuất nội bộ từ téc",DATA_GOC!$B:$B,"&gt;="&amp;$D9058,DATA_GOC!$B:$B,"&lt;="&amp;$E9058))</f>
        <v/>
      </c>
      <c r="J9058" s="59">
        <f t="shared" si="28"/>
        <v>0</v>
      </c>
      <c r="K9058" s="59">
        <f t="shared" si="29"/>
        <v>0</v>
      </c>
      <c r="L9058" s="59">
        <f t="shared" si="30"/>
        <v>0</v>
      </c>
      <c r="M9058" s="59">
        <f t="shared" si="31"/>
        <v>0</v>
      </c>
    </row>
    <row r="9059" ht="15.0" hidden="1" customHeight="1">
      <c r="A9059" s="59">
        <f t="shared" si="20"/>
        <v>148</v>
      </c>
      <c r="B9059" s="59" t="str">
        <f t="shared" si="21"/>
        <v/>
      </c>
      <c r="C9059" s="59" t="str">
        <f t="shared" si="22"/>
        <v/>
      </c>
      <c r="D9059" s="59" t="str">
        <f t="shared" si="23"/>
        <v/>
      </c>
      <c r="E9059" s="59" t="str">
        <f t="shared" si="24"/>
        <v/>
      </c>
      <c r="F9059" s="59" t="str">
        <f t="shared" si="25"/>
        <v/>
      </c>
      <c r="G9059" s="59" t="str">
        <f t="shared" si="26"/>
        <v/>
      </c>
      <c r="H9059" s="59" t="str">
        <f t="shared" si="27"/>
        <v>28C01622</v>
      </c>
      <c r="I9059" s="59" t="str">
        <f>IF(OR($A9059="",$C9059="",$D9059="",$E9059="",$H9059=""),"",SUMIFS(DATA_GOC!$H:$H,DATA_GOC!$A:$A,"BOM",DATA_GOC!$D:$D,$H9059,DATA_GOC!$E:$E,$C9059,DATA_GOC!$F:$F,"Xuất nội bộ từ téc",DATA_GOC!$B:$B,"&gt;="&amp;$D9059,DATA_GOC!$B:$B,"&lt;="&amp;$E9059))</f>
        <v/>
      </c>
      <c r="J9059" s="59">
        <f t="shared" si="28"/>
        <v>0</v>
      </c>
      <c r="K9059" s="59">
        <f t="shared" si="29"/>
        <v>0</v>
      </c>
      <c r="L9059" s="59">
        <f t="shared" si="30"/>
        <v>0</v>
      </c>
      <c r="M9059" s="59">
        <f t="shared" si="31"/>
        <v>0</v>
      </c>
    </row>
    <row r="9060" ht="15.0" hidden="1" customHeight="1">
      <c r="A9060" s="59">
        <f t="shared" si="20"/>
        <v>148</v>
      </c>
      <c r="B9060" s="59" t="str">
        <f t="shared" si="21"/>
        <v/>
      </c>
      <c r="C9060" s="59" t="str">
        <f t="shared" si="22"/>
        <v/>
      </c>
      <c r="D9060" s="59" t="str">
        <f t="shared" si="23"/>
        <v/>
      </c>
      <c r="E9060" s="59" t="str">
        <f t="shared" si="24"/>
        <v/>
      </c>
      <c r="F9060" s="59" t="str">
        <f t="shared" si="25"/>
        <v/>
      </c>
      <c r="G9060" s="59" t="str">
        <f t="shared" si="26"/>
        <v/>
      </c>
      <c r="H9060" s="59" t="str">
        <f t="shared" si="27"/>
        <v>28C01647</v>
      </c>
      <c r="I9060" s="59" t="str">
        <f>IF(OR($A9060="",$C9060="",$D9060="",$E9060="",$H9060=""),"",SUMIFS(DATA_GOC!$H:$H,DATA_GOC!$A:$A,"BOM",DATA_GOC!$D:$D,$H9060,DATA_GOC!$E:$E,$C9060,DATA_GOC!$F:$F,"Xuất nội bộ từ téc",DATA_GOC!$B:$B,"&gt;="&amp;$D9060,DATA_GOC!$B:$B,"&lt;="&amp;$E9060))</f>
        <v/>
      </c>
      <c r="J9060" s="59">
        <f t="shared" si="28"/>
        <v>0</v>
      </c>
      <c r="K9060" s="59">
        <f t="shared" si="29"/>
        <v>0</v>
      </c>
      <c r="L9060" s="59">
        <f t="shared" si="30"/>
        <v>0</v>
      </c>
      <c r="M9060" s="59">
        <f t="shared" si="31"/>
        <v>0</v>
      </c>
    </row>
    <row r="9061" ht="15.0" hidden="1" customHeight="1">
      <c r="A9061" s="59">
        <f t="shared" si="20"/>
        <v>148</v>
      </c>
      <c r="B9061" s="59" t="str">
        <f t="shared" si="21"/>
        <v/>
      </c>
      <c r="C9061" s="59" t="str">
        <f t="shared" si="22"/>
        <v/>
      </c>
      <c r="D9061" s="59" t="str">
        <f t="shared" si="23"/>
        <v/>
      </c>
      <c r="E9061" s="59" t="str">
        <f t="shared" si="24"/>
        <v/>
      </c>
      <c r="F9061" s="59" t="str">
        <f t="shared" si="25"/>
        <v/>
      </c>
      <c r="G9061" s="59" t="str">
        <f t="shared" si="26"/>
        <v/>
      </c>
      <c r="H9061" s="59" t="str">
        <f t="shared" si="27"/>
        <v>28C01731</v>
      </c>
      <c r="I9061" s="59" t="str">
        <f>IF(OR($A9061="",$C9061="",$D9061="",$E9061="",$H9061=""),"",SUMIFS(DATA_GOC!$H:$H,DATA_GOC!$A:$A,"BOM",DATA_GOC!$D:$D,$H9061,DATA_GOC!$E:$E,$C9061,DATA_GOC!$F:$F,"Xuất nội bộ từ téc",DATA_GOC!$B:$B,"&gt;="&amp;$D9061,DATA_GOC!$B:$B,"&lt;="&amp;$E9061))</f>
        <v/>
      </c>
      <c r="J9061" s="59">
        <f t="shared" si="28"/>
        <v>0</v>
      </c>
      <c r="K9061" s="59">
        <f t="shared" si="29"/>
        <v>0</v>
      </c>
      <c r="L9061" s="59">
        <f t="shared" si="30"/>
        <v>0</v>
      </c>
      <c r="M9061" s="59">
        <f t="shared" si="31"/>
        <v>0</v>
      </c>
    </row>
    <row r="9062" ht="15.0" hidden="1" customHeight="1">
      <c r="A9062" s="59">
        <f t="shared" si="20"/>
        <v>148</v>
      </c>
      <c r="B9062" s="59" t="str">
        <f t="shared" si="21"/>
        <v/>
      </c>
      <c r="C9062" s="59" t="str">
        <f t="shared" si="22"/>
        <v/>
      </c>
      <c r="D9062" s="59" t="str">
        <f t="shared" si="23"/>
        <v/>
      </c>
      <c r="E9062" s="59" t="str">
        <f t="shared" si="24"/>
        <v/>
      </c>
      <c r="F9062" s="59" t="str">
        <f t="shared" si="25"/>
        <v/>
      </c>
      <c r="G9062" s="59" t="str">
        <f t="shared" si="26"/>
        <v/>
      </c>
      <c r="H9062" s="59" t="str">
        <f t="shared" si="27"/>
        <v>28C01743</v>
      </c>
      <c r="I9062" s="59" t="str">
        <f>IF(OR($A9062="",$C9062="",$D9062="",$E9062="",$H9062=""),"",SUMIFS(DATA_GOC!$H:$H,DATA_GOC!$A:$A,"BOM",DATA_GOC!$D:$D,$H9062,DATA_GOC!$E:$E,$C9062,DATA_GOC!$F:$F,"Xuất nội bộ từ téc",DATA_GOC!$B:$B,"&gt;="&amp;$D9062,DATA_GOC!$B:$B,"&lt;="&amp;$E9062))</f>
        <v/>
      </c>
      <c r="J9062" s="59">
        <f t="shared" si="28"/>
        <v>0</v>
      </c>
      <c r="K9062" s="59">
        <f t="shared" si="29"/>
        <v>0</v>
      </c>
      <c r="L9062" s="59">
        <f t="shared" si="30"/>
        <v>0</v>
      </c>
      <c r="M9062" s="59">
        <f t="shared" si="31"/>
        <v>0</v>
      </c>
    </row>
    <row r="9063" ht="15.0" hidden="1" customHeight="1">
      <c r="A9063" s="59">
        <f t="shared" si="20"/>
        <v>148</v>
      </c>
      <c r="B9063" s="59" t="str">
        <f t="shared" si="21"/>
        <v/>
      </c>
      <c r="C9063" s="59" t="str">
        <f t="shared" si="22"/>
        <v/>
      </c>
      <c r="D9063" s="59" t="str">
        <f t="shared" si="23"/>
        <v/>
      </c>
      <c r="E9063" s="59" t="str">
        <f t="shared" si="24"/>
        <v/>
      </c>
      <c r="F9063" s="59" t="str">
        <f t="shared" si="25"/>
        <v/>
      </c>
      <c r="G9063" s="59" t="str">
        <f t="shared" si="26"/>
        <v/>
      </c>
      <c r="H9063" s="59" t="str">
        <f t="shared" si="27"/>
        <v>28C02106</v>
      </c>
      <c r="I9063" s="59" t="str">
        <f>IF(OR($A9063="",$C9063="",$D9063="",$E9063="",$H9063=""),"",SUMIFS(DATA_GOC!$H:$H,DATA_GOC!$A:$A,"BOM",DATA_GOC!$D:$D,$H9063,DATA_GOC!$E:$E,$C9063,DATA_GOC!$F:$F,"Xuất nội bộ từ téc",DATA_GOC!$B:$B,"&gt;="&amp;$D9063,DATA_GOC!$B:$B,"&lt;="&amp;$E9063))</f>
        <v/>
      </c>
      <c r="J9063" s="59">
        <f t="shared" si="28"/>
        <v>0</v>
      </c>
      <c r="K9063" s="59">
        <f t="shared" si="29"/>
        <v>0</v>
      </c>
      <c r="L9063" s="59">
        <f t="shared" si="30"/>
        <v>0</v>
      </c>
      <c r="M9063" s="59">
        <f t="shared" si="31"/>
        <v>0</v>
      </c>
    </row>
    <row r="9064" ht="15.0" hidden="1" customHeight="1">
      <c r="A9064" s="59">
        <f t="shared" si="20"/>
        <v>148</v>
      </c>
      <c r="B9064" s="59" t="str">
        <f t="shared" si="21"/>
        <v/>
      </c>
      <c r="C9064" s="59" t="str">
        <f t="shared" si="22"/>
        <v/>
      </c>
      <c r="D9064" s="59" t="str">
        <f t="shared" si="23"/>
        <v/>
      </c>
      <c r="E9064" s="59" t="str">
        <f t="shared" si="24"/>
        <v/>
      </c>
      <c r="F9064" s="59" t="str">
        <f t="shared" si="25"/>
        <v/>
      </c>
      <c r="G9064" s="59" t="str">
        <f t="shared" si="26"/>
        <v/>
      </c>
      <c r="H9064" s="59" t="str">
        <f t="shared" si="27"/>
        <v>28C02410</v>
      </c>
      <c r="I9064" s="59" t="str">
        <f>IF(OR($A9064="",$C9064="",$D9064="",$E9064="",$H9064=""),"",SUMIFS(DATA_GOC!$H:$H,DATA_GOC!$A:$A,"BOM",DATA_GOC!$D:$D,$H9064,DATA_GOC!$E:$E,$C9064,DATA_GOC!$F:$F,"Xuất nội bộ từ téc",DATA_GOC!$B:$B,"&gt;="&amp;$D9064,DATA_GOC!$B:$B,"&lt;="&amp;$E9064))</f>
        <v/>
      </c>
      <c r="J9064" s="59">
        <f t="shared" si="28"/>
        <v>0</v>
      </c>
      <c r="K9064" s="59">
        <f t="shared" si="29"/>
        <v>0</v>
      </c>
      <c r="L9064" s="59">
        <f t="shared" si="30"/>
        <v>0</v>
      </c>
      <c r="M9064" s="59">
        <f t="shared" si="31"/>
        <v>0</v>
      </c>
    </row>
    <row r="9065" ht="15.0" hidden="1" customHeight="1">
      <c r="A9065" s="59">
        <f t="shared" si="20"/>
        <v>148</v>
      </c>
      <c r="B9065" s="59" t="str">
        <f t="shared" si="21"/>
        <v/>
      </c>
      <c r="C9065" s="59" t="str">
        <f t="shared" si="22"/>
        <v/>
      </c>
      <c r="D9065" s="59" t="str">
        <f t="shared" si="23"/>
        <v/>
      </c>
      <c r="E9065" s="59" t="str">
        <f t="shared" si="24"/>
        <v/>
      </c>
      <c r="F9065" s="59" t="str">
        <f t="shared" si="25"/>
        <v/>
      </c>
      <c r="G9065" s="59" t="str">
        <f t="shared" si="26"/>
        <v/>
      </c>
      <c r="H9065" s="59" t="str">
        <f t="shared" si="27"/>
        <v>28C02545</v>
      </c>
      <c r="I9065" s="59" t="str">
        <f>IF(OR($A9065="",$C9065="",$D9065="",$E9065="",$H9065=""),"",SUMIFS(DATA_GOC!$H:$H,DATA_GOC!$A:$A,"BOM",DATA_GOC!$D:$D,$H9065,DATA_GOC!$E:$E,$C9065,DATA_GOC!$F:$F,"Xuất nội bộ từ téc",DATA_GOC!$B:$B,"&gt;="&amp;$D9065,DATA_GOC!$B:$B,"&lt;="&amp;$E9065))</f>
        <v/>
      </c>
      <c r="J9065" s="59">
        <f t="shared" si="28"/>
        <v>0</v>
      </c>
      <c r="K9065" s="59">
        <f t="shared" si="29"/>
        <v>0</v>
      </c>
      <c r="L9065" s="59">
        <f t="shared" si="30"/>
        <v>0</v>
      </c>
      <c r="M9065" s="59">
        <f t="shared" si="31"/>
        <v>0</v>
      </c>
    </row>
    <row r="9066" ht="15.0" hidden="1" customHeight="1">
      <c r="A9066" s="59">
        <f t="shared" si="20"/>
        <v>148</v>
      </c>
      <c r="B9066" s="59" t="str">
        <f t="shared" si="21"/>
        <v/>
      </c>
      <c r="C9066" s="59" t="str">
        <f t="shared" si="22"/>
        <v/>
      </c>
      <c r="D9066" s="59" t="str">
        <f t="shared" si="23"/>
        <v/>
      </c>
      <c r="E9066" s="59" t="str">
        <f t="shared" si="24"/>
        <v/>
      </c>
      <c r="F9066" s="59" t="str">
        <f t="shared" si="25"/>
        <v/>
      </c>
      <c r="G9066" s="59" t="str">
        <f t="shared" si="26"/>
        <v/>
      </c>
      <c r="H9066" s="59" t="str">
        <f t="shared" si="27"/>
        <v>28C02574</v>
      </c>
      <c r="I9066" s="59" t="str">
        <f>IF(OR($A9066="",$C9066="",$D9066="",$E9066="",$H9066=""),"",SUMIFS(DATA_GOC!$H:$H,DATA_GOC!$A:$A,"BOM",DATA_GOC!$D:$D,$H9066,DATA_GOC!$E:$E,$C9066,DATA_GOC!$F:$F,"Xuất nội bộ từ téc",DATA_GOC!$B:$B,"&gt;="&amp;$D9066,DATA_GOC!$B:$B,"&lt;="&amp;$E9066))</f>
        <v/>
      </c>
      <c r="J9066" s="59">
        <f t="shared" si="28"/>
        <v>0</v>
      </c>
      <c r="K9066" s="59">
        <f t="shared" si="29"/>
        <v>0</v>
      </c>
      <c r="L9066" s="59">
        <f t="shared" si="30"/>
        <v>0</v>
      </c>
      <c r="M9066" s="59">
        <f t="shared" si="31"/>
        <v>0</v>
      </c>
    </row>
    <row r="9067" ht="15.0" hidden="1" customHeight="1">
      <c r="A9067" s="59">
        <f t="shared" si="20"/>
        <v>148</v>
      </c>
      <c r="B9067" s="59" t="str">
        <f t="shared" si="21"/>
        <v/>
      </c>
      <c r="C9067" s="59" t="str">
        <f t="shared" si="22"/>
        <v/>
      </c>
      <c r="D9067" s="59" t="str">
        <f t="shared" si="23"/>
        <v/>
      </c>
      <c r="E9067" s="59" t="str">
        <f t="shared" si="24"/>
        <v/>
      </c>
      <c r="F9067" s="59" t="str">
        <f t="shared" si="25"/>
        <v/>
      </c>
      <c r="G9067" s="59" t="str">
        <f t="shared" si="26"/>
        <v/>
      </c>
      <c r="H9067" s="59" t="str">
        <f t="shared" si="27"/>
        <v>28C02770</v>
      </c>
      <c r="I9067" s="59" t="str">
        <f>IF(OR($A9067="",$C9067="",$D9067="",$E9067="",$H9067=""),"",SUMIFS(DATA_GOC!$H:$H,DATA_GOC!$A:$A,"BOM",DATA_GOC!$D:$D,$H9067,DATA_GOC!$E:$E,$C9067,DATA_GOC!$F:$F,"Xuất nội bộ từ téc",DATA_GOC!$B:$B,"&gt;="&amp;$D9067,DATA_GOC!$B:$B,"&lt;="&amp;$E9067))</f>
        <v/>
      </c>
      <c r="J9067" s="59">
        <f t="shared" si="28"/>
        <v>0</v>
      </c>
      <c r="K9067" s="59">
        <f t="shared" si="29"/>
        <v>0</v>
      </c>
      <c r="L9067" s="59">
        <f t="shared" si="30"/>
        <v>0</v>
      </c>
      <c r="M9067" s="59">
        <f t="shared" si="31"/>
        <v>0</v>
      </c>
    </row>
    <row r="9068" ht="15.0" hidden="1" customHeight="1">
      <c r="A9068" s="59">
        <f t="shared" si="20"/>
        <v>148</v>
      </c>
      <c r="B9068" s="59" t="str">
        <f t="shared" si="21"/>
        <v/>
      </c>
      <c r="C9068" s="59" t="str">
        <f t="shared" si="22"/>
        <v/>
      </c>
      <c r="D9068" s="59" t="str">
        <f t="shared" si="23"/>
        <v/>
      </c>
      <c r="E9068" s="59" t="str">
        <f t="shared" si="24"/>
        <v/>
      </c>
      <c r="F9068" s="59" t="str">
        <f t="shared" si="25"/>
        <v/>
      </c>
      <c r="G9068" s="59" t="str">
        <f t="shared" si="26"/>
        <v/>
      </c>
      <c r="H9068" s="59" t="str">
        <f t="shared" si="27"/>
        <v>28C02986</v>
      </c>
      <c r="I9068" s="59" t="str">
        <f>IF(OR($A9068="",$C9068="",$D9068="",$E9068="",$H9068=""),"",SUMIFS(DATA_GOC!$H:$H,DATA_GOC!$A:$A,"BOM",DATA_GOC!$D:$D,$H9068,DATA_GOC!$E:$E,$C9068,DATA_GOC!$F:$F,"Xuất nội bộ từ téc",DATA_GOC!$B:$B,"&gt;="&amp;$D9068,DATA_GOC!$B:$B,"&lt;="&amp;$E9068))</f>
        <v/>
      </c>
      <c r="J9068" s="59">
        <f t="shared" si="28"/>
        <v>0</v>
      </c>
      <c r="K9068" s="59">
        <f t="shared" si="29"/>
        <v>0</v>
      </c>
      <c r="L9068" s="59">
        <f t="shared" si="30"/>
        <v>0</v>
      </c>
      <c r="M9068" s="59">
        <f t="shared" si="31"/>
        <v>0</v>
      </c>
    </row>
    <row r="9069" ht="15.0" hidden="1" customHeight="1">
      <c r="A9069" s="59">
        <f t="shared" si="20"/>
        <v>148</v>
      </c>
      <c r="B9069" s="59" t="str">
        <f t="shared" si="21"/>
        <v/>
      </c>
      <c r="C9069" s="59" t="str">
        <f t="shared" si="22"/>
        <v/>
      </c>
      <c r="D9069" s="59" t="str">
        <f t="shared" si="23"/>
        <v/>
      </c>
      <c r="E9069" s="59" t="str">
        <f t="shared" si="24"/>
        <v/>
      </c>
      <c r="F9069" s="59" t="str">
        <f t="shared" si="25"/>
        <v/>
      </c>
      <c r="G9069" s="59" t="str">
        <f t="shared" si="26"/>
        <v/>
      </c>
      <c r="H9069" s="59" t="str">
        <f t="shared" si="27"/>
        <v>28C03261</v>
      </c>
      <c r="I9069" s="59" t="str">
        <f>IF(OR($A9069="",$C9069="",$D9069="",$E9069="",$H9069=""),"",SUMIFS(DATA_GOC!$H:$H,DATA_GOC!$A:$A,"BOM",DATA_GOC!$D:$D,$H9069,DATA_GOC!$E:$E,$C9069,DATA_GOC!$F:$F,"Xuất nội bộ từ téc",DATA_GOC!$B:$B,"&gt;="&amp;$D9069,DATA_GOC!$B:$B,"&lt;="&amp;$E9069))</f>
        <v/>
      </c>
      <c r="J9069" s="59">
        <f t="shared" si="28"/>
        <v>0</v>
      </c>
      <c r="K9069" s="59">
        <f t="shared" si="29"/>
        <v>0</v>
      </c>
      <c r="L9069" s="59">
        <f t="shared" si="30"/>
        <v>0</v>
      </c>
      <c r="M9069" s="59">
        <f t="shared" si="31"/>
        <v>0</v>
      </c>
    </row>
    <row r="9070" ht="15.0" hidden="1" customHeight="1">
      <c r="A9070" s="59">
        <f t="shared" si="20"/>
        <v>148</v>
      </c>
      <c r="B9070" s="59" t="str">
        <f t="shared" si="21"/>
        <v/>
      </c>
      <c r="C9070" s="59" t="str">
        <f t="shared" si="22"/>
        <v/>
      </c>
      <c r="D9070" s="59" t="str">
        <f t="shared" si="23"/>
        <v/>
      </c>
      <c r="E9070" s="59" t="str">
        <f t="shared" si="24"/>
        <v/>
      </c>
      <c r="F9070" s="59" t="str">
        <f t="shared" si="25"/>
        <v/>
      </c>
      <c r="G9070" s="59" t="str">
        <f t="shared" si="26"/>
        <v/>
      </c>
      <c r="H9070" s="59" t="str">
        <f t="shared" si="27"/>
        <v>28C03323</v>
      </c>
      <c r="I9070" s="59" t="str">
        <f>IF(OR($A9070="",$C9070="",$D9070="",$E9070="",$H9070=""),"",SUMIFS(DATA_GOC!$H:$H,DATA_GOC!$A:$A,"BOM",DATA_GOC!$D:$D,$H9070,DATA_GOC!$E:$E,$C9070,DATA_GOC!$F:$F,"Xuất nội bộ từ téc",DATA_GOC!$B:$B,"&gt;="&amp;$D9070,DATA_GOC!$B:$B,"&lt;="&amp;$E9070))</f>
        <v/>
      </c>
      <c r="J9070" s="59">
        <f t="shared" si="28"/>
        <v>0</v>
      </c>
      <c r="K9070" s="59">
        <f t="shared" si="29"/>
        <v>0</v>
      </c>
      <c r="L9070" s="59">
        <f t="shared" si="30"/>
        <v>0</v>
      </c>
      <c r="M9070" s="59">
        <f t="shared" si="31"/>
        <v>0</v>
      </c>
    </row>
    <row r="9071" ht="15.0" hidden="1" customHeight="1">
      <c r="A9071" s="59">
        <f t="shared" si="20"/>
        <v>148</v>
      </c>
      <c r="B9071" s="59" t="str">
        <f t="shared" si="21"/>
        <v/>
      </c>
      <c r="C9071" s="59" t="str">
        <f t="shared" si="22"/>
        <v/>
      </c>
      <c r="D9071" s="59" t="str">
        <f t="shared" si="23"/>
        <v/>
      </c>
      <c r="E9071" s="59" t="str">
        <f t="shared" si="24"/>
        <v/>
      </c>
      <c r="F9071" s="59" t="str">
        <f t="shared" si="25"/>
        <v/>
      </c>
      <c r="G9071" s="59" t="str">
        <f t="shared" si="26"/>
        <v/>
      </c>
      <c r="H9071" s="59" t="str">
        <f t="shared" si="27"/>
        <v>28C03385</v>
      </c>
      <c r="I9071" s="59" t="str">
        <f>IF(OR($A9071="",$C9071="",$D9071="",$E9071="",$H9071=""),"",SUMIFS(DATA_GOC!$H:$H,DATA_GOC!$A:$A,"BOM",DATA_GOC!$D:$D,$H9071,DATA_GOC!$E:$E,$C9071,DATA_GOC!$F:$F,"Xuất nội bộ từ téc",DATA_GOC!$B:$B,"&gt;="&amp;$D9071,DATA_GOC!$B:$B,"&lt;="&amp;$E9071))</f>
        <v/>
      </c>
      <c r="J9071" s="59">
        <f t="shared" si="28"/>
        <v>0</v>
      </c>
      <c r="K9071" s="59">
        <f t="shared" si="29"/>
        <v>0</v>
      </c>
      <c r="L9071" s="59">
        <f t="shared" si="30"/>
        <v>0</v>
      </c>
      <c r="M9071" s="59">
        <f t="shared" si="31"/>
        <v>0</v>
      </c>
    </row>
    <row r="9072" ht="15.0" hidden="1" customHeight="1">
      <c r="A9072" s="59">
        <f t="shared" si="20"/>
        <v>148</v>
      </c>
      <c r="B9072" s="59" t="str">
        <f t="shared" si="21"/>
        <v/>
      </c>
      <c r="C9072" s="59" t="str">
        <f t="shared" si="22"/>
        <v/>
      </c>
      <c r="D9072" s="59" t="str">
        <f t="shared" si="23"/>
        <v/>
      </c>
      <c r="E9072" s="59" t="str">
        <f t="shared" si="24"/>
        <v/>
      </c>
      <c r="F9072" s="59" t="str">
        <f t="shared" si="25"/>
        <v/>
      </c>
      <c r="G9072" s="59" t="str">
        <f t="shared" si="26"/>
        <v/>
      </c>
      <c r="H9072" s="59" t="str">
        <f t="shared" si="27"/>
        <v>28C03652</v>
      </c>
      <c r="I9072" s="59" t="str">
        <f>IF(OR($A9072="",$C9072="",$D9072="",$E9072="",$H9072=""),"",SUMIFS(DATA_GOC!$H:$H,DATA_GOC!$A:$A,"BOM",DATA_GOC!$D:$D,$H9072,DATA_GOC!$E:$E,$C9072,DATA_GOC!$F:$F,"Xuất nội bộ từ téc",DATA_GOC!$B:$B,"&gt;="&amp;$D9072,DATA_GOC!$B:$B,"&lt;="&amp;$E9072))</f>
        <v/>
      </c>
      <c r="J9072" s="59">
        <f t="shared" si="28"/>
        <v>0</v>
      </c>
      <c r="K9072" s="59">
        <f t="shared" si="29"/>
        <v>0</v>
      </c>
      <c r="L9072" s="59">
        <f t="shared" si="30"/>
        <v>0</v>
      </c>
      <c r="M9072" s="59">
        <f t="shared" si="31"/>
        <v>0</v>
      </c>
    </row>
    <row r="9073" ht="15.0" hidden="1" customHeight="1">
      <c r="A9073" s="59">
        <f t="shared" si="20"/>
        <v>148</v>
      </c>
      <c r="B9073" s="59" t="str">
        <f t="shared" si="21"/>
        <v/>
      </c>
      <c r="C9073" s="59" t="str">
        <f t="shared" si="22"/>
        <v/>
      </c>
      <c r="D9073" s="59" t="str">
        <f t="shared" si="23"/>
        <v/>
      </c>
      <c r="E9073" s="59" t="str">
        <f t="shared" si="24"/>
        <v/>
      </c>
      <c r="F9073" s="59" t="str">
        <f t="shared" si="25"/>
        <v/>
      </c>
      <c r="G9073" s="59" t="str">
        <f t="shared" si="26"/>
        <v/>
      </c>
      <c r="H9073" s="59" t="str">
        <f t="shared" si="27"/>
        <v>28C03695</v>
      </c>
      <c r="I9073" s="59" t="str">
        <f>IF(OR($A9073="",$C9073="",$D9073="",$E9073="",$H9073=""),"",SUMIFS(DATA_GOC!$H:$H,DATA_GOC!$A:$A,"BOM",DATA_GOC!$D:$D,$H9073,DATA_GOC!$E:$E,$C9073,DATA_GOC!$F:$F,"Xuất nội bộ từ téc",DATA_GOC!$B:$B,"&gt;="&amp;$D9073,DATA_GOC!$B:$B,"&lt;="&amp;$E9073))</f>
        <v/>
      </c>
      <c r="J9073" s="59">
        <f t="shared" si="28"/>
        <v>0</v>
      </c>
      <c r="K9073" s="59">
        <f t="shared" si="29"/>
        <v>0</v>
      </c>
      <c r="L9073" s="59">
        <f t="shared" si="30"/>
        <v>0</v>
      </c>
      <c r="M9073" s="59">
        <f t="shared" si="31"/>
        <v>0</v>
      </c>
    </row>
    <row r="9074" ht="15.0" hidden="1" customHeight="1">
      <c r="A9074" s="59">
        <f t="shared" si="20"/>
        <v>148</v>
      </c>
      <c r="B9074" s="59" t="str">
        <f t="shared" si="21"/>
        <v/>
      </c>
      <c r="C9074" s="59" t="str">
        <f t="shared" si="22"/>
        <v/>
      </c>
      <c r="D9074" s="59" t="str">
        <f t="shared" si="23"/>
        <v/>
      </c>
      <c r="E9074" s="59" t="str">
        <f t="shared" si="24"/>
        <v/>
      </c>
      <c r="F9074" s="59" t="str">
        <f t="shared" si="25"/>
        <v/>
      </c>
      <c r="G9074" s="59" t="str">
        <f t="shared" si="26"/>
        <v/>
      </c>
      <c r="H9074" s="59" t="str">
        <f t="shared" si="27"/>
        <v>28C03927</v>
      </c>
      <c r="I9074" s="59" t="str">
        <f>IF(OR($A9074="",$C9074="",$D9074="",$E9074="",$H9074=""),"",SUMIFS(DATA_GOC!$H:$H,DATA_GOC!$A:$A,"BOM",DATA_GOC!$D:$D,$H9074,DATA_GOC!$E:$E,$C9074,DATA_GOC!$F:$F,"Xuất nội bộ từ téc",DATA_GOC!$B:$B,"&gt;="&amp;$D9074,DATA_GOC!$B:$B,"&lt;="&amp;$E9074))</f>
        <v/>
      </c>
      <c r="J9074" s="59">
        <f t="shared" si="28"/>
        <v>0</v>
      </c>
      <c r="K9074" s="59">
        <f t="shared" si="29"/>
        <v>0</v>
      </c>
      <c r="L9074" s="59">
        <f t="shared" si="30"/>
        <v>0</v>
      </c>
      <c r="M9074" s="59">
        <f t="shared" si="31"/>
        <v>0</v>
      </c>
    </row>
    <row r="9075" ht="15.0" hidden="1" customHeight="1">
      <c r="A9075" s="59">
        <f t="shared" si="20"/>
        <v>148</v>
      </c>
      <c r="B9075" s="59" t="str">
        <f t="shared" si="21"/>
        <v/>
      </c>
      <c r="C9075" s="59" t="str">
        <f t="shared" si="22"/>
        <v/>
      </c>
      <c r="D9075" s="59" t="str">
        <f t="shared" si="23"/>
        <v/>
      </c>
      <c r="E9075" s="59" t="str">
        <f t="shared" si="24"/>
        <v/>
      </c>
      <c r="F9075" s="59" t="str">
        <f t="shared" si="25"/>
        <v/>
      </c>
      <c r="G9075" s="59" t="str">
        <f t="shared" si="26"/>
        <v/>
      </c>
      <c r="H9075" s="59" t="str">
        <f t="shared" si="27"/>
        <v>28C04509</v>
      </c>
      <c r="I9075" s="59" t="str">
        <f>IF(OR($A9075="",$C9075="",$D9075="",$E9075="",$H9075=""),"",SUMIFS(DATA_GOC!$H:$H,DATA_GOC!$A:$A,"BOM",DATA_GOC!$D:$D,$H9075,DATA_GOC!$E:$E,$C9075,DATA_GOC!$F:$F,"Xuất nội bộ từ téc",DATA_GOC!$B:$B,"&gt;="&amp;$D9075,DATA_GOC!$B:$B,"&lt;="&amp;$E9075))</f>
        <v/>
      </c>
      <c r="J9075" s="59">
        <f t="shared" si="28"/>
        <v>0</v>
      </c>
      <c r="K9075" s="59">
        <f t="shared" si="29"/>
        <v>0</v>
      </c>
      <c r="L9075" s="59">
        <f t="shared" si="30"/>
        <v>0</v>
      </c>
      <c r="M9075" s="59">
        <f t="shared" si="31"/>
        <v>0</v>
      </c>
    </row>
    <row r="9076" ht="15.0" hidden="1" customHeight="1">
      <c r="A9076" s="59">
        <f t="shared" si="20"/>
        <v>148</v>
      </c>
      <c r="B9076" s="59" t="str">
        <f t="shared" si="21"/>
        <v/>
      </c>
      <c r="C9076" s="59" t="str">
        <f t="shared" si="22"/>
        <v/>
      </c>
      <c r="D9076" s="59" t="str">
        <f t="shared" si="23"/>
        <v/>
      </c>
      <c r="E9076" s="59" t="str">
        <f t="shared" si="24"/>
        <v/>
      </c>
      <c r="F9076" s="59" t="str">
        <f t="shared" si="25"/>
        <v/>
      </c>
      <c r="G9076" s="59" t="str">
        <f t="shared" si="26"/>
        <v/>
      </c>
      <c r="H9076" s="59" t="str">
        <f t="shared" si="27"/>
        <v>28C04536</v>
      </c>
      <c r="I9076" s="59" t="str">
        <f>IF(OR($A9076="",$C9076="",$D9076="",$E9076="",$H9076=""),"",SUMIFS(DATA_GOC!$H:$H,DATA_GOC!$A:$A,"BOM",DATA_GOC!$D:$D,$H9076,DATA_GOC!$E:$E,$C9076,DATA_GOC!$F:$F,"Xuất nội bộ từ téc",DATA_GOC!$B:$B,"&gt;="&amp;$D9076,DATA_GOC!$B:$B,"&lt;="&amp;$E9076))</f>
        <v/>
      </c>
      <c r="J9076" s="59">
        <f t="shared" si="28"/>
        <v>0</v>
      </c>
      <c r="K9076" s="59">
        <f t="shared" si="29"/>
        <v>0</v>
      </c>
      <c r="L9076" s="59">
        <f t="shared" si="30"/>
        <v>0</v>
      </c>
      <c r="M9076" s="59">
        <f t="shared" si="31"/>
        <v>0</v>
      </c>
    </row>
    <row r="9077" ht="15.0" hidden="1" customHeight="1">
      <c r="A9077" s="59">
        <f t="shared" si="20"/>
        <v>148</v>
      </c>
      <c r="B9077" s="59" t="str">
        <f t="shared" si="21"/>
        <v/>
      </c>
      <c r="C9077" s="59" t="str">
        <f t="shared" si="22"/>
        <v/>
      </c>
      <c r="D9077" s="59" t="str">
        <f t="shared" si="23"/>
        <v/>
      </c>
      <c r="E9077" s="59" t="str">
        <f t="shared" si="24"/>
        <v/>
      </c>
      <c r="F9077" s="59" t="str">
        <f t="shared" si="25"/>
        <v/>
      </c>
      <c r="G9077" s="59" t="str">
        <f t="shared" si="26"/>
        <v/>
      </c>
      <c r="H9077" s="59" t="str">
        <f t="shared" si="27"/>
        <v>28C04576</v>
      </c>
      <c r="I9077" s="59" t="str">
        <f>IF(OR($A9077="",$C9077="",$D9077="",$E9077="",$H9077=""),"",SUMIFS(DATA_GOC!$H:$H,DATA_GOC!$A:$A,"BOM",DATA_GOC!$D:$D,$H9077,DATA_GOC!$E:$E,$C9077,DATA_GOC!$F:$F,"Xuất nội bộ từ téc",DATA_GOC!$B:$B,"&gt;="&amp;$D9077,DATA_GOC!$B:$B,"&lt;="&amp;$E9077))</f>
        <v/>
      </c>
      <c r="J9077" s="59">
        <f t="shared" si="28"/>
        <v>0</v>
      </c>
      <c r="K9077" s="59">
        <f t="shared" si="29"/>
        <v>0</v>
      </c>
      <c r="L9077" s="59">
        <f t="shared" si="30"/>
        <v>0</v>
      </c>
      <c r="M9077" s="59">
        <f t="shared" si="31"/>
        <v>0</v>
      </c>
    </row>
    <row r="9078" ht="15.0" hidden="1" customHeight="1">
      <c r="A9078" s="59">
        <f t="shared" si="20"/>
        <v>148</v>
      </c>
      <c r="B9078" s="59" t="str">
        <f t="shared" si="21"/>
        <v/>
      </c>
      <c r="C9078" s="59" t="str">
        <f t="shared" si="22"/>
        <v/>
      </c>
      <c r="D9078" s="59" t="str">
        <f t="shared" si="23"/>
        <v/>
      </c>
      <c r="E9078" s="59" t="str">
        <f t="shared" si="24"/>
        <v/>
      </c>
      <c r="F9078" s="59" t="str">
        <f t="shared" si="25"/>
        <v/>
      </c>
      <c r="G9078" s="59" t="str">
        <f t="shared" si="26"/>
        <v/>
      </c>
      <c r="H9078" s="59" t="str">
        <f t="shared" si="27"/>
        <v>28C05090</v>
      </c>
      <c r="I9078" s="59" t="str">
        <f>IF(OR($A9078="",$C9078="",$D9078="",$E9078="",$H9078=""),"",SUMIFS(DATA_GOC!$H:$H,DATA_GOC!$A:$A,"BOM",DATA_GOC!$D:$D,$H9078,DATA_GOC!$E:$E,$C9078,DATA_GOC!$F:$F,"Xuất nội bộ từ téc",DATA_GOC!$B:$B,"&gt;="&amp;$D9078,DATA_GOC!$B:$B,"&lt;="&amp;$E9078))</f>
        <v/>
      </c>
      <c r="J9078" s="59">
        <f t="shared" si="28"/>
        <v>0</v>
      </c>
      <c r="K9078" s="59">
        <f t="shared" si="29"/>
        <v>0</v>
      </c>
      <c r="L9078" s="59">
        <f t="shared" si="30"/>
        <v>0</v>
      </c>
      <c r="M9078" s="59">
        <f t="shared" si="31"/>
        <v>0</v>
      </c>
    </row>
    <row r="9079" ht="15.0" hidden="1" customHeight="1">
      <c r="A9079" s="59">
        <f t="shared" si="20"/>
        <v>148</v>
      </c>
      <c r="B9079" s="59" t="str">
        <f t="shared" si="21"/>
        <v/>
      </c>
      <c r="C9079" s="59" t="str">
        <f t="shared" si="22"/>
        <v/>
      </c>
      <c r="D9079" s="59" t="str">
        <f t="shared" si="23"/>
        <v/>
      </c>
      <c r="E9079" s="59" t="str">
        <f t="shared" si="24"/>
        <v/>
      </c>
      <c r="F9079" s="59" t="str">
        <f t="shared" si="25"/>
        <v/>
      </c>
      <c r="G9079" s="59" t="str">
        <f t="shared" si="26"/>
        <v/>
      </c>
      <c r="H9079" s="59" t="str">
        <f t="shared" si="27"/>
        <v>28C05345</v>
      </c>
      <c r="I9079" s="59" t="str">
        <f>IF(OR($A9079="",$C9079="",$D9079="",$E9079="",$H9079=""),"",SUMIFS(DATA_GOC!$H:$H,DATA_GOC!$A:$A,"BOM",DATA_GOC!$D:$D,$H9079,DATA_GOC!$E:$E,$C9079,DATA_GOC!$F:$F,"Xuất nội bộ từ téc",DATA_GOC!$B:$B,"&gt;="&amp;$D9079,DATA_GOC!$B:$B,"&lt;="&amp;$E9079))</f>
        <v/>
      </c>
      <c r="J9079" s="59">
        <f t="shared" si="28"/>
        <v>0</v>
      </c>
      <c r="K9079" s="59">
        <f t="shared" si="29"/>
        <v>0</v>
      </c>
      <c r="L9079" s="59">
        <f t="shared" si="30"/>
        <v>0</v>
      </c>
      <c r="M9079" s="59">
        <f t="shared" si="31"/>
        <v>0</v>
      </c>
    </row>
    <row r="9080" ht="15.0" hidden="1" customHeight="1">
      <c r="A9080" s="59">
        <f t="shared" si="20"/>
        <v>148</v>
      </c>
      <c r="B9080" s="59" t="str">
        <f t="shared" si="21"/>
        <v/>
      </c>
      <c r="C9080" s="59" t="str">
        <f t="shared" si="22"/>
        <v/>
      </c>
      <c r="D9080" s="59" t="str">
        <f t="shared" si="23"/>
        <v/>
      </c>
      <c r="E9080" s="59" t="str">
        <f t="shared" si="24"/>
        <v/>
      </c>
      <c r="F9080" s="59" t="str">
        <f t="shared" si="25"/>
        <v/>
      </c>
      <c r="G9080" s="59" t="str">
        <f t="shared" si="26"/>
        <v/>
      </c>
      <c r="H9080" s="59" t="str">
        <f t="shared" si="27"/>
        <v>28C05661</v>
      </c>
      <c r="I9080" s="59" t="str">
        <f>IF(OR($A9080="",$C9080="",$D9080="",$E9080="",$H9080=""),"",SUMIFS(DATA_GOC!$H:$H,DATA_GOC!$A:$A,"BOM",DATA_GOC!$D:$D,$H9080,DATA_GOC!$E:$E,$C9080,DATA_GOC!$F:$F,"Xuất nội bộ từ téc",DATA_GOC!$B:$B,"&gt;="&amp;$D9080,DATA_GOC!$B:$B,"&lt;="&amp;$E9080))</f>
        <v/>
      </c>
      <c r="J9080" s="59">
        <f t="shared" si="28"/>
        <v>0</v>
      </c>
      <c r="K9080" s="59">
        <f t="shared" si="29"/>
        <v>0</v>
      </c>
      <c r="L9080" s="59">
        <f t="shared" si="30"/>
        <v>0</v>
      </c>
      <c r="M9080" s="59">
        <f t="shared" si="31"/>
        <v>0</v>
      </c>
    </row>
    <row r="9081" ht="15.0" hidden="1" customHeight="1">
      <c r="A9081" s="59">
        <f t="shared" si="20"/>
        <v>148</v>
      </c>
      <c r="B9081" s="59" t="str">
        <f t="shared" si="21"/>
        <v/>
      </c>
      <c r="C9081" s="59" t="str">
        <f t="shared" si="22"/>
        <v/>
      </c>
      <c r="D9081" s="59" t="str">
        <f t="shared" si="23"/>
        <v/>
      </c>
      <c r="E9081" s="59" t="str">
        <f t="shared" si="24"/>
        <v/>
      </c>
      <c r="F9081" s="59" t="str">
        <f t="shared" si="25"/>
        <v/>
      </c>
      <c r="G9081" s="59" t="str">
        <f t="shared" si="26"/>
        <v/>
      </c>
      <c r="H9081" s="59" t="str">
        <f t="shared" si="27"/>
        <v>28C05739</v>
      </c>
      <c r="I9081" s="59" t="str">
        <f>IF(OR($A9081="",$C9081="",$D9081="",$E9081="",$H9081=""),"",SUMIFS(DATA_GOC!$H:$H,DATA_GOC!$A:$A,"BOM",DATA_GOC!$D:$D,$H9081,DATA_GOC!$E:$E,$C9081,DATA_GOC!$F:$F,"Xuất nội bộ từ téc",DATA_GOC!$B:$B,"&gt;="&amp;$D9081,DATA_GOC!$B:$B,"&lt;="&amp;$E9081))</f>
        <v/>
      </c>
      <c r="J9081" s="59">
        <f t="shared" si="28"/>
        <v>0</v>
      </c>
      <c r="K9081" s="59">
        <f t="shared" si="29"/>
        <v>0</v>
      </c>
      <c r="L9081" s="59">
        <f t="shared" si="30"/>
        <v>0</v>
      </c>
      <c r="M9081" s="59">
        <f t="shared" si="31"/>
        <v>0</v>
      </c>
    </row>
    <row r="9082" ht="15.0" hidden="1" customHeight="1">
      <c r="A9082" s="59">
        <f t="shared" si="20"/>
        <v>148</v>
      </c>
      <c r="B9082" s="59" t="str">
        <f t="shared" si="21"/>
        <v/>
      </c>
      <c r="C9082" s="59" t="str">
        <f t="shared" si="22"/>
        <v/>
      </c>
      <c r="D9082" s="59" t="str">
        <f t="shared" si="23"/>
        <v/>
      </c>
      <c r="E9082" s="59" t="str">
        <f t="shared" si="24"/>
        <v/>
      </c>
      <c r="F9082" s="59" t="str">
        <f t="shared" si="25"/>
        <v/>
      </c>
      <c r="G9082" s="59" t="str">
        <f t="shared" si="26"/>
        <v/>
      </c>
      <c r="H9082" s="59" t="str">
        <f t="shared" si="27"/>
        <v>28C06369</v>
      </c>
      <c r="I9082" s="59" t="str">
        <f>IF(OR($A9082="",$C9082="",$D9082="",$E9082="",$H9082=""),"",SUMIFS(DATA_GOC!$H:$H,DATA_GOC!$A:$A,"BOM",DATA_GOC!$D:$D,$H9082,DATA_GOC!$E:$E,$C9082,DATA_GOC!$F:$F,"Xuất nội bộ từ téc",DATA_GOC!$B:$B,"&gt;="&amp;$D9082,DATA_GOC!$B:$B,"&lt;="&amp;$E9082))</f>
        <v/>
      </c>
      <c r="J9082" s="59">
        <f t="shared" si="28"/>
        <v>0</v>
      </c>
      <c r="K9082" s="59">
        <f t="shared" si="29"/>
        <v>0</v>
      </c>
      <c r="L9082" s="59">
        <f t="shared" si="30"/>
        <v>0</v>
      </c>
      <c r="M9082" s="59">
        <f t="shared" si="31"/>
        <v>0</v>
      </c>
    </row>
    <row r="9083" ht="15.0" hidden="1" customHeight="1">
      <c r="A9083" s="59">
        <f t="shared" si="20"/>
        <v>148</v>
      </c>
      <c r="B9083" s="59" t="str">
        <f t="shared" si="21"/>
        <v/>
      </c>
      <c r="C9083" s="59" t="str">
        <f t="shared" si="22"/>
        <v/>
      </c>
      <c r="D9083" s="59" t="str">
        <f t="shared" si="23"/>
        <v/>
      </c>
      <c r="E9083" s="59" t="str">
        <f t="shared" si="24"/>
        <v/>
      </c>
      <c r="F9083" s="59" t="str">
        <f t="shared" si="25"/>
        <v/>
      </c>
      <c r="G9083" s="59" t="str">
        <f t="shared" si="26"/>
        <v/>
      </c>
      <c r="H9083" s="59" t="str">
        <f t="shared" si="27"/>
        <v>28C06447</v>
      </c>
      <c r="I9083" s="59" t="str">
        <f>IF(OR($A9083="",$C9083="",$D9083="",$E9083="",$H9083=""),"",SUMIFS(DATA_GOC!$H:$H,DATA_GOC!$A:$A,"BOM",DATA_GOC!$D:$D,$H9083,DATA_GOC!$E:$E,$C9083,DATA_GOC!$F:$F,"Xuất nội bộ từ téc",DATA_GOC!$B:$B,"&gt;="&amp;$D9083,DATA_GOC!$B:$B,"&lt;="&amp;$E9083))</f>
        <v/>
      </c>
      <c r="J9083" s="59">
        <f t="shared" si="28"/>
        <v>0</v>
      </c>
      <c r="K9083" s="59">
        <f t="shared" si="29"/>
        <v>0</v>
      </c>
      <c r="L9083" s="59">
        <f t="shared" si="30"/>
        <v>0</v>
      </c>
      <c r="M9083" s="59">
        <f t="shared" si="31"/>
        <v>0</v>
      </c>
    </row>
    <row r="9084" ht="15.0" hidden="1" customHeight="1">
      <c r="A9084" s="59">
        <f t="shared" si="20"/>
        <v>148</v>
      </c>
      <c r="B9084" s="59" t="str">
        <f t="shared" si="21"/>
        <v/>
      </c>
      <c r="C9084" s="59" t="str">
        <f t="shared" si="22"/>
        <v/>
      </c>
      <c r="D9084" s="59" t="str">
        <f t="shared" si="23"/>
        <v/>
      </c>
      <c r="E9084" s="59" t="str">
        <f t="shared" si="24"/>
        <v/>
      </c>
      <c r="F9084" s="59" t="str">
        <f t="shared" si="25"/>
        <v/>
      </c>
      <c r="G9084" s="59" t="str">
        <f t="shared" si="26"/>
        <v/>
      </c>
      <c r="H9084" s="59" t="str">
        <f t="shared" si="27"/>
        <v>28H00003</v>
      </c>
      <c r="I9084" s="59" t="str">
        <f>IF(OR($A9084="",$C9084="",$D9084="",$E9084="",$H9084=""),"",SUMIFS(DATA_GOC!$H:$H,DATA_GOC!$A:$A,"BOM",DATA_GOC!$D:$D,$H9084,DATA_GOC!$E:$E,$C9084,DATA_GOC!$F:$F,"Xuất nội bộ từ téc",DATA_GOC!$B:$B,"&gt;="&amp;$D9084,DATA_GOC!$B:$B,"&lt;="&amp;$E9084))</f>
        <v/>
      </c>
      <c r="J9084" s="59">
        <f t="shared" si="28"/>
        <v>0</v>
      </c>
      <c r="K9084" s="59">
        <f t="shared" si="29"/>
        <v>0</v>
      </c>
      <c r="L9084" s="59">
        <f t="shared" si="30"/>
        <v>0</v>
      </c>
      <c r="M9084" s="59">
        <f t="shared" si="31"/>
        <v>0</v>
      </c>
    </row>
    <row r="9085" ht="15.0" hidden="1" customHeight="1">
      <c r="A9085" s="59">
        <f t="shared" si="20"/>
        <v>148</v>
      </c>
      <c r="B9085" s="59" t="str">
        <f t="shared" si="21"/>
        <v/>
      </c>
      <c r="C9085" s="59" t="str">
        <f t="shared" si="22"/>
        <v/>
      </c>
      <c r="D9085" s="59" t="str">
        <f t="shared" si="23"/>
        <v/>
      </c>
      <c r="E9085" s="59" t="str">
        <f t="shared" si="24"/>
        <v/>
      </c>
      <c r="F9085" s="59" t="str">
        <f t="shared" si="25"/>
        <v/>
      </c>
      <c r="G9085" s="59" t="str">
        <f t="shared" si="26"/>
        <v/>
      </c>
      <c r="H9085" s="59" t="str">
        <f t="shared" si="27"/>
        <v>28H00061</v>
      </c>
      <c r="I9085" s="59" t="str">
        <f>IF(OR($A9085="",$C9085="",$D9085="",$E9085="",$H9085=""),"",SUMIFS(DATA_GOC!$H:$H,DATA_GOC!$A:$A,"BOM",DATA_GOC!$D:$D,$H9085,DATA_GOC!$E:$E,$C9085,DATA_GOC!$F:$F,"Xuất nội bộ từ téc",DATA_GOC!$B:$B,"&gt;="&amp;$D9085,DATA_GOC!$B:$B,"&lt;="&amp;$E9085))</f>
        <v/>
      </c>
      <c r="J9085" s="59">
        <f t="shared" si="28"/>
        <v>0</v>
      </c>
      <c r="K9085" s="59">
        <f t="shared" si="29"/>
        <v>0</v>
      </c>
      <c r="L9085" s="59">
        <f t="shared" si="30"/>
        <v>0</v>
      </c>
      <c r="M9085" s="59">
        <f t="shared" si="31"/>
        <v>0</v>
      </c>
    </row>
    <row r="9086" ht="15.0" hidden="1" customHeight="1">
      <c r="A9086" s="59">
        <f t="shared" si="20"/>
        <v>148</v>
      </c>
      <c r="B9086" s="59" t="str">
        <f t="shared" si="21"/>
        <v/>
      </c>
      <c r="C9086" s="59" t="str">
        <f t="shared" si="22"/>
        <v/>
      </c>
      <c r="D9086" s="59" t="str">
        <f t="shared" si="23"/>
        <v/>
      </c>
      <c r="E9086" s="59" t="str">
        <f t="shared" si="24"/>
        <v/>
      </c>
      <c r="F9086" s="59" t="str">
        <f t="shared" si="25"/>
        <v/>
      </c>
      <c r="G9086" s="59" t="str">
        <f t="shared" si="26"/>
        <v/>
      </c>
      <c r="H9086" s="59" t="str">
        <f t="shared" si="27"/>
        <v>28H00354</v>
      </c>
      <c r="I9086" s="59" t="str">
        <f>IF(OR($A9086="",$C9086="",$D9086="",$E9086="",$H9086=""),"",SUMIFS(DATA_GOC!$H:$H,DATA_GOC!$A:$A,"BOM",DATA_GOC!$D:$D,$H9086,DATA_GOC!$E:$E,$C9086,DATA_GOC!$F:$F,"Xuất nội bộ từ téc",DATA_GOC!$B:$B,"&gt;="&amp;$D9086,DATA_GOC!$B:$B,"&lt;="&amp;$E9086))</f>
        <v/>
      </c>
      <c r="J9086" s="59">
        <f t="shared" si="28"/>
        <v>0</v>
      </c>
      <c r="K9086" s="59">
        <f t="shared" si="29"/>
        <v>0</v>
      </c>
      <c r="L9086" s="59">
        <f t="shared" si="30"/>
        <v>0</v>
      </c>
      <c r="M9086" s="59">
        <f t="shared" si="31"/>
        <v>0</v>
      </c>
    </row>
    <row r="9087" ht="15.0" hidden="1" customHeight="1">
      <c r="A9087" s="59">
        <f t="shared" si="20"/>
        <v>148</v>
      </c>
      <c r="B9087" s="59" t="str">
        <f t="shared" si="21"/>
        <v/>
      </c>
      <c r="C9087" s="59" t="str">
        <f t="shared" si="22"/>
        <v/>
      </c>
      <c r="D9087" s="59" t="str">
        <f t="shared" si="23"/>
        <v/>
      </c>
      <c r="E9087" s="59" t="str">
        <f t="shared" si="24"/>
        <v/>
      </c>
      <c r="F9087" s="59" t="str">
        <f t="shared" si="25"/>
        <v/>
      </c>
      <c r="G9087" s="59" t="str">
        <f t="shared" si="26"/>
        <v/>
      </c>
      <c r="H9087" s="59" t="str">
        <f t="shared" si="27"/>
        <v>28H00603</v>
      </c>
      <c r="I9087" s="59" t="str">
        <f>IF(OR($A9087="",$C9087="",$D9087="",$E9087="",$H9087=""),"",SUMIFS(DATA_GOC!$H:$H,DATA_GOC!$A:$A,"BOM",DATA_GOC!$D:$D,$H9087,DATA_GOC!$E:$E,$C9087,DATA_GOC!$F:$F,"Xuất nội bộ từ téc",DATA_GOC!$B:$B,"&gt;="&amp;$D9087,DATA_GOC!$B:$B,"&lt;="&amp;$E9087))</f>
        <v/>
      </c>
      <c r="J9087" s="59">
        <f t="shared" si="28"/>
        <v>0</v>
      </c>
      <c r="K9087" s="59">
        <f t="shared" si="29"/>
        <v>0</v>
      </c>
      <c r="L9087" s="59">
        <f t="shared" si="30"/>
        <v>0</v>
      </c>
      <c r="M9087" s="59">
        <f t="shared" si="31"/>
        <v>0</v>
      </c>
    </row>
    <row r="9088" ht="15.0" hidden="1" customHeight="1">
      <c r="A9088" s="59">
        <f t="shared" si="20"/>
        <v>148</v>
      </c>
      <c r="B9088" s="59" t="str">
        <f t="shared" si="21"/>
        <v/>
      </c>
      <c r="C9088" s="59" t="str">
        <f t="shared" si="22"/>
        <v/>
      </c>
      <c r="D9088" s="59" t="str">
        <f t="shared" si="23"/>
        <v/>
      </c>
      <c r="E9088" s="59" t="str">
        <f t="shared" si="24"/>
        <v/>
      </c>
      <c r="F9088" s="59" t="str">
        <f t="shared" si="25"/>
        <v/>
      </c>
      <c r="G9088" s="59" t="str">
        <f t="shared" si="26"/>
        <v/>
      </c>
      <c r="H9088" s="59" t="str">
        <f t="shared" si="27"/>
        <v>28H00609</v>
      </c>
      <c r="I9088" s="59" t="str">
        <f>IF(OR($A9088="",$C9088="",$D9088="",$E9088="",$H9088=""),"",SUMIFS(DATA_GOC!$H:$H,DATA_GOC!$A:$A,"BOM",DATA_GOC!$D:$D,$H9088,DATA_GOC!$E:$E,$C9088,DATA_GOC!$F:$F,"Xuất nội bộ từ téc",DATA_GOC!$B:$B,"&gt;="&amp;$D9088,DATA_GOC!$B:$B,"&lt;="&amp;$E9088))</f>
        <v/>
      </c>
      <c r="J9088" s="59">
        <f t="shared" si="28"/>
        <v>0</v>
      </c>
      <c r="K9088" s="59">
        <f t="shared" si="29"/>
        <v>0</v>
      </c>
      <c r="L9088" s="59">
        <f t="shared" si="30"/>
        <v>0</v>
      </c>
      <c r="M9088" s="59">
        <f t="shared" si="31"/>
        <v>0</v>
      </c>
    </row>
    <row r="9089" ht="15.0" hidden="1" customHeight="1">
      <c r="A9089" s="59">
        <f t="shared" si="20"/>
        <v>148</v>
      </c>
      <c r="B9089" s="59" t="str">
        <f t="shared" si="21"/>
        <v/>
      </c>
      <c r="C9089" s="59" t="str">
        <f t="shared" si="22"/>
        <v/>
      </c>
      <c r="D9089" s="59" t="str">
        <f t="shared" si="23"/>
        <v/>
      </c>
      <c r="E9089" s="59" t="str">
        <f t="shared" si="24"/>
        <v/>
      </c>
      <c r="F9089" s="59" t="str">
        <f t="shared" si="25"/>
        <v/>
      </c>
      <c r="G9089" s="59" t="str">
        <f t="shared" si="26"/>
        <v/>
      </c>
      <c r="H9089" s="59" t="str">
        <f t="shared" si="27"/>
        <v>28H00669</v>
      </c>
      <c r="I9089" s="59" t="str">
        <f>IF(OR($A9089="",$C9089="",$D9089="",$E9089="",$H9089=""),"",SUMIFS(DATA_GOC!$H:$H,DATA_GOC!$A:$A,"BOM",DATA_GOC!$D:$D,$H9089,DATA_GOC!$E:$E,$C9089,DATA_GOC!$F:$F,"Xuất nội bộ từ téc",DATA_GOC!$B:$B,"&gt;="&amp;$D9089,DATA_GOC!$B:$B,"&lt;="&amp;$E9089))</f>
        <v/>
      </c>
      <c r="J9089" s="59">
        <f t="shared" si="28"/>
        <v>0</v>
      </c>
      <c r="K9089" s="59">
        <f t="shared" si="29"/>
        <v>0</v>
      </c>
      <c r="L9089" s="59">
        <f t="shared" si="30"/>
        <v>0</v>
      </c>
      <c r="M9089" s="59">
        <f t="shared" si="31"/>
        <v>0</v>
      </c>
    </row>
    <row r="9090" ht="15.0" hidden="1" customHeight="1">
      <c r="A9090" s="59">
        <f t="shared" si="20"/>
        <v>148</v>
      </c>
      <c r="B9090" s="59" t="str">
        <f t="shared" si="21"/>
        <v/>
      </c>
      <c r="C9090" s="59" t="str">
        <f t="shared" si="22"/>
        <v/>
      </c>
      <c r="D9090" s="59" t="str">
        <f t="shared" si="23"/>
        <v/>
      </c>
      <c r="E9090" s="59" t="str">
        <f t="shared" si="24"/>
        <v/>
      </c>
      <c r="F9090" s="59" t="str">
        <f t="shared" si="25"/>
        <v/>
      </c>
      <c r="G9090" s="59" t="str">
        <f t="shared" si="26"/>
        <v/>
      </c>
      <c r="H9090" s="59" t="str">
        <f t="shared" si="27"/>
        <v>28H00680</v>
      </c>
      <c r="I9090" s="59" t="str">
        <f>IF(OR($A9090="",$C9090="",$D9090="",$E9090="",$H9090=""),"",SUMIFS(DATA_GOC!$H:$H,DATA_GOC!$A:$A,"BOM",DATA_GOC!$D:$D,$H9090,DATA_GOC!$E:$E,$C9090,DATA_GOC!$F:$F,"Xuất nội bộ từ téc",DATA_GOC!$B:$B,"&gt;="&amp;$D9090,DATA_GOC!$B:$B,"&lt;="&amp;$E9090))</f>
        <v/>
      </c>
      <c r="J9090" s="59">
        <f t="shared" si="28"/>
        <v>0</v>
      </c>
      <c r="K9090" s="59">
        <f t="shared" si="29"/>
        <v>0</v>
      </c>
      <c r="L9090" s="59">
        <f t="shared" si="30"/>
        <v>0</v>
      </c>
      <c r="M9090" s="59">
        <f t="shared" si="31"/>
        <v>0</v>
      </c>
    </row>
    <row r="9091" ht="15.0" hidden="1" customHeight="1">
      <c r="A9091" s="59">
        <f t="shared" si="20"/>
        <v>148</v>
      </c>
      <c r="B9091" s="59" t="str">
        <f t="shared" si="21"/>
        <v/>
      </c>
      <c r="C9091" s="59" t="str">
        <f t="shared" si="22"/>
        <v/>
      </c>
      <c r="D9091" s="59" t="str">
        <f t="shared" si="23"/>
        <v/>
      </c>
      <c r="E9091" s="59" t="str">
        <f t="shared" si="24"/>
        <v/>
      </c>
      <c r="F9091" s="59" t="str">
        <f t="shared" si="25"/>
        <v/>
      </c>
      <c r="G9091" s="59" t="str">
        <f t="shared" si="26"/>
        <v/>
      </c>
      <c r="H9091" s="59" t="str">
        <f t="shared" si="27"/>
        <v>28H01070</v>
      </c>
      <c r="I9091" s="59" t="str">
        <f>IF(OR($A9091="",$C9091="",$D9091="",$E9091="",$H9091=""),"",SUMIFS(DATA_GOC!$H:$H,DATA_GOC!$A:$A,"BOM",DATA_GOC!$D:$D,$H9091,DATA_GOC!$E:$E,$C9091,DATA_GOC!$F:$F,"Xuất nội bộ từ téc",DATA_GOC!$B:$B,"&gt;="&amp;$D9091,DATA_GOC!$B:$B,"&lt;="&amp;$E9091))</f>
        <v/>
      </c>
      <c r="J9091" s="59">
        <f t="shared" si="28"/>
        <v>0</v>
      </c>
      <c r="K9091" s="59">
        <f t="shared" si="29"/>
        <v>0</v>
      </c>
      <c r="L9091" s="59">
        <f t="shared" si="30"/>
        <v>0</v>
      </c>
      <c r="M9091" s="59">
        <f t="shared" si="31"/>
        <v>0</v>
      </c>
    </row>
    <row r="9092" ht="15.0" hidden="1" customHeight="1">
      <c r="A9092" s="59">
        <f t="shared" si="20"/>
        <v>148</v>
      </c>
      <c r="B9092" s="59" t="str">
        <f t="shared" si="21"/>
        <v/>
      </c>
      <c r="C9092" s="59" t="str">
        <f t="shared" si="22"/>
        <v/>
      </c>
      <c r="D9092" s="59" t="str">
        <f t="shared" si="23"/>
        <v/>
      </c>
      <c r="E9092" s="59" t="str">
        <f t="shared" si="24"/>
        <v/>
      </c>
      <c r="F9092" s="59" t="str">
        <f t="shared" si="25"/>
        <v/>
      </c>
      <c r="G9092" s="59" t="str">
        <f t="shared" si="26"/>
        <v/>
      </c>
      <c r="H9092" s="59" t="str">
        <f t="shared" si="27"/>
        <v>28H01364</v>
      </c>
      <c r="I9092" s="59" t="str">
        <f>IF(OR($A9092="",$C9092="",$D9092="",$E9092="",$H9092=""),"",SUMIFS(DATA_GOC!$H:$H,DATA_GOC!$A:$A,"BOM",DATA_GOC!$D:$D,$H9092,DATA_GOC!$E:$E,$C9092,DATA_GOC!$F:$F,"Xuất nội bộ từ téc",DATA_GOC!$B:$B,"&gt;="&amp;$D9092,DATA_GOC!$B:$B,"&lt;="&amp;$E9092))</f>
        <v/>
      </c>
      <c r="J9092" s="59">
        <f t="shared" si="28"/>
        <v>0</v>
      </c>
      <c r="K9092" s="59">
        <f t="shared" si="29"/>
        <v>0</v>
      </c>
      <c r="L9092" s="59">
        <f t="shared" si="30"/>
        <v>0</v>
      </c>
      <c r="M9092" s="59">
        <f t="shared" si="31"/>
        <v>0</v>
      </c>
    </row>
    <row r="9093" ht="15.0" hidden="1" customHeight="1">
      <c r="A9093" s="59">
        <f t="shared" si="20"/>
        <v>148</v>
      </c>
      <c r="B9093" s="59" t="str">
        <f t="shared" si="21"/>
        <v/>
      </c>
      <c r="C9093" s="59" t="str">
        <f t="shared" si="22"/>
        <v/>
      </c>
      <c r="D9093" s="59" t="str">
        <f t="shared" si="23"/>
        <v/>
      </c>
      <c r="E9093" s="59" t="str">
        <f t="shared" si="24"/>
        <v/>
      </c>
      <c r="F9093" s="59" t="str">
        <f t="shared" si="25"/>
        <v/>
      </c>
      <c r="G9093" s="59" t="str">
        <f t="shared" si="26"/>
        <v/>
      </c>
      <c r="H9093" s="59" t="str">
        <f t="shared" si="27"/>
        <v>29E17269</v>
      </c>
      <c r="I9093" s="59" t="str">
        <f>IF(OR($A9093="",$C9093="",$D9093="",$E9093="",$H9093=""),"",SUMIFS(DATA_GOC!$H:$H,DATA_GOC!$A:$A,"BOM",DATA_GOC!$D:$D,$H9093,DATA_GOC!$E:$E,$C9093,DATA_GOC!$F:$F,"Xuất nội bộ từ téc",DATA_GOC!$B:$B,"&gt;="&amp;$D9093,DATA_GOC!$B:$B,"&lt;="&amp;$E9093))</f>
        <v/>
      </c>
      <c r="J9093" s="59">
        <f t="shared" si="28"/>
        <v>0</v>
      </c>
      <c r="K9093" s="59">
        <f t="shared" si="29"/>
        <v>0</v>
      </c>
      <c r="L9093" s="59">
        <f t="shared" si="30"/>
        <v>0</v>
      </c>
      <c r="M9093" s="59">
        <f t="shared" si="31"/>
        <v>0</v>
      </c>
    </row>
    <row r="9094" ht="15.0" hidden="1" customHeight="1">
      <c r="A9094" s="59">
        <f t="shared" si="20"/>
        <v>148</v>
      </c>
      <c r="B9094" s="59" t="str">
        <f t="shared" si="21"/>
        <v/>
      </c>
      <c r="C9094" s="59" t="str">
        <f t="shared" si="22"/>
        <v/>
      </c>
      <c r="D9094" s="59" t="str">
        <f t="shared" si="23"/>
        <v/>
      </c>
      <c r="E9094" s="59" t="str">
        <f t="shared" si="24"/>
        <v/>
      </c>
      <c r="F9094" s="59" t="str">
        <f t="shared" si="25"/>
        <v/>
      </c>
      <c r="G9094" s="59" t="str">
        <f t="shared" si="26"/>
        <v/>
      </c>
      <c r="H9094" s="59" t="str">
        <f t="shared" si="27"/>
        <v>29E17273</v>
      </c>
      <c r="I9094" s="59" t="str">
        <f>IF(OR($A9094="",$C9094="",$D9094="",$E9094="",$H9094=""),"",SUMIFS(DATA_GOC!$H:$H,DATA_GOC!$A:$A,"BOM",DATA_GOC!$D:$D,$H9094,DATA_GOC!$E:$E,$C9094,DATA_GOC!$F:$F,"Xuất nội bộ từ téc",DATA_GOC!$B:$B,"&gt;="&amp;$D9094,DATA_GOC!$B:$B,"&lt;="&amp;$E9094))</f>
        <v/>
      </c>
      <c r="J9094" s="59">
        <f t="shared" si="28"/>
        <v>0</v>
      </c>
      <c r="K9094" s="59">
        <f t="shared" si="29"/>
        <v>0</v>
      </c>
      <c r="L9094" s="59">
        <f t="shared" si="30"/>
        <v>0</v>
      </c>
      <c r="M9094" s="59">
        <f t="shared" si="31"/>
        <v>0</v>
      </c>
    </row>
    <row r="9095" ht="15.0" hidden="1" customHeight="1">
      <c r="A9095" s="59">
        <f t="shared" si="20"/>
        <v>148</v>
      </c>
      <c r="B9095" s="59" t="str">
        <f t="shared" si="21"/>
        <v/>
      </c>
      <c r="C9095" s="59" t="str">
        <f t="shared" si="22"/>
        <v/>
      </c>
      <c r="D9095" s="59" t="str">
        <f t="shared" si="23"/>
        <v/>
      </c>
      <c r="E9095" s="59" t="str">
        <f t="shared" si="24"/>
        <v/>
      </c>
      <c r="F9095" s="59" t="str">
        <f t="shared" si="25"/>
        <v/>
      </c>
      <c r="G9095" s="59" t="str">
        <f t="shared" si="26"/>
        <v/>
      </c>
      <c r="H9095" s="59" t="str">
        <f t="shared" si="27"/>
        <v>29E17410</v>
      </c>
      <c r="I9095" s="59" t="str">
        <f>IF(OR($A9095="",$C9095="",$D9095="",$E9095="",$H9095=""),"",SUMIFS(DATA_GOC!$H:$H,DATA_GOC!$A:$A,"BOM",DATA_GOC!$D:$D,$H9095,DATA_GOC!$E:$E,$C9095,DATA_GOC!$F:$F,"Xuất nội bộ từ téc",DATA_GOC!$B:$B,"&gt;="&amp;$D9095,DATA_GOC!$B:$B,"&lt;="&amp;$E9095))</f>
        <v/>
      </c>
      <c r="J9095" s="59">
        <f t="shared" si="28"/>
        <v>0</v>
      </c>
      <c r="K9095" s="59">
        <f t="shared" si="29"/>
        <v>0</v>
      </c>
      <c r="L9095" s="59">
        <f t="shared" si="30"/>
        <v>0</v>
      </c>
      <c r="M9095" s="59">
        <f t="shared" si="31"/>
        <v>0</v>
      </c>
    </row>
    <row r="9096" ht="15.0" hidden="1" customHeight="1">
      <c r="A9096" s="59">
        <f t="shared" si="20"/>
        <v>148</v>
      </c>
      <c r="B9096" s="59" t="str">
        <f t="shared" si="21"/>
        <v/>
      </c>
      <c r="C9096" s="59" t="str">
        <f t="shared" si="22"/>
        <v/>
      </c>
      <c r="D9096" s="59" t="str">
        <f t="shared" si="23"/>
        <v/>
      </c>
      <c r="E9096" s="59" t="str">
        <f t="shared" si="24"/>
        <v/>
      </c>
      <c r="F9096" s="59" t="str">
        <f t="shared" si="25"/>
        <v/>
      </c>
      <c r="G9096" s="59" t="str">
        <f t="shared" si="26"/>
        <v/>
      </c>
      <c r="H9096" s="59" t="str">
        <f t="shared" si="27"/>
        <v>29E17417</v>
      </c>
      <c r="I9096" s="59" t="str">
        <f>IF(OR($A9096="",$C9096="",$D9096="",$E9096="",$H9096=""),"",SUMIFS(DATA_GOC!$H:$H,DATA_GOC!$A:$A,"BOM",DATA_GOC!$D:$D,$H9096,DATA_GOC!$E:$E,$C9096,DATA_GOC!$F:$F,"Xuất nội bộ từ téc",DATA_GOC!$B:$B,"&gt;="&amp;$D9096,DATA_GOC!$B:$B,"&lt;="&amp;$E9096))</f>
        <v/>
      </c>
      <c r="J9096" s="59">
        <f t="shared" si="28"/>
        <v>0</v>
      </c>
      <c r="K9096" s="59">
        <f t="shared" si="29"/>
        <v>0</v>
      </c>
      <c r="L9096" s="59">
        <f t="shared" si="30"/>
        <v>0</v>
      </c>
      <c r="M9096" s="59">
        <f t="shared" si="31"/>
        <v>0</v>
      </c>
    </row>
    <row r="9097" ht="15.0" hidden="1" customHeight="1">
      <c r="A9097" s="59">
        <f t="shared" si="20"/>
        <v>148</v>
      </c>
      <c r="B9097" s="59" t="str">
        <f t="shared" si="21"/>
        <v/>
      </c>
      <c r="C9097" s="59" t="str">
        <f t="shared" si="22"/>
        <v/>
      </c>
      <c r="D9097" s="59" t="str">
        <f t="shared" si="23"/>
        <v/>
      </c>
      <c r="E9097" s="59" t="str">
        <f t="shared" si="24"/>
        <v/>
      </c>
      <c r="F9097" s="59" t="str">
        <f t="shared" si="25"/>
        <v/>
      </c>
      <c r="G9097" s="59" t="str">
        <f t="shared" si="26"/>
        <v/>
      </c>
      <c r="H9097" s="59" t="str">
        <f t="shared" si="27"/>
        <v>29E17539</v>
      </c>
      <c r="I9097" s="59" t="str">
        <f>IF(OR($A9097="",$C9097="",$D9097="",$E9097="",$H9097=""),"",SUMIFS(DATA_GOC!$H:$H,DATA_GOC!$A:$A,"BOM",DATA_GOC!$D:$D,$H9097,DATA_GOC!$E:$E,$C9097,DATA_GOC!$F:$F,"Xuất nội bộ từ téc",DATA_GOC!$B:$B,"&gt;="&amp;$D9097,DATA_GOC!$B:$B,"&lt;="&amp;$E9097))</f>
        <v/>
      </c>
      <c r="J9097" s="59">
        <f t="shared" si="28"/>
        <v>0</v>
      </c>
      <c r="K9097" s="59">
        <f t="shared" si="29"/>
        <v>0</v>
      </c>
      <c r="L9097" s="59">
        <f t="shared" si="30"/>
        <v>0</v>
      </c>
      <c r="M9097" s="59">
        <f t="shared" si="31"/>
        <v>0</v>
      </c>
    </row>
    <row r="9098" ht="15.0" hidden="1" customHeight="1">
      <c r="A9098" s="59">
        <f t="shared" si="20"/>
        <v>148</v>
      </c>
      <c r="B9098" s="59" t="str">
        <f t="shared" si="21"/>
        <v/>
      </c>
      <c r="C9098" s="59" t="str">
        <f t="shared" si="22"/>
        <v/>
      </c>
      <c r="D9098" s="59" t="str">
        <f t="shared" si="23"/>
        <v/>
      </c>
      <c r="E9098" s="59" t="str">
        <f t="shared" si="24"/>
        <v/>
      </c>
      <c r="F9098" s="59" t="str">
        <f t="shared" si="25"/>
        <v/>
      </c>
      <c r="G9098" s="59" t="str">
        <f t="shared" si="26"/>
        <v/>
      </c>
      <c r="H9098" s="59" t="str">
        <f t="shared" si="27"/>
        <v>29E18160</v>
      </c>
      <c r="I9098" s="59" t="str">
        <f>IF(OR($A9098="",$C9098="",$D9098="",$E9098="",$H9098=""),"",SUMIFS(DATA_GOC!$H:$H,DATA_GOC!$A:$A,"BOM",DATA_GOC!$D:$D,$H9098,DATA_GOC!$E:$E,$C9098,DATA_GOC!$F:$F,"Xuất nội bộ từ téc",DATA_GOC!$B:$B,"&gt;="&amp;$D9098,DATA_GOC!$B:$B,"&lt;="&amp;$E9098))</f>
        <v/>
      </c>
      <c r="J9098" s="59">
        <f t="shared" si="28"/>
        <v>0</v>
      </c>
      <c r="K9098" s="59">
        <f t="shared" si="29"/>
        <v>0</v>
      </c>
      <c r="L9098" s="59">
        <f t="shared" si="30"/>
        <v>0</v>
      </c>
      <c r="M9098" s="59">
        <f t="shared" si="31"/>
        <v>0</v>
      </c>
    </row>
    <row r="9099" ht="15.0" hidden="1" customHeight="1">
      <c r="A9099" s="59">
        <f t="shared" si="20"/>
        <v>148</v>
      </c>
      <c r="B9099" s="59" t="str">
        <f t="shared" si="21"/>
        <v/>
      </c>
      <c r="C9099" s="59" t="str">
        <f t="shared" si="22"/>
        <v/>
      </c>
      <c r="D9099" s="59" t="str">
        <f t="shared" si="23"/>
        <v/>
      </c>
      <c r="E9099" s="59" t="str">
        <f t="shared" si="24"/>
        <v/>
      </c>
      <c r="F9099" s="59" t="str">
        <f t="shared" si="25"/>
        <v/>
      </c>
      <c r="G9099" s="59" t="str">
        <f t="shared" si="26"/>
        <v/>
      </c>
      <c r="H9099" s="59" t="str">
        <f t="shared" si="27"/>
        <v>Công trình Asphalt</v>
      </c>
      <c r="I9099" s="59" t="str">
        <f>IF(OR($A9099="",$C9099="",$D9099="",$E9099="",$H9099=""),"",SUMIFS(DATA_GOC!$H:$H,DATA_GOC!$A:$A,"BOM",DATA_GOC!$D:$D,$H9099,DATA_GOC!$E:$E,$C9099,DATA_GOC!$F:$F,"Xuất nội bộ từ téc",DATA_GOC!$B:$B,"&gt;="&amp;$D9099,DATA_GOC!$B:$B,"&lt;="&amp;$E9099))</f>
        <v/>
      </c>
      <c r="J9099" s="59">
        <f t="shared" si="28"/>
        <v>0</v>
      </c>
      <c r="K9099" s="59">
        <f t="shared" si="29"/>
        <v>0</v>
      </c>
      <c r="L9099" s="59">
        <f t="shared" si="30"/>
        <v>0</v>
      </c>
      <c r="M9099" s="59">
        <f t="shared" si="31"/>
        <v>0</v>
      </c>
    </row>
    <row r="9100" ht="15.0" hidden="1" customHeight="1">
      <c r="A9100" s="59">
        <f t="shared" si="20"/>
        <v>148</v>
      </c>
      <c r="B9100" s="59" t="str">
        <f t="shared" si="21"/>
        <v/>
      </c>
      <c r="C9100" s="59" t="str">
        <f t="shared" si="22"/>
        <v/>
      </c>
      <c r="D9100" s="59" t="str">
        <f t="shared" si="23"/>
        <v/>
      </c>
      <c r="E9100" s="59" t="str">
        <f t="shared" si="24"/>
        <v/>
      </c>
      <c r="F9100" s="59" t="str">
        <f t="shared" si="25"/>
        <v/>
      </c>
      <c r="G9100" s="59" t="str">
        <f t="shared" si="26"/>
        <v/>
      </c>
      <c r="H9100" s="59" t="str">
        <f t="shared" si="27"/>
        <v>LG53F</v>
      </c>
      <c r="I9100" s="59" t="str">
        <f>IF(OR($A9100="",$C9100="",$D9100="",$E9100="",$H9100=""),"",SUMIFS(DATA_GOC!$H:$H,DATA_GOC!$A:$A,"BOM",DATA_GOC!$D:$D,$H9100,DATA_GOC!$E:$E,$C9100,DATA_GOC!$F:$F,"Xuất nội bộ từ téc",DATA_GOC!$B:$B,"&gt;="&amp;$D9100,DATA_GOC!$B:$B,"&lt;="&amp;$E9100))</f>
        <v/>
      </c>
      <c r="J9100" s="59">
        <f t="shared" si="28"/>
        <v>0</v>
      </c>
      <c r="K9100" s="59">
        <f t="shared" si="29"/>
        <v>0</v>
      </c>
      <c r="L9100" s="59">
        <f t="shared" si="30"/>
        <v>0</v>
      </c>
      <c r="M9100" s="59">
        <f t="shared" si="31"/>
        <v>0</v>
      </c>
    </row>
    <row r="9101" ht="15.0" hidden="1" customHeight="1">
      <c r="A9101" s="59">
        <f t="shared" si="20"/>
        <v>148</v>
      </c>
      <c r="B9101" s="59" t="str">
        <f t="shared" si="21"/>
        <v/>
      </c>
      <c r="C9101" s="59" t="str">
        <f t="shared" si="22"/>
        <v/>
      </c>
      <c r="D9101" s="59" t="str">
        <f t="shared" si="23"/>
        <v/>
      </c>
      <c r="E9101" s="59" t="str">
        <f t="shared" si="24"/>
        <v/>
      </c>
      <c r="F9101" s="59" t="str">
        <f t="shared" si="25"/>
        <v/>
      </c>
      <c r="G9101" s="59" t="str">
        <f t="shared" si="26"/>
        <v/>
      </c>
      <c r="H9101" s="59" t="str">
        <f t="shared" si="27"/>
        <v>Máy phát điện</v>
      </c>
      <c r="I9101" s="59" t="str">
        <f>IF(OR($A9101="",$C9101="",$D9101="",$E9101="",$H9101=""),"",SUMIFS(DATA_GOC!$H:$H,DATA_GOC!$A:$A,"BOM",DATA_GOC!$D:$D,$H9101,DATA_GOC!$E:$E,$C9101,DATA_GOC!$F:$F,"Xuất nội bộ từ téc",DATA_GOC!$B:$B,"&gt;="&amp;$D9101,DATA_GOC!$B:$B,"&lt;="&amp;$E9101))</f>
        <v/>
      </c>
      <c r="J9101" s="59">
        <f t="shared" si="28"/>
        <v>0</v>
      </c>
      <c r="K9101" s="59">
        <f t="shared" si="29"/>
        <v>0</v>
      </c>
      <c r="L9101" s="59">
        <f t="shared" si="30"/>
        <v>0</v>
      </c>
      <c r="M9101" s="59">
        <f t="shared" si="31"/>
        <v>0</v>
      </c>
    </row>
    <row r="9102" ht="15.0" hidden="1" customHeight="1">
      <c r="A9102" s="59">
        <f t="shared" si="20"/>
        <v>148</v>
      </c>
      <c r="B9102" s="59" t="str">
        <f t="shared" si="21"/>
        <v/>
      </c>
      <c r="C9102" s="59" t="str">
        <f t="shared" si="22"/>
        <v/>
      </c>
      <c r="D9102" s="59" t="str">
        <f t="shared" si="23"/>
        <v/>
      </c>
      <c r="E9102" s="59" t="str">
        <f t="shared" si="24"/>
        <v/>
      </c>
      <c r="F9102" s="59" t="str">
        <f t="shared" si="25"/>
        <v/>
      </c>
      <c r="G9102" s="59" t="str">
        <f t="shared" si="26"/>
        <v/>
      </c>
      <c r="H9102" s="59" t="str">
        <f t="shared" si="27"/>
        <v>Máy rải thảm</v>
      </c>
      <c r="I9102" s="59" t="str">
        <f>IF(OR($A9102="",$C9102="",$D9102="",$E9102="",$H9102=""),"",SUMIFS(DATA_GOC!$H:$H,DATA_GOC!$A:$A,"BOM",DATA_GOC!$D:$D,$H9102,DATA_GOC!$E:$E,$C9102,DATA_GOC!$F:$F,"Xuất nội bộ từ téc",DATA_GOC!$B:$B,"&gt;="&amp;$D9102,DATA_GOC!$B:$B,"&lt;="&amp;$E9102))</f>
        <v/>
      </c>
      <c r="J9102" s="59">
        <f t="shared" si="28"/>
        <v>0</v>
      </c>
      <c r="K9102" s="59">
        <f t="shared" si="29"/>
        <v>0</v>
      </c>
      <c r="L9102" s="59">
        <f t="shared" si="30"/>
        <v>0</v>
      </c>
      <c r="M9102" s="59">
        <f t="shared" si="31"/>
        <v>0</v>
      </c>
    </row>
    <row r="9103" ht="15.0" hidden="1" customHeight="1">
      <c r="A9103" s="59">
        <f t="shared" si="20"/>
        <v>148</v>
      </c>
      <c r="B9103" s="59" t="str">
        <f t="shared" si="21"/>
        <v/>
      </c>
      <c r="C9103" s="59" t="str">
        <f t="shared" si="22"/>
        <v/>
      </c>
      <c r="D9103" s="59" t="str">
        <f t="shared" si="23"/>
        <v/>
      </c>
      <c r="E9103" s="59" t="str">
        <f t="shared" si="24"/>
        <v/>
      </c>
      <c r="F9103" s="59" t="str">
        <f t="shared" si="25"/>
        <v/>
      </c>
      <c r="G9103" s="59" t="str">
        <f t="shared" si="26"/>
        <v/>
      </c>
      <c r="H9103" s="59" t="str">
        <f t="shared" si="27"/>
        <v>Xúc Đào</v>
      </c>
      <c r="I9103" s="59" t="str">
        <f>IF(OR($A9103="",$C9103="",$D9103="",$E9103="",$H9103=""),"",SUMIFS(DATA_GOC!$H:$H,DATA_GOC!$A:$A,"BOM",DATA_GOC!$D:$D,$H9103,DATA_GOC!$E:$E,$C9103,DATA_GOC!$F:$F,"Xuất nội bộ từ téc",DATA_GOC!$B:$B,"&gt;="&amp;$D9103,DATA_GOC!$B:$B,"&lt;="&amp;$E9103))</f>
        <v/>
      </c>
      <c r="J9103" s="59">
        <f t="shared" si="28"/>
        <v>0</v>
      </c>
      <c r="K9103" s="59">
        <f t="shared" si="29"/>
        <v>0</v>
      </c>
      <c r="L9103" s="59">
        <f t="shared" si="30"/>
        <v>0</v>
      </c>
      <c r="M9103" s="59">
        <f t="shared" si="31"/>
        <v>0</v>
      </c>
    </row>
    <row r="9104" ht="15.0" hidden="1" customHeight="1">
      <c r="A9104" s="59">
        <f t="shared" si="20"/>
        <v>148</v>
      </c>
      <c r="B9104" s="59" t="str">
        <f t="shared" si="21"/>
        <v/>
      </c>
      <c r="C9104" s="59" t="str">
        <f t="shared" si="22"/>
        <v/>
      </c>
      <c r="D9104" s="59" t="str">
        <f t="shared" si="23"/>
        <v/>
      </c>
      <c r="E9104" s="59" t="str">
        <f t="shared" si="24"/>
        <v/>
      </c>
      <c r="F9104" s="59" t="str">
        <f t="shared" si="25"/>
        <v/>
      </c>
      <c r="G9104" s="59" t="str">
        <f t="shared" si="26"/>
        <v/>
      </c>
      <c r="H9104" s="59" t="str">
        <f t="shared" si="27"/>
        <v>Xúclật asphalt</v>
      </c>
      <c r="I9104" s="59" t="str">
        <f>IF(OR($A9104="",$C9104="",$D9104="",$E9104="",$H9104=""),"",SUMIFS(DATA_GOC!$H:$H,DATA_GOC!$A:$A,"BOM",DATA_GOC!$D:$D,$H9104,DATA_GOC!$E:$E,$C9104,DATA_GOC!$F:$F,"Xuất nội bộ từ téc",DATA_GOC!$B:$B,"&gt;="&amp;$D9104,DATA_GOC!$B:$B,"&lt;="&amp;$E9104))</f>
        <v/>
      </c>
      <c r="J9104" s="59">
        <f t="shared" si="28"/>
        <v>0</v>
      </c>
      <c r="K9104" s="59">
        <f t="shared" si="29"/>
        <v>0</v>
      </c>
      <c r="L9104" s="59">
        <f t="shared" si="30"/>
        <v>0</v>
      </c>
      <c r="M9104" s="59">
        <f t="shared" si="31"/>
        <v>0</v>
      </c>
    </row>
    <row r="9105" ht="15.0" hidden="1" customHeight="1">
      <c r="A9105" s="59">
        <f t="shared" si="20"/>
        <v>148</v>
      </c>
      <c r="B9105" s="59" t="str">
        <f t="shared" si="21"/>
        <v/>
      </c>
      <c r="C9105" s="59" t="str">
        <f t="shared" si="22"/>
        <v/>
      </c>
      <c r="D9105" s="59" t="str">
        <f t="shared" si="23"/>
        <v/>
      </c>
      <c r="E9105" s="59" t="str">
        <f t="shared" si="24"/>
        <v/>
      </c>
      <c r="F9105" s="59" t="str">
        <f t="shared" si="25"/>
        <v/>
      </c>
      <c r="G9105" s="59" t="str">
        <f t="shared" si="26"/>
        <v/>
      </c>
      <c r="H9105" s="59" t="str">
        <f t="shared" si="27"/>
        <v>Xúclật855H</v>
      </c>
      <c r="I9105" s="59" t="str">
        <f>IF(OR($A9105="",$C9105="",$D9105="",$E9105="",$H9105=""),"",SUMIFS(DATA_GOC!$H:$H,DATA_GOC!$A:$A,"BOM",DATA_GOC!$D:$D,$H9105,DATA_GOC!$E:$E,$C9105,DATA_GOC!$F:$F,"Xuất nội bộ từ téc",DATA_GOC!$B:$B,"&gt;="&amp;$D9105,DATA_GOC!$B:$B,"&lt;="&amp;$E9105))</f>
        <v/>
      </c>
      <c r="J9105" s="59">
        <f t="shared" si="28"/>
        <v>0</v>
      </c>
      <c r="K9105" s="59">
        <f t="shared" si="29"/>
        <v>0</v>
      </c>
      <c r="L9105" s="59">
        <f t="shared" si="30"/>
        <v>0</v>
      </c>
      <c r="M9105" s="59">
        <f t="shared" si="31"/>
        <v>0</v>
      </c>
    </row>
    <row r="9106" ht="15.0" hidden="1" customHeight="1">
      <c r="A9106" s="59">
        <f t="shared" si="20"/>
        <v>148</v>
      </c>
      <c r="B9106" s="59" t="str">
        <f t="shared" si="21"/>
        <v/>
      </c>
      <c r="C9106" s="59" t="str">
        <f t="shared" si="22"/>
        <v/>
      </c>
      <c r="D9106" s="59" t="str">
        <f t="shared" si="23"/>
        <v/>
      </c>
      <c r="E9106" s="59" t="str">
        <f t="shared" si="24"/>
        <v/>
      </c>
      <c r="F9106" s="59" t="str">
        <f t="shared" si="25"/>
        <v/>
      </c>
      <c r="G9106" s="59" t="str">
        <f t="shared" si="26"/>
        <v/>
      </c>
      <c r="H9106" s="59" t="str">
        <f t="shared" si="27"/>
        <v>Xúclật855N</v>
      </c>
      <c r="I9106" s="59" t="str">
        <f>IF(OR($A9106="",$C9106="",$D9106="",$E9106="",$H9106=""),"",SUMIFS(DATA_GOC!$H:$H,DATA_GOC!$A:$A,"BOM",DATA_GOC!$D:$D,$H9106,DATA_GOC!$E:$E,$C9106,DATA_GOC!$F:$F,"Xuất nội bộ từ téc",DATA_GOC!$B:$B,"&gt;="&amp;$D9106,DATA_GOC!$B:$B,"&lt;="&amp;$E9106))</f>
        <v/>
      </c>
      <c r="J9106" s="59">
        <f t="shared" si="28"/>
        <v>0</v>
      </c>
      <c r="K9106" s="59">
        <f t="shared" si="29"/>
        <v>0</v>
      </c>
      <c r="L9106" s="59">
        <f t="shared" si="30"/>
        <v>0</v>
      </c>
      <c r="M9106" s="59">
        <f t="shared" si="31"/>
        <v>0</v>
      </c>
    </row>
    <row r="9107" ht="15.0" hidden="1" customHeight="1">
      <c r="A9107" s="59">
        <f t="shared" si="20"/>
        <v>148</v>
      </c>
      <c r="B9107" s="59" t="str">
        <f t="shared" si="21"/>
        <v/>
      </c>
      <c r="C9107" s="59" t="str">
        <f t="shared" si="22"/>
        <v/>
      </c>
      <c r="D9107" s="59" t="str">
        <f t="shared" si="23"/>
        <v/>
      </c>
      <c r="E9107" s="59" t="str">
        <f t="shared" si="24"/>
        <v/>
      </c>
      <c r="F9107" s="59" t="str">
        <f t="shared" si="25"/>
        <v/>
      </c>
      <c r="G9107" s="59" t="str">
        <f t="shared" si="26"/>
        <v/>
      </c>
      <c r="H9107" s="59" t="str">
        <f t="shared" si="27"/>
        <v>Cát nghiền</v>
      </c>
      <c r="I9107" s="59" t="str">
        <f>IF(OR($A9107="",$C9107="",$D9107="",$E9107="",$H9107=""),"",SUMIFS(DATA_GOC!$H:$H,DATA_GOC!$A:$A,"BOM",DATA_GOC!$D:$D,$H9107,DATA_GOC!$E:$E,$C9107,DATA_GOC!$F:$F,"Xuất nội bộ từ téc",DATA_GOC!$B:$B,"&gt;="&amp;$D9107,DATA_GOC!$B:$B,"&lt;="&amp;$E9107))</f>
        <v/>
      </c>
      <c r="J9107" s="59">
        <f t="shared" si="28"/>
        <v>0</v>
      </c>
      <c r="K9107" s="59">
        <f t="shared" si="29"/>
        <v>0</v>
      </c>
      <c r="L9107" s="59">
        <f t="shared" si="30"/>
        <v>0</v>
      </c>
      <c r="M9107" s="59">
        <f t="shared" si="31"/>
        <v>0</v>
      </c>
    </row>
    <row r="9108" ht="15.0" hidden="1" customHeight="1">
      <c r="A9108" s="59">
        <f t="shared" si="20"/>
        <v>148</v>
      </c>
      <c r="B9108" s="59" t="str">
        <f t="shared" si="21"/>
        <v/>
      </c>
      <c r="C9108" s="59" t="str">
        <f t="shared" si="22"/>
        <v/>
      </c>
      <c r="D9108" s="59" t="str">
        <f t="shared" si="23"/>
        <v/>
      </c>
      <c r="E9108" s="59" t="str">
        <f t="shared" si="24"/>
        <v/>
      </c>
      <c r="F9108" s="59" t="str">
        <f t="shared" si="25"/>
        <v/>
      </c>
      <c r="G9108" s="59" t="str">
        <f t="shared" si="26"/>
        <v/>
      </c>
      <c r="H9108" s="59" t="str">
        <f t="shared" si="27"/>
        <v>28C02973</v>
      </c>
      <c r="I9108" s="59" t="str">
        <f>IF(OR($A9108="",$C9108="",$D9108="",$E9108="",$H9108=""),"",SUMIFS(DATA_GOC!$H:$H,DATA_GOC!$A:$A,"BOM",DATA_GOC!$D:$D,$H9108,DATA_GOC!$E:$E,$C9108,DATA_GOC!$F:$F,"Xuất nội bộ từ téc",DATA_GOC!$B:$B,"&gt;="&amp;$D9108,DATA_GOC!$B:$B,"&lt;="&amp;$E9108))</f>
        <v/>
      </c>
      <c r="J9108" s="59">
        <f t="shared" si="28"/>
        <v>0</v>
      </c>
      <c r="K9108" s="59">
        <f t="shared" si="29"/>
        <v>0</v>
      </c>
      <c r="L9108" s="59">
        <f t="shared" si="30"/>
        <v>0</v>
      </c>
      <c r="M9108" s="59">
        <f t="shared" si="31"/>
        <v>0</v>
      </c>
    </row>
    <row r="9109" ht="15.0" hidden="1" customHeight="1">
      <c r="A9109" s="59">
        <f t="shared" si="20"/>
        <v>148</v>
      </c>
      <c r="B9109" s="59" t="str">
        <f t="shared" si="21"/>
        <v/>
      </c>
      <c r="C9109" s="59" t="str">
        <f t="shared" si="22"/>
        <v/>
      </c>
      <c r="D9109" s="59" t="str">
        <f t="shared" si="23"/>
        <v/>
      </c>
      <c r="E9109" s="59" t="str">
        <f t="shared" si="24"/>
        <v/>
      </c>
      <c r="F9109" s="59" t="str">
        <f t="shared" si="25"/>
        <v/>
      </c>
      <c r="G9109" s="59" t="str">
        <f t="shared" si="26"/>
        <v/>
      </c>
      <c r="H9109" s="59" t="str">
        <f t="shared" si="27"/>
        <v>28C03044</v>
      </c>
      <c r="I9109" s="59" t="str">
        <f>IF(OR($A9109="",$C9109="",$D9109="",$E9109="",$H9109=""),"",SUMIFS(DATA_GOC!$H:$H,DATA_GOC!$A:$A,"BOM",DATA_GOC!$D:$D,$H9109,DATA_GOC!$E:$E,$C9109,DATA_GOC!$F:$F,"Xuất nội bộ từ téc",DATA_GOC!$B:$B,"&gt;="&amp;$D9109,DATA_GOC!$B:$B,"&lt;="&amp;$E9109))</f>
        <v/>
      </c>
      <c r="J9109" s="59">
        <f t="shared" si="28"/>
        <v>0</v>
      </c>
      <c r="K9109" s="59">
        <f t="shared" si="29"/>
        <v>0</v>
      </c>
      <c r="L9109" s="59">
        <f t="shared" si="30"/>
        <v>0</v>
      </c>
      <c r="M9109" s="59">
        <f t="shared" si="31"/>
        <v>0</v>
      </c>
    </row>
    <row r="9110" ht="15.0" hidden="1" customHeight="1">
      <c r="A9110" s="59">
        <f t="shared" si="20"/>
        <v>148</v>
      </c>
      <c r="B9110" s="59" t="str">
        <f t="shared" si="21"/>
        <v/>
      </c>
      <c r="C9110" s="59" t="str">
        <f t="shared" si="22"/>
        <v/>
      </c>
      <c r="D9110" s="59" t="str">
        <f t="shared" si="23"/>
        <v/>
      </c>
      <c r="E9110" s="59" t="str">
        <f t="shared" si="24"/>
        <v/>
      </c>
      <c r="F9110" s="59" t="str">
        <f t="shared" si="25"/>
        <v/>
      </c>
      <c r="G9110" s="59" t="str">
        <f t="shared" si="26"/>
        <v/>
      </c>
      <c r="H9110" s="59" t="str">
        <f t="shared" si="27"/>
        <v>Máy lu lốp</v>
      </c>
      <c r="I9110" s="59" t="str">
        <f>IF(OR($A9110="",$C9110="",$D9110="",$E9110="",$H9110=""),"",SUMIFS(DATA_GOC!$H:$H,DATA_GOC!$A:$A,"BOM",DATA_GOC!$D:$D,$H9110,DATA_GOC!$E:$E,$C9110,DATA_GOC!$F:$F,"Xuất nội bộ từ téc",DATA_GOC!$B:$B,"&gt;="&amp;$D9110,DATA_GOC!$B:$B,"&lt;="&amp;$E9110))</f>
        <v/>
      </c>
      <c r="J9110" s="59">
        <f t="shared" si="28"/>
        <v>0</v>
      </c>
      <c r="K9110" s="59">
        <f t="shared" si="29"/>
        <v>0</v>
      </c>
      <c r="L9110" s="59">
        <f t="shared" si="30"/>
        <v>0</v>
      </c>
      <c r="M9110" s="59">
        <f t="shared" si="31"/>
        <v>0</v>
      </c>
    </row>
    <row r="9111" ht="15.0" hidden="1" customHeight="1">
      <c r="A9111" s="59">
        <f t="shared" si="20"/>
        <v>148</v>
      </c>
      <c r="B9111" s="59" t="str">
        <f t="shared" si="21"/>
        <v/>
      </c>
      <c r="C9111" s="59" t="str">
        <f t="shared" si="22"/>
        <v/>
      </c>
      <c r="D9111" s="59" t="str">
        <f t="shared" si="23"/>
        <v/>
      </c>
      <c r="E9111" s="59" t="str">
        <f t="shared" si="24"/>
        <v/>
      </c>
      <c r="F9111" s="59" t="str">
        <f t="shared" si="25"/>
        <v/>
      </c>
      <c r="G9111" s="59" t="str">
        <f t="shared" si="26"/>
        <v/>
      </c>
      <c r="H9111" s="59" t="str">
        <f t="shared" si="27"/>
        <v>Xe 600148</v>
      </c>
      <c r="I9111" s="59" t="str">
        <f>IF(OR($A9111="",$C9111="",$D9111="",$E9111="",$H9111=""),"",SUMIFS(DATA_GOC!$H:$H,DATA_GOC!$A:$A,"BOM",DATA_GOC!$D:$D,$H9111,DATA_GOC!$E:$E,$C9111,DATA_GOC!$F:$F,"Xuất nội bộ từ téc",DATA_GOC!$B:$B,"&gt;="&amp;$D9111,DATA_GOC!$B:$B,"&lt;="&amp;$E9111))</f>
        <v/>
      </c>
      <c r="J9111" s="59">
        <f t="shared" si="28"/>
        <v>0</v>
      </c>
      <c r="K9111" s="59">
        <f t="shared" si="29"/>
        <v>0</v>
      </c>
      <c r="L9111" s="59">
        <f t="shared" si="30"/>
        <v>0</v>
      </c>
      <c r="M9111" s="59">
        <f t="shared" si="31"/>
        <v>0</v>
      </c>
    </row>
    <row r="9112" ht="15.0" hidden="1" customHeight="1">
      <c r="A9112" s="59">
        <f t="shared" si="20"/>
        <v>148</v>
      </c>
      <c r="B9112" s="59" t="str">
        <f t="shared" si="21"/>
        <v/>
      </c>
      <c r="C9112" s="59" t="str">
        <f t="shared" si="22"/>
        <v/>
      </c>
      <c r="D9112" s="59" t="str">
        <f t="shared" si="23"/>
        <v/>
      </c>
      <c r="E9112" s="59" t="str">
        <f t="shared" si="24"/>
        <v/>
      </c>
      <c r="F9112" s="59" t="str">
        <f t="shared" si="25"/>
        <v/>
      </c>
      <c r="G9112" s="59" t="str">
        <f t="shared" si="26"/>
        <v/>
      </c>
      <c r="H9112" s="59" t="str">
        <f t="shared" si="27"/>
        <v>Xe ben mới</v>
      </c>
      <c r="I9112" s="59" t="str">
        <f>IF(OR($A9112="",$C9112="",$D9112="",$E9112="",$H9112=""),"",SUMIFS(DATA_GOC!$H:$H,DATA_GOC!$A:$A,"BOM",DATA_GOC!$D:$D,$H9112,DATA_GOC!$E:$E,$C9112,DATA_GOC!$F:$F,"Xuất nội bộ từ téc",DATA_GOC!$B:$B,"&gt;="&amp;$D9112,DATA_GOC!$B:$B,"&lt;="&amp;$E9112))</f>
        <v/>
      </c>
      <c r="J9112" s="59">
        <f t="shared" si="28"/>
        <v>0</v>
      </c>
      <c r="K9112" s="59">
        <f t="shared" si="29"/>
        <v>0</v>
      </c>
      <c r="L9112" s="59">
        <f t="shared" si="30"/>
        <v>0</v>
      </c>
      <c r="M9112" s="59">
        <f t="shared" si="31"/>
        <v>0</v>
      </c>
    </row>
    <row r="9113" ht="15.0" hidden="1" customHeight="1">
      <c r="A9113" s="59">
        <f t="shared" si="20"/>
        <v>149</v>
      </c>
      <c r="B9113" s="59" t="str">
        <f t="shared" si="21"/>
        <v/>
      </c>
      <c r="C9113" s="59" t="str">
        <f t="shared" si="22"/>
        <v/>
      </c>
      <c r="D9113" s="59" t="str">
        <f t="shared" si="23"/>
        <v/>
      </c>
      <c r="E9113" s="59" t="str">
        <f t="shared" si="24"/>
        <v/>
      </c>
      <c r="F9113" s="59" t="str">
        <f t="shared" si="25"/>
        <v/>
      </c>
      <c r="G9113" s="59" t="str">
        <f t="shared" si="26"/>
        <v/>
      </c>
      <c r="H9113" s="59" t="str">
        <f t="shared" si="27"/>
        <v>19H09482</v>
      </c>
      <c r="I9113" s="59" t="str">
        <f>IF(OR($A9113="",$C9113="",$D9113="",$E9113="",$H9113=""),"",SUMIFS(DATA_GOC!$H:$H,DATA_GOC!$A:$A,"BOM",DATA_GOC!$D:$D,$H9113,DATA_GOC!$E:$E,$C9113,DATA_GOC!$F:$F,"Xuất nội bộ từ téc",DATA_GOC!$B:$B,"&gt;="&amp;$D9113,DATA_GOC!$B:$B,"&lt;="&amp;$E9113))</f>
        <v/>
      </c>
      <c r="J9113" s="59">
        <f t="shared" si="28"/>
        <v>0</v>
      </c>
      <c r="K9113" s="59">
        <f t="shared" si="29"/>
        <v>0</v>
      </c>
      <c r="L9113" s="59">
        <f t="shared" si="30"/>
        <v>0</v>
      </c>
      <c r="M9113" s="59">
        <f t="shared" si="31"/>
        <v>0</v>
      </c>
    </row>
    <row r="9114" ht="15.0" hidden="1" customHeight="1">
      <c r="A9114" s="59">
        <f t="shared" si="20"/>
        <v>149</v>
      </c>
      <c r="B9114" s="59" t="str">
        <f t="shared" si="21"/>
        <v/>
      </c>
      <c r="C9114" s="59" t="str">
        <f t="shared" si="22"/>
        <v/>
      </c>
      <c r="D9114" s="59" t="str">
        <f t="shared" si="23"/>
        <v/>
      </c>
      <c r="E9114" s="59" t="str">
        <f t="shared" si="24"/>
        <v/>
      </c>
      <c r="F9114" s="59" t="str">
        <f t="shared" si="25"/>
        <v/>
      </c>
      <c r="G9114" s="59" t="str">
        <f t="shared" si="26"/>
        <v/>
      </c>
      <c r="H9114" s="59" t="str">
        <f t="shared" si="27"/>
        <v>28A30696</v>
      </c>
      <c r="I9114" s="59" t="str">
        <f>IF(OR($A9114="",$C9114="",$D9114="",$E9114="",$H9114=""),"",SUMIFS(DATA_GOC!$H:$H,DATA_GOC!$A:$A,"BOM",DATA_GOC!$D:$D,$H9114,DATA_GOC!$E:$E,$C9114,DATA_GOC!$F:$F,"Xuất nội bộ từ téc",DATA_GOC!$B:$B,"&gt;="&amp;$D9114,DATA_GOC!$B:$B,"&lt;="&amp;$E9114))</f>
        <v/>
      </c>
      <c r="J9114" s="59">
        <f t="shared" si="28"/>
        <v>0</v>
      </c>
      <c r="K9114" s="59">
        <f t="shared" si="29"/>
        <v>0</v>
      </c>
      <c r="L9114" s="59">
        <f t="shared" si="30"/>
        <v>0</v>
      </c>
      <c r="M9114" s="59">
        <f t="shared" si="31"/>
        <v>0</v>
      </c>
    </row>
    <row r="9115" ht="15.0" hidden="1" customHeight="1">
      <c r="A9115" s="59">
        <f t="shared" si="20"/>
        <v>149</v>
      </c>
      <c r="B9115" s="59" t="str">
        <f t="shared" si="21"/>
        <v/>
      </c>
      <c r="C9115" s="59" t="str">
        <f t="shared" si="22"/>
        <v/>
      </c>
      <c r="D9115" s="59" t="str">
        <f t="shared" si="23"/>
        <v/>
      </c>
      <c r="E9115" s="59" t="str">
        <f t="shared" si="24"/>
        <v/>
      </c>
      <c r="F9115" s="59" t="str">
        <f t="shared" si="25"/>
        <v/>
      </c>
      <c r="G9115" s="59" t="str">
        <f t="shared" si="26"/>
        <v/>
      </c>
      <c r="H9115" s="59" t="str">
        <f t="shared" si="27"/>
        <v>28C00462</v>
      </c>
      <c r="I9115" s="59" t="str">
        <f>IF(OR($A9115="",$C9115="",$D9115="",$E9115="",$H9115=""),"",SUMIFS(DATA_GOC!$H:$H,DATA_GOC!$A:$A,"BOM",DATA_GOC!$D:$D,$H9115,DATA_GOC!$E:$E,$C9115,DATA_GOC!$F:$F,"Xuất nội bộ từ téc",DATA_GOC!$B:$B,"&gt;="&amp;$D9115,DATA_GOC!$B:$B,"&lt;="&amp;$E9115))</f>
        <v/>
      </c>
      <c r="J9115" s="59">
        <f t="shared" si="28"/>
        <v>0</v>
      </c>
      <c r="K9115" s="59">
        <f t="shared" si="29"/>
        <v>0</v>
      </c>
      <c r="L9115" s="59">
        <f t="shared" si="30"/>
        <v>0</v>
      </c>
      <c r="M9115" s="59">
        <f t="shared" si="31"/>
        <v>0</v>
      </c>
    </row>
    <row r="9116" ht="15.0" hidden="1" customHeight="1">
      <c r="A9116" s="59">
        <f t="shared" si="20"/>
        <v>149</v>
      </c>
      <c r="B9116" s="59" t="str">
        <f t="shared" si="21"/>
        <v/>
      </c>
      <c r="C9116" s="59" t="str">
        <f t="shared" si="22"/>
        <v/>
      </c>
      <c r="D9116" s="59" t="str">
        <f t="shared" si="23"/>
        <v/>
      </c>
      <c r="E9116" s="59" t="str">
        <f t="shared" si="24"/>
        <v/>
      </c>
      <c r="F9116" s="59" t="str">
        <f t="shared" si="25"/>
        <v/>
      </c>
      <c r="G9116" s="59" t="str">
        <f t="shared" si="26"/>
        <v/>
      </c>
      <c r="H9116" s="59" t="str">
        <f t="shared" si="27"/>
        <v>28C01165</v>
      </c>
      <c r="I9116" s="59" t="str">
        <f>IF(OR($A9116="",$C9116="",$D9116="",$E9116="",$H9116=""),"",SUMIFS(DATA_GOC!$H:$H,DATA_GOC!$A:$A,"BOM",DATA_GOC!$D:$D,$H9116,DATA_GOC!$E:$E,$C9116,DATA_GOC!$F:$F,"Xuất nội bộ từ téc",DATA_GOC!$B:$B,"&gt;="&amp;$D9116,DATA_GOC!$B:$B,"&lt;="&amp;$E9116))</f>
        <v/>
      </c>
      <c r="J9116" s="59">
        <f t="shared" si="28"/>
        <v>0</v>
      </c>
      <c r="K9116" s="59">
        <f t="shared" si="29"/>
        <v>0</v>
      </c>
      <c r="L9116" s="59">
        <f t="shared" si="30"/>
        <v>0</v>
      </c>
      <c r="M9116" s="59">
        <f t="shared" si="31"/>
        <v>0</v>
      </c>
    </row>
    <row r="9117" ht="15.0" hidden="1" customHeight="1">
      <c r="A9117" s="59">
        <f t="shared" si="20"/>
        <v>149</v>
      </c>
      <c r="B9117" s="59" t="str">
        <f t="shared" si="21"/>
        <v/>
      </c>
      <c r="C9117" s="59" t="str">
        <f t="shared" si="22"/>
        <v/>
      </c>
      <c r="D9117" s="59" t="str">
        <f t="shared" si="23"/>
        <v/>
      </c>
      <c r="E9117" s="59" t="str">
        <f t="shared" si="24"/>
        <v/>
      </c>
      <c r="F9117" s="59" t="str">
        <f t="shared" si="25"/>
        <v/>
      </c>
      <c r="G9117" s="59" t="str">
        <f t="shared" si="26"/>
        <v/>
      </c>
      <c r="H9117" s="59" t="str">
        <f t="shared" si="27"/>
        <v>28C01406</v>
      </c>
      <c r="I9117" s="59" t="str">
        <f>IF(OR($A9117="",$C9117="",$D9117="",$E9117="",$H9117=""),"",SUMIFS(DATA_GOC!$H:$H,DATA_GOC!$A:$A,"BOM",DATA_GOC!$D:$D,$H9117,DATA_GOC!$E:$E,$C9117,DATA_GOC!$F:$F,"Xuất nội bộ từ téc",DATA_GOC!$B:$B,"&gt;="&amp;$D9117,DATA_GOC!$B:$B,"&lt;="&amp;$E9117))</f>
        <v/>
      </c>
      <c r="J9117" s="59">
        <f t="shared" si="28"/>
        <v>0</v>
      </c>
      <c r="K9117" s="59">
        <f t="shared" si="29"/>
        <v>0</v>
      </c>
      <c r="L9117" s="59">
        <f t="shared" si="30"/>
        <v>0</v>
      </c>
      <c r="M9117" s="59">
        <f t="shared" si="31"/>
        <v>0</v>
      </c>
    </row>
    <row r="9118" ht="15.0" hidden="1" customHeight="1">
      <c r="A9118" s="59">
        <f t="shared" si="20"/>
        <v>149</v>
      </c>
      <c r="B9118" s="59" t="str">
        <f t="shared" si="21"/>
        <v/>
      </c>
      <c r="C9118" s="59" t="str">
        <f t="shared" si="22"/>
        <v/>
      </c>
      <c r="D9118" s="59" t="str">
        <f t="shared" si="23"/>
        <v/>
      </c>
      <c r="E9118" s="59" t="str">
        <f t="shared" si="24"/>
        <v/>
      </c>
      <c r="F9118" s="59" t="str">
        <f t="shared" si="25"/>
        <v/>
      </c>
      <c r="G9118" s="59" t="str">
        <f t="shared" si="26"/>
        <v/>
      </c>
      <c r="H9118" s="59" t="str">
        <f t="shared" si="27"/>
        <v>28C01544</v>
      </c>
      <c r="I9118" s="59" t="str">
        <f>IF(OR($A9118="",$C9118="",$D9118="",$E9118="",$H9118=""),"",SUMIFS(DATA_GOC!$H:$H,DATA_GOC!$A:$A,"BOM",DATA_GOC!$D:$D,$H9118,DATA_GOC!$E:$E,$C9118,DATA_GOC!$F:$F,"Xuất nội bộ từ téc",DATA_GOC!$B:$B,"&gt;="&amp;$D9118,DATA_GOC!$B:$B,"&lt;="&amp;$E9118))</f>
        <v/>
      </c>
      <c r="J9118" s="59">
        <f t="shared" si="28"/>
        <v>0</v>
      </c>
      <c r="K9118" s="59">
        <f t="shared" si="29"/>
        <v>0</v>
      </c>
      <c r="L9118" s="59">
        <f t="shared" si="30"/>
        <v>0</v>
      </c>
      <c r="M9118" s="59">
        <f t="shared" si="31"/>
        <v>0</v>
      </c>
    </row>
    <row r="9119" ht="15.0" hidden="1" customHeight="1">
      <c r="A9119" s="59">
        <f t="shared" si="20"/>
        <v>149</v>
      </c>
      <c r="B9119" s="59" t="str">
        <f t="shared" si="21"/>
        <v/>
      </c>
      <c r="C9119" s="59" t="str">
        <f t="shared" si="22"/>
        <v/>
      </c>
      <c r="D9119" s="59" t="str">
        <f t="shared" si="23"/>
        <v/>
      </c>
      <c r="E9119" s="59" t="str">
        <f t="shared" si="24"/>
        <v/>
      </c>
      <c r="F9119" s="59" t="str">
        <f t="shared" si="25"/>
        <v/>
      </c>
      <c r="G9119" s="59" t="str">
        <f t="shared" si="26"/>
        <v/>
      </c>
      <c r="H9119" s="59" t="str">
        <f t="shared" si="27"/>
        <v>28C01622</v>
      </c>
      <c r="I9119" s="59" t="str">
        <f>IF(OR($A9119="",$C9119="",$D9119="",$E9119="",$H9119=""),"",SUMIFS(DATA_GOC!$H:$H,DATA_GOC!$A:$A,"BOM",DATA_GOC!$D:$D,$H9119,DATA_GOC!$E:$E,$C9119,DATA_GOC!$F:$F,"Xuất nội bộ từ téc",DATA_GOC!$B:$B,"&gt;="&amp;$D9119,DATA_GOC!$B:$B,"&lt;="&amp;$E9119))</f>
        <v/>
      </c>
      <c r="J9119" s="59">
        <f t="shared" si="28"/>
        <v>0</v>
      </c>
      <c r="K9119" s="59">
        <f t="shared" si="29"/>
        <v>0</v>
      </c>
      <c r="L9119" s="59">
        <f t="shared" si="30"/>
        <v>0</v>
      </c>
      <c r="M9119" s="59">
        <f t="shared" si="31"/>
        <v>0</v>
      </c>
    </row>
    <row r="9120" ht="15.0" hidden="1" customHeight="1">
      <c r="A9120" s="59">
        <f t="shared" si="20"/>
        <v>149</v>
      </c>
      <c r="B9120" s="59" t="str">
        <f t="shared" si="21"/>
        <v/>
      </c>
      <c r="C9120" s="59" t="str">
        <f t="shared" si="22"/>
        <v/>
      </c>
      <c r="D9120" s="59" t="str">
        <f t="shared" si="23"/>
        <v/>
      </c>
      <c r="E9120" s="59" t="str">
        <f t="shared" si="24"/>
        <v/>
      </c>
      <c r="F9120" s="59" t="str">
        <f t="shared" si="25"/>
        <v/>
      </c>
      <c r="G9120" s="59" t="str">
        <f t="shared" si="26"/>
        <v/>
      </c>
      <c r="H9120" s="59" t="str">
        <f t="shared" si="27"/>
        <v>28C01647</v>
      </c>
      <c r="I9120" s="59" t="str">
        <f>IF(OR($A9120="",$C9120="",$D9120="",$E9120="",$H9120=""),"",SUMIFS(DATA_GOC!$H:$H,DATA_GOC!$A:$A,"BOM",DATA_GOC!$D:$D,$H9120,DATA_GOC!$E:$E,$C9120,DATA_GOC!$F:$F,"Xuất nội bộ từ téc",DATA_GOC!$B:$B,"&gt;="&amp;$D9120,DATA_GOC!$B:$B,"&lt;="&amp;$E9120))</f>
        <v/>
      </c>
      <c r="J9120" s="59">
        <f t="shared" si="28"/>
        <v>0</v>
      </c>
      <c r="K9120" s="59">
        <f t="shared" si="29"/>
        <v>0</v>
      </c>
      <c r="L9120" s="59">
        <f t="shared" si="30"/>
        <v>0</v>
      </c>
      <c r="M9120" s="59">
        <f t="shared" si="31"/>
        <v>0</v>
      </c>
    </row>
    <row r="9121" ht="15.0" hidden="1" customHeight="1">
      <c r="A9121" s="59">
        <f t="shared" si="20"/>
        <v>149</v>
      </c>
      <c r="B9121" s="59" t="str">
        <f t="shared" si="21"/>
        <v/>
      </c>
      <c r="C9121" s="59" t="str">
        <f t="shared" si="22"/>
        <v/>
      </c>
      <c r="D9121" s="59" t="str">
        <f t="shared" si="23"/>
        <v/>
      </c>
      <c r="E9121" s="59" t="str">
        <f t="shared" si="24"/>
        <v/>
      </c>
      <c r="F9121" s="59" t="str">
        <f t="shared" si="25"/>
        <v/>
      </c>
      <c r="G9121" s="59" t="str">
        <f t="shared" si="26"/>
        <v/>
      </c>
      <c r="H9121" s="59" t="str">
        <f t="shared" si="27"/>
        <v>28C01731</v>
      </c>
      <c r="I9121" s="59" t="str">
        <f>IF(OR($A9121="",$C9121="",$D9121="",$E9121="",$H9121=""),"",SUMIFS(DATA_GOC!$H:$H,DATA_GOC!$A:$A,"BOM",DATA_GOC!$D:$D,$H9121,DATA_GOC!$E:$E,$C9121,DATA_GOC!$F:$F,"Xuất nội bộ từ téc",DATA_GOC!$B:$B,"&gt;="&amp;$D9121,DATA_GOC!$B:$B,"&lt;="&amp;$E9121))</f>
        <v/>
      </c>
      <c r="J9121" s="59">
        <f t="shared" si="28"/>
        <v>0</v>
      </c>
      <c r="K9121" s="59">
        <f t="shared" si="29"/>
        <v>0</v>
      </c>
      <c r="L9121" s="59">
        <f t="shared" si="30"/>
        <v>0</v>
      </c>
      <c r="M9121" s="59">
        <f t="shared" si="31"/>
        <v>0</v>
      </c>
    </row>
    <row r="9122" ht="15.0" hidden="1" customHeight="1">
      <c r="A9122" s="59">
        <f t="shared" si="20"/>
        <v>149</v>
      </c>
      <c r="B9122" s="59" t="str">
        <f t="shared" si="21"/>
        <v/>
      </c>
      <c r="C9122" s="59" t="str">
        <f t="shared" si="22"/>
        <v/>
      </c>
      <c r="D9122" s="59" t="str">
        <f t="shared" si="23"/>
        <v/>
      </c>
      <c r="E9122" s="59" t="str">
        <f t="shared" si="24"/>
        <v/>
      </c>
      <c r="F9122" s="59" t="str">
        <f t="shared" si="25"/>
        <v/>
      </c>
      <c r="G9122" s="59" t="str">
        <f t="shared" si="26"/>
        <v/>
      </c>
      <c r="H9122" s="59" t="str">
        <f t="shared" si="27"/>
        <v>28C01743</v>
      </c>
      <c r="I9122" s="59" t="str">
        <f>IF(OR($A9122="",$C9122="",$D9122="",$E9122="",$H9122=""),"",SUMIFS(DATA_GOC!$H:$H,DATA_GOC!$A:$A,"BOM",DATA_GOC!$D:$D,$H9122,DATA_GOC!$E:$E,$C9122,DATA_GOC!$F:$F,"Xuất nội bộ từ téc",DATA_GOC!$B:$B,"&gt;="&amp;$D9122,DATA_GOC!$B:$B,"&lt;="&amp;$E9122))</f>
        <v/>
      </c>
      <c r="J9122" s="59">
        <f t="shared" si="28"/>
        <v>0</v>
      </c>
      <c r="K9122" s="59">
        <f t="shared" si="29"/>
        <v>0</v>
      </c>
      <c r="L9122" s="59">
        <f t="shared" si="30"/>
        <v>0</v>
      </c>
      <c r="M9122" s="59">
        <f t="shared" si="31"/>
        <v>0</v>
      </c>
    </row>
    <row r="9123" ht="15.0" hidden="1" customHeight="1">
      <c r="A9123" s="59">
        <f t="shared" si="20"/>
        <v>149</v>
      </c>
      <c r="B9123" s="59" t="str">
        <f t="shared" si="21"/>
        <v/>
      </c>
      <c r="C9123" s="59" t="str">
        <f t="shared" si="22"/>
        <v/>
      </c>
      <c r="D9123" s="59" t="str">
        <f t="shared" si="23"/>
        <v/>
      </c>
      <c r="E9123" s="59" t="str">
        <f t="shared" si="24"/>
        <v/>
      </c>
      <c r="F9123" s="59" t="str">
        <f t="shared" si="25"/>
        <v/>
      </c>
      <c r="G9123" s="59" t="str">
        <f t="shared" si="26"/>
        <v/>
      </c>
      <c r="H9123" s="59" t="str">
        <f t="shared" si="27"/>
        <v>28C02106</v>
      </c>
      <c r="I9123" s="59" t="str">
        <f>IF(OR($A9123="",$C9123="",$D9123="",$E9123="",$H9123=""),"",SUMIFS(DATA_GOC!$H:$H,DATA_GOC!$A:$A,"BOM",DATA_GOC!$D:$D,$H9123,DATA_GOC!$E:$E,$C9123,DATA_GOC!$F:$F,"Xuất nội bộ từ téc",DATA_GOC!$B:$B,"&gt;="&amp;$D9123,DATA_GOC!$B:$B,"&lt;="&amp;$E9123))</f>
        <v/>
      </c>
      <c r="J9123" s="59">
        <f t="shared" si="28"/>
        <v>0</v>
      </c>
      <c r="K9123" s="59">
        <f t="shared" si="29"/>
        <v>0</v>
      </c>
      <c r="L9123" s="59">
        <f t="shared" si="30"/>
        <v>0</v>
      </c>
      <c r="M9123" s="59">
        <f t="shared" si="31"/>
        <v>0</v>
      </c>
    </row>
    <row r="9124" ht="15.0" hidden="1" customHeight="1">
      <c r="A9124" s="59">
        <f t="shared" si="20"/>
        <v>149</v>
      </c>
      <c r="B9124" s="59" t="str">
        <f t="shared" si="21"/>
        <v/>
      </c>
      <c r="C9124" s="59" t="str">
        <f t="shared" si="22"/>
        <v/>
      </c>
      <c r="D9124" s="59" t="str">
        <f t="shared" si="23"/>
        <v/>
      </c>
      <c r="E9124" s="59" t="str">
        <f t="shared" si="24"/>
        <v/>
      </c>
      <c r="F9124" s="59" t="str">
        <f t="shared" si="25"/>
        <v/>
      </c>
      <c r="G9124" s="59" t="str">
        <f t="shared" si="26"/>
        <v/>
      </c>
      <c r="H9124" s="59" t="str">
        <f t="shared" si="27"/>
        <v>28C02410</v>
      </c>
      <c r="I9124" s="59" t="str">
        <f>IF(OR($A9124="",$C9124="",$D9124="",$E9124="",$H9124=""),"",SUMIFS(DATA_GOC!$H:$H,DATA_GOC!$A:$A,"BOM",DATA_GOC!$D:$D,$H9124,DATA_GOC!$E:$E,$C9124,DATA_GOC!$F:$F,"Xuất nội bộ từ téc",DATA_GOC!$B:$B,"&gt;="&amp;$D9124,DATA_GOC!$B:$B,"&lt;="&amp;$E9124))</f>
        <v/>
      </c>
      <c r="J9124" s="59">
        <f t="shared" si="28"/>
        <v>0</v>
      </c>
      <c r="K9124" s="59">
        <f t="shared" si="29"/>
        <v>0</v>
      </c>
      <c r="L9124" s="59">
        <f t="shared" si="30"/>
        <v>0</v>
      </c>
      <c r="M9124" s="59">
        <f t="shared" si="31"/>
        <v>0</v>
      </c>
    </row>
    <row r="9125" ht="15.0" hidden="1" customHeight="1">
      <c r="A9125" s="59">
        <f t="shared" si="20"/>
        <v>149</v>
      </c>
      <c r="B9125" s="59" t="str">
        <f t="shared" si="21"/>
        <v/>
      </c>
      <c r="C9125" s="59" t="str">
        <f t="shared" si="22"/>
        <v/>
      </c>
      <c r="D9125" s="59" t="str">
        <f t="shared" si="23"/>
        <v/>
      </c>
      <c r="E9125" s="59" t="str">
        <f t="shared" si="24"/>
        <v/>
      </c>
      <c r="F9125" s="59" t="str">
        <f t="shared" si="25"/>
        <v/>
      </c>
      <c r="G9125" s="59" t="str">
        <f t="shared" si="26"/>
        <v/>
      </c>
      <c r="H9125" s="59" t="str">
        <f t="shared" si="27"/>
        <v>28C02545</v>
      </c>
      <c r="I9125" s="59" t="str">
        <f>IF(OR($A9125="",$C9125="",$D9125="",$E9125="",$H9125=""),"",SUMIFS(DATA_GOC!$H:$H,DATA_GOC!$A:$A,"BOM",DATA_GOC!$D:$D,$H9125,DATA_GOC!$E:$E,$C9125,DATA_GOC!$F:$F,"Xuất nội bộ từ téc",DATA_GOC!$B:$B,"&gt;="&amp;$D9125,DATA_GOC!$B:$B,"&lt;="&amp;$E9125))</f>
        <v/>
      </c>
      <c r="J9125" s="59">
        <f t="shared" si="28"/>
        <v>0</v>
      </c>
      <c r="K9125" s="59">
        <f t="shared" si="29"/>
        <v>0</v>
      </c>
      <c r="L9125" s="59">
        <f t="shared" si="30"/>
        <v>0</v>
      </c>
      <c r="M9125" s="59">
        <f t="shared" si="31"/>
        <v>0</v>
      </c>
    </row>
    <row r="9126" ht="15.0" hidden="1" customHeight="1">
      <c r="A9126" s="59">
        <f t="shared" si="20"/>
        <v>149</v>
      </c>
      <c r="B9126" s="59" t="str">
        <f t="shared" si="21"/>
        <v/>
      </c>
      <c r="C9126" s="59" t="str">
        <f t="shared" si="22"/>
        <v/>
      </c>
      <c r="D9126" s="59" t="str">
        <f t="shared" si="23"/>
        <v/>
      </c>
      <c r="E9126" s="59" t="str">
        <f t="shared" si="24"/>
        <v/>
      </c>
      <c r="F9126" s="59" t="str">
        <f t="shared" si="25"/>
        <v/>
      </c>
      <c r="G9126" s="59" t="str">
        <f t="shared" si="26"/>
        <v/>
      </c>
      <c r="H9126" s="59" t="str">
        <f t="shared" si="27"/>
        <v>28C02574</v>
      </c>
      <c r="I9126" s="59" t="str">
        <f>IF(OR($A9126="",$C9126="",$D9126="",$E9126="",$H9126=""),"",SUMIFS(DATA_GOC!$H:$H,DATA_GOC!$A:$A,"BOM",DATA_GOC!$D:$D,$H9126,DATA_GOC!$E:$E,$C9126,DATA_GOC!$F:$F,"Xuất nội bộ từ téc",DATA_GOC!$B:$B,"&gt;="&amp;$D9126,DATA_GOC!$B:$B,"&lt;="&amp;$E9126))</f>
        <v/>
      </c>
      <c r="J9126" s="59">
        <f t="shared" si="28"/>
        <v>0</v>
      </c>
      <c r="K9126" s="59">
        <f t="shared" si="29"/>
        <v>0</v>
      </c>
      <c r="L9126" s="59">
        <f t="shared" si="30"/>
        <v>0</v>
      </c>
      <c r="M9126" s="59">
        <f t="shared" si="31"/>
        <v>0</v>
      </c>
    </row>
    <row r="9127" ht="15.0" hidden="1" customHeight="1">
      <c r="A9127" s="59">
        <f t="shared" si="20"/>
        <v>149</v>
      </c>
      <c r="B9127" s="59" t="str">
        <f t="shared" si="21"/>
        <v/>
      </c>
      <c r="C9127" s="59" t="str">
        <f t="shared" si="22"/>
        <v/>
      </c>
      <c r="D9127" s="59" t="str">
        <f t="shared" si="23"/>
        <v/>
      </c>
      <c r="E9127" s="59" t="str">
        <f t="shared" si="24"/>
        <v/>
      </c>
      <c r="F9127" s="59" t="str">
        <f t="shared" si="25"/>
        <v/>
      </c>
      <c r="G9127" s="59" t="str">
        <f t="shared" si="26"/>
        <v/>
      </c>
      <c r="H9127" s="59" t="str">
        <f t="shared" si="27"/>
        <v>28C02770</v>
      </c>
      <c r="I9127" s="59" t="str">
        <f>IF(OR($A9127="",$C9127="",$D9127="",$E9127="",$H9127=""),"",SUMIFS(DATA_GOC!$H:$H,DATA_GOC!$A:$A,"BOM",DATA_GOC!$D:$D,$H9127,DATA_GOC!$E:$E,$C9127,DATA_GOC!$F:$F,"Xuất nội bộ từ téc",DATA_GOC!$B:$B,"&gt;="&amp;$D9127,DATA_GOC!$B:$B,"&lt;="&amp;$E9127))</f>
        <v/>
      </c>
      <c r="J9127" s="59">
        <f t="shared" si="28"/>
        <v>0</v>
      </c>
      <c r="K9127" s="59">
        <f t="shared" si="29"/>
        <v>0</v>
      </c>
      <c r="L9127" s="59">
        <f t="shared" si="30"/>
        <v>0</v>
      </c>
      <c r="M9127" s="59">
        <f t="shared" si="31"/>
        <v>0</v>
      </c>
    </row>
    <row r="9128" ht="15.0" hidden="1" customHeight="1">
      <c r="A9128" s="59">
        <f t="shared" si="20"/>
        <v>149</v>
      </c>
      <c r="B9128" s="59" t="str">
        <f t="shared" si="21"/>
        <v/>
      </c>
      <c r="C9128" s="59" t="str">
        <f t="shared" si="22"/>
        <v/>
      </c>
      <c r="D9128" s="59" t="str">
        <f t="shared" si="23"/>
        <v/>
      </c>
      <c r="E9128" s="59" t="str">
        <f t="shared" si="24"/>
        <v/>
      </c>
      <c r="F9128" s="59" t="str">
        <f t="shared" si="25"/>
        <v/>
      </c>
      <c r="G9128" s="59" t="str">
        <f t="shared" si="26"/>
        <v/>
      </c>
      <c r="H9128" s="59" t="str">
        <f t="shared" si="27"/>
        <v>28C02986</v>
      </c>
      <c r="I9128" s="59" t="str">
        <f>IF(OR($A9128="",$C9128="",$D9128="",$E9128="",$H9128=""),"",SUMIFS(DATA_GOC!$H:$H,DATA_GOC!$A:$A,"BOM",DATA_GOC!$D:$D,$H9128,DATA_GOC!$E:$E,$C9128,DATA_GOC!$F:$F,"Xuất nội bộ từ téc",DATA_GOC!$B:$B,"&gt;="&amp;$D9128,DATA_GOC!$B:$B,"&lt;="&amp;$E9128))</f>
        <v/>
      </c>
      <c r="J9128" s="59">
        <f t="shared" si="28"/>
        <v>0</v>
      </c>
      <c r="K9128" s="59">
        <f t="shared" si="29"/>
        <v>0</v>
      </c>
      <c r="L9128" s="59">
        <f t="shared" si="30"/>
        <v>0</v>
      </c>
      <c r="M9128" s="59">
        <f t="shared" si="31"/>
        <v>0</v>
      </c>
    </row>
    <row r="9129" ht="15.0" hidden="1" customHeight="1">
      <c r="A9129" s="59">
        <f t="shared" si="20"/>
        <v>149</v>
      </c>
      <c r="B9129" s="59" t="str">
        <f t="shared" si="21"/>
        <v/>
      </c>
      <c r="C9129" s="59" t="str">
        <f t="shared" si="22"/>
        <v/>
      </c>
      <c r="D9129" s="59" t="str">
        <f t="shared" si="23"/>
        <v/>
      </c>
      <c r="E9129" s="59" t="str">
        <f t="shared" si="24"/>
        <v/>
      </c>
      <c r="F9129" s="59" t="str">
        <f t="shared" si="25"/>
        <v/>
      </c>
      <c r="G9129" s="59" t="str">
        <f t="shared" si="26"/>
        <v/>
      </c>
      <c r="H9129" s="59" t="str">
        <f t="shared" si="27"/>
        <v>28C03261</v>
      </c>
      <c r="I9129" s="59" t="str">
        <f>IF(OR($A9129="",$C9129="",$D9129="",$E9129="",$H9129=""),"",SUMIFS(DATA_GOC!$H:$H,DATA_GOC!$A:$A,"BOM",DATA_GOC!$D:$D,$H9129,DATA_GOC!$E:$E,$C9129,DATA_GOC!$F:$F,"Xuất nội bộ từ téc",DATA_GOC!$B:$B,"&gt;="&amp;$D9129,DATA_GOC!$B:$B,"&lt;="&amp;$E9129))</f>
        <v/>
      </c>
      <c r="J9129" s="59">
        <f t="shared" si="28"/>
        <v>0</v>
      </c>
      <c r="K9129" s="59">
        <f t="shared" si="29"/>
        <v>0</v>
      </c>
      <c r="L9129" s="59">
        <f t="shared" si="30"/>
        <v>0</v>
      </c>
      <c r="M9129" s="59">
        <f t="shared" si="31"/>
        <v>0</v>
      </c>
    </row>
    <row r="9130" ht="15.0" hidden="1" customHeight="1">
      <c r="A9130" s="59">
        <f t="shared" si="20"/>
        <v>149</v>
      </c>
      <c r="B9130" s="59" t="str">
        <f t="shared" si="21"/>
        <v/>
      </c>
      <c r="C9130" s="59" t="str">
        <f t="shared" si="22"/>
        <v/>
      </c>
      <c r="D9130" s="59" t="str">
        <f t="shared" si="23"/>
        <v/>
      </c>
      <c r="E9130" s="59" t="str">
        <f t="shared" si="24"/>
        <v/>
      </c>
      <c r="F9130" s="59" t="str">
        <f t="shared" si="25"/>
        <v/>
      </c>
      <c r="G9130" s="59" t="str">
        <f t="shared" si="26"/>
        <v/>
      </c>
      <c r="H9130" s="59" t="str">
        <f t="shared" si="27"/>
        <v>28C03323</v>
      </c>
      <c r="I9130" s="59" t="str">
        <f>IF(OR($A9130="",$C9130="",$D9130="",$E9130="",$H9130=""),"",SUMIFS(DATA_GOC!$H:$H,DATA_GOC!$A:$A,"BOM",DATA_GOC!$D:$D,$H9130,DATA_GOC!$E:$E,$C9130,DATA_GOC!$F:$F,"Xuất nội bộ từ téc",DATA_GOC!$B:$B,"&gt;="&amp;$D9130,DATA_GOC!$B:$B,"&lt;="&amp;$E9130))</f>
        <v/>
      </c>
      <c r="J9130" s="59">
        <f t="shared" si="28"/>
        <v>0</v>
      </c>
      <c r="K9130" s="59">
        <f t="shared" si="29"/>
        <v>0</v>
      </c>
      <c r="L9130" s="59">
        <f t="shared" si="30"/>
        <v>0</v>
      </c>
      <c r="M9130" s="59">
        <f t="shared" si="31"/>
        <v>0</v>
      </c>
    </row>
    <row r="9131" ht="15.0" hidden="1" customHeight="1">
      <c r="A9131" s="59">
        <f t="shared" si="20"/>
        <v>149</v>
      </c>
      <c r="B9131" s="59" t="str">
        <f t="shared" si="21"/>
        <v/>
      </c>
      <c r="C9131" s="59" t="str">
        <f t="shared" si="22"/>
        <v/>
      </c>
      <c r="D9131" s="59" t="str">
        <f t="shared" si="23"/>
        <v/>
      </c>
      <c r="E9131" s="59" t="str">
        <f t="shared" si="24"/>
        <v/>
      </c>
      <c r="F9131" s="59" t="str">
        <f t="shared" si="25"/>
        <v/>
      </c>
      <c r="G9131" s="59" t="str">
        <f t="shared" si="26"/>
        <v/>
      </c>
      <c r="H9131" s="59" t="str">
        <f t="shared" si="27"/>
        <v>28C03385</v>
      </c>
      <c r="I9131" s="59" t="str">
        <f>IF(OR($A9131="",$C9131="",$D9131="",$E9131="",$H9131=""),"",SUMIFS(DATA_GOC!$H:$H,DATA_GOC!$A:$A,"BOM",DATA_GOC!$D:$D,$H9131,DATA_GOC!$E:$E,$C9131,DATA_GOC!$F:$F,"Xuất nội bộ từ téc",DATA_GOC!$B:$B,"&gt;="&amp;$D9131,DATA_GOC!$B:$B,"&lt;="&amp;$E9131))</f>
        <v/>
      </c>
      <c r="J9131" s="59">
        <f t="shared" si="28"/>
        <v>0</v>
      </c>
      <c r="K9131" s="59">
        <f t="shared" si="29"/>
        <v>0</v>
      </c>
      <c r="L9131" s="59">
        <f t="shared" si="30"/>
        <v>0</v>
      </c>
      <c r="M9131" s="59">
        <f t="shared" si="31"/>
        <v>0</v>
      </c>
    </row>
    <row r="9132" ht="15.0" hidden="1" customHeight="1">
      <c r="A9132" s="59">
        <f t="shared" si="20"/>
        <v>149</v>
      </c>
      <c r="B9132" s="59" t="str">
        <f t="shared" si="21"/>
        <v/>
      </c>
      <c r="C9132" s="59" t="str">
        <f t="shared" si="22"/>
        <v/>
      </c>
      <c r="D9132" s="59" t="str">
        <f t="shared" si="23"/>
        <v/>
      </c>
      <c r="E9132" s="59" t="str">
        <f t="shared" si="24"/>
        <v/>
      </c>
      <c r="F9132" s="59" t="str">
        <f t="shared" si="25"/>
        <v/>
      </c>
      <c r="G9132" s="59" t="str">
        <f t="shared" si="26"/>
        <v/>
      </c>
      <c r="H9132" s="59" t="str">
        <f t="shared" si="27"/>
        <v>28C03652</v>
      </c>
      <c r="I9132" s="59" t="str">
        <f>IF(OR($A9132="",$C9132="",$D9132="",$E9132="",$H9132=""),"",SUMIFS(DATA_GOC!$H:$H,DATA_GOC!$A:$A,"BOM",DATA_GOC!$D:$D,$H9132,DATA_GOC!$E:$E,$C9132,DATA_GOC!$F:$F,"Xuất nội bộ từ téc",DATA_GOC!$B:$B,"&gt;="&amp;$D9132,DATA_GOC!$B:$B,"&lt;="&amp;$E9132))</f>
        <v/>
      </c>
      <c r="J9132" s="59">
        <f t="shared" si="28"/>
        <v>0</v>
      </c>
      <c r="K9132" s="59">
        <f t="shared" si="29"/>
        <v>0</v>
      </c>
      <c r="L9132" s="59">
        <f t="shared" si="30"/>
        <v>0</v>
      </c>
      <c r="M9132" s="59">
        <f t="shared" si="31"/>
        <v>0</v>
      </c>
    </row>
    <row r="9133" ht="15.0" hidden="1" customHeight="1">
      <c r="A9133" s="59">
        <f t="shared" si="20"/>
        <v>149</v>
      </c>
      <c r="B9133" s="59" t="str">
        <f t="shared" si="21"/>
        <v/>
      </c>
      <c r="C9133" s="59" t="str">
        <f t="shared" si="22"/>
        <v/>
      </c>
      <c r="D9133" s="59" t="str">
        <f t="shared" si="23"/>
        <v/>
      </c>
      <c r="E9133" s="59" t="str">
        <f t="shared" si="24"/>
        <v/>
      </c>
      <c r="F9133" s="59" t="str">
        <f t="shared" si="25"/>
        <v/>
      </c>
      <c r="G9133" s="59" t="str">
        <f t="shared" si="26"/>
        <v/>
      </c>
      <c r="H9133" s="59" t="str">
        <f t="shared" si="27"/>
        <v>28C03695</v>
      </c>
      <c r="I9133" s="59" t="str">
        <f>IF(OR($A9133="",$C9133="",$D9133="",$E9133="",$H9133=""),"",SUMIFS(DATA_GOC!$H:$H,DATA_GOC!$A:$A,"BOM",DATA_GOC!$D:$D,$H9133,DATA_GOC!$E:$E,$C9133,DATA_GOC!$F:$F,"Xuất nội bộ từ téc",DATA_GOC!$B:$B,"&gt;="&amp;$D9133,DATA_GOC!$B:$B,"&lt;="&amp;$E9133))</f>
        <v/>
      </c>
      <c r="J9133" s="59">
        <f t="shared" si="28"/>
        <v>0</v>
      </c>
      <c r="K9133" s="59">
        <f t="shared" si="29"/>
        <v>0</v>
      </c>
      <c r="L9133" s="59">
        <f t="shared" si="30"/>
        <v>0</v>
      </c>
      <c r="M9133" s="59">
        <f t="shared" si="31"/>
        <v>0</v>
      </c>
    </row>
    <row r="9134" ht="15.0" hidden="1" customHeight="1">
      <c r="A9134" s="59">
        <f t="shared" si="20"/>
        <v>149</v>
      </c>
      <c r="B9134" s="59" t="str">
        <f t="shared" si="21"/>
        <v/>
      </c>
      <c r="C9134" s="59" t="str">
        <f t="shared" si="22"/>
        <v/>
      </c>
      <c r="D9134" s="59" t="str">
        <f t="shared" si="23"/>
        <v/>
      </c>
      <c r="E9134" s="59" t="str">
        <f t="shared" si="24"/>
        <v/>
      </c>
      <c r="F9134" s="59" t="str">
        <f t="shared" si="25"/>
        <v/>
      </c>
      <c r="G9134" s="59" t="str">
        <f t="shared" si="26"/>
        <v/>
      </c>
      <c r="H9134" s="59" t="str">
        <f t="shared" si="27"/>
        <v>28C03927</v>
      </c>
      <c r="I9134" s="59" t="str">
        <f>IF(OR($A9134="",$C9134="",$D9134="",$E9134="",$H9134=""),"",SUMIFS(DATA_GOC!$H:$H,DATA_GOC!$A:$A,"BOM",DATA_GOC!$D:$D,$H9134,DATA_GOC!$E:$E,$C9134,DATA_GOC!$F:$F,"Xuất nội bộ từ téc",DATA_GOC!$B:$B,"&gt;="&amp;$D9134,DATA_GOC!$B:$B,"&lt;="&amp;$E9134))</f>
        <v/>
      </c>
      <c r="J9134" s="59">
        <f t="shared" si="28"/>
        <v>0</v>
      </c>
      <c r="K9134" s="59">
        <f t="shared" si="29"/>
        <v>0</v>
      </c>
      <c r="L9134" s="59">
        <f t="shared" si="30"/>
        <v>0</v>
      </c>
      <c r="M9134" s="59">
        <f t="shared" si="31"/>
        <v>0</v>
      </c>
    </row>
    <row r="9135" ht="15.0" hidden="1" customHeight="1">
      <c r="A9135" s="59">
        <f t="shared" si="20"/>
        <v>149</v>
      </c>
      <c r="B9135" s="59" t="str">
        <f t="shared" si="21"/>
        <v/>
      </c>
      <c r="C9135" s="59" t="str">
        <f t="shared" si="22"/>
        <v/>
      </c>
      <c r="D9135" s="59" t="str">
        <f t="shared" si="23"/>
        <v/>
      </c>
      <c r="E9135" s="59" t="str">
        <f t="shared" si="24"/>
        <v/>
      </c>
      <c r="F9135" s="59" t="str">
        <f t="shared" si="25"/>
        <v/>
      </c>
      <c r="G9135" s="59" t="str">
        <f t="shared" si="26"/>
        <v/>
      </c>
      <c r="H9135" s="59" t="str">
        <f t="shared" si="27"/>
        <v>28C04509</v>
      </c>
      <c r="I9135" s="59" t="str">
        <f>IF(OR($A9135="",$C9135="",$D9135="",$E9135="",$H9135=""),"",SUMIFS(DATA_GOC!$H:$H,DATA_GOC!$A:$A,"BOM",DATA_GOC!$D:$D,$H9135,DATA_GOC!$E:$E,$C9135,DATA_GOC!$F:$F,"Xuất nội bộ từ téc",DATA_GOC!$B:$B,"&gt;="&amp;$D9135,DATA_GOC!$B:$B,"&lt;="&amp;$E9135))</f>
        <v/>
      </c>
      <c r="J9135" s="59">
        <f t="shared" si="28"/>
        <v>0</v>
      </c>
      <c r="K9135" s="59">
        <f t="shared" si="29"/>
        <v>0</v>
      </c>
      <c r="L9135" s="59">
        <f t="shared" si="30"/>
        <v>0</v>
      </c>
      <c r="M9135" s="59">
        <f t="shared" si="31"/>
        <v>0</v>
      </c>
    </row>
    <row r="9136" ht="15.0" hidden="1" customHeight="1">
      <c r="A9136" s="59">
        <f t="shared" si="20"/>
        <v>149</v>
      </c>
      <c r="B9136" s="59" t="str">
        <f t="shared" si="21"/>
        <v/>
      </c>
      <c r="C9136" s="59" t="str">
        <f t="shared" si="22"/>
        <v/>
      </c>
      <c r="D9136" s="59" t="str">
        <f t="shared" si="23"/>
        <v/>
      </c>
      <c r="E9136" s="59" t="str">
        <f t="shared" si="24"/>
        <v/>
      </c>
      <c r="F9136" s="59" t="str">
        <f t="shared" si="25"/>
        <v/>
      </c>
      <c r="G9136" s="59" t="str">
        <f t="shared" si="26"/>
        <v/>
      </c>
      <c r="H9136" s="59" t="str">
        <f t="shared" si="27"/>
        <v>28C04536</v>
      </c>
      <c r="I9136" s="59" t="str">
        <f>IF(OR($A9136="",$C9136="",$D9136="",$E9136="",$H9136=""),"",SUMIFS(DATA_GOC!$H:$H,DATA_GOC!$A:$A,"BOM",DATA_GOC!$D:$D,$H9136,DATA_GOC!$E:$E,$C9136,DATA_GOC!$F:$F,"Xuất nội bộ từ téc",DATA_GOC!$B:$B,"&gt;="&amp;$D9136,DATA_GOC!$B:$B,"&lt;="&amp;$E9136))</f>
        <v/>
      </c>
      <c r="J9136" s="59">
        <f t="shared" si="28"/>
        <v>0</v>
      </c>
      <c r="K9136" s="59">
        <f t="shared" si="29"/>
        <v>0</v>
      </c>
      <c r="L9136" s="59">
        <f t="shared" si="30"/>
        <v>0</v>
      </c>
      <c r="M9136" s="59">
        <f t="shared" si="31"/>
        <v>0</v>
      </c>
    </row>
    <row r="9137" ht="15.0" hidden="1" customHeight="1">
      <c r="A9137" s="59">
        <f t="shared" si="20"/>
        <v>149</v>
      </c>
      <c r="B9137" s="59" t="str">
        <f t="shared" si="21"/>
        <v/>
      </c>
      <c r="C9137" s="59" t="str">
        <f t="shared" si="22"/>
        <v/>
      </c>
      <c r="D9137" s="59" t="str">
        <f t="shared" si="23"/>
        <v/>
      </c>
      <c r="E9137" s="59" t="str">
        <f t="shared" si="24"/>
        <v/>
      </c>
      <c r="F9137" s="59" t="str">
        <f t="shared" si="25"/>
        <v/>
      </c>
      <c r="G9137" s="59" t="str">
        <f t="shared" si="26"/>
        <v/>
      </c>
      <c r="H9137" s="59" t="str">
        <f t="shared" si="27"/>
        <v>28C04576</v>
      </c>
      <c r="I9137" s="59" t="str">
        <f>IF(OR($A9137="",$C9137="",$D9137="",$E9137="",$H9137=""),"",SUMIFS(DATA_GOC!$H:$H,DATA_GOC!$A:$A,"BOM",DATA_GOC!$D:$D,$H9137,DATA_GOC!$E:$E,$C9137,DATA_GOC!$F:$F,"Xuất nội bộ từ téc",DATA_GOC!$B:$B,"&gt;="&amp;$D9137,DATA_GOC!$B:$B,"&lt;="&amp;$E9137))</f>
        <v/>
      </c>
      <c r="J9137" s="59">
        <f t="shared" si="28"/>
        <v>0</v>
      </c>
      <c r="K9137" s="59">
        <f t="shared" si="29"/>
        <v>0</v>
      </c>
      <c r="L9137" s="59">
        <f t="shared" si="30"/>
        <v>0</v>
      </c>
      <c r="M9137" s="59">
        <f t="shared" si="31"/>
        <v>0</v>
      </c>
    </row>
    <row r="9138" ht="15.0" hidden="1" customHeight="1">
      <c r="A9138" s="59">
        <f t="shared" si="20"/>
        <v>149</v>
      </c>
      <c r="B9138" s="59" t="str">
        <f t="shared" si="21"/>
        <v/>
      </c>
      <c r="C9138" s="59" t="str">
        <f t="shared" si="22"/>
        <v/>
      </c>
      <c r="D9138" s="59" t="str">
        <f t="shared" si="23"/>
        <v/>
      </c>
      <c r="E9138" s="59" t="str">
        <f t="shared" si="24"/>
        <v/>
      </c>
      <c r="F9138" s="59" t="str">
        <f t="shared" si="25"/>
        <v/>
      </c>
      <c r="G9138" s="59" t="str">
        <f t="shared" si="26"/>
        <v/>
      </c>
      <c r="H9138" s="59" t="str">
        <f t="shared" si="27"/>
        <v>28C05090</v>
      </c>
      <c r="I9138" s="59" t="str">
        <f>IF(OR($A9138="",$C9138="",$D9138="",$E9138="",$H9138=""),"",SUMIFS(DATA_GOC!$H:$H,DATA_GOC!$A:$A,"BOM",DATA_GOC!$D:$D,$H9138,DATA_GOC!$E:$E,$C9138,DATA_GOC!$F:$F,"Xuất nội bộ từ téc",DATA_GOC!$B:$B,"&gt;="&amp;$D9138,DATA_GOC!$B:$B,"&lt;="&amp;$E9138))</f>
        <v/>
      </c>
      <c r="J9138" s="59">
        <f t="shared" si="28"/>
        <v>0</v>
      </c>
      <c r="K9138" s="59">
        <f t="shared" si="29"/>
        <v>0</v>
      </c>
      <c r="L9138" s="59">
        <f t="shared" si="30"/>
        <v>0</v>
      </c>
      <c r="M9138" s="59">
        <f t="shared" si="31"/>
        <v>0</v>
      </c>
    </row>
    <row r="9139" ht="15.0" hidden="1" customHeight="1">
      <c r="A9139" s="59">
        <f t="shared" si="20"/>
        <v>149</v>
      </c>
      <c r="B9139" s="59" t="str">
        <f t="shared" si="21"/>
        <v/>
      </c>
      <c r="C9139" s="59" t="str">
        <f t="shared" si="22"/>
        <v/>
      </c>
      <c r="D9139" s="59" t="str">
        <f t="shared" si="23"/>
        <v/>
      </c>
      <c r="E9139" s="59" t="str">
        <f t="shared" si="24"/>
        <v/>
      </c>
      <c r="F9139" s="59" t="str">
        <f t="shared" si="25"/>
        <v/>
      </c>
      <c r="G9139" s="59" t="str">
        <f t="shared" si="26"/>
        <v/>
      </c>
      <c r="H9139" s="59" t="str">
        <f t="shared" si="27"/>
        <v>28C05345</v>
      </c>
      <c r="I9139" s="59" t="str">
        <f>IF(OR($A9139="",$C9139="",$D9139="",$E9139="",$H9139=""),"",SUMIFS(DATA_GOC!$H:$H,DATA_GOC!$A:$A,"BOM",DATA_GOC!$D:$D,$H9139,DATA_GOC!$E:$E,$C9139,DATA_GOC!$F:$F,"Xuất nội bộ từ téc",DATA_GOC!$B:$B,"&gt;="&amp;$D9139,DATA_GOC!$B:$B,"&lt;="&amp;$E9139))</f>
        <v/>
      </c>
      <c r="J9139" s="59">
        <f t="shared" si="28"/>
        <v>0</v>
      </c>
      <c r="K9139" s="59">
        <f t="shared" si="29"/>
        <v>0</v>
      </c>
      <c r="L9139" s="59">
        <f t="shared" si="30"/>
        <v>0</v>
      </c>
      <c r="M9139" s="59">
        <f t="shared" si="31"/>
        <v>0</v>
      </c>
    </row>
    <row r="9140" ht="15.0" hidden="1" customHeight="1">
      <c r="A9140" s="59">
        <f t="shared" si="20"/>
        <v>149</v>
      </c>
      <c r="B9140" s="59" t="str">
        <f t="shared" si="21"/>
        <v/>
      </c>
      <c r="C9140" s="59" t="str">
        <f t="shared" si="22"/>
        <v/>
      </c>
      <c r="D9140" s="59" t="str">
        <f t="shared" si="23"/>
        <v/>
      </c>
      <c r="E9140" s="59" t="str">
        <f t="shared" si="24"/>
        <v/>
      </c>
      <c r="F9140" s="59" t="str">
        <f t="shared" si="25"/>
        <v/>
      </c>
      <c r="G9140" s="59" t="str">
        <f t="shared" si="26"/>
        <v/>
      </c>
      <c r="H9140" s="59" t="str">
        <f t="shared" si="27"/>
        <v>28C05661</v>
      </c>
      <c r="I9140" s="59" t="str">
        <f>IF(OR($A9140="",$C9140="",$D9140="",$E9140="",$H9140=""),"",SUMIFS(DATA_GOC!$H:$H,DATA_GOC!$A:$A,"BOM",DATA_GOC!$D:$D,$H9140,DATA_GOC!$E:$E,$C9140,DATA_GOC!$F:$F,"Xuất nội bộ từ téc",DATA_GOC!$B:$B,"&gt;="&amp;$D9140,DATA_GOC!$B:$B,"&lt;="&amp;$E9140))</f>
        <v/>
      </c>
      <c r="J9140" s="59">
        <f t="shared" si="28"/>
        <v>0</v>
      </c>
      <c r="K9140" s="59">
        <f t="shared" si="29"/>
        <v>0</v>
      </c>
      <c r="L9140" s="59">
        <f t="shared" si="30"/>
        <v>0</v>
      </c>
      <c r="M9140" s="59">
        <f t="shared" si="31"/>
        <v>0</v>
      </c>
    </row>
    <row r="9141" ht="15.0" hidden="1" customHeight="1">
      <c r="A9141" s="59">
        <f t="shared" si="20"/>
        <v>149</v>
      </c>
      <c r="B9141" s="59" t="str">
        <f t="shared" si="21"/>
        <v/>
      </c>
      <c r="C9141" s="59" t="str">
        <f t="shared" si="22"/>
        <v/>
      </c>
      <c r="D9141" s="59" t="str">
        <f t="shared" si="23"/>
        <v/>
      </c>
      <c r="E9141" s="59" t="str">
        <f t="shared" si="24"/>
        <v/>
      </c>
      <c r="F9141" s="59" t="str">
        <f t="shared" si="25"/>
        <v/>
      </c>
      <c r="G9141" s="59" t="str">
        <f t="shared" si="26"/>
        <v/>
      </c>
      <c r="H9141" s="59" t="str">
        <f t="shared" si="27"/>
        <v>28C05739</v>
      </c>
      <c r="I9141" s="59" t="str">
        <f>IF(OR($A9141="",$C9141="",$D9141="",$E9141="",$H9141=""),"",SUMIFS(DATA_GOC!$H:$H,DATA_GOC!$A:$A,"BOM",DATA_GOC!$D:$D,$H9141,DATA_GOC!$E:$E,$C9141,DATA_GOC!$F:$F,"Xuất nội bộ từ téc",DATA_GOC!$B:$B,"&gt;="&amp;$D9141,DATA_GOC!$B:$B,"&lt;="&amp;$E9141))</f>
        <v/>
      </c>
      <c r="J9141" s="59">
        <f t="shared" si="28"/>
        <v>0</v>
      </c>
      <c r="K9141" s="59">
        <f t="shared" si="29"/>
        <v>0</v>
      </c>
      <c r="L9141" s="59">
        <f t="shared" si="30"/>
        <v>0</v>
      </c>
      <c r="M9141" s="59">
        <f t="shared" si="31"/>
        <v>0</v>
      </c>
    </row>
    <row r="9142" ht="15.0" hidden="1" customHeight="1">
      <c r="A9142" s="59">
        <f t="shared" si="20"/>
        <v>149</v>
      </c>
      <c r="B9142" s="59" t="str">
        <f t="shared" si="21"/>
        <v/>
      </c>
      <c r="C9142" s="59" t="str">
        <f t="shared" si="22"/>
        <v/>
      </c>
      <c r="D9142" s="59" t="str">
        <f t="shared" si="23"/>
        <v/>
      </c>
      <c r="E9142" s="59" t="str">
        <f t="shared" si="24"/>
        <v/>
      </c>
      <c r="F9142" s="59" t="str">
        <f t="shared" si="25"/>
        <v/>
      </c>
      <c r="G9142" s="59" t="str">
        <f t="shared" si="26"/>
        <v/>
      </c>
      <c r="H9142" s="59" t="str">
        <f t="shared" si="27"/>
        <v>28C06369</v>
      </c>
      <c r="I9142" s="59" t="str">
        <f>IF(OR($A9142="",$C9142="",$D9142="",$E9142="",$H9142=""),"",SUMIFS(DATA_GOC!$H:$H,DATA_GOC!$A:$A,"BOM",DATA_GOC!$D:$D,$H9142,DATA_GOC!$E:$E,$C9142,DATA_GOC!$F:$F,"Xuất nội bộ từ téc",DATA_GOC!$B:$B,"&gt;="&amp;$D9142,DATA_GOC!$B:$B,"&lt;="&amp;$E9142))</f>
        <v/>
      </c>
      <c r="J9142" s="59">
        <f t="shared" si="28"/>
        <v>0</v>
      </c>
      <c r="K9142" s="59">
        <f t="shared" si="29"/>
        <v>0</v>
      </c>
      <c r="L9142" s="59">
        <f t="shared" si="30"/>
        <v>0</v>
      </c>
      <c r="M9142" s="59">
        <f t="shared" si="31"/>
        <v>0</v>
      </c>
    </row>
    <row r="9143" ht="15.0" hidden="1" customHeight="1">
      <c r="A9143" s="59">
        <f t="shared" si="20"/>
        <v>149</v>
      </c>
      <c r="B9143" s="59" t="str">
        <f t="shared" si="21"/>
        <v/>
      </c>
      <c r="C9143" s="59" t="str">
        <f t="shared" si="22"/>
        <v/>
      </c>
      <c r="D9143" s="59" t="str">
        <f t="shared" si="23"/>
        <v/>
      </c>
      <c r="E9143" s="59" t="str">
        <f t="shared" si="24"/>
        <v/>
      </c>
      <c r="F9143" s="59" t="str">
        <f t="shared" si="25"/>
        <v/>
      </c>
      <c r="G9143" s="59" t="str">
        <f t="shared" si="26"/>
        <v/>
      </c>
      <c r="H9143" s="59" t="str">
        <f t="shared" si="27"/>
        <v>28C06447</v>
      </c>
      <c r="I9143" s="59" t="str">
        <f>IF(OR($A9143="",$C9143="",$D9143="",$E9143="",$H9143=""),"",SUMIFS(DATA_GOC!$H:$H,DATA_GOC!$A:$A,"BOM",DATA_GOC!$D:$D,$H9143,DATA_GOC!$E:$E,$C9143,DATA_GOC!$F:$F,"Xuất nội bộ từ téc",DATA_GOC!$B:$B,"&gt;="&amp;$D9143,DATA_GOC!$B:$B,"&lt;="&amp;$E9143))</f>
        <v/>
      </c>
      <c r="J9143" s="59">
        <f t="shared" si="28"/>
        <v>0</v>
      </c>
      <c r="K9143" s="59">
        <f t="shared" si="29"/>
        <v>0</v>
      </c>
      <c r="L9143" s="59">
        <f t="shared" si="30"/>
        <v>0</v>
      </c>
      <c r="M9143" s="59">
        <f t="shared" si="31"/>
        <v>0</v>
      </c>
    </row>
    <row r="9144" ht="15.0" hidden="1" customHeight="1">
      <c r="A9144" s="59">
        <f t="shared" si="20"/>
        <v>149</v>
      </c>
      <c r="B9144" s="59" t="str">
        <f t="shared" si="21"/>
        <v/>
      </c>
      <c r="C9144" s="59" t="str">
        <f t="shared" si="22"/>
        <v/>
      </c>
      <c r="D9144" s="59" t="str">
        <f t="shared" si="23"/>
        <v/>
      </c>
      <c r="E9144" s="59" t="str">
        <f t="shared" si="24"/>
        <v/>
      </c>
      <c r="F9144" s="59" t="str">
        <f t="shared" si="25"/>
        <v/>
      </c>
      <c r="G9144" s="59" t="str">
        <f t="shared" si="26"/>
        <v/>
      </c>
      <c r="H9144" s="59" t="str">
        <f t="shared" si="27"/>
        <v>28H00003</v>
      </c>
      <c r="I9144" s="59" t="str">
        <f>IF(OR($A9144="",$C9144="",$D9144="",$E9144="",$H9144=""),"",SUMIFS(DATA_GOC!$H:$H,DATA_GOC!$A:$A,"BOM",DATA_GOC!$D:$D,$H9144,DATA_GOC!$E:$E,$C9144,DATA_GOC!$F:$F,"Xuất nội bộ từ téc",DATA_GOC!$B:$B,"&gt;="&amp;$D9144,DATA_GOC!$B:$B,"&lt;="&amp;$E9144))</f>
        <v/>
      </c>
      <c r="J9144" s="59">
        <f t="shared" si="28"/>
        <v>0</v>
      </c>
      <c r="K9144" s="59">
        <f t="shared" si="29"/>
        <v>0</v>
      </c>
      <c r="L9144" s="59">
        <f t="shared" si="30"/>
        <v>0</v>
      </c>
      <c r="M9144" s="59">
        <f t="shared" si="31"/>
        <v>0</v>
      </c>
    </row>
    <row r="9145" ht="15.0" hidden="1" customHeight="1">
      <c r="A9145" s="59">
        <f t="shared" si="20"/>
        <v>149</v>
      </c>
      <c r="B9145" s="59" t="str">
        <f t="shared" si="21"/>
        <v/>
      </c>
      <c r="C9145" s="59" t="str">
        <f t="shared" si="22"/>
        <v/>
      </c>
      <c r="D9145" s="59" t="str">
        <f t="shared" si="23"/>
        <v/>
      </c>
      <c r="E9145" s="59" t="str">
        <f t="shared" si="24"/>
        <v/>
      </c>
      <c r="F9145" s="59" t="str">
        <f t="shared" si="25"/>
        <v/>
      </c>
      <c r="G9145" s="59" t="str">
        <f t="shared" si="26"/>
        <v/>
      </c>
      <c r="H9145" s="59" t="str">
        <f t="shared" si="27"/>
        <v>28H00061</v>
      </c>
      <c r="I9145" s="59" t="str">
        <f>IF(OR($A9145="",$C9145="",$D9145="",$E9145="",$H9145=""),"",SUMIFS(DATA_GOC!$H:$H,DATA_GOC!$A:$A,"BOM",DATA_GOC!$D:$D,$H9145,DATA_GOC!$E:$E,$C9145,DATA_GOC!$F:$F,"Xuất nội bộ từ téc",DATA_GOC!$B:$B,"&gt;="&amp;$D9145,DATA_GOC!$B:$B,"&lt;="&amp;$E9145))</f>
        <v/>
      </c>
      <c r="J9145" s="59">
        <f t="shared" si="28"/>
        <v>0</v>
      </c>
      <c r="K9145" s="59">
        <f t="shared" si="29"/>
        <v>0</v>
      </c>
      <c r="L9145" s="59">
        <f t="shared" si="30"/>
        <v>0</v>
      </c>
      <c r="M9145" s="59">
        <f t="shared" si="31"/>
        <v>0</v>
      </c>
    </row>
    <row r="9146" ht="15.0" hidden="1" customHeight="1">
      <c r="A9146" s="59">
        <f t="shared" si="20"/>
        <v>149</v>
      </c>
      <c r="B9146" s="59" t="str">
        <f t="shared" si="21"/>
        <v/>
      </c>
      <c r="C9146" s="59" t="str">
        <f t="shared" si="22"/>
        <v/>
      </c>
      <c r="D9146" s="59" t="str">
        <f t="shared" si="23"/>
        <v/>
      </c>
      <c r="E9146" s="59" t="str">
        <f t="shared" si="24"/>
        <v/>
      </c>
      <c r="F9146" s="59" t="str">
        <f t="shared" si="25"/>
        <v/>
      </c>
      <c r="G9146" s="59" t="str">
        <f t="shared" si="26"/>
        <v/>
      </c>
      <c r="H9146" s="59" t="str">
        <f t="shared" si="27"/>
        <v>28H00354</v>
      </c>
      <c r="I9146" s="59" t="str">
        <f>IF(OR($A9146="",$C9146="",$D9146="",$E9146="",$H9146=""),"",SUMIFS(DATA_GOC!$H:$H,DATA_GOC!$A:$A,"BOM",DATA_GOC!$D:$D,$H9146,DATA_GOC!$E:$E,$C9146,DATA_GOC!$F:$F,"Xuất nội bộ từ téc",DATA_GOC!$B:$B,"&gt;="&amp;$D9146,DATA_GOC!$B:$B,"&lt;="&amp;$E9146))</f>
        <v/>
      </c>
      <c r="J9146" s="59">
        <f t="shared" si="28"/>
        <v>0</v>
      </c>
      <c r="K9146" s="59">
        <f t="shared" si="29"/>
        <v>0</v>
      </c>
      <c r="L9146" s="59">
        <f t="shared" si="30"/>
        <v>0</v>
      </c>
      <c r="M9146" s="59">
        <f t="shared" si="31"/>
        <v>0</v>
      </c>
    </row>
    <row r="9147" ht="15.0" hidden="1" customHeight="1">
      <c r="A9147" s="59">
        <f t="shared" si="20"/>
        <v>149</v>
      </c>
      <c r="B9147" s="59" t="str">
        <f t="shared" si="21"/>
        <v/>
      </c>
      <c r="C9147" s="59" t="str">
        <f t="shared" si="22"/>
        <v/>
      </c>
      <c r="D9147" s="59" t="str">
        <f t="shared" si="23"/>
        <v/>
      </c>
      <c r="E9147" s="59" t="str">
        <f t="shared" si="24"/>
        <v/>
      </c>
      <c r="F9147" s="59" t="str">
        <f t="shared" si="25"/>
        <v/>
      </c>
      <c r="G9147" s="59" t="str">
        <f t="shared" si="26"/>
        <v/>
      </c>
      <c r="H9147" s="59" t="str">
        <f t="shared" si="27"/>
        <v>28H00603</v>
      </c>
      <c r="I9147" s="59" t="str">
        <f>IF(OR($A9147="",$C9147="",$D9147="",$E9147="",$H9147=""),"",SUMIFS(DATA_GOC!$H:$H,DATA_GOC!$A:$A,"BOM",DATA_GOC!$D:$D,$H9147,DATA_GOC!$E:$E,$C9147,DATA_GOC!$F:$F,"Xuất nội bộ từ téc",DATA_GOC!$B:$B,"&gt;="&amp;$D9147,DATA_GOC!$B:$B,"&lt;="&amp;$E9147))</f>
        <v/>
      </c>
      <c r="J9147" s="59">
        <f t="shared" si="28"/>
        <v>0</v>
      </c>
      <c r="K9147" s="59">
        <f t="shared" si="29"/>
        <v>0</v>
      </c>
      <c r="L9147" s="59">
        <f t="shared" si="30"/>
        <v>0</v>
      </c>
      <c r="M9147" s="59">
        <f t="shared" si="31"/>
        <v>0</v>
      </c>
    </row>
    <row r="9148" ht="15.0" hidden="1" customHeight="1">
      <c r="A9148" s="59">
        <f t="shared" si="20"/>
        <v>149</v>
      </c>
      <c r="B9148" s="59" t="str">
        <f t="shared" si="21"/>
        <v/>
      </c>
      <c r="C9148" s="59" t="str">
        <f t="shared" si="22"/>
        <v/>
      </c>
      <c r="D9148" s="59" t="str">
        <f t="shared" si="23"/>
        <v/>
      </c>
      <c r="E9148" s="59" t="str">
        <f t="shared" si="24"/>
        <v/>
      </c>
      <c r="F9148" s="59" t="str">
        <f t="shared" si="25"/>
        <v/>
      </c>
      <c r="G9148" s="59" t="str">
        <f t="shared" si="26"/>
        <v/>
      </c>
      <c r="H9148" s="59" t="str">
        <f t="shared" si="27"/>
        <v>28H00609</v>
      </c>
      <c r="I9148" s="59" t="str">
        <f>IF(OR($A9148="",$C9148="",$D9148="",$E9148="",$H9148=""),"",SUMIFS(DATA_GOC!$H:$H,DATA_GOC!$A:$A,"BOM",DATA_GOC!$D:$D,$H9148,DATA_GOC!$E:$E,$C9148,DATA_GOC!$F:$F,"Xuất nội bộ từ téc",DATA_GOC!$B:$B,"&gt;="&amp;$D9148,DATA_GOC!$B:$B,"&lt;="&amp;$E9148))</f>
        <v/>
      </c>
      <c r="J9148" s="59">
        <f t="shared" si="28"/>
        <v>0</v>
      </c>
      <c r="K9148" s="59">
        <f t="shared" si="29"/>
        <v>0</v>
      </c>
      <c r="L9148" s="59">
        <f t="shared" si="30"/>
        <v>0</v>
      </c>
      <c r="M9148" s="59">
        <f t="shared" si="31"/>
        <v>0</v>
      </c>
    </row>
    <row r="9149" ht="15.0" hidden="1" customHeight="1">
      <c r="A9149" s="59">
        <f t="shared" si="20"/>
        <v>149</v>
      </c>
      <c r="B9149" s="59" t="str">
        <f t="shared" si="21"/>
        <v/>
      </c>
      <c r="C9149" s="59" t="str">
        <f t="shared" si="22"/>
        <v/>
      </c>
      <c r="D9149" s="59" t="str">
        <f t="shared" si="23"/>
        <v/>
      </c>
      <c r="E9149" s="59" t="str">
        <f t="shared" si="24"/>
        <v/>
      </c>
      <c r="F9149" s="59" t="str">
        <f t="shared" si="25"/>
        <v/>
      </c>
      <c r="G9149" s="59" t="str">
        <f t="shared" si="26"/>
        <v/>
      </c>
      <c r="H9149" s="59" t="str">
        <f t="shared" si="27"/>
        <v>28H00669</v>
      </c>
      <c r="I9149" s="59" t="str">
        <f>IF(OR($A9149="",$C9149="",$D9149="",$E9149="",$H9149=""),"",SUMIFS(DATA_GOC!$H:$H,DATA_GOC!$A:$A,"BOM",DATA_GOC!$D:$D,$H9149,DATA_GOC!$E:$E,$C9149,DATA_GOC!$F:$F,"Xuất nội bộ từ téc",DATA_GOC!$B:$B,"&gt;="&amp;$D9149,DATA_GOC!$B:$B,"&lt;="&amp;$E9149))</f>
        <v/>
      </c>
      <c r="J9149" s="59">
        <f t="shared" si="28"/>
        <v>0</v>
      </c>
      <c r="K9149" s="59">
        <f t="shared" si="29"/>
        <v>0</v>
      </c>
      <c r="L9149" s="59">
        <f t="shared" si="30"/>
        <v>0</v>
      </c>
      <c r="M9149" s="59">
        <f t="shared" si="31"/>
        <v>0</v>
      </c>
    </row>
    <row r="9150" ht="15.0" hidden="1" customHeight="1">
      <c r="A9150" s="59">
        <f t="shared" si="20"/>
        <v>149</v>
      </c>
      <c r="B9150" s="59" t="str">
        <f t="shared" si="21"/>
        <v/>
      </c>
      <c r="C9150" s="59" t="str">
        <f t="shared" si="22"/>
        <v/>
      </c>
      <c r="D9150" s="59" t="str">
        <f t="shared" si="23"/>
        <v/>
      </c>
      <c r="E9150" s="59" t="str">
        <f t="shared" si="24"/>
        <v/>
      </c>
      <c r="F9150" s="59" t="str">
        <f t="shared" si="25"/>
        <v/>
      </c>
      <c r="G9150" s="59" t="str">
        <f t="shared" si="26"/>
        <v/>
      </c>
      <c r="H9150" s="59" t="str">
        <f t="shared" si="27"/>
        <v>28H00680</v>
      </c>
      <c r="I9150" s="59" t="str">
        <f>IF(OR($A9150="",$C9150="",$D9150="",$E9150="",$H9150=""),"",SUMIFS(DATA_GOC!$H:$H,DATA_GOC!$A:$A,"BOM",DATA_GOC!$D:$D,$H9150,DATA_GOC!$E:$E,$C9150,DATA_GOC!$F:$F,"Xuất nội bộ từ téc",DATA_GOC!$B:$B,"&gt;="&amp;$D9150,DATA_GOC!$B:$B,"&lt;="&amp;$E9150))</f>
        <v/>
      </c>
      <c r="J9150" s="59">
        <f t="shared" si="28"/>
        <v>0</v>
      </c>
      <c r="K9150" s="59">
        <f t="shared" si="29"/>
        <v>0</v>
      </c>
      <c r="L9150" s="59">
        <f t="shared" si="30"/>
        <v>0</v>
      </c>
      <c r="M9150" s="59">
        <f t="shared" si="31"/>
        <v>0</v>
      </c>
    </row>
    <row r="9151" ht="15.0" hidden="1" customHeight="1">
      <c r="A9151" s="59">
        <f t="shared" si="20"/>
        <v>149</v>
      </c>
      <c r="B9151" s="59" t="str">
        <f t="shared" si="21"/>
        <v/>
      </c>
      <c r="C9151" s="59" t="str">
        <f t="shared" si="22"/>
        <v/>
      </c>
      <c r="D9151" s="59" t="str">
        <f t="shared" si="23"/>
        <v/>
      </c>
      <c r="E9151" s="59" t="str">
        <f t="shared" si="24"/>
        <v/>
      </c>
      <c r="F9151" s="59" t="str">
        <f t="shared" si="25"/>
        <v/>
      </c>
      <c r="G9151" s="59" t="str">
        <f t="shared" si="26"/>
        <v/>
      </c>
      <c r="H9151" s="59" t="str">
        <f t="shared" si="27"/>
        <v>28H01070</v>
      </c>
      <c r="I9151" s="59" t="str">
        <f>IF(OR($A9151="",$C9151="",$D9151="",$E9151="",$H9151=""),"",SUMIFS(DATA_GOC!$H:$H,DATA_GOC!$A:$A,"BOM",DATA_GOC!$D:$D,$H9151,DATA_GOC!$E:$E,$C9151,DATA_GOC!$F:$F,"Xuất nội bộ từ téc",DATA_GOC!$B:$B,"&gt;="&amp;$D9151,DATA_GOC!$B:$B,"&lt;="&amp;$E9151))</f>
        <v/>
      </c>
      <c r="J9151" s="59">
        <f t="shared" si="28"/>
        <v>0</v>
      </c>
      <c r="K9151" s="59">
        <f t="shared" si="29"/>
        <v>0</v>
      </c>
      <c r="L9151" s="59">
        <f t="shared" si="30"/>
        <v>0</v>
      </c>
      <c r="M9151" s="59">
        <f t="shared" si="31"/>
        <v>0</v>
      </c>
    </row>
    <row r="9152" ht="15.0" hidden="1" customHeight="1">
      <c r="A9152" s="59">
        <f t="shared" si="20"/>
        <v>149</v>
      </c>
      <c r="B9152" s="59" t="str">
        <f t="shared" si="21"/>
        <v/>
      </c>
      <c r="C9152" s="59" t="str">
        <f t="shared" si="22"/>
        <v/>
      </c>
      <c r="D9152" s="59" t="str">
        <f t="shared" si="23"/>
        <v/>
      </c>
      <c r="E9152" s="59" t="str">
        <f t="shared" si="24"/>
        <v/>
      </c>
      <c r="F9152" s="59" t="str">
        <f t="shared" si="25"/>
        <v/>
      </c>
      <c r="G9152" s="59" t="str">
        <f t="shared" si="26"/>
        <v/>
      </c>
      <c r="H9152" s="59" t="str">
        <f t="shared" si="27"/>
        <v>28H01364</v>
      </c>
      <c r="I9152" s="59" t="str">
        <f>IF(OR($A9152="",$C9152="",$D9152="",$E9152="",$H9152=""),"",SUMIFS(DATA_GOC!$H:$H,DATA_GOC!$A:$A,"BOM",DATA_GOC!$D:$D,$H9152,DATA_GOC!$E:$E,$C9152,DATA_GOC!$F:$F,"Xuất nội bộ từ téc",DATA_GOC!$B:$B,"&gt;="&amp;$D9152,DATA_GOC!$B:$B,"&lt;="&amp;$E9152))</f>
        <v/>
      </c>
      <c r="J9152" s="59">
        <f t="shared" si="28"/>
        <v>0</v>
      </c>
      <c r="K9152" s="59">
        <f t="shared" si="29"/>
        <v>0</v>
      </c>
      <c r="L9152" s="59">
        <f t="shared" si="30"/>
        <v>0</v>
      </c>
      <c r="M9152" s="59">
        <f t="shared" si="31"/>
        <v>0</v>
      </c>
    </row>
    <row r="9153" ht="15.0" hidden="1" customHeight="1">
      <c r="A9153" s="59">
        <f t="shared" si="20"/>
        <v>149</v>
      </c>
      <c r="B9153" s="59" t="str">
        <f t="shared" si="21"/>
        <v/>
      </c>
      <c r="C9153" s="59" t="str">
        <f t="shared" si="22"/>
        <v/>
      </c>
      <c r="D9153" s="59" t="str">
        <f t="shared" si="23"/>
        <v/>
      </c>
      <c r="E9153" s="59" t="str">
        <f t="shared" si="24"/>
        <v/>
      </c>
      <c r="F9153" s="59" t="str">
        <f t="shared" si="25"/>
        <v/>
      </c>
      <c r="G9153" s="59" t="str">
        <f t="shared" si="26"/>
        <v/>
      </c>
      <c r="H9153" s="59" t="str">
        <f t="shared" si="27"/>
        <v>29E17269</v>
      </c>
      <c r="I9153" s="59" t="str">
        <f>IF(OR($A9153="",$C9153="",$D9153="",$E9153="",$H9153=""),"",SUMIFS(DATA_GOC!$H:$H,DATA_GOC!$A:$A,"BOM",DATA_GOC!$D:$D,$H9153,DATA_GOC!$E:$E,$C9153,DATA_GOC!$F:$F,"Xuất nội bộ từ téc",DATA_GOC!$B:$B,"&gt;="&amp;$D9153,DATA_GOC!$B:$B,"&lt;="&amp;$E9153))</f>
        <v/>
      </c>
      <c r="J9153" s="59">
        <f t="shared" si="28"/>
        <v>0</v>
      </c>
      <c r="K9153" s="59">
        <f t="shared" si="29"/>
        <v>0</v>
      </c>
      <c r="L9153" s="59">
        <f t="shared" si="30"/>
        <v>0</v>
      </c>
      <c r="M9153" s="59">
        <f t="shared" si="31"/>
        <v>0</v>
      </c>
    </row>
    <row r="9154" ht="15.0" hidden="1" customHeight="1">
      <c r="A9154" s="59">
        <f t="shared" si="20"/>
        <v>149</v>
      </c>
      <c r="B9154" s="59" t="str">
        <f t="shared" si="21"/>
        <v/>
      </c>
      <c r="C9154" s="59" t="str">
        <f t="shared" si="22"/>
        <v/>
      </c>
      <c r="D9154" s="59" t="str">
        <f t="shared" si="23"/>
        <v/>
      </c>
      <c r="E9154" s="59" t="str">
        <f t="shared" si="24"/>
        <v/>
      </c>
      <c r="F9154" s="59" t="str">
        <f t="shared" si="25"/>
        <v/>
      </c>
      <c r="G9154" s="59" t="str">
        <f t="shared" si="26"/>
        <v/>
      </c>
      <c r="H9154" s="59" t="str">
        <f t="shared" si="27"/>
        <v>29E17273</v>
      </c>
      <c r="I9154" s="59" t="str">
        <f>IF(OR($A9154="",$C9154="",$D9154="",$E9154="",$H9154=""),"",SUMIFS(DATA_GOC!$H:$H,DATA_GOC!$A:$A,"BOM",DATA_GOC!$D:$D,$H9154,DATA_GOC!$E:$E,$C9154,DATA_GOC!$F:$F,"Xuất nội bộ từ téc",DATA_GOC!$B:$B,"&gt;="&amp;$D9154,DATA_GOC!$B:$B,"&lt;="&amp;$E9154))</f>
        <v/>
      </c>
      <c r="J9154" s="59">
        <f t="shared" si="28"/>
        <v>0</v>
      </c>
      <c r="K9154" s="59">
        <f t="shared" si="29"/>
        <v>0</v>
      </c>
      <c r="L9154" s="59">
        <f t="shared" si="30"/>
        <v>0</v>
      </c>
      <c r="M9154" s="59">
        <f t="shared" si="31"/>
        <v>0</v>
      </c>
    </row>
    <row r="9155" ht="15.0" hidden="1" customHeight="1">
      <c r="A9155" s="59">
        <f t="shared" si="20"/>
        <v>149</v>
      </c>
      <c r="B9155" s="59" t="str">
        <f t="shared" si="21"/>
        <v/>
      </c>
      <c r="C9155" s="59" t="str">
        <f t="shared" si="22"/>
        <v/>
      </c>
      <c r="D9155" s="59" t="str">
        <f t="shared" si="23"/>
        <v/>
      </c>
      <c r="E9155" s="59" t="str">
        <f t="shared" si="24"/>
        <v/>
      </c>
      <c r="F9155" s="59" t="str">
        <f t="shared" si="25"/>
        <v/>
      </c>
      <c r="G9155" s="59" t="str">
        <f t="shared" si="26"/>
        <v/>
      </c>
      <c r="H9155" s="59" t="str">
        <f t="shared" si="27"/>
        <v>29E17410</v>
      </c>
      <c r="I9155" s="59" t="str">
        <f>IF(OR($A9155="",$C9155="",$D9155="",$E9155="",$H9155=""),"",SUMIFS(DATA_GOC!$H:$H,DATA_GOC!$A:$A,"BOM",DATA_GOC!$D:$D,$H9155,DATA_GOC!$E:$E,$C9155,DATA_GOC!$F:$F,"Xuất nội bộ từ téc",DATA_GOC!$B:$B,"&gt;="&amp;$D9155,DATA_GOC!$B:$B,"&lt;="&amp;$E9155))</f>
        <v/>
      </c>
      <c r="J9155" s="59">
        <f t="shared" si="28"/>
        <v>0</v>
      </c>
      <c r="K9155" s="59">
        <f t="shared" si="29"/>
        <v>0</v>
      </c>
      <c r="L9155" s="59">
        <f t="shared" si="30"/>
        <v>0</v>
      </c>
      <c r="M9155" s="59">
        <f t="shared" si="31"/>
        <v>0</v>
      </c>
    </row>
    <row r="9156" ht="15.0" hidden="1" customHeight="1">
      <c r="A9156" s="59">
        <f t="shared" si="20"/>
        <v>149</v>
      </c>
      <c r="B9156" s="59" t="str">
        <f t="shared" si="21"/>
        <v/>
      </c>
      <c r="C9156" s="59" t="str">
        <f t="shared" si="22"/>
        <v/>
      </c>
      <c r="D9156" s="59" t="str">
        <f t="shared" si="23"/>
        <v/>
      </c>
      <c r="E9156" s="59" t="str">
        <f t="shared" si="24"/>
        <v/>
      </c>
      <c r="F9156" s="59" t="str">
        <f t="shared" si="25"/>
        <v/>
      </c>
      <c r="G9156" s="59" t="str">
        <f t="shared" si="26"/>
        <v/>
      </c>
      <c r="H9156" s="59" t="str">
        <f t="shared" si="27"/>
        <v>29E17417</v>
      </c>
      <c r="I9156" s="59" t="str">
        <f>IF(OR($A9156="",$C9156="",$D9156="",$E9156="",$H9156=""),"",SUMIFS(DATA_GOC!$H:$H,DATA_GOC!$A:$A,"BOM",DATA_GOC!$D:$D,$H9156,DATA_GOC!$E:$E,$C9156,DATA_GOC!$F:$F,"Xuất nội bộ từ téc",DATA_GOC!$B:$B,"&gt;="&amp;$D9156,DATA_GOC!$B:$B,"&lt;="&amp;$E9156))</f>
        <v/>
      </c>
      <c r="J9156" s="59">
        <f t="shared" si="28"/>
        <v>0</v>
      </c>
      <c r="K9156" s="59">
        <f t="shared" si="29"/>
        <v>0</v>
      </c>
      <c r="L9156" s="59">
        <f t="shared" si="30"/>
        <v>0</v>
      </c>
      <c r="M9156" s="59">
        <f t="shared" si="31"/>
        <v>0</v>
      </c>
    </row>
    <row r="9157" ht="15.0" hidden="1" customHeight="1">
      <c r="A9157" s="59">
        <f t="shared" si="20"/>
        <v>149</v>
      </c>
      <c r="B9157" s="59" t="str">
        <f t="shared" si="21"/>
        <v/>
      </c>
      <c r="C9157" s="59" t="str">
        <f t="shared" si="22"/>
        <v/>
      </c>
      <c r="D9157" s="59" t="str">
        <f t="shared" si="23"/>
        <v/>
      </c>
      <c r="E9157" s="59" t="str">
        <f t="shared" si="24"/>
        <v/>
      </c>
      <c r="F9157" s="59" t="str">
        <f t="shared" si="25"/>
        <v/>
      </c>
      <c r="G9157" s="59" t="str">
        <f t="shared" si="26"/>
        <v/>
      </c>
      <c r="H9157" s="59" t="str">
        <f t="shared" si="27"/>
        <v>29E17539</v>
      </c>
      <c r="I9157" s="59" t="str">
        <f>IF(OR($A9157="",$C9157="",$D9157="",$E9157="",$H9157=""),"",SUMIFS(DATA_GOC!$H:$H,DATA_GOC!$A:$A,"BOM",DATA_GOC!$D:$D,$H9157,DATA_GOC!$E:$E,$C9157,DATA_GOC!$F:$F,"Xuất nội bộ từ téc",DATA_GOC!$B:$B,"&gt;="&amp;$D9157,DATA_GOC!$B:$B,"&lt;="&amp;$E9157))</f>
        <v/>
      </c>
      <c r="J9157" s="59">
        <f t="shared" si="28"/>
        <v>0</v>
      </c>
      <c r="K9157" s="59">
        <f t="shared" si="29"/>
        <v>0</v>
      </c>
      <c r="L9157" s="59">
        <f t="shared" si="30"/>
        <v>0</v>
      </c>
      <c r="M9157" s="59">
        <f t="shared" si="31"/>
        <v>0</v>
      </c>
    </row>
    <row r="9158" ht="15.0" hidden="1" customHeight="1">
      <c r="A9158" s="59">
        <f t="shared" si="20"/>
        <v>149</v>
      </c>
      <c r="B9158" s="59" t="str">
        <f t="shared" si="21"/>
        <v/>
      </c>
      <c r="C9158" s="59" t="str">
        <f t="shared" si="22"/>
        <v/>
      </c>
      <c r="D9158" s="59" t="str">
        <f t="shared" si="23"/>
        <v/>
      </c>
      <c r="E9158" s="59" t="str">
        <f t="shared" si="24"/>
        <v/>
      </c>
      <c r="F9158" s="59" t="str">
        <f t="shared" si="25"/>
        <v/>
      </c>
      <c r="G9158" s="59" t="str">
        <f t="shared" si="26"/>
        <v/>
      </c>
      <c r="H9158" s="59" t="str">
        <f t="shared" si="27"/>
        <v>29E18160</v>
      </c>
      <c r="I9158" s="59" t="str">
        <f>IF(OR($A9158="",$C9158="",$D9158="",$E9158="",$H9158=""),"",SUMIFS(DATA_GOC!$H:$H,DATA_GOC!$A:$A,"BOM",DATA_GOC!$D:$D,$H9158,DATA_GOC!$E:$E,$C9158,DATA_GOC!$F:$F,"Xuất nội bộ từ téc",DATA_GOC!$B:$B,"&gt;="&amp;$D9158,DATA_GOC!$B:$B,"&lt;="&amp;$E9158))</f>
        <v/>
      </c>
      <c r="J9158" s="59">
        <f t="shared" si="28"/>
        <v>0</v>
      </c>
      <c r="K9158" s="59">
        <f t="shared" si="29"/>
        <v>0</v>
      </c>
      <c r="L9158" s="59">
        <f t="shared" si="30"/>
        <v>0</v>
      </c>
      <c r="M9158" s="59">
        <f t="shared" si="31"/>
        <v>0</v>
      </c>
    </row>
    <row r="9159" ht="15.0" hidden="1" customHeight="1">
      <c r="A9159" s="59">
        <f t="shared" si="20"/>
        <v>149</v>
      </c>
      <c r="B9159" s="59" t="str">
        <f t="shared" si="21"/>
        <v/>
      </c>
      <c r="C9159" s="59" t="str">
        <f t="shared" si="22"/>
        <v/>
      </c>
      <c r="D9159" s="59" t="str">
        <f t="shared" si="23"/>
        <v/>
      </c>
      <c r="E9159" s="59" t="str">
        <f t="shared" si="24"/>
        <v/>
      </c>
      <c r="F9159" s="59" t="str">
        <f t="shared" si="25"/>
        <v/>
      </c>
      <c r="G9159" s="59" t="str">
        <f t="shared" si="26"/>
        <v/>
      </c>
      <c r="H9159" s="59" t="str">
        <f t="shared" si="27"/>
        <v>Công trình Asphalt</v>
      </c>
      <c r="I9159" s="59" t="str">
        <f>IF(OR($A9159="",$C9159="",$D9159="",$E9159="",$H9159=""),"",SUMIFS(DATA_GOC!$H:$H,DATA_GOC!$A:$A,"BOM",DATA_GOC!$D:$D,$H9159,DATA_GOC!$E:$E,$C9159,DATA_GOC!$F:$F,"Xuất nội bộ từ téc",DATA_GOC!$B:$B,"&gt;="&amp;$D9159,DATA_GOC!$B:$B,"&lt;="&amp;$E9159))</f>
        <v/>
      </c>
      <c r="J9159" s="59">
        <f t="shared" si="28"/>
        <v>0</v>
      </c>
      <c r="K9159" s="59">
        <f t="shared" si="29"/>
        <v>0</v>
      </c>
      <c r="L9159" s="59">
        <f t="shared" si="30"/>
        <v>0</v>
      </c>
      <c r="M9159" s="59">
        <f t="shared" si="31"/>
        <v>0</v>
      </c>
    </row>
    <row r="9160" ht="15.0" hidden="1" customHeight="1">
      <c r="A9160" s="59">
        <f t="shared" si="20"/>
        <v>149</v>
      </c>
      <c r="B9160" s="59" t="str">
        <f t="shared" si="21"/>
        <v/>
      </c>
      <c r="C9160" s="59" t="str">
        <f t="shared" si="22"/>
        <v/>
      </c>
      <c r="D9160" s="59" t="str">
        <f t="shared" si="23"/>
        <v/>
      </c>
      <c r="E9160" s="59" t="str">
        <f t="shared" si="24"/>
        <v/>
      </c>
      <c r="F9160" s="59" t="str">
        <f t="shared" si="25"/>
        <v/>
      </c>
      <c r="G9160" s="59" t="str">
        <f t="shared" si="26"/>
        <v/>
      </c>
      <c r="H9160" s="59" t="str">
        <f t="shared" si="27"/>
        <v>LG53F</v>
      </c>
      <c r="I9160" s="59" t="str">
        <f>IF(OR($A9160="",$C9160="",$D9160="",$E9160="",$H9160=""),"",SUMIFS(DATA_GOC!$H:$H,DATA_GOC!$A:$A,"BOM",DATA_GOC!$D:$D,$H9160,DATA_GOC!$E:$E,$C9160,DATA_GOC!$F:$F,"Xuất nội bộ từ téc",DATA_GOC!$B:$B,"&gt;="&amp;$D9160,DATA_GOC!$B:$B,"&lt;="&amp;$E9160))</f>
        <v/>
      </c>
      <c r="J9160" s="59">
        <f t="shared" si="28"/>
        <v>0</v>
      </c>
      <c r="K9160" s="59">
        <f t="shared" si="29"/>
        <v>0</v>
      </c>
      <c r="L9160" s="59">
        <f t="shared" si="30"/>
        <v>0</v>
      </c>
      <c r="M9160" s="59">
        <f t="shared" si="31"/>
        <v>0</v>
      </c>
    </row>
    <row r="9161" ht="15.0" hidden="1" customHeight="1">
      <c r="A9161" s="59">
        <f t="shared" si="20"/>
        <v>149</v>
      </c>
      <c r="B9161" s="59" t="str">
        <f t="shared" si="21"/>
        <v/>
      </c>
      <c r="C9161" s="59" t="str">
        <f t="shared" si="22"/>
        <v/>
      </c>
      <c r="D9161" s="59" t="str">
        <f t="shared" si="23"/>
        <v/>
      </c>
      <c r="E9161" s="59" t="str">
        <f t="shared" si="24"/>
        <v/>
      </c>
      <c r="F9161" s="59" t="str">
        <f t="shared" si="25"/>
        <v/>
      </c>
      <c r="G9161" s="59" t="str">
        <f t="shared" si="26"/>
        <v/>
      </c>
      <c r="H9161" s="59" t="str">
        <f t="shared" si="27"/>
        <v>Máy phát điện</v>
      </c>
      <c r="I9161" s="59" t="str">
        <f>IF(OR($A9161="",$C9161="",$D9161="",$E9161="",$H9161=""),"",SUMIFS(DATA_GOC!$H:$H,DATA_GOC!$A:$A,"BOM",DATA_GOC!$D:$D,$H9161,DATA_GOC!$E:$E,$C9161,DATA_GOC!$F:$F,"Xuất nội bộ từ téc",DATA_GOC!$B:$B,"&gt;="&amp;$D9161,DATA_GOC!$B:$B,"&lt;="&amp;$E9161))</f>
        <v/>
      </c>
      <c r="J9161" s="59">
        <f t="shared" si="28"/>
        <v>0</v>
      </c>
      <c r="K9161" s="59">
        <f t="shared" si="29"/>
        <v>0</v>
      </c>
      <c r="L9161" s="59">
        <f t="shared" si="30"/>
        <v>0</v>
      </c>
      <c r="M9161" s="59">
        <f t="shared" si="31"/>
        <v>0</v>
      </c>
    </row>
    <row r="9162" ht="15.0" hidden="1" customHeight="1">
      <c r="A9162" s="59">
        <f t="shared" si="20"/>
        <v>149</v>
      </c>
      <c r="B9162" s="59" t="str">
        <f t="shared" si="21"/>
        <v/>
      </c>
      <c r="C9162" s="59" t="str">
        <f t="shared" si="22"/>
        <v/>
      </c>
      <c r="D9162" s="59" t="str">
        <f t="shared" si="23"/>
        <v/>
      </c>
      <c r="E9162" s="59" t="str">
        <f t="shared" si="24"/>
        <v/>
      </c>
      <c r="F9162" s="59" t="str">
        <f t="shared" si="25"/>
        <v/>
      </c>
      <c r="G9162" s="59" t="str">
        <f t="shared" si="26"/>
        <v/>
      </c>
      <c r="H9162" s="59" t="str">
        <f t="shared" si="27"/>
        <v>Máy rải thảm</v>
      </c>
      <c r="I9162" s="59" t="str">
        <f>IF(OR($A9162="",$C9162="",$D9162="",$E9162="",$H9162=""),"",SUMIFS(DATA_GOC!$H:$H,DATA_GOC!$A:$A,"BOM",DATA_GOC!$D:$D,$H9162,DATA_GOC!$E:$E,$C9162,DATA_GOC!$F:$F,"Xuất nội bộ từ téc",DATA_GOC!$B:$B,"&gt;="&amp;$D9162,DATA_GOC!$B:$B,"&lt;="&amp;$E9162))</f>
        <v/>
      </c>
      <c r="J9162" s="59">
        <f t="shared" si="28"/>
        <v>0</v>
      </c>
      <c r="K9162" s="59">
        <f t="shared" si="29"/>
        <v>0</v>
      </c>
      <c r="L9162" s="59">
        <f t="shared" si="30"/>
        <v>0</v>
      </c>
      <c r="M9162" s="59">
        <f t="shared" si="31"/>
        <v>0</v>
      </c>
    </row>
    <row r="9163" ht="15.0" hidden="1" customHeight="1">
      <c r="A9163" s="59">
        <f t="shared" si="20"/>
        <v>149</v>
      </c>
      <c r="B9163" s="59" t="str">
        <f t="shared" si="21"/>
        <v/>
      </c>
      <c r="C9163" s="59" t="str">
        <f t="shared" si="22"/>
        <v/>
      </c>
      <c r="D9163" s="59" t="str">
        <f t="shared" si="23"/>
        <v/>
      </c>
      <c r="E9163" s="59" t="str">
        <f t="shared" si="24"/>
        <v/>
      </c>
      <c r="F9163" s="59" t="str">
        <f t="shared" si="25"/>
        <v/>
      </c>
      <c r="G9163" s="59" t="str">
        <f t="shared" si="26"/>
        <v/>
      </c>
      <c r="H9163" s="59" t="str">
        <f t="shared" si="27"/>
        <v>Xúc Đào</v>
      </c>
      <c r="I9163" s="59" t="str">
        <f>IF(OR($A9163="",$C9163="",$D9163="",$E9163="",$H9163=""),"",SUMIFS(DATA_GOC!$H:$H,DATA_GOC!$A:$A,"BOM",DATA_GOC!$D:$D,$H9163,DATA_GOC!$E:$E,$C9163,DATA_GOC!$F:$F,"Xuất nội bộ từ téc",DATA_GOC!$B:$B,"&gt;="&amp;$D9163,DATA_GOC!$B:$B,"&lt;="&amp;$E9163))</f>
        <v/>
      </c>
      <c r="J9163" s="59">
        <f t="shared" si="28"/>
        <v>0</v>
      </c>
      <c r="K9163" s="59">
        <f t="shared" si="29"/>
        <v>0</v>
      </c>
      <c r="L9163" s="59">
        <f t="shared" si="30"/>
        <v>0</v>
      </c>
      <c r="M9163" s="59">
        <f t="shared" si="31"/>
        <v>0</v>
      </c>
    </row>
    <row r="9164" ht="15.0" hidden="1" customHeight="1">
      <c r="A9164" s="59">
        <f t="shared" si="20"/>
        <v>149</v>
      </c>
      <c r="B9164" s="59" t="str">
        <f t="shared" si="21"/>
        <v/>
      </c>
      <c r="C9164" s="59" t="str">
        <f t="shared" si="22"/>
        <v/>
      </c>
      <c r="D9164" s="59" t="str">
        <f t="shared" si="23"/>
        <v/>
      </c>
      <c r="E9164" s="59" t="str">
        <f t="shared" si="24"/>
        <v/>
      </c>
      <c r="F9164" s="59" t="str">
        <f t="shared" si="25"/>
        <v/>
      </c>
      <c r="G9164" s="59" t="str">
        <f t="shared" si="26"/>
        <v/>
      </c>
      <c r="H9164" s="59" t="str">
        <f t="shared" si="27"/>
        <v>Xúclật asphalt</v>
      </c>
      <c r="I9164" s="59" t="str">
        <f>IF(OR($A9164="",$C9164="",$D9164="",$E9164="",$H9164=""),"",SUMIFS(DATA_GOC!$H:$H,DATA_GOC!$A:$A,"BOM",DATA_GOC!$D:$D,$H9164,DATA_GOC!$E:$E,$C9164,DATA_GOC!$F:$F,"Xuất nội bộ từ téc",DATA_GOC!$B:$B,"&gt;="&amp;$D9164,DATA_GOC!$B:$B,"&lt;="&amp;$E9164))</f>
        <v/>
      </c>
      <c r="J9164" s="59">
        <f t="shared" si="28"/>
        <v>0</v>
      </c>
      <c r="K9164" s="59">
        <f t="shared" si="29"/>
        <v>0</v>
      </c>
      <c r="L9164" s="59">
        <f t="shared" si="30"/>
        <v>0</v>
      </c>
      <c r="M9164" s="59">
        <f t="shared" si="31"/>
        <v>0</v>
      </c>
    </row>
    <row r="9165" ht="15.0" hidden="1" customHeight="1">
      <c r="A9165" s="59">
        <f t="shared" si="20"/>
        <v>149</v>
      </c>
      <c r="B9165" s="59" t="str">
        <f t="shared" si="21"/>
        <v/>
      </c>
      <c r="C9165" s="59" t="str">
        <f t="shared" si="22"/>
        <v/>
      </c>
      <c r="D9165" s="59" t="str">
        <f t="shared" si="23"/>
        <v/>
      </c>
      <c r="E9165" s="59" t="str">
        <f t="shared" si="24"/>
        <v/>
      </c>
      <c r="F9165" s="59" t="str">
        <f t="shared" si="25"/>
        <v/>
      </c>
      <c r="G9165" s="59" t="str">
        <f t="shared" si="26"/>
        <v/>
      </c>
      <c r="H9165" s="59" t="str">
        <f t="shared" si="27"/>
        <v>Xúclật855H</v>
      </c>
      <c r="I9165" s="59" t="str">
        <f>IF(OR($A9165="",$C9165="",$D9165="",$E9165="",$H9165=""),"",SUMIFS(DATA_GOC!$H:$H,DATA_GOC!$A:$A,"BOM",DATA_GOC!$D:$D,$H9165,DATA_GOC!$E:$E,$C9165,DATA_GOC!$F:$F,"Xuất nội bộ từ téc",DATA_GOC!$B:$B,"&gt;="&amp;$D9165,DATA_GOC!$B:$B,"&lt;="&amp;$E9165))</f>
        <v/>
      </c>
      <c r="J9165" s="59">
        <f t="shared" si="28"/>
        <v>0</v>
      </c>
      <c r="K9165" s="59">
        <f t="shared" si="29"/>
        <v>0</v>
      </c>
      <c r="L9165" s="59">
        <f t="shared" si="30"/>
        <v>0</v>
      </c>
      <c r="M9165" s="59">
        <f t="shared" si="31"/>
        <v>0</v>
      </c>
    </row>
    <row r="9166" ht="15.0" hidden="1" customHeight="1">
      <c r="A9166" s="59">
        <f t="shared" si="20"/>
        <v>149</v>
      </c>
      <c r="B9166" s="59" t="str">
        <f t="shared" si="21"/>
        <v/>
      </c>
      <c r="C9166" s="59" t="str">
        <f t="shared" si="22"/>
        <v/>
      </c>
      <c r="D9166" s="59" t="str">
        <f t="shared" si="23"/>
        <v/>
      </c>
      <c r="E9166" s="59" t="str">
        <f t="shared" si="24"/>
        <v/>
      </c>
      <c r="F9166" s="59" t="str">
        <f t="shared" si="25"/>
        <v/>
      </c>
      <c r="G9166" s="59" t="str">
        <f t="shared" si="26"/>
        <v/>
      </c>
      <c r="H9166" s="59" t="str">
        <f t="shared" si="27"/>
        <v>Xúclật855N</v>
      </c>
      <c r="I9166" s="59" t="str">
        <f>IF(OR($A9166="",$C9166="",$D9166="",$E9166="",$H9166=""),"",SUMIFS(DATA_GOC!$H:$H,DATA_GOC!$A:$A,"BOM",DATA_GOC!$D:$D,$H9166,DATA_GOC!$E:$E,$C9166,DATA_GOC!$F:$F,"Xuất nội bộ từ téc",DATA_GOC!$B:$B,"&gt;="&amp;$D9166,DATA_GOC!$B:$B,"&lt;="&amp;$E9166))</f>
        <v/>
      </c>
      <c r="J9166" s="59">
        <f t="shared" si="28"/>
        <v>0</v>
      </c>
      <c r="K9166" s="59">
        <f t="shared" si="29"/>
        <v>0</v>
      </c>
      <c r="L9166" s="59">
        <f t="shared" si="30"/>
        <v>0</v>
      </c>
      <c r="M9166" s="59">
        <f t="shared" si="31"/>
        <v>0</v>
      </c>
    </row>
    <row r="9167" ht="15.0" hidden="1" customHeight="1">
      <c r="A9167" s="59">
        <f t="shared" si="20"/>
        <v>149</v>
      </c>
      <c r="B9167" s="59" t="str">
        <f t="shared" si="21"/>
        <v/>
      </c>
      <c r="C9167" s="59" t="str">
        <f t="shared" si="22"/>
        <v/>
      </c>
      <c r="D9167" s="59" t="str">
        <f t="shared" si="23"/>
        <v/>
      </c>
      <c r="E9167" s="59" t="str">
        <f t="shared" si="24"/>
        <v/>
      </c>
      <c r="F9167" s="59" t="str">
        <f t="shared" si="25"/>
        <v/>
      </c>
      <c r="G9167" s="59" t="str">
        <f t="shared" si="26"/>
        <v/>
      </c>
      <c r="H9167" s="59" t="str">
        <f t="shared" si="27"/>
        <v>Cát nghiền</v>
      </c>
      <c r="I9167" s="59" t="str">
        <f>IF(OR($A9167="",$C9167="",$D9167="",$E9167="",$H9167=""),"",SUMIFS(DATA_GOC!$H:$H,DATA_GOC!$A:$A,"BOM",DATA_GOC!$D:$D,$H9167,DATA_GOC!$E:$E,$C9167,DATA_GOC!$F:$F,"Xuất nội bộ từ téc",DATA_GOC!$B:$B,"&gt;="&amp;$D9167,DATA_GOC!$B:$B,"&lt;="&amp;$E9167))</f>
        <v/>
      </c>
      <c r="J9167" s="59">
        <f t="shared" si="28"/>
        <v>0</v>
      </c>
      <c r="K9167" s="59">
        <f t="shared" si="29"/>
        <v>0</v>
      </c>
      <c r="L9167" s="59">
        <f t="shared" si="30"/>
        <v>0</v>
      </c>
      <c r="M9167" s="59">
        <f t="shared" si="31"/>
        <v>0</v>
      </c>
    </row>
    <row r="9168" ht="15.0" hidden="1" customHeight="1">
      <c r="A9168" s="59">
        <f t="shared" si="20"/>
        <v>149</v>
      </c>
      <c r="B9168" s="59" t="str">
        <f t="shared" si="21"/>
        <v/>
      </c>
      <c r="C9168" s="59" t="str">
        <f t="shared" si="22"/>
        <v/>
      </c>
      <c r="D9168" s="59" t="str">
        <f t="shared" si="23"/>
        <v/>
      </c>
      <c r="E9168" s="59" t="str">
        <f t="shared" si="24"/>
        <v/>
      </c>
      <c r="F9168" s="59" t="str">
        <f t="shared" si="25"/>
        <v/>
      </c>
      <c r="G9168" s="59" t="str">
        <f t="shared" si="26"/>
        <v/>
      </c>
      <c r="H9168" s="59" t="str">
        <f t="shared" si="27"/>
        <v>28C02973</v>
      </c>
      <c r="I9168" s="59" t="str">
        <f>IF(OR($A9168="",$C9168="",$D9168="",$E9168="",$H9168=""),"",SUMIFS(DATA_GOC!$H:$H,DATA_GOC!$A:$A,"BOM",DATA_GOC!$D:$D,$H9168,DATA_GOC!$E:$E,$C9168,DATA_GOC!$F:$F,"Xuất nội bộ từ téc",DATA_GOC!$B:$B,"&gt;="&amp;$D9168,DATA_GOC!$B:$B,"&lt;="&amp;$E9168))</f>
        <v/>
      </c>
      <c r="J9168" s="59">
        <f t="shared" si="28"/>
        <v>0</v>
      </c>
      <c r="K9168" s="59">
        <f t="shared" si="29"/>
        <v>0</v>
      </c>
      <c r="L9168" s="59">
        <f t="shared" si="30"/>
        <v>0</v>
      </c>
      <c r="M9168" s="59">
        <f t="shared" si="31"/>
        <v>0</v>
      </c>
    </row>
    <row r="9169" ht="15.0" hidden="1" customHeight="1">
      <c r="A9169" s="59">
        <f t="shared" si="20"/>
        <v>149</v>
      </c>
      <c r="B9169" s="59" t="str">
        <f t="shared" si="21"/>
        <v/>
      </c>
      <c r="C9169" s="59" t="str">
        <f t="shared" si="22"/>
        <v/>
      </c>
      <c r="D9169" s="59" t="str">
        <f t="shared" si="23"/>
        <v/>
      </c>
      <c r="E9169" s="59" t="str">
        <f t="shared" si="24"/>
        <v/>
      </c>
      <c r="F9169" s="59" t="str">
        <f t="shared" si="25"/>
        <v/>
      </c>
      <c r="G9169" s="59" t="str">
        <f t="shared" si="26"/>
        <v/>
      </c>
      <c r="H9169" s="59" t="str">
        <f t="shared" si="27"/>
        <v>28C03044</v>
      </c>
      <c r="I9169" s="59" t="str">
        <f>IF(OR($A9169="",$C9169="",$D9169="",$E9169="",$H9169=""),"",SUMIFS(DATA_GOC!$H:$H,DATA_GOC!$A:$A,"BOM",DATA_GOC!$D:$D,$H9169,DATA_GOC!$E:$E,$C9169,DATA_GOC!$F:$F,"Xuất nội bộ từ téc",DATA_GOC!$B:$B,"&gt;="&amp;$D9169,DATA_GOC!$B:$B,"&lt;="&amp;$E9169))</f>
        <v/>
      </c>
      <c r="J9169" s="59">
        <f t="shared" si="28"/>
        <v>0</v>
      </c>
      <c r="K9169" s="59">
        <f t="shared" si="29"/>
        <v>0</v>
      </c>
      <c r="L9169" s="59">
        <f t="shared" si="30"/>
        <v>0</v>
      </c>
      <c r="M9169" s="59">
        <f t="shared" si="31"/>
        <v>0</v>
      </c>
    </row>
    <row r="9170" ht="15.0" hidden="1" customHeight="1">
      <c r="A9170" s="59">
        <f t="shared" si="20"/>
        <v>149</v>
      </c>
      <c r="B9170" s="59" t="str">
        <f t="shared" si="21"/>
        <v/>
      </c>
      <c r="C9170" s="59" t="str">
        <f t="shared" si="22"/>
        <v/>
      </c>
      <c r="D9170" s="59" t="str">
        <f t="shared" si="23"/>
        <v/>
      </c>
      <c r="E9170" s="59" t="str">
        <f t="shared" si="24"/>
        <v/>
      </c>
      <c r="F9170" s="59" t="str">
        <f t="shared" si="25"/>
        <v/>
      </c>
      <c r="G9170" s="59" t="str">
        <f t="shared" si="26"/>
        <v/>
      </c>
      <c r="H9170" s="59" t="str">
        <f t="shared" si="27"/>
        <v>Máy lu lốp</v>
      </c>
      <c r="I9170" s="59" t="str">
        <f>IF(OR($A9170="",$C9170="",$D9170="",$E9170="",$H9170=""),"",SUMIFS(DATA_GOC!$H:$H,DATA_GOC!$A:$A,"BOM",DATA_GOC!$D:$D,$H9170,DATA_GOC!$E:$E,$C9170,DATA_GOC!$F:$F,"Xuất nội bộ từ téc",DATA_GOC!$B:$B,"&gt;="&amp;$D9170,DATA_GOC!$B:$B,"&lt;="&amp;$E9170))</f>
        <v/>
      </c>
      <c r="J9170" s="59">
        <f t="shared" si="28"/>
        <v>0</v>
      </c>
      <c r="K9170" s="59">
        <f t="shared" si="29"/>
        <v>0</v>
      </c>
      <c r="L9170" s="59">
        <f t="shared" si="30"/>
        <v>0</v>
      </c>
      <c r="M9170" s="59">
        <f t="shared" si="31"/>
        <v>0</v>
      </c>
    </row>
    <row r="9171" ht="15.0" hidden="1" customHeight="1">
      <c r="A9171" s="59">
        <f t="shared" si="20"/>
        <v>149</v>
      </c>
      <c r="B9171" s="59" t="str">
        <f t="shared" si="21"/>
        <v/>
      </c>
      <c r="C9171" s="59" t="str">
        <f t="shared" si="22"/>
        <v/>
      </c>
      <c r="D9171" s="59" t="str">
        <f t="shared" si="23"/>
        <v/>
      </c>
      <c r="E9171" s="59" t="str">
        <f t="shared" si="24"/>
        <v/>
      </c>
      <c r="F9171" s="59" t="str">
        <f t="shared" si="25"/>
        <v/>
      </c>
      <c r="G9171" s="59" t="str">
        <f t="shared" si="26"/>
        <v/>
      </c>
      <c r="H9171" s="59" t="str">
        <f t="shared" si="27"/>
        <v>Xe 600148</v>
      </c>
      <c r="I9171" s="59" t="str">
        <f>IF(OR($A9171="",$C9171="",$D9171="",$E9171="",$H9171=""),"",SUMIFS(DATA_GOC!$H:$H,DATA_GOC!$A:$A,"BOM",DATA_GOC!$D:$D,$H9171,DATA_GOC!$E:$E,$C9171,DATA_GOC!$F:$F,"Xuất nội bộ từ téc",DATA_GOC!$B:$B,"&gt;="&amp;$D9171,DATA_GOC!$B:$B,"&lt;="&amp;$E9171))</f>
        <v/>
      </c>
      <c r="J9171" s="59">
        <f t="shared" si="28"/>
        <v>0</v>
      </c>
      <c r="K9171" s="59">
        <f t="shared" si="29"/>
        <v>0</v>
      </c>
      <c r="L9171" s="59">
        <f t="shared" si="30"/>
        <v>0</v>
      </c>
      <c r="M9171" s="59">
        <f t="shared" si="31"/>
        <v>0</v>
      </c>
    </row>
    <row r="9172" ht="15.0" hidden="1" customHeight="1">
      <c r="A9172" s="59">
        <f t="shared" si="20"/>
        <v>149</v>
      </c>
      <c r="B9172" s="59" t="str">
        <f t="shared" si="21"/>
        <v/>
      </c>
      <c r="C9172" s="59" t="str">
        <f t="shared" si="22"/>
        <v/>
      </c>
      <c r="D9172" s="59" t="str">
        <f t="shared" si="23"/>
        <v/>
      </c>
      <c r="E9172" s="59" t="str">
        <f t="shared" si="24"/>
        <v/>
      </c>
      <c r="F9172" s="59" t="str">
        <f t="shared" si="25"/>
        <v/>
      </c>
      <c r="G9172" s="59" t="str">
        <f t="shared" si="26"/>
        <v/>
      </c>
      <c r="H9172" s="59" t="str">
        <f t="shared" si="27"/>
        <v>Xe ben mới</v>
      </c>
      <c r="I9172" s="59" t="str">
        <f>IF(OR($A9172="",$C9172="",$D9172="",$E9172="",$H9172=""),"",SUMIFS(DATA_GOC!$H:$H,DATA_GOC!$A:$A,"BOM",DATA_GOC!$D:$D,$H9172,DATA_GOC!$E:$E,$C9172,DATA_GOC!$F:$F,"Xuất nội bộ từ téc",DATA_GOC!$B:$B,"&gt;="&amp;$D9172,DATA_GOC!$B:$B,"&lt;="&amp;$E9172))</f>
        <v/>
      </c>
      <c r="J9172" s="59">
        <f t="shared" si="28"/>
        <v>0</v>
      </c>
      <c r="K9172" s="59">
        <f t="shared" si="29"/>
        <v>0</v>
      </c>
      <c r="L9172" s="59">
        <f t="shared" si="30"/>
        <v>0</v>
      </c>
      <c r="M9172" s="59">
        <f t="shared" si="31"/>
        <v>0</v>
      </c>
    </row>
    <row r="9173" ht="15.0" hidden="1" customHeight="1">
      <c r="A9173" s="59">
        <f t="shared" si="20"/>
        <v>150</v>
      </c>
      <c r="B9173" s="59" t="str">
        <f t="shared" si="21"/>
        <v/>
      </c>
      <c r="C9173" s="59" t="str">
        <f t="shared" si="22"/>
        <v/>
      </c>
      <c r="D9173" s="59" t="str">
        <f t="shared" si="23"/>
        <v/>
      </c>
      <c r="E9173" s="59" t="str">
        <f t="shared" si="24"/>
        <v/>
      </c>
      <c r="F9173" s="59" t="str">
        <f t="shared" si="25"/>
        <v/>
      </c>
      <c r="G9173" s="59" t="str">
        <f t="shared" si="26"/>
        <v/>
      </c>
      <c r="H9173" s="59" t="str">
        <f t="shared" si="27"/>
        <v>19H09482</v>
      </c>
      <c r="I9173" s="59" t="str">
        <f>IF(OR($A9173="",$C9173="",$D9173="",$E9173="",$H9173=""),"",SUMIFS(DATA_GOC!$H:$H,DATA_GOC!$A:$A,"BOM",DATA_GOC!$D:$D,$H9173,DATA_GOC!$E:$E,$C9173,DATA_GOC!$F:$F,"Xuất nội bộ từ téc",DATA_GOC!$B:$B,"&gt;="&amp;$D9173,DATA_GOC!$B:$B,"&lt;="&amp;$E9173))</f>
        <v/>
      </c>
      <c r="J9173" s="59">
        <f t="shared" si="28"/>
        <v>0</v>
      </c>
      <c r="K9173" s="59">
        <f t="shared" si="29"/>
        <v>0</v>
      </c>
      <c r="L9173" s="59">
        <f t="shared" si="30"/>
        <v>0</v>
      </c>
      <c r="M9173" s="59">
        <f t="shared" si="31"/>
        <v>0</v>
      </c>
    </row>
    <row r="9174" ht="15.0" hidden="1" customHeight="1">
      <c r="A9174" s="59">
        <f t="shared" si="20"/>
        <v>150</v>
      </c>
      <c r="B9174" s="59" t="str">
        <f t="shared" si="21"/>
        <v/>
      </c>
      <c r="C9174" s="59" t="str">
        <f t="shared" si="22"/>
        <v/>
      </c>
      <c r="D9174" s="59" t="str">
        <f t="shared" si="23"/>
        <v/>
      </c>
      <c r="E9174" s="59" t="str">
        <f t="shared" si="24"/>
        <v/>
      </c>
      <c r="F9174" s="59" t="str">
        <f t="shared" si="25"/>
        <v/>
      </c>
      <c r="G9174" s="59" t="str">
        <f t="shared" si="26"/>
        <v/>
      </c>
      <c r="H9174" s="59" t="str">
        <f t="shared" si="27"/>
        <v>28A30696</v>
      </c>
      <c r="I9174" s="59" t="str">
        <f>IF(OR($A9174="",$C9174="",$D9174="",$E9174="",$H9174=""),"",SUMIFS(DATA_GOC!$H:$H,DATA_GOC!$A:$A,"BOM",DATA_GOC!$D:$D,$H9174,DATA_GOC!$E:$E,$C9174,DATA_GOC!$F:$F,"Xuất nội bộ từ téc",DATA_GOC!$B:$B,"&gt;="&amp;$D9174,DATA_GOC!$B:$B,"&lt;="&amp;$E9174))</f>
        <v/>
      </c>
      <c r="J9174" s="59">
        <f t="shared" si="28"/>
        <v>0</v>
      </c>
      <c r="K9174" s="59">
        <f t="shared" si="29"/>
        <v>0</v>
      </c>
      <c r="L9174" s="59">
        <f t="shared" si="30"/>
        <v>0</v>
      </c>
      <c r="M9174" s="59">
        <f t="shared" si="31"/>
        <v>0</v>
      </c>
    </row>
    <row r="9175" ht="15.0" hidden="1" customHeight="1">
      <c r="A9175" s="59">
        <f t="shared" si="20"/>
        <v>150</v>
      </c>
      <c r="B9175" s="59" t="str">
        <f t="shared" si="21"/>
        <v/>
      </c>
      <c r="C9175" s="59" t="str">
        <f t="shared" si="22"/>
        <v/>
      </c>
      <c r="D9175" s="59" t="str">
        <f t="shared" si="23"/>
        <v/>
      </c>
      <c r="E9175" s="59" t="str">
        <f t="shared" si="24"/>
        <v/>
      </c>
      <c r="F9175" s="59" t="str">
        <f t="shared" si="25"/>
        <v/>
      </c>
      <c r="G9175" s="59" t="str">
        <f t="shared" si="26"/>
        <v/>
      </c>
      <c r="H9175" s="59" t="str">
        <f t="shared" si="27"/>
        <v>28C00462</v>
      </c>
      <c r="I9175" s="59" t="str">
        <f>IF(OR($A9175="",$C9175="",$D9175="",$E9175="",$H9175=""),"",SUMIFS(DATA_GOC!$H:$H,DATA_GOC!$A:$A,"BOM",DATA_GOC!$D:$D,$H9175,DATA_GOC!$E:$E,$C9175,DATA_GOC!$F:$F,"Xuất nội bộ từ téc",DATA_GOC!$B:$B,"&gt;="&amp;$D9175,DATA_GOC!$B:$B,"&lt;="&amp;$E9175))</f>
        <v/>
      </c>
      <c r="J9175" s="59">
        <f t="shared" si="28"/>
        <v>0</v>
      </c>
      <c r="K9175" s="59">
        <f t="shared" si="29"/>
        <v>0</v>
      </c>
      <c r="L9175" s="59">
        <f t="shared" si="30"/>
        <v>0</v>
      </c>
      <c r="M9175" s="59">
        <f t="shared" si="31"/>
        <v>0</v>
      </c>
    </row>
    <row r="9176" ht="15.0" hidden="1" customHeight="1">
      <c r="A9176" s="59">
        <f t="shared" si="20"/>
        <v>150</v>
      </c>
      <c r="B9176" s="59" t="str">
        <f t="shared" si="21"/>
        <v/>
      </c>
      <c r="C9176" s="59" t="str">
        <f t="shared" si="22"/>
        <v/>
      </c>
      <c r="D9176" s="59" t="str">
        <f t="shared" si="23"/>
        <v/>
      </c>
      <c r="E9176" s="59" t="str">
        <f t="shared" si="24"/>
        <v/>
      </c>
      <c r="F9176" s="59" t="str">
        <f t="shared" si="25"/>
        <v/>
      </c>
      <c r="G9176" s="59" t="str">
        <f t="shared" si="26"/>
        <v/>
      </c>
      <c r="H9176" s="59" t="str">
        <f t="shared" si="27"/>
        <v>28C01165</v>
      </c>
      <c r="I9176" s="59" t="str">
        <f>IF(OR($A9176="",$C9176="",$D9176="",$E9176="",$H9176=""),"",SUMIFS(DATA_GOC!$H:$H,DATA_GOC!$A:$A,"BOM",DATA_GOC!$D:$D,$H9176,DATA_GOC!$E:$E,$C9176,DATA_GOC!$F:$F,"Xuất nội bộ từ téc",DATA_GOC!$B:$B,"&gt;="&amp;$D9176,DATA_GOC!$B:$B,"&lt;="&amp;$E9176))</f>
        <v/>
      </c>
      <c r="J9176" s="59">
        <f t="shared" si="28"/>
        <v>0</v>
      </c>
      <c r="K9176" s="59">
        <f t="shared" si="29"/>
        <v>0</v>
      </c>
      <c r="L9176" s="59">
        <f t="shared" si="30"/>
        <v>0</v>
      </c>
      <c r="M9176" s="59">
        <f t="shared" si="31"/>
        <v>0</v>
      </c>
    </row>
    <row r="9177" ht="15.0" hidden="1" customHeight="1">
      <c r="A9177" s="59">
        <f t="shared" si="20"/>
        <v>150</v>
      </c>
      <c r="B9177" s="59" t="str">
        <f t="shared" si="21"/>
        <v/>
      </c>
      <c r="C9177" s="59" t="str">
        <f t="shared" si="22"/>
        <v/>
      </c>
      <c r="D9177" s="59" t="str">
        <f t="shared" si="23"/>
        <v/>
      </c>
      <c r="E9177" s="59" t="str">
        <f t="shared" si="24"/>
        <v/>
      </c>
      <c r="F9177" s="59" t="str">
        <f t="shared" si="25"/>
        <v/>
      </c>
      <c r="G9177" s="59" t="str">
        <f t="shared" si="26"/>
        <v/>
      </c>
      <c r="H9177" s="59" t="str">
        <f t="shared" si="27"/>
        <v>28C01406</v>
      </c>
      <c r="I9177" s="59" t="str">
        <f>IF(OR($A9177="",$C9177="",$D9177="",$E9177="",$H9177=""),"",SUMIFS(DATA_GOC!$H:$H,DATA_GOC!$A:$A,"BOM",DATA_GOC!$D:$D,$H9177,DATA_GOC!$E:$E,$C9177,DATA_GOC!$F:$F,"Xuất nội bộ từ téc",DATA_GOC!$B:$B,"&gt;="&amp;$D9177,DATA_GOC!$B:$B,"&lt;="&amp;$E9177))</f>
        <v/>
      </c>
      <c r="J9177" s="59">
        <f t="shared" si="28"/>
        <v>0</v>
      </c>
      <c r="K9177" s="59">
        <f t="shared" si="29"/>
        <v>0</v>
      </c>
      <c r="L9177" s="59">
        <f t="shared" si="30"/>
        <v>0</v>
      </c>
      <c r="M9177" s="59">
        <f t="shared" si="31"/>
        <v>0</v>
      </c>
    </row>
    <row r="9178" ht="15.0" hidden="1" customHeight="1">
      <c r="A9178" s="59">
        <f t="shared" si="20"/>
        <v>150</v>
      </c>
      <c r="B9178" s="59" t="str">
        <f t="shared" si="21"/>
        <v/>
      </c>
      <c r="C9178" s="59" t="str">
        <f t="shared" si="22"/>
        <v/>
      </c>
      <c r="D9178" s="59" t="str">
        <f t="shared" si="23"/>
        <v/>
      </c>
      <c r="E9178" s="59" t="str">
        <f t="shared" si="24"/>
        <v/>
      </c>
      <c r="F9178" s="59" t="str">
        <f t="shared" si="25"/>
        <v/>
      </c>
      <c r="G9178" s="59" t="str">
        <f t="shared" si="26"/>
        <v/>
      </c>
      <c r="H9178" s="59" t="str">
        <f t="shared" si="27"/>
        <v>28C01544</v>
      </c>
      <c r="I9178" s="59" t="str">
        <f>IF(OR($A9178="",$C9178="",$D9178="",$E9178="",$H9178=""),"",SUMIFS(DATA_GOC!$H:$H,DATA_GOC!$A:$A,"BOM",DATA_GOC!$D:$D,$H9178,DATA_GOC!$E:$E,$C9178,DATA_GOC!$F:$F,"Xuất nội bộ từ téc",DATA_GOC!$B:$B,"&gt;="&amp;$D9178,DATA_GOC!$B:$B,"&lt;="&amp;$E9178))</f>
        <v/>
      </c>
      <c r="J9178" s="59">
        <f t="shared" si="28"/>
        <v>0</v>
      </c>
      <c r="K9178" s="59">
        <f t="shared" si="29"/>
        <v>0</v>
      </c>
      <c r="L9178" s="59">
        <f t="shared" si="30"/>
        <v>0</v>
      </c>
      <c r="M9178" s="59">
        <f t="shared" si="31"/>
        <v>0</v>
      </c>
    </row>
    <row r="9179" ht="15.0" hidden="1" customHeight="1">
      <c r="A9179" s="59">
        <f t="shared" si="20"/>
        <v>150</v>
      </c>
      <c r="B9179" s="59" t="str">
        <f t="shared" si="21"/>
        <v/>
      </c>
      <c r="C9179" s="59" t="str">
        <f t="shared" si="22"/>
        <v/>
      </c>
      <c r="D9179" s="59" t="str">
        <f t="shared" si="23"/>
        <v/>
      </c>
      <c r="E9179" s="59" t="str">
        <f t="shared" si="24"/>
        <v/>
      </c>
      <c r="F9179" s="59" t="str">
        <f t="shared" si="25"/>
        <v/>
      </c>
      <c r="G9179" s="59" t="str">
        <f t="shared" si="26"/>
        <v/>
      </c>
      <c r="H9179" s="59" t="str">
        <f t="shared" si="27"/>
        <v>28C01622</v>
      </c>
      <c r="I9179" s="59" t="str">
        <f>IF(OR($A9179="",$C9179="",$D9179="",$E9179="",$H9179=""),"",SUMIFS(DATA_GOC!$H:$H,DATA_GOC!$A:$A,"BOM",DATA_GOC!$D:$D,$H9179,DATA_GOC!$E:$E,$C9179,DATA_GOC!$F:$F,"Xuất nội bộ từ téc",DATA_GOC!$B:$B,"&gt;="&amp;$D9179,DATA_GOC!$B:$B,"&lt;="&amp;$E9179))</f>
        <v/>
      </c>
      <c r="J9179" s="59">
        <f t="shared" si="28"/>
        <v>0</v>
      </c>
      <c r="K9179" s="59">
        <f t="shared" si="29"/>
        <v>0</v>
      </c>
      <c r="L9179" s="59">
        <f t="shared" si="30"/>
        <v>0</v>
      </c>
      <c r="M9179" s="59">
        <f t="shared" si="31"/>
        <v>0</v>
      </c>
    </row>
    <row r="9180" ht="15.0" hidden="1" customHeight="1">
      <c r="A9180" s="59">
        <f t="shared" si="20"/>
        <v>150</v>
      </c>
      <c r="B9180" s="59" t="str">
        <f t="shared" si="21"/>
        <v/>
      </c>
      <c r="C9180" s="59" t="str">
        <f t="shared" si="22"/>
        <v/>
      </c>
      <c r="D9180" s="59" t="str">
        <f t="shared" si="23"/>
        <v/>
      </c>
      <c r="E9180" s="59" t="str">
        <f t="shared" si="24"/>
        <v/>
      </c>
      <c r="F9180" s="59" t="str">
        <f t="shared" si="25"/>
        <v/>
      </c>
      <c r="G9180" s="59" t="str">
        <f t="shared" si="26"/>
        <v/>
      </c>
      <c r="H9180" s="59" t="str">
        <f t="shared" si="27"/>
        <v>28C01647</v>
      </c>
      <c r="I9180" s="59" t="str">
        <f>IF(OR($A9180="",$C9180="",$D9180="",$E9180="",$H9180=""),"",SUMIFS(DATA_GOC!$H:$H,DATA_GOC!$A:$A,"BOM",DATA_GOC!$D:$D,$H9180,DATA_GOC!$E:$E,$C9180,DATA_GOC!$F:$F,"Xuất nội bộ từ téc",DATA_GOC!$B:$B,"&gt;="&amp;$D9180,DATA_GOC!$B:$B,"&lt;="&amp;$E9180))</f>
        <v/>
      </c>
      <c r="J9180" s="59">
        <f t="shared" si="28"/>
        <v>0</v>
      </c>
      <c r="K9180" s="59">
        <f t="shared" si="29"/>
        <v>0</v>
      </c>
      <c r="L9180" s="59">
        <f t="shared" si="30"/>
        <v>0</v>
      </c>
      <c r="M9180" s="59">
        <f t="shared" si="31"/>
        <v>0</v>
      </c>
    </row>
    <row r="9181" ht="15.0" hidden="1" customHeight="1">
      <c r="A9181" s="59">
        <f t="shared" si="20"/>
        <v>150</v>
      </c>
      <c r="B9181" s="59" t="str">
        <f t="shared" si="21"/>
        <v/>
      </c>
      <c r="C9181" s="59" t="str">
        <f t="shared" si="22"/>
        <v/>
      </c>
      <c r="D9181" s="59" t="str">
        <f t="shared" si="23"/>
        <v/>
      </c>
      <c r="E9181" s="59" t="str">
        <f t="shared" si="24"/>
        <v/>
      </c>
      <c r="F9181" s="59" t="str">
        <f t="shared" si="25"/>
        <v/>
      </c>
      <c r="G9181" s="59" t="str">
        <f t="shared" si="26"/>
        <v/>
      </c>
      <c r="H9181" s="59" t="str">
        <f t="shared" si="27"/>
        <v>28C01731</v>
      </c>
      <c r="I9181" s="59" t="str">
        <f>IF(OR($A9181="",$C9181="",$D9181="",$E9181="",$H9181=""),"",SUMIFS(DATA_GOC!$H:$H,DATA_GOC!$A:$A,"BOM",DATA_GOC!$D:$D,$H9181,DATA_GOC!$E:$E,$C9181,DATA_GOC!$F:$F,"Xuất nội bộ từ téc",DATA_GOC!$B:$B,"&gt;="&amp;$D9181,DATA_GOC!$B:$B,"&lt;="&amp;$E9181))</f>
        <v/>
      </c>
      <c r="J9181" s="59">
        <f t="shared" si="28"/>
        <v>0</v>
      </c>
      <c r="K9181" s="59">
        <f t="shared" si="29"/>
        <v>0</v>
      </c>
      <c r="L9181" s="59">
        <f t="shared" si="30"/>
        <v>0</v>
      </c>
      <c r="M9181" s="59">
        <f t="shared" si="31"/>
        <v>0</v>
      </c>
    </row>
    <row r="9182" ht="15.0" hidden="1" customHeight="1">
      <c r="A9182" s="59">
        <f t="shared" si="20"/>
        <v>150</v>
      </c>
      <c r="B9182" s="59" t="str">
        <f t="shared" si="21"/>
        <v/>
      </c>
      <c r="C9182" s="59" t="str">
        <f t="shared" si="22"/>
        <v/>
      </c>
      <c r="D9182" s="59" t="str">
        <f t="shared" si="23"/>
        <v/>
      </c>
      <c r="E9182" s="59" t="str">
        <f t="shared" si="24"/>
        <v/>
      </c>
      <c r="F9182" s="59" t="str">
        <f t="shared" si="25"/>
        <v/>
      </c>
      <c r="G9182" s="59" t="str">
        <f t="shared" si="26"/>
        <v/>
      </c>
      <c r="H9182" s="59" t="str">
        <f t="shared" si="27"/>
        <v>28C01743</v>
      </c>
      <c r="I9182" s="59" t="str">
        <f>IF(OR($A9182="",$C9182="",$D9182="",$E9182="",$H9182=""),"",SUMIFS(DATA_GOC!$H:$H,DATA_GOC!$A:$A,"BOM",DATA_GOC!$D:$D,$H9182,DATA_GOC!$E:$E,$C9182,DATA_GOC!$F:$F,"Xuất nội bộ từ téc",DATA_GOC!$B:$B,"&gt;="&amp;$D9182,DATA_GOC!$B:$B,"&lt;="&amp;$E9182))</f>
        <v/>
      </c>
      <c r="J9182" s="59">
        <f t="shared" si="28"/>
        <v>0</v>
      </c>
      <c r="K9182" s="59">
        <f t="shared" si="29"/>
        <v>0</v>
      </c>
      <c r="L9182" s="59">
        <f t="shared" si="30"/>
        <v>0</v>
      </c>
      <c r="M9182" s="59">
        <f t="shared" si="31"/>
        <v>0</v>
      </c>
    </row>
    <row r="9183" ht="15.0" hidden="1" customHeight="1">
      <c r="A9183" s="59">
        <f t="shared" si="20"/>
        <v>150</v>
      </c>
      <c r="B9183" s="59" t="str">
        <f t="shared" si="21"/>
        <v/>
      </c>
      <c r="C9183" s="59" t="str">
        <f t="shared" si="22"/>
        <v/>
      </c>
      <c r="D9183" s="59" t="str">
        <f t="shared" si="23"/>
        <v/>
      </c>
      <c r="E9183" s="59" t="str">
        <f t="shared" si="24"/>
        <v/>
      </c>
      <c r="F9183" s="59" t="str">
        <f t="shared" si="25"/>
        <v/>
      </c>
      <c r="G9183" s="59" t="str">
        <f t="shared" si="26"/>
        <v/>
      </c>
      <c r="H9183" s="59" t="str">
        <f t="shared" si="27"/>
        <v>28C02106</v>
      </c>
      <c r="I9183" s="59" t="str">
        <f>IF(OR($A9183="",$C9183="",$D9183="",$E9183="",$H9183=""),"",SUMIFS(DATA_GOC!$H:$H,DATA_GOC!$A:$A,"BOM",DATA_GOC!$D:$D,$H9183,DATA_GOC!$E:$E,$C9183,DATA_GOC!$F:$F,"Xuất nội bộ từ téc",DATA_GOC!$B:$B,"&gt;="&amp;$D9183,DATA_GOC!$B:$B,"&lt;="&amp;$E9183))</f>
        <v/>
      </c>
      <c r="J9183" s="59">
        <f t="shared" si="28"/>
        <v>0</v>
      </c>
      <c r="K9183" s="59">
        <f t="shared" si="29"/>
        <v>0</v>
      </c>
      <c r="L9183" s="59">
        <f t="shared" si="30"/>
        <v>0</v>
      </c>
      <c r="M9183" s="59">
        <f t="shared" si="31"/>
        <v>0</v>
      </c>
    </row>
    <row r="9184" ht="15.0" hidden="1" customHeight="1">
      <c r="A9184" s="59">
        <f t="shared" si="20"/>
        <v>150</v>
      </c>
      <c r="B9184" s="59" t="str">
        <f t="shared" si="21"/>
        <v/>
      </c>
      <c r="C9184" s="59" t="str">
        <f t="shared" si="22"/>
        <v/>
      </c>
      <c r="D9184" s="59" t="str">
        <f t="shared" si="23"/>
        <v/>
      </c>
      <c r="E9184" s="59" t="str">
        <f t="shared" si="24"/>
        <v/>
      </c>
      <c r="F9184" s="59" t="str">
        <f t="shared" si="25"/>
        <v/>
      </c>
      <c r="G9184" s="59" t="str">
        <f t="shared" si="26"/>
        <v/>
      </c>
      <c r="H9184" s="59" t="str">
        <f t="shared" si="27"/>
        <v>28C02410</v>
      </c>
      <c r="I9184" s="59" t="str">
        <f>IF(OR($A9184="",$C9184="",$D9184="",$E9184="",$H9184=""),"",SUMIFS(DATA_GOC!$H:$H,DATA_GOC!$A:$A,"BOM",DATA_GOC!$D:$D,$H9184,DATA_GOC!$E:$E,$C9184,DATA_GOC!$F:$F,"Xuất nội bộ từ téc",DATA_GOC!$B:$B,"&gt;="&amp;$D9184,DATA_GOC!$B:$B,"&lt;="&amp;$E9184))</f>
        <v/>
      </c>
      <c r="J9184" s="59">
        <f t="shared" si="28"/>
        <v>0</v>
      </c>
      <c r="K9184" s="59">
        <f t="shared" si="29"/>
        <v>0</v>
      </c>
      <c r="L9184" s="59">
        <f t="shared" si="30"/>
        <v>0</v>
      </c>
      <c r="M9184" s="59">
        <f t="shared" si="31"/>
        <v>0</v>
      </c>
    </row>
    <row r="9185" ht="15.0" hidden="1" customHeight="1">
      <c r="A9185" s="59">
        <f t="shared" si="20"/>
        <v>150</v>
      </c>
      <c r="B9185" s="59" t="str">
        <f t="shared" si="21"/>
        <v/>
      </c>
      <c r="C9185" s="59" t="str">
        <f t="shared" si="22"/>
        <v/>
      </c>
      <c r="D9185" s="59" t="str">
        <f t="shared" si="23"/>
        <v/>
      </c>
      <c r="E9185" s="59" t="str">
        <f t="shared" si="24"/>
        <v/>
      </c>
      <c r="F9185" s="59" t="str">
        <f t="shared" si="25"/>
        <v/>
      </c>
      <c r="G9185" s="59" t="str">
        <f t="shared" si="26"/>
        <v/>
      </c>
      <c r="H9185" s="59" t="str">
        <f t="shared" si="27"/>
        <v>28C02545</v>
      </c>
      <c r="I9185" s="59" t="str">
        <f>IF(OR($A9185="",$C9185="",$D9185="",$E9185="",$H9185=""),"",SUMIFS(DATA_GOC!$H:$H,DATA_GOC!$A:$A,"BOM",DATA_GOC!$D:$D,$H9185,DATA_GOC!$E:$E,$C9185,DATA_GOC!$F:$F,"Xuất nội bộ từ téc",DATA_GOC!$B:$B,"&gt;="&amp;$D9185,DATA_GOC!$B:$B,"&lt;="&amp;$E9185))</f>
        <v/>
      </c>
      <c r="J9185" s="59">
        <f t="shared" si="28"/>
        <v>0</v>
      </c>
      <c r="K9185" s="59">
        <f t="shared" si="29"/>
        <v>0</v>
      </c>
      <c r="L9185" s="59">
        <f t="shared" si="30"/>
        <v>0</v>
      </c>
      <c r="M9185" s="59">
        <f t="shared" si="31"/>
        <v>0</v>
      </c>
    </row>
    <row r="9186" ht="15.0" hidden="1" customHeight="1">
      <c r="A9186" s="59">
        <f t="shared" si="20"/>
        <v>150</v>
      </c>
      <c r="B9186" s="59" t="str">
        <f t="shared" si="21"/>
        <v/>
      </c>
      <c r="C9186" s="59" t="str">
        <f t="shared" si="22"/>
        <v/>
      </c>
      <c r="D9186" s="59" t="str">
        <f t="shared" si="23"/>
        <v/>
      </c>
      <c r="E9186" s="59" t="str">
        <f t="shared" si="24"/>
        <v/>
      </c>
      <c r="F9186" s="59" t="str">
        <f t="shared" si="25"/>
        <v/>
      </c>
      <c r="G9186" s="59" t="str">
        <f t="shared" si="26"/>
        <v/>
      </c>
      <c r="H9186" s="59" t="str">
        <f t="shared" si="27"/>
        <v>28C02574</v>
      </c>
      <c r="I9186" s="59" t="str">
        <f>IF(OR($A9186="",$C9186="",$D9186="",$E9186="",$H9186=""),"",SUMIFS(DATA_GOC!$H:$H,DATA_GOC!$A:$A,"BOM",DATA_GOC!$D:$D,$H9186,DATA_GOC!$E:$E,$C9186,DATA_GOC!$F:$F,"Xuất nội bộ từ téc",DATA_GOC!$B:$B,"&gt;="&amp;$D9186,DATA_GOC!$B:$B,"&lt;="&amp;$E9186))</f>
        <v/>
      </c>
      <c r="J9186" s="59">
        <f t="shared" si="28"/>
        <v>0</v>
      </c>
      <c r="K9186" s="59">
        <f t="shared" si="29"/>
        <v>0</v>
      </c>
      <c r="L9186" s="59">
        <f t="shared" si="30"/>
        <v>0</v>
      </c>
      <c r="M9186" s="59">
        <f t="shared" si="31"/>
        <v>0</v>
      </c>
    </row>
    <row r="9187" ht="15.0" hidden="1" customHeight="1">
      <c r="A9187" s="59">
        <f t="shared" si="20"/>
        <v>150</v>
      </c>
      <c r="B9187" s="59" t="str">
        <f t="shared" si="21"/>
        <v/>
      </c>
      <c r="C9187" s="59" t="str">
        <f t="shared" si="22"/>
        <v/>
      </c>
      <c r="D9187" s="59" t="str">
        <f t="shared" si="23"/>
        <v/>
      </c>
      <c r="E9187" s="59" t="str">
        <f t="shared" si="24"/>
        <v/>
      </c>
      <c r="F9187" s="59" t="str">
        <f t="shared" si="25"/>
        <v/>
      </c>
      <c r="G9187" s="59" t="str">
        <f t="shared" si="26"/>
        <v/>
      </c>
      <c r="H9187" s="59" t="str">
        <f t="shared" si="27"/>
        <v>28C02770</v>
      </c>
      <c r="I9187" s="59" t="str">
        <f>IF(OR($A9187="",$C9187="",$D9187="",$E9187="",$H9187=""),"",SUMIFS(DATA_GOC!$H:$H,DATA_GOC!$A:$A,"BOM",DATA_GOC!$D:$D,$H9187,DATA_GOC!$E:$E,$C9187,DATA_GOC!$F:$F,"Xuất nội bộ từ téc",DATA_GOC!$B:$B,"&gt;="&amp;$D9187,DATA_GOC!$B:$B,"&lt;="&amp;$E9187))</f>
        <v/>
      </c>
      <c r="J9187" s="59">
        <f t="shared" si="28"/>
        <v>0</v>
      </c>
      <c r="K9187" s="59">
        <f t="shared" si="29"/>
        <v>0</v>
      </c>
      <c r="L9187" s="59">
        <f t="shared" si="30"/>
        <v>0</v>
      </c>
      <c r="M9187" s="59">
        <f t="shared" si="31"/>
        <v>0</v>
      </c>
    </row>
    <row r="9188" ht="15.0" hidden="1" customHeight="1">
      <c r="A9188" s="59">
        <f t="shared" si="20"/>
        <v>150</v>
      </c>
      <c r="B9188" s="59" t="str">
        <f t="shared" si="21"/>
        <v/>
      </c>
      <c r="C9188" s="59" t="str">
        <f t="shared" si="22"/>
        <v/>
      </c>
      <c r="D9188" s="59" t="str">
        <f t="shared" si="23"/>
        <v/>
      </c>
      <c r="E9188" s="59" t="str">
        <f t="shared" si="24"/>
        <v/>
      </c>
      <c r="F9188" s="59" t="str">
        <f t="shared" si="25"/>
        <v/>
      </c>
      <c r="G9188" s="59" t="str">
        <f t="shared" si="26"/>
        <v/>
      </c>
      <c r="H9188" s="59" t="str">
        <f t="shared" si="27"/>
        <v>28C02986</v>
      </c>
      <c r="I9188" s="59" t="str">
        <f>IF(OR($A9188="",$C9188="",$D9188="",$E9188="",$H9188=""),"",SUMIFS(DATA_GOC!$H:$H,DATA_GOC!$A:$A,"BOM",DATA_GOC!$D:$D,$H9188,DATA_GOC!$E:$E,$C9188,DATA_GOC!$F:$F,"Xuất nội bộ từ téc",DATA_GOC!$B:$B,"&gt;="&amp;$D9188,DATA_GOC!$B:$B,"&lt;="&amp;$E9188))</f>
        <v/>
      </c>
      <c r="J9188" s="59">
        <f t="shared" si="28"/>
        <v>0</v>
      </c>
      <c r="K9188" s="59">
        <f t="shared" si="29"/>
        <v>0</v>
      </c>
      <c r="L9188" s="59">
        <f t="shared" si="30"/>
        <v>0</v>
      </c>
      <c r="M9188" s="59">
        <f t="shared" si="31"/>
        <v>0</v>
      </c>
    </row>
    <row r="9189" ht="15.0" hidden="1" customHeight="1">
      <c r="A9189" s="59">
        <f t="shared" si="20"/>
        <v>150</v>
      </c>
      <c r="B9189" s="59" t="str">
        <f t="shared" si="21"/>
        <v/>
      </c>
      <c r="C9189" s="59" t="str">
        <f t="shared" si="22"/>
        <v/>
      </c>
      <c r="D9189" s="59" t="str">
        <f t="shared" si="23"/>
        <v/>
      </c>
      <c r="E9189" s="59" t="str">
        <f t="shared" si="24"/>
        <v/>
      </c>
      <c r="F9189" s="59" t="str">
        <f t="shared" si="25"/>
        <v/>
      </c>
      <c r="G9189" s="59" t="str">
        <f t="shared" si="26"/>
        <v/>
      </c>
      <c r="H9189" s="59" t="str">
        <f t="shared" si="27"/>
        <v>28C03261</v>
      </c>
      <c r="I9189" s="59" t="str">
        <f>IF(OR($A9189="",$C9189="",$D9189="",$E9189="",$H9189=""),"",SUMIFS(DATA_GOC!$H:$H,DATA_GOC!$A:$A,"BOM",DATA_GOC!$D:$D,$H9189,DATA_GOC!$E:$E,$C9189,DATA_GOC!$F:$F,"Xuất nội bộ từ téc",DATA_GOC!$B:$B,"&gt;="&amp;$D9189,DATA_GOC!$B:$B,"&lt;="&amp;$E9189))</f>
        <v/>
      </c>
      <c r="J9189" s="59">
        <f t="shared" si="28"/>
        <v>0</v>
      </c>
      <c r="K9189" s="59">
        <f t="shared" si="29"/>
        <v>0</v>
      </c>
      <c r="L9189" s="59">
        <f t="shared" si="30"/>
        <v>0</v>
      </c>
      <c r="M9189" s="59">
        <f t="shared" si="31"/>
        <v>0</v>
      </c>
    </row>
    <row r="9190" ht="15.0" hidden="1" customHeight="1">
      <c r="A9190" s="59">
        <f t="shared" si="20"/>
        <v>150</v>
      </c>
      <c r="B9190" s="59" t="str">
        <f t="shared" si="21"/>
        <v/>
      </c>
      <c r="C9190" s="59" t="str">
        <f t="shared" si="22"/>
        <v/>
      </c>
      <c r="D9190" s="59" t="str">
        <f t="shared" si="23"/>
        <v/>
      </c>
      <c r="E9190" s="59" t="str">
        <f t="shared" si="24"/>
        <v/>
      </c>
      <c r="F9190" s="59" t="str">
        <f t="shared" si="25"/>
        <v/>
      </c>
      <c r="G9190" s="59" t="str">
        <f t="shared" si="26"/>
        <v/>
      </c>
      <c r="H9190" s="59" t="str">
        <f t="shared" si="27"/>
        <v>28C03323</v>
      </c>
      <c r="I9190" s="59" t="str">
        <f>IF(OR($A9190="",$C9190="",$D9190="",$E9190="",$H9190=""),"",SUMIFS(DATA_GOC!$H:$H,DATA_GOC!$A:$A,"BOM",DATA_GOC!$D:$D,$H9190,DATA_GOC!$E:$E,$C9190,DATA_GOC!$F:$F,"Xuất nội bộ từ téc",DATA_GOC!$B:$B,"&gt;="&amp;$D9190,DATA_GOC!$B:$B,"&lt;="&amp;$E9190))</f>
        <v/>
      </c>
      <c r="J9190" s="59">
        <f t="shared" si="28"/>
        <v>0</v>
      </c>
      <c r="K9190" s="59">
        <f t="shared" si="29"/>
        <v>0</v>
      </c>
      <c r="L9190" s="59">
        <f t="shared" si="30"/>
        <v>0</v>
      </c>
      <c r="M9190" s="59">
        <f t="shared" si="31"/>
        <v>0</v>
      </c>
    </row>
    <row r="9191" ht="15.0" hidden="1" customHeight="1">
      <c r="A9191" s="59">
        <f t="shared" si="20"/>
        <v>150</v>
      </c>
      <c r="B9191" s="59" t="str">
        <f t="shared" si="21"/>
        <v/>
      </c>
      <c r="C9191" s="59" t="str">
        <f t="shared" si="22"/>
        <v/>
      </c>
      <c r="D9191" s="59" t="str">
        <f t="shared" si="23"/>
        <v/>
      </c>
      <c r="E9191" s="59" t="str">
        <f t="shared" si="24"/>
        <v/>
      </c>
      <c r="F9191" s="59" t="str">
        <f t="shared" si="25"/>
        <v/>
      </c>
      <c r="G9191" s="59" t="str">
        <f t="shared" si="26"/>
        <v/>
      </c>
      <c r="H9191" s="59" t="str">
        <f t="shared" si="27"/>
        <v>28C03385</v>
      </c>
      <c r="I9191" s="59" t="str">
        <f>IF(OR($A9191="",$C9191="",$D9191="",$E9191="",$H9191=""),"",SUMIFS(DATA_GOC!$H:$H,DATA_GOC!$A:$A,"BOM",DATA_GOC!$D:$D,$H9191,DATA_GOC!$E:$E,$C9191,DATA_GOC!$F:$F,"Xuất nội bộ từ téc",DATA_GOC!$B:$B,"&gt;="&amp;$D9191,DATA_GOC!$B:$B,"&lt;="&amp;$E9191))</f>
        <v/>
      </c>
      <c r="J9191" s="59">
        <f t="shared" si="28"/>
        <v>0</v>
      </c>
      <c r="K9191" s="59">
        <f t="shared" si="29"/>
        <v>0</v>
      </c>
      <c r="L9191" s="59">
        <f t="shared" si="30"/>
        <v>0</v>
      </c>
      <c r="M9191" s="59">
        <f t="shared" si="31"/>
        <v>0</v>
      </c>
    </row>
    <row r="9192" ht="15.0" hidden="1" customHeight="1">
      <c r="A9192" s="59">
        <f t="shared" si="20"/>
        <v>150</v>
      </c>
      <c r="B9192" s="59" t="str">
        <f t="shared" si="21"/>
        <v/>
      </c>
      <c r="C9192" s="59" t="str">
        <f t="shared" si="22"/>
        <v/>
      </c>
      <c r="D9192" s="59" t="str">
        <f t="shared" si="23"/>
        <v/>
      </c>
      <c r="E9192" s="59" t="str">
        <f t="shared" si="24"/>
        <v/>
      </c>
      <c r="F9192" s="59" t="str">
        <f t="shared" si="25"/>
        <v/>
      </c>
      <c r="G9192" s="59" t="str">
        <f t="shared" si="26"/>
        <v/>
      </c>
      <c r="H9192" s="59" t="str">
        <f t="shared" si="27"/>
        <v>28C03652</v>
      </c>
      <c r="I9192" s="59" t="str">
        <f>IF(OR($A9192="",$C9192="",$D9192="",$E9192="",$H9192=""),"",SUMIFS(DATA_GOC!$H:$H,DATA_GOC!$A:$A,"BOM",DATA_GOC!$D:$D,$H9192,DATA_GOC!$E:$E,$C9192,DATA_GOC!$F:$F,"Xuất nội bộ từ téc",DATA_GOC!$B:$B,"&gt;="&amp;$D9192,DATA_GOC!$B:$B,"&lt;="&amp;$E9192))</f>
        <v/>
      </c>
      <c r="J9192" s="59">
        <f t="shared" si="28"/>
        <v>0</v>
      </c>
      <c r="K9192" s="59">
        <f t="shared" si="29"/>
        <v>0</v>
      </c>
      <c r="L9192" s="59">
        <f t="shared" si="30"/>
        <v>0</v>
      </c>
      <c r="M9192" s="59">
        <f t="shared" si="31"/>
        <v>0</v>
      </c>
    </row>
    <row r="9193" ht="15.0" hidden="1" customHeight="1">
      <c r="A9193" s="59">
        <f t="shared" si="20"/>
        <v>150</v>
      </c>
      <c r="B9193" s="59" t="str">
        <f t="shared" si="21"/>
        <v/>
      </c>
      <c r="C9193" s="59" t="str">
        <f t="shared" si="22"/>
        <v/>
      </c>
      <c r="D9193" s="59" t="str">
        <f t="shared" si="23"/>
        <v/>
      </c>
      <c r="E9193" s="59" t="str">
        <f t="shared" si="24"/>
        <v/>
      </c>
      <c r="F9193" s="59" t="str">
        <f t="shared" si="25"/>
        <v/>
      </c>
      <c r="G9193" s="59" t="str">
        <f t="shared" si="26"/>
        <v/>
      </c>
      <c r="H9193" s="59" t="str">
        <f t="shared" si="27"/>
        <v>28C03695</v>
      </c>
      <c r="I9193" s="59" t="str">
        <f>IF(OR($A9193="",$C9193="",$D9193="",$E9193="",$H9193=""),"",SUMIFS(DATA_GOC!$H:$H,DATA_GOC!$A:$A,"BOM",DATA_GOC!$D:$D,$H9193,DATA_GOC!$E:$E,$C9193,DATA_GOC!$F:$F,"Xuất nội bộ từ téc",DATA_GOC!$B:$B,"&gt;="&amp;$D9193,DATA_GOC!$B:$B,"&lt;="&amp;$E9193))</f>
        <v/>
      </c>
      <c r="J9193" s="59">
        <f t="shared" si="28"/>
        <v>0</v>
      </c>
      <c r="K9193" s="59">
        <f t="shared" si="29"/>
        <v>0</v>
      </c>
      <c r="L9193" s="59">
        <f t="shared" si="30"/>
        <v>0</v>
      </c>
      <c r="M9193" s="59">
        <f t="shared" si="31"/>
        <v>0</v>
      </c>
    </row>
    <row r="9194" ht="15.0" hidden="1" customHeight="1">
      <c r="A9194" s="59">
        <f t="shared" si="20"/>
        <v>150</v>
      </c>
      <c r="B9194" s="59" t="str">
        <f t="shared" si="21"/>
        <v/>
      </c>
      <c r="C9194" s="59" t="str">
        <f t="shared" si="22"/>
        <v/>
      </c>
      <c r="D9194" s="59" t="str">
        <f t="shared" si="23"/>
        <v/>
      </c>
      <c r="E9194" s="59" t="str">
        <f t="shared" si="24"/>
        <v/>
      </c>
      <c r="F9194" s="59" t="str">
        <f t="shared" si="25"/>
        <v/>
      </c>
      <c r="G9194" s="59" t="str">
        <f t="shared" si="26"/>
        <v/>
      </c>
      <c r="H9194" s="59" t="str">
        <f t="shared" si="27"/>
        <v>28C03927</v>
      </c>
      <c r="I9194" s="59" t="str">
        <f>IF(OR($A9194="",$C9194="",$D9194="",$E9194="",$H9194=""),"",SUMIFS(DATA_GOC!$H:$H,DATA_GOC!$A:$A,"BOM",DATA_GOC!$D:$D,$H9194,DATA_GOC!$E:$E,$C9194,DATA_GOC!$F:$F,"Xuất nội bộ từ téc",DATA_GOC!$B:$B,"&gt;="&amp;$D9194,DATA_GOC!$B:$B,"&lt;="&amp;$E9194))</f>
        <v/>
      </c>
      <c r="J9194" s="59">
        <f t="shared" si="28"/>
        <v>0</v>
      </c>
      <c r="K9194" s="59">
        <f t="shared" si="29"/>
        <v>0</v>
      </c>
      <c r="L9194" s="59">
        <f t="shared" si="30"/>
        <v>0</v>
      </c>
      <c r="M9194" s="59">
        <f t="shared" si="31"/>
        <v>0</v>
      </c>
    </row>
    <row r="9195" ht="15.0" hidden="1" customHeight="1">
      <c r="A9195" s="59">
        <f t="shared" si="20"/>
        <v>150</v>
      </c>
      <c r="B9195" s="59" t="str">
        <f t="shared" si="21"/>
        <v/>
      </c>
      <c r="C9195" s="59" t="str">
        <f t="shared" si="22"/>
        <v/>
      </c>
      <c r="D9195" s="59" t="str">
        <f t="shared" si="23"/>
        <v/>
      </c>
      <c r="E9195" s="59" t="str">
        <f t="shared" si="24"/>
        <v/>
      </c>
      <c r="F9195" s="59" t="str">
        <f t="shared" si="25"/>
        <v/>
      </c>
      <c r="G9195" s="59" t="str">
        <f t="shared" si="26"/>
        <v/>
      </c>
      <c r="H9195" s="59" t="str">
        <f t="shared" si="27"/>
        <v>28C04509</v>
      </c>
      <c r="I9195" s="59" t="str">
        <f>IF(OR($A9195="",$C9195="",$D9195="",$E9195="",$H9195=""),"",SUMIFS(DATA_GOC!$H:$H,DATA_GOC!$A:$A,"BOM",DATA_GOC!$D:$D,$H9195,DATA_GOC!$E:$E,$C9195,DATA_GOC!$F:$F,"Xuất nội bộ từ téc",DATA_GOC!$B:$B,"&gt;="&amp;$D9195,DATA_GOC!$B:$B,"&lt;="&amp;$E9195))</f>
        <v/>
      </c>
      <c r="J9195" s="59">
        <f t="shared" si="28"/>
        <v>0</v>
      </c>
      <c r="K9195" s="59">
        <f t="shared" si="29"/>
        <v>0</v>
      </c>
      <c r="L9195" s="59">
        <f t="shared" si="30"/>
        <v>0</v>
      </c>
      <c r="M9195" s="59">
        <f t="shared" si="31"/>
        <v>0</v>
      </c>
    </row>
    <row r="9196" ht="15.0" hidden="1" customHeight="1">
      <c r="A9196" s="59">
        <f t="shared" si="20"/>
        <v>150</v>
      </c>
      <c r="B9196" s="59" t="str">
        <f t="shared" si="21"/>
        <v/>
      </c>
      <c r="C9196" s="59" t="str">
        <f t="shared" si="22"/>
        <v/>
      </c>
      <c r="D9196" s="59" t="str">
        <f t="shared" si="23"/>
        <v/>
      </c>
      <c r="E9196" s="59" t="str">
        <f t="shared" si="24"/>
        <v/>
      </c>
      <c r="F9196" s="59" t="str">
        <f t="shared" si="25"/>
        <v/>
      </c>
      <c r="G9196" s="59" t="str">
        <f t="shared" si="26"/>
        <v/>
      </c>
      <c r="H9196" s="59" t="str">
        <f t="shared" si="27"/>
        <v>28C04536</v>
      </c>
      <c r="I9196" s="59" t="str">
        <f>IF(OR($A9196="",$C9196="",$D9196="",$E9196="",$H9196=""),"",SUMIFS(DATA_GOC!$H:$H,DATA_GOC!$A:$A,"BOM",DATA_GOC!$D:$D,$H9196,DATA_GOC!$E:$E,$C9196,DATA_GOC!$F:$F,"Xuất nội bộ từ téc",DATA_GOC!$B:$B,"&gt;="&amp;$D9196,DATA_GOC!$B:$B,"&lt;="&amp;$E9196))</f>
        <v/>
      </c>
      <c r="J9196" s="59">
        <f t="shared" si="28"/>
        <v>0</v>
      </c>
      <c r="K9196" s="59">
        <f t="shared" si="29"/>
        <v>0</v>
      </c>
      <c r="L9196" s="59">
        <f t="shared" si="30"/>
        <v>0</v>
      </c>
      <c r="M9196" s="59">
        <f t="shared" si="31"/>
        <v>0</v>
      </c>
    </row>
    <row r="9197" ht="15.0" hidden="1" customHeight="1">
      <c r="A9197" s="59">
        <f t="shared" si="20"/>
        <v>150</v>
      </c>
      <c r="B9197" s="59" t="str">
        <f t="shared" si="21"/>
        <v/>
      </c>
      <c r="C9197" s="59" t="str">
        <f t="shared" si="22"/>
        <v/>
      </c>
      <c r="D9197" s="59" t="str">
        <f t="shared" si="23"/>
        <v/>
      </c>
      <c r="E9197" s="59" t="str">
        <f t="shared" si="24"/>
        <v/>
      </c>
      <c r="F9197" s="59" t="str">
        <f t="shared" si="25"/>
        <v/>
      </c>
      <c r="G9197" s="59" t="str">
        <f t="shared" si="26"/>
        <v/>
      </c>
      <c r="H9197" s="59" t="str">
        <f t="shared" si="27"/>
        <v>28C04576</v>
      </c>
      <c r="I9197" s="59" t="str">
        <f>IF(OR($A9197="",$C9197="",$D9197="",$E9197="",$H9197=""),"",SUMIFS(DATA_GOC!$H:$H,DATA_GOC!$A:$A,"BOM",DATA_GOC!$D:$D,$H9197,DATA_GOC!$E:$E,$C9197,DATA_GOC!$F:$F,"Xuất nội bộ từ téc",DATA_GOC!$B:$B,"&gt;="&amp;$D9197,DATA_GOC!$B:$B,"&lt;="&amp;$E9197))</f>
        <v/>
      </c>
      <c r="J9197" s="59">
        <f t="shared" si="28"/>
        <v>0</v>
      </c>
      <c r="K9197" s="59">
        <f t="shared" si="29"/>
        <v>0</v>
      </c>
      <c r="L9197" s="59">
        <f t="shared" si="30"/>
        <v>0</v>
      </c>
      <c r="M9197" s="59">
        <f t="shared" si="31"/>
        <v>0</v>
      </c>
    </row>
    <row r="9198" ht="15.0" hidden="1" customHeight="1">
      <c r="A9198" s="59">
        <f t="shared" si="20"/>
        <v>150</v>
      </c>
      <c r="B9198" s="59" t="str">
        <f t="shared" si="21"/>
        <v/>
      </c>
      <c r="C9198" s="59" t="str">
        <f t="shared" si="22"/>
        <v/>
      </c>
      <c r="D9198" s="59" t="str">
        <f t="shared" si="23"/>
        <v/>
      </c>
      <c r="E9198" s="59" t="str">
        <f t="shared" si="24"/>
        <v/>
      </c>
      <c r="F9198" s="59" t="str">
        <f t="shared" si="25"/>
        <v/>
      </c>
      <c r="G9198" s="59" t="str">
        <f t="shared" si="26"/>
        <v/>
      </c>
      <c r="H9198" s="59" t="str">
        <f t="shared" si="27"/>
        <v>28C05090</v>
      </c>
      <c r="I9198" s="59" t="str">
        <f>IF(OR($A9198="",$C9198="",$D9198="",$E9198="",$H9198=""),"",SUMIFS(DATA_GOC!$H:$H,DATA_GOC!$A:$A,"BOM",DATA_GOC!$D:$D,$H9198,DATA_GOC!$E:$E,$C9198,DATA_GOC!$F:$F,"Xuất nội bộ từ téc",DATA_GOC!$B:$B,"&gt;="&amp;$D9198,DATA_GOC!$B:$B,"&lt;="&amp;$E9198))</f>
        <v/>
      </c>
      <c r="J9198" s="59">
        <f t="shared" si="28"/>
        <v>0</v>
      </c>
      <c r="K9198" s="59">
        <f t="shared" si="29"/>
        <v>0</v>
      </c>
      <c r="L9198" s="59">
        <f t="shared" si="30"/>
        <v>0</v>
      </c>
      <c r="M9198" s="59">
        <f t="shared" si="31"/>
        <v>0</v>
      </c>
    </row>
    <row r="9199" ht="15.0" hidden="1" customHeight="1">
      <c r="A9199" s="59">
        <f t="shared" si="20"/>
        <v>150</v>
      </c>
      <c r="B9199" s="59" t="str">
        <f t="shared" si="21"/>
        <v/>
      </c>
      <c r="C9199" s="59" t="str">
        <f t="shared" si="22"/>
        <v/>
      </c>
      <c r="D9199" s="59" t="str">
        <f t="shared" si="23"/>
        <v/>
      </c>
      <c r="E9199" s="59" t="str">
        <f t="shared" si="24"/>
        <v/>
      </c>
      <c r="F9199" s="59" t="str">
        <f t="shared" si="25"/>
        <v/>
      </c>
      <c r="G9199" s="59" t="str">
        <f t="shared" si="26"/>
        <v/>
      </c>
      <c r="H9199" s="59" t="str">
        <f t="shared" si="27"/>
        <v>28C05345</v>
      </c>
      <c r="I9199" s="59" t="str">
        <f>IF(OR($A9199="",$C9199="",$D9199="",$E9199="",$H9199=""),"",SUMIFS(DATA_GOC!$H:$H,DATA_GOC!$A:$A,"BOM",DATA_GOC!$D:$D,$H9199,DATA_GOC!$E:$E,$C9199,DATA_GOC!$F:$F,"Xuất nội bộ từ téc",DATA_GOC!$B:$B,"&gt;="&amp;$D9199,DATA_GOC!$B:$B,"&lt;="&amp;$E9199))</f>
        <v/>
      </c>
      <c r="J9199" s="59">
        <f t="shared" si="28"/>
        <v>0</v>
      </c>
      <c r="K9199" s="59">
        <f t="shared" si="29"/>
        <v>0</v>
      </c>
      <c r="L9199" s="59">
        <f t="shared" si="30"/>
        <v>0</v>
      </c>
      <c r="M9199" s="59">
        <f t="shared" si="31"/>
        <v>0</v>
      </c>
    </row>
    <row r="9200" ht="15.0" hidden="1" customHeight="1">
      <c r="A9200" s="59">
        <f t="shared" si="20"/>
        <v>150</v>
      </c>
      <c r="B9200" s="59" t="str">
        <f t="shared" si="21"/>
        <v/>
      </c>
      <c r="C9200" s="59" t="str">
        <f t="shared" si="22"/>
        <v/>
      </c>
      <c r="D9200" s="59" t="str">
        <f t="shared" si="23"/>
        <v/>
      </c>
      <c r="E9200" s="59" t="str">
        <f t="shared" si="24"/>
        <v/>
      </c>
      <c r="F9200" s="59" t="str">
        <f t="shared" si="25"/>
        <v/>
      </c>
      <c r="G9200" s="59" t="str">
        <f t="shared" si="26"/>
        <v/>
      </c>
      <c r="H9200" s="59" t="str">
        <f t="shared" si="27"/>
        <v>28C05661</v>
      </c>
      <c r="I9200" s="59" t="str">
        <f>IF(OR($A9200="",$C9200="",$D9200="",$E9200="",$H9200=""),"",SUMIFS(DATA_GOC!$H:$H,DATA_GOC!$A:$A,"BOM",DATA_GOC!$D:$D,$H9200,DATA_GOC!$E:$E,$C9200,DATA_GOC!$F:$F,"Xuất nội bộ từ téc",DATA_GOC!$B:$B,"&gt;="&amp;$D9200,DATA_GOC!$B:$B,"&lt;="&amp;$E9200))</f>
        <v/>
      </c>
      <c r="J9200" s="59">
        <f t="shared" si="28"/>
        <v>0</v>
      </c>
      <c r="K9200" s="59">
        <f t="shared" si="29"/>
        <v>0</v>
      </c>
      <c r="L9200" s="59">
        <f t="shared" si="30"/>
        <v>0</v>
      </c>
      <c r="M9200" s="59">
        <f t="shared" si="31"/>
        <v>0</v>
      </c>
    </row>
    <row r="9201" ht="15.0" hidden="1" customHeight="1">
      <c r="A9201" s="59">
        <f t="shared" si="20"/>
        <v>150</v>
      </c>
      <c r="B9201" s="59" t="str">
        <f t="shared" si="21"/>
        <v/>
      </c>
      <c r="C9201" s="59" t="str">
        <f t="shared" si="22"/>
        <v/>
      </c>
      <c r="D9201" s="59" t="str">
        <f t="shared" si="23"/>
        <v/>
      </c>
      <c r="E9201" s="59" t="str">
        <f t="shared" si="24"/>
        <v/>
      </c>
      <c r="F9201" s="59" t="str">
        <f t="shared" si="25"/>
        <v/>
      </c>
      <c r="G9201" s="59" t="str">
        <f t="shared" si="26"/>
        <v/>
      </c>
      <c r="H9201" s="59" t="str">
        <f t="shared" si="27"/>
        <v>28C05739</v>
      </c>
      <c r="I9201" s="59" t="str">
        <f>IF(OR($A9201="",$C9201="",$D9201="",$E9201="",$H9201=""),"",SUMIFS(DATA_GOC!$H:$H,DATA_GOC!$A:$A,"BOM",DATA_GOC!$D:$D,$H9201,DATA_GOC!$E:$E,$C9201,DATA_GOC!$F:$F,"Xuất nội bộ từ téc",DATA_GOC!$B:$B,"&gt;="&amp;$D9201,DATA_GOC!$B:$B,"&lt;="&amp;$E9201))</f>
        <v/>
      </c>
      <c r="J9201" s="59">
        <f t="shared" si="28"/>
        <v>0</v>
      </c>
      <c r="K9201" s="59">
        <f t="shared" si="29"/>
        <v>0</v>
      </c>
      <c r="L9201" s="59">
        <f t="shared" si="30"/>
        <v>0</v>
      </c>
      <c r="M9201" s="59">
        <f t="shared" si="31"/>
        <v>0</v>
      </c>
    </row>
    <row r="9202" ht="15.0" hidden="1" customHeight="1">
      <c r="A9202" s="59">
        <f t="shared" si="20"/>
        <v>150</v>
      </c>
      <c r="B9202" s="59" t="str">
        <f t="shared" si="21"/>
        <v/>
      </c>
      <c r="C9202" s="59" t="str">
        <f t="shared" si="22"/>
        <v/>
      </c>
      <c r="D9202" s="59" t="str">
        <f t="shared" si="23"/>
        <v/>
      </c>
      <c r="E9202" s="59" t="str">
        <f t="shared" si="24"/>
        <v/>
      </c>
      <c r="F9202" s="59" t="str">
        <f t="shared" si="25"/>
        <v/>
      </c>
      <c r="G9202" s="59" t="str">
        <f t="shared" si="26"/>
        <v/>
      </c>
      <c r="H9202" s="59" t="str">
        <f t="shared" si="27"/>
        <v>28C06369</v>
      </c>
      <c r="I9202" s="59" t="str">
        <f>IF(OR($A9202="",$C9202="",$D9202="",$E9202="",$H9202=""),"",SUMIFS(DATA_GOC!$H:$H,DATA_GOC!$A:$A,"BOM",DATA_GOC!$D:$D,$H9202,DATA_GOC!$E:$E,$C9202,DATA_GOC!$F:$F,"Xuất nội bộ từ téc",DATA_GOC!$B:$B,"&gt;="&amp;$D9202,DATA_GOC!$B:$B,"&lt;="&amp;$E9202))</f>
        <v/>
      </c>
      <c r="J9202" s="59">
        <f t="shared" si="28"/>
        <v>0</v>
      </c>
      <c r="K9202" s="59">
        <f t="shared" si="29"/>
        <v>0</v>
      </c>
      <c r="L9202" s="59">
        <f t="shared" si="30"/>
        <v>0</v>
      </c>
      <c r="M9202" s="59">
        <f t="shared" si="31"/>
        <v>0</v>
      </c>
    </row>
    <row r="9203" ht="15.0" hidden="1" customHeight="1">
      <c r="A9203" s="59">
        <f t="shared" si="20"/>
        <v>150</v>
      </c>
      <c r="B9203" s="59" t="str">
        <f t="shared" si="21"/>
        <v/>
      </c>
      <c r="C9203" s="59" t="str">
        <f t="shared" si="22"/>
        <v/>
      </c>
      <c r="D9203" s="59" t="str">
        <f t="shared" si="23"/>
        <v/>
      </c>
      <c r="E9203" s="59" t="str">
        <f t="shared" si="24"/>
        <v/>
      </c>
      <c r="F9203" s="59" t="str">
        <f t="shared" si="25"/>
        <v/>
      </c>
      <c r="G9203" s="59" t="str">
        <f t="shared" si="26"/>
        <v/>
      </c>
      <c r="H9203" s="59" t="str">
        <f t="shared" si="27"/>
        <v>28C06447</v>
      </c>
      <c r="I9203" s="59" t="str">
        <f>IF(OR($A9203="",$C9203="",$D9203="",$E9203="",$H9203=""),"",SUMIFS(DATA_GOC!$H:$H,DATA_GOC!$A:$A,"BOM",DATA_GOC!$D:$D,$H9203,DATA_GOC!$E:$E,$C9203,DATA_GOC!$F:$F,"Xuất nội bộ từ téc",DATA_GOC!$B:$B,"&gt;="&amp;$D9203,DATA_GOC!$B:$B,"&lt;="&amp;$E9203))</f>
        <v/>
      </c>
      <c r="J9203" s="59">
        <f t="shared" si="28"/>
        <v>0</v>
      </c>
      <c r="K9203" s="59">
        <f t="shared" si="29"/>
        <v>0</v>
      </c>
      <c r="L9203" s="59">
        <f t="shared" si="30"/>
        <v>0</v>
      </c>
      <c r="M9203" s="59">
        <f t="shared" si="31"/>
        <v>0</v>
      </c>
    </row>
    <row r="9204" ht="15.0" hidden="1" customHeight="1">
      <c r="A9204" s="59">
        <f t="shared" si="20"/>
        <v>150</v>
      </c>
      <c r="B9204" s="59" t="str">
        <f t="shared" si="21"/>
        <v/>
      </c>
      <c r="C9204" s="59" t="str">
        <f t="shared" si="22"/>
        <v/>
      </c>
      <c r="D9204" s="59" t="str">
        <f t="shared" si="23"/>
        <v/>
      </c>
      <c r="E9204" s="59" t="str">
        <f t="shared" si="24"/>
        <v/>
      </c>
      <c r="F9204" s="59" t="str">
        <f t="shared" si="25"/>
        <v/>
      </c>
      <c r="G9204" s="59" t="str">
        <f t="shared" si="26"/>
        <v/>
      </c>
      <c r="H9204" s="59" t="str">
        <f t="shared" si="27"/>
        <v>28H00003</v>
      </c>
      <c r="I9204" s="59" t="str">
        <f>IF(OR($A9204="",$C9204="",$D9204="",$E9204="",$H9204=""),"",SUMIFS(DATA_GOC!$H:$H,DATA_GOC!$A:$A,"BOM",DATA_GOC!$D:$D,$H9204,DATA_GOC!$E:$E,$C9204,DATA_GOC!$F:$F,"Xuất nội bộ từ téc",DATA_GOC!$B:$B,"&gt;="&amp;$D9204,DATA_GOC!$B:$B,"&lt;="&amp;$E9204))</f>
        <v/>
      </c>
      <c r="J9204" s="59">
        <f t="shared" si="28"/>
        <v>0</v>
      </c>
      <c r="K9204" s="59">
        <f t="shared" si="29"/>
        <v>0</v>
      </c>
      <c r="L9204" s="59">
        <f t="shared" si="30"/>
        <v>0</v>
      </c>
      <c r="M9204" s="59">
        <f t="shared" si="31"/>
        <v>0</v>
      </c>
    </row>
    <row r="9205" ht="15.0" hidden="1" customHeight="1">
      <c r="A9205" s="59">
        <f t="shared" si="20"/>
        <v>150</v>
      </c>
      <c r="B9205" s="59" t="str">
        <f t="shared" si="21"/>
        <v/>
      </c>
      <c r="C9205" s="59" t="str">
        <f t="shared" si="22"/>
        <v/>
      </c>
      <c r="D9205" s="59" t="str">
        <f t="shared" si="23"/>
        <v/>
      </c>
      <c r="E9205" s="59" t="str">
        <f t="shared" si="24"/>
        <v/>
      </c>
      <c r="F9205" s="59" t="str">
        <f t="shared" si="25"/>
        <v/>
      </c>
      <c r="G9205" s="59" t="str">
        <f t="shared" si="26"/>
        <v/>
      </c>
      <c r="H9205" s="59" t="str">
        <f t="shared" si="27"/>
        <v>28H00061</v>
      </c>
      <c r="I9205" s="59" t="str">
        <f>IF(OR($A9205="",$C9205="",$D9205="",$E9205="",$H9205=""),"",SUMIFS(DATA_GOC!$H:$H,DATA_GOC!$A:$A,"BOM",DATA_GOC!$D:$D,$H9205,DATA_GOC!$E:$E,$C9205,DATA_GOC!$F:$F,"Xuất nội bộ từ téc",DATA_GOC!$B:$B,"&gt;="&amp;$D9205,DATA_GOC!$B:$B,"&lt;="&amp;$E9205))</f>
        <v/>
      </c>
      <c r="J9205" s="59">
        <f t="shared" si="28"/>
        <v>0</v>
      </c>
      <c r="K9205" s="59">
        <f t="shared" si="29"/>
        <v>0</v>
      </c>
      <c r="L9205" s="59">
        <f t="shared" si="30"/>
        <v>0</v>
      </c>
      <c r="M9205" s="59">
        <f t="shared" si="31"/>
        <v>0</v>
      </c>
    </row>
    <row r="9206" ht="15.0" hidden="1" customHeight="1">
      <c r="A9206" s="59">
        <f t="shared" si="20"/>
        <v>150</v>
      </c>
      <c r="B9206" s="59" t="str">
        <f t="shared" si="21"/>
        <v/>
      </c>
      <c r="C9206" s="59" t="str">
        <f t="shared" si="22"/>
        <v/>
      </c>
      <c r="D9206" s="59" t="str">
        <f t="shared" si="23"/>
        <v/>
      </c>
      <c r="E9206" s="59" t="str">
        <f t="shared" si="24"/>
        <v/>
      </c>
      <c r="F9206" s="59" t="str">
        <f t="shared" si="25"/>
        <v/>
      </c>
      <c r="G9206" s="59" t="str">
        <f t="shared" si="26"/>
        <v/>
      </c>
      <c r="H9206" s="59" t="str">
        <f t="shared" si="27"/>
        <v>28H00354</v>
      </c>
      <c r="I9206" s="59" t="str">
        <f>IF(OR($A9206="",$C9206="",$D9206="",$E9206="",$H9206=""),"",SUMIFS(DATA_GOC!$H:$H,DATA_GOC!$A:$A,"BOM",DATA_GOC!$D:$D,$H9206,DATA_GOC!$E:$E,$C9206,DATA_GOC!$F:$F,"Xuất nội bộ từ téc",DATA_GOC!$B:$B,"&gt;="&amp;$D9206,DATA_GOC!$B:$B,"&lt;="&amp;$E9206))</f>
        <v/>
      </c>
      <c r="J9206" s="59">
        <f t="shared" si="28"/>
        <v>0</v>
      </c>
      <c r="K9206" s="59">
        <f t="shared" si="29"/>
        <v>0</v>
      </c>
      <c r="L9206" s="59">
        <f t="shared" si="30"/>
        <v>0</v>
      </c>
      <c r="M9206" s="59">
        <f t="shared" si="31"/>
        <v>0</v>
      </c>
    </row>
    <row r="9207" ht="15.0" hidden="1" customHeight="1">
      <c r="A9207" s="59">
        <f t="shared" si="20"/>
        <v>150</v>
      </c>
      <c r="B9207" s="59" t="str">
        <f t="shared" si="21"/>
        <v/>
      </c>
      <c r="C9207" s="59" t="str">
        <f t="shared" si="22"/>
        <v/>
      </c>
      <c r="D9207" s="59" t="str">
        <f t="shared" si="23"/>
        <v/>
      </c>
      <c r="E9207" s="59" t="str">
        <f t="shared" si="24"/>
        <v/>
      </c>
      <c r="F9207" s="59" t="str">
        <f t="shared" si="25"/>
        <v/>
      </c>
      <c r="G9207" s="59" t="str">
        <f t="shared" si="26"/>
        <v/>
      </c>
      <c r="H9207" s="59" t="str">
        <f t="shared" si="27"/>
        <v>28H00603</v>
      </c>
      <c r="I9207" s="59" t="str">
        <f>IF(OR($A9207="",$C9207="",$D9207="",$E9207="",$H9207=""),"",SUMIFS(DATA_GOC!$H:$H,DATA_GOC!$A:$A,"BOM",DATA_GOC!$D:$D,$H9207,DATA_GOC!$E:$E,$C9207,DATA_GOC!$F:$F,"Xuất nội bộ từ téc",DATA_GOC!$B:$B,"&gt;="&amp;$D9207,DATA_GOC!$B:$B,"&lt;="&amp;$E9207))</f>
        <v/>
      </c>
      <c r="J9207" s="59">
        <f t="shared" si="28"/>
        <v>0</v>
      </c>
      <c r="K9207" s="59">
        <f t="shared" si="29"/>
        <v>0</v>
      </c>
      <c r="L9207" s="59">
        <f t="shared" si="30"/>
        <v>0</v>
      </c>
      <c r="M9207" s="59">
        <f t="shared" si="31"/>
        <v>0</v>
      </c>
    </row>
    <row r="9208" ht="15.0" hidden="1" customHeight="1">
      <c r="A9208" s="59">
        <f t="shared" si="20"/>
        <v>150</v>
      </c>
      <c r="B9208" s="59" t="str">
        <f t="shared" si="21"/>
        <v/>
      </c>
      <c r="C9208" s="59" t="str">
        <f t="shared" si="22"/>
        <v/>
      </c>
      <c r="D9208" s="59" t="str">
        <f t="shared" si="23"/>
        <v/>
      </c>
      <c r="E9208" s="59" t="str">
        <f t="shared" si="24"/>
        <v/>
      </c>
      <c r="F9208" s="59" t="str">
        <f t="shared" si="25"/>
        <v/>
      </c>
      <c r="G9208" s="59" t="str">
        <f t="shared" si="26"/>
        <v/>
      </c>
      <c r="H9208" s="59" t="str">
        <f t="shared" si="27"/>
        <v>28H00609</v>
      </c>
      <c r="I9208" s="59" t="str">
        <f>IF(OR($A9208="",$C9208="",$D9208="",$E9208="",$H9208=""),"",SUMIFS(DATA_GOC!$H:$H,DATA_GOC!$A:$A,"BOM",DATA_GOC!$D:$D,$H9208,DATA_GOC!$E:$E,$C9208,DATA_GOC!$F:$F,"Xuất nội bộ từ téc",DATA_GOC!$B:$B,"&gt;="&amp;$D9208,DATA_GOC!$B:$B,"&lt;="&amp;$E9208))</f>
        <v/>
      </c>
      <c r="J9208" s="59">
        <f t="shared" si="28"/>
        <v>0</v>
      </c>
      <c r="K9208" s="59">
        <f t="shared" si="29"/>
        <v>0</v>
      </c>
      <c r="L9208" s="59">
        <f t="shared" si="30"/>
        <v>0</v>
      </c>
      <c r="M9208" s="59">
        <f t="shared" si="31"/>
        <v>0</v>
      </c>
    </row>
    <row r="9209" ht="15.0" hidden="1" customHeight="1">
      <c r="A9209" s="59">
        <f t="shared" si="20"/>
        <v>150</v>
      </c>
      <c r="B9209" s="59" t="str">
        <f t="shared" si="21"/>
        <v/>
      </c>
      <c r="C9209" s="59" t="str">
        <f t="shared" si="22"/>
        <v/>
      </c>
      <c r="D9209" s="59" t="str">
        <f t="shared" si="23"/>
        <v/>
      </c>
      <c r="E9209" s="59" t="str">
        <f t="shared" si="24"/>
        <v/>
      </c>
      <c r="F9209" s="59" t="str">
        <f t="shared" si="25"/>
        <v/>
      </c>
      <c r="G9209" s="59" t="str">
        <f t="shared" si="26"/>
        <v/>
      </c>
      <c r="H9209" s="59" t="str">
        <f t="shared" si="27"/>
        <v>28H00669</v>
      </c>
      <c r="I9209" s="59" t="str">
        <f>IF(OR($A9209="",$C9209="",$D9209="",$E9209="",$H9209=""),"",SUMIFS(DATA_GOC!$H:$H,DATA_GOC!$A:$A,"BOM",DATA_GOC!$D:$D,$H9209,DATA_GOC!$E:$E,$C9209,DATA_GOC!$F:$F,"Xuất nội bộ từ téc",DATA_GOC!$B:$B,"&gt;="&amp;$D9209,DATA_GOC!$B:$B,"&lt;="&amp;$E9209))</f>
        <v/>
      </c>
      <c r="J9209" s="59">
        <f t="shared" si="28"/>
        <v>0</v>
      </c>
      <c r="K9209" s="59">
        <f t="shared" si="29"/>
        <v>0</v>
      </c>
      <c r="L9209" s="59">
        <f t="shared" si="30"/>
        <v>0</v>
      </c>
      <c r="M9209" s="59">
        <f t="shared" si="31"/>
        <v>0</v>
      </c>
    </row>
    <row r="9210" ht="15.0" hidden="1" customHeight="1">
      <c r="A9210" s="59">
        <f t="shared" si="20"/>
        <v>150</v>
      </c>
      <c r="B9210" s="59" t="str">
        <f t="shared" si="21"/>
        <v/>
      </c>
      <c r="C9210" s="59" t="str">
        <f t="shared" si="22"/>
        <v/>
      </c>
      <c r="D9210" s="59" t="str">
        <f t="shared" si="23"/>
        <v/>
      </c>
      <c r="E9210" s="59" t="str">
        <f t="shared" si="24"/>
        <v/>
      </c>
      <c r="F9210" s="59" t="str">
        <f t="shared" si="25"/>
        <v/>
      </c>
      <c r="G9210" s="59" t="str">
        <f t="shared" si="26"/>
        <v/>
      </c>
      <c r="H9210" s="59" t="str">
        <f t="shared" si="27"/>
        <v>28H00680</v>
      </c>
      <c r="I9210" s="59" t="str">
        <f>IF(OR($A9210="",$C9210="",$D9210="",$E9210="",$H9210=""),"",SUMIFS(DATA_GOC!$H:$H,DATA_GOC!$A:$A,"BOM",DATA_GOC!$D:$D,$H9210,DATA_GOC!$E:$E,$C9210,DATA_GOC!$F:$F,"Xuất nội bộ từ téc",DATA_GOC!$B:$B,"&gt;="&amp;$D9210,DATA_GOC!$B:$B,"&lt;="&amp;$E9210))</f>
        <v/>
      </c>
      <c r="J9210" s="59">
        <f t="shared" si="28"/>
        <v>0</v>
      </c>
      <c r="K9210" s="59">
        <f t="shared" si="29"/>
        <v>0</v>
      </c>
      <c r="L9210" s="59">
        <f t="shared" si="30"/>
        <v>0</v>
      </c>
      <c r="M9210" s="59">
        <f t="shared" si="31"/>
        <v>0</v>
      </c>
    </row>
    <row r="9211" ht="15.0" hidden="1" customHeight="1">
      <c r="A9211" s="59">
        <f t="shared" si="20"/>
        <v>150</v>
      </c>
      <c r="B9211" s="59" t="str">
        <f t="shared" si="21"/>
        <v/>
      </c>
      <c r="C9211" s="59" t="str">
        <f t="shared" si="22"/>
        <v/>
      </c>
      <c r="D9211" s="59" t="str">
        <f t="shared" si="23"/>
        <v/>
      </c>
      <c r="E9211" s="59" t="str">
        <f t="shared" si="24"/>
        <v/>
      </c>
      <c r="F9211" s="59" t="str">
        <f t="shared" si="25"/>
        <v/>
      </c>
      <c r="G9211" s="59" t="str">
        <f t="shared" si="26"/>
        <v/>
      </c>
      <c r="H9211" s="59" t="str">
        <f t="shared" si="27"/>
        <v>28H01070</v>
      </c>
      <c r="I9211" s="59" t="str">
        <f>IF(OR($A9211="",$C9211="",$D9211="",$E9211="",$H9211=""),"",SUMIFS(DATA_GOC!$H:$H,DATA_GOC!$A:$A,"BOM",DATA_GOC!$D:$D,$H9211,DATA_GOC!$E:$E,$C9211,DATA_GOC!$F:$F,"Xuất nội bộ từ téc",DATA_GOC!$B:$B,"&gt;="&amp;$D9211,DATA_GOC!$B:$B,"&lt;="&amp;$E9211))</f>
        <v/>
      </c>
      <c r="J9211" s="59">
        <f t="shared" si="28"/>
        <v>0</v>
      </c>
      <c r="K9211" s="59">
        <f t="shared" si="29"/>
        <v>0</v>
      </c>
      <c r="L9211" s="59">
        <f t="shared" si="30"/>
        <v>0</v>
      </c>
      <c r="M9211" s="59">
        <f t="shared" si="31"/>
        <v>0</v>
      </c>
    </row>
    <row r="9212" ht="15.0" hidden="1" customHeight="1">
      <c r="A9212" s="59">
        <f t="shared" si="20"/>
        <v>150</v>
      </c>
      <c r="B9212" s="59" t="str">
        <f t="shared" si="21"/>
        <v/>
      </c>
      <c r="C9212" s="59" t="str">
        <f t="shared" si="22"/>
        <v/>
      </c>
      <c r="D9212" s="59" t="str">
        <f t="shared" si="23"/>
        <v/>
      </c>
      <c r="E9212" s="59" t="str">
        <f t="shared" si="24"/>
        <v/>
      </c>
      <c r="F9212" s="59" t="str">
        <f t="shared" si="25"/>
        <v/>
      </c>
      <c r="G9212" s="59" t="str">
        <f t="shared" si="26"/>
        <v/>
      </c>
      <c r="H9212" s="59" t="str">
        <f t="shared" si="27"/>
        <v>28H01364</v>
      </c>
      <c r="I9212" s="59" t="str">
        <f>IF(OR($A9212="",$C9212="",$D9212="",$E9212="",$H9212=""),"",SUMIFS(DATA_GOC!$H:$H,DATA_GOC!$A:$A,"BOM",DATA_GOC!$D:$D,$H9212,DATA_GOC!$E:$E,$C9212,DATA_GOC!$F:$F,"Xuất nội bộ từ téc",DATA_GOC!$B:$B,"&gt;="&amp;$D9212,DATA_GOC!$B:$B,"&lt;="&amp;$E9212))</f>
        <v/>
      </c>
      <c r="J9212" s="59">
        <f t="shared" si="28"/>
        <v>0</v>
      </c>
      <c r="K9212" s="59">
        <f t="shared" si="29"/>
        <v>0</v>
      </c>
      <c r="L9212" s="59">
        <f t="shared" si="30"/>
        <v>0</v>
      </c>
      <c r="M9212" s="59">
        <f t="shared" si="31"/>
        <v>0</v>
      </c>
    </row>
    <row r="9213" ht="15.0" hidden="1" customHeight="1">
      <c r="A9213" s="59">
        <f t="shared" si="20"/>
        <v>150</v>
      </c>
      <c r="B9213" s="59" t="str">
        <f t="shared" si="21"/>
        <v/>
      </c>
      <c r="C9213" s="59" t="str">
        <f t="shared" si="22"/>
        <v/>
      </c>
      <c r="D9213" s="59" t="str">
        <f t="shared" si="23"/>
        <v/>
      </c>
      <c r="E9213" s="59" t="str">
        <f t="shared" si="24"/>
        <v/>
      </c>
      <c r="F9213" s="59" t="str">
        <f t="shared" si="25"/>
        <v/>
      </c>
      <c r="G9213" s="59" t="str">
        <f t="shared" si="26"/>
        <v/>
      </c>
      <c r="H9213" s="59" t="str">
        <f t="shared" si="27"/>
        <v>29E17269</v>
      </c>
      <c r="I9213" s="59" t="str">
        <f>IF(OR($A9213="",$C9213="",$D9213="",$E9213="",$H9213=""),"",SUMIFS(DATA_GOC!$H:$H,DATA_GOC!$A:$A,"BOM",DATA_GOC!$D:$D,$H9213,DATA_GOC!$E:$E,$C9213,DATA_GOC!$F:$F,"Xuất nội bộ từ téc",DATA_GOC!$B:$B,"&gt;="&amp;$D9213,DATA_GOC!$B:$B,"&lt;="&amp;$E9213))</f>
        <v/>
      </c>
      <c r="J9213" s="59">
        <f t="shared" si="28"/>
        <v>0</v>
      </c>
      <c r="K9213" s="59">
        <f t="shared" si="29"/>
        <v>0</v>
      </c>
      <c r="L9213" s="59">
        <f t="shared" si="30"/>
        <v>0</v>
      </c>
      <c r="M9213" s="59">
        <f t="shared" si="31"/>
        <v>0</v>
      </c>
    </row>
    <row r="9214" ht="15.0" hidden="1" customHeight="1">
      <c r="A9214" s="59">
        <f t="shared" si="20"/>
        <v>150</v>
      </c>
      <c r="B9214" s="59" t="str">
        <f t="shared" si="21"/>
        <v/>
      </c>
      <c r="C9214" s="59" t="str">
        <f t="shared" si="22"/>
        <v/>
      </c>
      <c r="D9214" s="59" t="str">
        <f t="shared" si="23"/>
        <v/>
      </c>
      <c r="E9214" s="59" t="str">
        <f t="shared" si="24"/>
        <v/>
      </c>
      <c r="F9214" s="59" t="str">
        <f t="shared" si="25"/>
        <v/>
      </c>
      <c r="G9214" s="59" t="str">
        <f t="shared" si="26"/>
        <v/>
      </c>
      <c r="H9214" s="59" t="str">
        <f t="shared" si="27"/>
        <v>29E17273</v>
      </c>
      <c r="I9214" s="59" t="str">
        <f>IF(OR($A9214="",$C9214="",$D9214="",$E9214="",$H9214=""),"",SUMIFS(DATA_GOC!$H:$H,DATA_GOC!$A:$A,"BOM",DATA_GOC!$D:$D,$H9214,DATA_GOC!$E:$E,$C9214,DATA_GOC!$F:$F,"Xuất nội bộ từ téc",DATA_GOC!$B:$B,"&gt;="&amp;$D9214,DATA_GOC!$B:$B,"&lt;="&amp;$E9214))</f>
        <v/>
      </c>
      <c r="J9214" s="59">
        <f t="shared" si="28"/>
        <v>0</v>
      </c>
      <c r="K9214" s="59">
        <f t="shared" si="29"/>
        <v>0</v>
      </c>
      <c r="L9214" s="59">
        <f t="shared" si="30"/>
        <v>0</v>
      </c>
      <c r="M9214" s="59">
        <f t="shared" si="31"/>
        <v>0</v>
      </c>
    </row>
    <row r="9215" ht="15.0" hidden="1" customHeight="1">
      <c r="A9215" s="59">
        <f t="shared" si="20"/>
        <v>150</v>
      </c>
      <c r="B9215" s="59" t="str">
        <f t="shared" si="21"/>
        <v/>
      </c>
      <c r="C9215" s="59" t="str">
        <f t="shared" si="22"/>
        <v/>
      </c>
      <c r="D9215" s="59" t="str">
        <f t="shared" si="23"/>
        <v/>
      </c>
      <c r="E9215" s="59" t="str">
        <f t="shared" si="24"/>
        <v/>
      </c>
      <c r="F9215" s="59" t="str">
        <f t="shared" si="25"/>
        <v/>
      </c>
      <c r="G9215" s="59" t="str">
        <f t="shared" si="26"/>
        <v/>
      </c>
      <c r="H9215" s="59" t="str">
        <f t="shared" si="27"/>
        <v>29E17410</v>
      </c>
      <c r="I9215" s="59" t="str">
        <f>IF(OR($A9215="",$C9215="",$D9215="",$E9215="",$H9215=""),"",SUMIFS(DATA_GOC!$H:$H,DATA_GOC!$A:$A,"BOM",DATA_GOC!$D:$D,$H9215,DATA_GOC!$E:$E,$C9215,DATA_GOC!$F:$F,"Xuất nội bộ từ téc",DATA_GOC!$B:$B,"&gt;="&amp;$D9215,DATA_GOC!$B:$B,"&lt;="&amp;$E9215))</f>
        <v/>
      </c>
      <c r="J9215" s="59">
        <f t="shared" si="28"/>
        <v>0</v>
      </c>
      <c r="K9215" s="59">
        <f t="shared" si="29"/>
        <v>0</v>
      </c>
      <c r="L9215" s="59">
        <f t="shared" si="30"/>
        <v>0</v>
      </c>
      <c r="M9215" s="59">
        <f t="shared" si="31"/>
        <v>0</v>
      </c>
    </row>
    <row r="9216" ht="15.0" hidden="1" customHeight="1">
      <c r="A9216" s="59">
        <f t="shared" si="20"/>
        <v>150</v>
      </c>
      <c r="B9216" s="59" t="str">
        <f t="shared" si="21"/>
        <v/>
      </c>
      <c r="C9216" s="59" t="str">
        <f t="shared" si="22"/>
        <v/>
      </c>
      <c r="D9216" s="59" t="str">
        <f t="shared" si="23"/>
        <v/>
      </c>
      <c r="E9216" s="59" t="str">
        <f t="shared" si="24"/>
        <v/>
      </c>
      <c r="F9216" s="59" t="str">
        <f t="shared" si="25"/>
        <v/>
      </c>
      <c r="G9216" s="59" t="str">
        <f t="shared" si="26"/>
        <v/>
      </c>
      <c r="H9216" s="59" t="str">
        <f t="shared" si="27"/>
        <v>29E17417</v>
      </c>
      <c r="I9216" s="59" t="str">
        <f>IF(OR($A9216="",$C9216="",$D9216="",$E9216="",$H9216=""),"",SUMIFS(DATA_GOC!$H:$H,DATA_GOC!$A:$A,"BOM",DATA_GOC!$D:$D,$H9216,DATA_GOC!$E:$E,$C9216,DATA_GOC!$F:$F,"Xuất nội bộ từ téc",DATA_GOC!$B:$B,"&gt;="&amp;$D9216,DATA_GOC!$B:$B,"&lt;="&amp;$E9216))</f>
        <v/>
      </c>
      <c r="J9216" s="59">
        <f t="shared" si="28"/>
        <v>0</v>
      </c>
      <c r="K9216" s="59">
        <f t="shared" si="29"/>
        <v>0</v>
      </c>
      <c r="L9216" s="59">
        <f t="shared" si="30"/>
        <v>0</v>
      </c>
      <c r="M9216" s="59">
        <f t="shared" si="31"/>
        <v>0</v>
      </c>
    </row>
    <row r="9217" ht="15.0" hidden="1" customHeight="1">
      <c r="A9217" s="59">
        <f t="shared" si="20"/>
        <v>150</v>
      </c>
      <c r="B9217" s="59" t="str">
        <f t="shared" si="21"/>
        <v/>
      </c>
      <c r="C9217" s="59" t="str">
        <f t="shared" si="22"/>
        <v/>
      </c>
      <c r="D9217" s="59" t="str">
        <f t="shared" si="23"/>
        <v/>
      </c>
      <c r="E9217" s="59" t="str">
        <f t="shared" si="24"/>
        <v/>
      </c>
      <c r="F9217" s="59" t="str">
        <f t="shared" si="25"/>
        <v/>
      </c>
      <c r="G9217" s="59" t="str">
        <f t="shared" si="26"/>
        <v/>
      </c>
      <c r="H9217" s="59" t="str">
        <f t="shared" si="27"/>
        <v>29E17539</v>
      </c>
      <c r="I9217" s="59" t="str">
        <f>IF(OR($A9217="",$C9217="",$D9217="",$E9217="",$H9217=""),"",SUMIFS(DATA_GOC!$H:$H,DATA_GOC!$A:$A,"BOM",DATA_GOC!$D:$D,$H9217,DATA_GOC!$E:$E,$C9217,DATA_GOC!$F:$F,"Xuất nội bộ từ téc",DATA_GOC!$B:$B,"&gt;="&amp;$D9217,DATA_GOC!$B:$B,"&lt;="&amp;$E9217))</f>
        <v/>
      </c>
      <c r="J9217" s="59">
        <f t="shared" si="28"/>
        <v>0</v>
      </c>
      <c r="K9217" s="59">
        <f t="shared" si="29"/>
        <v>0</v>
      </c>
      <c r="L9217" s="59">
        <f t="shared" si="30"/>
        <v>0</v>
      </c>
      <c r="M9217" s="59">
        <f t="shared" si="31"/>
        <v>0</v>
      </c>
    </row>
    <row r="9218" ht="15.0" hidden="1" customHeight="1">
      <c r="A9218" s="59">
        <f t="shared" si="20"/>
        <v>150</v>
      </c>
      <c r="B9218" s="59" t="str">
        <f t="shared" si="21"/>
        <v/>
      </c>
      <c r="C9218" s="59" t="str">
        <f t="shared" si="22"/>
        <v/>
      </c>
      <c r="D9218" s="59" t="str">
        <f t="shared" si="23"/>
        <v/>
      </c>
      <c r="E9218" s="59" t="str">
        <f t="shared" si="24"/>
        <v/>
      </c>
      <c r="F9218" s="59" t="str">
        <f t="shared" si="25"/>
        <v/>
      </c>
      <c r="G9218" s="59" t="str">
        <f t="shared" si="26"/>
        <v/>
      </c>
      <c r="H9218" s="59" t="str">
        <f t="shared" si="27"/>
        <v>29E18160</v>
      </c>
      <c r="I9218" s="59" t="str">
        <f>IF(OR($A9218="",$C9218="",$D9218="",$E9218="",$H9218=""),"",SUMIFS(DATA_GOC!$H:$H,DATA_GOC!$A:$A,"BOM",DATA_GOC!$D:$D,$H9218,DATA_GOC!$E:$E,$C9218,DATA_GOC!$F:$F,"Xuất nội bộ từ téc",DATA_GOC!$B:$B,"&gt;="&amp;$D9218,DATA_GOC!$B:$B,"&lt;="&amp;$E9218))</f>
        <v/>
      </c>
      <c r="J9218" s="59">
        <f t="shared" si="28"/>
        <v>0</v>
      </c>
      <c r="K9218" s="59">
        <f t="shared" si="29"/>
        <v>0</v>
      </c>
      <c r="L9218" s="59">
        <f t="shared" si="30"/>
        <v>0</v>
      </c>
      <c r="M9218" s="59">
        <f t="shared" si="31"/>
        <v>0</v>
      </c>
    </row>
    <row r="9219" ht="15.0" hidden="1" customHeight="1">
      <c r="A9219" s="59">
        <f t="shared" si="20"/>
        <v>150</v>
      </c>
      <c r="B9219" s="59" t="str">
        <f t="shared" si="21"/>
        <v/>
      </c>
      <c r="C9219" s="59" t="str">
        <f t="shared" si="22"/>
        <v/>
      </c>
      <c r="D9219" s="59" t="str">
        <f t="shared" si="23"/>
        <v/>
      </c>
      <c r="E9219" s="59" t="str">
        <f t="shared" si="24"/>
        <v/>
      </c>
      <c r="F9219" s="59" t="str">
        <f t="shared" si="25"/>
        <v/>
      </c>
      <c r="G9219" s="59" t="str">
        <f t="shared" si="26"/>
        <v/>
      </c>
      <c r="H9219" s="59" t="str">
        <f t="shared" si="27"/>
        <v>Công trình Asphalt</v>
      </c>
      <c r="I9219" s="59" t="str">
        <f>IF(OR($A9219="",$C9219="",$D9219="",$E9219="",$H9219=""),"",SUMIFS(DATA_GOC!$H:$H,DATA_GOC!$A:$A,"BOM",DATA_GOC!$D:$D,$H9219,DATA_GOC!$E:$E,$C9219,DATA_GOC!$F:$F,"Xuất nội bộ từ téc",DATA_GOC!$B:$B,"&gt;="&amp;$D9219,DATA_GOC!$B:$B,"&lt;="&amp;$E9219))</f>
        <v/>
      </c>
      <c r="J9219" s="59">
        <f t="shared" si="28"/>
        <v>0</v>
      </c>
      <c r="K9219" s="59">
        <f t="shared" si="29"/>
        <v>0</v>
      </c>
      <c r="L9219" s="59">
        <f t="shared" si="30"/>
        <v>0</v>
      </c>
      <c r="M9219" s="59">
        <f t="shared" si="31"/>
        <v>0</v>
      </c>
    </row>
    <row r="9220" ht="15.0" hidden="1" customHeight="1">
      <c r="A9220" s="59">
        <f t="shared" si="20"/>
        <v>150</v>
      </c>
      <c r="B9220" s="59" t="str">
        <f t="shared" si="21"/>
        <v/>
      </c>
      <c r="C9220" s="59" t="str">
        <f t="shared" si="22"/>
        <v/>
      </c>
      <c r="D9220" s="59" t="str">
        <f t="shared" si="23"/>
        <v/>
      </c>
      <c r="E9220" s="59" t="str">
        <f t="shared" si="24"/>
        <v/>
      </c>
      <c r="F9220" s="59" t="str">
        <f t="shared" si="25"/>
        <v/>
      </c>
      <c r="G9220" s="59" t="str">
        <f t="shared" si="26"/>
        <v/>
      </c>
      <c r="H9220" s="59" t="str">
        <f t="shared" si="27"/>
        <v>LG53F</v>
      </c>
      <c r="I9220" s="59" t="str">
        <f>IF(OR($A9220="",$C9220="",$D9220="",$E9220="",$H9220=""),"",SUMIFS(DATA_GOC!$H:$H,DATA_GOC!$A:$A,"BOM",DATA_GOC!$D:$D,$H9220,DATA_GOC!$E:$E,$C9220,DATA_GOC!$F:$F,"Xuất nội bộ từ téc",DATA_GOC!$B:$B,"&gt;="&amp;$D9220,DATA_GOC!$B:$B,"&lt;="&amp;$E9220))</f>
        <v/>
      </c>
      <c r="J9220" s="59">
        <f t="shared" si="28"/>
        <v>0</v>
      </c>
      <c r="K9220" s="59">
        <f t="shared" si="29"/>
        <v>0</v>
      </c>
      <c r="L9220" s="59">
        <f t="shared" si="30"/>
        <v>0</v>
      </c>
      <c r="M9220" s="59">
        <f t="shared" si="31"/>
        <v>0</v>
      </c>
    </row>
    <row r="9221" ht="15.0" hidden="1" customHeight="1">
      <c r="A9221" s="59">
        <f t="shared" si="20"/>
        <v>150</v>
      </c>
      <c r="B9221" s="59" t="str">
        <f t="shared" si="21"/>
        <v/>
      </c>
      <c r="C9221" s="59" t="str">
        <f t="shared" si="22"/>
        <v/>
      </c>
      <c r="D9221" s="59" t="str">
        <f t="shared" si="23"/>
        <v/>
      </c>
      <c r="E9221" s="59" t="str">
        <f t="shared" si="24"/>
        <v/>
      </c>
      <c r="F9221" s="59" t="str">
        <f t="shared" si="25"/>
        <v/>
      </c>
      <c r="G9221" s="59" t="str">
        <f t="shared" si="26"/>
        <v/>
      </c>
      <c r="H9221" s="59" t="str">
        <f t="shared" si="27"/>
        <v>Máy phát điện</v>
      </c>
      <c r="I9221" s="59" t="str">
        <f>IF(OR($A9221="",$C9221="",$D9221="",$E9221="",$H9221=""),"",SUMIFS(DATA_GOC!$H:$H,DATA_GOC!$A:$A,"BOM",DATA_GOC!$D:$D,$H9221,DATA_GOC!$E:$E,$C9221,DATA_GOC!$F:$F,"Xuất nội bộ từ téc",DATA_GOC!$B:$B,"&gt;="&amp;$D9221,DATA_GOC!$B:$B,"&lt;="&amp;$E9221))</f>
        <v/>
      </c>
      <c r="J9221" s="59">
        <f t="shared" si="28"/>
        <v>0</v>
      </c>
      <c r="K9221" s="59">
        <f t="shared" si="29"/>
        <v>0</v>
      </c>
      <c r="L9221" s="59">
        <f t="shared" si="30"/>
        <v>0</v>
      </c>
      <c r="M9221" s="59">
        <f t="shared" si="31"/>
        <v>0</v>
      </c>
    </row>
    <row r="9222" ht="15.0" hidden="1" customHeight="1">
      <c r="A9222" s="59">
        <f t="shared" si="20"/>
        <v>150</v>
      </c>
      <c r="B9222" s="59" t="str">
        <f t="shared" si="21"/>
        <v/>
      </c>
      <c r="C9222" s="59" t="str">
        <f t="shared" si="22"/>
        <v/>
      </c>
      <c r="D9222" s="59" t="str">
        <f t="shared" si="23"/>
        <v/>
      </c>
      <c r="E9222" s="59" t="str">
        <f t="shared" si="24"/>
        <v/>
      </c>
      <c r="F9222" s="59" t="str">
        <f t="shared" si="25"/>
        <v/>
      </c>
      <c r="G9222" s="59" t="str">
        <f t="shared" si="26"/>
        <v/>
      </c>
      <c r="H9222" s="59" t="str">
        <f t="shared" si="27"/>
        <v>Máy rải thảm</v>
      </c>
      <c r="I9222" s="59" t="str">
        <f>IF(OR($A9222="",$C9222="",$D9222="",$E9222="",$H9222=""),"",SUMIFS(DATA_GOC!$H:$H,DATA_GOC!$A:$A,"BOM",DATA_GOC!$D:$D,$H9222,DATA_GOC!$E:$E,$C9222,DATA_GOC!$F:$F,"Xuất nội bộ từ téc",DATA_GOC!$B:$B,"&gt;="&amp;$D9222,DATA_GOC!$B:$B,"&lt;="&amp;$E9222))</f>
        <v/>
      </c>
      <c r="J9222" s="59">
        <f t="shared" si="28"/>
        <v>0</v>
      </c>
      <c r="K9222" s="59">
        <f t="shared" si="29"/>
        <v>0</v>
      </c>
      <c r="L9222" s="59">
        <f t="shared" si="30"/>
        <v>0</v>
      </c>
      <c r="M9222" s="59">
        <f t="shared" si="31"/>
        <v>0</v>
      </c>
    </row>
    <row r="9223" ht="15.0" hidden="1" customHeight="1">
      <c r="A9223" s="59">
        <f t="shared" si="20"/>
        <v>150</v>
      </c>
      <c r="B9223" s="59" t="str">
        <f t="shared" si="21"/>
        <v/>
      </c>
      <c r="C9223" s="59" t="str">
        <f t="shared" si="22"/>
        <v/>
      </c>
      <c r="D9223" s="59" t="str">
        <f t="shared" si="23"/>
        <v/>
      </c>
      <c r="E9223" s="59" t="str">
        <f t="shared" si="24"/>
        <v/>
      </c>
      <c r="F9223" s="59" t="str">
        <f t="shared" si="25"/>
        <v/>
      </c>
      <c r="G9223" s="59" t="str">
        <f t="shared" si="26"/>
        <v/>
      </c>
      <c r="H9223" s="59" t="str">
        <f t="shared" si="27"/>
        <v>Xúc Đào</v>
      </c>
      <c r="I9223" s="59" t="str">
        <f>IF(OR($A9223="",$C9223="",$D9223="",$E9223="",$H9223=""),"",SUMIFS(DATA_GOC!$H:$H,DATA_GOC!$A:$A,"BOM",DATA_GOC!$D:$D,$H9223,DATA_GOC!$E:$E,$C9223,DATA_GOC!$F:$F,"Xuất nội bộ từ téc",DATA_GOC!$B:$B,"&gt;="&amp;$D9223,DATA_GOC!$B:$B,"&lt;="&amp;$E9223))</f>
        <v/>
      </c>
      <c r="J9223" s="59">
        <f t="shared" si="28"/>
        <v>0</v>
      </c>
      <c r="K9223" s="59">
        <f t="shared" si="29"/>
        <v>0</v>
      </c>
      <c r="L9223" s="59">
        <f t="shared" si="30"/>
        <v>0</v>
      </c>
      <c r="M9223" s="59">
        <f t="shared" si="31"/>
        <v>0</v>
      </c>
    </row>
    <row r="9224" ht="15.0" hidden="1" customHeight="1">
      <c r="A9224" s="59">
        <f t="shared" si="20"/>
        <v>150</v>
      </c>
      <c r="B9224" s="59" t="str">
        <f t="shared" si="21"/>
        <v/>
      </c>
      <c r="C9224" s="59" t="str">
        <f t="shared" si="22"/>
        <v/>
      </c>
      <c r="D9224" s="59" t="str">
        <f t="shared" si="23"/>
        <v/>
      </c>
      <c r="E9224" s="59" t="str">
        <f t="shared" si="24"/>
        <v/>
      </c>
      <c r="F9224" s="59" t="str">
        <f t="shared" si="25"/>
        <v/>
      </c>
      <c r="G9224" s="59" t="str">
        <f t="shared" si="26"/>
        <v/>
      </c>
      <c r="H9224" s="59" t="str">
        <f t="shared" si="27"/>
        <v>Xúclật asphalt</v>
      </c>
      <c r="I9224" s="59" t="str">
        <f>IF(OR($A9224="",$C9224="",$D9224="",$E9224="",$H9224=""),"",SUMIFS(DATA_GOC!$H:$H,DATA_GOC!$A:$A,"BOM",DATA_GOC!$D:$D,$H9224,DATA_GOC!$E:$E,$C9224,DATA_GOC!$F:$F,"Xuất nội bộ từ téc",DATA_GOC!$B:$B,"&gt;="&amp;$D9224,DATA_GOC!$B:$B,"&lt;="&amp;$E9224))</f>
        <v/>
      </c>
      <c r="J9224" s="59">
        <f t="shared" si="28"/>
        <v>0</v>
      </c>
      <c r="K9224" s="59">
        <f t="shared" si="29"/>
        <v>0</v>
      </c>
      <c r="L9224" s="59">
        <f t="shared" si="30"/>
        <v>0</v>
      </c>
      <c r="M9224" s="59">
        <f t="shared" si="31"/>
        <v>0</v>
      </c>
    </row>
    <row r="9225" ht="15.0" hidden="1" customHeight="1">
      <c r="A9225" s="59">
        <f t="shared" si="20"/>
        <v>150</v>
      </c>
      <c r="B9225" s="59" t="str">
        <f t="shared" si="21"/>
        <v/>
      </c>
      <c r="C9225" s="59" t="str">
        <f t="shared" si="22"/>
        <v/>
      </c>
      <c r="D9225" s="59" t="str">
        <f t="shared" si="23"/>
        <v/>
      </c>
      <c r="E9225" s="59" t="str">
        <f t="shared" si="24"/>
        <v/>
      </c>
      <c r="F9225" s="59" t="str">
        <f t="shared" si="25"/>
        <v/>
      </c>
      <c r="G9225" s="59" t="str">
        <f t="shared" si="26"/>
        <v/>
      </c>
      <c r="H9225" s="59" t="str">
        <f t="shared" si="27"/>
        <v>Xúclật855H</v>
      </c>
      <c r="I9225" s="59" t="str">
        <f>IF(OR($A9225="",$C9225="",$D9225="",$E9225="",$H9225=""),"",SUMIFS(DATA_GOC!$H:$H,DATA_GOC!$A:$A,"BOM",DATA_GOC!$D:$D,$H9225,DATA_GOC!$E:$E,$C9225,DATA_GOC!$F:$F,"Xuất nội bộ từ téc",DATA_GOC!$B:$B,"&gt;="&amp;$D9225,DATA_GOC!$B:$B,"&lt;="&amp;$E9225))</f>
        <v/>
      </c>
      <c r="J9225" s="59">
        <f t="shared" si="28"/>
        <v>0</v>
      </c>
      <c r="K9225" s="59">
        <f t="shared" si="29"/>
        <v>0</v>
      </c>
      <c r="L9225" s="59">
        <f t="shared" si="30"/>
        <v>0</v>
      </c>
      <c r="M9225" s="59">
        <f t="shared" si="31"/>
        <v>0</v>
      </c>
    </row>
    <row r="9226" ht="15.0" hidden="1" customHeight="1">
      <c r="A9226" s="59">
        <f t="shared" si="20"/>
        <v>150</v>
      </c>
      <c r="B9226" s="59" t="str">
        <f t="shared" si="21"/>
        <v/>
      </c>
      <c r="C9226" s="59" t="str">
        <f t="shared" si="22"/>
        <v/>
      </c>
      <c r="D9226" s="59" t="str">
        <f t="shared" si="23"/>
        <v/>
      </c>
      <c r="E9226" s="59" t="str">
        <f t="shared" si="24"/>
        <v/>
      </c>
      <c r="F9226" s="59" t="str">
        <f t="shared" si="25"/>
        <v/>
      </c>
      <c r="G9226" s="59" t="str">
        <f t="shared" si="26"/>
        <v/>
      </c>
      <c r="H9226" s="59" t="str">
        <f t="shared" si="27"/>
        <v>Xúclật855N</v>
      </c>
      <c r="I9226" s="59" t="str">
        <f>IF(OR($A9226="",$C9226="",$D9226="",$E9226="",$H9226=""),"",SUMIFS(DATA_GOC!$H:$H,DATA_GOC!$A:$A,"BOM",DATA_GOC!$D:$D,$H9226,DATA_GOC!$E:$E,$C9226,DATA_GOC!$F:$F,"Xuất nội bộ từ téc",DATA_GOC!$B:$B,"&gt;="&amp;$D9226,DATA_GOC!$B:$B,"&lt;="&amp;$E9226))</f>
        <v/>
      </c>
      <c r="J9226" s="59">
        <f t="shared" si="28"/>
        <v>0</v>
      </c>
      <c r="K9226" s="59">
        <f t="shared" si="29"/>
        <v>0</v>
      </c>
      <c r="L9226" s="59">
        <f t="shared" si="30"/>
        <v>0</v>
      </c>
      <c r="M9226" s="59">
        <f t="shared" si="31"/>
        <v>0</v>
      </c>
    </row>
    <row r="9227" ht="15.0" hidden="1" customHeight="1">
      <c r="A9227" s="59">
        <f t="shared" si="20"/>
        <v>150</v>
      </c>
      <c r="B9227" s="59" t="str">
        <f t="shared" si="21"/>
        <v/>
      </c>
      <c r="C9227" s="59" t="str">
        <f t="shared" si="22"/>
        <v/>
      </c>
      <c r="D9227" s="59" t="str">
        <f t="shared" si="23"/>
        <v/>
      </c>
      <c r="E9227" s="59" t="str">
        <f t="shared" si="24"/>
        <v/>
      </c>
      <c r="F9227" s="59" t="str">
        <f t="shared" si="25"/>
        <v/>
      </c>
      <c r="G9227" s="59" t="str">
        <f t="shared" si="26"/>
        <v/>
      </c>
      <c r="H9227" s="59" t="str">
        <f t="shared" si="27"/>
        <v>Cát nghiền</v>
      </c>
      <c r="I9227" s="59" t="str">
        <f>IF(OR($A9227="",$C9227="",$D9227="",$E9227="",$H9227=""),"",SUMIFS(DATA_GOC!$H:$H,DATA_GOC!$A:$A,"BOM",DATA_GOC!$D:$D,$H9227,DATA_GOC!$E:$E,$C9227,DATA_GOC!$F:$F,"Xuất nội bộ từ téc",DATA_GOC!$B:$B,"&gt;="&amp;$D9227,DATA_GOC!$B:$B,"&lt;="&amp;$E9227))</f>
        <v/>
      </c>
      <c r="J9227" s="59">
        <f t="shared" si="28"/>
        <v>0</v>
      </c>
      <c r="K9227" s="59">
        <f t="shared" si="29"/>
        <v>0</v>
      </c>
      <c r="L9227" s="59">
        <f t="shared" si="30"/>
        <v>0</v>
      </c>
      <c r="M9227" s="59">
        <f t="shared" si="31"/>
        <v>0</v>
      </c>
    </row>
    <row r="9228" ht="15.0" hidden="1" customHeight="1">
      <c r="A9228" s="59">
        <f t="shared" si="20"/>
        <v>150</v>
      </c>
      <c r="B9228" s="59" t="str">
        <f t="shared" si="21"/>
        <v/>
      </c>
      <c r="C9228" s="59" t="str">
        <f t="shared" si="22"/>
        <v/>
      </c>
      <c r="D9228" s="59" t="str">
        <f t="shared" si="23"/>
        <v/>
      </c>
      <c r="E9228" s="59" t="str">
        <f t="shared" si="24"/>
        <v/>
      </c>
      <c r="F9228" s="59" t="str">
        <f t="shared" si="25"/>
        <v/>
      </c>
      <c r="G9228" s="59" t="str">
        <f t="shared" si="26"/>
        <v/>
      </c>
      <c r="H9228" s="59" t="str">
        <f t="shared" si="27"/>
        <v>28C02973</v>
      </c>
      <c r="I9228" s="59" t="str">
        <f>IF(OR($A9228="",$C9228="",$D9228="",$E9228="",$H9228=""),"",SUMIFS(DATA_GOC!$H:$H,DATA_GOC!$A:$A,"BOM",DATA_GOC!$D:$D,$H9228,DATA_GOC!$E:$E,$C9228,DATA_GOC!$F:$F,"Xuất nội bộ từ téc",DATA_GOC!$B:$B,"&gt;="&amp;$D9228,DATA_GOC!$B:$B,"&lt;="&amp;$E9228))</f>
        <v/>
      </c>
      <c r="J9228" s="59">
        <f t="shared" si="28"/>
        <v>0</v>
      </c>
      <c r="K9228" s="59">
        <f t="shared" si="29"/>
        <v>0</v>
      </c>
      <c r="L9228" s="59">
        <f t="shared" si="30"/>
        <v>0</v>
      </c>
      <c r="M9228" s="59">
        <f t="shared" si="31"/>
        <v>0</v>
      </c>
    </row>
    <row r="9229" ht="15.0" hidden="1" customHeight="1">
      <c r="A9229" s="59">
        <f t="shared" si="20"/>
        <v>150</v>
      </c>
      <c r="B9229" s="59" t="str">
        <f t="shared" si="21"/>
        <v/>
      </c>
      <c r="C9229" s="59" t="str">
        <f t="shared" si="22"/>
        <v/>
      </c>
      <c r="D9229" s="59" t="str">
        <f t="shared" si="23"/>
        <v/>
      </c>
      <c r="E9229" s="59" t="str">
        <f t="shared" si="24"/>
        <v/>
      </c>
      <c r="F9229" s="59" t="str">
        <f t="shared" si="25"/>
        <v/>
      </c>
      <c r="G9229" s="59" t="str">
        <f t="shared" si="26"/>
        <v/>
      </c>
      <c r="H9229" s="59" t="str">
        <f t="shared" si="27"/>
        <v>28C03044</v>
      </c>
      <c r="I9229" s="59" t="str">
        <f>IF(OR($A9229="",$C9229="",$D9229="",$E9229="",$H9229=""),"",SUMIFS(DATA_GOC!$H:$H,DATA_GOC!$A:$A,"BOM",DATA_GOC!$D:$D,$H9229,DATA_GOC!$E:$E,$C9229,DATA_GOC!$F:$F,"Xuất nội bộ từ téc",DATA_GOC!$B:$B,"&gt;="&amp;$D9229,DATA_GOC!$B:$B,"&lt;="&amp;$E9229))</f>
        <v/>
      </c>
      <c r="J9229" s="59">
        <f t="shared" si="28"/>
        <v>0</v>
      </c>
      <c r="K9229" s="59">
        <f t="shared" si="29"/>
        <v>0</v>
      </c>
      <c r="L9229" s="59">
        <f t="shared" si="30"/>
        <v>0</v>
      </c>
      <c r="M9229" s="59">
        <f t="shared" si="31"/>
        <v>0</v>
      </c>
    </row>
    <row r="9230" ht="15.0" hidden="1" customHeight="1">
      <c r="A9230" s="59">
        <f t="shared" si="20"/>
        <v>150</v>
      </c>
      <c r="B9230" s="59" t="str">
        <f t="shared" si="21"/>
        <v/>
      </c>
      <c r="C9230" s="59" t="str">
        <f t="shared" si="22"/>
        <v/>
      </c>
      <c r="D9230" s="59" t="str">
        <f t="shared" si="23"/>
        <v/>
      </c>
      <c r="E9230" s="59" t="str">
        <f t="shared" si="24"/>
        <v/>
      </c>
      <c r="F9230" s="59" t="str">
        <f t="shared" si="25"/>
        <v/>
      </c>
      <c r="G9230" s="59" t="str">
        <f t="shared" si="26"/>
        <v/>
      </c>
      <c r="H9230" s="59" t="str">
        <f t="shared" si="27"/>
        <v>Máy lu lốp</v>
      </c>
      <c r="I9230" s="59" t="str">
        <f>IF(OR($A9230="",$C9230="",$D9230="",$E9230="",$H9230=""),"",SUMIFS(DATA_GOC!$H:$H,DATA_GOC!$A:$A,"BOM",DATA_GOC!$D:$D,$H9230,DATA_GOC!$E:$E,$C9230,DATA_GOC!$F:$F,"Xuất nội bộ từ téc",DATA_GOC!$B:$B,"&gt;="&amp;$D9230,DATA_GOC!$B:$B,"&lt;="&amp;$E9230))</f>
        <v/>
      </c>
      <c r="J9230" s="59">
        <f t="shared" si="28"/>
        <v>0</v>
      </c>
      <c r="K9230" s="59">
        <f t="shared" si="29"/>
        <v>0</v>
      </c>
      <c r="L9230" s="59">
        <f t="shared" si="30"/>
        <v>0</v>
      </c>
      <c r="M9230" s="59">
        <f t="shared" si="31"/>
        <v>0</v>
      </c>
    </row>
    <row r="9231" ht="15.0" hidden="1" customHeight="1">
      <c r="A9231" s="59">
        <f t="shared" si="20"/>
        <v>150</v>
      </c>
      <c r="B9231" s="59" t="str">
        <f t="shared" si="21"/>
        <v/>
      </c>
      <c r="C9231" s="59" t="str">
        <f t="shared" si="22"/>
        <v/>
      </c>
      <c r="D9231" s="59" t="str">
        <f t="shared" si="23"/>
        <v/>
      </c>
      <c r="E9231" s="59" t="str">
        <f t="shared" si="24"/>
        <v/>
      </c>
      <c r="F9231" s="59" t="str">
        <f t="shared" si="25"/>
        <v/>
      </c>
      <c r="G9231" s="59" t="str">
        <f t="shared" si="26"/>
        <v/>
      </c>
      <c r="H9231" s="59" t="str">
        <f t="shared" si="27"/>
        <v>Xe 600148</v>
      </c>
      <c r="I9231" s="59" t="str">
        <f>IF(OR($A9231="",$C9231="",$D9231="",$E9231="",$H9231=""),"",SUMIFS(DATA_GOC!$H:$H,DATA_GOC!$A:$A,"BOM",DATA_GOC!$D:$D,$H9231,DATA_GOC!$E:$E,$C9231,DATA_GOC!$F:$F,"Xuất nội bộ từ téc",DATA_GOC!$B:$B,"&gt;="&amp;$D9231,DATA_GOC!$B:$B,"&lt;="&amp;$E9231))</f>
        <v/>
      </c>
      <c r="J9231" s="59">
        <f t="shared" si="28"/>
        <v>0</v>
      </c>
      <c r="K9231" s="59">
        <f t="shared" si="29"/>
        <v>0</v>
      </c>
      <c r="L9231" s="59">
        <f t="shared" si="30"/>
        <v>0</v>
      </c>
      <c r="M9231" s="59">
        <f t="shared" si="31"/>
        <v>0</v>
      </c>
    </row>
    <row r="9232" ht="15.0" hidden="1" customHeight="1">
      <c r="A9232" s="59">
        <f t="shared" si="20"/>
        <v>150</v>
      </c>
      <c r="B9232" s="59" t="str">
        <f t="shared" si="21"/>
        <v/>
      </c>
      <c r="C9232" s="59" t="str">
        <f t="shared" si="22"/>
        <v/>
      </c>
      <c r="D9232" s="59" t="str">
        <f t="shared" si="23"/>
        <v/>
      </c>
      <c r="E9232" s="59" t="str">
        <f t="shared" si="24"/>
        <v/>
      </c>
      <c r="F9232" s="59" t="str">
        <f t="shared" si="25"/>
        <v/>
      </c>
      <c r="G9232" s="59" t="str">
        <f t="shared" si="26"/>
        <v/>
      </c>
      <c r="H9232" s="59" t="str">
        <f t="shared" si="27"/>
        <v>Xe ben mới</v>
      </c>
      <c r="I9232" s="59" t="str">
        <f>IF(OR($A9232="",$C9232="",$D9232="",$E9232="",$H9232=""),"",SUMIFS(DATA_GOC!$H:$H,DATA_GOC!$A:$A,"BOM",DATA_GOC!$D:$D,$H9232,DATA_GOC!$E:$E,$C9232,DATA_GOC!$F:$F,"Xuất nội bộ từ téc",DATA_GOC!$B:$B,"&gt;="&amp;$D9232,DATA_GOC!$B:$B,"&lt;="&amp;$E9232))</f>
        <v/>
      </c>
      <c r="J9232" s="59">
        <f t="shared" si="28"/>
        <v>0</v>
      </c>
      <c r="K9232" s="59">
        <f t="shared" si="29"/>
        <v>0</v>
      </c>
      <c r="L9232" s="59">
        <f t="shared" si="30"/>
        <v>0</v>
      </c>
      <c r="M9232" s="59">
        <f t="shared" si="31"/>
        <v>0</v>
      </c>
    </row>
  </sheetData>
  <autoFilter ref="$A$5:$O$155"/>
  <mergeCells count="40">
    <mergeCell ref="AC7:AE7"/>
    <mergeCell ref="AF7:AH7"/>
    <mergeCell ref="AC8:AE8"/>
    <mergeCell ref="AF8:AH8"/>
    <mergeCell ref="AI8:AL8"/>
    <mergeCell ref="A1:O1"/>
    <mergeCell ref="A2:O2"/>
    <mergeCell ref="A3:O3"/>
    <mergeCell ref="A4:O4"/>
    <mergeCell ref="AD5:AL5"/>
    <mergeCell ref="Q7:S7"/>
    <mergeCell ref="T7:V7"/>
    <mergeCell ref="AI7:AL7"/>
    <mergeCell ref="Q158:AL158"/>
    <mergeCell ref="R159:AL159"/>
    <mergeCell ref="R160:AL160"/>
    <mergeCell ref="R161:AL161"/>
    <mergeCell ref="R162:AL162"/>
    <mergeCell ref="W7:Y7"/>
    <mergeCell ref="Z7:AB7"/>
    <mergeCell ref="Q8:S8"/>
    <mergeCell ref="T8:V8"/>
    <mergeCell ref="W8:Y8"/>
    <mergeCell ref="Z8:AB8"/>
    <mergeCell ref="A158:O158"/>
    <mergeCell ref="A162:B162"/>
    <mergeCell ref="C162:D162"/>
    <mergeCell ref="E162:F162"/>
    <mergeCell ref="G162:H162"/>
    <mergeCell ref="I162:J162"/>
    <mergeCell ref="K162:L162"/>
    <mergeCell ref="M162:N162"/>
    <mergeCell ref="A165:AL165"/>
    <mergeCell ref="A161:B161"/>
    <mergeCell ref="C161:D161"/>
    <mergeCell ref="E161:F161"/>
    <mergeCell ref="G161:H161"/>
    <mergeCell ref="I161:J161"/>
    <mergeCell ref="K161:L161"/>
    <mergeCell ref="M161:N161"/>
  </mergeCells>
  <conditionalFormatting sqref="N29">
    <cfRule type="expression" dxfId="0" priority="1">
      <formula>$N$29&lt;&gt;"OK"</formula>
    </cfRule>
  </conditionalFormatting>
  <conditionalFormatting sqref="S11:S70">
    <cfRule type="cellIs" dxfId="1" priority="2" operator="greaterThan">
      <formula>0</formula>
    </cfRule>
  </conditionalFormatting>
  <conditionalFormatting sqref="U11:V70">
    <cfRule type="cellIs" dxfId="2" priority="3" operator="greaterThan">
      <formula>0</formula>
    </cfRule>
  </conditionalFormatting>
  <dataValidations>
    <dataValidation type="list" allowBlank="1" sqref="B6:B155">
      <formula1>"Nháp,Đã chốt,Hủy"</formula1>
    </dataValidation>
    <dataValidation type="list" allowBlank="1" sqref="C6:C7 C19:C155">
      <formula1>LIST_TEC_NGUON</formula1>
    </dataValidation>
    <dataValidation type="list" allowBlank="1" sqref="R5">
      <formula1>LIST_KY_TINH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5" width="28.0"/>
    <col customWidth="1" min="6" max="8" width="16.0"/>
    <col customWidth="1" min="9" max="9" width="12.86"/>
    <col customWidth="1" min="10" max="10" width="26.0"/>
    <col customWidth="1" min="11" max="11" width="9.0"/>
    <col customWidth="1" min="12" max="12" width="28.0"/>
    <col customWidth="1" min="13" max="13" width="18.0"/>
    <col customWidth="1" min="14" max="14" width="26.0"/>
    <col customWidth="1" min="15" max="15" width="16.0"/>
    <col customWidth="1" min="16" max="16" width="10.0"/>
    <col customWidth="1" min="17" max="17" width="22.0"/>
    <col customWidth="1" min="18" max="18" width="18.0"/>
    <col customWidth="1" min="19" max="19" width="9.0"/>
    <col customWidth="1" min="20" max="21" width="4.0"/>
    <col customWidth="1" min="22" max="26" width="8.86"/>
  </cols>
  <sheetData>
    <row r="1" ht="30.0" customHeight="1">
      <c r="A1" s="24" t="s">
        <v>249</v>
      </c>
      <c r="B1" s="2"/>
      <c r="C1" s="2"/>
      <c r="D1" s="2"/>
      <c r="E1" s="2"/>
      <c r="F1" s="2"/>
      <c r="G1" s="2"/>
      <c r="H1" s="2"/>
      <c r="I1" s="2"/>
      <c r="J1" s="3"/>
      <c r="K1" s="134"/>
      <c r="L1" s="134"/>
      <c r="M1" s="134"/>
      <c r="N1" s="24" t="s">
        <v>250</v>
      </c>
      <c r="O1" s="2"/>
      <c r="P1" s="2"/>
      <c r="Q1" s="2"/>
      <c r="R1" s="2"/>
      <c r="S1" s="2"/>
      <c r="T1" s="2"/>
      <c r="U1" s="3"/>
    </row>
    <row r="2" ht="3.0" customHeight="1">
      <c r="A2" s="135"/>
      <c r="B2" s="2"/>
      <c r="C2" s="2"/>
      <c r="D2" s="2"/>
      <c r="E2" s="2"/>
      <c r="F2" s="2"/>
      <c r="G2" s="2"/>
      <c r="H2" s="2"/>
      <c r="I2" s="2"/>
      <c r="J2" s="3"/>
      <c r="K2" s="134"/>
      <c r="L2" s="134"/>
      <c r="M2" s="134"/>
    </row>
    <row r="3" ht="30.0" customHeight="1">
      <c r="A3" s="136" t="s">
        <v>251</v>
      </c>
      <c r="B3" s="137">
        <v>7.0</v>
      </c>
      <c r="C3" s="138" t="s">
        <v>252</v>
      </c>
      <c r="D3" s="137">
        <v>2026.0</v>
      </c>
      <c r="E3" s="139" t="s">
        <v>253</v>
      </c>
      <c r="F3" s="140" t="s">
        <v>254</v>
      </c>
      <c r="G3" s="141">
        <f>IF(AND(MONTH(TODAY())=$B$3,YEAR(TODAY())=$D$3),TODAY(),EOMONTH(DATE($D$3,$B$3,1),0))</f>
        <v>46209</v>
      </c>
      <c r="H3" s="140" t="s">
        <v>214</v>
      </c>
      <c r="I3" s="141">
        <f>DATE($D$3,$B$3,1)</f>
        <v>46204</v>
      </c>
      <c r="J3" s="142"/>
      <c r="K3" s="143"/>
      <c r="L3" s="143"/>
      <c r="M3" s="134"/>
      <c r="N3" s="136" t="s">
        <v>255</v>
      </c>
      <c r="O3" s="144">
        <f>G3</f>
        <v>46209</v>
      </c>
      <c r="Q3" s="136" t="s">
        <v>256</v>
      </c>
      <c r="R3" s="145" t="str">
        <f>TEXT(DATE($D$3,$B$3,1),"mm/yyyy")</f>
        <v>07/2026</v>
      </c>
    </row>
    <row r="4" ht="15.75" customHeight="1">
      <c r="A4" s="146" t="s">
        <v>257</v>
      </c>
      <c r="B4" s="2"/>
      <c r="C4" s="2"/>
      <c r="D4" s="2"/>
      <c r="E4" s="2"/>
      <c r="F4" s="2"/>
      <c r="G4" s="2"/>
      <c r="H4" s="2"/>
      <c r="I4" s="2"/>
      <c r="J4" s="3"/>
      <c r="K4" s="134"/>
      <c r="L4" s="134"/>
      <c r="M4" s="134"/>
      <c r="N4" s="147"/>
      <c r="O4" s="148"/>
      <c r="P4" s="149"/>
      <c r="Q4" s="150"/>
      <c r="R4" s="151"/>
      <c r="S4" s="151"/>
      <c r="T4" s="151"/>
      <c r="U4" s="152"/>
    </row>
    <row r="5" ht="3.75" customHeight="1">
      <c r="A5" s="153"/>
      <c r="B5" s="2"/>
      <c r="C5" s="2"/>
      <c r="D5" s="2"/>
      <c r="E5" s="2"/>
      <c r="F5" s="2"/>
      <c r="G5" s="2"/>
      <c r="H5" s="2"/>
      <c r="I5" s="2"/>
      <c r="J5" s="3"/>
      <c r="K5" s="154"/>
      <c r="L5" s="154"/>
      <c r="M5" s="154"/>
      <c r="N5" s="155"/>
      <c r="O5" s="156"/>
      <c r="P5" s="157"/>
    </row>
    <row r="6" ht="27.75" customHeight="1">
      <c r="A6" s="34" t="s">
        <v>258</v>
      </c>
      <c r="B6" s="34" t="s">
        <v>259</v>
      </c>
      <c r="C6" s="158" t="s">
        <v>260</v>
      </c>
      <c r="D6" s="158" t="s">
        <v>261</v>
      </c>
      <c r="E6" s="158" t="s">
        <v>262</v>
      </c>
      <c r="F6" s="158" t="s">
        <v>263</v>
      </c>
      <c r="G6" s="158" t="s">
        <v>264</v>
      </c>
      <c r="H6" s="159" t="s">
        <v>265</v>
      </c>
      <c r="I6" s="158" t="s">
        <v>266</v>
      </c>
      <c r="J6" s="159" t="s">
        <v>267</v>
      </c>
      <c r="K6" s="159" t="s">
        <v>268</v>
      </c>
      <c r="L6" s="159" t="s">
        <v>269</v>
      </c>
      <c r="M6" s="154"/>
      <c r="N6" s="136" t="s">
        <v>270</v>
      </c>
      <c r="O6" s="160">
        <f>IFERROR(SUM($G$7:$G$10)/MAX(1,DAY($G$3)),"")</f>
        <v>913.1666667</v>
      </c>
      <c r="P6" s="35" t="s">
        <v>271</v>
      </c>
      <c r="Q6" s="136" t="s">
        <v>272</v>
      </c>
      <c r="R6" s="145">
        <f>SUM($H$7:$H$10)</f>
        <v>23361</v>
      </c>
      <c r="S6" s="35" t="s">
        <v>273</v>
      </c>
    </row>
    <row r="7" ht="21.75" customHeight="1">
      <c r="A7" s="35">
        <v>1.0</v>
      </c>
      <c r="B7" s="161" t="s">
        <v>274</v>
      </c>
      <c r="C7" s="162" t="s">
        <v>275</v>
      </c>
      <c r="D7" s="163" t="s">
        <v>276</v>
      </c>
      <c r="E7" s="164">
        <f>IF(DATE($D$3,$B$3,1)&lt;DATE(2026,1,1),"",IF(AND($D$3=2026,$B$3&lt;=5),CHOOSE($B$3,0,0,0,8745,12123),12123+IFERROR(SUMIFS(DATA_GOC!$H:$H,DATA_GOC!$A:$A,"NHAP",DATA_GOC!$E:$E,"Téc 1",DATA_GOC!$B:$B,"&gt;="&amp;DATE(2026,5,1),DATA_GOC!$B:$B,"&lt;"&amp;DATE($D$3,$B$3,1)),0)-IFERROR(SUMIFS(DATA_GOC!$H:$H,DATA_GOC!$A:$A,"BOM",DATA_GOC!$E:$E,"Téc 1",DATA_GOC!$B:$B,"&gt;="&amp;DATE(2026,5,1),DATA_GOC!$B:$B,"&lt;"&amp;DATE($D$3,$B$3,1)),0)-IFERROR(SUMIFS(TINH_TEC!$K$6:$K$155,TINH_TEC!$C$6:$C$155,"Téc 1",TINH_TEC!$B$6:$B$155,"Đã chốt",TINH_TEC!$E$6:$E$155,"&gt;="&amp;DATE(2026,5,1),TINH_TEC!$E$6:$E$155,"&lt;"&amp;DATE($D$3,$B$3,1)),0)+IFERROR(SUMIFS(TINH_TEC!$L$6:$L$155,TINH_TEC!$C$6:$C$155,"Téc 1",TINH_TEC!$B$6:$B$155,"Đã chốt",TINH_TEC!$E$6:$E$155,"&gt;="&amp;DATE(2026,5,1),TINH_TEC!$E$6:$E$155,"&lt;"&amp;DATE($D$3,$B$3,1)),0)))</f>
        <v>0</v>
      </c>
      <c r="F7" s="164">
        <f>IFERROR(SUMIFS(DATA_GOC!$H:$H,DATA_GOC!$A:$A,"NHAP",DATA_GOC!$E:$E,"Téc 1",DATA_GOC!$B:$B,"&gt;="&amp;$I$3,DATA_GOC!$B:$B,"&lt;="&amp;$G$3),0)</f>
        <v>0</v>
      </c>
      <c r="G7" s="164">
        <f>IFERROR(SUMIFS(DATA_GOC!$H:$H,DATA_GOC!$A:$A,"BOM",DATA_GOC!$E:$E,"Téc 1",DATA_GOC!$B:$B,"&gt;="&amp;$I$3,DATA_GOC!$B:$B,"&lt;="&amp;$G$3),0)</f>
        <v>0</v>
      </c>
      <c r="H7" s="145">
        <f t="shared" ref="H7:H14" si="1">IFERROR(E7+F7-G7-K7+L7,0)</f>
        <v>0</v>
      </c>
      <c r="I7" s="165">
        <f>IFERROR(H7/15000,"")</f>
        <v>0</v>
      </c>
      <c r="J7" s="166" t="str">
        <f t="shared" ref="J7:J14" si="2">IF(H7&lt;0,"⚠ Tồn âm — kiểm tra lại",IF(E7="","Chưa có tồn đầu cho tháng đang chọn","OK ✓"))</f>
        <v>OK ✓</v>
      </c>
      <c r="K7" s="164">
        <f>IFERROR(SUMIFS(TINH_TEC!$K$6:$K$155,TINH_TEC!$C$6:$C$155,"Téc 1",TINH_TEC!$B$6:$B$155,"Đã chốt",TINH_TEC!$E$6:$E$155,"&gt;="&amp;$I$3,TINH_TEC!$E$6:$E$155,"&lt;="&amp;$G$3),0)</f>
        <v>0</v>
      </c>
      <c r="L7" s="164">
        <f>IFERROR(SUMIFS(TINH_TEC!$L$6:$L$155,TINH_TEC!$C$6:$C$155,"Téc 1",TINH_TEC!$B$6:$B$155,"Đã chốt",TINH_TEC!$E$6:$E$155,"&gt;="&amp;$I$3,TINH_TEC!$E$6:$E$155,"&lt;="&amp;$G$3),0)</f>
        <v>0</v>
      </c>
      <c r="M7" s="154"/>
      <c r="N7" s="136" t="s">
        <v>277</v>
      </c>
      <c r="O7" s="160">
        <v>2.0</v>
      </c>
      <c r="P7" s="35" t="s">
        <v>278</v>
      </c>
      <c r="Q7" s="136" t="s">
        <v>279</v>
      </c>
      <c r="R7" s="145">
        <f>IFERROR(R6/$O$6,"")</f>
        <v>25.58240555</v>
      </c>
      <c r="S7" s="35" t="s">
        <v>278</v>
      </c>
    </row>
    <row r="8" ht="21.75" customHeight="1">
      <c r="A8" s="35">
        <v>2.0</v>
      </c>
      <c r="B8" s="161" t="s">
        <v>280</v>
      </c>
      <c r="C8" s="162" t="s">
        <v>281</v>
      </c>
      <c r="D8" s="163" t="s">
        <v>276</v>
      </c>
      <c r="E8" s="164">
        <f>IF(DATE($D$3,$B$3,1)&lt;DATE(2026,1,1),"",IF(AND($D$3=2026,$B$3&lt;=5),CHOOSE($B$3,0,4437,0,10429,0),0+IFERROR(SUMIFS(DATA_GOC!$H:$H,DATA_GOC!$A:$A,"NHAP",DATA_GOC!$E:$E,"Téc 2",DATA_GOC!$B:$B,"&gt;="&amp;DATE(2026,5,1),DATA_GOC!$B:$B,"&lt;"&amp;DATE($D$3,$B$3,1)),0)-IFERROR(SUMIFS(DATA_GOC!$H:$H,DATA_GOC!$A:$A,"BOM",DATA_GOC!$E:$E,"Téc 2",DATA_GOC!$B:$B,"&gt;="&amp;DATE(2026,5,1),DATA_GOC!$B:$B,"&lt;"&amp;DATE($D$3,$B$3,1)),0)-IFERROR(SUMIFS(TINH_TEC!$K$6:$K$155,TINH_TEC!$C$6:$C$155,"Téc 2",TINH_TEC!$B$6:$B$155,"Đã chốt",TINH_TEC!$E$6:$E$155,"&gt;="&amp;DATE(2026,5,1),TINH_TEC!$E$6:$E$155,"&lt;"&amp;DATE($D$3,$B$3,1)),0)+IFERROR(SUMIFS(TINH_TEC!$L$6:$L$155,TINH_TEC!$C$6:$C$155,"Téc 2",TINH_TEC!$B$6:$B$155,"Đã chốt",TINH_TEC!$E$6:$E$155,"&gt;="&amp;DATE(2026,5,1),TINH_TEC!$E$6:$E$155,"&lt;"&amp;DATE($D$3,$B$3,1)),0)))</f>
        <v>5239</v>
      </c>
      <c r="F8" s="164">
        <f>IFERROR(SUMIFS(DATA_GOC!$H:$H,DATA_GOC!$A:$A,"NHAP",DATA_GOC!$E:$E,"Téc 2",DATA_GOC!$B:$B,"&gt;="&amp;$I$3,DATA_GOC!$B:$B,"&lt;="&amp;$G$3),0)</f>
        <v>22935</v>
      </c>
      <c r="G8" s="164">
        <f>IFERROR(SUMIFS(DATA_GOC!$H:$H,DATA_GOC!$A:$A,"BOM",DATA_GOC!$E:$E,"Téc 2",DATA_GOC!$B:$B,"&gt;="&amp;$I$3,DATA_GOC!$B:$B,"&lt;="&amp;$G$3),0)</f>
        <v>5479</v>
      </c>
      <c r="H8" s="145">
        <f t="shared" si="1"/>
        <v>21433</v>
      </c>
      <c r="I8" s="165">
        <f t="shared" ref="I8:I10" si="3">IFERROR(H8/31000,"")</f>
        <v>0.6913870968</v>
      </c>
      <c r="J8" s="166" t="str">
        <f t="shared" si="2"/>
        <v>OK ✓</v>
      </c>
      <c r="K8" s="164">
        <f>IFERROR(SUMIFS(TINH_TEC!$K$6:$K$155,TINH_TEC!$C$6:$C$155,"Téc 2",TINH_TEC!$B$6:$B$155,"Đã chốt",TINH_TEC!$E$6:$E$155,"&gt;="&amp;$I$3,TINH_TEC!$E$6:$E$155,"&lt;="&amp;$G$3),0)</f>
        <v>1262</v>
      </c>
      <c r="L8" s="164">
        <f>IFERROR(SUMIFS(TINH_TEC!$L$6:$L$155,TINH_TEC!$C$6:$C$155,"Téc 2",TINH_TEC!$B$6:$B$155,"Đã chốt",TINH_TEC!$E$6:$E$155,"&gt;="&amp;$I$3,TINH_TEC!$E$6:$E$155,"&lt;="&amp;$G$3),0)</f>
        <v>0</v>
      </c>
      <c r="M8" s="154"/>
      <c r="N8" s="136" t="s">
        <v>282</v>
      </c>
      <c r="O8" s="160">
        <v>2.0</v>
      </c>
      <c r="P8" s="35" t="s">
        <v>278</v>
      </c>
      <c r="Q8" s="136" t="s">
        <v>283</v>
      </c>
      <c r="R8" s="145">
        <f>IF($O$9&lt;&gt;"",$O$9,$O$6*$O$8)</f>
        <v>1826.333333</v>
      </c>
      <c r="S8" s="35" t="s">
        <v>273</v>
      </c>
    </row>
    <row r="9" ht="21.75" customHeight="1">
      <c r="A9" s="35">
        <v>3.0</v>
      </c>
      <c r="B9" s="167" t="s">
        <v>284</v>
      </c>
      <c r="C9" s="162" t="s">
        <v>285</v>
      </c>
      <c r="D9" s="163" t="s">
        <v>276</v>
      </c>
      <c r="E9" s="164">
        <f>IF(DATE($D$3,$B$3,1)&lt;DATE(2026,1,1),"",IF(AND($D$3=2026,$B$3&lt;=5),CHOOSE($B$3,5779,0,8221,15850,30015),30015+IFERROR(SUMIFS(DATA_GOC!$H:$H,DATA_GOC!$A:$A,"NHAP",DATA_GOC!$E:$E,"Téc 3",DATA_GOC!$B:$B,"&gt;="&amp;DATE(2026,5,1),DATA_GOC!$B:$B,"&lt;"&amp;DATE($D$3,$B$3,1)),0)-IFERROR(SUMIFS(DATA_GOC!$H:$H,DATA_GOC!$A:$A,"BOM",DATA_GOC!$E:$E,"Téc 3",DATA_GOC!$B:$B,"&gt;="&amp;DATE(2026,5,1),DATA_GOC!$B:$B,"&lt;"&amp;DATE($D$3,$B$3,1)),0)-IFERROR(SUMIFS(TINH_TEC!$K$6:$K$155,TINH_TEC!$C$6:$C$155,"Téc 3",TINH_TEC!$B$6:$B$155,"Đã chốt",TINH_TEC!$E$6:$E$155,"&gt;="&amp;DATE(2026,5,1),TINH_TEC!$E$6:$E$155,"&lt;"&amp;DATE($D$3,$B$3,1)),0)+IFERROR(SUMIFS(TINH_TEC!$L$6:$L$155,TINH_TEC!$C$6:$C$155,"Téc 3",TINH_TEC!$B$6:$B$155,"Đã chốt",TINH_TEC!$E$6:$E$155,"&gt;="&amp;DATE(2026,5,1),TINH_TEC!$E$6:$E$155,"&lt;"&amp;DATE($D$3,$B$3,1)),0)))</f>
        <v>0</v>
      </c>
      <c r="F9" s="164">
        <f>IFERROR(SUMIFS(DATA_GOC!$H:$H,DATA_GOC!$A:$A,"NHAP",DATA_GOC!$E:$E,"Téc 3",DATA_GOC!$B:$B,"&gt;="&amp;$I$3,DATA_GOC!$B:$B,"&lt;="&amp;$G$3),0)</f>
        <v>0</v>
      </c>
      <c r="G9" s="164">
        <f>IFERROR(SUMIFS(DATA_GOC!$H:$H,DATA_GOC!$A:$A,"BOM",DATA_GOC!$E:$E,"Téc 3",DATA_GOC!$B:$B,"&gt;="&amp;$I$3,DATA_GOC!$B:$B,"&lt;="&amp;$G$3),0)</f>
        <v>0</v>
      </c>
      <c r="H9" s="145">
        <f t="shared" si="1"/>
        <v>0</v>
      </c>
      <c r="I9" s="165">
        <f t="shared" si="3"/>
        <v>0</v>
      </c>
      <c r="J9" s="166" t="str">
        <f t="shared" si="2"/>
        <v>OK ✓</v>
      </c>
      <c r="K9" s="164">
        <f>IFERROR(SUMIFS(TINH_TEC!$K$6:$K$155,TINH_TEC!$C$6:$C$155,"Téc 3",TINH_TEC!$B$6:$B$155,"Đã chốt",TINH_TEC!$E$6:$E$155,"&gt;="&amp;$I$3,TINH_TEC!$E$6:$E$155,"&lt;="&amp;$G$3),0)</f>
        <v>0</v>
      </c>
      <c r="L9" s="164">
        <f>IFERROR(SUMIFS(TINH_TEC!$L$6:$L$155,TINH_TEC!$C$6:$C$155,"Téc 3",TINH_TEC!$B$6:$B$155,"Đã chốt",TINH_TEC!$E$6:$E$155,"&gt;="&amp;$I$3,TINH_TEC!$E$6:$E$155,"&lt;="&amp;$G$3),0)</f>
        <v>0</v>
      </c>
      <c r="M9" s="154"/>
      <c r="N9" s="136" t="s">
        <v>286</v>
      </c>
      <c r="O9" s="160"/>
      <c r="P9" s="35" t="s">
        <v>273</v>
      </c>
      <c r="Q9" s="136" t="s">
        <v>287</v>
      </c>
      <c r="R9" s="145">
        <f>$O$6*($O$7+$O$8)</f>
        <v>3652.666667</v>
      </c>
      <c r="S9" s="35" t="s">
        <v>273</v>
      </c>
    </row>
    <row r="10" ht="21.75" customHeight="1">
      <c r="A10" s="35">
        <v>4.0</v>
      </c>
      <c r="B10" s="167" t="s">
        <v>288</v>
      </c>
      <c r="C10" s="162" t="s">
        <v>289</v>
      </c>
      <c r="D10" s="163" t="s">
        <v>276</v>
      </c>
      <c r="E10" s="164">
        <f>IF(DATE($D$3,$B$3,1)&lt;DATE(2026,1,1),"",IF(AND($D$3=2026,$B$3&lt;=5),CHOOSE($B$3,3211,5170,4167,1735,5750),5750+IFERROR(SUMIFS(DATA_GOC!$H:$H,DATA_GOC!$A:$A,"NHAP",DATA_GOC!$E:$E,"Téc cát nghiền",DATA_GOC!$B:$B,"&gt;="&amp;DATE(2026,5,1),DATA_GOC!$B:$B,"&lt;"&amp;DATE($D$3,$B$3,1)),0)-IFERROR(SUMIFS(DATA_GOC!$H:$H,DATA_GOC!$A:$A,"BOM",DATA_GOC!$E:$E,"Téc cát nghiền",DATA_GOC!$B:$B,"&gt;="&amp;DATE(2026,5,1),DATA_GOC!$B:$B,"&lt;"&amp;DATE($D$3,$B$3,1)),0)-IFERROR(SUMIFS(TINH_TEC!$K$6:$K$155,TINH_TEC!$C$6:$C$155,"Téc cát nghiền",TINH_TEC!$B$6:$B$155,"Đã chốt",TINH_TEC!$E$6:$E$155,"&gt;="&amp;DATE(2026,5,1),TINH_TEC!$E$6:$E$155,"&lt;"&amp;DATE($D$3,$B$3,1)),0)+IFERROR(SUMIFS(TINH_TEC!$L$6:$L$155,TINH_TEC!$C$6:$C$155,"Téc cát nghiền",TINH_TEC!$B$6:$B$155,"Đã chốt",TINH_TEC!$E$6:$E$155,"&gt;="&amp;DATE(2026,5,1),TINH_TEC!$E$6:$E$155,"&lt;"&amp;DATE($D$3,$B$3,1)),0)))</f>
        <v>1928</v>
      </c>
      <c r="F10" s="164">
        <f>IFERROR(SUMIFS(DATA_GOC!$H:$H,DATA_GOC!$A:$A,"NHAP",DATA_GOC!$E:$E,"Téc cát nghiền",DATA_GOC!$B:$B,"&gt;="&amp;$I$3,DATA_GOC!$B:$B,"&lt;="&amp;$G$3),0)</f>
        <v>0</v>
      </c>
      <c r="G10" s="164">
        <f>IFERROR(SUMIFS(DATA_GOC!$H:$H,DATA_GOC!$A:$A,"BOM",DATA_GOC!$E:$E,"Téc cát nghiền",DATA_GOC!$B:$B,"&gt;="&amp;$I$3,DATA_GOC!$B:$B,"&lt;="&amp;$G$3),0)</f>
        <v>0</v>
      </c>
      <c r="H10" s="145">
        <f t="shared" si="1"/>
        <v>1928</v>
      </c>
      <c r="I10" s="165">
        <f t="shared" si="3"/>
        <v>0.06219354839</v>
      </c>
      <c r="J10" s="166" t="str">
        <f t="shared" si="2"/>
        <v>OK ✓</v>
      </c>
      <c r="K10" s="164">
        <f>IFERROR(SUMIFS(TINH_TEC!$K$6:$K$155,TINH_TEC!$C$6:$C$155,"Téc cát nghiền",TINH_TEC!$B$6:$B$155,"Đã chốt",TINH_TEC!$E$6:$E$155,"&gt;="&amp;$I$3,TINH_TEC!$E$6:$E$155,"&lt;="&amp;$G$3),0)</f>
        <v>0</v>
      </c>
      <c r="L10" s="164">
        <f>IFERROR(SUMIFS(TINH_TEC!$L$6:$L$155,TINH_TEC!$C$6:$C$155,"Téc cát nghiền",TINH_TEC!$B$6:$B$155,"Đã chốt",TINH_TEC!$E$6:$E$155,"&gt;="&amp;$I$3,TINH_TEC!$E$6:$E$155,"&lt;="&amp;$G$3),0)</f>
        <v>0</v>
      </c>
      <c r="M10" s="154"/>
      <c r="Q10" s="136" t="s">
        <v>290</v>
      </c>
      <c r="R10" s="145">
        <f>R6-R9</f>
        <v>19708.33333</v>
      </c>
      <c r="S10" s="35" t="s">
        <v>273</v>
      </c>
    </row>
    <row r="11" ht="21.75" customHeight="1">
      <c r="A11" s="35">
        <v>6.0</v>
      </c>
      <c r="B11" s="167" t="s">
        <v>291</v>
      </c>
      <c r="C11" s="162" t="s">
        <v>110</v>
      </c>
      <c r="D11" s="163" t="s">
        <v>276</v>
      </c>
      <c r="E11" s="164">
        <f>IF(DATE($D$3,$B$3,1)&lt;DATE(2026,1,1),"",IF(AND($D$3=2026,$B$3&lt;=5),CHOOSE($B$3,404,89,341,403,4),4+IFERROR(SUMIFS(DATA_GOC!$H:$H,DATA_GOC!$A:$A,"NHAP",DATA_GOC!$E:$E,"Dầu động cơ",DATA_GOC!$B:$B,"&gt;="&amp;DATE(2026,5,1),DATA_GOC!$B:$B,"&lt;"&amp;DATE($D$3,$B$3,1)),0)-IFERROR(SUMIFS(DATA_GOC!$H:$H,DATA_GOC!$A:$A,"BOM",DATA_GOC!$E:$E,"Dầu động cơ",DATA_GOC!$B:$B,"&gt;="&amp;DATE(2026,5,1),DATA_GOC!$B:$B,"&lt;"&amp;DATE($D$3,$B$3,1)),0)-IFERROR(SUMIFS(TINH_TEC!$K$6:$K$155,TINH_TEC!$C$6:$C$155,"Dầu động cơ",TINH_TEC!$B$6:$B$155,"Đã chốt",TINH_TEC!$E$6:$E$155,"&gt;="&amp;DATE(2026,5,1),TINH_TEC!$E$6:$E$155,"&lt;"&amp;DATE($D$3,$B$3,1)),0)+IFERROR(SUMIFS(TINH_TEC!$L$6:$L$155,TINH_TEC!$C$6:$C$155,"Dầu động cơ",TINH_TEC!$B$6:$B$155,"Đã chốt",TINH_TEC!$E$6:$E$155,"&gt;="&amp;DATE(2026,5,1),TINH_TEC!$E$6:$E$155,"&lt;"&amp;DATE($D$3,$B$3,1)),0)))</f>
        <v>430</v>
      </c>
      <c r="F11" s="164">
        <f>IFERROR(SUMIFS(DATA_GOC!$H:$H,DATA_GOC!$A:$A,"NHAP",DATA_GOC!$E:$E,"Dầu động cơ",DATA_GOC!$B:$B,"&gt;="&amp;$I$3,DATA_GOC!$B:$B,"&lt;="&amp;$G$3),0)</f>
        <v>0</v>
      </c>
      <c r="G11" s="164">
        <f>IFERROR(SUMIFS(DATA_GOC!$H:$H,DATA_GOC!$A:$A,"BOM",DATA_GOC!$E:$E,"Dầu động cơ",DATA_GOC!$B:$B,"&gt;="&amp;$I$3,DATA_GOC!$B:$B,"&lt;="&amp;$G$3),0)</f>
        <v>80</v>
      </c>
      <c r="H11" s="145">
        <f t="shared" si="1"/>
        <v>350</v>
      </c>
      <c r="I11" s="168"/>
      <c r="J11" s="166" t="str">
        <f t="shared" si="2"/>
        <v>OK ✓</v>
      </c>
      <c r="K11" s="164">
        <f>IFERROR(SUMIFS(TINH_TEC!$K$6:$K$155,TINH_TEC!$C$6:$C$155,"Dầu động cơ",TINH_TEC!$B$6:$B$155,"Đã chốt",TINH_TEC!$E$6:$E$155,"&gt;="&amp;$I$3,TINH_TEC!$E$6:$E$155,"&lt;="&amp;$G$3),0)</f>
        <v>0</v>
      </c>
      <c r="L11" s="164">
        <f>IFERROR(SUMIFS(TINH_TEC!$L$6:$L$155,TINH_TEC!$C$6:$C$155,"Dầu động cơ",TINH_TEC!$B$6:$B$155,"Đã chốt",TINH_TEC!$E$6:$E$155,"&gt;="&amp;$I$3,TINH_TEC!$E$6:$E$155,"&lt;="&amp;$G$3),0)</f>
        <v>0</v>
      </c>
      <c r="M11" s="154"/>
      <c r="Q11" s="136" t="s">
        <v>292</v>
      </c>
      <c r="R11" s="145" t="str">
        <f>IF(R6&lt;=R9,"CẦN ĐẶT HÀNG","OK — chưa cần đặt")</f>
        <v>OK — chưa cần đặt</v>
      </c>
      <c r="S11" s="35"/>
    </row>
    <row r="12" ht="21.75" customHeight="1">
      <c r="A12" s="35">
        <v>7.0</v>
      </c>
      <c r="B12" s="161" t="s">
        <v>293</v>
      </c>
      <c r="C12" s="162" t="s">
        <v>93</v>
      </c>
      <c r="D12" s="163" t="s">
        <v>276</v>
      </c>
      <c r="E12" s="164">
        <f>IF(DATE($D$3,$B$3,1)&lt;DATE(2026,1,1),"",IF(AND($D$3=2026,$B$3&lt;=5),CHOOSE($B$3,184,129,126,390,348),348+IFERROR(SUMIFS(DATA_GOC!$H:$H,DATA_GOC!$A:$A,"NHAP",DATA_GOC!$E:$E,"Dầu thủy lực",DATA_GOC!$B:$B,"&gt;="&amp;DATE(2026,5,1),DATA_GOC!$B:$B,"&lt;"&amp;DATE($D$3,$B$3,1)),0)-IFERROR(SUMIFS(DATA_GOC!$H:$H,DATA_GOC!$A:$A,"BOM",DATA_GOC!$E:$E,"Dầu thủy lực",DATA_GOC!$B:$B,"&gt;="&amp;DATE(2026,5,1),DATA_GOC!$B:$B,"&lt;"&amp;DATE($D$3,$B$3,1)),0)-IFERROR(SUMIFS(TINH_TEC!$K$6:$K$155,TINH_TEC!$C$6:$C$155,"Dầu thủy lực",TINH_TEC!$B$6:$B$155,"Đã chốt",TINH_TEC!$E$6:$E$155,"&gt;="&amp;DATE(2026,5,1),TINH_TEC!$E$6:$E$155,"&lt;"&amp;DATE($D$3,$B$3,1)),0)+IFERROR(SUMIFS(TINH_TEC!$L$6:$L$155,TINH_TEC!$C$6:$C$155,"Dầu thủy lực",TINH_TEC!$B$6:$B$155,"Đã chốt",TINH_TEC!$E$6:$E$155,"&gt;="&amp;DATE(2026,5,1),TINH_TEC!$E$6:$E$155,"&lt;"&amp;DATE($D$3,$B$3,1)),0)))</f>
        <v>193</v>
      </c>
      <c r="F12" s="164">
        <f>IFERROR(SUMIFS(DATA_GOC!$H:$H,DATA_GOC!$A:$A,"NHAP",DATA_GOC!$E:$E,"Dầu thủy lực",DATA_GOC!$B:$B,"&gt;="&amp;$I$3,DATA_GOC!$B:$B,"&lt;="&amp;$G$3),0)</f>
        <v>0</v>
      </c>
      <c r="G12" s="164">
        <f>IFERROR(SUMIFS(DATA_GOC!$H:$H,DATA_GOC!$A:$A,"BOM",DATA_GOC!$E:$E,"Dầu thủy lực",DATA_GOC!$B:$B,"&gt;="&amp;$I$3,DATA_GOC!$B:$B,"&lt;="&amp;$G$3),0)</f>
        <v>0</v>
      </c>
      <c r="H12" s="145">
        <f t="shared" si="1"/>
        <v>193</v>
      </c>
      <c r="I12" s="168"/>
      <c r="J12" s="166" t="str">
        <f t="shared" si="2"/>
        <v>OK ✓</v>
      </c>
      <c r="K12" s="164">
        <f>IFERROR(SUMIFS(TINH_TEC!$K$6:$K$155,TINH_TEC!$C$6:$C$155,"Dầu thủy lực",TINH_TEC!$B$6:$B$155,"Đã chốt",TINH_TEC!$E$6:$E$155,"&gt;="&amp;$I$3,TINH_TEC!$E$6:$E$155,"&lt;="&amp;$G$3),0)</f>
        <v>0</v>
      </c>
      <c r="L12" s="164">
        <f>IFERROR(SUMIFS(TINH_TEC!$L$6:$L$155,TINH_TEC!$C$6:$C$155,"Dầu thủy lực",TINH_TEC!$B$6:$B$155,"Đã chốt",TINH_TEC!$E$6:$E$155,"&gt;="&amp;$I$3,TINH_TEC!$E$6:$E$155,"&lt;="&amp;$G$3),0)</f>
        <v>0</v>
      </c>
      <c r="M12" s="154"/>
      <c r="N12" s="150" t="s">
        <v>294</v>
      </c>
      <c r="O12" s="151"/>
      <c r="P12" s="151"/>
      <c r="Q12" s="151"/>
      <c r="R12" s="151"/>
      <c r="S12" s="151"/>
      <c r="T12" s="151"/>
      <c r="U12" s="152"/>
    </row>
    <row r="13" ht="21.75" customHeight="1">
      <c r="A13" s="35">
        <v>8.0</v>
      </c>
      <c r="B13" s="161" t="s">
        <v>295</v>
      </c>
      <c r="C13" s="169" t="s">
        <v>107</v>
      </c>
      <c r="D13" s="35" t="s">
        <v>276</v>
      </c>
      <c r="E13" s="164">
        <f>IF(DATE($D$3,$B$3,1)&lt;DATE(2026,1,1),"",IF(AND($D$3=2026,$B$3&lt;=5),CHOOSE($B$3,124,95,42,30,16),16+IFERROR(SUMIFS(DATA_GOC!$H:$H,DATA_GOC!$A:$A,"NHAP",DATA_GOC!$E:$E,"Dầu cầu",DATA_GOC!$B:$B,"&gt;="&amp;DATE(2026,5,1),DATA_GOC!$B:$B,"&lt;"&amp;DATE($D$3,$B$3,1)),0)-IFERROR(SUMIFS(DATA_GOC!$H:$H,DATA_GOC!$A:$A,"BOM",DATA_GOC!$E:$E,"Dầu cầu",DATA_GOC!$B:$B,"&gt;="&amp;DATE(2026,5,1),DATA_GOC!$B:$B,"&lt;"&amp;DATE($D$3,$B$3,1)),0)-IFERROR(SUMIFS(TINH_TEC!$K$6:$K$155,TINH_TEC!$C$6:$C$155,"Dầu cầu",TINH_TEC!$B$6:$B$155,"Đã chốt",TINH_TEC!$E$6:$E$155,"&gt;="&amp;DATE(2026,5,1),TINH_TEC!$E$6:$E$155,"&lt;"&amp;DATE($D$3,$B$3,1)),0)+IFERROR(SUMIFS(TINH_TEC!$L$6:$L$155,TINH_TEC!$C$6:$C$155,"Dầu cầu",TINH_TEC!$B$6:$B$155,"Đã chốt",TINH_TEC!$E$6:$E$155,"&gt;="&amp;DATE(2026,5,1),TINH_TEC!$E$6:$E$155,"&lt;"&amp;DATE($D$3,$B$3,1)),0)))</f>
        <v>370</v>
      </c>
      <c r="F13" s="164">
        <f>IFERROR(SUMIFS(DATA_GOC!$H:$H,DATA_GOC!$A:$A,"NHAP",DATA_GOC!$E:$E,"Dầu cầu",DATA_GOC!$B:$B,"&gt;="&amp;$I$3,DATA_GOC!$B:$B,"&lt;="&amp;$G$3),0)</f>
        <v>0</v>
      </c>
      <c r="G13" s="164">
        <f>IFERROR(SUMIFS(DATA_GOC!$H:$H,DATA_GOC!$A:$A,"BOM",DATA_GOC!$E:$E,"Dầu cầu",DATA_GOC!$B:$B,"&gt;="&amp;$I$3,DATA_GOC!$B:$B,"&lt;="&amp;$G$3),0)</f>
        <v>0</v>
      </c>
      <c r="H13" s="145">
        <f t="shared" si="1"/>
        <v>370</v>
      </c>
      <c r="I13" s="170"/>
      <c r="J13" s="166" t="str">
        <f t="shared" si="2"/>
        <v>OK ✓</v>
      </c>
      <c r="K13" s="164">
        <f>IFERROR(SUMIFS(TINH_TEC!$K$6:$K$155,TINH_TEC!$C$6:$C$155,"Dầu cầu",TINH_TEC!$B$6:$B$155,"Đã chốt",TINH_TEC!$E$6:$E$155,"&gt;="&amp;$I$3,TINH_TEC!$E$6:$E$155,"&lt;="&amp;$G$3),0)</f>
        <v>0</v>
      </c>
      <c r="L13" s="164">
        <f>IFERROR(SUMIFS(TINH_TEC!$L$6:$L$155,TINH_TEC!$C$6:$C$155,"Dầu cầu",TINH_TEC!$B$6:$B$155,"Đã chốt",TINH_TEC!$E$6:$E$155,"&gt;="&amp;$I$3,TINH_TEC!$E$6:$E$155,"&lt;="&amp;$G$3),0)</f>
        <v>0</v>
      </c>
      <c r="M13" s="134"/>
      <c r="N13" s="136" t="s">
        <v>296</v>
      </c>
      <c r="O13" s="145">
        <f>IFERROR(SUM($G$7:$G$10)/MAX(1,DAY($G$3)),"")</f>
        <v>913.1666667</v>
      </c>
      <c r="P13" s="35" t="s">
        <v>271</v>
      </c>
    </row>
    <row r="14" ht="21.75" customHeight="1">
      <c r="A14" s="35">
        <v>9.0</v>
      </c>
      <c r="B14" s="161" t="s">
        <v>297</v>
      </c>
      <c r="C14" s="169" t="s">
        <v>298</v>
      </c>
      <c r="D14" s="35" t="s">
        <v>276</v>
      </c>
      <c r="E14" s="164">
        <f>IF(DATE($D$3,$B$3,1)&lt;DATE(2026,1,1),"",IF(AND($D$3=2026,$B$3&lt;=5),CHOOSE($B$3,260,237,237,237,171),171+IFERROR(SUMIFS(DATA_GOC!$H:$H,DATA_GOC!$A:$A,"NHAP",DATA_GOC!$E:$E,"Dầu số",DATA_GOC!$B:$B,"&gt;="&amp;DATE(2026,5,1),DATA_GOC!$B:$B,"&lt;"&amp;DATE($D$3,$B$3,1)),0)-IFERROR(SUMIFS(DATA_GOC!$H:$H,DATA_GOC!$A:$A,"BOM",DATA_GOC!$E:$E,"Dầu số",DATA_GOC!$B:$B,"&gt;="&amp;DATE(2026,5,1),DATA_GOC!$B:$B,"&lt;"&amp;DATE($D$3,$B$3,1)),0)-IFERROR(SUMIFS(TINH_TEC!$K$6:$K$155,TINH_TEC!$C$6:$C$155,"Dầu số",TINH_TEC!$B$6:$B$155,"Đã chốt",TINH_TEC!$E$6:$E$155,"&gt;="&amp;DATE(2026,5,1),TINH_TEC!$E$6:$E$155,"&lt;"&amp;DATE($D$3,$B$3,1)),0)+IFERROR(SUMIFS(TINH_TEC!$L$6:$L$155,TINH_TEC!$C$6:$C$155,"Dầu số",TINH_TEC!$B$6:$B$155,"Đã chốt",TINH_TEC!$E$6:$E$155,"&gt;="&amp;DATE(2026,5,1),TINH_TEC!$E$6:$E$155,"&lt;"&amp;DATE($D$3,$B$3,1)),0)))</f>
        <v>135</v>
      </c>
      <c r="F14" s="164">
        <f>IFERROR(SUMIFS(DATA_GOC!$H:$H,DATA_GOC!$A:$A,"NHAP",DATA_GOC!$E:$E,"Dầu số",DATA_GOC!$B:$B,"&gt;="&amp;$I$3,DATA_GOC!$B:$B,"&lt;="&amp;$G$3),0)</f>
        <v>0</v>
      </c>
      <c r="G14" s="164">
        <f>IFERROR(SUMIFS(DATA_GOC!$H:$H,DATA_GOC!$A:$A,"BOM",DATA_GOC!$E:$E,"Dầu số",DATA_GOC!$B:$B,"&gt;="&amp;$I$3,DATA_GOC!$B:$B,"&lt;="&amp;$G$3),0)</f>
        <v>0</v>
      </c>
      <c r="H14" s="145">
        <f t="shared" si="1"/>
        <v>135</v>
      </c>
      <c r="I14" s="170"/>
      <c r="J14" s="166" t="str">
        <f t="shared" si="2"/>
        <v>OK ✓</v>
      </c>
      <c r="K14" s="164">
        <f>IFERROR(SUMIFS(TINH_TEC!$K$6:$K$155,TINH_TEC!$C$6:$C$155,"Dầu số",TINH_TEC!$B$6:$B$155,"Đã chốt",TINH_TEC!$E$6:$E$155,"&gt;="&amp;$I$3,TINH_TEC!$E$6:$E$155,"&lt;="&amp;$G$3),0)</f>
        <v>0</v>
      </c>
      <c r="L14" s="164">
        <f>IFERROR(SUMIFS(TINH_TEC!$L$6:$L$155,TINH_TEC!$C$6:$C$155,"Dầu số",TINH_TEC!$B$6:$B$155,"Đã chốt",TINH_TEC!$E$6:$E$155,"&gt;="&amp;$I$3,TINH_TEC!$E$6:$E$155,"&lt;="&amp;$G$3),0)</f>
        <v>0</v>
      </c>
      <c r="M14" s="134"/>
      <c r="N14" s="136" t="s">
        <v>299</v>
      </c>
      <c r="O14" s="145">
        <f>IFERROR((SUMIFS(DATA_GOC!$H:$H,DATA_GOC!$A:$A,"BOM",DATA_GOC!$E:$E,"Téc 1",DATA_GOC!$B:$B,"&gt;="&amp;$G$3-6,DATA_GOC!$B:$B,"&lt;="&amp;$G$3)+SUMIFS(DATA_GOC!$H:$H,DATA_GOC!$A:$A,"BOM",DATA_GOC!$E:$E,"Téc 2",DATA_GOC!$B:$B,"&gt;="&amp;$G$3-6,DATA_GOC!$B:$B,"&lt;="&amp;$G$3)+SUMIFS(DATA_GOC!$H:$H,DATA_GOC!$A:$A,"BOM",DATA_GOC!$E:$E,"Téc 3",DATA_GOC!$B:$B,"&gt;="&amp;$G$3-6,DATA_GOC!$B:$B,"&lt;="&amp;$G$3)+SUMIFS(DATA_GOC!$H:$H,DATA_GOC!$A:$A,"BOM",DATA_GOC!$E:$E,"Téc cát nghiền",DATA_GOC!$B:$B,"&gt;="&amp;$G$3-6,DATA_GOC!$B:$B,"&lt;="&amp;$G$3))/7,"")</f>
        <v>2052.285714</v>
      </c>
      <c r="P14" s="35" t="s">
        <v>271</v>
      </c>
    </row>
    <row r="15" ht="21.75" customHeight="1">
      <c r="A15" s="36"/>
      <c r="B15" s="169" t="s">
        <v>300</v>
      </c>
      <c r="C15" s="171"/>
      <c r="D15" s="36"/>
      <c r="E15" s="172">
        <f t="shared" ref="E15:H15" si="4">SUM(E7:E14)</f>
        <v>8295</v>
      </c>
      <c r="F15" s="173">
        <f t="shared" si="4"/>
        <v>22935</v>
      </c>
      <c r="G15" s="173">
        <f t="shared" si="4"/>
        <v>5559</v>
      </c>
      <c r="H15" s="173">
        <f t="shared" si="4"/>
        <v>24409</v>
      </c>
      <c r="I15" s="171"/>
      <c r="J15" s="171"/>
      <c r="K15" s="173">
        <f t="shared" ref="K15:L15" si="5">SUM(K7:K14)</f>
        <v>1262</v>
      </c>
      <c r="L15" s="173">
        <f t="shared" si="5"/>
        <v>0</v>
      </c>
      <c r="M15" s="134"/>
      <c r="N15" s="136" t="s">
        <v>301</v>
      </c>
      <c r="O15" s="145">
        <f>SUM('_TON_CAPACITY'!$B$2:$B$5)</f>
        <v>108000</v>
      </c>
      <c r="P15" s="35" t="s">
        <v>273</v>
      </c>
    </row>
    <row r="16">
      <c r="N16" s="136" t="s">
        <v>302</v>
      </c>
      <c r="O16" s="174">
        <f>IFERROR($R$6/$O$15,"")</f>
        <v>0.2163055556</v>
      </c>
      <c r="P16" s="35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M$12"/>
  <mergeCells count="8">
    <mergeCell ref="A1:J1"/>
    <mergeCell ref="N1:U1"/>
    <mergeCell ref="A2:J2"/>
    <mergeCell ref="A4:J4"/>
    <mergeCell ref="N4:P5"/>
    <mergeCell ref="Q4:U4"/>
    <mergeCell ref="A5:J5"/>
    <mergeCell ref="N12:U12"/>
  </mergeCells>
  <conditionalFormatting sqref="L6:L12">
    <cfRule type="expression" dxfId="3" priority="1">
      <formula>LEFT($L6,2)="OK"</formula>
    </cfRule>
  </conditionalFormatting>
  <conditionalFormatting sqref="L6:L12">
    <cfRule type="expression" dxfId="4" priority="2">
      <formula>LEFT($L6,4)="Lệch"</formula>
    </cfRule>
  </conditionalFormatting>
  <conditionalFormatting sqref="L6:L12">
    <cfRule type="expression" dxfId="2" priority="3">
      <formula>LEFT($L6,5)="Thiếu"</formula>
    </cfRule>
  </conditionalFormatting>
  <dataValidations>
    <dataValidation type="decimal" allowBlank="1" sqref="B3">
      <formula1>1.0</formula1>
      <formula2>12.0</formula2>
    </dataValidation>
    <dataValidation type="decimal" allowBlank="1" sqref="D3">
      <formula1>2024.0</formula1>
      <formula2>2035.0</formula2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 fitToPage="1"/>
  </sheetPr>
  <sheetViews>
    <sheetView showGridLines="0"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12.0"/>
    <col customWidth="1" min="4" max="4" width="11.43"/>
    <col customWidth="1" min="5" max="5" width="18.0"/>
    <col customWidth="1" min="6" max="6" width="15.0"/>
    <col customWidth="1" min="7" max="7" width="11.71"/>
    <col customWidth="1" min="8" max="9" width="10.43"/>
    <col customWidth="1" min="10" max="10" width="14.0"/>
    <col customWidth="1" min="11" max="11" width="12.14"/>
    <col customWidth="1" min="12" max="12" width="12.0"/>
    <col customWidth="1" min="13" max="13" width="11.0"/>
    <col customWidth="1" min="14" max="17" width="13.0"/>
    <col customWidth="1" min="18" max="18" width="14.0"/>
    <col customWidth="1" min="19" max="19" width="17.0"/>
    <col customWidth="1" min="20" max="20" width="24.0"/>
    <col customWidth="1" min="21" max="26" width="8.86"/>
  </cols>
  <sheetData>
    <row r="1" ht="24.0" customHeight="1">
      <c r="A1" s="175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27.75" customHeight="1">
      <c r="A2" s="138" t="s">
        <v>211</v>
      </c>
      <c r="B2" s="176">
        <v>7.0</v>
      </c>
      <c r="C2" s="138" t="s">
        <v>212</v>
      </c>
      <c r="D2" s="176">
        <v>2026.0</v>
      </c>
      <c r="E2" s="177" t="s">
        <v>305</v>
      </c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8"/>
      <c r="Q2" s="178"/>
      <c r="R2" s="179"/>
      <c r="T2" s="177"/>
    </row>
    <row r="3" ht="12.0" customHeight="1">
      <c r="P3" s="179"/>
      <c r="Q3" s="179"/>
      <c r="R3" s="179"/>
    </row>
    <row r="4" ht="21.75" customHeight="1">
      <c r="A4" s="180" t="s">
        <v>306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2"/>
    </row>
    <row r="5" ht="24.0" customHeight="1">
      <c r="A5" s="183" t="s">
        <v>307</v>
      </c>
      <c r="B5" s="183" t="s">
        <v>308</v>
      </c>
      <c r="C5" s="184" t="s">
        <v>309</v>
      </c>
      <c r="D5" s="185"/>
      <c r="E5" s="184" t="s">
        <v>310</v>
      </c>
      <c r="F5" s="185"/>
      <c r="G5" s="184" t="s">
        <v>311</v>
      </c>
      <c r="H5" s="186"/>
      <c r="I5" s="186"/>
      <c r="J5" s="185"/>
      <c r="K5" s="187" t="s">
        <v>312</v>
      </c>
      <c r="L5" s="184" t="s">
        <v>313</v>
      </c>
      <c r="M5" s="186"/>
      <c r="N5" s="186"/>
      <c r="O5" s="185"/>
      <c r="P5" s="184" t="s">
        <v>314</v>
      </c>
      <c r="Q5" s="185"/>
      <c r="R5" s="188" t="s">
        <v>315</v>
      </c>
      <c r="S5" s="189"/>
      <c r="T5" s="183" t="s">
        <v>45</v>
      </c>
    </row>
    <row r="6" ht="51.75" customHeight="1">
      <c r="A6" s="190"/>
      <c r="B6" s="190"/>
      <c r="C6" s="191" t="s">
        <v>316</v>
      </c>
      <c r="D6" s="191" t="s">
        <v>317</v>
      </c>
      <c r="E6" s="192" t="s">
        <v>318</v>
      </c>
      <c r="F6" s="191" t="s">
        <v>319</v>
      </c>
      <c r="G6" s="192" t="s">
        <v>320</v>
      </c>
      <c r="H6" s="192" t="s">
        <v>321</v>
      </c>
      <c r="I6" s="192" t="s">
        <v>322</v>
      </c>
      <c r="J6" s="191" t="s">
        <v>323</v>
      </c>
      <c r="K6" s="192" t="s">
        <v>324</v>
      </c>
      <c r="L6" s="191" t="s">
        <v>325</v>
      </c>
      <c r="M6" s="192" t="s">
        <v>326</v>
      </c>
      <c r="N6" s="192" t="s">
        <v>327</v>
      </c>
      <c r="O6" s="192" t="s">
        <v>328</v>
      </c>
      <c r="P6" s="193" t="s">
        <v>329</v>
      </c>
      <c r="Q6" s="194" t="s">
        <v>330</v>
      </c>
      <c r="R6" s="194" t="s">
        <v>331</v>
      </c>
      <c r="S6" s="192" t="s">
        <v>332</v>
      </c>
      <c r="T6" s="190"/>
    </row>
    <row r="7" ht="19.5" customHeight="1">
      <c r="A7" s="195">
        <v>1.0</v>
      </c>
      <c r="B7" s="195" t="s">
        <v>154</v>
      </c>
      <c r="C7" s="196">
        <v>219.0</v>
      </c>
      <c r="D7" s="196">
        <v>219.0</v>
      </c>
      <c r="E7" s="195">
        <f>IF($B7="","",IFERROR(SUMIFS(DATA_GOC!$H:$H,DATA_GOC!$A:$A,"BOM",DATA_GOC!$D:$D,$B7,DATA_GOC!$G:$G,"DO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số",DATA_GOC!$B:$B,"&gt;="&amp;DATE($D$2,$B$2,1),DATA_GOC!$B:$B,"&lt;"&amp;EDATE(DATE($D$2,$B$2,1),1))+SUMIFS(TINH_TEC!$J$233:$J$9232,TINH_TEC!$H$233:$H$9232,$B7,TINH_TEC!$F$233:$F$9232,$B$2,TINH_TEC!$G$233:$G$9232,$D$2,TINH_TEC!$B$233:$B$9232,"Đã chốt")-SUMIFS(TINH_TEC!$K$233:$K$9232,TINH_TEC!$H$233:$H$9232,$B7,TINH_TEC!$F$233:$F$9232,$B$2,TINH_TEC!$G$233:$G$9232,$D$2,TINH_TEC!$B$233:$B$9232,"Đã chốt"),"-"))</f>
        <v>12.231</v>
      </c>
      <c r="F7" s="195">
        <f t="shared" ref="F7:F58" si="1">IF($B7="","",N($C7)+N($E7)-N($D7))</f>
        <v>12.231</v>
      </c>
      <c r="G7" s="195">
        <f>IF($B7="","",SUMIFS(DATA_GOC!$K:$K,DATA_GOC!$A:$A,"BOM",DATA_GOC!$D:$D,$B7,DATA_GOC!$G:$G,"DO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7" s="196">
        <v>366996.0</v>
      </c>
      <c r="I7" s="197">
        <v>367710.0</v>
      </c>
      <c r="J7" s="195">
        <f t="shared" ref="J7:J58" si="2">IF(OR($H7="",$I7=""),"",N($I7)-N($H7))</f>
        <v>714</v>
      </c>
      <c r="K7" s="195">
        <f t="shared" ref="K7:K58" si="3">IF(OR($G7="",$J7=""),"",N($J7)-N($G7))</f>
        <v>714</v>
      </c>
      <c r="L7" s="195" t="str">
        <f t="shared" ref="L7:L58" si="4">IF($B7="","",IF(OR($M7="",$N7=""),"",N($M7)*N($N7)))</f>
        <v/>
      </c>
      <c r="M7" s="196">
        <v>0.0</v>
      </c>
      <c r="N7" s="196" t="str">
        <f>IFERROR(VLOOKUP($B7,'_DM_BOM_BOM'!$A:$B,2,FALSE()),"")</f>
        <v/>
      </c>
      <c r="O7" s="195">
        <f>IF($B7="","",N(SUMIFS(DATA_GOC!$H:$H,DATA_GOC!$A:$A,"BOM",DATA_GOC!$D:$D,$B7,DATA_GOC!$F:$F,"Xuất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số",DATA_GOC!$B:$B,"&gt;="&amp;DATE($D$2,$B$2,1),DATA_GOC!$B:$B,"&lt;"&amp;EDATE(DATE($D$2,$B$2,1),1)))-N($L7))</f>
        <v>0</v>
      </c>
      <c r="P7" s="198" t="str">
        <f t="shared" ref="P7:P58" si="5">IFERROR($O7/$G7,"")</f>
        <v/>
      </c>
      <c r="Q7" s="198">
        <f t="shared" ref="Q7:Q58" si="6">IFERROR($O7/$J7,"")</f>
        <v>0</v>
      </c>
      <c r="R7" s="198" t="str">
        <f t="shared" ref="R7:R58" si="7">IF($B7="", "", IFERROR($O7/$G7,""))</f>
        <v/>
      </c>
      <c r="S7" s="195">
        <f>IF($B7="","",IFERROR($R7-(SUMIFS(DATA_GOC!$H:$H,DATA_GOC!$A:$A,"BOM",DATA_GOC!$D:$D,$B7,DATA_GOC!$F:$F,"Xuất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-0.2941176471</v>
      </c>
      <c r="T7" s="199"/>
    </row>
    <row r="8" ht="19.5" customHeight="1">
      <c r="A8" s="195">
        <v>2.0</v>
      </c>
      <c r="B8" s="195" t="s">
        <v>161</v>
      </c>
      <c r="C8" s="196">
        <v>219.0</v>
      </c>
      <c r="D8" s="196">
        <v>219.0</v>
      </c>
      <c r="E8" s="195">
        <f>IF($B8="","",IFERROR(SUMIFS(DATA_GOC!$H:$H,DATA_GOC!$A:$A,"BOM",DATA_GOC!$D:$D,$B8,DATA_GOC!$G:$G,"DO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số",DATA_GOC!$B:$B,"&gt;="&amp;DATE($D$2,$B$2,1),DATA_GOC!$B:$B,"&lt;"&amp;EDATE(DATE($D$2,$B$2,1),1))+SUMIFS(TINH_TEC!$J$233:$J$9232,TINH_TEC!$H$233:$H$9232,$B8,TINH_TEC!$F$233:$F$9232,$B$2,TINH_TEC!$G$233:$G$9232,$D$2,TINH_TEC!$B$233:$B$9232,"Đã chốt")-SUMIFS(TINH_TEC!$K$233:$K$9232,TINH_TEC!$H$233:$H$9232,$B8,TINH_TEC!$F$233:$F$9232,$B$2,TINH_TEC!$G$233:$G$9232,$D$2,TINH_TEC!$B$233:$B$9232,"Đã chốt"),"-"))</f>
        <v>5.475</v>
      </c>
      <c r="F8" s="195">
        <f t="shared" si="1"/>
        <v>5.475</v>
      </c>
      <c r="G8" s="195">
        <f>IF($B8="","",SUMIFS(DATA_GOC!$K:$K,DATA_GOC!$A:$A,"BOM",DATA_GOC!$D:$D,$B8,DATA_GOC!$G:$G,"DO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8" s="196">
        <v>60319.0</v>
      </c>
      <c r="I8" s="197">
        <v>60980.0</v>
      </c>
      <c r="J8" s="195">
        <f t="shared" si="2"/>
        <v>661</v>
      </c>
      <c r="K8" s="195">
        <f t="shared" si="3"/>
        <v>661</v>
      </c>
      <c r="L8" s="195" t="str">
        <f t="shared" si="4"/>
        <v/>
      </c>
      <c r="M8" s="196">
        <v>0.0</v>
      </c>
      <c r="N8" s="196" t="str">
        <f>IFERROR(VLOOKUP($B8,'_DM_BOM_BOM'!$A:$B,2,FALSE()),"")</f>
        <v/>
      </c>
      <c r="O8" s="195">
        <f>IF($B8="","",N(SUMIFS(DATA_GOC!$H:$H,DATA_GOC!$A:$A,"BOM",DATA_GOC!$D:$D,$B8,DATA_GOC!$F:$F,"Xuất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số",DATA_GOC!$B:$B,"&gt;="&amp;DATE($D$2,$B$2,1),DATA_GOC!$B:$B,"&lt;"&amp;EDATE(DATE($D$2,$B$2,1),1)))-N($L8))</f>
        <v>0</v>
      </c>
      <c r="P8" s="198" t="str">
        <f t="shared" si="5"/>
        <v/>
      </c>
      <c r="Q8" s="198">
        <f t="shared" si="6"/>
        <v>0</v>
      </c>
      <c r="R8" s="198" t="str">
        <f t="shared" si="7"/>
        <v/>
      </c>
      <c r="S8" s="195">
        <f>IF($B8="","",IFERROR($R8-(SUMIFS(DATA_GOC!$H:$H,DATA_GOC!$A:$A,"BOM",DATA_GOC!$D:$D,$B8,DATA_GOC!$F:$F,"Xuất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-0.363086233</v>
      </c>
      <c r="T8" s="199"/>
    </row>
    <row r="9" ht="19.5" customHeight="1">
      <c r="A9" s="195">
        <v>3.0</v>
      </c>
      <c r="B9" s="195" t="s">
        <v>153</v>
      </c>
      <c r="C9" s="196">
        <v>219.0</v>
      </c>
      <c r="D9" s="196">
        <v>219.0</v>
      </c>
      <c r="E9" s="195">
        <f>IF($B9="","",IFERROR(SUMIFS(DATA_GOC!$H:$H,DATA_GOC!$A:$A,"BOM",DATA_GOC!$D:$D,$B9,DATA_GOC!$G:$G,"DO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số",DATA_GOC!$B:$B,"&gt;="&amp;DATE($D$2,$B$2,1),DATA_GOC!$B:$B,"&lt;"&amp;EDATE(DATE($D$2,$B$2,1),1))+SUMIFS(TINH_TEC!$J$233:$J$9232,TINH_TEC!$H$233:$H$9232,$B9,TINH_TEC!$F$233:$F$9232,$B$2,TINH_TEC!$G$233:$G$9232,$D$2,TINH_TEC!$B$233:$B$9232,"Đã chốt")-SUMIFS(TINH_TEC!$K$233:$K$9232,TINH_TEC!$H$233:$H$9232,$B9,TINH_TEC!$F$233:$F$9232,$B$2,TINH_TEC!$G$233:$G$9232,$D$2,TINH_TEC!$B$233:$B$9232,"Đã chốt"),"-"))</f>
        <v>11.357</v>
      </c>
      <c r="F9" s="195">
        <f t="shared" si="1"/>
        <v>11.357</v>
      </c>
      <c r="G9" s="195">
        <f>IF($B9="","",SUMIFS(DATA_GOC!$K:$K,DATA_GOC!$A:$A,"BOM",DATA_GOC!$D:$D,$B9,DATA_GOC!$G:$G,"DO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9" s="196">
        <v>360567.0</v>
      </c>
      <c r="I9" s="197">
        <v>361697.0</v>
      </c>
      <c r="J9" s="195">
        <f t="shared" si="2"/>
        <v>1130</v>
      </c>
      <c r="K9" s="195">
        <f t="shared" si="3"/>
        <v>1130</v>
      </c>
      <c r="L9" s="195" t="str">
        <f t="shared" si="4"/>
        <v/>
      </c>
      <c r="M9" s="196">
        <v>0.0</v>
      </c>
      <c r="N9" s="196" t="str">
        <f>IFERROR(VLOOKUP($B9,'_DM_BOM_BOM'!$A:$B,2,FALSE()),"")</f>
        <v/>
      </c>
      <c r="O9" s="195">
        <f>IF($B9="","",N(SUMIFS(DATA_GOC!$H:$H,DATA_GOC!$A:$A,"BOM",DATA_GOC!$D:$D,$B9,DATA_GOC!$F:$F,"Xuất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số",DATA_GOC!$B:$B,"&gt;="&amp;DATE($D$2,$B$2,1),DATA_GOC!$B:$B,"&lt;"&amp;EDATE(DATE($D$2,$B$2,1),1)))-N($L9))</f>
        <v>0</v>
      </c>
      <c r="P9" s="198" t="str">
        <f t="shared" si="5"/>
        <v/>
      </c>
      <c r="Q9" s="198">
        <f t="shared" si="6"/>
        <v>0</v>
      </c>
      <c r="R9" s="198" t="str">
        <f t="shared" si="7"/>
        <v/>
      </c>
      <c r="S9" s="195">
        <f>IF($B9="","",IFERROR($R9-(SUMIFS(DATA_GOC!$H:$H,DATA_GOC!$A:$A,"BOM",DATA_GOC!$D:$D,$B9,DATA_GOC!$F:$F,"Xuất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-0.2876106195</v>
      </c>
      <c r="T9" s="199"/>
    </row>
    <row r="10" ht="19.5" customHeight="1">
      <c r="A10" s="195">
        <v>4.0</v>
      </c>
      <c r="B10" s="195" t="s">
        <v>159</v>
      </c>
      <c r="C10" s="196">
        <v>219.0</v>
      </c>
      <c r="D10" s="196">
        <v>219.0</v>
      </c>
      <c r="E10" s="195">
        <f>IF($B10="","",IFERROR(SUMIFS(DATA_GOC!$H:$H,DATA_GOC!$A:$A,"BOM",DATA_GOC!$D:$D,$B10,DATA_GOC!$G:$G,"DO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số",DATA_GOC!$B:$B,"&gt;="&amp;DATE($D$2,$B$2,1),DATA_GOC!$B:$B,"&lt;"&amp;EDATE(DATE($D$2,$B$2,1),1))+SUMIFS(TINH_TEC!$J$233:$J$9232,TINH_TEC!$H$233:$H$9232,$B10,TINH_TEC!$F$233:$F$9232,$B$2,TINH_TEC!$G$233:$G$9232,$D$2,TINH_TEC!$B$233:$B$9232,"Đã chốt")-SUMIFS(TINH_TEC!$K$233:$K$9232,TINH_TEC!$H$233:$H$9232,$B10,TINH_TEC!$F$233:$F$9232,$B$2,TINH_TEC!$G$233:$G$9232,$D$2,TINH_TEC!$B$233:$B$9232,"Đã chốt"),"-"))</f>
        <v>8.154</v>
      </c>
      <c r="F10" s="195">
        <f t="shared" si="1"/>
        <v>8.154</v>
      </c>
      <c r="G10" s="195">
        <f>IF($B10="","",SUMIFS(DATA_GOC!$K:$K,DATA_GOC!$A:$A,"BOM",DATA_GOC!$D:$D,$B10,DATA_GOC!$G:$G,"DO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10" s="196">
        <v>77261.0</v>
      </c>
      <c r="I10" s="197">
        <v>78234.0</v>
      </c>
      <c r="J10" s="195">
        <f t="shared" si="2"/>
        <v>973</v>
      </c>
      <c r="K10" s="195">
        <f t="shared" si="3"/>
        <v>973</v>
      </c>
      <c r="L10" s="195" t="str">
        <f t="shared" si="4"/>
        <v/>
      </c>
      <c r="M10" s="196">
        <v>0.0</v>
      </c>
      <c r="N10" s="196" t="str">
        <f>IFERROR(VLOOKUP($B10,'_DM_BOM_BOM'!$A:$B,2,FALSE()),"")</f>
        <v/>
      </c>
      <c r="O10" s="195">
        <f>IF($B10="","",N(SUMIFS(DATA_GOC!$H:$H,DATA_GOC!$A:$A,"BOM",DATA_GOC!$D:$D,$B10,DATA_GOC!$F:$F,"Xuất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số",DATA_GOC!$B:$B,"&gt;="&amp;DATE($D$2,$B$2,1),DATA_GOC!$B:$B,"&lt;"&amp;EDATE(DATE($D$2,$B$2,1),1)))-N($L10))</f>
        <v>0</v>
      </c>
      <c r="P10" s="198" t="str">
        <f t="shared" si="5"/>
        <v/>
      </c>
      <c r="Q10" s="198">
        <f t="shared" si="6"/>
        <v>0</v>
      </c>
      <c r="R10" s="198" t="str">
        <f t="shared" si="7"/>
        <v/>
      </c>
      <c r="S10" s="195">
        <f>IF($B10="","",IFERROR($R10-(SUMIFS(DATA_GOC!$H:$H,DATA_GOC!$A:$A,"BOM",DATA_GOC!$D:$D,$B10,DATA_GOC!$F:$F,"Xuất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-0.2877697842</v>
      </c>
      <c r="T10" s="199"/>
    </row>
    <row r="11" ht="19.5" customHeight="1">
      <c r="A11" s="195">
        <v>5.0</v>
      </c>
      <c r="B11" s="195" t="s">
        <v>158</v>
      </c>
      <c r="C11" s="196">
        <v>300.0</v>
      </c>
      <c r="D11" s="196">
        <v>300.0</v>
      </c>
      <c r="E11" s="195">
        <f>IF($B11="","",IFERROR(SUMIFS(DATA_GOC!$H:$H,DATA_GOC!$A:$A,"BOM",DATA_GOC!$D:$D,$B11,DATA_GOC!$G:$G,"DO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số",DATA_GOC!$B:$B,"&gt;="&amp;DATE($D$2,$B$2,1),DATA_GOC!$B:$B,"&lt;"&amp;EDATE(DATE($D$2,$B$2,1),1))+SUMIFS(TINH_TEC!$J$233:$J$9232,TINH_TEC!$H$233:$H$9232,$B11,TINH_TEC!$F$233:$F$9232,$B$2,TINH_TEC!$G$233:$G$9232,$D$2,TINH_TEC!$B$233:$B$9232,"Đã chốt")-SUMIFS(TINH_TEC!$K$233:$K$9232,TINH_TEC!$H$233:$H$9232,$B11,TINH_TEC!$F$233:$F$9232,$B$2,TINH_TEC!$G$233:$G$9232,$D$2,TINH_TEC!$B$233:$B$9232,"Đã chốt"),"-"))</f>
        <v>7.397</v>
      </c>
      <c r="F11" s="195">
        <f t="shared" si="1"/>
        <v>7.397</v>
      </c>
      <c r="G11" s="195">
        <f>IF($B11="","",SUMIFS(DATA_GOC!$K:$K,DATA_GOC!$A:$A,"BOM",DATA_GOC!$D:$D,$B11,DATA_GOC!$G:$G,"DO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11" s="196">
        <v>248068.0</v>
      </c>
      <c r="I11" s="197">
        <v>248979.0</v>
      </c>
      <c r="J11" s="195">
        <f t="shared" si="2"/>
        <v>911</v>
      </c>
      <c r="K11" s="195">
        <f t="shared" si="3"/>
        <v>911</v>
      </c>
      <c r="L11" s="195" t="str">
        <f t="shared" si="4"/>
        <v/>
      </c>
      <c r="M11" s="196">
        <v>0.0</v>
      </c>
      <c r="N11" s="196" t="str">
        <f>IFERROR(VLOOKUP($B11,'_DM_BOM_BOM'!$A:$B,2,FALSE()),"")</f>
        <v/>
      </c>
      <c r="O11" s="195">
        <f>IF($B11="","",N(SUMIFS(DATA_GOC!$H:$H,DATA_GOC!$A:$A,"BOM",DATA_GOC!$D:$D,$B11,DATA_GOC!$F:$F,"Xuất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số",DATA_GOC!$B:$B,"&gt;="&amp;DATE($D$2,$B$2,1),DATA_GOC!$B:$B,"&lt;"&amp;EDATE(DATE($D$2,$B$2,1),1)))-N($L11))</f>
        <v>0</v>
      </c>
      <c r="P11" s="198" t="str">
        <f t="shared" si="5"/>
        <v/>
      </c>
      <c r="Q11" s="198">
        <f t="shared" si="6"/>
        <v>0</v>
      </c>
      <c r="R11" s="198" t="str">
        <f t="shared" si="7"/>
        <v/>
      </c>
      <c r="S11" s="195">
        <f>IF($B11="","",IFERROR($R11-(SUMIFS(DATA_GOC!$H:$H,DATA_GOC!$A:$A,"BOM",DATA_GOC!$D:$D,$B11,DATA_GOC!$F:$F,"Xuất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-0.3622392975</v>
      </c>
      <c r="T11" s="199"/>
    </row>
    <row r="12" ht="19.5" customHeight="1">
      <c r="A12" s="195">
        <v>6.0</v>
      </c>
      <c r="B12" s="195" t="s">
        <v>130</v>
      </c>
      <c r="C12" s="196">
        <v>250.0</v>
      </c>
      <c r="D12" s="196">
        <v>250.0</v>
      </c>
      <c r="E12" s="195">
        <f>IF($B12="","",IFERROR(SUMIFS(DATA_GOC!$H:$H,DATA_GOC!$A:$A,"BOM",DATA_GOC!$D:$D,$B12,DATA_GOC!$G:$G,"DO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số",DATA_GOC!$B:$B,"&gt;="&amp;DATE($D$2,$B$2,1),DATA_GOC!$B:$B,"&lt;"&amp;EDATE(DATE($D$2,$B$2,1),1))+SUMIFS(TINH_TEC!$J$233:$J$9232,TINH_TEC!$H$233:$H$9232,$B12,TINH_TEC!$F$233:$F$9232,$B$2,TINH_TEC!$G$233:$G$9232,$D$2,TINH_TEC!$B$233:$B$9232,"Đã chốt")-SUMIFS(TINH_TEC!$K$233:$K$9232,TINH_TEC!$H$233:$H$9232,$B12,TINH_TEC!$F$233:$F$9232,$B$2,TINH_TEC!$G$233:$G$9232,$D$2,TINH_TEC!$B$233:$B$9232,"Đã chốt"),"-"))</f>
        <v>172.842</v>
      </c>
      <c r="F12" s="195">
        <f t="shared" si="1"/>
        <v>172.842</v>
      </c>
      <c r="G12" s="195">
        <f>IF($B12="","",SUMIFS(DATA_GOC!$K:$K,DATA_GOC!$A:$A,"BOM",DATA_GOC!$D:$D,$B12,DATA_GOC!$G:$G,"DO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12" s="196"/>
      <c r="I12" s="196"/>
      <c r="J12" s="195" t="str">
        <f t="shared" si="2"/>
        <v/>
      </c>
      <c r="K12" s="195" t="str">
        <f t="shared" si="3"/>
        <v/>
      </c>
      <c r="L12" s="195" t="str">
        <f t="shared" si="4"/>
        <v/>
      </c>
      <c r="M12" s="196">
        <v>0.0</v>
      </c>
      <c r="N12" s="196" t="str">
        <f>IFERROR(VLOOKUP($B12,'_DM_BOM_BOM'!$A:$B,2,FALSE()),"")</f>
        <v/>
      </c>
      <c r="O12" s="195">
        <f>IF($B12="","",N(SUMIFS(DATA_GOC!$H:$H,DATA_GOC!$A:$A,"BOM",DATA_GOC!$D:$D,$B12,DATA_GOC!$F:$F,"Xuất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số",DATA_GOC!$B:$B,"&gt;="&amp;DATE($D$2,$B$2,1),DATA_GOC!$B:$B,"&lt;"&amp;EDATE(DATE($D$2,$B$2,1),1)))-N($L12))</f>
        <v>157</v>
      </c>
      <c r="P12" s="198" t="str">
        <f t="shared" si="5"/>
        <v/>
      </c>
      <c r="Q12" s="198" t="str">
        <f t="shared" si="6"/>
        <v/>
      </c>
      <c r="R12" s="198" t="str">
        <f t="shared" si="7"/>
        <v/>
      </c>
      <c r="S12" s="195" t="str">
        <f>IF($B12="","",IFERROR($R12-(SUMIFS(DATA_GOC!$H:$H,DATA_GOC!$A:$A,"BOM",DATA_GOC!$D:$D,$B12,DATA_GOC!$F:$F,"Xuất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T12" s="199"/>
    </row>
    <row r="13" ht="19.5" customHeight="1">
      <c r="A13" s="195">
        <v>7.0</v>
      </c>
      <c r="B13" s="195" t="s">
        <v>126</v>
      </c>
      <c r="C13" s="196">
        <v>250.0</v>
      </c>
      <c r="D13" s="196">
        <v>250.0</v>
      </c>
      <c r="E13" s="195">
        <f>IF($B13="","",IFERROR(SUMIFS(DATA_GOC!$H:$H,DATA_GOC!$A:$A,"BOM",DATA_GOC!$D:$D,$B13,DATA_GOC!$G:$G,"DO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số",DATA_GOC!$B:$B,"&gt;="&amp;DATE($D$2,$B$2,1),DATA_GOC!$B:$B,"&lt;"&amp;EDATE(DATE($D$2,$B$2,1),1))+SUMIFS(TINH_TEC!$J$233:$J$9232,TINH_TEC!$H$233:$H$9232,$B13,TINH_TEC!$F$233:$F$9232,$B$2,TINH_TEC!$G$233:$G$9232,$D$2,TINH_TEC!$B$233:$B$9232,"Đã chốt")-SUMIFS(TINH_TEC!$K$233:$K$9232,TINH_TEC!$H$233:$H$9232,$B13,TINH_TEC!$F$233:$F$9232,$B$2,TINH_TEC!$G$233:$G$9232,$D$2,TINH_TEC!$B$233:$B$9232,"Đã chốt"),"-"))</f>
        <v>220.658</v>
      </c>
      <c r="F13" s="195">
        <f t="shared" si="1"/>
        <v>220.658</v>
      </c>
      <c r="G13" s="195">
        <f>IF($B13="","",SUMIFS(DATA_GOC!$K:$K,DATA_GOC!$A:$A,"BOM",DATA_GOC!$D:$D,$B13,DATA_GOC!$G:$G,"DO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383</v>
      </c>
      <c r="H13" s="196">
        <v>586820.0</v>
      </c>
      <c r="I13" s="197">
        <v>588367.0</v>
      </c>
      <c r="J13" s="195">
        <f t="shared" si="2"/>
        <v>1547</v>
      </c>
      <c r="K13" s="195">
        <f t="shared" si="3"/>
        <v>1164</v>
      </c>
      <c r="L13" s="195" t="str">
        <f t="shared" si="4"/>
        <v/>
      </c>
      <c r="M13" s="196">
        <v>0.0</v>
      </c>
      <c r="N13" s="196" t="str">
        <f>IFERROR(VLOOKUP($B13,'_DM_BOM_BOM'!$A:$B,2,FALSE()),"")</f>
        <v/>
      </c>
      <c r="O13" s="195">
        <f>IF($B13="","",N(SUMIFS(DATA_GOC!$H:$H,DATA_GOC!$A:$A,"BOM",DATA_GOC!$D:$D,$B13,DATA_GOC!$F:$F,"Xuất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số",DATA_GOC!$B:$B,"&gt;="&amp;DATE($D$2,$B$2,1),DATA_GOC!$B:$B,"&lt;"&amp;EDATE(DATE($D$2,$B$2,1),1)))-N($L13))</f>
        <v>210</v>
      </c>
      <c r="P13" s="198">
        <f t="shared" si="5"/>
        <v>0.5483028721</v>
      </c>
      <c r="Q13" s="198">
        <f t="shared" si="6"/>
        <v>0.1357466063</v>
      </c>
      <c r="R13" s="198">
        <f t="shared" si="7"/>
        <v>0.5483028721</v>
      </c>
      <c r="S13" s="195">
        <f>IF($B13="","",IFERROR($R13-(SUMIFS(DATA_GOC!$H:$H,DATA_GOC!$A:$A,"BOM",DATA_GOC!$D:$D,$B13,DATA_GOC!$F:$F,"Xuất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-0.05027502063</v>
      </c>
      <c r="T13" s="199"/>
    </row>
    <row r="14" ht="19.5" customHeight="1">
      <c r="A14" s="195">
        <v>8.0</v>
      </c>
      <c r="B14" s="195" t="s">
        <v>82</v>
      </c>
      <c r="C14" s="196">
        <v>600.0</v>
      </c>
      <c r="D14" s="196">
        <v>600.0</v>
      </c>
      <c r="E14" s="195">
        <f>IF($B14="","",IFERROR(SUMIFS(DATA_GOC!$H:$H,DATA_GOC!$A:$A,"BOM",DATA_GOC!$D:$D,$B14,DATA_GOC!$G:$G,"DO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số",DATA_GOC!$B:$B,"&gt;="&amp;DATE($D$2,$B$2,1),DATA_GOC!$B:$B,"&lt;"&amp;EDATE(DATE($D$2,$B$2,1),1))+SUMIFS(TINH_TEC!$J$233:$J$9232,TINH_TEC!$H$233:$H$9232,$B14,TINH_TEC!$F$233:$F$9232,$B$2,TINH_TEC!$G$233:$G$9232,$D$2,TINH_TEC!$B$233:$B$9232,"Đã chốt")-SUMIFS(TINH_TEC!$K$233:$K$9232,TINH_TEC!$H$233:$H$9232,$B14,TINH_TEC!$F$233:$F$9232,$B$2,TINH_TEC!$G$233:$G$9232,$D$2,TINH_TEC!$B$233:$B$9232,"Đã chốt"),"-"))</f>
        <v>555.338</v>
      </c>
      <c r="F14" s="195">
        <f t="shared" si="1"/>
        <v>555.338</v>
      </c>
      <c r="G14" s="195">
        <f>IF($B14="","",SUMIFS(DATA_GOC!$K:$K,DATA_GOC!$A:$A,"BOM",DATA_GOC!$D:$D,$B14,DATA_GOC!$G:$G,"DO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1266</v>
      </c>
      <c r="H14" s="196">
        <v>94166.0</v>
      </c>
      <c r="I14" s="197">
        <v>100593.0</v>
      </c>
      <c r="J14" s="195">
        <f t="shared" si="2"/>
        <v>6427</v>
      </c>
      <c r="K14" s="195">
        <f t="shared" si="3"/>
        <v>5161</v>
      </c>
      <c r="L14" s="195" t="str">
        <f t="shared" si="4"/>
        <v/>
      </c>
      <c r="M14" s="196">
        <v>0.0</v>
      </c>
      <c r="N14" s="196" t="str">
        <f>IFERROR(VLOOKUP($B14,'_DM_BOM_BOM'!$A:$B,2,FALSE()),"")</f>
        <v/>
      </c>
      <c r="O14" s="195">
        <f>IF($B14="","",N(SUMIFS(DATA_GOC!$H:$H,DATA_GOC!$A:$A,"BOM",DATA_GOC!$D:$D,$B14,DATA_GOC!$F:$F,"Xuất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số",DATA_GOC!$B:$B,"&gt;="&amp;DATE($D$2,$B$2,1),DATA_GOC!$B:$B,"&lt;"&amp;EDATE(DATE($D$2,$B$2,1),1)))-N($L14))</f>
        <v>88</v>
      </c>
      <c r="P14" s="198">
        <f t="shared" si="5"/>
        <v>0.06951026856</v>
      </c>
      <c r="Q14" s="198">
        <f t="shared" si="6"/>
        <v>0.01369223588</v>
      </c>
      <c r="R14" s="198">
        <f t="shared" si="7"/>
        <v>0.06951026856</v>
      </c>
      <c r="S14" s="195">
        <f>IF($B14="","",IFERROR($R14-(SUMIFS(DATA_GOC!$H:$H,DATA_GOC!$A:$A,"BOM",DATA_GOC!$D:$D,$B14,DATA_GOC!$F:$F,"Xuất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-0.3627287232</v>
      </c>
      <c r="T14" s="199"/>
    </row>
    <row r="15" ht="19.5" customHeight="1">
      <c r="A15" s="195">
        <v>9.0</v>
      </c>
      <c r="B15" s="195" t="s">
        <v>77</v>
      </c>
      <c r="C15" s="196">
        <v>600.0</v>
      </c>
      <c r="D15" s="196">
        <v>600.0</v>
      </c>
      <c r="E15" s="195">
        <f>IF($B15="","",IFERROR(SUMIFS(DATA_GOC!$H:$H,DATA_GOC!$A:$A,"BOM",DATA_GOC!$D:$D,$B15,DATA_GOC!$G:$G,"DO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số",DATA_GOC!$B:$B,"&gt;="&amp;DATE($D$2,$B$2,1),DATA_GOC!$B:$B,"&lt;"&amp;EDATE(DATE($D$2,$B$2,1),1))+SUMIFS(TINH_TEC!$J$233:$J$9232,TINH_TEC!$H$233:$H$9232,$B15,TINH_TEC!$F$233:$F$9232,$B$2,TINH_TEC!$G$233:$G$9232,$D$2,TINH_TEC!$B$233:$B$9232,"Đã chốt")-SUMIFS(TINH_TEC!$K$233:$K$9232,TINH_TEC!$H$233:$H$9232,$B15,TINH_TEC!$F$233:$F$9232,$B$2,TINH_TEC!$G$233:$G$9232,$D$2,TINH_TEC!$B$233:$B$9232,"Đã chốt"),"-"))</f>
        <v>77.616</v>
      </c>
      <c r="F15" s="195">
        <f t="shared" si="1"/>
        <v>77.616</v>
      </c>
      <c r="G15" s="195">
        <f>IF($B15="","",SUMIFS(DATA_GOC!$K:$K,DATA_GOC!$A:$A,"BOM",DATA_GOC!$D:$D,$B15,DATA_GOC!$G:$G,"DO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15" s="196">
        <v>23404.0</v>
      </c>
      <c r="I15" s="197">
        <v>25442.0</v>
      </c>
      <c r="J15" s="195">
        <f t="shared" si="2"/>
        <v>2038</v>
      </c>
      <c r="K15" s="195">
        <f t="shared" si="3"/>
        <v>2038</v>
      </c>
      <c r="L15" s="195">
        <f t="shared" si="4"/>
        <v>96</v>
      </c>
      <c r="M15" s="197">
        <v>16.0</v>
      </c>
      <c r="N15" s="196">
        <v>6.0</v>
      </c>
      <c r="O15" s="195">
        <f>IF($B15="","",N(SUMIFS(DATA_GOC!$H:$H,DATA_GOC!$A:$A,"BOM",DATA_GOC!$D:$D,$B15,DATA_GOC!$F:$F,"Xuất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số",DATA_GOC!$B:$B,"&gt;="&amp;DATE($D$2,$B$2,1),DATA_GOC!$B:$B,"&lt;"&amp;EDATE(DATE($D$2,$B$2,1),1)))-N($L15))</f>
        <v>-51</v>
      </c>
      <c r="P15" s="198" t="str">
        <f t="shared" si="5"/>
        <v/>
      </c>
      <c r="Q15" s="198">
        <f t="shared" si="6"/>
        <v>-0.02502453386</v>
      </c>
      <c r="R15" s="198" t="str">
        <f t="shared" si="7"/>
        <v/>
      </c>
      <c r="S15" s="195">
        <f>IF($B15="","",IFERROR($R15-(SUMIFS(DATA_GOC!$H:$H,DATA_GOC!$A:$A,"BOM",DATA_GOC!$D:$D,$B15,DATA_GOC!$F:$F,"Xuất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-0.5152109912</v>
      </c>
      <c r="T15" s="199"/>
    </row>
    <row r="16" ht="19.5" customHeight="1">
      <c r="A16" s="195">
        <v>10.0</v>
      </c>
      <c r="B16" s="195" t="s">
        <v>89</v>
      </c>
      <c r="C16" s="196">
        <v>600.0</v>
      </c>
      <c r="D16" s="196">
        <v>600.0</v>
      </c>
      <c r="E16" s="195">
        <f>IF($B16="","",IFERROR(SUMIFS(DATA_GOC!$H:$H,DATA_GOC!$A:$A,"BOM",DATA_GOC!$D:$D,$B16,DATA_GOC!$G:$G,"DO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số",DATA_GOC!$B:$B,"&gt;="&amp;DATE($D$2,$B$2,1),DATA_GOC!$B:$B,"&lt;"&amp;EDATE(DATE($D$2,$B$2,1),1))+SUMIFS(TINH_TEC!$J$233:$J$9232,TINH_TEC!$H$233:$H$9232,$B16,TINH_TEC!$F$233:$F$9232,$B$2,TINH_TEC!$G$233:$G$9232,$D$2,TINH_TEC!$B$233:$B$9232,"Đã chốt")-SUMIFS(TINH_TEC!$K$233:$K$9232,TINH_TEC!$H$233:$H$9232,$B16,TINH_TEC!$F$233:$F$9232,$B$2,TINH_TEC!$G$233:$G$9232,$D$2,TINH_TEC!$B$233:$B$9232,"Đã chốt"),"-"))</f>
        <v>47.176</v>
      </c>
      <c r="F16" s="195">
        <f t="shared" si="1"/>
        <v>47.176</v>
      </c>
      <c r="G16" s="195">
        <f>IF($B16="","",SUMIFS(DATA_GOC!$K:$K,DATA_GOC!$A:$A,"BOM",DATA_GOC!$D:$D,$B16,DATA_GOC!$G:$G,"DO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16" s="196">
        <v>6175.0</v>
      </c>
      <c r="I16" s="197">
        <v>10108.0</v>
      </c>
      <c r="J16" s="195">
        <f t="shared" si="2"/>
        <v>3933</v>
      </c>
      <c r="K16" s="195">
        <f t="shared" si="3"/>
        <v>3933</v>
      </c>
      <c r="L16" s="195">
        <f t="shared" si="4"/>
        <v>581</v>
      </c>
      <c r="M16" s="197">
        <v>83.0</v>
      </c>
      <c r="N16" s="197">
        <v>7.0</v>
      </c>
      <c r="O16" s="195">
        <f>IF($B16="","",N(SUMIFS(DATA_GOC!$H:$H,DATA_GOC!$A:$A,"BOM",DATA_GOC!$D:$D,$B16,DATA_GOC!$F:$F,"Xuất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số",DATA_GOC!$B:$B,"&gt;="&amp;DATE($D$2,$B$2,1),DATA_GOC!$B:$B,"&lt;"&amp;EDATE(DATE($D$2,$B$2,1),1)))-N($L16))</f>
        <v>-581</v>
      </c>
      <c r="P16" s="198" t="str">
        <f t="shared" si="5"/>
        <v/>
      </c>
      <c r="Q16" s="198">
        <f t="shared" si="6"/>
        <v>-0.1477243834</v>
      </c>
      <c r="R16" s="198" t="str">
        <f t="shared" si="7"/>
        <v/>
      </c>
      <c r="S16" s="195">
        <f>IF($B16="","",IFERROR($R16-(SUMIFS(DATA_GOC!$H:$H,DATA_GOC!$A:$A,"BOM",DATA_GOC!$D:$D,$B16,DATA_GOC!$F:$F,"Xuất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-0.5583524027</v>
      </c>
      <c r="T16" s="199"/>
    </row>
    <row r="17" ht="19.5" customHeight="1">
      <c r="A17" s="195">
        <v>11.0</v>
      </c>
      <c r="B17" s="195" t="s">
        <v>100</v>
      </c>
      <c r="C17" s="196">
        <v>600.0</v>
      </c>
      <c r="D17" s="196">
        <v>600.0</v>
      </c>
      <c r="E17" s="195">
        <f>IF($B17="","",IFERROR(SUMIFS(DATA_GOC!$H:$H,DATA_GOC!$A:$A,"BOM",DATA_GOC!$D:$D,$B17,DATA_GOC!$G:$G,"DO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số",DATA_GOC!$B:$B,"&gt;="&amp;DATE($D$2,$B$2,1),DATA_GOC!$B:$B,"&lt;"&amp;EDATE(DATE($D$2,$B$2,1),1))+SUMIFS(TINH_TEC!$J$233:$J$9232,TINH_TEC!$H$233:$H$9232,$B17,TINH_TEC!$F$233:$F$9232,$B$2,TINH_TEC!$G$233:$G$9232,$D$2,TINH_TEC!$B$233:$B$9232,"Đã chốt")-SUMIFS(TINH_TEC!$K$233:$K$9232,TINH_TEC!$H$233:$H$9232,$B17,TINH_TEC!$F$233:$F$9232,$B$2,TINH_TEC!$G$233:$G$9232,$D$2,TINH_TEC!$B$233:$B$9232,"Đã chốt"),"-"))</f>
        <v>366.787</v>
      </c>
      <c r="F17" s="195">
        <f t="shared" si="1"/>
        <v>366.787</v>
      </c>
      <c r="G17" s="195">
        <f>IF($B17="","",SUMIFS(DATA_GOC!$K:$K,DATA_GOC!$A:$A,"BOM",DATA_GOC!$D:$D,$B17,DATA_GOC!$G:$G,"DO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757</v>
      </c>
      <c r="H17" s="196">
        <v>405557.0</v>
      </c>
      <c r="I17" s="197">
        <v>411589.0</v>
      </c>
      <c r="J17" s="195">
        <f t="shared" si="2"/>
        <v>6032</v>
      </c>
      <c r="K17" s="195">
        <f t="shared" si="3"/>
        <v>5275</v>
      </c>
      <c r="L17" s="195" t="str">
        <f t="shared" si="4"/>
        <v/>
      </c>
      <c r="M17" s="196">
        <v>0.0</v>
      </c>
      <c r="N17" s="196" t="str">
        <f>IFERROR(VLOOKUP($B17,'_DM_BOM_BOM'!$A:$B,2,FALSE()),"")</f>
        <v/>
      </c>
      <c r="O17" s="195">
        <f>IF($B17="","",N(SUMIFS(DATA_GOC!$H:$H,DATA_GOC!$A:$A,"BOM",DATA_GOC!$D:$D,$B17,DATA_GOC!$F:$F,"Xuất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số",DATA_GOC!$B:$B,"&gt;="&amp;DATE($D$2,$B$2,1),DATA_GOC!$B:$B,"&lt;"&amp;EDATE(DATE($D$2,$B$2,1),1)))-N($L17))</f>
        <v>310</v>
      </c>
      <c r="P17" s="198">
        <f t="shared" si="5"/>
        <v>0.4095112285</v>
      </c>
      <c r="Q17" s="198">
        <f t="shared" si="6"/>
        <v>0.05139257294</v>
      </c>
      <c r="R17" s="198">
        <f t="shared" si="7"/>
        <v>0.4095112285</v>
      </c>
      <c r="S17" s="195">
        <f>IF($B17="","",IFERROR($R17-(SUMIFS(DATA_GOC!$H:$H,DATA_GOC!$A:$A,"BOM",DATA_GOC!$D:$D,$B17,DATA_GOC!$F:$F,"Xuất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-0.03246489879</v>
      </c>
      <c r="T17" s="199"/>
    </row>
    <row r="18" ht="19.5" customHeight="1">
      <c r="A18" s="195">
        <v>12.0</v>
      </c>
      <c r="B18" s="195" t="s">
        <v>115</v>
      </c>
      <c r="C18" s="196">
        <v>600.0</v>
      </c>
      <c r="D18" s="196">
        <v>600.0</v>
      </c>
      <c r="E18" s="195">
        <f>IF($B18="","",IFERROR(SUMIFS(DATA_GOC!$H:$H,DATA_GOC!$A:$A,"BOM",DATA_GOC!$D:$D,$B18,DATA_GOC!$G:$G,"DO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số",DATA_GOC!$B:$B,"&gt;="&amp;DATE($D$2,$B$2,1),DATA_GOC!$B:$B,"&lt;"&amp;EDATE(DATE($D$2,$B$2,1),1))+SUMIFS(TINH_TEC!$J$233:$J$9232,TINH_TEC!$H$233:$H$9232,$B18,TINH_TEC!$F$233:$F$9232,$B$2,TINH_TEC!$G$233:$G$9232,$D$2,TINH_TEC!$B$233:$B$9232,"Đã chốt")-SUMIFS(TINH_TEC!$K$233:$K$9232,TINH_TEC!$H$233:$H$9232,$B18,TINH_TEC!$F$233:$F$9232,$B$2,TINH_TEC!$G$233:$G$9232,$D$2,TINH_TEC!$B$233:$B$9232,"Đã chốt"),"-"))</f>
        <v>459.891</v>
      </c>
      <c r="F18" s="195">
        <f t="shared" si="1"/>
        <v>459.891</v>
      </c>
      <c r="G18" s="195">
        <f>IF($B18="","",SUMIFS(DATA_GOC!$K:$K,DATA_GOC!$A:$A,"BOM",DATA_GOC!$D:$D,$B18,DATA_GOC!$G:$G,"DO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1075</v>
      </c>
      <c r="H18" s="196">
        <v>14045.0</v>
      </c>
      <c r="I18" s="197">
        <v>20321.0</v>
      </c>
      <c r="J18" s="195">
        <f t="shared" si="2"/>
        <v>6276</v>
      </c>
      <c r="K18" s="195">
        <f t="shared" si="3"/>
        <v>5201</v>
      </c>
      <c r="L18" s="195" t="str">
        <f t="shared" si="4"/>
        <v/>
      </c>
      <c r="M18" s="196">
        <v>0.0</v>
      </c>
      <c r="N18" s="196" t="str">
        <f>IFERROR(VLOOKUP($B18,'_DM_BOM_BOM'!$A:$B,2,FALSE()),"")</f>
        <v/>
      </c>
      <c r="O18" s="195">
        <f>IF($B18="","",N(SUMIFS(DATA_GOC!$H:$H,DATA_GOC!$A:$A,"BOM",DATA_GOC!$D:$D,$B18,DATA_GOC!$F:$F,"Xuất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số",DATA_GOC!$B:$B,"&gt;="&amp;DATE($D$2,$B$2,1),DATA_GOC!$B:$B,"&lt;"&amp;EDATE(DATE($D$2,$B$2,1),1)))-N($L18))</f>
        <v>390</v>
      </c>
      <c r="P18" s="198">
        <f t="shared" si="5"/>
        <v>0.3627906977</v>
      </c>
      <c r="Q18" s="198">
        <f t="shared" si="6"/>
        <v>0.0621414914</v>
      </c>
      <c r="R18" s="198">
        <f t="shared" si="7"/>
        <v>0.3627906977</v>
      </c>
      <c r="S18" s="195">
        <f>IF($B18="","",IFERROR($R18-(SUMIFS(DATA_GOC!$H:$H,DATA_GOC!$A:$A,"BOM",DATA_GOC!$D:$D,$B18,DATA_GOC!$F:$F,"Xuất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-0.02981605822</v>
      </c>
      <c r="T18" s="199"/>
    </row>
    <row r="19" ht="19.5" customHeight="1">
      <c r="A19" s="195">
        <v>13.0</v>
      </c>
      <c r="B19" s="195" t="s">
        <v>99</v>
      </c>
      <c r="C19" s="196">
        <v>600.0</v>
      </c>
      <c r="D19" s="196">
        <v>600.0</v>
      </c>
      <c r="E19" s="195">
        <f>IF($B19="","",IFERROR(SUMIFS(DATA_GOC!$H:$H,DATA_GOC!$A:$A,"BOM",DATA_GOC!$D:$D,$B19,DATA_GOC!$G:$G,"DO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số",DATA_GOC!$B:$B,"&gt;="&amp;DATE($D$2,$B$2,1),DATA_GOC!$B:$B,"&lt;"&amp;EDATE(DATE($D$2,$B$2,1),1))+SUMIFS(TINH_TEC!$J$233:$J$9232,TINH_TEC!$H$233:$H$9232,$B19,TINH_TEC!$F$233:$F$9232,$B$2,TINH_TEC!$G$233:$G$9232,$D$2,TINH_TEC!$B$233:$B$9232,"Đã chốt")-SUMIFS(TINH_TEC!$K$233:$K$9232,TINH_TEC!$H$233:$H$9232,$B19,TINH_TEC!$F$233:$F$9232,$B$2,TINH_TEC!$G$233:$G$9232,$D$2,TINH_TEC!$B$233:$B$9232,"Đã chốt"),"-"))</f>
        <v>449.99</v>
      </c>
      <c r="F19" s="195">
        <f t="shared" si="1"/>
        <v>449.99</v>
      </c>
      <c r="G19" s="195">
        <f>IF($B19="","",SUMIFS(DATA_GOC!$K:$K,DATA_GOC!$A:$A,"BOM",DATA_GOC!$D:$D,$B19,DATA_GOC!$G:$G,"DO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844</v>
      </c>
      <c r="H19" s="196">
        <v>151355.0</v>
      </c>
      <c r="I19" s="197">
        <v>156601.0</v>
      </c>
      <c r="J19" s="195">
        <f t="shared" si="2"/>
        <v>5246</v>
      </c>
      <c r="K19" s="195">
        <f t="shared" si="3"/>
        <v>4402</v>
      </c>
      <c r="L19" s="195" t="str">
        <f t="shared" si="4"/>
        <v/>
      </c>
      <c r="M19" s="196">
        <v>0.0</v>
      </c>
      <c r="N19" s="196" t="str">
        <f>IFERROR(VLOOKUP($B19,'_DM_BOM_BOM'!$A:$B,2,FALSE()),"")</f>
        <v/>
      </c>
      <c r="O19" s="195">
        <f>IF($B19="","",N(SUMIFS(DATA_GOC!$H:$H,DATA_GOC!$A:$A,"BOM",DATA_GOC!$D:$D,$B19,DATA_GOC!$F:$F,"Xuất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số",DATA_GOC!$B:$B,"&gt;="&amp;DATE($D$2,$B$2,1),DATA_GOC!$B:$B,"&lt;"&amp;EDATE(DATE($D$2,$B$2,1),1)))-N($L19))</f>
        <v>390</v>
      </c>
      <c r="P19" s="198">
        <f t="shared" si="5"/>
        <v>0.4620853081</v>
      </c>
      <c r="Q19" s="198">
        <f t="shared" si="6"/>
        <v>0.07434235608</v>
      </c>
      <c r="R19" s="198">
        <f t="shared" si="7"/>
        <v>0.4620853081</v>
      </c>
      <c r="S19" s="195">
        <f>IF($B19="","",IFERROR($R19-(SUMIFS(DATA_GOC!$H:$H,DATA_GOC!$A:$A,"BOM",DATA_GOC!$D:$D,$B19,DATA_GOC!$F:$F,"Xuất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-0.02685864924</v>
      </c>
      <c r="T19" s="199"/>
    </row>
    <row r="20" ht="19.5" customHeight="1">
      <c r="A20" s="195">
        <v>14.0</v>
      </c>
      <c r="B20" s="195" t="s">
        <v>96</v>
      </c>
      <c r="C20" s="196">
        <v>600.0</v>
      </c>
      <c r="D20" s="196">
        <v>600.0</v>
      </c>
      <c r="E20" s="195">
        <f>IF($B20="","",IFERROR(SUMIFS(DATA_GOC!$H:$H,DATA_GOC!$A:$A,"BOM",DATA_GOC!$D:$D,$B20,DATA_GOC!$G:$G,"DO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số",DATA_GOC!$B:$B,"&gt;="&amp;DATE($D$2,$B$2,1),DATA_GOC!$B:$B,"&lt;"&amp;EDATE(DATE($D$2,$B$2,1),1))+SUMIFS(TINH_TEC!$J$233:$J$9232,TINH_TEC!$H$233:$H$9232,$B20,TINH_TEC!$F$233:$F$9232,$B$2,TINH_TEC!$G$233:$G$9232,$D$2,TINH_TEC!$B$233:$B$9232,"Đã chốt")-SUMIFS(TINH_TEC!$K$233:$K$9232,TINH_TEC!$H$233:$H$9232,$B20,TINH_TEC!$F$233:$F$9232,$B$2,TINH_TEC!$G$233:$G$9232,$D$2,TINH_TEC!$B$233:$B$9232,"Đã chốt"),"-"))</f>
        <v>435.249</v>
      </c>
      <c r="F20" s="195">
        <f t="shared" si="1"/>
        <v>435.249</v>
      </c>
      <c r="G20" s="195">
        <f>IF($B20="","",SUMIFS(DATA_GOC!$K:$K,DATA_GOC!$A:$A,"BOM",DATA_GOC!$D:$D,$B20,DATA_GOC!$G:$G,"DO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816</v>
      </c>
      <c r="H20" s="196">
        <v>77562.0</v>
      </c>
      <c r="I20" s="197">
        <v>84323.0</v>
      </c>
      <c r="J20" s="195">
        <f t="shared" si="2"/>
        <v>6761</v>
      </c>
      <c r="K20" s="195">
        <f t="shared" si="3"/>
        <v>5945</v>
      </c>
      <c r="L20" s="195" t="str">
        <f t="shared" si="4"/>
        <v/>
      </c>
      <c r="M20" s="196">
        <v>0.0</v>
      </c>
      <c r="N20" s="196" t="str">
        <f>IFERROR(VLOOKUP($B20,'_DM_BOM_BOM'!$A:$B,2,FALSE()),"")</f>
        <v/>
      </c>
      <c r="O20" s="195">
        <f>IF($B20="","",N(SUMIFS(DATA_GOC!$H:$H,DATA_GOC!$A:$A,"BOM",DATA_GOC!$D:$D,$B20,DATA_GOC!$F:$F,"Xuất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số",DATA_GOC!$B:$B,"&gt;="&amp;DATE($D$2,$B$2,1),DATA_GOC!$B:$B,"&lt;"&amp;EDATE(DATE($D$2,$B$2,1),1)))-N($L20))</f>
        <v>360</v>
      </c>
      <c r="P20" s="198">
        <f t="shared" si="5"/>
        <v>0.4411764706</v>
      </c>
      <c r="Q20" s="198">
        <f t="shared" si="6"/>
        <v>0.05324656116</v>
      </c>
      <c r="R20" s="198">
        <f t="shared" si="7"/>
        <v>0.4411764706</v>
      </c>
      <c r="S20" s="195">
        <f>IF($B20="","",IFERROR($R20-(SUMIFS(DATA_GOC!$H:$H,DATA_GOC!$A:$A,"BOM",DATA_GOC!$D:$D,$B20,DATA_GOC!$F:$F,"Xuất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-0.008609064096</v>
      </c>
      <c r="T20" s="199"/>
    </row>
    <row r="21" ht="19.5" customHeight="1">
      <c r="A21" s="195">
        <v>15.0</v>
      </c>
      <c r="B21" s="195" t="s">
        <v>118</v>
      </c>
      <c r="C21" s="196">
        <v>600.0</v>
      </c>
      <c r="D21" s="196">
        <v>600.0</v>
      </c>
      <c r="E21" s="195">
        <f>IF($B21="","",IFERROR(SUMIFS(DATA_GOC!$H:$H,DATA_GOC!$A:$A,"BOM",DATA_GOC!$D:$D,$B21,DATA_GOC!$G:$G,"DO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số",DATA_GOC!$B:$B,"&gt;="&amp;DATE($D$2,$B$2,1),DATA_GOC!$B:$B,"&lt;"&amp;EDATE(DATE($D$2,$B$2,1),1))+SUMIFS(TINH_TEC!$J$233:$J$9232,TINH_TEC!$H$233:$H$9232,$B21,TINH_TEC!$F$233:$F$9232,$B$2,TINH_TEC!$G$233:$G$9232,$D$2,TINH_TEC!$B$233:$B$9232,"Đã chốt")-SUMIFS(TINH_TEC!$K$233:$K$9232,TINH_TEC!$H$233:$H$9232,$B21,TINH_TEC!$F$233:$F$9232,$B$2,TINH_TEC!$G$233:$G$9232,$D$2,TINH_TEC!$B$233:$B$9232,"Đã chốt"),"-"))</f>
        <v>493.746</v>
      </c>
      <c r="F21" s="195">
        <f t="shared" si="1"/>
        <v>493.746</v>
      </c>
      <c r="G21" s="195">
        <f>IF($B21="","",SUMIFS(DATA_GOC!$K:$K,DATA_GOC!$A:$A,"BOM",DATA_GOC!$D:$D,$B21,DATA_GOC!$G:$G,"DO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1077</v>
      </c>
      <c r="H21" s="196">
        <v>150079.0</v>
      </c>
      <c r="I21" s="197">
        <v>156239.0</v>
      </c>
      <c r="J21" s="195">
        <f t="shared" si="2"/>
        <v>6160</v>
      </c>
      <c r="K21" s="195">
        <f t="shared" si="3"/>
        <v>5083</v>
      </c>
      <c r="L21" s="195" t="str">
        <f t="shared" si="4"/>
        <v/>
      </c>
      <c r="M21" s="196">
        <v>0.0</v>
      </c>
      <c r="N21" s="196" t="str">
        <f>IFERROR(VLOOKUP($B21,'_DM_BOM_BOM'!$A:$B,2,FALSE()),"")</f>
        <v/>
      </c>
      <c r="O21" s="195">
        <f>IF($B21="","",N(SUMIFS(DATA_GOC!$H:$H,DATA_GOC!$A:$A,"BOM",DATA_GOC!$D:$D,$B21,DATA_GOC!$F:$F,"Xuất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số",DATA_GOC!$B:$B,"&gt;="&amp;DATE($D$2,$B$2,1),DATA_GOC!$B:$B,"&lt;"&amp;EDATE(DATE($D$2,$B$2,1),1)))-N($L21))</f>
        <v>0</v>
      </c>
      <c r="P21" s="198">
        <f t="shared" si="5"/>
        <v>0</v>
      </c>
      <c r="Q21" s="198">
        <f t="shared" si="6"/>
        <v>0</v>
      </c>
      <c r="R21" s="198">
        <f t="shared" si="7"/>
        <v>0</v>
      </c>
      <c r="S21" s="195">
        <f>IF($B21="","",IFERROR($R21-(SUMIFS(DATA_GOC!$H:$H,DATA_GOC!$A:$A,"BOM",DATA_GOC!$D:$D,$B21,DATA_GOC!$F:$F,"Xuất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-0.4433441558</v>
      </c>
      <c r="T21" s="199"/>
    </row>
    <row r="22" ht="19.5" customHeight="1">
      <c r="A22" s="195">
        <v>16.0</v>
      </c>
      <c r="B22" s="195" t="s">
        <v>123</v>
      </c>
      <c r="C22" s="196">
        <v>600.0</v>
      </c>
      <c r="D22" s="196">
        <v>600.0</v>
      </c>
      <c r="E22" s="195">
        <f>IF($B22="","",IFERROR(SUMIFS(DATA_GOC!$H:$H,DATA_GOC!$A:$A,"BOM",DATA_GOC!$D:$D,$B22,DATA_GOC!$G:$G,"DO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số",DATA_GOC!$B:$B,"&gt;="&amp;DATE($D$2,$B$2,1),DATA_GOC!$B:$B,"&lt;"&amp;EDATE(DATE($D$2,$B$2,1),1))+SUMIFS(TINH_TEC!$J$233:$J$9232,TINH_TEC!$H$233:$H$9232,$B22,TINH_TEC!$F$233:$F$9232,$B$2,TINH_TEC!$G$233:$G$9232,$D$2,TINH_TEC!$B$233:$B$9232,"Đã chốt")-SUMIFS(TINH_TEC!$K$233:$K$9232,TINH_TEC!$H$233:$H$9232,$B22,TINH_TEC!$F$233:$F$9232,$B$2,TINH_TEC!$G$233:$G$9232,$D$2,TINH_TEC!$B$233:$B$9232,"Đã chốt"),"-"))</f>
        <v>449.844</v>
      </c>
      <c r="F22" s="195">
        <f t="shared" si="1"/>
        <v>449.844</v>
      </c>
      <c r="G22" s="195">
        <f>IF($B22="","",SUMIFS(DATA_GOC!$K:$K,DATA_GOC!$A:$A,"BOM",DATA_GOC!$D:$D,$B22,DATA_GOC!$G:$G,"DO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760</v>
      </c>
      <c r="H22" s="196">
        <v>198915.0</v>
      </c>
      <c r="I22" s="197">
        <v>205274.0</v>
      </c>
      <c r="J22" s="195">
        <f t="shared" si="2"/>
        <v>6359</v>
      </c>
      <c r="K22" s="195">
        <f t="shared" si="3"/>
        <v>5599</v>
      </c>
      <c r="L22" s="195">
        <f t="shared" si="4"/>
        <v>210</v>
      </c>
      <c r="M22" s="197">
        <v>21.0</v>
      </c>
      <c r="N22" s="196">
        <f>IFERROR(VLOOKUP($B22,'_DM_BOM_BOM'!$A:$B,2,FALSE()),"")</f>
        <v>10</v>
      </c>
      <c r="O22" s="195">
        <f>IF($B22="","",N(SUMIFS(DATA_GOC!$H:$H,DATA_GOC!$A:$A,"BOM",DATA_GOC!$D:$D,$B22,DATA_GOC!$F:$F,"Xuất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số",DATA_GOC!$B:$B,"&gt;="&amp;DATE($D$2,$B$2,1),DATA_GOC!$B:$B,"&lt;"&amp;EDATE(DATE($D$2,$B$2,1),1)))-N($L22))</f>
        <v>177</v>
      </c>
      <c r="P22" s="198">
        <f t="shared" si="5"/>
        <v>0.2328947368</v>
      </c>
      <c r="Q22" s="198">
        <f t="shared" si="6"/>
        <v>0.02783456518</v>
      </c>
      <c r="R22" s="198">
        <f t="shared" si="7"/>
        <v>0.2328947368</v>
      </c>
      <c r="S22" s="195">
        <f>IF($B22="","",IFERROR($R22-(SUMIFS(DATA_GOC!$H:$H,DATA_GOC!$A:$A,"BOM",DATA_GOC!$D:$D,$B22,DATA_GOC!$F:$F,"Xuất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-0.2494138022</v>
      </c>
      <c r="T22" s="199"/>
    </row>
    <row r="23" ht="19.5" customHeight="1">
      <c r="A23" s="195">
        <v>17.0</v>
      </c>
      <c r="B23" s="195" t="s">
        <v>88</v>
      </c>
      <c r="C23" s="196">
        <v>600.0</v>
      </c>
      <c r="D23" s="196">
        <v>600.0</v>
      </c>
      <c r="E23" s="195">
        <f>IF($B23="","",IFERROR(SUMIFS(DATA_GOC!$H:$H,DATA_GOC!$A:$A,"BOM",DATA_GOC!$D:$D,$B23,DATA_GOC!$G:$G,"DO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số",DATA_GOC!$B:$B,"&gt;="&amp;DATE($D$2,$B$2,1),DATA_GOC!$B:$B,"&lt;"&amp;EDATE(DATE($D$2,$B$2,1),1))+SUMIFS(TINH_TEC!$J$233:$J$9232,TINH_TEC!$H$233:$H$9232,$B23,TINH_TEC!$F$233:$F$9232,$B$2,TINH_TEC!$G$233:$G$9232,$D$2,TINH_TEC!$B$233:$B$9232,"Đã chốt")-SUMIFS(TINH_TEC!$K$233:$K$9232,TINH_TEC!$H$233:$H$9232,$B23,TINH_TEC!$F$233:$F$9232,$B$2,TINH_TEC!$G$233:$G$9232,$D$2,TINH_TEC!$B$233:$B$9232,"Đã chốt"),"-"))</f>
        <v>544.452</v>
      </c>
      <c r="F23" s="195">
        <f t="shared" si="1"/>
        <v>544.452</v>
      </c>
      <c r="G23" s="195">
        <f>IF($B23="","",SUMIFS(DATA_GOC!$K:$K,DATA_GOC!$A:$A,"BOM",DATA_GOC!$D:$D,$B23,DATA_GOC!$G:$G,"DO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947</v>
      </c>
      <c r="H23" s="196">
        <v>240882.0</v>
      </c>
      <c r="I23" s="197">
        <v>249661.0</v>
      </c>
      <c r="J23" s="195">
        <f t="shared" si="2"/>
        <v>8779</v>
      </c>
      <c r="K23" s="195">
        <f t="shared" si="3"/>
        <v>7832</v>
      </c>
      <c r="L23" s="195">
        <f t="shared" si="4"/>
        <v>270</v>
      </c>
      <c r="M23" s="197">
        <v>27.0</v>
      </c>
      <c r="N23" s="196">
        <f>IFERROR(VLOOKUP($B23,'_DM_BOM_BOM'!$A:$B,2,FALSE()),"")</f>
        <v>10</v>
      </c>
      <c r="O23" s="195">
        <f>IF($B23="","",N(SUMIFS(DATA_GOC!$H:$H,DATA_GOC!$A:$A,"BOM",DATA_GOC!$D:$D,$B23,DATA_GOC!$F:$F,"Xuất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số",DATA_GOC!$B:$B,"&gt;="&amp;DATE($D$2,$B$2,1),DATA_GOC!$B:$B,"&lt;"&amp;EDATE(DATE($D$2,$B$2,1),1)))-N($L23))</f>
        <v>190</v>
      </c>
      <c r="P23" s="198">
        <f t="shared" si="5"/>
        <v>0.2006335797</v>
      </c>
      <c r="Q23" s="198">
        <f t="shared" si="6"/>
        <v>0.0216425561</v>
      </c>
      <c r="R23" s="198">
        <f t="shared" si="7"/>
        <v>0.2006335797</v>
      </c>
      <c r="S23" s="195">
        <f>IF($B23="","",IFERROR($R23-(SUMIFS(DATA_GOC!$H:$H,DATA_GOC!$A:$A,"BOM",DATA_GOC!$D:$D,$B23,DATA_GOC!$F:$F,"Xuất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-0.3001068235</v>
      </c>
      <c r="T23" s="199"/>
    </row>
    <row r="24" ht="19.5" customHeight="1">
      <c r="A24" s="195">
        <v>18.0</v>
      </c>
      <c r="B24" s="195" t="s">
        <v>84</v>
      </c>
      <c r="C24" s="196">
        <v>600.0</v>
      </c>
      <c r="D24" s="196">
        <v>600.0</v>
      </c>
      <c r="E24" s="195">
        <f>IF($B24="","",IFERROR(SUMIFS(DATA_GOC!$H:$H,DATA_GOC!$A:$A,"BOM",DATA_GOC!$D:$D,$B24,DATA_GOC!$G:$G,"DO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số",DATA_GOC!$B:$B,"&gt;="&amp;DATE($D$2,$B$2,1),DATA_GOC!$B:$B,"&lt;"&amp;EDATE(DATE($D$2,$B$2,1),1))+SUMIFS(TINH_TEC!$J$233:$J$9232,TINH_TEC!$H$233:$H$9232,$B24,TINH_TEC!$F$233:$F$9232,$B$2,TINH_TEC!$G$233:$G$9232,$D$2,TINH_TEC!$B$233:$B$9232,"Đã chốt")-SUMIFS(TINH_TEC!$K$233:$K$9232,TINH_TEC!$H$233:$H$9232,$B24,TINH_TEC!$F$233:$F$9232,$B$2,TINH_TEC!$G$233:$G$9232,$D$2,TINH_TEC!$B$233:$B$9232,"Đã chốt"),"-"))</f>
        <v>55.086</v>
      </c>
      <c r="F24" s="195">
        <f t="shared" si="1"/>
        <v>55.086</v>
      </c>
      <c r="G24" s="195">
        <f>IF($B24="","",SUMIFS(DATA_GOC!$K:$K,DATA_GOC!$A:$A,"BOM",DATA_GOC!$D:$D,$B24,DATA_GOC!$G:$G,"DO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24" s="196">
        <v>45835.0</v>
      </c>
      <c r="I24" s="197">
        <v>49348.0</v>
      </c>
      <c r="J24" s="195">
        <f t="shared" si="2"/>
        <v>3513</v>
      </c>
      <c r="K24" s="195">
        <f t="shared" si="3"/>
        <v>3513</v>
      </c>
      <c r="L24" s="195">
        <f t="shared" si="4"/>
        <v>560</v>
      </c>
      <c r="M24" s="197">
        <v>80.0</v>
      </c>
      <c r="N24" s="197">
        <v>7.0</v>
      </c>
      <c r="O24" s="195">
        <f>IF($B24="","",N(SUMIFS(DATA_GOC!$H:$H,DATA_GOC!$A:$A,"BOM",DATA_GOC!$D:$D,$B24,DATA_GOC!$F:$F,"Xuất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số",DATA_GOC!$B:$B,"&gt;="&amp;DATE($D$2,$B$2,1),DATA_GOC!$B:$B,"&lt;"&amp;EDATE(DATE($D$2,$B$2,1),1)))-N($L24))</f>
        <v>-514</v>
      </c>
      <c r="P24" s="198" t="str">
        <f t="shared" si="5"/>
        <v/>
      </c>
      <c r="Q24" s="198">
        <f t="shared" si="6"/>
        <v>-0.146313692</v>
      </c>
      <c r="R24" s="198" t="str">
        <f t="shared" si="7"/>
        <v/>
      </c>
      <c r="S24" s="195">
        <f>IF($B24="","",IFERROR($R24-(SUMIFS(DATA_GOC!$H:$H,DATA_GOC!$A:$A,"BOM",DATA_GOC!$D:$D,$B24,DATA_GOC!$F:$F,"Xuất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-0.6154284088</v>
      </c>
      <c r="T24" s="199"/>
    </row>
    <row r="25" ht="19.5" customHeight="1">
      <c r="A25" s="195">
        <v>19.0</v>
      </c>
      <c r="B25" s="195" t="s">
        <v>119</v>
      </c>
      <c r="C25" s="196">
        <v>600.0</v>
      </c>
      <c r="D25" s="196">
        <v>600.0</v>
      </c>
      <c r="E25" s="195">
        <f>IF($B25="","",IFERROR(SUMIFS(DATA_GOC!$H:$H,DATA_GOC!$A:$A,"BOM",DATA_GOC!$D:$D,$B25,DATA_GOC!$G:$G,"DO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số",DATA_GOC!$B:$B,"&gt;="&amp;DATE($D$2,$B$2,1),DATA_GOC!$B:$B,"&lt;"&amp;EDATE(DATE($D$2,$B$2,1),1))+SUMIFS(TINH_TEC!$J$233:$J$9232,TINH_TEC!$H$233:$H$9232,$B25,TINH_TEC!$F$233:$F$9232,$B$2,TINH_TEC!$G$233:$G$9232,$D$2,TINH_TEC!$B$233:$B$9232,"Đã chốt")-SUMIFS(TINH_TEC!$K$233:$K$9232,TINH_TEC!$H$233:$H$9232,$B25,TINH_TEC!$F$233:$F$9232,$B$2,TINH_TEC!$G$233:$G$9232,$D$2,TINH_TEC!$B$233:$B$9232,"Đã chốt"),"-"))</f>
        <v>25.627</v>
      </c>
      <c r="F25" s="195">
        <f t="shared" si="1"/>
        <v>25.627</v>
      </c>
      <c r="G25" s="195">
        <f>IF($B25="","",SUMIFS(DATA_GOC!$K:$K,DATA_GOC!$A:$A,"BOM",DATA_GOC!$D:$D,$B25,DATA_GOC!$G:$G,"DO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25" s="196">
        <v>53733.0</v>
      </c>
      <c r="I25" s="197">
        <v>64637.0</v>
      </c>
      <c r="J25" s="195">
        <f t="shared" si="2"/>
        <v>10904</v>
      </c>
      <c r="K25" s="195">
        <f t="shared" si="3"/>
        <v>10904</v>
      </c>
      <c r="L25" s="195">
        <f t="shared" si="4"/>
        <v>224</v>
      </c>
      <c r="M25" s="197">
        <v>28.0</v>
      </c>
      <c r="N25" s="196">
        <v>8.0</v>
      </c>
      <c r="O25" s="195">
        <f>IF($B25="","",N(SUMIFS(DATA_GOC!$H:$H,DATA_GOC!$A:$A,"BOM",DATA_GOC!$D:$D,$B25,DATA_GOC!$F:$F,"Xuất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số",DATA_GOC!$B:$B,"&gt;="&amp;DATE($D$2,$B$2,1),DATA_GOC!$B:$B,"&lt;"&amp;EDATE(DATE($D$2,$B$2,1),1)))-N($L25))</f>
        <v>-224</v>
      </c>
      <c r="P25" s="198" t="str">
        <f t="shared" si="5"/>
        <v/>
      </c>
      <c r="Q25" s="198">
        <f t="shared" si="6"/>
        <v>-0.02054292003</v>
      </c>
      <c r="R25" s="198" t="str">
        <f t="shared" si="7"/>
        <v/>
      </c>
      <c r="S25" s="195">
        <f>IF($B25="","",IFERROR($R25-(SUMIFS(DATA_GOC!$H:$H,DATA_GOC!$A:$A,"BOM",DATA_GOC!$D:$D,$B25,DATA_GOC!$F:$F,"Xuất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-0.3567520245</v>
      </c>
      <c r="T25" s="199"/>
    </row>
    <row r="26" ht="19.5" customHeight="1">
      <c r="A26" s="195">
        <v>20.0</v>
      </c>
      <c r="B26" s="195" t="s">
        <v>116</v>
      </c>
      <c r="C26" s="196">
        <v>600.0</v>
      </c>
      <c r="D26" s="196">
        <v>600.0</v>
      </c>
      <c r="E26" s="195">
        <f>IF($B26="","",IFERROR(SUMIFS(DATA_GOC!$H:$H,DATA_GOC!$A:$A,"BOM",DATA_GOC!$D:$D,$B26,DATA_GOC!$G:$G,"DO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số",DATA_GOC!$B:$B,"&gt;="&amp;DATE($D$2,$B$2,1),DATA_GOC!$B:$B,"&lt;"&amp;EDATE(DATE($D$2,$B$2,1),1))+SUMIFS(TINH_TEC!$J$233:$J$9232,TINH_TEC!$H$233:$H$9232,$B26,TINH_TEC!$F$233:$F$9232,$B$2,TINH_TEC!$G$233:$G$9232,$D$2,TINH_TEC!$B$233:$B$9232,"Đã chốt")-SUMIFS(TINH_TEC!$K$233:$K$9232,TINH_TEC!$H$233:$H$9232,$B26,TINH_TEC!$F$233:$F$9232,$B$2,TINH_TEC!$G$233:$G$9232,$D$2,TINH_TEC!$B$233:$B$9232,"Đã chốt"),"-"))</f>
        <v>390.5</v>
      </c>
      <c r="F26" s="195">
        <f t="shared" si="1"/>
        <v>390.5</v>
      </c>
      <c r="G26" s="195">
        <f>IF($B26="","",SUMIFS(DATA_GOC!$K:$K,DATA_GOC!$A:$A,"BOM",DATA_GOC!$D:$D,$B26,DATA_GOC!$G:$G,"DO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749</v>
      </c>
      <c r="H26" s="196">
        <v>77015.0</v>
      </c>
      <c r="I26" s="197">
        <v>83845.0</v>
      </c>
      <c r="J26" s="195">
        <f t="shared" si="2"/>
        <v>6830</v>
      </c>
      <c r="K26" s="195">
        <f t="shared" si="3"/>
        <v>6081</v>
      </c>
      <c r="L26" s="195">
        <f t="shared" si="4"/>
        <v>176</v>
      </c>
      <c r="M26" s="196">
        <v>22.0</v>
      </c>
      <c r="N26" s="196">
        <v>8.0</v>
      </c>
      <c r="O26" s="195">
        <f>IF($B26="","",N(SUMIFS(DATA_GOC!$H:$H,DATA_GOC!$A:$A,"BOM",DATA_GOC!$D:$D,$B26,DATA_GOC!$F:$F,"Xuất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số",DATA_GOC!$B:$B,"&gt;="&amp;DATE($D$2,$B$2,1),DATA_GOC!$B:$B,"&lt;"&amp;EDATE(DATE($D$2,$B$2,1),1)))-N($L26))</f>
        <v>188</v>
      </c>
      <c r="P26" s="198">
        <f t="shared" si="5"/>
        <v>0.2510013351</v>
      </c>
      <c r="Q26" s="198">
        <f t="shared" si="6"/>
        <v>0.02752562225</v>
      </c>
      <c r="R26" s="198">
        <f t="shared" si="7"/>
        <v>0.2510013351</v>
      </c>
      <c r="S26" s="195">
        <f>IF($B26="","",IFERROR($R26-(SUMIFS(DATA_GOC!$H:$H,DATA_GOC!$A:$A,"BOM",DATA_GOC!$D:$D,$B26,DATA_GOC!$F:$F,"Xuất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-0.2021030242</v>
      </c>
      <c r="T26" s="199"/>
    </row>
    <row r="27" ht="19.5" customHeight="1">
      <c r="A27" s="195">
        <v>21.0</v>
      </c>
      <c r="B27" s="195" t="s">
        <v>333</v>
      </c>
      <c r="C27" s="196">
        <v>250.0</v>
      </c>
      <c r="D27" s="196">
        <v>250.0</v>
      </c>
      <c r="E27" s="195">
        <f>IF($B27="","",IFERROR(SUMIFS(DATA_GOC!$H:$H,DATA_GOC!$A:$A,"BOM",DATA_GOC!$D:$D,$B27,DATA_GOC!$G:$G,"DO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số",DATA_GOC!$B:$B,"&gt;="&amp;DATE($D$2,$B$2,1),DATA_GOC!$B:$B,"&lt;"&amp;EDATE(DATE($D$2,$B$2,1),1))+SUMIFS(TINH_TEC!$J$233:$J$9232,TINH_TEC!$H$233:$H$9232,$B27,TINH_TEC!$F$233:$F$9232,$B$2,TINH_TEC!$G$233:$G$9232,$D$2,TINH_TEC!$B$233:$B$9232,"Đã chốt")-SUMIFS(TINH_TEC!$K$233:$K$9232,TINH_TEC!$H$233:$H$9232,$B27,TINH_TEC!$F$233:$F$9232,$B$2,TINH_TEC!$G$233:$G$9232,$D$2,TINH_TEC!$B$233:$B$9232,"Đã chốt"),"-"))</f>
        <v>0</v>
      </c>
      <c r="F27" s="195">
        <f t="shared" si="1"/>
        <v>0</v>
      </c>
      <c r="G27" s="195">
        <f>IF($B27="","",SUMIFS(DATA_GOC!$K:$K,DATA_GOC!$A:$A,"BOM",DATA_GOC!$D:$D,$B27,DATA_GOC!$G:$G,"DO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27" s="196"/>
      <c r="I27" s="196"/>
      <c r="J27" s="195" t="str">
        <f t="shared" si="2"/>
        <v/>
      </c>
      <c r="K27" s="195" t="str">
        <f t="shared" si="3"/>
        <v/>
      </c>
      <c r="L27" s="195" t="str">
        <f t="shared" si="4"/>
        <v/>
      </c>
      <c r="M27" s="196">
        <v>0.0</v>
      </c>
      <c r="N27" s="196" t="str">
        <f>IFERROR(VLOOKUP($B27,'_DM_BOM_BOM'!$A:$B,2,FALSE()),"")</f>
        <v/>
      </c>
      <c r="O27" s="195">
        <f>IF($B27="","",N(SUMIFS(DATA_GOC!$H:$H,DATA_GOC!$A:$A,"BOM",DATA_GOC!$D:$D,$B27,DATA_GOC!$F:$F,"Xuất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số",DATA_GOC!$B:$B,"&gt;="&amp;DATE($D$2,$B$2,1),DATA_GOC!$B:$B,"&lt;"&amp;EDATE(DATE($D$2,$B$2,1),1)))-N($L27))</f>
        <v>0</v>
      </c>
      <c r="P27" s="198" t="str">
        <f t="shared" si="5"/>
        <v/>
      </c>
      <c r="Q27" s="198" t="str">
        <f t="shared" si="6"/>
        <v/>
      </c>
      <c r="R27" s="198" t="str">
        <f t="shared" si="7"/>
        <v/>
      </c>
      <c r="S27" s="195" t="str">
        <f>IF($B27="","",IFERROR($R27-(SUMIFS(DATA_GOC!$H:$H,DATA_GOC!$A:$A,"BOM",DATA_GOC!$D:$D,$B27,DATA_GOC!$F:$F,"Xuất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T27" s="199"/>
    </row>
    <row r="28" ht="19.5" customHeight="1">
      <c r="A28" s="195">
        <v>22.0</v>
      </c>
      <c r="B28" s="195" t="s">
        <v>164</v>
      </c>
      <c r="C28" s="196">
        <v>250.0</v>
      </c>
      <c r="D28" s="196">
        <v>250.0</v>
      </c>
      <c r="E28" s="195">
        <f>IF($B28="","",IFERROR(SUMIFS(DATA_GOC!$H:$H,DATA_GOC!$A:$A,"BOM",DATA_GOC!$D:$D,$B28,DATA_GOC!$G:$G,"DO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số",DATA_GOC!$B:$B,"&gt;="&amp;DATE($D$2,$B$2,1),DATA_GOC!$B:$B,"&lt;"&amp;EDATE(DATE($D$2,$B$2,1),1))+SUMIFS(TINH_TEC!$J$233:$J$9232,TINH_TEC!$H$233:$H$9232,$B28,TINH_TEC!$F$233:$F$9232,$B$2,TINH_TEC!$G$233:$G$9232,$D$2,TINH_TEC!$B$233:$B$9232,"Đã chốt")-SUMIFS(TINH_TEC!$K$233:$K$9232,TINH_TEC!$H$233:$H$9232,$B28,TINH_TEC!$F$233:$F$9232,$B$2,TINH_TEC!$G$233:$G$9232,$D$2,TINH_TEC!$B$233:$B$9232,"Đã chốt"),"-"))</f>
        <v>0</v>
      </c>
      <c r="F28" s="195">
        <f t="shared" si="1"/>
        <v>0</v>
      </c>
      <c r="G28" s="195">
        <f>IF($B28="","",SUMIFS(DATA_GOC!$K:$K,DATA_GOC!$A:$A,"BOM",DATA_GOC!$D:$D,$B28,DATA_GOC!$G:$G,"DO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28" s="196"/>
      <c r="I28" s="196"/>
      <c r="J28" s="195" t="str">
        <f t="shared" si="2"/>
        <v/>
      </c>
      <c r="K28" s="195" t="str">
        <f t="shared" si="3"/>
        <v/>
      </c>
      <c r="L28" s="195" t="str">
        <f t="shared" si="4"/>
        <v/>
      </c>
      <c r="M28" s="196">
        <v>0.0</v>
      </c>
      <c r="N28" s="196" t="str">
        <f>IFERROR(VLOOKUP($B28,'_DM_BOM_BOM'!$A:$B,2,FALSE()),"")</f>
        <v/>
      </c>
      <c r="O28" s="195">
        <f>IF($B28="","",N(SUMIFS(DATA_GOC!$H:$H,DATA_GOC!$A:$A,"BOM",DATA_GOC!$D:$D,$B28,DATA_GOC!$F:$F,"Xuất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số",DATA_GOC!$B:$B,"&gt;="&amp;DATE($D$2,$B$2,1),DATA_GOC!$B:$B,"&lt;"&amp;EDATE(DATE($D$2,$B$2,1),1)))-N($L28))</f>
        <v>0</v>
      </c>
      <c r="P28" s="198" t="str">
        <f t="shared" si="5"/>
        <v/>
      </c>
      <c r="Q28" s="198" t="str">
        <f t="shared" si="6"/>
        <v/>
      </c>
      <c r="R28" s="198" t="str">
        <f t="shared" si="7"/>
        <v/>
      </c>
      <c r="S28" s="195" t="str">
        <f>IF($B28="","",IFERROR($R28-(SUMIFS(DATA_GOC!$H:$H,DATA_GOC!$A:$A,"BOM",DATA_GOC!$D:$D,$B28,DATA_GOC!$F:$F,"Xuất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T28" s="199"/>
    </row>
    <row r="29" ht="19.5" customHeight="1">
      <c r="A29" s="195">
        <v>23.0</v>
      </c>
      <c r="B29" s="195" t="s">
        <v>91</v>
      </c>
      <c r="C29" s="196">
        <v>80.0</v>
      </c>
      <c r="D29" s="196">
        <v>80.0</v>
      </c>
      <c r="E29" s="195">
        <f>IF($B29="","",IFERROR(SUMIFS(DATA_GOC!$H:$H,DATA_GOC!$A:$A,"BOM",DATA_GOC!$D:$D,$B29,DATA_GOC!$G:$G,"DO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số",DATA_GOC!$B:$B,"&gt;="&amp;DATE($D$2,$B$2,1),DATA_GOC!$B:$B,"&lt;"&amp;EDATE(DATE($D$2,$B$2,1),1))+SUMIFS(TINH_TEC!$J$233:$J$9232,TINH_TEC!$H$233:$H$9232,$B29,TINH_TEC!$F$233:$F$9232,$B$2,TINH_TEC!$G$233:$G$9232,$D$2,TINH_TEC!$B$233:$B$9232,"Đã chốt")-SUMIFS(TINH_TEC!$K$233:$K$9232,TINH_TEC!$H$233:$H$9232,$B29,TINH_TEC!$F$233:$F$9232,$B$2,TINH_TEC!$G$233:$G$9232,$D$2,TINH_TEC!$B$233:$B$9232,"Đã chốt"),"-"))</f>
        <v>2.155</v>
      </c>
      <c r="F29" s="195">
        <f t="shared" si="1"/>
        <v>2.155</v>
      </c>
      <c r="G29" s="195">
        <f>IF($B29="","",SUMIFS(DATA_GOC!$K:$K,DATA_GOC!$A:$A,"BOM",DATA_GOC!$D:$D,$B29,DATA_GOC!$G:$G,"DO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29" s="196">
        <v>11871.0</v>
      </c>
      <c r="I29" s="197">
        <v>14114.0</v>
      </c>
      <c r="J29" s="195">
        <f t="shared" si="2"/>
        <v>2243</v>
      </c>
      <c r="K29" s="195">
        <f t="shared" si="3"/>
        <v>2243</v>
      </c>
      <c r="L29" s="195" t="str">
        <f t="shared" si="4"/>
        <v/>
      </c>
      <c r="M29" s="196"/>
      <c r="N29" s="196" t="str">
        <f>IFERROR(VLOOKUP($B29,'_DM_BOM_BOM'!$A:$B,2,FALSE()),"")</f>
        <v/>
      </c>
      <c r="O29" s="195">
        <f>IF($B29="","",N(SUMIFS(DATA_GOC!$H:$H,DATA_GOC!$A:$A,"BOM",DATA_GOC!$D:$D,$B29,DATA_GOC!$F:$F,"Xuất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số",DATA_GOC!$B:$B,"&gt;="&amp;DATE($D$2,$B$2,1),DATA_GOC!$B:$B,"&lt;"&amp;EDATE(DATE($D$2,$B$2,1),1)))-N($L29))</f>
        <v>0</v>
      </c>
      <c r="P29" s="198" t="str">
        <f t="shared" si="5"/>
        <v/>
      </c>
      <c r="Q29" s="198">
        <f t="shared" si="6"/>
        <v>0</v>
      </c>
      <c r="R29" s="198" t="str">
        <f t="shared" si="7"/>
        <v/>
      </c>
      <c r="S29" s="195">
        <f>IF($B29="","",IFERROR($R29-(SUMIFS(DATA_GOC!$H:$H,DATA_GOC!$A:$A,"BOM",DATA_GOC!$D:$D,$B29,DATA_GOC!$F:$F,"Xuất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-0.06509139545</v>
      </c>
    </row>
    <row r="30" ht="19.5" customHeight="1">
      <c r="A30" s="195">
        <v>24.0</v>
      </c>
      <c r="B30" s="195" t="s">
        <v>135</v>
      </c>
      <c r="C30" s="196">
        <v>70.0</v>
      </c>
      <c r="D30" s="196">
        <v>70.0</v>
      </c>
      <c r="E30" s="195">
        <f>IF($B30="","",IFERROR(SUMIFS(DATA_GOC!$H:$H,DATA_GOC!$A:$A,"BOM",DATA_GOC!$D:$D,$B30,DATA_GOC!$G:$G,"DO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số",DATA_GOC!$B:$B,"&gt;="&amp;DATE($D$2,$B$2,1),DATA_GOC!$B:$B,"&lt;"&amp;EDATE(DATE($D$2,$B$2,1),1))+SUMIFS(TINH_TEC!$J$233:$J$9232,TINH_TEC!$H$233:$H$9232,$B30,TINH_TEC!$F$233:$F$9232,$B$2,TINH_TEC!$G$233:$G$9232,$D$2,TINH_TEC!$B$233:$B$9232,"Đã chốt")-SUMIFS(TINH_TEC!$K$233:$K$9232,TINH_TEC!$H$233:$H$9232,$B30,TINH_TEC!$F$233:$F$9232,$B$2,TINH_TEC!$G$233:$G$9232,$D$2,TINH_TEC!$B$233:$B$9232,"Đã chốt"),"-"))</f>
        <v>2.504</v>
      </c>
      <c r="F30" s="195">
        <f t="shared" si="1"/>
        <v>2.504</v>
      </c>
      <c r="G30" s="195">
        <f>IF($B30="","",SUMIFS(DATA_GOC!$K:$K,DATA_GOC!$A:$A,"BOM",DATA_GOC!$D:$D,$B30,DATA_GOC!$G:$G,"DO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30" s="196">
        <v>477094.0</v>
      </c>
      <c r="I30" s="197">
        <v>479520.0</v>
      </c>
      <c r="J30" s="195">
        <f t="shared" si="2"/>
        <v>2426</v>
      </c>
      <c r="K30" s="195">
        <f t="shared" si="3"/>
        <v>2426</v>
      </c>
      <c r="L30" s="195" t="str">
        <f t="shared" si="4"/>
        <v/>
      </c>
      <c r="M30" s="196"/>
      <c r="N30" s="196" t="str">
        <f>IFERROR(VLOOKUP($B30,'_DM_BOM_BOM'!$A:$B,2,FALSE()),"")</f>
        <v/>
      </c>
      <c r="O30" s="195">
        <f>IF($B30="","",N(SUMIFS(DATA_GOC!$H:$H,DATA_GOC!$A:$A,"BOM",DATA_GOC!$D:$D,$B30,DATA_GOC!$F:$F,"Xuất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số",DATA_GOC!$B:$B,"&gt;="&amp;DATE($D$2,$B$2,1),DATA_GOC!$B:$B,"&lt;"&amp;EDATE(DATE($D$2,$B$2,1),1)))-N($L30))</f>
        <v>0</v>
      </c>
      <c r="P30" s="198" t="str">
        <f t="shared" si="5"/>
        <v/>
      </c>
      <c r="Q30" s="198">
        <f t="shared" si="6"/>
        <v>0</v>
      </c>
      <c r="R30" s="198" t="str">
        <f t="shared" si="7"/>
        <v/>
      </c>
      <c r="S30" s="195">
        <f>IF($B30="","",IFERROR($R30-(SUMIFS(DATA_GOC!$H:$H,DATA_GOC!$A:$A,"BOM",DATA_GOC!$D:$D,$B30,DATA_GOC!$F:$F,"Xuất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-0.08285243199</v>
      </c>
    </row>
    <row r="31" ht="19.5" customHeight="1">
      <c r="A31" s="195">
        <v>25.0</v>
      </c>
      <c r="B31" s="195" t="s">
        <v>334</v>
      </c>
      <c r="C31" s="196">
        <v>400.0</v>
      </c>
      <c r="D31" s="196">
        <v>400.0</v>
      </c>
      <c r="E31" s="195">
        <f>IF($B31="","",IFERROR(SUMIFS(DATA_GOC!$H:$H,DATA_GOC!$A:$A,"BOM",DATA_GOC!$D:$D,$B31,DATA_GOC!$G:$G,"DO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số",DATA_GOC!$B:$B,"&gt;="&amp;DATE($D$2,$B$2,1),DATA_GOC!$B:$B,"&lt;"&amp;EDATE(DATE($D$2,$B$2,1),1))+SUMIFS(TINH_TEC!$J$233:$J$9232,TINH_TEC!$H$233:$H$9232,$B31,TINH_TEC!$F$233:$F$9232,$B$2,TINH_TEC!$G$233:$G$9232,$D$2,TINH_TEC!$B$233:$B$9232,"Đã chốt")-SUMIFS(TINH_TEC!$K$233:$K$9232,TINH_TEC!$H$233:$H$9232,$B31,TINH_TEC!$F$233:$F$9232,$B$2,TINH_TEC!$G$233:$G$9232,$D$2,TINH_TEC!$B$233:$B$9232,"Đã chốt"),"-"))</f>
        <v>0</v>
      </c>
      <c r="F31" s="195">
        <f t="shared" si="1"/>
        <v>0</v>
      </c>
      <c r="G31" s="195">
        <f>IF($B31="","",SUMIFS(DATA_GOC!$K:$K,DATA_GOC!$A:$A,"BOM",DATA_GOC!$D:$D,$B31,DATA_GOC!$G:$G,"DO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31" s="196"/>
      <c r="I31" s="196"/>
      <c r="J31" s="195" t="str">
        <f t="shared" si="2"/>
        <v/>
      </c>
      <c r="K31" s="195" t="str">
        <f t="shared" si="3"/>
        <v/>
      </c>
      <c r="L31" s="195" t="str">
        <f t="shared" si="4"/>
        <v/>
      </c>
      <c r="M31" s="196"/>
      <c r="N31" s="196" t="str">
        <f>IFERROR(VLOOKUP($B31,'_DM_BOM_BOM'!$A:$B,2,FALSE()),"")</f>
        <v/>
      </c>
      <c r="O31" s="195">
        <f>IF($B31="","",N(SUMIFS(DATA_GOC!$H:$H,DATA_GOC!$A:$A,"BOM",DATA_GOC!$D:$D,$B31,DATA_GOC!$F:$F,"Xuất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số",DATA_GOC!$B:$B,"&gt;="&amp;DATE($D$2,$B$2,1),DATA_GOC!$B:$B,"&lt;"&amp;EDATE(DATE($D$2,$B$2,1),1)))-N($L31))</f>
        <v>0</v>
      </c>
      <c r="P31" s="198" t="str">
        <f t="shared" si="5"/>
        <v/>
      </c>
      <c r="Q31" s="198" t="str">
        <f t="shared" si="6"/>
        <v/>
      </c>
      <c r="R31" s="198" t="str">
        <f t="shared" si="7"/>
        <v/>
      </c>
      <c r="S31" s="195" t="str">
        <f>IF($B31="","",IFERROR($R31-(SUMIFS(DATA_GOC!$H:$H,DATA_GOC!$A:$A,"BOM",DATA_GOC!$D:$D,$B31,DATA_GOC!$F:$F,"Xuất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32" ht="19.5" customHeight="1">
      <c r="A32" s="195">
        <v>26.0</v>
      </c>
      <c r="B32" s="195" t="s">
        <v>114</v>
      </c>
      <c r="C32" s="196">
        <v>350.0</v>
      </c>
      <c r="D32" s="196">
        <v>350.0</v>
      </c>
      <c r="E32" s="195">
        <f>IF($B32="","",IFERROR(SUMIFS(DATA_GOC!$H:$H,DATA_GOC!$A:$A,"BOM",DATA_GOC!$D:$D,$B32,DATA_GOC!$G:$G,"DO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số",DATA_GOC!$B:$B,"&gt;="&amp;DATE($D$2,$B$2,1),DATA_GOC!$B:$B,"&lt;"&amp;EDATE(DATE($D$2,$B$2,1),1))+SUMIFS(TINH_TEC!$J$233:$J$9232,TINH_TEC!$H$233:$H$9232,$B32,TINH_TEC!$F$233:$F$9232,$B$2,TINH_TEC!$G$233:$G$9232,$D$2,TINH_TEC!$B$233:$B$9232,"Đã chốt")-SUMIFS(TINH_TEC!$K$233:$K$9232,TINH_TEC!$H$233:$H$9232,$B32,TINH_TEC!$F$233:$F$9232,$B$2,TINH_TEC!$G$233:$G$9232,$D$2,TINH_TEC!$B$233:$B$9232,"Đã chốt"),"-"))</f>
        <v>261.451</v>
      </c>
      <c r="F32" s="195">
        <f t="shared" si="1"/>
        <v>261.451</v>
      </c>
      <c r="G32" s="195">
        <f>IF($B32="","",SUMIFS(DATA_GOC!$K:$K,DATA_GOC!$A:$A,"BOM",DATA_GOC!$D:$D,$B32,DATA_GOC!$G:$G,"DO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549</v>
      </c>
      <c r="H32" s="196">
        <v>274531.0</v>
      </c>
      <c r="I32" s="197">
        <v>278970.0</v>
      </c>
      <c r="J32" s="195">
        <f t="shared" si="2"/>
        <v>4439</v>
      </c>
      <c r="K32" s="195">
        <f t="shared" si="3"/>
        <v>3890</v>
      </c>
      <c r="L32" s="195" t="str">
        <f t="shared" si="4"/>
        <v/>
      </c>
      <c r="M32" s="196"/>
      <c r="N32" s="196" t="str">
        <f>IFERROR(VLOOKUP($B32,'_DM_BOM_BOM'!$A:$B,2,FALSE()),"")</f>
        <v/>
      </c>
      <c r="O32" s="195">
        <f>IF($B32="","",N(SUMIFS(DATA_GOC!$H:$H,DATA_GOC!$A:$A,"BOM",DATA_GOC!$D:$D,$B32,DATA_GOC!$F:$F,"Xuất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số",DATA_GOC!$B:$B,"&gt;="&amp;DATE($D$2,$B$2,1),DATA_GOC!$B:$B,"&lt;"&amp;EDATE(DATE($D$2,$B$2,1),1)))-N($L32))</f>
        <v>230</v>
      </c>
      <c r="P32" s="198">
        <f t="shared" si="5"/>
        <v>0.4189435337</v>
      </c>
      <c r="Q32" s="198">
        <f t="shared" si="6"/>
        <v>0.0518134715</v>
      </c>
      <c r="R32" s="198">
        <f t="shared" si="7"/>
        <v>0.4189435337</v>
      </c>
      <c r="S32" s="195">
        <f>IF($B32="","",IFERROR($R32-(SUMIFS(DATA_GOC!$H:$H,DATA_GOC!$A:$A,"BOM",DATA_GOC!$D:$D,$B32,DATA_GOC!$F:$F,"Xuất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-0.01989404233</v>
      </c>
    </row>
    <row r="33" ht="19.5" customHeight="1">
      <c r="A33" s="195">
        <v>27.0</v>
      </c>
      <c r="B33" s="195" t="s">
        <v>145</v>
      </c>
      <c r="C33" s="196">
        <v>350.0</v>
      </c>
      <c r="D33" s="196">
        <v>350.0</v>
      </c>
      <c r="E33" s="195">
        <f>IF($B33="","",IFERROR(SUMIFS(DATA_GOC!$H:$H,DATA_GOC!$A:$A,"BOM",DATA_GOC!$D:$D,$B33,DATA_GOC!$G:$G,"DO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số",DATA_GOC!$B:$B,"&gt;="&amp;DATE($D$2,$B$2,1),DATA_GOC!$B:$B,"&lt;"&amp;EDATE(DATE($D$2,$B$2,1),1))+SUMIFS(TINH_TEC!$J$233:$J$9232,TINH_TEC!$H$233:$H$9232,$B33,TINH_TEC!$F$233:$F$9232,$B$2,TINH_TEC!$G$233:$G$9232,$D$2,TINH_TEC!$B$233:$B$9232,"Đã chốt")-SUMIFS(TINH_TEC!$K$233:$K$9232,TINH_TEC!$H$233:$H$9232,$B33,TINH_TEC!$F$233:$F$9232,$B$2,TINH_TEC!$G$233:$G$9232,$D$2,TINH_TEC!$B$233:$B$9232,"Đã chốt"),"-"))</f>
        <v>21.899</v>
      </c>
      <c r="F33" s="195">
        <f t="shared" si="1"/>
        <v>21.899</v>
      </c>
      <c r="G33" s="195">
        <f>IF($B33="","",SUMIFS(DATA_GOC!$K:$K,DATA_GOC!$A:$A,"BOM",DATA_GOC!$D:$D,$B33,DATA_GOC!$G:$G,"DO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33" s="196">
        <v>265087.0</v>
      </c>
      <c r="I33" s="197">
        <v>266911.0</v>
      </c>
      <c r="J33" s="195">
        <f t="shared" si="2"/>
        <v>1824</v>
      </c>
      <c r="K33" s="195">
        <f t="shared" si="3"/>
        <v>1824</v>
      </c>
      <c r="L33" s="195" t="str">
        <f t="shared" si="4"/>
        <v/>
      </c>
      <c r="M33" s="196"/>
      <c r="N33" s="196" t="str">
        <f>IFERROR(VLOOKUP($B33,'_DM_BOM_BOM'!$A:$B,2,FALSE()),"")</f>
        <v/>
      </c>
      <c r="O33" s="195">
        <f>IF($B33="","",N(SUMIFS(DATA_GOC!$H:$H,DATA_GOC!$A:$A,"BOM",DATA_GOC!$D:$D,$B33,DATA_GOC!$F:$F,"Xuất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số",DATA_GOC!$B:$B,"&gt;="&amp;DATE($D$2,$B$2,1),DATA_GOC!$B:$B,"&lt;"&amp;EDATE(DATE($D$2,$B$2,1),1)))-N($L33))</f>
        <v>0</v>
      </c>
      <c r="P33" s="198" t="str">
        <f t="shared" si="5"/>
        <v/>
      </c>
      <c r="Q33" s="198">
        <f t="shared" si="6"/>
        <v>0</v>
      </c>
      <c r="R33" s="198" t="str">
        <f t="shared" si="7"/>
        <v/>
      </c>
      <c r="S33" s="195">
        <f>IF($B33="","",IFERROR($R33-(SUMIFS(DATA_GOC!$H:$H,DATA_GOC!$A:$A,"BOM",DATA_GOC!$D:$D,$B33,DATA_GOC!$F:$F,"Xuất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-0.4610745614</v>
      </c>
    </row>
    <row r="34" ht="19.5" customHeight="1">
      <c r="A34" s="195">
        <v>28.0</v>
      </c>
      <c r="B34" s="195" t="s">
        <v>92</v>
      </c>
      <c r="C34" s="196">
        <v>350.0</v>
      </c>
      <c r="D34" s="196">
        <v>350.0</v>
      </c>
      <c r="E34" s="195">
        <f>IF($B34="","",IFERROR(SUMIFS(DATA_GOC!$H:$H,DATA_GOC!$A:$A,"BOM",DATA_GOC!$D:$D,$B34,DATA_GOC!$G:$G,"DO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số",DATA_GOC!$B:$B,"&gt;="&amp;DATE($D$2,$B$2,1),DATA_GOC!$B:$B,"&lt;"&amp;EDATE(DATE($D$2,$B$2,1),1))+SUMIFS(TINH_TEC!$J$233:$J$9232,TINH_TEC!$H$233:$H$9232,$B34,TINH_TEC!$F$233:$F$9232,$B$2,TINH_TEC!$G$233:$G$9232,$D$2,TINH_TEC!$B$233:$B$9232,"Đã chốt")-SUMIFS(TINH_TEC!$K$233:$K$9232,TINH_TEC!$H$233:$H$9232,$B34,TINH_TEC!$F$233:$F$9232,$B$2,TINH_TEC!$G$233:$G$9232,$D$2,TINH_TEC!$B$233:$B$9232,"Đã chốt"),"-"))</f>
        <v>0</v>
      </c>
      <c r="F34" s="195">
        <f t="shared" si="1"/>
        <v>0</v>
      </c>
      <c r="G34" s="195">
        <f>IF($B34="","",SUMIFS(DATA_GOC!$K:$K,DATA_GOC!$A:$A,"BOM",DATA_GOC!$D:$D,$B34,DATA_GOC!$G:$G,"DO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34" s="196">
        <v>240912.0</v>
      </c>
      <c r="I34" s="197">
        <v>241371.0</v>
      </c>
      <c r="J34" s="195">
        <f t="shared" si="2"/>
        <v>459</v>
      </c>
      <c r="K34" s="195">
        <f t="shared" si="3"/>
        <v>459</v>
      </c>
      <c r="L34" s="195" t="str">
        <f t="shared" si="4"/>
        <v/>
      </c>
      <c r="M34" s="196"/>
      <c r="N34" s="196" t="str">
        <f>IFERROR(VLOOKUP($B34,'_DM_BOM_BOM'!$A:$B,2,FALSE()),"")</f>
        <v/>
      </c>
      <c r="O34" s="195">
        <f>IF($B34="","",N(SUMIFS(DATA_GOC!$H:$H,DATA_GOC!$A:$A,"BOM",DATA_GOC!$D:$D,$B34,DATA_GOC!$F:$F,"Xuất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số",DATA_GOC!$B:$B,"&gt;="&amp;DATE($D$2,$B$2,1),DATA_GOC!$B:$B,"&lt;"&amp;EDATE(DATE($D$2,$B$2,1),1)))-N($L34))</f>
        <v>0</v>
      </c>
      <c r="P34" s="198" t="str">
        <f t="shared" si="5"/>
        <v/>
      </c>
      <c r="Q34" s="198">
        <f t="shared" si="6"/>
        <v>0</v>
      </c>
      <c r="R34" s="198" t="str">
        <f t="shared" si="7"/>
        <v/>
      </c>
      <c r="S34" s="195">
        <f>IF($B34="","",IFERROR($R34-(SUMIFS(DATA_GOC!$H:$H,DATA_GOC!$A:$A,"BOM",DATA_GOC!$D:$D,$B34,DATA_GOC!$F:$F,"Xuất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-0.5773420479</v>
      </c>
    </row>
    <row r="35" ht="19.5" customHeight="1">
      <c r="A35" s="200" t="s">
        <v>335</v>
      </c>
      <c r="B35" s="195" t="s">
        <v>87</v>
      </c>
      <c r="C35" s="196">
        <v>350.0</v>
      </c>
      <c r="D35" s="196">
        <v>350.0</v>
      </c>
      <c r="E35" s="195">
        <f>IF($B35="","",IFERROR(SUMIFS(DATA_GOC!$H:$H,DATA_GOC!$A:$A,"BOM",DATA_GOC!$D:$D,$B35,DATA_GOC!$G:$G,"DO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số",DATA_GOC!$B:$B,"&gt;="&amp;DATE($D$2,$B$2,1),DATA_GOC!$B:$B,"&lt;"&amp;EDATE(DATE($D$2,$B$2,1),1))+SUMIFS(TINH_TEC!$J$233:$J$9232,TINH_TEC!$H$233:$H$9232,$B35,TINH_TEC!$F$233:$F$9232,$B$2,TINH_TEC!$G$233:$G$9232,$D$2,TINH_TEC!$B$233:$B$9232,"Đã chốt")-SUMIFS(TINH_TEC!$K$233:$K$9232,TINH_TEC!$H$233:$H$9232,$B35,TINH_TEC!$F$233:$F$9232,$B$2,TINH_TEC!$G$233:$G$9232,$D$2,TINH_TEC!$B$233:$B$9232,"Đã chốt"),"-"))</f>
        <v>12.813</v>
      </c>
      <c r="F35" s="195">
        <f t="shared" si="1"/>
        <v>12.813</v>
      </c>
      <c r="G35" s="195">
        <f>IF($B35="","",SUMIFS(DATA_GOC!$K:$K,DATA_GOC!$A:$A,"BOM",DATA_GOC!$D:$D,$B35,DATA_GOC!$G:$G,"DO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35" s="197">
        <v>263665.0</v>
      </c>
      <c r="I35" s="197">
        <v>266027.0</v>
      </c>
      <c r="J35" s="195">
        <f t="shared" si="2"/>
        <v>2362</v>
      </c>
      <c r="K35" s="195">
        <f t="shared" si="3"/>
        <v>2362</v>
      </c>
      <c r="L35" s="195" t="str">
        <f t="shared" si="4"/>
        <v/>
      </c>
      <c r="M35" s="196"/>
      <c r="N35" s="196" t="str">
        <f>IFERROR(VLOOKUP($B35,'_DM_BOM_BOM'!$A:$B,2,FALSE()),"")</f>
        <v/>
      </c>
      <c r="O35" s="195">
        <f>IF($B35="","",N(SUMIFS(DATA_GOC!$H:$H,DATA_GOC!$A:$A,"BOM",DATA_GOC!$D:$D,$B35,DATA_GOC!$F:$F,"Xuất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số",DATA_GOC!$B:$B,"&gt;="&amp;DATE($D$2,$B$2,1),DATA_GOC!$B:$B,"&lt;"&amp;EDATE(DATE($D$2,$B$2,1),1)))-N($L35))</f>
        <v>0</v>
      </c>
      <c r="P35" s="198" t="str">
        <f t="shared" si="5"/>
        <v/>
      </c>
      <c r="Q35" s="198">
        <f t="shared" si="6"/>
        <v>0</v>
      </c>
      <c r="R35" s="198" t="str">
        <f t="shared" si="7"/>
        <v/>
      </c>
      <c r="S35" s="195">
        <f>IF($B35="","",IFERROR($R35-(SUMIFS(DATA_GOC!$H:$H,DATA_GOC!$A:$A,"BOM",DATA_GOC!$D:$D,$B35,DATA_GOC!$F:$F,"Xuất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-0.4902624894</v>
      </c>
    </row>
    <row r="36" ht="19.5" customHeight="1">
      <c r="A36" s="195">
        <v>30.0</v>
      </c>
      <c r="B36" s="195" t="s">
        <v>336</v>
      </c>
      <c r="C36" s="196">
        <v>350.0</v>
      </c>
      <c r="D36" s="196">
        <v>350.0</v>
      </c>
      <c r="E36" s="195">
        <f>IF($B36="","",IFERROR(SUMIFS(DATA_GOC!$H:$H,DATA_GOC!$A:$A,"BOM",DATA_GOC!$D:$D,$B36,DATA_GOC!$G:$G,"DO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số",DATA_GOC!$B:$B,"&gt;="&amp;DATE($D$2,$B$2,1),DATA_GOC!$B:$B,"&lt;"&amp;EDATE(DATE($D$2,$B$2,1),1))+SUMIFS(TINH_TEC!$J$233:$J$9232,TINH_TEC!$H$233:$H$9232,$B36,TINH_TEC!$F$233:$F$9232,$B$2,TINH_TEC!$G$233:$G$9232,$D$2,TINH_TEC!$B$233:$B$9232,"Đã chốt")-SUMIFS(TINH_TEC!$K$233:$K$9232,TINH_TEC!$H$233:$H$9232,$B36,TINH_TEC!$F$233:$F$9232,$B$2,TINH_TEC!$G$233:$G$9232,$D$2,TINH_TEC!$B$233:$B$9232,"Đã chốt"),"-"))</f>
        <v>0</v>
      </c>
      <c r="F36" s="195">
        <f t="shared" si="1"/>
        <v>0</v>
      </c>
      <c r="G36" s="195">
        <f>IF($B36="","",SUMIFS(DATA_GOC!$K:$K,DATA_GOC!$A:$A,"BOM",DATA_GOC!$D:$D,$B36,DATA_GOC!$G:$G,"DO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36" s="196">
        <v>269866.0</v>
      </c>
      <c r="I36" s="197">
        <v>270716.0</v>
      </c>
      <c r="J36" s="195">
        <f t="shared" si="2"/>
        <v>850</v>
      </c>
      <c r="K36" s="195">
        <f t="shared" si="3"/>
        <v>850</v>
      </c>
      <c r="L36" s="195" t="str">
        <f t="shared" si="4"/>
        <v/>
      </c>
      <c r="M36" s="196"/>
      <c r="N36" s="196" t="str">
        <f>IFERROR(VLOOKUP($B36,'_DM_BOM_BOM'!$A:$B,2,FALSE()),"")</f>
        <v/>
      </c>
      <c r="O36" s="195">
        <f>IF($B36="","",N(SUMIFS(DATA_GOC!$H:$H,DATA_GOC!$A:$A,"BOM",DATA_GOC!$D:$D,$B36,DATA_GOC!$F:$F,"Xuất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số",DATA_GOC!$B:$B,"&gt;="&amp;DATE($D$2,$B$2,1),DATA_GOC!$B:$B,"&lt;"&amp;EDATE(DATE($D$2,$B$2,1),1)))-N($L36))</f>
        <v>0</v>
      </c>
      <c r="P36" s="198" t="str">
        <f t="shared" si="5"/>
        <v/>
      </c>
      <c r="Q36" s="198">
        <f t="shared" si="6"/>
        <v>0</v>
      </c>
      <c r="R36" s="198" t="str">
        <f t="shared" si="7"/>
        <v/>
      </c>
      <c r="S36" s="195">
        <f>IF($B36="","",IFERROR($R36-(SUMIFS(DATA_GOC!$H:$H,DATA_GOC!$A:$A,"BOM",DATA_GOC!$D:$D,$B36,DATA_GOC!$F:$F,"Xuất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-0.5294117647</v>
      </c>
    </row>
    <row r="37" ht="19.5" customHeight="1">
      <c r="A37" s="195">
        <v>31.0</v>
      </c>
      <c r="B37" s="195" t="s">
        <v>136</v>
      </c>
      <c r="C37" s="197">
        <v>80.0</v>
      </c>
      <c r="D37" s="197">
        <v>80.0</v>
      </c>
      <c r="E37" s="195">
        <f>IF($B37="","",IFERROR(SUMIFS(DATA_GOC!$H:$H,DATA_GOC!$A:$A,"BOM",DATA_GOC!$D:$D,$B37,DATA_GOC!$G:$G,"DO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số",DATA_GOC!$B:$B,"&gt;="&amp;DATE($D$2,$B$2,1),DATA_GOC!$B:$B,"&lt;"&amp;EDATE(DATE($D$2,$B$2,1),1))+SUMIFS(TINH_TEC!$J$233:$J$9232,TINH_TEC!$H$233:$H$9232,$B37,TINH_TEC!$F$233:$F$9232,$B$2,TINH_TEC!$G$233:$G$9232,$D$2,TINH_TEC!$B$233:$B$9232,"Đã chốt")-SUMIFS(TINH_TEC!$K$233:$K$9232,TINH_TEC!$H$233:$H$9232,$B37,TINH_TEC!$F$233:$F$9232,$B$2,TINH_TEC!$G$233:$G$9232,$D$2,TINH_TEC!$B$233:$B$9232,"Đã chốt"),"-"))</f>
        <v>69.931</v>
      </c>
      <c r="F37" s="195">
        <f t="shared" si="1"/>
        <v>69.931</v>
      </c>
      <c r="G37" s="195">
        <f>IF($B37="","",SUMIFS(DATA_GOC!$K:$K,DATA_GOC!$A:$A,"BOM",DATA_GOC!$D:$D,$B37,DATA_GOC!$G:$G,"DO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885</v>
      </c>
      <c r="H37" s="196">
        <v>317793.0</v>
      </c>
      <c r="I37" s="197">
        <v>322294.0</v>
      </c>
      <c r="J37" s="195">
        <f t="shared" si="2"/>
        <v>4501</v>
      </c>
      <c r="K37" s="195">
        <f t="shared" si="3"/>
        <v>3616</v>
      </c>
      <c r="L37" s="195" t="str">
        <f t="shared" si="4"/>
        <v/>
      </c>
      <c r="M37" s="196"/>
      <c r="N37" s="196" t="str">
        <f>IFERROR(VLOOKUP($B37,'_DM_BOM_BOM'!$A:$B,2,FALSE()),"")</f>
        <v/>
      </c>
      <c r="O37" s="195">
        <f>IF($B37="","",N(SUMIFS(DATA_GOC!$H:$H,DATA_GOC!$A:$A,"BOM",DATA_GOC!$D:$D,$B37,DATA_GOC!$F:$F,"Xuất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số",DATA_GOC!$B:$B,"&gt;="&amp;DATE($D$2,$B$2,1),DATA_GOC!$B:$B,"&lt;"&amp;EDATE(DATE($D$2,$B$2,1),1)))-N($L37))</f>
        <v>63</v>
      </c>
      <c r="P37" s="198">
        <f t="shared" si="5"/>
        <v>0.07118644068</v>
      </c>
      <c r="Q37" s="198">
        <f t="shared" si="6"/>
        <v>0.01399688958</v>
      </c>
      <c r="R37" s="198">
        <f t="shared" si="7"/>
        <v>0.07118644068</v>
      </c>
      <c r="S37" s="195">
        <f>IF($B37="","",IFERROR($R37-(SUMIFS(DATA_GOC!$H:$H,DATA_GOC!$A:$A,"BOM",DATA_GOC!$D:$D,$B37,DATA_GOC!$F:$F,"Xuất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-0.01035099545</v>
      </c>
    </row>
    <row r="38" ht="19.5" customHeight="1">
      <c r="A38" s="195">
        <v>32.0</v>
      </c>
      <c r="B38" s="195" t="s">
        <v>102</v>
      </c>
      <c r="C38" s="196">
        <v>350.0</v>
      </c>
      <c r="D38" s="196">
        <v>350.0</v>
      </c>
      <c r="E38" s="195">
        <f>IF($B38="","",IFERROR(SUMIFS(DATA_GOC!$H:$H,DATA_GOC!$A:$A,"BOM",DATA_GOC!$D:$D,$B38,DATA_GOC!$G:$G,"DO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số",DATA_GOC!$B:$B,"&gt;="&amp;DATE($D$2,$B$2,1),DATA_GOC!$B:$B,"&lt;"&amp;EDATE(DATE($D$2,$B$2,1),1))+SUMIFS(TINH_TEC!$J$233:$J$9232,TINH_TEC!$H$233:$H$9232,$B38,TINH_TEC!$F$233:$F$9232,$B$2,TINH_TEC!$G$233:$G$9232,$D$2,TINH_TEC!$B$233:$B$9232,"Đã chốt")-SUMIFS(TINH_TEC!$K$233:$K$9232,TINH_TEC!$H$233:$H$9232,$B38,TINH_TEC!$F$233:$F$9232,$B$2,TINH_TEC!$G$233:$G$9232,$D$2,TINH_TEC!$B$233:$B$9232,"Đã chốt"),"-"))</f>
        <v>261.731</v>
      </c>
      <c r="F38" s="195">
        <f t="shared" si="1"/>
        <v>261.731</v>
      </c>
      <c r="G38" s="195">
        <f>IF($B38="","",SUMIFS(DATA_GOC!$K:$K,DATA_GOC!$A:$A,"BOM",DATA_GOC!$D:$D,$B38,DATA_GOC!$G:$G,"DO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504</v>
      </c>
      <c r="H38" s="196">
        <v>253946.0</v>
      </c>
      <c r="I38" s="197">
        <v>256859.0</v>
      </c>
      <c r="J38" s="195">
        <f t="shared" si="2"/>
        <v>2913</v>
      </c>
      <c r="K38" s="195">
        <f t="shared" si="3"/>
        <v>2409</v>
      </c>
      <c r="L38" s="195" t="str">
        <f t="shared" si="4"/>
        <v/>
      </c>
      <c r="M38" s="196"/>
      <c r="N38" s="196" t="str">
        <f>IFERROR(VLOOKUP($B38,'_DM_BOM_BOM'!$A:$B,2,FALSE()),"")</f>
        <v/>
      </c>
      <c r="O38" s="195">
        <f>IF($B38="","",N(SUMIFS(DATA_GOC!$H:$H,DATA_GOC!$A:$A,"BOM",DATA_GOC!$D:$D,$B38,DATA_GOC!$F:$F,"Xuất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số",DATA_GOC!$B:$B,"&gt;="&amp;DATE($D$2,$B$2,1),DATA_GOC!$B:$B,"&lt;"&amp;EDATE(DATE($D$2,$B$2,1),1)))-N($L38))</f>
        <v>223</v>
      </c>
      <c r="P38" s="198">
        <f t="shared" si="5"/>
        <v>0.4424603175</v>
      </c>
      <c r="Q38" s="198">
        <f t="shared" si="6"/>
        <v>0.07655338139</v>
      </c>
      <c r="R38" s="198">
        <f t="shared" si="7"/>
        <v>0.4424603175</v>
      </c>
      <c r="S38" s="195">
        <f>IF($B38="","",IFERROR($R38-(SUMIFS(DATA_GOC!$H:$H,DATA_GOC!$A:$A,"BOM",DATA_GOC!$D:$D,$B38,DATA_GOC!$F:$F,"Xuất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-0.01891970314</v>
      </c>
    </row>
    <row r="39" ht="19.5" customHeight="1">
      <c r="A39" s="195">
        <v>33.0</v>
      </c>
      <c r="B39" s="195" t="s">
        <v>97</v>
      </c>
      <c r="C39" s="197">
        <v>350.0</v>
      </c>
      <c r="D39" s="197">
        <v>350.0</v>
      </c>
      <c r="E39" s="195">
        <f>IF($B39="","",IFERROR(SUMIFS(DATA_GOC!$H:$H,DATA_GOC!$A:$A,"BOM",DATA_GOC!$D:$D,$B39,DATA_GOC!$G:$G,"DO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số",DATA_GOC!$B:$B,"&gt;="&amp;DATE($D$2,$B$2,1),DATA_GOC!$B:$B,"&lt;"&amp;EDATE(DATE($D$2,$B$2,1),1))+SUMIFS(TINH_TEC!$J$233:$J$9232,TINH_TEC!$H$233:$H$9232,$B39,TINH_TEC!$F$233:$F$9232,$B$2,TINH_TEC!$G$233:$G$9232,$D$2,TINH_TEC!$B$233:$B$9232,"Đã chốt")-SUMIFS(TINH_TEC!$K$233:$K$9232,TINH_TEC!$H$233:$H$9232,$B39,TINH_TEC!$F$233:$F$9232,$B$2,TINH_TEC!$G$233:$G$9232,$D$2,TINH_TEC!$B$233:$B$9232,"Đã chốt"),"-"))</f>
        <v>156.18</v>
      </c>
      <c r="F39" s="195">
        <f t="shared" si="1"/>
        <v>156.18</v>
      </c>
      <c r="G39" s="195">
        <f>IF($B39="","",SUMIFS(DATA_GOC!$K:$K,DATA_GOC!$A:$A,"BOM",DATA_GOC!$D:$D,$B39,DATA_GOC!$G:$G,"DO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111</v>
      </c>
      <c r="H39" s="196">
        <v>181633.0</v>
      </c>
      <c r="I39" s="197">
        <v>183860.0</v>
      </c>
      <c r="J39" s="195">
        <f t="shared" si="2"/>
        <v>2227</v>
      </c>
      <c r="K39" s="195">
        <f t="shared" si="3"/>
        <v>2116</v>
      </c>
      <c r="L39" s="195" t="str">
        <f t="shared" si="4"/>
        <v/>
      </c>
      <c r="M39" s="196"/>
      <c r="N39" s="196" t="str">
        <f>IFERROR(VLOOKUP($B39,'_DM_BOM_BOM'!$A:$B,2,FALSE()),"")</f>
        <v/>
      </c>
      <c r="O39" s="195">
        <f>IF($B39="","",N(SUMIFS(DATA_GOC!$H:$H,DATA_GOC!$A:$A,"BOM",DATA_GOC!$D:$D,$B39,DATA_GOC!$F:$F,"Xuất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số",DATA_GOC!$B:$B,"&gt;="&amp;DATE($D$2,$B$2,1),DATA_GOC!$B:$B,"&lt;"&amp;EDATE(DATE($D$2,$B$2,1),1)))-N($L39))</f>
        <v>127</v>
      </c>
      <c r="P39" s="198">
        <f t="shared" si="5"/>
        <v>1.144144144</v>
      </c>
      <c r="Q39" s="198">
        <f t="shared" si="6"/>
        <v>0.05702739111</v>
      </c>
      <c r="R39" s="198">
        <f t="shared" si="7"/>
        <v>1.144144144</v>
      </c>
      <c r="S39" s="195">
        <f>IF($B39="","",IFERROR($R39-(SUMIFS(DATA_GOC!$H:$H,DATA_GOC!$A:$A,"BOM",DATA_GOC!$D:$D,$B39,DATA_GOC!$F:$F,"Xuất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0.110466551</v>
      </c>
    </row>
    <row r="40" ht="19.5" customHeight="1">
      <c r="A40" s="195">
        <v>34.0</v>
      </c>
      <c r="B40" s="195" t="s">
        <v>337</v>
      </c>
      <c r="C40" s="196">
        <v>600.0</v>
      </c>
      <c r="D40" s="196">
        <v>600.0</v>
      </c>
      <c r="E40" s="195">
        <f>IF($B40="","",IFERROR(SUMIFS(DATA_GOC!$H:$H,DATA_GOC!$A:$A,"BOM",DATA_GOC!$D:$D,$B40,DATA_GOC!$G:$G,"DO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số",DATA_GOC!$B:$B,"&gt;="&amp;DATE($D$2,$B$2,1),DATA_GOC!$B:$B,"&lt;"&amp;EDATE(DATE($D$2,$B$2,1),1))+SUMIFS(TINH_TEC!$J$233:$J$9232,TINH_TEC!$H$233:$H$9232,$B40,TINH_TEC!$F$233:$F$9232,$B$2,TINH_TEC!$G$233:$G$9232,$D$2,TINH_TEC!$B$233:$B$9232,"Đã chốt")-SUMIFS(TINH_TEC!$K$233:$K$9232,TINH_TEC!$H$233:$H$9232,$B40,TINH_TEC!$F$233:$F$9232,$B$2,TINH_TEC!$G$233:$G$9232,$D$2,TINH_TEC!$B$233:$B$9232,"Đã chốt"),"-"))</f>
        <v>0</v>
      </c>
      <c r="F40" s="195">
        <f t="shared" si="1"/>
        <v>0</v>
      </c>
      <c r="G40" s="195">
        <f>IF($B40="","",SUMIFS(DATA_GOC!$K:$K,DATA_GOC!$A:$A,"BOM",DATA_GOC!$D:$D,$B40,DATA_GOC!$G:$G,"DO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40" s="196"/>
      <c r="I40" s="196"/>
      <c r="J40" s="195" t="str">
        <f t="shared" si="2"/>
        <v/>
      </c>
      <c r="K40" s="195" t="str">
        <f t="shared" si="3"/>
        <v/>
      </c>
      <c r="L40" s="195" t="str">
        <f t="shared" si="4"/>
        <v/>
      </c>
      <c r="M40" s="196"/>
      <c r="N40" s="196" t="str">
        <f>IFERROR(VLOOKUP($B40,'_DM_BOM_BOM'!$A:$B,2,FALSE()),"")</f>
        <v/>
      </c>
      <c r="O40" s="195">
        <f>IF($B40="","",N(SUMIFS(DATA_GOC!$H:$H,DATA_GOC!$A:$A,"BOM",DATA_GOC!$D:$D,$B40,DATA_GOC!$F:$F,"Xuất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số",DATA_GOC!$B:$B,"&gt;="&amp;DATE($D$2,$B$2,1),DATA_GOC!$B:$B,"&lt;"&amp;EDATE(DATE($D$2,$B$2,1),1)))-N($L40))</f>
        <v>0</v>
      </c>
      <c r="P40" s="198" t="str">
        <f t="shared" si="5"/>
        <v/>
      </c>
      <c r="Q40" s="198" t="str">
        <f t="shared" si="6"/>
        <v/>
      </c>
      <c r="R40" s="198" t="str">
        <f t="shared" si="7"/>
        <v/>
      </c>
      <c r="S40" s="195" t="str">
        <f>IF($B40="","",IFERROR($R40-(SUMIFS(DATA_GOC!$H:$H,DATA_GOC!$A:$A,"BOM",DATA_GOC!$D:$D,$B40,DATA_GOC!$F:$F,"Xuất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41" ht="19.5" customHeight="1">
      <c r="A41" s="195">
        <v>35.0</v>
      </c>
      <c r="B41" s="195" t="s">
        <v>86</v>
      </c>
      <c r="C41" s="196">
        <v>350.0</v>
      </c>
      <c r="D41" s="196">
        <v>350.0</v>
      </c>
      <c r="E41" s="195">
        <f>IF($B41="","",IFERROR(SUMIFS(DATA_GOC!$H:$H,DATA_GOC!$A:$A,"BOM",DATA_GOC!$D:$D,$B41,DATA_GOC!$G:$G,"DO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số",DATA_GOC!$B:$B,"&gt;="&amp;DATE($D$2,$B$2,1),DATA_GOC!$B:$B,"&lt;"&amp;EDATE(DATE($D$2,$B$2,1),1))+SUMIFS(TINH_TEC!$J$233:$J$9232,TINH_TEC!$H$233:$H$9232,$B41,TINH_TEC!$F$233:$F$9232,$B$2,TINH_TEC!$G$233:$G$9232,$D$2,TINH_TEC!$B$233:$B$9232,"Đã chốt")-SUMIFS(TINH_TEC!$K$233:$K$9232,TINH_TEC!$H$233:$H$9232,$B41,TINH_TEC!$F$233:$F$9232,$B$2,TINH_TEC!$G$233:$G$9232,$D$2,TINH_TEC!$B$233:$B$9232,"Đã chốt"),"-"))</f>
        <v>261.78</v>
      </c>
      <c r="F41" s="195">
        <f t="shared" si="1"/>
        <v>261.78</v>
      </c>
      <c r="G41" s="195">
        <f>IF($B41="","",SUMIFS(DATA_GOC!$K:$K,DATA_GOC!$A:$A,"BOM",DATA_GOC!$D:$D,$B41,DATA_GOC!$G:$G,"DO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494</v>
      </c>
      <c r="H41" s="196">
        <v>190036.0</v>
      </c>
      <c r="I41" s="197">
        <v>194252.0</v>
      </c>
      <c r="J41" s="195">
        <f t="shared" si="2"/>
        <v>4216</v>
      </c>
      <c r="K41" s="195">
        <f t="shared" si="3"/>
        <v>3722</v>
      </c>
      <c r="L41" s="195" t="str">
        <f t="shared" si="4"/>
        <v/>
      </c>
      <c r="M41" s="196"/>
      <c r="N41" s="196" t="str">
        <f>IFERROR(VLOOKUP($B41,'_DM_BOM_BOM'!$A:$B,2,FALSE()),"")</f>
        <v/>
      </c>
      <c r="O41" s="195">
        <f>IF($B41="","",N(SUMIFS(DATA_GOC!$H:$H,DATA_GOC!$A:$A,"BOM",DATA_GOC!$D:$D,$B41,DATA_GOC!$F:$F,"Xuất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số",DATA_GOC!$B:$B,"&gt;="&amp;DATE($D$2,$B$2,1),DATA_GOC!$B:$B,"&lt;"&amp;EDATE(DATE($D$2,$B$2,1),1)))-N($L41))</f>
        <v>222</v>
      </c>
      <c r="P41" s="198">
        <f t="shared" si="5"/>
        <v>0.4493927126</v>
      </c>
      <c r="Q41" s="198">
        <f t="shared" si="6"/>
        <v>0.05265654649</v>
      </c>
      <c r="R41" s="198">
        <f t="shared" si="7"/>
        <v>0.4493927126</v>
      </c>
      <c r="S41" s="195">
        <f>IF($B41="","",IFERROR($R41-(SUMIFS(DATA_GOC!$H:$H,DATA_GOC!$A:$A,"BOM",DATA_GOC!$D:$D,$B41,DATA_GOC!$F:$F,"Xuất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-0.05297920396</v>
      </c>
    </row>
    <row r="42" ht="19.5" customHeight="1">
      <c r="A42" s="195">
        <v>36.0</v>
      </c>
      <c r="B42" s="195" t="s">
        <v>113</v>
      </c>
      <c r="C42" s="196">
        <v>350.0</v>
      </c>
      <c r="D42" s="196">
        <v>350.0</v>
      </c>
      <c r="E42" s="195">
        <f>IF($B42="","",IFERROR(SUMIFS(DATA_GOC!$H:$H,DATA_GOC!$A:$A,"BOM",DATA_GOC!$D:$D,$B42,DATA_GOC!$G:$G,"DO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số",DATA_GOC!$B:$B,"&gt;="&amp;DATE($D$2,$B$2,1),DATA_GOC!$B:$B,"&lt;"&amp;EDATE(DATE($D$2,$B$2,1),1))+SUMIFS(TINH_TEC!$J$233:$J$9232,TINH_TEC!$H$233:$H$9232,$B42,TINH_TEC!$F$233:$F$9232,$B$2,TINH_TEC!$G$233:$G$9232,$D$2,TINH_TEC!$B$233:$B$9232,"Đã chốt")-SUMIFS(TINH_TEC!$K$233:$K$9232,TINH_TEC!$H$233:$H$9232,$B42,TINH_TEC!$F$233:$F$9232,$B$2,TINH_TEC!$G$233:$G$9232,$D$2,TINH_TEC!$B$233:$B$9232,"Đã chốt"),"-"))</f>
        <v>245.644</v>
      </c>
      <c r="F42" s="195">
        <f t="shared" si="1"/>
        <v>245.644</v>
      </c>
      <c r="G42" s="195">
        <f>IF($B42="","",SUMIFS(DATA_GOC!$K:$K,DATA_GOC!$A:$A,"BOM",DATA_GOC!$D:$D,$B42,DATA_GOC!$G:$G,"DO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503</v>
      </c>
      <c r="H42" s="196">
        <v>171318.0</v>
      </c>
      <c r="I42" s="197">
        <v>175455.0</v>
      </c>
      <c r="J42" s="195">
        <f t="shared" si="2"/>
        <v>4137</v>
      </c>
      <c r="K42" s="195">
        <f t="shared" si="3"/>
        <v>3634</v>
      </c>
      <c r="L42" s="195" t="str">
        <f t="shared" si="4"/>
        <v/>
      </c>
      <c r="M42" s="196"/>
      <c r="N42" s="196" t="str">
        <f>IFERROR(VLOOKUP($B42,'_DM_BOM_BOM'!$A:$B,2,FALSE()),"")</f>
        <v/>
      </c>
      <c r="O42" s="195">
        <f>IF($B42="","",N(SUMIFS(DATA_GOC!$H:$H,DATA_GOC!$A:$A,"BOM",DATA_GOC!$D:$D,$B42,DATA_GOC!$F:$F,"Xuất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số",DATA_GOC!$B:$B,"&gt;="&amp;DATE($D$2,$B$2,1),DATA_GOC!$B:$B,"&lt;"&amp;EDATE(DATE($D$2,$B$2,1),1)))-N($L42))</f>
        <v>210</v>
      </c>
      <c r="P42" s="198">
        <f t="shared" si="5"/>
        <v>0.4174950298</v>
      </c>
      <c r="Q42" s="198">
        <f t="shared" si="6"/>
        <v>0.05076142132</v>
      </c>
      <c r="R42" s="198">
        <f t="shared" si="7"/>
        <v>0.4174950298</v>
      </c>
      <c r="S42" s="195">
        <f>IF($B42="","",IFERROR($R42-(SUMIFS(DATA_GOC!$H:$H,DATA_GOC!$A:$A,"BOM",DATA_GOC!$D:$D,$B42,DATA_GOC!$F:$F,"Xuất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-0.04878488316</v>
      </c>
    </row>
    <row r="43" ht="19.5" customHeight="1">
      <c r="A43" s="195">
        <v>37.0</v>
      </c>
      <c r="B43" s="195" t="s">
        <v>98</v>
      </c>
      <c r="C43" s="197">
        <v>280.0</v>
      </c>
      <c r="D43" s="197">
        <v>280.0</v>
      </c>
      <c r="E43" s="195">
        <f>IF($B43="","",IFERROR(SUMIFS(DATA_GOC!$H:$H,DATA_GOC!$A:$A,"BOM",DATA_GOC!$D:$D,$B43,DATA_GOC!$G:$G,"DO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số",DATA_GOC!$B:$B,"&gt;="&amp;DATE($D$2,$B$2,1),DATA_GOC!$B:$B,"&lt;"&amp;EDATE(DATE($D$2,$B$2,1),1))+SUMIFS(TINH_TEC!$J$233:$J$9232,TINH_TEC!$H$233:$H$9232,$B43,TINH_TEC!$F$233:$F$9232,$B$2,TINH_TEC!$G$233:$G$9232,$D$2,TINH_TEC!$B$233:$B$9232,"Đã chốt")-SUMIFS(TINH_TEC!$K$233:$K$9232,TINH_TEC!$H$233:$H$9232,$B43,TINH_TEC!$F$233:$F$9232,$B$2,TINH_TEC!$G$233:$G$9232,$D$2,TINH_TEC!$B$233:$B$9232,"Đã chốt"),"-"))</f>
        <v>201.101</v>
      </c>
      <c r="F43" s="195">
        <f t="shared" si="1"/>
        <v>201.101</v>
      </c>
      <c r="G43" s="195">
        <f>IF($B43="","",SUMIFS(DATA_GOC!$K:$K,DATA_GOC!$A:$A,"BOM",DATA_GOC!$D:$D,$B43,DATA_GOC!$G:$G,"DO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400</v>
      </c>
      <c r="H43" s="196">
        <v>165695.0</v>
      </c>
      <c r="I43" s="197">
        <v>170471.0</v>
      </c>
      <c r="J43" s="195">
        <f t="shared" si="2"/>
        <v>4776</v>
      </c>
      <c r="K43" s="195">
        <f t="shared" si="3"/>
        <v>4376</v>
      </c>
      <c r="L43" s="195" t="str">
        <f t="shared" si="4"/>
        <v/>
      </c>
      <c r="M43" s="196"/>
      <c r="N43" s="196" t="str">
        <f>IFERROR(VLOOKUP($B43,'_DM_BOM_BOM'!$A:$B,2,FALSE()),"")</f>
        <v/>
      </c>
      <c r="O43" s="195">
        <f>IF($B43="","",N(SUMIFS(DATA_GOC!$H:$H,DATA_GOC!$A:$A,"BOM",DATA_GOC!$D:$D,$B43,DATA_GOC!$F:$F,"Xuất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số",DATA_GOC!$B:$B,"&gt;="&amp;DATE($D$2,$B$2,1),DATA_GOC!$B:$B,"&lt;"&amp;EDATE(DATE($D$2,$B$2,1),1)))-N($L43))</f>
        <v>164</v>
      </c>
      <c r="P43" s="198">
        <f t="shared" si="5"/>
        <v>0.41</v>
      </c>
      <c r="Q43" s="198">
        <f t="shared" si="6"/>
        <v>0.03433835846</v>
      </c>
      <c r="R43" s="198">
        <f t="shared" si="7"/>
        <v>0.41</v>
      </c>
      <c r="S43" s="195">
        <f>IF($B43="","",IFERROR($R43-(SUMIFS(DATA_GOC!$H:$H,DATA_GOC!$A:$A,"BOM",DATA_GOC!$D:$D,$B43,DATA_GOC!$F:$F,"Xuất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-0.02425460637</v>
      </c>
    </row>
    <row r="44" ht="19.5" customHeight="1">
      <c r="A44" s="195">
        <v>38.0</v>
      </c>
      <c r="B44" s="195" t="s">
        <v>112</v>
      </c>
      <c r="C44" s="196">
        <v>350.0</v>
      </c>
      <c r="D44" s="196">
        <v>350.0</v>
      </c>
      <c r="E44" s="195">
        <f>IF($B44="","",IFERROR(SUMIFS(DATA_GOC!$H:$H,DATA_GOC!$A:$A,"BOM",DATA_GOC!$D:$D,$B44,DATA_GOC!$G:$G,"DO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số",DATA_GOC!$B:$B,"&gt;="&amp;DATE($D$2,$B$2,1),DATA_GOC!$B:$B,"&lt;"&amp;EDATE(DATE($D$2,$B$2,1),1))+SUMIFS(TINH_TEC!$J$233:$J$9232,TINH_TEC!$H$233:$H$9232,$B44,TINH_TEC!$F$233:$F$9232,$B$2,TINH_TEC!$G$233:$G$9232,$D$2,TINH_TEC!$B$233:$B$9232,"Đã chốt")-SUMIFS(TINH_TEC!$K$233:$K$9232,TINH_TEC!$H$233:$H$9232,$B44,TINH_TEC!$F$233:$F$9232,$B$2,TINH_TEC!$G$233:$G$9232,$D$2,TINH_TEC!$B$233:$B$9232,"Đã chốt"),"-"))</f>
        <v>285.491</v>
      </c>
      <c r="F44" s="195">
        <f t="shared" si="1"/>
        <v>285.491</v>
      </c>
      <c r="G44" s="195">
        <f>IF($B44="","",SUMIFS(DATA_GOC!$K:$K,DATA_GOC!$A:$A,"BOM",DATA_GOC!$D:$D,$B44,DATA_GOC!$G:$G,"DO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602</v>
      </c>
      <c r="H44" s="196">
        <v>98615.0</v>
      </c>
      <c r="I44" s="197">
        <v>102063.0</v>
      </c>
      <c r="J44" s="195">
        <f t="shared" si="2"/>
        <v>3448</v>
      </c>
      <c r="K44" s="195">
        <f t="shared" si="3"/>
        <v>2846</v>
      </c>
      <c r="L44" s="195" t="str">
        <f t="shared" si="4"/>
        <v/>
      </c>
      <c r="M44" s="196"/>
      <c r="N44" s="196" t="str">
        <f>IFERROR(VLOOKUP($B44,'_DM_BOM_BOM'!$A:$B,2,FALSE()),"")</f>
        <v/>
      </c>
      <c r="O44" s="195">
        <f>IF($B44="","",N(SUMIFS(DATA_GOC!$H:$H,DATA_GOC!$A:$A,"BOM",DATA_GOC!$D:$D,$B44,DATA_GOC!$F:$F,"Xuất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số",DATA_GOC!$B:$B,"&gt;="&amp;DATE($D$2,$B$2,1),DATA_GOC!$B:$B,"&lt;"&amp;EDATE(DATE($D$2,$B$2,1),1)))-N($L44))</f>
        <v>0</v>
      </c>
      <c r="P44" s="198">
        <f t="shared" si="5"/>
        <v>0</v>
      </c>
      <c r="Q44" s="198">
        <f t="shared" si="6"/>
        <v>0</v>
      </c>
      <c r="R44" s="198">
        <f t="shared" si="7"/>
        <v>0</v>
      </c>
      <c r="S44" s="195">
        <f>IF($B44="","",IFERROR($R44-(SUMIFS(DATA_GOC!$H:$H,DATA_GOC!$A:$A,"BOM",DATA_GOC!$D:$D,$B44,DATA_GOC!$F:$F,"Xuất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-0.4489559165</v>
      </c>
    </row>
    <row r="45" ht="19.5" customHeight="1">
      <c r="A45" s="195">
        <v>39.0</v>
      </c>
      <c r="B45" s="195" t="s">
        <v>101</v>
      </c>
      <c r="C45" s="196">
        <v>350.0</v>
      </c>
      <c r="D45" s="196">
        <v>350.0</v>
      </c>
      <c r="E45" s="195">
        <f>IF($B45="","",IFERROR(SUMIFS(DATA_GOC!$H:$H,DATA_GOC!$A:$A,"BOM",DATA_GOC!$D:$D,$B45,DATA_GOC!$G:$G,"DO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số",DATA_GOC!$B:$B,"&gt;="&amp;DATE($D$2,$B$2,1),DATA_GOC!$B:$B,"&lt;"&amp;EDATE(DATE($D$2,$B$2,1),1))+SUMIFS(TINH_TEC!$J$233:$J$9232,TINH_TEC!$H$233:$H$9232,$B45,TINH_TEC!$F$233:$F$9232,$B$2,TINH_TEC!$G$233:$G$9232,$D$2,TINH_TEC!$B$233:$B$9232,"Đã chốt")-SUMIFS(TINH_TEC!$K$233:$K$9232,TINH_TEC!$H$233:$H$9232,$B45,TINH_TEC!$F$233:$F$9232,$B$2,TINH_TEC!$G$233:$G$9232,$D$2,TINH_TEC!$B$233:$B$9232,"Đã chốt"),"-"))</f>
        <v>266.489</v>
      </c>
      <c r="F45" s="195">
        <f t="shared" si="1"/>
        <v>266.489</v>
      </c>
      <c r="G45" s="195">
        <f>IF($B45="","",SUMIFS(DATA_GOC!$K:$K,DATA_GOC!$A:$A,"BOM",DATA_GOC!$D:$D,$B45,DATA_GOC!$G:$G,"DO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569</v>
      </c>
      <c r="H45" s="196">
        <v>115433.0</v>
      </c>
      <c r="I45" s="197">
        <v>119806.0</v>
      </c>
      <c r="J45" s="195">
        <f t="shared" si="2"/>
        <v>4373</v>
      </c>
      <c r="K45" s="195">
        <f t="shared" si="3"/>
        <v>3804</v>
      </c>
      <c r="L45" s="195" t="str">
        <f t="shared" si="4"/>
        <v/>
      </c>
      <c r="M45" s="196"/>
      <c r="N45" s="196" t="str">
        <f>IFERROR(VLOOKUP($B45,'_DM_BOM_BOM'!$A:$B,2,FALSE()),"")</f>
        <v/>
      </c>
      <c r="O45" s="195">
        <f>IF($B45="","",N(SUMIFS(DATA_GOC!$H:$H,DATA_GOC!$A:$A,"BOM",DATA_GOC!$D:$D,$B45,DATA_GOC!$F:$F,"Xuất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số",DATA_GOC!$B:$B,"&gt;="&amp;DATE($D$2,$B$2,1),DATA_GOC!$B:$B,"&lt;"&amp;EDATE(DATE($D$2,$B$2,1),1)))-N($L45))</f>
        <v>233</v>
      </c>
      <c r="P45" s="198">
        <f t="shared" si="5"/>
        <v>0.4094903339</v>
      </c>
      <c r="Q45" s="198">
        <f t="shared" si="6"/>
        <v>0.05328150011</v>
      </c>
      <c r="R45" s="198">
        <f t="shared" si="7"/>
        <v>0.4094903339</v>
      </c>
      <c r="S45" s="195">
        <f>IF($B45="","",IFERROR($R45-(SUMIFS(DATA_GOC!$H:$H,DATA_GOC!$A:$A,"BOM",DATA_GOC!$D:$D,$B45,DATA_GOC!$F:$F,"Xuất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-0.03734250395</v>
      </c>
    </row>
    <row r="46" ht="19.5" customHeight="1">
      <c r="A46" s="195">
        <v>40.0</v>
      </c>
      <c r="B46" s="195" t="s">
        <v>138</v>
      </c>
      <c r="C46" s="196">
        <v>350.0</v>
      </c>
      <c r="D46" s="196">
        <v>350.0</v>
      </c>
      <c r="E46" s="195">
        <f>IF($B46="","",IFERROR(SUMIFS(DATA_GOC!$H:$H,DATA_GOC!$A:$A,"BOM",DATA_GOC!$D:$D,$B46,DATA_GOC!$G:$G,"DO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số",DATA_GOC!$B:$B,"&gt;="&amp;DATE($D$2,$B$2,1),DATA_GOC!$B:$B,"&lt;"&amp;EDATE(DATE($D$2,$B$2,1),1))+SUMIFS(TINH_TEC!$J$233:$J$9232,TINH_TEC!$H$233:$H$9232,$B46,TINH_TEC!$F$233:$F$9232,$B$2,TINH_TEC!$G$233:$G$9232,$D$2,TINH_TEC!$B$233:$B$9232,"Đã chốt")-SUMIFS(TINH_TEC!$K$233:$K$9232,TINH_TEC!$H$233:$H$9232,$B46,TINH_TEC!$F$233:$F$9232,$B$2,TINH_TEC!$G$233:$G$9232,$D$2,TINH_TEC!$B$233:$B$9232,"Đã chốt"),"-"))</f>
        <v>25.044</v>
      </c>
      <c r="F46" s="195">
        <f t="shared" si="1"/>
        <v>25.044</v>
      </c>
      <c r="G46" s="195">
        <f>IF($B46="","",SUMIFS(DATA_GOC!$K:$K,DATA_GOC!$A:$A,"BOM",DATA_GOC!$D:$D,$B46,DATA_GOC!$G:$G,"DO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46" s="196">
        <v>105627.0</v>
      </c>
      <c r="I46" s="197">
        <v>107693.0</v>
      </c>
      <c r="J46" s="195">
        <f t="shared" si="2"/>
        <v>2066</v>
      </c>
      <c r="K46" s="195">
        <f t="shared" si="3"/>
        <v>2066</v>
      </c>
      <c r="L46" s="195" t="str">
        <f t="shared" si="4"/>
        <v/>
      </c>
      <c r="M46" s="196"/>
      <c r="N46" s="196" t="str">
        <f>IFERROR(VLOOKUP($B46,'_DM_BOM_BOM'!$A:$B,2,FALSE()),"")</f>
        <v/>
      </c>
      <c r="O46" s="195">
        <f>IF($B46="","",N(SUMIFS(DATA_GOC!$H:$H,DATA_GOC!$A:$A,"BOM",DATA_GOC!$D:$D,$B46,DATA_GOC!$F:$F,"Xuất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số",DATA_GOC!$B:$B,"&gt;="&amp;DATE($D$2,$B$2,1),DATA_GOC!$B:$B,"&lt;"&amp;EDATE(DATE($D$2,$B$2,1),1)))-N($L46))</f>
        <v>0</v>
      </c>
      <c r="P46" s="198" t="str">
        <f t="shared" si="5"/>
        <v/>
      </c>
      <c r="Q46" s="198">
        <f t="shared" si="6"/>
        <v>0</v>
      </c>
      <c r="R46" s="198" t="str">
        <f t="shared" si="7"/>
        <v/>
      </c>
      <c r="S46" s="195">
        <f>IF($B46="","",IFERROR($R46-(SUMIFS(DATA_GOC!$H:$H,DATA_GOC!$A:$A,"BOM",DATA_GOC!$D:$D,$B46,DATA_GOC!$F:$F,"Xuất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-0.4307841239</v>
      </c>
    </row>
    <row r="47" ht="19.5" customHeight="1">
      <c r="A47" s="195">
        <v>41.0</v>
      </c>
      <c r="B47" s="195" t="s">
        <v>127</v>
      </c>
      <c r="C47" s="196"/>
      <c r="D47" s="196"/>
      <c r="E47" s="195">
        <f>IF($B47="","",IFERROR(SUMIFS(DATA_GOC!$H:$H,DATA_GOC!$A:$A,"BOM",DATA_GOC!$D:$D,$B47,DATA_GOC!$G:$G,"DO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số",DATA_GOC!$B:$B,"&gt;="&amp;DATE($D$2,$B$2,1),DATA_GOC!$B:$B,"&lt;"&amp;EDATE(DATE($D$2,$B$2,1),1))+SUMIFS(TINH_TEC!$J$233:$J$9232,TINH_TEC!$H$233:$H$9232,$B47,TINH_TEC!$F$233:$F$9232,$B$2,TINH_TEC!$G$233:$G$9232,$D$2,TINH_TEC!$B$233:$B$9232,"Đã chốt")-SUMIFS(TINH_TEC!$K$233:$K$9232,TINH_TEC!$H$233:$H$9232,$B47,TINH_TEC!$F$233:$F$9232,$B$2,TINH_TEC!$G$233:$G$9232,$D$2,TINH_TEC!$B$233:$B$9232,"Đã chốt"),"-"))</f>
        <v>10.891</v>
      </c>
      <c r="F47" s="195">
        <f t="shared" si="1"/>
        <v>10.891</v>
      </c>
      <c r="G47" s="195">
        <f>IF($B47="","",SUMIFS(DATA_GOC!$K:$K,DATA_GOC!$A:$A,"BOM",DATA_GOC!$D:$D,$B47,DATA_GOC!$G:$G,"DO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47" s="196"/>
      <c r="I47" s="196"/>
      <c r="J47" s="195" t="str">
        <f t="shared" si="2"/>
        <v/>
      </c>
      <c r="K47" s="195" t="str">
        <f t="shared" si="3"/>
        <v/>
      </c>
      <c r="L47" s="195" t="str">
        <f t="shared" si="4"/>
        <v/>
      </c>
      <c r="M47" s="196"/>
      <c r="N47" s="196" t="str">
        <f>IFERROR(VLOOKUP($B47,'_DM_BOM_BOM'!$A:$B,2,FALSE()),"")</f>
        <v/>
      </c>
      <c r="O47" s="195">
        <f>IF($B47="","",N(SUMIFS(DATA_GOC!$H:$H,DATA_GOC!$A:$A,"BOM",DATA_GOC!$D:$D,$B47,DATA_GOC!$F:$F,"Xuất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số",DATA_GOC!$B:$B,"&gt;="&amp;DATE($D$2,$B$2,1),DATA_GOC!$B:$B,"&lt;"&amp;EDATE(DATE($D$2,$B$2,1),1)))-N($L47))</f>
        <v>0</v>
      </c>
      <c r="P47" s="198" t="str">
        <f t="shared" si="5"/>
        <v/>
      </c>
      <c r="Q47" s="198" t="str">
        <f t="shared" si="6"/>
        <v/>
      </c>
      <c r="R47" s="198" t="str">
        <f t="shared" si="7"/>
        <v/>
      </c>
      <c r="S47" s="195" t="str">
        <f>IF($B47="","",IFERROR($R47-(SUMIFS(DATA_GOC!$H:$H,DATA_GOC!$A:$A,"BOM",DATA_GOC!$D:$D,$B47,DATA_GOC!$F:$F,"Xuất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48" ht="15.75" customHeight="1">
      <c r="A48" s="195">
        <v>42.0</v>
      </c>
      <c r="B48" s="195" t="s">
        <v>162</v>
      </c>
      <c r="C48" s="196">
        <v>280.0</v>
      </c>
      <c r="D48" s="196">
        <v>280.0</v>
      </c>
      <c r="E48" s="195">
        <f>IF($B48="","",IFERROR(SUMIFS(DATA_GOC!$H:$H,DATA_GOC!$A:$A,"BOM",DATA_GOC!$D:$D,$B48,DATA_GOC!$G:$G,"DO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số",DATA_GOC!$B:$B,"&gt;="&amp;DATE($D$2,$B$2,1),DATA_GOC!$B:$B,"&lt;"&amp;EDATE(DATE($D$2,$B$2,1),1))+SUMIFS(TINH_TEC!$J$233:$J$9232,TINH_TEC!$H$233:$H$9232,$B48,TINH_TEC!$F$233:$F$9232,$B$2,TINH_TEC!$G$233:$G$9232,$D$2,TINH_TEC!$B$233:$B$9232,"Đã chốt")-SUMIFS(TINH_TEC!$K$233:$K$9232,TINH_TEC!$H$233:$H$9232,$B48,TINH_TEC!$F$233:$F$9232,$B$2,TINH_TEC!$G$233:$G$9232,$D$2,TINH_TEC!$B$233:$B$9232,"Đã chốt"),"-"))</f>
        <v>0</v>
      </c>
      <c r="F48" s="195">
        <f t="shared" si="1"/>
        <v>0</v>
      </c>
      <c r="G48" s="195">
        <f>IF($B48="","",SUMIFS(DATA_GOC!$K:$K,DATA_GOC!$A:$A,"BOM",DATA_GOC!$D:$D,$B48,DATA_GOC!$G:$G,"DO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48" s="196"/>
      <c r="I48" s="196"/>
      <c r="J48" s="195" t="str">
        <f t="shared" si="2"/>
        <v/>
      </c>
      <c r="K48" s="195" t="str">
        <f t="shared" si="3"/>
        <v/>
      </c>
      <c r="L48" s="195" t="str">
        <f t="shared" si="4"/>
        <v/>
      </c>
      <c r="M48" s="196"/>
      <c r="N48" s="196" t="str">
        <f>IFERROR(VLOOKUP($B48,'_DM_BOM_BOM'!$A:$B,2,FALSE()),"")</f>
        <v/>
      </c>
      <c r="O48" s="195">
        <f>IF($B48="","",N(SUMIFS(DATA_GOC!$H:$H,DATA_GOC!$A:$A,"BOM",DATA_GOC!$D:$D,$B48,DATA_GOC!$F:$F,"Xuất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số",DATA_GOC!$B:$B,"&gt;="&amp;DATE($D$2,$B$2,1),DATA_GOC!$B:$B,"&lt;"&amp;EDATE(DATE($D$2,$B$2,1),1)))-N($L48))</f>
        <v>0</v>
      </c>
      <c r="P48" s="198" t="str">
        <f t="shared" si="5"/>
        <v/>
      </c>
      <c r="Q48" s="198" t="str">
        <f t="shared" si="6"/>
        <v/>
      </c>
      <c r="R48" s="198" t="str">
        <f t="shared" si="7"/>
        <v/>
      </c>
      <c r="S48" s="195" t="str">
        <f>IF($B48="","",IFERROR($R48-(SUMIFS(DATA_GOC!$H:$H,DATA_GOC!$A:$A,"BOM",DATA_GOC!$D:$D,$B48,DATA_GOC!$F:$F,"Xuất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49" ht="15.75" customHeight="1">
      <c r="A49" s="195">
        <v>43.0</v>
      </c>
      <c r="B49" s="195" t="s">
        <v>338</v>
      </c>
      <c r="C49" s="196"/>
      <c r="D49" s="196"/>
      <c r="E49" s="195">
        <f>IF($B49="","",IFERROR(SUMIFS(DATA_GOC!$H:$H,DATA_GOC!$A:$A,"BOM",DATA_GOC!$D:$D,$B49,DATA_GOC!$G:$G,"DO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số",DATA_GOC!$B:$B,"&gt;="&amp;DATE($D$2,$B$2,1),DATA_GOC!$B:$B,"&lt;"&amp;EDATE(DATE($D$2,$B$2,1),1))+SUMIFS(TINH_TEC!$J$233:$J$9232,TINH_TEC!$H$233:$H$9232,$B49,TINH_TEC!$F$233:$F$9232,$B$2,TINH_TEC!$G$233:$G$9232,$D$2,TINH_TEC!$B$233:$B$9232,"Đã chốt")-SUMIFS(TINH_TEC!$K$233:$K$9232,TINH_TEC!$H$233:$H$9232,$B49,TINH_TEC!$F$233:$F$9232,$B$2,TINH_TEC!$G$233:$G$9232,$D$2,TINH_TEC!$B$233:$B$9232,"Đã chốt"),"-"))</f>
        <v>0</v>
      </c>
      <c r="F49" s="195">
        <f t="shared" si="1"/>
        <v>0</v>
      </c>
      <c r="G49" s="195">
        <f>IF($B49="","",SUMIFS(DATA_GOC!$K:$K,DATA_GOC!$A:$A,"BOM",DATA_GOC!$D:$D,$B49,DATA_GOC!$G:$G,"DO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49" s="196"/>
      <c r="I49" s="196"/>
      <c r="J49" s="195" t="str">
        <f t="shared" si="2"/>
        <v/>
      </c>
      <c r="K49" s="195" t="str">
        <f t="shared" si="3"/>
        <v/>
      </c>
      <c r="L49" s="195" t="str">
        <f t="shared" si="4"/>
        <v/>
      </c>
      <c r="M49" s="196"/>
      <c r="N49" s="196" t="str">
        <f>IFERROR(VLOOKUP($B49,'_DM_BOM_BOM'!$A:$B,2,FALSE()),"")</f>
        <v/>
      </c>
      <c r="O49" s="195">
        <f>IF($B49="","",N(SUMIFS(DATA_GOC!$H:$H,DATA_GOC!$A:$A,"BOM",DATA_GOC!$D:$D,$B49,DATA_GOC!$F:$F,"Xuất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số",DATA_GOC!$B:$B,"&gt;="&amp;DATE($D$2,$B$2,1),DATA_GOC!$B:$B,"&lt;"&amp;EDATE(DATE($D$2,$B$2,1),1)))-N($L49))</f>
        <v>0</v>
      </c>
      <c r="P49" s="198" t="str">
        <f t="shared" si="5"/>
        <v/>
      </c>
      <c r="Q49" s="198" t="str">
        <f t="shared" si="6"/>
        <v/>
      </c>
      <c r="R49" s="198" t="str">
        <f t="shared" si="7"/>
        <v/>
      </c>
      <c r="S49" s="195" t="str">
        <f>IF($B49="","",IFERROR($R49-(SUMIFS(DATA_GOC!$H:$H,DATA_GOC!$A:$A,"BOM",DATA_GOC!$D:$D,$B49,DATA_GOC!$F:$F,"Xuất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50" ht="19.5" customHeight="1">
      <c r="A50" s="195">
        <v>44.0</v>
      </c>
      <c r="B50" s="195" t="s">
        <v>111</v>
      </c>
      <c r="C50" s="196">
        <v>250.0</v>
      </c>
      <c r="D50" s="196">
        <v>250.0</v>
      </c>
      <c r="E50" s="195">
        <f>IF($B50="","",IFERROR(SUMIFS(DATA_GOC!$H:$H,DATA_GOC!$A:$A,"BOM",DATA_GOC!$D:$D,$B50,DATA_GOC!$G:$G,"DO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số",DATA_GOC!$B:$B,"&gt;="&amp;DATE($D$2,$B$2,1),DATA_GOC!$B:$B,"&lt;"&amp;EDATE(DATE($D$2,$B$2,1),1))+SUMIFS(TINH_TEC!$J$233:$J$9232,TINH_TEC!$H$233:$H$9232,$B50,TINH_TEC!$F$233:$F$9232,$B$2,TINH_TEC!$G$233:$G$9232,$D$2,TINH_TEC!$B$233:$B$9232,"Đã chốt")-SUMIFS(TINH_TEC!$K$233:$K$9232,TINH_TEC!$H$233:$H$9232,$B50,TINH_TEC!$F$233:$F$9232,$B$2,TINH_TEC!$G$233:$G$9232,$D$2,TINH_TEC!$B$233:$B$9232,"Đã chốt"),"-"))</f>
        <v>0</v>
      </c>
      <c r="F50" s="195">
        <f t="shared" si="1"/>
        <v>0</v>
      </c>
      <c r="G50" s="195">
        <f>IF($B50="","",SUMIFS(DATA_GOC!$K:$K,DATA_GOC!$A:$A,"BOM",DATA_GOC!$D:$D,$B50,DATA_GOC!$G:$G,"DO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50" s="196"/>
      <c r="I50" s="196"/>
      <c r="J50" s="195" t="str">
        <f t="shared" si="2"/>
        <v/>
      </c>
      <c r="K50" s="195" t="str">
        <f t="shared" si="3"/>
        <v/>
      </c>
      <c r="L50" s="195" t="str">
        <f t="shared" si="4"/>
        <v/>
      </c>
      <c r="M50" s="196"/>
      <c r="N50" s="196" t="str">
        <f>IFERROR(VLOOKUP($B50,'_DM_BOM_BOM'!$A:$B,2,FALSE()),"")</f>
        <v/>
      </c>
      <c r="O50" s="195">
        <f>IF($B50="","",N(SUMIFS(DATA_GOC!$H:$H,DATA_GOC!$A:$A,"BOM",DATA_GOC!$D:$D,$B50,DATA_GOC!$F:$F,"Xuất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số",DATA_GOC!$B:$B,"&gt;="&amp;DATE($D$2,$B$2,1),DATA_GOC!$B:$B,"&lt;"&amp;EDATE(DATE($D$2,$B$2,1),1)))-N($L50))</f>
        <v>0</v>
      </c>
      <c r="P50" s="198" t="str">
        <f t="shared" si="5"/>
        <v/>
      </c>
      <c r="Q50" s="198" t="str">
        <f t="shared" si="6"/>
        <v/>
      </c>
      <c r="R50" s="198" t="str">
        <f t="shared" si="7"/>
        <v/>
      </c>
      <c r="S50" s="195" t="str">
        <f>IF($B50="","",IFERROR($R50-(SUMIFS(DATA_GOC!$H:$H,DATA_GOC!$A:$A,"BOM",DATA_GOC!$D:$D,$B50,DATA_GOC!$F:$F,"Xuất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51" ht="19.5" customHeight="1">
      <c r="A51" s="195">
        <v>45.0</v>
      </c>
      <c r="B51" s="195" t="s">
        <v>133</v>
      </c>
      <c r="C51" s="196">
        <v>260.0</v>
      </c>
      <c r="D51" s="196">
        <v>260.0</v>
      </c>
      <c r="E51" s="195">
        <f>IF($B51="","",IFERROR(SUMIFS(DATA_GOC!$H:$H,DATA_GOC!$A:$A,"BOM",DATA_GOC!$D:$D,$B51,DATA_GOC!$G:$G,"DO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số",DATA_GOC!$B:$B,"&gt;="&amp;DATE($D$2,$B$2,1),DATA_GOC!$B:$B,"&lt;"&amp;EDATE(DATE($D$2,$B$2,1),1))+SUMIFS(TINH_TEC!$J$233:$J$9232,TINH_TEC!$H$233:$H$9232,$B51,TINH_TEC!$F$233:$F$9232,$B$2,TINH_TEC!$G$233:$G$9232,$D$2,TINH_TEC!$B$233:$B$9232,"Đã chốt")-SUMIFS(TINH_TEC!$K$233:$K$9232,TINH_TEC!$H$233:$H$9232,$B51,TINH_TEC!$F$233:$F$9232,$B$2,TINH_TEC!$G$233:$G$9232,$D$2,TINH_TEC!$B$233:$B$9232,"Đã chốt"),"-"))</f>
        <v>0</v>
      </c>
      <c r="F51" s="195">
        <f t="shared" si="1"/>
        <v>0</v>
      </c>
      <c r="G51" s="195">
        <f>IF($B51="","",SUMIFS(DATA_GOC!$K:$K,DATA_GOC!$A:$A,"BOM",DATA_GOC!$D:$D,$B51,DATA_GOC!$G:$G,"DO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51" s="196"/>
      <c r="I51" s="196"/>
      <c r="J51" s="195" t="str">
        <f t="shared" si="2"/>
        <v/>
      </c>
      <c r="K51" s="195" t="str">
        <f t="shared" si="3"/>
        <v/>
      </c>
      <c r="L51" s="195" t="str">
        <f t="shared" si="4"/>
        <v/>
      </c>
      <c r="M51" s="196"/>
      <c r="N51" s="196" t="str">
        <f>IFERROR(VLOOKUP($B51,'_DM_BOM_BOM'!$A:$B,2,FALSE()),"")</f>
        <v/>
      </c>
      <c r="O51" s="195">
        <f>IF($B51="","",N(SUMIFS(DATA_GOC!$H:$H,DATA_GOC!$A:$A,"BOM",DATA_GOC!$D:$D,$B51,DATA_GOC!$F:$F,"Xuất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số",DATA_GOC!$B:$B,"&gt;="&amp;DATE($D$2,$B$2,1),DATA_GOC!$B:$B,"&lt;"&amp;EDATE(DATE($D$2,$B$2,1),1)))-N($L51))</f>
        <v>0</v>
      </c>
      <c r="P51" s="198" t="str">
        <f t="shared" si="5"/>
        <v/>
      </c>
      <c r="Q51" s="198" t="str">
        <f t="shared" si="6"/>
        <v/>
      </c>
      <c r="R51" s="198" t="str">
        <f t="shared" si="7"/>
        <v/>
      </c>
      <c r="S51" s="195" t="str">
        <f>IF($B51="","",IFERROR($R51-(SUMIFS(DATA_GOC!$H:$H,DATA_GOC!$A:$A,"BOM",DATA_GOC!$D:$D,$B51,DATA_GOC!$F:$F,"Xuất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52" ht="19.5" customHeight="1">
      <c r="A52" s="195">
        <v>46.0</v>
      </c>
      <c r="B52" s="195" t="s">
        <v>339</v>
      </c>
      <c r="C52" s="196">
        <v>280.0</v>
      </c>
      <c r="D52" s="196">
        <v>280.0</v>
      </c>
      <c r="E52" s="195">
        <f>IF($B52="","",IFERROR(SUMIFS(DATA_GOC!$H:$H,DATA_GOC!$A:$A,"BOM",DATA_GOC!$D:$D,$B52,DATA_GOC!$G:$G,"DO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số",DATA_GOC!$B:$B,"&gt;="&amp;DATE($D$2,$B$2,1),DATA_GOC!$B:$B,"&lt;"&amp;EDATE(DATE($D$2,$B$2,1),1))+SUMIFS(TINH_TEC!$J$233:$J$9232,TINH_TEC!$H$233:$H$9232,$B52,TINH_TEC!$F$233:$F$9232,$B$2,TINH_TEC!$G$233:$G$9232,$D$2,TINH_TEC!$B$233:$B$9232,"Đã chốt")-SUMIFS(TINH_TEC!$K$233:$K$9232,TINH_TEC!$H$233:$H$9232,$B52,TINH_TEC!$F$233:$F$9232,$B$2,TINH_TEC!$G$233:$G$9232,$D$2,TINH_TEC!$B$233:$B$9232,"Đã chốt"),"-"))</f>
        <v>0</v>
      </c>
      <c r="F52" s="195">
        <f t="shared" si="1"/>
        <v>0</v>
      </c>
      <c r="G52" s="195">
        <f>IF($B52="","",SUMIFS(DATA_GOC!$K:$K,DATA_GOC!$A:$A,"BOM",DATA_GOC!$D:$D,$B52,DATA_GOC!$G:$G,"DO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52" s="196">
        <v>236.0</v>
      </c>
      <c r="I52" s="197">
        <v>296.0</v>
      </c>
      <c r="J52" s="195">
        <f t="shared" si="2"/>
        <v>60</v>
      </c>
      <c r="K52" s="195">
        <f t="shared" si="3"/>
        <v>60</v>
      </c>
      <c r="L52" s="195" t="str">
        <f t="shared" si="4"/>
        <v/>
      </c>
      <c r="M52" s="196"/>
      <c r="N52" s="196" t="str">
        <f>IFERROR(VLOOKUP($B52,'_DM_BOM_BOM'!$A:$B,2,FALSE()),"")</f>
        <v/>
      </c>
      <c r="O52" s="195">
        <f>IF($B52="","",N(SUMIFS(DATA_GOC!$H:$H,DATA_GOC!$A:$A,"BOM",DATA_GOC!$D:$D,$B52,DATA_GOC!$F:$F,"Xuất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số",DATA_GOC!$B:$B,"&gt;="&amp;DATE($D$2,$B$2,1),DATA_GOC!$B:$B,"&lt;"&amp;EDATE(DATE($D$2,$B$2,1),1)))-N($L52))</f>
        <v>0</v>
      </c>
      <c r="P52" s="198" t="str">
        <f t="shared" si="5"/>
        <v/>
      </c>
      <c r="Q52" s="198">
        <f t="shared" si="6"/>
        <v>0</v>
      </c>
      <c r="R52" s="198" t="str">
        <f t="shared" si="7"/>
        <v/>
      </c>
      <c r="S52" s="195" t="str">
        <f>IF($B52="","",IFERROR($R52-(SUMIFS(DATA_GOC!$H:$H,DATA_GOC!$A:$A,"BOM",DATA_GOC!$D:$D,$B52,DATA_GOC!$F:$F,"Xuất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53" ht="19.5" customHeight="1">
      <c r="A53" s="195">
        <v>47.0</v>
      </c>
      <c r="B53" s="195" t="s">
        <v>103</v>
      </c>
      <c r="C53" s="196">
        <v>280.0</v>
      </c>
      <c r="D53" s="196">
        <v>280.0</v>
      </c>
      <c r="E53" s="195">
        <f>IF($B53="","",IFERROR(SUMIFS(DATA_GOC!$H:$H,DATA_GOC!$A:$A,"BOM",DATA_GOC!$D:$D,$B53,DATA_GOC!$G:$G,"DO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số",DATA_GOC!$B:$B,"&gt;="&amp;DATE($D$2,$B$2,1),DATA_GOC!$B:$B,"&lt;"&amp;EDATE(DATE($D$2,$B$2,1),1))+SUMIFS(TINH_TEC!$J$233:$J$9232,TINH_TEC!$H$233:$H$9232,$B53,TINH_TEC!$F$233:$F$9232,$B$2,TINH_TEC!$G$233:$G$9232,$D$2,TINH_TEC!$B$233:$B$9232,"Đã chốt")-SUMIFS(TINH_TEC!$K$233:$K$9232,TINH_TEC!$H$233:$H$9232,$B53,TINH_TEC!$F$233:$F$9232,$B$2,TINH_TEC!$G$233:$G$9232,$D$2,TINH_TEC!$B$233:$B$9232,"Đã chốt"),"-"))</f>
        <v>29.005</v>
      </c>
      <c r="F53" s="195">
        <f t="shared" si="1"/>
        <v>29.005</v>
      </c>
      <c r="G53" s="195">
        <f>IF($B53="","",SUMIFS(DATA_GOC!$K:$K,DATA_GOC!$A:$A,"BOM",DATA_GOC!$D:$D,$B53,DATA_GOC!$G:$G,"DO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53" s="197">
        <v>4267.0</v>
      </c>
      <c r="I53" s="197">
        <v>4401.0</v>
      </c>
      <c r="J53" s="195">
        <f t="shared" si="2"/>
        <v>134</v>
      </c>
      <c r="K53" s="195">
        <f t="shared" si="3"/>
        <v>134</v>
      </c>
      <c r="L53" s="195" t="str">
        <f t="shared" si="4"/>
        <v/>
      </c>
      <c r="M53" s="196"/>
      <c r="N53" s="196" t="str">
        <f>IFERROR(VLOOKUP($B53,'_DM_BOM_BOM'!$A:$B,2,FALSE()),"")</f>
        <v/>
      </c>
      <c r="O53" s="195">
        <f>IF($B53="","",N(SUMIFS(DATA_GOC!$H:$H,DATA_GOC!$A:$A,"BOM",DATA_GOC!$D:$D,$B53,DATA_GOC!$F:$F,"Xuất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số",DATA_GOC!$B:$B,"&gt;="&amp;DATE($D$2,$B$2,1),DATA_GOC!$B:$B,"&lt;"&amp;EDATE(DATE($D$2,$B$2,1),1)))-N($L53))</f>
        <v>0</v>
      </c>
      <c r="P53" s="198" t="str">
        <f t="shared" si="5"/>
        <v/>
      </c>
      <c r="Q53" s="198">
        <f t="shared" si="6"/>
        <v>0</v>
      </c>
      <c r="R53" s="198" t="str">
        <f t="shared" si="7"/>
        <v/>
      </c>
      <c r="S53" s="195">
        <f>IF($B53="","",IFERROR($R53-(SUMIFS(DATA_GOC!$H:$H,DATA_GOC!$A:$A,"BOM",DATA_GOC!$D:$D,$B53,DATA_GOC!$F:$F,"Xuất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-11.14925373</v>
      </c>
    </row>
    <row r="54" ht="19.5" customHeight="1">
      <c r="A54" s="195">
        <v>48.0</v>
      </c>
      <c r="B54" s="195" t="s">
        <v>117</v>
      </c>
      <c r="C54" s="196">
        <v>280.0</v>
      </c>
      <c r="D54" s="196">
        <v>280.0</v>
      </c>
      <c r="E54" s="195">
        <f>IF($B54="","",IFERROR(SUMIFS(DATA_GOC!$H:$H,DATA_GOC!$A:$A,"BOM",DATA_GOC!$D:$D,$B54,DATA_GOC!$G:$G,"DO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số",DATA_GOC!$B:$B,"&gt;="&amp;DATE($D$2,$B$2,1),DATA_GOC!$B:$B,"&lt;"&amp;EDATE(DATE($D$2,$B$2,1),1))+SUMIFS(TINH_TEC!$J$233:$J$9232,TINH_TEC!$H$233:$H$9232,$B54,TINH_TEC!$F$233:$F$9232,$B$2,TINH_TEC!$G$233:$G$9232,$D$2,TINH_TEC!$B$233:$B$9232,"Đã chốt")-SUMIFS(TINH_TEC!$K$233:$K$9232,TINH_TEC!$H$233:$H$9232,$B54,TINH_TEC!$F$233:$F$9232,$B$2,TINH_TEC!$G$233:$G$9232,$D$2,TINH_TEC!$B$233:$B$9232,"Đã chốt"),"-"))</f>
        <v>181.151</v>
      </c>
      <c r="F54" s="195">
        <f t="shared" si="1"/>
        <v>181.151</v>
      </c>
      <c r="G54" s="195">
        <f>IF($B54="","",SUMIFS(DATA_GOC!$K:$K,DATA_GOC!$A:$A,"BOM",DATA_GOC!$D:$D,$B54,DATA_GOC!$G:$G,"DO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13</v>
      </c>
      <c r="H54" s="197">
        <v>8312.0</v>
      </c>
      <c r="I54" s="197">
        <v>8404.0</v>
      </c>
      <c r="J54" s="195">
        <f t="shared" si="2"/>
        <v>92</v>
      </c>
      <c r="K54" s="195">
        <f t="shared" si="3"/>
        <v>79</v>
      </c>
      <c r="L54" s="195" t="str">
        <f t="shared" si="4"/>
        <v/>
      </c>
      <c r="M54" s="196"/>
      <c r="N54" s="196" t="str">
        <f>IFERROR(VLOOKUP($B54,'_DM_BOM_BOM'!$A:$B,2,FALSE()),"")</f>
        <v/>
      </c>
      <c r="O54" s="195">
        <f>IF($B54="","",N(SUMIFS(DATA_GOC!$H:$H,DATA_GOC!$A:$A,"BOM",DATA_GOC!$D:$D,$B54,DATA_GOC!$F:$F,"Xuất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số",DATA_GOC!$B:$B,"&gt;="&amp;DATE($D$2,$B$2,1),DATA_GOC!$B:$B,"&lt;"&amp;EDATE(DATE($D$2,$B$2,1),1)))-N($L54))</f>
        <v>155</v>
      </c>
      <c r="P54" s="198">
        <f t="shared" si="5"/>
        <v>11.92307692</v>
      </c>
      <c r="Q54" s="198">
        <f t="shared" si="6"/>
        <v>1.684782609</v>
      </c>
      <c r="R54" s="198">
        <f t="shared" si="7"/>
        <v>11.92307692</v>
      </c>
      <c r="S54" s="195">
        <f>IF($B54="","",IFERROR($R54-(SUMIFS(DATA_GOC!$H:$H,DATA_GOC!$A:$A,"BOM",DATA_GOC!$D:$D,$B54,DATA_GOC!$F:$F,"Xuất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-0.03344481605</v>
      </c>
    </row>
    <row r="55" ht="19.5" customHeight="1">
      <c r="A55" s="195">
        <v>49.0</v>
      </c>
      <c r="B55" s="195" t="s">
        <v>106</v>
      </c>
      <c r="C55" s="196">
        <v>250.0</v>
      </c>
      <c r="D55" s="196">
        <v>250.0</v>
      </c>
      <c r="E55" s="195">
        <f>IF($B55="","",IFERROR(SUMIFS(DATA_GOC!$H:$H,DATA_GOC!$A:$A,"BOM",DATA_GOC!$D:$D,$B55,DATA_GOC!$G:$G,"DO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số",DATA_GOC!$B:$B,"&gt;="&amp;DATE($D$2,$B$2,1),DATA_GOC!$B:$B,"&lt;"&amp;EDATE(DATE($D$2,$B$2,1),1))+SUMIFS(TINH_TEC!$J$233:$J$9232,TINH_TEC!$H$233:$H$9232,$B55,TINH_TEC!$F$233:$F$9232,$B$2,TINH_TEC!$G$233:$G$9232,$D$2,TINH_TEC!$B$233:$B$9232,"Đã chốt")-SUMIFS(TINH_TEC!$K$233:$K$9232,TINH_TEC!$H$233:$H$9232,$B55,TINH_TEC!$F$233:$F$9232,$B$2,TINH_TEC!$G$233:$G$9232,$D$2,TINH_TEC!$B$233:$B$9232,"Đã chốt"),"-"))</f>
        <v>0</v>
      </c>
      <c r="F55" s="195">
        <f t="shared" si="1"/>
        <v>0</v>
      </c>
      <c r="G55" s="195">
        <f>IF($B55="","",SUMIFS(DATA_GOC!$K:$K,DATA_GOC!$A:$A,"BOM",DATA_GOC!$D:$D,$B55,DATA_GOC!$G:$G,"DO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55" s="196"/>
      <c r="I55" s="196"/>
      <c r="J55" s="195" t="str">
        <f t="shared" si="2"/>
        <v/>
      </c>
      <c r="K55" s="195" t="str">
        <f t="shared" si="3"/>
        <v/>
      </c>
      <c r="L55" s="195" t="str">
        <f t="shared" si="4"/>
        <v/>
      </c>
      <c r="M55" s="196"/>
      <c r="N55" s="196" t="str">
        <f>IFERROR(VLOOKUP($B55,'_DM_BOM_BOM'!$A:$B,2,FALSE()),"")</f>
        <v/>
      </c>
      <c r="O55" s="195">
        <f>IF($B55="","",N(SUMIFS(DATA_GOC!$H:$H,DATA_GOC!$A:$A,"BOM",DATA_GOC!$D:$D,$B55,DATA_GOC!$F:$F,"Xuất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số",DATA_GOC!$B:$B,"&gt;="&amp;DATE($D$2,$B$2,1),DATA_GOC!$B:$B,"&lt;"&amp;EDATE(DATE($D$2,$B$2,1),1)))-N($L55))</f>
        <v>0</v>
      </c>
      <c r="P55" s="198" t="str">
        <f t="shared" si="5"/>
        <v/>
      </c>
      <c r="Q55" s="198" t="str">
        <f t="shared" si="6"/>
        <v/>
      </c>
      <c r="R55" s="198" t="str">
        <f t="shared" si="7"/>
        <v/>
      </c>
      <c r="S55" s="195" t="str">
        <f>IF($B55="","",IFERROR($R55-(SUMIFS(DATA_GOC!$H:$H,DATA_GOC!$A:$A,"BOM",DATA_GOC!$D:$D,$B55,DATA_GOC!$F:$F,"Xuất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56" ht="19.5" customHeight="1">
      <c r="A56" s="195">
        <v>50.0</v>
      </c>
      <c r="B56" s="195" t="s">
        <v>105</v>
      </c>
      <c r="C56" s="197">
        <v>375.0</v>
      </c>
      <c r="D56" s="197">
        <v>375.0</v>
      </c>
      <c r="E56" s="195">
        <f>IF($B56="","",IFERROR(SUMIFS(DATA_GOC!$H:$H,DATA_GOC!$A:$A,"BOM",DATA_GOC!$D:$D,$B56,DATA_GOC!$G:$G,"DO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số",DATA_GOC!$B:$B,"&gt;="&amp;DATE($D$2,$B$2,1),DATA_GOC!$B:$B,"&lt;"&amp;EDATE(DATE($D$2,$B$2,1),1))+SUMIFS(TINH_TEC!$J$233:$J$9232,TINH_TEC!$H$233:$H$9232,$B56,TINH_TEC!$F$233:$F$9232,$B$2,TINH_TEC!$G$233:$G$9232,$D$2,TINH_TEC!$B$233:$B$9232,"Đã chốt")-SUMIFS(TINH_TEC!$K$233:$K$9232,TINH_TEC!$H$233:$H$9232,$B56,TINH_TEC!$F$233:$F$9232,$B$2,TINH_TEC!$G$233:$G$9232,$D$2,TINH_TEC!$B$233:$B$9232,"Đã chốt"),"-"))</f>
        <v>291.11</v>
      </c>
      <c r="F56" s="195">
        <f t="shared" si="1"/>
        <v>291.11</v>
      </c>
      <c r="G56" s="195">
        <f>IF($B56="","",SUMIFS(DATA_GOC!$K:$K,DATA_GOC!$A:$A,"BOM",DATA_GOC!$D:$D,$B56,DATA_GOC!$G:$G,"DO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681</v>
      </c>
      <c r="H56" s="197">
        <v>259.0</v>
      </c>
      <c r="I56" s="197">
        <v>4834.0</v>
      </c>
      <c r="J56" s="195">
        <f t="shared" si="2"/>
        <v>4575</v>
      </c>
      <c r="K56" s="195">
        <f t="shared" si="3"/>
        <v>3894</v>
      </c>
      <c r="L56" s="195" t="str">
        <f t="shared" si="4"/>
        <v/>
      </c>
      <c r="M56" s="196"/>
      <c r="N56" s="196" t="str">
        <f>IFERROR(VLOOKUP($B56,'_DM_BOM_BOM'!$A:$B,2,FALSE()),"")</f>
        <v/>
      </c>
      <c r="O56" s="195">
        <f>IF($B56="","",N(SUMIFS(DATA_GOC!$H:$H,DATA_GOC!$A:$A,"BOM",DATA_GOC!$D:$D,$B56,DATA_GOC!$F:$F,"Xuất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số",DATA_GOC!$B:$B,"&gt;="&amp;DATE($D$2,$B$2,1),DATA_GOC!$B:$B,"&lt;"&amp;EDATE(DATE($D$2,$B$2,1),1)))-N($L56))</f>
        <v>255</v>
      </c>
      <c r="P56" s="198">
        <f t="shared" si="5"/>
        <v>0.3744493392</v>
      </c>
      <c r="Q56" s="198">
        <f t="shared" si="6"/>
        <v>0.05573770492</v>
      </c>
      <c r="R56" s="198">
        <f t="shared" si="7"/>
        <v>0.3744493392</v>
      </c>
      <c r="S56" s="195">
        <f>IF($B56="","",IFERROR($R56-(SUMIFS(DATA_GOC!$H:$H,DATA_GOC!$A:$A,"BOM",DATA_GOC!$D:$D,$B56,DATA_GOC!$F:$F,"Xuất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-0.0937473821</v>
      </c>
    </row>
    <row r="57" ht="19.5" customHeight="1">
      <c r="A57" s="195">
        <v>51.0</v>
      </c>
      <c r="B57" s="195" t="s">
        <v>166</v>
      </c>
      <c r="C57" s="197">
        <v>375.0</v>
      </c>
      <c r="D57" s="197">
        <v>375.0</v>
      </c>
      <c r="E57" s="195">
        <f>IF($B57="","",IFERROR(SUMIFS(DATA_GOC!$H:$H,DATA_GOC!$A:$A,"BOM",DATA_GOC!$D:$D,$B57,DATA_GOC!$G:$G,"DO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số",DATA_GOC!$B:$B,"&gt;="&amp;DATE($D$2,$B$2,1),DATA_GOC!$B:$B,"&lt;"&amp;EDATE(DATE($D$2,$B$2,1),1))+SUMIFS(TINH_TEC!$J$233:$J$9232,TINH_TEC!$H$233:$H$9232,$B57,TINH_TEC!$F$233:$F$9232,$B$2,TINH_TEC!$G$233:$G$9232,$D$2,TINH_TEC!$B$233:$B$9232,"Đã chốt")-SUMIFS(TINH_TEC!$K$233:$K$9232,TINH_TEC!$H$233:$H$9232,$B57,TINH_TEC!$F$233:$F$9232,$B$2,TINH_TEC!$G$233:$G$9232,$D$2,TINH_TEC!$B$233:$B$9232,"Đã chốt"),"-"))</f>
        <v>370.385</v>
      </c>
      <c r="F57" s="195">
        <f t="shared" si="1"/>
        <v>370.385</v>
      </c>
      <c r="G57" s="195">
        <f>IF($B57="","",SUMIFS(DATA_GOC!$K:$K,DATA_GOC!$A:$A,"BOM",DATA_GOC!$D:$D,$B57,DATA_GOC!$G:$G,"DO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269</v>
      </c>
      <c r="H57" s="196"/>
      <c r="I57" s="196"/>
      <c r="J57" s="195" t="str">
        <f t="shared" si="2"/>
        <v/>
      </c>
      <c r="K57" s="195" t="str">
        <f t="shared" si="3"/>
        <v/>
      </c>
      <c r="L57" s="195" t="str">
        <f t="shared" si="4"/>
        <v/>
      </c>
      <c r="M57" s="196"/>
      <c r="N57" s="196" t="str">
        <f>IFERROR(VLOOKUP($B57,'_DM_BOM_BOM'!$A:$B,2,FALSE()),"")</f>
        <v/>
      </c>
      <c r="O57" s="195">
        <f>IF($B57="","",N(SUMIFS(DATA_GOC!$H:$H,DATA_GOC!$A:$A,"BOM",DATA_GOC!$D:$D,$B57,DATA_GOC!$F:$F,"Xuất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số",DATA_GOC!$B:$B,"&gt;="&amp;DATE($D$2,$B$2,1),DATA_GOC!$B:$B,"&lt;"&amp;EDATE(DATE($D$2,$B$2,1),1)))-N($L57))</f>
        <v>350</v>
      </c>
      <c r="P57" s="198">
        <f t="shared" si="5"/>
        <v>1.301115242</v>
      </c>
      <c r="Q57" s="198" t="str">
        <f t="shared" si="6"/>
        <v/>
      </c>
      <c r="R57" s="198">
        <f t="shared" si="7"/>
        <v>1.301115242</v>
      </c>
      <c r="S57" s="195" t="str">
        <f>IF($B57="","",IFERROR($R57-(SUMIFS(DATA_GOC!$H:$H,DATA_GOC!$A:$A,"BOM",DATA_GOC!$D:$D,$B57,DATA_GOC!$F:$F,"Xuất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58" ht="19.5" customHeight="1">
      <c r="A58" s="200">
        <v>52.0</v>
      </c>
      <c r="B58" s="195" t="s">
        <v>109</v>
      </c>
      <c r="C58" s="196"/>
      <c r="D58" s="196"/>
      <c r="E58" s="195">
        <f>IF($B58="","",IFERROR(SUMIFS(DATA_GOC!$H:$H,DATA_GOC!$A:$A,"BOM",DATA_GOC!$D:$D,$B58,DATA_GOC!$G:$G,"DO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số",DATA_GOC!$B:$B,"&gt;="&amp;DATE($D$2,$B$2,1),DATA_GOC!$B:$B,"&lt;"&amp;EDATE(DATE($D$2,$B$2,1),1))+SUMIFS(TINH_TEC!$J$233:$J$9232,TINH_TEC!$H$233:$H$9232,$B58,TINH_TEC!$F$233:$F$9232,$B$2,TINH_TEC!$G$233:$G$9232,$D$2,TINH_TEC!$B$233:$B$9232,"Đã chốt")-SUMIFS(TINH_TEC!$K$233:$K$9232,TINH_TEC!$H$233:$H$9232,$B58,TINH_TEC!$F$233:$F$9232,$B$2,TINH_TEC!$G$233:$G$9232,$D$2,TINH_TEC!$B$233:$B$9232,"Đã chốt"),"-"))</f>
        <v>0</v>
      </c>
      <c r="F58" s="195">
        <f t="shared" si="1"/>
        <v>0</v>
      </c>
      <c r="G58" s="195">
        <f>IF($B58="","",SUMIFS(DATA_GOC!$K:$K,DATA_GOC!$A:$A,"BOM",DATA_GOC!$D:$D,$B58,DATA_GOC!$G:$G,"DO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58" s="196"/>
      <c r="I58" s="196"/>
      <c r="J58" s="195" t="str">
        <f t="shared" si="2"/>
        <v/>
      </c>
      <c r="K58" s="195" t="str">
        <f t="shared" si="3"/>
        <v/>
      </c>
      <c r="L58" s="195" t="str">
        <f t="shared" si="4"/>
        <v/>
      </c>
      <c r="M58" s="196"/>
      <c r="N58" s="196"/>
      <c r="O58" s="195">
        <f>IF($B58="","",N(SUMIFS(DATA_GOC!$H:$H,DATA_GOC!$A:$A,"BOM",DATA_GOC!$D:$D,$B58,DATA_GOC!$F:$F,"Xuất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số",DATA_GOC!$B:$B,"&gt;="&amp;DATE($D$2,$B$2,1),DATA_GOC!$B:$B,"&lt;"&amp;EDATE(DATE($D$2,$B$2,1),1)))-N($L58))</f>
        <v>0</v>
      </c>
      <c r="P58" s="198" t="str">
        <f t="shared" si="5"/>
        <v/>
      </c>
      <c r="Q58" s="198" t="str">
        <f t="shared" si="6"/>
        <v/>
      </c>
      <c r="R58" s="198" t="str">
        <f t="shared" si="7"/>
        <v/>
      </c>
      <c r="S58" s="195"/>
    </row>
    <row r="59" ht="21.75" customHeight="1">
      <c r="A59" s="201"/>
      <c r="B59" s="201" t="s">
        <v>340</v>
      </c>
      <c r="C59" s="201">
        <f t="shared" ref="C59:G59" si="8">SUM(C7:C58)</f>
        <v>18316</v>
      </c>
      <c r="D59" s="201">
        <f t="shared" si="8"/>
        <v>18316</v>
      </c>
      <c r="E59" s="201">
        <f t="shared" si="8"/>
        <v>7746.171</v>
      </c>
      <c r="F59" s="201">
        <f t="shared" si="8"/>
        <v>7746.171</v>
      </c>
      <c r="G59" s="201">
        <f t="shared" si="8"/>
        <v>14254</v>
      </c>
      <c r="H59" s="201"/>
      <c r="I59" s="201"/>
      <c r="J59" s="201">
        <f>SUM(J7:J58)</f>
        <v>137315</v>
      </c>
      <c r="K59" s="201">
        <f>IFERROR(J59-G59,"")</f>
        <v>123061</v>
      </c>
      <c r="L59" s="201">
        <f t="shared" ref="L59:M59" si="9">SUM(L7:L58)</f>
        <v>2117</v>
      </c>
      <c r="M59" s="201">
        <f t="shared" si="9"/>
        <v>277</v>
      </c>
      <c r="N59" s="201"/>
      <c r="O59" s="201">
        <f>SUM(O7:O58)</f>
        <v>3322</v>
      </c>
      <c r="P59" s="202">
        <f>IFERROR(O59/G59,"")</f>
        <v>0.2330573874</v>
      </c>
      <c r="Q59" s="202">
        <f>IFERROR(O59/J59,"")</f>
        <v>0.02419254998</v>
      </c>
      <c r="R59" s="194">
        <f>IFERROR($O59/$G59,"")</f>
        <v>0.2330573874</v>
      </c>
      <c r="S59" s="192">
        <f>IFERROR(AVERAGE(S7:S58),"")</f>
        <v>-0.5213307283</v>
      </c>
      <c r="T59" s="201"/>
    </row>
    <row r="60" ht="15.75" customHeight="1">
      <c r="A60" s="203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179"/>
      <c r="Q60" s="179"/>
      <c r="R60" s="179"/>
    </row>
    <row r="61" ht="21.75" customHeight="1">
      <c r="A61" s="180" t="s">
        <v>341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2"/>
    </row>
    <row r="62" ht="24.0" customHeight="1">
      <c r="A62" s="183" t="s">
        <v>307</v>
      </c>
      <c r="B62" s="183" t="s">
        <v>308</v>
      </c>
      <c r="C62" s="184" t="s">
        <v>309</v>
      </c>
      <c r="D62" s="185"/>
      <c r="E62" s="184" t="s">
        <v>310</v>
      </c>
      <c r="F62" s="185"/>
      <c r="G62" s="184" t="s">
        <v>311</v>
      </c>
      <c r="H62" s="186"/>
      <c r="I62" s="186"/>
      <c r="J62" s="185"/>
      <c r="K62" s="187" t="s">
        <v>312</v>
      </c>
      <c r="L62" s="184" t="s">
        <v>313</v>
      </c>
      <c r="M62" s="186"/>
      <c r="N62" s="186"/>
      <c r="O62" s="185"/>
      <c r="P62" s="184" t="s">
        <v>314</v>
      </c>
      <c r="Q62" s="185"/>
      <c r="R62" s="188" t="s">
        <v>315</v>
      </c>
      <c r="S62" s="205"/>
      <c r="T62" s="192" t="s">
        <v>45</v>
      </c>
    </row>
    <row r="63" ht="42.0" customHeight="1">
      <c r="A63" s="190"/>
      <c r="B63" s="190"/>
      <c r="C63" s="206" t="s">
        <v>316</v>
      </c>
      <c r="D63" s="206" t="s">
        <v>317</v>
      </c>
      <c r="E63" s="206" t="s">
        <v>318</v>
      </c>
      <c r="F63" s="206" t="s">
        <v>319</v>
      </c>
      <c r="G63" s="207" t="s">
        <v>320</v>
      </c>
      <c r="H63" s="208" t="s">
        <v>321</v>
      </c>
      <c r="I63" s="206" t="s">
        <v>322</v>
      </c>
      <c r="J63" s="206" t="s">
        <v>323</v>
      </c>
      <c r="K63" s="206" t="s">
        <v>324</v>
      </c>
      <c r="L63" s="206" t="s">
        <v>325</v>
      </c>
      <c r="M63" s="206" t="s">
        <v>326</v>
      </c>
      <c r="N63" s="206" t="s">
        <v>327</v>
      </c>
      <c r="O63" s="206" t="s">
        <v>328</v>
      </c>
      <c r="P63" s="209" t="s">
        <v>329</v>
      </c>
      <c r="Q63" s="209" t="s">
        <v>330</v>
      </c>
      <c r="R63" s="194" t="s">
        <v>331</v>
      </c>
      <c r="S63" s="192" t="s">
        <v>332</v>
      </c>
      <c r="T63" s="192"/>
    </row>
    <row r="64" ht="19.5" customHeight="1">
      <c r="A64" s="210">
        <v>1.0</v>
      </c>
      <c r="B64" s="195" t="s">
        <v>146</v>
      </c>
      <c r="C64" s="211"/>
      <c r="D64" s="211"/>
      <c r="E64" s="212">
        <f t="shared" ref="E64:E71" si="10">N(L64)+N(O64)</f>
        <v>0</v>
      </c>
      <c r="F64" s="195">
        <f t="shared" ref="F64:F71" si="11">IF($B64="","",N($C64)+N($E64)-N($D64))</f>
        <v>0</v>
      </c>
      <c r="G64" s="195">
        <f>IF($B64="","",SUMIFS(DATA_GOC!$K:$K,DATA_GOC!$A:$A,"BOM",DATA_GOC!$D:$D,$B64,DATA_GOC!$G:$G,"DO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64" s="196"/>
      <c r="I64" s="197"/>
      <c r="J64" s="195" t="str">
        <f t="shared" ref="J64:J71" si="12">IF(OR($H64="",$I64=""),"",N($I64)-N($H64))</f>
        <v/>
      </c>
      <c r="K64" s="195" t="str">
        <f t="shared" ref="K64:K71" si="13">IF(OR($G64="",$J64=""),"",N($J64)-N($G64))</f>
        <v/>
      </c>
      <c r="L64" s="195" t="str">
        <f t="shared" ref="L64:L71" si="14">IF($B64="","",IF(OR($M64="",$N64=""),"",N($M64)*N($N64)))</f>
        <v/>
      </c>
      <c r="M64" s="196">
        <v>0.0</v>
      </c>
      <c r="N64" s="195" t="str">
        <f>IFERROR(VLOOKUP($B64,'_DM_BOM_BOM'!$A:$B,2,FALSE()),"")</f>
        <v/>
      </c>
      <c r="O64" s="195">
        <f>IF($B64="","",N(SUMIFS(DATA_GOC!$H:$H,DATA_GOC!$A:$A,"BOM",DATA_GOC!$D:$D,$B64,DATA_GOC!$F:$F,"Xuất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số",DATA_GOC!$B:$B,"&gt;="&amp;DATE($D$2,$B$2,1),DATA_GOC!$B:$B,"&lt;"&amp;EDATE(DATE($D$2,$B$2,1),1)))-N($L64))</f>
        <v>0</v>
      </c>
      <c r="P64" s="198" t="str">
        <f t="shared" ref="P64:P71" si="15">IFERROR($O64/$G64,"")</f>
        <v/>
      </c>
      <c r="Q64" s="198" t="str">
        <f t="shared" ref="Q64:Q71" si="16">IFERROR($O64/$J64,"")</f>
        <v/>
      </c>
      <c r="R64" s="198" t="str">
        <f t="shared" ref="R64:R71" si="17">IF($B64="", "", IFERROR($O64/$G64,""))</f>
        <v/>
      </c>
      <c r="S64" s="195" t="str">
        <f>IF($B64="","",IFERROR($R64-(SUMIFS(DATA_GOC!$H:$H,DATA_GOC!$A:$A,"BOM",DATA_GOC!$D:$D,$B64,DATA_GOC!$F:$F,"Xuất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T64" s="213"/>
    </row>
    <row r="65" ht="19.5" customHeight="1">
      <c r="A65" s="210">
        <v>2.0</v>
      </c>
      <c r="B65" s="195" t="s">
        <v>167</v>
      </c>
      <c r="C65" s="211"/>
      <c r="D65" s="211"/>
      <c r="E65" s="212">
        <f t="shared" si="10"/>
        <v>40</v>
      </c>
      <c r="F65" s="195">
        <f t="shared" si="11"/>
        <v>40</v>
      </c>
      <c r="G65" s="195">
        <f>IF($B65="","",SUMIFS(DATA_GOC!$K:$K,DATA_GOC!$A:$A,"BOM",DATA_GOC!$D:$D,$B65,DATA_GOC!$G:$G,"DO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65" s="196"/>
      <c r="I65" s="197"/>
      <c r="J65" s="195" t="str">
        <f t="shared" si="12"/>
        <v/>
      </c>
      <c r="K65" s="195" t="str">
        <f t="shared" si="13"/>
        <v/>
      </c>
      <c r="L65" s="195" t="str">
        <f t="shared" si="14"/>
        <v/>
      </c>
      <c r="M65" s="196">
        <v>0.0</v>
      </c>
      <c r="N65" s="195" t="str">
        <f>IFERROR(VLOOKUP($B65,'_DM_BOM_BOM'!$A:$B,2,FALSE()),"")</f>
        <v/>
      </c>
      <c r="O65" s="195">
        <f>IF($B65="","",N(SUMIFS(DATA_GOC!$H:$H,DATA_GOC!$A:$A,"BOM",DATA_GOC!$D:$D,$B65,DATA_GOC!$F:$F,"Xuất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số",DATA_GOC!$B:$B,"&gt;="&amp;DATE($D$2,$B$2,1),DATA_GOC!$B:$B,"&lt;"&amp;EDATE(DATE($D$2,$B$2,1),1)))-N($L65))</f>
        <v>40</v>
      </c>
      <c r="P65" s="198" t="str">
        <f t="shared" si="15"/>
        <v/>
      </c>
      <c r="Q65" s="198" t="str">
        <f t="shared" si="16"/>
        <v/>
      </c>
      <c r="R65" s="198" t="str">
        <f t="shared" si="17"/>
        <v/>
      </c>
      <c r="S65" s="195" t="str">
        <f>IF($B65="","",IFERROR($R65-(SUMIFS(DATA_GOC!$H:$H,DATA_GOC!$A:$A,"BOM",DATA_GOC!$D:$D,$B65,DATA_GOC!$F:$F,"Xuất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T65" s="213"/>
    </row>
    <row r="66" ht="19.5" customHeight="1">
      <c r="A66" s="210">
        <v>3.0</v>
      </c>
      <c r="B66" s="195" t="s">
        <v>104</v>
      </c>
      <c r="C66" s="196">
        <v>375.0</v>
      </c>
      <c r="D66" s="196">
        <v>375.0</v>
      </c>
      <c r="E66" s="212">
        <f t="shared" si="10"/>
        <v>0</v>
      </c>
      <c r="F66" s="195">
        <f t="shared" si="11"/>
        <v>0</v>
      </c>
      <c r="G66" s="195">
        <f>IF($B66="","",SUMIFS(DATA_GOC!$K:$K,DATA_GOC!$A:$A,"BOM",DATA_GOC!$D:$D,$B66,DATA_GOC!$G:$G,"DO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66" s="196">
        <v>4691.0</v>
      </c>
      <c r="I66" s="197">
        <v>6683.0</v>
      </c>
      <c r="J66" s="195">
        <f t="shared" si="12"/>
        <v>1992</v>
      </c>
      <c r="K66" s="195">
        <f t="shared" si="13"/>
        <v>1992</v>
      </c>
      <c r="L66" s="195" t="str">
        <f t="shared" si="14"/>
        <v/>
      </c>
      <c r="M66" s="196">
        <v>0.0</v>
      </c>
      <c r="N66" s="195" t="str">
        <f>IFERROR(VLOOKUP($B66,'_DM_BOM_BOM'!$A:$B,2,FALSE()),"")</f>
        <v/>
      </c>
      <c r="O66" s="195">
        <f>IF($B66="","",N(SUMIFS(DATA_GOC!$H:$H,DATA_GOC!$A:$A,"BOM",DATA_GOC!$D:$D,$B66,DATA_GOC!$F:$F,"Xuất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số",DATA_GOC!$B:$B,"&gt;="&amp;DATE($D$2,$B$2,1),DATA_GOC!$B:$B,"&lt;"&amp;EDATE(DATE($D$2,$B$2,1),1)))-N($L66))</f>
        <v>0</v>
      </c>
      <c r="P66" s="198" t="str">
        <f t="shared" si="15"/>
        <v/>
      </c>
      <c r="Q66" s="198">
        <f t="shared" si="16"/>
        <v>0</v>
      </c>
      <c r="R66" s="198" t="str">
        <f t="shared" si="17"/>
        <v/>
      </c>
      <c r="S66" s="195">
        <f>IF($B66="","",IFERROR($R66-(SUMIFS(DATA_GOC!$H:$H,DATA_GOC!$A:$A,"BOM",DATA_GOC!$D:$D,$B66,DATA_GOC!$F:$F,"Xuất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-0.5075301205</v>
      </c>
      <c r="T66" s="199"/>
    </row>
    <row r="67" ht="19.5" customHeight="1">
      <c r="A67" s="210">
        <v>4.0</v>
      </c>
      <c r="B67" s="195" t="s">
        <v>122</v>
      </c>
      <c r="C67" s="196">
        <v>375.0</v>
      </c>
      <c r="D67" s="196">
        <v>375.0</v>
      </c>
      <c r="E67" s="212">
        <f t="shared" si="10"/>
        <v>0</v>
      </c>
      <c r="F67" s="195">
        <f t="shared" si="11"/>
        <v>0</v>
      </c>
      <c r="G67" s="195">
        <f>IF($B67="","",SUMIFS(DATA_GOC!$K:$K,DATA_GOC!$A:$A,"BOM",DATA_GOC!$D:$D,$B67,DATA_GOC!$G:$G,"DO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67" s="196">
        <v>5794.0</v>
      </c>
      <c r="I67" s="197">
        <v>8237.0</v>
      </c>
      <c r="J67" s="195">
        <f t="shared" si="12"/>
        <v>2443</v>
      </c>
      <c r="K67" s="195">
        <f t="shared" si="13"/>
        <v>2443</v>
      </c>
      <c r="L67" s="195" t="str">
        <f t="shared" si="14"/>
        <v/>
      </c>
      <c r="M67" s="196">
        <v>0.0</v>
      </c>
      <c r="N67" s="195" t="str">
        <f>IFERROR(VLOOKUP($B67,'_DM_BOM_BOM'!$A:$B,2,FALSE()),"")</f>
        <v/>
      </c>
      <c r="O67" s="195">
        <f>IF($B67="","",N(SUMIFS(DATA_GOC!$H:$H,DATA_GOC!$A:$A,"BOM",DATA_GOC!$D:$D,$B67,DATA_GOC!$F:$F,"Xuất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số",DATA_GOC!$B:$B,"&gt;="&amp;DATE($D$2,$B$2,1),DATA_GOC!$B:$B,"&lt;"&amp;EDATE(DATE($D$2,$B$2,1),1)))-N($L67))</f>
        <v>0</v>
      </c>
      <c r="P67" s="198" t="str">
        <f t="shared" si="15"/>
        <v/>
      </c>
      <c r="Q67" s="198">
        <f t="shared" si="16"/>
        <v>0</v>
      </c>
      <c r="R67" s="198" t="str">
        <f t="shared" si="17"/>
        <v/>
      </c>
      <c r="S67" s="195">
        <f>IF($B67="","",IFERROR($R67-(SUMIFS(DATA_GOC!$H:$H,DATA_GOC!$A:$A,"BOM",DATA_GOC!$D:$D,$B67,DATA_GOC!$F:$F,"Xuất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-0.4793286942</v>
      </c>
      <c r="T67" s="199"/>
    </row>
    <row r="68" ht="19.5" customHeight="1">
      <c r="A68" s="210">
        <v>5.0</v>
      </c>
      <c r="B68" s="195" t="s">
        <v>148</v>
      </c>
      <c r="C68" s="196">
        <v>375.0</v>
      </c>
      <c r="D68" s="196">
        <v>375.0</v>
      </c>
      <c r="E68" s="212">
        <f t="shared" si="10"/>
        <v>0</v>
      </c>
      <c r="F68" s="195">
        <f t="shared" si="11"/>
        <v>0</v>
      </c>
      <c r="G68" s="195">
        <f>IF($B68="","",SUMIFS(DATA_GOC!$K:$K,DATA_GOC!$A:$A,"BOM",DATA_GOC!$D:$D,$B68,DATA_GOC!$G:$G,"DO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68" s="196">
        <v>4163.0</v>
      </c>
      <c r="I68" s="197">
        <v>6233.0</v>
      </c>
      <c r="J68" s="195">
        <f t="shared" si="12"/>
        <v>2070</v>
      </c>
      <c r="K68" s="195">
        <f t="shared" si="13"/>
        <v>2070</v>
      </c>
      <c r="L68" s="195" t="str">
        <f t="shared" si="14"/>
        <v/>
      </c>
      <c r="M68" s="196">
        <v>0.0</v>
      </c>
      <c r="N68" s="195" t="str">
        <f>IFERROR(VLOOKUP($B68,'_DM_BOM_BOM'!$A:$B,2,FALSE()),"")</f>
        <v/>
      </c>
      <c r="O68" s="195">
        <f>IF($B68="","",N(SUMIFS(DATA_GOC!$H:$H,DATA_GOC!$A:$A,"BOM",DATA_GOC!$D:$D,$B68,DATA_GOC!$F:$F,"Xuất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số",DATA_GOC!$B:$B,"&gt;="&amp;DATE($D$2,$B$2,1),DATA_GOC!$B:$B,"&lt;"&amp;EDATE(DATE($D$2,$B$2,1),1)))-N($L68))</f>
        <v>0</v>
      </c>
      <c r="P68" s="198" t="str">
        <f t="shared" si="15"/>
        <v/>
      </c>
      <c r="Q68" s="198">
        <f t="shared" si="16"/>
        <v>0</v>
      </c>
      <c r="R68" s="198" t="str">
        <f t="shared" si="17"/>
        <v/>
      </c>
      <c r="S68" s="195">
        <f>IF($B68="","",IFERROR($R68-(SUMIFS(DATA_GOC!$H:$H,DATA_GOC!$A:$A,"BOM",DATA_GOC!$D:$D,$B68,DATA_GOC!$F:$F,"Xuất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-0.4975845411</v>
      </c>
      <c r="T68" s="199"/>
    </row>
    <row r="69" ht="19.5" customHeight="1">
      <c r="A69" s="210">
        <v>6.0</v>
      </c>
      <c r="B69" s="195" t="s">
        <v>132</v>
      </c>
      <c r="C69" s="196">
        <v>375.0</v>
      </c>
      <c r="D69" s="196">
        <v>375.0</v>
      </c>
      <c r="E69" s="212">
        <f t="shared" si="10"/>
        <v>0</v>
      </c>
      <c r="F69" s="195">
        <f t="shared" si="11"/>
        <v>0</v>
      </c>
      <c r="G69" s="195">
        <f>IF($B69="","",SUMIFS(DATA_GOC!$K:$K,DATA_GOC!$A:$A,"BOM",DATA_GOC!$D:$D,$B69,DATA_GOC!$G:$G,"DO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69" s="196">
        <v>5038.0</v>
      </c>
      <c r="I69" s="197">
        <v>6810.0</v>
      </c>
      <c r="J69" s="195">
        <f t="shared" si="12"/>
        <v>1772</v>
      </c>
      <c r="K69" s="195">
        <f t="shared" si="13"/>
        <v>1772</v>
      </c>
      <c r="L69" s="195" t="str">
        <f t="shared" si="14"/>
        <v/>
      </c>
      <c r="M69" s="196">
        <v>0.0</v>
      </c>
      <c r="N69" s="195" t="str">
        <f>IFERROR(VLOOKUP($B69,'_DM_BOM_BOM'!$A:$B,2,FALSE()),"")</f>
        <v/>
      </c>
      <c r="O69" s="195">
        <f>IF($B69="","",N(SUMIFS(DATA_GOC!$H:$H,DATA_GOC!$A:$A,"BOM",DATA_GOC!$D:$D,$B69,DATA_GOC!$F:$F,"Xuất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số",DATA_GOC!$B:$B,"&gt;="&amp;DATE($D$2,$B$2,1),DATA_GOC!$B:$B,"&lt;"&amp;EDATE(DATE($D$2,$B$2,1),1)))-N($L69))</f>
        <v>0</v>
      </c>
      <c r="P69" s="198" t="str">
        <f t="shared" si="15"/>
        <v/>
      </c>
      <c r="Q69" s="198">
        <f t="shared" si="16"/>
        <v>0</v>
      </c>
      <c r="R69" s="198" t="str">
        <f t="shared" si="17"/>
        <v/>
      </c>
      <c r="S69" s="195">
        <f>IF($B69="","",IFERROR($R69-(SUMIFS(DATA_GOC!$H:$H,DATA_GOC!$A:$A,"BOM",DATA_GOC!$D:$D,$B69,DATA_GOC!$F:$F,"Xuất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-0.5180586907</v>
      </c>
      <c r="T69" s="199"/>
    </row>
    <row r="70" ht="19.5" customHeight="1">
      <c r="A70" s="210">
        <v>7.0</v>
      </c>
      <c r="B70" s="195" t="s">
        <v>129</v>
      </c>
      <c r="C70" s="196">
        <v>375.0</v>
      </c>
      <c r="D70" s="196">
        <v>375.0</v>
      </c>
      <c r="E70" s="212">
        <f t="shared" si="10"/>
        <v>0</v>
      </c>
      <c r="F70" s="195">
        <f t="shared" si="11"/>
        <v>0</v>
      </c>
      <c r="G70" s="195">
        <f>IF($B70="","",SUMIFS(DATA_GOC!$K:$K,DATA_GOC!$A:$A,"BOM",DATA_GOC!$D:$D,$B70,DATA_GOC!$G:$G,"DO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70" s="197">
        <v>6104.0</v>
      </c>
      <c r="I70" s="197">
        <v>8140.0</v>
      </c>
      <c r="J70" s="195">
        <f t="shared" si="12"/>
        <v>2036</v>
      </c>
      <c r="K70" s="195">
        <f t="shared" si="13"/>
        <v>2036</v>
      </c>
      <c r="L70" s="195" t="str">
        <f t="shared" si="14"/>
        <v/>
      </c>
      <c r="M70" s="196">
        <v>0.0</v>
      </c>
      <c r="N70" s="195" t="str">
        <f>IFERROR(VLOOKUP($B70,'_DM_BOM_BOM'!$A:$B,2,FALSE()),"")</f>
        <v/>
      </c>
      <c r="O70" s="195">
        <f>IF($B70="","",N(SUMIFS(DATA_GOC!$H:$H,DATA_GOC!$A:$A,"BOM",DATA_GOC!$D:$D,$B70,DATA_GOC!$F:$F,"Xuất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số",DATA_GOC!$B:$B,"&gt;="&amp;DATE($D$2,$B$2,1),DATA_GOC!$B:$B,"&lt;"&amp;EDATE(DATE($D$2,$B$2,1),1)))-N($L70))</f>
        <v>0</v>
      </c>
      <c r="P70" s="198" t="str">
        <f t="shared" si="15"/>
        <v/>
      </c>
      <c r="Q70" s="198">
        <f t="shared" si="16"/>
        <v>0</v>
      </c>
      <c r="R70" s="198" t="str">
        <f t="shared" si="17"/>
        <v/>
      </c>
      <c r="S70" s="195">
        <f>IF($B70="","",IFERROR($R70-(SUMIFS(DATA_GOC!$H:$H,DATA_GOC!$A:$A,"BOM",DATA_GOC!$D:$D,$B70,DATA_GOC!$F:$F,"Xuất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-0.4646365422</v>
      </c>
      <c r="T70" s="199"/>
    </row>
    <row r="71" ht="19.5" customHeight="1">
      <c r="A71" s="210">
        <v>8.0</v>
      </c>
      <c r="B71" s="195" t="s">
        <v>121</v>
      </c>
      <c r="C71" s="196">
        <v>375.0</v>
      </c>
      <c r="D71" s="196">
        <v>375.0</v>
      </c>
      <c r="E71" s="212">
        <f t="shared" si="10"/>
        <v>0</v>
      </c>
      <c r="F71" s="195">
        <f t="shared" si="11"/>
        <v>0</v>
      </c>
      <c r="G71" s="195">
        <f>IF($B71="","",SUMIFS(DATA_GOC!$K:$K,DATA_GOC!$A:$A,"BOM",DATA_GOC!$D:$D,$B71,DATA_GOC!$G:$G,"DO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H71" s="197">
        <v>3259.0</v>
      </c>
      <c r="I71" s="197">
        <v>4869.0</v>
      </c>
      <c r="J71" s="195">
        <f t="shared" si="12"/>
        <v>1610</v>
      </c>
      <c r="K71" s="195">
        <f t="shared" si="13"/>
        <v>1610</v>
      </c>
      <c r="L71" s="195" t="str">
        <f t="shared" si="14"/>
        <v/>
      </c>
      <c r="M71" s="196">
        <v>0.0</v>
      </c>
      <c r="N71" s="195" t="str">
        <f>IFERROR(VLOOKUP($B71,'_DM_BOM_BOM'!$A:$B,2,FALSE()),"")</f>
        <v/>
      </c>
      <c r="O71" s="195">
        <f>IF($B71="","",N(SUMIFS(DATA_GOC!$H:$H,DATA_GOC!$A:$A,"BOM",DATA_GOC!$D:$D,$B71,DATA_GOC!$F:$F,"Xuất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số",DATA_GOC!$B:$B,"&gt;="&amp;DATE($D$2,$B$2,1),DATA_GOC!$B:$B,"&lt;"&amp;EDATE(DATE($D$2,$B$2,1),1)))-N($L71))</f>
        <v>0</v>
      </c>
      <c r="P71" s="198" t="str">
        <f t="shared" si="15"/>
        <v/>
      </c>
      <c r="Q71" s="198">
        <f t="shared" si="16"/>
        <v>0</v>
      </c>
      <c r="R71" s="198" t="str">
        <f t="shared" si="17"/>
        <v/>
      </c>
      <c r="S71" s="195">
        <f>IF($B71="","",IFERROR($R71-(SUMIFS(DATA_GOC!$H:$H,DATA_GOC!$A:$A,"BOM",DATA_GOC!$D:$D,$B71,DATA_GOC!$F:$F,"Xuất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-0.5732919255</v>
      </c>
      <c r="T71" s="199"/>
    </row>
    <row r="72" ht="21.75" customHeight="1">
      <c r="A72" s="201"/>
      <c r="B72" s="201" t="s">
        <v>340</v>
      </c>
      <c r="C72" s="201">
        <f t="shared" ref="C72:G72" si="18">SUM(C66:C71)</f>
        <v>2250</v>
      </c>
      <c r="D72" s="201">
        <f t="shared" si="18"/>
        <v>2250</v>
      </c>
      <c r="E72" s="201">
        <f t="shared" si="18"/>
        <v>0</v>
      </c>
      <c r="F72" s="201">
        <f t="shared" si="18"/>
        <v>0</v>
      </c>
      <c r="G72" s="201">
        <f t="shared" si="18"/>
        <v>0</v>
      </c>
      <c r="H72" s="201"/>
      <c r="I72" s="201"/>
      <c r="J72" s="201">
        <f>SUM(J66:J71)</f>
        <v>11923</v>
      </c>
      <c r="K72" s="201">
        <f>IFERROR(J72-G72,"")</f>
        <v>11923</v>
      </c>
      <c r="L72" s="201">
        <f t="shared" ref="L72:M72" si="19">SUM(L66:L71)</f>
        <v>0</v>
      </c>
      <c r="M72" s="201">
        <f t="shared" si="19"/>
        <v>0</v>
      </c>
      <c r="N72" s="201"/>
      <c r="O72" s="201">
        <f>SUM(O66:O71)</f>
        <v>0</v>
      </c>
      <c r="P72" s="202" t="str">
        <f>IFERROR(O72/G72,"")</f>
        <v/>
      </c>
      <c r="Q72" s="202">
        <f>IFERROR(O72/J72,"")</f>
        <v>0</v>
      </c>
      <c r="R72" s="194" t="str">
        <f>IFERROR($O72/$G72,"")</f>
        <v/>
      </c>
      <c r="S72" s="192">
        <f>IFERROR(AVERAGE(S66:S71),"")</f>
        <v>-0.506738419</v>
      </c>
      <c r="T72" s="201"/>
    </row>
    <row r="73" ht="15.75" customHeight="1">
      <c r="A73" s="203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179"/>
      <c r="Q73" s="179"/>
      <c r="R73" s="179"/>
    </row>
    <row r="74" ht="15.75" customHeight="1">
      <c r="A74" s="203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179"/>
      <c r="Q74" s="179"/>
      <c r="R74" s="179"/>
    </row>
    <row r="75" ht="34.5" customHeight="1">
      <c r="A75" s="214" t="s">
        <v>342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3"/>
    </row>
    <row r="76" ht="15.75" customHeight="1">
      <c r="P76" s="179"/>
      <c r="Q76" s="179"/>
      <c r="R76" s="179"/>
    </row>
    <row r="77" ht="15.75" customHeight="1">
      <c r="P77" s="179"/>
      <c r="Q77" s="179"/>
      <c r="R77" s="179"/>
    </row>
    <row r="78" ht="15.75" customHeight="1">
      <c r="P78" s="179"/>
      <c r="Q78" s="179"/>
      <c r="R78" s="179"/>
    </row>
    <row r="79" ht="15.75" customHeight="1">
      <c r="P79" s="179"/>
      <c r="Q79" s="179"/>
      <c r="R79" s="179"/>
    </row>
    <row r="80" ht="15.75" customHeight="1">
      <c r="P80" s="179"/>
      <c r="Q80" s="179"/>
      <c r="R80" s="179"/>
    </row>
    <row r="81" ht="15.75" customHeight="1">
      <c r="P81" s="179"/>
      <c r="Q81" s="179"/>
      <c r="R81" s="179"/>
    </row>
    <row r="82" ht="15.75" customHeight="1">
      <c r="P82" s="179"/>
      <c r="Q82" s="179"/>
      <c r="R82" s="179"/>
    </row>
    <row r="83" ht="15.75" customHeight="1">
      <c r="P83" s="179"/>
      <c r="Q83" s="179"/>
      <c r="R83" s="179"/>
    </row>
    <row r="84" ht="15.75" customHeight="1">
      <c r="P84" s="179"/>
      <c r="Q84" s="179"/>
      <c r="R84" s="179"/>
    </row>
    <row r="85" ht="15.75" customHeight="1">
      <c r="P85" s="179"/>
      <c r="Q85" s="179"/>
      <c r="R85" s="179"/>
    </row>
    <row r="86" ht="15.75" customHeight="1">
      <c r="P86" s="179"/>
      <c r="Q86" s="179"/>
      <c r="R86" s="179"/>
    </row>
    <row r="87" ht="15.75" customHeight="1">
      <c r="P87" s="179"/>
      <c r="Q87" s="179"/>
      <c r="R87" s="179"/>
    </row>
    <row r="88" ht="15.75" customHeight="1">
      <c r="P88" s="179"/>
      <c r="Q88" s="179"/>
      <c r="R88" s="179"/>
    </row>
    <row r="89" ht="15.75" customHeight="1">
      <c r="P89" s="179"/>
      <c r="Q89" s="179"/>
      <c r="R89" s="179"/>
    </row>
    <row r="90" ht="15.75" customHeight="1">
      <c r="P90" s="179"/>
      <c r="Q90" s="179"/>
      <c r="R90" s="179"/>
    </row>
    <row r="91" ht="15.75" customHeight="1">
      <c r="P91" s="179"/>
      <c r="Q91" s="179"/>
      <c r="R91" s="179"/>
    </row>
    <row r="92" ht="15.75" customHeight="1">
      <c r="P92" s="179"/>
      <c r="Q92" s="179"/>
      <c r="R92" s="179"/>
    </row>
    <row r="93" ht="15.75" customHeight="1">
      <c r="P93" s="179"/>
      <c r="Q93" s="179"/>
      <c r="R93" s="179"/>
    </row>
    <row r="94" ht="15.75" customHeight="1">
      <c r="P94" s="179"/>
      <c r="Q94" s="179"/>
      <c r="R94" s="179"/>
    </row>
    <row r="95" ht="15.75" customHeight="1">
      <c r="P95" s="179"/>
      <c r="Q95" s="179"/>
      <c r="R95" s="179"/>
    </row>
    <row r="96" ht="15.75" customHeight="1">
      <c r="P96" s="179"/>
      <c r="Q96" s="179"/>
      <c r="R96" s="179"/>
    </row>
    <row r="97" ht="15.75" customHeight="1">
      <c r="P97" s="179"/>
      <c r="Q97" s="179"/>
      <c r="R97" s="179"/>
    </row>
    <row r="98" ht="15.75" customHeight="1">
      <c r="P98" s="179"/>
      <c r="Q98" s="179"/>
      <c r="R98" s="179"/>
    </row>
    <row r="99" ht="15.75" customHeight="1">
      <c r="P99" s="179"/>
      <c r="Q99" s="179"/>
      <c r="R99" s="179"/>
    </row>
    <row r="100" ht="15.75" customHeight="1">
      <c r="P100" s="179"/>
      <c r="Q100" s="179"/>
      <c r="R100" s="179"/>
    </row>
    <row r="101" ht="15.75" customHeight="1">
      <c r="P101" s="179"/>
      <c r="Q101" s="179"/>
      <c r="R101" s="179"/>
    </row>
    <row r="102" ht="15.75" customHeight="1">
      <c r="P102" s="179"/>
      <c r="Q102" s="179"/>
      <c r="R102" s="179"/>
    </row>
    <row r="103" ht="15.75" customHeight="1">
      <c r="P103" s="179"/>
      <c r="Q103" s="179"/>
      <c r="R103" s="179"/>
    </row>
    <row r="104" ht="15.75" customHeight="1">
      <c r="P104" s="179"/>
      <c r="Q104" s="179"/>
      <c r="R104" s="179"/>
    </row>
    <row r="105" ht="15.75" customHeight="1">
      <c r="P105" s="179"/>
      <c r="Q105" s="179"/>
      <c r="R105" s="179"/>
    </row>
    <row r="106" ht="15.75" customHeight="1">
      <c r="P106" s="179"/>
      <c r="Q106" s="179"/>
      <c r="R106" s="179"/>
    </row>
    <row r="107" ht="15.75" customHeight="1">
      <c r="P107" s="179"/>
      <c r="Q107" s="179"/>
      <c r="R107" s="179"/>
    </row>
    <row r="108" ht="15.75" customHeight="1">
      <c r="P108" s="179"/>
      <c r="Q108" s="179"/>
      <c r="R108" s="179"/>
    </row>
    <row r="109" ht="15.75" customHeight="1">
      <c r="P109" s="179"/>
      <c r="Q109" s="179"/>
      <c r="R109" s="179"/>
    </row>
    <row r="110" ht="15.75" customHeight="1">
      <c r="P110" s="179"/>
      <c r="Q110" s="179"/>
      <c r="R110" s="179"/>
    </row>
    <row r="111" ht="15.75" customHeight="1">
      <c r="P111" s="179"/>
      <c r="Q111" s="179"/>
      <c r="R111" s="179"/>
    </row>
    <row r="112" ht="15.75" customHeight="1">
      <c r="P112" s="179"/>
      <c r="Q112" s="179"/>
      <c r="R112" s="179"/>
    </row>
    <row r="113" ht="15.75" customHeight="1">
      <c r="P113" s="179"/>
      <c r="Q113" s="179"/>
      <c r="R113" s="179"/>
    </row>
    <row r="114" ht="15.75" customHeight="1">
      <c r="P114" s="179"/>
      <c r="Q114" s="179"/>
      <c r="R114" s="179"/>
    </row>
    <row r="115" ht="15.75" customHeight="1">
      <c r="P115" s="179"/>
      <c r="Q115" s="179"/>
      <c r="R115" s="179"/>
    </row>
    <row r="116" ht="15.75" customHeight="1">
      <c r="P116" s="179"/>
      <c r="Q116" s="179"/>
      <c r="R116" s="179"/>
    </row>
    <row r="117" ht="15.75" customHeight="1">
      <c r="P117" s="179"/>
      <c r="Q117" s="179"/>
      <c r="R117" s="179"/>
    </row>
    <row r="118" ht="15.75" customHeight="1">
      <c r="P118" s="179"/>
      <c r="Q118" s="179"/>
      <c r="R118" s="179"/>
    </row>
    <row r="119" ht="15.75" customHeight="1">
      <c r="P119" s="179"/>
      <c r="Q119" s="179"/>
      <c r="R119" s="179"/>
    </row>
    <row r="120" ht="15.75" customHeight="1">
      <c r="P120" s="179"/>
      <c r="Q120" s="179"/>
      <c r="R120" s="179"/>
    </row>
    <row r="121" ht="15.75" customHeight="1">
      <c r="P121" s="179"/>
      <c r="Q121" s="179"/>
      <c r="R121" s="179"/>
    </row>
    <row r="122" ht="15.75" customHeight="1">
      <c r="P122" s="179"/>
      <c r="Q122" s="179"/>
      <c r="R122" s="179"/>
    </row>
    <row r="123" ht="15.75" customHeight="1">
      <c r="P123" s="179"/>
      <c r="Q123" s="179"/>
      <c r="R123" s="179"/>
    </row>
    <row r="124" ht="15.75" customHeight="1">
      <c r="P124" s="179"/>
      <c r="Q124" s="179"/>
      <c r="R124" s="179"/>
    </row>
    <row r="125" ht="15.75" customHeight="1">
      <c r="P125" s="179"/>
      <c r="Q125" s="179"/>
      <c r="R125" s="179"/>
    </row>
    <row r="126" ht="15.75" customHeight="1">
      <c r="P126" s="179"/>
      <c r="Q126" s="179"/>
      <c r="R126" s="179"/>
    </row>
    <row r="127" ht="15.75" customHeight="1">
      <c r="P127" s="179"/>
      <c r="Q127" s="179"/>
      <c r="R127" s="179"/>
    </row>
    <row r="128" ht="15.75" customHeight="1">
      <c r="P128" s="179"/>
      <c r="Q128" s="179"/>
      <c r="R128" s="179"/>
    </row>
    <row r="129" ht="15.75" customHeight="1">
      <c r="P129" s="179"/>
      <c r="Q129" s="179"/>
      <c r="R129" s="179"/>
    </row>
    <row r="130" ht="15.75" customHeight="1">
      <c r="P130" s="179"/>
      <c r="Q130" s="179"/>
      <c r="R130" s="179"/>
    </row>
    <row r="131" ht="15.75" customHeight="1">
      <c r="P131" s="179"/>
      <c r="Q131" s="179"/>
      <c r="R131" s="179"/>
    </row>
    <row r="132" ht="15.75" customHeight="1">
      <c r="P132" s="179"/>
      <c r="Q132" s="179"/>
      <c r="R132" s="179"/>
    </row>
    <row r="133" ht="15.75" customHeight="1">
      <c r="P133" s="179"/>
      <c r="Q133" s="179"/>
      <c r="R133" s="179"/>
    </row>
    <row r="134" ht="15.75" customHeight="1">
      <c r="P134" s="179"/>
      <c r="Q134" s="179"/>
      <c r="R134" s="179"/>
    </row>
    <row r="135" ht="15.75" customHeight="1">
      <c r="P135" s="179"/>
      <c r="Q135" s="179"/>
      <c r="R135" s="179"/>
    </row>
    <row r="136" ht="15.75" customHeight="1">
      <c r="P136" s="179"/>
      <c r="Q136" s="179"/>
      <c r="R136" s="179"/>
    </row>
    <row r="137" ht="15.75" customHeight="1">
      <c r="P137" s="179"/>
      <c r="Q137" s="179"/>
      <c r="R137" s="179"/>
    </row>
    <row r="138" ht="15.75" customHeight="1">
      <c r="P138" s="179"/>
      <c r="Q138" s="179"/>
      <c r="R138" s="179"/>
    </row>
    <row r="139" ht="15.75" customHeight="1">
      <c r="P139" s="179"/>
      <c r="Q139" s="179"/>
      <c r="R139" s="179"/>
    </row>
    <row r="140" ht="15.75" customHeight="1">
      <c r="P140" s="179"/>
      <c r="Q140" s="179"/>
      <c r="R140" s="179"/>
    </row>
    <row r="141" ht="15.75" customHeight="1">
      <c r="P141" s="179"/>
      <c r="Q141" s="179"/>
      <c r="R141" s="179"/>
    </row>
    <row r="142" ht="15.75" customHeight="1">
      <c r="P142" s="179"/>
      <c r="Q142" s="179"/>
      <c r="R142" s="179"/>
    </row>
    <row r="143" ht="15.75" customHeight="1">
      <c r="P143" s="179"/>
      <c r="Q143" s="179"/>
      <c r="R143" s="179"/>
    </row>
    <row r="144" ht="15.75" customHeight="1">
      <c r="P144" s="179"/>
      <c r="Q144" s="179"/>
      <c r="R144" s="179"/>
    </row>
    <row r="145" ht="15.75" customHeight="1">
      <c r="P145" s="179"/>
      <c r="Q145" s="179"/>
      <c r="R145" s="179"/>
    </row>
    <row r="146" ht="15.75" customHeight="1">
      <c r="P146" s="179"/>
      <c r="Q146" s="179"/>
      <c r="R146" s="179"/>
    </row>
    <row r="147" ht="15.75" customHeight="1">
      <c r="P147" s="179"/>
      <c r="Q147" s="179"/>
      <c r="R147" s="179"/>
    </row>
    <row r="148" ht="15.75" customHeight="1">
      <c r="P148" s="179"/>
      <c r="Q148" s="179"/>
      <c r="R148" s="179"/>
    </row>
    <row r="149" ht="15.75" customHeight="1">
      <c r="P149" s="179"/>
      <c r="Q149" s="179"/>
      <c r="R149" s="179"/>
    </row>
    <row r="150" ht="15.75" customHeight="1">
      <c r="P150" s="179"/>
      <c r="Q150" s="179"/>
      <c r="R150" s="179"/>
    </row>
    <row r="151" ht="15.75" customHeight="1">
      <c r="P151" s="179"/>
      <c r="Q151" s="179"/>
      <c r="R151" s="179"/>
    </row>
    <row r="152" ht="15.75" customHeight="1">
      <c r="P152" s="179"/>
      <c r="Q152" s="179"/>
      <c r="R152" s="179"/>
    </row>
    <row r="153" ht="15.75" customHeight="1">
      <c r="P153" s="179"/>
      <c r="Q153" s="179"/>
      <c r="R153" s="179"/>
    </row>
    <row r="154" ht="15.75" customHeight="1">
      <c r="P154" s="179"/>
      <c r="Q154" s="179"/>
      <c r="R154" s="179"/>
    </row>
    <row r="155" ht="15.75" customHeight="1">
      <c r="P155" s="179"/>
      <c r="Q155" s="179"/>
      <c r="R155" s="179"/>
    </row>
    <row r="156" ht="15.75" customHeight="1">
      <c r="P156" s="179"/>
      <c r="Q156" s="179"/>
      <c r="R156" s="179"/>
    </row>
    <row r="157" ht="15.75" customHeight="1">
      <c r="P157" s="179"/>
      <c r="Q157" s="179"/>
      <c r="R157" s="179"/>
    </row>
    <row r="158" ht="15.75" customHeight="1">
      <c r="P158" s="179"/>
      <c r="Q158" s="179"/>
      <c r="R158" s="179"/>
    </row>
    <row r="159" ht="15.75" customHeight="1">
      <c r="P159" s="179"/>
      <c r="Q159" s="179"/>
      <c r="R159" s="179"/>
    </row>
    <row r="160" ht="15.75" customHeight="1">
      <c r="P160" s="179"/>
      <c r="Q160" s="179"/>
      <c r="R160" s="179"/>
    </row>
    <row r="161" ht="15.75" customHeight="1">
      <c r="P161" s="179"/>
      <c r="Q161" s="179"/>
      <c r="R161" s="179"/>
    </row>
    <row r="162" ht="15.75" customHeight="1">
      <c r="P162" s="179"/>
      <c r="Q162" s="179"/>
      <c r="R162" s="179"/>
    </row>
    <row r="163" ht="15.75" customHeight="1">
      <c r="P163" s="179"/>
      <c r="Q163" s="179"/>
      <c r="R163" s="179"/>
    </row>
    <row r="164" ht="15.75" customHeight="1">
      <c r="P164" s="179"/>
      <c r="Q164" s="179"/>
      <c r="R164" s="179"/>
    </row>
    <row r="165" ht="15.75" customHeight="1">
      <c r="P165" s="179"/>
      <c r="Q165" s="179"/>
      <c r="R165" s="179"/>
    </row>
    <row r="166" ht="15.75" customHeight="1">
      <c r="P166" s="179"/>
      <c r="Q166" s="179"/>
      <c r="R166" s="179"/>
    </row>
    <row r="167" ht="15.75" customHeight="1">
      <c r="P167" s="179"/>
      <c r="Q167" s="179"/>
      <c r="R167" s="179"/>
    </row>
    <row r="168" ht="15.75" customHeight="1">
      <c r="P168" s="179"/>
      <c r="Q168" s="179"/>
      <c r="R168" s="179"/>
    </row>
    <row r="169" ht="15.75" customHeight="1">
      <c r="P169" s="179"/>
      <c r="Q169" s="179"/>
      <c r="R169" s="179"/>
    </row>
    <row r="170" ht="15.75" customHeight="1">
      <c r="P170" s="179"/>
      <c r="Q170" s="179"/>
      <c r="R170" s="179"/>
    </row>
    <row r="171" ht="15.75" customHeight="1">
      <c r="P171" s="179"/>
      <c r="Q171" s="179"/>
      <c r="R171" s="179"/>
    </row>
    <row r="172" ht="15.75" customHeight="1">
      <c r="P172" s="179"/>
      <c r="Q172" s="179"/>
      <c r="R172" s="179"/>
    </row>
    <row r="173" ht="15.75" customHeight="1">
      <c r="P173" s="179"/>
      <c r="Q173" s="179"/>
      <c r="R173" s="179"/>
    </row>
    <row r="174" ht="15.75" customHeight="1">
      <c r="P174" s="179"/>
      <c r="Q174" s="179"/>
      <c r="R174" s="179"/>
    </row>
    <row r="175" ht="15.75" customHeight="1">
      <c r="P175" s="179"/>
      <c r="Q175" s="179"/>
      <c r="R175" s="179"/>
    </row>
    <row r="176" ht="15.75" customHeight="1">
      <c r="P176" s="179"/>
      <c r="Q176" s="179"/>
      <c r="R176" s="179"/>
    </row>
    <row r="177" ht="15.75" customHeight="1">
      <c r="P177" s="179"/>
      <c r="Q177" s="179"/>
      <c r="R177" s="179"/>
    </row>
    <row r="178" ht="15.75" customHeight="1">
      <c r="P178" s="179"/>
      <c r="Q178" s="179"/>
      <c r="R178" s="179"/>
    </row>
    <row r="179" ht="15.75" customHeight="1">
      <c r="P179" s="179"/>
      <c r="Q179" s="179"/>
      <c r="R179" s="179"/>
    </row>
    <row r="180" ht="15.75" customHeight="1">
      <c r="P180" s="179"/>
      <c r="Q180" s="179"/>
      <c r="R180" s="179"/>
    </row>
    <row r="181" ht="15.75" customHeight="1">
      <c r="P181" s="179"/>
      <c r="Q181" s="179"/>
      <c r="R181" s="179"/>
    </row>
    <row r="182" ht="15.75" customHeight="1">
      <c r="P182" s="179"/>
      <c r="Q182" s="179"/>
      <c r="R182" s="179"/>
    </row>
    <row r="183" ht="15.75" customHeight="1">
      <c r="P183" s="179"/>
      <c r="Q183" s="179"/>
      <c r="R183" s="179"/>
    </row>
    <row r="184" ht="15.75" customHeight="1">
      <c r="P184" s="179"/>
      <c r="Q184" s="179"/>
      <c r="R184" s="179"/>
    </row>
    <row r="185" ht="15.75" customHeight="1">
      <c r="P185" s="179"/>
      <c r="Q185" s="179"/>
      <c r="R185" s="179"/>
    </row>
    <row r="186" ht="15.75" customHeight="1">
      <c r="P186" s="179"/>
      <c r="Q186" s="179"/>
      <c r="R186" s="179"/>
    </row>
    <row r="187" ht="15.75" customHeight="1">
      <c r="P187" s="179"/>
      <c r="Q187" s="179"/>
      <c r="R187" s="179"/>
    </row>
    <row r="188" ht="15.75" customHeight="1">
      <c r="P188" s="179"/>
      <c r="Q188" s="179"/>
      <c r="R188" s="179"/>
    </row>
    <row r="189" ht="15.75" customHeight="1">
      <c r="P189" s="179"/>
      <c r="Q189" s="179"/>
      <c r="R189" s="179"/>
    </row>
    <row r="190" ht="15.75" customHeight="1">
      <c r="P190" s="179"/>
      <c r="Q190" s="179"/>
      <c r="R190" s="179"/>
    </row>
    <row r="191" ht="15.75" customHeight="1">
      <c r="P191" s="179"/>
      <c r="Q191" s="179"/>
      <c r="R191" s="179"/>
    </row>
    <row r="192" ht="15.75" customHeight="1">
      <c r="P192" s="179"/>
      <c r="Q192" s="179"/>
      <c r="R192" s="179"/>
    </row>
    <row r="193" ht="15.75" customHeight="1">
      <c r="P193" s="179"/>
      <c r="Q193" s="179"/>
      <c r="R193" s="179"/>
    </row>
    <row r="194" ht="15.75" customHeight="1">
      <c r="P194" s="179"/>
      <c r="Q194" s="179"/>
      <c r="R194" s="179"/>
    </row>
    <row r="195" ht="15.75" customHeight="1">
      <c r="P195" s="179"/>
      <c r="Q195" s="179"/>
      <c r="R195" s="179"/>
    </row>
    <row r="196" ht="15.75" customHeight="1">
      <c r="P196" s="179"/>
      <c r="Q196" s="179"/>
      <c r="R196" s="179"/>
    </row>
    <row r="197" ht="15.75" customHeight="1">
      <c r="P197" s="179"/>
      <c r="Q197" s="179"/>
      <c r="R197" s="179"/>
    </row>
    <row r="198" ht="15.75" customHeight="1">
      <c r="P198" s="179"/>
      <c r="Q198" s="179"/>
      <c r="R198" s="179"/>
    </row>
    <row r="199" ht="15.75" customHeight="1">
      <c r="P199" s="179"/>
      <c r="Q199" s="179"/>
      <c r="R199" s="179"/>
    </row>
    <row r="200" ht="15.75" customHeight="1">
      <c r="P200" s="179"/>
      <c r="Q200" s="179"/>
      <c r="R200" s="179"/>
    </row>
    <row r="201" ht="15.75" customHeight="1">
      <c r="P201" s="179"/>
      <c r="Q201" s="179"/>
      <c r="R201" s="179"/>
    </row>
    <row r="202" ht="15.75" customHeight="1">
      <c r="P202" s="179"/>
      <c r="Q202" s="179"/>
      <c r="R202" s="179"/>
    </row>
    <row r="203" ht="15.75" customHeight="1">
      <c r="P203" s="179"/>
      <c r="Q203" s="179"/>
      <c r="R203" s="179"/>
    </row>
    <row r="204" ht="15.75" customHeight="1">
      <c r="P204" s="179"/>
      <c r="Q204" s="179"/>
      <c r="R204" s="179"/>
    </row>
    <row r="205" ht="15.75" customHeight="1">
      <c r="P205" s="179"/>
      <c r="Q205" s="179"/>
      <c r="R205" s="179"/>
    </row>
    <row r="206" ht="15.75" customHeight="1">
      <c r="P206" s="179"/>
      <c r="Q206" s="179"/>
      <c r="R206" s="179"/>
    </row>
    <row r="207" ht="15.75" customHeight="1">
      <c r="P207" s="179"/>
      <c r="Q207" s="179"/>
      <c r="R207" s="179"/>
    </row>
    <row r="208" ht="15.75" customHeight="1">
      <c r="P208" s="179"/>
      <c r="Q208" s="179"/>
      <c r="R208" s="179"/>
    </row>
    <row r="209" ht="15.75" customHeight="1">
      <c r="P209" s="179"/>
      <c r="Q209" s="179"/>
      <c r="R209" s="179"/>
    </row>
    <row r="210" ht="15.75" customHeight="1">
      <c r="P210" s="179"/>
      <c r="Q210" s="179"/>
      <c r="R210" s="179"/>
    </row>
    <row r="211" ht="15.75" customHeight="1">
      <c r="P211" s="179"/>
      <c r="Q211" s="179"/>
      <c r="R211" s="179"/>
    </row>
    <row r="212" ht="15.75" customHeight="1">
      <c r="P212" s="179"/>
      <c r="Q212" s="179"/>
      <c r="R212" s="179"/>
    </row>
    <row r="213" ht="15.75" customHeight="1">
      <c r="P213" s="179"/>
      <c r="Q213" s="179"/>
      <c r="R213" s="179"/>
    </row>
    <row r="214" ht="15.75" customHeight="1">
      <c r="P214" s="179"/>
      <c r="Q214" s="179"/>
      <c r="R214" s="179"/>
    </row>
    <row r="215" ht="15.75" customHeight="1">
      <c r="P215" s="179"/>
      <c r="Q215" s="179"/>
      <c r="R215" s="179"/>
    </row>
    <row r="216" ht="15.75" customHeight="1">
      <c r="P216" s="179"/>
      <c r="Q216" s="179"/>
      <c r="R216" s="179"/>
    </row>
    <row r="217" ht="15.75" customHeight="1">
      <c r="P217" s="179"/>
      <c r="Q217" s="179"/>
      <c r="R217" s="179"/>
    </row>
    <row r="218" ht="15.75" customHeight="1">
      <c r="P218" s="179"/>
      <c r="Q218" s="179"/>
      <c r="R218" s="179"/>
    </row>
    <row r="219" ht="15.75" customHeight="1">
      <c r="P219" s="179"/>
      <c r="Q219" s="179"/>
      <c r="R219" s="179"/>
    </row>
    <row r="220" ht="15.75" customHeight="1">
      <c r="P220" s="179"/>
      <c r="Q220" s="179"/>
      <c r="R220" s="179"/>
    </row>
    <row r="221" ht="15.75" customHeight="1">
      <c r="P221" s="179"/>
      <c r="Q221" s="179"/>
      <c r="R221" s="179"/>
    </row>
    <row r="222" ht="15.75" customHeight="1">
      <c r="P222" s="179"/>
      <c r="Q222" s="179"/>
      <c r="R222" s="179"/>
    </row>
    <row r="223" ht="15.75" customHeight="1">
      <c r="P223" s="179"/>
      <c r="Q223" s="179"/>
      <c r="R223" s="179"/>
    </row>
    <row r="224" ht="15.75" customHeight="1">
      <c r="P224" s="179"/>
      <c r="Q224" s="179"/>
      <c r="R224" s="179"/>
    </row>
    <row r="225" ht="15.75" customHeight="1">
      <c r="P225" s="179"/>
      <c r="Q225" s="179"/>
      <c r="R225" s="179"/>
    </row>
    <row r="226" ht="15.75" customHeight="1">
      <c r="P226" s="179"/>
      <c r="Q226" s="179"/>
      <c r="R226" s="179"/>
    </row>
    <row r="227" ht="15.75" customHeight="1">
      <c r="P227" s="179"/>
      <c r="Q227" s="179"/>
      <c r="R227" s="179"/>
    </row>
    <row r="228" ht="15.75" customHeight="1">
      <c r="P228" s="179"/>
      <c r="Q228" s="179"/>
      <c r="R228" s="179"/>
    </row>
    <row r="229" ht="15.75" customHeight="1">
      <c r="P229" s="179"/>
      <c r="Q229" s="179"/>
      <c r="R229" s="179"/>
    </row>
    <row r="230" ht="15.75" customHeight="1">
      <c r="P230" s="179"/>
      <c r="Q230" s="179"/>
      <c r="R230" s="179"/>
    </row>
    <row r="231" ht="15.75" customHeight="1">
      <c r="P231" s="179"/>
      <c r="Q231" s="179"/>
      <c r="R231" s="179"/>
    </row>
    <row r="232" ht="15.75" customHeight="1">
      <c r="P232" s="179"/>
      <c r="Q232" s="179"/>
      <c r="R232" s="179"/>
    </row>
    <row r="233" ht="15.75" customHeight="1">
      <c r="P233" s="179"/>
      <c r="Q233" s="179"/>
      <c r="R233" s="179"/>
    </row>
    <row r="234" ht="15.75" customHeight="1">
      <c r="P234" s="179"/>
      <c r="Q234" s="179"/>
      <c r="R234" s="179"/>
    </row>
    <row r="235" ht="15.75" customHeight="1">
      <c r="P235" s="179"/>
      <c r="Q235" s="179"/>
      <c r="R235" s="179"/>
    </row>
    <row r="236" ht="15.75" customHeight="1">
      <c r="P236" s="179"/>
      <c r="Q236" s="179"/>
      <c r="R236" s="179"/>
    </row>
    <row r="237" ht="15.75" customHeight="1">
      <c r="P237" s="179"/>
      <c r="Q237" s="179"/>
      <c r="R237" s="179"/>
    </row>
    <row r="238" ht="15.75" customHeight="1">
      <c r="P238" s="179"/>
      <c r="Q238" s="179"/>
      <c r="R238" s="179"/>
    </row>
    <row r="239" ht="15.75" customHeight="1">
      <c r="P239" s="179"/>
      <c r="Q239" s="179"/>
      <c r="R239" s="179"/>
    </row>
    <row r="240" ht="15.75" customHeight="1">
      <c r="P240" s="179"/>
      <c r="Q240" s="179"/>
      <c r="R240" s="179"/>
    </row>
    <row r="241" ht="15.75" customHeight="1">
      <c r="P241" s="179"/>
      <c r="Q241" s="179"/>
      <c r="R241" s="179"/>
    </row>
    <row r="242" ht="15.75" customHeight="1">
      <c r="P242" s="179"/>
      <c r="Q242" s="179"/>
      <c r="R242" s="179"/>
    </row>
    <row r="243" ht="15.75" customHeight="1">
      <c r="P243" s="179"/>
      <c r="Q243" s="179"/>
      <c r="R243" s="179"/>
    </row>
    <row r="244" ht="15.75" customHeight="1">
      <c r="P244" s="179"/>
      <c r="Q244" s="179"/>
      <c r="R244" s="179"/>
    </row>
    <row r="245" ht="15.75" customHeight="1">
      <c r="P245" s="179"/>
      <c r="Q245" s="179"/>
      <c r="R245" s="179"/>
    </row>
    <row r="246" ht="15.75" customHeight="1">
      <c r="P246" s="179"/>
      <c r="Q246" s="179"/>
      <c r="R246" s="179"/>
    </row>
    <row r="247" ht="15.75" customHeight="1">
      <c r="P247" s="179"/>
      <c r="Q247" s="179"/>
      <c r="R247" s="179"/>
    </row>
    <row r="248" ht="15.75" customHeight="1">
      <c r="P248" s="179"/>
      <c r="Q248" s="179"/>
      <c r="R248" s="179"/>
    </row>
    <row r="249" ht="15.75" customHeight="1">
      <c r="P249" s="179"/>
      <c r="Q249" s="179"/>
      <c r="R249" s="179"/>
    </row>
    <row r="250" ht="15.75" customHeight="1">
      <c r="P250" s="179"/>
      <c r="Q250" s="179"/>
      <c r="R250" s="179"/>
    </row>
    <row r="251" ht="15.75" customHeight="1">
      <c r="P251" s="179"/>
      <c r="Q251" s="179"/>
      <c r="R251" s="179"/>
    </row>
    <row r="252" ht="15.75" customHeight="1">
      <c r="P252" s="179"/>
      <c r="Q252" s="179"/>
      <c r="R252" s="179"/>
    </row>
    <row r="253" ht="15.75" customHeight="1">
      <c r="P253" s="179"/>
      <c r="Q253" s="179"/>
      <c r="R253" s="179"/>
    </row>
    <row r="254" ht="15.75" customHeight="1">
      <c r="P254" s="179"/>
      <c r="Q254" s="179"/>
      <c r="R254" s="179"/>
    </row>
    <row r="255" ht="15.75" customHeight="1">
      <c r="P255" s="179"/>
      <c r="Q255" s="179"/>
      <c r="R255" s="179"/>
    </row>
    <row r="256" ht="15.75" customHeight="1">
      <c r="P256" s="179"/>
      <c r="Q256" s="179"/>
      <c r="R256" s="179"/>
    </row>
    <row r="257" ht="15.75" customHeight="1">
      <c r="P257" s="179"/>
      <c r="Q257" s="179"/>
      <c r="R257" s="179"/>
    </row>
    <row r="258" ht="15.75" customHeight="1">
      <c r="P258" s="179"/>
      <c r="Q258" s="179"/>
      <c r="R258" s="179"/>
    </row>
    <row r="259" ht="15.75" customHeight="1">
      <c r="P259" s="179"/>
      <c r="Q259" s="179"/>
      <c r="R259" s="179"/>
    </row>
    <row r="260" ht="15.75" customHeight="1">
      <c r="P260" s="179"/>
      <c r="Q260" s="179"/>
      <c r="R260" s="179"/>
    </row>
    <row r="261" ht="15.75" customHeight="1">
      <c r="P261" s="179"/>
      <c r="Q261" s="179"/>
      <c r="R261" s="179"/>
    </row>
    <row r="262" ht="15.75" customHeight="1">
      <c r="P262" s="179"/>
      <c r="Q262" s="179"/>
      <c r="R262" s="179"/>
    </row>
    <row r="263" ht="15.75" customHeight="1">
      <c r="P263" s="179"/>
      <c r="Q263" s="179"/>
      <c r="R263" s="179"/>
    </row>
    <row r="264" ht="15.75" customHeight="1">
      <c r="P264" s="179"/>
      <c r="Q264" s="179"/>
      <c r="R264" s="179"/>
    </row>
    <row r="265" ht="15.75" customHeight="1">
      <c r="P265" s="179"/>
      <c r="Q265" s="179"/>
      <c r="R265" s="179"/>
    </row>
    <row r="266" ht="15.75" customHeight="1">
      <c r="P266" s="179"/>
      <c r="Q266" s="179"/>
      <c r="R266" s="179"/>
    </row>
    <row r="267" ht="15.75" customHeight="1">
      <c r="P267" s="179"/>
      <c r="Q267" s="179"/>
      <c r="R267" s="179"/>
    </row>
    <row r="268" ht="15.75" customHeight="1">
      <c r="P268" s="179"/>
      <c r="Q268" s="179"/>
      <c r="R268" s="179"/>
    </row>
    <row r="269" ht="15.75" customHeight="1">
      <c r="P269" s="179"/>
      <c r="Q269" s="179"/>
      <c r="R269" s="179"/>
    </row>
    <row r="270" ht="15.75" customHeight="1">
      <c r="P270" s="179"/>
      <c r="Q270" s="179"/>
      <c r="R270" s="179"/>
    </row>
    <row r="271" ht="15.75" customHeight="1">
      <c r="P271" s="179"/>
      <c r="Q271" s="179"/>
      <c r="R271" s="179"/>
    </row>
    <row r="272" ht="15.75" customHeight="1">
      <c r="P272" s="179"/>
      <c r="Q272" s="179"/>
      <c r="R272" s="179"/>
    </row>
    <row r="273" ht="15.75" customHeight="1">
      <c r="P273" s="179"/>
      <c r="Q273" s="179"/>
      <c r="R273" s="179"/>
    </row>
    <row r="274" ht="15.75" customHeight="1">
      <c r="P274" s="179"/>
      <c r="Q274" s="179"/>
      <c r="R274" s="179"/>
    </row>
    <row r="275" ht="15.75" customHeight="1">
      <c r="P275" s="179"/>
      <c r="Q275" s="179"/>
      <c r="R275" s="179"/>
    </row>
    <row r="276" ht="15.75" customHeight="1">
      <c r="P276" s="179"/>
      <c r="Q276" s="179"/>
      <c r="R276" s="179"/>
    </row>
    <row r="277" ht="15.75" customHeight="1">
      <c r="P277" s="179"/>
      <c r="Q277" s="179"/>
      <c r="R277" s="179"/>
    </row>
    <row r="278" ht="15.75" customHeight="1">
      <c r="P278" s="179"/>
      <c r="Q278" s="179"/>
      <c r="R278" s="179"/>
    </row>
    <row r="279" ht="15.75" customHeight="1">
      <c r="P279" s="179"/>
      <c r="Q279" s="179"/>
      <c r="R279" s="179"/>
    </row>
    <row r="280" ht="15.75" customHeight="1">
      <c r="P280" s="179"/>
      <c r="Q280" s="179"/>
      <c r="R280" s="179"/>
    </row>
    <row r="281" ht="15.75" customHeight="1">
      <c r="P281" s="179"/>
      <c r="Q281" s="179"/>
      <c r="R281" s="179"/>
    </row>
    <row r="282" ht="15.75" customHeight="1">
      <c r="P282" s="179"/>
      <c r="Q282" s="179"/>
      <c r="R282" s="179"/>
    </row>
    <row r="283" ht="15.75" customHeight="1">
      <c r="P283" s="179"/>
      <c r="Q283" s="179"/>
      <c r="R283" s="179"/>
    </row>
    <row r="284" ht="15.75" customHeight="1">
      <c r="P284" s="179"/>
      <c r="Q284" s="179"/>
      <c r="R284" s="179"/>
    </row>
    <row r="285" ht="15.75" customHeight="1">
      <c r="P285" s="179"/>
      <c r="Q285" s="179"/>
      <c r="R285" s="179"/>
    </row>
    <row r="286" ht="15.75" customHeight="1">
      <c r="P286" s="179"/>
      <c r="Q286" s="179"/>
      <c r="R286" s="179"/>
    </row>
    <row r="287" ht="15.75" customHeight="1">
      <c r="P287" s="179"/>
      <c r="Q287" s="179"/>
      <c r="R287" s="179"/>
    </row>
    <row r="288" ht="15.75" customHeight="1">
      <c r="P288" s="179"/>
      <c r="Q288" s="179"/>
      <c r="R288" s="179"/>
    </row>
    <row r="289" ht="15.75" customHeight="1">
      <c r="P289" s="179"/>
      <c r="Q289" s="179"/>
      <c r="R289" s="179"/>
    </row>
    <row r="290" ht="15.75" customHeight="1">
      <c r="P290" s="179"/>
      <c r="Q290" s="179"/>
      <c r="R290" s="179"/>
    </row>
    <row r="291" ht="15.75" customHeight="1">
      <c r="P291" s="179"/>
      <c r="Q291" s="179"/>
      <c r="R291" s="179"/>
    </row>
    <row r="292" ht="15.75" customHeight="1">
      <c r="P292" s="179"/>
      <c r="Q292" s="179"/>
      <c r="R292" s="179"/>
    </row>
    <row r="293" ht="15.75" customHeight="1">
      <c r="P293" s="179"/>
      <c r="Q293" s="179"/>
      <c r="R293" s="179"/>
    </row>
    <row r="294" ht="15.75" customHeight="1">
      <c r="P294" s="179"/>
      <c r="Q294" s="179"/>
      <c r="R294" s="179"/>
    </row>
    <row r="295" ht="15.75" customHeight="1">
      <c r="P295" s="179"/>
      <c r="Q295" s="179"/>
      <c r="R295" s="179"/>
    </row>
    <row r="296" ht="15.75" customHeight="1">
      <c r="P296" s="179"/>
      <c r="Q296" s="179"/>
      <c r="R296" s="179"/>
    </row>
    <row r="297" ht="15.75" customHeight="1">
      <c r="P297" s="179"/>
      <c r="Q297" s="179"/>
      <c r="R297" s="179"/>
    </row>
    <row r="298" ht="15.75" customHeight="1">
      <c r="P298" s="179"/>
      <c r="Q298" s="179"/>
      <c r="R298" s="179"/>
    </row>
    <row r="299" ht="15.75" customHeight="1">
      <c r="P299" s="179"/>
      <c r="Q299" s="179"/>
      <c r="R299" s="179"/>
    </row>
    <row r="300" ht="15.75" customHeight="1">
      <c r="P300" s="179"/>
      <c r="Q300" s="179"/>
      <c r="R300" s="179"/>
    </row>
    <row r="301" ht="15.75" customHeight="1">
      <c r="P301" s="179"/>
      <c r="Q301" s="179"/>
      <c r="R301" s="179"/>
    </row>
    <row r="302" ht="15.75" customHeight="1">
      <c r="P302" s="179"/>
      <c r="Q302" s="179"/>
      <c r="R302" s="179"/>
    </row>
    <row r="303" ht="15.75" customHeight="1">
      <c r="P303" s="179"/>
      <c r="Q303" s="179"/>
      <c r="R303" s="179"/>
    </row>
    <row r="304" ht="15.75" customHeight="1">
      <c r="P304" s="179"/>
      <c r="Q304" s="179"/>
      <c r="R304" s="179"/>
    </row>
    <row r="305" ht="15.75" customHeight="1">
      <c r="P305" s="179"/>
      <c r="Q305" s="179"/>
      <c r="R305" s="179"/>
    </row>
    <row r="306" ht="15.75" customHeight="1">
      <c r="P306" s="179"/>
      <c r="Q306" s="179"/>
      <c r="R306" s="179"/>
    </row>
    <row r="307" ht="15.75" customHeight="1">
      <c r="P307" s="179"/>
      <c r="Q307" s="179"/>
      <c r="R307" s="179"/>
    </row>
    <row r="308" ht="15.75" customHeight="1">
      <c r="P308" s="179"/>
      <c r="Q308" s="179"/>
      <c r="R308" s="179"/>
    </row>
    <row r="309" ht="15.75" customHeight="1">
      <c r="P309" s="179"/>
      <c r="Q309" s="179"/>
      <c r="R309" s="179"/>
    </row>
    <row r="310" ht="15.75" customHeight="1">
      <c r="P310" s="179"/>
      <c r="Q310" s="179"/>
      <c r="R310" s="179"/>
    </row>
    <row r="311" ht="15.75" customHeight="1">
      <c r="P311" s="179"/>
      <c r="Q311" s="179"/>
      <c r="R311" s="179"/>
    </row>
    <row r="312" ht="15.75" customHeight="1">
      <c r="P312" s="179"/>
      <c r="Q312" s="179"/>
      <c r="R312" s="179"/>
    </row>
    <row r="313" ht="15.75" customHeight="1">
      <c r="P313" s="179"/>
      <c r="Q313" s="179"/>
      <c r="R313" s="179"/>
    </row>
    <row r="314" ht="15.75" customHeight="1">
      <c r="P314" s="179"/>
      <c r="Q314" s="179"/>
      <c r="R314" s="179"/>
    </row>
    <row r="315" ht="15.75" customHeight="1">
      <c r="P315" s="179"/>
      <c r="Q315" s="179"/>
      <c r="R315" s="179"/>
    </row>
    <row r="316" ht="15.75" customHeight="1">
      <c r="P316" s="179"/>
      <c r="Q316" s="179"/>
      <c r="R316" s="179"/>
    </row>
    <row r="317" ht="15.75" customHeight="1">
      <c r="P317" s="179"/>
      <c r="Q317" s="179"/>
      <c r="R317" s="179"/>
    </row>
    <row r="318" ht="15.75" customHeight="1">
      <c r="P318" s="179"/>
      <c r="Q318" s="179"/>
      <c r="R318" s="179"/>
    </row>
    <row r="319" ht="15.75" customHeight="1">
      <c r="P319" s="179"/>
      <c r="Q319" s="179"/>
      <c r="R319" s="179"/>
    </row>
    <row r="320" ht="15.75" customHeight="1">
      <c r="P320" s="179"/>
      <c r="Q320" s="179"/>
      <c r="R320" s="179"/>
    </row>
    <row r="321" ht="15.75" customHeight="1">
      <c r="P321" s="179"/>
      <c r="Q321" s="179"/>
      <c r="R321" s="179"/>
    </row>
    <row r="322" ht="15.75" customHeight="1">
      <c r="P322" s="179"/>
      <c r="Q322" s="179"/>
      <c r="R322" s="179"/>
    </row>
    <row r="323" ht="15.75" customHeight="1">
      <c r="P323" s="179"/>
      <c r="Q323" s="179"/>
      <c r="R323" s="179"/>
    </row>
    <row r="324" ht="15.75" customHeight="1">
      <c r="P324" s="179"/>
      <c r="Q324" s="179"/>
      <c r="R324" s="179"/>
    </row>
    <row r="325" ht="15.75" customHeight="1">
      <c r="P325" s="179"/>
      <c r="Q325" s="179"/>
      <c r="R325" s="179"/>
    </row>
    <row r="326" ht="15.75" customHeight="1">
      <c r="P326" s="179"/>
      <c r="Q326" s="179"/>
      <c r="R326" s="179"/>
    </row>
    <row r="327" ht="15.75" customHeight="1">
      <c r="P327" s="179"/>
      <c r="Q327" s="179"/>
      <c r="R327" s="179"/>
    </row>
    <row r="328" ht="15.75" customHeight="1">
      <c r="P328" s="179"/>
      <c r="Q328" s="179"/>
      <c r="R328" s="179"/>
    </row>
    <row r="329" ht="15.75" customHeight="1">
      <c r="P329" s="179"/>
      <c r="Q329" s="179"/>
      <c r="R329" s="179"/>
    </row>
    <row r="330" ht="15.75" customHeight="1">
      <c r="P330" s="179"/>
      <c r="Q330" s="179"/>
      <c r="R330" s="179"/>
    </row>
    <row r="331" ht="15.75" customHeight="1">
      <c r="P331" s="179"/>
      <c r="Q331" s="179"/>
      <c r="R331" s="179"/>
    </row>
    <row r="332" ht="15.75" customHeight="1">
      <c r="P332" s="179"/>
      <c r="Q332" s="179"/>
      <c r="R332" s="179"/>
    </row>
    <row r="333" ht="15.75" customHeight="1">
      <c r="P333" s="179"/>
      <c r="Q333" s="179"/>
      <c r="R333" s="179"/>
    </row>
    <row r="334" ht="15.75" customHeight="1">
      <c r="P334" s="179"/>
      <c r="Q334" s="179"/>
      <c r="R334" s="179"/>
    </row>
    <row r="335" ht="15.75" customHeight="1">
      <c r="P335" s="179"/>
      <c r="Q335" s="179"/>
      <c r="R335" s="179"/>
    </row>
    <row r="336" ht="15.75" customHeight="1">
      <c r="P336" s="179"/>
      <c r="Q336" s="179"/>
      <c r="R336" s="179"/>
    </row>
    <row r="337" ht="15.75" customHeight="1">
      <c r="P337" s="179"/>
      <c r="Q337" s="179"/>
      <c r="R337" s="179"/>
    </row>
    <row r="338" ht="15.75" customHeight="1">
      <c r="P338" s="179"/>
      <c r="Q338" s="179"/>
      <c r="R338" s="179"/>
    </row>
    <row r="339" ht="15.75" customHeight="1">
      <c r="P339" s="179"/>
      <c r="Q339" s="179"/>
      <c r="R339" s="179"/>
    </row>
    <row r="340" ht="15.75" customHeight="1">
      <c r="P340" s="179"/>
      <c r="Q340" s="179"/>
      <c r="R340" s="179"/>
    </row>
    <row r="341" ht="15.75" customHeight="1">
      <c r="P341" s="179"/>
      <c r="Q341" s="179"/>
      <c r="R341" s="179"/>
    </row>
    <row r="342" ht="15.75" customHeight="1">
      <c r="P342" s="179"/>
      <c r="Q342" s="179"/>
      <c r="R342" s="179"/>
    </row>
    <row r="343" ht="15.75" customHeight="1">
      <c r="P343" s="179"/>
      <c r="Q343" s="179"/>
      <c r="R343" s="179"/>
    </row>
    <row r="344" ht="15.75" customHeight="1">
      <c r="P344" s="179"/>
      <c r="Q344" s="179"/>
      <c r="R344" s="179"/>
    </row>
    <row r="345" ht="15.75" customHeight="1">
      <c r="P345" s="179"/>
      <c r="Q345" s="179"/>
      <c r="R345" s="179"/>
    </row>
    <row r="346" ht="15.75" customHeight="1">
      <c r="P346" s="179"/>
      <c r="Q346" s="179"/>
      <c r="R346" s="179"/>
    </row>
    <row r="347" ht="15.75" customHeight="1">
      <c r="P347" s="179"/>
      <c r="Q347" s="179"/>
      <c r="R347" s="179"/>
    </row>
    <row r="348" ht="15.75" customHeight="1">
      <c r="P348" s="179"/>
      <c r="Q348" s="179"/>
      <c r="R348" s="179"/>
    </row>
    <row r="349" ht="15.75" customHeight="1">
      <c r="P349" s="179"/>
      <c r="Q349" s="179"/>
      <c r="R349" s="179"/>
    </row>
    <row r="350" ht="15.75" customHeight="1">
      <c r="P350" s="179"/>
      <c r="Q350" s="179"/>
      <c r="R350" s="179"/>
    </row>
    <row r="351" ht="15.75" customHeight="1">
      <c r="P351" s="179"/>
      <c r="Q351" s="179"/>
      <c r="R351" s="179"/>
    </row>
    <row r="352" ht="15.75" customHeight="1">
      <c r="P352" s="179"/>
      <c r="Q352" s="179"/>
      <c r="R352" s="179"/>
    </row>
    <row r="353" ht="15.75" customHeight="1">
      <c r="P353" s="179"/>
      <c r="Q353" s="179"/>
      <c r="R353" s="179"/>
    </row>
    <row r="354" ht="15.75" customHeight="1">
      <c r="P354" s="179"/>
      <c r="Q354" s="179"/>
      <c r="R354" s="179"/>
    </row>
    <row r="355" ht="15.75" customHeight="1">
      <c r="P355" s="179"/>
      <c r="Q355" s="179"/>
      <c r="R355" s="179"/>
    </row>
    <row r="356" ht="15.75" customHeight="1">
      <c r="P356" s="179"/>
      <c r="Q356" s="179"/>
      <c r="R356" s="179"/>
    </row>
    <row r="357" ht="15.75" customHeight="1">
      <c r="P357" s="179"/>
      <c r="Q357" s="179"/>
      <c r="R357" s="179"/>
    </row>
    <row r="358" ht="15.75" customHeight="1">
      <c r="P358" s="179"/>
      <c r="Q358" s="179"/>
      <c r="R358" s="179"/>
    </row>
    <row r="359" ht="15.75" customHeight="1">
      <c r="P359" s="179"/>
      <c r="Q359" s="179"/>
      <c r="R359" s="179"/>
    </row>
    <row r="360" ht="15.75" customHeight="1">
      <c r="P360" s="179"/>
      <c r="Q360" s="179"/>
      <c r="R360" s="179"/>
    </row>
    <row r="361" ht="15.75" customHeight="1">
      <c r="P361" s="179"/>
      <c r="Q361" s="179"/>
      <c r="R361" s="179"/>
    </row>
    <row r="362" ht="15.75" customHeight="1">
      <c r="P362" s="179"/>
      <c r="Q362" s="179"/>
      <c r="R362" s="179"/>
    </row>
    <row r="363" ht="15.75" customHeight="1">
      <c r="P363" s="179"/>
      <c r="Q363" s="179"/>
      <c r="R363" s="179"/>
    </row>
    <row r="364" ht="15.75" customHeight="1">
      <c r="P364" s="179"/>
      <c r="Q364" s="179"/>
      <c r="R364" s="179"/>
    </row>
    <row r="365" ht="15.75" customHeight="1">
      <c r="P365" s="179"/>
      <c r="Q365" s="179"/>
      <c r="R365" s="179"/>
    </row>
    <row r="366" ht="15.75" customHeight="1">
      <c r="P366" s="179"/>
      <c r="Q366" s="179"/>
      <c r="R366" s="179"/>
    </row>
    <row r="367" ht="15.75" customHeight="1">
      <c r="P367" s="179"/>
      <c r="Q367" s="179"/>
      <c r="R367" s="179"/>
    </row>
    <row r="368" ht="15.75" customHeight="1">
      <c r="P368" s="179"/>
      <c r="Q368" s="179"/>
      <c r="R368" s="179"/>
    </row>
    <row r="369" ht="15.75" customHeight="1">
      <c r="P369" s="179"/>
      <c r="Q369" s="179"/>
      <c r="R369" s="179"/>
    </row>
    <row r="370" ht="15.75" customHeight="1">
      <c r="P370" s="179"/>
      <c r="Q370" s="179"/>
      <c r="R370" s="179"/>
    </row>
    <row r="371" ht="15.75" customHeight="1">
      <c r="P371" s="179"/>
      <c r="Q371" s="179"/>
      <c r="R371" s="179"/>
    </row>
    <row r="372" ht="15.75" customHeight="1">
      <c r="P372" s="179"/>
      <c r="Q372" s="179"/>
      <c r="R372" s="179"/>
    </row>
    <row r="373" ht="15.75" customHeight="1">
      <c r="P373" s="179"/>
      <c r="Q373" s="179"/>
      <c r="R373" s="179"/>
    </row>
    <row r="374" ht="15.75" customHeight="1">
      <c r="P374" s="179"/>
      <c r="Q374" s="179"/>
      <c r="R374" s="179"/>
    </row>
    <row r="375" ht="15.75" customHeight="1">
      <c r="P375" s="179"/>
      <c r="Q375" s="179"/>
      <c r="R375" s="179"/>
    </row>
    <row r="376" ht="15.75" customHeight="1">
      <c r="P376" s="179"/>
      <c r="Q376" s="179"/>
      <c r="R376" s="179"/>
    </row>
    <row r="377" ht="15.75" customHeight="1">
      <c r="P377" s="179"/>
      <c r="Q377" s="179"/>
      <c r="R377" s="179"/>
    </row>
    <row r="378" ht="15.75" customHeight="1">
      <c r="P378" s="179"/>
      <c r="Q378" s="179"/>
      <c r="R378" s="179"/>
    </row>
    <row r="379" ht="15.75" customHeight="1">
      <c r="P379" s="179"/>
      <c r="Q379" s="179"/>
      <c r="R379" s="179"/>
    </row>
    <row r="380" ht="15.75" customHeight="1">
      <c r="P380" s="179"/>
      <c r="Q380" s="179"/>
      <c r="R380" s="179"/>
    </row>
    <row r="381" ht="15.75" customHeight="1">
      <c r="P381" s="179"/>
      <c r="Q381" s="179"/>
      <c r="R381" s="179"/>
    </row>
    <row r="382" ht="15.75" customHeight="1">
      <c r="P382" s="179"/>
      <c r="Q382" s="179"/>
      <c r="R382" s="179"/>
    </row>
    <row r="383" ht="15.75" customHeight="1">
      <c r="P383" s="179"/>
      <c r="Q383" s="179"/>
      <c r="R383" s="179"/>
    </row>
    <row r="384" ht="15.75" customHeight="1">
      <c r="P384" s="179"/>
      <c r="Q384" s="179"/>
      <c r="R384" s="179"/>
    </row>
    <row r="385" ht="15.75" customHeight="1">
      <c r="P385" s="179"/>
      <c r="Q385" s="179"/>
      <c r="R385" s="179"/>
    </row>
    <row r="386" ht="15.75" customHeight="1">
      <c r="P386" s="179"/>
      <c r="Q386" s="179"/>
      <c r="R386" s="179"/>
    </row>
    <row r="387" ht="15.75" customHeight="1">
      <c r="P387" s="179"/>
      <c r="Q387" s="179"/>
      <c r="R387" s="179"/>
    </row>
    <row r="388" ht="15.75" customHeight="1">
      <c r="P388" s="179"/>
      <c r="Q388" s="179"/>
      <c r="R388" s="179"/>
    </row>
    <row r="389" ht="15.75" customHeight="1">
      <c r="P389" s="179"/>
      <c r="Q389" s="179"/>
      <c r="R389" s="179"/>
    </row>
    <row r="390" ht="15.75" customHeight="1">
      <c r="P390" s="179"/>
      <c r="Q390" s="179"/>
      <c r="R390" s="179"/>
    </row>
    <row r="391" ht="15.75" customHeight="1">
      <c r="P391" s="179"/>
      <c r="Q391" s="179"/>
      <c r="R391" s="179"/>
    </row>
    <row r="392" ht="15.75" customHeight="1">
      <c r="P392" s="179"/>
      <c r="Q392" s="179"/>
      <c r="R392" s="179"/>
    </row>
    <row r="393" ht="15.75" customHeight="1">
      <c r="P393" s="179"/>
      <c r="Q393" s="179"/>
      <c r="R393" s="179"/>
    </row>
    <row r="394" ht="15.75" customHeight="1">
      <c r="P394" s="179"/>
      <c r="Q394" s="179"/>
      <c r="R394" s="179"/>
    </row>
    <row r="395" ht="15.75" customHeight="1">
      <c r="P395" s="179"/>
      <c r="Q395" s="179"/>
      <c r="R395" s="179"/>
    </row>
    <row r="396" ht="15.75" customHeight="1">
      <c r="P396" s="179"/>
      <c r="Q396" s="179"/>
      <c r="R396" s="179"/>
    </row>
    <row r="397" ht="15.75" customHeight="1">
      <c r="P397" s="179"/>
      <c r="Q397" s="179"/>
      <c r="R397" s="179"/>
    </row>
    <row r="398" ht="15.75" customHeight="1">
      <c r="P398" s="179"/>
      <c r="Q398" s="179"/>
      <c r="R398" s="179"/>
    </row>
    <row r="399" ht="15.75" customHeight="1">
      <c r="P399" s="179"/>
      <c r="Q399" s="179"/>
      <c r="R399" s="179"/>
    </row>
    <row r="400" ht="15.75" customHeight="1">
      <c r="P400" s="179"/>
      <c r="Q400" s="179"/>
      <c r="R400" s="179"/>
    </row>
    <row r="401" ht="15.75" customHeight="1">
      <c r="P401" s="179"/>
      <c r="Q401" s="179"/>
      <c r="R401" s="179"/>
    </row>
    <row r="402" ht="15.75" customHeight="1">
      <c r="P402" s="179"/>
      <c r="Q402" s="179"/>
      <c r="R402" s="179"/>
    </row>
    <row r="403" ht="15.75" customHeight="1">
      <c r="P403" s="179"/>
      <c r="Q403" s="179"/>
      <c r="R403" s="179"/>
    </row>
    <row r="404" ht="15.75" customHeight="1">
      <c r="P404" s="179"/>
      <c r="Q404" s="179"/>
      <c r="R404" s="179"/>
    </row>
    <row r="405" ht="15.75" customHeight="1">
      <c r="P405" s="179"/>
      <c r="Q405" s="179"/>
      <c r="R405" s="179"/>
    </row>
    <row r="406" ht="15.75" customHeight="1">
      <c r="P406" s="179"/>
      <c r="Q406" s="179"/>
      <c r="R406" s="179"/>
    </row>
    <row r="407" ht="15.75" customHeight="1">
      <c r="P407" s="179"/>
      <c r="Q407" s="179"/>
      <c r="R407" s="179"/>
    </row>
    <row r="408" ht="15.75" customHeight="1">
      <c r="P408" s="179"/>
      <c r="Q408" s="179"/>
      <c r="R408" s="179"/>
    </row>
    <row r="409" ht="15.75" customHeight="1">
      <c r="P409" s="179"/>
      <c r="Q409" s="179"/>
      <c r="R409" s="179"/>
    </row>
    <row r="410" ht="15.75" customHeight="1">
      <c r="P410" s="179"/>
      <c r="Q410" s="179"/>
      <c r="R410" s="179"/>
    </row>
    <row r="411" ht="15.75" customHeight="1">
      <c r="P411" s="179"/>
      <c r="Q411" s="179"/>
      <c r="R411" s="179"/>
    </row>
    <row r="412" ht="15.75" customHeight="1">
      <c r="P412" s="179"/>
      <c r="Q412" s="179"/>
      <c r="R412" s="179"/>
    </row>
    <row r="413" ht="15.75" customHeight="1">
      <c r="P413" s="179"/>
      <c r="Q413" s="179"/>
      <c r="R413" s="179"/>
    </row>
    <row r="414" ht="15.75" customHeight="1">
      <c r="P414" s="179"/>
      <c r="Q414" s="179"/>
      <c r="R414" s="179"/>
    </row>
    <row r="415" ht="15.75" customHeight="1">
      <c r="P415" s="179"/>
      <c r="Q415" s="179"/>
      <c r="R415" s="179"/>
    </row>
    <row r="416" ht="15.75" customHeight="1">
      <c r="P416" s="179"/>
      <c r="Q416" s="179"/>
      <c r="R416" s="179"/>
    </row>
    <row r="417" ht="15.75" customHeight="1">
      <c r="P417" s="179"/>
      <c r="Q417" s="179"/>
      <c r="R417" s="179"/>
    </row>
    <row r="418" ht="15.75" customHeight="1">
      <c r="P418" s="179"/>
      <c r="Q418" s="179"/>
      <c r="R418" s="179"/>
    </row>
    <row r="419" ht="15.75" customHeight="1">
      <c r="P419" s="179"/>
      <c r="Q419" s="179"/>
      <c r="R419" s="179"/>
    </row>
    <row r="420" ht="15.75" customHeight="1">
      <c r="P420" s="179"/>
      <c r="Q420" s="179"/>
      <c r="R420" s="179"/>
    </row>
    <row r="421" ht="15.75" customHeight="1">
      <c r="P421" s="179"/>
      <c r="Q421" s="179"/>
      <c r="R421" s="179"/>
    </row>
    <row r="422" ht="15.75" customHeight="1">
      <c r="P422" s="179"/>
      <c r="Q422" s="179"/>
      <c r="R422" s="179"/>
    </row>
    <row r="423" ht="15.75" customHeight="1">
      <c r="P423" s="179"/>
      <c r="Q423" s="179"/>
      <c r="R423" s="179"/>
    </row>
    <row r="424" ht="15.75" customHeight="1">
      <c r="P424" s="179"/>
      <c r="Q424" s="179"/>
      <c r="R424" s="179"/>
    </row>
    <row r="425" ht="15.75" customHeight="1">
      <c r="P425" s="179"/>
      <c r="Q425" s="179"/>
      <c r="R425" s="179"/>
    </row>
    <row r="426" ht="15.75" customHeight="1">
      <c r="P426" s="179"/>
      <c r="Q426" s="179"/>
      <c r="R426" s="179"/>
    </row>
    <row r="427" ht="15.75" customHeight="1">
      <c r="P427" s="179"/>
      <c r="Q427" s="179"/>
      <c r="R427" s="179"/>
    </row>
    <row r="428" ht="15.75" customHeight="1">
      <c r="P428" s="179"/>
      <c r="Q428" s="179"/>
      <c r="R428" s="179"/>
    </row>
    <row r="429" ht="15.75" customHeight="1">
      <c r="P429" s="179"/>
      <c r="Q429" s="179"/>
      <c r="R429" s="179"/>
    </row>
    <row r="430" ht="15.75" customHeight="1">
      <c r="P430" s="179"/>
      <c r="Q430" s="179"/>
      <c r="R430" s="179"/>
    </row>
    <row r="431" ht="15.75" customHeight="1">
      <c r="P431" s="179"/>
      <c r="Q431" s="179"/>
      <c r="R431" s="179"/>
    </row>
    <row r="432" ht="15.75" customHeight="1">
      <c r="P432" s="179"/>
      <c r="Q432" s="179"/>
      <c r="R432" s="179"/>
    </row>
    <row r="433" ht="15.75" customHeight="1">
      <c r="P433" s="179"/>
      <c r="Q433" s="179"/>
      <c r="R433" s="179"/>
    </row>
    <row r="434" ht="15.75" customHeight="1">
      <c r="P434" s="179"/>
      <c r="Q434" s="179"/>
      <c r="R434" s="179"/>
    </row>
    <row r="435" ht="15.75" customHeight="1">
      <c r="P435" s="179"/>
      <c r="Q435" s="179"/>
      <c r="R435" s="179"/>
    </row>
    <row r="436" ht="15.75" customHeight="1">
      <c r="P436" s="179"/>
      <c r="Q436" s="179"/>
      <c r="R436" s="179"/>
    </row>
    <row r="437" ht="15.75" customHeight="1">
      <c r="P437" s="179"/>
      <c r="Q437" s="179"/>
      <c r="R437" s="179"/>
    </row>
    <row r="438" ht="15.75" customHeight="1">
      <c r="P438" s="179"/>
      <c r="Q438" s="179"/>
      <c r="R438" s="179"/>
    </row>
    <row r="439" ht="15.75" customHeight="1">
      <c r="P439" s="179"/>
      <c r="Q439" s="179"/>
      <c r="R439" s="179"/>
    </row>
    <row r="440" ht="15.75" customHeight="1">
      <c r="P440" s="179"/>
      <c r="Q440" s="179"/>
      <c r="R440" s="179"/>
    </row>
    <row r="441" ht="15.75" customHeight="1">
      <c r="P441" s="179"/>
      <c r="Q441" s="179"/>
      <c r="R441" s="179"/>
    </row>
    <row r="442" ht="15.75" customHeight="1">
      <c r="P442" s="179"/>
      <c r="Q442" s="179"/>
      <c r="R442" s="179"/>
    </row>
    <row r="443" ht="15.75" customHeight="1">
      <c r="P443" s="179"/>
      <c r="Q443" s="179"/>
      <c r="R443" s="179"/>
    </row>
    <row r="444" ht="15.75" customHeight="1">
      <c r="P444" s="179"/>
      <c r="Q444" s="179"/>
      <c r="R444" s="179"/>
    </row>
    <row r="445" ht="15.75" customHeight="1">
      <c r="P445" s="179"/>
      <c r="Q445" s="179"/>
      <c r="R445" s="179"/>
    </row>
    <row r="446" ht="15.75" customHeight="1">
      <c r="P446" s="179"/>
      <c r="Q446" s="179"/>
      <c r="R446" s="179"/>
    </row>
    <row r="447" ht="15.75" customHeight="1">
      <c r="P447" s="179"/>
      <c r="Q447" s="179"/>
      <c r="R447" s="179"/>
    </row>
    <row r="448" ht="15.75" customHeight="1">
      <c r="P448" s="179"/>
      <c r="Q448" s="179"/>
      <c r="R448" s="179"/>
    </row>
    <row r="449" ht="15.75" customHeight="1">
      <c r="P449" s="179"/>
      <c r="Q449" s="179"/>
      <c r="R449" s="179"/>
    </row>
    <row r="450" ht="15.75" customHeight="1">
      <c r="P450" s="179"/>
      <c r="Q450" s="179"/>
      <c r="R450" s="179"/>
    </row>
    <row r="451" ht="15.75" customHeight="1">
      <c r="P451" s="179"/>
      <c r="Q451" s="179"/>
      <c r="R451" s="179"/>
    </row>
    <row r="452" ht="15.75" customHeight="1">
      <c r="P452" s="179"/>
      <c r="Q452" s="179"/>
      <c r="R452" s="179"/>
    </row>
    <row r="453" ht="15.75" customHeight="1">
      <c r="P453" s="179"/>
      <c r="Q453" s="179"/>
      <c r="R453" s="179"/>
    </row>
    <row r="454" ht="15.75" customHeight="1">
      <c r="P454" s="179"/>
      <c r="Q454" s="179"/>
      <c r="R454" s="179"/>
    </row>
    <row r="455" ht="15.75" customHeight="1">
      <c r="P455" s="179"/>
      <c r="Q455" s="179"/>
      <c r="R455" s="179"/>
    </row>
    <row r="456" ht="15.75" customHeight="1">
      <c r="P456" s="179"/>
      <c r="Q456" s="179"/>
      <c r="R456" s="179"/>
    </row>
    <row r="457" ht="15.75" customHeight="1">
      <c r="P457" s="179"/>
      <c r="Q457" s="179"/>
      <c r="R457" s="179"/>
    </row>
    <row r="458" ht="15.75" customHeight="1">
      <c r="P458" s="179"/>
      <c r="Q458" s="179"/>
      <c r="R458" s="179"/>
    </row>
    <row r="459" ht="15.75" customHeight="1">
      <c r="P459" s="179"/>
      <c r="Q459" s="179"/>
      <c r="R459" s="179"/>
    </row>
    <row r="460" ht="15.75" customHeight="1">
      <c r="P460" s="179"/>
      <c r="Q460" s="179"/>
      <c r="R460" s="179"/>
    </row>
    <row r="461" ht="15.75" customHeight="1">
      <c r="P461" s="179"/>
      <c r="Q461" s="179"/>
      <c r="R461" s="179"/>
    </row>
    <row r="462" ht="15.75" customHeight="1">
      <c r="P462" s="179"/>
      <c r="Q462" s="179"/>
      <c r="R462" s="179"/>
    </row>
    <row r="463" ht="15.75" customHeight="1">
      <c r="P463" s="179"/>
      <c r="Q463" s="179"/>
      <c r="R463" s="179"/>
    </row>
    <row r="464" ht="15.75" customHeight="1">
      <c r="P464" s="179"/>
      <c r="Q464" s="179"/>
      <c r="R464" s="179"/>
    </row>
    <row r="465" ht="15.75" customHeight="1">
      <c r="P465" s="179"/>
      <c r="Q465" s="179"/>
      <c r="R465" s="179"/>
    </row>
    <row r="466" ht="15.75" customHeight="1">
      <c r="P466" s="179"/>
      <c r="Q466" s="179"/>
      <c r="R466" s="179"/>
    </row>
    <row r="467" ht="15.75" customHeight="1">
      <c r="P467" s="179"/>
      <c r="Q467" s="179"/>
      <c r="R467" s="179"/>
    </row>
    <row r="468" ht="15.75" customHeight="1">
      <c r="P468" s="179"/>
      <c r="Q468" s="179"/>
      <c r="R468" s="179"/>
    </row>
    <row r="469" ht="15.75" customHeight="1">
      <c r="P469" s="179"/>
      <c r="Q469" s="179"/>
      <c r="R469" s="179"/>
    </row>
    <row r="470" ht="15.75" customHeight="1">
      <c r="P470" s="179"/>
      <c r="Q470" s="179"/>
      <c r="R470" s="179"/>
    </row>
    <row r="471" ht="15.75" customHeight="1">
      <c r="P471" s="179"/>
      <c r="Q471" s="179"/>
      <c r="R471" s="179"/>
    </row>
    <row r="472" ht="15.75" customHeight="1">
      <c r="P472" s="179"/>
      <c r="Q472" s="179"/>
      <c r="R472" s="179"/>
    </row>
    <row r="473" ht="15.75" customHeight="1">
      <c r="P473" s="179"/>
      <c r="Q473" s="179"/>
      <c r="R473" s="179"/>
    </row>
    <row r="474" ht="15.75" customHeight="1">
      <c r="P474" s="179"/>
      <c r="Q474" s="179"/>
      <c r="R474" s="179"/>
    </row>
    <row r="475" ht="15.75" customHeight="1">
      <c r="P475" s="179"/>
      <c r="Q475" s="179"/>
      <c r="R475" s="179"/>
    </row>
    <row r="476" ht="15.75" customHeight="1">
      <c r="P476" s="179"/>
      <c r="Q476" s="179"/>
      <c r="R476" s="179"/>
    </row>
    <row r="477" ht="15.75" customHeight="1">
      <c r="P477" s="179"/>
      <c r="Q477" s="179"/>
      <c r="R477" s="179"/>
    </row>
    <row r="478" ht="15.75" customHeight="1">
      <c r="P478" s="179"/>
      <c r="Q478" s="179"/>
      <c r="R478" s="179"/>
    </row>
    <row r="479" ht="15.75" customHeight="1">
      <c r="P479" s="179"/>
      <c r="Q479" s="179"/>
      <c r="R479" s="179"/>
    </row>
    <row r="480" ht="15.75" customHeight="1">
      <c r="P480" s="179"/>
      <c r="Q480" s="179"/>
      <c r="R480" s="179"/>
    </row>
    <row r="481" ht="15.75" customHeight="1">
      <c r="P481" s="179"/>
      <c r="Q481" s="179"/>
      <c r="R481" s="179"/>
    </row>
    <row r="482" ht="15.75" customHeight="1">
      <c r="P482" s="179"/>
      <c r="Q482" s="179"/>
      <c r="R482" s="179"/>
    </row>
    <row r="483" ht="15.75" customHeight="1">
      <c r="P483" s="179"/>
      <c r="Q483" s="179"/>
      <c r="R483" s="179"/>
    </row>
    <row r="484" ht="15.75" customHeight="1">
      <c r="P484" s="179"/>
      <c r="Q484" s="179"/>
      <c r="R484" s="179"/>
    </row>
    <row r="485" ht="15.75" customHeight="1">
      <c r="P485" s="179"/>
      <c r="Q485" s="179"/>
      <c r="R485" s="179"/>
    </row>
    <row r="486" ht="15.75" customHeight="1">
      <c r="P486" s="179"/>
      <c r="Q486" s="179"/>
      <c r="R486" s="179"/>
    </row>
    <row r="487" ht="15.75" customHeight="1">
      <c r="P487" s="179"/>
      <c r="Q487" s="179"/>
      <c r="R487" s="179"/>
    </row>
    <row r="488" ht="15.75" customHeight="1">
      <c r="P488" s="179"/>
      <c r="Q488" s="179"/>
      <c r="R488" s="179"/>
    </row>
    <row r="489" ht="15.75" customHeight="1">
      <c r="P489" s="179"/>
      <c r="Q489" s="179"/>
      <c r="R489" s="179"/>
    </row>
    <row r="490" ht="15.75" customHeight="1">
      <c r="P490" s="179"/>
      <c r="Q490" s="179"/>
      <c r="R490" s="179"/>
    </row>
    <row r="491" ht="15.75" customHeight="1">
      <c r="P491" s="179"/>
      <c r="Q491" s="179"/>
      <c r="R491" s="179"/>
    </row>
    <row r="492" ht="15.75" customHeight="1">
      <c r="P492" s="179"/>
      <c r="Q492" s="179"/>
      <c r="R492" s="179"/>
    </row>
    <row r="493" ht="15.75" customHeight="1">
      <c r="P493" s="179"/>
      <c r="Q493" s="179"/>
      <c r="R493" s="179"/>
    </row>
    <row r="494" ht="15.75" customHeight="1">
      <c r="P494" s="179"/>
      <c r="Q494" s="179"/>
      <c r="R494" s="179"/>
    </row>
    <row r="495" ht="15.75" customHeight="1">
      <c r="P495" s="179"/>
      <c r="Q495" s="179"/>
      <c r="R495" s="179"/>
    </row>
    <row r="496" ht="15.75" customHeight="1">
      <c r="P496" s="179"/>
      <c r="Q496" s="179"/>
      <c r="R496" s="179"/>
    </row>
    <row r="497" ht="15.75" customHeight="1">
      <c r="P497" s="179"/>
      <c r="Q497" s="179"/>
      <c r="R497" s="179"/>
    </row>
    <row r="498" ht="15.75" customHeight="1">
      <c r="P498" s="179"/>
      <c r="Q498" s="179"/>
      <c r="R498" s="179"/>
    </row>
    <row r="499" ht="15.75" customHeight="1">
      <c r="P499" s="179"/>
      <c r="Q499" s="179"/>
      <c r="R499" s="179"/>
    </row>
    <row r="500" ht="15.75" customHeight="1">
      <c r="P500" s="179"/>
      <c r="Q500" s="179"/>
      <c r="R500" s="179"/>
    </row>
    <row r="501" ht="15.75" customHeight="1">
      <c r="P501" s="179"/>
      <c r="Q501" s="179"/>
      <c r="R501" s="179"/>
    </row>
    <row r="502" ht="15.75" customHeight="1">
      <c r="P502" s="179"/>
      <c r="Q502" s="179"/>
      <c r="R502" s="179"/>
    </row>
    <row r="503" ht="15.75" customHeight="1">
      <c r="P503" s="179"/>
      <c r="Q503" s="179"/>
      <c r="R503" s="179"/>
    </row>
    <row r="504" ht="15.75" customHeight="1">
      <c r="P504" s="179"/>
      <c r="Q504" s="179"/>
      <c r="R504" s="179"/>
    </row>
    <row r="505" ht="15.75" customHeight="1">
      <c r="P505" s="179"/>
      <c r="Q505" s="179"/>
      <c r="R505" s="179"/>
    </row>
    <row r="506" ht="15.75" customHeight="1">
      <c r="P506" s="179"/>
      <c r="Q506" s="179"/>
      <c r="R506" s="179"/>
    </row>
    <row r="507" ht="15.75" customHeight="1">
      <c r="P507" s="179"/>
      <c r="Q507" s="179"/>
      <c r="R507" s="179"/>
    </row>
    <row r="508" ht="15.75" customHeight="1">
      <c r="P508" s="179"/>
      <c r="Q508" s="179"/>
      <c r="R508" s="179"/>
    </row>
    <row r="509" ht="15.75" customHeight="1">
      <c r="P509" s="179"/>
      <c r="Q509" s="179"/>
      <c r="R509" s="179"/>
    </row>
    <row r="510" ht="15.75" customHeight="1">
      <c r="P510" s="179"/>
      <c r="Q510" s="179"/>
      <c r="R510" s="179"/>
    </row>
    <row r="511" ht="15.75" customHeight="1">
      <c r="P511" s="179"/>
      <c r="Q511" s="179"/>
      <c r="R511" s="179"/>
    </row>
    <row r="512" ht="15.75" customHeight="1">
      <c r="P512" s="179"/>
      <c r="Q512" s="179"/>
      <c r="R512" s="179"/>
    </row>
    <row r="513" ht="15.75" customHeight="1">
      <c r="P513" s="179"/>
      <c r="Q513" s="179"/>
      <c r="R513" s="179"/>
    </row>
    <row r="514" ht="15.75" customHeight="1">
      <c r="P514" s="179"/>
      <c r="Q514" s="179"/>
      <c r="R514" s="179"/>
    </row>
    <row r="515" ht="15.75" customHeight="1">
      <c r="P515" s="179"/>
      <c r="Q515" s="179"/>
      <c r="R515" s="179"/>
    </row>
    <row r="516" ht="15.75" customHeight="1">
      <c r="P516" s="179"/>
      <c r="Q516" s="179"/>
      <c r="R516" s="179"/>
    </row>
    <row r="517" ht="15.75" customHeight="1">
      <c r="P517" s="179"/>
      <c r="Q517" s="179"/>
      <c r="R517" s="179"/>
    </row>
    <row r="518" ht="15.75" customHeight="1">
      <c r="P518" s="179"/>
      <c r="Q518" s="179"/>
      <c r="R518" s="179"/>
    </row>
    <row r="519" ht="15.75" customHeight="1">
      <c r="P519" s="179"/>
      <c r="Q519" s="179"/>
      <c r="R519" s="179"/>
    </row>
    <row r="520" ht="15.75" customHeight="1">
      <c r="P520" s="179"/>
      <c r="Q520" s="179"/>
      <c r="R520" s="179"/>
    </row>
    <row r="521" ht="15.75" customHeight="1">
      <c r="P521" s="179"/>
      <c r="Q521" s="179"/>
      <c r="R521" s="179"/>
    </row>
    <row r="522" ht="15.75" customHeight="1">
      <c r="P522" s="179"/>
      <c r="Q522" s="179"/>
      <c r="R522" s="179"/>
    </row>
    <row r="523" ht="15.75" customHeight="1">
      <c r="P523" s="179"/>
      <c r="Q523" s="179"/>
      <c r="R523" s="179"/>
    </row>
    <row r="524" ht="15.75" customHeight="1">
      <c r="P524" s="179"/>
      <c r="Q524" s="179"/>
      <c r="R524" s="179"/>
    </row>
    <row r="525" ht="15.75" customHeight="1">
      <c r="P525" s="179"/>
      <c r="Q525" s="179"/>
      <c r="R525" s="179"/>
    </row>
    <row r="526" ht="15.75" customHeight="1">
      <c r="P526" s="179"/>
      <c r="Q526" s="179"/>
      <c r="R526" s="179"/>
    </row>
    <row r="527" ht="15.75" customHeight="1">
      <c r="P527" s="179"/>
      <c r="Q527" s="179"/>
      <c r="R527" s="179"/>
    </row>
    <row r="528" ht="15.75" customHeight="1">
      <c r="P528" s="179"/>
      <c r="Q528" s="179"/>
      <c r="R528" s="179"/>
    </row>
    <row r="529" ht="15.75" customHeight="1">
      <c r="P529" s="179"/>
      <c r="Q529" s="179"/>
      <c r="R529" s="179"/>
    </row>
    <row r="530" ht="15.75" customHeight="1">
      <c r="P530" s="179"/>
      <c r="Q530" s="179"/>
      <c r="R530" s="179"/>
    </row>
    <row r="531" ht="15.75" customHeight="1">
      <c r="P531" s="179"/>
      <c r="Q531" s="179"/>
      <c r="R531" s="179"/>
    </row>
    <row r="532" ht="15.75" customHeight="1">
      <c r="P532" s="179"/>
      <c r="Q532" s="179"/>
      <c r="R532" s="179"/>
    </row>
    <row r="533" ht="15.75" customHeight="1">
      <c r="P533" s="179"/>
      <c r="Q533" s="179"/>
      <c r="R533" s="179"/>
    </row>
    <row r="534" ht="15.75" customHeight="1">
      <c r="P534" s="179"/>
      <c r="Q534" s="179"/>
      <c r="R534" s="179"/>
    </row>
    <row r="535" ht="15.75" customHeight="1">
      <c r="P535" s="179"/>
      <c r="Q535" s="179"/>
      <c r="R535" s="179"/>
    </row>
    <row r="536" ht="15.75" customHeight="1">
      <c r="P536" s="179"/>
      <c r="Q536" s="179"/>
      <c r="R536" s="179"/>
    </row>
    <row r="537" ht="15.75" customHeight="1">
      <c r="P537" s="179"/>
      <c r="Q537" s="179"/>
      <c r="R537" s="179"/>
    </row>
    <row r="538" ht="15.75" customHeight="1">
      <c r="P538" s="179"/>
      <c r="Q538" s="179"/>
      <c r="R538" s="179"/>
    </row>
    <row r="539" ht="15.75" customHeight="1">
      <c r="P539" s="179"/>
      <c r="Q539" s="179"/>
      <c r="R539" s="179"/>
    </row>
    <row r="540" ht="15.75" customHeight="1">
      <c r="P540" s="179"/>
      <c r="Q540" s="179"/>
      <c r="R540" s="179"/>
    </row>
    <row r="541" ht="15.75" customHeight="1">
      <c r="P541" s="179"/>
      <c r="Q541" s="179"/>
      <c r="R541" s="179"/>
    </row>
    <row r="542" ht="15.75" customHeight="1">
      <c r="P542" s="179"/>
      <c r="Q542" s="179"/>
      <c r="R542" s="179"/>
    </row>
    <row r="543" ht="15.75" customHeight="1">
      <c r="P543" s="179"/>
      <c r="Q543" s="179"/>
      <c r="R543" s="179"/>
    </row>
    <row r="544" ht="15.75" customHeight="1">
      <c r="P544" s="179"/>
      <c r="Q544" s="179"/>
      <c r="R544" s="179"/>
    </row>
    <row r="545" ht="15.75" customHeight="1">
      <c r="P545" s="179"/>
      <c r="Q545" s="179"/>
      <c r="R545" s="179"/>
    </row>
    <row r="546" ht="15.75" customHeight="1">
      <c r="P546" s="179"/>
      <c r="Q546" s="179"/>
      <c r="R546" s="179"/>
    </row>
    <row r="547" ht="15.75" customHeight="1">
      <c r="P547" s="179"/>
      <c r="Q547" s="179"/>
      <c r="R547" s="179"/>
    </row>
    <row r="548" ht="15.75" customHeight="1">
      <c r="P548" s="179"/>
      <c r="Q548" s="179"/>
      <c r="R548" s="179"/>
    </row>
    <row r="549" ht="15.75" customHeight="1">
      <c r="P549" s="179"/>
      <c r="Q549" s="179"/>
      <c r="R549" s="179"/>
    </row>
    <row r="550" ht="15.75" customHeight="1">
      <c r="P550" s="179"/>
      <c r="Q550" s="179"/>
      <c r="R550" s="179"/>
    </row>
    <row r="551" ht="15.75" customHeight="1">
      <c r="P551" s="179"/>
      <c r="Q551" s="179"/>
      <c r="R551" s="179"/>
    </row>
    <row r="552" ht="15.75" customHeight="1">
      <c r="P552" s="179"/>
      <c r="Q552" s="179"/>
      <c r="R552" s="179"/>
    </row>
    <row r="553" ht="15.75" customHeight="1">
      <c r="P553" s="179"/>
      <c r="Q553" s="179"/>
      <c r="R553" s="179"/>
    </row>
    <row r="554" ht="15.75" customHeight="1">
      <c r="P554" s="179"/>
      <c r="Q554" s="179"/>
      <c r="R554" s="179"/>
    </row>
    <row r="555" ht="15.75" customHeight="1">
      <c r="P555" s="179"/>
      <c r="Q555" s="179"/>
      <c r="R555" s="179"/>
    </row>
    <row r="556" ht="15.75" customHeight="1">
      <c r="P556" s="179"/>
      <c r="Q556" s="179"/>
      <c r="R556" s="179"/>
    </row>
    <row r="557" ht="15.75" customHeight="1">
      <c r="P557" s="179"/>
      <c r="Q557" s="179"/>
      <c r="R557" s="179"/>
    </row>
    <row r="558" ht="15.75" customHeight="1">
      <c r="P558" s="179"/>
      <c r="Q558" s="179"/>
      <c r="R558" s="179"/>
    </row>
    <row r="559" ht="15.75" customHeight="1">
      <c r="P559" s="179"/>
      <c r="Q559" s="179"/>
      <c r="R559" s="179"/>
    </row>
    <row r="560" ht="15.75" customHeight="1">
      <c r="P560" s="179"/>
      <c r="Q560" s="179"/>
      <c r="R560" s="179"/>
    </row>
    <row r="561" ht="15.75" customHeight="1">
      <c r="P561" s="179"/>
      <c r="Q561" s="179"/>
      <c r="R561" s="179"/>
    </row>
    <row r="562" ht="15.75" customHeight="1">
      <c r="P562" s="179"/>
      <c r="Q562" s="179"/>
      <c r="R562" s="179"/>
    </row>
    <row r="563" ht="15.75" customHeight="1">
      <c r="P563" s="179"/>
      <c r="Q563" s="179"/>
      <c r="R563" s="179"/>
    </row>
    <row r="564" ht="15.75" customHeight="1">
      <c r="P564" s="179"/>
      <c r="Q564" s="179"/>
      <c r="R564" s="179"/>
    </row>
    <row r="565" ht="15.75" customHeight="1">
      <c r="P565" s="179"/>
      <c r="Q565" s="179"/>
      <c r="R565" s="179"/>
    </row>
    <row r="566" ht="15.75" customHeight="1">
      <c r="P566" s="179"/>
      <c r="Q566" s="179"/>
      <c r="R566" s="179"/>
    </row>
    <row r="567" ht="15.75" customHeight="1">
      <c r="P567" s="179"/>
      <c r="Q567" s="179"/>
      <c r="R567" s="179"/>
    </row>
    <row r="568" ht="15.75" customHeight="1">
      <c r="P568" s="179"/>
      <c r="Q568" s="179"/>
      <c r="R568" s="179"/>
    </row>
    <row r="569" ht="15.75" customHeight="1">
      <c r="P569" s="179"/>
      <c r="Q569" s="179"/>
      <c r="R569" s="179"/>
    </row>
    <row r="570" ht="15.75" customHeight="1">
      <c r="P570" s="179"/>
      <c r="Q570" s="179"/>
      <c r="R570" s="179"/>
    </row>
    <row r="571" ht="15.75" customHeight="1">
      <c r="P571" s="179"/>
      <c r="Q571" s="179"/>
      <c r="R571" s="179"/>
    </row>
    <row r="572" ht="15.75" customHeight="1">
      <c r="P572" s="179"/>
      <c r="Q572" s="179"/>
      <c r="R572" s="179"/>
    </row>
    <row r="573" ht="15.75" customHeight="1">
      <c r="P573" s="179"/>
      <c r="Q573" s="179"/>
      <c r="R573" s="179"/>
    </row>
    <row r="574" ht="15.75" customHeight="1">
      <c r="P574" s="179"/>
      <c r="Q574" s="179"/>
      <c r="R574" s="179"/>
    </row>
    <row r="575" ht="15.75" customHeight="1">
      <c r="P575" s="179"/>
      <c r="Q575" s="179"/>
      <c r="R575" s="179"/>
    </row>
    <row r="576" ht="15.75" customHeight="1">
      <c r="P576" s="179"/>
      <c r="Q576" s="179"/>
      <c r="R576" s="179"/>
    </row>
    <row r="577" ht="15.75" customHeight="1">
      <c r="P577" s="179"/>
      <c r="Q577" s="179"/>
      <c r="R577" s="179"/>
    </row>
    <row r="578" ht="15.75" customHeight="1">
      <c r="P578" s="179"/>
      <c r="Q578" s="179"/>
      <c r="R578" s="179"/>
    </row>
    <row r="579" ht="15.75" customHeight="1">
      <c r="P579" s="179"/>
      <c r="Q579" s="179"/>
      <c r="R579" s="179"/>
    </row>
    <row r="580" ht="15.75" customHeight="1">
      <c r="P580" s="179"/>
      <c r="Q580" s="179"/>
      <c r="R580" s="179"/>
    </row>
    <row r="581" ht="15.75" customHeight="1">
      <c r="P581" s="179"/>
      <c r="Q581" s="179"/>
      <c r="R581" s="179"/>
    </row>
    <row r="582" ht="15.75" customHeight="1">
      <c r="P582" s="179"/>
      <c r="Q582" s="179"/>
      <c r="R582" s="179"/>
    </row>
    <row r="583" ht="15.75" customHeight="1">
      <c r="P583" s="179"/>
      <c r="Q583" s="179"/>
      <c r="R583" s="179"/>
    </row>
    <row r="584" ht="15.75" customHeight="1">
      <c r="P584" s="179"/>
      <c r="Q584" s="179"/>
      <c r="R584" s="179"/>
    </row>
    <row r="585" ht="15.75" customHeight="1">
      <c r="P585" s="179"/>
      <c r="Q585" s="179"/>
      <c r="R585" s="179"/>
    </row>
    <row r="586" ht="15.75" customHeight="1">
      <c r="P586" s="179"/>
      <c r="Q586" s="179"/>
      <c r="R586" s="179"/>
    </row>
    <row r="587" ht="15.75" customHeight="1">
      <c r="P587" s="179"/>
      <c r="Q587" s="179"/>
      <c r="R587" s="179"/>
    </row>
    <row r="588" ht="15.75" customHeight="1">
      <c r="P588" s="179"/>
      <c r="Q588" s="179"/>
      <c r="R588" s="179"/>
    </row>
    <row r="589" ht="15.75" customHeight="1">
      <c r="P589" s="179"/>
      <c r="Q589" s="179"/>
      <c r="R589" s="179"/>
    </row>
    <row r="590" ht="15.75" customHeight="1">
      <c r="P590" s="179"/>
      <c r="Q590" s="179"/>
      <c r="R590" s="179"/>
    </row>
    <row r="591" ht="15.75" customHeight="1">
      <c r="P591" s="179"/>
      <c r="Q591" s="179"/>
      <c r="R591" s="179"/>
    </row>
    <row r="592" ht="15.75" customHeight="1">
      <c r="P592" s="179"/>
      <c r="Q592" s="179"/>
      <c r="R592" s="179"/>
    </row>
    <row r="593" ht="15.75" customHeight="1">
      <c r="P593" s="179"/>
      <c r="Q593" s="179"/>
      <c r="R593" s="179"/>
    </row>
    <row r="594" ht="15.75" customHeight="1">
      <c r="P594" s="179"/>
      <c r="Q594" s="179"/>
      <c r="R594" s="179"/>
    </row>
    <row r="595" ht="15.75" customHeight="1">
      <c r="P595" s="179"/>
      <c r="Q595" s="179"/>
      <c r="R595" s="179"/>
    </row>
    <row r="596" ht="15.75" customHeight="1">
      <c r="P596" s="179"/>
      <c r="Q596" s="179"/>
      <c r="R596" s="179"/>
    </row>
    <row r="597" ht="15.75" customHeight="1">
      <c r="P597" s="179"/>
      <c r="Q597" s="179"/>
      <c r="R597" s="179"/>
    </row>
    <row r="598" ht="15.75" customHeight="1">
      <c r="P598" s="179"/>
      <c r="Q598" s="179"/>
      <c r="R598" s="179"/>
    </row>
    <row r="599" ht="15.75" customHeight="1">
      <c r="P599" s="179"/>
      <c r="Q599" s="179"/>
      <c r="R599" s="179"/>
    </row>
    <row r="600" ht="15.75" customHeight="1">
      <c r="P600" s="179"/>
      <c r="Q600" s="179"/>
      <c r="R600" s="179"/>
    </row>
    <row r="601" ht="15.75" customHeight="1">
      <c r="P601" s="179"/>
      <c r="Q601" s="179"/>
      <c r="R601" s="179"/>
    </row>
    <row r="602" ht="15.75" customHeight="1">
      <c r="P602" s="179"/>
      <c r="Q602" s="179"/>
      <c r="R602" s="179"/>
    </row>
    <row r="603" ht="15.75" customHeight="1">
      <c r="P603" s="179"/>
      <c r="Q603" s="179"/>
      <c r="R603" s="179"/>
    </row>
    <row r="604" ht="15.75" customHeight="1">
      <c r="P604" s="179"/>
      <c r="Q604" s="179"/>
      <c r="R604" s="179"/>
    </row>
    <row r="605" ht="15.75" customHeight="1">
      <c r="P605" s="179"/>
      <c r="Q605" s="179"/>
      <c r="R605" s="179"/>
    </row>
    <row r="606" ht="15.75" customHeight="1">
      <c r="P606" s="179"/>
      <c r="Q606" s="179"/>
      <c r="R606" s="179"/>
    </row>
    <row r="607" ht="15.75" customHeight="1">
      <c r="P607" s="179"/>
      <c r="Q607" s="179"/>
      <c r="R607" s="179"/>
    </row>
    <row r="608" ht="15.75" customHeight="1">
      <c r="P608" s="179"/>
      <c r="Q608" s="179"/>
      <c r="R608" s="179"/>
    </row>
    <row r="609" ht="15.75" customHeight="1">
      <c r="P609" s="179"/>
      <c r="Q609" s="179"/>
      <c r="R609" s="179"/>
    </row>
    <row r="610" ht="15.75" customHeight="1">
      <c r="P610" s="179"/>
      <c r="Q610" s="179"/>
      <c r="R610" s="179"/>
    </row>
    <row r="611" ht="15.75" customHeight="1">
      <c r="P611" s="179"/>
      <c r="Q611" s="179"/>
      <c r="R611" s="179"/>
    </row>
    <row r="612" ht="15.75" customHeight="1">
      <c r="P612" s="179"/>
      <c r="Q612" s="179"/>
      <c r="R612" s="179"/>
    </row>
    <row r="613" ht="15.75" customHeight="1">
      <c r="P613" s="179"/>
      <c r="Q613" s="179"/>
      <c r="R613" s="179"/>
    </row>
    <row r="614" ht="15.75" customHeight="1">
      <c r="P614" s="179"/>
      <c r="Q614" s="179"/>
      <c r="R614" s="179"/>
    </row>
    <row r="615" ht="15.75" customHeight="1">
      <c r="P615" s="179"/>
      <c r="Q615" s="179"/>
      <c r="R615" s="179"/>
    </row>
    <row r="616" ht="15.75" customHeight="1">
      <c r="P616" s="179"/>
      <c r="Q616" s="179"/>
      <c r="R616" s="179"/>
    </row>
    <row r="617" ht="15.75" customHeight="1">
      <c r="P617" s="179"/>
      <c r="Q617" s="179"/>
      <c r="R617" s="179"/>
    </row>
    <row r="618" ht="15.75" customHeight="1">
      <c r="P618" s="179"/>
      <c r="Q618" s="179"/>
      <c r="R618" s="179"/>
    </row>
    <row r="619" ht="15.75" customHeight="1">
      <c r="P619" s="179"/>
      <c r="Q619" s="179"/>
      <c r="R619" s="179"/>
    </row>
    <row r="620" ht="15.75" customHeight="1">
      <c r="P620" s="179"/>
      <c r="Q620" s="179"/>
      <c r="R620" s="179"/>
    </row>
    <row r="621" ht="15.75" customHeight="1">
      <c r="P621" s="179"/>
      <c r="Q621" s="179"/>
      <c r="R621" s="179"/>
    </row>
    <row r="622" ht="15.75" customHeight="1">
      <c r="P622" s="179"/>
      <c r="Q622" s="179"/>
      <c r="R622" s="179"/>
    </row>
    <row r="623" ht="15.75" customHeight="1">
      <c r="P623" s="179"/>
      <c r="Q623" s="179"/>
      <c r="R623" s="179"/>
    </row>
    <row r="624" ht="15.75" customHeight="1">
      <c r="P624" s="179"/>
      <c r="Q624" s="179"/>
      <c r="R624" s="179"/>
    </row>
    <row r="625" ht="15.75" customHeight="1">
      <c r="P625" s="179"/>
      <c r="Q625" s="179"/>
      <c r="R625" s="179"/>
    </row>
    <row r="626" ht="15.75" customHeight="1">
      <c r="P626" s="179"/>
      <c r="Q626" s="179"/>
      <c r="R626" s="179"/>
    </row>
    <row r="627" ht="15.75" customHeight="1">
      <c r="P627" s="179"/>
      <c r="Q627" s="179"/>
      <c r="R627" s="179"/>
    </row>
    <row r="628" ht="15.75" customHeight="1">
      <c r="P628" s="179"/>
      <c r="Q628" s="179"/>
      <c r="R628" s="179"/>
    </row>
    <row r="629" ht="15.75" customHeight="1">
      <c r="P629" s="179"/>
      <c r="Q629" s="179"/>
      <c r="R629" s="179"/>
    </row>
    <row r="630" ht="15.75" customHeight="1">
      <c r="P630" s="179"/>
      <c r="Q630" s="179"/>
      <c r="R630" s="179"/>
    </row>
    <row r="631" ht="15.75" customHeight="1">
      <c r="P631" s="179"/>
      <c r="Q631" s="179"/>
      <c r="R631" s="179"/>
    </row>
    <row r="632" ht="15.75" customHeight="1">
      <c r="P632" s="179"/>
      <c r="Q632" s="179"/>
      <c r="R632" s="179"/>
    </row>
    <row r="633" ht="15.75" customHeight="1">
      <c r="P633" s="179"/>
      <c r="Q633" s="179"/>
      <c r="R633" s="179"/>
    </row>
    <row r="634" ht="15.75" customHeight="1">
      <c r="P634" s="179"/>
      <c r="Q634" s="179"/>
      <c r="R634" s="179"/>
    </row>
    <row r="635" ht="15.75" customHeight="1">
      <c r="P635" s="179"/>
      <c r="Q635" s="179"/>
      <c r="R635" s="179"/>
    </row>
    <row r="636" ht="15.75" customHeight="1">
      <c r="P636" s="179"/>
      <c r="Q636" s="179"/>
      <c r="R636" s="179"/>
    </row>
    <row r="637" ht="15.75" customHeight="1">
      <c r="P637" s="179"/>
      <c r="Q637" s="179"/>
      <c r="R637" s="179"/>
    </row>
    <row r="638" ht="15.75" customHeight="1">
      <c r="P638" s="179"/>
      <c r="Q638" s="179"/>
      <c r="R638" s="179"/>
    </row>
    <row r="639" ht="15.75" customHeight="1">
      <c r="P639" s="179"/>
      <c r="Q639" s="179"/>
      <c r="R639" s="179"/>
    </row>
    <row r="640" ht="15.75" customHeight="1">
      <c r="P640" s="179"/>
      <c r="Q640" s="179"/>
      <c r="R640" s="179"/>
    </row>
    <row r="641" ht="15.75" customHeight="1">
      <c r="P641" s="179"/>
      <c r="Q641" s="179"/>
      <c r="R641" s="179"/>
    </row>
    <row r="642" ht="15.75" customHeight="1">
      <c r="P642" s="179"/>
      <c r="Q642" s="179"/>
      <c r="R642" s="179"/>
    </row>
    <row r="643" ht="15.75" customHeight="1">
      <c r="P643" s="179"/>
      <c r="Q643" s="179"/>
      <c r="R643" s="179"/>
    </row>
    <row r="644" ht="15.75" customHeight="1">
      <c r="P644" s="179"/>
      <c r="Q644" s="179"/>
      <c r="R644" s="179"/>
    </row>
    <row r="645" ht="15.75" customHeight="1">
      <c r="P645" s="179"/>
      <c r="Q645" s="179"/>
      <c r="R645" s="179"/>
    </row>
    <row r="646" ht="15.75" customHeight="1">
      <c r="P646" s="179"/>
      <c r="Q646" s="179"/>
      <c r="R646" s="179"/>
    </row>
    <row r="647" ht="15.75" customHeight="1">
      <c r="P647" s="179"/>
      <c r="Q647" s="179"/>
      <c r="R647" s="179"/>
    </row>
    <row r="648" ht="15.75" customHeight="1">
      <c r="P648" s="179"/>
      <c r="Q648" s="179"/>
      <c r="R648" s="179"/>
    </row>
    <row r="649" ht="15.75" customHeight="1">
      <c r="P649" s="179"/>
      <c r="Q649" s="179"/>
      <c r="R649" s="179"/>
    </row>
    <row r="650" ht="15.75" customHeight="1">
      <c r="P650" s="179"/>
      <c r="Q650" s="179"/>
      <c r="R650" s="179"/>
    </row>
    <row r="651" ht="15.75" customHeight="1">
      <c r="P651" s="179"/>
      <c r="Q651" s="179"/>
      <c r="R651" s="179"/>
    </row>
    <row r="652" ht="15.75" customHeight="1">
      <c r="P652" s="179"/>
      <c r="Q652" s="179"/>
      <c r="R652" s="179"/>
    </row>
    <row r="653" ht="15.75" customHeight="1">
      <c r="P653" s="179"/>
      <c r="Q653" s="179"/>
      <c r="R653" s="179"/>
    </row>
    <row r="654" ht="15.75" customHeight="1">
      <c r="P654" s="179"/>
      <c r="Q654" s="179"/>
      <c r="R654" s="179"/>
    </row>
    <row r="655" ht="15.75" customHeight="1">
      <c r="P655" s="179"/>
      <c r="Q655" s="179"/>
      <c r="R655" s="179"/>
    </row>
    <row r="656" ht="15.75" customHeight="1">
      <c r="P656" s="179"/>
      <c r="Q656" s="179"/>
      <c r="R656" s="179"/>
    </row>
    <row r="657" ht="15.75" customHeight="1">
      <c r="P657" s="179"/>
      <c r="Q657" s="179"/>
      <c r="R657" s="179"/>
    </row>
    <row r="658" ht="15.75" customHeight="1">
      <c r="P658" s="179"/>
      <c r="Q658" s="179"/>
      <c r="R658" s="179"/>
    </row>
    <row r="659" ht="15.75" customHeight="1">
      <c r="P659" s="179"/>
      <c r="Q659" s="179"/>
      <c r="R659" s="179"/>
    </row>
    <row r="660" ht="15.75" customHeight="1">
      <c r="P660" s="179"/>
      <c r="Q660" s="179"/>
      <c r="R660" s="179"/>
    </row>
    <row r="661" ht="15.75" customHeight="1">
      <c r="P661" s="179"/>
      <c r="Q661" s="179"/>
      <c r="R661" s="179"/>
    </row>
    <row r="662" ht="15.75" customHeight="1">
      <c r="P662" s="179"/>
      <c r="Q662" s="179"/>
      <c r="R662" s="179"/>
    </row>
    <row r="663" ht="15.75" customHeight="1">
      <c r="P663" s="179"/>
      <c r="Q663" s="179"/>
      <c r="R663" s="179"/>
    </row>
    <row r="664" ht="15.75" customHeight="1">
      <c r="P664" s="179"/>
      <c r="Q664" s="179"/>
      <c r="R664" s="179"/>
    </row>
    <row r="665" ht="15.75" customHeight="1">
      <c r="P665" s="179"/>
      <c r="Q665" s="179"/>
      <c r="R665" s="179"/>
    </row>
    <row r="666" ht="15.75" customHeight="1">
      <c r="P666" s="179"/>
      <c r="Q666" s="179"/>
      <c r="R666" s="179"/>
    </row>
    <row r="667" ht="15.75" customHeight="1">
      <c r="P667" s="179"/>
      <c r="Q667" s="179"/>
      <c r="R667" s="179"/>
    </row>
    <row r="668" ht="15.75" customHeight="1">
      <c r="P668" s="179"/>
      <c r="Q668" s="179"/>
      <c r="R668" s="179"/>
    </row>
    <row r="669" ht="15.75" customHeight="1">
      <c r="P669" s="179"/>
      <c r="Q669" s="179"/>
      <c r="R669" s="179"/>
    </row>
    <row r="670" ht="15.75" customHeight="1">
      <c r="P670" s="179"/>
      <c r="Q670" s="179"/>
      <c r="R670" s="179"/>
    </row>
    <row r="671" ht="15.75" customHeight="1">
      <c r="P671" s="179"/>
      <c r="Q671" s="179"/>
      <c r="R671" s="179"/>
    </row>
    <row r="672" ht="15.75" customHeight="1">
      <c r="P672" s="179"/>
      <c r="Q672" s="179"/>
      <c r="R672" s="179"/>
    </row>
    <row r="673" ht="15.75" customHeight="1">
      <c r="P673" s="179"/>
      <c r="Q673" s="179"/>
      <c r="R673" s="179"/>
    </row>
    <row r="674" ht="15.75" customHeight="1">
      <c r="P674" s="179"/>
      <c r="Q674" s="179"/>
      <c r="R674" s="179"/>
    </row>
    <row r="675" ht="15.75" customHeight="1">
      <c r="P675" s="179"/>
      <c r="Q675" s="179"/>
      <c r="R675" s="179"/>
    </row>
    <row r="676" ht="15.75" customHeight="1">
      <c r="P676" s="179"/>
      <c r="Q676" s="179"/>
      <c r="R676" s="179"/>
    </row>
    <row r="677" ht="15.75" customHeight="1">
      <c r="P677" s="179"/>
      <c r="Q677" s="179"/>
      <c r="R677" s="179"/>
    </row>
    <row r="678" ht="15.75" customHeight="1">
      <c r="P678" s="179"/>
      <c r="Q678" s="179"/>
      <c r="R678" s="179"/>
    </row>
    <row r="679" ht="15.75" customHeight="1">
      <c r="P679" s="179"/>
      <c r="Q679" s="179"/>
      <c r="R679" s="179"/>
    </row>
    <row r="680" ht="15.75" customHeight="1">
      <c r="P680" s="179"/>
      <c r="Q680" s="179"/>
      <c r="R680" s="179"/>
    </row>
    <row r="681" ht="15.75" customHeight="1">
      <c r="P681" s="179"/>
      <c r="Q681" s="179"/>
      <c r="R681" s="179"/>
    </row>
    <row r="682" ht="15.75" customHeight="1">
      <c r="P682" s="179"/>
      <c r="Q682" s="179"/>
      <c r="R682" s="179"/>
    </row>
    <row r="683" ht="15.75" customHeight="1">
      <c r="P683" s="179"/>
      <c r="Q683" s="179"/>
      <c r="R683" s="179"/>
    </row>
    <row r="684" ht="15.75" customHeight="1">
      <c r="P684" s="179"/>
      <c r="Q684" s="179"/>
      <c r="R684" s="179"/>
    </row>
    <row r="685" ht="15.75" customHeight="1">
      <c r="P685" s="179"/>
      <c r="Q685" s="179"/>
      <c r="R685" s="179"/>
    </row>
    <row r="686" ht="15.75" customHeight="1">
      <c r="P686" s="179"/>
      <c r="Q686" s="179"/>
      <c r="R686" s="179"/>
    </row>
    <row r="687" ht="15.75" customHeight="1">
      <c r="P687" s="179"/>
      <c r="Q687" s="179"/>
      <c r="R687" s="179"/>
    </row>
    <row r="688" ht="15.75" customHeight="1">
      <c r="P688" s="179"/>
      <c r="Q688" s="179"/>
      <c r="R688" s="179"/>
    </row>
    <row r="689" ht="15.75" customHeight="1">
      <c r="P689" s="179"/>
      <c r="Q689" s="179"/>
      <c r="R689" s="179"/>
    </row>
    <row r="690" ht="15.75" customHeight="1">
      <c r="P690" s="179"/>
      <c r="Q690" s="179"/>
      <c r="R690" s="179"/>
    </row>
    <row r="691" ht="15.75" customHeight="1">
      <c r="P691" s="179"/>
      <c r="Q691" s="179"/>
      <c r="R691" s="179"/>
    </row>
    <row r="692" ht="15.75" customHeight="1">
      <c r="P692" s="179"/>
      <c r="Q692" s="179"/>
      <c r="R692" s="179"/>
    </row>
    <row r="693" ht="15.75" customHeight="1">
      <c r="P693" s="179"/>
      <c r="Q693" s="179"/>
      <c r="R693" s="179"/>
    </row>
    <row r="694" ht="15.75" customHeight="1">
      <c r="P694" s="179"/>
      <c r="Q694" s="179"/>
      <c r="R694" s="179"/>
    </row>
    <row r="695" ht="15.75" customHeight="1">
      <c r="P695" s="179"/>
      <c r="Q695" s="179"/>
      <c r="R695" s="179"/>
    </row>
    <row r="696" ht="15.75" customHeight="1">
      <c r="P696" s="179"/>
      <c r="Q696" s="179"/>
      <c r="R696" s="179"/>
    </row>
    <row r="697" ht="15.75" customHeight="1">
      <c r="P697" s="179"/>
      <c r="Q697" s="179"/>
      <c r="R697" s="179"/>
    </row>
    <row r="698" ht="15.75" customHeight="1">
      <c r="P698" s="179"/>
      <c r="Q698" s="179"/>
      <c r="R698" s="179"/>
    </row>
    <row r="699" ht="15.75" customHeight="1">
      <c r="P699" s="179"/>
      <c r="Q699" s="179"/>
      <c r="R699" s="179"/>
    </row>
    <row r="700" ht="15.75" customHeight="1">
      <c r="P700" s="179"/>
      <c r="Q700" s="179"/>
      <c r="R700" s="179"/>
    </row>
    <row r="701" ht="15.75" customHeight="1">
      <c r="P701" s="179"/>
      <c r="Q701" s="179"/>
      <c r="R701" s="179"/>
    </row>
    <row r="702" ht="15.75" customHeight="1">
      <c r="P702" s="179"/>
      <c r="Q702" s="179"/>
      <c r="R702" s="179"/>
    </row>
    <row r="703" ht="15.75" customHeight="1">
      <c r="P703" s="179"/>
      <c r="Q703" s="179"/>
      <c r="R703" s="179"/>
    </row>
    <row r="704" ht="15.75" customHeight="1">
      <c r="P704" s="179"/>
      <c r="Q704" s="179"/>
      <c r="R704" s="179"/>
    </row>
    <row r="705" ht="15.75" customHeight="1">
      <c r="P705" s="179"/>
      <c r="Q705" s="179"/>
      <c r="R705" s="179"/>
    </row>
    <row r="706" ht="15.75" customHeight="1">
      <c r="P706" s="179"/>
      <c r="Q706" s="179"/>
      <c r="R706" s="179"/>
    </row>
    <row r="707" ht="15.75" customHeight="1">
      <c r="P707" s="179"/>
      <c r="Q707" s="179"/>
      <c r="R707" s="179"/>
    </row>
    <row r="708" ht="15.75" customHeight="1">
      <c r="P708" s="179"/>
      <c r="Q708" s="179"/>
      <c r="R708" s="179"/>
    </row>
    <row r="709" ht="15.75" customHeight="1">
      <c r="P709" s="179"/>
      <c r="Q709" s="179"/>
      <c r="R709" s="179"/>
    </row>
    <row r="710" ht="15.75" customHeight="1">
      <c r="P710" s="179"/>
      <c r="Q710" s="179"/>
      <c r="R710" s="179"/>
    </row>
    <row r="711" ht="15.75" customHeight="1">
      <c r="P711" s="179"/>
      <c r="Q711" s="179"/>
      <c r="R711" s="179"/>
    </row>
    <row r="712" ht="15.75" customHeight="1">
      <c r="P712" s="179"/>
      <c r="Q712" s="179"/>
      <c r="R712" s="179"/>
    </row>
    <row r="713" ht="15.75" customHeight="1">
      <c r="P713" s="179"/>
      <c r="Q713" s="179"/>
      <c r="R713" s="179"/>
    </row>
    <row r="714" ht="15.75" customHeight="1">
      <c r="P714" s="179"/>
      <c r="Q714" s="179"/>
      <c r="R714" s="179"/>
    </row>
    <row r="715" ht="15.75" customHeight="1">
      <c r="P715" s="179"/>
      <c r="Q715" s="179"/>
      <c r="R715" s="179"/>
    </row>
    <row r="716" ht="15.75" customHeight="1">
      <c r="P716" s="179"/>
      <c r="Q716" s="179"/>
      <c r="R716" s="179"/>
    </row>
    <row r="717" ht="15.75" customHeight="1">
      <c r="P717" s="179"/>
      <c r="Q717" s="179"/>
      <c r="R717" s="179"/>
    </row>
    <row r="718" ht="15.75" customHeight="1">
      <c r="P718" s="179"/>
      <c r="Q718" s="179"/>
      <c r="R718" s="179"/>
    </row>
    <row r="719" ht="15.75" customHeight="1">
      <c r="P719" s="179"/>
      <c r="Q719" s="179"/>
      <c r="R719" s="179"/>
    </row>
    <row r="720" ht="15.75" customHeight="1">
      <c r="P720" s="179"/>
      <c r="Q720" s="179"/>
      <c r="R720" s="179"/>
    </row>
    <row r="721" ht="15.75" customHeight="1">
      <c r="P721" s="179"/>
      <c r="Q721" s="179"/>
      <c r="R721" s="179"/>
    </row>
    <row r="722" ht="15.75" customHeight="1">
      <c r="P722" s="179"/>
      <c r="Q722" s="179"/>
      <c r="R722" s="179"/>
    </row>
    <row r="723" ht="15.75" customHeight="1">
      <c r="P723" s="179"/>
      <c r="Q723" s="179"/>
      <c r="R723" s="179"/>
    </row>
    <row r="724" ht="15.75" customHeight="1">
      <c r="P724" s="179"/>
      <c r="Q724" s="179"/>
      <c r="R724" s="179"/>
    </row>
    <row r="725" ht="15.75" customHeight="1">
      <c r="P725" s="179"/>
      <c r="Q725" s="179"/>
      <c r="R725" s="179"/>
    </row>
    <row r="726" ht="15.75" customHeight="1">
      <c r="P726" s="179"/>
      <c r="Q726" s="179"/>
      <c r="R726" s="179"/>
    </row>
    <row r="727" ht="15.75" customHeight="1">
      <c r="P727" s="179"/>
      <c r="Q727" s="179"/>
      <c r="R727" s="179"/>
    </row>
    <row r="728" ht="15.75" customHeight="1">
      <c r="P728" s="179"/>
      <c r="Q728" s="179"/>
      <c r="R728" s="179"/>
    </row>
    <row r="729" ht="15.75" customHeight="1">
      <c r="P729" s="179"/>
      <c r="Q729" s="179"/>
      <c r="R729" s="179"/>
    </row>
    <row r="730" ht="15.75" customHeight="1">
      <c r="P730" s="179"/>
      <c r="Q730" s="179"/>
      <c r="R730" s="179"/>
    </row>
    <row r="731" ht="15.75" customHeight="1">
      <c r="P731" s="179"/>
      <c r="Q731" s="179"/>
      <c r="R731" s="179"/>
    </row>
    <row r="732" ht="15.75" customHeight="1">
      <c r="P732" s="179"/>
      <c r="Q732" s="179"/>
      <c r="R732" s="179"/>
    </row>
    <row r="733" ht="15.75" customHeight="1">
      <c r="P733" s="179"/>
      <c r="Q733" s="179"/>
      <c r="R733" s="179"/>
    </row>
    <row r="734" ht="15.75" customHeight="1">
      <c r="P734" s="179"/>
      <c r="Q734" s="179"/>
      <c r="R734" s="179"/>
    </row>
    <row r="735" ht="15.75" customHeight="1">
      <c r="P735" s="179"/>
      <c r="Q735" s="179"/>
      <c r="R735" s="179"/>
    </row>
    <row r="736" ht="15.75" customHeight="1">
      <c r="P736" s="179"/>
      <c r="Q736" s="179"/>
      <c r="R736" s="179"/>
    </row>
    <row r="737" ht="15.75" customHeight="1">
      <c r="P737" s="179"/>
      <c r="Q737" s="179"/>
      <c r="R737" s="179"/>
    </row>
    <row r="738" ht="15.75" customHeight="1">
      <c r="P738" s="179"/>
      <c r="Q738" s="179"/>
      <c r="R738" s="179"/>
    </row>
    <row r="739" ht="15.75" customHeight="1">
      <c r="P739" s="179"/>
      <c r="Q739" s="179"/>
      <c r="R739" s="179"/>
    </row>
    <row r="740" ht="15.75" customHeight="1">
      <c r="P740" s="179"/>
      <c r="Q740" s="179"/>
      <c r="R740" s="179"/>
    </row>
    <row r="741" ht="15.75" customHeight="1">
      <c r="P741" s="179"/>
      <c r="Q741" s="179"/>
      <c r="R741" s="179"/>
    </row>
    <row r="742" ht="15.75" customHeight="1">
      <c r="P742" s="179"/>
      <c r="Q742" s="179"/>
      <c r="R742" s="179"/>
    </row>
    <row r="743" ht="15.75" customHeight="1">
      <c r="P743" s="179"/>
      <c r="Q743" s="179"/>
      <c r="R743" s="179"/>
    </row>
    <row r="744" ht="15.75" customHeight="1">
      <c r="P744" s="179"/>
      <c r="Q744" s="179"/>
      <c r="R744" s="179"/>
    </row>
    <row r="745" ht="15.75" customHeight="1">
      <c r="P745" s="179"/>
      <c r="Q745" s="179"/>
      <c r="R745" s="179"/>
    </row>
    <row r="746" ht="15.75" customHeight="1">
      <c r="P746" s="179"/>
      <c r="Q746" s="179"/>
      <c r="R746" s="179"/>
    </row>
    <row r="747" ht="15.75" customHeight="1">
      <c r="P747" s="179"/>
      <c r="Q747" s="179"/>
      <c r="R747" s="179"/>
    </row>
    <row r="748" ht="15.75" customHeight="1">
      <c r="P748" s="179"/>
      <c r="Q748" s="179"/>
      <c r="R748" s="179"/>
    </row>
    <row r="749" ht="15.75" customHeight="1">
      <c r="P749" s="179"/>
      <c r="Q749" s="179"/>
      <c r="R749" s="179"/>
    </row>
    <row r="750" ht="15.75" customHeight="1">
      <c r="P750" s="179"/>
      <c r="Q750" s="179"/>
      <c r="R750" s="179"/>
    </row>
    <row r="751" ht="15.75" customHeight="1">
      <c r="P751" s="179"/>
      <c r="Q751" s="179"/>
      <c r="R751" s="179"/>
    </row>
    <row r="752" ht="15.75" customHeight="1">
      <c r="P752" s="179"/>
      <c r="Q752" s="179"/>
      <c r="R752" s="179"/>
    </row>
    <row r="753" ht="15.75" customHeight="1">
      <c r="P753" s="179"/>
      <c r="Q753" s="179"/>
      <c r="R753" s="179"/>
    </row>
    <row r="754" ht="15.75" customHeight="1">
      <c r="P754" s="179"/>
      <c r="Q754" s="179"/>
      <c r="R754" s="179"/>
    </row>
    <row r="755" ht="15.75" customHeight="1">
      <c r="P755" s="179"/>
      <c r="Q755" s="179"/>
      <c r="R755" s="179"/>
    </row>
    <row r="756" ht="15.75" customHeight="1">
      <c r="P756" s="179"/>
      <c r="Q756" s="179"/>
      <c r="R756" s="179"/>
    </row>
    <row r="757" ht="15.75" customHeight="1">
      <c r="P757" s="179"/>
      <c r="Q757" s="179"/>
      <c r="R757" s="179"/>
    </row>
    <row r="758" ht="15.75" customHeight="1">
      <c r="P758" s="179"/>
      <c r="Q758" s="179"/>
      <c r="R758" s="179"/>
    </row>
    <row r="759" ht="15.75" customHeight="1">
      <c r="P759" s="179"/>
      <c r="Q759" s="179"/>
      <c r="R759" s="179"/>
    </row>
    <row r="760" ht="15.75" customHeight="1">
      <c r="P760" s="179"/>
      <c r="Q760" s="179"/>
      <c r="R760" s="179"/>
    </row>
    <row r="761" ht="15.75" customHeight="1">
      <c r="P761" s="179"/>
      <c r="Q761" s="179"/>
      <c r="R761" s="179"/>
    </row>
    <row r="762" ht="15.75" customHeight="1">
      <c r="P762" s="179"/>
      <c r="Q762" s="179"/>
      <c r="R762" s="179"/>
    </row>
    <row r="763" ht="15.75" customHeight="1">
      <c r="P763" s="179"/>
      <c r="Q763" s="179"/>
      <c r="R763" s="179"/>
    </row>
    <row r="764" ht="15.75" customHeight="1">
      <c r="P764" s="179"/>
      <c r="Q764" s="179"/>
      <c r="R764" s="179"/>
    </row>
    <row r="765" ht="15.75" customHeight="1">
      <c r="P765" s="179"/>
      <c r="Q765" s="179"/>
      <c r="R765" s="179"/>
    </row>
    <row r="766" ht="15.75" customHeight="1">
      <c r="P766" s="179"/>
      <c r="Q766" s="179"/>
      <c r="R766" s="179"/>
    </row>
    <row r="767" ht="15.75" customHeight="1">
      <c r="P767" s="179"/>
      <c r="Q767" s="179"/>
      <c r="R767" s="179"/>
    </row>
    <row r="768" ht="15.75" customHeight="1">
      <c r="P768" s="179"/>
      <c r="Q768" s="179"/>
      <c r="R768" s="179"/>
    </row>
    <row r="769" ht="15.75" customHeight="1">
      <c r="P769" s="179"/>
      <c r="Q769" s="179"/>
      <c r="R769" s="179"/>
    </row>
    <row r="770" ht="15.75" customHeight="1">
      <c r="P770" s="179"/>
      <c r="Q770" s="179"/>
      <c r="R770" s="179"/>
    </row>
    <row r="771" ht="15.75" customHeight="1">
      <c r="P771" s="179"/>
      <c r="Q771" s="179"/>
      <c r="R771" s="179"/>
    </row>
    <row r="772" ht="15.75" customHeight="1">
      <c r="P772" s="179"/>
      <c r="Q772" s="179"/>
      <c r="R772" s="179"/>
    </row>
    <row r="773" ht="15.75" customHeight="1">
      <c r="P773" s="179"/>
      <c r="Q773" s="179"/>
      <c r="R773" s="179"/>
    </row>
    <row r="774" ht="15.75" customHeight="1">
      <c r="P774" s="179"/>
      <c r="Q774" s="179"/>
      <c r="R774" s="179"/>
    </row>
    <row r="775" ht="15.75" customHeight="1">
      <c r="P775" s="179"/>
      <c r="Q775" s="179"/>
      <c r="R775" s="179"/>
    </row>
    <row r="776" ht="15.75" customHeight="1">
      <c r="P776" s="179"/>
      <c r="Q776" s="179"/>
      <c r="R776" s="179"/>
    </row>
    <row r="777" ht="15.75" customHeight="1">
      <c r="P777" s="179"/>
      <c r="Q777" s="179"/>
      <c r="R777" s="179"/>
    </row>
    <row r="778" ht="15.75" customHeight="1">
      <c r="P778" s="179"/>
      <c r="Q778" s="179"/>
      <c r="R778" s="179"/>
    </row>
    <row r="779" ht="15.75" customHeight="1">
      <c r="P779" s="179"/>
      <c r="Q779" s="179"/>
      <c r="R779" s="179"/>
    </row>
    <row r="780" ht="15.75" customHeight="1">
      <c r="P780" s="179"/>
      <c r="Q780" s="179"/>
      <c r="R780" s="179"/>
    </row>
    <row r="781" ht="15.75" customHeight="1">
      <c r="P781" s="179"/>
      <c r="Q781" s="179"/>
      <c r="R781" s="179"/>
    </row>
    <row r="782" ht="15.75" customHeight="1">
      <c r="P782" s="179"/>
      <c r="Q782" s="179"/>
      <c r="R782" s="179"/>
    </row>
    <row r="783" ht="15.75" customHeight="1">
      <c r="P783" s="179"/>
      <c r="Q783" s="179"/>
      <c r="R783" s="179"/>
    </row>
    <row r="784" ht="15.75" customHeight="1">
      <c r="P784" s="179"/>
      <c r="Q784" s="179"/>
      <c r="R784" s="179"/>
    </row>
    <row r="785" ht="15.75" customHeight="1">
      <c r="P785" s="179"/>
      <c r="Q785" s="179"/>
      <c r="R785" s="179"/>
    </row>
    <row r="786" ht="15.75" customHeight="1">
      <c r="P786" s="179"/>
      <c r="Q786" s="179"/>
      <c r="R786" s="179"/>
    </row>
    <row r="787" ht="15.75" customHeight="1">
      <c r="P787" s="179"/>
      <c r="Q787" s="179"/>
      <c r="R787" s="179"/>
    </row>
    <row r="788" ht="15.75" customHeight="1">
      <c r="P788" s="179"/>
      <c r="Q788" s="179"/>
      <c r="R788" s="179"/>
    </row>
    <row r="789" ht="15.75" customHeight="1">
      <c r="P789" s="179"/>
      <c r="Q789" s="179"/>
      <c r="R789" s="179"/>
    </row>
    <row r="790" ht="15.75" customHeight="1">
      <c r="P790" s="179"/>
      <c r="Q790" s="179"/>
      <c r="R790" s="179"/>
    </row>
    <row r="791" ht="15.75" customHeight="1">
      <c r="P791" s="179"/>
      <c r="Q791" s="179"/>
      <c r="R791" s="179"/>
    </row>
    <row r="792" ht="15.75" customHeight="1">
      <c r="P792" s="179"/>
      <c r="Q792" s="179"/>
      <c r="R792" s="179"/>
    </row>
    <row r="793" ht="15.75" customHeight="1">
      <c r="P793" s="179"/>
      <c r="Q793" s="179"/>
      <c r="R793" s="179"/>
    </row>
    <row r="794" ht="15.75" customHeight="1">
      <c r="P794" s="179"/>
      <c r="Q794" s="179"/>
      <c r="R794" s="179"/>
    </row>
    <row r="795" ht="15.75" customHeight="1">
      <c r="P795" s="179"/>
      <c r="Q795" s="179"/>
      <c r="R795" s="179"/>
    </row>
    <row r="796" ht="15.75" customHeight="1">
      <c r="P796" s="179"/>
      <c r="Q796" s="179"/>
      <c r="R796" s="179"/>
    </row>
    <row r="797" ht="15.75" customHeight="1">
      <c r="P797" s="179"/>
      <c r="Q797" s="179"/>
      <c r="R797" s="179"/>
    </row>
    <row r="798" ht="15.75" customHeight="1">
      <c r="P798" s="179"/>
      <c r="Q798" s="179"/>
      <c r="R798" s="179"/>
    </row>
    <row r="799" ht="15.75" customHeight="1">
      <c r="P799" s="179"/>
      <c r="Q799" s="179"/>
      <c r="R799" s="179"/>
    </row>
    <row r="800" ht="15.75" customHeight="1">
      <c r="P800" s="179"/>
      <c r="Q800" s="179"/>
      <c r="R800" s="179"/>
    </row>
    <row r="801" ht="15.75" customHeight="1">
      <c r="P801" s="179"/>
      <c r="Q801" s="179"/>
      <c r="R801" s="179"/>
    </row>
    <row r="802" ht="15.75" customHeight="1">
      <c r="P802" s="179"/>
      <c r="Q802" s="179"/>
      <c r="R802" s="179"/>
    </row>
    <row r="803" ht="15.75" customHeight="1">
      <c r="P803" s="179"/>
      <c r="Q803" s="179"/>
      <c r="R803" s="179"/>
    </row>
    <row r="804" ht="15.75" customHeight="1">
      <c r="P804" s="179"/>
      <c r="Q804" s="179"/>
      <c r="R804" s="179"/>
    </row>
    <row r="805" ht="15.75" customHeight="1">
      <c r="P805" s="179"/>
      <c r="Q805" s="179"/>
      <c r="R805" s="179"/>
    </row>
    <row r="806" ht="15.75" customHeight="1">
      <c r="P806" s="179"/>
      <c r="Q806" s="179"/>
      <c r="R806" s="179"/>
    </row>
    <row r="807" ht="15.75" customHeight="1">
      <c r="P807" s="179"/>
      <c r="Q807" s="179"/>
      <c r="R807" s="179"/>
    </row>
    <row r="808" ht="15.75" customHeight="1">
      <c r="P808" s="179"/>
      <c r="Q808" s="179"/>
      <c r="R808" s="179"/>
    </row>
    <row r="809" ht="15.75" customHeight="1">
      <c r="P809" s="179"/>
      <c r="Q809" s="179"/>
      <c r="R809" s="179"/>
    </row>
    <row r="810" ht="15.75" customHeight="1">
      <c r="P810" s="179"/>
      <c r="Q810" s="179"/>
      <c r="R810" s="179"/>
    </row>
    <row r="811" ht="15.75" customHeight="1">
      <c r="P811" s="179"/>
      <c r="Q811" s="179"/>
      <c r="R811" s="179"/>
    </row>
    <row r="812" ht="15.75" customHeight="1">
      <c r="P812" s="179"/>
      <c r="Q812" s="179"/>
      <c r="R812" s="179"/>
    </row>
    <row r="813" ht="15.75" customHeight="1">
      <c r="P813" s="179"/>
      <c r="Q813" s="179"/>
      <c r="R813" s="179"/>
    </row>
    <row r="814" ht="15.75" customHeight="1">
      <c r="P814" s="179"/>
      <c r="Q814" s="179"/>
      <c r="R814" s="179"/>
    </row>
    <row r="815" ht="15.75" customHeight="1">
      <c r="P815" s="179"/>
      <c r="Q815" s="179"/>
      <c r="R815" s="179"/>
    </row>
    <row r="816" ht="15.75" customHeight="1">
      <c r="P816" s="179"/>
      <c r="Q816" s="179"/>
      <c r="R816" s="179"/>
    </row>
    <row r="817" ht="15.75" customHeight="1">
      <c r="P817" s="179"/>
      <c r="Q817" s="179"/>
      <c r="R817" s="179"/>
    </row>
    <row r="818" ht="15.75" customHeight="1">
      <c r="P818" s="179"/>
      <c r="Q818" s="179"/>
      <c r="R818" s="179"/>
    </row>
    <row r="819" ht="15.75" customHeight="1">
      <c r="P819" s="179"/>
      <c r="Q819" s="179"/>
      <c r="R819" s="179"/>
    </row>
    <row r="820" ht="15.75" customHeight="1">
      <c r="P820" s="179"/>
      <c r="Q820" s="179"/>
      <c r="R820" s="179"/>
    </row>
    <row r="821" ht="15.75" customHeight="1">
      <c r="P821" s="179"/>
      <c r="Q821" s="179"/>
      <c r="R821" s="179"/>
    </row>
    <row r="822" ht="15.75" customHeight="1">
      <c r="P822" s="179"/>
      <c r="Q822" s="179"/>
      <c r="R822" s="179"/>
    </row>
    <row r="823" ht="15.75" customHeight="1">
      <c r="P823" s="179"/>
      <c r="Q823" s="179"/>
      <c r="R823" s="179"/>
    </row>
    <row r="824" ht="15.75" customHeight="1">
      <c r="P824" s="179"/>
      <c r="Q824" s="179"/>
      <c r="R824" s="179"/>
    </row>
    <row r="825" ht="15.75" customHeight="1">
      <c r="P825" s="179"/>
      <c r="Q825" s="179"/>
      <c r="R825" s="179"/>
    </row>
    <row r="826" ht="15.75" customHeight="1">
      <c r="P826" s="179"/>
      <c r="Q826" s="179"/>
      <c r="R826" s="179"/>
    </row>
    <row r="827" ht="15.75" customHeight="1">
      <c r="P827" s="179"/>
      <c r="Q827" s="179"/>
      <c r="R827" s="179"/>
    </row>
    <row r="828" ht="15.75" customHeight="1">
      <c r="P828" s="179"/>
      <c r="Q828" s="179"/>
      <c r="R828" s="179"/>
    </row>
    <row r="829" ht="15.75" customHeight="1">
      <c r="P829" s="179"/>
      <c r="Q829" s="179"/>
      <c r="R829" s="179"/>
    </row>
    <row r="830" ht="15.75" customHeight="1">
      <c r="P830" s="179"/>
      <c r="Q830" s="179"/>
      <c r="R830" s="179"/>
    </row>
    <row r="831" ht="15.75" customHeight="1">
      <c r="P831" s="179"/>
      <c r="Q831" s="179"/>
      <c r="R831" s="179"/>
    </row>
    <row r="832" ht="15.75" customHeight="1">
      <c r="P832" s="179"/>
      <c r="Q832" s="179"/>
      <c r="R832" s="179"/>
    </row>
    <row r="833" ht="15.75" customHeight="1">
      <c r="P833" s="179"/>
      <c r="Q833" s="179"/>
      <c r="R833" s="179"/>
    </row>
    <row r="834" ht="15.75" customHeight="1">
      <c r="P834" s="179"/>
      <c r="Q834" s="179"/>
      <c r="R834" s="179"/>
    </row>
    <row r="835" ht="15.75" customHeight="1">
      <c r="P835" s="179"/>
      <c r="Q835" s="179"/>
      <c r="R835" s="179"/>
    </row>
    <row r="836" ht="15.75" customHeight="1">
      <c r="P836" s="179"/>
      <c r="Q836" s="179"/>
      <c r="R836" s="179"/>
    </row>
    <row r="837" ht="15.75" customHeight="1">
      <c r="P837" s="179"/>
      <c r="Q837" s="179"/>
      <c r="R837" s="179"/>
    </row>
    <row r="838" ht="15.75" customHeight="1">
      <c r="P838" s="179"/>
      <c r="Q838" s="179"/>
      <c r="R838" s="179"/>
    </row>
    <row r="839" ht="15.75" customHeight="1">
      <c r="P839" s="179"/>
      <c r="Q839" s="179"/>
      <c r="R839" s="179"/>
    </row>
    <row r="840" ht="15.75" customHeight="1">
      <c r="P840" s="179"/>
      <c r="Q840" s="179"/>
      <c r="R840" s="179"/>
    </row>
    <row r="841" ht="15.75" customHeight="1">
      <c r="P841" s="179"/>
      <c r="Q841" s="179"/>
      <c r="R841" s="179"/>
    </row>
    <row r="842" ht="15.75" customHeight="1">
      <c r="P842" s="179"/>
      <c r="Q842" s="179"/>
      <c r="R842" s="179"/>
    </row>
    <row r="843" ht="15.75" customHeight="1">
      <c r="P843" s="179"/>
      <c r="Q843" s="179"/>
      <c r="R843" s="179"/>
    </row>
    <row r="844" ht="15.75" customHeight="1">
      <c r="P844" s="179"/>
      <c r="Q844" s="179"/>
      <c r="R844" s="179"/>
    </row>
    <row r="845" ht="15.75" customHeight="1">
      <c r="P845" s="179"/>
      <c r="Q845" s="179"/>
      <c r="R845" s="179"/>
    </row>
    <row r="846" ht="15.75" customHeight="1">
      <c r="P846" s="179"/>
      <c r="Q846" s="179"/>
      <c r="R846" s="179"/>
    </row>
    <row r="847" ht="15.75" customHeight="1">
      <c r="P847" s="179"/>
      <c r="Q847" s="179"/>
      <c r="R847" s="179"/>
    </row>
    <row r="848" ht="15.75" customHeight="1">
      <c r="P848" s="179"/>
      <c r="Q848" s="179"/>
      <c r="R848" s="179"/>
    </row>
    <row r="849" ht="15.75" customHeight="1">
      <c r="P849" s="179"/>
      <c r="Q849" s="179"/>
      <c r="R849" s="179"/>
    </row>
    <row r="850" ht="15.75" customHeight="1">
      <c r="P850" s="179"/>
      <c r="Q850" s="179"/>
      <c r="R850" s="179"/>
    </row>
    <row r="851" ht="15.75" customHeight="1">
      <c r="P851" s="179"/>
      <c r="Q851" s="179"/>
      <c r="R851" s="179"/>
    </row>
    <row r="852" ht="15.75" customHeight="1">
      <c r="P852" s="179"/>
      <c r="Q852" s="179"/>
      <c r="R852" s="179"/>
    </row>
    <row r="853" ht="15.75" customHeight="1">
      <c r="P853" s="179"/>
      <c r="Q853" s="179"/>
      <c r="R853" s="179"/>
    </row>
    <row r="854" ht="15.75" customHeight="1">
      <c r="P854" s="179"/>
      <c r="Q854" s="179"/>
      <c r="R854" s="179"/>
    </row>
    <row r="855" ht="15.75" customHeight="1">
      <c r="P855" s="179"/>
      <c r="Q855" s="179"/>
      <c r="R855" s="179"/>
    </row>
    <row r="856" ht="15.75" customHeight="1">
      <c r="P856" s="179"/>
      <c r="Q856" s="179"/>
      <c r="R856" s="179"/>
    </row>
    <row r="857" ht="15.75" customHeight="1">
      <c r="P857" s="179"/>
      <c r="Q857" s="179"/>
      <c r="R857" s="179"/>
    </row>
    <row r="858" ht="15.75" customHeight="1">
      <c r="P858" s="179"/>
      <c r="Q858" s="179"/>
      <c r="R858" s="179"/>
    </row>
    <row r="859" ht="15.75" customHeight="1">
      <c r="P859" s="179"/>
      <c r="Q859" s="179"/>
      <c r="R859" s="179"/>
    </row>
    <row r="860" ht="15.75" customHeight="1">
      <c r="P860" s="179"/>
      <c r="Q860" s="179"/>
      <c r="R860" s="179"/>
    </row>
    <row r="861" ht="15.75" customHeight="1">
      <c r="P861" s="179"/>
      <c r="Q861" s="179"/>
      <c r="R861" s="179"/>
    </row>
    <row r="862" ht="15.75" customHeight="1">
      <c r="P862" s="179"/>
      <c r="Q862" s="179"/>
      <c r="R862" s="179"/>
    </row>
    <row r="863" ht="15.75" customHeight="1">
      <c r="P863" s="179"/>
      <c r="Q863" s="179"/>
      <c r="R863" s="179"/>
    </row>
    <row r="864" ht="15.75" customHeight="1">
      <c r="P864" s="179"/>
      <c r="Q864" s="179"/>
      <c r="R864" s="179"/>
    </row>
    <row r="865" ht="15.75" customHeight="1">
      <c r="P865" s="179"/>
      <c r="Q865" s="179"/>
      <c r="R865" s="179"/>
    </row>
    <row r="866" ht="15.75" customHeight="1">
      <c r="P866" s="179"/>
      <c r="Q866" s="179"/>
      <c r="R866" s="179"/>
    </row>
    <row r="867" ht="15.75" customHeight="1">
      <c r="P867" s="179"/>
      <c r="Q867" s="179"/>
      <c r="R867" s="179"/>
    </row>
    <row r="868" ht="15.75" customHeight="1">
      <c r="P868" s="179"/>
      <c r="Q868" s="179"/>
      <c r="R868" s="179"/>
    </row>
    <row r="869" ht="15.75" customHeight="1">
      <c r="P869" s="179"/>
      <c r="Q869" s="179"/>
      <c r="R869" s="179"/>
    </row>
    <row r="870" ht="15.75" customHeight="1">
      <c r="P870" s="179"/>
      <c r="Q870" s="179"/>
      <c r="R870" s="179"/>
    </row>
    <row r="871" ht="15.75" customHeight="1">
      <c r="P871" s="179"/>
      <c r="Q871" s="179"/>
      <c r="R871" s="179"/>
    </row>
    <row r="872" ht="15.75" customHeight="1">
      <c r="P872" s="179"/>
      <c r="Q872" s="179"/>
      <c r="R872" s="179"/>
    </row>
    <row r="873" ht="15.75" customHeight="1">
      <c r="P873" s="179"/>
      <c r="Q873" s="179"/>
      <c r="R873" s="179"/>
    </row>
    <row r="874" ht="15.75" customHeight="1">
      <c r="P874" s="179"/>
      <c r="Q874" s="179"/>
      <c r="R874" s="179"/>
    </row>
    <row r="875" ht="15.75" customHeight="1">
      <c r="P875" s="179"/>
      <c r="Q875" s="179"/>
      <c r="R875" s="179"/>
    </row>
    <row r="876" ht="15.75" customHeight="1">
      <c r="P876" s="179"/>
      <c r="Q876" s="179"/>
      <c r="R876" s="179"/>
    </row>
    <row r="877" ht="15.75" customHeight="1">
      <c r="P877" s="179"/>
      <c r="Q877" s="179"/>
      <c r="R877" s="179"/>
    </row>
    <row r="878" ht="15.75" customHeight="1">
      <c r="P878" s="179"/>
      <c r="Q878" s="179"/>
      <c r="R878" s="179"/>
    </row>
    <row r="879" ht="15.75" customHeight="1">
      <c r="P879" s="179"/>
      <c r="Q879" s="179"/>
      <c r="R879" s="179"/>
    </row>
    <row r="880" ht="15.75" customHeight="1">
      <c r="P880" s="179"/>
      <c r="Q880" s="179"/>
      <c r="R880" s="179"/>
    </row>
    <row r="881" ht="15.75" customHeight="1">
      <c r="P881" s="179"/>
      <c r="Q881" s="179"/>
      <c r="R881" s="179"/>
    </row>
    <row r="882" ht="15.75" customHeight="1">
      <c r="P882" s="179"/>
      <c r="Q882" s="179"/>
      <c r="R882" s="179"/>
    </row>
    <row r="883" ht="15.75" customHeight="1">
      <c r="P883" s="179"/>
      <c r="Q883" s="179"/>
      <c r="R883" s="179"/>
    </row>
    <row r="884" ht="15.75" customHeight="1">
      <c r="P884" s="179"/>
      <c r="Q884" s="179"/>
      <c r="R884" s="179"/>
    </row>
    <row r="885" ht="15.75" customHeight="1">
      <c r="P885" s="179"/>
      <c r="Q885" s="179"/>
      <c r="R885" s="179"/>
    </row>
    <row r="886" ht="15.75" customHeight="1">
      <c r="P886" s="179"/>
      <c r="Q886" s="179"/>
      <c r="R886" s="179"/>
    </row>
    <row r="887" ht="15.75" customHeight="1">
      <c r="P887" s="179"/>
      <c r="Q887" s="179"/>
      <c r="R887" s="179"/>
    </row>
    <row r="888" ht="15.75" customHeight="1">
      <c r="P888" s="179"/>
      <c r="Q888" s="179"/>
      <c r="R888" s="179"/>
    </row>
    <row r="889" ht="15.75" customHeight="1">
      <c r="P889" s="179"/>
      <c r="Q889" s="179"/>
      <c r="R889" s="179"/>
    </row>
    <row r="890" ht="15.75" customHeight="1">
      <c r="P890" s="179"/>
      <c r="Q890" s="179"/>
      <c r="R890" s="179"/>
    </row>
    <row r="891" ht="15.75" customHeight="1">
      <c r="P891" s="179"/>
      <c r="Q891" s="179"/>
      <c r="R891" s="179"/>
    </row>
    <row r="892" ht="15.75" customHeight="1">
      <c r="P892" s="179"/>
      <c r="Q892" s="179"/>
      <c r="R892" s="179"/>
    </row>
    <row r="893" ht="15.75" customHeight="1">
      <c r="P893" s="179"/>
      <c r="Q893" s="179"/>
      <c r="R893" s="179"/>
    </row>
    <row r="894" ht="15.75" customHeight="1">
      <c r="P894" s="179"/>
      <c r="Q894" s="179"/>
      <c r="R894" s="179"/>
    </row>
    <row r="895" ht="15.75" customHeight="1">
      <c r="P895" s="179"/>
      <c r="Q895" s="179"/>
      <c r="R895" s="179"/>
    </row>
    <row r="896" ht="15.75" customHeight="1">
      <c r="P896" s="179"/>
      <c r="Q896" s="179"/>
      <c r="R896" s="179"/>
    </row>
    <row r="897" ht="15.75" customHeight="1">
      <c r="P897" s="179"/>
      <c r="Q897" s="179"/>
      <c r="R897" s="179"/>
    </row>
    <row r="898" ht="15.75" customHeight="1">
      <c r="P898" s="179"/>
      <c r="Q898" s="179"/>
      <c r="R898" s="179"/>
    </row>
    <row r="899" ht="15.75" customHeight="1">
      <c r="P899" s="179"/>
      <c r="Q899" s="179"/>
      <c r="R899" s="179"/>
    </row>
    <row r="900" ht="15.75" customHeight="1">
      <c r="P900" s="179"/>
      <c r="Q900" s="179"/>
      <c r="R900" s="179"/>
    </row>
    <row r="901" ht="15.75" customHeight="1">
      <c r="P901" s="179"/>
      <c r="Q901" s="179"/>
      <c r="R901" s="179"/>
    </row>
    <row r="902" ht="15.75" customHeight="1">
      <c r="P902" s="179"/>
      <c r="Q902" s="179"/>
      <c r="R902" s="179"/>
    </row>
    <row r="903" ht="15.75" customHeight="1">
      <c r="P903" s="179"/>
      <c r="Q903" s="179"/>
      <c r="R903" s="179"/>
    </row>
    <row r="904" ht="15.75" customHeight="1">
      <c r="P904" s="179"/>
      <c r="Q904" s="179"/>
      <c r="R904" s="179"/>
    </row>
    <row r="905" ht="15.75" customHeight="1">
      <c r="P905" s="179"/>
      <c r="Q905" s="179"/>
      <c r="R905" s="179"/>
    </row>
    <row r="906" ht="15.75" customHeight="1">
      <c r="P906" s="179"/>
      <c r="Q906" s="179"/>
      <c r="R906" s="179"/>
    </row>
    <row r="907" ht="15.75" customHeight="1">
      <c r="P907" s="179"/>
      <c r="Q907" s="179"/>
      <c r="R907" s="179"/>
    </row>
    <row r="908" ht="15.75" customHeight="1">
      <c r="P908" s="179"/>
      <c r="Q908" s="179"/>
      <c r="R908" s="179"/>
    </row>
    <row r="909" ht="15.75" customHeight="1">
      <c r="P909" s="179"/>
      <c r="Q909" s="179"/>
      <c r="R909" s="179"/>
    </row>
    <row r="910" ht="15.75" customHeight="1">
      <c r="P910" s="179"/>
      <c r="Q910" s="179"/>
      <c r="R910" s="179"/>
    </row>
    <row r="911" ht="15.75" customHeight="1">
      <c r="P911" s="179"/>
      <c r="Q911" s="179"/>
      <c r="R911" s="179"/>
    </row>
    <row r="912" ht="15.75" customHeight="1">
      <c r="P912" s="179"/>
      <c r="Q912" s="179"/>
      <c r="R912" s="179"/>
    </row>
    <row r="913" ht="15.75" customHeight="1">
      <c r="P913" s="179"/>
      <c r="Q913" s="179"/>
      <c r="R913" s="179"/>
    </row>
    <row r="914" ht="15.75" customHeight="1">
      <c r="P914" s="179"/>
      <c r="Q914" s="179"/>
      <c r="R914" s="179"/>
    </row>
    <row r="915" ht="15.75" customHeight="1">
      <c r="P915" s="179"/>
      <c r="Q915" s="179"/>
      <c r="R915" s="179"/>
    </row>
    <row r="916" ht="15.75" customHeight="1">
      <c r="P916" s="179"/>
      <c r="Q916" s="179"/>
      <c r="R916" s="179"/>
    </row>
    <row r="917" ht="15.75" customHeight="1">
      <c r="P917" s="179"/>
      <c r="Q917" s="179"/>
      <c r="R917" s="179"/>
    </row>
    <row r="918" ht="15.75" customHeight="1">
      <c r="P918" s="179"/>
      <c r="Q918" s="179"/>
      <c r="R918" s="179"/>
    </row>
    <row r="919" ht="15.75" customHeight="1">
      <c r="P919" s="179"/>
      <c r="Q919" s="179"/>
      <c r="R919" s="179"/>
    </row>
    <row r="920" ht="15.75" customHeight="1">
      <c r="P920" s="179"/>
      <c r="Q920" s="179"/>
      <c r="R920" s="179"/>
    </row>
    <row r="921" ht="15.75" customHeight="1">
      <c r="P921" s="179"/>
      <c r="Q921" s="179"/>
      <c r="R921" s="179"/>
    </row>
    <row r="922" ht="15.75" customHeight="1">
      <c r="P922" s="179"/>
      <c r="Q922" s="179"/>
      <c r="R922" s="179"/>
    </row>
    <row r="923" ht="15.75" customHeight="1">
      <c r="P923" s="179"/>
      <c r="Q923" s="179"/>
      <c r="R923" s="179"/>
    </row>
    <row r="924" ht="15.75" customHeight="1">
      <c r="P924" s="179"/>
      <c r="Q924" s="179"/>
      <c r="R924" s="179"/>
    </row>
    <row r="925" ht="15.75" customHeight="1">
      <c r="P925" s="179"/>
      <c r="Q925" s="179"/>
      <c r="R925" s="179"/>
    </row>
    <row r="926" ht="15.75" customHeight="1">
      <c r="P926" s="179"/>
      <c r="Q926" s="179"/>
      <c r="R926" s="179"/>
    </row>
    <row r="927" ht="15.75" customHeight="1">
      <c r="P927" s="179"/>
      <c r="Q927" s="179"/>
      <c r="R927" s="179"/>
    </row>
    <row r="928" ht="15.75" customHeight="1">
      <c r="P928" s="179"/>
      <c r="Q928" s="179"/>
      <c r="R928" s="179"/>
    </row>
    <row r="929" ht="15.75" customHeight="1">
      <c r="P929" s="179"/>
      <c r="Q929" s="179"/>
      <c r="R929" s="179"/>
    </row>
    <row r="930" ht="15.75" customHeight="1">
      <c r="P930" s="179"/>
      <c r="Q930" s="179"/>
      <c r="R930" s="179"/>
    </row>
    <row r="931" ht="15.75" customHeight="1">
      <c r="P931" s="179"/>
      <c r="Q931" s="179"/>
      <c r="R931" s="179"/>
    </row>
    <row r="932" ht="15.75" customHeight="1">
      <c r="P932" s="179"/>
      <c r="Q932" s="179"/>
      <c r="R932" s="179"/>
    </row>
    <row r="933" ht="15.75" customHeight="1">
      <c r="P933" s="179"/>
      <c r="Q933" s="179"/>
      <c r="R933" s="179"/>
    </row>
    <row r="934" ht="15.75" customHeight="1">
      <c r="P934" s="179"/>
      <c r="Q934" s="179"/>
      <c r="R934" s="179"/>
    </row>
    <row r="935" ht="15.75" customHeight="1">
      <c r="P935" s="179"/>
      <c r="Q935" s="179"/>
      <c r="R935" s="179"/>
    </row>
    <row r="936" ht="15.75" customHeight="1">
      <c r="P936" s="179"/>
      <c r="Q936" s="179"/>
      <c r="R936" s="179"/>
    </row>
    <row r="937" ht="15.75" customHeight="1">
      <c r="P937" s="179"/>
      <c r="Q937" s="179"/>
      <c r="R937" s="179"/>
    </row>
    <row r="938" ht="15.75" customHeight="1">
      <c r="P938" s="179"/>
      <c r="Q938" s="179"/>
      <c r="R938" s="179"/>
    </row>
    <row r="939" ht="15.75" customHeight="1">
      <c r="P939" s="179"/>
      <c r="Q939" s="179"/>
      <c r="R939" s="179"/>
    </row>
    <row r="940" ht="15.75" customHeight="1">
      <c r="P940" s="179"/>
      <c r="Q940" s="179"/>
      <c r="R940" s="179"/>
    </row>
    <row r="941" ht="15.75" customHeight="1">
      <c r="P941" s="179"/>
      <c r="Q941" s="179"/>
      <c r="R941" s="179"/>
    </row>
    <row r="942" ht="15.75" customHeight="1">
      <c r="P942" s="179"/>
      <c r="Q942" s="179"/>
      <c r="R942" s="179"/>
    </row>
    <row r="943" ht="15.75" customHeight="1">
      <c r="P943" s="179"/>
      <c r="Q943" s="179"/>
      <c r="R943" s="179"/>
    </row>
    <row r="944" ht="15.75" customHeight="1">
      <c r="P944" s="179"/>
      <c r="Q944" s="179"/>
      <c r="R944" s="179"/>
    </row>
    <row r="945" ht="15.75" customHeight="1">
      <c r="P945" s="179"/>
      <c r="Q945" s="179"/>
      <c r="R945" s="179"/>
    </row>
    <row r="946" ht="15.75" customHeight="1">
      <c r="P946" s="179"/>
      <c r="Q946" s="179"/>
      <c r="R946" s="179"/>
    </row>
    <row r="947" ht="15.75" customHeight="1">
      <c r="P947" s="179"/>
      <c r="Q947" s="179"/>
      <c r="R947" s="179"/>
    </row>
    <row r="948" ht="15.75" customHeight="1">
      <c r="P948" s="179"/>
      <c r="Q948" s="179"/>
      <c r="R948" s="179"/>
    </row>
    <row r="949" ht="15.75" customHeight="1">
      <c r="P949" s="179"/>
      <c r="Q949" s="179"/>
      <c r="R949" s="179"/>
    </row>
    <row r="950" ht="15.75" customHeight="1">
      <c r="P950" s="179"/>
      <c r="Q950" s="179"/>
      <c r="R950" s="179"/>
    </row>
    <row r="951" ht="15.75" customHeight="1">
      <c r="P951" s="179"/>
      <c r="Q951" s="179"/>
      <c r="R951" s="179"/>
    </row>
    <row r="952" ht="15.75" customHeight="1">
      <c r="P952" s="179"/>
      <c r="Q952" s="179"/>
      <c r="R952" s="179"/>
    </row>
    <row r="953" ht="15.75" customHeight="1">
      <c r="P953" s="179"/>
      <c r="Q953" s="179"/>
      <c r="R953" s="179"/>
    </row>
    <row r="954" ht="15.75" customHeight="1">
      <c r="P954" s="179"/>
      <c r="Q954" s="179"/>
      <c r="R954" s="179"/>
    </row>
    <row r="955" ht="15.75" customHeight="1">
      <c r="P955" s="179"/>
      <c r="Q955" s="179"/>
      <c r="R955" s="179"/>
    </row>
    <row r="956" ht="15.75" customHeight="1">
      <c r="P956" s="179"/>
      <c r="Q956" s="179"/>
      <c r="R956" s="179"/>
    </row>
    <row r="957" ht="15.75" customHeight="1">
      <c r="P957" s="179"/>
      <c r="Q957" s="179"/>
      <c r="R957" s="179"/>
    </row>
    <row r="958" ht="15.75" customHeight="1">
      <c r="P958" s="179"/>
      <c r="Q958" s="179"/>
      <c r="R958" s="179"/>
    </row>
    <row r="959" ht="15.75" customHeight="1">
      <c r="P959" s="179"/>
      <c r="Q959" s="179"/>
      <c r="R959" s="179"/>
    </row>
    <row r="960" ht="15.75" customHeight="1">
      <c r="P960" s="179"/>
      <c r="Q960" s="179"/>
      <c r="R960" s="179"/>
    </row>
    <row r="961" ht="15.75" customHeight="1">
      <c r="P961" s="179"/>
      <c r="Q961" s="179"/>
      <c r="R961" s="179"/>
    </row>
    <row r="962" ht="15.75" customHeight="1">
      <c r="P962" s="179"/>
      <c r="Q962" s="179"/>
      <c r="R962" s="179"/>
    </row>
    <row r="963" ht="15.75" customHeight="1">
      <c r="P963" s="179"/>
      <c r="Q963" s="179"/>
      <c r="R963" s="179"/>
    </row>
    <row r="964" ht="15.75" customHeight="1">
      <c r="P964" s="179"/>
      <c r="Q964" s="179"/>
      <c r="R964" s="179"/>
    </row>
    <row r="965" ht="15.75" customHeight="1">
      <c r="P965" s="179"/>
      <c r="Q965" s="179"/>
      <c r="R965" s="179"/>
    </row>
    <row r="966" ht="15.75" customHeight="1">
      <c r="P966" s="179"/>
      <c r="Q966" s="179"/>
      <c r="R966" s="179"/>
    </row>
    <row r="967" ht="15.75" customHeight="1">
      <c r="P967" s="179"/>
      <c r="Q967" s="179"/>
      <c r="R967" s="179"/>
    </row>
    <row r="968" ht="15.75" customHeight="1">
      <c r="P968" s="179"/>
      <c r="Q968" s="179"/>
      <c r="R968" s="179"/>
    </row>
    <row r="969" ht="15.75" customHeight="1">
      <c r="P969" s="179"/>
      <c r="Q969" s="179"/>
      <c r="R969" s="179"/>
    </row>
    <row r="970" ht="15.75" customHeight="1">
      <c r="P970" s="179"/>
      <c r="Q970" s="179"/>
      <c r="R970" s="179"/>
    </row>
    <row r="971" ht="15.75" customHeight="1">
      <c r="P971" s="179"/>
      <c r="Q971" s="179"/>
      <c r="R971" s="179"/>
    </row>
    <row r="972" ht="15.75" customHeight="1">
      <c r="P972" s="179"/>
      <c r="Q972" s="179"/>
      <c r="R972" s="179"/>
    </row>
    <row r="973" ht="15.75" customHeight="1">
      <c r="P973" s="179"/>
      <c r="Q973" s="179"/>
      <c r="R973" s="179"/>
    </row>
    <row r="974" ht="15.75" customHeight="1">
      <c r="P974" s="179"/>
      <c r="Q974" s="179"/>
      <c r="R974" s="179"/>
    </row>
    <row r="975" ht="15.75" customHeight="1">
      <c r="P975" s="179"/>
      <c r="Q975" s="179"/>
      <c r="R975" s="179"/>
    </row>
    <row r="976" ht="15.75" customHeight="1">
      <c r="P976" s="179"/>
      <c r="Q976" s="179"/>
      <c r="R976" s="179"/>
    </row>
    <row r="977" ht="15.75" customHeight="1">
      <c r="P977" s="179"/>
      <c r="Q977" s="179"/>
      <c r="R977" s="179"/>
    </row>
    <row r="978" ht="15.75" customHeight="1">
      <c r="P978" s="179"/>
      <c r="Q978" s="179"/>
      <c r="R978" s="179"/>
    </row>
    <row r="979" ht="15.75" customHeight="1">
      <c r="P979" s="179"/>
      <c r="Q979" s="179"/>
      <c r="R979" s="179"/>
    </row>
    <row r="980" ht="15.75" customHeight="1">
      <c r="P980" s="179"/>
      <c r="Q980" s="179"/>
      <c r="R980" s="179"/>
    </row>
    <row r="981" ht="15.75" customHeight="1">
      <c r="P981" s="179"/>
      <c r="Q981" s="179"/>
      <c r="R981" s="179"/>
    </row>
    <row r="982" ht="15.75" customHeight="1">
      <c r="P982" s="179"/>
      <c r="Q982" s="179"/>
      <c r="R982" s="179"/>
    </row>
    <row r="983" ht="15.75" customHeight="1">
      <c r="P983" s="179"/>
      <c r="Q983" s="179"/>
      <c r="R983" s="179"/>
    </row>
    <row r="984" ht="15.75" customHeight="1">
      <c r="P984" s="179"/>
      <c r="Q984" s="179"/>
      <c r="R984" s="179"/>
    </row>
    <row r="985" ht="15.75" customHeight="1">
      <c r="P985" s="179"/>
      <c r="Q985" s="179"/>
      <c r="R985" s="179"/>
    </row>
    <row r="986" ht="15.75" customHeight="1">
      <c r="P986" s="179"/>
      <c r="Q986" s="179"/>
      <c r="R986" s="179"/>
    </row>
    <row r="987" ht="15.75" customHeight="1">
      <c r="P987" s="179"/>
      <c r="Q987" s="179"/>
      <c r="R987" s="179"/>
    </row>
    <row r="988" ht="15.75" customHeight="1">
      <c r="P988" s="179"/>
      <c r="Q988" s="179"/>
      <c r="R988" s="179"/>
    </row>
    <row r="989" ht="15.75" customHeight="1">
      <c r="P989" s="179"/>
      <c r="Q989" s="179"/>
      <c r="R989" s="179"/>
    </row>
    <row r="990" ht="15.75" customHeight="1">
      <c r="P990" s="179"/>
      <c r="Q990" s="179"/>
      <c r="R990" s="179"/>
    </row>
    <row r="991" ht="15.75" customHeight="1">
      <c r="P991" s="179"/>
      <c r="Q991" s="179"/>
      <c r="R991" s="179"/>
    </row>
    <row r="992" ht="15.75" customHeight="1">
      <c r="P992" s="179"/>
      <c r="Q992" s="179"/>
      <c r="R992" s="179"/>
    </row>
    <row r="993" ht="15.75" customHeight="1">
      <c r="P993" s="179"/>
      <c r="Q993" s="179"/>
      <c r="R993" s="179"/>
    </row>
    <row r="994" ht="15.75" customHeight="1">
      <c r="P994" s="179"/>
      <c r="Q994" s="179"/>
      <c r="R994" s="179"/>
    </row>
    <row r="995" ht="15.75" customHeight="1">
      <c r="P995" s="179"/>
      <c r="Q995" s="179"/>
      <c r="R995" s="179"/>
    </row>
    <row r="996" ht="15.75" customHeight="1">
      <c r="P996" s="179"/>
      <c r="Q996" s="179"/>
      <c r="R996" s="179"/>
    </row>
    <row r="997" ht="15.75" customHeight="1">
      <c r="P997" s="179"/>
      <c r="Q997" s="179"/>
      <c r="R997" s="179"/>
    </row>
    <row r="998" ht="15.75" customHeight="1">
      <c r="P998" s="179"/>
      <c r="Q998" s="179"/>
      <c r="R998" s="179"/>
    </row>
    <row r="999" ht="15.75" customHeight="1">
      <c r="P999" s="179"/>
      <c r="Q999" s="179"/>
      <c r="R999" s="179"/>
    </row>
    <row r="1000" ht="15.75" customHeight="1">
      <c r="P1000" s="179"/>
      <c r="Q1000" s="179"/>
      <c r="R1000" s="179"/>
    </row>
    <row r="1001" ht="15.75" customHeight="1">
      <c r="P1001" s="179"/>
      <c r="Q1001" s="179"/>
      <c r="R1001" s="179"/>
    </row>
    <row r="1002" ht="15.75" customHeight="1">
      <c r="P1002" s="179"/>
      <c r="Q1002" s="179"/>
      <c r="R1002" s="179"/>
    </row>
  </sheetData>
  <mergeCells count="21">
    <mergeCell ref="L5:O5"/>
    <mergeCell ref="P5:Q5"/>
    <mergeCell ref="R5:S5"/>
    <mergeCell ref="T5:T6"/>
    <mergeCell ref="A1:T1"/>
    <mergeCell ref="A4:T4"/>
    <mergeCell ref="A5:A6"/>
    <mergeCell ref="B5:B6"/>
    <mergeCell ref="C5:D5"/>
    <mergeCell ref="E5:F5"/>
    <mergeCell ref="G5:J5"/>
    <mergeCell ref="P62:Q62"/>
    <mergeCell ref="R62:S62"/>
    <mergeCell ref="A61:T61"/>
    <mergeCell ref="A62:A63"/>
    <mergeCell ref="B62:B63"/>
    <mergeCell ref="C62:D62"/>
    <mergeCell ref="E62:F62"/>
    <mergeCell ref="G62:J62"/>
    <mergeCell ref="L62:O62"/>
    <mergeCell ref="A75:T75"/>
  </mergeCells>
  <printOptions/>
  <pageMargins bottom="0.5" footer="0.0" header="0.0" left="0.25" right="0.25" top="0.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86"/>
    <col customWidth="1" min="2" max="2" width="22.0"/>
    <col customWidth="1" min="3" max="3" width="6.86"/>
    <col customWidth="1" min="4" max="4" width="10.29"/>
    <col customWidth="1" min="5" max="5" width="5.14"/>
    <col customWidth="1" min="6" max="33" width="5.86"/>
    <col customWidth="1" min="34" max="40" width="12.0"/>
    <col customWidth="1" min="41" max="41" width="13.0"/>
    <col customWidth="1" min="42" max="42" width="17.0"/>
    <col customWidth="1" hidden="1" min="43" max="55" width="13.0"/>
  </cols>
  <sheetData>
    <row r="1" ht="30.0" customHeight="1">
      <c r="A1" s="24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ht="30.0" customHeight="1">
      <c r="A2" s="138" t="s">
        <v>211</v>
      </c>
      <c r="B2" s="176">
        <v>7.0</v>
      </c>
      <c r="C2" s="138" t="s">
        <v>212</v>
      </c>
      <c r="D2" s="176">
        <v>2026.0</v>
      </c>
      <c r="E2" s="177" t="s">
        <v>344</v>
      </c>
      <c r="F2" s="215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179"/>
    </row>
    <row r="3" ht="3.75" customHeight="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179"/>
    </row>
    <row r="4" ht="33.0" customHeight="1">
      <c r="A4" s="218" t="s">
        <v>174</v>
      </c>
      <c r="B4" s="218" t="s">
        <v>345</v>
      </c>
      <c r="C4" s="218">
        <v>1.0</v>
      </c>
      <c r="D4" s="218">
        <v>2.0</v>
      </c>
      <c r="E4" s="218">
        <v>3.0</v>
      </c>
      <c r="F4" s="218">
        <v>4.0</v>
      </c>
      <c r="G4" s="218">
        <v>5.0</v>
      </c>
      <c r="H4" s="218">
        <v>6.0</v>
      </c>
      <c r="I4" s="218">
        <v>7.0</v>
      </c>
      <c r="J4" s="218">
        <v>8.0</v>
      </c>
      <c r="K4" s="218">
        <v>9.0</v>
      </c>
      <c r="L4" s="218">
        <v>10.0</v>
      </c>
      <c r="M4" s="218">
        <v>11.0</v>
      </c>
      <c r="N4" s="218">
        <v>12.0</v>
      </c>
      <c r="O4" s="218">
        <v>13.0</v>
      </c>
      <c r="P4" s="218">
        <v>14.0</v>
      </c>
      <c r="Q4" s="218">
        <v>15.0</v>
      </c>
      <c r="R4" s="218">
        <v>16.0</v>
      </c>
      <c r="S4" s="218">
        <v>17.0</v>
      </c>
      <c r="T4" s="218">
        <v>18.0</v>
      </c>
      <c r="U4" s="218">
        <v>19.0</v>
      </c>
      <c r="V4" s="218">
        <v>20.0</v>
      </c>
      <c r="W4" s="218">
        <v>21.0</v>
      </c>
      <c r="X4" s="218">
        <v>22.0</v>
      </c>
      <c r="Y4" s="218">
        <v>23.0</v>
      </c>
      <c r="Z4" s="218">
        <v>24.0</v>
      </c>
      <c r="AA4" s="218">
        <v>25.0</v>
      </c>
      <c r="AB4" s="218">
        <v>26.0</v>
      </c>
      <c r="AC4" s="218">
        <v>27.0</v>
      </c>
      <c r="AD4" s="218">
        <v>28.0</v>
      </c>
      <c r="AE4" s="218">
        <v>29.0</v>
      </c>
      <c r="AF4" s="218">
        <v>30.0</v>
      </c>
      <c r="AG4" s="218">
        <v>31.0</v>
      </c>
      <c r="AH4" s="218" t="s">
        <v>340</v>
      </c>
      <c r="AI4" s="218" t="s">
        <v>346</v>
      </c>
      <c r="AJ4" s="218" t="s">
        <v>347</v>
      </c>
      <c r="AK4" s="218" t="s">
        <v>348</v>
      </c>
      <c r="AL4" s="218" t="s">
        <v>349</v>
      </c>
      <c r="AM4" s="218" t="s">
        <v>350</v>
      </c>
      <c r="AN4" s="218" t="s">
        <v>351</v>
      </c>
      <c r="AO4" s="219" t="s">
        <v>331</v>
      </c>
      <c r="AP4" s="218" t="s">
        <v>332</v>
      </c>
      <c r="AQ4" s="8" t="s">
        <v>211</v>
      </c>
      <c r="AR4" s="8" t="s">
        <v>212</v>
      </c>
      <c r="AS4" s="8" t="s">
        <v>352</v>
      </c>
      <c r="AT4" s="8" t="s">
        <v>353</v>
      </c>
      <c r="AU4" s="8" t="s">
        <v>354</v>
      </c>
      <c r="AV4" s="8" t="s">
        <v>355</v>
      </c>
      <c r="AW4" s="8" t="s">
        <v>350</v>
      </c>
      <c r="AX4" s="8" t="s">
        <v>351</v>
      </c>
      <c r="AY4" s="8" t="s">
        <v>356</v>
      </c>
      <c r="AZ4" s="8" t="s">
        <v>357</v>
      </c>
      <c r="BA4" s="8" t="s">
        <v>268</v>
      </c>
      <c r="BB4" s="8" t="s">
        <v>269</v>
      </c>
      <c r="BC4" s="8" t="s">
        <v>358</v>
      </c>
    </row>
    <row r="5" ht="33.0" customHeight="1">
      <c r="A5" s="220">
        <f t="shared" ref="A5:A249" si="1">IF($B5="","",ROW()-4)</f>
        <v>1</v>
      </c>
      <c r="B5" s="221" t="str">
        <f t="array" ref="B5">IFERROR(INDEX(DANH_MUC!$E:$E,ROW()-1),"")</f>
        <v>19H09482</v>
      </c>
      <c r="C5" s="222">
        <f>IF($B5="","",IF(C$4&gt;DAY(EOMONTH(DATE($D$2,$B$2,1),0)),"",SUMIFS(DATA_GOC!$H:$H,DATA_GOC!$A:$A,"BOM",DATA_GOC!$D:$D,$B5,DATA_GOC!$F:$F,"Xuất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" s="222">
        <f>IF($B5="","",IF(D$4&gt;DAY(EOMONTH(DATE($D$2,$B$2,1),0)),"",SUMIFS(DATA_GOC!$H:$H,DATA_GOC!$A:$A,"BOM",DATA_GOC!$D:$D,$B5,DATA_GOC!$F:$F,"Xuất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" s="222">
        <f>IF($B5="","",IF(E$4&gt;DAY(EOMONTH(DATE($D$2,$B$2,1),0)),"",SUMIFS(DATA_GOC!$H:$H,DATA_GOC!$A:$A,"BOM",DATA_GOC!$D:$D,$B5,DATA_GOC!$F:$F,"Xuất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45</v>
      </c>
      <c r="F5" s="222">
        <f>IF($B5="","",IF(F$4&gt;DAY(EOMONTH(DATE($D$2,$B$2,1),0)),"",SUMIFS(DATA_GOC!$H:$H,DATA_GOC!$A:$A,"BOM",DATA_GOC!$D:$D,$B5,DATA_GOC!$F:$F,"Xuất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" s="222">
        <f>IF($B5="","",IF(G$4&gt;DAY(EOMONTH(DATE($D$2,$B$2,1),0)),"",SUMIFS(DATA_GOC!$H:$H,DATA_GOC!$A:$A,"BOM",DATA_GOC!$D:$D,$B5,DATA_GOC!$F:$F,"Xuất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" s="222">
        <f>IF($B5="","",IF(H$4&gt;DAY(EOMONTH(DATE($D$2,$B$2,1),0)),"",SUMIFS(DATA_GOC!$H:$H,DATA_GOC!$A:$A,"BOM",DATA_GOC!$D:$D,$B5,DATA_GOC!$F:$F,"Xuất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" s="222">
        <f>IF($B5="","",IF(I$4&gt;DAY(EOMONTH(DATE($D$2,$B$2,1),0)),"",SUMIFS(DATA_GOC!$H:$H,DATA_GOC!$A:$A,"BOM",DATA_GOC!$D:$D,$B5,DATA_GOC!$F:$F,"Xuất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" s="222">
        <f>IF($B5="","",IF(J$4&gt;DAY(EOMONTH(DATE($D$2,$B$2,1),0)),"",SUMIFS(DATA_GOC!$H:$H,DATA_GOC!$A:$A,"BOM",DATA_GOC!$D:$D,$B5,DATA_GOC!$F:$F,"Xuất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" s="222">
        <f>IF($B5="","",IF(K$4&gt;DAY(EOMONTH(DATE($D$2,$B$2,1),0)),"",SUMIFS(DATA_GOC!$H:$H,DATA_GOC!$A:$A,"BOM",DATA_GOC!$D:$D,$B5,DATA_GOC!$F:$F,"Xuất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" s="222">
        <f>IF($B5="","",IF(L$4&gt;DAY(EOMONTH(DATE($D$2,$B$2,1),0)),"",SUMIFS(DATA_GOC!$H:$H,DATA_GOC!$A:$A,"BOM",DATA_GOC!$D:$D,$B5,DATA_GOC!$F:$F,"Xuất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" s="222">
        <f>IF($B5="","",IF(M$4&gt;DAY(EOMONTH(DATE($D$2,$B$2,1),0)),"",SUMIFS(DATA_GOC!$H:$H,DATA_GOC!$A:$A,"BOM",DATA_GOC!$D:$D,$B5,DATA_GOC!$F:$F,"Xuất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" s="222">
        <f>IF($B5="","",IF(N$4&gt;DAY(EOMONTH(DATE($D$2,$B$2,1),0)),"",SUMIFS(DATA_GOC!$H:$H,DATA_GOC!$A:$A,"BOM",DATA_GOC!$D:$D,$B5,DATA_GOC!$F:$F,"Xuất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" s="222">
        <f>IF($B5="","",IF(O$4&gt;DAY(EOMONTH(DATE($D$2,$B$2,1),0)),"",SUMIFS(DATA_GOC!$H:$H,DATA_GOC!$A:$A,"BOM",DATA_GOC!$D:$D,$B5,DATA_GOC!$F:$F,"Xuất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" s="222">
        <f>IF($B5="","",IF(P$4&gt;DAY(EOMONTH(DATE($D$2,$B$2,1),0)),"",SUMIFS(DATA_GOC!$H:$H,DATA_GOC!$A:$A,"BOM",DATA_GOC!$D:$D,$B5,DATA_GOC!$F:$F,"Xuất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" s="222">
        <f>IF($B5="","",IF(Q$4&gt;DAY(EOMONTH(DATE($D$2,$B$2,1),0)),"",SUMIFS(DATA_GOC!$H:$H,DATA_GOC!$A:$A,"BOM",DATA_GOC!$D:$D,$B5,DATA_GOC!$F:$F,"Xuất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" s="222">
        <f>IF($B5="","",IF(R$4&gt;DAY(EOMONTH(DATE($D$2,$B$2,1),0)),"",SUMIFS(DATA_GOC!$H:$H,DATA_GOC!$A:$A,"BOM",DATA_GOC!$D:$D,$B5,DATA_GOC!$F:$F,"Xuất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" s="222">
        <f>IF($B5="","",IF(S$4&gt;DAY(EOMONTH(DATE($D$2,$B$2,1),0)),"",SUMIFS(DATA_GOC!$H:$H,DATA_GOC!$A:$A,"BOM",DATA_GOC!$D:$D,$B5,DATA_GOC!$F:$F,"Xuất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" s="222">
        <f>IF($B5="","",IF(T$4&gt;DAY(EOMONTH(DATE($D$2,$B$2,1),0)),"",SUMIFS(DATA_GOC!$H:$H,DATA_GOC!$A:$A,"BOM",DATA_GOC!$D:$D,$B5,DATA_GOC!$F:$F,"Xuất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" s="222">
        <f>IF($B5="","",IF(U$4&gt;DAY(EOMONTH(DATE($D$2,$B$2,1),0)),"",SUMIFS(DATA_GOC!$H:$H,DATA_GOC!$A:$A,"BOM",DATA_GOC!$D:$D,$B5,DATA_GOC!$F:$F,"Xuất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" s="222">
        <f>IF($B5="","",IF(V$4&gt;DAY(EOMONTH(DATE($D$2,$B$2,1),0)),"",SUMIFS(DATA_GOC!$H:$H,DATA_GOC!$A:$A,"BOM",DATA_GOC!$D:$D,$B5,DATA_GOC!$F:$F,"Xuất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" s="222">
        <f>IF($B5="","",IF(W$4&gt;DAY(EOMONTH(DATE($D$2,$B$2,1),0)),"",SUMIFS(DATA_GOC!$H:$H,DATA_GOC!$A:$A,"BOM",DATA_GOC!$D:$D,$B5,DATA_GOC!$F:$F,"Xuất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" s="222">
        <f>IF($B5="","",IF(X$4&gt;DAY(EOMONTH(DATE($D$2,$B$2,1),0)),"",SUMIFS(DATA_GOC!$H:$H,DATA_GOC!$A:$A,"BOM",DATA_GOC!$D:$D,$B5,DATA_GOC!$F:$F,"Xuất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" s="222">
        <f>IF($B5="","",IF(Y$4&gt;DAY(EOMONTH(DATE($D$2,$B$2,1),0)),"",SUMIFS(DATA_GOC!$H:$H,DATA_GOC!$A:$A,"BOM",DATA_GOC!$D:$D,$B5,DATA_GOC!$F:$F,"Xuất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" s="222">
        <f>IF($B5="","",IF(Z$4&gt;DAY(EOMONTH(DATE($D$2,$B$2,1),0)),"",SUMIFS(DATA_GOC!$H:$H,DATA_GOC!$A:$A,"BOM",DATA_GOC!$D:$D,$B5,DATA_GOC!$F:$F,"Xuất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" s="222">
        <f>IF($B5="","",IF(AA$4&gt;DAY(EOMONTH(DATE($D$2,$B$2,1),0)),"",SUMIFS(DATA_GOC!$H:$H,DATA_GOC!$A:$A,"BOM",DATA_GOC!$D:$D,$B5,DATA_GOC!$F:$F,"Xuất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" s="222">
        <f>IF($B5="","",IF(AB$4&gt;DAY(EOMONTH(DATE($D$2,$B$2,1),0)),"",SUMIFS(DATA_GOC!$H:$H,DATA_GOC!$A:$A,"BOM",DATA_GOC!$D:$D,$B5,DATA_GOC!$F:$F,"Xuất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" s="222">
        <f>IF($B5="","",IF(AC$4&gt;DAY(EOMONTH(DATE($D$2,$B$2,1),0)),"",SUMIFS(DATA_GOC!$H:$H,DATA_GOC!$A:$A,"BOM",DATA_GOC!$D:$D,$B5,DATA_GOC!$F:$F,"Xuất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" s="222">
        <f>IF($B5="","",IF(AD$4&gt;DAY(EOMONTH(DATE($D$2,$B$2,1),0)),"",SUMIFS(DATA_GOC!$H:$H,DATA_GOC!$A:$A,"BOM",DATA_GOC!$D:$D,$B5,DATA_GOC!$F:$F,"Xuất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" s="222">
        <f>IF($B5="","",IF(AE$4&gt;DAY(EOMONTH(DATE($D$2,$B$2,1),0)),"",SUMIFS(DATA_GOC!$H:$H,DATA_GOC!$A:$A,"BOM",DATA_GOC!$D:$D,$B5,DATA_GOC!$F:$F,"Xuất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" s="222">
        <f>IF($B5="","",IF(AF$4&gt;DAY(EOMONTH(DATE($D$2,$B$2,1),0)),"",SUMIFS(DATA_GOC!$H:$H,DATA_GOC!$A:$A,"BOM",DATA_GOC!$D:$D,$B5,DATA_GOC!$F:$F,"Xuất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" s="222">
        <f>IF($B5="","",IF(AG$4&gt;DAY(EOMONTH(DATE($D$2,$B$2,1),0)),"",SUMIFS(DATA_GOC!$H:$H,DATA_GOC!$A:$A,"BOM",DATA_GOC!$D:$D,$B5,DATA_GOC!$F:$F,"Xuất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" s="223">
        <f t="shared" ref="AH5:AH249" si="2">IF($B5="","",SUM(C5:AG5))</f>
        <v>45</v>
      </c>
      <c r="AI5" s="224">
        <f>IF($B5="","",SUMIFS(DATA_GOC!$H:$H,DATA_GOC!$A:$A,"BOM",DATA_GOC!$D:$D,$B5,DATA_GOC!$F:$F,"Bơm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" s="224">
        <f>IF($B5="","",SUMIFS(TINH_TEC!$K$233:$K$9232,TINH_TEC!$H$233:$H$9232,$B5,TINH_TEC!$F$233:$F$9232,$B$2,TINH_TEC!$G$233:$G$9232,$D$2,TINH_TEC!$B$233:$B$9232,"Đã chốt"))</f>
        <v>0</v>
      </c>
      <c r="AK5" s="224">
        <f>IF($B5="","",SUMIFS(TINH_TEC!$J$233:$J$9232,TINH_TEC!$H$233:$H$9232,$B5,TINH_TEC!$F$233:$F$9232,$B$2,TINH_TEC!$G$233:$G$9232,$D$2,TINH_TEC!$B$233:$B$9232,"Đã chốt"))</f>
        <v>32.616</v>
      </c>
      <c r="AL5" s="225">
        <f t="shared" ref="AL5:AL249" si="3">IF($B5="","",N(AH5)+N(AI5)+N(AK5)-N(AJ5))</f>
        <v>77.616</v>
      </c>
      <c r="AM5" s="222">
        <f>IF($B5="","",SUMIFS(DATA_GOC!$K:$K,DATA_GOC!$A:$A,"BOM",DATA_GOC!$D:$D,$B5,DATA_GOC!$G:$G,"DO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" s="226" t="str">
        <f t="shared" ref="AN5:AN249" si="4">IFERROR(AL5/AM5*100,"")</f>
        <v/>
      </c>
      <c r="AO5" s="227" t="str">
        <f t="shared" ref="AO5:AO249" si="5">IF($B5="","",IFERROR(AL5/AM5,""))</f>
        <v/>
      </c>
      <c r="AP5" s="226">
        <f>IF($B5="","",IFERROR(AO5-(SUMIFS(DATA_GOC!$H:$H,DATA_GOC!$A:$A,"BOM",DATA_GOC!$D:$D,$B5,DATA_GOC!$F:$F,"Xuất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-0.5152109912</v>
      </c>
      <c r="AQ5" s="59">
        <v>1.0</v>
      </c>
      <c r="AR5" s="59">
        <v>2026.0</v>
      </c>
      <c r="AS5" s="59" t="s">
        <v>154</v>
      </c>
      <c r="AT5" s="59">
        <v>750.07</v>
      </c>
      <c r="AU5" s="59">
        <v>0.0</v>
      </c>
      <c r="AV5" s="59">
        <v>750.07</v>
      </c>
      <c r="AW5" s="59">
        <v>2479.0</v>
      </c>
      <c r="AX5" s="59">
        <v>30.2569584509883</v>
      </c>
      <c r="AY5" s="59">
        <v>490.07</v>
      </c>
      <c r="AZ5" s="59">
        <v>260.0</v>
      </c>
      <c r="BA5" s="59">
        <v>23.07</v>
      </c>
      <c r="BB5" s="59">
        <v>0.0</v>
      </c>
      <c r="BC5" s="59" t="s">
        <v>359</v>
      </c>
    </row>
    <row r="6" ht="16.5" customHeight="1">
      <c r="A6" s="220">
        <f t="shared" si="1"/>
        <v>2</v>
      </c>
      <c r="B6" s="221" t="str">
        <f t="array" ref="B6">IFERROR(INDEX(DANH_MUC!$E:$E,ROW()-1),"")</f>
        <v>28A30696</v>
      </c>
      <c r="C6" s="222">
        <f>IF($B6="","",IF(C$4&gt;DAY(EOMONTH(DATE($D$2,$B$2,1),0)),"",SUMIFS(DATA_GOC!$H:$H,DATA_GOC!$A:$A,"BOM",DATA_GOC!$D:$D,$B6,DATA_GOC!$F:$F,"Xuất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6" s="222">
        <f>IF($B6="","",IF(D$4&gt;DAY(EOMONTH(DATE($D$2,$B$2,1),0)),"",SUMIFS(DATA_GOC!$H:$H,DATA_GOC!$A:$A,"BOM",DATA_GOC!$D:$D,$B6,DATA_GOC!$F:$F,"Xuất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6" s="222">
        <f>IF($B6="","",IF(E$4&gt;DAY(EOMONTH(DATE($D$2,$B$2,1),0)),"",SUMIFS(DATA_GOC!$H:$H,DATA_GOC!$A:$A,"BOM",DATA_GOC!$D:$D,$B6,DATA_GOC!$F:$F,"Xuất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6" s="222">
        <f>IF($B6="","",IF(F$4&gt;DAY(EOMONTH(DATE($D$2,$B$2,1),0)),"",SUMIFS(DATA_GOC!$H:$H,DATA_GOC!$A:$A,"BOM",DATA_GOC!$D:$D,$B6,DATA_GOC!$F:$F,"Xuất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6" s="222">
        <f>IF($B6="","",IF(G$4&gt;DAY(EOMONTH(DATE($D$2,$B$2,1),0)),"",SUMIFS(DATA_GOC!$H:$H,DATA_GOC!$A:$A,"BOM",DATA_GOC!$D:$D,$B6,DATA_GOC!$F:$F,"Xuất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6" s="222">
        <f>IF($B6="","",IF(H$4&gt;DAY(EOMONTH(DATE($D$2,$B$2,1),0)),"",SUMIFS(DATA_GOC!$H:$H,DATA_GOC!$A:$A,"BOM",DATA_GOC!$D:$D,$B6,DATA_GOC!$F:$F,"Xuất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6" s="222">
        <f>IF($B6="","",IF(I$4&gt;DAY(EOMONTH(DATE($D$2,$B$2,1),0)),"",SUMIFS(DATA_GOC!$H:$H,DATA_GOC!$A:$A,"BOM",DATA_GOC!$D:$D,$B6,DATA_GOC!$F:$F,"Xuất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6" s="222">
        <f>IF($B6="","",IF(J$4&gt;DAY(EOMONTH(DATE($D$2,$B$2,1),0)),"",SUMIFS(DATA_GOC!$H:$H,DATA_GOC!$A:$A,"BOM",DATA_GOC!$D:$D,$B6,DATA_GOC!$F:$F,"Xuất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6" s="222">
        <f>IF($B6="","",IF(K$4&gt;DAY(EOMONTH(DATE($D$2,$B$2,1),0)),"",SUMIFS(DATA_GOC!$H:$H,DATA_GOC!$A:$A,"BOM",DATA_GOC!$D:$D,$B6,DATA_GOC!$F:$F,"Xuất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6" s="222">
        <f>IF($B6="","",IF(L$4&gt;DAY(EOMONTH(DATE($D$2,$B$2,1),0)),"",SUMIFS(DATA_GOC!$H:$H,DATA_GOC!$A:$A,"BOM",DATA_GOC!$D:$D,$B6,DATA_GOC!$F:$F,"Xuất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6" s="222">
        <f>IF($B6="","",IF(M$4&gt;DAY(EOMONTH(DATE($D$2,$B$2,1),0)),"",SUMIFS(DATA_GOC!$H:$H,DATA_GOC!$A:$A,"BOM",DATA_GOC!$D:$D,$B6,DATA_GOC!$F:$F,"Xuất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6" s="222">
        <f>IF($B6="","",IF(N$4&gt;DAY(EOMONTH(DATE($D$2,$B$2,1),0)),"",SUMIFS(DATA_GOC!$H:$H,DATA_GOC!$A:$A,"BOM",DATA_GOC!$D:$D,$B6,DATA_GOC!$F:$F,"Xuất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6" s="222">
        <f>IF($B6="","",IF(O$4&gt;DAY(EOMONTH(DATE($D$2,$B$2,1),0)),"",SUMIFS(DATA_GOC!$H:$H,DATA_GOC!$A:$A,"BOM",DATA_GOC!$D:$D,$B6,DATA_GOC!$F:$F,"Xuất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6" s="222">
        <f>IF($B6="","",IF(P$4&gt;DAY(EOMONTH(DATE($D$2,$B$2,1),0)),"",SUMIFS(DATA_GOC!$H:$H,DATA_GOC!$A:$A,"BOM",DATA_GOC!$D:$D,$B6,DATA_GOC!$F:$F,"Xuất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6" s="222">
        <f>IF($B6="","",IF(Q$4&gt;DAY(EOMONTH(DATE($D$2,$B$2,1),0)),"",SUMIFS(DATA_GOC!$H:$H,DATA_GOC!$A:$A,"BOM",DATA_GOC!$D:$D,$B6,DATA_GOC!$F:$F,"Xuất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6" s="222">
        <f>IF($B6="","",IF(R$4&gt;DAY(EOMONTH(DATE($D$2,$B$2,1),0)),"",SUMIFS(DATA_GOC!$H:$H,DATA_GOC!$A:$A,"BOM",DATA_GOC!$D:$D,$B6,DATA_GOC!$F:$F,"Xuất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6" s="222">
        <f>IF($B6="","",IF(S$4&gt;DAY(EOMONTH(DATE($D$2,$B$2,1),0)),"",SUMIFS(DATA_GOC!$H:$H,DATA_GOC!$A:$A,"BOM",DATA_GOC!$D:$D,$B6,DATA_GOC!$F:$F,"Xuất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6" s="222">
        <f>IF($B6="","",IF(T$4&gt;DAY(EOMONTH(DATE($D$2,$B$2,1),0)),"",SUMIFS(DATA_GOC!$H:$H,DATA_GOC!$A:$A,"BOM",DATA_GOC!$D:$D,$B6,DATA_GOC!$F:$F,"Xuất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6" s="222">
        <f>IF($B6="","",IF(U$4&gt;DAY(EOMONTH(DATE($D$2,$B$2,1),0)),"",SUMIFS(DATA_GOC!$H:$H,DATA_GOC!$A:$A,"BOM",DATA_GOC!$D:$D,$B6,DATA_GOC!$F:$F,"Xuất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6" s="222">
        <f>IF($B6="","",IF(V$4&gt;DAY(EOMONTH(DATE($D$2,$B$2,1),0)),"",SUMIFS(DATA_GOC!$H:$H,DATA_GOC!$A:$A,"BOM",DATA_GOC!$D:$D,$B6,DATA_GOC!$F:$F,"Xuất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6" s="222">
        <f>IF($B6="","",IF(W$4&gt;DAY(EOMONTH(DATE($D$2,$B$2,1),0)),"",SUMIFS(DATA_GOC!$H:$H,DATA_GOC!$A:$A,"BOM",DATA_GOC!$D:$D,$B6,DATA_GOC!$F:$F,"Xuất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6" s="222">
        <f>IF($B6="","",IF(X$4&gt;DAY(EOMONTH(DATE($D$2,$B$2,1),0)),"",SUMIFS(DATA_GOC!$H:$H,DATA_GOC!$A:$A,"BOM",DATA_GOC!$D:$D,$B6,DATA_GOC!$F:$F,"Xuất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6" s="222">
        <f>IF($B6="","",IF(Y$4&gt;DAY(EOMONTH(DATE($D$2,$B$2,1),0)),"",SUMIFS(DATA_GOC!$H:$H,DATA_GOC!$A:$A,"BOM",DATA_GOC!$D:$D,$B6,DATA_GOC!$F:$F,"Xuất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6" s="222">
        <f>IF($B6="","",IF(Z$4&gt;DAY(EOMONTH(DATE($D$2,$B$2,1),0)),"",SUMIFS(DATA_GOC!$H:$H,DATA_GOC!$A:$A,"BOM",DATA_GOC!$D:$D,$B6,DATA_GOC!$F:$F,"Xuất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6" s="222">
        <f>IF($B6="","",IF(AA$4&gt;DAY(EOMONTH(DATE($D$2,$B$2,1),0)),"",SUMIFS(DATA_GOC!$H:$H,DATA_GOC!$A:$A,"BOM",DATA_GOC!$D:$D,$B6,DATA_GOC!$F:$F,"Xuất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6" s="222">
        <f>IF($B6="","",IF(AB$4&gt;DAY(EOMONTH(DATE($D$2,$B$2,1),0)),"",SUMIFS(DATA_GOC!$H:$H,DATA_GOC!$A:$A,"BOM",DATA_GOC!$D:$D,$B6,DATA_GOC!$F:$F,"Xuất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6" s="222">
        <f>IF($B6="","",IF(AC$4&gt;DAY(EOMONTH(DATE($D$2,$B$2,1),0)),"",SUMIFS(DATA_GOC!$H:$H,DATA_GOC!$A:$A,"BOM",DATA_GOC!$D:$D,$B6,DATA_GOC!$F:$F,"Xuất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6" s="222">
        <f>IF($B6="","",IF(AD$4&gt;DAY(EOMONTH(DATE($D$2,$B$2,1),0)),"",SUMIFS(DATA_GOC!$H:$H,DATA_GOC!$A:$A,"BOM",DATA_GOC!$D:$D,$B6,DATA_GOC!$F:$F,"Xuất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6" s="222">
        <f>IF($B6="","",IF(AE$4&gt;DAY(EOMONTH(DATE($D$2,$B$2,1),0)),"",SUMIFS(DATA_GOC!$H:$H,DATA_GOC!$A:$A,"BOM",DATA_GOC!$D:$D,$B6,DATA_GOC!$F:$F,"Xuất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6" s="222">
        <f>IF($B6="","",IF(AF$4&gt;DAY(EOMONTH(DATE($D$2,$B$2,1),0)),"",SUMIFS(DATA_GOC!$H:$H,DATA_GOC!$A:$A,"BOM",DATA_GOC!$D:$D,$B6,DATA_GOC!$F:$F,"Xuất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6" s="222">
        <f>IF($B6="","",IF(AG$4&gt;DAY(EOMONTH(DATE($D$2,$B$2,1),0)),"",SUMIFS(DATA_GOC!$H:$H,DATA_GOC!$A:$A,"BOM",DATA_GOC!$D:$D,$B6,DATA_GOC!$F:$F,"Xuất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6" s="223">
        <f t="shared" si="2"/>
        <v>0</v>
      </c>
      <c r="AI6" s="224">
        <f>IF($B6="","",SUMIFS(DATA_GOC!$H:$H,DATA_GOC!$A:$A,"BOM",DATA_GOC!$D:$D,$B6,DATA_GOC!$F:$F,"Bơm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6" s="224">
        <f>IF($B6="","",SUMIFS(TINH_TEC!$K$233:$K$9232,TINH_TEC!$H$233:$H$9232,$B6,TINH_TEC!$F$233:$F$9232,$B$2,TINH_TEC!$G$233:$G$9232,$D$2,TINH_TEC!$B$233:$B$9232,"Đã chốt"))</f>
        <v>0</v>
      </c>
      <c r="AK6" s="224">
        <f>IF($B6="","",SUMIFS(TINH_TEC!$J$233:$J$9232,TINH_TEC!$H$233:$H$9232,$B6,TINH_TEC!$F$233:$F$9232,$B$2,TINH_TEC!$G$233:$G$9232,$D$2,TINH_TEC!$B$233:$B$9232,"Đã chốt"))</f>
        <v>2.155</v>
      </c>
      <c r="AL6" s="225">
        <f t="shared" si="3"/>
        <v>2.155</v>
      </c>
      <c r="AM6" s="222">
        <f>IF($B6="","",SUMIFS(DATA_GOC!$K:$K,DATA_GOC!$A:$A,"BOM",DATA_GOC!$D:$D,$B6,DATA_GOC!$G:$G,"DO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6" s="226" t="str">
        <f t="shared" si="4"/>
        <v/>
      </c>
      <c r="AO6" s="227" t="str">
        <f t="shared" si="5"/>
        <v/>
      </c>
      <c r="AP6" s="226">
        <f>IF($B6="","",IFERROR(AO6-(SUMIFS(DATA_GOC!$H:$H,DATA_GOC!$A:$A,"BOM",DATA_GOC!$D:$D,$B6,DATA_GOC!$F:$F,"Xuất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-0.06509139545</v>
      </c>
      <c r="AQ6" s="59">
        <v>1.0</v>
      </c>
      <c r="AR6" s="59">
        <v>2026.0</v>
      </c>
      <c r="AS6" s="59" t="s">
        <v>153</v>
      </c>
      <c r="AT6" s="59">
        <v>718.703</v>
      </c>
      <c r="AU6" s="59">
        <v>0.0</v>
      </c>
      <c r="AV6" s="59">
        <v>718.703</v>
      </c>
      <c r="AW6" s="59">
        <v>2409.0</v>
      </c>
      <c r="AX6" s="59">
        <v>29.8340805313408</v>
      </c>
      <c r="AY6" s="59">
        <v>228.45</v>
      </c>
      <c r="AZ6" s="59">
        <v>490.253</v>
      </c>
      <c r="BA6" s="59">
        <v>8.45</v>
      </c>
      <c r="BB6" s="59">
        <v>0.0</v>
      </c>
      <c r="BC6" s="59" t="s">
        <v>360</v>
      </c>
    </row>
    <row r="7" ht="16.5" customHeight="1">
      <c r="A7" s="220">
        <f t="shared" si="1"/>
        <v>3</v>
      </c>
      <c r="B7" s="221" t="str">
        <f t="array" ref="B7">IFERROR(INDEX(DANH_MUC!$E:$E,ROW()-1),"")</f>
        <v>28C00462</v>
      </c>
      <c r="C7" s="222">
        <f>IF($B7="","",IF(C$4&gt;DAY(EOMONTH(DATE($D$2,$B$2,1),0)),"",SUMIFS(DATA_GOC!$H:$H,DATA_GOC!$A:$A,"BOM",DATA_GOC!$D:$D,$B7,DATA_GOC!$F:$F,"Xuất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7" s="222">
        <f>IF($B7="","",IF(D$4&gt;DAY(EOMONTH(DATE($D$2,$B$2,1),0)),"",SUMIFS(DATA_GOC!$H:$H,DATA_GOC!$A:$A,"BOM",DATA_GOC!$D:$D,$B7,DATA_GOC!$F:$F,"Xuất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7" s="222">
        <f>IF($B7="","",IF(E$4&gt;DAY(EOMONTH(DATE($D$2,$B$2,1),0)),"",SUMIFS(DATA_GOC!$H:$H,DATA_GOC!$A:$A,"BOM",DATA_GOC!$D:$D,$B7,DATA_GOC!$F:$F,"Xuất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7" s="222">
        <f>IF($B7="","",IF(F$4&gt;DAY(EOMONTH(DATE($D$2,$B$2,1),0)),"",SUMIFS(DATA_GOC!$H:$H,DATA_GOC!$A:$A,"BOM",DATA_GOC!$D:$D,$B7,DATA_GOC!$F:$F,"Xuất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46</v>
      </c>
      <c r="G7" s="222">
        <f>IF($B7="","",IF(G$4&gt;DAY(EOMONTH(DATE($D$2,$B$2,1),0)),"",SUMIFS(DATA_GOC!$H:$H,DATA_GOC!$A:$A,"BOM",DATA_GOC!$D:$D,$B7,DATA_GOC!$F:$F,"Xuất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7" s="222">
        <f>IF($B7="","",IF(H$4&gt;DAY(EOMONTH(DATE($D$2,$B$2,1),0)),"",SUMIFS(DATA_GOC!$H:$H,DATA_GOC!$A:$A,"BOM",DATA_GOC!$D:$D,$B7,DATA_GOC!$F:$F,"Xuất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7" s="222">
        <f>IF($B7="","",IF(I$4&gt;DAY(EOMONTH(DATE($D$2,$B$2,1),0)),"",SUMIFS(DATA_GOC!$H:$H,DATA_GOC!$A:$A,"BOM",DATA_GOC!$D:$D,$B7,DATA_GOC!$F:$F,"Xuất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7" s="222">
        <f>IF($B7="","",IF(J$4&gt;DAY(EOMONTH(DATE($D$2,$B$2,1),0)),"",SUMIFS(DATA_GOC!$H:$H,DATA_GOC!$A:$A,"BOM",DATA_GOC!$D:$D,$B7,DATA_GOC!$F:$F,"Xuất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7" s="222">
        <f>IF($B7="","",IF(K$4&gt;DAY(EOMONTH(DATE($D$2,$B$2,1),0)),"",SUMIFS(DATA_GOC!$H:$H,DATA_GOC!$A:$A,"BOM",DATA_GOC!$D:$D,$B7,DATA_GOC!$F:$F,"Xuất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7" s="222">
        <f>IF($B7="","",IF(L$4&gt;DAY(EOMONTH(DATE($D$2,$B$2,1),0)),"",SUMIFS(DATA_GOC!$H:$H,DATA_GOC!$A:$A,"BOM",DATA_GOC!$D:$D,$B7,DATA_GOC!$F:$F,"Xuất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7" s="222">
        <f>IF($B7="","",IF(M$4&gt;DAY(EOMONTH(DATE($D$2,$B$2,1),0)),"",SUMIFS(DATA_GOC!$H:$H,DATA_GOC!$A:$A,"BOM",DATA_GOC!$D:$D,$B7,DATA_GOC!$F:$F,"Xuất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7" s="222">
        <f>IF($B7="","",IF(N$4&gt;DAY(EOMONTH(DATE($D$2,$B$2,1),0)),"",SUMIFS(DATA_GOC!$H:$H,DATA_GOC!$A:$A,"BOM",DATA_GOC!$D:$D,$B7,DATA_GOC!$F:$F,"Xuất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7" s="222">
        <f>IF($B7="","",IF(O$4&gt;DAY(EOMONTH(DATE($D$2,$B$2,1),0)),"",SUMIFS(DATA_GOC!$H:$H,DATA_GOC!$A:$A,"BOM",DATA_GOC!$D:$D,$B7,DATA_GOC!$F:$F,"Xuất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7" s="222">
        <f>IF($B7="","",IF(P$4&gt;DAY(EOMONTH(DATE($D$2,$B$2,1),0)),"",SUMIFS(DATA_GOC!$H:$H,DATA_GOC!$A:$A,"BOM",DATA_GOC!$D:$D,$B7,DATA_GOC!$F:$F,"Xuất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7" s="222">
        <f>IF($B7="","",IF(Q$4&gt;DAY(EOMONTH(DATE($D$2,$B$2,1),0)),"",SUMIFS(DATA_GOC!$H:$H,DATA_GOC!$A:$A,"BOM",DATA_GOC!$D:$D,$B7,DATA_GOC!$F:$F,"Xuất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7" s="222">
        <f>IF($B7="","",IF(R$4&gt;DAY(EOMONTH(DATE($D$2,$B$2,1),0)),"",SUMIFS(DATA_GOC!$H:$H,DATA_GOC!$A:$A,"BOM",DATA_GOC!$D:$D,$B7,DATA_GOC!$F:$F,"Xuất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7" s="222">
        <f>IF($B7="","",IF(S$4&gt;DAY(EOMONTH(DATE($D$2,$B$2,1),0)),"",SUMIFS(DATA_GOC!$H:$H,DATA_GOC!$A:$A,"BOM",DATA_GOC!$D:$D,$B7,DATA_GOC!$F:$F,"Xuất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7" s="222">
        <f>IF($B7="","",IF(T$4&gt;DAY(EOMONTH(DATE($D$2,$B$2,1),0)),"",SUMIFS(DATA_GOC!$H:$H,DATA_GOC!$A:$A,"BOM",DATA_GOC!$D:$D,$B7,DATA_GOC!$F:$F,"Xuất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7" s="222">
        <f>IF($B7="","",IF(U$4&gt;DAY(EOMONTH(DATE($D$2,$B$2,1),0)),"",SUMIFS(DATA_GOC!$H:$H,DATA_GOC!$A:$A,"BOM",DATA_GOC!$D:$D,$B7,DATA_GOC!$F:$F,"Xuất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7" s="222">
        <f>IF($B7="","",IF(V$4&gt;DAY(EOMONTH(DATE($D$2,$B$2,1),0)),"",SUMIFS(DATA_GOC!$H:$H,DATA_GOC!$A:$A,"BOM",DATA_GOC!$D:$D,$B7,DATA_GOC!$F:$F,"Xuất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7" s="222">
        <f>IF($B7="","",IF(W$4&gt;DAY(EOMONTH(DATE($D$2,$B$2,1),0)),"",SUMIFS(DATA_GOC!$H:$H,DATA_GOC!$A:$A,"BOM",DATA_GOC!$D:$D,$B7,DATA_GOC!$F:$F,"Xuất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7" s="222">
        <f>IF($B7="","",IF(X$4&gt;DAY(EOMONTH(DATE($D$2,$B$2,1),0)),"",SUMIFS(DATA_GOC!$H:$H,DATA_GOC!$A:$A,"BOM",DATA_GOC!$D:$D,$B7,DATA_GOC!$F:$F,"Xuất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7" s="222">
        <f>IF($B7="","",IF(Y$4&gt;DAY(EOMONTH(DATE($D$2,$B$2,1),0)),"",SUMIFS(DATA_GOC!$H:$H,DATA_GOC!$A:$A,"BOM",DATA_GOC!$D:$D,$B7,DATA_GOC!$F:$F,"Xuất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7" s="222">
        <f>IF($B7="","",IF(Z$4&gt;DAY(EOMONTH(DATE($D$2,$B$2,1),0)),"",SUMIFS(DATA_GOC!$H:$H,DATA_GOC!$A:$A,"BOM",DATA_GOC!$D:$D,$B7,DATA_GOC!$F:$F,"Xuất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7" s="222">
        <f>IF($B7="","",IF(AA$4&gt;DAY(EOMONTH(DATE($D$2,$B$2,1),0)),"",SUMIFS(DATA_GOC!$H:$H,DATA_GOC!$A:$A,"BOM",DATA_GOC!$D:$D,$B7,DATA_GOC!$F:$F,"Xuất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7" s="222">
        <f>IF($B7="","",IF(AB$4&gt;DAY(EOMONTH(DATE($D$2,$B$2,1),0)),"",SUMIFS(DATA_GOC!$H:$H,DATA_GOC!$A:$A,"BOM",DATA_GOC!$D:$D,$B7,DATA_GOC!$F:$F,"Xuất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7" s="222">
        <f>IF($B7="","",IF(AC$4&gt;DAY(EOMONTH(DATE($D$2,$B$2,1),0)),"",SUMIFS(DATA_GOC!$H:$H,DATA_GOC!$A:$A,"BOM",DATA_GOC!$D:$D,$B7,DATA_GOC!$F:$F,"Xuất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7" s="222">
        <f>IF($B7="","",IF(AD$4&gt;DAY(EOMONTH(DATE($D$2,$B$2,1),0)),"",SUMIFS(DATA_GOC!$H:$H,DATA_GOC!$A:$A,"BOM",DATA_GOC!$D:$D,$B7,DATA_GOC!$F:$F,"Xuất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7" s="222">
        <f>IF($B7="","",IF(AE$4&gt;DAY(EOMONTH(DATE($D$2,$B$2,1),0)),"",SUMIFS(DATA_GOC!$H:$H,DATA_GOC!$A:$A,"BOM",DATA_GOC!$D:$D,$B7,DATA_GOC!$F:$F,"Xuất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7" s="222">
        <f>IF($B7="","",IF(AF$4&gt;DAY(EOMONTH(DATE($D$2,$B$2,1),0)),"",SUMIFS(DATA_GOC!$H:$H,DATA_GOC!$A:$A,"BOM",DATA_GOC!$D:$D,$B7,DATA_GOC!$F:$F,"Xuất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7" s="222">
        <f>IF($B7="","",IF(AG$4&gt;DAY(EOMONTH(DATE($D$2,$B$2,1),0)),"",SUMIFS(DATA_GOC!$H:$H,DATA_GOC!$A:$A,"BOM",DATA_GOC!$D:$D,$B7,DATA_GOC!$F:$F,"Xuất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7" s="223">
        <f t="shared" si="2"/>
        <v>46</v>
      </c>
      <c r="AI7" s="224">
        <f>IF($B7="","",SUMIFS(DATA_GOC!$H:$H,DATA_GOC!$A:$A,"BOM",DATA_GOC!$D:$D,$B7,DATA_GOC!$F:$F,"Bơm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7" s="224">
        <f>IF($B7="","",SUMIFS(TINH_TEC!$K$233:$K$9232,TINH_TEC!$H$233:$H$9232,$B7,TINH_TEC!$F$233:$F$9232,$B$2,TINH_TEC!$G$233:$G$9232,$D$2,TINH_TEC!$B$233:$B$9232,"Đã chốt"))</f>
        <v>0</v>
      </c>
      <c r="AK7" s="224">
        <f>IF($B7="","",SUMIFS(TINH_TEC!$J$233:$J$9232,TINH_TEC!$H$233:$H$9232,$B7,TINH_TEC!$F$233:$F$9232,$B$2,TINH_TEC!$G$233:$G$9232,$D$2,TINH_TEC!$B$233:$B$9232,"Đã chốt"))</f>
        <v>9.086</v>
      </c>
      <c r="AL7" s="225">
        <f t="shared" si="3"/>
        <v>55.086</v>
      </c>
      <c r="AM7" s="222">
        <f>IF($B7="","",SUMIFS(DATA_GOC!$K:$K,DATA_GOC!$A:$A,"BOM",DATA_GOC!$D:$D,$B7,DATA_GOC!$G:$G,"DO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7" s="226" t="str">
        <f t="shared" si="4"/>
        <v/>
      </c>
      <c r="AO7" s="227" t="str">
        <f t="shared" si="5"/>
        <v/>
      </c>
      <c r="AP7" s="226">
        <f>IF($B7="","",IFERROR(AO7-(SUMIFS(DATA_GOC!$H:$H,DATA_GOC!$A:$A,"BOM",DATA_GOC!$D:$D,$B7,DATA_GOC!$F:$F,"Xuất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-0.6154284088</v>
      </c>
      <c r="AQ7" s="59">
        <v>1.0</v>
      </c>
      <c r="AR7" s="59">
        <v>2026.0</v>
      </c>
      <c r="AS7" s="59" t="s">
        <v>159</v>
      </c>
      <c r="AT7" s="59">
        <v>831.703</v>
      </c>
      <c r="AU7" s="59">
        <v>0.0</v>
      </c>
      <c r="AV7" s="59">
        <v>831.703</v>
      </c>
      <c r="AW7" s="59">
        <v>2854.0</v>
      </c>
      <c r="AX7" s="59">
        <v>29.1416608269096</v>
      </c>
      <c r="AY7" s="59">
        <v>400.93</v>
      </c>
      <c r="AZ7" s="59">
        <v>430.773</v>
      </c>
      <c r="BA7" s="59">
        <v>18.93</v>
      </c>
      <c r="BB7" s="59">
        <v>0.0</v>
      </c>
      <c r="BC7" s="59" t="s">
        <v>361</v>
      </c>
    </row>
    <row r="8" ht="16.5" customHeight="1">
      <c r="A8" s="220">
        <f t="shared" si="1"/>
        <v>4</v>
      </c>
      <c r="B8" s="221" t="str">
        <f t="array" ref="B8">IFERROR(INDEX(DANH_MUC!$E:$E,ROW()-1),"")</f>
        <v>28C01165</v>
      </c>
      <c r="C8" s="222">
        <f>IF($B8="","",IF(C$4&gt;DAY(EOMONTH(DATE($D$2,$B$2,1),0)),"",SUMIFS(DATA_GOC!$H:$H,DATA_GOC!$A:$A,"BOM",DATA_GOC!$D:$D,$B8,DATA_GOC!$F:$F,"Xuất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8" s="222">
        <f>IF($B8="","",IF(D$4&gt;DAY(EOMONTH(DATE($D$2,$B$2,1),0)),"",SUMIFS(DATA_GOC!$H:$H,DATA_GOC!$A:$A,"BOM",DATA_GOC!$D:$D,$B8,DATA_GOC!$F:$F,"Xuất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8" s="222">
        <f>IF($B8="","",IF(E$4&gt;DAY(EOMONTH(DATE($D$2,$B$2,1),0)),"",SUMIFS(DATA_GOC!$H:$H,DATA_GOC!$A:$A,"BOM",DATA_GOC!$D:$D,$B8,DATA_GOC!$F:$F,"Xuất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8" s="222">
        <f>IF($B8="","",IF(F$4&gt;DAY(EOMONTH(DATE($D$2,$B$2,1),0)),"",SUMIFS(DATA_GOC!$H:$H,DATA_GOC!$A:$A,"BOM",DATA_GOC!$D:$D,$B8,DATA_GOC!$F:$F,"Xuất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8" s="222">
        <f>IF($B8="","",IF(G$4&gt;DAY(EOMONTH(DATE($D$2,$B$2,1),0)),"",SUMIFS(DATA_GOC!$H:$H,DATA_GOC!$A:$A,"BOM",DATA_GOC!$D:$D,$B8,DATA_GOC!$F:$F,"Xuất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8" s="222">
        <f>IF($B8="","",IF(H$4&gt;DAY(EOMONTH(DATE($D$2,$B$2,1),0)),"",SUMIFS(DATA_GOC!$H:$H,DATA_GOC!$A:$A,"BOM",DATA_GOC!$D:$D,$B8,DATA_GOC!$F:$F,"Xuất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8" s="222">
        <f>IF($B8="","",IF(I$4&gt;DAY(EOMONTH(DATE($D$2,$B$2,1),0)),"",SUMIFS(DATA_GOC!$H:$H,DATA_GOC!$A:$A,"BOM",DATA_GOC!$D:$D,$B8,DATA_GOC!$F:$F,"Xuất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8" s="222">
        <f>IF($B8="","",IF(J$4&gt;DAY(EOMONTH(DATE($D$2,$B$2,1),0)),"",SUMIFS(DATA_GOC!$H:$H,DATA_GOC!$A:$A,"BOM",DATA_GOC!$D:$D,$B8,DATA_GOC!$F:$F,"Xuất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8" s="222">
        <f>IF($B8="","",IF(K$4&gt;DAY(EOMONTH(DATE($D$2,$B$2,1),0)),"",SUMIFS(DATA_GOC!$H:$H,DATA_GOC!$A:$A,"BOM",DATA_GOC!$D:$D,$B8,DATA_GOC!$F:$F,"Xuất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8" s="222">
        <f>IF($B8="","",IF(L$4&gt;DAY(EOMONTH(DATE($D$2,$B$2,1),0)),"",SUMIFS(DATA_GOC!$H:$H,DATA_GOC!$A:$A,"BOM",DATA_GOC!$D:$D,$B8,DATA_GOC!$F:$F,"Xuất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8" s="222">
        <f>IF($B8="","",IF(M$4&gt;DAY(EOMONTH(DATE($D$2,$B$2,1),0)),"",SUMIFS(DATA_GOC!$H:$H,DATA_GOC!$A:$A,"BOM",DATA_GOC!$D:$D,$B8,DATA_GOC!$F:$F,"Xuất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8" s="222">
        <f>IF($B8="","",IF(N$4&gt;DAY(EOMONTH(DATE($D$2,$B$2,1),0)),"",SUMIFS(DATA_GOC!$H:$H,DATA_GOC!$A:$A,"BOM",DATA_GOC!$D:$D,$B8,DATA_GOC!$F:$F,"Xuất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8" s="222">
        <f>IF($B8="","",IF(O$4&gt;DAY(EOMONTH(DATE($D$2,$B$2,1),0)),"",SUMIFS(DATA_GOC!$H:$H,DATA_GOC!$A:$A,"BOM",DATA_GOC!$D:$D,$B8,DATA_GOC!$F:$F,"Xuất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8" s="222">
        <f>IF($B8="","",IF(P$4&gt;DAY(EOMONTH(DATE($D$2,$B$2,1),0)),"",SUMIFS(DATA_GOC!$H:$H,DATA_GOC!$A:$A,"BOM",DATA_GOC!$D:$D,$B8,DATA_GOC!$F:$F,"Xuất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8" s="222">
        <f>IF($B8="","",IF(Q$4&gt;DAY(EOMONTH(DATE($D$2,$B$2,1),0)),"",SUMIFS(DATA_GOC!$H:$H,DATA_GOC!$A:$A,"BOM",DATA_GOC!$D:$D,$B8,DATA_GOC!$F:$F,"Xuất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8" s="222">
        <f>IF($B8="","",IF(R$4&gt;DAY(EOMONTH(DATE($D$2,$B$2,1),0)),"",SUMIFS(DATA_GOC!$H:$H,DATA_GOC!$A:$A,"BOM",DATA_GOC!$D:$D,$B8,DATA_GOC!$F:$F,"Xuất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8" s="222">
        <f>IF($B8="","",IF(S$4&gt;DAY(EOMONTH(DATE($D$2,$B$2,1),0)),"",SUMIFS(DATA_GOC!$H:$H,DATA_GOC!$A:$A,"BOM",DATA_GOC!$D:$D,$B8,DATA_GOC!$F:$F,"Xuất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8" s="222">
        <f>IF($B8="","",IF(T$4&gt;DAY(EOMONTH(DATE($D$2,$B$2,1),0)),"",SUMIFS(DATA_GOC!$H:$H,DATA_GOC!$A:$A,"BOM",DATA_GOC!$D:$D,$B8,DATA_GOC!$F:$F,"Xuất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8" s="222">
        <f>IF($B8="","",IF(U$4&gt;DAY(EOMONTH(DATE($D$2,$B$2,1),0)),"",SUMIFS(DATA_GOC!$H:$H,DATA_GOC!$A:$A,"BOM",DATA_GOC!$D:$D,$B8,DATA_GOC!$F:$F,"Xuất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8" s="222">
        <f>IF($B8="","",IF(V$4&gt;DAY(EOMONTH(DATE($D$2,$B$2,1),0)),"",SUMIFS(DATA_GOC!$H:$H,DATA_GOC!$A:$A,"BOM",DATA_GOC!$D:$D,$B8,DATA_GOC!$F:$F,"Xuất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8" s="222">
        <f>IF($B8="","",IF(W$4&gt;DAY(EOMONTH(DATE($D$2,$B$2,1),0)),"",SUMIFS(DATA_GOC!$H:$H,DATA_GOC!$A:$A,"BOM",DATA_GOC!$D:$D,$B8,DATA_GOC!$F:$F,"Xuất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8" s="222">
        <f>IF($B8="","",IF(X$4&gt;DAY(EOMONTH(DATE($D$2,$B$2,1),0)),"",SUMIFS(DATA_GOC!$H:$H,DATA_GOC!$A:$A,"BOM",DATA_GOC!$D:$D,$B8,DATA_GOC!$F:$F,"Xuất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8" s="222">
        <f>IF($B8="","",IF(Y$4&gt;DAY(EOMONTH(DATE($D$2,$B$2,1),0)),"",SUMIFS(DATA_GOC!$H:$H,DATA_GOC!$A:$A,"BOM",DATA_GOC!$D:$D,$B8,DATA_GOC!$F:$F,"Xuất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8" s="222">
        <f>IF($B8="","",IF(Z$4&gt;DAY(EOMONTH(DATE($D$2,$B$2,1),0)),"",SUMIFS(DATA_GOC!$H:$H,DATA_GOC!$A:$A,"BOM",DATA_GOC!$D:$D,$B8,DATA_GOC!$F:$F,"Xuất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8" s="222">
        <f>IF($B8="","",IF(AA$4&gt;DAY(EOMONTH(DATE($D$2,$B$2,1),0)),"",SUMIFS(DATA_GOC!$H:$H,DATA_GOC!$A:$A,"BOM",DATA_GOC!$D:$D,$B8,DATA_GOC!$F:$F,"Xuất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8" s="222">
        <f>IF($B8="","",IF(AB$4&gt;DAY(EOMONTH(DATE($D$2,$B$2,1),0)),"",SUMIFS(DATA_GOC!$H:$H,DATA_GOC!$A:$A,"BOM",DATA_GOC!$D:$D,$B8,DATA_GOC!$F:$F,"Xuất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8" s="222">
        <f>IF($B8="","",IF(AC$4&gt;DAY(EOMONTH(DATE($D$2,$B$2,1),0)),"",SUMIFS(DATA_GOC!$H:$H,DATA_GOC!$A:$A,"BOM",DATA_GOC!$D:$D,$B8,DATA_GOC!$F:$F,"Xuất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8" s="222">
        <f>IF($B8="","",IF(AD$4&gt;DAY(EOMONTH(DATE($D$2,$B$2,1),0)),"",SUMIFS(DATA_GOC!$H:$H,DATA_GOC!$A:$A,"BOM",DATA_GOC!$D:$D,$B8,DATA_GOC!$F:$F,"Xuất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8" s="222">
        <f>IF($B8="","",IF(AE$4&gt;DAY(EOMONTH(DATE($D$2,$B$2,1),0)),"",SUMIFS(DATA_GOC!$H:$H,DATA_GOC!$A:$A,"BOM",DATA_GOC!$D:$D,$B8,DATA_GOC!$F:$F,"Xuất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8" s="222">
        <f>IF($B8="","",IF(AF$4&gt;DAY(EOMONTH(DATE($D$2,$B$2,1),0)),"",SUMIFS(DATA_GOC!$H:$H,DATA_GOC!$A:$A,"BOM",DATA_GOC!$D:$D,$B8,DATA_GOC!$F:$F,"Xuất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8" s="222">
        <f>IF($B8="","",IF(AG$4&gt;DAY(EOMONTH(DATE($D$2,$B$2,1),0)),"",SUMIFS(DATA_GOC!$H:$H,DATA_GOC!$A:$A,"BOM",DATA_GOC!$D:$D,$B8,DATA_GOC!$F:$F,"Xuất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8" s="223">
        <f t="shared" si="2"/>
        <v>0</v>
      </c>
      <c r="AI8" s="224">
        <f>IF($B8="","",SUMIFS(DATA_GOC!$H:$H,DATA_GOC!$A:$A,"BOM",DATA_GOC!$D:$D,$B8,DATA_GOC!$F:$F,"Bơm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8" s="224">
        <f>IF($B8="","",SUMIFS(TINH_TEC!$K$233:$K$9232,TINH_TEC!$H$233:$H$9232,$B8,TINH_TEC!$F$233:$F$9232,$B$2,TINH_TEC!$G$233:$G$9232,$D$2,TINH_TEC!$B$233:$B$9232,"Đã chốt"))</f>
        <v>0</v>
      </c>
      <c r="AK8" s="224">
        <f>IF($B8="","",SUMIFS(TINH_TEC!$J$233:$J$9232,TINH_TEC!$H$233:$H$9232,$B8,TINH_TEC!$F$233:$F$9232,$B$2,TINH_TEC!$G$233:$G$9232,$D$2,TINH_TEC!$B$233:$B$9232,"Đã chốt"))</f>
        <v>12.231</v>
      </c>
      <c r="AL8" s="225">
        <f t="shared" si="3"/>
        <v>12.231</v>
      </c>
      <c r="AM8" s="222">
        <f>IF($B8="","",SUMIFS(DATA_GOC!$K:$K,DATA_GOC!$A:$A,"BOM",DATA_GOC!$D:$D,$B8,DATA_GOC!$G:$G,"DO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8" s="226" t="str">
        <f t="shared" si="4"/>
        <v/>
      </c>
      <c r="AO8" s="227" t="str">
        <f t="shared" si="5"/>
        <v/>
      </c>
      <c r="AP8" s="226">
        <f>IF($B8="","",IFERROR(AO8-(SUMIFS(DATA_GOC!$H:$H,DATA_GOC!$A:$A,"BOM",DATA_GOC!$D:$D,$B8,DATA_GOC!$F:$F,"Xuất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-0.2941176471</v>
      </c>
      <c r="AQ8" s="59">
        <v>1.0</v>
      </c>
      <c r="AR8" s="59">
        <v>2026.0</v>
      </c>
      <c r="AS8" s="59" t="s">
        <v>158</v>
      </c>
      <c r="AT8" s="59">
        <v>830.621</v>
      </c>
      <c r="AU8" s="59">
        <v>0.0</v>
      </c>
      <c r="AV8" s="59">
        <v>830.621</v>
      </c>
      <c r="AW8" s="59">
        <v>2392.0</v>
      </c>
      <c r="AX8" s="59">
        <v>34.7249581939799</v>
      </c>
      <c r="AY8" s="59">
        <v>415.36</v>
      </c>
      <c r="AZ8" s="59">
        <v>415.261</v>
      </c>
      <c r="BA8" s="59">
        <v>15.36</v>
      </c>
      <c r="BB8" s="59">
        <v>0.0</v>
      </c>
      <c r="BC8" s="59" t="s">
        <v>362</v>
      </c>
    </row>
    <row r="9" ht="16.5" customHeight="1">
      <c r="A9" s="220">
        <f t="shared" si="1"/>
        <v>5</v>
      </c>
      <c r="B9" s="221" t="str">
        <f t="array" ref="B9">IFERROR(INDEX(DANH_MUC!$E:$E,ROW()-1),"")</f>
        <v>28C01406</v>
      </c>
      <c r="C9" s="222">
        <f>IF($B9="","",IF(C$4&gt;DAY(EOMONTH(DATE($D$2,$B$2,1),0)),"",SUMIFS(DATA_GOC!$H:$H,DATA_GOC!$A:$A,"BOM",DATA_GOC!$D:$D,$B9,DATA_GOC!$F:$F,"Xuất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9" s="222">
        <f>IF($B9="","",IF(D$4&gt;DAY(EOMONTH(DATE($D$2,$B$2,1),0)),"",SUMIFS(DATA_GOC!$H:$H,DATA_GOC!$A:$A,"BOM",DATA_GOC!$D:$D,$B9,DATA_GOC!$F:$F,"Xuất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9" s="222">
        <f>IF($B9="","",IF(E$4&gt;DAY(EOMONTH(DATE($D$2,$B$2,1),0)),"",SUMIFS(DATA_GOC!$H:$H,DATA_GOC!$A:$A,"BOM",DATA_GOC!$D:$D,$B9,DATA_GOC!$F:$F,"Xuất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390</v>
      </c>
      <c r="F9" s="222">
        <f>IF($B9="","",IF(F$4&gt;DAY(EOMONTH(DATE($D$2,$B$2,1),0)),"",SUMIFS(DATA_GOC!$H:$H,DATA_GOC!$A:$A,"BOM",DATA_GOC!$D:$D,$B9,DATA_GOC!$F:$F,"Xuất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9" s="222">
        <f>IF($B9="","",IF(G$4&gt;DAY(EOMONTH(DATE($D$2,$B$2,1),0)),"",SUMIFS(DATA_GOC!$H:$H,DATA_GOC!$A:$A,"BOM",DATA_GOC!$D:$D,$B9,DATA_GOC!$F:$F,"Xuất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9" s="222">
        <f>IF($B9="","",IF(H$4&gt;DAY(EOMONTH(DATE($D$2,$B$2,1),0)),"",SUMIFS(DATA_GOC!$H:$H,DATA_GOC!$A:$A,"BOM",DATA_GOC!$D:$D,$B9,DATA_GOC!$F:$F,"Xuất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9" s="222">
        <f>IF($B9="","",IF(I$4&gt;DAY(EOMONTH(DATE($D$2,$B$2,1),0)),"",SUMIFS(DATA_GOC!$H:$H,DATA_GOC!$A:$A,"BOM",DATA_GOC!$D:$D,$B9,DATA_GOC!$F:$F,"Xuất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9" s="222">
        <f>IF($B9="","",IF(J$4&gt;DAY(EOMONTH(DATE($D$2,$B$2,1),0)),"",SUMIFS(DATA_GOC!$H:$H,DATA_GOC!$A:$A,"BOM",DATA_GOC!$D:$D,$B9,DATA_GOC!$F:$F,"Xuất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9" s="222">
        <f>IF($B9="","",IF(K$4&gt;DAY(EOMONTH(DATE($D$2,$B$2,1),0)),"",SUMIFS(DATA_GOC!$H:$H,DATA_GOC!$A:$A,"BOM",DATA_GOC!$D:$D,$B9,DATA_GOC!$F:$F,"Xuất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9" s="222">
        <f>IF($B9="","",IF(L$4&gt;DAY(EOMONTH(DATE($D$2,$B$2,1),0)),"",SUMIFS(DATA_GOC!$H:$H,DATA_GOC!$A:$A,"BOM",DATA_GOC!$D:$D,$B9,DATA_GOC!$F:$F,"Xuất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9" s="222">
        <f>IF($B9="","",IF(M$4&gt;DAY(EOMONTH(DATE($D$2,$B$2,1),0)),"",SUMIFS(DATA_GOC!$H:$H,DATA_GOC!$A:$A,"BOM",DATA_GOC!$D:$D,$B9,DATA_GOC!$F:$F,"Xuất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9" s="222">
        <f>IF($B9="","",IF(N$4&gt;DAY(EOMONTH(DATE($D$2,$B$2,1),0)),"",SUMIFS(DATA_GOC!$H:$H,DATA_GOC!$A:$A,"BOM",DATA_GOC!$D:$D,$B9,DATA_GOC!$F:$F,"Xuất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9" s="222">
        <f>IF($B9="","",IF(O$4&gt;DAY(EOMONTH(DATE($D$2,$B$2,1),0)),"",SUMIFS(DATA_GOC!$H:$H,DATA_GOC!$A:$A,"BOM",DATA_GOC!$D:$D,$B9,DATA_GOC!$F:$F,"Xuất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9" s="222">
        <f>IF($B9="","",IF(P$4&gt;DAY(EOMONTH(DATE($D$2,$B$2,1),0)),"",SUMIFS(DATA_GOC!$H:$H,DATA_GOC!$A:$A,"BOM",DATA_GOC!$D:$D,$B9,DATA_GOC!$F:$F,"Xuất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9" s="222">
        <f>IF($B9="","",IF(Q$4&gt;DAY(EOMONTH(DATE($D$2,$B$2,1),0)),"",SUMIFS(DATA_GOC!$H:$H,DATA_GOC!$A:$A,"BOM",DATA_GOC!$D:$D,$B9,DATA_GOC!$F:$F,"Xuất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9" s="222">
        <f>IF($B9="","",IF(R$4&gt;DAY(EOMONTH(DATE($D$2,$B$2,1),0)),"",SUMIFS(DATA_GOC!$H:$H,DATA_GOC!$A:$A,"BOM",DATA_GOC!$D:$D,$B9,DATA_GOC!$F:$F,"Xuất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9" s="222">
        <f>IF($B9="","",IF(S$4&gt;DAY(EOMONTH(DATE($D$2,$B$2,1),0)),"",SUMIFS(DATA_GOC!$H:$H,DATA_GOC!$A:$A,"BOM",DATA_GOC!$D:$D,$B9,DATA_GOC!$F:$F,"Xuất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9" s="222">
        <f>IF($B9="","",IF(T$4&gt;DAY(EOMONTH(DATE($D$2,$B$2,1),0)),"",SUMIFS(DATA_GOC!$H:$H,DATA_GOC!$A:$A,"BOM",DATA_GOC!$D:$D,$B9,DATA_GOC!$F:$F,"Xuất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9" s="222">
        <f>IF($B9="","",IF(U$4&gt;DAY(EOMONTH(DATE($D$2,$B$2,1),0)),"",SUMIFS(DATA_GOC!$H:$H,DATA_GOC!$A:$A,"BOM",DATA_GOC!$D:$D,$B9,DATA_GOC!$F:$F,"Xuất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9" s="222">
        <f>IF($B9="","",IF(V$4&gt;DAY(EOMONTH(DATE($D$2,$B$2,1),0)),"",SUMIFS(DATA_GOC!$H:$H,DATA_GOC!$A:$A,"BOM",DATA_GOC!$D:$D,$B9,DATA_GOC!$F:$F,"Xuất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9" s="222">
        <f>IF($B9="","",IF(W$4&gt;DAY(EOMONTH(DATE($D$2,$B$2,1),0)),"",SUMIFS(DATA_GOC!$H:$H,DATA_GOC!$A:$A,"BOM",DATA_GOC!$D:$D,$B9,DATA_GOC!$F:$F,"Xuất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9" s="222">
        <f>IF($B9="","",IF(X$4&gt;DAY(EOMONTH(DATE($D$2,$B$2,1),0)),"",SUMIFS(DATA_GOC!$H:$H,DATA_GOC!$A:$A,"BOM",DATA_GOC!$D:$D,$B9,DATA_GOC!$F:$F,"Xuất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9" s="222">
        <f>IF($B9="","",IF(Y$4&gt;DAY(EOMONTH(DATE($D$2,$B$2,1),0)),"",SUMIFS(DATA_GOC!$H:$H,DATA_GOC!$A:$A,"BOM",DATA_GOC!$D:$D,$B9,DATA_GOC!$F:$F,"Xuất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9" s="222">
        <f>IF($B9="","",IF(Z$4&gt;DAY(EOMONTH(DATE($D$2,$B$2,1),0)),"",SUMIFS(DATA_GOC!$H:$H,DATA_GOC!$A:$A,"BOM",DATA_GOC!$D:$D,$B9,DATA_GOC!$F:$F,"Xuất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9" s="222">
        <f>IF($B9="","",IF(AA$4&gt;DAY(EOMONTH(DATE($D$2,$B$2,1),0)),"",SUMIFS(DATA_GOC!$H:$H,DATA_GOC!$A:$A,"BOM",DATA_GOC!$D:$D,$B9,DATA_GOC!$F:$F,"Xuất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9" s="222">
        <f>IF($B9="","",IF(AB$4&gt;DAY(EOMONTH(DATE($D$2,$B$2,1),0)),"",SUMIFS(DATA_GOC!$H:$H,DATA_GOC!$A:$A,"BOM",DATA_GOC!$D:$D,$B9,DATA_GOC!$F:$F,"Xuất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9" s="222">
        <f>IF($B9="","",IF(AC$4&gt;DAY(EOMONTH(DATE($D$2,$B$2,1),0)),"",SUMIFS(DATA_GOC!$H:$H,DATA_GOC!$A:$A,"BOM",DATA_GOC!$D:$D,$B9,DATA_GOC!$F:$F,"Xuất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9" s="222">
        <f>IF($B9="","",IF(AD$4&gt;DAY(EOMONTH(DATE($D$2,$B$2,1),0)),"",SUMIFS(DATA_GOC!$H:$H,DATA_GOC!$A:$A,"BOM",DATA_GOC!$D:$D,$B9,DATA_GOC!$F:$F,"Xuất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9" s="222">
        <f>IF($B9="","",IF(AE$4&gt;DAY(EOMONTH(DATE($D$2,$B$2,1),0)),"",SUMIFS(DATA_GOC!$H:$H,DATA_GOC!$A:$A,"BOM",DATA_GOC!$D:$D,$B9,DATA_GOC!$F:$F,"Xuất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9" s="222">
        <f>IF($B9="","",IF(AF$4&gt;DAY(EOMONTH(DATE($D$2,$B$2,1),0)),"",SUMIFS(DATA_GOC!$H:$H,DATA_GOC!$A:$A,"BOM",DATA_GOC!$D:$D,$B9,DATA_GOC!$F:$F,"Xuất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9" s="222">
        <f>IF($B9="","",IF(AG$4&gt;DAY(EOMONTH(DATE($D$2,$B$2,1),0)),"",SUMIFS(DATA_GOC!$H:$H,DATA_GOC!$A:$A,"BOM",DATA_GOC!$D:$D,$B9,DATA_GOC!$F:$F,"Xuất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9" s="223">
        <f t="shared" si="2"/>
        <v>390</v>
      </c>
      <c r="AI9" s="224">
        <f>IF($B9="","",SUMIFS(DATA_GOC!$H:$H,DATA_GOC!$A:$A,"BOM",DATA_GOC!$D:$D,$B9,DATA_GOC!$F:$F,"Bơm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9" s="224">
        <f>IF($B9="","",SUMIFS(TINH_TEC!$K$233:$K$9232,TINH_TEC!$H$233:$H$9232,$B9,TINH_TEC!$F$233:$F$9232,$B$2,TINH_TEC!$G$233:$G$9232,$D$2,TINH_TEC!$B$233:$B$9232,"Đã chốt"))</f>
        <v>0</v>
      </c>
      <c r="AK9" s="224">
        <f>IF($B9="","",SUMIFS(TINH_TEC!$J$233:$J$9232,TINH_TEC!$H$233:$H$9232,$B9,TINH_TEC!$F$233:$F$9232,$B$2,TINH_TEC!$G$233:$G$9232,$D$2,TINH_TEC!$B$233:$B$9232,"Đã chốt"))</f>
        <v>69.891</v>
      </c>
      <c r="AL9" s="225">
        <f t="shared" si="3"/>
        <v>459.891</v>
      </c>
      <c r="AM9" s="222">
        <f>IF($B9="","",SUMIFS(DATA_GOC!$K:$K,DATA_GOC!$A:$A,"BOM",DATA_GOC!$D:$D,$B9,DATA_GOC!$G:$G,"DO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1075</v>
      </c>
      <c r="AN9" s="226">
        <f t="shared" si="4"/>
        <v>42.78055814</v>
      </c>
      <c r="AO9" s="227">
        <f t="shared" si="5"/>
        <v>0.4278055814</v>
      </c>
      <c r="AP9" s="226">
        <f>IF($B9="","",IFERROR(AO9-(SUMIFS(DATA_GOC!$H:$H,DATA_GOC!$A:$A,"BOM",DATA_GOC!$D:$D,$B9,DATA_GOC!$F:$F,"Xuất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0.0351988255</v>
      </c>
      <c r="AQ9" s="59">
        <v>1.0</v>
      </c>
      <c r="AR9" s="59">
        <v>2026.0</v>
      </c>
      <c r="AS9" s="59" t="s">
        <v>130</v>
      </c>
      <c r="AT9" s="59">
        <v>1118.264</v>
      </c>
      <c r="AU9" s="59">
        <v>0.0</v>
      </c>
      <c r="AV9" s="59">
        <v>1118.264</v>
      </c>
      <c r="AY9" s="59">
        <v>497.45</v>
      </c>
      <c r="AZ9" s="59">
        <v>620.814</v>
      </c>
      <c r="BA9" s="59">
        <v>23.45</v>
      </c>
      <c r="BB9" s="59">
        <v>0.0</v>
      </c>
      <c r="BC9" s="59" t="s">
        <v>363</v>
      </c>
    </row>
    <row r="10" ht="16.5" customHeight="1">
      <c r="A10" s="220">
        <f t="shared" si="1"/>
        <v>6</v>
      </c>
      <c r="B10" s="221" t="str">
        <f t="array" ref="B10">IFERROR(INDEX(DANH_MUC!$E:$E,ROW()-1),"")</f>
        <v>28C01544</v>
      </c>
      <c r="C10" s="222">
        <f>IF($B10="","",IF(C$4&gt;DAY(EOMONTH(DATE($D$2,$B$2,1),0)),"",SUMIFS(DATA_GOC!$H:$H,DATA_GOC!$A:$A,"BOM",DATA_GOC!$D:$D,$B10,DATA_GOC!$F:$F,"Xuất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0" s="222">
        <f>IF($B10="","",IF(D$4&gt;DAY(EOMONTH(DATE($D$2,$B$2,1),0)),"",SUMIFS(DATA_GOC!$H:$H,DATA_GOC!$A:$A,"BOM",DATA_GOC!$D:$D,$B10,DATA_GOC!$F:$F,"Xuất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0" s="222">
        <f>IF($B10="","",IF(E$4&gt;DAY(EOMONTH(DATE($D$2,$B$2,1),0)),"",SUMIFS(DATA_GOC!$H:$H,DATA_GOC!$A:$A,"BOM",DATA_GOC!$D:$D,$B10,DATA_GOC!$F:$F,"Xuất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0" s="222">
        <f>IF($B10="","",IF(F$4&gt;DAY(EOMONTH(DATE($D$2,$B$2,1),0)),"",SUMIFS(DATA_GOC!$H:$H,DATA_GOC!$A:$A,"BOM",DATA_GOC!$D:$D,$B10,DATA_GOC!$F:$F,"Xuất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0" s="222">
        <f>IF($B10="","",IF(G$4&gt;DAY(EOMONTH(DATE($D$2,$B$2,1),0)),"",SUMIFS(DATA_GOC!$H:$H,DATA_GOC!$A:$A,"BOM",DATA_GOC!$D:$D,$B10,DATA_GOC!$F:$F,"Xuất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0" s="222">
        <f>IF($B10="","",IF(H$4&gt;DAY(EOMONTH(DATE($D$2,$B$2,1),0)),"",SUMIFS(DATA_GOC!$H:$H,DATA_GOC!$A:$A,"BOM",DATA_GOC!$D:$D,$B10,DATA_GOC!$F:$F,"Xuất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0" s="222">
        <f>IF($B10="","",IF(I$4&gt;DAY(EOMONTH(DATE($D$2,$B$2,1),0)),"",SUMIFS(DATA_GOC!$H:$H,DATA_GOC!$A:$A,"BOM",DATA_GOC!$D:$D,$B10,DATA_GOC!$F:$F,"Xuất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0" s="222">
        <f>IF($B10="","",IF(J$4&gt;DAY(EOMONTH(DATE($D$2,$B$2,1),0)),"",SUMIFS(DATA_GOC!$H:$H,DATA_GOC!$A:$A,"BOM",DATA_GOC!$D:$D,$B10,DATA_GOC!$F:$F,"Xuất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0" s="222">
        <f>IF($B10="","",IF(K$4&gt;DAY(EOMONTH(DATE($D$2,$B$2,1),0)),"",SUMIFS(DATA_GOC!$H:$H,DATA_GOC!$A:$A,"BOM",DATA_GOC!$D:$D,$B10,DATA_GOC!$F:$F,"Xuất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0" s="222">
        <f>IF($B10="","",IF(L$4&gt;DAY(EOMONTH(DATE($D$2,$B$2,1),0)),"",SUMIFS(DATA_GOC!$H:$H,DATA_GOC!$A:$A,"BOM",DATA_GOC!$D:$D,$B10,DATA_GOC!$F:$F,"Xuất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0" s="222">
        <f>IF($B10="","",IF(M$4&gt;DAY(EOMONTH(DATE($D$2,$B$2,1),0)),"",SUMIFS(DATA_GOC!$H:$H,DATA_GOC!$A:$A,"BOM",DATA_GOC!$D:$D,$B10,DATA_GOC!$F:$F,"Xuất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0" s="222">
        <f>IF($B10="","",IF(N$4&gt;DAY(EOMONTH(DATE($D$2,$B$2,1),0)),"",SUMIFS(DATA_GOC!$H:$H,DATA_GOC!$A:$A,"BOM",DATA_GOC!$D:$D,$B10,DATA_GOC!$F:$F,"Xuất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0" s="222">
        <f>IF($B10="","",IF(O$4&gt;DAY(EOMONTH(DATE($D$2,$B$2,1),0)),"",SUMIFS(DATA_GOC!$H:$H,DATA_GOC!$A:$A,"BOM",DATA_GOC!$D:$D,$B10,DATA_GOC!$F:$F,"Xuất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0" s="222">
        <f>IF($B10="","",IF(P$4&gt;DAY(EOMONTH(DATE($D$2,$B$2,1),0)),"",SUMIFS(DATA_GOC!$H:$H,DATA_GOC!$A:$A,"BOM",DATA_GOC!$D:$D,$B10,DATA_GOC!$F:$F,"Xuất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0" s="222">
        <f>IF($B10="","",IF(Q$4&gt;DAY(EOMONTH(DATE($D$2,$B$2,1),0)),"",SUMIFS(DATA_GOC!$H:$H,DATA_GOC!$A:$A,"BOM",DATA_GOC!$D:$D,$B10,DATA_GOC!$F:$F,"Xuất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0" s="222">
        <f>IF($B10="","",IF(R$4&gt;DAY(EOMONTH(DATE($D$2,$B$2,1),0)),"",SUMIFS(DATA_GOC!$H:$H,DATA_GOC!$A:$A,"BOM",DATA_GOC!$D:$D,$B10,DATA_GOC!$F:$F,"Xuất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0" s="222">
        <f>IF($B10="","",IF(S$4&gt;DAY(EOMONTH(DATE($D$2,$B$2,1),0)),"",SUMIFS(DATA_GOC!$H:$H,DATA_GOC!$A:$A,"BOM",DATA_GOC!$D:$D,$B10,DATA_GOC!$F:$F,"Xuất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0" s="222">
        <f>IF($B10="","",IF(T$4&gt;DAY(EOMONTH(DATE($D$2,$B$2,1),0)),"",SUMIFS(DATA_GOC!$H:$H,DATA_GOC!$A:$A,"BOM",DATA_GOC!$D:$D,$B10,DATA_GOC!$F:$F,"Xuất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0" s="222">
        <f>IF($B10="","",IF(U$4&gt;DAY(EOMONTH(DATE($D$2,$B$2,1),0)),"",SUMIFS(DATA_GOC!$H:$H,DATA_GOC!$A:$A,"BOM",DATA_GOC!$D:$D,$B10,DATA_GOC!$F:$F,"Xuất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0" s="222">
        <f>IF($B10="","",IF(V$4&gt;DAY(EOMONTH(DATE($D$2,$B$2,1),0)),"",SUMIFS(DATA_GOC!$H:$H,DATA_GOC!$A:$A,"BOM",DATA_GOC!$D:$D,$B10,DATA_GOC!$F:$F,"Xuất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0" s="222">
        <f>IF($B10="","",IF(W$4&gt;DAY(EOMONTH(DATE($D$2,$B$2,1),0)),"",SUMIFS(DATA_GOC!$H:$H,DATA_GOC!$A:$A,"BOM",DATA_GOC!$D:$D,$B10,DATA_GOC!$F:$F,"Xuất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0" s="222">
        <f>IF($B10="","",IF(X$4&gt;DAY(EOMONTH(DATE($D$2,$B$2,1),0)),"",SUMIFS(DATA_GOC!$H:$H,DATA_GOC!$A:$A,"BOM",DATA_GOC!$D:$D,$B10,DATA_GOC!$F:$F,"Xuất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0" s="222">
        <f>IF($B10="","",IF(Y$4&gt;DAY(EOMONTH(DATE($D$2,$B$2,1),0)),"",SUMIFS(DATA_GOC!$H:$H,DATA_GOC!$A:$A,"BOM",DATA_GOC!$D:$D,$B10,DATA_GOC!$F:$F,"Xuất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0" s="222">
        <f>IF($B10="","",IF(Z$4&gt;DAY(EOMONTH(DATE($D$2,$B$2,1),0)),"",SUMIFS(DATA_GOC!$H:$H,DATA_GOC!$A:$A,"BOM",DATA_GOC!$D:$D,$B10,DATA_GOC!$F:$F,"Xuất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0" s="222">
        <f>IF($B10="","",IF(AA$4&gt;DAY(EOMONTH(DATE($D$2,$B$2,1),0)),"",SUMIFS(DATA_GOC!$H:$H,DATA_GOC!$A:$A,"BOM",DATA_GOC!$D:$D,$B10,DATA_GOC!$F:$F,"Xuất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0" s="222">
        <f>IF($B10="","",IF(AB$4&gt;DAY(EOMONTH(DATE($D$2,$B$2,1),0)),"",SUMIFS(DATA_GOC!$H:$H,DATA_GOC!$A:$A,"BOM",DATA_GOC!$D:$D,$B10,DATA_GOC!$F:$F,"Xuất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0" s="222">
        <f>IF($B10="","",IF(AC$4&gt;DAY(EOMONTH(DATE($D$2,$B$2,1),0)),"",SUMIFS(DATA_GOC!$H:$H,DATA_GOC!$A:$A,"BOM",DATA_GOC!$D:$D,$B10,DATA_GOC!$F:$F,"Xuất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0" s="222">
        <f>IF($B10="","",IF(AD$4&gt;DAY(EOMONTH(DATE($D$2,$B$2,1),0)),"",SUMIFS(DATA_GOC!$H:$H,DATA_GOC!$A:$A,"BOM",DATA_GOC!$D:$D,$B10,DATA_GOC!$F:$F,"Xuất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0" s="222">
        <f>IF($B10="","",IF(AE$4&gt;DAY(EOMONTH(DATE($D$2,$B$2,1),0)),"",SUMIFS(DATA_GOC!$H:$H,DATA_GOC!$A:$A,"BOM",DATA_GOC!$D:$D,$B10,DATA_GOC!$F:$F,"Xuất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0" s="222">
        <f>IF($B10="","",IF(AF$4&gt;DAY(EOMONTH(DATE($D$2,$B$2,1),0)),"",SUMIFS(DATA_GOC!$H:$H,DATA_GOC!$A:$A,"BOM",DATA_GOC!$D:$D,$B10,DATA_GOC!$F:$F,"Xuất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0" s="222">
        <f>IF($B10="","",IF(AG$4&gt;DAY(EOMONTH(DATE($D$2,$B$2,1),0)),"",SUMIFS(DATA_GOC!$H:$H,DATA_GOC!$A:$A,"BOM",DATA_GOC!$D:$D,$B10,DATA_GOC!$F:$F,"Xuất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0" s="223">
        <f t="shared" si="2"/>
        <v>0</v>
      </c>
      <c r="AI10" s="224">
        <f>IF($B10="","",SUMIFS(DATA_GOC!$H:$H,DATA_GOC!$A:$A,"BOM",DATA_GOC!$D:$D,$B10,DATA_GOC!$F:$F,"Bơm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0" s="224">
        <f>IF($B10="","",SUMIFS(TINH_TEC!$K$233:$K$9232,TINH_TEC!$H$233:$H$9232,$B10,TINH_TEC!$F$233:$F$9232,$B$2,TINH_TEC!$G$233:$G$9232,$D$2,TINH_TEC!$B$233:$B$9232,"Đã chốt"))</f>
        <v>0</v>
      </c>
      <c r="AK10" s="224">
        <f>IF($B10="","",SUMIFS(TINH_TEC!$J$233:$J$9232,TINH_TEC!$H$233:$H$9232,$B10,TINH_TEC!$F$233:$F$9232,$B$2,TINH_TEC!$G$233:$G$9232,$D$2,TINH_TEC!$B$233:$B$9232,"Đã chốt"))</f>
        <v>2.504</v>
      </c>
      <c r="AL10" s="225">
        <f t="shared" si="3"/>
        <v>2.504</v>
      </c>
      <c r="AM10" s="222">
        <f>IF($B10="","",SUMIFS(DATA_GOC!$K:$K,DATA_GOC!$A:$A,"BOM",DATA_GOC!$D:$D,$B10,DATA_GOC!$G:$G,"DO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10" s="226" t="str">
        <f t="shared" si="4"/>
        <v/>
      </c>
      <c r="AO10" s="227" t="str">
        <f t="shared" si="5"/>
        <v/>
      </c>
      <c r="AP10" s="226">
        <f>IF($B10="","",IFERROR(AO10-(SUMIFS(DATA_GOC!$H:$H,DATA_GOC!$A:$A,"BOM",DATA_GOC!$D:$D,$B10,DATA_GOC!$F:$F,"Xuất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-0.08285243199</v>
      </c>
      <c r="AQ10" s="59">
        <v>1.0</v>
      </c>
      <c r="AR10" s="59">
        <v>2026.0</v>
      </c>
      <c r="AS10" s="59" t="s">
        <v>126</v>
      </c>
      <c r="AT10" s="59">
        <v>1089.348</v>
      </c>
      <c r="AU10" s="59">
        <v>0.0</v>
      </c>
      <c r="AV10" s="59">
        <v>1089.348</v>
      </c>
      <c r="AW10" s="59">
        <v>1814.0</v>
      </c>
      <c r="AX10" s="59">
        <v>60.0522601984564</v>
      </c>
      <c r="AY10" s="59">
        <v>426.78</v>
      </c>
      <c r="AZ10" s="59">
        <v>662.568</v>
      </c>
      <c r="BA10" s="59">
        <v>15.78</v>
      </c>
      <c r="BB10" s="59">
        <v>0.0</v>
      </c>
      <c r="BC10" s="59" t="s">
        <v>364</v>
      </c>
    </row>
    <row r="11" ht="16.5" customHeight="1">
      <c r="A11" s="220">
        <f t="shared" si="1"/>
        <v>7</v>
      </c>
      <c r="B11" s="221" t="str">
        <f t="array" ref="B11">IFERROR(INDEX(DANH_MUC!$E:$E,ROW()-1),"")</f>
        <v>28C01622</v>
      </c>
      <c r="C11" s="222">
        <f>IF($B11="","",IF(C$4&gt;DAY(EOMONTH(DATE($D$2,$B$2,1),0)),"",SUMIFS(DATA_GOC!$H:$H,DATA_GOC!$A:$A,"BOM",DATA_GOC!$D:$D,$B11,DATA_GOC!$F:$F,"Xuất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1" s="222">
        <f>IF($B11="","",IF(D$4&gt;DAY(EOMONTH(DATE($D$2,$B$2,1),0)),"",SUMIFS(DATA_GOC!$H:$H,DATA_GOC!$A:$A,"BOM",DATA_GOC!$D:$D,$B11,DATA_GOC!$F:$F,"Xuất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1" s="222">
        <f>IF($B11="","",IF(E$4&gt;DAY(EOMONTH(DATE($D$2,$B$2,1),0)),"",SUMIFS(DATA_GOC!$H:$H,DATA_GOC!$A:$A,"BOM",DATA_GOC!$D:$D,$B11,DATA_GOC!$F:$F,"Xuất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390</v>
      </c>
      <c r="F11" s="222">
        <f>IF($B11="","",IF(F$4&gt;DAY(EOMONTH(DATE($D$2,$B$2,1),0)),"",SUMIFS(DATA_GOC!$H:$H,DATA_GOC!$A:$A,"BOM",DATA_GOC!$D:$D,$B11,DATA_GOC!$F:$F,"Xuất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1" s="222">
        <f>IF($B11="","",IF(G$4&gt;DAY(EOMONTH(DATE($D$2,$B$2,1),0)),"",SUMIFS(DATA_GOC!$H:$H,DATA_GOC!$A:$A,"BOM",DATA_GOC!$D:$D,$B11,DATA_GOC!$F:$F,"Xuất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1" s="222">
        <f>IF($B11="","",IF(H$4&gt;DAY(EOMONTH(DATE($D$2,$B$2,1),0)),"",SUMIFS(DATA_GOC!$H:$H,DATA_GOC!$A:$A,"BOM",DATA_GOC!$D:$D,$B11,DATA_GOC!$F:$F,"Xuất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1" s="222">
        <f>IF($B11="","",IF(I$4&gt;DAY(EOMONTH(DATE($D$2,$B$2,1),0)),"",SUMIFS(DATA_GOC!$H:$H,DATA_GOC!$A:$A,"BOM",DATA_GOC!$D:$D,$B11,DATA_GOC!$F:$F,"Xuất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1" s="222">
        <f>IF($B11="","",IF(J$4&gt;DAY(EOMONTH(DATE($D$2,$B$2,1),0)),"",SUMIFS(DATA_GOC!$H:$H,DATA_GOC!$A:$A,"BOM",DATA_GOC!$D:$D,$B11,DATA_GOC!$F:$F,"Xuất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1" s="222">
        <f>IF($B11="","",IF(K$4&gt;DAY(EOMONTH(DATE($D$2,$B$2,1),0)),"",SUMIFS(DATA_GOC!$H:$H,DATA_GOC!$A:$A,"BOM",DATA_GOC!$D:$D,$B11,DATA_GOC!$F:$F,"Xuất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1" s="222">
        <f>IF($B11="","",IF(L$4&gt;DAY(EOMONTH(DATE($D$2,$B$2,1),0)),"",SUMIFS(DATA_GOC!$H:$H,DATA_GOC!$A:$A,"BOM",DATA_GOC!$D:$D,$B11,DATA_GOC!$F:$F,"Xuất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1" s="222">
        <f>IF($B11="","",IF(M$4&gt;DAY(EOMONTH(DATE($D$2,$B$2,1),0)),"",SUMIFS(DATA_GOC!$H:$H,DATA_GOC!$A:$A,"BOM",DATA_GOC!$D:$D,$B11,DATA_GOC!$F:$F,"Xuất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1" s="222">
        <f>IF($B11="","",IF(N$4&gt;DAY(EOMONTH(DATE($D$2,$B$2,1),0)),"",SUMIFS(DATA_GOC!$H:$H,DATA_GOC!$A:$A,"BOM",DATA_GOC!$D:$D,$B11,DATA_GOC!$F:$F,"Xuất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1" s="222">
        <f>IF($B11="","",IF(O$4&gt;DAY(EOMONTH(DATE($D$2,$B$2,1),0)),"",SUMIFS(DATA_GOC!$H:$H,DATA_GOC!$A:$A,"BOM",DATA_GOC!$D:$D,$B11,DATA_GOC!$F:$F,"Xuất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1" s="222">
        <f>IF($B11="","",IF(P$4&gt;DAY(EOMONTH(DATE($D$2,$B$2,1),0)),"",SUMIFS(DATA_GOC!$H:$H,DATA_GOC!$A:$A,"BOM",DATA_GOC!$D:$D,$B11,DATA_GOC!$F:$F,"Xuất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1" s="222">
        <f>IF($B11="","",IF(Q$4&gt;DAY(EOMONTH(DATE($D$2,$B$2,1),0)),"",SUMIFS(DATA_GOC!$H:$H,DATA_GOC!$A:$A,"BOM",DATA_GOC!$D:$D,$B11,DATA_GOC!$F:$F,"Xuất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1" s="222">
        <f>IF($B11="","",IF(R$4&gt;DAY(EOMONTH(DATE($D$2,$B$2,1),0)),"",SUMIFS(DATA_GOC!$H:$H,DATA_GOC!$A:$A,"BOM",DATA_GOC!$D:$D,$B11,DATA_GOC!$F:$F,"Xuất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1" s="222">
        <f>IF($B11="","",IF(S$4&gt;DAY(EOMONTH(DATE($D$2,$B$2,1),0)),"",SUMIFS(DATA_GOC!$H:$H,DATA_GOC!$A:$A,"BOM",DATA_GOC!$D:$D,$B11,DATA_GOC!$F:$F,"Xuất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1" s="222">
        <f>IF($B11="","",IF(T$4&gt;DAY(EOMONTH(DATE($D$2,$B$2,1),0)),"",SUMIFS(DATA_GOC!$H:$H,DATA_GOC!$A:$A,"BOM",DATA_GOC!$D:$D,$B11,DATA_GOC!$F:$F,"Xuất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1" s="222">
        <f>IF($B11="","",IF(U$4&gt;DAY(EOMONTH(DATE($D$2,$B$2,1),0)),"",SUMIFS(DATA_GOC!$H:$H,DATA_GOC!$A:$A,"BOM",DATA_GOC!$D:$D,$B11,DATA_GOC!$F:$F,"Xuất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1" s="222">
        <f>IF($B11="","",IF(V$4&gt;DAY(EOMONTH(DATE($D$2,$B$2,1),0)),"",SUMIFS(DATA_GOC!$H:$H,DATA_GOC!$A:$A,"BOM",DATA_GOC!$D:$D,$B11,DATA_GOC!$F:$F,"Xuất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1" s="222">
        <f>IF($B11="","",IF(W$4&gt;DAY(EOMONTH(DATE($D$2,$B$2,1),0)),"",SUMIFS(DATA_GOC!$H:$H,DATA_GOC!$A:$A,"BOM",DATA_GOC!$D:$D,$B11,DATA_GOC!$F:$F,"Xuất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1" s="222">
        <f>IF($B11="","",IF(X$4&gt;DAY(EOMONTH(DATE($D$2,$B$2,1),0)),"",SUMIFS(DATA_GOC!$H:$H,DATA_GOC!$A:$A,"BOM",DATA_GOC!$D:$D,$B11,DATA_GOC!$F:$F,"Xuất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1" s="222">
        <f>IF($B11="","",IF(Y$4&gt;DAY(EOMONTH(DATE($D$2,$B$2,1),0)),"",SUMIFS(DATA_GOC!$H:$H,DATA_GOC!$A:$A,"BOM",DATA_GOC!$D:$D,$B11,DATA_GOC!$F:$F,"Xuất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1" s="222">
        <f>IF($B11="","",IF(Z$4&gt;DAY(EOMONTH(DATE($D$2,$B$2,1),0)),"",SUMIFS(DATA_GOC!$H:$H,DATA_GOC!$A:$A,"BOM",DATA_GOC!$D:$D,$B11,DATA_GOC!$F:$F,"Xuất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1" s="222">
        <f>IF($B11="","",IF(AA$4&gt;DAY(EOMONTH(DATE($D$2,$B$2,1),0)),"",SUMIFS(DATA_GOC!$H:$H,DATA_GOC!$A:$A,"BOM",DATA_GOC!$D:$D,$B11,DATA_GOC!$F:$F,"Xuất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1" s="222">
        <f>IF($B11="","",IF(AB$4&gt;DAY(EOMONTH(DATE($D$2,$B$2,1),0)),"",SUMIFS(DATA_GOC!$H:$H,DATA_GOC!$A:$A,"BOM",DATA_GOC!$D:$D,$B11,DATA_GOC!$F:$F,"Xuất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1" s="222">
        <f>IF($B11="","",IF(AC$4&gt;DAY(EOMONTH(DATE($D$2,$B$2,1),0)),"",SUMIFS(DATA_GOC!$H:$H,DATA_GOC!$A:$A,"BOM",DATA_GOC!$D:$D,$B11,DATA_GOC!$F:$F,"Xuất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1" s="222">
        <f>IF($B11="","",IF(AD$4&gt;DAY(EOMONTH(DATE($D$2,$B$2,1),0)),"",SUMIFS(DATA_GOC!$H:$H,DATA_GOC!$A:$A,"BOM",DATA_GOC!$D:$D,$B11,DATA_GOC!$F:$F,"Xuất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1" s="222">
        <f>IF($B11="","",IF(AE$4&gt;DAY(EOMONTH(DATE($D$2,$B$2,1),0)),"",SUMIFS(DATA_GOC!$H:$H,DATA_GOC!$A:$A,"BOM",DATA_GOC!$D:$D,$B11,DATA_GOC!$F:$F,"Xuất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1" s="222">
        <f>IF($B11="","",IF(AF$4&gt;DAY(EOMONTH(DATE($D$2,$B$2,1),0)),"",SUMIFS(DATA_GOC!$H:$H,DATA_GOC!$A:$A,"BOM",DATA_GOC!$D:$D,$B11,DATA_GOC!$F:$F,"Xuất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1" s="222">
        <f>IF($B11="","",IF(AG$4&gt;DAY(EOMONTH(DATE($D$2,$B$2,1),0)),"",SUMIFS(DATA_GOC!$H:$H,DATA_GOC!$A:$A,"BOM",DATA_GOC!$D:$D,$B11,DATA_GOC!$F:$F,"Xuất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1" s="223">
        <f t="shared" si="2"/>
        <v>390</v>
      </c>
      <c r="AI11" s="224">
        <f>IF($B11="","",SUMIFS(DATA_GOC!$H:$H,DATA_GOC!$A:$A,"BOM",DATA_GOC!$D:$D,$B11,DATA_GOC!$F:$F,"Bơm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1" s="224">
        <f>IF($B11="","",SUMIFS(TINH_TEC!$K$233:$K$9232,TINH_TEC!$H$233:$H$9232,$B11,TINH_TEC!$F$233:$F$9232,$B$2,TINH_TEC!$G$233:$G$9232,$D$2,TINH_TEC!$B$233:$B$9232,"Đã chốt"))</f>
        <v>0</v>
      </c>
      <c r="AK11" s="224">
        <f>IF($B11="","",SUMIFS(TINH_TEC!$J$233:$J$9232,TINH_TEC!$H$233:$H$9232,$B11,TINH_TEC!$F$233:$F$9232,$B$2,TINH_TEC!$G$233:$G$9232,$D$2,TINH_TEC!$B$233:$B$9232,"Đã chốt"))</f>
        <v>59.99</v>
      </c>
      <c r="AL11" s="225">
        <f t="shared" si="3"/>
        <v>449.99</v>
      </c>
      <c r="AM11" s="222">
        <f>IF($B11="","",SUMIFS(DATA_GOC!$K:$K,DATA_GOC!$A:$A,"BOM",DATA_GOC!$D:$D,$B11,DATA_GOC!$G:$G,"DO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844</v>
      </c>
      <c r="AN11" s="226">
        <f t="shared" si="4"/>
        <v>53.31635071</v>
      </c>
      <c r="AO11" s="227">
        <f t="shared" si="5"/>
        <v>0.5331635071</v>
      </c>
      <c r="AP11" s="226">
        <f>IF($B11="","",IFERROR(AO11-(SUMIFS(DATA_GOC!$H:$H,DATA_GOC!$A:$A,"BOM",DATA_GOC!$D:$D,$B11,DATA_GOC!$F:$F,"Xuất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0.04421954981</v>
      </c>
      <c r="AQ11" s="59">
        <v>1.0</v>
      </c>
      <c r="AR11" s="59">
        <v>2026.0</v>
      </c>
      <c r="AS11" s="59" t="s">
        <v>164</v>
      </c>
      <c r="AT11" s="59">
        <v>240.91</v>
      </c>
      <c r="AU11" s="59">
        <v>0.0</v>
      </c>
      <c r="AV11" s="59">
        <v>240.91</v>
      </c>
      <c r="AY11" s="59">
        <v>240.91</v>
      </c>
      <c r="AZ11" s="59">
        <v>0.0</v>
      </c>
      <c r="BA11" s="59">
        <v>8.91</v>
      </c>
      <c r="BB11" s="59">
        <v>0.0</v>
      </c>
      <c r="BC11" s="59" t="s">
        <v>365</v>
      </c>
    </row>
    <row r="12" ht="16.5" customHeight="1">
      <c r="A12" s="220">
        <f t="shared" si="1"/>
        <v>8</v>
      </c>
      <c r="B12" s="221" t="str">
        <f t="array" ref="B12">IFERROR(INDEX(DANH_MUC!$E:$E,ROW()-1),"")</f>
        <v>28C01647</v>
      </c>
      <c r="C12" s="222">
        <f>IF($B12="","",IF(C$4&gt;DAY(EOMONTH(DATE($D$2,$B$2,1),0)),"",SUMIFS(DATA_GOC!$H:$H,DATA_GOC!$A:$A,"BOM",DATA_GOC!$D:$D,$B12,DATA_GOC!$F:$F,"Xuất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2" s="222">
        <f>IF($B12="","",IF(D$4&gt;DAY(EOMONTH(DATE($D$2,$B$2,1),0)),"",SUMIFS(DATA_GOC!$H:$H,DATA_GOC!$A:$A,"BOM",DATA_GOC!$D:$D,$B12,DATA_GOC!$F:$F,"Xuất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2" s="222">
        <f>IF($B12="","",IF(E$4&gt;DAY(EOMONTH(DATE($D$2,$B$2,1),0)),"",SUMIFS(DATA_GOC!$H:$H,DATA_GOC!$A:$A,"BOM",DATA_GOC!$D:$D,$B12,DATA_GOC!$F:$F,"Xuất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2" s="222">
        <f>IF($B12="","",IF(F$4&gt;DAY(EOMONTH(DATE($D$2,$B$2,1),0)),"",SUMIFS(DATA_GOC!$H:$H,DATA_GOC!$A:$A,"BOM",DATA_GOC!$D:$D,$B12,DATA_GOC!$F:$F,"Xuất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2" s="222">
        <f>IF($B12="","",IF(G$4&gt;DAY(EOMONTH(DATE($D$2,$B$2,1),0)),"",SUMIFS(DATA_GOC!$H:$H,DATA_GOC!$A:$A,"BOM",DATA_GOC!$D:$D,$B12,DATA_GOC!$F:$F,"Xuất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2" s="222">
        <f>IF($B12="","",IF(H$4&gt;DAY(EOMONTH(DATE($D$2,$B$2,1),0)),"",SUMIFS(DATA_GOC!$H:$H,DATA_GOC!$A:$A,"BOM",DATA_GOC!$D:$D,$B12,DATA_GOC!$F:$F,"Xuất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2" s="222">
        <f>IF($B12="","",IF(I$4&gt;DAY(EOMONTH(DATE($D$2,$B$2,1),0)),"",SUMIFS(DATA_GOC!$H:$H,DATA_GOC!$A:$A,"BOM",DATA_GOC!$D:$D,$B12,DATA_GOC!$F:$F,"Xuất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2" s="222">
        <f>IF($B12="","",IF(J$4&gt;DAY(EOMONTH(DATE($D$2,$B$2,1),0)),"",SUMIFS(DATA_GOC!$H:$H,DATA_GOC!$A:$A,"BOM",DATA_GOC!$D:$D,$B12,DATA_GOC!$F:$F,"Xuất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2" s="222">
        <f>IF($B12="","",IF(K$4&gt;DAY(EOMONTH(DATE($D$2,$B$2,1),0)),"",SUMIFS(DATA_GOC!$H:$H,DATA_GOC!$A:$A,"BOM",DATA_GOC!$D:$D,$B12,DATA_GOC!$F:$F,"Xuất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2" s="222">
        <f>IF($B12="","",IF(L$4&gt;DAY(EOMONTH(DATE($D$2,$B$2,1),0)),"",SUMIFS(DATA_GOC!$H:$H,DATA_GOC!$A:$A,"BOM",DATA_GOC!$D:$D,$B12,DATA_GOC!$F:$F,"Xuất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2" s="222">
        <f>IF($B12="","",IF(M$4&gt;DAY(EOMONTH(DATE($D$2,$B$2,1),0)),"",SUMIFS(DATA_GOC!$H:$H,DATA_GOC!$A:$A,"BOM",DATA_GOC!$D:$D,$B12,DATA_GOC!$F:$F,"Xuất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2" s="222">
        <f>IF($B12="","",IF(N$4&gt;DAY(EOMONTH(DATE($D$2,$B$2,1),0)),"",SUMIFS(DATA_GOC!$H:$H,DATA_GOC!$A:$A,"BOM",DATA_GOC!$D:$D,$B12,DATA_GOC!$F:$F,"Xuất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2" s="222">
        <f>IF($B12="","",IF(O$4&gt;DAY(EOMONTH(DATE($D$2,$B$2,1),0)),"",SUMIFS(DATA_GOC!$H:$H,DATA_GOC!$A:$A,"BOM",DATA_GOC!$D:$D,$B12,DATA_GOC!$F:$F,"Xuất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2" s="222">
        <f>IF($B12="","",IF(P$4&gt;DAY(EOMONTH(DATE($D$2,$B$2,1),0)),"",SUMIFS(DATA_GOC!$H:$H,DATA_GOC!$A:$A,"BOM",DATA_GOC!$D:$D,$B12,DATA_GOC!$F:$F,"Xuất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2" s="222">
        <f>IF($B12="","",IF(Q$4&gt;DAY(EOMONTH(DATE($D$2,$B$2,1),0)),"",SUMIFS(DATA_GOC!$H:$H,DATA_GOC!$A:$A,"BOM",DATA_GOC!$D:$D,$B12,DATA_GOC!$F:$F,"Xuất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2" s="222">
        <f>IF($B12="","",IF(R$4&gt;DAY(EOMONTH(DATE($D$2,$B$2,1),0)),"",SUMIFS(DATA_GOC!$H:$H,DATA_GOC!$A:$A,"BOM",DATA_GOC!$D:$D,$B12,DATA_GOC!$F:$F,"Xuất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2" s="222">
        <f>IF($B12="","",IF(S$4&gt;DAY(EOMONTH(DATE($D$2,$B$2,1),0)),"",SUMIFS(DATA_GOC!$H:$H,DATA_GOC!$A:$A,"BOM",DATA_GOC!$D:$D,$B12,DATA_GOC!$F:$F,"Xuất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2" s="222">
        <f>IF($B12="","",IF(T$4&gt;DAY(EOMONTH(DATE($D$2,$B$2,1),0)),"",SUMIFS(DATA_GOC!$H:$H,DATA_GOC!$A:$A,"BOM",DATA_GOC!$D:$D,$B12,DATA_GOC!$F:$F,"Xuất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2" s="222">
        <f>IF($B12="","",IF(U$4&gt;DAY(EOMONTH(DATE($D$2,$B$2,1),0)),"",SUMIFS(DATA_GOC!$H:$H,DATA_GOC!$A:$A,"BOM",DATA_GOC!$D:$D,$B12,DATA_GOC!$F:$F,"Xuất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2" s="222">
        <f>IF($B12="","",IF(V$4&gt;DAY(EOMONTH(DATE($D$2,$B$2,1),0)),"",SUMIFS(DATA_GOC!$H:$H,DATA_GOC!$A:$A,"BOM",DATA_GOC!$D:$D,$B12,DATA_GOC!$F:$F,"Xuất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2" s="222">
        <f>IF($B12="","",IF(W$4&gt;DAY(EOMONTH(DATE($D$2,$B$2,1),0)),"",SUMIFS(DATA_GOC!$H:$H,DATA_GOC!$A:$A,"BOM",DATA_GOC!$D:$D,$B12,DATA_GOC!$F:$F,"Xuất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2" s="222">
        <f>IF($B12="","",IF(X$4&gt;DAY(EOMONTH(DATE($D$2,$B$2,1),0)),"",SUMIFS(DATA_GOC!$H:$H,DATA_GOC!$A:$A,"BOM",DATA_GOC!$D:$D,$B12,DATA_GOC!$F:$F,"Xuất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2" s="222">
        <f>IF($B12="","",IF(Y$4&gt;DAY(EOMONTH(DATE($D$2,$B$2,1),0)),"",SUMIFS(DATA_GOC!$H:$H,DATA_GOC!$A:$A,"BOM",DATA_GOC!$D:$D,$B12,DATA_GOC!$F:$F,"Xuất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2" s="222">
        <f>IF($B12="","",IF(Z$4&gt;DAY(EOMONTH(DATE($D$2,$B$2,1),0)),"",SUMIFS(DATA_GOC!$H:$H,DATA_GOC!$A:$A,"BOM",DATA_GOC!$D:$D,$B12,DATA_GOC!$F:$F,"Xuất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2" s="222">
        <f>IF($B12="","",IF(AA$4&gt;DAY(EOMONTH(DATE($D$2,$B$2,1),0)),"",SUMIFS(DATA_GOC!$H:$H,DATA_GOC!$A:$A,"BOM",DATA_GOC!$D:$D,$B12,DATA_GOC!$F:$F,"Xuất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2" s="222">
        <f>IF($B12="","",IF(AB$4&gt;DAY(EOMONTH(DATE($D$2,$B$2,1),0)),"",SUMIFS(DATA_GOC!$H:$H,DATA_GOC!$A:$A,"BOM",DATA_GOC!$D:$D,$B12,DATA_GOC!$F:$F,"Xuất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2" s="222">
        <f>IF($B12="","",IF(AC$4&gt;DAY(EOMONTH(DATE($D$2,$B$2,1),0)),"",SUMIFS(DATA_GOC!$H:$H,DATA_GOC!$A:$A,"BOM",DATA_GOC!$D:$D,$B12,DATA_GOC!$F:$F,"Xuất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2" s="222">
        <f>IF($B12="","",IF(AD$4&gt;DAY(EOMONTH(DATE($D$2,$B$2,1),0)),"",SUMIFS(DATA_GOC!$H:$H,DATA_GOC!$A:$A,"BOM",DATA_GOC!$D:$D,$B12,DATA_GOC!$F:$F,"Xuất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2" s="222">
        <f>IF($B12="","",IF(AE$4&gt;DAY(EOMONTH(DATE($D$2,$B$2,1),0)),"",SUMIFS(DATA_GOC!$H:$H,DATA_GOC!$A:$A,"BOM",DATA_GOC!$D:$D,$B12,DATA_GOC!$F:$F,"Xuất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2" s="222">
        <f>IF($B12="","",IF(AF$4&gt;DAY(EOMONTH(DATE($D$2,$B$2,1),0)),"",SUMIFS(DATA_GOC!$H:$H,DATA_GOC!$A:$A,"BOM",DATA_GOC!$D:$D,$B12,DATA_GOC!$F:$F,"Xuất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2" s="222">
        <f>IF($B12="","",IF(AG$4&gt;DAY(EOMONTH(DATE($D$2,$B$2,1),0)),"",SUMIFS(DATA_GOC!$H:$H,DATA_GOC!$A:$A,"BOM",DATA_GOC!$D:$D,$B12,DATA_GOC!$F:$F,"Xuất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2" s="223">
        <f t="shared" si="2"/>
        <v>0</v>
      </c>
      <c r="AI12" s="224">
        <f>IF($B12="","",SUMIFS(DATA_GOC!$H:$H,DATA_GOC!$A:$A,"BOM",DATA_GOC!$D:$D,$B12,DATA_GOC!$F:$F,"Bơm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458.218</v>
      </c>
      <c r="AJ12" s="224">
        <f>IF($B12="","",SUMIFS(TINH_TEC!$K$233:$K$9232,TINH_TEC!$H$233:$H$9232,$B12,TINH_TEC!$F$233:$F$9232,$B$2,TINH_TEC!$G$233:$G$9232,$D$2,TINH_TEC!$B$233:$B$9232,"Đã chốt"))</f>
        <v>0</v>
      </c>
      <c r="AK12" s="224">
        <f>IF($B12="","",SUMIFS(TINH_TEC!$J$233:$J$9232,TINH_TEC!$H$233:$H$9232,$B12,TINH_TEC!$F$233:$F$9232,$B$2,TINH_TEC!$G$233:$G$9232,$D$2,TINH_TEC!$B$233:$B$9232,"Đã chốt"))</f>
        <v>35.528</v>
      </c>
      <c r="AL12" s="225">
        <f t="shared" si="3"/>
        <v>493.746</v>
      </c>
      <c r="AM12" s="222">
        <f>IF($B12="","",SUMIFS(DATA_GOC!$K:$K,DATA_GOC!$A:$A,"BOM",DATA_GOC!$D:$D,$B12,DATA_GOC!$G:$G,"DO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1077</v>
      </c>
      <c r="AN12" s="226">
        <f t="shared" si="4"/>
        <v>45.84456825</v>
      </c>
      <c r="AO12" s="227">
        <f t="shared" si="5"/>
        <v>0.4584456825</v>
      </c>
      <c r="AP12" s="226">
        <f>IF($B12="","",IFERROR(AO12-(SUMIFS(DATA_GOC!$H:$H,DATA_GOC!$A:$A,"BOM",DATA_GOC!$D:$D,$B12,DATA_GOC!$F:$F,"Xuất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0.01510152661</v>
      </c>
      <c r="AQ12" s="59">
        <v>1.0</v>
      </c>
      <c r="AR12" s="59">
        <v>2026.0</v>
      </c>
      <c r="AS12" s="59" t="s">
        <v>88</v>
      </c>
      <c r="AT12" s="59">
        <v>3770.202</v>
      </c>
      <c r="AU12" s="59">
        <v>260.0</v>
      </c>
      <c r="AV12" s="59">
        <v>4030.202</v>
      </c>
      <c r="AW12" s="59">
        <v>8454.0</v>
      </c>
      <c r="AX12" s="59">
        <v>47.6721315353679</v>
      </c>
      <c r="AY12" s="59">
        <v>1274.77</v>
      </c>
      <c r="AZ12" s="59">
        <v>2755.432</v>
      </c>
      <c r="BA12" s="59">
        <v>56.77</v>
      </c>
      <c r="BB12" s="59">
        <v>0.0</v>
      </c>
      <c r="BC12" s="59" t="s">
        <v>366</v>
      </c>
    </row>
    <row r="13" ht="16.5" customHeight="1">
      <c r="A13" s="220">
        <f t="shared" si="1"/>
        <v>9</v>
      </c>
      <c r="B13" s="221" t="str">
        <f t="array" ref="B13">IFERROR(INDEX(DANH_MUC!$E:$E,ROW()-1),"")</f>
        <v>28C01731</v>
      </c>
      <c r="C13" s="222">
        <f>IF($B13="","",IF(C$4&gt;DAY(EOMONTH(DATE($D$2,$B$2,1),0)),"",SUMIFS(DATA_GOC!$H:$H,DATA_GOC!$A:$A,"BOM",DATA_GOC!$D:$D,$B13,DATA_GOC!$F:$F,"Xuất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3" s="222">
        <f>IF($B13="","",IF(D$4&gt;DAY(EOMONTH(DATE($D$2,$B$2,1),0)),"",SUMIFS(DATA_GOC!$H:$H,DATA_GOC!$A:$A,"BOM",DATA_GOC!$D:$D,$B13,DATA_GOC!$F:$F,"Xuất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3" s="222">
        <f>IF($B13="","",IF(E$4&gt;DAY(EOMONTH(DATE($D$2,$B$2,1),0)),"",SUMIFS(DATA_GOC!$H:$H,DATA_GOC!$A:$A,"BOM",DATA_GOC!$D:$D,$B13,DATA_GOC!$F:$F,"Xuất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3" s="222">
        <f>IF($B13="","",IF(F$4&gt;DAY(EOMONTH(DATE($D$2,$B$2,1),0)),"",SUMIFS(DATA_GOC!$H:$H,DATA_GOC!$A:$A,"BOM",DATA_GOC!$D:$D,$B13,DATA_GOC!$F:$F,"Xuất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3" s="222">
        <f>IF($B13="","",IF(G$4&gt;DAY(EOMONTH(DATE($D$2,$B$2,1),0)),"",SUMIFS(DATA_GOC!$H:$H,DATA_GOC!$A:$A,"BOM",DATA_GOC!$D:$D,$B13,DATA_GOC!$F:$F,"Xuất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3" s="222">
        <f>IF($B13="","",IF(H$4&gt;DAY(EOMONTH(DATE($D$2,$B$2,1),0)),"",SUMIFS(DATA_GOC!$H:$H,DATA_GOC!$A:$A,"BOM",DATA_GOC!$D:$D,$B13,DATA_GOC!$F:$F,"Xuất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3" s="222">
        <f>IF($B13="","",IF(I$4&gt;DAY(EOMONTH(DATE($D$2,$B$2,1),0)),"",SUMIFS(DATA_GOC!$H:$H,DATA_GOC!$A:$A,"BOM",DATA_GOC!$D:$D,$B13,DATA_GOC!$F:$F,"Xuất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3" s="222">
        <f>IF($B13="","",IF(J$4&gt;DAY(EOMONTH(DATE($D$2,$B$2,1),0)),"",SUMIFS(DATA_GOC!$H:$H,DATA_GOC!$A:$A,"BOM",DATA_GOC!$D:$D,$B13,DATA_GOC!$F:$F,"Xuất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3" s="222">
        <f>IF($B13="","",IF(K$4&gt;DAY(EOMONTH(DATE($D$2,$B$2,1),0)),"",SUMIFS(DATA_GOC!$H:$H,DATA_GOC!$A:$A,"BOM",DATA_GOC!$D:$D,$B13,DATA_GOC!$F:$F,"Xuất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3" s="222">
        <f>IF($B13="","",IF(L$4&gt;DAY(EOMONTH(DATE($D$2,$B$2,1),0)),"",SUMIFS(DATA_GOC!$H:$H,DATA_GOC!$A:$A,"BOM",DATA_GOC!$D:$D,$B13,DATA_GOC!$F:$F,"Xuất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3" s="222">
        <f>IF($B13="","",IF(M$4&gt;DAY(EOMONTH(DATE($D$2,$B$2,1),0)),"",SUMIFS(DATA_GOC!$H:$H,DATA_GOC!$A:$A,"BOM",DATA_GOC!$D:$D,$B13,DATA_GOC!$F:$F,"Xuất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3" s="222">
        <f>IF($B13="","",IF(N$4&gt;DAY(EOMONTH(DATE($D$2,$B$2,1),0)),"",SUMIFS(DATA_GOC!$H:$H,DATA_GOC!$A:$A,"BOM",DATA_GOC!$D:$D,$B13,DATA_GOC!$F:$F,"Xuất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3" s="222">
        <f>IF($B13="","",IF(O$4&gt;DAY(EOMONTH(DATE($D$2,$B$2,1),0)),"",SUMIFS(DATA_GOC!$H:$H,DATA_GOC!$A:$A,"BOM",DATA_GOC!$D:$D,$B13,DATA_GOC!$F:$F,"Xuất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3" s="222">
        <f>IF($B13="","",IF(P$4&gt;DAY(EOMONTH(DATE($D$2,$B$2,1),0)),"",SUMIFS(DATA_GOC!$H:$H,DATA_GOC!$A:$A,"BOM",DATA_GOC!$D:$D,$B13,DATA_GOC!$F:$F,"Xuất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3" s="222">
        <f>IF($B13="","",IF(Q$4&gt;DAY(EOMONTH(DATE($D$2,$B$2,1),0)),"",SUMIFS(DATA_GOC!$H:$H,DATA_GOC!$A:$A,"BOM",DATA_GOC!$D:$D,$B13,DATA_GOC!$F:$F,"Xuất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3" s="222">
        <f>IF($B13="","",IF(R$4&gt;DAY(EOMONTH(DATE($D$2,$B$2,1),0)),"",SUMIFS(DATA_GOC!$H:$H,DATA_GOC!$A:$A,"BOM",DATA_GOC!$D:$D,$B13,DATA_GOC!$F:$F,"Xuất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3" s="222">
        <f>IF($B13="","",IF(S$4&gt;DAY(EOMONTH(DATE($D$2,$B$2,1),0)),"",SUMIFS(DATA_GOC!$H:$H,DATA_GOC!$A:$A,"BOM",DATA_GOC!$D:$D,$B13,DATA_GOC!$F:$F,"Xuất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3" s="222">
        <f>IF($B13="","",IF(T$4&gt;DAY(EOMONTH(DATE($D$2,$B$2,1),0)),"",SUMIFS(DATA_GOC!$H:$H,DATA_GOC!$A:$A,"BOM",DATA_GOC!$D:$D,$B13,DATA_GOC!$F:$F,"Xuất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3" s="222">
        <f>IF($B13="","",IF(U$4&gt;DAY(EOMONTH(DATE($D$2,$B$2,1),0)),"",SUMIFS(DATA_GOC!$H:$H,DATA_GOC!$A:$A,"BOM",DATA_GOC!$D:$D,$B13,DATA_GOC!$F:$F,"Xuất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3" s="222">
        <f>IF($B13="","",IF(V$4&gt;DAY(EOMONTH(DATE($D$2,$B$2,1),0)),"",SUMIFS(DATA_GOC!$H:$H,DATA_GOC!$A:$A,"BOM",DATA_GOC!$D:$D,$B13,DATA_GOC!$F:$F,"Xuất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3" s="222">
        <f>IF($B13="","",IF(W$4&gt;DAY(EOMONTH(DATE($D$2,$B$2,1),0)),"",SUMIFS(DATA_GOC!$H:$H,DATA_GOC!$A:$A,"BOM",DATA_GOC!$D:$D,$B13,DATA_GOC!$F:$F,"Xuất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3" s="222">
        <f>IF($B13="","",IF(X$4&gt;DAY(EOMONTH(DATE($D$2,$B$2,1),0)),"",SUMIFS(DATA_GOC!$H:$H,DATA_GOC!$A:$A,"BOM",DATA_GOC!$D:$D,$B13,DATA_GOC!$F:$F,"Xuất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3" s="222">
        <f>IF($B13="","",IF(Y$4&gt;DAY(EOMONTH(DATE($D$2,$B$2,1),0)),"",SUMIFS(DATA_GOC!$H:$H,DATA_GOC!$A:$A,"BOM",DATA_GOC!$D:$D,$B13,DATA_GOC!$F:$F,"Xuất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3" s="222">
        <f>IF($B13="","",IF(Z$4&gt;DAY(EOMONTH(DATE($D$2,$B$2,1),0)),"",SUMIFS(DATA_GOC!$H:$H,DATA_GOC!$A:$A,"BOM",DATA_GOC!$D:$D,$B13,DATA_GOC!$F:$F,"Xuất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3" s="222">
        <f>IF($B13="","",IF(AA$4&gt;DAY(EOMONTH(DATE($D$2,$B$2,1),0)),"",SUMIFS(DATA_GOC!$H:$H,DATA_GOC!$A:$A,"BOM",DATA_GOC!$D:$D,$B13,DATA_GOC!$F:$F,"Xuất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3" s="222">
        <f>IF($B13="","",IF(AB$4&gt;DAY(EOMONTH(DATE($D$2,$B$2,1),0)),"",SUMIFS(DATA_GOC!$H:$H,DATA_GOC!$A:$A,"BOM",DATA_GOC!$D:$D,$B13,DATA_GOC!$F:$F,"Xuất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3" s="222">
        <f>IF($B13="","",IF(AC$4&gt;DAY(EOMONTH(DATE($D$2,$B$2,1),0)),"",SUMIFS(DATA_GOC!$H:$H,DATA_GOC!$A:$A,"BOM",DATA_GOC!$D:$D,$B13,DATA_GOC!$F:$F,"Xuất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3" s="222">
        <f>IF($B13="","",IF(AD$4&gt;DAY(EOMONTH(DATE($D$2,$B$2,1),0)),"",SUMIFS(DATA_GOC!$H:$H,DATA_GOC!$A:$A,"BOM",DATA_GOC!$D:$D,$B13,DATA_GOC!$F:$F,"Xuất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3" s="222">
        <f>IF($B13="","",IF(AE$4&gt;DAY(EOMONTH(DATE($D$2,$B$2,1),0)),"",SUMIFS(DATA_GOC!$H:$H,DATA_GOC!$A:$A,"BOM",DATA_GOC!$D:$D,$B13,DATA_GOC!$F:$F,"Xuất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3" s="222">
        <f>IF($B13="","",IF(AF$4&gt;DAY(EOMONTH(DATE($D$2,$B$2,1),0)),"",SUMIFS(DATA_GOC!$H:$H,DATA_GOC!$A:$A,"BOM",DATA_GOC!$D:$D,$B13,DATA_GOC!$F:$F,"Xuất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3" s="222">
        <f>IF($B13="","",IF(AG$4&gt;DAY(EOMONTH(DATE($D$2,$B$2,1),0)),"",SUMIFS(DATA_GOC!$H:$H,DATA_GOC!$A:$A,"BOM",DATA_GOC!$D:$D,$B13,DATA_GOC!$F:$F,"Xuất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3" s="223">
        <f t="shared" si="2"/>
        <v>0</v>
      </c>
      <c r="AI13" s="224">
        <f>IF($B13="","",SUMIFS(DATA_GOC!$H:$H,DATA_GOC!$A:$A,"BOM",DATA_GOC!$D:$D,$B13,DATA_GOC!$F:$F,"Bơm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3" s="224">
        <f>IF($B13="","",SUMIFS(TINH_TEC!$K$233:$K$9232,TINH_TEC!$H$233:$H$9232,$B13,TINH_TEC!$F$233:$F$9232,$B$2,TINH_TEC!$G$233:$G$9232,$D$2,TINH_TEC!$B$233:$B$9232,"Đã chốt"))</f>
        <v>0</v>
      </c>
      <c r="AK13" s="224">
        <f>IF($B13="","",SUMIFS(TINH_TEC!$J$233:$J$9232,TINH_TEC!$H$233:$H$9232,$B13,TINH_TEC!$F$233:$F$9232,$B$2,TINH_TEC!$G$233:$G$9232,$D$2,TINH_TEC!$B$233:$B$9232,"Đã chốt"))</f>
        <v>11.357</v>
      </c>
      <c r="AL13" s="225">
        <f t="shared" si="3"/>
        <v>11.357</v>
      </c>
      <c r="AM13" s="222">
        <f>IF($B13="","",SUMIFS(DATA_GOC!$K:$K,DATA_GOC!$A:$A,"BOM",DATA_GOC!$D:$D,$B13,DATA_GOC!$G:$G,"DO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13" s="226" t="str">
        <f t="shared" si="4"/>
        <v/>
      </c>
      <c r="AO13" s="227" t="str">
        <f t="shared" si="5"/>
        <v/>
      </c>
      <c r="AP13" s="226">
        <f>IF($B13="","",IFERROR(AO13-(SUMIFS(DATA_GOC!$H:$H,DATA_GOC!$A:$A,"BOM",DATA_GOC!$D:$D,$B13,DATA_GOC!$F:$F,"Xuất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-0.2876106195</v>
      </c>
      <c r="AQ13" s="59">
        <v>1.0</v>
      </c>
      <c r="AR13" s="59">
        <v>2026.0</v>
      </c>
      <c r="AS13" s="59" t="s">
        <v>123</v>
      </c>
      <c r="AT13" s="59">
        <v>3353.506</v>
      </c>
      <c r="AU13" s="59">
        <v>330.0</v>
      </c>
      <c r="AV13" s="59">
        <v>3683.506</v>
      </c>
      <c r="AW13" s="59">
        <v>7385.0</v>
      </c>
      <c r="AX13" s="59">
        <v>49.8782125930941</v>
      </c>
      <c r="AY13" s="59">
        <v>1425.73</v>
      </c>
      <c r="AZ13" s="59">
        <v>2257.776</v>
      </c>
      <c r="BA13" s="59">
        <v>52.73</v>
      </c>
      <c r="BB13" s="59">
        <v>0.0</v>
      </c>
      <c r="BC13" s="59" t="s">
        <v>367</v>
      </c>
    </row>
    <row r="14" ht="16.5" customHeight="1">
      <c r="A14" s="220">
        <f t="shared" si="1"/>
        <v>10</v>
      </c>
      <c r="B14" s="221" t="str">
        <f t="array" ref="B14">IFERROR(INDEX(DANH_MUC!$E:$E,ROW()-1),"")</f>
        <v>28C01743</v>
      </c>
      <c r="C14" s="222">
        <f>IF($B14="","",IF(C$4&gt;DAY(EOMONTH(DATE($D$2,$B$2,1),0)),"",SUMIFS(DATA_GOC!$H:$H,DATA_GOC!$A:$A,"BOM",DATA_GOC!$D:$D,$B14,DATA_GOC!$F:$F,"Xuất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4" s="222">
        <f>IF($B14="","",IF(D$4&gt;DAY(EOMONTH(DATE($D$2,$B$2,1),0)),"",SUMIFS(DATA_GOC!$H:$H,DATA_GOC!$A:$A,"BOM",DATA_GOC!$D:$D,$B14,DATA_GOC!$F:$F,"Xuất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4" s="222">
        <f>IF($B14="","",IF(E$4&gt;DAY(EOMONTH(DATE($D$2,$B$2,1),0)),"",SUMIFS(DATA_GOC!$H:$H,DATA_GOC!$A:$A,"BOM",DATA_GOC!$D:$D,$B14,DATA_GOC!$F:$F,"Xuất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4" s="222">
        <f>IF($B14="","",IF(F$4&gt;DAY(EOMONTH(DATE($D$2,$B$2,1),0)),"",SUMIFS(DATA_GOC!$H:$H,DATA_GOC!$A:$A,"BOM",DATA_GOC!$D:$D,$B14,DATA_GOC!$F:$F,"Xuất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4" s="222">
        <f>IF($B14="","",IF(G$4&gt;DAY(EOMONTH(DATE($D$2,$B$2,1),0)),"",SUMIFS(DATA_GOC!$H:$H,DATA_GOC!$A:$A,"BOM",DATA_GOC!$D:$D,$B14,DATA_GOC!$F:$F,"Xuất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4" s="222">
        <f>IF($B14="","",IF(H$4&gt;DAY(EOMONTH(DATE($D$2,$B$2,1),0)),"",SUMIFS(DATA_GOC!$H:$H,DATA_GOC!$A:$A,"BOM",DATA_GOC!$D:$D,$B14,DATA_GOC!$F:$F,"Xuất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4" s="222">
        <f>IF($B14="","",IF(I$4&gt;DAY(EOMONTH(DATE($D$2,$B$2,1),0)),"",SUMIFS(DATA_GOC!$H:$H,DATA_GOC!$A:$A,"BOM",DATA_GOC!$D:$D,$B14,DATA_GOC!$F:$F,"Xuất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4" s="222">
        <f>IF($B14="","",IF(J$4&gt;DAY(EOMONTH(DATE($D$2,$B$2,1),0)),"",SUMIFS(DATA_GOC!$H:$H,DATA_GOC!$A:$A,"BOM",DATA_GOC!$D:$D,$B14,DATA_GOC!$F:$F,"Xuất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4" s="222">
        <f>IF($B14="","",IF(K$4&gt;DAY(EOMONTH(DATE($D$2,$B$2,1),0)),"",SUMIFS(DATA_GOC!$H:$H,DATA_GOC!$A:$A,"BOM",DATA_GOC!$D:$D,$B14,DATA_GOC!$F:$F,"Xuất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4" s="222">
        <f>IF($B14="","",IF(L$4&gt;DAY(EOMONTH(DATE($D$2,$B$2,1),0)),"",SUMIFS(DATA_GOC!$H:$H,DATA_GOC!$A:$A,"BOM",DATA_GOC!$D:$D,$B14,DATA_GOC!$F:$F,"Xuất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4" s="222">
        <f>IF($B14="","",IF(M$4&gt;DAY(EOMONTH(DATE($D$2,$B$2,1),0)),"",SUMIFS(DATA_GOC!$H:$H,DATA_GOC!$A:$A,"BOM",DATA_GOC!$D:$D,$B14,DATA_GOC!$F:$F,"Xuất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4" s="222">
        <f>IF($B14="","",IF(N$4&gt;DAY(EOMONTH(DATE($D$2,$B$2,1),0)),"",SUMIFS(DATA_GOC!$H:$H,DATA_GOC!$A:$A,"BOM",DATA_GOC!$D:$D,$B14,DATA_GOC!$F:$F,"Xuất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4" s="222">
        <f>IF($B14="","",IF(O$4&gt;DAY(EOMONTH(DATE($D$2,$B$2,1),0)),"",SUMIFS(DATA_GOC!$H:$H,DATA_GOC!$A:$A,"BOM",DATA_GOC!$D:$D,$B14,DATA_GOC!$F:$F,"Xuất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4" s="222">
        <f>IF($B14="","",IF(P$4&gt;DAY(EOMONTH(DATE($D$2,$B$2,1),0)),"",SUMIFS(DATA_GOC!$H:$H,DATA_GOC!$A:$A,"BOM",DATA_GOC!$D:$D,$B14,DATA_GOC!$F:$F,"Xuất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4" s="222">
        <f>IF($B14="","",IF(Q$4&gt;DAY(EOMONTH(DATE($D$2,$B$2,1),0)),"",SUMIFS(DATA_GOC!$H:$H,DATA_GOC!$A:$A,"BOM",DATA_GOC!$D:$D,$B14,DATA_GOC!$F:$F,"Xuất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4" s="222">
        <f>IF($B14="","",IF(R$4&gt;DAY(EOMONTH(DATE($D$2,$B$2,1),0)),"",SUMIFS(DATA_GOC!$H:$H,DATA_GOC!$A:$A,"BOM",DATA_GOC!$D:$D,$B14,DATA_GOC!$F:$F,"Xuất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4" s="222">
        <f>IF($B14="","",IF(S$4&gt;DAY(EOMONTH(DATE($D$2,$B$2,1),0)),"",SUMIFS(DATA_GOC!$H:$H,DATA_GOC!$A:$A,"BOM",DATA_GOC!$D:$D,$B14,DATA_GOC!$F:$F,"Xuất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4" s="222">
        <f>IF($B14="","",IF(T$4&gt;DAY(EOMONTH(DATE($D$2,$B$2,1),0)),"",SUMIFS(DATA_GOC!$H:$H,DATA_GOC!$A:$A,"BOM",DATA_GOC!$D:$D,$B14,DATA_GOC!$F:$F,"Xuất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4" s="222">
        <f>IF($B14="","",IF(U$4&gt;DAY(EOMONTH(DATE($D$2,$B$2,1),0)),"",SUMIFS(DATA_GOC!$H:$H,DATA_GOC!$A:$A,"BOM",DATA_GOC!$D:$D,$B14,DATA_GOC!$F:$F,"Xuất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4" s="222">
        <f>IF($B14="","",IF(V$4&gt;DAY(EOMONTH(DATE($D$2,$B$2,1),0)),"",SUMIFS(DATA_GOC!$H:$H,DATA_GOC!$A:$A,"BOM",DATA_GOC!$D:$D,$B14,DATA_GOC!$F:$F,"Xuất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4" s="222">
        <f>IF($B14="","",IF(W$4&gt;DAY(EOMONTH(DATE($D$2,$B$2,1),0)),"",SUMIFS(DATA_GOC!$H:$H,DATA_GOC!$A:$A,"BOM",DATA_GOC!$D:$D,$B14,DATA_GOC!$F:$F,"Xuất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4" s="222">
        <f>IF($B14="","",IF(X$4&gt;DAY(EOMONTH(DATE($D$2,$B$2,1),0)),"",SUMIFS(DATA_GOC!$H:$H,DATA_GOC!$A:$A,"BOM",DATA_GOC!$D:$D,$B14,DATA_GOC!$F:$F,"Xuất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4" s="222">
        <f>IF($B14="","",IF(Y$4&gt;DAY(EOMONTH(DATE($D$2,$B$2,1),0)),"",SUMIFS(DATA_GOC!$H:$H,DATA_GOC!$A:$A,"BOM",DATA_GOC!$D:$D,$B14,DATA_GOC!$F:$F,"Xuất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4" s="222">
        <f>IF($B14="","",IF(Z$4&gt;DAY(EOMONTH(DATE($D$2,$B$2,1),0)),"",SUMIFS(DATA_GOC!$H:$H,DATA_GOC!$A:$A,"BOM",DATA_GOC!$D:$D,$B14,DATA_GOC!$F:$F,"Xuất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4" s="222">
        <f>IF($B14="","",IF(AA$4&gt;DAY(EOMONTH(DATE($D$2,$B$2,1),0)),"",SUMIFS(DATA_GOC!$H:$H,DATA_GOC!$A:$A,"BOM",DATA_GOC!$D:$D,$B14,DATA_GOC!$F:$F,"Xuất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4" s="222">
        <f>IF($B14="","",IF(AB$4&gt;DAY(EOMONTH(DATE($D$2,$B$2,1),0)),"",SUMIFS(DATA_GOC!$H:$H,DATA_GOC!$A:$A,"BOM",DATA_GOC!$D:$D,$B14,DATA_GOC!$F:$F,"Xuất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4" s="222">
        <f>IF($B14="","",IF(AC$4&gt;DAY(EOMONTH(DATE($D$2,$B$2,1),0)),"",SUMIFS(DATA_GOC!$H:$H,DATA_GOC!$A:$A,"BOM",DATA_GOC!$D:$D,$B14,DATA_GOC!$F:$F,"Xuất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4" s="222">
        <f>IF($B14="","",IF(AD$4&gt;DAY(EOMONTH(DATE($D$2,$B$2,1),0)),"",SUMIFS(DATA_GOC!$H:$H,DATA_GOC!$A:$A,"BOM",DATA_GOC!$D:$D,$B14,DATA_GOC!$F:$F,"Xuất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4" s="222">
        <f>IF($B14="","",IF(AE$4&gt;DAY(EOMONTH(DATE($D$2,$B$2,1),0)),"",SUMIFS(DATA_GOC!$H:$H,DATA_GOC!$A:$A,"BOM",DATA_GOC!$D:$D,$B14,DATA_GOC!$F:$F,"Xuất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4" s="222">
        <f>IF($B14="","",IF(AF$4&gt;DAY(EOMONTH(DATE($D$2,$B$2,1),0)),"",SUMIFS(DATA_GOC!$H:$H,DATA_GOC!$A:$A,"BOM",DATA_GOC!$D:$D,$B14,DATA_GOC!$F:$F,"Xuất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4" s="222">
        <f>IF($B14="","",IF(AG$4&gt;DAY(EOMONTH(DATE($D$2,$B$2,1),0)),"",SUMIFS(DATA_GOC!$H:$H,DATA_GOC!$A:$A,"BOM",DATA_GOC!$D:$D,$B14,DATA_GOC!$F:$F,"Xuất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4" s="223">
        <f t="shared" si="2"/>
        <v>0</v>
      </c>
      <c r="AI14" s="224">
        <f>IF($B14="","",SUMIFS(DATA_GOC!$H:$H,DATA_GOC!$A:$A,"BOM",DATA_GOC!$D:$D,$B14,DATA_GOC!$F:$F,"Bơm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4" s="224">
        <f>IF($B14="","",SUMIFS(TINH_TEC!$K$233:$K$9232,TINH_TEC!$H$233:$H$9232,$B14,TINH_TEC!$F$233:$F$9232,$B$2,TINH_TEC!$G$233:$G$9232,$D$2,TINH_TEC!$B$233:$B$9232,"Đã chốt"))</f>
        <v>0</v>
      </c>
      <c r="AK14" s="224">
        <f>IF($B14="","",SUMIFS(TINH_TEC!$J$233:$J$9232,TINH_TEC!$H$233:$H$9232,$B14,TINH_TEC!$F$233:$F$9232,$B$2,TINH_TEC!$G$233:$G$9232,$D$2,TINH_TEC!$B$233:$B$9232,"Đã chốt"))</f>
        <v>5.475</v>
      </c>
      <c r="AL14" s="225">
        <f t="shared" si="3"/>
        <v>5.475</v>
      </c>
      <c r="AM14" s="222">
        <f>IF($B14="","",SUMIFS(DATA_GOC!$K:$K,DATA_GOC!$A:$A,"BOM",DATA_GOC!$D:$D,$B14,DATA_GOC!$G:$G,"DO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14" s="226" t="str">
        <f t="shared" si="4"/>
        <v/>
      </c>
      <c r="AO14" s="227" t="str">
        <f t="shared" si="5"/>
        <v/>
      </c>
      <c r="AP14" s="226">
        <f>IF($B14="","",IFERROR(AO14-(SUMIFS(DATA_GOC!$H:$H,DATA_GOC!$A:$A,"BOM",DATA_GOC!$D:$D,$B14,DATA_GOC!$F:$F,"Xuất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-0.363086233</v>
      </c>
      <c r="AQ14" s="59">
        <v>1.0</v>
      </c>
      <c r="AR14" s="59">
        <v>2026.0</v>
      </c>
      <c r="AS14" s="59" t="s">
        <v>82</v>
      </c>
      <c r="AT14" s="59">
        <v>3274.316</v>
      </c>
      <c r="AU14" s="59">
        <v>0.0</v>
      </c>
      <c r="AV14" s="59">
        <v>3274.316</v>
      </c>
      <c r="AW14" s="59">
        <v>7166.0</v>
      </c>
      <c r="AX14" s="59">
        <v>45.6923806865755</v>
      </c>
      <c r="AY14" s="59">
        <v>1575.97</v>
      </c>
      <c r="AZ14" s="59">
        <v>1698.346</v>
      </c>
      <c r="BA14" s="59">
        <v>69.97</v>
      </c>
      <c r="BB14" s="59">
        <v>0.0</v>
      </c>
      <c r="BC14" s="59" t="s">
        <v>368</v>
      </c>
    </row>
    <row r="15" ht="16.5" customHeight="1">
      <c r="A15" s="220">
        <f t="shared" si="1"/>
        <v>11</v>
      </c>
      <c r="B15" s="221" t="str">
        <f t="array" ref="B15">IFERROR(INDEX(DANH_MUC!$E:$E,ROW()-1),"")</f>
        <v>28C02106</v>
      </c>
      <c r="C15" s="222">
        <f>IF($B15="","",IF(C$4&gt;DAY(EOMONTH(DATE($D$2,$B$2,1),0)),"",SUMIFS(DATA_GOC!$H:$H,DATA_GOC!$A:$A,"BOM",DATA_GOC!$D:$D,$B15,DATA_GOC!$F:$F,"Xuất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5" s="222">
        <f>IF($B15="","",IF(D$4&gt;DAY(EOMONTH(DATE($D$2,$B$2,1),0)),"",SUMIFS(DATA_GOC!$H:$H,DATA_GOC!$A:$A,"BOM",DATA_GOC!$D:$D,$B15,DATA_GOC!$F:$F,"Xuất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5" s="222">
        <f>IF($B15="","",IF(E$4&gt;DAY(EOMONTH(DATE($D$2,$B$2,1),0)),"",SUMIFS(DATA_GOC!$H:$H,DATA_GOC!$A:$A,"BOM",DATA_GOC!$D:$D,$B15,DATA_GOC!$F:$F,"Xuất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5" s="222">
        <f>IF($B15="","",IF(F$4&gt;DAY(EOMONTH(DATE($D$2,$B$2,1),0)),"",SUMIFS(DATA_GOC!$H:$H,DATA_GOC!$A:$A,"BOM",DATA_GOC!$D:$D,$B15,DATA_GOC!$F:$F,"Xuất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5" s="222">
        <f>IF($B15="","",IF(G$4&gt;DAY(EOMONTH(DATE($D$2,$B$2,1),0)),"",SUMIFS(DATA_GOC!$H:$H,DATA_GOC!$A:$A,"BOM",DATA_GOC!$D:$D,$B15,DATA_GOC!$F:$F,"Xuất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5" s="222">
        <f>IF($B15="","",IF(H$4&gt;DAY(EOMONTH(DATE($D$2,$B$2,1),0)),"",SUMIFS(DATA_GOC!$H:$H,DATA_GOC!$A:$A,"BOM",DATA_GOC!$D:$D,$B15,DATA_GOC!$F:$F,"Xuất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5" s="222">
        <f>IF($B15="","",IF(I$4&gt;DAY(EOMONTH(DATE($D$2,$B$2,1),0)),"",SUMIFS(DATA_GOC!$H:$H,DATA_GOC!$A:$A,"BOM",DATA_GOC!$D:$D,$B15,DATA_GOC!$F:$F,"Xuất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5" s="222">
        <f>IF($B15="","",IF(J$4&gt;DAY(EOMONTH(DATE($D$2,$B$2,1),0)),"",SUMIFS(DATA_GOC!$H:$H,DATA_GOC!$A:$A,"BOM",DATA_GOC!$D:$D,$B15,DATA_GOC!$F:$F,"Xuất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5" s="222">
        <f>IF($B15="","",IF(K$4&gt;DAY(EOMONTH(DATE($D$2,$B$2,1),0)),"",SUMIFS(DATA_GOC!$H:$H,DATA_GOC!$A:$A,"BOM",DATA_GOC!$D:$D,$B15,DATA_GOC!$F:$F,"Xuất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5" s="222">
        <f>IF($B15="","",IF(L$4&gt;DAY(EOMONTH(DATE($D$2,$B$2,1),0)),"",SUMIFS(DATA_GOC!$H:$H,DATA_GOC!$A:$A,"BOM",DATA_GOC!$D:$D,$B15,DATA_GOC!$F:$F,"Xuất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5" s="222">
        <f>IF($B15="","",IF(M$4&gt;DAY(EOMONTH(DATE($D$2,$B$2,1),0)),"",SUMIFS(DATA_GOC!$H:$H,DATA_GOC!$A:$A,"BOM",DATA_GOC!$D:$D,$B15,DATA_GOC!$F:$F,"Xuất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5" s="222">
        <f>IF($B15="","",IF(N$4&gt;DAY(EOMONTH(DATE($D$2,$B$2,1),0)),"",SUMIFS(DATA_GOC!$H:$H,DATA_GOC!$A:$A,"BOM",DATA_GOC!$D:$D,$B15,DATA_GOC!$F:$F,"Xuất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5" s="222">
        <f>IF($B15="","",IF(O$4&gt;DAY(EOMONTH(DATE($D$2,$B$2,1),0)),"",SUMIFS(DATA_GOC!$H:$H,DATA_GOC!$A:$A,"BOM",DATA_GOC!$D:$D,$B15,DATA_GOC!$F:$F,"Xuất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5" s="222">
        <f>IF($B15="","",IF(P$4&gt;DAY(EOMONTH(DATE($D$2,$B$2,1),0)),"",SUMIFS(DATA_GOC!$H:$H,DATA_GOC!$A:$A,"BOM",DATA_GOC!$D:$D,$B15,DATA_GOC!$F:$F,"Xuất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5" s="222">
        <f>IF($B15="","",IF(Q$4&gt;DAY(EOMONTH(DATE($D$2,$B$2,1),0)),"",SUMIFS(DATA_GOC!$H:$H,DATA_GOC!$A:$A,"BOM",DATA_GOC!$D:$D,$B15,DATA_GOC!$F:$F,"Xuất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5" s="222">
        <f>IF($B15="","",IF(R$4&gt;DAY(EOMONTH(DATE($D$2,$B$2,1),0)),"",SUMIFS(DATA_GOC!$H:$H,DATA_GOC!$A:$A,"BOM",DATA_GOC!$D:$D,$B15,DATA_GOC!$F:$F,"Xuất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5" s="222">
        <f>IF($B15="","",IF(S$4&gt;DAY(EOMONTH(DATE($D$2,$B$2,1),0)),"",SUMIFS(DATA_GOC!$H:$H,DATA_GOC!$A:$A,"BOM",DATA_GOC!$D:$D,$B15,DATA_GOC!$F:$F,"Xuất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5" s="222">
        <f>IF($B15="","",IF(T$4&gt;DAY(EOMONTH(DATE($D$2,$B$2,1),0)),"",SUMIFS(DATA_GOC!$H:$H,DATA_GOC!$A:$A,"BOM",DATA_GOC!$D:$D,$B15,DATA_GOC!$F:$F,"Xuất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5" s="222">
        <f>IF($B15="","",IF(U$4&gt;DAY(EOMONTH(DATE($D$2,$B$2,1),0)),"",SUMIFS(DATA_GOC!$H:$H,DATA_GOC!$A:$A,"BOM",DATA_GOC!$D:$D,$B15,DATA_GOC!$F:$F,"Xuất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5" s="222">
        <f>IF($B15="","",IF(V$4&gt;DAY(EOMONTH(DATE($D$2,$B$2,1),0)),"",SUMIFS(DATA_GOC!$H:$H,DATA_GOC!$A:$A,"BOM",DATA_GOC!$D:$D,$B15,DATA_GOC!$F:$F,"Xuất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5" s="222">
        <f>IF($B15="","",IF(W$4&gt;DAY(EOMONTH(DATE($D$2,$B$2,1),0)),"",SUMIFS(DATA_GOC!$H:$H,DATA_GOC!$A:$A,"BOM",DATA_GOC!$D:$D,$B15,DATA_GOC!$F:$F,"Xuất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5" s="222">
        <f>IF($B15="","",IF(X$4&gt;DAY(EOMONTH(DATE($D$2,$B$2,1),0)),"",SUMIFS(DATA_GOC!$H:$H,DATA_GOC!$A:$A,"BOM",DATA_GOC!$D:$D,$B15,DATA_GOC!$F:$F,"Xuất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5" s="222">
        <f>IF($B15="","",IF(Y$4&gt;DAY(EOMONTH(DATE($D$2,$B$2,1),0)),"",SUMIFS(DATA_GOC!$H:$H,DATA_GOC!$A:$A,"BOM",DATA_GOC!$D:$D,$B15,DATA_GOC!$F:$F,"Xuất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5" s="222">
        <f>IF($B15="","",IF(Z$4&gt;DAY(EOMONTH(DATE($D$2,$B$2,1),0)),"",SUMIFS(DATA_GOC!$H:$H,DATA_GOC!$A:$A,"BOM",DATA_GOC!$D:$D,$B15,DATA_GOC!$F:$F,"Xuất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5" s="222">
        <f>IF($B15="","",IF(AA$4&gt;DAY(EOMONTH(DATE($D$2,$B$2,1),0)),"",SUMIFS(DATA_GOC!$H:$H,DATA_GOC!$A:$A,"BOM",DATA_GOC!$D:$D,$B15,DATA_GOC!$F:$F,"Xuất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5" s="222">
        <f>IF($B15="","",IF(AB$4&gt;DAY(EOMONTH(DATE($D$2,$B$2,1),0)),"",SUMIFS(DATA_GOC!$H:$H,DATA_GOC!$A:$A,"BOM",DATA_GOC!$D:$D,$B15,DATA_GOC!$F:$F,"Xuất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5" s="222">
        <f>IF($B15="","",IF(AC$4&gt;DAY(EOMONTH(DATE($D$2,$B$2,1),0)),"",SUMIFS(DATA_GOC!$H:$H,DATA_GOC!$A:$A,"BOM",DATA_GOC!$D:$D,$B15,DATA_GOC!$F:$F,"Xuất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5" s="222">
        <f>IF($B15="","",IF(AD$4&gt;DAY(EOMONTH(DATE($D$2,$B$2,1),0)),"",SUMIFS(DATA_GOC!$H:$H,DATA_GOC!$A:$A,"BOM",DATA_GOC!$D:$D,$B15,DATA_GOC!$F:$F,"Xuất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5" s="222">
        <f>IF($B15="","",IF(AE$4&gt;DAY(EOMONTH(DATE($D$2,$B$2,1),0)),"",SUMIFS(DATA_GOC!$H:$H,DATA_GOC!$A:$A,"BOM",DATA_GOC!$D:$D,$B15,DATA_GOC!$F:$F,"Xuất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5" s="222">
        <f>IF($B15="","",IF(AF$4&gt;DAY(EOMONTH(DATE($D$2,$B$2,1),0)),"",SUMIFS(DATA_GOC!$H:$H,DATA_GOC!$A:$A,"BOM",DATA_GOC!$D:$D,$B15,DATA_GOC!$F:$F,"Xuất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5" s="222">
        <f>IF($B15="","",IF(AG$4&gt;DAY(EOMONTH(DATE($D$2,$B$2,1),0)),"",SUMIFS(DATA_GOC!$H:$H,DATA_GOC!$A:$A,"BOM",DATA_GOC!$D:$D,$B15,DATA_GOC!$F:$F,"Xuất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5" s="223">
        <f t="shared" si="2"/>
        <v>0</v>
      </c>
      <c r="AI15" s="224">
        <f>IF($B15="","",SUMIFS(DATA_GOC!$H:$H,DATA_GOC!$A:$A,"BOM",DATA_GOC!$D:$D,$B15,DATA_GOC!$F:$F,"Bơm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5" s="224">
        <f>IF($B15="","",SUMIFS(TINH_TEC!$K$233:$K$9232,TINH_TEC!$H$233:$H$9232,$B15,TINH_TEC!$F$233:$F$9232,$B$2,TINH_TEC!$G$233:$G$9232,$D$2,TINH_TEC!$B$233:$B$9232,"Đã chốt"))</f>
        <v>0</v>
      </c>
      <c r="AK15" s="224">
        <f>IF($B15="","",SUMIFS(TINH_TEC!$J$233:$J$9232,TINH_TEC!$H$233:$H$9232,$B15,TINH_TEC!$F$233:$F$9232,$B$2,TINH_TEC!$G$233:$G$9232,$D$2,TINH_TEC!$B$233:$B$9232,"Đã chốt"))</f>
        <v>0</v>
      </c>
      <c r="AL15" s="225">
        <f t="shared" si="3"/>
        <v>0</v>
      </c>
      <c r="AM15" s="222">
        <f>IF($B15="","",SUMIFS(DATA_GOC!$K:$K,DATA_GOC!$A:$A,"BOM",DATA_GOC!$D:$D,$B15,DATA_GOC!$G:$G,"DO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15" s="226" t="str">
        <f t="shared" si="4"/>
        <v/>
      </c>
      <c r="AO15" s="227" t="str">
        <f t="shared" si="5"/>
        <v/>
      </c>
      <c r="AP15" s="226" t="str">
        <f>IF($B15="","",IFERROR(AO15-(SUMIFS(DATA_GOC!$H:$H,DATA_GOC!$A:$A,"BOM",DATA_GOC!$D:$D,$B15,DATA_GOC!$F:$F,"Xuất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" s="59">
        <v>1.0</v>
      </c>
      <c r="AR15" s="59">
        <v>2026.0</v>
      </c>
      <c r="AS15" s="59" t="s">
        <v>77</v>
      </c>
      <c r="AT15" s="59">
        <v>1416.364</v>
      </c>
      <c r="AU15" s="59">
        <v>36.0</v>
      </c>
      <c r="AV15" s="59">
        <v>1452.364</v>
      </c>
      <c r="AW15" s="59">
        <v>2982.0</v>
      </c>
      <c r="AX15" s="59">
        <v>48.704359490275</v>
      </c>
      <c r="AY15" s="59">
        <v>479.74</v>
      </c>
      <c r="AZ15" s="59">
        <v>972.624</v>
      </c>
      <c r="BA15" s="59">
        <v>17.74</v>
      </c>
      <c r="BB15" s="59">
        <v>0.0</v>
      </c>
      <c r="BC15" s="59" t="s">
        <v>369</v>
      </c>
    </row>
    <row r="16" ht="16.5" customHeight="1">
      <c r="A16" s="220">
        <f t="shared" si="1"/>
        <v>12</v>
      </c>
      <c r="B16" s="221" t="str">
        <f t="array" ref="B16">IFERROR(INDEX(DANH_MUC!$E:$E,ROW()-1),"")</f>
        <v>28C02410</v>
      </c>
      <c r="C16" s="222">
        <f>IF($B16="","",IF(C$4&gt;DAY(EOMONTH(DATE($D$2,$B$2,1),0)),"",SUMIFS(DATA_GOC!$H:$H,DATA_GOC!$A:$A,"BOM",DATA_GOC!$D:$D,$B16,DATA_GOC!$F:$F,"Xuất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6" s="222">
        <f>IF($B16="","",IF(D$4&gt;DAY(EOMONTH(DATE($D$2,$B$2,1),0)),"",SUMIFS(DATA_GOC!$H:$H,DATA_GOC!$A:$A,"BOM",DATA_GOC!$D:$D,$B16,DATA_GOC!$F:$F,"Xuất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6" s="222">
        <f>IF($B16="","",IF(E$4&gt;DAY(EOMONTH(DATE($D$2,$B$2,1),0)),"",SUMIFS(DATA_GOC!$H:$H,DATA_GOC!$A:$A,"BOM",DATA_GOC!$D:$D,$B16,DATA_GOC!$F:$F,"Xuất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6" s="222">
        <f>IF($B16="","",IF(F$4&gt;DAY(EOMONTH(DATE($D$2,$B$2,1),0)),"",SUMIFS(DATA_GOC!$H:$H,DATA_GOC!$A:$A,"BOM",DATA_GOC!$D:$D,$B16,DATA_GOC!$F:$F,"Xuất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6" s="222">
        <f>IF($B16="","",IF(G$4&gt;DAY(EOMONTH(DATE($D$2,$B$2,1),0)),"",SUMIFS(DATA_GOC!$H:$H,DATA_GOC!$A:$A,"BOM",DATA_GOC!$D:$D,$B16,DATA_GOC!$F:$F,"Xuất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6" s="222">
        <f>IF($B16="","",IF(H$4&gt;DAY(EOMONTH(DATE($D$2,$B$2,1),0)),"",SUMIFS(DATA_GOC!$H:$H,DATA_GOC!$A:$A,"BOM",DATA_GOC!$D:$D,$B16,DATA_GOC!$F:$F,"Xuất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6" s="222">
        <f>IF($B16="","",IF(I$4&gt;DAY(EOMONTH(DATE($D$2,$B$2,1),0)),"",SUMIFS(DATA_GOC!$H:$H,DATA_GOC!$A:$A,"BOM",DATA_GOC!$D:$D,$B16,DATA_GOC!$F:$F,"Xuất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6" s="222">
        <f>IF($B16="","",IF(J$4&gt;DAY(EOMONTH(DATE($D$2,$B$2,1),0)),"",SUMIFS(DATA_GOC!$H:$H,DATA_GOC!$A:$A,"BOM",DATA_GOC!$D:$D,$B16,DATA_GOC!$F:$F,"Xuất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6" s="222">
        <f>IF($B16="","",IF(K$4&gt;DAY(EOMONTH(DATE($D$2,$B$2,1),0)),"",SUMIFS(DATA_GOC!$H:$H,DATA_GOC!$A:$A,"BOM",DATA_GOC!$D:$D,$B16,DATA_GOC!$F:$F,"Xuất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6" s="222">
        <f>IF($B16="","",IF(L$4&gt;DAY(EOMONTH(DATE($D$2,$B$2,1),0)),"",SUMIFS(DATA_GOC!$H:$H,DATA_GOC!$A:$A,"BOM",DATA_GOC!$D:$D,$B16,DATA_GOC!$F:$F,"Xuất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6" s="222">
        <f>IF($B16="","",IF(M$4&gt;DAY(EOMONTH(DATE($D$2,$B$2,1),0)),"",SUMIFS(DATA_GOC!$H:$H,DATA_GOC!$A:$A,"BOM",DATA_GOC!$D:$D,$B16,DATA_GOC!$F:$F,"Xuất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6" s="222">
        <f>IF($B16="","",IF(N$4&gt;DAY(EOMONTH(DATE($D$2,$B$2,1),0)),"",SUMIFS(DATA_GOC!$H:$H,DATA_GOC!$A:$A,"BOM",DATA_GOC!$D:$D,$B16,DATA_GOC!$F:$F,"Xuất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6" s="222">
        <f>IF($B16="","",IF(O$4&gt;DAY(EOMONTH(DATE($D$2,$B$2,1),0)),"",SUMIFS(DATA_GOC!$H:$H,DATA_GOC!$A:$A,"BOM",DATA_GOC!$D:$D,$B16,DATA_GOC!$F:$F,"Xuất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6" s="222">
        <f>IF($B16="","",IF(P$4&gt;DAY(EOMONTH(DATE($D$2,$B$2,1),0)),"",SUMIFS(DATA_GOC!$H:$H,DATA_GOC!$A:$A,"BOM",DATA_GOC!$D:$D,$B16,DATA_GOC!$F:$F,"Xuất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6" s="222">
        <f>IF($B16="","",IF(Q$4&gt;DAY(EOMONTH(DATE($D$2,$B$2,1),0)),"",SUMIFS(DATA_GOC!$H:$H,DATA_GOC!$A:$A,"BOM",DATA_GOC!$D:$D,$B16,DATA_GOC!$F:$F,"Xuất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6" s="222">
        <f>IF($B16="","",IF(R$4&gt;DAY(EOMONTH(DATE($D$2,$B$2,1),0)),"",SUMIFS(DATA_GOC!$H:$H,DATA_GOC!$A:$A,"BOM",DATA_GOC!$D:$D,$B16,DATA_GOC!$F:$F,"Xuất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6" s="222">
        <f>IF($B16="","",IF(S$4&gt;DAY(EOMONTH(DATE($D$2,$B$2,1),0)),"",SUMIFS(DATA_GOC!$H:$H,DATA_GOC!$A:$A,"BOM",DATA_GOC!$D:$D,$B16,DATA_GOC!$F:$F,"Xuất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6" s="222">
        <f>IF($B16="","",IF(T$4&gt;DAY(EOMONTH(DATE($D$2,$B$2,1),0)),"",SUMIFS(DATA_GOC!$H:$H,DATA_GOC!$A:$A,"BOM",DATA_GOC!$D:$D,$B16,DATA_GOC!$F:$F,"Xuất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6" s="222">
        <f>IF($B16="","",IF(U$4&gt;DAY(EOMONTH(DATE($D$2,$B$2,1),0)),"",SUMIFS(DATA_GOC!$H:$H,DATA_GOC!$A:$A,"BOM",DATA_GOC!$D:$D,$B16,DATA_GOC!$F:$F,"Xuất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6" s="222">
        <f>IF($B16="","",IF(V$4&gt;DAY(EOMONTH(DATE($D$2,$B$2,1),0)),"",SUMIFS(DATA_GOC!$H:$H,DATA_GOC!$A:$A,"BOM",DATA_GOC!$D:$D,$B16,DATA_GOC!$F:$F,"Xuất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6" s="222">
        <f>IF($B16="","",IF(W$4&gt;DAY(EOMONTH(DATE($D$2,$B$2,1),0)),"",SUMIFS(DATA_GOC!$H:$H,DATA_GOC!$A:$A,"BOM",DATA_GOC!$D:$D,$B16,DATA_GOC!$F:$F,"Xuất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6" s="222">
        <f>IF($B16="","",IF(X$4&gt;DAY(EOMONTH(DATE($D$2,$B$2,1),0)),"",SUMIFS(DATA_GOC!$H:$H,DATA_GOC!$A:$A,"BOM",DATA_GOC!$D:$D,$B16,DATA_GOC!$F:$F,"Xuất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6" s="222">
        <f>IF($B16="","",IF(Y$4&gt;DAY(EOMONTH(DATE($D$2,$B$2,1),0)),"",SUMIFS(DATA_GOC!$H:$H,DATA_GOC!$A:$A,"BOM",DATA_GOC!$D:$D,$B16,DATA_GOC!$F:$F,"Xuất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6" s="222">
        <f>IF($B16="","",IF(Z$4&gt;DAY(EOMONTH(DATE($D$2,$B$2,1),0)),"",SUMIFS(DATA_GOC!$H:$H,DATA_GOC!$A:$A,"BOM",DATA_GOC!$D:$D,$B16,DATA_GOC!$F:$F,"Xuất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6" s="222">
        <f>IF($B16="","",IF(AA$4&gt;DAY(EOMONTH(DATE($D$2,$B$2,1),0)),"",SUMIFS(DATA_GOC!$H:$H,DATA_GOC!$A:$A,"BOM",DATA_GOC!$D:$D,$B16,DATA_GOC!$F:$F,"Xuất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6" s="222">
        <f>IF($B16="","",IF(AB$4&gt;DAY(EOMONTH(DATE($D$2,$B$2,1),0)),"",SUMIFS(DATA_GOC!$H:$H,DATA_GOC!$A:$A,"BOM",DATA_GOC!$D:$D,$B16,DATA_GOC!$F:$F,"Xuất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6" s="222">
        <f>IF($B16="","",IF(AC$4&gt;DAY(EOMONTH(DATE($D$2,$B$2,1),0)),"",SUMIFS(DATA_GOC!$H:$H,DATA_GOC!$A:$A,"BOM",DATA_GOC!$D:$D,$B16,DATA_GOC!$F:$F,"Xuất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6" s="222">
        <f>IF($B16="","",IF(AD$4&gt;DAY(EOMONTH(DATE($D$2,$B$2,1),0)),"",SUMIFS(DATA_GOC!$H:$H,DATA_GOC!$A:$A,"BOM",DATA_GOC!$D:$D,$B16,DATA_GOC!$F:$F,"Xuất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6" s="222">
        <f>IF($B16="","",IF(AE$4&gt;DAY(EOMONTH(DATE($D$2,$B$2,1),0)),"",SUMIFS(DATA_GOC!$H:$H,DATA_GOC!$A:$A,"BOM",DATA_GOC!$D:$D,$B16,DATA_GOC!$F:$F,"Xuất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6" s="222">
        <f>IF($B16="","",IF(AF$4&gt;DAY(EOMONTH(DATE($D$2,$B$2,1),0)),"",SUMIFS(DATA_GOC!$H:$H,DATA_GOC!$A:$A,"BOM",DATA_GOC!$D:$D,$B16,DATA_GOC!$F:$F,"Xuất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6" s="222">
        <f>IF($B16="","",IF(AG$4&gt;DAY(EOMONTH(DATE($D$2,$B$2,1),0)),"",SUMIFS(DATA_GOC!$H:$H,DATA_GOC!$A:$A,"BOM",DATA_GOC!$D:$D,$B16,DATA_GOC!$F:$F,"Xuất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6" s="223">
        <f t="shared" si="2"/>
        <v>0</v>
      </c>
      <c r="AI16" s="224">
        <f>IF($B16="","",SUMIFS(DATA_GOC!$H:$H,DATA_GOC!$A:$A,"BOM",DATA_GOC!$D:$D,$B16,DATA_GOC!$F:$F,"Bơm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6" s="224">
        <f>IF($B16="","",SUMIFS(TINH_TEC!$K$233:$K$9232,TINH_TEC!$H$233:$H$9232,$B16,TINH_TEC!$F$233:$F$9232,$B$2,TINH_TEC!$G$233:$G$9232,$D$2,TINH_TEC!$B$233:$B$9232,"Đã chốt"))</f>
        <v>0</v>
      </c>
      <c r="AK16" s="224">
        <f>IF($B16="","",SUMIFS(TINH_TEC!$J$233:$J$9232,TINH_TEC!$H$233:$H$9232,$B16,TINH_TEC!$F$233:$F$9232,$B$2,TINH_TEC!$G$233:$G$9232,$D$2,TINH_TEC!$B$233:$B$9232,"Đã chốt"))</f>
        <v>8.154</v>
      </c>
      <c r="AL16" s="225">
        <f t="shared" si="3"/>
        <v>8.154</v>
      </c>
      <c r="AM16" s="222">
        <f>IF($B16="","",SUMIFS(DATA_GOC!$K:$K,DATA_GOC!$A:$A,"BOM",DATA_GOC!$D:$D,$B16,DATA_GOC!$G:$G,"DO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16" s="226" t="str">
        <f t="shared" si="4"/>
        <v/>
      </c>
      <c r="AO16" s="227" t="str">
        <f t="shared" si="5"/>
        <v/>
      </c>
      <c r="AP16" s="226">
        <f>IF($B16="","",IFERROR(AO16-(SUMIFS(DATA_GOC!$H:$H,DATA_GOC!$A:$A,"BOM",DATA_GOC!$D:$D,$B16,DATA_GOC!$F:$F,"Xuất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-0.2877697842</v>
      </c>
      <c r="AQ16" s="59">
        <v>1.0</v>
      </c>
      <c r="AR16" s="59">
        <v>2026.0</v>
      </c>
      <c r="AS16" s="59" t="s">
        <v>84</v>
      </c>
      <c r="AT16" s="59">
        <v>1800.693</v>
      </c>
      <c r="AU16" s="59">
        <v>752.0</v>
      </c>
      <c r="AV16" s="59">
        <v>2552.693</v>
      </c>
      <c r="AW16" s="59">
        <v>4097.0</v>
      </c>
      <c r="AX16" s="59">
        <v>62.3063949231145</v>
      </c>
      <c r="AY16" s="59">
        <v>702.39</v>
      </c>
      <c r="AZ16" s="59">
        <v>1850.303</v>
      </c>
      <c r="BA16" s="59">
        <v>27.39</v>
      </c>
      <c r="BB16" s="59">
        <v>0.0</v>
      </c>
      <c r="BC16" s="59" t="s">
        <v>370</v>
      </c>
    </row>
    <row r="17" ht="16.5" customHeight="1">
      <c r="A17" s="220">
        <f t="shared" si="1"/>
        <v>13</v>
      </c>
      <c r="B17" s="221" t="str">
        <f t="array" ref="B17">IFERROR(INDEX(DANH_MUC!$E:$E,ROW()-1),"")</f>
        <v>28C02545</v>
      </c>
      <c r="C17" s="222">
        <f>IF($B17="","",IF(C$4&gt;DAY(EOMONTH(DATE($D$2,$B$2,1),0)),"",SUMIFS(DATA_GOC!$H:$H,DATA_GOC!$A:$A,"BOM",DATA_GOC!$D:$D,$B17,DATA_GOC!$F:$F,"Xuất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7" s="222">
        <f>IF($B17="","",IF(D$4&gt;DAY(EOMONTH(DATE($D$2,$B$2,1),0)),"",SUMIFS(DATA_GOC!$H:$H,DATA_GOC!$A:$A,"BOM",DATA_GOC!$D:$D,$B17,DATA_GOC!$F:$F,"Xuất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7" s="222">
        <f>IF($B17="","",IF(E$4&gt;DAY(EOMONTH(DATE($D$2,$B$2,1),0)),"",SUMIFS(DATA_GOC!$H:$H,DATA_GOC!$A:$A,"BOM",DATA_GOC!$D:$D,$B17,DATA_GOC!$F:$F,"Xuất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7" s="222">
        <f>IF($B17="","",IF(F$4&gt;DAY(EOMONTH(DATE($D$2,$B$2,1),0)),"",SUMIFS(DATA_GOC!$H:$H,DATA_GOC!$A:$A,"BOM",DATA_GOC!$D:$D,$B17,DATA_GOC!$F:$F,"Xuất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157</v>
      </c>
      <c r="G17" s="222">
        <f>IF($B17="","",IF(G$4&gt;DAY(EOMONTH(DATE($D$2,$B$2,1),0)),"",SUMIFS(DATA_GOC!$H:$H,DATA_GOC!$A:$A,"BOM",DATA_GOC!$D:$D,$B17,DATA_GOC!$F:$F,"Xuất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7" s="222">
        <f>IF($B17="","",IF(H$4&gt;DAY(EOMONTH(DATE($D$2,$B$2,1),0)),"",SUMIFS(DATA_GOC!$H:$H,DATA_GOC!$A:$A,"BOM",DATA_GOC!$D:$D,$B17,DATA_GOC!$F:$F,"Xuất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7" s="222">
        <f>IF($B17="","",IF(I$4&gt;DAY(EOMONTH(DATE($D$2,$B$2,1),0)),"",SUMIFS(DATA_GOC!$H:$H,DATA_GOC!$A:$A,"BOM",DATA_GOC!$D:$D,$B17,DATA_GOC!$F:$F,"Xuất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7" s="222">
        <f>IF($B17="","",IF(J$4&gt;DAY(EOMONTH(DATE($D$2,$B$2,1),0)),"",SUMIFS(DATA_GOC!$H:$H,DATA_GOC!$A:$A,"BOM",DATA_GOC!$D:$D,$B17,DATA_GOC!$F:$F,"Xuất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7" s="222">
        <f>IF($B17="","",IF(K$4&gt;DAY(EOMONTH(DATE($D$2,$B$2,1),0)),"",SUMIFS(DATA_GOC!$H:$H,DATA_GOC!$A:$A,"BOM",DATA_GOC!$D:$D,$B17,DATA_GOC!$F:$F,"Xuất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7" s="222">
        <f>IF($B17="","",IF(L$4&gt;DAY(EOMONTH(DATE($D$2,$B$2,1),0)),"",SUMIFS(DATA_GOC!$H:$H,DATA_GOC!$A:$A,"BOM",DATA_GOC!$D:$D,$B17,DATA_GOC!$F:$F,"Xuất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7" s="222">
        <f>IF($B17="","",IF(M$4&gt;DAY(EOMONTH(DATE($D$2,$B$2,1),0)),"",SUMIFS(DATA_GOC!$H:$H,DATA_GOC!$A:$A,"BOM",DATA_GOC!$D:$D,$B17,DATA_GOC!$F:$F,"Xuất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7" s="222">
        <f>IF($B17="","",IF(N$4&gt;DAY(EOMONTH(DATE($D$2,$B$2,1),0)),"",SUMIFS(DATA_GOC!$H:$H,DATA_GOC!$A:$A,"BOM",DATA_GOC!$D:$D,$B17,DATA_GOC!$F:$F,"Xuất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7" s="222">
        <f>IF($B17="","",IF(O$4&gt;DAY(EOMONTH(DATE($D$2,$B$2,1),0)),"",SUMIFS(DATA_GOC!$H:$H,DATA_GOC!$A:$A,"BOM",DATA_GOC!$D:$D,$B17,DATA_GOC!$F:$F,"Xuất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7" s="222">
        <f>IF($B17="","",IF(P$4&gt;DAY(EOMONTH(DATE($D$2,$B$2,1),0)),"",SUMIFS(DATA_GOC!$H:$H,DATA_GOC!$A:$A,"BOM",DATA_GOC!$D:$D,$B17,DATA_GOC!$F:$F,"Xuất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7" s="222">
        <f>IF($B17="","",IF(Q$4&gt;DAY(EOMONTH(DATE($D$2,$B$2,1),0)),"",SUMIFS(DATA_GOC!$H:$H,DATA_GOC!$A:$A,"BOM",DATA_GOC!$D:$D,$B17,DATA_GOC!$F:$F,"Xuất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7" s="222">
        <f>IF($B17="","",IF(R$4&gt;DAY(EOMONTH(DATE($D$2,$B$2,1),0)),"",SUMIFS(DATA_GOC!$H:$H,DATA_GOC!$A:$A,"BOM",DATA_GOC!$D:$D,$B17,DATA_GOC!$F:$F,"Xuất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7" s="222">
        <f>IF($B17="","",IF(S$4&gt;DAY(EOMONTH(DATE($D$2,$B$2,1),0)),"",SUMIFS(DATA_GOC!$H:$H,DATA_GOC!$A:$A,"BOM",DATA_GOC!$D:$D,$B17,DATA_GOC!$F:$F,"Xuất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7" s="222">
        <f>IF($B17="","",IF(T$4&gt;DAY(EOMONTH(DATE($D$2,$B$2,1),0)),"",SUMIFS(DATA_GOC!$H:$H,DATA_GOC!$A:$A,"BOM",DATA_GOC!$D:$D,$B17,DATA_GOC!$F:$F,"Xuất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7" s="222">
        <f>IF($B17="","",IF(U$4&gt;DAY(EOMONTH(DATE($D$2,$B$2,1),0)),"",SUMIFS(DATA_GOC!$H:$H,DATA_GOC!$A:$A,"BOM",DATA_GOC!$D:$D,$B17,DATA_GOC!$F:$F,"Xuất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7" s="222">
        <f>IF($B17="","",IF(V$4&gt;DAY(EOMONTH(DATE($D$2,$B$2,1),0)),"",SUMIFS(DATA_GOC!$H:$H,DATA_GOC!$A:$A,"BOM",DATA_GOC!$D:$D,$B17,DATA_GOC!$F:$F,"Xuất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7" s="222">
        <f>IF($B17="","",IF(W$4&gt;DAY(EOMONTH(DATE($D$2,$B$2,1),0)),"",SUMIFS(DATA_GOC!$H:$H,DATA_GOC!$A:$A,"BOM",DATA_GOC!$D:$D,$B17,DATA_GOC!$F:$F,"Xuất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7" s="222">
        <f>IF($B17="","",IF(X$4&gt;DAY(EOMONTH(DATE($D$2,$B$2,1),0)),"",SUMIFS(DATA_GOC!$H:$H,DATA_GOC!$A:$A,"BOM",DATA_GOC!$D:$D,$B17,DATA_GOC!$F:$F,"Xuất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7" s="222">
        <f>IF($B17="","",IF(Y$4&gt;DAY(EOMONTH(DATE($D$2,$B$2,1),0)),"",SUMIFS(DATA_GOC!$H:$H,DATA_GOC!$A:$A,"BOM",DATA_GOC!$D:$D,$B17,DATA_GOC!$F:$F,"Xuất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7" s="222">
        <f>IF($B17="","",IF(Z$4&gt;DAY(EOMONTH(DATE($D$2,$B$2,1),0)),"",SUMIFS(DATA_GOC!$H:$H,DATA_GOC!$A:$A,"BOM",DATA_GOC!$D:$D,$B17,DATA_GOC!$F:$F,"Xuất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7" s="222">
        <f>IF($B17="","",IF(AA$4&gt;DAY(EOMONTH(DATE($D$2,$B$2,1),0)),"",SUMIFS(DATA_GOC!$H:$H,DATA_GOC!$A:$A,"BOM",DATA_GOC!$D:$D,$B17,DATA_GOC!$F:$F,"Xuất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7" s="222">
        <f>IF($B17="","",IF(AB$4&gt;DAY(EOMONTH(DATE($D$2,$B$2,1),0)),"",SUMIFS(DATA_GOC!$H:$H,DATA_GOC!$A:$A,"BOM",DATA_GOC!$D:$D,$B17,DATA_GOC!$F:$F,"Xuất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7" s="222">
        <f>IF($B17="","",IF(AC$4&gt;DAY(EOMONTH(DATE($D$2,$B$2,1),0)),"",SUMIFS(DATA_GOC!$H:$H,DATA_GOC!$A:$A,"BOM",DATA_GOC!$D:$D,$B17,DATA_GOC!$F:$F,"Xuất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7" s="222">
        <f>IF($B17="","",IF(AD$4&gt;DAY(EOMONTH(DATE($D$2,$B$2,1),0)),"",SUMIFS(DATA_GOC!$H:$H,DATA_GOC!$A:$A,"BOM",DATA_GOC!$D:$D,$B17,DATA_GOC!$F:$F,"Xuất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7" s="222">
        <f>IF($B17="","",IF(AE$4&gt;DAY(EOMONTH(DATE($D$2,$B$2,1),0)),"",SUMIFS(DATA_GOC!$H:$H,DATA_GOC!$A:$A,"BOM",DATA_GOC!$D:$D,$B17,DATA_GOC!$F:$F,"Xuất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7" s="222">
        <f>IF($B17="","",IF(AF$4&gt;DAY(EOMONTH(DATE($D$2,$B$2,1),0)),"",SUMIFS(DATA_GOC!$H:$H,DATA_GOC!$A:$A,"BOM",DATA_GOC!$D:$D,$B17,DATA_GOC!$F:$F,"Xuất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7" s="222">
        <f>IF($B17="","",IF(AG$4&gt;DAY(EOMONTH(DATE($D$2,$B$2,1),0)),"",SUMIFS(DATA_GOC!$H:$H,DATA_GOC!$A:$A,"BOM",DATA_GOC!$D:$D,$B17,DATA_GOC!$F:$F,"Xuất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7" s="223">
        <f t="shared" si="2"/>
        <v>157</v>
      </c>
      <c r="AI17" s="224">
        <f>IF($B17="","",SUMIFS(DATA_GOC!$H:$H,DATA_GOC!$A:$A,"BOM",DATA_GOC!$D:$D,$B17,DATA_GOC!$F:$F,"Bơm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7" s="224">
        <f>IF($B17="","",SUMIFS(TINH_TEC!$K$233:$K$9232,TINH_TEC!$H$233:$H$9232,$B17,TINH_TEC!$F$233:$F$9232,$B$2,TINH_TEC!$G$233:$G$9232,$D$2,TINH_TEC!$B$233:$B$9232,"Đã chốt"))</f>
        <v>0</v>
      </c>
      <c r="AK17" s="224">
        <f>IF($B17="","",SUMIFS(TINH_TEC!$J$233:$J$9232,TINH_TEC!$H$233:$H$9232,$B17,TINH_TEC!$F$233:$F$9232,$B$2,TINH_TEC!$G$233:$G$9232,$D$2,TINH_TEC!$B$233:$B$9232,"Đã chốt"))</f>
        <v>15.842</v>
      </c>
      <c r="AL17" s="225">
        <f t="shared" si="3"/>
        <v>172.842</v>
      </c>
      <c r="AM17" s="222">
        <f>IF($B17="","",SUMIFS(DATA_GOC!$K:$K,DATA_GOC!$A:$A,"BOM",DATA_GOC!$D:$D,$B17,DATA_GOC!$G:$G,"DO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17" s="226" t="str">
        <f t="shared" si="4"/>
        <v/>
      </c>
      <c r="AO17" s="227" t="str">
        <f t="shared" si="5"/>
        <v/>
      </c>
      <c r="AP17" s="226" t="str">
        <f>IF($B17="","",IFERROR(AO17-(SUMIFS(DATA_GOC!$H:$H,DATA_GOC!$A:$A,"BOM",DATA_GOC!$D:$D,$B17,DATA_GOC!$F:$F,"Xuất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" s="59">
        <v>1.0</v>
      </c>
      <c r="AR17" s="59">
        <v>2026.0</v>
      </c>
      <c r="AS17" s="59" t="s">
        <v>334</v>
      </c>
      <c r="AT17" s="59">
        <v>1844.133</v>
      </c>
      <c r="AU17" s="59">
        <v>1000.0</v>
      </c>
      <c r="AV17" s="59">
        <v>2844.133</v>
      </c>
      <c r="AW17" s="59">
        <v>4101.0</v>
      </c>
      <c r="AX17" s="59">
        <v>69.3521823945379</v>
      </c>
      <c r="AY17" s="59">
        <v>963.96</v>
      </c>
      <c r="AZ17" s="59">
        <v>1880.173</v>
      </c>
      <c r="BA17" s="59">
        <v>38.96</v>
      </c>
      <c r="BB17" s="59">
        <v>0.0</v>
      </c>
      <c r="BC17" s="59" t="s">
        <v>371</v>
      </c>
    </row>
    <row r="18" ht="16.5" customHeight="1">
      <c r="A18" s="220">
        <f t="shared" si="1"/>
        <v>14</v>
      </c>
      <c r="B18" s="221" t="str">
        <f t="array" ref="B18">IFERROR(INDEX(DANH_MUC!$E:$E,ROW()-1),"")</f>
        <v>28C02574</v>
      </c>
      <c r="C18" s="222">
        <f>IF($B18="","",IF(C$4&gt;DAY(EOMONTH(DATE($D$2,$B$2,1),0)),"",SUMIFS(DATA_GOC!$H:$H,DATA_GOC!$A:$A,"BOM",DATA_GOC!$D:$D,$B18,DATA_GOC!$F:$F,"Xuất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8" s="222">
        <f>IF($B18="","",IF(D$4&gt;DAY(EOMONTH(DATE($D$2,$B$2,1),0)),"",SUMIFS(DATA_GOC!$H:$H,DATA_GOC!$A:$A,"BOM",DATA_GOC!$D:$D,$B18,DATA_GOC!$F:$F,"Xuất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8" s="222">
        <f>IF($B18="","",IF(E$4&gt;DAY(EOMONTH(DATE($D$2,$B$2,1),0)),"",SUMIFS(DATA_GOC!$H:$H,DATA_GOC!$A:$A,"BOM",DATA_GOC!$D:$D,$B18,DATA_GOC!$F:$F,"Xuất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8" s="222">
        <f>IF($B18="","",IF(F$4&gt;DAY(EOMONTH(DATE($D$2,$B$2,1),0)),"",SUMIFS(DATA_GOC!$H:$H,DATA_GOC!$A:$A,"BOM",DATA_GOC!$D:$D,$B18,DATA_GOC!$F:$F,"Xuất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8" s="222">
        <f>IF($B18="","",IF(G$4&gt;DAY(EOMONTH(DATE($D$2,$B$2,1),0)),"",SUMIFS(DATA_GOC!$H:$H,DATA_GOC!$A:$A,"BOM",DATA_GOC!$D:$D,$B18,DATA_GOC!$F:$F,"Xuất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8" s="222">
        <f>IF($B18="","",IF(H$4&gt;DAY(EOMONTH(DATE($D$2,$B$2,1),0)),"",SUMIFS(DATA_GOC!$H:$H,DATA_GOC!$A:$A,"BOM",DATA_GOC!$D:$D,$B18,DATA_GOC!$F:$F,"Xuất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210</v>
      </c>
      <c r="I18" s="222">
        <f>IF($B18="","",IF(I$4&gt;DAY(EOMONTH(DATE($D$2,$B$2,1),0)),"",SUMIFS(DATA_GOC!$H:$H,DATA_GOC!$A:$A,"BOM",DATA_GOC!$D:$D,$B18,DATA_GOC!$F:$F,"Xuất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8" s="222">
        <f>IF($B18="","",IF(J$4&gt;DAY(EOMONTH(DATE($D$2,$B$2,1),0)),"",SUMIFS(DATA_GOC!$H:$H,DATA_GOC!$A:$A,"BOM",DATA_GOC!$D:$D,$B18,DATA_GOC!$F:$F,"Xuất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8" s="222">
        <f>IF($B18="","",IF(K$4&gt;DAY(EOMONTH(DATE($D$2,$B$2,1),0)),"",SUMIFS(DATA_GOC!$H:$H,DATA_GOC!$A:$A,"BOM",DATA_GOC!$D:$D,$B18,DATA_GOC!$F:$F,"Xuất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8" s="222">
        <f>IF($B18="","",IF(L$4&gt;DAY(EOMONTH(DATE($D$2,$B$2,1),0)),"",SUMIFS(DATA_GOC!$H:$H,DATA_GOC!$A:$A,"BOM",DATA_GOC!$D:$D,$B18,DATA_GOC!$F:$F,"Xuất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8" s="222">
        <f>IF($B18="","",IF(M$4&gt;DAY(EOMONTH(DATE($D$2,$B$2,1),0)),"",SUMIFS(DATA_GOC!$H:$H,DATA_GOC!$A:$A,"BOM",DATA_GOC!$D:$D,$B18,DATA_GOC!$F:$F,"Xuất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8" s="222">
        <f>IF($B18="","",IF(N$4&gt;DAY(EOMONTH(DATE($D$2,$B$2,1),0)),"",SUMIFS(DATA_GOC!$H:$H,DATA_GOC!$A:$A,"BOM",DATA_GOC!$D:$D,$B18,DATA_GOC!$F:$F,"Xuất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8" s="222">
        <f>IF($B18="","",IF(O$4&gt;DAY(EOMONTH(DATE($D$2,$B$2,1),0)),"",SUMIFS(DATA_GOC!$H:$H,DATA_GOC!$A:$A,"BOM",DATA_GOC!$D:$D,$B18,DATA_GOC!$F:$F,"Xuất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8" s="222">
        <f>IF($B18="","",IF(P$4&gt;DAY(EOMONTH(DATE($D$2,$B$2,1),0)),"",SUMIFS(DATA_GOC!$H:$H,DATA_GOC!$A:$A,"BOM",DATA_GOC!$D:$D,$B18,DATA_GOC!$F:$F,"Xuất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8" s="222">
        <f>IF($B18="","",IF(Q$4&gt;DAY(EOMONTH(DATE($D$2,$B$2,1),0)),"",SUMIFS(DATA_GOC!$H:$H,DATA_GOC!$A:$A,"BOM",DATA_GOC!$D:$D,$B18,DATA_GOC!$F:$F,"Xuất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8" s="222">
        <f>IF($B18="","",IF(R$4&gt;DAY(EOMONTH(DATE($D$2,$B$2,1),0)),"",SUMIFS(DATA_GOC!$H:$H,DATA_GOC!$A:$A,"BOM",DATA_GOC!$D:$D,$B18,DATA_GOC!$F:$F,"Xuất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8" s="222">
        <f>IF($B18="","",IF(S$4&gt;DAY(EOMONTH(DATE($D$2,$B$2,1),0)),"",SUMIFS(DATA_GOC!$H:$H,DATA_GOC!$A:$A,"BOM",DATA_GOC!$D:$D,$B18,DATA_GOC!$F:$F,"Xuất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8" s="222">
        <f>IF($B18="","",IF(T$4&gt;DAY(EOMONTH(DATE($D$2,$B$2,1),0)),"",SUMIFS(DATA_GOC!$H:$H,DATA_GOC!$A:$A,"BOM",DATA_GOC!$D:$D,$B18,DATA_GOC!$F:$F,"Xuất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8" s="222">
        <f>IF($B18="","",IF(U$4&gt;DAY(EOMONTH(DATE($D$2,$B$2,1),0)),"",SUMIFS(DATA_GOC!$H:$H,DATA_GOC!$A:$A,"BOM",DATA_GOC!$D:$D,$B18,DATA_GOC!$F:$F,"Xuất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8" s="222">
        <f>IF($B18="","",IF(V$4&gt;DAY(EOMONTH(DATE($D$2,$B$2,1),0)),"",SUMIFS(DATA_GOC!$H:$H,DATA_GOC!$A:$A,"BOM",DATA_GOC!$D:$D,$B18,DATA_GOC!$F:$F,"Xuất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8" s="222">
        <f>IF($B18="","",IF(W$4&gt;DAY(EOMONTH(DATE($D$2,$B$2,1),0)),"",SUMIFS(DATA_GOC!$H:$H,DATA_GOC!$A:$A,"BOM",DATA_GOC!$D:$D,$B18,DATA_GOC!$F:$F,"Xuất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8" s="222">
        <f>IF($B18="","",IF(X$4&gt;DAY(EOMONTH(DATE($D$2,$B$2,1),0)),"",SUMIFS(DATA_GOC!$H:$H,DATA_GOC!$A:$A,"BOM",DATA_GOC!$D:$D,$B18,DATA_GOC!$F:$F,"Xuất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8" s="222">
        <f>IF($B18="","",IF(Y$4&gt;DAY(EOMONTH(DATE($D$2,$B$2,1),0)),"",SUMIFS(DATA_GOC!$H:$H,DATA_GOC!$A:$A,"BOM",DATA_GOC!$D:$D,$B18,DATA_GOC!$F:$F,"Xuất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8" s="222">
        <f>IF($B18="","",IF(Z$4&gt;DAY(EOMONTH(DATE($D$2,$B$2,1),0)),"",SUMIFS(DATA_GOC!$H:$H,DATA_GOC!$A:$A,"BOM",DATA_GOC!$D:$D,$B18,DATA_GOC!$F:$F,"Xuất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8" s="222">
        <f>IF($B18="","",IF(AA$4&gt;DAY(EOMONTH(DATE($D$2,$B$2,1),0)),"",SUMIFS(DATA_GOC!$H:$H,DATA_GOC!$A:$A,"BOM",DATA_GOC!$D:$D,$B18,DATA_GOC!$F:$F,"Xuất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8" s="222">
        <f>IF($B18="","",IF(AB$4&gt;DAY(EOMONTH(DATE($D$2,$B$2,1),0)),"",SUMIFS(DATA_GOC!$H:$H,DATA_GOC!$A:$A,"BOM",DATA_GOC!$D:$D,$B18,DATA_GOC!$F:$F,"Xuất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8" s="222">
        <f>IF($B18="","",IF(AC$4&gt;DAY(EOMONTH(DATE($D$2,$B$2,1),0)),"",SUMIFS(DATA_GOC!$H:$H,DATA_GOC!$A:$A,"BOM",DATA_GOC!$D:$D,$B18,DATA_GOC!$F:$F,"Xuất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8" s="222">
        <f>IF($B18="","",IF(AD$4&gt;DAY(EOMONTH(DATE($D$2,$B$2,1),0)),"",SUMIFS(DATA_GOC!$H:$H,DATA_GOC!$A:$A,"BOM",DATA_GOC!$D:$D,$B18,DATA_GOC!$F:$F,"Xuất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8" s="222">
        <f>IF($B18="","",IF(AE$4&gt;DAY(EOMONTH(DATE($D$2,$B$2,1),0)),"",SUMIFS(DATA_GOC!$H:$H,DATA_GOC!$A:$A,"BOM",DATA_GOC!$D:$D,$B18,DATA_GOC!$F:$F,"Xuất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8" s="222">
        <f>IF($B18="","",IF(AF$4&gt;DAY(EOMONTH(DATE($D$2,$B$2,1),0)),"",SUMIFS(DATA_GOC!$H:$H,DATA_GOC!$A:$A,"BOM",DATA_GOC!$D:$D,$B18,DATA_GOC!$F:$F,"Xuất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8" s="222">
        <f>IF($B18="","",IF(AG$4&gt;DAY(EOMONTH(DATE($D$2,$B$2,1),0)),"",SUMIFS(DATA_GOC!$H:$H,DATA_GOC!$A:$A,"BOM",DATA_GOC!$D:$D,$B18,DATA_GOC!$F:$F,"Xuất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8" s="223">
        <f t="shared" si="2"/>
        <v>210</v>
      </c>
      <c r="AI18" s="224">
        <f>IF($B18="","",SUMIFS(DATA_GOC!$H:$H,DATA_GOC!$A:$A,"BOM",DATA_GOC!$D:$D,$B18,DATA_GOC!$F:$F,"Bơm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8" s="224">
        <f>IF($B18="","",SUMIFS(TINH_TEC!$K$233:$K$9232,TINH_TEC!$H$233:$H$9232,$B18,TINH_TEC!$F$233:$F$9232,$B$2,TINH_TEC!$G$233:$G$9232,$D$2,TINH_TEC!$B$233:$B$9232,"Đã chốt"))</f>
        <v>0</v>
      </c>
      <c r="AK18" s="224">
        <f>IF($B18="","",SUMIFS(TINH_TEC!$J$233:$J$9232,TINH_TEC!$H$233:$H$9232,$B18,TINH_TEC!$F$233:$F$9232,$B$2,TINH_TEC!$G$233:$G$9232,$D$2,TINH_TEC!$B$233:$B$9232,"Đã chốt"))</f>
        <v>10.658</v>
      </c>
      <c r="AL18" s="225">
        <f t="shared" si="3"/>
        <v>220.658</v>
      </c>
      <c r="AM18" s="222">
        <f>IF($B18="","",SUMIFS(DATA_GOC!$K:$K,DATA_GOC!$A:$A,"BOM",DATA_GOC!$D:$D,$B18,DATA_GOC!$G:$G,"DO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383</v>
      </c>
      <c r="AN18" s="226">
        <f t="shared" si="4"/>
        <v>57.61305483</v>
      </c>
      <c r="AO18" s="227">
        <f t="shared" si="5"/>
        <v>0.5761305483</v>
      </c>
      <c r="AP18" s="226">
        <f>IF($B18="","",IFERROR(AO18-(SUMIFS(DATA_GOC!$H:$H,DATA_GOC!$A:$A,"BOM",DATA_GOC!$D:$D,$B18,DATA_GOC!$F:$F,"Xuất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-0.02244734439</v>
      </c>
      <c r="AQ18" s="59">
        <v>1.0</v>
      </c>
      <c r="AR18" s="59">
        <v>2026.0</v>
      </c>
      <c r="AS18" s="59" t="s">
        <v>119</v>
      </c>
      <c r="AT18" s="59">
        <v>2148.298</v>
      </c>
      <c r="AU18" s="59">
        <v>210.0</v>
      </c>
      <c r="AV18" s="59">
        <v>2358.298</v>
      </c>
      <c r="AW18" s="59">
        <v>5150.0</v>
      </c>
      <c r="AX18" s="59">
        <v>45.7921941747573</v>
      </c>
      <c r="AY18" s="59">
        <v>0.0</v>
      </c>
      <c r="AZ18" s="59">
        <v>2358.298</v>
      </c>
      <c r="BA18" s="59">
        <v>0.0</v>
      </c>
      <c r="BB18" s="59">
        <v>0.0</v>
      </c>
      <c r="BC18" s="59" t="s">
        <v>372</v>
      </c>
    </row>
    <row r="19" ht="16.5" customHeight="1">
      <c r="A19" s="220">
        <f t="shared" si="1"/>
        <v>15</v>
      </c>
      <c r="B19" s="221" t="str">
        <f t="array" ref="B19">IFERROR(INDEX(DANH_MUC!$E:$E,ROW()-1),"")</f>
        <v>28C02770</v>
      </c>
      <c r="C19" s="222">
        <f>IF($B19="","",IF(C$4&gt;DAY(EOMONTH(DATE($D$2,$B$2,1),0)),"",SUMIFS(DATA_GOC!$H:$H,DATA_GOC!$A:$A,"BOM",DATA_GOC!$D:$D,$B19,DATA_GOC!$F:$F,"Xuất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19" s="222">
        <f>IF($B19="","",IF(D$4&gt;DAY(EOMONTH(DATE($D$2,$B$2,1),0)),"",SUMIFS(DATA_GOC!$H:$H,DATA_GOC!$A:$A,"BOM",DATA_GOC!$D:$D,$B19,DATA_GOC!$F:$F,"Xuất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19" s="222">
        <f>IF($B19="","",IF(E$4&gt;DAY(EOMONTH(DATE($D$2,$B$2,1),0)),"",SUMIFS(DATA_GOC!$H:$H,DATA_GOC!$A:$A,"BOM",DATA_GOC!$D:$D,$B19,DATA_GOC!$F:$F,"Xuất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19" s="222">
        <f>IF($B19="","",IF(F$4&gt;DAY(EOMONTH(DATE($D$2,$B$2,1),0)),"",SUMIFS(DATA_GOC!$H:$H,DATA_GOC!$A:$A,"BOM",DATA_GOC!$D:$D,$B19,DATA_GOC!$F:$F,"Xuất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19" s="222">
        <f>IF($B19="","",IF(G$4&gt;DAY(EOMONTH(DATE($D$2,$B$2,1),0)),"",SUMIFS(DATA_GOC!$H:$H,DATA_GOC!$A:$A,"BOM",DATA_GOC!$D:$D,$B19,DATA_GOC!$F:$F,"Xuất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19" s="222">
        <f>IF($B19="","",IF(H$4&gt;DAY(EOMONTH(DATE($D$2,$B$2,1),0)),"",SUMIFS(DATA_GOC!$H:$H,DATA_GOC!$A:$A,"BOM",DATA_GOC!$D:$D,$B19,DATA_GOC!$F:$F,"Xuất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19" s="222">
        <f>IF($B19="","",IF(I$4&gt;DAY(EOMONTH(DATE($D$2,$B$2,1),0)),"",SUMIFS(DATA_GOC!$H:$H,DATA_GOC!$A:$A,"BOM",DATA_GOC!$D:$D,$B19,DATA_GOC!$F:$F,"Xuất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19" s="222">
        <f>IF($B19="","",IF(J$4&gt;DAY(EOMONTH(DATE($D$2,$B$2,1),0)),"",SUMIFS(DATA_GOC!$H:$H,DATA_GOC!$A:$A,"BOM",DATA_GOC!$D:$D,$B19,DATA_GOC!$F:$F,"Xuất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19" s="222">
        <f>IF($B19="","",IF(K$4&gt;DAY(EOMONTH(DATE($D$2,$B$2,1),0)),"",SUMIFS(DATA_GOC!$H:$H,DATA_GOC!$A:$A,"BOM",DATA_GOC!$D:$D,$B19,DATA_GOC!$F:$F,"Xuất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19" s="222">
        <f>IF($B19="","",IF(L$4&gt;DAY(EOMONTH(DATE($D$2,$B$2,1),0)),"",SUMIFS(DATA_GOC!$H:$H,DATA_GOC!$A:$A,"BOM",DATA_GOC!$D:$D,$B19,DATA_GOC!$F:$F,"Xuất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19" s="222">
        <f>IF($B19="","",IF(M$4&gt;DAY(EOMONTH(DATE($D$2,$B$2,1),0)),"",SUMIFS(DATA_GOC!$H:$H,DATA_GOC!$A:$A,"BOM",DATA_GOC!$D:$D,$B19,DATA_GOC!$F:$F,"Xuất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19" s="222">
        <f>IF($B19="","",IF(N$4&gt;DAY(EOMONTH(DATE($D$2,$B$2,1),0)),"",SUMIFS(DATA_GOC!$H:$H,DATA_GOC!$A:$A,"BOM",DATA_GOC!$D:$D,$B19,DATA_GOC!$F:$F,"Xuất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19" s="222">
        <f>IF($B19="","",IF(O$4&gt;DAY(EOMONTH(DATE($D$2,$B$2,1),0)),"",SUMIFS(DATA_GOC!$H:$H,DATA_GOC!$A:$A,"BOM",DATA_GOC!$D:$D,$B19,DATA_GOC!$F:$F,"Xuất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19" s="222">
        <f>IF($B19="","",IF(P$4&gt;DAY(EOMONTH(DATE($D$2,$B$2,1),0)),"",SUMIFS(DATA_GOC!$H:$H,DATA_GOC!$A:$A,"BOM",DATA_GOC!$D:$D,$B19,DATA_GOC!$F:$F,"Xuất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19" s="222">
        <f>IF($B19="","",IF(Q$4&gt;DAY(EOMONTH(DATE($D$2,$B$2,1),0)),"",SUMIFS(DATA_GOC!$H:$H,DATA_GOC!$A:$A,"BOM",DATA_GOC!$D:$D,$B19,DATA_GOC!$F:$F,"Xuất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19" s="222">
        <f>IF($B19="","",IF(R$4&gt;DAY(EOMONTH(DATE($D$2,$B$2,1),0)),"",SUMIFS(DATA_GOC!$H:$H,DATA_GOC!$A:$A,"BOM",DATA_GOC!$D:$D,$B19,DATA_GOC!$F:$F,"Xuất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19" s="222">
        <f>IF($B19="","",IF(S$4&gt;DAY(EOMONTH(DATE($D$2,$B$2,1),0)),"",SUMIFS(DATA_GOC!$H:$H,DATA_GOC!$A:$A,"BOM",DATA_GOC!$D:$D,$B19,DATA_GOC!$F:$F,"Xuất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19" s="222">
        <f>IF($B19="","",IF(T$4&gt;DAY(EOMONTH(DATE($D$2,$B$2,1),0)),"",SUMIFS(DATA_GOC!$H:$H,DATA_GOC!$A:$A,"BOM",DATA_GOC!$D:$D,$B19,DATA_GOC!$F:$F,"Xuất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19" s="222">
        <f>IF($B19="","",IF(U$4&gt;DAY(EOMONTH(DATE($D$2,$B$2,1),0)),"",SUMIFS(DATA_GOC!$H:$H,DATA_GOC!$A:$A,"BOM",DATA_GOC!$D:$D,$B19,DATA_GOC!$F:$F,"Xuất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19" s="222">
        <f>IF($B19="","",IF(V$4&gt;DAY(EOMONTH(DATE($D$2,$B$2,1),0)),"",SUMIFS(DATA_GOC!$H:$H,DATA_GOC!$A:$A,"BOM",DATA_GOC!$D:$D,$B19,DATA_GOC!$F:$F,"Xuất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19" s="222">
        <f>IF($B19="","",IF(W$4&gt;DAY(EOMONTH(DATE($D$2,$B$2,1),0)),"",SUMIFS(DATA_GOC!$H:$H,DATA_GOC!$A:$A,"BOM",DATA_GOC!$D:$D,$B19,DATA_GOC!$F:$F,"Xuất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19" s="222">
        <f>IF($B19="","",IF(X$4&gt;DAY(EOMONTH(DATE($D$2,$B$2,1),0)),"",SUMIFS(DATA_GOC!$H:$H,DATA_GOC!$A:$A,"BOM",DATA_GOC!$D:$D,$B19,DATA_GOC!$F:$F,"Xuất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19" s="222">
        <f>IF($B19="","",IF(Y$4&gt;DAY(EOMONTH(DATE($D$2,$B$2,1),0)),"",SUMIFS(DATA_GOC!$H:$H,DATA_GOC!$A:$A,"BOM",DATA_GOC!$D:$D,$B19,DATA_GOC!$F:$F,"Xuất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19" s="222">
        <f>IF($B19="","",IF(Z$4&gt;DAY(EOMONTH(DATE($D$2,$B$2,1),0)),"",SUMIFS(DATA_GOC!$H:$H,DATA_GOC!$A:$A,"BOM",DATA_GOC!$D:$D,$B19,DATA_GOC!$F:$F,"Xuất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19" s="222">
        <f>IF($B19="","",IF(AA$4&gt;DAY(EOMONTH(DATE($D$2,$B$2,1),0)),"",SUMIFS(DATA_GOC!$H:$H,DATA_GOC!$A:$A,"BOM",DATA_GOC!$D:$D,$B19,DATA_GOC!$F:$F,"Xuất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19" s="222">
        <f>IF($B19="","",IF(AB$4&gt;DAY(EOMONTH(DATE($D$2,$B$2,1),0)),"",SUMIFS(DATA_GOC!$H:$H,DATA_GOC!$A:$A,"BOM",DATA_GOC!$D:$D,$B19,DATA_GOC!$F:$F,"Xuất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19" s="222">
        <f>IF($B19="","",IF(AC$4&gt;DAY(EOMONTH(DATE($D$2,$B$2,1),0)),"",SUMIFS(DATA_GOC!$H:$H,DATA_GOC!$A:$A,"BOM",DATA_GOC!$D:$D,$B19,DATA_GOC!$F:$F,"Xuất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19" s="222">
        <f>IF($B19="","",IF(AD$4&gt;DAY(EOMONTH(DATE($D$2,$B$2,1),0)),"",SUMIFS(DATA_GOC!$H:$H,DATA_GOC!$A:$A,"BOM",DATA_GOC!$D:$D,$B19,DATA_GOC!$F:$F,"Xuất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19" s="222">
        <f>IF($B19="","",IF(AE$4&gt;DAY(EOMONTH(DATE($D$2,$B$2,1),0)),"",SUMIFS(DATA_GOC!$H:$H,DATA_GOC!$A:$A,"BOM",DATA_GOC!$D:$D,$B19,DATA_GOC!$F:$F,"Xuất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19" s="222">
        <f>IF($B19="","",IF(AF$4&gt;DAY(EOMONTH(DATE($D$2,$B$2,1),0)),"",SUMIFS(DATA_GOC!$H:$H,DATA_GOC!$A:$A,"BOM",DATA_GOC!$D:$D,$B19,DATA_GOC!$F:$F,"Xuất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19" s="222">
        <f>IF($B19="","",IF(AG$4&gt;DAY(EOMONTH(DATE($D$2,$B$2,1),0)),"",SUMIFS(DATA_GOC!$H:$H,DATA_GOC!$A:$A,"BOM",DATA_GOC!$D:$D,$B19,DATA_GOC!$F:$F,"Xuất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19" s="223">
        <f t="shared" si="2"/>
        <v>0</v>
      </c>
      <c r="AI19" s="224">
        <f>IF($B19="","",SUMIFS(DATA_GOC!$H:$H,DATA_GOC!$A:$A,"BOM",DATA_GOC!$D:$D,$B19,DATA_GOC!$F:$F,"Bơm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19" s="224">
        <f>IF($B19="","",SUMIFS(TINH_TEC!$K$233:$K$9232,TINH_TEC!$H$233:$H$9232,$B19,TINH_TEC!$F$233:$F$9232,$B$2,TINH_TEC!$G$233:$G$9232,$D$2,TINH_TEC!$B$233:$B$9232,"Đã chốt"))</f>
        <v>0</v>
      </c>
      <c r="AK19" s="224">
        <f>IF($B19="","",SUMIFS(TINH_TEC!$J$233:$J$9232,TINH_TEC!$H$233:$H$9232,$B19,TINH_TEC!$F$233:$F$9232,$B$2,TINH_TEC!$G$233:$G$9232,$D$2,TINH_TEC!$B$233:$B$9232,"Đã chốt"))</f>
        <v>47.176</v>
      </c>
      <c r="AL19" s="225">
        <f t="shared" si="3"/>
        <v>47.176</v>
      </c>
      <c r="AM19" s="222">
        <f>IF($B19="","",SUMIFS(DATA_GOC!$K:$K,DATA_GOC!$A:$A,"BOM",DATA_GOC!$D:$D,$B19,DATA_GOC!$G:$G,"DO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19" s="226" t="str">
        <f t="shared" si="4"/>
        <v/>
      </c>
      <c r="AO19" s="227" t="str">
        <f t="shared" si="5"/>
        <v/>
      </c>
      <c r="AP19" s="226">
        <f>IF($B19="","",IFERROR(AO19-(SUMIFS(DATA_GOC!$H:$H,DATA_GOC!$A:$A,"BOM",DATA_GOC!$D:$D,$B19,DATA_GOC!$F:$F,"Xuất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-0.5583524027</v>
      </c>
      <c r="AQ19" s="59">
        <v>1.0</v>
      </c>
      <c r="AR19" s="59">
        <v>2026.0</v>
      </c>
      <c r="AS19" s="59" t="s">
        <v>100</v>
      </c>
      <c r="AT19" s="59">
        <v>2979.406</v>
      </c>
      <c r="AU19" s="59">
        <v>0.0</v>
      </c>
      <c r="AV19" s="59">
        <v>2979.406</v>
      </c>
      <c r="AW19" s="59">
        <v>6688.0</v>
      </c>
      <c r="AX19" s="59">
        <v>44.5485346889952</v>
      </c>
      <c r="AY19" s="59">
        <v>996.87</v>
      </c>
      <c r="AZ19" s="59">
        <v>1982.536</v>
      </c>
      <c r="BA19" s="59">
        <v>36.87</v>
      </c>
      <c r="BB19" s="59">
        <v>0.0</v>
      </c>
      <c r="BC19" s="59" t="s">
        <v>373</v>
      </c>
    </row>
    <row r="20" ht="16.5" customHeight="1">
      <c r="A20" s="220">
        <f t="shared" si="1"/>
        <v>16</v>
      </c>
      <c r="B20" s="221" t="str">
        <f t="array" ref="B20">IFERROR(INDEX(DANH_MUC!$E:$E,ROW()-1),"")</f>
        <v>28C02986</v>
      </c>
      <c r="C20" s="222">
        <f>IF($B20="","",IF(C$4&gt;DAY(EOMONTH(DATE($D$2,$B$2,1),0)),"",SUMIFS(DATA_GOC!$H:$H,DATA_GOC!$A:$A,"BOM",DATA_GOC!$D:$D,$B20,DATA_GOC!$F:$F,"Xuất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0" s="222">
        <f>IF($B20="","",IF(D$4&gt;DAY(EOMONTH(DATE($D$2,$B$2,1),0)),"",SUMIFS(DATA_GOC!$H:$H,DATA_GOC!$A:$A,"BOM",DATA_GOC!$D:$D,$B20,DATA_GOC!$F:$F,"Xuất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0" s="222">
        <f>IF($B20="","",IF(E$4&gt;DAY(EOMONTH(DATE($D$2,$B$2,1),0)),"",SUMIFS(DATA_GOC!$H:$H,DATA_GOC!$A:$A,"BOM",DATA_GOC!$D:$D,$B20,DATA_GOC!$F:$F,"Xuất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0" s="222">
        <f>IF($B20="","",IF(F$4&gt;DAY(EOMONTH(DATE($D$2,$B$2,1),0)),"",SUMIFS(DATA_GOC!$H:$H,DATA_GOC!$A:$A,"BOM",DATA_GOC!$D:$D,$B20,DATA_GOC!$F:$F,"Xuất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88</v>
      </c>
      <c r="G20" s="222">
        <f>IF($B20="","",IF(G$4&gt;DAY(EOMONTH(DATE($D$2,$B$2,1),0)),"",SUMIFS(DATA_GOC!$H:$H,DATA_GOC!$A:$A,"BOM",DATA_GOC!$D:$D,$B20,DATA_GOC!$F:$F,"Xuất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0" s="222">
        <f>IF($B20="","",IF(H$4&gt;DAY(EOMONTH(DATE($D$2,$B$2,1),0)),"",SUMIFS(DATA_GOC!$H:$H,DATA_GOC!$A:$A,"BOM",DATA_GOC!$D:$D,$B20,DATA_GOC!$F:$F,"Xuất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0" s="222">
        <f>IF($B20="","",IF(I$4&gt;DAY(EOMONTH(DATE($D$2,$B$2,1),0)),"",SUMIFS(DATA_GOC!$H:$H,DATA_GOC!$A:$A,"BOM",DATA_GOC!$D:$D,$B20,DATA_GOC!$F:$F,"Xuất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0" s="222">
        <f>IF($B20="","",IF(J$4&gt;DAY(EOMONTH(DATE($D$2,$B$2,1),0)),"",SUMIFS(DATA_GOC!$H:$H,DATA_GOC!$A:$A,"BOM",DATA_GOC!$D:$D,$B20,DATA_GOC!$F:$F,"Xuất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0" s="222">
        <f>IF($B20="","",IF(K$4&gt;DAY(EOMONTH(DATE($D$2,$B$2,1),0)),"",SUMIFS(DATA_GOC!$H:$H,DATA_GOC!$A:$A,"BOM",DATA_GOC!$D:$D,$B20,DATA_GOC!$F:$F,"Xuất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0" s="222">
        <f>IF($B20="","",IF(L$4&gt;DAY(EOMONTH(DATE($D$2,$B$2,1),0)),"",SUMIFS(DATA_GOC!$H:$H,DATA_GOC!$A:$A,"BOM",DATA_GOC!$D:$D,$B20,DATA_GOC!$F:$F,"Xuất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0" s="222">
        <f>IF($B20="","",IF(M$4&gt;DAY(EOMONTH(DATE($D$2,$B$2,1),0)),"",SUMIFS(DATA_GOC!$H:$H,DATA_GOC!$A:$A,"BOM",DATA_GOC!$D:$D,$B20,DATA_GOC!$F:$F,"Xuất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0" s="222">
        <f>IF($B20="","",IF(N$4&gt;DAY(EOMONTH(DATE($D$2,$B$2,1),0)),"",SUMIFS(DATA_GOC!$H:$H,DATA_GOC!$A:$A,"BOM",DATA_GOC!$D:$D,$B20,DATA_GOC!$F:$F,"Xuất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0" s="222">
        <f>IF($B20="","",IF(O$4&gt;DAY(EOMONTH(DATE($D$2,$B$2,1),0)),"",SUMIFS(DATA_GOC!$H:$H,DATA_GOC!$A:$A,"BOM",DATA_GOC!$D:$D,$B20,DATA_GOC!$F:$F,"Xuất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0" s="222">
        <f>IF($B20="","",IF(P$4&gt;DAY(EOMONTH(DATE($D$2,$B$2,1),0)),"",SUMIFS(DATA_GOC!$H:$H,DATA_GOC!$A:$A,"BOM",DATA_GOC!$D:$D,$B20,DATA_GOC!$F:$F,"Xuất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0" s="222">
        <f>IF($B20="","",IF(Q$4&gt;DAY(EOMONTH(DATE($D$2,$B$2,1),0)),"",SUMIFS(DATA_GOC!$H:$H,DATA_GOC!$A:$A,"BOM",DATA_GOC!$D:$D,$B20,DATA_GOC!$F:$F,"Xuất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0" s="222">
        <f>IF($B20="","",IF(R$4&gt;DAY(EOMONTH(DATE($D$2,$B$2,1),0)),"",SUMIFS(DATA_GOC!$H:$H,DATA_GOC!$A:$A,"BOM",DATA_GOC!$D:$D,$B20,DATA_GOC!$F:$F,"Xuất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0" s="222">
        <f>IF($B20="","",IF(S$4&gt;DAY(EOMONTH(DATE($D$2,$B$2,1),0)),"",SUMIFS(DATA_GOC!$H:$H,DATA_GOC!$A:$A,"BOM",DATA_GOC!$D:$D,$B20,DATA_GOC!$F:$F,"Xuất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0" s="222">
        <f>IF($B20="","",IF(T$4&gt;DAY(EOMONTH(DATE($D$2,$B$2,1),0)),"",SUMIFS(DATA_GOC!$H:$H,DATA_GOC!$A:$A,"BOM",DATA_GOC!$D:$D,$B20,DATA_GOC!$F:$F,"Xuất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0" s="222">
        <f>IF($B20="","",IF(U$4&gt;DAY(EOMONTH(DATE($D$2,$B$2,1),0)),"",SUMIFS(DATA_GOC!$H:$H,DATA_GOC!$A:$A,"BOM",DATA_GOC!$D:$D,$B20,DATA_GOC!$F:$F,"Xuất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0" s="222">
        <f>IF($B20="","",IF(V$4&gt;DAY(EOMONTH(DATE($D$2,$B$2,1),0)),"",SUMIFS(DATA_GOC!$H:$H,DATA_GOC!$A:$A,"BOM",DATA_GOC!$D:$D,$B20,DATA_GOC!$F:$F,"Xuất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0" s="222">
        <f>IF($B20="","",IF(W$4&gt;DAY(EOMONTH(DATE($D$2,$B$2,1),0)),"",SUMIFS(DATA_GOC!$H:$H,DATA_GOC!$A:$A,"BOM",DATA_GOC!$D:$D,$B20,DATA_GOC!$F:$F,"Xuất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0" s="222">
        <f>IF($B20="","",IF(X$4&gt;DAY(EOMONTH(DATE($D$2,$B$2,1),0)),"",SUMIFS(DATA_GOC!$H:$H,DATA_GOC!$A:$A,"BOM",DATA_GOC!$D:$D,$B20,DATA_GOC!$F:$F,"Xuất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0" s="222">
        <f>IF($B20="","",IF(Y$4&gt;DAY(EOMONTH(DATE($D$2,$B$2,1),0)),"",SUMIFS(DATA_GOC!$H:$H,DATA_GOC!$A:$A,"BOM",DATA_GOC!$D:$D,$B20,DATA_GOC!$F:$F,"Xuất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0" s="222">
        <f>IF($B20="","",IF(Z$4&gt;DAY(EOMONTH(DATE($D$2,$B$2,1),0)),"",SUMIFS(DATA_GOC!$H:$H,DATA_GOC!$A:$A,"BOM",DATA_GOC!$D:$D,$B20,DATA_GOC!$F:$F,"Xuất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0" s="222">
        <f>IF($B20="","",IF(AA$4&gt;DAY(EOMONTH(DATE($D$2,$B$2,1),0)),"",SUMIFS(DATA_GOC!$H:$H,DATA_GOC!$A:$A,"BOM",DATA_GOC!$D:$D,$B20,DATA_GOC!$F:$F,"Xuất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0" s="222">
        <f>IF($B20="","",IF(AB$4&gt;DAY(EOMONTH(DATE($D$2,$B$2,1),0)),"",SUMIFS(DATA_GOC!$H:$H,DATA_GOC!$A:$A,"BOM",DATA_GOC!$D:$D,$B20,DATA_GOC!$F:$F,"Xuất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0" s="222">
        <f>IF($B20="","",IF(AC$4&gt;DAY(EOMONTH(DATE($D$2,$B$2,1),0)),"",SUMIFS(DATA_GOC!$H:$H,DATA_GOC!$A:$A,"BOM",DATA_GOC!$D:$D,$B20,DATA_GOC!$F:$F,"Xuất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0" s="222">
        <f>IF($B20="","",IF(AD$4&gt;DAY(EOMONTH(DATE($D$2,$B$2,1),0)),"",SUMIFS(DATA_GOC!$H:$H,DATA_GOC!$A:$A,"BOM",DATA_GOC!$D:$D,$B20,DATA_GOC!$F:$F,"Xuất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0" s="222">
        <f>IF($B20="","",IF(AE$4&gt;DAY(EOMONTH(DATE($D$2,$B$2,1),0)),"",SUMIFS(DATA_GOC!$H:$H,DATA_GOC!$A:$A,"BOM",DATA_GOC!$D:$D,$B20,DATA_GOC!$F:$F,"Xuất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0" s="222">
        <f>IF($B20="","",IF(AF$4&gt;DAY(EOMONTH(DATE($D$2,$B$2,1),0)),"",SUMIFS(DATA_GOC!$H:$H,DATA_GOC!$A:$A,"BOM",DATA_GOC!$D:$D,$B20,DATA_GOC!$F:$F,"Xuất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0" s="222">
        <f>IF($B20="","",IF(AG$4&gt;DAY(EOMONTH(DATE($D$2,$B$2,1),0)),"",SUMIFS(DATA_GOC!$H:$H,DATA_GOC!$A:$A,"BOM",DATA_GOC!$D:$D,$B20,DATA_GOC!$F:$F,"Xuất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0" s="223">
        <f t="shared" si="2"/>
        <v>88</v>
      </c>
      <c r="AI20" s="224">
        <f>IF($B20="","",SUMIFS(DATA_GOC!$H:$H,DATA_GOC!$A:$A,"BOM",DATA_GOC!$D:$D,$B20,DATA_GOC!$F:$F,"Bơm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432.218</v>
      </c>
      <c r="AJ20" s="224">
        <f>IF($B20="","",SUMIFS(TINH_TEC!$K$233:$K$9232,TINH_TEC!$H$233:$H$9232,$B20,TINH_TEC!$F$233:$F$9232,$B$2,TINH_TEC!$G$233:$G$9232,$D$2,TINH_TEC!$B$233:$B$9232,"Đã chốt"))</f>
        <v>0</v>
      </c>
      <c r="AK20" s="224">
        <f>IF($B20="","",SUMIFS(TINH_TEC!$J$233:$J$9232,TINH_TEC!$H$233:$H$9232,$B20,TINH_TEC!$F$233:$F$9232,$B$2,TINH_TEC!$G$233:$G$9232,$D$2,TINH_TEC!$B$233:$B$9232,"Đã chốt"))</f>
        <v>35.12</v>
      </c>
      <c r="AL20" s="225">
        <f t="shared" si="3"/>
        <v>555.338</v>
      </c>
      <c r="AM20" s="222">
        <f>IF($B20="","",SUMIFS(DATA_GOC!$K:$K,DATA_GOC!$A:$A,"BOM",DATA_GOC!$D:$D,$B20,DATA_GOC!$G:$G,"DO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1266</v>
      </c>
      <c r="AN20" s="226">
        <f t="shared" si="4"/>
        <v>43.86556082</v>
      </c>
      <c r="AO20" s="227">
        <f t="shared" si="5"/>
        <v>0.4386556082</v>
      </c>
      <c r="AP20" s="226">
        <f>IF($B20="","",IFERROR(AO20-(SUMIFS(DATA_GOC!$H:$H,DATA_GOC!$A:$A,"BOM",DATA_GOC!$D:$D,$B20,DATA_GOC!$F:$F,"Xuất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0.006416616461</v>
      </c>
      <c r="AQ20" s="59">
        <v>1.0</v>
      </c>
      <c r="AR20" s="59">
        <v>2026.0</v>
      </c>
      <c r="AS20" s="59" t="s">
        <v>337</v>
      </c>
      <c r="AT20" s="59">
        <v>2997.211</v>
      </c>
      <c r="AU20" s="59">
        <v>0.0</v>
      </c>
      <c r="AV20" s="59">
        <v>2997.211</v>
      </c>
      <c r="AW20" s="59">
        <v>6963.0</v>
      </c>
      <c r="AX20" s="59">
        <v>43.0448226339222</v>
      </c>
      <c r="AY20" s="59">
        <v>1059.17</v>
      </c>
      <c r="AZ20" s="59">
        <v>1938.041</v>
      </c>
      <c r="BA20" s="59">
        <v>39.17</v>
      </c>
      <c r="BB20" s="59">
        <v>0.0</v>
      </c>
      <c r="BC20" s="59" t="s">
        <v>374</v>
      </c>
    </row>
    <row r="21" ht="16.5" customHeight="1">
      <c r="A21" s="220">
        <f t="shared" si="1"/>
        <v>17</v>
      </c>
      <c r="B21" s="221" t="str">
        <f t="array" ref="B21">IFERROR(INDEX(DANH_MUC!$E:$E,ROW()-1),"")</f>
        <v>28C03261</v>
      </c>
      <c r="C21" s="222">
        <f>IF($B21="","",IF(C$4&gt;DAY(EOMONTH(DATE($D$2,$B$2,1),0)),"",SUMIFS(DATA_GOC!$H:$H,DATA_GOC!$A:$A,"BOM",DATA_GOC!$D:$D,$B21,DATA_GOC!$F:$F,"Xuất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1" s="222">
        <f>IF($B21="","",IF(D$4&gt;DAY(EOMONTH(DATE($D$2,$B$2,1),0)),"",SUMIFS(DATA_GOC!$H:$H,DATA_GOC!$A:$A,"BOM",DATA_GOC!$D:$D,$B21,DATA_GOC!$F:$F,"Xuất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1" s="222">
        <f>IF($B21="","",IF(E$4&gt;DAY(EOMONTH(DATE($D$2,$B$2,1),0)),"",SUMIFS(DATA_GOC!$H:$H,DATA_GOC!$A:$A,"BOM",DATA_GOC!$D:$D,$B21,DATA_GOC!$F:$F,"Xuất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1" s="222">
        <f>IF($B21="","",IF(F$4&gt;DAY(EOMONTH(DATE($D$2,$B$2,1),0)),"",SUMIFS(DATA_GOC!$H:$H,DATA_GOC!$A:$A,"BOM",DATA_GOC!$D:$D,$B21,DATA_GOC!$F:$F,"Xuất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21" s="222">
        <f>IF($B21="","",IF(G$4&gt;DAY(EOMONTH(DATE($D$2,$B$2,1),0)),"",SUMIFS(DATA_GOC!$H:$H,DATA_GOC!$A:$A,"BOM",DATA_GOC!$D:$D,$B21,DATA_GOC!$F:$F,"Xuất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230</v>
      </c>
      <c r="H21" s="222">
        <f>IF($B21="","",IF(H$4&gt;DAY(EOMONTH(DATE($D$2,$B$2,1),0)),"",SUMIFS(DATA_GOC!$H:$H,DATA_GOC!$A:$A,"BOM",DATA_GOC!$D:$D,$B21,DATA_GOC!$F:$F,"Xuất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1" s="222">
        <f>IF($B21="","",IF(I$4&gt;DAY(EOMONTH(DATE($D$2,$B$2,1),0)),"",SUMIFS(DATA_GOC!$H:$H,DATA_GOC!$A:$A,"BOM",DATA_GOC!$D:$D,$B21,DATA_GOC!$F:$F,"Xuất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1" s="222">
        <f>IF($B21="","",IF(J$4&gt;DAY(EOMONTH(DATE($D$2,$B$2,1),0)),"",SUMIFS(DATA_GOC!$H:$H,DATA_GOC!$A:$A,"BOM",DATA_GOC!$D:$D,$B21,DATA_GOC!$F:$F,"Xuất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1" s="222">
        <f>IF($B21="","",IF(K$4&gt;DAY(EOMONTH(DATE($D$2,$B$2,1),0)),"",SUMIFS(DATA_GOC!$H:$H,DATA_GOC!$A:$A,"BOM",DATA_GOC!$D:$D,$B21,DATA_GOC!$F:$F,"Xuất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1" s="222">
        <f>IF($B21="","",IF(L$4&gt;DAY(EOMONTH(DATE($D$2,$B$2,1),0)),"",SUMIFS(DATA_GOC!$H:$H,DATA_GOC!$A:$A,"BOM",DATA_GOC!$D:$D,$B21,DATA_GOC!$F:$F,"Xuất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1" s="222">
        <f>IF($B21="","",IF(M$4&gt;DAY(EOMONTH(DATE($D$2,$B$2,1),0)),"",SUMIFS(DATA_GOC!$H:$H,DATA_GOC!$A:$A,"BOM",DATA_GOC!$D:$D,$B21,DATA_GOC!$F:$F,"Xuất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1" s="222">
        <f>IF($B21="","",IF(N$4&gt;DAY(EOMONTH(DATE($D$2,$B$2,1),0)),"",SUMIFS(DATA_GOC!$H:$H,DATA_GOC!$A:$A,"BOM",DATA_GOC!$D:$D,$B21,DATA_GOC!$F:$F,"Xuất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1" s="222">
        <f>IF($B21="","",IF(O$4&gt;DAY(EOMONTH(DATE($D$2,$B$2,1),0)),"",SUMIFS(DATA_GOC!$H:$H,DATA_GOC!$A:$A,"BOM",DATA_GOC!$D:$D,$B21,DATA_GOC!$F:$F,"Xuất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1" s="222">
        <f>IF($B21="","",IF(P$4&gt;DAY(EOMONTH(DATE($D$2,$B$2,1),0)),"",SUMIFS(DATA_GOC!$H:$H,DATA_GOC!$A:$A,"BOM",DATA_GOC!$D:$D,$B21,DATA_GOC!$F:$F,"Xuất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1" s="222">
        <f>IF($B21="","",IF(Q$4&gt;DAY(EOMONTH(DATE($D$2,$B$2,1),0)),"",SUMIFS(DATA_GOC!$H:$H,DATA_GOC!$A:$A,"BOM",DATA_GOC!$D:$D,$B21,DATA_GOC!$F:$F,"Xuất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1" s="222">
        <f>IF($B21="","",IF(R$4&gt;DAY(EOMONTH(DATE($D$2,$B$2,1),0)),"",SUMIFS(DATA_GOC!$H:$H,DATA_GOC!$A:$A,"BOM",DATA_GOC!$D:$D,$B21,DATA_GOC!$F:$F,"Xuất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1" s="222">
        <f>IF($B21="","",IF(S$4&gt;DAY(EOMONTH(DATE($D$2,$B$2,1),0)),"",SUMIFS(DATA_GOC!$H:$H,DATA_GOC!$A:$A,"BOM",DATA_GOC!$D:$D,$B21,DATA_GOC!$F:$F,"Xuất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1" s="222">
        <f>IF($B21="","",IF(T$4&gt;DAY(EOMONTH(DATE($D$2,$B$2,1),0)),"",SUMIFS(DATA_GOC!$H:$H,DATA_GOC!$A:$A,"BOM",DATA_GOC!$D:$D,$B21,DATA_GOC!$F:$F,"Xuất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1" s="222">
        <f>IF($B21="","",IF(U$4&gt;DAY(EOMONTH(DATE($D$2,$B$2,1),0)),"",SUMIFS(DATA_GOC!$H:$H,DATA_GOC!$A:$A,"BOM",DATA_GOC!$D:$D,$B21,DATA_GOC!$F:$F,"Xuất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1" s="222">
        <f>IF($B21="","",IF(V$4&gt;DAY(EOMONTH(DATE($D$2,$B$2,1),0)),"",SUMIFS(DATA_GOC!$H:$H,DATA_GOC!$A:$A,"BOM",DATA_GOC!$D:$D,$B21,DATA_GOC!$F:$F,"Xuất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1" s="222">
        <f>IF($B21="","",IF(W$4&gt;DAY(EOMONTH(DATE($D$2,$B$2,1),0)),"",SUMIFS(DATA_GOC!$H:$H,DATA_GOC!$A:$A,"BOM",DATA_GOC!$D:$D,$B21,DATA_GOC!$F:$F,"Xuất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1" s="222">
        <f>IF($B21="","",IF(X$4&gt;DAY(EOMONTH(DATE($D$2,$B$2,1),0)),"",SUMIFS(DATA_GOC!$H:$H,DATA_GOC!$A:$A,"BOM",DATA_GOC!$D:$D,$B21,DATA_GOC!$F:$F,"Xuất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1" s="222">
        <f>IF($B21="","",IF(Y$4&gt;DAY(EOMONTH(DATE($D$2,$B$2,1),0)),"",SUMIFS(DATA_GOC!$H:$H,DATA_GOC!$A:$A,"BOM",DATA_GOC!$D:$D,$B21,DATA_GOC!$F:$F,"Xuất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1" s="222">
        <f>IF($B21="","",IF(Z$4&gt;DAY(EOMONTH(DATE($D$2,$B$2,1),0)),"",SUMIFS(DATA_GOC!$H:$H,DATA_GOC!$A:$A,"BOM",DATA_GOC!$D:$D,$B21,DATA_GOC!$F:$F,"Xuất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1" s="222">
        <f>IF($B21="","",IF(AA$4&gt;DAY(EOMONTH(DATE($D$2,$B$2,1),0)),"",SUMIFS(DATA_GOC!$H:$H,DATA_GOC!$A:$A,"BOM",DATA_GOC!$D:$D,$B21,DATA_GOC!$F:$F,"Xuất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1" s="222">
        <f>IF($B21="","",IF(AB$4&gt;DAY(EOMONTH(DATE($D$2,$B$2,1),0)),"",SUMIFS(DATA_GOC!$H:$H,DATA_GOC!$A:$A,"BOM",DATA_GOC!$D:$D,$B21,DATA_GOC!$F:$F,"Xuất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1" s="222">
        <f>IF($B21="","",IF(AC$4&gt;DAY(EOMONTH(DATE($D$2,$B$2,1),0)),"",SUMIFS(DATA_GOC!$H:$H,DATA_GOC!$A:$A,"BOM",DATA_GOC!$D:$D,$B21,DATA_GOC!$F:$F,"Xuất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1" s="222">
        <f>IF($B21="","",IF(AD$4&gt;DAY(EOMONTH(DATE($D$2,$B$2,1),0)),"",SUMIFS(DATA_GOC!$H:$H,DATA_GOC!$A:$A,"BOM",DATA_GOC!$D:$D,$B21,DATA_GOC!$F:$F,"Xuất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1" s="222">
        <f>IF($B21="","",IF(AE$4&gt;DAY(EOMONTH(DATE($D$2,$B$2,1),0)),"",SUMIFS(DATA_GOC!$H:$H,DATA_GOC!$A:$A,"BOM",DATA_GOC!$D:$D,$B21,DATA_GOC!$F:$F,"Xuất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1" s="222">
        <f>IF($B21="","",IF(AF$4&gt;DAY(EOMONTH(DATE($D$2,$B$2,1),0)),"",SUMIFS(DATA_GOC!$H:$H,DATA_GOC!$A:$A,"BOM",DATA_GOC!$D:$D,$B21,DATA_GOC!$F:$F,"Xuất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1" s="222">
        <f>IF($B21="","",IF(AG$4&gt;DAY(EOMONTH(DATE($D$2,$B$2,1),0)),"",SUMIFS(DATA_GOC!$H:$H,DATA_GOC!$A:$A,"BOM",DATA_GOC!$D:$D,$B21,DATA_GOC!$F:$F,"Xuất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1" s="223">
        <f t="shared" si="2"/>
        <v>230</v>
      </c>
      <c r="AI21" s="224">
        <f>IF($B21="","",SUMIFS(DATA_GOC!$H:$H,DATA_GOC!$A:$A,"BOM",DATA_GOC!$D:$D,$B21,DATA_GOC!$F:$F,"Bơm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1" s="224">
        <f>IF($B21="","",SUMIFS(TINH_TEC!$K$233:$K$9232,TINH_TEC!$H$233:$H$9232,$B21,TINH_TEC!$F$233:$F$9232,$B$2,TINH_TEC!$G$233:$G$9232,$D$2,TINH_TEC!$B$233:$B$9232,"Đã chốt"))</f>
        <v>0</v>
      </c>
      <c r="AK21" s="224">
        <f>IF($B21="","",SUMIFS(TINH_TEC!$J$233:$J$9232,TINH_TEC!$H$233:$H$9232,$B21,TINH_TEC!$F$233:$F$9232,$B$2,TINH_TEC!$G$233:$G$9232,$D$2,TINH_TEC!$B$233:$B$9232,"Đã chốt"))</f>
        <v>31.451</v>
      </c>
      <c r="AL21" s="225">
        <f t="shared" si="3"/>
        <v>261.451</v>
      </c>
      <c r="AM21" s="222">
        <f>IF($B21="","",SUMIFS(DATA_GOC!$K:$K,DATA_GOC!$A:$A,"BOM",DATA_GOC!$D:$D,$B21,DATA_GOC!$G:$G,"DO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549</v>
      </c>
      <c r="AN21" s="226">
        <f t="shared" si="4"/>
        <v>47.62313297</v>
      </c>
      <c r="AO21" s="227">
        <f t="shared" si="5"/>
        <v>0.4762313297</v>
      </c>
      <c r="AP21" s="226">
        <f>IF($B21="","",IFERROR(AO21-(SUMIFS(DATA_GOC!$H:$H,DATA_GOC!$A:$A,"BOM",DATA_GOC!$D:$D,$B21,DATA_GOC!$F:$F,"Xuất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0.03739375366</v>
      </c>
      <c r="AQ21" s="59">
        <v>1.0</v>
      </c>
      <c r="AR21" s="59">
        <v>2026.0</v>
      </c>
      <c r="AS21" s="59" t="s">
        <v>99</v>
      </c>
      <c r="AT21" s="59">
        <v>3076.552</v>
      </c>
      <c r="AU21" s="59">
        <v>0.0</v>
      </c>
      <c r="AV21" s="59">
        <v>3076.552</v>
      </c>
      <c r="AW21" s="59">
        <v>6573.0</v>
      </c>
      <c r="AX21" s="59">
        <v>46.8059029362544</v>
      </c>
      <c r="AY21" s="59">
        <v>1538.91</v>
      </c>
      <c r="AZ21" s="59">
        <v>1537.642</v>
      </c>
      <c r="BA21" s="59">
        <v>68.91</v>
      </c>
      <c r="BB21" s="59">
        <v>0.0</v>
      </c>
      <c r="BC21" s="59" t="s">
        <v>375</v>
      </c>
    </row>
    <row r="22" ht="16.5" customHeight="1">
      <c r="A22" s="220">
        <f t="shared" si="1"/>
        <v>18</v>
      </c>
      <c r="B22" s="221" t="str">
        <f t="array" ref="B22">IFERROR(INDEX(DANH_MUC!$E:$E,ROW()-1),"")</f>
        <v>28C03323</v>
      </c>
      <c r="C22" s="222">
        <f>IF($B22="","",IF(C$4&gt;DAY(EOMONTH(DATE($D$2,$B$2,1),0)),"",SUMIFS(DATA_GOC!$H:$H,DATA_GOC!$A:$A,"BOM",DATA_GOC!$D:$D,$B22,DATA_GOC!$F:$F,"Xuất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2" s="222">
        <f>IF($B22="","",IF(D$4&gt;DAY(EOMONTH(DATE($D$2,$B$2,1),0)),"",SUMIFS(DATA_GOC!$H:$H,DATA_GOC!$A:$A,"BOM",DATA_GOC!$D:$D,$B22,DATA_GOC!$F:$F,"Xuất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2" s="222">
        <f>IF($B22="","",IF(E$4&gt;DAY(EOMONTH(DATE($D$2,$B$2,1),0)),"",SUMIFS(DATA_GOC!$H:$H,DATA_GOC!$A:$A,"BOM",DATA_GOC!$D:$D,$B22,DATA_GOC!$F:$F,"Xuất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2" s="222">
        <f>IF($B22="","",IF(F$4&gt;DAY(EOMONTH(DATE($D$2,$B$2,1),0)),"",SUMIFS(DATA_GOC!$H:$H,DATA_GOC!$A:$A,"BOM",DATA_GOC!$D:$D,$B22,DATA_GOC!$F:$F,"Xuất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22" s="222">
        <f>IF($B22="","",IF(G$4&gt;DAY(EOMONTH(DATE($D$2,$B$2,1),0)),"",SUMIFS(DATA_GOC!$H:$H,DATA_GOC!$A:$A,"BOM",DATA_GOC!$D:$D,$B22,DATA_GOC!$F:$F,"Xuất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2" s="222">
        <f>IF($B22="","",IF(H$4&gt;DAY(EOMONTH(DATE($D$2,$B$2,1),0)),"",SUMIFS(DATA_GOC!$H:$H,DATA_GOC!$A:$A,"BOM",DATA_GOC!$D:$D,$B22,DATA_GOC!$F:$F,"Xuất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2" s="222">
        <f>IF($B22="","",IF(I$4&gt;DAY(EOMONTH(DATE($D$2,$B$2,1),0)),"",SUMIFS(DATA_GOC!$H:$H,DATA_GOC!$A:$A,"BOM",DATA_GOC!$D:$D,$B22,DATA_GOC!$F:$F,"Xuất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2" s="222">
        <f>IF($B22="","",IF(J$4&gt;DAY(EOMONTH(DATE($D$2,$B$2,1),0)),"",SUMIFS(DATA_GOC!$H:$H,DATA_GOC!$A:$A,"BOM",DATA_GOC!$D:$D,$B22,DATA_GOC!$F:$F,"Xuất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2" s="222">
        <f>IF($B22="","",IF(K$4&gt;DAY(EOMONTH(DATE($D$2,$B$2,1),0)),"",SUMIFS(DATA_GOC!$H:$H,DATA_GOC!$A:$A,"BOM",DATA_GOC!$D:$D,$B22,DATA_GOC!$F:$F,"Xuất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2" s="222">
        <f>IF($B22="","",IF(L$4&gt;DAY(EOMONTH(DATE($D$2,$B$2,1),0)),"",SUMIFS(DATA_GOC!$H:$H,DATA_GOC!$A:$A,"BOM",DATA_GOC!$D:$D,$B22,DATA_GOC!$F:$F,"Xuất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2" s="222">
        <f>IF($B22="","",IF(M$4&gt;DAY(EOMONTH(DATE($D$2,$B$2,1),0)),"",SUMIFS(DATA_GOC!$H:$H,DATA_GOC!$A:$A,"BOM",DATA_GOC!$D:$D,$B22,DATA_GOC!$F:$F,"Xuất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2" s="222">
        <f>IF($B22="","",IF(N$4&gt;DAY(EOMONTH(DATE($D$2,$B$2,1),0)),"",SUMIFS(DATA_GOC!$H:$H,DATA_GOC!$A:$A,"BOM",DATA_GOC!$D:$D,$B22,DATA_GOC!$F:$F,"Xuất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2" s="222">
        <f>IF($B22="","",IF(O$4&gt;DAY(EOMONTH(DATE($D$2,$B$2,1),0)),"",SUMIFS(DATA_GOC!$H:$H,DATA_GOC!$A:$A,"BOM",DATA_GOC!$D:$D,$B22,DATA_GOC!$F:$F,"Xuất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2" s="222">
        <f>IF($B22="","",IF(P$4&gt;DAY(EOMONTH(DATE($D$2,$B$2,1),0)),"",SUMIFS(DATA_GOC!$H:$H,DATA_GOC!$A:$A,"BOM",DATA_GOC!$D:$D,$B22,DATA_GOC!$F:$F,"Xuất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2" s="222">
        <f>IF($B22="","",IF(Q$4&gt;DAY(EOMONTH(DATE($D$2,$B$2,1),0)),"",SUMIFS(DATA_GOC!$H:$H,DATA_GOC!$A:$A,"BOM",DATA_GOC!$D:$D,$B22,DATA_GOC!$F:$F,"Xuất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2" s="222">
        <f>IF($B22="","",IF(R$4&gt;DAY(EOMONTH(DATE($D$2,$B$2,1),0)),"",SUMIFS(DATA_GOC!$H:$H,DATA_GOC!$A:$A,"BOM",DATA_GOC!$D:$D,$B22,DATA_GOC!$F:$F,"Xuất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2" s="222">
        <f>IF($B22="","",IF(S$4&gt;DAY(EOMONTH(DATE($D$2,$B$2,1),0)),"",SUMIFS(DATA_GOC!$H:$H,DATA_GOC!$A:$A,"BOM",DATA_GOC!$D:$D,$B22,DATA_GOC!$F:$F,"Xuất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2" s="222">
        <f>IF($B22="","",IF(T$4&gt;DAY(EOMONTH(DATE($D$2,$B$2,1),0)),"",SUMIFS(DATA_GOC!$H:$H,DATA_GOC!$A:$A,"BOM",DATA_GOC!$D:$D,$B22,DATA_GOC!$F:$F,"Xuất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2" s="222">
        <f>IF($B22="","",IF(U$4&gt;DAY(EOMONTH(DATE($D$2,$B$2,1),0)),"",SUMIFS(DATA_GOC!$H:$H,DATA_GOC!$A:$A,"BOM",DATA_GOC!$D:$D,$B22,DATA_GOC!$F:$F,"Xuất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2" s="222">
        <f>IF($B22="","",IF(V$4&gt;DAY(EOMONTH(DATE($D$2,$B$2,1),0)),"",SUMIFS(DATA_GOC!$H:$H,DATA_GOC!$A:$A,"BOM",DATA_GOC!$D:$D,$B22,DATA_GOC!$F:$F,"Xuất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2" s="222">
        <f>IF($B22="","",IF(W$4&gt;DAY(EOMONTH(DATE($D$2,$B$2,1),0)),"",SUMIFS(DATA_GOC!$H:$H,DATA_GOC!$A:$A,"BOM",DATA_GOC!$D:$D,$B22,DATA_GOC!$F:$F,"Xuất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2" s="222">
        <f>IF($B22="","",IF(X$4&gt;DAY(EOMONTH(DATE($D$2,$B$2,1),0)),"",SUMIFS(DATA_GOC!$H:$H,DATA_GOC!$A:$A,"BOM",DATA_GOC!$D:$D,$B22,DATA_GOC!$F:$F,"Xuất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2" s="222">
        <f>IF($B22="","",IF(Y$4&gt;DAY(EOMONTH(DATE($D$2,$B$2,1),0)),"",SUMIFS(DATA_GOC!$H:$H,DATA_GOC!$A:$A,"BOM",DATA_GOC!$D:$D,$B22,DATA_GOC!$F:$F,"Xuất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2" s="222">
        <f>IF($B22="","",IF(Z$4&gt;DAY(EOMONTH(DATE($D$2,$B$2,1),0)),"",SUMIFS(DATA_GOC!$H:$H,DATA_GOC!$A:$A,"BOM",DATA_GOC!$D:$D,$B22,DATA_GOC!$F:$F,"Xuất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2" s="222">
        <f>IF($B22="","",IF(AA$4&gt;DAY(EOMONTH(DATE($D$2,$B$2,1),0)),"",SUMIFS(DATA_GOC!$H:$H,DATA_GOC!$A:$A,"BOM",DATA_GOC!$D:$D,$B22,DATA_GOC!$F:$F,"Xuất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2" s="222">
        <f>IF($B22="","",IF(AB$4&gt;DAY(EOMONTH(DATE($D$2,$B$2,1),0)),"",SUMIFS(DATA_GOC!$H:$H,DATA_GOC!$A:$A,"BOM",DATA_GOC!$D:$D,$B22,DATA_GOC!$F:$F,"Xuất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2" s="222">
        <f>IF($B22="","",IF(AC$4&gt;DAY(EOMONTH(DATE($D$2,$B$2,1),0)),"",SUMIFS(DATA_GOC!$H:$H,DATA_GOC!$A:$A,"BOM",DATA_GOC!$D:$D,$B22,DATA_GOC!$F:$F,"Xuất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2" s="222">
        <f>IF($B22="","",IF(AD$4&gt;DAY(EOMONTH(DATE($D$2,$B$2,1),0)),"",SUMIFS(DATA_GOC!$H:$H,DATA_GOC!$A:$A,"BOM",DATA_GOC!$D:$D,$B22,DATA_GOC!$F:$F,"Xuất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2" s="222">
        <f>IF($B22="","",IF(AE$4&gt;DAY(EOMONTH(DATE($D$2,$B$2,1),0)),"",SUMIFS(DATA_GOC!$H:$H,DATA_GOC!$A:$A,"BOM",DATA_GOC!$D:$D,$B22,DATA_GOC!$F:$F,"Xuất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2" s="222">
        <f>IF($B22="","",IF(AF$4&gt;DAY(EOMONTH(DATE($D$2,$B$2,1),0)),"",SUMIFS(DATA_GOC!$H:$H,DATA_GOC!$A:$A,"BOM",DATA_GOC!$D:$D,$B22,DATA_GOC!$F:$F,"Xuất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2" s="222">
        <f>IF($B22="","",IF(AG$4&gt;DAY(EOMONTH(DATE($D$2,$B$2,1),0)),"",SUMIFS(DATA_GOC!$H:$H,DATA_GOC!$A:$A,"BOM",DATA_GOC!$D:$D,$B22,DATA_GOC!$F:$F,"Xuất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2" s="223">
        <f t="shared" si="2"/>
        <v>0</v>
      </c>
      <c r="AI22" s="224">
        <f>IF($B22="","",SUMIFS(DATA_GOC!$H:$H,DATA_GOC!$A:$A,"BOM",DATA_GOC!$D:$D,$B22,DATA_GOC!$F:$F,"Bơm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2" s="224">
        <f>IF($B22="","",SUMIFS(TINH_TEC!$K$233:$K$9232,TINH_TEC!$H$233:$H$9232,$B22,TINH_TEC!$F$233:$F$9232,$B$2,TINH_TEC!$G$233:$G$9232,$D$2,TINH_TEC!$B$233:$B$9232,"Đã chốt"))</f>
        <v>0</v>
      </c>
      <c r="AK22" s="224">
        <f>IF($B22="","",SUMIFS(TINH_TEC!$J$233:$J$9232,TINH_TEC!$H$233:$H$9232,$B22,TINH_TEC!$F$233:$F$9232,$B$2,TINH_TEC!$G$233:$G$9232,$D$2,TINH_TEC!$B$233:$B$9232,"Đã chốt"))</f>
        <v>21.899</v>
      </c>
      <c r="AL22" s="225">
        <f t="shared" si="3"/>
        <v>21.899</v>
      </c>
      <c r="AM22" s="222">
        <f>IF($B22="","",SUMIFS(DATA_GOC!$K:$K,DATA_GOC!$A:$A,"BOM",DATA_GOC!$D:$D,$B22,DATA_GOC!$G:$G,"DO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22" s="226" t="str">
        <f t="shared" si="4"/>
        <v/>
      </c>
      <c r="AO22" s="227" t="str">
        <f t="shared" si="5"/>
        <v/>
      </c>
      <c r="AP22" s="226">
        <f>IF($B22="","",IFERROR(AO22-(SUMIFS(DATA_GOC!$H:$H,DATA_GOC!$A:$A,"BOM",DATA_GOC!$D:$D,$B22,DATA_GOC!$F:$F,"Xuất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-0.4610745614</v>
      </c>
      <c r="AQ22" s="59">
        <v>1.0</v>
      </c>
      <c r="AR22" s="59">
        <v>2026.0</v>
      </c>
      <c r="AS22" s="59" t="s">
        <v>118</v>
      </c>
      <c r="AT22" s="59">
        <v>3034.823</v>
      </c>
      <c r="AU22" s="59">
        <v>0.0</v>
      </c>
      <c r="AV22" s="59">
        <v>3034.823</v>
      </c>
      <c r="AW22" s="59">
        <v>6900.0</v>
      </c>
      <c r="AX22" s="59">
        <v>43.9829420289855</v>
      </c>
      <c r="AY22" s="59">
        <v>1130.16</v>
      </c>
      <c r="AZ22" s="59">
        <v>1904.663</v>
      </c>
      <c r="BA22" s="59">
        <v>47.16</v>
      </c>
      <c r="BB22" s="59">
        <v>0.0</v>
      </c>
      <c r="BC22" s="59" t="s">
        <v>376</v>
      </c>
    </row>
    <row r="23" ht="16.5" customHeight="1">
      <c r="A23" s="220">
        <f t="shared" si="1"/>
        <v>19</v>
      </c>
      <c r="B23" s="221" t="str">
        <f t="array" ref="B23">IFERROR(INDEX(DANH_MUC!$E:$E,ROW()-1),"")</f>
        <v>28C03385</v>
      </c>
      <c r="C23" s="222">
        <f>IF($B23="","",IF(C$4&gt;DAY(EOMONTH(DATE($D$2,$B$2,1),0)),"",SUMIFS(DATA_GOC!$H:$H,DATA_GOC!$A:$A,"BOM",DATA_GOC!$D:$D,$B23,DATA_GOC!$F:$F,"Xuất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3" s="222">
        <f>IF($B23="","",IF(D$4&gt;DAY(EOMONTH(DATE($D$2,$B$2,1),0)),"",SUMIFS(DATA_GOC!$H:$H,DATA_GOC!$A:$A,"BOM",DATA_GOC!$D:$D,$B23,DATA_GOC!$F:$F,"Xuất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3" s="222">
        <f>IF($B23="","",IF(E$4&gt;DAY(EOMONTH(DATE($D$2,$B$2,1),0)),"",SUMIFS(DATA_GOC!$H:$H,DATA_GOC!$A:$A,"BOM",DATA_GOC!$D:$D,$B23,DATA_GOC!$F:$F,"Xuất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3" s="222">
        <f>IF($B23="","",IF(F$4&gt;DAY(EOMONTH(DATE($D$2,$B$2,1),0)),"",SUMIFS(DATA_GOC!$H:$H,DATA_GOC!$A:$A,"BOM",DATA_GOC!$D:$D,$B23,DATA_GOC!$F:$F,"Xuất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23" s="222">
        <f>IF($B23="","",IF(G$4&gt;DAY(EOMONTH(DATE($D$2,$B$2,1),0)),"",SUMIFS(DATA_GOC!$H:$H,DATA_GOC!$A:$A,"BOM",DATA_GOC!$D:$D,$B23,DATA_GOC!$F:$F,"Xuất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3" s="222">
        <f>IF($B23="","",IF(H$4&gt;DAY(EOMONTH(DATE($D$2,$B$2,1),0)),"",SUMIFS(DATA_GOC!$H:$H,DATA_GOC!$A:$A,"BOM",DATA_GOC!$D:$D,$B23,DATA_GOC!$F:$F,"Xuất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3" s="222">
        <f>IF($B23="","",IF(I$4&gt;DAY(EOMONTH(DATE($D$2,$B$2,1),0)),"",SUMIFS(DATA_GOC!$H:$H,DATA_GOC!$A:$A,"BOM",DATA_GOC!$D:$D,$B23,DATA_GOC!$F:$F,"Xuất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3" s="222">
        <f>IF($B23="","",IF(J$4&gt;DAY(EOMONTH(DATE($D$2,$B$2,1),0)),"",SUMIFS(DATA_GOC!$H:$H,DATA_GOC!$A:$A,"BOM",DATA_GOC!$D:$D,$B23,DATA_GOC!$F:$F,"Xuất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3" s="222">
        <f>IF($B23="","",IF(K$4&gt;DAY(EOMONTH(DATE($D$2,$B$2,1),0)),"",SUMIFS(DATA_GOC!$H:$H,DATA_GOC!$A:$A,"BOM",DATA_GOC!$D:$D,$B23,DATA_GOC!$F:$F,"Xuất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3" s="222">
        <f>IF($B23="","",IF(L$4&gt;DAY(EOMONTH(DATE($D$2,$B$2,1),0)),"",SUMIFS(DATA_GOC!$H:$H,DATA_GOC!$A:$A,"BOM",DATA_GOC!$D:$D,$B23,DATA_GOC!$F:$F,"Xuất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3" s="222">
        <f>IF($B23="","",IF(M$4&gt;DAY(EOMONTH(DATE($D$2,$B$2,1),0)),"",SUMIFS(DATA_GOC!$H:$H,DATA_GOC!$A:$A,"BOM",DATA_GOC!$D:$D,$B23,DATA_GOC!$F:$F,"Xuất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3" s="222">
        <f>IF($B23="","",IF(N$4&gt;DAY(EOMONTH(DATE($D$2,$B$2,1),0)),"",SUMIFS(DATA_GOC!$H:$H,DATA_GOC!$A:$A,"BOM",DATA_GOC!$D:$D,$B23,DATA_GOC!$F:$F,"Xuất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3" s="222">
        <f>IF($B23="","",IF(O$4&gt;DAY(EOMONTH(DATE($D$2,$B$2,1),0)),"",SUMIFS(DATA_GOC!$H:$H,DATA_GOC!$A:$A,"BOM",DATA_GOC!$D:$D,$B23,DATA_GOC!$F:$F,"Xuất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3" s="222">
        <f>IF($B23="","",IF(P$4&gt;DAY(EOMONTH(DATE($D$2,$B$2,1),0)),"",SUMIFS(DATA_GOC!$H:$H,DATA_GOC!$A:$A,"BOM",DATA_GOC!$D:$D,$B23,DATA_GOC!$F:$F,"Xuất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3" s="222">
        <f>IF($B23="","",IF(Q$4&gt;DAY(EOMONTH(DATE($D$2,$B$2,1),0)),"",SUMIFS(DATA_GOC!$H:$H,DATA_GOC!$A:$A,"BOM",DATA_GOC!$D:$D,$B23,DATA_GOC!$F:$F,"Xuất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3" s="222">
        <f>IF($B23="","",IF(R$4&gt;DAY(EOMONTH(DATE($D$2,$B$2,1),0)),"",SUMIFS(DATA_GOC!$H:$H,DATA_GOC!$A:$A,"BOM",DATA_GOC!$D:$D,$B23,DATA_GOC!$F:$F,"Xuất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3" s="222">
        <f>IF($B23="","",IF(S$4&gt;DAY(EOMONTH(DATE($D$2,$B$2,1),0)),"",SUMIFS(DATA_GOC!$H:$H,DATA_GOC!$A:$A,"BOM",DATA_GOC!$D:$D,$B23,DATA_GOC!$F:$F,"Xuất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3" s="222">
        <f>IF($B23="","",IF(T$4&gt;DAY(EOMONTH(DATE($D$2,$B$2,1),0)),"",SUMIFS(DATA_GOC!$H:$H,DATA_GOC!$A:$A,"BOM",DATA_GOC!$D:$D,$B23,DATA_GOC!$F:$F,"Xuất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3" s="222">
        <f>IF($B23="","",IF(U$4&gt;DAY(EOMONTH(DATE($D$2,$B$2,1),0)),"",SUMIFS(DATA_GOC!$H:$H,DATA_GOC!$A:$A,"BOM",DATA_GOC!$D:$D,$B23,DATA_GOC!$F:$F,"Xuất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3" s="222">
        <f>IF($B23="","",IF(V$4&gt;DAY(EOMONTH(DATE($D$2,$B$2,1),0)),"",SUMIFS(DATA_GOC!$H:$H,DATA_GOC!$A:$A,"BOM",DATA_GOC!$D:$D,$B23,DATA_GOC!$F:$F,"Xuất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3" s="222">
        <f>IF($B23="","",IF(W$4&gt;DAY(EOMONTH(DATE($D$2,$B$2,1),0)),"",SUMIFS(DATA_GOC!$H:$H,DATA_GOC!$A:$A,"BOM",DATA_GOC!$D:$D,$B23,DATA_GOC!$F:$F,"Xuất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3" s="222">
        <f>IF($B23="","",IF(X$4&gt;DAY(EOMONTH(DATE($D$2,$B$2,1),0)),"",SUMIFS(DATA_GOC!$H:$H,DATA_GOC!$A:$A,"BOM",DATA_GOC!$D:$D,$B23,DATA_GOC!$F:$F,"Xuất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3" s="222">
        <f>IF($B23="","",IF(Y$4&gt;DAY(EOMONTH(DATE($D$2,$B$2,1),0)),"",SUMIFS(DATA_GOC!$H:$H,DATA_GOC!$A:$A,"BOM",DATA_GOC!$D:$D,$B23,DATA_GOC!$F:$F,"Xuất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3" s="222">
        <f>IF($B23="","",IF(Z$4&gt;DAY(EOMONTH(DATE($D$2,$B$2,1),0)),"",SUMIFS(DATA_GOC!$H:$H,DATA_GOC!$A:$A,"BOM",DATA_GOC!$D:$D,$B23,DATA_GOC!$F:$F,"Xuất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3" s="222">
        <f>IF($B23="","",IF(AA$4&gt;DAY(EOMONTH(DATE($D$2,$B$2,1),0)),"",SUMIFS(DATA_GOC!$H:$H,DATA_GOC!$A:$A,"BOM",DATA_GOC!$D:$D,$B23,DATA_GOC!$F:$F,"Xuất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3" s="222">
        <f>IF($B23="","",IF(AB$4&gt;DAY(EOMONTH(DATE($D$2,$B$2,1),0)),"",SUMIFS(DATA_GOC!$H:$H,DATA_GOC!$A:$A,"BOM",DATA_GOC!$D:$D,$B23,DATA_GOC!$F:$F,"Xuất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3" s="222">
        <f>IF($B23="","",IF(AC$4&gt;DAY(EOMONTH(DATE($D$2,$B$2,1),0)),"",SUMIFS(DATA_GOC!$H:$H,DATA_GOC!$A:$A,"BOM",DATA_GOC!$D:$D,$B23,DATA_GOC!$F:$F,"Xuất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3" s="222">
        <f>IF($B23="","",IF(AD$4&gt;DAY(EOMONTH(DATE($D$2,$B$2,1),0)),"",SUMIFS(DATA_GOC!$H:$H,DATA_GOC!$A:$A,"BOM",DATA_GOC!$D:$D,$B23,DATA_GOC!$F:$F,"Xuất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3" s="222">
        <f>IF($B23="","",IF(AE$4&gt;DAY(EOMONTH(DATE($D$2,$B$2,1),0)),"",SUMIFS(DATA_GOC!$H:$H,DATA_GOC!$A:$A,"BOM",DATA_GOC!$D:$D,$B23,DATA_GOC!$F:$F,"Xuất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3" s="222">
        <f>IF($B23="","",IF(AF$4&gt;DAY(EOMONTH(DATE($D$2,$B$2,1),0)),"",SUMIFS(DATA_GOC!$H:$H,DATA_GOC!$A:$A,"BOM",DATA_GOC!$D:$D,$B23,DATA_GOC!$F:$F,"Xuất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3" s="222">
        <f>IF($B23="","",IF(AG$4&gt;DAY(EOMONTH(DATE($D$2,$B$2,1),0)),"",SUMIFS(DATA_GOC!$H:$H,DATA_GOC!$A:$A,"BOM",DATA_GOC!$D:$D,$B23,DATA_GOC!$F:$F,"Xuất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3" s="223">
        <f t="shared" si="2"/>
        <v>0</v>
      </c>
      <c r="AI23" s="224">
        <f>IF($B23="","",SUMIFS(DATA_GOC!$H:$H,DATA_GOC!$A:$A,"BOM",DATA_GOC!$D:$D,$B23,DATA_GOC!$F:$F,"Bơm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3" s="224">
        <f>IF($B23="","",SUMIFS(TINH_TEC!$K$233:$K$9232,TINH_TEC!$H$233:$H$9232,$B23,TINH_TEC!$F$233:$F$9232,$B$2,TINH_TEC!$G$233:$G$9232,$D$2,TINH_TEC!$B$233:$B$9232,"Đã chốt"))</f>
        <v>0</v>
      </c>
      <c r="AK23" s="224">
        <f>IF($B23="","",SUMIFS(TINH_TEC!$J$233:$J$9232,TINH_TEC!$H$233:$H$9232,$B23,TINH_TEC!$F$233:$F$9232,$B$2,TINH_TEC!$G$233:$G$9232,$D$2,TINH_TEC!$B$233:$B$9232,"Đã chốt"))</f>
        <v>0</v>
      </c>
      <c r="AL23" s="225">
        <f t="shared" si="3"/>
        <v>0</v>
      </c>
      <c r="AM23" s="222">
        <f>IF($B23="","",SUMIFS(DATA_GOC!$K:$K,DATA_GOC!$A:$A,"BOM",DATA_GOC!$D:$D,$B23,DATA_GOC!$G:$G,"DO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23" s="226" t="str">
        <f t="shared" si="4"/>
        <v/>
      </c>
      <c r="AO23" s="227" t="str">
        <f t="shared" si="5"/>
        <v/>
      </c>
      <c r="AP23" s="226">
        <f>IF($B23="","",IFERROR(AO23-(SUMIFS(DATA_GOC!$H:$H,DATA_GOC!$A:$A,"BOM",DATA_GOC!$D:$D,$B23,DATA_GOC!$F:$F,"Xuất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-0.5773420479</v>
      </c>
      <c r="AQ23" s="59">
        <v>1.0</v>
      </c>
      <c r="AR23" s="59">
        <v>2026.0</v>
      </c>
      <c r="AS23" s="59" t="s">
        <v>96</v>
      </c>
      <c r="AT23" s="59">
        <v>3247.558</v>
      </c>
      <c r="AU23" s="59">
        <v>0.0</v>
      </c>
      <c r="AV23" s="59">
        <v>3247.558</v>
      </c>
      <c r="AW23" s="59">
        <v>6866.0</v>
      </c>
      <c r="AX23" s="59">
        <v>47.2991261287504</v>
      </c>
      <c r="AY23" s="59">
        <v>1650.56</v>
      </c>
      <c r="AZ23" s="59">
        <v>1596.998</v>
      </c>
      <c r="BA23" s="59">
        <v>75.56</v>
      </c>
      <c r="BB23" s="59">
        <v>0.0</v>
      </c>
      <c r="BC23" s="59" t="s">
        <v>377</v>
      </c>
    </row>
    <row r="24" ht="16.5" customHeight="1">
      <c r="A24" s="220">
        <f t="shared" si="1"/>
        <v>20</v>
      </c>
      <c r="B24" s="221" t="str">
        <f t="array" ref="B24">IFERROR(INDEX(DANH_MUC!$E:$E,ROW()-1),"")</f>
        <v>28C03652</v>
      </c>
      <c r="C24" s="222">
        <f>IF($B24="","",IF(C$4&gt;DAY(EOMONTH(DATE($D$2,$B$2,1),0)),"",SUMIFS(DATA_GOC!$H:$H,DATA_GOC!$A:$A,"BOM",DATA_GOC!$D:$D,$B24,DATA_GOC!$F:$F,"Xuất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4" s="222">
        <f>IF($B24="","",IF(D$4&gt;DAY(EOMONTH(DATE($D$2,$B$2,1),0)),"",SUMIFS(DATA_GOC!$H:$H,DATA_GOC!$A:$A,"BOM",DATA_GOC!$D:$D,$B24,DATA_GOC!$F:$F,"Xuất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4" s="222">
        <f>IF($B24="","",IF(E$4&gt;DAY(EOMONTH(DATE($D$2,$B$2,1),0)),"",SUMIFS(DATA_GOC!$H:$H,DATA_GOC!$A:$A,"BOM",DATA_GOC!$D:$D,$B24,DATA_GOC!$F:$F,"Xuất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4" s="222">
        <f>IF($B24="","",IF(F$4&gt;DAY(EOMONTH(DATE($D$2,$B$2,1),0)),"",SUMIFS(DATA_GOC!$H:$H,DATA_GOC!$A:$A,"BOM",DATA_GOC!$D:$D,$B24,DATA_GOC!$F:$F,"Xuất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24" s="222">
        <f>IF($B24="","",IF(G$4&gt;DAY(EOMONTH(DATE($D$2,$B$2,1),0)),"",SUMIFS(DATA_GOC!$H:$H,DATA_GOC!$A:$A,"BOM",DATA_GOC!$D:$D,$B24,DATA_GOC!$F:$F,"Xuất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4" s="222">
        <f>IF($B24="","",IF(H$4&gt;DAY(EOMONTH(DATE($D$2,$B$2,1),0)),"",SUMIFS(DATA_GOC!$H:$H,DATA_GOC!$A:$A,"BOM",DATA_GOC!$D:$D,$B24,DATA_GOC!$F:$F,"Xuất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4" s="222">
        <f>IF($B24="","",IF(I$4&gt;DAY(EOMONTH(DATE($D$2,$B$2,1),0)),"",SUMIFS(DATA_GOC!$H:$H,DATA_GOC!$A:$A,"BOM",DATA_GOC!$D:$D,$B24,DATA_GOC!$F:$F,"Xuất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4" s="222">
        <f>IF($B24="","",IF(J$4&gt;DAY(EOMONTH(DATE($D$2,$B$2,1),0)),"",SUMIFS(DATA_GOC!$H:$H,DATA_GOC!$A:$A,"BOM",DATA_GOC!$D:$D,$B24,DATA_GOC!$F:$F,"Xuất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4" s="222">
        <f>IF($B24="","",IF(K$4&gt;DAY(EOMONTH(DATE($D$2,$B$2,1),0)),"",SUMIFS(DATA_GOC!$H:$H,DATA_GOC!$A:$A,"BOM",DATA_GOC!$D:$D,$B24,DATA_GOC!$F:$F,"Xuất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4" s="222">
        <f>IF($B24="","",IF(L$4&gt;DAY(EOMONTH(DATE($D$2,$B$2,1),0)),"",SUMIFS(DATA_GOC!$H:$H,DATA_GOC!$A:$A,"BOM",DATA_GOC!$D:$D,$B24,DATA_GOC!$F:$F,"Xuất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4" s="222">
        <f>IF($B24="","",IF(M$4&gt;DAY(EOMONTH(DATE($D$2,$B$2,1),0)),"",SUMIFS(DATA_GOC!$H:$H,DATA_GOC!$A:$A,"BOM",DATA_GOC!$D:$D,$B24,DATA_GOC!$F:$F,"Xuất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4" s="222">
        <f>IF($B24="","",IF(N$4&gt;DAY(EOMONTH(DATE($D$2,$B$2,1),0)),"",SUMIFS(DATA_GOC!$H:$H,DATA_GOC!$A:$A,"BOM",DATA_GOC!$D:$D,$B24,DATA_GOC!$F:$F,"Xuất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4" s="222">
        <f>IF($B24="","",IF(O$4&gt;DAY(EOMONTH(DATE($D$2,$B$2,1),0)),"",SUMIFS(DATA_GOC!$H:$H,DATA_GOC!$A:$A,"BOM",DATA_GOC!$D:$D,$B24,DATA_GOC!$F:$F,"Xuất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4" s="222">
        <f>IF($B24="","",IF(P$4&gt;DAY(EOMONTH(DATE($D$2,$B$2,1),0)),"",SUMIFS(DATA_GOC!$H:$H,DATA_GOC!$A:$A,"BOM",DATA_GOC!$D:$D,$B24,DATA_GOC!$F:$F,"Xuất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4" s="222">
        <f>IF($B24="","",IF(Q$4&gt;DAY(EOMONTH(DATE($D$2,$B$2,1),0)),"",SUMIFS(DATA_GOC!$H:$H,DATA_GOC!$A:$A,"BOM",DATA_GOC!$D:$D,$B24,DATA_GOC!$F:$F,"Xuất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4" s="222">
        <f>IF($B24="","",IF(R$4&gt;DAY(EOMONTH(DATE($D$2,$B$2,1),0)),"",SUMIFS(DATA_GOC!$H:$H,DATA_GOC!$A:$A,"BOM",DATA_GOC!$D:$D,$B24,DATA_GOC!$F:$F,"Xuất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4" s="222">
        <f>IF($B24="","",IF(S$4&gt;DAY(EOMONTH(DATE($D$2,$B$2,1),0)),"",SUMIFS(DATA_GOC!$H:$H,DATA_GOC!$A:$A,"BOM",DATA_GOC!$D:$D,$B24,DATA_GOC!$F:$F,"Xuất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4" s="222">
        <f>IF($B24="","",IF(T$4&gt;DAY(EOMONTH(DATE($D$2,$B$2,1),0)),"",SUMIFS(DATA_GOC!$H:$H,DATA_GOC!$A:$A,"BOM",DATA_GOC!$D:$D,$B24,DATA_GOC!$F:$F,"Xuất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4" s="222">
        <f>IF($B24="","",IF(U$4&gt;DAY(EOMONTH(DATE($D$2,$B$2,1),0)),"",SUMIFS(DATA_GOC!$H:$H,DATA_GOC!$A:$A,"BOM",DATA_GOC!$D:$D,$B24,DATA_GOC!$F:$F,"Xuất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4" s="222">
        <f>IF($B24="","",IF(V$4&gt;DAY(EOMONTH(DATE($D$2,$B$2,1),0)),"",SUMIFS(DATA_GOC!$H:$H,DATA_GOC!$A:$A,"BOM",DATA_GOC!$D:$D,$B24,DATA_GOC!$F:$F,"Xuất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4" s="222">
        <f>IF($B24="","",IF(W$4&gt;DAY(EOMONTH(DATE($D$2,$B$2,1),0)),"",SUMIFS(DATA_GOC!$H:$H,DATA_GOC!$A:$A,"BOM",DATA_GOC!$D:$D,$B24,DATA_GOC!$F:$F,"Xuất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4" s="222">
        <f>IF($B24="","",IF(X$4&gt;DAY(EOMONTH(DATE($D$2,$B$2,1),0)),"",SUMIFS(DATA_GOC!$H:$H,DATA_GOC!$A:$A,"BOM",DATA_GOC!$D:$D,$B24,DATA_GOC!$F:$F,"Xuất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4" s="222">
        <f>IF($B24="","",IF(Y$4&gt;DAY(EOMONTH(DATE($D$2,$B$2,1),0)),"",SUMIFS(DATA_GOC!$H:$H,DATA_GOC!$A:$A,"BOM",DATA_GOC!$D:$D,$B24,DATA_GOC!$F:$F,"Xuất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4" s="222">
        <f>IF($B24="","",IF(Z$4&gt;DAY(EOMONTH(DATE($D$2,$B$2,1),0)),"",SUMIFS(DATA_GOC!$H:$H,DATA_GOC!$A:$A,"BOM",DATA_GOC!$D:$D,$B24,DATA_GOC!$F:$F,"Xuất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4" s="222">
        <f>IF($B24="","",IF(AA$4&gt;DAY(EOMONTH(DATE($D$2,$B$2,1),0)),"",SUMIFS(DATA_GOC!$H:$H,DATA_GOC!$A:$A,"BOM",DATA_GOC!$D:$D,$B24,DATA_GOC!$F:$F,"Xuất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4" s="222">
        <f>IF($B24="","",IF(AB$4&gt;DAY(EOMONTH(DATE($D$2,$B$2,1),0)),"",SUMIFS(DATA_GOC!$H:$H,DATA_GOC!$A:$A,"BOM",DATA_GOC!$D:$D,$B24,DATA_GOC!$F:$F,"Xuất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4" s="222">
        <f>IF($B24="","",IF(AC$4&gt;DAY(EOMONTH(DATE($D$2,$B$2,1),0)),"",SUMIFS(DATA_GOC!$H:$H,DATA_GOC!$A:$A,"BOM",DATA_GOC!$D:$D,$B24,DATA_GOC!$F:$F,"Xuất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4" s="222">
        <f>IF($B24="","",IF(AD$4&gt;DAY(EOMONTH(DATE($D$2,$B$2,1),0)),"",SUMIFS(DATA_GOC!$H:$H,DATA_GOC!$A:$A,"BOM",DATA_GOC!$D:$D,$B24,DATA_GOC!$F:$F,"Xuất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4" s="222">
        <f>IF($B24="","",IF(AE$4&gt;DAY(EOMONTH(DATE($D$2,$B$2,1),0)),"",SUMIFS(DATA_GOC!$H:$H,DATA_GOC!$A:$A,"BOM",DATA_GOC!$D:$D,$B24,DATA_GOC!$F:$F,"Xuất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4" s="222">
        <f>IF($B24="","",IF(AF$4&gt;DAY(EOMONTH(DATE($D$2,$B$2,1),0)),"",SUMIFS(DATA_GOC!$H:$H,DATA_GOC!$A:$A,"BOM",DATA_GOC!$D:$D,$B24,DATA_GOC!$F:$F,"Xuất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4" s="222">
        <f>IF($B24="","",IF(AG$4&gt;DAY(EOMONTH(DATE($D$2,$B$2,1),0)),"",SUMIFS(DATA_GOC!$H:$H,DATA_GOC!$A:$A,"BOM",DATA_GOC!$D:$D,$B24,DATA_GOC!$F:$F,"Xuất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4" s="223">
        <f t="shared" si="2"/>
        <v>0</v>
      </c>
      <c r="AI24" s="224">
        <f>IF($B24="","",SUMIFS(DATA_GOC!$H:$H,DATA_GOC!$A:$A,"BOM",DATA_GOC!$D:$D,$B24,DATA_GOC!$F:$F,"Bơm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4" s="224">
        <f>IF($B24="","",SUMIFS(TINH_TEC!$K$233:$K$9232,TINH_TEC!$H$233:$H$9232,$B24,TINH_TEC!$F$233:$F$9232,$B$2,TINH_TEC!$G$233:$G$9232,$D$2,TINH_TEC!$B$233:$B$9232,"Đã chốt"))</f>
        <v>0</v>
      </c>
      <c r="AK24" s="224">
        <f>IF($B24="","",SUMIFS(TINH_TEC!$J$233:$J$9232,TINH_TEC!$H$233:$H$9232,$B24,TINH_TEC!$F$233:$F$9232,$B$2,TINH_TEC!$G$233:$G$9232,$D$2,TINH_TEC!$B$233:$B$9232,"Đã chốt"))</f>
        <v>12.813</v>
      </c>
      <c r="AL24" s="225">
        <f t="shared" si="3"/>
        <v>12.813</v>
      </c>
      <c r="AM24" s="222">
        <f>IF($B24="","",SUMIFS(DATA_GOC!$K:$K,DATA_GOC!$A:$A,"BOM",DATA_GOC!$D:$D,$B24,DATA_GOC!$G:$G,"DO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24" s="226" t="str">
        <f t="shared" si="4"/>
        <v/>
      </c>
      <c r="AO24" s="227" t="str">
        <f t="shared" si="5"/>
        <v/>
      </c>
      <c r="AP24" s="226">
        <f>IF($B24="","",IFERROR(AO24-(SUMIFS(DATA_GOC!$H:$H,DATA_GOC!$A:$A,"BOM",DATA_GOC!$D:$D,$B24,DATA_GOC!$F:$F,"Xuất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-0.4902624894</v>
      </c>
      <c r="AQ24" s="59">
        <v>1.0</v>
      </c>
      <c r="AR24" s="59">
        <v>2026.0</v>
      </c>
      <c r="AS24" s="59" t="s">
        <v>133</v>
      </c>
      <c r="AT24" s="59">
        <v>298.819</v>
      </c>
      <c r="AU24" s="59">
        <v>0.0</v>
      </c>
      <c r="AV24" s="59">
        <v>298.819</v>
      </c>
      <c r="AY24" s="59">
        <v>0.0</v>
      </c>
      <c r="AZ24" s="59">
        <v>298.819</v>
      </c>
      <c r="BA24" s="59">
        <v>0.0</v>
      </c>
      <c r="BB24" s="59">
        <v>0.0</v>
      </c>
      <c r="BC24" s="59" t="s">
        <v>378</v>
      </c>
    </row>
    <row r="25" ht="16.5" customHeight="1">
      <c r="A25" s="220">
        <f t="shared" si="1"/>
        <v>21</v>
      </c>
      <c r="B25" s="221" t="str">
        <f t="array" ref="B25">IFERROR(INDEX(DANH_MUC!$E:$E,ROW()-1),"")</f>
        <v>28C03695</v>
      </c>
      <c r="C25" s="222">
        <f>IF($B25="","",IF(C$4&gt;DAY(EOMONTH(DATE($D$2,$B$2,1),0)),"",SUMIFS(DATA_GOC!$H:$H,DATA_GOC!$A:$A,"BOM",DATA_GOC!$D:$D,$B25,DATA_GOC!$F:$F,"Xuất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5" s="222">
        <f>IF($B25="","",IF(D$4&gt;DAY(EOMONTH(DATE($D$2,$B$2,1),0)),"",SUMIFS(DATA_GOC!$H:$H,DATA_GOC!$A:$A,"BOM",DATA_GOC!$D:$D,$B25,DATA_GOC!$F:$F,"Xuất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5" s="222">
        <f>IF($B25="","",IF(E$4&gt;DAY(EOMONTH(DATE($D$2,$B$2,1),0)),"",SUMIFS(DATA_GOC!$H:$H,DATA_GOC!$A:$A,"BOM",DATA_GOC!$D:$D,$B25,DATA_GOC!$F:$F,"Xuất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5" s="222">
        <f>IF($B25="","",IF(F$4&gt;DAY(EOMONTH(DATE($D$2,$B$2,1),0)),"",SUMIFS(DATA_GOC!$H:$H,DATA_GOC!$A:$A,"BOM",DATA_GOC!$D:$D,$B25,DATA_GOC!$F:$F,"Xuất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25" s="222">
        <f>IF($B25="","",IF(G$4&gt;DAY(EOMONTH(DATE($D$2,$B$2,1),0)),"",SUMIFS(DATA_GOC!$H:$H,DATA_GOC!$A:$A,"BOM",DATA_GOC!$D:$D,$B25,DATA_GOC!$F:$F,"Xuất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5" s="222">
        <f>IF($B25="","",IF(H$4&gt;DAY(EOMONTH(DATE($D$2,$B$2,1),0)),"",SUMIFS(DATA_GOC!$H:$H,DATA_GOC!$A:$A,"BOM",DATA_GOC!$D:$D,$B25,DATA_GOC!$F:$F,"Xuất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5" s="222">
        <f>IF($B25="","",IF(I$4&gt;DAY(EOMONTH(DATE($D$2,$B$2,1),0)),"",SUMIFS(DATA_GOC!$H:$H,DATA_GOC!$A:$A,"BOM",DATA_GOC!$D:$D,$B25,DATA_GOC!$F:$F,"Xuất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5" s="222">
        <f>IF($B25="","",IF(J$4&gt;DAY(EOMONTH(DATE($D$2,$B$2,1),0)),"",SUMIFS(DATA_GOC!$H:$H,DATA_GOC!$A:$A,"BOM",DATA_GOC!$D:$D,$B25,DATA_GOC!$F:$F,"Xuất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5" s="222">
        <f>IF($B25="","",IF(K$4&gt;DAY(EOMONTH(DATE($D$2,$B$2,1),0)),"",SUMIFS(DATA_GOC!$H:$H,DATA_GOC!$A:$A,"BOM",DATA_GOC!$D:$D,$B25,DATA_GOC!$F:$F,"Xuất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5" s="222">
        <f>IF($B25="","",IF(L$4&gt;DAY(EOMONTH(DATE($D$2,$B$2,1),0)),"",SUMIFS(DATA_GOC!$H:$H,DATA_GOC!$A:$A,"BOM",DATA_GOC!$D:$D,$B25,DATA_GOC!$F:$F,"Xuất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5" s="222">
        <f>IF($B25="","",IF(M$4&gt;DAY(EOMONTH(DATE($D$2,$B$2,1),0)),"",SUMIFS(DATA_GOC!$H:$H,DATA_GOC!$A:$A,"BOM",DATA_GOC!$D:$D,$B25,DATA_GOC!$F:$F,"Xuất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5" s="222">
        <f>IF($B25="","",IF(N$4&gt;DAY(EOMONTH(DATE($D$2,$B$2,1),0)),"",SUMIFS(DATA_GOC!$H:$H,DATA_GOC!$A:$A,"BOM",DATA_GOC!$D:$D,$B25,DATA_GOC!$F:$F,"Xuất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5" s="222">
        <f>IF($B25="","",IF(O$4&gt;DAY(EOMONTH(DATE($D$2,$B$2,1),0)),"",SUMIFS(DATA_GOC!$H:$H,DATA_GOC!$A:$A,"BOM",DATA_GOC!$D:$D,$B25,DATA_GOC!$F:$F,"Xuất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5" s="222">
        <f>IF($B25="","",IF(P$4&gt;DAY(EOMONTH(DATE($D$2,$B$2,1),0)),"",SUMIFS(DATA_GOC!$H:$H,DATA_GOC!$A:$A,"BOM",DATA_GOC!$D:$D,$B25,DATA_GOC!$F:$F,"Xuất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5" s="222">
        <f>IF($B25="","",IF(Q$4&gt;DAY(EOMONTH(DATE($D$2,$B$2,1),0)),"",SUMIFS(DATA_GOC!$H:$H,DATA_GOC!$A:$A,"BOM",DATA_GOC!$D:$D,$B25,DATA_GOC!$F:$F,"Xuất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5" s="222">
        <f>IF($B25="","",IF(R$4&gt;DAY(EOMONTH(DATE($D$2,$B$2,1),0)),"",SUMIFS(DATA_GOC!$H:$H,DATA_GOC!$A:$A,"BOM",DATA_GOC!$D:$D,$B25,DATA_GOC!$F:$F,"Xuất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5" s="222">
        <f>IF($B25="","",IF(S$4&gt;DAY(EOMONTH(DATE($D$2,$B$2,1),0)),"",SUMIFS(DATA_GOC!$H:$H,DATA_GOC!$A:$A,"BOM",DATA_GOC!$D:$D,$B25,DATA_GOC!$F:$F,"Xuất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5" s="222">
        <f>IF($B25="","",IF(T$4&gt;DAY(EOMONTH(DATE($D$2,$B$2,1),0)),"",SUMIFS(DATA_GOC!$H:$H,DATA_GOC!$A:$A,"BOM",DATA_GOC!$D:$D,$B25,DATA_GOC!$F:$F,"Xuất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5" s="222">
        <f>IF($B25="","",IF(U$4&gt;DAY(EOMONTH(DATE($D$2,$B$2,1),0)),"",SUMIFS(DATA_GOC!$H:$H,DATA_GOC!$A:$A,"BOM",DATA_GOC!$D:$D,$B25,DATA_GOC!$F:$F,"Xuất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5" s="222">
        <f>IF($B25="","",IF(V$4&gt;DAY(EOMONTH(DATE($D$2,$B$2,1),0)),"",SUMIFS(DATA_GOC!$H:$H,DATA_GOC!$A:$A,"BOM",DATA_GOC!$D:$D,$B25,DATA_GOC!$F:$F,"Xuất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5" s="222">
        <f>IF($B25="","",IF(W$4&gt;DAY(EOMONTH(DATE($D$2,$B$2,1),0)),"",SUMIFS(DATA_GOC!$H:$H,DATA_GOC!$A:$A,"BOM",DATA_GOC!$D:$D,$B25,DATA_GOC!$F:$F,"Xuất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5" s="222">
        <f>IF($B25="","",IF(X$4&gt;DAY(EOMONTH(DATE($D$2,$B$2,1),0)),"",SUMIFS(DATA_GOC!$H:$H,DATA_GOC!$A:$A,"BOM",DATA_GOC!$D:$D,$B25,DATA_GOC!$F:$F,"Xuất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5" s="222">
        <f>IF($B25="","",IF(Y$4&gt;DAY(EOMONTH(DATE($D$2,$B$2,1),0)),"",SUMIFS(DATA_GOC!$H:$H,DATA_GOC!$A:$A,"BOM",DATA_GOC!$D:$D,$B25,DATA_GOC!$F:$F,"Xuất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5" s="222">
        <f>IF($B25="","",IF(Z$4&gt;DAY(EOMONTH(DATE($D$2,$B$2,1),0)),"",SUMIFS(DATA_GOC!$H:$H,DATA_GOC!$A:$A,"BOM",DATA_GOC!$D:$D,$B25,DATA_GOC!$F:$F,"Xuất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5" s="222">
        <f>IF($B25="","",IF(AA$4&gt;DAY(EOMONTH(DATE($D$2,$B$2,1),0)),"",SUMIFS(DATA_GOC!$H:$H,DATA_GOC!$A:$A,"BOM",DATA_GOC!$D:$D,$B25,DATA_GOC!$F:$F,"Xuất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5" s="222">
        <f>IF($B25="","",IF(AB$4&gt;DAY(EOMONTH(DATE($D$2,$B$2,1),0)),"",SUMIFS(DATA_GOC!$H:$H,DATA_GOC!$A:$A,"BOM",DATA_GOC!$D:$D,$B25,DATA_GOC!$F:$F,"Xuất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5" s="222">
        <f>IF($B25="","",IF(AC$4&gt;DAY(EOMONTH(DATE($D$2,$B$2,1),0)),"",SUMIFS(DATA_GOC!$H:$H,DATA_GOC!$A:$A,"BOM",DATA_GOC!$D:$D,$B25,DATA_GOC!$F:$F,"Xuất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5" s="222">
        <f>IF($B25="","",IF(AD$4&gt;DAY(EOMONTH(DATE($D$2,$B$2,1),0)),"",SUMIFS(DATA_GOC!$H:$H,DATA_GOC!$A:$A,"BOM",DATA_GOC!$D:$D,$B25,DATA_GOC!$F:$F,"Xuất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5" s="222">
        <f>IF($B25="","",IF(AE$4&gt;DAY(EOMONTH(DATE($D$2,$B$2,1),0)),"",SUMIFS(DATA_GOC!$H:$H,DATA_GOC!$A:$A,"BOM",DATA_GOC!$D:$D,$B25,DATA_GOC!$F:$F,"Xuất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5" s="222">
        <f>IF($B25="","",IF(AF$4&gt;DAY(EOMONTH(DATE($D$2,$B$2,1),0)),"",SUMIFS(DATA_GOC!$H:$H,DATA_GOC!$A:$A,"BOM",DATA_GOC!$D:$D,$B25,DATA_GOC!$F:$F,"Xuất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5" s="222">
        <f>IF($B25="","",IF(AG$4&gt;DAY(EOMONTH(DATE($D$2,$B$2,1),0)),"",SUMIFS(DATA_GOC!$H:$H,DATA_GOC!$A:$A,"BOM",DATA_GOC!$D:$D,$B25,DATA_GOC!$F:$F,"Xuất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5" s="223">
        <f t="shared" si="2"/>
        <v>0</v>
      </c>
      <c r="AI25" s="224">
        <f>IF($B25="","",SUMIFS(DATA_GOC!$H:$H,DATA_GOC!$A:$A,"BOM",DATA_GOC!$D:$D,$B25,DATA_GOC!$F:$F,"Bơm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5" s="224">
        <f>IF($B25="","",SUMIFS(TINH_TEC!$K$233:$K$9232,TINH_TEC!$H$233:$H$9232,$B25,TINH_TEC!$F$233:$F$9232,$B$2,TINH_TEC!$G$233:$G$9232,$D$2,TINH_TEC!$B$233:$B$9232,"Đã chốt"))</f>
        <v>0</v>
      </c>
      <c r="AK25" s="224">
        <f>IF($B25="","",SUMIFS(TINH_TEC!$J$233:$J$9232,TINH_TEC!$H$233:$H$9232,$B25,TINH_TEC!$F$233:$F$9232,$B$2,TINH_TEC!$G$233:$G$9232,$D$2,TINH_TEC!$B$233:$B$9232,"Đã chốt"))</f>
        <v>7.397</v>
      </c>
      <c r="AL25" s="225">
        <f t="shared" si="3"/>
        <v>7.397</v>
      </c>
      <c r="AM25" s="222">
        <f>IF($B25="","",SUMIFS(DATA_GOC!$K:$K,DATA_GOC!$A:$A,"BOM",DATA_GOC!$D:$D,$B25,DATA_GOC!$G:$G,"DO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25" s="226" t="str">
        <f t="shared" si="4"/>
        <v/>
      </c>
      <c r="AO25" s="227" t="str">
        <f t="shared" si="5"/>
        <v/>
      </c>
      <c r="AP25" s="226">
        <f>IF($B25="","",IFERROR(AO25-(SUMIFS(DATA_GOC!$H:$H,DATA_GOC!$A:$A,"BOM",DATA_GOC!$D:$D,$B25,DATA_GOC!$F:$F,"Xuất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-0.3622392975</v>
      </c>
      <c r="AQ25" s="59">
        <v>1.0</v>
      </c>
      <c r="AR25" s="59">
        <v>2026.0</v>
      </c>
      <c r="AS25" s="59" t="s">
        <v>117</v>
      </c>
      <c r="AT25" s="59">
        <v>1321.475</v>
      </c>
      <c r="AU25" s="59">
        <v>0.0</v>
      </c>
      <c r="AV25" s="59">
        <v>1321.475</v>
      </c>
      <c r="AW25" s="59">
        <v>98.6999999999998</v>
      </c>
      <c r="AX25" s="59">
        <v>1338.88044579534</v>
      </c>
      <c r="AY25" s="59">
        <v>476.63</v>
      </c>
      <c r="AZ25" s="59">
        <v>844.845</v>
      </c>
      <c r="BA25" s="59">
        <v>17.63</v>
      </c>
      <c r="BB25" s="59">
        <v>0.0</v>
      </c>
      <c r="BC25" s="59" t="s">
        <v>379</v>
      </c>
    </row>
    <row r="26" ht="16.5" customHeight="1">
      <c r="A26" s="220">
        <f t="shared" si="1"/>
        <v>22</v>
      </c>
      <c r="B26" s="221" t="str">
        <f t="array" ref="B26">IFERROR(INDEX(DANH_MUC!$E:$E,ROW()-1),"")</f>
        <v>28C03927</v>
      </c>
      <c r="C26" s="222">
        <f>IF($B26="","",IF(C$4&gt;DAY(EOMONTH(DATE($D$2,$B$2,1),0)),"",SUMIFS(DATA_GOC!$H:$H,DATA_GOC!$A:$A,"BOM",DATA_GOC!$D:$D,$B26,DATA_GOC!$F:$F,"Xuất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6" s="222">
        <f>IF($B26="","",IF(D$4&gt;DAY(EOMONTH(DATE($D$2,$B$2,1),0)),"",SUMIFS(DATA_GOC!$H:$H,DATA_GOC!$A:$A,"BOM",DATA_GOC!$D:$D,$B26,DATA_GOC!$F:$F,"Xuất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6" s="222">
        <f>IF($B26="","",IF(E$4&gt;DAY(EOMONTH(DATE($D$2,$B$2,1),0)),"",SUMIFS(DATA_GOC!$H:$H,DATA_GOC!$A:$A,"BOM",DATA_GOC!$D:$D,$B26,DATA_GOC!$F:$F,"Xuất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6" s="222">
        <f>IF($B26="","",IF(F$4&gt;DAY(EOMONTH(DATE($D$2,$B$2,1),0)),"",SUMIFS(DATA_GOC!$H:$H,DATA_GOC!$A:$A,"BOM",DATA_GOC!$D:$D,$B26,DATA_GOC!$F:$F,"Xuất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26" s="222">
        <f>IF($B26="","",IF(G$4&gt;DAY(EOMONTH(DATE($D$2,$B$2,1),0)),"",SUMIFS(DATA_GOC!$H:$H,DATA_GOC!$A:$A,"BOM",DATA_GOC!$D:$D,$B26,DATA_GOC!$F:$F,"Xuất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6" s="222">
        <f>IF($B26="","",IF(H$4&gt;DAY(EOMONTH(DATE($D$2,$B$2,1),0)),"",SUMIFS(DATA_GOC!$H:$H,DATA_GOC!$A:$A,"BOM",DATA_GOC!$D:$D,$B26,DATA_GOC!$F:$F,"Xuất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6" s="222">
        <f>IF($B26="","",IF(I$4&gt;DAY(EOMONTH(DATE($D$2,$B$2,1),0)),"",SUMIFS(DATA_GOC!$H:$H,DATA_GOC!$A:$A,"BOM",DATA_GOC!$D:$D,$B26,DATA_GOC!$F:$F,"Xuất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6" s="222">
        <f>IF($B26="","",IF(J$4&gt;DAY(EOMONTH(DATE($D$2,$B$2,1),0)),"",SUMIFS(DATA_GOC!$H:$H,DATA_GOC!$A:$A,"BOM",DATA_GOC!$D:$D,$B26,DATA_GOC!$F:$F,"Xuất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6" s="222">
        <f>IF($B26="","",IF(K$4&gt;DAY(EOMONTH(DATE($D$2,$B$2,1),0)),"",SUMIFS(DATA_GOC!$H:$H,DATA_GOC!$A:$A,"BOM",DATA_GOC!$D:$D,$B26,DATA_GOC!$F:$F,"Xuất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6" s="222">
        <f>IF($B26="","",IF(L$4&gt;DAY(EOMONTH(DATE($D$2,$B$2,1),0)),"",SUMIFS(DATA_GOC!$H:$H,DATA_GOC!$A:$A,"BOM",DATA_GOC!$D:$D,$B26,DATA_GOC!$F:$F,"Xuất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6" s="222">
        <f>IF($B26="","",IF(M$4&gt;DAY(EOMONTH(DATE($D$2,$B$2,1),0)),"",SUMIFS(DATA_GOC!$H:$H,DATA_GOC!$A:$A,"BOM",DATA_GOC!$D:$D,$B26,DATA_GOC!$F:$F,"Xuất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6" s="222">
        <f>IF($B26="","",IF(N$4&gt;DAY(EOMONTH(DATE($D$2,$B$2,1),0)),"",SUMIFS(DATA_GOC!$H:$H,DATA_GOC!$A:$A,"BOM",DATA_GOC!$D:$D,$B26,DATA_GOC!$F:$F,"Xuất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6" s="222">
        <f>IF($B26="","",IF(O$4&gt;DAY(EOMONTH(DATE($D$2,$B$2,1),0)),"",SUMIFS(DATA_GOC!$H:$H,DATA_GOC!$A:$A,"BOM",DATA_GOC!$D:$D,$B26,DATA_GOC!$F:$F,"Xuất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6" s="222">
        <f>IF($B26="","",IF(P$4&gt;DAY(EOMONTH(DATE($D$2,$B$2,1),0)),"",SUMIFS(DATA_GOC!$H:$H,DATA_GOC!$A:$A,"BOM",DATA_GOC!$D:$D,$B26,DATA_GOC!$F:$F,"Xuất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6" s="222">
        <f>IF($B26="","",IF(Q$4&gt;DAY(EOMONTH(DATE($D$2,$B$2,1),0)),"",SUMIFS(DATA_GOC!$H:$H,DATA_GOC!$A:$A,"BOM",DATA_GOC!$D:$D,$B26,DATA_GOC!$F:$F,"Xuất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6" s="222">
        <f>IF($B26="","",IF(R$4&gt;DAY(EOMONTH(DATE($D$2,$B$2,1),0)),"",SUMIFS(DATA_GOC!$H:$H,DATA_GOC!$A:$A,"BOM",DATA_GOC!$D:$D,$B26,DATA_GOC!$F:$F,"Xuất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6" s="222">
        <f>IF($B26="","",IF(S$4&gt;DAY(EOMONTH(DATE($D$2,$B$2,1),0)),"",SUMIFS(DATA_GOC!$H:$H,DATA_GOC!$A:$A,"BOM",DATA_GOC!$D:$D,$B26,DATA_GOC!$F:$F,"Xuất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6" s="222">
        <f>IF($B26="","",IF(T$4&gt;DAY(EOMONTH(DATE($D$2,$B$2,1),0)),"",SUMIFS(DATA_GOC!$H:$H,DATA_GOC!$A:$A,"BOM",DATA_GOC!$D:$D,$B26,DATA_GOC!$F:$F,"Xuất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6" s="222">
        <f>IF($B26="","",IF(U$4&gt;DAY(EOMONTH(DATE($D$2,$B$2,1),0)),"",SUMIFS(DATA_GOC!$H:$H,DATA_GOC!$A:$A,"BOM",DATA_GOC!$D:$D,$B26,DATA_GOC!$F:$F,"Xuất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6" s="222">
        <f>IF($B26="","",IF(V$4&gt;DAY(EOMONTH(DATE($D$2,$B$2,1),0)),"",SUMIFS(DATA_GOC!$H:$H,DATA_GOC!$A:$A,"BOM",DATA_GOC!$D:$D,$B26,DATA_GOC!$F:$F,"Xuất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6" s="222">
        <f>IF($B26="","",IF(W$4&gt;DAY(EOMONTH(DATE($D$2,$B$2,1),0)),"",SUMIFS(DATA_GOC!$H:$H,DATA_GOC!$A:$A,"BOM",DATA_GOC!$D:$D,$B26,DATA_GOC!$F:$F,"Xuất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6" s="222">
        <f>IF($B26="","",IF(X$4&gt;DAY(EOMONTH(DATE($D$2,$B$2,1),0)),"",SUMIFS(DATA_GOC!$H:$H,DATA_GOC!$A:$A,"BOM",DATA_GOC!$D:$D,$B26,DATA_GOC!$F:$F,"Xuất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6" s="222">
        <f>IF($B26="","",IF(Y$4&gt;DAY(EOMONTH(DATE($D$2,$B$2,1),0)),"",SUMIFS(DATA_GOC!$H:$H,DATA_GOC!$A:$A,"BOM",DATA_GOC!$D:$D,$B26,DATA_GOC!$F:$F,"Xuất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6" s="222">
        <f>IF($B26="","",IF(Z$4&gt;DAY(EOMONTH(DATE($D$2,$B$2,1),0)),"",SUMIFS(DATA_GOC!$H:$H,DATA_GOC!$A:$A,"BOM",DATA_GOC!$D:$D,$B26,DATA_GOC!$F:$F,"Xuất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6" s="222">
        <f>IF($B26="","",IF(AA$4&gt;DAY(EOMONTH(DATE($D$2,$B$2,1),0)),"",SUMIFS(DATA_GOC!$H:$H,DATA_GOC!$A:$A,"BOM",DATA_GOC!$D:$D,$B26,DATA_GOC!$F:$F,"Xuất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6" s="222">
        <f>IF($B26="","",IF(AB$4&gt;DAY(EOMONTH(DATE($D$2,$B$2,1),0)),"",SUMIFS(DATA_GOC!$H:$H,DATA_GOC!$A:$A,"BOM",DATA_GOC!$D:$D,$B26,DATA_GOC!$F:$F,"Xuất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6" s="222">
        <f>IF($B26="","",IF(AC$4&gt;DAY(EOMONTH(DATE($D$2,$B$2,1),0)),"",SUMIFS(DATA_GOC!$H:$H,DATA_GOC!$A:$A,"BOM",DATA_GOC!$D:$D,$B26,DATA_GOC!$F:$F,"Xuất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6" s="222">
        <f>IF($B26="","",IF(AD$4&gt;DAY(EOMONTH(DATE($D$2,$B$2,1),0)),"",SUMIFS(DATA_GOC!$H:$H,DATA_GOC!$A:$A,"BOM",DATA_GOC!$D:$D,$B26,DATA_GOC!$F:$F,"Xuất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6" s="222">
        <f>IF($B26="","",IF(AE$4&gt;DAY(EOMONTH(DATE($D$2,$B$2,1),0)),"",SUMIFS(DATA_GOC!$H:$H,DATA_GOC!$A:$A,"BOM",DATA_GOC!$D:$D,$B26,DATA_GOC!$F:$F,"Xuất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6" s="222">
        <f>IF($B26="","",IF(AF$4&gt;DAY(EOMONTH(DATE($D$2,$B$2,1),0)),"",SUMIFS(DATA_GOC!$H:$H,DATA_GOC!$A:$A,"BOM",DATA_GOC!$D:$D,$B26,DATA_GOC!$F:$F,"Xuất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6" s="222">
        <f>IF($B26="","",IF(AG$4&gt;DAY(EOMONTH(DATE($D$2,$B$2,1),0)),"",SUMIFS(DATA_GOC!$H:$H,DATA_GOC!$A:$A,"BOM",DATA_GOC!$D:$D,$B26,DATA_GOC!$F:$F,"Xuất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6" s="223">
        <f t="shared" si="2"/>
        <v>0</v>
      </c>
      <c r="AI26" s="224">
        <f>IF($B26="","",SUMIFS(DATA_GOC!$H:$H,DATA_GOC!$A:$A,"BOM",DATA_GOC!$D:$D,$B26,DATA_GOC!$F:$F,"Bơm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6" s="224">
        <f>IF($B26="","",SUMIFS(TINH_TEC!$K$233:$K$9232,TINH_TEC!$H$233:$H$9232,$B26,TINH_TEC!$F$233:$F$9232,$B$2,TINH_TEC!$G$233:$G$9232,$D$2,TINH_TEC!$B$233:$B$9232,"Đã chốt"))</f>
        <v>0</v>
      </c>
      <c r="AK26" s="224">
        <f>IF($B26="","",SUMIFS(TINH_TEC!$J$233:$J$9232,TINH_TEC!$H$233:$H$9232,$B26,TINH_TEC!$F$233:$F$9232,$B$2,TINH_TEC!$G$233:$G$9232,$D$2,TINH_TEC!$B$233:$B$9232,"Đã chốt"))</f>
        <v>0</v>
      </c>
      <c r="AL26" s="225">
        <f t="shared" si="3"/>
        <v>0</v>
      </c>
      <c r="AM26" s="222">
        <f>IF($B26="","",SUMIFS(DATA_GOC!$K:$K,DATA_GOC!$A:$A,"BOM",DATA_GOC!$D:$D,$B26,DATA_GOC!$G:$G,"DO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26" s="226" t="str">
        <f t="shared" si="4"/>
        <v/>
      </c>
      <c r="AO26" s="227" t="str">
        <f t="shared" si="5"/>
        <v/>
      </c>
      <c r="AP26" s="226">
        <f>IF($B26="","",IFERROR(AO26-(SUMIFS(DATA_GOC!$H:$H,DATA_GOC!$A:$A,"BOM",DATA_GOC!$D:$D,$B26,DATA_GOC!$F:$F,"Xuất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-0.5294117647</v>
      </c>
      <c r="AQ26" s="59">
        <v>1.0</v>
      </c>
      <c r="AR26" s="59">
        <v>2026.0</v>
      </c>
      <c r="AS26" s="59" t="s">
        <v>136</v>
      </c>
      <c r="AT26" s="59">
        <v>266.644</v>
      </c>
      <c r="AU26" s="59">
        <v>0.0</v>
      </c>
      <c r="AV26" s="59">
        <v>266.644</v>
      </c>
      <c r="AW26" s="59">
        <v>3572.0</v>
      </c>
      <c r="AX26" s="59">
        <v>7.46483762597984</v>
      </c>
      <c r="AY26" s="59">
        <v>120.45</v>
      </c>
      <c r="AZ26" s="59">
        <v>146.194</v>
      </c>
      <c r="BA26" s="59">
        <v>4.45</v>
      </c>
      <c r="BB26" s="59">
        <v>0.0</v>
      </c>
      <c r="BC26" s="59" t="s">
        <v>380</v>
      </c>
    </row>
    <row r="27" ht="16.5" customHeight="1">
      <c r="A27" s="220">
        <f t="shared" si="1"/>
        <v>23</v>
      </c>
      <c r="B27" s="221" t="str">
        <f t="array" ref="B27">IFERROR(INDEX(DANH_MUC!$E:$E,ROW()-1),"")</f>
        <v>28C04509</v>
      </c>
      <c r="C27" s="222">
        <f>IF($B27="","",IF(C$4&gt;DAY(EOMONTH(DATE($D$2,$B$2,1),0)),"",SUMIFS(DATA_GOC!$H:$H,DATA_GOC!$A:$A,"BOM",DATA_GOC!$D:$D,$B27,DATA_GOC!$F:$F,"Xuất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7" s="222">
        <f>IF($B27="","",IF(D$4&gt;DAY(EOMONTH(DATE($D$2,$B$2,1),0)),"",SUMIFS(DATA_GOC!$H:$H,DATA_GOC!$A:$A,"BOM",DATA_GOC!$D:$D,$B27,DATA_GOC!$F:$F,"Xuất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7" s="222">
        <f>IF($B27="","",IF(E$4&gt;DAY(EOMONTH(DATE($D$2,$B$2,1),0)),"",SUMIFS(DATA_GOC!$H:$H,DATA_GOC!$A:$A,"BOM",DATA_GOC!$D:$D,$B27,DATA_GOC!$F:$F,"Xuất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7" s="222">
        <f>IF($B27="","",IF(F$4&gt;DAY(EOMONTH(DATE($D$2,$B$2,1),0)),"",SUMIFS(DATA_GOC!$H:$H,DATA_GOC!$A:$A,"BOM",DATA_GOC!$D:$D,$B27,DATA_GOC!$F:$F,"Xuất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63</v>
      </c>
      <c r="G27" s="222">
        <f>IF($B27="","",IF(G$4&gt;DAY(EOMONTH(DATE($D$2,$B$2,1),0)),"",SUMIFS(DATA_GOC!$H:$H,DATA_GOC!$A:$A,"BOM",DATA_GOC!$D:$D,$B27,DATA_GOC!$F:$F,"Xuất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7" s="222">
        <f>IF($B27="","",IF(H$4&gt;DAY(EOMONTH(DATE($D$2,$B$2,1),0)),"",SUMIFS(DATA_GOC!$H:$H,DATA_GOC!$A:$A,"BOM",DATA_GOC!$D:$D,$B27,DATA_GOC!$F:$F,"Xuất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7" s="222">
        <f>IF($B27="","",IF(I$4&gt;DAY(EOMONTH(DATE($D$2,$B$2,1),0)),"",SUMIFS(DATA_GOC!$H:$H,DATA_GOC!$A:$A,"BOM",DATA_GOC!$D:$D,$B27,DATA_GOC!$F:$F,"Xuất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7" s="222">
        <f>IF($B27="","",IF(J$4&gt;DAY(EOMONTH(DATE($D$2,$B$2,1),0)),"",SUMIFS(DATA_GOC!$H:$H,DATA_GOC!$A:$A,"BOM",DATA_GOC!$D:$D,$B27,DATA_GOC!$F:$F,"Xuất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7" s="222">
        <f>IF($B27="","",IF(K$4&gt;DAY(EOMONTH(DATE($D$2,$B$2,1),0)),"",SUMIFS(DATA_GOC!$H:$H,DATA_GOC!$A:$A,"BOM",DATA_GOC!$D:$D,$B27,DATA_GOC!$F:$F,"Xuất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7" s="222">
        <f>IF($B27="","",IF(L$4&gt;DAY(EOMONTH(DATE($D$2,$B$2,1),0)),"",SUMIFS(DATA_GOC!$H:$H,DATA_GOC!$A:$A,"BOM",DATA_GOC!$D:$D,$B27,DATA_GOC!$F:$F,"Xuất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7" s="222">
        <f>IF($B27="","",IF(M$4&gt;DAY(EOMONTH(DATE($D$2,$B$2,1),0)),"",SUMIFS(DATA_GOC!$H:$H,DATA_GOC!$A:$A,"BOM",DATA_GOC!$D:$D,$B27,DATA_GOC!$F:$F,"Xuất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7" s="222">
        <f>IF($B27="","",IF(N$4&gt;DAY(EOMONTH(DATE($D$2,$B$2,1),0)),"",SUMIFS(DATA_GOC!$H:$H,DATA_GOC!$A:$A,"BOM",DATA_GOC!$D:$D,$B27,DATA_GOC!$F:$F,"Xuất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7" s="222">
        <f>IF($B27="","",IF(O$4&gt;DAY(EOMONTH(DATE($D$2,$B$2,1),0)),"",SUMIFS(DATA_GOC!$H:$H,DATA_GOC!$A:$A,"BOM",DATA_GOC!$D:$D,$B27,DATA_GOC!$F:$F,"Xuất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7" s="222">
        <f>IF($B27="","",IF(P$4&gt;DAY(EOMONTH(DATE($D$2,$B$2,1),0)),"",SUMIFS(DATA_GOC!$H:$H,DATA_GOC!$A:$A,"BOM",DATA_GOC!$D:$D,$B27,DATA_GOC!$F:$F,"Xuất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7" s="222">
        <f>IF($B27="","",IF(Q$4&gt;DAY(EOMONTH(DATE($D$2,$B$2,1),0)),"",SUMIFS(DATA_GOC!$H:$H,DATA_GOC!$A:$A,"BOM",DATA_GOC!$D:$D,$B27,DATA_GOC!$F:$F,"Xuất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7" s="222">
        <f>IF($B27="","",IF(R$4&gt;DAY(EOMONTH(DATE($D$2,$B$2,1),0)),"",SUMIFS(DATA_GOC!$H:$H,DATA_GOC!$A:$A,"BOM",DATA_GOC!$D:$D,$B27,DATA_GOC!$F:$F,"Xuất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7" s="222">
        <f>IF($B27="","",IF(S$4&gt;DAY(EOMONTH(DATE($D$2,$B$2,1),0)),"",SUMIFS(DATA_GOC!$H:$H,DATA_GOC!$A:$A,"BOM",DATA_GOC!$D:$D,$B27,DATA_GOC!$F:$F,"Xuất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7" s="222">
        <f>IF($B27="","",IF(T$4&gt;DAY(EOMONTH(DATE($D$2,$B$2,1),0)),"",SUMIFS(DATA_GOC!$H:$H,DATA_GOC!$A:$A,"BOM",DATA_GOC!$D:$D,$B27,DATA_GOC!$F:$F,"Xuất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7" s="222">
        <f>IF($B27="","",IF(U$4&gt;DAY(EOMONTH(DATE($D$2,$B$2,1),0)),"",SUMIFS(DATA_GOC!$H:$H,DATA_GOC!$A:$A,"BOM",DATA_GOC!$D:$D,$B27,DATA_GOC!$F:$F,"Xuất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7" s="222">
        <f>IF($B27="","",IF(V$4&gt;DAY(EOMONTH(DATE($D$2,$B$2,1),0)),"",SUMIFS(DATA_GOC!$H:$H,DATA_GOC!$A:$A,"BOM",DATA_GOC!$D:$D,$B27,DATA_GOC!$F:$F,"Xuất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7" s="222">
        <f>IF($B27="","",IF(W$4&gt;DAY(EOMONTH(DATE($D$2,$B$2,1),0)),"",SUMIFS(DATA_GOC!$H:$H,DATA_GOC!$A:$A,"BOM",DATA_GOC!$D:$D,$B27,DATA_GOC!$F:$F,"Xuất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7" s="222">
        <f>IF($B27="","",IF(X$4&gt;DAY(EOMONTH(DATE($D$2,$B$2,1),0)),"",SUMIFS(DATA_GOC!$H:$H,DATA_GOC!$A:$A,"BOM",DATA_GOC!$D:$D,$B27,DATA_GOC!$F:$F,"Xuất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7" s="222">
        <f>IF($B27="","",IF(Y$4&gt;DAY(EOMONTH(DATE($D$2,$B$2,1),0)),"",SUMIFS(DATA_GOC!$H:$H,DATA_GOC!$A:$A,"BOM",DATA_GOC!$D:$D,$B27,DATA_GOC!$F:$F,"Xuất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7" s="222">
        <f>IF($B27="","",IF(Z$4&gt;DAY(EOMONTH(DATE($D$2,$B$2,1),0)),"",SUMIFS(DATA_GOC!$H:$H,DATA_GOC!$A:$A,"BOM",DATA_GOC!$D:$D,$B27,DATA_GOC!$F:$F,"Xuất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7" s="222">
        <f>IF($B27="","",IF(AA$4&gt;DAY(EOMONTH(DATE($D$2,$B$2,1),0)),"",SUMIFS(DATA_GOC!$H:$H,DATA_GOC!$A:$A,"BOM",DATA_GOC!$D:$D,$B27,DATA_GOC!$F:$F,"Xuất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7" s="222">
        <f>IF($B27="","",IF(AB$4&gt;DAY(EOMONTH(DATE($D$2,$B$2,1),0)),"",SUMIFS(DATA_GOC!$H:$H,DATA_GOC!$A:$A,"BOM",DATA_GOC!$D:$D,$B27,DATA_GOC!$F:$F,"Xuất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7" s="222">
        <f>IF($B27="","",IF(AC$4&gt;DAY(EOMONTH(DATE($D$2,$B$2,1),0)),"",SUMIFS(DATA_GOC!$H:$H,DATA_GOC!$A:$A,"BOM",DATA_GOC!$D:$D,$B27,DATA_GOC!$F:$F,"Xuất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7" s="222">
        <f>IF($B27="","",IF(AD$4&gt;DAY(EOMONTH(DATE($D$2,$B$2,1),0)),"",SUMIFS(DATA_GOC!$H:$H,DATA_GOC!$A:$A,"BOM",DATA_GOC!$D:$D,$B27,DATA_GOC!$F:$F,"Xuất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7" s="222">
        <f>IF($B27="","",IF(AE$4&gt;DAY(EOMONTH(DATE($D$2,$B$2,1),0)),"",SUMIFS(DATA_GOC!$H:$H,DATA_GOC!$A:$A,"BOM",DATA_GOC!$D:$D,$B27,DATA_GOC!$F:$F,"Xuất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7" s="222">
        <f>IF($B27="","",IF(AF$4&gt;DAY(EOMONTH(DATE($D$2,$B$2,1),0)),"",SUMIFS(DATA_GOC!$H:$H,DATA_GOC!$A:$A,"BOM",DATA_GOC!$D:$D,$B27,DATA_GOC!$F:$F,"Xuất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7" s="222">
        <f>IF($B27="","",IF(AG$4&gt;DAY(EOMONTH(DATE($D$2,$B$2,1),0)),"",SUMIFS(DATA_GOC!$H:$H,DATA_GOC!$A:$A,"BOM",DATA_GOC!$D:$D,$B27,DATA_GOC!$F:$F,"Xuất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7" s="223">
        <f t="shared" si="2"/>
        <v>63</v>
      </c>
      <c r="AI27" s="224">
        <f>IF($B27="","",SUMIFS(DATA_GOC!$H:$H,DATA_GOC!$A:$A,"BOM",DATA_GOC!$D:$D,$B27,DATA_GOC!$F:$F,"Bơm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7" s="224">
        <f>IF($B27="","",SUMIFS(TINH_TEC!$K$233:$K$9232,TINH_TEC!$H$233:$H$9232,$B27,TINH_TEC!$F$233:$F$9232,$B$2,TINH_TEC!$G$233:$G$9232,$D$2,TINH_TEC!$B$233:$B$9232,"Đã chốt"))</f>
        <v>0</v>
      </c>
      <c r="AK27" s="224">
        <f>IF($B27="","",SUMIFS(TINH_TEC!$J$233:$J$9232,TINH_TEC!$H$233:$H$9232,$B27,TINH_TEC!$F$233:$F$9232,$B$2,TINH_TEC!$G$233:$G$9232,$D$2,TINH_TEC!$B$233:$B$9232,"Đã chốt"))</f>
        <v>6.931</v>
      </c>
      <c r="AL27" s="225">
        <f t="shared" si="3"/>
        <v>69.931</v>
      </c>
      <c r="AM27" s="222">
        <f>IF($B27="","",SUMIFS(DATA_GOC!$K:$K,DATA_GOC!$A:$A,"BOM",DATA_GOC!$D:$D,$B27,DATA_GOC!$G:$G,"DO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885</v>
      </c>
      <c r="AN27" s="226">
        <f t="shared" si="4"/>
        <v>7.90180791</v>
      </c>
      <c r="AO27" s="227">
        <f t="shared" si="5"/>
        <v>0.0790180791</v>
      </c>
      <c r="AP27" s="226">
        <f>IF($B27="","",IFERROR(AO27-(SUMIFS(DATA_GOC!$H:$H,DATA_GOC!$A:$A,"BOM",DATA_GOC!$D:$D,$B27,DATA_GOC!$F:$F,"Xuất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-0.002519357029</v>
      </c>
      <c r="AQ27" s="59">
        <v>1.0</v>
      </c>
      <c r="AR27" s="59">
        <v>2026.0</v>
      </c>
      <c r="AS27" s="59" t="s">
        <v>135</v>
      </c>
      <c r="AT27" s="59">
        <v>205.525</v>
      </c>
      <c r="AU27" s="59">
        <v>0.0</v>
      </c>
      <c r="AV27" s="59">
        <v>205.525</v>
      </c>
      <c r="AW27" s="59">
        <v>2514.0</v>
      </c>
      <c r="AX27" s="59">
        <v>8.17521877486078</v>
      </c>
      <c r="AY27" s="59">
        <v>57.11</v>
      </c>
      <c r="AZ27" s="59">
        <v>148.415</v>
      </c>
      <c r="BA27" s="59">
        <v>2.11</v>
      </c>
      <c r="BB27" s="59">
        <v>0.0</v>
      </c>
      <c r="BC27" s="59" t="s">
        <v>381</v>
      </c>
    </row>
    <row r="28" ht="16.5" customHeight="1">
      <c r="A28" s="220">
        <f t="shared" si="1"/>
        <v>24</v>
      </c>
      <c r="B28" s="221" t="str">
        <f t="array" ref="B28">IFERROR(INDEX(DANH_MUC!$E:$E,ROW()-1),"")</f>
        <v>28C04536</v>
      </c>
      <c r="C28" s="222">
        <f>IF($B28="","",IF(C$4&gt;DAY(EOMONTH(DATE($D$2,$B$2,1),0)),"",SUMIFS(DATA_GOC!$H:$H,DATA_GOC!$A:$A,"BOM",DATA_GOC!$D:$D,$B28,DATA_GOC!$F:$F,"Xuất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8" s="222">
        <f>IF($B28="","",IF(D$4&gt;DAY(EOMONTH(DATE($D$2,$B$2,1),0)),"",SUMIFS(DATA_GOC!$H:$H,DATA_GOC!$A:$A,"BOM",DATA_GOC!$D:$D,$B28,DATA_GOC!$F:$F,"Xuất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8" s="222">
        <f>IF($B28="","",IF(E$4&gt;DAY(EOMONTH(DATE($D$2,$B$2,1),0)),"",SUMIFS(DATA_GOC!$H:$H,DATA_GOC!$A:$A,"BOM",DATA_GOC!$D:$D,$B28,DATA_GOC!$F:$F,"Xuất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8" s="222">
        <f>IF($B28="","",IF(F$4&gt;DAY(EOMONTH(DATE($D$2,$B$2,1),0)),"",SUMIFS(DATA_GOC!$H:$H,DATA_GOC!$A:$A,"BOM",DATA_GOC!$D:$D,$B28,DATA_GOC!$F:$F,"Xuất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28" s="222">
        <f>IF($B28="","",IF(G$4&gt;DAY(EOMONTH(DATE($D$2,$B$2,1),0)),"",SUMIFS(DATA_GOC!$H:$H,DATA_GOC!$A:$A,"BOM",DATA_GOC!$D:$D,$B28,DATA_GOC!$F:$F,"Xuất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8" s="222">
        <f>IF($B28="","",IF(H$4&gt;DAY(EOMONTH(DATE($D$2,$B$2,1),0)),"",SUMIFS(DATA_GOC!$H:$H,DATA_GOC!$A:$A,"BOM",DATA_GOC!$D:$D,$B28,DATA_GOC!$F:$F,"Xuất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8" s="222">
        <f>IF($B28="","",IF(I$4&gt;DAY(EOMONTH(DATE($D$2,$B$2,1),0)),"",SUMIFS(DATA_GOC!$H:$H,DATA_GOC!$A:$A,"BOM",DATA_GOC!$D:$D,$B28,DATA_GOC!$F:$F,"Xuất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8" s="222">
        <f>IF($B28="","",IF(J$4&gt;DAY(EOMONTH(DATE($D$2,$B$2,1),0)),"",SUMIFS(DATA_GOC!$H:$H,DATA_GOC!$A:$A,"BOM",DATA_GOC!$D:$D,$B28,DATA_GOC!$F:$F,"Xuất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8" s="222">
        <f>IF($B28="","",IF(K$4&gt;DAY(EOMONTH(DATE($D$2,$B$2,1),0)),"",SUMIFS(DATA_GOC!$H:$H,DATA_GOC!$A:$A,"BOM",DATA_GOC!$D:$D,$B28,DATA_GOC!$F:$F,"Xuất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8" s="222">
        <f>IF($B28="","",IF(L$4&gt;DAY(EOMONTH(DATE($D$2,$B$2,1),0)),"",SUMIFS(DATA_GOC!$H:$H,DATA_GOC!$A:$A,"BOM",DATA_GOC!$D:$D,$B28,DATA_GOC!$F:$F,"Xuất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8" s="222">
        <f>IF($B28="","",IF(M$4&gt;DAY(EOMONTH(DATE($D$2,$B$2,1),0)),"",SUMIFS(DATA_GOC!$H:$H,DATA_GOC!$A:$A,"BOM",DATA_GOC!$D:$D,$B28,DATA_GOC!$F:$F,"Xuất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8" s="222">
        <f>IF($B28="","",IF(N$4&gt;DAY(EOMONTH(DATE($D$2,$B$2,1),0)),"",SUMIFS(DATA_GOC!$H:$H,DATA_GOC!$A:$A,"BOM",DATA_GOC!$D:$D,$B28,DATA_GOC!$F:$F,"Xuất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8" s="222">
        <f>IF($B28="","",IF(O$4&gt;DAY(EOMONTH(DATE($D$2,$B$2,1),0)),"",SUMIFS(DATA_GOC!$H:$H,DATA_GOC!$A:$A,"BOM",DATA_GOC!$D:$D,$B28,DATA_GOC!$F:$F,"Xuất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8" s="222">
        <f>IF($B28="","",IF(P$4&gt;DAY(EOMONTH(DATE($D$2,$B$2,1),0)),"",SUMIFS(DATA_GOC!$H:$H,DATA_GOC!$A:$A,"BOM",DATA_GOC!$D:$D,$B28,DATA_GOC!$F:$F,"Xuất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8" s="222">
        <f>IF($B28="","",IF(Q$4&gt;DAY(EOMONTH(DATE($D$2,$B$2,1),0)),"",SUMIFS(DATA_GOC!$H:$H,DATA_GOC!$A:$A,"BOM",DATA_GOC!$D:$D,$B28,DATA_GOC!$F:$F,"Xuất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8" s="222">
        <f>IF($B28="","",IF(R$4&gt;DAY(EOMONTH(DATE($D$2,$B$2,1),0)),"",SUMIFS(DATA_GOC!$H:$H,DATA_GOC!$A:$A,"BOM",DATA_GOC!$D:$D,$B28,DATA_GOC!$F:$F,"Xuất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8" s="222">
        <f>IF($B28="","",IF(S$4&gt;DAY(EOMONTH(DATE($D$2,$B$2,1),0)),"",SUMIFS(DATA_GOC!$H:$H,DATA_GOC!$A:$A,"BOM",DATA_GOC!$D:$D,$B28,DATA_GOC!$F:$F,"Xuất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8" s="222">
        <f>IF($B28="","",IF(T$4&gt;DAY(EOMONTH(DATE($D$2,$B$2,1),0)),"",SUMIFS(DATA_GOC!$H:$H,DATA_GOC!$A:$A,"BOM",DATA_GOC!$D:$D,$B28,DATA_GOC!$F:$F,"Xuất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8" s="222">
        <f>IF($B28="","",IF(U$4&gt;DAY(EOMONTH(DATE($D$2,$B$2,1),0)),"",SUMIFS(DATA_GOC!$H:$H,DATA_GOC!$A:$A,"BOM",DATA_GOC!$D:$D,$B28,DATA_GOC!$F:$F,"Xuất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8" s="222">
        <f>IF($B28="","",IF(V$4&gt;DAY(EOMONTH(DATE($D$2,$B$2,1),0)),"",SUMIFS(DATA_GOC!$H:$H,DATA_GOC!$A:$A,"BOM",DATA_GOC!$D:$D,$B28,DATA_GOC!$F:$F,"Xuất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8" s="222">
        <f>IF($B28="","",IF(W$4&gt;DAY(EOMONTH(DATE($D$2,$B$2,1),0)),"",SUMIFS(DATA_GOC!$H:$H,DATA_GOC!$A:$A,"BOM",DATA_GOC!$D:$D,$B28,DATA_GOC!$F:$F,"Xuất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8" s="222">
        <f>IF($B28="","",IF(X$4&gt;DAY(EOMONTH(DATE($D$2,$B$2,1),0)),"",SUMIFS(DATA_GOC!$H:$H,DATA_GOC!$A:$A,"BOM",DATA_GOC!$D:$D,$B28,DATA_GOC!$F:$F,"Xuất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8" s="222">
        <f>IF($B28="","",IF(Y$4&gt;DAY(EOMONTH(DATE($D$2,$B$2,1),0)),"",SUMIFS(DATA_GOC!$H:$H,DATA_GOC!$A:$A,"BOM",DATA_GOC!$D:$D,$B28,DATA_GOC!$F:$F,"Xuất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8" s="222">
        <f>IF($B28="","",IF(Z$4&gt;DAY(EOMONTH(DATE($D$2,$B$2,1),0)),"",SUMIFS(DATA_GOC!$H:$H,DATA_GOC!$A:$A,"BOM",DATA_GOC!$D:$D,$B28,DATA_GOC!$F:$F,"Xuất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8" s="222">
        <f>IF($B28="","",IF(AA$4&gt;DAY(EOMONTH(DATE($D$2,$B$2,1),0)),"",SUMIFS(DATA_GOC!$H:$H,DATA_GOC!$A:$A,"BOM",DATA_GOC!$D:$D,$B28,DATA_GOC!$F:$F,"Xuất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8" s="222">
        <f>IF($B28="","",IF(AB$4&gt;DAY(EOMONTH(DATE($D$2,$B$2,1),0)),"",SUMIFS(DATA_GOC!$H:$H,DATA_GOC!$A:$A,"BOM",DATA_GOC!$D:$D,$B28,DATA_GOC!$F:$F,"Xuất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8" s="222">
        <f>IF($B28="","",IF(AC$4&gt;DAY(EOMONTH(DATE($D$2,$B$2,1),0)),"",SUMIFS(DATA_GOC!$H:$H,DATA_GOC!$A:$A,"BOM",DATA_GOC!$D:$D,$B28,DATA_GOC!$F:$F,"Xuất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8" s="222">
        <f>IF($B28="","",IF(AD$4&gt;DAY(EOMONTH(DATE($D$2,$B$2,1),0)),"",SUMIFS(DATA_GOC!$H:$H,DATA_GOC!$A:$A,"BOM",DATA_GOC!$D:$D,$B28,DATA_GOC!$F:$F,"Xuất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8" s="222">
        <f>IF($B28="","",IF(AE$4&gt;DAY(EOMONTH(DATE($D$2,$B$2,1),0)),"",SUMIFS(DATA_GOC!$H:$H,DATA_GOC!$A:$A,"BOM",DATA_GOC!$D:$D,$B28,DATA_GOC!$F:$F,"Xuất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8" s="222">
        <f>IF($B28="","",IF(AF$4&gt;DAY(EOMONTH(DATE($D$2,$B$2,1),0)),"",SUMIFS(DATA_GOC!$H:$H,DATA_GOC!$A:$A,"BOM",DATA_GOC!$D:$D,$B28,DATA_GOC!$F:$F,"Xuất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8" s="222">
        <f>IF($B28="","",IF(AG$4&gt;DAY(EOMONTH(DATE($D$2,$B$2,1),0)),"",SUMIFS(DATA_GOC!$H:$H,DATA_GOC!$A:$A,"BOM",DATA_GOC!$D:$D,$B28,DATA_GOC!$F:$F,"Xuất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8" s="223">
        <f t="shared" si="2"/>
        <v>0</v>
      </c>
      <c r="AI28" s="224">
        <f>IF($B28="","",SUMIFS(DATA_GOC!$H:$H,DATA_GOC!$A:$A,"BOM",DATA_GOC!$D:$D,$B28,DATA_GOC!$F:$F,"Bơm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8" s="224">
        <f>IF($B28="","",SUMIFS(TINH_TEC!$K$233:$K$9232,TINH_TEC!$H$233:$H$9232,$B28,TINH_TEC!$F$233:$F$9232,$B$2,TINH_TEC!$G$233:$G$9232,$D$2,TINH_TEC!$B$233:$B$9232,"Đã chốt"))</f>
        <v>0</v>
      </c>
      <c r="AK28" s="224">
        <f>IF($B28="","",SUMIFS(TINH_TEC!$J$233:$J$9232,TINH_TEC!$H$233:$H$9232,$B28,TINH_TEC!$F$233:$F$9232,$B$2,TINH_TEC!$G$233:$G$9232,$D$2,TINH_TEC!$B$233:$B$9232,"Đã chốt"))</f>
        <v>0</v>
      </c>
      <c r="AL28" s="225">
        <f t="shared" si="3"/>
        <v>0</v>
      </c>
      <c r="AM28" s="222">
        <f>IF($B28="","",SUMIFS(DATA_GOC!$K:$K,DATA_GOC!$A:$A,"BOM",DATA_GOC!$D:$D,$B28,DATA_GOC!$G:$G,"DO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28" s="226" t="str">
        <f t="shared" si="4"/>
        <v/>
      </c>
      <c r="AO28" s="227" t="str">
        <f t="shared" si="5"/>
        <v/>
      </c>
      <c r="AP28" s="226" t="str">
        <f>IF($B28="","",IFERROR(AO28-(SUMIFS(DATA_GOC!$H:$H,DATA_GOC!$A:$A,"BOM",DATA_GOC!$D:$D,$B28,DATA_GOC!$F:$F,"Xuất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28" s="59">
        <v>1.0</v>
      </c>
      <c r="AR28" s="59">
        <v>2026.0</v>
      </c>
      <c r="AS28" s="59" t="s">
        <v>91</v>
      </c>
      <c r="AT28" s="59">
        <v>77.34</v>
      </c>
      <c r="AU28" s="59">
        <v>0.0</v>
      </c>
      <c r="AV28" s="59">
        <v>77.34</v>
      </c>
      <c r="AW28" s="59">
        <v>1368.0</v>
      </c>
      <c r="AX28" s="59">
        <v>5.65350877192983</v>
      </c>
      <c r="AY28" s="59">
        <v>36.34</v>
      </c>
      <c r="AZ28" s="59">
        <v>41.0</v>
      </c>
      <c r="BA28" s="59">
        <v>1.34</v>
      </c>
      <c r="BB28" s="59">
        <v>0.0</v>
      </c>
      <c r="BC28" s="59" t="s">
        <v>382</v>
      </c>
    </row>
    <row r="29" ht="16.5" customHeight="1">
      <c r="A29" s="220">
        <f t="shared" si="1"/>
        <v>25</v>
      </c>
      <c r="B29" s="221" t="str">
        <f t="array" ref="B29">IFERROR(INDEX(DANH_MUC!$E:$E,ROW()-1),"")</f>
        <v>28C04576</v>
      </c>
      <c r="C29" s="222">
        <f>IF($B29="","",IF(C$4&gt;DAY(EOMONTH(DATE($D$2,$B$2,1),0)),"",SUMIFS(DATA_GOC!$H:$H,DATA_GOC!$A:$A,"BOM",DATA_GOC!$D:$D,$B29,DATA_GOC!$F:$F,"Xuất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29" s="222">
        <f>IF($B29="","",IF(D$4&gt;DAY(EOMONTH(DATE($D$2,$B$2,1),0)),"",SUMIFS(DATA_GOC!$H:$H,DATA_GOC!$A:$A,"BOM",DATA_GOC!$D:$D,$B29,DATA_GOC!$F:$F,"Xuất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29" s="222">
        <f>IF($B29="","",IF(E$4&gt;DAY(EOMONTH(DATE($D$2,$B$2,1),0)),"",SUMIFS(DATA_GOC!$H:$H,DATA_GOC!$A:$A,"BOM",DATA_GOC!$D:$D,$B29,DATA_GOC!$F:$F,"Xuất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29" s="222">
        <f>IF($B29="","",IF(F$4&gt;DAY(EOMONTH(DATE($D$2,$B$2,1),0)),"",SUMIFS(DATA_GOC!$H:$H,DATA_GOC!$A:$A,"BOM",DATA_GOC!$D:$D,$B29,DATA_GOC!$F:$F,"Xuất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223</v>
      </c>
      <c r="G29" s="222">
        <f>IF($B29="","",IF(G$4&gt;DAY(EOMONTH(DATE($D$2,$B$2,1),0)),"",SUMIFS(DATA_GOC!$H:$H,DATA_GOC!$A:$A,"BOM",DATA_GOC!$D:$D,$B29,DATA_GOC!$F:$F,"Xuất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29" s="222">
        <f>IF($B29="","",IF(H$4&gt;DAY(EOMONTH(DATE($D$2,$B$2,1),0)),"",SUMIFS(DATA_GOC!$H:$H,DATA_GOC!$A:$A,"BOM",DATA_GOC!$D:$D,$B29,DATA_GOC!$F:$F,"Xuất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29" s="222">
        <f>IF($B29="","",IF(I$4&gt;DAY(EOMONTH(DATE($D$2,$B$2,1),0)),"",SUMIFS(DATA_GOC!$H:$H,DATA_GOC!$A:$A,"BOM",DATA_GOC!$D:$D,$B29,DATA_GOC!$F:$F,"Xuất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29" s="222">
        <f>IF($B29="","",IF(J$4&gt;DAY(EOMONTH(DATE($D$2,$B$2,1),0)),"",SUMIFS(DATA_GOC!$H:$H,DATA_GOC!$A:$A,"BOM",DATA_GOC!$D:$D,$B29,DATA_GOC!$F:$F,"Xuất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29" s="222">
        <f>IF($B29="","",IF(K$4&gt;DAY(EOMONTH(DATE($D$2,$B$2,1),0)),"",SUMIFS(DATA_GOC!$H:$H,DATA_GOC!$A:$A,"BOM",DATA_GOC!$D:$D,$B29,DATA_GOC!$F:$F,"Xuất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29" s="222">
        <f>IF($B29="","",IF(L$4&gt;DAY(EOMONTH(DATE($D$2,$B$2,1),0)),"",SUMIFS(DATA_GOC!$H:$H,DATA_GOC!$A:$A,"BOM",DATA_GOC!$D:$D,$B29,DATA_GOC!$F:$F,"Xuất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29" s="222">
        <f>IF($B29="","",IF(M$4&gt;DAY(EOMONTH(DATE($D$2,$B$2,1),0)),"",SUMIFS(DATA_GOC!$H:$H,DATA_GOC!$A:$A,"BOM",DATA_GOC!$D:$D,$B29,DATA_GOC!$F:$F,"Xuất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29" s="222">
        <f>IF($B29="","",IF(N$4&gt;DAY(EOMONTH(DATE($D$2,$B$2,1),0)),"",SUMIFS(DATA_GOC!$H:$H,DATA_GOC!$A:$A,"BOM",DATA_GOC!$D:$D,$B29,DATA_GOC!$F:$F,"Xuất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29" s="222">
        <f>IF($B29="","",IF(O$4&gt;DAY(EOMONTH(DATE($D$2,$B$2,1),0)),"",SUMIFS(DATA_GOC!$H:$H,DATA_GOC!$A:$A,"BOM",DATA_GOC!$D:$D,$B29,DATA_GOC!$F:$F,"Xuất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29" s="222">
        <f>IF($B29="","",IF(P$4&gt;DAY(EOMONTH(DATE($D$2,$B$2,1),0)),"",SUMIFS(DATA_GOC!$H:$H,DATA_GOC!$A:$A,"BOM",DATA_GOC!$D:$D,$B29,DATA_GOC!$F:$F,"Xuất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29" s="222">
        <f>IF($B29="","",IF(Q$4&gt;DAY(EOMONTH(DATE($D$2,$B$2,1),0)),"",SUMIFS(DATA_GOC!$H:$H,DATA_GOC!$A:$A,"BOM",DATA_GOC!$D:$D,$B29,DATA_GOC!$F:$F,"Xuất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29" s="222">
        <f>IF($B29="","",IF(R$4&gt;DAY(EOMONTH(DATE($D$2,$B$2,1),0)),"",SUMIFS(DATA_GOC!$H:$H,DATA_GOC!$A:$A,"BOM",DATA_GOC!$D:$D,$B29,DATA_GOC!$F:$F,"Xuất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29" s="222">
        <f>IF($B29="","",IF(S$4&gt;DAY(EOMONTH(DATE($D$2,$B$2,1),0)),"",SUMIFS(DATA_GOC!$H:$H,DATA_GOC!$A:$A,"BOM",DATA_GOC!$D:$D,$B29,DATA_GOC!$F:$F,"Xuất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29" s="222">
        <f>IF($B29="","",IF(T$4&gt;DAY(EOMONTH(DATE($D$2,$B$2,1),0)),"",SUMIFS(DATA_GOC!$H:$H,DATA_GOC!$A:$A,"BOM",DATA_GOC!$D:$D,$B29,DATA_GOC!$F:$F,"Xuất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29" s="222">
        <f>IF($B29="","",IF(U$4&gt;DAY(EOMONTH(DATE($D$2,$B$2,1),0)),"",SUMIFS(DATA_GOC!$H:$H,DATA_GOC!$A:$A,"BOM",DATA_GOC!$D:$D,$B29,DATA_GOC!$F:$F,"Xuất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29" s="222">
        <f>IF($B29="","",IF(V$4&gt;DAY(EOMONTH(DATE($D$2,$B$2,1),0)),"",SUMIFS(DATA_GOC!$H:$H,DATA_GOC!$A:$A,"BOM",DATA_GOC!$D:$D,$B29,DATA_GOC!$F:$F,"Xuất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29" s="222">
        <f>IF($B29="","",IF(W$4&gt;DAY(EOMONTH(DATE($D$2,$B$2,1),0)),"",SUMIFS(DATA_GOC!$H:$H,DATA_GOC!$A:$A,"BOM",DATA_GOC!$D:$D,$B29,DATA_GOC!$F:$F,"Xuất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29" s="222">
        <f>IF($B29="","",IF(X$4&gt;DAY(EOMONTH(DATE($D$2,$B$2,1),0)),"",SUMIFS(DATA_GOC!$H:$H,DATA_GOC!$A:$A,"BOM",DATA_GOC!$D:$D,$B29,DATA_GOC!$F:$F,"Xuất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29" s="222">
        <f>IF($B29="","",IF(Y$4&gt;DAY(EOMONTH(DATE($D$2,$B$2,1),0)),"",SUMIFS(DATA_GOC!$H:$H,DATA_GOC!$A:$A,"BOM",DATA_GOC!$D:$D,$B29,DATA_GOC!$F:$F,"Xuất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29" s="222">
        <f>IF($B29="","",IF(Z$4&gt;DAY(EOMONTH(DATE($D$2,$B$2,1),0)),"",SUMIFS(DATA_GOC!$H:$H,DATA_GOC!$A:$A,"BOM",DATA_GOC!$D:$D,$B29,DATA_GOC!$F:$F,"Xuất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29" s="222">
        <f>IF($B29="","",IF(AA$4&gt;DAY(EOMONTH(DATE($D$2,$B$2,1),0)),"",SUMIFS(DATA_GOC!$H:$H,DATA_GOC!$A:$A,"BOM",DATA_GOC!$D:$D,$B29,DATA_GOC!$F:$F,"Xuất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29" s="222">
        <f>IF($B29="","",IF(AB$4&gt;DAY(EOMONTH(DATE($D$2,$B$2,1),0)),"",SUMIFS(DATA_GOC!$H:$H,DATA_GOC!$A:$A,"BOM",DATA_GOC!$D:$D,$B29,DATA_GOC!$F:$F,"Xuất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29" s="222">
        <f>IF($B29="","",IF(AC$4&gt;DAY(EOMONTH(DATE($D$2,$B$2,1),0)),"",SUMIFS(DATA_GOC!$H:$H,DATA_GOC!$A:$A,"BOM",DATA_GOC!$D:$D,$B29,DATA_GOC!$F:$F,"Xuất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29" s="222">
        <f>IF($B29="","",IF(AD$4&gt;DAY(EOMONTH(DATE($D$2,$B$2,1),0)),"",SUMIFS(DATA_GOC!$H:$H,DATA_GOC!$A:$A,"BOM",DATA_GOC!$D:$D,$B29,DATA_GOC!$F:$F,"Xuất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29" s="222">
        <f>IF($B29="","",IF(AE$4&gt;DAY(EOMONTH(DATE($D$2,$B$2,1),0)),"",SUMIFS(DATA_GOC!$H:$H,DATA_GOC!$A:$A,"BOM",DATA_GOC!$D:$D,$B29,DATA_GOC!$F:$F,"Xuất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29" s="222">
        <f>IF($B29="","",IF(AF$4&gt;DAY(EOMONTH(DATE($D$2,$B$2,1),0)),"",SUMIFS(DATA_GOC!$H:$H,DATA_GOC!$A:$A,"BOM",DATA_GOC!$D:$D,$B29,DATA_GOC!$F:$F,"Xuất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29" s="222">
        <f>IF($B29="","",IF(AG$4&gt;DAY(EOMONTH(DATE($D$2,$B$2,1),0)),"",SUMIFS(DATA_GOC!$H:$H,DATA_GOC!$A:$A,"BOM",DATA_GOC!$D:$D,$B29,DATA_GOC!$F:$F,"Xuất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29" s="223">
        <f t="shared" si="2"/>
        <v>223</v>
      </c>
      <c r="AI29" s="224">
        <f>IF($B29="","",SUMIFS(DATA_GOC!$H:$H,DATA_GOC!$A:$A,"BOM",DATA_GOC!$D:$D,$B29,DATA_GOC!$F:$F,"Bơm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29" s="224">
        <f>IF($B29="","",SUMIFS(TINH_TEC!$K$233:$K$9232,TINH_TEC!$H$233:$H$9232,$B29,TINH_TEC!$F$233:$F$9232,$B$2,TINH_TEC!$G$233:$G$9232,$D$2,TINH_TEC!$B$233:$B$9232,"Đã chốt"))</f>
        <v>0</v>
      </c>
      <c r="AK29" s="224">
        <f>IF($B29="","",SUMIFS(TINH_TEC!$J$233:$J$9232,TINH_TEC!$H$233:$H$9232,$B29,TINH_TEC!$F$233:$F$9232,$B$2,TINH_TEC!$G$233:$G$9232,$D$2,TINH_TEC!$B$233:$B$9232,"Đã chốt"))</f>
        <v>38.731</v>
      </c>
      <c r="AL29" s="225">
        <f t="shared" si="3"/>
        <v>261.731</v>
      </c>
      <c r="AM29" s="222">
        <f>IF($B29="","",SUMIFS(DATA_GOC!$K:$K,DATA_GOC!$A:$A,"BOM",DATA_GOC!$D:$D,$B29,DATA_GOC!$G:$G,"DO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504</v>
      </c>
      <c r="AN29" s="226">
        <f t="shared" si="4"/>
        <v>51.93075397</v>
      </c>
      <c r="AO29" s="227">
        <f t="shared" si="5"/>
        <v>0.5193075397</v>
      </c>
      <c r="AP29" s="226">
        <f>IF($B29="","",IFERROR(AO29-(SUMIFS(DATA_GOC!$H:$H,DATA_GOC!$A:$A,"BOM",DATA_GOC!$D:$D,$B29,DATA_GOC!$F:$F,"Xuất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0.05792751909</v>
      </c>
      <c r="AQ29" s="59">
        <v>1.0</v>
      </c>
      <c r="AR29" s="59">
        <v>2026.0</v>
      </c>
      <c r="AS29" s="59" t="s">
        <v>339</v>
      </c>
      <c r="AT29" s="59">
        <v>772.687</v>
      </c>
      <c r="AU29" s="59">
        <v>0.0</v>
      </c>
      <c r="AV29" s="59">
        <v>772.687</v>
      </c>
      <c r="AW29" s="59">
        <v>53.2</v>
      </c>
      <c r="AX29" s="59">
        <v>1452.41917293233</v>
      </c>
      <c r="AY29" s="59">
        <v>0.0</v>
      </c>
      <c r="AZ29" s="59">
        <v>772.687</v>
      </c>
      <c r="BA29" s="59">
        <v>0.0</v>
      </c>
      <c r="BB29" s="59">
        <v>0.0</v>
      </c>
      <c r="BC29" s="59" t="s">
        <v>383</v>
      </c>
    </row>
    <row r="30" ht="16.5" customHeight="1">
      <c r="A30" s="220">
        <f t="shared" si="1"/>
        <v>26</v>
      </c>
      <c r="B30" s="221" t="str">
        <f t="array" ref="B30">IFERROR(INDEX(DANH_MUC!$E:$E,ROW()-1),"")</f>
        <v>28C05090</v>
      </c>
      <c r="C30" s="222">
        <f>IF($B30="","",IF(C$4&gt;DAY(EOMONTH(DATE($D$2,$B$2,1),0)),"",SUMIFS(DATA_GOC!$H:$H,DATA_GOC!$A:$A,"BOM",DATA_GOC!$D:$D,$B30,DATA_GOC!$F:$F,"Xuất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0" s="222">
        <f>IF($B30="","",IF(D$4&gt;DAY(EOMONTH(DATE($D$2,$B$2,1),0)),"",SUMIFS(DATA_GOC!$H:$H,DATA_GOC!$A:$A,"BOM",DATA_GOC!$D:$D,$B30,DATA_GOC!$F:$F,"Xuất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0" s="222">
        <f>IF($B30="","",IF(E$4&gt;DAY(EOMONTH(DATE($D$2,$B$2,1),0)),"",SUMIFS(DATA_GOC!$H:$H,DATA_GOC!$A:$A,"BOM",DATA_GOC!$D:$D,$B30,DATA_GOC!$F:$F,"Xuất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30" s="222">
        <f>IF($B30="","",IF(F$4&gt;DAY(EOMONTH(DATE($D$2,$B$2,1),0)),"",SUMIFS(DATA_GOC!$H:$H,DATA_GOC!$A:$A,"BOM",DATA_GOC!$D:$D,$B30,DATA_GOC!$F:$F,"Xuất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0" s="222">
        <f>IF($B30="","",IF(G$4&gt;DAY(EOMONTH(DATE($D$2,$B$2,1),0)),"",SUMIFS(DATA_GOC!$H:$H,DATA_GOC!$A:$A,"BOM",DATA_GOC!$D:$D,$B30,DATA_GOC!$F:$F,"Xuất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0" s="222">
        <f>IF($B30="","",IF(H$4&gt;DAY(EOMONTH(DATE($D$2,$B$2,1),0)),"",SUMIFS(DATA_GOC!$H:$H,DATA_GOC!$A:$A,"BOM",DATA_GOC!$D:$D,$B30,DATA_GOC!$F:$F,"Xuất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30" s="222">
        <f>IF($B30="","",IF(I$4&gt;DAY(EOMONTH(DATE($D$2,$B$2,1),0)),"",SUMIFS(DATA_GOC!$H:$H,DATA_GOC!$A:$A,"BOM",DATA_GOC!$D:$D,$B30,DATA_GOC!$F:$F,"Xuất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0" s="222">
        <f>IF($B30="","",IF(J$4&gt;DAY(EOMONTH(DATE($D$2,$B$2,1),0)),"",SUMIFS(DATA_GOC!$H:$H,DATA_GOC!$A:$A,"BOM",DATA_GOC!$D:$D,$B30,DATA_GOC!$F:$F,"Xuất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0" s="222">
        <f>IF($B30="","",IF(K$4&gt;DAY(EOMONTH(DATE($D$2,$B$2,1),0)),"",SUMIFS(DATA_GOC!$H:$H,DATA_GOC!$A:$A,"BOM",DATA_GOC!$D:$D,$B30,DATA_GOC!$F:$F,"Xuất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0" s="222">
        <f>IF($B30="","",IF(L$4&gt;DAY(EOMONTH(DATE($D$2,$B$2,1),0)),"",SUMIFS(DATA_GOC!$H:$H,DATA_GOC!$A:$A,"BOM",DATA_GOC!$D:$D,$B30,DATA_GOC!$F:$F,"Xuất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0" s="222">
        <f>IF($B30="","",IF(M$4&gt;DAY(EOMONTH(DATE($D$2,$B$2,1),0)),"",SUMIFS(DATA_GOC!$H:$H,DATA_GOC!$A:$A,"BOM",DATA_GOC!$D:$D,$B30,DATA_GOC!$F:$F,"Xuất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0" s="222">
        <f>IF($B30="","",IF(N$4&gt;DAY(EOMONTH(DATE($D$2,$B$2,1),0)),"",SUMIFS(DATA_GOC!$H:$H,DATA_GOC!$A:$A,"BOM",DATA_GOC!$D:$D,$B30,DATA_GOC!$F:$F,"Xuất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0" s="222">
        <f>IF($B30="","",IF(O$4&gt;DAY(EOMONTH(DATE($D$2,$B$2,1),0)),"",SUMIFS(DATA_GOC!$H:$H,DATA_GOC!$A:$A,"BOM",DATA_GOC!$D:$D,$B30,DATA_GOC!$F:$F,"Xuất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0" s="222">
        <f>IF($B30="","",IF(P$4&gt;DAY(EOMONTH(DATE($D$2,$B$2,1),0)),"",SUMIFS(DATA_GOC!$H:$H,DATA_GOC!$A:$A,"BOM",DATA_GOC!$D:$D,$B30,DATA_GOC!$F:$F,"Xuất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0" s="222">
        <f>IF($B30="","",IF(Q$4&gt;DAY(EOMONTH(DATE($D$2,$B$2,1),0)),"",SUMIFS(DATA_GOC!$H:$H,DATA_GOC!$A:$A,"BOM",DATA_GOC!$D:$D,$B30,DATA_GOC!$F:$F,"Xuất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0" s="222">
        <f>IF($B30="","",IF(R$4&gt;DAY(EOMONTH(DATE($D$2,$B$2,1),0)),"",SUMIFS(DATA_GOC!$H:$H,DATA_GOC!$A:$A,"BOM",DATA_GOC!$D:$D,$B30,DATA_GOC!$F:$F,"Xuất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0" s="222">
        <f>IF($B30="","",IF(S$4&gt;DAY(EOMONTH(DATE($D$2,$B$2,1),0)),"",SUMIFS(DATA_GOC!$H:$H,DATA_GOC!$A:$A,"BOM",DATA_GOC!$D:$D,$B30,DATA_GOC!$F:$F,"Xuất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0" s="222">
        <f>IF($B30="","",IF(T$4&gt;DAY(EOMONTH(DATE($D$2,$B$2,1),0)),"",SUMIFS(DATA_GOC!$H:$H,DATA_GOC!$A:$A,"BOM",DATA_GOC!$D:$D,$B30,DATA_GOC!$F:$F,"Xuất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0" s="222">
        <f>IF($B30="","",IF(U$4&gt;DAY(EOMONTH(DATE($D$2,$B$2,1),0)),"",SUMIFS(DATA_GOC!$H:$H,DATA_GOC!$A:$A,"BOM",DATA_GOC!$D:$D,$B30,DATA_GOC!$F:$F,"Xuất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0" s="222">
        <f>IF($B30="","",IF(V$4&gt;DAY(EOMONTH(DATE($D$2,$B$2,1),0)),"",SUMIFS(DATA_GOC!$H:$H,DATA_GOC!$A:$A,"BOM",DATA_GOC!$D:$D,$B30,DATA_GOC!$F:$F,"Xuất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0" s="222">
        <f>IF($B30="","",IF(W$4&gt;DAY(EOMONTH(DATE($D$2,$B$2,1),0)),"",SUMIFS(DATA_GOC!$H:$H,DATA_GOC!$A:$A,"BOM",DATA_GOC!$D:$D,$B30,DATA_GOC!$F:$F,"Xuất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0" s="222">
        <f>IF($B30="","",IF(X$4&gt;DAY(EOMONTH(DATE($D$2,$B$2,1),0)),"",SUMIFS(DATA_GOC!$H:$H,DATA_GOC!$A:$A,"BOM",DATA_GOC!$D:$D,$B30,DATA_GOC!$F:$F,"Xuất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0" s="222">
        <f>IF($B30="","",IF(Y$4&gt;DAY(EOMONTH(DATE($D$2,$B$2,1),0)),"",SUMIFS(DATA_GOC!$H:$H,DATA_GOC!$A:$A,"BOM",DATA_GOC!$D:$D,$B30,DATA_GOC!$F:$F,"Xuất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0" s="222">
        <f>IF($B30="","",IF(Z$4&gt;DAY(EOMONTH(DATE($D$2,$B$2,1),0)),"",SUMIFS(DATA_GOC!$H:$H,DATA_GOC!$A:$A,"BOM",DATA_GOC!$D:$D,$B30,DATA_GOC!$F:$F,"Xuất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0" s="222">
        <f>IF($B30="","",IF(AA$4&gt;DAY(EOMONTH(DATE($D$2,$B$2,1),0)),"",SUMIFS(DATA_GOC!$H:$H,DATA_GOC!$A:$A,"BOM",DATA_GOC!$D:$D,$B30,DATA_GOC!$F:$F,"Xuất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0" s="222">
        <f>IF($B30="","",IF(AB$4&gt;DAY(EOMONTH(DATE($D$2,$B$2,1),0)),"",SUMIFS(DATA_GOC!$H:$H,DATA_GOC!$A:$A,"BOM",DATA_GOC!$D:$D,$B30,DATA_GOC!$F:$F,"Xuất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0" s="222">
        <f>IF($B30="","",IF(AC$4&gt;DAY(EOMONTH(DATE($D$2,$B$2,1),0)),"",SUMIFS(DATA_GOC!$H:$H,DATA_GOC!$A:$A,"BOM",DATA_GOC!$D:$D,$B30,DATA_GOC!$F:$F,"Xuất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0" s="222">
        <f>IF($B30="","",IF(AD$4&gt;DAY(EOMONTH(DATE($D$2,$B$2,1),0)),"",SUMIFS(DATA_GOC!$H:$H,DATA_GOC!$A:$A,"BOM",DATA_GOC!$D:$D,$B30,DATA_GOC!$F:$F,"Xuất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0" s="222">
        <f>IF($B30="","",IF(AE$4&gt;DAY(EOMONTH(DATE($D$2,$B$2,1),0)),"",SUMIFS(DATA_GOC!$H:$H,DATA_GOC!$A:$A,"BOM",DATA_GOC!$D:$D,$B30,DATA_GOC!$F:$F,"Xuất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0" s="222">
        <f>IF($B30="","",IF(AF$4&gt;DAY(EOMONTH(DATE($D$2,$B$2,1),0)),"",SUMIFS(DATA_GOC!$H:$H,DATA_GOC!$A:$A,"BOM",DATA_GOC!$D:$D,$B30,DATA_GOC!$F:$F,"Xuất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0" s="222">
        <f>IF($B30="","",IF(AG$4&gt;DAY(EOMONTH(DATE($D$2,$B$2,1),0)),"",SUMIFS(DATA_GOC!$H:$H,DATA_GOC!$A:$A,"BOM",DATA_GOC!$D:$D,$B30,DATA_GOC!$F:$F,"Xuất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0" s="223">
        <f t="shared" si="2"/>
        <v>0</v>
      </c>
      <c r="AI30" s="224">
        <f>IF($B30="","",SUMIFS(DATA_GOC!$H:$H,DATA_GOC!$A:$A,"BOM",DATA_GOC!$D:$D,$B30,DATA_GOC!$F:$F,"Bơm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0" s="224">
        <f>IF($B30="","",SUMIFS(TINH_TEC!$K$233:$K$9232,TINH_TEC!$H$233:$H$9232,$B30,TINH_TEC!$F$233:$F$9232,$B$2,TINH_TEC!$G$233:$G$9232,$D$2,TINH_TEC!$B$233:$B$9232,"Đã chốt"))</f>
        <v>0</v>
      </c>
      <c r="AK30" s="224">
        <f>IF($B30="","",SUMIFS(TINH_TEC!$J$233:$J$9232,TINH_TEC!$H$233:$H$9232,$B30,TINH_TEC!$F$233:$F$9232,$B$2,TINH_TEC!$G$233:$G$9232,$D$2,TINH_TEC!$B$233:$B$9232,"Đã chốt"))</f>
        <v>0</v>
      </c>
      <c r="AL30" s="225">
        <f t="shared" si="3"/>
        <v>0</v>
      </c>
      <c r="AM30" s="222">
        <f>IF($B30="","",SUMIFS(DATA_GOC!$K:$K,DATA_GOC!$A:$A,"BOM",DATA_GOC!$D:$D,$B30,DATA_GOC!$G:$G,"DO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30" s="226" t="str">
        <f t="shared" si="4"/>
        <v/>
      </c>
      <c r="AO30" s="227" t="str">
        <f t="shared" si="5"/>
        <v/>
      </c>
      <c r="AP30" s="226" t="str">
        <f>IF($B30="","",IFERROR(AO30-(SUMIFS(DATA_GOC!$H:$H,DATA_GOC!$A:$A,"BOM",DATA_GOC!$D:$D,$B30,DATA_GOC!$F:$F,"Xuất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30" s="59">
        <v>1.0</v>
      </c>
      <c r="AR30" s="59">
        <v>2026.0</v>
      </c>
      <c r="AS30" s="59" t="s">
        <v>384</v>
      </c>
      <c r="AT30" s="59">
        <v>0.0</v>
      </c>
      <c r="AU30" s="59">
        <v>0.0</v>
      </c>
      <c r="AV30" s="59">
        <v>1198.768</v>
      </c>
      <c r="AY30" s="59">
        <v>593.26</v>
      </c>
      <c r="AZ30" s="59">
        <v>605.508</v>
      </c>
      <c r="BA30" s="59">
        <v>28.26</v>
      </c>
      <c r="BB30" s="59">
        <v>0.0</v>
      </c>
      <c r="BC30" s="59" t="s">
        <v>385</v>
      </c>
    </row>
    <row r="31" ht="16.5" customHeight="1">
      <c r="A31" s="220">
        <f t="shared" si="1"/>
        <v>27</v>
      </c>
      <c r="B31" s="221" t="str">
        <f t="array" ref="B31">IFERROR(INDEX(DANH_MUC!$E:$E,ROW()-1),"")</f>
        <v>28C05345</v>
      </c>
      <c r="C31" s="222">
        <f>IF($B31="","",IF(C$4&gt;DAY(EOMONTH(DATE($D$2,$B$2,1),0)),"",SUMIFS(DATA_GOC!$H:$H,DATA_GOC!$A:$A,"BOM",DATA_GOC!$D:$D,$B31,DATA_GOC!$F:$F,"Xuất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1" s="222">
        <f>IF($B31="","",IF(D$4&gt;DAY(EOMONTH(DATE($D$2,$B$2,1),0)),"",SUMIFS(DATA_GOC!$H:$H,DATA_GOC!$A:$A,"BOM",DATA_GOC!$D:$D,$B31,DATA_GOC!$F:$F,"Xuất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127</v>
      </c>
      <c r="E31" s="222">
        <f>IF($B31="","",IF(E$4&gt;DAY(EOMONTH(DATE($D$2,$B$2,1),0)),"",SUMIFS(DATA_GOC!$H:$H,DATA_GOC!$A:$A,"BOM",DATA_GOC!$D:$D,$B31,DATA_GOC!$F:$F,"Xuất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31" s="222">
        <f>IF($B31="","",IF(F$4&gt;DAY(EOMONTH(DATE($D$2,$B$2,1),0)),"",SUMIFS(DATA_GOC!$H:$H,DATA_GOC!$A:$A,"BOM",DATA_GOC!$D:$D,$B31,DATA_GOC!$F:$F,"Xuất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1" s="222">
        <f>IF($B31="","",IF(G$4&gt;DAY(EOMONTH(DATE($D$2,$B$2,1),0)),"",SUMIFS(DATA_GOC!$H:$H,DATA_GOC!$A:$A,"BOM",DATA_GOC!$D:$D,$B31,DATA_GOC!$F:$F,"Xuất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1" s="222">
        <f>IF($B31="","",IF(H$4&gt;DAY(EOMONTH(DATE($D$2,$B$2,1),0)),"",SUMIFS(DATA_GOC!$H:$H,DATA_GOC!$A:$A,"BOM",DATA_GOC!$D:$D,$B31,DATA_GOC!$F:$F,"Xuất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31" s="222">
        <f>IF($B31="","",IF(I$4&gt;DAY(EOMONTH(DATE($D$2,$B$2,1),0)),"",SUMIFS(DATA_GOC!$H:$H,DATA_GOC!$A:$A,"BOM",DATA_GOC!$D:$D,$B31,DATA_GOC!$F:$F,"Xuất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1" s="222">
        <f>IF($B31="","",IF(J$4&gt;DAY(EOMONTH(DATE($D$2,$B$2,1),0)),"",SUMIFS(DATA_GOC!$H:$H,DATA_GOC!$A:$A,"BOM",DATA_GOC!$D:$D,$B31,DATA_GOC!$F:$F,"Xuất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1" s="222">
        <f>IF($B31="","",IF(K$4&gt;DAY(EOMONTH(DATE($D$2,$B$2,1),0)),"",SUMIFS(DATA_GOC!$H:$H,DATA_GOC!$A:$A,"BOM",DATA_GOC!$D:$D,$B31,DATA_GOC!$F:$F,"Xuất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1" s="222">
        <f>IF($B31="","",IF(L$4&gt;DAY(EOMONTH(DATE($D$2,$B$2,1),0)),"",SUMIFS(DATA_GOC!$H:$H,DATA_GOC!$A:$A,"BOM",DATA_GOC!$D:$D,$B31,DATA_GOC!$F:$F,"Xuất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1" s="222">
        <f>IF($B31="","",IF(M$4&gt;DAY(EOMONTH(DATE($D$2,$B$2,1),0)),"",SUMIFS(DATA_GOC!$H:$H,DATA_GOC!$A:$A,"BOM",DATA_GOC!$D:$D,$B31,DATA_GOC!$F:$F,"Xuất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1" s="222">
        <f>IF($B31="","",IF(N$4&gt;DAY(EOMONTH(DATE($D$2,$B$2,1),0)),"",SUMIFS(DATA_GOC!$H:$H,DATA_GOC!$A:$A,"BOM",DATA_GOC!$D:$D,$B31,DATA_GOC!$F:$F,"Xuất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1" s="222">
        <f>IF($B31="","",IF(O$4&gt;DAY(EOMONTH(DATE($D$2,$B$2,1),0)),"",SUMIFS(DATA_GOC!$H:$H,DATA_GOC!$A:$A,"BOM",DATA_GOC!$D:$D,$B31,DATA_GOC!$F:$F,"Xuất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1" s="222">
        <f>IF($B31="","",IF(P$4&gt;DAY(EOMONTH(DATE($D$2,$B$2,1),0)),"",SUMIFS(DATA_GOC!$H:$H,DATA_GOC!$A:$A,"BOM",DATA_GOC!$D:$D,$B31,DATA_GOC!$F:$F,"Xuất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1" s="222">
        <f>IF($B31="","",IF(Q$4&gt;DAY(EOMONTH(DATE($D$2,$B$2,1),0)),"",SUMIFS(DATA_GOC!$H:$H,DATA_GOC!$A:$A,"BOM",DATA_GOC!$D:$D,$B31,DATA_GOC!$F:$F,"Xuất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1" s="222">
        <f>IF($B31="","",IF(R$4&gt;DAY(EOMONTH(DATE($D$2,$B$2,1),0)),"",SUMIFS(DATA_GOC!$H:$H,DATA_GOC!$A:$A,"BOM",DATA_GOC!$D:$D,$B31,DATA_GOC!$F:$F,"Xuất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1" s="222">
        <f>IF($B31="","",IF(S$4&gt;DAY(EOMONTH(DATE($D$2,$B$2,1),0)),"",SUMIFS(DATA_GOC!$H:$H,DATA_GOC!$A:$A,"BOM",DATA_GOC!$D:$D,$B31,DATA_GOC!$F:$F,"Xuất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1" s="222">
        <f>IF($B31="","",IF(T$4&gt;DAY(EOMONTH(DATE($D$2,$B$2,1),0)),"",SUMIFS(DATA_GOC!$H:$H,DATA_GOC!$A:$A,"BOM",DATA_GOC!$D:$D,$B31,DATA_GOC!$F:$F,"Xuất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1" s="222">
        <f>IF($B31="","",IF(U$4&gt;DAY(EOMONTH(DATE($D$2,$B$2,1),0)),"",SUMIFS(DATA_GOC!$H:$H,DATA_GOC!$A:$A,"BOM",DATA_GOC!$D:$D,$B31,DATA_GOC!$F:$F,"Xuất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1" s="222">
        <f>IF($B31="","",IF(V$4&gt;DAY(EOMONTH(DATE($D$2,$B$2,1),0)),"",SUMIFS(DATA_GOC!$H:$H,DATA_GOC!$A:$A,"BOM",DATA_GOC!$D:$D,$B31,DATA_GOC!$F:$F,"Xuất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1" s="222">
        <f>IF($B31="","",IF(W$4&gt;DAY(EOMONTH(DATE($D$2,$B$2,1),0)),"",SUMIFS(DATA_GOC!$H:$H,DATA_GOC!$A:$A,"BOM",DATA_GOC!$D:$D,$B31,DATA_GOC!$F:$F,"Xuất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1" s="222">
        <f>IF($B31="","",IF(X$4&gt;DAY(EOMONTH(DATE($D$2,$B$2,1),0)),"",SUMIFS(DATA_GOC!$H:$H,DATA_GOC!$A:$A,"BOM",DATA_GOC!$D:$D,$B31,DATA_GOC!$F:$F,"Xuất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1" s="222">
        <f>IF($B31="","",IF(Y$4&gt;DAY(EOMONTH(DATE($D$2,$B$2,1),0)),"",SUMIFS(DATA_GOC!$H:$H,DATA_GOC!$A:$A,"BOM",DATA_GOC!$D:$D,$B31,DATA_GOC!$F:$F,"Xuất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1" s="222">
        <f>IF($B31="","",IF(Z$4&gt;DAY(EOMONTH(DATE($D$2,$B$2,1),0)),"",SUMIFS(DATA_GOC!$H:$H,DATA_GOC!$A:$A,"BOM",DATA_GOC!$D:$D,$B31,DATA_GOC!$F:$F,"Xuất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1" s="222">
        <f>IF($B31="","",IF(AA$4&gt;DAY(EOMONTH(DATE($D$2,$B$2,1),0)),"",SUMIFS(DATA_GOC!$H:$H,DATA_GOC!$A:$A,"BOM",DATA_GOC!$D:$D,$B31,DATA_GOC!$F:$F,"Xuất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1" s="222">
        <f>IF($B31="","",IF(AB$4&gt;DAY(EOMONTH(DATE($D$2,$B$2,1),0)),"",SUMIFS(DATA_GOC!$H:$H,DATA_GOC!$A:$A,"BOM",DATA_GOC!$D:$D,$B31,DATA_GOC!$F:$F,"Xuất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1" s="222">
        <f>IF($B31="","",IF(AC$4&gt;DAY(EOMONTH(DATE($D$2,$B$2,1),0)),"",SUMIFS(DATA_GOC!$H:$H,DATA_GOC!$A:$A,"BOM",DATA_GOC!$D:$D,$B31,DATA_GOC!$F:$F,"Xuất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1" s="222">
        <f>IF($B31="","",IF(AD$4&gt;DAY(EOMONTH(DATE($D$2,$B$2,1),0)),"",SUMIFS(DATA_GOC!$H:$H,DATA_GOC!$A:$A,"BOM",DATA_GOC!$D:$D,$B31,DATA_GOC!$F:$F,"Xuất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1" s="222">
        <f>IF($B31="","",IF(AE$4&gt;DAY(EOMONTH(DATE($D$2,$B$2,1),0)),"",SUMIFS(DATA_GOC!$H:$H,DATA_GOC!$A:$A,"BOM",DATA_GOC!$D:$D,$B31,DATA_GOC!$F:$F,"Xuất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1" s="222">
        <f>IF($B31="","",IF(AF$4&gt;DAY(EOMONTH(DATE($D$2,$B$2,1),0)),"",SUMIFS(DATA_GOC!$H:$H,DATA_GOC!$A:$A,"BOM",DATA_GOC!$D:$D,$B31,DATA_GOC!$F:$F,"Xuất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1" s="222">
        <f>IF($B31="","",IF(AG$4&gt;DAY(EOMONTH(DATE($D$2,$B$2,1),0)),"",SUMIFS(DATA_GOC!$H:$H,DATA_GOC!$A:$A,"BOM",DATA_GOC!$D:$D,$B31,DATA_GOC!$F:$F,"Xuất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1" s="223">
        <f t="shared" si="2"/>
        <v>127</v>
      </c>
      <c r="AI31" s="224">
        <f>IF($B31="","",SUMIFS(DATA_GOC!$H:$H,DATA_GOC!$A:$A,"BOM",DATA_GOC!$D:$D,$B31,DATA_GOC!$F:$F,"Bơm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1" s="224">
        <f>IF($B31="","",SUMIFS(TINH_TEC!$K$233:$K$9232,TINH_TEC!$H$233:$H$9232,$B31,TINH_TEC!$F$233:$F$9232,$B$2,TINH_TEC!$G$233:$G$9232,$D$2,TINH_TEC!$B$233:$B$9232,"Đã chốt"))</f>
        <v>0</v>
      </c>
      <c r="AK31" s="224">
        <f>IF($B31="","",SUMIFS(TINH_TEC!$J$233:$J$9232,TINH_TEC!$H$233:$H$9232,$B31,TINH_TEC!$F$233:$F$9232,$B$2,TINH_TEC!$G$233:$G$9232,$D$2,TINH_TEC!$B$233:$B$9232,"Đã chốt"))</f>
        <v>29.18</v>
      </c>
      <c r="AL31" s="225">
        <f t="shared" si="3"/>
        <v>156.18</v>
      </c>
      <c r="AM31" s="222">
        <f>IF($B31="","",SUMIFS(DATA_GOC!$K:$K,DATA_GOC!$A:$A,"BOM",DATA_GOC!$D:$D,$B31,DATA_GOC!$G:$G,"DO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111</v>
      </c>
      <c r="AN31" s="226">
        <f t="shared" si="4"/>
        <v>140.7027027</v>
      </c>
      <c r="AO31" s="227">
        <f t="shared" si="5"/>
        <v>1.407027027</v>
      </c>
      <c r="AP31" s="226">
        <f>IF($B31="","",IFERROR(AO31-(SUMIFS(DATA_GOC!$H:$H,DATA_GOC!$A:$A,"BOM",DATA_GOC!$D:$D,$B31,DATA_GOC!$F:$F,"Xuất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0.3733494339</v>
      </c>
      <c r="AQ31" s="59">
        <v>1.0</v>
      </c>
      <c r="AR31" s="59">
        <v>2026.0</v>
      </c>
      <c r="AS31" s="59" t="s">
        <v>103</v>
      </c>
      <c r="AT31" s="59">
        <v>1721.488</v>
      </c>
      <c r="AU31" s="59">
        <v>0.0</v>
      </c>
      <c r="AV31" s="59">
        <v>1721.488</v>
      </c>
      <c r="AW31" s="59">
        <v>132.7</v>
      </c>
      <c r="AX31" s="59">
        <v>1297.27807083647</v>
      </c>
      <c r="AY31" s="59">
        <v>834.79</v>
      </c>
      <c r="AZ31" s="59">
        <v>886.698</v>
      </c>
      <c r="BA31" s="59">
        <v>35.79</v>
      </c>
      <c r="BB31" s="59">
        <v>0.0</v>
      </c>
      <c r="BC31" s="59" t="s">
        <v>386</v>
      </c>
    </row>
    <row r="32" ht="16.5" customHeight="1">
      <c r="A32" s="220">
        <f t="shared" si="1"/>
        <v>28</v>
      </c>
      <c r="B32" s="221" t="str">
        <f t="array" ref="B32">IFERROR(INDEX(DANH_MUC!$E:$E,ROW()-1),"")</f>
        <v>28C05661</v>
      </c>
      <c r="C32" s="222">
        <f>IF($B32="","",IF(C$4&gt;DAY(EOMONTH(DATE($D$2,$B$2,1),0)),"",SUMIFS(DATA_GOC!$H:$H,DATA_GOC!$A:$A,"BOM",DATA_GOC!$D:$D,$B32,DATA_GOC!$F:$F,"Xuất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2" s="222">
        <f>IF($B32="","",IF(D$4&gt;DAY(EOMONTH(DATE($D$2,$B$2,1),0)),"",SUMIFS(DATA_GOC!$H:$H,DATA_GOC!$A:$A,"BOM",DATA_GOC!$D:$D,$B32,DATA_GOC!$F:$F,"Xuất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2" s="222">
        <f>IF($B32="","",IF(E$4&gt;DAY(EOMONTH(DATE($D$2,$B$2,1),0)),"",SUMIFS(DATA_GOC!$H:$H,DATA_GOC!$A:$A,"BOM",DATA_GOC!$D:$D,$B32,DATA_GOC!$F:$F,"Xuất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32" s="222">
        <f>IF($B32="","",IF(F$4&gt;DAY(EOMONTH(DATE($D$2,$B$2,1),0)),"",SUMIFS(DATA_GOC!$H:$H,DATA_GOC!$A:$A,"BOM",DATA_GOC!$D:$D,$B32,DATA_GOC!$F:$F,"Xuất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2" s="222">
        <f>IF($B32="","",IF(G$4&gt;DAY(EOMONTH(DATE($D$2,$B$2,1),0)),"",SUMIFS(DATA_GOC!$H:$H,DATA_GOC!$A:$A,"BOM",DATA_GOC!$D:$D,$B32,DATA_GOC!$F:$F,"Xuất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2" s="222">
        <f>IF($B32="","",IF(H$4&gt;DAY(EOMONTH(DATE($D$2,$B$2,1),0)),"",SUMIFS(DATA_GOC!$H:$H,DATA_GOC!$A:$A,"BOM",DATA_GOC!$D:$D,$B32,DATA_GOC!$F:$F,"Xuất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32" s="222">
        <f>IF($B32="","",IF(I$4&gt;DAY(EOMONTH(DATE($D$2,$B$2,1),0)),"",SUMIFS(DATA_GOC!$H:$H,DATA_GOC!$A:$A,"BOM",DATA_GOC!$D:$D,$B32,DATA_GOC!$F:$F,"Xuất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2" s="222">
        <f>IF($B32="","",IF(J$4&gt;DAY(EOMONTH(DATE($D$2,$B$2,1),0)),"",SUMIFS(DATA_GOC!$H:$H,DATA_GOC!$A:$A,"BOM",DATA_GOC!$D:$D,$B32,DATA_GOC!$F:$F,"Xuất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2" s="222">
        <f>IF($B32="","",IF(K$4&gt;DAY(EOMONTH(DATE($D$2,$B$2,1),0)),"",SUMIFS(DATA_GOC!$H:$H,DATA_GOC!$A:$A,"BOM",DATA_GOC!$D:$D,$B32,DATA_GOC!$F:$F,"Xuất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2" s="222">
        <f>IF($B32="","",IF(L$4&gt;DAY(EOMONTH(DATE($D$2,$B$2,1),0)),"",SUMIFS(DATA_GOC!$H:$H,DATA_GOC!$A:$A,"BOM",DATA_GOC!$D:$D,$B32,DATA_GOC!$F:$F,"Xuất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2" s="222">
        <f>IF($B32="","",IF(M$4&gt;DAY(EOMONTH(DATE($D$2,$B$2,1),0)),"",SUMIFS(DATA_GOC!$H:$H,DATA_GOC!$A:$A,"BOM",DATA_GOC!$D:$D,$B32,DATA_GOC!$F:$F,"Xuất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2" s="222">
        <f>IF($B32="","",IF(N$4&gt;DAY(EOMONTH(DATE($D$2,$B$2,1),0)),"",SUMIFS(DATA_GOC!$H:$H,DATA_GOC!$A:$A,"BOM",DATA_GOC!$D:$D,$B32,DATA_GOC!$F:$F,"Xuất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2" s="222">
        <f>IF($B32="","",IF(O$4&gt;DAY(EOMONTH(DATE($D$2,$B$2,1),0)),"",SUMIFS(DATA_GOC!$H:$H,DATA_GOC!$A:$A,"BOM",DATA_GOC!$D:$D,$B32,DATA_GOC!$F:$F,"Xuất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2" s="222">
        <f>IF($B32="","",IF(P$4&gt;DAY(EOMONTH(DATE($D$2,$B$2,1),0)),"",SUMIFS(DATA_GOC!$H:$H,DATA_GOC!$A:$A,"BOM",DATA_GOC!$D:$D,$B32,DATA_GOC!$F:$F,"Xuất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2" s="222">
        <f>IF($B32="","",IF(Q$4&gt;DAY(EOMONTH(DATE($D$2,$B$2,1),0)),"",SUMIFS(DATA_GOC!$H:$H,DATA_GOC!$A:$A,"BOM",DATA_GOC!$D:$D,$B32,DATA_GOC!$F:$F,"Xuất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2" s="222">
        <f>IF($B32="","",IF(R$4&gt;DAY(EOMONTH(DATE($D$2,$B$2,1),0)),"",SUMIFS(DATA_GOC!$H:$H,DATA_GOC!$A:$A,"BOM",DATA_GOC!$D:$D,$B32,DATA_GOC!$F:$F,"Xuất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2" s="222">
        <f>IF($B32="","",IF(S$4&gt;DAY(EOMONTH(DATE($D$2,$B$2,1),0)),"",SUMIFS(DATA_GOC!$H:$H,DATA_GOC!$A:$A,"BOM",DATA_GOC!$D:$D,$B32,DATA_GOC!$F:$F,"Xuất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2" s="222">
        <f>IF($B32="","",IF(T$4&gt;DAY(EOMONTH(DATE($D$2,$B$2,1),0)),"",SUMIFS(DATA_GOC!$H:$H,DATA_GOC!$A:$A,"BOM",DATA_GOC!$D:$D,$B32,DATA_GOC!$F:$F,"Xuất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2" s="222">
        <f>IF($B32="","",IF(U$4&gt;DAY(EOMONTH(DATE($D$2,$B$2,1),0)),"",SUMIFS(DATA_GOC!$H:$H,DATA_GOC!$A:$A,"BOM",DATA_GOC!$D:$D,$B32,DATA_GOC!$F:$F,"Xuất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2" s="222">
        <f>IF($B32="","",IF(V$4&gt;DAY(EOMONTH(DATE($D$2,$B$2,1),0)),"",SUMIFS(DATA_GOC!$H:$H,DATA_GOC!$A:$A,"BOM",DATA_GOC!$D:$D,$B32,DATA_GOC!$F:$F,"Xuất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2" s="222">
        <f>IF($B32="","",IF(W$4&gt;DAY(EOMONTH(DATE($D$2,$B$2,1),0)),"",SUMIFS(DATA_GOC!$H:$H,DATA_GOC!$A:$A,"BOM",DATA_GOC!$D:$D,$B32,DATA_GOC!$F:$F,"Xuất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2" s="222">
        <f>IF($B32="","",IF(X$4&gt;DAY(EOMONTH(DATE($D$2,$B$2,1),0)),"",SUMIFS(DATA_GOC!$H:$H,DATA_GOC!$A:$A,"BOM",DATA_GOC!$D:$D,$B32,DATA_GOC!$F:$F,"Xuất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2" s="222">
        <f>IF($B32="","",IF(Y$4&gt;DAY(EOMONTH(DATE($D$2,$B$2,1),0)),"",SUMIFS(DATA_GOC!$H:$H,DATA_GOC!$A:$A,"BOM",DATA_GOC!$D:$D,$B32,DATA_GOC!$F:$F,"Xuất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2" s="222">
        <f>IF($B32="","",IF(Z$4&gt;DAY(EOMONTH(DATE($D$2,$B$2,1),0)),"",SUMIFS(DATA_GOC!$H:$H,DATA_GOC!$A:$A,"BOM",DATA_GOC!$D:$D,$B32,DATA_GOC!$F:$F,"Xuất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2" s="222">
        <f>IF($B32="","",IF(AA$4&gt;DAY(EOMONTH(DATE($D$2,$B$2,1),0)),"",SUMIFS(DATA_GOC!$H:$H,DATA_GOC!$A:$A,"BOM",DATA_GOC!$D:$D,$B32,DATA_GOC!$F:$F,"Xuất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2" s="222">
        <f>IF($B32="","",IF(AB$4&gt;DAY(EOMONTH(DATE($D$2,$B$2,1),0)),"",SUMIFS(DATA_GOC!$H:$H,DATA_GOC!$A:$A,"BOM",DATA_GOC!$D:$D,$B32,DATA_GOC!$F:$F,"Xuất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2" s="222">
        <f>IF($B32="","",IF(AC$4&gt;DAY(EOMONTH(DATE($D$2,$B$2,1),0)),"",SUMIFS(DATA_GOC!$H:$H,DATA_GOC!$A:$A,"BOM",DATA_GOC!$D:$D,$B32,DATA_GOC!$F:$F,"Xuất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2" s="222">
        <f>IF($B32="","",IF(AD$4&gt;DAY(EOMONTH(DATE($D$2,$B$2,1),0)),"",SUMIFS(DATA_GOC!$H:$H,DATA_GOC!$A:$A,"BOM",DATA_GOC!$D:$D,$B32,DATA_GOC!$F:$F,"Xuất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2" s="222">
        <f>IF($B32="","",IF(AE$4&gt;DAY(EOMONTH(DATE($D$2,$B$2,1),0)),"",SUMIFS(DATA_GOC!$H:$H,DATA_GOC!$A:$A,"BOM",DATA_GOC!$D:$D,$B32,DATA_GOC!$F:$F,"Xuất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2" s="222">
        <f>IF($B32="","",IF(AF$4&gt;DAY(EOMONTH(DATE($D$2,$B$2,1),0)),"",SUMIFS(DATA_GOC!$H:$H,DATA_GOC!$A:$A,"BOM",DATA_GOC!$D:$D,$B32,DATA_GOC!$F:$F,"Xuất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2" s="222">
        <f>IF($B32="","",IF(AG$4&gt;DAY(EOMONTH(DATE($D$2,$B$2,1),0)),"",SUMIFS(DATA_GOC!$H:$H,DATA_GOC!$A:$A,"BOM",DATA_GOC!$D:$D,$B32,DATA_GOC!$F:$F,"Xuất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2" s="223">
        <f t="shared" si="2"/>
        <v>0</v>
      </c>
      <c r="AI32" s="224">
        <f>IF($B32="","",SUMIFS(DATA_GOC!$H:$H,DATA_GOC!$A:$A,"BOM",DATA_GOC!$D:$D,$B32,DATA_GOC!$F:$F,"Bơm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2" s="224">
        <f>IF($B32="","",SUMIFS(TINH_TEC!$K$233:$K$9232,TINH_TEC!$H$233:$H$9232,$B32,TINH_TEC!$F$233:$F$9232,$B$2,TINH_TEC!$G$233:$G$9232,$D$2,TINH_TEC!$B$233:$B$9232,"Đã chốt"))</f>
        <v>0</v>
      </c>
      <c r="AK32" s="224">
        <f>IF($B32="","",SUMIFS(TINH_TEC!$J$233:$J$9232,TINH_TEC!$H$233:$H$9232,$B32,TINH_TEC!$F$233:$F$9232,$B$2,TINH_TEC!$G$233:$G$9232,$D$2,TINH_TEC!$B$233:$B$9232,"Đã chốt"))</f>
        <v>0</v>
      </c>
      <c r="AL32" s="225">
        <f t="shared" si="3"/>
        <v>0</v>
      </c>
      <c r="AM32" s="222">
        <f>IF($B32="","",SUMIFS(DATA_GOC!$K:$K,DATA_GOC!$A:$A,"BOM",DATA_GOC!$D:$D,$B32,DATA_GOC!$G:$G,"DO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32" s="226" t="str">
        <f t="shared" si="4"/>
        <v/>
      </c>
      <c r="AO32" s="227" t="str">
        <f t="shared" si="5"/>
        <v/>
      </c>
      <c r="AP32" s="226" t="str">
        <f>IF($B32="","",IFERROR(AO32-(SUMIFS(DATA_GOC!$H:$H,DATA_GOC!$A:$A,"BOM",DATA_GOC!$D:$D,$B32,DATA_GOC!$F:$F,"Xuất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32" s="59">
        <v>1.0</v>
      </c>
      <c r="AR32" s="59">
        <v>2026.0</v>
      </c>
      <c r="AS32" s="59" t="s">
        <v>92</v>
      </c>
      <c r="AT32" s="59">
        <v>217.711</v>
      </c>
      <c r="AU32" s="59">
        <v>0.0</v>
      </c>
      <c r="AV32" s="59">
        <v>217.711</v>
      </c>
      <c r="AW32" s="59">
        <v>476.0</v>
      </c>
      <c r="AX32" s="59">
        <v>45.7376050420168</v>
      </c>
      <c r="AY32" s="59">
        <v>0.0</v>
      </c>
      <c r="AZ32" s="59">
        <v>217.711</v>
      </c>
      <c r="BA32" s="59">
        <v>0.0</v>
      </c>
      <c r="BB32" s="59">
        <v>0.0</v>
      </c>
      <c r="BC32" s="59" t="s">
        <v>387</v>
      </c>
    </row>
    <row r="33" ht="16.5" customHeight="1">
      <c r="A33" s="220">
        <f t="shared" si="1"/>
        <v>29</v>
      </c>
      <c r="B33" s="221" t="str">
        <f t="array" ref="B33">IFERROR(INDEX(DANH_MUC!$E:$E,ROW()-1),"")</f>
        <v>28C05739</v>
      </c>
      <c r="C33" s="222">
        <f>IF($B33="","",IF(C$4&gt;DAY(EOMONTH(DATE($D$2,$B$2,1),0)),"",SUMIFS(DATA_GOC!$H:$H,DATA_GOC!$A:$A,"BOM",DATA_GOC!$D:$D,$B33,DATA_GOC!$F:$F,"Xuất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3" s="222">
        <f>IF($B33="","",IF(D$4&gt;DAY(EOMONTH(DATE($D$2,$B$2,1),0)),"",SUMIFS(DATA_GOC!$H:$H,DATA_GOC!$A:$A,"BOM",DATA_GOC!$D:$D,$B33,DATA_GOC!$F:$F,"Xuất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3" s="222">
        <f>IF($B33="","",IF(E$4&gt;DAY(EOMONTH(DATE($D$2,$B$2,1),0)),"",SUMIFS(DATA_GOC!$H:$H,DATA_GOC!$A:$A,"BOM",DATA_GOC!$D:$D,$B33,DATA_GOC!$F:$F,"Xuất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33" s="222">
        <f>IF($B33="","",IF(F$4&gt;DAY(EOMONTH(DATE($D$2,$B$2,1),0)),"",SUMIFS(DATA_GOC!$H:$H,DATA_GOC!$A:$A,"BOM",DATA_GOC!$D:$D,$B33,DATA_GOC!$F:$F,"Xuất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222</v>
      </c>
      <c r="G33" s="222">
        <f>IF($B33="","",IF(G$4&gt;DAY(EOMONTH(DATE($D$2,$B$2,1),0)),"",SUMIFS(DATA_GOC!$H:$H,DATA_GOC!$A:$A,"BOM",DATA_GOC!$D:$D,$B33,DATA_GOC!$F:$F,"Xuất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3" s="222">
        <f>IF($B33="","",IF(H$4&gt;DAY(EOMONTH(DATE($D$2,$B$2,1),0)),"",SUMIFS(DATA_GOC!$H:$H,DATA_GOC!$A:$A,"BOM",DATA_GOC!$D:$D,$B33,DATA_GOC!$F:$F,"Xuất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33" s="222">
        <f>IF($B33="","",IF(I$4&gt;DAY(EOMONTH(DATE($D$2,$B$2,1),0)),"",SUMIFS(DATA_GOC!$H:$H,DATA_GOC!$A:$A,"BOM",DATA_GOC!$D:$D,$B33,DATA_GOC!$F:$F,"Xuất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3" s="222">
        <f>IF($B33="","",IF(J$4&gt;DAY(EOMONTH(DATE($D$2,$B$2,1),0)),"",SUMIFS(DATA_GOC!$H:$H,DATA_GOC!$A:$A,"BOM",DATA_GOC!$D:$D,$B33,DATA_GOC!$F:$F,"Xuất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3" s="222">
        <f>IF($B33="","",IF(K$4&gt;DAY(EOMONTH(DATE($D$2,$B$2,1),0)),"",SUMIFS(DATA_GOC!$H:$H,DATA_GOC!$A:$A,"BOM",DATA_GOC!$D:$D,$B33,DATA_GOC!$F:$F,"Xuất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3" s="222">
        <f>IF($B33="","",IF(L$4&gt;DAY(EOMONTH(DATE($D$2,$B$2,1),0)),"",SUMIFS(DATA_GOC!$H:$H,DATA_GOC!$A:$A,"BOM",DATA_GOC!$D:$D,$B33,DATA_GOC!$F:$F,"Xuất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3" s="222">
        <f>IF($B33="","",IF(M$4&gt;DAY(EOMONTH(DATE($D$2,$B$2,1),0)),"",SUMIFS(DATA_GOC!$H:$H,DATA_GOC!$A:$A,"BOM",DATA_GOC!$D:$D,$B33,DATA_GOC!$F:$F,"Xuất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3" s="222">
        <f>IF($B33="","",IF(N$4&gt;DAY(EOMONTH(DATE($D$2,$B$2,1),0)),"",SUMIFS(DATA_GOC!$H:$H,DATA_GOC!$A:$A,"BOM",DATA_GOC!$D:$D,$B33,DATA_GOC!$F:$F,"Xuất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3" s="222">
        <f>IF($B33="","",IF(O$4&gt;DAY(EOMONTH(DATE($D$2,$B$2,1),0)),"",SUMIFS(DATA_GOC!$H:$H,DATA_GOC!$A:$A,"BOM",DATA_GOC!$D:$D,$B33,DATA_GOC!$F:$F,"Xuất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3" s="222">
        <f>IF($B33="","",IF(P$4&gt;DAY(EOMONTH(DATE($D$2,$B$2,1),0)),"",SUMIFS(DATA_GOC!$H:$H,DATA_GOC!$A:$A,"BOM",DATA_GOC!$D:$D,$B33,DATA_GOC!$F:$F,"Xuất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3" s="222">
        <f>IF($B33="","",IF(Q$4&gt;DAY(EOMONTH(DATE($D$2,$B$2,1),0)),"",SUMIFS(DATA_GOC!$H:$H,DATA_GOC!$A:$A,"BOM",DATA_GOC!$D:$D,$B33,DATA_GOC!$F:$F,"Xuất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3" s="222">
        <f>IF($B33="","",IF(R$4&gt;DAY(EOMONTH(DATE($D$2,$B$2,1),0)),"",SUMIFS(DATA_GOC!$H:$H,DATA_GOC!$A:$A,"BOM",DATA_GOC!$D:$D,$B33,DATA_GOC!$F:$F,"Xuất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3" s="222">
        <f>IF($B33="","",IF(S$4&gt;DAY(EOMONTH(DATE($D$2,$B$2,1),0)),"",SUMIFS(DATA_GOC!$H:$H,DATA_GOC!$A:$A,"BOM",DATA_GOC!$D:$D,$B33,DATA_GOC!$F:$F,"Xuất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3" s="222">
        <f>IF($B33="","",IF(T$4&gt;DAY(EOMONTH(DATE($D$2,$B$2,1),0)),"",SUMIFS(DATA_GOC!$H:$H,DATA_GOC!$A:$A,"BOM",DATA_GOC!$D:$D,$B33,DATA_GOC!$F:$F,"Xuất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3" s="222">
        <f>IF($B33="","",IF(U$4&gt;DAY(EOMONTH(DATE($D$2,$B$2,1),0)),"",SUMIFS(DATA_GOC!$H:$H,DATA_GOC!$A:$A,"BOM",DATA_GOC!$D:$D,$B33,DATA_GOC!$F:$F,"Xuất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3" s="222">
        <f>IF($B33="","",IF(V$4&gt;DAY(EOMONTH(DATE($D$2,$B$2,1),0)),"",SUMIFS(DATA_GOC!$H:$H,DATA_GOC!$A:$A,"BOM",DATA_GOC!$D:$D,$B33,DATA_GOC!$F:$F,"Xuất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3" s="222">
        <f>IF($B33="","",IF(W$4&gt;DAY(EOMONTH(DATE($D$2,$B$2,1),0)),"",SUMIFS(DATA_GOC!$H:$H,DATA_GOC!$A:$A,"BOM",DATA_GOC!$D:$D,$B33,DATA_GOC!$F:$F,"Xuất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3" s="222">
        <f>IF($B33="","",IF(X$4&gt;DAY(EOMONTH(DATE($D$2,$B$2,1),0)),"",SUMIFS(DATA_GOC!$H:$H,DATA_GOC!$A:$A,"BOM",DATA_GOC!$D:$D,$B33,DATA_GOC!$F:$F,"Xuất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3" s="222">
        <f>IF($B33="","",IF(Y$4&gt;DAY(EOMONTH(DATE($D$2,$B$2,1),0)),"",SUMIFS(DATA_GOC!$H:$H,DATA_GOC!$A:$A,"BOM",DATA_GOC!$D:$D,$B33,DATA_GOC!$F:$F,"Xuất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3" s="222">
        <f>IF($B33="","",IF(Z$4&gt;DAY(EOMONTH(DATE($D$2,$B$2,1),0)),"",SUMIFS(DATA_GOC!$H:$H,DATA_GOC!$A:$A,"BOM",DATA_GOC!$D:$D,$B33,DATA_GOC!$F:$F,"Xuất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3" s="222">
        <f>IF($B33="","",IF(AA$4&gt;DAY(EOMONTH(DATE($D$2,$B$2,1),0)),"",SUMIFS(DATA_GOC!$H:$H,DATA_GOC!$A:$A,"BOM",DATA_GOC!$D:$D,$B33,DATA_GOC!$F:$F,"Xuất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3" s="222">
        <f>IF($B33="","",IF(AB$4&gt;DAY(EOMONTH(DATE($D$2,$B$2,1),0)),"",SUMIFS(DATA_GOC!$H:$H,DATA_GOC!$A:$A,"BOM",DATA_GOC!$D:$D,$B33,DATA_GOC!$F:$F,"Xuất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3" s="222">
        <f>IF($B33="","",IF(AC$4&gt;DAY(EOMONTH(DATE($D$2,$B$2,1),0)),"",SUMIFS(DATA_GOC!$H:$H,DATA_GOC!$A:$A,"BOM",DATA_GOC!$D:$D,$B33,DATA_GOC!$F:$F,"Xuất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3" s="222">
        <f>IF($B33="","",IF(AD$4&gt;DAY(EOMONTH(DATE($D$2,$B$2,1),0)),"",SUMIFS(DATA_GOC!$H:$H,DATA_GOC!$A:$A,"BOM",DATA_GOC!$D:$D,$B33,DATA_GOC!$F:$F,"Xuất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3" s="222">
        <f>IF($B33="","",IF(AE$4&gt;DAY(EOMONTH(DATE($D$2,$B$2,1),0)),"",SUMIFS(DATA_GOC!$H:$H,DATA_GOC!$A:$A,"BOM",DATA_GOC!$D:$D,$B33,DATA_GOC!$F:$F,"Xuất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3" s="222">
        <f>IF($B33="","",IF(AF$4&gt;DAY(EOMONTH(DATE($D$2,$B$2,1),0)),"",SUMIFS(DATA_GOC!$H:$H,DATA_GOC!$A:$A,"BOM",DATA_GOC!$D:$D,$B33,DATA_GOC!$F:$F,"Xuất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3" s="222">
        <f>IF($B33="","",IF(AG$4&gt;DAY(EOMONTH(DATE($D$2,$B$2,1),0)),"",SUMIFS(DATA_GOC!$H:$H,DATA_GOC!$A:$A,"BOM",DATA_GOC!$D:$D,$B33,DATA_GOC!$F:$F,"Xuất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3" s="223">
        <f t="shared" si="2"/>
        <v>222</v>
      </c>
      <c r="AI33" s="224">
        <f>IF($B33="","",SUMIFS(DATA_GOC!$H:$H,DATA_GOC!$A:$A,"BOM",DATA_GOC!$D:$D,$B33,DATA_GOC!$F:$F,"Bơm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3" s="224">
        <f>IF($B33="","",SUMIFS(TINH_TEC!$K$233:$K$9232,TINH_TEC!$H$233:$H$9232,$B33,TINH_TEC!$F$233:$F$9232,$B$2,TINH_TEC!$G$233:$G$9232,$D$2,TINH_TEC!$B$233:$B$9232,"Đã chốt"))</f>
        <v>0</v>
      </c>
      <c r="AK33" s="224">
        <f>IF($B33="","",SUMIFS(TINH_TEC!$J$233:$J$9232,TINH_TEC!$H$233:$H$9232,$B33,TINH_TEC!$F$233:$F$9232,$B$2,TINH_TEC!$G$233:$G$9232,$D$2,TINH_TEC!$B$233:$B$9232,"Đã chốt"))</f>
        <v>39.78</v>
      </c>
      <c r="AL33" s="225">
        <f t="shared" si="3"/>
        <v>261.78</v>
      </c>
      <c r="AM33" s="222">
        <f>IF($B33="","",SUMIFS(DATA_GOC!$K:$K,DATA_GOC!$A:$A,"BOM",DATA_GOC!$D:$D,$B33,DATA_GOC!$G:$G,"DO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494</v>
      </c>
      <c r="AN33" s="226">
        <f t="shared" si="4"/>
        <v>52.99190283</v>
      </c>
      <c r="AO33" s="227">
        <f t="shared" si="5"/>
        <v>0.5299190283</v>
      </c>
      <c r="AP33" s="226">
        <f>IF($B33="","",IFERROR(AO33-(SUMIFS(DATA_GOC!$H:$H,DATA_GOC!$A:$A,"BOM",DATA_GOC!$D:$D,$B33,DATA_GOC!$F:$F,"Xuất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0.02754711183</v>
      </c>
      <c r="AQ33" s="59">
        <v>1.0</v>
      </c>
      <c r="AR33" s="59">
        <v>2026.0</v>
      </c>
      <c r="AS33" s="59" t="s">
        <v>145</v>
      </c>
      <c r="AT33" s="59">
        <v>1814.473</v>
      </c>
      <c r="AU33" s="59">
        <v>0.0</v>
      </c>
      <c r="AV33" s="59">
        <v>1814.473</v>
      </c>
      <c r="AW33" s="59">
        <v>3755.0</v>
      </c>
      <c r="AX33" s="59">
        <v>48.321517976032</v>
      </c>
      <c r="AY33" s="59">
        <v>917.95</v>
      </c>
      <c r="AZ33" s="59">
        <v>896.523</v>
      </c>
      <c r="BA33" s="59">
        <v>40.95</v>
      </c>
      <c r="BB33" s="59">
        <v>0.0</v>
      </c>
      <c r="BC33" s="59" t="s">
        <v>388</v>
      </c>
    </row>
    <row r="34" ht="16.5" customHeight="1">
      <c r="A34" s="220">
        <f t="shared" si="1"/>
        <v>30</v>
      </c>
      <c r="B34" s="221" t="str">
        <f t="array" ref="B34">IFERROR(INDEX(DANH_MUC!$E:$E,ROW()-1),"")</f>
        <v>28C06369</v>
      </c>
      <c r="C34" s="222">
        <f>IF($B34="","",IF(C$4&gt;DAY(EOMONTH(DATE($D$2,$B$2,1),0)),"",SUMIFS(DATA_GOC!$H:$H,DATA_GOC!$A:$A,"BOM",DATA_GOC!$D:$D,$B34,DATA_GOC!$F:$F,"Xuất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4" s="222">
        <f>IF($B34="","",IF(D$4&gt;DAY(EOMONTH(DATE($D$2,$B$2,1),0)),"",SUMIFS(DATA_GOC!$H:$H,DATA_GOC!$A:$A,"BOM",DATA_GOC!$D:$D,$B34,DATA_GOC!$F:$F,"Xuất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4" s="222">
        <f>IF($B34="","",IF(E$4&gt;DAY(EOMONTH(DATE($D$2,$B$2,1),0)),"",SUMIFS(DATA_GOC!$H:$H,DATA_GOC!$A:$A,"BOM",DATA_GOC!$D:$D,$B34,DATA_GOC!$F:$F,"Xuất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34" s="222">
        <f>IF($B34="","",IF(F$4&gt;DAY(EOMONTH(DATE($D$2,$B$2,1),0)),"",SUMIFS(DATA_GOC!$H:$H,DATA_GOC!$A:$A,"BOM",DATA_GOC!$D:$D,$B34,DATA_GOC!$F:$F,"Xuất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4" s="222">
        <f>IF($B34="","",IF(G$4&gt;DAY(EOMONTH(DATE($D$2,$B$2,1),0)),"",SUMIFS(DATA_GOC!$H:$H,DATA_GOC!$A:$A,"BOM",DATA_GOC!$D:$D,$B34,DATA_GOC!$F:$F,"Xuất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4" s="222">
        <f>IF($B34="","",IF(H$4&gt;DAY(EOMONTH(DATE($D$2,$B$2,1),0)),"",SUMIFS(DATA_GOC!$H:$H,DATA_GOC!$A:$A,"BOM",DATA_GOC!$D:$D,$B34,DATA_GOC!$F:$F,"Xuất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210</v>
      </c>
      <c r="I34" s="222">
        <f>IF($B34="","",IF(I$4&gt;DAY(EOMONTH(DATE($D$2,$B$2,1),0)),"",SUMIFS(DATA_GOC!$H:$H,DATA_GOC!$A:$A,"BOM",DATA_GOC!$D:$D,$B34,DATA_GOC!$F:$F,"Xuất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4" s="222">
        <f>IF($B34="","",IF(J$4&gt;DAY(EOMONTH(DATE($D$2,$B$2,1),0)),"",SUMIFS(DATA_GOC!$H:$H,DATA_GOC!$A:$A,"BOM",DATA_GOC!$D:$D,$B34,DATA_GOC!$F:$F,"Xuất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4" s="222">
        <f>IF($B34="","",IF(K$4&gt;DAY(EOMONTH(DATE($D$2,$B$2,1),0)),"",SUMIFS(DATA_GOC!$H:$H,DATA_GOC!$A:$A,"BOM",DATA_GOC!$D:$D,$B34,DATA_GOC!$F:$F,"Xuất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4" s="222">
        <f>IF($B34="","",IF(L$4&gt;DAY(EOMONTH(DATE($D$2,$B$2,1),0)),"",SUMIFS(DATA_GOC!$H:$H,DATA_GOC!$A:$A,"BOM",DATA_GOC!$D:$D,$B34,DATA_GOC!$F:$F,"Xuất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4" s="222">
        <f>IF($B34="","",IF(M$4&gt;DAY(EOMONTH(DATE($D$2,$B$2,1),0)),"",SUMIFS(DATA_GOC!$H:$H,DATA_GOC!$A:$A,"BOM",DATA_GOC!$D:$D,$B34,DATA_GOC!$F:$F,"Xuất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4" s="222">
        <f>IF($B34="","",IF(N$4&gt;DAY(EOMONTH(DATE($D$2,$B$2,1),0)),"",SUMIFS(DATA_GOC!$H:$H,DATA_GOC!$A:$A,"BOM",DATA_GOC!$D:$D,$B34,DATA_GOC!$F:$F,"Xuất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4" s="222">
        <f>IF($B34="","",IF(O$4&gt;DAY(EOMONTH(DATE($D$2,$B$2,1),0)),"",SUMIFS(DATA_GOC!$H:$H,DATA_GOC!$A:$A,"BOM",DATA_GOC!$D:$D,$B34,DATA_GOC!$F:$F,"Xuất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4" s="222">
        <f>IF($B34="","",IF(P$4&gt;DAY(EOMONTH(DATE($D$2,$B$2,1),0)),"",SUMIFS(DATA_GOC!$H:$H,DATA_GOC!$A:$A,"BOM",DATA_GOC!$D:$D,$B34,DATA_GOC!$F:$F,"Xuất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4" s="222">
        <f>IF($B34="","",IF(Q$4&gt;DAY(EOMONTH(DATE($D$2,$B$2,1),0)),"",SUMIFS(DATA_GOC!$H:$H,DATA_GOC!$A:$A,"BOM",DATA_GOC!$D:$D,$B34,DATA_GOC!$F:$F,"Xuất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4" s="222">
        <f>IF($B34="","",IF(R$4&gt;DAY(EOMONTH(DATE($D$2,$B$2,1),0)),"",SUMIFS(DATA_GOC!$H:$H,DATA_GOC!$A:$A,"BOM",DATA_GOC!$D:$D,$B34,DATA_GOC!$F:$F,"Xuất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4" s="222">
        <f>IF($B34="","",IF(S$4&gt;DAY(EOMONTH(DATE($D$2,$B$2,1),0)),"",SUMIFS(DATA_GOC!$H:$H,DATA_GOC!$A:$A,"BOM",DATA_GOC!$D:$D,$B34,DATA_GOC!$F:$F,"Xuất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4" s="222">
        <f>IF($B34="","",IF(T$4&gt;DAY(EOMONTH(DATE($D$2,$B$2,1),0)),"",SUMIFS(DATA_GOC!$H:$H,DATA_GOC!$A:$A,"BOM",DATA_GOC!$D:$D,$B34,DATA_GOC!$F:$F,"Xuất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4" s="222">
        <f>IF($B34="","",IF(U$4&gt;DAY(EOMONTH(DATE($D$2,$B$2,1),0)),"",SUMIFS(DATA_GOC!$H:$H,DATA_GOC!$A:$A,"BOM",DATA_GOC!$D:$D,$B34,DATA_GOC!$F:$F,"Xuất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4" s="222">
        <f>IF($B34="","",IF(V$4&gt;DAY(EOMONTH(DATE($D$2,$B$2,1),0)),"",SUMIFS(DATA_GOC!$H:$H,DATA_GOC!$A:$A,"BOM",DATA_GOC!$D:$D,$B34,DATA_GOC!$F:$F,"Xuất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4" s="222">
        <f>IF($B34="","",IF(W$4&gt;DAY(EOMONTH(DATE($D$2,$B$2,1),0)),"",SUMIFS(DATA_GOC!$H:$H,DATA_GOC!$A:$A,"BOM",DATA_GOC!$D:$D,$B34,DATA_GOC!$F:$F,"Xuất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4" s="222">
        <f>IF($B34="","",IF(X$4&gt;DAY(EOMONTH(DATE($D$2,$B$2,1),0)),"",SUMIFS(DATA_GOC!$H:$H,DATA_GOC!$A:$A,"BOM",DATA_GOC!$D:$D,$B34,DATA_GOC!$F:$F,"Xuất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4" s="222">
        <f>IF($B34="","",IF(Y$4&gt;DAY(EOMONTH(DATE($D$2,$B$2,1),0)),"",SUMIFS(DATA_GOC!$H:$H,DATA_GOC!$A:$A,"BOM",DATA_GOC!$D:$D,$B34,DATA_GOC!$F:$F,"Xuất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4" s="222">
        <f>IF($B34="","",IF(Z$4&gt;DAY(EOMONTH(DATE($D$2,$B$2,1),0)),"",SUMIFS(DATA_GOC!$H:$H,DATA_GOC!$A:$A,"BOM",DATA_GOC!$D:$D,$B34,DATA_GOC!$F:$F,"Xuất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4" s="222">
        <f>IF($B34="","",IF(AA$4&gt;DAY(EOMONTH(DATE($D$2,$B$2,1),0)),"",SUMIFS(DATA_GOC!$H:$H,DATA_GOC!$A:$A,"BOM",DATA_GOC!$D:$D,$B34,DATA_GOC!$F:$F,"Xuất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4" s="222">
        <f>IF($B34="","",IF(AB$4&gt;DAY(EOMONTH(DATE($D$2,$B$2,1),0)),"",SUMIFS(DATA_GOC!$H:$H,DATA_GOC!$A:$A,"BOM",DATA_GOC!$D:$D,$B34,DATA_GOC!$F:$F,"Xuất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4" s="222">
        <f>IF($B34="","",IF(AC$4&gt;DAY(EOMONTH(DATE($D$2,$B$2,1),0)),"",SUMIFS(DATA_GOC!$H:$H,DATA_GOC!$A:$A,"BOM",DATA_GOC!$D:$D,$B34,DATA_GOC!$F:$F,"Xuất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4" s="222">
        <f>IF($B34="","",IF(AD$4&gt;DAY(EOMONTH(DATE($D$2,$B$2,1),0)),"",SUMIFS(DATA_GOC!$H:$H,DATA_GOC!$A:$A,"BOM",DATA_GOC!$D:$D,$B34,DATA_GOC!$F:$F,"Xuất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4" s="222">
        <f>IF($B34="","",IF(AE$4&gt;DAY(EOMONTH(DATE($D$2,$B$2,1),0)),"",SUMIFS(DATA_GOC!$H:$H,DATA_GOC!$A:$A,"BOM",DATA_GOC!$D:$D,$B34,DATA_GOC!$F:$F,"Xuất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4" s="222">
        <f>IF($B34="","",IF(AF$4&gt;DAY(EOMONTH(DATE($D$2,$B$2,1),0)),"",SUMIFS(DATA_GOC!$H:$H,DATA_GOC!$A:$A,"BOM",DATA_GOC!$D:$D,$B34,DATA_GOC!$F:$F,"Xuất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4" s="222">
        <f>IF($B34="","",IF(AG$4&gt;DAY(EOMONTH(DATE($D$2,$B$2,1),0)),"",SUMIFS(DATA_GOC!$H:$H,DATA_GOC!$A:$A,"BOM",DATA_GOC!$D:$D,$B34,DATA_GOC!$F:$F,"Xuất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4" s="223">
        <f t="shared" si="2"/>
        <v>210</v>
      </c>
      <c r="AI34" s="224">
        <f>IF($B34="","",SUMIFS(DATA_GOC!$H:$H,DATA_GOC!$A:$A,"BOM",DATA_GOC!$D:$D,$B34,DATA_GOC!$F:$F,"Bơm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4" s="224">
        <f>IF($B34="","",SUMIFS(TINH_TEC!$K$233:$K$9232,TINH_TEC!$H$233:$H$9232,$B34,TINH_TEC!$F$233:$F$9232,$B$2,TINH_TEC!$G$233:$G$9232,$D$2,TINH_TEC!$B$233:$B$9232,"Đã chốt"))</f>
        <v>0</v>
      </c>
      <c r="AK34" s="224">
        <f>IF($B34="","",SUMIFS(TINH_TEC!$J$233:$J$9232,TINH_TEC!$H$233:$H$9232,$B34,TINH_TEC!$F$233:$F$9232,$B$2,TINH_TEC!$G$233:$G$9232,$D$2,TINH_TEC!$B$233:$B$9232,"Đã chốt"))</f>
        <v>35.644</v>
      </c>
      <c r="AL34" s="225">
        <f t="shared" si="3"/>
        <v>245.644</v>
      </c>
      <c r="AM34" s="222">
        <f>IF($B34="","",SUMIFS(DATA_GOC!$K:$K,DATA_GOC!$A:$A,"BOM",DATA_GOC!$D:$D,$B34,DATA_GOC!$G:$G,"DO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503</v>
      </c>
      <c r="AN34" s="226">
        <f t="shared" si="4"/>
        <v>48.83578529</v>
      </c>
      <c r="AO34" s="227">
        <f t="shared" si="5"/>
        <v>0.4883578529</v>
      </c>
      <c r="AP34" s="226">
        <f>IF($B34="","",IFERROR(AO34-(SUMIFS(DATA_GOC!$H:$H,DATA_GOC!$A:$A,"BOM",DATA_GOC!$D:$D,$B34,DATA_GOC!$F:$F,"Xuất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0.0220779399</v>
      </c>
      <c r="AQ34" s="59">
        <v>1.0</v>
      </c>
      <c r="AR34" s="59">
        <v>2026.0</v>
      </c>
      <c r="AS34" s="59" t="s">
        <v>87</v>
      </c>
      <c r="AT34" s="59">
        <v>2009.347</v>
      </c>
      <c r="AU34" s="59">
        <v>0.0</v>
      </c>
      <c r="AV34" s="59">
        <v>2009.347</v>
      </c>
      <c r="AW34" s="59">
        <v>4104.0</v>
      </c>
      <c r="AX34" s="59">
        <v>48.9606968810916</v>
      </c>
      <c r="AY34" s="59">
        <v>1027.2</v>
      </c>
      <c r="AZ34" s="59">
        <v>982.147</v>
      </c>
      <c r="BA34" s="59">
        <v>46.2</v>
      </c>
      <c r="BB34" s="59">
        <v>0.0</v>
      </c>
      <c r="BC34" s="59" t="s">
        <v>389</v>
      </c>
    </row>
    <row r="35" ht="16.5" customHeight="1">
      <c r="A35" s="220">
        <f t="shared" si="1"/>
        <v>31</v>
      </c>
      <c r="B35" s="221" t="str">
        <f t="array" ref="B35">IFERROR(INDEX(DANH_MUC!$E:$E,ROW()-1),"")</f>
        <v>28C06447</v>
      </c>
      <c r="C35" s="222">
        <f>IF($B35="","",IF(C$4&gt;DAY(EOMONTH(DATE($D$2,$B$2,1),0)),"",SUMIFS(DATA_GOC!$H:$H,DATA_GOC!$A:$A,"BOM",DATA_GOC!$D:$D,$B35,DATA_GOC!$F:$F,"Xuất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5" s="222">
        <f>IF($B35="","",IF(D$4&gt;DAY(EOMONTH(DATE($D$2,$B$2,1),0)),"",SUMIFS(DATA_GOC!$H:$H,DATA_GOC!$A:$A,"BOM",DATA_GOC!$D:$D,$B35,DATA_GOC!$F:$F,"Xuất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5" s="222">
        <f>IF($B35="","",IF(E$4&gt;DAY(EOMONTH(DATE($D$2,$B$2,1),0)),"",SUMIFS(DATA_GOC!$H:$H,DATA_GOC!$A:$A,"BOM",DATA_GOC!$D:$D,$B35,DATA_GOC!$F:$F,"Xuất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310</v>
      </c>
      <c r="F35" s="222">
        <f>IF($B35="","",IF(F$4&gt;DAY(EOMONTH(DATE($D$2,$B$2,1),0)),"",SUMIFS(DATA_GOC!$H:$H,DATA_GOC!$A:$A,"BOM",DATA_GOC!$D:$D,$B35,DATA_GOC!$F:$F,"Xuất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5" s="222">
        <f>IF($B35="","",IF(G$4&gt;DAY(EOMONTH(DATE($D$2,$B$2,1),0)),"",SUMIFS(DATA_GOC!$H:$H,DATA_GOC!$A:$A,"BOM",DATA_GOC!$D:$D,$B35,DATA_GOC!$F:$F,"Xuất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5" s="222">
        <f>IF($B35="","",IF(H$4&gt;DAY(EOMONTH(DATE($D$2,$B$2,1),0)),"",SUMIFS(DATA_GOC!$H:$H,DATA_GOC!$A:$A,"BOM",DATA_GOC!$D:$D,$B35,DATA_GOC!$F:$F,"Xuất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35" s="222">
        <f>IF($B35="","",IF(I$4&gt;DAY(EOMONTH(DATE($D$2,$B$2,1),0)),"",SUMIFS(DATA_GOC!$H:$H,DATA_GOC!$A:$A,"BOM",DATA_GOC!$D:$D,$B35,DATA_GOC!$F:$F,"Xuất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5" s="222">
        <f>IF($B35="","",IF(J$4&gt;DAY(EOMONTH(DATE($D$2,$B$2,1),0)),"",SUMIFS(DATA_GOC!$H:$H,DATA_GOC!$A:$A,"BOM",DATA_GOC!$D:$D,$B35,DATA_GOC!$F:$F,"Xuất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5" s="222">
        <f>IF($B35="","",IF(K$4&gt;DAY(EOMONTH(DATE($D$2,$B$2,1),0)),"",SUMIFS(DATA_GOC!$H:$H,DATA_GOC!$A:$A,"BOM",DATA_GOC!$D:$D,$B35,DATA_GOC!$F:$F,"Xuất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5" s="222">
        <f>IF($B35="","",IF(L$4&gt;DAY(EOMONTH(DATE($D$2,$B$2,1),0)),"",SUMIFS(DATA_GOC!$H:$H,DATA_GOC!$A:$A,"BOM",DATA_GOC!$D:$D,$B35,DATA_GOC!$F:$F,"Xuất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5" s="222">
        <f>IF($B35="","",IF(M$4&gt;DAY(EOMONTH(DATE($D$2,$B$2,1),0)),"",SUMIFS(DATA_GOC!$H:$H,DATA_GOC!$A:$A,"BOM",DATA_GOC!$D:$D,$B35,DATA_GOC!$F:$F,"Xuất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5" s="222">
        <f>IF($B35="","",IF(N$4&gt;DAY(EOMONTH(DATE($D$2,$B$2,1),0)),"",SUMIFS(DATA_GOC!$H:$H,DATA_GOC!$A:$A,"BOM",DATA_GOC!$D:$D,$B35,DATA_GOC!$F:$F,"Xuất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5" s="222">
        <f>IF($B35="","",IF(O$4&gt;DAY(EOMONTH(DATE($D$2,$B$2,1),0)),"",SUMIFS(DATA_GOC!$H:$H,DATA_GOC!$A:$A,"BOM",DATA_GOC!$D:$D,$B35,DATA_GOC!$F:$F,"Xuất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5" s="222">
        <f>IF($B35="","",IF(P$4&gt;DAY(EOMONTH(DATE($D$2,$B$2,1),0)),"",SUMIFS(DATA_GOC!$H:$H,DATA_GOC!$A:$A,"BOM",DATA_GOC!$D:$D,$B35,DATA_GOC!$F:$F,"Xuất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5" s="222">
        <f>IF($B35="","",IF(Q$4&gt;DAY(EOMONTH(DATE($D$2,$B$2,1),0)),"",SUMIFS(DATA_GOC!$H:$H,DATA_GOC!$A:$A,"BOM",DATA_GOC!$D:$D,$B35,DATA_GOC!$F:$F,"Xuất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5" s="222">
        <f>IF($B35="","",IF(R$4&gt;DAY(EOMONTH(DATE($D$2,$B$2,1),0)),"",SUMIFS(DATA_GOC!$H:$H,DATA_GOC!$A:$A,"BOM",DATA_GOC!$D:$D,$B35,DATA_GOC!$F:$F,"Xuất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5" s="222">
        <f>IF($B35="","",IF(S$4&gt;DAY(EOMONTH(DATE($D$2,$B$2,1),0)),"",SUMIFS(DATA_GOC!$H:$H,DATA_GOC!$A:$A,"BOM",DATA_GOC!$D:$D,$B35,DATA_GOC!$F:$F,"Xuất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5" s="222">
        <f>IF($B35="","",IF(T$4&gt;DAY(EOMONTH(DATE($D$2,$B$2,1),0)),"",SUMIFS(DATA_GOC!$H:$H,DATA_GOC!$A:$A,"BOM",DATA_GOC!$D:$D,$B35,DATA_GOC!$F:$F,"Xuất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5" s="222">
        <f>IF($B35="","",IF(U$4&gt;DAY(EOMONTH(DATE($D$2,$B$2,1),0)),"",SUMIFS(DATA_GOC!$H:$H,DATA_GOC!$A:$A,"BOM",DATA_GOC!$D:$D,$B35,DATA_GOC!$F:$F,"Xuất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5" s="222">
        <f>IF($B35="","",IF(V$4&gt;DAY(EOMONTH(DATE($D$2,$B$2,1),0)),"",SUMIFS(DATA_GOC!$H:$H,DATA_GOC!$A:$A,"BOM",DATA_GOC!$D:$D,$B35,DATA_GOC!$F:$F,"Xuất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5" s="222">
        <f>IF($B35="","",IF(W$4&gt;DAY(EOMONTH(DATE($D$2,$B$2,1),0)),"",SUMIFS(DATA_GOC!$H:$H,DATA_GOC!$A:$A,"BOM",DATA_GOC!$D:$D,$B35,DATA_GOC!$F:$F,"Xuất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5" s="222">
        <f>IF($B35="","",IF(X$4&gt;DAY(EOMONTH(DATE($D$2,$B$2,1),0)),"",SUMIFS(DATA_GOC!$H:$H,DATA_GOC!$A:$A,"BOM",DATA_GOC!$D:$D,$B35,DATA_GOC!$F:$F,"Xuất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5" s="222">
        <f>IF($B35="","",IF(Y$4&gt;DAY(EOMONTH(DATE($D$2,$B$2,1),0)),"",SUMIFS(DATA_GOC!$H:$H,DATA_GOC!$A:$A,"BOM",DATA_GOC!$D:$D,$B35,DATA_GOC!$F:$F,"Xuất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5" s="222">
        <f>IF($B35="","",IF(Z$4&gt;DAY(EOMONTH(DATE($D$2,$B$2,1),0)),"",SUMIFS(DATA_GOC!$H:$H,DATA_GOC!$A:$A,"BOM",DATA_GOC!$D:$D,$B35,DATA_GOC!$F:$F,"Xuất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5" s="222">
        <f>IF($B35="","",IF(AA$4&gt;DAY(EOMONTH(DATE($D$2,$B$2,1),0)),"",SUMIFS(DATA_GOC!$H:$H,DATA_GOC!$A:$A,"BOM",DATA_GOC!$D:$D,$B35,DATA_GOC!$F:$F,"Xuất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5" s="222">
        <f>IF($B35="","",IF(AB$4&gt;DAY(EOMONTH(DATE($D$2,$B$2,1),0)),"",SUMIFS(DATA_GOC!$H:$H,DATA_GOC!$A:$A,"BOM",DATA_GOC!$D:$D,$B35,DATA_GOC!$F:$F,"Xuất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5" s="222">
        <f>IF($B35="","",IF(AC$4&gt;DAY(EOMONTH(DATE($D$2,$B$2,1),0)),"",SUMIFS(DATA_GOC!$H:$H,DATA_GOC!$A:$A,"BOM",DATA_GOC!$D:$D,$B35,DATA_GOC!$F:$F,"Xuất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5" s="222">
        <f>IF($B35="","",IF(AD$4&gt;DAY(EOMONTH(DATE($D$2,$B$2,1),0)),"",SUMIFS(DATA_GOC!$H:$H,DATA_GOC!$A:$A,"BOM",DATA_GOC!$D:$D,$B35,DATA_GOC!$F:$F,"Xuất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5" s="222">
        <f>IF($B35="","",IF(AE$4&gt;DAY(EOMONTH(DATE($D$2,$B$2,1),0)),"",SUMIFS(DATA_GOC!$H:$H,DATA_GOC!$A:$A,"BOM",DATA_GOC!$D:$D,$B35,DATA_GOC!$F:$F,"Xuất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5" s="222">
        <f>IF($B35="","",IF(AF$4&gt;DAY(EOMONTH(DATE($D$2,$B$2,1),0)),"",SUMIFS(DATA_GOC!$H:$H,DATA_GOC!$A:$A,"BOM",DATA_GOC!$D:$D,$B35,DATA_GOC!$F:$F,"Xuất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5" s="222">
        <f>IF($B35="","",IF(AG$4&gt;DAY(EOMONTH(DATE($D$2,$B$2,1),0)),"",SUMIFS(DATA_GOC!$H:$H,DATA_GOC!$A:$A,"BOM",DATA_GOC!$D:$D,$B35,DATA_GOC!$F:$F,"Xuất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5" s="223">
        <f t="shared" si="2"/>
        <v>310</v>
      </c>
      <c r="AI35" s="224">
        <f>IF($B35="","",SUMIFS(DATA_GOC!$H:$H,DATA_GOC!$A:$A,"BOM",DATA_GOC!$D:$D,$B35,DATA_GOC!$F:$F,"Bơm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5" s="224">
        <f>IF($B35="","",SUMIFS(TINH_TEC!$K$233:$K$9232,TINH_TEC!$H$233:$H$9232,$B35,TINH_TEC!$F$233:$F$9232,$B$2,TINH_TEC!$G$233:$G$9232,$D$2,TINH_TEC!$B$233:$B$9232,"Đã chốt"))</f>
        <v>0</v>
      </c>
      <c r="AK35" s="224">
        <f>IF($B35="","",SUMIFS(TINH_TEC!$J$233:$J$9232,TINH_TEC!$H$233:$H$9232,$B35,TINH_TEC!$F$233:$F$9232,$B$2,TINH_TEC!$G$233:$G$9232,$D$2,TINH_TEC!$B$233:$B$9232,"Đã chốt"))</f>
        <v>56.787</v>
      </c>
      <c r="AL35" s="225">
        <f t="shared" si="3"/>
        <v>366.787</v>
      </c>
      <c r="AM35" s="222">
        <f>IF($B35="","",SUMIFS(DATA_GOC!$K:$K,DATA_GOC!$A:$A,"BOM",DATA_GOC!$D:$D,$B35,DATA_GOC!$G:$G,"DO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757</v>
      </c>
      <c r="AN35" s="226">
        <f t="shared" si="4"/>
        <v>48.45270806</v>
      </c>
      <c r="AO35" s="227">
        <f t="shared" si="5"/>
        <v>0.4845270806</v>
      </c>
      <c r="AP35" s="226">
        <f>IF($B35="","",IFERROR(AO35-(SUMIFS(DATA_GOC!$H:$H,DATA_GOC!$A:$A,"BOM",DATA_GOC!$D:$D,$B35,DATA_GOC!$F:$F,"Xuất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0.04255095326</v>
      </c>
      <c r="AQ35" s="59">
        <v>1.0</v>
      </c>
      <c r="AR35" s="59">
        <v>2026.0</v>
      </c>
      <c r="AS35" s="59" t="s">
        <v>102</v>
      </c>
      <c r="AT35" s="59">
        <v>2180.443</v>
      </c>
      <c r="AU35" s="59">
        <v>0.0</v>
      </c>
      <c r="AV35" s="59">
        <v>2180.443</v>
      </c>
      <c r="AW35" s="59">
        <v>4837.0</v>
      </c>
      <c r="AX35" s="59">
        <v>45.0784163737854</v>
      </c>
      <c r="AY35" s="59">
        <v>1036.21</v>
      </c>
      <c r="AZ35" s="59">
        <v>1144.233</v>
      </c>
      <c r="BA35" s="59">
        <v>46.21</v>
      </c>
      <c r="BB35" s="59">
        <v>0.0</v>
      </c>
      <c r="BC35" s="59" t="s">
        <v>390</v>
      </c>
    </row>
    <row r="36" ht="16.5" customHeight="1">
      <c r="A36" s="220">
        <f t="shared" si="1"/>
        <v>32</v>
      </c>
      <c r="B36" s="221" t="str">
        <f t="array" ref="B36">IFERROR(INDEX(DANH_MUC!$E:$E,ROW()-1),"")</f>
        <v>28H00003</v>
      </c>
      <c r="C36" s="222">
        <f>IF($B36="","",IF(C$4&gt;DAY(EOMONTH(DATE($D$2,$B$2,1),0)),"",SUMIFS(DATA_GOC!$H:$H,DATA_GOC!$A:$A,"BOM",DATA_GOC!$D:$D,$B36,DATA_GOC!$F:$F,"Xuất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6" s="222">
        <f>IF($B36="","",IF(D$4&gt;DAY(EOMONTH(DATE($D$2,$B$2,1),0)),"",SUMIFS(DATA_GOC!$H:$H,DATA_GOC!$A:$A,"BOM",DATA_GOC!$D:$D,$B36,DATA_GOC!$F:$F,"Xuất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6" s="222">
        <f>IF($B36="","",IF(E$4&gt;DAY(EOMONTH(DATE($D$2,$B$2,1),0)),"",SUMIFS(DATA_GOC!$H:$H,DATA_GOC!$A:$A,"BOM",DATA_GOC!$D:$D,$B36,DATA_GOC!$F:$F,"Xuất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360</v>
      </c>
      <c r="F36" s="222">
        <f>IF($B36="","",IF(F$4&gt;DAY(EOMONTH(DATE($D$2,$B$2,1),0)),"",SUMIFS(DATA_GOC!$H:$H,DATA_GOC!$A:$A,"BOM",DATA_GOC!$D:$D,$B36,DATA_GOC!$F:$F,"Xuất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6" s="222">
        <f>IF($B36="","",IF(G$4&gt;DAY(EOMONTH(DATE($D$2,$B$2,1),0)),"",SUMIFS(DATA_GOC!$H:$H,DATA_GOC!$A:$A,"BOM",DATA_GOC!$D:$D,$B36,DATA_GOC!$F:$F,"Xuất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6" s="222">
        <f>IF($B36="","",IF(H$4&gt;DAY(EOMONTH(DATE($D$2,$B$2,1),0)),"",SUMIFS(DATA_GOC!$H:$H,DATA_GOC!$A:$A,"BOM",DATA_GOC!$D:$D,$B36,DATA_GOC!$F:$F,"Xuất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36" s="222">
        <f>IF($B36="","",IF(I$4&gt;DAY(EOMONTH(DATE($D$2,$B$2,1),0)),"",SUMIFS(DATA_GOC!$H:$H,DATA_GOC!$A:$A,"BOM",DATA_GOC!$D:$D,$B36,DATA_GOC!$F:$F,"Xuất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6" s="222">
        <f>IF($B36="","",IF(J$4&gt;DAY(EOMONTH(DATE($D$2,$B$2,1),0)),"",SUMIFS(DATA_GOC!$H:$H,DATA_GOC!$A:$A,"BOM",DATA_GOC!$D:$D,$B36,DATA_GOC!$F:$F,"Xuất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6" s="222">
        <f>IF($B36="","",IF(K$4&gt;DAY(EOMONTH(DATE($D$2,$B$2,1),0)),"",SUMIFS(DATA_GOC!$H:$H,DATA_GOC!$A:$A,"BOM",DATA_GOC!$D:$D,$B36,DATA_GOC!$F:$F,"Xuất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6" s="222">
        <f>IF($B36="","",IF(L$4&gt;DAY(EOMONTH(DATE($D$2,$B$2,1),0)),"",SUMIFS(DATA_GOC!$H:$H,DATA_GOC!$A:$A,"BOM",DATA_GOC!$D:$D,$B36,DATA_GOC!$F:$F,"Xuất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6" s="222">
        <f>IF($B36="","",IF(M$4&gt;DAY(EOMONTH(DATE($D$2,$B$2,1),0)),"",SUMIFS(DATA_GOC!$H:$H,DATA_GOC!$A:$A,"BOM",DATA_GOC!$D:$D,$B36,DATA_GOC!$F:$F,"Xuất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6" s="222">
        <f>IF($B36="","",IF(N$4&gt;DAY(EOMONTH(DATE($D$2,$B$2,1),0)),"",SUMIFS(DATA_GOC!$H:$H,DATA_GOC!$A:$A,"BOM",DATA_GOC!$D:$D,$B36,DATA_GOC!$F:$F,"Xuất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6" s="222">
        <f>IF($B36="","",IF(O$4&gt;DAY(EOMONTH(DATE($D$2,$B$2,1),0)),"",SUMIFS(DATA_GOC!$H:$H,DATA_GOC!$A:$A,"BOM",DATA_GOC!$D:$D,$B36,DATA_GOC!$F:$F,"Xuất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6" s="222">
        <f>IF($B36="","",IF(P$4&gt;DAY(EOMONTH(DATE($D$2,$B$2,1),0)),"",SUMIFS(DATA_GOC!$H:$H,DATA_GOC!$A:$A,"BOM",DATA_GOC!$D:$D,$B36,DATA_GOC!$F:$F,"Xuất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6" s="222">
        <f>IF($B36="","",IF(Q$4&gt;DAY(EOMONTH(DATE($D$2,$B$2,1),0)),"",SUMIFS(DATA_GOC!$H:$H,DATA_GOC!$A:$A,"BOM",DATA_GOC!$D:$D,$B36,DATA_GOC!$F:$F,"Xuất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6" s="222">
        <f>IF($B36="","",IF(R$4&gt;DAY(EOMONTH(DATE($D$2,$B$2,1),0)),"",SUMIFS(DATA_GOC!$H:$H,DATA_GOC!$A:$A,"BOM",DATA_GOC!$D:$D,$B36,DATA_GOC!$F:$F,"Xuất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6" s="222">
        <f>IF($B36="","",IF(S$4&gt;DAY(EOMONTH(DATE($D$2,$B$2,1),0)),"",SUMIFS(DATA_GOC!$H:$H,DATA_GOC!$A:$A,"BOM",DATA_GOC!$D:$D,$B36,DATA_GOC!$F:$F,"Xuất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6" s="222">
        <f>IF($B36="","",IF(T$4&gt;DAY(EOMONTH(DATE($D$2,$B$2,1),0)),"",SUMIFS(DATA_GOC!$H:$H,DATA_GOC!$A:$A,"BOM",DATA_GOC!$D:$D,$B36,DATA_GOC!$F:$F,"Xuất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6" s="222">
        <f>IF($B36="","",IF(U$4&gt;DAY(EOMONTH(DATE($D$2,$B$2,1),0)),"",SUMIFS(DATA_GOC!$H:$H,DATA_GOC!$A:$A,"BOM",DATA_GOC!$D:$D,$B36,DATA_GOC!$F:$F,"Xuất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6" s="222">
        <f>IF($B36="","",IF(V$4&gt;DAY(EOMONTH(DATE($D$2,$B$2,1),0)),"",SUMIFS(DATA_GOC!$H:$H,DATA_GOC!$A:$A,"BOM",DATA_GOC!$D:$D,$B36,DATA_GOC!$F:$F,"Xuất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6" s="222">
        <f>IF($B36="","",IF(W$4&gt;DAY(EOMONTH(DATE($D$2,$B$2,1),0)),"",SUMIFS(DATA_GOC!$H:$H,DATA_GOC!$A:$A,"BOM",DATA_GOC!$D:$D,$B36,DATA_GOC!$F:$F,"Xuất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6" s="222">
        <f>IF($B36="","",IF(X$4&gt;DAY(EOMONTH(DATE($D$2,$B$2,1),0)),"",SUMIFS(DATA_GOC!$H:$H,DATA_GOC!$A:$A,"BOM",DATA_GOC!$D:$D,$B36,DATA_GOC!$F:$F,"Xuất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6" s="222">
        <f>IF($B36="","",IF(Y$4&gt;DAY(EOMONTH(DATE($D$2,$B$2,1),0)),"",SUMIFS(DATA_GOC!$H:$H,DATA_GOC!$A:$A,"BOM",DATA_GOC!$D:$D,$B36,DATA_GOC!$F:$F,"Xuất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6" s="222">
        <f>IF($B36="","",IF(Z$4&gt;DAY(EOMONTH(DATE($D$2,$B$2,1),0)),"",SUMIFS(DATA_GOC!$H:$H,DATA_GOC!$A:$A,"BOM",DATA_GOC!$D:$D,$B36,DATA_GOC!$F:$F,"Xuất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6" s="222">
        <f>IF($B36="","",IF(AA$4&gt;DAY(EOMONTH(DATE($D$2,$B$2,1),0)),"",SUMIFS(DATA_GOC!$H:$H,DATA_GOC!$A:$A,"BOM",DATA_GOC!$D:$D,$B36,DATA_GOC!$F:$F,"Xuất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6" s="222">
        <f>IF($B36="","",IF(AB$4&gt;DAY(EOMONTH(DATE($D$2,$B$2,1),0)),"",SUMIFS(DATA_GOC!$H:$H,DATA_GOC!$A:$A,"BOM",DATA_GOC!$D:$D,$B36,DATA_GOC!$F:$F,"Xuất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6" s="222">
        <f>IF($B36="","",IF(AC$4&gt;DAY(EOMONTH(DATE($D$2,$B$2,1),0)),"",SUMIFS(DATA_GOC!$H:$H,DATA_GOC!$A:$A,"BOM",DATA_GOC!$D:$D,$B36,DATA_GOC!$F:$F,"Xuất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6" s="222">
        <f>IF($B36="","",IF(AD$4&gt;DAY(EOMONTH(DATE($D$2,$B$2,1),0)),"",SUMIFS(DATA_GOC!$H:$H,DATA_GOC!$A:$A,"BOM",DATA_GOC!$D:$D,$B36,DATA_GOC!$F:$F,"Xuất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6" s="222">
        <f>IF($B36="","",IF(AE$4&gt;DAY(EOMONTH(DATE($D$2,$B$2,1),0)),"",SUMIFS(DATA_GOC!$H:$H,DATA_GOC!$A:$A,"BOM",DATA_GOC!$D:$D,$B36,DATA_GOC!$F:$F,"Xuất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6" s="222">
        <f>IF($B36="","",IF(AF$4&gt;DAY(EOMONTH(DATE($D$2,$B$2,1),0)),"",SUMIFS(DATA_GOC!$H:$H,DATA_GOC!$A:$A,"BOM",DATA_GOC!$D:$D,$B36,DATA_GOC!$F:$F,"Xuất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6" s="222">
        <f>IF($B36="","",IF(AG$4&gt;DAY(EOMONTH(DATE($D$2,$B$2,1),0)),"",SUMIFS(DATA_GOC!$H:$H,DATA_GOC!$A:$A,"BOM",DATA_GOC!$D:$D,$B36,DATA_GOC!$F:$F,"Xuất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6" s="223">
        <f t="shared" si="2"/>
        <v>360</v>
      </c>
      <c r="AI36" s="224">
        <f>IF($B36="","",SUMIFS(DATA_GOC!$H:$H,DATA_GOC!$A:$A,"BOM",DATA_GOC!$D:$D,$B36,DATA_GOC!$F:$F,"Bơm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6" s="224">
        <f>IF($B36="","",SUMIFS(TINH_TEC!$K$233:$K$9232,TINH_TEC!$H$233:$H$9232,$B36,TINH_TEC!$F$233:$F$9232,$B$2,TINH_TEC!$G$233:$G$9232,$D$2,TINH_TEC!$B$233:$B$9232,"Đã chốt"))</f>
        <v>0</v>
      </c>
      <c r="AK36" s="224">
        <f>IF($B36="","",SUMIFS(TINH_TEC!$J$233:$J$9232,TINH_TEC!$H$233:$H$9232,$B36,TINH_TEC!$F$233:$F$9232,$B$2,TINH_TEC!$G$233:$G$9232,$D$2,TINH_TEC!$B$233:$B$9232,"Đã chốt"))</f>
        <v>75.249</v>
      </c>
      <c r="AL36" s="225">
        <f t="shared" si="3"/>
        <v>435.249</v>
      </c>
      <c r="AM36" s="222">
        <f>IF($B36="","",SUMIFS(DATA_GOC!$K:$K,DATA_GOC!$A:$A,"BOM",DATA_GOC!$D:$D,$B36,DATA_GOC!$G:$G,"DO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816</v>
      </c>
      <c r="AN36" s="226">
        <f t="shared" si="4"/>
        <v>53.33933824</v>
      </c>
      <c r="AO36" s="227">
        <f t="shared" si="5"/>
        <v>0.5333933824</v>
      </c>
      <c r="AP36" s="226">
        <f>IF($B36="","",IFERROR(AO36-(SUMIFS(DATA_GOC!$H:$H,DATA_GOC!$A:$A,"BOM",DATA_GOC!$D:$D,$B36,DATA_GOC!$F:$F,"Xuất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0.08360784767</v>
      </c>
      <c r="AQ36" s="59">
        <v>1.0</v>
      </c>
      <c r="AR36" s="59">
        <v>2026.0</v>
      </c>
      <c r="AS36" s="59" t="s">
        <v>336</v>
      </c>
      <c r="AT36" s="59">
        <v>2323.293</v>
      </c>
      <c r="AU36" s="59">
        <v>0.0</v>
      </c>
      <c r="AV36" s="59">
        <v>2323.293</v>
      </c>
      <c r="AW36" s="59">
        <v>4563.0</v>
      </c>
      <c r="AX36" s="59">
        <v>50.9159105851414</v>
      </c>
      <c r="AY36" s="59">
        <v>930.9</v>
      </c>
      <c r="AZ36" s="59">
        <v>1392.393</v>
      </c>
      <c r="BA36" s="59">
        <v>40.9</v>
      </c>
      <c r="BB36" s="59">
        <v>0.0</v>
      </c>
      <c r="BC36" s="59" t="s">
        <v>391</v>
      </c>
    </row>
    <row r="37" ht="16.5" customHeight="1">
      <c r="A37" s="220">
        <f t="shared" si="1"/>
        <v>33</v>
      </c>
      <c r="B37" s="221" t="str">
        <f t="array" ref="B37">IFERROR(INDEX(DANH_MUC!$E:$E,ROW()-1),"")</f>
        <v>28H00061</v>
      </c>
      <c r="C37" s="222">
        <f>IF($B37="","",IF(C$4&gt;DAY(EOMONTH(DATE($D$2,$B$2,1),0)),"",SUMIFS(DATA_GOC!$H:$H,DATA_GOC!$A:$A,"BOM",DATA_GOC!$D:$D,$B37,DATA_GOC!$F:$F,"Xuất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7" s="222">
        <f>IF($B37="","",IF(D$4&gt;DAY(EOMONTH(DATE($D$2,$B$2,1),0)),"",SUMIFS(DATA_GOC!$H:$H,DATA_GOC!$A:$A,"BOM",DATA_GOC!$D:$D,$B37,DATA_GOC!$F:$F,"Xuất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7" s="222">
        <f>IF($B37="","",IF(E$4&gt;DAY(EOMONTH(DATE($D$2,$B$2,1),0)),"",SUMIFS(DATA_GOC!$H:$H,DATA_GOC!$A:$A,"BOM",DATA_GOC!$D:$D,$B37,DATA_GOC!$F:$F,"Xuất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164</v>
      </c>
      <c r="F37" s="222">
        <f>IF($B37="","",IF(F$4&gt;DAY(EOMONTH(DATE($D$2,$B$2,1),0)),"",SUMIFS(DATA_GOC!$H:$H,DATA_GOC!$A:$A,"BOM",DATA_GOC!$D:$D,$B37,DATA_GOC!$F:$F,"Xuất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7" s="222">
        <f>IF($B37="","",IF(G$4&gt;DAY(EOMONTH(DATE($D$2,$B$2,1),0)),"",SUMIFS(DATA_GOC!$H:$H,DATA_GOC!$A:$A,"BOM",DATA_GOC!$D:$D,$B37,DATA_GOC!$F:$F,"Xuất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7" s="222">
        <f>IF($B37="","",IF(H$4&gt;DAY(EOMONTH(DATE($D$2,$B$2,1),0)),"",SUMIFS(DATA_GOC!$H:$H,DATA_GOC!$A:$A,"BOM",DATA_GOC!$D:$D,$B37,DATA_GOC!$F:$F,"Xuất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37" s="222">
        <f>IF($B37="","",IF(I$4&gt;DAY(EOMONTH(DATE($D$2,$B$2,1),0)),"",SUMIFS(DATA_GOC!$H:$H,DATA_GOC!$A:$A,"BOM",DATA_GOC!$D:$D,$B37,DATA_GOC!$F:$F,"Xuất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7" s="222">
        <f>IF($B37="","",IF(J$4&gt;DAY(EOMONTH(DATE($D$2,$B$2,1),0)),"",SUMIFS(DATA_GOC!$H:$H,DATA_GOC!$A:$A,"BOM",DATA_GOC!$D:$D,$B37,DATA_GOC!$F:$F,"Xuất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7" s="222">
        <f>IF($B37="","",IF(K$4&gt;DAY(EOMONTH(DATE($D$2,$B$2,1),0)),"",SUMIFS(DATA_GOC!$H:$H,DATA_GOC!$A:$A,"BOM",DATA_GOC!$D:$D,$B37,DATA_GOC!$F:$F,"Xuất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7" s="222">
        <f>IF($B37="","",IF(L$4&gt;DAY(EOMONTH(DATE($D$2,$B$2,1),0)),"",SUMIFS(DATA_GOC!$H:$H,DATA_GOC!$A:$A,"BOM",DATA_GOC!$D:$D,$B37,DATA_GOC!$F:$F,"Xuất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7" s="222">
        <f>IF($B37="","",IF(M$4&gt;DAY(EOMONTH(DATE($D$2,$B$2,1),0)),"",SUMIFS(DATA_GOC!$H:$H,DATA_GOC!$A:$A,"BOM",DATA_GOC!$D:$D,$B37,DATA_GOC!$F:$F,"Xuất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7" s="222">
        <f>IF($B37="","",IF(N$4&gt;DAY(EOMONTH(DATE($D$2,$B$2,1),0)),"",SUMIFS(DATA_GOC!$H:$H,DATA_GOC!$A:$A,"BOM",DATA_GOC!$D:$D,$B37,DATA_GOC!$F:$F,"Xuất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7" s="222">
        <f>IF($B37="","",IF(O$4&gt;DAY(EOMONTH(DATE($D$2,$B$2,1),0)),"",SUMIFS(DATA_GOC!$H:$H,DATA_GOC!$A:$A,"BOM",DATA_GOC!$D:$D,$B37,DATA_GOC!$F:$F,"Xuất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7" s="222">
        <f>IF($B37="","",IF(P$4&gt;DAY(EOMONTH(DATE($D$2,$B$2,1),0)),"",SUMIFS(DATA_GOC!$H:$H,DATA_GOC!$A:$A,"BOM",DATA_GOC!$D:$D,$B37,DATA_GOC!$F:$F,"Xuất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7" s="222">
        <f>IF($B37="","",IF(Q$4&gt;DAY(EOMONTH(DATE($D$2,$B$2,1),0)),"",SUMIFS(DATA_GOC!$H:$H,DATA_GOC!$A:$A,"BOM",DATA_GOC!$D:$D,$B37,DATA_GOC!$F:$F,"Xuất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7" s="222">
        <f>IF($B37="","",IF(R$4&gt;DAY(EOMONTH(DATE($D$2,$B$2,1),0)),"",SUMIFS(DATA_GOC!$H:$H,DATA_GOC!$A:$A,"BOM",DATA_GOC!$D:$D,$B37,DATA_GOC!$F:$F,"Xuất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7" s="222">
        <f>IF($B37="","",IF(S$4&gt;DAY(EOMONTH(DATE($D$2,$B$2,1),0)),"",SUMIFS(DATA_GOC!$H:$H,DATA_GOC!$A:$A,"BOM",DATA_GOC!$D:$D,$B37,DATA_GOC!$F:$F,"Xuất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7" s="222">
        <f>IF($B37="","",IF(T$4&gt;DAY(EOMONTH(DATE($D$2,$B$2,1),0)),"",SUMIFS(DATA_GOC!$H:$H,DATA_GOC!$A:$A,"BOM",DATA_GOC!$D:$D,$B37,DATA_GOC!$F:$F,"Xuất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7" s="222">
        <f>IF($B37="","",IF(U$4&gt;DAY(EOMONTH(DATE($D$2,$B$2,1),0)),"",SUMIFS(DATA_GOC!$H:$H,DATA_GOC!$A:$A,"BOM",DATA_GOC!$D:$D,$B37,DATA_GOC!$F:$F,"Xuất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7" s="222">
        <f>IF($B37="","",IF(V$4&gt;DAY(EOMONTH(DATE($D$2,$B$2,1),0)),"",SUMIFS(DATA_GOC!$H:$H,DATA_GOC!$A:$A,"BOM",DATA_GOC!$D:$D,$B37,DATA_GOC!$F:$F,"Xuất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7" s="222">
        <f>IF($B37="","",IF(W$4&gt;DAY(EOMONTH(DATE($D$2,$B$2,1),0)),"",SUMIFS(DATA_GOC!$H:$H,DATA_GOC!$A:$A,"BOM",DATA_GOC!$D:$D,$B37,DATA_GOC!$F:$F,"Xuất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7" s="222">
        <f>IF($B37="","",IF(X$4&gt;DAY(EOMONTH(DATE($D$2,$B$2,1),0)),"",SUMIFS(DATA_GOC!$H:$H,DATA_GOC!$A:$A,"BOM",DATA_GOC!$D:$D,$B37,DATA_GOC!$F:$F,"Xuất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7" s="222">
        <f>IF($B37="","",IF(Y$4&gt;DAY(EOMONTH(DATE($D$2,$B$2,1),0)),"",SUMIFS(DATA_GOC!$H:$H,DATA_GOC!$A:$A,"BOM",DATA_GOC!$D:$D,$B37,DATA_GOC!$F:$F,"Xuất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7" s="222">
        <f>IF($B37="","",IF(Z$4&gt;DAY(EOMONTH(DATE($D$2,$B$2,1),0)),"",SUMIFS(DATA_GOC!$H:$H,DATA_GOC!$A:$A,"BOM",DATA_GOC!$D:$D,$B37,DATA_GOC!$F:$F,"Xuất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7" s="222">
        <f>IF($B37="","",IF(AA$4&gt;DAY(EOMONTH(DATE($D$2,$B$2,1),0)),"",SUMIFS(DATA_GOC!$H:$H,DATA_GOC!$A:$A,"BOM",DATA_GOC!$D:$D,$B37,DATA_GOC!$F:$F,"Xuất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7" s="222">
        <f>IF($B37="","",IF(AB$4&gt;DAY(EOMONTH(DATE($D$2,$B$2,1),0)),"",SUMIFS(DATA_GOC!$H:$H,DATA_GOC!$A:$A,"BOM",DATA_GOC!$D:$D,$B37,DATA_GOC!$F:$F,"Xuất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7" s="222">
        <f>IF($B37="","",IF(AC$4&gt;DAY(EOMONTH(DATE($D$2,$B$2,1),0)),"",SUMIFS(DATA_GOC!$H:$H,DATA_GOC!$A:$A,"BOM",DATA_GOC!$D:$D,$B37,DATA_GOC!$F:$F,"Xuất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7" s="222">
        <f>IF($B37="","",IF(AD$4&gt;DAY(EOMONTH(DATE($D$2,$B$2,1),0)),"",SUMIFS(DATA_GOC!$H:$H,DATA_GOC!$A:$A,"BOM",DATA_GOC!$D:$D,$B37,DATA_GOC!$F:$F,"Xuất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7" s="222">
        <f>IF($B37="","",IF(AE$4&gt;DAY(EOMONTH(DATE($D$2,$B$2,1),0)),"",SUMIFS(DATA_GOC!$H:$H,DATA_GOC!$A:$A,"BOM",DATA_GOC!$D:$D,$B37,DATA_GOC!$F:$F,"Xuất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7" s="222">
        <f>IF($B37="","",IF(AF$4&gt;DAY(EOMONTH(DATE($D$2,$B$2,1),0)),"",SUMIFS(DATA_GOC!$H:$H,DATA_GOC!$A:$A,"BOM",DATA_GOC!$D:$D,$B37,DATA_GOC!$F:$F,"Xuất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7" s="222">
        <f>IF($B37="","",IF(AG$4&gt;DAY(EOMONTH(DATE($D$2,$B$2,1),0)),"",SUMIFS(DATA_GOC!$H:$H,DATA_GOC!$A:$A,"BOM",DATA_GOC!$D:$D,$B37,DATA_GOC!$F:$F,"Xuất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7" s="223">
        <f t="shared" si="2"/>
        <v>164</v>
      </c>
      <c r="AI37" s="224">
        <f>IF($B37="","",SUMIFS(DATA_GOC!$H:$H,DATA_GOC!$A:$A,"BOM",DATA_GOC!$D:$D,$B37,DATA_GOC!$F:$F,"Bơm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7" s="224">
        <f>IF($B37="","",SUMIFS(TINH_TEC!$K$233:$K$9232,TINH_TEC!$H$233:$H$9232,$B37,TINH_TEC!$F$233:$F$9232,$B$2,TINH_TEC!$G$233:$G$9232,$D$2,TINH_TEC!$B$233:$B$9232,"Đã chốt"))</f>
        <v>0</v>
      </c>
      <c r="AK37" s="224">
        <f>IF($B37="","",SUMIFS(TINH_TEC!$J$233:$J$9232,TINH_TEC!$H$233:$H$9232,$B37,TINH_TEC!$F$233:$F$9232,$B$2,TINH_TEC!$G$233:$G$9232,$D$2,TINH_TEC!$B$233:$B$9232,"Đã chốt"))</f>
        <v>37.101</v>
      </c>
      <c r="AL37" s="225">
        <f t="shared" si="3"/>
        <v>201.101</v>
      </c>
      <c r="AM37" s="222">
        <f>IF($B37="","",SUMIFS(DATA_GOC!$K:$K,DATA_GOC!$A:$A,"BOM",DATA_GOC!$D:$D,$B37,DATA_GOC!$G:$G,"DO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400</v>
      </c>
      <c r="AN37" s="226">
        <f t="shared" si="4"/>
        <v>50.27525</v>
      </c>
      <c r="AO37" s="227">
        <f t="shared" si="5"/>
        <v>0.5027525</v>
      </c>
      <c r="AP37" s="226">
        <f>IF($B37="","",IFERROR(AO37-(SUMIFS(DATA_GOC!$H:$H,DATA_GOC!$A:$A,"BOM",DATA_GOC!$D:$D,$B37,DATA_GOC!$F:$F,"Xuất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0.06849789363</v>
      </c>
      <c r="AQ37" s="59">
        <v>1.0</v>
      </c>
      <c r="AR37" s="59">
        <v>2026.0</v>
      </c>
      <c r="AS37" s="59" t="s">
        <v>86</v>
      </c>
      <c r="AT37" s="59">
        <v>2610.122</v>
      </c>
      <c r="AU37" s="59">
        <v>0.0</v>
      </c>
      <c r="AV37" s="59">
        <v>2610.122</v>
      </c>
      <c r="AW37" s="59">
        <v>5076.0</v>
      </c>
      <c r="AX37" s="59">
        <v>51.4208431836091</v>
      </c>
      <c r="AY37" s="59">
        <v>1098.4</v>
      </c>
      <c r="AZ37" s="59">
        <v>1511.722</v>
      </c>
      <c r="BA37" s="59">
        <v>56.4</v>
      </c>
      <c r="BB37" s="59">
        <v>0.0</v>
      </c>
      <c r="BC37" s="59" t="s">
        <v>392</v>
      </c>
    </row>
    <row r="38" ht="16.5" customHeight="1">
      <c r="A38" s="220">
        <f t="shared" si="1"/>
        <v>34</v>
      </c>
      <c r="B38" s="221" t="str">
        <f t="array" ref="B38">IFERROR(INDEX(DANH_MUC!$E:$E,ROW()-1),"")</f>
        <v>28H00354</v>
      </c>
      <c r="C38" s="222">
        <f>IF($B38="","",IF(C$4&gt;DAY(EOMONTH(DATE($D$2,$B$2,1),0)),"",SUMIFS(DATA_GOC!$H:$H,DATA_GOC!$A:$A,"BOM",DATA_GOC!$D:$D,$B38,DATA_GOC!$F:$F,"Xuất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8" s="222">
        <f>IF($B38="","",IF(D$4&gt;DAY(EOMONTH(DATE($D$2,$B$2,1),0)),"",SUMIFS(DATA_GOC!$H:$H,DATA_GOC!$A:$A,"BOM",DATA_GOC!$D:$D,$B38,DATA_GOC!$F:$F,"Xuất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8" s="222">
        <f>IF($B38="","",IF(E$4&gt;DAY(EOMONTH(DATE($D$2,$B$2,1),0)),"",SUMIFS(DATA_GOC!$H:$H,DATA_GOC!$A:$A,"BOM",DATA_GOC!$D:$D,$B38,DATA_GOC!$F:$F,"Xuất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38" s="222">
        <f>IF($B38="","",IF(F$4&gt;DAY(EOMONTH(DATE($D$2,$B$2,1),0)),"",SUMIFS(DATA_GOC!$H:$H,DATA_GOC!$A:$A,"BOM",DATA_GOC!$D:$D,$B38,DATA_GOC!$F:$F,"Xuất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8" s="222">
        <f>IF($B38="","",IF(G$4&gt;DAY(EOMONTH(DATE($D$2,$B$2,1),0)),"",SUMIFS(DATA_GOC!$H:$H,DATA_GOC!$A:$A,"BOM",DATA_GOC!$D:$D,$B38,DATA_GOC!$F:$F,"Xuất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8" s="222">
        <f>IF($B38="","",IF(H$4&gt;DAY(EOMONTH(DATE($D$2,$B$2,1),0)),"",SUMIFS(DATA_GOC!$H:$H,DATA_GOC!$A:$A,"BOM",DATA_GOC!$D:$D,$B38,DATA_GOC!$F:$F,"Xuất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38" s="222">
        <f>IF($B38="","",IF(I$4&gt;DAY(EOMONTH(DATE($D$2,$B$2,1),0)),"",SUMIFS(DATA_GOC!$H:$H,DATA_GOC!$A:$A,"BOM",DATA_GOC!$D:$D,$B38,DATA_GOC!$F:$F,"Xuất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8" s="222">
        <f>IF($B38="","",IF(J$4&gt;DAY(EOMONTH(DATE($D$2,$B$2,1),0)),"",SUMIFS(DATA_GOC!$H:$H,DATA_GOC!$A:$A,"BOM",DATA_GOC!$D:$D,$B38,DATA_GOC!$F:$F,"Xuất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8" s="222">
        <f>IF($B38="","",IF(K$4&gt;DAY(EOMONTH(DATE($D$2,$B$2,1),0)),"",SUMIFS(DATA_GOC!$H:$H,DATA_GOC!$A:$A,"BOM",DATA_GOC!$D:$D,$B38,DATA_GOC!$F:$F,"Xuất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8" s="222">
        <f>IF($B38="","",IF(L$4&gt;DAY(EOMONTH(DATE($D$2,$B$2,1),0)),"",SUMIFS(DATA_GOC!$H:$H,DATA_GOC!$A:$A,"BOM",DATA_GOC!$D:$D,$B38,DATA_GOC!$F:$F,"Xuất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8" s="222">
        <f>IF($B38="","",IF(M$4&gt;DAY(EOMONTH(DATE($D$2,$B$2,1),0)),"",SUMIFS(DATA_GOC!$H:$H,DATA_GOC!$A:$A,"BOM",DATA_GOC!$D:$D,$B38,DATA_GOC!$F:$F,"Xuất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8" s="222">
        <f>IF($B38="","",IF(N$4&gt;DAY(EOMONTH(DATE($D$2,$B$2,1),0)),"",SUMIFS(DATA_GOC!$H:$H,DATA_GOC!$A:$A,"BOM",DATA_GOC!$D:$D,$B38,DATA_GOC!$F:$F,"Xuất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8" s="222">
        <f>IF($B38="","",IF(O$4&gt;DAY(EOMONTH(DATE($D$2,$B$2,1),0)),"",SUMIFS(DATA_GOC!$H:$H,DATA_GOC!$A:$A,"BOM",DATA_GOC!$D:$D,$B38,DATA_GOC!$F:$F,"Xuất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8" s="222">
        <f>IF($B38="","",IF(P$4&gt;DAY(EOMONTH(DATE($D$2,$B$2,1),0)),"",SUMIFS(DATA_GOC!$H:$H,DATA_GOC!$A:$A,"BOM",DATA_GOC!$D:$D,$B38,DATA_GOC!$F:$F,"Xuất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8" s="222">
        <f>IF($B38="","",IF(Q$4&gt;DAY(EOMONTH(DATE($D$2,$B$2,1),0)),"",SUMIFS(DATA_GOC!$H:$H,DATA_GOC!$A:$A,"BOM",DATA_GOC!$D:$D,$B38,DATA_GOC!$F:$F,"Xuất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8" s="222">
        <f>IF($B38="","",IF(R$4&gt;DAY(EOMONTH(DATE($D$2,$B$2,1),0)),"",SUMIFS(DATA_GOC!$H:$H,DATA_GOC!$A:$A,"BOM",DATA_GOC!$D:$D,$B38,DATA_GOC!$F:$F,"Xuất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8" s="222">
        <f>IF($B38="","",IF(S$4&gt;DAY(EOMONTH(DATE($D$2,$B$2,1),0)),"",SUMIFS(DATA_GOC!$H:$H,DATA_GOC!$A:$A,"BOM",DATA_GOC!$D:$D,$B38,DATA_GOC!$F:$F,"Xuất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8" s="222">
        <f>IF($B38="","",IF(T$4&gt;DAY(EOMONTH(DATE($D$2,$B$2,1),0)),"",SUMIFS(DATA_GOC!$H:$H,DATA_GOC!$A:$A,"BOM",DATA_GOC!$D:$D,$B38,DATA_GOC!$F:$F,"Xuất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8" s="222">
        <f>IF($B38="","",IF(U$4&gt;DAY(EOMONTH(DATE($D$2,$B$2,1),0)),"",SUMIFS(DATA_GOC!$H:$H,DATA_GOC!$A:$A,"BOM",DATA_GOC!$D:$D,$B38,DATA_GOC!$F:$F,"Xuất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8" s="222">
        <f>IF($B38="","",IF(V$4&gt;DAY(EOMONTH(DATE($D$2,$B$2,1),0)),"",SUMIFS(DATA_GOC!$H:$H,DATA_GOC!$A:$A,"BOM",DATA_GOC!$D:$D,$B38,DATA_GOC!$F:$F,"Xuất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8" s="222">
        <f>IF($B38="","",IF(W$4&gt;DAY(EOMONTH(DATE($D$2,$B$2,1),0)),"",SUMIFS(DATA_GOC!$H:$H,DATA_GOC!$A:$A,"BOM",DATA_GOC!$D:$D,$B38,DATA_GOC!$F:$F,"Xuất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8" s="222">
        <f>IF($B38="","",IF(X$4&gt;DAY(EOMONTH(DATE($D$2,$B$2,1),0)),"",SUMIFS(DATA_GOC!$H:$H,DATA_GOC!$A:$A,"BOM",DATA_GOC!$D:$D,$B38,DATA_GOC!$F:$F,"Xuất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8" s="222">
        <f>IF($B38="","",IF(Y$4&gt;DAY(EOMONTH(DATE($D$2,$B$2,1),0)),"",SUMIFS(DATA_GOC!$H:$H,DATA_GOC!$A:$A,"BOM",DATA_GOC!$D:$D,$B38,DATA_GOC!$F:$F,"Xuất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8" s="222">
        <f>IF($B38="","",IF(Z$4&gt;DAY(EOMONTH(DATE($D$2,$B$2,1),0)),"",SUMIFS(DATA_GOC!$H:$H,DATA_GOC!$A:$A,"BOM",DATA_GOC!$D:$D,$B38,DATA_GOC!$F:$F,"Xuất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8" s="222">
        <f>IF($B38="","",IF(AA$4&gt;DAY(EOMONTH(DATE($D$2,$B$2,1),0)),"",SUMIFS(DATA_GOC!$H:$H,DATA_GOC!$A:$A,"BOM",DATA_GOC!$D:$D,$B38,DATA_GOC!$F:$F,"Xuất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8" s="222">
        <f>IF($B38="","",IF(AB$4&gt;DAY(EOMONTH(DATE($D$2,$B$2,1),0)),"",SUMIFS(DATA_GOC!$H:$H,DATA_GOC!$A:$A,"BOM",DATA_GOC!$D:$D,$B38,DATA_GOC!$F:$F,"Xuất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8" s="222">
        <f>IF($B38="","",IF(AC$4&gt;DAY(EOMONTH(DATE($D$2,$B$2,1),0)),"",SUMIFS(DATA_GOC!$H:$H,DATA_GOC!$A:$A,"BOM",DATA_GOC!$D:$D,$B38,DATA_GOC!$F:$F,"Xuất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8" s="222">
        <f>IF($B38="","",IF(AD$4&gt;DAY(EOMONTH(DATE($D$2,$B$2,1),0)),"",SUMIFS(DATA_GOC!$H:$H,DATA_GOC!$A:$A,"BOM",DATA_GOC!$D:$D,$B38,DATA_GOC!$F:$F,"Xuất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8" s="222">
        <f>IF($B38="","",IF(AE$4&gt;DAY(EOMONTH(DATE($D$2,$B$2,1),0)),"",SUMIFS(DATA_GOC!$H:$H,DATA_GOC!$A:$A,"BOM",DATA_GOC!$D:$D,$B38,DATA_GOC!$F:$F,"Xuất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8" s="222">
        <f>IF($B38="","",IF(AF$4&gt;DAY(EOMONTH(DATE($D$2,$B$2,1),0)),"",SUMIFS(DATA_GOC!$H:$H,DATA_GOC!$A:$A,"BOM",DATA_GOC!$D:$D,$B38,DATA_GOC!$F:$F,"Xuất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8" s="222">
        <f>IF($B38="","",IF(AG$4&gt;DAY(EOMONTH(DATE($D$2,$B$2,1),0)),"",SUMIFS(DATA_GOC!$H:$H,DATA_GOC!$A:$A,"BOM",DATA_GOC!$D:$D,$B38,DATA_GOC!$F:$F,"Xuất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8" s="223">
        <f t="shared" si="2"/>
        <v>0</v>
      </c>
      <c r="AI38" s="224">
        <f>IF($B38="","",SUMIFS(DATA_GOC!$H:$H,DATA_GOC!$A:$A,"BOM",DATA_GOC!$D:$D,$B38,DATA_GOC!$F:$F,"Bơm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259.806</v>
      </c>
      <c r="AJ38" s="224">
        <f>IF($B38="","",SUMIFS(TINH_TEC!$K$233:$K$9232,TINH_TEC!$H$233:$H$9232,$B38,TINH_TEC!$F$233:$F$9232,$B$2,TINH_TEC!$G$233:$G$9232,$D$2,TINH_TEC!$B$233:$B$9232,"Đã chốt"))</f>
        <v>0</v>
      </c>
      <c r="AK38" s="224">
        <f>IF($B38="","",SUMIFS(TINH_TEC!$J$233:$J$9232,TINH_TEC!$H$233:$H$9232,$B38,TINH_TEC!$F$233:$F$9232,$B$2,TINH_TEC!$G$233:$G$9232,$D$2,TINH_TEC!$B$233:$B$9232,"Đã chốt"))</f>
        <v>25.685</v>
      </c>
      <c r="AL38" s="225">
        <f t="shared" si="3"/>
        <v>285.491</v>
      </c>
      <c r="AM38" s="222">
        <f>IF($B38="","",SUMIFS(DATA_GOC!$K:$K,DATA_GOC!$A:$A,"BOM",DATA_GOC!$D:$D,$B38,DATA_GOC!$G:$G,"DO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602</v>
      </c>
      <c r="AN38" s="226">
        <f t="shared" si="4"/>
        <v>47.42375415</v>
      </c>
      <c r="AO38" s="227">
        <f t="shared" si="5"/>
        <v>0.4742375415</v>
      </c>
      <c r="AP38" s="226">
        <f>IF($B38="","",IFERROR(AO38-(SUMIFS(DATA_GOC!$H:$H,DATA_GOC!$A:$A,"BOM",DATA_GOC!$D:$D,$B38,DATA_GOC!$F:$F,"Xuất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0.02528162505</v>
      </c>
      <c r="AQ38" s="59">
        <v>1.0</v>
      </c>
      <c r="AR38" s="59">
        <v>2026.0</v>
      </c>
      <c r="AS38" s="59" t="s">
        <v>113</v>
      </c>
      <c r="AT38" s="59">
        <v>2274.264</v>
      </c>
      <c r="AU38" s="59">
        <v>0.0</v>
      </c>
      <c r="AV38" s="59">
        <v>2274.264</v>
      </c>
      <c r="AW38" s="59">
        <v>4664.0</v>
      </c>
      <c r="AX38" s="59">
        <v>48.7620926243568</v>
      </c>
      <c r="AY38" s="59">
        <v>905.43</v>
      </c>
      <c r="AZ38" s="59">
        <v>1368.834</v>
      </c>
      <c r="BA38" s="59">
        <v>40.43</v>
      </c>
      <c r="BB38" s="59">
        <v>0.0</v>
      </c>
      <c r="BC38" s="59" t="s">
        <v>393</v>
      </c>
    </row>
    <row r="39" ht="16.5" customHeight="1">
      <c r="A39" s="220">
        <f t="shared" si="1"/>
        <v>35</v>
      </c>
      <c r="B39" s="221" t="str">
        <f t="array" ref="B39">IFERROR(INDEX(DANH_MUC!$E:$E,ROW()-1),"")</f>
        <v>28H00603</v>
      </c>
      <c r="C39" s="222">
        <f>IF($B39="","",IF(C$4&gt;DAY(EOMONTH(DATE($D$2,$B$2,1),0)),"",SUMIFS(DATA_GOC!$H:$H,DATA_GOC!$A:$A,"BOM",DATA_GOC!$D:$D,$B39,DATA_GOC!$F:$F,"Xuất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39" s="222">
        <f>IF($B39="","",IF(D$4&gt;DAY(EOMONTH(DATE($D$2,$B$2,1),0)),"",SUMIFS(DATA_GOC!$H:$H,DATA_GOC!$A:$A,"BOM",DATA_GOC!$D:$D,$B39,DATA_GOC!$F:$F,"Xuất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39" s="222">
        <f>IF($B39="","",IF(E$4&gt;DAY(EOMONTH(DATE($D$2,$B$2,1),0)),"",SUMIFS(DATA_GOC!$H:$H,DATA_GOC!$A:$A,"BOM",DATA_GOC!$D:$D,$B39,DATA_GOC!$F:$F,"Xuất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39" s="222">
        <f>IF($B39="","",IF(F$4&gt;DAY(EOMONTH(DATE($D$2,$B$2,1),0)),"",SUMIFS(DATA_GOC!$H:$H,DATA_GOC!$A:$A,"BOM",DATA_GOC!$D:$D,$B39,DATA_GOC!$F:$F,"Xuất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39" s="222">
        <f>IF($B39="","",IF(G$4&gt;DAY(EOMONTH(DATE($D$2,$B$2,1),0)),"",SUMIFS(DATA_GOC!$H:$H,DATA_GOC!$A:$A,"BOM",DATA_GOC!$D:$D,$B39,DATA_GOC!$F:$F,"Xuất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39" s="222">
        <f>IF($B39="","",IF(H$4&gt;DAY(EOMONTH(DATE($D$2,$B$2,1),0)),"",SUMIFS(DATA_GOC!$H:$H,DATA_GOC!$A:$A,"BOM",DATA_GOC!$D:$D,$B39,DATA_GOC!$F:$F,"Xuất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233</v>
      </c>
      <c r="I39" s="222">
        <f>IF($B39="","",IF(I$4&gt;DAY(EOMONTH(DATE($D$2,$B$2,1),0)),"",SUMIFS(DATA_GOC!$H:$H,DATA_GOC!$A:$A,"BOM",DATA_GOC!$D:$D,$B39,DATA_GOC!$F:$F,"Xuất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39" s="222">
        <f>IF($B39="","",IF(J$4&gt;DAY(EOMONTH(DATE($D$2,$B$2,1),0)),"",SUMIFS(DATA_GOC!$H:$H,DATA_GOC!$A:$A,"BOM",DATA_GOC!$D:$D,$B39,DATA_GOC!$F:$F,"Xuất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39" s="222">
        <f>IF($B39="","",IF(K$4&gt;DAY(EOMONTH(DATE($D$2,$B$2,1),0)),"",SUMIFS(DATA_GOC!$H:$H,DATA_GOC!$A:$A,"BOM",DATA_GOC!$D:$D,$B39,DATA_GOC!$F:$F,"Xuất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39" s="222">
        <f>IF($B39="","",IF(L$4&gt;DAY(EOMONTH(DATE($D$2,$B$2,1),0)),"",SUMIFS(DATA_GOC!$H:$H,DATA_GOC!$A:$A,"BOM",DATA_GOC!$D:$D,$B39,DATA_GOC!$F:$F,"Xuất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39" s="222">
        <f>IF($B39="","",IF(M$4&gt;DAY(EOMONTH(DATE($D$2,$B$2,1),0)),"",SUMIFS(DATA_GOC!$H:$H,DATA_GOC!$A:$A,"BOM",DATA_GOC!$D:$D,$B39,DATA_GOC!$F:$F,"Xuất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39" s="222">
        <f>IF($B39="","",IF(N$4&gt;DAY(EOMONTH(DATE($D$2,$B$2,1),0)),"",SUMIFS(DATA_GOC!$H:$H,DATA_GOC!$A:$A,"BOM",DATA_GOC!$D:$D,$B39,DATA_GOC!$F:$F,"Xuất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39" s="222">
        <f>IF($B39="","",IF(O$4&gt;DAY(EOMONTH(DATE($D$2,$B$2,1),0)),"",SUMIFS(DATA_GOC!$H:$H,DATA_GOC!$A:$A,"BOM",DATA_GOC!$D:$D,$B39,DATA_GOC!$F:$F,"Xuất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39" s="222">
        <f>IF($B39="","",IF(P$4&gt;DAY(EOMONTH(DATE($D$2,$B$2,1),0)),"",SUMIFS(DATA_GOC!$H:$H,DATA_GOC!$A:$A,"BOM",DATA_GOC!$D:$D,$B39,DATA_GOC!$F:$F,"Xuất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39" s="222">
        <f>IF($B39="","",IF(Q$4&gt;DAY(EOMONTH(DATE($D$2,$B$2,1),0)),"",SUMIFS(DATA_GOC!$H:$H,DATA_GOC!$A:$A,"BOM",DATA_GOC!$D:$D,$B39,DATA_GOC!$F:$F,"Xuất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39" s="222">
        <f>IF($B39="","",IF(R$4&gt;DAY(EOMONTH(DATE($D$2,$B$2,1),0)),"",SUMIFS(DATA_GOC!$H:$H,DATA_GOC!$A:$A,"BOM",DATA_GOC!$D:$D,$B39,DATA_GOC!$F:$F,"Xuất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39" s="222">
        <f>IF($B39="","",IF(S$4&gt;DAY(EOMONTH(DATE($D$2,$B$2,1),0)),"",SUMIFS(DATA_GOC!$H:$H,DATA_GOC!$A:$A,"BOM",DATA_GOC!$D:$D,$B39,DATA_GOC!$F:$F,"Xuất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39" s="222">
        <f>IF($B39="","",IF(T$4&gt;DAY(EOMONTH(DATE($D$2,$B$2,1),0)),"",SUMIFS(DATA_GOC!$H:$H,DATA_GOC!$A:$A,"BOM",DATA_GOC!$D:$D,$B39,DATA_GOC!$F:$F,"Xuất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39" s="222">
        <f>IF($B39="","",IF(U$4&gt;DAY(EOMONTH(DATE($D$2,$B$2,1),0)),"",SUMIFS(DATA_GOC!$H:$H,DATA_GOC!$A:$A,"BOM",DATA_GOC!$D:$D,$B39,DATA_GOC!$F:$F,"Xuất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39" s="222">
        <f>IF($B39="","",IF(V$4&gt;DAY(EOMONTH(DATE($D$2,$B$2,1),0)),"",SUMIFS(DATA_GOC!$H:$H,DATA_GOC!$A:$A,"BOM",DATA_GOC!$D:$D,$B39,DATA_GOC!$F:$F,"Xuất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39" s="222">
        <f>IF($B39="","",IF(W$4&gt;DAY(EOMONTH(DATE($D$2,$B$2,1),0)),"",SUMIFS(DATA_GOC!$H:$H,DATA_GOC!$A:$A,"BOM",DATA_GOC!$D:$D,$B39,DATA_GOC!$F:$F,"Xuất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39" s="222">
        <f>IF($B39="","",IF(X$4&gt;DAY(EOMONTH(DATE($D$2,$B$2,1),0)),"",SUMIFS(DATA_GOC!$H:$H,DATA_GOC!$A:$A,"BOM",DATA_GOC!$D:$D,$B39,DATA_GOC!$F:$F,"Xuất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39" s="222">
        <f>IF($B39="","",IF(Y$4&gt;DAY(EOMONTH(DATE($D$2,$B$2,1),0)),"",SUMIFS(DATA_GOC!$H:$H,DATA_GOC!$A:$A,"BOM",DATA_GOC!$D:$D,$B39,DATA_GOC!$F:$F,"Xuất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39" s="222">
        <f>IF($B39="","",IF(Z$4&gt;DAY(EOMONTH(DATE($D$2,$B$2,1),0)),"",SUMIFS(DATA_GOC!$H:$H,DATA_GOC!$A:$A,"BOM",DATA_GOC!$D:$D,$B39,DATA_GOC!$F:$F,"Xuất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39" s="222">
        <f>IF($B39="","",IF(AA$4&gt;DAY(EOMONTH(DATE($D$2,$B$2,1),0)),"",SUMIFS(DATA_GOC!$H:$H,DATA_GOC!$A:$A,"BOM",DATA_GOC!$D:$D,$B39,DATA_GOC!$F:$F,"Xuất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39" s="222">
        <f>IF($B39="","",IF(AB$4&gt;DAY(EOMONTH(DATE($D$2,$B$2,1),0)),"",SUMIFS(DATA_GOC!$H:$H,DATA_GOC!$A:$A,"BOM",DATA_GOC!$D:$D,$B39,DATA_GOC!$F:$F,"Xuất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39" s="222">
        <f>IF($B39="","",IF(AC$4&gt;DAY(EOMONTH(DATE($D$2,$B$2,1),0)),"",SUMIFS(DATA_GOC!$H:$H,DATA_GOC!$A:$A,"BOM",DATA_GOC!$D:$D,$B39,DATA_GOC!$F:$F,"Xuất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39" s="222">
        <f>IF($B39="","",IF(AD$4&gt;DAY(EOMONTH(DATE($D$2,$B$2,1),0)),"",SUMIFS(DATA_GOC!$H:$H,DATA_GOC!$A:$A,"BOM",DATA_GOC!$D:$D,$B39,DATA_GOC!$F:$F,"Xuất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39" s="222">
        <f>IF($B39="","",IF(AE$4&gt;DAY(EOMONTH(DATE($D$2,$B$2,1),0)),"",SUMIFS(DATA_GOC!$H:$H,DATA_GOC!$A:$A,"BOM",DATA_GOC!$D:$D,$B39,DATA_GOC!$F:$F,"Xuất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39" s="222">
        <f>IF($B39="","",IF(AF$4&gt;DAY(EOMONTH(DATE($D$2,$B$2,1),0)),"",SUMIFS(DATA_GOC!$H:$H,DATA_GOC!$A:$A,"BOM",DATA_GOC!$D:$D,$B39,DATA_GOC!$F:$F,"Xuất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39" s="222">
        <f>IF($B39="","",IF(AG$4&gt;DAY(EOMONTH(DATE($D$2,$B$2,1),0)),"",SUMIFS(DATA_GOC!$H:$H,DATA_GOC!$A:$A,"BOM",DATA_GOC!$D:$D,$B39,DATA_GOC!$F:$F,"Xuất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39" s="223">
        <f t="shared" si="2"/>
        <v>233</v>
      </c>
      <c r="AI39" s="224">
        <f>IF($B39="","",SUMIFS(DATA_GOC!$H:$H,DATA_GOC!$A:$A,"BOM",DATA_GOC!$D:$D,$B39,DATA_GOC!$F:$F,"Bơm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39" s="224">
        <f>IF($B39="","",SUMIFS(TINH_TEC!$K$233:$K$9232,TINH_TEC!$H$233:$H$9232,$B39,TINH_TEC!$F$233:$F$9232,$B$2,TINH_TEC!$G$233:$G$9232,$D$2,TINH_TEC!$B$233:$B$9232,"Đã chốt"))</f>
        <v>0</v>
      </c>
      <c r="AK39" s="224">
        <f>IF($B39="","",SUMIFS(TINH_TEC!$J$233:$J$9232,TINH_TEC!$H$233:$H$9232,$B39,TINH_TEC!$F$233:$F$9232,$B$2,TINH_TEC!$G$233:$G$9232,$D$2,TINH_TEC!$B$233:$B$9232,"Đã chốt"))</f>
        <v>33.489</v>
      </c>
      <c r="AL39" s="225">
        <f t="shared" si="3"/>
        <v>266.489</v>
      </c>
      <c r="AM39" s="222">
        <f>IF($B39="","",SUMIFS(DATA_GOC!$K:$K,DATA_GOC!$A:$A,"BOM",DATA_GOC!$D:$D,$B39,DATA_GOC!$G:$G,"DO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569</v>
      </c>
      <c r="AN39" s="226">
        <f t="shared" si="4"/>
        <v>46.83462214</v>
      </c>
      <c r="AO39" s="227">
        <f t="shared" si="5"/>
        <v>0.4683462214</v>
      </c>
      <c r="AP39" s="226">
        <f>IF($B39="","",IFERROR(AO39-(SUMIFS(DATA_GOC!$H:$H,DATA_GOC!$A:$A,"BOM",DATA_GOC!$D:$D,$B39,DATA_GOC!$F:$F,"Xuất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số",DATA_GOC!$B:$B,"&gt;="&amp;EDATE(DATE($D$2,$B$2,1),-1),DATA_GOC!$B:$B,"&lt;"&amp;DATE($D$2,$B$2,1))/SUMIFS(DATA_GOC!$K:$K,DATA_GOC!$A:$A,"BOM",DATA_GOC!$D:$D,$B39,DATA_GOC!$G:$G,"DO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0.02151338357</v>
      </c>
      <c r="AQ39" s="59">
        <v>1.0</v>
      </c>
      <c r="AR39" s="59">
        <v>2026.0</v>
      </c>
      <c r="AS39" s="59" t="s">
        <v>98</v>
      </c>
      <c r="AT39" s="59">
        <v>2288.949</v>
      </c>
      <c r="AU39" s="59">
        <v>0.0</v>
      </c>
      <c r="AV39" s="59">
        <v>2288.949</v>
      </c>
      <c r="AW39" s="59">
        <v>5463.0</v>
      </c>
      <c r="AX39" s="59">
        <v>41.8991213618891</v>
      </c>
      <c r="AY39" s="59">
        <v>1188.32</v>
      </c>
      <c r="AZ39" s="59">
        <v>1100.629</v>
      </c>
      <c r="BA39" s="59">
        <v>56.32</v>
      </c>
      <c r="BB39" s="59">
        <v>0.0</v>
      </c>
      <c r="BC39" s="59" t="s">
        <v>394</v>
      </c>
    </row>
    <row r="40" ht="16.5" customHeight="1">
      <c r="A40" s="220">
        <f t="shared" si="1"/>
        <v>36</v>
      </c>
      <c r="B40" s="221" t="str">
        <f t="array" ref="B40">IFERROR(INDEX(DANH_MUC!$E:$E,ROW()-1),"")</f>
        <v>28H00609</v>
      </c>
      <c r="C40" s="222">
        <f>IF($B40="","",IF(C$4&gt;DAY(EOMONTH(DATE($D$2,$B$2,1),0)),"",SUMIFS(DATA_GOC!$H:$H,DATA_GOC!$A:$A,"BOM",DATA_GOC!$D:$D,$B40,DATA_GOC!$F:$F,"Xuất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0" s="222">
        <f>IF($B40="","",IF(D$4&gt;DAY(EOMONTH(DATE($D$2,$B$2,1),0)),"",SUMIFS(DATA_GOC!$H:$H,DATA_GOC!$A:$A,"BOM",DATA_GOC!$D:$D,$B40,DATA_GOC!$F:$F,"Xuất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0" s="222">
        <f>IF($B40="","",IF(E$4&gt;DAY(EOMONTH(DATE($D$2,$B$2,1),0)),"",SUMIFS(DATA_GOC!$H:$H,DATA_GOC!$A:$A,"BOM",DATA_GOC!$D:$D,$B40,DATA_GOC!$F:$F,"Xuất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0" s="222">
        <f>IF($B40="","",IF(F$4&gt;DAY(EOMONTH(DATE($D$2,$B$2,1),0)),"",SUMIFS(DATA_GOC!$H:$H,DATA_GOC!$A:$A,"BOM",DATA_GOC!$D:$D,$B40,DATA_GOC!$F:$F,"Xuất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0" s="222">
        <f>IF($B40="","",IF(G$4&gt;DAY(EOMONTH(DATE($D$2,$B$2,1),0)),"",SUMIFS(DATA_GOC!$H:$H,DATA_GOC!$A:$A,"BOM",DATA_GOC!$D:$D,$B40,DATA_GOC!$F:$F,"Xuất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0" s="222">
        <f>IF($B40="","",IF(H$4&gt;DAY(EOMONTH(DATE($D$2,$B$2,1),0)),"",SUMIFS(DATA_GOC!$H:$H,DATA_GOC!$A:$A,"BOM",DATA_GOC!$D:$D,$B40,DATA_GOC!$F:$F,"Xuất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0" s="222">
        <f>IF($B40="","",IF(I$4&gt;DAY(EOMONTH(DATE($D$2,$B$2,1),0)),"",SUMIFS(DATA_GOC!$H:$H,DATA_GOC!$A:$A,"BOM",DATA_GOC!$D:$D,$B40,DATA_GOC!$F:$F,"Xuất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0" s="222">
        <f>IF($B40="","",IF(J$4&gt;DAY(EOMONTH(DATE($D$2,$B$2,1),0)),"",SUMIFS(DATA_GOC!$H:$H,DATA_GOC!$A:$A,"BOM",DATA_GOC!$D:$D,$B40,DATA_GOC!$F:$F,"Xuất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0" s="222">
        <f>IF($B40="","",IF(K$4&gt;DAY(EOMONTH(DATE($D$2,$B$2,1),0)),"",SUMIFS(DATA_GOC!$H:$H,DATA_GOC!$A:$A,"BOM",DATA_GOC!$D:$D,$B40,DATA_GOC!$F:$F,"Xuất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0" s="222">
        <f>IF($B40="","",IF(L$4&gt;DAY(EOMONTH(DATE($D$2,$B$2,1),0)),"",SUMIFS(DATA_GOC!$H:$H,DATA_GOC!$A:$A,"BOM",DATA_GOC!$D:$D,$B40,DATA_GOC!$F:$F,"Xuất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0" s="222">
        <f>IF($B40="","",IF(M$4&gt;DAY(EOMONTH(DATE($D$2,$B$2,1),0)),"",SUMIFS(DATA_GOC!$H:$H,DATA_GOC!$A:$A,"BOM",DATA_GOC!$D:$D,$B40,DATA_GOC!$F:$F,"Xuất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0" s="222">
        <f>IF($B40="","",IF(N$4&gt;DAY(EOMONTH(DATE($D$2,$B$2,1),0)),"",SUMIFS(DATA_GOC!$H:$H,DATA_GOC!$A:$A,"BOM",DATA_GOC!$D:$D,$B40,DATA_GOC!$F:$F,"Xuất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0" s="222">
        <f>IF($B40="","",IF(O$4&gt;DAY(EOMONTH(DATE($D$2,$B$2,1),0)),"",SUMIFS(DATA_GOC!$H:$H,DATA_GOC!$A:$A,"BOM",DATA_GOC!$D:$D,$B40,DATA_GOC!$F:$F,"Xuất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0" s="222">
        <f>IF($B40="","",IF(P$4&gt;DAY(EOMONTH(DATE($D$2,$B$2,1),0)),"",SUMIFS(DATA_GOC!$H:$H,DATA_GOC!$A:$A,"BOM",DATA_GOC!$D:$D,$B40,DATA_GOC!$F:$F,"Xuất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0" s="222">
        <f>IF($B40="","",IF(Q$4&gt;DAY(EOMONTH(DATE($D$2,$B$2,1),0)),"",SUMIFS(DATA_GOC!$H:$H,DATA_GOC!$A:$A,"BOM",DATA_GOC!$D:$D,$B40,DATA_GOC!$F:$F,"Xuất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0" s="222">
        <f>IF($B40="","",IF(R$4&gt;DAY(EOMONTH(DATE($D$2,$B$2,1),0)),"",SUMIFS(DATA_GOC!$H:$H,DATA_GOC!$A:$A,"BOM",DATA_GOC!$D:$D,$B40,DATA_GOC!$F:$F,"Xuất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0" s="222">
        <f>IF($B40="","",IF(S$4&gt;DAY(EOMONTH(DATE($D$2,$B$2,1),0)),"",SUMIFS(DATA_GOC!$H:$H,DATA_GOC!$A:$A,"BOM",DATA_GOC!$D:$D,$B40,DATA_GOC!$F:$F,"Xuất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0" s="222">
        <f>IF($B40="","",IF(T$4&gt;DAY(EOMONTH(DATE($D$2,$B$2,1),0)),"",SUMIFS(DATA_GOC!$H:$H,DATA_GOC!$A:$A,"BOM",DATA_GOC!$D:$D,$B40,DATA_GOC!$F:$F,"Xuất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0" s="222">
        <f>IF($B40="","",IF(U$4&gt;DAY(EOMONTH(DATE($D$2,$B$2,1),0)),"",SUMIFS(DATA_GOC!$H:$H,DATA_GOC!$A:$A,"BOM",DATA_GOC!$D:$D,$B40,DATA_GOC!$F:$F,"Xuất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0" s="222">
        <f>IF($B40="","",IF(V$4&gt;DAY(EOMONTH(DATE($D$2,$B$2,1),0)),"",SUMIFS(DATA_GOC!$H:$H,DATA_GOC!$A:$A,"BOM",DATA_GOC!$D:$D,$B40,DATA_GOC!$F:$F,"Xuất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0" s="222">
        <f>IF($B40="","",IF(W$4&gt;DAY(EOMONTH(DATE($D$2,$B$2,1),0)),"",SUMIFS(DATA_GOC!$H:$H,DATA_GOC!$A:$A,"BOM",DATA_GOC!$D:$D,$B40,DATA_GOC!$F:$F,"Xuất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0" s="222">
        <f>IF($B40="","",IF(X$4&gt;DAY(EOMONTH(DATE($D$2,$B$2,1),0)),"",SUMIFS(DATA_GOC!$H:$H,DATA_GOC!$A:$A,"BOM",DATA_GOC!$D:$D,$B40,DATA_GOC!$F:$F,"Xuất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0" s="222">
        <f>IF($B40="","",IF(Y$4&gt;DAY(EOMONTH(DATE($D$2,$B$2,1),0)),"",SUMIFS(DATA_GOC!$H:$H,DATA_GOC!$A:$A,"BOM",DATA_GOC!$D:$D,$B40,DATA_GOC!$F:$F,"Xuất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0" s="222">
        <f>IF($B40="","",IF(Z$4&gt;DAY(EOMONTH(DATE($D$2,$B$2,1),0)),"",SUMIFS(DATA_GOC!$H:$H,DATA_GOC!$A:$A,"BOM",DATA_GOC!$D:$D,$B40,DATA_GOC!$F:$F,"Xuất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0" s="222">
        <f>IF($B40="","",IF(AA$4&gt;DAY(EOMONTH(DATE($D$2,$B$2,1),0)),"",SUMIFS(DATA_GOC!$H:$H,DATA_GOC!$A:$A,"BOM",DATA_GOC!$D:$D,$B40,DATA_GOC!$F:$F,"Xuất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0" s="222">
        <f>IF($B40="","",IF(AB$4&gt;DAY(EOMONTH(DATE($D$2,$B$2,1),0)),"",SUMIFS(DATA_GOC!$H:$H,DATA_GOC!$A:$A,"BOM",DATA_GOC!$D:$D,$B40,DATA_GOC!$F:$F,"Xuất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0" s="222">
        <f>IF($B40="","",IF(AC$4&gt;DAY(EOMONTH(DATE($D$2,$B$2,1),0)),"",SUMIFS(DATA_GOC!$H:$H,DATA_GOC!$A:$A,"BOM",DATA_GOC!$D:$D,$B40,DATA_GOC!$F:$F,"Xuất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0" s="222">
        <f>IF($B40="","",IF(AD$4&gt;DAY(EOMONTH(DATE($D$2,$B$2,1),0)),"",SUMIFS(DATA_GOC!$H:$H,DATA_GOC!$A:$A,"BOM",DATA_GOC!$D:$D,$B40,DATA_GOC!$F:$F,"Xuất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0" s="222">
        <f>IF($B40="","",IF(AE$4&gt;DAY(EOMONTH(DATE($D$2,$B$2,1),0)),"",SUMIFS(DATA_GOC!$H:$H,DATA_GOC!$A:$A,"BOM",DATA_GOC!$D:$D,$B40,DATA_GOC!$F:$F,"Xuất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0" s="222">
        <f>IF($B40="","",IF(AF$4&gt;DAY(EOMONTH(DATE($D$2,$B$2,1),0)),"",SUMIFS(DATA_GOC!$H:$H,DATA_GOC!$A:$A,"BOM",DATA_GOC!$D:$D,$B40,DATA_GOC!$F:$F,"Xuất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0" s="222">
        <f>IF($B40="","",IF(AG$4&gt;DAY(EOMONTH(DATE($D$2,$B$2,1),0)),"",SUMIFS(DATA_GOC!$H:$H,DATA_GOC!$A:$A,"BOM",DATA_GOC!$D:$D,$B40,DATA_GOC!$F:$F,"Xuất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0" s="223">
        <f t="shared" si="2"/>
        <v>0</v>
      </c>
      <c r="AI40" s="224">
        <f>IF($B40="","",SUMIFS(DATA_GOC!$H:$H,DATA_GOC!$A:$A,"BOM",DATA_GOC!$D:$D,$B40,DATA_GOC!$F:$F,"Bơm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0" s="224">
        <f>IF($B40="","",SUMIFS(TINH_TEC!$K$233:$K$9232,TINH_TEC!$H$233:$H$9232,$B40,TINH_TEC!$F$233:$F$9232,$B$2,TINH_TEC!$G$233:$G$9232,$D$2,TINH_TEC!$B$233:$B$9232,"Đã chốt"))</f>
        <v>0</v>
      </c>
      <c r="AK40" s="224">
        <f>IF($B40="","",SUMIFS(TINH_TEC!$J$233:$J$9232,TINH_TEC!$H$233:$H$9232,$B40,TINH_TEC!$F$233:$F$9232,$B$2,TINH_TEC!$G$233:$G$9232,$D$2,TINH_TEC!$B$233:$B$9232,"Đã chốt"))</f>
        <v>25.044</v>
      </c>
      <c r="AL40" s="225">
        <f t="shared" si="3"/>
        <v>25.044</v>
      </c>
      <c r="AM40" s="222">
        <f>IF($B40="","",SUMIFS(DATA_GOC!$K:$K,DATA_GOC!$A:$A,"BOM",DATA_GOC!$D:$D,$B40,DATA_GOC!$G:$G,"DO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40" s="226" t="str">
        <f t="shared" si="4"/>
        <v/>
      </c>
      <c r="AO40" s="227" t="str">
        <f t="shared" si="5"/>
        <v/>
      </c>
      <c r="AP40" s="226">
        <f>IF($B40="","",IFERROR(AO40-(SUMIFS(DATA_GOC!$H:$H,DATA_GOC!$A:$A,"BOM",DATA_GOC!$D:$D,$B40,DATA_GOC!$F:$F,"Xuất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-0.4307841239</v>
      </c>
      <c r="AQ40" s="59">
        <v>1.0</v>
      </c>
      <c r="AR40" s="59">
        <v>2026.0</v>
      </c>
      <c r="AS40" s="59" t="s">
        <v>112</v>
      </c>
      <c r="AT40" s="59">
        <v>2248.593</v>
      </c>
      <c r="AU40" s="59">
        <v>0.0</v>
      </c>
      <c r="AV40" s="59">
        <v>2248.593</v>
      </c>
      <c r="AW40" s="59">
        <v>4548.0</v>
      </c>
      <c r="AX40" s="59">
        <v>49.4413588390501</v>
      </c>
      <c r="AY40" s="59">
        <v>994.61</v>
      </c>
      <c r="AZ40" s="59">
        <v>1253.983</v>
      </c>
      <c r="BA40" s="59">
        <v>44.61</v>
      </c>
      <c r="BB40" s="59">
        <v>0.0</v>
      </c>
      <c r="BC40" s="59" t="s">
        <v>395</v>
      </c>
    </row>
    <row r="41" ht="16.5" customHeight="1">
      <c r="A41" s="220">
        <f t="shared" si="1"/>
        <v>37</v>
      </c>
      <c r="B41" s="221" t="str">
        <f t="array" ref="B41">IFERROR(INDEX(DANH_MUC!$E:$E,ROW()-1),"")</f>
        <v>28H00669</v>
      </c>
      <c r="C41" s="222">
        <f>IF($B41="","",IF(C$4&gt;DAY(EOMONTH(DATE($D$2,$B$2,1),0)),"",SUMIFS(DATA_GOC!$H:$H,DATA_GOC!$A:$A,"BOM",DATA_GOC!$D:$D,$B41,DATA_GOC!$F:$F,"Xuất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1" s="222">
        <f>IF($B41="","",IF(D$4&gt;DAY(EOMONTH(DATE($D$2,$B$2,1),0)),"",SUMIFS(DATA_GOC!$H:$H,DATA_GOC!$A:$A,"BOM",DATA_GOC!$D:$D,$B41,DATA_GOC!$F:$F,"Xuất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1" s="222">
        <f>IF($B41="","",IF(E$4&gt;DAY(EOMONTH(DATE($D$2,$B$2,1),0)),"",SUMIFS(DATA_GOC!$H:$H,DATA_GOC!$A:$A,"BOM",DATA_GOC!$D:$D,$B41,DATA_GOC!$F:$F,"Xuất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387</v>
      </c>
      <c r="F41" s="222">
        <f>IF($B41="","",IF(F$4&gt;DAY(EOMONTH(DATE($D$2,$B$2,1),0)),"",SUMIFS(DATA_GOC!$H:$H,DATA_GOC!$A:$A,"BOM",DATA_GOC!$D:$D,$B41,DATA_GOC!$F:$F,"Xuất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1" s="222">
        <f>IF($B41="","",IF(G$4&gt;DAY(EOMONTH(DATE($D$2,$B$2,1),0)),"",SUMIFS(DATA_GOC!$H:$H,DATA_GOC!$A:$A,"BOM",DATA_GOC!$D:$D,$B41,DATA_GOC!$F:$F,"Xuất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1" s="222">
        <f>IF($B41="","",IF(H$4&gt;DAY(EOMONTH(DATE($D$2,$B$2,1),0)),"",SUMIFS(DATA_GOC!$H:$H,DATA_GOC!$A:$A,"BOM",DATA_GOC!$D:$D,$B41,DATA_GOC!$F:$F,"Xuất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1" s="222">
        <f>IF($B41="","",IF(I$4&gt;DAY(EOMONTH(DATE($D$2,$B$2,1),0)),"",SUMIFS(DATA_GOC!$H:$H,DATA_GOC!$A:$A,"BOM",DATA_GOC!$D:$D,$B41,DATA_GOC!$F:$F,"Xuất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1" s="222">
        <f>IF($B41="","",IF(J$4&gt;DAY(EOMONTH(DATE($D$2,$B$2,1),0)),"",SUMIFS(DATA_GOC!$H:$H,DATA_GOC!$A:$A,"BOM",DATA_GOC!$D:$D,$B41,DATA_GOC!$F:$F,"Xuất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1" s="222">
        <f>IF($B41="","",IF(K$4&gt;DAY(EOMONTH(DATE($D$2,$B$2,1),0)),"",SUMIFS(DATA_GOC!$H:$H,DATA_GOC!$A:$A,"BOM",DATA_GOC!$D:$D,$B41,DATA_GOC!$F:$F,"Xuất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1" s="222">
        <f>IF($B41="","",IF(L$4&gt;DAY(EOMONTH(DATE($D$2,$B$2,1),0)),"",SUMIFS(DATA_GOC!$H:$H,DATA_GOC!$A:$A,"BOM",DATA_GOC!$D:$D,$B41,DATA_GOC!$F:$F,"Xuất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1" s="222">
        <f>IF($B41="","",IF(M$4&gt;DAY(EOMONTH(DATE($D$2,$B$2,1),0)),"",SUMIFS(DATA_GOC!$H:$H,DATA_GOC!$A:$A,"BOM",DATA_GOC!$D:$D,$B41,DATA_GOC!$F:$F,"Xuất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1" s="222">
        <f>IF($B41="","",IF(N$4&gt;DAY(EOMONTH(DATE($D$2,$B$2,1),0)),"",SUMIFS(DATA_GOC!$H:$H,DATA_GOC!$A:$A,"BOM",DATA_GOC!$D:$D,$B41,DATA_GOC!$F:$F,"Xuất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1" s="222">
        <f>IF($B41="","",IF(O$4&gt;DAY(EOMONTH(DATE($D$2,$B$2,1),0)),"",SUMIFS(DATA_GOC!$H:$H,DATA_GOC!$A:$A,"BOM",DATA_GOC!$D:$D,$B41,DATA_GOC!$F:$F,"Xuất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1" s="222">
        <f>IF($B41="","",IF(P$4&gt;DAY(EOMONTH(DATE($D$2,$B$2,1),0)),"",SUMIFS(DATA_GOC!$H:$H,DATA_GOC!$A:$A,"BOM",DATA_GOC!$D:$D,$B41,DATA_GOC!$F:$F,"Xuất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1" s="222">
        <f>IF($B41="","",IF(Q$4&gt;DAY(EOMONTH(DATE($D$2,$B$2,1),0)),"",SUMIFS(DATA_GOC!$H:$H,DATA_GOC!$A:$A,"BOM",DATA_GOC!$D:$D,$B41,DATA_GOC!$F:$F,"Xuất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1" s="222">
        <f>IF($B41="","",IF(R$4&gt;DAY(EOMONTH(DATE($D$2,$B$2,1),0)),"",SUMIFS(DATA_GOC!$H:$H,DATA_GOC!$A:$A,"BOM",DATA_GOC!$D:$D,$B41,DATA_GOC!$F:$F,"Xuất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1" s="222">
        <f>IF($B41="","",IF(S$4&gt;DAY(EOMONTH(DATE($D$2,$B$2,1),0)),"",SUMIFS(DATA_GOC!$H:$H,DATA_GOC!$A:$A,"BOM",DATA_GOC!$D:$D,$B41,DATA_GOC!$F:$F,"Xuất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1" s="222">
        <f>IF($B41="","",IF(T$4&gt;DAY(EOMONTH(DATE($D$2,$B$2,1),0)),"",SUMIFS(DATA_GOC!$H:$H,DATA_GOC!$A:$A,"BOM",DATA_GOC!$D:$D,$B41,DATA_GOC!$F:$F,"Xuất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1" s="222">
        <f>IF($B41="","",IF(U$4&gt;DAY(EOMONTH(DATE($D$2,$B$2,1),0)),"",SUMIFS(DATA_GOC!$H:$H,DATA_GOC!$A:$A,"BOM",DATA_GOC!$D:$D,$B41,DATA_GOC!$F:$F,"Xuất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1" s="222">
        <f>IF($B41="","",IF(V$4&gt;DAY(EOMONTH(DATE($D$2,$B$2,1),0)),"",SUMIFS(DATA_GOC!$H:$H,DATA_GOC!$A:$A,"BOM",DATA_GOC!$D:$D,$B41,DATA_GOC!$F:$F,"Xuất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1" s="222">
        <f>IF($B41="","",IF(W$4&gt;DAY(EOMONTH(DATE($D$2,$B$2,1),0)),"",SUMIFS(DATA_GOC!$H:$H,DATA_GOC!$A:$A,"BOM",DATA_GOC!$D:$D,$B41,DATA_GOC!$F:$F,"Xuất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1" s="222">
        <f>IF($B41="","",IF(X$4&gt;DAY(EOMONTH(DATE($D$2,$B$2,1),0)),"",SUMIFS(DATA_GOC!$H:$H,DATA_GOC!$A:$A,"BOM",DATA_GOC!$D:$D,$B41,DATA_GOC!$F:$F,"Xuất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1" s="222">
        <f>IF($B41="","",IF(Y$4&gt;DAY(EOMONTH(DATE($D$2,$B$2,1),0)),"",SUMIFS(DATA_GOC!$H:$H,DATA_GOC!$A:$A,"BOM",DATA_GOC!$D:$D,$B41,DATA_GOC!$F:$F,"Xuất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1" s="222">
        <f>IF($B41="","",IF(Z$4&gt;DAY(EOMONTH(DATE($D$2,$B$2,1),0)),"",SUMIFS(DATA_GOC!$H:$H,DATA_GOC!$A:$A,"BOM",DATA_GOC!$D:$D,$B41,DATA_GOC!$F:$F,"Xuất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1" s="222">
        <f>IF($B41="","",IF(AA$4&gt;DAY(EOMONTH(DATE($D$2,$B$2,1),0)),"",SUMIFS(DATA_GOC!$H:$H,DATA_GOC!$A:$A,"BOM",DATA_GOC!$D:$D,$B41,DATA_GOC!$F:$F,"Xuất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1" s="222">
        <f>IF($B41="","",IF(AB$4&gt;DAY(EOMONTH(DATE($D$2,$B$2,1),0)),"",SUMIFS(DATA_GOC!$H:$H,DATA_GOC!$A:$A,"BOM",DATA_GOC!$D:$D,$B41,DATA_GOC!$F:$F,"Xuất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1" s="222">
        <f>IF($B41="","",IF(AC$4&gt;DAY(EOMONTH(DATE($D$2,$B$2,1),0)),"",SUMIFS(DATA_GOC!$H:$H,DATA_GOC!$A:$A,"BOM",DATA_GOC!$D:$D,$B41,DATA_GOC!$F:$F,"Xuất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1" s="222">
        <f>IF($B41="","",IF(AD$4&gt;DAY(EOMONTH(DATE($D$2,$B$2,1),0)),"",SUMIFS(DATA_GOC!$H:$H,DATA_GOC!$A:$A,"BOM",DATA_GOC!$D:$D,$B41,DATA_GOC!$F:$F,"Xuất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1" s="222">
        <f>IF($B41="","",IF(AE$4&gt;DAY(EOMONTH(DATE($D$2,$B$2,1),0)),"",SUMIFS(DATA_GOC!$H:$H,DATA_GOC!$A:$A,"BOM",DATA_GOC!$D:$D,$B41,DATA_GOC!$F:$F,"Xuất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1" s="222">
        <f>IF($B41="","",IF(AF$4&gt;DAY(EOMONTH(DATE($D$2,$B$2,1),0)),"",SUMIFS(DATA_GOC!$H:$H,DATA_GOC!$A:$A,"BOM",DATA_GOC!$D:$D,$B41,DATA_GOC!$F:$F,"Xuất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1" s="222">
        <f>IF($B41="","",IF(AG$4&gt;DAY(EOMONTH(DATE($D$2,$B$2,1),0)),"",SUMIFS(DATA_GOC!$H:$H,DATA_GOC!$A:$A,"BOM",DATA_GOC!$D:$D,$B41,DATA_GOC!$F:$F,"Xuất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1" s="223">
        <f t="shared" si="2"/>
        <v>387</v>
      </c>
      <c r="AI41" s="224">
        <f>IF($B41="","",SUMIFS(DATA_GOC!$H:$H,DATA_GOC!$A:$A,"BOM",DATA_GOC!$D:$D,$B41,DATA_GOC!$F:$F,"Bơm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1" s="224">
        <f>IF($B41="","",SUMIFS(TINH_TEC!$K$233:$K$9232,TINH_TEC!$H$233:$H$9232,$B41,TINH_TEC!$F$233:$F$9232,$B$2,TINH_TEC!$G$233:$G$9232,$D$2,TINH_TEC!$B$233:$B$9232,"Đã chốt"))</f>
        <v>0</v>
      </c>
      <c r="AK41" s="224">
        <f>IF($B41="","",SUMIFS(TINH_TEC!$J$233:$J$9232,TINH_TEC!$H$233:$H$9232,$B41,TINH_TEC!$F$233:$F$9232,$B$2,TINH_TEC!$G$233:$G$9232,$D$2,TINH_TEC!$B$233:$B$9232,"Đã chốt"))</f>
        <v>62.844</v>
      </c>
      <c r="AL41" s="225">
        <f t="shared" si="3"/>
        <v>449.844</v>
      </c>
      <c r="AM41" s="222">
        <f>IF($B41="","",SUMIFS(DATA_GOC!$K:$K,DATA_GOC!$A:$A,"BOM",DATA_GOC!$D:$D,$B41,DATA_GOC!$G:$G,"DO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760</v>
      </c>
      <c r="AN41" s="226">
        <f t="shared" si="4"/>
        <v>59.19</v>
      </c>
      <c r="AO41" s="227">
        <f t="shared" si="5"/>
        <v>0.5919</v>
      </c>
      <c r="AP41" s="226">
        <f>IF($B41="","",IFERROR(AO41-(SUMIFS(DATA_GOC!$H:$H,DATA_GOC!$A:$A,"BOM",DATA_GOC!$D:$D,$B41,DATA_GOC!$F:$F,"Xuất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0.1095914609</v>
      </c>
      <c r="AQ41" s="59">
        <v>1.0</v>
      </c>
      <c r="AR41" s="59">
        <v>2026.0</v>
      </c>
      <c r="AS41" s="59" t="s">
        <v>138</v>
      </c>
      <c r="AT41" s="59">
        <v>2357.776</v>
      </c>
      <c r="AU41" s="59">
        <v>0.0</v>
      </c>
      <c r="AV41" s="59">
        <v>2357.776</v>
      </c>
      <c r="AW41" s="59">
        <v>5148.0</v>
      </c>
      <c r="AX41" s="59">
        <v>45.7998445998446</v>
      </c>
      <c r="AY41" s="59">
        <v>1136.45</v>
      </c>
      <c r="AZ41" s="59">
        <v>1221.326</v>
      </c>
      <c r="BA41" s="59">
        <v>49.45</v>
      </c>
      <c r="BB41" s="59">
        <v>0.0</v>
      </c>
      <c r="BC41" s="59" t="s">
        <v>396</v>
      </c>
    </row>
    <row r="42" ht="16.5" customHeight="1">
      <c r="A42" s="220">
        <f t="shared" si="1"/>
        <v>38</v>
      </c>
      <c r="B42" s="221" t="str">
        <f t="array" ref="B42">IFERROR(INDEX(DANH_MUC!$E:$E,ROW()-1),"")</f>
        <v>28H00680</v>
      </c>
      <c r="C42" s="222">
        <f>IF($B42="","",IF(C$4&gt;DAY(EOMONTH(DATE($D$2,$B$2,1),0)),"",SUMIFS(DATA_GOC!$H:$H,DATA_GOC!$A:$A,"BOM",DATA_GOC!$D:$D,$B42,DATA_GOC!$F:$F,"Xuất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2" s="222">
        <f>IF($B42="","",IF(D$4&gt;DAY(EOMONTH(DATE($D$2,$B$2,1),0)),"",SUMIFS(DATA_GOC!$H:$H,DATA_GOC!$A:$A,"BOM",DATA_GOC!$D:$D,$B42,DATA_GOC!$F:$F,"Xuất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2" s="222">
        <f>IF($B42="","",IF(E$4&gt;DAY(EOMONTH(DATE($D$2,$B$2,1),0)),"",SUMIFS(DATA_GOC!$H:$H,DATA_GOC!$A:$A,"BOM",DATA_GOC!$D:$D,$B42,DATA_GOC!$F:$F,"Xuất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2" s="222">
        <f>IF($B42="","",IF(F$4&gt;DAY(EOMONTH(DATE($D$2,$B$2,1),0)),"",SUMIFS(DATA_GOC!$H:$H,DATA_GOC!$A:$A,"BOM",DATA_GOC!$D:$D,$B42,DATA_GOC!$F:$F,"Xuất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460</v>
      </c>
      <c r="G42" s="222">
        <f>IF($B42="","",IF(G$4&gt;DAY(EOMONTH(DATE($D$2,$B$2,1),0)),"",SUMIFS(DATA_GOC!$H:$H,DATA_GOC!$A:$A,"BOM",DATA_GOC!$D:$D,$B42,DATA_GOC!$F:$F,"Xuất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2" s="222">
        <f>IF($B42="","",IF(H$4&gt;DAY(EOMONTH(DATE($D$2,$B$2,1),0)),"",SUMIFS(DATA_GOC!$H:$H,DATA_GOC!$A:$A,"BOM",DATA_GOC!$D:$D,$B42,DATA_GOC!$F:$F,"Xuất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2" s="222">
        <f>IF($B42="","",IF(I$4&gt;DAY(EOMONTH(DATE($D$2,$B$2,1),0)),"",SUMIFS(DATA_GOC!$H:$H,DATA_GOC!$A:$A,"BOM",DATA_GOC!$D:$D,$B42,DATA_GOC!$F:$F,"Xuất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2" s="222">
        <f>IF($B42="","",IF(J$4&gt;DAY(EOMONTH(DATE($D$2,$B$2,1),0)),"",SUMIFS(DATA_GOC!$H:$H,DATA_GOC!$A:$A,"BOM",DATA_GOC!$D:$D,$B42,DATA_GOC!$F:$F,"Xuất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2" s="222">
        <f>IF($B42="","",IF(K$4&gt;DAY(EOMONTH(DATE($D$2,$B$2,1),0)),"",SUMIFS(DATA_GOC!$H:$H,DATA_GOC!$A:$A,"BOM",DATA_GOC!$D:$D,$B42,DATA_GOC!$F:$F,"Xuất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2" s="222">
        <f>IF($B42="","",IF(L$4&gt;DAY(EOMONTH(DATE($D$2,$B$2,1),0)),"",SUMIFS(DATA_GOC!$H:$H,DATA_GOC!$A:$A,"BOM",DATA_GOC!$D:$D,$B42,DATA_GOC!$F:$F,"Xuất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2" s="222">
        <f>IF($B42="","",IF(M$4&gt;DAY(EOMONTH(DATE($D$2,$B$2,1),0)),"",SUMIFS(DATA_GOC!$H:$H,DATA_GOC!$A:$A,"BOM",DATA_GOC!$D:$D,$B42,DATA_GOC!$F:$F,"Xuất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2" s="222">
        <f>IF($B42="","",IF(N$4&gt;DAY(EOMONTH(DATE($D$2,$B$2,1),0)),"",SUMIFS(DATA_GOC!$H:$H,DATA_GOC!$A:$A,"BOM",DATA_GOC!$D:$D,$B42,DATA_GOC!$F:$F,"Xuất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2" s="222">
        <f>IF($B42="","",IF(O$4&gt;DAY(EOMONTH(DATE($D$2,$B$2,1),0)),"",SUMIFS(DATA_GOC!$H:$H,DATA_GOC!$A:$A,"BOM",DATA_GOC!$D:$D,$B42,DATA_GOC!$F:$F,"Xuất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2" s="222">
        <f>IF($B42="","",IF(P$4&gt;DAY(EOMONTH(DATE($D$2,$B$2,1),0)),"",SUMIFS(DATA_GOC!$H:$H,DATA_GOC!$A:$A,"BOM",DATA_GOC!$D:$D,$B42,DATA_GOC!$F:$F,"Xuất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2" s="222">
        <f>IF($B42="","",IF(Q$4&gt;DAY(EOMONTH(DATE($D$2,$B$2,1),0)),"",SUMIFS(DATA_GOC!$H:$H,DATA_GOC!$A:$A,"BOM",DATA_GOC!$D:$D,$B42,DATA_GOC!$F:$F,"Xuất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2" s="222">
        <f>IF($B42="","",IF(R$4&gt;DAY(EOMONTH(DATE($D$2,$B$2,1),0)),"",SUMIFS(DATA_GOC!$H:$H,DATA_GOC!$A:$A,"BOM",DATA_GOC!$D:$D,$B42,DATA_GOC!$F:$F,"Xuất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2" s="222">
        <f>IF($B42="","",IF(S$4&gt;DAY(EOMONTH(DATE($D$2,$B$2,1),0)),"",SUMIFS(DATA_GOC!$H:$H,DATA_GOC!$A:$A,"BOM",DATA_GOC!$D:$D,$B42,DATA_GOC!$F:$F,"Xuất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2" s="222">
        <f>IF($B42="","",IF(T$4&gt;DAY(EOMONTH(DATE($D$2,$B$2,1),0)),"",SUMIFS(DATA_GOC!$H:$H,DATA_GOC!$A:$A,"BOM",DATA_GOC!$D:$D,$B42,DATA_GOC!$F:$F,"Xuất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2" s="222">
        <f>IF($B42="","",IF(U$4&gt;DAY(EOMONTH(DATE($D$2,$B$2,1),0)),"",SUMIFS(DATA_GOC!$H:$H,DATA_GOC!$A:$A,"BOM",DATA_GOC!$D:$D,$B42,DATA_GOC!$F:$F,"Xuất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2" s="222">
        <f>IF($B42="","",IF(V$4&gt;DAY(EOMONTH(DATE($D$2,$B$2,1),0)),"",SUMIFS(DATA_GOC!$H:$H,DATA_GOC!$A:$A,"BOM",DATA_GOC!$D:$D,$B42,DATA_GOC!$F:$F,"Xuất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2" s="222">
        <f>IF($B42="","",IF(W$4&gt;DAY(EOMONTH(DATE($D$2,$B$2,1),0)),"",SUMIFS(DATA_GOC!$H:$H,DATA_GOC!$A:$A,"BOM",DATA_GOC!$D:$D,$B42,DATA_GOC!$F:$F,"Xuất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2" s="222">
        <f>IF($B42="","",IF(X$4&gt;DAY(EOMONTH(DATE($D$2,$B$2,1),0)),"",SUMIFS(DATA_GOC!$H:$H,DATA_GOC!$A:$A,"BOM",DATA_GOC!$D:$D,$B42,DATA_GOC!$F:$F,"Xuất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2" s="222">
        <f>IF($B42="","",IF(Y$4&gt;DAY(EOMONTH(DATE($D$2,$B$2,1),0)),"",SUMIFS(DATA_GOC!$H:$H,DATA_GOC!$A:$A,"BOM",DATA_GOC!$D:$D,$B42,DATA_GOC!$F:$F,"Xuất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2" s="222">
        <f>IF($B42="","",IF(Z$4&gt;DAY(EOMONTH(DATE($D$2,$B$2,1),0)),"",SUMIFS(DATA_GOC!$H:$H,DATA_GOC!$A:$A,"BOM",DATA_GOC!$D:$D,$B42,DATA_GOC!$F:$F,"Xuất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2" s="222">
        <f>IF($B42="","",IF(AA$4&gt;DAY(EOMONTH(DATE($D$2,$B$2,1),0)),"",SUMIFS(DATA_GOC!$H:$H,DATA_GOC!$A:$A,"BOM",DATA_GOC!$D:$D,$B42,DATA_GOC!$F:$F,"Xuất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2" s="222">
        <f>IF($B42="","",IF(AB$4&gt;DAY(EOMONTH(DATE($D$2,$B$2,1),0)),"",SUMIFS(DATA_GOC!$H:$H,DATA_GOC!$A:$A,"BOM",DATA_GOC!$D:$D,$B42,DATA_GOC!$F:$F,"Xuất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2" s="222">
        <f>IF($B42="","",IF(AC$4&gt;DAY(EOMONTH(DATE($D$2,$B$2,1),0)),"",SUMIFS(DATA_GOC!$H:$H,DATA_GOC!$A:$A,"BOM",DATA_GOC!$D:$D,$B42,DATA_GOC!$F:$F,"Xuất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2" s="222">
        <f>IF($B42="","",IF(AD$4&gt;DAY(EOMONTH(DATE($D$2,$B$2,1),0)),"",SUMIFS(DATA_GOC!$H:$H,DATA_GOC!$A:$A,"BOM",DATA_GOC!$D:$D,$B42,DATA_GOC!$F:$F,"Xuất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2" s="222">
        <f>IF($B42="","",IF(AE$4&gt;DAY(EOMONTH(DATE($D$2,$B$2,1),0)),"",SUMIFS(DATA_GOC!$H:$H,DATA_GOC!$A:$A,"BOM",DATA_GOC!$D:$D,$B42,DATA_GOC!$F:$F,"Xuất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2" s="222">
        <f>IF($B42="","",IF(AF$4&gt;DAY(EOMONTH(DATE($D$2,$B$2,1),0)),"",SUMIFS(DATA_GOC!$H:$H,DATA_GOC!$A:$A,"BOM",DATA_GOC!$D:$D,$B42,DATA_GOC!$F:$F,"Xuất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2" s="222">
        <f>IF($B42="","",IF(AG$4&gt;DAY(EOMONTH(DATE($D$2,$B$2,1),0)),"",SUMIFS(DATA_GOC!$H:$H,DATA_GOC!$A:$A,"BOM",DATA_GOC!$D:$D,$B42,DATA_GOC!$F:$F,"Xuất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2" s="223">
        <f t="shared" si="2"/>
        <v>460</v>
      </c>
      <c r="AI42" s="224">
        <f>IF($B42="","",SUMIFS(DATA_GOC!$H:$H,DATA_GOC!$A:$A,"BOM",DATA_GOC!$D:$D,$B42,DATA_GOC!$F:$F,"Bơm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2" s="224">
        <f>IF($B42="","",SUMIFS(TINH_TEC!$K$233:$K$9232,TINH_TEC!$H$233:$H$9232,$B42,TINH_TEC!$F$233:$F$9232,$B$2,TINH_TEC!$G$233:$G$9232,$D$2,TINH_TEC!$B$233:$B$9232,"Đã chốt"))</f>
        <v>0</v>
      </c>
      <c r="AK42" s="224">
        <f>IF($B42="","",SUMIFS(TINH_TEC!$J$233:$J$9232,TINH_TEC!$H$233:$H$9232,$B42,TINH_TEC!$F$233:$F$9232,$B$2,TINH_TEC!$G$233:$G$9232,$D$2,TINH_TEC!$B$233:$B$9232,"Đã chốt"))</f>
        <v>84.452</v>
      </c>
      <c r="AL42" s="225">
        <f t="shared" si="3"/>
        <v>544.452</v>
      </c>
      <c r="AM42" s="222">
        <f>IF($B42="","",SUMIFS(DATA_GOC!$K:$K,DATA_GOC!$A:$A,"BOM",DATA_GOC!$D:$D,$B42,DATA_GOC!$G:$G,"DO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947</v>
      </c>
      <c r="AN42" s="226">
        <f t="shared" si="4"/>
        <v>57.49229145</v>
      </c>
      <c r="AO42" s="227">
        <f t="shared" si="5"/>
        <v>0.5749229145</v>
      </c>
      <c r="AP42" s="226">
        <f>IF($B42="","",IFERROR(AO42-(SUMIFS(DATA_GOC!$H:$H,DATA_GOC!$A:$A,"BOM",DATA_GOC!$D:$D,$B42,DATA_GOC!$F:$F,"Xuất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0.07418251123</v>
      </c>
      <c r="AQ42" s="59">
        <v>1.0</v>
      </c>
      <c r="AR42" s="59">
        <v>2026.0</v>
      </c>
      <c r="AS42" s="59" t="s">
        <v>101</v>
      </c>
      <c r="AT42" s="59">
        <v>2060.159</v>
      </c>
      <c r="AU42" s="59">
        <v>0.0</v>
      </c>
      <c r="AV42" s="59">
        <v>2060.159</v>
      </c>
      <c r="AW42" s="59">
        <v>4631.0</v>
      </c>
      <c r="AX42" s="59">
        <v>44.4862664651263</v>
      </c>
      <c r="AY42" s="59">
        <v>919.09</v>
      </c>
      <c r="AZ42" s="59">
        <v>1141.069</v>
      </c>
      <c r="BA42" s="59">
        <v>41.09</v>
      </c>
      <c r="BB42" s="59">
        <v>0.0</v>
      </c>
      <c r="BC42" s="59" t="s">
        <v>397</v>
      </c>
    </row>
    <row r="43" ht="16.5" customHeight="1">
      <c r="A43" s="220">
        <f t="shared" si="1"/>
        <v>39</v>
      </c>
      <c r="B43" s="221" t="str">
        <f t="array" ref="B43">IFERROR(INDEX(DANH_MUC!$E:$E,ROW()-1),"")</f>
        <v>28H01070</v>
      </c>
      <c r="C43" s="222">
        <f>IF($B43="","",IF(C$4&gt;DAY(EOMONTH(DATE($D$2,$B$2,1),0)),"",SUMIFS(DATA_GOC!$H:$H,DATA_GOC!$A:$A,"BOM",DATA_GOC!$D:$D,$B43,DATA_GOC!$F:$F,"Xuất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3" s="222">
        <f>IF($B43="","",IF(D$4&gt;DAY(EOMONTH(DATE($D$2,$B$2,1),0)),"",SUMIFS(DATA_GOC!$H:$H,DATA_GOC!$A:$A,"BOM",DATA_GOC!$D:$D,$B43,DATA_GOC!$F:$F,"Xuất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3" s="222">
        <f>IF($B43="","",IF(E$4&gt;DAY(EOMONTH(DATE($D$2,$B$2,1),0)),"",SUMIFS(DATA_GOC!$H:$H,DATA_GOC!$A:$A,"BOM",DATA_GOC!$D:$D,$B43,DATA_GOC!$F:$F,"Xuất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3" s="222">
        <f>IF($B43="","",IF(F$4&gt;DAY(EOMONTH(DATE($D$2,$B$2,1),0)),"",SUMIFS(DATA_GOC!$H:$H,DATA_GOC!$A:$A,"BOM",DATA_GOC!$D:$D,$B43,DATA_GOC!$F:$F,"Xuất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3" s="222">
        <f>IF($B43="","",IF(G$4&gt;DAY(EOMONTH(DATE($D$2,$B$2,1),0)),"",SUMIFS(DATA_GOC!$H:$H,DATA_GOC!$A:$A,"BOM",DATA_GOC!$D:$D,$B43,DATA_GOC!$F:$F,"Xuất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3" s="222">
        <f>IF($B43="","",IF(H$4&gt;DAY(EOMONTH(DATE($D$2,$B$2,1),0)),"",SUMIFS(DATA_GOC!$H:$H,DATA_GOC!$A:$A,"BOM",DATA_GOC!$D:$D,$B43,DATA_GOC!$F:$F,"Xuất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364</v>
      </c>
      <c r="I43" s="222">
        <f>IF($B43="","",IF(I$4&gt;DAY(EOMONTH(DATE($D$2,$B$2,1),0)),"",SUMIFS(DATA_GOC!$H:$H,DATA_GOC!$A:$A,"BOM",DATA_GOC!$D:$D,$B43,DATA_GOC!$F:$F,"Xuất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3" s="222">
        <f>IF($B43="","",IF(J$4&gt;DAY(EOMONTH(DATE($D$2,$B$2,1),0)),"",SUMIFS(DATA_GOC!$H:$H,DATA_GOC!$A:$A,"BOM",DATA_GOC!$D:$D,$B43,DATA_GOC!$F:$F,"Xuất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3" s="222">
        <f>IF($B43="","",IF(K$4&gt;DAY(EOMONTH(DATE($D$2,$B$2,1),0)),"",SUMIFS(DATA_GOC!$H:$H,DATA_GOC!$A:$A,"BOM",DATA_GOC!$D:$D,$B43,DATA_GOC!$F:$F,"Xuất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3" s="222">
        <f>IF($B43="","",IF(L$4&gt;DAY(EOMONTH(DATE($D$2,$B$2,1),0)),"",SUMIFS(DATA_GOC!$H:$H,DATA_GOC!$A:$A,"BOM",DATA_GOC!$D:$D,$B43,DATA_GOC!$F:$F,"Xuất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3" s="222">
        <f>IF($B43="","",IF(M$4&gt;DAY(EOMONTH(DATE($D$2,$B$2,1),0)),"",SUMIFS(DATA_GOC!$H:$H,DATA_GOC!$A:$A,"BOM",DATA_GOC!$D:$D,$B43,DATA_GOC!$F:$F,"Xuất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3" s="222">
        <f>IF($B43="","",IF(N$4&gt;DAY(EOMONTH(DATE($D$2,$B$2,1),0)),"",SUMIFS(DATA_GOC!$H:$H,DATA_GOC!$A:$A,"BOM",DATA_GOC!$D:$D,$B43,DATA_GOC!$F:$F,"Xuất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3" s="222">
        <f>IF($B43="","",IF(O$4&gt;DAY(EOMONTH(DATE($D$2,$B$2,1),0)),"",SUMIFS(DATA_GOC!$H:$H,DATA_GOC!$A:$A,"BOM",DATA_GOC!$D:$D,$B43,DATA_GOC!$F:$F,"Xuất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3" s="222">
        <f>IF($B43="","",IF(P$4&gt;DAY(EOMONTH(DATE($D$2,$B$2,1),0)),"",SUMIFS(DATA_GOC!$H:$H,DATA_GOC!$A:$A,"BOM",DATA_GOC!$D:$D,$B43,DATA_GOC!$F:$F,"Xuất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3" s="222">
        <f>IF($B43="","",IF(Q$4&gt;DAY(EOMONTH(DATE($D$2,$B$2,1),0)),"",SUMIFS(DATA_GOC!$H:$H,DATA_GOC!$A:$A,"BOM",DATA_GOC!$D:$D,$B43,DATA_GOC!$F:$F,"Xuất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3" s="222">
        <f>IF($B43="","",IF(R$4&gt;DAY(EOMONTH(DATE($D$2,$B$2,1),0)),"",SUMIFS(DATA_GOC!$H:$H,DATA_GOC!$A:$A,"BOM",DATA_GOC!$D:$D,$B43,DATA_GOC!$F:$F,"Xuất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3" s="222">
        <f>IF($B43="","",IF(S$4&gt;DAY(EOMONTH(DATE($D$2,$B$2,1),0)),"",SUMIFS(DATA_GOC!$H:$H,DATA_GOC!$A:$A,"BOM",DATA_GOC!$D:$D,$B43,DATA_GOC!$F:$F,"Xuất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3" s="222">
        <f>IF($B43="","",IF(T$4&gt;DAY(EOMONTH(DATE($D$2,$B$2,1),0)),"",SUMIFS(DATA_GOC!$H:$H,DATA_GOC!$A:$A,"BOM",DATA_GOC!$D:$D,$B43,DATA_GOC!$F:$F,"Xuất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3" s="222">
        <f>IF($B43="","",IF(U$4&gt;DAY(EOMONTH(DATE($D$2,$B$2,1),0)),"",SUMIFS(DATA_GOC!$H:$H,DATA_GOC!$A:$A,"BOM",DATA_GOC!$D:$D,$B43,DATA_GOC!$F:$F,"Xuất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3" s="222">
        <f>IF($B43="","",IF(V$4&gt;DAY(EOMONTH(DATE($D$2,$B$2,1),0)),"",SUMIFS(DATA_GOC!$H:$H,DATA_GOC!$A:$A,"BOM",DATA_GOC!$D:$D,$B43,DATA_GOC!$F:$F,"Xuất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3" s="222">
        <f>IF($B43="","",IF(W$4&gt;DAY(EOMONTH(DATE($D$2,$B$2,1),0)),"",SUMIFS(DATA_GOC!$H:$H,DATA_GOC!$A:$A,"BOM",DATA_GOC!$D:$D,$B43,DATA_GOC!$F:$F,"Xuất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3" s="222">
        <f>IF($B43="","",IF(X$4&gt;DAY(EOMONTH(DATE($D$2,$B$2,1),0)),"",SUMIFS(DATA_GOC!$H:$H,DATA_GOC!$A:$A,"BOM",DATA_GOC!$D:$D,$B43,DATA_GOC!$F:$F,"Xuất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3" s="222">
        <f>IF($B43="","",IF(Y$4&gt;DAY(EOMONTH(DATE($D$2,$B$2,1),0)),"",SUMIFS(DATA_GOC!$H:$H,DATA_GOC!$A:$A,"BOM",DATA_GOC!$D:$D,$B43,DATA_GOC!$F:$F,"Xuất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3" s="222">
        <f>IF($B43="","",IF(Z$4&gt;DAY(EOMONTH(DATE($D$2,$B$2,1),0)),"",SUMIFS(DATA_GOC!$H:$H,DATA_GOC!$A:$A,"BOM",DATA_GOC!$D:$D,$B43,DATA_GOC!$F:$F,"Xuất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3" s="222">
        <f>IF($B43="","",IF(AA$4&gt;DAY(EOMONTH(DATE($D$2,$B$2,1),0)),"",SUMIFS(DATA_GOC!$H:$H,DATA_GOC!$A:$A,"BOM",DATA_GOC!$D:$D,$B43,DATA_GOC!$F:$F,"Xuất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3" s="222">
        <f>IF($B43="","",IF(AB$4&gt;DAY(EOMONTH(DATE($D$2,$B$2,1),0)),"",SUMIFS(DATA_GOC!$H:$H,DATA_GOC!$A:$A,"BOM",DATA_GOC!$D:$D,$B43,DATA_GOC!$F:$F,"Xuất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3" s="222">
        <f>IF($B43="","",IF(AC$4&gt;DAY(EOMONTH(DATE($D$2,$B$2,1),0)),"",SUMIFS(DATA_GOC!$H:$H,DATA_GOC!$A:$A,"BOM",DATA_GOC!$D:$D,$B43,DATA_GOC!$F:$F,"Xuất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3" s="222">
        <f>IF($B43="","",IF(AD$4&gt;DAY(EOMONTH(DATE($D$2,$B$2,1),0)),"",SUMIFS(DATA_GOC!$H:$H,DATA_GOC!$A:$A,"BOM",DATA_GOC!$D:$D,$B43,DATA_GOC!$F:$F,"Xuất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3" s="222">
        <f>IF($B43="","",IF(AE$4&gt;DAY(EOMONTH(DATE($D$2,$B$2,1),0)),"",SUMIFS(DATA_GOC!$H:$H,DATA_GOC!$A:$A,"BOM",DATA_GOC!$D:$D,$B43,DATA_GOC!$F:$F,"Xuất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3" s="222">
        <f>IF($B43="","",IF(AF$4&gt;DAY(EOMONTH(DATE($D$2,$B$2,1),0)),"",SUMIFS(DATA_GOC!$H:$H,DATA_GOC!$A:$A,"BOM",DATA_GOC!$D:$D,$B43,DATA_GOC!$F:$F,"Xuất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3" s="222">
        <f>IF($B43="","",IF(AG$4&gt;DAY(EOMONTH(DATE($D$2,$B$2,1),0)),"",SUMIFS(DATA_GOC!$H:$H,DATA_GOC!$A:$A,"BOM",DATA_GOC!$D:$D,$B43,DATA_GOC!$F:$F,"Xuất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3" s="223">
        <f t="shared" si="2"/>
        <v>364</v>
      </c>
      <c r="AI43" s="224">
        <f>IF($B43="","",SUMIFS(DATA_GOC!$H:$H,DATA_GOC!$A:$A,"BOM",DATA_GOC!$D:$D,$B43,DATA_GOC!$F:$F,"Bơm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3" s="224">
        <f>IF($B43="","",SUMIFS(TINH_TEC!$K$233:$K$9232,TINH_TEC!$H$233:$H$9232,$B43,TINH_TEC!$F$233:$F$9232,$B$2,TINH_TEC!$G$233:$G$9232,$D$2,TINH_TEC!$B$233:$B$9232,"Đã chốt"))</f>
        <v>0</v>
      </c>
      <c r="AK43" s="224">
        <f>IF($B43="","",SUMIFS(TINH_TEC!$J$233:$J$9232,TINH_TEC!$H$233:$H$9232,$B43,TINH_TEC!$F$233:$F$9232,$B$2,TINH_TEC!$G$233:$G$9232,$D$2,TINH_TEC!$B$233:$B$9232,"Đã chốt"))</f>
        <v>26.5</v>
      </c>
      <c r="AL43" s="225">
        <f t="shared" si="3"/>
        <v>390.5</v>
      </c>
      <c r="AM43" s="222">
        <f>IF($B43="","",SUMIFS(DATA_GOC!$K:$K,DATA_GOC!$A:$A,"BOM",DATA_GOC!$D:$D,$B43,DATA_GOC!$G:$G,"DO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749</v>
      </c>
      <c r="AN43" s="226">
        <f t="shared" si="4"/>
        <v>52.13618158</v>
      </c>
      <c r="AO43" s="227">
        <f t="shared" si="5"/>
        <v>0.5213618158</v>
      </c>
      <c r="AP43" s="226">
        <f>IF($B43="","",IFERROR(AO43-(SUMIFS(DATA_GOC!$H:$H,DATA_GOC!$A:$A,"BOM",DATA_GOC!$D:$D,$B43,DATA_GOC!$F:$F,"Xuất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0.06825745644</v>
      </c>
      <c r="AQ43" s="59">
        <v>1.0</v>
      </c>
      <c r="AR43" s="59">
        <v>2026.0</v>
      </c>
      <c r="AS43" s="59" t="s">
        <v>97</v>
      </c>
      <c r="AT43" s="59">
        <v>972.435</v>
      </c>
      <c r="AU43" s="59">
        <v>0.0</v>
      </c>
      <c r="AV43" s="59">
        <v>972.435</v>
      </c>
      <c r="AW43" s="59">
        <v>1180.0</v>
      </c>
      <c r="AX43" s="59">
        <v>82.4097457627119</v>
      </c>
      <c r="AY43" s="59">
        <v>342.67</v>
      </c>
      <c r="AZ43" s="59">
        <v>629.765</v>
      </c>
      <c r="BA43" s="59">
        <v>12.67</v>
      </c>
      <c r="BB43" s="59">
        <v>0.0</v>
      </c>
      <c r="BC43" s="59" t="s">
        <v>398</v>
      </c>
    </row>
    <row r="44" ht="16.5" customHeight="1">
      <c r="A44" s="220">
        <f t="shared" si="1"/>
        <v>40</v>
      </c>
      <c r="B44" s="221" t="str">
        <f t="array" ref="B44">IFERROR(INDEX(DANH_MUC!$E:$E,ROW()-1),"")</f>
        <v>28H01364</v>
      </c>
      <c r="C44" s="222">
        <f>IF($B44="","",IF(C$4&gt;DAY(EOMONTH(DATE($D$2,$B$2,1),0)),"",SUMIFS(DATA_GOC!$H:$H,DATA_GOC!$A:$A,"BOM",DATA_GOC!$D:$D,$B44,DATA_GOC!$F:$F,"Xuất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4" s="222">
        <f>IF($B44="","",IF(D$4&gt;DAY(EOMONTH(DATE($D$2,$B$2,1),0)),"",SUMIFS(DATA_GOC!$H:$H,DATA_GOC!$A:$A,"BOM",DATA_GOC!$D:$D,$B44,DATA_GOC!$F:$F,"Xuất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4" s="222">
        <f>IF($B44="","",IF(E$4&gt;DAY(EOMONTH(DATE($D$2,$B$2,1),0)),"",SUMIFS(DATA_GOC!$H:$H,DATA_GOC!$A:$A,"BOM",DATA_GOC!$D:$D,$B44,DATA_GOC!$F:$F,"Xuất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4" s="222">
        <f>IF($B44="","",IF(F$4&gt;DAY(EOMONTH(DATE($D$2,$B$2,1),0)),"",SUMIFS(DATA_GOC!$H:$H,DATA_GOC!$A:$A,"BOM",DATA_GOC!$D:$D,$B44,DATA_GOC!$F:$F,"Xuất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4" s="222">
        <f>IF($B44="","",IF(G$4&gt;DAY(EOMONTH(DATE($D$2,$B$2,1),0)),"",SUMIFS(DATA_GOC!$H:$H,DATA_GOC!$A:$A,"BOM",DATA_GOC!$D:$D,$B44,DATA_GOC!$F:$F,"Xuất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4" s="222">
        <f>IF($B44="","",IF(H$4&gt;DAY(EOMONTH(DATE($D$2,$B$2,1),0)),"",SUMIFS(DATA_GOC!$H:$H,DATA_GOC!$A:$A,"BOM",DATA_GOC!$D:$D,$B44,DATA_GOC!$F:$F,"Xuất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4" s="222">
        <f>IF($B44="","",IF(I$4&gt;DAY(EOMONTH(DATE($D$2,$B$2,1),0)),"",SUMIFS(DATA_GOC!$H:$H,DATA_GOC!$A:$A,"BOM",DATA_GOC!$D:$D,$B44,DATA_GOC!$F:$F,"Xuất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4" s="222">
        <f>IF($B44="","",IF(J$4&gt;DAY(EOMONTH(DATE($D$2,$B$2,1),0)),"",SUMIFS(DATA_GOC!$H:$H,DATA_GOC!$A:$A,"BOM",DATA_GOC!$D:$D,$B44,DATA_GOC!$F:$F,"Xuất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4" s="222">
        <f>IF($B44="","",IF(K$4&gt;DAY(EOMONTH(DATE($D$2,$B$2,1),0)),"",SUMIFS(DATA_GOC!$H:$H,DATA_GOC!$A:$A,"BOM",DATA_GOC!$D:$D,$B44,DATA_GOC!$F:$F,"Xuất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4" s="222">
        <f>IF($B44="","",IF(L$4&gt;DAY(EOMONTH(DATE($D$2,$B$2,1),0)),"",SUMIFS(DATA_GOC!$H:$H,DATA_GOC!$A:$A,"BOM",DATA_GOC!$D:$D,$B44,DATA_GOC!$F:$F,"Xuất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4" s="222">
        <f>IF($B44="","",IF(M$4&gt;DAY(EOMONTH(DATE($D$2,$B$2,1),0)),"",SUMIFS(DATA_GOC!$H:$H,DATA_GOC!$A:$A,"BOM",DATA_GOC!$D:$D,$B44,DATA_GOC!$F:$F,"Xuất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4" s="222">
        <f>IF($B44="","",IF(N$4&gt;DAY(EOMONTH(DATE($D$2,$B$2,1),0)),"",SUMIFS(DATA_GOC!$H:$H,DATA_GOC!$A:$A,"BOM",DATA_GOC!$D:$D,$B44,DATA_GOC!$F:$F,"Xuất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4" s="222">
        <f>IF($B44="","",IF(O$4&gt;DAY(EOMONTH(DATE($D$2,$B$2,1),0)),"",SUMIFS(DATA_GOC!$H:$H,DATA_GOC!$A:$A,"BOM",DATA_GOC!$D:$D,$B44,DATA_GOC!$F:$F,"Xuất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4" s="222">
        <f>IF($B44="","",IF(P$4&gt;DAY(EOMONTH(DATE($D$2,$B$2,1),0)),"",SUMIFS(DATA_GOC!$H:$H,DATA_GOC!$A:$A,"BOM",DATA_GOC!$D:$D,$B44,DATA_GOC!$F:$F,"Xuất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4" s="222">
        <f>IF($B44="","",IF(Q$4&gt;DAY(EOMONTH(DATE($D$2,$B$2,1),0)),"",SUMIFS(DATA_GOC!$H:$H,DATA_GOC!$A:$A,"BOM",DATA_GOC!$D:$D,$B44,DATA_GOC!$F:$F,"Xuất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4" s="222">
        <f>IF($B44="","",IF(R$4&gt;DAY(EOMONTH(DATE($D$2,$B$2,1),0)),"",SUMIFS(DATA_GOC!$H:$H,DATA_GOC!$A:$A,"BOM",DATA_GOC!$D:$D,$B44,DATA_GOC!$F:$F,"Xuất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4" s="222">
        <f>IF($B44="","",IF(S$4&gt;DAY(EOMONTH(DATE($D$2,$B$2,1),0)),"",SUMIFS(DATA_GOC!$H:$H,DATA_GOC!$A:$A,"BOM",DATA_GOC!$D:$D,$B44,DATA_GOC!$F:$F,"Xuất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4" s="222">
        <f>IF($B44="","",IF(T$4&gt;DAY(EOMONTH(DATE($D$2,$B$2,1),0)),"",SUMIFS(DATA_GOC!$H:$H,DATA_GOC!$A:$A,"BOM",DATA_GOC!$D:$D,$B44,DATA_GOC!$F:$F,"Xuất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4" s="222">
        <f>IF($B44="","",IF(U$4&gt;DAY(EOMONTH(DATE($D$2,$B$2,1),0)),"",SUMIFS(DATA_GOC!$H:$H,DATA_GOC!$A:$A,"BOM",DATA_GOC!$D:$D,$B44,DATA_GOC!$F:$F,"Xuất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4" s="222">
        <f>IF($B44="","",IF(V$4&gt;DAY(EOMONTH(DATE($D$2,$B$2,1),0)),"",SUMIFS(DATA_GOC!$H:$H,DATA_GOC!$A:$A,"BOM",DATA_GOC!$D:$D,$B44,DATA_GOC!$F:$F,"Xuất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4" s="222">
        <f>IF($B44="","",IF(W$4&gt;DAY(EOMONTH(DATE($D$2,$B$2,1),0)),"",SUMIFS(DATA_GOC!$H:$H,DATA_GOC!$A:$A,"BOM",DATA_GOC!$D:$D,$B44,DATA_GOC!$F:$F,"Xuất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4" s="222">
        <f>IF($B44="","",IF(X$4&gt;DAY(EOMONTH(DATE($D$2,$B$2,1),0)),"",SUMIFS(DATA_GOC!$H:$H,DATA_GOC!$A:$A,"BOM",DATA_GOC!$D:$D,$B44,DATA_GOC!$F:$F,"Xuất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4" s="222">
        <f>IF($B44="","",IF(Y$4&gt;DAY(EOMONTH(DATE($D$2,$B$2,1),0)),"",SUMIFS(DATA_GOC!$H:$H,DATA_GOC!$A:$A,"BOM",DATA_GOC!$D:$D,$B44,DATA_GOC!$F:$F,"Xuất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4" s="222">
        <f>IF($B44="","",IF(Z$4&gt;DAY(EOMONTH(DATE($D$2,$B$2,1),0)),"",SUMIFS(DATA_GOC!$H:$H,DATA_GOC!$A:$A,"BOM",DATA_GOC!$D:$D,$B44,DATA_GOC!$F:$F,"Xuất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4" s="222">
        <f>IF($B44="","",IF(AA$4&gt;DAY(EOMONTH(DATE($D$2,$B$2,1),0)),"",SUMIFS(DATA_GOC!$H:$H,DATA_GOC!$A:$A,"BOM",DATA_GOC!$D:$D,$B44,DATA_GOC!$F:$F,"Xuất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4" s="222">
        <f>IF($B44="","",IF(AB$4&gt;DAY(EOMONTH(DATE($D$2,$B$2,1),0)),"",SUMIFS(DATA_GOC!$H:$H,DATA_GOC!$A:$A,"BOM",DATA_GOC!$D:$D,$B44,DATA_GOC!$F:$F,"Xuất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4" s="222">
        <f>IF($B44="","",IF(AC$4&gt;DAY(EOMONTH(DATE($D$2,$B$2,1),0)),"",SUMIFS(DATA_GOC!$H:$H,DATA_GOC!$A:$A,"BOM",DATA_GOC!$D:$D,$B44,DATA_GOC!$F:$F,"Xuất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4" s="222">
        <f>IF($B44="","",IF(AD$4&gt;DAY(EOMONTH(DATE($D$2,$B$2,1),0)),"",SUMIFS(DATA_GOC!$H:$H,DATA_GOC!$A:$A,"BOM",DATA_GOC!$D:$D,$B44,DATA_GOC!$F:$F,"Xuất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4" s="222">
        <f>IF($B44="","",IF(AE$4&gt;DAY(EOMONTH(DATE($D$2,$B$2,1),0)),"",SUMIFS(DATA_GOC!$H:$H,DATA_GOC!$A:$A,"BOM",DATA_GOC!$D:$D,$B44,DATA_GOC!$F:$F,"Xuất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4" s="222">
        <f>IF($B44="","",IF(AF$4&gt;DAY(EOMONTH(DATE($D$2,$B$2,1),0)),"",SUMIFS(DATA_GOC!$H:$H,DATA_GOC!$A:$A,"BOM",DATA_GOC!$D:$D,$B44,DATA_GOC!$F:$F,"Xuất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4" s="222">
        <f>IF($B44="","",IF(AG$4&gt;DAY(EOMONTH(DATE($D$2,$B$2,1),0)),"",SUMIFS(DATA_GOC!$H:$H,DATA_GOC!$A:$A,"BOM",DATA_GOC!$D:$D,$B44,DATA_GOC!$F:$F,"Xuất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4" s="223">
        <f t="shared" si="2"/>
        <v>0</v>
      </c>
      <c r="AI44" s="224">
        <f>IF($B44="","",SUMIFS(DATA_GOC!$H:$H,DATA_GOC!$A:$A,"BOM",DATA_GOC!$D:$D,$B44,DATA_GOC!$F:$F,"Bơm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4" s="224">
        <f>IF($B44="","",SUMIFS(TINH_TEC!$K$233:$K$9232,TINH_TEC!$H$233:$H$9232,$B44,TINH_TEC!$F$233:$F$9232,$B$2,TINH_TEC!$G$233:$G$9232,$D$2,TINH_TEC!$B$233:$B$9232,"Đã chốt"))</f>
        <v>0</v>
      </c>
      <c r="AK44" s="224">
        <f>IF($B44="","",SUMIFS(TINH_TEC!$J$233:$J$9232,TINH_TEC!$H$233:$H$9232,$B44,TINH_TEC!$F$233:$F$9232,$B$2,TINH_TEC!$G$233:$G$9232,$D$2,TINH_TEC!$B$233:$B$9232,"Đã chốt"))</f>
        <v>25.627</v>
      </c>
      <c r="AL44" s="225">
        <f t="shared" si="3"/>
        <v>25.627</v>
      </c>
      <c r="AM44" s="222">
        <f>IF($B44="","",SUMIFS(DATA_GOC!$K:$K,DATA_GOC!$A:$A,"BOM",DATA_GOC!$D:$D,$B44,DATA_GOC!$G:$G,"DO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44" s="226" t="str">
        <f t="shared" si="4"/>
        <v/>
      </c>
      <c r="AO44" s="227" t="str">
        <f t="shared" si="5"/>
        <v/>
      </c>
      <c r="AP44" s="226">
        <f>IF($B44="","",IFERROR(AO44-(SUMIFS(DATA_GOC!$H:$H,DATA_GOC!$A:$A,"BOM",DATA_GOC!$D:$D,$B44,DATA_GOC!$F:$F,"Xuất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-0.3567520245</v>
      </c>
      <c r="AQ44" s="59">
        <v>2.0</v>
      </c>
      <c r="AR44" s="59">
        <v>2026.0</v>
      </c>
      <c r="AS44" s="59" t="s">
        <v>154</v>
      </c>
      <c r="AT44" s="59">
        <v>174.794</v>
      </c>
      <c r="AU44" s="59">
        <v>0.0</v>
      </c>
      <c r="AV44" s="59">
        <v>174.794</v>
      </c>
      <c r="AW44" s="59">
        <v>611.0</v>
      </c>
      <c r="AX44" s="59">
        <v>28.6078559738134</v>
      </c>
      <c r="AY44" s="59">
        <v>170.694</v>
      </c>
      <c r="AZ44" s="59">
        <v>4.1</v>
      </c>
      <c r="BA44" s="59">
        <v>5.694</v>
      </c>
      <c r="BB44" s="59">
        <v>0.0</v>
      </c>
      <c r="BC44" s="59" t="s">
        <v>399</v>
      </c>
    </row>
    <row r="45" ht="16.5" customHeight="1">
      <c r="A45" s="220">
        <f t="shared" si="1"/>
        <v>41</v>
      </c>
      <c r="B45" s="221" t="str">
        <f t="array" ref="B45">IFERROR(INDEX(DANH_MUC!$E:$E,ROW()-1),"")</f>
        <v>29E17269</v>
      </c>
      <c r="C45" s="222">
        <f>IF($B45="","",IF(C$4&gt;DAY(EOMONTH(DATE($D$2,$B$2,1),0)),"",SUMIFS(DATA_GOC!$H:$H,DATA_GOC!$A:$A,"BOM",DATA_GOC!$D:$D,$B45,DATA_GOC!$F:$F,"Xuất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5" s="222">
        <f>IF($B45="","",IF(D$4&gt;DAY(EOMONTH(DATE($D$2,$B$2,1),0)),"",SUMIFS(DATA_GOC!$H:$H,DATA_GOC!$A:$A,"BOM",DATA_GOC!$D:$D,$B45,DATA_GOC!$F:$F,"Xuất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5" s="222">
        <f>IF($B45="","",IF(E$4&gt;DAY(EOMONTH(DATE($D$2,$B$2,1),0)),"",SUMIFS(DATA_GOC!$H:$H,DATA_GOC!$A:$A,"BOM",DATA_GOC!$D:$D,$B45,DATA_GOC!$F:$F,"Xuất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5" s="222">
        <f>IF($B45="","",IF(F$4&gt;DAY(EOMONTH(DATE($D$2,$B$2,1),0)),"",SUMIFS(DATA_GOC!$H:$H,DATA_GOC!$A:$A,"BOM",DATA_GOC!$D:$D,$B45,DATA_GOC!$F:$F,"Xuất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5" s="222">
        <f>IF($B45="","",IF(G$4&gt;DAY(EOMONTH(DATE($D$2,$B$2,1),0)),"",SUMIFS(DATA_GOC!$H:$H,DATA_GOC!$A:$A,"BOM",DATA_GOC!$D:$D,$B45,DATA_GOC!$F:$F,"Xuất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5" s="222">
        <f>IF($B45="","",IF(H$4&gt;DAY(EOMONTH(DATE($D$2,$B$2,1),0)),"",SUMIFS(DATA_GOC!$H:$H,DATA_GOC!$A:$A,"BOM",DATA_GOC!$D:$D,$B45,DATA_GOC!$F:$F,"Xuất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5" s="222">
        <f>IF($B45="","",IF(I$4&gt;DAY(EOMONTH(DATE($D$2,$B$2,1),0)),"",SUMIFS(DATA_GOC!$H:$H,DATA_GOC!$A:$A,"BOM",DATA_GOC!$D:$D,$B45,DATA_GOC!$F:$F,"Xuất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5" s="222">
        <f>IF($B45="","",IF(J$4&gt;DAY(EOMONTH(DATE($D$2,$B$2,1),0)),"",SUMIFS(DATA_GOC!$H:$H,DATA_GOC!$A:$A,"BOM",DATA_GOC!$D:$D,$B45,DATA_GOC!$F:$F,"Xuất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5" s="222">
        <f>IF($B45="","",IF(K$4&gt;DAY(EOMONTH(DATE($D$2,$B$2,1),0)),"",SUMIFS(DATA_GOC!$H:$H,DATA_GOC!$A:$A,"BOM",DATA_GOC!$D:$D,$B45,DATA_GOC!$F:$F,"Xuất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5" s="222">
        <f>IF($B45="","",IF(L$4&gt;DAY(EOMONTH(DATE($D$2,$B$2,1),0)),"",SUMIFS(DATA_GOC!$H:$H,DATA_GOC!$A:$A,"BOM",DATA_GOC!$D:$D,$B45,DATA_GOC!$F:$F,"Xuất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5" s="222">
        <f>IF($B45="","",IF(M$4&gt;DAY(EOMONTH(DATE($D$2,$B$2,1),0)),"",SUMIFS(DATA_GOC!$H:$H,DATA_GOC!$A:$A,"BOM",DATA_GOC!$D:$D,$B45,DATA_GOC!$F:$F,"Xuất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5" s="222">
        <f>IF($B45="","",IF(N$4&gt;DAY(EOMONTH(DATE($D$2,$B$2,1),0)),"",SUMIFS(DATA_GOC!$H:$H,DATA_GOC!$A:$A,"BOM",DATA_GOC!$D:$D,$B45,DATA_GOC!$F:$F,"Xuất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5" s="222">
        <f>IF($B45="","",IF(O$4&gt;DAY(EOMONTH(DATE($D$2,$B$2,1),0)),"",SUMIFS(DATA_GOC!$H:$H,DATA_GOC!$A:$A,"BOM",DATA_GOC!$D:$D,$B45,DATA_GOC!$F:$F,"Xuất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5" s="222">
        <f>IF($B45="","",IF(P$4&gt;DAY(EOMONTH(DATE($D$2,$B$2,1),0)),"",SUMIFS(DATA_GOC!$H:$H,DATA_GOC!$A:$A,"BOM",DATA_GOC!$D:$D,$B45,DATA_GOC!$F:$F,"Xuất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5" s="222">
        <f>IF($B45="","",IF(Q$4&gt;DAY(EOMONTH(DATE($D$2,$B$2,1),0)),"",SUMIFS(DATA_GOC!$H:$H,DATA_GOC!$A:$A,"BOM",DATA_GOC!$D:$D,$B45,DATA_GOC!$F:$F,"Xuất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5" s="222">
        <f>IF($B45="","",IF(R$4&gt;DAY(EOMONTH(DATE($D$2,$B$2,1),0)),"",SUMIFS(DATA_GOC!$H:$H,DATA_GOC!$A:$A,"BOM",DATA_GOC!$D:$D,$B45,DATA_GOC!$F:$F,"Xuất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5" s="222">
        <f>IF($B45="","",IF(S$4&gt;DAY(EOMONTH(DATE($D$2,$B$2,1),0)),"",SUMIFS(DATA_GOC!$H:$H,DATA_GOC!$A:$A,"BOM",DATA_GOC!$D:$D,$B45,DATA_GOC!$F:$F,"Xuất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5" s="222">
        <f>IF($B45="","",IF(T$4&gt;DAY(EOMONTH(DATE($D$2,$B$2,1),0)),"",SUMIFS(DATA_GOC!$H:$H,DATA_GOC!$A:$A,"BOM",DATA_GOC!$D:$D,$B45,DATA_GOC!$F:$F,"Xuất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5" s="222">
        <f>IF($B45="","",IF(U$4&gt;DAY(EOMONTH(DATE($D$2,$B$2,1),0)),"",SUMIFS(DATA_GOC!$H:$H,DATA_GOC!$A:$A,"BOM",DATA_GOC!$D:$D,$B45,DATA_GOC!$F:$F,"Xuất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5" s="222">
        <f>IF($B45="","",IF(V$4&gt;DAY(EOMONTH(DATE($D$2,$B$2,1),0)),"",SUMIFS(DATA_GOC!$H:$H,DATA_GOC!$A:$A,"BOM",DATA_GOC!$D:$D,$B45,DATA_GOC!$F:$F,"Xuất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5" s="222">
        <f>IF($B45="","",IF(W$4&gt;DAY(EOMONTH(DATE($D$2,$B$2,1),0)),"",SUMIFS(DATA_GOC!$H:$H,DATA_GOC!$A:$A,"BOM",DATA_GOC!$D:$D,$B45,DATA_GOC!$F:$F,"Xuất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5" s="222">
        <f>IF($B45="","",IF(X$4&gt;DAY(EOMONTH(DATE($D$2,$B$2,1),0)),"",SUMIFS(DATA_GOC!$H:$H,DATA_GOC!$A:$A,"BOM",DATA_GOC!$D:$D,$B45,DATA_GOC!$F:$F,"Xuất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5" s="222">
        <f>IF($B45="","",IF(Y$4&gt;DAY(EOMONTH(DATE($D$2,$B$2,1),0)),"",SUMIFS(DATA_GOC!$H:$H,DATA_GOC!$A:$A,"BOM",DATA_GOC!$D:$D,$B45,DATA_GOC!$F:$F,"Xuất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5" s="222">
        <f>IF($B45="","",IF(Z$4&gt;DAY(EOMONTH(DATE($D$2,$B$2,1),0)),"",SUMIFS(DATA_GOC!$H:$H,DATA_GOC!$A:$A,"BOM",DATA_GOC!$D:$D,$B45,DATA_GOC!$F:$F,"Xuất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5" s="222">
        <f>IF($B45="","",IF(AA$4&gt;DAY(EOMONTH(DATE($D$2,$B$2,1),0)),"",SUMIFS(DATA_GOC!$H:$H,DATA_GOC!$A:$A,"BOM",DATA_GOC!$D:$D,$B45,DATA_GOC!$F:$F,"Xuất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5" s="222">
        <f>IF($B45="","",IF(AB$4&gt;DAY(EOMONTH(DATE($D$2,$B$2,1),0)),"",SUMIFS(DATA_GOC!$H:$H,DATA_GOC!$A:$A,"BOM",DATA_GOC!$D:$D,$B45,DATA_GOC!$F:$F,"Xuất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5" s="222">
        <f>IF($B45="","",IF(AC$4&gt;DAY(EOMONTH(DATE($D$2,$B$2,1),0)),"",SUMIFS(DATA_GOC!$H:$H,DATA_GOC!$A:$A,"BOM",DATA_GOC!$D:$D,$B45,DATA_GOC!$F:$F,"Xuất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5" s="222">
        <f>IF($B45="","",IF(AD$4&gt;DAY(EOMONTH(DATE($D$2,$B$2,1),0)),"",SUMIFS(DATA_GOC!$H:$H,DATA_GOC!$A:$A,"BOM",DATA_GOC!$D:$D,$B45,DATA_GOC!$F:$F,"Xuất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5" s="222">
        <f>IF($B45="","",IF(AE$4&gt;DAY(EOMONTH(DATE($D$2,$B$2,1),0)),"",SUMIFS(DATA_GOC!$H:$H,DATA_GOC!$A:$A,"BOM",DATA_GOC!$D:$D,$B45,DATA_GOC!$F:$F,"Xuất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5" s="222">
        <f>IF($B45="","",IF(AF$4&gt;DAY(EOMONTH(DATE($D$2,$B$2,1),0)),"",SUMIFS(DATA_GOC!$H:$H,DATA_GOC!$A:$A,"BOM",DATA_GOC!$D:$D,$B45,DATA_GOC!$F:$F,"Xuất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5" s="222">
        <f>IF($B45="","",IF(AG$4&gt;DAY(EOMONTH(DATE($D$2,$B$2,1),0)),"",SUMIFS(DATA_GOC!$H:$H,DATA_GOC!$A:$A,"BOM",DATA_GOC!$D:$D,$B45,DATA_GOC!$F:$F,"Xuất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5" s="223">
        <f t="shared" si="2"/>
        <v>0</v>
      </c>
      <c r="AI45" s="224">
        <f>IF($B45="","",SUMIFS(DATA_GOC!$H:$H,DATA_GOC!$A:$A,"BOM",DATA_GOC!$D:$D,$B45,DATA_GOC!$F:$F,"Bơm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5" s="224">
        <f>IF($B45="","",SUMIFS(TINH_TEC!$K$233:$K$9232,TINH_TEC!$H$233:$H$9232,$B45,TINH_TEC!$F$233:$F$9232,$B$2,TINH_TEC!$G$233:$G$9232,$D$2,TINH_TEC!$B$233:$B$9232,"Đã chốt"))</f>
        <v>0</v>
      </c>
      <c r="AK45" s="224">
        <f>IF($B45="","",SUMIFS(TINH_TEC!$J$233:$J$9232,TINH_TEC!$H$233:$H$9232,$B45,TINH_TEC!$F$233:$F$9232,$B$2,TINH_TEC!$G$233:$G$9232,$D$2,TINH_TEC!$B$233:$B$9232,"Đã chốt"))</f>
        <v>20.56</v>
      </c>
      <c r="AL45" s="225">
        <f t="shared" si="3"/>
        <v>20.56</v>
      </c>
      <c r="AM45" s="222">
        <f>IF($B45="","",SUMIFS(DATA_GOC!$K:$K,DATA_GOC!$A:$A,"BOM",DATA_GOC!$D:$D,$B45,DATA_GOC!$G:$G,"DO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45" s="226" t="str">
        <f t="shared" si="4"/>
        <v/>
      </c>
      <c r="AO45" s="227" t="str">
        <f t="shared" si="5"/>
        <v/>
      </c>
      <c r="AP45" s="226">
        <f>IF($B45="","",IFERROR(AO45-(SUMIFS(DATA_GOC!$H:$H,DATA_GOC!$A:$A,"BOM",DATA_GOC!$D:$D,$B45,DATA_GOC!$F:$F,"Xuất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-0.4793286942</v>
      </c>
      <c r="AQ45" s="59">
        <v>2.0</v>
      </c>
      <c r="AR45" s="59">
        <v>2026.0</v>
      </c>
      <c r="AS45" s="59" t="s">
        <v>153</v>
      </c>
      <c r="AT45" s="59">
        <v>248.539239212788</v>
      </c>
      <c r="AU45" s="59">
        <v>0.0</v>
      </c>
      <c r="AV45" s="59">
        <v>248.539239212788</v>
      </c>
      <c r="AW45" s="59">
        <v>855.0</v>
      </c>
      <c r="AX45" s="59">
        <v>29.0689168669927</v>
      </c>
      <c r="AY45" s="59">
        <v>131.382</v>
      </c>
      <c r="AZ45" s="59">
        <v>117.157239212788</v>
      </c>
      <c r="BA45" s="59">
        <v>4.382</v>
      </c>
      <c r="BB45" s="59">
        <v>0.0</v>
      </c>
      <c r="BC45" s="59" t="s">
        <v>400</v>
      </c>
    </row>
    <row r="46" ht="16.5" customHeight="1">
      <c r="A46" s="220">
        <f t="shared" si="1"/>
        <v>42</v>
      </c>
      <c r="B46" s="221" t="str">
        <f t="array" ref="B46">IFERROR(INDEX(DANH_MUC!$E:$E,ROW()-1),"")</f>
        <v>29E17273</v>
      </c>
      <c r="C46" s="222">
        <f>IF($B46="","",IF(C$4&gt;DAY(EOMONTH(DATE($D$2,$B$2,1),0)),"",SUMIFS(DATA_GOC!$H:$H,DATA_GOC!$A:$A,"BOM",DATA_GOC!$D:$D,$B46,DATA_GOC!$F:$F,"Xuất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6" s="222">
        <f>IF($B46="","",IF(D$4&gt;DAY(EOMONTH(DATE($D$2,$B$2,1),0)),"",SUMIFS(DATA_GOC!$H:$H,DATA_GOC!$A:$A,"BOM",DATA_GOC!$D:$D,$B46,DATA_GOC!$F:$F,"Xuất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6" s="222">
        <f>IF($B46="","",IF(E$4&gt;DAY(EOMONTH(DATE($D$2,$B$2,1),0)),"",SUMIFS(DATA_GOC!$H:$H,DATA_GOC!$A:$A,"BOM",DATA_GOC!$D:$D,$B46,DATA_GOC!$F:$F,"Xuất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6" s="222">
        <f>IF($B46="","",IF(F$4&gt;DAY(EOMONTH(DATE($D$2,$B$2,1),0)),"",SUMIFS(DATA_GOC!$H:$H,DATA_GOC!$A:$A,"BOM",DATA_GOC!$D:$D,$B46,DATA_GOC!$F:$F,"Xuất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6" s="222">
        <f>IF($B46="","",IF(G$4&gt;DAY(EOMONTH(DATE($D$2,$B$2,1),0)),"",SUMIFS(DATA_GOC!$H:$H,DATA_GOC!$A:$A,"BOM",DATA_GOC!$D:$D,$B46,DATA_GOC!$F:$F,"Xuất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6" s="222">
        <f>IF($B46="","",IF(H$4&gt;DAY(EOMONTH(DATE($D$2,$B$2,1),0)),"",SUMIFS(DATA_GOC!$H:$H,DATA_GOC!$A:$A,"BOM",DATA_GOC!$D:$D,$B46,DATA_GOC!$F:$F,"Xuất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6" s="222">
        <f>IF($B46="","",IF(I$4&gt;DAY(EOMONTH(DATE($D$2,$B$2,1),0)),"",SUMIFS(DATA_GOC!$H:$H,DATA_GOC!$A:$A,"BOM",DATA_GOC!$D:$D,$B46,DATA_GOC!$F:$F,"Xuất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6" s="222">
        <f>IF($B46="","",IF(J$4&gt;DAY(EOMONTH(DATE($D$2,$B$2,1),0)),"",SUMIFS(DATA_GOC!$H:$H,DATA_GOC!$A:$A,"BOM",DATA_GOC!$D:$D,$B46,DATA_GOC!$F:$F,"Xuất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6" s="222">
        <f>IF($B46="","",IF(K$4&gt;DAY(EOMONTH(DATE($D$2,$B$2,1),0)),"",SUMIFS(DATA_GOC!$H:$H,DATA_GOC!$A:$A,"BOM",DATA_GOC!$D:$D,$B46,DATA_GOC!$F:$F,"Xuất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6" s="222">
        <f>IF($B46="","",IF(L$4&gt;DAY(EOMONTH(DATE($D$2,$B$2,1),0)),"",SUMIFS(DATA_GOC!$H:$H,DATA_GOC!$A:$A,"BOM",DATA_GOC!$D:$D,$B46,DATA_GOC!$F:$F,"Xuất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6" s="222">
        <f>IF($B46="","",IF(M$4&gt;DAY(EOMONTH(DATE($D$2,$B$2,1),0)),"",SUMIFS(DATA_GOC!$H:$H,DATA_GOC!$A:$A,"BOM",DATA_GOC!$D:$D,$B46,DATA_GOC!$F:$F,"Xuất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6" s="222">
        <f>IF($B46="","",IF(N$4&gt;DAY(EOMONTH(DATE($D$2,$B$2,1),0)),"",SUMIFS(DATA_GOC!$H:$H,DATA_GOC!$A:$A,"BOM",DATA_GOC!$D:$D,$B46,DATA_GOC!$F:$F,"Xuất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6" s="222">
        <f>IF($B46="","",IF(O$4&gt;DAY(EOMONTH(DATE($D$2,$B$2,1),0)),"",SUMIFS(DATA_GOC!$H:$H,DATA_GOC!$A:$A,"BOM",DATA_GOC!$D:$D,$B46,DATA_GOC!$F:$F,"Xuất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6" s="222">
        <f>IF($B46="","",IF(P$4&gt;DAY(EOMONTH(DATE($D$2,$B$2,1),0)),"",SUMIFS(DATA_GOC!$H:$H,DATA_GOC!$A:$A,"BOM",DATA_GOC!$D:$D,$B46,DATA_GOC!$F:$F,"Xuất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6" s="222">
        <f>IF($B46="","",IF(Q$4&gt;DAY(EOMONTH(DATE($D$2,$B$2,1),0)),"",SUMIFS(DATA_GOC!$H:$H,DATA_GOC!$A:$A,"BOM",DATA_GOC!$D:$D,$B46,DATA_GOC!$F:$F,"Xuất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6" s="222">
        <f>IF($B46="","",IF(R$4&gt;DAY(EOMONTH(DATE($D$2,$B$2,1),0)),"",SUMIFS(DATA_GOC!$H:$H,DATA_GOC!$A:$A,"BOM",DATA_GOC!$D:$D,$B46,DATA_GOC!$F:$F,"Xuất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6" s="222">
        <f>IF($B46="","",IF(S$4&gt;DAY(EOMONTH(DATE($D$2,$B$2,1),0)),"",SUMIFS(DATA_GOC!$H:$H,DATA_GOC!$A:$A,"BOM",DATA_GOC!$D:$D,$B46,DATA_GOC!$F:$F,"Xuất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6" s="222">
        <f>IF($B46="","",IF(T$4&gt;DAY(EOMONTH(DATE($D$2,$B$2,1),0)),"",SUMIFS(DATA_GOC!$H:$H,DATA_GOC!$A:$A,"BOM",DATA_GOC!$D:$D,$B46,DATA_GOC!$F:$F,"Xuất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6" s="222">
        <f>IF($B46="","",IF(U$4&gt;DAY(EOMONTH(DATE($D$2,$B$2,1),0)),"",SUMIFS(DATA_GOC!$H:$H,DATA_GOC!$A:$A,"BOM",DATA_GOC!$D:$D,$B46,DATA_GOC!$F:$F,"Xuất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6" s="222">
        <f>IF($B46="","",IF(V$4&gt;DAY(EOMONTH(DATE($D$2,$B$2,1),0)),"",SUMIFS(DATA_GOC!$H:$H,DATA_GOC!$A:$A,"BOM",DATA_GOC!$D:$D,$B46,DATA_GOC!$F:$F,"Xuất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6" s="222">
        <f>IF($B46="","",IF(W$4&gt;DAY(EOMONTH(DATE($D$2,$B$2,1),0)),"",SUMIFS(DATA_GOC!$H:$H,DATA_GOC!$A:$A,"BOM",DATA_GOC!$D:$D,$B46,DATA_GOC!$F:$F,"Xuất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6" s="222">
        <f>IF($B46="","",IF(X$4&gt;DAY(EOMONTH(DATE($D$2,$B$2,1),0)),"",SUMIFS(DATA_GOC!$H:$H,DATA_GOC!$A:$A,"BOM",DATA_GOC!$D:$D,$B46,DATA_GOC!$F:$F,"Xuất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6" s="222">
        <f>IF($B46="","",IF(Y$4&gt;DAY(EOMONTH(DATE($D$2,$B$2,1),0)),"",SUMIFS(DATA_GOC!$H:$H,DATA_GOC!$A:$A,"BOM",DATA_GOC!$D:$D,$B46,DATA_GOC!$F:$F,"Xuất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6" s="222">
        <f>IF($B46="","",IF(Z$4&gt;DAY(EOMONTH(DATE($D$2,$B$2,1),0)),"",SUMIFS(DATA_GOC!$H:$H,DATA_GOC!$A:$A,"BOM",DATA_GOC!$D:$D,$B46,DATA_GOC!$F:$F,"Xuất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6" s="222">
        <f>IF($B46="","",IF(AA$4&gt;DAY(EOMONTH(DATE($D$2,$B$2,1),0)),"",SUMIFS(DATA_GOC!$H:$H,DATA_GOC!$A:$A,"BOM",DATA_GOC!$D:$D,$B46,DATA_GOC!$F:$F,"Xuất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6" s="222">
        <f>IF($B46="","",IF(AB$4&gt;DAY(EOMONTH(DATE($D$2,$B$2,1),0)),"",SUMIFS(DATA_GOC!$H:$H,DATA_GOC!$A:$A,"BOM",DATA_GOC!$D:$D,$B46,DATA_GOC!$F:$F,"Xuất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6" s="222">
        <f>IF($B46="","",IF(AC$4&gt;DAY(EOMONTH(DATE($D$2,$B$2,1),0)),"",SUMIFS(DATA_GOC!$H:$H,DATA_GOC!$A:$A,"BOM",DATA_GOC!$D:$D,$B46,DATA_GOC!$F:$F,"Xuất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6" s="222">
        <f>IF($B46="","",IF(AD$4&gt;DAY(EOMONTH(DATE($D$2,$B$2,1),0)),"",SUMIFS(DATA_GOC!$H:$H,DATA_GOC!$A:$A,"BOM",DATA_GOC!$D:$D,$B46,DATA_GOC!$F:$F,"Xuất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6" s="222">
        <f>IF($B46="","",IF(AE$4&gt;DAY(EOMONTH(DATE($D$2,$B$2,1),0)),"",SUMIFS(DATA_GOC!$H:$H,DATA_GOC!$A:$A,"BOM",DATA_GOC!$D:$D,$B46,DATA_GOC!$F:$F,"Xuất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6" s="222">
        <f>IF($B46="","",IF(AF$4&gt;DAY(EOMONTH(DATE($D$2,$B$2,1),0)),"",SUMIFS(DATA_GOC!$H:$H,DATA_GOC!$A:$A,"BOM",DATA_GOC!$D:$D,$B46,DATA_GOC!$F:$F,"Xuất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6" s="222">
        <f>IF($B46="","",IF(AG$4&gt;DAY(EOMONTH(DATE($D$2,$B$2,1),0)),"",SUMIFS(DATA_GOC!$H:$H,DATA_GOC!$A:$A,"BOM",DATA_GOC!$D:$D,$B46,DATA_GOC!$F:$F,"Xuất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6" s="223">
        <f t="shared" si="2"/>
        <v>0</v>
      </c>
      <c r="AI46" s="224">
        <f>IF($B46="","",SUMIFS(DATA_GOC!$H:$H,DATA_GOC!$A:$A,"BOM",DATA_GOC!$D:$D,$B46,DATA_GOC!$F:$F,"Bơm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6" s="224">
        <f>IF($B46="","",SUMIFS(TINH_TEC!$K$233:$K$9232,TINH_TEC!$H$233:$H$9232,$B46,TINH_TEC!$F$233:$F$9232,$B$2,TINH_TEC!$G$233:$G$9232,$D$2,TINH_TEC!$B$233:$B$9232,"Đã chốt"))</f>
        <v>0</v>
      </c>
      <c r="AK46" s="224">
        <f>IF($B46="","",SUMIFS(TINH_TEC!$J$233:$J$9232,TINH_TEC!$H$233:$H$9232,$B46,TINH_TEC!$F$233:$F$9232,$B$2,TINH_TEC!$G$233:$G$9232,$D$2,TINH_TEC!$B$233:$B$9232,"Đã chốt"))</f>
        <v>16.89</v>
      </c>
      <c r="AL46" s="225">
        <f t="shared" si="3"/>
        <v>16.89</v>
      </c>
      <c r="AM46" s="222">
        <f>IF($B46="","",SUMIFS(DATA_GOC!$K:$K,DATA_GOC!$A:$A,"BOM",DATA_GOC!$D:$D,$B46,DATA_GOC!$G:$G,"DO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46" s="226" t="str">
        <f t="shared" si="4"/>
        <v/>
      </c>
      <c r="AO46" s="227" t="str">
        <f t="shared" si="5"/>
        <v/>
      </c>
      <c r="AP46" s="226">
        <f>IF($B46="","",IFERROR(AO46-(SUMIFS(DATA_GOC!$H:$H,DATA_GOC!$A:$A,"BOM",DATA_GOC!$D:$D,$B46,DATA_GOC!$F:$F,"Xuất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-0.4646365422</v>
      </c>
      <c r="AQ46" s="59">
        <v>2.0</v>
      </c>
      <c r="AR46" s="59">
        <v>2026.0</v>
      </c>
      <c r="AS46" s="59" t="s">
        <v>159</v>
      </c>
      <c r="AT46" s="59">
        <v>314.68360155789</v>
      </c>
      <c r="AU46" s="59">
        <v>0.0</v>
      </c>
      <c r="AV46" s="59">
        <v>314.68360155789</v>
      </c>
      <c r="AW46" s="59">
        <v>1000.0</v>
      </c>
      <c r="AX46" s="59">
        <v>31.468360155789</v>
      </c>
      <c r="AY46" s="59">
        <v>152.072</v>
      </c>
      <c r="AZ46" s="59">
        <v>162.61160155789</v>
      </c>
      <c r="BA46" s="59">
        <v>5.072</v>
      </c>
      <c r="BB46" s="59">
        <v>0.0</v>
      </c>
      <c r="BC46" s="59" t="s">
        <v>401</v>
      </c>
    </row>
    <row r="47" ht="16.5" customHeight="1">
      <c r="A47" s="220">
        <f t="shared" si="1"/>
        <v>43</v>
      </c>
      <c r="B47" s="221" t="str">
        <f t="array" ref="B47">IFERROR(INDEX(DANH_MUC!$E:$E,ROW()-1),"")</f>
        <v>29E17410</v>
      </c>
      <c r="C47" s="222">
        <f>IF($B47="","",IF(C$4&gt;DAY(EOMONTH(DATE($D$2,$B$2,1),0)),"",SUMIFS(DATA_GOC!$H:$H,DATA_GOC!$A:$A,"BOM",DATA_GOC!$D:$D,$B47,DATA_GOC!$F:$F,"Xuất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7" s="222">
        <f>IF($B47="","",IF(D$4&gt;DAY(EOMONTH(DATE($D$2,$B$2,1),0)),"",SUMIFS(DATA_GOC!$H:$H,DATA_GOC!$A:$A,"BOM",DATA_GOC!$D:$D,$B47,DATA_GOC!$F:$F,"Xuất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7" s="222">
        <f>IF($B47="","",IF(E$4&gt;DAY(EOMONTH(DATE($D$2,$B$2,1),0)),"",SUMIFS(DATA_GOC!$H:$H,DATA_GOC!$A:$A,"BOM",DATA_GOC!$D:$D,$B47,DATA_GOC!$F:$F,"Xuất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7" s="222">
        <f>IF($B47="","",IF(F$4&gt;DAY(EOMONTH(DATE($D$2,$B$2,1),0)),"",SUMIFS(DATA_GOC!$H:$H,DATA_GOC!$A:$A,"BOM",DATA_GOC!$D:$D,$B47,DATA_GOC!$F:$F,"Xuất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7" s="222">
        <f>IF($B47="","",IF(G$4&gt;DAY(EOMONTH(DATE($D$2,$B$2,1),0)),"",SUMIFS(DATA_GOC!$H:$H,DATA_GOC!$A:$A,"BOM",DATA_GOC!$D:$D,$B47,DATA_GOC!$F:$F,"Xuất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7" s="222">
        <f>IF($B47="","",IF(H$4&gt;DAY(EOMONTH(DATE($D$2,$B$2,1),0)),"",SUMIFS(DATA_GOC!$H:$H,DATA_GOC!$A:$A,"BOM",DATA_GOC!$D:$D,$B47,DATA_GOC!$F:$F,"Xuất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7" s="222">
        <f>IF($B47="","",IF(I$4&gt;DAY(EOMONTH(DATE($D$2,$B$2,1),0)),"",SUMIFS(DATA_GOC!$H:$H,DATA_GOC!$A:$A,"BOM",DATA_GOC!$D:$D,$B47,DATA_GOC!$F:$F,"Xuất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7" s="222">
        <f>IF($B47="","",IF(J$4&gt;DAY(EOMONTH(DATE($D$2,$B$2,1),0)),"",SUMIFS(DATA_GOC!$H:$H,DATA_GOC!$A:$A,"BOM",DATA_GOC!$D:$D,$B47,DATA_GOC!$F:$F,"Xuất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7" s="222">
        <f>IF($B47="","",IF(K$4&gt;DAY(EOMONTH(DATE($D$2,$B$2,1),0)),"",SUMIFS(DATA_GOC!$H:$H,DATA_GOC!$A:$A,"BOM",DATA_GOC!$D:$D,$B47,DATA_GOC!$F:$F,"Xuất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7" s="222">
        <f>IF($B47="","",IF(L$4&gt;DAY(EOMONTH(DATE($D$2,$B$2,1),0)),"",SUMIFS(DATA_GOC!$H:$H,DATA_GOC!$A:$A,"BOM",DATA_GOC!$D:$D,$B47,DATA_GOC!$F:$F,"Xuất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7" s="222">
        <f>IF($B47="","",IF(M$4&gt;DAY(EOMONTH(DATE($D$2,$B$2,1),0)),"",SUMIFS(DATA_GOC!$H:$H,DATA_GOC!$A:$A,"BOM",DATA_GOC!$D:$D,$B47,DATA_GOC!$F:$F,"Xuất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7" s="222">
        <f>IF($B47="","",IF(N$4&gt;DAY(EOMONTH(DATE($D$2,$B$2,1),0)),"",SUMIFS(DATA_GOC!$H:$H,DATA_GOC!$A:$A,"BOM",DATA_GOC!$D:$D,$B47,DATA_GOC!$F:$F,"Xuất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7" s="222">
        <f>IF($B47="","",IF(O$4&gt;DAY(EOMONTH(DATE($D$2,$B$2,1),0)),"",SUMIFS(DATA_GOC!$H:$H,DATA_GOC!$A:$A,"BOM",DATA_GOC!$D:$D,$B47,DATA_GOC!$F:$F,"Xuất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7" s="222">
        <f>IF($B47="","",IF(P$4&gt;DAY(EOMONTH(DATE($D$2,$B$2,1),0)),"",SUMIFS(DATA_GOC!$H:$H,DATA_GOC!$A:$A,"BOM",DATA_GOC!$D:$D,$B47,DATA_GOC!$F:$F,"Xuất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7" s="222">
        <f>IF($B47="","",IF(Q$4&gt;DAY(EOMONTH(DATE($D$2,$B$2,1),0)),"",SUMIFS(DATA_GOC!$H:$H,DATA_GOC!$A:$A,"BOM",DATA_GOC!$D:$D,$B47,DATA_GOC!$F:$F,"Xuất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7" s="222">
        <f>IF($B47="","",IF(R$4&gt;DAY(EOMONTH(DATE($D$2,$B$2,1),0)),"",SUMIFS(DATA_GOC!$H:$H,DATA_GOC!$A:$A,"BOM",DATA_GOC!$D:$D,$B47,DATA_GOC!$F:$F,"Xuất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7" s="222">
        <f>IF($B47="","",IF(S$4&gt;DAY(EOMONTH(DATE($D$2,$B$2,1),0)),"",SUMIFS(DATA_GOC!$H:$H,DATA_GOC!$A:$A,"BOM",DATA_GOC!$D:$D,$B47,DATA_GOC!$F:$F,"Xuất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7" s="222">
        <f>IF($B47="","",IF(T$4&gt;DAY(EOMONTH(DATE($D$2,$B$2,1),0)),"",SUMIFS(DATA_GOC!$H:$H,DATA_GOC!$A:$A,"BOM",DATA_GOC!$D:$D,$B47,DATA_GOC!$F:$F,"Xuất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7" s="222">
        <f>IF($B47="","",IF(U$4&gt;DAY(EOMONTH(DATE($D$2,$B$2,1),0)),"",SUMIFS(DATA_GOC!$H:$H,DATA_GOC!$A:$A,"BOM",DATA_GOC!$D:$D,$B47,DATA_GOC!$F:$F,"Xuất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7" s="222">
        <f>IF($B47="","",IF(V$4&gt;DAY(EOMONTH(DATE($D$2,$B$2,1),0)),"",SUMIFS(DATA_GOC!$H:$H,DATA_GOC!$A:$A,"BOM",DATA_GOC!$D:$D,$B47,DATA_GOC!$F:$F,"Xuất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7" s="222">
        <f>IF($B47="","",IF(W$4&gt;DAY(EOMONTH(DATE($D$2,$B$2,1),0)),"",SUMIFS(DATA_GOC!$H:$H,DATA_GOC!$A:$A,"BOM",DATA_GOC!$D:$D,$B47,DATA_GOC!$F:$F,"Xuất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7" s="222">
        <f>IF($B47="","",IF(X$4&gt;DAY(EOMONTH(DATE($D$2,$B$2,1),0)),"",SUMIFS(DATA_GOC!$H:$H,DATA_GOC!$A:$A,"BOM",DATA_GOC!$D:$D,$B47,DATA_GOC!$F:$F,"Xuất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7" s="222">
        <f>IF($B47="","",IF(Y$4&gt;DAY(EOMONTH(DATE($D$2,$B$2,1),0)),"",SUMIFS(DATA_GOC!$H:$H,DATA_GOC!$A:$A,"BOM",DATA_GOC!$D:$D,$B47,DATA_GOC!$F:$F,"Xuất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7" s="222">
        <f>IF($B47="","",IF(Z$4&gt;DAY(EOMONTH(DATE($D$2,$B$2,1),0)),"",SUMIFS(DATA_GOC!$H:$H,DATA_GOC!$A:$A,"BOM",DATA_GOC!$D:$D,$B47,DATA_GOC!$F:$F,"Xuất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7" s="222">
        <f>IF($B47="","",IF(AA$4&gt;DAY(EOMONTH(DATE($D$2,$B$2,1),0)),"",SUMIFS(DATA_GOC!$H:$H,DATA_GOC!$A:$A,"BOM",DATA_GOC!$D:$D,$B47,DATA_GOC!$F:$F,"Xuất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7" s="222">
        <f>IF($B47="","",IF(AB$4&gt;DAY(EOMONTH(DATE($D$2,$B$2,1),0)),"",SUMIFS(DATA_GOC!$H:$H,DATA_GOC!$A:$A,"BOM",DATA_GOC!$D:$D,$B47,DATA_GOC!$F:$F,"Xuất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7" s="222">
        <f>IF($B47="","",IF(AC$4&gt;DAY(EOMONTH(DATE($D$2,$B$2,1),0)),"",SUMIFS(DATA_GOC!$H:$H,DATA_GOC!$A:$A,"BOM",DATA_GOC!$D:$D,$B47,DATA_GOC!$F:$F,"Xuất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7" s="222">
        <f>IF($B47="","",IF(AD$4&gt;DAY(EOMONTH(DATE($D$2,$B$2,1),0)),"",SUMIFS(DATA_GOC!$H:$H,DATA_GOC!$A:$A,"BOM",DATA_GOC!$D:$D,$B47,DATA_GOC!$F:$F,"Xuất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7" s="222">
        <f>IF($B47="","",IF(AE$4&gt;DAY(EOMONTH(DATE($D$2,$B$2,1),0)),"",SUMIFS(DATA_GOC!$H:$H,DATA_GOC!$A:$A,"BOM",DATA_GOC!$D:$D,$B47,DATA_GOC!$F:$F,"Xuất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7" s="222">
        <f>IF($B47="","",IF(AF$4&gt;DAY(EOMONTH(DATE($D$2,$B$2,1),0)),"",SUMIFS(DATA_GOC!$H:$H,DATA_GOC!$A:$A,"BOM",DATA_GOC!$D:$D,$B47,DATA_GOC!$F:$F,"Xuất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7" s="222">
        <f>IF($B47="","",IF(AG$4&gt;DAY(EOMONTH(DATE($D$2,$B$2,1),0)),"",SUMIFS(DATA_GOC!$H:$H,DATA_GOC!$A:$A,"BOM",DATA_GOC!$D:$D,$B47,DATA_GOC!$F:$F,"Xuất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7" s="223">
        <f t="shared" si="2"/>
        <v>0</v>
      </c>
      <c r="AI47" s="224">
        <f>IF($B47="","",SUMIFS(DATA_GOC!$H:$H,DATA_GOC!$A:$A,"BOM",DATA_GOC!$D:$D,$B47,DATA_GOC!$F:$F,"Bơm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7" s="224">
        <f>IF($B47="","",SUMIFS(TINH_TEC!$K$233:$K$9232,TINH_TEC!$H$233:$H$9232,$B47,TINH_TEC!$F$233:$F$9232,$B$2,TINH_TEC!$G$233:$G$9232,$D$2,TINH_TEC!$B$233:$B$9232,"Đã chốt"))</f>
        <v>0</v>
      </c>
      <c r="AK47" s="224">
        <f>IF($B47="","",SUMIFS(TINH_TEC!$J$233:$J$9232,TINH_TEC!$H$233:$H$9232,$B47,TINH_TEC!$F$233:$F$9232,$B$2,TINH_TEC!$G$233:$G$9232,$D$2,TINH_TEC!$B$233:$B$9232,"Đã chốt"))</f>
        <v>22.598</v>
      </c>
      <c r="AL47" s="225">
        <f t="shared" si="3"/>
        <v>22.598</v>
      </c>
      <c r="AM47" s="222">
        <f>IF($B47="","",SUMIFS(DATA_GOC!$K:$K,DATA_GOC!$A:$A,"BOM",DATA_GOC!$D:$D,$B47,DATA_GOC!$G:$G,"DO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47" s="226" t="str">
        <f t="shared" si="4"/>
        <v/>
      </c>
      <c r="AO47" s="227" t="str">
        <f t="shared" si="5"/>
        <v/>
      </c>
      <c r="AP47" s="226">
        <f>IF($B47="","",IFERROR(AO47-(SUMIFS(DATA_GOC!$H:$H,DATA_GOC!$A:$A,"BOM",DATA_GOC!$D:$D,$B47,DATA_GOC!$F:$F,"Xuất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-0.5075301205</v>
      </c>
      <c r="AQ47" s="59">
        <v>2.0</v>
      </c>
      <c r="AR47" s="59">
        <v>2026.0</v>
      </c>
      <c r="AS47" s="59" t="s">
        <v>158</v>
      </c>
      <c r="AT47" s="59">
        <v>360.427322276633</v>
      </c>
      <c r="AU47" s="59">
        <v>0.0</v>
      </c>
      <c r="AV47" s="59">
        <v>360.427322276633</v>
      </c>
      <c r="AW47" s="59">
        <v>880.0</v>
      </c>
      <c r="AX47" s="59">
        <v>40.9576502587083</v>
      </c>
      <c r="AY47" s="59">
        <v>161.383</v>
      </c>
      <c r="AZ47" s="59">
        <v>199.044322276633</v>
      </c>
      <c r="BA47" s="59">
        <v>5.383</v>
      </c>
      <c r="BB47" s="59">
        <v>0.0</v>
      </c>
      <c r="BC47" s="59" t="s">
        <v>402</v>
      </c>
    </row>
    <row r="48" ht="16.5" customHeight="1">
      <c r="A48" s="220">
        <f t="shared" si="1"/>
        <v>44</v>
      </c>
      <c r="B48" s="221" t="str">
        <f t="array" ref="B48">IFERROR(INDEX(DANH_MUC!$E:$E,ROW()-1),"")</f>
        <v>29E17417</v>
      </c>
      <c r="C48" s="222">
        <f>IF($B48="","",IF(C$4&gt;DAY(EOMONTH(DATE($D$2,$B$2,1),0)),"",SUMIFS(DATA_GOC!$H:$H,DATA_GOC!$A:$A,"BOM",DATA_GOC!$D:$D,$B48,DATA_GOC!$F:$F,"Xuất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8" s="222">
        <f>IF($B48="","",IF(D$4&gt;DAY(EOMONTH(DATE($D$2,$B$2,1),0)),"",SUMIFS(DATA_GOC!$H:$H,DATA_GOC!$A:$A,"BOM",DATA_GOC!$D:$D,$B48,DATA_GOC!$F:$F,"Xuất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8" s="222">
        <f>IF($B48="","",IF(E$4&gt;DAY(EOMONTH(DATE($D$2,$B$2,1),0)),"",SUMIFS(DATA_GOC!$H:$H,DATA_GOC!$A:$A,"BOM",DATA_GOC!$D:$D,$B48,DATA_GOC!$F:$F,"Xuất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8" s="222">
        <f>IF($B48="","",IF(F$4&gt;DAY(EOMONTH(DATE($D$2,$B$2,1),0)),"",SUMIFS(DATA_GOC!$H:$H,DATA_GOC!$A:$A,"BOM",DATA_GOC!$D:$D,$B48,DATA_GOC!$F:$F,"Xuất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8" s="222">
        <f>IF($B48="","",IF(G$4&gt;DAY(EOMONTH(DATE($D$2,$B$2,1),0)),"",SUMIFS(DATA_GOC!$H:$H,DATA_GOC!$A:$A,"BOM",DATA_GOC!$D:$D,$B48,DATA_GOC!$F:$F,"Xuất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8" s="222">
        <f>IF($B48="","",IF(H$4&gt;DAY(EOMONTH(DATE($D$2,$B$2,1),0)),"",SUMIFS(DATA_GOC!$H:$H,DATA_GOC!$A:$A,"BOM",DATA_GOC!$D:$D,$B48,DATA_GOC!$F:$F,"Xuất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8" s="222">
        <f>IF($B48="","",IF(I$4&gt;DAY(EOMONTH(DATE($D$2,$B$2,1),0)),"",SUMIFS(DATA_GOC!$H:$H,DATA_GOC!$A:$A,"BOM",DATA_GOC!$D:$D,$B48,DATA_GOC!$F:$F,"Xuất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8" s="222">
        <f>IF($B48="","",IF(J$4&gt;DAY(EOMONTH(DATE($D$2,$B$2,1),0)),"",SUMIFS(DATA_GOC!$H:$H,DATA_GOC!$A:$A,"BOM",DATA_GOC!$D:$D,$B48,DATA_GOC!$F:$F,"Xuất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8" s="222">
        <f>IF($B48="","",IF(K$4&gt;DAY(EOMONTH(DATE($D$2,$B$2,1),0)),"",SUMIFS(DATA_GOC!$H:$H,DATA_GOC!$A:$A,"BOM",DATA_GOC!$D:$D,$B48,DATA_GOC!$F:$F,"Xuất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8" s="222">
        <f>IF($B48="","",IF(L$4&gt;DAY(EOMONTH(DATE($D$2,$B$2,1),0)),"",SUMIFS(DATA_GOC!$H:$H,DATA_GOC!$A:$A,"BOM",DATA_GOC!$D:$D,$B48,DATA_GOC!$F:$F,"Xuất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8" s="222">
        <f>IF($B48="","",IF(M$4&gt;DAY(EOMONTH(DATE($D$2,$B$2,1),0)),"",SUMIFS(DATA_GOC!$H:$H,DATA_GOC!$A:$A,"BOM",DATA_GOC!$D:$D,$B48,DATA_GOC!$F:$F,"Xuất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8" s="222">
        <f>IF($B48="","",IF(N$4&gt;DAY(EOMONTH(DATE($D$2,$B$2,1),0)),"",SUMIFS(DATA_GOC!$H:$H,DATA_GOC!$A:$A,"BOM",DATA_GOC!$D:$D,$B48,DATA_GOC!$F:$F,"Xuất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8" s="222">
        <f>IF($B48="","",IF(O$4&gt;DAY(EOMONTH(DATE($D$2,$B$2,1),0)),"",SUMIFS(DATA_GOC!$H:$H,DATA_GOC!$A:$A,"BOM",DATA_GOC!$D:$D,$B48,DATA_GOC!$F:$F,"Xuất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8" s="222">
        <f>IF($B48="","",IF(P$4&gt;DAY(EOMONTH(DATE($D$2,$B$2,1),0)),"",SUMIFS(DATA_GOC!$H:$H,DATA_GOC!$A:$A,"BOM",DATA_GOC!$D:$D,$B48,DATA_GOC!$F:$F,"Xuất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8" s="222">
        <f>IF($B48="","",IF(Q$4&gt;DAY(EOMONTH(DATE($D$2,$B$2,1),0)),"",SUMIFS(DATA_GOC!$H:$H,DATA_GOC!$A:$A,"BOM",DATA_GOC!$D:$D,$B48,DATA_GOC!$F:$F,"Xuất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8" s="222">
        <f>IF($B48="","",IF(R$4&gt;DAY(EOMONTH(DATE($D$2,$B$2,1),0)),"",SUMIFS(DATA_GOC!$H:$H,DATA_GOC!$A:$A,"BOM",DATA_GOC!$D:$D,$B48,DATA_GOC!$F:$F,"Xuất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8" s="222">
        <f>IF($B48="","",IF(S$4&gt;DAY(EOMONTH(DATE($D$2,$B$2,1),0)),"",SUMIFS(DATA_GOC!$H:$H,DATA_GOC!$A:$A,"BOM",DATA_GOC!$D:$D,$B48,DATA_GOC!$F:$F,"Xuất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8" s="222">
        <f>IF($B48="","",IF(T$4&gt;DAY(EOMONTH(DATE($D$2,$B$2,1),0)),"",SUMIFS(DATA_GOC!$H:$H,DATA_GOC!$A:$A,"BOM",DATA_GOC!$D:$D,$B48,DATA_GOC!$F:$F,"Xuất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8" s="222">
        <f>IF($B48="","",IF(U$4&gt;DAY(EOMONTH(DATE($D$2,$B$2,1),0)),"",SUMIFS(DATA_GOC!$H:$H,DATA_GOC!$A:$A,"BOM",DATA_GOC!$D:$D,$B48,DATA_GOC!$F:$F,"Xuất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8" s="222">
        <f>IF($B48="","",IF(V$4&gt;DAY(EOMONTH(DATE($D$2,$B$2,1),0)),"",SUMIFS(DATA_GOC!$H:$H,DATA_GOC!$A:$A,"BOM",DATA_GOC!$D:$D,$B48,DATA_GOC!$F:$F,"Xuất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8" s="222">
        <f>IF($B48="","",IF(W$4&gt;DAY(EOMONTH(DATE($D$2,$B$2,1),0)),"",SUMIFS(DATA_GOC!$H:$H,DATA_GOC!$A:$A,"BOM",DATA_GOC!$D:$D,$B48,DATA_GOC!$F:$F,"Xuất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8" s="222">
        <f>IF($B48="","",IF(X$4&gt;DAY(EOMONTH(DATE($D$2,$B$2,1),0)),"",SUMIFS(DATA_GOC!$H:$H,DATA_GOC!$A:$A,"BOM",DATA_GOC!$D:$D,$B48,DATA_GOC!$F:$F,"Xuất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8" s="222">
        <f>IF($B48="","",IF(Y$4&gt;DAY(EOMONTH(DATE($D$2,$B$2,1),0)),"",SUMIFS(DATA_GOC!$H:$H,DATA_GOC!$A:$A,"BOM",DATA_GOC!$D:$D,$B48,DATA_GOC!$F:$F,"Xuất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8" s="222">
        <f>IF($B48="","",IF(Z$4&gt;DAY(EOMONTH(DATE($D$2,$B$2,1),0)),"",SUMIFS(DATA_GOC!$H:$H,DATA_GOC!$A:$A,"BOM",DATA_GOC!$D:$D,$B48,DATA_GOC!$F:$F,"Xuất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8" s="222">
        <f>IF($B48="","",IF(AA$4&gt;DAY(EOMONTH(DATE($D$2,$B$2,1),0)),"",SUMIFS(DATA_GOC!$H:$H,DATA_GOC!$A:$A,"BOM",DATA_GOC!$D:$D,$B48,DATA_GOC!$F:$F,"Xuất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8" s="222">
        <f>IF($B48="","",IF(AB$4&gt;DAY(EOMONTH(DATE($D$2,$B$2,1),0)),"",SUMIFS(DATA_GOC!$H:$H,DATA_GOC!$A:$A,"BOM",DATA_GOC!$D:$D,$B48,DATA_GOC!$F:$F,"Xuất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8" s="222">
        <f>IF($B48="","",IF(AC$4&gt;DAY(EOMONTH(DATE($D$2,$B$2,1),0)),"",SUMIFS(DATA_GOC!$H:$H,DATA_GOC!$A:$A,"BOM",DATA_GOC!$D:$D,$B48,DATA_GOC!$F:$F,"Xuất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8" s="222">
        <f>IF($B48="","",IF(AD$4&gt;DAY(EOMONTH(DATE($D$2,$B$2,1),0)),"",SUMIFS(DATA_GOC!$H:$H,DATA_GOC!$A:$A,"BOM",DATA_GOC!$D:$D,$B48,DATA_GOC!$F:$F,"Xuất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8" s="222">
        <f>IF($B48="","",IF(AE$4&gt;DAY(EOMONTH(DATE($D$2,$B$2,1),0)),"",SUMIFS(DATA_GOC!$H:$H,DATA_GOC!$A:$A,"BOM",DATA_GOC!$D:$D,$B48,DATA_GOC!$F:$F,"Xuất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8" s="222">
        <f>IF($B48="","",IF(AF$4&gt;DAY(EOMONTH(DATE($D$2,$B$2,1),0)),"",SUMIFS(DATA_GOC!$H:$H,DATA_GOC!$A:$A,"BOM",DATA_GOC!$D:$D,$B48,DATA_GOC!$F:$F,"Xuất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8" s="222">
        <f>IF($B48="","",IF(AG$4&gt;DAY(EOMONTH(DATE($D$2,$B$2,1),0)),"",SUMIFS(DATA_GOC!$H:$H,DATA_GOC!$A:$A,"BOM",DATA_GOC!$D:$D,$B48,DATA_GOC!$F:$F,"Xuất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8" s="223">
        <f t="shared" si="2"/>
        <v>0</v>
      </c>
      <c r="AI48" s="224">
        <f>IF($B48="","",SUMIFS(DATA_GOC!$H:$H,DATA_GOC!$A:$A,"BOM",DATA_GOC!$D:$D,$B48,DATA_GOC!$F:$F,"Bơm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8" s="224">
        <f>IF($B48="","",SUMIFS(TINH_TEC!$K$233:$K$9232,TINH_TEC!$H$233:$H$9232,$B48,TINH_TEC!$F$233:$F$9232,$B$2,TINH_TEC!$G$233:$G$9232,$D$2,TINH_TEC!$B$233:$B$9232,"Đã chốt"))</f>
        <v>0</v>
      </c>
      <c r="AK48" s="224">
        <f>IF($B48="","",SUMIFS(TINH_TEC!$J$233:$J$9232,TINH_TEC!$H$233:$H$9232,$B48,TINH_TEC!$F$233:$F$9232,$B$2,TINH_TEC!$G$233:$G$9232,$D$2,TINH_TEC!$B$233:$B$9232,"Đã chốt"))</f>
        <v>19.686</v>
      </c>
      <c r="AL48" s="225">
        <f t="shared" si="3"/>
        <v>19.686</v>
      </c>
      <c r="AM48" s="222">
        <f>IF($B48="","",SUMIFS(DATA_GOC!$K:$K,DATA_GOC!$A:$A,"BOM",DATA_GOC!$D:$D,$B48,DATA_GOC!$G:$G,"DO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48" s="226" t="str">
        <f t="shared" si="4"/>
        <v/>
      </c>
      <c r="AO48" s="227" t="str">
        <f t="shared" si="5"/>
        <v/>
      </c>
      <c r="AP48" s="226">
        <f>IF($B48="","",IFERROR(AO48-(SUMIFS(DATA_GOC!$H:$H,DATA_GOC!$A:$A,"BOM",DATA_GOC!$D:$D,$B48,DATA_GOC!$F:$F,"Xuất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-0.5732919255</v>
      </c>
      <c r="AQ48" s="59">
        <v>2.0</v>
      </c>
      <c r="AR48" s="59">
        <v>2026.0</v>
      </c>
      <c r="AS48" s="59" t="s">
        <v>130</v>
      </c>
      <c r="AT48" s="59">
        <v>436.938872000466</v>
      </c>
      <c r="AU48" s="59">
        <v>0.0</v>
      </c>
      <c r="AV48" s="59">
        <v>436.938872000466</v>
      </c>
      <c r="AY48" s="59">
        <v>155.176</v>
      </c>
      <c r="AZ48" s="59">
        <v>281.762872000466</v>
      </c>
      <c r="BA48" s="59">
        <v>5.176</v>
      </c>
      <c r="BB48" s="59">
        <v>0.0</v>
      </c>
      <c r="BC48" s="59" t="s">
        <v>403</v>
      </c>
    </row>
    <row r="49" ht="16.5" customHeight="1">
      <c r="A49" s="220">
        <f t="shared" si="1"/>
        <v>45</v>
      </c>
      <c r="B49" s="221" t="str">
        <f t="array" ref="B49">IFERROR(INDEX(DANH_MUC!$E:$E,ROW()-1),"")</f>
        <v>29E17539</v>
      </c>
      <c r="C49" s="222">
        <f>IF($B49="","",IF(C$4&gt;DAY(EOMONTH(DATE($D$2,$B$2,1),0)),"",SUMIFS(DATA_GOC!$H:$H,DATA_GOC!$A:$A,"BOM",DATA_GOC!$D:$D,$B49,DATA_GOC!$F:$F,"Xuất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49" s="222">
        <f>IF($B49="","",IF(D$4&gt;DAY(EOMONTH(DATE($D$2,$B$2,1),0)),"",SUMIFS(DATA_GOC!$H:$H,DATA_GOC!$A:$A,"BOM",DATA_GOC!$D:$D,$B49,DATA_GOC!$F:$F,"Xuất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49" s="222">
        <f>IF($B49="","",IF(E$4&gt;DAY(EOMONTH(DATE($D$2,$B$2,1),0)),"",SUMIFS(DATA_GOC!$H:$H,DATA_GOC!$A:$A,"BOM",DATA_GOC!$D:$D,$B49,DATA_GOC!$F:$F,"Xuất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49" s="222">
        <f>IF($B49="","",IF(F$4&gt;DAY(EOMONTH(DATE($D$2,$B$2,1),0)),"",SUMIFS(DATA_GOC!$H:$H,DATA_GOC!$A:$A,"BOM",DATA_GOC!$D:$D,$B49,DATA_GOC!$F:$F,"Xuất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49" s="222">
        <f>IF($B49="","",IF(G$4&gt;DAY(EOMONTH(DATE($D$2,$B$2,1),0)),"",SUMIFS(DATA_GOC!$H:$H,DATA_GOC!$A:$A,"BOM",DATA_GOC!$D:$D,$B49,DATA_GOC!$F:$F,"Xuất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49" s="222">
        <f>IF($B49="","",IF(H$4&gt;DAY(EOMONTH(DATE($D$2,$B$2,1),0)),"",SUMIFS(DATA_GOC!$H:$H,DATA_GOC!$A:$A,"BOM",DATA_GOC!$D:$D,$B49,DATA_GOC!$F:$F,"Xuất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49" s="222">
        <f>IF($B49="","",IF(I$4&gt;DAY(EOMONTH(DATE($D$2,$B$2,1),0)),"",SUMIFS(DATA_GOC!$H:$H,DATA_GOC!$A:$A,"BOM",DATA_GOC!$D:$D,$B49,DATA_GOC!$F:$F,"Xuất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49" s="222">
        <f>IF($B49="","",IF(J$4&gt;DAY(EOMONTH(DATE($D$2,$B$2,1),0)),"",SUMIFS(DATA_GOC!$H:$H,DATA_GOC!$A:$A,"BOM",DATA_GOC!$D:$D,$B49,DATA_GOC!$F:$F,"Xuất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49" s="222">
        <f>IF($B49="","",IF(K$4&gt;DAY(EOMONTH(DATE($D$2,$B$2,1),0)),"",SUMIFS(DATA_GOC!$H:$H,DATA_GOC!$A:$A,"BOM",DATA_GOC!$D:$D,$B49,DATA_GOC!$F:$F,"Xuất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49" s="222">
        <f>IF($B49="","",IF(L$4&gt;DAY(EOMONTH(DATE($D$2,$B$2,1),0)),"",SUMIFS(DATA_GOC!$H:$H,DATA_GOC!$A:$A,"BOM",DATA_GOC!$D:$D,$B49,DATA_GOC!$F:$F,"Xuất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49" s="222">
        <f>IF($B49="","",IF(M$4&gt;DAY(EOMONTH(DATE($D$2,$B$2,1),0)),"",SUMIFS(DATA_GOC!$H:$H,DATA_GOC!$A:$A,"BOM",DATA_GOC!$D:$D,$B49,DATA_GOC!$F:$F,"Xuất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49" s="222">
        <f>IF($B49="","",IF(N$4&gt;DAY(EOMONTH(DATE($D$2,$B$2,1),0)),"",SUMIFS(DATA_GOC!$H:$H,DATA_GOC!$A:$A,"BOM",DATA_GOC!$D:$D,$B49,DATA_GOC!$F:$F,"Xuất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49" s="222">
        <f>IF($B49="","",IF(O$4&gt;DAY(EOMONTH(DATE($D$2,$B$2,1),0)),"",SUMIFS(DATA_GOC!$H:$H,DATA_GOC!$A:$A,"BOM",DATA_GOC!$D:$D,$B49,DATA_GOC!$F:$F,"Xuất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49" s="222">
        <f>IF($B49="","",IF(P$4&gt;DAY(EOMONTH(DATE($D$2,$B$2,1),0)),"",SUMIFS(DATA_GOC!$H:$H,DATA_GOC!$A:$A,"BOM",DATA_GOC!$D:$D,$B49,DATA_GOC!$F:$F,"Xuất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49" s="222">
        <f>IF($B49="","",IF(Q$4&gt;DAY(EOMONTH(DATE($D$2,$B$2,1),0)),"",SUMIFS(DATA_GOC!$H:$H,DATA_GOC!$A:$A,"BOM",DATA_GOC!$D:$D,$B49,DATA_GOC!$F:$F,"Xuất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49" s="222">
        <f>IF($B49="","",IF(R$4&gt;DAY(EOMONTH(DATE($D$2,$B$2,1),0)),"",SUMIFS(DATA_GOC!$H:$H,DATA_GOC!$A:$A,"BOM",DATA_GOC!$D:$D,$B49,DATA_GOC!$F:$F,"Xuất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49" s="222">
        <f>IF($B49="","",IF(S$4&gt;DAY(EOMONTH(DATE($D$2,$B$2,1),0)),"",SUMIFS(DATA_GOC!$H:$H,DATA_GOC!$A:$A,"BOM",DATA_GOC!$D:$D,$B49,DATA_GOC!$F:$F,"Xuất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49" s="222">
        <f>IF($B49="","",IF(T$4&gt;DAY(EOMONTH(DATE($D$2,$B$2,1),0)),"",SUMIFS(DATA_GOC!$H:$H,DATA_GOC!$A:$A,"BOM",DATA_GOC!$D:$D,$B49,DATA_GOC!$F:$F,"Xuất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49" s="222">
        <f>IF($B49="","",IF(U$4&gt;DAY(EOMONTH(DATE($D$2,$B$2,1),0)),"",SUMIFS(DATA_GOC!$H:$H,DATA_GOC!$A:$A,"BOM",DATA_GOC!$D:$D,$B49,DATA_GOC!$F:$F,"Xuất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49" s="222">
        <f>IF($B49="","",IF(V$4&gt;DAY(EOMONTH(DATE($D$2,$B$2,1),0)),"",SUMIFS(DATA_GOC!$H:$H,DATA_GOC!$A:$A,"BOM",DATA_GOC!$D:$D,$B49,DATA_GOC!$F:$F,"Xuất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49" s="222">
        <f>IF($B49="","",IF(W$4&gt;DAY(EOMONTH(DATE($D$2,$B$2,1),0)),"",SUMIFS(DATA_GOC!$H:$H,DATA_GOC!$A:$A,"BOM",DATA_GOC!$D:$D,$B49,DATA_GOC!$F:$F,"Xuất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49" s="222">
        <f>IF($B49="","",IF(X$4&gt;DAY(EOMONTH(DATE($D$2,$B$2,1),0)),"",SUMIFS(DATA_GOC!$H:$H,DATA_GOC!$A:$A,"BOM",DATA_GOC!$D:$D,$B49,DATA_GOC!$F:$F,"Xuất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49" s="222">
        <f>IF($B49="","",IF(Y$4&gt;DAY(EOMONTH(DATE($D$2,$B$2,1),0)),"",SUMIFS(DATA_GOC!$H:$H,DATA_GOC!$A:$A,"BOM",DATA_GOC!$D:$D,$B49,DATA_GOC!$F:$F,"Xuất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49" s="222">
        <f>IF($B49="","",IF(Z$4&gt;DAY(EOMONTH(DATE($D$2,$B$2,1),0)),"",SUMIFS(DATA_GOC!$H:$H,DATA_GOC!$A:$A,"BOM",DATA_GOC!$D:$D,$B49,DATA_GOC!$F:$F,"Xuất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49" s="222">
        <f>IF($B49="","",IF(AA$4&gt;DAY(EOMONTH(DATE($D$2,$B$2,1),0)),"",SUMIFS(DATA_GOC!$H:$H,DATA_GOC!$A:$A,"BOM",DATA_GOC!$D:$D,$B49,DATA_GOC!$F:$F,"Xuất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49" s="222">
        <f>IF($B49="","",IF(AB$4&gt;DAY(EOMONTH(DATE($D$2,$B$2,1),0)),"",SUMIFS(DATA_GOC!$H:$H,DATA_GOC!$A:$A,"BOM",DATA_GOC!$D:$D,$B49,DATA_GOC!$F:$F,"Xuất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49" s="222">
        <f>IF($B49="","",IF(AC$4&gt;DAY(EOMONTH(DATE($D$2,$B$2,1),0)),"",SUMIFS(DATA_GOC!$H:$H,DATA_GOC!$A:$A,"BOM",DATA_GOC!$D:$D,$B49,DATA_GOC!$F:$F,"Xuất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49" s="222">
        <f>IF($B49="","",IF(AD$4&gt;DAY(EOMONTH(DATE($D$2,$B$2,1),0)),"",SUMIFS(DATA_GOC!$H:$H,DATA_GOC!$A:$A,"BOM",DATA_GOC!$D:$D,$B49,DATA_GOC!$F:$F,"Xuất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49" s="222">
        <f>IF($B49="","",IF(AE$4&gt;DAY(EOMONTH(DATE($D$2,$B$2,1),0)),"",SUMIFS(DATA_GOC!$H:$H,DATA_GOC!$A:$A,"BOM",DATA_GOC!$D:$D,$B49,DATA_GOC!$F:$F,"Xuất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49" s="222">
        <f>IF($B49="","",IF(AF$4&gt;DAY(EOMONTH(DATE($D$2,$B$2,1),0)),"",SUMIFS(DATA_GOC!$H:$H,DATA_GOC!$A:$A,"BOM",DATA_GOC!$D:$D,$B49,DATA_GOC!$F:$F,"Xuất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49" s="222">
        <f>IF($B49="","",IF(AG$4&gt;DAY(EOMONTH(DATE($D$2,$B$2,1),0)),"",SUMIFS(DATA_GOC!$H:$H,DATA_GOC!$A:$A,"BOM",DATA_GOC!$D:$D,$B49,DATA_GOC!$F:$F,"Xuất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49" s="223">
        <f t="shared" si="2"/>
        <v>0</v>
      </c>
      <c r="AI49" s="224">
        <f>IF($B49="","",SUMIFS(DATA_GOC!$H:$H,DATA_GOC!$A:$A,"BOM",DATA_GOC!$D:$D,$B49,DATA_GOC!$F:$F,"Bơm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49" s="224">
        <f>IF($B49="","",SUMIFS(TINH_TEC!$K$233:$K$9232,TINH_TEC!$H$233:$H$9232,$B49,TINH_TEC!$F$233:$F$9232,$B$2,TINH_TEC!$G$233:$G$9232,$D$2,TINH_TEC!$B$233:$B$9232,"Đã chốt"))</f>
        <v>0</v>
      </c>
      <c r="AK49" s="224">
        <f>IF($B49="","",SUMIFS(TINH_TEC!$J$233:$J$9232,TINH_TEC!$H$233:$H$9232,$B49,TINH_TEC!$F$233:$F$9232,$B$2,TINH_TEC!$G$233:$G$9232,$D$2,TINH_TEC!$B$233:$B$9232,"Đã chốt"))</f>
        <v>15.143</v>
      </c>
      <c r="AL49" s="225">
        <f t="shared" si="3"/>
        <v>15.143</v>
      </c>
      <c r="AM49" s="222">
        <f>IF($B49="","",SUMIFS(DATA_GOC!$K:$K,DATA_GOC!$A:$A,"BOM",DATA_GOC!$D:$D,$B49,DATA_GOC!$G:$G,"DO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49" s="226" t="str">
        <f t="shared" si="4"/>
        <v/>
      </c>
      <c r="AO49" s="227" t="str">
        <f t="shared" si="5"/>
        <v/>
      </c>
      <c r="AP49" s="226">
        <f>IF($B49="","",IFERROR(AO49-(SUMIFS(DATA_GOC!$H:$H,DATA_GOC!$A:$A,"BOM",DATA_GOC!$D:$D,$B49,DATA_GOC!$F:$F,"Xuất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số",DATA_GOC!$B:$B,"&gt;="&amp;EDATE(DATE($D$2,$B$2,1),-1),DATA_GOC!$B:$B,"&lt;"&amp;DATE($D$2,$B$2,1))/SUMIFS(DATA_GOC!$K:$K,DATA_GOC!$A:$A,"BOM",DATA_GOC!$D:$D,$B49,DATA_GOC!$G:$G,"DO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-0.5180586907</v>
      </c>
      <c r="AQ49" s="59">
        <v>2.0</v>
      </c>
      <c r="AR49" s="59">
        <v>2026.0</v>
      </c>
      <c r="AS49" s="59" t="s">
        <v>126</v>
      </c>
      <c r="AT49" s="59">
        <v>550.806182626567</v>
      </c>
      <c r="AU49" s="59">
        <v>0.0</v>
      </c>
      <c r="AV49" s="59">
        <v>550.806182626567</v>
      </c>
      <c r="AW49" s="59">
        <v>893.0</v>
      </c>
      <c r="AX49" s="59">
        <v>61.6804235864017</v>
      </c>
      <c r="AY49" s="59">
        <v>103.451</v>
      </c>
      <c r="AZ49" s="59">
        <v>447.355182626567</v>
      </c>
      <c r="BA49" s="59">
        <v>3.451</v>
      </c>
      <c r="BB49" s="59">
        <v>0.0</v>
      </c>
      <c r="BC49" s="59" t="s">
        <v>404</v>
      </c>
    </row>
    <row r="50" ht="16.5" customHeight="1">
      <c r="A50" s="220">
        <f t="shared" si="1"/>
        <v>46</v>
      </c>
      <c r="B50" s="221" t="str">
        <f t="array" ref="B50">IFERROR(INDEX(DANH_MUC!$E:$E,ROW()-1),"")</f>
        <v>29E18160</v>
      </c>
      <c r="C50" s="222">
        <f>IF($B50="","",IF(C$4&gt;DAY(EOMONTH(DATE($D$2,$B$2,1),0)),"",SUMIFS(DATA_GOC!$H:$H,DATA_GOC!$A:$A,"BOM",DATA_GOC!$D:$D,$B50,DATA_GOC!$F:$F,"Xuất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0" s="222">
        <f>IF($B50="","",IF(D$4&gt;DAY(EOMONTH(DATE($D$2,$B$2,1),0)),"",SUMIFS(DATA_GOC!$H:$H,DATA_GOC!$A:$A,"BOM",DATA_GOC!$D:$D,$B50,DATA_GOC!$F:$F,"Xuất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0" s="222">
        <f>IF($B50="","",IF(E$4&gt;DAY(EOMONTH(DATE($D$2,$B$2,1),0)),"",SUMIFS(DATA_GOC!$H:$H,DATA_GOC!$A:$A,"BOM",DATA_GOC!$D:$D,$B50,DATA_GOC!$F:$F,"Xuất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0" s="222">
        <f>IF($B50="","",IF(F$4&gt;DAY(EOMONTH(DATE($D$2,$B$2,1),0)),"",SUMIFS(DATA_GOC!$H:$H,DATA_GOC!$A:$A,"BOM",DATA_GOC!$D:$D,$B50,DATA_GOC!$F:$F,"Xuất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0" s="222">
        <f>IF($B50="","",IF(G$4&gt;DAY(EOMONTH(DATE($D$2,$B$2,1),0)),"",SUMIFS(DATA_GOC!$H:$H,DATA_GOC!$A:$A,"BOM",DATA_GOC!$D:$D,$B50,DATA_GOC!$F:$F,"Xuất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0" s="222">
        <f>IF($B50="","",IF(H$4&gt;DAY(EOMONTH(DATE($D$2,$B$2,1),0)),"",SUMIFS(DATA_GOC!$H:$H,DATA_GOC!$A:$A,"BOM",DATA_GOC!$D:$D,$B50,DATA_GOC!$F:$F,"Xuất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0" s="222">
        <f>IF($B50="","",IF(I$4&gt;DAY(EOMONTH(DATE($D$2,$B$2,1),0)),"",SUMIFS(DATA_GOC!$H:$H,DATA_GOC!$A:$A,"BOM",DATA_GOC!$D:$D,$B50,DATA_GOC!$F:$F,"Xuất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0" s="222">
        <f>IF($B50="","",IF(J$4&gt;DAY(EOMONTH(DATE($D$2,$B$2,1),0)),"",SUMIFS(DATA_GOC!$H:$H,DATA_GOC!$A:$A,"BOM",DATA_GOC!$D:$D,$B50,DATA_GOC!$F:$F,"Xuất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0" s="222">
        <f>IF($B50="","",IF(K$4&gt;DAY(EOMONTH(DATE($D$2,$B$2,1),0)),"",SUMIFS(DATA_GOC!$H:$H,DATA_GOC!$A:$A,"BOM",DATA_GOC!$D:$D,$B50,DATA_GOC!$F:$F,"Xuất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0" s="222">
        <f>IF($B50="","",IF(L$4&gt;DAY(EOMONTH(DATE($D$2,$B$2,1),0)),"",SUMIFS(DATA_GOC!$H:$H,DATA_GOC!$A:$A,"BOM",DATA_GOC!$D:$D,$B50,DATA_GOC!$F:$F,"Xuất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0" s="222">
        <f>IF($B50="","",IF(M$4&gt;DAY(EOMONTH(DATE($D$2,$B$2,1),0)),"",SUMIFS(DATA_GOC!$H:$H,DATA_GOC!$A:$A,"BOM",DATA_GOC!$D:$D,$B50,DATA_GOC!$F:$F,"Xuất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0" s="222">
        <f>IF($B50="","",IF(N$4&gt;DAY(EOMONTH(DATE($D$2,$B$2,1),0)),"",SUMIFS(DATA_GOC!$H:$H,DATA_GOC!$A:$A,"BOM",DATA_GOC!$D:$D,$B50,DATA_GOC!$F:$F,"Xuất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0" s="222">
        <f>IF($B50="","",IF(O$4&gt;DAY(EOMONTH(DATE($D$2,$B$2,1),0)),"",SUMIFS(DATA_GOC!$H:$H,DATA_GOC!$A:$A,"BOM",DATA_GOC!$D:$D,$B50,DATA_GOC!$F:$F,"Xuất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0" s="222">
        <f>IF($B50="","",IF(P$4&gt;DAY(EOMONTH(DATE($D$2,$B$2,1),0)),"",SUMIFS(DATA_GOC!$H:$H,DATA_GOC!$A:$A,"BOM",DATA_GOC!$D:$D,$B50,DATA_GOC!$F:$F,"Xuất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0" s="222">
        <f>IF($B50="","",IF(Q$4&gt;DAY(EOMONTH(DATE($D$2,$B$2,1),0)),"",SUMIFS(DATA_GOC!$H:$H,DATA_GOC!$A:$A,"BOM",DATA_GOC!$D:$D,$B50,DATA_GOC!$F:$F,"Xuất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0" s="222">
        <f>IF($B50="","",IF(R$4&gt;DAY(EOMONTH(DATE($D$2,$B$2,1),0)),"",SUMIFS(DATA_GOC!$H:$H,DATA_GOC!$A:$A,"BOM",DATA_GOC!$D:$D,$B50,DATA_GOC!$F:$F,"Xuất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0" s="222">
        <f>IF($B50="","",IF(S$4&gt;DAY(EOMONTH(DATE($D$2,$B$2,1),0)),"",SUMIFS(DATA_GOC!$H:$H,DATA_GOC!$A:$A,"BOM",DATA_GOC!$D:$D,$B50,DATA_GOC!$F:$F,"Xuất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0" s="222">
        <f>IF($B50="","",IF(T$4&gt;DAY(EOMONTH(DATE($D$2,$B$2,1),0)),"",SUMIFS(DATA_GOC!$H:$H,DATA_GOC!$A:$A,"BOM",DATA_GOC!$D:$D,$B50,DATA_GOC!$F:$F,"Xuất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0" s="222">
        <f>IF($B50="","",IF(U$4&gt;DAY(EOMONTH(DATE($D$2,$B$2,1),0)),"",SUMIFS(DATA_GOC!$H:$H,DATA_GOC!$A:$A,"BOM",DATA_GOC!$D:$D,$B50,DATA_GOC!$F:$F,"Xuất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0" s="222">
        <f>IF($B50="","",IF(V$4&gt;DAY(EOMONTH(DATE($D$2,$B$2,1),0)),"",SUMIFS(DATA_GOC!$H:$H,DATA_GOC!$A:$A,"BOM",DATA_GOC!$D:$D,$B50,DATA_GOC!$F:$F,"Xuất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0" s="222">
        <f>IF($B50="","",IF(W$4&gt;DAY(EOMONTH(DATE($D$2,$B$2,1),0)),"",SUMIFS(DATA_GOC!$H:$H,DATA_GOC!$A:$A,"BOM",DATA_GOC!$D:$D,$B50,DATA_GOC!$F:$F,"Xuất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0" s="222">
        <f>IF($B50="","",IF(X$4&gt;DAY(EOMONTH(DATE($D$2,$B$2,1),0)),"",SUMIFS(DATA_GOC!$H:$H,DATA_GOC!$A:$A,"BOM",DATA_GOC!$D:$D,$B50,DATA_GOC!$F:$F,"Xuất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0" s="222">
        <f>IF($B50="","",IF(Y$4&gt;DAY(EOMONTH(DATE($D$2,$B$2,1),0)),"",SUMIFS(DATA_GOC!$H:$H,DATA_GOC!$A:$A,"BOM",DATA_GOC!$D:$D,$B50,DATA_GOC!$F:$F,"Xuất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0" s="222">
        <f>IF($B50="","",IF(Z$4&gt;DAY(EOMONTH(DATE($D$2,$B$2,1),0)),"",SUMIFS(DATA_GOC!$H:$H,DATA_GOC!$A:$A,"BOM",DATA_GOC!$D:$D,$B50,DATA_GOC!$F:$F,"Xuất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0" s="222">
        <f>IF($B50="","",IF(AA$4&gt;DAY(EOMONTH(DATE($D$2,$B$2,1),0)),"",SUMIFS(DATA_GOC!$H:$H,DATA_GOC!$A:$A,"BOM",DATA_GOC!$D:$D,$B50,DATA_GOC!$F:$F,"Xuất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0" s="222">
        <f>IF($B50="","",IF(AB$4&gt;DAY(EOMONTH(DATE($D$2,$B$2,1),0)),"",SUMIFS(DATA_GOC!$H:$H,DATA_GOC!$A:$A,"BOM",DATA_GOC!$D:$D,$B50,DATA_GOC!$F:$F,"Xuất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0" s="222">
        <f>IF($B50="","",IF(AC$4&gt;DAY(EOMONTH(DATE($D$2,$B$2,1),0)),"",SUMIFS(DATA_GOC!$H:$H,DATA_GOC!$A:$A,"BOM",DATA_GOC!$D:$D,$B50,DATA_GOC!$F:$F,"Xuất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0" s="222">
        <f>IF($B50="","",IF(AD$4&gt;DAY(EOMONTH(DATE($D$2,$B$2,1),0)),"",SUMIFS(DATA_GOC!$H:$H,DATA_GOC!$A:$A,"BOM",DATA_GOC!$D:$D,$B50,DATA_GOC!$F:$F,"Xuất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0" s="222">
        <f>IF($B50="","",IF(AE$4&gt;DAY(EOMONTH(DATE($D$2,$B$2,1),0)),"",SUMIFS(DATA_GOC!$H:$H,DATA_GOC!$A:$A,"BOM",DATA_GOC!$D:$D,$B50,DATA_GOC!$F:$F,"Xuất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0" s="222">
        <f>IF($B50="","",IF(AF$4&gt;DAY(EOMONTH(DATE($D$2,$B$2,1),0)),"",SUMIFS(DATA_GOC!$H:$H,DATA_GOC!$A:$A,"BOM",DATA_GOC!$D:$D,$B50,DATA_GOC!$F:$F,"Xuất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0" s="222">
        <f>IF($B50="","",IF(AG$4&gt;DAY(EOMONTH(DATE($D$2,$B$2,1),0)),"",SUMIFS(DATA_GOC!$H:$H,DATA_GOC!$A:$A,"BOM",DATA_GOC!$D:$D,$B50,DATA_GOC!$F:$F,"Xuất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0" s="223">
        <f t="shared" si="2"/>
        <v>0</v>
      </c>
      <c r="AI50" s="224">
        <f>IF($B50="","",SUMIFS(DATA_GOC!$H:$H,DATA_GOC!$A:$A,"BOM",DATA_GOC!$D:$D,$B50,DATA_GOC!$F:$F,"Bơm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0" s="224">
        <f>IF($B50="","",SUMIFS(TINH_TEC!$K$233:$K$9232,TINH_TEC!$H$233:$H$9232,$B50,TINH_TEC!$F$233:$F$9232,$B$2,TINH_TEC!$G$233:$G$9232,$D$2,TINH_TEC!$B$233:$B$9232,"Đã chốt"))</f>
        <v>0</v>
      </c>
      <c r="AK50" s="224">
        <f>IF($B50="","",SUMIFS(TINH_TEC!$J$233:$J$9232,TINH_TEC!$H$233:$H$9232,$B50,TINH_TEC!$F$233:$F$9232,$B$2,TINH_TEC!$G$233:$G$9232,$D$2,TINH_TEC!$B$233:$B$9232,"Đã chốt"))</f>
        <v>7.863</v>
      </c>
      <c r="AL50" s="225">
        <f t="shared" si="3"/>
        <v>7.863</v>
      </c>
      <c r="AM50" s="222">
        <f>IF($B50="","",SUMIFS(DATA_GOC!$K:$K,DATA_GOC!$A:$A,"BOM",DATA_GOC!$D:$D,$B50,DATA_GOC!$G:$G,"DO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0" s="226" t="str">
        <f t="shared" si="4"/>
        <v/>
      </c>
      <c r="AO50" s="227" t="str">
        <f t="shared" si="5"/>
        <v/>
      </c>
      <c r="AP50" s="226">
        <f>IF($B50="","",IFERROR(AO50-(SUMIFS(DATA_GOC!$H:$H,DATA_GOC!$A:$A,"BOM",DATA_GOC!$D:$D,$B50,DATA_GOC!$F:$F,"Xuất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-0.4975845411</v>
      </c>
      <c r="AQ50" s="59">
        <v>2.0</v>
      </c>
      <c r="AR50" s="59">
        <v>2026.0</v>
      </c>
      <c r="AS50" s="59" t="s">
        <v>164</v>
      </c>
      <c r="AT50" s="59">
        <v>216.791093042595</v>
      </c>
      <c r="AU50" s="59">
        <v>0.0</v>
      </c>
      <c r="AV50" s="59">
        <v>216.791093042595</v>
      </c>
      <c r="AY50" s="59">
        <v>0.0</v>
      </c>
      <c r="AZ50" s="59">
        <v>216.791093042595</v>
      </c>
      <c r="BA50" s="59">
        <v>0.0</v>
      </c>
      <c r="BB50" s="59">
        <v>0.0</v>
      </c>
      <c r="BC50" s="59" t="s">
        <v>405</v>
      </c>
    </row>
    <row r="51" ht="16.5" customHeight="1">
      <c r="A51" s="220">
        <f t="shared" si="1"/>
        <v>47</v>
      </c>
      <c r="B51" s="221" t="str">
        <f t="array" ref="B51">IFERROR(INDEX(DANH_MUC!$E:$E,ROW()-1),"")</f>
        <v>Công trình Asphalt</v>
      </c>
      <c r="C51" s="222">
        <f>IF($B51="","",IF(C$4&gt;DAY(EOMONTH(DATE($D$2,$B$2,1),0)),"",SUMIFS(DATA_GOC!$H:$H,DATA_GOC!$A:$A,"BOM",DATA_GOC!$D:$D,$B51,DATA_GOC!$F:$F,"Xuất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1" s="222">
        <f>IF($B51="","",IF(D$4&gt;DAY(EOMONTH(DATE($D$2,$B$2,1),0)),"",SUMIFS(DATA_GOC!$H:$H,DATA_GOC!$A:$A,"BOM",DATA_GOC!$D:$D,$B51,DATA_GOC!$F:$F,"Xuất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1" s="222">
        <f>IF($B51="","",IF(E$4&gt;DAY(EOMONTH(DATE($D$2,$B$2,1),0)),"",SUMIFS(DATA_GOC!$H:$H,DATA_GOC!$A:$A,"BOM",DATA_GOC!$D:$D,$B51,DATA_GOC!$F:$F,"Xuất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1" s="222">
        <f>IF($B51="","",IF(F$4&gt;DAY(EOMONTH(DATE($D$2,$B$2,1),0)),"",SUMIFS(DATA_GOC!$H:$H,DATA_GOC!$A:$A,"BOM",DATA_GOC!$D:$D,$B51,DATA_GOC!$F:$F,"Xuất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1" s="222">
        <f>IF($B51="","",IF(G$4&gt;DAY(EOMONTH(DATE($D$2,$B$2,1),0)),"",SUMIFS(DATA_GOC!$H:$H,DATA_GOC!$A:$A,"BOM",DATA_GOC!$D:$D,$B51,DATA_GOC!$F:$F,"Xuất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1" s="222">
        <f>IF($B51="","",IF(H$4&gt;DAY(EOMONTH(DATE($D$2,$B$2,1),0)),"",SUMIFS(DATA_GOC!$H:$H,DATA_GOC!$A:$A,"BOM",DATA_GOC!$D:$D,$B51,DATA_GOC!$F:$F,"Xuất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1" s="222">
        <f>IF($B51="","",IF(I$4&gt;DAY(EOMONTH(DATE($D$2,$B$2,1),0)),"",SUMIFS(DATA_GOC!$H:$H,DATA_GOC!$A:$A,"BOM",DATA_GOC!$D:$D,$B51,DATA_GOC!$F:$F,"Xuất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1" s="222">
        <f>IF($B51="","",IF(J$4&gt;DAY(EOMONTH(DATE($D$2,$B$2,1),0)),"",SUMIFS(DATA_GOC!$H:$H,DATA_GOC!$A:$A,"BOM",DATA_GOC!$D:$D,$B51,DATA_GOC!$F:$F,"Xuất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1" s="222">
        <f>IF($B51="","",IF(K$4&gt;DAY(EOMONTH(DATE($D$2,$B$2,1),0)),"",SUMIFS(DATA_GOC!$H:$H,DATA_GOC!$A:$A,"BOM",DATA_GOC!$D:$D,$B51,DATA_GOC!$F:$F,"Xuất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1" s="222">
        <f>IF($B51="","",IF(L$4&gt;DAY(EOMONTH(DATE($D$2,$B$2,1),0)),"",SUMIFS(DATA_GOC!$H:$H,DATA_GOC!$A:$A,"BOM",DATA_GOC!$D:$D,$B51,DATA_GOC!$F:$F,"Xuất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1" s="222">
        <f>IF($B51="","",IF(M$4&gt;DAY(EOMONTH(DATE($D$2,$B$2,1),0)),"",SUMIFS(DATA_GOC!$H:$H,DATA_GOC!$A:$A,"BOM",DATA_GOC!$D:$D,$B51,DATA_GOC!$F:$F,"Xuất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1" s="222">
        <f>IF($B51="","",IF(N$4&gt;DAY(EOMONTH(DATE($D$2,$B$2,1),0)),"",SUMIFS(DATA_GOC!$H:$H,DATA_GOC!$A:$A,"BOM",DATA_GOC!$D:$D,$B51,DATA_GOC!$F:$F,"Xuất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1" s="222">
        <f>IF($B51="","",IF(O$4&gt;DAY(EOMONTH(DATE($D$2,$B$2,1),0)),"",SUMIFS(DATA_GOC!$H:$H,DATA_GOC!$A:$A,"BOM",DATA_GOC!$D:$D,$B51,DATA_GOC!$F:$F,"Xuất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1" s="222">
        <f>IF($B51="","",IF(P$4&gt;DAY(EOMONTH(DATE($D$2,$B$2,1),0)),"",SUMIFS(DATA_GOC!$H:$H,DATA_GOC!$A:$A,"BOM",DATA_GOC!$D:$D,$B51,DATA_GOC!$F:$F,"Xuất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1" s="222">
        <f>IF($B51="","",IF(Q$4&gt;DAY(EOMONTH(DATE($D$2,$B$2,1),0)),"",SUMIFS(DATA_GOC!$H:$H,DATA_GOC!$A:$A,"BOM",DATA_GOC!$D:$D,$B51,DATA_GOC!$F:$F,"Xuất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1" s="222">
        <f>IF($B51="","",IF(R$4&gt;DAY(EOMONTH(DATE($D$2,$B$2,1),0)),"",SUMIFS(DATA_GOC!$H:$H,DATA_GOC!$A:$A,"BOM",DATA_GOC!$D:$D,$B51,DATA_GOC!$F:$F,"Xuất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1" s="222">
        <f>IF($B51="","",IF(S$4&gt;DAY(EOMONTH(DATE($D$2,$B$2,1),0)),"",SUMIFS(DATA_GOC!$H:$H,DATA_GOC!$A:$A,"BOM",DATA_GOC!$D:$D,$B51,DATA_GOC!$F:$F,"Xuất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1" s="222">
        <f>IF($B51="","",IF(T$4&gt;DAY(EOMONTH(DATE($D$2,$B$2,1),0)),"",SUMIFS(DATA_GOC!$H:$H,DATA_GOC!$A:$A,"BOM",DATA_GOC!$D:$D,$B51,DATA_GOC!$F:$F,"Xuất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1" s="222">
        <f>IF($B51="","",IF(U$4&gt;DAY(EOMONTH(DATE($D$2,$B$2,1),0)),"",SUMIFS(DATA_GOC!$H:$H,DATA_GOC!$A:$A,"BOM",DATA_GOC!$D:$D,$B51,DATA_GOC!$F:$F,"Xuất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1" s="222">
        <f>IF($B51="","",IF(V$4&gt;DAY(EOMONTH(DATE($D$2,$B$2,1),0)),"",SUMIFS(DATA_GOC!$H:$H,DATA_GOC!$A:$A,"BOM",DATA_GOC!$D:$D,$B51,DATA_GOC!$F:$F,"Xuất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1" s="222">
        <f>IF($B51="","",IF(W$4&gt;DAY(EOMONTH(DATE($D$2,$B$2,1),0)),"",SUMIFS(DATA_GOC!$H:$H,DATA_GOC!$A:$A,"BOM",DATA_GOC!$D:$D,$B51,DATA_GOC!$F:$F,"Xuất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1" s="222">
        <f>IF($B51="","",IF(X$4&gt;DAY(EOMONTH(DATE($D$2,$B$2,1),0)),"",SUMIFS(DATA_GOC!$H:$H,DATA_GOC!$A:$A,"BOM",DATA_GOC!$D:$D,$B51,DATA_GOC!$F:$F,"Xuất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1" s="222">
        <f>IF($B51="","",IF(Y$4&gt;DAY(EOMONTH(DATE($D$2,$B$2,1),0)),"",SUMIFS(DATA_GOC!$H:$H,DATA_GOC!$A:$A,"BOM",DATA_GOC!$D:$D,$B51,DATA_GOC!$F:$F,"Xuất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1" s="222">
        <f>IF($B51="","",IF(Z$4&gt;DAY(EOMONTH(DATE($D$2,$B$2,1),0)),"",SUMIFS(DATA_GOC!$H:$H,DATA_GOC!$A:$A,"BOM",DATA_GOC!$D:$D,$B51,DATA_GOC!$F:$F,"Xuất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1" s="222">
        <f>IF($B51="","",IF(AA$4&gt;DAY(EOMONTH(DATE($D$2,$B$2,1),0)),"",SUMIFS(DATA_GOC!$H:$H,DATA_GOC!$A:$A,"BOM",DATA_GOC!$D:$D,$B51,DATA_GOC!$F:$F,"Xuất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1" s="222">
        <f>IF($B51="","",IF(AB$4&gt;DAY(EOMONTH(DATE($D$2,$B$2,1),0)),"",SUMIFS(DATA_GOC!$H:$H,DATA_GOC!$A:$A,"BOM",DATA_GOC!$D:$D,$B51,DATA_GOC!$F:$F,"Xuất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1" s="222">
        <f>IF($B51="","",IF(AC$4&gt;DAY(EOMONTH(DATE($D$2,$B$2,1),0)),"",SUMIFS(DATA_GOC!$H:$H,DATA_GOC!$A:$A,"BOM",DATA_GOC!$D:$D,$B51,DATA_GOC!$F:$F,"Xuất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1" s="222">
        <f>IF($B51="","",IF(AD$4&gt;DAY(EOMONTH(DATE($D$2,$B$2,1),0)),"",SUMIFS(DATA_GOC!$H:$H,DATA_GOC!$A:$A,"BOM",DATA_GOC!$D:$D,$B51,DATA_GOC!$F:$F,"Xuất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1" s="222">
        <f>IF($B51="","",IF(AE$4&gt;DAY(EOMONTH(DATE($D$2,$B$2,1),0)),"",SUMIFS(DATA_GOC!$H:$H,DATA_GOC!$A:$A,"BOM",DATA_GOC!$D:$D,$B51,DATA_GOC!$F:$F,"Xuất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1" s="222">
        <f>IF($B51="","",IF(AF$4&gt;DAY(EOMONTH(DATE($D$2,$B$2,1),0)),"",SUMIFS(DATA_GOC!$H:$H,DATA_GOC!$A:$A,"BOM",DATA_GOC!$D:$D,$B51,DATA_GOC!$F:$F,"Xuất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1" s="222">
        <f>IF($B51="","",IF(AG$4&gt;DAY(EOMONTH(DATE($D$2,$B$2,1),0)),"",SUMIFS(DATA_GOC!$H:$H,DATA_GOC!$A:$A,"BOM",DATA_GOC!$D:$D,$B51,DATA_GOC!$F:$F,"Xuất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1" s="223">
        <f t="shared" si="2"/>
        <v>0</v>
      </c>
      <c r="AI51" s="224">
        <f>IF($B51="","",SUMIFS(DATA_GOC!$H:$H,DATA_GOC!$A:$A,"BOM",DATA_GOC!$D:$D,$B51,DATA_GOC!$F:$F,"Bơm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1" s="224">
        <f>IF($B51="","",SUMIFS(TINH_TEC!$K$233:$K$9232,TINH_TEC!$H$233:$H$9232,$B51,TINH_TEC!$F$233:$F$9232,$B$2,TINH_TEC!$G$233:$G$9232,$D$2,TINH_TEC!$B$233:$B$9232,"Đã chốt"))</f>
        <v>0</v>
      </c>
      <c r="AK51" s="224">
        <f>IF($B51="","",SUMIFS(TINH_TEC!$J$233:$J$9232,TINH_TEC!$H$233:$H$9232,$B51,TINH_TEC!$F$233:$F$9232,$B$2,TINH_TEC!$G$233:$G$9232,$D$2,TINH_TEC!$B$233:$B$9232,"Đã chốt"))</f>
        <v>10.891</v>
      </c>
      <c r="AL51" s="225">
        <f t="shared" si="3"/>
        <v>10.891</v>
      </c>
      <c r="AM51" s="222">
        <f>IF($B51="","",SUMIFS(DATA_GOC!$K:$K,DATA_GOC!$A:$A,"BOM",DATA_GOC!$D:$D,$B51,DATA_GOC!$G:$G,"DO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1" s="226" t="str">
        <f t="shared" si="4"/>
        <v/>
      </c>
      <c r="AO51" s="227" t="str">
        <f t="shared" si="5"/>
        <v/>
      </c>
      <c r="AP51" s="226" t="str">
        <f>IF($B51="","",IFERROR(AO51-(SUMIFS(DATA_GOC!$H:$H,DATA_GOC!$A:$A,"BOM",DATA_GOC!$D:$D,$B51,DATA_GOC!$F:$F,"Xuất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51" s="59">
        <v>2.0</v>
      </c>
      <c r="AR51" s="59">
        <v>2026.0</v>
      </c>
      <c r="AS51" s="59" t="s">
        <v>88</v>
      </c>
      <c r="AT51" s="59">
        <v>13.5</v>
      </c>
      <c r="AU51" s="59">
        <v>0.0</v>
      </c>
      <c r="AV51" s="59">
        <v>13.5</v>
      </c>
      <c r="AW51" s="59">
        <v>8454.0</v>
      </c>
      <c r="AX51" s="59">
        <v>0.159687721788503</v>
      </c>
      <c r="AY51" s="59">
        <v>0.0</v>
      </c>
      <c r="AZ51" s="59">
        <v>13.5</v>
      </c>
      <c r="BA51" s="59">
        <v>0.0</v>
      </c>
      <c r="BB51" s="59">
        <v>0.0</v>
      </c>
      <c r="BC51" s="59" t="s">
        <v>406</v>
      </c>
    </row>
    <row r="52" ht="16.5" customHeight="1">
      <c r="A52" s="220">
        <f t="shared" si="1"/>
        <v>48</v>
      </c>
      <c r="B52" s="221" t="str">
        <f t="array" ref="B52">IFERROR(INDEX(DANH_MUC!$E:$E,ROW()-1),"")</f>
        <v>LG53F</v>
      </c>
      <c r="C52" s="222">
        <f>IF($B52="","",IF(C$4&gt;DAY(EOMONTH(DATE($D$2,$B$2,1),0)),"",SUMIFS(DATA_GOC!$H:$H,DATA_GOC!$A:$A,"BOM",DATA_GOC!$D:$D,$B52,DATA_GOC!$F:$F,"Xuất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2" s="222">
        <f>IF($B52="","",IF(D$4&gt;DAY(EOMONTH(DATE($D$2,$B$2,1),0)),"",SUMIFS(DATA_GOC!$H:$H,DATA_GOC!$A:$A,"BOM",DATA_GOC!$D:$D,$B52,DATA_GOC!$F:$F,"Xuất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2" s="222">
        <f>IF($B52="","",IF(E$4&gt;DAY(EOMONTH(DATE($D$2,$B$2,1),0)),"",SUMIFS(DATA_GOC!$H:$H,DATA_GOC!$A:$A,"BOM",DATA_GOC!$D:$D,$B52,DATA_GOC!$F:$F,"Xuất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2" s="222">
        <f>IF($B52="","",IF(F$4&gt;DAY(EOMONTH(DATE($D$2,$B$2,1),0)),"",SUMIFS(DATA_GOC!$H:$H,DATA_GOC!$A:$A,"BOM",DATA_GOC!$D:$D,$B52,DATA_GOC!$F:$F,"Xuất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2" s="222">
        <f>IF($B52="","",IF(G$4&gt;DAY(EOMONTH(DATE($D$2,$B$2,1),0)),"",SUMIFS(DATA_GOC!$H:$H,DATA_GOC!$A:$A,"BOM",DATA_GOC!$D:$D,$B52,DATA_GOC!$F:$F,"Xuất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2" s="222">
        <f>IF($B52="","",IF(H$4&gt;DAY(EOMONTH(DATE($D$2,$B$2,1),0)),"",SUMIFS(DATA_GOC!$H:$H,DATA_GOC!$A:$A,"BOM",DATA_GOC!$D:$D,$B52,DATA_GOC!$F:$F,"Xuất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2" s="222">
        <f>IF($B52="","",IF(I$4&gt;DAY(EOMONTH(DATE($D$2,$B$2,1),0)),"",SUMIFS(DATA_GOC!$H:$H,DATA_GOC!$A:$A,"BOM",DATA_GOC!$D:$D,$B52,DATA_GOC!$F:$F,"Xuất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2" s="222">
        <f>IF($B52="","",IF(J$4&gt;DAY(EOMONTH(DATE($D$2,$B$2,1),0)),"",SUMIFS(DATA_GOC!$H:$H,DATA_GOC!$A:$A,"BOM",DATA_GOC!$D:$D,$B52,DATA_GOC!$F:$F,"Xuất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2" s="222">
        <f>IF($B52="","",IF(K$4&gt;DAY(EOMONTH(DATE($D$2,$B$2,1),0)),"",SUMIFS(DATA_GOC!$H:$H,DATA_GOC!$A:$A,"BOM",DATA_GOC!$D:$D,$B52,DATA_GOC!$F:$F,"Xuất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2" s="222">
        <f>IF($B52="","",IF(L$4&gt;DAY(EOMONTH(DATE($D$2,$B$2,1),0)),"",SUMIFS(DATA_GOC!$H:$H,DATA_GOC!$A:$A,"BOM",DATA_GOC!$D:$D,$B52,DATA_GOC!$F:$F,"Xuất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2" s="222">
        <f>IF($B52="","",IF(M$4&gt;DAY(EOMONTH(DATE($D$2,$B$2,1),0)),"",SUMIFS(DATA_GOC!$H:$H,DATA_GOC!$A:$A,"BOM",DATA_GOC!$D:$D,$B52,DATA_GOC!$F:$F,"Xuất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2" s="222">
        <f>IF($B52="","",IF(N$4&gt;DAY(EOMONTH(DATE($D$2,$B$2,1),0)),"",SUMIFS(DATA_GOC!$H:$H,DATA_GOC!$A:$A,"BOM",DATA_GOC!$D:$D,$B52,DATA_GOC!$F:$F,"Xuất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2" s="222">
        <f>IF($B52="","",IF(O$4&gt;DAY(EOMONTH(DATE($D$2,$B$2,1),0)),"",SUMIFS(DATA_GOC!$H:$H,DATA_GOC!$A:$A,"BOM",DATA_GOC!$D:$D,$B52,DATA_GOC!$F:$F,"Xuất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2" s="222">
        <f>IF($B52="","",IF(P$4&gt;DAY(EOMONTH(DATE($D$2,$B$2,1),0)),"",SUMIFS(DATA_GOC!$H:$H,DATA_GOC!$A:$A,"BOM",DATA_GOC!$D:$D,$B52,DATA_GOC!$F:$F,"Xuất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2" s="222">
        <f>IF($B52="","",IF(Q$4&gt;DAY(EOMONTH(DATE($D$2,$B$2,1),0)),"",SUMIFS(DATA_GOC!$H:$H,DATA_GOC!$A:$A,"BOM",DATA_GOC!$D:$D,$B52,DATA_GOC!$F:$F,"Xuất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2" s="222">
        <f>IF($B52="","",IF(R$4&gt;DAY(EOMONTH(DATE($D$2,$B$2,1),0)),"",SUMIFS(DATA_GOC!$H:$H,DATA_GOC!$A:$A,"BOM",DATA_GOC!$D:$D,$B52,DATA_GOC!$F:$F,"Xuất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2" s="222">
        <f>IF($B52="","",IF(S$4&gt;DAY(EOMONTH(DATE($D$2,$B$2,1),0)),"",SUMIFS(DATA_GOC!$H:$H,DATA_GOC!$A:$A,"BOM",DATA_GOC!$D:$D,$B52,DATA_GOC!$F:$F,"Xuất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2" s="222">
        <f>IF($B52="","",IF(T$4&gt;DAY(EOMONTH(DATE($D$2,$B$2,1),0)),"",SUMIFS(DATA_GOC!$H:$H,DATA_GOC!$A:$A,"BOM",DATA_GOC!$D:$D,$B52,DATA_GOC!$F:$F,"Xuất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2" s="222">
        <f>IF($B52="","",IF(U$4&gt;DAY(EOMONTH(DATE($D$2,$B$2,1),0)),"",SUMIFS(DATA_GOC!$H:$H,DATA_GOC!$A:$A,"BOM",DATA_GOC!$D:$D,$B52,DATA_GOC!$F:$F,"Xuất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2" s="222">
        <f>IF($B52="","",IF(V$4&gt;DAY(EOMONTH(DATE($D$2,$B$2,1),0)),"",SUMIFS(DATA_GOC!$H:$H,DATA_GOC!$A:$A,"BOM",DATA_GOC!$D:$D,$B52,DATA_GOC!$F:$F,"Xuất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2" s="222">
        <f>IF($B52="","",IF(W$4&gt;DAY(EOMONTH(DATE($D$2,$B$2,1),0)),"",SUMIFS(DATA_GOC!$H:$H,DATA_GOC!$A:$A,"BOM",DATA_GOC!$D:$D,$B52,DATA_GOC!$F:$F,"Xuất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2" s="222">
        <f>IF($B52="","",IF(X$4&gt;DAY(EOMONTH(DATE($D$2,$B$2,1),0)),"",SUMIFS(DATA_GOC!$H:$H,DATA_GOC!$A:$A,"BOM",DATA_GOC!$D:$D,$B52,DATA_GOC!$F:$F,"Xuất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2" s="222">
        <f>IF($B52="","",IF(Y$4&gt;DAY(EOMONTH(DATE($D$2,$B$2,1),0)),"",SUMIFS(DATA_GOC!$H:$H,DATA_GOC!$A:$A,"BOM",DATA_GOC!$D:$D,$B52,DATA_GOC!$F:$F,"Xuất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2" s="222">
        <f>IF($B52="","",IF(Z$4&gt;DAY(EOMONTH(DATE($D$2,$B$2,1),0)),"",SUMIFS(DATA_GOC!$H:$H,DATA_GOC!$A:$A,"BOM",DATA_GOC!$D:$D,$B52,DATA_GOC!$F:$F,"Xuất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2" s="222">
        <f>IF($B52="","",IF(AA$4&gt;DAY(EOMONTH(DATE($D$2,$B$2,1),0)),"",SUMIFS(DATA_GOC!$H:$H,DATA_GOC!$A:$A,"BOM",DATA_GOC!$D:$D,$B52,DATA_GOC!$F:$F,"Xuất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2" s="222">
        <f>IF($B52="","",IF(AB$4&gt;DAY(EOMONTH(DATE($D$2,$B$2,1),0)),"",SUMIFS(DATA_GOC!$H:$H,DATA_GOC!$A:$A,"BOM",DATA_GOC!$D:$D,$B52,DATA_GOC!$F:$F,"Xuất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2" s="222">
        <f>IF($B52="","",IF(AC$4&gt;DAY(EOMONTH(DATE($D$2,$B$2,1),0)),"",SUMIFS(DATA_GOC!$H:$H,DATA_GOC!$A:$A,"BOM",DATA_GOC!$D:$D,$B52,DATA_GOC!$F:$F,"Xuất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2" s="222">
        <f>IF($B52="","",IF(AD$4&gt;DAY(EOMONTH(DATE($D$2,$B$2,1),0)),"",SUMIFS(DATA_GOC!$H:$H,DATA_GOC!$A:$A,"BOM",DATA_GOC!$D:$D,$B52,DATA_GOC!$F:$F,"Xuất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2" s="222">
        <f>IF($B52="","",IF(AE$4&gt;DAY(EOMONTH(DATE($D$2,$B$2,1),0)),"",SUMIFS(DATA_GOC!$H:$H,DATA_GOC!$A:$A,"BOM",DATA_GOC!$D:$D,$B52,DATA_GOC!$F:$F,"Xuất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2" s="222">
        <f>IF($B52="","",IF(AF$4&gt;DAY(EOMONTH(DATE($D$2,$B$2,1),0)),"",SUMIFS(DATA_GOC!$H:$H,DATA_GOC!$A:$A,"BOM",DATA_GOC!$D:$D,$B52,DATA_GOC!$F:$F,"Xuất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2" s="222">
        <f>IF($B52="","",IF(AG$4&gt;DAY(EOMONTH(DATE($D$2,$B$2,1),0)),"",SUMIFS(DATA_GOC!$H:$H,DATA_GOC!$A:$A,"BOM",DATA_GOC!$D:$D,$B52,DATA_GOC!$F:$F,"Xuất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2" s="223">
        <f t="shared" si="2"/>
        <v>0</v>
      </c>
      <c r="AI52" s="224">
        <f>IF($B52="","",SUMIFS(DATA_GOC!$H:$H,DATA_GOC!$A:$A,"BOM",DATA_GOC!$D:$D,$B52,DATA_GOC!$F:$F,"Bơm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2" s="224">
        <f>IF($B52="","",SUMIFS(TINH_TEC!$K$233:$K$9232,TINH_TEC!$H$233:$H$9232,$B52,TINH_TEC!$F$233:$F$9232,$B$2,TINH_TEC!$G$233:$G$9232,$D$2,TINH_TEC!$B$233:$B$9232,"Đã chốt"))</f>
        <v>0</v>
      </c>
      <c r="AK52" s="224">
        <f>IF($B52="","",SUMIFS(TINH_TEC!$J$233:$J$9232,TINH_TEC!$H$233:$H$9232,$B52,TINH_TEC!$F$233:$F$9232,$B$2,TINH_TEC!$G$233:$G$9232,$D$2,TINH_TEC!$B$233:$B$9232,"Đã chốt"))</f>
        <v>0</v>
      </c>
      <c r="AL52" s="225">
        <f t="shared" si="3"/>
        <v>0</v>
      </c>
      <c r="AM52" s="222">
        <f>IF($B52="","",SUMIFS(DATA_GOC!$K:$K,DATA_GOC!$A:$A,"BOM",DATA_GOC!$D:$D,$B52,DATA_GOC!$G:$G,"DO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2" s="226" t="str">
        <f t="shared" si="4"/>
        <v/>
      </c>
      <c r="AO52" s="227" t="str">
        <f t="shared" si="5"/>
        <v/>
      </c>
      <c r="AP52" s="226" t="str">
        <f>IF($B52="","",IFERROR(AO52-(SUMIFS(DATA_GOC!$H:$H,DATA_GOC!$A:$A,"BOM",DATA_GOC!$D:$D,$B52,DATA_GOC!$F:$F,"Xuất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52" s="59">
        <v>2.0</v>
      </c>
      <c r="AR52" s="59">
        <v>2026.0</v>
      </c>
      <c r="AS52" s="59" t="s">
        <v>123</v>
      </c>
      <c r="AT52" s="59">
        <v>2743.9947200165</v>
      </c>
      <c r="AU52" s="59">
        <v>200.0</v>
      </c>
      <c r="AV52" s="59">
        <v>2943.9947200165</v>
      </c>
      <c r="AW52" s="59">
        <v>5979.0</v>
      </c>
      <c r="AX52" s="59">
        <v>49.2389148689831</v>
      </c>
      <c r="AY52" s="59">
        <v>761.397</v>
      </c>
      <c r="AZ52" s="59">
        <v>2182.5977200165</v>
      </c>
      <c r="BA52" s="59">
        <v>25.397</v>
      </c>
      <c r="BB52" s="59">
        <v>0.0</v>
      </c>
      <c r="BC52" s="59" t="s">
        <v>407</v>
      </c>
    </row>
    <row r="53" ht="16.5" customHeight="1">
      <c r="A53" s="220">
        <f t="shared" si="1"/>
        <v>49</v>
      </c>
      <c r="B53" s="221" t="str">
        <f t="array" ref="B53">IFERROR(INDEX(DANH_MUC!$E:$E,ROW()-1),"")</f>
        <v>Máy phát điện</v>
      </c>
      <c r="C53" s="222">
        <f>IF($B53="","",IF(C$4&gt;DAY(EOMONTH(DATE($D$2,$B$2,1),0)),"",SUMIFS(DATA_GOC!$H:$H,DATA_GOC!$A:$A,"BOM",DATA_GOC!$D:$D,$B53,DATA_GOC!$F:$F,"Xuất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3" s="222">
        <f>IF($B53="","",IF(D$4&gt;DAY(EOMONTH(DATE($D$2,$B$2,1),0)),"",SUMIFS(DATA_GOC!$H:$H,DATA_GOC!$A:$A,"BOM",DATA_GOC!$D:$D,$B53,DATA_GOC!$F:$F,"Xuất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3" s="222">
        <f>IF($B53="","",IF(E$4&gt;DAY(EOMONTH(DATE($D$2,$B$2,1),0)),"",SUMIFS(DATA_GOC!$H:$H,DATA_GOC!$A:$A,"BOM",DATA_GOC!$D:$D,$B53,DATA_GOC!$F:$F,"Xuất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3" s="222">
        <f>IF($B53="","",IF(F$4&gt;DAY(EOMONTH(DATE($D$2,$B$2,1),0)),"",SUMIFS(DATA_GOC!$H:$H,DATA_GOC!$A:$A,"BOM",DATA_GOC!$D:$D,$B53,DATA_GOC!$F:$F,"Xuất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3" s="222">
        <f>IF($B53="","",IF(G$4&gt;DAY(EOMONTH(DATE($D$2,$B$2,1),0)),"",SUMIFS(DATA_GOC!$H:$H,DATA_GOC!$A:$A,"BOM",DATA_GOC!$D:$D,$B53,DATA_GOC!$F:$F,"Xuất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3" s="222">
        <f>IF($B53="","",IF(H$4&gt;DAY(EOMONTH(DATE($D$2,$B$2,1),0)),"",SUMIFS(DATA_GOC!$H:$H,DATA_GOC!$A:$A,"BOM",DATA_GOC!$D:$D,$B53,DATA_GOC!$F:$F,"Xuất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3" s="222">
        <f>IF($B53="","",IF(I$4&gt;DAY(EOMONTH(DATE($D$2,$B$2,1),0)),"",SUMIFS(DATA_GOC!$H:$H,DATA_GOC!$A:$A,"BOM",DATA_GOC!$D:$D,$B53,DATA_GOC!$F:$F,"Xuất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3" s="222">
        <f>IF($B53="","",IF(J$4&gt;DAY(EOMONTH(DATE($D$2,$B$2,1),0)),"",SUMIFS(DATA_GOC!$H:$H,DATA_GOC!$A:$A,"BOM",DATA_GOC!$D:$D,$B53,DATA_GOC!$F:$F,"Xuất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3" s="222">
        <f>IF($B53="","",IF(K$4&gt;DAY(EOMONTH(DATE($D$2,$B$2,1),0)),"",SUMIFS(DATA_GOC!$H:$H,DATA_GOC!$A:$A,"BOM",DATA_GOC!$D:$D,$B53,DATA_GOC!$F:$F,"Xuất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3" s="222">
        <f>IF($B53="","",IF(L$4&gt;DAY(EOMONTH(DATE($D$2,$B$2,1),0)),"",SUMIFS(DATA_GOC!$H:$H,DATA_GOC!$A:$A,"BOM",DATA_GOC!$D:$D,$B53,DATA_GOC!$F:$F,"Xuất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3" s="222">
        <f>IF($B53="","",IF(M$4&gt;DAY(EOMONTH(DATE($D$2,$B$2,1),0)),"",SUMIFS(DATA_GOC!$H:$H,DATA_GOC!$A:$A,"BOM",DATA_GOC!$D:$D,$B53,DATA_GOC!$F:$F,"Xuất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3" s="222">
        <f>IF($B53="","",IF(N$4&gt;DAY(EOMONTH(DATE($D$2,$B$2,1),0)),"",SUMIFS(DATA_GOC!$H:$H,DATA_GOC!$A:$A,"BOM",DATA_GOC!$D:$D,$B53,DATA_GOC!$F:$F,"Xuất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3" s="222">
        <f>IF($B53="","",IF(O$4&gt;DAY(EOMONTH(DATE($D$2,$B$2,1),0)),"",SUMIFS(DATA_GOC!$H:$H,DATA_GOC!$A:$A,"BOM",DATA_GOC!$D:$D,$B53,DATA_GOC!$F:$F,"Xuất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3" s="222">
        <f>IF($B53="","",IF(P$4&gt;DAY(EOMONTH(DATE($D$2,$B$2,1),0)),"",SUMIFS(DATA_GOC!$H:$H,DATA_GOC!$A:$A,"BOM",DATA_GOC!$D:$D,$B53,DATA_GOC!$F:$F,"Xuất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3" s="222">
        <f>IF($B53="","",IF(Q$4&gt;DAY(EOMONTH(DATE($D$2,$B$2,1),0)),"",SUMIFS(DATA_GOC!$H:$H,DATA_GOC!$A:$A,"BOM",DATA_GOC!$D:$D,$B53,DATA_GOC!$F:$F,"Xuất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3" s="222">
        <f>IF($B53="","",IF(R$4&gt;DAY(EOMONTH(DATE($D$2,$B$2,1),0)),"",SUMIFS(DATA_GOC!$H:$H,DATA_GOC!$A:$A,"BOM",DATA_GOC!$D:$D,$B53,DATA_GOC!$F:$F,"Xuất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3" s="222">
        <f>IF($B53="","",IF(S$4&gt;DAY(EOMONTH(DATE($D$2,$B$2,1),0)),"",SUMIFS(DATA_GOC!$H:$H,DATA_GOC!$A:$A,"BOM",DATA_GOC!$D:$D,$B53,DATA_GOC!$F:$F,"Xuất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3" s="222">
        <f>IF($B53="","",IF(T$4&gt;DAY(EOMONTH(DATE($D$2,$B$2,1),0)),"",SUMIFS(DATA_GOC!$H:$H,DATA_GOC!$A:$A,"BOM",DATA_GOC!$D:$D,$B53,DATA_GOC!$F:$F,"Xuất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3" s="222">
        <f>IF($B53="","",IF(U$4&gt;DAY(EOMONTH(DATE($D$2,$B$2,1),0)),"",SUMIFS(DATA_GOC!$H:$H,DATA_GOC!$A:$A,"BOM",DATA_GOC!$D:$D,$B53,DATA_GOC!$F:$F,"Xuất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3" s="222">
        <f>IF($B53="","",IF(V$4&gt;DAY(EOMONTH(DATE($D$2,$B$2,1),0)),"",SUMIFS(DATA_GOC!$H:$H,DATA_GOC!$A:$A,"BOM",DATA_GOC!$D:$D,$B53,DATA_GOC!$F:$F,"Xuất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3" s="222">
        <f>IF($B53="","",IF(W$4&gt;DAY(EOMONTH(DATE($D$2,$B$2,1),0)),"",SUMIFS(DATA_GOC!$H:$H,DATA_GOC!$A:$A,"BOM",DATA_GOC!$D:$D,$B53,DATA_GOC!$F:$F,"Xuất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3" s="222">
        <f>IF($B53="","",IF(X$4&gt;DAY(EOMONTH(DATE($D$2,$B$2,1),0)),"",SUMIFS(DATA_GOC!$H:$H,DATA_GOC!$A:$A,"BOM",DATA_GOC!$D:$D,$B53,DATA_GOC!$F:$F,"Xuất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3" s="222">
        <f>IF($B53="","",IF(Y$4&gt;DAY(EOMONTH(DATE($D$2,$B$2,1),0)),"",SUMIFS(DATA_GOC!$H:$H,DATA_GOC!$A:$A,"BOM",DATA_GOC!$D:$D,$B53,DATA_GOC!$F:$F,"Xuất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3" s="222">
        <f>IF($B53="","",IF(Z$4&gt;DAY(EOMONTH(DATE($D$2,$B$2,1),0)),"",SUMIFS(DATA_GOC!$H:$H,DATA_GOC!$A:$A,"BOM",DATA_GOC!$D:$D,$B53,DATA_GOC!$F:$F,"Xuất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3" s="222">
        <f>IF($B53="","",IF(AA$4&gt;DAY(EOMONTH(DATE($D$2,$B$2,1),0)),"",SUMIFS(DATA_GOC!$H:$H,DATA_GOC!$A:$A,"BOM",DATA_GOC!$D:$D,$B53,DATA_GOC!$F:$F,"Xuất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3" s="222">
        <f>IF($B53="","",IF(AB$4&gt;DAY(EOMONTH(DATE($D$2,$B$2,1),0)),"",SUMIFS(DATA_GOC!$H:$H,DATA_GOC!$A:$A,"BOM",DATA_GOC!$D:$D,$B53,DATA_GOC!$F:$F,"Xuất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3" s="222">
        <f>IF($B53="","",IF(AC$4&gt;DAY(EOMONTH(DATE($D$2,$B$2,1),0)),"",SUMIFS(DATA_GOC!$H:$H,DATA_GOC!$A:$A,"BOM",DATA_GOC!$D:$D,$B53,DATA_GOC!$F:$F,"Xuất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3" s="222">
        <f>IF($B53="","",IF(AD$4&gt;DAY(EOMONTH(DATE($D$2,$B$2,1),0)),"",SUMIFS(DATA_GOC!$H:$H,DATA_GOC!$A:$A,"BOM",DATA_GOC!$D:$D,$B53,DATA_GOC!$F:$F,"Xuất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3" s="222">
        <f>IF($B53="","",IF(AE$4&gt;DAY(EOMONTH(DATE($D$2,$B$2,1),0)),"",SUMIFS(DATA_GOC!$H:$H,DATA_GOC!$A:$A,"BOM",DATA_GOC!$D:$D,$B53,DATA_GOC!$F:$F,"Xuất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3" s="222">
        <f>IF($B53="","",IF(AF$4&gt;DAY(EOMONTH(DATE($D$2,$B$2,1),0)),"",SUMIFS(DATA_GOC!$H:$H,DATA_GOC!$A:$A,"BOM",DATA_GOC!$D:$D,$B53,DATA_GOC!$F:$F,"Xuất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3" s="222">
        <f>IF($B53="","",IF(AG$4&gt;DAY(EOMONTH(DATE($D$2,$B$2,1),0)),"",SUMIFS(DATA_GOC!$H:$H,DATA_GOC!$A:$A,"BOM",DATA_GOC!$D:$D,$B53,DATA_GOC!$F:$F,"Xuất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3" s="223">
        <f t="shared" si="2"/>
        <v>0</v>
      </c>
      <c r="AI53" s="224">
        <f>IF($B53="","",SUMIFS(DATA_GOC!$H:$H,DATA_GOC!$A:$A,"BOM",DATA_GOC!$D:$D,$B53,DATA_GOC!$F:$F,"Bơm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3" s="224">
        <f>IF($B53="","",SUMIFS(TINH_TEC!$K$233:$K$9232,TINH_TEC!$H$233:$H$9232,$B53,TINH_TEC!$F$233:$F$9232,$B$2,TINH_TEC!$G$233:$G$9232,$D$2,TINH_TEC!$B$233:$B$9232,"Đã chốt"))</f>
        <v>0</v>
      </c>
      <c r="AK53" s="224">
        <f>IF($B53="","",SUMIFS(TINH_TEC!$J$233:$J$9232,TINH_TEC!$H$233:$H$9232,$B53,TINH_TEC!$F$233:$F$9232,$B$2,TINH_TEC!$G$233:$G$9232,$D$2,TINH_TEC!$B$233:$B$9232,"Đã chốt"))</f>
        <v>0</v>
      </c>
      <c r="AL53" s="225">
        <f t="shared" si="3"/>
        <v>0</v>
      </c>
      <c r="AM53" s="222">
        <f>IF($B53="","",SUMIFS(DATA_GOC!$K:$K,DATA_GOC!$A:$A,"BOM",DATA_GOC!$D:$D,$B53,DATA_GOC!$G:$G,"DO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3" s="226" t="str">
        <f t="shared" si="4"/>
        <v/>
      </c>
      <c r="AO53" s="227" t="str">
        <f t="shared" si="5"/>
        <v/>
      </c>
      <c r="AP53" s="226" t="str">
        <f>IF($B53="","",IFERROR(AO53-(SUMIFS(DATA_GOC!$H:$H,DATA_GOC!$A:$A,"BOM",DATA_GOC!$D:$D,$B53,DATA_GOC!$F:$F,"Xuất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53" s="59">
        <v>2.0</v>
      </c>
      <c r="AR53" s="59">
        <v>2026.0</v>
      </c>
      <c r="AS53" s="59" t="s">
        <v>82</v>
      </c>
      <c r="AT53" s="59">
        <v>1808.06374479049</v>
      </c>
      <c r="AU53" s="59">
        <v>0.0</v>
      </c>
      <c r="AV53" s="59">
        <v>1808.06374479049</v>
      </c>
      <c r="AW53" s="59">
        <v>4020.0</v>
      </c>
      <c r="AX53" s="59">
        <v>44.9767100694152</v>
      </c>
      <c r="AY53" s="59">
        <v>558.633</v>
      </c>
      <c r="AZ53" s="59">
        <v>1249.43074479049</v>
      </c>
      <c r="BA53" s="59">
        <v>18.633</v>
      </c>
      <c r="BB53" s="59">
        <v>0.0</v>
      </c>
      <c r="BC53" s="59" t="s">
        <v>408</v>
      </c>
    </row>
    <row r="54" ht="16.5" customHeight="1">
      <c r="A54" s="220">
        <f t="shared" si="1"/>
        <v>50</v>
      </c>
      <c r="B54" s="221" t="str">
        <f t="array" ref="B54">IFERROR(INDEX(DANH_MUC!$E:$E,ROW()-1),"")</f>
        <v>Máy rải thảm</v>
      </c>
      <c r="C54" s="222">
        <f>IF($B54="","",IF(C$4&gt;DAY(EOMONTH(DATE($D$2,$B$2,1),0)),"",SUMIFS(DATA_GOC!$H:$H,DATA_GOC!$A:$A,"BOM",DATA_GOC!$D:$D,$B54,DATA_GOC!$F:$F,"Xuất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4" s="222">
        <f>IF($B54="","",IF(D$4&gt;DAY(EOMONTH(DATE($D$2,$B$2,1),0)),"",SUMIFS(DATA_GOC!$H:$H,DATA_GOC!$A:$A,"BOM",DATA_GOC!$D:$D,$B54,DATA_GOC!$F:$F,"Xuất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4" s="222">
        <f>IF($B54="","",IF(E$4&gt;DAY(EOMONTH(DATE($D$2,$B$2,1),0)),"",SUMIFS(DATA_GOC!$H:$H,DATA_GOC!$A:$A,"BOM",DATA_GOC!$D:$D,$B54,DATA_GOC!$F:$F,"Xuất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4" s="222">
        <f>IF($B54="","",IF(F$4&gt;DAY(EOMONTH(DATE($D$2,$B$2,1),0)),"",SUMIFS(DATA_GOC!$H:$H,DATA_GOC!$A:$A,"BOM",DATA_GOC!$D:$D,$B54,DATA_GOC!$F:$F,"Xuất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4" s="222">
        <f>IF($B54="","",IF(G$4&gt;DAY(EOMONTH(DATE($D$2,$B$2,1),0)),"",SUMIFS(DATA_GOC!$H:$H,DATA_GOC!$A:$A,"BOM",DATA_GOC!$D:$D,$B54,DATA_GOC!$F:$F,"Xuất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4" s="222">
        <f>IF($B54="","",IF(H$4&gt;DAY(EOMONTH(DATE($D$2,$B$2,1),0)),"",SUMIFS(DATA_GOC!$H:$H,DATA_GOC!$A:$A,"BOM",DATA_GOC!$D:$D,$B54,DATA_GOC!$F:$F,"Xuất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4" s="222">
        <f>IF($B54="","",IF(I$4&gt;DAY(EOMONTH(DATE($D$2,$B$2,1),0)),"",SUMIFS(DATA_GOC!$H:$H,DATA_GOC!$A:$A,"BOM",DATA_GOC!$D:$D,$B54,DATA_GOC!$F:$F,"Xuất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4" s="222">
        <f>IF($B54="","",IF(J$4&gt;DAY(EOMONTH(DATE($D$2,$B$2,1),0)),"",SUMIFS(DATA_GOC!$H:$H,DATA_GOC!$A:$A,"BOM",DATA_GOC!$D:$D,$B54,DATA_GOC!$F:$F,"Xuất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4" s="222">
        <f>IF($B54="","",IF(K$4&gt;DAY(EOMONTH(DATE($D$2,$B$2,1),0)),"",SUMIFS(DATA_GOC!$H:$H,DATA_GOC!$A:$A,"BOM",DATA_GOC!$D:$D,$B54,DATA_GOC!$F:$F,"Xuất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4" s="222">
        <f>IF($B54="","",IF(L$4&gt;DAY(EOMONTH(DATE($D$2,$B$2,1),0)),"",SUMIFS(DATA_GOC!$H:$H,DATA_GOC!$A:$A,"BOM",DATA_GOC!$D:$D,$B54,DATA_GOC!$F:$F,"Xuất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4" s="222">
        <f>IF($B54="","",IF(M$4&gt;DAY(EOMONTH(DATE($D$2,$B$2,1),0)),"",SUMIFS(DATA_GOC!$H:$H,DATA_GOC!$A:$A,"BOM",DATA_GOC!$D:$D,$B54,DATA_GOC!$F:$F,"Xuất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4" s="222">
        <f>IF($B54="","",IF(N$4&gt;DAY(EOMONTH(DATE($D$2,$B$2,1),0)),"",SUMIFS(DATA_GOC!$H:$H,DATA_GOC!$A:$A,"BOM",DATA_GOC!$D:$D,$B54,DATA_GOC!$F:$F,"Xuất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4" s="222">
        <f>IF($B54="","",IF(O$4&gt;DAY(EOMONTH(DATE($D$2,$B$2,1),0)),"",SUMIFS(DATA_GOC!$H:$H,DATA_GOC!$A:$A,"BOM",DATA_GOC!$D:$D,$B54,DATA_GOC!$F:$F,"Xuất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4" s="222">
        <f>IF($B54="","",IF(P$4&gt;DAY(EOMONTH(DATE($D$2,$B$2,1),0)),"",SUMIFS(DATA_GOC!$H:$H,DATA_GOC!$A:$A,"BOM",DATA_GOC!$D:$D,$B54,DATA_GOC!$F:$F,"Xuất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4" s="222">
        <f>IF($B54="","",IF(Q$4&gt;DAY(EOMONTH(DATE($D$2,$B$2,1),0)),"",SUMIFS(DATA_GOC!$H:$H,DATA_GOC!$A:$A,"BOM",DATA_GOC!$D:$D,$B54,DATA_GOC!$F:$F,"Xuất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4" s="222">
        <f>IF($B54="","",IF(R$4&gt;DAY(EOMONTH(DATE($D$2,$B$2,1),0)),"",SUMIFS(DATA_GOC!$H:$H,DATA_GOC!$A:$A,"BOM",DATA_GOC!$D:$D,$B54,DATA_GOC!$F:$F,"Xuất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4" s="222">
        <f>IF($B54="","",IF(S$4&gt;DAY(EOMONTH(DATE($D$2,$B$2,1),0)),"",SUMIFS(DATA_GOC!$H:$H,DATA_GOC!$A:$A,"BOM",DATA_GOC!$D:$D,$B54,DATA_GOC!$F:$F,"Xuất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4" s="222">
        <f>IF($B54="","",IF(T$4&gt;DAY(EOMONTH(DATE($D$2,$B$2,1),0)),"",SUMIFS(DATA_GOC!$H:$H,DATA_GOC!$A:$A,"BOM",DATA_GOC!$D:$D,$B54,DATA_GOC!$F:$F,"Xuất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4" s="222">
        <f>IF($B54="","",IF(U$4&gt;DAY(EOMONTH(DATE($D$2,$B$2,1),0)),"",SUMIFS(DATA_GOC!$H:$H,DATA_GOC!$A:$A,"BOM",DATA_GOC!$D:$D,$B54,DATA_GOC!$F:$F,"Xuất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4" s="222">
        <f>IF($B54="","",IF(V$4&gt;DAY(EOMONTH(DATE($D$2,$B$2,1),0)),"",SUMIFS(DATA_GOC!$H:$H,DATA_GOC!$A:$A,"BOM",DATA_GOC!$D:$D,$B54,DATA_GOC!$F:$F,"Xuất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4" s="222">
        <f>IF($B54="","",IF(W$4&gt;DAY(EOMONTH(DATE($D$2,$B$2,1),0)),"",SUMIFS(DATA_GOC!$H:$H,DATA_GOC!$A:$A,"BOM",DATA_GOC!$D:$D,$B54,DATA_GOC!$F:$F,"Xuất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4" s="222">
        <f>IF($B54="","",IF(X$4&gt;DAY(EOMONTH(DATE($D$2,$B$2,1),0)),"",SUMIFS(DATA_GOC!$H:$H,DATA_GOC!$A:$A,"BOM",DATA_GOC!$D:$D,$B54,DATA_GOC!$F:$F,"Xuất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4" s="222">
        <f>IF($B54="","",IF(Y$4&gt;DAY(EOMONTH(DATE($D$2,$B$2,1),0)),"",SUMIFS(DATA_GOC!$H:$H,DATA_GOC!$A:$A,"BOM",DATA_GOC!$D:$D,$B54,DATA_GOC!$F:$F,"Xuất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4" s="222">
        <f>IF($B54="","",IF(Z$4&gt;DAY(EOMONTH(DATE($D$2,$B$2,1),0)),"",SUMIFS(DATA_GOC!$H:$H,DATA_GOC!$A:$A,"BOM",DATA_GOC!$D:$D,$B54,DATA_GOC!$F:$F,"Xuất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4" s="222">
        <f>IF($B54="","",IF(AA$4&gt;DAY(EOMONTH(DATE($D$2,$B$2,1),0)),"",SUMIFS(DATA_GOC!$H:$H,DATA_GOC!$A:$A,"BOM",DATA_GOC!$D:$D,$B54,DATA_GOC!$F:$F,"Xuất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4" s="222">
        <f>IF($B54="","",IF(AB$4&gt;DAY(EOMONTH(DATE($D$2,$B$2,1),0)),"",SUMIFS(DATA_GOC!$H:$H,DATA_GOC!$A:$A,"BOM",DATA_GOC!$D:$D,$B54,DATA_GOC!$F:$F,"Xuất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4" s="222">
        <f>IF($B54="","",IF(AC$4&gt;DAY(EOMONTH(DATE($D$2,$B$2,1),0)),"",SUMIFS(DATA_GOC!$H:$H,DATA_GOC!$A:$A,"BOM",DATA_GOC!$D:$D,$B54,DATA_GOC!$F:$F,"Xuất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4" s="222">
        <f>IF($B54="","",IF(AD$4&gt;DAY(EOMONTH(DATE($D$2,$B$2,1),0)),"",SUMIFS(DATA_GOC!$H:$H,DATA_GOC!$A:$A,"BOM",DATA_GOC!$D:$D,$B54,DATA_GOC!$F:$F,"Xuất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4" s="222">
        <f>IF($B54="","",IF(AE$4&gt;DAY(EOMONTH(DATE($D$2,$B$2,1),0)),"",SUMIFS(DATA_GOC!$H:$H,DATA_GOC!$A:$A,"BOM",DATA_GOC!$D:$D,$B54,DATA_GOC!$F:$F,"Xuất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4" s="222">
        <f>IF($B54="","",IF(AF$4&gt;DAY(EOMONTH(DATE($D$2,$B$2,1),0)),"",SUMIFS(DATA_GOC!$H:$H,DATA_GOC!$A:$A,"BOM",DATA_GOC!$D:$D,$B54,DATA_GOC!$F:$F,"Xuất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4" s="222">
        <f>IF($B54="","",IF(AG$4&gt;DAY(EOMONTH(DATE($D$2,$B$2,1),0)),"",SUMIFS(DATA_GOC!$H:$H,DATA_GOC!$A:$A,"BOM",DATA_GOC!$D:$D,$B54,DATA_GOC!$F:$F,"Xuất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4" s="223">
        <f t="shared" si="2"/>
        <v>0</v>
      </c>
      <c r="AI54" s="224">
        <f>IF($B54="","",SUMIFS(DATA_GOC!$H:$H,DATA_GOC!$A:$A,"BOM",DATA_GOC!$D:$D,$B54,DATA_GOC!$F:$F,"Bơm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4" s="224">
        <f>IF($B54="","",SUMIFS(TINH_TEC!$K$233:$K$9232,TINH_TEC!$H$233:$H$9232,$B54,TINH_TEC!$F$233:$F$9232,$B$2,TINH_TEC!$G$233:$G$9232,$D$2,TINH_TEC!$B$233:$B$9232,"Đã chốt"))</f>
        <v>0</v>
      </c>
      <c r="AK54" s="224">
        <f>IF($B54="","",SUMIFS(TINH_TEC!$J$233:$J$9232,TINH_TEC!$H$233:$H$9232,$B54,TINH_TEC!$F$233:$F$9232,$B$2,TINH_TEC!$G$233:$G$9232,$D$2,TINH_TEC!$B$233:$B$9232,"Đã chốt"))</f>
        <v>0</v>
      </c>
      <c r="AL54" s="225">
        <f t="shared" si="3"/>
        <v>0</v>
      </c>
      <c r="AM54" s="222">
        <f>IF($B54="","",SUMIFS(DATA_GOC!$K:$K,DATA_GOC!$A:$A,"BOM",DATA_GOC!$D:$D,$B54,DATA_GOC!$G:$G,"DO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4" s="226" t="str">
        <f t="shared" si="4"/>
        <v/>
      </c>
      <c r="AO54" s="227" t="str">
        <f t="shared" si="5"/>
        <v/>
      </c>
      <c r="AP54" s="226" t="str">
        <f>IF($B54="","",IFERROR(AO54-(SUMIFS(DATA_GOC!$H:$H,DATA_GOC!$A:$A,"BOM",DATA_GOC!$D:$D,$B54,DATA_GOC!$F:$F,"Xuất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54" s="59">
        <v>2.0</v>
      </c>
      <c r="AR54" s="59">
        <v>2026.0</v>
      </c>
      <c r="AS54" s="59" t="s">
        <v>77</v>
      </c>
      <c r="AT54" s="59">
        <v>926.305342234131</v>
      </c>
      <c r="AU54" s="59">
        <v>63.0</v>
      </c>
      <c r="AV54" s="59">
        <v>989.305342234131</v>
      </c>
      <c r="AW54" s="59">
        <v>1859.0</v>
      </c>
      <c r="AX54" s="59">
        <v>53.2170705881727</v>
      </c>
      <c r="AY54" s="59">
        <v>517.253</v>
      </c>
      <c r="AZ54" s="59">
        <v>472.052342234131</v>
      </c>
      <c r="BA54" s="59">
        <v>17.253</v>
      </c>
      <c r="BB54" s="59">
        <v>0.0</v>
      </c>
      <c r="BC54" s="59" t="s">
        <v>409</v>
      </c>
    </row>
    <row r="55" ht="16.5" customHeight="1">
      <c r="A55" s="220">
        <f t="shared" si="1"/>
        <v>51</v>
      </c>
      <c r="B55" s="221" t="str">
        <f t="array" ref="B55">IFERROR(INDEX(DANH_MUC!$E:$E,ROW()-1),"")</f>
        <v>Xúc Đào</v>
      </c>
      <c r="C55" s="222">
        <f>IF($B55="","",IF(C$4&gt;DAY(EOMONTH(DATE($D$2,$B$2,1),0)),"",SUMIFS(DATA_GOC!$H:$H,DATA_GOC!$A:$A,"BOM",DATA_GOC!$D:$D,$B55,DATA_GOC!$F:$F,"Xuất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5" s="222">
        <f>IF($B55="","",IF(D$4&gt;DAY(EOMONTH(DATE($D$2,$B$2,1),0)),"",SUMIFS(DATA_GOC!$H:$H,DATA_GOC!$A:$A,"BOM",DATA_GOC!$D:$D,$B55,DATA_GOC!$F:$F,"Xuất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5" s="222">
        <f>IF($B55="","",IF(E$4&gt;DAY(EOMONTH(DATE($D$2,$B$2,1),0)),"",SUMIFS(DATA_GOC!$H:$H,DATA_GOC!$A:$A,"BOM",DATA_GOC!$D:$D,$B55,DATA_GOC!$F:$F,"Xuất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5" s="222">
        <f>IF($B55="","",IF(F$4&gt;DAY(EOMONTH(DATE($D$2,$B$2,1),0)),"",SUMIFS(DATA_GOC!$H:$H,DATA_GOC!$A:$A,"BOM",DATA_GOC!$D:$D,$B55,DATA_GOC!$F:$F,"Xuất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5" s="222">
        <f>IF($B55="","",IF(G$4&gt;DAY(EOMONTH(DATE($D$2,$B$2,1),0)),"",SUMIFS(DATA_GOC!$H:$H,DATA_GOC!$A:$A,"BOM",DATA_GOC!$D:$D,$B55,DATA_GOC!$F:$F,"Xuất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5" s="222">
        <f>IF($B55="","",IF(H$4&gt;DAY(EOMONTH(DATE($D$2,$B$2,1),0)),"",SUMIFS(DATA_GOC!$H:$H,DATA_GOC!$A:$A,"BOM",DATA_GOC!$D:$D,$B55,DATA_GOC!$F:$F,"Xuất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5" s="222">
        <f>IF($B55="","",IF(I$4&gt;DAY(EOMONTH(DATE($D$2,$B$2,1),0)),"",SUMIFS(DATA_GOC!$H:$H,DATA_GOC!$A:$A,"BOM",DATA_GOC!$D:$D,$B55,DATA_GOC!$F:$F,"Xuất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5" s="222">
        <f>IF($B55="","",IF(J$4&gt;DAY(EOMONTH(DATE($D$2,$B$2,1),0)),"",SUMIFS(DATA_GOC!$H:$H,DATA_GOC!$A:$A,"BOM",DATA_GOC!$D:$D,$B55,DATA_GOC!$F:$F,"Xuất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5" s="222">
        <f>IF($B55="","",IF(K$4&gt;DAY(EOMONTH(DATE($D$2,$B$2,1),0)),"",SUMIFS(DATA_GOC!$H:$H,DATA_GOC!$A:$A,"BOM",DATA_GOC!$D:$D,$B55,DATA_GOC!$F:$F,"Xuất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5" s="222">
        <f>IF($B55="","",IF(L$4&gt;DAY(EOMONTH(DATE($D$2,$B$2,1),0)),"",SUMIFS(DATA_GOC!$H:$H,DATA_GOC!$A:$A,"BOM",DATA_GOC!$D:$D,$B55,DATA_GOC!$F:$F,"Xuất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5" s="222">
        <f>IF($B55="","",IF(M$4&gt;DAY(EOMONTH(DATE($D$2,$B$2,1),0)),"",SUMIFS(DATA_GOC!$H:$H,DATA_GOC!$A:$A,"BOM",DATA_GOC!$D:$D,$B55,DATA_GOC!$F:$F,"Xuất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5" s="222">
        <f>IF($B55="","",IF(N$4&gt;DAY(EOMONTH(DATE($D$2,$B$2,1),0)),"",SUMIFS(DATA_GOC!$H:$H,DATA_GOC!$A:$A,"BOM",DATA_GOC!$D:$D,$B55,DATA_GOC!$F:$F,"Xuất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5" s="222">
        <f>IF($B55="","",IF(O$4&gt;DAY(EOMONTH(DATE($D$2,$B$2,1),0)),"",SUMIFS(DATA_GOC!$H:$H,DATA_GOC!$A:$A,"BOM",DATA_GOC!$D:$D,$B55,DATA_GOC!$F:$F,"Xuất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5" s="222">
        <f>IF($B55="","",IF(P$4&gt;DAY(EOMONTH(DATE($D$2,$B$2,1),0)),"",SUMIFS(DATA_GOC!$H:$H,DATA_GOC!$A:$A,"BOM",DATA_GOC!$D:$D,$B55,DATA_GOC!$F:$F,"Xuất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5" s="222">
        <f>IF($B55="","",IF(Q$4&gt;DAY(EOMONTH(DATE($D$2,$B$2,1),0)),"",SUMIFS(DATA_GOC!$H:$H,DATA_GOC!$A:$A,"BOM",DATA_GOC!$D:$D,$B55,DATA_GOC!$F:$F,"Xuất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5" s="222">
        <f>IF($B55="","",IF(R$4&gt;DAY(EOMONTH(DATE($D$2,$B$2,1),0)),"",SUMIFS(DATA_GOC!$H:$H,DATA_GOC!$A:$A,"BOM",DATA_GOC!$D:$D,$B55,DATA_GOC!$F:$F,"Xuất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5" s="222">
        <f>IF($B55="","",IF(S$4&gt;DAY(EOMONTH(DATE($D$2,$B$2,1),0)),"",SUMIFS(DATA_GOC!$H:$H,DATA_GOC!$A:$A,"BOM",DATA_GOC!$D:$D,$B55,DATA_GOC!$F:$F,"Xuất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5" s="222">
        <f>IF($B55="","",IF(T$4&gt;DAY(EOMONTH(DATE($D$2,$B$2,1),0)),"",SUMIFS(DATA_GOC!$H:$H,DATA_GOC!$A:$A,"BOM",DATA_GOC!$D:$D,$B55,DATA_GOC!$F:$F,"Xuất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5" s="222">
        <f>IF($B55="","",IF(U$4&gt;DAY(EOMONTH(DATE($D$2,$B$2,1),0)),"",SUMIFS(DATA_GOC!$H:$H,DATA_GOC!$A:$A,"BOM",DATA_GOC!$D:$D,$B55,DATA_GOC!$F:$F,"Xuất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5" s="222">
        <f>IF($B55="","",IF(V$4&gt;DAY(EOMONTH(DATE($D$2,$B$2,1),0)),"",SUMIFS(DATA_GOC!$H:$H,DATA_GOC!$A:$A,"BOM",DATA_GOC!$D:$D,$B55,DATA_GOC!$F:$F,"Xuất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5" s="222">
        <f>IF($B55="","",IF(W$4&gt;DAY(EOMONTH(DATE($D$2,$B$2,1),0)),"",SUMIFS(DATA_GOC!$H:$H,DATA_GOC!$A:$A,"BOM",DATA_GOC!$D:$D,$B55,DATA_GOC!$F:$F,"Xuất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5" s="222">
        <f>IF($B55="","",IF(X$4&gt;DAY(EOMONTH(DATE($D$2,$B$2,1),0)),"",SUMIFS(DATA_GOC!$H:$H,DATA_GOC!$A:$A,"BOM",DATA_GOC!$D:$D,$B55,DATA_GOC!$F:$F,"Xuất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5" s="222">
        <f>IF($B55="","",IF(Y$4&gt;DAY(EOMONTH(DATE($D$2,$B$2,1),0)),"",SUMIFS(DATA_GOC!$H:$H,DATA_GOC!$A:$A,"BOM",DATA_GOC!$D:$D,$B55,DATA_GOC!$F:$F,"Xuất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5" s="222">
        <f>IF($B55="","",IF(Z$4&gt;DAY(EOMONTH(DATE($D$2,$B$2,1),0)),"",SUMIFS(DATA_GOC!$H:$H,DATA_GOC!$A:$A,"BOM",DATA_GOC!$D:$D,$B55,DATA_GOC!$F:$F,"Xuất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5" s="222">
        <f>IF($B55="","",IF(AA$4&gt;DAY(EOMONTH(DATE($D$2,$B$2,1),0)),"",SUMIFS(DATA_GOC!$H:$H,DATA_GOC!$A:$A,"BOM",DATA_GOC!$D:$D,$B55,DATA_GOC!$F:$F,"Xuất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5" s="222">
        <f>IF($B55="","",IF(AB$4&gt;DAY(EOMONTH(DATE($D$2,$B$2,1),0)),"",SUMIFS(DATA_GOC!$H:$H,DATA_GOC!$A:$A,"BOM",DATA_GOC!$D:$D,$B55,DATA_GOC!$F:$F,"Xuất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5" s="222">
        <f>IF($B55="","",IF(AC$4&gt;DAY(EOMONTH(DATE($D$2,$B$2,1),0)),"",SUMIFS(DATA_GOC!$H:$H,DATA_GOC!$A:$A,"BOM",DATA_GOC!$D:$D,$B55,DATA_GOC!$F:$F,"Xuất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5" s="222">
        <f>IF($B55="","",IF(AD$4&gt;DAY(EOMONTH(DATE($D$2,$B$2,1),0)),"",SUMIFS(DATA_GOC!$H:$H,DATA_GOC!$A:$A,"BOM",DATA_GOC!$D:$D,$B55,DATA_GOC!$F:$F,"Xuất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5" s="222">
        <f>IF($B55="","",IF(AE$4&gt;DAY(EOMONTH(DATE($D$2,$B$2,1),0)),"",SUMIFS(DATA_GOC!$H:$H,DATA_GOC!$A:$A,"BOM",DATA_GOC!$D:$D,$B55,DATA_GOC!$F:$F,"Xuất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5" s="222">
        <f>IF($B55="","",IF(AF$4&gt;DAY(EOMONTH(DATE($D$2,$B$2,1),0)),"",SUMIFS(DATA_GOC!$H:$H,DATA_GOC!$A:$A,"BOM",DATA_GOC!$D:$D,$B55,DATA_GOC!$F:$F,"Xuất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5" s="222">
        <f>IF($B55="","",IF(AG$4&gt;DAY(EOMONTH(DATE($D$2,$B$2,1),0)),"",SUMIFS(DATA_GOC!$H:$H,DATA_GOC!$A:$A,"BOM",DATA_GOC!$D:$D,$B55,DATA_GOC!$F:$F,"Xuất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5" s="223">
        <f t="shared" si="2"/>
        <v>0</v>
      </c>
      <c r="AI55" s="224">
        <f>IF($B55="","",SUMIFS(DATA_GOC!$H:$H,DATA_GOC!$A:$A,"BOM",DATA_GOC!$D:$D,$B55,DATA_GOC!$F:$F,"Bơm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5" s="224">
        <f>IF($B55="","",SUMIFS(TINH_TEC!$K$233:$K$9232,TINH_TEC!$H$233:$H$9232,$B55,TINH_TEC!$F$233:$F$9232,$B$2,TINH_TEC!$G$233:$G$9232,$D$2,TINH_TEC!$B$233:$B$9232,"Đã chốt"))</f>
        <v>0</v>
      </c>
      <c r="AK55" s="224">
        <f>IF($B55="","",SUMIFS(TINH_TEC!$J$233:$J$9232,TINH_TEC!$H$233:$H$9232,$B55,TINH_TEC!$F$233:$F$9232,$B$2,TINH_TEC!$G$233:$G$9232,$D$2,TINH_TEC!$B$233:$B$9232,"Đã chốt"))</f>
        <v>0</v>
      </c>
      <c r="AL55" s="225">
        <f t="shared" si="3"/>
        <v>0</v>
      </c>
      <c r="AM55" s="222">
        <f>IF($B55="","",SUMIFS(DATA_GOC!$K:$K,DATA_GOC!$A:$A,"BOM",DATA_GOC!$D:$D,$B55,DATA_GOC!$G:$G,"DO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5" s="226" t="str">
        <f t="shared" si="4"/>
        <v/>
      </c>
      <c r="AO55" s="227" t="str">
        <f t="shared" si="5"/>
        <v/>
      </c>
      <c r="AP55" s="226" t="str">
        <f>IF($B55="","",IFERROR(AO55-(SUMIFS(DATA_GOC!$H:$H,DATA_GOC!$A:$A,"BOM",DATA_GOC!$D:$D,$B55,DATA_GOC!$F:$F,"Xuất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55" s="59">
        <v>2.0</v>
      </c>
      <c r="AR55" s="59">
        <v>2026.0</v>
      </c>
      <c r="AS55" s="59" t="s">
        <v>84</v>
      </c>
      <c r="AT55" s="59">
        <v>699.687923147034</v>
      </c>
      <c r="AU55" s="59">
        <v>192.0</v>
      </c>
      <c r="AV55" s="59">
        <v>891.687923147034</v>
      </c>
      <c r="AW55" s="59">
        <v>1613.0</v>
      </c>
      <c r="AX55" s="59">
        <v>55.2813343550548</v>
      </c>
      <c r="AY55" s="59">
        <v>362.077</v>
      </c>
      <c r="AZ55" s="59">
        <v>529.610923147034</v>
      </c>
      <c r="BA55" s="59">
        <v>12.077</v>
      </c>
      <c r="BB55" s="59">
        <v>0.0</v>
      </c>
      <c r="BC55" s="59" t="s">
        <v>410</v>
      </c>
    </row>
    <row r="56" ht="16.5" customHeight="1">
      <c r="A56" s="220">
        <f t="shared" si="1"/>
        <v>52</v>
      </c>
      <c r="B56" s="221" t="str">
        <f t="array" ref="B56">IFERROR(INDEX(DANH_MUC!$E:$E,ROW()-1),"")</f>
        <v>Xúclật asphalt</v>
      </c>
      <c r="C56" s="222">
        <f>IF($B56="","",IF(C$4&gt;DAY(EOMONTH(DATE($D$2,$B$2,1),0)),"",SUMIFS(DATA_GOC!$H:$H,DATA_GOC!$A:$A,"BOM",DATA_GOC!$D:$D,$B56,DATA_GOC!$F:$F,"Xuất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6" s="222">
        <f>IF($B56="","",IF(D$4&gt;DAY(EOMONTH(DATE($D$2,$B$2,1),0)),"",SUMIFS(DATA_GOC!$H:$H,DATA_GOC!$A:$A,"BOM",DATA_GOC!$D:$D,$B56,DATA_GOC!$F:$F,"Xuất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6" s="222">
        <f>IF($B56="","",IF(E$4&gt;DAY(EOMONTH(DATE($D$2,$B$2,1),0)),"",SUMIFS(DATA_GOC!$H:$H,DATA_GOC!$A:$A,"BOM",DATA_GOC!$D:$D,$B56,DATA_GOC!$F:$F,"Xuất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6" s="222">
        <f>IF($B56="","",IF(F$4&gt;DAY(EOMONTH(DATE($D$2,$B$2,1),0)),"",SUMIFS(DATA_GOC!$H:$H,DATA_GOC!$A:$A,"BOM",DATA_GOC!$D:$D,$B56,DATA_GOC!$F:$F,"Xuất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6" s="222">
        <f>IF($B56="","",IF(G$4&gt;DAY(EOMONTH(DATE($D$2,$B$2,1),0)),"",SUMIFS(DATA_GOC!$H:$H,DATA_GOC!$A:$A,"BOM",DATA_GOC!$D:$D,$B56,DATA_GOC!$F:$F,"Xuất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6" s="222">
        <f>IF($B56="","",IF(H$4&gt;DAY(EOMONTH(DATE($D$2,$B$2,1),0)),"",SUMIFS(DATA_GOC!$H:$H,DATA_GOC!$A:$A,"BOM",DATA_GOC!$D:$D,$B56,DATA_GOC!$F:$F,"Xuất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6" s="222">
        <f>IF($B56="","",IF(I$4&gt;DAY(EOMONTH(DATE($D$2,$B$2,1),0)),"",SUMIFS(DATA_GOC!$H:$H,DATA_GOC!$A:$A,"BOM",DATA_GOC!$D:$D,$B56,DATA_GOC!$F:$F,"Xuất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6" s="222">
        <f>IF($B56="","",IF(J$4&gt;DAY(EOMONTH(DATE($D$2,$B$2,1),0)),"",SUMIFS(DATA_GOC!$H:$H,DATA_GOC!$A:$A,"BOM",DATA_GOC!$D:$D,$B56,DATA_GOC!$F:$F,"Xuất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6" s="222">
        <f>IF($B56="","",IF(K$4&gt;DAY(EOMONTH(DATE($D$2,$B$2,1),0)),"",SUMIFS(DATA_GOC!$H:$H,DATA_GOC!$A:$A,"BOM",DATA_GOC!$D:$D,$B56,DATA_GOC!$F:$F,"Xuất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6" s="222">
        <f>IF($B56="","",IF(L$4&gt;DAY(EOMONTH(DATE($D$2,$B$2,1),0)),"",SUMIFS(DATA_GOC!$H:$H,DATA_GOC!$A:$A,"BOM",DATA_GOC!$D:$D,$B56,DATA_GOC!$F:$F,"Xuất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6" s="222">
        <f>IF($B56="","",IF(M$4&gt;DAY(EOMONTH(DATE($D$2,$B$2,1),0)),"",SUMIFS(DATA_GOC!$H:$H,DATA_GOC!$A:$A,"BOM",DATA_GOC!$D:$D,$B56,DATA_GOC!$F:$F,"Xuất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6" s="222">
        <f>IF($B56="","",IF(N$4&gt;DAY(EOMONTH(DATE($D$2,$B$2,1),0)),"",SUMIFS(DATA_GOC!$H:$H,DATA_GOC!$A:$A,"BOM",DATA_GOC!$D:$D,$B56,DATA_GOC!$F:$F,"Xuất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6" s="222">
        <f>IF($B56="","",IF(O$4&gt;DAY(EOMONTH(DATE($D$2,$B$2,1),0)),"",SUMIFS(DATA_GOC!$H:$H,DATA_GOC!$A:$A,"BOM",DATA_GOC!$D:$D,$B56,DATA_GOC!$F:$F,"Xuất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6" s="222">
        <f>IF($B56="","",IF(P$4&gt;DAY(EOMONTH(DATE($D$2,$B$2,1),0)),"",SUMIFS(DATA_GOC!$H:$H,DATA_GOC!$A:$A,"BOM",DATA_GOC!$D:$D,$B56,DATA_GOC!$F:$F,"Xuất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6" s="222">
        <f>IF($B56="","",IF(Q$4&gt;DAY(EOMONTH(DATE($D$2,$B$2,1),0)),"",SUMIFS(DATA_GOC!$H:$H,DATA_GOC!$A:$A,"BOM",DATA_GOC!$D:$D,$B56,DATA_GOC!$F:$F,"Xuất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6" s="222">
        <f>IF($B56="","",IF(R$4&gt;DAY(EOMONTH(DATE($D$2,$B$2,1),0)),"",SUMIFS(DATA_GOC!$H:$H,DATA_GOC!$A:$A,"BOM",DATA_GOC!$D:$D,$B56,DATA_GOC!$F:$F,"Xuất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6" s="222">
        <f>IF($B56="","",IF(S$4&gt;DAY(EOMONTH(DATE($D$2,$B$2,1),0)),"",SUMIFS(DATA_GOC!$H:$H,DATA_GOC!$A:$A,"BOM",DATA_GOC!$D:$D,$B56,DATA_GOC!$F:$F,"Xuất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6" s="222">
        <f>IF($B56="","",IF(T$4&gt;DAY(EOMONTH(DATE($D$2,$B$2,1),0)),"",SUMIFS(DATA_GOC!$H:$H,DATA_GOC!$A:$A,"BOM",DATA_GOC!$D:$D,$B56,DATA_GOC!$F:$F,"Xuất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6" s="222">
        <f>IF($B56="","",IF(U$4&gt;DAY(EOMONTH(DATE($D$2,$B$2,1),0)),"",SUMIFS(DATA_GOC!$H:$H,DATA_GOC!$A:$A,"BOM",DATA_GOC!$D:$D,$B56,DATA_GOC!$F:$F,"Xuất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6" s="222">
        <f>IF($B56="","",IF(V$4&gt;DAY(EOMONTH(DATE($D$2,$B$2,1),0)),"",SUMIFS(DATA_GOC!$H:$H,DATA_GOC!$A:$A,"BOM",DATA_GOC!$D:$D,$B56,DATA_GOC!$F:$F,"Xuất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6" s="222">
        <f>IF($B56="","",IF(W$4&gt;DAY(EOMONTH(DATE($D$2,$B$2,1),0)),"",SUMIFS(DATA_GOC!$H:$H,DATA_GOC!$A:$A,"BOM",DATA_GOC!$D:$D,$B56,DATA_GOC!$F:$F,"Xuất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6" s="222">
        <f>IF($B56="","",IF(X$4&gt;DAY(EOMONTH(DATE($D$2,$B$2,1),0)),"",SUMIFS(DATA_GOC!$H:$H,DATA_GOC!$A:$A,"BOM",DATA_GOC!$D:$D,$B56,DATA_GOC!$F:$F,"Xuất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6" s="222">
        <f>IF($B56="","",IF(Y$4&gt;DAY(EOMONTH(DATE($D$2,$B$2,1),0)),"",SUMIFS(DATA_GOC!$H:$H,DATA_GOC!$A:$A,"BOM",DATA_GOC!$D:$D,$B56,DATA_GOC!$F:$F,"Xuất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6" s="222">
        <f>IF($B56="","",IF(Z$4&gt;DAY(EOMONTH(DATE($D$2,$B$2,1),0)),"",SUMIFS(DATA_GOC!$H:$H,DATA_GOC!$A:$A,"BOM",DATA_GOC!$D:$D,$B56,DATA_GOC!$F:$F,"Xuất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6" s="222">
        <f>IF($B56="","",IF(AA$4&gt;DAY(EOMONTH(DATE($D$2,$B$2,1),0)),"",SUMIFS(DATA_GOC!$H:$H,DATA_GOC!$A:$A,"BOM",DATA_GOC!$D:$D,$B56,DATA_GOC!$F:$F,"Xuất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6" s="222">
        <f>IF($B56="","",IF(AB$4&gt;DAY(EOMONTH(DATE($D$2,$B$2,1),0)),"",SUMIFS(DATA_GOC!$H:$H,DATA_GOC!$A:$A,"BOM",DATA_GOC!$D:$D,$B56,DATA_GOC!$F:$F,"Xuất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6" s="222">
        <f>IF($B56="","",IF(AC$4&gt;DAY(EOMONTH(DATE($D$2,$B$2,1),0)),"",SUMIFS(DATA_GOC!$H:$H,DATA_GOC!$A:$A,"BOM",DATA_GOC!$D:$D,$B56,DATA_GOC!$F:$F,"Xuất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6" s="222">
        <f>IF($B56="","",IF(AD$4&gt;DAY(EOMONTH(DATE($D$2,$B$2,1),0)),"",SUMIFS(DATA_GOC!$H:$H,DATA_GOC!$A:$A,"BOM",DATA_GOC!$D:$D,$B56,DATA_GOC!$F:$F,"Xuất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6" s="222">
        <f>IF($B56="","",IF(AE$4&gt;DAY(EOMONTH(DATE($D$2,$B$2,1),0)),"",SUMIFS(DATA_GOC!$H:$H,DATA_GOC!$A:$A,"BOM",DATA_GOC!$D:$D,$B56,DATA_GOC!$F:$F,"Xuất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6" s="222">
        <f>IF($B56="","",IF(AF$4&gt;DAY(EOMONTH(DATE($D$2,$B$2,1),0)),"",SUMIFS(DATA_GOC!$H:$H,DATA_GOC!$A:$A,"BOM",DATA_GOC!$D:$D,$B56,DATA_GOC!$F:$F,"Xuất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6" s="222">
        <f>IF($B56="","",IF(AG$4&gt;DAY(EOMONTH(DATE($D$2,$B$2,1),0)),"",SUMIFS(DATA_GOC!$H:$H,DATA_GOC!$A:$A,"BOM",DATA_GOC!$D:$D,$B56,DATA_GOC!$F:$F,"Xuất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6" s="223">
        <f t="shared" si="2"/>
        <v>0</v>
      </c>
      <c r="AI56" s="224">
        <f>IF($B56="","",SUMIFS(DATA_GOC!$H:$H,DATA_GOC!$A:$A,"BOM",DATA_GOC!$D:$D,$B56,DATA_GOC!$F:$F,"Bơm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6" s="224">
        <f>IF($B56="","",SUMIFS(TINH_TEC!$K$233:$K$9232,TINH_TEC!$H$233:$H$9232,$B56,TINH_TEC!$F$233:$F$9232,$B$2,TINH_TEC!$G$233:$G$9232,$D$2,TINH_TEC!$B$233:$B$9232,"Đã chốt"))</f>
        <v>0</v>
      </c>
      <c r="AK56" s="224">
        <f>IF($B56="","",SUMIFS(TINH_TEC!$J$233:$J$9232,TINH_TEC!$H$233:$H$9232,$B56,TINH_TEC!$F$233:$F$9232,$B$2,TINH_TEC!$G$233:$G$9232,$D$2,TINH_TEC!$B$233:$B$9232,"Đã chốt"))</f>
        <v>0</v>
      </c>
      <c r="AL56" s="225">
        <f t="shared" si="3"/>
        <v>0</v>
      </c>
      <c r="AM56" s="222">
        <f>IF($B56="","",SUMIFS(DATA_GOC!$K:$K,DATA_GOC!$A:$A,"BOM",DATA_GOC!$D:$D,$B56,DATA_GOC!$G:$G,"DO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6" s="226" t="str">
        <f t="shared" si="4"/>
        <v/>
      </c>
      <c r="AO56" s="227" t="str">
        <f t="shared" si="5"/>
        <v/>
      </c>
      <c r="AP56" s="226" t="str">
        <f>IF($B56="","",IFERROR(AO56-(SUMIFS(DATA_GOC!$H:$H,DATA_GOC!$A:$A,"BOM",DATA_GOC!$D:$D,$B56,DATA_GOC!$F:$F,"Xuất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56" s="59">
        <v>2.0</v>
      </c>
      <c r="AR56" s="59">
        <v>2026.0</v>
      </c>
      <c r="AS56" s="59" t="s">
        <v>334</v>
      </c>
      <c r="AT56" s="59">
        <v>710.362667439493</v>
      </c>
      <c r="AU56" s="59">
        <v>360.0</v>
      </c>
      <c r="AV56" s="59">
        <v>1070.36266743949</v>
      </c>
      <c r="AW56" s="59">
        <v>1597.0</v>
      </c>
      <c r="AX56" s="59">
        <v>67.0233354689726</v>
      </c>
      <c r="AY56" s="59">
        <v>298.972</v>
      </c>
      <c r="AZ56" s="59">
        <v>771.390667439493</v>
      </c>
      <c r="BA56" s="59">
        <v>9.972</v>
      </c>
      <c r="BB56" s="59">
        <v>0.0</v>
      </c>
      <c r="BC56" s="59" t="s">
        <v>411</v>
      </c>
    </row>
    <row r="57" ht="16.5" customHeight="1">
      <c r="A57" s="220">
        <f t="shared" si="1"/>
        <v>53</v>
      </c>
      <c r="B57" s="221" t="str">
        <f t="array" ref="B57">IFERROR(INDEX(DANH_MUC!$E:$E,ROW()-1),"")</f>
        <v>Xúclật855H</v>
      </c>
      <c r="C57" s="222">
        <f>IF($B57="","",IF(C$4&gt;DAY(EOMONTH(DATE($D$2,$B$2,1),0)),"",SUMIFS(DATA_GOC!$H:$H,DATA_GOC!$A:$A,"BOM",DATA_GOC!$D:$D,$B57,DATA_GOC!$F:$F,"Xuất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7" s="222">
        <f>IF($B57="","",IF(D$4&gt;DAY(EOMONTH(DATE($D$2,$B$2,1),0)),"",SUMIFS(DATA_GOC!$H:$H,DATA_GOC!$A:$A,"BOM",DATA_GOC!$D:$D,$B57,DATA_GOC!$F:$F,"Xuất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7" s="222">
        <f>IF($B57="","",IF(E$4&gt;DAY(EOMONTH(DATE($D$2,$B$2,1),0)),"",SUMIFS(DATA_GOC!$H:$H,DATA_GOC!$A:$A,"BOM",DATA_GOC!$D:$D,$B57,DATA_GOC!$F:$F,"Xuất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7" s="222">
        <f>IF($B57="","",IF(F$4&gt;DAY(EOMONTH(DATE($D$2,$B$2,1),0)),"",SUMIFS(DATA_GOC!$H:$H,DATA_GOC!$A:$A,"BOM",DATA_GOC!$D:$D,$B57,DATA_GOC!$F:$F,"Xuất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7" s="222">
        <f>IF($B57="","",IF(G$4&gt;DAY(EOMONTH(DATE($D$2,$B$2,1),0)),"",SUMIFS(DATA_GOC!$H:$H,DATA_GOC!$A:$A,"BOM",DATA_GOC!$D:$D,$B57,DATA_GOC!$F:$F,"Xuất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7" s="222">
        <f>IF($B57="","",IF(H$4&gt;DAY(EOMONTH(DATE($D$2,$B$2,1),0)),"",SUMIFS(DATA_GOC!$H:$H,DATA_GOC!$A:$A,"BOM",DATA_GOC!$D:$D,$B57,DATA_GOC!$F:$F,"Xuất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7" s="222">
        <f>IF($B57="","",IF(I$4&gt;DAY(EOMONTH(DATE($D$2,$B$2,1),0)),"",SUMIFS(DATA_GOC!$H:$H,DATA_GOC!$A:$A,"BOM",DATA_GOC!$D:$D,$B57,DATA_GOC!$F:$F,"Xuất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7" s="222">
        <f>IF($B57="","",IF(J$4&gt;DAY(EOMONTH(DATE($D$2,$B$2,1),0)),"",SUMIFS(DATA_GOC!$H:$H,DATA_GOC!$A:$A,"BOM",DATA_GOC!$D:$D,$B57,DATA_GOC!$F:$F,"Xuất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7" s="222">
        <f>IF($B57="","",IF(K$4&gt;DAY(EOMONTH(DATE($D$2,$B$2,1),0)),"",SUMIFS(DATA_GOC!$H:$H,DATA_GOC!$A:$A,"BOM",DATA_GOC!$D:$D,$B57,DATA_GOC!$F:$F,"Xuất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7" s="222">
        <f>IF($B57="","",IF(L$4&gt;DAY(EOMONTH(DATE($D$2,$B$2,1),0)),"",SUMIFS(DATA_GOC!$H:$H,DATA_GOC!$A:$A,"BOM",DATA_GOC!$D:$D,$B57,DATA_GOC!$F:$F,"Xuất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7" s="222">
        <f>IF($B57="","",IF(M$4&gt;DAY(EOMONTH(DATE($D$2,$B$2,1),0)),"",SUMIFS(DATA_GOC!$H:$H,DATA_GOC!$A:$A,"BOM",DATA_GOC!$D:$D,$B57,DATA_GOC!$F:$F,"Xuất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7" s="222">
        <f>IF($B57="","",IF(N$4&gt;DAY(EOMONTH(DATE($D$2,$B$2,1),0)),"",SUMIFS(DATA_GOC!$H:$H,DATA_GOC!$A:$A,"BOM",DATA_GOC!$D:$D,$B57,DATA_GOC!$F:$F,"Xuất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7" s="222">
        <f>IF($B57="","",IF(O$4&gt;DAY(EOMONTH(DATE($D$2,$B$2,1),0)),"",SUMIFS(DATA_GOC!$H:$H,DATA_GOC!$A:$A,"BOM",DATA_GOC!$D:$D,$B57,DATA_GOC!$F:$F,"Xuất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7" s="222">
        <f>IF($B57="","",IF(P$4&gt;DAY(EOMONTH(DATE($D$2,$B$2,1),0)),"",SUMIFS(DATA_GOC!$H:$H,DATA_GOC!$A:$A,"BOM",DATA_GOC!$D:$D,$B57,DATA_GOC!$F:$F,"Xuất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7" s="222">
        <f>IF($B57="","",IF(Q$4&gt;DAY(EOMONTH(DATE($D$2,$B$2,1),0)),"",SUMIFS(DATA_GOC!$H:$H,DATA_GOC!$A:$A,"BOM",DATA_GOC!$D:$D,$B57,DATA_GOC!$F:$F,"Xuất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7" s="222">
        <f>IF($B57="","",IF(R$4&gt;DAY(EOMONTH(DATE($D$2,$B$2,1),0)),"",SUMIFS(DATA_GOC!$H:$H,DATA_GOC!$A:$A,"BOM",DATA_GOC!$D:$D,$B57,DATA_GOC!$F:$F,"Xuất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7" s="222">
        <f>IF($B57="","",IF(S$4&gt;DAY(EOMONTH(DATE($D$2,$B$2,1),0)),"",SUMIFS(DATA_GOC!$H:$H,DATA_GOC!$A:$A,"BOM",DATA_GOC!$D:$D,$B57,DATA_GOC!$F:$F,"Xuất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7" s="222">
        <f>IF($B57="","",IF(T$4&gt;DAY(EOMONTH(DATE($D$2,$B$2,1),0)),"",SUMIFS(DATA_GOC!$H:$H,DATA_GOC!$A:$A,"BOM",DATA_GOC!$D:$D,$B57,DATA_GOC!$F:$F,"Xuất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7" s="222">
        <f>IF($B57="","",IF(U$4&gt;DAY(EOMONTH(DATE($D$2,$B$2,1),0)),"",SUMIFS(DATA_GOC!$H:$H,DATA_GOC!$A:$A,"BOM",DATA_GOC!$D:$D,$B57,DATA_GOC!$F:$F,"Xuất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7" s="222">
        <f>IF($B57="","",IF(V$4&gt;DAY(EOMONTH(DATE($D$2,$B$2,1),0)),"",SUMIFS(DATA_GOC!$H:$H,DATA_GOC!$A:$A,"BOM",DATA_GOC!$D:$D,$B57,DATA_GOC!$F:$F,"Xuất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7" s="222">
        <f>IF($B57="","",IF(W$4&gt;DAY(EOMONTH(DATE($D$2,$B$2,1),0)),"",SUMIFS(DATA_GOC!$H:$H,DATA_GOC!$A:$A,"BOM",DATA_GOC!$D:$D,$B57,DATA_GOC!$F:$F,"Xuất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7" s="222">
        <f>IF($B57="","",IF(X$4&gt;DAY(EOMONTH(DATE($D$2,$B$2,1),0)),"",SUMIFS(DATA_GOC!$H:$H,DATA_GOC!$A:$A,"BOM",DATA_GOC!$D:$D,$B57,DATA_GOC!$F:$F,"Xuất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7" s="222">
        <f>IF($B57="","",IF(Y$4&gt;DAY(EOMONTH(DATE($D$2,$B$2,1),0)),"",SUMIFS(DATA_GOC!$H:$H,DATA_GOC!$A:$A,"BOM",DATA_GOC!$D:$D,$B57,DATA_GOC!$F:$F,"Xuất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7" s="222">
        <f>IF($B57="","",IF(Z$4&gt;DAY(EOMONTH(DATE($D$2,$B$2,1),0)),"",SUMIFS(DATA_GOC!$H:$H,DATA_GOC!$A:$A,"BOM",DATA_GOC!$D:$D,$B57,DATA_GOC!$F:$F,"Xuất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7" s="222">
        <f>IF($B57="","",IF(AA$4&gt;DAY(EOMONTH(DATE($D$2,$B$2,1),0)),"",SUMIFS(DATA_GOC!$H:$H,DATA_GOC!$A:$A,"BOM",DATA_GOC!$D:$D,$B57,DATA_GOC!$F:$F,"Xuất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7" s="222">
        <f>IF($B57="","",IF(AB$4&gt;DAY(EOMONTH(DATE($D$2,$B$2,1),0)),"",SUMIFS(DATA_GOC!$H:$H,DATA_GOC!$A:$A,"BOM",DATA_GOC!$D:$D,$B57,DATA_GOC!$F:$F,"Xuất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7" s="222">
        <f>IF($B57="","",IF(AC$4&gt;DAY(EOMONTH(DATE($D$2,$B$2,1),0)),"",SUMIFS(DATA_GOC!$H:$H,DATA_GOC!$A:$A,"BOM",DATA_GOC!$D:$D,$B57,DATA_GOC!$F:$F,"Xuất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7" s="222">
        <f>IF($B57="","",IF(AD$4&gt;DAY(EOMONTH(DATE($D$2,$B$2,1),0)),"",SUMIFS(DATA_GOC!$H:$H,DATA_GOC!$A:$A,"BOM",DATA_GOC!$D:$D,$B57,DATA_GOC!$F:$F,"Xuất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7" s="222">
        <f>IF($B57="","",IF(AE$4&gt;DAY(EOMONTH(DATE($D$2,$B$2,1),0)),"",SUMIFS(DATA_GOC!$H:$H,DATA_GOC!$A:$A,"BOM",DATA_GOC!$D:$D,$B57,DATA_GOC!$F:$F,"Xuất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7" s="222">
        <f>IF($B57="","",IF(AF$4&gt;DAY(EOMONTH(DATE($D$2,$B$2,1),0)),"",SUMIFS(DATA_GOC!$H:$H,DATA_GOC!$A:$A,"BOM",DATA_GOC!$D:$D,$B57,DATA_GOC!$F:$F,"Xuất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7" s="222">
        <f>IF($B57="","",IF(AG$4&gt;DAY(EOMONTH(DATE($D$2,$B$2,1),0)),"",SUMIFS(DATA_GOC!$H:$H,DATA_GOC!$A:$A,"BOM",DATA_GOC!$D:$D,$B57,DATA_GOC!$F:$F,"Xuất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7" s="223">
        <f t="shared" si="2"/>
        <v>0</v>
      </c>
      <c r="AI57" s="224">
        <f>IF($B57="","",SUMIFS(DATA_GOC!$H:$H,DATA_GOC!$A:$A,"BOM",DATA_GOC!$D:$D,$B57,DATA_GOC!$F:$F,"Bơm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7" s="224">
        <f>IF($B57="","",SUMIFS(TINH_TEC!$K$233:$K$9232,TINH_TEC!$H$233:$H$9232,$B57,TINH_TEC!$F$233:$F$9232,$B$2,TINH_TEC!$G$233:$G$9232,$D$2,TINH_TEC!$B$233:$B$9232,"Đã chốt"))</f>
        <v>0</v>
      </c>
      <c r="AK57" s="224">
        <f>IF($B57="","",SUMIFS(TINH_TEC!$J$233:$J$9232,TINH_TEC!$H$233:$H$9232,$B57,TINH_TEC!$F$233:$F$9232,$B$2,TINH_TEC!$G$233:$G$9232,$D$2,TINH_TEC!$B$233:$B$9232,"Đã chốt"))</f>
        <v>29.005</v>
      </c>
      <c r="AL57" s="225">
        <f t="shared" si="3"/>
        <v>29.005</v>
      </c>
      <c r="AM57" s="222">
        <f>IF($B57="","",SUMIFS(DATA_GOC!$K:$K,DATA_GOC!$A:$A,"BOM",DATA_GOC!$D:$D,$B57,DATA_GOC!$G:$G,"DO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7" s="226" t="str">
        <f t="shared" si="4"/>
        <v/>
      </c>
      <c r="AO57" s="227" t="str">
        <f t="shared" si="5"/>
        <v/>
      </c>
      <c r="AP57" s="226">
        <f>IF($B57="","",IFERROR(AO57-(SUMIFS(DATA_GOC!$H:$H,DATA_GOC!$A:$A,"BOM",DATA_GOC!$D:$D,$B57,DATA_GOC!$F:$F,"Xuất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-11.14925373</v>
      </c>
      <c r="AQ57" s="59">
        <v>2.0</v>
      </c>
      <c r="AR57" s="59">
        <v>2026.0</v>
      </c>
      <c r="AS57" s="59" t="s">
        <v>119</v>
      </c>
      <c r="AT57" s="59">
        <v>2494.53319755809</v>
      </c>
      <c r="AU57" s="59">
        <v>170.0</v>
      </c>
      <c r="AV57" s="59">
        <v>2664.53319755809</v>
      </c>
      <c r="AW57" s="59">
        <v>6284.0</v>
      </c>
      <c r="AX57" s="59">
        <v>42.4018650152466</v>
      </c>
      <c r="AY57" s="59">
        <v>360.008</v>
      </c>
      <c r="AZ57" s="59">
        <v>2304.52519755809</v>
      </c>
      <c r="BA57" s="59">
        <v>12.008</v>
      </c>
      <c r="BB57" s="59">
        <v>0.0</v>
      </c>
      <c r="BC57" s="59" t="s">
        <v>412</v>
      </c>
    </row>
    <row r="58" ht="16.5" customHeight="1">
      <c r="A58" s="220">
        <f t="shared" si="1"/>
        <v>54</v>
      </c>
      <c r="B58" s="221" t="str">
        <f t="array" ref="B58">IFERROR(INDEX(DANH_MUC!$E:$E,ROW()-1),"")</f>
        <v>Xúclật855N</v>
      </c>
      <c r="C58" s="222">
        <f>IF($B58="","",IF(C$4&gt;DAY(EOMONTH(DATE($D$2,$B$2,1),0)),"",SUMIFS(DATA_GOC!$H:$H,DATA_GOC!$A:$A,"BOM",DATA_GOC!$D:$D,$B58,DATA_GOC!$F:$F,"Xuất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8" s="222">
        <f>IF($B58="","",IF(D$4&gt;DAY(EOMONTH(DATE($D$2,$B$2,1),0)),"",SUMIFS(DATA_GOC!$H:$H,DATA_GOC!$A:$A,"BOM",DATA_GOC!$D:$D,$B58,DATA_GOC!$F:$F,"Xuất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8" s="222">
        <f>IF($B58="","",IF(E$4&gt;DAY(EOMONTH(DATE($D$2,$B$2,1),0)),"",SUMIFS(DATA_GOC!$H:$H,DATA_GOC!$A:$A,"BOM",DATA_GOC!$D:$D,$B58,DATA_GOC!$F:$F,"Xuất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8" s="222">
        <f>IF($B58="","",IF(F$4&gt;DAY(EOMONTH(DATE($D$2,$B$2,1),0)),"",SUMIFS(DATA_GOC!$H:$H,DATA_GOC!$A:$A,"BOM",DATA_GOC!$D:$D,$B58,DATA_GOC!$F:$F,"Xuất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155</v>
      </c>
      <c r="G58" s="222">
        <f>IF($B58="","",IF(G$4&gt;DAY(EOMONTH(DATE($D$2,$B$2,1),0)),"",SUMIFS(DATA_GOC!$H:$H,DATA_GOC!$A:$A,"BOM",DATA_GOC!$D:$D,$B58,DATA_GOC!$F:$F,"Xuất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8" s="222">
        <f>IF($B58="","",IF(H$4&gt;DAY(EOMONTH(DATE($D$2,$B$2,1),0)),"",SUMIFS(DATA_GOC!$H:$H,DATA_GOC!$A:$A,"BOM",DATA_GOC!$D:$D,$B58,DATA_GOC!$F:$F,"Xuất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8" s="222">
        <f>IF($B58="","",IF(I$4&gt;DAY(EOMONTH(DATE($D$2,$B$2,1),0)),"",SUMIFS(DATA_GOC!$H:$H,DATA_GOC!$A:$A,"BOM",DATA_GOC!$D:$D,$B58,DATA_GOC!$F:$F,"Xuất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8" s="222">
        <f>IF($B58="","",IF(J$4&gt;DAY(EOMONTH(DATE($D$2,$B$2,1),0)),"",SUMIFS(DATA_GOC!$H:$H,DATA_GOC!$A:$A,"BOM",DATA_GOC!$D:$D,$B58,DATA_GOC!$F:$F,"Xuất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8" s="222">
        <f>IF($B58="","",IF(K$4&gt;DAY(EOMONTH(DATE($D$2,$B$2,1),0)),"",SUMIFS(DATA_GOC!$H:$H,DATA_GOC!$A:$A,"BOM",DATA_GOC!$D:$D,$B58,DATA_GOC!$F:$F,"Xuất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8" s="222">
        <f>IF($B58="","",IF(L$4&gt;DAY(EOMONTH(DATE($D$2,$B$2,1),0)),"",SUMIFS(DATA_GOC!$H:$H,DATA_GOC!$A:$A,"BOM",DATA_GOC!$D:$D,$B58,DATA_GOC!$F:$F,"Xuất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8" s="222">
        <f>IF($B58="","",IF(M$4&gt;DAY(EOMONTH(DATE($D$2,$B$2,1),0)),"",SUMIFS(DATA_GOC!$H:$H,DATA_GOC!$A:$A,"BOM",DATA_GOC!$D:$D,$B58,DATA_GOC!$F:$F,"Xuất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8" s="222">
        <f>IF($B58="","",IF(N$4&gt;DAY(EOMONTH(DATE($D$2,$B$2,1),0)),"",SUMIFS(DATA_GOC!$H:$H,DATA_GOC!$A:$A,"BOM",DATA_GOC!$D:$D,$B58,DATA_GOC!$F:$F,"Xuất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8" s="222">
        <f>IF($B58="","",IF(O$4&gt;DAY(EOMONTH(DATE($D$2,$B$2,1),0)),"",SUMIFS(DATA_GOC!$H:$H,DATA_GOC!$A:$A,"BOM",DATA_GOC!$D:$D,$B58,DATA_GOC!$F:$F,"Xuất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8" s="222">
        <f>IF($B58="","",IF(P$4&gt;DAY(EOMONTH(DATE($D$2,$B$2,1),0)),"",SUMIFS(DATA_GOC!$H:$H,DATA_GOC!$A:$A,"BOM",DATA_GOC!$D:$D,$B58,DATA_GOC!$F:$F,"Xuất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8" s="222">
        <f>IF($B58="","",IF(Q$4&gt;DAY(EOMONTH(DATE($D$2,$B$2,1),0)),"",SUMIFS(DATA_GOC!$H:$H,DATA_GOC!$A:$A,"BOM",DATA_GOC!$D:$D,$B58,DATA_GOC!$F:$F,"Xuất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8" s="222">
        <f>IF($B58="","",IF(R$4&gt;DAY(EOMONTH(DATE($D$2,$B$2,1),0)),"",SUMIFS(DATA_GOC!$H:$H,DATA_GOC!$A:$A,"BOM",DATA_GOC!$D:$D,$B58,DATA_GOC!$F:$F,"Xuất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8" s="222">
        <f>IF($B58="","",IF(S$4&gt;DAY(EOMONTH(DATE($D$2,$B$2,1),0)),"",SUMIFS(DATA_GOC!$H:$H,DATA_GOC!$A:$A,"BOM",DATA_GOC!$D:$D,$B58,DATA_GOC!$F:$F,"Xuất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8" s="222">
        <f>IF($B58="","",IF(T$4&gt;DAY(EOMONTH(DATE($D$2,$B$2,1),0)),"",SUMIFS(DATA_GOC!$H:$H,DATA_GOC!$A:$A,"BOM",DATA_GOC!$D:$D,$B58,DATA_GOC!$F:$F,"Xuất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8" s="222">
        <f>IF($B58="","",IF(U$4&gt;DAY(EOMONTH(DATE($D$2,$B$2,1),0)),"",SUMIFS(DATA_GOC!$H:$H,DATA_GOC!$A:$A,"BOM",DATA_GOC!$D:$D,$B58,DATA_GOC!$F:$F,"Xuất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8" s="222">
        <f>IF($B58="","",IF(V$4&gt;DAY(EOMONTH(DATE($D$2,$B$2,1),0)),"",SUMIFS(DATA_GOC!$H:$H,DATA_GOC!$A:$A,"BOM",DATA_GOC!$D:$D,$B58,DATA_GOC!$F:$F,"Xuất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8" s="222">
        <f>IF($B58="","",IF(W$4&gt;DAY(EOMONTH(DATE($D$2,$B$2,1),0)),"",SUMIFS(DATA_GOC!$H:$H,DATA_GOC!$A:$A,"BOM",DATA_GOC!$D:$D,$B58,DATA_GOC!$F:$F,"Xuất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8" s="222">
        <f>IF($B58="","",IF(X$4&gt;DAY(EOMONTH(DATE($D$2,$B$2,1),0)),"",SUMIFS(DATA_GOC!$H:$H,DATA_GOC!$A:$A,"BOM",DATA_GOC!$D:$D,$B58,DATA_GOC!$F:$F,"Xuất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8" s="222">
        <f>IF($B58="","",IF(Y$4&gt;DAY(EOMONTH(DATE($D$2,$B$2,1),0)),"",SUMIFS(DATA_GOC!$H:$H,DATA_GOC!$A:$A,"BOM",DATA_GOC!$D:$D,$B58,DATA_GOC!$F:$F,"Xuất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8" s="222">
        <f>IF($B58="","",IF(Z$4&gt;DAY(EOMONTH(DATE($D$2,$B$2,1),0)),"",SUMIFS(DATA_GOC!$H:$H,DATA_GOC!$A:$A,"BOM",DATA_GOC!$D:$D,$B58,DATA_GOC!$F:$F,"Xuất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8" s="222">
        <f>IF($B58="","",IF(AA$4&gt;DAY(EOMONTH(DATE($D$2,$B$2,1),0)),"",SUMIFS(DATA_GOC!$H:$H,DATA_GOC!$A:$A,"BOM",DATA_GOC!$D:$D,$B58,DATA_GOC!$F:$F,"Xuất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8" s="222">
        <f>IF($B58="","",IF(AB$4&gt;DAY(EOMONTH(DATE($D$2,$B$2,1),0)),"",SUMIFS(DATA_GOC!$H:$H,DATA_GOC!$A:$A,"BOM",DATA_GOC!$D:$D,$B58,DATA_GOC!$F:$F,"Xuất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8" s="222">
        <f>IF($B58="","",IF(AC$4&gt;DAY(EOMONTH(DATE($D$2,$B$2,1),0)),"",SUMIFS(DATA_GOC!$H:$H,DATA_GOC!$A:$A,"BOM",DATA_GOC!$D:$D,$B58,DATA_GOC!$F:$F,"Xuất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8" s="222">
        <f>IF($B58="","",IF(AD$4&gt;DAY(EOMONTH(DATE($D$2,$B$2,1),0)),"",SUMIFS(DATA_GOC!$H:$H,DATA_GOC!$A:$A,"BOM",DATA_GOC!$D:$D,$B58,DATA_GOC!$F:$F,"Xuất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8" s="222">
        <f>IF($B58="","",IF(AE$4&gt;DAY(EOMONTH(DATE($D$2,$B$2,1),0)),"",SUMIFS(DATA_GOC!$H:$H,DATA_GOC!$A:$A,"BOM",DATA_GOC!$D:$D,$B58,DATA_GOC!$F:$F,"Xuất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8" s="222">
        <f>IF($B58="","",IF(AF$4&gt;DAY(EOMONTH(DATE($D$2,$B$2,1),0)),"",SUMIFS(DATA_GOC!$H:$H,DATA_GOC!$A:$A,"BOM",DATA_GOC!$D:$D,$B58,DATA_GOC!$F:$F,"Xuất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8" s="222">
        <f>IF($B58="","",IF(AG$4&gt;DAY(EOMONTH(DATE($D$2,$B$2,1),0)),"",SUMIFS(DATA_GOC!$H:$H,DATA_GOC!$A:$A,"BOM",DATA_GOC!$D:$D,$B58,DATA_GOC!$F:$F,"Xuất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8" s="223">
        <f t="shared" si="2"/>
        <v>155</v>
      </c>
      <c r="AI58" s="224">
        <f>IF($B58="","",SUMIFS(DATA_GOC!$H:$H,DATA_GOC!$A:$A,"BOM",DATA_GOC!$D:$D,$B58,DATA_GOC!$F:$F,"Bơm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8" s="224">
        <f>IF($B58="","",SUMIFS(TINH_TEC!$K$233:$K$9232,TINH_TEC!$H$233:$H$9232,$B58,TINH_TEC!$F$233:$F$9232,$B$2,TINH_TEC!$G$233:$G$9232,$D$2,TINH_TEC!$B$233:$B$9232,"Đã chốt"))</f>
        <v>0</v>
      </c>
      <c r="AK58" s="224">
        <f>IF($B58="","",SUMIFS(TINH_TEC!$J$233:$J$9232,TINH_TEC!$H$233:$H$9232,$B58,TINH_TEC!$F$233:$F$9232,$B$2,TINH_TEC!$G$233:$G$9232,$D$2,TINH_TEC!$B$233:$B$9232,"Đã chốt"))</f>
        <v>26.151</v>
      </c>
      <c r="AL58" s="225">
        <f t="shared" si="3"/>
        <v>181.151</v>
      </c>
      <c r="AM58" s="222">
        <f>IF($B58="","",SUMIFS(DATA_GOC!$K:$K,DATA_GOC!$A:$A,"BOM",DATA_GOC!$D:$D,$B58,DATA_GOC!$G:$G,"DO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13</v>
      </c>
      <c r="AN58" s="226">
        <f t="shared" si="4"/>
        <v>1393.469231</v>
      </c>
      <c r="AO58" s="227">
        <f t="shared" si="5"/>
        <v>13.93469231</v>
      </c>
      <c r="AP58" s="226">
        <f>IF($B58="","",IFERROR(AO58-(SUMIFS(DATA_GOC!$H:$H,DATA_GOC!$A:$A,"BOM",DATA_GOC!$D:$D,$B58,DATA_GOC!$F:$F,"Xuất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1.978170569</v>
      </c>
      <c r="AQ58" s="59">
        <v>2.0</v>
      </c>
      <c r="AR58" s="59">
        <v>2026.0</v>
      </c>
      <c r="AS58" s="59" t="s">
        <v>100</v>
      </c>
      <c r="AT58" s="59">
        <v>1483.01090650652</v>
      </c>
      <c r="AU58" s="59">
        <v>0.0</v>
      </c>
      <c r="AV58" s="59">
        <v>1483.01090650652</v>
      </c>
      <c r="AW58" s="59">
        <v>3408.0</v>
      </c>
      <c r="AX58" s="59">
        <v>43.5155782425621</v>
      </c>
      <c r="AY58" s="59">
        <v>461.39</v>
      </c>
      <c r="AZ58" s="59">
        <v>1021.62090650652</v>
      </c>
      <c r="BA58" s="59">
        <v>15.39</v>
      </c>
      <c r="BB58" s="59">
        <v>0.0</v>
      </c>
      <c r="BC58" s="59" t="s">
        <v>413</v>
      </c>
    </row>
    <row r="59" ht="16.5" customHeight="1">
      <c r="A59" s="220">
        <f t="shared" si="1"/>
        <v>55</v>
      </c>
      <c r="B59" s="221" t="str">
        <f t="array" ref="B59">IFERROR(INDEX(DANH_MUC!$E:$E,ROW()-1),"")</f>
        <v>Cát nghiền</v>
      </c>
      <c r="C59" s="222">
        <f>IF($B59="","",IF(C$4&gt;DAY(EOMONTH(DATE($D$2,$B$2,1),0)),"",SUMIFS(DATA_GOC!$H:$H,DATA_GOC!$A:$A,"BOM",DATA_GOC!$D:$D,$B59,DATA_GOC!$F:$F,"Xuất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59" s="222">
        <f>IF($B59="","",IF(D$4&gt;DAY(EOMONTH(DATE($D$2,$B$2,1),0)),"",SUMIFS(DATA_GOC!$H:$H,DATA_GOC!$A:$A,"BOM",DATA_GOC!$D:$D,$B59,DATA_GOC!$F:$F,"Xuất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59" s="222">
        <f>IF($B59="","",IF(E$4&gt;DAY(EOMONTH(DATE($D$2,$B$2,1),0)),"",SUMIFS(DATA_GOC!$H:$H,DATA_GOC!$A:$A,"BOM",DATA_GOC!$D:$D,$B59,DATA_GOC!$F:$F,"Xuất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59" s="222">
        <f>IF($B59="","",IF(F$4&gt;DAY(EOMONTH(DATE($D$2,$B$2,1),0)),"",SUMIFS(DATA_GOC!$H:$H,DATA_GOC!$A:$A,"BOM",DATA_GOC!$D:$D,$B59,DATA_GOC!$F:$F,"Xuất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59" s="222">
        <f>IF($B59="","",IF(G$4&gt;DAY(EOMONTH(DATE($D$2,$B$2,1),0)),"",SUMIFS(DATA_GOC!$H:$H,DATA_GOC!$A:$A,"BOM",DATA_GOC!$D:$D,$B59,DATA_GOC!$F:$F,"Xuất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59" s="222">
        <f>IF($B59="","",IF(H$4&gt;DAY(EOMONTH(DATE($D$2,$B$2,1),0)),"",SUMIFS(DATA_GOC!$H:$H,DATA_GOC!$A:$A,"BOM",DATA_GOC!$D:$D,$B59,DATA_GOC!$F:$F,"Xuất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59" s="222">
        <f>IF($B59="","",IF(I$4&gt;DAY(EOMONTH(DATE($D$2,$B$2,1),0)),"",SUMIFS(DATA_GOC!$H:$H,DATA_GOC!$A:$A,"BOM",DATA_GOC!$D:$D,$B59,DATA_GOC!$F:$F,"Xuất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59" s="222">
        <f>IF($B59="","",IF(J$4&gt;DAY(EOMONTH(DATE($D$2,$B$2,1),0)),"",SUMIFS(DATA_GOC!$H:$H,DATA_GOC!$A:$A,"BOM",DATA_GOC!$D:$D,$B59,DATA_GOC!$F:$F,"Xuất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59" s="222">
        <f>IF($B59="","",IF(K$4&gt;DAY(EOMONTH(DATE($D$2,$B$2,1),0)),"",SUMIFS(DATA_GOC!$H:$H,DATA_GOC!$A:$A,"BOM",DATA_GOC!$D:$D,$B59,DATA_GOC!$F:$F,"Xuất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59" s="222">
        <f>IF($B59="","",IF(L$4&gt;DAY(EOMONTH(DATE($D$2,$B$2,1),0)),"",SUMIFS(DATA_GOC!$H:$H,DATA_GOC!$A:$A,"BOM",DATA_GOC!$D:$D,$B59,DATA_GOC!$F:$F,"Xuất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59" s="222">
        <f>IF($B59="","",IF(M$4&gt;DAY(EOMONTH(DATE($D$2,$B$2,1),0)),"",SUMIFS(DATA_GOC!$H:$H,DATA_GOC!$A:$A,"BOM",DATA_GOC!$D:$D,$B59,DATA_GOC!$F:$F,"Xuất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59" s="222">
        <f>IF($B59="","",IF(N$4&gt;DAY(EOMONTH(DATE($D$2,$B$2,1),0)),"",SUMIFS(DATA_GOC!$H:$H,DATA_GOC!$A:$A,"BOM",DATA_GOC!$D:$D,$B59,DATA_GOC!$F:$F,"Xuất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59" s="222">
        <f>IF($B59="","",IF(O$4&gt;DAY(EOMONTH(DATE($D$2,$B$2,1),0)),"",SUMIFS(DATA_GOC!$H:$H,DATA_GOC!$A:$A,"BOM",DATA_GOC!$D:$D,$B59,DATA_GOC!$F:$F,"Xuất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59" s="222">
        <f>IF($B59="","",IF(P$4&gt;DAY(EOMONTH(DATE($D$2,$B$2,1),0)),"",SUMIFS(DATA_GOC!$H:$H,DATA_GOC!$A:$A,"BOM",DATA_GOC!$D:$D,$B59,DATA_GOC!$F:$F,"Xuất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59" s="222">
        <f>IF($B59="","",IF(Q$4&gt;DAY(EOMONTH(DATE($D$2,$B$2,1),0)),"",SUMIFS(DATA_GOC!$H:$H,DATA_GOC!$A:$A,"BOM",DATA_GOC!$D:$D,$B59,DATA_GOC!$F:$F,"Xuất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59" s="222">
        <f>IF($B59="","",IF(R$4&gt;DAY(EOMONTH(DATE($D$2,$B$2,1),0)),"",SUMIFS(DATA_GOC!$H:$H,DATA_GOC!$A:$A,"BOM",DATA_GOC!$D:$D,$B59,DATA_GOC!$F:$F,"Xuất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59" s="222">
        <f>IF($B59="","",IF(S$4&gt;DAY(EOMONTH(DATE($D$2,$B$2,1),0)),"",SUMIFS(DATA_GOC!$H:$H,DATA_GOC!$A:$A,"BOM",DATA_GOC!$D:$D,$B59,DATA_GOC!$F:$F,"Xuất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59" s="222">
        <f>IF($B59="","",IF(T$4&gt;DAY(EOMONTH(DATE($D$2,$B$2,1),0)),"",SUMIFS(DATA_GOC!$H:$H,DATA_GOC!$A:$A,"BOM",DATA_GOC!$D:$D,$B59,DATA_GOC!$F:$F,"Xuất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59" s="222">
        <f>IF($B59="","",IF(U$4&gt;DAY(EOMONTH(DATE($D$2,$B$2,1),0)),"",SUMIFS(DATA_GOC!$H:$H,DATA_GOC!$A:$A,"BOM",DATA_GOC!$D:$D,$B59,DATA_GOC!$F:$F,"Xuất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59" s="222">
        <f>IF($B59="","",IF(V$4&gt;DAY(EOMONTH(DATE($D$2,$B$2,1),0)),"",SUMIFS(DATA_GOC!$H:$H,DATA_GOC!$A:$A,"BOM",DATA_GOC!$D:$D,$B59,DATA_GOC!$F:$F,"Xuất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59" s="222">
        <f>IF($B59="","",IF(W$4&gt;DAY(EOMONTH(DATE($D$2,$B$2,1),0)),"",SUMIFS(DATA_GOC!$H:$H,DATA_GOC!$A:$A,"BOM",DATA_GOC!$D:$D,$B59,DATA_GOC!$F:$F,"Xuất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59" s="222">
        <f>IF($B59="","",IF(X$4&gt;DAY(EOMONTH(DATE($D$2,$B$2,1),0)),"",SUMIFS(DATA_GOC!$H:$H,DATA_GOC!$A:$A,"BOM",DATA_GOC!$D:$D,$B59,DATA_GOC!$F:$F,"Xuất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59" s="222">
        <f>IF($B59="","",IF(Y$4&gt;DAY(EOMONTH(DATE($D$2,$B$2,1),0)),"",SUMIFS(DATA_GOC!$H:$H,DATA_GOC!$A:$A,"BOM",DATA_GOC!$D:$D,$B59,DATA_GOC!$F:$F,"Xuất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59" s="222">
        <f>IF($B59="","",IF(Z$4&gt;DAY(EOMONTH(DATE($D$2,$B$2,1),0)),"",SUMIFS(DATA_GOC!$H:$H,DATA_GOC!$A:$A,"BOM",DATA_GOC!$D:$D,$B59,DATA_GOC!$F:$F,"Xuất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59" s="222">
        <f>IF($B59="","",IF(AA$4&gt;DAY(EOMONTH(DATE($D$2,$B$2,1),0)),"",SUMIFS(DATA_GOC!$H:$H,DATA_GOC!$A:$A,"BOM",DATA_GOC!$D:$D,$B59,DATA_GOC!$F:$F,"Xuất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59" s="222">
        <f>IF($B59="","",IF(AB$4&gt;DAY(EOMONTH(DATE($D$2,$B$2,1),0)),"",SUMIFS(DATA_GOC!$H:$H,DATA_GOC!$A:$A,"BOM",DATA_GOC!$D:$D,$B59,DATA_GOC!$F:$F,"Xuất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59" s="222">
        <f>IF($B59="","",IF(AC$4&gt;DAY(EOMONTH(DATE($D$2,$B$2,1),0)),"",SUMIFS(DATA_GOC!$H:$H,DATA_GOC!$A:$A,"BOM",DATA_GOC!$D:$D,$B59,DATA_GOC!$F:$F,"Xuất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59" s="222">
        <f>IF($B59="","",IF(AD$4&gt;DAY(EOMONTH(DATE($D$2,$B$2,1),0)),"",SUMIFS(DATA_GOC!$H:$H,DATA_GOC!$A:$A,"BOM",DATA_GOC!$D:$D,$B59,DATA_GOC!$F:$F,"Xuất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59" s="222">
        <f>IF($B59="","",IF(AE$4&gt;DAY(EOMONTH(DATE($D$2,$B$2,1),0)),"",SUMIFS(DATA_GOC!$H:$H,DATA_GOC!$A:$A,"BOM",DATA_GOC!$D:$D,$B59,DATA_GOC!$F:$F,"Xuất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59" s="222">
        <f>IF($B59="","",IF(AF$4&gt;DAY(EOMONTH(DATE($D$2,$B$2,1),0)),"",SUMIFS(DATA_GOC!$H:$H,DATA_GOC!$A:$A,"BOM",DATA_GOC!$D:$D,$B59,DATA_GOC!$F:$F,"Xuất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59" s="222">
        <f>IF($B59="","",IF(AG$4&gt;DAY(EOMONTH(DATE($D$2,$B$2,1),0)),"",SUMIFS(DATA_GOC!$H:$H,DATA_GOC!$A:$A,"BOM",DATA_GOC!$D:$D,$B59,DATA_GOC!$F:$F,"Xuất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59" s="223">
        <f t="shared" si="2"/>
        <v>0</v>
      </c>
      <c r="AI59" s="224">
        <f>IF($B59="","",SUMIFS(DATA_GOC!$H:$H,DATA_GOC!$A:$A,"BOM",DATA_GOC!$D:$D,$B59,DATA_GOC!$F:$F,"Bơm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59" s="224">
        <f>IF($B59="","",SUMIFS(TINH_TEC!$K$233:$K$9232,TINH_TEC!$H$233:$H$9232,$B59,TINH_TEC!$F$233:$F$9232,$B$2,TINH_TEC!$G$233:$G$9232,$D$2,TINH_TEC!$B$233:$B$9232,"Đã chốt"))</f>
        <v>0</v>
      </c>
      <c r="AK59" s="224">
        <f>IF($B59="","",SUMIFS(TINH_TEC!$J$233:$J$9232,TINH_TEC!$H$233:$H$9232,$B59,TINH_TEC!$F$233:$F$9232,$B$2,TINH_TEC!$G$233:$G$9232,$D$2,TINH_TEC!$B$233:$B$9232,"Đã chốt"))</f>
        <v>0</v>
      </c>
      <c r="AL59" s="225">
        <f t="shared" si="3"/>
        <v>0</v>
      </c>
      <c r="AM59" s="222">
        <f>IF($B59="","",SUMIFS(DATA_GOC!$K:$K,DATA_GOC!$A:$A,"BOM",DATA_GOC!$D:$D,$B59,DATA_GOC!$G:$G,"DO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59" s="226" t="str">
        <f t="shared" si="4"/>
        <v/>
      </c>
      <c r="AO59" s="227" t="str">
        <f t="shared" si="5"/>
        <v/>
      </c>
      <c r="AP59" s="226" t="str">
        <f>IF($B59="","",IFERROR(AO59-(SUMIFS(DATA_GOC!$H:$H,DATA_GOC!$A:$A,"BOM",DATA_GOC!$D:$D,$B59,DATA_GOC!$F:$F,"Xuất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số",DATA_GOC!$B:$B,"&gt;="&amp;EDATE(DATE($D$2,$B$2,1),-1),DATA_GOC!$B:$B,"&lt;"&amp;DATE($D$2,$B$2,1))/SUMIFS(DATA_GOC!$K:$K,DATA_GOC!$A:$A,"BOM",DATA_GOC!$D:$D,$B59,DATA_GOC!$G:$G,"DO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59" s="59">
        <v>2.0</v>
      </c>
      <c r="AR59" s="59">
        <v>2026.0</v>
      </c>
      <c r="AS59" s="59" t="s">
        <v>337</v>
      </c>
      <c r="AT59" s="59">
        <v>1636.24879861322</v>
      </c>
      <c r="AU59" s="59">
        <v>0.0</v>
      </c>
      <c r="AV59" s="59">
        <v>1636.24879861322</v>
      </c>
      <c r="AW59" s="59">
        <v>3718.0</v>
      </c>
      <c r="AX59" s="59">
        <v>44.008843426929</v>
      </c>
      <c r="AY59" s="59">
        <v>426.217</v>
      </c>
      <c r="AZ59" s="59">
        <v>1210.03179861322</v>
      </c>
      <c r="BA59" s="59">
        <v>14.217</v>
      </c>
      <c r="BB59" s="59">
        <v>0.0</v>
      </c>
      <c r="BC59" s="59" t="s">
        <v>414</v>
      </c>
    </row>
    <row r="60" ht="16.5" customHeight="1">
      <c r="A60" s="220">
        <f t="shared" si="1"/>
        <v>56</v>
      </c>
      <c r="B60" s="221" t="str">
        <f t="array" ref="B60">IFERROR(INDEX(DANH_MUC!$E:$E,ROW()-1),"")</f>
        <v>28C02973</v>
      </c>
      <c r="C60" s="222">
        <f>IF($B60="","",IF(C$4&gt;DAY(EOMONTH(DATE($D$2,$B$2,1),0)),"",SUMIFS(DATA_GOC!$H:$H,DATA_GOC!$A:$A,"BOM",DATA_GOC!$D:$D,$B60,DATA_GOC!$F:$F,"Xuất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60" s="222">
        <f>IF($B60="","",IF(D$4&gt;DAY(EOMONTH(DATE($D$2,$B$2,1),0)),"",SUMIFS(DATA_GOC!$H:$H,DATA_GOC!$A:$A,"BOM",DATA_GOC!$D:$D,$B60,DATA_GOC!$F:$F,"Xuất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60" s="222">
        <f>IF($B60="","",IF(E$4&gt;DAY(EOMONTH(DATE($D$2,$B$2,1),0)),"",SUMIFS(DATA_GOC!$H:$H,DATA_GOC!$A:$A,"BOM",DATA_GOC!$D:$D,$B60,DATA_GOC!$F:$F,"Xuất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60" s="222">
        <f>IF($B60="","",IF(F$4&gt;DAY(EOMONTH(DATE($D$2,$B$2,1),0)),"",SUMIFS(DATA_GOC!$H:$H,DATA_GOC!$A:$A,"BOM",DATA_GOC!$D:$D,$B60,DATA_GOC!$F:$F,"Xuất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60" s="222">
        <f>IF($B60="","",IF(G$4&gt;DAY(EOMONTH(DATE($D$2,$B$2,1),0)),"",SUMIFS(DATA_GOC!$H:$H,DATA_GOC!$A:$A,"BOM",DATA_GOC!$D:$D,$B60,DATA_GOC!$F:$F,"Xuất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60" s="222">
        <f>IF($B60="","",IF(H$4&gt;DAY(EOMONTH(DATE($D$2,$B$2,1),0)),"",SUMIFS(DATA_GOC!$H:$H,DATA_GOC!$A:$A,"BOM",DATA_GOC!$D:$D,$B60,DATA_GOC!$F:$F,"Xuất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255</v>
      </c>
      <c r="I60" s="222">
        <f>IF($B60="","",IF(I$4&gt;DAY(EOMONTH(DATE($D$2,$B$2,1),0)),"",SUMIFS(DATA_GOC!$H:$H,DATA_GOC!$A:$A,"BOM",DATA_GOC!$D:$D,$B60,DATA_GOC!$F:$F,"Xuất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60" s="222">
        <f>IF($B60="","",IF(J$4&gt;DAY(EOMONTH(DATE($D$2,$B$2,1),0)),"",SUMIFS(DATA_GOC!$H:$H,DATA_GOC!$A:$A,"BOM",DATA_GOC!$D:$D,$B60,DATA_GOC!$F:$F,"Xuất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60" s="222">
        <f>IF($B60="","",IF(K$4&gt;DAY(EOMONTH(DATE($D$2,$B$2,1),0)),"",SUMIFS(DATA_GOC!$H:$H,DATA_GOC!$A:$A,"BOM",DATA_GOC!$D:$D,$B60,DATA_GOC!$F:$F,"Xuất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60" s="222">
        <f>IF($B60="","",IF(L$4&gt;DAY(EOMONTH(DATE($D$2,$B$2,1),0)),"",SUMIFS(DATA_GOC!$H:$H,DATA_GOC!$A:$A,"BOM",DATA_GOC!$D:$D,$B60,DATA_GOC!$F:$F,"Xuất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60" s="222">
        <f>IF($B60="","",IF(M$4&gt;DAY(EOMONTH(DATE($D$2,$B$2,1),0)),"",SUMIFS(DATA_GOC!$H:$H,DATA_GOC!$A:$A,"BOM",DATA_GOC!$D:$D,$B60,DATA_GOC!$F:$F,"Xuất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60" s="222">
        <f>IF($B60="","",IF(N$4&gt;DAY(EOMONTH(DATE($D$2,$B$2,1),0)),"",SUMIFS(DATA_GOC!$H:$H,DATA_GOC!$A:$A,"BOM",DATA_GOC!$D:$D,$B60,DATA_GOC!$F:$F,"Xuất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60" s="222">
        <f>IF($B60="","",IF(O$4&gt;DAY(EOMONTH(DATE($D$2,$B$2,1),0)),"",SUMIFS(DATA_GOC!$H:$H,DATA_GOC!$A:$A,"BOM",DATA_GOC!$D:$D,$B60,DATA_GOC!$F:$F,"Xuất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60" s="222">
        <f>IF($B60="","",IF(P$4&gt;DAY(EOMONTH(DATE($D$2,$B$2,1),0)),"",SUMIFS(DATA_GOC!$H:$H,DATA_GOC!$A:$A,"BOM",DATA_GOC!$D:$D,$B60,DATA_GOC!$F:$F,"Xuất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60" s="222">
        <f>IF($B60="","",IF(Q$4&gt;DAY(EOMONTH(DATE($D$2,$B$2,1),0)),"",SUMIFS(DATA_GOC!$H:$H,DATA_GOC!$A:$A,"BOM",DATA_GOC!$D:$D,$B60,DATA_GOC!$F:$F,"Xuất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60" s="222">
        <f>IF($B60="","",IF(R$4&gt;DAY(EOMONTH(DATE($D$2,$B$2,1),0)),"",SUMIFS(DATA_GOC!$H:$H,DATA_GOC!$A:$A,"BOM",DATA_GOC!$D:$D,$B60,DATA_GOC!$F:$F,"Xuất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60" s="222">
        <f>IF($B60="","",IF(S$4&gt;DAY(EOMONTH(DATE($D$2,$B$2,1),0)),"",SUMIFS(DATA_GOC!$H:$H,DATA_GOC!$A:$A,"BOM",DATA_GOC!$D:$D,$B60,DATA_GOC!$F:$F,"Xuất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60" s="222">
        <f>IF($B60="","",IF(T$4&gt;DAY(EOMONTH(DATE($D$2,$B$2,1),0)),"",SUMIFS(DATA_GOC!$H:$H,DATA_GOC!$A:$A,"BOM",DATA_GOC!$D:$D,$B60,DATA_GOC!$F:$F,"Xuất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60" s="222">
        <f>IF($B60="","",IF(U$4&gt;DAY(EOMONTH(DATE($D$2,$B$2,1),0)),"",SUMIFS(DATA_GOC!$H:$H,DATA_GOC!$A:$A,"BOM",DATA_GOC!$D:$D,$B60,DATA_GOC!$F:$F,"Xuất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60" s="222">
        <f>IF($B60="","",IF(V$4&gt;DAY(EOMONTH(DATE($D$2,$B$2,1),0)),"",SUMIFS(DATA_GOC!$H:$H,DATA_GOC!$A:$A,"BOM",DATA_GOC!$D:$D,$B60,DATA_GOC!$F:$F,"Xuất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60" s="222">
        <f>IF($B60="","",IF(W$4&gt;DAY(EOMONTH(DATE($D$2,$B$2,1),0)),"",SUMIFS(DATA_GOC!$H:$H,DATA_GOC!$A:$A,"BOM",DATA_GOC!$D:$D,$B60,DATA_GOC!$F:$F,"Xuất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60" s="222">
        <f>IF($B60="","",IF(X$4&gt;DAY(EOMONTH(DATE($D$2,$B$2,1),0)),"",SUMIFS(DATA_GOC!$H:$H,DATA_GOC!$A:$A,"BOM",DATA_GOC!$D:$D,$B60,DATA_GOC!$F:$F,"Xuất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60" s="222">
        <f>IF($B60="","",IF(Y$4&gt;DAY(EOMONTH(DATE($D$2,$B$2,1),0)),"",SUMIFS(DATA_GOC!$H:$H,DATA_GOC!$A:$A,"BOM",DATA_GOC!$D:$D,$B60,DATA_GOC!$F:$F,"Xuất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60" s="222">
        <f>IF($B60="","",IF(Z$4&gt;DAY(EOMONTH(DATE($D$2,$B$2,1),0)),"",SUMIFS(DATA_GOC!$H:$H,DATA_GOC!$A:$A,"BOM",DATA_GOC!$D:$D,$B60,DATA_GOC!$F:$F,"Xuất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60" s="222">
        <f>IF($B60="","",IF(AA$4&gt;DAY(EOMONTH(DATE($D$2,$B$2,1),0)),"",SUMIFS(DATA_GOC!$H:$H,DATA_GOC!$A:$A,"BOM",DATA_GOC!$D:$D,$B60,DATA_GOC!$F:$F,"Xuất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60" s="222">
        <f>IF($B60="","",IF(AB$4&gt;DAY(EOMONTH(DATE($D$2,$B$2,1),0)),"",SUMIFS(DATA_GOC!$H:$H,DATA_GOC!$A:$A,"BOM",DATA_GOC!$D:$D,$B60,DATA_GOC!$F:$F,"Xuất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60" s="222">
        <f>IF($B60="","",IF(AC$4&gt;DAY(EOMONTH(DATE($D$2,$B$2,1),0)),"",SUMIFS(DATA_GOC!$H:$H,DATA_GOC!$A:$A,"BOM",DATA_GOC!$D:$D,$B60,DATA_GOC!$F:$F,"Xuất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60" s="222">
        <f>IF($B60="","",IF(AD$4&gt;DAY(EOMONTH(DATE($D$2,$B$2,1),0)),"",SUMIFS(DATA_GOC!$H:$H,DATA_GOC!$A:$A,"BOM",DATA_GOC!$D:$D,$B60,DATA_GOC!$F:$F,"Xuất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60" s="222">
        <f>IF($B60="","",IF(AE$4&gt;DAY(EOMONTH(DATE($D$2,$B$2,1),0)),"",SUMIFS(DATA_GOC!$H:$H,DATA_GOC!$A:$A,"BOM",DATA_GOC!$D:$D,$B60,DATA_GOC!$F:$F,"Xuất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60" s="222">
        <f>IF($B60="","",IF(AF$4&gt;DAY(EOMONTH(DATE($D$2,$B$2,1),0)),"",SUMIFS(DATA_GOC!$H:$H,DATA_GOC!$A:$A,"BOM",DATA_GOC!$D:$D,$B60,DATA_GOC!$F:$F,"Xuất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60" s="222">
        <f>IF($B60="","",IF(AG$4&gt;DAY(EOMONTH(DATE($D$2,$B$2,1),0)),"",SUMIFS(DATA_GOC!$H:$H,DATA_GOC!$A:$A,"BOM",DATA_GOC!$D:$D,$B60,DATA_GOC!$F:$F,"Xuất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60" s="223">
        <f t="shared" si="2"/>
        <v>255</v>
      </c>
      <c r="AI60" s="224">
        <f>IF($B60="","",SUMIFS(DATA_GOC!$H:$H,DATA_GOC!$A:$A,"BOM",DATA_GOC!$D:$D,$B60,DATA_GOC!$F:$F,"Bơm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60" s="224">
        <f>IF($B60="","",SUMIFS(TINH_TEC!$K$233:$K$9232,TINH_TEC!$H$233:$H$9232,$B60,TINH_TEC!$F$233:$F$9232,$B$2,TINH_TEC!$G$233:$G$9232,$D$2,TINH_TEC!$B$233:$B$9232,"Đã chốt"))</f>
        <v>0</v>
      </c>
      <c r="AK60" s="224">
        <f>IF($B60="","",SUMIFS(TINH_TEC!$J$233:$J$9232,TINH_TEC!$H$233:$H$9232,$B60,TINH_TEC!$F$233:$F$9232,$B$2,TINH_TEC!$G$233:$G$9232,$D$2,TINH_TEC!$B$233:$B$9232,"Đã chốt"))</f>
        <v>36.11</v>
      </c>
      <c r="AL60" s="225">
        <f t="shared" si="3"/>
        <v>291.11</v>
      </c>
      <c r="AM60" s="222">
        <f>IF($B60="","",SUMIFS(DATA_GOC!$K:$K,DATA_GOC!$A:$A,"BOM",DATA_GOC!$D:$D,$B60,DATA_GOC!$G:$G,"DO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681</v>
      </c>
      <c r="AN60" s="226">
        <f t="shared" si="4"/>
        <v>42.74743025</v>
      </c>
      <c r="AO60" s="227">
        <f t="shared" si="5"/>
        <v>0.4274743025</v>
      </c>
      <c r="AP60" s="226">
        <f>IF($B60="","",IFERROR(AO60-(SUMIFS(DATA_GOC!$H:$H,DATA_GOC!$A:$A,"BOM",DATA_GOC!$D:$D,$B60,DATA_GOC!$F:$F,"Xuất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>-0.04072241882</v>
      </c>
      <c r="AQ60" s="59">
        <v>2.0</v>
      </c>
      <c r="AR60" s="59">
        <v>2026.0</v>
      </c>
      <c r="AS60" s="59" t="s">
        <v>99</v>
      </c>
      <c r="AT60" s="59">
        <v>1804.67873586685</v>
      </c>
      <c r="AU60" s="59">
        <v>0.0</v>
      </c>
      <c r="AV60" s="59">
        <v>1804.67873586685</v>
      </c>
      <c r="AW60" s="59">
        <v>3747.0</v>
      </c>
      <c r="AX60" s="59">
        <v>48.1632969273245</v>
      </c>
      <c r="AY60" s="59">
        <v>324.835</v>
      </c>
      <c r="AZ60" s="59">
        <v>1479.84373586685</v>
      </c>
      <c r="BA60" s="59">
        <v>10.835</v>
      </c>
      <c r="BB60" s="59">
        <v>0.0</v>
      </c>
      <c r="BC60" s="59" t="s">
        <v>415</v>
      </c>
    </row>
    <row r="61" ht="16.5" customHeight="1">
      <c r="A61" s="220">
        <f t="shared" si="1"/>
        <v>57</v>
      </c>
      <c r="B61" s="221" t="str">
        <f t="array" ref="B61">IFERROR(INDEX(DANH_MUC!$E:$E,ROW()-1),"")</f>
        <v>28C03044</v>
      </c>
      <c r="C61" s="222">
        <f>IF($B61="","",IF(C$4&gt;DAY(EOMONTH(DATE($D$2,$B$2,1),0)),"",SUMIFS(DATA_GOC!$H:$H,DATA_GOC!$A:$A,"BOM",DATA_GOC!$D:$D,$B61,DATA_GOC!$F:$F,"Xuất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61" s="222">
        <f>IF($B61="","",IF(D$4&gt;DAY(EOMONTH(DATE($D$2,$B$2,1),0)),"",SUMIFS(DATA_GOC!$H:$H,DATA_GOC!$A:$A,"BOM",DATA_GOC!$D:$D,$B61,DATA_GOC!$F:$F,"Xuất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350</v>
      </c>
      <c r="E61" s="222">
        <f>IF($B61="","",IF(E$4&gt;DAY(EOMONTH(DATE($D$2,$B$2,1),0)),"",SUMIFS(DATA_GOC!$H:$H,DATA_GOC!$A:$A,"BOM",DATA_GOC!$D:$D,$B61,DATA_GOC!$F:$F,"Xuất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61" s="222">
        <f>IF($B61="","",IF(F$4&gt;DAY(EOMONTH(DATE($D$2,$B$2,1),0)),"",SUMIFS(DATA_GOC!$H:$H,DATA_GOC!$A:$A,"BOM",DATA_GOC!$D:$D,$B61,DATA_GOC!$F:$F,"Xuất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61" s="222">
        <f>IF($B61="","",IF(G$4&gt;DAY(EOMONTH(DATE($D$2,$B$2,1),0)),"",SUMIFS(DATA_GOC!$H:$H,DATA_GOC!$A:$A,"BOM",DATA_GOC!$D:$D,$B61,DATA_GOC!$F:$F,"Xuất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61" s="222">
        <f>IF($B61="","",IF(H$4&gt;DAY(EOMONTH(DATE($D$2,$B$2,1),0)),"",SUMIFS(DATA_GOC!$H:$H,DATA_GOC!$A:$A,"BOM",DATA_GOC!$D:$D,$B61,DATA_GOC!$F:$F,"Xuất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61" s="222">
        <f>IF($B61="","",IF(I$4&gt;DAY(EOMONTH(DATE($D$2,$B$2,1),0)),"",SUMIFS(DATA_GOC!$H:$H,DATA_GOC!$A:$A,"BOM",DATA_GOC!$D:$D,$B61,DATA_GOC!$F:$F,"Xuất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61" s="222">
        <f>IF($B61="","",IF(J$4&gt;DAY(EOMONTH(DATE($D$2,$B$2,1),0)),"",SUMIFS(DATA_GOC!$H:$H,DATA_GOC!$A:$A,"BOM",DATA_GOC!$D:$D,$B61,DATA_GOC!$F:$F,"Xuất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61" s="222">
        <f>IF($B61="","",IF(K$4&gt;DAY(EOMONTH(DATE($D$2,$B$2,1),0)),"",SUMIFS(DATA_GOC!$H:$H,DATA_GOC!$A:$A,"BOM",DATA_GOC!$D:$D,$B61,DATA_GOC!$F:$F,"Xuất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61" s="222">
        <f>IF($B61="","",IF(L$4&gt;DAY(EOMONTH(DATE($D$2,$B$2,1),0)),"",SUMIFS(DATA_GOC!$H:$H,DATA_GOC!$A:$A,"BOM",DATA_GOC!$D:$D,$B61,DATA_GOC!$F:$F,"Xuất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61" s="222">
        <f>IF($B61="","",IF(M$4&gt;DAY(EOMONTH(DATE($D$2,$B$2,1),0)),"",SUMIFS(DATA_GOC!$H:$H,DATA_GOC!$A:$A,"BOM",DATA_GOC!$D:$D,$B61,DATA_GOC!$F:$F,"Xuất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61" s="222">
        <f>IF($B61="","",IF(N$4&gt;DAY(EOMONTH(DATE($D$2,$B$2,1),0)),"",SUMIFS(DATA_GOC!$H:$H,DATA_GOC!$A:$A,"BOM",DATA_GOC!$D:$D,$B61,DATA_GOC!$F:$F,"Xuất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61" s="222">
        <f>IF($B61="","",IF(O$4&gt;DAY(EOMONTH(DATE($D$2,$B$2,1),0)),"",SUMIFS(DATA_GOC!$H:$H,DATA_GOC!$A:$A,"BOM",DATA_GOC!$D:$D,$B61,DATA_GOC!$F:$F,"Xuất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61" s="222">
        <f>IF($B61="","",IF(P$4&gt;DAY(EOMONTH(DATE($D$2,$B$2,1),0)),"",SUMIFS(DATA_GOC!$H:$H,DATA_GOC!$A:$A,"BOM",DATA_GOC!$D:$D,$B61,DATA_GOC!$F:$F,"Xuất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61" s="222">
        <f>IF($B61="","",IF(Q$4&gt;DAY(EOMONTH(DATE($D$2,$B$2,1),0)),"",SUMIFS(DATA_GOC!$H:$H,DATA_GOC!$A:$A,"BOM",DATA_GOC!$D:$D,$B61,DATA_GOC!$F:$F,"Xuất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61" s="222">
        <f>IF($B61="","",IF(R$4&gt;DAY(EOMONTH(DATE($D$2,$B$2,1),0)),"",SUMIFS(DATA_GOC!$H:$H,DATA_GOC!$A:$A,"BOM",DATA_GOC!$D:$D,$B61,DATA_GOC!$F:$F,"Xuất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61" s="222">
        <f>IF($B61="","",IF(S$4&gt;DAY(EOMONTH(DATE($D$2,$B$2,1),0)),"",SUMIFS(DATA_GOC!$H:$H,DATA_GOC!$A:$A,"BOM",DATA_GOC!$D:$D,$B61,DATA_GOC!$F:$F,"Xuất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61" s="222">
        <f>IF($B61="","",IF(T$4&gt;DAY(EOMONTH(DATE($D$2,$B$2,1),0)),"",SUMIFS(DATA_GOC!$H:$H,DATA_GOC!$A:$A,"BOM",DATA_GOC!$D:$D,$B61,DATA_GOC!$F:$F,"Xuất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61" s="222">
        <f>IF($B61="","",IF(U$4&gt;DAY(EOMONTH(DATE($D$2,$B$2,1),0)),"",SUMIFS(DATA_GOC!$H:$H,DATA_GOC!$A:$A,"BOM",DATA_GOC!$D:$D,$B61,DATA_GOC!$F:$F,"Xuất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61" s="222">
        <f>IF($B61="","",IF(V$4&gt;DAY(EOMONTH(DATE($D$2,$B$2,1),0)),"",SUMIFS(DATA_GOC!$H:$H,DATA_GOC!$A:$A,"BOM",DATA_GOC!$D:$D,$B61,DATA_GOC!$F:$F,"Xuất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61" s="222">
        <f>IF($B61="","",IF(W$4&gt;DAY(EOMONTH(DATE($D$2,$B$2,1),0)),"",SUMIFS(DATA_GOC!$H:$H,DATA_GOC!$A:$A,"BOM",DATA_GOC!$D:$D,$B61,DATA_GOC!$F:$F,"Xuất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61" s="222">
        <f>IF($B61="","",IF(X$4&gt;DAY(EOMONTH(DATE($D$2,$B$2,1),0)),"",SUMIFS(DATA_GOC!$H:$H,DATA_GOC!$A:$A,"BOM",DATA_GOC!$D:$D,$B61,DATA_GOC!$F:$F,"Xuất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61" s="222">
        <f>IF($B61="","",IF(Y$4&gt;DAY(EOMONTH(DATE($D$2,$B$2,1),0)),"",SUMIFS(DATA_GOC!$H:$H,DATA_GOC!$A:$A,"BOM",DATA_GOC!$D:$D,$B61,DATA_GOC!$F:$F,"Xuất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61" s="222">
        <f>IF($B61="","",IF(Z$4&gt;DAY(EOMONTH(DATE($D$2,$B$2,1),0)),"",SUMIFS(DATA_GOC!$H:$H,DATA_GOC!$A:$A,"BOM",DATA_GOC!$D:$D,$B61,DATA_GOC!$F:$F,"Xuất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61" s="222">
        <f>IF($B61="","",IF(AA$4&gt;DAY(EOMONTH(DATE($D$2,$B$2,1),0)),"",SUMIFS(DATA_GOC!$H:$H,DATA_GOC!$A:$A,"BOM",DATA_GOC!$D:$D,$B61,DATA_GOC!$F:$F,"Xuất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61" s="222">
        <f>IF($B61="","",IF(AB$4&gt;DAY(EOMONTH(DATE($D$2,$B$2,1),0)),"",SUMIFS(DATA_GOC!$H:$H,DATA_GOC!$A:$A,"BOM",DATA_GOC!$D:$D,$B61,DATA_GOC!$F:$F,"Xuất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61" s="222">
        <f>IF($B61="","",IF(AC$4&gt;DAY(EOMONTH(DATE($D$2,$B$2,1),0)),"",SUMIFS(DATA_GOC!$H:$H,DATA_GOC!$A:$A,"BOM",DATA_GOC!$D:$D,$B61,DATA_GOC!$F:$F,"Xuất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61" s="222">
        <f>IF($B61="","",IF(AD$4&gt;DAY(EOMONTH(DATE($D$2,$B$2,1),0)),"",SUMIFS(DATA_GOC!$H:$H,DATA_GOC!$A:$A,"BOM",DATA_GOC!$D:$D,$B61,DATA_GOC!$F:$F,"Xuất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61" s="222">
        <f>IF($B61="","",IF(AE$4&gt;DAY(EOMONTH(DATE($D$2,$B$2,1),0)),"",SUMIFS(DATA_GOC!$H:$H,DATA_GOC!$A:$A,"BOM",DATA_GOC!$D:$D,$B61,DATA_GOC!$F:$F,"Xuất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61" s="222">
        <f>IF($B61="","",IF(AF$4&gt;DAY(EOMONTH(DATE($D$2,$B$2,1),0)),"",SUMIFS(DATA_GOC!$H:$H,DATA_GOC!$A:$A,"BOM",DATA_GOC!$D:$D,$B61,DATA_GOC!$F:$F,"Xuất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61" s="222">
        <f>IF($B61="","",IF(AG$4&gt;DAY(EOMONTH(DATE($D$2,$B$2,1),0)),"",SUMIFS(DATA_GOC!$H:$H,DATA_GOC!$A:$A,"BOM",DATA_GOC!$D:$D,$B61,DATA_GOC!$F:$F,"Xuất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61" s="223">
        <f t="shared" si="2"/>
        <v>350</v>
      </c>
      <c r="AI61" s="224">
        <f>IF($B61="","",SUMIFS(DATA_GOC!$H:$H,DATA_GOC!$A:$A,"BOM",DATA_GOC!$D:$D,$B61,DATA_GOC!$F:$F,"Bơm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61" s="224">
        <f>IF($B61="","",SUMIFS(TINH_TEC!$K$233:$K$9232,TINH_TEC!$H$233:$H$9232,$B61,TINH_TEC!$F$233:$F$9232,$B$2,TINH_TEC!$G$233:$G$9232,$D$2,TINH_TEC!$B$233:$B$9232,"Đã chốt"))</f>
        <v>0</v>
      </c>
      <c r="AK61" s="224">
        <f>IF($B61="","",SUMIFS(TINH_TEC!$J$233:$J$9232,TINH_TEC!$H$233:$H$9232,$B61,TINH_TEC!$F$233:$F$9232,$B$2,TINH_TEC!$G$233:$G$9232,$D$2,TINH_TEC!$B$233:$B$9232,"Đã chốt"))</f>
        <v>20.385</v>
      </c>
      <c r="AL61" s="225">
        <f t="shared" si="3"/>
        <v>370.385</v>
      </c>
      <c r="AM61" s="222">
        <f>IF($B61="","",SUMIFS(DATA_GOC!$K:$K,DATA_GOC!$A:$A,"BOM",DATA_GOC!$D:$D,$B61,DATA_GOC!$G:$G,"DO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269</v>
      </c>
      <c r="AN61" s="226">
        <f t="shared" si="4"/>
        <v>137.6895911</v>
      </c>
      <c r="AO61" s="227">
        <f t="shared" si="5"/>
        <v>1.376895911</v>
      </c>
      <c r="AP61" s="226" t="str">
        <f>IF($B61="","",IFERROR(AO61-(SUMIFS(DATA_GOC!$H:$H,DATA_GOC!$A:$A,"BOM",DATA_GOC!$D:$D,$B61,DATA_GOC!$F:$F,"Xuất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1" s="59">
        <v>2.0</v>
      </c>
      <c r="AR61" s="59">
        <v>2026.0</v>
      </c>
      <c r="AS61" s="59" t="s">
        <v>118</v>
      </c>
      <c r="AT61" s="59">
        <v>1469.49044643572</v>
      </c>
      <c r="AU61" s="59">
        <v>0.0</v>
      </c>
      <c r="AV61" s="59">
        <v>1469.49044643572</v>
      </c>
      <c r="AW61" s="59">
        <v>3329.0</v>
      </c>
      <c r="AX61" s="59">
        <v>44.1420981206283</v>
      </c>
      <c r="AY61" s="59">
        <v>574.151</v>
      </c>
      <c r="AZ61" s="59">
        <v>895.339446435716</v>
      </c>
      <c r="BA61" s="59">
        <v>19.151</v>
      </c>
      <c r="BB61" s="59">
        <v>0.0</v>
      </c>
      <c r="BC61" s="59" t="s">
        <v>416</v>
      </c>
    </row>
    <row r="62" ht="16.5" customHeight="1">
      <c r="A62" s="220">
        <f t="shared" si="1"/>
        <v>58</v>
      </c>
      <c r="B62" s="221" t="str">
        <f t="array" ref="B62">IFERROR(INDEX(DANH_MUC!$E:$E,ROW()-1),"")</f>
        <v>Máy lu lốp</v>
      </c>
      <c r="C62" s="222">
        <f>IF($B62="","",IF(C$4&gt;DAY(EOMONTH(DATE($D$2,$B$2,1),0)),"",SUMIFS(DATA_GOC!$H:$H,DATA_GOC!$A:$A,"BOM",DATA_GOC!$D:$D,$B62,DATA_GOC!$F:$F,"Xuất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62" s="222">
        <f>IF($B62="","",IF(D$4&gt;DAY(EOMONTH(DATE($D$2,$B$2,1),0)),"",SUMIFS(DATA_GOC!$H:$H,DATA_GOC!$A:$A,"BOM",DATA_GOC!$D:$D,$B62,DATA_GOC!$F:$F,"Xuất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62" s="222">
        <f>IF($B62="","",IF(E$4&gt;DAY(EOMONTH(DATE($D$2,$B$2,1),0)),"",SUMIFS(DATA_GOC!$H:$H,DATA_GOC!$A:$A,"BOM",DATA_GOC!$D:$D,$B62,DATA_GOC!$F:$F,"Xuất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62" s="222">
        <f>IF($B62="","",IF(F$4&gt;DAY(EOMONTH(DATE($D$2,$B$2,1),0)),"",SUMIFS(DATA_GOC!$H:$H,DATA_GOC!$A:$A,"BOM",DATA_GOC!$D:$D,$B62,DATA_GOC!$F:$F,"Xuất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62" s="222">
        <f>IF($B62="","",IF(G$4&gt;DAY(EOMONTH(DATE($D$2,$B$2,1),0)),"",SUMIFS(DATA_GOC!$H:$H,DATA_GOC!$A:$A,"BOM",DATA_GOC!$D:$D,$B62,DATA_GOC!$F:$F,"Xuất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62" s="222">
        <f>IF($B62="","",IF(H$4&gt;DAY(EOMONTH(DATE($D$2,$B$2,1),0)),"",SUMIFS(DATA_GOC!$H:$H,DATA_GOC!$A:$A,"BOM",DATA_GOC!$D:$D,$B62,DATA_GOC!$F:$F,"Xuất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62" s="222">
        <f>IF($B62="","",IF(I$4&gt;DAY(EOMONTH(DATE($D$2,$B$2,1),0)),"",SUMIFS(DATA_GOC!$H:$H,DATA_GOC!$A:$A,"BOM",DATA_GOC!$D:$D,$B62,DATA_GOC!$F:$F,"Xuất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62" s="222">
        <f>IF($B62="","",IF(J$4&gt;DAY(EOMONTH(DATE($D$2,$B$2,1),0)),"",SUMIFS(DATA_GOC!$H:$H,DATA_GOC!$A:$A,"BOM",DATA_GOC!$D:$D,$B62,DATA_GOC!$F:$F,"Xuất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62" s="222">
        <f>IF($B62="","",IF(K$4&gt;DAY(EOMONTH(DATE($D$2,$B$2,1),0)),"",SUMIFS(DATA_GOC!$H:$H,DATA_GOC!$A:$A,"BOM",DATA_GOC!$D:$D,$B62,DATA_GOC!$F:$F,"Xuất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62" s="222">
        <f>IF($B62="","",IF(L$4&gt;DAY(EOMONTH(DATE($D$2,$B$2,1),0)),"",SUMIFS(DATA_GOC!$H:$H,DATA_GOC!$A:$A,"BOM",DATA_GOC!$D:$D,$B62,DATA_GOC!$F:$F,"Xuất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62" s="222">
        <f>IF($B62="","",IF(M$4&gt;DAY(EOMONTH(DATE($D$2,$B$2,1),0)),"",SUMIFS(DATA_GOC!$H:$H,DATA_GOC!$A:$A,"BOM",DATA_GOC!$D:$D,$B62,DATA_GOC!$F:$F,"Xuất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62" s="222">
        <f>IF($B62="","",IF(N$4&gt;DAY(EOMONTH(DATE($D$2,$B$2,1),0)),"",SUMIFS(DATA_GOC!$H:$H,DATA_GOC!$A:$A,"BOM",DATA_GOC!$D:$D,$B62,DATA_GOC!$F:$F,"Xuất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62" s="222">
        <f>IF($B62="","",IF(O$4&gt;DAY(EOMONTH(DATE($D$2,$B$2,1),0)),"",SUMIFS(DATA_GOC!$H:$H,DATA_GOC!$A:$A,"BOM",DATA_GOC!$D:$D,$B62,DATA_GOC!$F:$F,"Xuất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62" s="222">
        <f>IF($B62="","",IF(P$4&gt;DAY(EOMONTH(DATE($D$2,$B$2,1),0)),"",SUMIFS(DATA_GOC!$H:$H,DATA_GOC!$A:$A,"BOM",DATA_GOC!$D:$D,$B62,DATA_GOC!$F:$F,"Xuất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62" s="222">
        <f>IF($B62="","",IF(Q$4&gt;DAY(EOMONTH(DATE($D$2,$B$2,1),0)),"",SUMIFS(DATA_GOC!$H:$H,DATA_GOC!$A:$A,"BOM",DATA_GOC!$D:$D,$B62,DATA_GOC!$F:$F,"Xuất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62" s="222">
        <f>IF($B62="","",IF(R$4&gt;DAY(EOMONTH(DATE($D$2,$B$2,1),0)),"",SUMIFS(DATA_GOC!$H:$H,DATA_GOC!$A:$A,"BOM",DATA_GOC!$D:$D,$B62,DATA_GOC!$F:$F,"Xuất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62" s="222">
        <f>IF($B62="","",IF(S$4&gt;DAY(EOMONTH(DATE($D$2,$B$2,1),0)),"",SUMIFS(DATA_GOC!$H:$H,DATA_GOC!$A:$A,"BOM",DATA_GOC!$D:$D,$B62,DATA_GOC!$F:$F,"Xuất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62" s="222">
        <f>IF($B62="","",IF(T$4&gt;DAY(EOMONTH(DATE($D$2,$B$2,1),0)),"",SUMIFS(DATA_GOC!$H:$H,DATA_GOC!$A:$A,"BOM",DATA_GOC!$D:$D,$B62,DATA_GOC!$F:$F,"Xuất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62" s="222">
        <f>IF($B62="","",IF(U$4&gt;DAY(EOMONTH(DATE($D$2,$B$2,1),0)),"",SUMIFS(DATA_GOC!$H:$H,DATA_GOC!$A:$A,"BOM",DATA_GOC!$D:$D,$B62,DATA_GOC!$F:$F,"Xuất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62" s="222">
        <f>IF($B62="","",IF(V$4&gt;DAY(EOMONTH(DATE($D$2,$B$2,1),0)),"",SUMIFS(DATA_GOC!$H:$H,DATA_GOC!$A:$A,"BOM",DATA_GOC!$D:$D,$B62,DATA_GOC!$F:$F,"Xuất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62" s="222">
        <f>IF($B62="","",IF(W$4&gt;DAY(EOMONTH(DATE($D$2,$B$2,1),0)),"",SUMIFS(DATA_GOC!$H:$H,DATA_GOC!$A:$A,"BOM",DATA_GOC!$D:$D,$B62,DATA_GOC!$F:$F,"Xuất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62" s="222">
        <f>IF($B62="","",IF(X$4&gt;DAY(EOMONTH(DATE($D$2,$B$2,1),0)),"",SUMIFS(DATA_GOC!$H:$H,DATA_GOC!$A:$A,"BOM",DATA_GOC!$D:$D,$B62,DATA_GOC!$F:$F,"Xuất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62" s="222">
        <f>IF($B62="","",IF(Y$4&gt;DAY(EOMONTH(DATE($D$2,$B$2,1),0)),"",SUMIFS(DATA_GOC!$H:$H,DATA_GOC!$A:$A,"BOM",DATA_GOC!$D:$D,$B62,DATA_GOC!$F:$F,"Xuất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62" s="222">
        <f>IF($B62="","",IF(Z$4&gt;DAY(EOMONTH(DATE($D$2,$B$2,1),0)),"",SUMIFS(DATA_GOC!$H:$H,DATA_GOC!$A:$A,"BOM",DATA_GOC!$D:$D,$B62,DATA_GOC!$F:$F,"Xuất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62" s="222">
        <f>IF($B62="","",IF(AA$4&gt;DAY(EOMONTH(DATE($D$2,$B$2,1),0)),"",SUMIFS(DATA_GOC!$H:$H,DATA_GOC!$A:$A,"BOM",DATA_GOC!$D:$D,$B62,DATA_GOC!$F:$F,"Xuất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62" s="222">
        <f>IF($B62="","",IF(AB$4&gt;DAY(EOMONTH(DATE($D$2,$B$2,1),0)),"",SUMIFS(DATA_GOC!$H:$H,DATA_GOC!$A:$A,"BOM",DATA_GOC!$D:$D,$B62,DATA_GOC!$F:$F,"Xuất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62" s="222">
        <f>IF($B62="","",IF(AC$4&gt;DAY(EOMONTH(DATE($D$2,$B$2,1),0)),"",SUMIFS(DATA_GOC!$H:$H,DATA_GOC!$A:$A,"BOM",DATA_GOC!$D:$D,$B62,DATA_GOC!$F:$F,"Xuất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62" s="222">
        <f>IF($B62="","",IF(AD$4&gt;DAY(EOMONTH(DATE($D$2,$B$2,1),0)),"",SUMIFS(DATA_GOC!$H:$H,DATA_GOC!$A:$A,"BOM",DATA_GOC!$D:$D,$B62,DATA_GOC!$F:$F,"Xuất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62" s="222">
        <f>IF($B62="","",IF(AE$4&gt;DAY(EOMONTH(DATE($D$2,$B$2,1),0)),"",SUMIFS(DATA_GOC!$H:$H,DATA_GOC!$A:$A,"BOM",DATA_GOC!$D:$D,$B62,DATA_GOC!$F:$F,"Xuất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62" s="222">
        <f>IF($B62="","",IF(AF$4&gt;DAY(EOMONTH(DATE($D$2,$B$2,1),0)),"",SUMIFS(DATA_GOC!$H:$H,DATA_GOC!$A:$A,"BOM",DATA_GOC!$D:$D,$B62,DATA_GOC!$F:$F,"Xuất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62" s="222">
        <f>IF($B62="","",IF(AG$4&gt;DAY(EOMONTH(DATE($D$2,$B$2,1),0)),"",SUMIFS(DATA_GOC!$H:$H,DATA_GOC!$A:$A,"BOM",DATA_GOC!$D:$D,$B62,DATA_GOC!$F:$F,"Xuất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62" s="223">
        <f t="shared" si="2"/>
        <v>0</v>
      </c>
      <c r="AI62" s="224">
        <f>IF($B62="","",SUMIFS(DATA_GOC!$H:$H,DATA_GOC!$A:$A,"BOM",DATA_GOC!$D:$D,$B62,DATA_GOC!$F:$F,"Bơm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62" s="224">
        <f>IF($B62="","",SUMIFS(TINH_TEC!$K$233:$K$9232,TINH_TEC!$H$233:$H$9232,$B62,TINH_TEC!$F$233:$F$9232,$B$2,TINH_TEC!$G$233:$G$9232,$D$2,TINH_TEC!$B$233:$B$9232,"Đã chốt"))</f>
        <v>0</v>
      </c>
      <c r="AK62" s="224">
        <f>IF($B62="","",SUMIFS(TINH_TEC!$J$233:$J$9232,TINH_TEC!$H$233:$H$9232,$B62,TINH_TEC!$F$233:$F$9232,$B$2,TINH_TEC!$G$233:$G$9232,$D$2,TINH_TEC!$B$233:$B$9232,"Đã chốt"))</f>
        <v>0</v>
      </c>
      <c r="AL62" s="225">
        <f t="shared" si="3"/>
        <v>0</v>
      </c>
      <c r="AM62" s="222">
        <f>IF($B62="","",SUMIFS(DATA_GOC!$K:$K,DATA_GOC!$A:$A,"BOM",DATA_GOC!$D:$D,$B62,DATA_GOC!$G:$G,"DO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62" s="226" t="str">
        <f t="shared" si="4"/>
        <v/>
      </c>
      <c r="AO62" s="227" t="str">
        <f t="shared" si="5"/>
        <v/>
      </c>
      <c r="AP62" s="226" t="str">
        <f>IF($B62="","",IFERROR(AO62-(SUMIFS(DATA_GOC!$H:$H,DATA_GOC!$A:$A,"BOM",DATA_GOC!$D:$D,$B62,DATA_GOC!$F:$F,"Xuất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2" s="59">
        <v>2.0</v>
      </c>
      <c r="AR62" s="59">
        <v>2026.0</v>
      </c>
      <c r="AS62" s="59" t="s">
        <v>96</v>
      </c>
      <c r="AT62" s="59">
        <v>1728.73497447183</v>
      </c>
      <c r="AU62" s="59">
        <v>0.0</v>
      </c>
      <c r="AV62" s="59">
        <v>1728.73497447183</v>
      </c>
      <c r="AW62" s="59">
        <v>3783.0</v>
      </c>
      <c r="AX62" s="59">
        <v>45.6974616566701</v>
      </c>
      <c r="AY62" s="59">
        <v>393.112</v>
      </c>
      <c r="AZ62" s="59">
        <v>1335.62297447183</v>
      </c>
      <c r="BA62" s="59">
        <v>13.112</v>
      </c>
      <c r="BB62" s="59">
        <v>0.0</v>
      </c>
      <c r="BC62" s="59" t="s">
        <v>417</v>
      </c>
    </row>
    <row r="63" ht="15.0" customHeight="1">
      <c r="A63" s="220">
        <f t="shared" si="1"/>
        <v>59</v>
      </c>
      <c r="B63" s="221" t="str">
        <f t="array" ref="B63">IFERROR(INDEX(DANH_MUC!$E:$E,ROW()-1),"")</f>
        <v>Xe 600148</v>
      </c>
      <c r="C63" s="222">
        <f>IF($B63="","",IF(C$4&gt;DAY(EOMONTH(DATE($D$2,$B$2,1),0)),"",SUMIFS(DATA_GOC!$H:$H,DATA_GOC!$A:$A,"BOM",DATA_GOC!$D:$D,$B63,DATA_GOC!$F:$F,"Xuất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63" s="222">
        <f>IF($B63="","",IF(D$4&gt;DAY(EOMONTH(DATE($D$2,$B$2,1),0)),"",SUMIFS(DATA_GOC!$H:$H,DATA_GOC!$A:$A,"BOM",DATA_GOC!$D:$D,$B63,DATA_GOC!$F:$F,"Xuất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63" s="222">
        <f>IF($B63="","",IF(E$4&gt;DAY(EOMONTH(DATE($D$2,$B$2,1),0)),"",SUMIFS(DATA_GOC!$H:$H,DATA_GOC!$A:$A,"BOM",DATA_GOC!$D:$D,$B63,DATA_GOC!$F:$F,"Xuất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0</v>
      </c>
      <c r="F63" s="222">
        <f>IF($B63="","",IF(F$4&gt;DAY(EOMONTH(DATE($D$2,$B$2,1),0)),"",SUMIFS(DATA_GOC!$H:$H,DATA_GOC!$A:$A,"BOM",DATA_GOC!$D:$D,$B63,DATA_GOC!$F:$F,"Xuất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63" s="222">
        <f>IF($B63="","",IF(G$4&gt;DAY(EOMONTH(DATE($D$2,$B$2,1),0)),"",SUMIFS(DATA_GOC!$H:$H,DATA_GOC!$A:$A,"BOM",DATA_GOC!$D:$D,$B63,DATA_GOC!$F:$F,"Xuất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63" s="222">
        <f>IF($B63="","",IF(H$4&gt;DAY(EOMONTH(DATE($D$2,$B$2,1),0)),"",SUMIFS(DATA_GOC!$H:$H,DATA_GOC!$A:$A,"BOM",DATA_GOC!$D:$D,$B63,DATA_GOC!$F:$F,"Xuất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63" s="222">
        <f>IF($B63="","",IF(I$4&gt;DAY(EOMONTH(DATE($D$2,$B$2,1),0)),"",SUMIFS(DATA_GOC!$H:$H,DATA_GOC!$A:$A,"BOM",DATA_GOC!$D:$D,$B63,DATA_GOC!$F:$F,"Xuất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63" s="222">
        <f>IF($B63="","",IF(J$4&gt;DAY(EOMONTH(DATE($D$2,$B$2,1),0)),"",SUMIFS(DATA_GOC!$H:$H,DATA_GOC!$A:$A,"BOM",DATA_GOC!$D:$D,$B63,DATA_GOC!$F:$F,"Xuất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63" s="222">
        <f>IF($B63="","",IF(K$4&gt;DAY(EOMONTH(DATE($D$2,$B$2,1),0)),"",SUMIFS(DATA_GOC!$H:$H,DATA_GOC!$A:$A,"BOM",DATA_GOC!$D:$D,$B63,DATA_GOC!$F:$F,"Xuất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63" s="222">
        <f>IF($B63="","",IF(L$4&gt;DAY(EOMONTH(DATE($D$2,$B$2,1),0)),"",SUMIFS(DATA_GOC!$H:$H,DATA_GOC!$A:$A,"BOM",DATA_GOC!$D:$D,$B63,DATA_GOC!$F:$F,"Xuất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63" s="222">
        <f>IF($B63="","",IF(M$4&gt;DAY(EOMONTH(DATE($D$2,$B$2,1),0)),"",SUMIFS(DATA_GOC!$H:$H,DATA_GOC!$A:$A,"BOM",DATA_GOC!$D:$D,$B63,DATA_GOC!$F:$F,"Xuất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63" s="222">
        <f>IF($B63="","",IF(N$4&gt;DAY(EOMONTH(DATE($D$2,$B$2,1),0)),"",SUMIFS(DATA_GOC!$H:$H,DATA_GOC!$A:$A,"BOM",DATA_GOC!$D:$D,$B63,DATA_GOC!$F:$F,"Xuất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63" s="222">
        <f>IF($B63="","",IF(O$4&gt;DAY(EOMONTH(DATE($D$2,$B$2,1),0)),"",SUMIFS(DATA_GOC!$H:$H,DATA_GOC!$A:$A,"BOM",DATA_GOC!$D:$D,$B63,DATA_GOC!$F:$F,"Xuất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63" s="222">
        <f>IF($B63="","",IF(P$4&gt;DAY(EOMONTH(DATE($D$2,$B$2,1),0)),"",SUMIFS(DATA_GOC!$H:$H,DATA_GOC!$A:$A,"BOM",DATA_GOC!$D:$D,$B63,DATA_GOC!$F:$F,"Xuất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63" s="222">
        <f>IF($B63="","",IF(Q$4&gt;DAY(EOMONTH(DATE($D$2,$B$2,1),0)),"",SUMIFS(DATA_GOC!$H:$H,DATA_GOC!$A:$A,"BOM",DATA_GOC!$D:$D,$B63,DATA_GOC!$F:$F,"Xuất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63" s="222">
        <f>IF($B63="","",IF(R$4&gt;DAY(EOMONTH(DATE($D$2,$B$2,1),0)),"",SUMIFS(DATA_GOC!$H:$H,DATA_GOC!$A:$A,"BOM",DATA_GOC!$D:$D,$B63,DATA_GOC!$F:$F,"Xuất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63" s="222">
        <f>IF($B63="","",IF(S$4&gt;DAY(EOMONTH(DATE($D$2,$B$2,1),0)),"",SUMIFS(DATA_GOC!$H:$H,DATA_GOC!$A:$A,"BOM",DATA_GOC!$D:$D,$B63,DATA_GOC!$F:$F,"Xuất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63" s="222">
        <f>IF($B63="","",IF(T$4&gt;DAY(EOMONTH(DATE($D$2,$B$2,1),0)),"",SUMIFS(DATA_GOC!$H:$H,DATA_GOC!$A:$A,"BOM",DATA_GOC!$D:$D,$B63,DATA_GOC!$F:$F,"Xuất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63" s="222">
        <f>IF($B63="","",IF(U$4&gt;DAY(EOMONTH(DATE($D$2,$B$2,1),0)),"",SUMIFS(DATA_GOC!$H:$H,DATA_GOC!$A:$A,"BOM",DATA_GOC!$D:$D,$B63,DATA_GOC!$F:$F,"Xuất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63" s="222">
        <f>IF($B63="","",IF(V$4&gt;DAY(EOMONTH(DATE($D$2,$B$2,1),0)),"",SUMIFS(DATA_GOC!$H:$H,DATA_GOC!$A:$A,"BOM",DATA_GOC!$D:$D,$B63,DATA_GOC!$F:$F,"Xuất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63" s="222">
        <f>IF($B63="","",IF(W$4&gt;DAY(EOMONTH(DATE($D$2,$B$2,1),0)),"",SUMIFS(DATA_GOC!$H:$H,DATA_GOC!$A:$A,"BOM",DATA_GOC!$D:$D,$B63,DATA_GOC!$F:$F,"Xuất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63" s="222">
        <f>IF($B63="","",IF(X$4&gt;DAY(EOMONTH(DATE($D$2,$B$2,1),0)),"",SUMIFS(DATA_GOC!$H:$H,DATA_GOC!$A:$A,"BOM",DATA_GOC!$D:$D,$B63,DATA_GOC!$F:$F,"Xuất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63" s="222">
        <f>IF($B63="","",IF(Y$4&gt;DAY(EOMONTH(DATE($D$2,$B$2,1),0)),"",SUMIFS(DATA_GOC!$H:$H,DATA_GOC!$A:$A,"BOM",DATA_GOC!$D:$D,$B63,DATA_GOC!$F:$F,"Xuất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63" s="222">
        <f>IF($B63="","",IF(Z$4&gt;DAY(EOMONTH(DATE($D$2,$B$2,1),0)),"",SUMIFS(DATA_GOC!$H:$H,DATA_GOC!$A:$A,"BOM",DATA_GOC!$D:$D,$B63,DATA_GOC!$F:$F,"Xuất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63" s="222">
        <f>IF($B63="","",IF(AA$4&gt;DAY(EOMONTH(DATE($D$2,$B$2,1),0)),"",SUMIFS(DATA_GOC!$H:$H,DATA_GOC!$A:$A,"BOM",DATA_GOC!$D:$D,$B63,DATA_GOC!$F:$F,"Xuất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63" s="222">
        <f>IF($B63="","",IF(AB$4&gt;DAY(EOMONTH(DATE($D$2,$B$2,1),0)),"",SUMIFS(DATA_GOC!$H:$H,DATA_GOC!$A:$A,"BOM",DATA_GOC!$D:$D,$B63,DATA_GOC!$F:$F,"Xuất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63" s="222">
        <f>IF($B63="","",IF(AC$4&gt;DAY(EOMONTH(DATE($D$2,$B$2,1),0)),"",SUMIFS(DATA_GOC!$H:$H,DATA_GOC!$A:$A,"BOM",DATA_GOC!$D:$D,$B63,DATA_GOC!$F:$F,"Xuất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63" s="222">
        <f>IF($B63="","",IF(AD$4&gt;DAY(EOMONTH(DATE($D$2,$B$2,1),0)),"",SUMIFS(DATA_GOC!$H:$H,DATA_GOC!$A:$A,"BOM",DATA_GOC!$D:$D,$B63,DATA_GOC!$F:$F,"Xuất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63" s="222">
        <f>IF($B63="","",IF(AE$4&gt;DAY(EOMONTH(DATE($D$2,$B$2,1),0)),"",SUMIFS(DATA_GOC!$H:$H,DATA_GOC!$A:$A,"BOM",DATA_GOC!$D:$D,$B63,DATA_GOC!$F:$F,"Xuất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63" s="222">
        <f>IF($B63="","",IF(AF$4&gt;DAY(EOMONTH(DATE($D$2,$B$2,1),0)),"",SUMIFS(DATA_GOC!$H:$H,DATA_GOC!$A:$A,"BOM",DATA_GOC!$D:$D,$B63,DATA_GOC!$F:$F,"Xuất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63" s="222">
        <f>IF($B63="","",IF(AG$4&gt;DAY(EOMONTH(DATE($D$2,$B$2,1),0)),"",SUMIFS(DATA_GOC!$H:$H,DATA_GOC!$A:$A,"BOM",DATA_GOC!$D:$D,$B63,DATA_GOC!$F:$F,"Xuất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63" s="223">
        <f t="shared" si="2"/>
        <v>0</v>
      </c>
      <c r="AI63" s="224">
        <f>IF($B63="","",SUMIFS(DATA_GOC!$H:$H,DATA_GOC!$A:$A,"BOM",DATA_GOC!$D:$D,$B63,DATA_GOC!$F:$F,"Bơm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63" s="224">
        <f>IF($B63="","",SUMIFS(TINH_TEC!$K$233:$K$9232,TINH_TEC!$H$233:$H$9232,$B63,TINH_TEC!$F$233:$F$9232,$B$2,TINH_TEC!$G$233:$G$9232,$D$2,TINH_TEC!$B$233:$B$9232,"Đã chốt"))</f>
        <v>0</v>
      </c>
      <c r="AK63" s="224">
        <f>IF($B63="","",SUMIFS(TINH_TEC!$K$233:$K$9232,TINH_TEC!$H$233:$H$9232,$B63,TINH_TEC!$F$233:$F$9232,$B$2,TINH_TEC!$G$233:$G$9232,$D$2,TINH_TEC!$B$233:$B$9232,"Đã chốt"))</f>
        <v>0</v>
      </c>
      <c r="AL63" s="225">
        <f t="shared" si="3"/>
        <v>0</v>
      </c>
      <c r="AM63" s="222">
        <f>IF($B63="","",SUMIFS(DATA_GOC!$K:$K,DATA_GOC!$A:$A,"BOM",DATA_GOC!$D:$D,$B63,DATA_GOC!$G:$G,"DO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63" s="226" t="str">
        <f t="shared" si="4"/>
        <v/>
      </c>
      <c r="AO63" s="227" t="str">
        <f t="shared" si="5"/>
        <v/>
      </c>
      <c r="AP63" s="226" t="str">
        <f>IF($B63="","",IFERROR(AO63-(SUMIFS(DATA_GOC!$H:$H,DATA_GOC!$A:$A,"BOM",DATA_GOC!$D:$D,$B63,DATA_GOC!$F:$F,"Xuất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3" s="59">
        <v>2.0</v>
      </c>
      <c r="AR63" s="59">
        <v>2026.0</v>
      </c>
      <c r="AS63" s="59" t="s">
        <v>133</v>
      </c>
      <c r="AT63" s="59">
        <v>111.623</v>
      </c>
      <c r="AU63" s="59">
        <v>0.0</v>
      </c>
      <c r="AV63" s="59">
        <v>111.623</v>
      </c>
      <c r="AY63" s="59">
        <v>108.623</v>
      </c>
      <c r="AZ63" s="59">
        <v>3.0</v>
      </c>
      <c r="BA63" s="59">
        <v>3.623</v>
      </c>
      <c r="BB63" s="59">
        <v>0.0</v>
      </c>
      <c r="BC63" s="59" t="s">
        <v>418</v>
      </c>
    </row>
    <row r="64" ht="15.0" customHeight="1">
      <c r="A64" s="220">
        <f t="shared" si="1"/>
        <v>60</v>
      </c>
      <c r="B64" s="221" t="str">
        <f t="array" ref="B64">IFERROR(INDEX(DANH_MUC!$E:$E,ROW()-1),"")</f>
        <v>Xe ben mới</v>
      </c>
      <c r="C64" s="222">
        <f>IF($B64="","",IF(C$4&gt;DAY(EOMONTH(DATE($D$2,$B$2,1),0)),"",SUMIFS(DATA_GOC!$H:$H,DATA_GOC!$A:$A,"BOM",DATA_GOC!$D:$D,$B64,DATA_GOC!$F:$F,"Xuất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>0</v>
      </c>
      <c r="D64" s="222">
        <f>IF($B64="","",IF(D$4&gt;DAY(EOMONTH(DATE($D$2,$B$2,1),0)),"",SUMIFS(DATA_GOC!$H:$H,DATA_GOC!$A:$A,"BOM",DATA_GOC!$D:$D,$B64,DATA_GOC!$F:$F,"Xuất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>0</v>
      </c>
      <c r="E64" s="222">
        <f>IF($B64="","",IF(E$4&gt;DAY(EOMONTH(DATE($D$2,$B$2,1),0)),"",SUMIFS(DATA_GOC!$H:$H,DATA_GOC!$A:$A,"BOM",DATA_GOC!$D:$D,$B64,DATA_GOC!$F:$F,"Xuất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>40</v>
      </c>
      <c r="F64" s="222">
        <f>IF($B64="","",IF(F$4&gt;DAY(EOMONTH(DATE($D$2,$B$2,1),0)),"",SUMIFS(DATA_GOC!$H:$H,DATA_GOC!$A:$A,"BOM",DATA_GOC!$D:$D,$B64,DATA_GOC!$F:$F,"Xuất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>0</v>
      </c>
      <c r="G64" s="222">
        <f>IF($B64="","",IF(G$4&gt;DAY(EOMONTH(DATE($D$2,$B$2,1),0)),"",SUMIFS(DATA_GOC!$H:$H,DATA_GOC!$A:$A,"BOM",DATA_GOC!$D:$D,$B64,DATA_GOC!$F:$F,"Xuất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>0</v>
      </c>
      <c r="H64" s="222">
        <f>IF($B64="","",IF(H$4&gt;DAY(EOMONTH(DATE($D$2,$B$2,1),0)),"",SUMIFS(DATA_GOC!$H:$H,DATA_GOC!$A:$A,"BOM",DATA_GOC!$D:$D,$B64,DATA_GOC!$F:$F,"Xuất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>0</v>
      </c>
      <c r="I64" s="222">
        <f>IF($B64="","",IF(I$4&gt;DAY(EOMONTH(DATE($D$2,$B$2,1),0)),"",SUMIFS(DATA_GOC!$H:$H,DATA_GOC!$A:$A,"BOM",DATA_GOC!$D:$D,$B64,DATA_GOC!$F:$F,"Xuất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>0</v>
      </c>
      <c r="J64" s="222">
        <f>IF($B64="","",IF(J$4&gt;DAY(EOMONTH(DATE($D$2,$B$2,1),0)),"",SUMIFS(DATA_GOC!$H:$H,DATA_GOC!$A:$A,"BOM",DATA_GOC!$D:$D,$B64,DATA_GOC!$F:$F,"Xuất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>0</v>
      </c>
      <c r="K64" s="222">
        <f>IF($B64="","",IF(K$4&gt;DAY(EOMONTH(DATE($D$2,$B$2,1),0)),"",SUMIFS(DATA_GOC!$H:$H,DATA_GOC!$A:$A,"BOM",DATA_GOC!$D:$D,$B64,DATA_GOC!$F:$F,"Xuất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>0</v>
      </c>
      <c r="L64" s="222">
        <f>IF($B64="","",IF(L$4&gt;DAY(EOMONTH(DATE($D$2,$B$2,1),0)),"",SUMIFS(DATA_GOC!$H:$H,DATA_GOC!$A:$A,"BOM",DATA_GOC!$D:$D,$B64,DATA_GOC!$F:$F,"Xuất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>0</v>
      </c>
      <c r="M64" s="222">
        <f>IF($B64="","",IF(M$4&gt;DAY(EOMONTH(DATE($D$2,$B$2,1),0)),"",SUMIFS(DATA_GOC!$H:$H,DATA_GOC!$A:$A,"BOM",DATA_GOC!$D:$D,$B64,DATA_GOC!$F:$F,"Xuất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>0</v>
      </c>
      <c r="N64" s="222">
        <f>IF($B64="","",IF(N$4&gt;DAY(EOMONTH(DATE($D$2,$B$2,1),0)),"",SUMIFS(DATA_GOC!$H:$H,DATA_GOC!$A:$A,"BOM",DATA_GOC!$D:$D,$B64,DATA_GOC!$F:$F,"Xuất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>0</v>
      </c>
      <c r="O64" s="222">
        <f>IF($B64="","",IF(O$4&gt;DAY(EOMONTH(DATE($D$2,$B$2,1),0)),"",SUMIFS(DATA_GOC!$H:$H,DATA_GOC!$A:$A,"BOM",DATA_GOC!$D:$D,$B64,DATA_GOC!$F:$F,"Xuất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>0</v>
      </c>
      <c r="P64" s="222">
        <f>IF($B64="","",IF(P$4&gt;DAY(EOMONTH(DATE($D$2,$B$2,1),0)),"",SUMIFS(DATA_GOC!$H:$H,DATA_GOC!$A:$A,"BOM",DATA_GOC!$D:$D,$B64,DATA_GOC!$F:$F,"Xuất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>0</v>
      </c>
      <c r="Q64" s="222">
        <f>IF($B64="","",IF(Q$4&gt;DAY(EOMONTH(DATE($D$2,$B$2,1),0)),"",SUMIFS(DATA_GOC!$H:$H,DATA_GOC!$A:$A,"BOM",DATA_GOC!$D:$D,$B64,DATA_GOC!$F:$F,"Xuất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>0</v>
      </c>
      <c r="R64" s="222">
        <f>IF($B64="","",IF(R$4&gt;DAY(EOMONTH(DATE($D$2,$B$2,1),0)),"",SUMIFS(DATA_GOC!$H:$H,DATA_GOC!$A:$A,"BOM",DATA_GOC!$D:$D,$B64,DATA_GOC!$F:$F,"Xuất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>0</v>
      </c>
      <c r="S64" s="222">
        <f>IF($B64="","",IF(S$4&gt;DAY(EOMONTH(DATE($D$2,$B$2,1),0)),"",SUMIFS(DATA_GOC!$H:$H,DATA_GOC!$A:$A,"BOM",DATA_GOC!$D:$D,$B64,DATA_GOC!$F:$F,"Xuất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>0</v>
      </c>
      <c r="T64" s="222">
        <f>IF($B64="","",IF(T$4&gt;DAY(EOMONTH(DATE($D$2,$B$2,1),0)),"",SUMIFS(DATA_GOC!$H:$H,DATA_GOC!$A:$A,"BOM",DATA_GOC!$D:$D,$B64,DATA_GOC!$F:$F,"Xuất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>0</v>
      </c>
      <c r="U64" s="222">
        <f>IF($B64="","",IF(U$4&gt;DAY(EOMONTH(DATE($D$2,$B$2,1),0)),"",SUMIFS(DATA_GOC!$H:$H,DATA_GOC!$A:$A,"BOM",DATA_GOC!$D:$D,$B64,DATA_GOC!$F:$F,"Xuất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>0</v>
      </c>
      <c r="V64" s="222">
        <f>IF($B64="","",IF(V$4&gt;DAY(EOMONTH(DATE($D$2,$B$2,1),0)),"",SUMIFS(DATA_GOC!$H:$H,DATA_GOC!$A:$A,"BOM",DATA_GOC!$D:$D,$B64,DATA_GOC!$F:$F,"Xuất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>0</v>
      </c>
      <c r="W64" s="222">
        <f>IF($B64="","",IF(W$4&gt;DAY(EOMONTH(DATE($D$2,$B$2,1),0)),"",SUMIFS(DATA_GOC!$H:$H,DATA_GOC!$A:$A,"BOM",DATA_GOC!$D:$D,$B64,DATA_GOC!$F:$F,"Xuất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>0</v>
      </c>
      <c r="X64" s="222">
        <f>IF($B64="","",IF(X$4&gt;DAY(EOMONTH(DATE($D$2,$B$2,1),0)),"",SUMIFS(DATA_GOC!$H:$H,DATA_GOC!$A:$A,"BOM",DATA_GOC!$D:$D,$B64,DATA_GOC!$F:$F,"Xuất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>0</v>
      </c>
      <c r="Y64" s="222">
        <f>IF($B64="","",IF(Y$4&gt;DAY(EOMONTH(DATE($D$2,$B$2,1),0)),"",SUMIFS(DATA_GOC!$H:$H,DATA_GOC!$A:$A,"BOM",DATA_GOC!$D:$D,$B64,DATA_GOC!$F:$F,"Xuất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>0</v>
      </c>
      <c r="Z64" s="222">
        <f>IF($B64="","",IF(Z$4&gt;DAY(EOMONTH(DATE($D$2,$B$2,1),0)),"",SUMIFS(DATA_GOC!$H:$H,DATA_GOC!$A:$A,"BOM",DATA_GOC!$D:$D,$B64,DATA_GOC!$F:$F,"Xuất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>0</v>
      </c>
      <c r="AA64" s="222">
        <f>IF($B64="","",IF(AA$4&gt;DAY(EOMONTH(DATE($D$2,$B$2,1),0)),"",SUMIFS(DATA_GOC!$H:$H,DATA_GOC!$A:$A,"BOM",DATA_GOC!$D:$D,$B64,DATA_GOC!$F:$F,"Xuất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>0</v>
      </c>
      <c r="AB64" s="222">
        <f>IF($B64="","",IF(AB$4&gt;DAY(EOMONTH(DATE($D$2,$B$2,1),0)),"",SUMIFS(DATA_GOC!$H:$H,DATA_GOC!$A:$A,"BOM",DATA_GOC!$D:$D,$B64,DATA_GOC!$F:$F,"Xuất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>0</v>
      </c>
      <c r="AC64" s="222">
        <f>IF($B64="","",IF(AC$4&gt;DAY(EOMONTH(DATE($D$2,$B$2,1),0)),"",SUMIFS(DATA_GOC!$H:$H,DATA_GOC!$A:$A,"BOM",DATA_GOC!$D:$D,$B64,DATA_GOC!$F:$F,"Xuất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>0</v>
      </c>
      <c r="AD64" s="222">
        <f>IF($B64="","",IF(AD$4&gt;DAY(EOMONTH(DATE($D$2,$B$2,1),0)),"",SUMIFS(DATA_GOC!$H:$H,DATA_GOC!$A:$A,"BOM",DATA_GOC!$D:$D,$B64,DATA_GOC!$F:$F,"Xuất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>0</v>
      </c>
      <c r="AE64" s="222">
        <f>IF($B64="","",IF(AE$4&gt;DAY(EOMONTH(DATE($D$2,$B$2,1),0)),"",SUMIFS(DATA_GOC!$H:$H,DATA_GOC!$A:$A,"BOM",DATA_GOC!$D:$D,$B64,DATA_GOC!$F:$F,"Xuất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>0</v>
      </c>
      <c r="AF64" s="222">
        <f>IF($B64="","",IF(AF$4&gt;DAY(EOMONTH(DATE($D$2,$B$2,1),0)),"",SUMIFS(DATA_GOC!$H:$H,DATA_GOC!$A:$A,"BOM",DATA_GOC!$D:$D,$B64,DATA_GOC!$F:$F,"Xuất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>0</v>
      </c>
      <c r="AG64" s="222">
        <f>IF($B64="","",IF(AG$4&gt;DAY(EOMONTH(DATE($D$2,$B$2,1),0)),"",SUMIFS(DATA_GOC!$H:$H,DATA_GOC!$A:$A,"BOM",DATA_GOC!$D:$D,$B64,DATA_GOC!$F:$F,"Xuất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>0</v>
      </c>
      <c r="AH64" s="222">
        <f t="shared" si="2"/>
        <v>40</v>
      </c>
      <c r="AI64" s="224">
        <f>IF($B64="","",SUMIFS(DATA_GOC!$H:$H,DATA_GOC!$A:$A,"BOM",DATA_GOC!$D:$D,$B64,DATA_GOC!$F:$F,"Bơm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J64" s="224">
        <f>IF($B64="","",SUMIFS(TINH_TEC!$K$233:$K$9232,TINH_TEC!$H$233:$H$9232,$B64,TINH_TEC!$F$233:$F$9232,$B$2,TINH_TEC!$G$233:$G$9232,$D$2,TINH_TEC!$B$233:$B$9232,"Đã chốt"))</f>
        <v>0</v>
      </c>
      <c r="AK64" s="224">
        <f>IF($B64="","",SUMIFS(TINH_TEC!$K$233:$K$9232,TINH_TEC!$H$233:$H$9232,$B64,TINH_TEC!$F$233:$F$9232,$B$2,TINH_TEC!$G$233:$G$9232,$D$2,TINH_TEC!$B$233:$B$9232,"Đã chốt"))</f>
        <v>0</v>
      </c>
      <c r="AL64" s="225">
        <f t="shared" si="3"/>
        <v>40</v>
      </c>
      <c r="AM64" s="222">
        <f>IF($B64="","",SUMIFS(DATA_GOC!$K:$K,DATA_GOC!$A:$A,"BOM",DATA_GOC!$D:$D,$B64,DATA_GOC!$G:$G,"DO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>0</v>
      </c>
      <c r="AN64" s="226" t="str">
        <f t="shared" si="4"/>
        <v/>
      </c>
      <c r="AO64" s="227" t="str">
        <f t="shared" si="5"/>
        <v/>
      </c>
      <c r="AP64" s="226" t="str">
        <f>IF($B64="","",IFERROR(AO64-(SUMIFS(DATA_GOC!$H:$H,DATA_GOC!$A:$A,"BOM",DATA_GOC!$D:$D,$B64,DATA_GOC!$F:$F,"Xuất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4" s="59">
        <v>2.0</v>
      </c>
      <c r="AR64" s="59">
        <v>2026.0</v>
      </c>
      <c r="AS64" s="59" t="s">
        <v>117</v>
      </c>
      <c r="AT64" s="59">
        <v>766.880353587858</v>
      </c>
      <c r="AU64" s="59">
        <v>0.0</v>
      </c>
      <c r="AV64" s="59">
        <v>766.880353587858</v>
      </c>
      <c r="AW64" s="59">
        <v>57.0</v>
      </c>
      <c r="AX64" s="59">
        <v>1345.40412910151</v>
      </c>
      <c r="AY64" s="59">
        <v>147.934</v>
      </c>
      <c r="AZ64" s="59">
        <v>618.946353587858</v>
      </c>
      <c r="BA64" s="59">
        <v>4.934</v>
      </c>
      <c r="BB64" s="59">
        <v>0.0</v>
      </c>
      <c r="BC64" s="59" t="s">
        <v>419</v>
      </c>
    </row>
    <row r="65" ht="15.0" customHeight="1">
      <c r="A65" s="61" t="str">
        <f t="shared" si="1"/>
        <v/>
      </c>
      <c r="B65" s="228" t="str">
        <f t="array" ref="B65">IFERROR(INDEX(DANH_MUC!$E:$E,ROW()-1),"")</f>
        <v/>
      </c>
      <c r="C65" s="228" t="str">
        <f>IF($B65="","",IF(C$4&gt;DAY(EOMONTH(DATE($D$2,$B$2,1),0)),"",SUMIFS(DATA_GOC!$H:$H,DATA_GOC!$A:$A,"BOM",DATA_GOC!$D:$D,$B65,DATA_GOC!$F:$F,"Xuất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65" s="61" t="str">
        <f>IF($B65="","",IF(D$4&gt;DAY(EOMONTH(DATE($D$2,$B$2,1),0)),"",SUMIFS(DATA_GOC!$H:$H,DATA_GOC!$A:$A,"BOM",DATA_GOC!$D:$D,$B65,DATA_GOC!$F:$F,"Xuất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65" s="229" t="str">
        <f>IF($B65="","",IF(E$4&gt;DAY(EOMONTH(DATE($D$2,$B$2,1),0)),"",SUMIFS(DATA_GOC!$H:$H,DATA_GOC!$A:$A,"BOM",DATA_GOC!$D:$D,$B65,DATA_GOC!$F:$F,"Xuất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65" s="229" t="str">
        <f>IF($B65="","",IF(F$4&gt;DAY(EOMONTH(DATE($D$2,$B$2,1),0)),"",SUMIFS(DATA_GOC!$H:$H,DATA_GOC!$A:$A,"BOM",DATA_GOC!$D:$D,$B65,DATA_GOC!$F:$F,"Xuất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65" s="229" t="str">
        <f>IF($B65="","",IF(G$4&gt;DAY(EOMONTH(DATE($D$2,$B$2,1),0)),"",SUMIFS(DATA_GOC!$H:$H,DATA_GOC!$A:$A,"BOM",DATA_GOC!$D:$D,$B65,DATA_GOC!$F:$F,"Xuất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65" s="228" t="str">
        <f>IF($B65="","",IF(H$4&gt;DAY(EOMONTH(DATE($D$2,$B$2,1),0)),"",SUMIFS(DATA_GOC!$H:$H,DATA_GOC!$A:$A,"BOM",DATA_GOC!$D:$D,$B65,DATA_GOC!$F:$F,"Xuất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65" s="229" t="str">
        <f>IF($B65="","",IF(I$4&gt;DAY(EOMONTH(DATE($D$2,$B$2,1),0)),"",SUMIFS(DATA_GOC!$H:$H,DATA_GOC!$A:$A,"BOM",DATA_GOC!$D:$D,$B65,DATA_GOC!$F:$F,"Xuất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65" s="229" t="str">
        <f>IF($B65="","",IF(J$4&gt;DAY(EOMONTH(DATE($D$2,$B$2,1),0)),"",SUMIFS(DATA_GOC!$H:$H,DATA_GOC!$A:$A,"BOM",DATA_GOC!$D:$D,$B65,DATA_GOC!$F:$F,"Xuất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65" s="229" t="str">
        <f>IF($B65="","",IF(K$4&gt;DAY(EOMONTH(DATE($D$2,$B$2,1),0)),"",SUMIFS(DATA_GOC!$H:$H,DATA_GOC!$A:$A,"BOM",DATA_GOC!$D:$D,$B65,DATA_GOC!$F:$F,"Xuất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65" s="229" t="str">
        <f>IF($B65="","",IF(L$4&gt;DAY(EOMONTH(DATE($D$2,$B$2,1),0)),"",SUMIFS(DATA_GOC!$H:$H,DATA_GOC!$A:$A,"BOM",DATA_GOC!$D:$D,$B65,DATA_GOC!$F:$F,"Xuất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65" s="229" t="str">
        <f>IF($B65="","",IF(M$4&gt;DAY(EOMONTH(DATE($D$2,$B$2,1),0)),"",SUMIFS(DATA_GOC!$H:$H,DATA_GOC!$A:$A,"BOM",DATA_GOC!$D:$D,$B65,DATA_GOC!$F:$F,"Xuất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65" s="61" t="str">
        <f>IF($B65="","",IF(N$4&gt;DAY(EOMONTH(DATE($D$2,$B$2,1),0)),"",SUMIFS(DATA_GOC!$H:$H,DATA_GOC!$A:$A,"BOM",DATA_GOC!$D:$D,$B65,DATA_GOC!$F:$F,"Xuất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65" s="61" t="str">
        <f>IF($B65="","",IF(O$4&gt;DAY(EOMONTH(DATE($D$2,$B$2,1),0)),"",SUMIFS(DATA_GOC!$H:$H,DATA_GOC!$A:$A,"BOM",DATA_GOC!$D:$D,$B65,DATA_GOC!$F:$F,"Xuất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65" s="61" t="str">
        <f>IF($B65="","",IF(P$4&gt;DAY(EOMONTH(DATE($D$2,$B$2,1),0)),"",SUMIFS(DATA_GOC!$H:$H,DATA_GOC!$A:$A,"BOM",DATA_GOC!$D:$D,$B65,DATA_GOC!$F:$F,"Xuất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65" s="61" t="str">
        <f>IF($B65="","",IF(Q$4&gt;DAY(EOMONTH(DATE($D$2,$B$2,1),0)),"",SUMIFS(DATA_GOC!$H:$H,DATA_GOC!$A:$A,"BOM",DATA_GOC!$D:$D,$B65,DATA_GOC!$F:$F,"Xuất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65" s="61" t="str">
        <f>IF($B65="","",IF(R$4&gt;DAY(EOMONTH(DATE($D$2,$B$2,1),0)),"",SUMIFS(DATA_GOC!$H:$H,DATA_GOC!$A:$A,"BOM",DATA_GOC!$D:$D,$B65,DATA_GOC!$F:$F,"Xuất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65" s="61" t="str">
        <f>IF($B65="","",IF(S$4&gt;DAY(EOMONTH(DATE($D$2,$B$2,1),0)),"",SUMIFS(DATA_GOC!$H:$H,DATA_GOC!$A:$A,"BOM",DATA_GOC!$D:$D,$B65,DATA_GOC!$F:$F,"Xuất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65" s="229" t="str">
        <f>IF($B65="","",IF(T$4&gt;DAY(EOMONTH(DATE($D$2,$B$2,1),0)),"",SUMIFS(DATA_GOC!$H:$H,DATA_GOC!$A:$A,"BOM",DATA_GOC!$D:$D,$B65,DATA_GOC!$F:$F,"Xuất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65" s="229" t="str">
        <f>IF($B65="","",IF(U$4&gt;DAY(EOMONTH(DATE($D$2,$B$2,1),0)),"",SUMIFS(DATA_GOC!$H:$H,DATA_GOC!$A:$A,"BOM",DATA_GOC!$D:$D,$B65,DATA_GOC!$F:$F,"Xuất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65" s="229" t="str">
        <f>IF($B65="","",IF(V$4&gt;DAY(EOMONTH(DATE($D$2,$B$2,1),0)),"",SUMIFS(DATA_GOC!$H:$H,DATA_GOC!$A:$A,"BOM",DATA_GOC!$D:$D,$B65,DATA_GOC!$F:$F,"Xuất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65" s="61" t="str">
        <f>IF($B65="","",IF(W$4&gt;DAY(EOMONTH(DATE($D$2,$B$2,1),0)),"",SUMIFS(DATA_GOC!$H:$H,DATA_GOC!$A:$A,"BOM",DATA_GOC!$D:$D,$B65,DATA_GOC!$F:$F,"Xuất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65" s="229" t="str">
        <f>IF($B65="","",IF(X$4&gt;DAY(EOMONTH(DATE($D$2,$B$2,1),0)),"",SUMIFS(DATA_GOC!$H:$H,DATA_GOC!$A:$A,"BOM",DATA_GOC!$D:$D,$B65,DATA_GOC!$F:$F,"Xuất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65" s="229" t="str">
        <f>IF($B65="","",IF(Y$4&gt;DAY(EOMONTH(DATE($D$2,$B$2,1),0)),"",SUMIFS(DATA_GOC!$H:$H,DATA_GOC!$A:$A,"BOM",DATA_GOC!$D:$D,$B65,DATA_GOC!$F:$F,"Xuất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65" s="229" t="str">
        <f>IF($B65="","",IF(Z$4&gt;DAY(EOMONTH(DATE($D$2,$B$2,1),0)),"",SUMIFS(DATA_GOC!$H:$H,DATA_GOC!$A:$A,"BOM",DATA_GOC!$D:$D,$B65,DATA_GOC!$F:$F,"Xuất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65" s="229" t="str">
        <f>IF($B65="","",IF(AA$4&gt;DAY(EOMONTH(DATE($D$2,$B$2,1),0)),"",SUMIFS(DATA_GOC!$H:$H,DATA_GOC!$A:$A,"BOM",DATA_GOC!$D:$D,$B65,DATA_GOC!$F:$F,"Xuất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65" s="229" t="str">
        <f>IF($B65="","",IF(AB$4&gt;DAY(EOMONTH(DATE($D$2,$B$2,1),0)),"",SUMIFS(DATA_GOC!$H:$H,DATA_GOC!$A:$A,"BOM",DATA_GOC!$D:$D,$B65,DATA_GOC!$F:$F,"Xuất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65" s="61" t="str">
        <f>IF($B65="","",IF(AC$4&gt;DAY(EOMONTH(DATE($D$2,$B$2,1),0)),"",SUMIFS(DATA_GOC!$H:$H,DATA_GOC!$A:$A,"BOM",DATA_GOC!$D:$D,$B65,DATA_GOC!$F:$F,"Xuất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65" s="222" t="str">
        <f>IF($B65="","",IF(AD$4&gt;DAY(EOMONTH(DATE($D$2,$B$2,1),0)),"",SUMIFS(DATA_GOC!$H:$H,DATA_GOC!$A:$A,"BOM",DATA_GOC!$D:$D,$B65,DATA_GOC!$F:$F,"Xuất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65" s="222" t="str">
        <f>IF($B65="","",IF(AE$4&gt;DAY(EOMONTH(DATE($D$2,$B$2,1),0)),"",SUMIFS(DATA_GOC!$H:$H,DATA_GOC!$A:$A,"BOM",DATA_GOC!$D:$D,$B65,DATA_GOC!$F:$F,"Xuất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65" s="222" t="str">
        <f>IF($B65="","",IF(AF$4&gt;DAY(EOMONTH(DATE($D$2,$B$2,1),0)),"",SUMIFS(DATA_GOC!$H:$H,DATA_GOC!$A:$A,"BOM",DATA_GOC!$D:$D,$B65,DATA_GOC!$F:$F,"Xuất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65" s="222" t="str">
        <f>IF($B65="","",IF(AG$4&gt;DAY(EOMONTH(DATE($D$2,$B$2,1),0)),"",SUMIFS(DATA_GOC!$H:$H,DATA_GOC!$A:$A,"BOM",DATA_GOC!$D:$D,$B65,DATA_GOC!$F:$F,"Xuất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65" s="222" t="str">
        <f t="shared" si="2"/>
        <v/>
      </c>
      <c r="AI65" s="222" t="str">
        <f>IF($B65="","",SUMIFS(DATA_GOC!$H:$H,DATA_GOC!$A:$A,"BOM",DATA_GOC!$D:$D,$B65,DATA_GOC!$F:$F,"Bơm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65" s="222" t="str">
        <f t="shared" si="3"/>
        <v/>
      </c>
      <c r="AM65" s="222" t="str">
        <f>IF($B65="","",SUMIFS(DATA_GOC!$K:$K,DATA_GOC!$A:$A,"BOM",DATA_GOC!$D:$D,$B65,DATA_GOC!$G:$G,"DO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65" s="222" t="str">
        <f t="shared" si="4"/>
        <v/>
      </c>
      <c r="AO65" s="227" t="str">
        <f t="shared" si="5"/>
        <v/>
      </c>
      <c r="AP65" s="226" t="str">
        <f>IF($B65="","",IFERROR(AO65-(SUMIFS(DATA_GOC!$H:$H,DATA_GOC!$A:$A,"BOM",DATA_GOC!$D:$D,$B65,DATA_GOC!$F:$F,"Xuất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5" s="59">
        <v>2.0</v>
      </c>
      <c r="AR65" s="59">
        <v>2026.0</v>
      </c>
      <c r="AS65" s="59" t="s">
        <v>136</v>
      </c>
      <c r="AT65" s="59">
        <v>251.878955302133</v>
      </c>
      <c r="AU65" s="59">
        <v>0.0</v>
      </c>
      <c r="AV65" s="59">
        <v>251.878955302133</v>
      </c>
      <c r="AW65" s="59">
        <v>3166.0</v>
      </c>
      <c r="AX65" s="59">
        <v>7.95574716683931</v>
      </c>
      <c r="AY65" s="59">
        <v>0.0</v>
      </c>
      <c r="AZ65" s="59">
        <v>251.878955302133</v>
      </c>
      <c r="BA65" s="59">
        <v>0.0</v>
      </c>
      <c r="BB65" s="59">
        <v>0.0</v>
      </c>
      <c r="BC65" s="59" t="s">
        <v>420</v>
      </c>
    </row>
    <row r="66" ht="15.0" customHeight="1">
      <c r="A66" s="61" t="str">
        <f t="shared" si="1"/>
        <v/>
      </c>
      <c r="B66" s="228" t="str">
        <f t="array" ref="B66">IFERROR(INDEX(DANH_MUC!$E:$E,ROW()-1),"")</f>
        <v/>
      </c>
      <c r="C66" s="228" t="str">
        <f>IF($B66="","",IF(C$4&gt;DAY(EOMONTH(DATE($D$2,$B$2,1),0)),"",SUMIFS(DATA_GOC!$H:$H,DATA_GOC!$A:$A,"BOM",DATA_GOC!$D:$D,$B66,DATA_GOC!$F:$F,"Xuất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66" s="61" t="str">
        <f>IF($B66="","",IF(D$4&gt;DAY(EOMONTH(DATE($D$2,$B$2,1),0)),"",SUMIFS(DATA_GOC!$H:$H,DATA_GOC!$A:$A,"BOM",DATA_GOC!$D:$D,$B66,DATA_GOC!$F:$F,"Xuất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66" s="229" t="str">
        <f>IF($B66="","",IF(E$4&gt;DAY(EOMONTH(DATE($D$2,$B$2,1),0)),"",SUMIFS(DATA_GOC!$H:$H,DATA_GOC!$A:$A,"BOM",DATA_GOC!$D:$D,$B66,DATA_GOC!$F:$F,"Xuất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66" s="229" t="str">
        <f>IF($B66="","",IF(F$4&gt;DAY(EOMONTH(DATE($D$2,$B$2,1),0)),"",SUMIFS(DATA_GOC!$H:$H,DATA_GOC!$A:$A,"BOM",DATA_GOC!$D:$D,$B66,DATA_GOC!$F:$F,"Xuất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66" s="229" t="str">
        <f>IF($B66="","",IF(G$4&gt;DAY(EOMONTH(DATE($D$2,$B$2,1),0)),"",SUMIFS(DATA_GOC!$H:$H,DATA_GOC!$A:$A,"BOM",DATA_GOC!$D:$D,$B66,DATA_GOC!$F:$F,"Xuất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66" s="228" t="str">
        <f>IF($B66="","",IF(H$4&gt;DAY(EOMONTH(DATE($D$2,$B$2,1),0)),"",SUMIFS(DATA_GOC!$H:$H,DATA_GOC!$A:$A,"BOM",DATA_GOC!$D:$D,$B66,DATA_GOC!$F:$F,"Xuất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66" s="229" t="str">
        <f>IF($B66="","",IF(I$4&gt;DAY(EOMONTH(DATE($D$2,$B$2,1),0)),"",SUMIFS(DATA_GOC!$H:$H,DATA_GOC!$A:$A,"BOM",DATA_GOC!$D:$D,$B66,DATA_GOC!$F:$F,"Xuất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66" s="229" t="str">
        <f>IF($B66="","",IF(J$4&gt;DAY(EOMONTH(DATE($D$2,$B$2,1),0)),"",SUMIFS(DATA_GOC!$H:$H,DATA_GOC!$A:$A,"BOM",DATA_GOC!$D:$D,$B66,DATA_GOC!$F:$F,"Xuất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66" s="229" t="str">
        <f>IF($B66="","",IF(K$4&gt;DAY(EOMONTH(DATE($D$2,$B$2,1),0)),"",SUMIFS(DATA_GOC!$H:$H,DATA_GOC!$A:$A,"BOM",DATA_GOC!$D:$D,$B66,DATA_GOC!$F:$F,"Xuất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66" s="229" t="str">
        <f>IF($B66="","",IF(L$4&gt;DAY(EOMONTH(DATE($D$2,$B$2,1),0)),"",SUMIFS(DATA_GOC!$H:$H,DATA_GOC!$A:$A,"BOM",DATA_GOC!$D:$D,$B66,DATA_GOC!$F:$F,"Xuất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66" s="229" t="str">
        <f>IF($B66="","",IF(M$4&gt;DAY(EOMONTH(DATE($D$2,$B$2,1),0)),"",SUMIFS(DATA_GOC!$H:$H,DATA_GOC!$A:$A,"BOM",DATA_GOC!$D:$D,$B66,DATA_GOC!$F:$F,"Xuất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66" s="61" t="str">
        <f>IF($B66="","",IF(N$4&gt;DAY(EOMONTH(DATE($D$2,$B$2,1),0)),"",SUMIFS(DATA_GOC!$H:$H,DATA_GOC!$A:$A,"BOM",DATA_GOC!$D:$D,$B66,DATA_GOC!$F:$F,"Xuất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66" s="61" t="str">
        <f>IF($B66="","",IF(O$4&gt;DAY(EOMONTH(DATE($D$2,$B$2,1),0)),"",SUMIFS(DATA_GOC!$H:$H,DATA_GOC!$A:$A,"BOM",DATA_GOC!$D:$D,$B66,DATA_GOC!$F:$F,"Xuất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66" s="61" t="str">
        <f>IF($B66="","",IF(P$4&gt;DAY(EOMONTH(DATE($D$2,$B$2,1),0)),"",SUMIFS(DATA_GOC!$H:$H,DATA_GOC!$A:$A,"BOM",DATA_GOC!$D:$D,$B66,DATA_GOC!$F:$F,"Xuất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66" s="61" t="str">
        <f>IF($B66="","",IF(Q$4&gt;DAY(EOMONTH(DATE($D$2,$B$2,1),0)),"",SUMIFS(DATA_GOC!$H:$H,DATA_GOC!$A:$A,"BOM",DATA_GOC!$D:$D,$B66,DATA_GOC!$F:$F,"Xuất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66" s="61" t="str">
        <f>IF($B66="","",IF(R$4&gt;DAY(EOMONTH(DATE($D$2,$B$2,1),0)),"",SUMIFS(DATA_GOC!$H:$H,DATA_GOC!$A:$A,"BOM",DATA_GOC!$D:$D,$B66,DATA_GOC!$F:$F,"Xuất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66" s="61" t="str">
        <f>IF($B66="","",IF(S$4&gt;DAY(EOMONTH(DATE($D$2,$B$2,1),0)),"",SUMIFS(DATA_GOC!$H:$H,DATA_GOC!$A:$A,"BOM",DATA_GOC!$D:$D,$B66,DATA_GOC!$F:$F,"Xuất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66" s="229" t="str">
        <f>IF($B66="","",IF(T$4&gt;DAY(EOMONTH(DATE($D$2,$B$2,1),0)),"",SUMIFS(DATA_GOC!$H:$H,DATA_GOC!$A:$A,"BOM",DATA_GOC!$D:$D,$B66,DATA_GOC!$F:$F,"Xuất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66" s="229" t="str">
        <f>IF($B66="","",IF(U$4&gt;DAY(EOMONTH(DATE($D$2,$B$2,1),0)),"",SUMIFS(DATA_GOC!$H:$H,DATA_GOC!$A:$A,"BOM",DATA_GOC!$D:$D,$B66,DATA_GOC!$F:$F,"Xuất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66" s="229" t="str">
        <f>IF($B66="","",IF(V$4&gt;DAY(EOMONTH(DATE($D$2,$B$2,1),0)),"",SUMIFS(DATA_GOC!$H:$H,DATA_GOC!$A:$A,"BOM",DATA_GOC!$D:$D,$B66,DATA_GOC!$F:$F,"Xuất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66" s="61" t="str">
        <f>IF($B66="","",IF(W$4&gt;DAY(EOMONTH(DATE($D$2,$B$2,1),0)),"",SUMIFS(DATA_GOC!$H:$H,DATA_GOC!$A:$A,"BOM",DATA_GOC!$D:$D,$B66,DATA_GOC!$F:$F,"Xuất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66" s="229" t="str">
        <f>IF($B66="","",IF(X$4&gt;DAY(EOMONTH(DATE($D$2,$B$2,1),0)),"",SUMIFS(DATA_GOC!$H:$H,DATA_GOC!$A:$A,"BOM",DATA_GOC!$D:$D,$B66,DATA_GOC!$F:$F,"Xuất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66" s="229" t="str">
        <f>IF($B66="","",IF(Y$4&gt;DAY(EOMONTH(DATE($D$2,$B$2,1),0)),"",SUMIFS(DATA_GOC!$H:$H,DATA_GOC!$A:$A,"BOM",DATA_GOC!$D:$D,$B66,DATA_GOC!$F:$F,"Xuất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66" s="229" t="str">
        <f>IF($B66="","",IF(Z$4&gt;DAY(EOMONTH(DATE($D$2,$B$2,1),0)),"",SUMIFS(DATA_GOC!$H:$H,DATA_GOC!$A:$A,"BOM",DATA_GOC!$D:$D,$B66,DATA_GOC!$F:$F,"Xuất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66" s="229" t="str">
        <f>IF($B66="","",IF(AA$4&gt;DAY(EOMONTH(DATE($D$2,$B$2,1),0)),"",SUMIFS(DATA_GOC!$H:$H,DATA_GOC!$A:$A,"BOM",DATA_GOC!$D:$D,$B66,DATA_GOC!$F:$F,"Xuất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66" s="229" t="str">
        <f>IF($B66="","",IF(AB$4&gt;DAY(EOMONTH(DATE($D$2,$B$2,1),0)),"",SUMIFS(DATA_GOC!$H:$H,DATA_GOC!$A:$A,"BOM",DATA_GOC!$D:$D,$B66,DATA_GOC!$F:$F,"Xuất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66" s="61" t="str">
        <f>IF($B66="","",IF(AC$4&gt;DAY(EOMONTH(DATE($D$2,$B$2,1),0)),"",SUMIFS(DATA_GOC!$H:$H,DATA_GOC!$A:$A,"BOM",DATA_GOC!$D:$D,$B66,DATA_GOC!$F:$F,"Xuất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66" s="222" t="str">
        <f>IF($B66="","",IF(AD$4&gt;DAY(EOMONTH(DATE($D$2,$B$2,1),0)),"",SUMIFS(DATA_GOC!$H:$H,DATA_GOC!$A:$A,"BOM",DATA_GOC!$D:$D,$B66,DATA_GOC!$F:$F,"Xuất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66" s="222" t="str">
        <f>IF($B66="","",IF(AE$4&gt;DAY(EOMONTH(DATE($D$2,$B$2,1),0)),"",SUMIFS(DATA_GOC!$H:$H,DATA_GOC!$A:$A,"BOM",DATA_GOC!$D:$D,$B66,DATA_GOC!$F:$F,"Xuất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66" s="222" t="str">
        <f>IF($B66="","",IF(AF$4&gt;DAY(EOMONTH(DATE($D$2,$B$2,1),0)),"",SUMIFS(DATA_GOC!$H:$H,DATA_GOC!$A:$A,"BOM",DATA_GOC!$D:$D,$B66,DATA_GOC!$F:$F,"Xuất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66" s="222" t="str">
        <f>IF($B66="","",IF(AG$4&gt;DAY(EOMONTH(DATE($D$2,$B$2,1),0)),"",SUMIFS(DATA_GOC!$H:$H,DATA_GOC!$A:$A,"BOM",DATA_GOC!$D:$D,$B66,DATA_GOC!$F:$F,"Xuất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66" s="222" t="str">
        <f t="shared" si="2"/>
        <v/>
      </c>
      <c r="AI66" s="222" t="str">
        <f>IF($B66="","",SUMIFS(DATA_GOC!$H:$H,DATA_GOC!$A:$A,"BOM",DATA_GOC!$D:$D,$B66,DATA_GOC!$F:$F,"Bơm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66" s="222" t="str">
        <f t="shared" si="3"/>
        <v/>
      </c>
      <c r="AM66" s="222" t="str">
        <f>IF($B66="","",SUMIFS(DATA_GOC!$K:$K,DATA_GOC!$A:$A,"BOM",DATA_GOC!$D:$D,$B66,DATA_GOC!$G:$G,"DO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66" s="222" t="str">
        <f t="shared" si="4"/>
        <v/>
      </c>
      <c r="AO66" s="227" t="str">
        <f t="shared" si="5"/>
        <v/>
      </c>
      <c r="AP66" s="226" t="str">
        <f>IF($B66="","",IFERROR(AO66-(SUMIFS(DATA_GOC!$H:$H,DATA_GOC!$A:$A,"BOM",DATA_GOC!$D:$D,$B66,DATA_GOC!$F:$F,"Xuất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6" s="59">
        <v>2.0</v>
      </c>
      <c r="AR66" s="59">
        <v>2026.0</v>
      </c>
      <c r="AS66" s="59" t="s">
        <v>135</v>
      </c>
      <c r="AT66" s="59">
        <v>120.672312297884</v>
      </c>
      <c r="AU66" s="59">
        <v>0.0</v>
      </c>
      <c r="AV66" s="59">
        <v>120.672312297884</v>
      </c>
      <c r="AW66" s="59">
        <v>1508.0</v>
      </c>
      <c r="AX66" s="59">
        <v>8.00214272532388</v>
      </c>
      <c r="AY66" s="59">
        <v>57.932</v>
      </c>
      <c r="AZ66" s="59">
        <v>62.7403122978841</v>
      </c>
      <c r="BA66" s="59">
        <v>1.932</v>
      </c>
      <c r="BB66" s="59">
        <v>0.0</v>
      </c>
      <c r="BC66" s="59" t="s">
        <v>421</v>
      </c>
    </row>
    <row r="67" ht="15.0" customHeight="1">
      <c r="A67" s="61" t="str">
        <f t="shared" si="1"/>
        <v/>
      </c>
      <c r="B67" s="228" t="str">
        <f t="array" ref="B67">IFERROR(INDEX(DANH_MUC!$E:$E,ROW()-1),"")</f>
        <v/>
      </c>
      <c r="C67" s="228" t="str">
        <f>IF($B67="","",IF(C$4&gt;DAY(EOMONTH(DATE($D$2,$B$2,1),0)),"",SUMIFS(DATA_GOC!$H:$H,DATA_GOC!$A:$A,"BOM",DATA_GOC!$D:$D,$B67,DATA_GOC!$F:$F,"Xuất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67" s="61" t="str">
        <f>IF($B67="","",IF(D$4&gt;DAY(EOMONTH(DATE($D$2,$B$2,1),0)),"",SUMIFS(DATA_GOC!$H:$H,DATA_GOC!$A:$A,"BOM",DATA_GOC!$D:$D,$B67,DATA_GOC!$F:$F,"Xuất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67" s="229" t="str">
        <f>IF($B67="","",IF(E$4&gt;DAY(EOMONTH(DATE($D$2,$B$2,1),0)),"",SUMIFS(DATA_GOC!$H:$H,DATA_GOC!$A:$A,"BOM",DATA_GOC!$D:$D,$B67,DATA_GOC!$F:$F,"Xuất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67" s="229" t="str">
        <f>IF($B67="","",IF(F$4&gt;DAY(EOMONTH(DATE($D$2,$B$2,1),0)),"",SUMIFS(DATA_GOC!$H:$H,DATA_GOC!$A:$A,"BOM",DATA_GOC!$D:$D,$B67,DATA_GOC!$F:$F,"Xuất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67" s="229" t="str">
        <f>IF($B67="","",IF(G$4&gt;DAY(EOMONTH(DATE($D$2,$B$2,1),0)),"",SUMIFS(DATA_GOC!$H:$H,DATA_GOC!$A:$A,"BOM",DATA_GOC!$D:$D,$B67,DATA_GOC!$F:$F,"Xuất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67" s="228" t="str">
        <f>IF($B67="","",IF(H$4&gt;DAY(EOMONTH(DATE($D$2,$B$2,1),0)),"",SUMIFS(DATA_GOC!$H:$H,DATA_GOC!$A:$A,"BOM",DATA_GOC!$D:$D,$B67,DATA_GOC!$F:$F,"Xuất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67" s="229" t="str">
        <f>IF($B67="","",IF(I$4&gt;DAY(EOMONTH(DATE($D$2,$B$2,1),0)),"",SUMIFS(DATA_GOC!$H:$H,DATA_GOC!$A:$A,"BOM",DATA_GOC!$D:$D,$B67,DATA_GOC!$F:$F,"Xuất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67" s="229" t="str">
        <f>IF($B67="","",IF(J$4&gt;DAY(EOMONTH(DATE($D$2,$B$2,1),0)),"",SUMIFS(DATA_GOC!$H:$H,DATA_GOC!$A:$A,"BOM",DATA_GOC!$D:$D,$B67,DATA_GOC!$F:$F,"Xuất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67" s="229" t="str">
        <f>IF($B67="","",IF(K$4&gt;DAY(EOMONTH(DATE($D$2,$B$2,1),0)),"",SUMIFS(DATA_GOC!$H:$H,DATA_GOC!$A:$A,"BOM",DATA_GOC!$D:$D,$B67,DATA_GOC!$F:$F,"Xuất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67" s="229" t="str">
        <f>IF($B67="","",IF(L$4&gt;DAY(EOMONTH(DATE($D$2,$B$2,1),0)),"",SUMIFS(DATA_GOC!$H:$H,DATA_GOC!$A:$A,"BOM",DATA_GOC!$D:$D,$B67,DATA_GOC!$F:$F,"Xuất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67" s="229" t="str">
        <f>IF($B67="","",IF(M$4&gt;DAY(EOMONTH(DATE($D$2,$B$2,1),0)),"",SUMIFS(DATA_GOC!$H:$H,DATA_GOC!$A:$A,"BOM",DATA_GOC!$D:$D,$B67,DATA_GOC!$F:$F,"Xuất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67" s="61" t="str">
        <f>IF($B67="","",IF(N$4&gt;DAY(EOMONTH(DATE($D$2,$B$2,1),0)),"",SUMIFS(DATA_GOC!$H:$H,DATA_GOC!$A:$A,"BOM",DATA_GOC!$D:$D,$B67,DATA_GOC!$F:$F,"Xuất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67" s="61" t="str">
        <f>IF($B67="","",IF(O$4&gt;DAY(EOMONTH(DATE($D$2,$B$2,1),0)),"",SUMIFS(DATA_GOC!$H:$H,DATA_GOC!$A:$A,"BOM",DATA_GOC!$D:$D,$B67,DATA_GOC!$F:$F,"Xuất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67" s="61" t="str">
        <f>IF($B67="","",IF(P$4&gt;DAY(EOMONTH(DATE($D$2,$B$2,1),0)),"",SUMIFS(DATA_GOC!$H:$H,DATA_GOC!$A:$A,"BOM",DATA_GOC!$D:$D,$B67,DATA_GOC!$F:$F,"Xuất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67" s="61" t="str">
        <f>IF($B67="","",IF(Q$4&gt;DAY(EOMONTH(DATE($D$2,$B$2,1),0)),"",SUMIFS(DATA_GOC!$H:$H,DATA_GOC!$A:$A,"BOM",DATA_GOC!$D:$D,$B67,DATA_GOC!$F:$F,"Xuất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67" s="61" t="str">
        <f>IF($B67="","",IF(R$4&gt;DAY(EOMONTH(DATE($D$2,$B$2,1),0)),"",SUMIFS(DATA_GOC!$H:$H,DATA_GOC!$A:$A,"BOM",DATA_GOC!$D:$D,$B67,DATA_GOC!$F:$F,"Xuất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67" s="61" t="str">
        <f>IF($B67="","",IF(S$4&gt;DAY(EOMONTH(DATE($D$2,$B$2,1),0)),"",SUMIFS(DATA_GOC!$H:$H,DATA_GOC!$A:$A,"BOM",DATA_GOC!$D:$D,$B67,DATA_GOC!$F:$F,"Xuất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67" s="229" t="str">
        <f>IF($B67="","",IF(T$4&gt;DAY(EOMONTH(DATE($D$2,$B$2,1),0)),"",SUMIFS(DATA_GOC!$H:$H,DATA_GOC!$A:$A,"BOM",DATA_GOC!$D:$D,$B67,DATA_GOC!$F:$F,"Xuất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67" s="229" t="str">
        <f>IF($B67="","",IF(U$4&gt;DAY(EOMONTH(DATE($D$2,$B$2,1),0)),"",SUMIFS(DATA_GOC!$H:$H,DATA_GOC!$A:$A,"BOM",DATA_GOC!$D:$D,$B67,DATA_GOC!$F:$F,"Xuất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67" s="229" t="str">
        <f>IF($B67="","",IF(V$4&gt;DAY(EOMONTH(DATE($D$2,$B$2,1),0)),"",SUMIFS(DATA_GOC!$H:$H,DATA_GOC!$A:$A,"BOM",DATA_GOC!$D:$D,$B67,DATA_GOC!$F:$F,"Xuất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67" s="61" t="str">
        <f>IF($B67="","",IF(W$4&gt;DAY(EOMONTH(DATE($D$2,$B$2,1),0)),"",SUMIFS(DATA_GOC!$H:$H,DATA_GOC!$A:$A,"BOM",DATA_GOC!$D:$D,$B67,DATA_GOC!$F:$F,"Xuất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67" s="229" t="str">
        <f>IF($B67="","",IF(X$4&gt;DAY(EOMONTH(DATE($D$2,$B$2,1),0)),"",SUMIFS(DATA_GOC!$H:$H,DATA_GOC!$A:$A,"BOM",DATA_GOC!$D:$D,$B67,DATA_GOC!$F:$F,"Xuất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67" s="229" t="str">
        <f>IF($B67="","",IF(Y$4&gt;DAY(EOMONTH(DATE($D$2,$B$2,1),0)),"",SUMIFS(DATA_GOC!$H:$H,DATA_GOC!$A:$A,"BOM",DATA_GOC!$D:$D,$B67,DATA_GOC!$F:$F,"Xuất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67" s="229" t="str">
        <f>IF($B67="","",IF(Z$4&gt;DAY(EOMONTH(DATE($D$2,$B$2,1),0)),"",SUMIFS(DATA_GOC!$H:$H,DATA_GOC!$A:$A,"BOM",DATA_GOC!$D:$D,$B67,DATA_GOC!$F:$F,"Xuất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67" s="229" t="str">
        <f>IF($B67="","",IF(AA$4&gt;DAY(EOMONTH(DATE($D$2,$B$2,1),0)),"",SUMIFS(DATA_GOC!$H:$H,DATA_GOC!$A:$A,"BOM",DATA_GOC!$D:$D,$B67,DATA_GOC!$F:$F,"Xuất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67" s="229" t="str">
        <f>IF($B67="","",IF(AB$4&gt;DAY(EOMONTH(DATE($D$2,$B$2,1),0)),"",SUMIFS(DATA_GOC!$H:$H,DATA_GOC!$A:$A,"BOM",DATA_GOC!$D:$D,$B67,DATA_GOC!$F:$F,"Xuất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67" s="61" t="str">
        <f>IF($B67="","",IF(AC$4&gt;DAY(EOMONTH(DATE($D$2,$B$2,1),0)),"",SUMIFS(DATA_GOC!$H:$H,DATA_GOC!$A:$A,"BOM",DATA_GOC!$D:$D,$B67,DATA_GOC!$F:$F,"Xuất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67" s="222" t="str">
        <f>IF($B67="","",IF(AD$4&gt;DAY(EOMONTH(DATE($D$2,$B$2,1),0)),"",SUMIFS(DATA_GOC!$H:$H,DATA_GOC!$A:$A,"BOM",DATA_GOC!$D:$D,$B67,DATA_GOC!$F:$F,"Xuất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67" s="222" t="str">
        <f>IF($B67="","",IF(AE$4&gt;DAY(EOMONTH(DATE($D$2,$B$2,1),0)),"",SUMIFS(DATA_GOC!$H:$H,DATA_GOC!$A:$A,"BOM",DATA_GOC!$D:$D,$B67,DATA_GOC!$F:$F,"Xuất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67" s="222" t="str">
        <f>IF($B67="","",IF(AF$4&gt;DAY(EOMONTH(DATE($D$2,$B$2,1),0)),"",SUMIFS(DATA_GOC!$H:$H,DATA_GOC!$A:$A,"BOM",DATA_GOC!$D:$D,$B67,DATA_GOC!$F:$F,"Xuất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67" s="222" t="str">
        <f>IF($B67="","",IF(AG$4&gt;DAY(EOMONTH(DATE($D$2,$B$2,1),0)),"",SUMIFS(DATA_GOC!$H:$H,DATA_GOC!$A:$A,"BOM",DATA_GOC!$D:$D,$B67,DATA_GOC!$F:$F,"Xuất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67" s="222" t="str">
        <f t="shared" si="2"/>
        <v/>
      </c>
      <c r="AI67" s="222" t="str">
        <f>IF($B67="","",SUMIFS(DATA_GOC!$H:$H,DATA_GOC!$A:$A,"BOM",DATA_GOC!$D:$D,$B67,DATA_GOC!$F:$F,"Bơm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67" s="222" t="str">
        <f t="shared" si="3"/>
        <v/>
      </c>
      <c r="AM67" s="222" t="str">
        <f>IF($B67="","",SUMIFS(DATA_GOC!$K:$K,DATA_GOC!$A:$A,"BOM",DATA_GOC!$D:$D,$B67,DATA_GOC!$G:$G,"DO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67" s="222" t="str">
        <f t="shared" si="4"/>
        <v/>
      </c>
      <c r="AO67" s="227" t="str">
        <f t="shared" si="5"/>
        <v/>
      </c>
      <c r="AP67" s="226" t="str">
        <f>IF($B67="","",IFERROR(AO67-(SUMIFS(DATA_GOC!$H:$H,DATA_GOC!$A:$A,"BOM",DATA_GOC!$D:$D,$B67,DATA_GOC!$F:$F,"Xuất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7" s="59">
        <v>2.0</v>
      </c>
      <c r="AR67" s="59">
        <v>2026.0</v>
      </c>
      <c r="AS67" s="59" t="s">
        <v>91</v>
      </c>
      <c r="AT67" s="59">
        <v>150.70280892246</v>
      </c>
      <c r="AU67" s="59">
        <v>0.0</v>
      </c>
      <c r="AV67" s="59">
        <v>150.70280892246</v>
      </c>
      <c r="AW67" s="59">
        <v>2402.0</v>
      </c>
      <c r="AX67" s="59">
        <v>6.27405532566443</v>
      </c>
      <c r="AY67" s="59">
        <v>0.0</v>
      </c>
      <c r="AZ67" s="59">
        <v>150.70280892246</v>
      </c>
      <c r="BA67" s="59">
        <v>0.0</v>
      </c>
      <c r="BB67" s="59">
        <v>0.0</v>
      </c>
      <c r="BC67" s="59" t="s">
        <v>422</v>
      </c>
    </row>
    <row r="68" ht="15.0" customHeight="1">
      <c r="A68" s="61" t="str">
        <f t="shared" si="1"/>
        <v/>
      </c>
      <c r="B68" s="228" t="str">
        <f t="array" ref="B68">IFERROR(INDEX(DANH_MUC!$E:$E,ROW()-1),"")</f>
        <v/>
      </c>
      <c r="C68" s="228" t="str">
        <f>IF($B68="","",IF(C$4&gt;DAY(EOMONTH(DATE($D$2,$B$2,1),0)),"",SUMIFS(DATA_GOC!$H:$H,DATA_GOC!$A:$A,"BOM",DATA_GOC!$D:$D,$B68,DATA_GOC!$F:$F,"Xuất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68" s="61" t="str">
        <f>IF($B68="","",IF(D$4&gt;DAY(EOMONTH(DATE($D$2,$B$2,1),0)),"",SUMIFS(DATA_GOC!$H:$H,DATA_GOC!$A:$A,"BOM",DATA_GOC!$D:$D,$B68,DATA_GOC!$F:$F,"Xuất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68" s="229" t="str">
        <f>IF($B68="","",IF(E$4&gt;DAY(EOMONTH(DATE($D$2,$B$2,1),0)),"",SUMIFS(DATA_GOC!$H:$H,DATA_GOC!$A:$A,"BOM",DATA_GOC!$D:$D,$B68,DATA_GOC!$F:$F,"Xuất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68" s="229" t="str">
        <f>IF($B68="","",IF(F$4&gt;DAY(EOMONTH(DATE($D$2,$B$2,1),0)),"",SUMIFS(DATA_GOC!$H:$H,DATA_GOC!$A:$A,"BOM",DATA_GOC!$D:$D,$B68,DATA_GOC!$F:$F,"Xuất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68" s="229" t="str">
        <f>IF($B68="","",IF(G$4&gt;DAY(EOMONTH(DATE($D$2,$B$2,1),0)),"",SUMIFS(DATA_GOC!$H:$H,DATA_GOC!$A:$A,"BOM",DATA_GOC!$D:$D,$B68,DATA_GOC!$F:$F,"Xuất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68" s="228" t="str">
        <f>IF($B68="","",IF(H$4&gt;DAY(EOMONTH(DATE($D$2,$B$2,1),0)),"",SUMIFS(DATA_GOC!$H:$H,DATA_GOC!$A:$A,"BOM",DATA_GOC!$D:$D,$B68,DATA_GOC!$F:$F,"Xuất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68" s="229" t="str">
        <f>IF($B68="","",IF(I$4&gt;DAY(EOMONTH(DATE($D$2,$B$2,1),0)),"",SUMIFS(DATA_GOC!$H:$H,DATA_GOC!$A:$A,"BOM",DATA_GOC!$D:$D,$B68,DATA_GOC!$F:$F,"Xuất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68" s="229" t="str">
        <f>IF($B68="","",IF(J$4&gt;DAY(EOMONTH(DATE($D$2,$B$2,1),0)),"",SUMIFS(DATA_GOC!$H:$H,DATA_GOC!$A:$A,"BOM",DATA_GOC!$D:$D,$B68,DATA_GOC!$F:$F,"Xuất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68" s="229" t="str">
        <f>IF($B68="","",IF(K$4&gt;DAY(EOMONTH(DATE($D$2,$B$2,1),0)),"",SUMIFS(DATA_GOC!$H:$H,DATA_GOC!$A:$A,"BOM",DATA_GOC!$D:$D,$B68,DATA_GOC!$F:$F,"Xuất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68" s="229" t="str">
        <f>IF($B68="","",IF(L$4&gt;DAY(EOMONTH(DATE($D$2,$B$2,1),0)),"",SUMIFS(DATA_GOC!$H:$H,DATA_GOC!$A:$A,"BOM",DATA_GOC!$D:$D,$B68,DATA_GOC!$F:$F,"Xuất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68" s="229" t="str">
        <f>IF($B68="","",IF(M$4&gt;DAY(EOMONTH(DATE($D$2,$B$2,1),0)),"",SUMIFS(DATA_GOC!$H:$H,DATA_GOC!$A:$A,"BOM",DATA_GOC!$D:$D,$B68,DATA_GOC!$F:$F,"Xuất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68" s="61" t="str">
        <f>IF($B68="","",IF(N$4&gt;DAY(EOMONTH(DATE($D$2,$B$2,1),0)),"",SUMIFS(DATA_GOC!$H:$H,DATA_GOC!$A:$A,"BOM",DATA_GOC!$D:$D,$B68,DATA_GOC!$F:$F,"Xuất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68" s="61" t="str">
        <f>IF($B68="","",IF(O$4&gt;DAY(EOMONTH(DATE($D$2,$B$2,1),0)),"",SUMIFS(DATA_GOC!$H:$H,DATA_GOC!$A:$A,"BOM",DATA_GOC!$D:$D,$B68,DATA_GOC!$F:$F,"Xuất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68" s="61" t="str">
        <f>IF($B68="","",IF(P$4&gt;DAY(EOMONTH(DATE($D$2,$B$2,1),0)),"",SUMIFS(DATA_GOC!$H:$H,DATA_GOC!$A:$A,"BOM",DATA_GOC!$D:$D,$B68,DATA_GOC!$F:$F,"Xuất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68" s="61" t="str">
        <f>IF($B68="","",IF(Q$4&gt;DAY(EOMONTH(DATE($D$2,$B$2,1),0)),"",SUMIFS(DATA_GOC!$H:$H,DATA_GOC!$A:$A,"BOM",DATA_GOC!$D:$D,$B68,DATA_GOC!$F:$F,"Xuất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68" s="61" t="str">
        <f>IF($B68="","",IF(R$4&gt;DAY(EOMONTH(DATE($D$2,$B$2,1),0)),"",SUMIFS(DATA_GOC!$H:$H,DATA_GOC!$A:$A,"BOM",DATA_GOC!$D:$D,$B68,DATA_GOC!$F:$F,"Xuất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68" s="61" t="str">
        <f>IF($B68="","",IF(S$4&gt;DAY(EOMONTH(DATE($D$2,$B$2,1),0)),"",SUMIFS(DATA_GOC!$H:$H,DATA_GOC!$A:$A,"BOM",DATA_GOC!$D:$D,$B68,DATA_GOC!$F:$F,"Xuất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68" s="229" t="str">
        <f>IF($B68="","",IF(T$4&gt;DAY(EOMONTH(DATE($D$2,$B$2,1),0)),"",SUMIFS(DATA_GOC!$H:$H,DATA_GOC!$A:$A,"BOM",DATA_GOC!$D:$D,$B68,DATA_GOC!$F:$F,"Xuất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68" s="229" t="str">
        <f>IF($B68="","",IF(U$4&gt;DAY(EOMONTH(DATE($D$2,$B$2,1),0)),"",SUMIFS(DATA_GOC!$H:$H,DATA_GOC!$A:$A,"BOM",DATA_GOC!$D:$D,$B68,DATA_GOC!$F:$F,"Xuất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68" s="229" t="str">
        <f>IF($B68="","",IF(V$4&gt;DAY(EOMONTH(DATE($D$2,$B$2,1),0)),"",SUMIFS(DATA_GOC!$H:$H,DATA_GOC!$A:$A,"BOM",DATA_GOC!$D:$D,$B68,DATA_GOC!$F:$F,"Xuất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68" s="61" t="str">
        <f>IF($B68="","",IF(W$4&gt;DAY(EOMONTH(DATE($D$2,$B$2,1),0)),"",SUMIFS(DATA_GOC!$H:$H,DATA_GOC!$A:$A,"BOM",DATA_GOC!$D:$D,$B68,DATA_GOC!$F:$F,"Xuất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68" s="229" t="str">
        <f>IF($B68="","",IF(X$4&gt;DAY(EOMONTH(DATE($D$2,$B$2,1),0)),"",SUMIFS(DATA_GOC!$H:$H,DATA_GOC!$A:$A,"BOM",DATA_GOC!$D:$D,$B68,DATA_GOC!$F:$F,"Xuất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68" s="229" t="str">
        <f>IF($B68="","",IF(Y$4&gt;DAY(EOMONTH(DATE($D$2,$B$2,1),0)),"",SUMIFS(DATA_GOC!$H:$H,DATA_GOC!$A:$A,"BOM",DATA_GOC!$D:$D,$B68,DATA_GOC!$F:$F,"Xuất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68" s="229" t="str">
        <f>IF($B68="","",IF(Z$4&gt;DAY(EOMONTH(DATE($D$2,$B$2,1),0)),"",SUMIFS(DATA_GOC!$H:$H,DATA_GOC!$A:$A,"BOM",DATA_GOC!$D:$D,$B68,DATA_GOC!$F:$F,"Xuất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68" s="229" t="str">
        <f>IF($B68="","",IF(AA$4&gt;DAY(EOMONTH(DATE($D$2,$B$2,1),0)),"",SUMIFS(DATA_GOC!$H:$H,DATA_GOC!$A:$A,"BOM",DATA_GOC!$D:$D,$B68,DATA_GOC!$F:$F,"Xuất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68" s="229" t="str">
        <f>IF($B68="","",IF(AB$4&gt;DAY(EOMONTH(DATE($D$2,$B$2,1),0)),"",SUMIFS(DATA_GOC!$H:$H,DATA_GOC!$A:$A,"BOM",DATA_GOC!$D:$D,$B68,DATA_GOC!$F:$F,"Xuất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68" s="61" t="str">
        <f>IF($B68="","",IF(AC$4&gt;DAY(EOMONTH(DATE($D$2,$B$2,1),0)),"",SUMIFS(DATA_GOC!$H:$H,DATA_GOC!$A:$A,"BOM",DATA_GOC!$D:$D,$B68,DATA_GOC!$F:$F,"Xuất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68" s="222" t="str">
        <f>IF($B68="","",IF(AD$4&gt;DAY(EOMONTH(DATE($D$2,$B$2,1),0)),"",SUMIFS(DATA_GOC!$H:$H,DATA_GOC!$A:$A,"BOM",DATA_GOC!$D:$D,$B68,DATA_GOC!$F:$F,"Xuất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68" s="222" t="str">
        <f>IF($B68="","",IF(AE$4&gt;DAY(EOMONTH(DATE($D$2,$B$2,1),0)),"",SUMIFS(DATA_GOC!$H:$H,DATA_GOC!$A:$A,"BOM",DATA_GOC!$D:$D,$B68,DATA_GOC!$F:$F,"Xuất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68" s="222" t="str">
        <f>IF($B68="","",IF(AF$4&gt;DAY(EOMONTH(DATE($D$2,$B$2,1),0)),"",SUMIFS(DATA_GOC!$H:$H,DATA_GOC!$A:$A,"BOM",DATA_GOC!$D:$D,$B68,DATA_GOC!$F:$F,"Xuất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68" s="222" t="str">
        <f>IF($B68="","",IF(AG$4&gt;DAY(EOMONTH(DATE($D$2,$B$2,1),0)),"",SUMIFS(DATA_GOC!$H:$H,DATA_GOC!$A:$A,"BOM",DATA_GOC!$D:$D,$B68,DATA_GOC!$F:$F,"Xuất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68" s="222" t="str">
        <f t="shared" si="2"/>
        <v/>
      </c>
      <c r="AI68" s="222" t="str">
        <f>IF($B68="","",SUMIFS(DATA_GOC!$H:$H,DATA_GOC!$A:$A,"BOM",DATA_GOC!$D:$D,$B68,DATA_GOC!$F:$F,"Bơm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68" s="222" t="str">
        <f t="shared" si="3"/>
        <v/>
      </c>
      <c r="AM68" s="222" t="str">
        <f>IF($B68="","",SUMIFS(DATA_GOC!$K:$K,DATA_GOC!$A:$A,"BOM",DATA_GOC!$D:$D,$B68,DATA_GOC!$G:$G,"DO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68" s="222" t="str">
        <f t="shared" si="4"/>
        <v/>
      </c>
      <c r="AO68" s="227" t="str">
        <f t="shared" si="5"/>
        <v/>
      </c>
      <c r="AP68" s="226" t="str">
        <f>IF($B68="","",IFERROR(AO68-(SUMIFS(DATA_GOC!$H:$H,DATA_GOC!$A:$A,"BOM",DATA_GOC!$D:$D,$B68,DATA_GOC!$F:$F,"Xuất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8" s="59">
        <v>2.0</v>
      </c>
      <c r="AR68" s="59">
        <v>2026.0</v>
      </c>
      <c r="AS68" s="59" t="s">
        <v>339</v>
      </c>
      <c r="AT68" s="59">
        <v>181.466</v>
      </c>
      <c r="AU68" s="59">
        <v>0.0</v>
      </c>
      <c r="AV68" s="59">
        <v>181.466</v>
      </c>
      <c r="AW68" s="59">
        <v>12.1</v>
      </c>
      <c r="AX68" s="59">
        <v>1499.71900826446</v>
      </c>
      <c r="AY68" s="59">
        <v>175.866</v>
      </c>
      <c r="AZ68" s="59">
        <v>5.6</v>
      </c>
      <c r="BA68" s="59">
        <v>5.866</v>
      </c>
      <c r="BB68" s="59">
        <v>0.0</v>
      </c>
      <c r="BC68" s="59" t="s">
        <v>423</v>
      </c>
    </row>
    <row r="69" ht="15.0" customHeight="1">
      <c r="A69" s="61" t="str">
        <f t="shared" si="1"/>
        <v/>
      </c>
      <c r="B69" s="228" t="str">
        <f t="array" ref="B69">IFERROR(INDEX(DANH_MUC!$E:$E,ROW()-1),"")</f>
        <v/>
      </c>
      <c r="C69" s="228" t="str">
        <f>IF($B69="","",IF(C$4&gt;DAY(EOMONTH(DATE($D$2,$B$2,1),0)),"",SUMIFS(DATA_GOC!$H:$H,DATA_GOC!$A:$A,"BOM",DATA_GOC!$D:$D,$B69,DATA_GOC!$F:$F,"Xuất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69" s="61" t="str">
        <f>IF($B69="","",IF(D$4&gt;DAY(EOMONTH(DATE($D$2,$B$2,1),0)),"",SUMIFS(DATA_GOC!$H:$H,DATA_GOC!$A:$A,"BOM",DATA_GOC!$D:$D,$B69,DATA_GOC!$F:$F,"Xuất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69" s="229" t="str">
        <f>IF($B69="","",IF(E$4&gt;DAY(EOMONTH(DATE($D$2,$B$2,1),0)),"",SUMIFS(DATA_GOC!$H:$H,DATA_GOC!$A:$A,"BOM",DATA_GOC!$D:$D,$B69,DATA_GOC!$F:$F,"Xuất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69" s="229" t="str">
        <f>IF($B69="","",IF(F$4&gt;DAY(EOMONTH(DATE($D$2,$B$2,1),0)),"",SUMIFS(DATA_GOC!$H:$H,DATA_GOC!$A:$A,"BOM",DATA_GOC!$D:$D,$B69,DATA_GOC!$F:$F,"Xuất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69" s="229" t="str">
        <f>IF($B69="","",IF(G$4&gt;DAY(EOMONTH(DATE($D$2,$B$2,1),0)),"",SUMIFS(DATA_GOC!$H:$H,DATA_GOC!$A:$A,"BOM",DATA_GOC!$D:$D,$B69,DATA_GOC!$F:$F,"Xuất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69" s="228" t="str">
        <f>IF($B69="","",IF(H$4&gt;DAY(EOMONTH(DATE($D$2,$B$2,1),0)),"",SUMIFS(DATA_GOC!$H:$H,DATA_GOC!$A:$A,"BOM",DATA_GOC!$D:$D,$B69,DATA_GOC!$F:$F,"Xuất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69" s="229" t="str">
        <f>IF($B69="","",IF(I$4&gt;DAY(EOMONTH(DATE($D$2,$B$2,1),0)),"",SUMIFS(DATA_GOC!$H:$H,DATA_GOC!$A:$A,"BOM",DATA_GOC!$D:$D,$B69,DATA_GOC!$F:$F,"Xuất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69" s="229" t="str">
        <f>IF($B69="","",IF(J$4&gt;DAY(EOMONTH(DATE($D$2,$B$2,1),0)),"",SUMIFS(DATA_GOC!$H:$H,DATA_GOC!$A:$A,"BOM",DATA_GOC!$D:$D,$B69,DATA_GOC!$F:$F,"Xuất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69" s="229" t="str">
        <f>IF($B69="","",IF(K$4&gt;DAY(EOMONTH(DATE($D$2,$B$2,1),0)),"",SUMIFS(DATA_GOC!$H:$H,DATA_GOC!$A:$A,"BOM",DATA_GOC!$D:$D,$B69,DATA_GOC!$F:$F,"Xuất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69" s="229" t="str">
        <f>IF($B69="","",IF(L$4&gt;DAY(EOMONTH(DATE($D$2,$B$2,1),0)),"",SUMIFS(DATA_GOC!$H:$H,DATA_GOC!$A:$A,"BOM",DATA_GOC!$D:$D,$B69,DATA_GOC!$F:$F,"Xuất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69" s="229" t="str">
        <f>IF($B69="","",IF(M$4&gt;DAY(EOMONTH(DATE($D$2,$B$2,1),0)),"",SUMIFS(DATA_GOC!$H:$H,DATA_GOC!$A:$A,"BOM",DATA_GOC!$D:$D,$B69,DATA_GOC!$F:$F,"Xuất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69" s="61" t="str">
        <f>IF($B69="","",IF(N$4&gt;DAY(EOMONTH(DATE($D$2,$B$2,1),0)),"",SUMIFS(DATA_GOC!$H:$H,DATA_GOC!$A:$A,"BOM",DATA_GOC!$D:$D,$B69,DATA_GOC!$F:$F,"Xuất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69" s="61" t="str">
        <f>IF($B69="","",IF(O$4&gt;DAY(EOMONTH(DATE($D$2,$B$2,1),0)),"",SUMIFS(DATA_GOC!$H:$H,DATA_GOC!$A:$A,"BOM",DATA_GOC!$D:$D,$B69,DATA_GOC!$F:$F,"Xuất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69" s="61" t="str">
        <f>IF($B69="","",IF(P$4&gt;DAY(EOMONTH(DATE($D$2,$B$2,1),0)),"",SUMIFS(DATA_GOC!$H:$H,DATA_GOC!$A:$A,"BOM",DATA_GOC!$D:$D,$B69,DATA_GOC!$F:$F,"Xuất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69" s="61" t="str">
        <f>IF($B69="","",IF(Q$4&gt;DAY(EOMONTH(DATE($D$2,$B$2,1),0)),"",SUMIFS(DATA_GOC!$H:$H,DATA_GOC!$A:$A,"BOM",DATA_GOC!$D:$D,$B69,DATA_GOC!$F:$F,"Xuất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69" s="61" t="str">
        <f>IF($B69="","",IF(R$4&gt;DAY(EOMONTH(DATE($D$2,$B$2,1),0)),"",SUMIFS(DATA_GOC!$H:$H,DATA_GOC!$A:$A,"BOM",DATA_GOC!$D:$D,$B69,DATA_GOC!$F:$F,"Xuất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69" s="61" t="str">
        <f>IF($B69="","",IF(S$4&gt;DAY(EOMONTH(DATE($D$2,$B$2,1),0)),"",SUMIFS(DATA_GOC!$H:$H,DATA_GOC!$A:$A,"BOM",DATA_GOC!$D:$D,$B69,DATA_GOC!$F:$F,"Xuất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69" s="229" t="str">
        <f>IF($B69="","",IF(T$4&gt;DAY(EOMONTH(DATE($D$2,$B$2,1),0)),"",SUMIFS(DATA_GOC!$H:$H,DATA_GOC!$A:$A,"BOM",DATA_GOC!$D:$D,$B69,DATA_GOC!$F:$F,"Xuất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69" s="229" t="str">
        <f>IF($B69="","",IF(U$4&gt;DAY(EOMONTH(DATE($D$2,$B$2,1),0)),"",SUMIFS(DATA_GOC!$H:$H,DATA_GOC!$A:$A,"BOM",DATA_GOC!$D:$D,$B69,DATA_GOC!$F:$F,"Xuất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69" s="229" t="str">
        <f>IF($B69="","",IF(V$4&gt;DAY(EOMONTH(DATE($D$2,$B$2,1),0)),"",SUMIFS(DATA_GOC!$H:$H,DATA_GOC!$A:$A,"BOM",DATA_GOC!$D:$D,$B69,DATA_GOC!$F:$F,"Xuất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69" s="61" t="str">
        <f>IF($B69="","",IF(W$4&gt;DAY(EOMONTH(DATE($D$2,$B$2,1),0)),"",SUMIFS(DATA_GOC!$H:$H,DATA_GOC!$A:$A,"BOM",DATA_GOC!$D:$D,$B69,DATA_GOC!$F:$F,"Xuất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69" s="229" t="str">
        <f>IF($B69="","",IF(X$4&gt;DAY(EOMONTH(DATE($D$2,$B$2,1),0)),"",SUMIFS(DATA_GOC!$H:$H,DATA_GOC!$A:$A,"BOM",DATA_GOC!$D:$D,$B69,DATA_GOC!$F:$F,"Xuất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69" s="229" t="str">
        <f>IF($B69="","",IF(Y$4&gt;DAY(EOMONTH(DATE($D$2,$B$2,1),0)),"",SUMIFS(DATA_GOC!$H:$H,DATA_GOC!$A:$A,"BOM",DATA_GOC!$D:$D,$B69,DATA_GOC!$F:$F,"Xuất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69" s="229" t="str">
        <f>IF($B69="","",IF(Z$4&gt;DAY(EOMONTH(DATE($D$2,$B$2,1),0)),"",SUMIFS(DATA_GOC!$H:$H,DATA_GOC!$A:$A,"BOM",DATA_GOC!$D:$D,$B69,DATA_GOC!$F:$F,"Xuất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69" s="229" t="str">
        <f>IF($B69="","",IF(AA$4&gt;DAY(EOMONTH(DATE($D$2,$B$2,1),0)),"",SUMIFS(DATA_GOC!$H:$H,DATA_GOC!$A:$A,"BOM",DATA_GOC!$D:$D,$B69,DATA_GOC!$F:$F,"Xuất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69" s="229" t="str">
        <f>IF($B69="","",IF(AB$4&gt;DAY(EOMONTH(DATE($D$2,$B$2,1),0)),"",SUMIFS(DATA_GOC!$H:$H,DATA_GOC!$A:$A,"BOM",DATA_GOC!$D:$D,$B69,DATA_GOC!$F:$F,"Xuất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69" s="61" t="str">
        <f>IF($B69="","",IF(AC$4&gt;DAY(EOMONTH(DATE($D$2,$B$2,1),0)),"",SUMIFS(DATA_GOC!$H:$H,DATA_GOC!$A:$A,"BOM",DATA_GOC!$D:$D,$B69,DATA_GOC!$F:$F,"Xuất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69" s="222" t="str">
        <f>IF($B69="","",IF(AD$4&gt;DAY(EOMONTH(DATE($D$2,$B$2,1),0)),"",SUMIFS(DATA_GOC!$H:$H,DATA_GOC!$A:$A,"BOM",DATA_GOC!$D:$D,$B69,DATA_GOC!$F:$F,"Xuất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69" s="222" t="str">
        <f>IF($B69="","",IF(AE$4&gt;DAY(EOMONTH(DATE($D$2,$B$2,1),0)),"",SUMIFS(DATA_GOC!$H:$H,DATA_GOC!$A:$A,"BOM",DATA_GOC!$D:$D,$B69,DATA_GOC!$F:$F,"Xuất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69" s="222" t="str">
        <f>IF($B69="","",IF(AF$4&gt;DAY(EOMONTH(DATE($D$2,$B$2,1),0)),"",SUMIFS(DATA_GOC!$H:$H,DATA_GOC!$A:$A,"BOM",DATA_GOC!$D:$D,$B69,DATA_GOC!$F:$F,"Xuất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69" s="222" t="str">
        <f>IF($B69="","",IF(AG$4&gt;DAY(EOMONTH(DATE($D$2,$B$2,1),0)),"",SUMIFS(DATA_GOC!$H:$H,DATA_GOC!$A:$A,"BOM",DATA_GOC!$D:$D,$B69,DATA_GOC!$F:$F,"Xuất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69" s="222" t="str">
        <f t="shared" si="2"/>
        <v/>
      </c>
      <c r="AI69" s="222" t="str">
        <f>IF($B69="","",SUMIFS(DATA_GOC!$H:$H,DATA_GOC!$A:$A,"BOM",DATA_GOC!$D:$D,$B69,DATA_GOC!$F:$F,"Bơm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69" s="222" t="str">
        <f t="shared" si="3"/>
        <v/>
      </c>
      <c r="AM69" s="222" t="str">
        <f>IF($B69="","",SUMIFS(DATA_GOC!$K:$K,DATA_GOC!$A:$A,"BOM",DATA_GOC!$D:$D,$B69,DATA_GOC!$G:$G,"DO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69" s="222" t="str">
        <f t="shared" si="4"/>
        <v/>
      </c>
      <c r="AO69" s="227" t="str">
        <f t="shared" si="5"/>
        <v/>
      </c>
      <c r="AP69" s="226" t="str">
        <f>IF($B69="","",IFERROR(AO69-(SUMIFS(DATA_GOC!$H:$H,DATA_GOC!$A:$A,"BOM",DATA_GOC!$D:$D,$B69,DATA_GOC!$F:$F,"Xuất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số",DATA_GOC!$B:$B,"&gt;="&amp;EDATE(DATE($D$2,$B$2,1),-1),DATA_GOC!$B:$B,"&lt;"&amp;DATE($D$2,$B$2,1))/SUMIFS(DATA_GOC!$K:$K,DATA_GOC!$A:$A,"BOM",DATA_GOC!$D:$D,$B69,DATA_GOC!$G:$G,"DO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69" s="59">
        <v>2.0</v>
      </c>
      <c r="AR69" s="59">
        <v>2026.0</v>
      </c>
      <c r="AS69" s="59" t="s">
        <v>111</v>
      </c>
      <c r="AT69" s="59">
        <v>175.497551510672</v>
      </c>
      <c r="AU69" s="59">
        <v>0.0</v>
      </c>
      <c r="AV69" s="59">
        <v>175.497551510672</v>
      </c>
      <c r="AW69" s="59">
        <v>0.0</v>
      </c>
      <c r="AY69" s="59">
        <v>0.0</v>
      </c>
      <c r="AZ69" s="59">
        <v>175.497551510672</v>
      </c>
      <c r="BA69" s="59">
        <v>0.0</v>
      </c>
      <c r="BB69" s="59">
        <v>0.0</v>
      </c>
      <c r="BC69" s="59" t="s">
        <v>424</v>
      </c>
    </row>
    <row r="70" ht="15.0" customHeight="1">
      <c r="A70" s="61" t="str">
        <f t="shared" si="1"/>
        <v/>
      </c>
      <c r="B70" s="228" t="str">
        <f t="array" ref="B70">IFERROR(INDEX(DANH_MUC!$E:$E,ROW()-1),"")</f>
        <v/>
      </c>
      <c r="C70" s="228" t="str">
        <f>IF($B70="","",IF(C$4&gt;DAY(EOMONTH(DATE($D$2,$B$2,1),0)),"",SUMIFS(DATA_GOC!$H:$H,DATA_GOC!$A:$A,"BOM",DATA_GOC!$D:$D,$B70,DATA_GOC!$F:$F,"Xuất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0" s="61" t="str">
        <f>IF($B70="","",IF(D$4&gt;DAY(EOMONTH(DATE($D$2,$B$2,1),0)),"",SUMIFS(DATA_GOC!$H:$H,DATA_GOC!$A:$A,"BOM",DATA_GOC!$D:$D,$B70,DATA_GOC!$F:$F,"Xuất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0" s="229" t="str">
        <f>IF($B70="","",IF(E$4&gt;DAY(EOMONTH(DATE($D$2,$B$2,1),0)),"",SUMIFS(DATA_GOC!$H:$H,DATA_GOC!$A:$A,"BOM",DATA_GOC!$D:$D,$B70,DATA_GOC!$F:$F,"Xuất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0" s="229" t="str">
        <f>IF($B70="","",IF(F$4&gt;DAY(EOMONTH(DATE($D$2,$B$2,1),0)),"",SUMIFS(DATA_GOC!$H:$H,DATA_GOC!$A:$A,"BOM",DATA_GOC!$D:$D,$B70,DATA_GOC!$F:$F,"Xuất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0" s="229" t="str">
        <f>IF($B70="","",IF(G$4&gt;DAY(EOMONTH(DATE($D$2,$B$2,1),0)),"",SUMIFS(DATA_GOC!$H:$H,DATA_GOC!$A:$A,"BOM",DATA_GOC!$D:$D,$B70,DATA_GOC!$F:$F,"Xuất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0" s="228" t="str">
        <f>IF($B70="","",IF(H$4&gt;DAY(EOMONTH(DATE($D$2,$B$2,1),0)),"",SUMIFS(DATA_GOC!$H:$H,DATA_GOC!$A:$A,"BOM",DATA_GOC!$D:$D,$B70,DATA_GOC!$F:$F,"Xuất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0" s="229" t="str">
        <f>IF($B70="","",IF(I$4&gt;DAY(EOMONTH(DATE($D$2,$B$2,1),0)),"",SUMIFS(DATA_GOC!$H:$H,DATA_GOC!$A:$A,"BOM",DATA_GOC!$D:$D,$B70,DATA_GOC!$F:$F,"Xuất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0" s="229" t="str">
        <f>IF($B70="","",IF(J$4&gt;DAY(EOMONTH(DATE($D$2,$B$2,1),0)),"",SUMIFS(DATA_GOC!$H:$H,DATA_GOC!$A:$A,"BOM",DATA_GOC!$D:$D,$B70,DATA_GOC!$F:$F,"Xuất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0" s="229" t="str">
        <f>IF($B70="","",IF(K$4&gt;DAY(EOMONTH(DATE($D$2,$B$2,1),0)),"",SUMIFS(DATA_GOC!$H:$H,DATA_GOC!$A:$A,"BOM",DATA_GOC!$D:$D,$B70,DATA_GOC!$F:$F,"Xuất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0" s="229" t="str">
        <f>IF($B70="","",IF(L$4&gt;DAY(EOMONTH(DATE($D$2,$B$2,1),0)),"",SUMIFS(DATA_GOC!$H:$H,DATA_GOC!$A:$A,"BOM",DATA_GOC!$D:$D,$B70,DATA_GOC!$F:$F,"Xuất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0" s="229" t="str">
        <f>IF($B70="","",IF(M$4&gt;DAY(EOMONTH(DATE($D$2,$B$2,1),0)),"",SUMIFS(DATA_GOC!$H:$H,DATA_GOC!$A:$A,"BOM",DATA_GOC!$D:$D,$B70,DATA_GOC!$F:$F,"Xuất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0" s="61" t="str">
        <f>IF($B70="","",IF(N$4&gt;DAY(EOMONTH(DATE($D$2,$B$2,1),0)),"",SUMIFS(DATA_GOC!$H:$H,DATA_GOC!$A:$A,"BOM",DATA_GOC!$D:$D,$B70,DATA_GOC!$F:$F,"Xuất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0" s="61" t="str">
        <f>IF($B70="","",IF(O$4&gt;DAY(EOMONTH(DATE($D$2,$B$2,1),0)),"",SUMIFS(DATA_GOC!$H:$H,DATA_GOC!$A:$A,"BOM",DATA_GOC!$D:$D,$B70,DATA_GOC!$F:$F,"Xuất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0" s="61" t="str">
        <f>IF($B70="","",IF(P$4&gt;DAY(EOMONTH(DATE($D$2,$B$2,1),0)),"",SUMIFS(DATA_GOC!$H:$H,DATA_GOC!$A:$A,"BOM",DATA_GOC!$D:$D,$B70,DATA_GOC!$F:$F,"Xuất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0" s="61" t="str">
        <f>IF($B70="","",IF(Q$4&gt;DAY(EOMONTH(DATE($D$2,$B$2,1),0)),"",SUMIFS(DATA_GOC!$H:$H,DATA_GOC!$A:$A,"BOM",DATA_GOC!$D:$D,$B70,DATA_GOC!$F:$F,"Xuất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0" s="61" t="str">
        <f>IF($B70="","",IF(R$4&gt;DAY(EOMONTH(DATE($D$2,$B$2,1),0)),"",SUMIFS(DATA_GOC!$H:$H,DATA_GOC!$A:$A,"BOM",DATA_GOC!$D:$D,$B70,DATA_GOC!$F:$F,"Xuất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0" s="61" t="str">
        <f>IF($B70="","",IF(S$4&gt;DAY(EOMONTH(DATE($D$2,$B$2,1),0)),"",SUMIFS(DATA_GOC!$H:$H,DATA_GOC!$A:$A,"BOM",DATA_GOC!$D:$D,$B70,DATA_GOC!$F:$F,"Xuất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0" s="229" t="str">
        <f>IF($B70="","",IF(T$4&gt;DAY(EOMONTH(DATE($D$2,$B$2,1),0)),"",SUMIFS(DATA_GOC!$H:$H,DATA_GOC!$A:$A,"BOM",DATA_GOC!$D:$D,$B70,DATA_GOC!$F:$F,"Xuất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0" s="229" t="str">
        <f>IF($B70="","",IF(U$4&gt;DAY(EOMONTH(DATE($D$2,$B$2,1),0)),"",SUMIFS(DATA_GOC!$H:$H,DATA_GOC!$A:$A,"BOM",DATA_GOC!$D:$D,$B70,DATA_GOC!$F:$F,"Xuất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0" s="229" t="str">
        <f>IF($B70="","",IF(V$4&gt;DAY(EOMONTH(DATE($D$2,$B$2,1),0)),"",SUMIFS(DATA_GOC!$H:$H,DATA_GOC!$A:$A,"BOM",DATA_GOC!$D:$D,$B70,DATA_GOC!$F:$F,"Xuất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0" s="61" t="str">
        <f>IF($B70="","",IF(W$4&gt;DAY(EOMONTH(DATE($D$2,$B$2,1),0)),"",SUMIFS(DATA_GOC!$H:$H,DATA_GOC!$A:$A,"BOM",DATA_GOC!$D:$D,$B70,DATA_GOC!$F:$F,"Xuất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0" s="229" t="str">
        <f>IF($B70="","",IF(X$4&gt;DAY(EOMONTH(DATE($D$2,$B$2,1),0)),"",SUMIFS(DATA_GOC!$H:$H,DATA_GOC!$A:$A,"BOM",DATA_GOC!$D:$D,$B70,DATA_GOC!$F:$F,"Xuất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0" s="229" t="str">
        <f>IF($B70="","",IF(Y$4&gt;DAY(EOMONTH(DATE($D$2,$B$2,1),0)),"",SUMIFS(DATA_GOC!$H:$H,DATA_GOC!$A:$A,"BOM",DATA_GOC!$D:$D,$B70,DATA_GOC!$F:$F,"Xuất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0" s="229" t="str">
        <f>IF($B70="","",IF(Z$4&gt;DAY(EOMONTH(DATE($D$2,$B$2,1),0)),"",SUMIFS(DATA_GOC!$H:$H,DATA_GOC!$A:$A,"BOM",DATA_GOC!$D:$D,$B70,DATA_GOC!$F:$F,"Xuất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0" s="229" t="str">
        <f>IF($B70="","",IF(AA$4&gt;DAY(EOMONTH(DATE($D$2,$B$2,1),0)),"",SUMIFS(DATA_GOC!$H:$H,DATA_GOC!$A:$A,"BOM",DATA_GOC!$D:$D,$B70,DATA_GOC!$F:$F,"Xuất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0" s="229" t="str">
        <f>IF($B70="","",IF(AB$4&gt;DAY(EOMONTH(DATE($D$2,$B$2,1),0)),"",SUMIFS(DATA_GOC!$H:$H,DATA_GOC!$A:$A,"BOM",DATA_GOC!$D:$D,$B70,DATA_GOC!$F:$F,"Xuất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0" s="61" t="str">
        <f>IF($B70="","",IF(AC$4&gt;DAY(EOMONTH(DATE($D$2,$B$2,1),0)),"",SUMIFS(DATA_GOC!$H:$H,DATA_GOC!$A:$A,"BOM",DATA_GOC!$D:$D,$B70,DATA_GOC!$F:$F,"Xuất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0" s="222" t="str">
        <f>IF($B70="","",IF(AD$4&gt;DAY(EOMONTH(DATE($D$2,$B$2,1),0)),"",SUMIFS(DATA_GOC!$H:$H,DATA_GOC!$A:$A,"BOM",DATA_GOC!$D:$D,$B70,DATA_GOC!$F:$F,"Xuất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0" s="222" t="str">
        <f>IF($B70="","",IF(AE$4&gt;DAY(EOMONTH(DATE($D$2,$B$2,1),0)),"",SUMIFS(DATA_GOC!$H:$H,DATA_GOC!$A:$A,"BOM",DATA_GOC!$D:$D,$B70,DATA_GOC!$F:$F,"Xuất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0" s="222" t="str">
        <f>IF($B70="","",IF(AF$4&gt;DAY(EOMONTH(DATE($D$2,$B$2,1),0)),"",SUMIFS(DATA_GOC!$H:$H,DATA_GOC!$A:$A,"BOM",DATA_GOC!$D:$D,$B70,DATA_GOC!$F:$F,"Xuất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0" s="222" t="str">
        <f>IF($B70="","",IF(AG$4&gt;DAY(EOMONTH(DATE($D$2,$B$2,1),0)),"",SUMIFS(DATA_GOC!$H:$H,DATA_GOC!$A:$A,"BOM",DATA_GOC!$D:$D,$B70,DATA_GOC!$F:$F,"Xuất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0" s="222" t="str">
        <f t="shared" si="2"/>
        <v/>
      </c>
      <c r="AI70" s="222" t="str">
        <f>IF($B70="","",SUMIFS(DATA_GOC!$H:$H,DATA_GOC!$A:$A,"BOM",DATA_GOC!$D:$D,$B70,DATA_GOC!$F:$F,"Bơm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0" s="222" t="str">
        <f t="shared" si="3"/>
        <v/>
      </c>
      <c r="AM70" s="222" t="str">
        <f>IF($B70="","",SUMIFS(DATA_GOC!$K:$K,DATA_GOC!$A:$A,"BOM",DATA_GOC!$D:$D,$B70,DATA_GOC!$G:$G,"DO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0" s="222" t="str">
        <f t="shared" si="4"/>
        <v/>
      </c>
      <c r="AO70" s="227" t="str">
        <f t="shared" si="5"/>
        <v/>
      </c>
      <c r="AP70" s="226" t="str">
        <f>IF($B70="","",IFERROR(AO70-(SUMIFS(DATA_GOC!$H:$H,DATA_GOC!$A:$A,"BOM",DATA_GOC!$D:$D,$B70,DATA_GOC!$F:$F,"Xuất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0" s="59">
        <v>2.0</v>
      </c>
      <c r="AR70" s="59">
        <v>2026.0</v>
      </c>
      <c r="AS70" s="59" t="s">
        <v>384</v>
      </c>
      <c r="AT70" s="59">
        <v>626.349933603792</v>
      </c>
      <c r="AU70" s="59">
        <v>0.0</v>
      </c>
      <c r="AV70" s="59">
        <v>626.349933603792</v>
      </c>
      <c r="AW70" s="59">
        <v>0.0</v>
      </c>
      <c r="AY70" s="59">
        <v>0.0</v>
      </c>
      <c r="AZ70" s="59">
        <v>626.349933603792</v>
      </c>
      <c r="BA70" s="59">
        <v>0.0</v>
      </c>
      <c r="BB70" s="59">
        <v>0.0</v>
      </c>
      <c r="BC70" s="59" t="s">
        <v>425</v>
      </c>
    </row>
    <row r="71" ht="15.0" customHeight="1">
      <c r="A71" s="61" t="str">
        <f t="shared" si="1"/>
        <v/>
      </c>
      <c r="B71" s="228" t="str">
        <f t="array" ref="B71">IFERROR(INDEX(DANH_MUC!$E:$E,ROW()-1),"")</f>
        <v/>
      </c>
      <c r="C71" s="228" t="str">
        <f>IF($B71="","",IF(C$4&gt;DAY(EOMONTH(DATE($D$2,$B$2,1),0)),"",SUMIFS(DATA_GOC!$H:$H,DATA_GOC!$A:$A,"BOM",DATA_GOC!$D:$D,$B71,DATA_GOC!$F:$F,"Xuất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1" s="61" t="str">
        <f>IF($B71="","",IF(D$4&gt;DAY(EOMONTH(DATE($D$2,$B$2,1),0)),"",SUMIFS(DATA_GOC!$H:$H,DATA_GOC!$A:$A,"BOM",DATA_GOC!$D:$D,$B71,DATA_GOC!$F:$F,"Xuất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1" s="229" t="str">
        <f>IF($B71="","",IF(E$4&gt;DAY(EOMONTH(DATE($D$2,$B$2,1),0)),"",SUMIFS(DATA_GOC!$H:$H,DATA_GOC!$A:$A,"BOM",DATA_GOC!$D:$D,$B71,DATA_GOC!$F:$F,"Xuất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1" s="229" t="str">
        <f>IF($B71="","",IF(F$4&gt;DAY(EOMONTH(DATE($D$2,$B$2,1),0)),"",SUMIFS(DATA_GOC!$H:$H,DATA_GOC!$A:$A,"BOM",DATA_GOC!$D:$D,$B71,DATA_GOC!$F:$F,"Xuất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1" s="229" t="str">
        <f>IF($B71="","",IF(G$4&gt;DAY(EOMONTH(DATE($D$2,$B$2,1),0)),"",SUMIFS(DATA_GOC!$H:$H,DATA_GOC!$A:$A,"BOM",DATA_GOC!$D:$D,$B71,DATA_GOC!$F:$F,"Xuất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1" s="228" t="str">
        <f>IF($B71="","",IF(H$4&gt;DAY(EOMONTH(DATE($D$2,$B$2,1),0)),"",SUMIFS(DATA_GOC!$H:$H,DATA_GOC!$A:$A,"BOM",DATA_GOC!$D:$D,$B71,DATA_GOC!$F:$F,"Xuất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1" s="229" t="str">
        <f>IF($B71="","",IF(I$4&gt;DAY(EOMONTH(DATE($D$2,$B$2,1),0)),"",SUMIFS(DATA_GOC!$H:$H,DATA_GOC!$A:$A,"BOM",DATA_GOC!$D:$D,$B71,DATA_GOC!$F:$F,"Xuất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1" s="229" t="str">
        <f>IF($B71="","",IF(J$4&gt;DAY(EOMONTH(DATE($D$2,$B$2,1),0)),"",SUMIFS(DATA_GOC!$H:$H,DATA_GOC!$A:$A,"BOM",DATA_GOC!$D:$D,$B71,DATA_GOC!$F:$F,"Xuất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1" s="229" t="str">
        <f>IF($B71="","",IF(K$4&gt;DAY(EOMONTH(DATE($D$2,$B$2,1),0)),"",SUMIFS(DATA_GOC!$H:$H,DATA_GOC!$A:$A,"BOM",DATA_GOC!$D:$D,$B71,DATA_GOC!$F:$F,"Xuất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1" s="229" t="str">
        <f>IF($B71="","",IF(L$4&gt;DAY(EOMONTH(DATE($D$2,$B$2,1),0)),"",SUMIFS(DATA_GOC!$H:$H,DATA_GOC!$A:$A,"BOM",DATA_GOC!$D:$D,$B71,DATA_GOC!$F:$F,"Xuất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1" s="229" t="str">
        <f>IF($B71="","",IF(M$4&gt;DAY(EOMONTH(DATE($D$2,$B$2,1),0)),"",SUMIFS(DATA_GOC!$H:$H,DATA_GOC!$A:$A,"BOM",DATA_GOC!$D:$D,$B71,DATA_GOC!$F:$F,"Xuất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1" s="61" t="str">
        <f>IF($B71="","",IF(N$4&gt;DAY(EOMONTH(DATE($D$2,$B$2,1),0)),"",SUMIFS(DATA_GOC!$H:$H,DATA_GOC!$A:$A,"BOM",DATA_GOC!$D:$D,$B71,DATA_GOC!$F:$F,"Xuất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1" s="61" t="str">
        <f>IF($B71="","",IF(O$4&gt;DAY(EOMONTH(DATE($D$2,$B$2,1),0)),"",SUMIFS(DATA_GOC!$H:$H,DATA_GOC!$A:$A,"BOM",DATA_GOC!$D:$D,$B71,DATA_GOC!$F:$F,"Xuất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1" s="61" t="str">
        <f>IF($B71="","",IF(P$4&gt;DAY(EOMONTH(DATE($D$2,$B$2,1),0)),"",SUMIFS(DATA_GOC!$H:$H,DATA_GOC!$A:$A,"BOM",DATA_GOC!$D:$D,$B71,DATA_GOC!$F:$F,"Xuất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1" s="61" t="str">
        <f>IF($B71="","",IF(Q$4&gt;DAY(EOMONTH(DATE($D$2,$B$2,1),0)),"",SUMIFS(DATA_GOC!$H:$H,DATA_GOC!$A:$A,"BOM",DATA_GOC!$D:$D,$B71,DATA_GOC!$F:$F,"Xuất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1" s="61" t="str">
        <f>IF($B71="","",IF(R$4&gt;DAY(EOMONTH(DATE($D$2,$B$2,1),0)),"",SUMIFS(DATA_GOC!$H:$H,DATA_GOC!$A:$A,"BOM",DATA_GOC!$D:$D,$B71,DATA_GOC!$F:$F,"Xuất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1" s="61" t="str">
        <f>IF($B71="","",IF(S$4&gt;DAY(EOMONTH(DATE($D$2,$B$2,1),0)),"",SUMIFS(DATA_GOC!$H:$H,DATA_GOC!$A:$A,"BOM",DATA_GOC!$D:$D,$B71,DATA_GOC!$F:$F,"Xuất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1" s="229" t="str">
        <f>IF($B71="","",IF(T$4&gt;DAY(EOMONTH(DATE($D$2,$B$2,1),0)),"",SUMIFS(DATA_GOC!$H:$H,DATA_GOC!$A:$A,"BOM",DATA_GOC!$D:$D,$B71,DATA_GOC!$F:$F,"Xuất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1" s="229" t="str">
        <f>IF($B71="","",IF(U$4&gt;DAY(EOMONTH(DATE($D$2,$B$2,1),0)),"",SUMIFS(DATA_GOC!$H:$H,DATA_GOC!$A:$A,"BOM",DATA_GOC!$D:$D,$B71,DATA_GOC!$F:$F,"Xuất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1" s="229" t="str">
        <f>IF($B71="","",IF(V$4&gt;DAY(EOMONTH(DATE($D$2,$B$2,1),0)),"",SUMIFS(DATA_GOC!$H:$H,DATA_GOC!$A:$A,"BOM",DATA_GOC!$D:$D,$B71,DATA_GOC!$F:$F,"Xuất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1" s="61" t="str">
        <f>IF($B71="","",IF(W$4&gt;DAY(EOMONTH(DATE($D$2,$B$2,1),0)),"",SUMIFS(DATA_GOC!$H:$H,DATA_GOC!$A:$A,"BOM",DATA_GOC!$D:$D,$B71,DATA_GOC!$F:$F,"Xuất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1" s="229" t="str">
        <f>IF($B71="","",IF(X$4&gt;DAY(EOMONTH(DATE($D$2,$B$2,1),0)),"",SUMIFS(DATA_GOC!$H:$H,DATA_GOC!$A:$A,"BOM",DATA_GOC!$D:$D,$B71,DATA_GOC!$F:$F,"Xuất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1" s="229" t="str">
        <f>IF($B71="","",IF(Y$4&gt;DAY(EOMONTH(DATE($D$2,$B$2,1),0)),"",SUMIFS(DATA_GOC!$H:$H,DATA_GOC!$A:$A,"BOM",DATA_GOC!$D:$D,$B71,DATA_GOC!$F:$F,"Xuất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1" s="229" t="str">
        <f>IF($B71="","",IF(Z$4&gt;DAY(EOMONTH(DATE($D$2,$B$2,1),0)),"",SUMIFS(DATA_GOC!$H:$H,DATA_GOC!$A:$A,"BOM",DATA_GOC!$D:$D,$B71,DATA_GOC!$F:$F,"Xuất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1" s="229" t="str">
        <f>IF($B71="","",IF(AA$4&gt;DAY(EOMONTH(DATE($D$2,$B$2,1),0)),"",SUMIFS(DATA_GOC!$H:$H,DATA_GOC!$A:$A,"BOM",DATA_GOC!$D:$D,$B71,DATA_GOC!$F:$F,"Xuất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1" s="229" t="str">
        <f>IF($B71="","",IF(AB$4&gt;DAY(EOMONTH(DATE($D$2,$B$2,1),0)),"",SUMIFS(DATA_GOC!$H:$H,DATA_GOC!$A:$A,"BOM",DATA_GOC!$D:$D,$B71,DATA_GOC!$F:$F,"Xuất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1" s="61" t="str">
        <f>IF($B71="","",IF(AC$4&gt;DAY(EOMONTH(DATE($D$2,$B$2,1),0)),"",SUMIFS(DATA_GOC!$H:$H,DATA_GOC!$A:$A,"BOM",DATA_GOC!$D:$D,$B71,DATA_GOC!$F:$F,"Xuất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1" s="222" t="str">
        <f>IF($B71="","",IF(AD$4&gt;DAY(EOMONTH(DATE($D$2,$B$2,1),0)),"",SUMIFS(DATA_GOC!$H:$H,DATA_GOC!$A:$A,"BOM",DATA_GOC!$D:$D,$B71,DATA_GOC!$F:$F,"Xuất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1" s="222" t="str">
        <f>IF($B71="","",IF(AE$4&gt;DAY(EOMONTH(DATE($D$2,$B$2,1),0)),"",SUMIFS(DATA_GOC!$H:$H,DATA_GOC!$A:$A,"BOM",DATA_GOC!$D:$D,$B71,DATA_GOC!$F:$F,"Xuất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1" s="222" t="str">
        <f>IF($B71="","",IF(AF$4&gt;DAY(EOMONTH(DATE($D$2,$B$2,1),0)),"",SUMIFS(DATA_GOC!$H:$H,DATA_GOC!$A:$A,"BOM",DATA_GOC!$D:$D,$B71,DATA_GOC!$F:$F,"Xuất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1" s="222" t="str">
        <f>IF($B71="","",IF(AG$4&gt;DAY(EOMONTH(DATE($D$2,$B$2,1),0)),"",SUMIFS(DATA_GOC!$H:$H,DATA_GOC!$A:$A,"BOM",DATA_GOC!$D:$D,$B71,DATA_GOC!$F:$F,"Xuất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1" s="222" t="str">
        <f t="shared" si="2"/>
        <v/>
      </c>
      <c r="AI71" s="222" t="str">
        <f>IF($B71="","",SUMIFS(DATA_GOC!$H:$H,DATA_GOC!$A:$A,"BOM",DATA_GOC!$D:$D,$B71,DATA_GOC!$F:$F,"Bơm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1" s="222" t="str">
        <f t="shared" si="3"/>
        <v/>
      </c>
      <c r="AM71" s="222" t="str">
        <f>IF($B71="","",SUMIFS(DATA_GOC!$K:$K,DATA_GOC!$A:$A,"BOM",DATA_GOC!$D:$D,$B71,DATA_GOC!$G:$G,"DO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1" s="222" t="str">
        <f t="shared" si="4"/>
        <v/>
      </c>
      <c r="AO71" s="227" t="str">
        <f t="shared" si="5"/>
        <v/>
      </c>
      <c r="AP71" s="226" t="str">
        <f>IF($B71="","",IFERROR(AO71-(SUMIFS(DATA_GOC!$H:$H,DATA_GOC!$A:$A,"BOM",DATA_GOC!$D:$D,$B71,DATA_GOC!$F:$F,"Xuất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1" s="59">
        <v>2.0</v>
      </c>
      <c r="AR71" s="59">
        <v>2026.0</v>
      </c>
      <c r="AS71" s="59" t="s">
        <v>103</v>
      </c>
      <c r="AT71" s="59">
        <v>759.118727399377</v>
      </c>
      <c r="AU71" s="59">
        <v>0.0</v>
      </c>
      <c r="AV71" s="59">
        <v>759.118727399377</v>
      </c>
      <c r="AW71" s="59">
        <v>58.2999999999997</v>
      </c>
      <c r="AX71" s="59">
        <v>1302.09044150837</v>
      </c>
      <c r="AY71" s="59">
        <v>62.07</v>
      </c>
      <c r="AZ71" s="59">
        <v>697.048727399377</v>
      </c>
      <c r="BA71" s="59">
        <v>2.07</v>
      </c>
      <c r="BB71" s="59">
        <v>0.0</v>
      </c>
      <c r="BC71" s="59" t="s">
        <v>426</v>
      </c>
    </row>
    <row r="72" ht="15.0" customHeight="1">
      <c r="A72" s="61" t="str">
        <f t="shared" si="1"/>
        <v/>
      </c>
      <c r="B72" s="228" t="str">
        <f t="array" ref="B72">IFERROR(INDEX(DANH_MUC!$E:$E,ROW()-1),"")</f>
        <v/>
      </c>
      <c r="C72" s="228" t="str">
        <f>IF($B72="","",IF(C$4&gt;DAY(EOMONTH(DATE($D$2,$B$2,1),0)),"",SUMIFS(DATA_GOC!$H:$H,DATA_GOC!$A:$A,"BOM",DATA_GOC!$D:$D,$B72,DATA_GOC!$F:$F,"Xuất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2" s="61" t="str">
        <f>IF($B72="","",IF(D$4&gt;DAY(EOMONTH(DATE($D$2,$B$2,1),0)),"",SUMIFS(DATA_GOC!$H:$H,DATA_GOC!$A:$A,"BOM",DATA_GOC!$D:$D,$B72,DATA_GOC!$F:$F,"Xuất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2" s="229" t="str">
        <f>IF($B72="","",IF(E$4&gt;DAY(EOMONTH(DATE($D$2,$B$2,1),0)),"",SUMIFS(DATA_GOC!$H:$H,DATA_GOC!$A:$A,"BOM",DATA_GOC!$D:$D,$B72,DATA_GOC!$F:$F,"Xuất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2" s="229" t="str">
        <f>IF($B72="","",IF(F$4&gt;DAY(EOMONTH(DATE($D$2,$B$2,1),0)),"",SUMIFS(DATA_GOC!$H:$H,DATA_GOC!$A:$A,"BOM",DATA_GOC!$D:$D,$B72,DATA_GOC!$F:$F,"Xuất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2" s="229" t="str">
        <f>IF($B72="","",IF(G$4&gt;DAY(EOMONTH(DATE($D$2,$B$2,1),0)),"",SUMIFS(DATA_GOC!$H:$H,DATA_GOC!$A:$A,"BOM",DATA_GOC!$D:$D,$B72,DATA_GOC!$F:$F,"Xuất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2" s="228" t="str">
        <f>IF($B72="","",IF(H$4&gt;DAY(EOMONTH(DATE($D$2,$B$2,1),0)),"",SUMIFS(DATA_GOC!$H:$H,DATA_GOC!$A:$A,"BOM",DATA_GOC!$D:$D,$B72,DATA_GOC!$F:$F,"Xuất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2" s="229" t="str">
        <f>IF($B72="","",IF(I$4&gt;DAY(EOMONTH(DATE($D$2,$B$2,1),0)),"",SUMIFS(DATA_GOC!$H:$H,DATA_GOC!$A:$A,"BOM",DATA_GOC!$D:$D,$B72,DATA_GOC!$F:$F,"Xuất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2" s="229" t="str">
        <f>IF($B72="","",IF(J$4&gt;DAY(EOMONTH(DATE($D$2,$B$2,1),0)),"",SUMIFS(DATA_GOC!$H:$H,DATA_GOC!$A:$A,"BOM",DATA_GOC!$D:$D,$B72,DATA_GOC!$F:$F,"Xuất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2" s="229" t="str">
        <f>IF($B72="","",IF(K$4&gt;DAY(EOMONTH(DATE($D$2,$B$2,1),0)),"",SUMIFS(DATA_GOC!$H:$H,DATA_GOC!$A:$A,"BOM",DATA_GOC!$D:$D,$B72,DATA_GOC!$F:$F,"Xuất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2" s="229" t="str">
        <f>IF($B72="","",IF(L$4&gt;DAY(EOMONTH(DATE($D$2,$B$2,1),0)),"",SUMIFS(DATA_GOC!$H:$H,DATA_GOC!$A:$A,"BOM",DATA_GOC!$D:$D,$B72,DATA_GOC!$F:$F,"Xuất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2" s="229" t="str">
        <f>IF($B72="","",IF(M$4&gt;DAY(EOMONTH(DATE($D$2,$B$2,1),0)),"",SUMIFS(DATA_GOC!$H:$H,DATA_GOC!$A:$A,"BOM",DATA_GOC!$D:$D,$B72,DATA_GOC!$F:$F,"Xuất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2" s="61" t="str">
        <f>IF($B72="","",IF(N$4&gt;DAY(EOMONTH(DATE($D$2,$B$2,1),0)),"",SUMIFS(DATA_GOC!$H:$H,DATA_GOC!$A:$A,"BOM",DATA_GOC!$D:$D,$B72,DATA_GOC!$F:$F,"Xuất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2" s="61" t="str">
        <f>IF($B72="","",IF(O$4&gt;DAY(EOMONTH(DATE($D$2,$B$2,1),0)),"",SUMIFS(DATA_GOC!$H:$H,DATA_GOC!$A:$A,"BOM",DATA_GOC!$D:$D,$B72,DATA_GOC!$F:$F,"Xuất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2" s="61" t="str">
        <f>IF($B72="","",IF(P$4&gt;DAY(EOMONTH(DATE($D$2,$B$2,1),0)),"",SUMIFS(DATA_GOC!$H:$H,DATA_GOC!$A:$A,"BOM",DATA_GOC!$D:$D,$B72,DATA_GOC!$F:$F,"Xuất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2" s="61" t="str">
        <f>IF($B72="","",IF(Q$4&gt;DAY(EOMONTH(DATE($D$2,$B$2,1),0)),"",SUMIFS(DATA_GOC!$H:$H,DATA_GOC!$A:$A,"BOM",DATA_GOC!$D:$D,$B72,DATA_GOC!$F:$F,"Xuất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2" s="61" t="str">
        <f>IF($B72="","",IF(R$4&gt;DAY(EOMONTH(DATE($D$2,$B$2,1),0)),"",SUMIFS(DATA_GOC!$H:$H,DATA_GOC!$A:$A,"BOM",DATA_GOC!$D:$D,$B72,DATA_GOC!$F:$F,"Xuất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2" s="61" t="str">
        <f>IF($B72="","",IF(S$4&gt;DAY(EOMONTH(DATE($D$2,$B$2,1),0)),"",SUMIFS(DATA_GOC!$H:$H,DATA_GOC!$A:$A,"BOM",DATA_GOC!$D:$D,$B72,DATA_GOC!$F:$F,"Xuất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2" s="229" t="str">
        <f>IF($B72="","",IF(T$4&gt;DAY(EOMONTH(DATE($D$2,$B$2,1),0)),"",SUMIFS(DATA_GOC!$H:$H,DATA_GOC!$A:$A,"BOM",DATA_GOC!$D:$D,$B72,DATA_GOC!$F:$F,"Xuất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2" s="229" t="str">
        <f>IF($B72="","",IF(U$4&gt;DAY(EOMONTH(DATE($D$2,$B$2,1),0)),"",SUMIFS(DATA_GOC!$H:$H,DATA_GOC!$A:$A,"BOM",DATA_GOC!$D:$D,$B72,DATA_GOC!$F:$F,"Xuất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2" s="229" t="str">
        <f>IF($B72="","",IF(V$4&gt;DAY(EOMONTH(DATE($D$2,$B$2,1),0)),"",SUMIFS(DATA_GOC!$H:$H,DATA_GOC!$A:$A,"BOM",DATA_GOC!$D:$D,$B72,DATA_GOC!$F:$F,"Xuất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2" s="61" t="str">
        <f>IF($B72="","",IF(W$4&gt;DAY(EOMONTH(DATE($D$2,$B$2,1),0)),"",SUMIFS(DATA_GOC!$H:$H,DATA_GOC!$A:$A,"BOM",DATA_GOC!$D:$D,$B72,DATA_GOC!$F:$F,"Xuất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2" s="229" t="str">
        <f>IF($B72="","",IF(X$4&gt;DAY(EOMONTH(DATE($D$2,$B$2,1),0)),"",SUMIFS(DATA_GOC!$H:$H,DATA_GOC!$A:$A,"BOM",DATA_GOC!$D:$D,$B72,DATA_GOC!$F:$F,"Xuất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2" s="229" t="str">
        <f>IF($B72="","",IF(Y$4&gt;DAY(EOMONTH(DATE($D$2,$B$2,1),0)),"",SUMIFS(DATA_GOC!$H:$H,DATA_GOC!$A:$A,"BOM",DATA_GOC!$D:$D,$B72,DATA_GOC!$F:$F,"Xuất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2" s="229" t="str">
        <f>IF($B72="","",IF(Z$4&gt;DAY(EOMONTH(DATE($D$2,$B$2,1),0)),"",SUMIFS(DATA_GOC!$H:$H,DATA_GOC!$A:$A,"BOM",DATA_GOC!$D:$D,$B72,DATA_GOC!$F:$F,"Xuất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2" s="229" t="str">
        <f>IF($B72="","",IF(AA$4&gt;DAY(EOMONTH(DATE($D$2,$B$2,1),0)),"",SUMIFS(DATA_GOC!$H:$H,DATA_GOC!$A:$A,"BOM",DATA_GOC!$D:$D,$B72,DATA_GOC!$F:$F,"Xuất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2" s="229" t="str">
        <f>IF($B72="","",IF(AB$4&gt;DAY(EOMONTH(DATE($D$2,$B$2,1),0)),"",SUMIFS(DATA_GOC!$H:$H,DATA_GOC!$A:$A,"BOM",DATA_GOC!$D:$D,$B72,DATA_GOC!$F:$F,"Xuất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2" s="61" t="str">
        <f>IF($B72="","",IF(AC$4&gt;DAY(EOMONTH(DATE($D$2,$B$2,1),0)),"",SUMIFS(DATA_GOC!$H:$H,DATA_GOC!$A:$A,"BOM",DATA_GOC!$D:$D,$B72,DATA_GOC!$F:$F,"Xuất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2" s="222" t="str">
        <f>IF($B72="","",IF(AD$4&gt;DAY(EOMONTH(DATE($D$2,$B$2,1),0)),"",SUMIFS(DATA_GOC!$H:$H,DATA_GOC!$A:$A,"BOM",DATA_GOC!$D:$D,$B72,DATA_GOC!$F:$F,"Xuất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2" s="222" t="str">
        <f>IF($B72="","",IF(AE$4&gt;DAY(EOMONTH(DATE($D$2,$B$2,1),0)),"",SUMIFS(DATA_GOC!$H:$H,DATA_GOC!$A:$A,"BOM",DATA_GOC!$D:$D,$B72,DATA_GOC!$F:$F,"Xuất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2" s="222" t="str">
        <f>IF($B72="","",IF(AF$4&gt;DAY(EOMONTH(DATE($D$2,$B$2,1),0)),"",SUMIFS(DATA_GOC!$H:$H,DATA_GOC!$A:$A,"BOM",DATA_GOC!$D:$D,$B72,DATA_GOC!$F:$F,"Xuất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2" s="222" t="str">
        <f>IF($B72="","",IF(AG$4&gt;DAY(EOMONTH(DATE($D$2,$B$2,1),0)),"",SUMIFS(DATA_GOC!$H:$H,DATA_GOC!$A:$A,"BOM",DATA_GOC!$D:$D,$B72,DATA_GOC!$F:$F,"Xuất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2" s="222" t="str">
        <f t="shared" si="2"/>
        <v/>
      </c>
      <c r="AI72" s="222" t="str">
        <f>IF($B72="","",SUMIFS(DATA_GOC!$H:$H,DATA_GOC!$A:$A,"BOM",DATA_GOC!$D:$D,$B72,DATA_GOC!$F:$F,"Bơm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2" s="222" t="str">
        <f t="shared" si="3"/>
        <v/>
      </c>
      <c r="AM72" s="222" t="str">
        <f>IF($B72="","",SUMIFS(DATA_GOC!$K:$K,DATA_GOC!$A:$A,"BOM",DATA_GOC!$D:$D,$B72,DATA_GOC!$G:$G,"DO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2" s="222" t="str">
        <f t="shared" si="4"/>
        <v/>
      </c>
      <c r="AO72" s="227" t="str">
        <f t="shared" si="5"/>
        <v/>
      </c>
      <c r="AP72" s="226" t="str">
        <f>IF($B72="","",IFERROR(AO72-(SUMIFS(DATA_GOC!$H:$H,DATA_GOC!$A:$A,"BOM",DATA_GOC!$D:$D,$B72,DATA_GOC!$F:$F,"Xuất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2" s="59">
        <v>2.0</v>
      </c>
      <c r="AR72" s="59">
        <v>2026.0</v>
      </c>
      <c r="AS72" s="59" t="s">
        <v>92</v>
      </c>
      <c r="AT72" s="59">
        <v>604.045492989482</v>
      </c>
      <c r="AU72" s="59">
        <v>0.0</v>
      </c>
      <c r="AV72" s="59">
        <v>604.045492989482</v>
      </c>
      <c r="AW72" s="59">
        <v>1326.0</v>
      </c>
      <c r="AX72" s="59">
        <v>45.5539587473214</v>
      </c>
      <c r="AY72" s="59">
        <v>87.933</v>
      </c>
      <c r="AZ72" s="59">
        <v>516.112492989482</v>
      </c>
      <c r="BA72" s="59">
        <v>2.933</v>
      </c>
      <c r="BB72" s="59">
        <v>0.0</v>
      </c>
      <c r="BC72" s="59" t="s">
        <v>427</v>
      </c>
    </row>
    <row r="73" ht="15.0" customHeight="1">
      <c r="A73" s="61" t="str">
        <f t="shared" si="1"/>
        <v/>
      </c>
      <c r="B73" s="228" t="str">
        <f t="array" ref="B73">IFERROR(INDEX(DANH_MUC!$E:$E,ROW()-1),"")</f>
        <v/>
      </c>
      <c r="C73" s="228" t="str">
        <f>IF($B73="","",IF(C$4&gt;DAY(EOMONTH(DATE($D$2,$B$2,1),0)),"",SUMIFS(DATA_GOC!$H:$H,DATA_GOC!$A:$A,"BOM",DATA_GOC!$D:$D,$B73,DATA_GOC!$F:$F,"Xuất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3" s="61" t="str">
        <f>IF($B73="","",IF(D$4&gt;DAY(EOMONTH(DATE($D$2,$B$2,1),0)),"",SUMIFS(DATA_GOC!$H:$H,DATA_GOC!$A:$A,"BOM",DATA_GOC!$D:$D,$B73,DATA_GOC!$F:$F,"Xuất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3" s="229" t="str">
        <f>IF($B73="","",IF(E$4&gt;DAY(EOMONTH(DATE($D$2,$B$2,1),0)),"",SUMIFS(DATA_GOC!$H:$H,DATA_GOC!$A:$A,"BOM",DATA_GOC!$D:$D,$B73,DATA_GOC!$F:$F,"Xuất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3" s="229" t="str">
        <f>IF($B73="","",IF(F$4&gt;DAY(EOMONTH(DATE($D$2,$B$2,1),0)),"",SUMIFS(DATA_GOC!$H:$H,DATA_GOC!$A:$A,"BOM",DATA_GOC!$D:$D,$B73,DATA_GOC!$F:$F,"Xuất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3" s="229" t="str">
        <f>IF($B73="","",IF(G$4&gt;DAY(EOMONTH(DATE($D$2,$B$2,1),0)),"",SUMIFS(DATA_GOC!$H:$H,DATA_GOC!$A:$A,"BOM",DATA_GOC!$D:$D,$B73,DATA_GOC!$F:$F,"Xuất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3" s="228" t="str">
        <f>IF($B73="","",IF(H$4&gt;DAY(EOMONTH(DATE($D$2,$B$2,1),0)),"",SUMIFS(DATA_GOC!$H:$H,DATA_GOC!$A:$A,"BOM",DATA_GOC!$D:$D,$B73,DATA_GOC!$F:$F,"Xuất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3" s="229" t="str">
        <f>IF($B73="","",IF(I$4&gt;DAY(EOMONTH(DATE($D$2,$B$2,1),0)),"",SUMIFS(DATA_GOC!$H:$H,DATA_GOC!$A:$A,"BOM",DATA_GOC!$D:$D,$B73,DATA_GOC!$F:$F,"Xuất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3" s="229" t="str">
        <f>IF($B73="","",IF(J$4&gt;DAY(EOMONTH(DATE($D$2,$B$2,1),0)),"",SUMIFS(DATA_GOC!$H:$H,DATA_GOC!$A:$A,"BOM",DATA_GOC!$D:$D,$B73,DATA_GOC!$F:$F,"Xuất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3" s="229" t="str">
        <f>IF($B73="","",IF(K$4&gt;DAY(EOMONTH(DATE($D$2,$B$2,1),0)),"",SUMIFS(DATA_GOC!$H:$H,DATA_GOC!$A:$A,"BOM",DATA_GOC!$D:$D,$B73,DATA_GOC!$F:$F,"Xuất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3" s="229" t="str">
        <f>IF($B73="","",IF(L$4&gt;DAY(EOMONTH(DATE($D$2,$B$2,1),0)),"",SUMIFS(DATA_GOC!$H:$H,DATA_GOC!$A:$A,"BOM",DATA_GOC!$D:$D,$B73,DATA_GOC!$F:$F,"Xuất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3" s="229" t="str">
        <f>IF($B73="","",IF(M$4&gt;DAY(EOMONTH(DATE($D$2,$B$2,1),0)),"",SUMIFS(DATA_GOC!$H:$H,DATA_GOC!$A:$A,"BOM",DATA_GOC!$D:$D,$B73,DATA_GOC!$F:$F,"Xuất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3" s="61" t="str">
        <f>IF($B73="","",IF(N$4&gt;DAY(EOMONTH(DATE($D$2,$B$2,1),0)),"",SUMIFS(DATA_GOC!$H:$H,DATA_GOC!$A:$A,"BOM",DATA_GOC!$D:$D,$B73,DATA_GOC!$F:$F,"Xuất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3" s="61" t="str">
        <f>IF($B73="","",IF(O$4&gt;DAY(EOMONTH(DATE($D$2,$B$2,1),0)),"",SUMIFS(DATA_GOC!$H:$H,DATA_GOC!$A:$A,"BOM",DATA_GOC!$D:$D,$B73,DATA_GOC!$F:$F,"Xuất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3" s="61" t="str">
        <f>IF($B73="","",IF(P$4&gt;DAY(EOMONTH(DATE($D$2,$B$2,1),0)),"",SUMIFS(DATA_GOC!$H:$H,DATA_GOC!$A:$A,"BOM",DATA_GOC!$D:$D,$B73,DATA_GOC!$F:$F,"Xuất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3" s="61" t="str">
        <f>IF($B73="","",IF(Q$4&gt;DAY(EOMONTH(DATE($D$2,$B$2,1),0)),"",SUMIFS(DATA_GOC!$H:$H,DATA_GOC!$A:$A,"BOM",DATA_GOC!$D:$D,$B73,DATA_GOC!$F:$F,"Xuất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3" s="61" t="str">
        <f>IF($B73="","",IF(R$4&gt;DAY(EOMONTH(DATE($D$2,$B$2,1),0)),"",SUMIFS(DATA_GOC!$H:$H,DATA_GOC!$A:$A,"BOM",DATA_GOC!$D:$D,$B73,DATA_GOC!$F:$F,"Xuất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3" s="61" t="str">
        <f>IF($B73="","",IF(S$4&gt;DAY(EOMONTH(DATE($D$2,$B$2,1),0)),"",SUMIFS(DATA_GOC!$H:$H,DATA_GOC!$A:$A,"BOM",DATA_GOC!$D:$D,$B73,DATA_GOC!$F:$F,"Xuất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3" s="229" t="str">
        <f>IF($B73="","",IF(T$4&gt;DAY(EOMONTH(DATE($D$2,$B$2,1),0)),"",SUMIFS(DATA_GOC!$H:$H,DATA_GOC!$A:$A,"BOM",DATA_GOC!$D:$D,$B73,DATA_GOC!$F:$F,"Xuất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3" s="229" t="str">
        <f>IF($B73="","",IF(U$4&gt;DAY(EOMONTH(DATE($D$2,$B$2,1),0)),"",SUMIFS(DATA_GOC!$H:$H,DATA_GOC!$A:$A,"BOM",DATA_GOC!$D:$D,$B73,DATA_GOC!$F:$F,"Xuất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3" s="229" t="str">
        <f>IF($B73="","",IF(V$4&gt;DAY(EOMONTH(DATE($D$2,$B$2,1),0)),"",SUMIFS(DATA_GOC!$H:$H,DATA_GOC!$A:$A,"BOM",DATA_GOC!$D:$D,$B73,DATA_GOC!$F:$F,"Xuất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3" s="61" t="str">
        <f>IF($B73="","",IF(W$4&gt;DAY(EOMONTH(DATE($D$2,$B$2,1),0)),"",SUMIFS(DATA_GOC!$H:$H,DATA_GOC!$A:$A,"BOM",DATA_GOC!$D:$D,$B73,DATA_GOC!$F:$F,"Xuất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3" s="229" t="str">
        <f>IF($B73="","",IF(X$4&gt;DAY(EOMONTH(DATE($D$2,$B$2,1),0)),"",SUMIFS(DATA_GOC!$H:$H,DATA_GOC!$A:$A,"BOM",DATA_GOC!$D:$D,$B73,DATA_GOC!$F:$F,"Xuất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3" s="229" t="str">
        <f>IF($B73="","",IF(Y$4&gt;DAY(EOMONTH(DATE($D$2,$B$2,1),0)),"",SUMIFS(DATA_GOC!$H:$H,DATA_GOC!$A:$A,"BOM",DATA_GOC!$D:$D,$B73,DATA_GOC!$F:$F,"Xuất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3" s="229" t="str">
        <f>IF($B73="","",IF(Z$4&gt;DAY(EOMONTH(DATE($D$2,$B$2,1),0)),"",SUMIFS(DATA_GOC!$H:$H,DATA_GOC!$A:$A,"BOM",DATA_GOC!$D:$D,$B73,DATA_GOC!$F:$F,"Xuất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3" s="229" t="str">
        <f>IF($B73="","",IF(AA$4&gt;DAY(EOMONTH(DATE($D$2,$B$2,1),0)),"",SUMIFS(DATA_GOC!$H:$H,DATA_GOC!$A:$A,"BOM",DATA_GOC!$D:$D,$B73,DATA_GOC!$F:$F,"Xuất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3" s="229" t="str">
        <f>IF($B73="","",IF(AB$4&gt;DAY(EOMONTH(DATE($D$2,$B$2,1),0)),"",SUMIFS(DATA_GOC!$H:$H,DATA_GOC!$A:$A,"BOM",DATA_GOC!$D:$D,$B73,DATA_GOC!$F:$F,"Xuất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3" s="61" t="str">
        <f>IF($B73="","",IF(AC$4&gt;DAY(EOMONTH(DATE($D$2,$B$2,1),0)),"",SUMIFS(DATA_GOC!$H:$H,DATA_GOC!$A:$A,"BOM",DATA_GOC!$D:$D,$B73,DATA_GOC!$F:$F,"Xuất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3" s="222" t="str">
        <f>IF($B73="","",IF(AD$4&gt;DAY(EOMONTH(DATE($D$2,$B$2,1),0)),"",SUMIFS(DATA_GOC!$H:$H,DATA_GOC!$A:$A,"BOM",DATA_GOC!$D:$D,$B73,DATA_GOC!$F:$F,"Xuất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3" s="222" t="str">
        <f>IF($B73="","",IF(AE$4&gt;DAY(EOMONTH(DATE($D$2,$B$2,1),0)),"",SUMIFS(DATA_GOC!$H:$H,DATA_GOC!$A:$A,"BOM",DATA_GOC!$D:$D,$B73,DATA_GOC!$F:$F,"Xuất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3" s="222" t="str">
        <f>IF($B73="","",IF(AF$4&gt;DAY(EOMONTH(DATE($D$2,$B$2,1),0)),"",SUMIFS(DATA_GOC!$H:$H,DATA_GOC!$A:$A,"BOM",DATA_GOC!$D:$D,$B73,DATA_GOC!$F:$F,"Xuất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3" s="222" t="str">
        <f>IF($B73="","",IF(AG$4&gt;DAY(EOMONTH(DATE($D$2,$B$2,1),0)),"",SUMIFS(DATA_GOC!$H:$H,DATA_GOC!$A:$A,"BOM",DATA_GOC!$D:$D,$B73,DATA_GOC!$F:$F,"Xuất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3" s="222" t="str">
        <f t="shared" si="2"/>
        <v/>
      </c>
      <c r="AI73" s="222" t="str">
        <f>IF($B73="","",SUMIFS(DATA_GOC!$H:$H,DATA_GOC!$A:$A,"BOM",DATA_GOC!$D:$D,$B73,DATA_GOC!$F:$F,"Bơm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3" s="222" t="str">
        <f t="shared" si="3"/>
        <v/>
      </c>
      <c r="AM73" s="222" t="str">
        <f>IF($B73="","",SUMIFS(DATA_GOC!$K:$K,DATA_GOC!$A:$A,"BOM",DATA_GOC!$D:$D,$B73,DATA_GOC!$G:$G,"DO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3" s="222" t="str">
        <f t="shared" si="4"/>
        <v/>
      </c>
      <c r="AO73" s="227" t="str">
        <f t="shared" si="5"/>
        <v/>
      </c>
      <c r="AP73" s="226" t="str">
        <f>IF($B73="","",IFERROR(AO73-(SUMIFS(DATA_GOC!$H:$H,DATA_GOC!$A:$A,"BOM",DATA_GOC!$D:$D,$B73,DATA_GOC!$F:$F,"Xuất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3" s="59">
        <v>2.0</v>
      </c>
      <c r="AR73" s="59">
        <v>2026.0</v>
      </c>
      <c r="AS73" s="59" t="s">
        <v>145</v>
      </c>
      <c r="AT73" s="59">
        <v>378.712556500046</v>
      </c>
      <c r="AU73" s="59">
        <v>0.0</v>
      </c>
      <c r="AV73" s="59">
        <v>378.712556500046</v>
      </c>
      <c r="AW73" s="59">
        <v>691.0</v>
      </c>
      <c r="AX73" s="59">
        <v>54.8064481186753</v>
      </c>
      <c r="AY73" s="59">
        <v>129.313</v>
      </c>
      <c r="AZ73" s="59">
        <v>249.399556500046</v>
      </c>
      <c r="BA73" s="59">
        <v>4.313</v>
      </c>
      <c r="BB73" s="59">
        <v>0.0</v>
      </c>
      <c r="BC73" s="59" t="s">
        <v>428</v>
      </c>
    </row>
    <row r="74" ht="15.0" customHeight="1">
      <c r="A74" s="61" t="str">
        <f t="shared" si="1"/>
        <v/>
      </c>
      <c r="B74" s="228" t="str">
        <f t="array" ref="B74">IFERROR(INDEX(DANH_MUC!$E:$E,ROW()-1),"")</f>
        <v/>
      </c>
      <c r="C74" s="228" t="str">
        <f>IF($B74="","",IF(C$4&gt;DAY(EOMONTH(DATE($D$2,$B$2,1),0)),"",SUMIFS(DATA_GOC!$H:$H,DATA_GOC!$A:$A,"BOM",DATA_GOC!$D:$D,$B74,DATA_GOC!$F:$F,"Xuất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4" s="61" t="str">
        <f>IF($B74="","",IF(D$4&gt;DAY(EOMONTH(DATE($D$2,$B$2,1),0)),"",SUMIFS(DATA_GOC!$H:$H,DATA_GOC!$A:$A,"BOM",DATA_GOC!$D:$D,$B74,DATA_GOC!$F:$F,"Xuất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4" s="229" t="str">
        <f>IF($B74="","",IF(E$4&gt;DAY(EOMONTH(DATE($D$2,$B$2,1),0)),"",SUMIFS(DATA_GOC!$H:$H,DATA_GOC!$A:$A,"BOM",DATA_GOC!$D:$D,$B74,DATA_GOC!$F:$F,"Xuất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4" s="229" t="str">
        <f>IF($B74="","",IF(F$4&gt;DAY(EOMONTH(DATE($D$2,$B$2,1),0)),"",SUMIFS(DATA_GOC!$H:$H,DATA_GOC!$A:$A,"BOM",DATA_GOC!$D:$D,$B74,DATA_GOC!$F:$F,"Xuất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4" s="229" t="str">
        <f>IF($B74="","",IF(G$4&gt;DAY(EOMONTH(DATE($D$2,$B$2,1),0)),"",SUMIFS(DATA_GOC!$H:$H,DATA_GOC!$A:$A,"BOM",DATA_GOC!$D:$D,$B74,DATA_GOC!$F:$F,"Xuất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4" s="228" t="str">
        <f>IF($B74="","",IF(H$4&gt;DAY(EOMONTH(DATE($D$2,$B$2,1),0)),"",SUMIFS(DATA_GOC!$H:$H,DATA_GOC!$A:$A,"BOM",DATA_GOC!$D:$D,$B74,DATA_GOC!$F:$F,"Xuất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4" s="229" t="str">
        <f>IF($B74="","",IF(I$4&gt;DAY(EOMONTH(DATE($D$2,$B$2,1),0)),"",SUMIFS(DATA_GOC!$H:$H,DATA_GOC!$A:$A,"BOM",DATA_GOC!$D:$D,$B74,DATA_GOC!$F:$F,"Xuất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4" s="229" t="str">
        <f>IF($B74="","",IF(J$4&gt;DAY(EOMONTH(DATE($D$2,$B$2,1),0)),"",SUMIFS(DATA_GOC!$H:$H,DATA_GOC!$A:$A,"BOM",DATA_GOC!$D:$D,$B74,DATA_GOC!$F:$F,"Xuất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4" s="229" t="str">
        <f>IF($B74="","",IF(K$4&gt;DAY(EOMONTH(DATE($D$2,$B$2,1),0)),"",SUMIFS(DATA_GOC!$H:$H,DATA_GOC!$A:$A,"BOM",DATA_GOC!$D:$D,$B74,DATA_GOC!$F:$F,"Xuất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4" s="229" t="str">
        <f>IF($B74="","",IF(L$4&gt;DAY(EOMONTH(DATE($D$2,$B$2,1),0)),"",SUMIFS(DATA_GOC!$H:$H,DATA_GOC!$A:$A,"BOM",DATA_GOC!$D:$D,$B74,DATA_GOC!$F:$F,"Xuất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4" s="229" t="str">
        <f>IF($B74="","",IF(M$4&gt;DAY(EOMONTH(DATE($D$2,$B$2,1),0)),"",SUMIFS(DATA_GOC!$H:$H,DATA_GOC!$A:$A,"BOM",DATA_GOC!$D:$D,$B74,DATA_GOC!$F:$F,"Xuất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4" s="61" t="str">
        <f>IF($B74="","",IF(N$4&gt;DAY(EOMONTH(DATE($D$2,$B$2,1),0)),"",SUMIFS(DATA_GOC!$H:$H,DATA_GOC!$A:$A,"BOM",DATA_GOC!$D:$D,$B74,DATA_GOC!$F:$F,"Xuất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4" s="61" t="str">
        <f>IF($B74="","",IF(O$4&gt;DAY(EOMONTH(DATE($D$2,$B$2,1),0)),"",SUMIFS(DATA_GOC!$H:$H,DATA_GOC!$A:$A,"BOM",DATA_GOC!$D:$D,$B74,DATA_GOC!$F:$F,"Xuất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4" s="61" t="str">
        <f>IF($B74="","",IF(P$4&gt;DAY(EOMONTH(DATE($D$2,$B$2,1),0)),"",SUMIFS(DATA_GOC!$H:$H,DATA_GOC!$A:$A,"BOM",DATA_GOC!$D:$D,$B74,DATA_GOC!$F:$F,"Xuất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4" s="61" t="str">
        <f>IF($B74="","",IF(Q$4&gt;DAY(EOMONTH(DATE($D$2,$B$2,1),0)),"",SUMIFS(DATA_GOC!$H:$H,DATA_GOC!$A:$A,"BOM",DATA_GOC!$D:$D,$B74,DATA_GOC!$F:$F,"Xuất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4" s="61" t="str">
        <f>IF($B74="","",IF(R$4&gt;DAY(EOMONTH(DATE($D$2,$B$2,1),0)),"",SUMIFS(DATA_GOC!$H:$H,DATA_GOC!$A:$A,"BOM",DATA_GOC!$D:$D,$B74,DATA_GOC!$F:$F,"Xuất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4" s="61" t="str">
        <f>IF($B74="","",IF(S$4&gt;DAY(EOMONTH(DATE($D$2,$B$2,1),0)),"",SUMIFS(DATA_GOC!$H:$H,DATA_GOC!$A:$A,"BOM",DATA_GOC!$D:$D,$B74,DATA_GOC!$F:$F,"Xuất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4" s="229" t="str">
        <f>IF($B74="","",IF(T$4&gt;DAY(EOMONTH(DATE($D$2,$B$2,1),0)),"",SUMIFS(DATA_GOC!$H:$H,DATA_GOC!$A:$A,"BOM",DATA_GOC!$D:$D,$B74,DATA_GOC!$F:$F,"Xuất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4" s="229" t="str">
        <f>IF($B74="","",IF(U$4&gt;DAY(EOMONTH(DATE($D$2,$B$2,1),0)),"",SUMIFS(DATA_GOC!$H:$H,DATA_GOC!$A:$A,"BOM",DATA_GOC!$D:$D,$B74,DATA_GOC!$F:$F,"Xuất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4" s="229" t="str">
        <f>IF($B74="","",IF(V$4&gt;DAY(EOMONTH(DATE($D$2,$B$2,1),0)),"",SUMIFS(DATA_GOC!$H:$H,DATA_GOC!$A:$A,"BOM",DATA_GOC!$D:$D,$B74,DATA_GOC!$F:$F,"Xuất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4" s="61" t="str">
        <f>IF($B74="","",IF(W$4&gt;DAY(EOMONTH(DATE($D$2,$B$2,1),0)),"",SUMIFS(DATA_GOC!$H:$H,DATA_GOC!$A:$A,"BOM",DATA_GOC!$D:$D,$B74,DATA_GOC!$F:$F,"Xuất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4" s="229" t="str">
        <f>IF($B74="","",IF(X$4&gt;DAY(EOMONTH(DATE($D$2,$B$2,1),0)),"",SUMIFS(DATA_GOC!$H:$H,DATA_GOC!$A:$A,"BOM",DATA_GOC!$D:$D,$B74,DATA_GOC!$F:$F,"Xuất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4" s="229" t="str">
        <f>IF($B74="","",IF(Y$4&gt;DAY(EOMONTH(DATE($D$2,$B$2,1),0)),"",SUMIFS(DATA_GOC!$H:$H,DATA_GOC!$A:$A,"BOM",DATA_GOC!$D:$D,$B74,DATA_GOC!$F:$F,"Xuất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4" s="229" t="str">
        <f>IF($B74="","",IF(Z$4&gt;DAY(EOMONTH(DATE($D$2,$B$2,1),0)),"",SUMIFS(DATA_GOC!$H:$H,DATA_GOC!$A:$A,"BOM",DATA_GOC!$D:$D,$B74,DATA_GOC!$F:$F,"Xuất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4" s="229" t="str">
        <f>IF($B74="","",IF(AA$4&gt;DAY(EOMONTH(DATE($D$2,$B$2,1),0)),"",SUMIFS(DATA_GOC!$H:$H,DATA_GOC!$A:$A,"BOM",DATA_GOC!$D:$D,$B74,DATA_GOC!$F:$F,"Xuất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4" s="229" t="str">
        <f>IF($B74="","",IF(AB$4&gt;DAY(EOMONTH(DATE($D$2,$B$2,1),0)),"",SUMIFS(DATA_GOC!$H:$H,DATA_GOC!$A:$A,"BOM",DATA_GOC!$D:$D,$B74,DATA_GOC!$F:$F,"Xuất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4" s="61" t="str">
        <f>IF($B74="","",IF(AC$4&gt;DAY(EOMONTH(DATE($D$2,$B$2,1),0)),"",SUMIFS(DATA_GOC!$H:$H,DATA_GOC!$A:$A,"BOM",DATA_GOC!$D:$D,$B74,DATA_GOC!$F:$F,"Xuất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4" s="222" t="str">
        <f>IF($B74="","",IF(AD$4&gt;DAY(EOMONTH(DATE($D$2,$B$2,1),0)),"",SUMIFS(DATA_GOC!$H:$H,DATA_GOC!$A:$A,"BOM",DATA_GOC!$D:$D,$B74,DATA_GOC!$F:$F,"Xuất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4" s="222" t="str">
        <f>IF($B74="","",IF(AE$4&gt;DAY(EOMONTH(DATE($D$2,$B$2,1),0)),"",SUMIFS(DATA_GOC!$H:$H,DATA_GOC!$A:$A,"BOM",DATA_GOC!$D:$D,$B74,DATA_GOC!$F:$F,"Xuất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4" s="222" t="str">
        <f>IF($B74="","",IF(AF$4&gt;DAY(EOMONTH(DATE($D$2,$B$2,1),0)),"",SUMIFS(DATA_GOC!$H:$H,DATA_GOC!$A:$A,"BOM",DATA_GOC!$D:$D,$B74,DATA_GOC!$F:$F,"Xuất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4" s="222" t="str">
        <f>IF($B74="","",IF(AG$4&gt;DAY(EOMONTH(DATE($D$2,$B$2,1),0)),"",SUMIFS(DATA_GOC!$H:$H,DATA_GOC!$A:$A,"BOM",DATA_GOC!$D:$D,$B74,DATA_GOC!$F:$F,"Xuất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4" s="222" t="str">
        <f t="shared" si="2"/>
        <v/>
      </c>
      <c r="AI74" s="222" t="str">
        <f>IF($B74="","",SUMIFS(DATA_GOC!$H:$H,DATA_GOC!$A:$A,"BOM",DATA_GOC!$D:$D,$B74,DATA_GOC!$F:$F,"Bơm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4" s="222" t="str">
        <f t="shared" si="3"/>
        <v/>
      </c>
      <c r="AM74" s="222" t="str">
        <f>IF($B74="","",SUMIFS(DATA_GOC!$K:$K,DATA_GOC!$A:$A,"BOM",DATA_GOC!$D:$D,$B74,DATA_GOC!$G:$G,"DO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4" s="222" t="str">
        <f t="shared" si="4"/>
        <v/>
      </c>
      <c r="AO74" s="227" t="str">
        <f t="shared" si="5"/>
        <v/>
      </c>
      <c r="AP74" s="226" t="str">
        <f>IF($B74="","",IFERROR(AO74-(SUMIFS(DATA_GOC!$H:$H,DATA_GOC!$A:$A,"BOM",DATA_GOC!$D:$D,$B74,DATA_GOC!$F:$F,"Xuất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4" s="59">
        <v>2.0</v>
      </c>
      <c r="AR74" s="59">
        <v>2026.0</v>
      </c>
      <c r="AS74" s="59" t="s">
        <v>87</v>
      </c>
      <c r="AT74" s="59">
        <v>944.415983898842</v>
      </c>
      <c r="AU74" s="59">
        <v>0.0</v>
      </c>
      <c r="AV74" s="59">
        <v>944.415983898842</v>
      </c>
      <c r="AW74" s="59">
        <v>1848.0</v>
      </c>
      <c r="AX74" s="59">
        <v>51.1047610334871</v>
      </c>
      <c r="AY74" s="59">
        <v>145.865</v>
      </c>
      <c r="AZ74" s="59">
        <v>798.550983898842</v>
      </c>
      <c r="BA74" s="59">
        <v>4.865</v>
      </c>
      <c r="BB74" s="59">
        <v>0.0</v>
      </c>
      <c r="BC74" s="59" t="s">
        <v>429</v>
      </c>
    </row>
    <row r="75" ht="15.0" customHeight="1">
      <c r="A75" s="61" t="str">
        <f t="shared" si="1"/>
        <v/>
      </c>
      <c r="B75" s="228" t="str">
        <f t="array" ref="B75">IFERROR(INDEX(DANH_MUC!$E:$E,ROW()-1),"")</f>
        <v/>
      </c>
      <c r="C75" s="228" t="str">
        <f>IF($B75="","",IF(C$4&gt;DAY(EOMONTH(DATE($D$2,$B$2,1),0)),"",SUMIFS(DATA_GOC!$H:$H,DATA_GOC!$A:$A,"BOM",DATA_GOC!$D:$D,$B75,DATA_GOC!$F:$F,"Xuất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5" s="61" t="str">
        <f>IF($B75="","",IF(D$4&gt;DAY(EOMONTH(DATE($D$2,$B$2,1),0)),"",SUMIFS(DATA_GOC!$H:$H,DATA_GOC!$A:$A,"BOM",DATA_GOC!$D:$D,$B75,DATA_GOC!$F:$F,"Xuất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5" s="229" t="str">
        <f>IF($B75="","",IF(E$4&gt;DAY(EOMONTH(DATE($D$2,$B$2,1),0)),"",SUMIFS(DATA_GOC!$H:$H,DATA_GOC!$A:$A,"BOM",DATA_GOC!$D:$D,$B75,DATA_GOC!$F:$F,"Xuất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5" s="229" t="str">
        <f>IF($B75="","",IF(F$4&gt;DAY(EOMONTH(DATE($D$2,$B$2,1),0)),"",SUMIFS(DATA_GOC!$H:$H,DATA_GOC!$A:$A,"BOM",DATA_GOC!$D:$D,$B75,DATA_GOC!$F:$F,"Xuất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5" s="229" t="str">
        <f>IF($B75="","",IF(G$4&gt;DAY(EOMONTH(DATE($D$2,$B$2,1),0)),"",SUMIFS(DATA_GOC!$H:$H,DATA_GOC!$A:$A,"BOM",DATA_GOC!$D:$D,$B75,DATA_GOC!$F:$F,"Xuất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5" s="228" t="str">
        <f>IF($B75="","",IF(H$4&gt;DAY(EOMONTH(DATE($D$2,$B$2,1),0)),"",SUMIFS(DATA_GOC!$H:$H,DATA_GOC!$A:$A,"BOM",DATA_GOC!$D:$D,$B75,DATA_GOC!$F:$F,"Xuất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5" s="229" t="str">
        <f>IF($B75="","",IF(I$4&gt;DAY(EOMONTH(DATE($D$2,$B$2,1),0)),"",SUMIFS(DATA_GOC!$H:$H,DATA_GOC!$A:$A,"BOM",DATA_GOC!$D:$D,$B75,DATA_GOC!$F:$F,"Xuất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5" s="229" t="str">
        <f>IF($B75="","",IF(J$4&gt;DAY(EOMONTH(DATE($D$2,$B$2,1),0)),"",SUMIFS(DATA_GOC!$H:$H,DATA_GOC!$A:$A,"BOM",DATA_GOC!$D:$D,$B75,DATA_GOC!$F:$F,"Xuất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5" s="229" t="str">
        <f>IF($B75="","",IF(K$4&gt;DAY(EOMONTH(DATE($D$2,$B$2,1),0)),"",SUMIFS(DATA_GOC!$H:$H,DATA_GOC!$A:$A,"BOM",DATA_GOC!$D:$D,$B75,DATA_GOC!$F:$F,"Xuất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5" s="229" t="str">
        <f>IF($B75="","",IF(L$4&gt;DAY(EOMONTH(DATE($D$2,$B$2,1),0)),"",SUMIFS(DATA_GOC!$H:$H,DATA_GOC!$A:$A,"BOM",DATA_GOC!$D:$D,$B75,DATA_GOC!$F:$F,"Xuất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5" s="229" t="str">
        <f>IF($B75="","",IF(M$4&gt;DAY(EOMONTH(DATE($D$2,$B$2,1),0)),"",SUMIFS(DATA_GOC!$H:$H,DATA_GOC!$A:$A,"BOM",DATA_GOC!$D:$D,$B75,DATA_GOC!$F:$F,"Xuất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5" s="61" t="str">
        <f>IF($B75="","",IF(N$4&gt;DAY(EOMONTH(DATE($D$2,$B$2,1),0)),"",SUMIFS(DATA_GOC!$H:$H,DATA_GOC!$A:$A,"BOM",DATA_GOC!$D:$D,$B75,DATA_GOC!$F:$F,"Xuất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5" s="61" t="str">
        <f>IF($B75="","",IF(O$4&gt;DAY(EOMONTH(DATE($D$2,$B$2,1),0)),"",SUMIFS(DATA_GOC!$H:$H,DATA_GOC!$A:$A,"BOM",DATA_GOC!$D:$D,$B75,DATA_GOC!$F:$F,"Xuất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5" s="61" t="str">
        <f>IF($B75="","",IF(P$4&gt;DAY(EOMONTH(DATE($D$2,$B$2,1),0)),"",SUMIFS(DATA_GOC!$H:$H,DATA_GOC!$A:$A,"BOM",DATA_GOC!$D:$D,$B75,DATA_GOC!$F:$F,"Xuất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5" s="61" t="str">
        <f>IF($B75="","",IF(Q$4&gt;DAY(EOMONTH(DATE($D$2,$B$2,1),0)),"",SUMIFS(DATA_GOC!$H:$H,DATA_GOC!$A:$A,"BOM",DATA_GOC!$D:$D,$B75,DATA_GOC!$F:$F,"Xuất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5" s="61" t="str">
        <f>IF($B75="","",IF(R$4&gt;DAY(EOMONTH(DATE($D$2,$B$2,1),0)),"",SUMIFS(DATA_GOC!$H:$H,DATA_GOC!$A:$A,"BOM",DATA_GOC!$D:$D,$B75,DATA_GOC!$F:$F,"Xuất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5" s="61" t="str">
        <f>IF($B75="","",IF(S$4&gt;DAY(EOMONTH(DATE($D$2,$B$2,1),0)),"",SUMIFS(DATA_GOC!$H:$H,DATA_GOC!$A:$A,"BOM",DATA_GOC!$D:$D,$B75,DATA_GOC!$F:$F,"Xuất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5" s="229" t="str">
        <f>IF($B75="","",IF(T$4&gt;DAY(EOMONTH(DATE($D$2,$B$2,1),0)),"",SUMIFS(DATA_GOC!$H:$H,DATA_GOC!$A:$A,"BOM",DATA_GOC!$D:$D,$B75,DATA_GOC!$F:$F,"Xuất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5" s="229" t="str">
        <f>IF($B75="","",IF(U$4&gt;DAY(EOMONTH(DATE($D$2,$B$2,1),0)),"",SUMIFS(DATA_GOC!$H:$H,DATA_GOC!$A:$A,"BOM",DATA_GOC!$D:$D,$B75,DATA_GOC!$F:$F,"Xuất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5" s="229" t="str">
        <f>IF($B75="","",IF(V$4&gt;DAY(EOMONTH(DATE($D$2,$B$2,1),0)),"",SUMIFS(DATA_GOC!$H:$H,DATA_GOC!$A:$A,"BOM",DATA_GOC!$D:$D,$B75,DATA_GOC!$F:$F,"Xuất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5" s="61" t="str">
        <f>IF($B75="","",IF(W$4&gt;DAY(EOMONTH(DATE($D$2,$B$2,1),0)),"",SUMIFS(DATA_GOC!$H:$H,DATA_GOC!$A:$A,"BOM",DATA_GOC!$D:$D,$B75,DATA_GOC!$F:$F,"Xuất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5" s="229" t="str">
        <f>IF($B75="","",IF(X$4&gt;DAY(EOMONTH(DATE($D$2,$B$2,1),0)),"",SUMIFS(DATA_GOC!$H:$H,DATA_GOC!$A:$A,"BOM",DATA_GOC!$D:$D,$B75,DATA_GOC!$F:$F,"Xuất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5" s="229" t="str">
        <f>IF($B75="","",IF(Y$4&gt;DAY(EOMONTH(DATE($D$2,$B$2,1),0)),"",SUMIFS(DATA_GOC!$H:$H,DATA_GOC!$A:$A,"BOM",DATA_GOC!$D:$D,$B75,DATA_GOC!$F:$F,"Xuất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5" s="229" t="str">
        <f>IF($B75="","",IF(Z$4&gt;DAY(EOMONTH(DATE($D$2,$B$2,1),0)),"",SUMIFS(DATA_GOC!$H:$H,DATA_GOC!$A:$A,"BOM",DATA_GOC!$D:$D,$B75,DATA_GOC!$F:$F,"Xuất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5" s="229" t="str">
        <f>IF($B75="","",IF(AA$4&gt;DAY(EOMONTH(DATE($D$2,$B$2,1),0)),"",SUMIFS(DATA_GOC!$H:$H,DATA_GOC!$A:$A,"BOM",DATA_GOC!$D:$D,$B75,DATA_GOC!$F:$F,"Xuất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5" s="229" t="str">
        <f>IF($B75="","",IF(AB$4&gt;DAY(EOMONTH(DATE($D$2,$B$2,1),0)),"",SUMIFS(DATA_GOC!$H:$H,DATA_GOC!$A:$A,"BOM",DATA_GOC!$D:$D,$B75,DATA_GOC!$F:$F,"Xuất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5" s="61" t="str">
        <f>IF($B75="","",IF(AC$4&gt;DAY(EOMONTH(DATE($D$2,$B$2,1),0)),"",SUMIFS(DATA_GOC!$H:$H,DATA_GOC!$A:$A,"BOM",DATA_GOC!$D:$D,$B75,DATA_GOC!$F:$F,"Xuất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5" s="222" t="str">
        <f>IF($B75="","",IF(AD$4&gt;DAY(EOMONTH(DATE($D$2,$B$2,1),0)),"",SUMIFS(DATA_GOC!$H:$H,DATA_GOC!$A:$A,"BOM",DATA_GOC!$D:$D,$B75,DATA_GOC!$F:$F,"Xuất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5" s="222" t="str">
        <f>IF($B75="","",IF(AE$4&gt;DAY(EOMONTH(DATE($D$2,$B$2,1),0)),"",SUMIFS(DATA_GOC!$H:$H,DATA_GOC!$A:$A,"BOM",DATA_GOC!$D:$D,$B75,DATA_GOC!$F:$F,"Xuất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5" s="222" t="str">
        <f>IF($B75="","",IF(AF$4&gt;DAY(EOMONTH(DATE($D$2,$B$2,1),0)),"",SUMIFS(DATA_GOC!$H:$H,DATA_GOC!$A:$A,"BOM",DATA_GOC!$D:$D,$B75,DATA_GOC!$F:$F,"Xuất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5" s="222" t="str">
        <f>IF($B75="","",IF(AG$4&gt;DAY(EOMONTH(DATE($D$2,$B$2,1),0)),"",SUMIFS(DATA_GOC!$H:$H,DATA_GOC!$A:$A,"BOM",DATA_GOC!$D:$D,$B75,DATA_GOC!$F:$F,"Xuất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5" s="222" t="str">
        <f t="shared" si="2"/>
        <v/>
      </c>
      <c r="AI75" s="222" t="str">
        <f>IF($B75="","",SUMIFS(DATA_GOC!$H:$H,DATA_GOC!$A:$A,"BOM",DATA_GOC!$D:$D,$B75,DATA_GOC!$F:$F,"Bơm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5" s="222" t="str">
        <f t="shared" si="3"/>
        <v/>
      </c>
      <c r="AM75" s="222" t="str">
        <f>IF($B75="","",SUMIFS(DATA_GOC!$K:$K,DATA_GOC!$A:$A,"BOM",DATA_GOC!$D:$D,$B75,DATA_GOC!$G:$G,"DO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5" s="222" t="str">
        <f t="shared" si="4"/>
        <v/>
      </c>
      <c r="AO75" s="227" t="str">
        <f t="shared" si="5"/>
        <v/>
      </c>
      <c r="AP75" s="226" t="str">
        <f>IF($B75="","",IFERROR(AO75-(SUMIFS(DATA_GOC!$H:$H,DATA_GOC!$A:$A,"BOM",DATA_GOC!$D:$D,$B75,DATA_GOC!$F:$F,"Xuất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5" s="59">
        <v>2.0</v>
      </c>
      <c r="AR75" s="59">
        <v>2026.0</v>
      </c>
      <c r="AS75" s="59" t="s">
        <v>102</v>
      </c>
      <c r="AT75" s="59">
        <v>1077.5123904638</v>
      </c>
      <c r="AU75" s="59">
        <v>0.0</v>
      </c>
      <c r="AV75" s="59">
        <v>1077.5123904638</v>
      </c>
      <c r="AW75" s="59">
        <v>2347.0</v>
      </c>
      <c r="AX75" s="59">
        <v>45.9101998493312</v>
      </c>
      <c r="AY75" s="59">
        <v>165.521</v>
      </c>
      <c r="AZ75" s="59">
        <v>911.991390463802</v>
      </c>
      <c r="BA75" s="59">
        <v>5.521</v>
      </c>
      <c r="BB75" s="59">
        <v>0.0</v>
      </c>
      <c r="BC75" s="59" t="s">
        <v>430</v>
      </c>
    </row>
    <row r="76" ht="15.0" customHeight="1">
      <c r="A76" s="61" t="str">
        <f t="shared" si="1"/>
        <v/>
      </c>
      <c r="B76" s="228" t="str">
        <f t="array" ref="B76">IFERROR(INDEX(DANH_MUC!$E:$E,ROW()-1),"")</f>
        <v/>
      </c>
      <c r="C76" s="228" t="str">
        <f>IF($B76="","",IF(C$4&gt;DAY(EOMONTH(DATE($D$2,$B$2,1),0)),"",SUMIFS(DATA_GOC!$H:$H,DATA_GOC!$A:$A,"BOM",DATA_GOC!$D:$D,$B76,DATA_GOC!$F:$F,"Xuất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6" s="61" t="str">
        <f>IF($B76="","",IF(D$4&gt;DAY(EOMONTH(DATE($D$2,$B$2,1),0)),"",SUMIFS(DATA_GOC!$H:$H,DATA_GOC!$A:$A,"BOM",DATA_GOC!$D:$D,$B76,DATA_GOC!$F:$F,"Xuất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6" s="229" t="str">
        <f>IF($B76="","",IF(E$4&gt;DAY(EOMONTH(DATE($D$2,$B$2,1),0)),"",SUMIFS(DATA_GOC!$H:$H,DATA_GOC!$A:$A,"BOM",DATA_GOC!$D:$D,$B76,DATA_GOC!$F:$F,"Xuất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6" s="229" t="str">
        <f>IF($B76="","",IF(F$4&gt;DAY(EOMONTH(DATE($D$2,$B$2,1),0)),"",SUMIFS(DATA_GOC!$H:$H,DATA_GOC!$A:$A,"BOM",DATA_GOC!$D:$D,$B76,DATA_GOC!$F:$F,"Xuất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6" s="229" t="str">
        <f>IF($B76="","",IF(G$4&gt;DAY(EOMONTH(DATE($D$2,$B$2,1),0)),"",SUMIFS(DATA_GOC!$H:$H,DATA_GOC!$A:$A,"BOM",DATA_GOC!$D:$D,$B76,DATA_GOC!$F:$F,"Xuất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6" s="228" t="str">
        <f>IF($B76="","",IF(H$4&gt;DAY(EOMONTH(DATE($D$2,$B$2,1),0)),"",SUMIFS(DATA_GOC!$H:$H,DATA_GOC!$A:$A,"BOM",DATA_GOC!$D:$D,$B76,DATA_GOC!$F:$F,"Xuất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6" s="229" t="str">
        <f>IF($B76="","",IF(I$4&gt;DAY(EOMONTH(DATE($D$2,$B$2,1),0)),"",SUMIFS(DATA_GOC!$H:$H,DATA_GOC!$A:$A,"BOM",DATA_GOC!$D:$D,$B76,DATA_GOC!$F:$F,"Xuất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6" s="229" t="str">
        <f>IF($B76="","",IF(J$4&gt;DAY(EOMONTH(DATE($D$2,$B$2,1),0)),"",SUMIFS(DATA_GOC!$H:$H,DATA_GOC!$A:$A,"BOM",DATA_GOC!$D:$D,$B76,DATA_GOC!$F:$F,"Xuất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6" s="229" t="str">
        <f>IF($B76="","",IF(K$4&gt;DAY(EOMONTH(DATE($D$2,$B$2,1),0)),"",SUMIFS(DATA_GOC!$H:$H,DATA_GOC!$A:$A,"BOM",DATA_GOC!$D:$D,$B76,DATA_GOC!$F:$F,"Xuất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6" s="229" t="str">
        <f>IF($B76="","",IF(L$4&gt;DAY(EOMONTH(DATE($D$2,$B$2,1),0)),"",SUMIFS(DATA_GOC!$H:$H,DATA_GOC!$A:$A,"BOM",DATA_GOC!$D:$D,$B76,DATA_GOC!$F:$F,"Xuất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6" s="229" t="str">
        <f>IF($B76="","",IF(M$4&gt;DAY(EOMONTH(DATE($D$2,$B$2,1),0)),"",SUMIFS(DATA_GOC!$H:$H,DATA_GOC!$A:$A,"BOM",DATA_GOC!$D:$D,$B76,DATA_GOC!$F:$F,"Xuất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6" s="61" t="str">
        <f>IF($B76="","",IF(N$4&gt;DAY(EOMONTH(DATE($D$2,$B$2,1),0)),"",SUMIFS(DATA_GOC!$H:$H,DATA_GOC!$A:$A,"BOM",DATA_GOC!$D:$D,$B76,DATA_GOC!$F:$F,"Xuất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6" s="61" t="str">
        <f>IF($B76="","",IF(O$4&gt;DAY(EOMONTH(DATE($D$2,$B$2,1),0)),"",SUMIFS(DATA_GOC!$H:$H,DATA_GOC!$A:$A,"BOM",DATA_GOC!$D:$D,$B76,DATA_GOC!$F:$F,"Xuất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6" s="61" t="str">
        <f>IF($B76="","",IF(P$4&gt;DAY(EOMONTH(DATE($D$2,$B$2,1),0)),"",SUMIFS(DATA_GOC!$H:$H,DATA_GOC!$A:$A,"BOM",DATA_GOC!$D:$D,$B76,DATA_GOC!$F:$F,"Xuất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6" s="61" t="str">
        <f>IF($B76="","",IF(Q$4&gt;DAY(EOMONTH(DATE($D$2,$B$2,1),0)),"",SUMIFS(DATA_GOC!$H:$H,DATA_GOC!$A:$A,"BOM",DATA_GOC!$D:$D,$B76,DATA_GOC!$F:$F,"Xuất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6" s="61" t="str">
        <f>IF($B76="","",IF(R$4&gt;DAY(EOMONTH(DATE($D$2,$B$2,1),0)),"",SUMIFS(DATA_GOC!$H:$H,DATA_GOC!$A:$A,"BOM",DATA_GOC!$D:$D,$B76,DATA_GOC!$F:$F,"Xuất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6" s="61" t="str">
        <f>IF($B76="","",IF(S$4&gt;DAY(EOMONTH(DATE($D$2,$B$2,1),0)),"",SUMIFS(DATA_GOC!$H:$H,DATA_GOC!$A:$A,"BOM",DATA_GOC!$D:$D,$B76,DATA_GOC!$F:$F,"Xuất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6" s="229" t="str">
        <f>IF($B76="","",IF(T$4&gt;DAY(EOMONTH(DATE($D$2,$B$2,1),0)),"",SUMIFS(DATA_GOC!$H:$H,DATA_GOC!$A:$A,"BOM",DATA_GOC!$D:$D,$B76,DATA_GOC!$F:$F,"Xuất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6" s="229" t="str">
        <f>IF($B76="","",IF(U$4&gt;DAY(EOMONTH(DATE($D$2,$B$2,1),0)),"",SUMIFS(DATA_GOC!$H:$H,DATA_GOC!$A:$A,"BOM",DATA_GOC!$D:$D,$B76,DATA_GOC!$F:$F,"Xuất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6" s="229" t="str">
        <f>IF($B76="","",IF(V$4&gt;DAY(EOMONTH(DATE($D$2,$B$2,1),0)),"",SUMIFS(DATA_GOC!$H:$H,DATA_GOC!$A:$A,"BOM",DATA_GOC!$D:$D,$B76,DATA_GOC!$F:$F,"Xuất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6" s="61" t="str">
        <f>IF($B76="","",IF(W$4&gt;DAY(EOMONTH(DATE($D$2,$B$2,1),0)),"",SUMIFS(DATA_GOC!$H:$H,DATA_GOC!$A:$A,"BOM",DATA_GOC!$D:$D,$B76,DATA_GOC!$F:$F,"Xuất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6" s="229" t="str">
        <f>IF($B76="","",IF(X$4&gt;DAY(EOMONTH(DATE($D$2,$B$2,1),0)),"",SUMIFS(DATA_GOC!$H:$H,DATA_GOC!$A:$A,"BOM",DATA_GOC!$D:$D,$B76,DATA_GOC!$F:$F,"Xuất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6" s="229" t="str">
        <f>IF($B76="","",IF(Y$4&gt;DAY(EOMONTH(DATE($D$2,$B$2,1),0)),"",SUMIFS(DATA_GOC!$H:$H,DATA_GOC!$A:$A,"BOM",DATA_GOC!$D:$D,$B76,DATA_GOC!$F:$F,"Xuất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6" s="229" t="str">
        <f>IF($B76="","",IF(Z$4&gt;DAY(EOMONTH(DATE($D$2,$B$2,1),0)),"",SUMIFS(DATA_GOC!$H:$H,DATA_GOC!$A:$A,"BOM",DATA_GOC!$D:$D,$B76,DATA_GOC!$F:$F,"Xuất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6" s="229" t="str">
        <f>IF($B76="","",IF(AA$4&gt;DAY(EOMONTH(DATE($D$2,$B$2,1),0)),"",SUMIFS(DATA_GOC!$H:$H,DATA_GOC!$A:$A,"BOM",DATA_GOC!$D:$D,$B76,DATA_GOC!$F:$F,"Xuất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6" s="229" t="str">
        <f>IF($B76="","",IF(AB$4&gt;DAY(EOMONTH(DATE($D$2,$B$2,1),0)),"",SUMIFS(DATA_GOC!$H:$H,DATA_GOC!$A:$A,"BOM",DATA_GOC!$D:$D,$B76,DATA_GOC!$F:$F,"Xuất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6" s="61" t="str">
        <f>IF($B76="","",IF(AC$4&gt;DAY(EOMONTH(DATE($D$2,$B$2,1),0)),"",SUMIFS(DATA_GOC!$H:$H,DATA_GOC!$A:$A,"BOM",DATA_GOC!$D:$D,$B76,DATA_GOC!$F:$F,"Xuất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6" s="222" t="str">
        <f>IF($B76="","",IF(AD$4&gt;DAY(EOMONTH(DATE($D$2,$B$2,1),0)),"",SUMIFS(DATA_GOC!$H:$H,DATA_GOC!$A:$A,"BOM",DATA_GOC!$D:$D,$B76,DATA_GOC!$F:$F,"Xuất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6" s="222" t="str">
        <f>IF($B76="","",IF(AE$4&gt;DAY(EOMONTH(DATE($D$2,$B$2,1),0)),"",SUMIFS(DATA_GOC!$H:$H,DATA_GOC!$A:$A,"BOM",DATA_GOC!$D:$D,$B76,DATA_GOC!$F:$F,"Xuất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6" s="222" t="str">
        <f>IF($B76="","",IF(AF$4&gt;DAY(EOMONTH(DATE($D$2,$B$2,1),0)),"",SUMIFS(DATA_GOC!$H:$H,DATA_GOC!$A:$A,"BOM",DATA_GOC!$D:$D,$B76,DATA_GOC!$F:$F,"Xuất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6" s="222" t="str">
        <f>IF($B76="","",IF(AG$4&gt;DAY(EOMONTH(DATE($D$2,$B$2,1),0)),"",SUMIFS(DATA_GOC!$H:$H,DATA_GOC!$A:$A,"BOM",DATA_GOC!$D:$D,$B76,DATA_GOC!$F:$F,"Xuất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6" s="222" t="str">
        <f t="shared" si="2"/>
        <v/>
      </c>
      <c r="AI76" s="222" t="str">
        <f>IF($B76="","",SUMIFS(DATA_GOC!$H:$H,DATA_GOC!$A:$A,"BOM",DATA_GOC!$D:$D,$B76,DATA_GOC!$F:$F,"Bơm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6" s="222" t="str">
        <f t="shared" si="3"/>
        <v/>
      </c>
      <c r="AM76" s="222" t="str">
        <f>IF($B76="","",SUMIFS(DATA_GOC!$K:$K,DATA_GOC!$A:$A,"BOM",DATA_GOC!$D:$D,$B76,DATA_GOC!$G:$G,"DO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6" s="222" t="str">
        <f t="shared" si="4"/>
        <v/>
      </c>
      <c r="AO76" s="227" t="str">
        <f t="shared" si="5"/>
        <v/>
      </c>
      <c r="AP76" s="226" t="str">
        <f>IF($B76="","",IFERROR(AO76-(SUMIFS(DATA_GOC!$H:$H,DATA_GOC!$A:$A,"BOM",DATA_GOC!$D:$D,$B76,DATA_GOC!$F:$F,"Xuất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6" s="59">
        <v>2.0</v>
      </c>
      <c r="AR76" s="59">
        <v>2026.0</v>
      </c>
      <c r="AS76" s="59" t="s">
        <v>336</v>
      </c>
      <c r="AT76" s="59">
        <v>1217.69439815234</v>
      </c>
      <c r="AU76" s="59">
        <v>0.0</v>
      </c>
      <c r="AV76" s="59">
        <v>1217.69439815234</v>
      </c>
      <c r="AW76" s="59">
        <v>2362.0</v>
      </c>
      <c r="AX76" s="59">
        <v>51.5535308277874</v>
      </c>
      <c r="AY76" s="59">
        <v>222.419</v>
      </c>
      <c r="AZ76" s="59">
        <v>995.275398152339</v>
      </c>
      <c r="BA76" s="59">
        <v>7.419</v>
      </c>
      <c r="BB76" s="59">
        <v>0.0</v>
      </c>
      <c r="BC76" s="59" t="s">
        <v>431</v>
      </c>
    </row>
    <row r="77" ht="15.0" customHeight="1">
      <c r="A77" s="61" t="str">
        <f t="shared" si="1"/>
        <v/>
      </c>
      <c r="B77" s="228" t="str">
        <f t="array" ref="B77">IFERROR(INDEX(DANH_MUC!$E:$E,ROW()-1),"")</f>
        <v/>
      </c>
      <c r="C77" s="228" t="str">
        <f>IF($B77="","",IF(C$4&gt;DAY(EOMONTH(DATE($D$2,$B$2,1),0)),"",SUMIFS(DATA_GOC!$H:$H,DATA_GOC!$A:$A,"BOM",DATA_GOC!$D:$D,$B77,DATA_GOC!$F:$F,"Xuất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7" s="61" t="str">
        <f>IF($B77="","",IF(D$4&gt;DAY(EOMONTH(DATE($D$2,$B$2,1),0)),"",SUMIFS(DATA_GOC!$H:$H,DATA_GOC!$A:$A,"BOM",DATA_GOC!$D:$D,$B77,DATA_GOC!$F:$F,"Xuất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7" s="229" t="str">
        <f>IF($B77="","",IF(E$4&gt;DAY(EOMONTH(DATE($D$2,$B$2,1),0)),"",SUMIFS(DATA_GOC!$H:$H,DATA_GOC!$A:$A,"BOM",DATA_GOC!$D:$D,$B77,DATA_GOC!$F:$F,"Xuất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7" s="229" t="str">
        <f>IF($B77="","",IF(F$4&gt;DAY(EOMONTH(DATE($D$2,$B$2,1),0)),"",SUMIFS(DATA_GOC!$H:$H,DATA_GOC!$A:$A,"BOM",DATA_GOC!$D:$D,$B77,DATA_GOC!$F:$F,"Xuất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7" s="229" t="str">
        <f>IF($B77="","",IF(G$4&gt;DAY(EOMONTH(DATE($D$2,$B$2,1),0)),"",SUMIFS(DATA_GOC!$H:$H,DATA_GOC!$A:$A,"BOM",DATA_GOC!$D:$D,$B77,DATA_GOC!$F:$F,"Xuất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7" s="228" t="str">
        <f>IF($B77="","",IF(H$4&gt;DAY(EOMONTH(DATE($D$2,$B$2,1),0)),"",SUMIFS(DATA_GOC!$H:$H,DATA_GOC!$A:$A,"BOM",DATA_GOC!$D:$D,$B77,DATA_GOC!$F:$F,"Xuất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7" s="229" t="str">
        <f>IF($B77="","",IF(I$4&gt;DAY(EOMONTH(DATE($D$2,$B$2,1),0)),"",SUMIFS(DATA_GOC!$H:$H,DATA_GOC!$A:$A,"BOM",DATA_GOC!$D:$D,$B77,DATA_GOC!$F:$F,"Xuất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7" s="229" t="str">
        <f>IF($B77="","",IF(J$4&gt;DAY(EOMONTH(DATE($D$2,$B$2,1),0)),"",SUMIFS(DATA_GOC!$H:$H,DATA_GOC!$A:$A,"BOM",DATA_GOC!$D:$D,$B77,DATA_GOC!$F:$F,"Xuất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7" s="229" t="str">
        <f>IF($B77="","",IF(K$4&gt;DAY(EOMONTH(DATE($D$2,$B$2,1),0)),"",SUMIFS(DATA_GOC!$H:$H,DATA_GOC!$A:$A,"BOM",DATA_GOC!$D:$D,$B77,DATA_GOC!$F:$F,"Xuất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7" s="229" t="str">
        <f>IF($B77="","",IF(L$4&gt;DAY(EOMONTH(DATE($D$2,$B$2,1),0)),"",SUMIFS(DATA_GOC!$H:$H,DATA_GOC!$A:$A,"BOM",DATA_GOC!$D:$D,$B77,DATA_GOC!$F:$F,"Xuất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7" s="229" t="str">
        <f>IF($B77="","",IF(M$4&gt;DAY(EOMONTH(DATE($D$2,$B$2,1),0)),"",SUMIFS(DATA_GOC!$H:$H,DATA_GOC!$A:$A,"BOM",DATA_GOC!$D:$D,$B77,DATA_GOC!$F:$F,"Xuất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7" s="61" t="str">
        <f>IF($B77="","",IF(N$4&gt;DAY(EOMONTH(DATE($D$2,$B$2,1),0)),"",SUMIFS(DATA_GOC!$H:$H,DATA_GOC!$A:$A,"BOM",DATA_GOC!$D:$D,$B77,DATA_GOC!$F:$F,"Xuất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7" s="61" t="str">
        <f>IF($B77="","",IF(O$4&gt;DAY(EOMONTH(DATE($D$2,$B$2,1),0)),"",SUMIFS(DATA_GOC!$H:$H,DATA_GOC!$A:$A,"BOM",DATA_GOC!$D:$D,$B77,DATA_GOC!$F:$F,"Xuất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7" s="61" t="str">
        <f>IF($B77="","",IF(P$4&gt;DAY(EOMONTH(DATE($D$2,$B$2,1),0)),"",SUMIFS(DATA_GOC!$H:$H,DATA_GOC!$A:$A,"BOM",DATA_GOC!$D:$D,$B77,DATA_GOC!$F:$F,"Xuất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7" s="61" t="str">
        <f>IF($B77="","",IF(Q$4&gt;DAY(EOMONTH(DATE($D$2,$B$2,1),0)),"",SUMIFS(DATA_GOC!$H:$H,DATA_GOC!$A:$A,"BOM",DATA_GOC!$D:$D,$B77,DATA_GOC!$F:$F,"Xuất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7" s="61" t="str">
        <f>IF($B77="","",IF(R$4&gt;DAY(EOMONTH(DATE($D$2,$B$2,1),0)),"",SUMIFS(DATA_GOC!$H:$H,DATA_GOC!$A:$A,"BOM",DATA_GOC!$D:$D,$B77,DATA_GOC!$F:$F,"Xuất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7" s="61" t="str">
        <f>IF($B77="","",IF(S$4&gt;DAY(EOMONTH(DATE($D$2,$B$2,1),0)),"",SUMIFS(DATA_GOC!$H:$H,DATA_GOC!$A:$A,"BOM",DATA_GOC!$D:$D,$B77,DATA_GOC!$F:$F,"Xuất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7" s="229" t="str">
        <f>IF($B77="","",IF(T$4&gt;DAY(EOMONTH(DATE($D$2,$B$2,1),0)),"",SUMIFS(DATA_GOC!$H:$H,DATA_GOC!$A:$A,"BOM",DATA_GOC!$D:$D,$B77,DATA_GOC!$F:$F,"Xuất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7" s="229" t="str">
        <f>IF($B77="","",IF(U$4&gt;DAY(EOMONTH(DATE($D$2,$B$2,1),0)),"",SUMIFS(DATA_GOC!$H:$H,DATA_GOC!$A:$A,"BOM",DATA_GOC!$D:$D,$B77,DATA_GOC!$F:$F,"Xuất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7" s="229" t="str">
        <f>IF($B77="","",IF(V$4&gt;DAY(EOMONTH(DATE($D$2,$B$2,1),0)),"",SUMIFS(DATA_GOC!$H:$H,DATA_GOC!$A:$A,"BOM",DATA_GOC!$D:$D,$B77,DATA_GOC!$F:$F,"Xuất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7" s="61" t="str">
        <f>IF($B77="","",IF(W$4&gt;DAY(EOMONTH(DATE($D$2,$B$2,1),0)),"",SUMIFS(DATA_GOC!$H:$H,DATA_GOC!$A:$A,"BOM",DATA_GOC!$D:$D,$B77,DATA_GOC!$F:$F,"Xuất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7" s="229" t="str">
        <f>IF($B77="","",IF(X$4&gt;DAY(EOMONTH(DATE($D$2,$B$2,1),0)),"",SUMIFS(DATA_GOC!$H:$H,DATA_GOC!$A:$A,"BOM",DATA_GOC!$D:$D,$B77,DATA_GOC!$F:$F,"Xuất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7" s="229" t="str">
        <f>IF($B77="","",IF(Y$4&gt;DAY(EOMONTH(DATE($D$2,$B$2,1),0)),"",SUMIFS(DATA_GOC!$H:$H,DATA_GOC!$A:$A,"BOM",DATA_GOC!$D:$D,$B77,DATA_GOC!$F:$F,"Xuất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7" s="229" t="str">
        <f>IF($B77="","",IF(Z$4&gt;DAY(EOMONTH(DATE($D$2,$B$2,1),0)),"",SUMIFS(DATA_GOC!$H:$H,DATA_GOC!$A:$A,"BOM",DATA_GOC!$D:$D,$B77,DATA_GOC!$F:$F,"Xuất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7" s="229" t="str">
        <f>IF($B77="","",IF(AA$4&gt;DAY(EOMONTH(DATE($D$2,$B$2,1),0)),"",SUMIFS(DATA_GOC!$H:$H,DATA_GOC!$A:$A,"BOM",DATA_GOC!$D:$D,$B77,DATA_GOC!$F:$F,"Xuất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7" s="229" t="str">
        <f>IF($B77="","",IF(AB$4&gt;DAY(EOMONTH(DATE($D$2,$B$2,1),0)),"",SUMIFS(DATA_GOC!$H:$H,DATA_GOC!$A:$A,"BOM",DATA_GOC!$D:$D,$B77,DATA_GOC!$F:$F,"Xuất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7" s="61" t="str">
        <f>IF($B77="","",IF(AC$4&gt;DAY(EOMONTH(DATE($D$2,$B$2,1),0)),"",SUMIFS(DATA_GOC!$H:$H,DATA_GOC!$A:$A,"BOM",DATA_GOC!$D:$D,$B77,DATA_GOC!$F:$F,"Xuất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7" s="222" t="str">
        <f>IF($B77="","",IF(AD$4&gt;DAY(EOMONTH(DATE($D$2,$B$2,1),0)),"",SUMIFS(DATA_GOC!$H:$H,DATA_GOC!$A:$A,"BOM",DATA_GOC!$D:$D,$B77,DATA_GOC!$F:$F,"Xuất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7" s="222" t="str">
        <f>IF($B77="","",IF(AE$4&gt;DAY(EOMONTH(DATE($D$2,$B$2,1),0)),"",SUMIFS(DATA_GOC!$H:$H,DATA_GOC!$A:$A,"BOM",DATA_GOC!$D:$D,$B77,DATA_GOC!$F:$F,"Xuất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7" s="222" t="str">
        <f>IF($B77="","",IF(AF$4&gt;DAY(EOMONTH(DATE($D$2,$B$2,1),0)),"",SUMIFS(DATA_GOC!$H:$H,DATA_GOC!$A:$A,"BOM",DATA_GOC!$D:$D,$B77,DATA_GOC!$F:$F,"Xuất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7" s="222" t="str">
        <f>IF($B77="","",IF(AG$4&gt;DAY(EOMONTH(DATE($D$2,$B$2,1),0)),"",SUMIFS(DATA_GOC!$H:$H,DATA_GOC!$A:$A,"BOM",DATA_GOC!$D:$D,$B77,DATA_GOC!$F:$F,"Xuất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7" s="222" t="str">
        <f t="shared" si="2"/>
        <v/>
      </c>
      <c r="AI77" s="222" t="str">
        <f>IF($B77="","",SUMIFS(DATA_GOC!$H:$H,DATA_GOC!$A:$A,"BOM",DATA_GOC!$D:$D,$B77,DATA_GOC!$F:$F,"Bơm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7" s="222" t="str">
        <f t="shared" si="3"/>
        <v/>
      </c>
      <c r="AM77" s="222" t="str">
        <f>IF($B77="","",SUMIFS(DATA_GOC!$K:$K,DATA_GOC!$A:$A,"BOM",DATA_GOC!$D:$D,$B77,DATA_GOC!$G:$G,"DO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7" s="222" t="str">
        <f t="shared" si="4"/>
        <v/>
      </c>
      <c r="AO77" s="227" t="str">
        <f t="shared" si="5"/>
        <v/>
      </c>
      <c r="AP77" s="226" t="str">
        <f>IF($B77="","",IFERROR(AO77-(SUMIFS(DATA_GOC!$H:$H,DATA_GOC!$A:$A,"BOM",DATA_GOC!$D:$D,$B77,DATA_GOC!$F:$F,"Xuất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7" s="59">
        <v>2.0</v>
      </c>
      <c r="AR77" s="59">
        <v>2026.0</v>
      </c>
      <c r="AS77" s="59" t="s">
        <v>86</v>
      </c>
      <c r="AT77" s="59">
        <v>1154.34082574587</v>
      </c>
      <c r="AU77" s="59">
        <v>0.0</v>
      </c>
      <c r="AV77" s="59">
        <v>1154.34082574587</v>
      </c>
      <c r="AW77" s="59">
        <v>2157.0</v>
      </c>
      <c r="AX77" s="59">
        <v>53.5160327188628</v>
      </c>
      <c r="AY77" s="59">
        <v>102.416</v>
      </c>
      <c r="AZ77" s="59">
        <v>1051.92482574587</v>
      </c>
      <c r="BA77" s="59">
        <v>3.416</v>
      </c>
      <c r="BB77" s="59">
        <v>0.0</v>
      </c>
      <c r="BC77" s="59" t="s">
        <v>432</v>
      </c>
    </row>
    <row r="78" ht="15.0" customHeight="1">
      <c r="A78" s="61" t="str">
        <f t="shared" si="1"/>
        <v/>
      </c>
      <c r="B78" s="228" t="str">
        <f t="array" ref="B78">IFERROR(INDEX(DANH_MUC!$E:$E,ROW()-1),"")</f>
        <v/>
      </c>
      <c r="C78" s="228" t="str">
        <f>IF($B78="","",IF(C$4&gt;DAY(EOMONTH(DATE($D$2,$B$2,1),0)),"",SUMIFS(DATA_GOC!$H:$H,DATA_GOC!$A:$A,"BOM",DATA_GOC!$D:$D,$B78,DATA_GOC!$F:$F,"Xuất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8" s="61" t="str">
        <f>IF($B78="","",IF(D$4&gt;DAY(EOMONTH(DATE($D$2,$B$2,1),0)),"",SUMIFS(DATA_GOC!$H:$H,DATA_GOC!$A:$A,"BOM",DATA_GOC!$D:$D,$B78,DATA_GOC!$F:$F,"Xuất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8" s="229" t="str">
        <f>IF($B78="","",IF(E$4&gt;DAY(EOMONTH(DATE($D$2,$B$2,1),0)),"",SUMIFS(DATA_GOC!$H:$H,DATA_GOC!$A:$A,"BOM",DATA_GOC!$D:$D,$B78,DATA_GOC!$F:$F,"Xuất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8" s="229" t="str">
        <f>IF($B78="","",IF(F$4&gt;DAY(EOMONTH(DATE($D$2,$B$2,1),0)),"",SUMIFS(DATA_GOC!$H:$H,DATA_GOC!$A:$A,"BOM",DATA_GOC!$D:$D,$B78,DATA_GOC!$F:$F,"Xuất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8" s="229" t="str">
        <f>IF($B78="","",IF(G$4&gt;DAY(EOMONTH(DATE($D$2,$B$2,1),0)),"",SUMIFS(DATA_GOC!$H:$H,DATA_GOC!$A:$A,"BOM",DATA_GOC!$D:$D,$B78,DATA_GOC!$F:$F,"Xuất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8" s="228" t="str">
        <f>IF($B78="","",IF(H$4&gt;DAY(EOMONTH(DATE($D$2,$B$2,1),0)),"",SUMIFS(DATA_GOC!$H:$H,DATA_GOC!$A:$A,"BOM",DATA_GOC!$D:$D,$B78,DATA_GOC!$F:$F,"Xuất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8" s="229" t="str">
        <f>IF($B78="","",IF(I$4&gt;DAY(EOMONTH(DATE($D$2,$B$2,1),0)),"",SUMIFS(DATA_GOC!$H:$H,DATA_GOC!$A:$A,"BOM",DATA_GOC!$D:$D,$B78,DATA_GOC!$F:$F,"Xuất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8" s="229" t="str">
        <f>IF($B78="","",IF(J$4&gt;DAY(EOMONTH(DATE($D$2,$B$2,1),0)),"",SUMIFS(DATA_GOC!$H:$H,DATA_GOC!$A:$A,"BOM",DATA_GOC!$D:$D,$B78,DATA_GOC!$F:$F,"Xuất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8" s="229" t="str">
        <f>IF($B78="","",IF(K$4&gt;DAY(EOMONTH(DATE($D$2,$B$2,1),0)),"",SUMIFS(DATA_GOC!$H:$H,DATA_GOC!$A:$A,"BOM",DATA_GOC!$D:$D,$B78,DATA_GOC!$F:$F,"Xuất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8" s="229" t="str">
        <f>IF($B78="","",IF(L$4&gt;DAY(EOMONTH(DATE($D$2,$B$2,1),0)),"",SUMIFS(DATA_GOC!$H:$H,DATA_GOC!$A:$A,"BOM",DATA_GOC!$D:$D,$B78,DATA_GOC!$F:$F,"Xuất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8" s="229" t="str">
        <f>IF($B78="","",IF(M$4&gt;DAY(EOMONTH(DATE($D$2,$B$2,1),0)),"",SUMIFS(DATA_GOC!$H:$H,DATA_GOC!$A:$A,"BOM",DATA_GOC!$D:$D,$B78,DATA_GOC!$F:$F,"Xuất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8" s="61" t="str">
        <f>IF($B78="","",IF(N$4&gt;DAY(EOMONTH(DATE($D$2,$B$2,1),0)),"",SUMIFS(DATA_GOC!$H:$H,DATA_GOC!$A:$A,"BOM",DATA_GOC!$D:$D,$B78,DATA_GOC!$F:$F,"Xuất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8" s="61" t="str">
        <f>IF($B78="","",IF(O$4&gt;DAY(EOMONTH(DATE($D$2,$B$2,1),0)),"",SUMIFS(DATA_GOC!$H:$H,DATA_GOC!$A:$A,"BOM",DATA_GOC!$D:$D,$B78,DATA_GOC!$F:$F,"Xuất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8" s="61" t="str">
        <f>IF($B78="","",IF(P$4&gt;DAY(EOMONTH(DATE($D$2,$B$2,1),0)),"",SUMIFS(DATA_GOC!$H:$H,DATA_GOC!$A:$A,"BOM",DATA_GOC!$D:$D,$B78,DATA_GOC!$F:$F,"Xuất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8" s="61" t="str">
        <f>IF($B78="","",IF(Q$4&gt;DAY(EOMONTH(DATE($D$2,$B$2,1),0)),"",SUMIFS(DATA_GOC!$H:$H,DATA_GOC!$A:$A,"BOM",DATA_GOC!$D:$D,$B78,DATA_GOC!$F:$F,"Xuất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8" s="61" t="str">
        <f>IF($B78="","",IF(R$4&gt;DAY(EOMONTH(DATE($D$2,$B$2,1),0)),"",SUMIFS(DATA_GOC!$H:$H,DATA_GOC!$A:$A,"BOM",DATA_GOC!$D:$D,$B78,DATA_GOC!$F:$F,"Xuất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8" s="61" t="str">
        <f>IF($B78="","",IF(S$4&gt;DAY(EOMONTH(DATE($D$2,$B$2,1),0)),"",SUMIFS(DATA_GOC!$H:$H,DATA_GOC!$A:$A,"BOM",DATA_GOC!$D:$D,$B78,DATA_GOC!$F:$F,"Xuất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8" s="229" t="str">
        <f>IF($B78="","",IF(T$4&gt;DAY(EOMONTH(DATE($D$2,$B$2,1),0)),"",SUMIFS(DATA_GOC!$H:$H,DATA_GOC!$A:$A,"BOM",DATA_GOC!$D:$D,$B78,DATA_GOC!$F:$F,"Xuất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8" s="229" t="str">
        <f>IF($B78="","",IF(U$4&gt;DAY(EOMONTH(DATE($D$2,$B$2,1),0)),"",SUMIFS(DATA_GOC!$H:$H,DATA_GOC!$A:$A,"BOM",DATA_GOC!$D:$D,$B78,DATA_GOC!$F:$F,"Xuất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8" s="229" t="str">
        <f>IF($B78="","",IF(V$4&gt;DAY(EOMONTH(DATE($D$2,$B$2,1),0)),"",SUMIFS(DATA_GOC!$H:$H,DATA_GOC!$A:$A,"BOM",DATA_GOC!$D:$D,$B78,DATA_GOC!$F:$F,"Xuất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8" s="61" t="str">
        <f>IF($B78="","",IF(W$4&gt;DAY(EOMONTH(DATE($D$2,$B$2,1),0)),"",SUMIFS(DATA_GOC!$H:$H,DATA_GOC!$A:$A,"BOM",DATA_GOC!$D:$D,$B78,DATA_GOC!$F:$F,"Xuất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8" s="229" t="str">
        <f>IF($B78="","",IF(X$4&gt;DAY(EOMONTH(DATE($D$2,$B$2,1),0)),"",SUMIFS(DATA_GOC!$H:$H,DATA_GOC!$A:$A,"BOM",DATA_GOC!$D:$D,$B78,DATA_GOC!$F:$F,"Xuất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8" s="229" t="str">
        <f>IF($B78="","",IF(Y$4&gt;DAY(EOMONTH(DATE($D$2,$B$2,1),0)),"",SUMIFS(DATA_GOC!$H:$H,DATA_GOC!$A:$A,"BOM",DATA_GOC!$D:$D,$B78,DATA_GOC!$F:$F,"Xuất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8" s="229" t="str">
        <f>IF($B78="","",IF(Z$4&gt;DAY(EOMONTH(DATE($D$2,$B$2,1),0)),"",SUMIFS(DATA_GOC!$H:$H,DATA_GOC!$A:$A,"BOM",DATA_GOC!$D:$D,$B78,DATA_GOC!$F:$F,"Xuất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8" s="229" t="str">
        <f>IF($B78="","",IF(AA$4&gt;DAY(EOMONTH(DATE($D$2,$B$2,1),0)),"",SUMIFS(DATA_GOC!$H:$H,DATA_GOC!$A:$A,"BOM",DATA_GOC!$D:$D,$B78,DATA_GOC!$F:$F,"Xuất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8" s="229" t="str">
        <f>IF($B78="","",IF(AB$4&gt;DAY(EOMONTH(DATE($D$2,$B$2,1),0)),"",SUMIFS(DATA_GOC!$H:$H,DATA_GOC!$A:$A,"BOM",DATA_GOC!$D:$D,$B78,DATA_GOC!$F:$F,"Xuất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8" s="61" t="str">
        <f>IF($B78="","",IF(AC$4&gt;DAY(EOMONTH(DATE($D$2,$B$2,1),0)),"",SUMIFS(DATA_GOC!$H:$H,DATA_GOC!$A:$A,"BOM",DATA_GOC!$D:$D,$B78,DATA_GOC!$F:$F,"Xuất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8" s="222" t="str">
        <f>IF($B78="","",IF(AD$4&gt;DAY(EOMONTH(DATE($D$2,$B$2,1),0)),"",SUMIFS(DATA_GOC!$H:$H,DATA_GOC!$A:$A,"BOM",DATA_GOC!$D:$D,$B78,DATA_GOC!$F:$F,"Xuất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8" s="222" t="str">
        <f>IF($B78="","",IF(AE$4&gt;DAY(EOMONTH(DATE($D$2,$B$2,1),0)),"",SUMIFS(DATA_GOC!$H:$H,DATA_GOC!$A:$A,"BOM",DATA_GOC!$D:$D,$B78,DATA_GOC!$F:$F,"Xuất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8" s="222" t="str">
        <f>IF($B78="","",IF(AF$4&gt;DAY(EOMONTH(DATE($D$2,$B$2,1),0)),"",SUMIFS(DATA_GOC!$H:$H,DATA_GOC!$A:$A,"BOM",DATA_GOC!$D:$D,$B78,DATA_GOC!$F:$F,"Xuất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8" s="222" t="str">
        <f>IF($B78="","",IF(AG$4&gt;DAY(EOMONTH(DATE($D$2,$B$2,1),0)),"",SUMIFS(DATA_GOC!$H:$H,DATA_GOC!$A:$A,"BOM",DATA_GOC!$D:$D,$B78,DATA_GOC!$F:$F,"Xuất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8" s="222" t="str">
        <f t="shared" si="2"/>
        <v/>
      </c>
      <c r="AI78" s="222" t="str">
        <f>IF($B78="","",SUMIFS(DATA_GOC!$H:$H,DATA_GOC!$A:$A,"BOM",DATA_GOC!$D:$D,$B78,DATA_GOC!$F:$F,"Bơm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8" s="222" t="str">
        <f t="shared" si="3"/>
        <v/>
      </c>
      <c r="AM78" s="222" t="str">
        <f>IF($B78="","",SUMIFS(DATA_GOC!$K:$K,DATA_GOC!$A:$A,"BOM",DATA_GOC!$D:$D,$B78,DATA_GOC!$G:$G,"DO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8" s="222" t="str">
        <f t="shared" si="4"/>
        <v/>
      </c>
      <c r="AO78" s="227" t="str">
        <f t="shared" si="5"/>
        <v/>
      </c>
      <c r="AP78" s="226" t="str">
        <f>IF($B78="","",IFERROR(AO78-(SUMIFS(DATA_GOC!$H:$H,DATA_GOC!$A:$A,"BOM",DATA_GOC!$D:$D,$B78,DATA_GOC!$F:$F,"Xuất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8" s="59">
        <v>2.0</v>
      </c>
      <c r="AR78" s="59">
        <v>2026.0</v>
      </c>
      <c r="AS78" s="59" t="s">
        <v>113</v>
      </c>
      <c r="AT78" s="59">
        <v>861.797912038227</v>
      </c>
      <c r="AU78" s="59">
        <v>0.0</v>
      </c>
      <c r="AV78" s="59">
        <v>861.797912038227</v>
      </c>
      <c r="AW78" s="59">
        <v>1775.0</v>
      </c>
      <c r="AX78" s="59">
        <v>48.5519950444072</v>
      </c>
      <c r="AY78" s="59">
        <v>165.521</v>
      </c>
      <c r="AZ78" s="59">
        <v>696.276912038227</v>
      </c>
      <c r="BA78" s="59">
        <v>5.521</v>
      </c>
      <c r="BB78" s="59">
        <v>0.0</v>
      </c>
      <c r="BC78" s="59" t="s">
        <v>433</v>
      </c>
    </row>
    <row r="79" ht="15.0" customHeight="1">
      <c r="A79" s="61" t="str">
        <f t="shared" si="1"/>
        <v/>
      </c>
      <c r="B79" s="228" t="str">
        <f t="array" ref="B79">IFERROR(INDEX(DANH_MUC!$E:$E,ROW()-1),"")</f>
        <v/>
      </c>
      <c r="C79" s="228" t="str">
        <f>IF($B79="","",IF(C$4&gt;DAY(EOMONTH(DATE($D$2,$B$2,1),0)),"",SUMIFS(DATA_GOC!$H:$H,DATA_GOC!$A:$A,"BOM",DATA_GOC!$D:$D,$B79,DATA_GOC!$F:$F,"Xuất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79" s="61" t="str">
        <f>IF($B79="","",IF(D$4&gt;DAY(EOMONTH(DATE($D$2,$B$2,1),0)),"",SUMIFS(DATA_GOC!$H:$H,DATA_GOC!$A:$A,"BOM",DATA_GOC!$D:$D,$B79,DATA_GOC!$F:$F,"Xuất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79" s="229" t="str">
        <f>IF($B79="","",IF(E$4&gt;DAY(EOMONTH(DATE($D$2,$B$2,1),0)),"",SUMIFS(DATA_GOC!$H:$H,DATA_GOC!$A:$A,"BOM",DATA_GOC!$D:$D,$B79,DATA_GOC!$F:$F,"Xuất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79" s="229" t="str">
        <f>IF($B79="","",IF(F$4&gt;DAY(EOMONTH(DATE($D$2,$B$2,1),0)),"",SUMIFS(DATA_GOC!$H:$H,DATA_GOC!$A:$A,"BOM",DATA_GOC!$D:$D,$B79,DATA_GOC!$F:$F,"Xuất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79" s="229" t="str">
        <f>IF($B79="","",IF(G$4&gt;DAY(EOMONTH(DATE($D$2,$B$2,1),0)),"",SUMIFS(DATA_GOC!$H:$H,DATA_GOC!$A:$A,"BOM",DATA_GOC!$D:$D,$B79,DATA_GOC!$F:$F,"Xuất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79" s="228" t="str">
        <f>IF($B79="","",IF(H$4&gt;DAY(EOMONTH(DATE($D$2,$B$2,1),0)),"",SUMIFS(DATA_GOC!$H:$H,DATA_GOC!$A:$A,"BOM",DATA_GOC!$D:$D,$B79,DATA_GOC!$F:$F,"Xuất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79" s="229" t="str">
        <f>IF($B79="","",IF(I$4&gt;DAY(EOMONTH(DATE($D$2,$B$2,1),0)),"",SUMIFS(DATA_GOC!$H:$H,DATA_GOC!$A:$A,"BOM",DATA_GOC!$D:$D,$B79,DATA_GOC!$F:$F,"Xuất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79" s="229" t="str">
        <f>IF($B79="","",IF(J$4&gt;DAY(EOMONTH(DATE($D$2,$B$2,1),0)),"",SUMIFS(DATA_GOC!$H:$H,DATA_GOC!$A:$A,"BOM",DATA_GOC!$D:$D,$B79,DATA_GOC!$F:$F,"Xuất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79" s="229" t="str">
        <f>IF($B79="","",IF(K$4&gt;DAY(EOMONTH(DATE($D$2,$B$2,1),0)),"",SUMIFS(DATA_GOC!$H:$H,DATA_GOC!$A:$A,"BOM",DATA_GOC!$D:$D,$B79,DATA_GOC!$F:$F,"Xuất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79" s="229" t="str">
        <f>IF($B79="","",IF(L$4&gt;DAY(EOMONTH(DATE($D$2,$B$2,1),0)),"",SUMIFS(DATA_GOC!$H:$H,DATA_GOC!$A:$A,"BOM",DATA_GOC!$D:$D,$B79,DATA_GOC!$F:$F,"Xuất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79" s="229" t="str">
        <f>IF($B79="","",IF(M$4&gt;DAY(EOMONTH(DATE($D$2,$B$2,1),0)),"",SUMIFS(DATA_GOC!$H:$H,DATA_GOC!$A:$A,"BOM",DATA_GOC!$D:$D,$B79,DATA_GOC!$F:$F,"Xuất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79" s="61" t="str">
        <f>IF($B79="","",IF(N$4&gt;DAY(EOMONTH(DATE($D$2,$B$2,1),0)),"",SUMIFS(DATA_GOC!$H:$H,DATA_GOC!$A:$A,"BOM",DATA_GOC!$D:$D,$B79,DATA_GOC!$F:$F,"Xuất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79" s="61" t="str">
        <f>IF($B79="","",IF(O$4&gt;DAY(EOMONTH(DATE($D$2,$B$2,1),0)),"",SUMIFS(DATA_GOC!$H:$H,DATA_GOC!$A:$A,"BOM",DATA_GOC!$D:$D,$B79,DATA_GOC!$F:$F,"Xuất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79" s="61" t="str">
        <f>IF($B79="","",IF(P$4&gt;DAY(EOMONTH(DATE($D$2,$B$2,1),0)),"",SUMIFS(DATA_GOC!$H:$H,DATA_GOC!$A:$A,"BOM",DATA_GOC!$D:$D,$B79,DATA_GOC!$F:$F,"Xuất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79" s="61" t="str">
        <f>IF($B79="","",IF(Q$4&gt;DAY(EOMONTH(DATE($D$2,$B$2,1),0)),"",SUMIFS(DATA_GOC!$H:$H,DATA_GOC!$A:$A,"BOM",DATA_GOC!$D:$D,$B79,DATA_GOC!$F:$F,"Xuất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79" s="61" t="str">
        <f>IF($B79="","",IF(R$4&gt;DAY(EOMONTH(DATE($D$2,$B$2,1),0)),"",SUMIFS(DATA_GOC!$H:$H,DATA_GOC!$A:$A,"BOM",DATA_GOC!$D:$D,$B79,DATA_GOC!$F:$F,"Xuất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79" s="61" t="str">
        <f>IF($B79="","",IF(S$4&gt;DAY(EOMONTH(DATE($D$2,$B$2,1),0)),"",SUMIFS(DATA_GOC!$H:$H,DATA_GOC!$A:$A,"BOM",DATA_GOC!$D:$D,$B79,DATA_GOC!$F:$F,"Xuất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79" s="229" t="str">
        <f>IF($B79="","",IF(T$4&gt;DAY(EOMONTH(DATE($D$2,$B$2,1),0)),"",SUMIFS(DATA_GOC!$H:$H,DATA_GOC!$A:$A,"BOM",DATA_GOC!$D:$D,$B79,DATA_GOC!$F:$F,"Xuất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79" s="229" t="str">
        <f>IF($B79="","",IF(U$4&gt;DAY(EOMONTH(DATE($D$2,$B$2,1),0)),"",SUMIFS(DATA_GOC!$H:$H,DATA_GOC!$A:$A,"BOM",DATA_GOC!$D:$D,$B79,DATA_GOC!$F:$F,"Xuất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79" s="229" t="str">
        <f>IF($B79="","",IF(V$4&gt;DAY(EOMONTH(DATE($D$2,$B$2,1),0)),"",SUMIFS(DATA_GOC!$H:$H,DATA_GOC!$A:$A,"BOM",DATA_GOC!$D:$D,$B79,DATA_GOC!$F:$F,"Xuất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79" s="61" t="str">
        <f>IF($B79="","",IF(W$4&gt;DAY(EOMONTH(DATE($D$2,$B$2,1),0)),"",SUMIFS(DATA_GOC!$H:$H,DATA_GOC!$A:$A,"BOM",DATA_GOC!$D:$D,$B79,DATA_GOC!$F:$F,"Xuất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79" s="229" t="str">
        <f>IF($B79="","",IF(X$4&gt;DAY(EOMONTH(DATE($D$2,$B$2,1),0)),"",SUMIFS(DATA_GOC!$H:$H,DATA_GOC!$A:$A,"BOM",DATA_GOC!$D:$D,$B79,DATA_GOC!$F:$F,"Xuất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79" s="229" t="str">
        <f>IF($B79="","",IF(Y$4&gt;DAY(EOMONTH(DATE($D$2,$B$2,1),0)),"",SUMIFS(DATA_GOC!$H:$H,DATA_GOC!$A:$A,"BOM",DATA_GOC!$D:$D,$B79,DATA_GOC!$F:$F,"Xuất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79" s="229" t="str">
        <f>IF($B79="","",IF(Z$4&gt;DAY(EOMONTH(DATE($D$2,$B$2,1),0)),"",SUMIFS(DATA_GOC!$H:$H,DATA_GOC!$A:$A,"BOM",DATA_GOC!$D:$D,$B79,DATA_GOC!$F:$F,"Xuất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79" s="229" t="str">
        <f>IF($B79="","",IF(AA$4&gt;DAY(EOMONTH(DATE($D$2,$B$2,1),0)),"",SUMIFS(DATA_GOC!$H:$H,DATA_GOC!$A:$A,"BOM",DATA_GOC!$D:$D,$B79,DATA_GOC!$F:$F,"Xuất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79" s="229" t="str">
        <f>IF($B79="","",IF(AB$4&gt;DAY(EOMONTH(DATE($D$2,$B$2,1),0)),"",SUMIFS(DATA_GOC!$H:$H,DATA_GOC!$A:$A,"BOM",DATA_GOC!$D:$D,$B79,DATA_GOC!$F:$F,"Xuất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79" s="61" t="str">
        <f>IF($B79="","",IF(AC$4&gt;DAY(EOMONTH(DATE($D$2,$B$2,1),0)),"",SUMIFS(DATA_GOC!$H:$H,DATA_GOC!$A:$A,"BOM",DATA_GOC!$D:$D,$B79,DATA_GOC!$F:$F,"Xuất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79" s="222" t="str">
        <f>IF($B79="","",IF(AD$4&gt;DAY(EOMONTH(DATE($D$2,$B$2,1),0)),"",SUMIFS(DATA_GOC!$H:$H,DATA_GOC!$A:$A,"BOM",DATA_GOC!$D:$D,$B79,DATA_GOC!$F:$F,"Xuất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79" s="222" t="str">
        <f>IF($B79="","",IF(AE$4&gt;DAY(EOMONTH(DATE($D$2,$B$2,1),0)),"",SUMIFS(DATA_GOC!$H:$H,DATA_GOC!$A:$A,"BOM",DATA_GOC!$D:$D,$B79,DATA_GOC!$F:$F,"Xuất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79" s="222" t="str">
        <f>IF($B79="","",IF(AF$4&gt;DAY(EOMONTH(DATE($D$2,$B$2,1),0)),"",SUMIFS(DATA_GOC!$H:$H,DATA_GOC!$A:$A,"BOM",DATA_GOC!$D:$D,$B79,DATA_GOC!$F:$F,"Xuất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79" s="222" t="str">
        <f>IF($B79="","",IF(AG$4&gt;DAY(EOMONTH(DATE($D$2,$B$2,1),0)),"",SUMIFS(DATA_GOC!$H:$H,DATA_GOC!$A:$A,"BOM",DATA_GOC!$D:$D,$B79,DATA_GOC!$F:$F,"Xuất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79" s="222" t="str">
        <f t="shared" si="2"/>
        <v/>
      </c>
      <c r="AI79" s="222" t="str">
        <f>IF($B79="","",SUMIFS(DATA_GOC!$H:$H,DATA_GOC!$A:$A,"BOM",DATA_GOC!$D:$D,$B79,DATA_GOC!$F:$F,"Bơm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79" s="222" t="str">
        <f t="shared" si="3"/>
        <v/>
      </c>
      <c r="AM79" s="222" t="str">
        <f>IF($B79="","",SUMIFS(DATA_GOC!$K:$K,DATA_GOC!$A:$A,"BOM",DATA_GOC!$D:$D,$B79,DATA_GOC!$G:$G,"DO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79" s="222" t="str">
        <f t="shared" si="4"/>
        <v/>
      </c>
      <c r="AO79" s="227" t="str">
        <f t="shared" si="5"/>
        <v/>
      </c>
      <c r="AP79" s="226" t="str">
        <f>IF($B79="","",IFERROR(AO79-(SUMIFS(DATA_GOC!$H:$H,DATA_GOC!$A:$A,"BOM",DATA_GOC!$D:$D,$B79,DATA_GOC!$F:$F,"Xuất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số",DATA_GOC!$B:$B,"&gt;="&amp;EDATE(DATE($D$2,$B$2,1),-1),DATA_GOC!$B:$B,"&lt;"&amp;DATE($D$2,$B$2,1))/SUMIFS(DATA_GOC!$K:$K,DATA_GOC!$A:$A,"BOM",DATA_GOC!$D:$D,$B79,DATA_GOC!$G:$G,"DO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79" s="59">
        <v>2.0</v>
      </c>
      <c r="AR79" s="59">
        <v>2026.0</v>
      </c>
      <c r="AS79" s="59" t="s">
        <v>98</v>
      </c>
      <c r="AT79" s="59">
        <v>984.890451658179</v>
      </c>
      <c r="AU79" s="59">
        <v>0.0</v>
      </c>
      <c r="AV79" s="59">
        <v>984.890451658179</v>
      </c>
      <c r="AW79" s="59">
        <v>2190.0</v>
      </c>
      <c r="AX79" s="59">
        <v>44.9721667423826</v>
      </c>
      <c r="AY79" s="59">
        <v>65.174</v>
      </c>
      <c r="AZ79" s="59">
        <v>919.716451658179</v>
      </c>
      <c r="BA79" s="59">
        <v>2.174</v>
      </c>
      <c r="BB79" s="59">
        <v>0.0</v>
      </c>
      <c r="BC79" s="59" t="s">
        <v>434</v>
      </c>
    </row>
    <row r="80" ht="15.0" customHeight="1">
      <c r="A80" s="61" t="str">
        <f t="shared" si="1"/>
        <v/>
      </c>
      <c r="B80" s="228" t="str">
        <f t="array" ref="B80">IFERROR(INDEX(DANH_MUC!$E:$E,ROW()-1),"")</f>
        <v/>
      </c>
      <c r="C80" s="228" t="str">
        <f>IF($B80="","",IF(C$4&gt;DAY(EOMONTH(DATE($D$2,$B$2,1),0)),"",SUMIFS(DATA_GOC!$H:$H,DATA_GOC!$A:$A,"BOM",DATA_GOC!$D:$D,$B80,DATA_GOC!$F:$F,"Xuất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0" s="61" t="str">
        <f>IF($B80="","",IF(D$4&gt;DAY(EOMONTH(DATE($D$2,$B$2,1),0)),"",SUMIFS(DATA_GOC!$H:$H,DATA_GOC!$A:$A,"BOM",DATA_GOC!$D:$D,$B80,DATA_GOC!$F:$F,"Xuất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0" s="229" t="str">
        <f>IF($B80="","",IF(E$4&gt;DAY(EOMONTH(DATE($D$2,$B$2,1),0)),"",SUMIFS(DATA_GOC!$H:$H,DATA_GOC!$A:$A,"BOM",DATA_GOC!$D:$D,$B80,DATA_GOC!$F:$F,"Xuất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0" s="229" t="str">
        <f>IF($B80="","",IF(F$4&gt;DAY(EOMONTH(DATE($D$2,$B$2,1),0)),"",SUMIFS(DATA_GOC!$H:$H,DATA_GOC!$A:$A,"BOM",DATA_GOC!$D:$D,$B80,DATA_GOC!$F:$F,"Xuất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0" s="229" t="str">
        <f>IF($B80="","",IF(G$4&gt;DAY(EOMONTH(DATE($D$2,$B$2,1),0)),"",SUMIFS(DATA_GOC!$H:$H,DATA_GOC!$A:$A,"BOM",DATA_GOC!$D:$D,$B80,DATA_GOC!$F:$F,"Xuất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0" s="228" t="str">
        <f>IF($B80="","",IF(H$4&gt;DAY(EOMONTH(DATE($D$2,$B$2,1),0)),"",SUMIFS(DATA_GOC!$H:$H,DATA_GOC!$A:$A,"BOM",DATA_GOC!$D:$D,$B80,DATA_GOC!$F:$F,"Xuất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0" s="229" t="str">
        <f>IF($B80="","",IF(I$4&gt;DAY(EOMONTH(DATE($D$2,$B$2,1),0)),"",SUMIFS(DATA_GOC!$H:$H,DATA_GOC!$A:$A,"BOM",DATA_GOC!$D:$D,$B80,DATA_GOC!$F:$F,"Xuất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0" s="229" t="str">
        <f>IF($B80="","",IF(J$4&gt;DAY(EOMONTH(DATE($D$2,$B$2,1),0)),"",SUMIFS(DATA_GOC!$H:$H,DATA_GOC!$A:$A,"BOM",DATA_GOC!$D:$D,$B80,DATA_GOC!$F:$F,"Xuất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0" s="229" t="str">
        <f>IF($B80="","",IF(K$4&gt;DAY(EOMONTH(DATE($D$2,$B$2,1),0)),"",SUMIFS(DATA_GOC!$H:$H,DATA_GOC!$A:$A,"BOM",DATA_GOC!$D:$D,$B80,DATA_GOC!$F:$F,"Xuất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0" s="229" t="str">
        <f>IF($B80="","",IF(L$4&gt;DAY(EOMONTH(DATE($D$2,$B$2,1),0)),"",SUMIFS(DATA_GOC!$H:$H,DATA_GOC!$A:$A,"BOM",DATA_GOC!$D:$D,$B80,DATA_GOC!$F:$F,"Xuất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0" s="229" t="str">
        <f>IF($B80="","",IF(M$4&gt;DAY(EOMONTH(DATE($D$2,$B$2,1),0)),"",SUMIFS(DATA_GOC!$H:$H,DATA_GOC!$A:$A,"BOM",DATA_GOC!$D:$D,$B80,DATA_GOC!$F:$F,"Xuất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0" s="61" t="str">
        <f>IF($B80="","",IF(N$4&gt;DAY(EOMONTH(DATE($D$2,$B$2,1),0)),"",SUMIFS(DATA_GOC!$H:$H,DATA_GOC!$A:$A,"BOM",DATA_GOC!$D:$D,$B80,DATA_GOC!$F:$F,"Xuất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0" s="61" t="str">
        <f>IF($B80="","",IF(O$4&gt;DAY(EOMONTH(DATE($D$2,$B$2,1),0)),"",SUMIFS(DATA_GOC!$H:$H,DATA_GOC!$A:$A,"BOM",DATA_GOC!$D:$D,$B80,DATA_GOC!$F:$F,"Xuất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0" s="61" t="str">
        <f>IF($B80="","",IF(P$4&gt;DAY(EOMONTH(DATE($D$2,$B$2,1),0)),"",SUMIFS(DATA_GOC!$H:$H,DATA_GOC!$A:$A,"BOM",DATA_GOC!$D:$D,$B80,DATA_GOC!$F:$F,"Xuất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0" s="61" t="str">
        <f>IF($B80="","",IF(Q$4&gt;DAY(EOMONTH(DATE($D$2,$B$2,1),0)),"",SUMIFS(DATA_GOC!$H:$H,DATA_GOC!$A:$A,"BOM",DATA_GOC!$D:$D,$B80,DATA_GOC!$F:$F,"Xuất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0" s="61" t="str">
        <f>IF($B80="","",IF(R$4&gt;DAY(EOMONTH(DATE($D$2,$B$2,1),0)),"",SUMIFS(DATA_GOC!$H:$H,DATA_GOC!$A:$A,"BOM",DATA_GOC!$D:$D,$B80,DATA_GOC!$F:$F,"Xuất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0" s="61" t="str">
        <f>IF($B80="","",IF(S$4&gt;DAY(EOMONTH(DATE($D$2,$B$2,1),0)),"",SUMIFS(DATA_GOC!$H:$H,DATA_GOC!$A:$A,"BOM",DATA_GOC!$D:$D,$B80,DATA_GOC!$F:$F,"Xuất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0" s="229" t="str">
        <f>IF($B80="","",IF(T$4&gt;DAY(EOMONTH(DATE($D$2,$B$2,1),0)),"",SUMIFS(DATA_GOC!$H:$H,DATA_GOC!$A:$A,"BOM",DATA_GOC!$D:$D,$B80,DATA_GOC!$F:$F,"Xuất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0" s="229" t="str">
        <f>IF($B80="","",IF(U$4&gt;DAY(EOMONTH(DATE($D$2,$B$2,1),0)),"",SUMIFS(DATA_GOC!$H:$H,DATA_GOC!$A:$A,"BOM",DATA_GOC!$D:$D,$B80,DATA_GOC!$F:$F,"Xuất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0" s="229" t="str">
        <f>IF($B80="","",IF(V$4&gt;DAY(EOMONTH(DATE($D$2,$B$2,1),0)),"",SUMIFS(DATA_GOC!$H:$H,DATA_GOC!$A:$A,"BOM",DATA_GOC!$D:$D,$B80,DATA_GOC!$F:$F,"Xuất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0" s="61" t="str">
        <f>IF($B80="","",IF(W$4&gt;DAY(EOMONTH(DATE($D$2,$B$2,1),0)),"",SUMIFS(DATA_GOC!$H:$H,DATA_GOC!$A:$A,"BOM",DATA_GOC!$D:$D,$B80,DATA_GOC!$F:$F,"Xuất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0" s="229" t="str">
        <f>IF($B80="","",IF(X$4&gt;DAY(EOMONTH(DATE($D$2,$B$2,1),0)),"",SUMIFS(DATA_GOC!$H:$H,DATA_GOC!$A:$A,"BOM",DATA_GOC!$D:$D,$B80,DATA_GOC!$F:$F,"Xuất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0" s="229" t="str">
        <f>IF($B80="","",IF(Y$4&gt;DAY(EOMONTH(DATE($D$2,$B$2,1),0)),"",SUMIFS(DATA_GOC!$H:$H,DATA_GOC!$A:$A,"BOM",DATA_GOC!$D:$D,$B80,DATA_GOC!$F:$F,"Xuất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0" s="229" t="str">
        <f>IF($B80="","",IF(Z$4&gt;DAY(EOMONTH(DATE($D$2,$B$2,1),0)),"",SUMIFS(DATA_GOC!$H:$H,DATA_GOC!$A:$A,"BOM",DATA_GOC!$D:$D,$B80,DATA_GOC!$F:$F,"Xuất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0" s="229" t="str">
        <f>IF($B80="","",IF(AA$4&gt;DAY(EOMONTH(DATE($D$2,$B$2,1),0)),"",SUMIFS(DATA_GOC!$H:$H,DATA_GOC!$A:$A,"BOM",DATA_GOC!$D:$D,$B80,DATA_GOC!$F:$F,"Xuất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0" s="229" t="str">
        <f>IF($B80="","",IF(AB$4&gt;DAY(EOMONTH(DATE($D$2,$B$2,1),0)),"",SUMIFS(DATA_GOC!$H:$H,DATA_GOC!$A:$A,"BOM",DATA_GOC!$D:$D,$B80,DATA_GOC!$F:$F,"Xuất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0" s="61" t="str">
        <f>IF($B80="","",IF(AC$4&gt;DAY(EOMONTH(DATE($D$2,$B$2,1),0)),"",SUMIFS(DATA_GOC!$H:$H,DATA_GOC!$A:$A,"BOM",DATA_GOC!$D:$D,$B80,DATA_GOC!$F:$F,"Xuất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0" s="222" t="str">
        <f>IF($B80="","",IF(AD$4&gt;DAY(EOMONTH(DATE($D$2,$B$2,1),0)),"",SUMIFS(DATA_GOC!$H:$H,DATA_GOC!$A:$A,"BOM",DATA_GOC!$D:$D,$B80,DATA_GOC!$F:$F,"Xuất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0" s="222" t="str">
        <f>IF($B80="","",IF(AE$4&gt;DAY(EOMONTH(DATE($D$2,$B$2,1),0)),"",SUMIFS(DATA_GOC!$H:$H,DATA_GOC!$A:$A,"BOM",DATA_GOC!$D:$D,$B80,DATA_GOC!$F:$F,"Xuất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0" s="222" t="str">
        <f>IF($B80="","",IF(AF$4&gt;DAY(EOMONTH(DATE($D$2,$B$2,1),0)),"",SUMIFS(DATA_GOC!$H:$H,DATA_GOC!$A:$A,"BOM",DATA_GOC!$D:$D,$B80,DATA_GOC!$F:$F,"Xuất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0" s="222" t="str">
        <f>IF($B80="","",IF(AG$4&gt;DAY(EOMONTH(DATE($D$2,$B$2,1),0)),"",SUMIFS(DATA_GOC!$H:$H,DATA_GOC!$A:$A,"BOM",DATA_GOC!$D:$D,$B80,DATA_GOC!$F:$F,"Xuất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0" s="222" t="str">
        <f t="shared" si="2"/>
        <v/>
      </c>
      <c r="AI80" s="222" t="str">
        <f>IF($B80="","",SUMIFS(DATA_GOC!$H:$H,DATA_GOC!$A:$A,"BOM",DATA_GOC!$D:$D,$B80,DATA_GOC!$F:$F,"Bơm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0" s="222" t="str">
        <f t="shared" si="3"/>
        <v/>
      </c>
      <c r="AM80" s="222" t="str">
        <f>IF($B80="","",SUMIFS(DATA_GOC!$K:$K,DATA_GOC!$A:$A,"BOM",DATA_GOC!$D:$D,$B80,DATA_GOC!$G:$G,"DO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0" s="222" t="str">
        <f t="shared" si="4"/>
        <v/>
      </c>
      <c r="AO80" s="227" t="str">
        <f t="shared" si="5"/>
        <v/>
      </c>
      <c r="AP80" s="226" t="str">
        <f>IF($B80="","",IFERROR(AO80-(SUMIFS(DATA_GOC!$H:$H,DATA_GOC!$A:$A,"BOM",DATA_GOC!$D:$D,$B80,DATA_GOC!$F:$F,"Xuất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0" s="59">
        <v>2.0</v>
      </c>
      <c r="AR80" s="59">
        <v>2026.0</v>
      </c>
      <c r="AS80" s="59" t="s">
        <v>112</v>
      </c>
      <c r="AT80" s="59">
        <v>943.657350967766</v>
      </c>
      <c r="AU80" s="59">
        <v>0.0</v>
      </c>
      <c r="AV80" s="59">
        <v>943.657350967766</v>
      </c>
      <c r="AW80" s="59">
        <v>2093.0</v>
      </c>
      <c r="AX80" s="59">
        <v>45.086352172373</v>
      </c>
      <c r="AY80" s="59">
        <v>142.762</v>
      </c>
      <c r="AZ80" s="59">
        <v>800.895350967766</v>
      </c>
      <c r="BA80" s="59">
        <v>4.762</v>
      </c>
      <c r="BB80" s="59">
        <v>0.0</v>
      </c>
      <c r="BC80" s="59" t="s">
        <v>435</v>
      </c>
    </row>
    <row r="81" ht="15.0" customHeight="1">
      <c r="A81" s="61" t="str">
        <f t="shared" si="1"/>
        <v/>
      </c>
      <c r="B81" s="228" t="str">
        <f t="array" ref="B81">IFERROR(INDEX(DANH_MUC!$E:$E,ROW()-1),"")</f>
        <v/>
      </c>
      <c r="C81" s="228" t="str">
        <f>IF($B81="","",IF(C$4&gt;DAY(EOMONTH(DATE($D$2,$B$2,1),0)),"",SUMIFS(DATA_GOC!$H:$H,DATA_GOC!$A:$A,"BOM",DATA_GOC!$D:$D,$B81,DATA_GOC!$F:$F,"Xuất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1" s="61" t="str">
        <f>IF($B81="","",IF(D$4&gt;DAY(EOMONTH(DATE($D$2,$B$2,1),0)),"",SUMIFS(DATA_GOC!$H:$H,DATA_GOC!$A:$A,"BOM",DATA_GOC!$D:$D,$B81,DATA_GOC!$F:$F,"Xuất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1" s="229" t="str">
        <f>IF($B81="","",IF(E$4&gt;DAY(EOMONTH(DATE($D$2,$B$2,1),0)),"",SUMIFS(DATA_GOC!$H:$H,DATA_GOC!$A:$A,"BOM",DATA_GOC!$D:$D,$B81,DATA_GOC!$F:$F,"Xuất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1" s="229" t="str">
        <f>IF($B81="","",IF(F$4&gt;DAY(EOMONTH(DATE($D$2,$B$2,1),0)),"",SUMIFS(DATA_GOC!$H:$H,DATA_GOC!$A:$A,"BOM",DATA_GOC!$D:$D,$B81,DATA_GOC!$F:$F,"Xuất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1" s="229" t="str">
        <f>IF($B81="","",IF(G$4&gt;DAY(EOMONTH(DATE($D$2,$B$2,1),0)),"",SUMIFS(DATA_GOC!$H:$H,DATA_GOC!$A:$A,"BOM",DATA_GOC!$D:$D,$B81,DATA_GOC!$F:$F,"Xuất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1" s="228" t="str">
        <f>IF($B81="","",IF(H$4&gt;DAY(EOMONTH(DATE($D$2,$B$2,1),0)),"",SUMIFS(DATA_GOC!$H:$H,DATA_GOC!$A:$A,"BOM",DATA_GOC!$D:$D,$B81,DATA_GOC!$F:$F,"Xuất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1" s="229" t="str">
        <f>IF($B81="","",IF(I$4&gt;DAY(EOMONTH(DATE($D$2,$B$2,1),0)),"",SUMIFS(DATA_GOC!$H:$H,DATA_GOC!$A:$A,"BOM",DATA_GOC!$D:$D,$B81,DATA_GOC!$F:$F,"Xuất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1" s="229" t="str">
        <f>IF($B81="","",IF(J$4&gt;DAY(EOMONTH(DATE($D$2,$B$2,1),0)),"",SUMIFS(DATA_GOC!$H:$H,DATA_GOC!$A:$A,"BOM",DATA_GOC!$D:$D,$B81,DATA_GOC!$F:$F,"Xuất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1" s="229" t="str">
        <f>IF($B81="","",IF(K$4&gt;DAY(EOMONTH(DATE($D$2,$B$2,1),0)),"",SUMIFS(DATA_GOC!$H:$H,DATA_GOC!$A:$A,"BOM",DATA_GOC!$D:$D,$B81,DATA_GOC!$F:$F,"Xuất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1" s="229" t="str">
        <f>IF($B81="","",IF(L$4&gt;DAY(EOMONTH(DATE($D$2,$B$2,1),0)),"",SUMIFS(DATA_GOC!$H:$H,DATA_GOC!$A:$A,"BOM",DATA_GOC!$D:$D,$B81,DATA_GOC!$F:$F,"Xuất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1" s="229" t="str">
        <f>IF($B81="","",IF(M$4&gt;DAY(EOMONTH(DATE($D$2,$B$2,1),0)),"",SUMIFS(DATA_GOC!$H:$H,DATA_GOC!$A:$A,"BOM",DATA_GOC!$D:$D,$B81,DATA_GOC!$F:$F,"Xuất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1" s="61" t="str">
        <f>IF($B81="","",IF(N$4&gt;DAY(EOMONTH(DATE($D$2,$B$2,1),0)),"",SUMIFS(DATA_GOC!$H:$H,DATA_GOC!$A:$A,"BOM",DATA_GOC!$D:$D,$B81,DATA_GOC!$F:$F,"Xuất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1" s="61" t="str">
        <f>IF($B81="","",IF(O$4&gt;DAY(EOMONTH(DATE($D$2,$B$2,1),0)),"",SUMIFS(DATA_GOC!$H:$H,DATA_GOC!$A:$A,"BOM",DATA_GOC!$D:$D,$B81,DATA_GOC!$F:$F,"Xuất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1" s="61" t="str">
        <f>IF($B81="","",IF(P$4&gt;DAY(EOMONTH(DATE($D$2,$B$2,1),0)),"",SUMIFS(DATA_GOC!$H:$H,DATA_GOC!$A:$A,"BOM",DATA_GOC!$D:$D,$B81,DATA_GOC!$F:$F,"Xuất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1" s="61" t="str">
        <f>IF($B81="","",IF(Q$4&gt;DAY(EOMONTH(DATE($D$2,$B$2,1),0)),"",SUMIFS(DATA_GOC!$H:$H,DATA_GOC!$A:$A,"BOM",DATA_GOC!$D:$D,$B81,DATA_GOC!$F:$F,"Xuất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1" s="61" t="str">
        <f>IF($B81="","",IF(R$4&gt;DAY(EOMONTH(DATE($D$2,$B$2,1),0)),"",SUMIFS(DATA_GOC!$H:$H,DATA_GOC!$A:$A,"BOM",DATA_GOC!$D:$D,$B81,DATA_GOC!$F:$F,"Xuất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1" s="61" t="str">
        <f>IF($B81="","",IF(S$4&gt;DAY(EOMONTH(DATE($D$2,$B$2,1),0)),"",SUMIFS(DATA_GOC!$H:$H,DATA_GOC!$A:$A,"BOM",DATA_GOC!$D:$D,$B81,DATA_GOC!$F:$F,"Xuất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1" s="229" t="str">
        <f>IF($B81="","",IF(T$4&gt;DAY(EOMONTH(DATE($D$2,$B$2,1),0)),"",SUMIFS(DATA_GOC!$H:$H,DATA_GOC!$A:$A,"BOM",DATA_GOC!$D:$D,$B81,DATA_GOC!$F:$F,"Xuất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1" s="229" t="str">
        <f>IF($B81="","",IF(U$4&gt;DAY(EOMONTH(DATE($D$2,$B$2,1),0)),"",SUMIFS(DATA_GOC!$H:$H,DATA_GOC!$A:$A,"BOM",DATA_GOC!$D:$D,$B81,DATA_GOC!$F:$F,"Xuất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1" s="229" t="str">
        <f>IF($B81="","",IF(V$4&gt;DAY(EOMONTH(DATE($D$2,$B$2,1),0)),"",SUMIFS(DATA_GOC!$H:$H,DATA_GOC!$A:$A,"BOM",DATA_GOC!$D:$D,$B81,DATA_GOC!$F:$F,"Xuất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1" s="61" t="str">
        <f>IF($B81="","",IF(W$4&gt;DAY(EOMONTH(DATE($D$2,$B$2,1),0)),"",SUMIFS(DATA_GOC!$H:$H,DATA_GOC!$A:$A,"BOM",DATA_GOC!$D:$D,$B81,DATA_GOC!$F:$F,"Xuất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1" s="229" t="str">
        <f>IF($B81="","",IF(X$4&gt;DAY(EOMONTH(DATE($D$2,$B$2,1),0)),"",SUMIFS(DATA_GOC!$H:$H,DATA_GOC!$A:$A,"BOM",DATA_GOC!$D:$D,$B81,DATA_GOC!$F:$F,"Xuất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1" s="229" t="str">
        <f>IF($B81="","",IF(Y$4&gt;DAY(EOMONTH(DATE($D$2,$B$2,1),0)),"",SUMIFS(DATA_GOC!$H:$H,DATA_GOC!$A:$A,"BOM",DATA_GOC!$D:$D,$B81,DATA_GOC!$F:$F,"Xuất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1" s="229" t="str">
        <f>IF($B81="","",IF(Z$4&gt;DAY(EOMONTH(DATE($D$2,$B$2,1),0)),"",SUMIFS(DATA_GOC!$H:$H,DATA_GOC!$A:$A,"BOM",DATA_GOC!$D:$D,$B81,DATA_GOC!$F:$F,"Xuất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1" s="229" t="str">
        <f>IF($B81="","",IF(AA$4&gt;DAY(EOMONTH(DATE($D$2,$B$2,1),0)),"",SUMIFS(DATA_GOC!$H:$H,DATA_GOC!$A:$A,"BOM",DATA_GOC!$D:$D,$B81,DATA_GOC!$F:$F,"Xuất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1" s="229" t="str">
        <f>IF($B81="","",IF(AB$4&gt;DAY(EOMONTH(DATE($D$2,$B$2,1),0)),"",SUMIFS(DATA_GOC!$H:$H,DATA_GOC!$A:$A,"BOM",DATA_GOC!$D:$D,$B81,DATA_GOC!$F:$F,"Xuất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1" s="61" t="str">
        <f>IF($B81="","",IF(AC$4&gt;DAY(EOMONTH(DATE($D$2,$B$2,1),0)),"",SUMIFS(DATA_GOC!$H:$H,DATA_GOC!$A:$A,"BOM",DATA_GOC!$D:$D,$B81,DATA_GOC!$F:$F,"Xuất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1" s="222" t="str">
        <f>IF($B81="","",IF(AD$4&gt;DAY(EOMONTH(DATE($D$2,$B$2,1),0)),"",SUMIFS(DATA_GOC!$H:$H,DATA_GOC!$A:$A,"BOM",DATA_GOC!$D:$D,$B81,DATA_GOC!$F:$F,"Xuất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1" s="222" t="str">
        <f>IF($B81="","",IF(AE$4&gt;DAY(EOMONTH(DATE($D$2,$B$2,1),0)),"",SUMIFS(DATA_GOC!$H:$H,DATA_GOC!$A:$A,"BOM",DATA_GOC!$D:$D,$B81,DATA_GOC!$F:$F,"Xuất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1" s="222" t="str">
        <f>IF($B81="","",IF(AF$4&gt;DAY(EOMONTH(DATE($D$2,$B$2,1),0)),"",SUMIFS(DATA_GOC!$H:$H,DATA_GOC!$A:$A,"BOM",DATA_GOC!$D:$D,$B81,DATA_GOC!$F:$F,"Xuất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1" s="222" t="str">
        <f>IF($B81="","",IF(AG$4&gt;DAY(EOMONTH(DATE($D$2,$B$2,1),0)),"",SUMIFS(DATA_GOC!$H:$H,DATA_GOC!$A:$A,"BOM",DATA_GOC!$D:$D,$B81,DATA_GOC!$F:$F,"Xuất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1" s="222" t="str">
        <f t="shared" si="2"/>
        <v/>
      </c>
      <c r="AI81" s="222" t="str">
        <f>IF($B81="","",SUMIFS(DATA_GOC!$H:$H,DATA_GOC!$A:$A,"BOM",DATA_GOC!$D:$D,$B81,DATA_GOC!$F:$F,"Bơm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1" s="222" t="str">
        <f t="shared" si="3"/>
        <v/>
      </c>
      <c r="AM81" s="222" t="str">
        <f>IF($B81="","",SUMIFS(DATA_GOC!$K:$K,DATA_GOC!$A:$A,"BOM",DATA_GOC!$D:$D,$B81,DATA_GOC!$G:$G,"DO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1" s="222" t="str">
        <f t="shared" si="4"/>
        <v/>
      </c>
      <c r="AO81" s="227" t="str">
        <f t="shared" si="5"/>
        <v/>
      </c>
      <c r="AP81" s="226" t="str">
        <f>IF($B81="","",IFERROR(AO81-(SUMIFS(DATA_GOC!$H:$H,DATA_GOC!$A:$A,"BOM",DATA_GOC!$D:$D,$B81,DATA_GOC!$F:$F,"Xuất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1" s="59">
        <v>2.0</v>
      </c>
      <c r="AR81" s="59">
        <v>2026.0</v>
      </c>
      <c r="AS81" s="59" t="s">
        <v>138</v>
      </c>
      <c r="AT81" s="59">
        <v>858.272742181018</v>
      </c>
      <c r="AU81" s="59">
        <v>0.0</v>
      </c>
      <c r="AV81" s="59">
        <v>858.272742181018</v>
      </c>
      <c r="AW81" s="59">
        <v>1772.0</v>
      </c>
      <c r="AX81" s="59">
        <v>48.4352563307573</v>
      </c>
      <c r="AY81" s="59">
        <v>86.899</v>
      </c>
      <c r="AZ81" s="59">
        <v>771.373742181018</v>
      </c>
      <c r="BA81" s="59">
        <v>2.899</v>
      </c>
      <c r="BB81" s="59">
        <v>0.0</v>
      </c>
      <c r="BC81" s="59" t="s">
        <v>436</v>
      </c>
    </row>
    <row r="82" ht="15.0" customHeight="1">
      <c r="A82" s="61" t="str">
        <f t="shared" si="1"/>
        <v/>
      </c>
      <c r="B82" s="228" t="str">
        <f t="array" ref="B82">IFERROR(INDEX(DANH_MUC!$E:$E,ROW()-1),"")</f>
        <v/>
      </c>
      <c r="C82" s="228" t="str">
        <f>IF($B82="","",IF(C$4&gt;DAY(EOMONTH(DATE($D$2,$B$2,1),0)),"",SUMIFS(DATA_GOC!$H:$H,DATA_GOC!$A:$A,"BOM",DATA_GOC!$D:$D,$B82,DATA_GOC!$F:$F,"Xuất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2" s="61" t="str">
        <f>IF($B82="","",IF(D$4&gt;DAY(EOMONTH(DATE($D$2,$B$2,1),0)),"",SUMIFS(DATA_GOC!$H:$H,DATA_GOC!$A:$A,"BOM",DATA_GOC!$D:$D,$B82,DATA_GOC!$F:$F,"Xuất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2" s="229" t="str">
        <f>IF($B82="","",IF(E$4&gt;DAY(EOMONTH(DATE($D$2,$B$2,1),0)),"",SUMIFS(DATA_GOC!$H:$H,DATA_GOC!$A:$A,"BOM",DATA_GOC!$D:$D,$B82,DATA_GOC!$F:$F,"Xuất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2" s="229" t="str">
        <f>IF($B82="","",IF(F$4&gt;DAY(EOMONTH(DATE($D$2,$B$2,1),0)),"",SUMIFS(DATA_GOC!$H:$H,DATA_GOC!$A:$A,"BOM",DATA_GOC!$D:$D,$B82,DATA_GOC!$F:$F,"Xuất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2" s="229" t="str">
        <f>IF($B82="","",IF(G$4&gt;DAY(EOMONTH(DATE($D$2,$B$2,1),0)),"",SUMIFS(DATA_GOC!$H:$H,DATA_GOC!$A:$A,"BOM",DATA_GOC!$D:$D,$B82,DATA_GOC!$F:$F,"Xuất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2" s="228" t="str">
        <f>IF($B82="","",IF(H$4&gt;DAY(EOMONTH(DATE($D$2,$B$2,1),0)),"",SUMIFS(DATA_GOC!$H:$H,DATA_GOC!$A:$A,"BOM",DATA_GOC!$D:$D,$B82,DATA_GOC!$F:$F,"Xuất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2" s="229" t="str">
        <f>IF($B82="","",IF(I$4&gt;DAY(EOMONTH(DATE($D$2,$B$2,1),0)),"",SUMIFS(DATA_GOC!$H:$H,DATA_GOC!$A:$A,"BOM",DATA_GOC!$D:$D,$B82,DATA_GOC!$F:$F,"Xuất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2" s="229" t="str">
        <f>IF($B82="","",IF(J$4&gt;DAY(EOMONTH(DATE($D$2,$B$2,1),0)),"",SUMIFS(DATA_GOC!$H:$H,DATA_GOC!$A:$A,"BOM",DATA_GOC!$D:$D,$B82,DATA_GOC!$F:$F,"Xuất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2" s="229" t="str">
        <f>IF($B82="","",IF(K$4&gt;DAY(EOMONTH(DATE($D$2,$B$2,1),0)),"",SUMIFS(DATA_GOC!$H:$H,DATA_GOC!$A:$A,"BOM",DATA_GOC!$D:$D,$B82,DATA_GOC!$F:$F,"Xuất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2" s="229" t="str">
        <f>IF($B82="","",IF(L$4&gt;DAY(EOMONTH(DATE($D$2,$B$2,1),0)),"",SUMIFS(DATA_GOC!$H:$H,DATA_GOC!$A:$A,"BOM",DATA_GOC!$D:$D,$B82,DATA_GOC!$F:$F,"Xuất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2" s="229" t="str">
        <f>IF($B82="","",IF(M$4&gt;DAY(EOMONTH(DATE($D$2,$B$2,1),0)),"",SUMIFS(DATA_GOC!$H:$H,DATA_GOC!$A:$A,"BOM",DATA_GOC!$D:$D,$B82,DATA_GOC!$F:$F,"Xuất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2" s="61" t="str">
        <f>IF($B82="","",IF(N$4&gt;DAY(EOMONTH(DATE($D$2,$B$2,1),0)),"",SUMIFS(DATA_GOC!$H:$H,DATA_GOC!$A:$A,"BOM",DATA_GOC!$D:$D,$B82,DATA_GOC!$F:$F,"Xuất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2" s="61" t="str">
        <f>IF($B82="","",IF(O$4&gt;DAY(EOMONTH(DATE($D$2,$B$2,1),0)),"",SUMIFS(DATA_GOC!$H:$H,DATA_GOC!$A:$A,"BOM",DATA_GOC!$D:$D,$B82,DATA_GOC!$F:$F,"Xuất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2" s="61" t="str">
        <f>IF($B82="","",IF(P$4&gt;DAY(EOMONTH(DATE($D$2,$B$2,1),0)),"",SUMIFS(DATA_GOC!$H:$H,DATA_GOC!$A:$A,"BOM",DATA_GOC!$D:$D,$B82,DATA_GOC!$F:$F,"Xuất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2" s="61" t="str">
        <f>IF($B82="","",IF(Q$4&gt;DAY(EOMONTH(DATE($D$2,$B$2,1),0)),"",SUMIFS(DATA_GOC!$H:$H,DATA_GOC!$A:$A,"BOM",DATA_GOC!$D:$D,$B82,DATA_GOC!$F:$F,"Xuất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2" s="61" t="str">
        <f>IF($B82="","",IF(R$4&gt;DAY(EOMONTH(DATE($D$2,$B$2,1),0)),"",SUMIFS(DATA_GOC!$H:$H,DATA_GOC!$A:$A,"BOM",DATA_GOC!$D:$D,$B82,DATA_GOC!$F:$F,"Xuất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2" s="61" t="str">
        <f>IF($B82="","",IF(S$4&gt;DAY(EOMONTH(DATE($D$2,$B$2,1),0)),"",SUMIFS(DATA_GOC!$H:$H,DATA_GOC!$A:$A,"BOM",DATA_GOC!$D:$D,$B82,DATA_GOC!$F:$F,"Xuất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2" s="229" t="str">
        <f>IF($B82="","",IF(T$4&gt;DAY(EOMONTH(DATE($D$2,$B$2,1),0)),"",SUMIFS(DATA_GOC!$H:$H,DATA_GOC!$A:$A,"BOM",DATA_GOC!$D:$D,$B82,DATA_GOC!$F:$F,"Xuất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2" s="229" t="str">
        <f>IF($B82="","",IF(U$4&gt;DAY(EOMONTH(DATE($D$2,$B$2,1),0)),"",SUMIFS(DATA_GOC!$H:$H,DATA_GOC!$A:$A,"BOM",DATA_GOC!$D:$D,$B82,DATA_GOC!$F:$F,"Xuất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2" s="229" t="str">
        <f>IF($B82="","",IF(V$4&gt;DAY(EOMONTH(DATE($D$2,$B$2,1),0)),"",SUMIFS(DATA_GOC!$H:$H,DATA_GOC!$A:$A,"BOM",DATA_GOC!$D:$D,$B82,DATA_GOC!$F:$F,"Xuất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2" s="61" t="str">
        <f>IF($B82="","",IF(W$4&gt;DAY(EOMONTH(DATE($D$2,$B$2,1),0)),"",SUMIFS(DATA_GOC!$H:$H,DATA_GOC!$A:$A,"BOM",DATA_GOC!$D:$D,$B82,DATA_GOC!$F:$F,"Xuất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2" s="229" t="str">
        <f>IF($B82="","",IF(X$4&gt;DAY(EOMONTH(DATE($D$2,$B$2,1),0)),"",SUMIFS(DATA_GOC!$H:$H,DATA_GOC!$A:$A,"BOM",DATA_GOC!$D:$D,$B82,DATA_GOC!$F:$F,"Xuất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2" s="229" t="str">
        <f>IF($B82="","",IF(Y$4&gt;DAY(EOMONTH(DATE($D$2,$B$2,1),0)),"",SUMIFS(DATA_GOC!$H:$H,DATA_GOC!$A:$A,"BOM",DATA_GOC!$D:$D,$B82,DATA_GOC!$F:$F,"Xuất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2" s="229" t="str">
        <f>IF($B82="","",IF(Z$4&gt;DAY(EOMONTH(DATE($D$2,$B$2,1),0)),"",SUMIFS(DATA_GOC!$H:$H,DATA_GOC!$A:$A,"BOM",DATA_GOC!$D:$D,$B82,DATA_GOC!$F:$F,"Xuất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2" s="229" t="str">
        <f>IF($B82="","",IF(AA$4&gt;DAY(EOMONTH(DATE($D$2,$B$2,1),0)),"",SUMIFS(DATA_GOC!$H:$H,DATA_GOC!$A:$A,"BOM",DATA_GOC!$D:$D,$B82,DATA_GOC!$F:$F,"Xuất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2" s="229" t="str">
        <f>IF($B82="","",IF(AB$4&gt;DAY(EOMONTH(DATE($D$2,$B$2,1),0)),"",SUMIFS(DATA_GOC!$H:$H,DATA_GOC!$A:$A,"BOM",DATA_GOC!$D:$D,$B82,DATA_GOC!$F:$F,"Xuất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2" s="61" t="str">
        <f>IF($B82="","",IF(AC$4&gt;DAY(EOMONTH(DATE($D$2,$B$2,1),0)),"",SUMIFS(DATA_GOC!$H:$H,DATA_GOC!$A:$A,"BOM",DATA_GOC!$D:$D,$B82,DATA_GOC!$F:$F,"Xuất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2" s="222" t="str">
        <f>IF($B82="","",IF(AD$4&gt;DAY(EOMONTH(DATE($D$2,$B$2,1),0)),"",SUMIFS(DATA_GOC!$H:$H,DATA_GOC!$A:$A,"BOM",DATA_GOC!$D:$D,$B82,DATA_GOC!$F:$F,"Xuất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2" s="222" t="str">
        <f>IF($B82="","",IF(AE$4&gt;DAY(EOMONTH(DATE($D$2,$B$2,1),0)),"",SUMIFS(DATA_GOC!$H:$H,DATA_GOC!$A:$A,"BOM",DATA_GOC!$D:$D,$B82,DATA_GOC!$F:$F,"Xuất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2" s="222" t="str">
        <f>IF($B82="","",IF(AF$4&gt;DAY(EOMONTH(DATE($D$2,$B$2,1),0)),"",SUMIFS(DATA_GOC!$H:$H,DATA_GOC!$A:$A,"BOM",DATA_GOC!$D:$D,$B82,DATA_GOC!$F:$F,"Xuất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2" s="222" t="str">
        <f>IF($B82="","",IF(AG$4&gt;DAY(EOMONTH(DATE($D$2,$B$2,1),0)),"",SUMIFS(DATA_GOC!$H:$H,DATA_GOC!$A:$A,"BOM",DATA_GOC!$D:$D,$B82,DATA_GOC!$F:$F,"Xuất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2" s="222" t="str">
        <f t="shared" si="2"/>
        <v/>
      </c>
      <c r="AI82" s="222" t="str">
        <f>IF($B82="","",SUMIFS(DATA_GOC!$H:$H,DATA_GOC!$A:$A,"BOM",DATA_GOC!$D:$D,$B82,DATA_GOC!$F:$F,"Bơm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2" s="222" t="str">
        <f t="shared" si="3"/>
        <v/>
      </c>
      <c r="AM82" s="222" t="str">
        <f>IF($B82="","",SUMIFS(DATA_GOC!$K:$K,DATA_GOC!$A:$A,"BOM",DATA_GOC!$D:$D,$B82,DATA_GOC!$G:$G,"DO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2" s="222" t="str">
        <f t="shared" si="4"/>
        <v/>
      </c>
      <c r="AO82" s="227" t="str">
        <f t="shared" si="5"/>
        <v/>
      </c>
      <c r="AP82" s="226" t="str">
        <f>IF($B82="","",IFERROR(AO82-(SUMIFS(DATA_GOC!$H:$H,DATA_GOC!$A:$A,"BOM",DATA_GOC!$D:$D,$B82,DATA_GOC!$F:$F,"Xuất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2" s="59">
        <v>2.0</v>
      </c>
      <c r="AR82" s="59">
        <v>2026.0</v>
      </c>
      <c r="AS82" s="59" t="s">
        <v>101</v>
      </c>
      <c r="AT82" s="59">
        <v>816.968920028301</v>
      </c>
      <c r="AU82" s="59">
        <v>0.0</v>
      </c>
      <c r="AV82" s="59">
        <v>816.968920028301</v>
      </c>
      <c r="AW82" s="59">
        <v>1863.0</v>
      </c>
      <c r="AX82" s="59">
        <v>43.8523306510092</v>
      </c>
      <c r="AY82" s="59">
        <v>113.796</v>
      </c>
      <c r="AZ82" s="59">
        <v>703.172920028301</v>
      </c>
      <c r="BA82" s="59">
        <v>3.796</v>
      </c>
      <c r="BB82" s="59">
        <v>0.0</v>
      </c>
      <c r="BC82" s="59" t="s">
        <v>437</v>
      </c>
    </row>
    <row r="83" ht="15.0" customHeight="1">
      <c r="A83" s="61" t="str">
        <f t="shared" si="1"/>
        <v/>
      </c>
      <c r="B83" s="228" t="str">
        <f t="array" ref="B83">IFERROR(INDEX(DANH_MUC!$E:$E,ROW()-1),"")</f>
        <v/>
      </c>
      <c r="C83" s="228" t="str">
        <f>IF($B83="","",IF(C$4&gt;DAY(EOMONTH(DATE($D$2,$B$2,1),0)),"",SUMIFS(DATA_GOC!$H:$H,DATA_GOC!$A:$A,"BOM",DATA_GOC!$D:$D,$B83,DATA_GOC!$F:$F,"Xuất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3" s="61" t="str">
        <f>IF($B83="","",IF(D$4&gt;DAY(EOMONTH(DATE($D$2,$B$2,1),0)),"",SUMIFS(DATA_GOC!$H:$H,DATA_GOC!$A:$A,"BOM",DATA_GOC!$D:$D,$B83,DATA_GOC!$F:$F,"Xuất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3" s="229" t="str">
        <f>IF($B83="","",IF(E$4&gt;DAY(EOMONTH(DATE($D$2,$B$2,1),0)),"",SUMIFS(DATA_GOC!$H:$H,DATA_GOC!$A:$A,"BOM",DATA_GOC!$D:$D,$B83,DATA_GOC!$F:$F,"Xuất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3" s="229" t="str">
        <f>IF($B83="","",IF(F$4&gt;DAY(EOMONTH(DATE($D$2,$B$2,1),0)),"",SUMIFS(DATA_GOC!$H:$H,DATA_GOC!$A:$A,"BOM",DATA_GOC!$D:$D,$B83,DATA_GOC!$F:$F,"Xuất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3" s="229" t="str">
        <f>IF($B83="","",IF(G$4&gt;DAY(EOMONTH(DATE($D$2,$B$2,1),0)),"",SUMIFS(DATA_GOC!$H:$H,DATA_GOC!$A:$A,"BOM",DATA_GOC!$D:$D,$B83,DATA_GOC!$F:$F,"Xuất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3" s="228" t="str">
        <f>IF($B83="","",IF(H$4&gt;DAY(EOMONTH(DATE($D$2,$B$2,1),0)),"",SUMIFS(DATA_GOC!$H:$H,DATA_GOC!$A:$A,"BOM",DATA_GOC!$D:$D,$B83,DATA_GOC!$F:$F,"Xuất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3" s="229" t="str">
        <f>IF($B83="","",IF(I$4&gt;DAY(EOMONTH(DATE($D$2,$B$2,1),0)),"",SUMIFS(DATA_GOC!$H:$H,DATA_GOC!$A:$A,"BOM",DATA_GOC!$D:$D,$B83,DATA_GOC!$F:$F,"Xuất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3" s="229" t="str">
        <f>IF($B83="","",IF(J$4&gt;DAY(EOMONTH(DATE($D$2,$B$2,1),0)),"",SUMIFS(DATA_GOC!$H:$H,DATA_GOC!$A:$A,"BOM",DATA_GOC!$D:$D,$B83,DATA_GOC!$F:$F,"Xuất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3" s="229" t="str">
        <f>IF($B83="","",IF(K$4&gt;DAY(EOMONTH(DATE($D$2,$B$2,1),0)),"",SUMIFS(DATA_GOC!$H:$H,DATA_GOC!$A:$A,"BOM",DATA_GOC!$D:$D,$B83,DATA_GOC!$F:$F,"Xuất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3" s="229" t="str">
        <f>IF($B83="","",IF(L$4&gt;DAY(EOMONTH(DATE($D$2,$B$2,1),0)),"",SUMIFS(DATA_GOC!$H:$H,DATA_GOC!$A:$A,"BOM",DATA_GOC!$D:$D,$B83,DATA_GOC!$F:$F,"Xuất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3" s="229" t="str">
        <f>IF($B83="","",IF(M$4&gt;DAY(EOMONTH(DATE($D$2,$B$2,1),0)),"",SUMIFS(DATA_GOC!$H:$H,DATA_GOC!$A:$A,"BOM",DATA_GOC!$D:$D,$B83,DATA_GOC!$F:$F,"Xuất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3" s="61" t="str">
        <f>IF($B83="","",IF(N$4&gt;DAY(EOMONTH(DATE($D$2,$B$2,1),0)),"",SUMIFS(DATA_GOC!$H:$H,DATA_GOC!$A:$A,"BOM",DATA_GOC!$D:$D,$B83,DATA_GOC!$F:$F,"Xuất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3" s="61" t="str">
        <f>IF($B83="","",IF(O$4&gt;DAY(EOMONTH(DATE($D$2,$B$2,1),0)),"",SUMIFS(DATA_GOC!$H:$H,DATA_GOC!$A:$A,"BOM",DATA_GOC!$D:$D,$B83,DATA_GOC!$F:$F,"Xuất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3" s="61" t="str">
        <f>IF($B83="","",IF(P$4&gt;DAY(EOMONTH(DATE($D$2,$B$2,1),0)),"",SUMIFS(DATA_GOC!$H:$H,DATA_GOC!$A:$A,"BOM",DATA_GOC!$D:$D,$B83,DATA_GOC!$F:$F,"Xuất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3" s="61" t="str">
        <f>IF($B83="","",IF(Q$4&gt;DAY(EOMONTH(DATE($D$2,$B$2,1),0)),"",SUMIFS(DATA_GOC!$H:$H,DATA_GOC!$A:$A,"BOM",DATA_GOC!$D:$D,$B83,DATA_GOC!$F:$F,"Xuất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3" s="61" t="str">
        <f>IF($B83="","",IF(R$4&gt;DAY(EOMONTH(DATE($D$2,$B$2,1),0)),"",SUMIFS(DATA_GOC!$H:$H,DATA_GOC!$A:$A,"BOM",DATA_GOC!$D:$D,$B83,DATA_GOC!$F:$F,"Xuất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3" s="61" t="str">
        <f>IF($B83="","",IF(S$4&gt;DAY(EOMONTH(DATE($D$2,$B$2,1),0)),"",SUMIFS(DATA_GOC!$H:$H,DATA_GOC!$A:$A,"BOM",DATA_GOC!$D:$D,$B83,DATA_GOC!$F:$F,"Xuất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3" s="229" t="str">
        <f>IF($B83="","",IF(T$4&gt;DAY(EOMONTH(DATE($D$2,$B$2,1),0)),"",SUMIFS(DATA_GOC!$H:$H,DATA_GOC!$A:$A,"BOM",DATA_GOC!$D:$D,$B83,DATA_GOC!$F:$F,"Xuất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3" s="229" t="str">
        <f>IF($B83="","",IF(U$4&gt;DAY(EOMONTH(DATE($D$2,$B$2,1),0)),"",SUMIFS(DATA_GOC!$H:$H,DATA_GOC!$A:$A,"BOM",DATA_GOC!$D:$D,$B83,DATA_GOC!$F:$F,"Xuất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3" s="229" t="str">
        <f>IF($B83="","",IF(V$4&gt;DAY(EOMONTH(DATE($D$2,$B$2,1),0)),"",SUMIFS(DATA_GOC!$H:$H,DATA_GOC!$A:$A,"BOM",DATA_GOC!$D:$D,$B83,DATA_GOC!$F:$F,"Xuất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3" s="61" t="str">
        <f>IF($B83="","",IF(W$4&gt;DAY(EOMONTH(DATE($D$2,$B$2,1),0)),"",SUMIFS(DATA_GOC!$H:$H,DATA_GOC!$A:$A,"BOM",DATA_GOC!$D:$D,$B83,DATA_GOC!$F:$F,"Xuất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3" s="229" t="str">
        <f>IF($B83="","",IF(X$4&gt;DAY(EOMONTH(DATE($D$2,$B$2,1),0)),"",SUMIFS(DATA_GOC!$H:$H,DATA_GOC!$A:$A,"BOM",DATA_GOC!$D:$D,$B83,DATA_GOC!$F:$F,"Xuất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3" s="229" t="str">
        <f>IF($B83="","",IF(Y$4&gt;DAY(EOMONTH(DATE($D$2,$B$2,1),0)),"",SUMIFS(DATA_GOC!$H:$H,DATA_GOC!$A:$A,"BOM",DATA_GOC!$D:$D,$B83,DATA_GOC!$F:$F,"Xuất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3" s="229" t="str">
        <f>IF($B83="","",IF(Z$4&gt;DAY(EOMONTH(DATE($D$2,$B$2,1),0)),"",SUMIFS(DATA_GOC!$H:$H,DATA_GOC!$A:$A,"BOM",DATA_GOC!$D:$D,$B83,DATA_GOC!$F:$F,"Xuất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3" s="229" t="str">
        <f>IF($B83="","",IF(AA$4&gt;DAY(EOMONTH(DATE($D$2,$B$2,1),0)),"",SUMIFS(DATA_GOC!$H:$H,DATA_GOC!$A:$A,"BOM",DATA_GOC!$D:$D,$B83,DATA_GOC!$F:$F,"Xuất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3" s="229" t="str">
        <f>IF($B83="","",IF(AB$4&gt;DAY(EOMONTH(DATE($D$2,$B$2,1),0)),"",SUMIFS(DATA_GOC!$H:$H,DATA_GOC!$A:$A,"BOM",DATA_GOC!$D:$D,$B83,DATA_GOC!$F:$F,"Xuất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3" s="61" t="str">
        <f>IF($B83="","",IF(AC$4&gt;DAY(EOMONTH(DATE($D$2,$B$2,1),0)),"",SUMIFS(DATA_GOC!$H:$H,DATA_GOC!$A:$A,"BOM",DATA_GOC!$D:$D,$B83,DATA_GOC!$F:$F,"Xuất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3" s="222" t="str">
        <f>IF($B83="","",IF(AD$4&gt;DAY(EOMONTH(DATE($D$2,$B$2,1),0)),"",SUMIFS(DATA_GOC!$H:$H,DATA_GOC!$A:$A,"BOM",DATA_GOC!$D:$D,$B83,DATA_GOC!$F:$F,"Xuất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3" s="222" t="str">
        <f>IF($B83="","",IF(AE$4&gt;DAY(EOMONTH(DATE($D$2,$B$2,1),0)),"",SUMIFS(DATA_GOC!$H:$H,DATA_GOC!$A:$A,"BOM",DATA_GOC!$D:$D,$B83,DATA_GOC!$F:$F,"Xuất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3" s="222" t="str">
        <f>IF($B83="","",IF(AF$4&gt;DAY(EOMONTH(DATE($D$2,$B$2,1),0)),"",SUMIFS(DATA_GOC!$H:$H,DATA_GOC!$A:$A,"BOM",DATA_GOC!$D:$D,$B83,DATA_GOC!$F:$F,"Xuất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3" s="222" t="str">
        <f>IF($B83="","",IF(AG$4&gt;DAY(EOMONTH(DATE($D$2,$B$2,1),0)),"",SUMIFS(DATA_GOC!$H:$H,DATA_GOC!$A:$A,"BOM",DATA_GOC!$D:$D,$B83,DATA_GOC!$F:$F,"Xuất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3" s="222" t="str">
        <f t="shared" si="2"/>
        <v/>
      </c>
      <c r="AI83" s="222" t="str">
        <f>IF($B83="","",SUMIFS(DATA_GOC!$H:$H,DATA_GOC!$A:$A,"BOM",DATA_GOC!$D:$D,$B83,DATA_GOC!$F:$F,"Bơm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3" s="222" t="str">
        <f t="shared" si="3"/>
        <v/>
      </c>
      <c r="AM83" s="222" t="str">
        <f>IF($B83="","",SUMIFS(DATA_GOC!$K:$K,DATA_GOC!$A:$A,"BOM",DATA_GOC!$D:$D,$B83,DATA_GOC!$G:$G,"DO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3" s="222" t="str">
        <f t="shared" si="4"/>
        <v/>
      </c>
      <c r="AO83" s="227" t="str">
        <f t="shared" si="5"/>
        <v/>
      </c>
      <c r="AP83" s="226" t="str">
        <f>IF($B83="","",IFERROR(AO83-(SUMIFS(DATA_GOC!$H:$H,DATA_GOC!$A:$A,"BOM",DATA_GOC!$D:$D,$B83,DATA_GOC!$F:$F,"Xuất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3" s="59">
        <v>2.0</v>
      </c>
      <c r="AR83" s="59">
        <v>2026.0</v>
      </c>
      <c r="AS83" s="59" t="s">
        <v>97</v>
      </c>
      <c r="AT83" s="59">
        <v>322.233446697146</v>
      </c>
      <c r="AU83" s="59">
        <v>0.0</v>
      </c>
      <c r="AV83" s="59">
        <v>322.233446697146</v>
      </c>
      <c r="AW83" s="59">
        <v>375.0</v>
      </c>
      <c r="AX83" s="59">
        <v>85.9289191192389</v>
      </c>
      <c r="AY83" s="59">
        <v>0.0</v>
      </c>
      <c r="AZ83" s="59">
        <v>322.233446697146</v>
      </c>
      <c r="BA83" s="59">
        <v>0.0</v>
      </c>
      <c r="BB83" s="59">
        <v>0.0</v>
      </c>
      <c r="BC83" s="59" t="s">
        <v>438</v>
      </c>
    </row>
    <row r="84" ht="15.0" customHeight="1">
      <c r="A84" s="61" t="str">
        <f t="shared" si="1"/>
        <v/>
      </c>
      <c r="B84" s="228" t="str">
        <f t="array" ref="B84">IFERROR(INDEX(DANH_MUC!$E:$E,ROW()-1),"")</f>
        <v/>
      </c>
      <c r="C84" s="228" t="str">
        <f>IF($B84="","",IF(C$4&gt;DAY(EOMONTH(DATE($D$2,$B$2,1),0)),"",SUMIFS(DATA_GOC!$H:$H,DATA_GOC!$A:$A,"BOM",DATA_GOC!$D:$D,$B84,DATA_GOC!$F:$F,"Xuất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4" s="61" t="str">
        <f>IF($B84="","",IF(D$4&gt;DAY(EOMONTH(DATE($D$2,$B$2,1),0)),"",SUMIFS(DATA_GOC!$H:$H,DATA_GOC!$A:$A,"BOM",DATA_GOC!$D:$D,$B84,DATA_GOC!$F:$F,"Xuất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4" s="229" t="str">
        <f>IF($B84="","",IF(E$4&gt;DAY(EOMONTH(DATE($D$2,$B$2,1),0)),"",SUMIFS(DATA_GOC!$H:$H,DATA_GOC!$A:$A,"BOM",DATA_GOC!$D:$D,$B84,DATA_GOC!$F:$F,"Xuất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4" s="229" t="str">
        <f>IF($B84="","",IF(F$4&gt;DAY(EOMONTH(DATE($D$2,$B$2,1),0)),"",SUMIFS(DATA_GOC!$H:$H,DATA_GOC!$A:$A,"BOM",DATA_GOC!$D:$D,$B84,DATA_GOC!$F:$F,"Xuất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4" s="229" t="str">
        <f>IF($B84="","",IF(G$4&gt;DAY(EOMONTH(DATE($D$2,$B$2,1),0)),"",SUMIFS(DATA_GOC!$H:$H,DATA_GOC!$A:$A,"BOM",DATA_GOC!$D:$D,$B84,DATA_GOC!$F:$F,"Xuất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4" s="228" t="str">
        <f>IF($B84="","",IF(H$4&gt;DAY(EOMONTH(DATE($D$2,$B$2,1),0)),"",SUMIFS(DATA_GOC!$H:$H,DATA_GOC!$A:$A,"BOM",DATA_GOC!$D:$D,$B84,DATA_GOC!$F:$F,"Xuất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4" s="229" t="str">
        <f>IF($B84="","",IF(I$4&gt;DAY(EOMONTH(DATE($D$2,$B$2,1),0)),"",SUMIFS(DATA_GOC!$H:$H,DATA_GOC!$A:$A,"BOM",DATA_GOC!$D:$D,$B84,DATA_GOC!$F:$F,"Xuất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4" s="229" t="str">
        <f>IF($B84="","",IF(J$4&gt;DAY(EOMONTH(DATE($D$2,$B$2,1),0)),"",SUMIFS(DATA_GOC!$H:$H,DATA_GOC!$A:$A,"BOM",DATA_GOC!$D:$D,$B84,DATA_GOC!$F:$F,"Xuất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4" s="229" t="str">
        <f>IF($B84="","",IF(K$4&gt;DAY(EOMONTH(DATE($D$2,$B$2,1),0)),"",SUMIFS(DATA_GOC!$H:$H,DATA_GOC!$A:$A,"BOM",DATA_GOC!$D:$D,$B84,DATA_GOC!$F:$F,"Xuất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4" s="229" t="str">
        <f>IF($B84="","",IF(L$4&gt;DAY(EOMONTH(DATE($D$2,$B$2,1),0)),"",SUMIFS(DATA_GOC!$H:$H,DATA_GOC!$A:$A,"BOM",DATA_GOC!$D:$D,$B84,DATA_GOC!$F:$F,"Xuất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4" s="229" t="str">
        <f>IF($B84="","",IF(M$4&gt;DAY(EOMONTH(DATE($D$2,$B$2,1),0)),"",SUMIFS(DATA_GOC!$H:$H,DATA_GOC!$A:$A,"BOM",DATA_GOC!$D:$D,$B84,DATA_GOC!$F:$F,"Xuất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4" s="61" t="str">
        <f>IF($B84="","",IF(N$4&gt;DAY(EOMONTH(DATE($D$2,$B$2,1),0)),"",SUMIFS(DATA_GOC!$H:$H,DATA_GOC!$A:$A,"BOM",DATA_GOC!$D:$D,$B84,DATA_GOC!$F:$F,"Xuất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4" s="61" t="str">
        <f>IF($B84="","",IF(O$4&gt;DAY(EOMONTH(DATE($D$2,$B$2,1),0)),"",SUMIFS(DATA_GOC!$H:$H,DATA_GOC!$A:$A,"BOM",DATA_GOC!$D:$D,$B84,DATA_GOC!$F:$F,"Xuất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4" s="61" t="str">
        <f>IF($B84="","",IF(P$4&gt;DAY(EOMONTH(DATE($D$2,$B$2,1),0)),"",SUMIFS(DATA_GOC!$H:$H,DATA_GOC!$A:$A,"BOM",DATA_GOC!$D:$D,$B84,DATA_GOC!$F:$F,"Xuất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4" s="61" t="str">
        <f>IF($B84="","",IF(Q$4&gt;DAY(EOMONTH(DATE($D$2,$B$2,1),0)),"",SUMIFS(DATA_GOC!$H:$H,DATA_GOC!$A:$A,"BOM",DATA_GOC!$D:$D,$B84,DATA_GOC!$F:$F,"Xuất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4" s="61" t="str">
        <f>IF($B84="","",IF(R$4&gt;DAY(EOMONTH(DATE($D$2,$B$2,1),0)),"",SUMIFS(DATA_GOC!$H:$H,DATA_GOC!$A:$A,"BOM",DATA_GOC!$D:$D,$B84,DATA_GOC!$F:$F,"Xuất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4" s="61" t="str">
        <f>IF($B84="","",IF(S$4&gt;DAY(EOMONTH(DATE($D$2,$B$2,1),0)),"",SUMIFS(DATA_GOC!$H:$H,DATA_GOC!$A:$A,"BOM",DATA_GOC!$D:$D,$B84,DATA_GOC!$F:$F,"Xuất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4" s="229" t="str">
        <f>IF($B84="","",IF(T$4&gt;DAY(EOMONTH(DATE($D$2,$B$2,1),0)),"",SUMIFS(DATA_GOC!$H:$H,DATA_GOC!$A:$A,"BOM",DATA_GOC!$D:$D,$B84,DATA_GOC!$F:$F,"Xuất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4" s="229" t="str">
        <f>IF($B84="","",IF(U$4&gt;DAY(EOMONTH(DATE($D$2,$B$2,1),0)),"",SUMIFS(DATA_GOC!$H:$H,DATA_GOC!$A:$A,"BOM",DATA_GOC!$D:$D,$B84,DATA_GOC!$F:$F,"Xuất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4" s="229" t="str">
        <f>IF($B84="","",IF(V$4&gt;DAY(EOMONTH(DATE($D$2,$B$2,1),0)),"",SUMIFS(DATA_GOC!$H:$H,DATA_GOC!$A:$A,"BOM",DATA_GOC!$D:$D,$B84,DATA_GOC!$F:$F,"Xuất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4" s="61" t="str">
        <f>IF($B84="","",IF(W$4&gt;DAY(EOMONTH(DATE($D$2,$B$2,1),0)),"",SUMIFS(DATA_GOC!$H:$H,DATA_GOC!$A:$A,"BOM",DATA_GOC!$D:$D,$B84,DATA_GOC!$F:$F,"Xuất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4" s="229" t="str">
        <f>IF($B84="","",IF(X$4&gt;DAY(EOMONTH(DATE($D$2,$B$2,1),0)),"",SUMIFS(DATA_GOC!$H:$H,DATA_GOC!$A:$A,"BOM",DATA_GOC!$D:$D,$B84,DATA_GOC!$F:$F,"Xuất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4" s="229" t="str">
        <f>IF($B84="","",IF(Y$4&gt;DAY(EOMONTH(DATE($D$2,$B$2,1),0)),"",SUMIFS(DATA_GOC!$H:$H,DATA_GOC!$A:$A,"BOM",DATA_GOC!$D:$D,$B84,DATA_GOC!$F:$F,"Xuất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4" s="229" t="str">
        <f>IF($B84="","",IF(Z$4&gt;DAY(EOMONTH(DATE($D$2,$B$2,1),0)),"",SUMIFS(DATA_GOC!$H:$H,DATA_GOC!$A:$A,"BOM",DATA_GOC!$D:$D,$B84,DATA_GOC!$F:$F,"Xuất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4" s="229" t="str">
        <f>IF($B84="","",IF(AA$4&gt;DAY(EOMONTH(DATE($D$2,$B$2,1),0)),"",SUMIFS(DATA_GOC!$H:$H,DATA_GOC!$A:$A,"BOM",DATA_GOC!$D:$D,$B84,DATA_GOC!$F:$F,"Xuất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4" s="229" t="str">
        <f>IF($B84="","",IF(AB$4&gt;DAY(EOMONTH(DATE($D$2,$B$2,1),0)),"",SUMIFS(DATA_GOC!$H:$H,DATA_GOC!$A:$A,"BOM",DATA_GOC!$D:$D,$B84,DATA_GOC!$F:$F,"Xuất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4" s="61" t="str">
        <f>IF($B84="","",IF(AC$4&gt;DAY(EOMONTH(DATE($D$2,$B$2,1),0)),"",SUMIFS(DATA_GOC!$H:$H,DATA_GOC!$A:$A,"BOM",DATA_GOC!$D:$D,$B84,DATA_GOC!$F:$F,"Xuất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4" s="222" t="str">
        <f>IF($B84="","",IF(AD$4&gt;DAY(EOMONTH(DATE($D$2,$B$2,1),0)),"",SUMIFS(DATA_GOC!$H:$H,DATA_GOC!$A:$A,"BOM",DATA_GOC!$D:$D,$B84,DATA_GOC!$F:$F,"Xuất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4" s="222" t="str">
        <f>IF($B84="","",IF(AE$4&gt;DAY(EOMONTH(DATE($D$2,$B$2,1),0)),"",SUMIFS(DATA_GOC!$H:$H,DATA_GOC!$A:$A,"BOM",DATA_GOC!$D:$D,$B84,DATA_GOC!$F:$F,"Xuất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4" s="222" t="str">
        <f>IF($B84="","",IF(AF$4&gt;DAY(EOMONTH(DATE($D$2,$B$2,1),0)),"",SUMIFS(DATA_GOC!$H:$H,DATA_GOC!$A:$A,"BOM",DATA_GOC!$D:$D,$B84,DATA_GOC!$F:$F,"Xuất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4" s="222" t="str">
        <f>IF($B84="","",IF(AG$4&gt;DAY(EOMONTH(DATE($D$2,$B$2,1),0)),"",SUMIFS(DATA_GOC!$H:$H,DATA_GOC!$A:$A,"BOM",DATA_GOC!$D:$D,$B84,DATA_GOC!$F:$F,"Xuất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4" s="222" t="str">
        <f t="shared" si="2"/>
        <v/>
      </c>
      <c r="AI84" s="222" t="str">
        <f>IF($B84="","",SUMIFS(DATA_GOC!$H:$H,DATA_GOC!$A:$A,"BOM",DATA_GOC!$D:$D,$B84,DATA_GOC!$F:$F,"Bơm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4" s="222" t="str">
        <f t="shared" si="3"/>
        <v/>
      </c>
      <c r="AM84" s="222" t="str">
        <f>IF($B84="","",SUMIFS(DATA_GOC!$K:$K,DATA_GOC!$A:$A,"BOM",DATA_GOC!$D:$D,$B84,DATA_GOC!$G:$G,"DO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4" s="222" t="str">
        <f t="shared" si="4"/>
        <v/>
      </c>
      <c r="AO84" s="227" t="str">
        <f t="shared" si="5"/>
        <v/>
      </c>
      <c r="AP84" s="226" t="str">
        <f>IF($B84="","",IFERROR(AO84-(SUMIFS(DATA_GOC!$H:$H,DATA_GOC!$A:$A,"BOM",DATA_GOC!$D:$D,$B84,DATA_GOC!$F:$F,"Xuất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4" s="59">
        <v>2.0</v>
      </c>
      <c r="AR84" s="59">
        <v>2026.0</v>
      </c>
      <c r="AS84" s="59" t="s">
        <v>338</v>
      </c>
      <c r="AT84" s="59">
        <v>61.926118257996</v>
      </c>
      <c r="AU84" s="59">
        <v>0.0</v>
      </c>
      <c r="AV84" s="59">
        <v>61.926118257996</v>
      </c>
      <c r="AY84" s="59">
        <v>0.0</v>
      </c>
      <c r="AZ84" s="59">
        <v>61.926118257996</v>
      </c>
      <c r="BA84" s="59">
        <v>0.0</v>
      </c>
      <c r="BB84" s="59">
        <v>0.0</v>
      </c>
      <c r="BC84" s="59" t="s">
        <v>439</v>
      </c>
    </row>
    <row r="85" ht="15.0" customHeight="1">
      <c r="A85" s="61" t="str">
        <f t="shared" si="1"/>
        <v/>
      </c>
      <c r="B85" s="228" t="str">
        <f t="array" ref="B85">IFERROR(INDEX(DANH_MUC!$E:$E,ROW()-1),"")</f>
        <v/>
      </c>
      <c r="C85" s="228" t="str">
        <f>IF($B85="","",IF(C$4&gt;DAY(EOMONTH(DATE($D$2,$B$2,1),0)),"",SUMIFS(DATA_GOC!$H:$H,DATA_GOC!$A:$A,"BOM",DATA_GOC!$D:$D,$B85,DATA_GOC!$F:$F,"Xuất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5" s="61" t="str">
        <f>IF($B85="","",IF(D$4&gt;DAY(EOMONTH(DATE($D$2,$B$2,1),0)),"",SUMIFS(DATA_GOC!$H:$H,DATA_GOC!$A:$A,"BOM",DATA_GOC!$D:$D,$B85,DATA_GOC!$F:$F,"Xuất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5" s="229" t="str">
        <f>IF($B85="","",IF(E$4&gt;DAY(EOMONTH(DATE($D$2,$B$2,1),0)),"",SUMIFS(DATA_GOC!$H:$H,DATA_GOC!$A:$A,"BOM",DATA_GOC!$D:$D,$B85,DATA_GOC!$F:$F,"Xuất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5" s="229" t="str">
        <f>IF($B85="","",IF(F$4&gt;DAY(EOMONTH(DATE($D$2,$B$2,1),0)),"",SUMIFS(DATA_GOC!$H:$H,DATA_GOC!$A:$A,"BOM",DATA_GOC!$D:$D,$B85,DATA_GOC!$F:$F,"Xuất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5" s="229" t="str">
        <f>IF($B85="","",IF(G$4&gt;DAY(EOMONTH(DATE($D$2,$B$2,1),0)),"",SUMIFS(DATA_GOC!$H:$H,DATA_GOC!$A:$A,"BOM",DATA_GOC!$D:$D,$B85,DATA_GOC!$F:$F,"Xuất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5" s="228" t="str">
        <f>IF($B85="","",IF(H$4&gt;DAY(EOMONTH(DATE($D$2,$B$2,1),0)),"",SUMIFS(DATA_GOC!$H:$H,DATA_GOC!$A:$A,"BOM",DATA_GOC!$D:$D,$B85,DATA_GOC!$F:$F,"Xuất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5" s="229" t="str">
        <f>IF($B85="","",IF(I$4&gt;DAY(EOMONTH(DATE($D$2,$B$2,1),0)),"",SUMIFS(DATA_GOC!$H:$H,DATA_GOC!$A:$A,"BOM",DATA_GOC!$D:$D,$B85,DATA_GOC!$F:$F,"Xuất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5" s="229" t="str">
        <f>IF($B85="","",IF(J$4&gt;DAY(EOMONTH(DATE($D$2,$B$2,1),0)),"",SUMIFS(DATA_GOC!$H:$H,DATA_GOC!$A:$A,"BOM",DATA_GOC!$D:$D,$B85,DATA_GOC!$F:$F,"Xuất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5" s="229" t="str">
        <f>IF($B85="","",IF(K$4&gt;DAY(EOMONTH(DATE($D$2,$B$2,1),0)),"",SUMIFS(DATA_GOC!$H:$H,DATA_GOC!$A:$A,"BOM",DATA_GOC!$D:$D,$B85,DATA_GOC!$F:$F,"Xuất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5" s="229" t="str">
        <f>IF($B85="","",IF(L$4&gt;DAY(EOMONTH(DATE($D$2,$B$2,1),0)),"",SUMIFS(DATA_GOC!$H:$H,DATA_GOC!$A:$A,"BOM",DATA_GOC!$D:$D,$B85,DATA_GOC!$F:$F,"Xuất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5" s="229" t="str">
        <f>IF($B85="","",IF(M$4&gt;DAY(EOMONTH(DATE($D$2,$B$2,1),0)),"",SUMIFS(DATA_GOC!$H:$H,DATA_GOC!$A:$A,"BOM",DATA_GOC!$D:$D,$B85,DATA_GOC!$F:$F,"Xuất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5" s="61" t="str">
        <f>IF($B85="","",IF(N$4&gt;DAY(EOMONTH(DATE($D$2,$B$2,1),0)),"",SUMIFS(DATA_GOC!$H:$H,DATA_GOC!$A:$A,"BOM",DATA_GOC!$D:$D,$B85,DATA_GOC!$F:$F,"Xuất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5" s="61" t="str">
        <f>IF($B85="","",IF(O$4&gt;DAY(EOMONTH(DATE($D$2,$B$2,1),0)),"",SUMIFS(DATA_GOC!$H:$H,DATA_GOC!$A:$A,"BOM",DATA_GOC!$D:$D,$B85,DATA_GOC!$F:$F,"Xuất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5" s="61" t="str">
        <f>IF($B85="","",IF(P$4&gt;DAY(EOMONTH(DATE($D$2,$B$2,1),0)),"",SUMIFS(DATA_GOC!$H:$H,DATA_GOC!$A:$A,"BOM",DATA_GOC!$D:$D,$B85,DATA_GOC!$F:$F,"Xuất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5" s="61" t="str">
        <f>IF($B85="","",IF(Q$4&gt;DAY(EOMONTH(DATE($D$2,$B$2,1),0)),"",SUMIFS(DATA_GOC!$H:$H,DATA_GOC!$A:$A,"BOM",DATA_GOC!$D:$D,$B85,DATA_GOC!$F:$F,"Xuất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5" s="61" t="str">
        <f>IF($B85="","",IF(R$4&gt;DAY(EOMONTH(DATE($D$2,$B$2,1),0)),"",SUMIFS(DATA_GOC!$H:$H,DATA_GOC!$A:$A,"BOM",DATA_GOC!$D:$D,$B85,DATA_GOC!$F:$F,"Xuất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5" s="61" t="str">
        <f>IF($B85="","",IF(S$4&gt;DAY(EOMONTH(DATE($D$2,$B$2,1),0)),"",SUMIFS(DATA_GOC!$H:$H,DATA_GOC!$A:$A,"BOM",DATA_GOC!$D:$D,$B85,DATA_GOC!$F:$F,"Xuất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5" s="229" t="str">
        <f>IF($B85="","",IF(T$4&gt;DAY(EOMONTH(DATE($D$2,$B$2,1),0)),"",SUMIFS(DATA_GOC!$H:$H,DATA_GOC!$A:$A,"BOM",DATA_GOC!$D:$D,$B85,DATA_GOC!$F:$F,"Xuất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5" s="229" t="str">
        <f>IF($B85="","",IF(U$4&gt;DAY(EOMONTH(DATE($D$2,$B$2,1),0)),"",SUMIFS(DATA_GOC!$H:$H,DATA_GOC!$A:$A,"BOM",DATA_GOC!$D:$D,$B85,DATA_GOC!$F:$F,"Xuất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5" s="229" t="str">
        <f>IF($B85="","",IF(V$4&gt;DAY(EOMONTH(DATE($D$2,$B$2,1),0)),"",SUMIFS(DATA_GOC!$H:$H,DATA_GOC!$A:$A,"BOM",DATA_GOC!$D:$D,$B85,DATA_GOC!$F:$F,"Xuất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5" s="61" t="str">
        <f>IF($B85="","",IF(W$4&gt;DAY(EOMONTH(DATE($D$2,$B$2,1),0)),"",SUMIFS(DATA_GOC!$H:$H,DATA_GOC!$A:$A,"BOM",DATA_GOC!$D:$D,$B85,DATA_GOC!$F:$F,"Xuất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5" s="229" t="str">
        <f>IF($B85="","",IF(X$4&gt;DAY(EOMONTH(DATE($D$2,$B$2,1),0)),"",SUMIFS(DATA_GOC!$H:$H,DATA_GOC!$A:$A,"BOM",DATA_GOC!$D:$D,$B85,DATA_GOC!$F:$F,"Xuất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5" s="229" t="str">
        <f>IF($B85="","",IF(Y$4&gt;DAY(EOMONTH(DATE($D$2,$B$2,1),0)),"",SUMIFS(DATA_GOC!$H:$H,DATA_GOC!$A:$A,"BOM",DATA_GOC!$D:$D,$B85,DATA_GOC!$F:$F,"Xuất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5" s="229" t="str">
        <f>IF($B85="","",IF(Z$4&gt;DAY(EOMONTH(DATE($D$2,$B$2,1),0)),"",SUMIFS(DATA_GOC!$H:$H,DATA_GOC!$A:$A,"BOM",DATA_GOC!$D:$D,$B85,DATA_GOC!$F:$F,"Xuất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5" s="229" t="str">
        <f>IF($B85="","",IF(AA$4&gt;DAY(EOMONTH(DATE($D$2,$B$2,1),0)),"",SUMIFS(DATA_GOC!$H:$H,DATA_GOC!$A:$A,"BOM",DATA_GOC!$D:$D,$B85,DATA_GOC!$F:$F,"Xuất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5" s="229" t="str">
        <f>IF($B85="","",IF(AB$4&gt;DAY(EOMONTH(DATE($D$2,$B$2,1),0)),"",SUMIFS(DATA_GOC!$H:$H,DATA_GOC!$A:$A,"BOM",DATA_GOC!$D:$D,$B85,DATA_GOC!$F:$F,"Xuất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5" s="61" t="str">
        <f>IF($B85="","",IF(AC$4&gt;DAY(EOMONTH(DATE($D$2,$B$2,1),0)),"",SUMIFS(DATA_GOC!$H:$H,DATA_GOC!$A:$A,"BOM",DATA_GOC!$D:$D,$B85,DATA_GOC!$F:$F,"Xuất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5" s="222" t="str">
        <f>IF($B85="","",IF(AD$4&gt;DAY(EOMONTH(DATE($D$2,$B$2,1),0)),"",SUMIFS(DATA_GOC!$H:$H,DATA_GOC!$A:$A,"BOM",DATA_GOC!$D:$D,$B85,DATA_GOC!$F:$F,"Xuất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5" s="222" t="str">
        <f>IF($B85="","",IF(AE$4&gt;DAY(EOMONTH(DATE($D$2,$B$2,1),0)),"",SUMIFS(DATA_GOC!$H:$H,DATA_GOC!$A:$A,"BOM",DATA_GOC!$D:$D,$B85,DATA_GOC!$F:$F,"Xuất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5" s="222" t="str">
        <f>IF($B85="","",IF(AF$4&gt;DAY(EOMONTH(DATE($D$2,$B$2,1),0)),"",SUMIFS(DATA_GOC!$H:$H,DATA_GOC!$A:$A,"BOM",DATA_GOC!$D:$D,$B85,DATA_GOC!$F:$F,"Xuất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5" s="222" t="str">
        <f>IF($B85="","",IF(AG$4&gt;DAY(EOMONTH(DATE($D$2,$B$2,1),0)),"",SUMIFS(DATA_GOC!$H:$H,DATA_GOC!$A:$A,"BOM",DATA_GOC!$D:$D,$B85,DATA_GOC!$F:$F,"Xuất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5" s="222" t="str">
        <f t="shared" si="2"/>
        <v/>
      </c>
      <c r="AI85" s="222" t="str">
        <f>IF($B85="","",SUMIFS(DATA_GOC!$H:$H,DATA_GOC!$A:$A,"BOM",DATA_GOC!$D:$D,$B85,DATA_GOC!$F:$F,"Bơm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5" s="222" t="str">
        <f t="shared" si="3"/>
        <v/>
      </c>
      <c r="AM85" s="222" t="str">
        <f>IF($B85="","",SUMIFS(DATA_GOC!$K:$K,DATA_GOC!$A:$A,"BOM",DATA_GOC!$D:$D,$B85,DATA_GOC!$G:$G,"DO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5" s="222" t="str">
        <f t="shared" si="4"/>
        <v/>
      </c>
      <c r="AO85" s="227" t="str">
        <f t="shared" si="5"/>
        <v/>
      </c>
      <c r="AP85" s="226" t="str">
        <f>IF($B85="","",IFERROR(AO85-(SUMIFS(DATA_GOC!$H:$H,DATA_GOC!$A:$A,"BOM",DATA_GOC!$D:$D,$B85,DATA_GOC!$F:$F,"Xuất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5" s="59">
        <v>3.0</v>
      </c>
      <c r="AR85" s="59">
        <v>2026.0</v>
      </c>
      <c r="AS85" s="59" t="s">
        <v>154</v>
      </c>
      <c r="AT85" s="59">
        <v>669.561</v>
      </c>
      <c r="AU85" s="59">
        <v>0.0</v>
      </c>
      <c r="AV85" s="59">
        <v>669.561</v>
      </c>
      <c r="AW85" s="59">
        <v>1919.0</v>
      </c>
      <c r="AX85" s="59">
        <v>34.8911412193851</v>
      </c>
      <c r="AY85" s="59">
        <v>352.254</v>
      </c>
      <c r="AZ85" s="59">
        <v>317.307</v>
      </c>
      <c r="BA85" s="59">
        <v>17.254</v>
      </c>
      <c r="BB85" s="59">
        <v>0.0</v>
      </c>
      <c r="BC85" s="59" t="s">
        <v>440</v>
      </c>
    </row>
    <row r="86" ht="15.0" customHeight="1">
      <c r="A86" s="61" t="str">
        <f t="shared" si="1"/>
        <v/>
      </c>
      <c r="B86" s="228" t="str">
        <f t="array" ref="B86">IFERROR(INDEX(DANH_MUC!$E:$E,ROW()-1),"")</f>
        <v/>
      </c>
      <c r="C86" s="228" t="str">
        <f>IF($B86="","",IF(C$4&gt;DAY(EOMONTH(DATE($D$2,$B$2,1),0)),"",SUMIFS(DATA_GOC!$H:$H,DATA_GOC!$A:$A,"BOM",DATA_GOC!$D:$D,$B86,DATA_GOC!$F:$F,"Xuất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6" s="61" t="str">
        <f>IF($B86="","",IF(D$4&gt;DAY(EOMONTH(DATE($D$2,$B$2,1),0)),"",SUMIFS(DATA_GOC!$H:$H,DATA_GOC!$A:$A,"BOM",DATA_GOC!$D:$D,$B86,DATA_GOC!$F:$F,"Xuất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6" s="229" t="str">
        <f>IF($B86="","",IF(E$4&gt;DAY(EOMONTH(DATE($D$2,$B$2,1),0)),"",SUMIFS(DATA_GOC!$H:$H,DATA_GOC!$A:$A,"BOM",DATA_GOC!$D:$D,$B86,DATA_GOC!$F:$F,"Xuất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6" s="229" t="str">
        <f>IF($B86="","",IF(F$4&gt;DAY(EOMONTH(DATE($D$2,$B$2,1),0)),"",SUMIFS(DATA_GOC!$H:$H,DATA_GOC!$A:$A,"BOM",DATA_GOC!$D:$D,$B86,DATA_GOC!$F:$F,"Xuất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6" s="229" t="str">
        <f>IF($B86="","",IF(G$4&gt;DAY(EOMONTH(DATE($D$2,$B$2,1),0)),"",SUMIFS(DATA_GOC!$H:$H,DATA_GOC!$A:$A,"BOM",DATA_GOC!$D:$D,$B86,DATA_GOC!$F:$F,"Xuất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6" s="228" t="str">
        <f>IF($B86="","",IF(H$4&gt;DAY(EOMONTH(DATE($D$2,$B$2,1),0)),"",SUMIFS(DATA_GOC!$H:$H,DATA_GOC!$A:$A,"BOM",DATA_GOC!$D:$D,$B86,DATA_GOC!$F:$F,"Xuất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6" s="229" t="str">
        <f>IF($B86="","",IF(I$4&gt;DAY(EOMONTH(DATE($D$2,$B$2,1),0)),"",SUMIFS(DATA_GOC!$H:$H,DATA_GOC!$A:$A,"BOM",DATA_GOC!$D:$D,$B86,DATA_GOC!$F:$F,"Xuất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6" s="229" t="str">
        <f>IF($B86="","",IF(J$4&gt;DAY(EOMONTH(DATE($D$2,$B$2,1),0)),"",SUMIFS(DATA_GOC!$H:$H,DATA_GOC!$A:$A,"BOM",DATA_GOC!$D:$D,$B86,DATA_GOC!$F:$F,"Xuất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6" s="229" t="str">
        <f>IF($B86="","",IF(K$4&gt;DAY(EOMONTH(DATE($D$2,$B$2,1),0)),"",SUMIFS(DATA_GOC!$H:$H,DATA_GOC!$A:$A,"BOM",DATA_GOC!$D:$D,$B86,DATA_GOC!$F:$F,"Xuất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6" s="229" t="str">
        <f>IF($B86="","",IF(L$4&gt;DAY(EOMONTH(DATE($D$2,$B$2,1),0)),"",SUMIFS(DATA_GOC!$H:$H,DATA_GOC!$A:$A,"BOM",DATA_GOC!$D:$D,$B86,DATA_GOC!$F:$F,"Xuất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6" s="229" t="str">
        <f>IF($B86="","",IF(M$4&gt;DAY(EOMONTH(DATE($D$2,$B$2,1),0)),"",SUMIFS(DATA_GOC!$H:$H,DATA_GOC!$A:$A,"BOM",DATA_GOC!$D:$D,$B86,DATA_GOC!$F:$F,"Xuất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6" s="61" t="str">
        <f>IF($B86="","",IF(N$4&gt;DAY(EOMONTH(DATE($D$2,$B$2,1),0)),"",SUMIFS(DATA_GOC!$H:$H,DATA_GOC!$A:$A,"BOM",DATA_GOC!$D:$D,$B86,DATA_GOC!$F:$F,"Xuất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6" s="61" t="str">
        <f>IF($B86="","",IF(O$4&gt;DAY(EOMONTH(DATE($D$2,$B$2,1),0)),"",SUMIFS(DATA_GOC!$H:$H,DATA_GOC!$A:$A,"BOM",DATA_GOC!$D:$D,$B86,DATA_GOC!$F:$F,"Xuất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6" s="61" t="str">
        <f>IF($B86="","",IF(P$4&gt;DAY(EOMONTH(DATE($D$2,$B$2,1),0)),"",SUMIFS(DATA_GOC!$H:$H,DATA_GOC!$A:$A,"BOM",DATA_GOC!$D:$D,$B86,DATA_GOC!$F:$F,"Xuất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6" s="61" t="str">
        <f>IF($B86="","",IF(Q$4&gt;DAY(EOMONTH(DATE($D$2,$B$2,1),0)),"",SUMIFS(DATA_GOC!$H:$H,DATA_GOC!$A:$A,"BOM",DATA_GOC!$D:$D,$B86,DATA_GOC!$F:$F,"Xuất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6" s="61" t="str">
        <f>IF($B86="","",IF(R$4&gt;DAY(EOMONTH(DATE($D$2,$B$2,1),0)),"",SUMIFS(DATA_GOC!$H:$H,DATA_GOC!$A:$A,"BOM",DATA_GOC!$D:$D,$B86,DATA_GOC!$F:$F,"Xuất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6" s="61" t="str">
        <f>IF($B86="","",IF(S$4&gt;DAY(EOMONTH(DATE($D$2,$B$2,1),0)),"",SUMIFS(DATA_GOC!$H:$H,DATA_GOC!$A:$A,"BOM",DATA_GOC!$D:$D,$B86,DATA_GOC!$F:$F,"Xuất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6" s="229" t="str">
        <f>IF($B86="","",IF(T$4&gt;DAY(EOMONTH(DATE($D$2,$B$2,1),0)),"",SUMIFS(DATA_GOC!$H:$H,DATA_GOC!$A:$A,"BOM",DATA_GOC!$D:$D,$B86,DATA_GOC!$F:$F,"Xuất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6" s="229" t="str">
        <f>IF($B86="","",IF(U$4&gt;DAY(EOMONTH(DATE($D$2,$B$2,1),0)),"",SUMIFS(DATA_GOC!$H:$H,DATA_GOC!$A:$A,"BOM",DATA_GOC!$D:$D,$B86,DATA_GOC!$F:$F,"Xuất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6" s="229" t="str">
        <f>IF($B86="","",IF(V$4&gt;DAY(EOMONTH(DATE($D$2,$B$2,1),0)),"",SUMIFS(DATA_GOC!$H:$H,DATA_GOC!$A:$A,"BOM",DATA_GOC!$D:$D,$B86,DATA_GOC!$F:$F,"Xuất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6" s="61" t="str">
        <f>IF($B86="","",IF(W$4&gt;DAY(EOMONTH(DATE($D$2,$B$2,1),0)),"",SUMIFS(DATA_GOC!$H:$H,DATA_GOC!$A:$A,"BOM",DATA_GOC!$D:$D,$B86,DATA_GOC!$F:$F,"Xuất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6" s="229" t="str">
        <f>IF($B86="","",IF(X$4&gt;DAY(EOMONTH(DATE($D$2,$B$2,1),0)),"",SUMIFS(DATA_GOC!$H:$H,DATA_GOC!$A:$A,"BOM",DATA_GOC!$D:$D,$B86,DATA_GOC!$F:$F,"Xuất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6" s="229" t="str">
        <f>IF($B86="","",IF(Y$4&gt;DAY(EOMONTH(DATE($D$2,$B$2,1),0)),"",SUMIFS(DATA_GOC!$H:$H,DATA_GOC!$A:$A,"BOM",DATA_GOC!$D:$D,$B86,DATA_GOC!$F:$F,"Xuất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6" s="229" t="str">
        <f>IF($B86="","",IF(Z$4&gt;DAY(EOMONTH(DATE($D$2,$B$2,1),0)),"",SUMIFS(DATA_GOC!$H:$H,DATA_GOC!$A:$A,"BOM",DATA_GOC!$D:$D,$B86,DATA_GOC!$F:$F,"Xuất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6" s="229" t="str">
        <f>IF($B86="","",IF(AA$4&gt;DAY(EOMONTH(DATE($D$2,$B$2,1),0)),"",SUMIFS(DATA_GOC!$H:$H,DATA_GOC!$A:$A,"BOM",DATA_GOC!$D:$D,$B86,DATA_GOC!$F:$F,"Xuất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6" s="229" t="str">
        <f>IF($B86="","",IF(AB$4&gt;DAY(EOMONTH(DATE($D$2,$B$2,1),0)),"",SUMIFS(DATA_GOC!$H:$H,DATA_GOC!$A:$A,"BOM",DATA_GOC!$D:$D,$B86,DATA_GOC!$F:$F,"Xuất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6" s="61" t="str">
        <f>IF($B86="","",IF(AC$4&gt;DAY(EOMONTH(DATE($D$2,$B$2,1),0)),"",SUMIFS(DATA_GOC!$H:$H,DATA_GOC!$A:$A,"BOM",DATA_GOC!$D:$D,$B86,DATA_GOC!$F:$F,"Xuất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6" s="222" t="str">
        <f>IF($B86="","",IF(AD$4&gt;DAY(EOMONTH(DATE($D$2,$B$2,1),0)),"",SUMIFS(DATA_GOC!$H:$H,DATA_GOC!$A:$A,"BOM",DATA_GOC!$D:$D,$B86,DATA_GOC!$F:$F,"Xuất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6" s="222" t="str">
        <f>IF($B86="","",IF(AE$4&gt;DAY(EOMONTH(DATE($D$2,$B$2,1),0)),"",SUMIFS(DATA_GOC!$H:$H,DATA_GOC!$A:$A,"BOM",DATA_GOC!$D:$D,$B86,DATA_GOC!$F:$F,"Xuất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6" s="222" t="str">
        <f>IF($B86="","",IF(AF$4&gt;DAY(EOMONTH(DATE($D$2,$B$2,1),0)),"",SUMIFS(DATA_GOC!$H:$H,DATA_GOC!$A:$A,"BOM",DATA_GOC!$D:$D,$B86,DATA_GOC!$F:$F,"Xuất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6" s="222" t="str">
        <f>IF($B86="","",IF(AG$4&gt;DAY(EOMONTH(DATE($D$2,$B$2,1),0)),"",SUMIFS(DATA_GOC!$H:$H,DATA_GOC!$A:$A,"BOM",DATA_GOC!$D:$D,$B86,DATA_GOC!$F:$F,"Xuất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6" s="222" t="str">
        <f t="shared" si="2"/>
        <v/>
      </c>
      <c r="AI86" s="222" t="str">
        <f>IF($B86="","",SUMIFS(DATA_GOC!$H:$H,DATA_GOC!$A:$A,"BOM",DATA_GOC!$D:$D,$B86,DATA_GOC!$F:$F,"Bơm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6" s="222" t="str">
        <f t="shared" si="3"/>
        <v/>
      </c>
      <c r="AM86" s="222" t="str">
        <f>IF($B86="","",SUMIFS(DATA_GOC!$K:$K,DATA_GOC!$A:$A,"BOM",DATA_GOC!$D:$D,$B86,DATA_GOC!$G:$G,"DO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6" s="222" t="str">
        <f t="shared" si="4"/>
        <v/>
      </c>
      <c r="AO86" s="227" t="str">
        <f t="shared" si="5"/>
        <v/>
      </c>
      <c r="AP86" s="226" t="str">
        <f>IF($B86="","",IFERROR(AO86-(SUMIFS(DATA_GOC!$H:$H,DATA_GOC!$A:$A,"BOM",DATA_GOC!$D:$D,$B86,DATA_GOC!$F:$F,"Xuất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6" s="59">
        <v>3.0</v>
      </c>
      <c r="AR86" s="59">
        <v>2026.0</v>
      </c>
      <c r="AS86" s="59" t="s">
        <v>153</v>
      </c>
      <c r="AT86" s="59">
        <v>527.17</v>
      </c>
      <c r="AU86" s="59">
        <v>0.0</v>
      </c>
      <c r="AV86" s="59">
        <v>527.17</v>
      </c>
      <c r="AW86" s="59">
        <v>2045.0</v>
      </c>
      <c r="AX86" s="59">
        <v>25.7784841075795</v>
      </c>
      <c r="AY86" s="59">
        <v>303.352</v>
      </c>
      <c r="AZ86" s="59">
        <v>223.818</v>
      </c>
      <c r="BA86" s="59">
        <v>14.352</v>
      </c>
      <c r="BB86" s="59">
        <v>0.0</v>
      </c>
      <c r="BC86" s="59" t="s">
        <v>441</v>
      </c>
    </row>
    <row r="87" ht="15.0" customHeight="1">
      <c r="A87" s="61" t="str">
        <f t="shared" si="1"/>
        <v/>
      </c>
      <c r="B87" s="228" t="str">
        <f t="array" ref="B87">IFERROR(INDEX(DANH_MUC!$E:$E,ROW()-1),"")</f>
        <v/>
      </c>
      <c r="C87" s="228" t="str">
        <f>IF($B87="","",IF(C$4&gt;DAY(EOMONTH(DATE($D$2,$B$2,1),0)),"",SUMIFS(DATA_GOC!$H:$H,DATA_GOC!$A:$A,"BOM",DATA_GOC!$D:$D,$B87,DATA_GOC!$F:$F,"Xuất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7" s="61" t="str">
        <f>IF($B87="","",IF(D$4&gt;DAY(EOMONTH(DATE($D$2,$B$2,1),0)),"",SUMIFS(DATA_GOC!$H:$H,DATA_GOC!$A:$A,"BOM",DATA_GOC!$D:$D,$B87,DATA_GOC!$F:$F,"Xuất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7" s="229" t="str">
        <f>IF($B87="","",IF(E$4&gt;DAY(EOMONTH(DATE($D$2,$B$2,1),0)),"",SUMIFS(DATA_GOC!$H:$H,DATA_GOC!$A:$A,"BOM",DATA_GOC!$D:$D,$B87,DATA_GOC!$F:$F,"Xuất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7" s="229" t="str">
        <f>IF($B87="","",IF(F$4&gt;DAY(EOMONTH(DATE($D$2,$B$2,1),0)),"",SUMIFS(DATA_GOC!$H:$H,DATA_GOC!$A:$A,"BOM",DATA_GOC!$D:$D,$B87,DATA_GOC!$F:$F,"Xuất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7" s="229" t="str">
        <f>IF($B87="","",IF(G$4&gt;DAY(EOMONTH(DATE($D$2,$B$2,1),0)),"",SUMIFS(DATA_GOC!$H:$H,DATA_GOC!$A:$A,"BOM",DATA_GOC!$D:$D,$B87,DATA_GOC!$F:$F,"Xuất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7" s="228" t="str">
        <f>IF($B87="","",IF(H$4&gt;DAY(EOMONTH(DATE($D$2,$B$2,1),0)),"",SUMIFS(DATA_GOC!$H:$H,DATA_GOC!$A:$A,"BOM",DATA_GOC!$D:$D,$B87,DATA_GOC!$F:$F,"Xuất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7" s="229" t="str">
        <f>IF($B87="","",IF(I$4&gt;DAY(EOMONTH(DATE($D$2,$B$2,1),0)),"",SUMIFS(DATA_GOC!$H:$H,DATA_GOC!$A:$A,"BOM",DATA_GOC!$D:$D,$B87,DATA_GOC!$F:$F,"Xuất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7" s="229" t="str">
        <f>IF($B87="","",IF(J$4&gt;DAY(EOMONTH(DATE($D$2,$B$2,1),0)),"",SUMIFS(DATA_GOC!$H:$H,DATA_GOC!$A:$A,"BOM",DATA_GOC!$D:$D,$B87,DATA_GOC!$F:$F,"Xuất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7" s="229" t="str">
        <f>IF($B87="","",IF(K$4&gt;DAY(EOMONTH(DATE($D$2,$B$2,1),0)),"",SUMIFS(DATA_GOC!$H:$H,DATA_GOC!$A:$A,"BOM",DATA_GOC!$D:$D,$B87,DATA_GOC!$F:$F,"Xuất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7" s="229" t="str">
        <f>IF($B87="","",IF(L$4&gt;DAY(EOMONTH(DATE($D$2,$B$2,1),0)),"",SUMIFS(DATA_GOC!$H:$H,DATA_GOC!$A:$A,"BOM",DATA_GOC!$D:$D,$B87,DATA_GOC!$F:$F,"Xuất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7" s="229" t="str">
        <f>IF($B87="","",IF(M$4&gt;DAY(EOMONTH(DATE($D$2,$B$2,1),0)),"",SUMIFS(DATA_GOC!$H:$H,DATA_GOC!$A:$A,"BOM",DATA_GOC!$D:$D,$B87,DATA_GOC!$F:$F,"Xuất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7" s="61" t="str">
        <f>IF($B87="","",IF(N$4&gt;DAY(EOMONTH(DATE($D$2,$B$2,1),0)),"",SUMIFS(DATA_GOC!$H:$H,DATA_GOC!$A:$A,"BOM",DATA_GOC!$D:$D,$B87,DATA_GOC!$F:$F,"Xuất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7" s="61" t="str">
        <f>IF($B87="","",IF(O$4&gt;DAY(EOMONTH(DATE($D$2,$B$2,1),0)),"",SUMIFS(DATA_GOC!$H:$H,DATA_GOC!$A:$A,"BOM",DATA_GOC!$D:$D,$B87,DATA_GOC!$F:$F,"Xuất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7" s="61" t="str">
        <f>IF($B87="","",IF(P$4&gt;DAY(EOMONTH(DATE($D$2,$B$2,1),0)),"",SUMIFS(DATA_GOC!$H:$H,DATA_GOC!$A:$A,"BOM",DATA_GOC!$D:$D,$B87,DATA_GOC!$F:$F,"Xuất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7" s="61" t="str">
        <f>IF($B87="","",IF(Q$4&gt;DAY(EOMONTH(DATE($D$2,$B$2,1),0)),"",SUMIFS(DATA_GOC!$H:$H,DATA_GOC!$A:$A,"BOM",DATA_GOC!$D:$D,$B87,DATA_GOC!$F:$F,"Xuất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7" s="61" t="str">
        <f>IF($B87="","",IF(R$4&gt;DAY(EOMONTH(DATE($D$2,$B$2,1),0)),"",SUMIFS(DATA_GOC!$H:$H,DATA_GOC!$A:$A,"BOM",DATA_GOC!$D:$D,$B87,DATA_GOC!$F:$F,"Xuất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7" s="61" t="str">
        <f>IF($B87="","",IF(S$4&gt;DAY(EOMONTH(DATE($D$2,$B$2,1),0)),"",SUMIFS(DATA_GOC!$H:$H,DATA_GOC!$A:$A,"BOM",DATA_GOC!$D:$D,$B87,DATA_GOC!$F:$F,"Xuất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7" s="229" t="str">
        <f>IF($B87="","",IF(T$4&gt;DAY(EOMONTH(DATE($D$2,$B$2,1),0)),"",SUMIFS(DATA_GOC!$H:$H,DATA_GOC!$A:$A,"BOM",DATA_GOC!$D:$D,$B87,DATA_GOC!$F:$F,"Xuất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7" s="229" t="str">
        <f>IF($B87="","",IF(U$4&gt;DAY(EOMONTH(DATE($D$2,$B$2,1),0)),"",SUMIFS(DATA_GOC!$H:$H,DATA_GOC!$A:$A,"BOM",DATA_GOC!$D:$D,$B87,DATA_GOC!$F:$F,"Xuất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7" s="229" t="str">
        <f>IF($B87="","",IF(V$4&gt;DAY(EOMONTH(DATE($D$2,$B$2,1),0)),"",SUMIFS(DATA_GOC!$H:$H,DATA_GOC!$A:$A,"BOM",DATA_GOC!$D:$D,$B87,DATA_GOC!$F:$F,"Xuất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7" s="61" t="str">
        <f>IF($B87="","",IF(W$4&gt;DAY(EOMONTH(DATE($D$2,$B$2,1),0)),"",SUMIFS(DATA_GOC!$H:$H,DATA_GOC!$A:$A,"BOM",DATA_GOC!$D:$D,$B87,DATA_GOC!$F:$F,"Xuất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7" s="229" t="str">
        <f>IF($B87="","",IF(X$4&gt;DAY(EOMONTH(DATE($D$2,$B$2,1),0)),"",SUMIFS(DATA_GOC!$H:$H,DATA_GOC!$A:$A,"BOM",DATA_GOC!$D:$D,$B87,DATA_GOC!$F:$F,"Xuất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7" s="229" t="str">
        <f>IF($B87="","",IF(Y$4&gt;DAY(EOMONTH(DATE($D$2,$B$2,1),0)),"",SUMIFS(DATA_GOC!$H:$H,DATA_GOC!$A:$A,"BOM",DATA_GOC!$D:$D,$B87,DATA_GOC!$F:$F,"Xuất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7" s="229" t="str">
        <f>IF($B87="","",IF(Z$4&gt;DAY(EOMONTH(DATE($D$2,$B$2,1),0)),"",SUMIFS(DATA_GOC!$H:$H,DATA_GOC!$A:$A,"BOM",DATA_GOC!$D:$D,$B87,DATA_GOC!$F:$F,"Xuất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7" s="229" t="str">
        <f>IF($B87="","",IF(AA$4&gt;DAY(EOMONTH(DATE($D$2,$B$2,1),0)),"",SUMIFS(DATA_GOC!$H:$H,DATA_GOC!$A:$A,"BOM",DATA_GOC!$D:$D,$B87,DATA_GOC!$F:$F,"Xuất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7" s="229" t="str">
        <f>IF($B87="","",IF(AB$4&gt;DAY(EOMONTH(DATE($D$2,$B$2,1),0)),"",SUMIFS(DATA_GOC!$H:$H,DATA_GOC!$A:$A,"BOM",DATA_GOC!$D:$D,$B87,DATA_GOC!$F:$F,"Xuất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7" s="61" t="str">
        <f>IF($B87="","",IF(AC$4&gt;DAY(EOMONTH(DATE($D$2,$B$2,1),0)),"",SUMIFS(DATA_GOC!$H:$H,DATA_GOC!$A:$A,"BOM",DATA_GOC!$D:$D,$B87,DATA_GOC!$F:$F,"Xuất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7" s="222" t="str">
        <f>IF($B87="","",IF(AD$4&gt;DAY(EOMONTH(DATE($D$2,$B$2,1),0)),"",SUMIFS(DATA_GOC!$H:$H,DATA_GOC!$A:$A,"BOM",DATA_GOC!$D:$D,$B87,DATA_GOC!$F:$F,"Xuất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7" s="222" t="str">
        <f>IF($B87="","",IF(AE$4&gt;DAY(EOMONTH(DATE($D$2,$B$2,1),0)),"",SUMIFS(DATA_GOC!$H:$H,DATA_GOC!$A:$A,"BOM",DATA_GOC!$D:$D,$B87,DATA_GOC!$F:$F,"Xuất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7" s="222" t="str">
        <f>IF($B87="","",IF(AF$4&gt;DAY(EOMONTH(DATE($D$2,$B$2,1),0)),"",SUMIFS(DATA_GOC!$H:$H,DATA_GOC!$A:$A,"BOM",DATA_GOC!$D:$D,$B87,DATA_GOC!$F:$F,"Xuất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7" s="222" t="str">
        <f>IF($B87="","",IF(AG$4&gt;DAY(EOMONTH(DATE($D$2,$B$2,1),0)),"",SUMIFS(DATA_GOC!$H:$H,DATA_GOC!$A:$A,"BOM",DATA_GOC!$D:$D,$B87,DATA_GOC!$F:$F,"Xuất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7" s="222" t="str">
        <f t="shared" si="2"/>
        <v/>
      </c>
      <c r="AI87" s="222" t="str">
        <f>IF($B87="","",SUMIFS(DATA_GOC!$H:$H,DATA_GOC!$A:$A,"BOM",DATA_GOC!$D:$D,$B87,DATA_GOC!$F:$F,"Bơm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7" s="222" t="str">
        <f t="shared" si="3"/>
        <v/>
      </c>
      <c r="AM87" s="222" t="str">
        <f>IF($B87="","",SUMIFS(DATA_GOC!$K:$K,DATA_GOC!$A:$A,"BOM",DATA_GOC!$D:$D,$B87,DATA_GOC!$G:$G,"DO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7" s="222" t="str">
        <f t="shared" si="4"/>
        <v/>
      </c>
      <c r="AO87" s="227" t="str">
        <f t="shared" si="5"/>
        <v/>
      </c>
      <c r="AP87" s="226" t="str">
        <f>IF($B87="","",IFERROR(AO87-(SUMIFS(DATA_GOC!$H:$H,DATA_GOC!$A:$A,"BOM",DATA_GOC!$D:$D,$B87,DATA_GOC!$F:$F,"Xuất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7" s="59">
        <v>3.0</v>
      </c>
      <c r="AR87" s="59">
        <v>2026.0</v>
      </c>
      <c r="AS87" s="59" t="s">
        <v>159</v>
      </c>
      <c r="AT87" s="59">
        <v>702.46</v>
      </c>
      <c r="AU87" s="59">
        <v>0.0</v>
      </c>
      <c r="AV87" s="59">
        <v>702.46</v>
      </c>
      <c r="AW87" s="59">
        <v>2472.0</v>
      </c>
      <c r="AX87" s="59">
        <v>28.4166666666667</v>
      </c>
      <c r="AY87" s="59">
        <v>439.562</v>
      </c>
      <c r="AZ87" s="59">
        <v>262.898</v>
      </c>
      <c r="BA87" s="59">
        <v>19.562</v>
      </c>
      <c r="BB87" s="59">
        <v>0.0</v>
      </c>
      <c r="BC87" s="59" t="s">
        <v>442</v>
      </c>
    </row>
    <row r="88" ht="15.0" customHeight="1">
      <c r="A88" s="61" t="str">
        <f t="shared" si="1"/>
        <v/>
      </c>
      <c r="B88" s="228" t="str">
        <f t="array" ref="B88">IFERROR(INDEX(DANH_MUC!$E:$E,ROW()-1),"")</f>
        <v/>
      </c>
      <c r="C88" s="228" t="str">
        <f>IF($B88="","",IF(C$4&gt;DAY(EOMONTH(DATE($D$2,$B$2,1),0)),"",SUMIFS(DATA_GOC!$H:$H,DATA_GOC!$A:$A,"BOM",DATA_GOC!$D:$D,$B88,DATA_GOC!$F:$F,"Xuất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8" s="61" t="str">
        <f>IF($B88="","",IF(D$4&gt;DAY(EOMONTH(DATE($D$2,$B$2,1),0)),"",SUMIFS(DATA_GOC!$H:$H,DATA_GOC!$A:$A,"BOM",DATA_GOC!$D:$D,$B88,DATA_GOC!$F:$F,"Xuất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8" s="229" t="str">
        <f>IF($B88="","",IF(E$4&gt;DAY(EOMONTH(DATE($D$2,$B$2,1),0)),"",SUMIFS(DATA_GOC!$H:$H,DATA_GOC!$A:$A,"BOM",DATA_GOC!$D:$D,$B88,DATA_GOC!$F:$F,"Xuất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8" s="229" t="str">
        <f>IF($B88="","",IF(F$4&gt;DAY(EOMONTH(DATE($D$2,$B$2,1),0)),"",SUMIFS(DATA_GOC!$H:$H,DATA_GOC!$A:$A,"BOM",DATA_GOC!$D:$D,$B88,DATA_GOC!$F:$F,"Xuất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8" s="229" t="str">
        <f>IF($B88="","",IF(G$4&gt;DAY(EOMONTH(DATE($D$2,$B$2,1),0)),"",SUMIFS(DATA_GOC!$H:$H,DATA_GOC!$A:$A,"BOM",DATA_GOC!$D:$D,$B88,DATA_GOC!$F:$F,"Xuất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8" s="228" t="str">
        <f>IF($B88="","",IF(H$4&gt;DAY(EOMONTH(DATE($D$2,$B$2,1),0)),"",SUMIFS(DATA_GOC!$H:$H,DATA_GOC!$A:$A,"BOM",DATA_GOC!$D:$D,$B88,DATA_GOC!$F:$F,"Xuất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8" s="229" t="str">
        <f>IF($B88="","",IF(I$4&gt;DAY(EOMONTH(DATE($D$2,$B$2,1),0)),"",SUMIFS(DATA_GOC!$H:$H,DATA_GOC!$A:$A,"BOM",DATA_GOC!$D:$D,$B88,DATA_GOC!$F:$F,"Xuất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8" s="229" t="str">
        <f>IF($B88="","",IF(J$4&gt;DAY(EOMONTH(DATE($D$2,$B$2,1),0)),"",SUMIFS(DATA_GOC!$H:$H,DATA_GOC!$A:$A,"BOM",DATA_GOC!$D:$D,$B88,DATA_GOC!$F:$F,"Xuất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8" s="229" t="str">
        <f>IF($B88="","",IF(K$4&gt;DAY(EOMONTH(DATE($D$2,$B$2,1),0)),"",SUMIFS(DATA_GOC!$H:$H,DATA_GOC!$A:$A,"BOM",DATA_GOC!$D:$D,$B88,DATA_GOC!$F:$F,"Xuất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8" s="229" t="str">
        <f>IF($B88="","",IF(L$4&gt;DAY(EOMONTH(DATE($D$2,$B$2,1),0)),"",SUMIFS(DATA_GOC!$H:$H,DATA_GOC!$A:$A,"BOM",DATA_GOC!$D:$D,$B88,DATA_GOC!$F:$F,"Xuất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8" s="229" t="str">
        <f>IF($B88="","",IF(M$4&gt;DAY(EOMONTH(DATE($D$2,$B$2,1),0)),"",SUMIFS(DATA_GOC!$H:$H,DATA_GOC!$A:$A,"BOM",DATA_GOC!$D:$D,$B88,DATA_GOC!$F:$F,"Xuất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8" s="61" t="str">
        <f>IF($B88="","",IF(N$4&gt;DAY(EOMONTH(DATE($D$2,$B$2,1),0)),"",SUMIFS(DATA_GOC!$H:$H,DATA_GOC!$A:$A,"BOM",DATA_GOC!$D:$D,$B88,DATA_GOC!$F:$F,"Xuất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8" s="61" t="str">
        <f>IF($B88="","",IF(O$4&gt;DAY(EOMONTH(DATE($D$2,$B$2,1),0)),"",SUMIFS(DATA_GOC!$H:$H,DATA_GOC!$A:$A,"BOM",DATA_GOC!$D:$D,$B88,DATA_GOC!$F:$F,"Xuất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8" s="61" t="str">
        <f>IF($B88="","",IF(P$4&gt;DAY(EOMONTH(DATE($D$2,$B$2,1),0)),"",SUMIFS(DATA_GOC!$H:$H,DATA_GOC!$A:$A,"BOM",DATA_GOC!$D:$D,$B88,DATA_GOC!$F:$F,"Xuất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8" s="61" t="str">
        <f>IF($B88="","",IF(Q$4&gt;DAY(EOMONTH(DATE($D$2,$B$2,1),0)),"",SUMIFS(DATA_GOC!$H:$H,DATA_GOC!$A:$A,"BOM",DATA_GOC!$D:$D,$B88,DATA_GOC!$F:$F,"Xuất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8" s="61" t="str">
        <f>IF($B88="","",IF(R$4&gt;DAY(EOMONTH(DATE($D$2,$B$2,1),0)),"",SUMIFS(DATA_GOC!$H:$H,DATA_GOC!$A:$A,"BOM",DATA_GOC!$D:$D,$B88,DATA_GOC!$F:$F,"Xuất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8" s="61" t="str">
        <f>IF($B88="","",IF(S$4&gt;DAY(EOMONTH(DATE($D$2,$B$2,1),0)),"",SUMIFS(DATA_GOC!$H:$H,DATA_GOC!$A:$A,"BOM",DATA_GOC!$D:$D,$B88,DATA_GOC!$F:$F,"Xuất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8" s="229" t="str">
        <f>IF($B88="","",IF(T$4&gt;DAY(EOMONTH(DATE($D$2,$B$2,1),0)),"",SUMIFS(DATA_GOC!$H:$H,DATA_GOC!$A:$A,"BOM",DATA_GOC!$D:$D,$B88,DATA_GOC!$F:$F,"Xuất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8" s="229" t="str">
        <f>IF($B88="","",IF(U$4&gt;DAY(EOMONTH(DATE($D$2,$B$2,1),0)),"",SUMIFS(DATA_GOC!$H:$H,DATA_GOC!$A:$A,"BOM",DATA_GOC!$D:$D,$B88,DATA_GOC!$F:$F,"Xuất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8" s="229" t="str">
        <f>IF($B88="","",IF(V$4&gt;DAY(EOMONTH(DATE($D$2,$B$2,1),0)),"",SUMIFS(DATA_GOC!$H:$H,DATA_GOC!$A:$A,"BOM",DATA_GOC!$D:$D,$B88,DATA_GOC!$F:$F,"Xuất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8" s="61" t="str">
        <f>IF($B88="","",IF(W$4&gt;DAY(EOMONTH(DATE($D$2,$B$2,1),0)),"",SUMIFS(DATA_GOC!$H:$H,DATA_GOC!$A:$A,"BOM",DATA_GOC!$D:$D,$B88,DATA_GOC!$F:$F,"Xuất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8" s="229" t="str">
        <f>IF($B88="","",IF(X$4&gt;DAY(EOMONTH(DATE($D$2,$B$2,1),0)),"",SUMIFS(DATA_GOC!$H:$H,DATA_GOC!$A:$A,"BOM",DATA_GOC!$D:$D,$B88,DATA_GOC!$F:$F,"Xuất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8" s="229" t="str">
        <f>IF($B88="","",IF(Y$4&gt;DAY(EOMONTH(DATE($D$2,$B$2,1),0)),"",SUMIFS(DATA_GOC!$H:$H,DATA_GOC!$A:$A,"BOM",DATA_GOC!$D:$D,$B88,DATA_GOC!$F:$F,"Xuất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8" s="229" t="str">
        <f>IF($B88="","",IF(Z$4&gt;DAY(EOMONTH(DATE($D$2,$B$2,1),0)),"",SUMIFS(DATA_GOC!$H:$H,DATA_GOC!$A:$A,"BOM",DATA_GOC!$D:$D,$B88,DATA_GOC!$F:$F,"Xuất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8" s="229" t="str">
        <f>IF($B88="","",IF(AA$4&gt;DAY(EOMONTH(DATE($D$2,$B$2,1),0)),"",SUMIFS(DATA_GOC!$H:$H,DATA_GOC!$A:$A,"BOM",DATA_GOC!$D:$D,$B88,DATA_GOC!$F:$F,"Xuất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8" s="229" t="str">
        <f>IF($B88="","",IF(AB$4&gt;DAY(EOMONTH(DATE($D$2,$B$2,1),0)),"",SUMIFS(DATA_GOC!$H:$H,DATA_GOC!$A:$A,"BOM",DATA_GOC!$D:$D,$B88,DATA_GOC!$F:$F,"Xuất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8" s="61" t="str">
        <f>IF($B88="","",IF(AC$4&gt;DAY(EOMONTH(DATE($D$2,$B$2,1),0)),"",SUMIFS(DATA_GOC!$H:$H,DATA_GOC!$A:$A,"BOM",DATA_GOC!$D:$D,$B88,DATA_GOC!$F:$F,"Xuất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8" s="222" t="str">
        <f>IF($B88="","",IF(AD$4&gt;DAY(EOMONTH(DATE($D$2,$B$2,1),0)),"",SUMIFS(DATA_GOC!$H:$H,DATA_GOC!$A:$A,"BOM",DATA_GOC!$D:$D,$B88,DATA_GOC!$F:$F,"Xuất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8" s="222" t="str">
        <f>IF($B88="","",IF(AE$4&gt;DAY(EOMONTH(DATE($D$2,$B$2,1),0)),"",SUMIFS(DATA_GOC!$H:$H,DATA_GOC!$A:$A,"BOM",DATA_GOC!$D:$D,$B88,DATA_GOC!$F:$F,"Xuất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8" s="222" t="str">
        <f>IF($B88="","",IF(AF$4&gt;DAY(EOMONTH(DATE($D$2,$B$2,1),0)),"",SUMIFS(DATA_GOC!$H:$H,DATA_GOC!$A:$A,"BOM",DATA_GOC!$D:$D,$B88,DATA_GOC!$F:$F,"Xuất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8" s="222" t="str">
        <f>IF($B88="","",IF(AG$4&gt;DAY(EOMONTH(DATE($D$2,$B$2,1),0)),"",SUMIFS(DATA_GOC!$H:$H,DATA_GOC!$A:$A,"BOM",DATA_GOC!$D:$D,$B88,DATA_GOC!$F:$F,"Xuất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8" s="222" t="str">
        <f t="shared" si="2"/>
        <v/>
      </c>
      <c r="AI88" s="222" t="str">
        <f>IF($B88="","",SUMIFS(DATA_GOC!$H:$H,DATA_GOC!$A:$A,"BOM",DATA_GOC!$D:$D,$B88,DATA_GOC!$F:$F,"Bơm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8" s="222" t="str">
        <f t="shared" si="3"/>
        <v/>
      </c>
      <c r="AM88" s="222" t="str">
        <f>IF($B88="","",SUMIFS(DATA_GOC!$K:$K,DATA_GOC!$A:$A,"BOM",DATA_GOC!$D:$D,$B88,DATA_GOC!$G:$G,"DO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8" s="222" t="str">
        <f t="shared" si="4"/>
        <v/>
      </c>
      <c r="AO88" s="227" t="str">
        <f t="shared" si="5"/>
        <v/>
      </c>
      <c r="AP88" s="226" t="str">
        <f>IF($B88="","",IFERROR(AO88-(SUMIFS(DATA_GOC!$H:$H,DATA_GOC!$A:$A,"BOM",DATA_GOC!$D:$D,$B88,DATA_GOC!$F:$F,"Xuất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8" s="59">
        <v>3.0</v>
      </c>
      <c r="AR88" s="59">
        <v>2026.0</v>
      </c>
      <c r="AS88" s="59" t="s">
        <v>158</v>
      </c>
      <c r="AT88" s="59">
        <v>590.153</v>
      </c>
      <c r="AU88" s="59">
        <v>0.0</v>
      </c>
      <c r="AV88" s="59">
        <v>590.153</v>
      </c>
      <c r="AW88" s="59">
        <v>1721.0</v>
      </c>
      <c r="AX88" s="59">
        <v>34.2912841371296</v>
      </c>
      <c r="AY88" s="59">
        <v>207.113</v>
      </c>
      <c r="AZ88" s="59">
        <v>383.04</v>
      </c>
      <c r="BA88" s="59">
        <v>12.113</v>
      </c>
      <c r="BB88" s="59">
        <v>0.0</v>
      </c>
      <c r="BC88" s="59" t="s">
        <v>443</v>
      </c>
    </row>
    <row r="89" ht="15.0" customHeight="1">
      <c r="A89" s="61" t="str">
        <f t="shared" si="1"/>
        <v/>
      </c>
      <c r="B89" s="228" t="str">
        <f t="array" ref="B89">IFERROR(INDEX(DANH_MUC!$E:$E,ROW()-1),"")</f>
        <v/>
      </c>
      <c r="C89" s="228" t="str">
        <f>IF($B89="","",IF(C$4&gt;DAY(EOMONTH(DATE($D$2,$B$2,1),0)),"",SUMIFS(DATA_GOC!$H:$H,DATA_GOC!$A:$A,"BOM",DATA_GOC!$D:$D,$B89,DATA_GOC!$F:$F,"Xuất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89" s="61" t="str">
        <f>IF($B89="","",IF(D$4&gt;DAY(EOMONTH(DATE($D$2,$B$2,1),0)),"",SUMIFS(DATA_GOC!$H:$H,DATA_GOC!$A:$A,"BOM",DATA_GOC!$D:$D,$B89,DATA_GOC!$F:$F,"Xuất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89" s="229" t="str">
        <f>IF($B89="","",IF(E$4&gt;DAY(EOMONTH(DATE($D$2,$B$2,1),0)),"",SUMIFS(DATA_GOC!$H:$H,DATA_GOC!$A:$A,"BOM",DATA_GOC!$D:$D,$B89,DATA_GOC!$F:$F,"Xuất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89" s="229" t="str">
        <f>IF($B89="","",IF(F$4&gt;DAY(EOMONTH(DATE($D$2,$B$2,1),0)),"",SUMIFS(DATA_GOC!$H:$H,DATA_GOC!$A:$A,"BOM",DATA_GOC!$D:$D,$B89,DATA_GOC!$F:$F,"Xuất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89" s="229" t="str">
        <f>IF($B89="","",IF(G$4&gt;DAY(EOMONTH(DATE($D$2,$B$2,1),0)),"",SUMIFS(DATA_GOC!$H:$H,DATA_GOC!$A:$A,"BOM",DATA_GOC!$D:$D,$B89,DATA_GOC!$F:$F,"Xuất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89" s="228" t="str">
        <f>IF($B89="","",IF(H$4&gt;DAY(EOMONTH(DATE($D$2,$B$2,1),0)),"",SUMIFS(DATA_GOC!$H:$H,DATA_GOC!$A:$A,"BOM",DATA_GOC!$D:$D,$B89,DATA_GOC!$F:$F,"Xuất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89" s="229" t="str">
        <f>IF($B89="","",IF(I$4&gt;DAY(EOMONTH(DATE($D$2,$B$2,1),0)),"",SUMIFS(DATA_GOC!$H:$H,DATA_GOC!$A:$A,"BOM",DATA_GOC!$D:$D,$B89,DATA_GOC!$F:$F,"Xuất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89" s="229" t="str">
        <f>IF($B89="","",IF(J$4&gt;DAY(EOMONTH(DATE($D$2,$B$2,1),0)),"",SUMIFS(DATA_GOC!$H:$H,DATA_GOC!$A:$A,"BOM",DATA_GOC!$D:$D,$B89,DATA_GOC!$F:$F,"Xuất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89" s="229" t="str">
        <f>IF($B89="","",IF(K$4&gt;DAY(EOMONTH(DATE($D$2,$B$2,1),0)),"",SUMIFS(DATA_GOC!$H:$H,DATA_GOC!$A:$A,"BOM",DATA_GOC!$D:$D,$B89,DATA_GOC!$F:$F,"Xuất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89" s="229" t="str">
        <f>IF($B89="","",IF(L$4&gt;DAY(EOMONTH(DATE($D$2,$B$2,1),0)),"",SUMIFS(DATA_GOC!$H:$H,DATA_GOC!$A:$A,"BOM",DATA_GOC!$D:$D,$B89,DATA_GOC!$F:$F,"Xuất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89" s="229" t="str">
        <f>IF($B89="","",IF(M$4&gt;DAY(EOMONTH(DATE($D$2,$B$2,1),0)),"",SUMIFS(DATA_GOC!$H:$H,DATA_GOC!$A:$A,"BOM",DATA_GOC!$D:$D,$B89,DATA_GOC!$F:$F,"Xuất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89" s="61" t="str">
        <f>IF($B89="","",IF(N$4&gt;DAY(EOMONTH(DATE($D$2,$B$2,1),0)),"",SUMIFS(DATA_GOC!$H:$H,DATA_GOC!$A:$A,"BOM",DATA_GOC!$D:$D,$B89,DATA_GOC!$F:$F,"Xuất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89" s="61" t="str">
        <f>IF($B89="","",IF(O$4&gt;DAY(EOMONTH(DATE($D$2,$B$2,1),0)),"",SUMIFS(DATA_GOC!$H:$H,DATA_GOC!$A:$A,"BOM",DATA_GOC!$D:$D,$B89,DATA_GOC!$F:$F,"Xuất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89" s="61" t="str">
        <f>IF($B89="","",IF(P$4&gt;DAY(EOMONTH(DATE($D$2,$B$2,1),0)),"",SUMIFS(DATA_GOC!$H:$H,DATA_GOC!$A:$A,"BOM",DATA_GOC!$D:$D,$B89,DATA_GOC!$F:$F,"Xuất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89" s="61" t="str">
        <f>IF($B89="","",IF(Q$4&gt;DAY(EOMONTH(DATE($D$2,$B$2,1),0)),"",SUMIFS(DATA_GOC!$H:$H,DATA_GOC!$A:$A,"BOM",DATA_GOC!$D:$D,$B89,DATA_GOC!$F:$F,"Xuất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89" s="61" t="str">
        <f>IF($B89="","",IF(R$4&gt;DAY(EOMONTH(DATE($D$2,$B$2,1),0)),"",SUMIFS(DATA_GOC!$H:$H,DATA_GOC!$A:$A,"BOM",DATA_GOC!$D:$D,$B89,DATA_GOC!$F:$F,"Xuất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89" s="61" t="str">
        <f>IF($B89="","",IF(S$4&gt;DAY(EOMONTH(DATE($D$2,$B$2,1),0)),"",SUMIFS(DATA_GOC!$H:$H,DATA_GOC!$A:$A,"BOM",DATA_GOC!$D:$D,$B89,DATA_GOC!$F:$F,"Xuất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89" s="229" t="str">
        <f>IF($B89="","",IF(T$4&gt;DAY(EOMONTH(DATE($D$2,$B$2,1),0)),"",SUMIFS(DATA_GOC!$H:$H,DATA_GOC!$A:$A,"BOM",DATA_GOC!$D:$D,$B89,DATA_GOC!$F:$F,"Xuất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89" s="229" t="str">
        <f>IF($B89="","",IF(U$4&gt;DAY(EOMONTH(DATE($D$2,$B$2,1),0)),"",SUMIFS(DATA_GOC!$H:$H,DATA_GOC!$A:$A,"BOM",DATA_GOC!$D:$D,$B89,DATA_GOC!$F:$F,"Xuất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89" s="229" t="str">
        <f>IF($B89="","",IF(V$4&gt;DAY(EOMONTH(DATE($D$2,$B$2,1),0)),"",SUMIFS(DATA_GOC!$H:$H,DATA_GOC!$A:$A,"BOM",DATA_GOC!$D:$D,$B89,DATA_GOC!$F:$F,"Xuất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89" s="61" t="str">
        <f>IF($B89="","",IF(W$4&gt;DAY(EOMONTH(DATE($D$2,$B$2,1),0)),"",SUMIFS(DATA_GOC!$H:$H,DATA_GOC!$A:$A,"BOM",DATA_GOC!$D:$D,$B89,DATA_GOC!$F:$F,"Xuất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89" s="229" t="str">
        <f>IF($B89="","",IF(X$4&gt;DAY(EOMONTH(DATE($D$2,$B$2,1),0)),"",SUMIFS(DATA_GOC!$H:$H,DATA_GOC!$A:$A,"BOM",DATA_GOC!$D:$D,$B89,DATA_GOC!$F:$F,"Xuất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89" s="229" t="str">
        <f>IF($B89="","",IF(Y$4&gt;DAY(EOMONTH(DATE($D$2,$B$2,1),0)),"",SUMIFS(DATA_GOC!$H:$H,DATA_GOC!$A:$A,"BOM",DATA_GOC!$D:$D,$B89,DATA_GOC!$F:$F,"Xuất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89" s="229" t="str">
        <f>IF($B89="","",IF(Z$4&gt;DAY(EOMONTH(DATE($D$2,$B$2,1),0)),"",SUMIFS(DATA_GOC!$H:$H,DATA_GOC!$A:$A,"BOM",DATA_GOC!$D:$D,$B89,DATA_GOC!$F:$F,"Xuất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89" s="229" t="str">
        <f>IF($B89="","",IF(AA$4&gt;DAY(EOMONTH(DATE($D$2,$B$2,1),0)),"",SUMIFS(DATA_GOC!$H:$H,DATA_GOC!$A:$A,"BOM",DATA_GOC!$D:$D,$B89,DATA_GOC!$F:$F,"Xuất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89" s="229" t="str">
        <f>IF($B89="","",IF(AB$4&gt;DAY(EOMONTH(DATE($D$2,$B$2,1),0)),"",SUMIFS(DATA_GOC!$H:$H,DATA_GOC!$A:$A,"BOM",DATA_GOC!$D:$D,$B89,DATA_GOC!$F:$F,"Xuất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89" s="61" t="str">
        <f>IF($B89="","",IF(AC$4&gt;DAY(EOMONTH(DATE($D$2,$B$2,1),0)),"",SUMIFS(DATA_GOC!$H:$H,DATA_GOC!$A:$A,"BOM",DATA_GOC!$D:$D,$B89,DATA_GOC!$F:$F,"Xuất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89" s="222" t="str">
        <f>IF($B89="","",IF(AD$4&gt;DAY(EOMONTH(DATE($D$2,$B$2,1),0)),"",SUMIFS(DATA_GOC!$H:$H,DATA_GOC!$A:$A,"BOM",DATA_GOC!$D:$D,$B89,DATA_GOC!$F:$F,"Xuất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89" s="222" t="str">
        <f>IF($B89="","",IF(AE$4&gt;DAY(EOMONTH(DATE($D$2,$B$2,1),0)),"",SUMIFS(DATA_GOC!$H:$H,DATA_GOC!$A:$A,"BOM",DATA_GOC!$D:$D,$B89,DATA_GOC!$F:$F,"Xuất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89" s="222" t="str">
        <f>IF($B89="","",IF(AF$4&gt;DAY(EOMONTH(DATE($D$2,$B$2,1),0)),"",SUMIFS(DATA_GOC!$H:$H,DATA_GOC!$A:$A,"BOM",DATA_GOC!$D:$D,$B89,DATA_GOC!$F:$F,"Xuất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89" s="222" t="str">
        <f>IF($B89="","",IF(AG$4&gt;DAY(EOMONTH(DATE($D$2,$B$2,1),0)),"",SUMIFS(DATA_GOC!$H:$H,DATA_GOC!$A:$A,"BOM",DATA_GOC!$D:$D,$B89,DATA_GOC!$F:$F,"Xuất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89" s="222" t="str">
        <f t="shared" si="2"/>
        <v/>
      </c>
      <c r="AI89" s="222" t="str">
        <f>IF($B89="","",SUMIFS(DATA_GOC!$H:$H,DATA_GOC!$A:$A,"BOM",DATA_GOC!$D:$D,$B89,DATA_GOC!$F:$F,"Bơm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89" s="222" t="str">
        <f t="shared" si="3"/>
        <v/>
      </c>
      <c r="AM89" s="222" t="str">
        <f>IF($B89="","",SUMIFS(DATA_GOC!$K:$K,DATA_GOC!$A:$A,"BOM",DATA_GOC!$D:$D,$B89,DATA_GOC!$G:$G,"DO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89" s="222" t="str">
        <f t="shared" si="4"/>
        <v/>
      </c>
      <c r="AO89" s="227" t="str">
        <f t="shared" si="5"/>
        <v/>
      </c>
      <c r="AP89" s="226" t="str">
        <f>IF($B89="","",IFERROR(AO89-(SUMIFS(DATA_GOC!$H:$H,DATA_GOC!$A:$A,"BOM",DATA_GOC!$D:$D,$B89,DATA_GOC!$F:$F,"Xuất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số",DATA_GOC!$B:$B,"&gt;="&amp;EDATE(DATE($D$2,$B$2,1),-1),DATA_GOC!$B:$B,"&lt;"&amp;DATE($D$2,$B$2,1))/SUMIFS(DATA_GOC!$K:$K,DATA_GOC!$A:$A,"BOM",DATA_GOC!$D:$D,$B89,DATA_GOC!$G:$G,"DO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89" s="59">
        <v>3.0</v>
      </c>
      <c r="AR89" s="59">
        <v>2026.0</v>
      </c>
      <c r="AS89" s="59" t="s">
        <v>130</v>
      </c>
      <c r="AT89" s="59">
        <v>877.709</v>
      </c>
      <c r="AU89" s="59">
        <v>0.0</v>
      </c>
      <c r="AV89" s="59">
        <v>877.709</v>
      </c>
      <c r="AY89" s="59">
        <v>324.836</v>
      </c>
      <c r="AZ89" s="59">
        <v>552.873</v>
      </c>
      <c r="BA89" s="59">
        <v>15.836</v>
      </c>
      <c r="BB89" s="59">
        <v>0.0</v>
      </c>
      <c r="BC89" s="59" t="s">
        <v>444</v>
      </c>
    </row>
    <row r="90" ht="15.0" customHeight="1">
      <c r="A90" s="61" t="str">
        <f t="shared" si="1"/>
        <v/>
      </c>
      <c r="B90" s="228" t="str">
        <f t="array" ref="B90">IFERROR(INDEX(DANH_MUC!$E:$E,ROW()-1),"")</f>
        <v/>
      </c>
      <c r="C90" s="228" t="str">
        <f>IF($B90="","",IF(C$4&gt;DAY(EOMONTH(DATE($D$2,$B$2,1),0)),"",SUMIFS(DATA_GOC!$H:$H,DATA_GOC!$A:$A,"BOM",DATA_GOC!$D:$D,$B90,DATA_GOC!$F:$F,"Xuất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0" s="61" t="str">
        <f>IF($B90="","",IF(D$4&gt;DAY(EOMONTH(DATE($D$2,$B$2,1),0)),"",SUMIFS(DATA_GOC!$H:$H,DATA_GOC!$A:$A,"BOM",DATA_GOC!$D:$D,$B90,DATA_GOC!$F:$F,"Xuất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0" s="229" t="str">
        <f>IF($B90="","",IF(E$4&gt;DAY(EOMONTH(DATE($D$2,$B$2,1),0)),"",SUMIFS(DATA_GOC!$H:$H,DATA_GOC!$A:$A,"BOM",DATA_GOC!$D:$D,$B90,DATA_GOC!$F:$F,"Xuất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0" s="229" t="str">
        <f>IF($B90="","",IF(F$4&gt;DAY(EOMONTH(DATE($D$2,$B$2,1),0)),"",SUMIFS(DATA_GOC!$H:$H,DATA_GOC!$A:$A,"BOM",DATA_GOC!$D:$D,$B90,DATA_GOC!$F:$F,"Xuất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0" s="229" t="str">
        <f>IF($B90="","",IF(G$4&gt;DAY(EOMONTH(DATE($D$2,$B$2,1),0)),"",SUMIFS(DATA_GOC!$H:$H,DATA_GOC!$A:$A,"BOM",DATA_GOC!$D:$D,$B90,DATA_GOC!$F:$F,"Xuất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0" s="228" t="str">
        <f>IF($B90="","",IF(H$4&gt;DAY(EOMONTH(DATE($D$2,$B$2,1),0)),"",SUMIFS(DATA_GOC!$H:$H,DATA_GOC!$A:$A,"BOM",DATA_GOC!$D:$D,$B90,DATA_GOC!$F:$F,"Xuất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0" s="229" t="str">
        <f>IF($B90="","",IF(I$4&gt;DAY(EOMONTH(DATE($D$2,$B$2,1),0)),"",SUMIFS(DATA_GOC!$H:$H,DATA_GOC!$A:$A,"BOM",DATA_GOC!$D:$D,$B90,DATA_GOC!$F:$F,"Xuất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0" s="229" t="str">
        <f>IF($B90="","",IF(J$4&gt;DAY(EOMONTH(DATE($D$2,$B$2,1),0)),"",SUMIFS(DATA_GOC!$H:$H,DATA_GOC!$A:$A,"BOM",DATA_GOC!$D:$D,$B90,DATA_GOC!$F:$F,"Xuất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0" s="229" t="str">
        <f>IF($B90="","",IF(K$4&gt;DAY(EOMONTH(DATE($D$2,$B$2,1),0)),"",SUMIFS(DATA_GOC!$H:$H,DATA_GOC!$A:$A,"BOM",DATA_GOC!$D:$D,$B90,DATA_GOC!$F:$F,"Xuất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0" s="229" t="str">
        <f>IF($B90="","",IF(L$4&gt;DAY(EOMONTH(DATE($D$2,$B$2,1),0)),"",SUMIFS(DATA_GOC!$H:$H,DATA_GOC!$A:$A,"BOM",DATA_GOC!$D:$D,$B90,DATA_GOC!$F:$F,"Xuất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0" s="229" t="str">
        <f>IF($B90="","",IF(M$4&gt;DAY(EOMONTH(DATE($D$2,$B$2,1),0)),"",SUMIFS(DATA_GOC!$H:$H,DATA_GOC!$A:$A,"BOM",DATA_GOC!$D:$D,$B90,DATA_GOC!$F:$F,"Xuất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0" s="61" t="str">
        <f>IF($B90="","",IF(N$4&gt;DAY(EOMONTH(DATE($D$2,$B$2,1),0)),"",SUMIFS(DATA_GOC!$H:$H,DATA_GOC!$A:$A,"BOM",DATA_GOC!$D:$D,$B90,DATA_GOC!$F:$F,"Xuất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0" s="61" t="str">
        <f>IF($B90="","",IF(O$4&gt;DAY(EOMONTH(DATE($D$2,$B$2,1),0)),"",SUMIFS(DATA_GOC!$H:$H,DATA_GOC!$A:$A,"BOM",DATA_GOC!$D:$D,$B90,DATA_GOC!$F:$F,"Xuất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0" s="61" t="str">
        <f>IF($B90="","",IF(P$4&gt;DAY(EOMONTH(DATE($D$2,$B$2,1),0)),"",SUMIFS(DATA_GOC!$H:$H,DATA_GOC!$A:$A,"BOM",DATA_GOC!$D:$D,$B90,DATA_GOC!$F:$F,"Xuất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0" s="61" t="str">
        <f>IF($B90="","",IF(Q$4&gt;DAY(EOMONTH(DATE($D$2,$B$2,1),0)),"",SUMIFS(DATA_GOC!$H:$H,DATA_GOC!$A:$A,"BOM",DATA_GOC!$D:$D,$B90,DATA_GOC!$F:$F,"Xuất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0" s="61" t="str">
        <f>IF($B90="","",IF(R$4&gt;DAY(EOMONTH(DATE($D$2,$B$2,1),0)),"",SUMIFS(DATA_GOC!$H:$H,DATA_GOC!$A:$A,"BOM",DATA_GOC!$D:$D,$B90,DATA_GOC!$F:$F,"Xuất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0" s="61" t="str">
        <f>IF($B90="","",IF(S$4&gt;DAY(EOMONTH(DATE($D$2,$B$2,1),0)),"",SUMIFS(DATA_GOC!$H:$H,DATA_GOC!$A:$A,"BOM",DATA_GOC!$D:$D,$B90,DATA_GOC!$F:$F,"Xuất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0" s="229" t="str">
        <f>IF($B90="","",IF(T$4&gt;DAY(EOMONTH(DATE($D$2,$B$2,1),0)),"",SUMIFS(DATA_GOC!$H:$H,DATA_GOC!$A:$A,"BOM",DATA_GOC!$D:$D,$B90,DATA_GOC!$F:$F,"Xuất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0" s="229" t="str">
        <f>IF($B90="","",IF(U$4&gt;DAY(EOMONTH(DATE($D$2,$B$2,1),0)),"",SUMIFS(DATA_GOC!$H:$H,DATA_GOC!$A:$A,"BOM",DATA_GOC!$D:$D,$B90,DATA_GOC!$F:$F,"Xuất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0" s="229" t="str">
        <f>IF($B90="","",IF(V$4&gt;DAY(EOMONTH(DATE($D$2,$B$2,1),0)),"",SUMIFS(DATA_GOC!$H:$H,DATA_GOC!$A:$A,"BOM",DATA_GOC!$D:$D,$B90,DATA_GOC!$F:$F,"Xuất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0" s="61" t="str">
        <f>IF($B90="","",IF(W$4&gt;DAY(EOMONTH(DATE($D$2,$B$2,1),0)),"",SUMIFS(DATA_GOC!$H:$H,DATA_GOC!$A:$A,"BOM",DATA_GOC!$D:$D,$B90,DATA_GOC!$F:$F,"Xuất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0" s="229" t="str">
        <f>IF($B90="","",IF(X$4&gt;DAY(EOMONTH(DATE($D$2,$B$2,1),0)),"",SUMIFS(DATA_GOC!$H:$H,DATA_GOC!$A:$A,"BOM",DATA_GOC!$D:$D,$B90,DATA_GOC!$F:$F,"Xuất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0" s="229" t="str">
        <f>IF($B90="","",IF(Y$4&gt;DAY(EOMONTH(DATE($D$2,$B$2,1),0)),"",SUMIFS(DATA_GOC!$H:$H,DATA_GOC!$A:$A,"BOM",DATA_GOC!$D:$D,$B90,DATA_GOC!$F:$F,"Xuất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0" s="229" t="str">
        <f>IF($B90="","",IF(Z$4&gt;DAY(EOMONTH(DATE($D$2,$B$2,1),0)),"",SUMIFS(DATA_GOC!$H:$H,DATA_GOC!$A:$A,"BOM",DATA_GOC!$D:$D,$B90,DATA_GOC!$F:$F,"Xuất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0" s="229" t="str">
        <f>IF($B90="","",IF(AA$4&gt;DAY(EOMONTH(DATE($D$2,$B$2,1),0)),"",SUMIFS(DATA_GOC!$H:$H,DATA_GOC!$A:$A,"BOM",DATA_GOC!$D:$D,$B90,DATA_GOC!$F:$F,"Xuất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0" s="229" t="str">
        <f>IF($B90="","",IF(AB$4&gt;DAY(EOMONTH(DATE($D$2,$B$2,1),0)),"",SUMIFS(DATA_GOC!$H:$H,DATA_GOC!$A:$A,"BOM",DATA_GOC!$D:$D,$B90,DATA_GOC!$F:$F,"Xuất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0" s="61" t="str">
        <f>IF($B90="","",IF(AC$4&gt;DAY(EOMONTH(DATE($D$2,$B$2,1),0)),"",SUMIFS(DATA_GOC!$H:$H,DATA_GOC!$A:$A,"BOM",DATA_GOC!$D:$D,$B90,DATA_GOC!$F:$F,"Xuất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0" s="222" t="str">
        <f>IF($B90="","",IF(AD$4&gt;DAY(EOMONTH(DATE($D$2,$B$2,1),0)),"",SUMIFS(DATA_GOC!$H:$H,DATA_GOC!$A:$A,"BOM",DATA_GOC!$D:$D,$B90,DATA_GOC!$F:$F,"Xuất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0" s="222" t="str">
        <f>IF($B90="","",IF(AE$4&gt;DAY(EOMONTH(DATE($D$2,$B$2,1),0)),"",SUMIFS(DATA_GOC!$H:$H,DATA_GOC!$A:$A,"BOM",DATA_GOC!$D:$D,$B90,DATA_GOC!$F:$F,"Xuất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0" s="222" t="str">
        <f>IF($B90="","",IF(AF$4&gt;DAY(EOMONTH(DATE($D$2,$B$2,1),0)),"",SUMIFS(DATA_GOC!$H:$H,DATA_GOC!$A:$A,"BOM",DATA_GOC!$D:$D,$B90,DATA_GOC!$F:$F,"Xuất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0" s="222" t="str">
        <f>IF($B90="","",IF(AG$4&gt;DAY(EOMONTH(DATE($D$2,$B$2,1),0)),"",SUMIFS(DATA_GOC!$H:$H,DATA_GOC!$A:$A,"BOM",DATA_GOC!$D:$D,$B90,DATA_GOC!$F:$F,"Xuất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0" s="222" t="str">
        <f t="shared" si="2"/>
        <v/>
      </c>
      <c r="AI90" s="222" t="str">
        <f>IF($B90="","",SUMIFS(DATA_GOC!$H:$H,DATA_GOC!$A:$A,"BOM",DATA_GOC!$D:$D,$B90,DATA_GOC!$F:$F,"Bơm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0" s="222" t="str">
        <f t="shared" si="3"/>
        <v/>
      </c>
      <c r="AM90" s="222" t="str">
        <f>IF($B90="","",SUMIFS(DATA_GOC!$K:$K,DATA_GOC!$A:$A,"BOM",DATA_GOC!$D:$D,$B90,DATA_GOC!$G:$G,"DO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0" s="222" t="str">
        <f t="shared" si="4"/>
        <v/>
      </c>
      <c r="AO90" s="227" t="str">
        <f t="shared" si="5"/>
        <v/>
      </c>
      <c r="AP90" s="226" t="str">
        <f>IF($B90="","",IFERROR(AO90-(SUMIFS(DATA_GOC!$H:$H,DATA_GOC!$A:$A,"BOM",DATA_GOC!$D:$D,$B90,DATA_GOC!$F:$F,"Xuất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0" s="59">
        <v>3.0</v>
      </c>
      <c r="AR90" s="59">
        <v>2026.0</v>
      </c>
      <c r="AS90" s="59" t="s">
        <v>126</v>
      </c>
      <c r="AT90" s="59">
        <v>805.935</v>
      </c>
      <c r="AU90" s="59">
        <v>0.0</v>
      </c>
      <c r="AV90" s="59">
        <v>805.935</v>
      </c>
      <c r="AW90" s="59">
        <v>1270.0</v>
      </c>
      <c r="AX90" s="59">
        <v>63.4594488188976</v>
      </c>
      <c r="AY90" s="59">
        <v>408.981</v>
      </c>
      <c r="AZ90" s="59">
        <v>396.954</v>
      </c>
      <c r="BA90" s="59">
        <v>16.981</v>
      </c>
      <c r="BB90" s="59">
        <v>0.0</v>
      </c>
      <c r="BC90" s="59" t="s">
        <v>445</v>
      </c>
    </row>
    <row r="91" ht="15.0" customHeight="1">
      <c r="A91" s="61" t="str">
        <f t="shared" si="1"/>
        <v/>
      </c>
      <c r="B91" s="228" t="str">
        <f t="array" ref="B91">IFERROR(INDEX(DANH_MUC!$E:$E,ROW()-1),"")</f>
        <v/>
      </c>
      <c r="C91" s="228" t="str">
        <f>IF($B91="","",IF(C$4&gt;DAY(EOMONTH(DATE($D$2,$B$2,1),0)),"",SUMIFS(DATA_GOC!$H:$H,DATA_GOC!$A:$A,"BOM",DATA_GOC!$D:$D,$B91,DATA_GOC!$F:$F,"Xuất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1" s="61" t="str">
        <f>IF($B91="","",IF(D$4&gt;DAY(EOMONTH(DATE($D$2,$B$2,1),0)),"",SUMIFS(DATA_GOC!$H:$H,DATA_GOC!$A:$A,"BOM",DATA_GOC!$D:$D,$B91,DATA_GOC!$F:$F,"Xuất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1" s="229" t="str">
        <f>IF($B91="","",IF(E$4&gt;DAY(EOMONTH(DATE($D$2,$B$2,1),0)),"",SUMIFS(DATA_GOC!$H:$H,DATA_GOC!$A:$A,"BOM",DATA_GOC!$D:$D,$B91,DATA_GOC!$F:$F,"Xuất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1" s="229" t="str">
        <f>IF($B91="","",IF(F$4&gt;DAY(EOMONTH(DATE($D$2,$B$2,1),0)),"",SUMIFS(DATA_GOC!$H:$H,DATA_GOC!$A:$A,"BOM",DATA_GOC!$D:$D,$B91,DATA_GOC!$F:$F,"Xuất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1" s="229" t="str">
        <f>IF($B91="","",IF(G$4&gt;DAY(EOMONTH(DATE($D$2,$B$2,1),0)),"",SUMIFS(DATA_GOC!$H:$H,DATA_GOC!$A:$A,"BOM",DATA_GOC!$D:$D,$B91,DATA_GOC!$F:$F,"Xuất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1" s="228" t="str">
        <f>IF($B91="","",IF(H$4&gt;DAY(EOMONTH(DATE($D$2,$B$2,1),0)),"",SUMIFS(DATA_GOC!$H:$H,DATA_GOC!$A:$A,"BOM",DATA_GOC!$D:$D,$B91,DATA_GOC!$F:$F,"Xuất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1" s="229" t="str">
        <f>IF($B91="","",IF(I$4&gt;DAY(EOMONTH(DATE($D$2,$B$2,1),0)),"",SUMIFS(DATA_GOC!$H:$H,DATA_GOC!$A:$A,"BOM",DATA_GOC!$D:$D,$B91,DATA_GOC!$F:$F,"Xuất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1" s="229" t="str">
        <f>IF($B91="","",IF(J$4&gt;DAY(EOMONTH(DATE($D$2,$B$2,1),0)),"",SUMIFS(DATA_GOC!$H:$H,DATA_GOC!$A:$A,"BOM",DATA_GOC!$D:$D,$B91,DATA_GOC!$F:$F,"Xuất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1" s="229" t="str">
        <f>IF($B91="","",IF(K$4&gt;DAY(EOMONTH(DATE($D$2,$B$2,1),0)),"",SUMIFS(DATA_GOC!$H:$H,DATA_GOC!$A:$A,"BOM",DATA_GOC!$D:$D,$B91,DATA_GOC!$F:$F,"Xuất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1" s="229" t="str">
        <f>IF($B91="","",IF(L$4&gt;DAY(EOMONTH(DATE($D$2,$B$2,1),0)),"",SUMIFS(DATA_GOC!$H:$H,DATA_GOC!$A:$A,"BOM",DATA_GOC!$D:$D,$B91,DATA_GOC!$F:$F,"Xuất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1" s="229" t="str">
        <f>IF($B91="","",IF(M$4&gt;DAY(EOMONTH(DATE($D$2,$B$2,1),0)),"",SUMIFS(DATA_GOC!$H:$H,DATA_GOC!$A:$A,"BOM",DATA_GOC!$D:$D,$B91,DATA_GOC!$F:$F,"Xuất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1" s="61" t="str">
        <f>IF($B91="","",IF(N$4&gt;DAY(EOMONTH(DATE($D$2,$B$2,1),0)),"",SUMIFS(DATA_GOC!$H:$H,DATA_GOC!$A:$A,"BOM",DATA_GOC!$D:$D,$B91,DATA_GOC!$F:$F,"Xuất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1" s="61" t="str">
        <f>IF($B91="","",IF(O$4&gt;DAY(EOMONTH(DATE($D$2,$B$2,1),0)),"",SUMIFS(DATA_GOC!$H:$H,DATA_GOC!$A:$A,"BOM",DATA_GOC!$D:$D,$B91,DATA_GOC!$F:$F,"Xuất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1" s="61" t="str">
        <f>IF($B91="","",IF(P$4&gt;DAY(EOMONTH(DATE($D$2,$B$2,1),0)),"",SUMIFS(DATA_GOC!$H:$H,DATA_GOC!$A:$A,"BOM",DATA_GOC!$D:$D,$B91,DATA_GOC!$F:$F,"Xuất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1" s="61" t="str">
        <f>IF($B91="","",IF(Q$4&gt;DAY(EOMONTH(DATE($D$2,$B$2,1),0)),"",SUMIFS(DATA_GOC!$H:$H,DATA_GOC!$A:$A,"BOM",DATA_GOC!$D:$D,$B91,DATA_GOC!$F:$F,"Xuất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1" s="61" t="str">
        <f>IF($B91="","",IF(R$4&gt;DAY(EOMONTH(DATE($D$2,$B$2,1),0)),"",SUMIFS(DATA_GOC!$H:$H,DATA_GOC!$A:$A,"BOM",DATA_GOC!$D:$D,$B91,DATA_GOC!$F:$F,"Xuất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1" s="61" t="str">
        <f>IF($B91="","",IF(S$4&gt;DAY(EOMONTH(DATE($D$2,$B$2,1),0)),"",SUMIFS(DATA_GOC!$H:$H,DATA_GOC!$A:$A,"BOM",DATA_GOC!$D:$D,$B91,DATA_GOC!$F:$F,"Xuất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1" s="229" t="str">
        <f>IF($B91="","",IF(T$4&gt;DAY(EOMONTH(DATE($D$2,$B$2,1),0)),"",SUMIFS(DATA_GOC!$H:$H,DATA_GOC!$A:$A,"BOM",DATA_GOC!$D:$D,$B91,DATA_GOC!$F:$F,"Xuất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1" s="229" t="str">
        <f>IF($B91="","",IF(U$4&gt;DAY(EOMONTH(DATE($D$2,$B$2,1),0)),"",SUMIFS(DATA_GOC!$H:$H,DATA_GOC!$A:$A,"BOM",DATA_GOC!$D:$D,$B91,DATA_GOC!$F:$F,"Xuất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1" s="229" t="str">
        <f>IF($B91="","",IF(V$4&gt;DAY(EOMONTH(DATE($D$2,$B$2,1),0)),"",SUMIFS(DATA_GOC!$H:$H,DATA_GOC!$A:$A,"BOM",DATA_GOC!$D:$D,$B91,DATA_GOC!$F:$F,"Xuất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1" s="61" t="str">
        <f>IF($B91="","",IF(W$4&gt;DAY(EOMONTH(DATE($D$2,$B$2,1),0)),"",SUMIFS(DATA_GOC!$H:$H,DATA_GOC!$A:$A,"BOM",DATA_GOC!$D:$D,$B91,DATA_GOC!$F:$F,"Xuất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1" s="229" t="str">
        <f>IF($B91="","",IF(X$4&gt;DAY(EOMONTH(DATE($D$2,$B$2,1),0)),"",SUMIFS(DATA_GOC!$H:$H,DATA_GOC!$A:$A,"BOM",DATA_GOC!$D:$D,$B91,DATA_GOC!$F:$F,"Xuất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1" s="229" t="str">
        <f>IF($B91="","",IF(Y$4&gt;DAY(EOMONTH(DATE($D$2,$B$2,1),0)),"",SUMIFS(DATA_GOC!$H:$H,DATA_GOC!$A:$A,"BOM",DATA_GOC!$D:$D,$B91,DATA_GOC!$F:$F,"Xuất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1" s="229" t="str">
        <f>IF($B91="","",IF(Z$4&gt;DAY(EOMONTH(DATE($D$2,$B$2,1),0)),"",SUMIFS(DATA_GOC!$H:$H,DATA_GOC!$A:$A,"BOM",DATA_GOC!$D:$D,$B91,DATA_GOC!$F:$F,"Xuất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1" s="229" t="str">
        <f>IF($B91="","",IF(AA$4&gt;DAY(EOMONTH(DATE($D$2,$B$2,1),0)),"",SUMIFS(DATA_GOC!$H:$H,DATA_GOC!$A:$A,"BOM",DATA_GOC!$D:$D,$B91,DATA_GOC!$F:$F,"Xuất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1" s="229" t="str">
        <f>IF($B91="","",IF(AB$4&gt;DAY(EOMONTH(DATE($D$2,$B$2,1),0)),"",SUMIFS(DATA_GOC!$H:$H,DATA_GOC!$A:$A,"BOM",DATA_GOC!$D:$D,$B91,DATA_GOC!$F:$F,"Xuất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1" s="61" t="str">
        <f>IF($B91="","",IF(AC$4&gt;DAY(EOMONTH(DATE($D$2,$B$2,1),0)),"",SUMIFS(DATA_GOC!$H:$H,DATA_GOC!$A:$A,"BOM",DATA_GOC!$D:$D,$B91,DATA_GOC!$F:$F,"Xuất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1" s="222" t="str">
        <f>IF($B91="","",IF(AD$4&gt;DAY(EOMONTH(DATE($D$2,$B$2,1),0)),"",SUMIFS(DATA_GOC!$H:$H,DATA_GOC!$A:$A,"BOM",DATA_GOC!$D:$D,$B91,DATA_GOC!$F:$F,"Xuất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1" s="222" t="str">
        <f>IF($B91="","",IF(AE$4&gt;DAY(EOMONTH(DATE($D$2,$B$2,1),0)),"",SUMIFS(DATA_GOC!$H:$H,DATA_GOC!$A:$A,"BOM",DATA_GOC!$D:$D,$B91,DATA_GOC!$F:$F,"Xuất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1" s="222" t="str">
        <f>IF($B91="","",IF(AF$4&gt;DAY(EOMONTH(DATE($D$2,$B$2,1),0)),"",SUMIFS(DATA_GOC!$H:$H,DATA_GOC!$A:$A,"BOM",DATA_GOC!$D:$D,$B91,DATA_GOC!$F:$F,"Xuất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1" s="222" t="str">
        <f>IF($B91="","",IF(AG$4&gt;DAY(EOMONTH(DATE($D$2,$B$2,1),0)),"",SUMIFS(DATA_GOC!$H:$H,DATA_GOC!$A:$A,"BOM",DATA_GOC!$D:$D,$B91,DATA_GOC!$F:$F,"Xuất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1" s="222" t="str">
        <f t="shared" si="2"/>
        <v/>
      </c>
      <c r="AI91" s="222" t="str">
        <f>IF($B91="","",SUMIFS(DATA_GOC!$H:$H,DATA_GOC!$A:$A,"BOM",DATA_GOC!$D:$D,$B91,DATA_GOC!$F:$F,"Bơm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1" s="222" t="str">
        <f t="shared" si="3"/>
        <v/>
      </c>
      <c r="AM91" s="222" t="str">
        <f>IF($B91="","",SUMIFS(DATA_GOC!$K:$K,DATA_GOC!$A:$A,"BOM",DATA_GOC!$D:$D,$B91,DATA_GOC!$G:$G,"DO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1" s="222" t="str">
        <f t="shared" si="4"/>
        <v/>
      </c>
      <c r="AO91" s="227" t="str">
        <f t="shared" si="5"/>
        <v/>
      </c>
      <c r="AP91" s="226" t="str">
        <f>IF($B91="","",IFERROR(AO91-(SUMIFS(DATA_GOC!$H:$H,DATA_GOC!$A:$A,"BOM",DATA_GOC!$D:$D,$B91,DATA_GOC!$F:$F,"Xuất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1" s="59">
        <v>3.0</v>
      </c>
      <c r="AR91" s="59">
        <v>2026.0</v>
      </c>
      <c r="AS91" s="59" t="s">
        <v>88</v>
      </c>
      <c r="AT91" s="59">
        <v>4101.086</v>
      </c>
      <c r="AU91" s="59">
        <v>270.0</v>
      </c>
      <c r="AV91" s="59">
        <v>4371.086</v>
      </c>
      <c r="AW91" s="59">
        <v>9275.0</v>
      </c>
      <c r="AX91" s="59">
        <v>47.1276118598383</v>
      </c>
      <c r="AY91" s="59">
        <v>1496.93</v>
      </c>
      <c r="AZ91" s="59">
        <v>2874.156</v>
      </c>
      <c r="BA91" s="59">
        <v>49.93</v>
      </c>
      <c r="BB91" s="59">
        <v>0.0</v>
      </c>
      <c r="BC91" s="59" t="s">
        <v>446</v>
      </c>
    </row>
    <row r="92" ht="15.0" customHeight="1">
      <c r="A92" s="61" t="str">
        <f t="shared" si="1"/>
        <v/>
      </c>
      <c r="B92" s="228" t="str">
        <f t="array" ref="B92">IFERROR(INDEX(DANH_MUC!$E:$E,ROW()-1),"")</f>
        <v/>
      </c>
      <c r="C92" s="228" t="str">
        <f>IF($B92="","",IF(C$4&gt;DAY(EOMONTH(DATE($D$2,$B$2,1),0)),"",SUMIFS(DATA_GOC!$H:$H,DATA_GOC!$A:$A,"BOM",DATA_GOC!$D:$D,$B92,DATA_GOC!$F:$F,"Xuất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2" s="61" t="str">
        <f>IF($B92="","",IF(D$4&gt;DAY(EOMONTH(DATE($D$2,$B$2,1),0)),"",SUMIFS(DATA_GOC!$H:$H,DATA_GOC!$A:$A,"BOM",DATA_GOC!$D:$D,$B92,DATA_GOC!$F:$F,"Xuất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2" s="229" t="str">
        <f>IF($B92="","",IF(E$4&gt;DAY(EOMONTH(DATE($D$2,$B$2,1),0)),"",SUMIFS(DATA_GOC!$H:$H,DATA_GOC!$A:$A,"BOM",DATA_GOC!$D:$D,$B92,DATA_GOC!$F:$F,"Xuất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2" s="229" t="str">
        <f>IF($B92="","",IF(F$4&gt;DAY(EOMONTH(DATE($D$2,$B$2,1),0)),"",SUMIFS(DATA_GOC!$H:$H,DATA_GOC!$A:$A,"BOM",DATA_GOC!$D:$D,$B92,DATA_GOC!$F:$F,"Xuất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2" s="229" t="str">
        <f>IF($B92="","",IF(G$4&gt;DAY(EOMONTH(DATE($D$2,$B$2,1),0)),"",SUMIFS(DATA_GOC!$H:$H,DATA_GOC!$A:$A,"BOM",DATA_GOC!$D:$D,$B92,DATA_GOC!$F:$F,"Xuất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2" s="228" t="str">
        <f>IF($B92="","",IF(H$4&gt;DAY(EOMONTH(DATE($D$2,$B$2,1),0)),"",SUMIFS(DATA_GOC!$H:$H,DATA_GOC!$A:$A,"BOM",DATA_GOC!$D:$D,$B92,DATA_GOC!$F:$F,"Xuất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2" s="229" t="str">
        <f>IF($B92="","",IF(I$4&gt;DAY(EOMONTH(DATE($D$2,$B$2,1),0)),"",SUMIFS(DATA_GOC!$H:$H,DATA_GOC!$A:$A,"BOM",DATA_GOC!$D:$D,$B92,DATA_GOC!$F:$F,"Xuất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2" s="229" t="str">
        <f>IF($B92="","",IF(J$4&gt;DAY(EOMONTH(DATE($D$2,$B$2,1),0)),"",SUMIFS(DATA_GOC!$H:$H,DATA_GOC!$A:$A,"BOM",DATA_GOC!$D:$D,$B92,DATA_GOC!$F:$F,"Xuất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2" s="229" t="str">
        <f>IF($B92="","",IF(K$4&gt;DAY(EOMONTH(DATE($D$2,$B$2,1),0)),"",SUMIFS(DATA_GOC!$H:$H,DATA_GOC!$A:$A,"BOM",DATA_GOC!$D:$D,$B92,DATA_GOC!$F:$F,"Xuất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2" s="229" t="str">
        <f>IF($B92="","",IF(L$4&gt;DAY(EOMONTH(DATE($D$2,$B$2,1),0)),"",SUMIFS(DATA_GOC!$H:$H,DATA_GOC!$A:$A,"BOM",DATA_GOC!$D:$D,$B92,DATA_GOC!$F:$F,"Xuất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2" s="229" t="str">
        <f>IF($B92="","",IF(M$4&gt;DAY(EOMONTH(DATE($D$2,$B$2,1),0)),"",SUMIFS(DATA_GOC!$H:$H,DATA_GOC!$A:$A,"BOM",DATA_GOC!$D:$D,$B92,DATA_GOC!$F:$F,"Xuất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2" s="61" t="str">
        <f>IF($B92="","",IF(N$4&gt;DAY(EOMONTH(DATE($D$2,$B$2,1),0)),"",SUMIFS(DATA_GOC!$H:$H,DATA_GOC!$A:$A,"BOM",DATA_GOC!$D:$D,$B92,DATA_GOC!$F:$F,"Xuất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2" s="61" t="str">
        <f>IF($B92="","",IF(O$4&gt;DAY(EOMONTH(DATE($D$2,$B$2,1),0)),"",SUMIFS(DATA_GOC!$H:$H,DATA_GOC!$A:$A,"BOM",DATA_GOC!$D:$D,$B92,DATA_GOC!$F:$F,"Xuất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2" s="61" t="str">
        <f>IF($B92="","",IF(P$4&gt;DAY(EOMONTH(DATE($D$2,$B$2,1),0)),"",SUMIFS(DATA_GOC!$H:$H,DATA_GOC!$A:$A,"BOM",DATA_GOC!$D:$D,$B92,DATA_GOC!$F:$F,"Xuất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2" s="61" t="str">
        <f>IF($B92="","",IF(Q$4&gt;DAY(EOMONTH(DATE($D$2,$B$2,1),0)),"",SUMIFS(DATA_GOC!$H:$H,DATA_GOC!$A:$A,"BOM",DATA_GOC!$D:$D,$B92,DATA_GOC!$F:$F,"Xuất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2" s="61" t="str">
        <f>IF($B92="","",IF(R$4&gt;DAY(EOMONTH(DATE($D$2,$B$2,1),0)),"",SUMIFS(DATA_GOC!$H:$H,DATA_GOC!$A:$A,"BOM",DATA_GOC!$D:$D,$B92,DATA_GOC!$F:$F,"Xuất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2" s="61" t="str">
        <f>IF($B92="","",IF(S$4&gt;DAY(EOMONTH(DATE($D$2,$B$2,1),0)),"",SUMIFS(DATA_GOC!$H:$H,DATA_GOC!$A:$A,"BOM",DATA_GOC!$D:$D,$B92,DATA_GOC!$F:$F,"Xuất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2" s="229" t="str">
        <f>IF($B92="","",IF(T$4&gt;DAY(EOMONTH(DATE($D$2,$B$2,1),0)),"",SUMIFS(DATA_GOC!$H:$H,DATA_GOC!$A:$A,"BOM",DATA_GOC!$D:$D,$B92,DATA_GOC!$F:$F,"Xuất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2" s="229" t="str">
        <f>IF($B92="","",IF(U$4&gt;DAY(EOMONTH(DATE($D$2,$B$2,1),0)),"",SUMIFS(DATA_GOC!$H:$H,DATA_GOC!$A:$A,"BOM",DATA_GOC!$D:$D,$B92,DATA_GOC!$F:$F,"Xuất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2" s="229" t="str">
        <f>IF($B92="","",IF(V$4&gt;DAY(EOMONTH(DATE($D$2,$B$2,1),0)),"",SUMIFS(DATA_GOC!$H:$H,DATA_GOC!$A:$A,"BOM",DATA_GOC!$D:$D,$B92,DATA_GOC!$F:$F,"Xuất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2" s="61" t="str">
        <f>IF($B92="","",IF(W$4&gt;DAY(EOMONTH(DATE($D$2,$B$2,1),0)),"",SUMIFS(DATA_GOC!$H:$H,DATA_GOC!$A:$A,"BOM",DATA_GOC!$D:$D,$B92,DATA_GOC!$F:$F,"Xuất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2" s="229" t="str">
        <f>IF($B92="","",IF(X$4&gt;DAY(EOMONTH(DATE($D$2,$B$2,1),0)),"",SUMIFS(DATA_GOC!$H:$H,DATA_GOC!$A:$A,"BOM",DATA_GOC!$D:$D,$B92,DATA_GOC!$F:$F,"Xuất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2" s="229" t="str">
        <f>IF($B92="","",IF(Y$4&gt;DAY(EOMONTH(DATE($D$2,$B$2,1),0)),"",SUMIFS(DATA_GOC!$H:$H,DATA_GOC!$A:$A,"BOM",DATA_GOC!$D:$D,$B92,DATA_GOC!$F:$F,"Xuất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2" s="229" t="str">
        <f>IF($B92="","",IF(Z$4&gt;DAY(EOMONTH(DATE($D$2,$B$2,1),0)),"",SUMIFS(DATA_GOC!$H:$H,DATA_GOC!$A:$A,"BOM",DATA_GOC!$D:$D,$B92,DATA_GOC!$F:$F,"Xuất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2" s="229" t="str">
        <f>IF($B92="","",IF(AA$4&gt;DAY(EOMONTH(DATE($D$2,$B$2,1),0)),"",SUMIFS(DATA_GOC!$H:$H,DATA_GOC!$A:$A,"BOM",DATA_GOC!$D:$D,$B92,DATA_GOC!$F:$F,"Xuất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2" s="229" t="str">
        <f>IF($B92="","",IF(AB$4&gt;DAY(EOMONTH(DATE($D$2,$B$2,1),0)),"",SUMIFS(DATA_GOC!$H:$H,DATA_GOC!$A:$A,"BOM",DATA_GOC!$D:$D,$B92,DATA_GOC!$F:$F,"Xuất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2" s="61" t="str">
        <f>IF($B92="","",IF(AC$4&gt;DAY(EOMONTH(DATE($D$2,$B$2,1),0)),"",SUMIFS(DATA_GOC!$H:$H,DATA_GOC!$A:$A,"BOM",DATA_GOC!$D:$D,$B92,DATA_GOC!$F:$F,"Xuất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2" s="222" t="str">
        <f>IF($B92="","",IF(AD$4&gt;DAY(EOMONTH(DATE($D$2,$B$2,1),0)),"",SUMIFS(DATA_GOC!$H:$H,DATA_GOC!$A:$A,"BOM",DATA_GOC!$D:$D,$B92,DATA_GOC!$F:$F,"Xuất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2" s="222" t="str">
        <f>IF($B92="","",IF(AE$4&gt;DAY(EOMONTH(DATE($D$2,$B$2,1),0)),"",SUMIFS(DATA_GOC!$H:$H,DATA_GOC!$A:$A,"BOM",DATA_GOC!$D:$D,$B92,DATA_GOC!$F:$F,"Xuất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2" s="222" t="str">
        <f>IF($B92="","",IF(AF$4&gt;DAY(EOMONTH(DATE($D$2,$B$2,1),0)),"",SUMIFS(DATA_GOC!$H:$H,DATA_GOC!$A:$A,"BOM",DATA_GOC!$D:$D,$B92,DATA_GOC!$F:$F,"Xuất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2" s="222" t="str">
        <f>IF($B92="","",IF(AG$4&gt;DAY(EOMONTH(DATE($D$2,$B$2,1),0)),"",SUMIFS(DATA_GOC!$H:$H,DATA_GOC!$A:$A,"BOM",DATA_GOC!$D:$D,$B92,DATA_GOC!$F:$F,"Xuất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2" s="222" t="str">
        <f t="shared" si="2"/>
        <v/>
      </c>
      <c r="AI92" s="222" t="str">
        <f>IF($B92="","",SUMIFS(DATA_GOC!$H:$H,DATA_GOC!$A:$A,"BOM",DATA_GOC!$D:$D,$B92,DATA_GOC!$F:$F,"Bơm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2" s="222" t="str">
        <f t="shared" si="3"/>
        <v/>
      </c>
      <c r="AM92" s="222" t="str">
        <f>IF($B92="","",SUMIFS(DATA_GOC!$K:$K,DATA_GOC!$A:$A,"BOM",DATA_GOC!$D:$D,$B92,DATA_GOC!$G:$G,"DO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2" s="222" t="str">
        <f t="shared" si="4"/>
        <v/>
      </c>
      <c r="AO92" s="227" t="str">
        <f t="shared" si="5"/>
        <v/>
      </c>
      <c r="AP92" s="226" t="str">
        <f>IF($B92="","",IFERROR(AO92-(SUMIFS(DATA_GOC!$H:$H,DATA_GOC!$A:$A,"BOM",DATA_GOC!$D:$D,$B92,DATA_GOC!$F:$F,"Xuất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2" s="59">
        <v>3.0</v>
      </c>
      <c r="AR92" s="59">
        <v>2026.0</v>
      </c>
      <c r="AS92" s="59" t="s">
        <v>123</v>
      </c>
      <c r="AT92" s="59">
        <v>4790.327</v>
      </c>
      <c r="AU92" s="59">
        <v>330.0</v>
      </c>
      <c r="AV92" s="59">
        <v>5120.327</v>
      </c>
      <c r="AW92" s="59">
        <v>10813.0</v>
      </c>
      <c r="AX92" s="59">
        <v>47.3534356792749</v>
      </c>
      <c r="AY92" s="59">
        <v>2123.377</v>
      </c>
      <c r="AZ92" s="59">
        <v>2996.95</v>
      </c>
      <c r="BA92" s="59">
        <v>95.377</v>
      </c>
      <c r="BB92" s="59">
        <v>0.0</v>
      </c>
      <c r="BC92" s="59" t="s">
        <v>447</v>
      </c>
    </row>
    <row r="93" ht="15.0" customHeight="1">
      <c r="A93" s="61" t="str">
        <f t="shared" si="1"/>
        <v/>
      </c>
      <c r="B93" s="228" t="str">
        <f t="array" ref="B93">IFERROR(INDEX(DANH_MUC!$E:$E,ROW()-1),"")</f>
        <v/>
      </c>
      <c r="C93" s="228" t="str">
        <f>IF($B93="","",IF(C$4&gt;DAY(EOMONTH(DATE($D$2,$B$2,1),0)),"",SUMIFS(DATA_GOC!$H:$H,DATA_GOC!$A:$A,"BOM",DATA_GOC!$D:$D,$B93,DATA_GOC!$F:$F,"Xuất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3" s="61" t="str">
        <f>IF($B93="","",IF(D$4&gt;DAY(EOMONTH(DATE($D$2,$B$2,1),0)),"",SUMIFS(DATA_GOC!$H:$H,DATA_GOC!$A:$A,"BOM",DATA_GOC!$D:$D,$B93,DATA_GOC!$F:$F,"Xuất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3" s="229" t="str">
        <f>IF($B93="","",IF(E$4&gt;DAY(EOMONTH(DATE($D$2,$B$2,1),0)),"",SUMIFS(DATA_GOC!$H:$H,DATA_GOC!$A:$A,"BOM",DATA_GOC!$D:$D,$B93,DATA_GOC!$F:$F,"Xuất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3" s="229" t="str">
        <f>IF($B93="","",IF(F$4&gt;DAY(EOMONTH(DATE($D$2,$B$2,1),0)),"",SUMIFS(DATA_GOC!$H:$H,DATA_GOC!$A:$A,"BOM",DATA_GOC!$D:$D,$B93,DATA_GOC!$F:$F,"Xuất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3" s="229" t="str">
        <f>IF($B93="","",IF(G$4&gt;DAY(EOMONTH(DATE($D$2,$B$2,1),0)),"",SUMIFS(DATA_GOC!$H:$H,DATA_GOC!$A:$A,"BOM",DATA_GOC!$D:$D,$B93,DATA_GOC!$F:$F,"Xuất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3" s="228" t="str">
        <f>IF($B93="","",IF(H$4&gt;DAY(EOMONTH(DATE($D$2,$B$2,1),0)),"",SUMIFS(DATA_GOC!$H:$H,DATA_GOC!$A:$A,"BOM",DATA_GOC!$D:$D,$B93,DATA_GOC!$F:$F,"Xuất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3" s="229" t="str">
        <f>IF($B93="","",IF(I$4&gt;DAY(EOMONTH(DATE($D$2,$B$2,1),0)),"",SUMIFS(DATA_GOC!$H:$H,DATA_GOC!$A:$A,"BOM",DATA_GOC!$D:$D,$B93,DATA_GOC!$F:$F,"Xuất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3" s="229" t="str">
        <f>IF($B93="","",IF(J$4&gt;DAY(EOMONTH(DATE($D$2,$B$2,1),0)),"",SUMIFS(DATA_GOC!$H:$H,DATA_GOC!$A:$A,"BOM",DATA_GOC!$D:$D,$B93,DATA_GOC!$F:$F,"Xuất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3" s="229" t="str">
        <f>IF($B93="","",IF(K$4&gt;DAY(EOMONTH(DATE($D$2,$B$2,1),0)),"",SUMIFS(DATA_GOC!$H:$H,DATA_GOC!$A:$A,"BOM",DATA_GOC!$D:$D,$B93,DATA_GOC!$F:$F,"Xuất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3" s="229" t="str">
        <f>IF($B93="","",IF(L$4&gt;DAY(EOMONTH(DATE($D$2,$B$2,1),0)),"",SUMIFS(DATA_GOC!$H:$H,DATA_GOC!$A:$A,"BOM",DATA_GOC!$D:$D,$B93,DATA_GOC!$F:$F,"Xuất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3" s="229" t="str">
        <f>IF($B93="","",IF(M$4&gt;DAY(EOMONTH(DATE($D$2,$B$2,1),0)),"",SUMIFS(DATA_GOC!$H:$H,DATA_GOC!$A:$A,"BOM",DATA_GOC!$D:$D,$B93,DATA_GOC!$F:$F,"Xuất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3" s="61" t="str">
        <f>IF($B93="","",IF(N$4&gt;DAY(EOMONTH(DATE($D$2,$B$2,1),0)),"",SUMIFS(DATA_GOC!$H:$H,DATA_GOC!$A:$A,"BOM",DATA_GOC!$D:$D,$B93,DATA_GOC!$F:$F,"Xuất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3" s="61" t="str">
        <f>IF($B93="","",IF(O$4&gt;DAY(EOMONTH(DATE($D$2,$B$2,1),0)),"",SUMIFS(DATA_GOC!$H:$H,DATA_GOC!$A:$A,"BOM",DATA_GOC!$D:$D,$B93,DATA_GOC!$F:$F,"Xuất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3" s="61" t="str">
        <f>IF($B93="","",IF(P$4&gt;DAY(EOMONTH(DATE($D$2,$B$2,1),0)),"",SUMIFS(DATA_GOC!$H:$H,DATA_GOC!$A:$A,"BOM",DATA_GOC!$D:$D,$B93,DATA_GOC!$F:$F,"Xuất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3" s="61" t="str">
        <f>IF($B93="","",IF(Q$4&gt;DAY(EOMONTH(DATE($D$2,$B$2,1),0)),"",SUMIFS(DATA_GOC!$H:$H,DATA_GOC!$A:$A,"BOM",DATA_GOC!$D:$D,$B93,DATA_GOC!$F:$F,"Xuất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3" s="61" t="str">
        <f>IF($B93="","",IF(R$4&gt;DAY(EOMONTH(DATE($D$2,$B$2,1),0)),"",SUMIFS(DATA_GOC!$H:$H,DATA_GOC!$A:$A,"BOM",DATA_GOC!$D:$D,$B93,DATA_GOC!$F:$F,"Xuất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3" s="61" t="str">
        <f>IF($B93="","",IF(S$4&gt;DAY(EOMONTH(DATE($D$2,$B$2,1),0)),"",SUMIFS(DATA_GOC!$H:$H,DATA_GOC!$A:$A,"BOM",DATA_GOC!$D:$D,$B93,DATA_GOC!$F:$F,"Xuất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3" s="229" t="str">
        <f>IF($B93="","",IF(T$4&gt;DAY(EOMONTH(DATE($D$2,$B$2,1),0)),"",SUMIFS(DATA_GOC!$H:$H,DATA_GOC!$A:$A,"BOM",DATA_GOC!$D:$D,$B93,DATA_GOC!$F:$F,"Xuất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3" s="229" t="str">
        <f>IF($B93="","",IF(U$4&gt;DAY(EOMONTH(DATE($D$2,$B$2,1),0)),"",SUMIFS(DATA_GOC!$H:$H,DATA_GOC!$A:$A,"BOM",DATA_GOC!$D:$D,$B93,DATA_GOC!$F:$F,"Xuất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3" s="229" t="str">
        <f>IF($B93="","",IF(V$4&gt;DAY(EOMONTH(DATE($D$2,$B$2,1),0)),"",SUMIFS(DATA_GOC!$H:$H,DATA_GOC!$A:$A,"BOM",DATA_GOC!$D:$D,$B93,DATA_GOC!$F:$F,"Xuất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3" s="61" t="str">
        <f>IF($B93="","",IF(W$4&gt;DAY(EOMONTH(DATE($D$2,$B$2,1),0)),"",SUMIFS(DATA_GOC!$H:$H,DATA_GOC!$A:$A,"BOM",DATA_GOC!$D:$D,$B93,DATA_GOC!$F:$F,"Xuất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3" s="229" t="str">
        <f>IF($B93="","",IF(X$4&gt;DAY(EOMONTH(DATE($D$2,$B$2,1),0)),"",SUMIFS(DATA_GOC!$H:$H,DATA_GOC!$A:$A,"BOM",DATA_GOC!$D:$D,$B93,DATA_GOC!$F:$F,"Xuất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3" s="229" t="str">
        <f>IF($B93="","",IF(Y$4&gt;DAY(EOMONTH(DATE($D$2,$B$2,1),0)),"",SUMIFS(DATA_GOC!$H:$H,DATA_GOC!$A:$A,"BOM",DATA_GOC!$D:$D,$B93,DATA_GOC!$F:$F,"Xuất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3" s="229" t="str">
        <f>IF($B93="","",IF(Z$4&gt;DAY(EOMONTH(DATE($D$2,$B$2,1),0)),"",SUMIFS(DATA_GOC!$H:$H,DATA_GOC!$A:$A,"BOM",DATA_GOC!$D:$D,$B93,DATA_GOC!$F:$F,"Xuất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3" s="229" t="str">
        <f>IF($B93="","",IF(AA$4&gt;DAY(EOMONTH(DATE($D$2,$B$2,1),0)),"",SUMIFS(DATA_GOC!$H:$H,DATA_GOC!$A:$A,"BOM",DATA_GOC!$D:$D,$B93,DATA_GOC!$F:$F,"Xuất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3" s="229" t="str">
        <f>IF($B93="","",IF(AB$4&gt;DAY(EOMONTH(DATE($D$2,$B$2,1),0)),"",SUMIFS(DATA_GOC!$H:$H,DATA_GOC!$A:$A,"BOM",DATA_GOC!$D:$D,$B93,DATA_GOC!$F:$F,"Xuất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3" s="61" t="str">
        <f>IF($B93="","",IF(AC$4&gt;DAY(EOMONTH(DATE($D$2,$B$2,1),0)),"",SUMIFS(DATA_GOC!$H:$H,DATA_GOC!$A:$A,"BOM",DATA_GOC!$D:$D,$B93,DATA_GOC!$F:$F,"Xuất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3" s="222" t="str">
        <f>IF($B93="","",IF(AD$4&gt;DAY(EOMONTH(DATE($D$2,$B$2,1),0)),"",SUMIFS(DATA_GOC!$H:$H,DATA_GOC!$A:$A,"BOM",DATA_GOC!$D:$D,$B93,DATA_GOC!$F:$F,"Xuất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3" s="222" t="str">
        <f>IF($B93="","",IF(AE$4&gt;DAY(EOMONTH(DATE($D$2,$B$2,1),0)),"",SUMIFS(DATA_GOC!$H:$H,DATA_GOC!$A:$A,"BOM",DATA_GOC!$D:$D,$B93,DATA_GOC!$F:$F,"Xuất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3" s="222" t="str">
        <f>IF($B93="","",IF(AF$4&gt;DAY(EOMONTH(DATE($D$2,$B$2,1),0)),"",SUMIFS(DATA_GOC!$H:$H,DATA_GOC!$A:$A,"BOM",DATA_GOC!$D:$D,$B93,DATA_GOC!$F:$F,"Xuất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3" s="222" t="str">
        <f>IF($B93="","",IF(AG$4&gt;DAY(EOMONTH(DATE($D$2,$B$2,1),0)),"",SUMIFS(DATA_GOC!$H:$H,DATA_GOC!$A:$A,"BOM",DATA_GOC!$D:$D,$B93,DATA_GOC!$F:$F,"Xuất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3" s="222" t="str">
        <f t="shared" si="2"/>
        <v/>
      </c>
      <c r="AI93" s="222" t="str">
        <f>IF($B93="","",SUMIFS(DATA_GOC!$H:$H,DATA_GOC!$A:$A,"BOM",DATA_GOC!$D:$D,$B93,DATA_GOC!$F:$F,"Bơm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3" s="222" t="str">
        <f t="shared" si="3"/>
        <v/>
      </c>
      <c r="AM93" s="222" t="str">
        <f>IF($B93="","",SUMIFS(DATA_GOC!$K:$K,DATA_GOC!$A:$A,"BOM",DATA_GOC!$D:$D,$B93,DATA_GOC!$G:$G,"DO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3" s="222" t="str">
        <f t="shared" si="4"/>
        <v/>
      </c>
      <c r="AO93" s="227" t="str">
        <f t="shared" si="5"/>
        <v/>
      </c>
      <c r="AP93" s="226" t="str">
        <f>IF($B93="","",IFERROR(AO93-(SUMIFS(DATA_GOC!$H:$H,DATA_GOC!$A:$A,"BOM",DATA_GOC!$D:$D,$B93,DATA_GOC!$F:$F,"Xuất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3" s="59">
        <v>3.0</v>
      </c>
      <c r="AR93" s="59">
        <v>2026.0</v>
      </c>
      <c r="AS93" s="59" t="s">
        <v>82</v>
      </c>
      <c r="AT93" s="59">
        <v>2675.767</v>
      </c>
      <c r="AU93" s="59">
        <v>0.0</v>
      </c>
      <c r="AV93" s="59">
        <v>2675.767</v>
      </c>
      <c r="AW93" s="59">
        <v>5736.0</v>
      </c>
      <c r="AX93" s="59">
        <v>46.6486576011158</v>
      </c>
      <c r="AY93" s="59">
        <v>1103.833</v>
      </c>
      <c r="AZ93" s="59">
        <v>1571.934</v>
      </c>
      <c r="BA93" s="59">
        <v>54.833</v>
      </c>
      <c r="BB93" s="59">
        <v>0.0</v>
      </c>
      <c r="BC93" s="59" t="s">
        <v>448</v>
      </c>
    </row>
    <row r="94" ht="15.0" customHeight="1">
      <c r="A94" s="61" t="str">
        <f t="shared" si="1"/>
        <v/>
      </c>
      <c r="B94" s="228" t="str">
        <f t="array" ref="B94">IFERROR(INDEX(DANH_MUC!$E:$E,ROW()-1),"")</f>
        <v/>
      </c>
      <c r="C94" s="228" t="str">
        <f>IF($B94="","",IF(C$4&gt;DAY(EOMONTH(DATE($D$2,$B$2,1),0)),"",SUMIFS(DATA_GOC!$H:$H,DATA_GOC!$A:$A,"BOM",DATA_GOC!$D:$D,$B94,DATA_GOC!$F:$F,"Xuất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4" s="61" t="str">
        <f>IF($B94="","",IF(D$4&gt;DAY(EOMONTH(DATE($D$2,$B$2,1),0)),"",SUMIFS(DATA_GOC!$H:$H,DATA_GOC!$A:$A,"BOM",DATA_GOC!$D:$D,$B94,DATA_GOC!$F:$F,"Xuất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4" s="229" t="str">
        <f>IF($B94="","",IF(E$4&gt;DAY(EOMONTH(DATE($D$2,$B$2,1),0)),"",SUMIFS(DATA_GOC!$H:$H,DATA_GOC!$A:$A,"BOM",DATA_GOC!$D:$D,$B94,DATA_GOC!$F:$F,"Xuất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4" s="229" t="str">
        <f>IF($B94="","",IF(F$4&gt;DAY(EOMONTH(DATE($D$2,$B$2,1),0)),"",SUMIFS(DATA_GOC!$H:$H,DATA_GOC!$A:$A,"BOM",DATA_GOC!$D:$D,$B94,DATA_GOC!$F:$F,"Xuất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4" s="229" t="str">
        <f>IF($B94="","",IF(G$4&gt;DAY(EOMONTH(DATE($D$2,$B$2,1),0)),"",SUMIFS(DATA_GOC!$H:$H,DATA_GOC!$A:$A,"BOM",DATA_GOC!$D:$D,$B94,DATA_GOC!$F:$F,"Xuất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4" s="228" t="str">
        <f>IF($B94="","",IF(H$4&gt;DAY(EOMONTH(DATE($D$2,$B$2,1),0)),"",SUMIFS(DATA_GOC!$H:$H,DATA_GOC!$A:$A,"BOM",DATA_GOC!$D:$D,$B94,DATA_GOC!$F:$F,"Xuất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4" s="229" t="str">
        <f>IF($B94="","",IF(I$4&gt;DAY(EOMONTH(DATE($D$2,$B$2,1),0)),"",SUMIFS(DATA_GOC!$H:$H,DATA_GOC!$A:$A,"BOM",DATA_GOC!$D:$D,$B94,DATA_GOC!$F:$F,"Xuất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4" s="229" t="str">
        <f>IF($B94="","",IF(J$4&gt;DAY(EOMONTH(DATE($D$2,$B$2,1),0)),"",SUMIFS(DATA_GOC!$H:$H,DATA_GOC!$A:$A,"BOM",DATA_GOC!$D:$D,$B94,DATA_GOC!$F:$F,"Xuất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4" s="229" t="str">
        <f>IF($B94="","",IF(K$4&gt;DAY(EOMONTH(DATE($D$2,$B$2,1),0)),"",SUMIFS(DATA_GOC!$H:$H,DATA_GOC!$A:$A,"BOM",DATA_GOC!$D:$D,$B94,DATA_GOC!$F:$F,"Xuất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4" s="229" t="str">
        <f>IF($B94="","",IF(L$4&gt;DAY(EOMONTH(DATE($D$2,$B$2,1),0)),"",SUMIFS(DATA_GOC!$H:$H,DATA_GOC!$A:$A,"BOM",DATA_GOC!$D:$D,$B94,DATA_GOC!$F:$F,"Xuất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4" s="229" t="str">
        <f>IF($B94="","",IF(M$4&gt;DAY(EOMONTH(DATE($D$2,$B$2,1),0)),"",SUMIFS(DATA_GOC!$H:$H,DATA_GOC!$A:$A,"BOM",DATA_GOC!$D:$D,$B94,DATA_GOC!$F:$F,"Xuất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4" s="61" t="str">
        <f>IF($B94="","",IF(N$4&gt;DAY(EOMONTH(DATE($D$2,$B$2,1),0)),"",SUMIFS(DATA_GOC!$H:$H,DATA_GOC!$A:$A,"BOM",DATA_GOC!$D:$D,$B94,DATA_GOC!$F:$F,"Xuất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4" s="61" t="str">
        <f>IF($B94="","",IF(O$4&gt;DAY(EOMONTH(DATE($D$2,$B$2,1),0)),"",SUMIFS(DATA_GOC!$H:$H,DATA_GOC!$A:$A,"BOM",DATA_GOC!$D:$D,$B94,DATA_GOC!$F:$F,"Xuất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4" s="61" t="str">
        <f>IF($B94="","",IF(P$4&gt;DAY(EOMONTH(DATE($D$2,$B$2,1),0)),"",SUMIFS(DATA_GOC!$H:$H,DATA_GOC!$A:$A,"BOM",DATA_GOC!$D:$D,$B94,DATA_GOC!$F:$F,"Xuất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4" s="61" t="str">
        <f>IF($B94="","",IF(Q$4&gt;DAY(EOMONTH(DATE($D$2,$B$2,1),0)),"",SUMIFS(DATA_GOC!$H:$H,DATA_GOC!$A:$A,"BOM",DATA_GOC!$D:$D,$B94,DATA_GOC!$F:$F,"Xuất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4" s="61" t="str">
        <f>IF($B94="","",IF(R$4&gt;DAY(EOMONTH(DATE($D$2,$B$2,1),0)),"",SUMIFS(DATA_GOC!$H:$H,DATA_GOC!$A:$A,"BOM",DATA_GOC!$D:$D,$B94,DATA_GOC!$F:$F,"Xuất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4" s="61" t="str">
        <f>IF($B94="","",IF(S$4&gt;DAY(EOMONTH(DATE($D$2,$B$2,1),0)),"",SUMIFS(DATA_GOC!$H:$H,DATA_GOC!$A:$A,"BOM",DATA_GOC!$D:$D,$B94,DATA_GOC!$F:$F,"Xuất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4" s="229" t="str">
        <f>IF($B94="","",IF(T$4&gt;DAY(EOMONTH(DATE($D$2,$B$2,1),0)),"",SUMIFS(DATA_GOC!$H:$H,DATA_GOC!$A:$A,"BOM",DATA_GOC!$D:$D,$B94,DATA_GOC!$F:$F,"Xuất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4" s="229" t="str">
        <f>IF($B94="","",IF(U$4&gt;DAY(EOMONTH(DATE($D$2,$B$2,1),0)),"",SUMIFS(DATA_GOC!$H:$H,DATA_GOC!$A:$A,"BOM",DATA_GOC!$D:$D,$B94,DATA_GOC!$F:$F,"Xuất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4" s="229" t="str">
        <f>IF($B94="","",IF(V$4&gt;DAY(EOMONTH(DATE($D$2,$B$2,1),0)),"",SUMIFS(DATA_GOC!$H:$H,DATA_GOC!$A:$A,"BOM",DATA_GOC!$D:$D,$B94,DATA_GOC!$F:$F,"Xuất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4" s="61" t="str">
        <f>IF($B94="","",IF(W$4&gt;DAY(EOMONTH(DATE($D$2,$B$2,1),0)),"",SUMIFS(DATA_GOC!$H:$H,DATA_GOC!$A:$A,"BOM",DATA_GOC!$D:$D,$B94,DATA_GOC!$F:$F,"Xuất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4" s="229" t="str">
        <f>IF($B94="","",IF(X$4&gt;DAY(EOMONTH(DATE($D$2,$B$2,1),0)),"",SUMIFS(DATA_GOC!$H:$H,DATA_GOC!$A:$A,"BOM",DATA_GOC!$D:$D,$B94,DATA_GOC!$F:$F,"Xuất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4" s="229" t="str">
        <f>IF($B94="","",IF(Y$4&gt;DAY(EOMONTH(DATE($D$2,$B$2,1),0)),"",SUMIFS(DATA_GOC!$H:$H,DATA_GOC!$A:$A,"BOM",DATA_GOC!$D:$D,$B94,DATA_GOC!$F:$F,"Xuất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4" s="229" t="str">
        <f>IF($B94="","",IF(Z$4&gt;DAY(EOMONTH(DATE($D$2,$B$2,1),0)),"",SUMIFS(DATA_GOC!$H:$H,DATA_GOC!$A:$A,"BOM",DATA_GOC!$D:$D,$B94,DATA_GOC!$F:$F,"Xuất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4" s="229" t="str">
        <f>IF($B94="","",IF(AA$4&gt;DAY(EOMONTH(DATE($D$2,$B$2,1),0)),"",SUMIFS(DATA_GOC!$H:$H,DATA_GOC!$A:$A,"BOM",DATA_GOC!$D:$D,$B94,DATA_GOC!$F:$F,"Xuất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4" s="229" t="str">
        <f>IF($B94="","",IF(AB$4&gt;DAY(EOMONTH(DATE($D$2,$B$2,1),0)),"",SUMIFS(DATA_GOC!$H:$H,DATA_GOC!$A:$A,"BOM",DATA_GOC!$D:$D,$B94,DATA_GOC!$F:$F,"Xuất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4" s="61" t="str">
        <f>IF($B94="","",IF(AC$4&gt;DAY(EOMONTH(DATE($D$2,$B$2,1),0)),"",SUMIFS(DATA_GOC!$H:$H,DATA_GOC!$A:$A,"BOM",DATA_GOC!$D:$D,$B94,DATA_GOC!$F:$F,"Xuất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4" s="222" t="str">
        <f>IF($B94="","",IF(AD$4&gt;DAY(EOMONTH(DATE($D$2,$B$2,1),0)),"",SUMIFS(DATA_GOC!$H:$H,DATA_GOC!$A:$A,"BOM",DATA_GOC!$D:$D,$B94,DATA_GOC!$F:$F,"Xuất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4" s="222" t="str">
        <f>IF($B94="","",IF(AE$4&gt;DAY(EOMONTH(DATE($D$2,$B$2,1),0)),"",SUMIFS(DATA_GOC!$H:$H,DATA_GOC!$A:$A,"BOM",DATA_GOC!$D:$D,$B94,DATA_GOC!$F:$F,"Xuất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4" s="222" t="str">
        <f>IF($B94="","",IF(AF$4&gt;DAY(EOMONTH(DATE($D$2,$B$2,1),0)),"",SUMIFS(DATA_GOC!$H:$H,DATA_GOC!$A:$A,"BOM",DATA_GOC!$D:$D,$B94,DATA_GOC!$F:$F,"Xuất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4" s="222" t="str">
        <f>IF($B94="","",IF(AG$4&gt;DAY(EOMONTH(DATE($D$2,$B$2,1),0)),"",SUMIFS(DATA_GOC!$H:$H,DATA_GOC!$A:$A,"BOM",DATA_GOC!$D:$D,$B94,DATA_GOC!$F:$F,"Xuất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4" s="222" t="str">
        <f t="shared" si="2"/>
        <v/>
      </c>
      <c r="AI94" s="222" t="str">
        <f>IF($B94="","",SUMIFS(DATA_GOC!$H:$H,DATA_GOC!$A:$A,"BOM",DATA_GOC!$D:$D,$B94,DATA_GOC!$F:$F,"Bơm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4" s="222" t="str">
        <f t="shared" si="3"/>
        <v/>
      </c>
      <c r="AM94" s="222" t="str">
        <f>IF($B94="","",SUMIFS(DATA_GOC!$K:$K,DATA_GOC!$A:$A,"BOM",DATA_GOC!$D:$D,$B94,DATA_GOC!$G:$G,"DO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4" s="222" t="str">
        <f t="shared" si="4"/>
        <v/>
      </c>
      <c r="AO94" s="227" t="str">
        <f t="shared" si="5"/>
        <v/>
      </c>
      <c r="AP94" s="226" t="str">
        <f>IF($B94="","",IFERROR(AO94-(SUMIFS(DATA_GOC!$H:$H,DATA_GOC!$A:$A,"BOM",DATA_GOC!$D:$D,$B94,DATA_GOC!$F:$F,"Xuất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4" s="59">
        <v>3.0</v>
      </c>
      <c r="AR94" s="59">
        <v>2026.0</v>
      </c>
      <c r="AS94" s="59" t="s">
        <v>77</v>
      </c>
      <c r="AT94" s="59">
        <v>1202.592</v>
      </c>
      <c r="AU94" s="59">
        <v>0.0</v>
      </c>
      <c r="AV94" s="59">
        <v>1202.592</v>
      </c>
      <c r="AW94" s="59">
        <v>2352.0</v>
      </c>
      <c r="AX94" s="59">
        <v>51.130612244898</v>
      </c>
      <c r="AY94" s="59">
        <v>477.613</v>
      </c>
      <c r="AZ94" s="59">
        <v>724.979</v>
      </c>
      <c r="BA94" s="59">
        <v>32.613</v>
      </c>
      <c r="BB94" s="59">
        <v>0.0</v>
      </c>
      <c r="BC94" s="59" t="s">
        <v>449</v>
      </c>
    </row>
    <row r="95" ht="15.0" customHeight="1">
      <c r="A95" s="61" t="str">
        <f t="shared" si="1"/>
        <v/>
      </c>
      <c r="B95" s="228" t="str">
        <f t="array" ref="B95">IFERROR(INDEX(DANH_MUC!$E:$E,ROW()-1),"")</f>
        <v/>
      </c>
      <c r="C95" s="228" t="str">
        <f>IF($B95="","",IF(C$4&gt;DAY(EOMONTH(DATE($D$2,$B$2,1),0)),"",SUMIFS(DATA_GOC!$H:$H,DATA_GOC!$A:$A,"BOM",DATA_GOC!$D:$D,$B95,DATA_GOC!$F:$F,"Xuất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5" s="61" t="str">
        <f>IF($B95="","",IF(D$4&gt;DAY(EOMONTH(DATE($D$2,$B$2,1),0)),"",SUMIFS(DATA_GOC!$H:$H,DATA_GOC!$A:$A,"BOM",DATA_GOC!$D:$D,$B95,DATA_GOC!$F:$F,"Xuất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5" s="229" t="str">
        <f>IF($B95="","",IF(E$4&gt;DAY(EOMONTH(DATE($D$2,$B$2,1),0)),"",SUMIFS(DATA_GOC!$H:$H,DATA_GOC!$A:$A,"BOM",DATA_GOC!$D:$D,$B95,DATA_GOC!$F:$F,"Xuất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5" s="229" t="str">
        <f>IF($B95="","",IF(F$4&gt;DAY(EOMONTH(DATE($D$2,$B$2,1),0)),"",SUMIFS(DATA_GOC!$H:$H,DATA_GOC!$A:$A,"BOM",DATA_GOC!$D:$D,$B95,DATA_GOC!$F:$F,"Xuất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5" s="229" t="str">
        <f>IF($B95="","",IF(G$4&gt;DAY(EOMONTH(DATE($D$2,$B$2,1),0)),"",SUMIFS(DATA_GOC!$H:$H,DATA_GOC!$A:$A,"BOM",DATA_GOC!$D:$D,$B95,DATA_GOC!$F:$F,"Xuất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5" s="228" t="str">
        <f>IF($B95="","",IF(H$4&gt;DAY(EOMONTH(DATE($D$2,$B$2,1),0)),"",SUMIFS(DATA_GOC!$H:$H,DATA_GOC!$A:$A,"BOM",DATA_GOC!$D:$D,$B95,DATA_GOC!$F:$F,"Xuất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5" s="229" t="str">
        <f>IF($B95="","",IF(I$4&gt;DAY(EOMONTH(DATE($D$2,$B$2,1),0)),"",SUMIFS(DATA_GOC!$H:$H,DATA_GOC!$A:$A,"BOM",DATA_GOC!$D:$D,$B95,DATA_GOC!$F:$F,"Xuất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5" s="229" t="str">
        <f>IF($B95="","",IF(J$4&gt;DAY(EOMONTH(DATE($D$2,$B$2,1),0)),"",SUMIFS(DATA_GOC!$H:$H,DATA_GOC!$A:$A,"BOM",DATA_GOC!$D:$D,$B95,DATA_GOC!$F:$F,"Xuất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5" s="229" t="str">
        <f>IF($B95="","",IF(K$4&gt;DAY(EOMONTH(DATE($D$2,$B$2,1),0)),"",SUMIFS(DATA_GOC!$H:$H,DATA_GOC!$A:$A,"BOM",DATA_GOC!$D:$D,$B95,DATA_GOC!$F:$F,"Xuất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5" s="229" t="str">
        <f>IF($B95="","",IF(L$4&gt;DAY(EOMONTH(DATE($D$2,$B$2,1),0)),"",SUMIFS(DATA_GOC!$H:$H,DATA_GOC!$A:$A,"BOM",DATA_GOC!$D:$D,$B95,DATA_GOC!$F:$F,"Xuất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5" s="229" t="str">
        <f>IF($B95="","",IF(M$4&gt;DAY(EOMONTH(DATE($D$2,$B$2,1),0)),"",SUMIFS(DATA_GOC!$H:$H,DATA_GOC!$A:$A,"BOM",DATA_GOC!$D:$D,$B95,DATA_GOC!$F:$F,"Xuất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5" s="61" t="str">
        <f>IF($B95="","",IF(N$4&gt;DAY(EOMONTH(DATE($D$2,$B$2,1),0)),"",SUMIFS(DATA_GOC!$H:$H,DATA_GOC!$A:$A,"BOM",DATA_GOC!$D:$D,$B95,DATA_GOC!$F:$F,"Xuất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5" s="61" t="str">
        <f>IF($B95="","",IF(O$4&gt;DAY(EOMONTH(DATE($D$2,$B$2,1),0)),"",SUMIFS(DATA_GOC!$H:$H,DATA_GOC!$A:$A,"BOM",DATA_GOC!$D:$D,$B95,DATA_GOC!$F:$F,"Xuất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5" s="61" t="str">
        <f>IF($B95="","",IF(P$4&gt;DAY(EOMONTH(DATE($D$2,$B$2,1),0)),"",SUMIFS(DATA_GOC!$H:$H,DATA_GOC!$A:$A,"BOM",DATA_GOC!$D:$D,$B95,DATA_GOC!$F:$F,"Xuất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5" s="61" t="str">
        <f>IF($B95="","",IF(Q$4&gt;DAY(EOMONTH(DATE($D$2,$B$2,1),0)),"",SUMIFS(DATA_GOC!$H:$H,DATA_GOC!$A:$A,"BOM",DATA_GOC!$D:$D,$B95,DATA_GOC!$F:$F,"Xuất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5" s="61" t="str">
        <f>IF($B95="","",IF(R$4&gt;DAY(EOMONTH(DATE($D$2,$B$2,1),0)),"",SUMIFS(DATA_GOC!$H:$H,DATA_GOC!$A:$A,"BOM",DATA_GOC!$D:$D,$B95,DATA_GOC!$F:$F,"Xuất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5" s="61" t="str">
        <f>IF($B95="","",IF(S$4&gt;DAY(EOMONTH(DATE($D$2,$B$2,1),0)),"",SUMIFS(DATA_GOC!$H:$H,DATA_GOC!$A:$A,"BOM",DATA_GOC!$D:$D,$B95,DATA_GOC!$F:$F,"Xuất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5" s="229" t="str">
        <f>IF($B95="","",IF(T$4&gt;DAY(EOMONTH(DATE($D$2,$B$2,1),0)),"",SUMIFS(DATA_GOC!$H:$H,DATA_GOC!$A:$A,"BOM",DATA_GOC!$D:$D,$B95,DATA_GOC!$F:$F,"Xuất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5" s="229" t="str">
        <f>IF($B95="","",IF(U$4&gt;DAY(EOMONTH(DATE($D$2,$B$2,1),0)),"",SUMIFS(DATA_GOC!$H:$H,DATA_GOC!$A:$A,"BOM",DATA_GOC!$D:$D,$B95,DATA_GOC!$F:$F,"Xuất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5" s="229" t="str">
        <f>IF($B95="","",IF(V$4&gt;DAY(EOMONTH(DATE($D$2,$B$2,1),0)),"",SUMIFS(DATA_GOC!$H:$H,DATA_GOC!$A:$A,"BOM",DATA_GOC!$D:$D,$B95,DATA_GOC!$F:$F,"Xuất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5" s="61" t="str">
        <f>IF($B95="","",IF(W$4&gt;DAY(EOMONTH(DATE($D$2,$B$2,1),0)),"",SUMIFS(DATA_GOC!$H:$H,DATA_GOC!$A:$A,"BOM",DATA_GOC!$D:$D,$B95,DATA_GOC!$F:$F,"Xuất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5" s="229" t="str">
        <f>IF($B95="","",IF(X$4&gt;DAY(EOMONTH(DATE($D$2,$B$2,1),0)),"",SUMIFS(DATA_GOC!$H:$H,DATA_GOC!$A:$A,"BOM",DATA_GOC!$D:$D,$B95,DATA_GOC!$F:$F,"Xuất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5" s="229" t="str">
        <f>IF($B95="","",IF(Y$4&gt;DAY(EOMONTH(DATE($D$2,$B$2,1),0)),"",SUMIFS(DATA_GOC!$H:$H,DATA_GOC!$A:$A,"BOM",DATA_GOC!$D:$D,$B95,DATA_GOC!$F:$F,"Xuất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5" s="229" t="str">
        <f>IF($B95="","",IF(Z$4&gt;DAY(EOMONTH(DATE($D$2,$B$2,1),0)),"",SUMIFS(DATA_GOC!$H:$H,DATA_GOC!$A:$A,"BOM",DATA_GOC!$D:$D,$B95,DATA_GOC!$F:$F,"Xuất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5" s="229" t="str">
        <f>IF($B95="","",IF(AA$4&gt;DAY(EOMONTH(DATE($D$2,$B$2,1),0)),"",SUMIFS(DATA_GOC!$H:$H,DATA_GOC!$A:$A,"BOM",DATA_GOC!$D:$D,$B95,DATA_GOC!$F:$F,"Xuất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5" s="229" t="str">
        <f>IF($B95="","",IF(AB$4&gt;DAY(EOMONTH(DATE($D$2,$B$2,1),0)),"",SUMIFS(DATA_GOC!$H:$H,DATA_GOC!$A:$A,"BOM",DATA_GOC!$D:$D,$B95,DATA_GOC!$F:$F,"Xuất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5" s="61" t="str">
        <f>IF($B95="","",IF(AC$4&gt;DAY(EOMONTH(DATE($D$2,$B$2,1),0)),"",SUMIFS(DATA_GOC!$H:$H,DATA_GOC!$A:$A,"BOM",DATA_GOC!$D:$D,$B95,DATA_GOC!$F:$F,"Xuất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5" s="222" t="str">
        <f>IF($B95="","",IF(AD$4&gt;DAY(EOMONTH(DATE($D$2,$B$2,1),0)),"",SUMIFS(DATA_GOC!$H:$H,DATA_GOC!$A:$A,"BOM",DATA_GOC!$D:$D,$B95,DATA_GOC!$F:$F,"Xuất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5" s="222" t="str">
        <f>IF($B95="","",IF(AE$4&gt;DAY(EOMONTH(DATE($D$2,$B$2,1),0)),"",SUMIFS(DATA_GOC!$H:$H,DATA_GOC!$A:$A,"BOM",DATA_GOC!$D:$D,$B95,DATA_GOC!$F:$F,"Xuất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5" s="222" t="str">
        <f>IF($B95="","",IF(AF$4&gt;DAY(EOMONTH(DATE($D$2,$B$2,1),0)),"",SUMIFS(DATA_GOC!$H:$H,DATA_GOC!$A:$A,"BOM",DATA_GOC!$D:$D,$B95,DATA_GOC!$F:$F,"Xuất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5" s="222" t="str">
        <f>IF($B95="","",IF(AG$4&gt;DAY(EOMONTH(DATE($D$2,$B$2,1),0)),"",SUMIFS(DATA_GOC!$H:$H,DATA_GOC!$A:$A,"BOM",DATA_GOC!$D:$D,$B95,DATA_GOC!$F:$F,"Xuất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5" s="222" t="str">
        <f t="shared" si="2"/>
        <v/>
      </c>
      <c r="AI95" s="222" t="str">
        <f>IF($B95="","",SUMIFS(DATA_GOC!$H:$H,DATA_GOC!$A:$A,"BOM",DATA_GOC!$D:$D,$B95,DATA_GOC!$F:$F,"Bơm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5" s="222" t="str">
        <f t="shared" si="3"/>
        <v/>
      </c>
      <c r="AM95" s="222" t="str">
        <f>IF($B95="","",SUMIFS(DATA_GOC!$K:$K,DATA_GOC!$A:$A,"BOM",DATA_GOC!$D:$D,$B95,DATA_GOC!$G:$G,"DO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5" s="222" t="str">
        <f t="shared" si="4"/>
        <v/>
      </c>
      <c r="AO95" s="227" t="str">
        <f t="shared" si="5"/>
        <v/>
      </c>
      <c r="AP95" s="226" t="str">
        <f>IF($B95="","",IFERROR(AO95-(SUMIFS(DATA_GOC!$H:$H,DATA_GOC!$A:$A,"BOM",DATA_GOC!$D:$D,$B95,DATA_GOC!$F:$F,"Xuất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5" s="59">
        <v>3.0</v>
      </c>
      <c r="AR95" s="59">
        <v>2026.0</v>
      </c>
      <c r="AS95" s="59" t="s">
        <v>84</v>
      </c>
      <c r="AT95" s="59">
        <v>551.535</v>
      </c>
      <c r="AU95" s="59">
        <v>612.0</v>
      </c>
      <c r="AV95" s="59">
        <v>1163.535</v>
      </c>
      <c r="AW95" s="59">
        <v>1746.0</v>
      </c>
      <c r="AX95" s="59">
        <v>66.6400343642612</v>
      </c>
      <c r="AY95" s="59">
        <v>491.057</v>
      </c>
      <c r="AZ95" s="59">
        <v>672.478</v>
      </c>
      <c r="BA95" s="59">
        <v>28.057</v>
      </c>
      <c r="BB95" s="59">
        <v>0.0</v>
      </c>
      <c r="BC95" s="59" t="s">
        <v>450</v>
      </c>
    </row>
    <row r="96" ht="15.0" customHeight="1">
      <c r="A96" s="61" t="str">
        <f t="shared" si="1"/>
        <v/>
      </c>
      <c r="B96" s="228" t="str">
        <f t="array" ref="B96">IFERROR(INDEX(DANH_MUC!$E:$E,ROW()-1),"")</f>
        <v/>
      </c>
      <c r="C96" s="228" t="str">
        <f>IF($B96="","",IF(C$4&gt;DAY(EOMONTH(DATE($D$2,$B$2,1),0)),"",SUMIFS(DATA_GOC!$H:$H,DATA_GOC!$A:$A,"BOM",DATA_GOC!$D:$D,$B96,DATA_GOC!$F:$F,"Xuất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6" s="61" t="str">
        <f>IF($B96="","",IF(D$4&gt;DAY(EOMONTH(DATE($D$2,$B$2,1),0)),"",SUMIFS(DATA_GOC!$H:$H,DATA_GOC!$A:$A,"BOM",DATA_GOC!$D:$D,$B96,DATA_GOC!$F:$F,"Xuất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6" s="229" t="str">
        <f>IF($B96="","",IF(E$4&gt;DAY(EOMONTH(DATE($D$2,$B$2,1),0)),"",SUMIFS(DATA_GOC!$H:$H,DATA_GOC!$A:$A,"BOM",DATA_GOC!$D:$D,$B96,DATA_GOC!$F:$F,"Xuất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6" s="229" t="str">
        <f>IF($B96="","",IF(F$4&gt;DAY(EOMONTH(DATE($D$2,$B$2,1),0)),"",SUMIFS(DATA_GOC!$H:$H,DATA_GOC!$A:$A,"BOM",DATA_GOC!$D:$D,$B96,DATA_GOC!$F:$F,"Xuất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6" s="229" t="str">
        <f>IF($B96="","",IF(G$4&gt;DAY(EOMONTH(DATE($D$2,$B$2,1),0)),"",SUMIFS(DATA_GOC!$H:$H,DATA_GOC!$A:$A,"BOM",DATA_GOC!$D:$D,$B96,DATA_GOC!$F:$F,"Xuất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6" s="228" t="str">
        <f>IF($B96="","",IF(H$4&gt;DAY(EOMONTH(DATE($D$2,$B$2,1),0)),"",SUMIFS(DATA_GOC!$H:$H,DATA_GOC!$A:$A,"BOM",DATA_GOC!$D:$D,$B96,DATA_GOC!$F:$F,"Xuất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6" s="229" t="str">
        <f>IF($B96="","",IF(I$4&gt;DAY(EOMONTH(DATE($D$2,$B$2,1),0)),"",SUMIFS(DATA_GOC!$H:$H,DATA_GOC!$A:$A,"BOM",DATA_GOC!$D:$D,$B96,DATA_GOC!$F:$F,"Xuất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6" s="229" t="str">
        <f>IF($B96="","",IF(J$4&gt;DAY(EOMONTH(DATE($D$2,$B$2,1),0)),"",SUMIFS(DATA_GOC!$H:$H,DATA_GOC!$A:$A,"BOM",DATA_GOC!$D:$D,$B96,DATA_GOC!$F:$F,"Xuất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6" s="229" t="str">
        <f>IF($B96="","",IF(K$4&gt;DAY(EOMONTH(DATE($D$2,$B$2,1),0)),"",SUMIFS(DATA_GOC!$H:$H,DATA_GOC!$A:$A,"BOM",DATA_GOC!$D:$D,$B96,DATA_GOC!$F:$F,"Xuất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6" s="229" t="str">
        <f>IF($B96="","",IF(L$4&gt;DAY(EOMONTH(DATE($D$2,$B$2,1),0)),"",SUMIFS(DATA_GOC!$H:$H,DATA_GOC!$A:$A,"BOM",DATA_GOC!$D:$D,$B96,DATA_GOC!$F:$F,"Xuất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6" s="229" t="str">
        <f>IF($B96="","",IF(M$4&gt;DAY(EOMONTH(DATE($D$2,$B$2,1),0)),"",SUMIFS(DATA_GOC!$H:$H,DATA_GOC!$A:$A,"BOM",DATA_GOC!$D:$D,$B96,DATA_GOC!$F:$F,"Xuất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6" s="61" t="str">
        <f>IF($B96="","",IF(N$4&gt;DAY(EOMONTH(DATE($D$2,$B$2,1),0)),"",SUMIFS(DATA_GOC!$H:$H,DATA_GOC!$A:$A,"BOM",DATA_GOC!$D:$D,$B96,DATA_GOC!$F:$F,"Xuất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6" s="61" t="str">
        <f>IF($B96="","",IF(O$4&gt;DAY(EOMONTH(DATE($D$2,$B$2,1),0)),"",SUMIFS(DATA_GOC!$H:$H,DATA_GOC!$A:$A,"BOM",DATA_GOC!$D:$D,$B96,DATA_GOC!$F:$F,"Xuất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6" s="61" t="str">
        <f>IF($B96="","",IF(P$4&gt;DAY(EOMONTH(DATE($D$2,$B$2,1),0)),"",SUMIFS(DATA_GOC!$H:$H,DATA_GOC!$A:$A,"BOM",DATA_GOC!$D:$D,$B96,DATA_GOC!$F:$F,"Xuất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6" s="61" t="str">
        <f>IF($B96="","",IF(Q$4&gt;DAY(EOMONTH(DATE($D$2,$B$2,1),0)),"",SUMIFS(DATA_GOC!$H:$H,DATA_GOC!$A:$A,"BOM",DATA_GOC!$D:$D,$B96,DATA_GOC!$F:$F,"Xuất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6" s="61" t="str">
        <f>IF($B96="","",IF(R$4&gt;DAY(EOMONTH(DATE($D$2,$B$2,1),0)),"",SUMIFS(DATA_GOC!$H:$H,DATA_GOC!$A:$A,"BOM",DATA_GOC!$D:$D,$B96,DATA_GOC!$F:$F,"Xuất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6" s="61" t="str">
        <f>IF($B96="","",IF(S$4&gt;DAY(EOMONTH(DATE($D$2,$B$2,1),0)),"",SUMIFS(DATA_GOC!$H:$H,DATA_GOC!$A:$A,"BOM",DATA_GOC!$D:$D,$B96,DATA_GOC!$F:$F,"Xuất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6" s="229" t="str">
        <f>IF($B96="","",IF(T$4&gt;DAY(EOMONTH(DATE($D$2,$B$2,1),0)),"",SUMIFS(DATA_GOC!$H:$H,DATA_GOC!$A:$A,"BOM",DATA_GOC!$D:$D,$B96,DATA_GOC!$F:$F,"Xuất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6" s="229" t="str">
        <f>IF($B96="","",IF(U$4&gt;DAY(EOMONTH(DATE($D$2,$B$2,1),0)),"",SUMIFS(DATA_GOC!$H:$H,DATA_GOC!$A:$A,"BOM",DATA_GOC!$D:$D,$B96,DATA_GOC!$F:$F,"Xuất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6" s="229" t="str">
        <f>IF($B96="","",IF(V$4&gt;DAY(EOMONTH(DATE($D$2,$B$2,1),0)),"",SUMIFS(DATA_GOC!$H:$H,DATA_GOC!$A:$A,"BOM",DATA_GOC!$D:$D,$B96,DATA_GOC!$F:$F,"Xuất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6" s="61" t="str">
        <f>IF($B96="","",IF(W$4&gt;DAY(EOMONTH(DATE($D$2,$B$2,1),0)),"",SUMIFS(DATA_GOC!$H:$H,DATA_GOC!$A:$A,"BOM",DATA_GOC!$D:$D,$B96,DATA_GOC!$F:$F,"Xuất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6" s="229" t="str">
        <f>IF($B96="","",IF(X$4&gt;DAY(EOMONTH(DATE($D$2,$B$2,1),0)),"",SUMIFS(DATA_GOC!$H:$H,DATA_GOC!$A:$A,"BOM",DATA_GOC!$D:$D,$B96,DATA_GOC!$F:$F,"Xuất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6" s="229" t="str">
        <f>IF($B96="","",IF(Y$4&gt;DAY(EOMONTH(DATE($D$2,$B$2,1),0)),"",SUMIFS(DATA_GOC!$H:$H,DATA_GOC!$A:$A,"BOM",DATA_GOC!$D:$D,$B96,DATA_GOC!$F:$F,"Xuất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6" s="229" t="str">
        <f>IF($B96="","",IF(Z$4&gt;DAY(EOMONTH(DATE($D$2,$B$2,1),0)),"",SUMIFS(DATA_GOC!$H:$H,DATA_GOC!$A:$A,"BOM",DATA_GOC!$D:$D,$B96,DATA_GOC!$F:$F,"Xuất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6" s="229" t="str">
        <f>IF($B96="","",IF(AA$4&gt;DAY(EOMONTH(DATE($D$2,$B$2,1),0)),"",SUMIFS(DATA_GOC!$H:$H,DATA_GOC!$A:$A,"BOM",DATA_GOC!$D:$D,$B96,DATA_GOC!$F:$F,"Xuất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6" s="229" t="str">
        <f>IF($B96="","",IF(AB$4&gt;DAY(EOMONTH(DATE($D$2,$B$2,1),0)),"",SUMIFS(DATA_GOC!$H:$H,DATA_GOC!$A:$A,"BOM",DATA_GOC!$D:$D,$B96,DATA_GOC!$F:$F,"Xuất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6" s="61" t="str">
        <f>IF($B96="","",IF(AC$4&gt;DAY(EOMONTH(DATE($D$2,$B$2,1),0)),"",SUMIFS(DATA_GOC!$H:$H,DATA_GOC!$A:$A,"BOM",DATA_GOC!$D:$D,$B96,DATA_GOC!$F:$F,"Xuất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6" s="222" t="str">
        <f>IF($B96="","",IF(AD$4&gt;DAY(EOMONTH(DATE($D$2,$B$2,1),0)),"",SUMIFS(DATA_GOC!$H:$H,DATA_GOC!$A:$A,"BOM",DATA_GOC!$D:$D,$B96,DATA_GOC!$F:$F,"Xuất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6" s="222" t="str">
        <f>IF($B96="","",IF(AE$4&gt;DAY(EOMONTH(DATE($D$2,$B$2,1),0)),"",SUMIFS(DATA_GOC!$H:$H,DATA_GOC!$A:$A,"BOM",DATA_GOC!$D:$D,$B96,DATA_GOC!$F:$F,"Xuất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6" s="222" t="str">
        <f>IF($B96="","",IF(AF$4&gt;DAY(EOMONTH(DATE($D$2,$B$2,1),0)),"",SUMIFS(DATA_GOC!$H:$H,DATA_GOC!$A:$A,"BOM",DATA_GOC!$D:$D,$B96,DATA_GOC!$F:$F,"Xuất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6" s="222" t="str">
        <f>IF($B96="","",IF(AG$4&gt;DAY(EOMONTH(DATE($D$2,$B$2,1),0)),"",SUMIFS(DATA_GOC!$H:$H,DATA_GOC!$A:$A,"BOM",DATA_GOC!$D:$D,$B96,DATA_GOC!$F:$F,"Xuất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6" s="222" t="str">
        <f t="shared" si="2"/>
        <v/>
      </c>
      <c r="AI96" s="222" t="str">
        <f>IF($B96="","",SUMIFS(DATA_GOC!$H:$H,DATA_GOC!$A:$A,"BOM",DATA_GOC!$D:$D,$B96,DATA_GOC!$F:$F,"Bơm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6" s="222" t="str">
        <f t="shared" si="3"/>
        <v/>
      </c>
      <c r="AM96" s="222" t="str">
        <f>IF($B96="","",SUMIFS(DATA_GOC!$K:$K,DATA_GOC!$A:$A,"BOM",DATA_GOC!$D:$D,$B96,DATA_GOC!$G:$G,"DO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6" s="222" t="str">
        <f t="shared" si="4"/>
        <v/>
      </c>
      <c r="AO96" s="227" t="str">
        <f t="shared" si="5"/>
        <v/>
      </c>
      <c r="AP96" s="226" t="str">
        <f>IF($B96="","",IFERROR(AO96-(SUMIFS(DATA_GOC!$H:$H,DATA_GOC!$A:$A,"BOM",DATA_GOC!$D:$D,$B96,DATA_GOC!$F:$F,"Xuất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6" s="59">
        <v>3.0</v>
      </c>
      <c r="AR96" s="59">
        <v>2026.0</v>
      </c>
      <c r="AS96" s="59" t="s">
        <v>334</v>
      </c>
      <c r="AT96" s="59">
        <v>485.034</v>
      </c>
      <c r="AU96" s="59">
        <v>480.0</v>
      </c>
      <c r="AV96" s="59">
        <v>965.034</v>
      </c>
      <c r="AW96" s="59">
        <v>1105.0</v>
      </c>
      <c r="AX96" s="59">
        <v>87.3333936651584</v>
      </c>
      <c r="AY96" s="59">
        <v>482.742</v>
      </c>
      <c r="AZ96" s="59">
        <v>482.292</v>
      </c>
      <c r="BA96" s="59">
        <v>25.742</v>
      </c>
      <c r="BB96" s="59">
        <v>0.0</v>
      </c>
      <c r="BC96" s="59" t="s">
        <v>451</v>
      </c>
    </row>
    <row r="97" ht="15.0" customHeight="1">
      <c r="A97" s="61" t="str">
        <f t="shared" si="1"/>
        <v/>
      </c>
      <c r="B97" s="228" t="str">
        <f t="array" ref="B97">IFERROR(INDEX(DANH_MUC!$E:$E,ROW()-1),"")</f>
        <v/>
      </c>
      <c r="C97" s="228" t="str">
        <f>IF($B97="","",IF(C$4&gt;DAY(EOMONTH(DATE($D$2,$B$2,1),0)),"",SUMIFS(DATA_GOC!$H:$H,DATA_GOC!$A:$A,"BOM",DATA_GOC!$D:$D,$B97,DATA_GOC!$F:$F,"Xuất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7" s="61" t="str">
        <f>IF($B97="","",IF(D$4&gt;DAY(EOMONTH(DATE($D$2,$B$2,1),0)),"",SUMIFS(DATA_GOC!$H:$H,DATA_GOC!$A:$A,"BOM",DATA_GOC!$D:$D,$B97,DATA_GOC!$F:$F,"Xuất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7" s="229" t="str">
        <f>IF($B97="","",IF(E$4&gt;DAY(EOMONTH(DATE($D$2,$B$2,1),0)),"",SUMIFS(DATA_GOC!$H:$H,DATA_GOC!$A:$A,"BOM",DATA_GOC!$D:$D,$B97,DATA_GOC!$F:$F,"Xuất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7" s="229" t="str">
        <f>IF($B97="","",IF(F$4&gt;DAY(EOMONTH(DATE($D$2,$B$2,1),0)),"",SUMIFS(DATA_GOC!$H:$H,DATA_GOC!$A:$A,"BOM",DATA_GOC!$D:$D,$B97,DATA_GOC!$F:$F,"Xuất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7" s="229" t="str">
        <f>IF($B97="","",IF(G$4&gt;DAY(EOMONTH(DATE($D$2,$B$2,1),0)),"",SUMIFS(DATA_GOC!$H:$H,DATA_GOC!$A:$A,"BOM",DATA_GOC!$D:$D,$B97,DATA_GOC!$F:$F,"Xuất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7" s="228" t="str">
        <f>IF($B97="","",IF(H$4&gt;DAY(EOMONTH(DATE($D$2,$B$2,1),0)),"",SUMIFS(DATA_GOC!$H:$H,DATA_GOC!$A:$A,"BOM",DATA_GOC!$D:$D,$B97,DATA_GOC!$F:$F,"Xuất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7" s="229" t="str">
        <f>IF($B97="","",IF(I$4&gt;DAY(EOMONTH(DATE($D$2,$B$2,1),0)),"",SUMIFS(DATA_GOC!$H:$H,DATA_GOC!$A:$A,"BOM",DATA_GOC!$D:$D,$B97,DATA_GOC!$F:$F,"Xuất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7" s="229" t="str">
        <f>IF($B97="","",IF(J$4&gt;DAY(EOMONTH(DATE($D$2,$B$2,1),0)),"",SUMIFS(DATA_GOC!$H:$H,DATA_GOC!$A:$A,"BOM",DATA_GOC!$D:$D,$B97,DATA_GOC!$F:$F,"Xuất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7" s="229" t="str">
        <f>IF($B97="","",IF(K$4&gt;DAY(EOMONTH(DATE($D$2,$B$2,1),0)),"",SUMIFS(DATA_GOC!$H:$H,DATA_GOC!$A:$A,"BOM",DATA_GOC!$D:$D,$B97,DATA_GOC!$F:$F,"Xuất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7" s="229" t="str">
        <f>IF($B97="","",IF(L$4&gt;DAY(EOMONTH(DATE($D$2,$B$2,1),0)),"",SUMIFS(DATA_GOC!$H:$H,DATA_GOC!$A:$A,"BOM",DATA_GOC!$D:$D,$B97,DATA_GOC!$F:$F,"Xuất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7" s="229" t="str">
        <f>IF($B97="","",IF(M$4&gt;DAY(EOMONTH(DATE($D$2,$B$2,1),0)),"",SUMIFS(DATA_GOC!$H:$H,DATA_GOC!$A:$A,"BOM",DATA_GOC!$D:$D,$B97,DATA_GOC!$F:$F,"Xuất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7" s="61" t="str">
        <f>IF($B97="","",IF(N$4&gt;DAY(EOMONTH(DATE($D$2,$B$2,1),0)),"",SUMIFS(DATA_GOC!$H:$H,DATA_GOC!$A:$A,"BOM",DATA_GOC!$D:$D,$B97,DATA_GOC!$F:$F,"Xuất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7" s="61" t="str">
        <f>IF($B97="","",IF(O$4&gt;DAY(EOMONTH(DATE($D$2,$B$2,1),0)),"",SUMIFS(DATA_GOC!$H:$H,DATA_GOC!$A:$A,"BOM",DATA_GOC!$D:$D,$B97,DATA_GOC!$F:$F,"Xuất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7" s="61" t="str">
        <f>IF($B97="","",IF(P$4&gt;DAY(EOMONTH(DATE($D$2,$B$2,1),0)),"",SUMIFS(DATA_GOC!$H:$H,DATA_GOC!$A:$A,"BOM",DATA_GOC!$D:$D,$B97,DATA_GOC!$F:$F,"Xuất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7" s="61" t="str">
        <f>IF($B97="","",IF(Q$4&gt;DAY(EOMONTH(DATE($D$2,$B$2,1),0)),"",SUMIFS(DATA_GOC!$H:$H,DATA_GOC!$A:$A,"BOM",DATA_GOC!$D:$D,$B97,DATA_GOC!$F:$F,"Xuất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7" s="61" t="str">
        <f>IF($B97="","",IF(R$4&gt;DAY(EOMONTH(DATE($D$2,$B$2,1),0)),"",SUMIFS(DATA_GOC!$H:$H,DATA_GOC!$A:$A,"BOM",DATA_GOC!$D:$D,$B97,DATA_GOC!$F:$F,"Xuất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7" s="61" t="str">
        <f>IF($B97="","",IF(S$4&gt;DAY(EOMONTH(DATE($D$2,$B$2,1),0)),"",SUMIFS(DATA_GOC!$H:$H,DATA_GOC!$A:$A,"BOM",DATA_GOC!$D:$D,$B97,DATA_GOC!$F:$F,"Xuất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7" s="229" t="str">
        <f>IF($B97="","",IF(T$4&gt;DAY(EOMONTH(DATE($D$2,$B$2,1),0)),"",SUMIFS(DATA_GOC!$H:$H,DATA_GOC!$A:$A,"BOM",DATA_GOC!$D:$D,$B97,DATA_GOC!$F:$F,"Xuất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7" s="229" t="str">
        <f>IF($B97="","",IF(U$4&gt;DAY(EOMONTH(DATE($D$2,$B$2,1),0)),"",SUMIFS(DATA_GOC!$H:$H,DATA_GOC!$A:$A,"BOM",DATA_GOC!$D:$D,$B97,DATA_GOC!$F:$F,"Xuất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7" s="229" t="str">
        <f>IF($B97="","",IF(V$4&gt;DAY(EOMONTH(DATE($D$2,$B$2,1),0)),"",SUMIFS(DATA_GOC!$H:$H,DATA_GOC!$A:$A,"BOM",DATA_GOC!$D:$D,$B97,DATA_GOC!$F:$F,"Xuất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7" s="61" t="str">
        <f>IF($B97="","",IF(W$4&gt;DAY(EOMONTH(DATE($D$2,$B$2,1),0)),"",SUMIFS(DATA_GOC!$H:$H,DATA_GOC!$A:$A,"BOM",DATA_GOC!$D:$D,$B97,DATA_GOC!$F:$F,"Xuất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7" s="229" t="str">
        <f>IF($B97="","",IF(X$4&gt;DAY(EOMONTH(DATE($D$2,$B$2,1),0)),"",SUMIFS(DATA_GOC!$H:$H,DATA_GOC!$A:$A,"BOM",DATA_GOC!$D:$D,$B97,DATA_GOC!$F:$F,"Xuất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7" s="229" t="str">
        <f>IF($B97="","",IF(Y$4&gt;DAY(EOMONTH(DATE($D$2,$B$2,1),0)),"",SUMIFS(DATA_GOC!$H:$H,DATA_GOC!$A:$A,"BOM",DATA_GOC!$D:$D,$B97,DATA_GOC!$F:$F,"Xuất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7" s="229" t="str">
        <f>IF($B97="","",IF(Z$4&gt;DAY(EOMONTH(DATE($D$2,$B$2,1),0)),"",SUMIFS(DATA_GOC!$H:$H,DATA_GOC!$A:$A,"BOM",DATA_GOC!$D:$D,$B97,DATA_GOC!$F:$F,"Xuất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7" s="229" t="str">
        <f>IF($B97="","",IF(AA$4&gt;DAY(EOMONTH(DATE($D$2,$B$2,1),0)),"",SUMIFS(DATA_GOC!$H:$H,DATA_GOC!$A:$A,"BOM",DATA_GOC!$D:$D,$B97,DATA_GOC!$F:$F,"Xuất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7" s="229" t="str">
        <f>IF($B97="","",IF(AB$4&gt;DAY(EOMONTH(DATE($D$2,$B$2,1),0)),"",SUMIFS(DATA_GOC!$H:$H,DATA_GOC!$A:$A,"BOM",DATA_GOC!$D:$D,$B97,DATA_GOC!$F:$F,"Xuất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7" s="61" t="str">
        <f>IF($B97="","",IF(AC$4&gt;DAY(EOMONTH(DATE($D$2,$B$2,1),0)),"",SUMIFS(DATA_GOC!$H:$H,DATA_GOC!$A:$A,"BOM",DATA_GOC!$D:$D,$B97,DATA_GOC!$F:$F,"Xuất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7" s="222" t="str">
        <f>IF($B97="","",IF(AD$4&gt;DAY(EOMONTH(DATE($D$2,$B$2,1),0)),"",SUMIFS(DATA_GOC!$H:$H,DATA_GOC!$A:$A,"BOM",DATA_GOC!$D:$D,$B97,DATA_GOC!$F:$F,"Xuất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7" s="222" t="str">
        <f>IF($B97="","",IF(AE$4&gt;DAY(EOMONTH(DATE($D$2,$B$2,1),0)),"",SUMIFS(DATA_GOC!$H:$H,DATA_GOC!$A:$A,"BOM",DATA_GOC!$D:$D,$B97,DATA_GOC!$F:$F,"Xuất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7" s="222" t="str">
        <f>IF($B97="","",IF(AF$4&gt;DAY(EOMONTH(DATE($D$2,$B$2,1),0)),"",SUMIFS(DATA_GOC!$H:$H,DATA_GOC!$A:$A,"BOM",DATA_GOC!$D:$D,$B97,DATA_GOC!$F:$F,"Xuất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7" s="222" t="str">
        <f>IF($B97="","",IF(AG$4&gt;DAY(EOMONTH(DATE($D$2,$B$2,1),0)),"",SUMIFS(DATA_GOC!$H:$H,DATA_GOC!$A:$A,"BOM",DATA_GOC!$D:$D,$B97,DATA_GOC!$F:$F,"Xuất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7" s="222" t="str">
        <f t="shared" si="2"/>
        <v/>
      </c>
      <c r="AI97" s="222" t="str">
        <f>IF($B97="","",SUMIFS(DATA_GOC!$H:$H,DATA_GOC!$A:$A,"BOM",DATA_GOC!$D:$D,$B97,DATA_GOC!$F:$F,"Bơm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7" s="222" t="str">
        <f t="shared" si="3"/>
        <v/>
      </c>
      <c r="AM97" s="222" t="str">
        <f>IF($B97="","",SUMIFS(DATA_GOC!$K:$K,DATA_GOC!$A:$A,"BOM",DATA_GOC!$D:$D,$B97,DATA_GOC!$G:$G,"DO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7" s="222" t="str">
        <f t="shared" si="4"/>
        <v/>
      </c>
      <c r="AO97" s="227" t="str">
        <f t="shared" si="5"/>
        <v/>
      </c>
      <c r="AP97" s="226" t="str">
        <f>IF($B97="","",IFERROR(AO97-(SUMIFS(DATA_GOC!$H:$H,DATA_GOC!$A:$A,"BOM",DATA_GOC!$D:$D,$B97,DATA_GOC!$F:$F,"Xuất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7" s="59">
        <v>3.0</v>
      </c>
      <c r="AR97" s="59">
        <v>2026.0</v>
      </c>
      <c r="AS97" s="59" t="s">
        <v>119</v>
      </c>
      <c r="AT97" s="59">
        <v>1483.932</v>
      </c>
      <c r="AU97" s="59">
        <v>120.0</v>
      </c>
      <c r="AV97" s="59">
        <v>1603.932</v>
      </c>
      <c r="AW97" s="59">
        <v>3648.0</v>
      </c>
      <c r="AX97" s="59">
        <v>43.9674342105263</v>
      </c>
      <c r="AY97" s="59">
        <v>12.008</v>
      </c>
      <c r="AZ97" s="59">
        <v>1591.924</v>
      </c>
      <c r="BA97" s="59">
        <v>12.008</v>
      </c>
      <c r="BB97" s="59">
        <v>0.0</v>
      </c>
      <c r="BC97" s="59" t="s">
        <v>452</v>
      </c>
    </row>
    <row r="98" ht="15.0" customHeight="1">
      <c r="A98" s="61" t="str">
        <f t="shared" si="1"/>
        <v/>
      </c>
      <c r="B98" s="228" t="str">
        <f t="array" ref="B98">IFERROR(INDEX(DANH_MUC!$E:$E,ROW()-1),"")</f>
        <v/>
      </c>
      <c r="C98" s="228" t="str">
        <f>IF($B98="","",IF(C$4&gt;DAY(EOMONTH(DATE($D$2,$B$2,1),0)),"",SUMIFS(DATA_GOC!$H:$H,DATA_GOC!$A:$A,"BOM",DATA_GOC!$D:$D,$B98,DATA_GOC!$F:$F,"Xuất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8" s="61" t="str">
        <f>IF($B98="","",IF(D$4&gt;DAY(EOMONTH(DATE($D$2,$B$2,1),0)),"",SUMIFS(DATA_GOC!$H:$H,DATA_GOC!$A:$A,"BOM",DATA_GOC!$D:$D,$B98,DATA_GOC!$F:$F,"Xuất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8" s="229" t="str">
        <f>IF($B98="","",IF(E$4&gt;DAY(EOMONTH(DATE($D$2,$B$2,1),0)),"",SUMIFS(DATA_GOC!$H:$H,DATA_GOC!$A:$A,"BOM",DATA_GOC!$D:$D,$B98,DATA_GOC!$F:$F,"Xuất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8" s="229" t="str">
        <f>IF($B98="","",IF(F$4&gt;DAY(EOMONTH(DATE($D$2,$B$2,1),0)),"",SUMIFS(DATA_GOC!$H:$H,DATA_GOC!$A:$A,"BOM",DATA_GOC!$D:$D,$B98,DATA_GOC!$F:$F,"Xuất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8" s="229" t="str">
        <f>IF($B98="","",IF(G$4&gt;DAY(EOMONTH(DATE($D$2,$B$2,1),0)),"",SUMIFS(DATA_GOC!$H:$H,DATA_GOC!$A:$A,"BOM",DATA_GOC!$D:$D,$B98,DATA_GOC!$F:$F,"Xuất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8" s="228" t="str">
        <f>IF($B98="","",IF(H$4&gt;DAY(EOMONTH(DATE($D$2,$B$2,1),0)),"",SUMIFS(DATA_GOC!$H:$H,DATA_GOC!$A:$A,"BOM",DATA_GOC!$D:$D,$B98,DATA_GOC!$F:$F,"Xuất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8" s="229" t="str">
        <f>IF($B98="","",IF(I$4&gt;DAY(EOMONTH(DATE($D$2,$B$2,1),0)),"",SUMIFS(DATA_GOC!$H:$H,DATA_GOC!$A:$A,"BOM",DATA_GOC!$D:$D,$B98,DATA_GOC!$F:$F,"Xuất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8" s="229" t="str">
        <f>IF($B98="","",IF(J$4&gt;DAY(EOMONTH(DATE($D$2,$B$2,1),0)),"",SUMIFS(DATA_GOC!$H:$H,DATA_GOC!$A:$A,"BOM",DATA_GOC!$D:$D,$B98,DATA_GOC!$F:$F,"Xuất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8" s="229" t="str">
        <f>IF($B98="","",IF(K$4&gt;DAY(EOMONTH(DATE($D$2,$B$2,1),0)),"",SUMIFS(DATA_GOC!$H:$H,DATA_GOC!$A:$A,"BOM",DATA_GOC!$D:$D,$B98,DATA_GOC!$F:$F,"Xuất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8" s="229" t="str">
        <f>IF($B98="","",IF(L$4&gt;DAY(EOMONTH(DATE($D$2,$B$2,1),0)),"",SUMIFS(DATA_GOC!$H:$H,DATA_GOC!$A:$A,"BOM",DATA_GOC!$D:$D,$B98,DATA_GOC!$F:$F,"Xuất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8" s="229" t="str">
        <f>IF($B98="","",IF(M$4&gt;DAY(EOMONTH(DATE($D$2,$B$2,1),0)),"",SUMIFS(DATA_GOC!$H:$H,DATA_GOC!$A:$A,"BOM",DATA_GOC!$D:$D,$B98,DATA_GOC!$F:$F,"Xuất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8" s="61" t="str">
        <f>IF($B98="","",IF(N$4&gt;DAY(EOMONTH(DATE($D$2,$B$2,1),0)),"",SUMIFS(DATA_GOC!$H:$H,DATA_GOC!$A:$A,"BOM",DATA_GOC!$D:$D,$B98,DATA_GOC!$F:$F,"Xuất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8" s="61" t="str">
        <f>IF($B98="","",IF(O$4&gt;DAY(EOMONTH(DATE($D$2,$B$2,1),0)),"",SUMIFS(DATA_GOC!$H:$H,DATA_GOC!$A:$A,"BOM",DATA_GOC!$D:$D,$B98,DATA_GOC!$F:$F,"Xuất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8" s="61" t="str">
        <f>IF($B98="","",IF(P$4&gt;DAY(EOMONTH(DATE($D$2,$B$2,1),0)),"",SUMIFS(DATA_GOC!$H:$H,DATA_GOC!$A:$A,"BOM",DATA_GOC!$D:$D,$B98,DATA_GOC!$F:$F,"Xuất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8" s="61" t="str">
        <f>IF($B98="","",IF(Q$4&gt;DAY(EOMONTH(DATE($D$2,$B$2,1),0)),"",SUMIFS(DATA_GOC!$H:$H,DATA_GOC!$A:$A,"BOM",DATA_GOC!$D:$D,$B98,DATA_GOC!$F:$F,"Xuất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8" s="61" t="str">
        <f>IF($B98="","",IF(R$4&gt;DAY(EOMONTH(DATE($D$2,$B$2,1),0)),"",SUMIFS(DATA_GOC!$H:$H,DATA_GOC!$A:$A,"BOM",DATA_GOC!$D:$D,$B98,DATA_GOC!$F:$F,"Xuất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8" s="61" t="str">
        <f>IF($B98="","",IF(S$4&gt;DAY(EOMONTH(DATE($D$2,$B$2,1),0)),"",SUMIFS(DATA_GOC!$H:$H,DATA_GOC!$A:$A,"BOM",DATA_GOC!$D:$D,$B98,DATA_GOC!$F:$F,"Xuất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8" s="229" t="str">
        <f>IF($B98="","",IF(T$4&gt;DAY(EOMONTH(DATE($D$2,$B$2,1),0)),"",SUMIFS(DATA_GOC!$H:$H,DATA_GOC!$A:$A,"BOM",DATA_GOC!$D:$D,$B98,DATA_GOC!$F:$F,"Xuất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8" s="229" t="str">
        <f>IF($B98="","",IF(U$4&gt;DAY(EOMONTH(DATE($D$2,$B$2,1),0)),"",SUMIFS(DATA_GOC!$H:$H,DATA_GOC!$A:$A,"BOM",DATA_GOC!$D:$D,$B98,DATA_GOC!$F:$F,"Xuất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8" s="229" t="str">
        <f>IF($B98="","",IF(V$4&gt;DAY(EOMONTH(DATE($D$2,$B$2,1),0)),"",SUMIFS(DATA_GOC!$H:$H,DATA_GOC!$A:$A,"BOM",DATA_GOC!$D:$D,$B98,DATA_GOC!$F:$F,"Xuất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8" s="61" t="str">
        <f>IF($B98="","",IF(W$4&gt;DAY(EOMONTH(DATE($D$2,$B$2,1),0)),"",SUMIFS(DATA_GOC!$H:$H,DATA_GOC!$A:$A,"BOM",DATA_GOC!$D:$D,$B98,DATA_GOC!$F:$F,"Xuất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8" s="229" t="str">
        <f>IF($B98="","",IF(X$4&gt;DAY(EOMONTH(DATE($D$2,$B$2,1),0)),"",SUMIFS(DATA_GOC!$H:$H,DATA_GOC!$A:$A,"BOM",DATA_GOC!$D:$D,$B98,DATA_GOC!$F:$F,"Xuất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8" s="229" t="str">
        <f>IF($B98="","",IF(Y$4&gt;DAY(EOMONTH(DATE($D$2,$B$2,1),0)),"",SUMIFS(DATA_GOC!$H:$H,DATA_GOC!$A:$A,"BOM",DATA_GOC!$D:$D,$B98,DATA_GOC!$F:$F,"Xuất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8" s="229" t="str">
        <f>IF($B98="","",IF(Z$4&gt;DAY(EOMONTH(DATE($D$2,$B$2,1),0)),"",SUMIFS(DATA_GOC!$H:$H,DATA_GOC!$A:$A,"BOM",DATA_GOC!$D:$D,$B98,DATA_GOC!$F:$F,"Xuất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8" s="229" t="str">
        <f>IF($B98="","",IF(AA$4&gt;DAY(EOMONTH(DATE($D$2,$B$2,1),0)),"",SUMIFS(DATA_GOC!$H:$H,DATA_GOC!$A:$A,"BOM",DATA_GOC!$D:$D,$B98,DATA_GOC!$F:$F,"Xuất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8" s="229" t="str">
        <f>IF($B98="","",IF(AB$4&gt;DAY(EOMONTH(DATE($D$2,$B$2,1),0)),"",SUMIFS(DATA_GOC!$H:$H,DATA_GOC!$A:$A,"BOM",DATA_GOC!$D:$D,$B98,DATA_GOC!$F:$F,"Xuất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8" s="61" t="str">
        <f>IF($B98="","",IF(AC$4&gt;DAY(EOMONTH(DATE($D$2,$B$2,1),0)),"",SUMIFS(DATA_GOC!$H:$H,DATA_GOC!$A:$A,"BOM",DATA_GOC!$D:$D,$B98,DATA_GOC!$F:$F,"Xuất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8" s="222" t="str">
        <f>IF($B98="","",IF(AD$4&gt;DAY(EOMONTH(DATE($D$2,$B$2,1),0)),"",SUMIFS(DATA_GOC!$H:$H,DATA_GOC!$A:$A,"BOM",DATA_GOC!$D:$D,$B98,DATA_GOC!$F:$F,"Xuất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8" s="222" t="str">
        <f>IF($B98="","",IF(AE$4&gt;DAY(EOMONTH(DATE($D$2,$B$2,1),0)),"",SUMIFS(DATA_GOC!$H:$H,DATA_GOC!$A:$A,"BOM",DATA_GOC!$D:$D,$B98,DATA_GOC!$F:$F,"Xuất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8" s="222" t="str">
        <f>IF($B98="","",IF(AF$4&gt;DAY(EOMONTH(DATE($D$2,$B$2,1),0)),"",SUMIFS(DATA_GOC!$H:$H,DATA_GOC!$A:$A,"BOM",DATA_GOC!$D:$D,$B98,DATA_GOC!$F:$F,"Xuất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8" s="222" t="str">
        <f>IF($B98="","",IF(AG$4&gt;DAY(EOMONTH(DATE($D$2,$B$2,1),0)),"",SUMIFS(DATA_GOC!$H:$H,DATA_GOC!$A:$A,"BOM",DATA_GOC!$D:$D,$B98,DATA_GOC!$F:$F,"Xuất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8" s="222" t="str">
        <f t="shared" si="2"/>
        <v/>
      </c>
      <c r="AI98" s="222" t="str">
        <f>IF($B98="","",SUMIFS(DATA_GOC!$H:$H,DATA_GOC!$A:$A,"BOM",DATA_GOC!$D:$D,$B98,DATA_GOC!$F:$F,"Bơm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8" s="222" t="str">
        <f t="shared" si="3"/>
        <v/>
      </c>
      <c r="AM98" s="222" t="str">
        <f>IF($B98="","",SUMIFS(DATA_GOC!$K:$K,DATA_GOC!$A:$A,"BOM",DATA_GOC!$D:$D,$B98,DATA_GOC!$G:$G,"DO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8" s="222" t="str">
        <f t="shared" si="4"/>
        <v/>
      </c>
      <c r="AO98" s="227" t="str">
        <f t="shared" si="5"/>
        <v/>
      </c>
      <c r="AP98" s="226" t="str">
        <f>IF($B98="","",IFERROR(AO98-(SUMIFS(DATA_GOC!$H:$H,DATA_GOC!$A:$A,"BOM",DATA_GOC!$D:$D,$B98,DATA_GOC!$F:$F,"Xuất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8" s="59">
        <v>3.0</v>
      </c>
      <c r="AR98" s="59">
        <v>2026.0</v>
      </c>
      <c r="AS98" s="59" t="s">
        <v>100</v>
      </c>
      <c r="AT98" s="59">
        <v>2414.036</v>
      </c>
      <c r="AU98" s="59">
        <v>0.0</v>
      </c>
      <c r="AV98" s="59">
        <v>2414.036</v>
      </c>
      <c r="AW98" s="59">
        <v>5324.0</v>
      </c>
      <c r="AX98" s="59">
        <v>45.342524417731</v>
      </c>
      <c r="AY98" s="59">
        <v>890.58</v>
      </c>
      <c r="AZ98" s="59">
        <v>1523.456</v>
      </c>
      <c r="BA98" s="59">
        <v>44.58</v>
      </c>
      <c r="BB98" s="59">
        <v>0.0</v>
      </c>
      <c r="BC98" s="59" t="s">
        <v>453</v>
      </c>
    </row>
    <row r="99" ht="15.0" customHeight="1">
      <c r="A99" s="61" t="str">
        <f t="shared" si="1"/>
        <v/>
      </c>
      <c r="B99" s="228" t="str">
        <f t="array" ref="B99">IFERROR(INDEX(DANH_MUC!$E:$E,ROW()-1),"")</f>
        <v/>
      </c>
      <c r="C99" s="228" t="str">
        <f>IF($B99="","",IF(C$4&gt;DAY(EOMONTH(DATE($D$2,$B$2,1),0)),"",SUMIFS(DATA_GOC!$H:$H,DATA_GOC!$A:$A,"BOM",DATA_GOC!$D:$D,$B99,DATA_GOC!$F:$F,"Xuất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99" s="61" t="str">
        <f>IF($B99="","",IF(D$4&gt;DAY(EOMONTH(DATE($D$2,$B$2,1),0)),"",SUMIFS(DATA_GOC!$H:$H,DATA_GOC!$A:$A,"BOM",DATA_GOC!$D:$D,$B99,DATA_GOC!$F:$F,"Xuất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99" s="229" t="str">
        <f>IF($B99="","",IF(E$4&gt;DAY(EOMONTH(DATE($D$2,$B$2,1),0)),"",SUMIFS(DATA_GOC!$H:$H,DATA_GOC!$A:$A,"BOM",DATA_GOC!$D:$D,$B99,DATA_GOC!$F:$F,"Xuất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99" s="229" t="str">
        <f>IF($B99="","",IF(F$4&gt;DAY(EOMONTH(DATE($D$2,$B$2,1),0)),"",SUMIFS(DATA_GOC!$H:$H,DATA_GOC!$A:$A,"BOM",DATA_GOC!$D:$D,$B99,DATA_GOC!$F:$F,"Xuất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99" s="229" t="str">
        <f>IF($B99="","",IF(G$4&gt;DAY(EOMONTH(DATE($D$2,$B$2,1),0)),"",SUMIFS(DATA_GOC!$H:$H,DATA_GOC!$A:$A,"BOM",DATA_GOC!$D:$D,$B99,DATA_GOC!$F:$F,"Xuất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99" s="228" t="str">
        <f>IF($B99="","",IF(H$4&gt;DAY(EOMONTH(DATE($D$2,$B$2,1),0)),"",SUMIFS(DATA_GOC!$H:$H,DATA_GOC!$A:$A,"BOM",DATA_GOC!$D:$D,$B99,DATA_GOC!$F:$F,"Xuất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99" s="229" t="str">
        <f>IF($B99="","",IF(I$4&gt;DAY(EOMONTH(DATE($D$2,$B$2,1),0)),"",SUMIFS(DATA_GOC!$H:$H,DATA_GOC!$A:$A,"BOM",DATA_GOC!$D:$D,$B99,DATA_GOC!$F:$F,"Xuất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99" s="229" t="str">
        <f>IF($B99="","",IF(J$4&gt;DAY(EOMONTH(DATE($D$2,$B$2,1),0)),"",SUMIFS(DATA_GOC!$H:$H,DATA_GOC!$A:$A,"BOM",DATA_GOC!$D:$D,$B99,DATA_GOC!$F:$F,"Xuất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99" s="229" t="str">
        <f>IF($B99="","",IF(K$4&gt;DAY(EOMONTH(DATE($D$2,$B$2,1),0)),"",SUMIFS(DATA_GOC!$H:$H,DATA_GOC!$A:$A,"BOM",DATA_GOC!$D:$D,$B99,DATA_GOC!$F:$F,"Xuất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99" s="229" t="str">
        <f>IF($B99="","",IF(L$4&gt;DAY(EOMONTH(DATE($D$2,$B$2,1),0)),"",SUMIFS(DATA_GOC!$H:$H,DATA_GOC!$A:$A,"BOM",DATA_GOC!$D:$D,$B99,DATA_GOC!$F:$F,"Xuất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99" s="229" t="str">
        <f>IF($B99="","",IF(M$4&gt;DAY(EOMONTH(DATE($D$2,$B$2,1),0)),"",SUMIFS(DATA_GOC!$H:$H,DATA_GOC!$A:$A,"BOM",DATA_GOC!$D:$D,$B99,DATA_GOC!$F:$F,"Xuất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99" s="61" t="str">
        <f>IF($B99="","",IF(N$4&gt;DAY(EOMONTH(DATE($D$2,$B$2,1),0)),"",SUMIFS(DATA_GOC!$H:$H,DATA_GOC!$A:$A,"BOM",DATA_GOC!$D:$D,$B99,DATA_GOC!$F:$F,"Xuất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99" s="61" t="str">
        <f>IF($B99="","",IF(O$4&gt;DAY(EOMONTH(DATE($D$2,$B$2,1),0)),"",SUMIFS(DATA_GOC!$H:$H,DATA_GOC!$A:$A,"BOM",DATA_GOC!$D:$D,$B99,DATA_GOC!$F:$F,"Xuất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99" s="61" t="str">
        <f>IF($B99="","",IF(P$4&gt;DAY(EOMONTH(DATE($D$2,$B$2,1),0)),"",SUMIFS(DATA_GOC!$H:$H,DATA_GOC!$A:$A,"BOM",DATA_GOC!$D:$D,$B99,DATA_GOC!$F:$F,"Xuất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99" s="61" t="str">
        <f>IF($B99="","",IF(Q$4&gt;DAY(EOMONTH(DATE($D$2,$B$2,1),0)),"",SUMIFS(DATA_GOC!$H:$H,DATA_GOC!$A:$A,"BOM",DATA_GOC!$D:$D,$B99,DATA_GOC!$F:$F,"Xuất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99" s="61" t="str">
        <f>IF($B99="","",IF(R$4&gt;DAY(EOMONTH(DATE($D$2,$B$2,1),0)),"",SUMIFS(DATA_GOC!$H:$H,DATA_GOC!$A:$A,"BOM",DATA_GOC!$D:$D,$B99,DATA_GOC!$F:$F,"Xuất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99" s="61" t="str">
        <f>IF($B99="","",IF(S$4&gt;DAY(EOMONTH(DATE($D$2,$B$2,1),0)),"",SUMIFS(DATA_GOC!$H:$H,DATA_GOC!$A:$A,"BOM",DATA_GOC!$D:$D,$B99,DATA_GOC!$F:$F,"Xuất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99" s="229" t="str">
        <f>IF($B99="","",IF(T$4&gt;DAY(EOMONTH(DATE($D$2,$B$2,1),0)),"",SUMIFS(DATA_GOC!$H:$H,DATA_GOC!$A:$A,"BOM",DATA_GOC!$D:$D,$B99,DATA_GOC!$F:$F,"Xuất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99" s="229" t="str">
        <f>IF($B99="","",IF(U$4&gt;DAY(EOMONTH(DATE($D$2,$B$2,1),0)),"",SUMIFS(DATA_GOC!$H:$H,DATA_GOC!$A:$A,"BOM",DATA_GOC!$D:$D,$B99,DATA_GOC!$F:$F,"Xuất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99" s="229" t="str">
        <f>IF($B99="","",IF(V$4&gt;DAY(EOMONTH(DATE($D$2,$B$2,1),0)),"",SUMIFS(DATA_GOC!$H:$H,DATA_GOC!$A:$A,"BOM",DATA_GOC!$D:$D,$B99,DATA_GOC!$F:$F,"Xuất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99" s="61" t="str">
        <f>IF($B99="","",IF(W$4&gt;DAY(EOMONTH(DATE($D$2,$B$2,1),0)),"",SUMIFS(DATA_GOC!$H:$H,DATA_GOC!$A:$A,"BOM",DATA_GOC!$D:$D,$B99,DATA_GOC!$F:$F,"Xuất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99" s="229" t="str">
        <f>IF($B99="","",IF(X$4&gt;DAY(EOMONTH(DATE($D$2,$B$2,1),0)),"",SUMIFS(DATA_GOC!$H:$H,DATA_GOC!$A:$A,"BOM",DATA_GOC!$D:$D,$B99,DATA_GOC!$F:$F,"Xuất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99" s="229" t="str">
        <f>IF($B99="","",IF(Y$4&gt;DAY(EOMONTH(DATE($D$2,$B$2,1),0)),"",SUMIFS(DATA_GOC!$H:$H,DATA_GOC!$A:$A,"BOM",DATA_GOC!$D:$D,$B99,DATA_GOC!$F:$F,"Xuất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99" s="229" t="str">
        <f>IF($B99="","",IF(Z$4&gt;DAY(EOMONTH(DATE($D$2,$B$2,1),0)),"",SUMIFS(DATA_GOC!$H:$H,DATA_GOC!$A:$A,"BOM",DATA_GOC!$D:$D,$B99,DATA_GOC!$F:$F,"Xuất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99" s="229" t="str">
        <f>IF($B99="","",IF(AA$4&gt;DAY(EOMONTH(DATE($D$2,$B$2,1),0)),"",SUMIFS(DATA_GOC!$H:$H,DATA_GOC!$A:$A,"BOM",DATA_GOC!$D:$D,$B99,DATA_GOC!$F:$F,"Xuất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99" s="229" t="str">
        <f>IF($B99="","",IF(AB$4&gt;DAY(EOMONTH(DATE($D$2,$B$2,1),0)),"",SUMIFS(DATA_GOC!$H:$H,DATA_GOC!$A:$A,"BOM",DATA_GOC!$D:$D,$B99,DATA_GOC!$F:$F,"Xuất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99" s="61" t="str">
        <f>IF($B99="","",IF(AC$4&gt;DAY(EOMONTH(DATE($D$2,$B$2,1),0)),"",SUMIFS(DATA_GOC!$H:$H,DATA_GOC!$A:$A,"BOM",DATA_GOC!$D:$D,$B99,DATA_GOC!$F:$F,"Xuất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99" s="222" t="str">
        <f>IF($B99="","",IF(AD$4&gt;DAY(EOMONTH(DATE($D$2,$B$2,1),0)),"",SUMIFS(DATA_GOC!$H:$H,DATA_GOC!$A:$A,"BOM",DATA_GOC!$D:$D,$B99,DATA_GOC!$F:$F,"Xuất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99" s="222" t="str">
        <f>IF($B99="","",IF(AE$4&gt;DAY(EOMONTH(DATE($D$2,$B$2,1),0)),"",SUMIFS(DATA_GOC!$H:$H,DATA_GOC!$A:$A,"BOM",DATA_GOC!$D:$D,$B99,DATA_GOC!$F:$F,"Xuất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99" s="222" t="str">
        <f>IF($B99="","",IF(AF$4&gt;DAY(EOMONTH(DATE($D$2,$B$2,1),0)),"",SUMIFS(DATA_GOC!$H:$H,DATA_GOC!$A:$A,"BOM",DATA_GOC!$D:$D,$B99,DATA_GOC!$F:$F,"Xuất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99" s="222" t="str">
        <f>IF($B99="","",IF(AG$4&gt;DAY(EOMONTH(DATE($D$2,$B$2,1),0)),"",SUMIFS(DATA_GOC!$H:$H,DATA_GOC!$A:$A,"BOM",DATA_GOC!$D:$D,$B99,DATA_GOC!$F:$F,"Xuất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99" s="222" t="str">
        <f t="shared" si="2"/>
        <v/>
      </c>
      <c r="AI99" s="222" t="str">
        <f>IF($B99="","",SUMIFS(DATA_GOC!$H:$H,DATA_GOC!$A:$A,"BOM",DATA_GOC!$D:$D,$B99,DATA_GOC!$F:$F,"Bơm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99" s="222" t="str">
        <f t="shared" si="3"/>
        <v/>
      </c>
      <c r="AM99" s="222" t="str">
        <f>IF($B99="","",SUMIFS(DATA_GOC!$K:$K,DATA_GOC!$A:$A,"BOM",DATA_GOC!$D:$D,$B99,DATA_GOC!$G:$G,"DO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99" s="222" t="str">
        <f t="shared" si="4"/>
        <v/>
      </c>
      <c r="AO99" s="227" t="str">
        <f t="shared" si="5"/>
        <v/>
      </c>
      <c r="AP99" s="226" t="str">
        <f>IF($B99="","",IFERROR(AO99-(SUMIFS(DATA_GOC!$H:$H,DATA_GOC!$A:$A,"BOM",DATA_GOC!$D:$D,$B99,DATA_GOC!$F:$F,"Xuất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số",DATA_GOC!$B:$B,"&gt;="&amp;EDATE(DATE($D$2,$B$2,1),-1),DATA_GOC!$B:$B,"&lt;"&amp;DATE($D$2,$B$2,1))/SUMIFS(DATA_GOC!$K:$K,DATA_GOC!$A:$A,"BOM",DATA_GOC!$D:$D,$B99,DATA_GOC!$G:$G,"DO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99" s="59">
        <v>3.0</v>
      </c>
      <c r="AR99" s="59">
        <v>2026.0</v>
      </c>
      <c r="AS99" s="59" t="s">
        <v>337</v>
      </c>
      <c r="AT99" s="59">
        <v>2347.577</v>
      </c>
      <c r="AU99" s="59">
        <v>0.0</v>
      </c>
      <c r="AV99" s="59">
        <v>2347.577</v>
      </c>
      <c r="AW99" s="59">
        <v>5426.0</v>
      </c>
      <c r="AX99" s="59">
        <v>43.2653335790638</v>
      </c>
      <c r="AY99" s="59">
        <v>529.397</v>
      </c>
      <c r="AZ99" s="59">
        <v>1818.18</v>
      </c>
      <c r="BA99" s="59">
        <v>31.397</v>
      </c>
      <c r="BB99" s="59">
        <v>0.0</v>
      </c>
      <c r="BC99" s="59" t="s">
        <v>454</v>
      </c>
    </row>
    <row r="100" ht="15.0" customHeight="1">
      <c r="A100" s="61" t="str">
        <f t="shared" si="1"/>
        <v/>
      </c>
      <c r="B100" s="228" t="str">
        <f t="array" ref="B100">IFERROR(INDEX(DANH_MUC!$E:$E,ROW()-1),"")</f>
        <v/>
      </c>
      <c r="C100" s="228" t="str">
        <f>IF($B100="","",IF(C$4&gt;DAY(EOMONTH(DATE($D$2,$B$2,1),0)),"",SUMIFS(DATA_GOC!$H:$H,DATA_GOC!$A:$A,"BOM",DATA_GOC!$D:$D,$B100,DATA_GOC!$F:$F,"Xuất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0" s="61" t="str">
        <f>IF($B100="","",IF(D$4&gt;DAY(EOMONTH(DATE($D$2,$B$2,1),0)),"",SUMIFS(DATA_GOC!$H:$H,DATA_GOC!$A:$A,"BOM",DATA_GOC!$D:$D,$B100,DATA_GOC!$F:$F,"Xuất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0" s="229" t="str">
        <f>IF($B100="","",IF(E$4&gt;DAY(EOMONTH(DATE($D$2,$B$2,1),0)),"",SUMIFS(DATA_GOC!$H:$H,DATA_GOC!$A:$A,"BOM",DATA_GOC!$D:$D,$B100,DATA_GOC!$F:$F,"Xuất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0" s="229" t="str">
        <f>IF($B100="","",IF(F$4&gt;DAY(EOMONTH(DATE($D$2,$B$2,1),0)),"",SUMIFS(DATA_GOC!$H:$H,DATA_GOC!$A:$A,"BOM",DATA_GOC!$D:$D,$B100,DATA_GOC!$F:$F,"Xuất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0" s="229" t="str">
        <f>IF($B100="","",IF(G$4&gt;DAY(EOMONTH(DATE($D$2,$B$2,1),0)),"",SUMIFS(DATA_GOC!$H:$H,DATA_GOC!$A:$A,"BOM",DATA_GOC!$D:$D,$B100,DATA_GOC!$F:$F,"Xuất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0" s="228" t="str">
        <f>IF($B100="","",IF(H$4&gt;DAY(EOMONTH(DATE($D$2,$B$2,1),0)),"",SUMIFS(DATA_GOC!$H:$H,DATA_GOC!$A:$A,"BOM",DATA_GOC!$D:$D,$B100,DATA_GOC!$F:$F,"Xuất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0" s="229" t="str">
        <f>IF($B100="","",IF(I$4&gt;DAY(EOMONTH(DATE($D$2,$B$2,1),0)),"",SUMIFS(DATA_GOC!$H:$H,DATA_GOC!$A:$A,"BOM",DATA_GOC!$D:$D,$B100,DATA_GOC!$F:$F,"Xuất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0" s="229" t="str">
        <f>IF($B100="","",IF(J$4&gt;DAY(EOMONTH(DATE($D$2,$B$2,1),0)),"",SUMIFS(DATA_GOC!$H:$H,DATA_GOC!$A:$A,"BOM",DATA_GOC!$D:$D,$B100,DATA_GOC!$F:$F,"Xuất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0" s="229" t="str">
        <f>IF($B100="","",IF(K$4&gt;DAY(EOMONTH(DATE($D$2,$B$2,1),0)),"",SUMIFS(DATA_GOC!$H:$H,DATA_GOC!$A:$A,"BOM",DATA_GOC!$D:$D,$B100,DATA_GOC!$F:$F,"Xuất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0" s="229" t="str">
        <f>IF($B100="","",IF(L$4&gt;DAY(EOMONTH(DATE($D$2,$B$2,1),0)),"",SUMIFS(DATA_GOC!$H:$H,DATA_GOC!$A:$A,"BOM",DATA_GOC!$D:$D,$B100,DATA_GOC!$F:$F,"Xuất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0" s="229" t="str">
        <f>IF($B100="","",IF(M$4&gt;DAY(EOMONTH(DATE($D$2,$B$2,1),0)),"",SUMIFS(DATA_GOC!$H:$H,DATA_GOC!$A:$A,"BOM",DATA_GOC!$D:$D,$B100,DATA_GOC!$F:$F,"Xuất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0" s="61" t="str">
        <f>IF($B100="","",IF(N$4&gt;DAY(EOMONTH(DATE($D$2,$B$2,1),0)),"",SUMIFS(DATA_GOC!$H:$H,DATA_GOC!$A:$A,"BOM",DATA_GOC!$D:$D,$B100,DATA_GOC!$F:$F,"Xuất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0" s="61" t="str">
        <f>IF($B100="","",IF(O$4&gt;DAY(EOMONTH(DATE($D$2,$B$2,1),0)),"",SUMIFS(DATA_GOC!$H:$H,DATA_GOC!$A:$A,"BOM",DATA_GOC!$D:$D,$B100,DATA_GOC!$F:$F,"Xuất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0" s="61" t="str">
        <f>IF($B100="","",IF(P$4&gt;DAY(EOMONTH(DATE($D$2,$B$2,1),0)),"",SUMIFS(DATA_GOC!$H:$H,DATA_GOC!$A:$A,"BOM",DATA_GOC!$D:$D,$B100,DATA_GOC!$F:$F,"Xuất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0" s="61" t="str">
        <f>IF($B100="","",IF(Q$4&gt;DAY(EOMONTH(DATE($D$2,$B$2,1),0)),"",SUMIFS(DATA_GOC!$H:$H,DATA_GOC!$A:$A,"BOM",DATA_GOC!$D:$D,$B100,DATA_GOC!$F:$F,"Xuất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0" s="61" t="str">
        <f>IF($B100="","",IF(R$4&gt;DAY(EOMONTH(DATE($D$2,$B$2,1),0)),"",SUMIFS(DATA_GOC!$H:$H,DATA_GOC!$A:$A,"BOM",DATA_GOC!$D:$D,$B100,DATA_GOC!$F:$F,"Xuất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0" s="61" t="str">
        <f>IF($B100="","",IF(S$4&gt;DAY(EOMONTH(DATE($D$2,$B$2,1),0)),"",SUMIFS(DATA_GOC!$H:$H,DATA_GOC!$A:$A,"BOM",DATA_GOC!$D:$D,$B100,DATA_GOC!$F:$F,"Xuất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0" s="229" t="str">
        <f>IF($B100="","",IF(T$4&gt;DAY(EOMONTH(DATE($D$2,$B$2,1),0)),"",SUMIFS(DATA_GOC!$H:$H,DATA_GOC!$A:$A,"BOM",DATA_GOC!$D:$D,$B100,DATA_GOC!$F:$F,"Xuất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0" s="229" t="str">
        <f>IF($B100="","",IF(U$4&gt;DAY(EOMONTH(DATE($D$2,$B$2,1),0)),"",SUMIFS(DATA_GOC!$H:$H,DATA_GOC!$A:$A,"BOM",DATA_GOC!$D:$D,$B100,DATA_GOC!$F:$F,"Xuất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0" s="229" t="str">
        <f>IF($B100="","",IF(V$4&gt;DAY(EOMONTH(DATE($D$2,$B$2,1),0)),"",SUMIFS(DATA_GOC!$H:$H,DATA_GOC!$A:$A,"BOM",DATA_GOC!$D:$D,$B100,DATA_GOC!$F:$F,"Xuất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0" s="61" t="str">
        <f>IF($B100="","",IF(W$4&gt;DAY(EOMONTH(DATE($D$2,$B$2,1),0)),"",SUMIFS(DATA_GOC!$H:$H,DATA_GOC!$A:$A,"BOM",DATA_GOC!$D:$D,$B100,DATA_GOC!$F:$F,"Xuất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0" s="229" t="str">
        <f>IF($B100="","",IF(X$4&gt;DAY(EOMONTH(DATE($D$2,$B$2,1),0)),"",SUMIFS(DATA_GOC!$H:$H,DATA_GOC!$A:$A,"BOM",DATA_GOC!$D:$D,$B100,DATA_GOC!$F:$F,"Xuất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0" s="229" t="str">
        <f>IF($B100="","",IF(Y$4&gt;DAY(EOMONTH(DATE($D$2,$B$2,1),0)),"",SUMIFS(DATA_GOC!$H:$H,DATA_GOC!$A:$A,"BOM",DATA_GOC!$D:$D,$B100,DATA_GOC!$F:$F,"Xuất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0" s="229" t="str">
        <f>IF($B100="","",IF(Z$4&gt;DAY(EOMONTH(DATE($D$2,$B$2,1),0)),"",SUMIFS(DATA_GOC!$H:$H,DATA_GOC!$A:$A,"BOM",DATA_GOC!$D:$D,$B100,DATA_GOC!$F:$F,"Xuất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0" s="229" t="str">
        <f>IF($B100="","",IF(AA$4&gt;DAY(EOMONTH(DATE($D$2,$B$2,1),0)),"",SUMIFS(DATA_GOC!$H:$H,DATA_GOC!$A:$A,"BOM",DATA_GOC!$D:$D,$B100,DATA_GOC!$F:$F,"Xuất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0" s="229" t="str">
        <f>IF($B100="","",IF(AB$4&gt;DAY(EOMONTH(DATE($D$2,$B$2,1),0)),"",SUMIFS(DATA_GOC!$H:$H,DATA_GOC!$A:$A,"BOM",DATA_GOC!$D:$D,$B100,DATA_GOC!$F:$F,"Xuất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0" s="61" t="str">
        <f>IF($B100="","",IF(AC$4&gt;DAY(EOMONTH(DATE($D$2,$B$2,1),0)),"",SUMIFS(DATA_GOC!$H:$H,DATA_GOC!$A:$A,"BOM",DATA_GOC!$D:$D,$B100,DATA_GOC!$F:$F,"Xuất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0" s="222" t="str">
        <f>IF($B100="","",IF(AD$4&gt;DAY(EOMONTH(DATE($D$2,$B$2,1),0)),"",SUMIFS(DATA_GOC!$H:$H,DATA_GOC!$A:$A,"BOM",DATA_GOC!$D:$D,$B100,DATA_GOC!$F:$F,"Xuất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0" s="222" t="str">
        <f>IF($B100="","",IF(AE$4&gt;DAY(EOMONTH(DATE($D$2,$B$2,1),0)),"",SUMIFS(DATA_GOC!$H:$H,DATA_GOC!$A:$A,"BOM",DATA_GOC!$D:$D,$B100,DATA_GOC!$F:$F,"Xuất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0" s="222" t="str">
        <f>IF($B100="","",IF(AF$4&gt;DAY(EOMONTH(DATE($D$2,$B$2,1),0)),"",SUMIFS(DATA_GOC!$H:$H,DATA_GOC!$A:$A,"BOM",DATA_GOC!$D:$D,$B100,DATA_GOC!$F:$F,"Xuất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0" s="222" t="str">
        <f>IF($B100="","",IF(AG$4&gt;DAY(EOMONTH(DATE($D$2,$B$2,1),0)),"",SUMIFS(DATA_GOC!$H:$H,DATA_GOC!$A:$A,"BOM",DATA_GOC!$D:$D,$B100,DATA_GOC!$F:$F,"Xuất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0" s="222" t="str">
        <f t="shared" si="2"/>
        <v/>
      </c>
      <c r="AI100" s="222" t="str">
        <f>IF($B100="","",SUMIFS(DATA_GOC!$H:$H,DATA_GOC!$A:$A,"BOM",DATA_GOC!$D:$D,$B100,DATA_GOC!$F:$F,"Bơm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0" s="222" t="str">
        <f t="shared" si="3"/>
        <v/>
      </c>
      <c r="AM100" s="222" t="str">
        <f>IF($B100="","",SUMIFS(DATA_GOC!$K:$K,DATA_GOC!$A:$A,"BOM",DATA_GOC!$D:$D,$B100,DATA_GOC!$G:$G,"DO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0" s="222" t="str">
        <f t="shared" si="4"/>
        <v/>
      </c>
      <c r="AO100" s="227" t="str">
        <f t="shared" si="5"/>
        <v/>
      </c>
      <c r="AP100" s="226" t="str">
        <f>IF($B100="","",IFERROR(AO100-(SUMIFS(DATA_GOC!$H:$H,DATA_GOC!$A:$A,"BOM",DATA_GOC!$D:$D,$B100,DATA_GOC!$F:$F,"Xuất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0" s="59">
        <v>3.0</v>
      </c>
      <c r="AR100" s="59">
        <v>2026.0</v>
      </c>
      <c r="AS100" s="59" t="s">
        <v>99</v>
      </c>
      <c r="AT100" s="59">
        <v>2197.563</v>
      </c>
      <c r="AU100" s="59">
        <v>0.0</v>
      </c>
      <c r="AV100" s="59">
        <v>2197.563</v>
      </c>
      <c r="AW100" s="59">
        <v>4605.0</v>
      </c>
      <c r="AX100" s="59">
        <v>47.7212377850163</v>
      </c>
      <c r="AY100" s="59">
        <v>1040.165</v>
      </c>
      <c r="AZ100" s="59">
        <v>1157.398</v>
      </c>
      <c r="BA100" s="59">
        <v>45.165</v>
      </c>
      <c r="BB100" s="59">
        <v>0.0</v>
      </c>
      <c r="BC100" s="59" t="s">
        <v>455</v>
      </c>
    </row>
    <row r="101" ht="15.0" customHeight="1">
      <c r="A101" s="61" t="str">
        <f t="shared" si="1"/>
        <v/>
      </c>
      <c r="B101" s="228" t="str">
        <f t="array" ref="B101">IFERROR(INDEX(DANH_MUC!$E:$E,ROW()-1),"")</f>
        <v/>
      </c>
      <c r="C101" s="228" t="str">
        <f>IF($B101="","",IF(C$4&gt;DAY(EOMONTH(DATE($D$2,$B$2,1),0)),"",SUMIFS(DATA_GOC!$H:$H,DATA_GOC!$A:$A,"BOM",DATA_GOC!$D:$D,$B101,DATA_GOC!$F:$F,"Xuất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1" s="61" t="str">
        <f>IF($B101="","",IF(D$4&gt;DAY(EOMONTH(DATE($D$2,$B$2,1),0)),"",SUMIFS(DATA_GOC!$H:$H,DATA_GOC!$A:$A,"BOM",DATA_GOC!$D:$D,$B101,DATA_GOC!$F:$F,"Xuất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1" s="229" t="str">
        <f>IF($B101="","",IF(E$4&gt;DAY(EOMONTH(DATE($D$2,$B$2,1),0)),"",SUMIFS(DATA_GOC!$H:$H,DATA_GOC!$A:$A,"BOM",DATA_GOC!$D:$D,$B101,DATA_GOC!$F:$F,"Xuất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1" s="229" t="str">
        <f>IF($B101="","",IF(F$4&gt;DAY(EOMONTH(DATE($D$2,$B$2,1),0)),"",SUMIFS(DATA_GOC!$H:$H,DATA_GOC!$A:$A,"BOM",DATA_GOC!$D:$D,$B101,DATA_GOC!$F:$F,"Xuất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1" s="229" t="str">
        <f>IF($B101="","",IF(G$4&gt;DAY(EOMONTH(DATE($D$2,$B$2,1),0)),"",SUMIFS(DATA_GOC!$H:$H,DATA_GOC!$A:$A,"BOM",DATA_GOC!$D:$D,$B101,DATA_GOC!$F:$F,"Xuất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1" s="228" t="str">
        <f>IF($B101="","",IF(H$4&gt;DAY(EOMONTH(DATE($D$2,$B$2,1),0)),"",SUMIFS(DATA_GOC!$H:$H,DATA_GOC!$A:$A,"BOM",DATA_GOC!$D:$D,$B101,DATA_GOC!$F:$F,"Xuất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1" s="229" t="str">
        <f>IF($B101="","",IF(I$4&gt;DAY(EOMONTH(DATE($D$2,$B$2,1),0)),"",SUMIFS(DATA_GOC!$H:$H,DATA_GOC!$A:$A,"BOM",DATA_GOC!$D:$D,$B101,DATA_GOC!$F:$F,"Xuất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1" s="229" t="str">
        <f>IF($B101="","",IF(J$4&gt;DAY(EOMONTH(DATE($D$2,$B$2,1),0)),"",SUMIFS(DATA_GOC!$H:$H,DATA_GOC!$A:$A,"BOM",DATA_GOC!$D:$D,$B101,DATA_GOC!$F:$F,"Xuất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1" s="229" t="str">
        <f>IF($B101="","",IF(K$4&gt;DAY(EOMONTH(DATE($D$2,$B$2,1),0)),"",SUMIFS(DATA_GOC!$H:$H,DATA_GOC!$A:$A,"BOM",DATA_GOC!$D:$D,$B101,DATA_GOC!$F:$F,"Xuất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1" s="229" t="str">
        <f>IF($B101="","",IF(L$4&gt;DAY(EOMONTH(DATE($D$2,$B$2,1),0)),"",SUMIFS(DATA_GOC!$H:$H,DATA_GOC!$A:$A,"BOM",DATA_GOC!$D:$D,$B101,DATA_GOC!$F:$F,"Xuất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1" s="229" t="str">
        <f>IF($B101="","",IF(M$4&gt;DAY(EOMONTH(DATE($D$2,$B$2,1),0)),"",SUMIFS(DATA_GOC!$H:$H,DATA_GOC!$A:$A,"BOM",DATA_GOC!$D:$D,$B101,DATA_GOC!$F:$F,"Xuất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1" s="61" t="str">
        <f>IF($B101="","",IF(N$4&gt;DAY(EOMONTH(DATE($D$2,$B$2,1),0)),"",SUMIFS(DATA_GOC!$H:$H,DATA_GOC!$A:$A,"BOM",DATA_GOC!$D:$D,$B101,DATA_GOC!$F:$F,"Xuất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1" s="61" t="str">
        <f>IF($B101="","",IF(O$4&gt;DAY(EOMONTH(DATE($D$2,$B$2,1),0)),"",SUMIFS(DATA_GOC!$H:$H,DATA_GOC!$A:$A,"BOM",DATA_GOC!$D:$D,$B101,DATA_GOC!$F:$F,"Xuất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1" s="61" t="str">
        <f>IF($B101="","",IF(P$4&gt;DAY(EOMONTH(DATE($D$2,$B$2,1),0)),"",SUMIFS(DATA_GOC!$H:$H,DATA_GOC!$A:$A,"BOM",DATA_GOC!$D:$D,$B101,DATA_GOC!$F:$F,"Xuất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1" s="61" t="str">
        <f>IF($B101="","",IF(Q$4&gt;DAY(EOMONTH(DATE($D$2,$B$2,1),0)),"",SUMIFS(DATA_GOC!$H:$H,DATA_GOC!$A:$A,"BOM",DATA_GOC!$D:$D,$B101,DATA_GOC!$F:$F,"Xuất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1" s="61" t="str">
        <f>IF($B101="","",IF(R$4&gt;DAY(EOMONTH(DATE($D$2,$B$2,1),0)),"",SUMIFS(DATA_GOC!$H:$H,DATA_GOC!$A:$A,"BOM",DATA_GOC!$D:$D,$B101,DATA_GOC!$F:$F,"Xuất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1" s="61" t="str">
        <f>IF($B101="","",IF(S$4&gt;DAY(EOMONTH(DATE($D$2,$B$2,1),0)),"",SUMIFS(DATA_GOC!$H:$H,DATA_GOC!$A:$A,"BOM",DATA_GOC!$D:$D,$B101,DATA_GOC!$F:$F,"Xuất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1" s="229" t="str">
        <f>IF($B101="","",IF(T$4&gt;DAY(EOMONTH(DATE($D$2,$B$2,1),0)),"",SUMIFS(DATA_GOC!$H:$H,DATA_GOC!$A:$A,"BOM",DATA_GOC!$D:$D,$B101,DATA_GOC!$F:$F,"Xuất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1" s="229" t="str">
        <f>IF($B101="","",IF(U$4&gt;DAY(EOMONTH(DATE($D$2,$B$2,1),0)),"",SUMIFS(DATA_GOC!$H:$H,DATA_GOC!$A:$A,"BOM",DATA_GOC!$D:$D,$B101,DATA_GOC!$F:$F,"Xuất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1" s="229" t="str">
        <f>IF($B101="","",IF(V$4&gt;DAY(EOMONTH(DATE($D$2,$B$2,1),0)),"",SUMIFS(DATA_GOC!$H:$H,DATA_GOC!$A:$A,"BOM",DATA_GOC!$D:$D,$B101,DATA_GOC!$F:$F,"Xuất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1" s="61" t="str">
        <f>IF($B101="","",IF(W$4&gt;DAY(EOMONTH(DATE($D$2,$B$2,1),0)),"",SUMIFS(DATA_GOC!$H:$H,DATA_GOC!$A:$A,"BOM",DATA_GOC!$D:$D,$B101,DATA_GOC!$F:$F,"Xuất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1" s="229" t="str">
        <f>IF($B101="","",IF(X$4&gt;DAY(EOMONTH(DATE($D$2,$B$2,1),0)),"",SUMIFS(DATA_GOC!$H:$H,DATA_GOC!$A:$A,"BOM",DATA_GOC!$D:$D,$B101,DATA_GOC!$F:$F,"Xuất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1" s="229" t="str">
        <f>IF($B101="","",IF(Y$4&gt;DAY(EOMONTH(DATE($D$2,$B$2,1),0)),"",SUMIFS(DATA_GOC!$H:$H,DATA_GOC!$A:$A,"BOM",DATA_GOC!$D:$D,$B101,DATA_GOC!$F:$F,"Xuất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1" s="229" t="str">
        <f>IF($B101="","",IF(Z$4&gt;DAY(EOMONTH(DATE($D$2,$B$2,1),0)),"",SUMIFS(DATA_GOC!$H:$H,DATA_GOC!$A:$A,"BOM",DATA_GOC!$D:$D,$B101,DATA_GOC!$F:$F,"Xuất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1" s="229" t="str">
        <f>IF($B101="","",IF(AA$4&gt;DAY(EOMONTH(DATE($D$2,$B$2,1),0)),"",SUMIFS(DATA_GOC!$H:$H,DATA_GOC!$A:$A,"BOM",DATA_GOC!$D:$D,$B101,DATA_GOC!$F:$F,"Xuất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1" s="229" t="str">
        <f>IF($B101="","",IF(AB$4&gt;DAY(EOMONTH(DATE($D$2,$B$2,1),0)),"",SUMIFS(DATA_GOC!$H:$H,DATA_GOC!$A:$A,"BOM",DATA_GOC!$D:$D,$B101,DATA_GOC!$F:$F,"Xuất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1" s="61" t="str">
        <f>IF($B101="","",IF(AC$4&gt;DAY(EOMONTH(DATE($D$2,$B$2,1),0)),"",SUMIFS(DATA_GOC!$H:$H,DATA_GOC!$A:$A,"BOM",DATA_GOC!$D:$D,$B101,DATA_GOC!$F:$F,"Xuất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1" s="222" t="str">
        <f>IF($B101="","",IF(AD$4&gt;DAY(EOMONTH(DATE($D$2,$B$2,1),0)),"",SUMIFS(DATA_GOC!$H:$H,DATA_GOC!$A:$A,"BOM",DATA_GOC!$D:$D,$B101,DATA_GOC!$F:$F,"Xuất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1" s="222" t="str">
        <f>IF($B101="","",IF(AE$4&gt;DAY(EOMONTH(DATE($D$2,$B$2,1),0)),"",SUMIFS(DATA_GOC!$H:$H,DATA_GOC!$A:$A,"BOM",DATA_GOC!$D:$D,$B101,DATA_GOC!$F:$F,"Xuất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1" s="222" t="str">
        <f>IF($B101="","",IF(AF$4&gt;DAY(EOMONTH(DATE($D$2,$B$2,1),0)),"",SUMIFS(DATA_GOC!$H:$H,DATA_GOC!$A:$A,"BOM",DATA_GOC!$D:$D,$B101,DATA_GOC!$F:$F,"Xuất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1" s="222" t="str">
        <f>IF($B101="","",IF(AG$4&gt;DAY(EOMONTH(DATE($D$2,$B$2,1),0)),"",SUMIFS(DATA_GOC!$H:$H,DATA_GOC!$A:$A,"BOM",DATA_GOC!$D:$D,$B101,DATA_GOC!$F:$F,"Xuất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1" s="222" t="str">
        <f t="shared" si="2"/>
        <v/>
      </c>
      <c r="AI101" s="222" t="str">
        <f>IF($B101="","",SUMIFS(DATA_GOC!$H:$H,DATA_GOC!$A:$A,"BOM",DATA_GOC!$D:$D,$B101,DATA_GOC!$F:$F,"Bơm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1" s="222" t="str">
        <f t="shared" si="3"/>
        <v/>
      </c>
      <c r="AM101" s="222" t="str">
        <f>IF($B101="","",SUMIFS(DATA_GOC!$K:$K,DATA_GOC!$A:$A,"BOM",DATA_GOC!$D:$D,$B101,DATA_GOC!$G:$G,"DO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1" s="222" t="str">
        <f t="shared" si="4"/>
        <v/>
      </c>
      <c r="AO101" s="227" t="str">
        <f t="shared" si="5"/>
        <v/>
      </c>
      <c r="AP101" s="226" t="str">
        <f>IF($B101="","",IFERROR(AO101-(SUMIFS(DATA_GOC!$H:$H,DATA_GOC!$A:$A,"BOM",DATA_GOC!$D:$D,$B101,DATA_GOC!$F:$F,"Xuất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1" s="59">
        <v>3.0</v>
      </c>
      <c r="AR101" s="59">
        <v>2026.0</v>
      </c>
      <c r="AS101" s="59" t="s">
        <v>118</v>
      </c>
      <c r="AT101" s="59">
        <v>2525.686</v>
      </c>
      <c r="AU101" s="59">
        <v>0.0</v>
      </c>
      <c r="AV101" s="59">
        <v>2525.686</v>
      </c>
      <c r="AW101" s="59">
        <v>5617.0</v>
      </c>
      <c r="AX101" s="59">
        <v>44.9650347160406</v>
      </c>
      <c r="AY101" s="59">
        <v>985.381</v>
      </c>
      <c r="AZ101" s="59">
        <v>1540.305</v>
      </c>
      <c r="BA101" s="59">
        <v>51.381</v>
      </c>
      <c r="BB101" s="59">
        <v>0.0</v>
      </c>
      <c r="BC101" s="59" t="s">
        <v>456</v>
      </c>
    </row>
    <row r="102" ht="15.0" customHeight="1">
      <c r="A102" s="61" t="str">
        <f t="shared" si="1"/>
        <v/>
      </c>
      <c r="B102" s="228" t="str">
        <f t="array" ref="B102">IFERROR(INDEX(DANH_MUC!$E:$E,ROW()-1),"")</f>
        <v/>
      </c>
      <c r="C102" s="228" t="str">
        <f>IF($B102="","",IF(C$4&gt;DAY(EOMONTH(DATE($D$2,$B$2,1),0)),"",SUMIFS(DATA_GOC!$H:$H,DATA_GOC!$A:$A,"BOM",DATA_GOC!$D:$D,$B102,DATA_GOC!$F:$F,"Xuất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2" s="61" t="str">
        <f>IF($B102="","",IF(D$4&gt;DAY(EOMONTH(DATE($D$2,$B$2,1),0)),"",SUMIFS(DATA_GOC!$H:$H,DATA_GOC!$A:$A,"BOM",DATA_GOC!$D:$D,$B102,DATA_GOC!$F:$F,"Xuất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2" s="229" t="str">
        <f>IF($B102="","",IF(E$4&gt;DAY(EOMONTH(DATE($D$2,$B$2,1),0)),"",SUMIFS(DATA_GOC!$H:$H,DATA_GOC!$A:$A,"BOM",DATA_GOC!$D:$D,$B102,DATA_GOC!$F:$F,"Xuất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2" s="229" t="str">
        <f>IF($B102="","",IF(F$4&gt;DAY(EOMONTH(DATE($D$2,$B$2,1),0)),"",SUMIFS(DATA_GOC!$H:$H,DATA_GOC!$A:$A,"BOM",DATA_GOC!$D:$D,$B102,DATA_GOC!$F:$F,"Xuất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2" s="229" t="str">
        <f>IF($B102="","",IF(G$4&gt;DAY(EOMONTH(DATE($D$2,$B$2,1),0)),"",SUMIFS(DATA_GOC!$H:$H,DATA_GOC!$A:$A,"BOM",DATA_GOC!$D:$D,$B102,DATA_GOC!$F:$F,"Xuất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2" s="228" t="str">
        <f>IF($B102="","",IF(H$4&gt;DAY(EOMONTH(DATE($D$2,$B$2,1),0)),"",SUMIFS(DATA_GOC!$H:$H,DATA_GOC!$A:$A,"BOM",DATA_GOC!$D:$D,$B102,DATA_GOC!$F:$F,"Xuất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2" s="229" t="str">
        <f>IF($B102="","",IF(I$4&gt;DAY(EOMONTH(DATE($D$2,$B$2,1),0)),"",SUMIFS(DATA_GOC!$H:$H,DATA_GOC!$A:$A,"BOM",DATA_GOC!$D:$D,$B102,DATA_GOC!$F:$F,"Xuất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2" s="229" t="str">
        <f>IF($B102="","",IF(J$4&gt;DAY(EOMONTH(DATE($D$2,$B$2,1),0)),"",SUMIFS(DATA_GOC!$H:$H,DATA_GOC!$A:$A,"BOM",DATA_GOC!$D:$D,$B102,DATA_GOC!$F:$F,"Xuất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2" s="229" t="str">
        <f>IF($B102="","",IF(K$4&gt;DAY(EOMONTH(DATE($D$2,$B$2,1),0)),"",SUMIFS(DATA_GOC!$H:$H,DATA_GOC!$A:$A,"BOM",DATA_GOC!$D:$D,$B102,DATA_GOC!$F:$F,"Xuất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2" s="229" t="str">
        <f>IF($B102="","",IF(L$4&gt;DAY(EOMONTH(DATE($D$2,$B$2,1),0)),"",SUMIFS(DATA_GOC!$H:$H,DATA_GOC!$A:$A,"BOM",DATA_GOC!$D:$D,$B102,DATA_GOC!$F:$F,"Xuất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2" s="229" t="str">
        <f>IF($B102="","",IF(M$4&gt;DAY(EOMONTH(DATE($D$2,$B$2,1),0)),"",SUMIFS(DATA_GOC!$H:$H,DATA_GOC!$A:$A,"BOM",DATA_GOC!$D:$D,$B102,DATA_GOC!$F:$F,"Xuất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2" s="61" t="str">
        <f>IF($B102="","",IF(N$4&gt;DAY(EOMONTH(DATE($D$2,$B$2,1),0)),"",SUMIFS(DATA_GOC!$H:$H,DATA_GOC!$A:$A,"BOM",DATA_GOC!$D:$D,$B102,DATA_GOC!$F:$F,"Xuất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2" s="61" t="str">
        <f>IF($B102="","",IF(O$4&gt;DAY(EOMONTH(DATE($D$2,$B$2,1),0)),"",SUMIFS(DATA_GOC!$H:$H,DATA_GOC!$A:$A,"BOM",DATA_GOC!$D:$D,$B102,DATA_GOC!$F:$F,"Xuất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2" s="61" t="str">
        <f>IF($B102="","",IF(P$4&gt;DAY(EOMONTH(DATE($D$2,$B$2,1),0)),"",SUMIFS(DATA_GOC!$H:$H,DATA_GOC!$A:$A,"BOM",DATA_GOC!$D:$D,$B102,DATA_GOC!$F:$F,"Xuất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2" s="61" t="str">
        <f>IF($B102="","",IF(Q$4&gt;DAY(EOMONTH(DATE($D$2,$B$2,1),0)),"",SUMIFS(DATA_GOC!$H:$H,DATA_GOC!$A:$A,"BOM",DATA_GOC!$D:$D,$B102,DATA_GOC!$F:$F,"Xuất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2" s="61" t="str">
        <f>IF($B102="","",IF(R$4&gt;DAY(EOMONTH(DATE($D$2,$B$2,1),0)),"",SUMIFS(DATA_GOC!$H:$H,DATA_GOC!$A:$A,"BOM",DATA_GOC!$D:$D,$B102,DATA_GOC!$F:$F,"Xuất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2" s="61" t="str">
        <f>IF($B102="","",IF(S$4&gt;DAY(EOMONTH(DATE($D$2,$B$2,1),0)),"",SUMIFS(DATA_GOC!$H:$H,DATA_GOC!$A:$A,"BOM",DATA_GOC!$D:$D,$B102,DATA_GOC!$F:$F,"Xuất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2" s="229" t="str">
        <f>IF($B102="","",IF(T$4&gt;DAY(EOMONTH(DATE($D$2,$B$2,1),0)),"",SUMIFS(DATA_GOC!$H:$H,DATA_GOC!$A:$A,"BOM",DATA_GOC!$D:$D,$B102,DATA_GOC!$F:$F,"Xuất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2" s="229" t="str">
        <f>IF($B102="","",IF(U$4&gt;DAY(EOMONTH(DATE($D$2,$B$2,1),0)),"",SUMIFS(DATA_GOC!$H:$H,DATA_GOC!$A:$A,"BOM",DATA_GOC!$D:$D,$B102,DATA_GOC!$F:$F,"Xuất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2" s="229" t="str">
        <f>IF($B102="","",IF(V$4&gt;DAY(EOMONTH(DATE($D$2,$B$2,1),0)),"",SUMIFS(DATA_GOC!$H:$H,DATA_GOC!$A:$A,"BOM",DATA_GOC!$D:$D,$B102,DATA_GOC!$F:$F,"Xuất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2" s="61" t="str">
        <f>IF($B102="","",IF(W$4&gt;DAY(EOMONTH(DATE($D$2,$B$2,1),0)),"",SUMIFS(DATA_GOC!$H:$H,DATA_GOC!$A:$A,"BOM",DATA_GOC!$D:$D,$B102,DATA_GOC!$F:$F,"Xuất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2" s="229" t="str">
        <f>IF($B102="","",IF(X$4&gt;DAY(EOMONTH(DATE($D$2,$B$2,1),0)),"",SUMIFS(DATA_GOC!$H:$H,DATA_GOC!$A:$A,"BOM",DATA_GOC!$D:$D,$B102,DATA_GOC!$F:$F,"Xuất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2" s="229" t="str">
        <f>IF($B102="","",IF(Y$4&gt;DAY(EOMONTH(DATE($D$2,$B$2,1),0)),"",SUMIFS(DATA_GOC!$H:$H,DATA_GOC!$A:$A,"BOM",DATA_GOC!$D:$D,$B102,DATA_GOC!$F:$F,"Xuất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2" s="229" t="str">
        <f>IF($B102="","",IF(Z$4&gt;DAY(EOMONTH(DATE($D$2,$B$2,1),0)),"",SUMIFS(DATA_GOC!$H:$H,DATA_GOC!$A:$A,"BOM",DATA_GOC!$D:$D,$B102,DATA_GOC!$F:$F,"Xuất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2" s="229" t="str">
        <f>IF($B102="","",IF(AA$4&gt;DAY(EOMONTH(DATE($D$2,$B$2,1),0)),"",SUMIFS(DATA_GOC!$H:$H,DATA_GOC!$A:$A,"BOM",DATA_GOC!$D:$D,$B102,DATA_GOC!$F:$F,"Xuất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2" s="229" t="str">
        <f>IF($B102="","",IF(AB$4&gt;DAY(EOMONTH(DATE($D$2,$B$2,1),0)),"",SUMIFS(DATA_GOC!$H:$H,DATA_GOC!$A:$A,"BOM",DATA_GOC!$D:$D,$B102,DATA_GOC!$F:$F,"Xuất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2" s="61" t="str">
        <f>IF($B102="","",IF(AC$4&gt;DAY(EOMONTH(DATE($D$2,$B$2,1),0)),"",SUMIFS(DATA_GOC!$H:$H,DATA_GOC!$A:$A,"BOM",DATA_GOC!$D:$D,$B102,DATA_GOC!$F:$F,"Xuất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2" s="222" t="str">
        <f>IF($B102="","",IF(AD$4&gt;DAY(EOMONTH(DATE($D$2,$B$2,1),0)),"",SUMIFS(DATA_GOC!$H:$H,DATA_GOC!$A:$A,"BOM",DATA_GOC!$D:$D,$B102,DATA_GOC!$F:$F,"Xuất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2" s="222" t="str">
        <f>IF($B102="","",IF(AE$4&gt;DAY(EOMONTH(DATE($D$2,$B$2,1),0)),"",SUMIFS(DATA_GOC!$H:$H,DATA_GOC!$A:$A,"BOM",DATA_GOC!$D:$D,$B102,DATA_GOC!$F:$F,"Xuất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2" s="222" t="str">
        <f>IF($B102="","",IF(AF$4&gt;DAY(EOMONTH(DATE($D$2,$B$2,1),0)),"",SUMIFS(DATA_GOC!$H:$H,DATA_GOC!$A:$A,"BOM",DATA_GOC!$D:$D,$B102,DATA_GOC!$F:$F,"Xuất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2" s="222" t="str">
        <f>IF($B102="","",IF(AG$4&gt;DAY(EOMONTH(DATE($D$2,$B$2,1),0)),"",SUMIFS(DATA_GOC!$H:$H,DATA_GOC!$A:$A,"BOM",DATA_GOC!$D:$D,$B102,DATA_GOC!$F:$F,"Xuất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2" s="222" t="str">
        <f t="shared" si="2"/>
        <v/>
      </c>
      <c r="AI102" s="222" t="str">
        <f>IF($B102="","",SUMIFS(DATA_GOC!$H:$H,DATA_GOC!$A:$A,"BOM",DATA_GOC!$D:$D,$B102,DATA_GOC!$F:$F,"Bơm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2" s="222" t="str">
        <f t="shared" si="3"/>
        <v/>
      </c>
      <c r="AM102" s="222" t="str">
        <f>IF($B102="","",SUMIFS(DATA_GOC!$K:$K,DATA_GOC!$A:$A,"BOM",DATA_GOC!$D:$D,$B102,DATA_GOC!$G:$G,"DO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2" s="222" t="str">
        <f t="shared" si="4"/>
        <v/>
      </c>
      <c r="AO102" s="227" t="str">
        <f t="shared" si="5"/>
        <v/>
      </c>
      <c r="AP102" s="226" t="str">
        <f>IF($B102="","",IFERROR(AO102-(SUMIFS(DATA_GOC!$H:$H,DATA_GOC!$A:$A,"BOM",DATA_GOC!$D:$D,$B102,DATA_GOC!$F:$F,"Xuất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2" s="59">
        <v>3.0</v>
      </c>
      <c r="AR102" s="59">
        <v>2026.0</v>
      </c>
      <c r="AS102" s="59" t="s">
        <v>96</v>
      </c>
      <c r="AT102" s="59">
        <v>2460.698</v>
      </c>
      <c r="AU102" s="59">
        <v>0.0</v>
      </c>
      <c r="AV102" s="59">
        <v>2460.698</v>
      </c>
      <c r="AW102" s="59">
        <v>5315.0</v>
      </c>
      <c r="AX102" s="59">
        <v>46.2972342427093</v>
      </c>
      <c r="AY102" s="59">
        <v>955.552</v>
      </c>
      <c r="AZ102" s="59">
        <v>1505.146</v>
      </c>
      <c r="BA102" s="59">
        <v>44.552</v>
      </c>
      <c r="BB102" s="59">
        <v>0.0</v>
      </c>
      <c r="BC102" s="59" t="s">
        <v>457</v>
      </c>
    </row>
    <row r="103" ht="15.0" customHeight="1">
      <c r="A103" s="61" t="str">
        <f t="shared" si="1"/>
        <v/>
      </c>
      <c r="B103" s="228" t="str">
        <f t="array" ref="B103">IFERROR(INDEX(DANH_MUC!$E:$E,ROW()-1),"")</f>
        <v/>
      </c>
      <c r="C103" s="228" t="str">
        <f>IF($B103="","",IF(C$4&gt;DAY(EOMONTH(DATE($D$2,$B$2,1),0)),"",SUMIFS(DATA_GOC!$H:$H,DATA_GOC!$A:$A,"BOM",DATA_GOC!$D:$D,$B103,DATA_GOC!$F:$F,"Xuất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3" s="61" t="str">
        <f>IF($B103="","",IF(D$4&gt;DAY(EOMONTH(DATE($D$2,$B$2,1),0)),"",SUMIFS(DATA_GOC!$H:$H,DATA_GOC!$A:$A,"BOM",DATA_GOC!$D:$D,$B103,DATA_GOC!$F:$F,"Xuất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3" s="229" t="str">
        <f>IF($B103="","",IF(E$4&gt;DAY(EOMONTH(DATE($D$2,$B$2,1),0)),"",SUMIFS(DATA_GOC!$H:$H,DATA_GOC!$A:$A,"BOM",DATA_GOC!$D:$D,$B103,DATA_GOC!$F:$F,"Xuất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3" s="229" t="str">
        <f>IF($B103="","",IF(F$4&gt;DAY(EOMONTH(DATE($D$2,$B$2,1),0)),"",SUMIFS(DATA_GOC!$H:$H,DATA_GOC!$A:$A,"BOM",DATA_GOC!$D:$D,$B103,DATA_GOC!$F:$F,"Xuất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3" s="229" t="str">
        <f>IF($B103="","",IF(G$4&gt;DAY(EOMONTH(DATE($D$2,$B$2,1),0)),"",SUMIFS(DATA_GOC!$H:$H,DATA_GOC!$A:$A,"BOM",DATA_GOC!$D:$D,$B103,DATA_GOC!$F:$F,"Xuất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3" s="228" t="str">
        <f>IF($B103="","",IF(H$4&gt;DAY(EOMONTH(DATE($D$2,$B$2,1),0)),"",SUMIFS(DATA_GOC!$H:$H,DATA_GOC!$A:$A,"BOM",DATA_GOC!$D:$D,$B103,DATA_GOC!$F:$F,"Xuất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3" s="229" t="str">
        <f>IF($B103="","",IF(I$4&gt;DAY(EOMONTH(DATE($D$2,$B$2,1),0)),"",SUMIFS(DATA_GOC!$H:$H,DATA_GOC!$A:$A,"BOM",DATA_GOC!$D:$D,$B103,DATA_GOC!$F:$F,"Xuất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3" s="229" t="str">
        <f>IF($B103="","",IF(J$4&gt;DAY(EOMONTH(DATE($D$2,$B$2,1),0)),"",SUMIFS(DATA_GOC!$H:$H,DATA_GOC!$A:$A,"BOM",DATA_GOC!$D:$D,$B103,DATA_GOC!$F:$F,"Xuất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3" s="229" t="str">
        <f>IF($B103="","",IF(K$4&gt;DAY(EOMONTH(DATE($D$2,$B$2,1),0)),"",SUMIFS(DATA_GOC!$H:$H,DATA_GOC!$A:$A,"BOM",DATA_GOC!$D:$D,$B103,DATA_GOC!$F:$F,"Xuất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3" s="229" t="str">
        <f>IF($B103="","",IF(L$4&gt;DAY(EOMONTH(DATE($D$2,$B$2,1),0)),"",SUMIFS(DATA_GOC!$H:$H,DATA_GOC!$A:$A,"BOM",DATA_GOC!$D:$D,$B103,DATA_GOC!$F:$F,"Xuất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3" s="229" t="str">
        <f>IF($B103="","",IF(M$4&gt;DAY(EOMONTH(DATE($D$2,$B$2,1),0)),"",SUMIFS(DATA_GOC!$H:$H,DATA_GOC!$A:$A,"BOM",DATA_GOC!$D:$D,$B103,DATA_GOC!$F:$F,"Xuất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3" s="61" t="str">
        <f>IF($B103="","",IF(N$4&gt;DAY(EOMONTH(DATE($D$2,$B$2,1),0)),"",SUMIFS(DATA_GOC!$H:$H,DATA_GOC!$A:$A,"BOM",DATA_GOC!$D:$D,$B103,DATA_GOC!$F:$F,"Xuất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3" s="61" t="str">
        <f>IF($B103="","",IF(O$4&gt;DAY(EOMONTH(DATE($D$2,$B$2,1),0)),"",SUMIFS(DATA_GOC!$H:$H,DATA_GOC!$A:$A,"BOM",DATA_GOC!$D:$D,$B103,DATA_GOC!$F:$F,"Xuất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3" s="61" t="str">
        <f>IF($B103="","",IF(P$4&gt;DAY(EOMONTH(DATE($D$2,$B$2,1),0)),"",SUMIFS(DATA_GOC!$H:$H,DATA_GOC!$A:$A,"BOM",DATA_GOC!$D:$D,$B103,DATA_GOC!$F:$F,"Xuất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3" s="61" t="str">
        <f>IF($B103="","",IF(Q$4&gt;DAY(EOMONTH(DATE($D$2,$B$2,1),0)),"",SUMIFS(DATA_GOC!$H:$H,DATA_GOC!$A:$A,"BOM",DATA_GOC!$D:$D,$B103,DATA_GOC!$F:$F,"Xuất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3" s="61" t="str">
        <f>IF($B103="","",IF(R$4&gt;DAY(EOMONTH(DATE($D$2,$B$2,1),0)),"",SUMIFS(DATA_GOC!$H:$H,DATA_GOC!$A:$A,"BOM",DATA_GOC!$D:$D,$B103,DATA_GOC!$F:$F,"Xuất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3" s="61" t="str">
        <f>IF($B103="","",IF(S$4&gt;DAY(EOMONTH(DATE($D$2,$B$2,1),0)),"",SUMIFS(DATA_GOC!$H:$H,DATA_GOC!$A:$A,"BOM",DATA_GOC!$D:$D,$B103,DATA_GOC!$F:$F,"Xuất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3" s="229" t="str">
        <f>IF($B103="","",IF(T$4&gt;DAY(EOMONTH(DATE($D$2,$B$2,1),0)),"",SUMIFS(DATA_GOC!$H:$H,DATA_GOC!$A:$A,"BOM",DATA_GOC!$D:$D,$B103,DATA_GOC!$F:$F,"Xuất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3" s="229" t="str">
        <f>IF($B103="","",IF(U$4&gt;DAY(EOMONTH(DATE($D$2,$B$2,1),0)),"",SUMIFS(DATA_GOC!$H:$H,DATA_GOC!$A:$A,"BOM",DATA_GOC!$D:$D,$B103,DATA_GOC!$F:$F,"Xuất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3" s="229" t="str">
        <f>IF($B103="","",IF(V$4&gt;DAY(EOMONTH(DATE($D$2,$B$2,1),0)),"",SUMIFS(DATA_GOC!$H:$H,DATA_GOC!$A:$A,"BOM",DATA_GOC!$D:$D,$B103,DATA_GOC!$F:$F,"Xuất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3" s="61" t="str">
        <f>IF($B103="","",IF(W$4&gt;DAY(EOMONTH(DATE($D$2,$B$2,1),0)),"",SUMIFS(DATA_GOC!$H:$H,DATA_GOC!$A:$A,"BOM",DATA_GOC!$D:$D,$B103,DATA_GOC!$F:$F,"Xuất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3" s="229" t="str">
        <f>IF($B103="","",IF(X$4&gt;DAY(EOMONTH(DATE($D$2,$B$2,1),0)),"",SUMIFS(DATA_GOC!$H:$H,DATA_GOC!$A:$A,"BOM",DATA_GOC!$D:$D,$B103,DATA_GOC!$F:$F,"Xuất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3" s="229" t="str">
        <f>IF($B103="","",IF(Y$4&gt;DAY(EOMONTH(DATE($D$2,$B$2,1),0)),"",SUMIFS(DATA_GOC!$H:$H,DATA_GOC!$A:$A,"BOM",DATA_GOC!$D:$D,$B103,DATA_GOC!$F:$F,"Xuất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3" s="229" t="str">
        <f>IF($B103="","",IF(Z$4&gt;DAY(EOMONTH(DATE($D$2,$B$2,1),0)),"",SUMIFS(DATA_GOC!$H:$H,DATA_GOC!$A:$A,"BOM",DATA_GOC!$D:$D,$B103,DATA_GOC!$F:$F,"Xuất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3" s="229" t="str">
        <f>IF($B103="","",IF(AA$4&gt;DAY(EOMONTH(DATE($D$2,$B$2,1),0)),"",SUMIFS(DATA_GOC!$H:$H,DATA_GOC!$A:$A,"BOM",DATA_GOC!$D:$D,$B103,DATA_GOC!$F:$F,"Xuất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3" s="229" t="str">
        <f>IF($B103="","",IF(AB$4&gt;DAY(EOMONTH(DATE($D$2,$B$2,1),0)),"",SUMIFS(DATA_GOC!$H:$H,DATA_GOC!$A:$A,"BOM",DATA_GOC!$D:$D,$B103,DATA_GOC!$F:$F,"Xuất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3" s="61" t="str">
        <f>IF($B103="","",IF(AC$4&gt;DAY(EOMONTH(DATE($D$2,$B$2,1),0)),"",SUMIFS(DATA_GOC!$H:$H,DATA_GOC!$A:$A,"BOM",DATA_GOC!$D:$D,$B103,DATA_GOC!$F:$F,"Xuất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3" s="222" t="str">
        <f>IF($B103="","",IF(AD$4&gt;DAY(EOMONTH(DATE($D$2,$B$2,1),0)),"",SUMIFS(DATA_GOC!$H:$H,DATA_GOC!$A:$A,"BOM",DATA_GOC!$D:$D,$B103,DATA_GOC!$F:$F,"Xuất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3" s="222" t="str">
        <f>IF($B103="","",IF(AE$4&gt;DAY(EOMONTH(DATE($D$2,$B$2,1),0)),"",SUMIFS(DATA_GOC!$H:$H,DATA_GOC!$A:$A,"BOM",DATA_GOC!$D:$D,$B103,DATA_GOC!$F:$F,"Xuất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3" s="222" t="str">
        <f>IF($B103="","",IF(AF$4&gt;DAY(EOMONTH(DATE($D$2,$B$2,1),0)),"",SUMIFS(DATA_GOC!$H:$H,DATA_GOC!$A:$A,"BOM",DATA_GOC!$D:$D,$B103,DATA_GOC!$F:$F,"Xuất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3" s="222" t="str">
        <f>IF($B103="","",IF(AG$4&gt;DAY(EOMONTH(DATE($D$2,$B$2,1),0)),"",SUMIFS(DATA_GOC!$H:$H,DATA_GOC!$A:$A,"BOM",DATA_GOC!$D:$D,$B103,DATA_GOC!$F:$F,"Xuất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3" s="222" t="str">
        <f t="shared" si="2"/>
        <v/>
      </c>
      <c r="AI103" s="222" t="str">
        <f>IF($B103="","",SUMIFS(DATA_GOC!$H:$H,DATA_GOC!$A:$A,"BOM",DATA_GOC!$D:$D,$B103,DATA_GOC!$F:$F,"Bơm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3" s="222" t="str">
        <f t="shared" si="3"/>
        <v/>
      </c>
      <c r="AM103" s="222" t="str">
        <f>IF($B103="","",SUMIFS(DATA_GOC!$K:$K,DATA_GOC!$A:$A,"BOM",DATA_GOC!$D:$D,$B103,DATA_GOC!$G:$G,"DO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3" s="222" t="str">
        <f t="shared" si="4"/>
        <v/>
      </c>
      <c r="AO103" s="227" t="str">
        <f t="shared" si="5"/>
        <v/>
      </c>
      <c r="AP103" s="226" t="str">
        <f>IF($B103="","",IFERROR(AO103-(SUMIFS(DATA_GOC!$H:$H,DATA_GOC!$A:$A,"BOM",DATA_GOC!$D:$D,$B103,DATA_GOC!$F:$F,"Xuất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3" s="59">
        <v>3.0</v>
      </c>
      <c r="AR103" s="59">
        <v>2026.0</v>
      </c>
      <c r="AS103" s="59" t="s">
        <v>133</v>
      </c>
      <c r="AT103" s="59">
        <v>43.623</v>
      </c>
      <c r="AU103" s="59">
        <v>0.0</v>
      </c>
      <c r="AV103" s="59">
        <v>43.623</v>
      </c>
      <c r="AY103" s="59">
        <v>3.623</v>
      </c>
      <c r="AZ103" s="59">
        <v>40.0</v>
      </c>
      <c r="BA103" s="59">
        <v>3.623</v>
      </c>
      <c r="BB103" s="59">
        <v>0.0</v>
      </c>
      <c r="BC103" s="59" t="s">
        <v>458</v>
      </c>
    </row>
    <row r="104" ht="15.0" customHeight="1">
      <c r="A104" s="61" t="str">
        <f t="shared" si="1"/>
        <v/>
      </c>
      <c r="B104" s="228" t="str">
        <f t="array" ref="B104">IFERROR(INDEX(DANH_MUC!$E:$E,ROW()-1),"")</f>
        <v/>
      </c>
      <c r="C104" s="228" t="str">
        <f>IF($B104="","",IF(C$4&gt;DAY(EOMONTH(DATE($D$2,$B$2,1),0)),"",SUMIFS(DATA_GOC!$H:$H,DATA_GOC!$A:$A,"BOM",DATA_GOC!$D:$D,$B104,DATA_GOC!$F:$F,"Xuất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4" s="61" t="str">
        <f>IF($B104="","",IF(D$4&gt;DAY(EOMONTH(DATE($D$2,$B$2,1),0)),"",SUMIFS(DATA_GOC!$H:$H,DATA_GOC!$A:$A,"BOM",DATA_GOC!$D:$D,$B104,DATA_GOC!$F:$F,"Xuất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4" s="229" t="str">
        <f>IF($B104="","",IF(E$4&gt;DAY(EOMONTH(DATE($D$2,$B$2,1),0)),"",SUMIFS(DATA_GOC!$H:$H,DATA_GOC!$A:$A,"BOM",DATA_GOC!$D:$D,$B104,DATA_GOC!$F:$F,"Xuất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4" s="229" t="str">
        <f>IF($B104="","",IF(F$4&gt;DAY(EOMONTH(DATE($D$2,$B$2,1),0)),"",SUMIFS(DATA_GOC!$H:$H,DATA_GOC!$A:$A,"BOM",DATA_GOC!$D:$D,$B104,DATA_GOC!$F:$F,"Xuất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4" s="229" t="str">
        <f>IF($B104="","",IF(G$4&gt;DAY(EOMONTH(DATE($D$2,$B$2,1),0)),"",SUMIFS(DATA_GOC!$H:$H,DATA_GOC!$A:$A,"BOM",DATA_GOC!$D:$D,$B104,DATA_GOC!$F:$F,"Xuất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4" s="228" t="str">
        <f>IF($B104="","",IF(H$4&gt;DAY(EOMONTH(DATE($D$2,$B$2,1),0)),"",SUMIFS(DATA_GOC!$H:$H,DATA_GOC!$A:$A,"BOM",DATA_GOC!$D:$D,$B104,DATA_GOC!$F:$F,"Xuất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4" s="229" t="str">
        <f>IF($B104="","",IF(I$4&gt;DAY(EOMONTH(DATE($D$2,$B$2,1),0)),"",SUMIFS(DATA_GOC!$H:$H,DATA_GOC!$A:$A,"BOM",DATA_GOC!$D:$D,$B104,DATA_GOC!$F:$F,"Xuất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4" s="229" t="str">
        <f>IF($B104="","",IF(J$4&gt;DAY(EOMONTH(DATE($D$2,$B$2,1),0)),"",SUMIFS(DATA_GOC!$H:$H,DATA_GOC!$A:$A,"BOM",DATA_GOC!$D:$D,$B104,DATA_GOC!$F:$F,"Xuất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4" s="229" t="str">
        <f>IF($B104="","",IF(K$4&gt;DAY(EOMONTH(DATE($D$2,$B$2,1),0)),"",SUMIFS(DATA_GOC!$H:$H,DATA_GOC!$A:$A,"BOM",DATA_GOC!$D:$D,$B104,DATA_GOC!$F:$F,"Xuất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4" s="229" t="str">
        <f>IF($B104="","",IF(L$4&gt;DAY(EOMONTH(DATE($D$2,$B$2,1),0)),"",SUMIFS(DATA_GOC!$H:$H,DATA_GOC!$A:$A,"BOM",DATA_GOC!$D:$D,$B104,DATA_GOC!$F:$F,"Xuất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4" s="229" t="str">
        <f>IF($B104="","",IF(M$4&gt;DAY(EOMONTH(DATE($D$2,$B$2,1),0)),"",SUMIFS(DATA_GOC!$H:$H,DATA_GOC!$A:$A,"BOM",DATA_GOC!$D:$D,$B104,DATA_GOC!$F:$F,"Xuất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4" s="61" t="str">
        <f>IF($B104="","",IF(N$4&gt;DAY(EOMONTH(DATE($D$2,$B$2,1),0)),"",SUMIFS(DATA_GOC!$H:$H,DATA_GOC!$A:$A,"BOM",DATA_GOC!$D:$D,$B104,DATA_GOC!$F:$F,"Xuất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4" s="61" t="str">
        <f>IF($B104="","",IF(O$4&gt;DAY(EOMONTH(DATE($D$2,$B$2,1),0)),"",SUMIFS(DATA_GOC!$H:$H,DATA_GOC!$A:$A,"BOM",DATA_GOC!$D:$D,$B104,DATA_GOC!$F:$F,"Xuất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4" s="61" t="str">
        <f>IF($B104="","",IF(P$4&gt;DAY(EOMONTH(DATE($D$2,$B$2,1),0)),"",SUMIFS(DATA_GOC!$H:$H,DATA_GOC!$A:$A,"BOM",DATA_GOC!$D:$D,$B104,DATA_GOC!$F:$F,"Xuất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4" s="61" t="str">
        <f>IF($B104="","",IF(Q$4&gt;DAY(EOMONTH(DATE($D$2,$B$2,1),0)),"",SUMIFS(DATA_GOC!$H:$H,DATA_GOC!$A:$A,"BOM",DATA_GOC!$D:$D,$B104,DATA_GOC!$F:$F,"Xuất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4" s="61" t="str">
        <f>IF($B104="","",IF(R$4&gt;DAY(EOMONTH(DATE($D$2,$B$2,1),0)),"",SUMIFS(DATA_GOC!$H:$H,DATA_GOC!$A:$A,"BOM",DATA_GOC!$D:$D,$B104,DATA_GOC!$F:$F,"Xuất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4" s="61" t="str">
        <f>IF($B104="","",IF(S$4&gt;DAY(EOMONTH(DATE($D$2,$B$2,1),0)),"",SUMIFS(DATA_GOC!$H:$H,DATA_GOC!$A:$A,"BOM",DATA_GOC!$D:$D,$B104,DATA_GOC!$F:$F,"Xuất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4" s="229" t="str">
        <f>IF($B104="","",IF(T$4&gt;DAY(EOMONTH(DATE($D$2,$B$2,1),0)),"",SUMIFS(DATA_GOC!$H:$H,DATA_GOC!$A:$A,"BOM",DATA_GOC!$D:$D,$B104,DATA_GOC!$F:$F,"Xuất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4" s="229" t="str">
        <f>IF($B104="","",IF(U$4&gt;DAY(EOMONTH(DATE($D$2,$B$2,1),0)),"",SUMIFS(DATA_GOC!$H:$H,DATA_GOC!$A:$A,"BOM",DATA_GOC!$D:$D,$B104,DATA_GOC!$F:$F,"Xuất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4" s="229" t="str">
        <f>IF($B104="","",IF(V$4&gt;DAY(EOMONTH(DATE($D$2,$B$2,1),0)),"",SUMIFS(DATA_GOC!$H:$H,DATA_GOC!$A:$A,"BOM",DATA_GOC!$D:$D,$B104,DATA_GOC!$F:$F,"Xuất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4" s="61" t="str">
        <f>IF($B104="","",IF(W$4&gt;DAY(EOMONTH(DATE($D$2,$B$2,1),0)),"",SUMIFS(DATA_GOC!$H:$H,DATA_GOC!$A:$A,"BOM",DATA_GOC!$D:$D,$B104,DATA_GOC!$F:$F,"Xuất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4" s="229" t="str">
        <f>IF($B104="","",IF(X$4&gt;DAY(EOMONTH(DATE($D$2,$B$2,1),0)),"",SUMIFS(DATA_GOC!$H:$H,DATA_GOC!$A:$A,"BOM",DATA_GOC!$D:$D,$B104,DATA_GOC!$F:$F,"Xuất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4" s="229" t="str">
        <f>IF($B104="","",IF(Y$4&gt;DAY(EOMONTH(DATE($D$2,$B$2,1),0)),"",SUMIFS(DATA_GOC!$H:$H,DATA_GOC!$A:$A,"BOM",DATA_GOC!$D:$D,$B104,DATA_GOC!$F:$F,"Xuất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4" s="229" t="str">
        <f>IF($B104="","",IF(Z$4&gt;DAY(EOMONTH(DATE($D$2,$B$2,1),0)),"",SUMIFS(DATA_GOC!$H:$H,DATA_GOC!$A:$A,"BOM",DATA_GOC!$D:$D,$B104,DATA_GOC!$F:$F,"Xuất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4" s="229" t="str">
        <f>IF($B104="","",IF(AA$4&gt;DAY(EOMONTH(DATE($D$2,$B$2,1),0)),"",SUMIFS(DATA_GOC!$H:$H,DATA_GOC!$A:$A,"BOM",DATA_GOC!$D:$D,$B104,DATA_GOC!$F:$F,"Xuất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4" s="229" t="str">
        <f>IF($B104="","",IF(AB$4&gt;DAY(EOMONTH(DATE($D$2,$B$2,1),0)),"",SUMIFS(DATA_GOC!$H:$H,DATA_GOC!$A:$A,"BOM",DATA_GOC!$D:$D,$B104,DATA_GOC!$F:$F,"Xuất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4" s="61" t="str">
        <f>IF($B104="","",IF(AC$4&gt;DAY(EOMONTH(DATE($D$2,$B$2,1),0)),"",SUMIFS(DATA_GOC!$H:$H,DATA_GOC!$A:$A,"BOM",DATA_GOC!$D:$D,$B104,DATA_GOC!$F:$F,"Xuất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4" s="222" t="str">
        <f>IF($B104="","",IF(AD$4&gt;DAY(EOMONTH(DATE($D$2,$B$2,1),0)),"",SUMIFS(DATA_GOC!$H:$H,DATA_GOC!$A:$A,"BOM",DATA_GOC!$D:$D,$B104,DATA_GOC!$F:$F,"Xuất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4" s="222" t="str">
        <f>IF($B104="","",IF(AE$4&gt;DAY(EOMONTH(DATE($D$2,$B$2,1),0)),"",SUMIFS(DATA_GOC!$H:$H,DATA_GOC!$A:$A,"BOM",DATA_GOC!$D:$D,$B104,DATA_GOC!$F:$F,"Xuất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4" s="222" t="str">
        <f>IF($B104="","",IF(AF$4&gt;DAY(EOMONTH(DATE($D$2,$B$2,1),0)),"",SUMIFS(DATA_GOC!$H:$H,DATA_GOC!$A:$A,"BOM",DATA_GOC!$D:$D,$B104,DATA_GOC!$F:$F,"Xuất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4" s="222" t="str">
        <f>IF($B104="","",IF(AG$4&gt;DAY(EOMONTH(DATE($D$2,$B$2,1),0)),"",SUMIFS(DATA_GOC!$H:$H,DATA_GOC!$A:$A,"BOM",DATA_GOC!$D:$D,$B104,DATA_GOC!$F:$F,"Xuất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4" s="222" t="str">
        <f t="shared" si="2"/>
        <v/>
      </c>
      <c r="AI104" s="222" t="str">
        <f>IF($B104="","",SUMIFS(DATA_GOC!$H:$H,DATA_GOC!$A:$A,"BOM",DATA_GOC!$D:$D,$B104,DATA_GOC!$F:$F,"Bơm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4" s="222" t="str">
        <f t="shared" si="3"/>
        <v/>
      </c>
      <c r="AM104" s="222" t="str">
        <f>IF($B104="","",SUMIFS(DATA_GOC!$K:$K,DATA_GOC!$A:$A,"BOM",DATA_GOC!$D:$D,$B104,DATA_GOC!$G:$G,"DO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4" s="222" t="str">
        <f t="shared" si="4"/>
        <v/>
      </c>
      <c r="AO104" s="227" t="str">
        <f t="shared" si="5"/>
        <v/>
      </c>
      <c r="AP104" s="226" t="str">
        <f>IF($B104="","",IFERROR(AO104-(SUMIFS(DATA_GOC!$H:$H,DATA_GOC!$A:$A,"BOM",DATA_GOC!$D:$D,$B104,DATA_GOC!$F:$F,"Xuất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4" s="59">
        <v>3.0</v>
      </c>
      <c r="AR104" s="59">
        <v>2026.0</v>
      </c>
      <c r="AS104" s="59" t="s">
        <v>117</v>
      </c>
      <c r="AT104" s="59">
        <v>864.564</v>
      </c>
      <c r="AU104" s="59">
        <v>0.0</v>
      </c>
      <c r="AV104" s="59">
        <v>864.564</v>
      </c>
      <c r="AW104" s="59">
        <v>65.3999999999996</v>
      </c>
      <c r="AX104" s="59">
        <v>1321.9633027523</v>
      </c>
      <c r="AY104" s="59">
        <v>533.564</v>
      </c>
      <c r="AZ104" s="59">
        <v>331.0</v>
      </c>
      <c r="BA104" s="59">
        <v>22.564</v>
      </c>
      <c r="BB104" s="59">
        <v>0.0</v>
      </c>
      <c r="BC104" s="59" t="s">
        <v>459</v>
      </c>
    </row>
    <row r="105" ht="15.0" customHeight="1">
      <c r="A105" s="61" t="str">
        <f t="shared" si="1"/>
        <v/>
      </c>
      <c r="B105" s="228" t="str">
        <f t="array" ref="B105">IFERROR(INDEX(DANH_MUC!$E:$E,ROW()-1),"")</f>
        <v/>
      </c>
      <c r="C105" s="228" t="str">
        <f>IF($B105="","",IF(C$4&gt;DAY(EOMONTH(DATE($D$2,$B$2,1),0)),"",SUMIFS(DATA_GOC!$H:$H,DATA_GOC!$A:$A,"BOM",DATA_GOC!$D:$D,$B105,DATA_GOC!$F:$F,"Xuất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5" s="61" t="str">
        <f>IF($B105="","",IF(D$4&gt;DAY(EOMONTH(DATE($D$2,$B$2,1),0)),"",SUMIFS(DATA_GOC!$H:$H,DATA_GOC!$A:$A,"BOM",DATA_GOC!$D:$D,$B105,DATA_GOC!$F:$F,"Xuất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5" s="229" t="str">
        <f>IF($B105="","",IF(E$4&gt;DAY(EOMONTH(DATE($D$2,$B$2,1),0)),"",SUMIFS(DATA_GOC!$H:$H,DATA_GOC!$A:$A,"BOM",DATA_GOC!$D:$D,$B105,DATA_GOC!$F:$F,"Xuất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5" s="229" t="str">
        <f>IF($B105="","",IF(F$4&gt;DAY(EOMONTH(DATE($D$2,$B$2,1),0)),"",SUMIFS(DATA_GOC!$H:$H,DATA_GOC!$A:$A,"BOM",DATA_GOC!$D:$D,$B105,DATA_GOC!$F:$F,"Xuất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5" s="229" t="str">
        <f>IF($B105="","",IF(G$4&gt;DAY(EOMONTH(DATE($D$2,$B$2,1),0)),"",SUMIFS(DATA_GOC!$H:$H,DATA_GOC!$A:$A,"BOM",DATA_GOC!$D:$D,$B105,DATA_GOC!$F:$F,"Xuất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5" s="228" t="str">
        <f>IF($B105="","",IF(H$4&gt;DAY(EOMONTH(DATE($D$2,$B$2,1),0)),"",SUMIFS(DATA_GOC!$H:$H,DATA_GOC!$A:$A,"BOM",DATA_GOC!$D:$D,$B105,DATA_GOC!$F:$F,"Xuất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5" s="229" t="str">
        <f>IF($B105="","",IF(I$4&gt;DAY(EOMONTH(DATE($D$2,$B$2,1),0)),"",SUMIFS(DATA_GOC!$H:$H,DATA_GOC!$A:$A,"BOM",DATA_GOC!$D:$D,$B105,DATA_GOC!$F:$F,"Xuất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5" s="229" t="str">
        <f>IF($B105="","",IF(J$4&gt;DAY(EOMONTH(DATE($D$2,$B$2,1),0)),"",SUMIFS(DATA_GOC!$H:$H,DATA_GOC!$A:$A,"BOM",DATA_GOC!$D:$D,$B105,DATA_GOC!$F:$F,"Xuất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5" s="229" t="str">
        <f>IF($B105="","",IF(K$4&gt;DAY(EOMONTH(DATE($D$2,$B$2,1),0)),"",SUMIFS(DATA_GOC!$H:$H,DATA_GOC!$A:$A,"BOM",DATA_GOC!$D:$D,$B105,DATA_GOC!$F:$F,"Xuất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5" s="229" t="str">
        <f>IF($B105="","",IF(L$4&gt;DAY(EOMONTH(DATE($D$2,$B$2,1),0)),"",SUMIFS(DATA_GOC!$H:$H,DATA_GOC!$A:$A,"BOM",DATA_GOC!$D:$D,$B105,DATA_GOC!$F:$F,"Xuất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5" s="229" t="str">
        <f>IF($B105="","",IF(M$4&gt;DAY(EOMONTH(DATE($D$2,$B$2,1),0)),"",SUMIFS(DATA_GOC!$H:$H,DATA_GOC!$A:$A,"BOM",DATA_GOC!$D:$D,$B105,DATA_GOC!$F:$F,"Xuất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5" s="61" t="str">
        <f>IF($B105="","",IF(N$4&gt;DAY(EOMONTH(DATE($D$2,$B$2,1),0)),"",SUMIFS(DATA_GOC!$H:$H,DATA_GOC!$A:$A,"BOM",DATA_GOC!$D:$D,$B105,DATA_GOC!$F:$F,"Xuất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5" s="61" t="str">
        <f>IF($B105="","",IF(O$4&gt;DAY(EOMONTH(DATE($D$2,$B$2,1),0)),"",SUMIFS(DATA_GOC!$H:$H,DATA_GOC!$A:$A,"BOM",DATA_GOC!$D:$D,$B105,DATA_GOC!$F:$F,"Xuất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5" s="61" t="str">
        <f>IF($B105="","",IF(P$4&gt;DAY(EOMONTH(DATE($D$2,$B$2,1),0)),"",SUMIFS(DATA_GOC!$H:$H,DATA_GOC!$A:$A,"BOM",DATA_GOC!$D:$D,$B105,DATA_GOC!$F:$F,"Xuất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5" s="61" t="str">
        <f>IF($B105="","",IF(Q$4&gt;DAY(EOMONTH(DATE($D$2,$B$2,1),0)),"",SUMIFS(DATA_GOC!$H:$H,DATA_GOC!$A:$A,"BOM",DATA_GOC!$D:$D,$B105,DATA_GOC!$F:$F,"Xuất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5" s="61" t="str">
        <f>IF($B105="","",IF(R$4&gt;DAY(EOMONTH(DATE($D$2,$B$2,1),0)),"",SUMIFS(DATA_GOC!$H:$H,DATA_GOC!$A:$A,"BOM",DATA_GOC!$D:$D,$B105,DATA_GOC!$F:$F,"Xuất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5" s="61" t="str">
        <f>IF($B105="","",IF(S$4&gt;DAY(EOMONTH(DATE($D$2,$B$2,1),0)),"",SUMIFS(DATA_GOC!$H:$H,DATA_GOC!$A:$A,"BOM",DATA_GOC!$D:$D,$B105,DATA_GOC!$F:$F,"Xuất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5" s="229" t="str">
        <f>IF($B105="","",IF(T$4&gt;DAY(EOMONTH(DATE($D$2,$B$2,1),0)),"",SUMIFS(DATA_GOC!$H:$H,DATA_GOC!$A:$A,"BOM",DATA_GOC!$D:$D,$B105,DATA_GOC!$F:$F,"Xuất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5" s="229" t="str">
        <f>IF($B105="","",IF(U$4&gt;DAY(EOMONTH(DATE($D$2,$B$2,1),0)),"",SUMIFS(DATA_GOC!$H:$H,DATA_GOC!$A:$A,"BOM",DATA_GOC!$D:$D,$B105,DATA_GOC!$F:$F,"Xuất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5" s="229" t="str">
        <f>IF($B105="","",IF(V$4&gt;DAY(EOMONTH(DATE($D$2,$B$2,1),0)),"",SUMIFS(DATA_GOC!$H:$H,DATA_GOC!$A:$A,"BOM",DATA_GOC!$D:$D,$B105,DATA_GOC!$F:$F,"Xuất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5" s="61" t="str">
        <f>IF($B105="","",IF(W$4&gt;DAY(EOMONTH(DATE($D$2,$B$2,1),0)),"",SUMIFS(DATA_GOC!$H:$H,DATA_GOC!$A:$A,"BOM",DATA_GOC!$D:$D,$B105,DATA_GOC!$F:$F,"Xuất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5" s="229" t="str">
        <f>IF($B105="","",IF(X$4&gt;DAY(EOMONTH(DATE($D$2,$B$2,1),0)),"",SUMIFS(DATA_GOC!$H:$H,DATA_GOC!$A:$A,"BOM",DATA_GOC!$D:$D,$B105,DATA_GOC!$F:$F,"Xuất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5" s="229" t="str">
        <f>IF($B105="","",IF(Y$4&gt;DAY(EOMONTH(DATE($D$2,$B$2,1),0)),"",SUMIFS(DATA_GOC!$H:$H,DATA_GOC!$A:$A,"BOM",DATA_GOC!$D:$D,$B105,DATA_GOC!$F:$F,"Xuất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5" s="229" t="str">
        <f>IF($B105="","",IF(Z$4&gt;DAY(EOMONTH(DATE($D$2,$B$2,1),0)),"",SUMIFS(DATA_GOC!$H:$H,DATA_GOC!$A:$A,"BOM",DATA_GOC!$D:$D,$B105,DATA_GOC!$F:$F,"Xuất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5" s="229" t="str">
        <f>IF($B105="","",IF(AA$4&gt;DAY(EOMONTH(DATE($D$2,$B$2,1),0)),"",SUMIFS(DATA_GOC!$H:$H,DATA_GOC!$A:$A,"BOM",DATA_GOC!$D:$D,$B105,DATA_GOC!$F:$F,"Xuất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5" s="229" t="str">
        <f>IF($B105="","",IF(AB$4&gt;DAY(EOMONTH(DATE($D$2,$B$2,1),0)),"",SUMIFS(DATA_GOC!$H:$H,DATA_GOC!$A:$A,"BOM",DATA_GOC!$D:$D,$B105,DATA_GOC!$F:$F,"Xuất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5" s="61" t="str">
        <f>IF($B105="","",IF(AC$4&gt;DAY(EOMONTH(DATE($D$2,$B$2,1),0)),"",SUMIFS(DATA_GOC!$H:$H,DATA_GOC!$A:$A,"BOM",DATA_GOC!$D:$D,$B105,DATA_GOC!$F:$F,"Xuất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5" s="222" t="str">
        <f>IF($B105="","",IF(AD$4&gt;DAY(EOMONTH(DATE($D$2,$B$2,1),0)),"",SUMIFS(DATA_GOC!$H:$H,DATA_GOC!$A:$A,"BOM",DATA_GOC!$D:$D,$B105,DATA_GOC!$F:$F,"Xuất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5" s="222" t="str">
        <f>IF($B105="","",IF(AE$4&gt;DAY(EOMONTH(DATE($D$2,$B$2,1),0)),"",SUMIFS(DATA_GOC!$H:$H,DATA_GOC!$A:$A,"BOM",DATA_GOC!$D:$D,$B105,DATA_GOC!$F:$F,"Xuất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5" s="222" t="str">
        <f>IF($B105="","",IF(AF$4&gt;DAY(EOMONTH(DATE($D$2,$B$2,1),0)),"",SUMIFS(DATA_GOC!$H:$H,DATA_GOC!$A:$A,"BOM",DATA_GOC!$D:$D,$B105,DATA_GOC!$F:$F,"Xuất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5" s="222" t="str">
        <f>IF($B105="","",IF(AG$4&gt;DAY(EOMONTH(DATE($D$2,$B$2,1),0)),"",SUMIFS(DATA_GOC!$H:$H,DATA_GOC!$A:$A,"BOM",DATA_GOC!$D:$D,$B105,DATA_GOC!$F:$F,"Xuất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5" s="222" t="str">
        <f t="shared" si="2"/>
        <v/>
      </c>
      <c r="AI105" s="222" t="str">
        <f>IF($B105="","",SUMIFS(DATA_GOC!$H:$H,DATA_GOC!$A:$A,"BOM",DATA_GOC!$D:$D,$B105,DATA_GOC!$F:$F,"Bơm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5" s="222" t="str">
        <f t="shared" si="3"/>
        <v/>
      </c>
      <c r="AM105" s="222" t="str">
        <f>IF($B105="","",SUMIFS(DATA_GOC!$K:$K,DATA_GOC!$A:$A,"BOM",DATA_GOC!$D:$D,$B105,DATA_GOC!$G:$G,"DO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5" s="222" t="str">
        <f t="shared" si="4"/>
        <v/>
      </c>
      <c r="AO105" s="227" t="str">
        <f t="shared" si="5"/>
        <v/>
      </c>
      <c r="AP105" s="226" t="str">
        <f>IF($B105="","",IFERROR(AO105-(SUMIFS(DATA_GOC!$H:$H,DATA_GOC!$A:$A,"BOM",DATA_GOC!$D:$D,$B105,DATA_GOC!$F:$F,"Xuất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5" s="59">
        <v>3.0</v>
      </c>
      <c r="AR105" s="59">
        <v>2026.0</v>
      </c>
      <c r="AS105" s="59" t="s">
        <v>116</v>
      </c>
      <c r="AT105" s="59">
        <v>4023.914</v>
      </c>
      <c r="AU105" s="59">
        <v>230.0</v>
      </c>
      <c r="AV105" s="59">
        <v>4253.914</v>
      </c>
      <c r="AW105" s="59">
        <v>7740.0</v>
      </c>
      <c r="AX105" s="59">
        <v>54.9601291989664</v>
      </c>
      <c r="AY105" s="59">
        <v>1842.46</v>
      </c>
      <c r="AZ105" s="59">
        <v>2411.454</v>
      </c>
      <c r="BA105" s="59">
        <v>61.46</v>
      </c>
      <c r="BB105" s="59">
        <v>0.0</v>
      </c>
      <c r="BC105" s="59" t="s">
        <v>460</v>
      </c>
    </row>
    <row r="106" ht="15.0" customHeight="1">
      <c r="A106" s="61" t="str">
        <f t="shared" si="1"/>
        <v/>
      </c>
      <c r="B106" s="228" t="str">
        <f t="array" ref="B106">IFERROR(INDEX(DANH_MUC!$E:$E,ROW()-1),"")</f>
        <v/>
      </c>
      <c r="C106" s="228" t="str">
        <f>IF($B106="","",IF(C$4&gt;DAY(EOMONTH(DATE($D$2,$B$2,1),0)),"",SUMIFS(DATA_GOC!$H:$H,DATA_GOC!$A:$A,"BOM",DATA_GOC!$D:$D,$B106,DATA_GOC!$F:$F,"Xuất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6" s="61" t="str">
        <f>IF($B106="","",IF(D$4&gt;DAY(EOMONTH(DATE($D$2,$B$2,1),0)),"",SUMIFS(DATA_GOC!$H:$H,DATA_GOC!$A:$A,"BOM",DATA_GOC!$D:$D,$B106,DATA_GOC!$F:$F,"Xuất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6" s="229" t="str">
        <f>IF($B106="","",IF(E$4&gt;DAY(EOMONTH(DATE($D$2,$B$2,1),0)),"",SUMIFS(DATA_GOC!$H:$H,DATA_GOC!$A:$A,"BOM",DATA_GOC!$D:$D,$B106,DATA_GOC!$F:$F,"Xuất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6" s="229" t="str">
        <f>IF($B106="","",IF(F$4&gt;DAY(EOMONTH(DATE($D$2,$B$2,1),0)),"",SUMIFS(DATA_GOC!$H:$H,DATA_GOC!$A:$A,"BOM",DATA_GOC!$D:$D,$B106,DATA_GOC!$F:$F,"Xuất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6" s="229" t="str">
        <f>IF($B106="","",IF(G$4&gt;DAY(EOMONTH(DATE($D$2,$B$2,1),0)),"",SUMIFS(DATA_GOC!$H:$H,DATA_GOC!$A:$A,"BOM",DATA_GOC!$D:$D,$B106,DATA_GOC!$F:$F,"Xuất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6" s="228" t="str">
        <f>IF($B106="","",IF(H$4&gt;DAY(EOMONTH(DATE($D$2,$B$2,1),0)),"",SUMIFS(DATA_GOC!$H:$H,DATA_GOC!$A:$A,"BOM",DATA_GOC!$D:$D,$B106,DATA_GOC!$F:$F,"Xuất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6" s="229" t="str">
        <f>IF($B106="","",IF(I$4&gt;DAY(EOMONTH(DATE($D$2,$B$2,1),0)),"",SUMIFS(DATA_GOC!$H:$H,DATA_GOC!$A:$A,"BOM",DATA_GOC!$D:$D,$B106,DATA_GOC!$F:$F,"Xuất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6" s="229" t="str">
        <f>IF($B106="","",IF(J$4&gt;DAY(EOMONTH(DATE($D$2,$B$2,1),0)),"",SUMIFS(DATA_GOC!$H:$H,DATA_GOC!$A:$A,"BOM",DATA_GOC!$D:$D,$B106,DATA_GOC!$F:$F,"Xuất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6" s="229" t="str">
        <f>IF($B106="","",IF(K$4&gt;DAY(EOMONTH(DATE($D$2,$B$2,1),0)),"",SUMIFS(DATA_GOC!$H:$H,DATA_GOC!$A:$A,"BOM",DATA_GOC!$D:$D,$B106,DATA_GOC!$F:$F,"Xuất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6" s="229" t="str">
        <f>IF($B106="","",IF(L$4&gt;DAY(EOMONTH(DATE($D$2,$B$2,1),0)),"",SUMIFS(DATA_GOC!$H:$H,DATA_GOC!$A:$A,"BOM",DATA_GOC!$D:$D,$B106,DATA_GOC!$F:$F,"Xuất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6" s="229" t="str">
        <f>IF($B106="","",IF(M$4&gt;DAY(EOMONTH(DATE($D$2,$B$2,1),0)),"",SUMIFS(DATA_GOC!$H:$H,DATA_GOC!$A:$A,"BOM",DATA_GOC!$D:$D,$B106,DATA_GOC!$F:$F,"Xuất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6" s="61" t="str">
        <f>IF($B106="","",IF(N$4&gt;DAY(EOMONTH(DATE($D$2,$B$2,1),0)),"",SUMIFS(DATA_GOC!$H:$H,DATA_GOC!$A:$A,"BOM",DATA_GOC!$D:$D,$B106,DATA_GOC!$F:$F,"Xuất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6" s="61" t="str">
        <f>IF($B106="","",IF(O$4&gt;DAY(EOMONTH(DATE($D$2,$B$2,1),0)),"",SUMIFS(DATA_GOC!$H:$H,DATA_GOC!$A:$A,"BOM",DATA_GOC!$D:$D,$B106,DATA_GOC!$F:$F,"Xuất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6" s="61" t="str">
        <f>IF($B106="","",IF(P$4&gt;DAY(EOMONTH(DATE($D$2,$B$2,1),0)),"",SUMIFS(DATA_GOC!$H:$H,DATA_GOC!$A:$A,"BOM",DATA_GOC!$D:$D,$B106,DATA_GOC!$F:$F,"Xuất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6" s="61" t="str">
        <f>IF($B106="","",IF(Q$4&gt;DAY(EOMONTH(DATE($D$2,$B$2,1),0)),"",SUMIFS(DATA_GOC!$H:$H,DATA_GOC!$A:$A,"BOM",DATA_GOC!$D:$D,$B106,DATA_GOC!$F:$F,"Xuất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6" s="61" t="str">
        <f>IF($B106="","",IF(R$4&gt;DAY(EOMONTH(DATE($D$2,$B$2,1),0)),"",SUMIFS(DATA_GOC!$H:$H,DATA_GOC!$A:$A,"BOM",DATA_GOC!$D:$D,$B106,DATA_GOC!$F:$F,"Xuất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6" s="61" t="str">
        <f>IF($B106="","",IF(S$4&gt;DAY(EOMONTH(DATE($D$2,$B$2,1),0)),"",SUMIFS(DATA_GOC!$H:$H,DATA_GOC!$A:$A,"BOM",DATA_GOC!$D:$D,$B106,DATA_GOC!$F:$F,"Xuất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6" s="229" t="str">
        <f>IF($B106="","",IF(T$4&gt;DAY(EOMONTH(DATE($D$2,$B$2,1),0)),"",SUMIFS(DATA_GOC!$H:$H,DATA_GOC!$A:$A,"BOM",DATA_GOC!$D:$D,$B106,DATA_GOC!$F:$F,"Xuất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6" s="229" t="str">
        <f>IF($B106="","",IF(U$4&gt;DAY(EOMONTH(DATE($D$2,$B$2,1),0)),"",SUMIFS(DATA_GOC!$H:$H,DATA_GOC!$A:$A,"BOM",DATA_GOC!$D:$D,$B106,DATA_GOC!$F:$F,"Xuất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6" s="229" t="str">
        <f>IF($B106="","",IF(V$4&gt;DAY(EOMONTH(DATE($D$2,$B$2,1),0)),"",SUMIFS(DATA_GOC!$H:$H,DATA_GOC!$A:$A,"BOM",DATA_GOC!$D:$D,$B106,DATA_GOC!$F:$F,"Xuất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6" s="61" t="str">
        <f>IF($B106="","",IF(W$4&gt;DAY(EOMONTH(DATE($D$2,$B$2,1),0)),"",SUMIFS(DATA_GOC!$H:$H,DATA_GOC!$A:$A,"BOM",DATA_GOC!$D:$D,$B106,DATA_GOC!$F:$F,"Xuất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6" s="229" t="str">
        <f>IF($B106="","",IF(X$4&gt;DAY(EOMONTH(DATE($D$2,$B$2,1),0)),"",SUMIFS(DATA_GOC!$H:$H,DATA_GOC!$A:$A,"BOM",DATA_GOC!$D:$D,$B106,DATA_GOC!$F:$F,"Xuất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6" s="229" t="str">
        <f>IF($B106="","",IF(Y$4&gt;DAY(EOMONTH(DATE($D$2,$B$2,1),0)),"",SUMIFS(DATA_GOC!$H:$H,DATA_GOC!$A:$A,"BOM",DATA_GOC!$D:$D,$B106,DATA_GOC!$F:$F,"Xuất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6" s="229" t="str">
        <f>IF($B106="","",IF(Z$4&gt;DAY(EOMONTH(DATE($D$2,$B$2,1),0)),"",SUMIFS(DATA_GOC!$H:$H,DATA_GOC!$A:$A,"BOM",DATA_GOC!$D:$D,$B106,DATA_GOC!$F:$F,"Xuất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6" s="229" t="str">
        <f>IF($B106="","",IF(AA$4&gt;DAY(EOMONTH(DATE($D$2,$B$2,1),0)),"",SUMIFS(DATA_GOC!$H:$H,DATA_GOC!$A:$A,"BOM",DATA_GOC!$D:$D,$B106,DATA_GOC!$F:$F,"Xuất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6" s="229" t="str">
        <f>IF($B106="","",IF(AB$4&gt;DAY(EOMONTH(DATE($D$2,$B$2,1),0)),"",SUMIFS(DATA_GOC!$H:$H,DATA_GOC!$A:$A,"BOM",DATA_GOC!$D:$D,$B106,DATA_GOC!$F:$F,"Xuất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6" s="61" t="str">
        <f>IF($B106="","",IF(AC$4&gt;DAY(EOMONTH(DATE($D$2,$B$2,1),0)),"",SUMIFS(DATA_GOC!$H:$H,DATA_GOC!$A:$A,"BOM",DATA_GOC!$D:$D,$B106,DATA_GOC!$F:$F,"Xuất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6" s="222" t="str">
        <f>IF($B106="","",IF(AD$4&gt;DAY(EOMONTH(DATE($D$2,$B$2,1),0)),"",SUMIFS(DATA_GOC!$H:$H,DATA_GOC!$A:$A,"BOM",DATA_GOC!$D:$D,$B106,DATA_GOC!$F:$F,"Xuất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6" s="222" t="str">
        <f>IF($B106="","",IF(AE$4&gt;DAY(EOMONTH(DATE($D$2,$B$2,1),0)),"",SUMIFS(DATA_GOC!$H:$H,DATA_GOC!$A:$A,"BOM",DATA_GOC!$D:$D,$B106,DATA_GOC!$F:$F,"Xuất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6" s="222" t="str">
        <f>IF($B106="","",IF(AF$4&gt;DAY(EOMONTH(DATE($D$2,$B$2,1),0)),"",SUMIFS(DATA_GOC!$H:$H,DATA_GOC!$A:$A,"BOM",DATA_GOC!$D:$D,$B106,DATA_GOC!$F:$F,"Xuất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6" s="222" t="str">
        <f>IF($B106="","",IF(AG$4&gt;DAY(EOMONTH(DATE($D$2,$B$2,1),0)),"",SUMIFS(DATA_GOC!$H:$H,DATA_GOC!$A:$A,"BOM",DATA_GOC!$D:$D,$B106,DATA_GOC!$F:$F,"Xuất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6" s="222" t="str">
        <f t="shared" si="2"/>
        <v/>
      </c>
      <c r="AI106" s="222" t="str">
        <f>IF($B106="","",SUMIFS(DATA_GOC!$H:$H,DATA_GOC!$A:$A,"BOM",DATA_GOC!$D:$D,$B106,DATA_GOC!$F:$F,"Bơm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6" s="222" t="str">
        <f t="shared" si="3"/>
        <v/>
      </c>
      <c r="AM106" s="222" t="str">
        <f>IF($B106="","",SUMIFS(DATA_GOC!$K:$K,DATA_GOC!$A:$A,"BOM",DATA_GOC!$D:$D,$B106,DATA_GOC!$G:$G,"DO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6" s="222" t="str">
        <f t="shared" si="4"/>
        <v/>
      </c>
      <c r="AO106" s="227" t="str">
        <f t="shared" si="5"/>
        <v/>
      </c>
      <c r="AP106" s="226" t="str">
        <f>IF($B106="","",IFERROR(AO106-(SUMIFS(DATA_GOC!$H:$H,DATA_GOC!$A:$A,"BOM",DATA_GOC!$D:$D,$B106,DATA_GOC!$F:$F,"Xuất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6" s="59">
        <v>3.0</v>
      </c>
      <c r="AR106" s="59">
        <v>2026.0</v>
      </c>
      <c r="AS106" s="59" t="s">
        <v>136</v>
      </c>
      <c r="AT106" s="59">
        <v>248.867</v>
      </c>
      <c r="AU106" s="59">
        <v>0.0</v>
      </c>
      <c r="AV106" s="59">
        <v>248.867</v>
      </c>
      <c r="AW106" s="59">
        <v>3203.0</v>
      </c>
      <c r="AX106" s="59">
        <v>7.76980955354355</v>
      </c>
      <c r="AY106" s="59">
        <v>60.0</v>
      </c>
      <c r="AZ106" s="59">
        <v>188.867</v>
      </c>
      <c r="BA106" s="59">
        <v>2.0</v>
      </c>
      <c r="BB106" s="59">
        <v>0.0</v>
      </c>
      <c r="BC106" s="59" t="s">
        <v>461</v>
      </c>
    </row>
    <row r="107" ht="15.0" customHeight="1">
      <c r="A107" s="61" t="str">
        <f t="shared" si="1"/>
        <v/>
      </c>
      <c r="B107" s="228" t="str">
        <f t="array" ref="B107">IFERROR(INDEX(DANH_MUC!$E:$E,ROW()-1),"")</f>
        <v/>
      </c>
      <c r="C107" s="228" t="str">
        <f>IF($B107="","",IF(C$4&gt;DAY(EOMONTH(DATE($D$2,$B$2,1),0)),"",SUMIFS(DATA_GOC!$H:$H,DATA_GOC!$A:$A,"BOM",DATA_GOC!$D:$D,$B107,DATA_GOC!$F:$F,"Xuất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7" s="61" t="str">
        <f>IF($B107="","",IF(D$4&gt;DAY(EOMONTH(DATE($D$2,$B$2,1),0)),"",SUMIFS(DATA_GOC!$H:$H,DATA_GOC!$A:$A,"BOM",DATA_GOC!$D:$D,$B107,DATA_GOC!$F:$F,"Xuất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7" s="229" t="str">
        <f>IF($B107="","",IF(E$4&gt;DAY(EOMONTH(DATE($D$2,$B$2,1),0)),"",SUMIFS(DATA_GOC!$H:$H,DATA_GOC!$A:$A,"BOM",DATA_GOC!$D:$D,$B107,DATA_GOC!$F:$F,"Xuất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7" s="229" t="str">
        <f>IF($B107="","",IF(F$4&gt;DAY(EOMONTH(DATE($D$2,$B$2,1),0)),"",SUMIFS(DATA_GOC!$H:$H,DATA_GOC!$A:$A,"BOM",DATA_GOC!$D:$D,$B107,DATA_GOC!$F:$F,"Xuất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7" s="229" t="str">
        <f>IF($B107="","",IF(G$4&gt;DAY(EOMONTH(DATE($D$2,$B$2,1),0)),"",SUMIFS(DATA_GOC!$H:$H,DATA_GOC!$A:$A,"BOM",DATA_GOC!$D:$D,$B107,DATA_GOC!$F:$F,"Xuất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7" s="228" t="str">
        <f>IF($B107="","",IF(H$4&gt;DAY(EOMONTH(DATE($D$2,$B$2,1),0)),"",SUMIFS(DATA_GOC!$H:$H,DATA_GOC!$A:$A,"BOM",DATA_GOC!$D:$D,$B107,DATA_GOC!$F:$F,"Xuất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7" s="229" t="str">
        <f>IF($B107="","",IF(I$4&gt;DAY(EOMONTH(DATE($D$2,$B$2,1),0)),"",SUMIFS(DATA_GOC!$H:$H,DATA_GOC!$A:$A,"BOM",DATA_GOC!$D:$D,$B107,DATA_GOC!$F:$F,"Xuất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7" s="229" t="str">
        <f>IF($B107="","",IF(J$4&gt;DAY(EOMONTH(DATE($D$2,$B$2,1),0)),"",SUMIFS(DATA_GOC!$H:$H,DATA_GOC!$A:$A,"BOM",DATA_GOC!$D:$D,$B107,DATA_GOC!$F:$F,"Xuất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7" s="229" t="str">
        <f>IF($B107="","",IF(K$4&gt;DAY(EOMONTH(DATE($D$2,$B$2,1),0)),"",SUMIFS(DATA_GOC!$H:$H,DATA_GOC!$A:$A,"BOM",DATA_GOC!$D:$D,$B107,DATA_GOC!$F:$F,"Xuất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7" s="229" t="str">
        <f>IF($B107="","",IF(L$4&gt;DAY(EOMONTH(DATE($D$2,$B$2,1),0)),"",SUMIFS(DATA_GOC!$H:$H,DATA_GOC!$A:$A,"BOM",DATA_GOC!$D:$D,$B107,DATA_GOC!$F:$F,"Xuất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7" s="229" t="str">
        <f>IF($B107="","",IF(M$4&gt;DAY(EOMONTH(DATE($D$2,$B$2,1),0)),"",SUMIFS(DATA_GOC!$H:$H,DATA_GOC!$A:$A,"BOM",DATA_GOC!$D:$D,$B107,DATA_GOC!$F:$F,"Xuất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7" s="61" t="str">
        <f>IF($B107="","",IF(N$4&gt;DAY(EOMONTH(DATE($D$2,$B$2,1),0)),"",SUMIFS(DATA_GOC!$H:$H,DATA_GOC!$A:$A,"BOM",DATA_GOC!$D:$D,$B107,DATA_GOC!$F:$F,"Xuất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7" s="61" t="str">
        <f>IF($B107="","",IF(O$4&gt;DAY(EOMONTH(DATE($D$2,$B$2,1),0)),"",SUMIFS(DATA_GOC!$H:$H,DATA_GOC!$A:$A,"BOM",DATA_GOC!$D:$D,$B107,DATA_GOC!$F:$F,"Xuất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7" s="61" t="str">
        <f>IF($B107="","",IF(P$4&gt;DAY(EOMONTH(DATE($D$2,$B$2,1),0)),"",SUMIFS(DATA_GOC!$H:$H,DATA_GOC!$A:$A,"BOM",DATA_GOC!$D:$D,$B107,DATA_GOC!$F:$F,"Xuất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7" s="61" t="str">
        <f>IF($B107="","",IF(Q$4&gt;DAY(EOMONTH(DATE($D$2,$B$2,1),0)),"",SUMIFS(DATA_GOC!$H:$H,DATA_GOC!$A:$A,"BOM",DATA_GOC!$D:$D,$B107,DATA_GOC!$F:$F,"Xuất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7" s="61" t="str">
        <f>IF($B107="","",IF(R$4&gt;DAY(EOMONTH(DATE($D$2,$B$2,1),0)),"",SUMIFS(DATA_GOC!$H:$H,DATA_GOC!$A:$A,"BOM",DATA_GOC!$D:$D,$B107,DATA_GOC!$F:$F,"Xuất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7" s="61" t="str">
        <f>IF($B107="","",IF(S$4&gt;DAY(EOMONTH(DATE($D$2,$B$2,1),0)),"",SUMIFS(DATA_GOC!$H:$H,DATA_GOC!$A:$A,"BOM",DATA_GOC!$D:$D,$B107,DATA_GOC!$F:$F,"Xuất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7" s="229" t="str">
        <f>IF($B107="","",IF(T$4&gt;DAY(EOMONTH(DATE($D$2,$B$2,1),0)),"",SUMIFS(DATA_GOC!$H:$H,DATA_GOC!$A:$A,"BOM",DATA_GOC!$D:$D,$B107,DATA_GOC!$F:$F,"Xuất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7" s="229" t="str">
        <f>IF($B107="","",IF(U$4&gt;DAY(EOMONTH(DATE($D$2,$B$2,1),0)),"",SUMIFS(DATA_GOC!$H:$H,DATA_GOC!$A:$A,"BOM",DATA_GOC!$D:$D,$B107,DATA_GOC!$F:$F,"Xuất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7" s="229" t="str">
        <f>IF($B107="","",IF(V$4&gt;DAY(EOMONTH(DATE($D$2,$B$2,1),0)),"",SUMIFS(DATA_GOC!$H:$H,DATA_GOC!$A:$A,"BOM",DATA_GOC!$D:$D,$B107,DATA_GOC!$F:$F,"Xuất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7" s="61" t="str">
        <f>IF($B107="","",IF(W$4&gt;DAY(EOMONTH(DATE($D$2,$B$2,1),0)),"",SUMIFS(DATA_GOC!$H:$H,DATA_GOC!$A:$A,"BOM",DATA_GOC!$D:$D,$B107,DATA_GOC!$F:$F,"Xuất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7" s="229" t="str">
        <f>IF($B107="","",IF(X$4&gt;DAY(EOMONTH(DATE($D$2,$B$2,1),0)),"",SUMIFS(DATA_GOC!$H:$H,DATA_GOC!$A:$A,"BOM",DATA_GOC!$D:$D,$B107,DATA_GOC!$F:$F,"Xuất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7" s="229" t="str">
        <f>IF($B107="","",IF(Y$4&gt;DAY(EOMONTH(DATE($D$2,$B$2,1),0)),"",SUMIFS(DATA_GOC!$H:$H,DATA_GOC!$A:$A,"BOM",DATA_GOC!$D:$D,$B107,DATA_GOC!$F:$F,"Xuất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7" s="229" t="str">
        <f>IF($B107="","",IF(Z$4&gt;DAY(EOMONTH(DATE($D$2,$B$2,1),0)),"",SUMIFS(DATA_GOC!$H:$H,DATA_GOC!$A:$A,"BOM",DATA_GOC!$D:$D,$B107,DATA_GOC!$F:$F,"Xuất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7" s="229" t="str">
        <f>IF($B107="","",IF(AA$4&gt;DAY(EOMONTH(DATE($D$2,$B$2,1),0)),"",SUMIFS(DATA_GOC!$H:$H,DATA_GOC!$A:$A,"BOM",DATA_GOC!$D:$D,$B107,DATA_GOC!$F:$F,"Xuất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7" s="229" t="str">
        <f>IF($B107="","",IF(AB$4&gt;DAY(EOMONTH(DATE($D$2,$B$2,1),0)),"",SUMIFS(DATA_GOC!$H:$H,DATA_GOC!$A:$A,"BOM",DATA_GOC!$D:$D,$B107,DATA_GOC!$F:$F,"Xuất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7" s="61" t="str">
        <f>IF($B107="","",IF(AC$4&gt;DAY(EOMONTH(DATE($D$2,$B$2,1),0)),"",SUMIFS(DATA_GOC!$H:$H,DATA_GOC!$A:$A,"BOM",DATA_GOC!$D:$D,$B107,DATA_GOC!$F:$F,"Xuất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7" s="222" t="str">
        <f>IF($B107="","",IF(AD$4&gt;DAY(EOMONTH(DATE($D$2,$B$2,1),0)),"",SUMIFS(DATA_GOC!$H:$H,DATA_GOC!$A:$A,"BOM",DATA_GOC!$D:$D,$B107,DATA_GOC!$F:$F,"Xuất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7" s="222" t="str">
        <f>IF($B107="","",IF(AE$4&gt;DAY(EOMONTH(DATE($D$2,$B$2,1),0)),"",SUMIFS(DATA_GOC!$H:$H,DATA_GOC!$A:$A,"BOM",DATA_GOC!$D:$D,$B107,DATA_GOC!$F:$F,"Xuất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7" s="222" t="str">
        <f>IF($B107="","",IF(AF$4&gt;DAY(EOMONTH(DATE($D$2,$B$2,1),0)),"",SUMIFS(DATA_GOC!$H:$H,DATA_GOC!$A:$A,"BOM",DATA_GOC!$D:$D,$B107,DATA_GOC!$F:$F,"Xuất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7" s="222" t="str">
        <f>IF($B107="","",IF(AG$4&gt;DAY(EOMONTH(DATE($D$2,$B$2,1),0)),"",SUMIFS(DATA_GOC!$H:$H,DATA_GOC!$A:$A,"BOM",DATA_GOC!$D:$D,$B107,DATA_GOC!$F:$F,"Xuất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7" s="222" t="str">
        <f t="shared" si="2"/>
        <v/>
      </c>
      <c r="AI107" s="222" t="str">
        <f>IF($B107="","",SUMIFS(DATA_GOC!$H:$H,DATA_GOC!$A:$A,"BOM",DATA_GOC!$D:$D,$B107,DATA_GOC!$F:$F,"Bơm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7" s="222" t="str">
        <f t="shared" si="3"/>
        <v/>
      </c>
      <c r="AM107" s="222" t="str">
        <f>IF($B107="","",SUMIFS(DATA_GOC!$K:$K,DATA_GOC!$A:$A,"BOM",DATA_GOC!$D:$D,$B107,DATA_GOC!$G:$G,"DO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7" s="222" t="str">
        <f t="shared" si="4"/>
        <v/>
      </c>
      <c r="AO107" s="227" t="str">
        <f t="shared" si="5"/>
        <v/>
      </c>
      <c r="AP107" s="226" t="str">
        <f>IF($B107="","",IFERROR(AO107-(SUMIFS(DATA_GOC!$H:$H,DATA_GOC!$A:$A,"BOM",DATA_GOC!$D:$D,$B107,DATA_GOC!$F:$F,"Xuất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7" s="59">
        <v>3.0</v>
      </c>
      <c r="AR107" s="59">
        <v>2026.0</v>
      </c>
      <c r="AS107" s="59" t="s">
        <v>135</v>
      </c>
      <c r="AT107" s="59">
        <v>52.932</v>
      </c>
      <c r="AU107" s="59">
        <v>0.0</v>
      </c>
      <c r="AV107" s="59">
        <v>52.932</v>
      </c>
      <c r="AW107" s="59">
        <v>630.0</v>
      </c>
      <c r="AX107" s="59">
        <v>8.40190476190476</v>
      </c>
      <c r="AY107" s="59">
        <v>1.932</v>
      </c>
      <c r="AZ107" s="59">
        <v>51.0</v>
      </c>
      <c r="BA107" s="59">
        <v>1.932</v>
      </c>
      <c r="BB107" s="59">
        <v>0.0</v>
      </c>
      <c r="BC107" s="59" t="s">
        <v>462</v>
      </c>
    </row>
    <row r="108" ht="15.0" customHeight="1">
      <c r="A108" s="61" t="str">
        <f t="shared" si="1"/>
        <v/>
      </c>
      <c r="B108" s="228" t="str">
        <f t="array" ref="B108">IFERROR(INDEX(DANH_MUC!$E:$E,ROW()-1),"")</f>
        <v/>
      </c>
      <c r="C108" s="228" t="str">
        <f>IF($B108="","",IF(C$4&gt;DAY(EOMONTH(DATE($D$2,$B$2,1),0)),"",SUMIFS(DATA_GOC!$H:$H,DATA_GOC!$A:$A,"BOM",DATA_GOC!$D:$D,$B108,DATA_GOC!$F:$F,"Xuất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8" s="61" t="str">
        <f>IF($B108="","",IF(D$4&gt;DAY(EOMONTH(DATE($D$2,$B$2,1),0)),"",SUMIFS(DATA_GOC!$H:$H,DATA_GOC!$A:$A,"BOM",DATA_GOC!$D:$D,$B108,DATA_GOC!$F:$F,"Xuất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8" s="229" t="str">
        <f>IF($B108="","",IF(E$4&gt;DAY(EOMONTH(DATE($D$2,$B$2,1),0)),"",SUMIFS(DATA_GOC!$H:$H,DATA_GOC!$A:$A,"BOM",DATA_GOC!$D:$D,$B108,DATA_GOC!$F:$F,"Xuất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8" s="229" t="str">
        <f>IF($B108="","",IF(F$4&gt;DAY(EOMONTH(DATE($D$2,$B$2,1),0)),"",SUMIFS(DATA_GOC!$H:$H,DATA_GOC!$A:$A,"BOM",DATA_GOC!$D:$D,$B108,DATA_GOC!$F:$F,"Xuất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8" s="229" t="str">
        <f>IF($B108="","",IF(G$4&gt;DAY(EOMONTH(DATE($D$2,$B$2,1),0)),"",SUMIFS(DATA_GOC!$H:$H,DATA_GOC!$A:$A,"BOM",DATA_GOC!$D:$D,$B108,DATA_GOC!$F:$F,"Xuất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8" s="228" t="str">
        <f>IF($B108="","",IF(H$4&gt;DAY(EOMONTH(DATE($D$2,$B$2,1),0)),"",SUMIFS(DATA_GOC!$H:$H,DATA_GOC!$A:$A,"BOM",DATA_GOC!$D:$D,$B108,DATA_GOC!$F:$F,"Xuất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8" s="229" t="str">
        <f>IF($B108="","",IF(I$4&gt;DAY(EOMONTH(DATE($D$2,$B$2,1),0)),"",SUMIFS(DATA_GOC!$H:$H,DATA_GOC!$A:$A,"BOM",DATA_GOC!$D:$D,$B108,DATA_GOC!$F:$F,"Xuất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8" s="229" t="str">
        <f>IF($B108="","",IF(J$4&gt;DAY(EOMONTH(DATE($D$2,$B$2,1),0)),"",SUMIFS(DATA_GOC!$H:$H,DATA_GOC!$A:$A,"BOM",DATA_GOC!$D:$D,$B108,DATA_GOC!$F:$F,"Xuất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8" s="229" t="str">
        <f>IF($B108="","",IF(K$4&gt;DAY(EOMONTH(DATE($D$2,$B$2,1),0)),"",SUMIFS(DATA_GOC!$H:$H,DATA_GOC!$A:$A,"BOM",DATA_GOC!$D:$D,$B108,DATA_GOC!$F:$F,"Xuất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8" s="229" t="str">
        <f>IF($B108="","",IF(L$4&gt;DAY(EOMONTH(DATE($D$2,$B$2,1),0)),"",SUMIFS(DATA_GOC!$H:$H,DATA_GOC!$A:$A,"BOM",DATA_GOC!$D:$D,$B108,DATA_GOC!$F:$F,"Xuất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8" s="229" t="str">
        <f>IF($B108="","",IF(M$4&gt;DAY(EOMONTH(DATE($D$2,$B$2,1),0)),"",SUMIFS(DATA_GOC!$H:$H,DATA_GOC!$A:$A,"BOM",DATA_GOC!$D:$D,$B108,DATA_GOC!$F:$F,"Xuất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8" s="61" t="str">
        <f>IF($B108="","",IF(N$4&gt;DAY(EOMONTH(DATE($D$2,$B$2,1),0)),"",SUMIFS(DATA_GOC!$H:$H,DATA_GOC!$A:$A,"BOM",DATA_GOC!$D:$D,$B108,DATA_GOC!$F:$F,"Xuất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8" s="61" t="str">
        <f>IF($B108="","",IF(O$4&gt;DAY(EOMONTH(DATE($D$2,$B$2,1),0)),"",SUMIFS(DATA_GOC!$H:$H,DATA_GOC!$A:$A,"BOM",DATA_GOC!$D:$D,$B108,DATA_GOC!$F:$F,"Xuất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8" s="61" t="str">
        <f>IF($B108="","",IF(P$4&gt;DAY(EOMONTH(DATE($D$2,$B$2,1),0)),"",SUMIFS(DATA_GOC!$H:$H,DATA_GOC!$A:$A,"BOM",DATA_GOC!$D:$D,$B108,DATA_GOC!$F:$F,"Xuất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8" s="61" t="str">
        <f>IF($B108="","",IF(Q$4&gt;DAY(EOMONTH(DATE($D$2,$B$2,1),0)),"",SUMIFS(DATA_GOC!$H:$H,DATA_GOC!$A:$A,"BOM",DATA_GOC!$D:$D,$B108,DATA_GOC!$F:$F,"Xuất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8" s="61" t="str">
        <f>IF($B108="","",IF(R$4&gt;DAY(EOMONTH(DATE($D$2,$B$2,1),0)),"",SUMIFS(DATA_GOC!$H:$H,DATA_GOC!$A:$A,"BOM",DATA_GOC!$D:$D,$B108,DATA_GOC!$F:$F,"Xuất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8" s="61" t="str">
        <f>IF($B108="","",IF(S$4&gt;DAY(EOMONTH(DATE($D$2,$B$2,1),0)),"",SUMIFS(DATA_GOC!$H:$H,DATA_GOC!$A:$A,"BOM",DATA_GOC!$D:$D,$B108,DATA_GOC!$F:$F,"Xuất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8" s="229" t="str">
        <f>IF($B108="","",IF(T$4&gt;DAY(EOMONTH(DATE($D$2,$B$2,1),0)),"",SUMIFS(DATA_GOC!$H:$H,DATA_GOC!$A:$A,"BOM",DATA_GOC!$D:$D,$B108,DATA_GOC!$F:$F,"Xuất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8" s="229" t="str">
        <f>IF($B108="","",IF(U$4&gt;DAY(EOMONTH(DATE($D$2,$B$2,1),0)),"",SUMIFS(DATA_GOC!$H:$H,DATA_GOC!$A:$A,"BOM",DATA_GOC!$D:$D,$B108,DATA_GOC!$F:$F,"Xuất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8" s="229" t="str">
        <f>IF($B108="","",IF(V$4&gt;DAY(EOMONTH(DATE($D$2,$B$2,1),0)),"",SUMIFS(DATA_GOC!$H:$H,DATA_GOC!$A:$A,"BOM",DATA_GOC!$D:$D,$B108,DATA_GOC!$F:$F,"Xuất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8" s="61" t="str">
        <f>IF($B108="","",IF(W$4&gt;DAY(EOMONTH(DATE($D$2,$B$2,1),0)),"",SUMIFS(DATA_GOC!$H:$H,DATA_GOC!$A:$A,"BOM",DATA_GOC!$D:$D,$B108,DATA_GOC!$F:$F,"Xuất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8" s="229" t="str">
        <f>IF($B108="","",IF(X$4&gt;DAY(EOMONTH(DATE($D$2,$B$2,1),0)),"",SUMIFS(DATA_GOC!$H:$H,DATA_GOC!$A:$A,"BOM",DATA_GOC!$D:$D,$B108,DATA_GOC!$F:$F,"Xuất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8" s="229" t="str">
        <f>IF($B108="","",IF(Y$4&gt;DAY(EOMONTH(DATE($D$2,$B$2,1),0)),"",SUMIFS(DATA_GOC!$H:$H,DATA_GOC!$A:$A,"BOM",DATA_GOC!$D:$D,$B108,DATA_GOC!$F:$F,"Xuất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8" s="229" t="str">
        <f>IF($B108="","",IF(Z$4&gt;DAY(EOMONTH(DATE($D$2,$B$2,1),0)),"",SUMIFS(DATA_GOC!$H:$H,DATA_GOC!$A:$A,"BOM",DATA_GOC!$D:$D,$B108,DATA_GOC!$F:$F,"Xuất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8" s="229" t="str">
        <f>IF($B108="","",IF(AA$4&gt;DAY(EOMONTH(DATE($D$2,$B$2,1),0)),"",SUMIFS(DATA_GOC!$H:$H,DATA_GOC!$A:$A,"BOM",DATA_GOC!$D:$D,$B108,DATA_GOC!$F:$F,"Xuất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8" s="229" t="str">
        <f>IF($B108="","",IF(AB$4&gt;DAY(EOMONTH(DATE($D$2,$B$2,1),0)),"",SUMIFS(DATA_GOC!$H:$H,DATA_GOC!$A:$A,"BOM",DATA_GOC!$D:$D,$B108,DATA_GOC!$F:$F,"Xuất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8" s="61" t="str">
        <f>IF($B108="","",IF(AC$4&gt;DAY(EOMONTH(DATE($D$2,$B$2,1),0)),"",SUMIFS(DATA_GOC!$H:$H,DATA_GOC!$A:$A,"BOM",DATA_GOC!$D:$D,$B108,DATA_GOC!$F:$F,"Xuất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8" s="222" t="str">
        <f>IF($B108="","",IF(AD$4&gt;DAY(EOMONTH(DATE($D$2,$B$2,1),0)),"",SUMIFS(DATA_GOC!$H:$H,DATA_GOC!$A:$A,"BOM",DATA_GOC!$D:$D,$B108,DATA_GOC!$F:$F,"Xuất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8" s="222" t="str">
        <f>IF($B108="","",IF(AE$4&gt;DAY(EOMONTH(DATE($D$2,$B$2,1),0)),"",SUMIFS(DATA_GOC!$H:$H,DATA_GOC!$A:$A,"BOM",DATA_GOC!$D:$D,$B108,DATA_GOC!$F:$F,"Xuất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8" s="222" t="str">
        <f>IF($B108="","",IF(AF$4&gt;DAY(EOMONTH(DATE($D$2,$B$2,1),0)),"",SUMIFS(DATA_GOC!$H:$H,DATA_GOC!$A:$A,"BOM",DATA_GOC!$D:$D,$B108,DATA_GOC!$F:$F,"Xuất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8" s="222" t="str">
        <f>IF($B108="","",IF(AG$4&gt;DAY(EOMONTH(DATE($D$2,$B$2,1),0)),"",SUMIFS(DATA_GOC!$H:$H,DATA_GOC!$A:$A,"BOM",DATA_GOC!$D:$D,$B108,DATA_GOC!$F:$F,"Xuất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8" s="222" t="str">
        <f t="shared" si="2"/>
        <v/>
      </c>
      <c r="AI108" s="222" t="str">
        <f>IF($B108="","",SUMIFS(DATA_GOC!$H:$H,DATA_GOC!$A:$A,"BOM",DATA_GOC!$D:$D,$B108,DATA_GOC!$F:$F,"Bơm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8" s="222" t="str">
        <f t="shared" si="3"/>
        <v/>
      </c>
      <c r="AM108" s="222" t="str">
        <f>IF($B108="","",SUMIFS(DATA_GOC!$K:$K,DATA_GOC!$A:$A,"BOM",DATA_GOC!$D:$D,$B108,DATA_GOC!$G:$G,"DO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8" s="222" t="str">
        <f t="shared" si="4"/>
        <v/>
      </c>
      <c r="AO108" s="227" t="str">
        <f t="shared" si="5"/>
        <v/>
      </c>
      <c r="AP108" s="226" t="str">
        <f>IF($B108="","",IFERROR(AO108-(SUMIFS(DATA_GOC!$H:$H,DATA_GOC!$A:$A,"BOM",DATA_GOC!$D:$D,$B108,DATA_GOC!$F:$F,"Xuất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8" s="59">
        <v>3.0</v>
      </c>
      <c r="AR108" s="59">
        <v>2026.0</v>
      </c>
      <c r="AS108" s="59" t="s">
        <v>91</v>
      </c>
      <c r="AT108" s="59">
        <v>120.69</v>
      </c>
      <c r="AU108" s="59">
        <v>0.0</v>
      </c>
      <c r="AV108" s="59">
        <v>120.69</v>
      </c>
      <c r="AW108" s="59">
        <v>1856.0</v>
      </c>
      <c r="AX108" s="59">
        <v>6.50269396551724</v>
      </c>
      <c r="AY108" s="59">
        <v>80.69</v>
      </c>
      <c r="AZ108" s="59">
        <v>40.0</v>
      </c>
      <c r="BA108" s="59">
        <v>2.69</v>
      </c>
      <c r="BB108" s="59">
        <v>0.0</v>
      </c>
      <c r="BC108" s="59" t="s">
        <v>463</v>
      </c>
    </row>
    <row r="109" ht="15.0" customHeight="1">
      <c r="A109" s="61" t="str">
        <f t="shared" si="1"/>
        <v/>
      </c>
      <c r="B109" s="228" t="str">
        <f t="array" ref="B109">IFERROR(INDEX(DANH_MUC!$E:$E,ROW()-1),"")</f>
        <v/>
      </c>
      <c r="C109" s="228" t="str">
        <f>IF($B109="","",IF(C$4&gt;DAY(EOMONTH(DATE($D$2,$B$2,1),0)),"",SUMIFS(DATA_GOC!$H:$H,DATA_GOC!$A:$A,"BOM",DATA_GOC!$D:$D,$B109,DATA_GOC!$F:$F,"Xuất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09" s="61" t="str">
        <f>IF($B109="","",IF(D$4&gt;DAY(EOMONTH(DATE($D$2,$B$2,1),0)),"",SUMIFS(DATA_GOC!$H:$H,DATA_GOC!$A:$A,"BOM",DATA_GOC!$D:$D,$B109,DATA_GOC!$F:$F,"Xuất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09" s="229" t="str">
        <f>IF($B109="","",IF(E$4&gt;DAY(EOMONTH(DATE($D$2,$B$2,1),0)),"",SUMIFS(DATA_GOC!$H:$H,DATA_GOC!$A:$A,"BOM",DATA_GOC!$D:$D,$B109,DATA_GOC!$F:$F,"Xuất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09" s="229" t="str">
        <f>IF($B109="","",IF(F$4&gt;DAY(EOMONTH(DATE($D$2,$B$2,1),0)),"",SUMIFS(DATA_GOC!$H:$H,DATA_GOC!$A:$A,"BOM",DATA_GOC!$D:$D,$B109,DATA_GOC!$F:$F,"Xuất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09" s="229" t="str">
        <f>IF($B109="","",IF(G$4&gt;DAY(EOMONTH(DATE($D$2,$B$2,1),0)),"",SUMIFS(DATA_GOC!$H:$H,DATA_GOC!$A:$A,"BOM",DATA_GOC!$D:$D,$B109,DATA_GOC!$F:$F,"Xuất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09" s="228" t="str">
        <f>IF($B109="","",IF(H$4&gt;DAY(EOMONTH(DATE($D$2,$B$2,1),0)),"",SUMIFS(DATA_GOC!$H:$H,DATA_GOC!$A:$A,"BOM",DATA_GOC!$D:$D,$B109,DATA_GOC!$F:$F,"Xuất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09" s="229" t="str">
        <f>IF($B109="","",IF(I$4&gt;DAY(EOMONTH(DATE($D$2,$B$2,1),0)),"",SUMIFS(DATA_GOC!$H:$H,DATA_GOC!$A:$A,"BOM",DATA_GOC!$D:$D,$B109,DATA_GOC!$F:$F,"Xuất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09" s="229" t="str">
        <f>IF($B109="","",IF(J$4&gt;DAY(EOMONTH(DATE($D$2,$B$2,1),0)),"",SUMIFS(DATA_GOC!$H:$H,DATA_GOC!$A:$A,"BOM",DATA_GOC!$D:$D,$B109,DATA_GOC!$F:$F,"Xuất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09" s="229" t="str">
        <f>IF($B109="","",IF(K$4&gt;DAY(EOMONTH(DATE($D$2,$B$2,1),0)),"",SUMIFS(DATA_GOC!$H:$H,DATA_GOC!$A:$A,"BOM",DATA_GOC!$D:$D,$B109,DATA_GOC!$F:$F,"Xuất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09" s="229" t="str">
        <f>IF($B109="","",IF(L$4&gt;DAY(EOMONTH(DATE($D$2,$B$2,1),0)),"",SUMIFS(DATA_GOC!$H:$H,DATA_GOC!$A:$A,"BOM",DATA_GOC!$D:$D,$B109,DATA_GOC!$F:$F,"Xuất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09" s="229" t="str">
        <f>IF($B109="","",IF(M$4&gt;DAY(EOMONTH(DATE($D$2,$B$2,1),0)),"",SUMIFS(DATA_GOC!$H:$H,DATA_GOC!$A:$A,"BOM",DATA_GOC!$D:$D,$B109,DATA_GOC!$F:$F,"Xuất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09" s="61" t="str">
        <f>IF($B109="","",IF(N$4&gt;DAY(EOMONTH(DATE($D$2,$B$2,1),0)),"",SUMIFS(DATA_GOC!$H:$H,DATA_GOC!$A:$A,"BOM",DATA_GOC!$D:$D,$B109,DATA_GOC!$F:$F,"Xuất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09" s="61" t="str">
        <f>IF($B109="","",IF(O$4&gt;DAY(EOMONTH(DATE($D$2,$B$2,1),0)),"",SUMIFS(DATA_GOC!$H:$H,DATA_GOC!$A:$A,"BOM",DATA_GOC!$D:$D,$B109,DATA_GOC!$F:$F,"Xuất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09" s="61" t="str">
        <f>IF($B109="","",IF(P$4&gt;DAY(EOMONTH(DATE($D$2,$B$2,1),0)),"",SUMIFS(DATA_GOC!$H:$H,DATA_GOC!$A:$A,"BOM",DATA_GOC!$D:$D,$B109,DATA_GOC!$F:$F,"Xuất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09" s="61" t="str">
        <f>IF($B109="","",IF(Q$4&gt;DAY(EOMONTH(DATE($D$2,$B$2,1),0)),"",SUMIFS(DATA_GOC!$H:$H,DATA_GOC!$A:$A,"BOM",DATA_GOC!$D:$D,$B109,DATA_GOC!$F:$F,"Xuất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09" s="61" t="str">
        <f>IF($B109="","",IF(R$4&gt;DAY(EOMONTH(DATE($D$2,$B$2,1),0)),"",SUMIFS(DATA_GOC!$H:$H,DATA_GOC!$A:$A,"BOM",DATA_GOC!$D:$D,$B109,DATA_GOC!$F:$F,"Xuất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09" s="61" t="str">
        <f>IF($B109="","",IF(S$4&gt;DAY(EOMONTH(DATE($D$2,$B$2,1),0)),"",SUMIFS(DATA_GOC!$H:$H,DATA_GOC!$A:$A,"BOM",DATA_GOC!$D:$D,$B109,DATA_GOC!$F:$F,"Xuất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09" s="229" t="str">
        <f>IF($B109="","",IF(T$4&gt;DAY(EOMONTH(DATE($D$2,$B$2,1),0)),"",SUMIFS(DATA_GOC!$H:$H,DATA_GOC!$A:$A,"BOM",DATA_GOC!$D:$D,$B109,DATA_GOC!$F:$F,"Xuất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09" s="229" t="str">
        <f>IF($B109="","",IF(U$4&gt;DAY(EOMONTH(DATE($D$2,$B$2,1),0)),"",SUMIFS(DATA_GOC!$H:$H,DATA_GOC!$A:$A,"BOM",DATA_GOC!$D:$D,$B109,DATA_GOC!$F:$F,"Xuất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09" s="229" t="str">
        <f>IF($B109="","",IF(V$4&gt;DAY(EOMONTH(DATE($D$2,$B$2,1),0)),"",SUMIFS(DATA_GOC!$H:$H,DATA_GOC!$A:$A,"BOM",DATA_GOC!$D:$D,$B109,DATA_GOC!$F:$F,"Xuất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09" s="61" t="str">
        <f>IF($B109="","",IF(W$4&gt;DAY(EOMONTH(DATE($D$2,$B$2,1),0)),"",SUMIFS(DATA_GOC!$H:$H,DATA_GOC!$A:$A,"BOM",DATA_GOC!$D:$D,$B109,DATA_GOC!$F:$F,"Xuất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09" s="229" t="str">
        <f>IF($B109="","",IF(X$4&gt;DAY(EOMONTH(DATE($D$2,$B$2,1),0)),"",SUMIFS(DATA_GOC!$H:$H,DATA_GOC!$A:$A,"BOM",DATA_GOC!$D:$D,$B109,DATA_GOC!$F:$F,"Xuất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09" s="229" t="str">
        <f>IF($B109="","",IF(Y$4&gt;DAY(EOMONTH(DATE($D$2,$B$2,1),0)),"",SUMIFS(DATA_GOC!$H:$H,DATA_GOC!$A:$A,"BOM",DATA_GOC!$D:$D,$B109,DATA_GOC!$F:$F,"Xuất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09" s="229" t="str">
        <f>IF($B109="","",IF(Z$4&gt;DAY(EOMONTH(DATE($D$2,$B$2,1),0)),"",SUMIFS(DATA_GOC!$H:$H,DATA_GOC!$A:$A,"BOM",DATA_GOC!$D:$D,$B109,DATA_GOC!$F:$F,"Xuất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09" s="229" t="str">
        <f>IF($B109="","",IF(AA$4&gt;DAY(EOMONTH(DATE($D$2,$B$2,1),0)),"",SUMIFS(DATA_GOC!$H:$H,DATA_GOC!$A:$A,"BOM",DATA_GOC!$D:$D,$B109,DATA_GOC!$F:$F,"Xuất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09" s="229" t="str">
        <f>IF($B109="","",IF(AB$4&gt;DAY(EOMONTH(DATE($D$2,$B$2,1),0)),"",SUMIFS(DATA_GOC!$H:$H,DATA_GOC!$A:$A,"BOM",DATA_GOC!$D:$D,$B109,DATA_GOC!$F:$F,"Xuất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09" s="61" t="str">
        <f>IF($B109="","",IF(AC$4&gt;DAY(EOMONTH(DATE($D$2,$B$2,1),0)),"",SUMIFS(DATA_GOC!$H:$H,DATA_GOC!$A:$A,"BOM",DATA_GOC!$D:$D,$B109,DATA_GOC!$F:$F,"Xuất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09" s="222" t="str">
        <f>IF($B109="","",IF(AD$4&gt;DAY(EOMONTH(DATE($D$2,$B$2,1),0)),"",SUMIFS(DATA_GOC!$H:$H,DATA_GOC!$A:$A,"BOM",DATA_GOC!$D:$D,$B109,DATA_GOC!$F:$F,"Xuất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09" s="222" t="str">
        <f>IF($B109="","",IF(AE$4&gt;DAY(EOMONTH(DATE($D$2,$B$2,1),0)),"",SUMIFS(DATA_GOC!$H:$H,DATA_GOC!$A:$A,"BOM",DATA_GOC!$D:$D,$B109,DATA_GOC!$F:$F,"Xuất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09" s="222" t="str">
        <f>IF($B109="","",IF(AF$4&gt;DAY(EOMONTH(DATE($D$2,$B$2,1),0)),"",SUMIFS(DATA_GOC!$H:$H,DATA_GOC!$A:$A,"BOM",DATA_GOC!$D:$D,$B109,DATA_GOC!$F:$F,"Xuất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09" s="222" t="str">
        <f>IF($B109="","",IF(AG$4&gt;DAY(EOMONTH(DATE($D$2,$B$2,1),0)),"",SUMIFS(DATA_GOC!$H:$H,DATA_GOC!$A:$A,"BOM",DATA_GOC!$D:$D,$B109,DATA_GOC!$F:$F,"Xuất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09" s="222" t="str">
        <f t="shared" si="2"/>
        <v/>
      </c>
      <c r="AI109" s="222" t="str">
        <f>IF($B109="","",SUMIFS(DATA_GOC!$H:$H,DATA_GOC!$A:$A,"BOM",DATA_GOC!$D:$D,$B109,DATA_GOC!$F:$F,"Bơm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09" s="222" t="str">
        <f t="shared" si="3"/>
        <v/>
      </c>
      <c r="AM109" s="222" t="str">
        <f>IF($B109="","",SUMIFS(DATA_GOC!$K:$K,DATA_GOC!$A:$A,"BOM",DATA_GOC!$D:$D,$B109,DATA_GOC!$G:$G,"DO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09" s="222" t="str">
        <f t="shared" si="4"/>
        <v/>
      </c>
      <c r="AO109" s="227" t="str">
        <f t="shared" si="5"/>
        <v/>
      </c>
      <c r="AP109" s="226" t="str">
        <f>IF($B109="","",IFERROR(AO109-(SUMIFS(DATA_GOC!$H:$H,DATA_GOC!$A:$A,"BOM",DATA_GOC!$D:$D,$B109,DATA_GOC!$F:$F,"Xuất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số",DATA_GOC!$B:$B,"&gt;="&amp;EDATE(DATE($D$2,$B$2,1),-1),DATA_GOC!$B:$B,"&lt;"&amp;DATE($D$2,$B$2,1))/SUMIFS(DATA_GOC!$K:$K,DATA_GOC!$A:$A,"BOM",DATA_GOC!$D:$D,$B109,DATA_GOC!$G:$G,"DO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09" s="59">
        <v>3.0</v>
      </c>
      <c r="AR109" s="59">
        <v>2026.0</v>
      </c>
      <c r="AS109" s="59" t="s">
        <v>339</v>
      </c>
      <c r="AT109" s="59">
        <v>412.766</v>
      </c>
      <c r="AU109" s="59">
        <v>0.0</v>
      </c>
      <c r="AV109" s="59">
        <v>412.766</v>
      </c>
      <c r="AW109" s="59">
        <v>26.0</v>
      </c>
      <c r="AX109" s="59">
        <v>1587.56153846154</v>
      </c>
      <c r="AY109" s="59">
        <v>212.766</v>
      </c>
      <c r="AZ109" s="59">
        <v>200.0</v>
      </c>
      <c r="BA109" s="59">
        <v>12.766</v>
      </c>
      <c r="BB109" s="59">
        <v>0.0</v>
      </c>
      <c r="BC109" s="59" t="s">
        <v>464</v>
      </c>
    </row>
    <row r="110" ht="15.0" customHeight="1">
      <c r="A110" s="61" t="str">
        <f t="shared" si="1"/>
        <v/>
      </c>
      <c r="B110" s="228" t="str">
        <f t="array" ref="B110">IFERROR(INDEX(DANH_MUC!$E:$E,ROW()-1),"")</f>
        <v/>
      </c>
      <c r="C110" s="228" t="str">
        <f>IF($B110="","",IF(C$4&gt;DAY(EOMONTH(DATE($D$2,$B$2,1),0)),"",SUMIFS(DATA_GOC!$H:$H,DATA_GOC!$A:$A,"BOM",DATA_GOC!$D:$D,$B110,DATA_GOC!$F:$F,"Xuất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0" s="61" t="str">
        <f>IF($B110="","",IF(D$4&gt;DAY(EOMONTH(DATE($D$2,$B$2,1),0)),"",SUMIFS(DATA_GOC!$H:$H,DATA_GOC!$A:$A,"BOM",DATA_GOC!$D:$D,$B110,DATA_GOC!$F:$F,"Xuất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0" s="229" t="str">
        <f>IF($B110="","",IF(E$4&gt;DAY(EOMONTH(DATE($D$2,$B$2,1),0)),"",SUMIFS(DATA_GOC!$H:$H,DATA_GOC!$A:$A,"BOM",DATA_GOC!$D:$D,$B110,DATA_GOC!$F:$F,"Xuất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0" s="229" t="str">
        <f>IF($B110="","",IF(F$4&gt;DAY(EOMONTH(DATE($D$2,$B$2,1),0)),"",SUMIFS(DATA_GOC!$H:$H,DATA_GOC!$A:$A,"BOM",DATA_GOC!$D:$D,$B110,DATA_GOC!$F:$F,"Xuất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0" s="229" t="str">
        <f>IF($B110="","",IF(G$4&gt;DAY(EOMONTH(DATE($D$2,$B$2,1),0)),"",SUMIFS(DATA_GOC!$H:$H,DATA_GOC!$A:$A,"BOM",DATA_GOC!$D:$D,$B110,DATA_GOC!$F:$F,"Xuất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0" s="228" t="str">
        <f>IF($B110="","",IF(H$4&gt;DAY(EOMONTH(DATE($D$2,$B$2,1),0)),"",SUMIFS(DATA_GOC!$H:$H,DATA_GOC!$A:$A,"BOM",DATA_GOC!$D:$D,$B110,DATA_GOC!$F:$F,"Xuất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0" s="229" t="str">
        <f>IF($B110="","",IF(I$4&gt;DAY(EOMONTH(DATE($D$2,$B$2,1),0)),"",SUMIFS(DATA_GOC!$H:$H,DATA_GOC!$A:$A,"BOM",DATA_GOC!$D:$D,$B110,DATA_GOC!$F:$F,"Xuất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0" s="229" t="str">
        <f>IF($B110="","",IF(J$4&gt;DAY(EOMONTH(DATE($D$2,$B$2,1),0)),"",SUMIFS(DATA_GOC!$H:$H,DATA_GOC!$A:$A,"BOM",DATA_GOC!$D:$D,$B110,DATA_GOC!$F:$F,"Xuất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0" s="229" t="str">
        <f>IF($B110="","",IF(K$4&gt;DAY(EOMONTH(DATE($D$2,$B$2,1),0)),"",SUMIFS(DATA_GOC!$H:$H,DATA_GOC!$A:$A,"BOM",DATA_GOC!$D:$D,$B110,DATA_GOC!$F:$F,"Xuất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0" s="229" t="str">
        <f>IF($B110="","",IF(L$4&gt;DAY(EOMONTH(DATE($D$2,$B$2,1),0)),"",SUMIFS(DATA_GOC!$H:$H,DATA_GOC!$A:$A,"BOM",DATA_GOC!$D:$D,$B110,DATA_GOC!$F:$F,"Xuất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0" s="229" t="str">
        <f>IF($B110="","",IF(M$4&gt;DAY(EOMONTH(DATE($D$2,$B$2,1),0)),"",SUMIFS(DATA_GOC!$H:$H,DATA_GOC!$A:$A,"BOM",DATA_GOC!$D:$D,$B110,DATA_GOC!$F:$F,"Xuất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0" s="61" t="str">
        <f>IF($B110="","",IF(N$4&gt;DAY(EOMONTH(DATE($D$2,$B$2,1),0)),"",SUMIFS(DATA_GOC!$H:$H,DATA_GOC!$A:$A,"BOM",DATA_GOC!$D:$D,$B110,DATA_GOC!$F:$F,"Xuất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0" s="61" t="str">
        <f>IF($B110="","",IF(O$4&gt;DAY(EOMONTH(DATE($D$2,$B$2,1),0)),"",SUMIFS(DATA_GOC!$H:$H,DATA_GOC!$A:$A,"BOM",DATA_GOC!$D:$D,$B110,DATA_GOC!$F:$F,"Xuất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0" s="61" t="str">
        <f>IF($B110="","",IF(P$4&gt;DAY(EOMONTH(DATE($D$2,$B$2,1),0)),"",SUMIFS(DATA_GOC!$H:$H,DATA_GOC!$A:$A,"BOM",DATA_GOC!$D:$D,$B110,DATA_GOC!$F:$F,"Xuất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0" s="61" t="str">
        <f>IF($B110="","",IF(Q$4&gt;DAY(EOMONTH(DATE($D$2,$B$2,1),0)),"",SUMIFS(DATA_GOC!$H:$H,DATA_GOC!$A:$A,"BOM",DATA_GOC!$D:$D,$B110,DATA_GOC!$F:$F,"Xuất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0" s="61" t="str">
        <f>IF($B110="","",IF(R$4&gt;DAY(EOMONTH(DATE($D$2,$B$2,1),0)),"",SUMIFS(DATA_GOC!$H:$H,DATA_GOC!$A:$A,"BOM",DATA_GOC!$D:$D,$B110,DATA_GOC!$F:$F,"Xuất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0" s="61" t="str">
        <f>IF($B110="","",IF(S$4&gt;DAY(EOMONTH(DATE($D$2,$B$2,1),0)),"",SUMIFS(DATA_GOC!$H:$H,DATA_GOC!$A:$A,"BOM",DATA_GOC!$D:$D,$B110,DATA_GOC!$F:$F,"Xuất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0" s="229" t="str">
        <f>IF($B110="","",IF(T$4&gt;DAY(EOMONTH(DATE($D$2,$B$2,1),0)),"",SUMIFS(DATA_GOC!$H:$H,DATA_GOC!$A:$A,"BOM",DATA_GOC!$D:$D,$B110,DATA_GOC!$F:$F,"Xuất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0" s="229" t="str">
        <f>IF($B110="","",IF(U$4&gt;DAY(EOMONTH(DATE($D$2,$B$2,1),0)),"",SUMIFS(DATA_GOC!$H:$H,DATA_GOC!$A:$A,"BOM",DATA_GOC!$D:$D,$B110,DATA_GOC!$F:$F,"Xuất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0" s="229" t="str">
        <f>IF($B110="","",IF(V$4&gt;DAY(EOMONTH(DATE($D$2,$B$2,1),0)),"",SUMIFS(DATA_GOC!$H:$H,DATA_GOC!$A:$A,"BOM",DATA_GOC!$D:$D,$B110,DATA_GOC!$F:$F,"Xuất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0" s="61" t="str">
        <f>IF($B110="","",IF(W$4&gt;DAY(EOMONTH(DATE($D$2,$B$2,1),0)),"",SUMIFS(DATA_GOC!$H:$H,DATA_GOC!$A:$A,"BOM",DATA_GOC!$D:$D,$B110,DATA_GOC!$F:$F,"Xuất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0" s="229" t="str">
        <f>IF($B110="","",IF(X$4&gt;DAY(EOMONTH(DATE($D$2,$B$2,1),0)),"",SUMIFS(DATA_GOC!$H:$H,DATA_GOC!$A:$A,"BOM",DATA_GOC!$D:$D,$B110,DATA_GOC!$F:$F,"Xuất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0" s="229" t="str">
        <f>IF($B110="","",IF(Y$4&gt;DAY(EOMONTH(DATE($D$2,$B$2,1),0)),"",SUMIFS(DATA_GOC!$H:$H,DATA_GOC!$A:$A,"BOM",DATA_GOC!$D:$D,$B110,DATA_GOC!$F:$F,"Xuất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0" s="229" t="str">
        <f>IF($B110="","",IF(Z$4&gt;DAY(EOMONTH(DATE($D$2,$B$2,1),0)),"",SUMIFS(DATA_GOC!$H:$H,DATA_GOC!$A:$A,"BOM",DATA_GOC!$D:$D,$B110,DATA_GOC!$F:$F,"Xuất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0" s="229" t="str">
        <f>IF($B110="","",IF(AA$4&gt;DAY(EOMONTH(DATE($D$2,$B$2,1),0)),"",SUMIFS(DATA_GOC!$H:$H,DATA_GOC!$A:$A,"BOM",DATA_GOC!$D:$D,$B110,DATA_GOC!$F:$F,"Xuất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0" s="229" t="str">
        <f>IF($B110="","",IF(AB$4&gt;DAY(EOMONTH(DATE($D$2,$B$2,1),0)),"",SUMIFS(DATA_GOC!$H:$H,DATA_GOC!$A:$A,"BOM",DATA_GOC!$D:$D,$B110,DATA_GOC!$F:$F,"Xuất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0" s="61" t="str">
        <f>IF($B110="","",IF(AC$4&gt;DAY(EOMONTH(DATE($D$2,$B$2,1),0)),"",SUMIFS(DATA_GOC!$H:$H,DATA_GOC!$A:$A,"BOM",DATA_GOC!$D:$D,$B110,DATA_GOC!$F:$F,"Xuất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0" s="222" t="str">
        <f>IF($B110="","",IF(AD$4&gt;DAY(EOMONTH(DATE($D$2,$B$2,1),0)),"",SUMIFS(DATA_GOC!$H:$H,DATA_GOC!$A:$A,"BOM",DATA_GOC!$D:$D,$B110,DATA_GOC!$F:$F,"Xuất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0" s="222" t="str">
        <f>IF($B110="","",IF(AE$4&gt;DAY(EOMONTH(DATE($D$2,$B$2,1),0)),"",SUMIFS(DATA_GOC!$H:$H,DATA_GOC!$A:$A,"BOM",DATA_GOC!$D:$D,$B110,DATA_GOC!$F:$F,"Xuất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0" s="222" t="str">
        <f>IF($B110="","",IF(AF$4&gt;DAY(EOMONTH(DATE($D$2,$B$2,1),0)),"",SUMIFS(DATA_GOC!$H:$H,DATA_GOC!$A:$A,"BOM",DATA_GOC!$D:$D,$B110,DATA_GOC!$F:$F,"Xuất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0" s="222" t="str">
        <f>IF($B110="","",IF(AG$4&gt;DAY(EOMONTH(DATE($D$2,$B$2,1),0)),"",SUMIFS(DATA_GOC!$H:$H,DATA_GOC!$A:$A,"BOM",DATA_GOC!$D:$D,$B110,DATA_GOC!$F:$F,"Xuất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0" s="222" t="str">
        <f t="shared" si="2"/>
        <v/>
      </c>
      <c r="AI110" s="222" t="str">
        <f>IF($B110="","",SUMIFS(DATA_GOC!$H:$H,DATA_GOC!$A:$A,"BOM",DATA_GOC!$D:$D,$B110,DATA_GOC!$F:$F,"Bơm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0" s="222" t="str">
        <f t="shared" si="3"/>
        <v/>
      </c>
      <c r="AM110" s="222" t="str">
        <f>IF($B110="","",SUMIFS(DATA_GOC!$K:$K,DATA_GOC!$A:$A,"BOM",DATA_GOC!$D:$D,$B110,DATA_GOC!$G:$G,"DO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0" s="222" t="str">
        <f t="shared" si="4"/>
        <v/>
      </c>
      <c r="AO110" s="227" t="str">
        <f t="shared" si="5"/>
        <v/>
      </c>
      <c r="AP110" s="226" t="str">
        <f>IF($B110="","",IFERROR(AO110-(SUMIFS(DATA_GOC!$H:$H,DATA_GOC!$A:$A,"BOM",DATA_GOC!$D:$D,$B110,DATA_GOC!$F:$F,"Xuất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0" s="59">
        <v>3.0</v>
      </c>
      <c r="AR110" s="59">
        <v>2026.0</v>
      </c>
      <c r="AS110" s="59" t="s">
        <v>384</v>
      </c>
      <c r="AT110" s="59">
        <v>356.9</v>
      </c>
      <c r="AU110" s="59">
        <v>0.0</v>
      </c>
      <c r="AV110" s="59">
        <v>356.9</v>
      </c>
      <c r="AW110" s="59">
        <v>0.0</v>
      </c>
      <c r="AY110" s="59">
        <v>206.9</v>
      </c>
      <c r="AZ110" s="59">
        <v>150.0</v>
      </c>
      <c r="BA110" s="59">
        <v>6.9</v>
      </c>
      <c r="BB110" s="59">
        <v>0.0</v>
      </c>
      <c r="BC110" s="59" t="s">
        <v>465</v>
      </c>
    </row>
    <row r="111" ht="15.0" customHeight="1">
      <c r="A111" s="61" t="str">
        <f t="shared" si="1"/>
        <v/>
      </c>
      <c r="B111" s="228" t="str">
        <f t="array" ref="B111">IFERROR(INDEX(DANH_MUC!$E:$E,ROW()-1),"")</f>
        <v/>
      </c>
      <c r="C111" s="228" t="str">
        <f>IF($B111="","",IF(C$4&gt;DAY(EOMONTH(DATE($D$2,$B$2,1),0)),"",SUMIFS(DATA_GOC!$H:$H,DATA_GOC!$A:$A,"BOM",DATA_GOC!$D:$D,$B111,DATA_GOC!$F:$F,"Xuất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1" s="61" t="str">
        <f>IF($B111="","",IF(D$4&gt;DAY(EOMONTH(DATE($D$2,$B$2,1),0)),"",SUMIFS(DATA_GOC!$H:$H,DATA_GOC!$A:$A,"BOM",DATA_GOC!$D:$D,$B111,DATA_GOC!$F:$F,"Xuất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1" s="229" t="str">
        <f>IF($B111="","",IF(E$4&gt;DAY(EOMONTH(DATE($D$2,$B$2,1),0)),"",SUMIFS(DATA_GOC!$H:$H,DATA_GOC!$A:$A,"BOM",DATA_GOC!$D:$D,$B111,DATA_GOC!$F:$F,"Xuất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1" s="229" t="str">
        <f>IF($B111="","",IF(F$4&gt;DAY(EOMONTH(DATE($D$2,$B$2,1),0)),"",SUMIFS(DATA_GOC!$H:$H,DATA_GOC!$A:$A,"BOM",DATA_GOC!$D:$D,$B111,DATA_GOC!$F:$F,"Xuất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1" s="229" t="str">
        <f>IF($B111="","",IF(G$4&gt;DAY(EOMONTH(DATE($D$2,$B$2,1),0)),"",SUMIFS(DATA_GOC!$H:$H,DATA_GOC!$A:$A,"BOM",DATA_GOC!$D:$D,$B111,DATA_GOC!$F:$F,"Xuất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1" s="228" t="str">
        <f>IF($B111="","",IF(H$4&gt;DAY(EOMONTH(DATE($D$2,$B$2,1),0)),"",SUMIFS(DATA_GOC!$H:$H,DATA_GOC!$A:$A,"BOM",DATA_GOC!$D:$D,$B111,DATA_GOC!$F:$F,"Xuất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1" s="229" t="str">
        <f>IF($B111="","",IF(I$4&gt;DAY(EOMONTH(DATE($D$2,$B$2,1),0)),"",SUMIFS(DATA_GOC!$H:$H,DATA_GOC!$A:$A,"BOM",DATA_GOC!$D:$D,$B111,DATA_GOC!$F:$F,"Xuất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1" s="229" t="str">
        <f>IF($B111="","",IF(J$4&gt;DAY(EOMONTH(DATE($D$2,$B$2,1),0)),"",SUMIFS(DATA_GOC!$H:$H,DATA_GOC!$A:$A,"BOM",DATA_GOC!$D:$D,$B111,DATA_GOC!$F:$F,"Xuất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1" s="229" t="str">
        <f>IF($B111="","",IF(K$4&gt;DAY(EOMONTH(DATE($D$2,$B$2,1),0)),"",SUMIFS(DATA_GOC!$H:$H,DATA_GOC!$A:$A,"BOM",DATA_GOC!$D:$D,$B111,DATA_GOC!$F:$F,"Xuất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1" s="229" t="str">
        <f>IF($B111="","",IF(L$4&gt;DAY(EOMONTH(DATE($D$2,$B$2,1),0)),"",SUMIFS(DATA_GOC!$H:$H,DATA_GOC!$A:$A,"BOM",DATA_GOC!$D:$D,$B111,DATA_GOC!$F:$F,"Xuất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1" s="229" t="str">
        <f>IF($B111="","",IF(M$4&gt;DAY(EOMONTH(DATE($D$2,$B$2,1),0)),"",SUMIFS(DATA_GOC!$H:$H,DATA_GOC!$A:$A,"BOM",DATA_GOC!$D:$D,$B111,DATA_GOC!$F:$F,"Xuất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1" s="61" t="str">
        <f>IF($B111="","",IF(N$4&gt;DAY(EOMONTH(DATE($D$2,$B$2,1),0)),"",SUMIFS(DATA_GOC!$H:$H,DATA_GOC!$A:$A,"BOM",DATA_GOC!$D:$D,$B111,DATA_GOC!$F:$F,"Xuất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1" s="61" t="str">
        <f>IF($B111="","",IF(O$4&gt;DAY(EOMONTH(DATE($D$2,$B$2,1),0)),"",SUMIFS(DATA_GOC!$H:$H,DATA_GOC!$A:$A,"BOM",DATA_GOC!$D:$D,$B111,DATA_GOC!$F:$F,"Xuất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1" s="61" t="str">
        <f>IF($B111="","",IF(P$4&gt;DAY(EOMONTH(DATE($D$2,$B$2,1),0)),"",SUMIFS(DATA_GOC!$H:$H,DATA_GOC!$A:$A,"BOM",DATA_GOC!$D:$D,$B111,DATA_GOC!$F:$F,"Xuất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1" s="61" t="str">
        <f>IF($B111="","",IF(Q$4&gt;DAY(EOMONTH(DATE($D$2,$B$2,1),0)),"",SUMIFS(DATA_GOC!$H:$H,DATA_GOC!$A:$A,"BOM",DATA_GOC!$D:$D,$B111,DATA_GOC!$F:$F,"Xuất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1" s="61" t="str">
        <f>IF($B111="","",IF(R$4&gt;DAY(EOMONTH(DATE($D$2,$B$2,1),0)),"",SUMIFS(DATA_GOC!$H:$H,DATA_GOC!$A:$A,"BOM",DATA_GOC!$D:$D,$B111,DATA_GOC!$F:$F,"Xuất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1" s="61" t="str">
        <f>IF($B111="","",IF(S$4&gt;DAY(EOMONTH(DATE($D$2,$B$2,1),0)),"",SUMIFS(DATA_GOC!$H:$H,DATA_GOC!$A:$A,"BOM",DATA_GOC!$D:$D,$B111,DATA_GOC!$F:$F,"Xuất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1" s="229" t="str">
        <f>IF($B111="","",IF(T$4&gt;DAY(EOMONTH(DATE($D$2,$B$2,1),0)),"",SUMIFS(DATA_GOC!$H:$H,DATA_GOC!$A:$A,"BOM",DATA_GOC!$D:$D,$B111,DATA_GOC!$F:$F,"Xuất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1" s="229" t="str">
        <f>IF($B111="","",IF(U$4&gt;DAY(EOMONTH(DATE($D$2,$B$2,1),0)),"",SUMIFS(DATA_GOC!$H:$H,DATA_GOC!$A:$A,"BOM",DATA_GOC!$D:$D,$B111,DATA_GOC!$F:$F,"Xuất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1" s="229" t="str">
        <f>IF($B111="","",IF(V$4&gt;DAY(EOMONTH(DATE($D$2,$B$2,1),0)),"",SUMIFS(DATA_GOC!$H:$H,DATA_GOC!$A:$A,"BOM",DATA_GOC!$D:$D,$B111,DATA_GOC!$F:$F,"Xuất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1" s="61" t="str">
        <f>IF($B111="","",IF(W$4&gt;DAY(EOMONTH(DATE($D$2,$B$2,1),0)),"",SUMIFS(DATA_GOC!$H:$H,DATA_GOC!$A:$A,"BOM",DATA_GOC!$D:$D,$B111,DATA_GOC!$F:$F,"Xuất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1" s="229" t="str">
        <f>IF($B111="","",IF(X$4&gt;DAY(EOMONTH(DATE($D$2,$B$2,1),0)),"",SUMIFS(DATA_GOC!$H:$H,DATA_GOC!$A:$A,"BOM",DATA_GOC!$D:$D,$B111,DATA_GOC!$F:$F,"Xuất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1" s="229" t="str">
        <f>IF($B111="","",IF(Y$4&gt;DAY(EOMONTH(DATE($D$2,$B$2,1),0)),"",SUMIFS(DATA_GOC!$H:$H,DATA_GOC!$A:$A,"BOM",DATA_GOC!$D:$D,$B111,DATA_GOC!$F:$F,"Xuất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1" s="229" t="str">
        <f>IF($B111="","",IF(Z$4&gt;DAY(EOMONTH(DATE($D$2,$B$2,1),0)),"",SUMIFS(DATA_GOC!$H:$H,DATA_GOC!$A:$A,"BOM",DATA_GOC!$D:$D,$B111,DATA_GOC!$F:$F,"Xuất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1" s="229" t="str">
        <f>IF($B111="","",IF(AA$4&gt;DAY(EOMONTH(DATE($D$2,$B$2,1),0)),"",SUMIFS(DATA_GOC!$H:$H,DATA_GOC!$A:$A,"BOM",DATA_GOC!$D:$D,$B111,DATA_GOC!$F:$F,"Xuất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1" s="229" t="str">
        <f>IF($B111="","",IF(AB$4&gt;DAY(EOMONTH(DATE($D$2,$B$2,1),0)),"",SUMIFS(DATA_GOC!$H:$H,DATA_GOC!$A:$A,"BOM",DATA_GOC!$D:$D,$B111,DATA_GOC!$F:$F,"Xuất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1" s="61" t="str">
        <f>IF($B111="","",IF(AC$4&gt;DAY(EOMONTH(DATE($D$2,$B$2,1),0)),"",SUMIFS(DATA_GOC!$H:$H,DATA_GOC!$A:$A,"BOM",DATA_GOC!$D:$D,$B111,DATA_GOC!$F:$F,"Xuất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1" s="222" t="str">
        <f>IF($B111="","",IF(AD$4&gt;DAY(EOMONTH(DATE($D$2,$B$2,1),0)),"",SUMIFS(DATA_GOC!$H:$H,DATA_GOC!$A:$A,"BOM",DATA_GOC!$D:$D,$B111,DATA_GOC!$F:$F,"Xuất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1" s="222" t="str">
        <f>IF($B111="","",IF(AE$4&gt;DAY(EOMONTH(DATE($D$2,$B$2,1),0)),"",SUMIFS(DATA_GOC!$H:$H,DATA_GOC!$A:$A,"BOM",DATA_GOC!$D:$D,$B111,DATA_GOC!$F:$F,"Xuất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1" s="222" t="str">
        <f>IF($B111="","",IF(AF$4&gt;DAY(EOMONTH(DATE($D$2,$B$2,1),0)),"",SUMIFS(DATA_GOC!$H:$H,DATA_GOC!$A:$A,"BOM",DATA_GOC!$D:$D,$B111,DATA_GOC!$F:$F,"Xuất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1" s="222" t="str">
        <f>IF($B111="","",IF(AG$4&gt;DAY(EOMONTH(DATE($D$2,$B$2,1),0)),"",SUMIFS(DATA_GOC!$H:$H,DATA_GOC!$A:$A,"BOM",DATA_GOC!$D:$D,$B111,DATA_GOC!$F:$F,"Xuất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1" s="222" t="str">
        <f t="shared" si="2"/>
        <v/>
      </c>
      <c r="AI111" s="222" t="str">
        <f>IF($B111="","",SUMIFS(DATA_GOC!$H:$H,DATA_GOC!$A:$A,"BOM",DATA_GOC!$D:$D,$B111,DATA_GOC!$F:$F,"Bơm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1" s="222" t="str">
        <f t="shared" si="3"/>
        <v/>
      </c>
      <c r="AM111" s="222" t="str">
        <f>IF($B111="","",SUMIFS(DATA_GOC!$K:$K,DATA_GOC!$A:$A,"BOM",DATA_GOC!$D:$D,$B111,DATA_GOC!$G:$G,"DO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1" s="222" t="str">
        <f t="shared" si="4"/>
        <v/>
      </c>
      <c r="AO111" s="227" t="str">
        <f t="shared" si="5"/>
        <v/>
      </c>
      <c r="AP111" s="226" t="str">
        <f>IF($B111="","",IFERROR(AO111-(SUMIFS(DATA_GOC!$H:$H,DATA_GOC!$A:$A,"BOM",DATA_GOC!$D:$D,$B111,DATA_GOC!$F:$F,"Xuất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1" s="59">
        <v>3.0</v>
      </c>
      <c r="AR111" s="59">
        <v>2026.0</v>
      </c>
      <c r="AS111" s="59" t="s">
        <v>104</v>
      </c>
      <c r="AT111" s="59">
        <v>658.97</v>
      </c>
      <c r="AU111" s="59">
        <v>0.0</v>
      </c>
      <c r="AV111" s="59">
        <v>658.97</v>
      </c>
      <c r="AW111" s="59">
        <v>644.0</v>
      </c>
      <c r="AX111" s="59">
        <v>102.324534161491</v>
      </c>
      <c r="AY111" s="59">
        <v>358.97</v>
      </c>
      <c r="AZ111" s="59">
        <v>300.0</v>
      </c>
      <c r="BA111" s="59">
        <v>11.97</v>
      </c>
      <c r="BB111" s="59">
        <v>0.0</v>
      </c>
      <c r="BC111" s="59" t="s">
        <v>466</v>
      </c>
    </row>
    <row r="112" ht="15.0" customHeight="1">
      <c r="A112" s="61" t="str">
        <f t="shared" si="1"/>
        <v/>
      </c>
      <c r="B112" s="228" t="str">
        <f t="array" ref="B112">IFERROR(INDEX(DANH_MUC!$E:$E,ROW()-1),"")</f>
        <v/>
      </c>
      <c r="C112" s="228" t="str">
        <f>IF($B112="","",IF(C$4&gt;DAY(EOMONTH(DATE($D$2,$B$2,1),0)),"",SUMIFS(DATA_GOC!$H:$H,DATA_GOC!$A:$A,"BOM",DATA_GOC!$D:$D,$B112,DATA_GOC!$F:$F,"Xuất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2" s="61" t="str">
        <f>IF($B112="","",IF(D$4&gt;DAY(EOMONTH(DATE($D$2,$B$2,1),0)),"",SUMIFS(DATA_GOC!$H:$H,DATA_GOC!$A:$A,"BOM",DATA_GOC!$D:$D,$B112,DATA_GOC!$F:$F,"Xuất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2" s="229" t="str">
        <f>IF($B112="","",IF(E$4&gt;DAY(EOMONTH(DATE($D$2,$B$2,1),0)),"",SUMIFS(DATA_GOC!$H:$H,DATA_GOC!$A:$A,"BOM",DATA_GOC!$D:$D,$B112,DATA_GOC!$F:$F,"Xuất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2" s="229" t="str">
        <f>IF($B112="","",IF(F$4&gt;DAY(EOMONTH(DATE($D$2,$B$2,1),0)),"",SUMIFS(DATA_GOC!$H:$H,DATA_GOC!$A:$A,"BOM",DATA_GOC!$D:$D,$B112,DATA_GOC!$F:$F,"Xuất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2" s="229" t="str">
        <f>IF($B112="","",IF(G$4&gt;DAY(EOMONTH(DATE($D$2,$B$2,1),0)),"",SUMIFS(DATA_GOC!$H:$H,DATA_GOC!$A:$A,"BOM",DATA_GOC!$D:$D,$B112,DATA_GOC!$F:$F,"Xuất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2" s="228" t="str">
        <f>IF($B112="","",IF(H$4&gt;DAY(EOMONTH(DATE($D$2,$B$2,1),0)),"",SUMIFS(DATA_GOC!$H:$H,DATA_GOC!$A:$A,"BOM",DATA_GOC!$D:$D,$B112,DATA_GOC!$F:$F,"Xuất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2" s="229" t="str">
        <f>IF($B112="","",IF(I$4&gt;DAY(EOMONTH(DATE($D$2,$B$2,1),0)),"",SUMIFS(DATA_GOC!$H:$H,DATA_GOC!$A:$A,"BOM",DATA_GOC!$D:$D,$B112,DATA_GOC!$F:$F,"Xuất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2" s="229" t="str">
        <f>IF($B112="","",IF(J$4&gt;DAY(EOMONTH(DATE($D$2,$B$2,1),0)),"",SUMIFS(DATA_GOC!$H:$H,DATA_GOC!$A:$A,"BOM",DATA_GOC!$D:$D,$B112,DATA_GOC!$F:$F,"Xuất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2" s="229" t="str">
        <f>IF($B112="","",IF(K$4&gt;DAY(EOMONTH(DATE($D$2,$B$2,1),0)),"",SUMIFS(DATA_GOC!$H:$H,DATA_GOC!$A:$A,"BOM",DATA_GOC!$D:$D,$B112,DATA_GOC!$F:$F,"Xuất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2" s="229" t="str">
        <f>IF($B112="","",IF(L$4&gt;DAY(EOMONTH(DATE($D$2,$B$2,1),0)),"",SUMIFS(DATA_GOC!$H:$H,DATA_GOC!$A:$A,"BOM",DATA_GOC!$D:$D,$B112,DATA_GOC!$F:$F,"Xuất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2" s="229" t="str">
        <f>IF($B112="","",IF(M$4&gt;DAY(EOMONTH(DATE($D$2,$B$2,1),0)),"",SUMIFS(DATA_GOC!$H:$H,DATA_GOC!$A:$A,"BOM",DATA_GOC!$D:$D,$B112,DATA_GOC!$F:$F,"Xuất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2" s="61" t="str">
        <f>IF($B112="","",IF(N$4&gt;DAY(EOMONTH(DATE($D$2,$B$2,1),0)),"",SUMIFS(DATA_GOC!$H:$H,DATA_GOC!$A:$A,"BOM",DATA_GOC!$D:$D,$B112,DATA_GOC!$F:$F,"Xuất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2" s="61" t="str">
        <f>IF($B112="","",IF(O$4&gt;DAY(EOMONTH(DATE($D$2,$B$2,1),0)),"",SUMIFS(DATA_GOC!$H:$H,DATA_GOC!$A:$A,"BOM",DATA_GOC!$D:$D,$B112,DATA_GOC!$F:$F,"Xuất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2" s="61" t="str">
        <f>IF($B112="","",IF(P$4&gt;DAY(EOMONTH(DATE($D$2,$B$2,1),0)),"",SUMIFS(DATA_GOC!$H:$H,DATA_GOC!$A:$A,"BOM",DATA_GOC!$D:$D,$B112,DATA_GOC!$F:$F,"Xuất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2" s="61" t="str">
        <f>IF($B112="","",IF(Q$4&gt;DAY(EOMONTH(DATE($D$2,$B$2,1),0)),"",SUMIFS(DATA_GOC!$H:$H,DATA_GOC!$A:$A,"BOM",DATA_GOC!$D:$D,$B112,DATA_GOC!$F:$F,"Xuất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2" s="61" t="str">
        <f>IF($B112="","",IF(R$4&gt;DAY(EOMONTH(DATE($D$2,$B$2,1),0)),"",SUMIFS(DATA_GOC!$H:$H,DATA_GOC!$A:$A,"BOM",DATA_GOC!$D:$D,$B112,DATA_GOC!$F:$F,"Xuất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2" s="61" t="str">
        <f>IF($B112="","",IF(S$4&gt;DAY(EOMONTH(DATE($D$2,$B$2,1),0)),"",SUMIFS(DATA_GOC!$H:$H,DATA_GOC!$A:$A,"BOM",DATA_GOC!$D:$D,$B112,DATA_GOC!$F:$F,"Xuất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2" s="229" t="str">
        <f>IF($B112="","",IF(T$4&gt;DAY(EOMONTH(DATE($D$2,$B$2,1),0)),"",SUMIFS(DATA_GOC!$H:$H,DATA_GOC!$A:$A,"BOM",DATA_GOC!$D:$D,$B112,DATA_GOC!$F:$F,"Xuất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2" s="229" t="str">
        <f>IF($B112="","",IF(U$4&gt;DAY(EOMONTH(DATE($D$2,$B$2,1),0)),"",SUMIFS(DATA_GOC!$H:$H,DATA_GOC!$A:$A,"BOM",DATA_GOC!$D:$D,$B112,DATA_GOC!$F:$F,"Xuất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2" s="229" t="str">
        <f>IF($B112="","",IF(V$4&gt;DAY(EOMONTH(DATE($D$2,$B$2,1),0)),"",SUMIFS(DATA_GOC!$H:$H,DATA_GOC!$A:$A,"BOM",DATA_GOC!$D:$D,$B112,DATA_GOC!$F:$F,"Xuất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2" s="61" t="str">
        <f>IF($B112="","",IF(W$4&gt;DAY(EOMONTH(DATE($D$2,$B$2,1),0)),"",SUMIFS(DATA_GOC!$H:$H,DATA_GOC!$A:$A,"BOM",DATA_GOC!$D:$D,$B112,DATA_GOC!$F:$F,"Xuất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2" s="229" t="str">
        <f>IF($B112="","",IF(X$4&gt;DAY(EOMONTH(DATE($D$2,$B$2,1),0)),"",SUMIFS(DATA_GOC!$H:$H,DATA_GOC!$A:$A,"BOM",DATA_GOC!$D:$D,$B112,DATA_GOC!$F:$F,"Xuất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2" s="229" t="str">
        <f>IF($B112="","",IF(Y$4&gt;DAY(EOMONTH(DATE($D$2,$B$2,1),0)),"",SUMIFS(DATA_GOC!$H:$H,DATA_GOC!$A:$A,"BOM",DATA_GOC!$D:$D,$B112,DATA_GOC!$F:$F,"Xuất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2" s="229" t="str">
        <f>IF($B112="","",IF(Z$4&gt;DAY(EOMONTH(DATE($D$2,$B$2,1),0)),"",SUMIFS(DATA_GOC!$H:$H,DATA_GOC!$A:$A,"BOM",DATA_GOC!$D:$D,$B112,DATA_GOC!$F:$F,"Xuất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2" s="229" t="str">
        <f>IF($B112="","",IF(AA$4&gt;DAY(EOMONTH(DATE($D$2,$B$2,1),0)),"",SUMIFS(DATA_GOC!$H:$H,DATA_GOC!$A:$A,"BOM",DATA_GOC!$D:$D,$B112,DATA_GOC!$F:$F,"Xuất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2" s="229" t="str">
        <f>IF($B112="","",IF(AB$4&gt;DAY(EOMONTH(DATE($D$2,$B$2,1),0)),"",SUMIFS(DATA_GOC!$H:$H,DATA_GOC!$A:$A,"BOM",DATA_GOC!$D:$D,$B112,DATA_GOC!$F:$F,"Xuất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2" s="61" t="str">
        <f>IF($B112="","",IF(AC$4&gt;DAY(EOMONTH(DATE($D$2,$B$2,1),0)),"",SUMIFS(DATA_GOC!$H:$H,DATA_GOC!$A:$A,"BOM",DATA_GOC!$D:$D,$B112,DATA_GOC!$F:$F,"Xuất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2" s="222" t="str">
        <f>IF($B112="","",IF(AD$4&gt;DAY(EOMONTH(DATE($D$2,$B$2,1),0)),"",SUMIFS(DATA_GOC!$H:$H,DATA_GOC!$A:$A,"BOM",DATA_GOC!$D:$D,$B112,DATA_GOC!$F:$F,"Xuất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2" s="222" t="str">
        <f>IF($B112="","",IF(AE$4&gt;DAY(EOMONTH(DATE($D$2,$B$2,1),0)),"",SUMIFS(DATA_GOC!$H:$H,DATA_GOC!$A:$A,"BOM",DATA_GOC!$D:$D,$B112,DATA_GOC!$F:$F,"Xuất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2" s="222" t="str">
        <f>IF($B112="","",IF(AF$4&gt;DAY(EOMONTH(DATE($D$2,$B$2,1),0)),"",SUMIFS(DATA_GOC!$H:$H,DATA_GOC!$A:$A,"BOM",DATA_GOC!$D:$D,$B112,DATA_GOC!$F:$F,"Xuất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2" s="222" t="str">
        <f>IF($B112="","",IF(AG$4&gt;DAY(EOMONTH(DATE($D$2,$B$2,1),0)),"",SUMIFS(DATA_GOC!$H:$H,DATA_GOC!$A:$A,"BOM",DATA_GOC!$D:$D,$B112,DATA_GOC!$F:$F,"Xuất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2" s="222" t="str">
        <f t="shared" si="2"/>
        <v/>
      </c>
      <c r="AI112" s="222" t="str">
        <f>IF($B112="","",SUMIFS(DATA_GOC!$H:$H,DATA_GOC!$A:$A,"BOM",DATA_GOC!$D:$D,$B112,DATA_GOC!$F:$F,"Bơm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2" s="222" t="str">
        <f t="shared" si="3"/>
        <v/>
      </c>
      <c r="AM112" s="222" t="str">
        <f>IF($B112="","",SUMIFS(DATA_GOC!$K:$K,DATA_GOC!$A:$A,"BOM",DATA_GOC!$D:$D,$B112,DATA_GOC!$G:$G,"DO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2" s="222" t="str">
        <f t="shared" si="4"/>
        <v/>
      </c>
      <c r="AO112" s="227" t="str">
        <f t="shared" si="5"/>
        <v/>
      </c>
      <c r="AP112" s="226" t="str">
        <f>IF($B112="","",IFERROR(AO112-(SUMIFS(DATA_GOC!$H:$H,DATA_GOC!$A:$A,"BOM",DATA_GOC!$D:$D,$B112,DATA_GOC!$F:$F,"Xuất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2" s="59">
        <v>3.0</v>
      </c>
      <c r="AR112" s="59">
        <v>2026.0</v>
      </c>
      <c r="AS112" s="59" t="s">
        <v>122</v>
      </c>
      <c r="AT112" s="59">
        <v>757.362</v>
      </c>
      <c r="AU112" s="59">
        <v>0.0</v>
      </c>
      <c r="AV112" s="59">
        <v>757.362</v>
      </c>
      <c r="AW112" s="59">
        <v>669.0</v>
      </c>
      <c r="AX112" s="59">
        <v>113.208071748879</v>
      </c>
      <c r="AY112" s="59">
        <v>356.9</v>
      </c>
      <c r="AZ112" s="59">
        <v>400.462</v>
      </c>
      <c r="BA112" s="59">
        <v>11.9</v>
      </c>
      <c r="BB112" s="59">
        <v>0.0</v>
      </c>
      <c r="BC112" s="59" t="s">
        <v>467</v>
      </c>
    </row>
    <row r="113" ht="15.0" customHeight="1">
      <c r="A113" s="61" t="str">
        <f t="shared" si="1"/>
        <v/>
      </c>
      <c r="B113" s="228" t="str">
        <f t="array" ref="B113">IFERROR(INDEX(DANH_MUC!$E:$E,ROW()-1),"")</f>
        <v/>
      </c>
      <c r="C113" s="228" t="str">
        <f>IF($B113="","",IF(C$4&gt;DAY(EOMONTH(DATE($D$2,$B$2,1),0)),"",SUMIFS(DATA_GOC!$H:$H,DATA_GOC!$A:$A,"BOM",DATA_GOC!$D:$D,$B113,DATA_GOC!$F:$F,"Xuất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3" s="61" t="str">
        <f>IF($B113="","",IF(D$4&gt;DAY(EOMONTH(DATE($D$2,$B$2,1),0)),"",SUMIFS(DATA_GOC!$H:$H,DATA_GOC!$A:$A,"BOM",DATA_GOC!$D:$D,$B113,DATA_GOC!$F:$F,"Xuất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3" s="229" t="str">
        <f>IF($B113="","",IF(E$4&gt;DAY(EOMONTH(DATE($D$2,$B$2,1),0)),"",SUMIFS(DATA_GOC!$H:$H,DATA_GOC!$A:$A,"BOM",DATA_GOC!$D:$D,$B113,DATA_GOC!$F:$F,"Xuất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3" s="229" t="str">
        <f>IF($B113="","",IF(F$4&gt;DAY(EOMONTH(DATE($D$2,$B$2,1),0)),"",SUMIFS(DATA_GOC!$H:$H,DATA_GOC!$A:$A,"BOM",DATA_GOC!$D:$D,$B113,DATA_GOC!$F:$F,"Xuất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3" s="229" t="str">
        <f>IF($B113="","",IF(G$4&gt;DAY(EOMONTH(DATE($D$2,$B$2,1),0)),"",SUMIFS(DATA_GOC!$H:$H,DATA_GOC!$A:$A,"BOM",DATA_GOC!$D:$D,$B113,DATA_GOC!$F:$F,"Xuất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3" s="228" t="str">
        <f>IF($B113="","",IF(H$4&gt;DAY(EOMONTH(DATE($D$2,$B$2,1),0)),"",SUMIFS(DATA_GOC!$H:$H,DATA_GOC!$A:$A,"BOM",DATA_GOC!$D:$D,$B113,DATA_GOC!$F:$F,"Xuất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3" s="229" t="str">
        <f>IF($B113="","",IF(I$4&gt;DAY(EOMONTH(DATE($D$2,$B$2,1),0)),"",SUMIFS(DATA_GOC!$H:$H,DATA_GOC!$A:$A,"BOM",DATA_GOC!$D:$D,$B113,DATA_GOC!$F:$F,"Xuất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3" s="229" t="str">
        <f>IF($B113="","",IF(J$4&gt;DAY(EOMONTH(DATE($D$2,$B$2,1),0)),"",SUMIFS(DATA_GOC!$H:$H,DATA_GOC!$A:$A,"BOM",DATA_GOC!$D:$D,$B113,DATA_GOC!$F:$F,"Xuất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3" s="229" t="str">
        <f>IF($B113="","",IF(K$4&gt;DAY(EOMONTH(DATE($D$2,$B$2,1),0)),"",SUMIFS(DATA_GOC!$H:$H,DATA_GOC!$A:$A,"BOM",DATA_GOC!$D:$D,$B113,DATA_GOC!$F:$F,"Xuất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3" s="229" t="str">
        <f>IF($B113="","",IF(L$4&gt;DAY(EOMONTH(DATE($D$2,$B$2,1),0)),"",SUMIFS(DATA_GOC!$H:$H,DATA_GOC!$A:$A,"BOM",DATA_GOC!$D:$D,$B113,DATA_GOC!$F:$F,"Xuất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3" s="229" t="str">
        <f>IF($B113="","",IF(M$4&gt;DAY(EOMONTH(DATE($D$2,$B$2,1),0)),"",SUMIFS(DATA_GOC!$H:$H,DATA_GOC!$A:$A,"BOM",DATA_GOC!$D:$D,$B113,DATA_GOC!$F:$F,"Xuất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3" s="61" t="str">
        <f>IF($B113="","",IF(N$4&gt;DAY(EOMONTH(DATE($D$2,$B$2,1),0)),"",SUMIFS(DATA_GOC!$H:$H,DATA_GOC!$A:$A,"BOM",DATA_GOC!$D:$D,$B113,DATA_GOC!$F:$F,"Xuất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3" s="61" t="str">
        <f>IF($B113="","",IF(O$4&gt;DAY(EOMONTH(DATE($D$2,$B$2,1),0)),"",SUMIFS(DATA_GOC!$H:$H,DATA_GOC!$A:$A,"BOM",DATA_GOC!$D:$D,$B113,DATA_GOC!$F:$F,"Xuất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3" s="61" t="str">
        <f>IF($B113="","",IF(P$4&gt;DAY(EOMONTH(DATE($D$2,$B$2,1),0)),"",SUMIFS(DATA_GOC!$H:$H,DATA_GOC!$A:$A,"BOM",DATA_GOC!$D:$D,$B113,DATA_GOC!$F:$F,"Xuất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3" s="61" t="str">
        <f>IF($B113="","",IF(Q$4&gt;DAY(EOMONTH(DATE($D$2,$B$2,1),0)),"",SUMIFS(DATA_GOC!$H:$H,DATA_GOC!$A:$A,"BOM",DATA_GOC!$D:$D,$B113,DATA_GOC!$F:$F,"Xuất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3" s="61" t="str">
        <f>IF($B113="","",IF(R$4&gt;DAY(EOMONTH(DATE($D$2,$B$2,1),0)),"",SUMIFS(DATA_GOC!$H:$H,DATA_GOC!$A:$A,"BOM",DATA_GOC!$D:$D,$B113,DATA_GOC!$F:$F,"Xuất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3" s="61" t="str">
        <f>IF($B113="","",IF(S$4&gt;DAY(EOMONTH(DATE($D$2,$B$2,1),0)),"",SUMIFS(DATA_GOC!$H:$H,DATA_GOC!$A:$A,"BOM",DATA_GOC!$D:$D,$B113,DATA_GOC!$F:$F,"Xuất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3" s="229" t="str">
        <f>IF($B113="","",IF(T$4&gt;DAY(EOMONTH(DATE($D$2,$B$2,1),0)),"",SUMIFS(DATA_GOC!$H:$H,DATA_GOC!$A:$A,"BOM",DATA_GOC!$D:$D,$B113,DATA_GOC!$F:$F,"Xuất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3" s="229" t="str">
        <f>IF($B113="","",IF(U$4&gt;DAY(EOMONTH(DATE($D$2,$B$2,1),0)),"",SUMIFS(DATA_GOC!$H:$H,DATA_GOC!$A:$A,"BOM",DATA_GOC!$D:$D,$B113,DATA_GOC!$F:$F,"Xuất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3" s="229" t="str">
        <f>IF($B113="","",IF(V$4&gt;DAY(EOMONTH(DATE($D$2,$B$2,1),0)),"",SUMIFS(DATA_GOC!$H:$H,DATA_GOC!$A:$A,"BOM",DATA_GOC!$D:$D,$B113,DATA_GOC!$F:$F,"Xuất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3" s="61" t="str">
        <f>IF($B113="","",IF(W$4&gt;DAY(EOMONTH(DATE($D$2,$B$2,1),0)),"",SUMIFS(DATA_GOC!$H:$H,DATA_GOC!$A:$A,"BOM",DATA_GOC!$D:$D,$B113,DATA_GOC!$F:$F,"Xuất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3" s="229" t="str">
        <f>IF($B113="","",IF(X$4&gt;DAY(EOMONTH(DATE($D$2,$B$2,1),0)),"",SUMIFS(DATA_GOC!$H:$H,DATA_GOC!$A:$A,"BOM",DATA_GOC!$D:$D,$B113,DATA_GOC!$F:$F,"Xuất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3" s="229" t="str">
        <f>IF($B113="","",IF(Y$4&gt;DAY(EOMONTH(DATE($D$2,$B$2,1),0)),"",SUMIFS(DATA_GOC!$H:$H,DATA_GOC!$A:$A,"BOM",DATA_GOC!$D:$D,$B113,DATA_GOC!$F:$F,"Xuất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3" s="229" t="str">
        <f>IF($B113="","",IF(Z$4&gt;DAY(EOMONTH(DATE($D$2,$B$2,1),0)),"",SUMIFS(DATA_GOC!$H:$H,DATA_GOC!$A:$A,"BOM",DATA_GOC!$D:$D,$B113,DATA_GOC!$F:$F,"Xuất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3" s="229" t="str">
        <f>IF($B113="","",IF(AA$4&gt;DAY(EOMONTH(DATE($D$2,$B$2,1),0)),"",SUMIFS(DATA_GOC!$H:$H,DATA_GOC!$A:$A,"BOM",DATA_GOC!$D:$D,$B113,DATA_GOC!$F:$F,"Xuất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3" s="229" t="str">
        <f>IF($B113="","",IF(AB$4&gt;DAY(EOMONTH(DATE($D$2,$B$2,1),0)),"",SUMIFS(DATA_GOC!$H:$H,DATA_GOC!$A:$A,"BOM",DATA_GOC!$D:$D,$B113,DATA_GOC!$F:$F,"Xuất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3" s="61" t="str">
        <f>IF($B113="","",IF(AC$4&gt;DAY(EOMONTH(DATE($D$2,$B$2,1),0)),"",SUMIFS(DATA_GOC!$H:$H,DATA_GOC!$A:$A,"BOM",DATA_GOC!$D:$D,$B113,DATA_GOC!$F:$F,"Xuất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3" s="222" t="str">
        <f>IF($B113="","",IF(AD$4&gt;DAY(EOMONTH(DATE($D$2,$B$2,1),0)),"",SUMIFS(DATA_GOC!$H:$H,DATA_GOC!$A:$A,"BOM",DATA_GOC!$D:$D,$B113,DATA_GOC!$F:$F,"Xuất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3" s="222" t="str">
        <f>IF($B113="","",IF(AE$4&gt;DAY(EOMONTH(DATE($D$2,$B$2,1),0)),"",SUMIFS(DATA_GOC!$H:$H,DATA_GOC!$A:$A,"BOM",DATA_GOC!$D:$D,$B113,DATA_GOC!$F:$F,"Xuất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3" s="222" t="str">
        <f>IF($B113="","",IF(AF$4&gt;DAY(EOMONTH(DATE($D$2,$B$2,1),0)),"",SUMIFS(DATA_GOC!$H:$H,DATA_GOC!$A:$A,"BOM",DATA_GOC!$D:$D,$B113,DATA_GOC!$F:$F,"Xuất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3" s="222" t="str">
        <f>IF($B113="","",IF(AG$4&gt;DAY(EOMONTH(DATE($D$2,$B$2,1),0)),"",SUMIFS(DATA_GOC!$H:$H,DATA_GOC!$A:$A,"BOM",DATA_GOC!$D:$D,$B113,DATA_GOC!$F:$F,"Xuất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3" s="222" t="str">
        <f t="shared" si="2"/>
        <v/>
      </c>
      <c r="AI113" s="222" t="str">
        <f>IF($B113="","",SUMIFS(DATA_GOC!$H:$H,DATA_GOC!$A:$A,"BOM",DATA_GOC!$D:$D,$B113,DATA_GOC!$F:$F,"Bơm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3" s="222" t="str">
        <f t="shared" si="3"/>
        <v/>
      </c>
      <c r="AM113" s="222" t="str">
        <f>IF($B113="","",SUMIFS(DATA_GOC!$K:$K,DATA_GOC!$A:$A,"BOM",DATA_GOC!$D:$D,$B113,DATA_GOC!$G:$G,"DO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3" s="222" t="str">
        <f t="shared" si="4"/>
        <v/>
      </c>
      <c r="AO113" s="227" t="str">
        <f t="shared" si="5"/>
        <v/>
      </c>
      <c r="AP113" s="226" t="str">
        <f>IF($B113="","",IFERROR(AO113-(SUMIFS(DATA_GOC!$H:$H,DATA_GOC!$A:$A,"BOM",DATA_GOC!$D:$D,$B113,DATA_GOC!$F:$F,"Xuất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3" s="59">
        <v>3.0</v>
      </c>
      <c r="AR113" s="59">
        <v>2026.0</v>
      </c>
      <c r="AS113" s="59" t="s">
        <v>148</v>
      </c>
      <c r="AT113" s="59">
        <v>362.0</v>
      </c>
      <c r="AU113" s="59">
        <v>0.0</v>
      </c>
      <c r="AV113" s="59">
        <v>362.0</v>
      </c>
      <c r="AW113" s="59">
        <v>772.0</v>
      </c>
      <c r="AX113" s="59">
        <v>46.8911917098446</v>
      </c>
      <c r="AY113" s="59">
        <v>0.0</v>
      </c>
      <c r="AZ113" s="59">
        <v>362.0</v>
      </c>
      <c r="BA113" s="59">
        <v>0.0</v>
      </c>
      <c r="BB113" s="59">
        <v>0.0</v>
      </c>
      <c r="BC113" s="59" t="s">
        <v>468</v>
      </c>
    </row>
    <row r="114" ht="15.0" customHeight="1">
      <c r="A114" s="61" t="str">
        <f t="shared" si="1"/>
        <v/>
      </c>
      <c r="B114" s="228" t="str">
        <f t="array" ref="B114">IFERROR(INDEX(DANH_MUC!$E:$E,ROW()-1),"")</f>
        <v/>
      </c>
      <c r="C114" s="228" t="str">
        <f>IF($B114="","",IF(C$4&gt;DAY(EOMONTH(DATE($D$2,$B$2,1),0)),"",SUMIFS(DATA_GOC!$H:$H,DATA_GOC!$A:$A,"BOM",DATA_GOC!$D:$D,$B114,DATA_GOC!$F:$F,"Xuất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4" s="61" t="str">
        <f>IF($B114="","",IF(D$4&gt;DAY(EOMONTH(DATE($D$2,$B$2,1),0)),"",SUMIFS(DATA_GOC!$H:$H,DATA_GOC!$A:$A,"BOM",DATA_GOC!$D:$D,$B114,DATA_GOC!$F:$F,"Xuất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4" s="229" t="str">
        <f>IF($B114="","",IF(E$4&gt;DAY(EOMONTH(DATE($D$2,$B$2,1),0)),"",SUMIFS(DATA_GOC!$H:$H,DATA_GOC!$A:$A,"BOM",DATA_GOC!$D:$D,$B114,DATA_GOC!$F:$F,"Xuất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4" s="229" t="str">
        <f>IF($B114="","",IF(F$4&gt;DAY(EOMONTH(DATE($D$2,$B$2,1),0)),"",SUMIFS(DATA_GOC!$H:$H,DATA_GOC!$A:$A,"BOM",DATA_GOC!$D:$D,$B114,DATA_GOC!$F:$F,"Xuất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4" s="229" t="str">
        <f>IF($B114="","",IF(G$4&gt;DAY(EOMONTH(DATE($D$2,$B$2,1),0)),"",SUMIFS(DATA_GOC!$H:$H,DATA_GOC!$A:$A,"BOM",DATA_GOC!$D:$D,$B114,DATA_GOC!$F:$F,"Xuất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4" s="228" t="str">
        <f>IF($B114="","",IF(H$4&gt;DAY(EOMONTH(DATE($D$2,$B$2,1),0)),"",SUMIFS(DATA_GOC!$H:$H,DATA_GOC!$A:$A,"BOM",DATA_GOC!$D:$D,$B114,DATA_GOC!$F:$F,"Xuất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4" s="229" t="str">
        <f>IF($B114="","",IF(I$4&gt;DAY(EOMONTH(DATE($D$2,$B$2,1),0)),"",SUMIFS(DATA_GOC!$H:$H,DATA_GOC!$A:$A,"BOM",DATA_GOC!$D:$D,$B114,DATA_GOC!$F:$F,"Xuất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4" s="229" t="str">
        <f>IF($B114="","",IF(J$4&gt;DAY(EOMONTH(DATE($D$2,$B$2,1),0)),"",SUMIFS(DATA_GOC!$H:$H,DATA_GOC!$A:$A,"BOM",DATA_GOC!$D:$D,$B114,DATA_GOC!$F:$F,"Xuất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4" s="229" t="str">
        <f>IF($B114="","",IF(K$4&gt;DAY(EOMONTH(DATE($D$2,$B$2,1),0)),"",SUMIFS(DATA_GOC!$H:$H,DATA_GOC!$A:$A,"BOM",DATA_GOC!$D:$D,$B114,DATA_GOC!$F:$F,"Xuất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4" s="229" t="str">
        <f>IF($B114="","",IF(L$4&gt;DAY(EOMONTH(DATE($D$2,$B$2,1),0)),"",SUMIFS(DATA_GOC!$H:$H,DATA_GOC!$A:$A,"BOM",DATA_GOC!$D:$D,$B114,DATA_GOC!$F:$F,"Xuất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4" s="229" t="str">
        <f>IF($B114="","",IF(M$4&gt;DAY(EOMONTH(DATE($D$2,$B$2,1),0)),"",SUMIFS(DATA_GOC!$H:$H,DATA_GOC!$A:$A,"BOM",DATA_GOC!$D:$D,$B114,DATA_GOC!$F:$F,"Xuất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4" s="61" t="str">
        <f>IF($B114="","",IF(N$4&gt;DAY(EOMONTH(DATE($D$2,$B$2,1),0)),"",SUMIFS(DATA_GOC!$H:$H,DATA_GOC!$A:$A,"BOM",DATA_GOC!$D:$D,$B114,DATA_GOC!$F:$F,"Xuất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4" s="61" t="str">
        <f>IF($B114="","",IF(O$4&gt;DAY(EOMONTH(DATE($D$2,$B$2,1),0)),"",SUMIFS(DATA_GOC!$H:$H,DATA_GOC!$A:$A,"BOM",DATA_GOC!$D:$D,$B114,DATA_GOC!$F:$F,"Xuất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4" s="61" t="str">
        <f>IF($B114="","",IF(P$4&gt;DAY(EOMONTH(DATE($D$2,$B$2,1),0)),"",SUMIFS(DATA_GOC!$H:$H,DATA_GOC!$A:$A,"BOM",DATA_GOC!$D:$D,$B114,DATA_GOC!$F:$F,"Xuất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4" s="61" t="str">
        <f>IF($B114="","",IF(Q$4&gt;DAY(EOMONTH(DATE($D$2,$B$2,1),0)),"",SUMIFS(DATA_GOC!$H:$H,DATA_GOC!$A:$A,"BOM",DATA_GOC!$D:$D,$B114,DATA_GOC!$F:$F,"Xuất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4" s="61" t="str">
        <f>IF($B114="","",IF(R$4&gt;DAY(EOMONTH(DATE($D$2,$B$2,1),0)),"",SUMIFS(DATA_GOC!$H:$H,DATA_GOC!$A:$A,"BOM",DATA_GOC!$D:$D,$B114,DATA_GOC!$F:$F,"Xuất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4" s="61" t="str">
        <f>IF($B114="","",IF(S$4&gt;DAY(EOMONTH(DATE($D$2,$B$2,1),0)),"",SUMIFS(DATA_GOC!$H:$H,DATA_GOC!$A:$A,"BOM",DATA_GOC!$D:$D,$B114,DATA_GOC!$F:$F,"Xuất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4" s="229" t="str">
        <f>IF($B114="","",IF(T$4&gt;DAY(EOMONTH(DATE($D$2,$B$2,1),0)),"",SUMIFS(DATA_GOC!$H:$H,DATA_GOC!$A:$A,"BOM",DATA_GOC!$D:$D,$B114,DATA_GOC!$F:$F,"Xuất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4" s="229" t="str">
        <f>IF($B114="","",IF(U$4&gt;DAY(EOMONTH(DATE($D$2,$B$2,1),0)),"",SUMIFS(DATA_GOC!$H:$H,DATA_GOC!$A:$A,"BOM",DATA_GOC!$D:$D,$B114,DATA_GOC!$F:$F,"Xuất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4" s="229" t="str">
        <f>IF($B114="","",IF(V$4&gt;DAY(EOMONTH(DATE($D$2,$B$2,1),0)),"",SUMIFS(DATA_GOC!$H:$H,DATA_GOC!$A:$A,"BOM",DATA_GOC!$D:$D,$B114,DATA_GOC!$F:$F,"Xuất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4" s="61" t="str">
        <f>IF($B114="","",IF(W$4&gt;DAY(EOMONTH(DATE($D$2,$B$2,1),0)),"",SUMIFS(DATA_GOC!$H:$H,DATA_GOC!$A:$A,"BOM",DATA_GOC!$D:$D,$B114,DATA_GOC!$F:$F,"Xuất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4" s="229" t="str">
        <f>IF($B114="","",IF(X$4&gt;DAY(EOMONTH(DATE($D$2,$B$2,1),0)),"",SUMIFS(DATA_GOC!$H:$H,DATA_GOC!$A:$A,"BOM",DATA_GOC!$D:$D,$B114,DATA_GOC!$F:$F,"Xuất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4" s="229" t="str">
        <f>IF($B114="","",IF(Y$4&gt;DAY(EOMONTH(DATE($D$2,$B$2,1),0)),"",SUMIFS(DATA_GOC!$H:$H,DATA_GOC!$A:$A,"BOM",DATA_GOC!$D:$D,$B114,DATA_GOC!$F:$F,"Xuất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4" s="229" t="str">
        <f>IF($B114="","",IF(Z$4&gt;DAY(EOMONTH(DATE($D$2,$B$2,1),0)),"",SUMIFS(DATA_GOC!$H:$H,DATA_GOC!$A:$A,"BOM",DATA_GOC!$D:$D,$B114,DATA_GOC!$F:$F,"Xuất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4" s="229" t="str">
        <f>IF($B114="","",IF(AA$4&gt;DAY(EOMONTH(DATE($D$2,$B$2,1),0)),"",SUMIFS(DATA_GOC!$H:$H,DATA_GOC!$A:$A,"BOM",DATA_GOC!$D:$D,$B114,DATA_GOC!$F:$F,"Xuất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4" s="229" t="str">
        <f>IF($B114="","",IF(AB$4&gt;DAY(EOMONTH(DATE($D$2,$B$2,1),0)),"",SUMIFS(DATA_GOC!$H:$H,DATA_GOC!$A:$A,"BOM",DATA_GOC!$D:$D,$B114,DATA_GOC!$F:$F,"Xuất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4" s="61" t="str">
        <f>IF($B114="","",IF(AC$4&gt;DAY(EOMONTH(DATE($D$2,$B$2,1),0)),"",SUMIFS(DATA_GOC!$H:$H,DATA_GOC!$A:$A,"BOM",DATA_GOC!$D:$D,$B114,DATA_GOC!$F:$F,"Xuất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4" s="222" t="str">
        <f>IF($B114="","",IF(AD$4&gt;DAY(EOMONTH(DATE($D$2,$B$2,1),0)),"",SUMIFS(DATA_GOC!$H:$H,DATA_GOC!$A:$A,"BOM",DATA_GOC!$D:$D,$B114,DATA_GOC!$F:$F,"Xuất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4" s="222" t="str">
        <f>IF($B114="","",IF(AE$4&gt;DAY(EOMONTH(DATE($D$2,$B$2,1),0)),"",SUMIFS(DATA_GOC!$H:$H,DATA_GOC!$A:$A,"BOM",DATA_GOC!$D:$D,$B114,DATA_GOC!$F:$F,"Xuất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4" s="222" t="str">
        <f>IF($B114="","",IF(AF$4&gt;DAY(EOMONTH(DATE($D$2,$B$2,1),0)),"",SUMIFS(DATA_GOC!$H:$H,DATA_GOC!$A:$A,"BOM",DATA_GOC!$D:$D,$B114,DATA_GOC!$F:$F,"Xuất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4" s="222" t="str">
        <f>IF($B114="","",IF(AG$4&gt;DAY(EOMONTH(DATE($D$2,$B$2,1),0)),"",SUMIFS(DATA_GOC!$H:$H,DATA_GOC!$A:$A,"BOM",DATA_GOC!$D:$D,$B114,DATA_GOC!$F:$F,"Xuất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4" s="222" t="str">
        <f t="shared" si="2"/>
        <v/>
      </c>
      <c r="AI114" s="222" t="str">
        <f>IF($B114="","",SUMIFS(DATA_GOC!$H:$H,DATA_GOC!$A:$A,"BOM",DATA_GOC!$D:$D,$B114,DATA_GOC!$F:$F,"Bơm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4" s="222" t="str">
        <f t="shared" si="3"/>
        <v/>
      </c>
      <c r="AM114" s="222" t="str">
        <f>IF($B114="","",SUMIFS(DATA_GOC!$K:$K,DATA_GOC!$A:$A,"BOM",DATA_GOC!$D:$D,$B114,DATA_GOC!$G:$G,"DO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4" s="222" t="str">
        <f t="shared" si="4"/>
        <v/>
      </c>
      <c r="AO114" s="227" t="str">
        <f t="shared" si="5"/>
        <v/>
      </c>
      <c r="AP114" s="226" t="str">
        <f>IF($B114="","",IFERROR(AO114-(SUMIFS(DATA_GOC!$H:$H,DATA_GOC!$A:$A,"BOM",DATA_GOC!$D:$D,$B114,DATA_GOC!$F:$F,"Xuất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4" s="59">
        <v>3.0</v>
      </c>
      <c r="AR114" s="59">
        <v>2026.0</v>
      </c>
      <c r="AS114" s="59" t="s">
        <v>89</v>
      </c>
      <c r="AT114" s="59">
        <v>561.74</v>
      </c>
      <c r="AU114" s="59">
        <v>0.0</v>
      </c>
      <c r="AV114" s="59">
        <v>561.74</v>
      </c>
      <c r="AW114" s="59">
        <v>2078.0</v>
      </c>
      <c r="AX114" s="59">
        <v>27.0327237728585</v>
      </c>
      <c r="AY114" s="59">
        <v>561.74</v>
      </c>
      <c r="AZ114" s="59">
        <v>0.0</v>
      </c>
      <c r="BA114" s="59">
        <v>18.74</v>
      </c>
      <c r="BB114" s="59">
        <v>0.0</v>
      </c>
      <c r="BC114" s="59" t="s">
        <v>469</v>
      </c>
    </row>
    <row r="115" ht="15.0" customHeight="1">
      <c r="A115" s="61" t="str">
        <f t="shared" si="1"/>
        <v/>
      </c>
      <c r="B115" s="228" t="str">
        <f t="array" ref="B115">IFERROR(INDEX(DANH_MUC!$E:$E,ROW()-1),"")</f>
        <v/>
      </c>
      <c r="C115" s="228" t="str">
        <f>IF($B115="","",IF(C$4&gt;DAY(EOMONTH(DATE($D$2,$B$2,1),0)),"",SUMIFS(DATA_GOC!$H:$H,DATA_GOC!$A:$A,"BOM",DATA_GOC!$D:$D,$B115,DATA_GOC!$F:$F,"Xuất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5" s="61" t="str">
        <f>IF($B115="","",IF(D$4&gt;DAY(EOMONTH(DATE($D$2,$B$2,1),0)),"",SUMIFS(DATA_GOC!$H:$H,DATA_GOC!$A:$A,"BOM",DATA_GOC!$D:$D,$B115,DATA_GOC!$F:$F,"Xuất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5" s="229" t="str">
        <f>IF($B115="","",IF(E$4&gt;DAY(EOMONTH(DATE($D$2,$B$2,1),0)),"",SUMIFS(DATA_GOC!$H:$H,DATA_GOC!$A:$A,"BOM",DATA_GOC!$D:$D,$B115,DATA_GOC!$F:$F,"Xuất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5" s="229" t="str">
        <f>IF($B115="","",IF(F$4&gt;DAY(EOMONTH(DATE($D$2,$B$2,1),0)),"",SUMIFS(DATA_GOC!$H:$H,DATA_GOC!$A:$A,"BOM",DATA_GOC!$D:$D,$B115,DATA_GOC!$F:$F,"Xuất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5" s="229" t="str">
        <f>IF($B115="","",IF(G$4&gt;DAY(EOMONTH(DATE($D$2,$B$2,1),0)),"",SUMIFS(DATA_GOC!$H:$H,DATA_GOC!$A:$A,"BOM",DATA_GOC!$D:$D,$B115,DATA_GOC!$F:$F,"Xuất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5" s="228" t="str">
        <f>IF($B115="","",IF(H$4&gt;DAY(EOMONTH(DATE($D$2,$B$2,1),0)),"",SUMIFS(DATA_GOC!$H:$H,DATA_GOC!$A:$A,"BOM",DATA_GOC!$D:$D,$B115,DATA_GOC!$F:$F,"Xuất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5" s="229" t="str">
        <f>IF($B115="","",IF(I$4&gt;DAY(EOMONTH(DATE($D$2,$B$2,1),0)),"",SUMIFS(DATA_GOC!$H:$H,DATA_GOC!$A:$A,"BOM",DATA_GOC!$D:$D,$B115,DATA_GOC!$F:$F,"Xuất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5" s="229" t="str">
        <f>IF($B115="","",IF(J$4&gt;DAY(EOMONTH(DATE($D$2,$B$2,1),0)),"",SUMIFS(DATA_GOC!$H:$H,DATA_GOC!$A:$A,"BOM",DATA_GOC!$D:$D,$B115,DATA_GOC!$F:$F,"Xuất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5" s="229" t="str">
        <f>IF($B115="","",IF(K$4&gt;DAY(EOMONTH(DATE($D$2,$B$2,1),0)),"",SUMIFS(DATA_GOC!$H:$H,DATA_GOC!$A:$A,"BOM",DATA_GOC!$D:$D,$B115,DATA_GOC!$F:$F,"Xuất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5" s="229" t="str">
        <f>IF($B115="","",IF(L$4&gt;DAY(EOMONTH(DATE($D$2,$B$2,1),0)),"",SUMIFS(DATA_GOC!$H:$H,DATA_GOC!$A:$A,"BOM",DATA_GOC!$D:$D,$B115,DATA_GOC!$F:$F,"Xuất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5" s="229" t="str">
        <f>IF($B115="","",IF(M$4&gt;DAY(EOMONTH(DATE($D$2,$B$2,1),0)),"",SUMIFS(DATA_GOC!$H:$H,DATA_GOC!$A:$A,"BOM",DATA_GOC!$D:$D,$B115,DATA_GOC!$F:$F,"Xuất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5" s="61" t="str">
        <f>IF($B115="","",IF(N$4&gt;DAY(EOMONTH(DATE($D$2,$B$2,1),0)),"",SUMIFS(DATA_GOC!$H:$H,DATA_GOC!$A:$A,"BOM",DATA_GOC!$D:$D,$B115,DATA_GOC!$F:$F,"Xuất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5" s="61" t="str">
        <f>IF($B115="","",IF(O$4&gt;DAY(EOMONTH(DATE($D$2,$B$2,1),0)),"",SUMIFS(DATA_GOC!$H:$H,DATA_GOC!$A:$A,"BOM",DATA_GOC!$D:$D,$B115,DATA_GOC!$F:$F,"Xuất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5" s="61" t="str">
        <f>IF($B115="","",IF(P$4&gt;DAY(EOMONTH(DATE($D$2,$B$2,1),0)),"",SUMIFS(DATA_GOC!$H:$H,DATA_GOC!$A:$A,"BOM",DATA_GOC!$D:$D,$B115,DATA_GOC!$F:$F,"Xuất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5" s="61" t="str">
        <f>IF($B115="","",IF(Q$4&gt;DAY(EOMONTH(DATE($D$2,$B$2,1),0)),"",SUMIFS(DATA_GOC!$H:$H,DATA_GOC!$A:$A,"BOM",DATA_GOC!$D:$D,$B115,DATA_GOC!$F:$F,"Xuất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5" s="61" t="str">
        <f>IF($B115="","",IF(R$4&gt;DAY(EOMONTH(DATE($D$2,$B$2,1),0)),"",SUMIFS(DATA_GOC!$H:$H,DATA_GOC!$A:$A,"BOM",DATA_GOC!$D:$D,$B115,DATA_GOC!$F:$F,"Xuất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5" s="61" t="str">
        <f>IF($B115="","",IF(S$4&gt;DAY(EOMONTH(DATE($D$2,$B$2,1),0)),"",SUMIFS(DATA_GOC!$H:$H,DATA_GOC!$A:$A,"BOM",DATA_GOC!$D:$D,$B115,DATA_GOC!$F:$F,"Xuất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5" s="229" t="str">
        <f>IF($B115="","",IF(T$4&gt;DAY(EOMONTH(DATE($D$2,$B$2,1),0)),"",SUMIFS(DATA_GOC!$H:$H,DATA_GOC!$A:$A,"BOM",DATA_GOC!$D:$D,$B115,DATA_GOC!$F:$F,"Xuất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5" s="229" t="str">
        <f>IF($B115="","",IF(U$4&gt;DAY(EOMONTH(DATE($D$2,$B$2,1),0)),"",SUMIFS(DATA_GOC!$H:$H,DATA_GOC!$A:$A,"BOM",DATA_GOC!$D:$D,$B115,DATA_GOC!$F:$F,"Xuất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5" s="229" t="str">
        <f>IF($B115="","",IF(V$4&gt;DAY(EOMONTH(DATE($D$2,$B$2,1),0)),"",SUMIFS(DATA_GOC!$H:$H,DATA_GOC!$A:$A,"BOM",DATA_GOC!$D:$D,$B115,DATA_GOC!$F:$F,"Xuất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5" s="61" t="str">
        <f>IF($B115="","",IF(W$4&gt;DAY(EOMONTH(DATE($D$2,$B$2,1),0)),"",SUMIFS(DATA_GOC!$H:$H,DATA_GOC!$A:$A,"BOM",DATA_GOC!$D:$D,$B115,DATA_GOC!$F:$F,"Xuất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5" s="229" t="str">
        <f>IF($B115="","",IF(X$4&gt;DAY(EOMONTH(DATE($D$2,$B$2,1),0)),"",SUMIFS(DATA_GOC!$H:$H,DATA_GOC!$A:$A,"BOM",DATA_GOC!$D:$D,$B115,DATA_GOC!$F:$F,"Xuất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5" s="229" t="str">
        <f>IF($B115="","",IF(Y$4&gt;DAY(EOMONTH(DATE($D$2,$B$2,1),0)),"",SUMIFS(DATA_GOC!$H:$H,DATA_GOC!$A:$A,"BOM",DATA_GOC!$D:$D,$B115,DATA_GOC!$F:$F,"Xuất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5" s="229" t="str">
        <f>IF($B115="","",IF(Z$4&gt;DAY(EOMONTH(DATE($D$2,$B$2,1),0)),"",SUMIFS(DATA_GOC!$H:$H,DATA_GOC!$A:$A,"BOM",DATA_GOC!$D:$D,$B115,DATA_GOC!$F:$F,"Xuất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5" s="229" t="str">
        <f>IF($B115="","",IF(AA$4&gt;DAY(EOMONTH(DATE($D$2,$B$2,1),0)),"",SUMIFS(DATA_GOC!$H:$H,DATA_GOC!$A:$A,"BOM",DATA_GOC!$D:$D,$B115,DATA_GOC!$F:$F,"Xuất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5" s="229" t="str">
        <f>IF($B115="","",IF(AB$4&gt;DAY(EOMONTH(DATE($D$2,$B$2,1),0)),"",SUMIFS(DATA_GOC!$H:$H,DATA_GOC!$A:$A,"BOM",DATA_GOC!$D:$D,$B115,DATA_GOC!$F:$F,"Xuất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5" s="61" t="str">
        <f>IF($B115="","",IF(AC$4&gt;DAY(EOMONTH(DATE($D$2,$B$2,1),0)),"",SUMIFS(DATA_GOC!$H:$H,DATA_GOC!$A:$A,"BOM",DATA_GOC!$D:$D,$B115,DATA_GOC!$F:$F,"Xuất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5" s="222" t="str">
        <f>IF($B115="","",IF(AD$4&gt;DAY(EOMONTH(DATE($D$2,$B$2,1),0)),"",SUMIFS(DATA_GOC!$H:$H,DATA_GOC!$A:$A,"BOM",DATA_GOC!$D:$D,$B115,DATA_GOC!$F:$F,"Xuất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5" s="222" t="str">
        <f>IF($B115="","",IF(AE$4&gt;DAY(EOMONTH(DATE($D$2,$B$2,1),0)),"",SUMIFS(DATA_GOC!$H:$H,DATA_GOC!$A:$A,"BOM",DATA_GOC!$D:$D,$B115,DATA_GOC!$F:$F,"Xuất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5" s="222" t="str">
        <f>IF($B115="","",IF(AF$4&gt;DAY(EOMONTH(DATE($D$2,$B$2,1),0)),"",SUMIFS(DATA_GOC!$H:$H,DATA_GOC!$A:$A,"BOM",DATA_GOC!$D:$D,$B115,DATA_GOC!$F:$F,"Xuất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5" s="222" t="str">
        <f>IF($B115="","",IF(AG$4&gt;DAY(EOMONTH(DATE($D$2,$B$2,1),0)),"",SUMIFS(DATA_GOC!$H:$H,DATA_GOC!$A:$A,"BOM",DATA_GOC!$D:$D,$B115,DATA_GOC!$F:$F,"Xuất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5" s="222" t="str">
        <f t="shared" si="2"/>
        <v/>
      </c>
      <c r="AI115" s="222" t="str">
        <f>IF($B115="","",SUMIFS(DATA_GOC!$H:$H,DATA_GOC!$A:$A,"BOM",DATA_GOC!$D:$D,$B115,DATA_GOC!$F:$F,"Bơm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5" s="222" t="str">
        <f t="shared" si="3"/>
        <v/>
      </c>
      <c r="AM115" s="222" t="str">
        <f>IF($B115="","",SUMIFS(DATA_GOC!$K:$K,DATA_GOC!$A:$A,"BOM",DATA_GOC!$D:$D,$B115,DATA_GOC!$G:$G,"DO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5" s="222" t="str">
        <f t="shared" si="4"/>
        <v/>
      </c>
      <c r="AO115" s="227" t="str">
        <f t="shared" si="5"/>
        <v/>
      </c>
      <c r="AP115" s="226" t="str">
        <f>IF($B115="","",IFERROR(AO115-(SUMIFS(DATA_GOC!$H:$H,DATA_GOC!$A:$A,"BOM",DATA_GOC!$D:$D,$B115,DATA_GOC!$F:$F,"Xuất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5" s="59">
        <v>3.0</v>
      </c>
      <c r="AR115" s="59">
        <v>2026.0</v>
      </c>
      <c r="AS115" s="59" t="s">
        <v>115</v>
      </c>
      <c r="AT115" s="59">
        <v>563.81</v>
      </c>
      <c r="AU115" s="59">
        <v>0.0</v>
      </c>
      <c r="AV115" s="59">
        <v>563.81</v>
      </c>
      <c r="AW115" s="59">
        <v>2568.0</v>
      </c>
      <c r="AX115" s="59">
        <v>21.9552180685358</v>
      </c>
      <c r="AY115" s="59">
        <v>563.81</v>
      </c>
      <c r="AZ115" s="59">
        <v>0.0</v>
      </c>
      <c r="BA115" s="59">
        <v>18.81</v>
      </c>
      <c r="BB115" s="59">
        <v>0.0</v>
      </c>
      <c r="BC115" s="59" t="s">
        <v>470</v>
      </c>
    </row>
    <row r="116" ht="15.0" customHeight="1">
      <c r="A116" s="61" t="str">
        <f t="shared" si="1"/>
        <v/>
      </c>
      <c r="B116" s="228" t="str">
        <f t="array" ref="B116">IFERROR(INDEX(DANH_MUC!$E:$E,ROW()-1),"")</f>
        <v/>
      </c>
      <c r="C116" s="228" t="str">
        <f>IF($B116="","",IF(C$4&gt;DAY(EOMONTH(DATE($D$2,$B$2,1),0)),"",SUMIFS(DATA_GOC!$H:$H,DATA_GOC!$A:$A,"BOM",DATA_GOC!$D:$D,$B116,DATA_GOC!$F:$F,"Xuất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6" s="61" t="str">
        <f>IF($B116="","",IF(D$4&gt;DAY(EOMONTH(DATE($D$2,$B$2,1),0)),"",SUMIFS(DATA_GOC!$H:$H,DATA_GOC!$A:$A,"BOM",DATA_GOC!$D:$D,$B116,DATA_GOC!$F:$F,"Xuất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6" s="229" t="str">
        <f>IF($B116="","",IF(E$4&gt;DAY(EOMONTH(DATE($D$2,$B$2,1),0)),"",SUMIFS(DATA_GOC!$H:$H,DATA_GOC!$A:$A,"BOM",DATA_GOC!$D:$D,$B116,DATA_GOC!$F:$F,"Xuất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6" s="229" t="str">
        <f>IF($B116="","",IF(F$4&gt;DAY(EOMONTH(DATE($D$2,$B$2,1),0)),"",SUMIFS(DATA_GOC!$H:$H,DATA_GOC!$A:$A,"BOM",DATA_GOC!$D:$D,$B116,DATA_GOC!$F:$F,"Xuất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6" s="229" t="str">
        <f>IF($B116="","",IF(G$4&gt;DAY(EOMONTH(DATE($D$2,$B$2,1),0)),"",SUMIFS(DATA_GOC!$H:$H,DATA_GOC!$A:$A,"BOM",DATA_GOC!$D:$D,$B116,DATA_GOC!$F:$F,"Xuất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6" s="228" t="str">
        <f>IF($B116="","",IF(H$4&gt;DAY(EOMONTH(DATE($D$2,$B$2,1),0)),"",SUMIFS(DATA_GOC!$H:$H,DATA_GOC!$A:$A,"BOM",DATA_GOC!$D:$D,$B116,DATA_GOC!$F:$F,"Xuất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6" s="229" t="str">
        <f>IF($B116="","",IF(I$4&gt;DAY(EOMONTH(DATE($D$2,$B$2,1),0)),"",SUMIFS(DATA_GOC!$H:$H,DATA_GOC!$A:$A,"BOM",DATA_GOC!$D:$D,$B116,DATA_GOC!$F:$F,"Xuất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6" s="229" t="str">
        <f>IF($B116="","",IF(J$4&gt;DAY(EOMONTH(DATE($D$2,$B$2,1),0)),"",SUMIFS(DATA_GOC!$H:$H,DATA_GOC!$A:$A,"BOM",DATA_GOC!$D:$D,$B116,DATA_GOC!$F:$F,"Xuất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6" s="229" t="str">
        <f>IF($B116="","",IF(K$4&gt;DAY(EOMONTH(DATE($D$2,$B$2,1),0)),"",SUMIFS(DATA_GOC!$H:$H,DATA_GOC!$A:$A,"BOM",DATA_GOC!$D:$D,$B116,DATA_GOC!$F:$F,"Xuất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6" s="229" t="str">
        <f>IF($B116="","",IF(L$4&gt;DAY(EOMONTH(DATE($D$2,$B$2,1),0)),"",SUMIFS(DATA_GOC!$H:$H,DATA_GOC!$A:$A,"BOM",DATA_GOC!$D:$D,$B116,DATA_GOC!$F:$F,"Xuất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6" s="229" t="str">
        <f>IF($B116="","",IF(M$4&gt;DAY(EOMONTH(DATE($D$2,$B$2,1),0)),"",SUMIFS(DATA_GOC!$H:$H,DATA_GOC!$A:$A,"BOM",DATA_GOC!$D:$D,$B116,DATA_GOC!$F:$F,"Xuất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6" s="61" t="str">
        <f>IF($B116="","",IF(N$4&gt;DAY(EOMONTH(DATE($D$2,$B$2,1),0)),"",SUMIFS(DATA_GOC!$H:$H,DATA_GOC!$A:$A,"BOM",DATA_GOC!$D:$D,$B116,DATA_GOC!$F:$F,"Xuất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6" s="61" t="str">
        <f>IF($B116="","",IF(O$4&gt;DAY(EOMONTH(DATE($D$2,$B$2,1),0)),"",SUMIFS(DATA_GOC!$H:$H,DATA_GOC!$A:$A,"BOM",DATA_GOC!$D:$D,$B116,DATA_GOC!$F:$F,"Xuất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6" s="61" t="str">
        <f>IF($B116="","",IF(P$4&gt;DAY(EOMONTH(DATE($D$2,$B$2,1),0)),"",SUMIFS(DATA_GOC!$H:$H,DATA_GOC!$A:$A,"BOM",DATA_GOC!$D:$D,$B116,DATA_GOC!$F:$F,"Xuất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6" s="61" t="str">
        <f>IF($B116="","",IF(Q$4&gt;DAY(EOMONTH(DATE($D$2,$B$2,1),0)),"",SUMIFS(DATA_GOC!$H:$H,DATA_GOC!$A:$A,"BOM",DATA_GOC!$D:$D,$B116,DATA_GOC!$F:$F,"Xuất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6" s="61" t="str">
        <f>IF($B116="","",IF(R$4&gt;DAY(EOMONTH(DATE($D$2,$B$2,1),0)),"",SUMIFS(DATA_GOC!$H:$H,DATA_GOC!$A:$A,"BOM",DATA_GOC!$D:$D,$B116,DATA_GOC!$F:$F,"Xuất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6" s="61" t="str">
        <f>IF($B116="","",IF(S$4&gt;DAY(EOMONTH(DATE($D$2,$B$2,1),0)),"",SUMIFS(DATA_GOC!$H:$H,DATA_GOC!$A:$A,"BOM",DATA_GOC!$D:$D,$B116,DATA_GOC!$F:$F,"Xuất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6" s="229" t="str">
        <f>IF($B116="","",IF(T$4&gt;DAY(EOMONTH(DATE($D$2,$B$2,1),0)),"",SUMIFS(DATA_GOC!$H:$H,DATA_GOC!$A:$A,"BOM",DATA_GOC!$D:$D,$B116,DATA_GOC!$F:$F,"Xuất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6" s="229" t="str">
        <f>IF($B116="","",IF(U$4&gt;DAY(EOMONTH(DATE($D$2,$B$2,1),0)),"",SUMIFS(DATA_GOC!$H:$H,DATA_GOC!$A:$A,"BOM",DATA_GOC!$D:$D,$B116,DATA_GOC!$F:$F,"Xuất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6" s="229" t="str">
        <f>IF($B116="","",IF(V$4&gt;DAY(EOMONTH(DATE($D$2,$B$2,1),0)),"",SUMIFS(DATA_GOC!$H:$H,DATA_GOC!$A:$A,"BOM",DATA_GOC!$D:$D,$B116,DATA_GOC!$F:$F,"Xuất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6" s="61" t="str">
        <f>IF($B116="","",IF(W$4&gt;DAY(EOMONTH(DATE($D$2,$B$2,1),0)),"",SUMIFS(DATA_GOC!$H:$H,DATA_GOC!$A:$A,"BOM",DATA_GOC!$D:$D,$B116,DATA_GOC!$F:$F,"Xuất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6" s="229" t="str">
        <f>IF($B116="","",IF(X$4&gt;DAY(EOMONTH(DATE($D$2,$B$2,1),0)),"",SUMIFS(DATA_GOC!$H:$H,DATA_GOC!$A:$A,"BOM",DATA_GOC!$D:$D,$B116,DATA_GOC!$F:$F,"Xuất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6" s="229" t="str">
        <f>IF($B116="","",IF(Y$4&gt;DAY(EOMONTH(DATE($D$2,$B$2,1),0)),"",SUMIFS(DATA_GOC!$H:$H,DATA_GOC!$A:$A,"BOM",DATA_GOC!$D:$D,$B116,DATA_GOC!$F:$F,"Xuất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6" s="229" t="str">
        <f>IF($B116="","",IF(Z$4&gt;DAY(EOMONTH(DATE($D$2,$B$2,1),0)),"",SUMIFS(DATA_GOC!$H:$H,DATA_GOC!$A:$A,"BOM",DATA_GOC!$D:$D,$B116,DATA_GOC!$F:$F,"Xuất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6" s="229" t="str">
        <f>IF($B116="","",IF(AA$4&gt;DAY(EOMONTH(DATE($D$2,$B$2,1),0)),"",SUMIFS(DATA_GOC!$H:$H,DATA_GOC!$A:$A,"BOM",DATA_GOC!$D:$D,$B116,DATA_GOC!$F:$F,"Xuất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6" s="229" t="str">
        <f>IF($B116="","",IF(AB$4&gt;DAY(EOMONTH(DATE($D$2,$B$2,1),0)),"",SUMIFS(DATA_GOC!$H:$H,DATA_GOC!$A:$A,"BOM",DATA_GOC!$D:$D,$B116,DATA_GOC!$F:$F,"Xuất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6" s="61" t="str">
        <f>IF($B116="","",IF(AC$4&gt;DAY(EOMONTH(DATE($D$2,$B$2,1),0)),"",SUMIFS(DATA_GOC!$H:$H,DATA_GOC!$A:$A,"BOM",DATA_GOC!$D:$D,$B116,DATA_GOC!$F:$F,"Xuất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6" s="222" t="str">
        <f>IF($B116="","",IF(AD$4&gt;DAY(EOMONTH(DATE($D$2,$B$2,1),0)),"",SUMIFS(DATA_GOC!$H:$H,DATA_GOC!$A:$A,"BOM",DATA_GOC!$D:$D,$B116,DATA_GOC!$F:$F,"Xuất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6" s="222" t="str">
        <f>IF($B116="","",IF(AE$4&gt;DAY(EOMONTH(DATE($D$2,$B$2,1),0)),"",SUMIFS(DATA_GOC!$H:$H,DATA_GOC!$A:$A,"BOM",DATA_GOC!$D:$D,$B116,DATA_GOC!$F:$F,"Xuất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6" s="222" t="str">
        <f>IF($B116="","",IF(AF$4&gt;DAY(EOMONTH(DATE($D$2,$B$2,1),0)),"",SUMIFS(DATA_GOC!$H:$H,DATA_GOC!$A:$A,"BOM",DATA_GOC!$D:$D,$B116,DATA_GOC!$F:$F,"Xuất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6" s="222" t="str">
        <f>IF($B116="","",IF(AG$4&gt;DAY(EOMONTH(DATE($D$2,$B$2,1),0)),"",SUMIFS(DATA_GOC!$H:$H,DATA_GOC!$A:$A,"BOM",DATA_GOC!$D:$D,$B116,DATA_GOC!$F:$F,"Xuất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6" s="222" t="str">
        <f t="shared" si="2"/>
        <v/>
      </c>
      <c r="AI116" s="222" t="str">
        <f>IF($B116="","",SUMIFS(DATA_GOC!$H:$H,DATA_GOC!$A:$A,"BOM",DATA_GOC!$D:$D,$B116,DATA_GOC!$F:$F,"Bơm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6" s="222" t="str">
        <f t="shared" si="3"/>
        <v/>
      </c>
      <c r="AM116" s="222" t="str">
        <f>IF($B116="","",SUMIFS(DATA_GOC!$K:$K,DATA_GOC!$A:$A,"BOM",DATA_GOC!$D:$D,$B116,DATA_GOC!$G:$G,"DO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6" s="222" t="str">
        <f t="shared" si="4"/>
        <v/>
      </c>
      <c r="AO116" s="227" t="str">
        <f t="shared" si="5"/>
        <v/>
      </c>
      <c r="AP116" s="226" t="str">
        <f>IF($B116="","",IFERROR(AO116-(SUMIFS(DATA_GOC!$H:$H,DATA_GOC!$A:$A,"BOM",DATA_GOC!$D:$D,$B116,DATA_GOC!$F:$F,"Xuất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6" s="59">
        <v>3.0</v>
      </c>
      <c r="AR116" s="59">
        <v>2026.0</v>
      </c>
      <c r="AS116" s="59" t="s">
        <v>103</v>
      </c>
      <c r="AT116" s="59">
        <v>927.43</v>
      </c>
      <c r="AU116" s="59">
        <v>0.0</v>
      </c>
      <c r="AV116" s="59">
        <v>927.43</v>
      </c>
      <c r="AW116" s="59">
        <v>73.3000000000002</v>
      </c>
      <c r="AX116" s="59">
        <v>1265.25238744884</v>
      </c>
      <c r="AY116" s="59">
        <v>522.43</v>
      </c>
      <c r="AZ116" s="59">
        <v>405.0</v>
      </c>
      <c r="BA116" s="59">
        <v>19.43</v>
      </c>
      <c r="BB116" s="59">
        <v>0.0</v>
      </c>
      <c r="BC116" s="59" t="s">
        <v>471</v>
      </c>
    </row>
    <row r="117" ht="15.0" customHeight="1">
      <c r="A117" s="61" t="str">
        <f t="shared" si="1"/>
        <v/>
      </c>
      <c r="B117" s="228" t="str">
        <f t="array" ref="B117">IFERROR(INDEX(DANH_MUC!$E:$E,ROW()-1),"")</f>
        <v/>
      </c>
      <c r="C117" s="228" t="str">
        <f>IF($B117="","",IF(C$4&gt;DAY(EOMONTH(DATE($D$2,$B$2,1),0)),"",SUMIFS(DATA_GOC!$H:$H,DATA_GOC!$A:$A,"BOM",DATA_GOC!$D:$D,$B117,DATA_GOC!$F:$F,"Xuất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7" s="61" t="str">
        <f>IF($B117="","",IF(D$4&gt;DAY(EOMONTH(DATE($D$2,$B$2,1),0)),"",SUMIFS(DATA_GOC!$H:$H,DATA_GOC!$A:$A,"BOM",DATA_GOC!$D:$D,$B117,DATA_GOC!$F:$F,"Xuất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7" s="229" t="str">
        <f>IF($B117="","",IF(E$4&gt;DAY(EOMONTH(DATE($D$2,$B$2,1),0)),"",SUMIFS(DATA_GOC!$H:$H,DATA_GOC!$A:$A,"BOM",DATA_GOC!$D:$D,$B117,DATA_GOC!$F:$F,"Xuất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7" s="229" t="str">
        <f>IF($B117="","",IF(F$4&gt;DAY(EOMONTH(DATE($D$2,$B$2,1),0)),"",SUMIFS(DATA_GOC!$H:$H,DATA_GOC!$A:$A,"BOM",DATA_GOC!$D:$D,$B117,DATA_GOC!$F:$F,"Xuất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7" s="229" t="str">
        <f>IF($B117="","",IF(G$4&gt;DAY(EOMONTH(DATE($D$2,$B$2,1),0)),"",SUMIFS(DATA_GOC!$H:$H,DATA_GOC!$A:$A,"BOM",DATA_GOC!$D:$D,$B117,DATA_GOC!$F:$F,"Xuất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7" s="228" t="str">
        <f>IF($B117="","",IF(H$4&gt;DAY(EOMONTH(DATE($D$2,$B$2,1),0)),"",SUMIFS(DATA_GOC!$H:$H,DATA_GOC!$A:$A,"BOM",DATA_GOC!$D:$D,$B117,DATA_GOC!$F:$F,"Xuất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7" s="229" t="str">
        <f>IF($B117="","",IF(I$4&gt;DAY(EOMONTH(DATE($D$2,$B$2,1),0)),"",SUMIFS(DATA_GOC!$H:$H,DATA_GOC!$A:$A,"BOM",DATA_GOC!$D:$D,$B117,DATA_GOC!$F:$F,"Xuất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7" s="229" t="str">
        <f>IF($B117="","",IF(J$4&gt;DAY(EOMONTH(DATE($D$2,$B$2,1),0)),"",SUMIFS(DATA_GOC!$H:$H,DATA_GOC!$A:$A,"BOM",DATA_GOC!$D:$D,$B117,DATA_GOC!$F:$F,"Xuất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7" s="229" t="str">
        <f>IF($B117="","",IF(K$4&gt;DAY(EOMONTH(DATE($D$2,$B$2,1),0)),"",SUMIFS(DATA_GOC!$H:$H,DATA_GOC!$A:$A,"BOM",DATA_GOC!$D:$D,$B117,DATA_GOC!$F:$F,"Xuất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7" s="229" t="str">
        <f>IF($B117="","",IF(L$4&gt;DAY(EOMONTH(DATE($D$2,$B$2,1),0)),"",SUMIFS(DATA_GOC!$H:$H,DATA_GOC!$A:$A,"BOM",DATA_GOC!$D:$D,$B117,DATA_GOC!$F:$F,"Xuất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7" s="229" t="str">
        <f>IF($B117="","",IF(M$4&gt;DAY(EOMONTH(DATE($D$2,$B$2,1),0)),"",SUMIFS(DATA_GOC!$H:$H,DATA_GOC!$A:$A,"BOM",DATA_GOC!$D:$D,$B117,DATA_GOC!$F:$F,"Xuất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7" s="61" t="str">
        <f>IF($B117="","",IF(N$4&gt;DAY(EOMONTH(DATE($D$2,$B$2,1),0)),"",SUMIFS(DATA_GOC!$H:$H,DATA_GOC!$A:$A,"BOM",DATA_GOC!$D:$D,$B117,DATA_GOC!$F:$F,"Xuất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7" s="61" t="str">
        <f>IF($B117="","",IF(O$4&gt;DAY(EOMONTH(DATE($D$2,$B$2,1),0)),"",SUMIFS(DATA_GOC!$H:$H,DATA_GOC!$A:$A,"BOM",DATA_GOC!$D:$D,$B117,DATA_GOC!$F:$F,"Xuất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7" s="61" t="str">
        <f>IF($B117="","",IF(P$4&gt;DAY(EOMONTH(DATE($D$2,$B$2,1),0)),"",SUMIFS(DATA_GOC!$H:$H,DATA_GOC!$A:$A,"BOM",DATA_GOC!$D:$D,$B117,DATA_GOC!$F:$F,"Xuất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7" s="61" t="str">
        <f>IF($B117="","",IF(Q$4&gt;DAY(EOMONTH(DATE($D$2,$B$2,1),0)),"",SUMIFS(DATA_GOC!$H:$H,DATA_GOC!$A:$A,"BOM",DATA_GOC!$D:$D,$B117,DATA_GOC!$F:$F,"Xuất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7" s="61" t="str">
        <f>IF($B117="","",IF(R$4&gt;DAY(EOMONTH(DATE($D$2,$B$2,1),0)),"",SUMIFS(DATA_GOC!$H:$H,DATA_GOC!$A:$A,"BOM",DATA_GOC!$D:$D,$B117,DATA_GOC!$F:$F,"Xuất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7" s="61" t="str">
        <f>IF($B117="","",IF(S$4&gt;DAY(EOMONTH(DATE($D$2,$B$2,1),0)),"",SUMIFS(DATA_GOC!$H:$H,DATA_GOC!$A:$A,"BOM",DATA_GOC!$D:$D,$B117,DATA_GOC!$F:$F,"Xuất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7" s="229" t="str">
        <f>IF($B117="","",IF(T$4&gt;DAY(EOMONTH(DATE($D$2,$B$2,1),0)),"",SUMIFS(DATA_GOC!$H:$H,DATA_GOC!$A:$A,"BOM",DATA_GOC!$D:$D,$B117,DATA_GOC!$F:$F,"Xuất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7" s="229" t="str">
        <f>IF($B117="","",IF(U$4&gt;DAY(EOMONTH(DATE($D$2,$B$2,1),0)),"",SUMIFS(DATA_GOC!$H:$H,DATA_GOC!$A:$A,"BOM",DATA_GOC!$D:$D,$B117,DATA_GOC!$F:$F,"Xuất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7" s="229" t="str">
        <f>IF($B117="","",IF(V$4&gt;DAY(EOMONTH(DATE($D$2,$B$2,1),0)),"",SUMIFS(DATA_GOC!$H:$H,DATA_GOC!$A:$A,"BOM",DATA_GOC!$D:$D,$B117,DATA_GOC!$F:$F,"Xuất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7" s="61" t="str">
        <f>IF($B117="","",IF(W$4&gt;DAY(EOMONTH(DATE($D$2,$B$2,1),0)),"",SUMIFS(DATA_GOC!$H:$H,DATA_GOC!$A:$A,"BOM",DATA_GOC!$D:$D,$B117,DATA_GOC!$F:$F,"Xuất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7" s="229" t="str">
        <f>IF($B117="","",IF(X$4&gt;DAY(EOMONTH(DATE($D$2,$B$2,1),0)),"",SUMIFS(DATA_GOC!$H:$H,DATA_GOC!$A:$A,"BOM",DATA_GOC!$D:$D,$B117,DATA_GOC!$F:$F,"Xuất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7" s="229" t="str">
        <f>IF($B117="","",IF(Y$4&gt;DAY(EOMONTH(DATE($D$2,$B$2,1),0)),"",SUMIFS(DATA_GOC!$H:$H,DATA_GOC!$A:$A,"BOM",DATA_GOC!$D:$D,$B117,DATA_GOC!$F:$F,"Xuất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7" s="229" t="str">
        <f>IF($B117="","",IF(Z$4&gt;DAY(EOMONTH(DATE($D$2,$B$2,1),0)),"",SUMIFS(DATA_GOC!$H:$H,DATA_GOC!$A:$A,"BOM",DATA_GOC!$D:$D,$B117,DATA_GOC!$F:$F,"Xuất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7" s="229" t="str">
        <f>IF($B117="","",IF(AA$4&gt;DAY(EOMONTH(DATE($D$2,$B$2,1),0)),"",SUMIFS(DATA_GOC!$H:$H,DATA_GOC!$A:$A,"BOM",DATA_GOC!$D:$D,$B117,DATA_GOC!$F:$F,"Xuất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7" s="229" t="str">
        <f>IF($B117="","",IF(AB$4&gt;DAY(EOMONTH(DATE($D$2,$B$2,1),0)),"",SUMIFS(DATA_GOC!$H:$H,DATA_GOC!$A:$A,"BOM",DATA_GOC!$D:$D,$B117,DATA_GOC!$F:$F,"Xuất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7" s="61" t="str">
        <f>IF($B117="","",IF(AC$4&gt;DAY(EOMONTH(DATE($D$2,$B$2,1),0)),"",SUMIFS(DATA_GOC!$H:$H,DATA_GOC!$A:$A,"BOM",DATA_GOC!$D:$D,$B117,DATA_GOC!$F:$F,"Xuất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7" s="222" t="str">
        <f>IF($B117="","",IF(AD$4&gt;DAY(EOMONTH(DATE($D$2,$B$2,1),0)),"",SUMIFS(DATA_GOC!$H:$H,DATA_GOC!$A:$A,"BOM",DATA_GOC!$D:$D,$B117,DATA_GOC!$F:$F,"Xuất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7" s="222" t="str">
        <f>IF($B117="","",IF(AE$4&gt;DAY(EOMONTH(DATE($D$2,$B$2,1),0)),"",SUMIFS(DATA_GOC!$H:$H,DATA_GOC!$A:$A,"BOM",DATA_GOC!$D:$D,$B117,DATA_GOC!$F:$F,"Xuất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7" s="222" t="str">
        <f>IF($B117="","",IF(AF$4&gt;DAY(EOMONTH(DATE($D$2,$B$2,1),0)),"",SUMIFS(DATA_GOC!$H:$H,DATA_GOC!$A:$A,"BOM",DATA_GOC!$D:$D,$B117,DATA_GOC!$F:$F,"Xuất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7" s="222" t="str">
        <f>IF($B117="","",IF(AG$4&gt;DAY(EOMONTH(DATE($D$2,$B$2,1),0)),"",SUMIFS(DATA_GOC!$H:$H,DATA_GOC!$A:$A,"BOM",DATA_GOC!$D:$D,$B117,DATA_GOC!$F:$F,"Xuất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7" s="222" t="str">
        <f t="shared" si="2"/>
        <v/>
      </c>
      <c r="AI117" s="222" t="str">
        <f>IF($B117="","",SUMIFS(DATA_GOC!$H:$H,DATA_GOC!$A:$A,"BOM",DATA_GOC!$D:$D,$B117,DATA_GOC!$F:$F,"Bơm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7" s="222" t="str">
        <f t="shared" si="3"/>
        <v/>
      </c>
      <c r="AM117" s="222" t="str">
        <f>IF($B117="","",SUMIFS(DATA_GOC!$K:$K,DATA_GOC!$A:$A,"BOM",DATA_GOC!$D:$D,$B117,DATA_GOC!$G:$G,"DO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7" s="222" t="str">
        <f t="shared" si="4"/>
        <v/>
      </c>
      <c r="AO117" s="227" t="str">
        <f t="shared" si="5"/>
        <v/>
      </c>
      <c r="AP117" s="226" t="str">
        <f>IF($B117="","",IFERROR(AO117-(SUMIFS(DATA_GOC!$H:$H,DATA_GOC!$A:$A,"BOM",DATA_GOC!$D:$D,$B117,DATA_GOC!$F:$F,"Xuất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7" s="59">
        <v>3.0</v>
      </c>
      <c r="AR117" s="59">
        <v>2026.0</v>
      </c>
      <c r="AS117" s="59" t="s">
        <v>92</v>
      </c>
      <c r="AT117" s="59">
        <v>287.933</v>
      </c>
      <c r="AU117" s="59">
        <v>0.0</v>
      </c>
      <c r="AV117" s="59">
        <v>287.933</v>
      </c>
      <c r="AW117" s="59">
        <v>1279.0</v>
      </c>
      <c r="AX117" s="59">
        <v>22.5123534010946</v>
      </c>
      <c r="AY117" s="59">
        <v>2.933</v>
      </c>
      <c r="AZ117" s="59">
        <v>285.0</v>
      </c>
      <c r="BA117" s="59">
        <v>2.933</v>
      </c>
      <c r="BB117" s="59">
        <v>0.0</v>
      </c>
      <c r="BC117" s="59" t="s">
        <v>472</v>
      </c>
    </row>
    <row r="118" ht="15.0" customHeight="1">
      <c r="A118" s="61" t="str">
        <f t="shared" si="1"/>
        <v/>
      </c>
      <c r="B118" s="228" t="str">
        <f t="array" ref="B118">IFERROR(INDEX(DANH_MUC!$E:$E,ROW()-1),"")</f>
        <v/>
      </c>
      <c r="C118" s="228" t="str">
        <f>IF($B118="","",IF(C$4&gt;DAY(EOMONTH(DATE($D$2,$B$2,1),0)),"",SUMIFS(DATA_GOC!$H:$H,DATA_GOC!$A:$A,"BOM",DATA_GOC!$D:$D,$B118,DATA_GOC!$F:$F,"Xuất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8" s="61" t="str">
        <f>IF($B118="","",IF(D$4&gt;DAY(EOMONTH(DATE($D$2,$B$2,1),0)),"",SUMIFS(DATA_GOC!$H:$H,DATA_GOC!$A:$A,"BOM",DATA_GOC!$D:$D,$B118,DATA_GOC!$F:$F,"Xuất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8" s="229" t="str">
        <f>IF($B118="","",IF(E$4&gt;DAY(EOMONTH(DATE($D$2,$B$2,1),0)),"",SUMIFS(DATA_GOC!$H:$H,DATA_GOC!$A:$A,"BOM",DATA_GOC!$D:$D,$B118,DATA_GOC!$F:$F,"Xuất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8" s="229" t="str">
        <f>IF($B118="","",IF(F$4&gt;DAY(EOMONTH(DATE($D$2,$B$2,1),0)),"",SUMIFS(DATA_GOC!$H:$H,DATA_GOC!$A:$A,"BOM",DATA_GOC!$D:$D,$B118,DATA_GOC!$F:$F,"Xuất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8" s="229" t="str">
        <f>IF($B118="","",IF(G$4&gt;DAY(EOMONTH(DATE($D$2,$B$2,1),0)),"",SUMIFS(DATA_GOC!$H:$H,DATA_GOC!$A:$A,"BOM",DATA_GOC!$D:$D,$B118,DATA_GOC!$F:$F,"Xuất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8" s="228" t="str">
        <f>IF($B118="","",IF(H$4&gt;DAY(EOMONTH(DATE($D$2,$B$2,1),0)),"",SUMIFS(DATA_GOC!$H:$H,DATA_GOC!$A:$A,"BOM",DATA_GOC!$D:$D,$B118,DATA_GOC!$F:$F,"Xuất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8" s="229" t="str">
        <f>IF($B118="","",IF(I$4&gt;DAY(EOMONTH(DATE($D$2,$B$2,1),0)),"",SUMIFS(DATA_GOC!$H:$H,DATA_GOC!$A:$A,"BOM",DATA_GOC!$D:$D,$B118,DATA_GOC!$F:$F,"Xuất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8" s="229" t="str">
        <f>IF($B118="","",IF(J$4&gt;DAY(EOMONTH(DATE($D$2,$B$2,1),0)),"",SUMIFS(DATA_GOC!$H:$H,DATA_GOC!$A:$A,"BOM",DATA_GOC!$D:$D,$B118,DATA_GOC!$F:$F,"Xuất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8" s="229" t="str">
        <f>IF($B118="","",IF(K$4&gt;DAY(EOMONTH(DATE($D$2,$B$2,1),0)),"",SUMIFS(DATA_GOC!$H:$H,DATA_GOC!$A:$A,"BOM",DATA_GOC!$D:$D,$B118,DATA_GOC!$F:$F,"Xuất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8" s="229" t="str">
        <f>IF($B118="","",IF(L$4&gt;DAY(EOMONTH(DATE($D$2,$B$2,1),0)),"",SUMIFS(DATA_GOC!$H:$H,DATA_GOC!$A:$A,"BOM",DATA_GOC!$D:$D,$B118,DATA_GOC!$F:$F,"Xuất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8" s="229" t="str">
        <f>IF($B118="","",IF(M$4&gt;DAY(EOMONTH(DATE($D$2,$B$2,1),0)),"",SUMIFS(DATA_GOC!$H:$H,DATA_GOC!$A:$A,"BOM",DATA_GOC!$D:$D,$B118,DATA_GOC!$F:$F,"Xuất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8" s="61" t="str">
        <f>IF($B118="","",IF(N$4&gt;DAY(EOMONTH(DATE($D$2,$B$2,1),0)),"",SUMIFS(DATA_GOC!$H:$H,DATA_GOC!$A:$A,"BOM",DATA_GOC!$D:$D,$B118,DATA_GOC!$F:$F,"Xuất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8" s="61" t="str">
        <f>IF($B118="","",IF(O$4&gt;DAY(EOMONTH(DATE($D$2,$B$2,1),0)),"",SUMIFS(DATA_GOC!$H:$H,DATA_GOC!$A:$A,"BOM",DATA_GOC!$D:$D,$B118,DATA_GOC!$F:$F,"Xuất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8" s="61" t="str">
        <f>IF($B118="","",IF(P$4&gt;DAY(EOMONTH(DATE($D$2,$B$2,1),0)),"",SUMIFS(DATA_GOC!$H:$H,DATA_GOC!$A:$A,"BOM",DATA_GOC!$D:$D,$B118,DATA_GOC!$F:$F,"Xuất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8" s="61" t="str">
        <f>IF($B118="","",IF(Q$4&gt;DAY(EOMONTH(DATE($D$2,$B$2,1),0)),"",SUMIFS(DATA_GOC!$H:$H,DATA_GOC!$A:$A,"BOM",DATA_GOC!$D:$D,$B118,DATA_GOC!$F:$F,"Xuất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8" s="61" t="str">
        <f>IF($B118="","",IF(R$4&gt;DAY(EOMONTH(DATE($D$2,$B$2,1),0)),"",SUMIFS(DATA_GOC!$H:$H,DATA_GOC!$A:$A,"BOM",DATA_GOC!$D:$D,$B118,DATA_GOC!$F:$F,"Xuất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8" s="61" t="str">
        <f>IF($B118="","",IF(S$4&gt;DAY(EOMONTH(DATE($D$2,$B$2,1),0)),"",SUMIFS(DATA_GOC!$H:$H,DATA_GOC!$A:$A,"BOM",DATA_GOC!$D:$D,$B118,DATA_GOC!$F:$F,"Xuất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8" s="229" t="str">
        <f>IF($B118="","",IF(T$4&gt;DAY(EOMONTH(DATE($D$2,$B$2,1),0)),"",SUMIFS(DATA_GOC!$H:$H,DATA_GOC!$A:$A,"BOM",DATA_GOC!$D:$D,$B118,DATA_GOC!$F:$F,"Xuất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8" s="229" t="str">
        <f>IF($B118="","",IF(U$4&gt;DAY(EOMONTH(DATE($D$2,$B$2,1),0)),"",SUMIFS(DATA_GOC!$H:$H,DATA_GOC!$A:$A,"BOM",DATA_GOC!$D:$D,$B118,DATA_GOC!$F:$F,"Xuất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8" s="229" t="str">
        <f>IF($B118="","",IF(V$4&gt;DAY(EOMONTH(DATE($D$2,$B$2,1),0)),"",SUMIFS(DATA_GOC!$H:$H,DATA_GOC!$A:$A,"BOM",DATA_GOC!$D:$D,$B118,DATA_GOC!$F:$F,"Xuất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8" s="61" t="str">
        <f>IF($B118="","",IF(W$4&gt;DAY(EOMONTH(DATE($D$2,$B$2,1),0)),"",SUMIFS(DATA_GOC!$H:$H,DATA_GOC!$A:$A,"BOM",DATA_GOC!$D:$D,$B118,DATA_GOC!$F:$F,"Xuất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8" s="229" t="str">
        <f>IF($B118="","",IF(X$4&gt;DAY(EOMONTH(DATE($D$2,$B$2,1),0)),"",SUMIFS(DATA_GOC!$H:$H,DATA_GOC!$A:$A,"BOM",DATA_GOC!$D:$D,$B118,DATA_GOC!$F:$F,"Xuất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8" s="229" t="str">
        <f>IF($B118="","",IF(Y$4&gt;DAY(EOMONTH(DATE($D$2,$B$2,1),0)),"",SUMIFS(DATA_GOC!$H:$H,DATA_GOC!$A:$A,"BOM",DATA_GOC!$D:$D,$B118,DATA_GOC!$F:$F,"Xuất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8" s="229" t="str">
        <f>IF($B118="","",IF(Z$4&gt;DAY(EOMONTH(DATE($D$2,$B$2,1),0)),"",SUMIFS(DATA_GOC!$H:$H,DATA_GOC!$A:$A,"BOM",DATA_GOC!$D:$D,$B118,DATA_GOC!$F:$F,"Xuất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8" s="229" t="str">
        <f>IF($B118="","",IF(AA$4&gt;DAY(EOMONTH(DATE($D$2,$B$2,1),0)),"",SUMIFS(DATA_GOC!$H:$H,DATA_GOC!$A:$A,"BOM",DATA_GOC!$D:$D,$B118,DATA_GOC!$F:$F,"Xuất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8" s="229" t="str">
        <f>IF($B118="","",IF(AB$4&gt;DAY(EOMONTH(DATE($D$2,$B$2,1),0)),"",SUMIFS(DATA_GOC!$H:$H,DATA_GOC!$A:$A,"BOM",DATA_GOC!$D:$D,$B118,DATA_GOC!$F:$F,"Xuất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8" s="61" t="str">
        <f>IF($B118="","",IF(AC$4&gt;DAY(EOMONTH(DATE($D$2,$B$2,1),0)),"",SUMIFS(DATA_GOC!$H:$H,DATA_GOC!$A:$A,"BOM",DATA_GOC!$D:$D,$B118,DATA_GOC!$F:$F,"Xuất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8" s="222" t="str">
        <f>IF($B118="","",IF(AD$4&gt;DAY(EOMONTH(DATE($D$2,$B$2,1),0)),"",SUMIFS(DATA_GOC!$H:$H,DATA_GOC!$A:$A,"BOM",DATA_GOC!$D:$D,$B118,DATA_GOC!$F:$F,"Xuất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8" s="222" t="str">
        <f>IF($B118="","",IF(AE$4&gt;DAY(EOMONTH(DATE($D$2,$B$2,1),0)),"",SUMIFS(DATA_GOC!$H:$H,DATA_GOC!$A:$A,"BOM",DATA_GOC!$D:$D,$B118,DATA_GOC!$F:$F,"Xuất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8" s="222" t="str">
        <f>IF($B118="","",IF(AF$4&gt;DAY(EOMONTH(DATE($D$2,$B$2,1),0)),"",SUMIFS(DATA_GOC!$H:$H,DATA_GOC!$A:$A,"BOM",DATA_GOC!$D:$D,$B118,DATA_GOC!$F:$F,"Xuất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8" s="222" t="str">
        <f>IF($B118="","",IF(AG$4&gt;DAY(EOMONTH(DATE($D$2,$B$2,1),0)),"",SUMIFS(DATA_GOC!$H:$H,DATA_GOC!$A:$A,"BOM",DATA_GOC!$D:$D,$B118,DATA_GOC!$F:$F,"Xuất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8" s="222" t="str">
        <f t="shared" si="2"/>
        <v/>
      </c>
      <c r="AI118" s="222" t="str">
        <f>IF($B118="","",SUMIFS(DATA_GOC!$H:$H,DATA_GOC!$A:$A,"BOM",DATA_GOC!$D:$D,$B118,DATA_GOC!$F:$F,"Bơm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8" s="222" t="str">
        <f t="shared" si="3"/>
        <v/>
      </c>
      <c r="AM118" s="222" t="str">
        <f>IF($B118="","",SUMIFS(DATA_GOC!$K:$K,DATA_GOC!$A:$A,"BOM",DATA_GOC!$D:$D,$B118,DATA_GOC!$G:$G,"DO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8" s="222" t="str">
        <f t="shared" si="4"/>
        <v/>
      </c>
      <c r="AO118" s="227" t="str">
        <f t="shared" si="5"/>
        <v/>
      </c>
      <c r="AP118" s="226" t="str">
        <f>IF($B118="","",IFERROR(AO118-(SUMIFS(DATA_GOC!$H:$H,DATA_GOC!$A:$A,"BOM",DATA_GOC!$D:$D,$B118,DATA_GOC!$F:$F,"Xuất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8" s="59">
        <v>3.0</v>
      </c>
      <c r="AR118" s="59">
        <v>2026.0</v>
      </c>
      <c r="AS118" s="59" t="s">
        <v>145</v>
      </c>
      <c r="AT118" s="59">
        <v>761.142</v>
      </c>
      <c r="AU118" s="59">
        <v>0.0</v>
      </c>
      <c r="AV118" s="59">
        <v>761.142</v>
      </c>
      <c r="AW118" s="59">
        <v>1636.0</v>
      </c>
      <c r="AX118" s="59">
        <v>46.5245721271394</v>
      </c>
      <c r="AY118" s="59">
        <v>231.903</v>
      </c>
      <c r="AZ118" s="59">
        <v>529.239</v>
      </c>
      <c r="BA118" s="59">
        <v>11.903</v>
      </c>
      <c r="BB118" s="59">
        <v>0.0</v>
      </c>
      <c r="BC118" s="59" t="s">
        <v>473</v>
      </c>
    </row>
    <row r="119" ht="15.0" customHeight="1">
      <c r="A119" s="61" t="str">
        <f t="shared" si="1"/>
        <v/>
      </c>
      <c r="B119" s="228" t="str">
        <f t="array" ref="B119">IFERROR(INDEX(DANH_MUC!$E:$E,ROW()-1),"")</f>
        <v/>
      </c>
      <c r="C119" s="228" t="str">
        <f>IF($B119="","",IF(C$4&gt;DAY(EOMONTH(DATE($D$2,$B$2,1),0)),"",SUMIFS(DATA_GOC!$H:$H,DATA_GOC!$A:$A,"BOM",DATA_GOC!$D:$D,$B119,DATA_GOC!$F:$F,"Xuất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19" s="61" t="str">
        <f>IF($B119="","",IF(D$4&gt;DAY(EOMONTH(DATE($D$2,$B$2,1),0)),"",SUMIFS(DATA_GOC!$H:$H,DATA_GOC!$A:$A,"BOM",DATA_GOC!$D:$D,$B119,DATA_GOC!$F:$F,"Xuất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19" s="229" t="str">
        <f>IF($B119="","",IF(E$4&gt;DAY(EOMONTH(DATE($D$2,$B$2,1),0)),"",SUMIFS(DATA_GOC!$H:$H,DATA_GOC!$A:$A,"BOM",DATA_GOC!$D:$D,$B119,DATA_GOC!$F:$F,"Xuất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19" s="229" t="str">
        <f>IF($B119="","",IF(F$4&gt;DAY(EOMONTH(DATE($D$2,$B$2,1),0)),"",SUMIFS(DATA_GOC!$H:$H,DATA_GOC!$A:$A,"BOM",DATA_GOC!$D:$D,$B119,DATA_GOC!$F:$F,"Xuất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19" s="229" t="str">
        <f>IF($B119="","",IF(G$4&gt;DAY(EOMONTH(DATE($D$2,$B$2,1),0)),"",SUMIFS(DATA_GOC!$H:$H,DATA_GOC!$A:$A,"BOM",DATA_GOC!$D:$D,$B119,DATA_GOC!$F:$F,"Xuất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19" s="228" t="str">
        <f>IF($B119="","",IF(H$4&gt;DAY(EOMONTH(DATE($D$2,$B$2,1),0)),"",SUMIFS(DATA_GOC!$H:$H,DATA_GOC!$A:$A,"BOM",DATA_GOC!$D:$D,$B119,DATA_GOC!$F:$F,"Xuất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19" s="229" t="str">
        <f>IF($B119="","",IF(I$4&gt;DAY(EOMONTH(DATE($D$2,$B$2,1),0)),"",SUMIFS(DATA_GOC!$H:$H,DATA_GOC!$A:$A,"BOM",DATA_GOC!$D:$D,$B119,DATA_GOC!$F:$F,"Xuất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19" s="229" t="str">
        <f>IF($B119="","",IF(J$4&gt;DAY(EOMONTH(DATE($D$2,$B$2,1),0)),"",SUMIFS(DATA_GOC!$H:$H,DATA_GOC!$A:$A,"BOM",DATA_GOC!$D:$D,$B119,DATA_GOC!$F:$F,"Xuất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19" s="229" t="str">
        <f>IF($B119="","",IF(K$4&gt;DAY(EOMONTH(DATE($D$2,$B$2,1),0)),"",SUMIFS(DATA_GOC!$H:$H,DATA_GOC!$A:$A,"BOM",DATA_GOC!$D:$D,$B119,DATA_GOC!$F:$F,"Xuất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19" s="229" t="str">
        <f>IF($B119="","",IF(L$4&gt;DAY(EOMONTH(DATE($D$2,$B$2,1),0)),"",SUMIFS(DATA_GOC!$H:$H,DATA_GOC!$A:$A,"BOM",DATA_GOC!$D:$D,$B119,DATA_GOC!$F:$F,"Xuất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19" s="229" t="str">
        <f>IF($B119="","",IF(M$4&gt;DAY(EOMONTH(DATE($D$2,$B$2,1),0)),"",SUMIFS(DATA_GOC!$H:$H,DATA_GOC!$A:$A,"BOM",DATA_GOC!$D:$D,$B119,DATA_GOC!$F:$F,"Xuất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19" s="61" t="str">
        <f>IF($B119="","",IF(N$4&gt;DAY(EOMONTH(DATE($D$2,$B$2,1),0)),"",SUMIFS(DATA_GOC!$H:$H,DATA_GOC!$A:$A,"BOM",DATA_GOC!$D:$D,$B119,DATA_GOC!$F:$F,"Xuất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19" s="61" t="str">
        <f>IF($B119="","",IF(O$4&gt;DAY(EOMONTH(DATE($D$2,$B$2,1),0)),"",SUMIFS(DATA_GOC!$H:$H,DATA_GOC!$A:$A,"BOM",DATA_GOC!$D:$D,$B119,DATA_GOC!$F:$F,"Xuất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19" s="61" t="str">
        <f>IF($B119="","",IF(P$4&gt;DAY(EOMONTH(DATE($D$2,$B$2,1),0)),"",SUMIFS(DATA_GOC!$H:$H,DATA_GOC!$A:$A,"BOM",DATA_GOC!$D:$D,$B119,DATA_GOC!$F:$F,"Xuất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19" s="61" t="str">
        <f>IF($B119="","",IF(Q$4&gt;DAY(EOMONTH(DATE($D$2,$B$2,1),0)),"",SUMIFS(DATA_GOC!$H:$H,DATA_GOC!$A:$A,"BOM",DATA_GOC!$D:$D,$B119,DATA_GOC!$F:$F,"Xuất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19" s="61" t="str">
        <f>IF($B119="","",IF(R$4&gt;DAY(EOMONTH(DATE($D$2,$B$2,1),0)),"",SUMIFS(DATA_GOC!$H:$H,DATA_GOC!$A:$A,"BOM",DATA_GOC!$D:$D,$B119,DATA_GOC!$F:$F,"Xuất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19" s="61" t="str">
        <f>IF($B119="","",IF(S$4&gt;DAY(EOMONTH(DATE($D$2,$B$2,1),0)),"",SUMIFS(DATA_GOC!$H:$H,DATA_GOC!$A:$A,"BOM",DATA_GOC!$D:$D,$B119,DATA_GOC!$F:$F,"Xuất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19" s="229" t="str">
        <f>IF($B119="","",IF(T$4&gt;DAY(EOMONTH(DATE($D$2,$B$2,1),0)),"",SUMIFS(DATA_GOC!$H:$H,DATA_GOC!$A:$A,"BOM",DATA_GOC!$D:$D,$B119,DATA_GOC!$F:$F,"Xuất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19" s="229" t="str">
        <f>IF($B119="","",IF(U$4&gt;DAY(EOMONTH(DATE($D$2,$B$2,1),0)),"",SUMIFS(DATA_GOC!$H:$H,DATA_GOC!$A:$A,"BOM",DATA_GOC!$D:$D,$B119,DATA_GOC!$F:$F,"Xuất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19" s="229" t="str">
        <f>IF($B119="","",IF(V$4&gt;DAY(EOMONTH(DATE($D$2,$B$2,1),0)),"",SUMIFS(DATA_GOC!$H:$H,DATA_GOC!$A:$A,"BOM",DATA_GOC!$D:$D,$B119,DATA_GOC!$F:$F,"Xuất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19" s="61" t="str">
        <f>IF($B119="","",IF(W$4&gt;DAY(EOMONTH(DATE($D$2,$B$2,1),0)),"",SUMIFS(DATA_GOC!$H:$H,DATA_GOC!$A:$A,"BOM",DATA_GOC!$D:$D,$B119,DATA_GOC!$F:$F,"Xuất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19" s="229" t="str">
        <f>IF($B119="","",IF(X$4&gt;DAY(EOMONTH(DATE($D$2,$B$2,1),0)),"",SUMIFS(DATA_GOC!$H:$H,DATA_GOC!$A:$A,"BOM",DATA_GOC!$D:$D,$B119,DATA_GOC!$F:$F,"Xuất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19" s="229" t="str">
        <f>IF($B119="","",IF(Y$4&gt;DAY(EOMONTH(DATE($D$2,$B$2,1),0)),"",SUMIFS(DATA_GOC!$H:$H,DATA_GOC!$A:$A,"BOM",DATA_GOC!$D:$D,$B119,DATA_GOC!$F:$F,"Xuất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19" s="229" t="str">
        <f>IF($B119="","",IF(Z$4&gt;DAY(EOMONTH(DATE($D$2,$B$2,1),0)),"",SUMIFS(DATA_GOC!$H:$H,DATA_GOC!$A:$A,"BOM",DATA_GOC!$D:$D,$B119,DATA_GOC!$F:$F,"Xuất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19" s="229" t="str">
        <f>IF($B119="","",IF(AA$4&gt;DAY(EOMONTH(DATE($D$2,$B$2,1),0)),"",SUMIFS(DATA_GOC!$H:$H,DATA_GOC!$A:$A,"BOM",DATA_GOC!$D:$D,$B119,DATA_GOC!$F:$F,"Xuất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19" s="229" t="str">
        <f>IF($B119="","",IF(AB$4&gt;DAY(EOMONTH(DATE($D$2,$B$2,1),0)),"",SUMIFS(DATA_GOC!$H:$H,DATA_GOC!$A:$A,"BOM",DATA_GOC!$D:$D,$B119,DATA_GOC!$F:$F,"Xuất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19" s="61" t="str">
        <f>IF($B119="","",IF(AC$4&gt;DAY(EOMONTH(DATE($D$2,$B$2,1),0)),"",SUMIFS(DATA_GOC!$H:$H,DATA_GOC!$A:$A,"BOM",DATA_GOC!$D:$D,$B119,DATA_GOC!$F:$F,"Xuất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19" s="222" t="str">
        <f>IF($B119="","",IF(AD$4&gt;DAY(EOMONTH(DATE($D$2,$B$2,1),0)),"",SUMIFS(DATA_GOC!$H:$H,DATA_GOC!$A:$A,"BOM",DATA_GOC!$D:$D,$B119,DATA_GOC!$F:$F,"Xuất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19" s="222" t="str">
        <f>IF($B119="","",IF(AE$4&gt;DAY(EOMONTH(DATE($D$2,$B$2,1),0)),"",SUMIFS(DATA_GOC!$H:$H,DATA_GOC!$A:$A,"BOM",DATA_GOC!$D:$D,$B119,DATA_GOC!$F:$F,"Xuất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19" s="222" t="str">
        <f>IF($B119="","",IF(AF$4&gt;DAY(EOMONTH(DATE($D$2,$B$2,1),0)),"",SUMIFS(DATA_GOC!$H:$H,DATA_GOC!$A:$A,"BOM",DATA_GOC!$D:$D,$B119,DATA_GOC!$F:$F,"Xuất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19" s="222" t="str">
        <f>IF($B119="","",IF(AG$4&gt;DAY(EOMONTH(DATE($D$2,$B$2,1),0)),"",SUMIFS(DATA_GOC!$H:$H,DATA_GOC!$A:$A,"BOM",DATA_GOC!$D:$D,$B119,DATA_GOC!$F:$F,"Xuất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19" s="222" t="str">
        <f t="shared" si="2"/>
        <v/>
      </c>
      <c r="AI119" s="222" t="str">
        <f>IF($B119="","",SUMIFS(DATA_GOC!$H:$H,DATA_GOC!$A:$A,"BOM",DATA_GOC!$D:$D,$B119,DATA_GOC!$F:$F,"Bơm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19" s="222" t="str">
        <f t="shared" si="3"/>
        <v/>
      </c>
      <c r="AM119" s="222" t="str">
        <f>IF($B119="","",SUMIFS(DATA_GOC!$K:$K,DATA_GOC!$A:$A,"BOM",DATA_GOC!$D:$D,$B119,DATA_GOC!$G:$G,"DO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19" s="222" t="str">
        <f t="shared" si="4"/>
        <v/>
      </c>
      <c r="AO119" s="227" t="str">
        <f t="shared" si="5"/>
        <v/>
      </c>
      <c r="AP119" s="226" t="str">
        <f>IF($B119="","",IFERROR(AO119-(SUMIFS(DATA_GOC!$H:$H,DATA_GOC!$A:$A,"BOM",DATA_GOC!$D:$D,$B119,DATA_GOC!$F:$F,"Xuất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số",DATA_GOC!$B:$B,"&gt;="&amp;EDATE(DATE($D$2,$B$2,1),-1),DATA_GOC!$B:$B,"&lt;"&amp;DATE($D$2,$B$2,1))/SUMIFS(DATA_GOC!$K:$K,DATA_GOC!$A:$A,"BOM",DATA_GOC!$D:$D,$B119,DATA_GOC!$G:$G,"DO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19" s="59">
        <v>3.0</v>
      </c>
      <c r="AR119" s="59">
        <v>2026.0</v>
      </c>
      <c r="AS119" s="59" t="s">
        <v>87</v>
      </c>
      <c r="AT119" s="59">
        <v>1079.229</v>
      </c>
      <c r="AU119" s="59">
        <v>0.0</v>
      </c>
      <c r="AV119" s="59">
        <v>1079.229</v>
      </c>
      <c r="AW119" s="59">
        <v>2213.0</v>
      </c>
      <c r="AX119" s="59">
        <v>48.7676909173068</v>
      </c>
      <c r="AY119" s="59">
        <v>211.765</v>
      </c>
      <c r="AZ119" s="59">
        <v>867.464</v>
      </c>
      <c r="BA119" s="59">
        <v>11.765</v>
      </c>
      <c r="BB119" s="59">
        <v>0.0</v>
      </c>
      <c r="BC119" s="59" t="s">
        <v>474</v>
      </c>
    </row>
    <row r="120" ht="15.0" customHeight="1">
      <c r="A120" s="61" t="str">
        <f t="shared" si="1"/>
        <v/>
      </c>
      <c r="B120" s="228" t="str">
        <f t="array" ref="B120">IFERROR(INDEX(DANH_MUC!$E:$E,ROW()-1),"")</f>
        <v/>
      </c>
      <c r="C120" s="228" t="str">
        <f>IF($B120="","",IF(C$4&gt;DAY(EOMONTH(DATE($D$2,$B$2,1),0)),"",SUMIFS(DATA_GOC!$H:$H,DATA_GOC!$A:$A,"BOM",DATA_GOC!$D:$D,$B120,DATA_GOC!$F:$F,"Xuất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0" s="61" t="str">
        <f>IF($B120="","",IF(D$4&gt;DAY(EOMONTH(DATE($D$2,$B$2,1),0)),"",SUMIFS(DATA_GOC!$H:$H,DATA_GOC!$A:$A,"BOM",DATA_GOC!$D:$D,$B120,DATA_GOC!$F:$F,"Xuất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0" s="229" t="str">
        <f>IF($B120="","",IF(E$4&gt;DAY(EOMONTH(DATE($D$2,$B$2,1),0)),"",SUMIFS(DATA_GOC!$H:$H,DATA_GOC!$A:$A,"BOM",DATA_GOC!$D:$D,$B120,DATA_GOC!$F:$F,"Xuất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0" s="229" t="str">
        <f>IF($B120="","",IF(F$4&gt;DAY(EOMONTH(DATE($D$2,$B$2,1),0)),"",SUMIFS(DATA_GOC!$H:$H,DATA_GOC!$A:$A,"BOM",DATA_GOC!$D:$D,$B120,DATA_GOC!$F:$F,"Xuất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0" s="229" t="str">
        <f>IF($B120="","",IF(G$4&gt;DAY(EOMONTH(DATE($D$2,$B$2,1),0)),"",SUMIFS(DATA_GOC!$H:$H,DATA_GOC!$A:$A,"BOM",DATA_GOC!$D:$D,$B120,DATA_GOC!$F:$F,"Xuất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0" s="228" t="str">
        <f>IF($B120="","",IF(H$4&gt;DAY(EOMONTH(DATE($D$2,$B$2,1),0)),"",SUMIFS(DATA_GOC!$H:$H,DATA_GOC!$A:$A,"BOM",DATA_GOC!$D:$D,$B120,DATA_GOC!$F:$F,"Xuất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0" s="229" t="str">
        <f>IF($B120="","",IF(I$4&gt;DAY(EOMONTH(DATE($D$2,$B$2,1),0)),"",SUMIFS(DATA_GOC!$H:$H,DATA_GOC!$A:$A,"BOM",DATA_GOC!$D:$D,$B120,DATA_GOC!$F:$F,"Xuất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0" s="229" t="str">
        <f>IF($B120="","",IF(J$4&gt;DAY(EOMONTH(DATE($D$2,$B$2,1),0)),"",SUMIFS(DATA_GOC!$H:$H,DATA_GOC!$A:$A,"BOM",DATA_GOC!$D:$D,$B120,DATA_GOC!$F:$F,"Xuất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0" s="229" t="str">
        <f>IF($B120="","",IF(K$4&gt;DAY(EOMONTH(DATE($D$2,$B$2,1),0)),"",SUMIFS(DATA_GOC!$H:$H,DATA_GOC!$A:$A,"BOM",DATA_GOC!$D:$D,$B120,DATA_GOC!$F:$F,"Xuất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0" s="229" t="str">
        <f>IF($B120="","",IF(L$4&gt;DAY(EOMONTH(DATE($D$2,$B$2,1),0)),"",SUMIFS(DATA_GOC!$H:$H,DATA_GOC!$A:$A,"BOM",DATA_GOC!$D:$D,$B120,DATA_GOC!$F:$F,"Xuất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0" s="229" t="str">
        <f>IF($B120="","",IF(M$4&gt;DAY(EOMONTH(DATE($D$2,$B$2,1),0)),"",SUMIFS(DATA_GOC!$H:$H,DATA_GOC!$A:$A,"BOM",DATA_GOC!$D:$D,$B120,DATA_GOC!$F:$F,"Xuất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0" s="61" t="str">
        <f>IF($B120="","",IF(N$4&gt;DAY(EOMONTH(DATE($D$2,$B$2,1),0)),"",SUMIFS(DATA_GOC!$H:$H,DATA_GOC!$A:$A,"BOM",DATA_GOC!$D:$D,$B120,DATA_GOC!$F:$F,"Xuất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0" s="61" t="str">
        <f>IF($B120="","",IF(O$4&gt;DAY(EOMONTH(DATE($D$2,$B$2,1),0)),"",SUMIFS(DATA_GOC!$H:$H,DATA_GOC!$A:$A,"BOM",DATA_GOC!$D:$D,$B120,DATA_GOC!$F:$F,"Xuất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0" s="61" t="str">
        <f>IF($B120="","",IF(P$4&gt;DAY(EOMONTH(DATE($D$2,$B$2,1),0)),"",SUMIFS(DATA_GOC!$H:$H,DATA_GOC!$A:$A,"BOM",DATA_GOC!$D:$D,$B120,DATA_GOC!$F:$F,"Xuất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0" s="61" t="str">
        <f>IF($B120="","",IF(Q$4&gt;DAY(EOMONTH(DATE($D$2,$B$2,1),0)),"",SUMIFS(DATA_GOC!$H:$H,DATA_GOC!$A:$A,"BOM",DATA_GOC!$D:$D,$B120,DATA_GOC!$F:$F,"Xuất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0" s="61" t="str">
        <f>IF($B120="","",IF(R$4&gt;DAY(EOMONTH(DATE($D$2,$B$2,1),0)),"",SUMIFS(DATA_GOC!$H:$H,DATA_GOC!$A:$A,"BOM",DATA_GOC!$D:$D,$B120,DATA_GOC!$F:$F,"Xuất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0" s="61" t="str">
        <f>IF($B120="","",IF(S$4&gt;DAY(EOMONTH(DATE($D$2,$B$2,1),0)),"",SUMIFS(DATA_GOC!$H:$H,DATA_GOC!$A:$A,"BOM",DATA_GOC!$D:$D,$B120,DATA_GOC!$F:$F,"Xuất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0" s="229" t="str">
        <f>IF($B120="","",IF(T$4&gt;DAY(EOMONTH(DATE($D$2,$B$2,1),0)),"",SUMIFS(DATA_GOC!$H:$H,DATA_GOC!$A:$A,"BOM",DATA_GOC!$D:$D,$B120,DATA_GOC!$F:$F,"Xuất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0" s="229" t="str">
        <f>IF($B120="","",IF(U$4&gt;DAY(EOMONTH(DATE($D$2,$B$2,1),0)),"",SUMIFS(DATA_GOC!$H:$H,DATA_GOC!$A:$A,"BOM",DATA_GOC!$D:$D,$B120,DATA_GOC!$F:$F,"Xuất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0" s="229" t="str">
        <f>IF($B120="","",IF(V$4&gt;DAY(EOMONTH(DATE($D$2,$B$2,1),0)),"",SUMIFS(DATA_GOC!$H:$H,DATA_GOC!$A:$A,"BOM",DATA_GOC!$D:$D,$B120,DATA_GOC!$F:$F,"Xuất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0" s="61" t="str">
        <f>IF($B120="","",IF(W$4&gt;DAY(EOMONTH(DATE($D$2,$B$2,1),0)),"",SUMIFS(DATA_GOC!$H:$H,DATA_GOC!$A:$A,"BOM",DATA_GOC!$D:$D,$B120,DATA_GOC!$F:$F,"Xuất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0" s="229" t="str">
        <f>IF($B120="","",IF(X$4&gt;DAY(EOMONTH(DATE($D$2,$B$2,1),0)),"",SUMIFS(DATA_GOC!$H:$H,DATA_GOC!$A:$A,"BOM",DATA_GOC!$D:$D,$B120,DATA_GOC!$F:$F,"Xuất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0" s="229" t="str">
        <f>IF($B120="","",IF(Y$4&gt;DAY(EOMONTH(DATE($D$2,$B$2,1),0)),"",SUMIFS(DATA_GOC!$H:$H,DATA_GOC!$A:$A,"BOM",DATA_GOC!$D:$D,$B120,DATA_GOC!$F:$F,"Xuất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0" s="229" t="str">
        <f>IF($B120="","",IF(Z$4&gt;DAY(EOMONTH(DATE($D$2,$B$2,1),0)),"",SUMIFS(DATA_GOC!$H:$H,DATA_GOC!$A:$A,"BOM",DATA_GOC!$D:$D,$B120,DATA_GOC!$F:$F,"Xuất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0" s="229" t="str">
        <f>IF($B120="","",IF(AA$4&gt;DAY(EOMONTH(DATE($D$2,$B$2,1),0)),"",SUMIFS(DATA_GOC!$H:$H,DATA_GOC!$A:$A,"BOM",DATA_GOC!$D:$D,$B120,DATA_GOC!$F:$F,"Xuất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0" s="229" t="str">
        <f>IF($B120="","",IF(AB$4&gt;DAY(EOMONTH(DATE($D$2,$B$2,1),0)),"",SUMIFS(DATA_GOC!$H:$H,DATA_GOC!$A:$A,"BOM",DATA_GOC!$D:$D,$B120,DATA_GOC!$F:$F,"Xuất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0" s="61" t="str">
        <f>IF($B120="","",IF(AC$4&gt;DAY(EOMONTH(DATE($D$2,$B$2,1),0)),"",SUMIFS(DATA_GOC!$H:$H,DATA_GOC!$A:$A,"BOM",DATA_GOC!$D:$D,$B120,DATA_GOC!$F:$F,"Xuất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0" s="222" t="str">
        <f>IF($B120="","",IF(AD$4&gt;DAY(EOMONTH(DATE($D$2,$B$2,1),0)),"",SUMIFS(DATA_GOC!$H:$H,DATA_GOC!$A:$A,"BOM",DATA_GOC!$D:$D,$B120,DATA_GOC!$F:$F,"Xuất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0" s="222" t="str">
        <f>IF($B120="","",IF(AE$4&gt;DAY(EOMONTH(DATE($D$2,$B$2,1),0)),"",SUMIFS(DATA_GOC!$H:$H,DATA_GOC!$A:$A,"BOM",DATA_GOC!$D:$D,$B120,DATA_GOC!$F:$F,"Xuất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0" s="222" t="str">
        <f>IF($B120="","",IF(AF$4&gt;DAY(EOMONTH(DATE($D$2,$B$2,1),0)),"",SUMIFS(DATA_GOC!$H:$H,DATA_GOC!$A:$A,"BOM",DATA_GOC!$D:$D,$B120,DATA_GOC!$F:$F,"Xuất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0" s="222" t="str">
        <f>IF($B120="","",IF(AG$4&gt;DAY(EOMONTH(DATE($D$2,$B$2,1),0)),"",SUMIFS(DATA_GOC!$H:$H,DATA_GOC!$A:$A,"BOM",DATA_GOC!$D:$D,$B120,DATA_GOC!$F:$F,"Xuất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0" s="222" t="str">
        <f t="shared" si="2"/>
        <v/>
      </c>
      <c r="AI120" s="222" t="str">
        <f>IF($B120="","",SUMIFS(DATA_GOC!$H:$H,DATA_GOC!$A:$A,"BOM",DATA_GOC!$D:$D,$B120,DATA_GOC!$F:$F,"Bơm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0" s="222" t="str">
        <f t="shared" si="3"/>
        <v/>
      </c>
      <c r="AM120" s="222" t="str">
        <f>IF($B120="","",SUMIFS(DATA_GOC!$K:$K,DATA_GOC!$A:$A,"BOM",DATA_GOC!$D:$D,$B120,DATA_GOC!$G:$G,"DO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0" s="222" t="str">
        <f t="shared" si="4"/>
        <v/>
      </c>
      <c r="AO120" s="227" t="str">
        <f t="shared" si="5"/>
        <v/>
      </c>
      <c r="AP120" s="226" t="str">
        <f>IF($B120="","",IFERROR(AO120-(SUMIFS(DATA_GOC!$H:$H,DATA_GOC!$A:$A,"BOM",DATA_GOC!$D:$D,$B120,DATA_GOC!$F:$F,"Xuất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0" s="59">
        <v>3.0</v>
      </c>
      <c r="AR120" s="59">
        <v>2026.0</v>
      </c>
      <c r="AS120" s="59" t="s">
        <v>102</v>
      </c>
      <c r="AT120" s="59">
        <v>1262.616</v>
      </c>
      <c r="AU120" s="59">
        <v>0.0</v>
      </c>
      <c r="AV120" s="59">
        <v>1262.616</v>
      </c>
      <c r="AW120" s="59">
        <v>2773.0</v>
      </c>
      <c r="AX120" s="59">
        <v>45.532491886044</v>
      </c>
      <c r="AY120" s="59">
        <v>471.051</v>
      </c>
      <c r="AZ120" s="59">
        <v>791.565</v>
      </c>
      <c r="BA120" s="59">
        <v>21.051</v>
      </c>
      <c r="BB120" s="59">
        <v>0.0</v>
      </c>
      <c r="BC120" s="59" t="s">
        <v>475</v>
      </c>
    </row>
    <row r="121" ht="15.0" customHeight="1">
      <c r="A121" s="61" t="str">
        <f t="shared" si="1"/>
        <v/>
      </c>
      <c r="B121" s="228" t="str">
        <f t="array" ref="B121">IFERROR(INDEX(DANH_MUC!$E:$E,ROW()-1),"")</f>
        <v/>
      </c>
      <c r="C121" s="228" t="str">
        <f>IF($B121="","",IF(C$4&gt;DAY(EOMONTH(DATE($D$2,$B$2,1),0)),"",SUMIFS(DATA_GOC!$H:$H,DATA_GOC!$A:$A,"BOM",DATA_GOC!$D:$D,$B121,DATA_GOC!$F:$F,"Xuất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1" s="61" t="str">
        <f>IF($B121="","",IF(D$4&gt;DAY(EOMONTH(DATE($D$2,$B$2,1),0)),"",SUMIFS(DATA_GOC!$H:$H,DATA_GOC!$A:$A,"BOM",DATA_GOC!$D:$D,$B121,DATA_GOC!$F:$F,"Xuất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1" s="229" t="str">
        <f>IF($B121="","",IF(E$4&gt;DAY(EOMONTH(DATE($D$2,$B$2,1),0)),"",SUMIFS(DATA_GOC!$H:$H,DATA_GOC!$A:$A,"BOM",DATA_GOC!$D:$D,$B121,DATA_GOC!$F:$F,"Xuất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1" s="229" t="str">
        <f>IF($B121="","",IF(F$4&gt;DAY(EOMONTH(DATE($D$2,$B$2,1),0)),"",SUMIFS(DATA_GOC!$H:$H,DATA_GOC!$A:$A,"BOM",DATA_GOC!$D:$D,$B121,DATA_GOC!$F:$F,"Xuất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1" s="229" t="str">
        <f>IF($B121="","",IF(G$4&gt;DAY(EOMONTH(DATE($D$2,$B$2,1),0)),"",SUMIFS(DATA_GOC!$H:$H,DATA_GOC!$A:$A,"BOM",DATA_GOC!$D:$D,$B121,DATA_GOC!$F:$F,"Xuất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1" s="228" t="str">
        <f>IF($B121="","",IF(H$4&gt;DAY(EOMONTH(DATE($D$2,$B$2,1),0)),"",SUMIFS(DATA_GOC!$H:$H,DATA_GOC!$A:$A,"BOM",DATA_GOC!$D:$D,$B121,DATA_GOC!$F:$F,"Xuất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1" s="229" t="str">
        <f>IF($B121="","",IF(I$4&gt;DAY(EOMONTH(DATE($D$2,$B$2,1),0)),"",SUMIFS(DATA_GOC!$H:$H,DATA_GOC!$A:$A,"BOM",DATA_GOC!$D:$D,$B121,DATA_GOC!$F:$F,"Xuất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1" s="229" t="str">
        <f>IF($B121="","",IF(J$4&gt;DAY(EOMONTH(DATE($D$2,$B$2,1),0)),"",SUMIFS(DATA_GOC!$H:$H,DATA_GOC!$A:$A,"BOM",DATA_GOC!$D:$D,$B121,DATA_GOC!$F:$F,"Xuất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1" s="229" t="str">
        <f>IF($B121="","",IF(K$4&gt;DAY(EOMONTH(DATE($D$2,$B$2,1),0)),"",SUMIFS(DATA_GOC!$H:$H,DATA_GOC!$A:$A,"BOM",DATA_GOC!$D:$D,$B121,DATA_GOC!$F:$F,"Xuất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1" s="229" t="str">
        <f>IF($B121="","",IF(L$4&gt;DAY(EOMONTH(DATE($D$2,$B$2,1),0)),"",SUMIFS(DATA_GOC!$H:$H,DATA_GOC!$A:$A,"BOM",DATA_GOC!$D:$D,$B121,DATA_GOC!$F:$F,"Xuất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1" s="229" t="str">
        <f>IF($B121="","",IF(M$4&gt;DAY(EOMONTH(DATE($D$2,$B$2,1),0)),"",SUMIFS(DATA_GOC!$H:$H,DATA_GOC!$A:$A,"BOM",DATA_GOC!$D:$D,$B121,DATA_GOC!$F:$F,"Xuất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1" s="61" t="str">
        <f>IF($B121="","",IF(N$4&gt;DAY(EOMONTH(DATE($D$2,$B$2,1),0)),"",SUMIFS(DATA_GOC!$H:$H,DATA_GOC!$A:$A,"BOM",DATA_GOC!$D:$D,$B121,DATA_GOC!$F:$F,"Xuất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1" s="61" t="str">
        <f>IF($B121="","",IF(O$4&gt;DAY(EOMONTH(DATE($D$2,$B$2,1),0)),"",SUMIFS(DATA_GOC!$H:$H,DATA_GOC!$A:$A,"BOM",DATA_GOC!$D:$D,$B121,DATA_GOC!$F:$F,"Xuất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1" s="61" t="str">
        <f>IF($B121="","",IF(P$4&gt;DAY(EOMONTH(DATE($D$2,$B$2,1),0)),"",SUMIFS(DATA_GOC!$H:$H,DATA_GOC!$A:$A,"BOM",DATA_GOC!$D:$D,$B121,DATA_GOC!$F:$F,"Xuất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1" s="61" t="str">
        <f>IF($B121="","",IF(Q$4&gt;DAY(EOMONTH(DATE($D$2,$B$2,1),0)),"",SUMIFS(DATA_GOC!$H:$H,DATA_GOC!$A:$A,"BOM",DATA_GOC!$D:$D,$B121,DATA_GOC!$F:$F,"Xuất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1" s="61" t="str">
        <f>IF($B121="","",IF(R$4&gt;DAY(EOMONTH(DATE($D$2,$B$2,1),0)),"",SUMIFS(DATA_GOC!$H:$H,DATA_GOC!$A:$A,"BOM",DATA_GOC!$D:$D,$B121,DATA_GOC!$F:$F,"Xuất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1" s="61" t="str">
        <f>IF($B121="","",IF(S$4&gt;DAY(EOMONTH(DATE($D$2,$B$2,1),0)),"",SUMIFS(DATA_GOC!$H:$H,DATA_GOC!$A:$A,"BOM",DATA_GOC!$D:$D,$B121,DATA_GOC!$F:$F,"Xuất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1" s="229" t="str">
        <f>IF($B121="","",IF(T$4&gt;DAY(EOMONTH(DATE($D$2,$B$2,1),0)),"",SUMIFS(DATA_GOC!$H:$H,DATA_GOC!$A:$A,"BOM",DATA_GOC!$D:$D,$B121,DATA_GOC!$F:$F,"Xuất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1" s="229" t="str">
        <f>IF($B121="","",IF(U$4&gt;DAY(EOMONTH(DATE($D$2,$B$2,1),0)),"",SUMIFS(DATA_GOC!$H:$H,DATA_GOC!$A:$A,"BOM",DATA_GOC!$D:$D,$B121,DATA_GOC!$F:$F,"Xuất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1" s="229" t="str">
        <f>IF($B121="","",IF(V$4&gt;DAY(EOMONTH(DATE($D$2,$B$2,1),0)),"",SUMIFS(DATA_GOC!$H:$H,DATA_GOC!$A:$A,"BOM",DATA_GOC!$D:$D,$B121,DATA_GOC!$F:$F,"Xuất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1" s="61" t="str">
        <f>IF($B121="","",IF(W$4&gt;DAY(EOMONTH(DATE($D$2,$B$2,1),0)),"",SUMIFS(DATA_GOC!$H:$H,DATA_GOC!$A:$A,"BOM",DATA_GOC!$D:$D,$B121,DATA_GOC!$F:$F,"Xuất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1" s="229" t="str">
        <f>IF($B121="","",IF(X$4&gt;DAY(EOMONTH(DATE($D$2,$B$2,1),0)),"",SUMIFS(DATA_GOC!$H:$H,DATA_GOC!$A:$A,"BOM",DATA_GOC!$D:$D,$B121,DATA_GOC!$F:$F,"Xuất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1" s="229" t="str">
        <f>IF($B121="","",IF(Y$4&gt;DAY(EOMONTH(DATE($D$2,$B$2,1),0)),"",SUMIFS(DATA_GOC!$H:$H,DATA_GOC!$A:$A,"BOM",DATA_GOC!$D:$D,$B121,DATA_GOC!$F:$F,"Xuất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1" s="229" t="str">
        <f>IF($B121="","",IF(Z$4&gt;DAY(EOMONTH(DATE($D$2,$B$2,1),0)),"",SUMIFS(DATA_GOC!$H:$H,DATA_GOC!$A:$A,"BOM",DATA_GOC!$D:$D,$B121,DATA_GOC!$F:$F,"Xuất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1" s="229" t="str">
        <f>IF($B121="","",IF(AA$4&gt;DAY(EOMONTH(DATE($D$2,$B$2,1),0)),"",SUMIFS(DATA_GOC!$H:$H,DATA_GOC!$A:$A,"BOM",DATA_GOC!$D:$D,$B121,DATA_GOC!$F:$F,"Xuất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1" s="229" t="str">
        <f>IF($B121="","",IF(AB$4&gt;DAY(EOMONTH(DATE($D$2,$B$2,1),0)),"",SUMIFS(DATA_GOC!$H:$H,DATA_GOC!$A:$A,"BOM",DATA_GOC!$D:$D,$B121,DATA_GOC!$F:$F,"Xuất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1" s="61" t="str">
        <f>IF($B121="","",IF(AC$4&gt;DAY(EOMONTH(DATE($D$2,$B$2,1),0)),"",SUMIFS(DATA_GOC!$H:$H,DATA_GOC!$A:$A,"BOM",DATA_GOC!$D:$D,$B121,DATA_GOC!$F:$F,"Xuất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1" s="222" t="str">
        <f>IF($B121="","",IF(AD$4&gt;DAY(EOMONTH(DATE($D$2,$B$2,1),0)),"",SUMIFS(DATA_GOC!$H:$H,DATA_GOC!$A:$A,"BOM",DATA_GOC!$D:$D,$B121,DATA_GOC!$F:$F,"Xuất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1" s="222" t="str">
        <f>IF($B121="","",IF(AE$4&gt;DAY(EOMONTH(DATE($D$2,$B$2,1),0)),"",SUMIFS(DATA_GOC!$H:$H,DATA_GOC!$A:$A,"BOM",DATA_GOC!$D:$D,$B121,DATA_GOC!$F:$F,"Xuất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1" s="222" t="str">
        <f>IF($B121="","",IF(AF$4&gt;DAY(EOMONTH(DATE($D$2,$B$2,1),0)),"",SUMIFS(DATA_GOC!$H:$H,DATA_GOC!$A:$A,"BOM",DATA_GOC!$D:$D,$B121,DATA_GOC!$F:$F,"Xuất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1" s="222" t="str">
        <f>IF($B121="","",IF(AG$4&gt;DAY(EOMONTH(DATE($D$2,$B$2,1),0)),"",SUMIFS(DATA_GOC!$H:$H,DATA_GOC!$A:$A,"BOM",DATA_GOC!$D:$D,$B121,DATA_GOC!$F:$F,"Xuất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1" s="222" t="str">
        <f t="shared" si="2"/>
        <v/>
      </c>
      <c r="AI121" s="222" t="str">
        <f>IF($B121="","",SUMIFS(DATA_GOC!$H:$H,DATA_GOC!$A:$A,"BOM",DATA_GOC!$D:$D,$B121,DATA_GOC!$F:$F,"Bơm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1" s="222" t="str">
        <f t="shared" si="3"/>
        <v/>
      </c>
      <c r="AM121" s="222" t="str">
        <f>IF($B121="","",SUMIFS(DATA_GOC!$K:$K,DATA_GOC!$A:$A,"BOM",DATA_GOC!$D:$D,$B121,DATA_GOC!$G:$G,"DO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1" s="222" t="str">
        <f t="shared" si="4"/>
        <v/>
      </c>
      <c r="AO121" s="227" t="str">
        <f t="shared" si="5"/>
        <v/>
      </c>
      <c r="AP121" s="226" t="str">
        <f>IF($B121="","",IFERROR(AO121-(SUMIFS(DATA_GOC!$H:$H,DATA_GOC!$A:$A,"BOM",DATA_GOC!$D:$D,$B121,DATA_GOC!$F:$F,"Xuất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1" s="59">
        <v>3.0</v>
      </c>
      <c r="AR121" s="59">
        <v>2026.0</v>
      </c>
      <c r="AS121" s="59" t="s">
        <v>336</v>
      </c>
      <c r="AT121" s="59">
        <v>1323.111</v>
      </c>
      <c r="AU121" s="59">
        <v>0.0</v>
      </c>
      <c r="AV121" s="59">
        <v>1323.111</v>
      </c>
      <c r="AW121" s="59">
        <v>2553.0</v>
      </c>
      <c r="AX121" s="59">
        <v>51.8257344300823</v>
      </c>
      <c r="AY121" s="59">
        <v>478.119</v>
      </c>
      <c r="AZ121" s="59">
        <v>844.992</v>
      </c>
      <c r="BA121" s="59">
        <v>23.119</v>
      </c>
      <c r="BB121" s="59">
        <v>0.0</v>
      </c>
      <c r="BC121" s="59" t="s">
        <v>476</v>
      </c>
    </row>
    <row r="122" ht="15.0" customHeight="1">
      <c r="A122" s="61" t="str">
        <f t="shared" si="1"/>
        <v/>
      </c>
      <c r="B122" s="228" t="str">
        <f t="array" ref="B122">IFERROR(INDEX(DANH_MUC!$E:$E,ROW()-1),"")</f>
        <v/>
      </c>
      <c r="C122" s="228" t="str">
        <f>IF($B122="","",IF(C$4&gt;DAY(EOMONTH(DATE($D$2,$B$2,1),0)),"",SUMIFS(DATA_GOC!$H:$H,DATA_GOC!$A:$A,"BOM",DATA_GOC!$D:$D,$B122,DATA_GOC!$F:$F,"Xuất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2" s="61" t="str">
        <f>IF($B122="","",IF(D$4&gt;DAY(EOMONTH(DATE($D$2,$B$2,1),0)),"",SUMIFS(DATA_GOC!$H:$H,DATA_GOC!$A:$A,"BOM",DATA_GOC!$D:$D,$B122,DATA_GOC!$F:$F,"Xuất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2" s="229" t="str">
        <f>IF($B122="","",IF(E$4&gt;DAY(EOMONTH(DATE($D$2,$B$2,1),0)),"",SUMIFS(DATA_GOC!$H:$H,DATA_GOC!$A:$A,"BOM",DATA_GOC!$D:$D,$B122,DATA_GOC!$F:$F,"Xuất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2" s="229" t="str">
        <f>IF($B122="","",IF(F$4&gt;DAY(EOMONTH(DATE($D$2,$B$2,1),0)),"",SUMIFS(DATA_GOC!$H:$H,DATA_GOC!$A:$A,"BOM",DATA_GOC!$D:$D,$B122,DATA_GOC!$F:$F,"Xuất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2" s="229" t="str">
        <f>IF($B122="","",IF(G$4&gt;DAY(EOMONTH(DATE($D$2,$B$2,1),0)),"",SUMIFS(DATA_GOC!$H:$H,DATA_GOC!$A:$A,"BOM",DATA_GOC!$D:$D,$B122,DATA_GOC!$F:$F,"Xuất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2" s="228" t="str">
        <f>IF($B122="","",IF(H$4&gt;DAY(EOMONTH(DATE($D$2,$B$2,1),0)),"",SUMIFS(DATA_GOC!$H:$H,DATA_GOC!$A:$A,"BOM",DATA_GOC!$D:$D,$B122,DATA_GOC!$F:$F,"Xuất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2" s="229" t="str">
        <f>IF($B122="","",IF(I$4&gt;DAY(EOMONTH(DATE($D$2,$B$2,1),0)),"",SUMIFS(DATA_GOC!$H:$H,DATA_GOC!$A:$A,"BOM",DATA_GOC!$D:$D,$B122,DATA_GOC!$F:$F,"Xuất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2" s="229" t="str">
        <f>IF($B122="","",IF(J$4&gt;DAY(EOMONTH(DATE($D$2,$B$2,1),0)),"",SUMIFS(DATA_GOC!$H:$H,DATA_GOC!$A:$A,"BOM",DATA_GOC!$D:$D,$B122,DATA_GOC!$F:$F,"Xuất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2" s="229" t="str">
        <f>IF($B122="","",IF(K$4&gt;DAY(EOMONTH(DATE($D$2,$B$2,1),0)),"",SUMIFS(DATA_GOC!$H:$H,DATA_GOC!$A:$A,"BOM",DATA_GOC!$D:$D,$B122,DATA_GOC!$F:$F,"Xuất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2" s="229" t="str">
        <f>IF($B122="","",IF(L$4&gt;DAY(EOMONTH(DATE($D$2,$B$2,1),0)),"",SUMIFS(DATA_GOC!$H:$H,DATA_GOC!$A:$A,"BOM",DATA_GOC!$D:$D,$B122,DATA_GOC!$F:$F,"Xuất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2" s="229" t="str">
        <f>IF($B122="","",IF(M$4&gt;DAY(EOMONTH(DATE($D$2,$B$2,1),0)),"",SUMIFS(DATA_GOC!$H:$H,DATA_GOC!$A:$A,"BOM",DATA_GOC!$D:$D,$B122,DATA_GOC!$F:$F,"Xuất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2" s="61" t="str">
        <f>IF($B122="","",IF(N$4&gt;DAY(EOMONTH(DATE($D$2,$B$2,1),0)),"",SUMIFS(DATA_GOC!$H:$H,DATA_GOC!$A:$A,"BOM",DATA_GOC!$D:$D,$B122,DATA_GOC!$F:$F,"Xuất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2" s="61" t="str">
        <f>IF($B122="","",IF(O$4&gt;DAY(EOMONTH(DATE($D$2,$B$2,1),0)),"",SUMIFS(DATA_GOC!$H:$H,DATA_GOC!$A:$A,"BOM",DATA_GOC!$D:$D,$B122,DATA_GOC!$F:$F,"Xuất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2" s="61" t="str">
        <f>IF($B122="","",IF(P$4&gt;DAY(EOMONTH(DATE($D$2,$B$2,1),0)),"",SUMIFS(DATA_GOC!$H:$H,DATA_GOC!$A:$A,"BOM",DATA_GOC!$D:$D,$B122,DATA_GOC!$F:$F,"Xuất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2" s="61" t="str">
        <f>IF($B122="","",IF(Q$4&gt;DAY(EOMONTH(DATE($D$2,$B$2,1),0)),"",SUMIFS(DATA_GOC!$H:$H,DATA_GOC!$A:$A,"BOM",DATA_GOC!$D:$D,$B122,DATA_GOC!$F:$F,"Xuất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2" s="61" t="str">
        <f>IF($B122="","",IF(R$4&gt;DAY(EOMONTH(DATE($D$2,$B$2,1),0)),"",SUMIFS(DATA_GOC!$H:$H,DATA_GOC!$A:$A,"BOM",DATA_GOC!$D:$D,$B122,DATA_GOC!$F:$F,"Xuất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2" s="61" t="str">
        <f>IF($B122="","",IF(S$4&gt;DAY(EOMONTH(DATE($D$2,$B$2,1),0)),"",SUMIFS(DATA_GOC!$H:$H,DATA_GOC!$A:$A,"BOM",DATA_GOC!$D:$D,$B122,DATA_GOC!$F:$F,"Xuất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2" s="229" t="str">
        <f>IF($B122="","",IF(T$4&gt;DAY(EOMONTH(DATE($D$2,$B$2,1),0)),"",SUMIFS(DATA_GOC!$H:$H,DATA_GOC!$A:$A,"BOM",DATA_GOC!$D:$D,$B122,DATA_GOC!$F:$F,"Xuất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2" s="229" t="str">
        <f>IF($B122="","",IF(U$4&gt;DAY(EOMONTH(DATE($D$2,$B$2,1),0)),"",SUMIFS(DATA_GOC!$H:$H,DATA_GOC!$A:$A,"BOM",DATA_GOC!$D:$D,$B122,DATA_GOC!$F:$F,"Xuất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2" s="229" t="str">
        <f>IF($B122="","",IF(V$4&gt;DAY(EOMONTH(DATE($D$2,$B$2,1),0)),"",SUMIFS(DATA_GOC!$H:$H,DATA_GOC!$A:$A,"BOM",DATA_GOC!$D:$D,$B122,DATA_GOC!$F:$F,"Xuất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2" s="61" t="str">
        <f>IF($B122="","",IF(W$4&gt;DAY(EOMONTH(DATE($D$2,$B$2,1),0)),"",SUMIFS(DATA_GOC!$H:$H,DATA_GOC!$A:$A,"BOM",DATA_GOC!$D:$D,$B122,DATA_GOC!$F:$F,"Xuất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2" s="229" t="str">
        <f>IF($B122="","",IF(X$4&gt;DAY(EOMONTH(DATE($D$2,$B$2,1),0)),"",SUMIFS(DATA_GOC!$H:$H,DATA_GOC!$A:$A,"BOM",DATA_GOC!$D:$D,$B122,DATA_GOC!$F:$F,"Xuất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2" s="229" t="str">
        <f>IF($B122="","",IF(Y$4&gt;DAY(EOMONTH(DATE($D$2,$B$2,1),0)),"",SUMIFS(DATA_GOC!$H:$H,DATA_GOC!$A:$A,"BOM",DATA_GOC!$D:$D,$B122,DATA_GOC!$F:$F,"Xuất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2" s="229" t="str">
        <f>IF($B122="","",IF(Z$4&gt;DAY(EOMONTH(DATE($D$2,$B$2,1),0)),"",SUMIFS(DATA_GOC!$H:$H,DATA_GOC!$A:$A,"BOM",DATA_GOC!$D:$D,$B122,DATA_GOC!$F:$F,"Xuất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2" s="229" t="str">
        <f>IF($B122="","",IF(AA$4&gt;DAY(EOMONTH(DATE($D$2,$B$2,1),0)),"",SUMIFS(DATA_GOC!$H:$H,DATA_GOC!$A:$A,"BOM",DATA_GOC!$D:$D,$B122,DATA_GOC!$F:$F,"Xuất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2" s="229" t="str">
        <f>IF($B122="","",IF(AB$4&gt;DAY(EOMONTH(DATE($D$2,$B$2,1),0)),"",SUMIFS(DATA_GOC!$H:$H,DATA_GOC!$A:$A,"BOM",DATA_GOC!$D:$D,$B122,DATA_GOC!$F:$F,"Xuất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2" s="61" t="str">
        <f>IF($B122="","",IF(AC$4&gt;DAY(EOMONTH(DATE($D$2,$B$2,1),0)),"",SUMIFS(DATA_GOC!$H:$H,DATA_GOC!$A:$A,"BOM",DATA_GOC!$D:$D,$B122,DATA_GOC!$F:$F,"Xuất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2" s="222" t="str">
        <f>IF($B122="","",IF(AD$4&gt;DAY(EOMONTH(DATE($D$2,$B$2,1),0)),"",SUMIFS(DATA_GOC!$H:$H,DATA_GOC!$A:$A,"BOM",DATA_GOC!$D:$D,$B122,DATA_GOC!$F:$F,"Xuất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2" s="222" t="str">
        <f>IF($B122="","",IF(AE$4&gt;DAY(EOMONTH(DATE($D$2,$B$2,1),0)),"",SUMIFS(DATA_GOC!$H:$H,DATA_GOC!$A:$A,"BOM",DATA_GOC!$D:$D,$B122,DATA_GOC!$F:$F,"Xuất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2" s="222" t="str">
        <f>IF($B122="","",IF(AF$4&gt;DAY(EOMONTH(DATE($D$2,$B$2,1),0)),"",SUMIFS(DATA_GOC!$H:$H,DATA_GOC!$A:$A,"BOM",DATA_GOC!$D:$D,$B122,DATA_GOC!$F:$F,"Xuất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2" s="222" t="str">
        <f>IF($B122="","",IF(AG$4&gt;DAY(EOMONTH(DATE($D$2,$B$2,1),0)),"",SUMIFS(DATA_GOC!$H:$H,DATA_GOC!$A:$A,"BOM",DATA_GOC!$D:$D,$B122,DATA_GOC!$F:$F,"Xuất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2" s="222" t="str">
        <f t="shared" si="2"/>
        <v/>
      </c>
      <c r="AI122" s="222" t="str">
        <f>IF($B122="","",SUMIFS(DATA_GOC!$H:$H,DATA_GOC!$A:$A,"BOM",DATA_GOC!$D:$D,$B122,DATA_GOC!$F:$F,"Bơm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2" s="222" t="str">
        <f t="shared" si="3"/>
        <v/>
      </c>
      <c r="AM122" s="222" t="str">
        <f>IF($B122="","",SUMIFS(DATA_GOC!$K:$K,DATA_GOC!$A:$A,"BOM",DATA_GOC!$D:$D,$B122,DATA_GOC!$G:$G,"DO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2" s="222" t="str">
        <f t="shared" si="4"/>
        <v/>
      </c>
      <c r="AO122" s="227" t="str">
        <f t="shared" si="5"/>
        <v/>
      </c>
      <c r="AP122" s="226" t="str">
        <f>IF($B122="","",IFERROR(AO122-(SUMIFS(DATA_GOC!$H:$H,DATA_GOC!$A:$A,"BOM",DATA_GOC!$D:$D,$B122,DATA_GOC!$F:$F,"Xuất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2" s="59">
        <v>3.0</v>
      </c>
      <c r="AR122" s="59">
        <v>2026.0</v>
      </c>
      <c r="AS122" s="59" t="s">
        <v>86</v>
      </c>
      <c r="AT122" s="59">
        <v>1180.234</v>
      </c>
      <c r="AU122" s="59">
        <v>0.0</v>
      </c>
      <c r="AV122" s="59">
        <v>1180.234</v>
      </c>
      <c r="AW122" s="59">
        <v>2206.0</v>
      </c>
      <c r="AX122" s="59">
        <v>53.5010879419764</v>
      </c>
      <c r="AY122" s="59">
        <v>539.286</v>
      </c>
      <c r="AZ122" s="59">
        <v>640.948</v>
      </c>
      <c r="BA122" s="59">
        <v>21.286</v>
      </c>
      <c r="BB122" s="59">
        <v>0.0</v>
      </c>
      <c r="BC122" s="59" t="s">
        <v>477</v>
      </c>
    </row>
    <row r="123" ht="15.0" customHeight="1">
      <c r="A123" s="61" t="str">
        <f t="shared" si="1"/>
        <v/>
      </c>
      <c r="B123" s="228" t="str">
        <f t="array" ref="B123">IFERROR(INDEX(DANH_MUC!$E:$E,ROW()-1),"")</f>
        <v/>
      </c>
      <c r="C123" s="228" t="str">
        <f>IF($B123="","",IF(C$4&gt;DAY(EOMONTH(DATE($D$2,$B$2,1),0)),"",SUMIFS(DATA_GOC!$H:$H,DATA_GOC!$A:$A,"BOM",DATA_GOC!$D:$D,$B123,DATA_GOC!$F:$F,"Xuất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3" s="61" t="str">
        <f>IF($B123="","",IF(D$4&gt;DAY(EOMONTH(DATE($D$2,$B$2,1),0)),"",SUMIFS(DATA_GOC!$H:$H,DATA_GOC!$A:$A,"BOM",DATA_GOC!$D:$D,$B123,DATA_GOC!$F:$F,"Xuất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3" s="229" t="str">
        <f>IF($B123="","",IF(E$4&gt;DAY(EOMONTH(DATE($D$2,$B$2,1),0)),"",SUMIFS(DATA_GOC!$H:$H,DATA_GOC!$A:$A,"BOM",DATA_GOC!$D:$D,$B123,DATA_GOC!$F:$F,"Xuất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3" s="229" t="str">
        <f>IF($B123="","",IF(F$4&gt;DAY(EOMONTH(DATE($D$2,$B$2,1),0)),"",SUMIFS(DATA_GOC!$H:$H,DATA_GOC!$A:$A,"BOM",DATA_GOC!$D:$D,$B123,DATA_GOC!$F:$F,"Xuất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3" s="229" t="str">
        <f>IF($B123="","",IF(G$4&gt;DAY(EOMONTH(DATE($D$2,$B$2,1),0)),"",SUMIFS(DATA_GOC!$H:$H,DATA_GOC!$A:$A,"BOM",DATA_GOC!$D:$D,$B123,DATA_GOC!$F:$F,"Xuất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3" s="228" t="str">
        <f>IF($B123="","",IF(H$4&gt;DAY(EOMONTH(DATE($D$2,$B$2,1),0)),"",SUMIFS(DATA_GOC!$H:$H,DATA_GOC!$A:$A,"BOM",DATA_GOC!$D:$D,$B123,DATA_GOC!$F:$F,"Xuất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3" s="229" t="str">
        <f>IF($B123="","",IF(I$4&gt;DAY(EOMONTH(DATE($D$2,$B$2,1),0)),"",SUMIFS(DATA_GOC!$H:$H,DATA_GOC!$A:$A,"BOM",DATA_GOC!$D:$D,$B123,DATA_GOC!$F:$F,"Xuất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3" s="229" t="str">
        <f>IF($B123="","",IF(J$4&gt;DAY(EOMONTH(DATE($D$2,$B$2,1),0)),"",SUMIFS(DATA_GOC!$H:$H,DATA_GOC!$A:$A,"BOM",DATA_GOC!$D:$D,$B123,DATA_GOC!$F:$F,"Xuất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3" s="229" t="str">
        <f>IF($B123="","",IF(K$4&gt;DAY(EOMONTH(DATE($D$2,$B$2,1),0)),"",SUMIFS(DATA_GOC!$H:$H,DATA_GOC!$A:$A,"BOM",DATA_GOC!$D:$D,$B123,DATA_GOC!$F:$F,"Xuất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3" s="229" t="str">
        <f>IF($B123="","",IF(L$4&gt;DAY(EOMONTH(DATE($D$2,$B$2,1),0)),"",SUMIFS(DATA_GOC!$H:$H,DATA_GOC!$A:$A,"BOM",DATA_GOC!$D:$D,$B123,DATA_GOC!$F:$F,"Xuất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3" s="229" t="str">
        <f>IF($B123="","",IF(M$4&gt;DAY(EOMONTH(DATE($D$2,$B$2,1),0)),"",SUMIFS(DATA_GOC!$H:$H,DATA_GOC!$A:$A,"BOM",DATA_GOC!$D:$D,$B123,DATA_GOC!$F:$F,"Xuất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3" s="61" t="str">
        <f>IF($B123="","",IF(N$4&gt;DAY(EOMONTH(DATE($D$2,$B$2,1),0)),"",SUMIFS(DATA_GOC!$H:$H,DATA_GOC!$A:$A,"BOM",DATA_GOC!$D:$D,$B123,DATA_GOC!$F:$F,"Xuất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3" s="61" t="str">
        <f>IF($B123="","",IF(O$4&gt;DAY(EOMONTH(DATE($D$2,$B$2,1),0)),"",SUMIFS(DATA_GOC!$H:$H,DATA_GOC!$A:$A,"BOM",DATA_GOC!$D:$D,$B123,DATA_GOC!$F:$F,"Xuất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3" s="61" t="str">
        <f>IF($B123="","",IF(P$4&gt;DAY(EOMONTH(DATE($D$2,$B$2,1),0)),"",SUMIFS(DATA_GOC!$H:$H,DATA_GOC!$A:$A,"BOM",DATA_GOC!$D:$D,$B123,DATA_GOC!$F:$F,"Xuất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3" s="61" t="str">
        <f>IF($B123="","",IF(Q$4&gt;DAY(EOMONTH(DATE($D$2,$B$2,1),0)),"",SUMIFS(DATA_GOC!$H:$H,DATA_GOC!$A:$A,"BOM",DATA_GOC!$D:$D,$B123,DATA_GOC!$F:$F,"Xuất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3" s="61" t="str">
        <f>IF($B123="","",IF(R$4&gt;DAY(EOMONTH(DATE($D$2,$B$2,1),0)),"",SUMIFS(DATA_GOC!$H:$H,DATA_GOC!$A:$A,"BOM",DATA_GOC!$D:$D,$B123,DATA_GOC!$F:$F,"Xuất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3" s="61" t="str">
        <f>IF($B123="","",IF(S$4&gt;DAY(EOMONTH(DATE($D$2,$B$2,1),0)),"",SUMIFS(DATA_GOC!$H:$H,DATA_GOC!$A:$A,"BOM",DATA_GOC!$D:$D,$B123,DATA_GOC!$F:$F,"Xuất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3" s="229" t="str">
        <f>IF($B123="","",IF(T$4&gt;DAY(EOMONTH(DATE($D$2,$B$2,1),0)),"",SUMIFS(DATA_GOC!$H:$H,DATA_GOC!$A:$A,"BOM",DATA_GOC!$D:$D,$B123,DATA_GOC!$F:$F,"Xuất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3" s="229" t="str">
        <f>IF($B123="","",IF(U$4&gt;DAY(EOMONTH(DATE($D$2,$B$2,1),0)),"",SUMIFS(DATA_GOC!$H:$H,DATA_GOC!$A:$A,"BOM",DATA_GOC!$D:$D,$B123,DATA_GOC!$F:$F,"Xuất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3" s="229" t="str">
        <f>IF($B123="","",IF(V$4&gt;DAY(EOMONTH(DATE($D$2,$B$2,1),0)),"",SUMIFS(DATA_GOC!$H:$H,DATA_GOC!$A:$A,"BOM",DATA_GOC!$D:$D,$B123,DATA_GOC!$F:$F,"Xuất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3" s="61" t="str">
        <f>IF($B123="","",IF(W$4&gt;DAY(EOMONTH(DATE($D$2,$B$2,1),0)),"",SUMIFS(DATA_GOC!$H:$H,DATA_GOC!$A:$A,"BOM",DATA_GOC!$D:$D,$B123,DATA_GOC!$F:$F,"Xuất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3" s="229" t="str">
        <f>IF($B123="","",IF(X$4&gt;DAY(EOMONTH(DATE($D$2,$B$2,1),0)),"",SUMIFS(DATA_GOC!$H:$H,DATA_GOC!$A:$A,"BOM",DATA_GOC!$D:$D,$B123,DATA_GOC!$F:$F,"Xuất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3" s="229" t="str">
        <f>IF($B123="","",IF(Y$4&gt;DAY(EOMONTH(DATE($D$2,$B$2,1),0)),"",SUMIFS(DATA_GOC!$H:$H,DATA_GOC!$A:$A,"BOM",DATA_GOC!$D:$D,$B123,DATA_GOC!$F:$F,"Xuất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3" s="229" t="str">
        <f>IF($B123="","",IF(Z$4&gt;DAY(EOMONTH(DATE($D$2,$B$2,1),0)),"",SUMIFS(DATA_GOC!$H:$H,DATA_GOC!$A:$A,"BOM",DATA_GOC!$D:$D,$B123,DATA_GOC!$F:$F,"Xuất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3" s="229" t="str">
        <f>IF($B123="","",IF(AA$4&gt;DAY(EOMONTH(DATE($D$2,$B$2,1),0)),"",SUMIFS(DATA_GOC!$H:$H,DATA_GOC!$A:$A,"BOM",DATA_GOC!$D:$D,$B123,DATA_GOC!$F:$F,"Xuất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3" s="229" t="str">
        <f>IF($B123="","",IF(AB$4&gt;DAY(EOMONTH(DATE($D$2,$B$2,1),0)),"",SUMIFS(DATA_GOC!$H:$H,DATA_GOC!$A:$A,"BOM",DATA_GOC!$D:$D,$B123,DATA_GOC!$F:$F,"Xuất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3" s="61" t="str">
        <f>IF($B123="","",IF(AC$4&gt;DAY(EOMONTH(DATE($D$2,$B$2,1),0)),"",SUMIFS(DATA_GOC!$H:$H,DATA_GOC!$A:$A,"BOM",DATA_GOC!$D:$D,$B123,DATA_GOC!$F:$F,"Xuất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3" s="222" t="str">
        <f>IF($B123="","",IF(AD$4&gt;DAY(EOMONTH(DATE($D$2,$B$2,1),0)),"",SUMIFS(DATA_GOC!$H:$H,DATA_GOC!$A:$A,"BOM",DATA_GOC!$D:$D,$B123,DATA_GOC!$F:$F,"Xuất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3" s="222" t="str">
        <f>IF($B123="","",IF(AE$4&gt;DAY(EOMONTH(DATE($D$2,$B$2,1),0)),"",SUMIFS(DATA_GOC!$H:$H,DATA_GOC!$A:$A,"BOM",DATA_GOC!$D:$D,$B123,DATA_GOC!$F:$F,"Xuất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3" s="222" t="str">
        <f>IF($B123="","",IF(AF$4&gt;DAY(EOMONTH(DATE($D$2,$B$2,1),0)),"",SUMIFS(DATA_GOC!$H:$H,DATA_GOC!$A:$A,"BOM",DATA_GOC!$D:$D,$B123,DATA_GOC!$F:$F,"Xuất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3" s="222" t="str">
        <f>IF($B123="","",IF(AG$4&gt;DAY(EOMONTH(DATE($D$2,$B$2,1),0)),"",SUMIFS(DATA_GOC!$H:$H,DATA_GOC!$A:$A,"BOM",DATA_GOC!$D:$D,$B123,DATA_GOC!$F:$F,"Xuất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3" s="222" t="str">
        <f t="shared" si="2"/>
        <v/>
      </c>
      <c r="AI123" s="222" t="str">
        <f>IF($B123="","",SUMIFS(DATA_GOC!$H:$H,DATA_GOC!$A:$A,"BOM",DATA_GOC!$D:$D,$B123,DATA_GOC!$F:$F,"Bơm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3" s="222" t="str">
        <f t="shared" si="3"/>
        <v/>
      </c>
      <c r="AM123" s="222" t="str">
        <f>IF($B123="","",SUMIFS(DATA_GOC!$K:$K,DATA_GOC!$A:$A,"BOM",DATA_GOC!$D:$D,$B123,DATA_GOC!$G:$G,"DO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3" s="222" t="str">
        <f t="shared" si="4"/>
        <v/>
      </c>
      <c r="AO123" s="227" t="str">
        <f t="shared" si="5"/>
        <v/>
      </c>
      <c r="AP123" s="226" t="str">
        <f>IF($B123="","",IFERROR(AO123-(SUMIFS(DATA_GOC!$H:$H,DATA_GOC!$A:$A,"BOM",DATA_GOC!$D:$D,$B123,DATA_GOC!$F:$F,"Xuất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3" s="59">
        <v>3.0</v>
      </c>
      <c r="AR123" s="59">
        <v>2026.0</v>
      </c>
      <c r="AS123" s="59" t="s">
        <v>113</v>
      </c>
      <c r="AT123" s="59">
        <v>916.079</v>
      </c>
      <c r="AU123" s="59">
        <v>0.0</v>
      </c>
      <c r="AV123" s="59">
        <v>916.079</v>
      </c>
      <c r="AW123" s="59">
        <v>2013.0</v>
      </c>
      <c r="AX123" s="59">
        <v>45.5081470442126</v>
      </c>
      <c r="AY123" s="59">
        <v>233.111</v>
      </c>
      <c r="AZ123" s="59">
        <v>682.968</v>
      </c>
      <c r="BA123" s="59">
        <v>13.111</v>
      </c>
      <c r="BB123" s="59">
        <v>0.0</v>
      </c>
      <c r="BC123" s="59" t="s">
        <v>478</v>
      </c>
    </row>
    <row r="124" ht="15.0" customHeight="1">
      <c r="A124" s="61" t="str">
        <f t="shared" si="1"/>
        <v/>
      </c>
      <c r="B124" s="228" t="str">
        <f t="array" ref="B124">IFERROR(INDEX(DANH_MUC!$E:$E,ROW()-1),"")</f>
        <v/>
      </c>
      <c r="C124" s="228" t="str">
        <f>IF($B124="","",IF(C$4&gt;DAY(EOMONTH(DATE($D$2,$B$2,1),0)),"",SUMIFS(DATA_GOC!$H:$H,DATA_GOC!$A:$A,"BOM",DATA_GOC!$D:$D,$B124,DATA_GOC!$F:$F,"Xuất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4" s="61" t="str">
        <f>IF($B124="","",IF(D$4&gt;DAY(EOMONTH(DATE($D$2,$B$2,1),0)),"",SUMIFS(DATA_GOC!$H:$H,DATA_GOC!$A:$A,"BOM",DATA_GOC!$D:$D,$B124,DATA_GOC!$F:$F,"Xuất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4" s="229" t="str">
        <f>IF($B124="","",IF(E$4&gt;DAY(EOMONTH(DATE($D$2,$B$2,1),0)),"",SUMIFS(DATA_GOC!$H:$H,DATA_GOC!$A:$A,"BOM",DATA_GOC!$D:$D,$B124,DATA_GOC!$F:$F,"Xuất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4" s="229" t="str">
        <f>IF($B124="","",IF(F$4&gt;DAY(EOMONTH(DATE($D$2,$B$2,1),0)),"",SUMIFS(DATA_GOC!$H:$H,DATA_GOC!$A:$A,"BOM",DATA_GOC!$D:$D,$B124,DATA_GOC!$F:$F,"Xuất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4" s="229" t="str">
        <f>IF($B124="","",IF(G$4&gt;DAY(EOMONTH(DATE($D$2,$B$2,1),0)),"",SUMIFS(DATA_GOC!$H:$H,DATA_GOC!$A:$A,"BOM",DATA_GOC!$D:$D,$B124,DATA_GOC!$F:$F,"Xuất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4" s="228" t="str">
        <f>IF($B124="","",IF(H$4&gt;DAY(EOMONTH(DATE($D$2,$B$2,1),0)),"",SUMIFS(DATA_GOC!$H:$H,DATA_GOC!$A:$A,"BOM",DATA_GOC!$D:$D,$B124,DATA_GOC!$F:$F,"Xuất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4" s="229" t="str">
        <f>IF($B124="","",IF(I$4&gt;DAY(EOMONTH(DATE($D$2,$B$2,1),0)),"",SUMIFS(DATA_GOC!$H:$H,DATA_GOC!$A:$A,"BOM",DATA_GOC!$D:$D,$B124,DATA_GOC!$F:$F,"Xuất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4" s="229" t="str">
        <f>IF($B124="","",IF(J$4&gt;DAY(EOMONTH(DATE($D$2,$B$2,1),0)),"",SUMIFS(DATA_GOC!$H:$H,DATA_GOC!$A:$A,"BOM",DATA_GOC!$D:$D,$B124,DATA_GOC!$F:$F,"Xuất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4" s="229" t="str">
        <f>IF($B124="","",IF(K$4&gt;DAY(EOMONTH(DATE($D$2,$B$2,1),0)),"",SUMIFS(DATA_GOC!$H:$H,DATA_GOC!$A:$A,"BOM",DATA_GOC!$D:$D,$B124,DATA_GOC!$F:$F,"Xuất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4" s="229" t="str">
        <f>IF($B124="","",IF(L$4&gt;DAY(EOMONTH(DATE($D$2,$B$2,1),0)),"",SUMIFS(DATA_GOC!$H:$H,DATA_GOC!$A:$A,"BOM",DATA_GOC!$D:$D,$B124,DATA_GOC!$F:$F,"Xuất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4" s="229" t="str">
        <f>IF($B124="","",IF(M$4&gt;DAY(EOMONTH(DATE($D$2,$B$2,1),0)),"",SUMIFS(DATA_GOC!$H:$H,DATA_GOC!$A:$A,"BOM",DATA_GOC!$D:$D,$B124,DATA_GOC!$F:$F,"Xuất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4" s="61" t="str">
        <f>IF($B124="","",IF(N$4&gt;DAY(EOMONTH(DATE($D$2,$B$2,1),0)),"",SUMIFS(DATA_GOC!$H:$H,DATA_GOC!$A:$A,"BOM",DATA_GOC!$D:$D,$B124,DATA_GOC!$F:$F,"Xuất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4" s="61" t="str">
        <f>IF($B124="","",IF(O$4&gt;DAY(EOMONTH(DATE($D$2,$B$2,1),0)),"",SUMIFS(DATA_GOC!$H:$H,DATA_GOC!$A:$A,"BOM",DATA_GOC!$D:$D,$B124,DATA_GOC!$F:$F,"Xuất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4" s="61" t="str">
        <f>IF($B124="","",IF(P$4&gt;DAY(EOMONTH(DATE($D$2,$B$2,1),0)),"",SUMIFS(DATA_GOC!$H:$H,DATA_GOC!$A:$A,"BOM",DATA_GOC!$D:$D,$B124,DATA_GOC!$F:$F,"Xuất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4" s="61" t="str">
        <f>IF($B124="","",IF(Q$4&gt;DAY(EOMONTH(DATE($D$2,$B$2,1),0)),"",SUMIFS(DATA_GOC!$H:$H,DATA_GOC!$A:$A,"BOM",DATA_GOC!$D:$D,$B124,DATA_GOC!$F:$F,"Xuất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4" s="61" t="str">
        <f>IF($B124="","",IF(R$4&gt;DAY(EOMONTH(DATE($D$2,$B$2,1),0)),"",SUMIFS(DATA_GOC!$H:$H,DATA_GOC!$A:$A,"BOM",DATA_GOC!$D:$D,$B124,DATA_GOC!$F:$F,"Xuất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4" s="61" t="str">
        <f>IF($B124="","",IF(S$4&gt;DAY(EOMONTH(DATE($D$2,$B$2,1),0)),"",SUMIFS(DATA_GOC!$H:$H,DATA_GOC!$A:$A,"BOM",DATA_GOC!$D:$D,$B124,DATA_GOC!$F:$F,"Xuất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4" s="229" t="str">
        <f>IF($B124="","",IF(T$4&gt;DAY(EOMONTH(DATE($D$2,$B$2,1),0)),"",SUMIFS(DATA_GOC!$H:$H,DATA_GOC!$A:$A,"BOM",DATA_GOC!$D:$D,$B124,DATA_GOC!$F:$F,"Xuất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4" s="229" t="str">
        <f>IF($B124="","",IF(U$4&gt;DAY(EOMONTH(DATE($D$2,$B$2,1),0)),"",SUMIFS(DATA_GOC!$H:$H,DATA_GOC!$A:$A,"BOM",DATA_GOC!$D:$D,$B124,DATA_GOC!$F:$F,"Xuất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4" s="229" t="str">
        <f>IF($B124="","",IF(V$4&gt;DAY(EOMONTH(DATE($D$2,$B$2,1),0)),"",SUMIFS(DATA_GOC!$H:$H,DATA_GOC!$A:$A,"BOM",DATA_GOC!$D:$D,$B124,DATA_GOC!$F:$F,"Xuất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4" s="61" t="str">
        <f>IF($B124="","",IF(W$4&gt;DAY(EOMONTH(DATE($D$2,$B$2,1),0)),"",SUMIFS(DATA_GOC!$H:$H,DATA_GOC!$A:$A,"BOM",DATA_GOC!$D:$D,$B124,DATA_GOC!$F:$F,"Xuất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4" s="229" t="str">
        <f>IF($B124="","",IF(X$4&gt;DAY(EOMONTH(DATE($D$2,$B$2,1),0)),"",SUMIFS(DATA_GOC!$H:$H,DATA_GOC!$A:$A,"BOM",DATA_GOC!$D:$D,$B124,DATA_GOC!$F:$F,"Xuất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4" s="229" t="str">
        <f>IF($B124="","",IF(Y$4&gt;DAY(EOMONTH(DATE($D$2,$B$2,1),0)),"",SUMIFS(DATA_GOC!$H:$H,DATA_GOC!$A:$A,"BOM",DATA_GOC!$D:$D,$B124,DATA_GOC!$F:$F,"Xuất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4" s="229" t="str">
        <f>IF($B124="","",IF(Z$4&gt;DAY(EOMONTH(DATE($D$2,$B$2,1),0)),"",SUMIFS(DATA_GOC!$H:$H,DATA_GOC!$A:$A,"BOM",DATA_GOC!$D:$D,$B124,DATA_GOC!$F:$F,"Xuất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4" s="229" t="str">
        <f>IF($B124="","",IF(AA$4&gt;DAY(EOMONTH(DATE($D$2,$B$2,1),0)),"",SUMIFS(DATA_GOC!$H:$H,DATA_GOC!$A:$A,"BOM",DATA_GOC!$D:$D,$B124,DATA_GOC!$F:$F,"Xuất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4" s="229" t="str">
        <f>IF($B124="","",IF(AB$4&gt;DAY(EOMONTH(DATE($D$2,$B$2,1),0)),"",SUMIFS(DATA_GOC!$H:$H,DATA_GOC!$A:$A,"BOM",DATA_GOC!$D:$D,$B124,DATA_GOC!$F:$F,"Xuất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4" s="61" t="str">
        <f>IF($B124="","",IF(AC$4&gt;DAY(EOMONTH(DATE($D$2,$B$2,1),0)),"",SUMIFS(DATA_GOC!$H:$H,DATA_GOC!$A:$A,"BOM",DATA_GOC!$D:$D,$B124,DATA_GOC!$F:$F,"Xuất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4" s="222" t="str">
        <f>IF($B124="","",IF(AD$4&gt;DAY(EOMONTH(DATE($D$2,$B$2,1),0)),"",SUMIFS(DATA_GOC!$H:$H,DATA_GOC!$A:$A,"BOM",DATA_GOC!$D:$D,$B124,DATA_GOC!$F:$F,"Xuất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4" s="222" t="str">
        <f>IF($B124="","",IF(AE$4&gt;DAY(EOMONTH(DATE($D$2,$B$2,1),0)),"",SUMIFS(DATA_GOC!$H:$H,DATA_GOC!$A:$A,"BOM",DATA_GOC!$D:$D,$B124,DATA_GOC!$F:$F,"Xuất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4" s="222" t="str">
        <f>IF($B124="","",IF(AF$4&gt;DAY(EOMONTH(DATE($D$2,$B$2,1),0)),"",SUMIFS(DATA_GOC!$H:$H,DATA_GOC!$A:$A,"BOM",DATA_GOC!$D:$D,$B124,DATA_GOC!$F:$F,"Xuất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4" s="222" t="str">
        <f>IF($B124="","",IF(AG$4&gt;DAY(EOMONTH(DATE($D$2,$B$2,1),0)),"",SUMIFS(DATA_GOC!$H:$H,DATA_GOC!$A:$A,"BOM",DATA_GOC!$D:$D,$B124,DATA_GOC!$F:$F,"Xuất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4" s="222" t="str">
        <f t="shared" si="2"/>
        <v/>
      </c>
      <c r="AI124" s="222" t="str">
        <f>IF($B124="","",SUMIFS(DATA_GOC!$H:$H,DATA_GOC!$A:$A,"BOM",DATA_GOC!$D:$D,$B124,DATA_GOC!$F:$F,"Bơm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4" s="222" t="str">
        <f t="shared" si="3"/>
        <v/>
      </c>
      <c r="AM124" s="222" t="str">
        <f>IF($B124="","",SUMIFS(DATA_GOC!$K:$K,DATA_GOC!$A:$A,"BOM",DATA_GOC!$D:$D,$B124,DATA_GOC!$G:$G,"DO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4" s="222" t="str">
        <f t="shared" si="4"/>
        <v/>
      </c>
      <c r="AO124" s="227" t="str">
        <f t="shared" si="5"/>
        <v/>
      </c>
      <c r="AP124" s="226" t="str">
        <f>IF($B124="","",IFERROR(AO124-(SUMIFS(DATA_GOC!$H:$H,DATA_GOC!$A:$A,"BOM",DATA_GOC!$D:$D,$B124,DATA_GOC!$F:$F,"Xuất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4" s="59">
        <v>3.0</v>
      </c>
      <c r="AR124" s="59">
        <v>2026.0</v>
      </c>
      <c r="AS124" s="59" t="s">
        <v>98</v>
      </c>
      <c r="AT124" s="59">
        <v>1070.27</v>
      </c>
      <c r="AU124" s="59">
        <v>0.0</v>
      </c>
      <c r="AV124" s="59">
        <v>1070.27</v>
      </c>
      <c r="AW124" s="59">
        <v>2677.0</v>
      </c>
      <c r="AX124" s="59">
        <v>39.9802017183414</v>
      </c>
      <c r="AY124" s="59">
        <v>363.214</v>
      </c>
      <c r="AZ124" s="59">
        <v>707.056</v>
      </c>
      <c r="BA124" s="59">
        <v>14.214</v>
      </c>
      <c r="BB124" s="59">
        <v>0.0</v>
      </c>
      <c r="BC124" s="59" t="s">
        <v>479</v>
      </c>
    </row>
    <row r="125" ht="15.0" customHeight="1">
      <c r="A125" s="61" t="str">
        <f t="shared" si="1"/>
        <v/>
      </c>
      <c r="B125" s="228" t="str">
        <f t="array" ref="B125">IFERROR(INDEX(DANH_MUC!$E:$E,ROW()-1),"")</f>
        <v/>
      </c>
      <c r="C125" s="228" t="str">
        <f>IF($B125="","",IF(C$4&gt;DAY(EOMONTH(DATE($D$2,$B$2,1),0)),"",SUMIFS(DATA_GOC!$H:$H,DATA_GOC!$A:$A,"BOM",DATA_GOC!$D:$D,$B125,DATA_GOC!$F:$F,"Xuất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5" s="61" t="str">
        <f>IF($B125="","",IF(D$4&gt;DAY(EOMONTH(DATE($D$2,$B$2,1),0)),"",SUMIFS(DATA_GOC!$H:$H,DATA_GOC!$A:$A,"BOM",DATA_GOC!$D:$D,$B125,DATA_GOC!$F:$F,"Xuất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5" s="229" t="str">
        <f>IF($B125="","",IF(E$4&gt;DAY(EOMONTH(DATE($D$2,$B$2,1),0)),"",SUMIFS(DATA_GOC!$H:$H,DATA_GOC!$A:$A,"BOM",DATA_GOC!$D:$D,$B125,DATA_GOC!$F:$F,"Xuất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5" s="229" t="str">
        <f>IF($B125="","",IF(F$4&gt;DAY(EOMONTH(DATE($D$2,$B$2,1),0)),"",SUMIFS(DATA_GOC!$H:$H,DATA_GOC!$A:$A,"BOM",DATA_GOC!$D:$D,$B125,DATA_GOC!$F:$F,"Xuất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5" s="229" t="str">
        <f>IF($B125="","",IF(G$4&gt;DAY(EOMONTH(DATE($D$2,$B$2,1),0)),"",SUMIFS(DATA_GOC!$H:$H,DATA_GOC!$A:$A,"BOM",DATA_GOC!$D:$D,$B125,DATA_GOC!$F:$F,"Xuất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5" s="228" t="str">
        <f>IF($B125="","",IF(H$4&gt;DAY(EOMONTH(DATE($D$2,$B$2,1),0)),"",SUMIFS(DATA_GOC!$H:$H,DATA_GOC!$A:$A,"BOM",DATA_GOC!$D:$D,$B125,DATA_GOC!$F:$F,"Xuất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5" s="229" t="str">
        <f>IF($B125="","",IF(I$4&gt;DAY(EOMONTH(DATE($D$2,$B$2,1),0)),"",SUMIFS(DATA_GOC!$H:$H,DATA_GOC!$A:$A,"BOM",DATA_GOC!$D:$D,$B125,DATA_GOC!$F:$F,"Xuất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5" s="229" t="str">
        <f>IF($B125="","",IF(J$4&gt;DAY(EOMONTH(DATE($D$2,$B$2,1),0)),"",SUMIFS(DATA_GOC!$H:$H,DATA_GOC!$A:$A,"BOM",DATA_GOC!$D:$D,$B125,DATA_GOC!$F:$F,"Xuất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5" s="229" t="str">
        <f>IF($B125="","",IF(K$4&gt;DAY(EOMONTH(DATE($D$2,$B$2,1),0)),"",SUMIFS(DATA_GOC!$H:$H,DATA_GOC!$A:$A,"BOM",DATA_GOC!$D:$D,$B125,DATA_GOC!$F:$F,"Xuất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5" s="229" t="str">
        <f>IF($B125="","",IF(L$4&gt;DAY(EOMONTH(DATE($D$2,$B$2,1),0)),"",SUMIFS(DATA_GOC!$H:$H,DATA_GOC!$A:$A,"BOM",DATA_GOC!$D:$D,$B125,DATA_GOC!$F:$F,"Xuất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5" s="229" t="str">
        <f>IF($B125="","",IF(M$4&gt;DAY(EOMONTH(DATE($D$2,$B$2,1),0)),"",SUMIFS(DATA_GOC!$H:$H,DATA_GOC!$A:$A,"BOM",DATA_GOC!$D:$D,$B125,DATA_GOC!$F:$F,"Xuất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5" s="61" t="str">
        <f>IF($B125="","",IF(N$4&gt;DAY(EOMONTH(DATE($D$2,$B$2,1),0)),"",SUMIFS(DATA_GOC!$H:$H,DATA_GOC!$A:$A,"BOM",DATA_GOC!$D:$D,$B125,DATA_GOC!$F:$F,"Xuất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5" s="61" t="str">
        <f>IF($B125="","",IF(O$4&gt;DAY(EOMONTH(DATE($D$2,$B$2,1),0)),"",SUMIFS(DATA_GOC!$H:$H,DATA_GOC!$A:$A,"BOM",DATA_GOC!$D:$D,$B125,DATA_GOC!$F:$F,"Xuất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5" s="61" t="str">
        <f>IF($B125="","",IF(P$4&gt;DAY(EOMONTH(DATE($D$2,$B$2,1),0)),"",SUMIFS(DATA_GOC!$H:$H,DATA_GOC!$A:$A,"BOM",DATA_GOC!$D:$D,$B125,DATA_GOC!$F:$F,"Xuất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5" s="61" t="str">
        <f>IF($B125="","",IF(Q$4&gt;DAY(EOMONTH(DATE($D$2,$B$2,1),0)),"",SUMIFS(DATA_GOC!$H:$H,DATA_GOC!$A:$A,"BOM",DATA_GOC!$D:$D,$B125,DATA_GOC!$F:$F,"Xuất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5" s="61" t="str">
        <f>IF($B125="","",IF(R$4&gt;DAY(EOMONTH(DATE($D$2,$B$2,1),0)),"",SUMIFS(DATA_GOC!$H:$H,DATA_GOC!$A:$A,"BOM",DATA_GOC!$D:$D,$B125,DATA_GOC!$F:$F,"Xuất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5" s="61" t="str">
        <f>IF($B125="","",IF(S$4&gt;DAY(EOMONTH(DATE($D$2,$B$2,1),0)),"",SUMIFS(DATA_GOC!$H:$H,DATA_GOC!$A:$A,"BOM",DATA_GOC!$D:$D,$B125,DATA_GOC!$F:$F,"Xuất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5" s="229" t="str">
        <f>IF($B125="","",IF(T$4&gt;DAY(EOMONTH(DATE($D$2,$B$2,1),0)),"",SUMIFS(DATA_GOC!$H:$H,DATA_GOC!$A:$A,"BOM",DATA_GOC!$D:$D,$B125,DATA_GOC!$F:$F,"Xuất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5" s="229" t="str">
        <f>IF($B125="","",IF(U$4&gt;DAY(EOMONTH(DATE($D$2,$B$2,1),0)),"",SUMIFS(DATA_GOC!$H:$H,DATA_GOC!$A:$A,"BOM",DATA_GOC!$D:$D,$B125,DATA_GOC!$F:$F,"Xuất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5" s="229" t="str">
        <f>IF($B125="","",IF(V$4&gt;DAY(EOMONTH(DATE($D$2,$B$2,1),0)),"",SUMIFS(DATA_GOC!$H:$H,DATA_GOC!$A:$A,"BOM",DATA_GOC!$D:$D,$B125,DATA_GOC!$F:$F,"Xuất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5" s="61" t="str">
        <f>IF($B125="","",IF(W$4&gt;DAY(EOMONTH(DATE($D$2,$B$2,1),0)),"",SUMIFS(DATA_GOC!$H:$H,DATA_GOC!$A:$A,"BOM",DATA_GOC!$D:$D,$B125,DATA_GOC!$F:$F,"Xuất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5" s="229" t="str">
        <f>IF($B125="","",IF(X$4&gt;DAY(EOMONTH(DATE($D$2,$B$2,1),0)),"",SUMIFS(DATA_GOC!$H:$H,DATA_GOC!$A:$A,"BOM",DATA_GOC!$D:$D,$B125,DATA_GOC!$F:$F,"Xuất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5" s="229" t="str">
        <f>IF($B125="","",IF(Y$4&gt;DAY(EOMONTH(DATE($D$2,$B$2,1),0)),"",SUMIFS(DATA_GOC!$H:$H,DATA_GOC!$A:$A,"BOM",DATA_GOC!$D:$D,$B125,DATA_GOC!$F:$F,"Xuất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5" s="229" t="str">
        <f>IF($B125="","",IF(Z$4&gt;DAY(EOMONTH(DATE($D$2,$B$2,1),0)),"",SUMIFS(DATA_GOC!$H:$H,DATA_GOC!$A:$A,"BOM",DATA_GOC!$D:$D,$B125,DATA_GOC!$F:$F,"Xuất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5" s="229" t="str">
        <f>IF($B125="","",IF(AA$4&gt;DAY(EOMONTH(DATE($D$2,$B$2,1),0)),"",SUMIFS(DATA_GOC!$H:$H,DATA_GOC!$A:$A,"BOM",DATA_GOC!$D:$D,$B125,DATA_GOC!$F:$F,"Xuất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5" s="229" t="str">
        <f>IF($B125="","",IF(AB$4&gt;DAY(EOMONTH(DATE($D$2,$B$2,1),0)),"",SUMIFS(DATA_GOC!$H:$H,DATA_GOC!$A:$A,"BOM",DATA_GOC!$D:$D,$B125,DATA_GOC!$F:$F,"Xuất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5" s="61" t="str">
        <f>IF($B125="","",IF(AC$4&gt;DAY(EOMONTH(DATE($D$2,$B$2,1),0)),"",SUMIFS(DATA_GOC!$H:$H,DATA_GOC!$A:$A,"BOM",DATA_GOC!$D:$D,$B125,DATA_GOC!$F:$F,"Xuất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5" s="222" t="str">
        <f>IF($B125="","",IF(AD$4&gt;DAY(EOMONTH(DATE($D$2,$B$2,1),0)),"",SUMIFS(DATA_GOC!$H:$H,DATA_GOC!$A:$A,"BOM",DATA_GOC!$D:$D,$B125,DATA_GOC!$F:$F,"Xuất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5" s="222" t="str">
        <f>IF($B125="","",IF(AE$4&gt;DAY(EOMONTH(DATE($D$2,$B$2,1),0)),"",SUMIFS(DATA_GOC!$H:$H,DATA_GOC!$A:$A,"BOM",DATA_GOC!$D:$D,$B125,DATA_GOC!$F:$F,"Xuất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5" s="222" t="str">
        <f>IF($B125="","",IF(AF$4&gt;DAY(EOMONTH(DATE($D$2,$B$2,1),0)),"",SUMIFS(DATA_GOC!$H:$H,DATA_GOC!$A:$A,"BOM",DATA_GOC!$D:$D,$B125,DATA_GOC!$F:$F,"Xuất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5" s="222" t="str">
        <f>IF($B125="","",IF(AG$4&gt;DAY(EOMONTH(DATE($D$2,$B$2,1),0)),"",SUMIFS(DATA_GOC!$H:$H,DATA_GOC!$A:$A,"BOM",DATA_GOC!$D:$D,$B125,DATA_GOC!$F:$F,"Xuất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5" s="222" t="str">
        <f t="shared" si="2"/>
        <v/>
      </c>
      <c r="AI125" s="222" t="str">
        <f>IF($B125="","",SUMIFS(DATA_GOC!$H:$H,DATA_GOC!$A:$A,"BOM",DATA_GOC!$D:$D,$B125,DATA_GOC!$F:$F,"Bơm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5" s="222" t="str">
        <f t="shared" si="3"/>
        <v/>
      </c>
      <c r="AM125" s="222" t="str">
        <f>IF($B125="","",SUMIFS(DATA_GOC!$K:$K,DATA_GOC!$A:$A,"BOM",DATA_GOC!$D:$D,$B125,DATA_GOC!$G:$G,"DO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5" s="222" t="str">
        <f t="shared" si="4"/>
        <v/>
      </c>
      <c r="AO125" s="227" t="str">
        <f t="shared" si="5"/>
        <v/>
      </c>
      <c r="AP125" s="226" t="str">
        <f>IF($B125="","",IFERROR(AO125-(SUMIFS(DATA_GOC!$H:$H,DATA_GOC!$A:$A,"BOM",DATA_GOC!$D:$D,$B125,DATA_GOC!$F:$F,"Xuất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5" s="59">
        <v>3.0</v>
      </c>
      <c r="AR125" s="59">
        <v>2026.0</v>
      </c>
      <c r="AS125" s="59" t="s">
        <v>112</v>
      </c>
      <c r="AT125" s="59">
        <v>1165.798</v>
      </c>
      <c r="AU125" s="59">
        <v>0.0</v>
      </c>
      <c r="AV125" s="59">
        <v>1165.798</v>
      </c>
      <c r="AW125" s="59">
        <v>2679.0</v>
      </c>
      <c r="AX125" s="59">
        <v>43.5161627472938</v>
      </c>
      <c r="AY125" s="59">
        <v>495.122</v>
      </c>
      <c r="AZ125" s="59">
        <v>670.676</v>
      </c>
      <c r="BA125" s="59">
        <v>21.122</v>
      </c>
      <c r="BB125" s="59">
        <v>0.0</v>
      </c>
      <c r="BC125" s="59" t="s">
        <v>480</v>
      </c>
    </row>
    <row r="126" ht="15.0" customHeight="1">
      <c r="A126" s="61" t="str">
        <f t="shared" si="1"/>
        <v/>
      </c>
      <c r="B126" s="228" t="str">
        <f t="array" ref="B126">IFERROR(INDEX(DANH_MUC!$E:$E,ROW()-1),"")</f>
        <v/>
      </c>
      <c r="C126" s="228" t="str">
        <f>IF($B126="","",IF(C$4&gt;DAY(EOMONTH(DATE($D$2,$B$2,1),0)),"",SUMIFS(DATA_GOC!$H:$H,DATA_GOC!$A:$A,"BOM",DATA_GOC!$D:$D,$B126,DATA_GOC!$F:$F,"Xuất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6" s="61" t="str">
        <f>IF($B126="","",IF(D$4&gt;DAY(EOMONTH(DATE($D$2,$B$2,1),0)),"",SUMIFS(DATA_GOC!$H:$H,DATA_GOC!$A:$A,"BOM",DATA_GOC!$D:$D,$B126,DATA_GOC!$F:$F,"Xuất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6" s="229" t="str">
        <f>IF($B126="","",IF(E$4&gt;DAY(EOMONTH(DATE($D$2,$B$2,1),0)),"",SUMIFS(DATA_GOC!$H:$H,DATA_GOC!$A:$A,"BOM",DATA_GOC!$D:$D,$B126,DATA_GOC!$F:$F,"Xuất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6" s="229" t="str">
        <f>IF($B126="","",IF(F$4&gt;DAY(EOMONTH(DATE($D$2,$B$2,1),0)),"",SUMIFS(DATA_GOC!$H:$H,DATA_GOC!$A:$A,"BOM",DATA_GOC!$D:$D,$B126,DATA_GOC!$F:$F,"Xuất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6" s="229" t="str">
        <f>IF($B126="","",IF(G$4&gt;DAY(EOMONTH(DATE($D$2,$B$2,1),0)),"",SUMIFS(DATA_GOC!$H:$H,DATA_GOC!$A:$A,"BOM",DATA_GOC!$D:$D,$B126,DATA_GOC!$F:$F,"Xuất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6" s="228" t="str">
        <f>IF($B126="","",IF(H$4&gt;DAY(EOMONTH(DATE($D$2,$B$2,1),0)),"",SUMIFS(DATA_GOC!$H:$H,DATA_GOC!$A:$A,"BOM",DATA_GOC!$D:$D,$B126,DATA_GOC!$F:$F,"Xuất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6" s="229" t="str">
        <f>IF($B126="","",IF(I$4&gt;DAY(EOMONTH(DATE($D$2,$B$2,1),0)),"",SUMIFS(DATA_GOC!$H:$H,DATA_GOC!$A:$A,"BOM",DATA_GOC!$D:$D,$B126,DATA_GOC!$F:$F,"Xuất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6" s="229" t="str">
        <f>IF($B126="","",IF(J$4&gt;DAY(EOMONTH(DATE($D$2,$B$2,1),0)),"",SUMIFS(DATA_GOC!$H:$H,DATA_GOC!$A:$A,"BOM",DATA_GOC!$D:$D,$B126,DATA_GOC!$F:$F,"Xuất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6" s="229" t="str">
        <f>IF($B126="","",IF(K$4&gt;DAY(EOMONTH(DATE($D$2,$B$2,1),0)),"",SUMIFS(DATA_GOC!$H:$H,DATA_GOC!$A:$A,"BOM",DATA_GOC!$D:$D,$B126,DATA_GOC!$F:$F,"Xuất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6" s="229" t="str">
        <f>IF($B126="","",IF(L$4&gt;DAY(EOMONTH(DATE($D$2,$B$2,1),0)),"",SUMIFS(DATA_GOC!$H:$H,DATA_GOC!$A:$A,"BOM",DATA_GOC!$D:$D,$B126,DATA_GOC!$F:$F,"Xuất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6" s="229" t="str">
        <f>IF($B126="","",IF(M$4&gt;DAY(EOMONTH(DATE($D$2,$B$2,1),0)),"",SUMIFS(DATA_GOC!$H:$H,DATA_GOC!$A:$A,"BOM",DATA_GOC!$D:$D,$B126,DATA_GOC!$F:$F,"Xuất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6" s="61" t="str">
        <f>IF($B126="","",IF(N$4&gt;DAY(EOMONTH(DATE($D$2,$B$2,1),0)),"",SUMIFS(DATA_GOC!$H:$H,DATA_GOC!$A:$A,"BOM",DATA_GOC!$D:$D,$B126,DATA_GOC!$F:$F,"Xuất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6" s="61" t="str">
        <f>IF($B126="","",IF(O$4&gt;DAY(EOMONTH(DATE($D$2,$B$2,1),0)),"",SUMIFS(DATA_GOC!$H:$H,DATA_GOC!$A:$A,"BOM",DATA_GOC!$D:$D,$B126,DATA_GOC!$F:$F,"Xuất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6" s="61" t="str">
        <f>IF($B126="","",IF(P$4&gt;DAY(EOMONTH(DATE($D$2,$B$2,1),0)),"",SUMIFS(DATA_GOC!$H:$H,DATA_GOC!$A:$A,"BOM",DATA_GOC!$D:$D,$B126,DATA_GOC!$F:$F,"Xuất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6" s="61" t="str">
        <f>IF($B126="","",IF(Q$4&gt;DAY(EOMONTH(DATE($D$2,$B$2,1),0)),"",SUMIFS(DATA_GOC!$H:$H,DATA_GOC!$A:$A,"BOM",DATA_GOC!$D:$D,$B126,DATA_GOC!$F:$F,"Xuất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6" s="61" t="str">
        <f>IF($B126="","",IF(R$4&gt;DAY(EOMONTH(DATE($D$2,$B$2,1),0)),"",SUMIFS(DATA_GOC!$H:$H,DATA_GOC!$A:$A,"BOM",DATA_GOC!$D:$D,$B126,DATA_GOC!$F:$F,"Xuất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6" s="61" t="str">
        <f>IF($B126="","",IF(S$4&gt;DAY(EOMONTH(DATE($D$2,$B$2,1),0)),"",SUMIFS(DATA_GOC!$H:$H,DATA_GOC!$A:$A,"BOM",DATA_GOC!$D:$D,$B126,DATA_GOC!$F:$F,"Xuất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6" s="229" t="str">
        <f>IF($B126="","",IF(T$4&gt;DAY(EOMONTH(DATE($D$2,$B$2,1),0)),"",SUMIFS(DATA_GOC!$H:$H,DATA_GOC!$A:$A,"BOM",DATA_GOC!$D:$D,$B126,DATA_GOC!$F:$F,"Xuất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6" s="229" t="str">
        <f>IF($B126="","",IF(U$4&gt;DAY(EOMONTH(DATE($D$2,$B$2,1),0)),"",SUMIFS(DATA_GOC!$H:$H,DATA_GOC!$A:$A,"BOM",DATA_GOC!$D:$D,$B126,DATA_GOC!$F:$F,"Xuất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6" s="229" t="str">
        <f>IF($B126="","",IF(V$4&gt;DAY(EOMONTH(DATE($D$2,$B$2,1),0)),"",SUMIFS(DATA_GOC!$H:$H,DATA_GOC!$A:$A,"BOM",DATA_GOC!$D:$D,$B126,DATA_GOC!$F:$F,"Xuất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6" s="61" t="str">
        <f>IF($B126="","",IF(W$4&gt;DAY(EOMONTH(DATE($D$2,$B$2,1),0)),"",SUMIFS(DATA_GOC!$H:$H,DATA_GOC!$A:$A,"BOM",DATA_GOC!$D:$D,$B126,DATA_GOC!$F:$F,"Xuất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6" s="229" t="str">
        <f>IF($B126="","",IF(X$4&gt;DAY(EOMONTH(DATE($D$2,$B$2,1),0)),"",SUMIFS(DATA_GOC!$H:$H,DATA_GOC!$A:$A,"BOM",DATA_GOC!$D:$D,$B126,DATA_GOC!$F:$F,"Xuất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6" s="229" t="str">
        <f>IF($B126="","",IF(Y$4&gt;DAY(EOMONTH(DATE($D$2,$B$2,1),0)),"",SUMIFS(DATA_GOC!$H:$H,DATA_GOC!$A:$A,"BOM",DATA_GOC!$D:$D,$B126,DATA_GOC!$F:$F,"Xuất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6" s="229" t="str">
        <f>IF($B126="","",IF(Z$4&gt;DAY(EOMONTH(DATE($D$2,$B$2,1),0)),"",SUMIFS(DATA_GOC!$H:$H,DATA_GOC!$A:$A,"BOM",DATA_GOC!$D:$D,$B126,DATA_GOC!$F:$F,"Xuất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6" s="229" t="str">
        <f>IF($B126="","",IF(AA$4&gt;DAY(EOMONTH(DATE($D$2,$B$2,1),0)),"",SUMIFS(DATA_GOC!$H:$H,DATA_GOC!$A:$A,"BOM",DATA_GOC!$D:$D,$B126,DATA_GOC!$F:$F,"Xuất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6" s="229" t="str">
        <f>IF($B126="","",IF(AB$4&gt;DAY(EOMONTH(DATE($D$2,$B$2,1),0)),"",SUMIFS(DATA_GOC!$H:$H,DATA_GOC!$A:$A,"BOM",DATA_GOC!$D:$D,$B126,DATA_GOC!$F:$F,"Xuất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6" s="61" t="str">
        <f>IF($B126="","",IF(AC$4&gt;DAY(EOMONTH(DATE($D$2,$B$2,1),0)),"",SUMIFS(DATA_GOC!$H:$H,DATA_GOC!$A:$A,"BOM",DATA_GOC!$D:$D,$B126,DATA_GOC!$F:$F,"Xuất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6" s="222" t="str">
        <f>IF($B126="","",IF(AD$4&gt;DAY(EOMONTH(DATE($D$2,$B$2,1),0)),"",SUMIFS(DATA_GOC!$H:$H,DATA_GOC!$A:$A,"BOM",DATA_GOC!$D:$D,$B126,DATA_GOC!$F:$F,"Xuất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6" s="222" t="str">
        <f>IF($B126="","",IF(AE$4&gt;DAY(EOMONTH(DATE($D$2,$B$2,1),0)),"",SUMIFS(DATA_GOC!$H:$H,DATA_GOC!$A:$A,"BOM",DATA_GOC!$D:$D,$B126,DATA_GOC!$F:$F,"Xuất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6" s="222" t="str">
        <f>IF($B126="","",IF(AF$4&gt;DAY(EOMONTH(DATE($D$2,$B$2,1),0)),"",SUMIFS(DATA_GOC!$H:$H,DATA_GOC!$A:$A,"BOM",DATA_GOC!$D:$D,$B126,DATA_GOC!$F:$F,"Xuất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6" s="222" t="str">
        <f>IF($B126="","",IF(AG$4&gt;DAY(EOMONTH(DATE($D$2,$B$2,1),0)),"",SUMIFS(DATA_GOC!$H:$H,DATA_GOC!$A:$A,"BOM",DATA_GOC!$D:$D,$B126,DATA_GOC!$F:$F,"Xuất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6" s="222" t="str">
        <f t="shared" si="2"/>
        <v/>
      </c>
      <c r="AI126" s="222" t="str">
        <f>IF($B126="","",SUMIFS(DATA_GOC!$H:$H,DATA_GOC!$A:$A,"BOM",DATA_GOC!$D:$D,$B126,DATA_GOC!$F:$F,"Bơm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6" s="222" t="str">
        <f t="shared" si="3"/>
        <v/>
      </c>
      <c r="AM126" s="222" t="str">
        <f>IF($B126="","",SUMIFS(DATA_GOC!$K:$K,DATA_GOC!$A:$A,"BOM",DATA_GOC!$D:$D,$B126,DATA_GOC!$G:$G,"DO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6" s="222" t="str">
        <f t="shared" si="4"/>
        <v/>
      </c>
      <c r="AO126" s="227" t="str">
        <f t="shared" si="5"/>
        <v/>
      </c>
      <c r="AP126" s="226" t="str">
        <f>IF($B126="","",IFERROR(AO126-(SUMIFS(DATA_GOC!$H:$H,DATA_GOC!$A:$A,"BOM",DATA_GOC!$D:$D,$B126,DATA_GOC!$F:$F,"Xuất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6" s="59">
        <v>3.0</v>
      </c>
      <c r="AR126" s="59">
        <v>2026.0</v>
      </c>
      <c r="AS126" s="59" t="s">
        <v>138</v>
      </c>
      <c r="AT126" s="59">
        <v>1068.751</v>
      </c>
      <c r="AU126" s="59">
        <v>0.0</v>
      </c>
      <c r="AV126" s="59">
        <v>1068.751</v>
      </c>
      <c r="AW126" s="59">
        <v>2636.0</v>
      </c>
      <c r="AX126" s="59">
        <v>40.5444233687405</v>
      </c>
      <c r="AY126" s="59">
        <v>489.119</v>
      </c>
      <c r="AZ126" s="59">
        <v>579.632</v>
      </c>
      <c r="BA126" s="59">
        <v>19.119</v>
      </c>
      <c r="BB126" s="59">
        <v>0.0</v>
      </c>
      <c r="BC126" s="59" t="s">
        <v>481</v>
      </c>
    </row>
    <row r="127" ht="15.0" customHeight="1">
      <c r="A127" s="61" t="str">
        <f t="shared" si="1"/>
        <v/>
      </c>
      <c r="B127" s="228" t="str">
        <f t="array" ref="B127">IFERROR(INDEX(DANH_MUC!$E:$E,ROW()-1),"")</f>
        <v/>
      </c>
      <c r="C127" s="228" t="str">
        <f>IF($B127="","",IF(C$4&gt;DAY(EOMONTH(DATE($D$2,$B$2,1),0)),"",SUMIFS(DATA_GOC!$H:$H,DATA_GOC!$A:$A,"BOM",DATA_GOC!$D:$D,$B127,DATA_GOC!$F:$F,"Xuất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7" s="61" t="str">
        <f>IF($B127="","",IF(D$4&gt;DAY(EOMONTH(DATE($D$2,$B$2,1),0)),"",SUMIFS(DATA_GOC!$H:$H,DATA_GOC!$A:$A,"BOM",DATA_GOC!$D:$D,$B127,DATA_GOC!$F:$F,"Xuất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7" s="229" t="str">
        <f>IF($B127="","",IF(E$4&gt;DAY(EOMONTH(DATE($D$2,$B$2,1),0)),"",SUMIFS(DATA_GOC!$H:$H,DATA_GOC!$A:$A,"BOM",DATA_GOC!$D:$D,$B127,DATA_GOC!$F:$F,"Xuất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7" s="229" t="str">
        <f>IF($B127="","",IF(F$4&gt;DAY(EOMONTH(DATE($D$2,$B$2,1),0)),"",SUMIFS(DATA_GOC!$H:$H,DATA_GOC!$A:$A,"BOM",DATA_GOC!$D:$D,$B127,DATA_GOC!$F:$F,"Xuất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7" s="229" t="str">
        <f>IF($B127="","",IF(G$4&gt;DAY(EOMONTH(DATE($D$2,$B$2,1),0)),"",SUMIFS(DATA_GOC!$H:$H,DATA_GOC!$A:$A,"BOM",DATA_GOC!$D:$D,$B127,DATA_GOC!$F:$F,"Xuất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7" s="228" t="str">
        <f>IF($B127="","",IF(H$4&gt;DAY(EOMONTH(DATE($D$2,$B$2,1),0)),"",SUMIFS(DATA_GOC!$H:$H,DATA_GOC!$A:$A,"BOM",DATA_GOC!$D:$D,$B127,DATA_GOC!$F:$F,"Xuất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7" s="229" t="str">
        <f>IF($B127="","",IF(I$4&gt;DAY(EOMONTH(DATE($D$2,$B$2,1),0)),"",SUMIFS(DATA_GOC!$H:$H,DATA_GOC!$A:$A,"BOM",DATA_GOC!$D:$D,$B127,DATA_GOC!$F:$F,"Xuất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7" s="229" t="str">
        <f>IF($B127="","",IF(J$4&gt;DAY(EOMONTH(DATE($D$2,$B$2,1),0)),"",SUMIFS(DATA_GOC!$H:$H,DATA_GOC!$A:$A,"BOM",DATA_GOC!$D:$D,$B127,DATA_GOC!$F:$F,"Xuất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7" s="229" t="str">
        <f>IF($B127="","",IF(K$4&gt;DAY(EOMONTH(DATE($D$2,$B$2,1),0)),"",SUMIFS(DATA_GOC!$H:$H,DATA_GOC!$A:$A,"BOM",DATA_GOC!$D:$D,$B127,DATA_GOC!$F:$F,"Xuất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7" s="229" t="str">
        <f>IF($B127="","",IF(L$4&gt;DAY(EOMONTH(DATE($D$2,$B$2,1),0)),"",SUMIFS(DATA_GOC!$H:$H,DATA_GOC!$A:$A,"BOM",DATA_GOC!$D:$D,$B127,DATA_GOC!$F:$F,"Xuất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7" s="229" t="str">
        <f>IF($B127="","",IF(M$4&gt;DAY(EOMONTH(DATE($D$2,$B$2,1),0)),"",SUMIFS(DATA_GOC!$H:$H,DATA_GOC!$A:$A,"BOM",DATA_GOC!$D:$D,$B127,DATA_GOC!$F:$F,"Xuất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7" s="61" t="str">
        <f>IF($B127="","",IF(N$4&gt;DAY(EOMONTH(DATE($D$2,$B$2,1),0)),"",SUMIFS(DATA_GOC!$H:$H,DATA_GOC!$A:$A,"BOM",DATA_GOC!$D:$D,$B127,DATA_GOC!$F:$F,"Xuất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7" s="61" t="str">
        <f>IF($B127="","",IF(O$4&gt;DAY(EOMONTH(DATE($D$2,$B$2,1),0)),"",SUMIFS(DATA_GOC!$H:$H,DATA_GOC!$A:$A,"BOM",DATA_GOC!$D:$D,$B127,DATA_GOC!$F:$F,"Xuất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7" s="61" t="str">
        <f>IF($B127="","",IF(P$4&gt;DAY(EOMONTH(DATE($D$2,$B$2,1),0)),"",SUMIFS(DATA_GOC!$H:$H,DATA_GOC!$A:$A,"BOM",DATA_GOC!$D:$D,$B127,DATA_GOC!$F:$F,"Xuất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7" s="61" t="str">
        <f>IF($B127="","",IF(Q$4&gt;DAY(EOMONTH(DATE($D$2,$B$2,1),0)),"",SUMIFS(DATA_GOC!$H:$H,DATA_GOC!$A:$A,"BOM",DATA_GOC!$D:$D,$B127,DATA_GOC!$F:$F,"Xuất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7" s="61" t="str">
        <f>IF($B127="","",IF(R$4&gt;DAY(EOMONTH(DATE($D$2,$B$2,1),0)),"",SUMIFS(DATA_GOC!$H:$H,DATA_GOC!$A:$A,"BOM",DATA_GOC!$D:$D,$B127,DATA_GOC!$F:$F,"Xuất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7" s="61" t="str">
        <f>IF($B127="","",IF(S$4&gt;DAY(EOMONTH(DATE($D$2,$B$2,1),0)),"",SUMIFS(DATA_GOC!$H:$H,DATA_GOC!$A:$A,"BOM",DATA_GOC!$D:$D,$B127,DATA_GOC!$F:$F,"Xuất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7" s="229" t="str">
        <f>IF($B127="","",IF(T$4&gt;DAY(EOMONTH(DATE($D$2,$B$2,1),0)),"",SUMIFS(DATA_GOC!$H:$H,DATA_GOC!$A:$A,"BOM",DATA_GOC!$D:$D,$B127,DATA_GOC!$F:$F,"Xuất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7" s="229" t="str">
        <f>IF($B127="","",IF(U$4&gt;DAY(EOMONTH(DATE($D$2,$B$2,1),0)),"",SUMIFS(DATA_GOC!$H:$H,DATA_GOC!$A:$A,"BOM",DATA_GOC!$D:$D,$B127,DATA_GOC!$F:$F,"Xuất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7" s="229" t="str">
        <f>IF($B127="","",IF(V$4&gt;DAY(EOMONTH(DATE($D$2,$B$2,1),0)),"",SUMIFS(DATA_GOC!$H:$H,DATA_GOC!$A:$A,"BOM",DATA_GOC!$D:$D,$B127,DATA_GOC!$F:$F,"Xuất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7" s="61" t="str">
        <f>IF($B127="","",IF(W$4&gt;DAY(EOMONTH(DATE($D$2,$B$2,1),0)),"",SUMIFS(DATA_GOC!$H:$H,DATA_GOC!$A:$A,"BOM",DATA_GOC!$D:$D,$B127,DATA_GOC!$F:$F,"Xuất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7" s="229" t="str">
        <f>IF($B127="","",IF(X$4&gt;DAY(EOMONTH(DATE($D$2,$B$2,1),0)),"",SUMIFS(DATA_GOC!$H:$H,DATA_GOC!$A:$A,"BOM",DATA_GOC!$D:$D,$B127,DATA_GOC!$F:$F,"Xuất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7" s="229" t="str">
        <f>IF($B127="","",IF(Y$4&gt;DAY(EOMONTH(DATE($D$2,$B$2,1),0)),"",SUMIFS(DATA_GOC!$H:$H,DATA_GOC!$A:$A,"BOM",DATA_GOC!$D:$D,$B127,DATA_GOC!$F:$F,"Xuất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7" s="229" t="str">
        <f>IF($B127="","",IF(Z$4&gt;DAY(EOMONTH(DATE($D$2,$B$2,1),0)),"",SUMIFS(DATA_GOC!$H:$H,DATA_GOC!$A:$A,"BOM",DATA_GOC!$D:$D,$B127,DATA_GOC!$F:$F,"Xuất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7" s="229" t="str">
        <f>IF($B127="","",IF(AA$4&gt;DAY(EOMONTH(DATE($D$2,$B$2,1),0)),"",SUMIFS(DATA_GOC!$H:$H,DATA_GOC!$A:$A,"BOM",DATA_GOC!$D:$D,$B127,DATA_GOC!$F:$F,"Xuất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7" s="229" t="str">
        <f>IF($B127="","",IF(AB$4&gt;DAY(EOMONTH(DATE($D$2,$B$2,1),0)),"",SUMIFS(DATA_GOC!$H:$H,DATA_GOC!$A:$A,"BOM",DATA_GOC!$D:$D,$B127,DATA_GOC!$F:$F,"Xuất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7" s="61" t="str">
        <f>IF($B127="","",IF(AC$4&gt;DAY(EOMONTH(DATE($D$2,$B$2,1),0)),"",SUMIFS(DATA_GOC!$H:$H,DATA_GOC!$A:$A,"BOM",DATA_GOC!$D:$D,$B127,DATA_GOC!$F:$F,"Xuất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7" s="222" t="str">
        <f>IF($B127="","",IF(AD$4&gt;DAY(EOMONTH(DATE($D$2,$B$2,1),0)),"",SUMIFS(DATA_GOC!$H:$H,DATA_GOC!$A:$A,"BOM",DATA_GOC!$D:$D,$B127,DATA_GOC!$F:$F,"Xuất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7" s="222" t="str">
        <f>IF($B127="","",IF(AE$4&gt;DAY(EOMONTH(DATE($D$2,$B$2,1),0)),"",SUMIFS(DATA_GOC!$H:$H,DATA_GOC!$A:$A,"BOM",DATA_GOC!$D:$D,$B127,DATA_GOC!$F:$F,"Xuất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7" s="222" t="str">
        <f>IF($B127="","",IF(AF$4&gt;DAY(EOMONTH(DATE($D$2,$B$2,1),0)),"",SUMIFS(DATA_GOC!$H:$H,DATA_GOC!$A:$A,"BOM",DATA_GOC!$D:$D,$B127,DATA_GOC!$F:$F,"Xuất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7" s="222" t="str">
        <f>IF($B127="","",IF(AG$4&gt;DAY(EOMONTH(DATE($D$2,$B$2,1),0)),"",SUMIFS(DATA_GOC!$H:$H,DATA_GOC!$A:$A,"BOM",DATA_GOC!$D:$D,$B127,DATA_GOC!$F:$F,"Xuất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7" s="222" t="str">
        <f t="shared" si="2"/>
        <v/>
      </c>
      <c r="AI127" s="222" t="str">
        <f>IF($B127="","",SUMIFS(DATA_GOC!$H:$H,DATA_GOC!$A:$A,"BOM",DATA_GOC!$D:$D,$B127,DATA_GOC!$F:$F,"Bơm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7" s="222" t="str">
        <f t="shared" si="3"/>
        <v/>
      </c>
      <c r="AM127" s="222" t="str">
        <f>IF($B127="","",SUMIFS(DATA_GOC!$K:$K,DATA_GOC!$A:$A,"BOM",DATA_GOC!$D:$D,$B127,DATA_GOC!$G:$G,"DO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7" s="222" t="str">
        <f t="shared" si="4"/>
        <v/>
      </c>
      <c r="AO127" s="227" t="str">
        <f t="shared" si="5"/>
        <v/>
      </c>
      <c r="AP127" s="226" t="str">
        <f>IF($B127="","",IFERROR(AO127-(SUMIFS(DATA_GOC!$H:$H,DATA_GOC!$A:$A,"BOM",DATA_GOC!$D:$D,$B127,DATA_GOC!$F:$F,"Xuất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7" s="59">
        <v>3.0</v>
      </c>
      <c r="AR127" s="59">
        <v>2026.0</v>
      </c>
      <c r="AS127" s="59" t="s">
        <v>101</v>
      </c>
      <c r="AT127" s="59">
        <v>1014.818</v>
      </c>
      <c r="AU127" s="59">
        <v>0.0</v>
      </c>
      <c r="AV127" s="59">
        <v>1014.818</v>
      </c>
      <c r="AW127" s="59">
        <v>2384.0</v>
      </c>
      <c r="AX127" s="59">
        <v>42.5678691275168</v>
      </c>
      <c r="AY127" s="59">
        <v>443.466</v>
      </c>
      <c r="AZ127" s="59">
        <v>571.352</v>
      </c>
      <c r="BA127" s="59">
        <v>18.466</v>
      </c>
      <c r="BB127" s="59">
        <v>0.0</v>
      </c>
      <c r="BC127" s="59" t="s">
        <v>482</v>
      </c>
    </row>
    <row r="128" ht="15.0" customHeight="1">
      <c r="A128" s="61" t="str">
        <f t="shared" si="1"/>
        <v/>
      </c>
      <c r="B128" s="228" t="str">
        <f t="array" ref="B128">IFERROR(INDEX(DANH_MUC!$E:$E,ROW()-1),"")</f>
        <v/>
      </c>
      <c r="C128" s="228" t="str">
        <f>IF($B128="","",IF(C$4&gt;DAY(EOMONTH(DATE($D$2,$B$2,1),0)),"",SUMIFS(DATA_GOC!$H:$H,DATA_GOC!$A:$A,"BOM",DATA_GOC!$D:$D,$B128,DATA_GOC!$F:$F,"Xuất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8" s="61" t="str">
        <f>IF($B128="","",IF(D$4&gt;DAY(EOMONTH(DATE($D$2,$B$2,1),0)),"",SUMIFS(DATA_GOC!$H:$H,DATA_GOC!$A:$A,"BOM",DATA_GOC!$D:$D,$B128,DATA_GOC!$F:$F,"Xuất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8" s="229" t="str">
        <f>IF($B128="","",IF(E$4&gt;DAY(EOMONTH(DATE($D$2,$B$2,1),0)),"",SUMIFS(DATA_GOC!$H:$H,DATA_GOC!$A:$A,"BOM",DATA_GOC!$D:$D,$B128,DATA_GOC!$F:$F,"Xuất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8" s="229" t="str">
        <f>IF($B128="","",IF(F$4&gt;DAY(EOMONTH(DATE($D$2,$B$2,1),0)),"",SUMIFS(DATA_GOC!$H:$H,DATA_GOC!$A:$A,"BOM",DATA_GOC!$D:$D,$B128,DATA_GOC!$F:$F,"Xuất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8" s="229" t="str">
        <f>IF($B128="","",IF(G$4&gt;DAY(EOMONTH(DATE($D$2,$B$2,1),0)),"",SUMIFS(DATA_GOC!$H:$H,DATA_GOC!$A:$A,"BOM",DATA_GOC!$D:$D,$B128,DATA_GOC!$F:$F,"Xuất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8" s="228" t="str">
        <f>IF($B128="","",IF(H$4&gt;DAY(EOMONTH(DATE($D$2,$B$2,1),0)),"",SUMIFS(DATA_GOC!$H:$H,DATA_GOC!$A:$A,"BOM",DATA_GOC!$D:$D,$B128,DATA_GOC!$F:$F,"Xuất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8" s="229" t="str">
        <f>IF($B128="","",IF(I$4&gt;DAY(EOMONTH(DATE($D$2,$B$2,1),0)),"",SUMIFS(DATA_GOC!$H:$H,DATA_GOC!$A:$A,"BOM",DATA_GOC!$D:$D,$B128,DATA_GOC!$F:$F,"Xuất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8" s="229" t="str">
        <f>IF($B128="","",IF(J$4&gt;DAY(EOMONTH(DATE($D$2,$B$2,1),0)),"",SUMIFS(DATA_GOC!$H:$H,DATA_GOC!$A:$A,"BOM",DATA_GOC!$D:$D,$B128,DATA_GOC!$F:$F,"Xuất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8" s="229" t="str">
        <f>IF($B128="","",IF(K$4&gt;DAY(EOMONTH(DATE($D$2,$B$2,1),0)),"",SUMIFS(DATA_GOC!$H:$H,DATA_GOC!$A:$A,"BOM",DATA_GOC!$D:$D,$B128,DATA_GOC!$F:$F,"Xuất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8" s="229" t="str">
        <f>IF($B128="","",IF(L$4&gt;DAY(EOMONTH(DATE($D$2,$B$2,1),0)),"",SUMIFS(DATA_GOC!$H:$H,DATA_GOC!$A:$A,"BOM",DATA_GOC!$D:$D,$B128,DATA_GOC!$F:$F,"Xuất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8" s="229" t="str">
        <f>IF($B128="","",IF(M$4&gt;DAY(EOMONTH(DATE($D$2,$B$2,1),0)),"",SUMIFS(DATA_GOC!$H:$H,DATA_GOC!$A:$A,"BOM",DATA_GOC!$D:$D,$B128,DATA_GOC!$F:$F,"Xuất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8" s="61" t="str">
        <f>IF($B128="","",IF(N$4&gt;DAY(EOMONTH(DATE($D$2,$B$2,1),0)),"",SUMIFS(DATA_GOC!$H:$H,DATA_GOC!$A:$A,"BOM",DATA_GOC!$D:$D,$B128,DATA_GOC!$F:$F,"Xuất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8" s="61" t="str">
        <f>IF($B128="","",IF(O$4&gt;DAY(EOMONTH(DATE($D$2,$B$2,1),0)),"",SUMIFS(DATA_GOC!$H:$H,DATA_GOC!$A:$A,"BOM",DATA_GOC!$D:$D,$B128,DATA_GOC!$F:$F,"Xuất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8" s="61" t="str">
        <f>IF($B128="","",IF(P$4&gt;DAY(EOMONTH(DATE($D$2,$B$2,1),0)),"",SUMIFS(DATA_GOC!$H:$H,DATA_GOC!$A:$A,"BOM",DATA_GOC!$D:$D,$B128,DATA_GOC!$F:$F,"Xuất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8" s="61" t="str">
        <f>IF($B128="","",IF(Q$4&gt;DAY(EOMONTH(DATE($D$2,$B$2,1),0)),"",SUMIFS(DATA_GOC!$H:$H,DATA_GOC!$A:$A,"BOM",DATA_GOC!$D:$D,$B128,DATA_GOC!$F:$F,"Xuất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8" s="61" t="str">
        <f>IF($B128="","",IF(R$4&gt;DAY(EOMONTH(DATE($D$2,$B$2,1),0)),"",SUMIFS(DATA_GOC!$H:$H,DATA_GOC!$A:$A,"BOM",DATA_GOC!$D:$D,$B128,DATA_GOC!$F:$F,"Xuất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8" s="61" t="str">
        <f>IF($B128="","",IF(S$4&gt;DAY(EOMONTH(DATE($D$2,$B$2,1),0)),"",SUMIFS(DATA_GOC!$H:$H,DATA_GOC!$A:$A,"BOM",DATA_GOC!$D:$D,$B128,DATA_GOC!$F:$F,"Xuất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8" s="229" t="str">
        <f>IF($B128="","",IF(T$4&gt;DAY(EOMONTH(DATE($D$2,$B$2,1),0)),"",SUMIFS(DATA_GOC!$H:$H,DATA_GOC!$A:$A,"BOM",DATA_GOC!$D:$D,$B128,DATA_GOC!$F:$F,"Xuất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8" s="229" t="str">
        <f>IF($B128="","",IF(U$4&gt;DAY(EOMONTH(DATE($D$2,$B$2,1),0)),"",SUMIFS(DATA_GOC!$H:$H,DATA_GOC!$A:$A,"BOM",DATA_GOC!$D:$D,$B128,DATA_GOC!$F:$F,"Xuất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8" s="229" t="str">
        <f>IF($B128="","",IF(V$4&gt;DAY(EOMONTH(DATE($D$2,$B$2,1),0)),"",SUMIFS(DATA_GOC!$H:$H,DATA_GOC!$A:$A,"BOM",DATA_GOC!$D:$D,$B128,DATA_GOC!$F:$F,"Xuất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8" s="61" t="str">
        <f>IF($B128="","",IF(W$4&gt;DAY(EOMONTH(DATE($D$2,$B$2,1),0)),"",SUMIFS(DATA_GOC!$H:$H,DATA_GOC!$A:$A,"BOM",DATA_GOC!$D:$D,$B128,DATA_GOC!$F:$F,"Xuất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8" s="229" t="str">
        <f>IF($B128="","",IF(X$4&gt;DAY(EOMONTH(DATE($D$2,$B$2,1),0)),"",SUMIFS(DATA_GOC!$H:$H,DATA_GOC!$A:$A,"BOM",DATA_GOC!$D:$D,$B128,DATA_GOC!$F:$F,"Xuất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8" s="229" t="str">
        <f>IF($B128="","",IF(Y$4&gt;DAY(EOMONTH(DATE($D$2,$B$2,1),0)),"",SUMIFS(DATA_GOC!$H:$H,DATA_GOC!$A:$A,"BOM",DATA_GOC!$D:$D,$B128,DATA_GOC!$F:$F,"Xuất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8" s="229" t="str">
        <f>IF($B128="","",IF(Z$4&gt;DAY(EOMONTH(DATE($D$2,$B$2,1),0)),"",SUMIFS(DATA_GOC!$H:$H,DATA_GOC!$A:$A,"BOM",DATA_GOC!$D:$D,$B128,DATA_GOC!$F:$F,"Xuất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8" s="229" t="str">
        <f>IF($B128="","",IF(AA$4&gt;DAY(EOMONTH(DATE($D$2,$B$2,1),0)),"",SUMIFS(DATA_GOC!$H:$H,DATA_GOC!$A:$A,"BOM",DATA_GOC!$D:$D,$B128,DATA_GOC!$F:$F,"Xuất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8" s="229" t="str">
        <f>IF($B128="","",IF(AB$4&gt;DAY(EOMONTH(DATE($D$2,$B$2,1),0)),"",SUMIFS(DATA_GOC!$H:$H,DATA_GOC!$A:$A,"BOM",DATA_GOC!$D:$D,$B128,DATA_GOC!$F:$F,"Xuất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8" s="61" t="str">
        <f>IF($B128="","",IF(AC$4&gt;DAY(EOMONTH(DATE($D$2,$B$2,1),0)),"",SUMIFS(DATA_GOC!$H:$H,DATA_GOC!$A:$A,"BOM",DATA_GOC!$D:$D,$B128,DATA_GOC!$F:$F,"Xuất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8" s="222" t="str">
        <f>IF($B128="","",IF(AD$4&gt;DAY(EOMONTH(DATE($D$2,$B$2,1),0)),"",SUMIFS(DATA_GOC!$H:$H,DATA_GOC!$A:$A,"BOM",DATA_GOC!$D:$D,$B128,DATA_GOC!$F:$F,"Xuất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8" s="222" t="str">
        <f>IF($B128="","",IF(AE$4&gt;DAY(EOMONTH(DATE($D$2,$B$2,1),0)),"",SUMIFS(DATA_GOC!$H:$H,DATA_GOC!$A:$A,"BOM",DATA_GOC!$D:$D,$B128,DATA_GOC!$F:$F,"Xuất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8" s="222" t="str">
        <f>IF($B128="","",IF(AF$4&gt;DAY(EOMONTH(DATE($D$2,$B$2,1),0)),"",SUMIFS(DATA_GOC!$H:$H,DATA_GOC!$A:$A,"BOM",DATA_GOC!$D:$D,$B128,DATA_GOC!$F:$F,"Xuất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8" s="222" t="str">
        <f>IF($B128="","",IF(AG$4&gt;DAY(EOMONTH(DATE($D$2,$B$2,1),0)),"",SUMIFS(DATA_GOC!$H:$H,DATA_GOC!$A:$A,"BOM",DATA_GOC!$D:$D,$B128,DATA_GOC!$F:$F,"Xuất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8" s="222" t="str">
        <f t="shared" si="2"/>
        <v/>
      </c>
      <c r="AI128" s="222" t="str">
        <f>IF($B128="","",SUMIFS(DATA_GOC!$H:$H,DATA_GOC!$A:$A,"BOM",DATA_GOC!$D:$D,$B128,DATA_GOC!$F:$F,"Bơm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8" s="222" t="str">
        <f t="shared" si="3"/>
        <v/>
      </c>
      <c r="AM128" s="222" t="str">
        <f>IF($B128="","",SUMIFS(DATA_GOC!$K:$K,DATA_GOC!$A:$A,"BOM",DATA_GOC!$D:$D,$B128,DATA_GOC!$G:$G,"DO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8" s="222" t="str">
        <f t="shared" si="4"/>
        <v/>
      </c>
      <c r="AO128" s="227" t="str">
        <f t="shared" si="5"/>
        <v/>
      </c>
      <c r="AP128" s="226" t="str">
        <f>IF($B128="","",IFERROR(AO128-(SUMIFS(DATA_GOC!$H:$H,DATA_GOC!$A:$A,"BOM",DATA_GOC!$D:$D,$B128,DATA_GOC!$F:$F,"Xuất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8" s="59">
        <v>3.0</v>
      </c>
      <c r="AR128" s="59">
        <v>2026.0</v>
      </c>
      <c r="AS128" s="59" t="s">
        <v>97</v>
      </c>
      <c r="AT128" s="59">
        <v>1361.642</v>
      </c>
      <c r="AU128" s="59">
        <v>0.0</v>
      </c>
      <c r="AV128" s="59">
        <v>1361.642</v>
      </c>
      <c r="AW128" s="59">
        <v>1769.0</v>
      </c>
      <c r="AX128" s="59">
        <v>76.9724137931034</v>
      </c>
      <c r="AY128" s="59">
        <v>611.39</v>
      </c>
      <c r="AZ128" s="59">
        <v>750.252</v>
      </c>
      <c r="BA128" s="59">
        <v>20.39</v>
      </c>
      <c r="BB128" s="59">
        <v>0.0</v>
      </c>
      <c r="BC128" s="59" t="s">
        <v>483</v>
      </c>
    </row>
    <row r="129" ht="15.0" customHeight="1">
      <c r="A129" s="61" t="str">
        <f t="shared" si="1"/>
        <v/>
      </c>
      <c r="B129" s="228" t="str">
        <f t="array" ref="B129">IFERROR(INDEX(DANH_MUC!$E:$E,ROW()-1),"")</f>
        <v/>
      </c>
      <c r="C129" s="228" t="str">
        <f>IF($B129="","",IF(C$4&gt;DAY(EOMONTH(DATE($D$2,$B$2,1),0)),"",SUMIFS(DATA_GOC!$H:$H,DATA_GOC!$A:$A,"BOM",DATA_GOC!$D:$D,$B129,DATA_GOC!$F:$F,"Xuất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29" s="61" t="str">
        <f>IF($B129="","",IF(D$4&gt;DAY(EOMONTH(DATE($D$2,$B$2,1),0)),"",SUMIFS(DATA_GOC!$H:$H,DATA_GOC!$A:$A,"BOM",DATA_GOC!$D:$D,$B129,DATA_GOC!$F:$F,"Xuất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29" s="229" t="str">
        <f>IF($B129="","",IF(E$4&gt;DAY(EOMONTH(DATE($D$2,$B$2,1),0)),"",SUMIFS(DATA_GOC!$H:$H,DATA_GOC!$A:$A,"BOM",DATA_GOC!$D:$D,$B129,DATA_GOC!$F:$F,"Xuất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29" s="229" t="str">
        <f>IF($B129="","",IF(F$4&gt;DAY(EOMONTH(DATE($D$2,$B$2,1),0)),"",SUMIFS(DATA_GOC!$H:$H,DATA_GOC!$A:$A,"BOM",DATA_GOC!$D:$D,$B129,DATA_GOC!$F:$F,"Xuất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29" s="229" t="str">
        <f>IF($B129="","",IF(G$4&gt;DAY(EOMONTH(DATE($D$2,$B$2,1),0)),"",SUMIFS(DATA_GOC!$H:$H,DATA_GOC!$A:$A,"BOM",DATA_GOC!$D:$D,$B129,DATA_GOC!$F:$F,"Xuất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29" s="228" t="str">
        <f>IF($B129="","",IF(H$4&gt;DAY(EOMONTH(DATE($D$2,$B$2,1),0)),"",SUMIFS(DATA_GOC!$H:$H,DATA_GOC!$A:$A,"BOM",DATA_GOC!$D:$D,$B129,DATA_GOC!$F:$F,"Xuất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29" s="229" t="str">
        <f>IF($B129="","",IF(I$4&gt;DAY(EOMONTH(DATE($D$2,$B$2,1),0)),"",SUMIFS(DATA_GOC!$H:$H,DATA_GOC!$A:$A,"BOM",DATA_GOC!$D:$D,$B129,DATA_GOC!$F:$F,"Xuất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29" s="229" t="str">
        <f>IF($B129="","",IF(J$4&gt;DAY(EOMONTH(DATE($D$2,$B$2,1),0)),"",SUMIFS(DATA_GOC!$H:$H,DATA_GOC!$A:$A,"BOM",DATA_GOC!$D:$D,$B129,DATA_GOC!$F:$F,"Xuất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29" s="229" t="str">
        <f>IF($B129="","",IF(K$4&gt;DAY(EOMONTH(DATE($D$2,$B$2,1),0)),"",SUMIFS(DATA_GOC!$H:$H,DATA_GOC!$A:$A,"BOM",DATA_GOC!$D:$D,$B129,DATA_GOC!$F:$F,"Xuất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29" s="229" t="str">
        <f>IF($B129="","",IF(L$4&gt;DAY(EOMONTH(DATE($D$2,$B$2,1),0)),"",SUMIFS(DATA_GOC!$H:$H,DATA_GOC!$A:$A,"BOM",DATA_GOC!$D:$D,$B129,DATA_GOC!$F:$F,"Xuất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29" s="229" t="str">
        <f>IF($B129="","",IF(M$4&gt;DAY(EOMONTH(DATE($D$2,$B$2,1),0)),"",SUMIFS(DATA_GOC!$H:$H,DATA_GOC!$A:$A,"BOM",DATA_GOC!$D:$D,$B129,DATA_GOC!$F:$F,"Xuất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29" s="61" t="str">
        <f>IF($B129="","",IF(N$4&gt;DAY(EOMONTH(DATE($D$2,$B$2,1),0)),"",SUMIFS(DATA_GOC!$H:$H,DATA_GOC!$A:$A,"BOM",DATA_GOC!$D:$D,$B129,DATA_GOC!$F:$F,"Xuất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29" s="61" t="str">
        <f>IF($B129="","",IF(O$4&gt;DAY(EOMONTH(DATE($D$2,$B$2,1),0)),"",SUMIFS(DATA_GOC!$H:$H,DATA_GOC!$A:$A,"BOM",DATA_GOC!$D:$D,$B129,DATA_GOC!$F:$F,"Xuất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29" s="61" t="str">
        <f>IF($B129="","",IF(P$4&gt;DAY(EOMONTH(DATE($D$2,$B$2,1),0)),"",SUMIFS(DATA_GOC!$H:$H,DATA_GOC!$A:$A,"BOM",DATA_GOC!$D:$D,$B129,DATA_GOC!$F:$F,"Xuất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29" s="61" t="str">
        <f>IF($B129="","",IF(Q$4&gt;DAY(EOMONTH(DATE($D$2,$B$2,1),0)),"",SUMIFS(DATA_GOC!$H:$H,DATA_GOC!$A:$A,"BOM",DATA_GOC!$D:$D,$B129,DATA_GOC!$F:$F,"Xuất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29" s="61" t="str">
        <f>IF($B129="","",IF(R$4&gt;DAY(EOMONTH(DATE($D$2,$B$2,1),0)),"",SUMIFS(DATA_GOC!$H:$H,DATA_GOC!$A:$A,"BOM",DATA_GOC!$D:$D,$B129,DATA_GOC!$F:$F,"Xuất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29" s="61" t="str">
        <f>IF($B129="","",IF(S$4&gt;DAY(EOMONTH(DATE($D$2,$B$2,1),0)),"",SUMIFS(DATA_GOC!$H:$H,DATA_GOC!$A:$A,"BOM",DATA_GOC!$D:$D,$B129,DATA_GOC!$F:$F,"Xuất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29" s="229" t="str">
        <f>IF($B129="","",IF(T$4&gt;DAY(EOMONTH(DATE($D$2,$B$2,1),0)),"",SUMIFS(DATA_GOC!$H:$H,DATA_GOC!$A:$A,"BOM",DATA_GOC!$D:$D,$B129,DATA_GOC!$F:$F,"Xuất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29" s="229" t="str">
        <f>IF($B129="","",IF(U$4&gt;DAY(EOMONTH(DATE($D$2,$B$2,1),0)),"",SUMIFS(DATA_GOC!$H:$H,DATA_GOC!$A:$A,"BOM",DATA_GOC!$D:$D,$B129,DATA_GOC!$F:$F,"Xuất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29" s="229" t="str">
        <f>IF($B129="","",IF(V$4&gt;DAY(EOMONTH(DATE($D$2,$B$2,1),0)),"",SUMIFS(DATA_GOC!$H:$H,DATA_GOC!$A:$A,"BOM",DATA_GOC!$D:$D,$B129,DATA_GOC!$F:$F,"Xuất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29" s="61" t="str">
        <f>IF($B129="","",IF(W$4&gt;DAY(EOMONTH(DATE($D$2,$B$2,1),0)),"",SUMIFS(DATA_GOC!$H:$H,DATA_GOC!$A:$A,"BOM",DATA_GOC!$D:$D,$B129,DATA_GOC!$F:$F,"Xuất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29" s="229" t="str">
        <f>IF($B129="","",IF(X$4&gt;DAY(EOMONTH(DATE($D$2,$B$2,1),0)),"",SUMIFS(DATA_GOC!$H:$H,DATA_GOC!$A:$A,"BOM",DATA_GOC!$D:$D,$B129,DATA_GOC!$F:$F,"Xuất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29" s="229" t="str">
        <f>IF($B129="","",IF(Y$4&gt;DAY(EOMONTH(DATE($D$2,$B$2,1),0)),"",SUMIFS(DATA_GOC!$H:$H,DATA_GOC!$A:$A,"BOM",DATA_GOC!$D:$D,$B129,DATA_GOC!$F:$F,"Xuất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29" s="229" t="str">
        <f>IF($B129="","",IF(Z$4&gt;DAY(EOMONTH(DATE($D$2,$B$2,1),0)),"",SUMIFS(DATA_GOC!$H:$H,DATA_GOC!$A:$A,"BOM",DATA_GOC!$D:$D,$B129,DATA_GOC!$F:$F,"Xuất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29" s="229" t="str">
        <f>IF($B129="","",IF(AA$4&gt;DAY(EOMONTH(DATE($D$2,$B$2,1),0)),"",SUMIFS(DATA_GOC!$H:$H,DATA_GOC!$A:$A,"BOM",DATA_GOC!$D:$D,$B129,DATA_GOC!$F:$F,"Xuất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29" s="229" t="str">
        <f>IF($B129="","",IF(AB$4&gt;DAY(EOMONTH(DATE($D$2,$B$2,1),0)),"",SUMIFS(DATA_GOC!$H:$H,DATA_GOC!$A:$A,"BOM",DATA_GOC!$D:$D,$B129,DATA_GOC!$F:$F,"Xuất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29" s="61" t="str">
        <f>IF($B129="","",IF(AC$4&gt;DAY(EOMONTH(DATE($D$2,$B$2,1),0)),"",SUMIFS(DATA_GOC!$H:$H,DATA_GOC!$A:$A,"BOM",DATA_GOC!$D:$D,$B129,DATA_GOC!$F:$F,"Xuất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29" s="222" t="str">
        <f>IF($B129="","",IF(AD$4&gt;DAY(EOMONTH(DATE($D$2,$B$2,1),0)),"",SUMIFS(DATA_GOC!$H:$H,DATA_GOC!$A:$A,"BOM",DATA_GOC!$D:$D,$B129,DATA_GOC!$F:$F,"Xuất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29" s="222" t="str">
        <f>IF($B129="","",IF(AE$4&gt;DAY(EOMONTH(DATE($D$2,$B$2,1),0)),"",SUMIFS(DATA_GOC!$H:$H,DATA_GOC!$A:$A,"BOM",DATA_GOC!$D:$D,$B129,DATA_GOC!$F:$F,"Xuất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29" s="222" t="str">
        <f>IF($B129="","",IF(AF$4&gt;DAY(EOMONTH(DATE($D$2,$B$2,1),0)),"",SUMIFS(DATA_GOC!$H:$H,DATA_GOC!$A:$A,"BOM",DATA_GOC!$D:$D,$B129,DATA_GOC!$F:$F,"Xuất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29" s="222" t="str">
        <f>IF($B129="","",IF(AG$4&gt;DAY(EOMONTH(DATE($D$2,$B$2,1),0)),"",SUMIFS(DATA_GOC!$H:$H,DATA_GOC!$A:$A,"BOM",DATA_GOC!$D:$D,$B129,DATA_GOC!$F:$F,"Xuất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29" s="222" t="str">
        <f t="shared" si="2"/>
        <v/>
      </c>
      <c r="AI129" s="222" t="str">
        <f>IF($B129="","",SUMIFS(DATA_GOC!$H:$H,DATA_GOC!$A:$A,"BOM",DATA_GOC!$D:$D,$B129,DATA_GOC!$F:$F,"Bơm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29" s="222" t="str">
        <f t="shared" si="3"/>
        <v/>
      </c>
      <c r="AM129" s="222" t="str">
        <f>IF($B129="","",SUMIFS(DATA_GOC!$K:$K,DATA_GOC!$A:$A,"BOM",DATA_GOC!$D:$D,$B129,DATA_GOC!$G:$G,"DO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29" s="222" t="str">
        <f t="shared" si="4"/>
        <v/>
      </c>
      <c r="AO129" s="227" t="str">
        <f t="shared" si="5"/>
        <v/>
      </c>
      <c r="AP129" s="226" t="str">
        <f>IF($B129="","",IFERROR(AO129-(SUMIFS(DATA_GOC!$H:$H,DATA_GOC!$A:$A,"BOM",DATA_GOC!$D:$D,$B129,DATA_GOC!$F:$F,"Xuất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số",DATA_GOC!$B:$B,"&gt;="&amp;EDATE(DATE($D$2,$B$2,1),-1),DATA_GOC!$B:$B,"&lt;"&amp;DATE($D$2,$B$2,1))/SUMIFS(DATA_GOC!$K:$K,DATA_GOC!$A:$A,"BOM",DATA_GOC!$D:$D,$B129,DATA_GOC!$G:$G,"DO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29" s="59">
        <v>4.0</v>
      </c>
      <c r="AR129" s="59">
        <v>2026.0</v>
      </c>
      <c r="AS129" s="59" t="s">
        <v>154</v>
      </c>
      <c r="AT129" s="59">
        <v>573.059</v>
      </c>
      <c r="AU129" s="59">
        <v>0.0</v>
      </c>
      <c r="AV129" s="59">
        <v>573.059</v>
      </c>
      <c r="AW129" s="59">
        <v>1780.0</v>
      </c>
      <c r="AX129" s="59">
        <v>32.1943258426966</v>
      </c>
      <c r="AY129" s="59">
        <v>0.0</v>
      </c>
      <c r="AZ129" s="59">
        <v>573.059</v>
      </c>
      <c r="BA129" s="59">
        <v>0.0</v>
      </c>
      <c r="BB129" s="59">
        <v>0.0</v>
      </c>
      <c r="BC129" s="59" t="s">
        <v>484</v>
      </c>
    </row>
    <row r="130" ht="15.0" customHeight="1">
      <c r="A130" s="61" t="str">
        <f t="shared" si="1"/>
        <v/>
      </c>
      <c r="B130" s="228" t="str">
        <f t="array" ref="B130">IFERROR(INDEX(DANH_MUC!$E:$E,ROW()-1),"")</f>
        <v/>
      </c>
      <c r="C130" s="228" t="str">
        <f>IF($B130="","",IF(C$4&gt;DAY(EOMONTH(DATE($D$2,$B$2,1),0)),"",SUMIFS(DATA_GOC!$H:$H,DATA_GOC!$A:$A,"BOM",DATA_GOC!$D:$D,$B130,DATA_GOC!$F:$F,"Xuất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0" s="61" t="str">
        <f>IF($B130="","",IF(D$4&gt;DAY(EOMONTH(DATE($D$2,$B$2,1),0)),"",SUMIFS(DATA_GOC!$H:$H,DATA_GOC!$A:$A,"BOM",DATA_GOC!$D:$D,$B130,DATA_GOC!$F:$F,"Xuất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0" s="229" t="str">
        <f>IF($B130="","",IF(E$4&gt;DAY(EOMONTH(DATE($D$2,$B$2,1),0)),"",SUMIFS(DATA_GOC!$H:$H,DATA_GOC!$A:$A,"BOM",DATA_GOC!$D:$D,$B130,DATA_GOC!$F:$F,"Xuất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0" s="229" t="str">
        <f>IF($B130="","",IF(F$4&gt;DAY(EOMONTH(DATE($D$2,$B$2,1),0)),"",SUMIFS(DATA_GOC!$H:$H,DATA_GOC!$A:$A,"BOM",DATA_GOC!$D:$D,$B130,DATA_GOC!$F:$F,"Xuất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0" s="229" t="str">
        <f>IF($B130="","",IF(G$4&gt;DAY(EOMONTH(DATE($D$2,$B$2,1),0)),"",SUMIFS(DATA_GOC!$H:$H,DATA_GOC!$A:$A,"BOM",DATA_GOC!$D:$D,$B130,DATA_GOC!$F:$F,"Xuất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0" s="228" t="str">
        <f>IF($B130="","",IF(H$4&gt;DAY(EOMONTH(DATE($D$2,$B$2,1),0)),"",SUMIFS(DATA_GOC!$H:$H,DATA_GOC!$A:$A,"BOM",DATA_GOC!$D:$D,$B130,DATA_GOC!$F:$F,"Xuất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0" s="229" t="str">
        <f>IF($B130="","",IF(I$4&gt;DAY(EOMONTH(DATE($D$2,$B$2,1),0)),"",SUMIFS(DATA_GOC!$H:$H,DATA_GOC!$A:$A,"BOM",DATA_GOC!$D:$D,$B130,DATA_GOC!$F:$F,"Xuất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0" s="229" t="str">
        <f>IF($B130="","",IF(J$4&gt;DAY(EOMONTH(DATE($D$2,$B$2,1),0)),"",SUMIFS(DATA_GOC!$H:$H,DATA_GOC!$A:$A,"BOM",DATA_GOC!$D:$D,$B130,DATA_GOC!$F:$F,"Xuất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0" s="229" t="str">
        <f>IF($B130="","",IF(K$4&gt;DAY(EOMONTH(DATE($D$2,$B$2,1),0)),"",SUMIFS(DATA_GOC!$H:$H,DATA_GOC!$A:$A,"BOM",DATA_GOC!$D:$D,$B130,DATA_GOC!$F:$F,"Xuất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0" s="229" t="str">
        <f>IF($B130="","",IF(L$4&gt;DAY(EOMONTH(DATE($D$2,$B$2,1),0)),"",SUMIFS(DATA_GOC!$H:$H,DATA_GOC!$A:$A,"BOM",DATA_GOC!$D:$D,$B130,DATA_GOC!$F:$F,"Xuất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0" s="229" t="str">
        <f>IF($B130="","",IF(M$4&gt;DAY(EOMONTH(DATE($D$2,$B$2,1),0)),"",SUMIFS(DATA_GOC!$H:$H,DATA_GOC!$A:$A,"BOM",DATA_GOC!$D:$D,$B130,DATA_GOC!$F:$F,"Xuất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0" s="61" t="str">
        <f>IF($B130="","",IF(N$4&gt;DAY(EOMONTH(DATE($D$2,$B$2,1),0)),"",SUMIFS(DATA_GOC!$H:$H,DATA_GOC!$A:$A,"BOM",DATA_GOC!$D:$D,$B130,DATA_GOC!$F:$F,"Xuất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0" s="61" t="str">
        <f>IF($B130="","",IF(O$4&gt;DAY(EOMONTH(DATE($D$2,$B$2,1),0)),"",SUMIFS(DATA_GOC!$H:$H,DATA_GOC!$A:$A,"BOM",DATA_GOC!$D:$D,$B130,DATA_GOC!$F:$F,"Xuất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0" s="61" t="str">
        <f>IF($B130="","",IF(P$4&gt;DAY(EOMONTH(DATE($D$2,$B$2,1),0)),"",SUMIFS(DATA_GOC!$H:$H,DATA_GOC!$A:$A,"BOM",DATA_GOC!$D:$D,$B130,DATA_GOC!$F:$F,"Xuất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0" s="61" t="str">
        <f>IF($B130="","",IF(Q$4&gt;DAY(EOMONTH(DATE($D$2,$B$2,1),0)),"",SUMIFS(DATA_GOC!$H:$H,DATA_GOC!$A:$A,"BOM",DATA_GOC!$D:$D,$B130,DATA_GOC!$F:$F,"Xuất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0" s="61" t="str">
        <f>IF($B130="","",IF(R$4&gt;DAY(EOMONTH(DATE($D$2,$B$2,1),0)),"",SUMIFS(DATA_GOC!$H:$H,DATA_GOC!$A:$A,"BOM",DATA_GOC!$D:$D,$B130,DATA_GOC!$F:$F,"Xuất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0" s="61" t="str">
        <f>IF($B130="","",IF(S$4&gt;DAY(EOMONTH(DATE($D$2,$B$2,1),0)),"",SUMIFS(DATA_GOC!$H:$H,DATA_GOC!$A:$A,"BOM",DATA_GOC!$D:$D,$B130,DATA_GOC!$F:$F,"Xuất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0" s="229" t="str">
        <f>IF($B130="","",IF(T$4&gt;DAY(EOMONTH(DATE($D$2,$B$2,1),0)),"",SUMIFS(DATA_GOC!$H:$H,DATA_GOC!$A:$A,"BOM",DATA_GOC!$D:$D,$B130,DATA_GOC!$F:$F,"Xuất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0" s="229" t="str">
        <f>IF($B130="","",IF(U$4&gt;DAY(EOMONTH(DATE($D$2,$B$2,1),0)),"",SUMIFS(DATA_GOC!$H:$H,DATA_GOC!$A:$A,"BOM",DATA_GOC!$D:$D,$B130,DATA_GOC!$F:$F,"Xuất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0" s="229" t="str">
        <f>IF($B130="","",IF(V$4&gt;DAY(EOMONTH(DATE($D$2,$B$2,1),0)),"",SUMIFS(DATA_GOC!$H:$H,DATA_GOC!$A:$A,"BOM",DATA_GOC!$D:$D,$B130,DATA_GOC!$F:$F,"Xuất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0" s="61" t="str">
        <f>IF($B130="","",IF(W$4&gt;DAY(EOMONTH(DATE($D$2,$B$2,1),0)),"",SUMIFS(DATA_GOC!$H:$H,DATA_GOC!$A:$A,"BOM",DATA_GOC!$D:$D,$B130,DATA_GOC!$F:$F,"Xuất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0" s="229" t="str">
        <f>IF($B130="","",IF(X$4&gt;DAY(EOMONTH(DATE($D$2,$B$2,1),0)),"",SUMIFS(DATA_GOC!$H:$H,DATA_GOC!$A:$A,"BOM",DATA_GOC!$D:$D,$B130,DATA_GOC!$F:$F,"Xuất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0" s="229" t="str">
        <f>IF($B130="","",IF(Y$4&gt;DAY(EOMONTH(DATE($D$2,$B$2,1),0)),"",SUMIFS(DATA_GOC!$H:$H,DATA_GOC!$A:$A,"BOM",DATA_GOC!$D:$D,$B130,DATA_GOC!$F:$F,"Xuất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0" s="229" t="str">
        <f>IF($B130="","",IF(Z$4&gt;DAY(EOMONTH(DATE($D$2,$B$2,1),0)),"",SUMIFS(DATA_GOC!$H:$H,DATA_GOC!$A:$A,"BOM",DATA_GOC!$D:$D,$B130,DATA_GOC!$F:$F,"Xuất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0" s="229" t="str">
        <f>IF($B130="","",IF(AA$4&gt;DAY(EOMONTH(DATE($D$2,$B$2,1),0)),"",SUMIFS(DATA_GOC!$H:$H,DATA_GOC!$A:$A,"BOM",DATA_GOC!$D:$D,$B130,DATA_GOC!$F:$F,"Xuất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0" s="229" t="str">
        <f>IF($B130="","",IF(AB$4&gt;DAY(EOMONTH(DATE($D$2,$B$2,1),0)),"",SUMIFS(DATA_GOC!$H:$H,DATA_GOC!$A:$A,"BOM",DATA_GOC!$D:$D,$B130,DATA_GOC!$F:$F,"Xuất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0" s="61" t="str">
        <f>IF($B130="","",IF(AC$4&gt;DAY(EOMONTH(DATE($D$2,$B$2,1),0)),"",SUMIFS(DATA_GOC!$H:$H,DATA_GOC!$A:$A,"BOM",DATA_GOC!$D:$D,$B130,DATA_GOC!$F:$F,"Xuất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0" s="222" t="str">
        <f>IF($B130="","",IF(AD$4&gt;DAY(EOMONTH(DATE($D$2,$B$2,1),0)),"",SUMIFS(DATA_GOC!$H:$H,DATA_GOC!$A:$A,"BOM",DATA_GOC!$D:$D,$B130,DATA_GOC!$F:$F,"Xuất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0" s="222" t="str">
        <f>IF($B130="","",IF(AE$4&gt;DAY(EOMONTH(DATE($D$2,$B$2,1),0)),"",SUMIFS(DATA_GOC!$H:$H,DATA_GOC!$A:$A,"BOM",DATA_GOC!$D:$D,$B130,DATA_GOC!$F:$F,"Xuất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0" s="222" t="str">
        <f>IF($B130="","",IF(AF$4&gt;DAY(EOMONTH(DATE($D$2,$B$2,1),0)),"",SUMIFS(DATA_GOC!$H:$H,DATA_GOC!$A:$A,"BOM",DATA_GOC!$D:$D,$B130,DATA_GOC!$F:$F,"Xuất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0" s="222" t="str">
        <f>IF($B130="","",IF(AG$4&gt;DAY(EOMONTH(DATE($D$2,$B$2,1),0)),"",SUMIFS(DATA_GOC!$H:$H,DATA_GOC!$A:$A,"BOM",DATA_GOC!$D:$D,$B130,DATA_GOC!$F:$F,"Xuất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0" s="222" t="str">
        <f t="shared" si="2"/>
        <v/>
      </c>
      <c r="AI130" s="222" t="str">
        <f>IF($B130="","",SUMIFS(DATA_GOC!$H:$H,DATA_GOC!$A:$A,"BOM",DATA_GOC!$D:$D,$B130,DATA_GOC!$F:$F,"Bơm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0" s="222" t="str">
        <f t="shared" si="3"/>
        <v/>
      </c>
      <c r="AM130" s="222" t="str">
        <f>IF($B130="","",SUMIFS(DATA_GOC!$K:$K,DATA_GOC!$A:$A,"BOM",DATA_GOC!$D:$D,$B130,DATA_GOC!$G:$G,"DO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0" s="222" t="str">
        <f t="shared" si="4"/>
        <v/>
      </c>
      <c r="AO130" s="227" t="str">
        <f t="shared" si="5"/>
        <v/>
      </c>
      <c r="AP130" s="226" t="str">
        <f>IF($B130="","",IFERROR(AO130-(SUMIFS(DATA_GOC!$H:$H,DATA_GOC!$A:$A,"BOM",DATA_GOC!$D:$D,$B130,DATA_GOC!$F:$F,"Xuất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0" s="59">
        <v>4.0</v>
      </c>
      <c r="AR130" s="59">
        <v>2026.0</v>
      </c>
      <c r="AS130" s="59" t="s">
        <v>161</v>
      </c>
      <c r="AT130" s="59">
        <v>523.988</v>
      </c>
      <c r="AU130" s="59">
        <v>0.0</v>
      </c>
      <c r="AV130" s="59">
        <v>523.988</v>
      </c>
      <c r="AW130" s="59">
        <v>1429.0</v>
      </c>
      <c r="AX130" s="59">
        <v>36.6681595521344</v>
      </c>
      <c r="AY130" s="59">
        <v>131.16</v>
      </c>
      <c r="AZ130" s="59">
        <v>392.828</v>
      </c>
      <c r="BA130" s="59">
        <v>1.16</v>
      </c>
      <c r="BB130" s="59">
        <v>0.0</v>
      </c>
      <c r="BC130" s="59" t="s">
        <v>485</v>
      </c>
    </row>
    <row r="131" ht="15.0" customHeight="1">
      <c r="A131" s="61" t="str">
        <f t="shared" si="1"/>
        <v/>
      </c>
      <c r="B131" s="228" t="str">
        <f t="array" ref="B131">IFERROR(INDEX(DANH_MUC!$E:$E,ROW()-1),"")</f>
        <v/>
      </c>
      <c r="C131" s="228" t="str">
        <f>IF($B131="","",IF(C$4&gt;DAY(EOMONTH(DATE($D$2,$B$2,1),0)),"",SUMIFS(DATA_GOC!$H:$H,DATA_GOC!$A:$A,"BOM",DATA_GOC!$D:$D,$B131,DATA_GOC!$F:$F,"Xuất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1" s="61" t="str">
        <f>IF($B131="","",IF(D$4&gt;DAY(EOMONTH(DATE($D$2,$B$2,1),0)),"",SUMIFS(DATA_GOC!$H:$H,DATA_GOC!$A:$A,"BOM",DATA_GOC!$D:$D,$B131,DATA_GOC!$F:$F,"Xuất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1" s="229" t="str">
        <f>IF($B131="","",IF(E$4&gt;DAY(EOMONTH(DATE($D$2,$B$2,1),0)),"",SUMIFS(DATA_GOC!$H:$H,DATA_GOC!$A:$A,"BOM",DATA_GOC!$D:$D,$B131,DATA_GOC!$F:$F,"Xuất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1" s="229" t="str">
        <f>IF($B131="","",IF(F$4&gt;DAY(EOMONTH(DATE($D$2,$B$2,1),0)),"",SUMIFS(DATA_GOC!$H:$H,DATA_GOC!$A:$A,"BOM",DATA_GOC!$D:$D,$B131,DATA_GOC!$F:$F,"Xuất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1" s="229" t="str">
        <f>IF($B131="","",IF(G$4&gt;DAY(EOMONTH(DATE($D$2,$B$2,1),0)),"",SUMIFS(DATA_GOC!$H:$H,DATA_GOC!$A:$A,"BOM",DATA_GOC!$D:$D,$B131,DATA_GOC!$F:$F,"Xuất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1" s="228" t="str">
        <f>IF($B131="","",IF(H$4&gt;DAY(EOMONTH(DATE($D$2,$B$2,1),0)),"",SUMIFS(DATA_GOC!$H:$H,DATA_GOC!$A:$A,"BOM",DATA_GOC!$D:$D,$B131,DATA_GOC!$F:$F,"Xuất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1" s="229" t="str">
        <f>IF($B131="","",IF(I$4&gt;DAY(EOMONTH(DATE($D$2,$B$2,1),0)),"",SUMIFS(DATA_GOC!$H:$H,DATA_GOC!$A:$A,"BOM",DATA_GOC!$D:$D,$B131,DATA_GOC!$F:$F,"Xuất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1" s="229" t="str">
        <f>IF($B131="","",IF(J$4&gt;DAY(EOMONTH(DATE($D$2,$B$2,1),0)),"",SUMIFS(DATA_GOC!$H:$H,DATA_GOC!$A:$A,"BOM",DATA_GOC!$D:$D,$B131,DATA_GOC!$F:$F,"Xuất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1" s="229" t="str">
        <f>IF($B131="","",IF(K$4&gt;DAY(EOMONTH(DATE($D$2,$B$2,1),0)),"",SUMIFS(DATA_GOC!$H:$H,DATA_GOC!$A:$A,"BOM",DATA_GOC!$D:$D,$B131,DATA_GOC!$F:$F,"Xuất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1" s="229" t="str">
        <f>IF($B131="","",IF(L$4&gt;DAY(EOMONTH(DATE($D$2,$B$2,1),0)),"",SUMIFS(DATA_GOC!$H:$H,DATA_GOC!$A:$A,"BOM",DATA_GOC!$D:$D,$B131,DATA_GOC!$F:$F,"Xuất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1" s="229" t="str">
        <f>IF($B131="","",IF(M$4&gt;DAY(EOMONTH(DATE($D$2,$B$2,1),0)),"",SUMIFS(DATA_GOC!$H:$H,DATA_GOC!$A:$A,"BOM",DATA_GOC!$D:$D,$B131,DATA_GOC!$F:$F,"Xuất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1" s="61" t="str">
        <f>IF($B131="","",IF(N$4&gt;DAY(EOMONTH(DATE($D$2,$B$2,1),0)),"",SUMIFS(DATA_GOC!$H:$H,DATA_GOC!$A:$A,"BOM",DATA_GOC!$D:$D,$B131,DATA_GOC!$F:$F,"Xuất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1" s="61" t="str">
        <f>IF($B131="","",IF(O$4&gt;DAY(EOMONTH(DATE($D$2,$B$2,1),0)),"",SUMIFS(DATA_GOC!$H:$H,DATA_GOC!$A:$A,"BOM",DATA_GOC!$D:$D,$B131,DATA_GOC!$F:$F,"Xuất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1" s="61" t="str">
        <f>IF($B131="","",IF(P$4&gt;DAY(EOMONTH(DATE($D$2,$B$2,1),0)),"",SUMIFS(DATA_GOC!$H:$H,DATA_GOC!$A:$A,"BOM",DATA_GOC!$D:$D,$B131,DATA_GOC!$F:$F,"Xuất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1" s="61" t="str">
        <f>IF($B131="","",IF(Q$4&gt;DAY(EOMONTH(DATE($D$2,$B$2,1),0)),"",SUMIFS(DATA_GOC!$H:$H,DATA_GOC!$A:$A,"BOM",DATA_GOC!$D:$D,$B131,DATA_GOC!$F:$F,"Xuất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1" s="61" t="str">
        <f>IF($B131="","",IF(R$4&gt;DAY(EOMONTH(DATE($D$2,$B$2,1),0)),"",SUMIFS(DATA_GOC!$H:$H,DATA_GOC!$A:$A,"BOM",DATA_GOC!$D:$D,$B131,DATA_GOC!$F:$F,"Xuất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1" s="61" t="str">
        <f>IF($B131="","",IF(S$4&gt;DAY(EOMONTH(DATE($D$2,$B$2,1),0)),"",SUMIFS(DATA_GOC!$H:$H,DATA_GOC!$A:$A,"BOM",DATA_GOC!$D:$D,$B131,DATA_GOC!$F:$F,"Xuất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1" s="229" t="str">
        <f>IF($B131="","",IF(T$4&gt;DAY(EOMONTH(DATE($D$2,$B$2,1),0)),"",SUMIFS(DATA_GOC!$H:$H,DATA_GOC!$A:$A,"BOM",DATA_GOC!$D:$D,$B131,DATA_GOC!$F:$F,"Xuất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1" s="229" t="str">
        <f>IF($B131="","",IF(U$4&gt;DAY(EOMONTH(DATE($D$2,$B$2,1),0)),"",SUMIFS(DATA_GOC!$H:$H,DATA_GOC!$A:$A,"BOM",DATA_GOC!$D:$D,$B131,DATA_GOC!$F:$F,"Xuất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1" s="229" t="str">
        <f>IF($B131="","",IF(V$4&gt;DAY(EOMONTH(DATE($D$2,$B$2,1),0)),"",SUMIFS(DATA_GOC!$H:$H,DATA_GOC!$A:$A,"BOM",DATA_GOC!$D:$D,$B131,DATA_GOC!$F:$F,"Xuất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1" s="61" t="str">
        <f>IF($B131="","",IF(W$4&gt;DAY(EOMONTH(DATE($D$2,$B$2,1),0)),"",SUMIFS(DATA_GOC!$H:$H,DATA_GOC!$A:$A,"BOM",DATA_GOC!$D:$D,$B131,DATA_GOC!$F:$F,"Xuất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1" s="229" t="str">
        <f>IF($B131="","",IF(X$4&gt;DAY(EOMONTH(DATE($D$2,$B$2,1),0)),"",SUMIFS(DATA_GOC!$H:$H,DATA_GOC!$A:$A,"BOM",DATA_GOC!$D:$D,$B131,DATA_GOC!$F:$F,"Xuất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1" s="229" t="str">
        <f>IF($B131="","",IF(Y$4&gt;DAY(EOMONTH(DATE($D$2,$B$2,1),0)),"",SUMIFS(DATA_GOC!$H:$H,DATA_GOC!$A:$A,"BOM",DATA_GOC!$D:$D,$B131,DATA_GOC!$F:$F,"Xuất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1" s="229" t="str">
        <f>IF($B131="","",IF(Z$4&gt;DAY(EOMONTH(DATE($D$2,$B$2,1),0)),"",SUMIFS(DATA_GOC!$H:$H,DATA_GOC!$A:$A,"BOM",DATA_GOC!$D:$D,$B131,DATA_GOC!$F:$F,"Xuất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1" s="229" t="str">
        <f>IF($B131="","",IF(AA$4&gt;DAY(EOMONTH(DATE($D$2,$B$2,1),0)),"",SUMIFS(DATA_GOC!$H:$H,DATA_GOC!$A:$A,"BOM",DATA_GOC!$D:$D,$B131,DATA_GOC!$F:$F,"Xuất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1" s="229" t="str">
        <f>IF($B131="","",IF(AB$4&gt;DAY(EOMONTH(DATE($D$2,$B$2,1),0)),"",SUMIFS(DATA_GOC!$H:$H,DATA_GOC!$A:$A,"BOM",DATA_GOC!$D:$D,$B131,DATA_GOC!$F:$F,"Xuất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1" s="61" t="str">
        <f>IF($B131="","",IF(AC$4&gt;DAY(EOMONTH(DATE($D$2,$B$2,1),0)),"",SUMIFS(DATA_GOC!$H:$H,DATA_GOC!$A:$A,"BOM",DATA_GOC!$D:$D,$B131,DATA_GOC!$F:$F,"Xuất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1" s="222" t="str">
        <f>IF($B131="","",IF(AD$4&gt;DAY(EOMONTH(DATE($D$2,$B$2,1),0)),"",SUMIFS(DATA_GOC!$H:$H,DATA_GOC!$A:$A,"BOM",DATA_GOC!$D:$D,$B131,DATA_GOC!$F:$F,"Xuất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1" s="222" t="str">
        <f>IF($B131="","",IF(AE$4&gt;DAY(EOMONTH(DATE($D$2,$B$2,1),0)),"",SUMIFS(DATA_GOC!$H:$H,DATA_GOC!$A:$A,"BOM",DATA_GOC!$D:$D,$B131,DATA_GOC!$F:$F,"Xuất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1" s="222" t="str">
        <f>IF($B131="","",IF(AF$4&gt;DAY(EOMONTH(DATE($D$2,$B$2,1),0)),"",SUMIFS(DATA_GOC!$H:$H,DATA_GOC!$A:$A,"BOM",DATA_GOC!$D:$D,$B131,DATA_GOC!$F:$F,"Xuất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1" s="222" t="str">
        <f>IF($B131="","",IF(AG$4&gt;DAY(EOMONTH(DATE($D$2,$B$2,1),0)),"",SUMIFS(DATA_GOC!$H:$H,DATA_GOC!$A:$A,"BOM",DATA_GOC!$D:$D,$B131,DATA_GOC!$F:$F,"Xuất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1" s="222" t="str">
        <f t="shared" si="2"/>
        <v/>
      </c>
      <c r="AI131" s="222" t="str">
        <f>IF($B131="","",SUMIFS(DATA_GOC!$H:$H,DATA_GOC!$A:$A,"BOM",DATA_GOC!$D:$D,$B131,DATA_GOC!$F:$F,"Bơm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1" s="222" t="str">
        <f t="shared" si="3"/>
        <v/>
      </c>
      <c r="AM131" s="222" t="str">
        <f>IF($B131="","",SUMIFS(DATA_GOC!$K:$K,DATA_GOC!$A:$A,"BOM",DATA_GOC!$D:$D,$B131,DATA_GOC!$G:$G,"DO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1" s="222" t="str">
        <f t="shared" si="4"/>
        <v/>
      </c>
      <c r="AO131" s="227" t="str">
        <f t="shared" si="5"/>
        <v/>
      </c>
      <c r="AP131" s="226" t="str">
        <f>IF($B131="","",IFERROR(AO131-(SUMIFS(DATA_GOC!$H:$H,DATA_GOC!$A:$A,"BOM",DATA_GOC!$D:$D,$B131,DATA_GOC!$F:$F,"Xuất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1" s="59">
        <v>4.0</v>
      </c>
      <c r="AR131" s="59">
        <v>2026.0</v>
      </c>
      <c r="AS131" s="59" t="s">
        <v>153</v>
      </c>
      <c r="AT131" s="59">
        <v>642.743</v>
      </c>
      <c r="AU131" s="59">
        <v>0.0</v>
      </c>
      <c r="AV131" s="59">
        <v>642.743</v>
      </c>
      <c r="AW131" s="59">
        <v>2372.0</v>
      </c>
      <c r="AX131" s="59">
        <v>27.0970910623946</v>
      </c>
      <c r="AY131" s="59">
        <v>224.99</v>
      </c>
      <c r="AZ131" s="59">
        <v>417.753</v>
      </c>
      <c r="BA131" s="59">
        <v>1.99</v>
      </c>
      <c r="BB131" s="59">
        <v>0.0</v>
      </c>
      <c r="BC131" s="59" t="s">
        <v>486</v>
      </c>
    </row>
    <row r="132" ht="15.0" customHeight="1">
      <c r="A132" s="61" t="str">
        <f t="shared" si="1"/>
        <v/>
      </c>
      <c r="B132" s="228" t="str">
        <f t="array" ref="B132">IFERROR(INDEX(DANH_MUC!$E:$E,ROW()-1),"")</f>
        <v/>
      </c>
      <c r="C132" s="228" t="str">
        <f>IF($B132="","",IF(C$4&gt;DAY(EOMONTH(DATE($D$2,$B$2,1),0)),"",SUMIFS(DATA_GOC!$H:$H,DATA_GOC!$A:$A,"BOM",DATA_GOC!$D:$D,$B132,DATA_GOC!$F:$F,"Xuất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2" s="61" t="str">
        <f>IF($B132="","",IF(D$4&gt;DAY(EOMONTH(DATE($D$2,$B$2,1),0)),"",SUMIFS(DATA_GOC!$H:$H,DATA_GOC!$A:$A,"BOM",DATA_GOC!$D:$D,$B132,DATA_GOC!$F:$F,"Xuất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2" s="229" t="str">
        <f>IF($B132="","",IF(E$4&gt;DAY(EOMONTH(DATE($D$2,$B$2,1),0)),"",SUMIFS(DATA_GOC!$H:$H,DATA_GOC!$A:$A,"BOM",DATA_GOC!$D:$D,$B132,DATA_GOC!$F:$F,"Xuất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2" s="229" t="str">
        <f>IF($B132="","",IF(F$4&gt;DAY(EOMONTH(DATE($D$2,$B$2,1),0)),"",SUMIFS(DATA_GOC!$H:$H,DATA_GOC!$A:$A,"BOM",DATA_GOC!$D:$D,$B132,DATA_GOC!$F:$F,"Xuất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2" s="229" t="str">
        <f>IF($B132="","",IF(G$4&gt;DAY(EOMONTH(DATE($D$2,$B$2,1),0)),"",SUMIFS(DATA_GOC!$H:$H,DATA_GOC!$A:$A,"BOM",DATA_GOC!$D:$D,$B132,DATA_GOC!$F:$F,"Xuất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2" s="228" t="str">
        <f>IF($B132="","",IF(H$4&gt;DAY(EOMONTH(DATE($D$2,$B$2,1),0)),"",SUMIFS(DATA_GOC!$H:$H,DATA_GOC!$A:$A,"BOM",DATA_GOC!$D:$D,$B132,DATA_GOC!$F:$F,"Xuất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2" s="229" t="str">
        <f>IF($B132="","",IF(I$4&gt;DAY(EOMONTH(DATE($D$2,$B$2,1),0)),"",SUMIFS(DATA_GOC!$H:$H,DATA_GOC!$A:$A,"BOM",DATA_GOC!$D:$D,$B132,DATA_GOC!$F:$F,"Xuất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2" s="229" t="str">
        <f>IF($B132="","",IF(J$4&gt;DAY(EOMONTH(DATE($D$2,$B$2,1),0)),"",SUMIFS(DATA_GOC!$H:$H,DATA_GOC!$A:$A,"BOM",DATA_GOC!$D:$D,$B132,DATA_GOC!$F:$F,"Xuất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2" s="229" t="str">
        <f>IF($B132="","",IF(K$4&gt;DAY(EOMONTH(DATE($D$2,$B$2,1),0)),"",SUMIFS(DATA_GOC!$H:$H,DATA_GOC!$A:$A,"BOM",DATA_GOC!$D:$D,$B132,DATA_GOC!$F:$F,"Xuất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2" s="229" t="str">
        <f>IF($B132="","",IF(L$4&gt;DAY(EOMONTH(DATE($D$2,$B$2,1),0)),"",SUMIFS(DATA_GOC!$H:$H,DATA_GOC!$A:$A,"BOM",DATA_GOC!$D:$D,$B132,DATA_GOC!$F:$F,"Xuất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2" s="229" t="str">
        <f>IF($B132="","",IF(M$4&gt;DAY(EOMONTH(DATE($D$2,$B$2,1),0)),"",SUMIFS(DATA_GOC!$H:$H,DATA_GOC!$A:$A,"BOM",DATA_GOC!$D:$D,$B132,DATA_GOC!$F:$F,"Xuất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2" s="61" t="str">
        <f>IF($B132="","",IF(N$4&gt;DAY(EOMONTH(DATE($D$2,$B$2,1),0)),"",SUMIFS(DATA_GOC!$H:$H,DATA_GOC!$A:$A,"BOM",DATA_GOC!$D:$D,$B132,DATA_GOC!$F:$F,"Xuất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2" s="61" t="str">
        <f>IF($B132="","",IF(O$4&gt;DAY(EOMONTH(DATE($D$2,$B$2,1),0)),"",SUMIFS(DATA_GOC!$H:$H,DATA_GOC!$A:$A,"BOM",DATA_GOC!$D:$D,$B132,DATA_GOC!$F:$F,"Xuất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2" s="61" t="str">
        <f>IF($B132="","",IF(P$4&gt;DAY(EOMONTH(DATE($D$2,$B$2,1),0)),"",SUMIFS(DATA_GOC!$H:$H,DATA_GOC!$A:$A,"BOM",DATA_GOC!$D:$D,$B132,DATA_GOC!$F:$F,"Xuất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2" s="61" t="str">
        <f>IF($B132="","",IF(Q$4&gt;DAY(EOMONTH(DATE($D$2,$B$2,1),0)),"",SUMIFS(DATA_GOC!$H:$H,DATA_GOC!$A:$A,"BOM",DATA_GOC!$D:$D,$B132,DATA_GOC!$F:$F,"Xuất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2" s="61" t="str">
        <f>IF($B132="","",IF(R$4&gt;DAY(EOMONTH(DATE($D$2,$B$2,1),0)),"",SUMIFS(DATA_GOC!$H:$H,DATA_GOC!$A:$A,"BOM",DATA_GOC!$D:$D,$B132,DATA_GOC!$F:$F,"Xuất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2" s="61" t="str">
        <f>IF($B132="","",IF(S$4&gt;DAY(EOMONTH(DATE($D$2,$B$2,1),0)),"",SUMIFS(DATA_GOC!$H:$H,DATA_GOC!$A:$A,"BOM",DATA_GOC!$D:$D,$B132,DATA_GOC!$F:$F,"Xuất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2" s="229" t="str">
        <f>IF($B132="","",IF(T$4&gt;DAY(EOMONTH(DATE($D$2,$B$2,1),0)),"",SUMIFS(DATA_GOC!$H:$H,DATA_GOC!$A:$A,"BOM",DATA_GOC!$D:$D,$B132,DATA_GOC!$F:$F,"Xuất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2" s="229" t="str">
        <f>IF($B132="","",IF(U$4&gt;DAY(EOMONTH(DATE($D$2,$B$2,1),0)),"",SUMIFS(DATA_GOC!$H:$H,DATA_GOC!$A:$A,"BOM",DATA_GOC!$D:$D,$B132,DATA_GOC!$F:$F,"Xuất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2" s="229" t="str">
        <f>IF($B132="","",IF(V$4&gt;DAY(EOMONTH(DATE($D$2,$B$2,1),0)),"",SUMIFS(DATA_GOC!$H:$H,DATA_GOC!$A:$A,"BOM",DATA_GOC!$D:$D,$B132,DATA_GOC!$F:$F,"Xuất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2" s="61" t="str">
        <f>IF($B132="","",IF(W$4&gt;DAY(EOMONTH(DATE($D$2,$B$2,1),0)),"",SUMIFS(DATA_GOC!$H:$H,DATA_GOC!$A:$A,"BOM",DATA_GOC!$D:$D,$B132,DATA_GOC!$F:$F,"Xuất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2" s="229" t="str">
        <f>IF($B132="","",IF(X$4&gt;DAY(EOMONTH(DATE($D$2,$B$2,1),0)),"",SUMIFS(DATA_GOC!$H:$H,DATA_GOC!$A:$A,"BOM",DATA_GOC!$D:$D,$B132,DATA_GOC!$F:$F,"Xuất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2" s="229" t="str">
        <f>IF($B132="","",IF(Y$4&gt;DAY(EOMONTH(DATE($D$2,$B$2,1),0)),"",SUMIFS(DATA_GOC!$H:$H,DATA_GOC!$A:$A,"BOM",DATA_GOC!$D:$D,$B132,DATA_GOC!$F:$F,"Xuất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2" s="229" t="str">
        <f>IF($B132="","",IF(Z$4&gt;DAY(EOMONTH(DATE($D$2,$B$2,1),0)),"",SUMIFS(DATA_GOC!$H:$H,DATA_GOC!$A:$A,"BOM",DATA_GOC!$D:$D,$B132,DATA_GOC!$F:$F,"Xuất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2" s="229" t="str">
        <f>IF($B132="","",IF(AA$4&gt;DAY(EOMONTH(DATE($D$2,$B$2,1),0)),"",SUMIFS(DATA_GOC!$H:$H,DATA_GOC!$A:$A,"BOM",DATA_GOC!$D:$D,$B132,DATA_GOC!$F:$F,"Xuất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2" s="229" t="str">
        <f>IF($B132="","",IF(AB$4&gt;DAY(EOMONTH(DATE($D$2,$B$2,1),0)),"",SUMIFS(DATA_GOC!$H:$H,DATA_GOC!$A:$A,"BOM",DATA_GOC!$D:$D,$B132,DATA_GOC!$F:$F,"Xuất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2" s="61" t="str">
        <f>IF($B132="","",IF(AC$4&gt;DAY(EOMONTH(DATE($D$2,$B$2,1),0)),"",SUMIFS(DATA_GOC!$H:$H,DATA_GOC!$A:$A,"BOM",DATA_GOC!$D:$D,$B132,DATA_GOC!$F:$F,"Xuất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2" s="222" t="str">
        <f>IF($B132="","",IF(AD$4&gt;DAY(EOMONTH(DATE($D$2,$B$2,1),0)),"",SUMIFS(DATA_GOC!$H:$H,DATA_GOC!$A:$A,"BOM",DATA_GOC!$D:$D,$B132,DATA_GOC!$F:$F,"Xuất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2" s="222" t="str">
        <f>IF($B132="","",IF(AE$4&gt;DAY(EOMONTH(DATE($D$2,$B$2,1),0)),"",SUMIFS(DATA_GOC!$H:$H,DATA_GOC!$A:$A,"BOM",DATA_GOC!$D:$D,$B132,DATA_GOC!$F:$F,"Xuất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2" s="222" t="str">
        <f>IF($B132="","",IF(AF$4&gt;DAY(EOMONTH(DATE($D$2,$B$2,1),0)),"",SUMIFS(DATA_GOC!$H:$H,DATA_GOC!$A:$A,"BOM",DATA_GOC!$D:$D,$B132,DATA_GOC!$F:$F,"Xuất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2" s="222" t="str">
        <f>IF($B132="","",IF(AG$4&gt;DAY(EOMONTH(DATE($D$2,$B$2,1),0)),"",SUMIFS(DATA_GOC!$H:$H,DATA_GOC!$A:$A,"BOM",DATA_GOC!$D:$D,$B132,DATA_GOC!$F:$F,"Xuất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2" s="222" t="str">
        <f t="shared" si="2"/>
        <v/>
      </c>
      <c r="AI132" s="222" t="str">
        <f>IF($B132="","",SUMIFS(DATA_GOC!$H:$H,DATA_GOC!$A:$A,"BOM",DATA_GOC!$D:$D,$B132,DATA_GOC!$F:$F,"Bơm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2" s="222" t="str">
        <f t="shared" si="3"/>
        <v/>
      </c>
      <c r="AM132" s="222" t="str">
        <f>IF($B132="","",SUMIFS(DATA_GOC!$K:$K,DATA_GOC!$A:$A,"BOM",DATA_GOC!$D:$D,$B132,DATA_GOC!$G:$G,"DO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2" s="222" t="str">
        <f t="shared" si="4"/>
        <v/>
      </c>
      <c r="AO132" s="227" t="str">
        <f t="shared" si="5"/>
        <v/>
      </c>
      <c r="AP132" s="226" t="str">
        <f>IF($B132="","",IFERROR(AO132-(SUMIFS(DATA_GOC!$H:$H,DATA_GOC!$A:$A,"BOM",DATA_GOC!$D:$D,$B132,DATA_GOC!$F:$F,"Xuất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2" s="59">
        <v>4.0</v>
      </c>
      <c r="AR132" s="59">
        <v>2026.0</v>
      </c>
      <c r="AS132" s="59" t="s">
        <v>159</v>
      </c>
      <c r="AT132" s="59">
        <v>740.434</v>
      </c>
      <c r="AU132" s="59">
        <v>0.0</v>
      </c>
      <c r="AV132" s="59">
        <v>740.434</v>
      </c>
      <c r="AW132" s="59">
        <v>2411.0</v>
      </c>
      <c r="AX132" s="59">
        <v>30.7106594773953</v>
      </c>
      <c r="AY132" s="59">
        <v>282.5</v>
      </c>
      <c r="AZ132" s="59">
        <v>457.934</v>
      </c>
      <c r="BA132" s="59">
        <v>2.5</v>
      </c>
      <c r="BB132" s="59">
        <v>0.0</v>
      </c>
      <c r="BC132" s="59" t="s">
        <v>487</v>
      </c>
    </row>
    <row r="133" ht="15.0" customHeight="1">
      <c r="A133" s="61" t="str">
        <f t="shared" si="1"/>
        <v/>
      </c>
      <c r="B133" s="228" t="str">
        <f t="array" ref="B133">IFERROR(INDEX(DANH_MUC!$E:$E,ROW()-1),"")</f>
        <v/>
      </c>
      <c r="C133" s="228" t="str">
        <f>IF($B133="","",IF(C$4&gt;DAY(EOMONTH(DATE($D$2,$B$2,1),0)),"",SUMIFS(DATA_GOC!$H:$H,DATA_GOC!$A:$A,"BOM",DATA_GOC!$D:$D,$B133,DATA_GOC!$F:$F,"Xuất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3" s="61" t="str">
        <f>IF($B133="","",IF(D$4&gt;DAY(EOMONTH(DATE($D$2,$B$2,1),0)),"",SUMIFS(DATA_GOC!$H:$H,DATA_GOC!$A:$A,"BOM",DATA_GOC!$D:$D,$B133,DATA_GOC!$F:$F,"Xuất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3" s="229" t="str">
        <f>IF($B133="","",IF(E$4&gt;DAY(EOMONTH(DATE($D$2,$B$2,1),0)),"",SUMIFS(DATA_GOC!$H:$H,DATA_GOC!$A:$A,"BOM",DATA_GOC!$D:$D,$B133,DATA_GOC!$F:$F,"Xuất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3" s="229" t="str">
        <f>IF($B133="","",IF(F$4&gt;DAY(EOMONTH(DATE($D$2,$B$2,1),0)),"",SUMIFS(DATA_GOC!$H:$H,DATA_GOC!$A:$A,"BOM",DATA_GOC!$D:$D,$B133,DATA_GOC!$F:$F,"Xuất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3" s="229" t="str">
        <f>IF($B133="","",IF(G$4&gt;DAY(EOMONTH(DATE($D$2,$B$2,1),0)),"",SUMIFS(DATA_GOC!$H:$H,DATA_GOC!$A:$A,"BOM",DATA_GOC!$D:$D,$B133,DATA_GOC!$F:$F,"Xuất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3" s="228" t="str">
        <f>IF($B133="","",IF(H$4&gt;DAY(EOMONTH(DATE($D$2,$B$2,1),0)),"",SUMIFS(DATA_GOC!$H:$H,DATA_GOC!$A:$A,"BOM",DATA_GOC!$D:$D,$B133,DATA_GOC!$F:$F,"Xuất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3" s="229" t="str">
        <f>IF($B133="","",IF(I$4&gt;DAY(EOMONTH(DATE($D$2,$B$2,1),0)),"",SUMIFS(DATA_GOC!$H:$H,DATA_GOC!$A:$A,"BOM",DATA_GOC!$D:$D,$B133,DATA_GOC!$F:$F,"Xuất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3" s="229" t="str">
        <f>IF($B133="","",IF(J$4&gt;DAY(EOMONTH(DATE($D$2,$B$2,1),0)),"",SUMIFS(DATA_GOC!$H:$H,DATA_GOC!$A:$A,"BOM",DATA_GOC!$D:$D,$B133,DATA_GOC!$F:$F,"Xuất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3" s="229" t="str">
        <f>IF($B133="","",IF(K$4&gt;DAY(EOMONTH(DATE($D$2,$B$2,1),0)),"",SUMIFS(DATA_GOC!$H:$H,DATA_GOC!$A:$A,"BOM",DATA_GOC!$D:$D,$B133,DATA_GOC!$F:$F,"Xuất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3" s="229" t="str">
        <f>IF($B133="","",IF(L$4&gt;DAY(EOMONTH(DATE($D$2,$B$2,1),0)),"",SUMIFS(DATA_GOC!$H:$H,DATA_GOC!$A:$A,"BOM",DATA_GOC!$D:$D,$B133,DATA_GOC!$F:$F,"Xuất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3" s="229" t="str">
        <f>IF($B133="","",IF(M$4&gt;DAY(EOMONTH(DATE($D$2,$B$2,1),0)),"",SUMIFS(DATA_GOC!$H:$H,DATA_GOC!$A:$A,"BOM",DATA_GOC!$D:$D,$B133,DATA_GOC!$F:$F,"Xuất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3" s="61" t="str">
        <f>IF($B133="","",IF(N$4&gt;DAY(EOMONTH(DATE($D$2,$B$2,1),0)),"",SUMIFS(DATA_GOC!$H:$H,DATA_GOC!$A:$A,"BOM",DATA_GOC!$D:$D,$B133,DATA_GOC!$F:$F,"Xuất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3" s="61" t="str">
        <f>IF($B133="","",IF(O$4&gt;DAY(EOMONTH(DATE($D$2,$B$2,1),0)),"",SUMIFS(DATA_GOC!$H:$H,DATA_GOC!$A:$A,"BOM",DATA_GOC!$D:$D,$B133,DATA_GOC!$F:$F,"Xuất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3" s="61" t="str">
        <f>IF($B133="","",IF(P$4&gt;DAY(EOMONTH(DATE($D$2,$B$2,1),0)),"",SUMIFS(DATA_GOC!$H:$H,DATA_GOC!$A:$A,"BOM",DATA_GOC!$D:$D,$B133,DATA_GOC!$F:$F,"Xuất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3" s="61" t="str">
        <f>IF($B133="","",IF(Q$4&gt;DAY(EOMONTH(DATE($D$2,$B$2,1),0)),"",SUMIFS(DATA_GOC!$H:$H,DATA_GOC!$A:$A,"BOM",DATA_GOC!$D:$D,$B133,DATA_GOC!$F:$F,"Xuất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3" s="61" t="str">
        <f>IF($B133="","",IF(R$4&gt;DAY(EOMONTH(DATE($D$2,$B$2,1),0)),"",SUMIFS(DATA_GOC!$H:$H,DATA_GOC!$A:$A,"BOM",DATA_GOC!$D:$D,$B133,DATA_GOC!$F:$F,"Xuất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3" s="61" t="str">
        <f>IF($B133="","",IF(S$4&gt;DAY(EOMONTH(DATE($D$2,$B$2,1),0)),"",SUMIFS(DATA_GOC!$H:$H,DATA_GOC!$A:$A,"BOM",DATA_GOC!$D:$D,$B133,DATA_GOC!$F:$F,"Xuất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3" s="229" t="str">
        <f>IF($B133="","",IF(T$4&gt;DAY(EOMONTH(DATE($D$2,$B$2,1),0)),"",SUMIFS(DATA_GOC!$H:$H,DATA_GOC!$A:$A,"BOM",DATA_GOC!$D:$D,$B133,DATA_GOC!$F:$F,"Xuất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3" s="229" t="str">
        <f>IF($B133="","",IF(U$4&gt;DAY(EOMONTH(DATE($D$2,$B$2,1),0)),"",SUMIFS(DATA_GOC!$H:$H,DATA_GOC!$A:$A,"BOM",DATA_GOC!$D:$D,$B133,DATA_GOC!$F:$F,"Xuất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3" s="229" t="str">
        <f>IF($B133="","",IF(V$4&gt;DAY(EOMONTH(DATE($D$2,$B$2,1),0)),"",SUMIFS(DATA_GOC!$H:$H,DATA_GOC!$A:$A,"BOM",DATA_GOC!$D:$D,$B133,DATA_GOC!$F:$F,"Xuất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3" s="61" t="str">
        <f>IF($B133="","",IF(W$4&gt;DAY(EOMONTH(DATE($D$2,$B$2,1),0)),"",SUMIFS(DATA_GOC!$H:$H,DATA_GOC!$A:$A,"BOM",DATA_GOC!$D:$D,$B133,DATA_GOC!$F:$F,"Xuất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3" s="229" t="str">
        <f>IF($B133="","",IF(X$4&gt;DAY(EOMONTH(DATE($D$2,$B$2,1),0)),"",SUMIFS(DATA_GOC!$H:$H,DATA_GOC!$A:$A,"BOM",DATA_GOC!$D:$D,$B133,DATA_GOC!$F:$F,"Xuất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3" s="229" t="str">
        <f>IF($B133="","",IF(Y$4&gt;DAY(EOMONTH(DATE($D$2,$B$2,1),0)),"",SUMIFS(DATA_GOC!$H:$H,DATA_GOC!$A:$A,"BOM",DATA_GOC!$D:$D,$B133,DATA_GOC!$F:$F,"Xuất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3" s="229" t="str">
        <f>IF($B133="","",IF(Z$4&gt;DAY(EOMONTH(DATE($D$2,$B$2,1),0)),"",SUMIFS(DATA_GOC!$H:$H,DATA_GOC!$A:$A,"BOM",DATA_GOC!$D:$D,$B133,DATA_GOC!$F:$F,"Xuất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3" s="229" t="str">
        <f>IF($B133="","",IF(AA$4&gt;DAY(EOMONTH(DATE($D$2,$B$2,1),0)),"",SUMIFS(DATA_GOC!$H:$H,DATA_GOC!$A:$A,"BOM",DATA_GOC!$D:$D,$B133,DATA_GOC!$F:$F,"Xuất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3" s="229" t="str">
        <f>IF($B133="","",IF(AB$4&gt;DAY(EOMONTH(DATE($D$2,$B$2,1),0)),"",SUMIFS(DATA_GOC!$H:$H,DATA_GOC!$A:$A,"BOM",DATA_GOC!$D:$D,$B133,DATA_GOC!$F:$F,"Xuất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3" s="61" t="str">
        <f>IF($B133="","",IF(AC$4&gt;DAY(EOMONTH(DATE($D$2,$B$2,1),0)),"",SUMIFS(DATA_GOC!$H:$H,DATA_GOC!$A:$A,"BOM",DATA_GOC!$D:$D,$B133,DATA_GOC!$F:$F,"Xuất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3" s="222" t="str">
        <f>IF($B133="","",IF(AD$4&gt;DAY(EOMONTH(DATE($D$2,$B$2,1),0)),"",SUMIFS(DATA_GOC!$H:$H,DATA_GOC!$A:$A,"BOM",DATA_GOC!$D:$D,$B133,DATA_GOC!$F:$F,"Xuất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3" s="222" t="str">
        <f>IF($B133="","",IF(AE$4&gt;DAY(EOMONTH(DATE($D$2,$B$2,1),0)),"",SUMIFS(DATA_GOC!$H:$H,DATA_GOC!$A:$A,"BOM",DATA_GOC!$D:$D,$B133,DATA_GOC!$F:$F,"Xuất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3" s="222" t="str">
        <f>IF($B133="","",IF(AF$4&gt;DAY(EOMONTH(DATE($D$2,$B$2,1),0)),"",SUMIFS(DATA_GOC!$H:$H,DATA_GOC!$A:$A,"BOM",DATA_GOC!$D:$D,$B133,DATA_GOC!$F:$F,"Xuất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3" s="222" t="str">
        <f>IF($B133="","",IF(AG$4&gt;DAY(EOMONTH(DATE($D$2,$B$2,1),0)),"",SUMIFS(DATA_GOC!$H:$H,DATA_GOC!$A:$A,"BOM",DATA_GOC!$D:$D,$B133,DATA_GOC!$F:$F,"Xuất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3" s="222" t="str">
        <f t="shared" si="2"/>
        <v/>
      </c>
      <c r="AI133" s="222" t="str">
        <f>IF($B133="","",SUMIFS(DATA_GOC!$H:$H,DATA_GOC!$A:$A,"BOM",DATA_GOC!$D:$D,$B133,DATA_GOC!$F:$F,"Bơm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3" s="222" t="str">
        <f t="shared" si="3"/>
        <v/>
      </c>
      <c r="AM133" s="222" t="str">
        <f>IF($B133="","",SUMIFS(DATA_GOC!$K:$K,DATA_GOC!$A:$A,"BOM",DATA_GOC!$D:$D,$B133,DATA_GOC!$G:$G,"DO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3" s="222" t="str">
        <f t="shared" si="4"/>
        <v/>
      </c>
      <c r="AO133" s="227" t="str">
        <f t="shared" si="5"/>
        <v/>
      </c>
      <c r="AP133" s="226" t="str">
        <f>IF($B133="","",IFERROR(AO133-(SUMIFS(DATA_GOC!$H:$H,DATA_GOC!$A:$A,"BOM",DATA_GOC!$D:$D,$B133,DATA_GOC!$F:$F,"Xuất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3" s="59">
        <v>4.0</v>
      </c>
      <c r="AR133" s="59">
        <v>2026.0</v>
      </c>
      <c r="AS133" s="59" t="s">
        <v>158</v>
      </c>
      <c r="AT133" s="59">
        <v>571.095</v>
      </c>
      <c r="AU133" s="59">
        <v>0.0</v>
      </c>
      <c r="AV133" s="59">
        <v>571.095</v>
      </c>
      <c r="AW133" s="59">
        <v>1523.0</v>
      </c>
      <c r="AX133" s="59">
        <v>37.4980302035456</v>
      </c>
      <c r="AY133" s="59">
        <v>0.0</v>
      </c>
      <c r="AZ133" s="59">
        <v>571.095</v>
      </c>
      <c r="BA133" s="59">
        <v>0.0</v>
      </c>
      <c r="BB133" s="59">
        <v>0.0</v>
      </c>
      <c r="BC133" s="59" t="s">
        <v>488</v>
      </c>
    </row>
    <row r="134" ht="15.0" customHeight="1">
      <c r="A134" s="61" t="str">
        <f t="shared" si="1"/>
        <v/>
      </c>
      <c r="B134" s="228" t="str">
        <f t="array" ref="B134">IFERROR(INDEX(DANH_MUC!$E:$E,ROW()-1),"")</f>
        <v/>
      </c>
      <c r="C134" s="228" t="str">
        <f>IF($B134="","",IF(C$4&gt;DAY(EOMONTH(DATE($D$2,$B$2,1),0)),"",SUMIFS(DATA_GOC!$H:$H,DATA_GOC!$A:$A,"BOM",DATA_GOC!$D:$D,$B134,DATA_GOC!$F:$F,"Xuất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4" s="61" t="str">
        <f>IF($B134="","",IF(D$4&gt;DAY(EOMONTH(DATE($D$2,$B$2,1),0)),"",SUMIFS(DATA_GOC!$H:$H,DATA_GOC!$A:$A,"BOM",DATA_GOC!$D:$D,$B134,DATA_GOC!$F:$F,"Xuất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4" s="229" t="str">
        <f>IF($B134="","",IF(E$4&gt;DAY(EOMONTH(DATE($D$2,$B$2,1),0)),"",SUMIFS(DATA_GOC!$H:$H,DATA_GOC!$A:$A,"BOM",DATA_GOC!$D:$D,$B134,DATA_GOC!$F:$F,"Xuất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4" s="229" t="str">
        <f>IF($B134="","",IF(F$4&gt;DAY(EOMONTH(DATE($D$2,$B$2,1),0)),"",SUMIFS(DATA_GOC!$H:$H,DATA_GOC!$A:$A,"BOM",DATA_GOC!$D:$D,$B134,DATA_GOC!$F:$F,"Xuất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4" s="229" t="str">
        <f>IF($B134="","",IF(G$4&gt;DAY(EOMONTH(DATE($D$2,$B$2,1),0)),"",SUMIFS(DATA_GOC!$H:$H,DATA_GOC!$A:$A,"BOM",DATA_GOC!$D:$D,$B134,DATA_GOC!$F:$F,"Xuất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4" s="228" t="str">
        <f>IF($B134="","",IF(H$4&gt;DAY(EOMONTH(DATE($D$2,$B$2,1),0)),"",SUMIFS(DATA_GOC!$H:$H,DATA_GOC!$A:$A,"BOM",DATA_GOC!$D:$D,$B134,DATA_GOC!$F:$F,"Xuất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4" s="229" t="str">
        <f>IF($B134="","",IF(I$4&gt;DAY(EOMONTH(DATE($D$2,$B$2,1),0)),"",SUMIFS(DATA_GOC!$H:$H,DATA_GOC!$A:$A,"BOM",DATA_GOC!$D:$D,$B134,DATA_GOC!$F:$F,"Xuất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4" s="229" t="str">
        <f>IF($B134="","",IF(J$4&gt;DAY(EOMONTH(DATE($D$2,$B$2,1),0)),"",SUMIFS(DATA_GOC!$H:$H,DATA_GOC!$A:$A,"BOM",DATA_GOC!$D:$D,$B134,DATA_GOC!$F:$F,"Xuất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4" s="229" t="str">
        <f>IF($B134="","",IF(K$4&gt;DAY(EOMONTH(DATE($D$2,$B$2,1),0)),"",SUMIFS(DATA_GOC!$H:$H,DATA_GOC!$A:$A,"BOM",DATA_GOC!$D:$D,$B134,DATA_GOC!$F:$F,"Xuất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4" s="229" t="str">
        <f>IF($B134="","",IF(L$4&gt;DAY(EOMONTH(DATE($D$2,$B$2,1),0)),"",SUMIFS(DATA_GOC!$H:$H,DATA_GOC!$A:$A,"BOM",DATA_GOC!$D:$D,$B134,DATA_GOC!$F:$F,"Xuất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4" s="229" t="str">
        <f>IF($B134="","",IF(M$4&gt;DAY(EOMONTH(DATE($D$2,$B$2,1),0)),"",SUMIFS(DATA_GOC!$H:$H,DATA_GOC!$A:$A,"BOM",DATA_GOC!$D:$D,$B134,DATA_GOC!$F:$F,"Xuất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4" s="61" t="str">
        <f>IF($B134="","",IF(N$4&gt;DAY(EOMONTH(DATE($D$2,$B$2,1),0)),"",SUMIFS(DATA_GOC!$H:$H,DATA_GOC!$A:$A,"BOM",DATA_GOC!$D:$D,$B134,DATA_GOC!$F:$F,"Xuất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4" s="61" t="str">
        <f>IF($B134="","",IF(O$4&gt;DAY(EOMONTH(DATE($D$2,$B$2,1),0)),"",SUMIFS(DATA_GOC!$H:$H,DATA_GOC!$A:$A,"BOM",DATA_GOC!$D:$D,$B134,DATA_GOC!$F:$F,"Xuất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4" s="61" t="str">
        <f>IF($B134="","",IF(P$4&gt;DAY(EOMONTH(DATE($D$2,$B$2,1),0)),"",SUMIFS(DATA_GOC!$H:$H,DATA_GOC!$A:$A,"BOM",DATA_GOC!$D:$D,$B134,DATA_GOC!$F:$F,"Xuất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4" s="61" t="str">
        <f>IF($B134="","",IF(Q$4&gt;DAY(EOMONTH(DATE($D$2,$B$2,1),0)),"",SUMIFS(DATA_GOC!$H:$H,DATA_GOC!$A:$A,"BOM",DATA_GOC!$D:$D,$B134,DATA_GOC!$F:$F,"Xuất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4" s="61" t="str">
        <f>IF($B134="","",IF(R$4&gt;DAY(EOMONTH(DATE($D$2,$B$2,1),0)),"",SUMIFS(DATA_GOC!$H:$H,DATA_GOC!$A:$A,"BOM",DATA_GOC!$D:$D,$B134,DATA_GOC!$F:$F,"Xuất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4" s="61" t="str">
        <f>IF($B134="","",IF(S$4&gt;DAY(EOMONTH(DATE($D$2,$B$2,1),0)),"",SUMIFS(DATA_GOC!$H:$H,DATA_GOC!$A:$A,"BOM",DATA_GOC!$D:$D,$B134,DATA_GOC!$F:$F,"Xuất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4" s="229" t="str">
        <f>IF($B134="","",IF(T$4&gt;DAY(EOMONTH(DATE($D$2,$B$2,1),0)),"",SUMIFS(DATA_GOC!$H:$H,DATA_GOC!$A:$A,"BOM",DATA_GOC!$D:$D,$B134,DATA_GOC!$F:$F,"Xuất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4" s="229" t="str">
        <f>IF($B134="","",IF(U$4&gt;DAY(EOMONTH(DATE($D$2,$B$2,1),0)),"",SUMIFS(DATA_GOC!$H:$H,DATA_GOC!$A:$A,"BOM",DATA_GOC!$D:$D,$B134,DATA_GOC!$F:$F,"Xuất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4" s="229" t="str">
        <f>IF($B134="","",IF(V$4&gt;DAY(EOMONTH(DATE($D$2,$B$2,1),0)),"",SUMIFS(DATA_GOC!$H:$H,DATA_GOC!$A:$A,"BOM",DATA_GOC!$D:$D,$B134,DATA_GOC!$F:$F,"Xuất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4" s="61" t="str">
        <f>IF($B134="","",IF(W$4&gt;DAY(EOMONTH(DATE($D$2,$B$2,1),0)),"",SUMIFS(DATA_GOC!$H:$H,DATA_GOC!$A:$A,"BOM",DATA_GOC!$D:$D,$B134,DATA_GOC!$F:$F,"Xuất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4" s="229" t="str">
        <f>IF($B134="","",IF(X$4&gt;DAY(EOMONTH(DATE($D$2,$B$2,1),0)),"",SUMIFS(DATA_GOC!$H:$H,DATA_GOC!$A:$A,"BOM",DATA_GOC!$D:$D,$B134,DATA_GOC!$F:$F,"Xuất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4" s="229" t="str">
        <f>IF($B134="","",IF(Y$4&gt;DAY(EOMONTH(DATE($D$2,$B$2,1),0)),"",SUMIFS(DATA_GOC!$H:$H,DATA_GOC!$A:$A,"BOM",DATA_GOC!$D:$D,$B134,DATA_GOC!$F:$F,"Xuất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4" s="229" t="str">
        <f>IF($B134="","",IF(Z$4&gt;DAY(EOMONTH(DATE($D$2,$B$2,1),0)),"",SUMIFS(DATA_GOC!$H:$H,DATA_GOC!$A:$A,"BOM",DATA_GOC!$D:$D,$B134,DATA_GOC!$F:$F,"Xuất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4" s="229" t="str">
        <f>IF($B134="","",IF(AA$4&gt;DAY(EOMONTH(DATE($D$2,$B$2,1),0)),"",SUMIFS(DATA_GOC!$H:$H,DATA_GOC!$A:$A,"BOM",DATA_GOC!$D:$D,$B134,DATA_GOC!$F:$F,"Xuất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4" s="229" t="str">
        <f>IF($B134="","",IF(AB$4&gt;DAY(EOMONTH(DATE($D$2,$B$2,1),0)),"",SUMIFS(DATA_GOC!$H:$H,DATA_GOC!$A:$A,"BOM",DATA_GOC!$D:$D,$B134,DATA_GOC!$F:$F,"Xuất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4" s="61" t="str">
        <f>IF($B134="","",IF(AC$4&gt;DAY(EOMONTH(DATE($D$2,$B$2,1),0)),"",SUMIFS(DATA_GOC!$H:$H,DATA_GOC!$A:$A,"BOM",DATA_GOC!$D:$D,$B134,DATA_GOC!$F:$F,"Xuất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4" s="222" t="str">
        <f>IF($B134="","",IF(AD$4&gt;DAY(EOMONTH(DATE($D$2,$B$2,1),0)),"",SUMIFS(DATA_GOC!$H:$H,DATA_GOC!$A:$A,"BOM",DATA_GOC!$D:$D,$B134,DATA_GOC!$F:$F,"Xuất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4" s="222" t="str">
        <f>IF($B134="","",IF(AE$4&gt;DAY(EOMONTH(DATE($D$2,$B$2,1),0)),"",SUMIFS(DATA_GOC!$H:$H,DATA_GOC!$A:$A,"BOM",DATA_GOC!$D:$D,$B134,DATA_GOC!$F:$F,"Xuất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4" s="222" t="str">
        <f>IF($B134="","",IF(AF$4&gt;DAY(EOMONTH(DATE($D$2,$B$2,1),0)),"",SUMIFS(DATA_GOC!$H:$H,DATA_GOC!$A:$A,"BOM",DATA_GOC!$D:$D,$B134,DATA_GOC!$F:$F,"Xuất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4" s="222" t="str">
        <f>IF($B134="","",IF(AG$4&gt;DAY(EOMONTH(DATE($D$2,$B$2,1),0)),"",SUMIFS(DATA_GOC!$H:$H,DATA_GOC!$A:$A,"BOM",DATA_GOC!$D:$D,$B134,DATA_GOC!$F:$F,"Xuất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4" s="222" t="str">
        <f t="shared" si="2"/>
        <v/>
      </c>
      <c r="AI134" s="222" t="str">
        <f>IF($B134="","",SUMIFS(DATA_GOC!$H:$H,DATA_GOC!$A:$A,"BOM",DATA_GOC!$D:$D,$B134,DATA_GOC!$F:$F,"Bơm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4" s="222" t="str">
        <f t="shared" si="3"/>
        <v/>
      </c>
      <c r="AM134" s="222" t="str">
        <f>IF($B134="","",SUMIFS(DATA_GOC!$K:$K,DATA_GOC!$A:$A,"BOM",DATA_GOC!$D:$D,$B134,DATA_GOC!$G:$G,"DO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4" s="222" t="str">
        <f t="shared" si="4"/>
        <v/>
      </c>
      <c r="AO134" s="227" t="str">
        <f t="shared" si="5"/>
        <v/>
      </c>
      <c r="AP134" s="226" t="str">
        <f>IF($B134="","",IFERROR(AO134-(SUMIFS(DATA_GOC!$H:$H,DATA_GOC!$A:$A,"BOM",DATA_GOC!$D:$D,$B134,DATA_GOC!$F:$F,"Xuất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4" s="59">
        <v>4.0</v>
      </c>
      <c r="AR134" s="59">
        <v>2026.0</v>
      </c>
      <c r="AS134" s="59" t="s">
        <v>130</v>
      </c>
      <c r="AT134" s="59">
        <v>1146.642</v>
      </c>
      <c r="AU134" s="59">
        <v>0.0</v>
      </c>
      <c r="AV134" s="59">
        <v>1146.642</v>
      </c>
      <c r="AY134" s="59">
        <v>171.51</v>
      </c>
      <c r="AZ134" s="59">
        <v>975.132</v>
      </c>
      <c r="BA134" s="59">
        <v>1.51</v>
      </c>
      <c r="BB134" s="59">
        <v>0.0</v>
      </c>
      <c r="BC134" s="59" t="s">
        <v>489</v>
      </c>
    </row>
    <row r="135" ht="15.0" customHeight="1">
      <c r="A135" s="61" t="str">
        <f t="shared" si="1"/>
        <v/>
      </c>
      <c r="B135" s="228" t="str">
        <f t="array" ref="B135">IFERROR(INDEX(DANH_MUC!$E:$E,ROW()-1),"")</f>
        <v/>
      </c>
      <c r="C135" s="228" t="str">
        <f>IF($B135="","",IF(C$4&gt;DAY(EOMONTH(DATE($D$2,$B$2,1),0)),"",SUMIFS(DATA_GOC!$H:$H,DATA_GOC!$A:$A,"BOM",DATA_GOC!$D:$D,$B135,DATA_GOC!$F:$F,"Xuất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5" s="61" t="str">
        <f>IF($B135="","",IF(D$4&gt;DAY(EOMONTH(DATE($D$2,$B$2,1),0)),"",SUMIFS(DATA_GOC!$H:$H,DATA_GOC!$A:$A,"BOM",DATA_GOC!$D:$D,$B135,DATA_GOC!$F:$F,"Xuất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5" s="229" t="str">
        <f>IF($B135="","",IF(E$4&gt;DAY(EOMONTH(DATE($D$2,$B$2,1),0)),"",SUMIFS(DATA_GOC!$H:$H,DATA_GOC!$A:$A,"BOM",DATA_GOC!$D:$D,$B135,DATA_GOC!$F:$F,"Xuất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5" s="229" t="str">
        <f>IF($B135="","",IF(F$4&gt;DAY(EOMONTH(DATE($D$2,$B$2,1),0)),"",SUMIFS(DATA_GOC!$H:$H,DATA_GOC!$A:$A,"BOM",DATA_GOC!$D:$D,$B135,DATA_GOC!$F:$F,"Xuất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5" s="229" t="str">
        <f>IF($B135="","",IF(G$4&gt;DAY(EOMONTH(DATE($D$2,$B$2,1),0)),"",SUMIFS(DATA_GOC!$H:$H,DATA_GOC!$A:$A,"BOM",DATA_GOC!$D:$D,$B135,DATA_GOC!$F:$F,"Xuất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5" s="228" t="str">
        <f>IF($B135="","",IF(H$4&gt;DAY(EOMONTH(DATE($D$2,$B$2,1),0)),"",SUMIFS(DATA_GOC!$H:$H,DATA_GOC!$A:$A,"BOM",DATA_GOC!$D:$D,$B135,DATA_GOC!$F:$F,"Xuất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5" s="229" t="str">
        <f>IF($B135="","",IF(I$4&gt;DAY(EOMONTH(DATE($D$2,$B$2,1),0)),"",SUMIFS(DATA_GOC!$H:$H,DATA_GOC!$A:$A,"BOM",DATA_GOC!$D:$D,$B135,DATA_GOC!$F:$F,"Xuất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5" s="229" t="str">
        <f>IF($B135="","",IF(J$4&gt;DAY(EOMONTH(DATE($D$2,$B$2,1),0)),"",SUMIFS(DATA_GOC!$H:$H,DATA_GOC!$A:$A,"BOM",DATA_GOC!$D:$D,$B135,DATA_GOC!$F:$F,"Xuất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5" s="229" t="str">
        <f>IF($B135="","",IF(K$4&gt;DAY(EOMONTH(DATE($D$2,$B$2,1),0)),"",SUMIFS(DATA_GOC!$H:$H,DATA_GOC!$A:$A,"BOM",DATA_GOC!$D:$D,$B135,DATA_GOC!$F:$F,"Xuất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5" s="229" t="str">
        <f>IF($B135="","",IF(L$4&gt;DAY(EOMONTH(DATE($D$2,$B$2,1),0)),"",SUMIFS(DATA_GOC!$H:$H,DATA_GOC!$A:$A,"BOM",DATA_GOC!$D:$D,$B135,DATA_GOC!$F:$F,"Xuất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5" s="229" t="str">
        <f>IF($B135="","",IF(M$4&gt;DAY(EOMONTH(DATE($D$2,$B$2,1),0)),"",SUMIFS(DATA_GOC!$H:$H,DATA_GOC!$A:$A,"BOM",DATA_GOC!$D:$D,$B135,DATA_GOC!$F:$F,"Xuất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5" s="61" t="str">
        <f>IF($B135="","",IF(N$4&gt;DAY(EOMONTH(DATE($D$2,$B$2,1),0)),"",SUMIFS(DATA_GOC!$H:$H,DATA_GOC!$A:$A,"BOM",DATA_GOC!$D:$D,$B135,DATA_GOC!$F:$F,"Xuất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5" s="61" t="str">
        <f>IF($B135="","",IF(O$4&gt;DAY(EOMONTH(DATE($D$2,$B$2,1),0)),"",SUMIFS(DATA_GOC!$H:$H,DATA_GOC!$A:$A,"BOM",DATA_GOC!$D:$D,$B135,DATA_GOC!$F:$F,"Xuất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5" s="61" t="str">
        <f>IF($B135="","",IF(P$4&gt;DAY(EOMONTH(DATE($D$2,$B$2,1),0)),"",SUMIFS(DATA_GOC!$H:$H,DATA_GOC!$A:$A,"BOM",DATA_GOC!$D:$D,$B135,DATA_GOC!$F:$F,"Xuất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5" s="61" t="str">
        <f>IF($B135="","",IF(Q$4&gt;DAY(EOMONTH(DATE($D$2,$B$2,1),0)),"",SUMIFS(DATA_GOC!$H:$H,DATA_GOC!$A:$A,"BOM",DATA_GOC!$D:$D,$B135,DATA_GOC!$F:$F,"Xuất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5" s="61" t="str">
        <f>IF($B135="","",IF(R$4&gt;DAY(EOMONTH(DATE($D$2,$B$2,1),0)),"",SUMIFS(DATA_GOC!$H:$H,DATA_GOC!$A:$A,"BOM",DATA_GOC!$D:$D,$B135,DATA_GOC!$F:$F,"Xuất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5" s="61" t="str">
        <f>IF($B135="","",IF(S$4&gt;DAY(EOMONTH(DATE($D$2,$B$2,1),0)),"",SUMIFS(DATA_GOC!$H:$H,DATA_GOC!$A:$A,"BOM",DATA_GOC!$D:$D,$B135,DATA_GOC!$F:$F,"Xuất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5" s="229" t="str">
        <f>IF($B135="","",IF(T$4&gt;DAY(EOMONTH(DATE($D$2,$B$2,1),0)),"",SUMIFS(DATA_GOC!$H:$H,DATA_GOC!$A:$A,"BOM",DATA_GOC!$D:$D,$B135,DATA_GOC!$F:$F,"Xuất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5" s="229" t="str">
        <f>IF($B135="","",IF(U$4&gt;DAY(EOMONTH(DATE($D$2,$B$2,1),0)),"",SUMIFS(DATA_GOC!$H:$H,DATA_GOC!$A:$A,"BOM",DATA_GOC!$D:$D,$B135,DATA_GOC!$F:$F,"Xuất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5" s="229" t="str">
        <f>IF($B135="","",IF(V$4&gt;DAY(EOMONTH(DATE($D$2,$B$2,1),0)),"",SUMIFS(DATA_GOC!$H:$H,DATA_GOC!$A:$A,"BOM",DATA_GOC!$D:$D,$B135,DATA_GOC!$F:$F,"Xuất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5" s="61" t="str">
        <f>IF($B135="","",IF(W$4&gt;DAY(EOMONTH(DATE($D$2,$B$2,1),0)),"",SUMIFS(DATA_GOC!$H:$H,DATA_GOC!$A:$A,"BOM",DATA_GOC!$D:$D,$B135,DATA_GOC!$F:$F,"Xuất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5" s="229" t="str">
        <f>IF($B135="","",IF(X$4&gt;DAY(EOMONTH(DATE($D$2,$B$2,1),0)),"",SUMIFS(DATA_GOC!$H:$H,DATA_GOC!$A:$A,"BOM",DATA_GOC!$D:$D,$B135,DATA_GOC!$F:$F,"Xuất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5" s="229" t="str">
        <f>IF($B135="","",IF(Y$4&gt;DAY(EOMONTH(DATE($D$2,$B$2,1),0)),"",SUMIFS(DATA_GOC!$H:$H,DATA_GOC!$A:$A,"BOM",DATA_GOC!$D:$D,$B135,DATA_GOC!$F:$F,"Xuất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5" s="229" t="str">
        <f>IF($B135="","",IF(Z$4&gt;DAY(EOMONTH(DATE($D$2,$B$2,1),0)),"",SUMIFS(DATA_GOC!$H:$H,DATA_GOC!$A:$A,"BOM",DATA_GOC!$D:$D,$B135,DATA_GOC!$F:$F,"Xuất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5" s="229" t="str">
        <f>IF($B135="","",IF(AA$4&gt;DAY(EOMONTH(DATE($D$2,$B$2,1),0)),"",SUMIFS(DATA_GOC!$H:$H,DATA_GOC!$A:$A,"BOM",DATA_GOC!$D:$D,$B135,DATA_GOC!$F:$F,"Xuất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5" s="229" t="str">
        <f>IF($B135="","",IF(AB$4&gt;DAY(EOMONTH(DATE($D$2,$B$2,1),0)),"",SUMIFS(DATA_GOC!$H:$H,DATA_GOC!$A:$A,"BOM",DATA_GOC!$D:$D,$B135,DATA_GOC!$F:$F,"Xuất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5" s="61" t="str">
        <f>IF($B135="","",IF(AC$4&gt;DAY(EOMONTH(DATE($D$2,$B$2,1),0)),"",SUMIFS(DATA_GOC!$H:$H,DATA_GOC!$A:$A,"BOM",DATA_GOC!$D:$D,$B135,DATA_GOC!$F:$F,"Xuất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5" s="222" t="str">
        <f>IF($B135="","",IF(AD$4&gt;DAY(EOMONTH(DATE($D$2,$B$2,1),0)),"",SUMIFS(DATA_GOC!$H:$H,DATA_GOC!$A:$A,"BOM",DATA_GOC!$D:$D,$B135,DATA_GOC!$F:$F,"Xuất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5" s="222" t="str">
        <f>IF($B135="","",IF(AE$4&gt;DAY(EOMONTH(DATE($D$2,$B$2,1),0)),"",SUMIFS(DATA_GOC!$H:$H,DATA_GOC!$A:$A,"BOM",DATA_GOC!$D:$D,$B135,DATA_GOC!$F:$F,"Xuất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5" s="222" t="str">
        <f>IF($B135="","",IF(AF$4&gt;DAY(EOMONTH(DATE($D$2,$B$2,1),0)),"",SUMIFS(DATA_GOC!$H:$H,DATA_GOC!$A:$A,"BOM",DATA_GOC!$D:$D,$B135,DATA_GOC!$F:$F,"Xuất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5" s="222" t="str">
        <f>IF($B135="","",IF(AG$4&gt;DAY(EOMONTH(DATE($D$2,$B$2,1),0)),"",SUMIFS(DATA_GOC!$H:$H,DATA_GOC!$A:$A,"BOM",DATA_GOC!$D:$D,$B135,DATA_GOC!$F:$F,"Xuất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5" s="222" t="str">
        <f t="shared" si="2"/>
        <v/>
      </c>
      <c r="AI135" s="222" t="str">
        <f>IF($B135="","",SUMIFS(DATA_GOC!$H:$H,DATA_GOC!$A:$A,"BOM",DATA_GOC!$D:$D,$B135,DATA_GOC!$F:$F,"Bơm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5" s="222" t="str">
        <f t="shared" si="3"/>
        <v/>
      </c>
      <c r="AM135" s="222" t="str">
        <f>IF($B135="","",SUMIFS(DATA_GOC!$K:$K,DATA_GOC!$A:$A,"BOM",DATA_GOC!$D:$D,$B135,DATA_GOC!$G:$G,"DO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5" s="222" t="str">
        <f t="shared" si="4"/>
        <v/>
      </c>
      <c r="AO135" s="227" t="str">
        <f t="shared" si="5"/>
        <v/>
      </c>
      <c r="AP135" s="226" t="str">
        <f>IF($B135="","",IFERROR(AO135-(SUMIFS(DATA_GOC!$H:$H,DATA_GOC!$A:$A,"BOM",DATA_GOC!$D:$D,$B135,DATA_GOC!$F:$F,"Xuất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5" s="59">
        <v>4.0</v>
      </c>
      <c r="AR135" s="59">
        <v>2026.0</v>
      </c>
      <c r="AS135" s="59" t="s">
        <v>126</v>
      </c>
      <c r="AT135" s="59">
        <v>1062.829</v>
      </c>
      <c r="AU135" s="59">
        <v>0.0</v>
      </c>
      <c r="AV135" s="59">
        <v>1062.829</v>
      </c>
      <c r="AW135" s="59">
        <v>1859.0</v>
      </c>
      <c r="AX135" s="59">
        <v>57.1720817643895</v>
      </c>
      <c r="AY135" s="59">
        <v>436.86</v>
      </c>
      <c r="AZ135" s="59">
        <v>625.969</v>
      </c>
      <c r="BA135" s="59">
        <v>3.86</v>
      </c>
      <c r="BB135" s="59">
        <v>0.0</v>
      </c>
      <c r="BC135" s="59" t="s">
        <v>490</v>
      </c>
    </row>
    <row r="136" ht="15.0" customHeight="1">
      <c r="A136" s="61" t="str">
        <f t="shared" si="1"/>
        <v/>
      </c>
      <c r="B136" s="228" t="str">
        <f t="array" ref="B136">IFERROR(INDEX(DANH_MUC!$E:$E,ROW()-1),"")</f>
        <v/>
      </c>
      <c r="C136" s="228" t="str">
        <f>IF($B136="","",IF(C$4&gt;DAY(EOMONTH(DATE($D$2,$B$2,1),0)),"",SUMIFS(DATA_GOC!$H:$H,DATA_GOC!$A:$A,"BOM",DATA_GOC!$D:$D,$B136,DATA_GOC!$F:$F,"Xuất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6" s="61" t="str">
        <f>IF($B136="","",IF(D$4&gt;DAY(EOMONTH(DATE($D$2,$B$2,1),0)),"",SUMIFS(DATA_GOC!$H:$H,DATA_GOC!$A:$A,"BOM",DATA_GOC!$D:$D,$B136,DATA_GOC!$F:$F,"Xuất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6" s="229" t="str">
        <f>IF($B136="","",IF(E$4&gt;DAY(EOMONTH(DATE($D$2,$B$2,1),0)),"",SUMIFS(DATA_GOC!$H:$H,DATA_GOC!$A:$A,"BOM",DATA_GOC!$D:$D,$B136,DATA_GOC!$F:$F,"Xuất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6" s="229" t="str">
        <f>IF($B136="","",IF(F$4&gt;DAY(EOMONTH(DATE($D$2,$B$2,1),0)),"",SUMIFS(DATA_GOC!$H:$H,DATA_GOC!$A:$A,"BOM",DATA_GOC!$D:$D,$B136,DATA_GOC!$F:$F,"Xuất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6" s="229" t="str">
        <f>IF($B136="","",IF(G$4&gt;DAY(EOMONTH(DATE($D$2,$B$2,1),0)),"",SUMIFS(DATA_GOC!$H:$H,DATA_GOC!$A:$A,"BOM",DATA_GOC!$D:$D,$B136,DATA_GOC!$F:$F,"Xuất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6" s="228" t="str">
        <f>IF($B136="","",IF(H$4&gt;DAY(EOMONTH(DATE($D$2,$B$2,1),0)),"",SUMIFS(DATA_GOC!$H:$H,DATA_GOC!$A:$A,"BOM",DATA_GOC!$D:$D,$B136,DATA_GOC!$F:$F,"Xuất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6" s="229" t="str">
        <f>IF($B136="","",IF(I$4&gt;DAY(EOMONTH(DATE($D$2,$B$2,1),0)),"",SUMIFS(DATA_GOC!$H:$H,DATA_GOC!$A:$A,"BOM",DATA_GOC!$D:$D,$B136,DATA_GOC!$F:$F,"Xuất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6" s="229" t="str">
        <f>IF($B136="","",IF(J$4&gt;DAY(EOMONTH(DATE($D$2,$B$2,1),0)),"",SUMIFS(DATA_GOC!$H:$H,DATA_GOC!$A:$A,"BOM",DATA_GOC!$D:$D,$B136,DATA_GOC!$F:$F,"Xuất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6" s="229" t="str">
        <f>IF($B136="","",IF(K$4&gt;DAY(EOMONTH(DATE($D$2,$B$2,1),0)),"",SUMIFS(DATA_GOC!$H:$H,DATA_GOC!$A:$A,"BOM",DATA_GOC!$D:$D,$B136,DATA_GOC!$F:$F,"Xuất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6" s="229" t="str">
        <f>IF($B136="","",IF(L$4&gt;DAY(EOMONTH(DATE($D$2,$B$2,1),0)),"",SUMIFS(DATA_GOC!$H:$H,DATA_GOC!$A:$A,"BOM",DATA_GOC!$D:$D,$B136,DATA_GOC!$F:$F,"Xuất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6" s="229" t="str">
        <f>IF($B136="","",IF(M$4&gt;DAY(EOMONTH(DATE($D$2,$B$2,1),0)),"",SUMIFS(DATA_GOC!$H:$H,DATA_GOC!$A:$A,"BOM",DATA_GOC!$D:$D,$B136,DATA_GOC!$F:$F,"Xuất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6" s="61" t="str">
        <f>IF($B136="","",IF(N$4&gt;DAY(EOMONTH(DATE($D$2,$B$2,1),0)),"",SUMIFS(DATA_GOC!$H:$H,DATA_GOC!$A:$A,"BOM",DATA_GOC!$D:$D,$B136,DATA_GOC!$F:$F,"Xuất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6" s="61" t="str">
        <f>IF($B136="","",IF(O$4&gt;DAY(EOMONTH(DATE($D$2,$B$2,1),0)),"",SUMIFS(DATA_GOC!$H:$H,DATA_GOC!$A:$A,"BOM",DATA_GOC!$D:$D,$B136,DATA_GOC!$F:$F,"Xuất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6" s="61" t="str">
        <f>IF($B136="","",IF(P$4&gt;DAY(EOMONTH(DATE($D$2,$B$2,1),0)),"",SUMIFS(DATA_GOC!$H:$H,DATA_GOC!$A:$A,"BOM",DATA_GOC!$D:$D,$B136,DATA_GOC!$F:$F,"Xuất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6" s="61" t="str">
        <f>IF($B136="","",IF(Q$4&gt;DAY(EOMONTH(DATE($D$2,$B$2,1),0)),"",SUMIFS(DATA_GOC!$H:$H,DATA_GOC!$A:$A,"BOM",DATA_GOC!$D:$D,$B136,DATA_GOC!$F:$F,"Xuất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6" s="61" t="str">
        <f>IF($B136="","",IF(R$4&gt;DAY(EOMONTH(DATE($D$2,$B$2,1),0)),"",SUMIFS(DATA_GOC!$H:$H,DATA_GOC!$A:$A,"BOM",DATA_GOC!$D:$D,$B136,DATA_GOC!$F:$F,"Xuất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6" s="61" t="str">
        <f>IF($B136="","",IF(S$4&gt;DAY(EOMONTH(DATE($D$2,$B$2,1),0)),"",SUMIFS(DATA_GOC!$H:$H,DATA_GOC!$A:$A,"BOM",DATA_GOC!$D:$D,$B136,DATA_GOC!$F:$F,"Xuất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6" s="229" t="str">
        <f>IF($B136="","",IF(T$4&gt;DAY(EOMONTH(DATE($D$2,$B$2,1),0)),"",SUMIFS(DATA_GOC!$H:$H,DATA_GOC!$A:$A,"BOM",DATA_GOC!$D:$D,$B136,DATA_GOC!$F:$F,"Xuất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6" s="229" t="str">
        <f>IF($B136="","",IF(U$4&gt;DAY(EOMONTH(DATE($D$2,$B$2,1),0)),"",SUMIFS(DATA_GOC!$H:$H,DATA_GOC!$A:$A,"BOM",DATA_GOC!$D:$D,$B136,DATA_GOC!$F:$F,"Xuất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6" s="229" t="str">
        <f>IF($B136="","",IF(V$4&gt;DAY(EOMONTH(DATE($D$2,$B$2,1),0)),"",SUMIFS(DATA_GOC!$H:$H,DATA_GOC!$A:$A,"BOM",DATA_GOC!$D:$D,$B136,DATA_GOC!$F:$F,"Xuất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6" s="61" t="str">
        <f>IF($B136="","",IF(W$4&gt;DAY(EOMONTH(DATE($D$2,$B$2,1),0)),"",SUMIFS(DATA_GOC!$H:$H,DATA_GOC!$A:$A,"BOM",DATA_GOC!$D:$D,$B136,DATA_GOC!$F:$F,"Xuất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6" s="229" t="str">
        <f>IF($B136="","",IF(X$4&gt;DAY(EOMONTH(DATE($D$2,$B$2,1),0)),"",SUMIFS(DATA_GOC!$H:$H,DATA_GOC!$A:$A,"BOM",DATA_GOC!$D:$D,$B136,DATA_GOC!$F:$F,"Xuất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6" s="229" t="str">
        <f>IF($B136="","",IF(Y$4&gt;DAY(EOMONTH(DATE($D$2,$B$2,1),0)),"",SUMIFS(DATA_GOC!$H:$H,DATA_GOC!$A:$A,"BOM",DATA_GOC!$D:$D,$B136,DATA_GOC!$F:$F,"Xuất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6" s="229" t="str">
        <f>IF($B136="","",IF(Z$4&gt;DAY(EOMONTH(DATE($D$2,$B$2,1),0)),"",SUMIFS(DATA_GOC!$H:$H,DATA_GOC!$A:$A,"BOM",DATA_GOC!$D:$D,$B136,DATA_GOC!$F:$F,"Xuất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6" s="229" t="str">
        <f>IF($B136="","",IF(AA$4&gt;DAY(EOMONTH(DATE($D$2,$B$2,1),0)),"",SUMIFS(DATA_GOC!$H:$H,DATA_GOC!$A:$A,"BOM",DATA_GOC!$D:$D,$B136,DATA_GOC!$F:$F,"Xuất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6" s="229" t="str">
        <f>IF($B136="","",IF(AB$4&gt;DAY(EOMONTH(DATE($D$2,$B$2,1),0)),"",SUMIFS(DATA_GOC!$H:$H,DATA_GOC!$A:$A,"BOM",DATA_GOC!$D:$D,$B136,DATA_GOC!$F:$F,"Xuất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6" s="61" t="str">
        <f>IF($B136="","",IF(AC$4&gt;DAY(EOMONTH(DATE($D$2,$B$2,1),0)),"",SUMIFS(DATA_GOC!$H:$H,DATA_GOC!$A:$A,"BOM",DATA_GOC!$D:$D,$B136,DATA_GOC!$F:$F,"Xuất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6" s="222" t="str">
        <f>IF($B136="","",IF(AD$4&gt;DAY(EOMONTH(DATE($D$2,$B$2,1),0)),"",SUMIFS(DATA_GOC!$H:$H,DATA_GOC!$A:$A,"BOM",DATA_GOC!$D:$D,$B136,DATA_GOC!$F:$F,"Xuất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6" s="222" t="str">
        <f>IF($B136="","",IF(AE$4&gt;DAY(EOMONTH(DATE($D$2,$B$2,1),0)),"",SUMIFS(DATA_GOC!$H:$H,DATA_GOC!$A:$A,"BOM",DATA_GOC!$D:$D,$B136,DATA_GOC!$F:$F,"Xuất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6" s="222" t="str">
        <f>IF($B136="","",IF(AF$4&gt;DAY(EOMONTH(DATE($D$2,$B$2,1),0)),"",SUMIFS(DATA_GOC!$H:$H,DATA_GOC!$A:$A,"BOM",DATA_GOC!$D:$D,$B136,DATA_GOC!$F:$F,"Xuất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6" s="222" t="str">
        <f>IF($B136="","",IF(AG$4&gt;DAY(EOMONTH(DATE($D$2,$B$2,1),0)),"",SUMIFS(DATA_GOC!$H:$H,DATA_GOC!$A:$A,"BOM",DATA_GOC!$D:$D,$B136,DATA_GOC!$F:$F,"Xuất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6" s="222" t="str">
        <f t="shared" si="2"/>
        <v/>
      </c>
      <c r="AI136" s="222" t="str">
        <f>IF($B136="","",SUMIFS(DATA_GOC!$H:$H,DATA_GOC!$A:$A,"BOM",DATA_GOC!$D:$D,$B136,DATA_GOC!$F:$F,"Bơm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6" s="222" t="str">
        <f t="shared" si="3"/>
        <v/>
      </c>
      <c r="AM136" s="222" t="str">
        <f>IF($B136="","",SUMIFS(DATA_GOC!$K:$K,DATA_GOC!$A:$A,"BOM",DATA_GOC!$D:$D,$B136,DATA_GOC!$G:$G,"DO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6" s="222" t="str">
        <f t="shared" si="4"/>
        <v/>
      </c>
      <c r="AO136" s="227" t="str">
        <f t="shared" si="5"/>
        <v/>
      </c>
      <c r="AP136" s="226" t="str">
        <f>IF($B136="","",IFERROR(AO136-(SUMIFS(DATA_GOC!$H:$H,DATA_GOC!$A:$A,"BOM",DATA_GOC!$D:$D,$B136,DATA_GOC!$F:$F,"Xuất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6" s="59">
        <v>4.0</v>
      </c>
      <c r="AR136" s="59">
        <v>2026.0</v>
      </c>
      <c r="AS136" s="59" t="s">
        <v>88</v>
      </c>
      <c r="AT136" s="59">
        <v>4261.167</v>
      </c>
      <c r="AU136" s="59">
        <v>260.0</v>
      </c>
      <c r="AV136" s="59">
        <v>4521.167</v>
      </c>
      <c r="AW136" s="59">
        <v>9335.0</v>
      </c>
      <c r="AX136" s="59">
        <v>48.4324263524371</v>
      </c>
      <c r="AY136" s="59">
        <v>536.74</v>
      </c>
      <c r="AZ136" s="59">
        <v>3984.427</v>
      </c>
      <c r="BA136" s="59">
        <v>4.74</v>
      </c>
      <c r="BB136" s="59">
        <v>0.0</v>
      </c>
      <c r="BC136" s="59" t="s">
        <v>491</v>
      </c>
    </row>
    <row r="137" ht="15.0" customHeight="1">
      <c r="A137" s="61" t="str">
        <f t="shared" si="1"/>
        <v/>
      </c>
      <c r="B137" s="228" t="str">
        <f t="array" ref="B137">IFERROR(INDEX(DANH_MUC!$E:$E,ROW()-1),"")</f>
        <v/>
      </c>
      <c r="C137" s="228" t="str">
        <f>IF($B137="","",IF(C$4&gt;DAY(EOMONTH(DATE($D$2,$B$2,1),0)),"",SUMIFS(DATA_GOC!$H:$H,DATA_GOC!$A:$A,"BOM",DATA_GOC!$D:$D,$B137,DATA_GOC!$F:$F,"Xuất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7" s="61" t="str">
        <f>IF($B137="","",IF(D$4&gt;DAY(EOMONTH(DATE($D$2,$B$2,1),0)),"",SUMIFS(DATA_GOC!$H:$H,DATA_GOC!$A:$A,"BOM",DATA_GOC!$D:$D,$B137,DATA_GOC!$F:$F,"Xuất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7" s="229" t="str">
        <f>IF($B137="","",IF(E$4&gt;DAY(EOMONTH(DATE($D$2,$B$2,1),0)),"",SUMIFS(DATA_GOC!$H:$H,DATA_GOC!$A:$A,"BOM",DATA_GOC!$D:$D,$B137,DATA_GOC!$F:$F,"Xuất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7" s="229" t="str">
        <f>IF($B137="","",IF(F$4&gt;DAY(EOMONTH(DATE($D$2,$B$2,1),0)),"",SUMIFS(DATA_GOC!$H:$H,DATA_GOC!$A:$A,"BOM",DATA_GOC!$D:$D,$B137,DATA_GOC!$F:$F,"Xuất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7" s="229" t="str">
        <f>IF($B137="","",IF(G$4&gt;DAY(EOMONTH(DATE($D$2,$B$2,1),0)),"",SUMIFS(DATA_GOC!$H:$H,DATA_GOC!$A:$A,"BOM",DATA_GOC!$D:$D,$B137,DATA_GOC!$F:$F,"Xuất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7" s="228" t="str">
        <f>IF($B137="","",IF(H$4&gt;DAY(EOMONTH(DATE($D$2,$B$2,1),0)),"",SUMIFS(DATA_GOC!$H:$H,DATA_GOC!$A:$A,"BOM",DATA_GOC!$D:$D,$B137,DATA_GOC!$F:$F,"Xuất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7" s="229" t="str">
        <f>IF($B137="","",IF(I$4&gt;DAY(EOMONTH(DATE($D$2,$B$2,1),0)),"",SUMIFS(DATA_GOC!$H:$H,DATA_GOC!$A:$A,"BOM",DATA_GOC!$D:$D,$B137,DATA_GOC!$F:$F,"Xuất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7" s="229" t="str">
        <f>IF($B137="","",IF(J$4&gt;DAY(EOMONTH(DATE($D$2,$B$2,1),0)),"",SUMIFS(DATA_GOC!$H:$H,DATA_GOC!$A:$A,"BOM",DATA_GOC!$D:$D,$B137,DATA_GOC!$F:$F,"Xuất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7" s="229" t="str">
        <f>IF($B137="","",IF(K$4&gt;DAY(EOMONTH(DATE($D$2,$B$2,1),0)),"",SUMIFS(DATA_GOC!$H:$H,DATA_GOC!$A:$A,"BOM",DATA_GOC!$D:$D,$B137,DATA_GOC!$F:$F,"Xuất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7" s="229" t="str">
        <f>IF($B137="","",IF(L$4&gt;DAY(EOMONTH(DATE($D$2,$B$2,1),0)),"",SUMIFS(DATA_GOC!$H:$H,DATA_GOC!$A:$A,"BOM",DATA_GOC!$D:$D,$B137,DATA_GOC!$F:$F,"Xuất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7" s="229" t="str">
        <f>IF($B137="","",IF(M$4&gt;DAY(EOMONTH(DATE($D$2,$B$2,1),0)),"",SUMIFS(DATA_GOC!$H:$H,DATA_GOC!$A:$A,"BOM",DATA_GOC!$D:$D,$B137,DATA_GOC!$F:$F,"Xuất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7" s="61" t="str">
        <f>IF($B137="","",IF(N$4&gt;DAY(EOMONTH(DATE($D$2,$B$2,1),0)),"",SUMIFS(DATA_GOC!$H:$H,DATA_GOC!$A:$A,"BOM",DATA_GOC!$D:$D,$B137,DATA_GOC!$F:$F,"Xuất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7" s="61" t="str">
        <f>IF($B137="","",IF(O$4&gt;DAY(EOMONTH(DATE($D$2,$B$2,1),0)),"",SUMIFS(DATA_GOC!$H:$H,DATA_GOC!$A:$A,"BOM",DATA_GOC!$D:$D,$B137,DATA_GOC!$F:$F,"Xuất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7" s="61" t="str">
        <f>IF($B137="","",IF(P$4&gt;DAY(EOMONTH(DATE($D$2,$B$2,1),0)),"",SUMIFS(DATA_GOC!$H:$H,DATA_GOC!$A:$A,"BOM",DATA_GOC!$D:$D,$B137,DATA_GOC!$F:$F,"Xuất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7" s="61" t="str">
        <f>IF($B137="","",IF(Q$4&gt;DAY(EOMONTH(DATE($D$2,$B$2,1),0)),"",SUMIFS(DATA_GOC!$H:$H,DATA_GOC!$A:$A,"BOM",DATA_GOC!$D:$D,$B137,DATA_GOC!$F:$F,"Xuất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7" s="61" t="str">
        <f>IF($B137="","",IF(R$4&gt;DAY(EOMONTH(DATE($D$2,$B$2,1),0)),"",SUMIFS(DATA_GOC!$H:$H,DATA_GOC!$A:$A,"BOM",DATA_GOC!$D:$D,$B137,DATA_GOC!$F:$F,"Xuất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7" s="61" t="str">
        <f>IF($B137="","",IF(S$4&gt;DAY(EOMONTH(DATE($D$2,$B$2,1),0)),"",SUMIFS(DATA_GOC!$H:$H,DATA_GOC!$A:$A,"BOM",DATA_GOC!$D:$D,$B137,DATA_GOC!$F:$F,"Xuất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7" s="229" t="str">
        <f>IF($B137="","",IF(T$4&gt;DAY(EOMONTH(DATE($D$2,$B$2,1),0)),"",SUMIFS(DATA_GOC!$H:$H,DATA_GOC!$A:$A,"BOM",DATA_GOC!$D:$D,$B137,DATA_GOC!$F:$F,"Xuất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7" s="229" t="str">
        <f>IF($B137="","",IF(U$4&gt;DAY(EOMONTH(DATE($D$2,$B$2,1),0)),"",SUMIFS(DATA_GOC!$H:$H,DATA_GOC!$A:$A,"BOM",DATA_GOC!$D:$D,$B137,DATA_GOC!$F:$F,"Xuất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7" s="229" t="str">
        <f>IF($B137="","",IF(V$4&gt;DAY(EOMONTH(DATE($D$2,$B$2,1),0)),"",SUMIFS(DATA_GOC!$H:$H,DATA_GOC!$A:$A,"BOM",DATA_GOC!$D:$D,$B137,DATA_GOC!$F:$F,"Xuất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7" s="61" t="str">
        <f>IF($B137="","",IF(W$4&gt;DAY(EOMONTH(DATE($D$2,$B$2,1),0)),"",SUMIFS(DATA_GOC!$H:$H,DATA_GOC!$A:$A,"BOM",DATA_GOC!$D:$D,$B137,DATA_GOC!$F:$F,"Xuất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7" s="229" t="str">
        <f>IF($B137="","",IF(X$4&gt;DAY(EOMONTH(DATE($D$2,$B$2,1),0)),"",SUMIFS(DATA_GOC!$H:$H,DATA_GOC!$A:$A,"BOM",DATA_GOC!$D:$D,$B137,DATA_GOC!$F:$F,"Xuất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7" s="229" t="str">
        <f>IF($B137="","",IF(Y$4&gt;DAY(EOMONTH(DATE($D$2,$B$2,1),0)),"",SUMIFS(DATA_GOC!$H:$H,DATA_GOC!$A:$A,"BOM",DATA_GOC!$D:$D,$B137,DATA_GOC!$F:$F,"Xuất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7" s="229" t="str">
        <f>IF($B137="","",IF(Z$4&gt;DAY(EOMONTH(DATE($D$2,$B$2,1),0)),"",SUMIFS(DATA_GOC!$H:$H,DATA_GOC!$A:$A,"BOM",DATA_GOC!$D:$D,$B137,DATA_GOC!$F:$F,"Xuất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7" s="229" t="str">
        <f>IF($B137="","",IF(AA$4&gt;DAY(EOMONTH(DATE($D$2,$B$2,1),0)),"",SUMIFS(DATA_GOC!$H:$H,DATA_GOC!$A:$A,"BOM",DATA_GOC!$D:$D,$B137,DATA_GOC!$F:$F,"Xuất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7" s="229" t="str">
        <f>IF($B137="","",IF(AB$4&gt;DAY(EOMONTH(DATE($D$2,$B$2,1),0)),"",SUMIFS(DATA_GOC!$H:$H,DATA_GOC!$A:$A,"BOM",DATA_GOC!$D:$D,$B137,DATA_GOC!$F:$F,"Xuất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7" s="61" t="str">
        <f>IF($B137="","",IF(AC$4&gt;DAY(EOMONTH(DATE($D$2,$B$2,1),0)),"",SUMIFS(DATA_GOC!$H:$H,DATA_GOC!$A:$A,"BOM",DATA_GOC!$D:$D,$B137,DATA_GOC!$F:$F,"Xuất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7" s="222" t="str">
        <f>IF($B137="","",IF(AD$4&gt;DAY(EOMONTH(DATE($D$2,$B$2,1),0)),"",SUMIFS(DATA_GOC!$H:$H,DATA_GOC!$A:$A,"BOM",DATA_GOC!$D:$D,$B137,DATA_GOC!$F:$F,"Xuất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7" s="222" t="str">
        <f>IF($B137="","",IF(AE$4&gt;DAY(EOMONTH(DATE($D$2,$B$2,1),0)),"",SUMIFS(DATA_GOC!$H:$H,DATA_GOC!$A:$A,"BOM",DATA_GOC!$D:$D,$B137,DATA_GOC!$F:$F,"Xuất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7" s="222" t="str">
        <f>IF($B137="","",IF(AF$4&gt;DAY(EOMONTH(DATE($D$2,$B$2,1),0)),"",SUMIFS(DATA_GOC!$H:$H,DATA_GOC!$A:$A,"BOM",DATA_GOC!$D:$D,$B137,DATA_GOC!$F:$F,"Xuất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7" s="222" t="str">
        <f>IF($B137="","",IF(AG$4&gt;DAY(EOMONTH(DATE($D$2,$B$2,1),0)),"",SUMIFS(DATA_GOC!$H:$H,DATA_GOC!$A:$A,"BOM",DATA_GOC!$D:$D,$B137,DATA_GOC!$F:$F,"Xuất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7" s="222" t="str">
        <f t="shared" si="2"/>
        <v/>
      </c>
      <c r="AI137" s="222" t="str">
        <f>IF($B137="","",SUMIFS(DATA_GOC!$H:$H,DATA_GOC!$A:$A,"BOM",DATA_GOC!$D:$D,$B137,DATA_GOC!$F:$F,"Bơm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7" s="222" t="str">
        <f t="shared" si="3"/>
        <v/>
      </c>
      <c r="AM137" s="222" t="str">
        <f>IF($B137="","",SUMIFS(DATA_GOC!$K:$K,DATA_GOC!$A:$A,"BOM",DATA_GOC!$D:$D,$B137,DATA_GOC!$G:$G,"DO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7" s="222" t="str">
        <f t="shared" si="4"/>
        <v/>
      </c>
      <c r="AO137" s="227" t="str">
        <f t="shared" si="5"/>
        <v/>
      </c>
      <c r="AP137" s="226" t="str">
        <f>IF($B137="","",IFERROR(AO137-(SUMIFS(DATA_GOC!$H:$H,DATA_GOC!$A:$A,"BOM",DATA_GOC!$D:$D,$B137,DATA_GOC!$F:$F,"Xuất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7" s="59">
        <v>4.0</v>
      </c>
      <c r="AR137" s="59">
        <v>2026.0</v>
      </c>
      <c r="AS137" s="59" t="s">
        <v>123</v>
      </c>
      <c r="AT137" s="59">
        <v>3159.821</v>
      </c>
      <c r="AU137" s="59">
        <v>350.0</v>
      </c>
      <c r="AV137" s="59">
        <v>3509.821</v>
      </c>
      <c r="AW137" s="59">
        <v>6592.0</v>
      </c>
      <c r="AX137" s="59">
        <v>53.2436438106796</v>
      </c>
      <c r="AY137" s="59">
        <v>1034.13</v>
      </c>
      <c r="AZ137" s="59">
        <v>2475.691</v>
      </c>
      <c r="BA137" s="59">
        <v>9.13</v>
      </c>
      <c r="BB137" s="59">
        <v>0.0</v>
      </c>
      <c r="BC137" s="59" t="s">
        <v>492</v>
      </c>
    </row>
    <row r="138" ht="15.0" customHeight="1">
      <c r="A138" s="61" t="str">
        <f t="shared" si="1"/>
        <v/>
      </c>
      <c r="B138" s="228" t="str">
        <f t="array" ref="B138">IFERROR(INDEX(DANH_MUC!$E:$E,ROW()-1),"")</f>
        <v/>
      </c>
      <c r="C138" s="228" t="str">
        <f>IF($B138="","",IF(C$4&gt;DAY(EOMONTH(DATE($D$2,$B$2,1),0)),"",SUMIFS(DATA_GOC!$H:$H,DATA_GOC!$A:$A,"BOM",DATA_GOC!$D:$D,$B138,DATA_GOC!$F:$F,"Xuất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8" s="61" t="str">
        <f>IF($B138="","",IF(D$4&gt;DAY(EOMONTH(DATE($D$2,$B$2,1),0)),"",SUMIFS(DATA_GOC!$H:$H,DATA_GOC!$A:$A,"BOM",DATA_GOC!$D:$D,$B138,DATA_GOC!$F:$F,"Xuất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8" s="229" t="str">
        <f>IF($B138="","",IF(E$4&gt;DAY(EOMONTH(DATE($D$2,$B$2,1),0)),"",SUMIFS(DATA_GOC!$H:$H,DATA_GOC!$A:$A,"BOM",DATA_GOC!$D:$D,$B138,DATA_GOC!$F:$F,"Xuất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8" s="229" t="str">
        <f>IF($B138="","",IF(F$4&gt;DAY(EOMONTH(DATE($D$2,$B$2,1),0)),"",SUMIFS(DATA_GOC!$H:$H,DATA_GOC!$A:$A,"BOM",DATA_GOC!$D:$D,$B138,DATA_GOC!$F:$F,"Xuất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8" s="229" t="str">
        <f>IF($B138="","",IF(G$4&gt;DAY(EOMONTH(DATE($D$2,$B$2,1),0)),"",SUMIFS(DATA_GOC!$H:$H,DATA_GOC!$A:$A,"BOM",DATA_GOC!$D:$D,$B138,DATA_GOC!$F:$F,"Xuất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8" s="228" t="str">
        <f>IF($B138="","",IF(H$4&gt;DAY(EOMONTH(DATE($D$2,$B$2,1),0)),"",SUMIFS(DATA_GOC!$H:$H,DATA_GOC!$A:$A,"BOM",DATA_GOC!$D:$D,$B138,DATA_GOC!$F:$F,"Xuất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8" s="229" t="str">
        <f>IF($B138="","",IF(I$4&gt;DAY(EOMONTH(DATE($D$2,$B$2,1),0)),"",SUMIFS(DATA_GOC!$H:$H,DATA_GOC!$A:$A,"BOM",DATA_GOC!$D:$D,$B138,DATA_GOC!$F:$F,"Xuất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8" s="229" t="str">
        <f>IF($B138="","",IF(J$4&gt;DAY(EOMONTH(DATE($D$2,$B$2,1),0)),"",SUMIFS(DATA_GOC!$H:$H,DATA_GOC!$A:$A,"BOM",DATA_GOC!$D:$D,$B138,DATA_GOC!$F:$F,"Xuất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8" s="229" t="str">
        <f>IF($B138="","",IF(K$4&gt;DAY(EOMONTH(DATE($D$2,$B$2,1),0)),"",SUMIFS(DATA_GOC!$H:$H,DATA_GOC!$A:$A,"BOM",DATA_GOC!$D:$D,$B138,DATA_GOC!$F:$F,"Xuất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8" s="229" t="str">
        <f>IF($B138="","",IF(L$4&gt;DAY(EOMONTH(DATE($D$2,$B$2,1),0)),"",SUMIFS(DATA_GOC!$H:$H,DATA_GOC!$A:$A,"BOM",DATA_GOC!$D:$D,$B138,DATA_GOC!$F:$F,"Xuất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8" s="229" t="str">
        <f>IF($B138="","",IF(M$4&gt;DAY(EOMONTH(DATE($D$2,$B$2,1),0)),"",SUMIFS(DATA_GOC!$H:$H,DATA_GOC!$A:$A,"BOM",DATA_GOC!$D:$D,$B138,DATA_GOC!$F:$F,"Xuất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8" s="61" t="str">
        <f>IF($B138="","",IF(N$4&gt;DAY(EOMONTH(DATE($D$2,$B$2,1),0)),"",SUMIFS(DATA_GOC!$H:$H,DATA_GOC!$A:$A,"BOM",DATA_GOC!$D:$D,$B138,DATA_GOC!$F:$F,"Xuất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8" s="61" t="str">
        <f>IF($B138="","",IF(O$4&gt;DAY(EOMONTH(DATE($D$2,$B$2,1),0)),"",SUMIFS(DATA_GOC!$H:$H,DATA_GOC!$A:$A,"BOM",DATA_GOC!$D:$D,$B138,DATA_GOC!$F:$F,"Xuất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8" s="61" t="str">
        <f>IF($B138="","",IF(P$4&gt;DAY(EOMONTH(DATE($D$2,$B$2,1),0)),"",SUMIFS(DATA_GOC!$H:$H,DATA_GOC!$A:$A,"BOM",DATA_GOC!$D:$D,$B138,DATA_GOC!$F:$F,"Xuất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8" s="61" t="str">
        <f>IF($B138="","",IF(Q$4&gt;DAY(EOMONTH(DATE($D$2,$B$2,1),0)),"",SUMIFS(DATA_GOC!$H:$H,DATA_GOC!$A:$A,"BOM",DATA_GOC!$D:$D,$B138,DATA_GOC!$F:$F,"Xuất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8" s="61" t="str">
        <f>IF($B138="","",IF(R$4&gt;DAY(EOMONTH(DATE($D$2,$B$2,1),0)),"",SUMIFS(DATA_GOC!$H:$H,DATA_GOC!$A:$A,"BOM",DATA_GOC!$D:$D,$B138,DATA_GOC!$F:$F,"Xuất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8" s="61" t="str">
        <f>IF($B138="","",IF(S$4&gt;DAY(EOMONTH(DATE($D$2,$B$2,1),0)),"",SUMIFS(DATA_GOC!$H:$H,DATA_GOC!$A:$A,"BOM",DATA_GOC!$D:$D,$B138,DATA_GOC!$F:$F,"Xuất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8" s="229" t="str">
        <f>IF($B138="","",IF(T$4&gt;DAY(EOMONTH(DATE($D$2,$B$2,1),0)),"",SUMIFS(DATA_GOC!$H:$H,DATA_GOC!$A:$A,"BOM",DATA_GOC!$D:$D,$B138,DATA_GOC!$F:$F,"Xuất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8" s="229" t="str">
        <f>IF($B138="","",IF(U$4&gt;DAY(EOMONTH(DATE($D$2,$B$2,1),0)),"",SUMIFS(DATA_GOC!$H:$H,DATA_GOC!$A:$A,"BOM",DATA_GOC!$D:$D,$B138,DATA_GOC!$F:$F,"Xuất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8" s="229" t="str">
        <f>IF($B138="","",IF(V$4&gt;DAY(EOMONTH(DATE($D$2,$B$2,1),0)),"",SUMIFS(DATA_GOC!$H:$H,DATA_GOC!$A:$A,"BOM",DATA_GOC!$D:$D,$B138,DATA_GOC!$F:$F,"Xuất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8" s="61" t="str">
        <f>IF($B138="","",IF(W$4&gt;DAY(EOMONTH(DATE($D$2,$B$2,1),0)),"",SUMIFS(DATA_GOC!$H:$H,DATA_GOC!$A:$A,"BOM",DATA_GOC!$D:$D,$B138,DATA_GOC!$F:$F,"Xuất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8" s="229" t="str">
        <f>IF($B138="","",IF(X$4&gt;DAY(EOMONTH(DATE($D$2,$B$2,1),0)),"",SUMIFS(DATA_GOC!$H:$H,DATA_GOC!$A:$A,"BOM",DATA_GOC!$D:$D,$B138,DATA_GOC!$F:$F,"Xuất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8" s="229" t="str">
        <f>IF($B138="","",IF(Y$4&gt;DAY(EOMONTH(DATE($D$2,$B$2,1),0)),"",SUMIFS(DATA_GOC!$H:$H,DATA_GOC!$A:$A,"BOM",DATA_GOC!$D:$D,$B138,DATA_GOC!$F:$F,"Xuất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8" s="229" t="str">
        <f>IF($B138="","",IF(Z$4&gt;DAY(EOMONTH(DATE($D$2,$B$2,1),0)),"",SUMIFS(DATA_GOC!$H:$H,DATA_GOC!$A:$A,"BOM",DATA_GOC!$D:$D,$B138,DATA_GOC!$F:$F,"Xuất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8" s="229" t="str">
        <f>IF($B138="","",IF(AA$4&gt;DAY(EOMONTH(DATE($D$2,$B$2,1),0)),"",SUMIFS(DATA_GOC!$H:$H,DATA_GOC!$A:$A,"BOM",DATA_GOC!$D:$D,$B138,DATA_GOC!$F:$F,"Xuất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8" s="229" t="str">
        <f>IF($B138="","",IF(AB$4&gt;DAY(EOMONTH(DATE($D$2,$B$2,1),0)),"",SUMIFS(DATA_GOC!$H:$H,DATA_GOC!$A:$A,"BOM",DATA_GOC!$D:$D,$B138,DATA_GOC!$F:$F,"Xuất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8" s="61" t="str">
        <f>IF($B138="","",IF(AC$4&gt;DAY(EOMONTH(DATE($D$2,$B$2,1),0)),"",SUMIFS(DATA_GOC!$H:$H,DATA_GOC!$A:$A,"BOM",DATA_GOC!$D:$D,$B138,DATA_GOC!$F:$F,"Xuất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8" s="222" t="str">
        <f>IF($B138="","",IF(AD$4&gt;DAY(EOMONTH(DATE($D$2,$B$2,1),0)),"",SUMIFS(DATA_GOC!$H:$H,DATA_GOC!$A:$A,"BOM",DATA_GOC!$D:$D,$B138,DATA_GOC!$F:$F,"Xuất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8" s="222" t="str">
        <f>IF($B138="","",IF(AE$4&gt;DAY(EOMONTH(DATE($D$2,$B$2,1),0)),"",SUMIFS(DATA_GOC!$H:$H,DATA_GOC!$A:$A,"BOM",DATA_GOC!$D:$D,$B138,DATA_GOC!$F:$F,"Xuất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8" s="222" t="str">
        <f>IF($B138="","",IF(AF$4&gt;DAY(EOMONTH(DATE($D$2,$B$2,1),0)),"",SUMIFS(DATA_GOC!$H:$H,DATA_GOC!$A:$A,"BOM",DATA_GOC!$D:$D,$B138,DATA_GOC!$F:$F,"Xuất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8" s="222" t="str">
        <f>IF($B138="","",IF(AG$4&gt;DAY(EOMONTH(DATE($D$2,$B$2,1),0)),"",SUMIFS(DATA_GOC!$H:$H,DATA_GOC!$A:$A,"BOM",DATA_GOC!$D:$D,$B138,DATA_GOC!$F:$F,"Xuất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8" s="222" t="str">
        <f t="shared" si="2"/>
        <v/>
      </c>
      <c r="AI138" s="222" t="str">
        <f>IF($B138="","",SUMIFS(DATA_GOC!$H:$H,DATA_GOC!$A:$A,"BOM",DATA_GOC!$D:$D,$B138,DATA_GOC!$F:$F,"Bơm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8" s="222" t="str">
        <f t="shared" si="3"/>
        <v/>
      </c>
      <c r="AM138" s="222" t="str">
        <f>IF($B138="","",SUMIFS(DATA_GOC!$K:$K,DATA_GOC!$A:$A,"BOM",DATA_GOC!$D:$D,$B138,DATA_GOC!$G:$G,"DO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8" s="222" t="str">
        <f t="shared" si="4"/>
        <v/>
      </c>
      <c r="AO138" s="227" t="str">
        <f t="shared" si="5"/>
        <v/>
      </c>
      <c r="AP138" s="226" t="str">
        <f>IF($B138="","",IFERROR(AO138-(SUMIFS(DATA_GOC!$H:$H,DATA_GOC!$A:$A,"BOM",DATA_GOC!$D:$D,$B138,DATA_GOC!$F:$F,"Xuất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8" s="59">
        <v>4.0</v>
      </c>
      <c r="AR138" s="59">
        <v>2026.0</v>
      </c>
      <c r="AS138" s="59" t="s">
        <v>82</v>
      </c>
      <c r="AT138" s="59">
        <v>3191.341</v>
      </c>
      <c r="AU138" s="59">
        <v>0.0</v>
      </c>
      <c r="AV138" s="59">
        <v>3191.341</v>
      </c>
      <c r="AW138" s="59">
        <v>6963.0</v>
      </c>
      <c r="AX138" s="59">
        <v>45.8328450380583</v>
      </c>
      <c r="AY138" s="59">
        <v>1093.66</v>
      </c>
      <c r="AZ138" s="59">
        <v>2097.681</v>
      </c>
      <c r="BA138" s="59">
        <v>9.66</v>
      </c>
      <c r="BB138" s="59">
        <v>0.0</v>
      </c>
      <c r="BC138" s="59" t="s">
        <v>493</v>
      </c>
    </row>
    <row r="139" ht="15.0" customHeight="1">
      <c r="A139" s="61" t="str">
        <f t="shared" si="1"/>
        <v/>
      </c>
      <c r="B139" s="228" t="str">
        <f t="array" ref="B139">IFERROR(INDEX(DANH_MUC!$E:$E,ROW()-1),"")</f>
        <v/>
      </c>
      <c r="C139" s="228" t="str">
        <f>IF($B139="","",IF(C$4&gt;DAY(EOMONTH(DATE($D$2,$B$2,1),0)),"",SUMIFS(DATA_GOC!$H:$H,DATA_GOC!$A:$A,"BOM",DATA_GOC!$D:$D,$B139,DATA_GOC!$F:$F,"Xuất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39" s="61" t="str">
        <f>IF($B139="","",IF(D$4&gt;DAY(EOMONTH(DATE($D$2,$B$2,1),0)),"",SUMIFS(DATA_GOC!$H:$H,DATA_GOC!$A:$A,"BOM",DATA_GOC!$D:$D,$B139,DATA_GOC!$F:$F,"Xuất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39" s="229" t="str">
        <f>IF($B139="","",IF(E$4&gt;DAY(EOMONTH(DATE($D$2,$B$2,1),0)),"",SUMIFS(DATA_GOC!$H:$H,DATA_GOC!$A:$A,"BOM",DATA_GOC!$D:$D,$B139,DATA_GOC!$F:$F,"Xuất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39" s="229" t="str">
        <f>IF($B139="","",IF(F$4&gt;DAY(EOMONTH(DATE($D$2,$B$2,1),0)),"",SUMIFS(DATA_GOC!$H:$H,DATA_GOC!$A:$A,"BOM",DATA_GOC!$D:$D,$B139,DATA_GOC!$F:$F,"Xuất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39" s="229" t="str">
        <f>IF($B139="","",IF(G$4&gt;DAY(EOMONTH(DATE($D$2,$B$2,1),0)),"",SUMIFS(DATA_GOC!$H:$H,DATA_GOC!$A:$A,"BOM",DATA_GOC!$D:$D,$B139,DATA_GOC!$F:$F,"Xuất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39" s="228" t="str">
        <f>IF($B139="","",IF(H$4&gt;DAY(EOMONTH(DATE($D$2,$B$2,1),0)),"",SUMIFS(DATA_GOC!$H:$H,DATA_GOC!$A:$A,"BOM",DATA_GOC!$D:$D,$B139,DATA_GOC!$F:$F,"Xuất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39" s="229" t="str">
        <f>IF($B139="","",IF(I$4&gt;DAY(EOMONTH(DATE($D$2,$B$2,1),0)),"",SUMIFS(DATA_GOC!$H:$H,DATA_GOC!$A:$A,"BOM",DATA_GOC!$D:$D,$B139,DATA_GOC!$F:$F,"Xuất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39" s="229" t="str">
        <f>IF($B139="","",IF(J$4&gt;DAY(EOMONTH(DATE($D$2,$B$2,1),0)),"",SUMIFS(DATA_GOC!$H:$H,DATA_GOC!$A:$A,"BOM",DATA_GOC!$D:$D,$B139,DATA_GOC!$F:$F,"Xuất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39" s="229" t="str">
        <f>IF($B139="","",IF(K$4&gt;DAY(EOMONTH(DATE($D$2,$B$2,1),0)),"",SUMIFS(DATA_GOC!$H:$H,DATA_GOC!$A:$A,"BOM",DATA_GOC!$D:$D,$B139,DATA_GOC!$F:$F,"Xuất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39" s="229" t="str">
        <f>IF($B139="","",IF(L$4&gt;DAY(EOMONTH(DATE($D$2,$B$2,1),0)),"",SUMIFS(DATA_GOC!$H:$H,DATA_GOC!$A:$A,"BOM",DATA_GOC!$D:$D,$B139,DATA_GOC!$F:$F,"Xuất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39" s="229" t="str">
        <f>IF($B139="","",IF(M$4&gt;DAY(EOMONTH(DATE($D$2,$B$2,1),0)),"",SUMIFS(DATA_GOC!$H:$H,DATA_GOC!$A:$A,"BOM",DATA_GOC!$D:$D,$B139,DATA_GOC!$F:$F,"Xuất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39" s="61" t="str">
        <f>IF($B139="","",IF(N$4&gt;DAY(EOMONTH(DATE($D$2,$B$2,1),0)),"",SUMIFS(DATA_GOC!$H:$H,DATA_GOC!$A:$A,"BOM",DATA_GOC!$D:$D,$B139,DATA_GOC!$F:$F,"Xuất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39" s="61" t="str">
        <f>IF($B139="","",IF(O$4&gt;DAY(EOMONTH(DATE($D$2,$B$2,1),0)),"",SUMIFS(DATA_GOC!$H:$H,DATA_GOC!$A:$A,"BOM",DATA_GOC!$D:$D,$B139,DATA_GOC!$F:$F,"Xuất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39" s="61" t="str">
        <f>IF($B139="","",IF(P$4&gt;DAY(EOMONTH(DATE($D$2,$B$2,1),0)),"",SUMIFS(DATA_GOC!$H:$H,DATA_GOC!$A:$A,"BOM",DATA_GOC!$D:$D,$B139,DATA_GOC!$F:$F,"Xuất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39" s="61" t="str">
        <f>IF($B139="","",IF(Q$4&gt;DAY(EOMONTH(DATE($D$2,$B$2,1),0)),"",SUMIFS(DATA_GOC!$H:$H,DATA_GOC!$A:$A,"BOM",DATA_GOC!$D:$D,$B139,DATA_GOC!$F:$F,"Xuất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39" s="61" t="str">
        <f>IF($B139="","",IF(R$4&gt;DAY(EOMONTH(DATE($D$2,$B$2,1),0)),"",SUMIFS(DATA_GOC!$H:$H,DATA_GOC!$A:$A,"BOM",DATA_GOC!$D:$D,$B139,DATA_GOC!$F:$F,"Xuất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39" s="61" t="str">
        <f>IF($B139="","",IF(S$4&gt;DAY(EOMONTH(DATE($D$2,$B$2,1),0)),"",SUMIFS(DATA_GOC!$H:$H,DATA_GOC!$A:$A,"BOM",DATA_GOC!$D:$D,$B139,DATA_GOC!$F:$F,"Xuất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39" s="229" t="str">
        <f>IF($B139="","",IF(T$4&gt;DAY(EOMONTH(DATE($D$2,$B$2,1),0)),"",SUMIFS(DATA_GOC!$H:$H,DATA_GOC!$A:$A,"BOM",DATA_GOC!$D:$D,$B139,DATA_GOC!$F:$F,"Xuất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39" s="229" t="str">
        <f>IF($B139="","",IF(U$4&gt;DAY(EOMONTH(DATE($D$2,$B$2,1),0)),"",SUMIFS(DATA_GOC!$H:$H,DATA_GOC!$A:$A,"BOM",DATA_GOC!$D:$D,$B139,DATA_GOC!$F:$F,"Xuất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39" s="229" t="str">
        <f>IF($B139="","",IF(V$4&gt;DAY(EOMONTH(DATE($D$2,$B$2,1),0)),"",SUMIFS(DATA_GOC!$H:$H,DATA_GOC!$A:$A,"BOM",DATA_GOC!$D:$D,$B139,DATA_GOC!$F:$F,"Xuất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39" s="61" t="str">
        <f>IF($B139="","",IF(W$4&gt;DAY(EOMONTH(DATE($D$2,$B$2,1),0)),"",SUMIFS(DATA_GOC!$H:$H,DATA_GOC!$A:$A,"BOM",DATA_GOC!$D:$D,$B139,DATA_GOC!$F:$F,"Xuất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39" s="229" t="str">
        <f>IF($B139="","",IF(X$4&gt;DAY(EOMONTH(DATE($D$2,$B$2,1),0)),"",SUMIFS(DATA_GOC!$H:$H,DATA_GOC!$A:$A,"BOM",DATA_GOC!$D:$D,$B139,DATA_GOC!$F:$F,"Xuất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39" s="229" t="str">
        <f>IF($B139="","",IF(Y$4&gt;DAY(EOMONTH(DATE($D$2,$B$2,1),0)),"",SUMIFS(DATA_GOC!$H:$H,DATA_GOC!$A:$A,"BOM",DATA_GOC!$D:$D,$B139,DATA_GOC!$F:$F,"Xuất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39" s="229" t="str">
        <f>IF($B139="","",IF(Z$4&gt;DAY(EOMONTH(DATE($D$2,$B$2,1),0)),"",SUMIFS(DATA_GOC!$H:$H,DATA_GOC!$A:$A,"BOM",DATA_GOC!$D:$D,$B139,DATA_GOC!$F:$F,"Xuất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39" s="229" t="str">
        <f>IF($B139="","",IF(AA$4&gt;DAY(EOMONTH(DATE($D$2,$B$2,1),0)),"",SUMIFS(DATA_GOC!$H:$H,DATA_GOC!$A:$A,"BOM",DATA_GOC!$D:$D,$B139,DATA_GOC!$F:$F,"Xuất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39" s="229" t="str">
        <f>IF($B139="","",IF(AB$4&gt;DAY(EOMONTH(DATE($D$2,$B$2,1),0)),"",SUMIFS(DATA_GOC!$H:$H,DATA_GOC!$A:$A,"BOM",DATA_GOC!$D:$D,$B139,DATA_GOC!$F:$F,"Xuất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39" s="61" t="str">
        <f>IF($B139="","",IF(AC$4&gt;DAY(EOMONTH(DATE($D$2,$B$2,1),0)),"",SUMIFS(DATA_GOC!$H:$H,DATA_GOC!$A:$A,"BOM",DATA_GOC!$D:$D,$B139,DATA_GOC!$F:$F,"Xuất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39" s="222" t="str">
        <f>IF($B139="","",IF(AD$4&gt;DAY(EOMONTH(DATE($D$2,$B$2,1),0)),"",SUMIFS(DATA_GOC!$H:$H,DATA_GOC!$A:$A,"BOM",DATA_GOC!$D:$D,$B139,DATA_GOC!$F:$F,"Xuất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39" s="222" t="str">
        <f>IF($B139="","",IF(AE$4&gt;DAY(EOMONTH(DATE($D$2,$B$2,1),0)),"",SUMIFS(DATA_GOC!$H:$H,DATA_GOC!$A:$A,"BOM",DATA_GOC!$D:$D,$B139,DATA_GOC!$F:$F,"Xuất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39" s="222" t="str">
        <f>IF($B139="","",IF(AF$4&gt;DAY(EOMONTH(DATE($D$2,$B$2,1),0)),"",SUMIFS(DATA_GOC!$H:$H,DATA_GOC!$A:$A,"BOM",DATA_GOC!$D:$D,$B139,DATA_GOC!$F:$F,"Xuất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39" s="222" t="str">
        <f>IF($B139="","",IF(AG$4&gt;DAY(EOMONTH(DATE($D$2,$B$2,1),0)),"",SUMIFS(DATA_GOC!$H:$H,DATA_GOC!$A:$A,"BOM",DATA_GOC!$D:$D,$B139,DATA_GOC!$F:$F,"Xuất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39" s="222" t="str">
        <f t="shared" si="2"/>
        <v/>
      </c>
      <c r="AI139" s="222" t="str">
        <f>IF($B139="","",SUMIFS(DATA_GOC!$H:$H,DATA_GOC!$A:$A,"BOM",DATA_GOC!$D:$D,$B139,DATA_GOC!$F:$F,"Bơm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39" s="222" t="str">
        <f t="shared" si="3"/>
        <v/>
      </c>
      <c r="AM139" s="222" t="str">
        <f>IF($B139="","",SUMIFS(DATA_GOC!$K:$K,DATA_GOC!$A:$A,"BOM",DATA_GOC!$D:$D,$B139,DATA_GOC!$G:$G,"DO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39" s="222" t="str">
        <f t="shared" si="4"/>
        <v/>
      </c>
      <c r="AO139" s="227" t="str">
        <f t="shared" si="5"/>
        <v/>
      </c>
      <c r="AP139" s="226" t="str">
        <f>IF($B139="","",IFERROR(AO139-(SUMIFS(DATA_GOC!$H:$H,DATA_GOC!$A:$A,"BOM",DATA_GOC!$D:$D,$B139,DATA_GOC!$F:$F,"Xuất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số",DATA_GOC!$B:$B,"&gt;="&amp;EDATE(DATE($D$2,$B$2,1),-1),DATA_GOC!$B:$B,"&lt;"&amp;DATE($D$2,$B$2,1))/SUMIFS(DATA_GOC!$K:$K,DATA_GOC!$A:$A,"BOM",DATA_GOC!$D:$D,$B139,DATA_GOC!$G:$G,"DO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39" s="59">
        <v>4.0</v>
      </c>
      <c r="AR139" s="59">
        <v>2026.0</v>
      </c>
      <c r="AS139" s="59" t="s">
        <v>77</v>
      </c>
      <c r="AT139" s="59">
        <v>1467.148</v>
      </c>
      <c r="AU139" s="59">
        <v>7.0</v>
      </c>
      <c r="AV139" s="59">
        <v>1474.148</v>
      </c>
      <c r="AW139" s="59">
        <v>2972.0</v>
      </c>
      <c r="AX139" s="59">
        <v>49.6012113055182</v>
      </c>
      <c r="AY139" s="59">
        <v>0.0</v>
      </c>
      <c r="AZ139" s="59">
        <v>1474.148</v>
      </c>
      <c r="BA139" s="59">
        <v>0.0</v>
      </c>
      <c r="BB139" s="59">
        <v>0.0</v>
      </c>
      <c r="BC139" s="59" t="s">
        <v>494</v>
      </c>
    </row>
    <row r="140" ht="15.0" customHeight="1">
      <c r="A140" s="61" t="str">
        <f t="shared" si="1"/>
        <v/>
      </c>
      <c r="B140" s="228" t="str">
        <f t="array" ref="B140">IFERROR(INDEX(DANH_MUC!$E:$E,ROW()-1),"")</f>
        <v/>
      </c>
      <c r="C140" s="228" t="str">
        <f>IF($B140="","",IF(C$4&gt;DAY(EOMONTH(DATE($D$2,$B$2,1),0)),"",SUMIFS(DATA_GOC!$H:$H,DATA_GOC!$A:$A,"BOM",DATA_GOC!$D:$D,$B140,DATA_GOC!$F:$F,"Xuất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0" s="61" t="str">
        <f>IF($B140="","",IF(D$4&gt;DAY(EOMONTH(DATE($D$2,$B$2,1),0)),"",SUMIFS(DATA_GOC!$H:$H,DATA_GOC!$A:$A,"BOM",DATA_GOC!$D:$D,$B140,DATA_GOC!$F:$F,"Xuất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0" s="229" t="str">
        <f>IF($B140="","",IF(E$4&gt;DAY(EOMONTH(DATE($D$2,$B$2,1),0)),"",SUMIFS(DATA_GOC!$H:$H,DATA_GOC!$A:$A,"BOM",DATA_GOC!$D:$D,$B140,DATA_GOC!$F:$F,"Xuất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0" s="229" t="str">
        <f>IF($B140="","",IF(F$4&gt;DAY(EOMONTH(DATE($D$2,$B$2,1),0)),"",SUMIFS(DATA_GOC!$H:$H,DATA_GOC!$A:$A,"BOM",DATA_GOC!$D:$D,$B140,DATA_GOC!$F:$F,"Xuất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0" s="229" t="str">
        <f>IF($B140="","",IF(G$4&gt;DAY(EOMONTH(DATE($D$2,$B$2,1),0)),"",SUMIFS(DATA_GOC!$H:$H,DATA_GOC!$A:$A,"BOM",DATA_GOC!$D:$D,$B140,DATA_GOC!$F:$F,"Xuất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0" s="228" t="str">
        <f>IF($B140="","",IF(H$4&gt;DAY(EOMONTH(DATE($D$2,$B$2,1),0)),"",SUMIFS(DATA_GOC!$H:$H,DATA_GOC!$A:$A,"BOM",DATA_GOC!$D:$D,$B140,DATA_GOC!$F:$F,"Xuất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0" s="229" t="str">
        <f>IF($B140="","",IF(I$4&gt;DAY(EOMONTH(DATE($D$2,$B$2,1),0)),"",SUMIFS(DATA_GOC!$H:$H,DATA_GOC!$A:$A,"BOM",DATA_GOC!$D:$D,$B140,DATA_GOC!$F:$F,"Xuất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0" s="229" t="str">
        <f>IF($B140="","",IF(J$4&gt;DAY(EOMONTH(DATE($D$2,$B$2,1),0)),"",SUMIFS(DATA_GOC!$H:$H,DATA_GOC!$A:$A,"BOM",DATA_GOC!$D:$D,$B140,DATA_GOC!$F:$F,"Xuất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0" s="229" t="str">
        <f>IF($B140="","",IF(K$4&gt;DAY(EOMONTH(DATE($D$2,$B$2,1),0)),"",SUMIFS(DATA_GOC!$H:$H,DATA_GOC!$A:$A,"BOM",DATA_GOC!$D:$D,$B140,DATA_GOC!$F:$F,"Xuất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0" s="229" t="str">
        <f>IF($B140="","",IF(L$4&gt;DAY(EOMONTH(DATE($D$2,$B$2,1),0)),"",SUMIFS(DATA_GOC!$H:$H,DATA_GOC!$A:$A,"BOM",DATA_GOC!$D:$D,$B140,DATA_GOC!$F:$F,"Xuất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0" s="229" t="str">
        <f>IF($B140="","",IF(M$4&gt;DAY(EOMONTH(DATE($D$2,$B$2,1),0)),"",SUMIFS(DATA_GOC!$H:$H,DATA_GOC!$A:$A,"BOM",DATA_GOC!$D:$D,$B140,DATA_GOC!$F:$F,"Xuất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0" s="61" t="str">
        <f>IF($B140="","",IF(N$4&gt;DAY(EOMONTH(DATE($D$2,$B$2,1),0)),"",SUMIFS(DATA_GOC!$H:$H,DATA_GOC!$A:$A,"BOM",DATA_GOC!$D:$D,$B140,DATA_GOC!$F:$F,"Xuất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0" s="61" t="str">
        <f>IF($B140="","",IF(O$4&gt;DAY(EOMONTH(DATE($D$2,$B$2,1),0)),"",SUMIFS(DATA_GOC!$H:$H,DATA_GOC!$A:$A,"BOM",DATA_GOC!$D:$D,$B140,DATA_GOC!$F:$F,"Xuất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0" s="61" t="str">
        <f>IF($B140="","",IF(P$4&gt;DAY(EOMONTH(DATE($D$2,$B$2,1),0)),"",SUMIFS(DATA_GOC!$H:$H,DATA_GOC!$A:$A,"BOM",DATA_GOC!$D:$D,$B140,DATA_GOC!$F:$F,"Xuất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0" s="61" t="str">
        <f>IF($B140="","",IF(Q$4&gt;DAY(EOMONTH(DATE($D$2,$B$2,1),0)),"",SUMIFS(DATA_GOC!$H:$H,DATA_GOC!$A:$A,"BOM",DATA_GOC!$D:$D,$B140,DATA_GOC!$F:$F,"Xuất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0" s="61" t="str">
        <f>IF($B140="","",IF(R$4&gt;DAY(EOMONTH(DATE($D$2,$B$2,1),0)),"",SUMIFS(DATA_GOC!$H:$H,DATA_GOC!$A:$A,"BOM",DATA_GOC!$D:$D,$B140,DATA_GOC!$F:$F,"Xuất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0" s="61" t="str">
        <f>IF($B140="","",IF(S$4&gt;DAY(EOMONTH(DATE($D$2,$B$2,1),0)),"",SUMIFS(DATA_GOC!$H:$H,DATA_GOC!$A:$A,"BOM",DATA_GOC!$D:$D,$B140,DATA_GOC!$F:$F,"Xuất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0" s="229" t="str">
        <f>IF($B140="","",IF(T$4&gt;DAY(EOMONTH(DATE($D$2,$B$2,1),0)),"",SUMIFS(DATA_GOC!$H:$H,DATA_GOC!$A:$A,"BOM",DATA_GOC!$D:$D,$B140,DATA_GOC!$F:$F,"Xuất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0" s="229" t="str">
        <f>IF($B140="","",IF(U$4&gt;DAY(EOMONTH(DATE($D$2,$B$2,1),0)),"",SUMIFS(DATA_GOC!$H:$H,DATA_GOC!$A:$A,"BOM",DATA_GOC!$D:$D,$B140,DATA_GOC!$F:$F,"Xuất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0" s="229" t="str">
        <f>IF($B140="","",IF(V$4&gt;DAY(EOMONTH(DATE($D$2,$B$2,1),0)),"",SUMIFS(DATA_GOC!$H:$H,DATA_GOC!$A:$A,"BOM",DATA_GOC!$D:$D,$B140,DATA_GOC!$F:$F,"Xuất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0" s="61" t="str">
        <f>IF($B140="","",IF(W$4&gt;DAY(EOMONTH(DATE($D$2,$B$2,1),0)),"",SUMIFS(DATA_GOC!$H:$H,DATA_GOC!$A:$A,"BOM",DATA_GOC!$D:$D,$B140,DATA_GOC!$F:$F,"Xuất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0" s="229" t="str">
        <f>IF($B140="","",IF(X$4&gt;DAY(EOMONTH(DATE($D$2,$B$2,1),0)),"",SUMIFS(DATA_GOC!$H:$H,DATA_GOC!$A:$A,"BOM",DATA_GOC!$D:$D,$B140,DATA_GOC!$F:$F,"Xuất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0" s="229" t="str">
        <f>IF($B140="","",IF(Y$4&gt;DAY(EOMONTH(DATE($D$2,$B$2,1),0)),"",SUMIFS(DATA_GOC!$H:$H,DATA_GOC!$A:$A,"BOM",DATA_GOC!$D:$D,$B140,DATA_GOC!$F:$F,"Xuất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0" s="229" t="str">
        <f>IF($B140="","",IF(Z$4&gt;DAY(EOMONTH(DATE($D$2,$B$2,1),0)),"",SUMIFS(DATA_GOC!$H:$H,DATA_GOC!$A:$A,"BOM",DATA_GOC!$D:$D,$B140,DATA_GOC!$F:$F,"Xuất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0" s="229" t="str">
        <f>IF($B140="","",IF(AA$4&gt;DAY(EOMONTH(DATE($D$2,$B$2,1),0)),"",SUMIFS(DATA_GOC!$H:$H,DATA_GOC!$A:$A,"BOM",DATA_GOC!$D:$D,$B140,DATA_GOC!$F:$F,"Xuất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0" s="229" t="str">
        <f>IF($B140="","",IF(AB$4&gt;DAY(EOMONTH(DATE($D$2,$B$2,1),0)),"",SUMIFS(DATA_GOC!$H:$H,DATA_GOC!$A:$A,"BOM",DATA_GOC!$D:$D,$B140,DATA_GOC!$F:$F,"Xuất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0" s="61" t="str">
        <f>IF($B140="","",IF(AC$4&gt;DAY(EOMONTH(DATE($D$2,$B$2,1),0)),"",SUMIFS(DATA_GOC!$H:$H,DATA_GOC!$A:$A,"BOM",DATA_GOC!$D:$D,$B140,DATA_GOC!$F:$F,"Xuất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0" s="222" t="str">
        <f>IF($B140="","",IF(AD$4&gt;DAY(EOMONTH(DATE($D$2,$B$2,1),0)),"",SUMIFS(DATA_GOC!$H:$H,DATA_GOC!$A:$A,"BOM",DATA_GOC!$D:$D,$B140,DATA_GOC!$F:$F,"Xuất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0" s="222" t="str">
        <f>IF($B140="","",IF(AE$4&gt;DAY(EOMONTH(DATE($D$2,$B$2,1),0)),"",SUMIFS(DATA_GOC!$H:$H,DATA_GOC!$A:$A,"BOM",DATA_GOC!$D:$D,$B140,DATA_GOC!$F:$F,"Xuất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0" s="222" t="str">
        <f>IF($B140="","",IF(AF$4&gt;DAY(EOMONTH(DATE($D$2,$B$2,1),0)),"",SUMIFS(DATA_GOC!$H:$H,DATA_GOC!$A:$A,"BOM",DATA_GOC!$D:$D,$B140,DATA_GOC!$F:$F,"Xuất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0" s="222" t="str">
        <f>IF($B140="","",IF(AG$4&gt;DAY(EOMONTH(DATE($D$2,$B$2,1),0)),"",SUMIFS(DATA_GOC!$H:$H,DATA_GOC!$A:$A,"BOM",DATA_GOC!$D:$D,$B140,DATA_GOC!$F:$F,"Xuất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0" s="222" t="str">
        <f t="shared" si="2"/>
        <v/>
      </c>
      <c r="AI140" s="222" t="str">
        <f>IF($B140="","",SUMIFS(DATA_GOC!$H:$H,DATA_GOC!$A:$A,"BOM",DATA_GOC!$D:$D,$B140,DATA_GOC!$F:$F,"Bơm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0" s="222" t="str">
        <f t="shared" si="3"/>
        <v/>
      </c>
      <c r="AM140" s="222" t="str">
        <f>IF($B140="","",SUMIFS(DATA_GOC!$K:$K,DATA_GOC!$A:$A,"BOM",DATA_GOC!$D:$D,$B140,DATA_GOC!$G:$G,"DO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0" s="222" t="str">
        <f t="shared" si="4"/>
        <v/>
      </c>
      <c r="AO140" s="227" t="str">
        <f t="shared" si="5"/>
        <v/>
      </c>
      <c r="AP140" s="226" t="str">
        <f>IF($B140="","",IFERROR(AO140-(SUMIFS(DATA_GOC!$H:$H,DATA_GOC!$A:$A,"BOM",DATA_GOC!$D:$D,$B140,DATA_GOC!$F:$F,"Xuất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0" s="59">
        <v>4.0</v>
      </c>
      <c r="AR140" s="59">
        <v>2026.0</v>
      </c>
      <c r="AS140" s="59" t="s">
        <v>84</v>
      </c>
      <c r="AT140" s="59">
        <v>977.06</v>
      </c>
      <c r="AU140" s="59">
        <v>651.0</v>
      </c>
      <c r="AV140" s="59">
        <v>1628.06</v>
      </c>
      <c r="AW140" s="59">
        <v>2078.0</v>
      </c>
      <c r="AX140" s="59">
        <v>78.3474494706449</v>
      </c>
      <c r="AY140" s="59">
        <v>130.15</v>
      </c>
      <c r="AZ140" s="59">
        <v>1497.91</v>
      </c>
      <c r="BA140" s="59">
        <v>1.15</v>
      </c>
      <c r="BB140" s="59">
        <v>0.0</v>
      </c>
      <c r="BC140" s="59" t="s">
        <v>495</v>
      </c>
    </row>
    <row r="141" ht="15.0" customHeight="1">
      <c r="A141" s="61" t="str">
        <f t="shared" si="1"/>
        <v/>
      </c>
      <c r="B141" s="228" t="str">
        <f t="array" ref="B141">IFERROR(INDEX(DANH_MUC!$E:$E,ROW()-1),"")</f>
        <v/>
      </c>
      <c r="C141" s="228" t="str">
        <f>IF($B141="","",IF(C$4&gt;DAY(EOMONTH(DATE($D$2,$B$2,1),0)),"",SUMIFS(DATA_GOC!$H:$H,DATA_GOC!$A:$A,"BOM",DATA_GOC!$D:$D,$B141,DATA_GOC!$F:$F,"Xuất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1" s="61" t="str">
        <f>IF($B141="","",IF(D$4&gt;DAY(EOMONTH(DATE($D$2,$B$2,1),0)),"",SUMIFS(DATA_GOC!$H:$H,DATA_GOC!$A:$A,"BOM",DATA_GOC!$D:$D,$B141,DATA_GOC!$F:$F,"Xuất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1" s="229" t="str">
        <f>IF($B141="","",IF(E$4&gt;DAY(EOMONTH(DATE($D$2,$B$2,1),0)),"",SUMIFS(DATA_GOC!$H:$H,DATA_GOC!$A:$A,"BOM",DATA_GOC!$D:$D,$B141,DATA_GOC!$F:$F,"Xuất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1" s="229" t="str">
        <f>IF($B141="","",IF(F$4&gt;DAY(EOMONTH(DATE($D$2,$B$2,1),0)),"",SUMIFS(DATA_GOC!$H:$H,DATA_GOC!$A:$A,"BOM",DATA_GOC!$D:$D,$B141,DATA_GOC!$F:$F,"Xuất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1" s="229" t="str">
        <f>IF($B141="","",IF(G$4&gt;DAY(EOMONTH(DATE($D$2,$B$2,1),0)),"",SUMIFS(DATA_GOC!$H:$H,DATA_GOC!$A:$A,"BOM",DATA_GOC!$D:$D,$B141,DATA_GOC!$F:$F,"Xuất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1" s="228" t="str">
        <f>IF($B141="","",IF(H$4&gt;DAY(EOMONTH(DATE($D$2,$B$2,1),0)),"",SUMIFS(DATA_GOC!$H:$H,DATA_GOC!$A:$A,"BOM",DATA_GOC!$D:$D,$B141,DATA_GOC!$F:$F,"Xuất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1" s="229" t="str">
        <f>IF($B141="","",IF(I$4&gt;DAY(EOMONTH(DATE($D$2,$B$2,1),0)),"",SUMIFS(DATA_GOC!$H:$H,DATA_GOC!$A:$A,"BOM",DATA_GOC!$D:$D,$B141,DATA_GOC!$F:$F,"Xuất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1" s="229" t="str">
        <f>IF($B141="","",IF(J$4&gt;DAY(EOMONTH(DATE($D$2,$B$2,1),0)),"",SUMIFS(DATA_GOC!$H:$H,DATA_GOC!$A:$A,"BOM",DATA_GOC!$D:$D,$B141,DATA_GOC!$F:$F,"Xuất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1" s="229" t="str">
        <f>IF($B141="","",IF(K$4&gt;DAY(EOMONTH(DATE($D$2,$B$2,1),0)),"",SUMIFS(DATA_GOC!$H:$H,DATA_GOC!$A:$A,"BOM",DATA_GOC!$D:$D,$B141,DATA_GOC!$F:$F,"Xuất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1" s="229" t="str">
        <f>IF($B141="","",IF(L$4&gt;DAY(EOMONTH(DATE($D$2,$B$2,1),0)),"",SUMIFS(DATA_GOC!$H:$H,DATA_GOC!$A:$A,"BOM",DATA_GOC!$D:$D,$B141,DATA_GOC!$F:$F,"Xuất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1" s="229" t="str">
        <f>IF($B141="","",IF(M$4&gt;DAY(EOMONTH(DATE($D$2,$B$2,1),0)),"",SUMIFS(DATA_GOC!$H:$H,DATA_GOC!$A:$A,"BOM",DATA_GOC!$D:$D,$B141,DATA_GOC!$F:$F,"Xuất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1" s="61" t="str">
        <f>IF($B141="","",IF(N$4&gt;DAY(EOMONTH(DATE($D$2,$B$2,1),0)),"",SUMIFS(DATA_GOC!$H:$H,DATA_GOC!$A:$A,"BOM",DATA_GOC!$D:$D,$B141,DATA_GOC!$F:$F,"Xuất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1" s="61" t="str">
        <f>IF($B141="","",IF(O$4&gt;DAY(EOMONTH(DATE($D$2,$B$2,1),0)),"",SUMIFS(DATA_GOC!$H:$H,DATA_GOC!$A:$A,"BOM",DATA_GOC!$D:$D,$B141,DATA_GOC!$F:$F,"Xuất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1" s="61" t="str">
        <f>IF($B141="","",IF(P$4&gt;DAY(EOMONTH(DATE($D$2,$B$2,1),0)),"",SUMIFS(DATA_GOC!$H:$H,DATA_GOC!$A:$A,"BOM",DATA_GOC!$D:$D,$B141,DATA_GOC!$F:$F,"Xuất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1" s="61" t="str">
        <f>IF($B141="","",IF(Q$4&gt;DAY(EOMONTH(DATE($D$2,$B$2,1),0)),"",SUMIFS(DATA_GOC!$H:$H,DATA_GOC!$A:$A,"BOM",DATA_GOC!$D:$D,$B141,DATA_GOC!$F:$F,"Xuất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1" s="61" t="str">
        <f>IF($B141="","",IF(R$4&gt;DAY(EOMONTH(DATE($D$2,$B$2,1),0)),"",SUMIFS(DATA_GOC!$H:$H,DATA_GOC!$A:$A,"BOM",DATA_GOC!$D:$D,$B141,DATA_GOC!$F:$F,"Xuất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1" s="61" t="str">
        <f>IF($B141="","",IF(S$4&gt;DAY(EOMONTH(DATE($D$2,$B$2,1),0)),"",SUMIFS(DATA_GOC!$H:$H,DATA_GOC!$A:$A,"BOM",DATA_GOC!$D:$D,$B141,DATA_GOC!$F:$F,"Xuất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1" s="229" t="str">
        <f>IF($B141="","",IF(T$4&gt;DAY(EOMONTH(DATE($D$2,$B$2,1),0)),"",SUMIFS(DATA_GOC!$H:$H,DATA_GOC!$A:$A,"BOM",DATA_GOC!$D:$D,$B141,DATA_GOC!$F:$F,"Xuất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1" s="229" t="str">
        <f>IF($B141="","",IF(U$4&gt;DAY(EOMONTH(DATE($D$2,$B$2,1),0)),"",SUMIFS(DATA_GOC!$H:$H,DATA_GOC!$A:$A,"BOM",DATA_GOC!$D:$D,$B141,DATA_GOC!$F:$F,"Xuất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1" s="229" t="str">
        <f>IF($B141="","",IF(V$4&gt;DAY(EOMONTH(DATE($D$2,$B$2,1),0)),"",SUMIFS(DATA_GOC!$H:$H,DATA_GOC!$A:$A,"BOM",DATA_GOC!$D:$D,$B141,DATA_GOC!$F:$F,"Xuất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1" s="61" t="str">
        <f>IF($B141="","",IF(W$4&gt;DAY(EOMONTH(DATE($D$2,$B$2,1),0)),"",SUMIFS(DATA_GOC!$H:$H,DATA_GOC!$A:$A,"BOM",DATA_GOC!$D:$D,$B141,DATA_GOC!$F:$F,"Xuất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1" s="229" t="str">
        <f>IF($B141="","",IF(X$4&gt;DAY(EOMONTH(DATE($D$2,$B$2,1),0)),"",SUMIFS(DATA_GOC!$H:$H,DATA_GOC!$A:$A,"BOM",DATA_GOC!$D:$D,$B141,DATA_GOC!$F:$F,"Xuất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1" s="229" t="str">
        <f>IF($B141="","",IF(Y$4&gt;DAY(EOMONTH(DATE($D$2,$B$2,1),0)),"",SUMIFS(DATA_GOC!$H:$H,DATA_GOC!$A:$A,"BOM",DATA_GOC!$D:$D,$B141,DATA_GOC!$F:$F,"Xuất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1" s="229" t="str">
        <f>IF($B141="","",IF(Z$4&gt;DAY(EOMONTH(DATE($D$2,$B$2,1),0)),"",SUMIFS(DATA_GOC!$H:$H,DATA_GOC!$A:$A,"BOM",DATA_GOC!$D:$D,$B141,DATA_GOC!$F:$F,"Xuất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1" s="229" t="str">
        <f>IF($B141="","",IF(AA$4&gt;DAY(EOMONTH(DATE($D$2,$B$2,1),0)),"",SUMIFS(DATA_GOC!$H:$H,DATA_GOC!$A:$A,"BOM",DATA_GOC!$D:$D,$B141,DATA_GOC!$F:$F,"Xuất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1" s="229" t="str">
        <f>IF($B141="","",IF(AB$4&gt;DAY(EOMONTH(DATE($D$2,$B$2,1),0)),"",SUMIFS(DATA_GOC!$H:$H,DATA_GOC!$A:$A,"BOM",DATA_GOC!$D:$D,$B141,DATA_GOC!$F:$F,"Xuất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1" s="61" t="str">
        <f>IF($B141="","",IF(AC$4&gt;DAY(EOMONTH(DATE($D$2,$B$2,1),0)),"",SUMIFS(DATA_GOC!$H:$H,DATA_GOC!$A:$A,"BOM",DATA_GOC!$D:$D,$B141,DATA_GOC!$F:$F,"Xuất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1" s="222" t="str">
        <f>IF($B141="","",IF(AD$4&gt;DAY(EOMONTH(DATE($D$2,$B$2,1),0)),"",SUMIFS(DATA_GOC!$H:$H,DATA_GOC!$A:$A,"BOM",DATA_GOC!$D:$D,$B141,DATA_GOC!$F:$F,"Xuất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1" s="222" t="str">
        <f>IF($B141="","",IF(AE$4&gt;DAY(EOMONTH(DATE($D$2,$B$2,1),0)),"",SUMIFS(DATA_GOC!$H:$H,DATA_GOC!$A:$A,"BOM",DATA_GOC!$D:$D,$B141,DATA_GOC!$F:$F,"Xuất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1" s="222" t="str">
        <f>IF($B141="","",IF(AF$4&gt;DAY(EOMONTH(DATE($D$2,$B$2,1),0)),"",SUMIFS(DATA_GOC!$H:$H,DATA_GOC!$A:$A,"BOM",DATA_GOC!$D:$D,$B141,DATA_GOC!$F:$F,"Xuất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1" s="222" t="str">
        <f>IF($B141="","",IF(AG$4&gt;DAY(EOMONTH(DATE($D$2,$B$2,1),0)),"",SUMIFS(DATA_GOC!$H:$H,DATA_GOC!$A:$A,"BOM",DATA_GOC!$D:$D,$B141,DATA_GOC!$F:$F,"Xuất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1" s="222" t="str">
        <f t="shared" si="2"/>
        <v/>
      </c>
      <c r="AI141" s="222" t="str">
        <f>IF($B141="","",SUMIFS(DATA_GOC!$H:$H,DATA_GOC!$A:$A,"BOM",DATA_GOC!$D:$D,$B141,DATA_GOC!$F:$F,"Bơm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1" s="222" t="str">
        <f t="shared" si="3"/>
        <v/>
      </c>
      <c r="AM141" s="222" t="str">
        <f>IF($B141="","",SUMIFS(DATA_GOC!$K:$K,DATA_GOC!$A:$A,"BOM",DATA_GOC!$D:$D,$B141,DATA_GOC!$G:$G,"DO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1" s="222" t="str">
        <f t="shared" si="4"/>
        <v/>
      </c>
      <c r="AO141" s="227" t="str">
        <f t="shared" si="5"/>
        <v/>
      </c>
      <c r="AP141" s="226" t="str">
        <f>IF($B141="","",IFERROR(AO141-(SUMIFS(DATA_GOC!$H:$H,DATA_GOC!$A:$A,"BOM",DATA_GOC!$D:$D,$B141,DATA_GOC!$F:$F,"Xuất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1" s="59">
        <v>4.0</v>
      </c>
      <c r="AR141" s="59">
        <v>2026.0</v>
      </c>
      <c r="AS141" s="59" t="s">
        <v>334</v>
      </c>
      <c r="AT141" s="59">
        <v>8.9</v>
      </c>
      <c r="AU141" s="59">
        <v>0.0</v>
      </c>
      <c r="AV141" s="59">
        <v>8.9</v>
      </c>
      <c r="AW141" s="59">
        <v>1105.0</v>
      </c>
      <c r="AX141" s="59">
        <v>0.805429864253394</v>
      </c>
      <c r="AY141" s="59">
        <v>0.0</v>
      </c>
      <c r="AZ141" s="59">
        <v>8.9</v>
      </c>
      <c r="BA141" s="59">
        <v>0.0</v>
      </c>
      <c r="BB141" s="59">
        <v>0.0</v>
      </c>
      <c r="BC141" s="59" t="s">
        <v>496</v>
      </c>
    </row>
    <row r="142" ht="15.0" customHeight="1">
      <c r="A142" s="61" t="str">
        <f t="shared" si="1"/>
        <v/>
      </c>
      <c r="B142" s="228" t="str">
        <f t="array" ref="B142">IFERROR(INDEX(DANH_MUC!$E:$E,ROW()-1),"")</f>
        <v/>
      </c>
      <c r="C142" s="228" t="str">
        <f>IF($B142="","",IF(C$4&gt;DAY(EOMONTH(DATE($D$2,$B$2,1),0)),"",SUMIFS(DATA_GOC!$H:$H,DATA_GOC!$A:$A,"BOM",DATA_GOC!$D:$D,$B142,DATA_GOC!$F:$F,"Xuất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2" s="61" t="str">
        <f>IF($B142="","",IF(D$4&gt;DAY(EOMONTH(DATE($D$2,$B$2,1),0)),"",SUMIFS(DATA_GOC!$H:$H,DATA_GOC!$A:$A,"BOM",DATA_GOC!$D:$D,$B142,DATA_GOC!$F:$F,"Xuất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2" s="229" t="str">
        <f>IF($B142="","",IF(E$4&gt;DAY(EOMONTH(DATE($D$2,$B$2,1),0)),"",SUMIFS(DATA_GOC!$H:$H,DATA_GOC!$A:$A,"BOM",DATA_GOC!$D:$D,$B142,DATA_GOC!$F:$F,"Xuất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2" s="229" t="str">
        <f>IF($B142="","",IF(F$4&gt;DAY(EOMONTH(DATE($D$2,$B$2,1),0)),"",SUMIFS(DATA_GOC!$H:$H,DATA_GOC!$A:$A,"BOM",DATA_GOC!$D:$D,$B142,DATA_GOC!$F:$F,"Xuất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2" s="229" t="str">
        <f>IF($B142="","",IF(G$4&gt;DAY(EOMONTH(DATE($D$2,$B$2,1),0)),"",SUMIFS(DATA_GOC!$H:$H,DATA_GOC!$A:$A,"BOM",DATA_GOC!$D:$D,$B142,DATA_GOC!$F:$F,"Xuất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2" s="228" t="str">
        <f>IF($B142="","",IF(H$4&gt;DAY(EOMONTH(DATE($D$2,$B$2,1),0)),"",SUMIFS(DATA_GOC!$H:$H,DATA_GOC!$A:$A,"BOM",DATA_GOC!$D:$D,$B142,DATA_GOC!$F:$F,"Xuất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2" s="229" t="str">
        <f>IF($B142="","",IF(I$4&gt;DAY(EOMONTH(DATE($D$2,$B$2,1),0)),"",SUMIFS(DATA_GOC!$H:$H,DATA_GOC!$A:$A,"BOM",DATA_GOC!$D:$D,$B142,DATA_GOC!$F:$F,"Xuất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2" s="229" t="str">
        <f>IF($B142="","",IF(J$4&gt;DAY(EOMONTH(DATE($D$2,$B$2,1),0)),"",SUMIFS(DATA_GOC!$H:$H,DATA_GOC!$A:$A,"BOM",DATA_GOC!$D:$D,$B142,DATA_GOC!$F:$F,"Xuất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2" s="229" t="str">
        <f>IF($B142="","",IF(K$4&gt;DAY(EOMONTH(DATE($D$2,$B$2,1),0)),"",SUMIFS(DATA_GOC!$H:$H,DATA_GOC!$A:$A,"BOM",DATA_GOC!$D:$D,$B142,DATA_GOC!$F:$F,"Xuất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2" s="229" t="str">
        <f>IF($B142="","",IF(L$4&gt;DAY(EOMONTH(DATE($D$2,$B$2,1),0)),"",SUMIFS(DATA_GOC!$H:$H,DATA_GOC!$A:$A,"BOM",DATA_GOC!$D:$D,$B142,DATA_GOC!$F:$F,"Xuất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2" s="229" t="str">
        <f>IF($B142="","",IF(M$4&gt;DAY(EOMONTH(DATE($D$2,$B$2,1),0)),"",SUMIFS(DATA_GOC!$H:$H,DATA_GOC!$A:$A,"BOM",DATA_GOC!$D:$D,$B142,DATA_GOC!$F:$F,"Xuất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2" s="61" t="str">
        <f>IF($B142="","",IF(N$4&gt;DAY(EOMONTH(DATE($D$2,$B$2,1),0)),"",SUMIFS(DATA_GOC!$H:$H,DATA_GOC!$A:$A,"BOM",DATA_GOC!$D:$D,$B142,DATA_GOC!$F:$F,"Xuất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2" s="61" t="str">
        <f>IF($B142="","",IF(O$4&gt;DAY(EOMONTH(DATE($D$2,$B$2,1),0)),"",SUMIFS(DATA_GOC!$H:$H,DATA_GOC!$A:$A,"BOM",DATA_GOC!$D:$D,$B142,DATA_GOC!$F:$F,"Xuất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2" s="61" t="str">
        <f>IF($B142="","",IF(P$4&gt;DAY(EOMONTH(DATE($D$2,$B$2,1),0)),"",SUMIFS(DATA_GOC!$H:$H,DATA_GOC!$A:$A,"BOM",DATA_GOC!$D:$D,$B142,DATA_GOC!$F:$F,"Xuất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2" s="61" t="str">
        <f>IF($B142="","",IF(Q$4&gt;DAY(EOMONTH(DATE($D$2,$B$2,1),0)),"",SUMIFS(DATA_GOC!$H:$H,DATA_GOC!$A:$A,"BOM",DATA_GOC!$D:$D,$B142,DATA_GOC!$F:$F,"Xuất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2" s="61" t="str">
        <f>IF($B142="","",IF(R$4&gt;DAY(EOMONTH(DATE($D$2,$B$2,1),0)),"",SUMIFS(DATA_GOC!$H:$H,DATA_GOC!$A:$A,"BOM",DATA_GOC!$D:$D,$B142,DATA_GOC!$F:$F,"Xuất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2" s="61" t="str">
        <f>IF($B142="","",IF(S$4&gt;DAY(EOMONTH(DATE($D$2,$B$2,1),0)),"",SUMIFS(DATA_GOC!$H:$H,DATA_GOC!$A:$A,"BOM",DATA_GOC!$D:$D,$B142,DATA_GOC!$F:$F,"Xuất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2" s="229" t="str">
        <f>IF($B142="","",IF(T$4&gt;DAY(EOMONTH(DATE($D$2,$B$2,1),0)),"",SUMIFS(DATA_GOC!$H:$H,DATA_GOC!$A:$A,"BOM",DATA_GOC!$D:$D,$B142,DATA_GOC!$F:$F,"Xuất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2" s="229" t="str">
        <f>IF($B142="","",IF(U$4&gt;DAY(EOMONTH(DATE($D$2,$B$2,1),0)),"",SUMIFS(DATA_GOC!$H:$H,DATA_GOC!$A:$A,"BOM",DATA_GOC!$D:$D,$B142,DATA_GOC!$F:$F,"Xuất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2" s="229" t="str">
        <f>IF($B142="","",IF(V$4&gt;DAY(EOMONTH(DATE($D$2,$B$2,1),0)),"",SUMIFS(DATA_GOC!$H:$H,DATA_GOC!$A:$A,"BOM",DATA_GOC!$D:$D,$B142,DATA_GOC!$F:$F,"Xuất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2" s="61" t="str">
        <f>IF($B142="","",IF(W$4&gt;DAY(EOMONTH(DATE($D$2,$B$2,1),0)),"",SUMIFS(DATA_GOC!$H:$H,DATA_GOC!$A:$A,"BOM",DATA_GOC!$D:$D,$B142,DATA_GOC!$F:$F,"Xuất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2" s="229" t="str">
        <f>IF($B142="","",IF(X$4&gt;DAY(EOMONTH(DATE($D$2,$B$2,1),0)),"",SUMIFS(DATA_GOC!$H:$H,DATA_GOC!$A:$A,"BOM",DATA_GOC!$D:$D,$B142,DATA_GOC!$F:$F,"Xuất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2" s="229" t="str">
        <f>IF($B142="","",IF(Y$4&gt;DAY(EOMONTH(DATE($D$2,$B$2,1),0)),"",SUMIFS(DATA_GOC!$H:$H,DATA_GOC!$A:$A,"BOM",DATA_GOC!$D:$D,$B142,DATA_GOC!$F:$F,"Xuất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2" s="229" t="str">
        <f>IF($B142="","",IF(Z$4&gt;DAY(EOMONTH(DATE($D$2,$B$2,1),0)),"",SUMIFS(DATA_GOC!$H:$H,DATA_GOC!$A:$A,"BOM",DATA_GOC!$D:$D,$B142,DATA_GOC!$F:$F,"Xuất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2" s="229" t="str">
        <f>IF($B142="","",IF(AA$4&gt;DAY(EOMONTH(DATE($D$2,$B$2,1),0)),"",SUMIFS(DATA_GOC!$H:$H,DATA_GOC!$A:$A,"BOM",DATA_GOC!$D:$D,$B142,DATA_GOC!$F:$F,"Xuất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2" s="229" t="str">
        <f>IF($B142="","",IF(AB$4&gt;DAY(EOMONTH(DATE($D$2,$B$2,1),0)),"",SUMIFS(DATA_GOC!$H:$H,DATA_GOC!$A:$A,"BOM",DATA_GOC!$D:$D,$B142,DATA_GOC!$F:$F,"Xuất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2" s="61" t="str">
        <f>IF($B142="","",IF(AC$4&gt;DAY(EOMONTH(DATE($D$2,$B$2,1),0)),"",SUMIFS(DATA_GOC!$H:$H,DATA_GOC!$A:$A,"BOM",DATA_GOC!$D:$D,$B142,DATA_GOC!$F:$F,"Xuất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2" s="222" t="str">
        <f>IF($B142="","",IF(AD$4&gt;DAY(EOMONTH(DATE($D$2,$B$2,1),0)),"",SUMIFS(DATA_GOC!$H:$H,DATA_GOC!$A:$A,"BOM",DATA_GOC!$D:$D,$B142,DATA_GOC!$F:$F,"Xuất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2" s="222" t="str">
        <f>IF($B142="","",IF(AE$4&gt;DAY(EOMONTH(DATE($D$2,$B$2,1),0)),"",SUMIFS(DATA_GOC!$H:$H,DATA_GOC!$A:$A,"BOM",DATA_GOC!$D:$D,$B142,DATA_GOC!$F:$F,"Xuất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2" s="222" t="str">
        <f>IF($B142="","",IF(AF$4&gt;DAY(EOMONTH(DATE($D$2,$B$2,1),0)),"",SUMIFS(DATA_GOC!$H:$H,DATA_GOC!$A:$A,"BOM",DATA_GOC!$D:$D,$B142,DATA_GOC!$F:$F,"Xuất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2" s="222" t="str">
        <f>IF($B142="","",IF(AG$4&gt;DAY(EOMONTH(DATE($D$2,$B$2,1),0)),"",SUMIFS(DATA_GOC!$H:$H,DATA_GOC!$A:$A,"BOM",DATA_GOC!$D:$D,$B142,DATA_GOC!$F:$F,"Xuất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2" s="222" t="str">
        <f t="shared" si="2"/>
        <v/>
      </c>
      <c r="AI142" s="222" t="str">
        <f>IF($B142="","",SUMIFS(DATA_GOC!$H:$H,DATA_GOC!$A:$A,"BOM",DATA_GOC!$D:$D,$B142,DATA_GOC!$F:$F,"Bơm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2" s="222" t="str">
        <f t="shared" si="3"/>
        <v/>
      </c>
      <c r="AM142" s="222" t="str">
        <f>IF($B142="","",SUMIFS(DATA_GOC!$K:$K,DATA_GOC!$A:$A,"BOM",DATA_GOC!$D:$D,$B142,DATA_GOC!$G:$G,"DO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2" s="222" t="str">
        <f t="shared" si="4"/>
        <v/>
      </c>
      <c r="AO142" s="227" t="str">
        <f t="shared" si="5"/>
        <v/>
      </c>
      <c r="AP142" s="226" t="str">
        <f>IF($B142="","",IFERROR(AO142-(SUMIFS(DATA_GOC!$H:$H,DATA_GOC!$A:$A,"BOM",DATA_GOC!$D:$D,$B142,DATA_GOC!$F:$F,"Xuất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2" s="59">
        <v>4.0</v>
      </c>
      <c r="AR142" s="59">
        <v>2026.0</v>
      </c>
      <c r="AS142" s="59" t="s">
        <v>119</v>
      </c>
      <c r="AT142" s="59">
        <v>2766.534</v>
      </c>
      <c r="AU142" s="59">
        <v>220.0</v>
      </c>
      <c r="AV142" s="59">
        <v>2986.534</v>
      </c>
      <c r="AW142" s="59">
        <v>6678.0</v>
      </c>
      <c r="AX142" s="59">
        <v>44.7219826295298</v>
      </c>
      <c r="AY142" s="59">
        <v>425.76</v>
      </c>
      <c r="AZ142" s="59">
        <v>2560.774</v>
      </c>
      <c r="BA142" s="59">
        <v>3.76</v>
      </c>
      <c r="BB142" s="59">
        <v>0.0</v>
      </c>
      <c r="BC142" s="59" t="s">
        <v>497</v>
      </c>
    </row>
    <row r="143" ht="15.0" customHeight="1">
      <c r="A143" s="61" t="str">
        <f t="shared" si="1"/>
        <v/>
      </c>
      <c r="B143" s="228" t="str">
        <f t="array" ref="B143">IFERROR(INDEX(DANH_MUC!$E:$E,ROW()-1),"")</f>
        <v/>
      </c>
      <c r="C143" s="228" t="str">
        <f>IF($B143="","",IF(C$4&gt;DAY(EOMONTH(DATE($D$2,$B$2,1),0)),"",SUMIFS(DATA_GOC!$H:$H,DATA_GOC!$A:$A,"BOM",DATA_GOC!$D:$D,$B143,DATA_GOC!$F:$F,"Xuất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3" s="61" t="str">
        <f>IF($B143="","",IF(D$4&gt;DAY(EOMONTH(DATE($D$2,$B$2,1),0)),"",SUMIFS(DATA_GOC!$H:$H,DATA_GOC!$A:$A,"BOM",DATA_GOC!$D:$D,$B143,DATA_GOC!$F:$F,"Xuất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3" s="229" t="str">
        <f>IF($B143="","",IF(E$4&gt;DAY(EOMONTH(DATE($D$2,$B$2,1),0)),"",SUMIFS(DATA_GOC!$H:$H,DATA_GOC!$A:$A,"BOM",DATA_GOC!$D:$D,$B143,DATA_GOC!$F:$F,"Xuất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3" s="229" t="str">
        <f>IF($B143="","",IF(F$4&gt;DAY(EOMONTH(DATE($D$2,$B$2,1),0)),"",SUMIFS(DATA_GOC!$H:$H,DATA_GOC!$A:$A,"BOM",DATA_GOC!$D:$D,$B143,DATA_GOC!$F:$F,"Xuất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3" s="229" t="str">
        <f>IF($B143="","",IF(G$4&gt;DAY(EOMONTH(DATE($D$2,$B$2,1),0)),"",SUMIFS(DATA_GOC!$H:$H,DATA_GOC!$A:$A,"BOM",DATA_GOC!$D:$D,$B143,DATA_GOC!$F:$F,"Xuất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3" s="228" t="str">
        <f>IF($B143="","",IF(H$4&gt;DAY(EOMONTH(DATE($D$2,$B$2,1),0)),"",SUMIFS(DATA_GOC!$H:$H,DATA_GOC!$A:$A,"BOM",DATA_GOC!$D:$D,$B143,DATA_GOC!$F:$F,"Xuất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3" s="229" t="str">
        <f>IF($B143="","",IF(I$4&gt;DAY(EOMONTH(DATE($D$2,$B$2,1),0)),"",SUMIFS(DATA_GOC!$H:$H,DATA_GOC!$A:$A,"BOM",DATA_GOC!$D:$D,$B143,DATA_GOC!$F:$F,"Xuất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3" s="229" t="str">
        <f>IF($B143="","",IF(J$4&gt;DAY(EOMONTH(DATE($D$2,$B$2,1),0)),"",SUMIFS(DATA_GOC!$H:$H,DATA_GOC!$A:$A,"BOM",DATA_GOC!$D:$D,$B143,DATA_GOC!$F:$F,"Xuất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3" s="229" t="str">
        <f>IF($B143="","",IF(K$4&gt;DAY(EOMONTH(DATE($D$2,$B$2,1),0)),"",SUMIFS(DATA_GOC!$H:$H,DATA_GOC!$A:$A,"BOM",DATA_GOC!$D:$D,$B143,DATA_GOC!$F:$F,"Xuất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3" s="229" t="str">
        <f>IF($B143="","",IF(L$4&gt;DAY(EOMONTH(DATE($D$2,$B$2,1),0)),"",SUMIFS(DATA_GOC!$H:$H,DATA_GOC!$A:$A,"BOM",DATA_GOC!$D:$D,$B143,DATA_GOC!$F:$F,"Xuất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3" s="229" t="str">
        <f>IF($B143="","",IF(M$4&gt;DAY(EOMONTH(DATE($D$2,$B$2,1),0)),"",SUMIFS(DATA_GOC!$H:$H,DATA_GOC!$A:$A,"BOM",DATA_GOC!$D:$D,$B143,DATA_GOC!$F:$F,"Xuất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3" s="61" t="str">
        <f>IF($B143="","",IF(N$4&gt;DAY(EOMONTH(DATE($D$2,$B$2,1),0)),"",SUMIFS(DATA_GOC!$H:$H,DATA_GOC!$A:$A,"BOM",DATA_GOC!$D:$D,$B143,DATA_GOC!$F:$F,"Xuất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3" s="61" t="str">
        <f>IF($B143="","",IF(O$4&gt;DAY(EOMONTH(DATE($D$2,$B$2,1),0)),"",SUMIFS(DATA_GOC!$H:$H,DATA_GOC!$A:$A,"BOM",DATA_GOC!$D:$D,$B143,DATA_GOC!$F:$F,"Xuất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3" s="61" t="str">
        <f>IF($B143="","",IF(P$4&gt;DAY(EOMONTH(DATE($D$2,$B$2,1),0)),"",SUMIFS(DATA_GOC!$H:$H,DATA_GOC!$A:$A,"BOM",DATA_GOC!$D:$D,$B143,DATA_GOC!$F:$F,"Xuất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3" s="61" t="str">
        <f>IF($B143="","",IF(Q$4&gt;DAY(EOMONTH(DATE($D$2,$B$2,1),0)),"",SUMIFS(DATA_GOC!$H:$H,DATA_GOC!$A:$A,"BOM",DATA_GOC!$D:$D,$B143,DATA_GOC!$F:$F,"Xuất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3" s="61" t="str">
        <f>IF($B143="","",IF(R$4&gt;DAY(EOMONTH(DATE($D$2,$B$2,1),0)),"",SUMIFS(DATA_GOC!$H:$H,DATA_GOC!$A:$A,"BOM",DATA_GOC!$D:$D,$B143,DATA_GOC!$F:$F,"Xuất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3" s="61" t="str">
        <f>IF($B143="","",IF(S$4&gt;DAY(EOMONTH(DATE($D$2,$B$2,1),0)),"",SUMIFS(DATA_GOC!$H:$H,DATA_GOC!$A:$A,"BOM",DATA_GOC!$D:$D,$B143,DATA_GOC!$F:$F,"Xuất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3" s="229" t="str">
        <f>IF($B143="","",IF(T$4&gt;DAY(EOMONTH(DATE($D$2,$B$2,1),0)),"",SUMIFS(DATA_GOC!$H:$H,DATA_GOC!$A:$A,"BOM",DATA_GOC!$D:$D,$B143,DATA_GOC!$F:$F,"Xuất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3" s="229" t="str">
        <f>IF($B143="","",IF(U$4&gt;DAY(EOMONTH(DATE($D$2,$B$2,1),0)),"",SUMIFS(DATA_GOC!$H:$H,DATA_GOC!$A:$A,"BOM",DATA_GOC!$D:$D,$B143,DATA_GOC!$F:$F,"Xuất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3" s="229" t="str">
        <f>IF($B143="","",IF(V$4&gt;DAY(EOMONTH(DATE($D$2,$B$2,1),0)),"",SUMIFS(DATA_GOC!$H:$H,DATA_GOC!$A:$A,"BOM",DATA_GOC!$D:$D,$B143,DATA_GOC!$F:$F,"Xuất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3" s="61" t="str">
        <f>IF($B143="","",IF(W$4&gt;DAY(EOMONTH(DATE($D$2,$B$2,1),0)),"",SUMIFS(DATA_GOC!$H:$H,DATA_GOC!$A:$A,"BOM",DATA_GOC!$D:$D,$B143,DATA_GOC!$F:$F,"Xuất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3" s="229" t="str">
        <f>IF($B143="","",IF(X$4&gt;DAY(EOMONTH(DATE($D$2,$B$2,1),0)),"",SUMIFS(DATA_GOC!$H:$H,DATA_GOC!$A:$A,"BOM",DATA_GOC!$D:$D,$B143,DATA_GOC!$F:$F,"Xuất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3" s="229" t="str">
        <f>IF($B143="","",IF(Y$4&gt;DAY(EOMONTH(DATE($D$2,$B$2,1),0)),"",SUMIFS(DATA_GOC!$H:$H,DATA_GOC!$A:$A,"BOM",DATA_GOC!$D:$D,$B143,DATA_GOC!$F:$F,"Xuất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3" s="229" t="str">
        <f>IF($B143="","",IF(Z$4&gt;DAY(EOMONTH(DATE($D$2,$B$2,1),0)),"",SUMIFS(DATA_GOC!$H:$H,DATA_GOC!$A:$A,"BOM",DATA_GOC!$D:$D,$B143,DATA_GOC!$F:$F,"Xuất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3" s="229" t="str">
        <f>IF($B143="","",IF(AA$4&gt;DAY(EOMONTH(DATE($D$2,$B$2,1),0)),"",SUMIFS(DATA_GOC!$H:$H,DATA_GOC!$A:$A,"BOM",DATA_GOC!$D:$D,$B143,DATA_GOC!$F:$F,"Xuất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3" s="229" t="str">
        <f>IF($B143="","",IF(AB$4&gt;DAY(EOMONTH(DATE($D$2,$B$2,1),0)),"",SUMIFS(DATA_GOC!$H:$H,DATA_GOC!$A:$A,"BOM",DATA_GOC!$D:$D,$B143,DATA_GOC!$F:$F,"Xuất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3" s="61" t="str">
        <f>IF($B143="","",IF(AC$4&gt;DAY(EOMONTH(DATE($D$2,$B$2,1),0)),"",SUMIFS(DATA_GOC!$H:$H,DATA_GOC!$A:$A,"BOM",DATA_GOC!$D:$D,$B143,DATA_GOC!$F:$F,"Xuất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3" s="222" t="str">
        <f>IF($B143="","",IF(AD$4&gt;DAY(EOMONTH(DATE($D$2,$B$2,1),0)),"",SUMIFS(DATA_GOC!$H:$H,DATA_GOC!$A:$A,"BOM",DATA_GOC!$D:$D,$B143,DATA_GOC!$F:$F,"Xuất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3" s="222" t="str">
        <f>IF($B143="","",IF(AE$4&gt;DAY(EOMONTH(DATE($D$2,$B$2,1),0)),"",SUMIFS(DATA_GOC!$H:$H,DATA_GOC!$A:$A,"BOM",DATA_GOC!$D:$D,$B143,DATA_GOC!$F:$F,"Xuất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3" s="222" t="str">
        <f>IF($B143="","",IF(AF$4&gt;DAY(EOMONTH(DATE($D$2,$B$2,1),0)),"",SUMIFS(DATA_GOC!$H:$H,DATA_GOC!$A:$A,"BOM",DATA_GOC!$D:$D,$B143,DATA_GOC!$F:$F,"Xuất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3" s="222" t="str">
        <f>IF($B143="","",IF(AG$4&gt;DAY(EOMONTH(DATE($D$2,$B$2,1),0)),"",SUMIFS(DATA_GOC!$H:$H,DATA_GOC!$A:$A,"BOM",DATA_GOC!$D:$D,$B143,DATA_GOC!$F:$F,"Xuất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3" s="222" t="str">
        <f t="shared" si="2"/>
        <v/>
      </c>
      <c r="AI143" s="222" t="str">
        <f>IF($B143="","",SUMIFS(DATA_GOC!$H:$H,DATA_GOC!$A:$A,"BOM",DATA_GOC!$D:$D,$B143,DATA_GOC!$F:$F,"Bơm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3" s="222" t="str">
        <f t="shared" si="3"/>
        <v/>
      </c>
      <c r="AM143" s="222" t="str">
        <f>IF($B143="","",SUMIFS(DATA_GOC!$K:$K,DATA_GOC!$A:$A,"BOM",DATA_GOC!$D:$D,$B143,DATA_GOC!$G:$G,"DO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3" s="222" t="str">
        <f t="shared" si="4"/>
        <v/>
      </c>
      <c r="AO143" s="227" t="str">
        <f t="shared" si="5"/>
        <v/>
      </c>
      <c r="AP143" s="226" t="str">
        <f>IF($B143="","",IFERROR(AO143-(SUMIFS(DATA_GOC!$H:$H,DATA_GOC!$A:$A,"BOM",DATA_GOC!$D:$D,$B143,DATA_GOC!$F:$F,"Xuất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3" s="59">
        <v>4.0</v>
      </c>
      <c r="AR143" s="59">
        <v>2026.0</v>
      </c>
      <c r="AS143" s="59" t="s">
        <v>100</v>
      </c>
      <c r="AT143" s="59">
        <v>3021.22</v>
      </c>
      <c r="AU143" s="59">
        <v>0.0</v>
      </c>
      <c r="AV143" s="59">
        <v>3021.22</v>
      </c>
      <c r="AW143" s="59">
        <v>6588.0</v>
      </c>
      <c r="AX143" s="59">
        <v>45.8594414086217</v>
      </c>
      <c r="AY143" s="59">
        <v>609.38</v>
      </c>
      <c r="AZ143" s="59">
        <v>2411.84</v>
      </c>
      <c r="BA143" s="59">
        <v>5.38</v>
      </c>
      <c r="BB143" s="59">
        <v>0.0</v>
      </c>
      <c r="BC143" s="59" t="s">
        <v>498</v>
      </c>
    </row>
    <row r="144" ht="15.0" customHeight="1">
      <c r="A144" s="61" t="str">
        <f t="shared" si="1"/>
        <v/>
      </c>
      <c r="B144" s="228" t="str">
        <f t="array" ref="B144">IFERROR(INDEX(DANH_MUC!$E:$E,ROW()-1),"")</f>
        <v/>
      </c>
      <c r="C144" s="228" t="str">
        <f>IF($B144="","",IF(C$4&gt;DAY(EOMONTH(DATE($D$2,$B$2,1),0)),"",SUMIFS(DATA_GOC!$H:$H,DATA_GOC!$A:$A,"BOM",DATA_GOC!$D:$D,$B144,DATA_GOC!$F:$F,"Xuất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4" s="61" t="str">
        <f>IF($B144="","",IF(D$4&gt;DAY(EOMONTH(DATE($D$2,$B$2,1),0)),"",SUMIFS(DATA_GOC!$H:$H,DATA_GOC!$A:$A,"BOM",DATA_GOC!$D:$D,$B144,DATA_GOC!$F:$F,"Xuất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4" s="229" t="str">
        <f>IF($B144="","",IF(E$4&gt;DAY(EOMONTH(DATE($D$2,$B$2,1),0)),"",SUMIFS(DATA_GOC!$H:$H,DATA_GOC!$A:$A,"BOM",DATA_GOC!$D:$D,$B144,DATA_GOC!$F:$F,"Xuất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4" s="229" t="str">
        <f>IF($B144="","",IF(F$4&gt;DAY(EOMONTH(DATE($D$2,$B$2,1),0)),"",SUMIFS(DATA_GOC!$H:$H,DATA_GOC!$A:$A,"BOM",DATA_GOC!$D:$D,$B144,DATA_GOC!$F:$F,"Xuất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4" s="229" t="str">
        <f>IF($B144="","",IF(G$4&gt;DAY(EOMONTH(DATE($D$2,$B$2,1),0)),"",SUMIFS(DATA_GOC!$H:$H,DATA_GOC!$A:$A,"BOM",DATA_GOC!$D:$D,$B144,DATA_GOC!$F:$F,"Xuất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4" s="228" t="str">
        <f>IF($B144="","",IF(H$4&gt;DAY(EOMONTH(DATE($D$2,$B$2,1),0)),"",SUMIFS(DATA_GOC!$H:$H,DATA_GOC!$A:$A,"BOM",DATA_GOC!$D:$D,$B144,DATA_GOC!$F:$F,"Xuất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4" s="229" t="str">
        <f>IF($B144="","",IF(I$4&gt;DAY(EOMONTH(DATE($D$2,$B$2,1),0)),"",SUMIFS(DATA_GOC!$H:$H,DATA_GOC!$A:$A,"BOM",DATA_GOC!$D:$D,$B144,DATA_GOC!$F:$F,"Xuất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4" s="229" t="str">
        <f>IF($B144="","",IF(J$4&gt;DAY(EOMONTH(DATE($D$2,$B$2,1),0)),"",SUMIFS(DATA_GOC!$H:$H,DATA_GOC!$A:$A,"BOM",DATA_GOC!$D:$D,$B144,DATA_GOC!$F:$F,"Xuất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4" s="229" t="str">
        <f>IF($B144="","",IF(K$4&gt;DAY(EOMONTH(DATE($D$2,$B$2,1),0)),"",SUMIFS(DATA_GOC!$H:$H,DATA_GOC!$A:$A,"BOM",DATA_GOC!$D:$D,$B144,DATA_GOC!$F:$F,"Xuất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4" s="229" t="str">
        <f>IF($B144="","",IF(L$4&gt;DAY(EOMONTH(DATE($D$2,$B$2,1),0)),"",SUMIFS(DATA_GOC!$H:$H,DATA_GOC!$A:$A,"BOM",DATA_GOC!$D:$D,$B144,DATA_GOC!$F:$F,"Xuất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4" s="229" t="str">
        <f>IF($B144="","",IF(M$4&gt;DAY(EOMONTH(DATE($D$2,$B$2,1),0)),"",SUMIFS(DATA_GOC!$H:$H,DATA_GOC!$A:$A,"BOM",DATA_GOC!$D:$D,$B144,DATA_GOC!$F:$F,"Xuất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4" s="61" t="str">
        <f>IF($B144="","",IF(N$4&gt;DAY(EOMONTH(DATE($D$2,$B$2,1),0)),"",SUMIFS(DATA_GOC!$H:$H,DATA_GOC!$A:$A,"BOM",DATA_GOC!$D:$D,$B144,DATA_GOC!$F:$F,"Xuất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4" s="61" t="str">
        <f>IF($B144="","",IF(O$4&gt;DAY(EOMONTH(DATE($D$2,$B$2,1),0)),"",SUMIFS(DATA_GOC!$H:$H,DATA_GOC!$A:$A,"BOM",DATA_GOC!$D:$D,$B144,DATA_GOC!$F:$F,"Xuất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4" s="61" t="str">
        <f>IF($B144="","",IF(P$4&gt;DAY(EOMONTH(DATE($D$2,$B$2,1),0)),"",SUMIFS(DATA_GOC!$H:$H,DATA_GOC!$A:$A,"BOM",DATA_GOC!$D:$D,$B144,DATA_GOC!$F:$F,"Xuất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4" s="61" t="str">
        <f>IF($B144="","",IF(Q$4&gt;DAY(EOMONTH(DATE($D$2,$B$2,1),0)),"",SUMIFS(DATA_GOC!$H:$H,DATA_GOC!$A:$A,"BOM",DATA_GOC!$D:$D,$B144,DATA_GOC!$F:$F,"Xuất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4" s="61" t="str">
        <f>IF($B144="","",IF(R$4&gt;DAY(EOMONTH(DATE($D$2,$B$2,1),0)),"",SUMIFS(DATA_GOC!$H:$H,DATA_GOC!$A:$A,"BOM",DATA_GOC!$D:$D,$B144,DATA_GOC!$F:$F,"Xuất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4" s="61" t="str">
        <f>IF($B144="","",IF(S$4&gt;DAY(EOMONTH(DATE($D$2,$B$2,1),0)),"",SUMIFS(DATA_GOC!$H:$H,DATA_GOC!$A:$A,"BOM",DATA_GOC!$D:$D,$B144,DATA_GOC!$F:$F,"Xuất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4" s="229" t="str">
        <f>IF($B144="","",IF(T$4&gt;DAY(EOMONTH(DATE($D$2,$B$2,1),0)),"",SUMIFS(DATA_GOC!$H:$H,DATA_GOC!$A:$A,"BOM",DATA_GOC!$D:$D,$B144,DATA_GOC!$F:$F,"Xuất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4" s="229" t="str">
        <f>IF($B144="","",IF(U$4&gt;DAY(EOMONTH(DATE($D$2,$B$2,1),0)),"",SUMIFS(DATA_GOC!$H:$H,DATA_GOC!$A:$A,"BOM",DATA_GOC!$D:$D,$B144,DATA_GOC!$F:$F,"Xuất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4" s="229" t="str">
        <f>IF($B144="","",IF(V$4&gt;DAY(EOMONTH(DATE($D$2,$B$2,1),0)),"",SUMIFS(DATA_GOC!$H:$H,DATA_GOC!$A:$A,"BOM",DATA_GOC!$D:$D,$B144,DATA_GOC!$F:$F,"Xuất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4" s="61" t="str">
        <f>IF($B144="","",IF(W$4&gt;DAY(EOMONTH(DATE($D$2,$B$2,1),0)),"",SUMIFS(DATA_GOC!$H:$H,DATA_GOC!$A:$A,"BOM",DATA_GOC!$D:$D,$B144,DATA_GOC!$F:$F,"Xuất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4" s="229" t="str">
        <f>IF($B144="","",IF(X$4&gt;DAY(EOMONTH(DATE($D$2,$B$2,1),0)),"",SUMIFS(DATA_GOC!$H:$H,DATA_GOC!$A:$A,"BOM",DATA_GOC!$D:$D,$B144,DATA_GOC!$F:$F,"Xuất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4" s="229" t="str">
        <f>IF($B144="","",IF(Y$4&gt;DAY(EOMONTH(DATE($D$2,$B$2,1),0)),"",SUMIFS(DATA_GOC!$H:$H,DATA_GOC!$A:$A,"BOM",DATA_GOC!$D:$D,$B144,DATA_GOC!$F:$F,"Xuất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4" s="229" t="str">
        <f>IF($B144="","",IF(Z$4&gt;DAY(EOMONTH(DATE($D$2,$B$2,1),0)),"",SUMIFS(DATA_GOC!$H:$H,DATA_GOC!$A:$A,"BOM",DATA_GOC!$D:$D,$B144,DATA_GOC!$F:$F,"Xuất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4" s="229" t="str">
        <f>IF($B144="","",IF(AA$4&gt;DAY(EOMONTH(DATE($D$2,$B$2,1),0)),"",SUMIFS(DATA_GOC!$H:$H,DATA_GOC!$A:$A,"BOM",DATA_GOC!$D:$D,$B144,DATA_GOC!$F:$F,"Xuất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4" s="229" t="str">
        <f>IF($B144="","",IF(AB$4&gt;DAY(EOMONTH(DATE($D$2,$B$2,1),0)),"",SUMIFS(DATA_GOC!$H:$H,DATA_GOC!$A:$A,"BOM",DATA_GOC!$D:$D,$B144,DATA_GOC!$F:$F,"Xuất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4" s="61" t="str">
        <f>IF($B144="","",IF(AC$4&gt;DAY(EOMONTH(DATE($D$2,$B$2,1),0)),"",SUMIFS(DATA_GOC!$H:$H,DATA_GOC!$A:$A,"BOM",DATA_GOC!$D:$D,$B144,DATA_GOC!$F:$F,"Xuất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4" s="222" t="str">
        <f>IF($B144="","",IF(AD$4&gt;DAY(EOMONTH(DATE($D$2,$B$2,1),0)),"",SUMIFS(DATA_GOC!$H:$H,DATA_GOC!$A:$A,"BOM",DATA_GOC!$D:$D,$B144,DATA_GOC!$F:$F,"Xuất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4" s="222" t="str">
        <f>IF($B144="","",IF(AE$4&gt;DAY(EOMONTH(DATE($D$2,$B$2,1),0)),"",SUMIFS(DATA_GOC!$H:$H,DATA_GOC!$A:$A,"BOM",DATA_GOC!$D:$D,$B144,DATA_GOC!$F:$F,"Xuất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4" s="222" t="str">
        <f>IF($B144="","",IF(AF$4&gt;DAY(EOMONTH(DATE($D$2,$B$2,1),0)),"",SUMIFS(DATA_GOC!$H:$H,DATA_GOC!$A:$A,"BOM",DATA_GOC!$D:$D,$B144,DATA_GOC!$F:$F,"Xuất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4" s="222" t="str">
        <f>IF($B144="","",IF(AG$4&gt;DAY(EOMONTH(DATE($D$2,$B$2,1),0)),"",SUMIFS(DATA_GOC!$H:$H,DATA_GOC!$A:$A,"BOM",DATA_GOC!$D:$D,$B144,DATA_GOC!$F:$F,"Xuất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4" s="222" t="str">
        <f t="shared" si="2"/>
        <v/>
      </c>
      <c r="AI144" s="222" t="str">
        <f>IF($B144="","",SUMIFS(DATA_GOC!$H:$H,DATA_GOC!$A:$A,"BOM",DATA_GOC!$D:$D,$B144,DATA_GOC!$F:$F,"Bơm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4" s="222" t="str">
        <f t="shared" si="3"/>
        <v/>
      </c>
      <c r="AM144" s="222" t="str">
        <f>IF($B144="","",SUMIFS(DATA_GOC!$K:$K,DATA_GOC!$A:$A,"BOM",DATA_GOC!$D:$D,$B144,DATA_GOC!$G:$G,"DO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4" s="222" t="str">
        <f t="shared" si="4"/>
        <v/>
      </c>
      <c r="AO144" s="227" t="str">
        <f t="shared" si="5"/>
        <v/>
      </c>
      <c r="AP144" s="226" t="str">
        <f>IF($B144="","",IFERROR(AO144-(SUMIFS(DATA_GOC!$H:$H,DATA_GOC!$A:$A,"BOM",DATA_GOC!$D:$D,$B144,DATA_GOC!$F:$F,"Xuất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4" s="59">
        <v>4.0</v>
      </c>
      <c r="AR144" s="59">
        <v>2026.0</v>
      </c>
      <c r="AS144" s="59" t="s">
        <v>337</v>
      </c>
      <c r="AT144" s="59">
        <v>30.2</v>
      </c>
      <c r="AU144" s="59">
        <v>0.0</v>
      </c>
      <c r="AV144" s="59">
        <v>30.2</v>
      </c>
      <c r="AW144" s="59">
        <v>5426.0</v>
      </c>
      <c r="AX144" s="59">
        <v>0.556579432362698</v>
      </c>
      <c r="AY144" s="59">
        <v>0.0</v>
      </c>
      <c r="AZ144" s="59">
        <v>30.2</v>
      </c>
      <c r="BA144" s="59">
        <v>0.0</v>
      </c>
      <c r="BB144" s="59">
        <v>0.0</v>
      </c>
      <c r="BC144" s="59" t="s">
        <v>499</v>
      </c>
    </row>
    <row r="145" ht="15.0" customHeight="1">
      <c r="A145" s="61" t="str">
        <f t="shared" si="1"/>
        <v/>
      </c>
      <c r="B145" s="228" t="str">
        <f t="array" ref="B145">IFERROR(INDEX(DANH_MUC!$E:$E,ROW()-1),"")</f>
        <v/>
      </c>
      <c r="C145" s="228" t="str">
        <f>IF($B145="","",IF(C$4&gt;DAY(EOMONTH(DATE($D$2,$B$2,1),0)),"",SUMIFS(DATA_GOC!$H:$H,DATA_GOC!$A:$A,"BOM",DATA_GOC!$D:$D,$B145,DATA_GOC!$F:$F,"Xuất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5" s="61" t="str">
        <f>IF($B145="","",IF(D$4&gt;DAY(EOMONTH(DATE($D$2,$B$2,1),0)),"",SUMIFS(DATA_GOC!$H:$H,DATA_GOC!$A:$A,"BOM",DATA_GOC!$D:$D,$B145,DATA_GOC!$F:$F,"Xuất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5" s="229" t="str">
        <f>IF($B145="","",IF(E$4&gt;DAY(EOMONTH(DATE($D$2,$B$2,1),0)),"",SUMIFS(DATA_GOC!$H:$H,DATA_GOC!$A:$A,"BOM",DATA_GOC!$D:$D,$B145,DATA_GOC!$F:$F,"Xuất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5" s="229" t="str">
        <f>IF($B145="","",IF(F$4&gt;DAY(EOMONTH(DATE($D$2,$B$2,1),0)),"",SUMIFS(DATA_GOC!$H:$H,DATA_GOC!$A:$A,"BOM",DATA_GOC!$D:$D,$B145,DATA_GOC!$F:$F,"Xuất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5" s="229" t="str">
        <f>IF($B145="","",IF(G$4&gt;DAY(EOMONTH(DATE($D$2,$B$2,1),0)),"",SUMIFS(DATA_GOC!$H:$H,DATA_GOC!$A:$A,"BOM",DATA_GOC!$D:$D,$B145,DATA_GOC!$F:$F,"Xuất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5" s="228" t="str">
        <f>IF($B145="","",IF(H$4&gt;DAY(EOMONTH(DATE($D$2,$B$2,1),0)),"",SUMIFS(DATA_GOC!$H:$H,DATA_GOC!$A:$A,"BOM",DATA_GOC!$D:$D,$B145,DATA_GOC!$F:$F,"Xuất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5" s="229" t="str">
        <f>IF($B145="","",IF(I$4&gt;DAY(EOMONTH(DATE($D$2,$B$2,1),0)),"",SUMIFS(DATA_GOC!$H:$H,DATA_GOC!$A:$A,"BOM",DATA_GOC!$D:$D,$B145,DATA_GOC!$F:$F,"Xuất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5" s="229" t="str">
        <f>IF($B145="","",IF(J$4&gt;DAY(EOMONTH(DATE($D$2,$B$2,1),0)),"",SUMIFS(DATA_GOC!$H:$H,DATA_GOC!$A:$A,"BOM",DATA_GOC!$D:$D,$B145,DATA_GOC!$F:$F,"Xuất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5" s="229" t="str">
        <f>IF($B145="","",IF(K$4&gt;DAY(EOMONTH(DATE($D$2,$B$2,1),0)),"",SUMIFS(DATA_GOC!$H:$H,DATA_GOC!$A:$A,"BOM",DATA_GOC!$D:$D,$B145,DATA_GOC!$F:$F,"Xuất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5" s="229" t="str">
        <f>IF($B145="","",IF(L$4&gt;DAY(EOMONTH(DATE($D$2,$B$2,1),0)),"",SUMIFS(DATA_GOC!$H:$H,DATA_GOC!$A:$A,"BOM",DATA_GOC!$D:$D,$B145,DATA_GOC!$F:$F,"Xuất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5" s="229" t="str">
        <f>IF($B145="","",IF(M$4&gt;DAY(EOMONTH(DATE($D$2,$B$2,1),0)),"",SUMIFS(DATA_GOC!$H:$H,DATA_GOC!$A:$A,"BOM",DATA_GOC!$D:$D,$B145,DATA_GOC!$F:$F,"Xuất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5" s="61" t="str">
        <f>IF($B145="","",IF(N$4&gt;DAY(EOMONTH(DATE($D$2,$B$2,1),0)),"",SUMIFS(DATA_GOC!$H:$H,DATA_GOC!$A:$A,"BOM",DATA_GOC!$D:$D,$B145,DATA_GOC!$F:$F,"Xuất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5" s="61" t="str">
        <f>IF($B145="","",IF(O$4&gt;DAY(EOMONTH(DATE($D$2,$B$2,1),0)),"",SUMIFS(DATA_GOC!$H:$H,DATA_GOC!$A:$A,"BOM",DATA_GOC!$D:$D,$B145,DATA_GOC!$F:$F,"Xuất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5" s="61" t="str">
        <f>IF($B145="","",IF(P$4&gt;DAY(EOMONTH(DATE($D$2,$B$2,1),0)),"",SUMIFS(DATA_GOC!$H:$H,DATA_GOC!$A:$A,"BOM",DATA_GOC!$D:$D,$B145,DATA_GOC!$F:$F,"Xuất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5" s="61" t="str">
        <f>IF($B145="","",IF(Q$4&gt;DAY(EOMONTH(DATE($D$2,$B$2,1),0)),"",SUMIFS(DATA_GOC!$H:$H,DATA_GOC!$A:$A,"BOM",DATA_GOC!$D:$D,$B145,DATA_GOC!$F:$F,"Xuất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5" s="61" t="str">
        <f>IF($B145="","",IF(R$4&gt;DAY(EOMONTH(DATE($D$2,$B$2,1),0)),"",SUMIFS(DATA_GOC!$H:$H,DATA_GOC!$A:$A,"BOM",DATA_GOC!$D:$D,$B145,DATA_GOC!$F:$F,"Xuất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5" s="61" t="str">
        <f>IF($B145="","",IF(S$4&gt;DAY(EOMONTH(DATE($D$2,$B$2,1),0)),"",SUMIFS(DATA_GOC!$H:$H,DATA_GOC!$A:$A,"BOM",DATA_GOC!$D:$D,$B145,DATA_GOC!$F:$F,"Xuất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5" s="229" t="str">
        <f>IF($B145="","",IF(T$4&gt;DAY(EOMONTH(DATE($D$2,$B$2,1),0)),"",SUMIFS(DATA_GOC!$H:$H,DATA_GOC!$A:$A,"BOM",DATA_GOC!$D:$D,$B145,DATA_GOC!$F:$F,"Xuất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5" s="229" t="str">
        <f>IF($B145="","",IF(U$4&gt;DAY(EOMONTH(DATE($D$2,$B$2,1),0)),"",SUMIFS(DATA_GOC!$H:$H,DATA_GOC!$A:$A,"BOM",DATA_GOC!$D:$D,$B145,DATA_GOC!$F:$F,"Xuất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5" s="229" t="str">
        <f>IF($B145="","",IF(V$4&gt;DAY(EOMONTH(DATE($D$2,$B$2,1),0)),"",SUMIFS(DATA_GOC!$H:$H,DATA_GOC!$A:$A,"BOM",DATA_GOC!$D:$D,$B145,DATA_GOC!$F:$F,"Xuất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5" s="61" t="str">
        <f>IF($B145="","",IF(W$4&gt;DAY(EOMONTH(DATE($D$2,$B$2,1),0)),"",SUMIFS(DATA_GOC!$H:$H,DATA_GOC!$A:$A,"BOM",DATA_GOC!$D:$D,$B145,DATA_GOC!$F:$F,"Xuất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5" s="229" t="str">
        <f>IF($B145="","",IF(X$4&gt;DAY(EOMONTH(DATE($D$2,$B$2,1),0)),"",SUMIFS(DATA_GOC!$H:$H,DATA_GOC!$A:$A,"BOM",DATA_GOC!$D:$D,$B145,DATA_GOC!$F:$F,"Xuất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5" s="229" t="str">
        <f>IF($B145="","",IF(Y$4&gt;DAY(EOMONTH(DATE($D$2,$B$2,1),0)),"",SUMIFS(DATA_GOC!$H:$H,DATA_GOC!$A:$A,"BOM",DATA_GOC!$D:$D,$B145,DATA_GOC!$F:$F,"Xuất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5" s="229" t="str">
        <f>IF($B145="","",IF(Z$4&gt;DAY(EOMONTH(DATE($D$2,$B$2,1),0)),"",SUMIFS(DATA_GOC!$H:$H,DATA_GOC!$A:$A,"BOM",DATA_GOC!$D:$D,$B145,DATA_GOC!$F:$F,"Xuất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5" s="229" t="str">
        <f>IF($B145="","",IF(AA$4&gt;DAY(EOMONTH(DATE($D$2,$B$2,1),0)),"",SUMIFS(DATA_GOC!$H:$H,DATA_GOC!$A:$A,"BOM",DATA_GOC!$D:$D,$B145,DATA_GOC!$F:$F,"Xuất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5" s="229" t="str">
        <f>IF($B145="","",IF(AB$4&gt;DAY(EOMONTH(DATE($D$2,$B$2,1),0)),"",SUMIFS(DATA_GOC!$H:$H,DATA_GOC!$A:$A,"BOM",DATA_GOC!$D:$D,$B145,DATA_GOC!$F:$F,"Xuất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5" s="61" t="str">
        <f>IF($B145="","",IF(AC$4&gt;DAY(EOMONTH(DATE($D$2,$B$2,1),0)),"",SUMIFS(DATA_GOC!$H:$H,DATA_GOC!$A:$A,"BOM",DATA_GOC!$D:$D,$B145,DATA_GOC!$F:$F,"Xuất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5" s="222" t="str">
        <f>IF($B145="","",IF(AD$4&gt;DAY(EOMONTH(DATE($D$2,$B$2,1),0)),"",SUMIFS(DATA_GOC!$H:$H,DATA_GOC!$A:$A,"BOM",DATA_GOC!$D:$D,$B145,DATA_GOC!$F:$F,"Xuất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5" s="222" t="str">
        <f>IF($B145="","",IF(AE$4&gt;DAY(EOMONTH(DATE($D$2,$B$2,1),0)),"",SUMIFS(DATA_GOC!$H:$H,DATA_GOC!$A:$A,"BOM",DATA_GOC!$D:$D,$B145,DATA_GOC!$F:$F,"Xuất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5" s="222" t="str">
        <f>IF($B145="","",IF(AF$4&gt;DAY(EOMONTH(DATE($D$2,$B$2,1),0)),"",SUMIFS(DATA_GOC!$H:$H,DATA_GOC!$A:$A,"BOM",DATA_GOC!$D:$D,$B145,DATA_GOC!$F:$F,"Xuất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5" s="222" t="str">
        <f>IF($B145="","",IF(AG$4&gt;DAY(EOMONTH(DATE($D$2,$B$2,1),0)),"",SUMIFS(DATA_GOC!$H:$H,DATA_GOC!$A:$A,"BOM",DATA_GOC!$D:$D,$B145,DATA_GOC!$F:$F,"Xuất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5" s="222" t="str">
        <f t="shared" si="2"/>
        <v/>
      </c>
      <c r="AI145" s="222" t="str">
        <f>IF($B145="","",SUMIFS(DATA_GOC!$H:$H,DATA_GOC!$A:$A,"BOM",DATA_GOC!$D:$D,$B145,DATA_GOC!$F:$F,"Bơm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5" s="222" t="str">
        <f t="shared" si="3"/>
        <v/>
      </c>
      <c r="AM145" s="222" t="str">
        <f>IF($B145="","",SUMIFS(DATA_GOC!$K:$K,DATA_GOC!$A:$A,"BOM",DATA_GOC!$D:$D,$B145,DATA_GOC!$G:$G,"DO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5" s="222" t="str">
        <f t="shared" si="4"/>
        <v/>
      </c>
      <c r="AO145" s="227" t="str">
        <f t="shared" si="5"/>
        <v/>
      </c>
      <c r="AP145" s="226" t="str">
        <f>IF($B145="","",IFERROR(AO145-(SUMIFS(DATA_GOC!$H:$H,DATA_GOC!$A:$A,"BOM",DATA_GOC!$D:$D,$B145,DATA_GOC!$F:$F,"Xuất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5" s="59">
        <v>4.0</v>
      </c>
      <c r="AR145" s="59">
        <v>2026.0</v>
      </c>
      <c r="AS145" s="59" t="s">
        <v>99</v>
      </c>
      <c r="AT145" s="59">
        <v>3304.074</v>
      </c>
      <c r="AU145" s="59">
        <v>0.0</v>
      </c>
      <c r="AV145" s="59">
        <v>3304.074</v>
      </c>
      <c r="AW145" s="59">
        <v>6629.0</v>
      </c>
      <c r="AX145" s="59">
        <v>49.8427213757731</v>
      </c>
      <c r="AY145" s="59">
        <v>736.51</v>
      </c>
      <c r="AZ145" s="59">
        <v>2567.564</v>
      </c>
      <c r="BA145" s="59">
        <v>6.51</v>
      </c>
      <c r="BB145" s="59">
        <v>0.0</v>
      </c>
      <c r="BC145" s="59" t="s">
        <v>500</v>
      </c>
    </row>
    <row r="146" ht="15.0" customHeight="1">
      <c r="A146" s="61" t="str">
        <f t="shared" si="1"/>
        <v/>
      </c>
      <c r="B146" s="228" t="str">
        <f t="array" ref="B146">IFERROR(INDEX(DANH_MUC!$E:$E,ROW()-1),"")</f>
        <v/>
      </c>
      <c r="C146" s="228" t="str">
        <f>IF($B146="","",IF(C$4&gt;DAY(EOMONTH(DATE($D$2,$B$2,1),0)),"",SUMIFS(DATA_GOC!$H:$H,DATA_GOC!$A:$A,"BOM",DATA_GOC!$D:$D,$B146,DATA_GOC!$F:$F,"Xuất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6" s="61" t="str">
        <f>IF($B146="","",IF(D$4&gt;DAY(EOMONTH(DATE($D$2,$B$2,1),0)),"",SUMIFS(DATA_GOC!$H:$H,DATA_GOC!$A:$A,"BOM",DATA_GOC!$D:$D,$B146,DATA_GOC!$F:$F,"Xuất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6" s="229" t="str">
        <f>IF($B146="","",IF(E$4&gt;DAY(EOMONTH(DATE($D$2,$B$2,1),0)),"",SUMIFS(DATA_GOC!$H:$H,DATA_GOC!$A:$A,"BOM",DATA_GOC!$D:$D,$B146,DATA_GOC!$F:$F,"Xuất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6" s="229" t="str">
        <f>IF($B146="","",IF(F$4&gt;DAY(EOMONTH(DATE($D$2,$B$2,1),0)),"",SUMIFS(DATA_GOC!$H:$H,DATA_GOC!$A:$A,"BOM",DATA_GOC!$D:$D,$B146,DATA_GOC!$F:$F,"Xuất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6" s="229" t="str">
        <f>IF($B146="","",IF(G$4&gt;DAY(EOMONTH(DATE($D$2,$B$2,1),0)),"",SUMIFS(DATA_GOC!$H:$H,DATA_GOC!$A:$A,"BOM",DATA_GOC!$D:$D,$B146,DATA_GOC!$F:$F,"Xuất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6" s="228" t="str">
        <f>IF($B146="","",IF(H$4&gt;DAY(EOMONTH(DATE($D$2,$B$2,1),0)),"",SUMIFS(DATA_GOC!$H:$H,DATA_GOC!$A:$A,"BOM",DATA_GOC!$D:$D,$B146,DATA_GOC!$F:$F,"Xuất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6" s="229" t="str">
        <f>IF($B146="","",IF(I$4&gt;DAY(EOMONTH(DATE($D$2,$B$2,1),0)),"",SUMIFS(DATA_GOC!$H:$H,DATA_GOC!$A:$A,"BOM",DATA_GOC!$D:$D,$B146,DATA_GOC!$F:$F,"Xuất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6" s="229" t="str">
        <f>IF($B146="","",IF(J$4&gt;DAY(EOMONTH(DATE($D$2,$B$2,1),0)),"",SUMIFS(DATA_GOC!$H:$H,DATA_GOC!$A:$A,"BOM",DATA_GOC!$D:$D,$B146,DATA_GOC!$F:$F,"Xuất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6" s="229" t="str">
        <f>IF($B146="","",IF(K$4&gt;DAY(EOMONTH(DATE($D$2,$B$2,1),0)),"",SUMIFS(DATA_GOC!$H:$H,DATA_GOC!$A:$A,"BOM",DATA_GOC!$D:$D,$B146,DATA_GOC!$F:$F,"Xuất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6" s="229" t="str">
        <f>IF($B146="","",IF(L$4&gt;DAY(EOMONTH(DATE($D$2,$B$2,1),0)),"",SUMIFS(DATA_GOC!$H:$H,DATA_GOC!$A:$A,"BOM",DATA_GOC!$D:$D,$B146,DATA_GOC!$F:$F,"Xuất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6" s="229" t="str">
        <f>IF($B146="","",IF(M$4&gt;DAY(EOMONTH(DATE($D$2,$B$2,1),0)),"",SUMIFS(DATA_GOC!$H:$H,DATA_GOC!$A:$A,"BOM",DATA_GOC!$D:$D,$B146,DATA_GOC!$F:$F,"Xuất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6" s="61" t="str">
        <f>IF($B146="","",IF(N$4&gt;DAY(EOMONTH(DATE($D$2,$B$2,1),0)),"",SUMIFS(DATA_GOC!$H:$H,DATA_GOC!$A:$A,"BOM",DATA_GOC!$D:$D,$B146,DATA_GOC!$F:$F,"Xuất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6" s="61" t="str">
        <f>IF($B146="","",IF(O$4&gt;DAY(EOMONTH(DATE($D$2,$B$2,1),0)),"",SUMIFS(DATA_GOC!$H:$H,DATA_GOC!$A:$A,"BOM",DATA_GOC!$D:$D,$B146,DATA_GOC!$F:$F,"Xuất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6" s="61" t="str">
        <f>IF($B146="","",IF(P$4&gt;DAY(EOMONTH(DATE($D$2,$B$2,1),0)),"",SUMIFS(DATA_GOC!$H:$H,DATA_GOC!$A:$A,"BOM",DATA_GOC!$D:$D,$B146,DATA_GOC!$F:$F,"Xuất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6" s="61" t="str">
        <f>IF($B146="","",IF(Q$4&gt;DAY(EOMONTH(DATE($D$2,$B$2,1),0)),"",SUMIFS(DATA_GOC!$H:$H,DATA_GOC!$A:$A,"BOM",DATA_GOC!$D:$D,$B146,DATA_GOC!$F:$F,"Xuất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6" s="61" t="str">
        <f>IF($B146="","",IF(R$4&gt;DAY(EOMONTH(DATE($D$2,$B$2,1),0)),"",SUMIFS(DATA_GOC!$H:$H,DATA_GOC!$A:$A,"BOM",DATA_GOC!$D:$D,$B146,DATA_GOC!$F:$F,"Xuất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6" s="61" t="str">
        <f>IF($B146="","",IF(S$4&gt;DAY(EOMONTH(DATE($D$2,$B$2,1),0)),"",SUMIFS(DATA_GOC!$H:$H,DATA_GOC!$A:$A,"BOM",DATA_GOC!$D:$D,$B146,DATA_GOC!$F:$F,"Xuất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6" s="229" t="str">
        <f>IF($B146="","",IF(T$4&gt;DAY(EOMONTH(DATE($D$2,$B$2,1),0)),"",SUMIFS(DATA_GOC!$H:$H,DATA_GOC!$A:$A,"BOM",DATA_GOC!$D:$D,$B146,DATA_GOC!$F:$F,"Xuất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6" s="229" t="str">
        <f>IF($B146="","",IF(U$4&gt;DAY(EOMONTH(DATE($D$2,$B$2,1),0)),"",SUMIFS(DATA_GOC!$H:$H,DATA_GOC!$A:$A,"BOM",DATA_GOC!$D:$D,$B146,DATA_GOC!$F:$F,"Xuất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6" s="229" t="str">
        <f>IF($B146="","",IF(V$4&gt;DAY(EOMONTH(DATE($D$2,$B$2,1),0)),"",SUMIFS(DATA_GOC!$H:$H,DATA_GOC!$A:$A,"BOM",DATA_GOC!$D:$D,$B146,DATA_GOC!$F:$F,"Xuất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6" s="61" t="str">
        <f>IF($B146="","",IF(W$4&gt;DAY(EOMONTH(DATE($D$2,$B$2,1),0)),"",SUMIFS(DATA_GOC!$H:$H,DATA_GOC!$A:$A,"BOM",DATA_GOC!$D:$D,$B146,DATA_GOC!$F:$F,"Xuất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6" s="229" t="str">
        <f>IF($B146="","",IF(X$4&gt;DAY(EOMONTH(DATE($D$2,$B$2,1),0)),"",SUMIFS(DATA_GOC!$H:$H,DATA_GOC!$A:$A,"BOM",DATA_GOC!$D:$D,$B146,DATA_GOC!$F:$F,"Xuất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6" s="229" t="str">
        <f>IF($B146="","",IF(Y$4&gt;DAY(EOMONTH(DATE($D$2,$B$2,1),0)),"",SUMIFS(DATA_GOC!$H:$H,DATA_GOC!$A:$A,"BOM",DATA_GOC!$D:$D,$B146,DATA_GOC!$F:$F,"Xuất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6" s="229" t="str">
        <f>IF($B146="","",IF(Z$4&gt;DAY(EOMONTH(DATE($D$2,$B$2,1),0)),"",SUMIFS(DATA_GOC!$H:$H,DATA_GOC!$A:$A,"BOM",DATA_GOC!$D:$D,$B146,DATA_GOC!$F:$F,"Xuất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6" s="229" t="str">
        <f>IF($B146="","",IF(AA$4&gt;DAY(EOMONTH(DATE($D$2,$B$2,1),0)),"",SUMIFS(DATA_GOC!$H:$H,DATA_GOC!$A:$A,"BOM",DATA_GOC!$D:$D,$B146,DATA_GOC!$F:$F,"Xuất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6" s="229" t="str">
        <f>IF($B146="","",IF(AB$4&gt;DAY(EOMONTH(DATE($D$2,$B$2,1),0)),"",SUMIFS(DATA_GOC!$H:$H,DATA_GOC!$A:$A,"BOM",DATA_GOC!$D:$D,$B146,DATA_GOC!$F:$F,"Xuất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6" s="61" t="str">
        <f>IF($B146="","",IF(AC$4&gt;DAY(EOMONTH(DATE($D$2,$B$2,1),0)),"",SUMIFS(DATA_GOC!$H:$H,DATA_GOC!$A:$A,"BOM",DATA_GOC!$D:$D,$B146,DATA_GOC!$F:$F,"Xuất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6" s="222" t="str">
        <f>IF($B146="","",IF(AD$4&gt;DAY(EOMONTH(DATE($D$2,$B$2,1),0)),"",SUMIFS(DATA_GOC!$H:$H,DATA_GOC!$A:$A,"BOM",DATA_GOC!$D:$D,$B146,DATA_GOC!$F:$F,"Xuất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6" s="222" t="str">
        <f>IF($B146="","",IF(AE$4&gt;DAY(EOMONTH(DATE($D$2,$B$2,1),0)),"",SUMIFS(DATA_GOC!$H:$H,DATA_GOC!$A:$A,"BOM",DATA_GOC!$D:$D,$B146,DATA_GOC!$F:$F,"Xuất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6" s="222" t="str">
        <f>IF($B146="","",IF(AF$4&gt;DAY(EOMONTH(DATE($D$2,$B$2,1),0)),"",SUMIFS(DATA_GOC!$H:$H,DATA_GOC!$A:$A,"BOM",DATA_GOC!$D:$D,$B146,DATA_GOC!$F:$F,"Xuất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6" s="222" t="str">
        <f>IF($B146="","",IF(AG$4&gt;DAY(EOMONTH(DATE($D$2,$B$2,1),0)),"",SUMIFS(DATA_GOC!$H:$H,DATA_GOC!$A:$A,"BOM",DATA_GOC!$D:$D,$B146,DATA_GOC!$F:$F,"Xuất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6" s="222" t="str">
        <f t="shared" si="2"/>
        <v/>
      </c>
      <c r="AI146" s="222" t="str">
        <f>IF($B146="","",SUMIFS(DATA_GOC!$H:$H,DATA_GOC!$A:$A,"BOM",DATA_GOC!$D:$D,$B146,DATA_GOC!$F:$F,"Bơm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6" s="222" t="str">
        <f t="shared" si="3"/>
        <v/>
      </c>
      <c r="AM146" s="222" t="str">
        <f>IF($B146="","",SUMIFS(DATA_GOC!$K:$K,DATA_GOC!$A:$A,"BOM",DATA_GOC!$D:$D,$B146,DATA_GOC!$G:$G,"DO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6" s="222" t="str">
        <f t="shared" si="4"/>
        <v/>
      </c>
      <c r="AO146" s="227" t="str">
        <f t="shared" si="5"/>
        <v/>
      </c>
      <c r="AP146" s="226" t="str">
        <f>IF($B146="","",IFERROR(AO146-(SUMIFS(DATA_GOC!$H:$H,DATA_GOC!$A:$A,"BOM",DATA_GOC!$D:$D,$B146,DATA_GOC!$F:$F,"Xuất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6" s="59">
        <v>4.0</v>
      </c>
      <c r="AR146" s="59">
        <v>2026.0</v>
      </c>
      <c r="AS146" s="59" t="s">
        <v>118</v>
      </c>
      <c r="AT146" s="59">
        <v>2711.935</v>
      </c>
      <c r="AU146" s="59">
        <v>0.0</v>
      </c>
      <c r="AV146" s="59">
        <v>2711.935</v>
      </c>
      <c r="AW146" s="59">
        <v>5802.0</v>
      </c>
      <c r="AX146" s="59">
        <v>46.7413822819717</v>
      </c>
      <c r="AY146" s="59">
        <v>800.07</v>
      </c>
      <c r="AZ146" s="59">
        <v>1911.865</v>
      </c>
      <c r="BA146" s="59">
        <v>7.07</v>
      </c>
      <c r="BB146" s="59">
        <v>0.0</v>
      </c>
      <c r="BC146" s="59" t="s">
        <v>501</v>
      </c>
    </row>
    <row r="147" ht="15.0" customHeight="1">
      <c r="A147" s="61" t="str">
        <f t="shared" si="1"/>
        <v/>
      </c>
      <c r="B147" s="228" t="str">
        <f t="array" ref="B147">IFERROR(INDEX(DANH_MUC!$E:$E,ROW()-1),"")</f>
        <v/>
      </c>
      <c r="C147" s="228" t="str">
        <f>IF($B147="","",IF(C$4&gt;DAY(EOMONTH(DATE($D$2,$B$2,1),0)),"",SUMIFS(DATA_GOC!$H:$H,DATA_GOC!$A:$A,"BOM",DATA_GOC!$D:$D,$B147,DATA_GOC!$F:$F,"Xuất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7" s="61" t="str">
        <f>IF($B147="","",IF(D$4&gt;DAY(EOMONTH(DATE($D$2,$B$2,1),0)),"",SUMIFS(DATA_GOC!$H:$H,DATA_GOC!$A:$A,"BOM",DATA_GOC!$D:$D,$B147,DATA_GOC!$F:$F,"Xuất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7" s="229" t="str">
        <f>IF($B147="","",IF(E$4&gt;DAY(EOMONTH(DATE($D$2,$B$2,1),0)),"",SUMIFS(DATA_GOC!$H:$H,DATA_GOC!$A:$A,"BOM",DATA_GOC!$D:$D,$B147,DATA_GOC!$F:$F,"Xuất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7" s="229" t="str">
        <f>IF($B147="","",IF(F$4&gt;DAY(EOMONTH(DATE($D$2,$B$2,1),0)),"",SUMIFS(DATA_GOC!$H:$H,DATA_GOC!$A:$A,"BOM",DATA_GOC!$D:$D,$B147,DATA_GOC!$F:$F,"Xuất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7" s="229" t="str">
        <f>IF($B147="","",IF(G$4&gt;DAY(EOMONTH(DATE($D$2,$B$2,1),0)),"",SUMIFS(DATA_GOC!$H:$H,DATA_GOC!$A:$A,"BOM",DATA_GOC!$D:$D,$B147,DATA_GOC!$F:$F,"Xuất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7" s="228" t="str">
        <f>IF($B147="","",IF(H$4&gt;DAY(EOMONTH(DATE($D$2,$B$2,1),0)),"",SUMIFS(DATA_GOC!$H:$H,DATA_GOC!$A:$A,"BOM",DATA_GOC!$D:$D,$B147,DATA_GOC!$F:$F,"Xuất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7" s="229" t="str">
        <f>IF($B147="","",IF(I$4&gt;DAY(EOMONTH(DATE($D$2,$B$2,1),0)),"",SUMIFS(DATA_GOC!$H:$H,DATA_GOC!$A:$A,"BOM",DATA_GOC!$D:$D,$B147,DATA_GOC!$F:$F,"Xuất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7" s="229" t="str">
        <f>IF($B147="","",IF(J$4&gt;DAY(EOMONTH(DATE($D$2,$B$2,1),0)),"",SUMIFS(DATA_GOC!$H:$H,DATA_GOC!$A:$A,"BOM",DATA_GOC!$D:$D,$B147,DATA_GOC!$F:$F,"Xuất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7" s="229" t="str">
        <f>IF($B147="","",IF(K$4&gt;DAY(EOMONTH(DATE($D$2,$B$2,1),0)),"",SUMIFS(DATA_GOC!$H:$H,DATA_GOC!$A:$A,"BOM",DATA_GOC!$D:$D,$B147,DATA_GOC!$F:$F,"Xuất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7" s="229" t="str">
        <f>IF($B147="","",IF(L$4&gt;DAY(EOMONTH(DATE($D$2,$B$2,1),0)),"",SUMIFS(DATA_GOC!$H:$H,DATA_GOC!$A:$A,"BOM",DATA_GOC!$D:$D,$B147,DATA_GOC!$F:$F,"Xuất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7" s="229" t="str">
        <f>IF($B147="","",IF(M$4&gt;DAY(EOMONTH(DATE($D$2,$B$2,1),0)),"",SUMIFS(DATA_GOC!$H:$H,DATA_GOC!$A:$A,"BOM",DATA_GOC!$D:$D,$B147,DATA_GOC!$F:$F,"Xuất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7" s="61" t="str">
        <f>IF($B147="","",IF(N$4&gt;DAY(EOMONTH(DATE($D$2,$B$2,1),0)),"",SUMIFS(DATA_GOC!$H:$H,DATA_GOC!$A:$A,"BOM",DATA_GOC!$D:$D,$B147,DATA_GOC!$F:$F,"Xuất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7" s="61" t="str">
        <f>IF($B147="","",IF(O$4&gt;DAY(EOMONTH(DATE($D$2,$B$2,1),0)),"",SUMIFS(DATA_GOC!$H:$H,DATA_GOC!$A:$A,"BOM",DATA_GOC!$D:$D,$B147,DATA_GOC!$F:$F,"Xuất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7" s="61" t="str">
        <f>IF($B147="","",IF(P$4&gt;DAY(EOMONTH(DATE($D$2,$B$2,1),0)),"",SUMIFS(DATA_GOC!$H:$H,DATA_GOC!$A:$A,"BOM",DATA_GOC!$D:$D,$B147,DATA_GOC!$F:$F,"Xuất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7" s="61" t="str">
        <f>IF($B147="","",IF(Q$4&gt;DAY(EOMONTH(DATE($D$2,$B$2,1),0)),"",SUMIFS(DATA_GOC!$H:$H,DATA_GOC!$A:$A,"BOM",DATA_GOC!$D:$D,$B147,DATA_GOC!$F:$F,"Xuất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7" s="61" t="str">
        <f>IF($B147="","",IF(R$4&gt;DAY(EOMONTH(DATE($D$2,$B$2,1),0)),"",SUMIFS(DATA_GOC!$H:$H,DATA_GOC!$A:$A,"BOM",DATA_GOC!$D:$D,$B147,DATA_GOC!$F:$F,"Xuất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7" s="61" t="str">
        <f>IF($B147="","",IF(S$4&gt;DAY(EOMONTH(DATE($D$2,$B$2,1),0)),"",SUMIFS(DATA_GOC!$H:$H,DATA_GOC!$A:$A,"BOM",DATA_GOC!$D:$D,$B147,DATA_GOC!$F:$F,"Xuất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7" s="229" t="str">
        <f>IF($B147="","",IF(T$4&gt;DAY(EOMONTH(DATE($D$2,$B$2,1),0)),"",SUMIFS(DATA_GOC!$H:$H,DATA_GOC!$A:$A,"BOM",DATA_GOC!$D:$D,$B147,DATA_GOC!$F:$F,"Xuất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7" s="229" t="str">
        <f>IF($B147="","",IF(U$4&gt;DAY(EOMONTH(DATE($D$2,$B$2,1),0)),"",SUMIFS(DATA_GOC!$H:$H,DATA_GOC!$A:$A,"BOM",DATA_GOC!$D:$D,$B147,DATA_GOC!$F:$F,"Xuất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7" s="229" t="str">
        <f>IF($B147="","",IF(V$4&gt;DAY(EOMONTH(DATE($D$2,$B$2,1),0)),"",SUMIFS(DATA_GOC!$H:$H,DATA_GOC!$A:$A,"BOM",DATA_GOC!$D:$D,$B147,DATA_GOC!$F:$F,"Xuất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7" s="61" t="str">
        <f>IF($B147="","",IF(W$4&gt;DAY(EOMONTH(DATE($D$2,$B$2,1),0)),"",SUMIFS(DATA_GOC!$H:$H,DATA_GOC!$A:$A,"BOM",DATA_GOC!$D:$D,$B147,DATA_GOC!$F:$F,"Xuất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7" s="229" t="str">
        <f>IF($B147="","",IF(X$4&gt;DAY(EOMONTH(DATE($D$2,$B$2,1),0)),"",SUMIFS(DATA_GOC!$H:$H,DATA_GOC!$A:$A,"BOM",DATA_GOC!$D:$D,$B147,DATA_GOC!$F:$F,"Xuất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7" s="229" t="str">
        <f>IF($B147="","",IF(Y$4&gt;DAY(EOMONTH(DATE($D$2,$B$2,1),0)),"",SUMIFS(DATA_GOC!$H:$H,DATA_GOC!$A:$A,"BOM",DATA_GOC!$D:$D,$B147,DATA_GOC!$F:$F,"Xuất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7" s="229" t="str">
        <f>IF($B147="","",IF(Z$4&gt;DAY(EOMONTH(DATE($D$2,$B$2,1),0)),"",SUMIFS(DATA_GOC!$H:$H,DATA_GOC!$A:$A,"BOM",DATA_GOC!$D:$D,$B147,DATA_GOC!$F:$F,"Xuất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7" s="229" t="str">
        <f>IF($B147="","",IF(AA$4&gt;DAY(EOMONTH(DATE($D$2,$B$2,1),0)),"",SUMIFS(DATA_GOC!$H:$H,DATA_GOC!$A:$A,"BOM",DATA_GOC!$D:$D,$B147,DATA_GOC!$F:$F,"Xuất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7" s="229" t="str">
        <f>IF($B147="","",IF(AB$4&gt;DAY(EOMONTH(DATE($D$2,$B$2,1),0)),"",SUMIFS(DATA_GOC!$H:$H,DATA_GOC!$A:$A,"BOM",DATA_GOC!$D:$D,$B147,DATA_GOC!$F:$F,"Xuất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7" s="61" t="str">
        <f>IF($B147="","",IF(AC$4&gt;DAY(EOMONTH(DATE($D$2,$B$2,1),0)),"",SUMIFS(DATA_GOC!$H:$H,DATA_GOC!$A:$A,"BOM",DATA_GOC!$D:$D,$B147,DATA_GOC!$F:$F,"Xuất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7" s="222" t="str">
        <f>IF($B147="","",IF(AD$4&gt;DAY(EOMONTH(DATE($D$2,$B$2,1),0)),"",SUMIFS(DATA_GOC!$H:$H,DATA_GOC!$A:$A,"BOM",DATA_GOC!$D:$D,$B147,DATA_GOC!$F:$F,"Xuất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7" s="222" t="str">
        <f>IF($B147="","",IF(AE$4&gt;DAY(EOMONTH(DATE($D$2,$B$2,1),0)),"",SUMIFS(DATA_GOC!$H:$H,DATA_GOC!$A:$A,"BOM",DATA_GOC!$D:$D,$B147,DATA_GOC!$F:$F,"Xuất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7" s="222" t="str">
        <f>IF($B147="","",IF(AF$4&gt;DAY(EOMONTH(DATE($D$2,$B$2,1),0)),"",SUMIFS(DATA_GOC!$H:$H,DATA_GOC!$A:$A,"BOM",DATA_GOC!$D:$D,$B147,DATA_GOC!$F:$F,"Xuất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7" s="222" t="str">
        <f>IF($B147="","",IF(AG$4&gt;DAY(EOMONTH(DATE($D$2,$B$2,1),0)),"",SUMIFS(DATA_GOC!$H:$H,DATA_GOC!$A:$A,"BOM",DATA_GOC!$D:$D,$B147,DATA_GOC!$F:$F,"Xuất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7" s="222" t="str">
        <f t="shared" si="2"/>
        <v/>
      </c>
      <c r="AI147" s="222" t="str">
        <f>IF($B147="","",SUMIFS(DATA_GOC!$H:$H,DATA_GOC!$A:$A,"BOM",DATA_GOC!$D:$D,$B147,DATA_GOC!$F:$F,"Bơm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7" s="222" t="str">
        <f t="shared" si="3"/>
        <v/>
      </c>
      <c r="AM147" s="222" t="str">
        <f>IF($B147="","",SUMIFS(DATA_GOC!$K:$K,DATA_GOC!$A:$A,"BOM",DATA_GOC!$D:$D,$B147,DATA_GOC!$G:$G,"DO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7" s="222" t="str">
        <f t="shared" si="4"/>
        <v/>
      </c>
      <c r="AO147" s="227" t="str">
        <f t="shared" si="5"/>
        <v/>
      </c>
      <c r="AP147" s="226" t="str">
        <f>IF($B147="","",IFERROR(AO147-(SUMIFS(DATA_GOC!$H:$H,DATA_GOC!$A:$A,"BOM",DATA_GOC!$D:$D,$B147,DATA_GOC!$F:$F,"Xuất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7" s="59">
        <v>4.0</v>
      </c>
      <c r="AR147" s="59">
        <v>2026.0</v>
      </c>
      <c r="AS147" s="59" t="s">
        <v>96</v>
      </c>
      <c r="AT147" s="59">
        <v>3296.55</v>
      </c>
      <c r="AU147" s="59">
        <v>0.0</v>
      </c>
      <c r="AV147" s="59">
        <v>3296.55</v>
      </c>
      <c r="AW147" s="59">
        <v>7188.0</v>
      </c>
      <c r="AX147" s="59">
        <v>45.8618530884808</v>
      </c>
      <c r="AY147" s="59">
        <v>827.31</v>
      </c>
      <c r="AZ147" s="59">
        <v>2469.24</v>
      </c>
      <c r="BA147" s="59">
        <v>7.31</v>
      </c>
      <c r="BB147" s="59">
        <v>0.0</v>
      </c>
      <c r="BC147" s="59" t="s">
        <v>502</v>
      </c>
    </row>
    <row r="148" ht="15.0" customHeight="1">
      <c r="A148" s="61" t="str">
        <f t="shared" si="1"/>
        <v/>
      </c>
      <c r="B148" s="228" t="str">
        <f t="array" ref="B148">IFERROR(INDEX(DANH_MUC!$E:$E,ROW()-1),"")</f>
        <v/>
      </c>
      <c r="C148" s="228" t="str">
        <f>IF($B148="","",IF(C$4&gt;DAY(EOMONTH(DATE($D$2,$B$2,1),0)),"",SUMIFS(DATA_GOC!$H:$H,DATA_GOC!$A:$A,"BOM",DATA_GOC!$D:$D,$B148,DATA_GOC!$F:$F,"Xuất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8" s="61" t="str">
        <f>IF($B148="","",IF(D$4&gt;DAY(EOMONTH(DATE($D$2,$B$2,1),0)),"",SUMIFS(DATA_GOC!$H:$H,DATA_GOC!$A:$A,"BOM",DATA_GOC!$D:$D,$B148,DATA_GOC!$F:$F,"Xuất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8" s="229" t="str">
        <f>IF($B148="","",IF(E$4&gt;DAY(EOMONTH(DATE($D$2,$B$2,1),0)),"",SUMIFS(DATA_GOC!$H:$H,DATA_GOC!$A:$A,"BOM",DATA_GOC!$D:$D,$B148,DATA_GOC!$F:$F,"Xuất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8" s="229" t="str">
        <f>IF($B148="","",IF(F$4&gt;DAY(EOMONTH(DATE($D$2,$B$2,1),0)),"",SUMIFS(DATA_GOC!$H:$H,DATA_GOC!$A:$A,"BOM",DATA_GOC!$D:$D,$B148,DATA_GOC!$F:$F,"Xuất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8" s="229" t="str">
        <f>IF($B148="","",IF(G$4&gt;DAY(EOMONTH(DATE($D$2,$B$2,1),0)),"",SUMIFS(DATA_GOC!$H:$H,DATA_GOC!$A:$A,"BOM",DATA_GOC!$D:$D,$B148,DATA_GOC!$F:$F,"Xuất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8" s="228" t="str">
        <f>IF($B148="","",IF(H$4&gt;DAY(EOMONTH(DATE($D$2,$B$2,1),0)),"",SUMIFS(DATA_GOC!$H:$H,DATA_GOC!$A:$A,"BOM",DATA_GOC!$D:$D,$B148,DATA_GOC!$F:$F,"Xuất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8" s="229" t="str">
        <f>IF($B148="","",IF(I$4&gt;DAY(EOMONTH(DATE($D$2,$B$2,1),0)),"",SUMIFS(DATA_GOC!$H:$H,DATA_GOC!$A:$A,"BOM",DATA_GOC!$D:$D,$B148,DATA_GOC!$F:$F,"Xuất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8" s="229" t="str">
        <f>IF($B148="","",IF(J$4&gt;DAY(EOMONTH(DATE($D$2,$B$2,1),0)),"",SUMIFS(DATA_GOC!$H:$H,DATA_GOC!$A:$A,"BOM",DATA_GOC!$D:$D,$B148,DATA_GOC!$F:$F,"Xuất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8" s="229" t="str">
        <f>IF($B148="","",IF(K$4&gt;DAY(EOMONTH(DATE($D$2,$B$2,1),0)),"",SUMIFS(DATA_GOC!$H:$H,DATA_GOC!$A:$A,"BOM",DATA_GOC!$D:$D,$B148,DATA_GOC!$F:$F,"Xuất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8" s="229" t="str">
        <f>IF($B148="","",IF(L$4&gt;DAY(EOMONTH(DATE($D$2,$B$2,1),0)),"",SUMIFS(DATA_GOC!$H:$H,DATA_GOC!$A:$A,"BOM",DATA_GOC!$D:$D,$B148,DATA_GOC!$F:$F,"Xuất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8" s="229" t="str">
        <f>IF($B148="","",IF(M$4&gt;DAY(EOMONTH(DATE($D$2,$B$2,1),0)),"",SUMIFS(DATA_GOC!$H:$H,DATA_GOC!$A:$A,"BOM",DATA_GOC!$D:$D,$B148,DATA_GOC!$F:$F,"Xuất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8" s="61" t="str">
        <f>IF($B148="","",IF(N$4&gt;DAY(EOMONTH(DATE($D$2,$B$2,1),0)),"",SUMIFS(DATA_GOC!$H:$H,DATA_GOC!$A:$A,"BOM",DATA_GOC!$D:$D,$B148,DATA_GOC!$F:$F,"Xuất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8" s="61" t="str">
        <f>IF($B148="","",IF(O$4&gt;DAY(EOMONTH(DATE($D$2,$B$2,1),0)),"",SUMIFS(DATA_GOC!$H:$H,DATA_GOC!$A:$A,"BOM",DATA_GOC!$D:$D,$B148,DATA_GOC!$F:$F,"Xuất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8" s="61" t="str">
        <f>IF($B148="","",IF(P$4&gt;DAY(EOMONTH(DATE($D$2,$B$2,1),0)),"",SUMIFS(DATA_GOC!$H:$H,DATA_GOC!$A:$A,"BOM",DATA_GOC!$D:$D,$B148,DATA_GOC!$F:$F,"Xuất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8" s="61" t="str">
        <f>IF($B148="","",IF(Q$4&gt;DAY(EOMONTH(DATE($D$2,$B$2,1),0)),"",SUMIFS(DATA_GOC!$H:$H,DATA_GOC!$A:$A,"BOM",DATA_GOC!$D:$D,$B148,DATA_GOC!$F:$F,"Xuất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8" s="61" t="str">
        <f>IF($B148="","",IF(R$4&gt;DAY(EOMONTH(DATE($D$2,$B$2,1),0)),"",SUMIFS(DATA_GOC!$H:$H,DATA_GOC!$A:$A,"BOM",DATA_GOC!$D:$D,$B148,DATA_GOC!$F:$F,"Xuất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8" s="61" t="str">
        <f>IF($B148="","",IF(S$4&gt;DAY(EOMONTH(DATE($D$2,$B$2,1),0)),"",SUMIFS(DATA_GOC!$H:$H,DATA_GOC!$A:$A,"BOM",DATA_GOC!$D:$D,$B148,DATA_GOC!$F:$F,"Xuất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8" s="229" t="str">
        <f>IF($B148="","",IF(T$4&gt;DAY(EOMONTH(DATE($D$2,$B$2,1),0)),"",SUMIFS(DATA_GOC!$H:$H,DATA_GOC!$A:$A,"BOM",DATA_GOC!$D:$D,$B148,DATA_GOC!$F:$F,"Xuất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8" s="229" t="str">
        <f>IF($B148="","",IF(U$4&gt;DAY(EOMONTH(DATE($D$2,$B$2,1),0)),"",SUMIFS(DATA_GOC!$H:$H,DATA_GOC!$A:$A,"BOM",DATA_GOC!$D:$D,$B148,DATA_GOC!$F:$F,"Xuất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8" s="229" t="str">
        <f>IF($B148="","",IF(V$4&gt;DAY(EOMONTH(DATE($D$2,$B$2,1),0)),"",SUMIFS(DATA_GOC!$H:$H,DATA_GOC!$A:$A,"BOM",DATA_GOC!$D:$D,$B148,DATA_GOC!$F:$F,"Xuất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8" s="61" t="str">
        <f>IF($B148="","",IF(W$4&gt;DAY(EOMONTH(DATE($D$2,$B$2,1),0)),"",SUMIFS(DATA_GOC!$H:$H,DATA_GOC!$A:$A,"BOM",DATA_GOC!$D:$D,$B148,DATA_GOC!$F:$F,"Xuất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8" s="229" t="str">
        <f>IF($B148="","",IF(X$4&gt;DAY(EOMONTH(DATE($D$2,$B$2,1),0)),"",SUMIFS(DATA_GOC!$H:$H,DATA_GOC!$A:$A,"BOM",DATA_GOC!$D:$D,$B148,DATA_GOC!$F:$F,"Xuất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8" s="229" t="str">
        <f>IF($B148="","",IF(Y$4&gt;DAY(EOMONTH(DATE($D$2,$B$2,1),0)),"",SUMIFS(DATA_GOC!$H:$H,DATA_GOC!$A:$A,"BOM",DATA_GOC!$D:$D,$B148,DATA_GOC!$F:$F,"Xuất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8" s="229" t="str">
        <f>IF($B148="","",IF(Z$4&gt;DAY(EOMONTH(DATE($D$2,$B$2,1),0)),"",SUMIFS(DATA_GOC!$H:$H,DATA_GOC!$A:$A,"BOM",DATA_GOC!$D:$D,$B148,DATA_GOC!$F:$F,"Xuất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8" s="229" t="str">
        <f>IF($B148="","",IF(AA$4&gt;DAY(EOMONTH(DATE($D$2,$B$2,1),0)),"",SUMIFS(DATA_GOC!$H:$H,DATA_GOC!$A:$A,"BOM",DATA_GOC!$D:$D,$B148,DATA_GOC!$F:$F,"Xuất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8" s="229" t="str">
        <f>IF($B148="","",IF(AB$4&gt;DAY(EOMONTH(DATE($D$2,$B$2,1),0)),"",SUMIFS(DATA_GOC!$H:$H,DATA_GOC!$A:$A,"BOM",DATA_GOC!$D:$D,$B148,DATA_GOC!$F:$F,"Xuất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8" s="61" t="str">
        <f>IF($B148="","",IF(AC$4&gt;DAY(EOMONTH(DATE($D$2,$B$2,1),0)),"",SUMIFS(DATA_GOC!$H:$H,DATA_GOC!$A:$A,"BOM",DATA_GOC!$D:$D,$B148,DATA_GOC!$F:$F,"Xuất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8" s="222" t="str">
        <f>IF($B148="","",IF(AD$4&gt;DAY(EOMONTH(DATE($D$2,$B$2,1),0)),"",SUMIFS(DATA_GOC!$H:$H,DATA_GOC!$A:$A,"BOM",DATA_GOC!$D:$D,$B148,DATA_GOC!$F:$F,"Xuất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8" s="222" t="str">
        <f>IF($B148="","",IF(AE$4&gt;DAY(EOMONTH(DATE($D$2,$B$2,1),0)),"",SUMIFS(DATA_GOC!$H:$H,DATA_GOC!$A:$A,"BOM",DATA_GOC!$D:$D,$B148,DATA_GOC!$F:$F,"Xuất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8" s="222" t="str">
        <f>IF($B148="","",IF(AF$4&gt;DAY(EOMONTH(DATE($D$2,$B$2,1),0)),"",SUMIFS(DATA_GOC!$H:$H,DATA_GOC!$A:$A,"BOM",DATA_GOC!$D:$D,$B148,DATA_GOC!$F:$F,"Xuất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8" s="222" t="str">
        <f>IF($B148="","",IF(AG$4&gt;DAY(EOMONTH(DATE($D$2,$B$2,1),0)),"",SUMIFS(DATA_GOC!$H:$H,DATA_GOC!$A:$A,"BOM",DATA_GOC!$D:$D,$B148,DATA_GOC!$F:$F,"Xuất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8" s="222" t="str">
        <f t="shared" si="2"/>
        <v/>
      </c>
      <c r="AI148" s="222" t="str">
        <f>IF($B148="","",SUMIFS(DATA_GOC!$H:$H,DATA_GOC!$A:$A,"BOM",DATA_GOC!$D:$D,$B148,DATA_GOC!$F:$F,"Bơm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8" s="222" t="str">
        <f t="shared" si="3"/>
        <v/>
      </c>
      <c r="AM148" s="222" t="str">
        <f>IF($B148="","",SUMIFS(DATA_GOC!$K:$K,DATA_GOC!$A:$A,"BOM",DATA_GOC!$D:$D,$B148,DATA_GOC!$G:$G,"DO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8" s="222" t="str">
        <f t="shared" si="4"/>
        <v/>
      </c>
      <c r="AO148" s="227" t="str">
        <f t="shared" si="5"/>
        <v/>
      </c>
      <c r="AP148" s="226" t="str">
        <f>IF($B148="","",IFERROR(AO148-(SUMIFS(DATA_GOC!$H:$H,DATA_GOC!$A:$A,"BOM",DATA_GOC!$D:$D,$B148,DATA_GOC!$F:$F,"Xuất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8" s="59">
        <v>4.0</v>
      </c>
      <c r="AR148" s="59">
        <v>2026.0</v>
      </c>
      <c r="AS148" s="59" t="s">
        <v>133</v>
      </c>
      <c r="AT148" s="59">
        <v>261.3</v>
      </c>
      <c r="AU148" s="59">
        <v>0.0</v>
      </c>
      <c r="AV148" s="59">
        <v>261.3</v>
      </c>
      <c r="AY148" s="59">
        <v>0.0</v>
      </c>
      <c r="AZ148" s="59">
        <v>261.3</v>
      </c>
      <c r="BA148" s="59">
        <v>0.0</v>
      </c>
      <c r="BB148" s="59">
        <v>0.0</v>
      </c>
      <c r="BC148" s="59" t="s">
        <v>503</v>
      </c>
    </row>
    <row r="149" ht="15.0" customHeight="1">
      <c r="A149" s="61" t="str">
        <f t="shared" si="1"/>
        <v/>
      </c>
      <c r="B149" s="228" t="str">
        <f t="array" ref="B149">IFERROR(INDEX(DANH_MUC!$E:$E,ROW()-1),"")</f>
        <v/>
      </c>
      <c r="C149" s="228" t="str">
        <f>IF($B149="","",IF(C$4&gt;DAY(EOMONTH(DATE($D$2,$B$2,1),0)),"",SUMIFS(DATA_GOC!$H:$H,DATA_GOC!$A:$A,"BOM",DATA_GOC!$D:$D,$B149,DATA_GOC!$F:$F,"Xuất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49" s="61" t="str">
        <f>IF($B149="","",IF(D$4&gt;DAY(EOMONTH(DATE($D$2,$B$2,1),0)),"",SUMIFS(DATA_GOC!$H:$H,DATA_GOC!$A:$A,"BOM",DATA_GOC!$D:$D,$B149,DATA_GOC!$F:$F,"Xuất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49" s="229" t="str">
        <f>IF($B149="","",IF(E$4&gt;DAY(EOMONTH(DATE($D$2,$B$2,1),0)),"",SUMIFS(DATA_GOC!$H:$H,DATA_GOC!$A:$A,"BOM",DATA_GOC!$D:$D,$B149,DATA_GOC!$F:$F,"Xuất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49" s="229" t="str">
        <f>IF($B149="","",IF(F$4&gt;DAY(EOMONTH(DATE($D$2,$B$2,1),0)),"",SUMIFS(DATA_GOC!$H:$H,DATA_GOC!$A:$A,"BOM",DATA_GOC!$D:$D,$B149,DATA_GOC!$F:$F,"Xuất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49" s="229" t="str">
        <f>IF($B149="","",IF(G$4&gt;DAY(EOMONTH(DATE($D$2,$B$2,1),0)),"",SUMIFS(DATA_GOC!$H:$H,DATA_GOC!$A:$A,"BOM",DATA_GOC!$D:$D,$B149,DATA_GOC!$F:$F,"Xuất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49" s="228" t="str">
        <f>IF($B149="","",IF(H$4&gt;DAY(EOMONTH(DATE($D$2,$B$2,1),0)),"",SUMIFS(DATA_GOC!$H:$H,DATA_GOC!$A:$A,"BOM",DATA_GOC!$D:$D,$B149,DATA_GOC!$F:$F,"Xuất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49" s="229" t="str">
        <f>IF($B149="","",IF(I$4&gt;DAY(EOMONTH(DATE($D$2,$B$2,1),0)),"",SUMIFS(DATA_GOC!$H:$H,DATA_GOC!$A:$A,"BOM",DATA_GOC!$D:$D,$B149,DATA_GOC!$F:$F,"Xuất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49" s="229" t="str">
        <f>IF($B149="","",IF(J$4&gt;DAY(EOMONTH(DATE($D$2,$B$2,1),0)),"",SUMIFS(DATA_GOC!$H:$H,DATA_GOC!$A:$A,"BOM",DATA_GOC!$D:$D,$B149,DATA_GOC!$F:$F,"Xuất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49" s="229" t="str">
        <f>IF($B149="","",IF(K$4&gt;DAY(EOMONTH(DATE($D$2,$B$2,1),0)),"",SUMIFS(DATA_GOC!$H:$H,DATA_GOC!$A:$A,"BOM",DATA_GOC!$D:$D,$B149,DATA_GOC!$F:$F,"Xuất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49" s="229" t="str">
        <f>IF($B149="","",IF(L$4&gt;DAY(EOMONTH(DATE($D$2,$B$2,1),0)),"",SUMIFS(DATA_GOC!$H:$H,DATA_GOC!$A:$A,"BOM",DATA_GOC!$D:$D,$B149,DATA_GOC!$F:$F,"Xuất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49" s="229" t="str">
        <f>IF($B149="","",IF(M$4&gt;DAY(EOMONTH(DATE($D$2,$B$2,1),0)),"",SUMIFS(DATA_GOC!$H:$H,DATA_GOC!$A:$A,"BOM",DATA_GOC!$D:$D,$B149,DATA_GOC!$F:$F,"Xuất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49" s="61" t="str">
        <f>IF($B149="","",IF(N$4&gt;DAY(EOMONTH(DATE($D$2,$B$2,1),0)),"",SUMIFS(DATA_GOC!$H:$H,DATA_GOC!$A:$A,"BOM",DATA_GOC!$D:$D,$B149,DATA_GOC!$F:$F,"Xuất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49" s="61" t="str">
        <f>IF($B149="","",IF(O$4&gt;DAY(EOMONTH(DATE($D$2,$B$2,1),0)),"",SUMIFS(DATA_GOC!$H:$H,DATA_GOC!$A:$A,"BOM",DATA_GOC!$D:$D,$B149,DATA_GOC!$F:$F,"Xuất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49" s="61" t="str">
        <f>IF($B149="","",IF(P$4&gt;DAY(EOMONTH(DATE($D$2,$B$2,1),0)),"",SUMIFS(DATA_GOC!$H:$H,DATA_GOC!$A:$A,"BOM",DATA_GOC!$D:$D,$B149,DATA_GOC!$F:$F,"Xuất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49" s="61" t="str">
        <f>IF($B149="","",IF(Q$4&gt;DAY(EOMONTH(DATE($D$2,$B$2,1),0)),"",SUMIFS(DATA_GOC!$H:$H,DATA_GOC!$A:$A,"BOM",DATA_GOC!$D:$D,$B149,DATA_GOC!$F:$F,"Xuất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49" s="61" t="str">
        <f>IF($B149="","",IF(R$4&gt;DAY(EOMONTH(DATE($D$2,$B$2,1),0)),"",SUMIFS(DATA_GOC!$H:$H,DATA_GOC!$A:$A,"BOM",DATA_GOC!$D:$D,$B149,DATA_GOC!$F:$F,"Xuất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49" s="61" t="str">
        <f>IF($B149="","",IF(S$4&gt;DAY(EOMONTH(DATE($D$2,$B$2,1),0)),"",SUMIFS(DATA_GOC!$H:$H,DATA_GOC!$A:$A,"BOM",DATA_GOC!$D:$D,$B149,DATA_GOC!$F:$F,"Xuất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49" s="229" t="str">
        <f>IF($B149="","",IF(T$4&gt;DAY(EOMONTH(DATE($D$2,$B$2,1),0)),"",SUMIFS(DATA_GOC!$H:$H,DATA_GOC!$A:$A,"BOM",DATA_GOC!$D:$D,$B149,DATA_GOC!$F:$F,"Xuất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49" s="229" t="str">
        <f>IF($B149="","",IF(U$4&gt;DAY(EOMONTH(DATE($D$2,$B$2,1),0)),"",SUMIFS(DATA_GOC!$H:$H,DATA_GOC!$A:$A,"BOM",DATA_GOC!$D:$D,$B149,DATA_GOC!$F:$F,"Xuất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49" s="229" t="str">
        <f>IF($B149="","",IF(V$4&gt;DAY(EOMONTH(DATE($D$2,$B$2,1),0)),"",SUMIFS(DATA_GOC!$H:$H,DATA_GOC!$A:$A,"BOM",DATA_GOC!$D:$D,$B149,DATA_GOC!$F:$F,"Xuất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49" s="61" t="str">
        <f>IF($B149="","",IF(W$4&gt;DAY(EOMONTH(DATE($D$2,$B$2,1),0)),"",SUMIFS(DATA_GOC!$H:$H,DATA_GOC!$A:$A,"BOM",DATA_GOC!$D:$D,$B149,DATA_GOC!$F:$F,"Xuất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49" s="229" t="str">
        <f>IF($B149="","",IF(X$4&gt;DAY(EOMONTH(DATE($D$2,$B$2,1),0)),"",SUMIFS(DATA_GOC!$H:$H,DATA_GOC!$A:$A,"BOM",DATA_GOC!$D:$D,$B149,DATA_GOC!$F:$F,"Xuất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49" s="229" t="str">
        <f>IF($B149="","",IF(Y$4&gt;DAY(EOMONTH(DATE($D$2,$B$2,1),0)),"",SUMIFS(DATA_GOC!$H:$H,DATA_GOC!$A:$A,"BOM",DATA_GOC!$D:$D,$B149,DATA_GOC!$F:$F,"Xuất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49" s="229" t="str">
        <f>IF($B149="","",IF(Z$4&gt;DAY(EOMONTH(DATE($D$2,$B$2,1),0)),"",SUMIFS(DATA_GOC!$H:$H,DATA_GOC!$A:$A,"BOM",DATA_GOC!$D:$D,$B149,DATA_GOC!$F:$F,"Xuất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49" s="229" t="str">
        <f>IF($B149="","",IF(AA$4&gt;DAY(EOMONTH(DATE($D$2,$B$2,1),0)),"",SUMIFS(DATA_GOC!$H:$H,DATA_GOC!$A:$A,"BOM",DATA_GOC!$D:$D,$B149,DATA_GOC!$F:$F,"Xuất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49" s="229" t="str">
        <f>IF($B149="","",IF(AB$4&gt;DAY(EOMONTH(DATE($D$2,$B$2,1),0)),"",SUMIFS(DATA_GOC!$H:$H,DATA_GOC!$A:$A,"BOM",DATA_GOC!$D:$D,$B149,DATA_GOC!$F:$F,"Xuất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49" s="61" t="str">
        <f>IF($B149="","",IF(AC$4&gt;DAY(EOMONTH(DATE($D$2,$B$2,1),0)),"",SUMIFS(DATA_GOC!$H:$H,DATA_GOC!$A:$A,"BOM",DATA_GOC!$D:$D,$B149,DATA_GOC!$F:$F,"Xuất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49" s="222" t="str">
        <f>IF($B149="","",IF(AD$4&gt;DAY(EOMONTH(DATE($D$2,$B$2,1),0)),"",SUMIFS(DATA_GOC!$H:$H,DATA_GOC!$A:$A,"BOM",DATA_GOC!$D:$D,$B149,DATA_GOC!$F:$F,"Xuất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49" s="222" t="str">
        <f>IF($B149="","",IF(AE$4&gt;DAY(EOMONTH(DATE($D$2,$B$2,1),0)),"",SUMIFS(DATA_GOC!$H:$H,DATA_GOC!$A:$A,"BOM",DATA_GOC!$D:$D,$B149,DATA_GOC!$F:$F,"Xuất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49" s="222" t="str">
        <f>IF($B149="","",IF(AF$4&gt;DAY(EOMONTH(DATE($D$2,$B$2,1),0)),"",SUMIFS(DATA_GOC!$H:$H,DATA_GOC!$A:$A,"BOM",DATA_GOC!$D:$D,$B149,DATA_GOC!$F:$F,"Xuất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49" s="222" t="str">
        <f>IF($B149="","",IF(AG$4&gt;DAY(EOMONTH(DATE($D$2,$B$2,1),0)),"",SUMIFS(DATA_GOC!$H:$H,DATA_GOC!$A:$A,"BOM",DATA_GOC!$D:$D,$B149,DATA_GOC!$F:$F,"Xuất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49" s="222" t="str">
        <f t="shared" si="2"/>
        <v/>
      </c>
      <c r="AI149" s="222" t="str">
        <f>IF($B149="","",SUMIFS(DATA_GOC!$H:$H,DATA_GOC!$A:$A,"BOM",DATA_GOC!$D:$D,$B149,DATA_GOC!$F:$F,"Bơm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49" s="222" t="str">
        <f t="shared" si="3"/>
        <v/>
      </c>
      <c r="AM149" s="222" t="str">
        <f>IF($B149="","",SUMIFS(DATA_GOC!$K:$K,DATA_GOC!$A:$A,"BOM",DATA_GOC!$D:$D,$B149,DATA_GOC!$G:$G,"DO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49" s="222" t="str">
        <f t="shared" si="4"/>
        <v/>
      </c>
      <c r="AO149" s="227" t="str">
        <f t="shared" si="5"/>
        <v/>
      </c>
      <c r="AP149" s="226" t="str">
        <f>IF($B149="","",IFERROR(AO149-(SUMIFS(DATA_GOC!$H:$H,DATA_GOC!$A:$A,"BOM",DATA_GOC!$D:$D,$B149,DATA_GOC!$F:$F,"Xuất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số",DATA_GOC!$B:$B,"&gt;="&amp;EDATE(DATE($D$2,$B$2,1),-1),DATA_GOC!$B:$B,"&lt;"&amp;DATE($D$2,$B$2,1))/SUMIFS(DATA_GOC!$K:$K,DATA_GOC!$A:$A,"BOM",DATA_GOC!$D:$D,$B149,DATA_GOC!$G:$G,"DO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49" s="59">
        <v>4.0</v>
      </c>
      <c r="AR149" s="59">
        <v>2026.0</v>
      </c>
      <c r="AS149" s="59" t="s">
        <v>117</v>
      </c>
      <c r="AT149" s="59">
        <v>1021.568</v>
      </c>
      <c r="AU149" s="59">
        <v>0.0</v>
      </c>
      <c r="AV149" s="59">
        <v>1021.568</v>
      </c>
      <c r="AW149" s="59">
        <v>80.4000000000006</v>
      </c>
      <c r="AX149" s="59">
        <v>1270.60696517412</v>
      </c>
      <c r="AY149" s="59">
        <v>158.4</v>
      </c>
      <c r="AZ149" s="59">
        <v>863.168</v>
      </c>
      <c r="BA149" s="59">
        <v>1.4</v>
      </c>
      <c r="BB149" s="59">
        <v>0.0</v>
      </c>
      <c r="BC149" s="59" t="s">
        <v>504</v>
      </c>
    </row>
    <row r="150" ht="15.0" customHeight="1">
      <c r="A150" s="61" t="str">
        <f t="shared" si="1"/>
        <v/>
      </c>
      <c r="B150" s="228" t="str">
        <f t="array" ref="B150">IFERROR(INDEX(DANH_MUC!$E:$E,ROW()-1),"")</f>
        <v/>
      </c>
      <c r="C150" s="228" t="str">
        <f>IF($B150="","",IF(C$4&gt;DAY(EOMONTH(DATE($D$2,$B$2,1),0)),"",SUMIFS(DATA_GOC!$H:$H,DATA_GOC!$A:$A,"BOM",DATA_GOC!$D:$D,$B150,DATA_GOC!$F:$F,"Xuất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0" s="61" t="str">
        <f>IF($B150="","",IF(D$4&gt;DAY(EOMONTH(DATE($D$2,$B$2,1),0)),"",SUMIFS(DATA_GOC!$H:$H,DATA_GOC!$A:$A,"BOM",DATA_GOC!$D:$D,$B150,DATA_GOC!$F:$F,"Xuất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0" s="229" t="str">
        <f>IF($B150="","",IF(E$4&gt;DAY(EOMONTH(DATE($D$2,$B$2,1),0)),"",SUMIFS(DATA_GOC!$H:$H,DATA_GOC!$A:$A,"BOM",DATA_GOC!$D:$D,$B150,DATA_GOC!$F:$F,"Xuất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0" s="229" t="str">
        <f>IF($B150="","",IF(F$4&gt;DAY(EOMONTH(DATE($D$2,$B$2,1),0)),"",SUMIFS(DATA_GOC!$H:$H,DATA_GOC!$A:$A,"BOM",DATA_GOC!$D:$D,$B150,DATA_GOC!$F:$F,"Xuất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0" s="229" t="str">
        <f>IF($B150="","",IF(G$4&gt;DAY(EOMONTH(DATE($D$2,$B$2,1),0)),"",SUMIFS(DATA_GOC!$H:$H,DATA_GOC!$A:$A,"BOM",DATA_GOC!$D:$D,$B150,DATA_GOC!$F:$F,"Xuất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0" s="228" t="str">
        <f>IF($B150="","",IF(H$4&gt;DAY(EOMONTH(DATE($D$2,$B$2,1),0)),"",SUMIFS(DATA_GOC!$H:$H,DATA_GOC!$A:$A,"BOM",DATA_GOC!$D:$D,$B150,DATA_GOC!$F:$F,"Xuất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0" s="229" t="str">
        <f>IF($B150="","",IF(I$4&gt;DAY(EOMONTH(DATE($D$2,$B$2,1),0)),"",SUMIFS(DATA_GOC!$H:$H,DATA_GOC!$A:$A,"BOM",DATA_GOC!$D:$D,$B150,DATA_GOC!$F:$F,"Xuất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0" s="229" t="str">
        <f>IF($B150="","",IF(J$4&gt;DAY(EOMONTH(DATE($D$2,$B$2,1),0)),"",SUMIFS(DATA_GOC!$H:$H,DATA_GOC!$A:$A,"BOM",DATA_GOC!$D:$D,$B150,DATA_GOC!$F:$F,"Xuất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0" s="229" t="str">
        <f>IF($B150="","",IF(K$4&gt;DAY(EOMONTH(DATE($D$2,$B$2,1),0)),"",SUMIFS(DATA_GOC!$H:$H,DATA_GOC!$A:$A,"BOM",DATA_GOC!$D:$D,$B150,DATA_GOC!$F:$F,"Xuất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0" s="229" t="str">
        <f>IF($B150="","",IF(L$4&gt;DAY(EOMONTH(DATE($D$2,$B$2,1),0)),"",SUMIFS(DATA_GOC!$H:$H,DATA_GOC!$A:$A,"BOM",DATA_GOC!$D:$D,$B150,DATA_GOC!$F:$F,"Xuất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0" s="229" t="str">
        <f>IF($B150="","",IF(M$4&gt;DAY(EOMONTH(DATE($D$2,$B$2,1),0)),"",SUMIFS(DATA_GOC!$H:$H,DATA_GOC!$A:$A,"BOM",DATA_GOC!$D:$D,$B150,DATA_GOC!$F:$F,"Xuất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0" s="61" t="str">
        <f>IF($B150="","",IF(N$4&gt;DAY(EOMONTH(DATE($D$2,$B$2,1),0)),"",SUMIFS(DATA_GOC!$H:$H,DATA_GOC!$A:$A,"BOM",DATA_GOC!$D:$D,$B150,DATA_GOC!$F:$F,"Xuất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0" s="61" t="str">
        <f>IF($B150="","",IF(O$4&gt;DAY(EOMONTH(DATE($D$2,$B$2,1),0)),"",SUMIFS(DATA_GOC!$H:$H,DATA_GOC!$A:$A,"BOM",DATA_GOC!$D:$D,$B150,DATA_GOC!$F:$F,"Xuất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0" s="61" t="str">
        <f>IF($B150="","",IF(P$4&gt;DAY(EOMONTH(DATE($D$2,$B$2,1),0)),"",SUMIFS(DATA_GOC!$H:$H,DATA_GOC!$A:$A,"BOM",DATA_GOC!$D:$D,$B150,DATA_GOC!$F:$F,"Xuất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0" s="61" t="str">
        <f>IF($B150="","",IF(Q$4&gt;DAY(EOMONTH(DATE($D$2,$B$2,1),0)),"",SUMIFS(DATA_GOC!$H:$H,DATA_GOC!$A:$A,"BOM",DATA_GOC!$D:$D,$B150,DATA_GOC!$F:$F,"Xuất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0" s="61" t="str">
        <f>IF($B150="","",IF(R$4&gt;DAY(EOMONTH(DATE($D$2,$B$2,1),0)),"",SUMIFS(DATA_GOC!$H:$H,DATA_GOC!$A:$A,"BOM",DATA_GOC!$D:$D,$B150,DATA_GOC!$F:$F,"Xuất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0" s="61" t="str">
        <f>IF($B150="","",IF(S$4&gt;DAY(EOMONTH(DATE($D$2,$B$2,1),0)),"",SUMIFS(DATA_GOC!$H:$H,DATA_GOC!$A:$A,"BOM",DATA_GOC!$D:$D,$B150,DATA_GOC!$F:$F,"Xuất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0" s="229" t="str">
        <f>IF($B150="","",IF(T$4&gt;DAY(EOMONTH(DATE($D$2,$B$2,1),0)),"",SUMIFS(DATA_GOC!$H:$H,DATA_GOC!$A:$A,"BOM",DATA_GOC!$D:$D,$B150,DATA_GOC!$F:$F,"Xuất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0" s="229" t="str">
        <f>IF($B150="","",IF(U$4&gt;DAY(EOMONTH(DATE($D$2,$B$2,1),0)),"",SUMIFS(DATA_GOC!$H:$H,DATA_GOC!$A:$A,"BOM",DATA_GOC!$D:$D,$B150,DATA_GOC!$F:$F,"Xuất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0" s="229" t="str">
        <f>IF($B150="","",IF(V$4&gt;DAY(EOMONTH(DATE($D$2,$B$2,1),0)),"",SUMIFS(DATA_GOC!$H:$H,DATA_GOC!$A:$A,"BOM",DATA_GOC!$D:$D,$B150,DATA_GOC!$F:$F,"Xuất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0" s="61" t="str">
        <f>IF($B150="","",IF(W$4&gt;DAY(EOMONTH(DATE($D$2,$B$2,1),0)),"",SUMIFS(DATA_GOC!$H:$H,DATA_GOC!$A:$A,"BOM",DATA_GOC!$D:$D,$B150,DATA_GOC!$F:$F,"Xuất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0" s="229" t="str">
        <f>IF($B150="","",IF(X$4&gt;DAY(EOMONTH(DATE($D$2,$B$2,1),0)),"",SUMIFS(DATA_GOC!$H:$H,DATA_GOC!$A:$A,"BOM",DATA_GOC!$D:$D,$B150,DATA_GOC!$F:$F,"Xuất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0" s="229" t="str">
        <f>IF($B150="","",IF(Y$4&gt;DAY(EOMONTH(DATE($D$2,$B$2,1),0)),"",SUMIFS(DATA_GOC!$H:$H,DATA_GOC!$A:$A,"BOM",DATA_GOC!$D:$D,$B150,DATA_GOC!$F:$F,"Xuất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0" s="229" t="str">
        <f>IF($B150="","",IF(Z$4&gt;DAY(EOMONTH(DATE($D$2,$B$2,1),0)),"",SUMIFS(DATA_GOC!$H:$H,DATA_GOC!$A:$A,"BOM",DATA_GOC!$D:$D,$B150,DATA_GOC!$F:$F,"Xuất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0" s="229" t="str">
        <f>IF($B150="","",IF(AA$4&gt;DAY(EOMONTH(DATE($D$2,$B$2,1),0)),"",SUMIFS(DATA_GOC!$H:$H,DATA_GOC!$A:$A,"BOM",DATA_GOC!$D:$D,$B150,DATA_GOC!$F:$F,"Xuất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0" s="229" t="str">
        <f>IF($B150="","",IF(AB$4&gt;DAY(EOMONTH(DATE($D$2,$B$2,1),0)),"",SUMIFS(DATA_GOC!$H:$H,DATA_GOC!$A:$A,"BOM",DATA_GOC!$D:$D,$B150,DATA_GOC!$F:$F,"Xuất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0" s="61" t="str">
        <f>IF($B150="","",IF(AC$4&gt;DAY(EOMONTH(DATE($D$2,$B$2,1),0)),"",SUMIFS(DATA_GOC!$H:$H,DATA_GOC!$A:$A,"BOM",DATA_GOC!$D:$D,$B150,DATA_GOC!$F:$F,"Xuất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0" s="222" t="str">
        <f>IF($B150="","",IF(AD$4&gt;DAY(EOMONTH(DATE($D$2,$B$2,1),0)),"",SUMIFS(DATA_GOC!$H:$H,DATA_GOC!$A:$A,"BOM",DATA_GOC!$D:$D,$B150,DATA_GOC!$F:$F,"Xuất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0" s="222" t="str">
        <f>IF($B150="","",IF(AE$4&gt;DAY(EOMONTH(DATE($D$2,$B$2,1),0)),"",SUMIFS(DATA_GOC!$H:$H,DATA_GOC!$A:$A,"BOM",DATA_GOC!$D:$D,$B150,DATA_GOC!$F:$F,"Xuất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0" s="222" t="str">
        <f>IF($B150="","",IF(AF$4&gt;DAY(EOMONTH(DATE($D$2,$B$2,1),0)),"",SUMIFS(DATA_GOC!$H:$H,DATA_GOC!$A:$A,"BOM",DATA_GOC!$D:$D,$B150,DATA_GOC!$F:$F,"Xuất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0" s="222" t="str">
        <f>IF($B150="","",IF(AG$4&gt;DAY(EOMONTH(DATE($D$2,$B$2,1),0)),"",SUMIFS(DATA_GOC!$H:$H,DATA_GOC!$A:$A,"BOM",DATA_GOC!$D:$D,$B150,DATA_GOC!$F:$F,"Xuất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0" s="222" t="str">
        <f t="shared" si="2"/>
        <v/>
      </c>
      <c r="AI150" s="222" t="str">
        <f>IF($B150="","",SUMIFS(DATA_GOC!$H:$H,DATA_GOC!$A:$A,"BOM",DATA_GOC!$D:$D,$B150,DATA_GOC!$F:$F,"Bơm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0" s="222" t="str">
        <f t="shared" si="3"/>
        <v/>
      </c>
      <c r="AM150" s="222" t="str">
        <f>IF($B150="","",SUMIFS(DATA_GOC!$K:$K,DATA_GOC!$A:$A,"BOM",DATA_GOC!$D:$D,$B150,DATA_GOC!$G:$G,"DO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0" s="222" t="str">
        <f t="shared" si="4"/>
        <v/>
      </c>
      <c r="AO150" s="227" t="str">
        <f t="shared" si="5"/>
        <v/>
      </c>
      <c r="AP150" s="226" t="str">
        <f>IF($B150="","",IFERROR(AO150-(SUMIFS(DATA_GOC!$H:$H,DATA_GOC!$A:$A,"BOM",DATA_GOC!$D:$D,$B150,DATA_GOC!$F:$F,"Xuất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0" s="59">
        <v>4.0</v>
      </c>
      <c r="AR150" s="59">
        <v>2026.0</v>
      </c>
      <c r="AS150" s="59" t="s">
        <v>116</v>
      </c>
      <c r="AT150" s="59">
        <v>4480.47</v>
      </c>
      <c r="AU150" s="59">
        <v>290.0</v>
      </c>
      <c r="AV150" s="59">
        <v>4770.47</v>
      </c>
      <c r="AW150" s="59">
        <v>10100.0</v>
      </c>
      <c r="AX150" s="59">
        <v>47.2323762376238</v>
      </c>
      <c r="AY150" s="59">
        <v>0.0</v>
      </c>
      <c r="AZ150" s="59">
        <v>4770.47</v>
      </c>
      <c r="BA150" s="59">
        <v>0.0</v>
      </c>
      <c r="BB150" s="59">
        <v>0.0</v>
      </c>
      <c r="BC150" s="59" t="s">
        <v>505</v>
      </c>
    </row>
    <row r="151" ht="15.0" customHeight="1">
      <c r="A151" s="61" t="str">
        <f t="shared" si="1"/>
        <v/>
      </c>
      <c r="B151" s="228" t="str">
        <f t="array" ref="B151">IFERROR(INDEX(DANH_MUC!$E:$E,ROW()-1),"")</f>
        <v/>
      </c>
      <c r="C151" s="228" t="str">
        <f>IF($B151="","",IF(C$4&gt;DAY(EOMONTH(DATE($D$2,$B$2,1),0)),"",SUMIFS(DATA_GOC!$H:$H,DATA_GOC!$A:$A,"BOM",DATA_GOC!$D:$D,$B151,DATA_GOC!$F:$F,"Xuất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1" s="61" t="str">
        <f>IF($B151="","",IF(D$4&gt;DAY(EOMONTH(DATE($D$2,$B$2,1),0)),"",SUMIFS(DATA_GOC!$H:$H,DATA_GOC!$A:$A,"BOM",DATA_GOC!$D:$D,$B151,DATA_GOC!$F:$F,"Xuất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1" s="229" t="str">
        <f>IF($B151="","",IF(E$4&gt;DAY(EOMONTH(DATE($D$2,$B$2,1),0)),"",SUMIFS(DATA_GOC!$H:$H,DATA_GOC!$A:$A,"BOM",DATA_GOC!$D:$D,$B151,DATA_GOC!$F:$F,"Xuất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1" s="229" t="str">
        <f>IF($B151="","",IF(F$4&gt;DAY(EOMONTH(DATE($D$2,$B$2,1),0)),"",SUMIFS(DATA_GOC!$H:$H,DATA_GOC!$A:$A,"BOM",DATA_GOC!$D:$D,$B151,DATA_GOC!$F:$F,"Xuất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1" s="229" t="str">
        <f>IF($B151="","",IF(G$4&gt;DAY(EOMONTH(DATE($D$2,$B$2,1),0)),"",SUMIFS(DATA_GOC!$H:$H,DATA_GOC!$A:$A,"BOM",DATA_GOC!$D:$D,$B151,DATA_GOC!$F:$F,"Xuất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1" s="228" t="str">
        <f>IF($B151="","",IF(H$4&gt;DAY(EOMONTH(DATE($D$2,$B$2,1),0)),"",SUMIFS(DATA_GOC!$H:$H,DATA_GOC!$A:$A,"BOM",DATA_GOC!$D:$D,$B151,DATA_GOC!$F:$F,"Xuất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1" s="229" t="str">
        <f>IF($B151="","",IF(I$4&gt;DAY(EOMONTH(DATE($D$2,$B$2,1),0)),"",SUMIFS(DATA_GOC!$H:$H,DATA_GOC!$A:$A,"BOM",DATA_GOC!$D:$D,$B151,DATA_GOC!$F:$F,"Xuất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1" s="229" t="str">
        <f>IF($B151="","",IF(J$4&gt;DAY(EOMONTH(DATE($D$2,$B$2,1),0)),"",SUMIFS(DATA_GOC!$H:$H,DATA_GOC!$A:$A,"BOM",DATA_GOC!$D:$D,$B151,DATA_GOC!$F:$F,"Xuất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1" s="229" t="str">
        <f>IF($B151="","",IF(K$4&gt;DAY(EOMONTH(DATE($D$2,$B$2,1),0)),"",SUMIFS(DATA_GOC!$H:$H,DATA_GOC!$A:$A,"BOM",DATA_GOC!$D:$D,$B151,DATA_GOC!$F:$F,"Xuất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1" s="229" t="str">
        <f>IF($B151="","",IF(L$4&gt;DAY(EOMONTH(DATE($D$2,$B$2,1),0)),"",SUMIFS(DATA_GOC!$H:$H,DATA_GOC!$A:$A,"BOM",DATA_GOC!$D:$D,$B151,DATA_GOC!$F:$F,"Xuất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1" s="229" t="str">
        <f>IF($B151="","",IF(M$4&gt;DAY(EOMONTH(DATE($D$2,$B$2,1),0)),"",SUMIFS(DATA_GOC!$H:$H,DATA_GOC!$A:$A,"BOM",DATA_GOC!$D:$D,$B151,DATA_GOC!$F:$F,"Xuất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1" s="61" t="str">
        <f>IF($B151="","",IF(N$4&gt;DAY(EOMONTH(DATE($D$2,$B$2,1),0)),"",SUMIFS(DATA_GOC!$H:$H,DATA_GOC!$A:$A,"BOM",DATA_GOC!$D:$D,$B151,DATA_GOC!$F:$F,"Xuất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1" s="61" t="str">
        <f>IF($B151="","",IF(O$4&gt;DAY(EOMONTH(DATE($D$2,$B$2,1),0)),"",SUMIFS(DATA_GOC!$H:$H,DATA_GOC!$A:$A,"BOM",DATA_GOC!$D:$D,$B151,DATA_GOC!$F:$F,"Xuất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1" s="61" t="str">
        <f>IF($B151="","",IF(P$4&gt;DAY(EOMONTH(DATE($D$2,$B$2,1),0)),"",SUMIFS(DATA_GOC!$H:$H,DATA_GOC!$A:$A,"BOM",DATA_GOC!$D:$D,$B151,DATA_GOC!$F:$F,"Xuất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1" s="61" t="str">
        <f>IF($B151="","",IF(Q$4&gt;DAY(EOMONTH(DATE($D$2,$B$2,1),0)),"",SUMIFS(DATA_GOC!$H:$H,DATA_GOC!$A:$A,"BOM",DATA_GOC!$D:$D,$B151,DATA_GOC!$F:$F,"Xuất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1" s="61" t="str">
        <f>IF($B151="","",IF(R$4&gt;DAY(EOMONTH(DATE($D$2,$B$2,1),0)),"",SUMIFS(DATA_GOC!$H:$H,DATA_GOC!$A:$A,"BOM",DATA_GOC!$D:$D,$B151,DATA_GOC!$F:$F,"Xuất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1" s="61" t="str">
        <f>IF($B151="","",IF(S$4&gt;DAY(EOMONTH(DATE($D$2,$B$2,1),0)),"",SUMIFS(DATA_GOC!$H:$H,DATA_GOC!$A:$A,"BOM",DATA_GOC!$D:$D,$B151,DATA_GOC!$F:$F,"Xuất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1" s="229" t="str">
        <f>IF($B151="","",IF(T$4&gt;DAY(EOMONTH(DATE($D$2,$B$2,1),0)),"",SUMIFS(DATA_GOC!$H:$H,DATA_GOC!$A:$A,"BOM",DATA_GOC!$D:$D,$B151,DATA_GOC!$F:$F,"Xuất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1" s="229" t="str">
        <f>IF($B151="","",IF(U$4&gt;DAY(EOMONTH(DATE($D$2,$B$2,1),0)),"",SUMIFS(DATA_GOC!$H:$H,DATA_GOC!$A:$A,"BOM",DATA_GOC!$D:$D,$B151,DATA_GOC!$F:$F,"Xuất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1" s="229" t="str">
        <f>IF($B151="","",IF(V$4&gt;DAY(EOMONTH(DATE($D$2,$B$2,1),0)),"",SUMIFS(DATA_GOC!$H:$H,DATA_GOC!$A:$A,"BOM",DATA_GOC!$D:$D,$B151,DATA_GOC!$F:$F,"Xuất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1" s="61" t="str">
        <f>IF($B151="","",IF(W$4&gt;DAY(EOMONTH(DATE($D$2,$B$2,1),0)),"",SUMIFS(DATA_GOC!$H:$H,DATA_GOC!$A:$A,"BOM",DATA_GOC!$D:$D,$B151,DATA_GOC!$F:$F,"Xuất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1" s="229" t="str">
        <f>IF($B151="","",IF(X$4&gt;DAY(EOMONTH(DATE($D$2,$B$2,1),0)),"",SUMIFS(DATA_GOC!$H:$H,DATA_GOC!$A:$A,"BOM",DATA_GOC!$D:$D,$B151,DATA_GOC!$F:$F,"Xuất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1" s="229" t="str">
        <f>IF($B151="","",IF(Y$4&gt;DAY(EOMONTH(DATE($D$2,$B$2,1),0)),"",SUMIFS(DATA_GOC!$H:$H,DATA_GOC!$A:$A,"BOM",DATA_GOC!$D:$D,$B151,DATA_GOC!$F:$F,"Xuất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1" s="229" t="str">
        <f>IF($B151="","",IF(Z$4&gt;DAY(EOMONTH(DATE($D$2,$B$2,1),0)),"",SUMIFS(DATA_GOC!$H:$H,DATA_GOC!$A:$A,"BOM",DATA_GOC!$D:$D,$B151,DATA_GOC!$F:$F,"Xuất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1" s="229" t="str">
        <f>IF($B151="","",IF(AA$4&gt;DAY(EOMONTH(DATE($D$2,$B$2,1),0)),"",SUMIFS(DATA_GOC!$H:$H,DATA_GOC!$A:$A,"BOM",DATA_GOC!$D:$D,$B151,DATA_GOC!$F:$F,"Xuất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1" s="229" t="str">
        <f>IF($B151="","",IF(AB$4&gt;DAY(EOMONTH(DATE($D$2,$B$2,1),0)),"",SUMIFS(DATA_GOC!$H:$H,DATA_GOC!$A:$A,"BOM",DATA_GOC!$D:$D,$B151,DATA_GOC!$F:$F,"Xuất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1" s="61" t="str">
        <f>IF($B151="","",IF(AC$4&gt;DAY(EOMONTH(DATE($D$2,$B$2,1),0)),"",SUMIFS(DATA_GOC!$H:$H,DATA_GOC!$A:$A,"BOM",DATA_GOC!$D:$D,$B151,DATA_GOC!$F:$F,"Xuất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1" s="222" t="str">
        <f>IF($B151="","",IF(AD$4&gt;DAY(EOMONTH(DATE($D$2,$B$2,1),0)),"",SUMIFS(DATA_GOC!$H:$H,DATA_GOC!$A:$A,"BOM",DATA_GOC!$D:$D,$B151,DATA_GOC!$F:$F,"Xuất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1" s="222" t="str">
        <f>IF($B151="","",IF(AE$4&gt;DAY(EOMONTH(DATE($D$2,$B$2,1),0)),"",SUMIFS(DATA_GOC!$H:$H,DATA_GOC!$A:$A,"BOM",DATA_GOC!$D:$D,$B151,DATA_GOC!$F:$F,"Xuất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1" s="222" t="str">
        <f>IF($B151="","",IF(AF$4&gt;DAY(EOMONTH(DATE($D$2,$B$2,1),0)),"",SUMIFS(DATA_GOC!$H:$H,DATA_GOC!$A:$A,"BOM",DATA_GOC!$D:$D,$B151,DATA_GOC!$F:$F,"Xuất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1" s="222" t="str">
        <f>IF($B151="","",IF(AG$4&gt;DAY(EOMONTH(DATE($D$2,$B$2,1),0)),"",SUMIFS(DATA_GOC!$H:$H,DATA_GOC!$A:$A,"BOM",DATA_GOC!$D:$D,$B151,DATA_GOC!$F:$F,"Xuất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1" s="222" t="str">
        <f t="shared" si="2"/>
        <v/>
      </c>
      <c r="AI151" s="222" t="str">
        <f>IF($B151="","",SUMIFS(DATA_GOC!$H:$H,DATA_GOC!$A:$A,"BOM",DATA_GOC!$D:$D,$B151,DATA_GOC!$F:$F,"Bơm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1" s="222" t="str">
        <f t="shared" si="3"/>
        <v/>
      </c>
      <c r="AM151" s="222" t="str">
        <f>IF($B151="","",SUMIFS(DATA_GOC!$K:$K,DATA_GOC!$A:$A,"BOM",DATA_GOC!$D:$D,$B151,DATA_GOC!$G:$G,"DO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1" s="222" t="str">
        <f t="shared" si="4"/>
        <v/>
      </c>
      <c r="AO151" s="227" t="str">
        <f t="shared" si="5"/>
        <v/>
      </c>
      <c r="AP151" s="226" t="str">
        <f>IF($B151="","",IFERROR(AO151-(SUMIFS(DATA_GOC!$H:$H,DATA_GOC!$A:$A,"BOM",DATA_GOC!$D:$D,$B151,DATA_GOC!$F:$F,"Xuất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1" s="59">
        <v>4.0</v>
      </c>
      <c r="AR151" s="59">
        <v>2026.0</v>
      </c>
      <c r="AS151" s="59" t="s">
        <v>136</v>
      </c>
      <c r="AT151" s="59">
        <v>231.39</v>
      </c>
      <c r="AU151" s="59">
        <v>0.0</v>
      </c>
      <c r="AV151" s="59">
        <v>231.39</v>
      </c>
      <c r="AW151" s="59">
        <v>2962.0</v>
      </c>
      <c r="AX151" s="59">
        <v>7.81195138419987</v>
      </c>
      <c r="AY151" s="59">
        <v>60.53</v>
      </c>
      <c r="AZ151" s="59">
        <v>170.86</v>
      </c>
      <c r="BA151" s="59">
        <v>0.53</v>
      </c>
      <c r="BB151" s="59">
        <v>0.0</v>
      </c>
      <c r="BC151" s="59" t="s">
        <v>506</v>
      </c>
    </row>
    <row r="152" ht="15.0" customHeight="1">
      <c r="A152" s="61" t="str">
        <f t="shared" si="1"/>
        <v/>
      </c>
      <c r="B152" s="228" t="str">
        <f t="array" ref="B152">IFERROR(INDEX(DANH_MUC!$E:$E,ROW()-1),"")</f>
        <v/>
      </c>
      <c r="C152" s="228" t="str">
        <f>IF($B152="","",IF(C$4&gt;DAY(EOMONTH(DATE($D$2,$B$2,1),0)),"",SUMIFS(DATA_GOC!$H:$H,DATA_GOC!$A:$A,"BOM",DATA_GOC!$D:$D,$B152,DATA_GOC!$F:$F,"Xuất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2" s="61" t="str">
        <f>IF($B152="","",IF(D$4&gt;DAY(EOMONTH(DATE($D$2,$B$2,1),0)),"",SUMIFS(DATA_GOC!$H:$H,DATA_GOC!$A:$A,"BOM",DATA_GOC!$D:$D,$B152,DATA_GOC!$F:$F,"Xuất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2" s="229" t="str">
        <f>IF($B152="","",IF(E$4&gt;DAY(EOMONTH(DATE($D$2,$B$2,1),0)),"",SUMIFS(DATA_GOC!$H:$H,DATA_GOC!$A:$A,"BOM",DATA_GOC!$D:$D,$B152,DATA_GOC!$F:$F,"Xuất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2" s="229" t="str">
        <f>IF($B152="","",IF(F$4&gt;DAY(EOMONTH(DATE($D$2,$B$2,1),0)),"",SUMIFS(DATA_GOC!$H:$H,DATA_GOC!$A:$A,"BOM",DATA_GOC!$D:$D,$B152,DATA_GOC!$F:$F,"Xuất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2" s="229" t="str">
        <f>IF($B152="","",IF(G$4&gt;DAY(EOMONTH(DATE($D$2,$B$2,1),0)),"",SUMIFS(DATA_GOC!$H:$H,DATA_GOC!$A:$A,"BOM",DATA_GOC!$D:$D,$B152,DATA_GOC!$F:$F,"Xuất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2" s="228" t="str">
        <f>IF($B152="","",IF(H$4&gt;DAY(EOMONTH(DATE($D$2,$B$2,1),0)),"",SUMIFS(DATA_GOC!$H:$H,DATA_GOC!$A:$A,"BOM",DATA_GOC!$D:$D,$B152,DATA_GOC!$F:$F,"Xuất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2" s="229" t="str">
        <f>IF($B152="","",IF(I$4&gt;DAY(EOMONTH(DATE($D$2,$B$2,1),0)),"",SUMIFS(DATA_GOC!$H:$H,DATA_GOC!$A:$A,"BOM",DATA_GOC!$D:$D,$B152,DATA_GOC!$F:$F,"Xuất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2" s="229" t="str">
        <f>IF($B152="","",IF(J$4&gt;DAY(EOMONTH(DATE($D$2,$B$2,1),0)),"",SUMIFS(DATA_GOC!$H:$H,DATA_GOC!$A:$A,"BOM",DATA_GOC!$D:$D,$B152,DATA_GOC!$F:$F,"Xuất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2" s="229" t="str">
        <f>IF($B152="","",IF(K$4&gt;DAY(EOMONTH(DATE($D$2,$B$2,1),0)),"",SUMIFS(DATA_GOC!$H:$H,DATA_GOC!$A:$A,"BOM",DATA_GOC!$D:$D,$B152,DATA_GOC!$F:$F,"Xuất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2" s="229" t="str">
        <f>IF($B152="","",IF(L$4&gt;DAY(EOMONTH(DATE($D$2,$B$2,1),0)),"",SUMIFS(DATA_GOC!$H:$H,DATA_GOC!$A:$A,"BOM",DATA_GOC!$D:$D,$B152,DATA_GOC!$F:$F,"Xuất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2" s="229" t="str">
        <f>IF($B152="","",IF(M$4&gt;DAY(EOMONTH(DATE($D$2,$B$2,1),0)),"",SUMIFS(DATA_GOC!$H:$H,DATA_GOC!$A:$A,"BOM",DATA_GOC!$D:$D,$B152,DATA_GOC!$F:$F,"Xuất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2" s="61" t="str">
        <f>IF($B152="","",IF(N$4&gt;DAY(EOMONTH(DATE($D$2,$B$2,1),0)),"",SUMIFS(DATA_GOC!$H:$H,DATA_GOC!$A:$A,"BOM",DATA_GOC!$D:$D,$B152,DATA_GOC!$F:$F,"Xuất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2" s="61" t="str">
        <f>IF($B152="","",IF(O$4&gt;DAY(EOMONTH(DATE($D$2,$B$2,1),0)),"",SUMIFS(DATA_GOC!$H:$H,DATA_GOC!$A:$A,"BOM",DATA_GOC!$D:$D,$B152,DATA_GOC!$F:$F,"Xuất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2" s="61" t="str">
        <f>IF($B152="","",IF(P$4&gt;DAY(EOMONTH(DATE($D$2,$B$2,1),0)),"",SUMIFS(DATA_GOC!$H:$H,DATA_GOC!$A:$A,"BOM",DATA_GOC!$D:$D,$B152,DATA_GOC!$F:$F,"Xuất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2" s="61" t="str">
        <f>IF($B152="","",IF(Q$4&gt;DAY(EOMONTH(DATE($D$2,$B$2,1),0)),"",SUMIFS(DATA_GOC!$H:$H,DATA_GOC!$A:$A,"BOM",DATA_GOC!$D:$D,$B152,DATA_GOC!$F:$F,"Xuất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2" s="61" t="str">
        <f>IF($B152="","",IF(R$4&gt;DAY(EOMONTH(DATE($D$2,$B$2,1),0)),"",SUMIFS(DATA_GOC!$H:$H,DATA_GOC!$A:$A,"BOM",DATA_GOC!$D:$D,$B152,DATA_GOC!$F:$F,"Xuất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2" s="61" t="str">
        <f>IF($B152="","",IF(S$4&gt;DAY(EOMONTH(DATE($D$2,$B$2,1),0)),"",SUMIFS(DATA_GOC!$H:$H,DATA_GOC!$A:$A,"BOM",DATA_GOC!$D:$D,$B152,DATA_GOC!$F:$F,"Xuất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2" s="229" t="str">
        <f>IF($B152="","",IF(T$4&gt;DAY(EOMONTH(DATE($D$2,$B$2,1),0)),"",SUMIFS(DATA_GOC!$H:$H,DATA_GOC!$A:$A,"BOM",DATA_GOC!$D:$D,$B152,DATA_GOC!$F:$F,"Xuất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2" s="229" t="str">
        <f>IF($B152="","",IF(U$4&gt;DAY(EOMONTH(DATE($D$2,$B$2,1),0)),"",SUMIFS(DATA_GOC!$H:$H,DATA_GOC!$A:$A,"BOM",DATA_GOC!$D:$D,$B152,DATA_GOC!$F:$F,"Xuất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2" s="229" t="str">
        <f>IF($B152="","",IF(V$4&gt;DAY(EOMONTH(DATE($D$2,$B$2,1),0)),"",SUMIFS(DATA_GOC!$H:$H,DATA_GOC!$A:$A,"BOM",DATA_GOC!$D:$D,$B152,DATA_GOC!$F:$F,"Xuất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2" s="61" t="str">
        <f>IF($B152="","",IF(W$4&gt;DAY(EOMONTH(DATE($D$2,$B$2,1),0)),"",SUMIFS(DATA_GOC!$H:$H,DATA_GOC!$A:$A,"BOM",DATA_GOC!$D:$D,$B152,DATA_GOC!$F:$F,"Xuất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2" s="229" t="str">
        <f>IF($B152="","",IF(X$4&gt;DAY(EOMONTH(DATE($D$2,$B$2,1),0)),"",SUMIFS(DATA_GOC!$H:$H,DATA_GOC!$A:$A,"BOM",DATA_GOC!$D:$D,$B152,DATA_GOC!$F:$F,"Xuất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2" s="229" t="str">
        <f>IF($B152="","",IF(Y$4&gt;DAY(EOMONTH(DATE($D$2,$B$2,1),0)),"",SUMIFS(DATA_GOC!$H:$H,DATA_GOC!$A:$A,"BOM",DATA_GOC!$D:$D,$B152,DATA_GOC!$F:$F,"Xuất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2" s="229" t="str">
        <f>IF($B152="","",IF(Z$4&gt;DAY(EOMONTH(DATE($D$2,$B$2,1),0)),"",SUMIFS(DATA_GOC!$H:$H,DATA_GOC!$A:$A,"BOM",DATA_GOC!$D:$D,$B152,DATA_GOC!$F:$F,"Xuất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2" s="229" t="str">
        <f>IF($B152="","",IF(AA$4&gt;DAY(EOMONTH(DATE($D$2,$B$2,1),0)),"",SUMIFS(DATA_GOC!$H:$H,DATA_GOC!$A:$A,"BOM",DATA_GOC!$D:$D,$B152,DATA_GOC!$F:$F,"Xuất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2" s="229" t="str">
        <f>IF($B152="","",IF(AB$4&gt;DAY(EOMONTH(DATE($D$2,$B$2,1),0)),"",SUMIFS(DATA_GOC!$H:$H,DATA_GOC!$A:$A,"BOM",DATA_GOC!$D:$D,$B152,DATA_GOC!$F:$F,"Xuất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2" s="61" t="str">
        <f>IF($B152="","",IF(AC$4&gt;DAY(EOMONTH(DATE($D$2,$B$2,1),0)),"",SUMIFS(DATA_GOC!$H:$H,DATA_GOC!$A:$A,"BOM",DATA_GOC!$D:$D,$B152,DATA_GOC!$F:$F,"Xuất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2" s="222" t="str">
        <f>IF($B152="","",IF(AD$4&gt;DAY(EOMONTH(DATE($D$2,$B$2,1),0)),"",SUMIFS(DATA_GOC!$H:$H,DATA_GOC!$A:$A,"BOM",DATA_GOC!$D:$D,$B152,DATA_GOC!$F:$F,"Xuất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2" s="222" t="str">
        <f>IF($B152="","",IF(AE$4&gt;DAY(EOMONTH(DATE($D$2,$B$2,1),0)),"",SUMIFS(DATA_GOC!$H:$H,DATA_GOC!$A:$A,"BOM",DATA_GOC!$D:$D,$B152,DATA_GOC!$F:$F,"Xuất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2" s="222" t="str">
        <f>IF($B152="","",IF(AF$4&gt;DAY(EOMONTH(DATE($D$2,$B$2,1),0)),"",SUMIFS(DATA_GOC!$H:$H,DATA_GOC!$A:$A,"BOM",DATA_GOC!$D:$D,$B152,DATA_GOC!$F:$F,"Xuất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2" s="222" t="str">
        <f>IF($B152="","",IF(AG$4&gt;DAY(EOMONTH(DATE($D$2,$B$2,1),0)),"",SUMIFS(DATA_GOC!$H:$H,DATA_GOC!$A:$A,"BOM",DATA_GOC!$D:$D,$B152,DATA_GOC!$F:$F,"Xuất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2" s="222" t="str">
        <f t="shared" si="2"/>
        <v/>
      </c>
      <c r="AI152" s="222" t="str">
        <f>IF($B152="","",SUMIFS(DATA_GOC!$H:$H,DATA_GOC!$A:$A,"BOM",DATA_GOC!$D:$D,$B152,DATA_GOC!$F:$F,"Bơm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2" s="222" t="str">
        <f t="shared" si="3"/>
        <v/>
      </c>
      <c r="AM152" s="222" t="str">
        <f>IF($B152="","",SUMIFS(DATA_GOC!$K:$K,DATA_GOC!$A:$A,"BOM",DATA_GOC!$D:$D,$B152,DATA_GOC!$G:$G,"DO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2" s="222" t="str">
        <f t="shared" si="4"/>
        <v/>
      </c>
      <c r="AO152" s="227" t="str">
        <f t="shared" si="5"/>
        <v/>
      </c>
      <c r="AP152" s="226" t="str">
        <f>IF($B152="","",IFERROR(AO152-(SUMIFS(DATA_GOC!$H:$H,DATA_GOC!$A:$A,"BOM",DATA_GOC!$D:$D,$B152,DATA_GOC!$F:$F,"Xuất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2" s="59">
        <v>4.0</v>
      </c>
      <c r="AR152" s="59">
        <v>2026.0</v>
      </c>
      <c r="AS152" s="59" t="s">
        <v>135</v>
      </c>
      <c r="AT152" s="59">
        <v>47.8</v>
      </c>
      <c r="AU152" s="59">
        <v>0.0</v>
      </c>
      <c r="AV152" s="59">
        <v>47.8</v>
      </c>
      <c r="AW152" s="59">
        <v>545.0</v>
      </c>
      <c r="AX152" s="59">
        <v>8.77064220183486</v>
      </c>
      <c r="AY152" s="59">
        <v>0.0</v>
      </c>
      <c r="AZ152" s="59">
        <v>47.8</v>
      </c>
      <c r="BA152" s="59">
        <v>0.0</v>
      </c>
      <c r="BB152" s="59">
        <v>0.0</v>
      </c>
      <c r="BC152" s="59" t="s">
        <v>507</v>
      </c>
    </row>
    <row r="153" ht="15.0" customHeight="1">
      <c r="A153" s="61" t="str">
        <f t="shared" si="1"/>
        <v/>
      </c>
      <c r="B153" s="228" t="str">
        <f t="array" ref="B153">IFERROR(INDEX(DANH_MUC!$E:$E,ROW()-1),"")</f>
        <v/>
      </c>
      <c r="C153" s="228" t="str">
        <f>IF($B153="","",IF(C$4&gt;DAY(EOMONTH(DATE($D$2,$B$2,1),0)),"",SUMIFS(DATA_GOC!$H:$H,DATA_GOC!$A:$A,"BOM",DATA_GOC!$D:$D,$B153,DATA_GOC!$F:$F,"Xuất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3" s="61" t="str">
        <f>IF($B153="","",IF(D$4&gt;DAY(EOMONTH(DATE($D$2,$B$2,1),0)),"",SUMIFS(DATA_GOC!$H:$H,DATA_GOC!$A:$A,"BOM",DATA_GOC!$D:$D,$B153,DATA_GOC!$F:$F,"Xuất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3" s="229" t="str">
        <f>IF($B153="","",IF(E$4&gt;DAY(EOMONTH(DATE($D$2,$B$2,1),0)),"",SUMIFS(DATA_GOC!$H:$H,DATA_GOC!$A:$A,"BOM",DATA_GOC!$D:$D,$B153,DATA_GOC!$F:$F,"Xuất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3" s="229" t="str">
        <f>IF($B153="","",IF(F$4&gt;DAY(EOMONTH(DATE($D$2,$B$2,1),0)),"",SUMIFS(DATA_GOC!$H:$H,DATA_GOC!$A:$A,"BOM",DATA_GOC!$D:$D,$B153,DATA_GOC!$F:$F,"Xuất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3" s="229" t="str">
        <f>IF($B153="","",IF(G$4&gt;DAY(EOMONTH(DATE($D$2,$B$2,1),0)),"",SUMIFS(DATA_GOC!$H:$H,DATA_GOC!$A:$A,"BOM",DATA_GOC!$D:$D,$B153,DATA_GOC!$F:$F,"Xuất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3" s="228" t="str">
        <f>IF($B153="","",IF(H$4&gt;DAY(EOMONTH(DATE($D$2,$B$2,1),0)),"",SUMIFS(DATA_GOC!$H:$H,DATA_GOC!$A:$A,"BOM",DATA_GOC!$D:$D,$B153,DATA_GOC!$F:$F,"Xuất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3" s="229" t="str">
        <f>IF($B153="","",IF(I$4&gt;DAY(EOMONTH(DATE($D$2,$B$2,1),0)),"",SUMIFS(DATA_GOC!$H:$H,DATA_GOC!$A:$A,"BOM",DATA_GOC!$D:$D,$B153,DATA_GOC!$F:$F,"Xuất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3" s="229" t="str">
        <f>IF($B153="","",IF(J$4&gt;DAY(EOMONTH(DATE($D$2,$B$2,1),0)),"",SUMIFS(DATA_GOC!$H:$H,DATA_GOC!$A:$A,"BOM",DATA_GOC!$D:$D,$B153,DATA_GOC!$F:$F,"Xuất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3" s="229" t="str">
        <f>IF($B153="","",IF(K$4&gt;DAY(EOMONTH(DATE($D$2,$B$2,1),0)),"",SUMIFS(DATA_GOC!$H:$H,DATA_GOC!$A:$A,"BOM",DATA_GOC!$D:$D,$B153,DATA_GOC!$F:$F,"Xuất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3" s="229" t="str">
        <f>IF($B153="","",IF(L$4&gt;DAY(EOMONTH(DATE($D$2,$B$2,1),0)),"",SUMIFS(DATA_GOC!$H:$H,DATA_GOC!$A:$A,"BOM",DATA_GOC!$D:$D,$B153,DATA_GOC!$F:$F,"Xuất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3" s="229" t="str">
        <f>IF($B153="","",IF(M$4&gt;DAY(EOMONTH(DATE($D$2,$B$2,1),0)),"",SUMIFS(DATA_GOC!$H:$H,DATA_GOC!$A:$A,"BOM",DATA_GOC!$D:$D,$B153,DATA_GOC!$F:$F,"Xuất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3" s="61" t="str">
        <f>IF($B153="","",IF(N$4&gt;DAY(EOMONTH(DATE($D$2,$B$2,1),0)),"",SUMIFS(DATA_GOC!$H:$H,DATA_GOC!$A:$A,"BOM",DATA_GOC!$D:$D,$B153,DATA_GOC!$F:$F,"Xuất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3" s="61" t="str">
        <f>IF($B153="","",IF(O$4&gt;DAY(EOMONTH(DATE($D$2,$B$2,1),0)),"",SUMIFS(DATA_GOC!$H:$H,DATA_GOC!$A:$A,"BOM",DATA_GOC!$D:$D,$B153,DATA_GOC!$F:$F,"Xuất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3" s="61" t="str">
        <f>IF($B153="","",IF(P$4&gt;DAY(EOMONTH(DATE($D$2,$B$2,1),0)),"",SUMIFS(DATA_GOC!$H:$H,DATA_GOC!$A:$A,"BOM",DATA_GOC!$D:$D,$B153,DATA_GOC!$F:$F,"Xuất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3" s="61" t="str">
        <f>IF($B153="","",IF(Q$4&gt;DAY(EOMONTH(DATE($D$2,$B$2,1),0)),"",SUMIFS(DATA_GOC!$H:$H,DATA_GOC!$A:$A,"BOM",DATA_GOC!$D:$D,$B153,DATA_GOC!$F:$F,"Xuất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3" s="61" t="str">
        <f>IF($B153="","",IF(R$4&gt;DAY(EOMONTH(DATE($D$2,$B$2,1),0)),"",SUMIFS(DATA_GOC!$H:$H,DATA_GOC!$A:$A,"BOM",DATA_GOC!$D:$D,$B153,DATA_GOC!$F:$F,"Xuất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3" s="61" t="str">
        <f>IF($B153="","",IF(S$4&gt;DAY(EOMONTH(DATE($D$2,$B$2,1),0)),"",SUMIFS(DATA_GOC!$H:$H,DATA_GOC!$A:$A,"BOM",DATA_GOC!$D:$D,$B153,DATA_GOC!$F:$F,"Xuất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3" s="229" t="str">
        <f>IF($B153="","",IF(T$4&gt;DAY(EOMONTH(DATE($D$2,$B$2,1),0)),"",SUMIFS(DATA_GOC!$H:$H,DATA_GOC!$A:$A,"BOM",DATA_GOC!$D:$D,$B153,DATA_GOC!$F:$F,"Xuất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3" s="229" t="str">
        <f>IF($B153="","",IF(U$4&gt;DAY(EOMONTH(DATE($D$2,$B$2,1),0)),"",SUMIFS(DATA_GOC!$H:$H,DATA_GOC!$A:$A,"BOM",DATA_GOC!$D:$D,$B153,DATA_GOC!$F:$F,"Xuất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3" s="229" t="str">
        <f>IF($B153="","",IF(V$4&gt;DAY(EOMONTH(DATE($D$2,$B$2,1),0)),"",SUMIFS(DATA_GOC!$H:$H,DATA_GOC!$A:$A,"BOM",DATA_GOC!$D:$D,$B153,DATA_GOC!$F:$F,"Xuất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3" s="61" t="str">
        <f>IF($B153="","",IF(W$4&gt;DAY(EOMONTH(DATE($D$2,$B$2,1),0)),"",SUMIFS(DATA_GOC!$H:$H,DATA_GOC!$A:$A,"BOM",DATA_GOC!$D:$D,$B153,DATA_GOC!$F:$F,"Xuất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3" s="229" t="str">
        <f>IF($B153="","",IF(X$4&gt;DAY(EOMONTH(DATE($D$2,$B$2,1),0)),"",SUMIFS(DATA_GOC!$H:$H,DATA_GOC!$A:$A,"BOM",DATA_GOC!$D:$D,$B153,DATA_GOC!$F:$F,"Xuất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3" s="229" t="str">
        <f>IF($B153="","",IF(Y$4&gt;DAY(EOMONTH(DATE($D$2,$B$2,1),0)),"",SUMIFS(DATA_GOC!$H:$H,DATA_GOC!$A:$A,"BOM",DATA_GOC!$D:$D,$B153,DATA_GOC!$F:$F,"Xuất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3" s="229" t="str">
        <f>IF($B153="","",IF(Z$4&gt;DAY(EOMONTH(DATE($D$2,$B$2,1),0)),"",SUMIFS(DATA_GOC!$H:$H,DATA_GOC!$A:$A,"BOM",DATA_GOC!$D:$D,$B153,DATA_GOC!$F:$F,"Xuất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3" s="229" t="str">
        <f>IF($B153="","",IF(AA$4&gt;DAY(EOMONTH(DATE($D$2,$B$2,1),0)),"",SUMIFS(DATA_GOC!$H:$H,DATA_GOC!$A:$A,"BOM",DATA_GOC!$D:$D,$B153,DATA_GOC!$F:$F,"Xuất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3" s="229" t="str">
        <f>IF($B153="","",IF(AB$4&gt;DAY(EOMONTH(DATE($D$2,$B$2,1),0)),"",SUMIFS(DATA_GOC!$H:$H,DATA_GOC!$A:$A,"BOM",DATA_GOC!$D:$D,$B153,DATA_GOC!$F:$F,"Xuất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3" s="61" t="str">
        <f>IF($B153="","",IF(AC$4&gt;DAY(EOMONTH(DATE($D$2,$B$2,1),0)),"",SUMIFS(DATA_GOC!$H:$H,DATA_GOC!$A:$A,"BOM",DATA_GOC!$D:$D,$B153,DATA_GOC!$F:$F,"Xuất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3" s="222" t="str">
        <f>IF($B153="","",IF(AD$4&gt;DAY(EOMONTH(DATE($D$2,$B$2,1),0)),"",SUMIFS(DATA_GOC!$H:$H,DATA_GOC!$A:$A,"BOM",DATA_GOC!$D:$D,$B153,DATA_GOC!$F:$F,"Xuất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3" s="222" t="str">
        <f>IF($B153="","",IF(AE$4&gt;DAY(EOMONTH(DATE($D$2,$B$2,1),0)),"",SUMIFS(DATA_GOC!$H:$H,DATA_GOC!$A:$A,"BOM",DATA_GOC!$D:$D,$B153,DATA_GOC!$F:$F,"Xuất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3" s="222" t="str">
        <f>IF($B153="","",IF(AF$4&gt;DAY(EOMONTH(DATE($D$2,$B$2,1),0)),"",SUMIFS(DATA_GOC!$H:$H,DATA_GOC!$A:$A,"BOM",DATA_GOC!$D:$D,$B153,DATA_GOC!$F:$F,"Xuất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3" s="222" t="str">
        <f>IF($B153="","",IF(AG$4&gt;DAY(EOMONTH(DATE($D$2,$B$2,1),0)),"",SUMIFS(DATA_GOC!$H:$H,DATA_GOC!$A:$A,"BOM",DATA_GOC!$D:$D,$B153,DATA_GOC!$F:$F,"Xuất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3" s="222" t="str">
        <f t="shared" si="2"/>
        <v/>
      </c>
      <c r="AI153" s="222" t="str">
        <f>IF($B153="","",SUMIFS(DATA_GOC!$H:$H,DATA_GOC!$A:$A,"BOM",DATA_GOC!$D:$D,$B153,DATA_GOC!$F:$F,"Bơm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3" s="222" t="str">
        <f t="shared" si="3"/>
        <v/>
      </c>
      <c r="AM153" s="222" t="str">
        <f>IF($B153="","",SUMIFS(DATA_GOC!$K:$K,DATA_GOC!$A:$A,"BOM",DATA_GOC!$D:$D,$B153,DATA_GOC!$G:$G,"DO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3" s="222" t="str">
        <f t="shared" si="4"/>
        <v/>
      </c>
      <c r="AO153" s="227" t="str">
        <f t="shared" si="5"/>
        <v/>
      </c>
      <c r="AP153" s="226" t="str">
        <f>IF($B153="","",IFERROR(AO153-(SUMIFS(DATA_GOC!$H:$H,DATA_GOC!$A:$A,"BOM",DATA_GOC!$D:$D,$B153,DATA_GOC!$F:$F,"Xuất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3" s="59">
        <v>4.0</v>
      </c>
      <c r="AR153" s="59">
        <v>2026.0</v>
      </c>
      <c r="AS153" s="59" t="s">
        <v>91</v>
      </c>
      <c r="AT153" s="59">
        <v>127.13</v>
      </c>
      <c r="AU153" s="59">
        <v>0.0</v>
      </c>
      <c r="AV153" s="59">
        <v>127.13</v>
      </c>
      <c r="AW153" s="59">
        <v>1902.0</v>
      </c>
      <c r="AX153" s="59">
        <v>6.68401682439537</v>
      </c>
      <c r="AY153" s="59">
        <v>40.36</v>
      </c>
      <c r="AZ153" s="59">
        <v>86.77</v>
      </c>
      <c r="BA153" s="59">
        <v>0.36</v>
      </c>
      <c r="BB153" s="59">
        <v>0.0</v>
      </c>
      <c r="BC153" s="59" t="s">
        <v>508</v>
      </c>
    </row>
    <row r="154" ht="15.0" customHeight="1">
      <c r="A154" s="61" t="str">
        <f t="shared" si="1"/>
        <v/>
      </c>
      <c r="B154" s="228" t="str">
        <f t="array" ref="B154">IFERROR(INDEX(DANH_MUC!$E:$E,ROW()-1),"")</f>
        <v/>
      </c>
      <c r="C154" s="228" t="str">
        <f>IF($B154="","",IF(C$4&gt;DAY(EOMONTH(DATE($D$2,$B$2,1),0)),"",SUMIFS(DATA_GOC!$H:$H,DATA_GOC!$A:$A,"BOM",DATA_GOC!$D:$D,$B154,DATA_GOC!$F:$F,"Xuất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4" s="61" t="str">
        <f>IF($B154="","",IF(D$4&gt;DAY(EOMONTH(DATE($D$2,$B$2,1),0)),"",SUMIFS(DATA_GOC!$H:$H,DATA_GOC!$A:$A,"BOM",DATA_GOC!$D:$D,$B154,DATA_GOC!$F:$F,"Xuất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4" s="229" t="str">
        <f>IF($B154="","",IF(E$4&gt;DAY(EOMONTH(DATE($D$2,$B$2,1),0)),"",SUMIFS(DATA_GOC!$H:$H,DATA_GOC!$A:$A,"BOM",DATA_GOC!$D:$D,$B154,DATA_GOC!$F:$F,"Xuất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4" s="229" t="str">
        <f>IF($B154="","",IF(F$4&gt;DAY(EOMONTH(DATE($D$2,$B$2,1),0)),"",SUMIFS(DATA_GOC!$H:$H,DATA_GOC!$A:$A,"BOM",DATA_GOC!$D:$D,$B154,DATA_GOC!$F:$F,"Xuất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4" s="229" t="str">
        <f>IF($B154="","",IF(G$4&gt;DAY(EOMONTH(DATE($D$2,$B$2,1),0)),"",SUMIFS(DATA_GOC!$H:$H,DATA_GOC!$A:$A,"BOM",DATA_GOC!$D:$D,$B154,DATA_GOC!$F:$F,"Xuất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4" s="228" t="str">
        <f>IF($B154="","",IF(H$4&gt;DAY(EOMONTH(DATE($D$2,$B$2,1),0)),"",SUMIFS(DATA_GOC!$H:$H,DATA_GOC!$A:$A,"BOM",DATA_GOC!$D:$D,$B154,DATA_GOC!$F:$F,"Xuất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4" s="229" t="str">
        <f>IF($B154="","",IF(I$4&gt;DAY(EOMONTH(DATE($D$2,$B$2,1),0)),"",SUMIFS(DATA_GOC!$H:$H,DATA_GOC!$A:$A,"BOM",DATA_GOC!$D:$D,$B154,DATA_GOC!$F:$F,"Xuất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4" s="229" t="str">
        <f>IF($B154="","",IF(J$4&gt;DAY(EOMONTH(DATE($D$2,$B$2,1),0)),"",SUMIFS(DATA_GOC!$H:$H,DATA_GOC!$A:$A,"BOM",DATA_GOC!$D:$D,$B154,DATA_GOC!$F:$F,"Xuất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4" s="229" t="str">
        <f>IF($B154="","",IF(K$4&gt;DAY(EOMONTH(DATE($D$2,$B$2,1),0)),"",SUMIFS(DATA_GOC!$H:$H,DATA_GOC!$A:$A,"BOM",DATA_GOC!$D:$D,$B154,DATA_GOC!$F:$F,"Xuất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4" s="229" t="str">
        <f>IF($B154="","",IF(L$4&gt;DAY(EOMONTH(DATE($D$2,$B$2,1),0)),"",SUMIFS(DATA_GOC!$H:$H,DATA_GOC!$A:$A,"BOM",DATA_GOC!$D:$D,$B154,DATA_GOC!$F:$F,"Xuất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4" s="229" t="str">
        <f>IF($B154="","",IF(M$4&gt;DAY(EOMONTH(DATE($D$2,$B$2,1),0)),"",SUMIFS(DATA_GOC!$H:$H,DATA_GOC!$A:$A,"BOM",DATA_GOC!$D:$D,$B154,DATA_GOC!$F:$F,"Xuất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4" s="61" t="str">
        <f>IF($B154="","",IF(N$4&gt;DAY(EOMONTH(DATE($D$2,$B$2,1),0)),"",SUMIFS(DATA_GOC!$H:$H,DATA_GOC!$A:$A,"BOM",DATA_GOC!$D:$D,$B154,DATA_GOC!$F:$F,"Xuất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4" s="61" t="str">
        <f>IF($B154="","",IF(O$4&gt;DAY(EOMONTH(DATE($D$2,$B$2,1),0)),"",SUMIFS(DATA_GOC!$H:$H,DATA_GOC!$A:$A,"BOM",DATA_GOC!$D:$D,$B154,DATA_GOC!$F:$F,"Xuất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4" s="61" t="str">
        <f>IF($B154="","",IF(P$4&gt;DAY(EOMONTH(DATE($D$2,$B$2,1),0)),"",SUMIFS(DATA_GOC!$H:$H,DATA_GOC!$A:$A,"BOM",DATA_GOC!$D:$D,$B154,DATA_GOC!$F:$F,"Xuất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4" s="61" t="str">
        <f>IF($B154="","",IF(Q$4&gt;DAY(EOMONTH(DATE($D$2,$B$2,1),0)),"",SUMIFS(DATA_GOC!$H:$H,DATA_GOC!$A:$A,"BOM",DATA_GOC!$D:$D,$B154,DATA_GOC!$F:$F,"Xuất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4" s="61" t="str">
        <f>IF($B154="","",IF(R$4&gt;DAY(EOMONTH(DATE($D$2,$B$2,1),0)),"",SUMIFS(DATA_GOC!$H:$H,DATA_GOC!$A:$A,"BOM",DATA_GOC!$D:$D,$B154,DATA_GOC!$F:$F,"Xuất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4" s="61" t="str">
        <f>IF($B154="","",IF(S$4&gt;DAY(EOMONTH(DATE($D$2,$B$2,1),0)),"",SUMIFS(DATA_GOC!$H:$H,DATA_GOC!$A:$A,"BOM",DATA_GOC!$D:$D,$B154,DATA_GOC!$F:$F,"Xuất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4" s="229" t="str">
        <f>IF($B154="","",IF(T$4&gt;DAY(EOMONTH(DATE($D$2,$B$2,1),0)),"",SUMIFS(DATA_GOC!$H:$H,DATA_GOC!$A:$A,"BOM",DATA_GOC!$D:$D,$B154,DATA_GOC!$F:$F,"Xuất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4" s="229" t="str">
        <f>IF($B154="","",IF(U$4&gt;DAY(EOMONTH(DATE($D$2,$B$2,1),0)),"",SUMIFS(DATA_GOC!$H:$H,DATA_GOC!$A:$A,"BOM",DATA_GOC!$D:$D,$B154,DATA_GOC!$F:$F,"Xuất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4" s="229" t="str">
        <f>IF($B154="","",IF(V$4&gt;DAY(EOMONTH(DATE($D$2,$B$2,1),0)),"",SUMIFS(DATA_GOC!$H:$H,DATA_GOC!$A:$A,"BOM",DATA_GOC!$D:$D,$B154,DATA_GOC!$F:$F,"Xuất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4" s="61" t="str">
        <f>IF($B154="","",IF(W$4&gt;DAY(EOMONTH(DATE($D$2,$B$2,1),0)),"",SUMIFS(DATA_GOC!$H:$H,DATA_GOC!$A:$A,"BOM",DATA_GOC!$D:$D,$B154,DATA_GOC!$F:$F,"Xuất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4" s="229" t="str">
        <f>IF($B154="","",IF(X$4&gt;DAY(EOMONTH(DATE($D$2,$B$2,1),0)),"",SUMIFS(DATA_GOC!$H:$H,DATA_GOC!$A:$A,"BOM",DATA_GOC!$D:$D,$B154,DATA_GOC!$F:$F,"Xuất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4" s="229" t="str">
        <f>IF($B154="","",IF(Y$4&gt;DAY(EOMONTH(DATE($D$2,$B$2,1),0)),"",SUMIFS(DATA_GOC!$H:$H,DATA_GOC!$A:$A,"BOM",DATA_GOC!$D:$D,$B154,DATA_GOC!$F:$F,"Xuất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4" s="229" t="str">
        <f>IF($B154="","",IF(Z$4&gt;DAY(EOMONTH(DATE($D$2,$B$2,1),0)),"",SUMIFS(DATA_GOC!$H:$H,DATA_GOC!$A:$A,"BOM",DATA_GOC!$D:$D,$B154,DATA_GOC!$F:$F,"Xuất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4" s="229" t="str">
        <f>IF($B154="","",IF(AA$4&gt;DAY(EOMONTH(DATE($D$2,$B$2,1),0)),"",SUMIFS(DATA_GOC!$H:$H,DATA_GOC!$A:$A,"BOM",DATA_GOC!$D:$D,$B154,DATA_GOC!$F:$F,"Xuất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4" s="229" t="str">
        <f>IF($B154="","",IF(AB$4&gt;DAY(EOMONTH(DATE($D$2,$B$2,1),0)),"",SUMIFS(DATA_GOC!$H:$H,DATA_GOC!$A:$A,"BOM",DATA_GOC!$D:$D,$B154,DATA_GOC!$F:$F,"Xuất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4" s="61" t="str">
        <f>IF($B154="","",IF(AC$4&gt;DAY(EOMONTH(DATE($D$2,$B$2,1),0)),"",SUMIFS(DATA_GOC!$H:$H,DATA_GOC!$A:$A,"BOM",DATA_GOC!$D:$D,$B154,DATA_GOC!$F:$F,"Xuất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4" s="222" t="str">
        <f>IF($B154="","",IF(AD$4&gt;DAY(EOMONTH(DATE($D$2,$B$2,1),0)),"",SUMIFS(DATA_GOC!$H:$H,DATA_GOC!$A:$A,"BOM",DATA_GOC!$D:$D,$B154,DATA_GOC!$F:$F,"Xuất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4" s="222" t="str">
        <f>IF($B154="","",IF(AE$4&gt;DAY(EOMONTH(DATE($D$2,$B$2,1),0)),"",SUMIFS(DATA_GOC!$H:$H,DATA_GOC!$A:$A,"BOM",DATA_GOC!$D:$D,$B154,DATA_GOC!$F:$F,"Xuất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4" s="222" t="str">
        <f>IF($B154="","",IF(AF$4&gt;DAY(EOMONTH(DATE($D$2,$B$2,1),0)),"",SUMIFS(DATA_GOC!$H:$H,DATA_GOC!$A:$A,"BOM",DATA_GOC!$D:$D,$B154,DATA_GOC!$F:$F,"Xuất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4" s="222" t="str">
        <f>IF($B154="","",IF(AG$4&gt;DAY(EOMONTH(DATE($D$2,$B$2,1),0)),"",SUMIFS(DATA_GOC!$H:$H,DATA_GOC!$A:$A,"BOM",DATA_GOC!$D:$D,$B154,DATA_GOC!$F:$F,"Xuất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4" s="222" t="str">
        <f t="shared" si="2"/>
        <v/>
      </c>
      <c r="AI154" s="222" t="str">
        <f>IF($B154="","",SUMIFS(DATA_GOC!$H:$H,DATA_GOC!$A:$A,"BOM",DATA_GOC!$D:$D,$B154,DATA_GOC!$F:$F,"Bơm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4" s="222" t="str">
        <f t="shared" si="3"/>
        <v/>
      </c>
      <c r="AM154" s="222" t="str">
        <f>IF($B154="","",SUMIFS(DATA_GOC!$K:$K,DATA_GOC!$A:$A,"BOM",DATA_GOC!$D:$D,$B154,DATA_GOC!$G:$G,"DO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4" s="222" t="str">
        <f t="shared" si="4"/>
        <v/>
      </c>
      <c r="AO154" s="227" t="str">
        <f t="shared" si="5"/>
        <v/>
      </c>
      <c r="AP154" s="226" t="str">
        <f>IF($B154="","",IFERROR(AO154-(SUMIFS(DATA_GOC!$H:$H,DATA_GOC!$A:$A,"BOM",DATA_GOC!$D:$D,$B154,DATA_GOC!$F:$F,"Xuất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4" s="59">
        <v>4.0</v>
      </c>
      <c r="AR154" s="59">
        <v>2026.0</v>
      </c>
      <c r="AS154" s="59" t="s">
        <v>339</v>
      </c>
      <c r="AT154" s="59">
        <v>132.228</v>
      </c>
      <c r="AU154" s="59">
        <v>0.0</v>
      </c>
      <c r="AV154" s="59">
        <v>132.228</v>
      </c>
      <c r="AW154" s="59">
        <v>8.0</v>
      </c>
      <c r="AX154" s="59">
        <v>1652.85</v>
      </c>
      <c r="AY154" s="59">
        <v>0.0</v>
      </c>
      <c r="AZ154" s="59">
        <v>132.228</v>
      </c>
      <c r="BA154" s="59">
        <v>0.0</v>
      </c>
      <c r="BB154" s="59">
        <v>0.0</v>
      </c>
      <c r="BC154" s="59" t="s">
        <v>509</v>
      </c>
    </row>
    <row r="155" ht="15.0" customHeight="1">
      <c r="A155" s="61" t="str">
        <f t="shared" si="1"/>
        <v/>
      </c>
      <c r="B155" s="228" t="str">
        <f t="array" ref="B155">IFERROR(INDEX(DANH_MUC!$E:$E,ROW()-1),"")</f>
        <v/>
      </c>
      <c r="C155" s="228" t="str">
        <f>IF($B155="","",IF(C$4&gt;DAY(EOMONTH(DATE($D$2,$B$2,1),0)),"",SUMIFS(DATA_GOC!$H:$H,DATA_GOC!$A:$A,"BOM",DATA_GOC!$D:$D,$B155,DATA_GOC!$F:$F,"Xuất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5" s="61" t="str">
        <f>IF($B155="","",IF(D$4&gt;DAY(EOMONTH(DATE($D$2,$B$2,1),0)),"",SUMIFS(DATA_GOC!$H:$H,DATA_GOC!$A:$A,"BOM",DATA_GOC!$D:$D,$B155,DATA_GOC!$F:$F,"Xuất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5" s="229" t="str">
        <f>IF($B155="","",IF(E$4&gt;DAY(EOMONTH(DATE($D$2,$B$2,1),0)),"",SUMIFS(DATA_GOC!$H:$H,DATA_GOC!$A:$A,"BOM",DATA_GOC!$D:$D,$B155,DATA_GOC!$F:$F,"Xuất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5" s="229" t="str">
        <f>IF($B155="","",IF(F$4&gt;DAY(EOMONTH(DATE($D$2,$B$2,1),0)),"",SUMIFS(DATA_GOC!$H:$H,DATA_GOC!$A:$A,"BOM",DATA_GOC!$D:$D,$B155,DATA_GOC!$F:$F,"Xuất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5" s="229" t="str">
        <f>IF($B155="","",IF(G$4&gt;DAY(EOMONTH(DATE($D$2,$B$2,1),0)),"",SUMIFS(DATA_GOC!$H:$H,DATA_GOC!$A:$A,"BOM",DATA_GOC!$D:$D,$B155,DATA_GOC!$F:$F,"Xuất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5" s="228" t="str">
        <f>IF($B155="","",IF(H$4&gt;DAY(EOMONTH(DATE($D$2,$B$2,1),0)),"",SUMIFS(DATA_GOC!$H:$H,DATA_GOC!$A:$A,"BOM",DATA_GOC!$D:$D,$B155,DATA_GOC!$F:$F,"Xuất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5" s="229" t="str">
        <f>IF($B155="","",IF(I$4&gt;DAY(EOMONTH(DATE($D$2,$B$2,1),0)),"",SUMIFS(DATA_GOC!$H:$H,DATA_GOC!$A:$A,"BOM",DATA_GOC!$D:$D,$B155,DATA_GOC!$F:$F,"Xuất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5" s="229" t="str">
        <f>IF($B155="","",IF(J$4&gt;DAY(EOMONTH(DATE($D$2,$B$2,1),0)),"",SUMIFS(DATA_GOC!$H:$H,DATA_GOC!$A:$A,"BOM",DATA_GOC!$D:$D,$B155,DATA_GOC!$F:$F,"Xuất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5" s="229" t="str">
        <f>IF($B155="","",IF(K$4&gt;DAY(EOMONTH(DATE($D$2,$B$2,1),0)),"",SUMIFS(DATA_GOC!$H:$H,DATA_GOC!$A:$A,"BOM",DATA_GOC!$D:$D,$B155,DATA_GOC!$F:$F,"Xuất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5" s="229" t="str">
        <f>IF($B155="","",IF(L$4&gt;DAY(EOMONTH(DATE($D$2,$B$2,1),0)),"",SUMIFS(DATA_GOC!$H:$H,DATA_GOC!$A:$A,"BOM",DATA_GOC!$D:$D,$B155,DATA_GOC!$F:$F,"Xuất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5" s="229" t="str">
        <f>IF($B155="","",IF(M$4&gt;DAY(EOMONTH(DATE($D$2,$B$2,1),0)),"",SUMIFS(DATA_GOC!$H:$H,DATA_GOC!$A:$A,"BOM",DATA_GOC!$D:$D,$B155,DATA_GOC!$F:$F,"Xuất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5" s="61" t="str">
        <f>IF($B155="","",IF(N$4&gt;DAY(EOMONTH(DATE($D$2,$B$2,1),0)),"",SUMIFS(DATA_GOC!$H:$H,DATA_GOC!$A:$A,"BOM",DATA_GOC!$D:$D,$B155,DATA_GOC!$F:$F,"Xuất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5" s="61" t="str">
        <f>IF($B155="","",IF(O$4&gt;DAY(EOMONTH(DATE($D$2,$B$2,1),0)),"",SUMIFS(DATA_GOC!$H:$H,DATA_GOC!$A:$A,"BOM",DATA_GOC!$D:$D,$B155,DATA_GOC!$F:$F,"Xuất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5" s="61" t="str">
        <f>IF($B155="","",IF(P$4&gt;DAY(EOMONTH(DATE($D$2,$B$2,1),0)),"",SUMIFS(DATA_GOC!$H:$H,DATA_GOC!$A:$A,"BOM",DATA_GOC!$D:$D,$B155,DATA_GOC!$F:$F,"Xuất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5" s="61" t="str">
        <f>IF($B155="","",IF(Q$4&gt;DAY(EOMONTH(DATE($D$2,$B$2,1),0)),"",SUMIFS(DATA_GOC!$H:$H,DATA_GOC!$A:$A,"BOM",DATA_GOC!$D:$D,$B155,DATA_GOC!$F:$F,"Xuất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5" s="61" t="str">
        <f>IF($B155="","",IF(R$4&gt;DAY(EOMONTH(DATE($D$2,$B$2,1),0)),"",SUMIFS(DATA_GOC!$H:$H,DATA_GOC!$A:$A,"BOM",DATA_GOC!$D:$D,$B155,DATA_GOC!$F:$F,"Xuất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5" s="61" t="str">
        <f>IF($B155="","",IF(S$4&gt;DAY(EOMONTH(DATE($D$2,$B$2,1),0)),"",SUMIFS(DATA_GOC!$H:$H,DATA_GOC!$A:$A,"BOM",DATA_GOC!$D:$D,$B155,DATA_GOC!$F:$F,"Xuất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5" s="229" t="str">
        <f>IF($B155="","",IF(T$4&gt;DAY(EOMONTH(DATE($D$2,$B$2,1),0)),"",SUMIFS(DATA_GOC!$H:$H,DATA_GOC!$A:$A,"BOM",DATA_GOC!$D:$D,$B155,DATA_GOC!$F:$F,"Xuất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5" s="229" t="str">
        <f>IF($B155="","",IF(U$4&gt;DAY(EOMONTH(DATE($D$2,$B$2,1),0)),"",SUMIFS(DATA_GOC!$H:$H,DATA_GOC!$A:$A,"BOM",DATA_GOC!$D:$D,$B155,DATA_GOC!$F:$F,"Xuất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5" s="229" t="str">
        <f>IF($B155="","",IF(V$4&gt;DAY(EOMONTH(DATE($D$2,$B$2,1),0)),"",SUMIFS(DATA_GOC!$H:$H,DATA_GOC!$A:$A,"BOM",DATA_GOC!$D:$D,$B155,DATA_GOC!$F:$F,"Xuất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5" s="61" t="str">
        <f>IF($B155="","",IF(W$4&gt;DAY(EOMONTH(DATE($D$2,$B$2,1),0)),"",SUMIFS(DATA_GOC!$H:$H,DATA_GOC!$A:$A,"BOM",DATA_GOC!$D:$D,$B155,DATA_GOC!$F:$F,"Xuất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5" s="229" t="str">
        <f>IF($B155="","",IF(X$4&gt;DAY(EOMONTH(DATE($D$2,$B$2,1),0)),"",SUMIFS(DATA_GOC!$H:$H,DATA_GOC!$A:$A,"BOM",DATA_GOC!$D:$D,$B155,DATA_GOC!$F:$F,"Xuất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5" s="229" t="str">
        <f>IF($B155="","",IF(Y$4&gt;DAY(EOMONTH(DATE($D$2,$B$2,1),0)),"",SUMIFS(DATA_GOC!$H:$H,DATA_GOC!$A:$A,"BOM",DATA_GOC!$D:$D,$B155,DATA_GOC!$F:$F,"Xuất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5" s="229" t="str">
        <f>IF($B155="","",IF(Z$4&gt;DAY(EOMONTH(DATE($D$2,$B$2,1),0)),"",SUMIFS(DATA_GOC!$H:$H,DATA_GOC!$A:$A,"BOM",DATA_GOC!$D:$D,$B155,DATA_GOC!$F:$F,"Xuất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5" s="229" t="str">
        <f>IF($B155="","",IF(AA$4&gt;DAY(EOMONTH(DATE($D$2,$B$2,1),0)),"",SUMIFS(DATA_GOC!$H:$H,DATA_GOC!$A:$A,"BOM",DATA_GOC!$D:$D,$B155,DATA_GOC!$F:$F,"Xuất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5" s="229" t="str">
        <f>IF($B155="","",IF(AB$4&gt;DAY(EOMONTH(DATE($D$2,$B$2,1),0)),"",SUMIFS(DATA_GOC!$H:$H,DATA_GOC!$A:$A,"BOM",DATA_GOC!$D:$D,$B155,DATA_GOC!$F:$F,"Xuất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5" s="61" t="str">
        <f>IF($B155="","",IF(AC$4&gt;DAY(EOMONTH(DATE($D$2,$B$2,1),0)),"",SUMIFS(DATA_GOC!$H:$H,DATA_GOC!$A:$A,"BOM",DATA_GOC!$D:$D,$B155,DATA_GOC!$F:$F,"Xuất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5" s="222" t="str">
        <f>IF($B155="","",IF(AD$4&gt;DAY(EOMONTH(DATE($D$2,$B$2,1),0)),"",SUMIFS(DATA_GOC!$H:$H,DATA_GOC!$A:$A,"BOM",DATA_GOC!$D:$D,$B155,DATA_GOC!$F:$F,"Xuất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5" s="222" t="str">
        <f>IF($B155="","",IF(AE$4&gt;DAY(EOMONTH(DATE($D$2,$B$2,1),0)),"",SUMIFS(DATA_GOC!$H:$H,DATA_GOC!$A:$A,"BOM",DATA_GOC!$D:$D,$B155,DATA_GOC!$F:$F,"Xuất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5" s="222" t="str">
        <f>IF($B155="","",IF(AF$4&gt;DAY(EOMONTH(DATE($D$2,$B$2,1),0)),"",SUMIFS(DATA_GOC!$H:$H,DATA_GOC!$A:$A,"BOM",DATA_GOC!$D:$D,$B155,DATA_GOC!$F:$F,"Xuất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5" s="222" t="str">
        <f>IF($B155="","",IF(AG$4&gt;DAY(EOMONTH(DATE($D$2,$B$2,1),0)),"",SUMIFS(DATA_GOC!$H:$H,DATA_GOC!$A:$A,"BOM",DATA_GOC!$D:$D,$B155,DATA_GOC!$F:$F,"Xuất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5" s="222" t="str">
        <f t="shared" si="2"/>
        <v/>
      </c>
      <c r="AI155" s="222" t="str">
        <f>IF($B155="","",SUMIFS(DATA_GOC!$H:$H,DATA_GOC!$A:$A,"BOM",DATA_GOC!$D:$D,$B155,DATA_GOC!$F:$F,"Bơm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5" s="222" t="str">
        <f t="shared" si="3"/>
        <v/>
      </c>
      <c r="AM155" s="222" t="str">
        <f>IF($B155="","",SUMIFS(DATA_GOC!$K:$K,DATA_GOC!$A:$A,"BOM",DATA_GOC!$D:$D,$B155,DATA_GOC!$G:$G,"DO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5" s="222" t="str">
        <f t="shared" si="4"/>
        <v/>
      </c>
      <c r="AO155" s="227" t="str">
        <f t="shared" si="5"/>
        <v/>
      </c>
      <c r="AP155" s="226" t="str">
        <f>IF($B155="","",IFERROR(AO155-(SUMIFS(DATA_GOC!$H:$H,DATA_GOC!$A:$A,"BOM",DATA_GOC!$D:$D,$B155,DATA_GOC!$F:$F,"Xuất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5" s="59">
        <v>4.0</v>
      </c>
      <c r="AR155" s="59">
        <v>2026.0</v>
      </c>
      <c r="AS155" s="59" t="s">
        <v>384</v>
      </c>
      <c r="AT155" s="59">
        <v>5.3</v>
      </c>
      <c r="AU155" s="59">
        <v>0.0</v>
      </c>
      <c r="AV155" s="59">
        <v>5.3</v>
      </c>
      <c r="AW155" s="59">
        <v>0.0</v>
      </c>
      <c r="AY155" s="59">
        <v>0.0</v>
      </c>
      <c r="AZ155" s="59">
        <v>5.3</v>
      </c>
      <c r="BA155" s="59">
        <v>0.0</v>
      </c>
      <c r="BB155" s="59">
        <v>0.0</v>
      </c>
      <c r="BC155" s="59" t="s">
        <v>510</v>
      </c>
    </row>
    <row r="156" ht="15.0" customHeight="1">
      <c r="A156" s="61" t="str">
        <f t="shared" si="1"/>
        <v/>
      </c>
      <c r="B156" s="228" t="str">
        <f t="array" ref="B156">IFERROR(INDEX(DANH_MUC!$E:$E,ROW()-1),"")</f>
        <v/>
      </c>
      <c r="C156" s="228" t="str">
        <f>IF($B156="","",IF(C$4&gt;DAY(EOMONTH(DATE($D$2,$B$2,1),0)),"",SUMIFS(DATA_GOC!$H:$H,DATA_GOC!$A:$A,"BOM",DATA_GOC!$D:$D,$B156,DATA_GOC!$F:$F,"Xuất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6" s="61" t="str">
        <f>IF($B156="","",IF(D$4&gt;DAY(EOMONTH(DATE($D$2,$B$2,1),0)),"",SUMIFS(DATA_GOC!$H:$H,DATA_GOC!$A:$A,"BOM",DATA_GOC!$D:$D,$B156,DATA_GOC!$F:$F,"Xuất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6" s="229" t="str">
        <f>IF($B156="","",IF(E$4&gt;DAY(EOMONTH(DATE($D$2,$B$2,1),0)),"",SUMIFS(DATA_GOC!$H:$H,DATA_GOC!$A:$A,"BOM",DATA_GOC!$D:$D,$B156,DATA_GOC!$F:$F,"Xuất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6" s="229" t="str">
        <f>IF($B156="","",IF(F$4&gt;DAY(EOMONTH(DATE($D$2,$B$2,1),0)),"",SUMIFS(DATA_GOC!$H:$H,DATA_GOC!$A:$A,"BOM",DATA_GOC!$D:$D,$B156,DATA_GOC!$F:$F,"Xuất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6" s="229" t="str">
        <f>IF($B156="","",IF(G$4&gt;DAY(EOMONTH(DATE($D$2,$B$2,1),0)),"",SUMIFS(DATA_GOC!$H:$H,DATA_GOC!$A:$A,"BOM",DATA_GOC!$D:$D,$B156,DATA_GOC!$F:$F,"Xuất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6" s="228" t="str">
        <f>IF($B156="","",IF(H$4&gt;DAY(EOMONTH(DATE($D$2,$B$2,1),0)),"",SUMIFS(DATA_GOC!$H:$H,DATA_GOC!$A:$A,"BOM",DATA_GOC!$D:$D,$B156,DATA_GOC!$F:$F,"Xuất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6" s="229" t="str">
        <f>IF($B156="","",IF(I$4&gt;DAY(EOMONTH(DATE($D$2,$B$2,1),0)),"",SUMIFS(DATA_GOC!$H:$H,DATA_GOC!$A:$A,"BOM",DATA_GOC!$D:$D,$B156,DATA_GOC!$F:$F,"Xuất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6" s="229" t="str">
        <f>IF($B156="","",IF(J$4&gt;DAY(EOMONTH(DATE($D$2,$B$2,1),0)),"",SUMIFS(DATA_GOC!$H:$H,DATA_GOC!$A:$A,"BOM",DATA_GOC!$D:$D,$B156,DATA_GOC!$F:$F,"Xuất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6" s="229" t="str">
        <f>IF($B156="","",IF(K$4&gt;DAY(EOMONTH(DATE($D$2,$B$2,1),0)),"",SUMIFS(DATA_GOC!$H:$H,DATA_GOC!$A:$A,"BOM",DATA_GOC!$D:$D,$B156,DATA_GOC!$F:$F,"Xuất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6" s="229" t="str">
        <f>IF($B156="","",IF(L$4&gt;DAY(EOMONTH(DATE($D$2,$B$2,1),0)),"",SUMIFS(DATA_GOC!$H:$H,DATA_GOC!$A:$A,"BOM",DATA_GOC!$D:$D,$B156,DATA_GOC!$F:$F,"Xuất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6" s="229" t="str">
        <f>IF($B156="","",IF(M$4&gt;DAY(EOMONTH(DATE($D$2,$B$2,1),0)),"",SUMIFS(DATA_GOC!$H:$H,DATA_GOC!$A:$A,"BOM",DATA_GOC!$D:$D,$B156,DATA_GOC!$F:$F,"Xuất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6" s="61" t="str">
        <f>IF($B156="","",IF(N$4&gt;DAY(EOMONTH(DATE($D$2,$B$2,1),0)),"",SUMIFS(DATA_GOC!$H:$H,DATA_GOC!$A:$A,"BOM",DATA_GOC!$D:$D,$B156,DATA_GOC!$F:$F,"Xuất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6" s="61" t="str">
        <f>IF($B156="","",IF(O$4&gt;DAY(EOMONTH(DATE($D$2,$B$2,1),0)),"",SUMIFS(DATA_GOC!$H:$H,DATA_GOC!$A:$A,"BOM",DATA_GOC!$D:$D,$B156,DATA_GOC!$F:$F,"Xuất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6" s="61" t="str">
        <f>IF($B156="","",IF(P$4&gt;DAY(EOMONTH(DATE($D$2,$B$2,1),0)),"",SUMIFS(DATA_GOC!$H:$H,DATA_GOC!$A:$A,"BOM",DATA_GOC!$D:$D,$B156,DATA_GOC!$F:$F,"Xuất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6" s="61" t="str">
        <f>IF($B156="","",IF(Q$4&gt;DAY(EOMONTH(DATE($D$2,$B$2,1),0)),"",SUMIFS(DATA_GOC!$H:$H,DATA_GOC!$A:$A,"BOM",DATA_GOC!$D:$D,$B156,DATA_GOC!$F:$F,"Xuất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6" s="61" t="str">
        <f>IF($B156="","",IF(R$4&gt;DAY(EOMONTH(DATE($D$2,$B$2,1),0)),"",SUMIFS(DATA_GOC!$H:$H,DATA_GOC!$A:$A,"BOM",DATA_GOC!$D:$D,$B156,DATA_GOC!$F:$F,"Xuất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6" s="61" t="str">
        <f>IF($B156="","",IF(S$4&gt;DAY(EOMONTH(DATE($D$2,$B$2,1),0)),"",SUMIFS(DATA_GOC!$H:$H,DATA_GOC!$A:$A,"BOM",DATA_GOC!$D:$D,$B156,DATA_GOC!$F:$F,"Xuất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6" s="229" t="str">
        <f>IF($B156="","",IF(T$4&gt;DAY(EOMONTH(DATE($D$2,$B$2,1),0)),"",SUMIFS(DATA_GOC!$H:$H,DATA_GOC!$A:$A,"BOM",DATA_GOC!$D:$D,$B156,DATA_GOC!$F:$F,"Xuất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6" s="229" t="str">
        <f>IF($B156="","",IF(U$4&gt;DAY(EOMONTH(DATE($D$2,$B$2,1),0)),"",SUMIFS(DATA_GOC!$H:$H,DATA_GOC!$A:$A,"BOM",DATA_GOC!$D:$D,$B156,DATA_GOC!$F:$F,"Xuất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6" s="229" t="str">
        <f>IF($B156="","",IF(V$4&gt;DAY(EOMONTH(DATE($D$2,$B$2,1),0)),"",SUMIFS(DATA_GOC!$H:$H,DATA_GOC!$A:$A,"BOM",DATA_GOC!$D:$D,$B156,DATA_GOC!$F:$F,"Xuất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6" s="61" t="str">
        <f>IF($B156="","",IF(W$4&gt;DAY(EOMONTH(DATE($D$2,$B$2,1),0)),"",SUMIFS(DATA_GOC!$H:$H,DATA_GOC!$A:$A,"BOM",DATA_GOC!$D:$D,$B156,DATA_GOC!$F:$F,"Xuất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6" s="229" t="str">
        <f>IF($B156="","",IF(X$4&gt;DAY(EOMONTH(DATE($D$2,$B$2,1),0)),"",SUMIFS(DATA_GOC!$H:$H,DATA_GOC!$A:$A,"BOM",DATA_GOC!$D:$D,$B156,DATA_GOC!$F:$F,"Xuất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6" s="229" t="str">
        <f>IF($B156="","",IF(Y$4&gt;DAY(EOMONTH(DATE($D$2,$B$2,1),0)),"",SUMIFS(DATA_GOC!$H:$H,DATA_GOC!$A:$A,"BOM",DATA_GOC!$D:$D,$B156,DATA_GOC!$F:$F,"Xuất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6" s="229" t="str">
        <f>IF($B156="","",IF(Z$4&gt;DAY(EOMONTH(DATE($D$2,$B$2,1),0)),"",SUMIFS(DATA_GOC!$H:$H,DATA_GOC!$A:$A,"BOM",DATA_GOC!$D:$D,$B156,DATA_GOC!$F:$F,"Xuất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6" s="229" t="str">
        <f>IF($B156="","",IF(AA$4&gt;DAY(EOMONTH(DATE($D$2,$B$2,1),0)),"",SUMIFS(DATA_GOC!$H:$H,DATA_GOC!$A:$A,"BOM",DATA_GOC!$D:$D,$B156,DATA_GOC!$F:$F,"Xuất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6" s="229" t="str">
        <f>IF($B156="","",IF(AB$4&gt;DAY(EOMONTH(DATE($D$2,$B$2,1),0)),"",SUMIFS(DATA_GOC!$H:$H,DATA_GOC!$A:$A,"BOM",DATA_GOC!$D:$D,$B156,DATA_GOC!$F:$F,"Xuất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6" s="61" t="str">
        <f>IF($B156="","",IF(AC$4&gt;DAY(EOMONTH(DATE($D$2,$B$2,1),0)),"",SUMIFS(DATA_GOC!$H:$H,DATA_GOC!$A:$A,"BOM",DATA_GOC!$D:$D,$B156,DATA_GOC!$F:$F,"Xuất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6" s="222" t="str">
        <f>IF($B156="","",IF(AD$4&gt;DAY(EOMONTH(DATE($D$2,$B$2,1),0)),"",SUMIFS(DATA_GOC!$H:$H,DATA_GOC!$A:$A,"BOM",DATA_GOC!$D:$D,$B156,DATA_GOC!$F:$F,"Xuất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6" s="222" t="str">
        <f>IF($B156="","",IF(AE$4&gt;DAY(EOMONTH(DATE($D$2,$B$2,1),0)),"",SUMIFS(DATA_GOC!$H:$H,DATA_GOC!$A:$A,"BOM",DATA_GOC!$D:$D,$B156,DATA_GOC!$F:$F,"Xuất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6" s="222" t="str">
        <f>IF($B156="","",IF(AF$4&gt;DAY(EOMONTH(DATE($D$2,$B$2,1),0)),"",SUMIFS(DATA_GOC!$H:$H,DATA_GOC!$A:$A,"BOM",DATA_GOC!$D:$D,$B156,DATA_GOC!$F:$F,"Xuất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6" s="222" t="str">
        <f>IF($B156="","",IF(AG$4&gt;DAY(EOMONTH(DATE($D$2,$B$2,1),0)),"",SUMIFS(DATA_GOC!$H:$H,DATA_GOC!$A:$A,"BOM",DATA_GOC!$D:$D,$B156,DATA_GOC!$F:$F,"Xuất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6" s="222" t="str">
        <f t="shared" si="2"/>
        <v/>
      </c>
      <c r="AI156" s="222" t="str">
        <f>IF($B156="","",SUMIFS(DATA_GOC!$H:$H,DATA_GOC!$A:$A,"BOM",DATA_GOC!$D:$D,$B156,DATA_GOC!$F:$F,"Bơm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6" s="222" t="str">
        <f t="shared" si="3"/>
        <v/>
      </c>
      <c r="AM156" s="222" t="str">
        <f>IF($B156="","",SUMIFS(DATA_GOC!$K:$K,DATA_GOC!$A:$A,"BOM",DATA_GOC!$D:$D,$B156,DATA_GOC!$G:$G,"DO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6" s="222" t="str">
        <f t="shared" si="4"/>
        <v/>
      </c>
      <c r="AO156" s="227" t="str">
        <f t="shared" si="5"/>
        <v/>
      </c>
      <c r="AP156" s="226" t="str">
        <f>IF($B156="","",IFERROR(AO156-(SUMIFS(DATA_GOC!$H:$H,DATA_GOC!$A:$A,"BOM",DATA_GOC!$D:$D,$B156,DATA_GOC!$F:$F,"Xuất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6" s="59">
        <v>4.0</v>
      </c>
      <c r="AR156" s="59">
        <v>2026.0</v>
      </c>
      <c r="AS156" s="59" t="s">
        <v>104</v>
      </c>
      <c r="AT156" s="59">
        <v>630.048</v>
      </c>
      <c r="AU156" s="59">
        <v>0.0</v>
      </c>
      <c r="AV156" s="59">
        <v>630.048</v>
      </c>
      <c r="AW156" s="59">
        <v>1051.0</v>
      </c>
      <c r="AX156" s="59">
        <v>59.9474785918173</v>
      </c>
      <c r="AY156" s="59">
        <v>0.0</v>
      </c>
      <c r="AZ156" s="59">
        <v>630.048</v>
      </c>
      <c r="BA156" s="59">
        <v>0.0</v>
      </c>
      <c r="BB156" s="59">
        <v>0.0</v>
      </c>
      <c r="BC156" s="59" t="s">
        <v>511</v>
      </c>
    </row>
    <row r="157" ht="15.0" customHeight="1">
      <c r="A157" s="61" t="str">
        <f t="shared" si="1"/>
        <v/>
      </c>
      <c r="B157" s="228" t="str">
        <f t="array" ref="B157">IFERROR(INDEX(DANH_MUC!$E:$E,ROW()-1),"")</f>
        <v/>
      </c>
      <c r="C157" s="228" t="str">
        <f>IF($B157="","",IF(C$4&gt;DAY(EOMONTH(DATE($D$2,$B$2,1),0)),"",SUMIFS(DATA_GOC!$H:$H,DATA_GOC!$A:$A,"BOM",DATA_GOC!$D:$D,$B157,DATA_GOC!$F:$F,"Xuất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7" s="61" t="str">
        <f>IF($B157="","",IF(D$4&gt;DAY(EOMONTH(DATE($D$2,$B$2,1),0)),"",SUMIFS(DATA_GOC!$H:$H,DATA_GOC!$A:$A,"BOM",DATA_GOC!$D:$D,$B157,DATA_GOC!$F:$F,"Xuất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7" s="229" t="str">
        <f>IF($B157="","",IF(E$4&gt;DAY(EOMONTH(DATE($D$2,$B$2,1),0)),"",SUMIFS(DATA_GOC!$H:$H,DATA_GOC!$A:$A,"BOM",DATA_GOC!$D:$D,$B157,DATA_GOC!$F:$F,"Xuất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7" s="229" t="str">
        <f>IF($B157="","",IF(F$4&gt;DAY(EOMONTH(DATE($D$2,$B$2,1),0)),"",SUMIFS(DATA_GOC!$H:$H,DATA_GOC!$A:$A,"BOM",DATA_GOC!$D:$D,$B157,DATA_GOC!$F:$F,"Xuất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7" s="229" t="str">
        <f>IF($B157="","",IF(G$4&gt;DAY(EOMONTH(DATE($D$2,$B$2,1),0)),"",SUMIFS(DATA_GOC!$H:$H,DATA_GOC!$A:$A,"BOM",DATA_GOC!$D:$D,$B157,DATA_GOC!$F:$F,"Xuất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7" s="228" t="str">
        <f>IF($B157="","",IF(H$4&gt;DAY(EOMONTH(DATE($D$2,$B$2,1),0)),"",SUMIFS(DATA_GOC!$H:$H,DATA_GOC!$A:$A,"BOM",DATA_GOC!$D:$D,$B157,DATA_GOC!$F:$F,"Xuất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7" s="229" t="str">
        <f>IF($B157="","",IF(I$4&gt;DAY(EOMONTH(DATE($D$2,$B$2,1),0)),"",SUMIFS(DATA_GOC!$H:$H,DATA_GOC!$A:$A,"BOM",DATA_GOC!$D:$D,$B157,DATA_GOC!$F:$F,"Xuất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7" s="229" t="str">
        <f>IF($B157="","",IF(J$4&gt;DAY(EOMONTH(DATE($D$2,$B$2,1),0)),"",SUMIFS(DATA_GOC!$H:$H,DATA_GOC!$A:$A,"BOM",DATA_GOC!$D:$D,$B157,DATA_GOC!$F:$F,"Xuất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7" s="229" t="str">
        <f>IF($B157="","",IF(K$4&gt;DAY(EOMONTH(DATE($D$2,$B$2,1),0)),"",SUMIFS(DATA_GOC!$H:$H,DATA_GOC!$A:$A,"BOM",DATA_GOC!$D:$D,$B157,DATA_GOC!$F:$F,"Xuất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7" s="229" t="str">
        <f>IF($B157="","",IF(L$4&gt;DAY(EOMONTH(DATE($D$2,$B$2,1),0)),"",SUMIFS(DATA_GOC!$H:$H,DATA_GOC!$A:$A,"BOM",DATA_GOC!$D:$D,$B157,DATA_GOC!$F:$F,"Xuất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7" s="229" t="str">
        <f>IF($B157="","",IF(M$4&gt;DAY(EOMONTH(DATE($D$2,$B$2,1),0)),"",SUMIFS(DATA_GOC!$H:$H,DATA_GOC!$A:$A,"BOM",DATA_GOC!$D:$D,$B157,DATA_GOC!$F:$F,"Xuất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7" s="61" t="str">
        <f>IF($B157="","",IF(N$4&gt;DAY(EOMONTH(DATE($D$2,$B$2,1),0)),"",SUMIFS(DATA_GOC!$H:$H,DATA_GOC!$A:$A,"BOM",DATA_GOC!$D:$D,$B157,DATA_GOC!$F:$F,"Xuất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7" s="61" t="str">
        <f>IF($B157="","",IF(O$4&gt;DAY(EOMONTH(DATE($D$2,$B$2,1),0)),"",SUMIFS(DATA_GOC!$H:$H,DATA_GOC!$A:$A,"BOM",DATA_GOC!$D:$D,$B157,DATA_GOC!$F:$F,"Xuất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7" s="61" t="str">
        <f>IF($B157="","",IF(P$4&gt;DAY(EOMONTH(DATE($D$2,$B$2,1),0)),"",SUMIFS(DATA_GOC!$H:$H,DATA_GOC!$A:$A,"BOM",DATA_GOC!$D:$D,$B157,DATA_GOC!$F:$F,"Xuất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7" s="61" t="str">
        <f>IF($B157="","",IF(Q$4&gt;DAY(EOMONTH(DATE($D$2,$B$2,1),0)),"",SUMIFS(DATA_GOC!$H:$H,DATA_GOC!$A:$A,"BOM",DATA_GOC!$D:$D,$B157,DATA_GOC!$F:$F,"Xuất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7" s="61" t="str">
        <f>IF($B157="","",IF(R$4&gt;DAY(EOMONTH(DATE($D$2,$B$2,1),0)),"",SUMIFS(DATA_GOC!$H:$H,DATA_GOC!$A:$A,"BOM",DATA_GOC!$D:$D,$B157,DATA_GOC!$F:$F,"Xuất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7" s="61" t="str">
        <f>IF($B157="","",IF(S$4&gt;DAY(EOMONTH(DATE($D$2,$B$2,1),0)),"",SUMIFS(DATA_GOC!$H:$H,DATA_GOC!$A:$A,"BOM",DATA_GOC!$D:$D,$B157,DATA_GOC!$F:$F,"Xuất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7" s="229" t="str">
        <f>IF($B157="","",IF(T$4&gt;DAY(EOMONTH(DATE($D$2,$B$2,1),0)),"",SUMIFS(DATA_GOC!$H:$H,DATA_GOC!$A:$A,"BOM",DATA_GOC!$D:$D,$B157,DATA_GOC!$F:$F,"Xuất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7" s="229" t="str">
        <f>IF($B157="","",IF(U$4&gt;DAY(EOMONTH(DATE($D$2,$B$2,1),0)),"",SUMIFS(DATA_GOC!$H:$H,DATA_GOC!$A:$A,"BOM",DATA_GOC!$D:$D,$B157,DATA_GOC!$F:$F,"Xuất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7" s="229" t="str">
        <f>IF($B157="","",IF(V$4&gt;DAY(EOMONTH(DATE($D$2,$B$2,1),0)),"",SUMIFS(DATA_GOC!$H:$H,DATA_GOC!$A:$A,"BOM",DATA_GOC!$D:$D,$B157,DATA_GOC!$F:$F,"Xuất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7" s="61" t="str">
        <f>IF($B157="","",IF(W$4&gt;DAY(EOMONTH(DATE($D$2,$B$2,1),0)),"",SUMIFS(DATA_GOC!$H:$H,DATA_GOC!$A:$A,"BOM",DATA_GOC!$D:$D,$B157,DATA_GOC!$F:$F,"Xuất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7" s="229" t="str">
        <f>IF($B157="","",IF(X$4&gt;DAY(EOMONTH(DATE($D$2,$B$2,1),0)),"",SUMIFS(DATA_GOC!$H:$H,DATA_GOC!$A:$A,"BOM",DATA_GOC!$D:$D,$B157,DATA_GOC!$F:$F,"Xuất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7" s="229" t="str">
        <f>IF($B157="","",IF(Y$4&gt;DAY(EOMONTH(DATE($D$2,$B$2,1),0)),"",SUMIFS(DATA_GOC!$H:$H,DATA_GOC!$A:$A,"BOM",DATA_GOC!$D:$D,$B157,DATA_GOC!$F:$F,"Xuất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7" s="229" t="str">
        <f>IF($B157="","",IF(Z$4&gt;DAY(EOMONTH(DATE($D$2,$B$2,1),0)),"",SUMIFS(DATA_GOC!$H:$H,DATA_GOC!$A:$A,"BOM",DATA_GOC!$D:$D,$B157,DATA_GOC!$F:$F,"Xuất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7" s="229" t="str">
        <f>IF($B157="","",IF(AA$4&gt;DAY(EOMONTH(DATE($D$2,$B$2,1),0)),"",SUMIFS(DATA_GOC!$H:$H,DATA_GOC!$A:$A,"BOM",DATA_GOC!$D:$D,$B157,DATA_GOC!$F:$F,"Xuất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7" s="229" t="str">
        <f>IF($B157="","",IF(AB$4&gt;DAY(EOMONTH(DATE($D$2,$B$2,1),0)),"",SUMIFS(DATA_GOC!$H:$H,DATA_GOC!$A:$A,"BOM",DATA_GOC!$D:$D,$B157,DATA_GOC!$F:$F,"Xuất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7" s="61" t="str">
        <f>IF($B157="","",IF(AC$4&gt;DAY(EOMONTH(DATE($D$2,$B$2,1),0)),"",SUMIFS(DATA_GOC!$H:$H,DATA_GOC!$A:$A,"BOM",DATA_GOC!$D:$D,$B157,DATA_GOC!$F:$F,"Xuất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7" s="222" t="str">
        <f>IF($B157="","",IF(AD$4&gt;DAY(EOMONTH(DATE($D$2,$B$2,1),0)),"",SUMIFS(DATA_GOC!$H:$H,DATA_GOC!$A:$A,"BOM",DATA_GOC!$D:$D,$B157,DATA_GOC!$F:$F,"Xuất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7" s="222" t="str">
        <f>IF($B157="","",IF(AE$4&gt;DAY(EOMONTH(DATE($D$2,$B$2,1),0)),"",SUMIFS(DATA_GOC!$H:$H,DATA_GOC!$A:$A,"BOM",DATA_GOC!$D:$D,$B157,DATA_GOC!$F:$F,"Xuất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7" s="222" t="str">
        <f>IF($B157="","",IF(AF$4&gt;DAY(EOMONTH(DATE($D$2,$B$2,1),0)),"",SUMIFS(DATA_GOC!$H:$H,DATA_GOC!$A:$A,"BOM",DATA_GOC!$D:$D,$B157,DATA_GOC!$F:$F,"Xuất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7" s="222" t="str">
        <f>IF($B157="","",IF(AG$4&gt;DAY(EOMONTH(DATE($D$2,$B$2,1),0)),"",SUMIFS(DATA_GOC!$H:$H,DATA_GOC!$A:$A,"BOM",DATA_GOC!$D:$D,$B157,DATA_GOC!$F:$F,"Xuất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7" s="222" t="str">
        <f t="shared" si="2"/>
        <v/>
      </c>
      <c r="AI157" s="222" t="str">
        <f>IF($B157="","",SUMIFS(DATA_GOC!$H:$H,DATA_GOC!$A:$A,"BOM",DATA_GOC!$D:$D,$B157,DATA_GOC!$F:$F,"Bơm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7" s="222" t="str">
        <f t="shared" si="3"/>
        <v/>
      </c>
      <c r="AM157" s="222" t="str">
        <f>IF($B157="","",SUMIFS(DATA_GOC!$K:$K,DATA_GOC!$A:$A,"BOM",DATA_GOC!$D:$D,$B157,DATA_GOC!$G:$G,"DO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7" s="222" t="str">
        <f t="shared" si="4"/>
        <v/>
      </c>
      <c r="AO157" s="227" t="str">
        <f t="shared" si="5"/>
        <v/>
      </c>
      <c r="AP157" s="226" t="str">
        <f>IF($B157="","",IFERROR(AO157-(SUMIFS(DATA_GOC!$H:$H,DATA_GOC!$A:$A,"BOM",DATA_GOC!$D:$D,$B157,DATA_GOC!$F:$F,"Xuất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7" s="59">
        <v>4.0</v>
      </c>
      <c r="AR157" s="59">
        <v>2026.0</v>
      </c>
      <c r="AS157" s="59" t="s">
        <v>122</v>
      </c>
      <c r="AT157" s="59">
        <v>814.65</v>
      </c>
      <c r="AU157" s="59">
        <v>0.0</v>
      </c>
      <c r="AV157" s="59">
        <v>814.65</v>
      </c>
      <c r="AW157" s="59">
        <v>1542.0</v>
      </c>
      <c r="AX157" s="59">
        <v>52.8307392996109</v>
      </c>
      <c r="AY157" s="59">
        <v>338.99</v>
      </c>
      <c r="AZ157" s="59">
        <v>475.66</v>
      </c>
      <c r="BA157" s="59">
        <v>2.99</v>
      </c>
      <c r="BB157" s="59">
        <v>0.0</v>
      </c>
      <c r="BC157" s="59" t="s">
        <v>512</v>
      </c>
    </row>
    <row r="158" ht="15.0" customHeight="1">
      <c r="A158" s="61" t="str">
        <f t="shared" si="1"/>
        <v/>
      </c>
      <c r="B158" s="228" t="str">
        <f t="array" ref="B158">IFERROR(INDEX(DANH_MUC!$E:$E,ROW()-1),"")</f>
        <v/>
      </c>
      <c r="C158" s="228" t="str">
        <f>IF($B158="","",IF(C$4&gt;DAY(EOMONTH(DATE($D$2,$B$2,1),0)),"",SUMIFS(DATA_GOC!$H:$H,DATA_GOC!$A:$A,"BOM",DATA_GOC!$D:$D,$B158,DATA_GOC!$F:$F,"Xuất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8" s="61" t="str">
        <f>IF($B158="","",IF(D$4&gt;DAY(EOMONTH(DATE($D$2,$B$2,1),0)),"",SUMIFS(DATA_GOC!$H:$H,DATA_GOC!$A:$A,"BOM",DATA_GOC!$D:$D,$B158,DATA_GOC!$F:$F,"Xuất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8" s="229" t="str">
        <f>IF($B158="","",IF(E$4&gt;DAY(EOMONTH(DATE($D$2,$B$2,1),0)),"",SUMIFS(DATA_GOC!$H:$H,DATA_GOC!$A:$A,"BOM",DATA_GOC!$D:$D,$B158,DATA_GOC!$F:$F,"Xuất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8" s="229" t="str">
        <f>IF($B158="","",IF(F$4&gt;DAY(EOMONTH(DATE($D$2,$B$2,1),0)),"",SUMIFS(DATA_GOC!$H:$H,DATA_GOC!$A:$A,"BOM",DATA_GOC!$D:$D,$B158,DATA_GOC!$F:$F,"Xuất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8" s="229" t="str">
        <f>IF($B158="","",IF(G$4&gt;DAY(EOMONTH(DATE($D$2,$B$2,1),0)),"",SUMIFS(DATA_GOC!$H:$H,DATA_GOC!$A:$A,"BOM",DATA_GOC!$D:$D,$B158,DATA_GOC!$F:$F,"Xuất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8" s="228" t="str">
        <f>IF($B158="","",IF(H$4&gt;DAY(EOMONTH(DATE($D$2,$B$2,1),0)),"",SUMIFS(DATA_GOC!$H:$H,DATA_GOC!$A:$A,"BOM",DATA_GOC!$D:$D,$B158,DATA_GOC!$F:$F,"Xuất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8" s="229" t="str">
        <f>IF($B158="","",IF(I$4&gt;DAY(EOMONTH(DATE($D$2,$B$2,1),0)),"",SUMIFS(DATA_GOC!$H:$H,DATA_GOC!$A:$A,"BOM",DATA_GOC!$D:$D,$B158,DATA_GOC!$F:$F,"Xuất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8" s="229" t="str">
        <f>IF($B158="","",IF(J$4&gt;DAY(EOMONTH(DATE($D$2,$B$2,1),0)),"",SUMIFS(DATA_GOC!$H:$H,DATA_GOC!$A:$A,"BOM",DATA_GOC!$D:$D,$B158,DATA_GOC!$F:$F,"Xuất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8" s="229" t="str">
        <f>IF($B158="","",IF(K$4&gt;DAY(EOMONTH(DATE($D$2,$B$2,1),0)),"",SUMIFS(DATA_GOC!$H:$H,DATA_GOC!$A:$A,"BOM",DATA_GOC!$D:$D,$B158,DATA_GOC!$F:$F,"Xuất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8" s="229" t="str">
        <f>IF($B158="","",IF(L$4&gt;DAY(EOMONTH(DATE($D$2,$B$2,1),0)),"",SUMIFS(DATA_GOC!$H:$H,DATA_GOC!$A:$A,"BOM",DATA_GOC!$D:$D,$B158,DATA_GOC!$F:$F,"Xuất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8" s="229" t="str">
        <f>IF($B158="","",IF(M$4&gt;DAY(EOMONTH(DATE($D$2,$B$2,1),0)),"",SUMIFS(DATA_GOC!$H:$H,DATA_GOC!$A:$A,"BOM",DATA_GOC!$D:$D,$B158,DATA_GOC!$F:$F,"Xuất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8" s="61" t="str">
        <f>IF($B158="","",IF(N$4&gt;DAY(EOMONTH(DATE($D$2,$B$2,1),0)),"",SUMIFS(DATA_GOC!$H:$H,DATA_GOC!$A:$A,"BOM",DATA_GOC!$D:$D,$B158,DATA_GOC!$F:$F,"Xuất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8" s="61" t="str">
        <f>IF($B158="","",IF(O$4&gt;DAY(EOMONTH(DATE($D$2,$B$2,1),0)),"",SUMIFS(DATA_GOC!$H:$H,DATA_GOC!$A:$A,"BOM",DATA_GOC!$D:$D,$B158,DATA_GOC!$F:$F,"Xuất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8" s="61" t="str">
        <f>IF($B158="","",IF(P$4&gt;DAY(EOMONTH(DATE($D$2,$B$2,1),0)),"",SUMIFS(DATA_GOC!$H:$H,DATA_GOC!$A:$A,"BOM",DATA_GOC!$D:$D,$B158,DATA_GOC!$F:$F,"Xuất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8" s="61" t="str">
        <f>IF($B158="","",IF(Q$4&gt;DAY(EOMONTH(DATE($D$2,$B$2,1),0)),"",SUMIFS(DATA_GOC!$H:$H,DATA_GOC!$A:$A,"BOM",DATA_GOC!$D:$D,$B158,DATA_GOC!$F:$F,"Xuất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8" s="61" t="str">
        <f>IF($B158="","",IF(R$4&gt;DAY(EOMONTH(DATE($D$2,$B$2,1),0)),"",SUMIFS(DATA_GOC!$H:$H,DATA_GOC!$A:$A,"BOM",DATA_GOC!$D:$D,$B158,DATA_GOC!$F:$F,"Xuất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8" s="61" t="str">
        <f>IF($B158="","",IF(S$4&gt;DAY(EOMONTH(DATE($D$2,$B$2,1),0)),"",SUMIFS(DATA_GOC!$H:$H,DATA_GOC!$A:$A,"BOM",DATA_GOC!$D:$D,$B158,DATA_GOC!$F:$F,"Xuất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8" s="229" t="str">
        <f>IF($B158="","",IF(T$4&gt;DAY(EOMONTH(DATE($D$2,$B$2,1),0)),"",SUMIFS(DATA_GOC!$H:$H,DATA_GOC!$A:$A,"BOM",DATA_GOC!$D:$D,$B158,DATA_GOC!$F:$F,"Xuất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8" s="229" t="str">
        <f>IF($B158="","",IF(U$4&gt;DAY(EOMONTH(DATE($D$2,$B$2,1),0)),"",SUMIFS(DATA_GOC!$H:$H,DATA_GOC!$A:$A,"BOM",DATA_GOC!$D:$D,$B158,DATA_GOC!$F:$F,"Xuất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8" s="229" t="str">
        <f>IF($B158="","",IF(V$4&gt;DAY(EOMONTH(DATE($D$2,$B$2,1),0)),"",SUMIFS(DATA_GOC!$H:$H,DATA_GOC!$A:$A,"BOM",DATA_GOC!$D:$D,$B158,DATA_GOC!$F:$F,"Xuất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8" s="61" t="str">
        <f>IF($B158="","",IF(W$4&gt;DAY(EOMONTH(DATE($D$2,$B$2,1),0)),"",SUMIFS(DATA_GOC!$H:$H,DATA_GOC!$A:$A,"BOM",DATA_GOC!$D:$D,$B158,DATA_GOC!$F:$F,"Xuất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8" s="229" t="str">
        <f>IF($B158="","",IF(X$4&gt;DAY(EOMONTH(DATE($D$2,$B$2,1),0)),"",SUMIFS(DATA_GOC!$H:$H,DATA_GOC!$A:$A,"BOM",DATA_GOC!$D:$D,$B158,DATA_GOC!$F:$F,"Xuất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8" s="229" t="str">
        <f>IF($B158="","",IF(Y$4&gt;DAY(EOMONTH(DATE($D$2,$B$2,1),0)),"",SUMIFS(DATA_GOC!$H:$H,DATA_GOC!$A:$A,"BOM",DATA_GOC!$D:$D,$B158,DATA_GOC!$F:$F,"Xuất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8" s="229" t="str">
        <f>IF($B158="","",IF(Z$4&gt;DAY(EOMONTH(DATE($D$2,$B$2,1),0)),"",SUMIFS(DATA_GOC!$H:$H,DATA_GOC!$A:$A,"BOM",DATA_GOC!$D:$D,$B158,DATA_GOC!$F:$F,"Xuất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8" s="229" t="str">
        <f>IF($B158="","",IF(AA$4&gt;DAY(EOMONTH(DATE($D$2,$B$2,1),0)),"",SUMIFS(DATA_GOC!$H:$H,DATA_GOC!$A:$A,"BOM",DATA_GOC!$D:$D,$B158,DATA_GOC!$F:$F,"Xuất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8" s="229" t="str">
        <f>IF($B158="","",IF(AB$4&gt;DAY(EOMONTH(DATE($D$2,$B$2,1),0)),"",SUMIFS(DATA_GOC!$H:$H,DATA_GOC!$A:$A,"BOM",DATA_GOC!$D:$D,$B158,DATA_GOC!$F:$F,"Xuất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8" s="61" t="str">
        <f>IF($B158="","",IF(AC$4&gt;DAY(EOMONTH(DATE($D$2,$B$2,1),0)),"",SUMIFS(DATA_GOC!$H:$H,DATA_GOC!$A:$A,"BOM",DATA_GOC!$D:$D,$B158,DATA_GOC!$F:$F,"Xuất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8" s="222" t="str">
        <f>IF($B158="","",IF(AD$4&gt;DAY(EOMONTH(DATE($D$2,$B$2,1),0)),"",SUMIFS(DATA_GOC!$H:$H,DATA_GOC!$A:$A,"BOM",DATA_GOC!$D:$D,$B158,DATA_GOC!$F:$F,"Xuất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8" s="222" t="str">
        <f>IF($B158="","",IF(AE$4&gt;DAY(EOMONTH(DATE($D$2,$B$2,1),0)),"",SUMIFS(DATA_GOC!$H:$H,DATA_GOC!$A:$A,"BOM",DATA_GOC!$D:$D,$B158,DATA_GOC!$F:$F,"Xuất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8" s="222" t="str">
        <f>IF($B158="","",IF(AF$4&gt;DAY(EOMONTH(DATE($D$2,$B$2,1),0)),"",SUMIFS(DATA_GOC!$H:$H,DATA_GOC!$A:$A,"BOM",DATA_GOC!$D:$D,$B158,DATA_GOC!$F:$F,"Xuất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8" s="222" t="str">
        <f>IF($B158="","",IF(AG$4&gt;DAY(EOMONTH(DATE($D$2,$B$2,1),0)),"",SUMIFS(DATA_GOC!$H:$H,DATA_GOC!$A:$A,"BOM",DATA_GOC!$D:$D,$B158,DATA_GOC!$F:$F,"Xuất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8" s="222" t="str">
        <f t="shared" si="2"/>
        <v/>
      </c>
      <c r="AI158" s="222" t="str">
        <f>IF($B158="","",SUMIFS(DATA_GOC!$H:$H,DATA_GOC!$A:$A,"BOM",DATA_GOC!$D:$D,$B158,DATA_GOC!$F:$F,"Bơm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8" s="222" t="str">
        <f t="shared" si="3"/>
        <v/>
      </c>
      <c r="AM158" s="222" t="str">
        <f>IF($B158="","",SUMIFS(DATA_GOC!$K:$K,DATA_GOC!$A:$A,"BOM",DATA_GOC!$D:$D,$B158,DATA_GOC!$G:$G,"DO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8" s="222" t="str">
        <f t="shared" si="4"/>
        <v/>
      </c>
      <c r="AO158" s="227" t="str">
        <f t="shared" si="5"/>
        <v/>
      </c>
      <c r="AP158" s="226" t="str">
        <f>IF($B158="","",IFERROR(AO158-(SUMIFS(DATA_GOC!$H:$H,DATA_GOC!$A:$A,"BOM",DATA_GOC!$D:$D,$B158,DATA_GOC!$F:$F,"Xuất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8" s="59">
        <v>4.0</v>
      </c>
      <c r="AR158" s="59">
        <v>2026.0</v>
      </c>
      <c r="AS158" s="59" t="s">
        <v>148</v>
      </c>
      <c r="AT158" s="59">
        <v>797.647</v>
      </c>
      <c r="AU158" s="59">
        <v>0.0</v>
      </c>
      <c r="AV158" s="59">
        <v>797.647</v>
      </c>
      <c r="AW158" s="59">
        <v>1353.0</v>
      </c>
      <c r="AX158" s="59">
        <v>58.9539541759054</v>
      </c>
      <c r="AY158" s="59">
        <v>320.83</v>
      </c>
      <c r="AZ158" s="59">
        <v>476.817</v>
      </c>
      <c r="BA158" s="59">
        <v>2.83</v>
      </c>
      <c r="BB158" s="59">
        <v>0.0</v>
      </c>
      <c r="BC158" s="59" t="s">
        <v>513</v>
      </c>
    </row>
    <row r="159" ht="15.0" customHeight="1">
      <c r="A159" s="61" t="str">
        <f t="shared" si="1"/>
        <v/>
      </c>
      <c r="B159" s="228" t="str">
        <f t="array" ref="B159">IFERROR(INDEX(DANH_MUC!$E:$E,ROW()-1),"")</f>
        <v/>
      </c>
      <c r="C159" s="228" t="str">
        <f>IF($B159="","",IF(C$4&gt;DAY(EOMONTH(DATE($D$2,$B$2,1),0)),"",SUMIFS(DATA_GOC!$H:$H,DATA_GOC!$A:$A,"BOM",DATA_GOC!$D:$D,$B159,DATA_GOC!$F:$F,"Xuất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59" s="61" t="str">
        <f>IF($B159="","",IF(D$4&gt;DAY(EOMONTH(DATE($D$2,$B$2,1),0)),"",SUMIFS(DATA_GOC!$H:$H,DATA_GOC!$A:$A,"BOM",DATA_GOC!$D:$D,$B159,DATA_GOC!$F:$F,"Xuất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59" s="229" t="str">
        <f>IF($B159="","",IF(E$4&gt;DAY(EOMONTH(DATE($D$2,$B$2,1),0)),"",SUMIFS(DATA_GOC!$H:$H,DATA_GOC!$A:$A,"BOM",DATA_GOC!$D:$D,$B159,DATA_GOC!$F:$F,"Xuất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59" s="229" t="str">
        <f>IF($B159="","",IF(F$4&gt;DAY(EOMONTH(DATE($D$2,$B$2,1),0)),"",SUMIFS(DATA_GOC!$H:$H,DATA_GOC!$A:$A,"BOM",DATA_GOC!$D:$D,$B159,DATA_GOC!$F:$F,"Xuất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59" s="229" t="str">
        <f>IF($B159="","",IF(G$4&gt;DAY(EOMONTH(DATE($D$2,$B$2,1),0)),"",SUMIFS(DATA_GOC!$H:$H,DATA_GOC!$A:$A,"BOM",DATA_GOC!$D:$D,$B159,DATA_GOC!$F:$F,"Xuất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59" s="228" t="str">
        <f>IF($B159="","",IF(H$4&gt;DAY(EOMONTH(DATE($D$2,$B$2,1),0)),"",SUMIFS(DATA_GOC!$H:$H,DATA_GOC!$A:$A,"BOM",DATA_GOC!$D:$D,$B159,DATA_GOC!$F:$F,"Xuất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59" s="229" t="str">
        <f>IF($B159="","",IF(I$4&gt;DAY(EOMONTH(DATE($D$2,$B$2,1),0)),"",SUMIFS(DATA_GOC!$H:$H,DATA_GOC!$A:$A,"BOM",DATA_GOC!$D:$D,$B159,DATA_GOC!$F:$F,"Xuất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59" s="229" t="str">
        <f>IF($B159="","",IF(J$4&gt;DAY(EOMONTH(DATE($D$2,$B$2,1),0)),"",SUMIFS(DATA_GOC!$H:$H,DATA_GOC!$A:$A,"BOM",DATA_GOC!$D:$D,$B159,DATA_GOC!$F:$F,"Xuất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59" s="229" t="str">
        <f>IF($B159="","",IF(K$4&gt;DAY(EOMONTH(DATE($D$2,$B$2,1),0)),"",SUMIFS(DATA_GOC!$H:$H,DATA_GOC!$A:$A,"BOM",DATA_GOC!$D:$D,$B159,DATA_GOC!$F:$F,"Xuất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59" s="229" t="str">
        <f>IF($B159="","",IF(L$4&gt;DAY(EOMONTH(DATE($D$2,$B$2,1),0)),"",SUMIFS(DATA_GOC!$H:$H,DATA_GOC!$A:$A,"BOM",DATA_GOC!$D:$D,$B159,DATA_GOC!$F:$F,"Xuất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59" s="229" t="str">
        <f>IF($B159="","",IF(M$4&gt;DAY(EOMONTH(DATE($D$2,$B$2,1),0)),"",SUMIFS(DATA_GOC!$H:$H,DATA_GOC!$A:$A,"BOM",DATA_GOC!$D:$D,$B159,DATA_GOC!$F:$F,"Xuất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59" s="61" t="str">
        <f>IF($B159="","",IF(N$4&gt;DAY(EOMONTH(DATE($D$2,$B$2,1),0)),"",SUMIFS(DATA_GOC!$H:$H,DATA_GOC!$A:$A,"BOM",DATA_GOC!$D:$D,$B159,DATA_GOC!$F:$F,"Xuất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59" s="61" t="str">
        <f>IF($B159="","",IF(O$4&gt;DAY(EOMONTH(DATE($D$2,$B$2,1),0)),"",SUMIFS(DATA_GOC!$H:$H,DATA_GOC!$A:$A,"BOM",DATA_GOC!$D:$D,$B159,DATA_GOC!$F:$F,"Xuất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59" s="61" t="str">
        <f>IF($B159="","",IF(P$4&gt;DAY(EOMONTH(DATE($D$2,$B$2,1),0)),"",SUMIFS(DATA_GOC!$H:$H,DATA_GOC!$A:$A,"BOM",DATA_GOC!$D:$D,$B159,DATA_GOC!$F:$F,"Xuất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59" s="61" t="str">
        <f>IF($B159="","",IF(Q$4&gt;DAY(EOMONTH(DATE($D$2,$B$2,1),0)),"",SUMIFS(DATA_GOC!$H:$H,DATA_GOC!$A:$A,"BOM",DATA_GOC!$D:$D,$B159,DATA_GOC!$F:$F,"Xuất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59" s="61" t="str">
        <f>IF($B159="","",IF(R$4&gt;DAY(EOMONTH(DATE($D$2,$B$2,1),0)),"",SUMIFS(DATA_GOC!$H:$H,DATA_GOC!$A:$A,"BOM",DATA_GOC!$D:$D,$B159,DATA_GOC!$F:$F,"Xuất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59" s="61" t="str">
        <f>IF($B159="","",IF(S$4&gt;DAY(EOMONTH(DATE($D$2,$B$2,1),0)),"",SUMIFS(DATA_GOC!$H:$H,DATA_GOC!$A:$A,"BOM",DATA_GOC!$D:$D,$B159,DATA_GOC!$F:$F,"Xuất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59" s="229" t="str">
        <f>IF($B159="","",IF(T$4&gt;DAY(EOMONTH(DATE($D$2,$B$2,1),0)),"",SUMIFS(DATA_GOC!$H:$H,DATA_GOC!$A:$A,"BOM",DATA_GOC!$D:$D,$B159,DATA_GOC!$F:$F,"Xuất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59" s="229" t="str">
        <f>IF($B159="","",IF(U$4&gt;DAY(EOMONTH(DATE($D$2,$B$2,1),0)),"",SUMIFS(DATA_GOC!$H:$H,DATA_GOC!$A:$A,"BOM",DATA_GOC!$D:$D,$B159,DATA_GOC!$F:$F,"Xuất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59" s="229" t="str">
        <f>IF($B159="","",IF(V$4&gt;DAY(EOMONTH(DATE($D$2,$B$2,1),0)),"",SUMIFS(DATA_GOC!$H:$H,DATA_GOC!$A:$A,"BOM",DATA_GOC!$D:$D,$B159,DATA_GOC!$F:$F,"Xuất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59" s="61" t="str">
        <f>IF($B159="","",IF(W$4&gt;DAY(EOMONTH(DATE($D$2,$B$2,1),0)),"",SUMIFS(DATA_GOC!$H:$H,DATA_GOC!$A:$A,"BOM",DATA_GOC!$D:$D,$B159,DATA_GOC!$F:$F,"Xuất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59" s="229" t="str">
        <f>IF($B159="","",IF(X$4&gt;DAY(EOMONTH(DATE($D$2,$B$2,1),0)),"",SUMIFS(DATA_GOC!$H:$H,DATA_GOC!$A:$A,"BOM",DATA_GOC!$D:$D,$B159,DATA_GOC!$F:$F,"Xuất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59" s="229" t="str">
        <f>IF($B159="","",IF(Y$4&gt;DAY(EOMONTH(DATE($D$2,$B$2,1),0)),"",SUMIFS(DATA_GOC!$H:$H,DATA_GOC!$A:$A,"BOM",DATA_GOC!$D:$D,$B159,DATA_GOC!$F:$F,"Xuất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59" s="229" t="str">
        <f>IF($B159="","",IF(Z$4&gt;DAY(EOMONTH(DATE($D$2,$B$2,1),0)),"",SUMIFS(DATA_GOC!$H:$H,DATA_GOC!$A:$A,"BOM",DATA_GOC!$D:$D,$B159,DATA_GOC!$F:$F,"Xuất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59" s="229" t="str">
        <f>IF($B159="","",IF(AA$4&gt;DAY(EOMONTH(DATE($D$2,$B$2,1),0)),"",SUMIFS(DATA_GOC!$H:$H,DATA_GOC!$A:$A,"BOM",DATA_GOC!$D:$D,$B159,DATA_GOC!$F:$F,"Xuất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59" s="229" t="str">
        <f>IF($B159="","",IF(AB$4&gt;DAY(EOMONTH(DATE($D$2,$B$2,1),0)),"",SUMIFS(DATA_GOC!$H:$H,DATA_GOC!$A:$A,"BOM",DATA_GOC!$D:$D,$B159,DATA_GOC!$F:$F,"Xuất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59" s="61" t="str">
        <f>IF($B159="","",IF(AC$4&gt;DAY(EOMONTH(DATE($D$2,$B$2,1),0)),"",SUMIFS(DATA_GOC!$H:$H,DATA_GOC!$A:$A,"BOM",DATA_GOC!$D:$D,$B159,DATA_GOC!$F:$F,"Xuất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59" s="222" t="str">
        <f>IF($B159="","",IF(AD$4&gt;DAY(EOMONTH(DATE($D$2,$B$2,1),0)),"",SUMIFS(DATA_GOC!$H:$H,DATA_GOC!$A:$A,"BOM",DATA_GOC!$D:$D,$B159,DATA_GOC!$F:$F,"Xuất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59" s="222" t="str">
        <f>IF($B159="","",IF(AE$4&gt;DAY(EOMONTH(DATE($D$2,$B$2,1),0)),"",SUMIFS(DATA_GOC!$H:$H,DATA_GOC!$A:$A,"BOM",DATA_GOC!$D:$D,$B159,DATA_GOC!$F:$F,"Xuất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59" s="222" t="str">
        <f>IF($B159="","",IF(AF$4&gt;DAY(EOMONTH(DATE($D$2,$B$2,1),0)),"",SUMIFS(DATA_GOC!$H:$H,DATA_GOC!$A:$A,"BOM",DATA_GOC!$D:$D,$B159,DATA_GOC!$F:$F,"Xuất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59" s="222" t="str">
        <f>IF($B159="","",IF(AG$4&gt;DAY(EOMONTH(DATE($D$2,$B$2,1),0)),"",SUMIFS(DATA_GOC!$H:$H,DATA_GOC!$A:$A,"BOM",DATA_GOC!$D:$D,$B159,DATA_GOC!$F:$F,"Xuất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59" s="222" t="str">
        <f t="shared" si="2"/>
        <v/>
      </c>
      <c r="AI159" s="222" t="str">
        <f>IF($B159="","",SUMIFS(DATA_GOC!$H:$H,DATA_GOC!$A:$A,"BOM",DATA_GOC!$D:$D,$B159,DATA_GOC!$F:$F,"Bơm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59" s="222" t="str">
        <f t="shared" si="3"/>
        <v/>
      </c>
      <c r="AM159" s="222" t="str">
        <f>IF($B159="","",SUMIFS(DATA_GOC!$K:$K,DATA_GOC!$A:$A,"BOM",DATA_GOC!$D:$D,$B159,DATA_GOC!$G:$G,"DO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59" s="222" t="str">
        <f t="shared" si="4"/>
        <v/>
      </c>
      <c r="AO159" s="227" t="str">
        <f t="shared" si="5"/>
        <v/>
      </c>
      <c r="AP159" s="226" t="str">
        <f>IF($B159="","",IFERROR(AO159-(SUMIFS(DATA_GOC!$H:$H,DATA_GOC!$A:$A,"BOM",DATA_GOC!$D:$D,$B159,DATA_GOC!$F:$F,"Xuất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số",DATA_GOC!$B:$B,"&gt;="&amp;EDATE(DATE($D$2,$B$2,1),-1),DATA_GOC!$B:$B,"&lt;"&amp;DATE($D$2,$B$2,1))/SUMIFS(DATA_GOC!$K:$K,DATA_GOC!$A:$A,"BOM",DATA_GOC!$D:$D,$B159,DATA_GOC!$G:$G,"DO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59" s="59">
        <v>4.0</v>
      </c>
      <c r="AR159" s="59">
        <v>2026.0</v>
      </c>
      <c r="AS159" s="59" t="s">
        <v>132</v>
      </c>
      <c r="AT159" s="59">
        <v>477.1</v>
      </c>
      <c r="AU159" s="59">
        <v>0.0</v>
      </c>
      <c r="AV159" s="59">
        <v>477.1</v>
      </c>
      <c r="AW159" s="59">
        <v>882.0</v>
      </c>
      <c r="AX159" s="59">
        <v>54.092970521542</v>
      </c>
      <c r="AY159" s="59">
        <v>0.0</v>
      </c>
      <c r="AZ159" s="59">
        <v>477.1</v>
      </c>
      <c r="BA159" s="59">
        <v>0.0</v>
      </c>
      <c r="BB159" s="59">
        <v>0.0</v>
      </c>
      <c r="BC159" s="59" t="s">
        <v>514</v>
      </c>
    </row>
    <row r="160" ht="15.0" customHeight="1">
      <c r="A160" s="61" t="str">
        <f t="shared" si="1"/>
        <v/>
      </c>
      <c r="B160" s="228" t="str">
        <f t="array" ref="B160">IFERROR(INDEX(DANH_MUC!$E:$E,ROW()-1),"")</f>
        <v/>
      </c>
      <c r="C160" s="228" t="str">
        <f>IF($B160="","",IF(C$4&gt;DAY(EOMONTH(DATE($D$2,$B$2,1),0)),"",SUMIFS(DATA_GOC!$H:$H,DATA_GOC!$A:$A,"BOM",DATA_GOC!$D:$D,$B160,DATA_GOC!$F:$F,"Xuất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0" s="61" t="str">
        <f>IF($B160="","",IF(D$4&gt;DAY(EOMONTH(DATE($D$2,$B$2,1),0)),"",SUMIFS(DATA_GOC!$H:$H,DATA_GOC!$A:$A,"BOM",DATA_GOC!$D:$D,$B160,DATA_GOC!$F:$F,"Xuất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0" s="229" t="str">
        <f>IF($B160="","",IF(E$4&gt;DAY(EOMONTH(DATE($D$2,$B$2,1),0)),"",SUMIFS(DATA_GOC!$H:$H,DATA_GOC!$A:$A,"BOM",DATA_GOC!$D:$D,$B160,DATA_GOC!$F:$F,"Xuất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0" s="229" t="str">
        <f>IF($B160="","",IF(F$4&gt;DAY(EOMONTH(DATE($D$2,$B$2,1),0)),"",SUMIFS(DATA_GOC!$H:$H,DATA_GOC!$A:$A,"BOM",DATA_GOC!$D:$D,$B160,DATA_GOC!$F:$F,"Xuất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0" s="229" t="str">
        <f>IF($B160="","",IF(G$4&gt;DAY(EOMONTH(DATE($D$2,$B$2,1),0)),"",SUMIFS(DATA_GOC!$H:$H,DATA_GOC!$A:$A,"BOM",DATA_GOC!$D:$D,$B160,DATA_GOC!$F:$F,"Xuất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0" s="228" t="str">
        <f>IF($B160="","",IF(H$4&gt;DAY(EOMONTH(DATE($D$2,$B$2,1),0)),"",SUMIFS(DATA_GOC!$H:$H,DATA_GOC!$A:$A,"BOM",DATA_GOC!$D:$D,$B160,DATA_GOC!$F:$F,"Xuất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0" s="229" t="str">
        <f>IF($B160="","",IF(I$4&gt;DAY(EOMONTH(DATE($D$2,$B$2,1),0)),"",SUMIFS(DATA_GOC!$H:$H,DATA_GOC!$A:$A,"BOM",DATA_GOC!$D:$D,$B160,DATA_GOC!$F:$F,"Xuất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0" s="229" t="str">
        <f>IF($B160="","",IF(J$4&gt;DAY(EOMONTH(DATE($D$2,$B$2,1),0)),"",SUMIFS(DATA_GOC!$H:$H,DATA_GOC!$A:$A,"BOM",DATA_GOC!$D:$D,$B160,DATA_GOC!$F:$F,"Xuất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0" s="229" t="str">
        <f>IF($B160="","",IF(K$4&gt;DAY(EOMONTH(DATE($D$2,$B$2,1),0)),"",SUMIFS(DATA_GOC!$H:$H,DATA_GOC!$A:$A,"BOM",DATA_GOC!$D:$D,$B160,DATA_GOC!$F:$F,"Xuất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0" s="229" t="str">
        <f>IF($B160="","",IF(L$4&gt;DAY(EOMONTH(DATE($D$2,$B$2,1),0)),"",SUMIFS(DATA_GOC!$H:$H,DATA_GOC!$A:$A,"BOM",DATA_GOC!$D:$D,$B160,DATA_GOC!$F:$F,"Xuất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0" s="229" t="str">
        <f>IF($B160="","",IF(M$4&gt;DAY(EOMONTH(DATE($D$2,$B$2,1),0)),"",SUMIFS(DATA_GOC!$H:$H,DATA_GOC!$A:$A,"BOM",DATA_GOC!$D:$D,$B160,DATA_GOC!$F:$F,"Xuất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0" s="61" t="str">
        <f>IF($B160="","",IF(N$4&gt;DAY(EOMONTH(DATE($D$2,$B$2,1),0)),"",SUMIFS(DATA_GOC!$H:$H,DATA_GOC!$A:$A,"BOM",DATA_GOC!$D:$D,$B160,DATA_GOC!$F:$F,"Xuất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0" s="61" t="str">
        <f>IF($B160="","",IF(O$4&gt;DAY(EOMONTH(DATE($D$2,$B$2,1),0)),"",SUMIFS(DATA_GOC!$H:$H,DATA_GOC!$A:$A,"BOM",DATA_GOC!$D:$D,$B160,DATA_GOC!$F:$F,"Xuất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0" s="61" t="str">
        <f>IF($B160="","",IF(P$4&gt;DAY(EOMONTH(DATE($D$2,$B$2,1),0)),"",SUMIFS(DATA_GOC!$H:$H,DATA_GOC!$A:$A,"BOM",DATA_GOC!$D:$D,$B160,DATA_GOC!$F:$F,"Xuất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0" s="61" t="str">
        <f>IF($B160="","",IF(Q$4&gt;DAY(EOMONTH(DATE($D$2,$B$2,1),0)),"",SUMIFS(DATA_GOC!$H:$H,DATA_GOC!$A:$A,"BOM",DATA_GOC!$D:$D,$B160,DATA_GOC!$F:$F,"Xuất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0" s="61" t="str">
        <f>IF($B160="","",IF(R$4&gt;DAY(EOMONTH(DATE($D$2,$B$2,1),0)),"",SUMIFS(DATA_GOC!$H:$H,DATA_GOC!$A:$A,"BOM",DATA_GOC!$D:$D,$B160,DATA_GOC!$F:$F,"Xuất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0" s="61" t="str">
        <f>IF($B160="","",IF(S$4&gt;DAY(EOMONTH(DATE($D$2,$B$2,1),0)),"",SUMIFS(DATA_GOC!$H:$H,DATA_GOC!$A:$A,"BOM",DATA_GOC!$D:$D,$B160,DATA_GOC!$F:$F,"Xuất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0" s="229" t="str">
        <f>IF($B160="","",IF(T$4&gt;DAY(EOMONTH(DATE($D$2,$B$2,1),0)),"",SUMIFS(DATA_GOC!$H:$H,DATA_GOC!$A:$A,"BOM",DATA_GOC!$D:$D,$B160,DATA_GOC!$F:$F,"Xuất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0" s="229" t="str">
        <f>IF($B160="","",IF(U$4&gt;DAY(EOMONTH(DATE($D$2,$B$2,1),0)),"",SUMIFS(DATA_GOC!$H:$H,DATA_GOC!$A:$A,"BOM",DATA_GOC!$D:$D,$B160,DATA_GOC!$F:$F,"Xuất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0" s="229" t="str">
        <f>IF($B160="","",IF(V$4&gt;DAY(EOMONTH(DATE($D$2,$B$2,1),0)),"",SUMIFS(DATA_GOC!$H:$H,DATA_GOC!$A:$A,"BOM",DATA_GOC!$D:$D,$B160,DATA_GOC!$F:$F,"Xuất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0" s="61" t="str">
        <f>IF($B160="","",IF(W$4&gt;DAY(EOMONTH(DATE($D$2,$B$2,1),0)),"",SUMIFS(DATA_GOC!$H:$H,DATA_GOC!$A:$A,"BOM",DATA_GOC!$D:$D,$B160,DATA_GOC!$F:$F,"Xuất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0" s="229" t="str">
        <f>IF($B160="","",IF(X$4&gt;DAY(EOMONTH(DATE($D$2,$B$2,1),0)),"",SUMIFS(DATA_GOC!$H:$H,DATA_GOC!$A:$A,"BOM",DATA_GOC!$D:$D,$B160,DATA_GOC!$F:$F,"Xuất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0" s="229" t="str">
        <f>IF($B160="","",IF(Y$4&gt;DAY(EOMONTH(DATE($D$2,$B$2,1),0)),"",SUMIFS(DATA_GOC!$H:$H,DATA_GOC!$A:$A,"BOM",DATA_GOC!$D:$D,$B160,DATA_GOC!$F:$F,"Xuất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0" s="229" t="str">
        <f>IF($B160="","",IF(Z$4&gt;DAY(EOMONTH(DATE($D$2,$B$2,1),0)),"",SUMIFS(DATA_GOC!$H:$H,DATA_GOC!$A:$A,"BOM",DATA_GOC!$D:$D,$B160,DATA_GOC!$F:$F,"Xuất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0" s="229" t="str">
        <f>IF($B160="","",IF(AA$4&gt;DAY(EOMONTH(DATE($D$2,$B$2,1),0)),"",SUMIFS(DATA_GOC!$H:$H,DATA_GOC!$A:$A,"BOM",DATA_GOC!$D:$D,$B160,DATA_GOC!$F:$F,"Xuất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0" s="229" t="str">
        <f>IF($B160="","",IF(AB$4&gt;DAY(EOMONTH(DATE($D$2,$B$2,1),0)),"",SUMIFS(DATA_GOC!$H:$H,DATA_GOC!$A:$A,"BOM",DATA_GOC!$D:$D,$B160,DATA_GOC!$F:$F,"Xuất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0" s="61" t="str">
        <f>IF($B160="","",IF(AC$4&gt;DAY(EOMONTH(DATE($D$2,$B$2,1),0)),"",SUMIFS(DATA_GOC!$H:$H,DATA_GOC!$A:$A,"BOM",DATA_GOC!$D:$D,$B160,DATA_GOC!$F:$F,"Xuất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0" s="222" t="str">
        <f>IF($B160="","",IF(AD$4&gt;DAY(EOMONTH(DATE($D$2,$B$2,1),0)),"",SUMIFS(DATA_GOC!$H:$H,DATA_GOC!$A:$A,"BOM",DATA_GOC!$D:$D,$B160,DATA_GOC!$F:$F,"Xuất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0" s="222" t="str">
        <f>IF($B160="","",IF(AE$4&gt;DAY(EOMONTH(DATE($D$2,$B$2,1),0)),"",SUMIFS(DATA_GOC!$H:$H,DATA_GOC!$A:$A,"BOM",DATA_GOC!$D:$D,$B160,DATA_GOC!$F:$F,"Xuất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0" s="222" t="str">
        <f>IF($B160="","",IF(AF$4&gt;DAY(EOMONTH(DATE($D$2,$B$2,1),0)),"",SUMIFS(DATA_GOC!$H:$H,DATA_GOC!$A:$A,"BOM",DATA_GOC!$D:$D,$B160,DATA_GOC!$F:$F,"Xuất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0" s="222" t="str">
        <f>IF($B160="","",IF(AG$4&gt;DAY(EOMONTH(DATE($D$2,$B$2,1),0)),"",SUMIFS(DATA_GOC!$H:$H,DATA_GOC!$A:$A,"BOM",DATA_GOC!$D:$D,$B160,DATA_GOC!$F:$F,"Xuất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0" s="222" t="str">
        <f t="shared" si="2"/>
        <v/>
      </c>
      <c r="AI160" s="222" t="str">
        <f>IF($B160="","",SUMIFS(DATA_GOC!$H:$H,DATA_GOC!$A:$A,"BOM",DATA_GOC!$D:$D,$B160,DATA_GOC!$F:$F,"Bơm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0" s="222" t="str">
        <f t="shared" si="3"/>
        <v/>
      </c>
      <c r="AM160" s="222" t="str">
        <f>IF($B160="","",SUMIFS(DATA_GOC!$K:$K,DATA_GOC!$A:$A,"BOM",DATA_GOC!$D:$D,$B160,DATA_GOC!$G:$G,"DO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0" s="222" t="str">
        <f t="shared" si="4"/>
        <v/>
      </c>
      <c r="AO160" s="227" t="str">
        <f t="shared" si="5"/>
        <v/>
      </c>
      <c r="AP160" s="226" t="str">
        <f>IF($B160="","",IFERROR(AO160-(SUMIFS(DATA_GOC!$H:$H,DATA_GOC!$A:$A,"BOM",DATA_GOC!$D:$D,$B160,DATA_GOC!$F:$F,"Xuất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0" s="59">
        <v>4.0</v>
      </c>
      <c r="AR160" s="59">
        <v>2026.0</v>
      </c>
      <c r="AS160" s="59" t="s">
        <v>121</v>
      </c>
      <c r="AT160" s="59">
        <v>781.747</v>
      </c>
      <c r="AU160" s="59">
        <v>0.0</v>
      </c>
      <c r="AV160" s="59">
        <v>781.747</v>
      </c>
      <c r="AW160" s="59">
        <v>1430.0</v>
      </c>
      <c r="AX160" s="59">
        <v>54.6676223776224</v>
      </c>
      <c r="AY160" s="59">
        <v>300.66</v>
      </c>
      <c r="AZ160" s="59">
        <v>481.087</v>
      </c>
      <c r="BA160" s="59">
        <v>2.66</v>
      </c>
      <c r="BB160" s="59">
        <v>0.0</v>
      </c>
      <c r="BC160" s="59" t="s">
        <v>515</v>
      </c>
    </row>
    <row r="161" ht="15.0" customHeight="1">
      <c r="A161" s="61" t="str">
        <f t="shared" si="1"/>
        <v/>
      </c>
      <c r="B161" s="228" t="str">
        <f t="array" ref="B161">IFERROR(INDEX(DANH_MUC!$E:$E,ROW()-1),"")</f>
        <v/>
      </c>
      <c r="C161" s="228" t="str">
        <f>IF($B161="","",IF(C$4&gt;DAY(EOMONTH(DATE($D$2,$B$2,1),0)),"",SUMIFS(DATA_GOC!$H:$H,DATA_GOC!$A:$A,"BOM",DATA_GOC!$D:$D,$B161,DATA_GOC!$F:$F,"Xuất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1" s="61" t="str">
        <f>IF($B161="","",IF(D$4&gt;DAY(EOMONTH(DATE($D$2,$B$2,1),0)),"",SUMIFS(DATA_GOC!$H:$H,DATA_GOC!$A:$A,"BOM",DATA_GOC!$D:$D,$B161,DATA_GOC!$F:$F,"Xuất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1" s="229" t="str">
        <f>IF($B161="","",IF(E$4&gt;DAY(EOMONTH(DATE($D$2,$B$2,1),0)),"",SUMIFS(DATA_GOC!$H:$H,DATA_GOC!$A:$A,"BOM",DATA_GOC!$D:$D,$B161,DATA_GOC!$F:$F,"Xuất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1" s="229" t="str">
        <f>IF($B161="","",IF(F$4&gt;DAY(EOMONTH(DATE($D$2,$B$2,1),0)),"",SUMIFS(DATA_GOC!$H:$H,DATA_GOC!$A:$A,"BOM",DATA_GOC!$D:$D,$B161,DATA_GOC!$F:$F,"Xuất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1" s="229" t="str">
        <f>IF($B161="","",IF(G$4&gt;DAY(EOMONTH(DATE($D$2,$B$2,1),0)),"",SUMIFS(DATA_GOC!$H:$H,DATA_GOC!$A:$A,"BOM",DATA_GOC!$D:$D,$B161,DATA_GOC!$F:$F,"Xuất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1" s="228" t="str">
        <f>IF($B161="","",IF(H$4&gt;DAY(EOMONTH(DATE($D$2,$B$2,1),0)),"",SUMIFS(DATA_GOC!$H:$H,DATA_GOC!$A:$A,"BOM",DATA_GOC!$D:$D,$B161,DATA_GOC!$F:$F,"Xuất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1" s="229" t="str">
        <f>IF($B161="","",IF(I$4&gt;DAY(EOMONTH(DATE($D$2,$B$2,1),0)),"",SUMIFS(DATA_GOC!$H:$H,DATA_GOC!$A:$A,"BOM",DATA_GOC!$D:$D,$B161,DATA_GOC!$F:$F,"Xuất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1" s="229" t="str">
        <f>IF($B161="","",IF(J$4&gt;DAY(EOMONTH(DATE($D$2,$B$2,1),0)),"",SUMIFS(DATA_GOC!$H:$H,DATA_GOC!$A:$A,"BOM",DATA_GOC!$D:$D,$B161,DATA_GOC!$F:$F,"Xuất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1" s="229" t="str">
        <f>IF($B161="","",IF(K$4&gt;DAY(EOMONTH(DATE($D$2,$B$2,1),0)),"",SUMIFS(DATA_GOC!$H:$H,DATA_GOC!$A:$A,"BOM",DATA_GOC!$D:$D,$B161,DATA_GOC!$F:$F,"Xuất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1" s="229" t="str">
        <f>IF($B161="","",IF(L$4&gt;DAY(EOMONTH(DATE($D$2,$B$2,1),0)),"",SUMIFS(DATA_GOC!$H:$H,DATA_GOC!$A:$A,"BOM",DATA_GOC!$D:$D,$B161,DATA_GOC!$F:$F,"Xuất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1" s="229" t="str">
        <f>IF($B161="","",IF(M$4&gt;DAY(EOMONTH(DATE($D$2,$B$2,1),0)),"",SUMIFS(DATA_GOC!$H:$H,DATA_GOC!$A:$A,"BOM",DATA_GOC!$D:$D,$B161,DATA_GOC!$F:$F,"Xuất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1" s="61" t="str">
        <f>IF($B161="","",IF(N$4&gt;DAY(EOMONTH(DATE($D$2,$B$2,1),0)),"",SUMIFS(DATA_GOC!$H:$H,DATA_GOC!$A:$A,"BOM",DATA_GOC!$D:$D,$B161,DATA_GOC!$F:$F,"Xuất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1" s="61" t="str">
        <f>IF($B161="","",IF(O$4&gt;DAY(EOMONTH(DATE($D$2,$B$2,1),0)),"",SUMIFS(DATA_GOC!$H:$H,DATA_GOC!$A:$A,"BOM",DATA_GOC!$D:$D,$B161,DATA_GOC!$F:$F,"Xuất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1" s="61" t="str">
        <f>IF($B161="","",IF(P$4&gt;DAY(EOMONTH(DATE($D$2,$B$2,1),0)),"",SUMIFS(DATA_GOC!$H:$H,DATA_GOC!$A:$A,"BOM",DATA_GOC!$D:$D,$B161,DATA_GOC!$F:$F,"Xuất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1" s="61" t="str">
        <f>IF($B161="","",IF(Q$4&gt;DAY(EOMONTH(DATE($D$2,$B$2,1),0)),"",SUMIFS(DATA_GOC!$H:$H,DATA_GOC!$A:$A,"BOM",DATA_GOC!$D:$D,$B161,DATA_GOC!$F:$F,"Xuất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1" s="61" t="str">
        <f>IF($B161="","",IF(R$4&gt;DAY(EOMONTH(DATE($D$2,$B$2,1),0)),"",SUMIFS(DATA_GOC!$H:$H,DATA_GOC!$A:$A,"BOM",DATA_GOC!$D:$D,$B161,DATA_GOC!$F:$F,"Xuất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1" s="61" t="str">
        <f>IF($B161="","",IF(S$4&gt;DAY(EOMONTH(DATE($D$2,$B$2,1),0)),"",SUMIFS(DATA_GOC!$H:$H,DATA_GOC!$A:$A,"BOM",DATA_GOC!$D:$D,$B161,DATA_GOC!$F:$F,"Xuất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1" s="229" t="str">
        <f>IF($B161="","",IF(T$4&gt;DAY(EOMONTH(DATE($D$2,$B$2,1),0)),"",SUMIFS(DATA_GOC!$H:$H,DATA_GOC!$A:$A,"BOM",DATA_GOC!$D:$D,$B161,DATA_GOC!$F:$F,"Xuất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1" s="229" t="str">
        <f>IF($B161="","",IF(U$4&gt;DAY(EOMONTH(DATE($D$2,$B$2,1),0)),"",SUMIFS(DATA_GOC!$H:$H,DATA_GOC!$A:$A,"BOM",DATA_GOC!$D:$D,$B161,DATA_GOC!$F:$F,"Xuất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1" s="229" t="str">
        <f>IF($B161="","",IF(V$4&gt;DAY(EOMONTH(DATE($D$2,$B$2,1),0)),"",SUMIFS(DATA_GOC!$H:$H,DATA_GOC!$A:$A,"BOM",DATA_GOC!$D:$D,$B161,DATA_GOC!$F:$F,"Xuất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1" s="61" t="str">
        <f>IF($B161="","",IF(W$4&gt;DAY(EOMONTH(DATE($D$2,$B$2,1),0)),"",SUMIFS(DATA_GOC!$H:$H,DATA_GOC!$A:$A,"BOM",DATA_GOC!$D:$D,$B161,DATA_GOC!$F:$F,"Xuất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1" s="229" t="str">
        <f>IF($B161="","",IF(X$4&gt;DAY(EOMONTH(DATE($D$2,$B$2,1),0)),"",SUMIFS(DATA_GOC!$H:$H,DATA_GOC!$A:$A,"BOM",DATA_GOC!$D:$D,$B161,DATA_GOC!$F:$F,"Xuất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1" s="229" t="str">
        <f>IF($B161="","",IF(Y$4&gt;DAY(EOMONTH(DATE($D$2,$B$2,1),0)),"",SUMIFS(DATA_GOC!$H:$H,DATA_GOC!$A:$A,"BOM",DATA_GOC!$D:$D,$B161,DATA_GOC!$F:$F,"Xuất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1" s="229" t="str">
        <f>IF($B161="","",IF(Z$4&gt;DAY(EOMONTH(DATE($D$2,$B$2,1),0)),"",SUMIFS(DATA_GOC!$H:$H,DATA_GOC!$A:$A,"BOM",DATA_GOC!$D:$D,$B161,DATA_GOC!$F:$F,"Xuất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1" s="229" t="str">
        <f>IF($B161="","",IF(AA$4&gt;DAY(EOMONTH(DATE($D$2,$B$2,1),0)),"",SUMIFS(DATA_GOC!$H:$H,DATA_GOC!$A:$A,"BOM",DATA_GOC!$D:$D,$B161,DATA_GOC!$F:$F,"Xuất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1" s="229" t="str">
        <f>IF($B161="","",IF(AB$4&gt;DAY(EOMONTH(DATE($D$2,$B$2,1),0)),"",SUMIFS(DATA_GOC!$H:$H,DATA_GOC!$A:$A,"BOM",DATA_GOC!$D:$D,$B161,DATA_GOC!$F:$F,"Xuất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1" s="61" t="str">
        <f>IF($B161="","",IF(AC$4&gt;DAY(EOMONTH(DATE($D$2,$B$2,1),0)),"",SUMIFS(DATA_GOC!$H:$H,DATA_GOC!$A:$A,"BOM",DATA_GOC!$D:$D,$B161,DATA_GOC!$F:$F,"Xuất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1" s="222" t="str">
        <f>IF($B161="","",IF(AD$4&gt;DAY(EOMONTH(DATE($D$2,$B$2,1),0)),"",SUMIFS(DATA_GOC!$H:$H,DATA_GOC!$A:$A,"BOM",DATA_GOC!$D:$D,$B161,DATA_GOC!$F:$F,"Xuất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1" s="222" t="str">
        <f>IF($B161="","",IF(AE$4&gt;DAY(EOMONTH(DATE($D$2,$B$2,1),0)),"",SUMIFS(DATA_GOC!$H:$H,DATA_GOC!$A:$A,"BOM",DATA_GOC!$D:$D,$B161,DATA_GOC!$F:$F,"Xuất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1" s="222" t="str">
        <f>IF($B161="","",IF(AF$4&gt;DAY(EOMONTH(DATE($D$2,$B$2,1),0)),"",SUMIFS(DATA_GOC!$H:$H,DATA_GOC!$A:$A,"BOM",DATA_GOC!$D:$D,$B161,DATA_GOC!$F:$F,"Xuất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1" s="222" t="str">
        <f>IF($B161="","",IF(AG$4&gt;DAY(EOMONTH(DATE($D$2,$B$2,1),0)),"",SUMIFS(DATA_GOC!$H:$H,DATA_GOC!$A:$A,"BOM",DATA_GOC!$D:$D,$B161,DATA_GOC!$F:$F,"Xuất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1" s="222" t="str">
        <f t="shared" si="2"/>
        <v/>
      </c>
      <c r="AI161" s="222" t="str">
        <f>IF($B161="","",SUMIFS(DATA_GOC!$H:$H,DATA_GOC!$A:$A,"BOM",DATA_GOC!$D:$D,$B161,DATA_GOC!$F:$F,"Bơm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1" s="222" t="str">
        <f t="shared" si="3"/>
        <v/>
      </c>
      <c r="AM161" s="222" t="str">
        <f>IF($B161="","",SUMIFS(DATA_GOC!$K:$K,DATA_GOC!$A:$A,"BOM",DATA_GOC!$D:$D,$B161,DATA_GOC!$G:$G,"DO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1" s="222" t="str">
        <f t="shared" si="4"/>
        <v/>
      </c>
      <c r="AO161" s="227" t="str">
        <f t="shared" si="5"/>
        <v/>
      </c>
      <c r="AP161" s="226" t="str">
        <f>IF($B161="","",IFERROR(AO161-(SUMIFS(DATA_GOC!$H:$H,DATA_GOC!$A:$A,"BOM",DATA_GOC!$D:$D,$B161,DATA_GOC!$F:$F,"Xuất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1" s="59">
        <v>4.0</v>
      </c>
      <c r="AR161" s="59">
        <v>2026.0</v>
      </c>
      <c r="AS161" s="59" t="s">
        <v>129</v>
      </c>
      <c r="AT161" s="59">
        <v>862.781</v>
      </c>
      <c r="AU161" s="59">
        <v>0.0</v>
      </c>
      <c r="AV161" s="59">
        <v>862.781</v>
      </c>
      <c r="AW161" s="59">
        <v>1530.0</v>
      </c>
      <c r="AX161" s="59">
        <v>56.3909150326797</v>
      </c>
      <c r="AY161" s="59">
        <v>0.0</v>
      </c>
      <c r="AZ161" s="59">
        <v>862.781</v>
      </c>
      <c r="BA161" s="59">
        <v>0.0</v>
      </c>
      <c r="BB161" s="59">
        <v>0.0</v>
      </c>
      <c r="BC161" s="59" t="s">
        <v>516</v>
      </c>
    </row>
    <row r="162" ht="15.0" customHeight="1">
      <c r="A162" s="61" t="str">
        <f t="shared" si="1"/>
        <v/>
      </c>
      <c r="B162" s="228" t="str">
        <f t="array" ref="B162">IFERROR(INDEX(DANH_MUC!$E:$E,ROW()-1),"")</f>
        <v/>
      </c>
      <c r="C162" s="228" t="str">
        <f>IF($B162="","",IF(C$4&gt;DAY(EOMONTH(DATE($D$2,$B$2,1),0)),"",SUMIFS(DATA_GOC!$H:$H,DATA_GOC!$A:$A,"BOM",DATA_GOC!$D:$D,$B162,DATA_GOC!$F:$F,"Xuất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2" s="61" t="str">
        <f>IF($B162="","",IF(D$4&gt;DAY(EOMONTH(DATE($D$2,$B$2,1),0)),"",SUMIFS(DATA_GOC!$H:$H,DATA_GOC!$A:$A,"BOM",DATA_GOC!$D:$D,$B162,DATA_GOC!$F:$F,"Xuất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2" s="229" t="str">
        <f>IF($B162="","",IF(E$4&gt;DAY(EOMONTH(DATE($D$2,$B$2,1),0)),"",SUMIFS(DATA_GOC!$H:$H,DATA_GOC!$A:$A,"BOM",DATA_GOC!$D:$D,$B162,DATA_GOC!$F:$F,"Xuất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2" s="229" t="str">
        <f>IF($B162="","",IF(F$4&gt;DAY(EOMONTH(DATE($D$2,$B$2,1),0)),"",SUMIFS(DATA_GOC!$H:$H,DATA_GOC!$A:$A,"BOM",DATA_GOC!$D:$D,$B162,DATA_GOC!$F:$F,"Xuất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2" s="229" t="str">
        <f>IF($B162="","",IF(G$4&gt;DAY(EOMONTH(DATE($D$2,$B$2,1),0)),"",SUMIFS(DATA_GOC!$H:$H,DATA_GOC!$A:$A,"BOM",DATA_GOC!$D:$D,$B162,DATA_GOC!$F:$F,"Xuất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2" s="228" t="str">
        <f>IF($B162="","",IF(H$4&gt;DAY(EOMONTH(DATE($D$2,$B$2,1),0)),"",SUMIFS(DATA_GOC!$H:$H,DATA_GOC!$A:$A,"BOM",DATA_GOC!$D:$D,$B162,DATA_GOC!$F:$F,"Xuất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2" s="229" t="str">
        <f>IF($B162="","",IF(I$4&gt;DAY(EOMONTH(DATE($D$2,$B$2,1),0)),"",SUMIFS(DATA_GOC!$H:$H,DATA_GOC!$A:$A,"BOM",DATA_GOC!$D:$D,$B162,DATA_GOC!$F:$F,"Xuất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2" s="229" t="str">
        <f>IF($B162="","",IF(J$4&gt;DAY(EOMONTH(DATE($D$2,$B$2,1),0)),"",SUMIFS(DATA_GOC!$H:$H,DATA_GOC!$A:$A,"BOM",DATA_GOC!$D:$D,$B162,DATA_GOC!$F:$F,"Xuất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2" s="229" t="str">
        <f>IF($B162="","",IF(K$4&gt;DAY(EOMONTH(DATE($D$2,$B$2,1),0)),"",SUMIFS(DATA_GOC!$H:$H,DATA_GOC!$A:$A,"BOM",DATA_GOC!$D:$D,$B162,DATA_GOC!$F:$F,"Xuất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2" s="229" t="str">
        <f>IF($B162="","",IF(L$4&gt;DAY(EOMONTH(DATE($D$2,$B$2,1),0)),"",SUMIFS(DATA_GOC!$H:$H,DATA_GOC!$A:$A,"BOM",DATA_GOC!$D:$D,$B162,DATA_GOC!$F:$F,"Xuất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2" s="229" t="str">
        <f>IF($B162="","",IF(M$4&gt;DAY(EOMONTH(DATE($D$2,$B$2,1),0)),"",SUMIFS(DATA_GOC!$H:$H,DATA_GOC!$A:$A,"BOM",DATA_GOC!$D:$D,$B162,DATA_GOC!$F:$F,"Xuất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2" s="61" t="str">
        <f>IF($B162="","",IF(N$4&gt;DAY(EOMONTH(DATE($D$2,$B$2,1),0)),"",SUMIFS(DATA_GOC!$H:$H,DATA_GOC!$A:$A,"BOM",DATA_GOC!$D:$D,$B162,DATA_GOC!$F:$F,"Xuất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2" s="61" t="str">
        <f>IF($B162="","",IF(O$4&gt;DAY(EOMONTH(DATE($D$2,$B$2,1),0)),"",SUMIFS(DATA_GOC!$H:$H,DATA_GOC!$A:$A,"BOM",DATA_GOC!$D:$D,$B162,DATA_GOC!$F:$F,"Xuất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2" s="61" t="str">
        <f>IF($B162="","",IF(P$4&gt;DAY(EOMONTH(DATE($D$2,$B$2,1),0)),"",SUMIFS(DATA_GOC!$H:$H,DATA_GOC!$A:$A,"BOM",DATA_GOC!$D:$D,$B162,DATA_GOC!$F:$F,"Xuất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2" s="61" t="str">
        <f>IF($B162="","",IF(Q$4&gt;DAY(EOMONTH(DATE($D$2,$B$2,1),0)),"",SUMIFS(DATA_GOC!$H:$H,DATA_GOC!$A:$A,"BOM",DATA_GOC!$D:$D,$B162,DATA_GOC!$F:$F,"Xuất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2" s="61" t="str">
        <f>IF($B162="","",IF(R$4&gt;DAY(EOMONTH(DATE($D$2,$B$2,1),0)),"",SUMIFS(DATA_GOC!$H:$H,DATA_GOC!$A:$A,"BOM",DATA_GOC!$D:$D,$B162,DATA_GOC!$F:$F,"Xuất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2" s="61" t="str">
        <f>IF($B162="","",IF(S$4&gt;DAY(EOMONTH(DATE($D$2,$B$2,1),0)),"",SUMIFS(DATA_GOC!$H:$H,DATA_GOC!$A:$A,"BOM",DATA_GOC!$D:$D,$B162,DATA_GOC!$F:$F,"Xuất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2" s="229" t="str">
        <f>IF($B162="","",IF(T$4&gt;DAY(EOMONTH(DATE($D$2,$B$2,1),0)),"",SUMIFS(DATA_GOC!$H:$H,DATA_GOC!$A:$A,"BOM",DATA_GOC!$D:$D,$B162,DATA_GOC!$F:$F,"Xuất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2" s="229" t="str">
        <f>IF($B162="","",IF(U$4&gt;DAY(EOMONTH(DATE($D$2,$B$2,1),0)),"",SUMIFS(DATA_GOC!$H:$H,DATA_GOC!$A:$A,"BOM",DATA_GOC!$D:$D,$B162,DATA_GOC!$F:$F,"Xuất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2" s="229" t="str">
        <f>IF($B162="","",IF(V$4&gt;DAY(EOMONTH(DATE($D$2,$B$2,1),0)),"",SUMIFS(DATA_GOC!$H:$H,DATA_GOC!$A:$A,"BOM",DATA_GOC!$D:$D,$B162,DATA_GOC!$F:$F,"Xuất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2" s="61" t="str">
        <f>IF($B162="","",IF(W$4&gt;DAY(EOMONTH(DATE($D$2,$B$2,1),0)),"",SUMIFS(DATA_GOC!$H:$H,DATA_GOC!$A:$A,"BOM",DATA_GOC!$D:$D,$B162,DATA_GOC!$F:$F,"Xuất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2" s="229" t="str">
        <f>IF($B162="","",IF(X$4&gt;DAY(EOMONTH(DATE($D$2,$B$2,1),0)),"",SUMIFS(DATA_GOC!$H:$H,DATA_GOC!$A:$A,"BOM",DATA_GOC!$D:$D,$B162,DATA_GOC!$F:$F,"Xuất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2" s="229" t="str">
        <f>IF($B162="","",IF(Y$4&gt;DAY(EOMONTH(DATE($D$2,$B$2,1),0)),"",SUMIFS(DATA_GOC!$H:$H,DATA_GOC!$A:$A,"BOM",DATA_GOC!$D:$D,$B162,DATA_GOC!$F:$F,"Xuất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2" s="229" t="str">
        <f>IF($B162="","",IF(Z$4&gt;DAY(EOMONTH(DATE($D$2,$B$2,1),0)),"",SUMIFS(DATA_GOC!$H:$H,DATA_GOC!$A:$A,"BOM",DATA_GOC!$D:$D,$B162,DATA_GOC!$F:$F,"Xuất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2" s="229" t="str">
        <f>IF($B162="","",IF(AA$4&gt;DAY(EOMONTH(DATE($D$2,$B$2,1),0)),"",SUMIFS(DATA_GOC!$H:$H,DATA_GOC!$A:$A,"BOM",DATA_GOC!$D:$D,$B162,DATA_GOC!$F:$F,"Xuất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2" s="229" t="str">
        <f>IF($B162="","",IF(AB$4&gt;DAY(EOMONTH(DATE($D$2,$B$2,1),0)),"",SUMIFS(DATA_GOC!$H:$H,DATA_GOC!$A:$A,"BOM",DATA_GOC!$D:$D,$B162,DATA_GOC!$F:$F,"Xuất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2" s="61" t="str">
        <f>IF($B162="","",IF(AC$4&gt;DAY(EOMONTH(DATE($D$2,$B$2,1),0)),"",SUMIFS(DATA_GOC!$H:$H,DATA_GOC!$A:$A,"BOM",DATA_GOC!$D:$D,$B162,DATA_GOC!$F:$F,"Xuất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2" s="222" t="str">
        <f>IF($B162="","",IF(AD$4&gt;DAY(EOMONTH(DATE($D$2,$B$2,1),0)),"",SUMIFS(DATA_GOC!$H:$H,DATA_GOC!$A:$A,"BOM",DATA_GOC!$D:$D,$B162,DATA_GOC!$F:$F,"Xuất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2" s="222" t="str">
        <f>IF($B162="","",IF(AE$4&gt;DAY(EOMONTH(DATE($D$2,$B$2,1),0)),"",SUMIFS(DATA_GOC!$H:$H,DATA_GOC!$A:$A,"BOM",DATA_GOC!$D:$D,$B162,DATA_GOC!$F:$F,"Xuất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2" s="222" t="str">
        <f>IF($B162="","",IF(AF$4&gt;DAY(EOMONTH(DATE($D$2,$B$2,1),0)),"",SUMIFS(DATA_GOC!$H:$H,DATA_GOC!$A:$A,"BOM",DATA_GOC!$D:$D,$B162,DATA_GOC!$F:$F,"Xuất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2" s="222" t="str">
        <f>IF($B162="","",IF(AG$4&gt;DAY(EOMONTH(DATE($D$2,$B$2,1),0)),"",SUMIFS(DATA_GOC!$H:$H,DATA_GOC!$A:$A,"BOM",DATA_GOC!$D:$D,$B162,DATA_GOC!$F:$F,"Xuất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2" s="222" t="str">
        <f t="shared" si="2"/>
        <v/>
      </c>
      <c r="AI162" s="222" t="str">
        <f>IF($B162="","",SUMIFS(DATA_GOC!$H:$H,DATA_GOC!$A:$A,"BOM",DATA_GOC!$D:$D,$B162,DATA_GOC!$F:$F,"Bơm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2" s="222" t="str">
        <f t="shared" si="3"/>
        <v/>
      </c>
      <c r="AM162" s="222" t="str">
        <f>IF($B162="","",SUMIFS(DATA_GOC!$K:$K,DATA_GOC!$A:$A,"BOM",DATA_GOC!$D:$D,$B162,DATA_GOC!$G:$G,"DO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2" s="222" t="str">
        <f t="shared" si="4"/>
        <v/>
      </c>
      <c r="AO162" s="227" t="str">
        <f t="shared" si="5"/>
        <v/>
      </c>
      <c r="AP162" s="226" t="str">
        <f>IF($B162="","",IFERROR(AO162-(SUMIFS(DATA_GOC!$H:$H,DATA_GOC!$A:$A,"BOM",DATA_GOC!$D:$D,$B162,DATA_GOC!$F:$F,"Xuất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2" s="59">
        <v>4.0</v>
      </c>
      <c r="AR162" s="59">
        <v>2026.0</v>
      </c>
      <c r="AS162" s="59" t="s">
        <v>89</v>
      </c>
      <c r="AT162" s="59">
        <v>906.103</v>
      </c>
      <c r="AU162" s="59">
        <v>475.0</v>
      </c>
      <c r="AV162" s="59">
        <v>1381.103</v>
      </c>
      <c r="AW162" s="59">
        <v>1935.0</v>
      </c>
      <c r="AX162" s="59">
        <v>71.3748320413437</v>
      </c>
      <c r="AY162" s="59">
        <v>189.68</v>
      </c>
      <c r="AZ162" s="59">
        <v>1191.423</v>
      </c>
      <c r="BA162" s="59">
        <v>1.68</v>
      </c>
      <c r="BB162" s="59">
        <v>0.0</v>
      </c>
      <c r="BC162" s="59" t="s">
        <v>517</v>
      </c>
    </row>
    <row r="163" ht="15.0" customHeight="1">
      <c r="A163" s="61" t="str">
        <f t="shared" si="1"/>
        <v/>
      </c>
      <c r="B163" s="228" t="str">
        <f t="array" ref="B163">IFERROR(INDEX(DANH_MUC!$E:$E,ROW()-1),"")</f>
        <v/>
      </c>
      <c r="C163" s="228" t="str">
        <f>IF($B163="","",IF(C$4&gt;DAY(EOMONTH(DATE($D$2,$B$2,1),0)),"",SUMIFS(DATA_GOC!$H:$H,DATA_GOC!$A:$A,"BOM",DATA_GOC!$D:$D,$B163,DATA_GOC!$F:$F,"Xuất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3" s="61" t="str">
        <f>IF($B163="","",IF(D$4&gt;DAY(EOMONTH(DATE($D$2,$B$2,1),0)),"",SUMIFS(DATA_GOC!$H:$H,DATA_GOC!$A:$A,"BOM",DATA_GOC!$D:$D,$B163,DATA_GOC!$F:$F,"Xuất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3" s="229" t="str">
        <f>IF($B163="","",IF(E$4&gt;DAY(EOMONTH(DATE($D$2,$B$2,1),0)),"",SUMIFS(DATA_GOC!$H:$H,DATA_GOC!$A:$A,"BOM",DATA_GOC!$D:$D,$B163,DATA_GOC!$F:$F,"Xuất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3" s="229" t="str">
        <f>IF($B163="","",IF(F$4&gt;DAY(EOMONTH(DATE($D$2,$B$2,1),0)),"",SUMIFS(DATA_GOC!$H:$H,DATA_GOC!$A:$A,"BOM",DATA_GOC!$D:$D,$B163,DATA_GOC!$F:$F,"Xuất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3" s="229" t="str">
        <f>IF($B163="","",IF(G$4&gt;DAY(EOMONTH(DATE($D$2,$B$2,1),0)),"",SUMIFS(DATA_GOC!$H:$H,DATA_GOC!$A:$A,"BOM",DATA_GOC!$D:$D,$B163,DATA_GOC!$F:$F,"Xuất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3" s="228" t="str">
        <f>IF($B163="","",IF(H$4&gt;DAY(EOMONTH(DATE($D$2,$B$2,1),0)),"",SUMIFS(DATA_GOC!$H:$H,DATA_GOC!$A:$A,"BOM",DATA_GOC!$D:$D,$B163,DATA_GOC!$F:$F,"Xuất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3" s="229" t="str">
        <f>IF($B163="","",IF(I$4&gt;DAY(EOMONTH(DATE($D$2,$B$2,1),0)),"",SUMIFS(DATA_GOC!$H:$H,DATA_GOC!$A:$A,"BOM",DATA_GOC!$D:$D,$B163,DATA_GOC!$F:$F,"Xuất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3" s="229" t="str">
        <f>IF($B163="","",IF(J$4&gt;DAY(EOMONTH(DATE($D$2,$B$2,1),0)),"",SUMIFS(DATA_GOC!$H:$H,DATA_GOC!$A:$A,"BOM",DATA_GOC!$D:$D,$B163,DATA_GOC!$F:$F,"Xuất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3" s="229" t="str">
        <f>IF($B163="","",IF(K$4&gt;DAY(EOMONTH(DATE($D$2,$B$2,1),0)),"",SUMIFS(DATA_GOC!$H:$H,DATA_GOC!$A:$A,"BOM",DATA_GOC!$D:$D,$B163,DATA_GOC!$F:$F,"Xuất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3" s="229" t="str">
        <f>IF($B163="","",IF(L$4&gt;DAY(EOMONTH(DATE($D$2,$B$2,1),0)),"",SUMIFS(DATA_GOC!$H:$H,DATA_GOC!$A:$A,"BOM",DATA_GOC!$D:$D,$B163,DATA_GOC!$F:$F,"Xuất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3" s="229" t="str">
        <f>IF($B163="","",IF(M$4&gt;DAY(EOMONTH(DATE($D$2,$B$2,1),0)),"",SUMIFS(DATA_GOC!$H:$H,DATA_GOC!$A:$A,"BOM",DATA_GOC!$D:$D,$B163,DATA_GOC!$F:$F,"Xuất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3" s="61" t="str">
        <f>IF($B163="","",IF(N$4&gt;DAY(EOMONTH(DATE($D$2,$B$2,1),0)),"",SUMIFS(DATA_GOC!$H:$H,DATA_GOC!$A:$A,"BOM",DATA_GOC!$D:$D,$B163,DATA_GOC!$F:$F,"Xuất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3" s="61" t="str">
        <f>IF($B163="","",IF(O$4&gt;DAY(EOMONTH(DATE($D$2,$B$2,1),0)),"",SUMIFS(DATA_GOC!$H:$H,DATA_GOC!$A:$A,"BOM",DATA_GOC!$D:$D,$B163,DATA_GOC!$F:$F,"Xuất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3" s="61" t="str">
        <f>IF($B163="","",IF(P$4&gt;DAY(EOMONTH(DATE($D$2,$B$2,1),0)),"",SUMIFS(DATA_GOC!$H:$H,DATA_GOC!$A:$A,"BOM",DATA_GOC!$D:$D,$B163,DATA_GOC!$F:$F,"Xuất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3" s="61" t="str">
        <f>IF($B163="","",IF(Q$4&gt;DAY(EOMONTH(DATE($D$2,$B$2,1),0)),"",SUMIFS(DATA_GOC!$H:$H,DATA_GOC!$A:$A,"BOM",DATA_GOC!$D:$D,$B163,DATA_GOC!$F:$F,"Xuất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3" s="61" t="str">
        <f>IF($B163="","",IF(R$4&gt;DAY(EOMONTH(DATE($D$2,$B$2,1),0)),"",SUMIFS(DATA_GOC!$H:$H,DATA_GOC!$A:$A,"BOM",DATA_GOC!$D:$D,$B163,DATA_GOC!$F:$F,"Xuất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3" s="61" t="str">
        <f>IF($B163="","",IF(S$4&gt;DAY(EOMONTH(DATE($D$2,$B$2,1),0)),"",SUMIFS(DATA_GOC!$H:$H,DATA_GOC!$A:$A,"BOM",DATA_GOC!$D:$D,$B163,DATA_GOC!$F:$F,"Xuất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3" s="229" t="str">
        <f>IF($B163="","",IF(T$4&gt;DAY(EOMONTH(DATE($D$2,$B$2,1),0)),"",SUMIFS(DATA_GOC!$H:$H,DATA_GOC!$A:$A,"BOM",DATA_GOC!$D:$D,$B163,DATA_GOC!$F:$F,"Xuất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3" s="229" t="str">
        <f>IF($B163="","",IF(U$4&gt;DAY(EOMONTH(DATE($D$2,$B$2,1),0)),"",SUMIFS(DATA_GOC!$H:$H,DATA_GOC!$A:$A,"BOM",DATA_GOC!$D:$D,$B163,DATA_GOC!$F:$F,"Xuất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3" s="229" t="str">
        <f>IF($B163="","",IF(V$4&gt;DAY(EOMONTH(DATE($D$2,$B$2,1),0)),"",SUMIFS(DATA_GOC!$H:$H,DATA_GOC!$A:$A,"BOM",DATA_GOC!$D:$D,$B163,DATA_GOC!$F:$F,"Xuất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3" s="61" t="str">
        <f>IF($B163="","",IF(W$4&gt;DAY(EOMONTH(DATE($D$2,$B$2,1),0)),"",SUMIFS(DATA_GOC!$H:$H,DATA_GOC!$A:$A,"BOM",DATA_GOC!$D:$D,$B163,DATA_GOC!$F:$F,"Xuất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3" s="229" t="str">
        <f>IF($B163="","",IF(X$4&gt;DAY(EOMONTH(DATE($D$2,$B$2,1),0)),"",SUMIFS(DATA_GOC!$H:$H,DATA_GOC!$A:$A,"BOM",DATA_GOC!$D:$D,$B163,DATA_GOC!$F:$F,"Xuất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3" s="229" t="str">
        <f>IF($B163="","",IF(Y$4&gt;DAY(EOMONTH(DATE($D$2,$B$2,1),0)),"",SUMIFS(DATA_GOC!$H:$H,DATA_GOC!$A:$A,"BOM",DATA_GOC!$D:$D,$B163,DATA_GOC!$F:$F,"Xuất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3" s="229" t="str">
        <f>IF($B163="","",IF(Z$4&gt;DAY(EOMONTH(DATE($D$2,$B$2,1),0)),"",SUMIFS(DATA_GOC!$H:$H,DATA_GOC!$A:$A,"BOM",DATA_GOC!$D:$D,$B163,DATA_GOC!$F:$F,"Xuất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3" s="229" t="str">
        <f>IF($B163="","",IF(AA$4&gt;DAY(EOMONTH(DATE($D$2,$B$2,1),0)),"",SUMIFS(DATA_GOC!$H:$H,DATA_GOC!$A:$A,"BOM",DATA_GOC!$D:$D,$B163,DATA_GOC!$F:$F,"Xuất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3" s="229" t="str">
        <f>IF($B163="","",IF(AB$4&gt;DAY(EOMONTH(DATE($D$2,$B$2,1),0)),"",SUMIFS(DATA_GOC!$H:$H,DATA_GOC!$A:$A,"BOM",DATA_GOC!$D:$D,$B163,DATA_GOC!$F:$F,"Xuất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3" s="61" t="str">
        <f>IF($B163="","",IF(AC$4&gt;DAY(EOMONTH(DATE($D$2,$B$2,1),0)),"",SUMIFS(DATA_GOC!$H:$H,DATA_GOC!$A:$A,"BOM",DATA_GOC!$D:$D,$B163,DATA_GOC!$F:$F,"Xuất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3" s="222" t="str">
        <f>IF($B163="","",IF(AD$4&gt;DAY(EOMONTH(DATE($D$2,$B$2,1),0)),"",SUMIFS(DATA_GOC!$H:$H,DATA_GOC!$A:$A,"BOM",DATA_GOC!$D:$D,$B163,DATA_GOC!$F:$F,"Xuất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3" s="222" t="str">
        <f>IF($B163="","",IF(AE$4&gt;DAY(EOMONTH(DATE($D$2,$B$2,1),0)),"",SUMIFS(DATA_GOC!$H:$H,DATA_GOC!$A:$A,"BOM",DATA_GOC!$D:$D,$B163,DATA_GOC!$F:$F,"Xuất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3" s="222" t="str">
        <f>IF($B163="","",IF(AF$4&gt;DAY(EOMONTH(DATE($D$2,$B$2,1),0)),"",SUMIFS(DATA_GOC!$H:$H,DATA_GOC!$A:$A,"BOM",DATA_GOC!$D:$D,$B163,DATA_GOC!$F:$F,"Xuất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3" s="222" t="str">
        <f>IF($B163="","",IF(AG$4&gt;DAY(EOMONTH(DATE($D$2,$B$2,1),0)),"",SUMIFS(DATA_GOC!$H:$H,DATA_GOC!$A:$A,"BOM",DATA_GOC!$D:$D,$B163,DATA_GOC!$F:$F,"Xuất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3" s="222" t="str">
        <f t="shared" si="2"/>
        <v/>
      </c>
      <c r="AI163" s="222" t="str">
        <f>IF($B163="","",SUMIFS(DATA_GOC!$H:$H,DATA_GOC!$A:$A,"BOM",DATA_GOC!$D:$D,$B163,DATA_GOC!$F:$F,"Bơm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3" s="222" t="str">
        <f t="shared" si="3"/>
        <v/>
      </c>
      <c r="AM163" s="222" t="str">
        <f>IF($B163="","",SUMIFS(DATA_GOC!$K:$K,DATA_GOC!$A:$A,"BOM",DATA_GOC!$D:$D,$B163,DATA_GOC!$G:$G,"DO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3" s="222" t="str">
        <f t="shared" si="4"/>
        <v/>
      </c>
      <c r="AO163" s="227" t="str">
        <f t="shared" si="5"/>
        <v/>
      </c>
      <c r="AP163" s="226" t="str">
        <f>IF($B163="","",IFERROR(AO163-(SUMIFS(DATA_GOC!$H:$H,DATA_GOC!$A:$A,"BOM",DATA_GOC!$D:$D,$B163,DATA_GOC!$F:$F,"Xuất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3" s="59">
        <v>4.0</v>
      </c>
      <c r="AR163" s="59">
        <v>2026.0</v>
      </c>
      <c r="AS163" s="59" t="s">
        <v>115</v>
      </c>
      <c r="AT163" s="59">
        <v>2270.411</v>
      </c>
      <c r="AU163" s="59">
        <v>0.0</v>
      </c>
      <c r="AV163" s="59">
        <v>2270.411</v>
      </c>
      <c r="AW163" s="59">
        <v>4718.0</v>
      </c>
      <c r="AX163" s="59">
        <v>48.1223187791437</v>
      </c>
      <c r="AY163" s="59">
        <v>859.59</v>
      </c>
      <c r="AZ163" s="59">
        <v>1410.821</v>
      </c>
      <c r="BA163" s="59">
        <v>7.59</v>
      </c>
      <c r="BB163" s="59">
        <v>0.0</v>
      </c>
      <c r="BC163" s="59" t="s">
        <v>518</v>
      </c>
    </row>
    <row r="164" ht="15.0" customHeight="1">
      <c r="A164" s="61" t="str">
        <f t="shared" si="1"/>
        <v/>
      </c>
      <c r="B164" s="228" t="str">
        <f t="array" ref="B164">IFERROR(INDEX(DANH_MUC!$E:$E,ROW()-1),"")</f>
        <v/>
      </c>
      <c r="C164" s="228" t="str">
        <f>IF($B164="","",IF(C$4&gt;DAY(EOMONTH(DATE($D$2,$B$2,1),0)),"",SUMIFS(DATA_GOC!$H:$H,DATA_GOC!$A:$A,"BOM",DATA_GOC!$D:$D,$B164,DATA_GOC!$F:$F,"Xuất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4" s="61" t="str">
        <f>IF($B164="","",IF(D$4&gt;DAY(EOMONTH(DATE($D$2,$B$2,1),0)),"",SUMIFS(DATA_GOC!$H:$H,DATA_GOC!$A:$A,"BOM",DATA_GOC!$D:$D,$B164,DATA_GOC!$F:$F,"Xuất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4" s="229" t="str">
        <f>IF($B164="","",IF(E$4&gt;DAY(EOMONTH(DATE($D$2,$B$2,1),0)),"",SUMIFS(DATA_GOC!$H:$H,DATA_GOC!$A:$A,"BOM",DATA_GOC!$D:$D,$B164,DATA_GOC!$F:$F,"Xuất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4" s="229" t="str">
        <f>IF($B164="","",IF(F$4&gt;DAY(EOMONTH(DATE($D$2,$B$2,1),0)),"",SUMIFS(DATA_GOC!$H:$H,DATA_GOC!$A:$A,"BOM",DATA_GOC!$D:$D,$B164,DATA_GOC!$F:$F,"Xuất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4" s="229" t="str">
        <f>IF($B164="","",IF(G$4&gt;DAY(EOMONTH(DATE($D$2,$B$2,1),0)),"",SUMIFS(DATA_GOC!$H:$H,DATA_GOC!$A:$A,"BOM",DATA_GOC!$D:$D,$B164,DATA_GOC!$F:$F,"Xuất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4" s="228" t="str">
        <f>IF($B164="","",IF(H$4&gt;DAY(EOMONTH(DATE($D$2,$B$2,1),0)),"",SUMIFS(DATA_GOC!$H:$H,DATA_GOC!$A:$A,"BOM",DATA_GOC!$D:$D,$B164,DATA_GOC!$F:$F,"Xuất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4" s="229" t="str">
        <f>IF($B164="","",IF(I$4&gt;DAY(EOMONTH(DATE($D$2,$B$2,1),0)),"",SUMIFS(DATA_GOC!$H:$H,DATA_GOC!$A:$A,"BOM",DATA_GOC!$D:$D,$B164,DATA_GOC!$F:$F,"Xuất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4" s="229" t="str">
        <f>IF($B164="","",IF(J$4&gt;DAY(EOMONTH(DATE($D$2,$B$2,1),0)),"",SUMIFS(DATA_GOC!$H:$H,DATA_GOC!$A:$A,"BOM",DATA_GOC!$D:$D,$B164,DATA_GOC!$F:$F,"Xuất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4" s="229" t="str">
        <f>IF($B164="","",IF(K$4&gt;DAY(EOMONTH(DATE($D$2,$B$2,1),0)),"",SUMIFS(DATA_GOC!$H:$H,DATA_GOC!$A:$A,"BOM",DATA_GOC!$D:$D,$B164,DATA_GOC!$F:$F,"Xuất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4" s="229" t="str">
        <f>IF($B164="","",IF(L$4&gt;DAY(EOMONTH(DATE($D$2,$B$2,1),0)),"",SUMIFS(DATA_GOC!$H:$H,DATA_GOC!$A:$A,"BOM",DATA_GOC!$D:$D,$B164,DATA_GOC!$F:$F,"Xuất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4" s="229" t="str">
        <f>IF($B164="","",IF(M$4&gt;DAY(EOMONTH(DATE($D$2,$B$2,1),0)),"",SUMIFS(DATA_GOC!$H:$H,DATA_GOC!$A:$A,"BOM",DATA_GOC!$D:$D,$B164,DATA_GOC!$F:$F,"Xuất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4" s="61" t="str">
        <f>IF($B164="","",IF(N$4&gt;DAY(EOMONTH(DATE($D$2,$B$2,1),0)),"",SUMIFS(DATA_GOC!$H:$H,DATA_GOC!$A:$A,"BOM",DATA_GOC!$D:$D,$B164,DATA_GOC!$F:$F,"Xuất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4" s="61" t="str">
        <f>IF($B164="","",IF(O$4&gt;DAY(EOMONTH(DATE($D$2,$B$2,1),0)),"",SUMIFS(DATA_GOC!$H:$H,DATA_GOC!$A:$A,"BOM",DATA_GOC!$D:$D,$B164,DATA_GOC!$F:$F,"Xuất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4" s="61" t="str">
        <f>IF($B164="","",IF(P$4&gt;DAY(EOMONTH(DATE($D$2,$B$2,1),0)),"",SUMIFS(DATA_GOC!$H:$H,DATA_GOC!$A:$A,"BOM",DATA_GOC!$D:$D,$B164,DATA_GOC!$F:$F,"Xuất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4" s="61" t="str">
        <f>IF($B164="","",IF(Q$4&gt;DAY(EOMONTH(DATE($D$2,$B$2,1),0)),"",SUMIFS(DATA_GOC!$H:$H,DATA_GOC!$A:$A,"BOM",DATA_GOC!$D:$D,$B164,DATA_GOC!$F:$F,"Xuất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4" s="61" t="str">
        <f>IF($B164="","",IF(R$4&gt;DAY(EOMONTH(DATE($D$2,$B$2,1),0)),"",SUMIFS(DATA_GOC!$H:$H,DATA_GOC!$A:$A,"BOM",DATA_GOC!$D:$D,$B164,DATA_GOC!$F:$F,"Xuất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4" s="61" t="str">
        <f>IF($B164="","",IF(S$4&gt;DAY(EOMONTH(DATE($D$2,$B$2,1),0)),"",SUMIFS(DATA_GOC!$H:$H,DATA_GOC!$A:$A,"BOM",DATA_GOC!$D:$D,$B164,DATA_GOC!$F:$F,"Xuất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4" s="229" t="str">
        <f>IF($B164="","",IF(T$4&gt;DAY(EOMONTH(DATE($D$2,$B$2,1),0)),"",SUMIFS(DATA_GOC!$H:$H,DATA_GOC!$A:$A,"BOM",DATA_GOC!$D:$D,$B164,DATA_GOC!$F:$F,"Xuất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4" s="229" t="str">
        <f>IF($B164="","",IF(U$4&gt;DAY(EOMONTH(DATE($D$2,$B$2,1),0)),"",SUMIFS(DATA_GOC!$H:$H,DATA_GOC!$A:$A,"BOM",DATA_GOC!$D:$D,$B164,DATA_GOC!$F:$F,"Xuất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4" s="229" t="str">
        <f>IF($B164="","",IF(V$4&gt;DAY(EOMONTH(DATE($D$2,$B$2,1),0)),"",SUMIFS(DATA_GOC!$H:$H,DATA_GOC!$A:$A,"BOM",DATA_GOC!$D:$D,$B164,DATA_GOC!$F:$F,"Xuất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4" s="61" t="str">
        <f>IF($B164="","",IF(W$4&gt;DAY(EOMONTH(DATE($D$2,$B$2,1),0)),"",SUMIFS(DATA_GOC!$H:$H,DATA_GOC!$A:$A,"BOM",DATA_GOC!$D:$D,$B164,DATA_GOC!$F:$F,"Xuất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4" s="229" t="str">
        <f>IF($B164="","",IF(X$4&gt;DAY(EOMONTH(DATE($D$2,$B$2,1),0)),"",SUMIFS(DATA_GOC!$H:$H,DATA_GOC!$A:$A,"BOM",DATA_GOC!$D:$D,$B164,DATA_GOC!$F:$F,"Xuất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4" s="229" t="str">
        <f>IF($B164="","",IF(Y$4&gt;DAY(EOMONTH(DATE($D$2,$B$2,1),0)),"",SUMIFS(DATA_GOC!$H:$H,DATA_GOC!$A:$A,"BOM",DATA_GOC!$D:$D,$B164,DATA_GOC!$F:$F,"Xuất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4" s="229" t="str">
        <f>IF($B164="","",IF(Z$4&gt;DAY(EOMONTH(DATE($D$2,$B$2,1),0)),"",SUMIFS(DATA_GOC!$H:$H,DATA_GOC!$A:$A,"BOM",DATA_GOC!$D:$D,$B164,DATA_GOC!$F:$F,"Xuất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4" s="229" t="str">
        <f>IF($B164="","",IF(AA$4&gt;DAY(EOMONTH(DATE($D$2,$B$2,1),0)),"",SUMIFS(DATA_GOC!$H:$H,DATA_GOC!$A:$A,"BOM",DATA_GOC!$D:$D,$B164,DATA_GOC!$F:$F,"Xuất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4" s="229" t="str">
        <f>IF($B164="","",IF(AB$4&gt;DAY(EOMONTH(DATE($D$2,$B$2,1),0)),"",SUMIFS(DATA_GOC!$H:$H,DATA_GOC!$A:$A,"BOM",DATA_GOC!$D:$D,$B164,DATA_GOC!$F:$F,"Xuất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4" s="61" t="str">
        <f>IF($B164="","",IF(AC$4&gt;DAY(EOMONTH(DATE($D$2,$B$2,1),0)),"",SUMIFS(DATA_GOC!$H:$H,DATA_GOC!$A:$A,"BOM",DATA_GOC!$D:$D,$B164,DATA_GOC!$F:$F,"Xuất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4" s="222" t="str">
        <f>IF($B164="","",IF(AD$4&gt;DAY(EOMONTH(DATE($D$2,$B$2,1),0)),"",SUMIFS(DATA_GOC!$H:$H,DATA_GOC!$A:$A,"BOM",DATA_GOC!$D:$D,$B164,DATA_GOC!$F:$F,"Xuất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4" s="222" t="str">
        <f>IF($B164="","",IF(AE$4&gt;DAY(EOMONTH(DATE($D$2,$B$2,1),0)),"",SUMIFS(DATA_GOC!$H:$H,DATA_GOC!$A:$A,"BOM",DATA_GOC!$D:$D,$B164,DATA_GOC!$F:$F,"Xuất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4" s="222" t="str">
        <f>IF($B164="","",IF(AF$4&gt;DAY(EOMONTH(DATE($D$2,$B$2,1),0)),"",SUMIFS(DATA_GOC!$H:$H,DATA_GOC!$A:$A,"BOM",DATA_GOC!$D:$D,$B164,DATA_GOC!$F:$F,"Xuất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4" s="222" t="str">
        <f>IF($B164="","",IF(AG$4&gt;DAY(EOMONTH(DATE($D$2,$B$2,1),0)),"",SUMIFS(DATA_GOC!$H:$H,DATA_GOC!$A:$A,"BOM",DATA_GOC!$D:$D,$B164,DATA_GOC!$F:$F,"Xuất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4" s="222" t="str">
        <f t="shared" si="2"/>
        <v/>
      </c>
      <c r="AI164" s="222" t="str">
        <f>IF($B164="","",SUMIFS(DATA_GOC!$H:$H,DATA_GOC!$A:$A,"BOM",DATA_GOC!$D:$D,$B164,DATA_GOC!$F:$F,"Bơm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4" s="222" t="str">
        <f t="shared" si="3"/>
        <v/>
      </c>
      <c r="AM164" s="222" t="str">
        <f>IF($B164="","",SUMIFS(DATA_GOC!$K:$K,DATA_GOC!$A:$A,"BOM",DATA_GOC!$D:$D,$B164,DATA_GOC!$G:$G,"DO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4" s="222" t="str">
        <f t="shared" si="4"/>
        <v/>
      </c>
      <c r="AO164" s="227" t="str">
        <f t="shared" si="5"/>
        <v/>
      </c>
      <c r="AP164" s="226" t="str">
        <f>IF($B164="","",IFERROR(AO164-(SUMIFS(DATA_GOC!$H:$H,DATA_GOC!$A:$A,"BOM",DATA_GOC!$D:$D,$B164,DATA_GOC!$F:$F,"Xuất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4" s="59">
        <v>4.0</v>
      </c>
      <c r="AR164" s="59">
        <v>2026.0</v>
      </c>
      <c r="AS164" s="59" t="s">
        <v>103</v>
      </c>
      <c r="AT164" s="59">
        <v>1896.234</v>
      </c>
      <c r="AU164" s="59">
        <v>0.0</v>
      </c>
      <c r="AV164" s="59">
        <v>1896.234</v>
      </c>
      <c r="AW164" s="59">
        <v>155.3</v>
      </c>
      <c r="AX164" s="59">
        <v>1221.01352221507</v>
      </c>
      <c r="AY164" s="59">
        <v>635.61</v>
      </c>
      <c r="AZ164" s="59">
        <v>1260.624</v>
      </c>
      <c r="BA164" s="59">
        <v>5.61</v>
      </c>
      <c r="BB164" s="59">
        <v>0.0</v>
      </c>
      <c r="BC164" s="59" t="s">
        <v>519</v>
      </c>
    </row>
    <row r="165" ht="15.0" customHeight="1">
      <c r="A165" s="61" t="str">
        <f t="shared" si="1"/>
        <v/>
      </c>
      <c r="B165" s="228" t="str">
        <f t="array" ref="B165">IFERROR(INDEX(DANH_MUC!$E:$E,ROW()-1),"")</f>
        <v/>
      </c>
      <c r="C165" s="228" t="str">
        <f>IF($B165="","",IF(C$4&gt;DAY(EOMONTH(DATE($D$2,$B$2,1),0)),"",SUMIFS(DATA_GOC!$H:$H,DATA_GOC!$A:$A,"BOM",DATA_GOC!$D:$D,$B165,DATA_GOC!$F:$F,"Xuất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5" s="61" t="str">
        <f>IF($B165="","",IF(D$4&gt;DAY(EOMONTH(DATE($D$2,$B$2,1),0)),"",SUMIFS(DATA_GOC!$H:$H,DATA_GOC!$A:$A,"BOM",DATA_GOC!$D:$D,$B165,DATA_GOC!$F:$F,"Xuất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5" s="229" t="str">
        <f>IF($B165="","",IF(E$4&gt;DAY(EOMONTH(DATE($D$2,$B$2,1),0)),"",SUMIFS(DATA_GOC!$H:$H,DATA_GOC!$A:$A,"BOM",DATA_GOC!$D:$D,$B165,DATA_GOC!$F:$F,"Xuất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5" s="229" t="str">
        <f>IF($B165="","",IF(F$4&gt;DAY(EOMONTH(DATE($D$2,$B$2,1),0)),"",SUMIFS(DATA_GOC!$H:$H,DATA_GOC!$A:$A,"BOM",DATA_GOC!$D:$D,$B165,DATA_GOC!$F:$F,"Xuất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5" s="229" t="str">
        <f>IF($B165="","",IF(G$4&gt;DAY(EOMONTH(DATE($D$2,$B$2,1),0)),"",SUMIFS(DATA_GOC!$H:$H,DATA_GOC!$A:$A,"BOM",DATA_GOC!$D:$D,$B165,DATA_GOC!$F:$F,"Xuất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5" s="228" t="str">
        <f>IF($B165="","",IF(H$4&gt;DAY(EOMONTH(DATE($D$2,$B$2,1),0)),"",SUMIFS(DATA_GOC!$H:$H,DATA_GOC!$A:$A,"BOM",DATA_GOC!$D:$D,$B165,DATA_GOC!$F:$F,"Xuất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5" s="229" t="str">
        <f>IF($B165="","",IF(I$4&gt;DAY(EOMONTH(DATE($D$2,$B$2,1),0)),"",SUMIFS(DATA_GOC!$H:$H,DATA_GOC!$A:$A,"BOM",DATA_GOC!$D:$D,$B165,DATA_GOC!$F:$F,"Xuất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5" s="229" t="str">
        <f>IF($B165="","",IF(J$4&gt;DAY(EOMONTH(DATE($D$2,$B$2,1),0)),"",SUMIFS(DATA_GOC!$H:$H,DATA_GOC!$A:$A,"BOM",DATA_GOC!$D:$D,$B165,DATA_GOC!$F:$F,"Xuất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5" s="229" t="str">
        <f>IF($B165="","",IF(K$4&gt;DAY(EOMONTH(DATE($D$2,$B$2,1),0)),"",SUMIFS(DATA_GOC!$H:$H,DATA_GOC!$A:$A,"BOM",DATA_GOC!$D:$D,$B165,DATA_GOC!$F:$F,"Xuất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5" s="229" t="str">
        <f>IF($B165="","",IF(L$4&gt;DAY(EOMONTH(DATE($D$2,$B$2,1),0)),"",SUMIFS(DATA_GOC!$H:$H,DATA_GOC!$A:$A,"BOM",DATA_GOC!$D:$D,$B165,DATA_GOC!$F:$F,"Xuất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5" s="229" t="str">
        <f>IF($B165="","",IF(M$4&gt;DAY(EOMONTH(DATE($D$2,$B$2,1),0)),"",SUMIFS(DATA_GOC!$H:$H,DATA_GOC!$A:$A,"BOM",DATA_GOC!$D:$D,$B165,DATA_GOC!$F:$F,"Xuất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5" s="61" t="str">
        <f>IF($B165="","",IF(N$4&gt;DAY(EOMONTH(DATE($D$2,$B$2,1),0)),"",SUMIFS(DATA_GOC!$H:$H,DATA_GOC!$A:$A,"BOM",DATA_GOC!$D:$D,$B165,DATA_GOC!$F:$F,"Xuất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5" s="61" t="str">
        <f>IF($B165="","",IF(O$4&gt;DAY(EOMONTH(DATE($D$2,$B$2,1),0)),"",SUMIFS(DATA_GOC!$H:$H,DATA_GOC!$A:$A,"BOM",DATA_GOC!$D:$D,$B165,DATA_GOC!$F:$F,"Xuất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5" s="61" t="str">
        <f>IF($B165="","",IF(P$4&gt;DAY(EOMONTH(DATE($D$2,$B$2,1),0)),"",SUMIFS(DATA_GOC!$H:$H,DATA_GOC!$A:$A,"BOM",DATA_GOC!$D:$D,$B165,DATA_GOC!$F:$F,"Xuất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5" s="61" t="str">
        <f>IF($B165="","",IF(Q$4&gt;DAY(EOMONTH(DATE($D$2,$B$2,1),0)),"",SUMIFS(DATA_GOC!$H:$H,DATA_GOC!$A:$A,"BOM",DATA_GOC!$D:$D,$B165,DATA_GOC!$F:$F,"Xuất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5" s="61" t="str">
        <f>IF($B165="","",IF(R$4&gt;DAY(EOMONTH(DATE($D$2,$B$2,1),0)),"",SUMIFS(DATA_GOC!$H:$H,DATA_GOC!$A:$A,"BOM",DATA_GOC!$D:$D,$B165,DATA_GOC!$F:$F,"Xuất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5" s="61" t="str">
        <f>IF($B165="","",IF(S$4&gt;DAY(EOMONTH(DATE($D$2,$B$2,1),0)),"",SUMIFS(DATA_GOC!$H:$H,DATA_GOC!$A:$A,"BOM",DATA_GOC!$D:$D,$B165,DATA_GOC!$F:$F,"Xuất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5" s="229" t="str">
        <f>IF($B165="","",IF(T$4&gt;DAY(EOMONTH(DATE($D$2,$B$2,1),0)),"",SUMIFS(DATA_GOC!$H:$H,DATA_GOC!$A:$A,"BOM",DATA_GOC!$D:$D,$B165,DATA_GOC!$F:$F,"Xuất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5" s="229" t="str">
        <f>IF($B165="","",IF(U$4&gt;DAY(EOMONTH(DATE($D$2,$B$2,1),0)),"",SUMIFS(DATA_GOC!$H:$H,DATA_GOC!$A:$A,"BOM",DATA_GOC!$D:$D,$B165,DATA_GOC!$F:$F,"Xuất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5" s="229" t="str">
        <f>IF($B165="","",IF(V$4&gt;DAY(EOMONTH(DATE($D$2,$B$2,1),0)),"",SUMIFS(DATA_GOC!$H:$H,DATA_GOC!$A:$A,"BOM",DATA_GOC!$D:$D,$B165,DATA_GOC!$F:$F,"Xuất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5" s="61" t="str">
        <f>IF($B165="","",IF(W$4&gt;DAY(EOMONTH(DATE($D$2,$B$2,1),0)),"",SUMIFS(DATA_GOC!$H:$H,DATA_GOC!$A:$A,"BOM",DATA_GOC!$D:$D,$B165,DATA_GOC!$F:$F,"Xuất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5" s="229" t="str">
        <f>IF($B165="","",IF(X$4&gt;DAY(EOMONTH(DATE($D$2,$B$2,1),0)),"",SUMIFS(DATA_GOC!$H:$H,DATA_GOC!$A:$A,"BOM",DATA_GOC!$D:$D,$B165,DATA_GOC!$F:$F,"Xuất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5" s="229" t="str">
        <f>IF($B165="","",IF(Y$4&gt;DAY(EOMONTH(DATE($D$2,$B$2,1),0)),"",SUMIFS(DATA_GOC!$H:$H,DATA_GOC!$A:$A,"BOM",DATA_GOC!$D:$D,$B165,DATA_GOC!$F:$F,"Xuất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5" s="229" t="str">
        <f>IF($B165="","",IF(Z$4&gt;DAY(EOMONTH(DATE($D$2,$B$2,1),0)),"",SUMIFS(DATA_GOC!$H:$H,DATA_GOC!$A:$A,"BOM",DATA_GOC!$D:$D,$B165,DATA_GOC!$F:$F,"Xuất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5" s="229" t="str">
        <f>IF($B165="","",IF(AA$4&gt;DAY(EOMONTH(DATE($D$2,$B$2,1),0)),"",SUMIFS(DATA_GOC!$H:$H,DATA_GOC!$A:$A,"BOM",DATA_GOC!$D:$D,$B165,DATA_GOC!$F:$F,"Xuất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5" s="229" t="str">
        <f>IF($B165="","",IF(AB$4&gt;DAY(EOMONTH(DATE($D$2,$B$2,1),0)),"",SUMIFS(DATA_GOC!$H:$H,DATA_GOC!$A:$A,"BOM",DATA_GOC!$D:$D,$B165,DATA_GOC!$F:$F,"Xuất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5" s="61" t="str">
        <f>IF($B165="","",IF(AC$4&gt;DAY(EOMONTH(DATE($D$2,$B$2,1),0)),"",SUMIFS(DATA_GOC!$H:$H,DATA_GOC!$A:$A,"BOM",DATA_GOC!$D:$D,$B165,DATA_GOC!$F:$F,"Xuất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5" s="222" t="str">
        <f>IF($B165="","",IF(AD$4&gt;DAY(EOMONTH(DATE($D$2,$B$2,1),0)),"",SUMIFS(DATA_GOC!$H:$H,DATA_GOC!$A:$A,"BOM",DATA_GOC!$D:$D,$B165,DATA_GOC!$F:$F,"Xuất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5" s="222" t="str">
        <f>IF($B165="","",IF(AE$4&gt;DAY(EOMONTH(DATE($D$2,$B$2,1),0)),"",SUMIFS(DATA_GOC!$H:$H,DATA_GOC!$A:$A,"BOM",DATA_GOC!$D:$D,$B165,DATA_GOC!$F:$F,"Xuất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5" s="222" t="str">
        <f>IF($B165="","",IF(AF$4&gt;DAY(EOMONTH(DATE($D$2,$B$2,1),0)),"",SUMIFS(DATA_GOC!$H:$H,DATA_GOC!$A:$A,"BOM",DATA_GOC!$D:$D,$B165,DATA_GOC!$F:$F,"Xuất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5" s="222" t="str">
        <f>IF($B165="","",IF(AG$4&gt;DAY(EOMONTH(DATE($D$2,$B$2,1),0)),"",SUMIFS(DATA_GOC!$H:$H,DATA_GOC!$A:$A,"BOM",DATA_GOC!$D:$D,$B165,DATA_GOC!$F:$F,"Xuất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5" s="222" t="str">
        <f t="shared" si="2"/>
        <v/>
      </c>
      <c r="AI165" s="222" t="str">
        <f>IF($B165="","",SUMIFS(DATA_GOC!$H:$H,DATA_GOC!$A:$A,"BOM",DATA_GOC!$D:$D,$B165,DATA_GOC!$F:$F,"Bơm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5" s="222" t="str">
        <f t="shared" si="3"/>
        <v/>
      </c>
      <c r="AM165" s="222" t="str">
        <f>IF($B165="","",SUMIFS(DATA_GOC!$K:$K,DATA_GOC!$A:$A,"BOM",DATA_GOC!$D:$D,$B165,DATA_GOC!$G:$G,"DO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5" s="222" t="str">
        <f t="shared" si="4"/>
        <v/>
      </c>
      <c r="AO165" s="227" t="str">
        <f t="shared" si="5"/>
        <v/>
      </c>
      <c r="AP165" s="226" t="str">
        <f>IF($B165="","",IFERROR(AO165-(SUMIFS(DATA_GOC!$H:$H,DATA_GOC!$A:$A,"BOM",DATA_GOC!$D:$D,$B165,DATA_GOC!$F:$F,"Xuất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5" s="59">
        <v>4.0</v>
      </c>
      <c r="AR165" s="59">
        <v>2026.0</v>
      </c>
      <c r="AS165" s="59" t="s">
        <v>92</v>
      </c>
      <c r="AT165" s="59">
        <v>1689.694</v>
      </c>
      <c r="AU165" s="59">
        <v>0.0</v>
      </c>
      <c r="AV165" s="59">
        <v>1689.694</v>
      </c>
      <c r="AW165" s="59">
        <v>3568.0</v>
      </c>
      <c r="AX165" s="59">
        <v>47.3568946188341</v>
      </c>
      <c r="AY165" s="59">
        <v>267.36</v>
      </c>
      <c r="AZ165" s="59">
        <v>1422.334</v>
      </c>
      <c r="BA165" s="59">
        <v>2.36</v>
      </c>
      <c r="BB165" s="59">
        <v>0.0</v>
      </c>
      <c r="BC165" s="59" t="s">
        <v>520</v>
      </c>
    </row>
    <row r="166" ht="15.0" customHeight="1">
      <c r="A166" s="61" t="str">
        <f t="shared" si="1"/>
        <v/>
      </c>
      <c r="B166" s="228" t="str">
        <f t="array" ref="B166">IFERROR(INDEX(DANH_MUC!$E:$E,ROW()-1),"")</f>
        <v/>
      </c>
      <c r="C166" s="228" t="str">
        <f>IF($B166="","",IF(C$4&gt;DAY(EOMONTH(DATE($D$2,$B$2,1),0)),"",SUMIFS(DATA_GOC!$H:$H,DATA_GOC!$A:$A,"BOM",DATA_GOC!$D:$D,$B166,DATA_GOC!$F:$F,"Xuất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6" s="61" t="str">
        <f>IF($B166="","",IF(D$4&gt;DAY(EOMONTH(DATE($D$2,$B$2,1),0)),"",SUMIFS(DATA_GOC!$H:$H,DATA_GOC!$A:$A,"BOM",DATA_GOC!$D:$D,$B166,DATA_GOC!$F:$F,"Xuất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6" s="229" t="str">
        <f>IF($B166="","",IF(E$4&gt;DAY(EOMONTH(DATE($D$2,$B$2,1),0)),"",SUMIFS(DATA_GOC!$H:$H,DATA_GOC!$A:$A,"BOM",DATA_GOC!$D:$D,$B166,DATA_GOC!$F:$F,"Xuất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6" s="229" t="str">
        <f>IF($B166="","",IF(F$4&gt;DAY(EOMONTH(DATE($D$2,$B$2,1),0)),"",SUMIFS(DATA_GOC!$H:$H,DATA_GOC!$A:$A,"BOM",DATA_GOC!$D:$D,$B166,DATA_GOC!$F:$F,"Xuất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6" s="229" t="str">
        <f>IF($B166="","",IF(G$4&gt;DAY(EOMONTH(DATE($D$2,$B$2,1),0)),"",SUMIFS(DATA_GOC!$H:$H,DATA_GOC!$A:$A,"BOM",DATA_GOC!$D:$D,$B166,DATA_GOC!$F:$F,"Xuất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6" s="228" t="str">
        <f>IF($B166="","",IF(H$4&gt;DAY(EOMONTH(DATE($D$2,$B$2,1),0)),"",SUMIFS(DATA_GOC!$H:$H,DATA_GOC!$A:$A,"BOM",DATA_GOC!$D:$D,$B166,DATA_GOC!$F:$F,"Xuất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6" s="229" t="str">
        <f>IF($B166="","",IF(I$4&gt;DAY(EOMONTH(DATE($D$2,$B$2,1),0)),"",SUMIFS(DATA_GOC!$H:$H,DATA_GOC!$A:$A,"BOM",DATA_GOC!$D:$D,$B166,DATA_GOC!$F:$F,"Xuất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6" s="229" t="str">
        <f>IF($B166="","",IF(J$4&gt;DAY(EOMONTH(DATE($D$2,$B$2,1),0)),"",SUMIFS(DATA_GOC!$H:$H,DATA_GOC!$A:$A,"BOM",DATA_GOC!$D:$D,$B166,DATA_GOC!$F:$F,"Xuất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6" s="229" t="str">
        <f>IF($B166="","",IF(K$4&gt;DAY(EOMONTH(DATE($D$2,$B$2,1),0)),"",SUMIFS(DATA_GOC!$H:$H,DATA_GOC!$A:$A,"BOM",DATA_GOC!$D:$D,$B166,DATA_GOC!$F:$F,"Xuất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6" s="229" t="str">
        <f>IF($B166="","",IF(L$4&gt;DAY(EOMONTH(DATE($D$2,$B$2,1),0)),"",SUMIFS(DATA_GOC!$H:$H,DATA_GOC!$A:$A,"BOM",DATA_GOC!$D:$D,$B166,DATA_GOC!$F:$F,"Xuất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6" s="229" t="str">
        <f>IF($B166="","",IF(M$4&gt;DAY(EOMONTH(DATE($D$2,$B$2,1),0)),"",SUMIFS(DATA_GOC!$H:$H,DATA_GOC!$A:$A,"BOM",DATA_GOC!$D:$D,$B166,DATA_GOC!$F:$F,"Xuất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6" s="61" t="str">
        <f>IF($B166="","",IF(N$4&gt;DAY(EOMONTH(DATE($D$2,$B$2,1),0)),"",SUMIFS(DATA_GOC!$H:$H,DATA_GOC!$A:$A,"BOM",DATA_GOC!$D:$D,$B166,DATA_GOC!$F:$F,"Xuất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6" s="61" t="str">
        <f>IF($B166="","",IF(O$4&gt;DAY(EOMONTH(DATE($D$2,$B$2,1),0)),"",SUMIFS(DATA_GOC!$H:$H,DATA_GOC!$A:$A,"BOM",DATA_GOC!$D:$D,$B166,DATA_GOC!$F:$F,"Xuất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6" s="61" t="str">
        <f>IF($B166="","",IF(P$4&gt;DAY(EOMONTH(DATE($D$2,$B$2,1),0)),"",SUMIFS(DATA_GOC!$H:$H,DATA_GOC!$A:$A,"BOM",DATA_GOC!$D:$D,$B166,DATA_GOC!$F:$F,"Xuất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6" s="61" t="str">
        <f>IF($B166="","",IF(Q$4&gt;DAY(EOMONTH(DATE($D$2,$B$2,1),0)),"",SUMIFS(DATA_GOC!$H:$H,DATA_GOC!$A:$A,"BOM",DATA_GOC!$D:$D,$B166,DATA_GOC!$F:$F,"Xuất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6" s="61" t="str">
        <f>IF($B166="","",IF(R$4&gt;DAY(EOMONTH(DATE($D$2,$B$2,1),0)),"",SUMIFS(DATA_GOC!$H:$H,DATA_GOC!$A:$A,"BOM",DATA_GOC!$D:$D,$B166,DATA_GOC!$F:$F,"Xuất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6" s="61" t="str">
        <f>IF($B166="","",IF(S$4&gt;DAY(EOMONTH(DATE($D$2,$B$2,1),0)),"",SUMIFS(DATA_GOC!$H:$H,DATA_GOC!$A:$A,"BOM",DATA_GOC!$D:$D,$B166,DATA_GOC!$F:$F,"Xuất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6" s="229" t="str">
        <f>IF($B166="","",IF(T$4&gt;DAY(EOMONTH(DATE($D$2,$B$2,1),0)),"",SUMIFS(DATA_GOC!$H:$H,DATA_GOC!$A:$A,"BOM",DATA_GOC!$D:$D,$B166,DATA_GOC!$F:$F,"Xuất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6" s="229" t="str">
        <f>IF($B166="","",IF(U$4&gt;DAY(EOMONTH(DATE($D$2,$B$2,1),0)),"",SUMIFS(DATA_GOC!$H:$H,DATA_GOC!$A:$A,"BOM",DATA_GOC!$D:$D,$B166,DATA_GOC!$F:$F,"Xuất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6" s="229" t="str">
        <f>IF($B166="","",IF(V$4&gt;DAY(EOMONTH(DATE($D$2,$B$2,1),0)),"",SUMIFS(DATA_GOC!$H:$H,DATA_GOC!$A:$A,"BOM",DATA_GOC!$D:$D,$B166,DATA_GOC!$F:$F,"Xuất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6" s="61" t="str">
        <f>IF($B166="","",IF(W$4&gt;DAY(EOMONTH(DATE($D$2,$B$2,1),0)),"",SUMIFS(DATA_GOC!$H:$H,DATA_GOC!$A:$A,"BOM",DATA_GOC!$D:$D,$B166,DATA_GOC!$F:$F,"Xuất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6" s="229" t="str">
        <f>IF($B166="","",IF(X$4&gt;DAY(EOMONTH(DATE($D$2,$B$2,1),0)),"",SUMIFS(DATA_GOC!$H:$H,DATA_GOC!$A:$A,"BOM",DATA_GOC!$D:$D,$B166,DATA_GOC!$F:$F,"Xuất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6" s="229" t="str">
        <f>IF($B166="","",IF(Y$4&gt;DAY(EOMONTH(DATE($D$2,$B$2,1),0)),"",SUMIFS(DATA_GOC!$H:$H,DATA_GOC!$A:$A,"BOM",DATA_GOC!$D:$D,$B166,DATA_GOC!$F:$F,"Xuất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6" s="229" t="str">
        <f>IF($B166="","",IF(Z$4&gt;DAY(EOMONTH(DATE($D$2,$B$2,1),0)),"",SUMIFS(DATA_GOC!$H:$H,DATA_GOC!$A:$A,"BOM",DATA_GOC!$D:$D,$B166,DATA_GOC!$F:$F,"Xuất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6" s="229" t="str">
        <f>IF($B166="","",IF(AA$4&gt;DAY(EOMONTH(DATE($D$2,$B$2,1),0)),"",SUMIFS(DATA_GOC!$H:$H,DATA_GOC!$A:$A,"BOM",DATA_GOC!$D:$D,$B166,DATA_GOC!$F:$F,"Xuất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6" s="229" t="str">
        <f>IF($B166="","",IF(AB$4&gt;DAY(EOMONTH(DATE($D$2,$B$2,1),0)),"",SUMIFS(DATA_GOC!$H:$H,DATA_GOC!$A:$A,"BOM",DATA_GOC!$D:$D,$B166,DATA_GOC!$F:$F,"Xuất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6" s="61" t="str">
        <f>IF($B166="","",IF(AC$4&gt;DAY(EOMONTH(DATE($D$2,$B$2,1),0)),"",SUMIFS(DATA_GOC!$H:$H,DATA_GOC!$A:$A,"BOM",DATA_GOC!$D:$D,$B166,DATA_GOC!$F:$F,"Xuất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6" s="222" t="str">
        <f>IF($B166="","",IF(AD$4&gt;DAY(EOMONTH(DATE($D$2,$B$2,1),0)),"",SUMIFS(DATA_GOC!$H:$H,DATA_GOC!$A:$A,"BOM",DATA_GOC!$D:$D,$B166,DATA_GOC!$F:$F,"Xuất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6" s="222" t="str">
        <f>IF($B166="","",IF(AE$4&gt;DAY(EOMONTH(DATE($D$2,$B$2,1),0)),"",SUMIFS(DATA_GOC!$H:$H,DATA_GOC!$A:$A,"BOM",DATA_GOC!$D:$D,$B166,DATA_GOC!$F:$F,"Xuất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6" s="222" t="str">
        <f>IF($B166="","",IF(AF$4&gt;DAY(EOMONTH(DATE($D$2,$B$2,1),0)),"",SUMIFS(DATA_GOC!$H:$H,DATA_GOC!$A:$A,"BOM",DATA_GOC!$D:$D,$B166,DATA_GOC!$F:$F,"Xuất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6" s="222" t="str">
        <f>IF($B166="","",IF(AG$4&gt;DAY(EOMONTH(DATE($D$2,$B$2,1),0)),"",SUMIFS(DATA_GOC!$H:$H,DATA_GOC!$A:$A,"BOM",DATA_GOC!$D:$D,$B166,DATA_GOC!$F:$F,"Xuất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6" s="222" t="str">
        <f t="shared" si="2"/>
        <v/>
      </c>
      <c r="AI166" s="222" t="str">
        <f>IF($B166="","",SUMIFS(DATA_GOC!$H:$H,DATA_GOC!$A:$A,"BOM",DATA_GOC!$D:$D,$B166,DATA_GOC!$F:$F,"Bơm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6" s="222" t="str">
        <f t="shared" si="3"/>
        <v/>
      </c>
      <c r="AM166" s="222" t="str">
        <f>IF($B166="","",SUMIFS(DATA_GOC!$K:$K,DATA_GOC!$A:$A,"BOM",DATA_GOC!$D:$D,$B166,DATA_GOC!$G:$G,"DO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6" s="222" t="str">
        <f t="shared" si="4"/>
        <v/>
      </c>
      <c r="AO166" s="227" t="str">
        <f t="shared" si="5"/>
        <v/>
      </c>
      <c r="AP166" s="226" t="str">
        <f>IF($B166="","",IFERROR(AO166-(SUMIFS(DATA_GOC!$H:$H,DATA_GOC!$A:$A,"BOM",DATA_GOC!$D:$D,$B166,DATA_GOC!$F:$F,"Xuất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6" s="59">
        <v>4.0</v>
      </c>
      <c r="AR166" s="59">
        <v>2026.0</v>
      </c>
      <c r="AS166" s="59" t="s">
        <v>114</v>
      </c>
      <c r="AT166" s="59">
        <v>2058.038</v>
      </c>
      <c r="AU166" s="59">
        <v>0.0</v>
      </c>
      <c r="AV166" s="59">
        <v>2058.038</v>
      </c>
      <c r="AW166" s="59">
        <v>4698.0</v>
      </c>
      <c r="AX166" s="59">
        <v>43.8066836951894</v>
      </c>
      <c r="AY166" s="59">
        <v>469.14</v>
      </c>
      <c r="AZ166" s="59">
        <v>1588.898</v>
      </c>
      <c r="BA166" s="59">
        <v>4.14</v>
      </c>
      <c r="BB166" s="59">
        <v>0.0</v>
      </c>
      <c r="BC166" s="59" t="s">
        <v>521</v>
      </c>
    </row>
    <row r="167" ht="15.0" customHeight="1">
      <c r="A167" s="61" t="str">
        <f t="shared" si="1"/>
        <v/>
      </c>
      <c r="B167" s="228" t="str">
        <f t="array" ref="B167">IFERROR(INDEX(DANH_MUC!$E:$E,ROW()-1),"")</f>
        <v/>
      </c>
      <c r="C167" s="228" t="str">
        <f>IF($B167="","",IF(C$4&gt;DAY(EOMONTH(DATE($D$2,$B$2,1),0)),"",SUMIFS(DATA_GOC!$H:$H,DATA_GOC!$A:$A,"BOM",DATA_GOC!$D:$D,$B167,DATA_GOC!$F:$F,"Xuất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7" s="61" t="str">
        <f>IF($B167="","",IF(D$4&gt;DAY(EOMONTH(DATE($D$2,$B$2,1),0)),"",SUMIFS(DATA_GOC!$H:$H,DATA_GOC!$A:$A,"BOM",DATA_GOC!$D:$D,$B167,DATA_GOC!$F:$F,"Xuất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7" s="229" t="str">
        <f>IF($B167="","",IF(E$4&gt;DAY(EOMONTH(DATE($D$2,$B$2,1),0)),"",SUMIFS(DATA_GOC!$H:$H,DATA_GOC!$A:$A,"BOM",DATA_GOC!$D:$D,$B167,DATA_GOC!$F:$F,"Xuất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7" s="229" t="str">
        <f>IF($B167="","",IF(F$4&gt;DAY(EOMONTH(DATE($D$2,$B$2,1),0)),"",SUMIFS(DATA_GOC!$H:$H,DATA_GOC!$A:$A,"BOM",DATA_GOC!$D:$D,$B167,DATA_GOC!$F:$F,"Xuất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7" s="229" t="str">
        <f>IF($B167="","",IF(G$4&gt;DAY(EOMONTH(DATE($D$2,$B$2,1),0)),"",SUMIFS(DATA_GOC!$H:$H,DATA_GOC!$A:$A,"BOM",DATA_GOC!$D:$D,$B167,DATA_GOC!$F:$F,"Xuất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7" s="228" t="str">
        <f>IF($B167="","",IF(H$4&gt;DAY(EOMONTH(DATE($D$2,$B$2,1),0)),"",SUMIFS(DATA_GOC!$H:$H,DATA_GOC!$A:$A,"BOM",DATA_GOC!$D:$D,$B167,DATA_GOC!$F:$F,"Xuất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7" s="229" t="str">
        <f>IF($B167="","",IF(I$4&gt;DAY(EOMONTH(DATE($D$2,$B$2,1),0)),"",SUMIFS(DATA_GOC!$H:$H,DATA_GOC!$A:$A,"BOM",DATA_GOC!$D:$D,$B167,DATA_GOC!$F:$F,"Xuất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7" s="229" t="str">
        <f>IF($B167="","",IF(J$4&gt;DAY(EOMONTH(DATE($D$2,$B$2,1),0)),"",SUMIFS(DATA_GOC!$H:$H,DATA_GOC!$A:$A,"BOM",DATA_GOC!$D:$D,$B167,DATA_GOC!$F:$F,"Xuất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7" s="229" t="str">
        <f>IF($B167="","",IF(K$4&gt;DAY(EOMONTH(DATE($D$2,$B$2,1),0)),"",SUMIFS(DATA_GOC!$H:$H,DATA_GOC!$A:$A,"BOM",DATA_GOC!$D:$D,$B167,DATA_GOC!$F:$F,"Xuất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7" s="229" t="str">
        <f>IF($B167="","",IF(L$4&gt;DAY(EOMONTH(DATE($D$2,$B$2,1),0)),"",SUMIFS(DATA_GOC!$H:$H,DATA_GOC!$A:$A,"BOM",DATA_GOC!$D:$D,$B167,DATA_GOC!$F:$F,"Xuất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7" s="229" t="str">
        <f>IF($B167="","",IF(M$4&gt;DAY(EOMONTH(DATE($D$2,$B$2,1),0)),"",SUMIFS(DATA_GOC!$H:$H,DATA_GOC!$A:$A,"BOM",DATA_GOC!$D:$D,$B167,DATA_GOC!$F:$F,"Xuất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7" s="61" t="str">
        <f>IF($B167="","",IF(N$4&gt;DAY(EOMONTH(DATE($D$2,$B$2,1),0)),"",SUMIFS(DATA_GOC!$H:$H,DATA_GOC!$A:$A,"BOM",DATA_GOC!$D:$D,$B167,DATA_GOC!$F:$F,"Xuất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7" s="61" t="str">
        <f>IF($B167="","",IF(O$4&gt;DAY(EOMONTH(DATE($D$2,$B$2,1),0)),"",SUMIFS(DATA_GOC!$H:$H,DATA_GOC!$A:$A,"BOM",DATA_GOC!$D:$D,$B167,DATA_GOC!$F:$F,"Xuất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7" s="61" t="str">
        <f>IF($B167="","",IF(P$4&gt;DAY(EOMONTH(DATE($D$2,$B$2,1),0)),"",SUMIFS(DATA_GOC!$H:$H,DATA_GOC!$A:$A,"BOM",DATA_GOC!$D:$D,$B167,DATA_GOC!$F:$F,"Xuất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7" s="61" t="str">
        <f>IF($B167="","",IF(Q$4&gt;DAY(EOMONTH(DATE($D$2,$B$2,1),0)),"",SUMIFS(DATA_GOC!$H:$H,DATA_GOC!$A:$A,"BOM",DATA_GOC!$D:$D,$B167,DATA_GOC!$F:$F,"Xuất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7" s="61" t="str">
        <f>IF($B167="","",IF(R$4&gt;DAY(EOMONTH(DATE($D$2,$B$2,1),0)),"",SUMIFS(DATA_GOC!$H:$H,DATA_GOC!$A:$A,"BOM",DATA_GOC!$D:$D,$B167,DATA_GOC!$F:$F,"Xuất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7" s="61" t="str">
        <f>IF($B167="","",IF(S$4&gt;DAY(EOMONTH(DATE($D$2,$B$2,1),0)),"",SUMIFS(DATA_GOC!$H:$H,DATA_GOC!$A:$A,"BOM",DATA_GOC!$D:$D,$B167,DATA_GOC!$F:$F,"Xuất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7" s="229" t="str">
        <f>IF($B167="","",IF(T$4&gt;DAY(EOMONTH(DATE($D$2,$B$2,1),0)),"",SUMIFS(DATA_GOC!$H:$H,DATA_GOC!$A:$A,"BOM",DATA_GOC!$D:$D,$B167,DATA_GOC!$F:$F,"Xuất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7" s="229" t="str">
        <f>IF($B167="","",IF(U$4&gt;DAY(EOMONTH(DATE($D$2,$B$2,1),0)),"",SUMIFS(DATA_GOC!$H:$H,DATA_GOC!$A:$A,"BOM",DATA_GOC!$D:$D,$B167,DATA_GOC!$F:$F,"Xuất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7" s="229" t="str">
        <f>IF($B167="","",IF(V$4&gt;DAY(EOMONTH(DATE($D$2,$B$2,1),0)),"",SUMIFS(DATA_GOC!$H:$H,DATA_GOC!$A:$A,"BOM",DATA_GOC!$D:$D,$B167,DATA_GOC!$F:$F,"Xuất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7" s="61" t="str">
        <f>IF($B167="","",IF(W$4&gt;DAY(EOMONTH(DATE($D$2,$B$2,1),0)),"",SUMIFS(DATA_GOC!$H:$H,DATA_GOC!$A:$A,"BOM",DATA_GOC!$D:$D,$B167,DATA_GOC!$F:$F,"Xuất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7" s="229" t="str">
        <f>IF($B167="","",IF(X$4&gt;DAY(EOMONTH(DATE($D$2,$B$2,1),0)),"",SUMIFS(DATA_GOC!$H:$H,DATA_GOC!$A:$A,"BOM",DATA_GOC!$D:$D,$B167,DATA_GOC!$F:$F,"Xuất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7" s="229" t="str">
        <f>IF($B167="","",IF(Y$4&gt;DAY(EOMONTH(DATE($D$2,$B$2,1),0)),"",SUMIFS(DATA_GOC!$H:$H,DATA_GOC!$A:$A,"BOM",DATA_GOC!$D:$D,$B167,DATA_GOC!$F:$F,"Xuất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7" s="229" t="str">
        <f>IF($B167="","",IF(Z$4&gt;DAY(EOMONTH(DATE($D$2,$B$2,1),0)),"",SUMIFS(DATA_GOC!$H:$H,DATA_GOC!$A:$A,"BOM",DATA_GOC!$D:$D,$B167,DATA_GOC!$F:$F,"Xuất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7" s="229" t="str">
        <f>IF($B167="","",IF(AA$4&gt;DAY(EOMONTH(DATE($D$2,$B$2,1),0)),"",SUMIFS(DATA_GOC!$H:$H,DATA_GOC!$A:$A,"BOM",DATA_GOC!$D:$D,$B167,DATA_GOC!$F:$F,"Xuất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7" s="229" t="str">
        <f>IF($B167="","",IF(AB$4&gt;DAY(EOMONTH(DATE($D$2,$B$2,1),0)),"",SUMIFS(DATA_GOC!$H:$H,DATA_GOC!$A:$A,"BOM",DATA_GOC!$D:$D,$B167,DATA_GOC!$F:$F,"Xuất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7" s="61" t="str">
        <f>IF($B167="","",IF(AC$4&gt;DAY(EOMONTH(DATE($D$2,$B$2,1),0)),"",SUMIFS(DATA_GOC!$H:$H,DATA_GOC!$A:$A,"BOM",DATA_GOC!$D:$D,$B167,DATA_GOC!$F:$F,"Xuất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7" s="222" t="str">
        <f>IF($B167="","",IF(AD$4&gt;DAY(EOMONTH(DATE($D$2,$B$2,1),0)),"",SUMIFS(DATA_GOC!$H:$H,DATA_GOC!$A:$A,"BOM",DATA_GOC!$D:$D,$B167,DATA_GOC!$F:$F,"Xuất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7" s="222" t="str">
        <f>IF($B167="","",IF(AE$4&gt;DAY(EOMONTH(DATE($D$2,$B$2,1),0)),"",SUMIFS(DATA_GOC!$H:$H,DATA_GOC!$A:$A,"BOM",DATA_GOC!$D:$D,$B167,DATA_GOC!$F:$F,"Xuất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7" s="222" t="str">
        <f>IF($B167="","",IF(AF$4&gt;DAY(EOMONTH(DATE($D$2,$B$2,1),0)),"",SUMIFS(DATA_GOC!$H:$H,DATA_GOC!$A:$A,"BOM",DATA_GOC!$D:$D,$B167,DATA_GOC!$F:$F,"Xuất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7" s="222" t="str">
        <f>IF($B167="","",IF(AG$4&gt;DAY(EOMONTH(DATE($D$2,$B$2,1),0)),"",SUMIFS(DATA_GOC!$H:$H,DATA_GOC!$A:$A,"BOM",DATA_GOC!$D:$D,$B167,DATA_GOC!$F:$F,"Xuất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7" s="222" t="str">
        <f t="shared" si="2"/>
        <v/>
      </c>
      <c r="AI167" s="222" t="str">
        <f>IF($B167="","",SUMIFS(DATA_GOC!$H:$H,DATA_GOC!$A:$A,"BOM",DATA_GOC!$D:$D,$B167,DATA_GOC!$F:$F,"Bơm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7" s="222" t="str">
        <f t="shared" si="3"/>
        <v/>
      </c>
      <c r="AM167" s="222" t="str">
        <f>IF($B167="","",SUMIFS(DATA_GOC!$K:$K,DATA_GOC!$A:$A,"BOM",DATA_GOC!$D:$D,$B167,DATA_GOC!$G:$G,"DO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7" s="222" t="str">
        <f t="shared" si="4"/>
        <v/>
      </c>
      <c r="AO167" s="227" t="str">
        <f t="shared" si="5"/>
        <v/>
      </c>
      <c r="AP167" s="226" t="str">
        <f>IF($B167="","",IFERROR(AO167-(SUMIFS(DATA_GOC!$H:$H,DATA_GOC!$A:$A,"BOM",DATA_GOC!$D:$D,$B167,DATA_GOC!$F:$F,"Xuất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7" s="59">
        <v>4.0</v>
      </c>
      <c r="AR167" s="59">
        <v>2026.0</v>
      </c>
      <c r="AS167" s="59" t="s">
        <v>145</v>
      </c>
      <c r="AT167" s="59">
        <v>1879.839</v>
      </c>
      <c r="AU167" s="59">
        <v>0.0</v>
      </c>
      <c r="AV167" s="59">
        <v>1879.839</v>
      </c>
      <c r="AW167" s="59">
        <v>3926.0</v>
      </c>
      <c r="AX167" s="59">
        <v>47.8817880794702</v>
      </c>
      <c r="AY167" s="59">
        <v>433.83</v>
      </c>
      <c r="AZ167" s="59">
        <v>1446.009</v>
      </c>
      <c r="BA167" s="59">
        <v>3.83</v>
      </c>
      <c r="BB167" s="59">
        <v>0.0</v>
      </c>
      <c r="BC167" s="59" t="s">
        <v>522</v>
      </c>
    </row>
    <row r="168" ht="15.0" customHeight="1">
      <c r="A168" s="61" t="str">
        <f t="shared" si="1"/>
        <v/>
      </c>
      <c r="B168" s="228" t="str">
        <f t="array" ref="B168">IFERROR(INDEX(DANH_MUC!$E:$E,ROW()-1),"")</f>
        <v/>
      </c>
      <c r="C168" s="228" t="str">
        <f>IF($B168="","",IF(C$4&gt;DAY(EOMONTH(DATE($D$2,$B$2,1),0)),"",SUMIFS(DATA_GOC!$H:$H,DATA_GOC!$A:$A,"BOM",DATA_GOC!$D:$D,$B168,DATA_GOC!$F:$F,"Xuất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8" s="61" t="str">
        <f>IF($B168="","",IF(D$4&gt;DAY(EOMONTH(DATE($D$2,$B$2,1),0)),"",SUMIFS(DATA_GOC!$H:$H,DATA_GOC!$A:$A,"BOM",DATA_GOC!$D:$D,$B168,DATA_GOC!$F:$F,"Xuất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8" s="229" t="str">
        <f>IF($B168="","",IF(E$4&gt;DAY(EOMONTH(DATE($D$2,$B$2,1),0)),"",SUMIFS(DATA_GOC!$H:$H,DATA_GOC!$A:$A,"BOM",DATA_GOC!$D:$D,$B168,DATA_GOC!$F:$F,"Xuất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8" s="229" t="str">
        <f>IF($B168="","",IF(F$4&gt;DAY(EOMONTH(DATE($D$2,$B$2,1),0)),"",SUMIFS(DATA_GOC!$H:$H,DATA_GOC!$A:$A,"BOM",DATA_GOC!$D:$D,$B168,DATA_GOC!$F:$F,"Xuất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8" s="229" t="str">
        <f>IF($B168="","",IF(G$4&gt;DAY(EOMONTH(DATE($D$2,$B$2,1),0)),"",SUMIFS(DATA_GOC!$H:$H,DATA_GOC!$A:$A,"BOM",DATA_GOC!$D:$D,$B168,DATA_GOC!$F:$F,"Xuất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8" s="228" t="str">
        <f>IF($B168="","",IF(H$4&gt;DAY(EOMONTH(DATE($D$2,$B$2,1),0)),"",SUMIFS(DATA_GOC!$H:$H,DATA_GOC!$A:$A,"BOM",DATA_GOC!$D:$D,$B168,DATA_GOC!$F:$F,"Xuất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8" s="229" t="str">
        <f>IF($B168="","",IF(I$4&gt;DAY(EOMONTH(DATE($D$2,$B$2,1),0)),"",SUMIFS(DATA_GOC!$H:$H,DATA_GOC!$A:$A,"BOM",DATA_GOC!$D:$D,$B168,DATA_GOC!$F:$F,"Xuất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8" s="229" t="str">
        <f>IF($B168="","",IF(J$4&gt;DAY(EOMONTH(DATE($D$2,$B$2,1),0)),"",SUMIFS(DATA_GOC!$H:$H,DATA_GOC!$A:$A,"BOM",DATA_GOC!$D:$D,$B168,DATA_GOC!$F:$F,"Xuất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8" s="229" t="str">
        <f>IF($B168="","",IF(K$4&gt;DAY(EOMONTH(DATE($D$2,$B$2,1),0)),"",SUMIFS(DATA_GOC!$H:$H,DATA_GOC!$A:$A,"BOM",DATA_GOC!$D:$D,$B168,DATA_GOC!$F:$F,"Xuất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8" s="229" t="str">
        <f>IF($B168="","",IF(L$4&gt;DAY(EOMONTH(DATE($D$2,$B$2,1),0)),"",SUMIFS(DATA_GOC!$H:$H,DATA_GOC!$A:$A,"BOM",DATA_GOC!$D:$D,$B168,DATA_GOC!$F:$F,"Xuất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8" s="229" t="str">
        <f>IF($B168="","",IF(M$4&gt;DAY(EOMONTH(DATE($D$2,$B$2,1),0)),"",SUMIFS(DATA_GOC!$H:$H,DATA_GOC!$A:$A,"BOM",DATA_GOC!$D:$D,$B168,DATA_GOC!$F:$F,"Xuất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8" s="61" t="str">
        <f>IF($B168="","",IF(N$4&gt;DAY(EOMONTH(DATE($D$2,$B$2,1),0)),"",SUMIFS(DATA_GOC!$H:$H,DATA_GOC!$A:$A,"BOM",DATA_GOC!$D:$D,$B168,DATA_GOC!$F:$F,"Xuất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8" s="61" t="str">
        <f>IF($B168="","",IF(O$4&gt;DAY(EOMONTH(DATE($D$2,$B$2,1),0)),"",SUMIFS(DATA_GOC!$H:$H,DATA_GOC!$A:$A,"BOM",DATA_GOC!$D:$D,$B168,DATA_GOC!$F:$F,"Xuất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8" s="61" t="str">
        <f>IF($B168="","",IF(P$4&gt;DAY(EOMONTH(DATE($D$2,$B$2,1),0)),"",SUMIFS(DATA_GOC!$H:$H,DATA_GOC!$A:$A,"BOM",DATA_GOC!$D:$D,$B168,DATA_GOC!$F:$F,"Xuất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8" s="61" t="str">
        <f>IF($B168="","",IF(Q$4&gt;DAY(EOMONTH(DATE($D$2,$B$2,1),0)),"",SUMIFS(DATA_GOC!$H:$H,DATA_GOC!$A:$A,"BOM",DATA_GOC!$D:$D,$B168,DATA_GOC!$F:$F,"Xuất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8" s="61" t="str">
        <f>IF($B168="","",IF(R$4&gt;DAY(EOMONTH(DATE($D$2,$B$2,1),0)),"",SUMIFS(DATA_GOC!$H:$H,DATA_GOC!$A:$A,"BOM",DATA_GOC!$D:$D,$B168,DATA_GOC!$F:$F,"Xuất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8" s="61" t="str">
        <f>IF($B168="","",IF(S$4&gt;DAY(EOMONTH(DATE($D$2,$B$2,1),0)),"",SUMIFS(DATA_GOC!$H:$H,DATA_GOC!$A:$A,"BOM",DATA_GOC!$D:$D,$B168,DATA_GOC!$F:$F,"Xuất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8" s="229" t="str">
        <f>IF($B168="","",IF(T$4&gt;DAY(EOMONTH(DATE($D$2,$B$2,1),0)),"",SUMIFS(DATA_GOC!$H:$H,DATA_GOC!$A:$A,"BOM",DATA_GOC!$D:$D,$B168,DATA_GOC!$F:$F,"Xuất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8" s="229" t="str">
        <f>IF($B168="","",IF(U$4&gt;DAY(EOMONTH(DATE($D$2,$B$2,1),0)),"",SUMIFS(DATA_GOC!$H:$H,DATA_GOC!$A:$A,"BOM",DATA_GOC!$D:$D,$B168,DATA_GOC!$F:$F,"Xuất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8" s="229" t="str">
        <f>IF($B168="","",IF(V$4&gt;DAY(EOMONTH(DATE($D$2,$B$2,1),0)),"",SUMIFS(DATA_GOC!$H:$H,DATA_GOC!$A:$A,"BOM",DATA_GOC!$D:$D,$B168,DATA_GOC!$F:$F,"Xuất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8" s="61" t="str">
        <f>IF($B168="","",IF(W$4&gt;DAY(EOMONTH(DATE($D$2,$B$2,1),0)),"",SUMIFS(DATA_GOC!$H:$H,DATA_GOC!$A:$A,"BOM",DATA_GOC!$D:$D,$B168,DATA_GOC!$F:$F,"Xuất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8" s="229" t="str">
        <f>IF($B168="","",IF(X$4&gt;DAY(EOMONTH(DATE($D$2,$B$2,1),0)),"",SUMIFS(DATA_GOC!$H:$H,DATA_GOC!$A:$A,"BOM",DATA_GOC!$D:$D,$B168,DATA_GOC!$F:$F,"Xuất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8" s="229" t="str">
        <f>IF($B168="","",IF(Y$4&gt;DAY(EOMONTH(DATE($D$2,$B$2,1),0)),"",SUMIFS(DATA_GOC!$H:$H,DATA_GOC!$A:$A,"BOM",DATA_GOC!$D:$D,$B168,DATA_GOC!$F:$F,"Xuất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8" s="229" t="str">
        <f>IF($B168="","",IF(Z$4&gt;DAY(EOMONTH(DATE($D$2,$B$2,1),0)),"",SUMIFS(DATA_GOC!$H:$H,DATA_GOC!$A:$A,"BOM",DATA_GOC!$D:$D,$B168,DATA_GOC!$F:$F,"Xuất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8" s="229" t="str">
        <f>IF($B168="","",IF(AA$4&gt;DAY(EOMONTH(DATE($D$2,$B$2,1),0)),"",SUMIFS(DATA_GOC!$H:$H,DATA_GOC!$A:$A,"BOM",DATA_GOC!$D:$D,$B168,DATA_GOC!$F:$F,"Xuất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8" s="229" t="str">
        <f>IF($B168="","",IF(AB$4&gt;DAY(EOMONTH(DATE($D$2,$B$2,1),0)),"",SUMIFS(DATA_GOC!$H:$H,DATA_GOC!$A:$A,"BOM",DATA_GOC!$D:$D,$B168,DATA_GOC!$F:$F,"Xuất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8" s="61" t="str">
        <f>IF($B168="","",IF(AC$4&gt;DAY(EOMONTH(DATE($D$2,$B$2,1),0)),"",SUMIFS(DATA_GOC!$H:$H,DATA_GOC!$A:$A,"BOM",DATA_GOC!$D:$D,$B168,DATA_GOC!$F:$F,"Xuất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8" s="222" t="str">
        <f>IF($B168="","",IF(AD$4&gt;DAY(EOMONTH(DATE($D$2,$B$2,1),0)),"",SUMIFS(DATA_GOC!$H:$H,DATA_GOC!$A:$A,"BOM",DATA_GOC!$D:$D,$B168,DATA_GOC!$F:$F,"Xuất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8" s="222" t="str">
        <f>IF($B168="","",IF(AE$4&gt;DAY(EOMONTH(DATE($D$2,$B$2,1),0)),"",SUMIFS(DATA_GOC!$H:$H,DATA_GOC!$A:$A,"BOM",DATA_GOC!$D:$D,$B168,DATA_GOC!$F:$F,"Xuất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8" s="222" t="str">
        <f>IF($B168="","",IF(AF$4&gt;DAY(EOMONTH(DATE($D$2,$B$2,1),0)),"",SUMIFS(DATA_GOC!$H:$H,DATA_GOC!$A:$A,"BOM",DATA_GOC!$D:$D,$B168,DATA_GOC!$F:$F,"Xuất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8" s="222" t="str">
        <f>IF($B168="","",IF(AG$4&gt;DAY(EOMONTH(DATE($D$2,$B$2,1),0)),"",SUMIFS(DATA_GOC!$H:$H,DATA_GOC!$A:$A,"BOM",DATA_GOC!$D:$D,$B168,DATA_GOC!$F:$F,"Xuất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8" s="222" t="str">
        <f t="shared" si="2"/>
        <v/>
      </c>
      <c r="AI168" s="222" t="str">
        <f>IF($B168="","",SUMIFS(DATA_GOC!$H:$H,DATA_GOC!$A:$A,"BOM",DATA_GOC!$D:$D,$B168,DATA_GOC!$F:$F,"Bơm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8" s="222" t="str">
        <f t="shared" si="3"/>
        <v/>
      </c>
      <c r="AM168" s="222" t="str">
        <f>IF($B168="","",SUMIFS(DATA_GOC!$K:$K,DATA_GOC!$A:$A,"BOM",DATA_GOC!$D:$D,$B168,DATA_GOC!$G:$G,"DO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8" s="222" t="str">
        <f t="shared" si="4"/>
        <v/>
      </c>
      <c r="AO168" s="227" t="str">
        <f t="shared" si="5"/>
        <v/>
      </c>
      <c r="AP168" s="226" t="str">
        <f>IF($B168="","",IFERROR(AO168-(SUMIFS(DATA_GOC!$H:$H,DATA_GOC!$A:$A,"BOM",DATA_GOC!$D:$D,$B168,DATA_GOC!$F:$F,"Xuất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8" s="59">
        <v>4.0</v>
      </c>
      <c r="AR168" s="59">
        <v>2026.0</v>
      </c>
      <c r="AS168" s="59" t="s">
        <v>87</v>
      </c>
      <c r="AT168" s="59">
        <v>873.638</v>
      </c>
      <c r="AU168" s="59">
        <v>0.0</v>
      </c>
      <c r="AV168" s="59">
        <v>873.638</v>
      </c>
      <c r="AW168" s="59">
        <v>2007.0</v>
      </c>
      <c r="AX168" s="59">
        <v>43.5295465869457</v>
      </c>
      <c r="AY168" s="59">
        <v>433.83</v>
      </c>
      <c r="AZ168" s="59">
        <v>439.808</v>
      </c>
      <c r="BA168" s="59">
        <v>3.83</v>
      </c>
      <c r="BB168" s="59">
        <v>0.0</v>
      </c>
      <c r="BC168" s="59" t="s">
        <v>523</v>
      </c>
    </row>
    <row r="169" ht="15.0" customHeight="1">
      <c r="A169" s="61" t="str">
        <f t="shared" si="1"/>
        <v/>
      </c>
      <c r="B169" s="228" t="str">
        <f t="array" ref="B169">IFERROR(INDEX(DANH_MUC!$E:$E,ROW()-1),"")</f>
        <v/>
      </c>
      <c r="C169" s="228" t="str">
        <f>IF($B169="","",IF(C$4&gt;DAY(EOMONTH(DATE($D$2,$B$2,1),0)),"",SUMIFS(DATA_GOC!$H:$H,DATA_GOC!$A:$A,"BOM",DATA_GOC!$D:$D,$B169,DATA_GOC!$F:$F,"Xuất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69" s="61" t="str">
        <f>IF($B169="","",IF(D$4&gt;DAY(EOMONTH(DATE($D$2,$B$2,1),0)),"",SUMIFS(DATA_GOC!$H:$H,DATA_GOC!$A:$A,"BOM",DATA_GOC!$D:$D,$B169,DATA_GOC!$F:$F,"Xuất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69" s="229" t="str">
        <f>IF($B169="","",IF(E$4&gt;DAY(EOMONTH(DATE($D$2,$B$2,1),0)),"",SUMIFS(DATA_GOC!$H:$H,DATA_GOC!$A:$A,"BOM",DATA_GOC!$D:$D,$B169,DATA_GOC!$F:$F,"Xuất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69" s="229" t="str">
        <f>IF($B169="","",IF(F$4&gt;DAY(EOMONTH(DATE($D$2,$B$2,1),0)),"",SUMIFS(DATA_GOC!$H:$H,DATA_GOC!$A:$A,"BOM",DATA_GOC!$D:$D,$B169,DATA_GOC!$F:$F,"Xuất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69" s="229" t="str">
        <f>IF($B169="","",IF(G$4&gt;DAY(EOMONTH(DATE($D$2,$B$2,1),0)),"",SUMIFS(DATA_GOC!$H:$H,DATA_GOC!$A:$A,"BOM",DATA_GOC!$D:$D,$B169,DATA_GOC!$F:$F,"Xuất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69" s="228" t="str">
        <f>IF($B169="","",IF(H$4&gt;DAY(EOMONTH(DATE($D$2,$B$2,1),0)),"",SUMIFS(DATA_GOC!$H:$H,DATA_GOC!$A:$A,"BOM",DATA_GOC!$D:$D,$B169,DATA_GOC!$F:$F,"Xuất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69" s="229" t="str">
        <f>IF($B169="","",IF(I$4&gt;DAY(EOMONTH(DATE($D$2,$B$2,1),0)),"",SUMIFS(DATA_GOC!$H:$H,DATA_GOC!$A:$A,"BOM",DATA_GOC!$D:$D,$B169,DATA_GOC!$F:$F,"Xuất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69" s="229" t="str">
        <f>IF($B169="","",IF(J$4&gt;DAY(EOMONTH(DATE($D$2,$B$2,1),0)),"",SUMIFS(DATA_GOC!$H:$H,DATA_GOC!$A:$A,"BOM",DATA_GOC!$D:$D,$B169,DATA_GOC!$F:$F,"Xuất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69" s="229" t="str">
        <f>IF($B169="","",IF(K$4&gt;DAY(EOMONTH(DATE($D$2,$B$2,1),0)),"",SUMIFS(DATA_GOC!$H:$H,DATA_GOC!$A:$A,"BOM",DATA_GOC!$D:$D,$B169,DATA_GOC!$F:$F,"Xuất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69" s="229" t="str">
        <f>IF($B169="","",IF(L$4&gt;DAY(EOMONTH(DATE($D$2,$B$2,1),0)),"",SUMIFS(DATA_GOC!$H:$H,DATA_GOC!$A:$A,"BOM",DATA_GOC!$D:$D,$B169,DATA_GOC!$F:$F,"Xuất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69" s="229" t="str">
        <f>IF($B169="","",IF(M$4&gt;DAY(EOMONTH(DATE($D$2,$B$2,1),0)),"",SUMIFS(DATA_GOC!$H:$H,DATA_GOC!$A:$A,"BOM",DATA_GOC!$D:$D,$B169,DATA_GOC!$F:$F,"Xuất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69" s="61" t="str">
        <f>IF($B169="","",IF(N$4&gt;DAY(EOMONTH(DATE($D$2,$B$2,1),0)),"",SUMIFS(DATA_GOC!$H:$H,DATA_GOC!$A:$A,"BOM",DATA_GOC!$D:$D,$B169,DATA_GOC!$F:$F,"Xuất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69" s="61" t="str">
        <f>IF($B169="","",IF(O$4&gt;DAY(EOMONTH(DATE($D$2,$B$2,1),0)),"",SUMIFS(DATA_GOC!$H:$H,DATA_GOC!$A:$A,"BOM",DATA_GOC!$D:$D,$B169,DATA_GOC!$F:$F,"Xuất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69" s="61" t="str">
        <f>IF($B169="","",IF(P$4&gt;DAY(EOMONTH(DATE($D$2,$B$2,1),0)),"",SUMIFS(DATA_GOC!$H:$H,DATA_GOC!$A:$A,"BOM",DATA_GOC!$D:$D,$B169,DATA_GOC!$F:$F,"Xuất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69" s="61" t="str">
        <f>IF($B169="","",IF(Q$4&gt;DAY(EOMONTH(DATE($D$2,$B$2,1),0)),"",SUMIFS(DATA_GOC!$H:$H,DATA_GOC!$A:$A,"BOM",DATA_GOC!$D:$D,$B169,DATA_GOC!$F:$F,"Xuất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69" s="61" t="str">
        <f>IF($B169="","",IF(R$4&gt;DAY(EOMONTH(DATE($D$2,$B$2,1),0)),"",SUMIFS(DATA_GOC!$H:$H,DATA_GOC!$A:$A,"BOM",DATA_GOC!$D:$D,$B169,DATA_GOC!$F:$F,"Xuất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69" s="61" t="str">
        <f>IF($B169="","",IF(S$4&gt;DAY(EOMONTH(DATE($D$2,$B$2,1),0)),"",SUMIFS(DATA_GOC!$H:$H,DATA_GOC!$A:$A,"BOM",DATA_GOC!$D:$D,$B169,DATA_GOC!$F:$F,"Xuất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69" s="229" t="str">
        <f>IF($B169="","",IF(T$4&gt;DAY(EOMONTH(DATE($D$2,$B$2,1),0)),"",SUMIFS(DATA_GOC!$H:$H,DATA_GOC!$A:$A,"BOM",DATA_GOC!$D:$D,$B169,DATA_GOC!$F:$F,"Xuất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69" s="229" t="str">
        <f>IF($B169="","",IF(U$4&gt;DAY(EOMONTH(DATE($D$2,$B$2,1),0)),"",SUMIFS(DATA_GOC!$H:$H,DATA_GOC!$A:$A,"BOM",DATA_GOC!$D:$D,$B169,DATA_GOC!$F:$F,"Xuất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69" s="229" t="str">
        <f>IF($B169="","",IF(V$4&gt;DAY(EOMONTH(DATE($D$2,$B$2,1),0)),"",SUMIFS(DATA_GOC!$H:$H,DATA_GOC!$A:$A,"BOM",DATA_GOC!$D:$D,$B169,DATA_GOC!$F:$F,"Xuất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69" s="61" t="str">
        <f>IF($B169="","",IF(W$4&gt;DAY(EOMONTH(DATE($D$2,$B$2,1),0)),"",SUMIFS(DATA_GOC!$H:$H,DATA_GOC!$A:$A,"BOM",DATA_GOC!$D:$D,$B169,DATA_GOC!$F:$F,"Xuất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69" s="229" t="str">
        <f>IF($B169="","",IF(X$4&gt;DAY(EOMONTH(DATE($D$2,$B$2,1),0)),"",SUMIFS(DATA_GOC!$H:$H,DATA_GOC!$A:$A,"BOM",DATA_GOC!$D:$D,$B169,DATA_GOC!$F:$F,"Xuất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69" s="229" t="str">
        <f>IF($B169="","",IF(Y$4&gt;DAY(EOMONTH(DATE($D$2,$B$2,1),0)),"",SUMIFS(DATA_GOC!$H:$H,DATA_GOC!$A:$A,"BOM",DATA_GOC!$D:$D,$B169,DATA_GOC!$F:$F,"Xuất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69" s="229" t="str">
        <f>IF($B169="","",IF(Z$4&gt;DAY(EOMONTH(DATE($D$2,$B$2,1),0)),"",SUMIFS(DATA_GOC!$H:$H,DATA_GOC!$A:$A,"BOM",DATA_GOC!$D:$D,$B169,DATA_GOC!$F:$F,"Xuất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69" s="229" t="str">
        <f>IF($B169="","",IF(AA$4&gt;DAY(EOMONTH(DATE($D$2,$B$2,1),0)),"",SUMIFS(DATA_GOC!$H:$H,DATA_GOC!$A:$A,"BOM",DATA_GOC!$D:$D,$B169,DATA_GOC!$F:$F,"Xuất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69" s="229" t="str">
        <f>IF($B169="","",IF(AB$4&gt;DAY(EOMONTH(DATE($D$2,$B$2,1),0)),"",SUMIFS(DATA_GOC!$H:$H,DATA_GOC!$A:$A,"BOM",DATA_GOC!$D:$D,$B169,DATA_GOC!$F:$F,"Xuất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69" s="61" t="str">
        <f>IF($B169="","",IF(AC$4&gt;DAY(EOMONTH(DATE($D$2,$B$2,1),0)),"",SUMIFS(DATA_GOC!$H:$H,DATA_GOC!$A:$A,"BOM",DATA_GOC!$D:$D,$B169,DATA_GOC!$F:$F,"Xuất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69" s="222" t="str">
        <f>IF($B169="","",IF(AD$4&gt;DAY(EOMONTH(DATE($D$2,$B$2,1),0)),"",SUMIFS(DATA_GOC!$H:$H,DATA_GOC!$A:$A,"BOM",DATA_GOC!$D:$D,$B169,DATA_GOC!$F:$F,"Xuất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69" s="222" t="str">
        <f>IF($B169="","",IF(AE$4&gt;DAY(EOMONTH(DATE($D$2,$B$2,1),0)),"",SUMIFS(DATA_GOC!$H:$H,DATA_GOC!$A:$A,"BOM",DATA_GOC!$D:$D,$B169,DATA_GOC!$F:$F,"Xuất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69" s="222" t="str">
        <f>IF($B169="","",IF(AF$4&gt;DAY(EOMONTH(DATE($D$2,$B$2,1),0)),"",SUMIFS(DATA_GOC!$H:$H,DATA_GOC!$A:$A,"BOM",DATA_GOC!$D:$D,$B169,DATA_GOC!$F:$F,"Xuất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69" s="222" t="str">
        <f>IF($B169="","",IF(AG$4&gt;DAY(EOMONTH(DATE($D$2,$B$2,1),0)),"",SUMIFS(DATA_GOC!$H:$H,DATA_GOC!$A:$A,"BOM",DATA_GOC!$D:$D,$B169,DATA_GOC!$F:$F,"Xuất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69" s="222" t="str">
        <f t="shared" si="2"/>
        <v/>
      </c>
      <c r="AI169" s="222" t="str">
        <f>IF($B169="","",SUMIFS(DATA_GOC!$H:$H,DATA_GOC!$A:$A,"BOM",DATA_GOC!$D:$D,$B169,DATA_GOC!$F:$F,"Bơm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69" s="222" t="str">
        <f t="shared" si="3"/>
        <v/>
      </c>
      <c r="AM169" s="222" t="str">
        <f>IF($B169="","",SUMIFS(DATA_GOC!$K:$K,DATA_GOC!$A:$A,"BOM",DATA_GOC!$D:$D,$B169,DATA_GOC!$G:$G,"DO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69" s="222" t="str">
        <f t="shared" si="4"/>
        <v/>
      </c>
      <c r="AO169" s="227" t="str">
        <f t="shared" si="5"/>
        <v/>
      </c>
      <c r="AP169" s="226" t="str">
        <f>IF($B169="","",IFERROR(AO169-(SUMIFS(DATA_GOC!$H:$H,DATA_GOC!$A:$A,"BOM",DATA_GOC!$D:$D,$B169,DATA_GOC!$F:$F,"Xuất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số",DATA_GOC!$B:$B,"&gt;="&amp;EDATE(DATE($D$2,$B$2,1),-1),DATA_GOC!$B:$B,"&lt;"&amp;DATE($D$2,$B$2,1))/SUMIFS(DATA_GOC!$K:$K,DATA_GOC!$A:$A,"BOM",DATA_GOC!$D:$D,$B169,DATA_GOC!$G:$G,"DO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69" s="59">
        <v>4.0</v>
      </c>
      <c r="AR169" s="59">
        <v>2026.0</v>
      </c>
      <c r="AS169" s="59" t="s">
        <v>102</v>
      </c>
      <c r="AT169" s="59">
        <v>1160.271</v>
      </c>
      <c r="AU169" s="59">
        <v>0.0</v>
      </c>
      <c r="AV169" s="59">
        <v>1160.271</v>
      </c>
      <c r="AW169" s="59">
        <v>2608.0</v>
      </c>
      <c r="AX169" s="59">
        <v>44.4889187116564</v>
      </c>
      <c r="AY169" s="59">
        <v>0.0</v>
      </c>
      <c r="AZ169" s="59">
        <v>1160.271</v>
      </c>
      <c r="BA169" s="59">
        <v>0.0</v>
      </c>
      <c r="BB169" s="59">
        <v>0.0</v>
      </c>
      <c r="BC169" s="59" t="s">
        <v>524</v>
      </c>
    </row>
    <row r="170" ht="15.0" customHeight="1">
      <c r="A170" s="61" t="str">
        <f t="shared" si="1"/>
        <v/>
      </c>
      <c r="B170" s="228" t="str">
        <f t="array" ref="B170">IFERROR(INDEX(DANH_MUC!$E:$E,ROW()-1),"")</f>
        <v/>
      </c>
      <c r="C170" s="228" t="str">
        <f>IF($B170="","",IF(C$4&gt;DAY(EOMONTH(DATE($D$2,$B$2,1),0)),"",SUMIFS(DATA_GOC!$H:$H,DATA_GOC!$A:$A,"BOM",DATA_GOC!$D:$D,$B170,DATA_GOC!$F:$F,"Xuất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0" s="61" t="str">
        <f>IF($B170="","",IF(D$4&gt;DAY(EOMONTH(DATE($D$2,$B$2,1),0)),"",SUMIFS(DATA_GOC!$H:$H,DATA_GOC!$A:$A,"BOM",DATA_GOC!$D:$D,$B170,DATA_GOC!$F:$F,"Xuất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0" s="229" t="str">
        <f>IF($B170="","",IF(E$4&gt;DAY(EOMONTH(DATE($D$2,$B$2,1),0)),"",SUMIFS(DATA_GOC!$H:$H,DATA_GOC!$A:$A,"BOM",DATA_GOC!$D:$D,$B170,DATA_GOC!$F:$F,"Xuất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0" s="229" t="str">
        <f>IF($B170="","",IF(F$4&gt;DAY(EOMONTH(DATE($D$2,$B$2,1),0)),"",SUMIFS(DATA_GOC!$H:$H,DATA_GOC!$A:$A,"BOM",DATA_GOC!$D:$D,$B170,DATA_GOC!$F:$F,"Xuất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0" s="229" t="str">
        <f>IF($B170="","",IF(G$4&gt;DAY(EOMONTH(DATE($D$2,$B$2,1),0)),"",SUMIFS(DATA_GOC!$H:$H,DATA_GOC!$A:$A,"BOM",DATA_GOC!$D:$D,$B170,DATA_GOC!$F:$F,"Xuất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0" s="228" t="str">
        <f>IF($B170="","",IF(H$4&gt;DAY(EOMONTH(DATE($D$2,$B$2,1),0)),"",SUMIFS(DATA_GOC!$H:$H,DATA_GOC!$A:$A,"BOM",DATA_GOC!$D:$D,$B170,DATA_GOC!$F:$F,"Xuất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0" s="229" t="str">
        <f>IF($B170="","",IF(I$4&gt;DAY(EOMONTH(DATE($D$2,$B$2,1),0)),"",SUMIFS(DATA_GOC!$H:$H,DATA_GOC!$A:$A,"BOM",DATA_GOC!$D:$D,$B170,DATA_GOC!$F:$F,"Xuất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0" s="229" t="str">
        <f>IF($B170="","",IF(J$4&gt;DAY(EOMONTH(DATE($D$2,$B$2,1),0)),"",SUMIFS(DATA_GOC!$H:$H,DATA_GOC!$A:$A,"BOM",DATA_GOC!$D:$D,$B170,DATA_GOC!$F:$F,"Xuất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0" s="229" t="str">
        <f>IF($B170="","",IF(K$4&gt;DAY(EOMONTH(DATE($D$2,$B$2,1),0)),"",SUMIFS(DATA_GOC!$H:$H,DATA_GOC!$A:$A,"BOM",DATA_GOC!$D:$D,$B170,DATA_GOC!$F:$F,"Xuất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0" s="229" t="str">
        <f>IF($B170="","",IF(L$4&gt;DAY(EOMONTH(DATE($D$2,$B$2,1),0)),"",SUMIFS(DATA_GOC!$H:$H,DATA_GOC!$A:$A,"BOM",DATA_GOC!$D:$D,$B170,DATA_GOC!$F:$F,"Xuất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0" s="229" t="str">
        <f>IF($B170="","",IF(M$4&gt;DAY(EOMONTH(DATE($D$2,$B$2,1),0)),"",SUMIFS(DATA_GOC!$H:$H,DATA_GOC!$A:$A,"BOM",DATA_GOC!$D:$D,$B170,DATA_GOC!$F:$F,"Xuất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0" s="61" t="str">
        <f>IF($B170="","",IF(N$4&gt;DAY(EOMONTH(DATE($D$2,$B$2,1),0)),"",SUMIFS(DATA_GOC!$H:$H,DATA_GOC!$A:$A,"BOM",DATA_GOC!$D:$D,$B170,DATA_GOC!$F:$F,"Xuất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0" s="61" t="str">
        <f>IF($B170="","",IF(O$4&gt;DAY(EOMONTH(DATE($D$2,$B$2,1),0)),"",SUMIFS(DATA_GOC!$H:$H,DATA_GOC!$A:$A,"BOM",DATA_GOC!$D:$D,$B170,DATA_GOC!$F:$F,"Xuất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0" s="61" t="str">
        <f>IF($B170="","",IF(P$4&gt;DAY(EOMONTH(DATE($D$2,$B$2,1),0)),"",SUMIFS(DATA_GOC!$H:$H,DATA_GOC!$A:$A,"BOM",DATA_GOC!$D:$D,$B170,DATA_GOC!$F:$F,"Xuất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0" s="61" t="str">
        <f>IF($B170="","",IF(Q$4&gt;DAY(EOMONTH(DATE($D$2,$B$2,1),0)),"",SUMIFS(DATA_GOC!$H:$H,DATA_GOC!$A:$A,"BOM",DATA_GOC!$D:$D,$B170,DATA_GOC!$F:$F,"Xuất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0" s="61" t="str">
        <f>IF($B170="","",IF(R$4&gt;DAY(EOMONTH(DATE($D$2,$B$2,1),0)),"",SUMIFS(DATA_GOC!$H:$H,DATA_GOC!$A:$A,"BOM",DATA_GOC!$D:$D,$B170,DATA_GOC!$F:$F,"Xuất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0" s="61" t="str">
        <f>IF($B170="","",IF(S$4&gt;DAY(EOMONTH(DATE($D$2,$B$2,1),0)),"",SUMIFS(DATA_GOC!$H:$H,DATA_GOC!$A:$A,"BOM",DATA_GOC!$D:$D,$B170,DATA_GOC!$F:$F,"Xuất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0" s="229" t="str">
        <f>IF($B170="","",IF(T$4&gt;DAY(EOMONTH(DATE($D$2,$B$2,1),0)),"",SUMIFS(DATA_GOC!$H:$H,DATA_GOC!$A:$A,"BOM",DATA_GOC!$D:$D,$B170,DATA_GOC!$F:$F,"Xuất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0" s="229" t="str">
        <f>IF($B170="","",IF(U$4&gt;DAY(EOMONTH(DATE($D$2,$B$2,1),0)),"",SUMIFS(DATA_GOC!$H:$H,DATA_GOC!$A:$A,"BOM",DATA_GOC!$D:$D,$B170,DATA_GOC!$F:$F,"Xuất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0" s="229" t="str">
        <f>IF($B170="","",IF(V$4&gt;DAY(EOMONTH(DATE($D$2,$B$2,1),0)),"",SUMIFS(DATA_GOC!$H:$H,DATA_GOC!$A:$A,"BOM",DATA_GOC!$D:$D,$B170,DATA_GOC!$F:$F,"Xuất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0" s="61" t="str">
        <f>IF($B170="","",IF(W$4&gt;DAY(EOMONTH(DATE($D$2,$B$2,1),0)),"",SUMIFS(DATA_GOC!$H:$H,DATA_GOC!$A:$A,"BOM",DATA_GOC!$D:$D,$B170,DATA_GOC!$F:$F,"Xuất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0" s="229" t="str">
        <f>IF($B170="","",IF(X$4&gt;DAY(EOMONTH(DATE($D$2,$B$2,1),0)),"",SUMIFS(DATA_GOC!$H:$H,DATA_GOC!$A:$A,"BOM",DATA_GOC!$D:$D,$B170,DATA_GOC!$F:$F,"Xuất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0" s="229" t="str">
        <f>IF($B170="","",IF(Y$4&gt;DAY(EOMONTH(DATE($D$2,$B$2,1),0)),"",SUMIFS(DATA_GOC!$H:$H,DATA_GOC!$A:$A,"BOM",DATA_GOC!$D:$D,$B170,DATA_GOC!$F:$F,"Xuất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0" s="229" t="str">
        <f>IF($B170="","",IF(Z$4&gt;DAY(EOMONTH(DATE($D$2,$B$2,1),0)),"",SUMIFS(DATA_GOC!$H:$H,DATA_GOC!$A:$A,"BOM",DATA_GOC!$D:$D,$B170,DATA_GOC!$F:$F,"Xuất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0" s="229" t="str">
        <f>IF($B170="","",IF(AA$4&gt;DAY(EOMONTH(DATE($D$2,$B$2,1),0)),"",SUMIFS(DATA_GOC!$H:$H,DATA_GOC!$A:$A,"BOM",DATA_GOC!$D:$D,$B170,DATA_GOC!$F:$F,"Xuất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0" s="229" t="str">
        <f>IF($B170="","",IF(AB$4&gt;DAY(EOMONTH(DATE($D$2,$B$2,1),0)),"",SUMIFS(DATA_GOC!$H:$H,DATA_GOC!$A:$A,"BOM",DATA_GOC!$D:$D,$B170,DATA_GOC!$F:$F,"Xuất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0" s="61" t="str">
        <f>IF($B170="","",IF(AC$4&gt;DAY(EOMONTH(DATE($D$2,$B$2,1),0)),"",SUMIFS(DATA_GOC!$H:$H,DATA_GOC!$A:$A,"BOM",DATA_GOC!$D:$D,$B170,DATA_GOC!$F:$F,"Xuất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0" s="222" t="str">
        <f>IF($B170="","",IF(AD$4&gt;DAY(EOMONTH(DATE($D$2,$B$2,1),0)),"",SUMIFS(DATA_GOC!$H:$H,DATA_GOC!$A:$A,"BOM",DATA_GOC!$D:$D,$B170,DATA_GOC!$F:$F,"Xuất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0" s="222" t="str">
        <f>IF($B170="","",IF(AE$4&gt;DAY(EOMONTH(DATE($D$2,$B$2,1),0)),"",SUMIFS(DATA_GOC!$H:$H,DATA_GOC!$A:$A,"BOM",DATA_GOC!$D:$D,$B170,DATA_GOC!$F:$F,"Xuất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0" s="222" t="str">
        <f>IF($B170="","",IF(AF$4&gt;DAY(EOMONTH(DATE($D$2,$B$2,1),0)),"",SUMIFS(DATA_GOC!$H:$H,DATA_GOC!$A:$A,"BOM",DATA_GOC!$D:$D,$B170,DATA_GOC!$F:$F,"Xuất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0" s="222" t="str">
        <f>IF($B170="","",IF(AG$4&gt;DAY(EOMONTH(DATE($D$2,$B$2,1),0)),"",SUMIFS(DATA_GOC!$H:$H,DATA_GOC!$A:$A,"BOM",DATA_GOC!$D:$D,$B170,DATA_GOC!$F:$F,"Xuất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0" s="222" t="str">
        <f t="shared" si="2"/>
        <v/>
      </c>
      <c r="AI170" s="222" t="str">
        <f>IF($B170="","",SUMIFS(DATA_GOC!$H:$H,DATA_GOC!$A:$A,"BOM",DATA_GOC!$D:$D,$B170,DATA_GOC!$F:$F,"Bơm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0" s="222" t="str">
        <f t="shared" si="3"/>
        <v/>
      </c>
      <c r="AM170" s="222" t="str">
        <f>IF($B170="","",SUMIFS(DATA_GOC!$K:$K,DATA_GOC!$A:$A,"BOM",DATA_GOC!$D:$D,$B170,DATA_GOC!$G:$G,"DO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0" s="222" t="str">
        <f t="shared" si="4"/>
        <v/>
      </c>
      <c r="AO170" s="227" t="str">
        <f t="shared" si="5"/>
        <v/>
      </c>
      <c r="AP170" s="226" t="str">
        <f>IF($B170="","",IFERROR(AO170-(SUMIFS(DATA_GOC!$H:$H,DATA_GOC!$A:$A,"BOM",DATA_GOC!$D:$D,$B170,DATA_GOC!$F:$F,"Xuất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0" s="59">
        <v>4.0</v>
      </c>
      <c r="AR170" s="59">
        <v>2026.0</v>
      </c>
      <c r="AS170" s="59" t="s">
        <v>336</v>
      </c>
      <c r="AT170" s="59">
        <v>2337.968</v>
      </c>
      <c r="AU170" s="59">
        <v>0.0</v>
      </c>
      <c r="AV170" s="59">
        <v>2337.968</v>
      </c>
      <c r="AW170" s="59">
        <v>4521.0</v>
      </c>
      <c r="AX170" s="59">
        <v>51.7135147091352</v>
      </c>
      <c r="AY170" s="59">
        <v>728.43</v>
      </c>
      <c r="AZ170" s="59">
        <v>1609.538</v>
      </c>
      <c r="BA170" s="59">
        <v>6.43</v>
      </c>
      <c r="BB170" s="59">
        <v>0.0</v>
      </c>
      <c r="BC170" s="59" t="s">
        <v>525</v>
      </c>
    </row>
    <row r="171" ht="15.0" customHeight="1">
      <c r="A171" s="61" t="str">
        <f t="shared" si="1"/>
        <v/>
      </c>
      <c r="B171" s="228" t="str">
        <f t="array" ref="B171">IFERROR(INDEX(DANH_MUC!$E:$E,ROW()-1),"")</f>
        <v/>
      </c>
      <c r="C171" s="228" t="str">
        <f>IF($B171="","",IF(C$4&gt;DAY(EOMONTH(DATE($D$2,$B$2,1),0)),"",SUMIFS(DATA_GOC!$H:$H,DATA_GOC!$A:$A,"BOM",DATA_GOC!$D:$D,$B171,DATA_GOC!$F:$F,"Xuất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1" s="61" t="str">
        <f>IF($B171="","",IF(D$4&gt;DAY(EOMONTH(DATE($D$2,$B$2,1),0)),"",SUMIFS(DATA_GOC!$H:$H,DATA_GOC!$A:$A,"BOM",DATA_GOC!$D:$D,$B171,DATA_GOC!$F:$F,"Xuất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1" s="229" t="str">
        <f>IF($B171="","",IF(E$4&gt;DAY(EOMONTH(DATE($D$2,$B$2,1),0)),"",SUMIFS(DATA_GOC!$H:$H,DATA_GOC!$A:$A,"BOM",DATA_GOC!$D:$D,$B171,DATA_GOC!$F:$F,"Xuất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1" s="229" t="str">
        <f>IF($B171="","",IF(F$4&gt;DAY(EOMONTH(DATE($D$2,$B$2,1),0)),"",SUMIFS(DATA_GOC!$H:$H,DATA_GOC!$A:$A,"BOM",DATA_GOC!$D:$D,$B171,DATA_GOC!$F:$F,"Xuất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1" s="229" t="str">
        <f>IF($B171="","",IF(G$4&gt;DAY(EOMONTH(DATE($D$2,$B$2,1),0)),"",SUMIFS(DATA_GOC!$H:$H,DATA_GOC!$A:$A,"BOM",DATA_GOC!$D:$D,$B171,DATA_GOC!$F:$F,"Xuất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1" s="228" t="str">
        <f>IF($B171="","",IF(H$4&gt;DAY(EOMONTH(DATE($D$2,$B$2,1),0)),"",SUMIFS(DATA_GOC!$H:$H,DATA_GOC!$A:$A,"BOM",DATA_GOC!$D:$D,$B171,DATA_GOC!$F:$F,"Xuất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1" s="229" t="str">
        <f>IF($B171="","",IF(I$4&gt;DAY(EOMONTH(DATE($D$2,$B$2,1),0)),"",SUMIFS(DATA_GOC!$H:$H,DATA_GOC!$A:$A,"BOM",DATA_GOC!$D:$D,$B171,DATA_GOC!$F:$F,"Xuất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1" s="229" t="str">
        <f>IF($B171="","",IF(J$4&gt;DAY(EOMONTH(DATE($D$2,$B$2,1),0)),"",SUMIFS(DATA_GOC!$H:$H,DATA_GOC!$A:$A,"BOM",DATA_GOC!$D:$D,$B171,DATA_GOC!$F:$F,"Xuất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1" s="229" t="str">
        <f>IF($B171="","",IF(K$4&gt;DAY(EOMONTH(DATE($D$2,$B$2,1),0)),"",SUMIFS(DATA_GOC!$H:$H,DATA_GOC!$A:$A,"BOM",DATA_GOC!$D:$D,$B171,DATA_GOC!$F:$F,"Xuất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1" s="229" t="str">
        <f>IF($B171="","",IF(L$4&gt;DAY(EOMONTH(DATE($D$2,$B$2,1),0)),"",SUMIFS(DATA_GOC!$H:$H,DATA_GOC!$A:$A,"BOM",DATA_GOC!$D:$D,$B171,DATA_GOC!$F:$F,"Xuất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1" s="229" t="str">
        <f>IF($B171="","",IF(M$4&gt;DAY(EOMONTH(DATE($D$2,$B$2,1),0)),"",SUMIFS(DATA_GOC!$H:$H,DATA_GOC!$A:$A,"BOM",DATA_GOC!$D:$D,$B171,DATA_GOC!$F:$F,"Xuất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1" s="61" t="str">
        <f>IF($B171="","",IF(N$4&gt;DAY(EOMONTH(DATE($D$2,$B$2,1),0)),"",SUMIFS(DATA_GOC!$H:$H,DATA_GOC!$A:$A,"BOM",DATA_GOC!$D:$D,$B171,DATA_GOC!$F:$F,"Xuất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1" s="61" t="str">
        <f>IF($B171="","",IF(O$4&gt;DAY(EOMONTH(DATE($D$2,$B$2,1),0)),"",SUMIFS(DATA_GOC!$H:$H,DATA_GOC!$A:$A,"BOM",DATA_GOC!$D:$D,$B171,DATA_GOC!$F:$F,"Xuất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1" s="61" t="str">
        <f>IF($B171="","",IF(P$4&gt;DAY(EOMONTH(DATE($D$2,$B$2,1),0)),"",SUMIFS(DATA_GOC!$H:$H,DATA_GOC!$A:$A,"BOM",DATA_GOC!$D:$D,$B171,DATA_GOC!$F:$F,"Xuất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1" s="61" t="str">
        <f>IF($B171="","",IF(Q$4&gt;DAY(EOMONTH(DATE($D$2,$B$2,1),0)),"",SUMIFS(DATA_GOC!$H:$H,DATA_GOC!$A:$A,"BOM",DATA_GOC!$D:$D,$B171,DATA_GOC!$F:$F,"Xuất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1" s="61" t="str">
        <f>IF($B171="","",IF(R$4&gt;DAY(EOMONTH(DATE($D$2,$B$2,1),0)),"",SUMIFS(DATA_GOC!$H:$H,DATA_GOC!$A:$A,"BOM",DATA_GOC!$D:$D,$B171,DATA_GOC!$F:$F,"Xuất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1" s="61" t="str">
        <f>IF($B171="","",IF(S$4&gt;DAY(EOMONTH(DATE($D$2,$B$2,1),0)),"",SUMIFS(DATA_GOC!$H:$H,DATA_GOC!$A:$A,"BOM",DATA_GOC!$D:$D,$B171,DATA_GOC!$F:$F,"Xuất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1" s="229" t="str">
        <f>IF($B171="","",IF(T$4&gt;DAY(EOMONTH(DATE($D$2,$B$2,1),0)),"",SUMIFS(DATA_GOC!$H:$H,DATA_GOC!$A:$A,"BOM",DATA_GOC!$D:$D,$B171,DATA_GOC!$F:$F,"Xuất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1" s="229" t="str">
        <f>IF($B171="","",IF(U$4&gt;DAY(EOMONTH(DATE($D$2,$B$2,1),0)),"",SUMIFS(DATA_GOC!$H:$H,DATA_GOC!$A:$A,"BOM",DATA_GOC!$D:$D,$B171,DATA_GOC!$F:$F,"Xuất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1" s="229" t="str">
        <f>IF($B171="","",IF(V$4&gt;DAY(EOMONTH(DATE($D$2,$B$2,1),0)),"",SUMIFS(DATA_GOC!$H:$H,DATA_GOC!$A:$A,"BOM",DATA_GOC!$D:$D,$B171,DATA_GOC!$F:$F,"Xuất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1" s="61" t="str">
        <f>IF($B171="","",IF(W$4&gt;DAY(EOMONTH(DATE($D$2,$B$2,1),0)),"",SUMIFS(DATA_GOC!$H:$H,DATA_GOC!$A:$A,"BOM",DATA_GOC!$D:$D,$B171,DATA_GOC!$F:$F,"Xuất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1" s="229" t="str">
        <f>IF($B171="","",IF(X$4&gt;DAY(EOMONTH(DATE($D$2,$B$2,1),0)),"",SUMIFS(DATA_GOC!$H:$H,DATA_GOC!$A:$A,"BOM",DATA_GOC!$D:$D,$B171,DATA_GOC!$F:$F,"Xuất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1" s="229" t="str">
        <f>IF($B171="","",IF(Y$4&gt;DAY(EOMONTH(DATE($D$2,$B$2,1),0)),"",SUMIFS(DATA_GOC!$H:$H,DATA_GOC!$A:$A,"BOM",DATA_GOC!$D:$D,$B171,DATA_GOC!$F:$F,"Xuất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1" s="229" t="str">
        <f>IF($B171="","",IF(Z$4&gt;DAY(EOMONTH(DATE($D$2,$B$2,1),0)),"",SUMIFS(DATA_GOC!$H:$H,DATA_GOC!$A:$A,"BOM",DATA_GOC!$D:$D,$B171,DATA_GOC!$F:$F,"Xuất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1" s="229" t="str">
        <f>IF($B171="","",IF(AA$4&gt;DAY(EOMONTH(DATE($D$2,$B$2,1),0)),"",SUMIFS(DATA_GOC!$H:$H,DATA_GOC!$A:$A,"BOM",DATA_GOC!$D:$D,$B171,DATA_GOC!$F:$F,"Xuất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1" s="229" t="str">
        <f>IF($B171="","",IF(AB$4&gt;DAY(EOMONTH(DATE($D$2,$B$2,1),0)),"",SUMIFS(DATA_GOC!$H:$H,DATA_GOC!$A:$A,"BOM",DATA_GOC!$D:$D,$B171,DATA_GOC!$F:$F,"Xuất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1" s="61" t="str">
        <f>IF($B171="","",IF(AC$4&gt;DAY(EOMONTH(DATE($D$2,$B$2,1),0)),"",SUMIFS(DATA_GOC!$H:$H,DATA_GOC!$A:$A,"BOM",DATA_GOC!$D:$D,$B171,DATA_GOC!$F:$F,"Xuất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1" s="222" t="str">
        <f>IF($B171="","",IF(AD$4&gt;DAY(EOMONTH(DATE($D$2,$B$2,1),0)),"",SUMIFS(DATA_GOC!$H:$H,DATA_GOC!$A:$A,"BOM",DATA_GOC!$D:$D,$B171,DATA_GOC!$F:$F,"Xuất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1" s="222" t="str">
        <f>IF($B171="","",IF(AE$4&gt;DAY(EOMONTH(DATE($D$2,$B$2,1),0)),"",SUMIFS(DATA_GOC!$H:$H,DATA_GOC!$A:$A,"BOM",DATA_GOC!$D:$D,$B171,DATA_GOC!$F:$F,"Xuất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1" s="222" t="str">
        <f>IF($B171="","",IF(AF$4&gt;DAY(EOMONTH(DATE($D$2,$B$2,1),0)),"",SUMIFS(DATA_GOC!$H:$H,DATA_GOC!$A:$A,"BOM",DATA_GOC!$D:$D,$B171,DATA_GOC!$F:$F,"Xuất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1" s="222" t="str">
        <f>IF($B171="","",IF(AG$4&gt;DAY(EOMONTH(DATE($D$2,$B$2,1),0)),"",SUMIFS(DATA_GOC!$H:$H,DATA_GOC!$A:$A,"BOM",DATA_GOC!$D:$D,$B171,DATA_GOC!$F:$F,"Xuất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1" s="222" t="str">
        <f t="shared" si="2"/>
        <v/>
      </c>
      <c r="AI171" s="222" t="str">
        <f>IF($B171="","",SUMIFS(DATA_GOC!$H:$H,DATA_GOC!$A:$A,"BOM",DATA_GOC!$D:$D,$B171,DATA_GOC!$F:$F,"Bơm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1" s="222" t="str">
        <f t="shared" si="3"/>
        <v/>
      </c>
      <c r="AM171" s="222" t="str">
        <f>IF($B171="","",SUMIFS(DATA_GOC!$K:$K,DATA_GOC!$A:$A,"BOM",DATA_GOC!$D:$D,$B171,DATA_GOC!$G:$G,"DO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1" s="222" t="str">
        <f t="shared" si="4"/>
        <v/>
      </c>
      <c r="AO171" s="227" t="str">
        <f t="shared" si="5"/>
        <v/>
      </c>
      <c r="AP171" s="226" t="str">
        <f>IF($B171="","",IFERROR(AO171-(SUMIFS(DATA_GOC!$H:$H,DATA_GOC!$A:$A,"BOM",DATA_GOC!$D:$D,$B171,DATA_GOC!$F:$F,"Xuất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1" s="59">
        <v>4.0</v>
      </c>
      <c r="AR171" s="59">
        <v>2026.0</v>
      </c>
      <c r="AS171" s="59" t="s">
        <v>86</v>
      </c>
      <c r="AT171" s="59">
        <v>2194.4</v>
      </c>
      <c r="AU171" s="59">
        <v>0.0</v>
      </c>
      <c r="AV171" s="59">
        <v>2194.4</v>
      </c>
      <c r="AW171" s="59">
        <v>4199.0</v>
      </c>
      <c r="AX171" s="59">
        <v>52.2600619195046</v>
      </c>
      <c r="AY171" s="59">
        <v>260.3</v>
      </c>
      <c r="AZ171" s="59">
        <v>1934.1</v>
      </c>
      <c r="BA171" s="59">
        <v>2.3</v>
      </c>
      <c r="BB171" s="59">
        <v>0.0</v>
      </c>
      <c r="BC171" s="59" t="s">
        <v>526</v>
      </c>
    </row>
    <row r="172" ht="15.0" customHeight="1">
      <c r="A172" s="61" t="str">
        <f t="shared" si="1"/>
        <v/>
      </c>
      <c r="B172" s="228" t="str">
        <f t="array" ref="B172">IFERROR(INDEX(DANH_MUC!$E:$E,ROW()-1),"")</f>
        <v/>
      </c>
      <c r="C172" s="228" t="str">
        <f>IF($B172="","",IF(C$4&gt;DAY(EOMONTH(DATE($D$2,$B$2,1),0)),"",SUMIFS(DATA_GOC!$H:$H,DATA_GOC!$A:$A,"BOM",DATA_GOC!$D:$D,$B172,DATA_GOC!$F:$F,"Xuất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2" s="61" t="str">
        <f>IF($B172="","",IF(D$4&gt;DAY(EOMONTH(DATE($D$2,$B$2,1),0)),"",SUMIFS(DATA_GOC!$H:$H,DATA_GOC!$A:$A,"BOM",DATA_GOC!$D:$D,$B172,DATA_GOC!$F:$F,"Xuất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2" s="229" t="str">
        <f>IF($B172="","",IF(E$4&gt;DAY(EOMONTH(DATE($D$2,$B$2,1),0)),"",SUMIFS(DATA_GOC!$H:$H,DATA_GOC!$A:$A,"BOM",DATA_GOC!$D:$D,$B172,DATA_GOC!$F:$F,"Xuất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2" s="229" t="str">
        <f>IF($B172="","",IF(F$4&gt;DAY(EOMONTH(DATE($D$2,$B$2,1),0)),"",SUMIFS(DATA_GOC!$H:$H,DATA_GOC!$A:$A,"BOM",DATA_GOC!$D:$D,$B172,DATA_GOC!$F:$F,"Xuất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2" s="229" t="str">
        <f>IF($B172="","",IF(G$4&gt;DAY(EOMONTH(DATE($D$2,$B$2,1),0)),"",SUMIFS(DATA_GOC!$H:$H,DATA_GOC!$A:$A,"BOM",DATA_GOC!$D:$D,$B172,DATA_GOC!$F:$F,"Xuất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2" s="228" t="str">
        <f>IF($B172="","",IF(H$4&gt;DAY(EOMONTH(DATE($D$2,$B$2,1),0)),"",SUMIFS(DATA_GOC!$H:$H,DATA_GOC!$A:$A,"BOM",DATA_GOC!$D:$D,$B172,DATA_GOC!$F:$F,"Xuất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2" s="229" t="str">
        <f>IF($B172="","",IF(I$4&gt;DAY(EOMONTH(DATE($D$2,$B$2,1),0)),"",SUMIFS(DATA_GOC!$H:$H,DATA_GOC!$A:$A,"BOM",DATA_GOC!$D:$D,$B172,DATA_GOC!$F:$F,"Xuất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2" s="229" t="str">
        <f>IF($B172="","",IF(J$4&gt;DAY(EOMONTH(DATE($D$2,$B$2,1),0)),"",SUMIFS(DATA_GOC!$H:$H,DATA_GOC!$A:$A,"BOM",DATA_GOC!$D:$D,$B172,DATA_GOC!$F:$F,"Xuất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2" s="229" t="str">
        <f>IF($B172="","",IF(K$4&gt;DAY(EOMONTH(DATE($D$2,$B$2,1),0)),"",SUMIFS(DATA_GOC!$H:$H,DATA_GOC!$A:$A,"BOM",DATA_GOC!$D:$D,$B172,DATA_GOC!$F:$F,"Xuất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2" s="229" t="str">
        <f>IF($B172="","",IF(L$4&gt;DAY(EOMONTH(DATE($D$2,$B$2,1),0)),"",SUMIFS(DATA_GOC!$H:$H,DATA_GOC!$A:$A,"BOM",DATA_GOC!$D:$D,$B172,DATA_GOC!$F:$F,"Xuất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2" s="229" t="str">
        <f>IF($B172="","",IF(M$4&gt;DAY(EOMONTH(DATE($D$2,$B$2,1),0)),"",SUMIFS(DATA_GOC!$H:$H,DATA_GOC!$A:$A,"BOM",DATA_GOC!$D:$D,$B172,DATA_GOC!$F:$F,"Xuất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2" s="61" t="str">
        <f>IF($B172="","",IF(N$4&gt;DAY(EOMONTH(DATE($D$2,$B$2,1),0)),"",SUMIFS(DATA_GOC!$H:$H,DATA_GOC!$A:$A,"BOM",DATA_GOC!$D:$D,$B172,DATA_GOC!$F:$F,"Xuất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2" s="61" t="str">
        <f>IF($B172="","",IF(O$4&gt;DAY(EOMONTH(DATE($D$2,$B$2,1),0)),"",SUMIFS(DATA_GOC!$H:$H,DATA_GOC!$A:$A,"BOM",DATA_GOC!$D:$D,$B172,DATA_GOC!$F:$F,"Xuất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2" s="61" t="str">
        <f>IF($B172="","",IF(P$4&gt;DAY(EOMONTH(DATE($D$2,$B$2,1),0)),"",SUMIFS(DATA_GOC!$H:$H,DATA_GOC!$A:$A,"BOM",DATA_GOC!$D:$D,$B172,DATA_GOC!$F:$F,"Xuất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2" s="61" t="str">
        <f>IF($B172="","",IF(Q$4&gt;DAY(EOMONTH(DATE($D$2,$B$2,1),0)),"",SUMIFS(DATA_GOC!$H:$H,DATA_GOC!$A:$A,"BOM",DATA_GOC!$D:$D,$B172,DATA_GOC!$F:$F,"Xuất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2" s="61" t="str">
        <f>IF($B172="","",IF(R$4&gt;DAY(EOMONTH(DATE($D$2,$B$2,1),0)),"",SUMIFS(DATA_GOC!$H:$H,DATA_GOC!$A:$A,"BOM",DATA_GOC!$D:$D,$B172,DATA_GOC!$F:$F,"Xuất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2" s="61" t="str">
        <f>IF($B172="","",IF(S$4&gt;DAY(EOMONTH(DATE($D$2,$B$2,1),0)),"",SUMIFS(DATA_GOC!$H:$H,DATA_GOC!$A:$A,"BOM",DATA_GOC!$D:$D,$B172,DATA_GOC!$F:$F,"Xuất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2" s="229" t="str">
        <f>IF($B172="","",IF(T$4&gt;DAY(EOMONTH(DATE($D$2,$B$2,1),0)),"",SUMIFS(DATA_GOC!$H:$H,DATA_GOC!$A:$A,"BOM",DATA_GOC!$D:$D,$B172,DATA_GOC!$F:$F,"Xuất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2" s="229" t="str">
        <f>IF($B172="","",IF(U$4&gt;DAY(EOMONTH(DATE($D$2,$B$2,1),0)),"",SUMIFS(DATA_GOC!$H:$H,DATA_GOC!$A:$A,"BOM",DATA_GOC!$D:$D,$B172,DATA_GOC!$F:$F,"Xuất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2" s="229" t="str">
        <f>IF($B172="","",IF(V$4&gt;DAY(EOMONTH(DATE($D$2,$B$2,1),0)),"",SUMIFS(DATA_GOC!$H:$H,DATA_GOC!$A:$A,"BOM",DATA_GOC!$D:$D,$B172,DATA_GOC!$F:$F,"Xuất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2" s="61" t="str">
        <f>IF($B172="","",IF(W$4&gt;DAY(EOMONTH(DATE($D$2,$B$2,1),0)),"",SUMIFS(DATA_GOC!$H:$H,DATA_GOC!$A:$A,"BOM",DATA_GOC!$D:$D,$B172,DATA_GOC!$F:$F,"Xuất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2" s="229" t="str">
        <f>IF($B172="","",IF(X$4&gt;DAY(EOMONTH(DATE($D$2,$B$2,1),0)),"",SUMIFS(DATA_GOC!$H:$H,DATA_GOC!$A:$A,"BOM",DATA_GOC!$D:$D,$B172,DATA_GOC!$F:$F,"Xuất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2" s="229" t="str">
        <f>IF($B172="","",IF(Y$4&gt;DAY(EOMONTH(DATE($D$2,$B$2,1),0)),"",SUMIFS(DATA_GOC!$H:$H,DATA_GOC!$A:$A,"BOM",DATA_GOC!$D:$D,$B172,DATA_GOC!$F:$F,"Xuất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2" s="229" t="str">
        <f>IF($B172="","",IF(Z$4&gt;DAY(EOMONTH(DATE($D$2,$B$2,1),0)),"",SUMIFS(DATA_GOC!$H:$H,DATA_GOC!$A:$A,"BOM",DATA_GOC!$D:$D,$B172,DATA_GOC!$F:$F,"Xuất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2" s="229" t="str">
        <f>IF($B172="","",IF(AA$4&gt;DAY(EOMONTH(DATE($D$2,$B$2,1),0)),"",SUMIFS(DATA_GOC!$H:$H,DATA_GOC!$A:$A,"BOM",DATA_GOC!$D:$D,$B172,DATA_GOC!$F:$F,"Xuất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2" s="229" t="str">
        <f>IF($B172="","",IF(AB$4&gt;DAY(EOMONTH(DATE($D$2,$B$2,1),0)),"",SUMIFS(DATA_GOC!$H:$H,DATA_GOC!$A:$A,"BOM",DATA_GOC!$D:$D,$B172,DATA_GOC!$F:$F,"Xuất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2" s="61" t="str">
        <f>IF($B172="","",IF(AC$4&gt;DAY(EOMONTH(DATE($D$2,$B$2,1),0)),"",SUMIFS(DATA_GOC!$H:$H,DATA_GOC!$A:$A,"BOM",DATA_GOC!$D:$D,$B172,DATA_GOC!$F:$F,"Xuất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2" s="222" t="str">
        <f>IF($B172="","",IF(AD$4&gt;DAY(EOMONTH(DATE($D$2,$B$2,1),0)),"",SUMIFS(DATA_GOC!$H:$H,DATA_GOC!$A:$A,"BOM",DATA_GOC!$D:$D,$B172,DATA_GOC!$F:$F,"Xuất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2" s="222" t="str">
        <f>IF($B172="","",IF(AE$4&gt;DAY(EOMONTH(DATE($D$2,$B$2,1),0)),"",SUMIFS(DATA_GOC!$H:$H,DATA_GOC!$A:$A,"BOM",DATA_GOC!$D:$D,$B172,DATA_GOC!$F:$F,"Xuất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2" s="222" t="str">
        <f>IF($B172="","",IF(AF$4&gt;DAY(EOMONTH(DATE($D$2,$B$2,1),0)),"",SUMIFS(DATA_GOC!$H:$H,DATA_GOC!$A:$A,"BOM",DATA_GOC!$D:$D,$B172,DATA_GOC!$F:$F,"Xuất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2" s="222" t="str">
        <f>IF($B172="","",IF(AG$4&gt;DAY(EOMONTH(DATE($D$2,$B$2,1),0)),"",SUMIFS(DATA_GOC!$H:$H,DATA_GOC!$A:$A,"BOM",DATA_GOC!$D:$D,$B172,DATA_GOC!$F:$F,"Xuất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2" s="222" t="str">
        <f t="shared" si="2"/>
        <v/>
      </c>
      <c r="AI172" s="222" t="str">
        <f>IF($B172="","",SUMIFS(DATA_GOC!$H:$H,DATA_GOC!$A:$A,"BOM",DATA_GOC!$D:$D,$B172,DATA_GOC!$F:$F,"Bơm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2" s="222" t="str">
        <f t="shared" si="3"/>
        <v/>
      </c>
      <c r="AM172" s="222" t="str">
        <f>IF($B172="","",SUMIFS(DATA_GOC!$K:$K,DATA_GOC!$A:$A,"BOM",DATA_GOC!$D:$D,$B172,DATA_GOC!$G:$G,"DO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2" s="222" t="str">
        <f t="shared" si="4"/>
        <v/>
      </c>
      <c r="AO172" s="227" t="str">
        <f t="shared" si="5"/>
        <v/>
      </c>
      <c r="AP172" s="226" t="str">
        <f>IF($B172="","",IFERROR(AO172-(SUMIFS(DATA_GOC!$H:$H,DATA_GOC!$A:$A,"BOM",DATA_GOC!$D:$D,$B172,DATA_GOC!$F:$F,"Xuất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2" s="59">
        <v>4.0</v>
      </c>
      <c r="AR172" s="59">
        <v>2026.0</v>
      </c>
      <c r="AS172" s="59" t="s">
        <v>113</v>
      </c>
      <c r="AT172" s="59">
        <v>2287.275</v>
      </c>
      <c r="AU172" s="59">
        <v>0.0</v>
      </c>
      <c r="AV172" s="59">
        <v>2287.275</v>
      </c>
      <c r="AW172" s="59">
        <v>4904.0</v>
      </c>
      <c r="AX172" s="59">
        <v>46.6410073409462</v>
      </c>
      <c r="AY172" s="59">
        <v>501.43</v>
      </c>
      <c r="AZ172" s="59">
        <v>1785.845</v>
      </c>
      <c r="BA172" s="59">
        <v>4.43</v>
      </c>
      <c r="BB172" s="59">
        <v>0.0</v>
      </c>
      <c r="BC172" s="59" t="s">
        <v>527</v>
      </c>
    </row>
    <row r="173" ht="15.0" customHeight="1">
      <c r="A173" s="61" t="str">
        <f t="shared" si="1"/>
        <v/>
      </c>
      <c r="B173" s="228" t="str">
        <f t="array" ref="B173">IFERROR(INDEX(DANH_MUC!$E:$E,ROW()-1),"")</f>
        <v/>
      </c>
      <c r="C173" s="228" t="str">
        <f>IF($B173="","",IF(C$4&gt;DAY(EOMONTH(DATE($D$2,$B$2,1),0)),"",SUMIFS(DATA_GOC!$H:$H,DATA_GOC!$A:$A,"BOM",DATA_GOC!$D:$D,$B173,DATA_GOC!$F:$F,"Xuất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3" s="61" t="str">
        <f>IF($B173="","",IF(D$4&gt;DAY(EOMONTH(DATE($D$2,$B$2,1),0)),"",SUMIFS(DATA_GOC!$H:$H,DATA_GOC!$A:$A,"BOM",DATA_GOC!$D:$D,$B173,DATA_GOC!$F:$F,"Xuất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3" s="229" t="str">
        <f>IF($B173="","",IF(E$4&gt;DAY(EOMONTH(DATE($D$2,$B$2,1),0)),"",SUMIFS(DATA_GOC!$H:$H,DATA_GOC!$A:$A,"BOM",DATA_GOC!$D:$D,$B173,DATA_GOC!$F:$F,"Xuất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3" s="229" t="str">
        <f>IF($B173="","",IF(F$4&gt;DAY(EOMONTH(DATE($D$2,$B$2,1),0)),"",SUMIFS(DATA_GOC!$H:$H,DATA_GOC!$A:$A,"BOM",DATA_GOC!$D:$D,$B173,DATA_GOC!$F:$F,"Xuất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3" s="229" t="str">
        <f>IF($B173="","",IF(G$4&gt;DAY(EOMONTH(DATE($D$2,$B$2,1),0)),"",SUMIFS(DATA_GOC!$H:$H,DATA_GOC!$A:$A,"BOM",DATA_GOC!$D:$D,$B173,DATA_GOC!$F:$F,"Xuất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3" s="228" t="str">
        <f>IF($B173="","",IF(H$4&gt;DAY(EOMONTH(DATE($D$2,$B$2,1),0)),"",SUMIFS(DATA_GOC!$H:$H,DATA_GOC!$A:$A,"BOM",DATA_GOC!$D:$D,$B173,DATA_GOC!$F:$F,"Xuất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3" s="229" t="str">
        <f>IF($B173="","",IF(I$4&gt;DAY(EOMONTH(DATE($D$2,$B$2,1),0)),"",SUMIFS(DATA_GOC!$H:$H,DATA_GOC!$A:$A,"BOM",DATA_GOC!$D:$D,$B173,DATA_GOC!$F:$F,"Xuất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3" s="229" t="str">
        <f>IF($B173="","",IF(J$4&gt;DAY(EOMONTH(DATE($D$2,$B$2,1),0)),"",SUMIFS(DATA_GOC!$H:$H,DATA_GOC!$A:$A,"BOM",DATA_GOC!$D:$D,$B173,DATA_GOC!$F:$F,"Xuất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3" s="229" t="str">
        <f>IF($B173="","",IF(K$4&gt;DAY(EOMONTH(DATE($D$2,$B$2,1),0)),"",SUMIFS(DATA_GOC!$H:$H,DATA_GOC!$A:$A,"BOM",DATA_GOC!$D:$D,$B173,DATA_GOC!$F:$F,"Xuất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3" s="229" t="str">
        <f>IF($B173="","",IF(L$4&gt;DAY(EOMONTH(DATE($D$2,$B$2,1),0)),"",SUMIFS(DATA_GOC!$H:$H,DATA_GOC!$A:$A,"BOM",DATA_GOC!$D:$D,$B173,DATA_GOC!$F:$F,"Xuất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3" s="229" t="str">
        <f>IF($B173="","",IF(M$4&gt;DAY(EOMONTH(DATE($D$2,$B$2,1),0)),"",SUMIFS(DATA_GOC!$H:$H,DATA_GOC!$A:$A,"BOM",DATA_GOC!$D:$D,$B173,DATA_GOC!$F:$F,"Xuất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3" s="61" t="str">
        <f>IF($B173="","",IF(N$4&gt;DAY(EOMONTH(DATE($D$2,$B$2,1),0)),"",SUMIFS(DATA_GOC!$H:$H,DATA_GOC!$A:$A,"BOM",DATA_GOC!$D:$D,$B173,DATA_GOC!$F:$F,"Xuất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3" s="61" t="str">
        <f>IF($B173="","",IF(O$4&gt;DAY(EOMONTH(DATE($D$2,$B$2,1),0)),"",SUMIFS(DATA_GOC!$H:$H,DATA_GOC!$A:$A,"BOM",DATA_GOC!$D:$D,$B173,DATA_GOC!$F:$F,"Xuất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3" s="61" t="str">
        <f>IF($B173="","",IF(P$4&gt;DAY(EOMONTH(DATE($D$2,$B$2,1),0)),"",SUMIFS(DATA_GOC!$H:$H,DATA_GOC!$A:$A,"BOM",DATA_GOC!$D:$D,$B173,DATA_GOC!$F:$F,"Xuất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3" s="61" t="str">
        <f>IF($B173="","",IF(Q$4&gt;DAY(EOMONTH(DATE($D$2,$B$2,1),0)),"",SUMIFS(DATA_GOC!$H:$H,DATA_GOC!$A:$A,"BOM",DATA_GOC!$D:$D,$B173,DATA_GOC!$F:$F,"Xuất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3" s="61" t="str">
        <f>IF($B173="","",IF(R$4&gt;DAY(EOMONTH(DATE($D$2,$B$2,1),0)),"",SUMIFS(DATA_GOC!$H:$H,DATA_GOC!$A:$A,"BOM",DATA_GOC!$D:$D,$B173,DATA_GOC!$F:$F,"Xuất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3" s="61" t="str">
        <f>IF($B173="","",IF(S$4&gt;DAY(EOMONTH(DATE($D$2,$B$2,1),0)),"",SUMIFS(DATA_GOC!$H:$H,DATA_GOC!$A:$A,"BOM",DATA_GOC!$D:$D,$B173,DATA_GOC!$F:$F,"Xuất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3" s="229" t="str">
        <f>IF($B173="","",IF(T$4&gt;DAY(EOMONTH(DATE($D$2,$B$2,1),0)),"",SUMIFS(DATA_GOC!$H:$H,DATA_GOC!$A:$A,"BOM",DATA_GOC!$D:$D,$B173,DATA_GOC!$F:$F,"Xuất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3" s="229" t="str">
        <f>IF($B173="","",IF(U$4&gt;DAY(EOMONTH(DATE($D$2,$B$2,1),0)),"",SUMIFS(DATA_GOC!$H:$H,DATA_GOC!$A:$A,"BOM",DATA_GOC!$D:$D,$B173,DATA_GOC!$F:$F,"Xuất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3" s="229" t="str">
        <f>IF($B173="","",IF(V$4&gt;DAY(EOMONTH(DATE($D$2,$B$2,1),0)),"",SUMIFS(DATA_GOC!$H:$H,DATA_GOC!$A:$A,"BOM",DATA_GOC!$D:$D,$B173,DATA_GOC!$F:$F,"Xuất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3" s="61" t="str">
        <f>IF($B173="","",IF(W$4&gt;DAY(EOMONTH(DATE($D$2,$B$2,1),0)),"",SUMIFS(DATA_GOC!$H:$H,DATA_GOC!$A:$A,"BOM",DATA_GOC!$D:$D,$B173,DATA_GOC!$F:$F,"Xuất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3" s="229" t="str">
        <f>IF($B173="","",IF(X$4&gt;DAY(EOMONTH(DATE($D$2,$B$2,1),0)),"",SUMIFS(DATA_GOC!$H:$H,DATA_GOC!$A:$A,"BOM",DATA_GOC!$D:$D,$B173,DATA_GOC!$F:$F,"Xuất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3" s="229" t="str">
        <f>IF($B173="","",IF(Y$4&gt;DAY(EOMONTH(DATE($D$2,$B$2,1),0)),"",SUMIFS(DATA_GOC!$H:$H,DATA_GOC!$A:$A,"BOM",DATA_GOC!$D:$D,$B173,DATA_GOC!$F:$F,"Xuất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3" s="229" t="str">
        <f>IF($B173="","",IF(Z$4&gt;DAY(EOMONTH(DATE($D$2,$B$2,1),0)),"",SUMIFS(DATA_GOC!$H:$H,DATA_GOC!$A:$A,"BOM",DATA_GOC!$D:$D,$B173,DATA_GOC!$F:$F,"Xuất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3" s="229" t="str">
        <f>IF($B173="","",IF(AA$4&gt;DAY(EOMONTH(DATE($D$2,$B$2,1),0)),"",SUMIFS(DATA_GOC!$H:$H,DATA_GOC!$A:$A,"BOM",DATA_GOC!$D:$D,$B173,DATA_GOC!$F:$F,"Xuất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3" s="229" t="str">
        <f>IF($B173="","",IF(AB$4&gt;DAY(EOMONTH(DATE($D$2,$B$2,1),0)),"",SUMIFS(DATA_GOC!$H:$H,DATA_GOC!$A:$A,"BOM",DATA_GOC!$D:$D,$B173,DATA_GOC!$F:$F,"Xuất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3" s="61" t="str">
        <f>IF($B173="","",IF(AC$4&gt;DAY(EOMONTH(DATE($D$2,$B$2,1),0)),"",SUMIFS(DATA_GOC!$H:$H,DATA_GOC!$A:$A,"BOM",DATA_GOC!$D:$D,$B173,DATA_GOC!$F:$F,"Xuất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3" s="222" t="str">
        <f>IF($B173="","",IF(AD$4&gt;DAY(EOMONTH(DATE($D$2,$B$2,1),0)),"",SUMIFS(DATA_GOC!$H:$H,DATA_GOC!$A:$A,"BOM",DATA_GOC!$D:$D,$B173,DATA_GOC!$F:$F,"Xuất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3" s="222" t="str">
        <f>IF($B173="","",IF(AE$4&gt;DAY(EOMONTH(DATE($D$2,$B$2,1),0)),"",SUMIFS(DATA_GOC!$H:$H,DATA_GOC!$A:$A,"BOM",DATA_GOC!$D:$D,$B173,DATA_GOC!$F:$F,"Xuất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3" s="222" t="str">
        <f>IF($B173="","",IF(AF$4&gt;DAY(EOMONTH(DATE($D$2,$B$2,1),0)),"",SUMIFS(DATA_GOC!$H:$H,DATA_GOC!$A:$A,"BOM",DATA_GOC!$D:$D,$B173,DATA_GOC!$F:$F,"Xuất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3" s="222" t="str">
        <f>IF($B173="","",IF(AG$4&gt;DAY(EOMONTH(DATE($D$2,$B$2,1),0)),"",SUMIFS(DATA_GOC!$H:$H,DATA_GOC!$A:$A,"BOM",DATA_GOC!$D:$D,$B173,DATA_GOC!$F:$F,"Xuất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3" s="222" t="str">
        <f t="shared" si="2"/>
        <v/>
      </c>
      <c r="AI173" s="222" t="str">
        <f>IF($B173="","",SUMIFS(DATA_GOC!$H:$H,DATA_GOC!$A:$A,"BOM",DATA_GOC!$D:$D,$B173,DATA_GOC!$F:$F,"Bơm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3" s="222" t="str">
        <f t="shared" si="3"/>
        <v/>
      </c>
      <c r="AM173" s="222" t="str">
        <f>IF($B173="","",SUMIFS(DATA_GOC!$K:$K,DATA_GOC!$A:$A,"BOM",DATA_GOC!$D:$D,$B173,DATA_GOC!$G:$G,"DO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3" s="222" t="str">
        <f t="shared" si="4"/>
        <v/>
      </c>
      <c r="AO173" s="227" t="str">
        <f t="shared" si="5"/>
        <v/>
      </c>
      <c r="AP173" s="226" t="str">
        <f>IF($B173="","",IFERROR(AO173-(SUMIFS(DATA_GOC!$H:$H,DATA_GOC!$A:$A,"BOM",DATA_GOC!$D:$D,$B173,DATA_GOC!$F:$F,"Xuất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3" s="59">
        <v>4.0</v>
      </c>
      <c r="AR173" s="59">
        <v>2026.0</v>
      </c>
      <c r="AS173" s="59" t="s">
        <v>98</v>
      </c>
      <c r="AT173" s="59">
        <v>1982.032</v>
      </c>
      <c r="AU173" s="59">
        <v>0.0</v>
      </c>
      <c r="AV173" s="59">
        <v>1982.032</v>
      </c>
      <c r="AW173" s="59">
        <v>4536.0</v>
      </c>
      <c r="AX173" s="59">
        <v>43.6955908289242</v>
      </c>
      <c r="AY173" s="59">
        <v>537.75</v>
      </c>
      <c r="AZ173" s="59">
        <v>1444.282</v>
      </c>
      <c r="BA173" s="59">
        <v>4.75</v>
      </c>
      <c r="BB173" s="59">
        <v>0.0</v>
      </c>
      <c r="BC173" s="59" t="s">
        <v>528</v>
      </c>
    </row>
    <row r="174" ht="15.0" customHeight="1">
      <c r="A174" s="61" t="str">
        <f t="shared" si="1"/>
        <v/>
      </c>
      <c r="B174" s="228" t="str">
        <f t="array" ref="B174">IFERROR(INDEX(DANH_MUC!$E:$E,ROW()-1),"")</f>
        <v/>
      </c>
      <c r="C174" s="228" t="str">
        <f>IF($B174="","",IF(C$4&gt;DAY(EOMONTH(DATE($D$2,$B$2,1),0)),"",SUMIFS(DATA_GOC!$H:$H,DATA_GOC!$A:$A,"BOM",DATA_GOC!$D:$D,$B174,DATA_GOC!$F:$F,"Xuất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4" s="61" t="str">
        <f>IF($B174="","",IF(D$4&gt;DAY(EOMONTH(DATE($D$2,$B$2,1),0)),"",SUMIFS(DATA_GOC!$H:$H,DATA_GOC!$A:$A,"BOM",DATA_GOC!$D:$D,$B174,DATA_GOC!$F:$F,"Xuất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4" s="229" t="str">
        <f>IF($B174="","",IF(E$4&gt;DAY(EOMONTH(DATE($D$2,$B$2,1),0)),"",SUMIFS(DATA_GOC!$H:$H,DATA_GOC!$A:$A,"BOM",DATA_GOC!$D:$D,$B174,DATA_GOC!$F:$F,"Xuất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4" s="229" t="str">
        <f>IF($B174="","",IF(F$4&gt;DAY(EOMONTH(DATE($D$2,$B$2,1),0)),"",SUMIFS(DATA_GOC!$H:$H,DATA_GOC!$A:$A,"BOM",DATA_GOC!$D:$D,$B174,DATA_GOC!$F:$F,"Xuất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4" s="229" t="str">
        <f>IF($B174="","",IF(G$4&gt;DAY(EOMONTH(DATE($D$2,$B$2,1),0)),"",SUMIFS(DATA_GOC!$H:$H,DATA_GOC!$A:$A,"BOM",DATA_GOC!$D:$D,$B174,DATA_GOC!$F:$F,"Xuất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4" s="228" t="str">
        <f>IF($B174="","",IF(H$4&gt;DAY(EOMONTH(DATE($D$2,$B$2,1),0)),"",SUMIFS(DATA_GOC!$H:$H,DATA_GOC!$A:$A,"BOM",DATA_GOC!$D:$D,$B174,DATA_GOC!$F:$F,"Xuất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4" s="229" t="str">
        <f>IF($B174="","",IF(I$4&gt;DAY(EOMONTH(DATE($D$2,$B$2,1),0)),"",SUMIFS(DATA_GOC!$H:$H,DATA_GOC!$A:$A,"BOM",DATA_GOC!$D:$D,$B174,DATA_GOC!$F:$F,"Xuất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4" s="229" t="str">
        <f>IF($B174="","",IF(J$4&gt;DAY(EOMONTH(DATE($D$2,$B$2,1),0)),"",SUMIFS(DATA_GOC!$H:$H,DATA_GOC!$A:$A,"BOM",DATA_GOC!$D:$D,$B174,DATA_GOC!$F:$F,"Xuất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4" s="229" t="str">
        <f>IF($B174="","",IF(K$4&gt;DAY(EOMONTH(DATE($D$2,$B$2,1),0)),"",SUMIFS(DATA_GOC!$H:$H,DATA_GOC!$A:$A,"BOM",DATA_GOC!$D:$D,$B174,DATA_GOC!$F:$F,"Xuất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4" s="229" t="str">
        <f>IF($B174="","",IF(L$4&gt;DAY(EOMONTH(DATE($D$2,$B$2,1),0)),"",SUMIFS(DATA_GOC!$H:$H,DATA_GOC!$A:$A,"BOM",DATA_GOC!$D:$D,$B174,DATA_GOC!$F:$F,"Xuất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4" s="229" t="str">
        <f>IF($B174="","",IF(M$4&gt;DAY(EOMONTH(DATE($D$2,$B$2,1),0)),"",SUMIFS(DATA_GOC!$H:$H,DATA_GOC!$A:$A,"BOM",DATA_GOC!$D:$D,$B174,DATA_GOC!$F:$F,"Xuất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4" s="61" t="str">
        <f>IF($B174="","",IF(N$4&gt;DAY(EOMONTH(DATE($D$2,$B$2,1),0)),"",SUMIFS(DATA_GOC!$H:$H,DATA_GOC!$A:$A,"BOM",DATA_GOC!$D:$D,$B174,DATA_GOC!$F:$F,"Xuất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4" s="61" t="str">
        <f>IF($B174="","",IF(O$4&gt;DAY(EOMONTH(DATE($D$2,$B$2,1),0)),"",SUMIFS(DATA_GOC!$H:$H,DATA_GOC!$A:$A,"BOM",DATA_GOC!$D:$D,$B174,DATA_GOC!$F:$F,"Xuất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4" s="61" t="str">
        <f>IF($B174="","",IF(P$4&gt;DAY(EOMONTH(DATE($D$2,$B$2,1),0)),"",SUMIFS(DATA_GOC!$H:$H,DATA_GOC!$A:$A,"BOM",DATA_GOC!$D:$D,$B174,DATA_GOC!$F:$F,"Xuất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4" s="61" t="str">
        <f>IF($B174="","",IF(Q$4&gt;DAY(EOMONTH(DATE($D$2,$B$2,1),0)),"",SUMIFS(DATA_GOC!$H:$H,DATA_GOC!$A:$A,"BOM",DATA_GOC!$D:$D,$B174,DATA_GOC!$F:$F,"Xuất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4" s="61" t="str">
        <f>IF($B174="","",IF(R$4&gt;DAY(EOMONTH(DATE($D$2,$B$2,1),0)),"",SUMIFS(DATA_GOC!$H:$H,DATA_GOC!$A:$A,"BOM",DATA_GOC!$D:$D,$B174,DATA_GOC!$F:$F,"Xuất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4" s="61" t="str">
        <f>IF($B174="","",IF(S$4&gt;DAY(EOMONTH(DATE($D$2,$B$2,1),0)),"",SUMIFS(DATA_GOC!$H:$H,DATA_GOC!$A:$A,"BOM",DATA_GOC!$D:$D,$B174,DATA_GOC!$F:$F,"Xuất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4" s="229" t="str">
        <f>IF($B174="","",IF(T$4&gt;DAY(EOMONTH(DATE($D$2,$B$2,1),0)),"",SUMIFS(DATA_GOC!$H:$H,DATA_GOC!$A:$A,"BOM",DATA_GOC!$D:$D,$B174,DATA_GOC!$F:$F,"Xuất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4" s="229" t="str">
        <f>IF($B174="","",IF(U$4&gt;DAY(EOMONTH(DATE($D$2,$B$2,1),0)),"",SUMIFS(DATA_GOC!$H:$H,DATA_GOC!$A:$A,"BOM",DATA_GOC!$D:$D,$B174,DATA_GOC!$F:$F,"Xuất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4" s="229" t="str">
        <f>IF($B174="","",IF(V$4&gt;DAY(EOMONTH(DATE($D$2,$B$2,1),0)),"",SUMIFS(DATA_GOC!$H:$H,DATA_GOC!$A:$A,"BOM",DATA_GOC!$D:$D,$B174,DATA_GOC!$F:$F,"Xuất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4" s="61" t="str">
        <f>IF($B174="","",IF(W$4&gt;DAY(EOMONTH(DATE($D$2,$B$2,1),0)),"",SUMIFS(DATA_GOC!$H:$H,DATA_GOC!$A:$A,"BOM",DATA_GOC!$D:$D,$B174,DATA_GOC!$F:$F,"Xuất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4" s="229" t="str">
        <f>IF($B174="","",IF(X$4&gt;DAY(EOMONTH(DATE($D$2,$B$2,1),0)),"",SUMIFS(DATA_GOC!$H:$H,DATA_GOC!$A:$A,"BOM",DATA_GOC!$D:$D,$B174,DATA_GOC!$F:$F,"Xuất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4" s="229" t="str">
        <f>IF($B174="","",IF(Y$4&gt;DAY(EOMONTH(DATE($D$2,$B$2,1),0)),"",SUMIFS(DATA_GOC!$H:$H,DATA_GOC!$A:$A,"BOM",DATA_GOC!$D:$D,$B174,DATA_GOC!$F:$F,"Xuất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4" s="229" t="str">
        <f>IF($B174="","",IF(Z$4&gt;DAY(EOMONTH(DATE($D$2,$B$2,1),0)),"",SUMIFS(DATA_GOC!$H:$H,DATA_GOC!$A:$A,"BOM",DATA_GOC!$D:$D,$B174,DATA_GOC!$F:$F,"Xuất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4" s="229" t="str">
        <f>IF($B174="","",IF(AA$4&gt;DAY(EOMONTH(DATE($D$2,$B$2,1),0)),"",SUMIFS(DATA_GOC!$H:$H,DATA_GOC!$A:$A,"BOM",DATA_GOC!$D:$D,$B174,DATA_GOC!$F:$F,"Xuất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4" s="229" t="str">
        <f>IF($B174="","",IF(AB$4&gt;DAY(EOMONTH(DATE($D$2,$B$2,1),0)),"",SUMIFS(DATA_GOC!$H:$H,DATA_GOC!$A:$A,"BOM",DATA_GOC!$D:$D,$B174,DATA_GOC!$F:$F,"Xuất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4" s="61" t="str">
        <f>IF($B174="","",IF(AC$4&gt;DAY(EOMONTH(DATE($D$2,$B$2,1),0)),"",SUMIFS(DATA_GOC!$H:$H,DATA_GOC!$A:$A,"BOM",DATA_GOC!$D:$D,$B174,DATA_GOC!$F:$F,"Xuất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4" s="222" t="str">
        <f>IF($B174="","",IF(AD$4&gt;DAY(EOMONTH(DATE($D$2,$B$2,1),0)),"",SUMIFS(DATA_GOC!$H:$H,DATA_GOC!$A:$A,"BOM",DATA_GOC!$D:$D,$B174,DATA_GOC!$F:$F,"Xuất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4" s="222" t="str">
        <f>IF($B174="","",IF(AE$4&gt;DAY(EOMONTH(DATE($D$2,$B$2,1),0)),"",SUMIFS(DATA_GOC!$H:$H,DATA_GOC!$A:$A,"BOM",DATA_GOC!$D:$D,$B174,DATA_GOC!$F:$F,"Xuất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4" s="222" t="str">
        <f>IF($B174="","",IF(AF$4&gt;DAY(EOMONTH(DATE($D$2,$B$2,1),0)),"",SUMIFS(DATA_GOC!$H:$H,DATA_GOC!$A:$A,"BOM",DATA_GOC!$D:$D,$B174,DATA_GOC!$F:$F,"Xuất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4" s="222" t="str">
        <f>IF($B174="","",IF(AG$4&gt;DAY(EOMONTH(DATE($D$2,$B$2,1),0)),"",SUMIFS(DATA_GOC!$H:$H,DATA_GOC!$A:$A,"BOM",DATA_GOC!$D:$D,$B174,DATA_GOC!$F:$F,"Xuất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4" s="222" t="str">
        <f t="shared" si="2"/>
        <v/>
      </c>
      <c r="AI174" s="222" t="str">
        <f>IF($B174="","",SUMIFS(DATA_GOC!$H:$H,DATA_GOC!$A:$A,"BOM",DATA_GOC!$D:$D,$B174,DATA_GOC!$F:$F,"Bơm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4" s="222" t="str">
        <f t="shared" si="3"/>
        <v/>
      </c>
      <c r="AM174" s="222" t="str">
        <f>IF($B174="","",SUMIFS(DATA_GOC!$K:$K,DATA_GOC!$A:$A,"BOM",DATA_GOC!$D:$D,$B174,DATA_GOC!$G:$G,"DO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4" s="222" t="str">
        <f t="shared" si="4"/>
        <v/>
      </c>
      <c r="AO174" s="227" t="str">
        <f t="shared" si="5"/>
        <v/>
      </c>
      <c r="AP174" s="226" t="str">
        <f>IF($B174="","",IFERROR(AO174-(SUMIFS(DATA_GOC!$H:$H,DATA_GOC!$A:$A,"BOM",DATA_GOC!$D:$D,$B174,DATA_GOC!$F:$F,"Xuất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4" s="59">
        <v>4.0</v>
      </c>
      <c r="AR174" s="59">
        <v>2026.0</v>
      </c>
      <c r="AS174" s="59" t="s">
        <v>112</v>
      </c>
      <c r="AT174" s="59">
        <v>2029.409</v>
      </c>
      <c r="AU174" s="59">
        <v>0.0</v>
      </c>
      <c r="AV174" s="59">
        <v>2029.409</v>
      </c>
      <c r="AW174" s="59">
        <v>4521.0</v>
      </c>
      <c r="AX174" s="59">
        <v>44.888498119885</v>
      </c>
      <c r="AY174" s="59">
        <v>517.57</v>
      </c>
      <c r="AZ174" s="59">
        <v>1511.839</v>
      </c>
      <c r="BA174" s="59">
        <v>4.57</v>
      </c>
      <c r="BB174" s="59">
        <v>0.0</v>
      </c>
      <c r="BC174" s="59" t="s">
        <v>529</v>
      </c>
    </row>
    <row r="175" ht="15.0" customHeight="1">
      <c r="A175" s="61" t="str">
        <f t="shared" si="1"/>
        <v/>
      </c>
      <c r="B175" s="228" t="str">
        <f t="array" ref="B175">IFERROR(INDEX(DANH_MUC!$E:$E,ROW()-1),"")</f>
        <v/>
      </c>
      <c r="C175" s="228" t="str">
        <f>IF($B175="","",IF(C$4&gt;DAY(EOMONTH(DATE($D$2,$B$2,1),0)),"",SUMIFS(DATA_GOC!$H:$H,DATA_GOC!$A:$A,"BOM",DATA_GOC!$D:$D,$B175,DATA_GOC!$F:$F,"Xuất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5" s="61" t="str">
        <f>IF($B175="","",IF(D$4&gt;DAY(EOMONTH(DATE($D$2,$B$2,1),0)),"",SUMIFS(DATA_GOC!$H:$H,DATA_GOC!$A:$A,"BOM",DATA_GOC!$D:$D,$B175,DATA_GOC!$F:$F,"Xuất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5" s="229" t="str">
        <f>IF($B175="","",IF(E$4&gt;DAY(EOMONTH(DATE($D$2,$B$2,1),0)),"",SUMIFS(DATA_GOC!$H:$H,DATA_GOC!$A:$A,"BOM",DATA_GOC!$D:$D,$B175,DATA_GOC!$F:$F,"Xuất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5" s="229" t="str">
        <f>IF($B175="","",IF(F$4&gt;DAY(EOMONTH(DATE($D$2,$B$2,1),0)),"",SUMIFS(DATA_GOC!$H:$H,DATA_GOC!$A:$A,"BOM",DATA_GOC!$D:$D,$B175,DATA_GOC!$F:$F,"Xuất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5" s="229" t="str">
        <f>IF($B175="","",IF(G$4&gt;DAY(EOMONTH(DATE($D$2,$B$2,1),0)),"",SUMIFS(DATA_GOC!$H:$H,DATA_GOC!$A:$A,"BOM",DATA_GOC!$D:$D,$B175,DATA_GOC!$F:$F,"Xuất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5" s="228" t="str">
        <f>IF($B175="","",IF(H$4&gt;DAY(EOMONTH(DATE($D$2,$B$2,1),0)),"",SUMIFS(DATA_GOC!$H:$H,DATA_GOC!$A:$A,"BOM",DATA_GOC!$D:$D,$B175,DATA_GOC!$F:$F,"Xuất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5" s="229" t="str">
        <f>IF($B175="","",IF(I$4&gt;DAY(EOMONTH(DATE($D$2,$B$2,1),0)),"",SUMIFS(DATA_GOC!$H:$H,DATA_GOC!$A:$A,"BOM",DATA_GOC!$D:$D,$B175,DATA_GOC!$F:$F,"Xuất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5" s="229" t="str">
        <f>IF($B175="","",IF(J$4&gt;DAY(EOMONTH(DATE($D$2,$B$2,1),0)),"",SUMIFS(DATA_GOC!$H:$H,DATA_GOC!$A:$A,"BOM",DATA_GOC!$D:$D,$B175,DATA_GOC!$F:$F,"Xuất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5" s="229" t="str">
        <f>IF($B175="","",IF(K$4&gt;DAY(EOMONTH(DATE($D$2,$B$2,1),0)),"",SUMIFS(DATA_GOC!$H:$H,DATA_GOC!$A:$A,"BOM",DATA_GOC!$D:$D,$B175,DATA_GOC!$F:$F,"Xuất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5" s="229" t="str">
        <f>IF($B175="","",IF(L$4&gt;DAY(EOMONTH(DATE($D$2,$B$2,1),0)),"",SUMIFS(DATA_GOC!$H:$H,DATA_GOC!$A:$A,"BOM",DATA_GOC!$D:$D,$B175,DATA_GOC!$F:$F,"Xuất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5" s="229" t="str">
        <f>IF($B175="","",IF(M$4&gt;DAY(EOMONTH(DATE($D$2,$B$2,1),0)),"",SUMIFS(DATA_GOC!$H:$H,DATA_GOC!$A:$A,"BOM",DATA_GOC!$D:$D,$B175,DATA_GOC!$F:$F,"Xuất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5" s="61" t="str">
        <f>IF($B175="","",IF(N$4&gt;DAY(EOMONTH(DATE($D$2,$B$2,1),0)),"",SUMIFS(DATA_GOC!$H:$H,DATA_GOC!$A:$A,"BOM",DATA_GOC!$D:$D,$B175,DATA_GOC!$F:$F,"Xuất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5" s="61" t="str">
        <f>IF($B175="","",IF(O$4&gt;DAY(EOMONTH(DATE($D$2,$B$2,1),0)),"",SUMIFS(DATA_GOC!$H:$H,DATA_GOC!$A:$A,"BOM",DATA_GOC!$D:$D,$B175,DATA_GOC!$F:$F,"Xuất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5" s="61" t="str">
        <f>IF($B175="","",IF(P$4&gt;DAY(EOMONTH(DATE($D$2,$B$2,1),0)),"",SUMIFS(DATA_GOC!$H:$H,DATA_GOC!$A:$A,"BOM",DATA_GOC!$D:$D,$B175,DATA_GOC!$F:$F,"Xuất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5" s="61" t="str">
        <f>IF($B175="","",IF(Q$4&gt;DAY(EOMONTH(DATE($D$2,$B$2,1),0)),"",SUMIFS(DATA_GOC!$H:$H,DATA_GOC!$A:$A,"BOM",DATA_GOC!$D:$D,$B175,DATA_GOC!$F:$F,"Xuất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5" s="61" t="str">
        <f>IF($B175="","",IF(R$4&gt;DAY(EOMONTH(DATE($D$2,$B$2,1),0)),"",SUMIFS(DATA_GOC!$H:$H,DATA_GOC!$A:$A,"BOM",DATA_GOC!$D:$D,$B175,DATA_GOC!$F:$F,"Xuất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5" s="61" t="str">
        <f>IF($B175="","",IF(S$4&gt;DAY(EOMONTH(DATE($D$2,$B$2,1),0)),"",SUMIFS(DATA_GOC!$H:$H,DATA_GOC!$A:$A,"BOM",DATA_GOC!$D:$D,$B175,DATA_GOC!$F:$F,"Xuất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5" s="229" t="str">
        <f>IF($B175="","",IF(T$4&gt;DAY(EOMONTH(DATE($D$2,$B$2,1),0)),"",SUMIFS(DATA_GOC!$H:$H,DATA_GOC!$A:$A,"BOM",DATA_GOC!$D:$D,$B175,DATA_GOC!$F:$F,"Xuất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5" s="229" t="str">
        <f>IF($B175="","",IF(U$4&gt;DAY(EOMONTH(DATE($D$2,$B$2,1),0)),"",SUMIFS(DATA_GOC!$H:$H,DATA_GOC!$A:$A,"BOM",DATA_GOC!$D:$D,$B175,DATA_GOC!$F:$F,"Xuất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5" s="229" t="str">
        <f>IF($B175="","",IF(V$4&gt;DAY(EOMONTH(DATE($D$2,$B$2,1),0)),"",SUMIFS(DATA_GOC!$H:$H,DATA_GOC!$A:$A,"BOM",DATA_GOC!$D:$D,$B175,DATA_GOC!$F:$F,"Xuất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5" s="61" t="str">
        <f>IF($B175="","",IF(W$4&gt;DAY(EOMONTH(DATE($D$2,$B$2,1),0)),"",SUMIFS(DATA_GOC!$H:$H,DATA_GOC!$A:$A,"BOM",DATA_GOC!$D:$D,$B175,DATA_GOC!$F:$F,"Xuất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5" s="229" t="str">
        <f>IF($B175="","",IF(X$4&gt;DAY(EOMONTH(DATE($D$2,$B$2,1),0)),"",SUMIFS(DATA_GOC!$H:$H,DATA_GOC!$A:$A,"BOM",DATA_GOC!$D:$D,$B175,DATA_GOC!$F:$F,"Xuất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5" s="229" t="str">
        <f>IF($B175="","",IF(Y$4&gt;DAY(EOMONTH(DATE($D$2,$B$2,1),0)),"",SUMIFS(DATA_GOC!$H:$H,DATA_GOC!$A:$A,"BOM",DATA_GOC!$D:$D,$B175,DATA_GOC!$F:$F,"Xuất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5" s="229" t="str">
        <f>IF($B175="","",IF(Z$4&gt;DAY(EOMONTH(DATE($D$2,$B$2,1),0)),"",SUMIFS(DATA_GOC!$H:$H,DATA_GOC!$A:$A,"BOM",DATA_GOC!$D:$D,$B175,DATA_GOC!$F:$F,"Xuất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5" s="229" t="str">
        <f>IF($B175="","",IF(AA$4&gt;DAY(EOMONTH(DATE($D$2,$B$2,1),0)),"",SUMIFS(DATA_GOC!$H:$H,DATA_GOC!$A:$A,"BOM",DATA_GOC!$D:$D,$B175,DATA_GOC!$F:$F,"Xuất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5" s="229" t="str">
        <f>IF($B175="","",IF(AB$4&gt;DAY(EOMONTH(DATE($D$2,$B$2,1),0)),"",SUMIFS(DATA_GOC!$H:$H,DATA_GOC!$A:$A,"BOM",DATA_GOC!$D:$D,$B175,DATA_GOC!$F:$F,"Xuất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5" s="61" t="str">
        <f>IF($B175="","",IF(AC$4&gt;DAY(EOMONTH(DATE($D$2,$B$2,1),0)),"",SUMIFS(DATA_GOC!$H:$H,DATA_GOC!$A:$A,"BOM",DATA_GOC!$D:$D,$B175,DATA_GOC!$F:$F,"Xuất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5" s="222" t="str">
        <f>IF($B175="","",IF(AD$4&gt;DAY(EOMONTH(DATE($D$2,$B$2,1),0)),"",SUMIFS(DATA_GOC!$H:$H,DATA_GOC!$A:$A,"BOM",DATA_GOC!$D:$D,$B175,DATA_GOC!$F:$F,"Xuất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5" s="222" t="str">
        <f>IF($B175="","",IF(AE$4&gt;DAY(EOMONTH(DATE($D$2,$B$2,1),0)),"",SUMIFS(DATA_GOC!$H:$H,DATA_GOC!$A:$A,"BOM",DATA_GOC!$D:$D,$B175,DATA_GOC!$F:$F,"Xuất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5" s="222" t="str">
        <f>IF($B175="","",IF(AF$4&gt;DAY(EOMONTH(DATE($D$2,$B$2,1),0)),"",SUMIFS(DATA_GOC!$H:$H,DATA_GOC!$A:$A,"BOM",DATA_GOC!$D:$D,$B175,DATA_GOC!$F:$F,"Xuất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5" s="222" t="str">
        <f>IF($B175="","",IF(AG$4&gt;DAY(EOMONTH(DATE($D$2,$B$2,1),0)),"",SUMIFS(DATA_GOC!$H:$H,DATA_GOC!$A:$A,"BOM",DATA_GOC!$D:$D,$B175,DATA_GOC!$F:$F,"Xuất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5" s="222" t="str">
        <f t="shared" si="2"/>
        <v/>
      </c>
      <c r="AI175" s="222" t="str">
        <f>IF($B175="","",SUMIFS(DATA_GOC!$H:$H,DATA_GOC!$A:$A,"BOM",DATA_GOC!$D:$D,$B175,DATA_GOC!$F:$F,"Bơm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5" s="222" t="str">
        <f t="shared" si="3"/>
        <v/>
      </c>
      <c r="AM175" s="222" t="str">
        <f>IF($B175="","",SUMIFS(DATA_GOC!$K:$K,DATA_GOC!$A:$A,"BOM",DATA_GOC!$D:$D,$B175,DATA_GOC!$G:$G,"DO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5" s="222" t="str">
        <f t="shared" si="4"/>
        <v/>
      </c>
      <c r="AO175" s="227" t="str">
        <f t="shared" si="5"/>
        <v/>
      </c>
      <c r="AP175" s="226" t="str">
        <f>IF($B175="","",IFERROR(AO175-(SUMIFS(DATA_GOC!$H:$H,DATA_GOC!$A:$A,"BOM",DATA_GOC!$D:$D,$B175,DATA_GOC!$F:$F,"Xuất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5" s="59">
        <v>4.0</v>
      </c>
      <c r="AR175" s="59">
        <v>2026.0</v>
      </c>
      <c r="AS175" s="59" t="s">
        <v>138</v>
      </c>
      <c r="AT175" s="59">
        <v>1821.237</v>
      </c>
      <c r="AU175" s="59">
        <v>0.0</v>
      </c>
      <c r="AV175" s="59">
        <v>1821.237</v>
      </c>
      <c r="AW175" s="59">
        <v>3811.0</v>
      </c>
      <c r="AX175" s="59">
        <v>47.7889530307006</v>
      </c>
      <c r="AY175" s="59">
        <v>522.62</v>
      </c>
      <c r="AZ175" s="59">
        <v>1298.617</v>
      </c>
      <c r="BA175" s="59">
        <v>4.62</v>
      </c>
      <c r="BB175" s="59">
        <v>0.0</v>
      </c>
      <c r="BC175" s="59" t="s">
        <v>530</v>
      </c>
    </row>
    <row r="176" ht="15.0" customHeight="1">
      <c r="A176" s="61" t="str">
        <f t="shared" si="1"/>
        <v/>
      </c>
      <c r="B176" s="228" t="str">
        <f t="array" ref="B176">IFERROR(INDEX(DANH_MUC!$E:$E,ROW()-1),"")</f>
        <v/>
      </c>
      <c r="C176" s="228" t="str">
        <f>IF($B176="","",IF(C$4&gt;DAY(EOMONTH(DATE($D$2,$B$2,1),0)),"",SUMIFS(DATA_GOC!$H:$H,DATA_GOC!$A:$A,"BOM",DATA_GOC!$D:$D,$B176,DATA_GOC!$F:$F,"Xuất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6" s="61" t="str">
        <f>IF($B176="","",IF(D$4&gt;DAY(EOMONTH(DATE($D$2,$B$2,1),0)),"",SUMIFS(DATA_GOC!$H:$H,DATA_GOC!$A:$A,"BOM",DATA_GOC!$D:$D,$B176,DATA_GOC!$F:$F,"Xuất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6" s="229" t="str">
        <f>IF($B176="","",IF(E$4&gt;DAY(EOMONTH(DATE($D$2,$B$2,1),0)),"",SUMIFS(DATA_GOC!$H:$H,DATA_GOC!$A:$A,"BOM",DATA_GOC!$D:$D,$B176,DATA_GOC!$F:$F,"Xuất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6" s="229" t="str">
        <f>IF($B176="","",IF(F$4&gt;DAY(EOMONTH(DATE($D$2,$B$2,1),0)),"",SUMIFS(DATA_GOC!$H:$H,DATA_GOC!$A:$A,"BOM",DATA_GOC!$D:$D,$B176,DATA_GOC!$F:$F,"Xuất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6" s="229" t="str">
        <f>IF($B176="","",IF(G$4&gt;DAY(EOMONTH(DATE($D$2,$B$2,1),0)),"",SUMIFS(DATA_GOC!$H:$H,DATA_GOC!$A:$A,"BOM",DATA_GOC!$D:$D,$B176,DATA_GOC!$F:$F,"Xuất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6" s="228" t="str">
        <f>IF($B176="","",IF(H$4&gt;DAY(EOMONTH(DATE($D$2,$B$2,1),0)),"",SUMIFS(DATA_GOC!$H:$H,DATA_GOC!$A:$A,"BOM",DATA_GOC!$D:$D,$B176,DATA_GOC!$F:$F,"Xuất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6" s="229" t="str">
        <f>IF($B176="","",IF(I$4&gt;DAY(EOMONTH(DATE($D$2,$B$2,1),0)),"",SUMIFS(DATA_GOC!$H:$H,DATA_GOC!$A:$A,"BOM",DATA_GOC!$D:$D,$B176,DATA_GOC!$F:$F,"Xuất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6" s="229" t="str">
        <f>IF($B176="","",IF(J$4&gt;DAY(EOMONTH(DATE($D$2,$B$2,1),0)),"",SUMIFS(DATA_GOC!$H:$H,DATA_GOC!$A:$A,"BOM",DATA_GOC!$D:$D,$B176,DATA_GOC!$F:$F,"Xuất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6" s="229" t="str">
        <f>IF($B176="","",IF(K$4&gt;DAY(EOMONTH(DATE($D$2,$B$2,1),0)),"",SUMIFS(DATA_GOC!$H:$H,DATA_GOC!$A:$A,"BOM",DATA_GOC!$D:$D,$B176,DATA_GOC!$F:$F,"Xuất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6" s="229" t="str">
        <f>IF($B176="","",IF(L$4&gt;DAY(EOMONTH(DATE($D$2,$B$2,1),0)),"",SUMIFS(DATA_GOC!$H:$H,DATA_GOC!$A:$A,"BOM",DATA_GOC!$D:$D,$B176,DATA_GOC!$F:$F,"Xuất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6" s="229" t="str">
        <f>IF($B176="","",IF(M$4&gt;DAY(EOMONTH(DATE($D$2,$B$2,1),0)),"",SUMIFS(DATA_GOC!$H:$H,DATA_GOC!$A:$A,"BOM",DATA_GOC!$D:$D,$B176,DATA_GOC!$F:$F,"Xuất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6" s="61" t="str">
        <f>IF($B176="","",IF(N$4&gt;DAY(EOMONTH(DATE($D$2,$B$2,1),0)),"",SUMIFS(DATA_GOC!$H:$H,DATA_GOC!$A:$A,"BOM",DATA_GOC!$D:$D,$B176,DATA_GOC!$F:$F,"Xuất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6" s="61" t="str">
        <f>IF($B176="","",IF(O$4&gt;DAY(EOMONTH(DATE($D$2,$B$2,1),0)),"",SUMIFS(DATA_GOC!$H:$H,DATA_GOC!$A:$A,"BOM",DATA_GOC!$D:$D,$B176,DATA_GOC!$F:$F,"Xuất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6" s="61" t="str">
        <f>IF($B176="","",IF(P$4&gt;DAY(EOMONTH(DATE($D$2,$B$2,1),0)),"",SUMIFS(DATA_GOC!$H:$H,DATA_GOC!$A:$A,"BOM",DATA_GOC!$D:$D,$B176,DATA_GOC!$F:$F,"Xuất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6" s="61" t="str">
        <f>IF($B176="","",IF(Q$4&gt;DAY(EOMONTH(DATE($D$2,$B$2,1),0)),"",SUMIFS(DATA_GOC!$H:$H,DATA_GOC!$A:$A,"BOM",DATA_GOC!$D:$D,$B176,DATA_GOC!$F:$F,"Xuất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6" s="61" t="str">
        <f>IF($B176="","",IF(R$4&gt;DAY(EOMONTH(DATE($D$2,$B$2,1),0)),"",SUMIFS(DATA_GOC!$H:$H,DATA_GOC!$A:$A,"BOM",DATA_GOC!$D:$D,$B176,DATA_GOC!$F:$F,"Xuất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6" s="61" t="str">
        <f>IF($B176="","",IF(S$4&gt;DAY(EOMONTH(DATE($D$2,$B$2,1),0)),"",SUMIFS(DATA_GOC!$H:$H,DATA_GOC!$A:$A,"BOM",DATA_GOC!$D:$D,$B176,DATA_GOC!$F:$F,"Xuất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6" s="229" t="str">
        <f>IF($B176="","",IF(T$4&gt;DAY(EOMONTH(DATE($D$2,$B$2,1),0)),"",SUMIFS(DATA_GOC!$H:$H,DATA_GOC!$A:$A,"BOM",DATA_GOC!$D:$D,$B176,DATA_GOC!$F:$F,"Xuất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6" s="229" t="str">
        <f>IF($B176="","",IF(U$4&gt;DAY(EOMONTH(DATE($D$2,$B$2,1),0)),"",SUMIFS(DATA_GOC!$H:$H,DATA_GOC!$A:$A,"BOM",DATA_GOC!$D:$D,$B176,DATA_GOC!$F:$F,"Xuất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6" s="229" t="str">
        <f>IF($B176="","",IF(V$4&gt;DAY(EOMONTH(DATE($D$2,$B$2,1),0)),"",SUMIFS(DATA_GOC!$H:$H,DATA_GOC!$A:$A,"BOM",DATA_GOC!$D:$D,$B176,DATA_GOC!$F:$F,"Xuất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6" s="61" t="str">
        <f>IF($B176="","",IF(W$4&gt;DAY(EOMONTH(DATE($D$2,$B$2,1),0)),"",SUMIFS(DATA_GOC!$H:$H,DATA_GOC!$A:$A,"BOM",DATA_GOC!$D:$D,$B176,DATA_GOC!$F:$F,"Xuất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6" s="229" t="str">
        <f>IF($B176="","",IF(X$4&gt;DAY(EOMONTH(DATE($D$2,$B$2,1),0)),"",SUMIFS(DATA_GOC!$H:$H,DATA_GOC!$A:$A,"BOM",DATA_GOC!$D:$D,$B176,DATA_GOC!$F:$F,"Xuất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6" s="229" t="str">
        <f>IF($B176="","",IF(Y$4&gt;DAY(EOMONTH(DATE($D$2,$B$2,1),0)),"",SUMIFS(DATA_GOC!$H:$H,DATA_GOC!$A:$A,"BOM",DATA_GOC!$D:$D,$B176,DATA_GOC!$F:$F,"Xuất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6" s="229" t="str">
        <f>IF($B176="","",IF(Z$4&gt;DAY(EOMONTH(DATE($D$2,$B$2,1),0)),"",SUMIFS(DATA_GOC!$H:$H,DATA_GOC!$A:$A,"BOM",DATA_GOC!$D:$D,$B176,DATA_GOC!$F:$F,"Xuất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6" s="229" t="str">
        <f>IF($B176="","",IF(AA$4&gt;DAY(EOMONTH(DATE($D$2,$B$2,1),0)),"",SUMIFS(DATA_GOC!$H:$H,DATA_GOC!$A:$A,"BOM",DATA_GOC!$D:$D,$B176,DATA_GOC!$F:$F,"Xuất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6" s="229" t="str">
        <f>IF($B176="","",IF(AB$4&gt;DAY(EOMONTH(DATE($D$2,$B$2,1),0)),"",SUMIFS(DATA_GOC!$H:$H,DATA_GOC!$A:$A,"BOM",DATA_GOC!$D:$D,$B176,DATA_GOC!$F:$F,"Xuất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6" s="61" t="str">
        <f>IF($B176="","",IF(AC$4&gt;DAY(EOMONTH(DATE($D$2,$B$2,1),0)),"",SUMIFS(DATA_GOC!$H:$H,DATA_GOC!$A:$A,"BOM",DATA_GOC!$D:$D,$B176,DATA_GOC!$F:$F,"Xuất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6" s="222" t="str">
        <f>IF($B176="","",IF(AD$4&gt;DAY(EOMONTH(DATE($D$2,$B$2,1),0)),"",SUMIFS(DATA_GOC!$H:$H,DATA_GOC!$A:$A,"BOM",DATA_GOC!$D:$D,$B176,DATA_GOC!$F:$F,"Xuất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6" s="222" t="str">
        <f>IF($B176="","",IF(AE$4&gt;DAY(EOMONTH(DATE($D$2,$B$2,1),0)),"",SUMIFS(DATA_GOC!$H:$H,DATA_GOC!$A:$A,"BOM",DATA_GOC!$D:$D,$B176,DATA_GOC!$F:$F,"Xuất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6" s="222" t="str">
        <f>IF($B176="","",IF(AF$4&gt;DAY(EOMONTH(DATE($D$2,$B$2,1),0)),"",SUMIFS(DATA_GOC!$H:$H,DATA_GOC!$A:$A,"BOM",DATA_GOC!$D:$D,$B176,DATA_GOC!$F:$F,"Xuất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6" s="222" t="str">
        <f>IF($B176="","",IF(AG$4&gt;DAY(EOMONTH(DATE($D$2,$B$2,1),0)),"",SUMIFS(DATA_GOC!$H:$H,DATA_GOC!$A:$A,"BOM",DATA_GOC!$D:$D,$B176,DATA_GOC!$F:$F,"Xuất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6" s="222" t="str">
        <f t="shared" si="2"/>
        <v/>
      </c>
      <c r="AI176" s="222" t="str">
        <f>IF($B176="","",SUMIFS(DATA_GOC!$H:$H,DATA_GOC!$A:$A,"BOM",DATA_GOC!$D:$D,$B176,DATA_GOC!$F:$F,"Bơm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6" s="222" t="str">
        <f t="shared" si="3"/>
        <v/>
      </c>
      <c r="AM176" s="222" t="str">
        <f>IF($B176="","",SUMIFS(DATA_GOC!$K:$K,DATA_GOC!$A:$A,"BOM",DATA_GOC!$D:$D,$B176,DATA_GOC!$G:$G,"DO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6" s="222" t="str">
        <f t="shared" si="4"/>
        <v/>
      </c>
      <c r="AO176" s="227" t="str">
        <f t="shared" si="5"/>
        <v/>
      </c>
      <c r="AP176" s="226" t="str">
        <f>IF($B176="","",IFERROR(AO176-(SUMIFS(DATA_GOC!$H:$H,DATA_GOC!$A:$A,"BOM",DATA_GOC!$D:$D,$B176,DATA_GOC!$F:$F,"Xuất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6" s="59">
        <v>4.0</v>
      </c>
      <c r="AR176" s="59">
        <v>2026.0</v>
      </c>
      <c r="AS176" s="59" t="s">
        <v>101</v>
      </c>
      <c r="AT176" s="59">
        <v>2182.464</v>
      </c>
      <c r="AU176" s="59">
        <v>0.0</v>
      </c>
      <c r="AV176" s="59">
        <v>2182.464</v>
      </c>
      <c r="AW176" s="59">
        <v>4887.0</v>
      </c>
      <c r="AX176" s="59">
        <v>44.6585635359116</v>
      </c>
      <c r="AY176" s="59">
        <v>438.88</v>
      </c>
      <c r="AZ176" s="59">
        <v>1743.584</v>
      </c>
      <c r="BA176" s="59">
        <v>3.88</v>
      </c>
      <c r="BB176" s="59">
        <v>0.0</v>
      </c>
      <c r="BC176" s="59" t="s">
        <v>531</v>
      </c>
    </row>
    <row r="177" ht="15.0" customHeight="1">
      <c r="A177" s="61" t="str">
        <f t="shared" si="1"/>
        <v/>
      </c>
      <c r="B177" s="228" t="str">
        <f t="array" ref="B177">IFERROR(INDEX(DANH_MUC!$E:$E,ROW()-1),"")</f>
        <v/>
      </c>
      <c r="C177" s="228" t="str">
        <f>IF($B177="","",IF(C$4&gt;DAY(EOMONTH(DATE($D$2,$B$2,1),0)),"",SUMIFS(DATA_GOC!$H:$H,DATA_GOC!$A:$A,"BOM",DATA_GOC!$D:$D,$B177,DATA_GOC!$F:$F,"Xuất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7" s="61" t="str">
        <f>IF($B177="","",IF(D$4&gt;DAY(EOMONTH(DATE($D$2,$B$2,1),0)),"",SUMIFS(DATA_GOC!$H:$H,DATA_GOC!$A:$A,"BOM",DATA_GOC!$D:$D,$B177,DATA_GOC!$F:$F,"Xuất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7" s="229" t="str">
        <f>IF($B177="","",IF(E$4&gt;DAY(EOMONTH(DATE($D$2,$B$2,1),0)),"",SUMIFS(DATA_GOC!$H:$H,DATA_GOC!$A:$A,"BOM",DATA_GOC!$D:$D,$B177,DATA_GOC!$F:$F,"Xuất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7" s="229" t="str">
        <f>IF($B177="","",IF(F$4&gt;DAY(EOMONTH(DATE($D$2,$B$2,1),0)),"",SUMIFS(DATA_GOC!$H:$H,DATA_GOC!$A:$A,"BOM",DATA_GOC!$D:$D,$B177,DATA_GOC!$F:$F,"Xuất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7" s="229" t="str">
        <f>IF($B177="","",IF(G$4&gt;DAY(EOMONTH(DATE($D$2,$B$2,1),0)),"",SUMIFS(DATA_GOC!$H:$H,DATA_GOC!$A:$A,"BOM",DATA_GOC!$D:$D,$B177,DATA_GOC!$F:$F,"Xuất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7" s="228" t="str">
        <f>IF($B177="","",IF(H$4&gt;DAY(EOMONTH(DATE($D$2,$B$2,1),0)),"",SUMIFS(DATA_GOC!$H:$H,DATA_GOC!$A:$A,"BOM",DATA_GOC!$D:$D,$B177,DATA_GOC!$F:$F,"Xuất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7" s="229" t="str">
        <f>IF($B177="","",IF(I$4&gt;DAY(EOMONTH(DATE($D$2,$B$2,1),0)),"",SUMIFS(DATA_GOC!$H:$H,DATA_GOC!$A:$A,"BOM",DATA_GOC!$D:$D,$B177,DATA_GOC!$F:$F,"Xuất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7" s="229" t="str">
        <f>IF($B177="","",IF(J$4&gt;DAY(EOMONTH(DATE($D$2,$B$2,1),0)),"",SUMIFS(DATA_GOC!$H:$H,DATA_GOC!$A:$A,"BOM",DATA_GOC!$D:$D,$B177,DATA_GOC!$F:$F,"Xuất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7" s="229" t="str">
        <f>IF($B177="","",IF(K$4&gt;DAY(EOMONTH(DATE($D$2,$B$2,1),0)),"",SUMIFS(DATA_GOC!$H:$H,DATA_GOC!$A:$A,"BOM",DATA_GOC!$D:$D,$B177,DATA_GOC!$F:$F,"Xuất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7" s="229" t="str">
        <f>IF($B177="","",IF(L$4&gt;DAY(EOMONTH(DATE($D$2,$B$2,1),0)),"",SUMIFS(DATA_GOC!$H:$H,DATA_GOC!$A:$A,"BOM",DATA_GOC!$D:$D,$B177,DATA_GOC!$F:$F,"Xuất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7" s="229" t="str">
        <f>IF($B177="","",IF(M$4&gt;DAY(EOMONTH(DATE($D$2,$B$2,1),0)),"",SUMIFS(DATA_GOC!$H:$H,DATA_GOC!$A:$A,"BOM",DATA_GOC!$D:$D,$B177,DATA_GOC!$F:$F,"Xuất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7" s="61" t="str">
        <f>IF($B177="","",IF(N$4&gt;DAY(EOMONTH(DATE($D$2,$B$2,1),0)),"",SUMIFS(DATA_GOC!$H:$H,DATA_GOC!$A:$A,"BOM",DATA_GOC!$D:$D,$B177,DATA_GOC!$F:$F,"Xuất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7" s="61" t="str">
        <f>IF($B177="","",IF(O$4&gt;DAY(EOMONTH(DATE($D$2,$B$2,1),0)),"",SUMIFS(DATA_GOC!$H:$H,DATA_GOC!$A:$A,"BOM",DATA_GOC!$D:$D,$B177,DATA_GOC!$F:$F,"Xuất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7" s="61" t="str">
        <f>IF($B177="","",IF(P$4&gt;DAY(EOMONTH(DATE($D$2,$B$2,1),0)),"",SUMIFS(DATA_GOC!$H:$H,DATA_GOC!$A:$A,"BOM",DATA_GOC!$D:$D,$B177,DATA_GOC!$F:$F,"Xuất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7" s="61" t="str">
        <f>IF($B177="","",IF(Q$4&gt;DAY(EOMONTH(DATE($D$2,$B$2,1),0)),"",SUMIFS(DATA_GOC!$H:$H,DATA_GOC!$A:$A,"BOM",DATA_GOC!$D:$D,$B177,DATA_GOC!$F:$F,"Xuất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7" s="61" t="str">
        <f>IF($B177="","",IF(R$4&gt;DAY(EOMONTH(DATE($D$2,$B$2,1),0)),"",SUMIFS(DATA_GOC!$H:$H,DATA_GOC!$A:$A,"BOM",DATA_GOC!$D:$D,$B177,DATA_GOC!$F:$F,"Xuất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7" s="61" t="str">
        <f>IF($B177="","",IF(S$4&gt;DAY(EOMONTH(DATE($D$2,$B$2,1),0)),"",SUMIFS(DATA_GOC!$H:$H,DATA_GOC!$A:$A,"BOM",DATA_GOC!$D:$D,$B177,DATA_GOC!$F:$F,"Xuất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7" s="229" t="str">
        <f>IF($B177="","",IF(T$4&gt;DAY(EOMONTH(DATE($D$2,$B$2,1),0)),"",SUMIFS(DATA_GOC!$H:$H,DATA_GOC!$A:$A,"BOM",DATA_GOC!$D:$D,$B177,DATA_GOC!$F:$F,"Xuất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7" s="229" t="str">
        <f>IF($B177="","",IF(U$4&gt;DAY(EOMONTH(DATE($D$2,$B$2,1),0)),"",SUMIFS(DATA_GOC!$H:$H,DATA_GOC!$A:$A,"BOM",DATA_GOC!$D:$D,$B177,DATA_GOC!$F:$F,"Xuất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7" s="229" t="str">
        <f>IF($B177="","",IF(V$4&gt;DAY(EOMONTH(DATE($D$2,$B$2,1),0)),"",SUMIFS(DATA_GOC!$H:$H,DATA_GOC!$A:$A,"BOM",DATA_GOC!$D:$D,$B177,DATA_GOC!$F:$F,"Xuất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7" s="61" t="str">
        <f>IF($B177="","",IF(W$4&gt;DAY(EOMONTH(DATE($D$2,$B$2,1),0)),"",SUMIFS(DATA_GOC!$H:$H,DATA_GOC!$A:$A,"BOM",DATA_GOC!$D:$D,$B177,DATA_GOC!$F:$F,"Xuất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7" s="229" t="str">
        <f>IF($B177="","",IF(X$4&gt;DAY(EOMONTH(DATE($D$2,$B$2,1),0)),"",SUMIFS(DATA_GOC!$H:$H,DATA_GOC!$A:$A,"BOM",DATA_GOC!$D:$D,$B177,DATA_GOC!$F:$F,"Xuất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7" s="229" t="str">
        <f>IF($B177="","",IF(Y$4&gt;DAY(EOMONTH(DATE($D$2,$B$2,1),0)),"",SUMIFS(DATA_GOC!$H:$H,DATA_GOC!$A:$A,"BOM",DATA_GOC!$D:$D,$B177,DATA_GOC!$F:$F,"Xuất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7" s="229" t="str">
        <f>IF($B177="","",IF(Z$4&gt;DAY(EOMONTH(DATE($D$2,$B$2,1),0)),"",SUMIFS(DATA_GOC!$H:$H,DATA_GOC!$A:$A,"BOM",DATA_GOC!$D:$D,$B177,DATA_GOC!$F:$F,"Xuất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7" s="229" t="str">
        <f>IF($B177="","",IF(AA$4&gt;DAY(EOMONTH(DATE($D$2,$B$2,1),0)),"",SUMIFS(DATA_GOC!$H:$H,DATA_GOC!$A:$A,"BOM",DATA_GOC!$D:$D,$B177,DATA_GOC!$F:$F,"Xuất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7" s="229" t="str">
        <f>IF($B177="","",IF(AB$4&gt;DAY(EOMONTH(DATE($D$2,$B$2,1),0)),"",SUMIFS(DATA_GOC!$H:$H,DATA_GOC!$A:$A,"BOM",DATA_GOC!$D:$D,$B177,DATA_GOC!$F:$F,"Xuất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7" s="61" t="str">
        <f>IF($B177="","",IF(AC$4&gt;DAY(EOMONTH(DATE($D$2,$B$2,1),0)),"",SUMIFS(DATA_GOC!$H:$H,DATA_GOC!$A:$A,"BOM",DATA_GOC!$D:$D,$B177,DATA_GOC!$F:$F,"Xuất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7" s="222" t="str">
        <f>IF($B177="","",IF(AD$4&gt;DAY(EOMONTH(DATE($D$2,$B$2,1),0)),"",SUMIFS(DATA_GOC!$H:$H,DATA_GOC!$A:$A,"BOM",DATA_GOC!$D:$D,$B177,DATA_GOC!$F:$F,"Xuất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7" s="222" t="str">
        <f>IF($B177="","",IF(AE$4&gt;DAY(EOMONTH(DATE($D$2,$B$2,1),0)),"",SUMIFS(DATA_GOC!$H:$H,DATA_GOC!$A:$A,"BOM",DATA_GOC!$D:$D,$B177,DATA_GOC!$F:$F,"Xuất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7" s="222" t="str">
        <f>IF($B177="","",IF(AF$4&gt;DAY(EOMONTH(DATE($D$2,$B$2,1),0)),"",SUMIFS(DATA_GOC!$H:$H,DATA_GOC!$A:$A,"BOM",DATA_GOC!$D:$D,$B177,DATA_GOC!$F:$F,"Xuất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7" s="222" t="str">
        <f>IF($B177="","",IF(AG$4&gt;DAY(EOMONTH(DATE($D$2,$B$2,1),0)),"",SUMIFS(DATA_GOC!$H:$H,DATA_GOC!$A:$A,"BOM",DATA_GOC!$D:$D,$B177,DATA_GOC!$F:$F,"Xuất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7" s="222" t="str">
        <f t="shared" si="2"/>
        <v/>
      </c>
      <c r="AI177" s="222" t="str">
        <f>IF($B177="","",SUMIFS(DATA_GOC!$H:$H,DATA_GOC!$A:$A,"BOM",DATA_GOC!$D:$D,$B177,DATA_GOC!$F:$F,"Bơm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7" s="222" t="str">
        <f t="shared" si="3"/>
        <v/>
      </c>
      <c r="AM177" s="222" t="str">
        <f>IF($B177="","",SUMIFS(DATA_GOC!$K:$K,DATA_GOC!$A:$A,"BOM",DATA_GOC!$D:$D,$B177,DATA_GOC!$G:$G,"DO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7" s="222" t="str">
        <f t="shared" si="4"/>
        <v/>
      </c>
      <c r="AO177" s="227" t="str">
        <f t="shared" si="5"/>
        <v/>
      </c>
      <c r="AP177" s="226" t="str">
        <f>IF($B177="","",IFERROR(AO177-(SUMIFS(DATA_GOC!$H:$H,DATA_GOC!$A:$A,"BOM",DATA_GOC!$D:$D,$B177,DATA_GOC!$F:$F,"Xuất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7" s="59">
        <v>4.0</v>
      </c>
      <c r="AR177" s="59">
        <v>2026.0</v>
      </c>
      <c r="AS177" s="59" t="s">
        <v>97</v>
      </c>
      <c r="AT177" s="59">
        <v>2220.481</v>
      </c>
      <c r="AU177" s="59">
        <v>0.0</v>
      </c>
      <c r="AV177" s="59">
        <v>2220.481</v>
      </c>
      <c r="AW177" s="59">
        <v>2529.0</v>
      </c>
      <c r="AX177" s="59">
        <v>87.8007512850929</v>
      </c>
      <c r="AY177" s="59">
        <v>393.48</v>
      </c>
      <c r="AZ177" s="59">
        <v>1827.001</v>
      </c>
      <c r="BA177" s="59">
        <v>3.48</v>
      </c>
      <c r="BB177" s="59">
        <v>0.0</v>
      </c>
      <c r="BC177" s="59" t="s">
        <v>532</v>
      </c>
    </row>
    <row r="178" ht="15.0" customHeight="1">
      <c r="A178" s="61" t="str">
        <f t="shared" si="1"/>
        <v/>
      </c>
      <c r="B178" s="228" t="str">
        <f t="array" ref="B178">IFERROR(INDEX(DANH_MUC!$E:$E,ROW()-1),"")</f>
        <v/>
      </c>
      <c r="C178" s="228" t="str">
        <f>IF($B178="","",IF(C$4&gt;DAY(EOMONTH(DATE($D$2,$B$2,1),0)),"",SUMIFS(DATA_GOC!$H:$H,DATA_GOC!$A:$A,"BOM",DATA_GOC!$D:$D,$B178,DATA_GOC!$F:$F,"Xuất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8" s="61" t="str">
        <f>IF($B178="","",IF(D$4&gt;DAY(EOMONTH(DATE($D$2,$B$2,1),0)),"",SUMIFS(DATA_GOC!$H:$H,DATA_GOC!$A:$A,"BOM",DATA_GOC!$D:$D,$B178,DATA_GOC!$F:$F,"Xuất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8" s="229" t="str">
        <f>IF($B178="","",IF(E$4&gt;DAY(EOMONTH(DATE($D$2,$B$2,1),0)),"",SUMIFS(DATA_GOC!$H:$H,DATA_GOC!$A:$A,"BOM",DATA_GOC!$D:$D,$B178,DATA_GOC!$F:$F,"Xuất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8" s="229" t="str">
        <f>IF($B178="","",IF(F$4&gt;DAY(EOMONTH(DATE($D$2,$B$2,1),0)),"",SUMIFS(DATA_GOC!$H:$H,DATA_GOC!$A:$A,"BOM",DATA_GOC!$D:$D,$B178,DATA_GOC!$F:$F,"Xuất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8" s="229" t="str">
        <f>IF($B178="","",IF(G$4&gt;DAY(EOMONTH(DATE($D$2,$B$2,1),0)),"",SUMIFS(DATA_GOC!$H:$H,DATA_GOC!$A:$A,"BOM",DATA_GOC!$D:$D,$B178,DATA_GOC!$F:$F,"Xuất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8" s="228" t="str">
        <f>IF($B178="","",IF(H$4&gt;DAY(EOMONTH(DATE($D$2,$B$2,1),0)),"",SUMIFS(DATA_GOC!$H:$H,DATA_GOC!$A:$A,"BOM",DATA_GOC!$D:$D,$B178,DATA_GOC!$F:$F,"Xuất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8" s="229" t="str">
        <f>IF($B178="","",IF(I$4&gt;DAY(EOMONTH(DATE($D$2,$B$2,1),0)),"",SUMIFS(DATA_GOC!$H:$H,DATA_GOC!$A:$A,"BOM",DATA_GOC!$D:$D,$B178,DATA_GOC!$F:$F,"Xuất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8" s="229" t="str">
        <f>IF($B178="","",IF(J$4&gt;DAY(EOMONTH(DATE($D$2,$B$2,1),0)),"",SUMIFS(DATA_GOC!$H:$H,DATA_GOC!$A:$A,"BOM",DATA_GOC!$D:$D,$B178,DATA_GOC!$F:$F,"Xuất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8" s="229" t="str">
        <f>IF($B178="","",IF(K$4&gt;DAY(EOMONTH(DATE($D$2,$B$2,1),0)),"",SUMIFS(DATA_GOC!$H:$H,DATA_GOC!$A:$A,"BOM",DATA_GOC!$D:$D,$B178,DATA_GOC!$F:$F,"Xuất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8" s="229" t="str">
        <f>IF($B178="","",IF(L$4&gt;DAY(EOMONTH(DATE($D$2,$B$2,1),0)),"",SUMIFS(DATA_GOC!$H:$H,DATA_GOC!$A:$A,"BOM",DATA_GOC!$D:$D,$B178,DATA_GOC!$F:$F,"Xuất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8" s="229" t="str">
        <f>IF($B178="","",IF(M$4&gt;DAY(EOMONTH(DATE($D$2,$B$2,1),0)),"",SUMIFS(DATA_GOC!$H:$H,DATA_GOC!$A:$A,"BOM",DATA_GOC!$D:$D,$B178,DATA_GOC!$F:$F,"Xuất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8" s="61" t="str">
        <f>IF($B178="","",IF(N$4&gt;DAY(EOMONTH(DATE($D$2,$B$2,1),0)),"",SUMIFS(DATA_GOC!$H:$H,DATA_GOC!$A:$A,"BOM",DATA_GOC!$D:$D,$B178,DATA_GOC!$F:$F,"Xuất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8" s="61" t="str">
        <f>IF($B178="","",IF(O$4&gt;DAY(EOMONTH(DATE($D$2,$B$2,1),0)),"",SUMIFS(DATA_GOC!$H:$H,DATA_GOC!$A:$A,"BOM",DATA_GOC!$D:$D,$B178,DATA_GOC!$F:$F,"Xuất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8" s="61" t="str">
        <f>IF($B178="","",IF(P$4&gt;DAY(EOMONTH(DATE($D$2,$B$2,1),0)),"",SUMIFS(DATA_GOC!$H:$H,DATA_GOC!$A:$A,"BOM",DATA_GOC!$D:$D,$B178,DATA_GOC!$F:$F,"Xuất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8" s="61" t="str">
        <f>IF($B178="","",IF(Q$4&gt;DAY(EOMONTH(DATE($D$2,$B$2,1),0)),"",SUMIFS(DATA_GOC!$H:$H,DATA_GOC!$A:$A,"BOM",DATA_GOC!$D:$D,$B178,DATA_GOC!$F:$F,"Xuất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8" s="61" t="str">
        <f>IF($B178="","",IF(R$4&gt;DAY(EOMONTH(DATE($D$2,$B$2,1),0)),"",SUMIFS(DATA_GOC!$H:$H,DATA_GOC!$A:$A,"BOM",DATA_GOC!$D:$D,$B178,DATA_GOC!$F:$F,"Xuất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8" s="61" t="str">
        <f>IF($B178="","",IF(S$4&gt;DAY(EOMONTH(DATE($D$2,$B$2,1),0)),"",SUMIFS(DATA_GOC!$H:$H,DATA_GOC!$A:$A,"BOM",DATA_GOC!$D:$D,$B178,DATA_GOC!$F:$F,"Xuất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8" s="229" t="str">
        <f>IF($B178="","",IF(T$4&gt;DAY(EOMONTH(DATE($D$2,$B$2,1),0)),"",SUMIFS(DATA_GOC!$H:$H,DATA_GOC!$A:$A,"BOM",DATA_GOC!$D:$D,$B178,DATA_GOC!$F:$F,"Xuất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8" s="229" t="str">
        <f>IF($B178="","",IF(U$4&gt;DAY(EOMONTH(DATE($D$2,$B$2,1),0)),"",SUMIFS(DATA_GOC!$H:$H,DATA_GOC!$A:$A,"BOM",DATA_GOC!$D:$D,$B178,DATA_GOC!$F:$F,"Xuất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8" s="229" t="str">
        <f>IF($B178="","",IF(V$4&gt;DAY(EOMONTH(DATE($D$2,$B$2,1),0)),"",SUMIFS(DATA_GOC!$H:$H,DATA_GOC!$A:$A,"BOM",DATA_GOC!$D:$D,$B178,DATA_GOC!$F:$F,"Xuất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8" s="61" t="str">
        <f>IF($B178="","",IF(W$4&gt;DAY(EOMONTH(DATE($D$2,$B$2,1),0)),"",SUMIFS(DATA_GOC!$H:$H,DATA_GOC!$A:$A,"BOM",DATA_GOC!$D:$D,$B178,DATA_GOC!$F:$F,"Xuất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8" s="229" t="str">
        <f>IF($B178="","",IF(X$4&gt;DAY(EOMONTH(DATE($D$2,$B$2,1),0)),"",SUMIFS(DATA_GOC!$H:$H,DATA_GOC!$A:$A,"BOM",DATA_GOC!$D:$D,$B178,DATA_GOC!$F:$F,"Xuất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8" s="229" t="str">
        <f>IF($B178="","",IF(Y$4&gt;DAY(EOMONTH(DATE($D$2,$B$2,1),0)),"",SUMIFS(DATA_GOC!$H:$H,DATA_GOC!$A:$A,"BOM",DATA_GOC!$D:$D,$B178,DATA_GOC!$F:$F,"Xuất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8" s="229" t="str">
        <f>IF($B178="","",IF(Z$4&gt;DAY(EOMONTH(DATE($D$2,$B$2,1),0)),"",SUMIFS(DATA_GOC!$H:$H,DATA_GOC!$A:$A,"BOM",DATA_GOC!$D:$D,$B178,DATA_GOC!$F:$F,"Xuất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8" s="229" t="str">
        <f>IF($B178="","",IF(AA$4&gt;DAY(EOMONTH(DATE($D$2,$B$2,1),0)),"",SUMIFS(DATA_GOC!$H:$H,DATA_GOC!$A:$A,"BOM",DATA_GOC!$D:$D,$B178,DATA_GOC!$F:$F,"Xuất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8" s="229" t="str">
        <f>IF($B178="","",IF(AB$4&gt;DAY(EOMONTH(DATE($D$2,$B$2,1),0)),"",SUMIFS(DATA_GOC!$H:$H,DATA_GOC!$A:$A,"BOM",DATA_GOC!$D:$D,$B178,DATA_GOC!$F:$F,"Xuất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8" s="61" t="str">
        <f>IF($B178="","",IF(AC$4&gt;DAY(EOMONTH(DATE($D$2,$B$2,1),0)),"",SUMIFS(DATA_GOC!$H:$H,DATA_GOC!$A:$A,"BOM",DATA_GOC!$D:$D,$B178,DATA_GOC!$F:$F,"Xuất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8" s="222" t="str">
        <f>IF($B178="","",IF(AD$4&gt;DAY(EOMONTH(DATE($D$2,$B$2,1),0)),"",SUMIFS(DATA_GOC!$H:$H,DATA_GOC!$A:$A,"BOM",DATA_GOC!$D:$D,$B178,DATA_GOC!$F:$F,"Xuất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8" s="222" t="str">
        <f>IF($B178="","",IF(AE$4&gt;DAY(EOMONTH(DATE($D$2,$B$2,1),0)),"",SUMIFS(DATA_GOC!$H:$H,DATA_GOC!$A:$A,"BOM",DATA_GOC!$D:$D,$B178,DATA_GOC!$F:$F,"Xuất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8" s="222" t="str">
        <f>IF($B178="","",IF(AF$4&gt;DAY(EOMONTH(DATE($D$2,$B$2,1),0)),"",SUMIFS(DATA_GOC!$H:$H,DATA_GOC!$A:$A,"BOM",DATA_GOC!$D:$D,$B178,DATA_GOC!$F:$F,"Xuất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8" s="222" t="str">
        <f>IF($B178="","",IF(AG$4&gt;DAY(EOMONTH(DATE($D$2,$B$2,1),0)),"",SUMIFS(DATA_GOC!$H:$H,DATA_GOC!$A:$A,"BOM",DATA_GOC!$D:$D,$B178,DATA_GOC!$F:$F,"Xuất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8" s="222" t="str">
        <f t="shared" si="2"/>
        <v/>
      </c>
      <c r="AI178" s="222" t="str">
        <f>IF($B178="","",SUMIFS(DATA_GOC!$H:$H,DATA_GOC!$A:$A,"BOM",DATA_GOC!$D:$D,$B178,DATA_GOC!$F:$F,"Bơm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8" s="222" t="str">
        <f t="shared" si="3"/>
        <v/>
      </c>
      <c r="AM178" s="222" t="str">
        <f>IF($B178="","",SUMIFS(DATA_GOC!$K:$K,DATA_GOC!$A:$A,"BOM",DATA_GOC!$D:$D,$B178,DATA_GOC!$G:$G,"DO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8" s="222" t="str">
        <f t="shared" si="4"/>
        <v/>
      </c>
      <c r="AO178" s="227" t="str">
        <f t="shared" si="5"/>
        <v/>
      </c>
      <c r="AP178" s="226" t="str">
        <f>IF($B178="","",IFERROR(AO178-(SUMIFS(DATA_GOC!$H:$H,DATA_GOC!$A:$A,"BOM",DATA_GOC!$D:$D,$B178,DATA_GOC!$F:$F,"Xuất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  <c r="AQ178" s="59">
        <v>4.0</v>
      </c>
      <c r="AR178" s="59">
        <v>2026.0</v>
      </c>
      <c r="AS178" s="59" t="s">
        <v>338</v>
      </c>
      <c r="AT178" s="59">
        <v>125.128</v>
      </c>
      <c r="AU178" s="59">
        <v>0.0</v>
      </c>
      <c r="AV178" s="59">
        <v>125.128</v>
      </c>
      <c r="AY178" s="59">
        <v>0.0</v>
      </c>
      <c r="AZ178" s="59">
        <v>125.128</v>
      </c>
      <c r="BA178" s="59">
        <v>0.0</v>
      </c>
      <c r="BB178" s="59">
        <v>0.0</v>
      </c>
      <c r="BC178" s="59" t="s">
        <v>533</v>
      </c>
    </row>
    <row r="179" ht="15.0" customHeight="1">
      <c r="A179" s="61" t="str">
        <f t="shared" si="1"/>
        <v/>
      </c>
      <c r="B179" s="228" t="str">
        <f t="array" ref="B179">IFERROR(INDEX(DANH_MUC!$E:$E,ROW()-1),"")</f>
        <v/>
      </c>
      <c r="C179" s="228" t="str">
        <f>IF($B179="","",IF(C$4&gt;DAY(EOMONTH(DATE($D$2,$B$2,1),0)),"",SUMIFS(DATA_GOC!$H:$H,DATA_GOC!$A:$A,"BOM",DATA_GOC!$D:$D,$B179,DATA_GOC!$F:$F,"Xuất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79" s="61" t="str">
        <f>IF($B179="","",IF(D$4&gt;DAY(EOMONTH(DATE($D$2,$B$2,1),0)),"",SUMIFS(DATA_GOC!$H:$H,DATA_GOC!$A:$A,"BOM",DATA_GOC!$D:$D,$B179,DATA_GOC!$F:$F,"Xuất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79" s="229" t="str">
        <f>IF($B179="","",IF(E$4&gt;DAY(EOMONTH(DATE($D$2,$B$2,1),0)),"",SUMIFS(DATA_GOC!$H:$H,DATA_GOC!$A:$A,"BOM",DATA_GOC!$D:$D,$B179,DATA_GOC!$F:$F,"Xuất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79" s="229" t="str">
        <f>IF($B179="","",IF(F$4&gt;DAY(EOMONTH(DATE($D$2,$B$2,1),0)),"",SUMIFS(DATA_GOC!$H:$H,DATA_GOC!$A:$A,"BOM",DATA_GOC!$D:$D,$B179,DATA_GOC!$F:$F,"Xuất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79" s="229" t="str">
        <f>IF($B179="","",IF(G$4&gt;DAY(EOMONTH(DATE($D$2,$B$2,1),0)),"",SUMIFS(DATA_GOC!$H:$H,DATA_GOC!$A:$A,"BOM",DATA_GOC!$D:$D,$B179,DATA_GOC!$F:$F,"Xuất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79" s="228" t="str">
        <f>IF($B179="","",IF(H$4&gt;DAY(EOMONTH(DATE($D$2,$B$2,1),0)),"",SUMIFS(DATA_GOC!$H:$H,DATA_GOC!$A:$A,"BOM",DATA_GOC!$D:$D,$B179,DATA_GOC!$F:$F,"Xuất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79" s="229" t="str">
        <f>IF($B179="","",IF(I$4&gt;DAY(EOMONTH(DATE($D$2,$B$2,1),0)),"",SUMIFS(DATA_GOC!$H:$H,DATA_GOC!$A:$A,"BOM",DATA_GOC!$D:$D,$B179,DATA_GOC!$F:$F,"Xuất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79" s="229" t="str">
        <f>IF($B179="","",IF(J$4&gt;DAY(EOMONTH(DATE($D$2,$B$2,1),0)),"",SUMIFS(DATA_GOC!$H:$H,DATA_GOC!$A:$A,"BOM",DATA_GOC!$D:$D,$B179,DATA_GOC!$F:$F,"Xuất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79" s="229" t="str">
        <f>IF($B179="","",IF(K$4&gt;DAY(EOMONTH(DATE($D$2,$B$2,1),0)),"",SUMIFS(DATA_GOC!$H:$H,DATA_GOC!$A:$A,"BOM",DATA_GOC!$D:$D,$B179,DATA_GOC!$F:$F,"Xuất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79" s="229" t="str">
        <f>IF($B179="","",IF(L$4&gt;DAY(EOMONTH(DATE($D$2,$B$2,1),0)),"",SUMIFS(DATA_GOC!$H:$H,DATA_GOC!$A:$A,"BOM",DATA_GOC!$D:$D,$B179,DATA_GOC!$F:$F,"Xuất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79" s="229" t="str">
        <f>IF($B179="","",IF(M$4&gt;DAY(EOMONTH(DATE($D$2,$B$2,1),0)),"",SUMIFS(DATA_GOC!$H:$H,DATA_GOC!$A:$A,"BOM",DATA_GOC!$D:$D,$B179,DATA_GOC!$F:$F,"Xuất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79" s="61" t="str">
        <f>IF($B179="","",IF(N$4&gt;DAY(EOMONTH(DATE($D$2,$B$2,1),0)),"",SUMIFS(DATA_GOC!$H:$H,DATA_GOC!$A:$A,"BOM",DATA_GOC!$D:$D,$B179,DATA_GOC!$F:$F,"Xuất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79" s="61" t="str">
        <f>IF($B179="","",IF(O$4&gt;DAY(EOMONTH(DATE($D$2,$B$2,1),0)),"",SUMIFS(DATA_GOC!$H:$H,DATA_GOC!$A:$A,"BOM",DATA_GOC!$D:$D,$B179,DATA_GOC!$F:$F,"Xuất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79" s="61" t="str">
        <f>IF($B179="","",IF(P$4&gt;DAY(EOMONTH(DATE($D$2,$B$2,1),0)),"",SUMIFS(DATA_GOC!$H:$H,DATA_GOC!$A:$A,"BOM",DATA_GOC!$D:$D,$B179,DATA_GOC!$F:$F,"Xuất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79" s="61" t="str">
        <f>IF($B179="","",IF(Q$4&gt;DAY(EOMONTH(DATE($D$2,$B$2,1),0)),"",SUMIFS(DATA_GOC!$H:$H,DATA_GOC!$A:$A,"BOM",DATA_GOC!$D:$D,$B179,DATA_GOC!$F:$F,"Xuất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79" s="61" t="str">
        <f>IF($B179="","",IF(R$4&gt;DAY(EOMONTH(DATE($D$2,$B$2,1),0)),"",SUMIFS(DATA_GOC!$H:$H,DATA_GOC!$A:$A,"BOM",DATA_GOC!$D:$D,$B179,DATA_GOC!$F:$F,"Xuất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79" s="61" t="str">
        <f>IF($B179="","",IF(S$4&gt;DAY(EOMONTH(DATE($D$2,$B$2,1),0)),"",SUMIFS(DATA_GOC!$H:$H,DATA_GOC!$A:$A,"BOM",DATA_GOC!$D:$D,$B179,DATA_GOC!$F:$F,"Xuất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79" s="61" t="str">
        <f>IF($B179="","",IF(T$4&gt;DAY(EOMONTH(DATE($D$2,$B$2,1),0)),"",SUMIFS(DATA_GOC!$H:$H,DATA_GOC!$A:$A,"BOM",DATA_GOC!$D:$D,$B179,DATA_GOC!$F:$F,"Xuất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79" s="61" t="str">
        <f>IF($B179="","",IF(U$4&gt;DAY(EOMONTH(DATE($D$2,$B$2,1),0)),"",SUMIFS(DATA_GOC!$H:$H,DATA_GOC!$A:$A,"BOM",DATA_GOC!$D:$D,$B179,DATA_GOC!$F:$F,"Xuất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79" s="61" t="str">
        <f>IF($B179="","",IF(V$4&gt;DAY(EOMONTH(DATE($D$2,$B$2,1),0)),"",SUMIFS(DATA_GOC!$H:$H,DATA_GOC!$A:$A,"BOM",DATA_GOC!$D:$D,$B179,DATA_GOC!$F:$F,"Xuất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79" s="61" t="str">
        <f>IF($B179="","",IF(W$4&gt;DAY(EOMONTH(DATE($D$2,$B$2,1),0)),"",SUMIFS(DATA_GOC!$H:$H,DATA_GOC!$A:$A,"BOM",DATA_GOC!$D:$D,$B179,DATA_GOC!$F:$F,"Xuất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79" s="61" t="str">
        <f>IF($B179="","",IF(X$4&gt;DAY(EOMONTH(DATE($D$2,$B$2,1),0)),"",SUMIFS(DATA_GOC!$H:$H,DATA_GOC!$A:$A,"BOM",DATA_GOC!$D:$D,$B179,DATA_GOC!$F:$F,"Xuất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79" s="61" t="str">
        <f>IF($B179="","",IF(Y$4&gt;DAY(EOMONTH(DATE($D$2,$B$2,1),0)),"",SUMIFS(DATA_GOC!$H:$H,DATA_GOC!$A:$A,"BOM",DATA_GOC!$D:$D,$B179,DATA_GOC!$F:$F,"Xuất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79" s="61" t="str">
        <f>IF($B179="","",IF(Z$4&gt;DAY(EOMONTH(DATE($D$2,$B$2,1),0)),"",SUMIFS(DATA_GOC!$H:$H,DATA_GOC!$A:$A,"BOM",DATA_GOC!$D:$D,$B179,DATA_GOC!$F:$F,"Xuất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79" s="61" t="str">
        <f>IF($B179="","",IF(AA$4&gt;DAY(EOMONTH(DATE($D$2,$B$2,1),0)),"",SUMIFS(DATA_GOC!$H:$H,DATA_GOC!$A:$A,"BOM",DATA_GOC!$D:$D,$B179,DATA_GOC!$F:$F,"Xuất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79" s="61" t="str">
        <f>IF($B179="","",IF(AB$4&gt;DAY(EOMONTH(DATE($D$2,$B$2,1),0)),"",SUMIFS(DATA_GOC!$H:$H,DATA_GOC!$A:$A,"BOM",DATA_GOC!$D:$D,$B179,DATA_GOC!$F:$F,"Xuất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79" s="61" t="str">
        <f>IF($B179="","",IF(AC$4&gt;DAY(EOMONTH(DATE($D$2,$B$2,1),0)),"",SUMIFS(DATA_GOC!$H:$H,DATA_GOC!$A:$A,"BOM",DATA_GOC!$D:$D,$B179,DATA_GOC!$F:$F,"Xuất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79" s="222" t="str">
        <f>IF($B179="","",IF(AD$4&gt;DAY(EOMONTH(DATE($D$2,$B$2,1),0)),"",SUMIFS(DATA_GOC!$H:$H,DATA_GOC!$A:$A,"BOM",DATA_GOC!$D:$D,$B179,DATA_GOC!$F:$F,"Xuất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79" s="222" t="str">
        <f>IF($B179="","",IF(AE$4&gt;DAY(EOMONTH(DATE($D$2,$B$2,1),0)),"",SUMIFS(DATA_GOC!$H:$H,DATA_GOC!$A:$A,"BOM",DATA_GOC!$D:$D,$B179,DATA_GOC!$F:$F,"Xuất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79" s="222" t="str">
        <f>IF($B179="","",IF(AF$4&gt;DAY(EOMONTH(DATE($D$2,$B$2,1),0)),"",SUMIFS(DATA_GOC!$H:$H,DATA_GOC!$A:$A,"BOM",DATA_GOC!$D:$D,$B179,DATA_GOC!$F:$F,"Xuất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79" s="222" t="str">
        <f>IF($B179="","",IF(AG$4&gt;DAY(EOMONTH(DATE($D$2,$B$2,1),0)),"",SUMIFS(DATA_GOC!$H:$H,DATA_GOC!$A:$A,"BOM",DATA_GOC!$D:$D,$B179,DATA_GOC!$F:$F,"Xuất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79" s="222" t="str">
        <f t="shared" si="2"/>
        <v/>
      </c>
      <c r="AI179" s="222" t="str">
        <f>IF($B179="","",SUMIFS(DATA_GOC!$H:$H,DATA_GOC!$A:$A,"BOM",DATA_GOC!$D:$D,$B179,DATA_GOC!$F:$F,"Bơm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79" s="222" t="str">
        <f t="shared" si="3"/>
        <v/>
      </c>
      <c r="AM179" s="222" t="str">
        <f>IF($B179="","",SUMIFS(DATA_GOC!$K:$K,DATA_GOC!$A:$A,"BOM",DATA_GOC!$D:$D,$B179,DATA_GOC!$G:$G,"DO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79" s="222" t="str">
        <f t="shared" si="4"/>
        <v/>
      </c>
      <c r="AO179" s="227" t="str">
        <f t="shared" si="5"/>
        <v/>
      </c>
      <c r="AP179" s="226" t="str">
        <f>IF($B179="","",IFERROR(AO179-(SUMIFS(DATA_GOC!$H:$H,DATA_GOC!$A:$A,"BOM",DATA_GOC!$D:$D,$B179,DATA_GOC!$F:$F,"Xuất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số",DATA_GOC!$B:$B,"&gt;="&amp;EDATE(DATE($D$2,$B$2,1),-1),DATA_GOC!$B:$B,"&lt;"&amp;DATE($D$2,$B$2,1))/SUMIFS(DATA_GOC!$K:$K,DATA_GOC!$A:$A,"BOM",DATA_GOC!$D:$D,$B179,DATA_GOC!$G:$G,"DO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0" ht="15.0" customHeight="1">
      <c r="A180" s="61" t="str">
        <f t="shared" si="1"/>
        <v/>
      </c>
      <c r="B180" s="228" t="str">
        <f t="array" ref="B180">IFERROR(INDEX(DANH_MUC!$E:$E,ROW()-1),"")</f>
        <v/>
      </c>
      <c r="C180" s="228" t="str">
        <f>IF($B180="","",IF(C$4&gt;DAY(EOMONTH(DATE($D$2,$B$2,1),0)),"",SUMIFS(DATA_GOC!$H:$H,DATA_GOC!$A:$A,"BOM",DATA_GOC!$D:$D,$B180,DATA_GOC!$F:$F,"Xuất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0" s="61" t="str">
        <f>IF($B180="","",IF(D$4&gt;DAY(EOMONTH(DATE($D$2,$B$2,1),0)),"",SUMIFS(DATA_GOC!$H:$H,DATA_GOC!$A:$A,"BOM",DATA_GOC!$D:$D,$B180,DATA_GOC!$F:$F,"Xuất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0" s="229" t="str">
        <f>IF($B180="","",IF(E$4&gt;DAY(EOMONTH(DATE($D$2,$B$2,1),0)),"",SUMIFS(DATA_GOC!$H:$H,DATA_GOC!$A:$A,"BOM",DATA_GOC!$D:$D,$B180,DATA_GOC!$F:$F,"Xuất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0" s="229" t="str">
        <f>IF($B180="","",IF(F$4&gt;DAY(EOMONTH(DATE($D$2,$B$2,1),0)),"",SUMIFS(DATA_GOC!$H:$H,DATA_GOC!$A:$A,"BOM",DATA_GOC!$D:$D,$B180,DATA_GOC!$F:$F,"Xuất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0" s="229" t="str">
        <f>IF($B180="","",IF(G$4&gt;DAY(EOMONTH(DATE($D$2,$B$2,1),0)),"",SUMIFS(DATA_GOC!$H:$H,DATA_GOC!$A:$A,"BOM",DATA_GOC!$D:$D,$B180,DATA_GOC!$F:$F,"Xuất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0" s="228" t="str">
        <f>IF($B180="","",IF(H$4&gt;DAY(EOMONTH(DATE($D$2,$B$2,1),0)),"",SUMIFS(DATA_GOC!$H:$H,DATA_GOC!$A:$A,"BOM",DATA_GOC!$D:$D,$B180,DATA_GOC!$F:$F,"Xuất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0" s="229" t="str">
        <f>IF($B180="","",IF(I$4&gt;DAY(EOMONTH(DATE($D$2,$B$2,1),0)),"",SUMIFS(DATA_GOC!$H:$H,DATA_GOC!$A:$A,"BOM",DATA_GOC!$D:$D,$B180,DATA_GOC!$F:$F,"Xuất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0" s="229" t="str">
        <f>IF($B180="","",IF(J$4&gt;DAY(EOMONTH(DATE($D$2,$B$2,1),0)),"",SUMIFS(DATA_GOC!$H:$H,DATA_GOC!$A:$A,"BOM",DATA_GOC!$D:$D,$B180,DATA_GOC!$F:$F,"Xuất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0" s="229" t="str">
        <f>IF($B180="","",IF(K$4&gt;DAY(EOMONTH(DATE($D$2,$B$2,1),0)),"",SUMIFS(DATA_GOC!$H:$H,DATA_GOC!$A:$A,"BOM",DATA_GOC!$D:$D,$B180,DATA_GOC!$F:$F,"Xuất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0" s="229" t="str">
        <f>IF($B180="","",IF(L$4&gt;DAY(EOMONTH(DATE($D$2,$B$2,1),0)),"",SUMIFS(DATA_GOC!$H:$H,DATA_GOC!$A:$A,"BOM",DATA_GOC!$D:$D,$B180,DATA_GOC!$F:$F,"Xuất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0" s="229" t="str">
        <f>IF($B180="","",IF(M$4&gt;DAY(EOMONTH(DATE($D$2,$B$2,1),0)),"",SUMIFS(DATA_GOC!$H:$H,DATA_GOC!$A:$A,"BOM",DATA_GOC!$D:$D,$B180,DATA_GOC!$F:$F,"Xuất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0" s="61" t="str">
        <f>IF($B180="","",IF(N$4&gt;DAY(EOMONTH(DATE($D$2,$B$2,1),0)),"",SUMIFS(DATA_GOC!$H:$H,DATA_GOC!$A:$A,"BOM",DATA_GOC!$D:$D,$B180,DATA_GOC!$F:$F,"Xuất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0" s="61" t="str">
        <f>IF($B180="","",IF(O$4&gt;DAY(EOMONTH(DATE($D$2,$B$2,1),0)),"",SUMIFS(DATA_GOC!$H:$H,DATA_GOC!$A:$A,"BOM",DATA_GOC!$D:$D,$B180,DATA_GOC!$F:$F,"Xuất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0" s="61" t="str">
        <f>IF($B180="","",IF(P$4&gt;DAY(EOMONTH(DATE($D$2,$B$2,1),0)),"",SUMIFS(DATA_GOC!$H:$H,DATA_GOC!$A:$A,"BOM",DATA_GOC!$D:$D,$B180,DATA_GOC!$F:$F,"Xuất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0" s="61" t="str">
        <f>IF($B180="","",IF(Q$4&gt;DAY(EOMONTH(DATE($D$2,$B$2,1),0)),"",SUMIFS(DATA_GOC!$H:$H,DATA_GOC!$A:$A,"BOM",DATA_GOC!$D:$D,$B180,DATA_GOC!$F:$F,"Xuất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0" s="61" t="str">
        <f>IF($B180="","",IF(R$4&gt;DAY(EOMONTH(DATE($D$2,$B$2,1),0)),"",SUMIFS(DATA_GOC!$H:$H,DATA_GOC!$A:$A,"BOM",DATA_GOC!$D:$D,$B180,DATA_GOC!$F:$F,"Xuất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0" s="61" t="str">
        <f>IF($B180="","",IF(S$4&gt;DAY(EOMONTH(DATE($D$2,$B$2,1),0)),"",SUMIFS(DATA_GOC!$H:$H,DATA_GOC!$A:$A,"BOM",DATA_GOC!$D:$D,$B180,DATA_GOC!$F:$F,"Xuất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0" s="61" t="str">
        <f>IF($B180="","",IF(T$4&gt;DAY(EOMONTH(DATE($D$2,$B$2,1),0)),"",SUMIFS(DATA_GOC!$H:$H,DATA_GOC!$A:$A,"BOM",DATA_GOC!$D:$D,$B180,DATA_GOC!$F:$F,"Xuất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0" s="61" t="str">
        <f>IF($B180="","",IF(U$4&gt;DAY(EOMONTH(DATE($D$2,$B$2,1),0)),"",SUMIFS(DATA_GOC!$H:$H,DATA_GOC!$A:$A,"BOM",DATA_GOC!$D:$D,$B180,DATA_GOC!$F:$F,"Xuất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0" s="61" t="str">
        <f>IF($B180="","",IF(V$4&gt;DAY(EOMONTH(DATE($D$2,$B$2,1),0)),"",SUMIFS(DATA_GOC!$H:$H,DATA_GOC!$A:$A,"BOM",DATA_GOC!$D:$D,$B180,DATA_GOC!$F:$F,"Xuất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0" s="61" t="str">
        <f>IF($B180="","",IF(W$4&gt;DAY(EOMONTH(DATE($D$2,$B$2,1),0)),"",SUMIFS(DATA_GOC!$H:$H,DATA_GOC!$A:$A,"BOM",DATA_GOC!$D:$D,$B180,DATA_GOC!$F:$F,"Xuất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0" s="61" t="str">
        <f>IF($B180="","",IF(X$4&gt;DAY(EOMONTH(DATE($D$2,$B$2,1),0)),"",SUMIFS(DATA_GOC!$H:$H,DATA_GOC!$A:$A,"BOM",DATA_GOC!$D:$D,$B180,DATA_GOC!$F:$F,"Xuất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0" s="61" t="str">
        <f>IF($B180="","",IF(Y$4&gt;DAY(EOMONTH(DATE($D$2,$B$2,1),0)),"",SUMIFS(DATA_GOC!$H:$H,DATA_GOC!$A:$A,"BOM",DATA_GOC!$D:$D,$B180,DATA_GOC!$F:$F,"Xuất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0" s="61" t="str">
        <f>IF($B180="","",IF(Z$4&gt;DAY(EOMONTH(DATE($D$2,$B$2,1),0)),"",SUMIFS(DATA_GOC!$H:$H,DATA_GOC!$A:$A,"BOM",DATA_GOC!$D:$D,$B180,DATA_GOC!$F:$F,"Xuất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0" s="61" t="str">
        <f>IF($B180="","",IF(AA$4&gt;DAY(EOMONTH(DATE($D$2,$B$2,1),0)),"",SUMIFS(DATA_GOC!$H:$H,DATA_GOC!$A:$A,"BOM",DATA_GOC!$D:$D,$B180,DATA_GOC!$F:$F,"Xuất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0" s="61" t="str">
        <f>IF($B180="","",IF(AB$4&gt;DAY(EOMONTH(DATE($D$2,$B$2,1),0)),"",SUMIFS(DATA_GOC!$H:$H,DATA_GOC!$A:$A,"BOM",DATA_GOC!$D:$D,$B180,DATA_GOC!$F:$F,"Xuất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0" s="61" t="str">
        <f>IF($B180="","",IF(AC$4&gt;DAY(EOMONTH(DATE($D$2,$B$2,1),0)),"",SUMIFS(DATA_GOC!$H:$H,DATA_GOC!$A:$A,"BOM",DATA_GOC!$D:$D,$B180,DATA_GOC!$F:$F,"Xuất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0" s="222" t="str">
        <f>IF($B180="","",IF(AD$4&gt;DAY(EOMONTH(DATE($D$2,$B$2,1),0)),"",SUMIFS(DATA_GOC!$H:$H,DATA_GOC!$A:$A,"BOM",DATA_GOC!$D:$D,$B180,DATA_GOC!$F:$F,"Xuất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0" s="222" t="str">
        <f>IF($B180="","",IF(AE$4&gt;DAY(EOMONTH(DATE($D$2,$B$2,1),0)),"",SUMIFS(DATA_GOC!$H:$H,DATA_GOC!$A:$A,"BOM",DATA_GOC!$D:$D,$B180,DATA_GOC!$F:$F,"Xuất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0" s="222" t="str">
        <f>IF($B180="","",IF(AF$4&gt;DAY(EOMONTH(DATE($D$2,$B$2,1),0)),"",SUMIFS(DATA_GOC!$H:$H,DATA_GOC!$A:$A,"BOM",DATA_GOC!$D:$D,$B180,DATA_GOC!$F:$F,"Xuất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0" s="222" t="str">
        <f>IF($B180="","",IF(AG$4&gt;DAY(EOMONTH(DATE($D$2,$B$2,1),0)),"",SUMIFS(DATA_GOC!$H:$H,DATA_GOC!$A:$A,"BOM",DATA_GOC!$D:$D,$B180,DATA_GOC!$F:$F,"Xuất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0" s="222" t="str">
        <f t="shared" si="2"/>
        <v/>
      </c>
      <c r="AI180" s="222" t="str">
        <f>IF($B180="","",SUMIFS(DATA_GOC!$H:$H,DATA_GOC!$A:$A,"BOM",DATA_GOC!$D:$D,$B180,DATA_GOC!$F:$F,"Bơm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0" s="222" t="str">
        <f t="shared" si="3"/>
        <v/>
      </c>
      <c r="AM180" s="222" t="str">
        <f>IF($B180="","",SUMIFS(DATA_GOC!$K:$K,DATA_GOC!$A:$A,"BOM",DATA_GOC!$D:$D,$B180,DATA_GOC!$G:$G,"DO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0" s="222" t="str">
        <f t="shared" si="4"/>
        <v/>
      </c>
      <c r="AO180" s="227" t="str">
        <f t="shared" si="5"/>
        <v/>
      </c>
      <c r="AP180" s="226" t="str">
        <f>IF($B180="","",IFERROR(AO180-(SUMIFS(DATA_GOC!$H:$H,DATA_GOC!$A:$A,"BOM",DATA_GOC!$D:$D,$B180,DATA_GOC!$F:$F,"Xuất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1" ht="15.0" customHeight="1">
      <c r="A181" s="61" t="str">
        <f t="shared" si="1"/>
        <v/>
      </c>
      <c r="B181" s="228" t="str">
        <f t="array" ref="B181">IFERROR(INDEX(DANH_MUC!$E:$E,ROW()-1),"")</f>
        <v/>
      </c>
      <c r="C181" s="228" t="str">
        <f>IF($B181="","",IF(C$4&gt;DAY(EOMONTH(DATE($D$2,$B$2,1),0)),"",SUMIFS(DATA_GOC!$H:$H,DATA_GOC!$A:$A,"BOM",DATA_GOC!$D:$D,$B181,DATA_GOC!$F:$F,"Xuất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1" s="61" t="str">
        <f>IF($B181="","",IF(D$4&gt;DAY(EOMONTH(DATE($D$2,$B$2,1),0)),"",SUMIFS(DATA_GOC!$H:$H,DATA_GOC!$A:$A,"BOM",DATA_GOC!$D:$D,$B181,DATA_GOC!$F:$F,"Xuất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1" s="229" t="str">
        <f>IF($B181="","",IF(E$4&gt;DAY(EOMONTH(DATE($D$2,$B$2,1),0)),"",SUMIFS(DATA_GOC!$H:$H,DATA_GOC!$A:$A,"BOM",DATA_GOC!$D:$D,$B181,DATA_GOC!$F:$F,"Xuất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1" s="229" t="str">
        <f>IF($B181="","",IF(F$4&gt;DAY(EOMONTH(DATE($D$2,$B$2,1),0)),"",SUMIFS(DATA_GOC!$H:$H,DATA_GOC!$A:$A,"BOM",DATA_GOC!$D:$D,$B181,DATA_GOC!$F:$F,"Xuất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1" s="229" t="str">
        <f>IF($B181="","",IF(G$4&gt;DAY(EOMONTH(DATE($D$2,$B$2,1),0)),"",SUMIFS(DATA_GOC!$H:$H,DATA_GOC!$A:$A,"BOM",DATA_GOC!$D:$D,$B181,DATA_GOC!$F:$F,"Xuất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1" s="228" t="str">
        <f>IF($B181="","",IF(H$4&gt;DAY(EOMONTH(DATE($D$2,$B$2,1),0)),"",SUMIFS(DATA_GOC!$H:$H,DATA_GOC!$A:$A,"BOM",DATA_GOC!$D:$D,$B181,DATA_GOC!$F:$F,"Xuất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1" s="229" t="str">
        <f>IF($B181="","",IF(I$4&gt;DAY(EOMONTH(DATE($D$2,$B$2,1),0)),"",SUMIFS(DATA_GOC!$H:$H,DATA_GOC!$A:$A,"BOM",DATA_GOC!$D:$D,$B181,DATA_GOC!$F:$F,"Xuất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1" s="229" t="str">
        <f>IF($B181="","",IF(J$4&gt;DAY(EOMONTH(DATE($D$2,$B$2,1),0)),"",SUMIFS(DATA_GOC!$H:$H,DATA_GOC!$A:$A,"BOM",DATA_GOC!$D:$D,$B181,DATA_GOC!$F:$F,"Xuất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1" s="229" t="str">
        <f>IF($B181="","",IF(K$4&gt;DAY(EOMONTH(DATE($D$2,$B$2,1),0)),"",SUMIFS(DATA_GOC!$H:$H,DATA_GOC!$A:$A,"BOM",DATA_GOC!$D:$D,$B181,DATA_GOC!$F:$F,"Xuất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1" s="229" t="str">
        <f>IF($B181="","",IF(L$4&gt;DAY(EOMONTH(DATE($D$2,$B$2,1),0)),"",SUMIFS(DATA_GOC!$H:$H,DATA_GOC!$A:$A,"BOM",DATA_GOC!$D:$D,$B181,DATA_GOC!$F:$F,"Xuất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1" s="229" t="str">
        <f>IF($B181="","",IF(M$4&gt;DAY(EOMONTH(DATE($D$2,$B$2,1),0)),"",SUMIFS(DATA_GOC!$H:$H,DATA_GOC!$A:$A,"BOM",DATA_GOC!$D:$D,$B181,DATA_GOC!$F:$F,"Xuất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1" s="61" t="str">
        <f>IF($B181="","",IF(N$4&gt;DAY(EOMONTH(DATE($D$2,$B$2,1),0)),"",SUMIFS(DATA_GOC!$H:$H,DATA_GOC!$A:$A,"BOM",DATA_GOC!$D:$D,$B181,DATA_GOC!$F:$F,"Xuất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1" s="61" t="str">
        <f>IF($B181="","",IF(O$4&gt;DAY(EOMONTH(DATE($D$2,$B$2,1),0)),"",SUMIFS(DATA_GOC!$H:$H,DATA_GOC!$A:$A,"BOM",DATA_GOC!$D:$D,$B181,DATA_GOC!$F:$F,"Xuất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1" s="61" t="str">
        <f>IF($B181="","",IF(P$4&gt;DAY(EOMONTH(DATE($D$2,$B$2,1),0)),"",SUMIFS(DATA_GOC!$H:$H,DATA_GOC!$A:$A,"BOM",DATA_GOC!$D:$D,$B181,DATA_GOC!$F:$F,"Xuất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1" s="61" t="str">
        <f>IF($B181="","",IF(Q$4&gt;DAY(EOMONTH(DATE($D$2,$B$2,1),0)),"",SUMIFS(DATA_GOC!$H:$H,DATA_GOC!$A:$A,"BOM",DATA_GOC!$D:$D,$B181,DATA_GOC!$F:$F,"Xuất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1" s="61" t="str">
        <f>IF($B181="","",IF(R$4&gt;DAY(EOMONTH(DATE($D$2,$B$2,1),0)),"",SUMIFS(DATA_GOC!$H:$H,DATA_GOC!$A:$A,"BOM",DATA_GOC!$D:$D,$B181,DATA_GOC!$F:$F,"Xuất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1" s="61" t="str">
        <f>IF($B181="","",IF(S$4&gt;DAY(EOMONTH(DATE($D$2,$B$2,1),0)),"",SUMIFS(DATA_GOC!$H:$H,DATA_GOC!$A:$A,"BOM",DATA_GOC!$D:$D,$B181,DATA_GOC!$F:$F,"Xuất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1" s="61" t="str">
        <f>IF($B181="","",IF(T$4&gt;DAY(EOMONTH(DATE($D$2,$B$2,1),0)),"",SUMIFS(DATA_GOC!$H:$H,DATA_GOC!$A:$A,"BOM",DATA_GOC!$D:$D,$B181,DATA_GOC!$F:$F,"Xuất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1" s="61" t="str">
        <f>IF($B181="","",IF(U$4&gt;DAY(EOMONTH(DATE($D$2,$B$2,1),0)),"",SUMIFS(DATA_GOC!$H:$H,DATA_GOC!$A:$A,"BOM",DATA_GOC!$D:$D,$B181,DATA_GOC!$F:$F,"Xuất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1" s="61" t="str">
        <f>IF($B181="","",IF(V$4&gt;DAY(EOMONTH(DATE($D$2,$B$2,1),0)),"",SUMIFS(DATA_GOC!$H:$H,DATA_GOC!$A:$A,"BOM",DATA_GOC!$D:$D,$B181,DATA_GOC!$F:$F,"Xuất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1" s="61" t="str">
        <f>IF($B181="","",IF(W$4&gt;DAY(EOMONTH(DATE($D$2,$B$2,1),0)),"",SUMIFS(DATA_GOC!$H:$H,DATA_GOC!$A:$A,"BOM",DATA_GOC!$D:$D,$B181,DATA_GOC!$F:$F,"Xuất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1" s="61" t="str">
        <f>IF($B181="","",IF(X$4&gt;DAY(EOMONTH(DATE($D$2,$B$2,1),0)),"",SUMIFS(DATA_GOC!$H:$H,DATA_GOC!$A:$A,"BOM",DATA_GOC!$D:$D,$B181,DATA_GOC!$F:$F,"Xuất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1" s="61" t="str">
        <f>IF($B181="","",IF(Y$4&gt;DAY(EOMONTH(DATE($D$2,$B$2,1),0)),"",SUMIFS(DATA_GOC!$H:$H,DATA_GOC!$A:$A,"BOM",DATA_GOC!$D:$D,$B181,DATA_GOC!$F:$F,"Xuất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1" s="61" t="str">
        <f>IF($B181="","",IF(Z$4&gt;DAY(EOMONTH(DATE($D$2,$B$2,1),0)),"",SUMIFS(DATA_GOC!$H:$H,DATA_GOC!$A:$A,"BOM",DATA_GOC!$D:$D,$B181,DATA_GOC!$F:$F,"Xuất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1" s="61" t="str">
        <f>IF($B181="","",IF(AA$4&gt;DAY(EOMONTH(DATE($D$2,$B$2,1),0)),"",SUMIFS(DATA_GOC!$H:$H,DATA_GOC!$A:$A,"BOM",DATA_GOC!$D:$D,$B181,DATA_GOC!$F:$F,"Xuất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1" s="61" t="str">
        <f>IF($B181="","",IF(AB$4&gt;DAY(EOMONTH(DATE($D$2,$B$2,1),0)),"",SUMIFS(DATA_GOC!$H:$H,DATA_GOC!$A:$A,"BOM",DATA_GOC!$D:$D,$B181,DATA_GOC!$F:$F,"Xuất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1" s="61" t="str">
        <f>IF($B181="","",IF(AC$4&gt;DAY(EOMONTH(DATE($D$2,$B$2,1),0)),"",SUMIFS(DATA_GOC!$H:$H,DATA_GOC!$A:$A,"BOM",DATA_GOC!$D:$D,$B181,DATA_GOC!$F:$F,"Xuất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1" s="222" t="str">
        <f>IF($B181="","",IF(AD$4&gt;DAY(EOMONTH(DATE($D$2,$B$2,1),0)),"",SUMIFS(DATA_GOC!$H:$H,DATA_GOC!$A:$A,"BOM",DATA_GOC!$D:$D,$B181,DATA_GOC!$F:$F,"Xuất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1" s="222" t="str">
        <f>IF($B181="","",IF(AE$4&gt;DAY(EOMONTH(DATE($D$2,$B$2,1),0)),"",SUMIFS(DATA_GOC!$H:$H,DATA_GOC!$A:$A,"BOM",DATA_GOC!$D:$D,$B181,DATA_GOC!$F:$F,"Xuất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1" s="222" t="str">
        <f>IF($B181="","",IF(AF$4&gt;DAY(EOMONTH(DATE($D$2,$B$2,1),0)),"",SUMIFS(DATA_GOC!$H:$H,DATA_GOC!$A:$A,"BOM",DATA_GOC!$D:$D,$B181,DATA_GOC!$F:$F,"Xuất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1" s="222" t="str">
        <f>IF($B181="","",IF(AG$4&gt;DAY(EOMONTH(DATE($D$2,$B$2,1),0)),"",SUMIFS(DATA_GOC!$H:$H,DATA_GOC!$A:$A,"BOM",DATA_GOC!$D:$D,$B181,DATA_GOC!$F:$F,"Xuất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1" s="222" t="str">
        <f t="shared" si="2"/>
        <v/>
      </c>
      <c r="AI181" s="222" t="str">
        <f>IF($B181="","",SUMIFS(DATA_GOC!$H:$H,DATA_GOC!$A:$A,"BOM",DATA_GOC!$D:$D,$B181,DATA_GOC!$F:$F,"Bơm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1" s="222" t="str">
        <f t="shared" si="3"/>
        <v/>
      </c>
      <c r="AM181" s="222" t="str">
        <f>IF($B181="","",SUMIFS(DATA_GOC!$K:$K,DATA_GOC!$A:$A,"BOM",DATA_GOC!$D:$D,$B181,DATA_GOC!$G:$G,"DO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1" s="222" t="str">
        <f t="shared" si="4"/>
        <v/>
      </c>
      <c r="AO181" s="227" t="str">
        <f t="shared" si="5"/>
        <v/>
      </c>
      <c r="AP181" s="226" t="str">
        <f>IF($B181="","",IFERROR(AO181-(SUMIFS(DATA_GOC!$H:$H,DATA_GOC!$A:$A,"BOM",DATA_GOC!$D:$D,$B181,DATA_GOC!$F:$F,"Xuất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2" ht="15.0" customHeight="1">
      <c r="A182" s="61" t="str">
        <f t="shared" si="1"/>
        <v/>
      </c>
      <c r="B182" s="228" t="str">
        <f t="array" ref="B182">IFERROR(INDEX(DANH_MUC!$E:$E,ROW()-1),"")</f>
        <v/>
      </c>
      <c r="C182" s="228" t="str">
        <f>IF($B182="","",IF(C$4&gt;DAY(EOMONTH(DATE($D$2,$B$2,1),0)),"",SUMIFS(DATA_GOC!$H:$H,DATA_GOC!$A:$A,"BOM",DATA_GOC!$D:$D,$B182,DATA_GOC!$F:$F,"Xuất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2" s="61" t="str">
        <f>IF($B182="","",IF(D$4&gt;DAY(EOMONTH(DATE($D$2,$B$2,1),0)),"",SUMIFS(DATA_GOC!$H:$H,DATA_GOC!$A:$A,"BOM",DATA_GOC!$D:$D,$B182,DATA_GOC!$F:$F,"Xuất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2" s="229" t="str">
        <f>IF($B182="","",IF(E$4&gt;DAY(EOMONTH(DATE($D$2,$B$2,1),0)),"",SUMIFS(DATA_GOC!$H:$H,DATA_GOC!$A:$A,"BOM",DATA_GOC!$D:$D,$B182,DATA_GOC!$F:$F,"Xuất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2" s="229" t="str">
        <f>IF($B182="","",IF(F$4&gt;DAY(EOMONTH(DATE($D$2,$B$2,1),0)),"",SUMIFS(DATA_GOC!$H:$H,DATA_GOC!$A:$A,"BOM",DATA_GOC!$D:$D,$B182,DATA_GOC!$F:$F,"Xuất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2" s="229" t="str">
        <f>IF($B182="","",IF(G$4&gt;DAY(EOMONTH(DATE($D$2,$B$2,1),0)),"",SUMIFS(DATA_GOC!$H:$H,DATA_GOC!$A:$A,"BOM",DATA_GOC!$D:$D,$B182,DATA_GOC!$F:$F,"Xuất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2" s="228" t="str">
        <f>IF($B182="","",IF(H$4&gt;DAY(EOMONTH(DATE($D$2,$B$2,1),0)),"",SUMIFS(DATA_GOC!$H:$H,DATA_GOC!$A:$A,"BOM",DATA_GOC!$D:$D,$B182,DATA_GOC!$F:$F,"Xuất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2" s="229" t="str">
        <f>IF($B182="","",IF(I$4&gt;DAY(EOMONTH(DATE($D$2,$B$2,1),0)),"",SUMIFS(DATA_GOC!$H:$H,DATA_GOC!$A:$A,"BOM",DATA_GOC!$D:$D,$B182,DATA_GOC!$F:$F,"Xuất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2" s="229" t="str">
        <f>IF($B182="","",IF(J$4&gt;DAY(EOMONTH(DATE($D$2,$B$2,1),0)),"",SUMIFS(DATA_GOC!$H:$H,DATA_GOC!$A:$A,"BOM",DATA_GOC!$D:$D,$B182,DATA_GOC!$F:$F,"Xuất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2" s="229" t="str">
        <f>IF($B182="","",IF(K$4&gt;DAY(EOMONTH(DATE($D$2,$B$2,1),0)),"",SUMIFS(DATA_GOC!$H:$H,DATA_GOC!$A:$A,"BOM",DATA_GOC!$D:$D,$B182,DATA_GOC!$F:$F,"Xuất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2" s="229" t="str">
        <f>IF($B182="","",IF(L$4&gt;DAY(EOMONTH(DATE($D$2,$B$2,1),0)),"",SUMIFS(DATA_GOC!$H:$H,DATA_GOC!$A:$A,"BOM",DATA_GOC!$D:$D,$B182,DATA_GOC!$F:$F,"Xuất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2" s="229" t="str">
        <f>IF($B182="","",IF(M$4&gt;DAY(EOMONTH(DATE($D$2,$B$2,1),0)),"",SUMIFS(DATA_GOC!$H:$H,DATA_GOC!$A:$A,"BOM",DATA_GOC!$D:$D,$B182,DATA_GOC!$F:$F,"Xuất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2" s="61" t="str">
        <f>IF($B182="","",IF(N$4&gt;DAY(EOMONTH(DATE($D$2,$B$2,1),0)),"",SUMIFS(DATA_GOC!$H:$H,DATA_GOC!$A:$A,"BOM",DATA_GOC!$D:$D,$B182,DATA_GOC!$F:$F,"Xuất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2" s="61" t="str">
        <f>IF($B182="","",IF(O$4&gt;DAY(EOMONTH(DATE($D$2,$B$2,1),0)),"",SUMIFS(DATA_GOC!$H:$H,DATA_GOC!$A:$A,"BOM",DATA_GOC!$D:$D,$B182,DATA_GOC!$F:$F,"Xuất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2" s="61" t="str">
        <f>IF($B182="","",IF(P$4&gt;DAY(EOMONTH(DATE($D$2,$B$2,1),0)),"",SUMIFS(DATA_GOC!$H:$H,DATA_GOC!$A:$A,"BOM",DATA_GOC!$D:$D,$B182,DATA_GOC!$F:$F,"Xuất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2" s="61" t="str">
        <f>IF($B182="","",IF(Q$4&gt;DAY(EOMONTH(DATE($D$2,$B$2,1),0)),"",SUMIFS(DATA_GOC!$H:$H,DATA_GOC!$A:$A,"BOM",DATA_GOC!$D:$D,$B182,DATA_GOC!$F:$F,"Xuất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2" s="61" t="str">
        <f>IF($B182="","",IF(R$4&gt;DAY(EOMONTH(DATE($D$2,$B$2,1),0)),"",SUMIFS(DATA_GOC!$H:$H,DATA_GOC!$A:$A,"BOM",DATA_GOC!$D:$D,$B182,DATA_GOC!$F:$F,"Xuất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2" s="61" t="str">
        <f>IF($B182="","",IF(S$4&gt;DAY(EOMONTH(DATE($D$2,$B$2,1),0)),"",SUMIFS(DATA_GOC!$H:$H,DATA_GOC!$A:$A,"BOM",DATA_GOC!$D:$D,$B182,DATA_GOC!$F:$F,"Xuất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2" s="61" t="str">
        <f>IF($B182="","",IF(T$4&gt;DAY(EOMONTH(DATE($D$2,$B$2,1),0)),"",SUMIFS(DATA_GOC!$H:$H,DATA_GOC!$A:$A,"BOM",DATA_GOC!$D:$D,$B182,DATA_GOC!$F:$F,"Xuất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2" s="61" t="str">
        <f>IF($B182="","",IF(U$4&gt;DAY(EOMONTH(DATE($D$2,$B$2,1),0)),"",SUMIFS(DATA_GOC!$H:$H,DATA_GOC!$A:$A,"BOM",DATA_GOC!$D:$D,$B182,DATA_GOC!$F:$F,"Xuất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2" s="61" t="str">
        <f>IF($B182="","",IF(V$4&gt;DAY(EOMONTH(DATE($D$2,$B$2,1),0)),"",SUMIFS(DATA_GOC!$H:$H,DATA_GOC!$A:$A,"BOM",DATA_GOC!$D:$D,$B182,DATA_GOC!$F:$F,"Xuất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2" s="61" t="str">
        <f>IF($B182="","",IF(W$4&gt;DAY(EOMONTH(DATE($D$2,$B$2,1),0)),"",SUMIFS(DATA_GOC!$H:$H,DATA_GOC!$A:$A,"BOM",DATA_GOC!$D:$D,$B182,DATA_GOC!$F:$F,"Xuất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2" s="61" t="str">
        <f>IF($B182="","",IF(X$4&gt;DAY(EOMONTH(DATE($D$2,$B$2,1),0)),"",SUMIFS(DATA_GOC!$H:$H,DATA_GOC!$A:$A,"BOM",DATA_GOC!$D:$D,$B182,DATA_GOC!$F:$F,"Xuất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2" s="61" t="str">
        <f>IF($B182="","",IF(Y$4&gt;DAY(EOMONTH(DATE($D$2,$B$2,1),0)),"",SUMIFS(DATA_GOC!$H:$H,DATA_GOC!$A:$A,"BOM",DATA_GOC!$D:$D,$B182,DATA_GOC!$F:$F,"Xuất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2" s="61" t="str">
        <f>IF($B182="","",IF(Z$4&gt;DAY(EOMONTH(DATE($D$2,$B$2,1),0)),"",SUMIFS(DATA_GOC!$H:$H,DATA_GOC!$A:$A,"BOM",DATA_GOC!$D:$D,$B182,DATA_GOC!$F:$F,"Xuất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2" s="61" t="str">
        <f>IF($B182="","",IF(AA$4&gt;DAY(EOMONTH(DATE($D$2,$B$2,1),0)),"",SUMIFS(DATA_GOC!$H:$H,DATA_GOC!$A:$A,"BOM",DATA_GOC!$D:$D,$B182,DATA_GOC!$F:$F,"Xuất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2" s="61" t="str">
        <f>IF($B182="","",IF(AB$4&gt;DAY(EOMONTH(DATE($D$2,$B$2,1),0)),"",SUMIFS(DATA_GOC!$H:$H,DATA_GOC!$A:$A,"BOM",DATA_GOC!$D:$D,$B182,DATA_GOC!$F:$F,"Xuất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2" s="61" t="str">
        <f>IF($B182="","",IF(AC$4&gt;DAY(EOMONTH(DATE($D$2,$B$2,1),0)),"",SUMIFS(DATA_GOC!$H:$H,DATA_GOC!$A:$A,"BOM",DATA_GOC!$D:$D,$B182,DATA_GOC!$F:$F,"Xuất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2" s="222" t="str">
        <f>IF($B182="","",IF(AD$4&gt;DAY(EOMONTH(DATE($D$2,$B$2,1),0)),"",SUMIFS(DATA_GOC!$H:$H,DATA_GOC!$A:$A,"BOM",DATA_GOC!$D:$D,$B182,DATA_GOC!$F:$F,"Xuất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2" s="222" t="str">
        <f>IF($B182="","",IF(AE$4&gt;DAY(EOMONTH(DATE($D$2,$B$2,1),0)),"",SUMIFS(DATA_GOC!$H:$H,DATA_GOC!$A:$A,"BOM",DATA_GOC!$D:$D,$B182,DATA_GOC!$F:$F,"Xuất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2" s="222" t="str">
        <f>IF($B182="","",IF(AF$4&gt;DAY(EOMONTH(DATE($D$2,$B$2,1),0)),"",SUMIFS(DATA_GOC!$H:$H,DATA_GOC!$A:$A,"BOM",DATA_GOC!$D:$D,$B182,DATA_GOC!$F:$F,"Xuất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2" s="222" t="str">
        <f>IF($B182="","",IF(AG$4&gt;DAY(EOMONTH(DATE($D$2,$B$2,1),0)),"",SUMIFS(DATA_GOC!$H:$H,DATA_GOC!$A:$A,"BOM",DATA_GOC!$D:$D,$B182,DATA_GOC!$F:$F,"Xuất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2" s="222" t="str">
        <f t="shared" si="2"/>
        <v/>
      </c>
      <c r="AI182" s="222" t="str">
        <f>IF($B182="","",SUMIFS(DATA_GOC!$H:$H,DATA_GOC!$A:$A,"BOM",DATA_GOC!$D:$D,$B182,DATA_GOC!$F:$F,"Bơm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2" s="222" t="str">
        <f t="shared" si="3"/>
        <v/>
      </c>
      <c r="AM182" s="222" t="str">
        <f>IF($B182="","",SUMIFS(DATA_GOC!$K:$K,DATA_GOC!$A:$A,"BOM",DATA_GOC!$D:$D,$B182,DATA_GOC!$G:$G,"DO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2" s="222" t="str">
        <f t="shared" si="4"/>
        <v/>
      </c>
      <c r="AO182" s="227" t="str">
        <f t="shared" si="5"/>
        <v/>
      </c>
      <c r="AP182" s="226" t="str">
        <f>IF($B182="","",IFERROR(AO182-(SUMIFS(DATA_GOC!$H:$H,DATA_GOC!$A:$A,"BOM",DATA_GOC!$D:$D,$B182,DATA_GOC!$F:$F,"Xuất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3" ht="15.0" customHeight="1">
      <c r="A183" s="61" t="str">
        <f t="shared" si="1"/>
        <v/>
      </c>
      <c r="B183" s="228" t="str">
        <f t="array" ref="B183">IFERROR(INDEX(DANH_MUC!$E:$E,ROW()-1),"")</f>
        <v/>
      </c>
      <c r="C183" s="228" t="str">
        <f>IF($B183="","",IF(C$4&gt;DAY(EOMONTH(DATE($D$2,$B$2,1),0)),"",SUMIFS(DATA_GOC!$H:$H,DATA_GOC!$A:$A,"BOM",DATA_GOC!$D:$D,$B183,DATA_GOC!$F:$F,"Xuất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3" s="61" t="str">
        <f>IF($B183="","",IF(D$4&gt;DAY(EOMONTH(DATE($D$2,$B$2,1),0)),"",SUMIFS(DATA_GOC!$H:$H,DATA_GOC!$A:$A,"BOM",DATA_GOC!$D:$D,$B183,DATA_GOC!$F:$F,"Xuất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3" s="229" t="str">
        <f>IF($B183="","",IF(E$4&gt;DAY(EOMONTH(DATE($D$2,$B$2,1),0)),"",SUMIFS(DATA_GOC!$H:$H,DATA_GOC!$A:$A,"BOM",DATA_GOC!$D:$D,$B183,DATA_GOC!$F:$F,"Xuất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3" s="229" t="str">
        <f>IF($B183="","",IF(F$4&gt;DAY(EOMONTH(DATE($D$2,$B$2,1),0)),"",SUMIFS(DATA_GOC!$H:$H,DATA_GOC!$A:$A,"BOM",DATA_GOC!$D:$D,$B183,DATA_GOC!$F:$F,"Xuất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3" s="229" t="str">
        <f>IF($B183="","",IF(G$4&gt;DAY(EOMONTH(DATE($D$2,$B$2,1),0)),"",SUMIFS(DATA_GOC!$H:$H,DATA_GOC!$A:$A,"BOM",DATA_GOC!$D:$D,$B183,DATA_GOC!$F:$F,"Xuất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3" s="228" t="str">
        <f>IF($B183="","",IF(H$4&gt;DAY(EOMONTH(DATE($D$2,$B$2,1),0)),"",SUMIFS(DATA_GOC!$H:$H,DATA_GOC!$A:$A,"BOM",DATA_GOC!$D:$D,$B183,DATA_GOC!$F:$F,"Xuất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3" s="229" t="str">
        <f>IF($B183="","",IF(I$4&gt;DAY(EOMONTH(DATE($D$2,$B$2,1),0)),"",SUMIFS(DATA_GOC!$H:$H,DATA_GOC!$A:$A,"BOM",DATA_GOC!$D:$D,$B183,DATA_GOC!$F:$F,"Xuất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3" s="229" t="str">
        <f>IF($B183="","",IF(J$4&gt;DAY(EOMONTH(DATE($D$2,$B$2,1),0)),"",SUMIFS(DATA_GOC!$H:$H,DATA_GOC!$A:$A,"BOM",DATA_GOC!$D:$D,$B183,DATA_GOC!$F:$F,"Xuất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3" s="229" t="str">
        <f>IF($B183="","",IF(K$4&gt;DAY(EOMONTH(DATE($D$2,$B$2,1),0)),"",SUMIFS(DATA_GOC!$H:$H,DATA_GOC!$A:$A,"BOM",DATA_GOC!$D:$D,$B183,DATA_GOC!$F:$F,"Xuất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3" s="229" t="str">
        <f>IF($B183="","",IF(L$4&gt;DAY(EOMONTH(DATE($D$2,$B$2,1),0)),"",SUMIFS(DATA_GOC!$H:$H,DATA_GOC!$A:$A,"BOM",DATA_GOC!$D:$D,$B183,DATA_GOC!$F:$F,"Xuất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3" s="229" t="str">
        <f>IF($B183="","",IF(M$4&gt;DAY(EOMONTH(DATE($D$2,$B$2,1),0)),"",SUMIFS(DATA_GOC!$H:$H,DATA_GOC!$A:$A,"BOM",DATA_GOC!$D:$D,$B183,DATA_GOC!$F:$F,"Xuất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3" s="61" t="str">
        <f>IF($B183="","",IF(N$4&gt;DAY(EOMONTH(DATE($D$2,$B$2,1),0)),"",SUMIFS(DATA_GOC!$H:$H,DATA_GOC!$A:$A,"BOM",DATA_GOC!$D:$D,$B183,DATA_GOC!$F:$F,"Xuất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3" s="61" t="str">
        <f>IF($B183="","",IF(O$4&gt;DAY(EOMONTH(DATE($D$2,$B$2,1),0)),"",SUMIFS(DATA_GOC!$H:$H,DATA_GOC!$A:$A,"BOM",DATA_GOC!$D:$D,$B183,DATA_GOC!$F:$F,"Xuất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3" s="61" t="str">
        <f>IF($B183="","",IF(P$4&gt;DAY(EOMONTH(DATE($D$2,$B$2,1),0)),"",SUMIFS(DATA_GOC!$H:$H,DATA_GOC!$A:$A,"BOM",DATA_GOC!$D:$D,$B183,DATA_GOC!$F:$F,"Xuất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3" s="61" t="str">
        <f>IF($B183="","",IF(Q$4&gt;DAY(EOMONTH(DATE($D$2,$B$2,1),0)),"",SUMIFS(DATA_GOC!$H:$H,DATA_GOC!$A:$A,"BOM",DATA_GOC!$D:$D,$B183,DATA_GOC!$F:$F,"Xuất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3" s="61" t="str">
        <f>IF($B183="","",IF(R$4&gt;DAY(EOMONTH(DATE($D$2,$B$2,1),0)),"",SUMIFS(DATA_GOC!$H:$H,DATA_GOC!$A:$A,"BOM",DATA_GOC!$D:$D,$B183,DATA_GOC!$F:$F,"Xuất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3" s="61" t="str">
        <f>IF($B183="","",IF(S$4&gt;DAY(EOMONTH(DATE($D$2,$B$2,1),0)),"",SUMIFS(DATA_GOC!$H:$H,DATA_GOC!$A:$A,"BOM",DATA_GOC!$D:$D,$B183,DATA_GOC!$F:$F,"Xuất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3" s="61" t="str">
        <f>IF($B183="","",IF(T$4&gt;DAY(EOMONTH(DATE($D$2,$B$2,1),0)),"",SUMIFS(DATA_GOC!$H:$H,DATA_GOC!$A:$A,"BOM",DATA_GOC!$D:$D,$B183,DATA_GOC!$F:$F,"Xuất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3" s="61" t="str">
        <f>IF($B183="","",IF(U$4&gt;DAY(EOMONTH(DATE($D$2,$B$2,1),0)),"",SUMIFS(DATA_GOC!$H:$H,DATA_GOC!$A:$A,"BOM",DATA_GOC!$D:$D,$B183,DATA_GOC!$F:$F,"Xuất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3" s="61" t="str">
        <f>IF($B183="","",IF(V$4&gt;DAY(EOMONTH(DATE($D$2,$B$2,1),0)),"",SUMIFS(DATA_GOC!$H:$H,DATA_GOC!$A:$A,"BOM",DATA_GOC!$D:$D,$B183,DATA_GOC!$F:$F,"Xuất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3" s="61" t="str">
        <f>IF($B183="","",IF(W$4&gt;DAY(EOMONTH(DATE($D$2,$B$2,1),0)),"",SUMIFS(DATA_GOC!$H:$H,DATA_GOC!$A:$A,"BOM",DATA_GOC!$D:$D,$B183,DATA_GOC!$F:$F,"Xuất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3" s="61" t="str">
        <f>IF($B183="","",IF(X$4&gt;DAY(EOMONTH(DATE($D$2,$B$2,1),0)),"",SUMIFS(DATA_GOC!$H:$H,DATA_GOC!$A:$A,"BOM",DATA_GOC!$D:$D,$B183,DATA_GOC!$F:$F,"Xuất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3" s="61" t="str">
        <f>IF($B183="","",IF(Y$4&gt;DAY(EOMONTH(DATE($D$2,$B$2,1),0)),"",SUMIFS(DATA_GOC!$H:$H,DATA_GOC!$A:$A,"BOM",DATA_GOC!$D:$D,$B183,DATA_GOC!$F:$F,"Xuất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3" s="61" t="str">
        <f>IF($B183="","",IF(Z$4&gt;DAY(EOMONTH(DATE($D$2,$B$2,1),0)),"",SUMIFS(DATA_GOC!$H:$H,DATA_GOC!$A:$A,"BOM",DATA_GOC!$D:$D,$B183,DATA_GOC!$F:$F,"Xuất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3" s="61" t="str">
        <f>IF($B183="","",IF(AA$4&gt;DAY(EOMONTH(DATE($D$2,$B$2,1),0)),"",SUMIFS(DATA_GOC!$H:$H,DATA_GOC!$A:$A,"BOM",DATA_GOC!$D:$D,$B183,DATA_GOC!$F:$F,"Xuất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3" s="61" t="str">
        <f>IF($B183="","",IF(AB$4&gt;DAY(EOMONTH(DATE($D$2,$B$2,1),0)),"",SUMIFS(DATA_GOC!$H:$H,DATA_GOC!$A:$A,"BOM",DATA_GOC!$D:$D,$B183,DATA_GOC!$F:$F,"Xuất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3" s="61" t="str">
        <f>IF($B183="","",IF(AC$4&gt;DAY(EOMONTH(DATE($D$2,$B$2,1),0)),"",SUMIFS(DATA_GOC!$H:$H,DATA_GOC!$A:$A,"BOM",DATA_GOC!$D:$D,$B183,DATA_GOC!$F:$F,"Xuất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3" s="222" t="str">
        <f>IF($B183="","",IF(AD$4&gt;DAY(EOMONTH(DATE($D$2,$B$2,1),0)),"",SUMIFS(DATA_GOC!$H:$H,DATA_GOC!$A:$A,"BOM",DATA_GOC!$D:$D,$B183,DATA_GOC!$F:$F,"Xuất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3" s="222" t="str">
        <f>IF($B183="","",IF(AE$4&gt;DAY(EOMONTH(DATE($D$2,$B$2,1),0)),"",SUMIFS(DATA_GOC!$H:$H,DATA_GOC!$A:$A,"BOM",DATA_GOC!$D:$D,$B183,DATA_GOC!$F:$F,"Xuất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3" s="222" t="str">
        <f>IF($B183="","",IF(AF$4&gt;DAY(EOMONTH(DATE($D$2,$B$2,1),0)),"",SUMIFS(DATA_GOC!$H:$H,DATA_GOC!$A:$A,"BOM",DATA_GOC!$D:$D,$B183,DATA_GOC!$F:$F,"Xuất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3" s="222" t="str">
        <f>IF($B183="","",IF(AG$4&gt;DAY(EOMONTH(DATE($D$2,$B$2,1),0)),"",SUMIFS(DATA_GOC!$H:$H,DATA_GOC!$A:$A,"BOM",DATA_GOC!$D:$D,$B183,DATA_GOC!$F:$F,"Xuất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3" s="222" t="str">
        <f t="shared" si="2"/>
        <v/>
      </c>
      <c r="AI183" s="222" t="str">
        <f>IF($B183="","",SUMIFS(DATA_GOC!$H:$H,DATA_GOC!$A:$A,"BOM",DATA_GOC!$D:$D,$B183,DATA_GOC!$F:$F,"Bơm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3" s="222" t="str">
        <f t="shared" si="3"/>
        <v/>
      </c>
      <c r="AM183" s="222" t="str">
        <f>IF($B183="","",SUMIFS(DATA_GOC!$K:$K,DATA_GOC!$A:$A,"BOM",DATA_GOC!$D:$D,$B183,DATA_GOC!$G:$G,"DO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3" s="222" t="str">
        <f t="shared" si="4"/>
        <v/>
      </c>
      <c r="AO183" s="227" t="str">
        <f t="shared" si="5"/>
        <v/>
      </c>
      <c r="AP183" s="226" t="str">
        <f>IF($B183="","",IFERROR(AO183-(SUMIFS(DATA_GOC!$H:$H,DATA_GOC!$A:$A,"BOM",DATA_GOC!$D:$D,$B183,DATA_GOC!$F:$F,"Xuất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4" ht="15.0" customHeight="1">
      <c r="A184" s="61" t="str">
        <f t="shared" si="1"/>
        <v/>
      </c>
      <c r="B184" s="228" t="str">
        <f t="array" ref="B184">IFERROR(INDEX(DANH_MUC!$E:$E,ROW()-1),"")</f>
        <v/>
      </c>
      <c r="C184" s="228" t="str">
        <f>IF($B184="","",IF(C$4&gt;DAY(EOMONTH(DATE($D$2,$B$2,1),0)),"",SUMIFS(DATA_GOC!$H:$H,DATA_GOC!$A:$A,"BOM",DATA_GOC!$D:$D,$B184,DATA_GOC!$F:$F,"Xuất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4" s="61" t="str">
        <f>IF($B184="","",IF(D$4&gt;DAY(EOMONTH(DATE($D$2,$B$2,1),0)),"",SUMIFS(DATA_GOC!$H:$H,DATA_GOC!$A:$A,"BOM",DATA_GOC!$D:$D,$B184,DATA_GOC!$F:$F,"Xuất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4" s="229" t="str">
        <f>IF($B184="","",IF(E$4&gt;DAY(EOMONTH(DATE($D$2,$B$2,1),0)),"",SUMIFS(DATA_GOC!$H:$H,DATA_GOC!$A:$A,"BOM",DATA_GOC!$D:$D,$B184,DATA_GOC!$F:$F,"Xuất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4" s="229" t="str">
        <f>IF($B184="","",IF(F$4&gt;DAY(EOMONTH(DATE($D$2,$B$2,1),0)),"",SUMIFS(DATA_GOC!$H:$H,DATA_GOC!$A:$A,"BOM",DATA_GOC!$D:$D,$B184,DATA_GOC!$F:$F,"Xuất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4" s="229" t="str">
        <f>IF($B184="","",IF(G$4&gt;DAY(EOMONTH(DATE($D$2,$B$2,1),0)),"",SUMIFS(DATA_GOC!$H:$H,DATA_GOC!$A:$A,"BOM",DATA_GOC!$D:$D,$B184,DATA_GOC!$F:$F,"Xuất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4" s="228" t="str">
        <f>IF($B184="","",IF(H$4&gt;DAY(EOMONTH(DATE($D$2,$B$2,1),0)),"",SUMIFS(DATA_GOC!$H:$H,DATA_GOC!$A:$A,"BOM",DATA_GOC!$D:$D,$B184,DATA_GOC!$F:$F,"Xuất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4" s="229" t="str">
        <f>IF($B184="","",IF(I$4&gt;DAY(EOMONTH(DATE($D$2,$B$2,1),0)),"",SUMIFS(DATA_GOC!$H:$H,DATA_GOC!$A:$A,"BOM",DATA_GOC!$D:$D,$B184,DATA_GOC!$F:$F,"Xuất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4" s="229" t="str">
        <f>IF($B184="","",IF(J$4&gt;DAY(EOMONTH(DATE($D$2,$B$2,1),0)),"",SUMIFS(DATA_GOC!$H:$H,DATA_GOC!$A:$A,"BOM",DATA_GOC!$D:$D,$B184,DATA_GOC!$F:$F,"Xuất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4" s="229" t="str">
        <f>IF($B184="","",IF(K$4&gt;DAY(EOMONTH(DATE($D$2,$B$2,1),0)),"",SUMIFS(DATA_GOC!$H:$H,DATA_GOC!$A:$A,"BOM",DATA_GOC!$D:$D,$B184,DATA_GOC!$F:$F,"Xuất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4" s="229" t="str">
        <f>IF($B184="","",IF(L$4&gt;DAY(EOMONTH(DATE($D$2,$B$2,1),0)),"",SUMIFS(DATA_GOC!$H:$H,DATA_GOC!$A:$A,"BOM",DATA_GOC!$D:$D,$B184,DATA_GOC!$F:$F,"Xuất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4" s="229" t="str">
        <f>IF($B184="","",IF(M$4&gt;DAY(EOMONTH(DATE($D$2,$B$2,1),0)),"",SUMIFS(DATA_GOC!$H:$H,DATA_GOC!$A:$A,"BOM",DATA_GOC!$D:$D,$B184,DATA_GOC!$F:$F,"Xuất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4" s="61" t="str">
        <f>IF($B184="","",IF(N$4&gt;DAY(EOMONTH(DATE($D$2,$B$2,1),0)),"",SUMIFS(DATA_GOC!$H:$H,DATA_GOC!$A:$A,"BOM",DATA_GOC!$D:$D,$B184,DATA_GOC!$F:$F,"Xuất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4" s="61" t="str">
        <f>IF($B184="","",IF(O$4&gt;DAY(EOMONTH(DATE($D$2,$B$2,1),0)),"",SUMIFS(DATA_GOC!$H:$H,DATA_GOC!$A:$A,"BOM",DATA_GOC!$D:$D,$B184,DATA_GOC!$F:$F,"Xuất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4" s="61" t="str">
        <f>IF($B184="","",IF(P$4&gt;DAY(EOMONTH(DATE($D$2,$B$2,1),0)),"",SUMIFS(DATA_GOC!$H:$H,DATA_GOC!$A:$A,"BOM",DATA_GOC!$D:$D,$B184,DATA_GOC!$F:$F,"Xuất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4" s="61" t="str">
        <f>IF($B184="","",IF(Q$4&gt;DAY(EOMONTH(DATE($D$2,$B$2,1),0)),"",SUMIFS(DATA_GOC!$H:$H,DATA_GOC!$A:$A,"BOM",DATA_GOC!$D:$D,$B184,DATA_GOC!$F:$F,"Xuất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4" s="61" t="str">
        <f>IF($B184="","",IF(R$4&gt;DAY(EOMONTH(DATE($D$2,$B$2,1),0)),"",SUMIFS(DATA_GOC!$H:$H,DATA_GOC!$A:$A,"BOM",DATA_GOC!$D:$D,$B184,DATA_GOC!$F:$F,"Xuất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4" s="61" t="str">
        <f>IF($B184="","",IF(S$4&gt;DAY(EOMONTH(DATE($D$2,$B$2,1),0)),"",SUMIFS(DATA_GOC!$H:$H,DATA_GOC!$A:$A,"BOM",DATA_GOC!$D:$D,$B184,DATA_GOC!$F:$F,"Xuất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4" s="61" t="str">
        <f>IF($B184="","",IF(T$4&gt;DAY(EOMONTH(DATE($D$2,$B$2,1),0)),"",SUMIFS(DATA_GOC!$H:$H,DATA_GOC!$A:$A,"BOM",DATA_GOC!$D:$D,$B184,DATA_GOC!$F:$F,"Xuất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4" s="61" t="str">
        <f>IF($B184="","",IF(U$4&gt;DAY(EOMONTH(DATE($D$2,$B$2,1),0)),"",SUMIFS(DATA_GOC!$H:$H,DATA_GOC!$A:$A,"BOM",DATA_GOC!$D:$D,$B184,DATA_GOC!$F:$F,"Xuất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4" s="61" t="str">
        <f>IF($B184="","",IF(V$4&gt;DAY(EOMONTH(DATE($D$2,$B$2,1),0)),"",SUMIFS(DATA_GOC!$H:$H,DATA_GOC!$A:$A,"BOM",DATA_GOC!$D:$D,$B184,DATA_GOC!$F:$F,"Xuất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4" s="61" t="str">
        <f>IF($B184="","",IF(W$4&gt;DAY(EOMONTH(DATE($D$2,$B$2,1),0)),"",SUMIFS(DATA_GOC!$H:$H,DATA_GOC!$A:$A,"BOM",DATA_GOC!$D:$D,$B184,DATA_GOC!$F:$F,"Xuất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4" s="61" t="str">
        <f>IF($B184="","",IF(X$4&gt;DAY(EOMONTH(DATE($D$2,$B$2,1),0)),"",SUMIFS(DATA_GOC!$H:$H,DATA_GOC!$A:$A,"BOM",DATA_GOC!$D:$D,$B184,DATA_GOC!$F:$F,"Xuất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4" s="61" t="str">
        <f>IF($B184="","",IF(Y$4&gt;DAY(EOMONTH(DATE($D$2,$B$2,1),0)),"",SUMIFS(DATA_GOC!$H:$H,DATA_GOC!$A:$A,"BOM",DATA_GOC!$D:$D,$B184,DATA_GOC!$F:$F,"Xuất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4" s="61" t="str">
        <f>IF($B184="","",IF(Z$4&gt;DAY(EOMONTH(DATE($D$2,$B$2,1),0)),"",SUMIFS(DATA_GOC!$H:$H,DATA_GOC!$A:$A,"BOM",DATA_GOC!$D:$D,$B184,DATA_GOC!$F:$F,"Xuất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4" s="61" t="str">
        <f>IF($B184="","",IF(AA$4&gt;DAY(EOMONTH(DATE($D$2,$B$2,1),0)),"",SUMIFS(DATA_GOC!$H:$H,DATA_GOC!$A:$A,"BOM",DATA_GOC!$D:$D,$B184,DATA_GOC!$F:$F,"Xuất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4" s="61" t="str">
        <f>IF($B184="","",IF(AB$4&gt;DAY(EOMONTH(DATE($D$2,$B$2,1),0)),"",SUMIFS(DATA_GOC!$H:$H,DATA_GOC!$A:$A,"BOM",DATA_GOC!$D:$D,$B184,DATA_GOC!$F:$F,"Xuất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4" s="61" t="str">
        <f>IF($B184="","",IF(AC$4&gt;DAY(EOMONTH(DATE($D$2,$B$2,1),0)),"",SUMIFS(DATA_GOC!$H:$H,DATA_GOC!$A:$A,"BOM",DATA_GOC!$D:$D,$B184,DATA_GOC!$F:$F,"Xuất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4" s="222" t="str">
        <f>IF($B184="","",IF(AD$4&gt;DAY(EOMONTH(DATE($D$2,$B$2,1),0)),"",SUMIFS(DATA_GOC!$H:$H,DATA_GOC!$A:$A,"BOM",DATA_GOC!$D:$D,$B184,DATA_GOC!$F:$F,"Xuất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4" s="222" t="str">
        <f>IF($B184="","",IF(AE$4&gt;DAY(EOMONTH(DATE($D$2,$B$2,1),0)),"",SUMIFS(DATA_GOC!$H:$H,DATA_GOC!$A:$A,"BOM",DATA_GOC!$D:$D,$B184,DATA_GOC!$F:$F,"Xuất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4" s="222" t="str">
        <f>IF($B184="","",IF(AF$4&gt;DAY(EOMONTH(DATE($D$2,$B$2,1),0)),"",SUMIFS(DATA_GOC!$H:$H,DATA_GOC!$A:$A,"BOM",DATA_GOC!$D:$D,$B184,DATA_GOC!$F:$F,"Xuất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4" s="222" t="str">
        <f>IF($B184="","",IF(AG$4&gt;DAY(EOMONTH(DATE($D$2,$B$2,1),0)),"",SUMIFS(DATA_GOC!$H:$H,DATA_GOC!$A:$A,"BOM",DATA_GOC!$D:$D,$B184,DATA_GOC!$F:$F,"Xuất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4" s="222" t="str">
        <f t="shared" si="2"/>
        <v/>
      </c>
      <c r="AI184" s="222" t="str">
        <f>IF($B184="","",SUMIFS(DATA_GOC!$H:$H,DATA_GOC!$A:$A,"BOM",DATA_GOC!$D:$D,$B184,DATA_GOC!$F:$F,"Bơm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4" s="222" t="str">
        <f t="shared" si="3"/>
        <v/>
      </c>
      <c r="AM184" s="222" t="str">
        <f>IF($B184="","",SUMIFS(DATA_GOC!$K:$K,DATA_GOC!$A:$A,"BOM",DATA_GOC!$D:$D,$B184,DATA_GOC!$G:$G,"DO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4" s="222" t="str">
        <f t="shared" si="4"/>
        <v/>
      </c>
      <c r="AO184" s="227" t="str">
        <f t="shared" si="5"/>
        <v/>
      </c>
      <c r="AP184" s="226" t="str">
        <f>IF($B184="","",IFERROR(AO184-(SUMIFS(DATA_GOC!$H:$H,DATA_GOC!$A:$A,"BOM",DATA_GOC!$D:$D,$B184,DATA_GOC!$F:$F,"Xuất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5" ht="15.0" customHeight="1">
      <c r="A185" s="61" t="str">
        <f t="shared" si="1"/>
        <v/>
      </c>
      <c r="B185" s="228" t="str">
        <f t="array" ref="B185">IFERROR(INDEX(DANH_MUC!$E:$E,ROW()-1),"")</f>
        <v/>
      </c>
      <c r="C185" s="228" t="str">
        <f>IF($B185="","",IF(C$4&gt;DAY(EOMONTH(DATE($D$2,$B$2,1),0)),"",SUMIFS(DATA_GOC!$H:$H,DATA_GOC!$A:$A,"BOM",DATA_GOC!$D:$D,$B185,DATA_GOC!$F:$F,"Xuất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5" s="61" t="str">
        <f>IF($B185="","",IF(D$4&gt;DAY(EOMONTH(DATE($D$2,$B$2,1),0)),"",SUMIFS(DATA_GOC!$H:$H,DATA_GOC!$A:$A,"BOM",DATA_GOC!$D:$D,$B185,DATA_GOC!$F:$F,"Xuất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5" s="229" t="str">
        <f>IF($B185="","",IF(E$4&gt;DAY(EOMONTH(DATE($D$2,$B$2,1),0)),"",SUMIFS(DATA_GOC!$H:$H,DATA_GOC!$A:$A,"BOM",DATA_GOC!$D:$D,$B185,DATA_GOC!$F:$F,"Xuất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5" s="229" t="str">
        <f>IF($B185="","",IF(F$4&gt;DAY(EOMONTH(DATE($D$2,$B$2,1),0)),"",SUMIFS(DATA_GOC!$H:$H,DATA_GOC!$A:$A,"BOM",DATA_GOC!$D:$D,$B185,DATA_GOC!$F:$F,"Xuất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5" s="229" t="str">
        <f>IF($B185="","",IF(G$4&gt;DAY(EOMONTH(DATE($D$2,$B$2,1),0)),"",SUMIFS(DATA_GOC!$H:$H,DATA_GOC!$A:$A,"BOM",DATA_GOC!$D:$D,$B185,DATA_GOC!$F:$F,"Xuất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5" s="228" t="str">
        <f>IF($B185="","",IF(H$4&gt;DAY(EOMONTH(DATE($D$2,$B$2,1),0)),"",SUMIFS(DATA_GOC!$H:$H,DATA_GOC!$A:$A,"BOM",DATA_GOC!$D:$D,$B185,DATA_GOC!$F:$F,"Xuất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5" s="229" t="str">
        <f>IF($B185="","",IF(I$4&gt;DAY(EOMONTH(DATE($D$2,$B$2,1),0)),"",SUMIFS(DATA_GOC!$H:$H,DATA_GOC!$A:$A,"BOM",DATA_GOC!$D:$D,$B185,DATA_GOC!$F:$F,"Xuất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5" s="229" t="str">
        <f>IF($B185="","",IF(J$4&gt;DAY(EOMONTH(DATE($D$2,$B$2,1),0)),"",SUMIFS(DATA_GOC!$H:$H,DATA_GOC!$A:$A,"BOM",DATA_GOC!$D:$D,$B185,DATA_GOC!$F:$F,"Xuất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5" s="229" t="str">
        <f>IF($B185="","",IF(K$4&gt;DAY(EOMONTH(DATE($D$2,$B$2,1),0)),"",SUMIFS(DATA_GOC!$H:$H,DATA_GOC!$A:$A,"BOM",DATA_GOC!$D:$D,$B185,DATA_GOC!$F:$F,"Xuất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5" s="229" t="str">
        <f>IF($B185="","",IF(L$4&gt;DAY(EOMONTH(DATE($D$2,$B$2,1),0)),"",SUMIFS(DATA_GOC!$H:$H,DATA_GOC!$A:$A,"BOM",DATA_GOC!$D:$D,$B185,DATA_GOC!$F:$F,"Xuất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5" s="229" t="str">
        <f>IF($B185="","",IF(M$4&gt;DAY(EOMONTH(DATE($D$2,$B$2,1),0)),"",SUMIFS(DATA_GOC!$H:$H,DATA_GOC!$A:$A,"BOM",DATA_GOC!$D:$D,$B185,DATA_GOC!$F:$F,"Xuất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5" s="61" t="str">
        <f>IF($B185="","",IF(N$4&gt;DAY(EOMONTH(DATE($D$2,$B$2,1),0)),"",SUMIFS(DATA_GOC!$H:$H,DATA_GOC!$A:$A,"BOM",DATA_GOC!$D:$D,$B185,DATA_GOC!$F:$F,"Xuất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5" s="61" t="str">
        <f>IF($B185="","",IF(O$4&gt;DAY(EOMONTH(DATE($D$2,$B$2,1),0)),"",SUMIFS(DATA_GOC!$H:$H,DATA_GOC!$A:$A,"BOM",DATA_GOC!$D:$D,$B185,DATA_GOC!$F:$F,"Xuất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5" s="61" t="str">
        <f>IF($B185="","",IF(P$4&gt;DAY(EOMONTH(DATE($D$2,$B$2,1),0)),"",SUMIFS(DATA_GOC!$H:$H,DATA_GOC!$A:$A,"BOM",DATA_GOC!$D:$D,$B185,DATA_GOC!$F:$F,"Xuất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5" s="61" t="str">
        <f>IF($B185="","",IF(Q$4&gt;DAY(EOMONTH(DATE($D$2,$B$2,1),0)),"",SUMIFS(DATA_GOC!$H:$H,DATA_GOC!$A:$A,"BOM",DATA_GOC!$D:$D,$B185,DATA_GOC!$F:$F,"Xuất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5" s="61" t="str">
        <f>IF($B185="","",IF(R$4&gt;DAY(EOMONTH(DATE($D$2,$B$2,1),0)),"",SUMIFS(DATA_GOC!$H:$H,DATA_GOC!$A:$A,"BOM",DATA_GOC!$D:$D,$B185,DATA_GOC!$F:$F,"Xuất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5" s="61" t="str">
        <f>IF($B185="","",IF(S$4&gt;DAY(EOMONTH(DATE($D$2,$B$2,1),0)),"",SUMIFS(DATA_GOC!$H:$H,DATA_GOC!$A:$A,"BOM",DATA_GOC!$D:$D,$B185,DATA_GOC!$F:$F,"Xuất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5" s="61" t="str">
        <f>IF($B185="","",IF(T$4&gt;DAY(EOMONTH(DATE($D$2,$B$2,1),0)),"",SUMIFS(DATA_GOC!$H:$H,DATA_GOC!$A:$A,"BOM",DATA_GOC!$D:$D,$B185,DATA_GOC!$F:$F,"Xuất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5" s="61" t="str">
        <f>IF($B185="","",IF(U$4&gt;DAY(EOMONTH(DATE($D$2,$B$2,1),0)),"",SUMIFS(DATA_GOC!$H:$H,DATA_GOC!$A:$A,"BOM",DATA_GOC!$D:$D,$B185,DATA_GOC!$F:$F,"Xuất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5" s="61" t="str">
        <f>IF($B185="","",IF(V$4&gt;DAY(EOMONTH(DATE($D$2,$B$2,1),0)),"",SUMIFS(DATA_GOC!$H:$H,DATA_GOC!$A:$A,"BOM",DATA_GOC!$D:$D,$B185,DATA_GOC!$F:$F,"Xuất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5" s="61" t="str">
        <f>IF($B185="","",IF(W$4&gt;DAY(EOMONTH(DATE($D$2,$B$2,1),0)),"",SUMIFS(DATA_GOC!$H:$H,DATA_GOC!$A:$A,"BOM",DATA_GOC!$D:$D,$B185,DATA_GOC!$F:$F,"Xuất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5" s="61" t="str">
        <f>IF($B185="","",IF(X$4&gt;DAY(EOMONTH(DATE($D$2,$B$2,1),0)),"",SUMIFS(DATA_GOC!$H:$H,DATA_GOC!$A:$A,"BOM",DATA_GOC!$D:$D,$B185,DATA_GOC!$F:$F,"Xuất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5" s="61" t="str">
        <f>IF($B185="","",IF(Y$4&gt;DAY(EOMONTH(DATE($D$2,$B$2,1),0)),"",SUMIFS(DATA_GOC!$H:$H,DATA_GOC!$A:$A,"BOM",DATA_GOC!$D:$D,$B185,DATA_GOC!$F:$F,"Xuất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5" s="61" t="str">
        <f>IF($B185="","",IF(Z$4&gt;DAY(EOMONTH(DATE($D$2,$B$2,1),0)),"",SUMIFS(DATA_GOC!$H:$H,DATA_GOC!$A:$A,"BOM",DATA_GOC!$D:$D,$B185,DATA_GOC!$F:$F,"Xuất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5" s="61" t="str">
        <f>IF($B185="","",IF(AA$4&gt;DAY(EOMONTH(DATE($D$2,$B$2,1),0)),"",SUMIFS(DATA_GOC!$H:$H,DATA_GOC!$A:$A,"BOM",DATA_GOC!$D:$D,$B185,DATA_GOC!$F:$F,"Xuất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5" s="61" t="str">
        <f>IF($B185="","",IF(AB$4&gt;DAY(EOMONTH(DATE($D$2,$B$2,1),0)),"",SUMIFS(DATA_GOC!$H:$H,DATA_GOC!$A:$A,"BOM",DATA_GOC!$D:$D,$B185,DATA_GOC!$F:$F,"Xuất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5" s="61" t="str">
        <f>IF($B185="","",IF(AC$4&gt;DAY(EOMONTH(DATE($D$2,$B$2,1),0)),"",SUMIFS(DATA_GOC!$H:$H,DATA_GOC!$A:$A,"BOM",DATA_GOC!$D:$D,$B185,DATA_GOC!$F:$F,"Xuất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5" s="222" t="str">
        <f>IF($B185="","",IF(AD$4&gt;DAY(EOMONTH(DATE($D$2,$B$2,1),0)),"",SUMIFS(DATA_GOC!$H:$H,DATA_GOC!$A:$A,"BOM",DATA_GOC!$D:$D,$B185,DATA_GOC!$F:$F,"Xuất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5" s="222" t="str">
        <f>IF($B185="","",IF(AE$4&gt;DAY(EOMONTH(DATE($D$2,$B$2,1),0)),"",SUMIFS(DATA_GOC!$H:$H,DATA_GOC!$A:$A,"BOM",DATA_GOC!$D:$D,$B185,DATA_GOC!$F:$F,"Xuất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5" s="222" t="str">
        <f>IF($B185="","",IF(AF$4&gt;DAY(EOMONTH(DATE($D$2,$B$2,1),0)),"",SUMIFS(DATA_GOC!$H:$H,DATA_GOC!$A:$A,"BOM",DATA_GOC!$D:$D,$B185,DATA_GOC!$F:$F,"Xuất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5" s="222" t="str">
        <f>IF($B185="","",IF(AG$4&gt;DAY(EOMONTH(DATE($D$2,$B$2,1),0)),"",SUMIFS(DATA_GOC!$H:$H,DATA_GOC!$A:$A,"BOM",DATA_GOC!$D:$D,$B185,DATA_GOC!$F:$F,"Xuất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5" s="222" t="str">
        <f t="shared" si="2"/>
        <v/>
      </c>
      <c r="AI185" s="222" t="str">
        <f>IF($B185="","",SUMIFS(DATA_GOC!$H:$H,DATA_GOC!$A:$A,"BOM",DATA_GOC!$D:$D,$B185,DATA_GOC!$F:$F,"Bơm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5" s="222" t="str">
        <f t="shared" si="3"/>
        <v/>
      </c>
      <c r="AM185" s="222" t="str">
        <f>IF($B185="","",SUMIFS(DATA_GOC!$K:$K,DATA_GOC!$A:$A,"BOM",DATA_GOC!$D:$D,$B185,DATA_GOC!$G:$G,"DO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5" s="222" t="str">
        <f t="shared" si="4"/>
        <v/>
      </c>
      <c r="AO185" s="227" t="str">
        <f t="shared" si="5"/>
        <v/>
      </c>
      <c r="AP185" s="226" t="str">
        <f>IF($B185="","",IFERROR(AO185-(SUMIFS(DATA_GOC!$H:$H,DATA_GOC!$A:$A,"BOM",DATA_GOC!$D:$D,$B185,DATA_GOC!$F:$F,"Xuất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6" ht="15.0" customHeight="1">
      <c r="A186" s="61" t="str">
        <f t="shared" si="1"/>
        <v/>
      </c>
      <c r="B186" s="228" t="str">
        <f t="array" ref="B186">IFERROR(INDEX(DANH_MUC!$E:$E,ROW()-1),"")</f>
        <v/>
      </c>
      <c r="C186" s="228" t="str">
        <f>IF($B186="","",IF(C$4&gt;DAY(EOMONTH(DATE($D$2,$B$2,1),0)),"",SUMIFS(DATA_GOC!$H:$H,DATA_GOC!$A:$A,"BOM",DATA_GOC!$D:$D,$B186,DATA_GOC!$F:$F,"Xuất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6" s="61" t="str">
        <f>IF($B186="","",IF(D$4&gt;DAY(EOMONTH(DATE($D$2,$B$2,1),0)),"",SUMIFS(DATA_GOC!$H:$H,DATA_GOC!$A:$A,"BOM",DATA_GOC!$D:$D,$B186,DATA_GOC!$F:$F,"Xuất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6" s="229" t="str">
        <f>IF($B186="","",IF(E$4&gt;DAY(EOMONTH(DATE($D$2,$B$2,1),0)),"",SUMIFS(DATA_GOC!$H:$H,DATA_GOC!$A:$A,"BOM",DATA_GOC!$D:$D,$B186,DATA_GOC!$F:$F,"Xuất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6" s="229" t="str">
        <f>IF($B186="","",IF(F$4&gt;DAY(EOMONTH(DATE($D$2,$B$2,1),0)),"",SUMIFS(DATA_GOC!$H:$H,DATA_GOC!$A:$A,"BOM",DATA_GOC!$D:$D,$B186,DATA_GOC!$F:$F,"Xuất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6" s="229" t="str">
        <f>IF($B186="","",IF(G$4&gt;DAY(EOMONTH(DATE($D$2,$B$2,1),0)),"",SUMIFS(DATA_GOC!$H:$H,DATA_GOC!$A:$A,"BOM",DATA_GOC!$D:$D,$B186,DATA_GOC!$F:$F,"Xuất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6" s="228" t="str">
        <f>IF($B186="","",IF(H$4&gt;DAY(EOMONTH(DATE($D$2,$B$2,1),0)),"",SUMIFS(DATA_GOC!$H:$H,DATA_GOC!$A:$A,"BOM",DATA_GOC!$D:$D,$B186,DATA_GOC!$F:$F,"Xuất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6" s="229" t="str">
        <f>IF($B186="","",IF(I$4&gt;DAY(EOMONTH(DATE($D$2,$B$2,1),0)),"",SUMIFS(DATA_GOC!$H:$H,DATA_GOC!$A:$A,"BOM",DATA_GOC!$D:$D,$B186,DATA_GOC!$F:$F,"Xuất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6" s="229" t="str">
        <f>IF($B186="","",IF(J$4&gt;DAY(EOMONTH(DATE($D$2,$B$2,1),0)),"",SUMIFS(DATA_GOC!$H:$H,DATA_GOC!$A:$A,"BOM",DATA_GOC!$D:$D,$B186,DATA_GOC!$F:$F,"Xuất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6" s="229" t="str">
        <f>IF($B186="","",IF(K$4&gt;DAY(EOMONTH(DATE($D$2,$B$2,1),0)),"",SUMIFS(DATA_GOC!$H:$H,DATA_GOC!$A:$A,"BOM",DATA_GOC!$D:$D,$B186,DATA_GOC!$F:$F,"Xuất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6" s="229" t="str">
        <f>IF($B186="","",IF(L$4&gt;DAY(EOMONTH(DATE($D$2,$B$2,1),0)),"",SUMIFS(DATA_GOC!$H:$H,DATA_GOC!$A:$A,"BOM",DATA_GOC!$D:$D,$B186,DATA_GOC!$F:$F,"Xuất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6" s="229" t="str">
        <f>IF($B186="","",IF(M$4&gt;DAY(EOMONTH(DATE($D$2,$B$2,1),0)),"",SUMIFS(DATA_GOC!$H:$H,DATA_GOC!$A:$A,"BOM",DATA_GOC!$D:$D,$B186,DATA_GOC!$F:$F,"Xuất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6" s="61" t="str">
        <f>IF($B186="","",IF(N$4&gt;DAY(EOMONTH(DATE($D$2,$B$2,1),0)),"",SUMIFS(DATA_GOC!$H:$H,DATA_GOC!$A:$A,"BOM",DATA_GOC!$D:$D,$B186,DATA_GOC!$F:$F,"Xuất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6" s="61" t="str">
        <f>IF($B186="","",IF(O$4&gt;DAY(EOMONTH(DATE($D$2,$B$2,1),0)),"",SUMIFS(DATA_GOC!$H:$H,DATA_GOC!$A:$A,"BOM",DATA_GOC!$D:$D,$B186,DATA_GOC!$F:$F,"Xuất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6" s="61" t="str">
        <f>IF($B186="","",IF(P$4&gt;DAY(EOMONTH(DATE($D$2,$B$2,1),0)),"",SUMIFS(DATA_GOC!$H:$H,DATA_GOC!$A:$A,"BOM",DATA_GOC!$D:$D,$B186,DATA_GOC!$F:$F,"Xuất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6" s="61" t="str">
        <f>IF($B186="","",IF(Q$4&gt;DAY(EOMONTH(DATE($D$2,$B$2,1),0)),"",SUMIFS(DATA_GOC!$H:$H,DATA_GOC!$A:$A,"BOM",DATA_GOC!$D:$D,$B186,DATA_GOC!$F:$F,"Xuất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6" s="61" t="str">
        <f>IF($B186="","",IF(R$4&gt;DAY(EOMONTH(DATE($D$2,$B$2,1),0)),"",SUMIFS(DATA_GOC!$H:$H,DATA_GOC!$A:$A,"BOM",DATA_GOC!$D:$D,$B186,DATA_GOC!$F:$F,"Xuất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6" s="61" t="str">
        <f>IF($B186="","",IF(S$4&gt;DAY(EOMONTH(DATE($D$2,$B$2,1),0)),"",SUMIFS(DATA_GOC!$H:$H,DATA_GOC!$A:$A,"BOM",DATA_GOC!$D:$D,$B186,DATA_GOC!$F:$F,"Xuất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6" s="61" t="str">
        <f>IF($B186="","",IF(T$4&gt;DAY(EOMONTH(DATE($D$2,$B$2,1),0)),"",SUMIFS(DATA_GOC!$H:$H,DATA_GOC!$A:$A,"BOM",DATA_GOC!$D:$D,$B186,DATA_GOC!$F:$F,"Xuất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6" s="61" t="str">
        <f>IF($B186="","",IF(U$4&gt;DAY(EOMONTH(DATE($D$2,$B$2,1),0)),"",SUMIFS(DATA_GOC!$H:$H,DATA_GOC!$A:$A,"BOM",DATA_GOC!$D:$D,$B186,DATA_GOC!$F:$F,"Xuất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6" s="61" t="str">
        <f>IF($B186="","",IF(V$4&gt;DAY(EOMONTH(DATE($D$2,$B$2,1),0)),"",SUMIFS(DATA_GOC!$H:$H,DATA_GOC!$A:$A,"BOM",DATA_GOC!$D:$D,$B186,DATA_GOC!$F:$F,"Xuất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6" s="61" t="str">
        <f>IF($B186="","",IF(W$4&gt;DAY(EOMONTH(DATE($D$2,$B$2,1),0)),"",SUMIFS(DATA_GOC!$H:$H,DATA_GOC!$A:$A,"BOM",DATA_GOC!$D:$D,$B186,DATA_GOC!$F:$F,"Xuất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6" s="61" t="str">
        <f>IF($B186="","",IF(X$4&gt;DAY(EOMONTH(DATE($D$2,$B$2,1),0)),"",SUMIFS(DATA_GOC!$H:$H,DATA_GOC!$A:$A,"BOM",DATA_GOC!$D:$D,$B186,DATA_GOC!$F:$F,"Xuất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6" s="61" t="str">
        <f>IF($B186="","",IF(Y$4&gt;DAY(EOMONTH(DATE($D$2,$B$2,1),0)),"",SUMIFS(DATA_GOC!$H:$H,DATA_GOC!$A:$A,"BOM",DATA_GOC!$D:$D,$B186,DATA_GOC!$F:$F,"Xuất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6" s="61" t="str">
        <f>IF($B186="","",IF(Z$4&gt;DAY(EOMONTH(DATE($D$2,$B$2,1),0)),"",SUMIFS(DATA_GOC!$H:$H,DATA_GOC!$A:$A,"BOM",DATA_GOC!$D:$D,$B186,DATA_GOC!$F:$F,"Xuất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6" s="61" t="str">
        <f>IF($B186="","",IF(AA$4&gt;DAY(EOMONTH(DATE($D$2,$B$2,1),0)),"",SUMIFS(DATA_GOC!$H:$H,DATA_GOC!$A:$A,"BOM",DATA_GOC!$D:$D,$B186,DATA_GOC!$F:$F,"Xuất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6" s="61" t="str">
        <f>IF($B186="","",IF(AB$4&gt;DAY(EOMONTH(DATE($D$2,$B$2,1),0)),"",SUMIFS(DATA_GOC!$H:$H,DATA_GOC!$A:$A,"BOM",DATA_GOC!$D:$D,$B186,DATA_GOC!$F:$F,"Xuất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6" s="61" t="str">
        <f>IF($B186="","",IF(AC$4&gt;DAY(EOMONTH(DATE($D$2,$B$2,1),0)),"",SUMIFS(DATA_GOC!$H:$H,DATA_GOC!$A:$A,"BOM",DATA_GOC!$D:$D,$B186,DATA_GOC!$F:$F,"Xuất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6" s="222" t="str">
        <f>IF($B186="","",IF(AD$4&gt;DAY(EOMONTH(DATE($D$2,$B$2,1),0)),"",SUMIFS(DATA_GOC!$H:$H,DATA_GOC!$A:$A,"BOM",DATA_GOC!$D:$D,$B186,DATA_GOC!$F:$F,"Xuất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6" s="222" t="str">
        <f>IF($B186="","",IF(AE$4&gt;DAY(EOMONTH(DATE($D$2,$B$2,1),0)),"",SUMIFS(DATA_GOC!$H:$H,DATA_GOC!$A:$A,"BOM",DATA_GOC!$D:$D,$B186,DATA_GOC!$F:$F,"Xuất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6" s="222" t="str">
        <f>IF($B186="","",IF(AF$4&gt;DAY(EOMONTH(DATE($D$2,$B$2,1),0)),"",SUMIFS(DATA_GOC!$H:$H,DATA_GOC!$A:$A,"BOM",DATA_GOC!$D:$D,$B186,DATA_GOC!$F:$F,"Xuất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6" s="222" t="str">
        <f>IF($B186="","",IF(AG$4&gt;DAY(EOMONTH(DATE($D$2,$B$2,1),0)),"",SUMIFS(DATA_GOC!$H:$H,DATA_GOC!$A:$A,"BOM",DATA_GOC!$D:$D,$B186,DATA_GOC!$F:$F,"Xuất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6" s="222" t="str">
        <f t="shared" si="2"/>
        <v/>
      </c>
      <c r="AI186" s="222" t="str">
        <f>IF($B186="","",SUMIFS(DATA_GOC!$H:$H,DATA_GOC!$A:$A,"BOM",DATA_GOC!$D:$D,$B186,DATA_GOC!$F:$F,"Bơm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6" s="222" t="str">
        <f t="shared" si="3"/>
        <v/>
      </c>
      <c r="AM186" s="222" t="str">
        <f>IF($B186="","",SUMIFS(DATA_GOC!$K:$K,DATA_GOC!$A:$A,"BOM",DATA_GOC!$D:$D,$B186,DATA_GOC!$G:$G,"DO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6" s="222" t="str">
        <f t="shared" si="4"/>
        <v/>
      </c>
      <c r="AO186" s="227" t="str">
        <f t="shared" si="5"/>
        <v/>
      </c>
      <c r="AP186" s="226" t="str">
        <f>IF($B186="","",IFERROR(AO186-(SUMIFS(DATA_GOC!$H:$H,DATA_GOC!$A:$A,"BOM",DATA_GOC!$D:$D,$B186,DATA_GOC!$F:$F,"Xuất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7" ht="15.0" customHeight="1">
      <c r="A187" s="61" t="str">
        <f t="shared" si="1"/>
        <v/>
      </c>
      <c r="B187" s="228" t="str">
        <f t="array" ref="B187">IFERROR(INDEX(DANH_MUC!$E:$E,ROW()-1),"")</f>
        <v/>
      </c>
      <c r="C187" s="228" t="str">
        <f>IF($B187="","",IF(C$4&gt;DAY(EOMONTH(DATE($D$2,$B$2,1),0)),"",SUMIFS(DATA_GOC!$H:$H,DATA_GOC!$A:$A,"BOM",DATA_GOC!$D:$D,$B187,DATA_GOC!$F:$F,"Xuất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7" s="61" t="str">
        <f>IF($B187="","",IF(D$4&gt;DAY(EOMONTH(DATE($D$2,$B$2,1),0)),"",SUMIFS(DATA_GOC!$H:$H,DATA_GOC!$A:$A,"BOM",DATA_GOC!$D:$D,$B187,DATA_GOC!$F:$F,"Xuất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7" s="229" t="str">
        <f>IF($B187="","",IF(E$4&gt;DAY(EOMONTH(DATE($D$2,$B$2,1),0)),"",SUMIFS(DATA_GOC!$H:$H,DATA_GOC!$A:$A,"BOM",DATA_GOC!$D:$D,$B187,DATA_GOC!$F:$F,"Xuất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7" s="229" t="str">
        <f>IF($B187="","",IF(F$4&gt;DAY(EOMONTH(DATE($D$2,$B$2,1),0)),"",SUMIFS(DATA_GOC!$H:$H,DATA_GOC!$A:$A,"BOM",DATA_GOC!$D:$D,$B187,DATA_GOC!$F:$F,"Xuất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7" s="229" t="str">
        <f>IF($B187="","",IF(G$4&gt;DAY(EOMONTH(DATE($D$2,$B$2,1),0)),"",SUMIFS(DATA_GOC!$H:$H,DATA_GOC!$A:$A,"BOM",DATA_GOC!$D:$D,$B187,DATA_GOC!$F:$F,"Xuất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7" s="228" t="str">
        <f>IF($B187="","",IF(H$4&gt;DAY(EOMONTH(DATE($D$2,$B$2,1),0)),"",SUMIFS(DATA_GOC!$H:$H,DATA_GOC!$A:$A,"BOM",DATA_GOC!$D:$D,$B187,DATA_GOC!$F:$F,"Xuất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7" s="229" t="str">
        <f>IF($B187="","",IF(I$4&gt;DAY(EOMONTH(DATE($D$2,$B$2,1),0)),"",SUMIFS(DATA_GOC!$H:$H,DATA_GOC!$A:$A,"BOM",DATA_GOC!$D:$D,$B187,DATA_GOC!$F:$F,"Xuất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7" s="229" t="str">
        <f>IF($B187="","",IF(J$4&gt;DAY(EOMONTH(DATE($D$2,$B$2,1),0)),"",SUMIFS(DATA_GOC!$H:$H,DATA_GOC!$A:$A,"BOM",DATA_GOC!$D:$D,$B187,DATA_GOC!$F:$F,"Xuất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7" s="229" t="str">
        <f>IF($B187="","",IF(K$4&gt;DAY(EOMONTH(DATE($D$2,$B$2,1),0)),"",SUMIFS(DATA_GOC!$H:$H,DATA_GOC!$A:$A,"BOM",DATA_GOC!$D:$D,$B187,DATA_GOC!$F:$F,"Xuất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7" s="229" t="str">
        <f>IF($B187="","",IF(L$4&gt;DAY(EOMONTH(DATE($D$2,$B$2,1),0)),"",SUMIFS(DATA_GOC!$H:$H,DATA_GOC!$A:$A,"BOM",DATA_GOC!$D:$D,$B187,DATA_GOC!$F:$F,"Xuất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7" s="229" t="str">
        <f>IF($B187="","",IF(M$4&gt;DAY(EOMONTH(DATE($D$2,$B$2,1),0)),"",SUMIFS(DATA_GOC!$H:$H,DATA_GOC!$A:$A,"BOM",DATA_GOC!$D:$D,$B187,DATA_GOC!$F:$F,"Xuất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7" s="61" t="str">
        <f>IF($B187="","",IF(N$4&gt;DAY(EOMONTH(DATE($D$2,$B$2,1),0)),"",SUMIFS(DATA_GOC!$H:$H,DATA_GOC!$A:$A,"BOM",DATA_GOC!$D:$D,$B187,DATA_GOC!$F:$F,"Xuất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7" s="61" t="str">
        <f>IF($B187="","",IF(O$4&gt;DAY(EOMONTH(DATE($D$2,$B$2,1),0)),"",SUMIFS(DATA_GOC!$H:$H,DATA_GOC!$A:$A,"BOM",DATA_GOC!$D:$D,$B187,DATA_GOC!$F:$F,"Xuất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7" s="61" t="str">
        <f>IF($B187="","",IF(P$4&gt;DAY(EOMONTH(DATE($D$2,$B$2,1),0)),"",SUMIFS(DATA_GOC!$H:$H,DATA_GOC!$A:$A,"BOM",DATA_GOC!$D:$D,$B187,DATA_GOC!$F:$F,"Xuất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7" s="61" t="str">
        <f>IF($B187="","",IF(Q$4&gt;DAY(EOMONTH(DATE($D$2,$B$2,1),0)),"",SUMIFS(DATA_GOC!$H:$H,DATA_GOC!$A:$A,"BOM",DATA_GOC!$D:$D,$B187,DATA_GOC!$F:$F,"Xuất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7" s="61" t="str">
        <f>IF($B187="","",IF(R$4&gt;DAY(EOMONTH(DATE($D$2,$B$2,1),0)),"",SUMIFS(DATA_GOC!$H:$H,DATA_GOC!$A:$A,"BOM",DATA_GOC!$D:$D,$B187,DATA_GOC!$F:$F,"Xuất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7" s="61" t="str">
        <f>IF($B187="","",IF(S$4&gt;DAY(EOMONTH(DATE($D$2,$B$2,1),0)),"",SUMIFS(DATA_GOC!$H:$H,DATA_GOC!$A:$A,"BOM",DATA_GOC!$D:$D,$B187,DATA_GOC!$F:$F,"Xuất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7" s="61" t="str">
        <f>IF($B187="","",IF(T$4&gt;DAY(EOMONTH(DATE($D$2,$B$2,1),0)),"",SUMIFS(DATA_GOC!$H:$H,DATA_GOC!$A:$A,"BOM",DATA_GOC!$D:$D,$B187,DATA_GOC!$F:$F,"Xuất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7" s="61" t="str">
        <f>IF($B187="","",IF(U$4&gt;DAY(EOMONTH(DATE($D$2,$B$2,1),0)),"",SUMIFS(DATA_GOC!$H:$H,DATA_GOC!$A:$A,"BOM",DATA_GOC!$D:$D,$B187,DATA_GOC!$F:$F,"Xuất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7" s="61" t="str">
        <f>IF($B187="","",IF(V$4&gt;DAY(EOMONTH(DATE($D$2,$B$2,1),0)),"",SUMIFS(DATA_GOC!$H:$H,DATA_GOC!$A:$A,"BOM",DATA_GOC!$D:$D,$B187,DATA_GOC!$F:$F,"Xuất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7" s="61" t="str">
        <f>IF($B187="","",IF(W$4&gt;DAY(EOMONTH(DATE($D$2,$B$2,1),0)),"",SUMIFS(DATA_GOC!$H:$H,DATA_GOC!$A:$A,"BOM",DATA_GOC!$D:$D,$B187,DATA_GOC!$F:$F,"Xuất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7" s="61" t="str">
        <f>IF($B187="","",IF(X$4&gt;DAY(EOMONTH(DATE($D$2,$B$2,1),0)),"",SUMIFS(DATA_GOC!$H:$H,DATA_GOC!$A:$A,"BOM",DATA_GOC!$D:$D,$B187,DATA_GOC!$F:$F,"Xuất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7" s="61" t="str">
        <f>IF($B187="","",IF(Y$4&gt;DAY(EOMONTH(DATE($D$2,$B$2,1),0)),"",SUMIFS(DATA_GOC!$H:$H,DATA_GOC!$A:$A,"BOM",DATA_GOC!$D:$D,$B187,DATA_GOC!$F:$F,"Xuất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7" s="61" t="str">
        <f>IF($B187="","",IF(Z$4&gt;DAY(EOMONTH(DATE($D$2,$B$2,1),0)),"",SUMIFS(DATA_GOC!$H:$H,DATA_GOC!$A:$A,"BOM",DATA_GOC!$D:$D,$B187,DATA_GOC!$F:$F,"Xuất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7" s="61" t="str">
        <f>IF($B187="","",IF(AA$4&gt;DAY(EOMONTH(DATE($D$2,$B$2,1),0)),"",SUMIFS(DATA_GOC!$H:$H,DATA_GOC!$A:$A,"BOM",DATA_GOC!$D:$D,$B187,DATA_GOC!$F:$F,"Xuất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7" s="61" t="str">
        <f>IF($B187="","",IF(AB$4&gt;DAY(EOMONTH(DATE($D$2,$B$2,1),0)),"",SUMIFS(DATA_GOC!$H:$H,DATA_GOC!$A:$A,"BOM",DATA_GOC!$D:$D,$B187,DATA_GOC!$F:$F,"Xuất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7" s="61" t="str">
        <f>IF($B187="","",IF(AC$4&gt;DAY(EOMONTH(DATE($D$2,$B$2,1),0)),"",SUMIFS(DATA_GOC!$H:$H,DATA_GOC!$A:$A,"BOM",DATA_GOC!$D:$D,$B187,DATA_GOC!$F:$F,"Xuất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7" s="222" t="str">
        <f>IF($B187="","",IF(AD$4&gt;DAY(EOMONTH(DATE($D$2,$B$2,1),0)),"",SUMIFS(DATA_GOC!$H:$H,DATA_GOC!$A:$A,"BOM",DATA_GOC!$D:$D,$B187,DATA_GOC!$F:$F,"Xuất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7" s="222" t="str">
        <f>IF($B187="","",IF(AE$4&gt;DAY(EOMONTH(DATE($D$2,$B$2,1),0)),"",SUMIFS(DATA_GOC!$H:$H,DATA_GOC!$A:$A,"BOM",DATA_GOC!$D:$D,$B187,DATA_GOC!$F:$F,"Xuất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7" s="222" t="str">
        <f>IF($B187="","",IF(AF$4&gt;DAY(EOMONTH(DATE($D$2,$B$2,1),0)),"",SUMIFS(DATA_GOC!$H:$H,DATA_GOC!$A:$A,"BOM",DATA_GOC!$D:$D,$B187,DATA_GOC!$F:$F,"Xuất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7" s="222" t="str">
        <f>IF($B187="","",IF(AG$4&gt;DAY(EOMONTH(DATE($D$2,$B$2,1),0)),"",SUMIFS(DATA_GOC!$H:$H,DATA_GOC!$A:$A,"BOM",DATA_GOC!$D:$D,$B187,DATA_GOC!$F:$F,"Xuất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7" s="222" t="str">
        <f t="shared" si="2"/>
        <v/>
      </c>
      <c r="AI187" s="222" t="str">
        <f>IF($B187="","",SUMIFS(DATA_GOC!$H:$H,DATA_GOC!$A:$A,"BOM",DATA_GOC!$D:$D,$B187,DATA_GOC!$F:$F,"Bơm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7" s="222" t="str">
        <f t="shared" si="3"/>
        <v/>
      </c>
      <c r="AM187" s="222" t="str">
        <f>IF($B187="","",SUMIFS(DATA_GOC!$K:$K,DATA_GOC!$A:$A,"BOM",DATA_GOC!$D:$D,$B187,DATA_GOC!$G:$G,"DO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7" s="222" t="str">
        <f t="shared" si="4"/>
        <v/>
      </c>
      <c r="AO187" s="227" t="str">
        <f t="shared" si="5"/>
        <v/>
      </c>
      <c r="AP187" s="226" t="str">
        <f>IF($B187="","",IFERROR(AO187-(SUMIFS(DATA_GOC!$H:$H,DATA_GOC!$A:$A,"BOM",DATA_GOC!$D:$D,$B187,DATA_GOC!$F:$F,"Xuất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8" ht="15.0" customHeight="1">
      <c r="A188" s="61" t="str">
        <f t="shared" si="1"/>
        <v/>
      </c>
      <c r="B188" s="228" t="str">
        <f t="array" ref="B188">IFERROR(INDEX(DANH_MUC!$E:$E,ROW()-1),"")</f>
        <v/>
      </c>
      <c r="C188" s="228" t="str">
        <f>IF($B188="","",IF(C$4&gt;DAY(EOMONTH(DATE($D$2,$B$2,1),0)),"",SUMIFS(DATA_GOC!$H:$H,DATA_GOC!$A:$A,"BOM",DATA_GOC!$D:$D,$B188,DATA_GOC!$F:$F,"Xuất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8" s="61" t="str">
        <f>IF($B188="","",IF(D$4&gt;DAY(EOMONTH(DATE($D$2,$B$2,1),0)),"",SUMIFS(DATA_GOC!$H:$H,DATA_GOC!$A:$A,"BOM",DATA_GOC!$D:$D,$B188,DATA_GOC!$F:$F,"Xuất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8" s="229" t="str">
        <f>IF($B188="","",IF(E$4&gt;DAY(EOMONTH(DATE($D$2,$B$2,1),0)),"",SUMIFS(DATA_GOC!$H:$H,DATA_GOC!$A:$A,"BOM",DATA_GOC!$D:$D,$B188,DATA_GOC!$F:$F,"Xuất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8" s="229" t="str">
        <f>IF($B188="","",IF(F$4&gt;DAY(EOMONTH(DATE($D$2,$B$2,1),0)),"",SUMIFS(DATA_GOC!$H:$H,DATA_GOC!$A:$A,"BOM",DATA_GOC!$D:$D,$B188,DATA_GOC!$F:$F,"Xuất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8" s="229" t="str">
        <f>IF($B188="","",IF(G$4&gt;DAY(EOMONTH(DATE($D$2,$B$2,1),0)),"",SUMIFS(DATA_GOC!$H:$H,DATA_GOC!$A:$A,"BOM",DATA_GOC!$D:$D,$B188,DATA_GOC!$F:$F,"Xuất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8" s="228" t="str">
        <f>IF($B188="","",IF(H$4&gt;DAY(EOMONTH(DATE($D$2,$B$2,1),0)),"",SUMIFS(DATA_GOC!$H:$H,DATA_GOC!$A:$A,"BOM",DATA_GOC!$D:$D,$B188,DATA_GOC!$F:$F,"Xuất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8" s="229" t="str">
        <f>IF($B188="","",IF(I$4&gt;DAY(EOMONTH(DATE($D$2,$B$2,1),0)),"",SUMIFS(DATA_GOC!$H:$H,DATA_GOC!$A:$A,"BOM",DATA_GOC!$D:$D,$B188,DATA_GOC!$F:$F,"Xuất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8" s="229" t="str">
        <f>IF($B188="","",IF(J$4&gt;DAY(EOMONTH(DATE($D$2,$B$2,1),0)),"",SUMIFS(DATA_GOC!$H:$H,DATA_GOC!$A:$A,"BOM",DATA_GOC!$D:$D,$B188,DATA_GOC!$F:$F,"Xuất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8" s="229" t="str">
        <f>IF($B188="","",IF(K$4&gt;DAY(EOMONTH(DATE($D$2,$B$2,1),0)),"",SUMIFS(DATA_GOC!$H:$H,DATA_GOC!$A:$A,"BOM",DATA_GOC!$D:$D,$B188,DATA_GOC!$F:$F,"Xuất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8" s="229" t="str">
        <f>IF($B188="","",IF(L$4&gt;DAY(EOMONTH(DATE($D$2,$B$2,1),0)),"",SUMIFS(DATA_GOC!$H:$H,DATA_GOC!$A:$A,"BOM",DATA_GOC!$D:$D,$B188,DATA_GOC!$F:$F,"Xuất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8" s="229" t="str">
        <f>IF($B188="","",IF(M$4&gt;DAY(EOMONTH(DATE($D$2,$B$2,1),0)),"",SUMIFS(DATA_GOC!$H:$H,DATA_GOC!$A:$A,"BOM",DATA_GOC!$D:$D,$B188,DATA_GOC!$F:$F,"Xuất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8" s="61" t="str">
        <f>IF($B188="","",IF(N$4&gt;DAY(EOMONTH(DATE($D$2,$B$2,1),0)),"",SUMIFS(DATA_GOC!$H:$H,DATA_GOC!$A:$A,"BOM",DATA_GOC!$D:$D,$B188,DATA_GOC!$F:$F,"Xuất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8" s="61" t="str">
        <f>IF($B188="","",IF(O$4&gt;DAY(EOMONTH(DATE($D$2,$B$2,1),0)),"",SUMIFS(DATA_GOC!$H:$H,DATA_GOC!$A:$A,"BOM",DATA_GOC!$D:$D,$B188,DATA_GOC!$F:$F,"Xuất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8" s="61" t="str">
        <f>IF($B188="","",IF(P$4&gt;DAY(EOMONTH(DATE($D$2,$B$2,1),0)),"",SUMIFS(DATA_GOC!$H:$H,DATA_GOC!$A:$A,"BOM",DATA_GOC!$D:$D,$B188,DATA_GOC!$F:$F,"Xuất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8" s="61" t="str">
        <f>IF($B188="","",IF(Q$4&gt;DAY(EOMONTH(DATE($D$2,$B$2,1),0)),"",SUMIFS(DATA_GOC!$H:$H,DATA_GOC!$A:$A,"BOM",DATA_GOC!$D:$D,$B188,DATA_GOC!$F:$F,"Xuất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8" s="61" t="str">
        <f>IF($B188="","",IF(R$4&gt;DAY(EOMONTH(DATE($D$2,$B$2,1),0)),"",SUMIFS(DATA_GOC!$H:$H,DATA_GOC!$A:$A,"BOM",DATA_GOC!$D:$D,$B188,DATA_GOC!$F:$F,"Xuất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8" s="61" t="str">
        <f>IF($B188="","",IF(S$4&gt;DAY(EOMONTH(DATE($D$2,$B$2,1),0)),"",SUMIFS(DATA_GOC!$H:$H,DATA_GOC!$A:$A,"BOM",DATA_GOC!$D:$D,$B188,DATA_GOC!$F:$F,"Xuất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8" s="61" t="str">
        <f>IF($B188="","",IF(T$4&gt;DAY(EOMONTH(DATE($D$2,$B$2,1),0)),"",SUMIFS(DATA_GOC!$H:$H,DATA_GOC!$A:$A,"BOM",DATA_GOC!$D:$D,$B188,DATA_GOC!$F:$F,"Xuất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8" s="61" t="str">
        <f>IF($B188="","",IF(U$4&gt;DAY(EOMONTH(DATE($D$2,$B$2,1),0)),"",SUMIFS(DATA_GOC!$H:$H,DATA_GOC!$A:$A,"BOM",DATA_GOC!$D:$D,$B188,DATA_GOC!$F:$F,"Xuất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8" s="61" t="str">
        <f>IF($B188="","",IF(V$4&gt;DAY(EOMONTH(DATE($D$2,$B$2,1),0)),"",SUMIFS(DATA_GOC!$H:$H,DATA_GOC!$A:$A,"BOM",DATA_GOC!$D:$D,$B188,DATA_GOC!$F:$F,"Xuất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8" s="61" t="str">
        <f>IF($B188="","",IF(W$4&gt;DAY(EOMONTH(DATE($D$2,$B$2,1),0)),"",SUMIFS(DATA_GOC!$H:$H,DATA_GOC!$A:$A,"BOM",DATA_GOC!$D:$D,$B188,DATA_GOC!$F:$F,"Xuất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8" s="61" t="str">
        <f>IF($B188="","",IF(X$4&gt;DAY(EOMONTH(DATE($D$2,$B$2,1),0)),"",SUMIFS(DATA_GOC!$H:$H,DATA_GOC!$A:$A,"BOM",DATA_GOC!$D:$D,$B188,DATA_GOC!$F:$F,"Xuất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8" s="61" t="str">
        <f>IF($B188="","",IF(Y$4&gt;DAY(EOMONTH(DATE($D$2,$B$2,1),0)),"",SUMIFS(DATA_GOC!$H:$H,DATA_GOC!$A:$A,"BOM",DATA_GOC!$D:$D,$B188,DATA_GOC!$F:$F,"Xuất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8" s="61" t="str">
        <f>IF($B188="","",IF(Z$4&gt;DAY(EOMONTH(DATE($D$2,$B$2,1),0)),"",SUMIFS(DATA_GOC!$H:$H,DATA_GOC!$A:$A,"BOM",DATA_GOC!$D:$D,$B188,DATA_GOC!$F:$F,"Xuất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8" s="61" t="str">
        <f>IF($B188="","",IF(AA$4&gt;DAY(EOMONTH(DATE($D$2,$B$2,1),0)),"",SUMIFS(DATA_GOC!$H:$H,DATA_GOC!$A:$A,"BOM",DATA_GOC!$D:$D,$B188,DATA_GOC!$F:$F,"Xuất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8" s="61" t="str">
        <f>IF($B188="","",IF(AB$4&gt;DAY(EOMONTH(DATE($D$2,$B$2,1),0)),"",SUMIFS(DATA_GOC!$H:$H,DATA_GOC!$A:$A,"BOM",DATA_GOC!$D:$D,$B188,DATA_GOC!$F:$F,"Xuất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8" s="61" t="str">
        <f>IF($B188="","",IF(AC$4&gt;DAY(EOMONTH(DATE($D$2,$B$2,1),0)),"",SUMIFS(DATA_GOC!$H:$H,DATA_GOC!$A:$A,"BOM",DATA_GOC!$D:$D,$B188,DATA_GOC!$F:$F,"Xuất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8" s="222" t="str">
        <f>IF($B188="","",IF(AD$4&gt;DAY(EOMONTH(DATE($D$2,$B$2,1),0)),"",SUMIFS(DATA_GOC!$H:$H,DATA_GOC!$A:$A,"BOM",DATA_GOC!$D:$D,$B188,DATA_GOC!$F:$F,"Xuất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8" s="222" t="str">
        <f>IF($B188="","",IF(AE$4&gt;DAY(EOMONTH(DATE($D$2,$B$2,1),0)),"",SUMIFS(DATA_GOC!$H:$H,DATA_GOC!$A:$A,"BOM",DATA_GOC!$D:$D,$B188,DATA_GOC!$F:$F,"Xuất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8" s="222" t="str">
        <f>IF($B188="","",IF(AF$4&gt;DAY(EOMONTH(DATE($D$2,$B$2,1),0)),"",SUMIFS(DATA_GOC!$H:$H,DATA_GOC!$A:$A,"BOM",DATA_GOC!$D:$D,$B188,DATA_GOC!$F:$F,"Xuất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8" s="222" t="str">
        <f>IF($B188="","",IF(AG$4&gt;DAY(EOMONTH(DATE($D$2,$B$2,1),0)),"",SUMIFS(DATA_GOC!$H:$H,DATA_GOC!$A:$A,"BOM",DATA_GOC!$D:$D,$B188,DATA_GOC!$F:$F,"Xuất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8" s="222" t="str">
        <f t="shared" si="2"/>
        <v/>
      </c>
      <c r="AI188" s="222" t="str">
        <f>IF($B188="","",SUMIFS(DATA_GOC!$H:$H,DATA_GOC!$A:$A,"BOM",DATA_GOC!$D:$D,$B188,DATA_GOC!$F:$F,"Bơm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8" s="222" t="str">
        <f t="shared" si="3"/>
        <v/>
      </c>
      <c r="AM188" s="222" t="str">
        <f>IF($B188="","",SUMIFS(DATA_GOC!$K:$K,DATA_GOC!$A:$A,"BOM",DATA_GOC!$D:$D,$B188,DATA_GOC!$G:$G,"DO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8" s="222" t="str">
        <f t="shared" si="4"/>
        <v/>
      </c>
      <c r="AO188" s="227" t="str">
        <f t="shared" si="5"/>
        <v/>
      </c>
      <c r="AP188" s="226" t="str">
        <f>IF($B188="","",IFERROR(AO188-(SUMIFS(DATA_GOC!$H:$H,DATA_GOC!$A:$A,"BOM",DATA_GOC!$D:$D,$B188,DATA_GOC!$F:$F,"Xuất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89" ht="15.0" customHeight="1">
      <c r="A189" s="61" t="str">
        <f t="shared" si="1"/>
        <v/>
      </c>
      <c r="B189" s="228" t="str">
        <f t="array" ref="B189">IFERROR(INDEX(DANH_MUC!$E:$E,ROW()-1),"")</f>
        <v/>
      </c>
      <c r="C189" s="228" t="str">
        <f>IF($B189="","",IF(C$4&gt;DAY(EOMONTH(DATE($D$2,$B$2,1),0)),"",SUMIFS(DATA_GOC!$H:$H,DATA_GOC!$A:$A,"BOM",DATA_GOC!$D:$D,$B189,DATA_GOC!$F:$F,"Xuất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89" s="61" t="str">
        <f>IF($B189="","",IF(D$4&gt;DAY(EOMONTH(DATE($D$2,$B$2,1),0)),"",SUMIFS(DATA_GOC!$H:$H,DATA_GOC!$A:$A,"BOM",DATA_GOC!$D:$D,$B189,DATA_GOC!$F:$F,"Xuất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89" s="229" t="str">
        <f>IF($B189="","",IF(E$4&gt;DAY(EOMONTH(DATE($D$2,$B$2,1),0)),"",SUMIFS(DATA_GOC!$H:$H,DATA_GOC!$A:$A,"BOM",DATA_GOC!$D:$D,$B189,DATA_GOC!$F:$F,"Xuất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89" s="229" t="str">
        <f>IF($B189="","",IF(F$4&gt;DAY(EOMONTH(DATE($D$2,$B$2,1),0)),"",SUMIFS(DATA_GOC!$H:$H,DATA_GOC!$A:$A,"BOM",DATA_GOC!$D:$D,$B189,DATA_GOC!$F:$F,"Xuất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89" s="229" t="str">
        <f>IF($B189="","",IF(G$4&gt;DAY(EOMONTH(DATE($D$2,$B$2,1),0)),"",SUMIFS(DATA_GOC!$H:$H,DATA_GOC!$A:$A,"BOM",DATA_GOC!$D:$D,$B189,DATA_GOC!$F:$F,"Xuất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89" s="228" t="str">
        <f>IF($B189="","",IF(H$4&gt;DAY(EOMONTH(DATE($D$2,$B$2,1),0)),"",SUMIFS(DATA_GOC!$H:$H,DATA_GOC!$A:$A,"BOM",DATA_GOC!$D:$D,$B189,DATA_GOC!$F:$F,"Xuất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89" s="229" t="str">
        <f>IF($B189="","",IF(I$4&gt;DAY(EOMONTH(DATE($D$2,$B$2,1),0)),"",SUMIFS(DATA_GOC!$H:$H,DATA_GOC!$A:$A,"BOM",DATA_GOC!$D:$D,$B189,DATA_GOC!$F:$F,"Xuất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89" s="229" t="str">
        <f>IF($B189="","",IF(J$4&gt;DAY(EOMONTH(DATE($D$2,$B$2,1),0)),"",SUMIFS(DATA_GOC!$H:$H,DATA_GOC!$A:$A,"BOM",DATA_GOC!$D:$D,$B189,DATA_GOC!$F:$F,"Xuất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89" s="229" t="str">
        <f>IF($B189="","",IF(K$4&gt;DAY(EOMONTH(DATE($D$2,$B$2,1),0)),"",SUMIFS(DATA_GOC!$H:$H,DATA_GOC!$A:$A,"BOM",DATA_GOC!$D:$D,$B189,DATA_GOC!$F:$F,"Xuất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89" s="229" t="str">
        <f>IF($B189="","",IF(L$4&gt;DAY(EOMONTH(DATE($D$2,$B$2,1),0)),"",SUMIFS(DATA_GOC!$H:$H,DATA_GOC!$A:$A,"BOM",DATA_GOC!$D:$D,$B189,DATA_GOC!$F:$F,"Xuất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89" s="229" t="str">
        <f>IF($B189="","",IF(M$4&gt;DAY(EOMONTH(DATE($D$2,$B$2,1),0)),"",SUMIFS(DATA_GOC!$H:$H,DATA_GOC!$A:$A,"BOM",DATA_GOC!$D:$D,$B189,DATA_GOC!$F:$F,"Xuất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89" s="61" t="str">
        <f>IF($B189="","",IF(N$4&gt;DAY(EOMONTH(DATE($D$2,$B$2,1),0)),"",SUMIFS(DATA_GOC!$H:$H,DATA_GOC!$A:$A,"BOM",DATA_GOC!$D:$D,$B189,DATA_GOC!$F:$F,"Xuất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89" s="61" t="str">
        <f>IF($B189="","",IF(O$4&gt;DAY(EOMONTH(DATE($D$2,$B$2,1),0)),"",SUMIFS(DATA_GOC!$H:$H,DATA_GOC!$A:$A,"BOM",DATA_GOC!$D:$D,$B189,DATA_GOC!$F:$F,"Xuất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89" s="61" t="str">
        <f>IF($B189="","",IF(P$4&gt;DAY(EOMONTH(DATE($D$2,$B$2,1),0)),"",SUMIFS(DATA_GOC!$H:$H,DATA_GOC!$A:$A,"BOM",DATA_GOC!$D:$D,$B189,DATA_GOC!$F:$F,"Xuất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89" s="61" t="str">
        <f>IF($B189="","",IF(Q$4&gt;DAY(EOMONTH(DATE($D$2,$B$2,1),0)),"",SUMIFS(DATA_GOC!$H:$H,DATA_GOC!$A:$A,"BOM",DATA_GOC!$D:$D,$B189,DATA_GOC!$F:$F,"Xuất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89" s="61" t="str">
        <f>IF($B189="","",IF(R$4&gt;DAY(EOMONTH(DATE($D$2,$B$2,1),0)),"",SUMIFS(DATA_GOC!$H:$H,DATA_GOC!$A:$A,"BOM",DATA_GOC!$D:$D,$B189,DATA_GOC!$F:$F,"Xuất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89" s="61" t="str">
        <f>IF($B189="","",IF(S$4&gt;DAY(EOMONTH(DATE($D$2,$B$2,1),0)),"",SUMIFS(DATA_GOC!$H:$H,DATA_GOC!$A:$A,"BOM",DATA_GOC!$D:$D,$B189,DATA_GOC!$F:$F,"Xuất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89" s="61" t="str">
        <f>IF($B189="","",IF(T$4&gt;DAY(EOMONTH(DATE($D$2,$B$2,1),0)),"",SUMIFS(DATA_GOC!$H:$H,DATA_GOC!$A:$A,"BOM",DATA_GOC!$D:$D,$B189,DATA_GOC!$F:$F,"Xuất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89" s="61" t="str">
        <f>IF($B189="","",IF(U$4&gt;DAY(EOMONTH(DATE($D$2,$B$2,1),0)),"",SUMIFS(DATA_GOC!$H:$H,DATA_GOC!$A:$A,"BOM",DATA_GOC!$D:$D,$B189,DATA_GOC!$F:$F,"Xuất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89" s="61" t="str">
        <f>IF($B189="","",IF(V$4&gt;DAY(EOMONTH(DATE($D$2,$B$2,1),0)),"",SUMIFS(DATA_GOC!$H:$H,DATA_GOC!$A:$A,"BOM",DATA_GOC!$D:$D,$B189,DATA_GOC!$F:$F,"Xuất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89" s="61" t="str">
        <f>IF($B189="","",IF(W$4&gt;DAY(EOMONTH(DATE($D$2,$B$2,1),0)),"",SUMIFS(DATA_GOC!$H:$H,DATA_GOC!$A:$A,"BOM",DATA_GOC!$D:$D,$B189,DATA_GOC!$F:$F,"Xuất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89" s="61" t="str">
        <f>IF($B189="","",IF(X$4&gt;DAY(EOMONTH(DATE($D$2,$B$2,1),0)),"",SUMIFS(DATA_GOC!$H:$H,DATA_GOC!$A:$A,"BOM",DATA_GOC!$D:$D,$B189,DATA_GOC!$F:$F,"Xuất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89" s="61" t="str">
        <f>IF($B189="","",IF(Y$4&gt;DAY(EOMONTH(DATE($D$2,$B$2,1),0)),"",SUMIFS(DATA_GOC!$H:$H,DATA_GOC!$A:$A,"BOM",DATA_GOC!$D:$D,$B189,DATA_GOC!$F:$F,"Xuất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89" s="61" t="str">
        <f>IF($B189="","",IF(Z$4&gt;DAY(EOMONTH(DATE($D$2,$B$2,1),0)),"",SUMIFS(DATA_GOC!$H:$H,DATA_GOC!$A:$A,"BOM",DATA_GOC!$D:$D,$B189,DATA_GOC!$F:$F,"Xuất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89" s="61" t="str">
        <f>IF($B189="","",IF(AA$4&gt;DAY(EOMONTH(DATE($D$2,$B$2,1),0)),"",SUMIFS(DATA_GOC!$H:$H,DATA_GOC!$A:$A,"BOM",DATA_GOC!$D:$D,$B189,DATA_GOC!$F:$F,"Xuất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89" s="61" t="str">
        <f>IF($B189="","",IF(AB$4&gt;DAY(EOMONTH(DATE($D$2,$B$2,1),0)),"",SUMIFS(DATA_GOC!$H:$H,DATA_GOC!$A:$A,"BOM",DATA_GOC!$D:$D,$B189,DATA_GOC!$F:$F,"Xuất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89" s="61" t="str">
        <f>IF($B189="","",IF(AC$4&gt;DAY(EOMONTH(DATE($D$2,$B$2,1),0)),"",SUMIFS(DATA_GOC!$H:$H,DATA_GOC!$A:$A,"BOM",DATA_GOC!$D:$D,$B189,DATA_GOC!$F:$F,"Xuất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89" s="222" t="str">
        <f>IF($B189="","",IF(AD$4&gt;DAY(EOMONTH(DATE($D$2,$B$2,1),0)),"",SUMIFS(DATA_GOC!$H:$H,DATA_GOC!$A:$A,"BOM",DATA_GOC!$D:$D,$B189,DATA_GOC!$F:$F,"Xuất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89" s="222" t="str">
        <f>IF($B189="","",IF(AE$4&gt;DAY(EOMONTH(DATE($D$2,$B$2,1),0)),"",SUMIFS(DATA_GOC!$H:$H,DATA_GOC!$A:$A,"BOM",DATA_GOC!$D:$D,$B189,DATA_GOC!$F:$F,"Xuất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89" s="222" t="str">
        <f>IF($B189="","",IF(AF$4&gt;DAY(EOMONTH(DATE($D$2,$B$2,1),0)),"",SUMIFS(DATA_GOC!$H:$H,DATA_GOC!$A:$A,"BOM",DATA_GOC!$D:$D,$B189,DATA_GOC!$F:$F,"Xuất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89" s="222" t="str">
        <f>IF($B189="","",IF(AG$4&gt;DAY(EOMONTH(DATE($D$2,$B$2,1),0)),"",SUMIFS(DATA_GOC!$H:$H,DATA_GOC!$A:$A,"BOM",DATA_GOC!$D:$D,$B189,DATA_GOC!$F:$F,"Xuất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89" s="222" t="str">
        <f t="shared" si="2"/>
        <v/>
      </c>
      <c r="AI189" s="222" t="str">
        <f>IF($B189="","",SUMIFS(DATA_GOC!$H:$H,DATA_GOC!$A:$A,"BOM",DATA_GOC!$D:$D,$B189,DATA_GOC!$F:$F,"Bơm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89" s="222" t="str">
        <f t="shared" si="3"/>
        <v/>
      </c>
      <c r="AM189" s="222" t="str">
        <f>IF($B189="","",SUMIFS(DATA_GOC!$K:$K,DATA_GOC!$A:$A,"BOM",DATA_GOC!$D:$D,$B189,DATA_GOC!$G:$G,"DO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89" s="222" t="str">
        <f t="shared" si="4"/>
        <v/>
      </c>
      <c r="AO189" s="227" t="str">
        <f t="shared" si="5"/>
        <v/>
      </c>
      <c r="AP189" s="226" t="str">
        <f>IF($B189="","",IFERROR(AO189-(SUMIFS(DATA_GOC!$H:$H,DATA_GOC!$A:$A,"BOM",DATA_GOC!$D:$D,$B189,DATA_GOC!$F:$F,"Xuất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số",DATA_GOC!$B:$B,"&gt;="&amp;EDATE(DATE($D$2,$B$2,1),-1),DATA_GOC!$B:$B,"&lt;"&amp;DATE($D$2,$B$2,1))/SUMIFS(DATA_GOC!$K:$K,DATA_GOC!$A:$A,"BOM",DATA_GOC!$D:$D,$B189,DATA_GOC!$G:$G,"DO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0" ht="15.0" customHeight="1">
      <c r="A190" s="61" t="str">
        <f t="shared" si="1"/>
        <v/>
      </c>
      <c r="B190" s="228" t="str">
        <f t="array" ref="B190">IFERROR(INDEX(DANH_MUC!$E:$E,ROW()-1),"")</f>
        <v/>
      </c>
      <c r="C190" s="228" t="str">
        <f>IF($B190="","",IF(C$4&gt;DAY(EOMONTH(DATE($D$2,$B$2,1),0)),"",SUMIFS(DATA_GOC!$H:$H,DATA_GOC!$A:$A,"BOM",DATA_GOC!$D:$D,$B190,DATA_GOC!$F:$F,"Xuất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0" s="61" t="str">
        <f>IF($B190="","",IF(D$4&gt;DAY(EOMONTH(DATE($D$2,$B$2,1),0)),"",SUMIFS(DATA_GOC!$H:$H,DATA_GOC!$A:$A,"BOM",DATA_GOC!$D:$D,$B190,DATA_GOC!$F:$F,"Xuất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0" s="229" t="str">
        <f>IF($B190="","",IF(E$4&gt;DAY(EOMONTH(DATE($D$2,$B$2,1),0)),"",SUMIFS(DATA_GOC!$H:$H,DATA_GOC!$A:$A,"BOM",DATA_GOC!$D:$D,$B190,DATA_GOC!$F:$F,"Xuất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0" s="229" t="str">
        <f>IF($B190="","",IF(F$4&gt;DAY(EOMONTH(DATE($D$2,$B$2,1),0)),"",SUMIFS(DATA_GOC!$H:$H,DATA_GOC!$A:$A,"BOM",DATA_GOC!$D:$D,$B190,DATA_GOC!$F:$F,"Xuất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0" s="229" t="str">
        <f>IF($B190="","",IF(G$4&gt;DAY(EOMONTH(DATE($D$2,$B$2,1),0)),"",SUMIFS(DATA_GOC!$H:$H,DATA_GOC!$A:$A,"BOM",DATA_GOC!$D:$D,$B190,DATA_GOC!$F:$F,"Xuất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0" s="228" t="str">
        <f>IF($B190="","",IF(H$4&gt;DAY(EOMONTH(DATE($D$2,$B$2,1),0)),"",SUMIFS(DATA_GOC!$H:$H,DATA_GOC!$A:$A,"BOM",DATA_GOC!$D:$D,$B190,DATA_GOC!$F:$F,"Xuất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0" s="229" t="str">
        <f>IF($B190="","",IF(I$4&gt;DAY(EOMONTH(DATE($D$2,$B$2,1),0)),"",SUMIFS(DATA_GOC!$H:$H,DATA_GOC!$A:$A,"BOM",DATA_GOC!$D:$D,$B190,DATA_GOC!$F:$F,"Xuất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0" s="229" t="str">
        <f>IF($B190="","",IF(J$4&gt;DAY(EOMONTH(DATE($D$2,$B$2,1),0)),"",SUMIFS(DATA_GOC!$H:$H,DATA_GOC!$A:$A,"BOM",DATA_GOC!$D:$D,$B190,DATA_GOC!$F:$F,"Xuất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0" s="229" t="str">
        <f>IF($B190="","",IF(K$4&gt;DAY(EOMONTH(DATE($D$2,$B$2,1),0)),"",SUMIFS(DATA_GOC!$H:$H,DATA_GOC!$A:$A,"BOM",DATA_GOC!$D:$D,$B190,DATA_GOC!$F:$F,"Xuất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0" s="229" t="str">
        <f>IF($B190="","",IF(L$4&gt;DAY(EOMONTH(DATE($D$2,$B$2,1),0)),"",SUMIFS(DATA_GOC!$H:$H,DATA_GOC!$A:$A,"BOM",DATA_GOC!$D:$D,$B190,DATA_GOC!$F:$F,"Xuất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0" s="229" t="str">
        <f>IF($B190="","",IF(M$4&gt;DAY(EOMONTH(DATE($D$2,$B$2,1),0)),"",SUMIFS(DATA_GOC!$H:$H,DATA_GOC!$A:$A,"BOM",DATA_GOC!$D:$D,$B190,DATA_GOC!$F:$F,"Xuất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0" s="61" t="str">
        <f>IF($B190="","",IF(N$4&gt;DAY(EOMONTH(DATE($D$2,$B$2,1),0)),"",SUMIFS(DATA_GOC!$H:$H,DATA_GOC!$A:$A,"BOM",DATA_GOC!$D:$D,$B190,DATA_GOC!$F:$F,"Xuất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0" s="61" t="str">
        <f>IF($B190="","",IF(O$4&gt;DAY(EOMONTH(DATE($D$2,$B$2,1),0)),"",SUMIFS(DATA_GOC!$H:$H,DATA_GOC!$A:$A,"BOM",DATA_GOC!$D:$D,$B190,DATA_GOC!$F:$F,"Xuất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0" s="61" t="str">
        <f>IF($B190="","",IF(P$4&gt;DAY(EOMONTH(DATE($D$2,$B$2,1),0)),"",SUMIFS(DATA_GOC!$H:$H,DATA_GOC!$A:$A,"BOM",DATA_GOC!$D:$D,$B190,DATA_GOC!$F:$F,"Xuất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0" s="61" t="str">
        <f>IF($B190="","",IF(Q$4&gt;DAY(EOMONTH(DATE($D$2,$B$2,1),0)),"",SUMIFS(DATA_GOC!$H:$H,DATA_GOC!$A:$A,"BOM",DATA_GOC!$D:$D,$B190,DATA_GOC!$F:$F,"Xuất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0" s="61" t="str">
        <f>IF($B190="","",IF(R$4&gt;DAY(EOMONTH(DATE($D$2,$B$2,1),0)),"",SUMIFS(DATA_GOC!$H:$H,DATA_GOC!$A:$A,"BOM",DATA_GOC!$D:$D,$B190,DATA_GOC!$F:$F,"Xuất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0" s="61" t="str">
        <f>IF($B190="","",IF(S$4&gt;DAY(EOMONTH(DATE($D$2,$B$2,1),0)),"",SUMIFS(DATA_GOC!$H:$H,DATA_GOC!$A:$A,"BOM",DATA_GOC!$D:$D,$B190,DATA_GOC!$F:$F,"Xuất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0" s="61" t="str">
        <f>IF($B190="","",IF(T$4&gt;DAY(EOMONTH(DATE($D$2,$B$2,1),0)),"",SUMIFS(DATA_GOC!$H:$H,DATA_GOC!$A:$A,"BOM",DATA_GOC!$D:$D,$B190,DATA_GOC!$F:$F,"Xuất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0" s="61" t="str">
        <f>IF($B190="","",IF(U$4&gt;DAY(EOMONTH(DATE($D$2,$B$2,1),0)),"",SUMIFS(DATA_GOC!$H:$H,DATA_GOC!$A:$A,"BOM",DATA_GOC!$D:$D,$B190,DATA_GOC!$F:$F,"Xuất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0" s="61" t="str">
        <f>IF($B190="","",IF(V$4&gt;DAY(EOMONTH(DATE($D$2,$B$2,1),0)),"",SUMIFS(DATA_GOC!$H:$H,DATA_GOC!$A:$A,"BOM",DATA_GOC!$D:$D,$B190,DATA_GOC!$F:$F,"Xuất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0" s="61" t="str">
        <f>IF($B190="","",IF(W$4&gt;DAY(EOMONTH(DATE($D$2,$B$2,1),0)),"",SUMIFS(DATA_GOC!$H:$H,DATA_GOC!$A:$A,"BOM",DATA_GOC!$D:$D,$B190,DATA_GOC!$F:$F,"Xuất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0" s="61" t="str">
        <f>IF($B190="","",IF(X$4&gt;DAY(EOMONTH(DATE($D$2,$B$2,1),0)),"",SUMIFS(DATA_GOC!$H:$H,DATA_GOC!$A:$A,"BOM",DATA_GOC!$D:$D,$B190,DATA_GOC!$F:$F,"Xuất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0" s="61" t="str">
        <f>IF($B190="","",IF(Y$4&gt;DAY(EOMONTH(DATE($D$2,$B$2,1),0)),"",SUMIFS(DATA_GOC!$H:$H,DATA_GOC!$A:$A,"BOM",DATA_GOC!$D:$D,$B190,DATA_GOC!$F:$F,"Xuất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0" s="61" t="str">
        <f>IF($B190="","",IF(Z$4&gt;DAY(EOMONTH(DATE($D$2,$B$2,1),0)),"",SUMIFS(DATA_GOC!$H:$H,DATA_GOC!$A:$A,"BOM",DATA_GOC!$D:$D,$B190,DATA_GOC!$F:$F,"Xuất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0" s="61" t="str">
        <f>IF($B190="","",IF(AA$4&gt;DAY(EOMONTH(DATE($D$2,$B$2,1),0)),"",SUMIFS(DATA_GOC!$H:$H,DATA_GOC!$A:$A,"BOM",DATA_GOC!$D:$D,$B190,DATA_GOC!$F:$F,"Xuất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0" s="61" t="str">
        <f>IF($B190="","",IF(AB$4&gt;DAY(EOMONTH(DATE($D$2,$B$2,1),0)),"",SUMIFS(DATA_GOC!$H:$H,DATA_GOC!$A:$A,"BOM",DATA_GOC!$D:$D,$B190,DATA_GOC!$F:$F,"Xuất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0" s="61" t="str">
        <f>IF($B190="","",IF(AC$4&gt;DAY(EOMONTH(DATE($D$2,$B$2,1),0)),"",SUMIFS(DATA_GOC!$H:$H,DATA_GOC!$A:$A,"BOM",DATA_GOC!$D:$D,$B190,DATA_GOC!$F:$F,"Xuất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0" s="222" t="str">
        <f>IF($B190="","",IF(AD$4&gt;DAY(EOMONTH(DATE($D$2,$B$2,1),0)),"",SUMIFS(DATA_GOC!$H:$H,DATA_GOC!$A:$A,"BOM",DATA_GOC!$D:$D,$B190,DATA_GOC!$F:$F,"Xuất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0" s="222" t="str">
        <f>IF($B190="","",IF(AE$4&gt;DAY(EOMONTH(DATE($D$2,$B$2,1),0)),"",SUMIFS(DATA_GOC!$H:$H,DATA_GOC!$A:$A,"BOM",DATA_GOC!$D:$D,$B190,DATA_GOC!$F:$F,"Xuất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0" s="222" t="str">
        <f>IF($B190="","",IF(AF$4&gt;DAY(EOMONTH(DATE($D$2,$B$2,1),0)),"",SUMIFS(DATA_GOC!$H:$H,DATA_GOC!$A:$A,"BOM",DATA_GOC!$D:$D,$B190,DATA_GOC!$F:$F,"Xuất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0" s="222" t="str">
        <f>IF($B190="","",IF(AG$4&gt;DAY(EOMONTH(DATE($D$2,$B$2,1),0)),"",SUMIFS(DATA_GOC!$H:$H,DATA_GOC!$A:$A,"BOM",DATA_GOC!$D:$D,$B190,DATA_GOC!$F:$F,"Xuất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0" s="222" t="str">
        <f t="shared" si="2"/>
        <v/>
      </c>
      <c r="AI190" s="222" t="str">
        <f>IF($B190="","",SUMIFS(DATA_GOC!$H:$H,DATA_GOC!$A:$A,"BOM",DATA_GOC!$D:$D,$B190,DATA_GOC!$F:$F,"Bơm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0" s="222" t="str">
        <f t="shared" si="3"/>
        <v/>
      </c>
      <c r="AM190" s="222" t="str">
        <f>IF($B190="","",SUMIFS(DATA_GOC!$K:$K,DATA_GOC!$A:$A,"BOM",DATA_GOC!$D:$D,$B190,DATA_GOC!$G:$G,"DO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0" s="222" t="str">
        <f t="shared" si="4"/>
        <v/>
      </c>
      <c r="AO190" s="227" t="str">
        <f t="shared" si="5"/>
        <v/>
      </c>
      <c r="AP190" s="226" t="str">
        <f>IF($B190="","",IFERROR(AO190-(SUMIFS(DATA_GOC!$H:$H,DATA_GOC!$A:$A,"BOM",DATA_GOC!$D:$D,$B190,DATA_GOC!$F:$F,"Xuất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1" ht="15.0" customHeight="1">
      <c r="A191" s="61" t="str">
        <f t="shared" si="1"/>
        <v/>
      </c>
      <c r="B191" s="228" t="str">
        <f t="array" ref="B191">IFERROR(INDEX(DANH_MUC!$E:$E,ROW()-1),"")</f>
        <v/>
      </c>
      <c r="C191" s="228" t="str">
        <f>IF($B191="","",IF(C$4&gt;DAY(EOMONTH(DATE($D$2,$B$2,1),0)),"",SUMIFS(DATA_GOC!$H:$H,DATA_GOC!$A:$A,"BOM",DATA_GOC!$D:$D,$B191,DATA_GOC!$F:$F,"Xuất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1" s="61" t="str">
        <f>IF($B191="","",IF(D$4&gt;DAY(EOMONTH(DATE($D$2,$B$2,1),0)),"",SUMIFS(DATA_GOC!$H:$H,DATA_GOC!$A:$A,"BOM",DATA_GOC!$D:$D,$B191,DATA_GOC!$F:$F,"Xuất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1" s="229" t="str">
        <f>IF($B191="","",IF(E$4&gt;DAY(EOMONTH(DATE($D$2,$B$2,1),0)),"",SUMIFS(DATA_GOC!$H:$H,DATA_GOC!$A:$A,"BOM",DATA_GOC!$D:$D,$B191,DATA_GOC!$F:$F,"Xuất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1" s="229" t="str">
        <f>IF($B191="","",IF(F$4&gt;DAY(EOMONTH(DATE($D$2,$B$2,1),0)),"",SUMIFS(DATA_GOC!$H:$H,DATA_GOC!$A:$A,"BOM",DATA_GOC!$D:$D,$B191,DATA_GOC!$F:$F,"Xuất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1" s="229" t="str">
        <f>IF($B191="","",IF(G$4&gt;DAY(EOMONTH(DATE($D$2,$B$2,1),0)),"",SUMIFS(DATA_GOC!$H:$H,DATA_GOC!$A:$A,"BOM",DATA_GOC!$D:$D,$B191,DATA_GOC!$F:$F,"Xuất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1" s="228" t="str">
        <f>IF($B191="","",IF(H$4&gt;DAY(EOMONTH(DATE($D$2,$B$2,1),0)),"",SUMIFS(DATA_GOC!$H:$H,DATA_GOC!$A:$A,"BOM",DATA_GOC!$D:$D,$B191,DATA_GOC!$F:$F,"Xuất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1" s="229" t="str">
        <f>IF($B191="","",IF(I$4&gt;DAY(EOMONTH(DATE($D$2,$B$2,1),0)),"",SUMIFS(DATA_GOC!$H:$H,DATA_GOC!$A:$A,"BOM",DATA_GOC!$D:$D,$B191,DATA_GOC!$F:$F,"Xuất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1" s="229" t="str">
        <f>IF($B191="","",IF(J$4&gt;DAY(EOMONTH(DATE($D$2,$B$2,1),0)),"",SUMIFS(DATA_GOC!$H:$H,DATA_GOC!$A:$A,"BOM",DATA_GOC!$D:$D,$B191,DATA_GOC!$F:$F,"Xuất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1" s="229" t="str">
        <f>IF($B191="","",IF(K$4&gt;DAY(EOMONTH(DATE($D$2,$B$2,1),0)),"",SUMIFS(DATA_GOC!$H:$H,DATA_GOC!$A:$A,"BOM",DATA_GOC!$D:$D,$B191,DATA_GOC!$F:$F,"Xuất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1" s="229" t="str">
        <f>IF($B191="","",IF(L$4&gt;DAY(EOMONTH(DATE($D$2,$B$2,1),0)),"",SUMIFS(DATA_GOC!$H:$H,DATA_GOC!$A:$A,"BOM",DATA_GOC!$D:$D,$B191,DATA_GOC!$F:$F,"Xuất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1" s="229" t="str">
        <f>IF($B191="","",IF(M$4&gt;DAY(EOMONTH(DATE($D$2,$B$2,1),0)),"",SUMIFS(DATA_GOC!$H:$H,DATA_GOC!$A:$A,"BOM",DATA_GOC!$D:$D,$B191,DATA_GOC!$F:$F,"Xuất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1" s="61" t="str">
        <f>IF($B191="","",IF(N$4&gt;DAY(EOMONTH(DATE($D$2,$B$2,1),0)),"",SUMIFS(DATA_GOC!$H:$H,DATA_GOC!$A:$A,"BOM",DATA_GOC!$D:$D,$B191,DATA_GOC!$F:$F,"Xuất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1" s="61" t="str">
        <f>IF($B191="","",IF(O$4&gt;DAY(EOMONTH(DATE($D$2,$B$2,1),0)),"",SUMIFS(DATA_GOC!$H:$H,DATA_GOC!$A:$A,"BOM",DATA_GOC!$D:$D,$B191,DATA_GOC!$F:$F,"Xuất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1" s="61" t="str">
        <f>IF($B191="","",IF(P$4&gt;DAY(EOMONTH(DATE($D$2,$B$2,1),0)),"",SUMIFS(DATA_GOC!$H:$H,DATA_GOC!$A:$A,"BOM",DATA_GOC!$D:$D,$B191,DATA_GOC!$F:$F,"Xuất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1" s="61" t="str">
        <f>IF($B191="","",IF(Q$4&gt;DAY(EOMONTH(DATE($D$2,$B$2,1),0)),"",SUMIFS(DATA_GOC!$H:$H,DATA_GOC!$A:$A,"BOM",DATA_GOC!$D:$D,$B191,DATA_GOC!$F:$F,"Xuất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1" s="61" t="str">
        <f>IF($B191="","",IF(R$4&gt;DAY(EOMONTH(DATE($D$2,$B$2,1),0)),"",SUMIFS(DATA_GOC!$H:$H,DATA_GOC!$A:$A,"BOM",DATA_GOC!$D:$D,$B191,DATA_GOC!$F:$F,"Xuất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1" s="61" t="str">
        <f>IF($B191="","",IF(S$4&gt;DAY(EOMONTH(DATE($D$2,$B$2,1),0)),"",SUMIFS(DATA_GOC!$H:$H,DATA_GOC!$A:$A,"BOM",DATA_GOC!$D:$D,$B191,DATA_GOC!$F:$F,"Xuất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1" s="61" t="str">
        <f>IF($B191="","",IF(T$4&gt;DAY(EOMONTH(DATE($D$2,$B$2,1),0)),"",SUMIFS(DATA_GOC!$H:$H,DATA_GOC!$A:$A,"BOM",DATA_GOC!$D:$D,$B191,DATA_GOC!$F:$F,"Xuất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1" s="61" t="str">
        <f>IF($B191="","",IF(U$4&gt;DAY(EOMONTH(DATE($D$2,$B$2,1),0)),"",SUMIFS(DATA_GOC!$H:$H,DATA_GOC!$A:$A,"BOM",DATA_GOC!$D:$D,$B191,DATA_GOC!$F:$F,"Xuất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1" s="61" t="str">
        <f>IF($B191="","",IF(V$4&gt;DAY(EOMONTH(DATE($D$2,$B$2,1),0)),"",SUMIFS(DATA_GOC!$H:$H,DATA_GOC!$A:$A,"BOM",DATA_GOC!$D:$D,$B191,DATA_GOC!$F:$F,"Xuất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1" s="61" t="str">
        <f>IF($B191="","",IF(W$4&gt;DAY(EOMONTH(DATE($D$2,$B$2,1),0)),"",SUMIFS(DATA_GOC!$H:$H,DATA_GOC!$A:$A,"BOM",DATA_GOC!$D:$D,$B191,DATA_GOC!$F:$F,"Xuất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1" s="61" t="str">
        <f>IF($B191="","",IF(X$4&gt;DAY(EOMONTH(DATE($D$2,$B$2,1),0)),"",SUMIFS(DATA_GOC!$H:$H,DATA_GOC!$A:$A,"BOM",DATA_GOC!$D:$D,$B191,DATA_GOC!$F:$F,"Xuất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1" s="61" t="str">
        <f>IF($B191="","",IF(Y$4&gt;DAY(EOMONTH(DATE($D$2,$B$2,1),0)),"",SUMIFS(DATA_GOC!$H:$H,DATA_GOC!$A:$A,"BOM",DATA_GOC!$D:$D,$B191,DATA_GOC!$F:$F,"Xuất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1" s="61" t="str">
        <f>IF($B191="","",IF(Z$4&gt;DAY(EOMONTH(DATE($D$2,$B$2,1),0)),"",SUMIFS(DATA_GOC!$H:$H,DATA_GOC!$A:$A,"BOM",DATA_GOC!$D:$D,$B191,DATA_GOC!$F:$F,"Xuất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1" s="61" t="str">
        <f>IF($B191="","",IF(AA$4&gt;DAY(EOMONTH(DATE($D$2,$B$2,1),0)),"",SUMIFS(DATA_GOC!$H:$H,DATA_GOC!$A:$A,"BOM",DATA_GOC!$D:$D,$B191,DATA_GOC!$F:$F,"Xuất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1" s="61" t="str">
        <f>IF($B191="","",IF(AB$4&gt;DAY(EOMONTH(DATE($D$2,$B$2,1),0)),"",SUMIFS(DATA_GOC!$H:$H,DATA_GOC!$A:$A,"BOM",DATA_GOC!$D:$D,$B191,DATA_GOC!$F:$F,"Xuất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1" s="61" t="str">
        <f>IF($B191="","",IF(AC$4&gt;DAY(EOMONTH(DATE($D$2,$B$2,1),0)),"",SUMIFS(DATA_GOC!$H:$H,DATA_GOC!$A:$A,"BOM",DATA_GOC!$D:$D,$B191,DATA_GOC!$F:$F,"Xuất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1" s="222" t="str">
        <f>IF($B191="","",IF(AD$4&gt;DAY(EOMONTH(DATE($D$2,$B$2,1),0)),"",SUMIFS(DATA_GOC!$H:$H,DATA_GOC!$A:$A,"BOM",DATA_GOC!$D:$D,$B191,DATA_GOC!$F:$F,"Xuất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1" s="222" t="str">
        <f>IF($B191="","",IF(AE$4&gt;DAY(EOMONTH(DATE($D$2,$B$2,1),0)),"",SUMIFS(DATA_GOC!$H:$H,DATA_GOC!$A:$A,"BOM",DATA_GOC!$D:$D,$B191,DATA_GOC!$F:$F,"Xuất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1" s="222" t="str">
        <f>IF($B191="","",IF(AF$4&gt;DAY(EOMONTH(DATE($D$2,$B$2,1),0)),"",SUMIFS(DATA_GOC!$H:$H,DATA_GOC!$A:$A,"BOM",DATA_GOC!$D:$D,$B191,DATA_GOC!$F:$F,"Xuất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1" s="222" t="str">
        <f>IF($B191="","",IF(AG$4&gt;DAY(EOMONTH(DATE($D$2,$B$2,1),0)),"",SUMIFS(DATA_GOC!$H:$H,DATA_GOC!$A:$A,"BOM",DATA_GOC!$D:$D,$B191,DATA_GOC!$F:$F,"Xuất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1" s="222" t="str">
        <f t="shared" si="2"/>
        <v/>
      </c>
      <c r="AI191" s="222" t="str">
        <f>IF($B191="","",SUMIFS(DATA_GOC!$H:$H,DATA_GOC!$A:$A,"BOM",DATA_GOC!$D:$D,$B191,DATA_GOC!$F:$F,"Bơm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1" s="222" t="str">
        <f t="shared" si="3"/>
        <v/>
      </c>
      <c r="AM191" s="222" t="str">
        <f>IF($B191="","",SUMIFS(DATA_GOC!$K:$K,DATA_GOC!$A:$A,"BOM",DATA_GOC!$D:$D,$B191,DATA_GOC!$G:$G,"DO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1" s="222" t="str">
        <f t="shared" si="4"/>
        <v/>
      </c>
      <c r="AO191" s="227" t="str">
        <f t="shared" si="5"/>
        <v/>
      </c>
      <c r="AP191" s="226" t="str">
        <f>IF($B191="","",IFERROR(AO191-(SUMIFS(DATA_GOC!$H:$H,DATA_GOC!$A:$A,"BOM",DATA_GOC!$D:$D,$B191,DATA_GOC!$F:$F,"Xuất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2" ht="15.0" customHeight="1">
      <c r="A192" s="61" t="str">
        <f t="shared" si="1"/>
        <v/>
      </c>
      <c r="B192" s="228" t="str">
        <f t="array" ref="B192">IFERROR(INDEX(DANH_MUC!$E:$E,ROW()-1),"")</f>
        <v/>
      </c>
      <c r="C192" s="228" t="str">
        <f>IF($B192="","",IF(C$4&gt;DAY(EOMONTH(DATE($D$2,$B$2,1),0)),"",SUMIFS(DATA_GOC!$H:$H,DATA_GOC!$A:$A,"BOM",DATA_GOC!$D:$D,$B192,DATA_GOC!$F:$F,"Xuất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2" s="61" t="str">
        <f>IF($B192="","",IF(D$4&gt;DAY(EOMONTH(DATE($D$2,$B$2,1),0)),"",SUMIFS(DATA_GOC!$H:$H,DATA_GOC!$A:$A,"BOM",DATA_GOC!$D:$D,$B192,DATA_GOC!$F:$F,"Xuất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2" s="229" t="str">
        <f>IF($B192="","",IF(E$4&gt;DAY(EOMONTH(DATE($D$2,$B$2,1),0)),"",SUMIFS(DATA_GOC!$H:$H,DATA_GOC!$A:$A,"BOM",DATA_GOC!$D:$D,$B192,DATA_GOC!$F:$F,"Xuất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2" s="229" t="str">
        <f>IF($B192="","",IF(F$4&gt;DAY(EOMONTH(DATE($D$2,$B$2,1),0)),"",SUMIFS(DATA_GOC!$H:$H,DATA_GOC!$A:$A,"BOM",DATA_GOC!$D:$D,$B192,DATA_GOC!$F:$F,"Xuất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2" s="229" t="str">
        <f>IF($B192="","",IF(G$4&gt;DAY(EOMONTH(DATE($D$2,$B$2,1),0)),"",SUMIFS(DATA_GOC!$H:$H,DATA_GOC!$A:$A,"BOM",DATA_GOC!$D:$D,$B192,DATA_GOC!$F:$F,"Xuất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2" s="228" t="str">
        <f>IF($B192="","",IF(H$4&gt;DAY(EOMONTH(DATE($D$2,$B$2,1),0)),"",SUMIFS(DATA_GOC!$H:$H,DATA_GOC!$A:$A,"BOM",DATA_GOC!$D:$D,$B192,DATA_GOC!$F:$F,"Xuất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2" s="229" t="str">
        <f>IF($B192="","",IF(I$4&gt;DAY(EOMONTH(DATE($D$2,$B$2,1),0)),"",SUMIFS(DATA_GOC!$H:$H,DATA_GOC!$A:$A,"BOM",DATA_GOC!$D:$D,$B192,DATA_GOC!$F:$F,"Xuất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2" s="229" t="str">
        <f>IF($B192="","",IF(J$4&gt;DAY(EOMONTH(DATE($D$2,$B$2,1),0)),"",SUMIFS(DATA_GOC!$H:$H,DATA_GOC!$A:$A,"BOM",DATA_GOC!$D:$D,$B192,DATA_GOC!$F:$F,"Xuất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2" s="229" t="str">
        <f>IF($B192="","",IF(K$4&gt;DAY(EOMONTH(DATE($D$2,$B$2,1),0)),"",SUMIFS(DATA_GOC!$H:$H,DATA_GOC!$A:$A,"BOM",DATA_GOC!$D:$D,$B192,DATA_GOC!$F:$F,"Xuất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2" s="229" t="str">
        <f>IF($B192="","",IF(L$4&gt;DAY(EOMONTH(DATE($D$2,$B$2,1),0)),"",SUMIFS(DATA_GOC!$H:$H,DATA_GOC!$A:$A,"BOM",DATA_GOC!$D:$D,$B192,DATA_GOC!$F:$F,"Xuất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2" s="229" t="str">
        <f>IF($B192="","",IF(M$4&gt;DAY(EOMONTH(DATE($D$2,$B$2,1),0)),"",SUMIFS(DATA_GOC!$H:$H,DATA_GOC!$A:$A,"BOM",DATA_GOC!$D:$D,$B192,DATA_GOC!$F:$F,"Xuất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2" s="61" t="str">
        <f>IF($B192="","",IF(N$4&gt;DAY(EOMONTH(DATE($D$2,$B$2,1),0)),"",SUMIFS(DATA_GOC!$H:$H,DATA_GOC!$A:$A,"BOM",DATA_GOC!$D:$D,$B192,DATA_GOC!$F:$F,"Xuất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2" s="61" t="str">
        <f>IF($B192="","",IF(O$4&gt;DAY(EOMONTH(DATE($D$2,$B$2,1),0)),"",SUMIFS(DATA_GOC!$H:$H,DATA_GOC!$A:$A,"BOM",DATA_GOC!$D:$D,$B192,DATA_GOC!$F:$F,"Xuất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2" s="61" t="str">
        <f>IF($B192="","",IF(P$4&gt;DAY(EOMONTH(DATE($D$2,$B$2,1),0)),"",SUMIFS(DATA_GOC!$H:$H,DATA_GOC!$A:$A,"BOM",DATA_GOC!$D:$D,$B192,DATA_GOC!$F:$F,"Xuất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2" s="61" t="str">
        <f>IF($B192="","",IF(Q$4&gt;DAY(EOMONTH(DATE($D$2,$B$2,1),0)),"",SUMIFS(DATA_GOC!$H:$H,DATA_GOC!$A:$A,"BOM",DATA_GOC!$D:$D,$B192,DATA_GOC!$F:$F,"Xuất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2" s="61" t="str">
        <f>IF($B192="","",IF(R$4&gt;DAY(EOMONTH(DATE($D$2,$B$2,1),0)),"",SUMIFS(DATA_GOC!$H:$H,DATA_GOC!$A:$A,"BOM",DATA_GOC!$D:$D,$B192,DATA_GOC!$F:$F,"Xuất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2" s="61" t="str">
        <f>IF($B192="","",IF(S$4&gt;DAY(EOMONTH(DATE($D$2,$B$2,1),0)),"",SUMIFS(DATA_GOC!$H:$H,DATA_GOC!$A:$A,"BOM",DATA_GOC!$D:$D,$B192,DATA_GOC!$F:$F,"Xuất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2" s="61" t="str">
        <f>IF($B192="","",IF(T$4&gt;DAY(EOMONTH(DATE($D$2,$B$2,1),0)),"",SUMIFS(DATA_GOC!$H:$H,DATA_GOC!$A:$A,"BOM",DATA_GOC!$D:$D,$B192,DATA_GOC!$F:$F,"Xuất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2" s="61" t="str">
        <f>IF($B192="","",IF(U$4&gt;DAY(EOMONTH(DATE($D$2,$B$2,1),0)),"",SUMIFS(DATA_GOC!$H:$H,DATA_GOC!$A:$A,"BOM",DATA_GOC!$D:$D,$B192,DATA_GOC!$F:$F,"Xuất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2" s="61" t="str">
        <f>IF($B192="","",IF(V$4&gt;DAY(EOMONTH(DATE($D$2,$B$2,1),0)),"",SUMIFS(DATA_GOC!$H:$H,DATA_GOC!$A:$A,"BOM",DATA_GOC!$D:$D,$B192,DATA_GOC!$F:$F,"Xuất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2" s="61" t="str">
        <f>IF($B192="","",IF(W$4&gt;DAY(EOMONTH(DATE($D$2,$B$2,1),0)),"",SUMIFS(DATA_GOC!$H:$H,DATA_GOC!$A:$A,"BOM",DATA_GOC!$D:$D,$B192,DATA_GOC!$F:$F,"Xuất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2" s="61" t="str">
        <f>IF($B192="","",IF(X$4&gt;DAY(EOMONTH(DATE($D$2,$B$2,1),0)),"",SUMIFS(DATA_GOC!$H:$H,DATA_GOC!$A:$A,"BOM",DATA_GOC!$D:$D,$B192,DATA_GOC!$F:$F,"Xuất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2" s="61" t="str">
        <f>IF($B192="","",IF(Y$4&gt;DAY(EOMONTH(DATE($D$2,$B$2,1),0)),"",SUMIFS(DATA_GOC!$H:$H,DATA_GOC!$A:$A,"BOM",DATA_GOC!$D:$D,$B192,DATA_GOC!$F:$F,"Xuất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2" s="61" t="str">
        <f>IF($B192="","",IF(Z$4&gt;DAY(EOMONTH(DATE($D$2,$B$2,1),0)),"",SUMIFS(DATA_GOC!$H:$H,DATA_GOC!$A:$A,"BOM",DATA_GOC!$D:$D,$B192,DATA_GOC!$F:$F,"Xuất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2" s="61" t="str">
        <f>IF($B192="","",IF(AA$4&gt;DAY(EOMONTH(DATE($D$2,$B$2,1),0)),"",SUMIFS(DATA_GOC!$H:$H,DATA_GOC!$A:$A,"BOM",DATA_GOC!$D:$D,$B192,DATA_GOC!$F:$F,"Xuất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2" s="61" t="str">
        <f>IF($B192="","",IF(AB$4&gt;DAY(EOMONTH(DATE($D$2,$B$2,1),0)),"",SUMIFS(DATA_GOC!$H:$H,DATA_GOC!$A:$A,"BOM",DATA_GOC!$D:$D,$B192,DATA_GOC!$F:$F,"Xuất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2" s="61" t="str">
        <f>IF($B192="","",IF(AC$4&gt;DAY(EOMONTH(DATE($D$2,$B$2,1),0)),"",SUMIFS(DATA_GOC!$H:$H,DATA_GOC!$A:$A,"BOM",DATA_GOC!$D:$D,$B192,DATA_GOC!$F:$F,"Xuất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2" s="222" t="str">
        <f>IF($B192="","",IF(AD$4&gt;DAY(EOMONTH(DATE($D$2,$B$2,1),0)),"",SUMIFS(DATA_GOC!$H:$H,DATA_GOC!$A:$A,"BOM",DATA_GOC!$D:$D,$B192,DATA_GOC!$F:$F,"Xuất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2" s="222" t="str">
        <f>IF($B192="","",IF(AE$4&gt;DAY(EOMONTH(DATE($D$2,$B$2,1),0)),"",SUMIFS(DATA_GOC!$H:$H,DATA_GOC!$A:$A,"BOM",DATA_GOC!$D:$D,$B192,DATA_GOC!$F:$F,"Xuất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2" s="222" t="str">
        <f>IF($B192="","",IF(AF$4&gt;DAY(EOMONTH(DATE($D$2,$B$2,1),0)),"",SUMIFS(DATA_GOC!$H:$H,DATA_GOC!$A:$A,"BOM",DATA_GOC!$D:$D,$B192,DATA_GOC!$F:$F,"Xuất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2" s="222" t="str">
        <f>IF($B192="","",IF(AG$4&gt;DAY(EOMONTH(DATE($D$2,$B$2,1),0)),"",SUMIFS(DATA_GOC!$H:$H,DATA_GOC!$A:$A,"BOM",DATA_GOC!$D:$D,$B192,DATA_GOC!$F:$F,"Xuất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2" s="222" t="str">
        <f t="shared" si="2"/>
        <v/>
      </c>
      <c r="AI192" s="222" t="str">
        <f>IF($B192="","",SUMIFS(DATA_GOC!$H:$H,DATA_GOC!$A:$A,"BOM",DATA_GOC!$D:$D,$B192,DATA_GOC!$F:$F,"Bơm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2" s="222" t="str">
        <f t="shared" si="3"/>
        <v/>
      </c>
      <c r="AM192" s="222" t="str">
        <f>IF($B192="","",SUMIFS(DATA_GOC!$K:$K,DATA_GOC!$A:$A,"BOM",DATA_GOC!$D:$D,$B192,DATA_GOC!$G:$G,"DO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2" s="222" t="str">
        <f t="shared" si="4"/>
        <v/>
      </c>
      <c r="AO192" s="227" t="str">
        <f t="shared" si="5"/>
        <v/>
      </c>
      <c r="AP192" s="226" t="str">
        <f>IF($B192="","",IFERROR(AO192-(SUMIFS(DATA_GOC!$H:$H,DATA_GOC!$A:$A,"BOM",DATA_GOC!$D:$D,$B192,DATA_GOC!$F:$F,"Xuất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3" ht="15.0" customHeight="1">
      <c r="A193" s="61" t="str">
        <f t="shared" si="1"/>
        <v/>
      </c>
      <c r="B193" s="228" t="str">
        <f t="array" ref="B193">IFERROR(INDEX(DANH_MUC!$E:$E,ROW()-1),"")</f>
        <v/>
      </c>
      <c r="C193" s="228" t="str">
        <f>IF($B193="","",IF(C$4&gt;DAY(EOMONTH(DATE($D$2,$B$2,1),0)),"",SUMIFS(DATA_GOC!$H:$H,DATA_GOC!$A:$A,"BOM",DATA_GOC!$D:$D,$B193,DATA_GOC!$F:$F,"Xuất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3" s="61" t="str">
        <f>IF($B193="","",IF(D$4&gt;DAY(EOMONTH(DATE($D$2,$B$2,1),0)),"",SUMIFS(DATA_GOC!$H:$H,DATA_GOC!$A:$A,"BOM",DATA_GOC!$D:$D,$B193,DATA_GOC!$F:$F,"Xuất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3" s="229" t="str">
        <f>IF($B193="","",IF(E$4&gt;DAY(EOMONTH(DATE($D$2,$B$2,1),0)),"",SUMIFS(DATA_GOC!$H:$H,DATA_GOC!$A:$A,"BOM",DATA_GOC!$D:$D,$B193,DATA_GOC!$F:$F,"Xuất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3" s="229" t="str">
        <f>IF($B193="","",IF(F$4&gt;DAY(EOMONTH(DATE($D$2,$B$2,1),0)),"",SUMIFS(DATA_GOC!$H:$H,DATA_GOC!$A:$A,"BOM",DATA_GOC!$D:$D,$B193,DATA_GOC!$F:$F,"Xuất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3" s="229" t="str">
        <f>IF($B193="","",IF(G$4&gt;DAY(EOMONTH(DATE($D$2,$B$2,1),0)),"",SUMIFS(DATA_GOC!$H:$H,DATA_GOC!$A:$A,"BOM",DATA_GOC!$D:$D,$B193,DATA_GOC!$F:$F,"Xuất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3" s="228" t="str">
        <f>IF($B193="","",IF(H$4&gt;DAY(EOMONTH(DATE($D$2,$B$2,1),0)),"",SUMIFS(DATA_GOC!$H:$H,DATA_GOC!$A:$A,"BOM",DATA_GOC!$D:$D,$B193,DATA_GOC!$F:$F,"Xuất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3" s="229" t="str">
        <f>IF($B193="","",IF(I$4&gt;DAY(EOMONTH(DATE($D$2,$B$2,1),0)),"",SUMIFS(DATA_GOC!$H:$H,DATA_GOC!$A:$A,"BOM",DATA_GOC!$D:$D,$B193,DATA_GOC!$F:$F,"Xuất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3" s="229" t="str">
        <f>IF($B193="","",IF(J$4&gt;DAY(EOMONTH(DATE($D$2,$B$2,1),0)),"",SUMIFS(DATA_GOC!$H:$H,DATA_GOC!$A:$A,"BOM",DATA_GOC!$D:$D,$B193,DATA_GOC!$F:$F,"Xuất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3" s="229" t="str">
        <f>IF($B193="","",IF(K$4&gt;DAY(EOMONTH(DATE($D$2,$B$2,1),0)),"",SUMIFS(DATA_GOC!$H:$H,DATA_GOC!$A:$A,"BOM",DATA_GOC!$D:$D,$B193,DATA_GOC!$F:$F,"Xuất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3" s="229" t="str">
        <f>IF($B193="","",IF(L$4&gt;DAY(EOMONTH(DATE($D$2,$B$2,1),0)),"",SUMIFS(DATA_GOC!$H:$H,DATA_GOC!$A:$A,"BOM",DATA_GOC!$D:$D,$B193,DATA_GOC!$F:$F,"Xuất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3" s="229" t="str">
        <f>IF($B193="","",IF(M$4&gt;DAY(EOMONTH(DATE($D$2,$B$2,1),0)),"",SUMIFS(DATA_GOC!$H:$H,DATA_GOC!$A:$A,"BOM",DATA_GOC!$D:$D,$B193,DATA_GOC!$F:$F,"Xuất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3" s="61" t="str">
        <f>IF($B193="","",IF(N$4&gt;DAY(EOMONTH(DATE($D$2,$B$2,1),0)),"",SUMIFS(DATA_GOC!$H:$H,DATA_GOC!$A:$A,"BOM",DATA_GOC!$D:$D,$B193,DATA_GOC!$F:$F,"Xuất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3" s="61" t="str">
        <f>IF($B193="","",IF(O$4&gt;DAY(EOMONTH(DATE($D$2,$B$2,1),0)),"",SUMIFS(DATA_GOC!$H:$H,DATA_GOC!$A:$A,"BOM",DATA_GOC!$D:$D,$B193,DATA_GOC!$F:$F,"Xuất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3" s="61" t="str">
        <f>IF($B193="","",IF(P$4&gt;DAY(EOMONTH(DATE($D$2,$B$2,1),0)),"",SUMIFS(DATA_GOC!$H:$H,DATA_GOC!$A:$A,"BOM",DATA_GOC!$D:$D,$B193,DATA_GOC!$F:$F,"Xuất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3" s="61" t="str">
        <f>IF($B193="","",IF(Q$4&gt;DAY(EOMONTH(DATE($D$2,$B$2,1),0)),"",SUMIFS(DATA_GOC!$H:$H,DATA_GOC!$A:$A,"BOM",DATA_GOC!$D:$D,$B193,DATA_GOC!$F:$F,"Xuất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3" s="61" t="str">
        <f>IF($B193="","",IF(R$4&gt;DAY(EOMONTH(DATE($D$2,$B$2,1),0)),"",SUMIFS(DATA_GOC!$H:$H,DATA_GOC!$A:$A,"BOM",DATA_GOC!$D:$D,$B193,DATA_GOC!$F:$F,"Xuất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3" s="61" t="str">
        <f>IF($B193="","",IF(S$4&gt;DAY(EOMONTH(DATE($D$2,$B$2,1),0)),"",SUMIFS(DATA_GOC!$H:$H,DATA_GOC!$A:$A,"BOM",DATA_GOC!$D:$D,$B193,DATA_GOC!$F:$F,"Xuất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3" s="61" t="str">
        <f>IF($B193="","",IF(T$4&gt;DAY(EOMONTH(DATE($D$2,$B$2,1),0)),"",SUMIFS(DATA_GOC!$H:$H,DATA_GOC!$A:$A,"BOM",DATA_GOC!$D:$D,$B193,DATA_GOC!$F:$F,"Xuất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3" s="61" t="str">
        <f>IF($B193="","",IF(U$4&gt;DAY(EOMONTH(DATE($D$2,$B$2,1),0)),"",SUMIFS(DATA_GOC!$H:$H,DATA_GOC!$A:$A,"BOM",DATA_GOC!$D:$D,$B193,DATA_GOC!$F:$F,"Xuất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3" s="61" t="str">
        <f>IF($B193="","",IF(V$4&gt;DAY(EOMONTH(DATE($D$2,$B$2,1),0)),"",SUMIFS(DATA_GOC!$H:$H,DATA_GOC!$A:$A,"BOM",DATA_GOC!$D:$D,$B193,DATA_GOC!$F:$F,"Xuất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3" s="61" t="str">
        <f>IF($B193="","",IF(W$4&gt;DAY(EOMONTH(DATE($D$2,$B$2,1),0)),"",SUMIFS(DATA_GOC!$H:$H,DATA_GOC!$A:$A,"BOM",DATA_GOC!$D:$D,$B193,DATA_GOC!$F:$F,"Xuất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3" s="61" t="str">
        <f>IF($B193="","",IF(X$4&gt;DAY(EOMONTH(DATE($D$2,$B$2,1),0)),"",SUMIFS(DATA_GOC!$H:$H,DATA_GOC!$A:$A,"BOM",DATA_GOC!$D:$D,$B193,DATA_GOC!$F:$F,"Xuất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3" s="61" t="str">
        <f>IF($B193="","",IF(Y$4&gt;DAY(EOMONTH(DATE($D$2,$B$2,1),0)),"",SUMIFS(DATA_GOC!$H:$H,DATA_GOC!$A:$A,"BOM",DATA_GOC!$D:$D,$B193,DATA_GOC!$F:$F,"Xuất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3" s="61" t="str">
        <f>IF($B193="","",IF(Z$4&gt;DAY(EOMONTH(DATE($D$2,$B$2,1),0)),"",SUMIFS(DATA_GOC!$H:$H,DATA_GOC!$A:$A,"BOM",DATA_GOC!$D:$D,$B193,DATA_GOC!$F:$F,"Xuất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3" s="61" t="str">
        <f>IF($B193="","",IF(AA$4&gt;DAY(EOMONTH(DATE($D$2,$B$2,1),0)),"",SUMIFS(DATA_GOC!$H:$H,DATA_GOC!$A:$A,"BOM",DATA_GOC!$D:$D,$B193,DATA_GOC!$F:$F,"Xuất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3" s="61" t="str">
        <f>IF($B193="","",IF(AB$4&gt;DAY(EOMONTH(DATE($D$2,$B$2,1),0)),"",SUMIFS(DATA_GOC!$H:$H,DATA_GOC!$A:$A,"BOM",DATA_GOC!$D:$D,$B193,DATA_GOC!$F:$F,"Xuất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3" s="61" t="str">
        <f>IF($B193="","",IF(AC$4&gt;DAY(EOMONTH(DATE($D$2,$B$2,1),0)),"",SUMIFS(DATA_GOC!$H:$H,DATA_GOC!$A:$A,"BOM",DATA_GOC!$D:$D,$B193,DATA_GOC!$F:$F,"Xuất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3" s="222" t="str">
        <f>IF($B193="","",IF(AD$4&gt;DAY(EOMONTH(DATE($D$2,$B$2,1),0)),"",SUMIFS(DATA_GOC!$H:$H,DATA_GOC!$A:$A,"BOM",DATA_GOC!$D:$D,$B193,DATA_GOC!$F:$F,"Xuất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3" s="222" t="str">
        <f>IF($B193="","",IF(AE$4&gt;DAY(EOMONTH(DATE($D$2,$B$2,1),0)),"",SUMIFS(DATA_GOC!$H:$H,DATA_GOC!$A:$A,"BOM",DATA_GOC!$D:$D,$B193,DATA_GOC!$F:$F,"Xuất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3" s="222" t="str">
        <f>IF($B193="","",IF(AF$4&gt;DAY(EOMONTH(DATE($D$2,$B$2,1),0)),"",SUMIFS(DATA_GOC!$H:$H,DATA_GOC!$A:$A,"BOM",DATA_GOC!$D:$D,$B193,DATA_GOC!$F:$F,"Xuất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3" s="222" t="str">
        <f>IF($B193="","",IF(AG$4&gt;DAY(EOMONTH(DATE($D$2,$B$2,1),0)),"",SUMIFS(DATA_GOC!$H:$H,DATA_GOC!$A:$A,"BOM",DATA_GOC!$D:$D,$B193,DATA_GOC!$F:$F,"Xuất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3" s="222" t="str">
        <f t="shared" si="2"/>
        <v/>
      </c>
      <c r="AI193" s="222" t="str">
        <f>IF($B193="","",SUMIFS(DATA_GOC!$H:$H,DATA_GOC!$A:$A,"BOM",DATA_GOC!$D:$D,$B193,DATA_GOC!$F:$F,"Bơm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3" s="222" t="str">
        <f t="shared" si="3"/>
        <v/>
      </c>
      <c r="AM193" s="222" t="str">
        <f>IF($B193="","",SUMIFS(DATA_GOC!$K:$K,DATA_GOC!$A:$A,"BOM",DATA_GOC!$D:$D,$B193,DATA_GOC!$G:$G,"DO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3" s="222" t="str">
        <f t="shared" si="4"/>
        <v/>
      </c>
      <c r="AO193" s="227" t="str">
        <f t="shared" si="5"/>
        <v/>
      </c>
      <c r="AP193" s="226" t="str">
        <f>IF($B193="","",IFERROR(AO193-(SUMIFS(DATA_GOC!$H:$H,DATA_GOC!$A:$A,"BOM",DATA_GOC!$D:$D,$B193,DATA_GOC!$F:$F,"Xuất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4" ht="15.0" customHeight="1">
      <c r="A194" s="61" t="str">
        <f t="shared" si="1"/>
        <v/>
      </c>
      <c r="B194" s="228" t="str">
        <f t="array" ref="B194">IFERROR(INDEX(DANH_MUC!$E:$E,ROW()-1),"")</f>
        <v/>
      </c>
      <c r="C194" s="228" t="str">
        <f>IF($B194="","",IF(C$4&gt;DAY(EOMONTH(DATE($D$2,$B$2,1),0)),"",SUMIFS(DATA_GOC!$H:$H,DATA_GOC!$A:$A,"BOM",DATA_GOC!$D:$D,$B194,DATA_GOC!$F:$F,"Xuất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4" s="61" t="str">
        <f>IF($B194="","",IF(D$4&gt;DAY(EOMONTH(DATE($D$2,$B$2,1),0)),"",SUMIFS(DATA_GOC!$H:$H,DATA_GOC!$A:$A,"BOM",DATA_GOC!$D:$D,$B194,DATA_GOC!$F:$F,"Xuất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4" s="229" t="str">
        <f>IF($B194="","",IF(E$4&gt;DAY(EOMONTH(DATE($D$2,$B$2,1),0)),"",SUMIFS(DATA_GOC!$H:$H,DATA_GOC!$A:$A,"BOM",DATA_GOC!$D:$D,$B194,DATA_GOC!$F:$F,"Xuất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4" s="229" t="str">
        <f>IF($B194="","",IF(F$4&gt;DAY(EOMONTH(DATE($D$2,$B$2,1),0)),"",SUMIFS(DATA_GOC!$H:$H,DATA_GOC!$A:$A,"BOM",DATA_GOC!$D:$D,$B194,DATA_GOC!$F:$F,"Xuất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4" s="229" t="str">
        <f>IF($B194="","",IF(G$4&gt;DAY(EOMONTH(DATE($D$2,$B$2,1),0)),"",SUMIFS(DATA_GOC!$H:$H,DATA_GOC!$A:$A,"BOM",DATA_GOC!$D:$D,$B194,DATA_GOC!$F:$F,"Xuất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4" s="228" t="str">
        <f>IF($B194="","",IF(H$4&gt;DAY(EOMONTH(DATE($D$2,$B$2,1),0)),"",SUMIFS(DATA_GOC!$H:$H,DATA_GOC!$A:$A,"BOM",DATA_GOC!$D:$D,$B194,DATA_GOC!$F:$F,"Xuất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4" s="229" t="str">
        <f>IF($B194="","",IF(I$4&gt;DAY(EOMONTH(DATE($D$2,$B$2,1),0)),"",SUMIFS(DATA_GOC!$H:$H,DATA_GOC!$A:$A,"BOM",DATA_GOC!$D:$D,$B194,DATA_GOC!$F:$F,"Xuất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4" s="229" t="str">
        <f>IF($B194="","",IF(J$4&gt;DAY(EOMONTH(DATE($D$2,$B$2,1),0)),"",SUMIFS(DATA_GOC!$H:$H,DATA_GOC!$A:$A,"BOM",DATA_GOC!$D:$D,$B194,DATA_GOC!$F:$F,"Xuất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4" s="229" t="str">
        <f>IF($B194="","",IF(K$4&gt;DAY(EOMONTH(DATE($D$2,$B$2,1),0)),"",SUMIFS(DATA_GOC!$H:$H,DATA_GOC!$A:$A,"BOM",DATA_GOC!$D:$D,$B194,DATA_GOC!$F:$F,"Xuất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4" s="229" t="str">
        <f>IF($B194="","",IF(L$4&gt;DAY(EOMONTH(DATE($D$2,$B$2,1),0)),"",SUMIFS(DATA_GOC!$H:$H,DATA_GOC!$A:$A,"BOM",DATA_GOC!$D:$D,$B194,DATA_GOC!$F:$F,"Xuất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4" s="229" t="str">
        <f>IF($B194="","",IF(M$4&gt;DAY(EOMONTH(DATE($D$2,$B$2,1),0)),"",SUMIFS(DATA_GOC!$H:$H,DATA_GOC!$A:$A,"BOM",DATA_GOC!$D:$D,$B194,DATA_GOC!$F:$F,"Xuất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4" s="61" t="str">
        <f>IF($B194="","",IF(N$4&gt;DAY(EOMONTH(DATE($D$2,$B$2,1),0)),"",SUMIFS(DATA_GOC!$H:$H,DATA_GOC!$A:$A,"BOM",DATA_GOC!$D:$D,$B194,DATA_GOC!$F:$F,"Xuất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4" s="61" t="str">
        <f>IF($B194="","",IF(O$4&gt;DAY(EOMONTH(DATE($D$2,$B$2,1),0)),"",SUMIFS(DATA_GOC!$H:$H,DATA_GOC!$A:$A,"BOM",DATA_GOC!$D:$D,$B194,DATA_GOC!$F:$F,"Xuất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4" s="61" t="str">
        <f>IF($B194="","",IF(P$4&gt;DAY(EOMONTH(DATE($D$2,$B$2,1),0)),"",SUMIFS(DATA_GOC!$H:$H,DATA_GOC!$A:$A,"BOM",DATA_GOC!$D:$D,$B194,DATA_GOC!$F:$F,"Xuất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4" s="61" t="str">
        <f>IF($B194="","",IF(Q$4&gt;DAY(EOMONTH(DATE($D$2,$B$2,1),0)),"",SUMIFS(DATA_GOC!$H:$H,DATA_GOC!$A:$A,"BOM",DATA_GOC!$D:$D,$B194,DATA_GOC!$F:$F,"Xuất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4" s="61" t="str">
        <f>IF($B194="","",IF(R$4&gt;DAY(EOMONTH(DATE($D$2,$B$2,1),0)),"",SUMIFS(DATA_GOC!$H:$H,DATA_GOC!$A:$A,"BOM",DATA_GOC!$D:$D,$B194,DATA_GOC!$F:$F,"Xuất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4" s="61" t="str">
        <f>IF($B194="","",IF(S$4&gt;DAY(EOMONTH(DATE($D$2,$B$2,1),0)),"",SUMIFS(DATA_GOC!$H:$H,DATA_GOC!$A:$A,"BOM",DATA_GOC!$D:$D,$B194,DATA_GOC!$F:$F,"Xuất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4" s="61" t="str">
        <f>IF($B194="","",IF(T$4&gt;DAY(EOMONTH(DATE($D$2,$B$2,1),0)),"",SUMIFS(DATA_GOC!$H:$H,DATA_GOC!$A:$A,"BOM",DATA_GOC!$D:$D,$B194,DATA_GOC!$F:$F,"Xuất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4" s="61" t="str">
        <f>IF($B194="","",IF(U$4&gt;DAY(EOMONTH(DATE($D$2,$B$2,1),0)),"",SUMIFS(DATA_GOC!$H:$H,DATA_GOC!$A:$A,"BOM",DATA_GOC!$D:$D,$B194,DATA_GOC!$F:$F,"Xuất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4" s="61" t="str">
        <f>IF($B194="","",IF(V$4&gt;DAY(EOMONTH(DATE($D$2,$B$2,1),0)),"",SUMIFS(DATA_GOC!$H:$H,DATA_GOC!$A:$A,"BOM",DATA_GOC!$D:$D,$B194,DATA_GOC!$F:$F,"Xuất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4" s="61" t="str">
        <f>IF($B194="","",IF(W$4&gt;DAY(EOMONTH(DATE($D$2,$B$2,1),0)),"",SUMIFS(DATA_GOC!$H:$H,DATA_GOC!$A:$A,"BOM",DATA_GOC!$D:$D,$B194,DATA_GOC!$F:$F,"Xuất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4" s="61" t="str">
        <f>IF($B194="","",IF(X$4&gt;DAY(EOMONTH(DATE($D$2,$B$2,1),0)),"",SUMIFS(DATA_GOC!$H:$H,DATA_GOC!$A:$A,"BOM",DATA_GOC!$D:$D,$B194,DATA_GOC!$F:$F,"Xuất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4" s="61" t="str">
        <f>IF($B194="","",IF(Y$4&gt;DAY(EOMONTH(DATE($D$2,$B$2,1),0)),"",SUMIFS(DATA_GOC!$H:$H,DATA_GOC!$A:$A,"BOM",DATA_GOC!$D:$D,$B194,DATA_GOC!$F:$F,"Xuất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4" s="61" t="str">
        <f>IF($B194="","",IF(Z$4&gt;DAY(EOMONTH(DATE($D$2,$B$2,1),0)),"",SUMIFS(DATA_GOC!$H:$H,DATA_GOC!$A:$A,"BOM",DATA_GOC!$D:$D,$B194,DATA_GOC!$F:$F,"Xuất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4" s="61" t="str">
        <f>IF($B194="","",IF(AA$4&gt;DAY(EOMONTH(DATE($D$2,$B$2,1),0)),"",SUMIFS(DATA_GOC!$H:$H,DATA_GOC!$A:$A,"BOM",DATA_GOC!$D:$D,$B194,DATA_GOC!$F:$F,"Xuất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4" s="61" t="str">
        <f>IF($B194="","",IF(AB$4&gt;DAY(EOMONTH(DATE($D$2,$B$2,1),0)),"",SUMIFS(DATA_GOC!$H:$H,DATA_GOC!$A:$A,"BOM",DATA_GOC!$D:$D,$B194,DATA_GOC!$F:$F,"Xuất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4" s="61" t="str">
        <f>IF($B194="","",IF(AC$4&gt;DAY(EOMONTH(DATE($D$2,$B$2,1),0)),"",SUMIFS(DATA_GOC!$H:$H,DATA_GOC!$A:$A,"BOM",DATA_GOC!$D:$D,$B194,DATA_GOC!$F:$F,"Xuất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4" s="222" t="str">
        <f>IF($B194="","",IF(AD$4&gt;DAY(EOMONTH(DATE($D$2,$B$2,1),0)),"",SUMIFS(DATA_GOC!$H:$H,DATA_GOC!$A:$A,"BOM",DATA_GOC!$D:$D,$B194,DATA_GOC!$F:$F,"Xuất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4" s="222" t="str">
        <f>IF($B194="","",IF(AE$4&gt;DAY(EOMONTH(DATE($D$2,$B$2,1),0)),"",SUMIFS(DATA_GOC!$H:$H,DATA_GOC!$A:$A,"BOM",DATA_GOC!$D:$D,$B194,DATA_GOC!$F:$F,"Xuất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4" s="222" t="str">
        <f>IF($B194="","",IF(AF$4&gt;DAY(EOMONTH(DATE($D$2,$B$2,1),0)),"",SUMIFS(DATA_GOC!$H:$H,DATA_GOC!$A:$A,"BOM",DATA_GOC!$D:$D,$B194,DATA_GOC!$F:$F,"Xuất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4" s="222" t="str">
        <f>IF($B194="","",IF(AG$4&gt;DAY(EOMONTH(DATE($D$2,$B$2,1),0)),"",SUMIFS(DATA_GOC!$H:$H,DATA_GOC!$A:$A,"BOM",DATA_GOC!$D:$D,$B194,DATA_GOC!$F:$F,"Xuất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4" s="222" t="str">
        <f t="shared" si="2"/>
        <v/>
      </c>
      <c r="AI194" s="222" t="str">
        <f>IF($B194="","",SUMIFS(DATA_GOC!$H:$H,DATA_GOC!$A:$A,"BOM",DATA_GOC!$D:$D,$B194,DATA_GOC!$F:$F,"Bơm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4" s="222" t="str">
        <f t="shared" si="3"/>
        <v/>
      </c>
      <c r="AM194" s="222" t="str">
        <f>IF($B194="","",SUMIFS(DATA_GOC!$K:$K,DATA_GOC!$A:$A,"BOM",DATA_GOC!$D:$D,$B194,DATA_GOC!$G:$G,"DO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4" s="222" t="str">
        <f t="shared" si="4"/>
        <v/>
      </c>
      <c r="AO194" s="227" t="str">
        <f t="shared" si="5"/>
        <v/>
      </c>
      <c r="AP194" s="226" t="str">
        <f>IF($B194="","",IFERROR(AO194-(SUMIFS(DATA_GOC!$H:$H,DATA_GOC!$A:$A,"BOM",DATA_GOC!$D:$D,$B194,DATA_GOC!$F:$F,"Xuất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5" ht="15.0" customHeight="1">
      <c r="A195" s="61" t="str">
        <f t="shared" si="1"/>
        <v/>
      </c>
      <c r="B195" s="228" t="str">
        <f t="array" ref="B195">IFERROR(INDEX(DANH_MUC!$E:$E,ROW()-1),"")</f>
        <v/>
      </c>
      <c r="C195" s="228" t="str">
        <f>IF($B195="","",IF(C$4&gt;DAY(EOMONTH(DATE($D$2,$B$2,1),0)),"",SUMIFS(DATA_GOC!$H:$H,DATA_GOC!$A:$A,"BOM",DATA_GOC!$D:$D,$B195,DATA_GOC!$F:$F,"Xuất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5" s="61" t="str">
        <f>IF($B195="","",IF(D$4&gt;DAY(EOMONTH(DATE($D$2,$B$2,1),0)),"",SUMIFS(DATA_GOC!$H:$H,DATA_GOC!$A:$A,"BOM",DATA_GOC!$D:$D,$B195,DATA_GOC!$F:$F,"Xuất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5" s="229" t="str">
        <f>IF($B195="","",IF(E$4&gt;DAY(EOMONTH(DATE($D$2,$B$2,1),0)),"",SUMIFS(DATA_GOC!$H:$H,DATA_GOC!$A:$A,"BOM",DATA_GOC!$D:$D,$B195,DATA_GOC!$F:$F,"Xuất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5" s="229" t="str">
        <f>IF($B195="","",IF(F$4&gt;DAY(EOMONTH(DATE($D$2,$B$2,1),0)),"",SUMIFS(DATA_GOC!$H:$H,DATA_GOC!$A:$A,"BOM",DATA_GOC!$D:$D,$B195,DATA_GOC!$F:$F,"Xuất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5" s="229" t="str">
        <f>IF($B195="","",IF(G$4&gt;DAY(EOMONTH(DATE($D$2,$B$2,1),0)),"",SUMIFS(DATA_GOC!$H:$H,DATA_GOC!$A:$A,"BOM",DATA_GOC!$D:$D,$B195,DATA_GOC!$F:$F,"Xuất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5" s="228" t="str">
        <f>IF($B195="","",IF(H$4&gt;DAY(EOMONTH(DATE($D$2,$B$2,1),0)),"",SUMIFS(DATA_GOC!$H:$H,DATA_GOC!$A:$A,"BOM",DATA_GOC!$D:$D,$B195,DATA_GOC!$F:$F,"Xuất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5" s="229" t="str">
        <f>IF($B195="","",IF(I$4&gt;DAY(EOMONTH(DATE($D$2,$B$2,1),0)),"",SUMIFS(DATA_GOC!$H:$H,DATA_GOC!$A:$A,"BOM",DATA_GOC!$D:$D,$B195,DATA_GOC!$F:$F,"Xuất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5" s="229" t="str">
        <f>IF($B195="","",IF(J$4&gt;DAY(EOMONTH(DATE($D$2,$B$2,1),0)),"",SUMIFS(DATA_GOC!$H:$H,DATA_GOC!$A:$A,"BOM",DATA_GOC!$D:$D,$B195,DATA_GOC!$F:$F,"Xuất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5" s="229" t="str">
        <f>IF($B195="","",IF(K$4&gt;DAY(EOMONTH(DATE($D$2,$B$2,1),0)),"",SUMIFS(DATA_GOC!$H:$H,DATA_GOC!$A:$A,"BOM",DATA_GOC!$D:$D,$B195,DATA_GOC!$F:$F,"Xuất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5" s="229" t="str">
        <f>IF($B195="","",IF(L$4&gt;DAY(EOMONTH(DATE($D$2,$B$2,1),0)),"",SUMIFS(DATA_GOC!$H:$H,DATA_GOC!$A:$A,"BOM",DATA_GOC!$D:$D,$B195,DATA_GOC!$F:$F,"Xuất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5" s="229" t="str">
        <f>IF($B195="","",IF(M$4&gt;DAY(EOMONTH(DATE($D$2,$B$2,1),0)),"",SUMIFS(DATA_GOC!$H:$H,DATA_GOC!$A:$A,"BOM",DATA_GOC!$D:$D,$B195,DATA_GOC!$F:$F,"Xuất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5" s="61" t="str">
        <f>IF($B195="","",IF(N$4&gt;DAY(EOMONTH(DATE($D$2,$B$2,1),0)),"",SUMIFS(DATA_GOC!$H:$H,DATA_GOC!$A:$A,"BOM",DATA_GOC!$D:$D,$B195,DATA_GOC!$F:$F,"Xuất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5" s="61" t="str">
        <f>IF($B195="","",IF(O$4&gt;DAY(EOMONTH(DATE($D$2,$B$2,1),0)),"",SUMIFS(DATA_GOC!$H:$H,DATA_GOC!$A:$A,"BOM",DATA_GOC!$D:$D,$B195,DATA_GOC!$F:$F,"Xuất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5" s="61" t="str">
        <f>IF($B195="","",IF(P$4&gt;DAY(EOMONTH(DATE($D$2,$B$2,1),0)),"",SUMIFS(DATA_GOC!$H:$H,DATA_GOC!$A:$A,"BOM",DATA_GOC!$D:$D,$B195,DATA_GOC!$F:$F,"Xuất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5" s="61" t="str">
        <f>IF($B195="","",IF(Q$4&gt;DAY(EOMONTH(DATE($D$2,$B$2,1),0)),"",SUMIFS(DATA_GOC!$H:$H,DATA_GOC!$A:$A,"BOM",DATA_GOC!$D:$D,$B195,DATA_GOC!$F:$F,"Xuất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5" s="61" t="str">
        <f>IF($B195="","",IF(R$4&gt;DAY(EOMONTH(DATE($D$2,$B$2,1),0)),"",SUMIFS(DATA_GOC!$H:$H,DATA_GOC!$A:$A,"BOM",DATA_GOC!$D:$D,$B195,DATA_GOC!$F:$F,"Xuất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5" s="61" t="str">
        <f>IF($B195="","",IF(S$4&gt;DAY(EOMONTH(DATE($D$2,$B$2,1),0)),"",SUMIFS(DATA_GOC!$H:$H,DATA_GOC!$A:$A,"BOM",DATA_GOC!$D:$D,$B195,DATA_GOC!$F:$F,"Xuất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5" s="61" t="str">
        <f>IF($B195="","",IF(T$4&gt;DAY(EOMONTH(DATE($D$2,$B$2,1),0)),"",SUMIFS(DATA_GOC!$H:$H,DATA_GOC!$A:$A,"BOM",DATA_GOC!$D:$D,$B195,DATA_GOC!$F:$F,"Xuất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5" s="61" t="str">
        <f>IF($B195="","",IF(U$4&gt;DAY(EOMONTH(DATE($D$2,$B$2,1),0)),"",SUMIFS(DATA_GOC!$H:$H,DATA_GOC!$A:$A,"BOM",DATA_GOC!$D:$D,$B195,DATA_GOC!$F:$F,"Xuất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5" s="61" t="str">
        <f>IF($B195="","",IF(V$4&gt;DAY(EOMONTH(DATE($D$2,$B$2,1),0)),"",SUMIFS(DATA_GOC!$H:$H,DATA_GOC!$A:$A,"BOM",DATA_GOC!$D:$D,$B195,DATA_GOC!$F:$F,"Xuất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5" s="61" t="str">
        <f>IF($B195="","",IF(W$4&gt;DAY(EOMONTH(DATE($D$2,$B$2,1),0)),"",SUMIFS(DATA_GOC!$H:$H,DATA_GOC!$A:$A,"BOM",DATA_GOC!$D:$D,$B195,DATA_GOC!$F:$F,"Xuất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5" s="61" t="str">
        <f>IF($B195="","",IF(X$4&gt;DAY(EOMONTH(DATE($D$2,$B$2,1),0)),"",SUMIFS(DATA_GOC!$H:$H,DATA_GOC!$A:$A,"BOM",DATA_GOC!$D:$D,$B195,DATA_GOC!$F:$F,"Xuất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5" s="61" t="str">
        <f>IF($B195="","",IF(Y$4&gt;DAY(EOMONTH(DATE($D$2,$B$2,1),0)),"",SUMIFS(DATA_GOC!$H:$H,DATA_GOC!$A:$A,"BOM",DATA_GOC!$D:$D,$B195,DATA_GOC!$F:$F,"Xuất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5" s="61" t="str">
        <f>IF($B195="","",IF(Z$4&gt;DAY(EOMONTH(DATE($D$2,$B$2,1),0)),"",SUMIFS(DATA_GOC!$H:$H,DATA_GOC!$A:$A,"BOM",DATA_GOC!$D:$D,$B195,DATA_GOC!$F:$F,"Xuất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5" s="61" t="str">
        <f>IF($B195="","",IF(AA$4&gt;DAY(EOMONTH(DATE($D$2,$B$2,1),0)),"",SUMIFS(DATA_GOC!$H:$H,DATA_GOC!$A:$A,"BOM",DATA_GOC!$D:$D,$B195,DATA_GOC!$F:$F,"Xuất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5" s="61" t="str">
        <f>IF($B195="","",IF(AB$4&gt;DAY(EOMONTH(DATE($D$2,$B$2,1),0)),"",SUMIFS(DATA_GOC!$H:$H,DATA_GOC!$A:$A,"BOM",DATA_GOC!$D:$D,$B195,DATA_GOC!$F:$F,"Xuất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5" s="61" t="str">
        <f>IF($B195="","",IF(AC$4&gt;DAY(EOMONTH(DATE($D$2,$B$2,1),0)),"",SUMIFS(DATA_GOC!$H:$H,DATA_GOC!$A:$A,"BOM",DATA_GOC!$D:$D,$B195,DATA_GOC!$F:$F,"Xuất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5" s="222" t="str">
        <f>IF($B195="","",IF(AD$4&gt;DAY(EOMONTH(DATE($D$2,$B$2,1),0)),"",SUMIFS(DATA_GOC!$H:$H,DATA_GOC!$A:$A,"BOM",DATA_GOC!$D:$D,$B195,DATA_GOC!$F:$F,"Xuất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5" s="222" t="str">
        <f>IF($B195="","",IF(AE$4&gt;DAY(EOMONTH(DATE($D$2,$B$2,1),0)),"",SUMIFS(DATA_GOC!$H:$H,DATA_GOC!$A:$A,"BOM",DATA_GOC!$D:$D,$B195,DATA_GOC!$F:$F,"Xuất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5" s="222" t="str">
        <f>IF($B195="","",IF(AF$4&gt;DAY(EOMONTH(DATE($D$2,$B$2,1),0)),"",SUMIFS(DATA_GOC!$H:$H,DATA_GOC!$A:$A,"BOM",DATA_GOC!$D:$D,$B195,DATA_GOC!$F:$F,"Xuất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5" s="222" t="str">
        <f>IF($B195="","",IF(AG$4&gt;DAY(EOMONTH(DATE($D$2,$B$2,1),0)),"",SUMIFS(DATA_GOC!$H:$H,DATA_GOC!$A:$A,"BOM",DATA_GOC!$D:$D,$B195,DATA_GOC!$F:$F,"Xuất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5" s="222" t="str">
        <f t="shared" si="2"/>
        <v/>
      </c>
      <c r="AI195" s="222" t="str">
        <f>IF($B195="","",SUMIFS(DATA_GOC!$H:$H,DATA_GOC!$A:$A,"BOM",DATA_GOC!$D:$D,$B195,DATA_GOC!$F:$F,"Bơm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5" s="222" t="str">
        <f t="shared" si="3"/>
        <v/>
      </c>
      <c r="AM195" s="222" t="str">
        <f>IF($B195="","",SUMIFS(DATA_GOC!$K:$K,DATA_GOC!$A:$A,"BOM",DATA_GOC!$D:$D,$B195,DATA_GOC!$G:$G,"DO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5" s="222" t="str">
        <f t="shared" si="4"/>
        <v/>
      </c>
      <c r="AO195" s="227" t="str">
        <f t="shared" si="5"/>
        <v/>
      </c>
      <c r="AP195" s="226" t="str">
        <f>IF($B195="","",IFERROR(AO195-(SUMIFS(DATA_GOC!$H:$H,DATA_GOC!$A:$A,"BOM",DATA_GOC!$D:$D,$B195,DATA_GOC!$F:$F,"Xuất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6" ht="15.0" customHeight="1">
      <c r="A196" s="61" t="str">
        <f t="shared" si="1"/>
        <v/>
      </c>
      <c r="B196" s="228" t="str">
        <f t="array" ref="B196">IFERROR(INDEX(DANH_MUC!$E:$E,ROW()-1),"")</f>
        <v/>
      </c>
      <c r="C196" s="228" t="str">
        <f>IF($B196="","",IF(C$4&gt;DAY(EOMONTH(DATE($D$2,$B$2,1),0)),"",SUMIFS(DATA_GOC!$H:$H,DATA_GOC!$A:$A,"BOM",DATA_GOC!$D:$D,$B196,DATA_GOC!$F:$F,"Xuất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6" s="61" t="str">
        <f>IF($B196="","",IF(D$4&gt;DAY(EOMONTH(DATE($D$2,$B$2,1),0)),"",SUMIFS(DATA_GOC!$H:$H,DATA_GOC!$A:$A,"BOM",DATA_GOC!$D:$D,$B196,DATA_GOC!$F:$F,"Xuất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6" s="229" t="str">
        <f>IF($B196="","",IF(E$4&gt;DAY(EOMONTH(DATE($D$2,$B$2,1),0)),"",SUMIFS(DATA_GOC!$H:$H,DATA_GOC!$A:$A,"BOM",DATA_GOC!$D:$D,$B196,DATA_GOC!$F:$F,"Xuất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6" s="229" t="str">
        <f>IF($B196="","",IF(F$4&gt;DAY(EOMONTH(DATE($D$2,$B$2,1),0)),"",SUMIFS(DATA_GOC!$H:$H,DATA_GOC!$A:$A,"BOM",DATA_GOC!$D:$D,$B196,DATA_GOC!$F:$F,"Xuất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6" s="229" t="str">
        <f>IF($B196="","",IF(G$4&gt;DAY(EOMONTH(DATE($D$2,$B$2,1),0)),"",SUMIFS(DATA_GOC!$H:$H,DATA_GOC!$A:$A,"BOM",DATA_GOC!$D:$D,$B196,DATA_GOC!$F:$F,"Xuất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6" s="228" t="str">
        <f>IF($B196="","",IF(H$4&gt;DAY(EOMONTH(DATE($D$2,$B$2,1),0)),"",SUMIFS(DATA_GOC!$H:$H,DATA_GOC!$A:$A,"BOM",DATA_GOC!$D:$D,$B196,DATA_GOC!$F:$F,"Xuất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6" s="229" t="str">
        <f>IF($B196="","",IF(I$4&gt;DAY(EOMONTH(DATE($D$2,$B$2,1),0)),"",SUMIFS(DATA_GOC!$H:$H,DATA_GOC!$A:$A,"BOM",DATA_GOC!$D:$D,$B196,DATA_GOC!$F:$F,"Xuất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6" s="229" t="str">
        <f>IF($B196="","",IF(J$4&gt;DAY(EOMONTH(DATE($D$2,$B$2,1),0)),"",SUMIFS(DATA_GOC!$H:$H,DATA_GOC!$A:$A,"BOM",DATA_GOC!$D:$D,$B196,DATA_GOC!$F:$F,"Xuất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6" s="229" t="str">
        <f>IF($B196="","",IF(K$4&gt;DAY(EOMONTH(DATE($D$2,$B$2,1),0)),"",SUMIFS(DATA_GOC!$H:$H,DATA_GOC!$A:$A,"BOM",DATA_GOC!$D:$D,$B196,DATA_GOC!$F:$F,"Xuất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6" s="229" t="str">
        <f>IF($B196="","",IF(L$4&gt;DAY(EOMONTH(DATE($D$2,$B$2,1),0)),"",SUMIFS(DATA_GOC!$H:$H,DATA_GOC!$A:$A,"BOM",DATA_GOC!$D:$D,$B196,DATA_GOC!$F:$F,"Xuất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6" s="229" t="str">
        <f>IF($B196="","",IF(M$4&gt;DAY(EOMONTH(DATE($D$2,$B$2,1),0)),"",SUMIFS(DATA_GOC!$H:$H,DATA_GOC!$A:$A,"BOM",DATA_GOC!$D:$D,$B196,DATA_GOC!$F:$F,"Xuất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6" s="61" t="str">
        <f>IF($B196="","",IF(N$4&gt;DAY(EOMONTH(DATE($D$2,$B$2,1),0)),"",SUMIFS(DATA_GOC!$H:$H,DATA_GOC!$A:$A,"BOM",DATA_GOC!$D:$D,$B196,DATA_GOC!$F:$F,"Xuất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6" s="61" t="str">
        <f>IF($B196="","",IF(O$4&gt;DAY(EOMONTH(DATE($D$2,$B$2,1),0)),"",SUMIFS(DATA_GOC!$H:$H,DATA_GOC!$A:$A,"BOM",DATA_GOC!$D:$D,$B196,DATA_GOC!$F:$F,"Xuất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6" s="61" t="str">
        <f>IF($B196="","",IF(P$4&gt;DAY(EOMONTH(DATE($D$2,$B$2,1),0)),"",SUMIFS(DATA_GOC!$H:$H,DATA_GOC!$A:$A,"BOM",DATA_GOC!$D:$D,$B196,DATA_GOC!$F:$F,"Xuất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6" s="61" t="str">
        <f>IF($B196="","",IF(Q$4&gt;DAY(EOMONTH(DATE($D$2,$B$2,1),0)),"",SUMIFS(DATA_GOC!$H:$H,DATA_GOC!$A:$A,"BOM",DATA_GOC!$D:$D,$B196,DATA_GOC!$F:$F,"Xuất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6" s="61" t="str">
        <f>IF($B196="","",IF(R$4&gt;DAY(EOMONTH(DATE($D$2,$B$2,1),0)),"",SUMIFS(DATA_GOC!$H:$H,DATA_GOC!$A:$A,"BOM",DATA_GOC!$D:$D,$B196,DATA_GOC!$F:$F,"Xuất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6" s="61" t="str">
        <f>IF($B196="","",IF(S$4&gt;DAY(EOMONTH(DATE($D$2,$B$2,1),0)),"",SUMIFS(DATA_GOC!$H:$H,DATA_GOC!$A:$A,"BOM",DATA_GOC!$D:$D,$B196,DATA_GOC!$F:$F,"Xuất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6" s="61" t="str">
        <f>IF($B196="","",IF(T$4&gt;DAY(EOMONTH(DATE($D$2,$B$2,1),0)),"",SUMIFS(DATA_GOC!$H:$H,DATA_GOC!$A:$A,"BOM",DATA_GOC!$D:$D,$B196,DATA_GOC!$F:$F,"Xuất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6" s="61" t="str">
        <f>IF($B196="","",IF(U$4&gt;DAY(EOMONTH(DATE($D$2,$B$2,1),0)),"",SUMIFS(DATA_GOC!$H:$H,DATA_GOC!$A:$A,"BOM",DATA_GOC!$D:$D,$B196,DATA_GOC!$F:$F,"Xuất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6" s="61" t="str">
        <f>IF($B196="","",IF(V$4&gt;DAY(EOMONTH(DATE($D$2,$B$2,1),0)),"",SUMIFS(DATA_GOC!$H:$H,DATA_GOC!$A:$A,"BOM",DATA_GOC!$D:$D,$B196,DATA_GOC!$F:$F,"Xuất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6" s="61" t="str">
        <f>IF($B196="","",IF(W$4&gt;DAY(EOMONTH(DATE($D$2,$B$2,1),0)),"",SUMIFS(DATA_GOC!$H:$H,DATA_GOC!$A:$A,"BOM",DATA_GOC!$D:$D,$B196,DATA_GOC!$F:$F,"Xuất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6" s="61" t="str">
        <f>IF($B196="","",IF(X$4&gt;DAY(EOMONTH(DATE($D$2,$B$2,1),0)),"",SUMIFS(DATA_GOC!$H:$H,DATA_GOC!$A:$A,"BOM",DATA_GOC!$D:$D,$B196,DATA_GOC!$F:$F,"Xuất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6" s="61" t="str">
        <f>IF($B196="","",IF(Y$4&gt;DAY(EOMONTH(DATE($D$2,$B$2,1),0)),"",SUMIFS(DATA_GOC!$H:$H,DATA_GOC!$A:$A,"BOM",DATA_GOC!$D:$D,$B196,DATA_GOC!$F:$F,"Xuất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6" s="61" t="str">
        <f>IF($B196="","",IF(Z$4&gt;DAY(EOMONTH(DATE($D$2,$B$2,1),0)),"",SUMIFS(DATA_GOC!$H:$H,DATA_GOC!$A:$A,"BOM",DATA_GOC!$D:$D,$B196,DATA_GOC!$F:$F,"Xuất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6" s="61" t="str">
        <f>IF($B196="","",IF(AA$4&gt;DAY(EOMONTH(DATE($D$2,$B$2,1),0)),"",SUMIFS(DATA_GOC!$H:$H,DATA_GOC!$A:$A,"BOM",DATA_GOC!$D:$D,$B196,DATA_GOC!$F:$F,"Xuất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6" s="61" t="str">
        <f>IF($B196="","",IF(AB$4&gt;DAY(EOMONTH(DATE($D$2,$B$2,1),0)),"",SUMIFS(DATA_GOC!$H:$H,DATA_GOC!$A:$A,"BOM",DATA_GOC!$D:$D,$B196,DATA_GOC!$F:$F,"Xuất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6" s="61" t="str">
        <f>IF($B196="","",IF(AC$4&gt;DAY(EOMONTH(DATE($D$2,$B$2,1),0)),"",SUMIFS(DATA_GOC!$H:$H,DATA_GOC!$A:$A,"BOM",DATA_GOC!$D:$D,$B196,DATA_GOC!$F:$F,"Xuất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6" s="222" t="str">
        <f>IF($B196="","",IF(AD$4&gt;DAY(EOMONTH(DATE($D$2,$B$2,1),0)),"",SUMIFS(DATA_GOC!$H:$H,DATA_GOC!$A:$A,"BOM",DATA_GOC!$D:$D,$B196,DATA_GOC!$F:$F,"Xuất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6" s="222" t="str">
        <f>IF($B196="","",IF(AE$4&gt;DAY(EOMONTH(DATE($D$2,$B$2,1),0)),"",SUMIFS(DATA_GOC!$H:$H,DATA_GOC!$A:$A,"BOM",DATA_GOC!$D:$D,$B196,DATA_GOC!$F:$F,"Xuất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6" s="222" t="str">
        <f>IF($B196="","",IF(AF$4&gt;DAY(EOMONTH(DATE($D$2,$B$2,1),0)),"",SUMIFS(DATA_GOC!$H:$H,DATA_GOC!$A:$A,"BOM",DATA_GOC!$D:$D,$B196,DATA_GOC!$F:$F,"Xuất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6" s="222" t="str">
        <f>IF($B196="","",IF(AG$4&gt;DAY(EOMONTH(DATE($D$2,$B$2,1),0)),"",SUMIFS(DATA_GOC!$H:$H,DATA_GOC!$A:$A,"BOM",DATA_GOC!$D:$D,$B196,DATA_GOC!$F:$F,"Xuất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6" s="222" t="str">
        <f t="shared" si="2"/>
        <v/>
      </c>
      <c r="AI196" s="222" t="str">
        <f>IF($B196="","",SUMIFS(DATA_GOC!$H:$H,DATA_GOC!$A:$A,"BOM",DATA_GOC!$D:$D,$B196,DATA_GOC!$F:$F,"Bơm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6" s="222" t="str">
        <f t="shared" si="3"/>
        <v/>
      </c>
      <c r="AM196" s="222" t="str">
        <f>IF($B196="","",SUMIFS(DATA_GOC!$K:$K,DATA_GOC!$A:$A,"BOM",DATA_GOC!$D:$D,$B196,DATA_GOC!$G:$G,"DO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6" s="222" t="str">
        <f t="shared" si="4"/>
        <v/>
      </c>
      <c r="AO196" s="227" t="str">
        <f t="shared" si="5"/>
        <v/>
      </c>
      <c r="AP196" s="226" t="str">
        <f>IF($B196="","",IFERROR(AO196-(SUMIFS(DATA_GOC!$H:$H,DATA_GOC!$A:$A,"BOM",DATA_GOC!$D:$D,$B196,DATA_GOC!$F:$F,"Xuất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7" ht="15.0" customHeight="1">
      <c r="A197" s="61" t="str">
        <f t="shared" si="1"/>
        <v/>
      </c>
      <c r="B197" s="228" t="str">
        <f t="array" ref="B197">IFERROR(INDEX(DANH_MUC!$E:$E,ROW()-1),"")</f>
        <v/>
      </c>
      <c r="C197" s="228" t="str">
        <f>IF($B197="","",IF(C$4&gt;DAY(EOMONTH(DATE($D$2,$B$2,1),0)),"",SUMIFS(DATA_GOC!$H:$H,DATA_GOC!$A:$A,"BOM",DATA_GOC!$D:$D,$B197,DATA_GOC!$F:$F,"Xuất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7" s="61" t="str">
        <f>IF($B197="","",IF(D$4&gt;DAY(EOMONTH(DATE($D$2,$B$2,1),0)),"",SUMIFS(DATA_GOC!$H:$H,DATA_GOC!$A:$A,"BOM",DATA_GOC!$D:$D,$B197,DATA_GOC!$F:$F,"Xuất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7" s="229" t="str">
        <f>IF($B197="","",IF(E$4&gt;DAY(EOMONTH(DATE($D$2,$B$2,1),0)),"",SUMIFS(DATA_GOC!$H:$H,DATA_GOC!$A:$A,"BOM",DATA_GOC!$D:$D,$B197,DATA_GOC!$F:$F,"Xuất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7" s="229" t="str">
        <f>IF($B197="","",IF(F$4&gt;DAY(EOMONTH(DATE($D$2,$B$2,1),0)),"",SUMIFS(DATA_GOC!$H:$H,DATA_GOC!$A:$A,"BOM",DATA_GOC!$D:$D,$B197,DATA_GOC!$F:$F,"Xuất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7" s="229" t="str">
        <f>IF($B197="","",IF(G$4&gt;DAY(EOMONTH(DATE($D$2,$B$2,1),0)),"",SUMIFS(DATA_GOC!$H:$H,DATA_GOC!$A:$A,"BOM",DATA_GOC!$D:$D,$B197,DATA_GOC!$F:$F,"Xuất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7" s="228" t="str">
        <f>IF($B197="","",IF(H$4&gt;DAY(EOMONTH(DATE($D$2,$B$2,1),0)),"",SUMIFS(DATA_GOC!$H:$H,DATA_GOC!$A:$A,"BOM",DATA_GOC!$D:$D,$B197,DATA_GOC!$F:$F,"Xuất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7" s="229" t="str">
        <f>IF($B197="","",IF(I$4&gt;DAY(EOMONTH(DATE($D$2,$B$2,1),0)),"",SUMIFS(DATA_GOC!$H:$H,DATA_GOC!$A:$A,"BOM",DATA_GOC!$D:$D,$B197,DATA_GOC!$F:$F,"Xuất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7" s="229" t="str">
        <f>IF($B197="","",IF(J$4&gt;DAY(EOMONTH(DATE($D$2,$B$2,1),0)),"",SUMIFS(DATA_GOC!$H:$H,DATA_GOC!$A:$A,"BOM",DATA_GOC!$D:$D,$B197,DATA_GOC!$F:$F,"Xuất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7" s="229" t="str">
        <f>IF($B197="","",IF(K$4&gt;DAY(EOMONTH(DATE($D$2,$B$2,1),0)),"",SUMIFS(DATA_GOC!$H:$H,DATA_GOC!$A:$A,"BOM",DATA_GOC!$D:$D,$B197,DATA_GOC!$F:$F,"Xuất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7" s="229" t="str">
        <f>IF($B197="","",IF(L$4&gt;DAY(EOMONTH(DATE($D$2,$B$2,1),0)),"",SUMIFS(DATA_GOC!$H:$H,DATA_GOC!$A:$A,"BOM",DATA_GOC!$D:$D,$B197,DATA_GOC!$F:$F,"Xuất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7" s="229" t="str">
        <f>IF($B197="","",IF(M$4&gt;DAY(EOMONTH(DATE($D$2,$B$2,1),0)),"",SUMIFS(DATA_GOC!$H:$H,DATA_GOC!$A:$A,"BOM",DATA_GOC!$D:$D,$B197,DATA_GOC!$F:$F,"Xuất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7" s="61" t="str">
        <f>IF($B197="","",IF(N$4&gt;DAY(EOMONTH(DATE($D$2,$B$2,1),0)),"",SUMIFS(DATA_GOC!$H:$H,DATA_GOC!$A:$A,"BOM",DATA_GOC!$D:$D,$B197,DATA_GOC!$F:$F,"Xuất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7" s="61" t="str">
        <f>IF($B197="","",IF(O$4&gt;DAY(EOMONTH(DATE($D$2,$B$2,1),0)),"",SUMIFS(DATA_GOC!$H:$H,DATA_GOC!$A:$A,"BOM",DATA_GOC!$D:$D,$B197,DATA_GOC!$F:$F,"Xuất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7" s="61" t="str">
        <f>IF($B197="","",IF(P$4&gt;DAY(EOMONTH(DATE($D$2,$B$2,1),0)),"",SUMIFS(DATA_GOC!$H:$H,DATA_GOC!$A:$A,"BOM",DATA_GOC!$D:$D,$B197,DATA_GOC!$F:$F,"Xuất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7" s="61" t="str">
        <f>IF($B197="","",IF(Q$4&gt;DAY(EOMONTH(DATE($D$2,$B$2,1),0)),"",SUMIFS(DATA_GOC!$H:$H,DATA_GOC!$A:$A,"BOM",DATA_GOC!$D:$D,$B197,DATA_GOC!$F:$F,"Xuất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7" s="61" t="str">
        <f>IF($B197="","",IF(R$4&gt;DAY(EOMONTH(DATE($D$2,$B$2,1),0)),"",SUMIFS(DATA_GOC!$H:$H,DATA_GOC!$A:$A,"BOM",DATA_GOC!$D:$D,$B197,DATA_GOC!$F:$F,"Xuất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7" s="61" t="str">
        <f>IF($B197="","",IF(S$4&gt;DAY(EOMONTH(DATE($D$2,$B$2,1),0)),"",SUMIFS(DATA_GOC!$H:$H,DATA_GOC!$A:$A,"BOM",DATA_GOC!$D:$D,$B197,DATA_GOC!$F:$F,"Xuất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7" s="61" t="str">
        <f>IF($B197="","",IF(T$4&gt;DAY(EOMONTH(DATE($D$2,$B$2,1),0)),"",SUMIFS(DATA_GOC!$H:$H,DATA_GOC!$A:$A,"BOM",DATA_GOC!$D:$D,$B197,DATA_GOC!$F:$F,"Xuất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7" s="61" t="str">
        <f>IF($B197="","",IF(U$4&gt;DAY(EOMONTH(DATE($D$2,$B$2,1),0)),"",SUMIFS(DATA_GOC!$H:$H,DATA_GOC!$A:$A,"BOM",DATA_GOC!$D:$D,$B197,DATA_GOC!$F:$F,"Xuất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7" s="61" t="str">
        <f>IF($B197="","",IF(V$4&gt;DAY(EOMONTH(DATE($D$2,$B$2,1),0)),"",SUMIFS(DATA_GOC!$H:$H,DATA_GOC!$A:$A,"BOM",DATA_GOC!$D:$D,$B197,DATA_GOC!$F:$F,"Xuất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7" s="61" t="str">
        <f>IF($B197="","",IF(W$4&gt;DAY(EOMONTH(DATE($D$2,$B$2,1),0)),"",SUMIFS(DATA_GOC!$H:$H,DATA_GOC!$A:$A,"BOM",DATA_GOC!$D:$D,$B197,DATA_GOC!$F:$F,"Xuất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7" s="61" t="str">
        <f>IF($B197="","",IF(X$4&gt;DAY(EOMONTH(DATE($D$2,$B$2,1),0)),"",SUMIFS(DATA_GOC!$H:$H,DATA_GOC!$A:$A,"BOM",DATA_GOC!$D:$D,$B197,DATA_GOC!$F:$F,"Xuất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7" s="61" t="str">
        <f>IF($B197="","",IF(Y$4&gt;DAY(EOMONTH(DATE($D$2,$B$2,1),0)),"",SUMIFS(DATA_GOC!$H:$H,DATA_GOC!$A:$A,"BOM",DATA_GOC!$D:$D,$B197,DATA_GOC!$F:$F,"Xuất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7" s="61" t="str">
        <f>IF($B197="","",IF(Z$4&gt;DAY(EOMONTH(DATE($D$2,$B$2,1),0)),"",SUMIFS(DATA_GOC!$H:$H,DATA_GOC!$A:$A,"BOM",DATA_GOC!$D:$D,$B197,DATA_GOC!$F:$F,"Xuất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7" s="61" t="str">
        <f>IF($B197="","",IF(AA$4&gt;DAY(EOMONTH(DATE($D$2,$B$2,1),0)),"",SUMIFS(DATA_GOC!$H:$H,DATA_GOC!$A:$A,"BOM",DATA_GOC!$D:$D,$B197,DATA_GOC!$F:$F,"Xuất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7" s="61" t="str">
        <f>IF($B197="","",IF(AB$4&gt;DAY(EOMONTH(DATE($D$2,$B$2,1),0)),"",SUMIFS(DATA_GOC!$H:$H,DATA_GOC!$A:$A,"BOM",DATA_GOC!$D:$D,$B197,DATA_GOC!$F:$F,"Xuất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7" s="61" t="str">
        <f>IF($B197="","",IF(AC$4&gt;DAY(EOMONTH(DATE($D$2,$B$2,1),0)),"",SUMIFS(DATA_GOC!$H:$H,DATA_GOC!$A:$A,"BOM",DATA_GOC!$D:$D,$B197,DATA_GOC!$F:$F,"Xuất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7" s="222" t="str">
        <f>IF($B197="","",IF(AD$4&gt;DAY(EOMONTH(DATE($D$2,$B$2,1),0)),"",SUMIFS(DATA_GOC!$H:$H,DATA_GOC!$A:$A,"BOM",DATA_GOC!$D:$D,$B197,DATA_GOC!$F:$F,"Xuất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7" s="222" t="str">
        <f>IF($B197="","",IF(AE$4&gt;DAY(EOMONTH(DATE($D$2,$B$2,1),0)),"",SUMIFS(DATA_GOC!$H:$H,DATA_GOC!$A:$A,"BOM",DATA_GOC!$D:$D,$B197,DATA_GOC!$F:$F,"Xuất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7" s="222" t="str">
        <f>IF($B197="","",IF(AF$4&gt;DAY(EOMONTH(DATE($D$2,$B$2,1),0)),"",SUMIFS(DATA_GOC!$H:$H,DATA_GOC!$A:$A,"BOM",DATA_GOC!$D:$D,$B197,DATA_GOC!$F:$F,"Xuất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7" s="222" t="str">
        <f>IF($B197="","",IF(AG$4&gt;DAY(EOMONTH(DATE($D$2,$B$2,1),0)),"",SUMIFS(DATA_GOC!$H:$H,DATA_GOC!$A:$A,"BOM",DATA_GOC!$D:$D,$B197,DATA_GOC!$F:$F,"Xuất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7" s="222" t="str">
        <f t="shared" si="2"/>
        <v/>
      </c>
      <c r="AI197" s="222" t="str">
        <f>IF($B197="","",SUMIFS(DATA_GOC!$H:$H,DATA_GOC!$A:$A,"BOM",DATA_GOC!$D:$D,$B197,DATA_GOC!$F:$F,"Bơm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7" s="222" t="str">
        <f t="shared" si="3"/>
        <v/>
      </c>
      <c r="AM197" s="222" t="str">
        <f>IF($B197="","",SUMIFS(DATA_GOC!$K:$K,DATA_GOC!$A:$A,"BOM",DATA_GOC!$D:$D,$B197,DATA_GOC!$G:$G,"DO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7" s="222" t="str">
        <f t="shared" si="4"/>
        <v/>
      </c>
      <c r="AO197" s="227" t="str">
        <f t="shared" si="5"/>
        <v/>
      </c>
      <c r="AP197" s="226" t="str">
        <f>IF($B197="","",IFERROR(AO197-(SUMIFS(DATA_GOC!$H:$H,DATA_GOC!$A:$A,"BOM",DATA_GOC!$D:$D,$B197,DATA_GOC!$F:$F,"Xuất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8" ht="15.0" customHeight="1">
      <c r="A198" s="61" t="str">
        <f t="shared" si="1"/>
        <v/>
      </c>
      <c r="B198" s="228" t="str">
        <f t="array" ref="B198">IFERROR(INDEX(DANH_MUC!$E:$E,ROW()-1),"")</f>
        <v/>
      </c>
      <c r="C198" s="228" t="str">
        <f>IF($B198="","",IF(C$4&gt;DAY(EOMONTH(DATE($D$2,$B$2,1),0)),"",SUMIFS(DATA_GOC!$H:$H,DATA_GOC!$A:$A,"BOM",DATA_GOC!$D:$D,$B198,DATA_GOC!$F:$F,"Xuất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8" s="61" t="str">
        <f>IF($B198="","",IF(D$4&gt;DAY(EOMONTH(DATE($D$2,$B$2,1),0)),"",SUMIFS(DATA_GOC!$H:$H,DATA_GOC!$A:$A,"BOM",DATA_GOC!$D:$D,$B198,DATA_GOC!$F:$F,"Xuất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8" s="229" t="str">
        <f>IF($B198="","",IF(E$4&gt;DAY(EOMONTH(DATE($D$2,$B$2,1),0)),"",SUMIFS(DATA_GOC!$H:$H,DATA_GOC!$A:$A,"BOM",DATA_GOC!$D:$D,$B198,DATA_GOC!$F:$F,"Xuất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8" s="229" t="str">
        <f>IF($B198="","",IF(F$4&gt;DAY(EOMONTH(DATE($D$2,$B$2,1),0)),"",SUMIFS(DATA_GOC!$H:$H,DATA_GOC!$A:$A,"BOM",DATA_GOC!$D:$D,$B198,DATA_GOC!$F:$F,"Xuất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8" s="229" t="str">
        <f>IF($B198="","",IF(G$4&gt;DAY(EOMONTH(DATE($D$2,$B$2,1),0)),"",SUMIFS(DATA_GOC!$H:$H,DATA_GOC!$A:$A,"BOM",DATA_GOC!$D:$D,$B198,DATA_GOC!$F:$F,"Xuất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8" s="228" t="str">
        <f>IF($B198="","",IF(H$4&gt;DAY(EOMONTH(DATE($D$2,$B$2,1),0)),"",SUMIFS(DATA_GOC!$H:$H,DATA_GOC!$A:$A,"BOM",DATA_GOC!$D:$D,$B198,DATA_GOC!$F:$F,"Xuất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8" s="229" t="str">
        <f>IF($B198="","",IF(I$4&gt;DAY(EOMONTH(DATE($D$2,$B$2,1),0)),"",SUMIFS(DATA_GOC!$H:$H,DATA_GOC!$A:$A,"BOM",DATA_GOC!$D:$D,$B198,DATA_GOC!$F:$F,"Xuất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8" s="229" t="str">
        <f>IF($B198="","",IF(J$4&gt;DAY(EOMONTH(DATE($D$2,$B$2,1),0)),"",SUMIFS(DATA_GOC!$H:$H,DATA_GOC!$A:$A,"BOM",DATA_GOC!$D:$D,$B198,DATA_GOC!$F:$F,"Xuất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8" s="229" t="str">
        <f>IF($B198="","",IF(K$4&gt;DAY(EOMONTH(DATE($D$2,$B$2,1),0)),"",SUMIFS(DATA_GOC!$H:$H,DATA_GOC!$A:$A,"BOM",DATA_GOC!$D:$D,$B198,DATA_GOC!$F:$F,"Xuất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8" s="229" t="str">
        <f>IF($B198="","",IF(L$4&gt;DAY(EOMONTH(DATE($D$2,$B$2,1),0)),"",SUMIFS(DATA_GOC!$H:$H,DATA_GOC!$A:$A,"BOM",DATA_GOC!$D:$D,$B198,DATA_GOC!$F:$F,"Xuất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8" s="229" t="str">
        <f>IF($B198="","",IF(M$4&gt;DAY(EOMONTH(DATE($D$2,$B$2,1),0)),"",SUMIFS(DATA_GOC!$H:$H,DATA_GOC!$A:$A,"BOM",DATA_GOC!$D:$D,$B198,DATA_GOC!$F:$F,"Xuất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8" s="61" t="str">
        <f>IF($B198="","",IF(N$4&gt;DAY(EOMONTH(DATE($D$2,$B$2,1),0)),"",SUMIFS(DATA_GOC!$H:$H,DATA_GOC!$A:$A,"BOM",DATA_GOC!$D:$D,$B198,DATA_GOC!$F:$F,"Xuất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8" s="61" t="str">
        <f>IF($B198="","",IF(O$4&gt;DAY(EOMONTH(DATE($D$2,$B$2,1),0)),"",SUMIFS(DATA_GOC!$H:$H,DATA_GOC!$A:$A,"BOM",DATA_GOC!$D:$D,$B198,DATA_GOC!$F:$F,"Xuất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8" s="61" t="str">
        <f>IF($B198="","",IF(P$4&gt;DAY(EOMONTH(DATE($D$2,$B$2,1),0)),"",SUMIFS(DATA_GOC!$H:$H,DATA_GOC!$A:$A,"BOM",DATA_GOC!$D:$D,$B198,DATA_GOC!$F:$F,"Xuất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8" s="61" t="str">
        <f>IF($B198="","",IF(Q$4&gt;DAY(EOMONTH(DATE($D$2,$B$2,1),0)),"",SUMIFS(DATA_GOC!$H:$H,DATA_GOC!$A:$A,"BOM",DATA_GOC!$D:$D,$B198,DATA_GOC!$F:$F,"Xuất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8" s="61" t="str">
        <f>IF($B198="","",IF(R$4&gt;DAY(EOMONTH(DATE($D$2,$B$2,1),0)),"",SUMIFS(DATA_GOC!$H:$H,DATA_GOC!$A:$A,"BOM",DATA_GOC!$D:$D,$B198,DATA_GOC!$F:$F,"Xuất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8" s="61" t="str">
        <f>IF($B198="","",IF(S$4&gt;DAY(EOMONTH(DATE($D$2,$B$2,1),0)),"",SUMIFS(DATA_GOC!$H:$H,DATA_GOC!$A:$A,"BOM",DATA_GOC!$D:$D,$B198,DATA_GOC!$F:$F,"Xuất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8" s="61" t="str">
        <f>IF($B198="","",IF(T$4&gt;DAY(EOMONTH(DATE($D$2,$B$2,1),0)),"",SUMIFS(DATA_GOC!$H:$H,DATA_GOC!$A:$A,"BOM",DATA_GOC!$D:$D,$B198,DATA_GOC!$F:$F,"Xuất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8" s="61" t="str">
        <f>IF($B198="","",IF(U$4&gt;DAY(EOMONTH(DATE($D$2,$B$2,1),0)),"",SUMIFS(DATA_GOC!$H:$H,DATA_GOC!$A:$A,"BOM",DATA_GOC!$D:$D,$B198,DATA_GOC!$F:$F,"Xuất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8" s="61" t="str">
        <f>IF($B198="","",IF(V$4&gt;DAY(EOMONTH(DATE($D$2,$B$2,1),0)),"",SUMIFS(DATA_GOC!$H:$H,DATA_GOC!$A:$A,"BOM",DATA_GOC!$D:$D,$B198,DATA_GOC!$F:$F,"Xuất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8" s="61" t="str">
        <f>IF($B198="","",IF(W$4&gt;DAY(EOMONTH(DATE($D$2,$B$2,1),0)),"",SUMIFS(DATA_GOC!$H:$H,DATA_GOC!$A:$A,"BOM",DATA_GOC!$D:$D,$B198,DATA_GOC!$F:$F,"Xuất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8" s="61" t="str">
        <f>IF($B198="","",IF(X$4&gt;DAY(EOMONTH(DATE($D$2,$B$2,1),0)),"",SUMIFS(DATA_GOC!$H:$H,DATA_GOC!$A:$A,"BOM",DATA_GOC!$D:$D,$B198,DATA_GOC!$F:$F,"Xuất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8" s="61" t="str">
        <f>IF($B198="","",IF(Y$4&gt;DAY(EOMONTH(DATE($D$2,$B$2,1),0)),"",SUMIFS(DATA_GOC!$H:$H,DATA_GOC!$A:$A,"BOM",DATA_GOC!$D:$D,$B198,DATA_GOC!$F:$F,"Xuất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8" s="61" t="str">
        <f>IF($B198="","",IF(Z$4&gt;DAY(EOMONTH(DATE($D$2,$B$2,1),0)),"",SUMIFS(DATA_GOC!$H:$H,DATA_GOC!$A:$A,"BOM",DATA_GOC!$D:$D,$B198,DATA_GOC!$F:$F,"Xuất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8" s="61" t="str">
        <f>IF($B198="","",IF(AA$4&gt;DAY(EOMONTH(DATE($D$2,$B$2,1),0)),"",SUMIFS(DATA_GOC!$H:$H,DATA_GOC!$A:$A,"BOM",DATA_GOC!$D:$D,$B198,DATA_GOC!$F:$F,"Xuất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8" s="61" t="str">
        <f>IF($B198="","",IF(AB$4&gt;DAY(EOMONTH(DATE($D$2,$B$2,1),0)),"",SUMIFS(DATA_GOC!$H:$H,DATA_GOC!$A:$A,"BOM",DATA_GOC!$D:$D,$B198,DATA_GOC!$F:$F,"Xuất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8" s="61" t="str">
        <f>IF($B198="","",IF(AC$4&gt;DAY(EOMONTH(DATE($D$2,$B$2,1),0)),"",SUMIFS(DATA_GOC!$H:$H,DATA_GOC!$A:$A,"BOM",DATA_GOC!$D:$D,$B198,DATA_GOC!$F:$F,"Xuất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8" s="222" t="str">
        <f>IF($B198="","",IF(AD$4&gt;DAY(EOMONTH(DATE($D$2,$B$2,1),0)),"",SUMIFS(DATA_GOC!$H:$H,DATA_GOC!$A:$A,"BOM",DATA_GOC!$D:$D,$B198,DATA_GOC!$F:$F,"Xuất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8" s="222" t="str">
        <f>IF($B198="","",IF(AE$4&gt;DAY(EOMONTH(DATE($D$2,$B$2,1),0)),"",SUMIFS(DATA_GOC!$H:$H,DATA_GOC!$A:$A,"BOM",DATA_GOC!$D:$D,$B198,DATA_GOC!$F:$F,"Xuất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8" s="222" t="str">
        <f>IF($B198="","",IF(AF$4&gt;DAY(EOMONTH(DATE($D$2,$B$2,1),0)),"",SUMIFS(DATA_GOC!$H:$H,DATA_GOC!$A:$A,"BOM",DATA_GOC!$D:$D,$B198,DATA_GOC!$F:$F,"Xuất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8" s="222" t="str">
        <f>IF($B198="","",IF(AG$4&gt;DAY(EOMONTH(DATE($D$2,$B$2,1),0)),"",SUMIFS(DATA_GOC!$H:$H,DATA_GOC!$A:$A,"BOM",DATA_GOC!$D:$D,$B198,DATA_GOC!$F:$F,"Xuất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8" s="222" t="str">
        <f t="shared" si="2"/>
        <v/>
      </c>
      <c r="AI198" s="222" t="str">
        <f>IF($B198="","",SUMIFS(DATA_GOC!$H:$H,DATA_GOC!$A:$A,"BOM",DATA_GOC!$D:$D,$B198,DATA_GOC!$F:$F,"Bơm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8" s="222" t="str">
        <f t="shared" si="3"/>
        <v/>
      </c>
      <c r="AM198" s="222" t="str">
        <f>IF($B198="","",SUMIFS(DATA_GOC!$K:$K,DATA_GOC!$A:$A,"BOM",DATA_GOC!$D:$D,$B198,DATA_GOC!$G:$G,"DO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8" s="222" t="str">
        <f t="shared" si="4"/>
        <v/>
      </c>
      <c r="AO198" s="227" t="str">
        <f t="shared" si="5"/>
        <v/>
      </c>
      <c r="AP198" s="226" t="str">
        <f>IF($B198="","",IFERROR(AO198-(SUMIFS(DATA_GOC!$H:$H,DATA_GOC!$A:$A,"BOM",DATA_GOC!$D:$D,$B198,DATA_GOC!$F:$F,"Xuất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199" ht="15.0" customHeight="1">
      <c r="A199" s="61" t="str">
        <f t="shared" si="1"/>
        <v/>
      </c>
      <c r="B199" s="228" t="str">
        <f t="array" ref="B199">IFERROR(INDEX(DANH_MUC!$E:$E,ROW()-1),"")</f>
        <v/>
      </c>
      <c r="C199" s="228" t="str">
        <f>IF($B199="","",IF(C$4&gt;DAY(EOMONTH(DATE($D$2,$B$2,1),0)),"",SUMIFS(DATA_GOC!$H:$H,DATA_GOC!$A:$A,"BOM",DATA_GOC!$D:$D,$B199,DATA_GOC!$F:$F,"Xuất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199" s="61" t="str">
        <f>IF($B199="","",IF(D$4&gt;DAY(EOMONTH(DATE($D$2,$B$2,1),0)),"",SUMIFS(DATA_GOC!$H:$H,DATA_GOC!$A:$A,"BOM",DATA_GOC!$D:$D,$B199,DATA_GOC!$F:$F,"Xuất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199" s="229" t="str">
        <f>IF($B199="","",IF(E$4&gt;DAY(EOMONTH(DATE($D$2,$B$2,1),0)),"",SUMIFS(DATA_GOC!$H:$H,DATA_GOC!$A:$A,"BOM",DATA_GOC!$D:$D,$B199,DATA_GOC!$F:$F,"Xuất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199" s="229" t="str">
        <f>IF($B199="","",IF(F$4&gt;DAY(EOMONTH(DATE($D$2,$B$2,1),0)),"",SUMIFS(DATA_GOC!$H:$H,DATA_GOC!$A:$A,"BOM",DATA_GOC!$D:$D,$B199,DATA_GOC!$F:$F,"Xuất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199" s="229" t="str">
        <f>IF($B199="","",IF(G$4&gt;DAY(EOMONTH(DATE($D$2,$B$2,1),0)),"",SUMIFS(DATA_GOC!$H:$H,DATA_GOC!$A:$A,"BOM",DATA_GOC!$D:$D,$B199,DATA_GOC!$F:$F,"Xuất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199" s="228" t="str">
        <f>IF($B199="","",IF(H$4&gt;DAY(EOMONTH(DATE($D$2,$B$2,1),0)),"",SUMIFS(DATA_GOC!$H:$H,DATA_GOC!$A:$A,"BOM",DATA_GOC!$D:$D,$B199,DATA_GOC!$F:$F,"Xuất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199" s="229" t="str">
        <f>IF($B199="","",IF(I$4&gt;DAY(EOMONTH(DATE($D$2,$B$2,1),0)),"",SUMIFS(DATA_GOC!$H:$H,DATA_GOC!$A:$A,"BOM",DATA_GOC!$D:$D,$B199,DATA_GOC!$F:$F,"Xuất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199" s="229" t="str">
        <f>IF($B199="","",IF(J$4&gt;DAY(EOMONTH(DATE($D$2,$B$2,1),0)),"",SUMIFS(DATA_GOC!$H:$H,DATA_GOC!$A:$A,"BOM",DATA_GOC!$D:$D,$B199,DATA_GOC!$F:$F,"Xuất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199" s="229" t="str">
        <f>IF($B199="","",IF(K$4&gt;DAY(EOMONTH(DATE($D$2,$B$2,1),0)),"",SUMIFS(DATA_GOC!$H:$H,DATA_GOC!$A:$A,"BOM",DATA_GOC!$D:$D,$B199,DATA_GOC!$F:$F,"Xuất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199" s="229" t="str">
        <f>IF($B199="","",IF(L$4&gt;DAY(EOMONTH(DATE($D$2,$B$2,1),0)),"",SUMIFS(DATA_GOC!$H:$H,DATA_GOC!$A:$A,"BOM",DATA_GOC!$D:$D,$B199,DATA_GOC!$F:$F,"Xuất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199" s="229" t="str">
        <f>IF($B199="","",IF(M$4&gt;DAY(EOMONTH(DATE($D$2,$B$2,1),0)),"",SUMIFS(DATA_GOC!$H:$H,DATA_GOC!$A:$A,"BOM",DATA_GOC!$D:$D,$B199,DATA_GOC!$F:$F,"Xuất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199" s="61" t="str">
        <f>IF($B199="","",IF(N$4&gt;DAY(EOMONTH(DATE($D$2,$B$2,1),0)),"",SUMIFS(DATA_GOC!$H:$H,DATA_GOC!$A:$A,"BOM",DATA_GOC!$D:$D,$B199,DATA_GOC!$F:$F,"Xuất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199" s="61" t="str">
        <f>IF($B199="","",IF(O$4&gt;DAY(EOMONTH(DATE($D$2,$B$2,1),0)),"",SUMIFS(DATA_GOC!$H:$H,DATA_GOC!$A:$A,"BOM",DATA_GOC!$D:$D,$B199,DATA_GOC!$F:$F,"Xuất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199" s="61" t="str">
        <f>IF($B199="","",IF(P$4&gt;DAY(EOMONTH(DATE($D$2,$B$2,1),0)),"",SUMIFS(DATA_GOC!$H:$H,DATA_GOC!$A:$A,"BOM",DATA_GOC!$D:$D,$B199,DATA_GOC!$F:$F,"Xuất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199" s="61" t="str">
        <f>IF($B199="","",IF(Q$4&gt;DAY(EOMONTH(DATE($D$2,$B$2,1),0)),"",SUMIFS(DATA_GOC!$H:$H,DATA_GOC!$A:$A,"BOM",DATA_GOC!$D:$D,$B199,DATA_GOC!$F:$F,"Xuất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199" s="61" t="str">
        <f>IF($B199="","",IF(R$4&gt;DAY(EOMONTH(DATE($D$2,$B$2,1),0)),"",SUMIFS(DATA_GOC!$H:$H,DATA_GOC!$A:$A,"BOM",DATA_GOC!$D:$D,$B199,DATA_GOC!$F:$F,"Xuất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199" s="61" t="str">
        <f>IF($B199="","",IF(S$4&gt;DAY(EOMONTH(DATE($D$2,$B$2,1),0)),"",SUMIFS(DATA_GOC!$H:$H,DATA_GOC!$A:$A,"BOM",DATA_GOC!$D:$D,$B199,DATA_GOC!$F:$F,"Xuất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199" s="61" t="str">
        <f>IF($B199="","",IF(T$4&gt;DAY(EOMONTH(DATE($D$2,$B$2,1),0)),"",SUMIFS(DATA_GOC!$H:$H,DATA_GOC!$A:$A,"BOM",DATA_GOC!$D:$D,$B199,DATA_GOC!$F:$F,"Xuất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199" s="61" t="str">
        <f>IF($B199="","",IF(U$4&gt;DAY(EOMONTH(DATE($D$2,$B$2,1),0)),"",SUMIFS(DATA_GOC!$H:$H,DATA_GOC!$A:$A,"BOM",DATA_GOC!$D:$D,$B199,DATA_GOC!$F:$F,"Xuất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199" s="61" t="str">
        <f>IF($B199="","",IF(V$4&gt;DAY(EOMONTH(DATE($D$2,$B$2,1),0)),"",SUMIFS(DATA_GOC!$H:$H,DATA_GOC!$A:$A,"BOM",DATA_GOC!$D:$D,$B199,DATA_GOC!$F:$F,"Xuất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199" s="61" t="str">
        <f>IF($B199="","",IF(W$4&gt;DAY(EOMONTH(DATE($D$2,$B$2,1),0)),"",SUMIFS(DATA_GOC!$H:$H,DATA_GOC!$A:$A,"BOM",DATA_GOC!$D:$D,$B199,DATA_GOC!$F:$F,"Xuất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199" s="61" t="str">
        <f>IF($B199="","",IF(X$4&gt;DAY(EOMONTH(DATE($D$2,$B$2,1),0)),"",SUMIFS(DATA_GOC!$H:$H,DATA_GOC!$A:$A,"BOM",DATA_GOC!$D:$D,$B199,DATA_GOC!$F:$F,"Xuất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199" s="61" t="str">
        <f>IF($B199="","",IF(Y$4&gt;DAY(EOMONTH(DATE($D$2,$B$2,1),0)),"",SUMIFS(DATA_GOC!$H:$H,DATA_GOC!$A:$A,"BOM",DATA_GOC!$D:$D,$B199,DATA_GOC!$F:$F,"Xuất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199" s="61" t="str">
        <f>IF($B199="","",IF(Z$4&gt;DAY(EOMONTH(DATE($D$2,$B$2,1),0)),"",SUMIFS(DATA_GOC!$H:$H,DATA_GOC!$A:$A,"BOM",DATA_GOC!$D:$D,$B199,DATA_GOC!$F:$F,"Xuất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199" s="61" t="str">
        <f>IF($B199="","",IF(AA$4&gt;DAY(EOMONTH(DATE($D$2,$B$2,1),0)),"",SUMIFS(DATA_GOC!$H:$H,DATA_GOC!$A:$A,"BOM",DATA_GOC!$D:$D,$B199,DATA_GOC!$F:$F,"Xuất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199" s="61" t="str">
        <f>IF($B199="","",IF(AB$4&gt;DAY(EOMONTH(DATE($D$2,$B$2,1),0)),"",SUMIFS(DATA_GOC!$H:$H,DATA_GOC!$A:$A,"BOM",DATA_GOC!$D:$D,$B199,DATA_GOC!$F:$F,"Xuất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199" s="61" t="str">
        <f>IF($B199="","",IF(AC$4&gt;DAY(EOMONTH(DATE($D$2,$B$2,1),0)),"",SUMIFS(DATA_GOC!$H:$H,DATA_GOC!$A:$A,"BOM",DATA_GOC!$D:$D,$B199,DATA_GOC!$F:$F,"Xuất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199" s="222" t="str">
        <f>IF($B199="","",IF(AD$4&gt;DAY(EOMONTH(DATE($D$2,$B$2,1),0)),"",SUMIFS(DATA_GOC!$H:$H,DATA_GOC!$A:$A,"BOM",DATA_GOC!$D:$D,$B199,DATA_GOC!$F:$F,"Xuất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199" s="222" t="str">
        <f>IF($B199="","",IF(AE$4&gt;DAY(EOMONTH(DATE($D$2,$B$2,1),0)),"",SUMIFS(DATA_GOC!$H:$H,DATA_GOC!$A:$A,"BOM",DATA_GOC!$D:$D,$B199,DATA_GOC!$F:$F,"Xuất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199" s="222" t="str">
        <f>IF($B199="","",IF(AF$4&gt;DAY(EOMONTH(DATE($D$2,$B$2,1),0)),"",SUMIFS(DATA_GOC!$H:$H,DATA_GOC!$A:$A,"BOM",DATA_GOC!$D:$D,$B199,DATA_GOC!$F:$F,"Xuất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199" s="222" t="str">
        <f>IF($B199="","",IF(AG$4&gt;DAY(EOMONTH(DATE($D$2,$B$2,1),0)),"",SUMIFS(DATA_GOC!$H:$H,DATA_GOC!$A:$A,"BOM",DATA_GOC!$D:$D,$B199,DATA_GOC!$F:$F,"Xuất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199" s="222" t="str">
        <f t="shared" si="2"/>
        <v/>
      </c>
      <c r="AI199" s="222" t="str">
        <f>IF($B199="","",SUMIFS(DATA_GOC!$H:$H,DATA_GOC!$A:$A,"BOM",DATA_GOC!$D:$D,$B199,DATA_GOC!$F:$F,"Bơm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199" s="222" t="str">
        <f t="shared" si="3"/>
        <v/>
      </c>
      <c r="AM199" s="222" t="str">
        <f>IF($B199="","",SUMIFS(DATA_GOC!$K:$K,DATA_GOC!$A:$A,"BOM",DATA_GOC!$D:$D,$B199,DATA_GOC!$G:$G,"DO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199" s="222" t="str">
        <f t="shared" si="4"/>
        <v/>
      </c>
      <c r="AO199" s="227" t="str">
        <f t="shared" si="5"/>
        <v/>
      </c>
      <c r="AP199" s="226" t="str">
        <f>IF($B199="","",IFERROR(AO199-(SUMIFS(DATA_GOC!$H:$H,DATA_GOC!$A:$A,"BOM",DATA_GOC!$D:$D,$B199,DATA_GOC!$F:$F,"Xuất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số",DATA_GOC!$B:$B,"&gt;="&amp;EDATE(DATE($D$2,$B$2,1),-1),DATA_GOC!$B:$B,"&lt;"&amp;DATE($D$2,$B$2,1))/SUMIFS(DATA_GOC!$K:$K,DATA_GOC!$A:$A,"BOM",DATA_GOC!$D:$D,$B199,DATA_GOC!$G:$G,"DO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0" ht="15.0" customHeight="1">
      <c r="A200" s="61" t="str">
        <f t="shared" si="1"/>
        <v/>
      </c>
      <c r="B200" s="228" t="str">
        <f t="array" ref="B200">IFERROR(INDEX(DANH_MUC!$E:$E,ROW()-1),"")</f>
        <v/>
      </c>
      <c r="C200" s="228" t="str">
        <f>IF($B200="","",IF(C$4&gt;DAY(EOMONTH(DATE($D$2,$B$2,1),0)),"",SUMIFS(DATA_GOC!$H:$H,DATA_GOC!$A:$A,"BOM",DATA_GOC!$D:$D,$B200,DATA_GOC!$F:$F,"Xuất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0" s="61" t="str">
        <f>IF($B200="","",IF(D$4&gt;DAY(EOMONTH(DATE($D$2,$B$2,1),0)),"",SUMIFS(DATA_GOC!$H:$H,DATA_GOC!$A:$A,"BOM",DATA_GOC!$D:$D,$B200,DATA_GOC!$F:$F,"Xuất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0" s="229" t="str">
        <f>IF($B200="","",IF(E$4&gt;DAY(EOMONTH(DATE($D$2,$B$2,1),0)),"",SUMIFS(DATA_GOC!$H:$H,DATA_GOC!$A:$A,"BOM",DATA_GOC!$D:$D,$B200,DATA_GOC!$F:$F,"Xuất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0" s="229" t="str">
        <f>IF($B200="","",IF(F$4&gt;DAY(EOMONTH(DATE($D$2,$B$2,1),0)),"",SUMIFS(DATA_GOC!$H:$H,DATA_GOC!$A:$A,"BOM",DATA_GOC!$D:$D,$B200,DATA_GOC!$F:$F,"Xuất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0" s="229" t="str">
        <f>IF($B200="","",IF(G$4&gt;DAY(EOMONTH(DATE($D$2,$B$2,1),0)),"",SUMIFS(DATA_GOC!$H:$H,DATA_GOC!$A:$A,"BOM",DATA_GOC!$D:$D,$B200,DATA_GOC!$F:$F,"Xuất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0" s="228" t="str">
        <f>IF($B200="","",IF(H$4&gt;DAY(EOMONTH(DATE($D$2,$B$2,1),0)),"",SUMIFS(DATA_GOC!$H:$H,DATA_GOC!$A:$A,"BOM",DATA_GOC!$D:$D,$B200,DATA_GOC!$F:$F,"Xuất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0" s="229" t="str">
        <f>IF($B200="","",IF(I$4&gt;DAY(EOMONTH(DATE($D$2,$B$2,1),0)),"",SUMIFS(DATA_GOC!$H:$H,DATA_GOC!$A:$A,"BOM",DATA_GOC!$D:$D,$B200,DATA_GOC!$F:$F,"Xuất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0" s="229" t="str">
        <f>IF($B200="","",IF(J$4&gt;DAY(EOMONTH(DATE($D$2,$B$2,1),0)),"",SUMIFS(DATA_GOC!$H:$H,DATA_GOC!$A:$A,"BOM",DATA_GOC!$D:$D,$B200,DATA_GOC!$F:$F,"Xuất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0" s="229" t="str">
        <f>IF($B200="","",IF(K$4&gt;DAY(EOMONTH(DATE($D$2,$B$2,1),0)),"",SUMIFS(DATA_GOC!$H:$H,DATA_GOC!$A:$A,"BOM",DATA_GOC!$D:$D,$B200,DATA_GOC!$F:$F,"Xuất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0" s="229" t="str">
        <f>IF($B200="","",IF(L$4&gt;DAY(EOMONTH(DATE($D$2,$B$2,1),0)),"",SUMIFS(DATA_GOC!$H:$H,DATA_GOC!$A:$A,"BOM",DATA_GOC!$D:$D,$B200,DATA_GOC!$F:$F,"Xuất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0" s="229" t="str">
        <f>IF($B200="","",IF(M$4&gt;DAY(EOMONTH(DATE($D$2,$B$2,1),0)),"",SUMIFS(DATA_GOC!$H:$H,DATA_GOC!$A:$A,"BOM",DATA_GOC!$D:$D,$B200,DATA_GOC!$F:$F,"Xuất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0" s="61" t="str">
        <f>IF($B200="","",IF(N$4&gt;DAY(EOMONTH(DATE($D$2,$B$2,1),0)),"",SUMIFS(DATA_GOC!$H:$H,DATA_GOC!$A:$A,"BOM",DATA_GOC!$D:$D,$B200,DATA_GOC!$F:$F,"Xuất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0" s="61" t="str">
        <f>IF($B200="","",IF(O$4&gt;DAY(EOMONTH(DATE($D$2,$B$2,1),0)),"",SUMIFS(DATA_GOC!$H:$H,DATA_GOC!$A:$A,"BOM",DATA_GOC!$D:$D,$B200,DATA_GOC!$F:$F,"Xuất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0" s="61" t="str">
        <f>IF($B200="","",IF(P$4&gt;DAY(EOMONTH(DATE($D$2,$B$2,1),0)),"",SUMIFS(DATA_GOC!$H:$H,DATA_GOC!$A:$A,"BOM",DATA_GOC!$D:$D,$B200,DATA_GOC!$F:$F,"Xuất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0" s="61" t="str">
        <f>IF($B200="","",IF(Q$4&gt;DAY(EOMONTH(DATE($D$2,$B$2,1),0)),"",SUMIFS(DATA_GOC!$H:$H,DATA_GOC!$A:$A,"BOM",DATA_GOC!$D:$D,$B200,DATA_GOC!$F:$F,"Xuất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0" s="61" t="str">
        <f>IF($B200="","",IF(R$4&gt;DAY(EOMONTH(DATE($D$2,$B$2,1),0)),"",SUMIFS(DATA_GOC!$H:$H,DATA_GOC!$A:$A,"BOM",DATA_GOC!$D:$D,$B200,DATA_GOC!$F:$F,"Xuất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0" s="61" t="str">
        <f>IF($B200="","",IF(S$4&gt;DAY(EOMONTH(DATE($D$2,$B$2,1),0)),"",SUMIFS(DATA_GOC!$H:$H,DATA_GOC!$A:$A,"BOM",DATA_GOC!$D:$D,$B200,DATA_GOC!$F:$F,"Xuất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0" s="61" t="str">
        <f>IF($B200="","",IF(T$4&gt;DAY(EOMONTH(DATE($D$2,$B$2,1),0)),"",SUMIFS(DATA_GOC!$H:$H,DATA_GOC!$A:$A,"BOM",DATA_GOC!$D:$D,$B200,DATA_GOC!$F:$F,"Xuất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0" s="61" t="str">
        <f>IF($B200="","",IF(U$4&gt;DAY(EOMONTH(DATE($D$2,$B$2,1),0)),"",SUMIFS(DATA_GOC!$H:$H,DATA_GOC!$A:$A,"BOM",DATA_GOC!$D:$D,$B200,DATA_GOC!$F:$F,"Xuất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0" s="61" t="str">
        <f>IF($B200="","",IF(V$4&gt;DAY(EOMONTH(DATE($D$2,$B$2,1),0)),"",SUMIFS(DATA_GOC!$H:$H,DATA_GOC!$A:$A,"BOM",DATA_GOC!$D:$D,$B200,DATA_GOC!$F:$F,"Xuất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0" s="61" t="str">
        <f>IF($B200="","",IF(W$4&gt;DAY(EOMONTH(DATE($D$2,$B$2,1),0)),"",SUMIFS(DATA_GOC!$H:$H,DATA_GOC!$A:$A,"BOM",DATA_GOC!$D:$D,$B200,DATA_GOC!$F:$F,"Xuất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0" s="61" t="str">
        <f>IF($B200="","",IF(X$4&gt;DAY(EOMONTH(DATE($D$2,$B$2,1),0)),"",SUMIFS(DATA_GOC!$H:$H,DATA_GOC!$A:$A,"BOM",DATA_GOC!$D:$D,$B200,DATA_GOC!$F:$F,"Xuất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0" s="61" t="str">
        <f>IF($B200="","",IF(Y$4&gt;DAY(EOMONTH(DATE($D$2,$B$2,1),0)),"",SUMIFS(DATA_GOC!$H:$H,DATA_GOC!$A:$A,"BOM",DATA_GOC!$D:$D,$B200,DATA_GOC!$F:$F,"Xuất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0" s="61" t="str">
        <f>IF($B200="","",IF(Z$4&gt;DAY(EOMONTH(DATE($D$2,$B$2,1),0)),"",SUMIFS(DATA_GOC!$H:$H,DATA_GOC!$A:$A,"BOM",DATA_GOC!$D:$D,$B200,DATA_GOC!$F:$F,"Xuất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0" s="61" t="str">
        <f>IF($B200="","",IF(AA$4&gt;DAY(EOMONTH(DATE($D$2,$B$2,1),0)),"",SUMIFS(DATA_GOC!$H:$H,DATA_GOC!$A:$A,"BOM",DATA_GOC!$D:$D,$B200,DATA_GOC!$F:$F,"Xuất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0" s="61" t="str">
        <f>IF($B200="","",IF(AB$4&gt;DAY(EOMONTH(DATE($D$2,$B$2,1),0)),"",SUMIFS(DATA_GOC!$H:$H,DATA_GOC!$A:$A,"BOM",DATA_GOC!$D:$D,$B200,DATA_GOC!$F:$F,"Xuất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0" s="61" t="str">
        <f>IF($B200="","",IF(AC$4&gt;DAY(EOMONTH(DATE($D$2,$B$2,1),0)),"",SUMIFS(DATA_GOC!$H:$H,DATA_GOC!$A:$A,"BOM",DATA_GOC!$D:$D,$B200,DATA_GOC!$F:$F,"Xuất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0" s="222" t="str">
        <f>IF($B200="","",IF(AD$4&gt;DAY(EOMONTH(DATE($D$2,$B$2,1),0)),"",SUMIFS(DATA_GOC!$H:$H,DATA_GOC!$A:$A,"BOM",DATA_GOC!$D:$D,$B200,DATA_GOC!$F:$F,"Xuất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0" s="222" t="str">
        <f>IF($B200="","",IF(AE$4&gt;DAY(EOMONTH(DATE($D$2,$B$2,1),0)),"",SUMIFS(DATA_GOC!$H:$H,DATA_GOC!$A:$A,"BOM",DATA_GOC!$D:$D,$B200,DATA_GOC!$F:$F,"Xuất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0" s="222" t="str">
        <f>IF($B200="","",IF(AF$4&gt;DAY(EOMONTH(DATE($D$2,$B$2,1),0)),"",SUMIFS(DATA_GOC!$H:$H,DATA_GOC!$A:$A,"BOM",DATA_GOC!$D:$D,$B200,DATA_GOC!$F:$F,"Xuất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0" s="222" t="str">
        <f>IF($B200="","",IF(AG$4&gt;DAY(EOMONTH(DATE($D$2,$B$2,1),0)),"",SUMIFS(DATA_GOC!$H:$H,DATA_GOC!$A:$A,"BOM",DATA_GOC!$D:$D,$B200,DATA_GOC!$F:$F,"Xuất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0" s="222" t="str">
        <f t="shared" si="2"/>
        <v/>
      </c>
      <c r="AI200" s="222" t="str">
        <f>IF($B200="","",SUMIFS(DATA_GOC!$H:$H,DATA_GOC!$A:$A,"BOM",DATA_GOC!$D:$D,$B200,DATA_GOC!$F:$F,"Bơm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0" s="222" t="str">
        <f t="shared" si="3"/>
        <v/>
      </c>
      <c r="AM200" s="222" t="str">
        <f>IF($B200="","",SUMIFS(DATA_GOC!$K:$K,DATA_GOC!$A:$A,"BOM",DATA_GOC!$D:$D,$B200,DATA_GOC!$G:$G,"DO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0" s="222" t="str">
        <f t="shared" si="4"/>
        <v/>
      </c>
      <c r="AO200" s="227" t="str">
        <f t="shared" si="5"/>
        <v/>
      </c>
      <c r="AP200" s="226" t="str">
        <f>IF($B200="","",IFERROR(AO200-(SUMIFS(DATA_GOC!$H:$H,DATA_GOC!$A:$A,"BOM",DATA_GOC!$D:$D,$B200,DATA_GOC!$F:$F,"Xuất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1" ht="15.0" customHeight="1">
      <c r="A201" s="61" t="str">
        <f t="shared" si="1"/>
        <v/>
      </c>
      <c r="B201" s="228" t="str">
        <f t="array" ref="B201">IFERROR(INDEX(DANH_MUC!$E:$E,ROW()-1),"")</f>
        <v/>
      </c>
      <c r="C201" s="228" t="str">
        <f>IF($B201="","",IF(C$4&gt;DAY(EOMONTH(DATE($D$2,$B$2,1),0)),"",SUMIFS(DATA_GOC!$H:$H,DATA_GOC!$A:$A,"BOM",DATA_GOC!$D:$D,$B201,DATA_GOC!$F:$F,"Xuất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1" s="61" t="str">
        <f>IF($B201="","",IF(D$4&gt;DAY(EOMONTH(DATE($D$2,$B$2,1),0)),"",SUMIFS(DATA_GOC!$H:$H,DATA_GOC!$A:$A,"BOM",DATA_GOC!$D:$D,$B201,DATA_GOC!$F:$F,"Xuất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1" s="229" t="str">
        <f>IF($B201="","",IF(E$4&gt;DAY(EOMONTH(DATE($D$2,$B$2,1),0)),"",SUMIFS(DATA_GOC!$H:$H,DATA_GOC!$A:$A,"BOM",DATA_GOC!$D:$D,$B201,DATA_GOC!$F:$F,"Xuất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1" s="229" t="str">
        <f>IF($B201="","",IF(F$4&gt;DAY(EOMONTH(DATE($D$2,$B$2,1),0)),"",SUMIFS(DATA_GOC!$H:$H,DATA_GOC!$A:$A,"BOM",DATA_GOC!$D:$D,$B201,DATA_GOC!$F:$F,"Xuất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1" s="229" t="str">
        <f>IF($B201="","",IF(G$4&gt;DAY(EOMONTH(DATE($D$2,$B$2,1),0)),"",SUMIFS(DATA_GOC!$H:$H,DATA_GOC!$A:$A,"BOM",DATA_GOC!$D:$D,$B201,DATA_GOC!$F:$F,"Xuất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1" s="228" t="str">
        <f>IF($B201="","",IF(H$4&gt;DAY(EOMONTH(DATE($D$2,$B$2,1),0)),"",SUMIFS(DATA_GOC!$H:$H,DATA_GOC!$A:$A,"BOM",DATA_GOC!$D:$D,$B201,DATA_GOC!$F:$F,"Xuất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1" s="229" t="str">
        <f>IF($B201="","",IF(I$4&gt;DAY(EOMONTH(DATE($D$2,$B$2,1),0)),"",SUMIFS(DATA_GOC!$H:$H,DATA_GOC!$A:$A,"BOM",DATA_GOC!$D:$D,$B201,DATA_GOC!$F:$F,"Xuất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1" s="229" t="str">
        <f>IF($B201="","",IF(J$4&gt;DAY(EOMONTH(DATE($D$2,$B$2,1),0)),"",SUMIFS(DATA_GOC!$H:$H,DATA_GOC!$A:$A,"BOM",DATA_GOC!$D:$D,$B201,DATA_GOC!$F:$F,"Xuất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1" s="229" t="str">
        <f>IF($B201="","",IF(K$4&gt;DAY(EOMONTH(DATE($D$2,$B$2,1),0)),"",SUMIFS(DATA_GOC!$H:$H,DATA_GOC!$A:$A,"BOM",DATA_GOC!$D:$D,$B201,DATA_GOC!$F:$F,"Xuất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1" s="229" t="str">
        <f>IF($B201="","",IF(L$4&gt;DAY(EOMONTH(DATE($D$2,$B$2,1),0)),"",SUMIFS(DATA_GOC!$H:$H,DATA_GOC!$A:$A,"BOM",DATA_GOC!$D:$D,$B201,DATA_GOC!$F:$F,"Xuất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1" s="229" t="str">
        <f>IF($B201="","",IF(M$4&gt;DAY(EOMONTH(DATE($D$2,$B$2,1),0)),"",SUMIFS(DATA_GOC!$H:$H,DATA_GOC!$A:$A,"BOM",DATA_GOC!$D:$D,$B201,DATA_GOC!$F:$F,"Xuất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1" s="61" t="str">
        <f>IF($B201="","",IF(N$4&gt;DAY(EOMONTH(DATE($D$2,$B$2,1),0)),"",SUMIFS(DATA_GOC!$H:$H,DATA_GOC!$A:$A,"BOM",DATA_GOC!$D:$D,$B201,DATA_GOC!$F:$F,"Xuất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1" s="61" t="str">
        <f>IF($B201="","",IF(O$4&gt;DAY(EOMONTH(DATE($D$2,$B$2,1),0)),"",SUMIFS(DATA_GOC!$H:$H,DATA_GOC!$A:$A,"BOM",DATA_GOC!$D:$D,$B201,DATA_GOC!$F:$F,"Xuất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1" s="61" t="str">
        <f>IF($B201="","",IF(P$4&gt;DAY(EOMONTH(DATE($D$2,$B$2,1),0)),"",SUMIFS(DATA_GOC!$H:$H,DATA_GOC!$A:$A,"BOM",DATA_GOC!$D:$D,$B201,DATA_GOC!$F:$F,"Xuất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1" s="61" t="str">
        <f>IF($B201="","",IF(Q$4&gt;DAY(EOMONTH(DATE($D$2,$B$2,1),0)),"",SUMIFS(DATA_GOC!$H:$H,DATA_GOC!$A:$A,"BOM",DATA_GOC!$D:$D,$B201,DATA_GOC!$F:$F,"Xuất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1" s="61" t="str">
        <f>IF($B201="","",IF(R$4&gt;DAY(EOMONTH(DATE($D$2,$B$2,1),0)),"",SUMIFS(DATA_GOC!$H:$H,DATA_GOC!$A:$A,"BOM",DATA_GOC!$D:$D,$B201,DATA_GOC!$F:$F,"Xuất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1" s="61" t="str">
        <f>IF($B201="","",IF(S$4&gt;DAY(EOMONTH(DATE($D$2,$B$2,1),0)),"",SUMIFS(DATA_GOC!$H:$H,DATA_GOC!$A:$A,"BOM",DATA_GOC!$D:$D,$B201,DATA_GOC!$F:$F,"Xuất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1" s="61" t="str">
        <f>IF($B201="","",IF(T$4&gt;DAY(EOMONTH(DATE($D$2,$B$2,1),0)),"",SUMIFS(DATA_GOC!$H:$H,DATA_GOC!$A:$A,"BOM",DATA_GOC!$D:$D,$B201,DATA_GOC!$F:$F,"Xuất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1" s="61" t="str">
        <f>IF($B201="","",IF(U$4&gt;DAY(EOMONTH(DATE($D$2,$B$2,1),0)),"",SUMIFS(DATA_GOC!$H:$H,DATA_GOC!$A:$A,"BOM",DATA_GOC!$D:$D,$B201,DATA_GOC!$F:$F,"Xuất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1" s="61" t="str">
        <f>IF($B201="","",IF(V$4&gt;DAY(EOMONTH(DATE($D$2,$B$2,1),0)),"",SUMIFS(DATA_GOC!$H:$H,DATA_GOC!$A:$A,"BOM",DATA_GOC!$D:$D,$B201,DATA_GOC!$F:$F,"Xuất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1" s="61" t="str">
        <f>IF($B201="","",IF(W$4&gt;DAY(EOMONTH(DATE($D$2,$B$2,1),0)),"",SUMIFS(DATA_GOC!$H:$H,DATA_GOC!$A:$A,"BOM",DATA_GOC!$D:$D,$B201,DATA_GOC!$F:$F,"Xuất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1" s="61" t="str">
        <f>IF($B201="","",IF(X$4&gt;DAY(EOMONTH(DATE($D$2,$B$2,1),0)),"",SUMIFS(DATA_GOC!$H:$H,DATA_GOC!$A:$A,"BOM",DATA_GOC!$D:$D,$B201,DATA_GOC!$F:$F,"Xuất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1" s="61" t="str">
        <f>IF($B201="","",IF(Y$4&gt;DAY(EOMONTH(DATE($D$2,$B$2,1),0)),"",SUMIFS(DATA_GOC!$H:$H,DATA_GOC!$A:$A,"BOM",DATA_GOC!$D:$D,$B201,DATA_GOC!$F:$F,"Xuất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1" s="61" t="str">
        <f>IF($B201="","",IF(Z$4&gt;DAY(EOMONTH(DATE($D$2,$B$2,1),0)),"",SUMIFS(DATA_GOC!$H:$H,DATA_GOC!$A:$A,"BOM",DATA_GOC!$D:$D,$B201,DATA_GOC!$F:$F,"Xuất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1" s="61" t="str">
        <f>IF($B201="","",IF(AA$4&gt;DAY(EOMONTH(DATE($D$2,$B$2,1),0)),"",SUMIFS(DATA_GOC!$H:$H,DATA_GOC!$A:$A,"BOM",DATA_GOC!$D:$D,$B201,DATA_GOC!$F:$F,"Xuất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1" s="61" t="str">
        <f>IF($B201="","",IF(AB$4&gt;DAY(EOMONTH(DATE($D$2,$B$2,1),0)),"",SUMIFS(DATA_GOC!$H:$H,DATA_GOC!$A:$A,"BOM",DATA_GOC!$D:$D,$B201,DATA_GOC!$F:$F,"Xuất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1" s="61" t="str">
        <f>IF($B201="","",IF(AC$4&gt;DAY(EOMONTH(DATE($D$2,$B$2,1),0)),"",SUMIFS(DATA_GOC!$H:$H,DATA_GOC!$A:$A,"BOM",DATA_GOC!$D:$D,$B201,DATA_GOC!$F:$F,"Xuất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1" s="222" t="str">
        <f>IF($B201="","",IF(AD$4&gt;DAY(EOMONTH(DATE($D$2,$B$2,1),0)),"",SUMIFS(DATA_GOC!$H:$H,DATA_GOC!$A:$A,"BOM",DATA_GOC!$D:$D,$B201,DATA_GOC!$F:$F,"Xuất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1" s="222" t="str">
        <f>IF($B201="","",IF(AE$4&gt;DAY(EOMONTH(DATE($D$2,$B$2,1),0)),"",SUMIFS(DATA_GOC!$H:$H,DATA_GOC!$A:$A,"BOM",DATA_GOC!$D:$D,$B201,DATA_GOC!$F:$F,"Xuất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1" s="222" t="str">
        <f>IF($B201="","",IF(AF$4&gt;DAY(EOMONTH(DATE($D$2,$B$2,1),0)),"",SUMIFS(DATA_GOC!$H:$H,DATA_GOC!$A:$A,"BOM",DATA_GOC!$D:$D,$B201,DATA_GOC!$F:$F,"Xuất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1" s="222" t="str">
        <f>IF($B201="","",IF(AG$4&gt;DAY(EOMONTH(DATE($D$2,$B$2,1),0)),"",SUMIFS(DATA_GOC!$H:$H,DATA_GOC!$A:$A,"BOM",DATA_GOC!$D:$D,$B201,DATA_GOC!$F:$F,"Xuất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1" s="222" t="str">
        <f t="shared" si="2"/>
        <v/>
      </c>
      <c r="AI201" s="222" t="str">
        <f>IF($B201="","",SUMIFS(DATA_GOC!$H:$H,DATA_GOC!$A:$A,"BOM",DATA_GOC!$D:$D,$B201,DATA_GOC!$F:$F,"Bơm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1" s="222" t="str">
        <f t="shared" si="3"/>
        <v/>
      </c>
      <c r="AM201" s="222" t="str">
        <f>IF($B201="","",SUMIFS(DATA_GOC!$K:$K,DATA_GOC!$A:$A,"BOM",DATA_GOC!$D:$D,$B201,DATA_GOC!$G:$G,"DO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1" s="222" t="str">
        <f t="shared" si="4"/>
        <v/>
      </c>
      <c r="AO201" s="227" t="str">
        <f t="shared" si="5"/>
        <v/>
      </c>
      <c r="AP201" s="226" t="str">
        <f>IF($B201="","",IFERROR(AO201-(SUMIFS(DATA_GOC!$H:$H,DATA_GOC!$A:$A,"BOM",DATA_GOC!$D:$D,$B201,DATA_GOC!$F:$F,"Xuất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2" ht="15.0" customHeight="1">
      <c r="A202" s="61" t="str">
        <f t="shared" si="1"/>
        <v/>
      </c>
      <c r="B202" s="228" t="str">
        <f t="array" ref="B202">IFERROR(INDEX(DANH_MUC!$E:$E,ROW()-1),"")</f>
        <v/>
      </c>
      <c r="C202" s="228" t="str">
        <f>IF($B202="","",IF(C$4&gt;DAY(EOMONTH(DATE($D$2,$B$2,1),0)),"",SUMIFS(DATA_GOC!$H:$H,DATA_GOC!$A:$A,"BOM",DATA_GOC!$D:$D,$B202,DATA_GOC!$F:$F,"Xuất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2" s="61" t="str">
        <f>IF($B202="","",IF(D$4&gt;DAY(EOMONTH(DATE($D$2,$B$2,1),0)),"",SUMIFS(DATA_GOC!$H:$H,DATA_GOC!$A:$A,"BOM",DATA_GOC!$D:$D,$B202,DATA_GOC!$F:$F,"Xuất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2" s="229" t="str">
        <f>IF($B202="","",IF(E$4&gt;DAY(EOMONTH(DATE($D$2,$B$2,1),0)),"",SUMIFS(DATA_GOC!$H:$H,DATA_GOC!$A:$A,"BOM",DATA_GOC!$D:$D,$B202,DATA_GOC!$F:$F,"Xuất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2" s="229" t="str">
        <f>IF($B202="","",IF(F$4&gt;DAY(EOMONTH(DATE($D$2,$B$2,1),0)),"",SUMIFS(DATA_GOC!$H:$H,DATA_GOC!$A:$A,"BOM",DATA_GOC!$D:$D,$B202,DATA_GOC!$F:$F,"Xuất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2" s="229" t="str">
        <f>IF($B202="","",IF(G$4&gt;DAY(EOMONTH(DATE($D$2,$B$2,1),0)),"",SUMIFS(DATA_GOC!$H:$H,DATA_GOC!$A:$A,"BOM",DATA_GOC!$D:$D,$B202,DATA_GOC!$F:$F,"Xuất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2" s="228" t="str">
        <f>IF($B202="","",IF(H$4&gt;DAY(EOMONTH(DATE($D$2,$B$2,1),0)),"",SUMIFS(DATA_GOC!$H:$H,DATA_GOC!$A:$A,"BOM",DATA_GOC!$D:$D,$B202,DATA_GOC!$F:$F,"Xuất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2" s="229" t="str">
        <f>IF($B202="","",IF(I$4&gt;DAY(EOMONTH(DATE($D$2,$B$2,1),0)),"",SUMIFS(DATA_GOC!$H:$H,DATA_GOC!$A:$A,"BOM",DATA_GOC!$D:$D,$B202,DATA_GOC!$F:$F,"Xuất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2" s="229" t="str">
        <f>IF($B202="","",IF(J$4&gt;DAY(EOMONTH(DATE($D$2,$B$2,1),0)),"",SUMIFS(DATA_GOC!$H:$H,DATA_GOC!$A:$A,"BOM",DATA_GOC!$D:$D,$B202,DATA_GOC!$F:$F,"Xuất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2" s="229" t="str">
        <f>IF($B202="","",IF(K$4&gt;DAY(EOMONTH(DATE($D$2,$B$2,1),0)),"",SUMIFS(DATA_GOC!$H:$H,DATA_GOC!$A:$A,"BOM",DATA_GOC!$D:$D,$B202,DATA_GOC!$F:$F,"Xuất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2" s="229" t="str">
        <f>IF($B202="","",IF(L$4&gt;DAY(EOMONTH(DATE($D$2,$B$2,1),0)),"",SUMIFS(DATA_GOC!$H:$H,DATA_GOC!$A:$A,"BOM",DATA_GOC!$D:$D,$B202,DATA_GOC!$F:$F,"Xuất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2" s="229" t="str">
        <f>IF($B202="","",IF(M$4&gt;DAY(EOMONTH(DATE($D$2,$B$2,1),0)),"",SUMIFS(DATA_GOC!$H:$H,DATA_GOC!$A:$A,"BOM",DATA_GOC!$D:$D,$B202,DATA_GOC!$F:$F,"Xuất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2" s="61" t="str">
        <f>IF($B202="","",IF(N$4&gt;DAY(EOMONTH(DATE($D$2,$B$2,1),0)),"",SUMIFS(DATA_GOC!$H:$H,DATA_GOC!$A:$A,"BOM",DATA_GOC!$D:$D,$B202,DATA_GOC!$F:$F,"Xuất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2" s="61" t="str">
        <f>IF($B202="","",IF(O$4&gt;DAY(EOMONTH(DATE($D$2,$B$2,1),0)),"",SUMIFS(DATA_GOC!$H:$H,DATA_GOC!$A:$A,"BOM",DATA_GOC!$D:$D,$B202,DATA_GOC!$F:$F,"Xuất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2" s="61" t="str">
        <f>IF($B202="","",IF(P$4&gt;DAY(EOMONTH(DATE($D$2,$B$2,1),0)),"",SUMIFS(DATA_GOC!$H:$H,DATA_GOC!$A:$A,"BOM",DATA_GOC!$D:$D,$B202,DATA_GOC!$F:$F,"Xuất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2" s="61" t="str">
        <f>IF($B202="","",IF(Q$4&gt;DAY(EOMONTH(DATE($D$2,$B$2,1),0)),"",SUMIFS(DATA_GOC!$H:$H,DATA_GOC!$A:$A,"BOM",DATA_GOC!$D:$D,$B202,DATA_GOC!$F:$F,"Xuất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2" s="61" t="str">
        <f>IF($B202="","",IF(R$4&gt;DAY(EOMONTH(DATE($D$2,$B$2,1),0)),"",SUMIFS(DATA_GOC!$H:$H,DATA_GOC!$A:$A,"BOM",DATA_GOC!$D:$D,$B202,DATA_GOC!$F:$F,"Xuất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2" s="61" t="str">
        <f>IF($B202="","",IF(S$4&gt;DAY(EOMONTH(DATE($D$2,$B$2,1),0)),"",SUMIFS(DATA_GOC!$H:$H,DATA_GOC!$A:$A,"BOM",DATA_GOC!$D:$D,$B202,DATA_GOC!$F:$F,"Xuất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2" s="61" t="str">
        <f>IF($B202="","",IF(T$4&gt;DAY(EOMONTH(DATE($D$2,$B$2,1),0)),"",SUMIFS(DATA_GOC!$H:$H,DATA_GOC!$A:$A,"BOM",DATA_GOC!$D:$D,$B202,DATA_GOC!$F:$F,"Xuất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2" s="61" t="str">
        <f>IF($B202="","",IF(U$4&gt;DAY(EOMONTH(DATE($D$2,$B$2,1),0)),"",SUMIFS(DATA_GOC!$H:$H,DATA_GOC!$A:$A,"BOM",DATA_GOC!$D:$D,$B202,DATA_GOC!$F:$F,"Xuất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2" s="61" t="str">
        <f>IF($B202="","",IF(V$4&gt;DAY(EOMONTH(DATE($D$2,$B$2,1),0)),"",SUMIFS(DATA_GOC!$H:$H,DATA_GOC!$A:$A,"BOM",DATA_GOC!$D:$D,$B202,DATA_GOC!$F:$F,"Xuất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2" s="61" t="str">
        <f>IF($B202="","",IF(W$4&gt;DAY(EOMONTH(DATE($D$2,$B$2,1),0)),"",SUMIFS(DATA_GOC!$H:$H,DATA_GOC!$A:$A,"BOM",DATA_GOC!$D:$D,$B202,DATA_GOC!$F:$F,"Xuất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2" s="61" t="str">
        <f>IF($B202="","",IF(X$4&gt;DAY(EOMONTH(DATE($D$2,$B$2,1),0)),"",SUMIFS(DATA_GOC!$H:$H,DATA_GOC!$A:$A,"BOM",DATA_GOC!$D:$D,$B202,DATA_GOC!$F:$F,"Xuất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2" s="61" t="str">
        <f>IF($B202="","",IF(Y$4&gt;DAY(EOMONTH(DATE($D$2,$B$2,1),0)),"",SUMIFS(DATA_GOC!$H:$H,DATA_GOC!$A:$A,"BOM",DATA_GOC!$D:$D,$B202,DATA_GOC!$F:$F,"Xuất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2" s="61" t="str">
        <f>IF($B202="","",IF(Z$4&gt;DAY(EOMONTH(DATE($D$2,$B$2,1),0)),"",SUMIFS(DATA_GOC!$H:$H,DATA_GOC!$A:$A,"BOM",DATA_GOC!$D:$D,$B202,DATA_GOC!$F:$F,"Xuất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2" s="61" t="str">
        <f>IF($B202="","",IF(AA$4&gt;DAY(EOMONTH(DATE($D$2,$B$2,1),0)),"",SUMIFS(DATA_GOC!$H:$H,DATA_GOC!$A:$A,"BOM",DATA_GOC!$D:$D,$B202,DATA_GOC!$F:$F,"Xuất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2" s="61" t="str">
        <f>IF($B202="","",IF(AB$4&gt;DAY(EOMONTH(DATE($D$2,$B$2,1),0)),"",SUMIFS(DATA_GOC!$H:$H,DATA_GOC!$A:$A,"BOM",DATA_GOC!$D:$D,$B202,DATA_GOC!$F:$F,"Xuất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2" s="61" t="str">
        <f>IF($B202="","",IF(AC$4&gt;DAY(EOMONTH(DATE($D$2,$B$2,1),0)),"",SUMIFS(DATA_GOC!$H:$H,DATA_GOC!$A:$A,"BOM",DATA_GOC!$D:$D,$B202,DATA_GOC!$F:$F,"Xuất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2" s="222" t="str">
        <f>IF($B202="","",IF(AD$4&gt;DAY(EOMONTH(DATE($D$2,$B$2,1),0)),"",SUMIFS(DATA_GOC!$H:$H,DATA_GOC!$A:$A,"BOM",DATA_GOC!$D:$D,$B202,DATA_GOC!$F:$F,"Xuất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2" s="222" t="str">
        <f>IF($B202="","",IF(AE$4&gt;DAY(EOMONTH(DATE($D$2,$B$2,1),0)),"",SUMIFS(DATA_GOC!$H:$H,DATA_GOC!$A:$A,"BOM",DATA_GOC!$D:$D,$B202,DATA_GOC!$F:$F,"Xuất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2" s="222" t="str">
        <f>IF($B202="","",IF(AF$4&gt;DAY(EOMONTH(DATE($D$2,$B$2,1),0)),"",SUMIFS(DATA_GOC!$H:$H,DATA_GOC!$A:$A,"BOM",DATA_GOC!$D:$D,$B202,DATA_GOC!$F:$F,"Xuất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2" s="222" t="str">
        <f>IF($B202="","",IF(AG$4&gt;DAY(EOMONTH(DATE($D$2,$B$2,1),0)),"",SUMIFS(DATA_GOC!$H:$H,DATA_GOC!$A:$A,"BOM",DATA_GOC!$D:$D,$B202,DATA_GOC!$F:$F,"Xuất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2" s="222" t="str">
        <f t="shared" si="2"/>
        <v/>
      </c>
      <c r="AI202" s="222" t="str">
        <f>IF($B202="","",SUMIFS(DATA_GOC!$H:$H,DATA_GOC!$A:$A,"BOM",DATA_GOC!$D:$D,$B202,DATA_GOC!$F:$F,"Bơm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2" s="222" t="str">
        <f t="shared" si="3"/>
        <v/>
      </c>
      <c r="AM202" s="222" t="str">
        <f>IF($B202="","",SUMIFS(DATA_GOC!$K:$K,DATA_GOC!$A:$A,"BOM",DATA_GOC!$D:$D,$B202,DATA_GOC!$G:$G,"DO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2" s="222" t="str">
        <f t="shared" si="4"/>
        <v/>
      </c>
      <c r="AO202" s="227" t="str">
        <f t="shared" si="5"/>
        <v/>
      </c>
      <c r="AP202" s="226" t="str">
        <f>IF($B202="","",IFERROR(AO202-(SUMIFS(DATA_GOC!$H:$H,DATA_GOC!$A:$A,"BOM",DATA_GOC!$D:$D,$B202,DATA_GOC!$F:$F,"Xuất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3" ht="15.0" customHeight="1">
      <c r="A203" s="61" t="str">
        <f t="shared" si="1"/>
        <v/>
      </c>
      <c r="B203" s="228" t="str">
        <f t="array" ref="B203">IFERROR(INDEX(DANH_MUC!$E:$E,ROW()-1),"")</f>
        <v/>
      </c>
      <c r="C203" s="228" t="str">
        <f>IF($B203="","",IF(C$4&gt;DAY(EOMONTH(DATE($D$2,$B$2,1),0)),"",SUMIFS(DATA_GOC!$H:$H,DATA_GOC!$A:$A,"BOM",DATA_GOC!$D:$D,$B203,DATA_GOC!$F:$F,"Xuất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3" s="61" t="str">
        <f>IF($B203="","",IF(D$4&gt;DAY(EOMONTH(DATE($D$2,$B$2,1),0)),"",SUMIFS(DATA_GOC!$H:$H,DATA_GOC!$A:$A,"BOM",DATA_GOC!$D:$D,$B203,DATA_GOC!$F:$F,"Xuất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3" s="229" t="str">
        <f>IF($B203="","",IF(E$4&gt;DAY(EOMONTH(DATE($D$2,$B$2,1),0)),"",SUMIFS(DATA_GOC!$H:$H,DATA_GOC!$A:$A,"BOM",DATA_GOC!$D:$D,$B203,DATA_GOC!$F:$F,"Xuất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3" s="229" t="str">
        <f>IF($B203="","",IF(F$4&gt;DAY(EOMONTH(DATE($D$2,$B$2,1),0)),"",SUMIFS(DATA_GOC!$H:$H,DATA_GOC!$A:$A,"BOM",DATA_GOC!$D:$D,$B203,DATA_GOC!$F:$F,"Xuất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3" s="229" t="str">
        <f>IF($B203="","",IF(G$4&gt;DAY(EOMONTH(DATE($D$2,$B$2,1),0)),"",SUMIFS(DATA_GOC!$H:$H,DATA_GOC!$A:$A,"BOM",DATA_GOC!$D:$D,$B203,DATA_GOC!$F:$F,"Xuất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3" s="228" t="str">
        <f>IF($B203="","",IF(H$4&gt;DAY(EOMONTH(DATE($D$2,$B$2,1),0)),"",SUMIFS(DATA_GOC!$H:$H,DATA_GOC!$A:$A,"BOM",DATA_GOC!$D:$D,$B203,DATA_GOC!$F:$F,"Xuất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3" s="229" t="str">
        <f>IF($B203="","",IF(I$4&gt;DAY(EOMONTH(DATE($D$2,$B$2,1),0)),"",SUMIFS(DATA_GOC!$H:$H,DATA_GOC!$A:$A,"BOM",DATA_GOC!$D:$D,$B203,DATA_GOC!$F:$F,"Xuất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3" s="229" t="str">
        <f>IF($B203="","",IF(J$4&gt;DAY(EOMONTH(DATE($D$2,$B$2,1),0)),"",SUMIFS(DATA_GOC!$H:$H,DATA_GOC!$A:$A,"BOM",DATA_GOC!$D:$D,$B203,DATA_GOC!$F:$F,"Xuất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3" s="229" t="str">
        <f>IF($B203="","",IF(K$4&gt;DAY(EOMONTH(DATE($D$2,$B$2,1),0)),"",SUMIFS(DATA_GOC!$H:$H,DATA_GOC!$A:$A,"BOM",DATA_GOC!$D:$D,$B203,DATA_GOC!$F:$F,"Xuất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3" s="229" t="str">
        <f>IF($B203="","",IF(L$4&gt;DAY(EOMONTH(DATE($D$2,$B$2,1),0)),"",SUMIFS(DATA_GOC!$H:$H,DATA_GOC!$A:$A,"BOM",DATA_GOC!$D:$D,$B203,DATA_GOC!$F:$F,"Xuất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3" s="229" t="str">
        <f>IF($B203="","",IF(M$4&gt;DAY(EOMONTH(DATE($D$2,$B$2,1),0)),"",SUMIFS(DATA_GOC!$H:$H,DATA_GOC!$A:$A,"BOM",DATA_GOC!$D:$D,$B203,DATA_GOC!$F:$F,"Xuất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3" s="61" t="str">
        <f>IF($B203="","",IF(N$4&gt;DAY(EOMONTH(DATE($D$2,$B$2,1),0)),"",SUMIFS(DATA_GOC!$H:$H,DATA_GOC!$A:$A,"BOM",DATA_GOC!$D:$D,$B203,DATA_GOC!$F:$F,"Xuất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3" s="61" t="str">
        <f>IF($B203="","",IF(O$4&gt;DAY(EOMONTH(DATE($D$2,$B$2,1),0)),"",SUMIFS(DATA_GOC!$H:$H,DATA_GOC!$A:$A,"BOM",DATA_GOC!$D:$D,$B203,DATA_GOC!$F:$F,"Xuất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3" s="61" t="str">
        <f>IF($B203="","",IF(P$4&gt;DAY(EOMONTH(DATE($D$2,$B$2,1),0)),"",SUMIFS(DATA_GOC!$H:$H,DATA_GOC!$A:$A,"BOM",DATA_GOC!$D:$D,$B203,DATA_GOC!$F:$F,"Xuất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3" s="61" t="str">
        <f>IF($B203="","",IF(Q$4&gt;DAY(EOMONTH(DATE($D$2,$B$2,1),0)),"",SUMIFS(DATA_GOC!$H:$H,DATA_GOC!$A:$A,"BOM",DATA_GOC!$D:$D,$B203,DATA_GOC!$F:$F,"Xuất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3" s="61" t="str">
        <f>IF($B203="","",IF(R$4&gt;DAY(EOMONTH(DATE($D$2,$B$2,1),0)),"",SUMIFS(DATA_GOC!$H:$H,DATA_GOC!$A:$A,"BOM",DATA_GOC!$D:$D,$B203,DATA_GOC!$F:$F,"Xuất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3" s="61" t="str">
        <f>IF($B203="","",IF(S$4&gt;DAY(EOMONTH(DATE($D$2,$B$2,1),0)),"",SUMIFS(DATA_GOC!$H:$H,DATA_GOC!$A:$A,"BOM",DATA_GOC!$D:$D,$B203,DATA_GOC!$F:$F,"Xuất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3" s="61" t="str">
        <f>IF($B203="","",IF(T$4&gt;DAY(EOMONTH(DATE($D$2,$B$2,1),0)),"",SUMIFS(DATA_GOC!$H:$H,DATA_GOC!$A:$A,"BOM",DATA_GOC!$D:$D,$B203,DATA_GOC!$F:$F,"Xuất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3" s="61" t="str">
        <f>IF($B203="","",IF(U$4&gt;DAY(EOMONTH(DATE($D$2,$B$2,1),0)),"",SUMIFS(DATA_GOC!$H:$H,DATA_GOC!$A:$A,"BOM",DATA_GOC!$D:$D,$B203,DATA_GOC!$F:$F,"Xuất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3" s="61" t="str">
        <f>IF($B203="","",IF(V$4&gt;DAY(EOMONTH(DATE($D$2,$B$2,1),0)),"",SUMIFS(DATA_GOC!$H:$H,DATA_GOC!$A:$A,"BOM",DATA_GOC!$D:$D,$B203,DATA_GOC!$F:$F,"Xuất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3" s="61" t="str">
        <f>IF($B203="","",IF(W$4&gt;DAY(EOMONTH(DATE($D$2,$B$2,1),0)),"",SUMIFS(DATA_GOC!$H:$H,DATA_GOC!$A:$A,"BOM",DATA_GOC!$D:$D,$B203,DATA_GOC!$F:$F,"Xuất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3" s="61" t="str">
        <f>IF($B203="","",IF(X$4&gt;DAY(EOMONTH(DATE($D$2,$B$2,1),0)),"",SUMIFS(DATA_GOC!$H:$H,DATA_GOC!$A:$A,"BOM",DATA_GOC!$D:$D,$B203,DATA_GOC!$F:$F,"Xuất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3" s="61" t="str">
        <f>IF($B203="","",IF(Y$4&gt;DAY(EOMONTH(DATE($D$2,$B$2,1),0)),"",SUMIFS(DATA_GOC!$H:$H,DATA_GOC!$A:$A,"BOM",DATA_GOC!$D:$D,$B203,DATA_GOC!$F:$F,"Xuất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3" s="61" t="str">
        <f>IF($B203="","",IF(Z$4&gt;DAY(EOMONTH(DATE($D$2,$B$2,1),0)),"",SUMIFS(DATA_GOC!$H:$H,DATA_GOC!$A:$A,"BOM",DATA_GOC!$D:$D,$B203,DATA_GOC!$F:$F,"Xuất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3" s="61" t="str">
        <f>IF($B203="","",IF(AA$4&gt;DAY(EOMONTH(DATE($D$2,$B$2,1),0)),"",SUMIFS(DATA_GOC!$H:$H,DATA_GOC!$A:$A,"BOM",DATA_GOC!$D:$D,$B203,DATA_GOC!$F:$F,"Xuất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3" s="61" t="str">
        <f>IF($B203="","",IF(AB$4&gt;DAY(EOMONTH(DATE($D$2,$B$2,1),0)),"",SUMIFS(DATA_GOC!$H:$H,DATA_GOC!$A:$A,"BOM",DATA_GOC!$D:$D,$B203,DATA_GOC!$F:$F,"Xuất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3" s="61" t="str">
        <f>IF($B203="","",IF(AC$4&gt;DAY(EOMONTH(DATE($D$2,$B$2,1),0)),"",SUMIFS(DATA_GOC!$H:$H,DATA_GOC!$A:$A,"BOM",DATA_GOC!$D:$D,$B203,DATA_GOC!$F:$F,"Xuất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3" s="222" t="str">
        <f>IF($B203="","",IF(AD$4&gt;DAY(EOMONTH(DATE($D$2,$B$2,1),0)),"",SUMIFS(DATA_GOC!$H:$H,DATA_GOC!$A:$A,"BOM",DATA_GOC!$D:$D,$B203,DATA_GOC!$F:$F,"Xuất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3" s="222" t="str">
        <f>IF($B203="","",IF(AE$4&gt;DAY(EOMONTH(DATE($D$2,$B$2,1),0)),"",SUMIFS(DATA_GOC!$H:$H,DATA_GOC!$A:$A,"BOM",DATA_GOC!$D:$D,$B203,DATA_GOC!$F:$F,"Xuất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3" s="222" t="str">
        <f>IF($B203="","",IF(AF$4&gt;DAY(EOMONTH(DATE($D$2,$B$2,1),0)),"",SUMIFS(DATA_GOC!$H:$H,DATA_GOC!$A:$A,"BOM",DATA_GOC!$D:$D,$B203,DATA_GOC!$F:$F,"Xuất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3" s="222" t="str">
        <f>IF($B203="","",IF(AG$4&gt;DAY(EOMONTH(DATE($D$2,$B$2,1),0)),"",SUMIFS(DATA_GOC!$H:$H,DATA_GOC!$A:$A,"BOM",DATA_GOC!$D:$D,$B203,DATA_GOC!$F:$F,"Xuất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3" s="222" t="str">
        <f t="shared" si="2"/>
        <v/>
      </c>
      <c r="AI203" s="222" t="str">
        <f>IF($B203="","",SUMIFS(DATA_GOC!$H:$H,DATA_GOC!$A:$A,"BOM",DATA_GOC!$D:$D,$B203,DATA_GOC!$F:$F,"Bơm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3" s="222" t="str">
        <f t="shared" si="3"/>
        <v/>
      </c>
      <c r="AM203" s="222" t="str">
        <f>IF($B203="","",SUMIFS(DATA_GOC!$K:$K,DATA_GOC!$A:$A,"BOM",DATA_GOC!$D:$D,$B203,DATA_GOC!$G:$G,"DO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3" s="222" t="str">
        <f t="shared" si="4"/>
        <v/>
      </c>
      <c r="AO203" s="227" t="str">
        <f t="shared" si="5"/>
        <v/>
      </c>
      <c r="AP203" s="226" t="str">
        <f>IF($B203="","",IFERROR(AO203-(SUMIFS(DATA_GOC!$H:$H,DATA_GOC!$A:$A,"BOM",DATA_GOC!$D:$D,$B203,DATA_GOC!$F:$F,"Xuất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4" ht="15.0" customHeight="1">
      <c r="A204" s="61" t="str">
        <f t="shared" si="1"/>
        <v/>
      </c>
      <c r="B204" s="228" t="str">
        <f t="array" ref="B204">IFERROR(INDEX(DANH_MUC!$E:$E,ROW()-1),"")</f>
        <v/>
      </c>
      <c r="C204" s="228" t="str">
        <f>IF($B204="","",IF(C$4&gt;DAY(EOMONTH(DATE($D$2,$B$2,1),0)),"",SUMIFS(DATA_GOC!$H:$H,DATA_GOC!$A:$A,"BOM",DATA_GOC!$D:$D,$B204,DATA_GOC!$F:$F,"Xuất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4" s="61" t="str">
        <f>IF($B204="","",IF(D$4&gt;DAY(EOMONTH(DATE($D$2,$B$2,1),0)),"",SUMIFS(DATA_GOC!$H:$H,DATA_GOC!$A:$A,"BOM",DATA_GOC!$D:$D,$B204,DATA_GOC!$F:$F,"Xuất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4" s="229" t="str">
        <f>IF($B204="","",IF(E$4&gt;DAY(EOMONTH(DATE($D$2,$B$2,1),0)),"",SUMIFS(DATA_GOC!$H:$H,DATA_GOC!$A:$A,"BOM",DATA_GOC!$D:$D,$B204,DATA_GOC!$F:$F,"Xuất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4" s="229" t="str">
        <f>IF($B204="","",IF(F$4&gt;DAY(EOMONTH(DATE($D$2,$B$2,1),0)),"",SUMIFS(DATA_GOC!$H:$H,DATA_GOC!$A:$A,"BOM",DATA_GOC!$D:$D,$B204,DATA_GOC!$F:$F,"Xuất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4" s="229" t="str">
        <f>IF($B204="","",IF(G$4&gt;DAY(EOMONTH(DATE($D$2,$B$2,1),0)),"",SUMIFS(DATA_GOC!$H:$H,DATA_GOC!$A:$A,"BOM",DATA_GOC!$D:$D,$B204,DATA_GOC!$F:$F,"Xuất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4" s="228" t="str">
        <f>IF($B204="","",IF(H$4&gt;DAY(EOMONTH(DATE($D$2,$B$2,1),0)),"",SUMIFS(DATA_GOC!$H:$H,DATA_GOC!$A:$A,"BOM",DATA_GOC!$D:$D,$B204,DATA_GOC!$F:$F,"Xuất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4" s="229" t="str">
        <f>IF($B204="","",IF(I$4&gt;DAY(EOMONTH(DATE($D$2,$B$2,1),0)),"",SUMIFS(DATA_GOC!$H:$H,DATA_GOC!$A:$A,"BOM",DATA_GOC!$D:$D,$B204,DATA_GOC!$F:$F,"Xuất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4" s="229" t="str">
        <f>IF($B204="","",IF(J$4&gt;DAY(EOMONTH(DATE($D$2,$B$2,1),0)),"",SUMIFS(DATA_GOC!$H:$H,DATA_GOC!$A:$A,"BOM",DATA_GOC!$D:$D,$B204,DATA_GOC!$F:$F,"Xuất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4" s="229" t="str">
        <f>IF($B204="","",IF(K$4&gt;DAY(EOMONTH(DATE($D$2,$B$2,1),0)),"",SUMIFS(DATA_GOC!$H:$H,DATA_GOC!$A:$A,"BOM",DATA_GOC!$D:$D,$B204,DATA_GOC!$F:$F,"Xuất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4" s="229" t="str">
        <f>IF($B204="","",IF(L$4&gt;DAY(EOMONTH(DATE($D$2,$B$2,1),0)),"",SUMIFS(DATA_GOC!$H:$H,DATA_GOC!$A:$A,"BOM",DATA_GOC!$D:$D,$B204,DATA_GOC!$F:$F,"Xuất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4" s="229" t="str">
        <f>IF($B204="","",IF(M$4&gt;DAY(EOMONTH(DATE($D$2,$B$2,1),0)),"",SUMIFS(DATA_GOC!$H:$H,DATA_GOC!$A:$A,"BOM",DATA_GOC!$D:$D,$B204,DATA_GOC!$F:$F,"Xuất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4" s="61" t="str">
        <f>IF($B204="","",IF(N$4&gt;DAY(EOMONTH(DATE($D$2,$B$2,1),0)),"",SUMIFS(DATA_GOC!$H:$H,DATA_GOC!$A:$A,"BOM",DATA_GOC!$D:$D,$B204,DATA_GOC!$F:$F,"Xuất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4" s="61" t="str">
        <f>IF($B204="","",IF(O$4&gt;DAY(EOMONTH(DATE($D$2,$B$2,1),0)),"",SUMIFS(DATA_GOC!$H:$H,DATA_GOC!$A:$A,"BOM",DATA_GOC!$D:$D,$B204,DATA_GOC!$F:$F,"Xuất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4" s="61" t="str">
        <f>IF($B204="","",IF(P$4&gt;DAY(EOMONTH(DATE($D$2,$B$2,1),0)),"",SUMIFS(DATA_GOC!$H:$H,DATA_GOC!$A:$A,"BOM",DATA_GOC!$D:$D,$B204,DATA_GOC!$F:$F,"Xuất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4" s="61" t="str">
        <f>IF($B204="","",IF(Q$4&gt;DAY(EOMONTH(DATE($D$2,$B$2,1),0)),"",SUMIFS(DATA_GOC!$H:$H,DATA_GOC!$A:$A,"BOM",DATA_GOC!$D:$D,$B204,DATA_GOC!$F:$F,"Xuất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4" s="61" t="str">
        <f>IF($B204="","",IF(R$4&gt;DAY(EOMONTH(DATE($D$2,$B$2,1),0)),"",SUMIFS(DATA_GOC!$H:$H,DATA_GOC!$A:$A,"BOM",DATA_GOC!$D:$D,$B204,DATA_GOC!$F:$F,"Xuất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4" s="61" t="str">
        <f>IF($B204="","",IF(S$4&gt;DAY(EOMONTH(DATE($D$2,$B$2,1),0)),"",SUMIFS(DATA_GOC!$H:$H,DATA_GOC!$A:$A,"BOM",DATA_GOC!$D:$D,$B204,DATA_GOC!$F:$F,"Xuất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4" s="61" t="str">
        <f>IF($B204="","",IF(T$4&gt;DAY(EOMONTH(DATE($D$2,$B$2,1),0)),"",SUMIFS(DATA_GOC!$H:$H,DATA_GOC!$A:$A,"BOM",DATA_GOC!$D:$D,$B204,DATA_GOC!$F:$F,"Xuất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4" s="61" t="str">
        <f>IF($B204="","",IF(U$4&gt;DAY(EOMONTH(DATE($D$2,$B$2,1),0)),"",SUMIFS(DATA_GOC!$H:$H,DATA_GOC!$A:$A,"BOM",DATA_GOC!$D:$D,$B204,DATA_GOC!$F:$F,"Xuất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4" s="61" t="str">
        <f>IF($B204="","",IF(V$4&gt;DAY(EOMONTH(DATE($D$2,$B$2,1),0)),"",SUMIFS(DATA_GOC!$H:$H,DATA_GOC!$A:$A,"BOM",DATA_GOC!$D:$D,$B204,DATA_GOC!$F:$F,"Xuất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4" s="61" t="str">
        <f>IF($B204="","",IF(W$4&gt;DAY(EOMONTH(DATE($D$2,$B$2,1),0)),"",SUMIFS(DATA_GOC!$H:$H,DATA_GOC!$A:$A,"BOM",DATA_GOC!$D:$D,$B204,DATA_GOC!$F:$F,"Xuất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4" s="61" t="str">
        <f>IF($B204="","",IF(X$4&gt;DAY(EOMONTH(DATE($D$2,$B$2,1),0)),"",SUMIFS(DATA_GOC!$H:$H,DATA_GOC!$A:$A,"BOM",DATA_GOC!$D:$D,$B204,DATA_GOC!$F:$F,"Xuất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4" s="61" t="str">
        <f>IF($B204="","",IF(Y$4&gt;DAY(EOMONTH(DATE($D$2,$B$2,1),0)),"",SUMIFS(DATA_GOC!$H:$H,DATA_GOC!$A:$A,"BOM",DATA_GOC!$D:$D,$B204,DATA_GOC!$F:$F,"Xuất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4" s="61" t="str">
        <f>IF($B204="","",IF(Z$4&gt;DAY(EOMONTH(DATE($D$2,$B$2,1),0)),"",SUMIFS(DATA_GOC!$H:$H,DATA_GOC!$A:$A,"BOM",DATA_GOC!$D:$D,$B204,DATA_GOC!$F:$F,"Xuất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4" s="61" t="str">
        <f>IF($B204="","",IF(AA$4&gt;DAY(EOMONTH(DATE($D$2,$B$2,1),0)),"",SUMIFS(DATA_GOC!$H:$H,DATA_GOC!$A:$A,"BOM",DATA_GOC!$D:$D,$B204,DATA_GOC!$F:$F,"Xuất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4" s="61" t="str">
        <f>IF($B204="","",IF(AB$4&gt;DAY(EOMONTH(DATE($D$2,$B$2,1),0)),"",SUMIFS(DATA_GOC!$H:$H,DATA_GOC!$A:$A,"BOM",DATA_GOC!$D:$D,$B204,DATA_GOC!$F:$F,"Xuất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4" s="61" t="str">
        <f>IF($B204="","",IF(AC$4&gt;DAY(EOMONTH(DATE($D$2,$B$2,1),0)),"",SUMIFS(DATA_GOC!$H:$H,DATA_GOC!$A:$A,"BOM",DATA_GOC!$D:$D,$B204,DATA_GOC!$F:$F,"Xuất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4" s="222" t="str">
        <f>IF($B204="","",IF(AD$4&gt;DAY(EOMONTH(DATE($D$2,$B$2,1),0)),"",SUMIFS(DATA_GOC!$H:$H,DATA_GOC!$A:$A,"BOM",DATA_GOC!$D:$D,$B204,DATA_GOC!$F:$F,"Xuất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4" s="222" t="str">
        <f>IF($B204="","",IF(AE$4&gt;DAY(EOMONTH(DATE($D$2,$B$2,1),0)),"",SUMIFS(DATA_GOC!$H:$H,DATA_GOC!$A:$A,"BOM",DATA_GOC!$D:$D,$B204,DATA_GOC!$F:$F,"Xuất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4" s="222" t="str">
        <f>IF($B204="","",IF(AF$4&gt;DAY(EOMONTH(DATE($D$2,$B$2,1),0)),"",SUMIFS(DATA_GOC!$H:$H,DATA_GOC!$A:$A,"BOM",DATA_GOC!$D:$D,$B204,DATA_GOC!$F:$F,"Xuất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4" s="222" t="str">
        <f>IF($B204="","",IF(AG$4&gt;DAY(EOMONTH(DATE($D$2,$B$2,1),0)),"",SUMIFS(DATA_GOC!$H:$H,DATA_GOC!$A:$A,"BOM",DATA_GOC!$D:$D,$B204,DATA_GOC!$F:$F,"Xuất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4" s="222" t="str">
        <f t="shared" si="2"/>
        <v/>
      </c>
      <c r="AI204" s="222" t="str">
        <f>IF($B204="","",SUMIFS(DATA_GOC!$H:$H,DATA_GOC!$A:$A,"BOM",DATA_GOC!$D:$D,$B204,DATA_GOC!$F:$F,"Bơm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4" s="222" t="str">
        <f t="shared" si="3"/>
        <v/>
      </c>
      <c r="AM204" s="222" t="str">
        <f>IF($B204="","",SUMIFS(DATA_GOC!$K:$K,DATA_GOC!$A:$A,"BOM",DATA_GOC!$D:$D,$B204,DATA_GOC!$G:$G,"DO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4" s="222" t="str">
        <f t="shared" si="4"/>
        <v/>
      </c>
      <c r="AO204" s="227" t="str">
        <f t="shared" si="5"/>
        <v/>
      </c>
      <c r="AP204" s="226" t="str">
        <f>IF($B204="","",IFERROR(AO204-(SUMIFS(DATA_GOC!$H:$H,DATA_GOC!$A:$A,"BOM",DATA_GOC!$D:$D,$B204,DATA_GOC!$F:$F,"Xuất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5" ht="15.0" customHeight="1">
      <c r="A205" s="61" t="str">
        <f t="shared" si="1"/>
        <v/>
      </c>
      <c r="B205" s="61" t="str">
        <f t="array" ref="B205">IFERROR(INDEX(DANH_MUC!$E:$E,ROW()-1),"")</f>
        <v/>
      </c>
      <c r="C205" s="61" t="str">
        <f>IF($B205="","",IF(C$4&gt;DAY(EOMONTH(DATE($D$2,$B$2,1),0)),"",SUMIFS(DATA_GOC!$H:$H,DATA_GOC!$A:$A,"BOM",DATA_GOC!$D:$D,$B205,DATA_GOC!$F:$F,"Xuất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5" s="61" t="str">
        <f>IF($B205="","",IF(D$4&gt;DAY(EOMONTH(DATE($D$2,$B$2,1),0)),"",SUMIFS(DATA_GOC!$H:$H,DATA_GOC!$A:$A,"BOM",DATA_GOC!$D:$D,$B205,DATA_GOC!$F:$F,"Xuất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5" s="61" t="str">
        <f>IF($B205="","",IF(E$4&gt;DAY(EOMONTH(DATE($D$2,$B$2,1),0)),"",SUMIFS(DATA_GOC!$H:$H,DATA_GOC!$A:$A,"BOM",DATA_GOC!$D:$D,$B205,DATA_GOC!$F:$F,"Xuất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5" s="61" t="str">
        <f>IF($B205="","",IF(F$4&gt;DAY(EOMONTH(DATE($D$2,$B$2,1),0)),"",SUMIFS(DATA_GOC!$H:$H,DATA_GOC!$A:$A,"BOM",DATA_GOC!$D:$D,$B205,DATA_GOC!$F:$F,"Xuất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5" s="61" t="str">
        <f>IF($B205="","",IF(G$4&gt;DAY(EOMONTH(DATE($D$2,$B$2,1),0)),"",SUMIFS(DATA_GOC!$H:$H,DATA_GOC!$A:$A,"BOM",DATA_GOC!$D:$D,$B205,DATA_GOC!$F:$F,"Xuất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5" s="61" t="str">
        <f>IF($B205="","",IF(H$4&gt;DAY(EOMONTH(DATE($D$2,$B$2,1),0)),"",SUMIFS(DATA_GOC!$H:$H,DATA_GOC!$A:$A,"BOM",DATA_GOC!$D:$D,$B205,DATA_GOC!$F:$F,"Xuất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5" s="61" t="str">
        <f>IF($B205="","",IF(I$4&gt;DAY(EOMONTH(DATE($D$2,$B$2,1),0)),"",SUMIFS(DATA_GOC!$H:$H,DATA_GOC!$A:$A,"BOM",DATA_GOC!$D:$D,$B205,DATA_GOC!$F:$F,"Xuất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5" s="61" t="str">
        <f>IF($B205="","",IF(J$4&gt;DAY(EOMONTH(DATE($D$2,$B$2,1),0)),"",SUMIFS(DATA_GOC!$H:$H,DATA_GOC!$A:$A,"BOM",DATA_GOC!$D:$D,$B205,DATA_GOC!$F:$F,"Xuất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5" s="61" t="str">
        <f>IF($B205="","",IF(K$4&gt;DAY(EOMONTH(DATE($D$2,$B$2,1),0)),"",SUMIFS(DATA_GOC!$H:$H,DATA_GOC!$A:$A,"BOM",DATA_GOC!$D:$D,$B205,DATA_GOC!$F:$F,"Xuất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5" s="61" t="str">
        <f>IF($B205="","",IF(L$4&gt;DAY(EOMONTH(DATE($D$2,$B$2,1),0)),"",SUMIFS(DATA_GOC!$H:$H,DATA_GOC!$A:$A,"BOM",DATA_GOC!$D:$D,$B205,DATA_GOC!$F:$F,"Xuất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5" s="61" t="str">
        <f>IF($B205="","",IF(M$4&gt;DAY(EOMONTH(DATE($D$2,$B$2,1),0)),"",SUMIFS(DATA_GOC!$H:$H,DATA_GOC!$A:$A,"BOM",DATA_GOC!$D:$D,$B205,DATA_GOC!$F:$F,"Xuất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5" s="61" t="str">
        <f>IF($B205="","",IF(N$4&gt;DAY(EOMONTH(DATE($D$2,$B$2,1),0)),"",SUMIFS(DATA_GOC!$H:$H,DATA_GOC!$A:$A,"BOM",DATA_GOC!$D:$D,$B205,DATA_GOC!$F:$F,"Xuất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5" s="61" t="str">
        <f>IF($B205="","",IF(O$4&gt;DAY(EOMONTH(DATE($D$2,$B$2,1),0)),"",SUMIFS(DATA_GOC!$H:$H,DATA_GOC!$A:$A,"BOM",DATA_GOC!$D:$D,$B205,DATA_GOC!$F:$F,"Xuất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5" s="61" t="str">
        <f>IF($B205="","",IF(P$4&gt;DAY(EOMONTH(DATE($D$2,$B$2,1),0)),"",SUMIFS(DATA_GOC!$H:$H,DATA_GOC!$A:$A,"BOM",DATA_GOC!$D:$D,$B205,DATA_GOC!$F:$F,"Xuất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5" s="61" t="str">
        <f>IF($B205="","",IF(Q$4&gt;DAY(EOMONTH(DATE($D$2,$B$2,1),0)),"",SUMIFS(DATA_GOC!$H:$H,DATA_GOC!$A:$A,"BOM",DATA_GOC!$D:$D,$B205,DATA_GOC!$F:$F,"Xuất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5" s="61" t="str">
        <f>IF($B205="","",IF(R$4&gt;DAY(EOMONTH(DATE($D$2,$B$2,1),0)),"",SUMIFS(DATA_GOC!$H:$H,DATA_GOC!$A:$A,"BOM",DATA_GOC!$D:$D,$B205,DATA_GOC!$F:$F,"Xuất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5" s="61" t="str">
        <f>IF($B205="","",IF(S$4&gt;DAY(EOMONTH(DATE($D$2,$B$2,1),0)),"",SUMIFS(DATA_GOC!$H:$H,DATA_GOC!$A:$A,"BOM",DATA_GOC!$D:$D,$B205,DATA_GOC!$F:$F,"Xuất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5" s="61" t="str">
        <f>IF($B205="","",IF(T$4&gt;DAY(EOMONTH(DATE($D$2,$B$2,1),0)),"",SUMIFS(DATA_GOC!$H:$H,DATA_GOC!$A:$A,"BOM",DATA_GOC!$D:$D,$B205,DATA_GOC!$F:$F,"Xuất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5" s="61" t="str">
        <f>IF($B205="","",IF(U$4&gt;DAY(EOMONTH(DATE($D$2,$B$2,1),0)),"",SUMIFS(DATA_GOC!$H:$H,DATA_GOC!$A:$A,"BOM",DATA_GOC!$D:$D,$B205,DATA_GOC!$F:$F,"Xuất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5" s="61" t="str">
        <f>IF($B205="","",IF(V$4&gt;DAY(EOMONTH(DATE($D$2,$B$2,1),0)),"",SUMIFS(DATA_GOC!$H:$H,DATA_GOC!$A:$A,"BOM",DATA_GOC!$D:$D,$B205,DATA_GOC!$F:$F,"Xuất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5" s="61" t="str">
        <f>IF($B205="","",IF(W$4&gt;DAY(EOMONTH(DATE($D$2,$B$2,1),0)),"",SUMIFS(DATA_GOC!$H:$H,DATA_GOC!$A:$A,"BOM",DATA_GOC!$D:$D,$B205,DATA_GOC!$F:$F,"Xuất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5" s="61" t="str">
        <f>IF($B205="","",IF(X$4&gt;DAY(EOMONTH(DATE($D$2,$B$2,1),0)),"",SUMIFS(DATA_GOC!$H:$H,DATA_GOC!$A:$A,"BOM",DATA_GOC!$D:$D,$B205,DATA_GOC!$F:$F,"Xuất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5" s="61" t="str">
        <f>IF($B205="","",IF(Y$4&gt;DAY(EOMONTH(DATE($D$2,$B$2,1),0)),"",SUMIFS(DATA_GOC!$H:$H,DATA_GOC!$A:$A,"BOM",DATA_GOC!$D:$D,$B205,DATA_GOC!$F:$F,"Xuất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5" s="61" t="str">
        <f>IF($B205="","",IF(Z$4&gt;DAY(EOMONTH(DATE($D$2,$B$2,1),0)),"",SUMIFS(DATA_GOC!$H:$H,DATA_GOC!$A:$A,"BOM",DATA_GOC!$D:$D,$B205,DATA_GOC!$F:$F,"Xuất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5" s="61" t="str">
        <f>IF($B205="","",IF(AA$4&gt;DAY(EOMONTH(DATE($D$2,$B$2,1),0)),"",SUMIFS(DATA_GOC!$H:$H,DATA_GOC!$A:$A,"BOM",DATA_GOC!$D:$D,$B205,DATA_GOC!$F:$F,"Xuất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5" s="61" t="str">
        <f>IF($B205="","",IF(AB$4&gt;DAY(EOMONTH(DATE($D$2,$B$2,1),0)),"",SUMIFS(DATA_GOC!$H:$H,DATA_GOC!$A:$A,"BOM",DATA_GOC!$D:$D,$B205,DATA_GOC!$F:$F,"Xuất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5" s="61" t="str">
        <f>IF($B205="","",IF(AC$4&gt;DAY(EOMONTH(DATE($D$2,$B$2,1),0)),"",SUMIFS(DATA_GOC!$H:$H,DATA_GOC!$A:$A,"BOM",DATA_GOC!$D:$D,$B205,DATA_GOC!$F:$F,"Xuất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5" s="222" t="str">
        <f>IF($B205="","",IF(AD$4&gt;DAY(EOMONTH(DATE($D$2,$B$2,1),0)),"",SUMIFS(DATA_GOC!$H:$H,DATA_GOC!$A:$A,"BOM",DATA_GOC!$D:$D,$B205,DATA_GOC!$F:$F,"Xuất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5" s="222" t="str">
        <f>IF($B205="","",IF(AE$4&gt;DAY(EOMONTH(DATE($D$2,$B$2,1),0)),"",SUMIFS(DATA_GOC!$H:$H,DATA_GOC!$A:$A,"BOM",DATA_GOC!$D:$D,$B205,DATA_GOC!$F:$F,"Xuất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5" s="222" t="str">
        <f>IF($B205="","",IF(AF$4&gt;DAY(EOMONTH(DATE($D$2,$B$2,1),0)),"",SUMIFS(DATA_GOC!$H:$H,DATA_GOC!$A:$A,"BOM",DATA_GOC!$D:$D,$B205,DATA_GOC!$F:$F,"Xuất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5" s="222" t="str">
        <f>IF($B205="","",IF(AG$4&gt;DAY(EOMONTH(DATE($D$2,$B$2,1),0)),"",SUMIFS(DATA_GOC!$H:$H,DATA_GOC!$A:$A,"BOM",DATA_GOC!$D:$D,$B205,DATA_GOC!$F:$F,"Xuất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5" s="222" t="str">
        <f t="shared" si="2"/>
        <v/>
      </c>
      <c r="AI205" s="222" t="str">
        <f>IF($B205="","",SUMIFS(DATA_GOC!$H:$H,DATA_GOC!$A:$A,"BOM",DATA_GOC!$D:$D,$B205,DATA_GOC!$F:$F,"Bơm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5" s="222" t="str">
        <f t="shared" si="3"/>
        <v/>
      </c>
      <c r="AM205" s="222" t="str">
        <f>IF($B205="","",SUMIFS(DATA_GOC!$K:$K,DATA_GOC!$A:$A,"BOM",DATA_GOC!$D:$D,$B205,DATA_GOC!$G:$G,"DO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5" s="222" t="str">
        <f t="shared" si="4"/>
        <v/>
      </c>
      <c r="AO205" s="227" t="str">
        <f t="shared" si="5"/>
        <v/>
      </c>
      <c r="AP205" s="226" t="str">
        <f>IF($B205="","",IFERROR(AO205-(SUMIFS(DATA_GOC!$H:$H,DATA_GOC!$A:$A,"BOM",DATA_GOC!$D:$D,$B205,DATA_GOC!$F:$F,"Xuất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6" ht="15.0" customHeight="1">
      <c r="A206" s="61" t="str">
        <f t="shared" si="1"/>
        <v/>
      </c>
      <c r="B206" s="61" t="str">
        <f t="array" ref="B206">IFERROR(INDEX(DANH_MUC!$E:$E,ROW()-1),"")</f>
        <v/>
      </c>
      <c r="C206" s="61" t="str">
        <f>IF($B206="","",IF(C$4&gt;DAY(EOMONTH(DATE($D$2,$B$2,1),0)),"",SUMIFS(DATA_GOC!$H:$H,DATA_GOC!$A:$A,"BOM",DATA_GOC!$D:$D,$B206,DATA_GOC!$F:$F,"Xuất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6" s="61" t="str">
        <f>IF($B206="","",IF(D$4&gt;DAY(EOMONTH(DATE($D$2,$B$2,1),0)),"",SUMIFS(DATA_GOC!$H:$H,DATA_GOC!$A:$A,"BOM",DATA_GOC!$D:$D,$B206,DATA_GOC!$F:$F,"Xuất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6" s="61" t="str">
        <f>IF($B206="","",IF(E$4&gt;DAY(EOMONTH(DATE($D$2,$B$2,1),0)),"",SUMIFS(DATA_GOC!$H:$H,DATA_GOC!$A:$A,"BOM",DATA_GOC!$D:$D,$B206,DATA_GOC!$F:$F,"Xuất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6" s="61" t="str">
        <f>IF($B206="","",IF(F$4&gt;DAY(EOMONTH(DATE($D$2,$B$2,1),0)),"",SUMIFS(DATA_GOC!$H:$H,DATA_GOC!$A:$A,"BOM",DATA_GOC!$D:$D,$B206,DATA_GOC!$F:$F,"Xuất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6" s="61" t="str">
        <f>IF($B206="","",IF(G$4&gt;DAY(EOMONTH(DATE($D$2,$B$2,1),0)),"",SUMIFS(DATA_GOC!$H:$H,DATA_GOC!$A:$A,"BOM",DATA_GOC!$D:$D,$B206,DATA_GOC!$F:$F,"Xuất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6" s="61" t="str">
        <f>IF($B206="","",IF(H$4&gt;DAY(EOMONTH(DATE($D$2,$B$2,1),0)),"",SUMIFS(DATA_GOC!$H:$H,DATA_GOC!$A:$A,"BOM",DATA_GOC!$D:$D,$B206,DATA_GOC!$F:$F,"Xuất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6" s="61" t="str">
        <f>IF($B206="","",IF(I$4&gt;DAY(EOMONTH(DATE($D$2,$B$2,1),0)),"",SUMIFS(DATA_GOC!$H:$H,DATA_GOC!$A:$A,"BOM",DATA_GOC!$D:$D,$B206,DATA_GOC!$F:$F,"Xuất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6" s="61" t="str">
        <f>IF($B206="","",IF(J$4&gt;DAY(EOMONTH(DATE($D$2,$B$2,1),0)),"",SUMIFS(DATA_GOC!$H:$H,DATA_GOC!$A:$A,"BOM",DATA_GOC!$D:$D,$B206,DATA_GOC!$F:$F,"Xuất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6" s="61" t="str">
        <f>IF($B206="","",IF(K$4&gt;DAY(EOMONTH(DATE($D$2,$B$2,1),0)),"",SUMIFS(DATA_GOC!$H:$H,DATA_GOC!$A:$A,"BOM",DATA_GOC!$D:$D,$B206,DATA_GOC!$F:$F,"Xuất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6" s="61" t="str">
        <f>IF($B206="","",IF(L$4&gt;DAY(EOMONTH(DATE($D$2,$B$2,1),0)),"",SUMIFS(DATA_GOC!$H:$H,DATA_GOC!$A:$A,"BOM",DATA_GOC!$D:$D,$B206,DATA_GOC!$F:$F,"Xuất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6" s="61" t="str">
        <f>IF($B206="","",IF(M$4&gt;DAY(EOMONTH(DATE($D$2,$B$2,1),0)),"",SUMIFS(DATA_GOC!$H:$H,DATA_GOC!$A:$A,"BOM",DATA_GOC!$D:$D,$B206,DATA_GOC!$F:$F,"Xuất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6" s="61" t="str">
        <f>IF($B206="","",IF(N$4&gt;DAY(EOMONTH(DATE($D$2,$B$2,1),0)),"",SUMIFS(DATA_GOC!$H:$H,DATA_GOC!$A:$A,"BOM",DATA_GOC!$D:$D,$B206,DATA_GOC!$F:$F,"Xuất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6" s="61" t="str">
        <f>IF($B206="","",IF(O$4&gt;DAY(EOMONTH(DATE($D$2,$B$2,1),0)),"",SUMIFS(DATA_GOC!$H:$H,DATA_GOC!$A:$A,"BOM",DATA_GOC!$D:$D,$B206,DATA_GOC!$F:$F,"Xuất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6" s="61" t="str">
        <f>IF($B206="","",IF(P$4&gt;DAY(EOMONTH(DATE($D$2,$B$2,1),0)),"",SUMIFS(DATA_GOC!$H:$H,DATA_GOC!$A:$A,"BOM",DATA_GOC!$D:$D,$B206,DATA_GOC!$F:$F,"Xuất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6" s="61" t="str">
        <f>IF($B206="","",IF(Q$4&gt;DAY(EOMONTH(DATE($D$2,$B$2,1),0)),"",SUMIFS(DATA_GOC!$H:$H,DATA_GOC!$A:$A,"BOM",DATA_GOC!$D:$D,$B206,DATA_GOC!$F:$F,"Xuất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6" s="61" t="str">
        <f>IF($B206="","",IF(R$4&gt;DAY(EOMONTH(DATE($D$2,$B$2,1),0)),"",SUMIFS(DATA_GOC!$H:$H,DATA_GOC!$A:$A,"BOM",DATA_GOC!$D:$D,$B206,DATA_GOC!$F:$F,"Xuất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6" s="61" t="str">
        <f>IF($B206="","",IF(S$4&gt;DAY(EOMONTH(DATE($D$2,$B$2,1),0)),"",SUMIFS(DATA_GOC!$H:$H,DATA_GOC!$A:$A,"BOM",DATA_GOC!$D:$D,$B206,DATA_GOC!$F:$F,"Xuất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6" s="61" t="str">
        <f>IF($B206="","",IF(T$4&gt;DAY(EOMONTH(DATE($D$2,$B$2,1),0)),"",SUMIFS(DATA_GOC!$H:$H,DATA_GOC!$A:$A,"BOM",DATA_GOC!$D:$D,$B206,DATA_GOC!$F:$F,"Xuất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6" s="61" t="str">
        <f>IF($B206="","",IF(U$4&gt;DAY(EOMONTH(DATE($D$2,$B$2,1),0)),"",SUMIFS(DATA_GOC!$H:$H,DATA_GOC!$A:$A,"BOM",DATA_GOC!$D:$D,$B206,DATA_GOC!$F:$F,"Xuất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6" s="61" t="str">
        <f>IF($B206="","",IF(V$4&gt;DAY(EOMONTH(DATE($D$2,$B$2,1),0)),"",SUMIFS(DATA_GOC!$H:$H,DATA_GOC!$A:$A,"BOM",DATA_GOC!$D:$D,$B206,DATA_GOC!$F:$F,"Xuất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6" s="61" t="str">
        <f>IF($B206="","",IF(W$4&gt;DAY(EOMONTH(DATE($D$2,$B$2,1),0)),"",SUMIFS(DATA_GOC!$H:$H,DATA_GOC!$A:$A,"BOM",DATA_GOC!$D:$D,$B206,DATA_GOC!$F:$F,"Xuất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6" s="61" t="str">
        <f>IF($B206="","",IF(X$4&gt;DAY(EOMONTH(DATE($D$2,$B$2,1),0)),"",SUMIFS(DATA_GOC!$H:$H,DATA_GOC!$A:$A,"BOM",DATA_GOC!$D:$D,$B206,DATA_GOC!$F:$F,"Xuất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6" s="61" t="str">
        <f>IF($B206="","",IF(Y$4&gt;DAY(EOMONTH(DATE($D$2,$B$2,1),0)),"",SUMIFS(DATA_GOC!$H:$H,DATA_GOC!$A:$A,"BOM",DATA_GOC!$D:$D,$B206,DATA_GOC!$F:$F,"Xuất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6" s="61" t="str">
        <f>IF($B206="","",IF(Z$4&gt;DAY(EOMONTH(DATE($D$2,$B$2,1),0)),"",SUMIFS(DATA_GOC!$H:$H,DATA_GOC!$A:$A,"BOM",DATA_GOC!$D:$D,$B206,DATA_GOC!$F:$F,"Xuất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6" s="61" t="str">
        <f>IF($B206="","",IF(AA$4&gt;DAY(EOMONTH(DATE($D$2,$B$2,1),0)),"",SUMIFS(DATA_GOC!$H:$H,DATA_GOC!$A:$A,"BOM",DATA_GOC!$D:$D,$B206,DATA_GOC!$F:$F,"Xuất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6" s="61" t="str">
        <f>IF($B206="","",IF(AB$4&gt;DAY(EOMONTH(DATE($D$2,$B$2,1),0)),"",SUMIFS(DATA_GOC!$H:$H,DATA_GOC!$A:$A,"BOM",DATA_GOC!$D:$D,$B206,DATA_GOC!$F:$F,"Xuất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6" s="61" t="str">
        <f>IF($B206="","",IF(AC$4&gt;DAY(EOMONTH(DATE($D$2,$B$2,1),0)),"",SUMIFS(DATA_GOC!$H:$H,DATA_GOC!$A:$A,"BOM",DATA_GOC!$D:$D,$B206,DATA_GOC!$F:$F,"Xuất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6" s="222" t="str">
        <f>IF($B206="","",IF(AD$4&gt;DAY(EOMONTH(DATE($D$2,$B$2,1),0)),"",SUMIFS(DATA_GOC!$H:$H,DATA_GOC!$A:$A,"BOM",DATA_GOC!$D:$D,$B206,DATA_GOC!$F:$F,"Xuất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6" s="222" t="str">
        <f>IF($B206="","",IF(AE$4&gt;DAY(EOMONTH(DATE($D$2,$B$2,1),0)),"",SUMIFS(DATA_GOC!$H:$H,DATA_GOC!$A:$A,"BOM",DATA_GOC!$D:$D,$B206,DATA_GOC!$F:$F,"Xuất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6" s="222" t="str">
        <f>IF($B206="","",IF(AF$4&gt;DAY(EOMONTH(DATE($D$2,$B$2,1),0)),"",SUMIFS(DATA_GOC!$H:$H,DATA_GOC!$A:$A,"BOM",DATA_GOC!$D:$D,$B206,DATA_GOC!$F:$F,"Xuất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6" s="222" t="str">
        <f>IF($B206="","",IF(AG$4&gt;DAY(EOMONTH(DATE($D$2,$B$2,1),0)),"",SUMIFS(DATA_GOC!$H:$H,DATA_GOC!$A:$A,"BOM",DATA_GOC!$D:$D,$B206,DATA_GOC!$F:$F,"Xuất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6" s="222" t="str">
        <f t="shared" si="2"/>
        <v/>
      </c>
      <c r="AI206" s="222" t="str">
        <f>IF($B206="","",SUMIFS(DATA_GOC!$H:$H,DATA_GOC!$A:$A,"BOM",DATA_GOC!$D:$D,$B206,DATA_GOC!$F:$F,"Bơm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6" s="222" t="str">
        <f t="shared" si="3"/>
        <v/>
      </c>
      <c r="AM206" s="222" t="str">
        <f>IF($B206="","",SUMIFS(DATA_GOC!$K:$K,DATA_GOC!$A:$A,"BOM",DATA_GOC!$D:$D,$B206,DATA_GOC!$G:$G,"DO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6" s="222" t="str">
        <f t="shared" si="4"/>
        <v/>
      </c>
      <c r="AO206" s="227" t="str">
        <f t="shared" si="5"/>
        <v/>
      </c>
      <c r="AP206" s="226" t="str">
        <f>IF($B206="","",IFERROR(AO206-(SUMIFS(DATA_GOC!$H:$H,DATA_GOC!$A:$A,"BOM",DATA_GOC!$D:$D,$B206,DATA_GOC!$F:$F,"Xuất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7" ht="15.0" customHeight="1">
      <c r="A207" s="61" t="str">
        <f t="shared" si="1"/>
        <v/>
      </c>
      <c r="B207" s="61" t="str">
        <f t="array" ref="B207">IFERROR(INDEX(DANH_MUC!$E:$E,ROW()-1),"")</f>
        <v/>
      </c>
      <c r="C207" s="61" t="str">
        <f>IF($B207="","",IF(C$4&gt;DAY(EOMONTH(DATE($D$2,$B$2,1),0)),"",SUMIFS(DATA_GOC!$H:$H,DATA_GOC!$A:$A,"BOM",DATA_GOC!$D:$D,$B207,DATA_GOC!$F:$F,"Xuất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7" s="61" t="str">
        <f>IF($B207="","",IF(D$4&gt;DAY(EOMONTH(DATE($D$2,$B$2,1),0)),"",SUMIFS(DATA_GOC!$H:$H,DATA_GOC!$A:$A,"BOM",DATA_GOC!$D:$D,$B207,DATA_GOC!$F:$F,"Xuất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7" s="61" t="str">
        <f>IF($B207="","",IF(E$4&gt;DAY(EOMONTH(DATE($D$2,$B$2,1),0)),"",SUMIFS(DATA_GOC!$H:$H,DATA_GOC!$A:$A,"BOM",DATA_GOC!$D:$D,$B207,DATA_GOC!$F:$F,"Xuất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7" s="61" t="str">
        <f>IF($B207="","",IF(F$4&gt;DAY(EOMONTH(DATE($D$2,$B$2,1),0)),"",SUMIFS(DATA_GOC!$H:$H,DATA_GOC!$A:$A,"BOM",DATA_GOC!$D:$D,$B207,DATA_GOC!$F:$F,"Xuất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7" s="61" t="str">
        <f>IF($B207="","",IF(G$4&gt;DAY(EOMONTH(DATE($D$2,$B$2,1),0)),"",SUMIFS(DATA_GOC!$H:$H,DATA_GOC!$A:$A,"BOM",DATA_GOC!$D:$D,$B207,DATA_GOC!$F:$F,"Xuất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7" s="61" t="str">
        <f>IF($B207="","",IF(H$4&gt;DAY(EOMONTH(DATE($D$2,$B$2,1),0)),"",SUMIFS(DATA_GOC!$H:$H,DATA_GOC!$A:$A,"BOM",DATA_GOC!$D:$D,$B207,DATA_GOC!$F:$F,"Xuất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7" s="61" t="str">
        <f>IF($B207="","",IF(I$4&gt;DAY(EOMONTH(DATE($D$2,$B$2,1),0)),"",SUMIFS(DATA_GOC!$H:$H,DATA_GOC!$A:$A,"BOM",DATA_GOC!$D:$D,$B207,DATA_GOC!$F:$F,"Xuất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7" s="61" t="str">
        <f>IF($B207="","",IF(J$4&gt;DAY(EOMONTH(DATE($D$2,$B$2,1),0)),"",SUMIFS(DATA_GOC!$H:$H,DATA_GOC!$A:$A,"BOM",DATA_GOC!$D:$D,$B207,DATA_GOC!$F:$F,"Xuất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7" s="61" t="str">
        <f>IF($B207="","",IF(K$4&gt;DAY(EOMONTH(DATE($D$2,$B$2,1),0)),"",SUMIFS(DATA_GOC!$H:$H,DATA_GOC!$A:$A,"BOM",DATA_GOC!$D:$D,$B207,DATA_GOC!$F:$F,"Xuất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7" s="61" t="str">
        <f>IF($B207="","",IF(L$4&gt;DAY(EOMONTH(DATE($D$2,$B$2,1),0)),"",SUMIFS(DATA_GOC!$H:$H,DATA_GOC!$A:$A,"BOM",DATA_GOC!$D:$D,$B207,DATA_GOC!$F:$F,"Xuất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7" s="61" t="str">
        <f>IF($B207="","",IF(M$4&gt;DAY(EOMONTH(DATE($D$2,$B$2,1),0)),"",SUMIFS(DATA_GOC!$H:$H,DATA_GOC!$A:$A,"BOM",DATA_GOC!$D:$D,$B207,DATA_GOC!$F:$F,"Xuất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7" s="61" t="str">
        <f>IF($B207="","",IF(N$4&gt;DAY(EOMONTH(DATE($D$2,$B$2,1),0)),"",SUMIFS(DATA_GOC!$H:$H,DATA_GOC!$A:$A,"BOM",DATA_GOC!$D:$D,$B207,DATA_GOC!$F:$F,"Xuất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7" s="61" t="str">
        <f>IF($B207="","",IF(O$4&gt;DAY(EOMONTH(DATE($D$2,$B$2,1),0)),"",SUMIFS(DATA_GOC!$H:$H,DATA_GOC!$A:$A,"BOM",DATA_GOC!$D:$D,$B207,DATA_GOC!$F:$F,"Xuất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7" s="61" t="str">
        <f>IF($B207="","",IF(P$4&gt;DAY(EOMONTH(DATE($D$2,$B$2,1),0)),"",SUMIFS(DATA_GOC!$H:$H,DATA_GOC!$A:$A,"BOM",DATA_GOC!$D:$D,$B207,DATA_GOC!$F:$F,"Xuất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7" s="61" t="str">
        <f>IF($B207="","",IF(Q$4&gt;DAY(EOMONTH(DATE($D$2,$B$2,1),0)),"",SUMIFS(DATA_GOC!$H:$H,DATA_GOC!$A:$A,"BOM",DATA_GOC!$D:$D,$B207,DATA_GOC!$F:$F,"Xuất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7" s="61" t="str">
        <f>IF($B207="","",IF(R$4&gt;DAY(EOMONTH(DATE($D$2,$B$2,1),0)),"",SUMIFS(DATA_GOC!$H:$H,DATA_GOC!$A:$A,"BOM",DATA_GOC!$D:$D,$B207,DATA_GOC!$F:$F,"Xuất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7" s="61" t="str">
        <f>IF($B207="","",IF(S$4&gt;DAY(EOMONTH(DATE($D$2,$B$2,1),0)),"",SUMIFS(DATA_GOC!$H:$H,DATA_GOC!$A:$A,"BOM",DATA_GOC!$D:$D,$B207,DATA_GOC!$F:$F,"Xuất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7" s="61" t="str">
        <f>IF($B207="","",IF(T$4&gt;DAY(EOMONTH(DATE($D$2,$B$2,1),0)),"",SUMIFS(DATA_GOC!$H:$H,DATA_GOC!$A:$A,"BOM",DATA_GOC!$D:$D,$B207,DATA_GOC!$F:$F,"Xuất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7" s="61" t="str">
        <f>IF($B207="","",IF(U$4&gt;DAY(EOMONTH(DATE($D$2,$B$2,1),0)),"",SUMIFS(DATA_GOC!$H:$H,DATA_GOC!$A:$A,"BOM",DATA_GOC!$D:$D,$B207,DATA_GOC!$F:$F,"Xuất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7" s="61" t="str">
        <f>IF($B207="","",IF(V$4&gt;DAY(EOMONTH(DATE($D$2,$B$2,1),0)),"",SUMIFS(DATA_GOC!$H:$H,DATA_GOC!$A:$A,"BOM",DATA_GOC!$D:$D,$B207,DATA_GOC!$F:$F,"Xuất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7" s="61" t="str">
        <f>IF($B207="","",IF(W$4&gt;DAY(EOMONTH(DATE($D$2,$B$2,1),0)),"",SUMIFS(DATA_GOC!$H:$H,DATA_GOC!$A:$A,"BOM",DATA_GOC!$D:$D,$B207,DATA_GOC!$F:$F,"Xuất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7" s="61" t="str">
        <f>IF($B207="","",IF(X$4&gt;DAY(EOMONTH(DATE($D$2,$B$2,1),0)),"",SUMIFS(DATA_GOC!$H:$H,DATA_GOC!$A:$A,"BOM",DATA_GOC!$D:$D,$B207,DATA_GOC!$F:$F,"Xuất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7" s="61" t="str">
        <f>IF($B207="","",IF(Y$4&gt;DAY(EOMONTH(DATE($D$2,$B$2,1),0)),"",SUMIFS(DATA_GOC!$H:$H,DATA_GOC!$A:$A,"BOM",DATA_GOC!$D:$D,$B207,DATA_GOC!$F:$F,"Xuất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7" s="61" t="str">
        <f>IF($B207="","",IF(Z$4&gt;DAY(EOMONTH(DATE($D$2,$B$2,1),0)),"",SUMIFS(DATA_GOC!$H:$H,DATA_GOC!$A:$A,"BOM",DATA_GOC!$D:$D,$B207,DATA_GOC!$F:$F,"Xuất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7" s="61" t="str">
        <f>IF($B207="","",IF(AA$4&gt;DAY(EOMONTH(DATE($D$2,$B$2,1),0)),"",SUMIFS(DATA_GOC!$H:$H,DATA_GOC!$A:$A,"BOM",DATA_GOC!$D:$D,$B207,DATA_GOC!$F:$F,"Xuất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7" s="61" t="str">
        <f>IF($B207="","",IF(AB$4&gt;DAY(EOMONTH(DATE($D$2,$B$2,1),0)),"",SUMIFS(DATA_GOC!$H:$H,DATA_GOC!$A:$A,"BOM",DATA_GOC!$D:$D,$B207,DATA_GOC!$F:$F,"Xuất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7" s="61" t="str">
        <f>IF($B207="","",IF(AC$4&gt;DAY(EOMONTH(DATE($D$2,$B$2,1),0)),"",SUMIFS(DATA_GOC!$H:$H,DATA_GOC!$A:$A,"BOM",DATA_GOC!$D:$D,$B207,DATA_GOC!$F:$F,"Xuất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7" s="222" t="str">
        <f>IF($B207="","",IF(AD$4&gt;DAY(EOMONTH(DATE($D$2,$B$2,1),0)),"",SUMIFS(DATA_GOC!$H:$H,DATA_GOC!$A:$A,"BOM",DATA_GOC!$D:$D,$B207,DATA_GOC!$F:$F,"Xuất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7" s="222" t="str">
        <f>IF($B207="","",IF(AE$4&gt;DAY(EOMONTH(DATE($D$2,$B$2,1),0)),"",SUMIFS(DATA_GOC!$H:$H,DATA_GOC!$A:$A,"BOM",DATA_GOC!$D:$D,$B207,DATA_GOC!$F:$F,"Xuất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7" s="222" t="str">
        <f>IF($B207="","",IF(AF$4&gt;DAY(EOMONTH(DATE($D$2,$B$2,1),0)),"",SUMIFS(DATA_GOC!$H:$H,DATA_GOC!$A:$A,"BOM",DATA_GOC!$D:$D,$B207,DATA_GOC!$F:$F,"Xuất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7" s="222" t="str">
        <f>IF($B207="","",IF(AG$4&gt;DAY(EOMONTH(DATE($D$2,$B$2,1),0)),"",SUMIFS(DATA_GOC!$H:$H,DATA_GOC!$A:$A,"BOM",DATA_GOC!$D:$D,$B207,DATA_GOC!$F:$F,"Xuất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7" s="222" t="str">
        <f t="shared" si="2"/>
        <v/>
      </c>
      <c r="AI207" s="222" t="str">
        <f>IF($B207="","",SUMIFS(DATA_GOC!$H:$H,DATA_GOC!$A:$A,"BOM",DATA_GOC!$D:$D,$B207,DATA_GOC!$F:$F,"Bơm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7" s="222" t="str">
        <f t="shared" si="3"/>
        <v/>
      </c>
      <c r="AM207" s="222" t="str">
        <f>IF($B207="","",SUMIFS(DATA_GOC!$K:$K,DATA_GOC!$A:$A,"BOM",DATA_GOC!$D:$D,$B207,DATA_GOC!$G:$G,"DO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7" s="222" t="str">
        <f t="shared" si="4"/>
        <v/>
      </c>
      <c r="AO207" s="227" t="str">
        <f t="shared" si="5"/>
        <v/>
      </c>
      <c r="AP207" s="226" t="str">
        <f>IF($B207="","",IFERROR(AO207-(SUMIFS(DATA_GOC!$H:$H,DATA_GOC!$A:$A,"BOM",DATA_GOC!$D:$D,$B207,DATA_GOC!$F:$F,"Xuất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8" ht="15.0" customHeight="1">
      <c r="A208" s="61" t="str">
        <f t="shared" si="1"/>
        <v/>
      </c>
      <c r="B208" s="61" t="str">
        <f t="array" ref="B208">IFERROR(INDEX(DANH_MUC!$E:$E,ROW()-1),"")</f>
        <v/>
      </c>
      <c r="C208" s="61" t="str">
        <f>IF($B208="","",IF(C$4&gt;DAY(EOMONTH(DATE($D$2,$B$2,1),0)),"",SUMIFS(DATA_GOC!$H:$H,DATA_GOC!$A:$A,"BOM",DATA_GOC!$D:$D,$B208,DATA_GOC!$F:$F,"Xuất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8" s="61" t="str">
        <f>IF($B208="","",IF(D$4&gt;DAY(EOMONTH(DATE($D$2,$B$2,1),0)),"",SUMIFS(DATA_GOC!$H:$H,DATA_GOC!$A:$A,"BOM",DATA_GOC!$D:$D,$B208,DATA_GOC!$F:$F,"Xuất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8" s="61" t="str">
        <f>IF($B208="","",IF(E$4&gt;DAY(EOMONTH(DATE($D$2,$B$2,1),0)),"",SUMIFS(DATA_GOC!$H:$H,DATA_GOC!$A:$A,"BOM",DATA_GOC!$D:$D,$B208,DATA_GOC!$F:$F,"Xuất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8" s="61" t="str">
        <f>IF($B208="","",IF(F$4&gt;DAY(EOMONTH(DATE($D$2,$B$2,1),0)),"",SUMIFS(DATA_GOC!$H:$H,DATA_GOC!$A:$A,"BOM",DATA_GOC!$D:$D,$B208,DATA_GOC!$F:$F,"Xuất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8" s="61" t="str">
        <f>IF($B208="","",IF(G$4&gt;DAY(EOMONTH(DATE($D$2,$B$2,1),0)),"",SUMIFS(DATA_GOC!$H:$H,DATA_GOC!$A:$A,"BOM",DATA_GOC!$D:$D,$B208,DATA_GOC!$F:$F,"Xuất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8" s="61" t="str">
        <f>IF($B208="","",IF(H$4&gt;DAY(EOMONTH(DATE($D$2,$B$2,1),0)),"",SUMIFS(DATA_GOC!$H:$H,DATA_GOC!$A:$A,"BOM",DATA_GOC!$D:$D,$B208,DATA_GOC!$F:$F,"Xuất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8" s="61" t="str">
        <f>IF($B208="","",IF(I$4&gt;DAY(EOMONTH(DATE($D$2,$B$2,1),0)),"",SUMIFS(DATA_GOC!$H:$H,DATA_GOC!$A:$A,"BOM",DATA_GOC!$D:$D,$B208,DATA_GOC!$F:$F,"Xuất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8" s="61" t="str">
        <f>IF($B208="","",IF(J$4&gt;DAY(EOMONTH(DATE($D$2,$B$2,1),0)),"",SUMIFS(DATA_GOC!$H:$H,DATA_GOC!$A:$A,"BOM",DATA_GOC!$D:$D,$B208,DATA_GOC!$F:$F,"Xuất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8" s="61" t="str">
        <f>IF($B208="","",IF(K$4&gt;DAY(EOMONTH(DATE($D$2,$B$2,1),0)),"",SUMIFS(DATA_GOC!$H:$H,DATA_GOC!$A:$A,"BOM",DATA_GOC!$D:$D,$B208,DATA_GOC!$F:$F,"Xuất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8" s="61" t="str">
        <f>IF($B208="","",IF(L$4&gt;DAY(EOMONTH(DATE($D$2,$B$2,1),0)),"",SUMIFS(DATA_GOC!$H:$H,DATA_GOC!$A:$A,"BOM",DATA_GOC!$D:$D,$B208,DATA_GOC!$F:$F,"Xuất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8" s="61" t="str">
        <f>IF($B208="","",IF(M$4&gt;DAY(EOMONTH(DATE($D$2,$B$2,1),0)),"",SUMIFS(DATA_GOC!$H:$H,DATA_GOC!$A:$A,"BOM",DATA_GOC!$D:$D,$B208,DATA_GOC!$F:$F,"Xuất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8" s="61" t="str">
        <f>IF($B208="","",IF(N$4&gt;DAY(EOMONTH(DATE($D$2,$B$2,1),0)),"",SUMIFS(DATA_GOC!$H:$H,DATA_GOC!$A:$A,"BOM",DATA_GOC!$D:$D,$B208,DATA_GOC!$F:$F,"Xuất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8" s="61" t="str">
        <f>IF($B208="","",IF(O$4&gt;DAY(EOMONTH(DATE($D$2,$B$2,1),0)),"",SUMIFS(DATA_GOC!$H:$H,DATA_GOC!$A:$A,"BOM",DATA_GOC!$D:$D,$B208,DATA_GOC!$F:$F,"Xuất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8" s="61" t="str">
        <f>IF($B208="","",IF(P$4&gt;DAY(EOMONTH(DATE($D$2,$B$2,1),0)),"",SUMIFS(DATA_GOC!$H:$H,DATA_GOC!$A:$A,"BOM",DATA_GOC!$D:$D,$B208,DATA_GOC!$F:$F,"Xuất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8" s="61" t="str">
        <f>IF($B208="","",IF(Q$4&gt;DAY(EOMONTH(DATE($D$2,$B$2,1),0)),"",SUMIFS(DATA_GOC!$H:$H,DATA_GOC!$A:$A,"BOM",DATA_GOC!$D:$D,$B208,DATA_GOC!$F:$F,"Xuất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8" s="61" t="str">
        <f>IF($B208="","",IF(R$4&gt;DAY(EOMONTH(DATE($D$2,$B$2,1),0)),"",SUMIFS(DATA_GOC!$H:$H,DATA_GOC!$A:$A,"BOM",DATA_GOC!$D:$D,$B208,DATA_GOC!$F:$F,"Xuất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8" s="61" t="str">
        <f>IF($B208="","",IF(S$4&gt;DAY(EOMONTH(DATE($D$2,$B$2,1),0)),"",SUMIFS(DATA_GOC!$H:$H,DATA_GOC!$A:$A,"BOM",DATA_GOC!$D:$D,$B208,DATA_GOC!$F:$F,"Xuất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8" s="61" t="str">
        <f>IF($B208="","",IF(T$4&gt;DAY(EOMONTH(DATE($D$2,$B$2,1),0)),"",SUMIFS(DATA_GOC!$H:$H,DATA_GOC!$A:$A,"BOM",DATA_GOC!$D:$D,$B208,DATA_GOC!$F:$F,"Xuất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8" s="61" t="str">
        <f>IF($B208="","",IF(U$4&gt;DAY(EOMONTH(DATE($D$2,$B$2,1),0)),"",SUMIFS(DATA_GOC!$H:$H,DATA_GOC!$A:$A,"BOM",DATA_GOC!$D:$D,$B208,DATA_GOC!$F:$F,"Xuất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8" s="61" t="str">
        <f>IF($B208="","",IF(V$4&gt;DAY(EOMONTH(DATE($D$2,$B$2,1),0)),"",SUMIFS(DATA_GOC!$H:$H,DATA_GOC!$A:$A,"BOM",DATA_GOC!$D:$D,$B208,DATA_GOC!$F:$F,"Xuất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8" s="61" t="str">
        <f>IF($B208="","",IF(W$4&gt;DAY(EOMONTH(DATE($D$2,$B$2,1),0)),"",SUMIFS(DATA_GOC!$H:$H,DATA_GOC!$A:$A,"BOM",DATA_GOC!$D:$D,$B208,DATA_GOC!$F:$F,"Xuất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8" s="61" t="str">
        <f>IF($B208="","",IF(X$4&gt;DAY(EOMONTH(DATE($D$2,$B$2,1),0)),"",SUMIFS(DATA_GOC!$H:$H,DATA_GOC!$A:$A,"BOM",DATA_GOC!$D:$D,$B208,DATA_GOC!$F:$F,"Xuất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8" s="61" t="str">
        <f>IF($B208="","",IF(Y$4&gt;DAY(EOMONTH(DATE($D$2,$B$2,1),0)),"",SUMIFS(DATA_GOC!$H:$H,DATA_GOC!$A:$A,"BOM",DATA_GOC!$D:$D,$B208,DATA_GOC!$F:$F,"Xuất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8" s="61" t="str">
        <f>IF($B208="","",IF(Z$4&gt;DAY(EOMONTH(DATE($D$2,$B$2,1),0)),"",SUMIFS(DATA_GOC!$H:$H,DATA_GOC!$A:$A,"BOM",DATA_GOC!$D:$D,$B208,DATA_GOC!$F:$F,"Xuất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8" s="61" t="str">
        <f>IF($B208="","",IF(AA$4&gt;DAY(EOMONTH(DATE($D$2,$B$2,1),0)),"",SUMIFS(DATA_GOC!$H:$H,DATA_GOC!$A:$A,"BOM",DATA_GOC!$D:$D,$B208,DATA_GOC!$F:$F,"Xuất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8" s="61" t="str">
        <f>IF($B208="","",IF(AB$4&gt;DAY(EOMONTH(DATE($D$2,$B$2,1),0)),"",SUMIFS(DATA_GOC!$H:$H,DATA_GOC!$A:$A,"BOM",DATA_GOC!$D:$D,$B208,DATA_GOC!$F:$F,"Xuất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8" s="61" t="str">
        <f>IF($B208="","",IF(AC$4&gt;DAY(EOMONTH(DATE($D$2,$B$2,1),0)),"",SUMIFS(DATA_GOC!$H:$H,DATA_GOC!$A:$A,"BOM",DATA_GOC!$D:$D,$B208,DATA_GOC!$F:$F,"Xuất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8" s="222" t="str">
        <f>IF($B208="","",IF(AD$4&gt;DAY(EOMONTH(DATE($D$2,$B$2,1),0)),"",SUMIFS(DATA_GOC!$H:$H,DATA_GOC!$A:$A,"BOM",DATA_GOC!$D:$D,$B208,DATA_GOC!$F:$F,"Xuất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8" s="222" t="str">
        <f>IF($B208="","",IF(AE$4&gt;DAY(EOMONTH(DATE($D$2,$B$2,1),0)),"",SUMIFS(DATA_GOC!$H:$H,DATA_GOC!$A:$A,"BOM",DATA_GOC!$D:$D,$B208,DATA_GOC!$F:$F,"Xuất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8" s="222" t="str">
        <f>IF($B208="","",IF(AF$4&gt;DAY(EOMONTH(DATE($D$2,$B$2,1),0)),"",SUMIFS(DATA_GOC!$H:$H,DATA_GOC!$A:$A,"BOM",DATA_GOC!$D:$D,$B208,DATA_GOC!$F:$F,"Xuất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8" s="222" t="str">
        <f>IF($B208="","",IF(AG$4&gt;DAY(EOMONTH(DATE($D$2,$B$2,1),0)),"",SUMIFS(DATA_GOC!$H:$H,DATA_GOC!$A:$A,"BOM",DATA_GOC!$D:$D,$B208,DATA_GOC!$F:$F,"Xuất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8" s="222" t="str">
        <f t="shared" si="2"/>
        <v/>
      </c>
      <c r="AI208" s="222" t="str">
        <f>IF($B208="","",SUMIFS(DATA_GOC!$H:$H,DATA_GOC!$A:$A,"BOM",DATA_GOC!$D:$D,$B208,DATA_GOC!$F:$F,"Bơm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8" s="222" t="str">
        <f t="shared" si="3"/>
        <v/>
      </c>
      <c r="AM208" s="222" t="str">
        <f>IF($B208="","",SUMIFS(DATA_GOC!$K:$K,DATA_GOC!$A:$A,"BOM",DATA_GOC!$D:$D,$B208,DATA_GOC!$G:$G,"DO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8" s="222" t="str">
        <f t="shared" si="4"/>
        <v/>
      </c>
      <c r="AO208" s="227" t="str">
        <f t="shared" si="5"/>
        <v/>
      </c>
      <c r="AP208" s="226" t="str">
        <f>IF($B208="","",IFERROR(AO208-(SUMIFS(DATA_GOC!$H:$H,DATA_GOC!$A:$A,"BOM",DATA_GOC!$D:$D,$B208,DATA_GOC!$F:$F,"Xuất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09" ht="15.0" customHeight="1">
      <c r="A209" s="61" t="str">
        <f t="shared" si="1"/>
        <v/>
      </c>
      <c r="B209" s="61" t="str">
        <f t="array" ref="B209">IFERROR(INDEX(DANH_MUC!$E:$E,ROW()-1),"")</f>
        <v/>
      </c>
      <c r="C209" s="61" t="str">
        <f>IF($B209="","",IF(C$4&gt;DAY(EOMONTH(DATE($D$2,$B$2,1),0)),"",SUMIFS(DATA_GOC!$H:$H,DATA_GOC!$A:$A,"BOM",DATA_GOC!$D:$D,$B209,DATA_GOC!$F:$F,"Xuất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09" s="61" t="str">
        <f>IF($B209="","",IF(D$4&gt;DAY(EOMONTH(DATE($D$2,$B$2,1),0)),"",SUMIFS(DATA_GOC!$H:$H,DATA_GOC!$A:$A,"BOM",DATA_GOC!$D:$D,$B209,DATA_GOC!$F:$F,"Xuất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09" s="61" t="str">
        <f>IF($B209="","",IF(E$4&gt;DAY(EOMONTH(DATE($D$2,$B$2,1),0)),"",SUMIFS(DATA_GOC!$H:$H,DATA_GOC!$A:$A,"BOM",DATA_GOC!$D:$D,$B209,DATA_GOC!$F:$F,"Xuất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09" s="61" t="str">
        <f>IF($B209="","",IF(F$4&gt;DAY(EOMONTH(DATE($D$2,$B$2,1),0)),"",SUMIFS(DATA_GOC!$H:$H,DATA_GOC!$A:$A,"BOM",DATA_GOC!$D:$D,$B209,DATA_GOC!$F:$F,"Xuất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09" s="61" t="str">
        <f>IF($B209="","",IF(G$4&gt;DAY(EOMONTH(DATE($D$2,$B$2,1),0)),"",SUMIFS(DATA_GOC!$H:$H,DATA_GOC!$A:$A,"BOM",DATA_GOC!$D:$D,$B209,DATA_GOC!$F:$F,"Xuất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09" s="61" t="str">
        <f>IF($B209="","",IF(H$4&gt;DAY(EOMONTH(DATE($D$2,$B$2,1),0)),"",SUMIFS(DATA_GOC!$H:$H,DATA_GOC!$A:$A,"BOM",DATA_GOC!$D:$D,$B209,DATA_GOC!$F:$F,"Xuất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09" s="61" t="str">
        <f>IF($B209="","",IF(I$4&gt;DAY(EOMONTH(DATE($D$2,$B$2,1),0)),"",SUMIFS(DATA_GOC!$H:$H,DATA_GOC!$A:$A,"BOM",DATA_GOC!$D:$D,$B209,DATA_GOC!$F:$F,"Xuất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09" s="61" t="str">
        <f>IF($B209="","",IF(J$4&gt;DAY(EOMONTH(DATE($D$2,$B$2,1),0)),"",SUMIFS(DATA_GOC!$H:$H,DATA_GOC!$A:$A,"BOM",DATA_GOC!$D:$D,$B209,DATA_GOC!$F:$F,"Xuất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09" s="61" t="str">
        <f>IF($B209="","",IF(K$4&gt;DAY(EOMONTH(DATE($D$2,$B$2,1),0)),"",SUMIFS(DATA_GOC!$H:$H,DATA_GOC!$A:$A,"BOM",DATA_GOC!$D:$D,$B209,DATA_GOC!$F:$F,"Xuất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09" s="61" t="str">
        <f>IF($B209="","",IF(L$4&gt;DAY(EOMONTH(DATE($D$2,$B$2,1),0)),"",SUMIFS(DATA_GOC!$H:$H,DATA_GOC!$A:$A,"BOM",DATA_GOC!$D:$D,$B209,DATA_GOC!$F:$F,"Xuất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09" s="61" t="str">
        <f>IF($B209="","",IF(M$4&gt;DAY(EOMONTH(DATE($D$2,$B$2,1),0)),"",SUMIFS(DATA_GOC!$H:$H,DATA_GOC!$A:$A,"BOM",DATA_GOC!$D:$D,$B209,DATA_GOC!$F:$F,"Xuất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09" s="61" t="str">
        <f>IF($B209="","",IF(N$4&gt;DAY(EOMONTH(DATE($D$2,$B$2,1),0)),"",SUMIFS(DATA_GOC!$H:$H,DATA_GOC!$A:$A,"BOM",DATA_GOC!$D:$D,$B209,DATA_GOC!$F:$F,"Xuất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09" s="61" t="str">
        <f>IF($B209="","",IF(O$4&gt;DAY(EOMONTH(DATE($D$2,$B$2,1),0)),"",SUMIFS(DATA_GOC!$H:$H,DATA_GOC!$A:$A,"BOM",DATA_GOC!$D:$D,$B209,DATA_GOC!$F:$F,"Xuất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09" s="61" t="str">
        <f>IF($B209="","",IF(P$4&gt;DAY(EOMONTH(DATE($D$2,$B$2,1),0)),"",SUMIFS(DATA_GOC!$H:$H,DATA_GOC!$A:$A,"BOM",DATA_GOC!$D:$D,$B209,DATA_GOC!$F:$F,"Xuất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09" s="61" t="str">
        <f>IF($B209="","",IF(Q$4&gt;DAY(EOMONTH(DATE($D$2,$B$2,1),0)),"",SUMIFS(DATA_GOC!$H:$H,DATA_GOC!$A:$A,"BOM",DATA_GOC!$D:$D,$B209,DATA_GOC!$F:$F,"Xuất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09" s="61" t="str">
        <f>IF($B209="","",IF(R$4&gt;DAY(EOMONTH(DATE($D$2,$B$2,1),0)),"",SUMIFS(DATA_GOC!$H:$H,DATA_GOC!$A:$A,"BOM",DATA_GOC!$D:$D,$B209,DATA_GOC!$F:$F,"Xuất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09" s="61" t="str">
        <f>IF($B209="","",IF(S$4&gt;DAY(EOMONTH(DATE($D$2,$B$2,1),0)),"",SUMIFS(DATA_GOC!$H:$H,DATA_GOC!$A:$A,"BOM",DATA_GOC!$D:$D,$B209,DATA_GOC!$F:$F,"Xuất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09" s="61" t="str">
        <f>IF($B209="","",IF(T$4&gt;DAY(EOMONTH(DATE($D$2,$B$2,1),0)),"",SUMIFS(DATA_GOC!$H:$H,DATA_GOC!$A:$A,"BOM",DATA_GOC!$D:$D,$B209,DATA_GOC!$F:$F,"Xuất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09" s="61" t="str">
        <f>IF($B209="","",IF(U$4&gt;DAY(EOMONTH(DATE($D$2,$B$2,1),0)),"",SUMIFS(DATA_GOC!$H:$H,DATA_GOC!$A:$A,"BOM",DATA_GOC!$D:$D,$B209,DATA_GOC!$F:$F,"Xuất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09" s="61" t="str">
        <f>IF($B209="","",IF(V$4&gt;DAY(EOMONTH(DATE($D$2,$B$2,1),0)),"",SUMIFS(DATA_GOC!$H:$H,DATA_GOC!$A:$A,"BOM",DATA_GOC!$D:$D,$B209,DATA_GOC!$F:$F,"Xuất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09" s="61" t="str">
        <f>IF($B209="","",IF(W$4&gt;DAY(EOMONTH(DATE($D$2,$B$2,1),0)),"",SUMIFS(DATA_GOC!$H:$H,DATA_GOC!$A:$A,"BOM",DATA_GOC!$D:$D,$B209,DATA_GOC!$F:$F,"Xuất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09" s="61" t="str">
        <f>IF($B209="","",IF(X$4&gt;DAY(EOMONTH(DATE($D$2,$B$2,1),0)),"",SUMIFS(DATA_GOC!$H:$H,DATA_GOC!$A:$A,"BOM",DATA_GOC!$D:$D,$B209,DATA_GOC!$F:$F,"Xuất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09" s="61" t="str">
        <f>IF($B209="","",IF(Y$4&gt;DAY(EOMONTH(DATE($D$2,$B$2,1),0)),"",SUMIFS(DATA_GOC!$H:$H,DATA_GOC!$A:$A,"BOM",DATA_GOC!$D:$D,$B209,DATA_GOC!$F:$F,"Xuất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09" s="61" t="str">
        <f>IF($B209="","",IF(Z$4&gt;DAY(EOMONTH(DATE($D$2,$B$2,1),0)),"",SUMIFS(DATA_GOC!$H:$H,DATA_GOC!$A:$A,"BOM",DATA_GOC!$D:$D,$B209,DATA_GOC!$F:$F,"Xuất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09" s="61" t="str">
        <f>IF($B209="","",IF(AA$4&gt;DAY(EOMONTH(DATE($D$2,$B$2,1),0)),"",SUMIFS(DATA_GOC!$H:$H,DATA_GOC!$A:$A,"BOM",DATA_GOC!$D:$D,$B209,DATA_GOC!$F:$F,"Xuất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09" s="61" t="str">
        <f>IF($B209="","",IF(AB$4&gt;DAY(EOMONTH(DATE($D$2,$B$2,1),0)),"",SUMIFS(DATA_GOC!$H:$H,DATA_GOC!$A:$A,"BOM",DATA_GOC!$D:$D,$B209,DATA_GOC!$F:$F,"Xuất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09" s="61" t="str">
        <f>IF($B209="","",IF(AC$4&gt;DAY(EOMONTH(DATE($D$2,$B$2,1),0)),"",SUMIFS(DATA_GOC!$H:$H,DATA_GOC!$A:$A,"BOM",DATA_GOC!$D:$D,$B209,DATA_GOC!$F:$F,"Xuất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09" s="222" t="str">
        <f>IF($B209="","",IF(AD$4&gt;DAY(EOMONTH(DATE($D$2,$B$2,1),0)),"",SUMIFS(DATA_GOC!$H:$H,DATA_GOC!$A:$A,"BOM",DATA_GOC!$D:$D,$B209,DATA_GOC!$F:$F,"Xuất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09" s="222" t="str">
        <f>IF($B209="","",IF(AE$4&gt;DAY(EOMONTH(DATE($D$2,$B$2,1),0)),"",SUMIFS(DATA_GOC!$H:$H,DATA_GOC!$A:$A,"BOM",DATA_GOC!$D:$D,$B209,DATA_GOC!$F:$F,"Xuất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09" s="222" t="str">
        <f>IF($B209="","",IF(AF$4&gt;DAY(EOMONTH(DATE($D$2,$B$2,1),0)),"",SUMIFS(DATA_GOC!$H:$H,DATA_GOC!$A:$A,"BOM",DATA_GOC!$D:$D,$B209,DATA_GOC!$F:$F,"Xuất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09" s="222" t="str">
        <f>IF($B209="","",IF(AG$4&gt;DAY(EOMONTH(DATE($D$2,$B$2,1),0)),"",SUMIFS(DATA_GOC!$H:$H,DATA_GOC!$A:$A,"BOM",DATA_GOC!$D:$D,$B209,DATA_GOC!$F:$F,"Xuất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09" s="222" t="str">
        <f t="shared" si="2"/>
        <v/>
      </c>
      <c r="AI209" s="222" t="str">
        <f>IF($B209="","",SUMIFS(DATA_GOC!$H:$H,DATA_GOC!$A:$A,"BOM",DATA_GOC!$D:$D,$B209,DATA_GOC!$F:$F,"Bơm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09" s="222" t="str">
        <f t="shared" si="3"/>
        <v/>
      </c>
      <c r="AM209" s="222" t="str">
        <f>IF($B209="","",SUMIFS(DATA_GOC!$K:$K,DATA_GOC!$A:$A,"BOM",DATA_GOC!$D:$D,$B209,DATA_GOC!$G:$G,"DO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09" s="222" t="str">
        <f t="shared" si="4"/>
        <v/>
      </c>
      <c r="AO209" s="227" t="str">
        <f t="shared" si="5"/>
        <v/>
      </c>
      <c r="AP209" s="226" t="str">
        <f>IF($B209="","",IFERROR(AO209-(SUMIFS(DATA_GOC!$H:$H,DATA_GOC!$A:$A,"BOM",DATA_GOC!$D:$D,$B209,DATA_GOC!$F:$F,"Xuất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số",DATA_GOC!$B:$B,"&gt;="&amp;EDATE(DATE($D$2,$B$2,1),-1),DATA_GOC!$B:$B,"&lt;"&amp;DATE($D$2,$B$2,1))/SUMIFS(DATA_GOC!$K:$K,DATA_GOC!$A:$A,"BOM",DATA_GOC!$D:$D,$B209,DATA_GOC!$G:$G,"DO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0" ht="15.0" customHeight="1">
      <c r="A210" s="61" t="str">
        <f t="shared" si="1"/>
        <v/>
      </c>
      <c r="B210" s="61" t="str">
        <f t="array" ref="B210">IFERROR(INDEX(DANH_MUC!$E:$E,ROW()-1),"")</f>
        <v/>
      </c>
      <c r="C210" s="61" t="str">
        <f>IF($B210="","",IF(C$4&gt;DAY(EOMONTH(DATE($D$2,$B$2,1),0)),"",SUMIFS(DATA_GOC!$H:$H,DATA_GOC!$A:$A,"BOM",DATA_GOC!$D:$D,$B210,DATA_GOC!$F:$F,"Xuất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0" s="61" t="str">
        <f>IF($B210="","",IF(D$4&gt;DAY(EOMONTH(DATE($D$2,$B$2,1),0)),"",SUMIFS(DATA_GOC!$H:$H,DATA_GOC!$A:$A,"BOM",DATA_GOC!$D:$D,$B210,DATA_GOC!$F:$F,"Xuất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0" s="61" t="str">
        <f>IF($B210="","",IF(E$4&gt;DAY(EOMONTH(DATE($D$2,$B$2,1),0)),"",SUMIFS(DATA_GOC!$H:$H,DATA_GOC!$A:$A,"BOM",DATA_GOC!$D:$D,$B210,DATA_GOC!$F:$F,"Xuất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0" s="61" t="str">
        <f>IF($B210="","",IF(F$4&gt;DAY(EOMONTH(DATE($D$2,$B$2,1),0)),"",SUMIFS(DATA_GOC!$H:$H,DATA_GOC!$A:$A,"BOM",DATA_GOC!$D:$D,$B210,DATA_GOC!$F:$F,"Xuất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0" s="61" t="str">
        <f>IF($B210="","",IF(G$4&gt;DAY(EOMONTH(DATE($D$2,$B$2,1),0)),"",SUMIFS(DATA_GOC!$H:$H,DATA_GOC!$A:$A,"BOM",DATA_GOC!$D:$D,$B210,DATA_GOC!$F:$F,"Xuất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0" s="61" t="str">
        <f>IF($B210="","",IF(H$4&gt;DAY(EOMONTH(DATE($D$2,$B$2,1),0)),"",SUMIFS(DATA_GOC!$H:$H,DATA_GOC!$A:$A,"BOM",DATA_GOC!$D:$D,$B210,DATA_GOC!$F:$F,"Xuất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0" s="61" t="str">
        <f>IF($B210="","",IF(I$4&gt;DAY(EOMONTH(DATE($D$2,$B$2,1),0)),"",SUMIFS(DATA_GOC!$H:$H,DATA_GOC!$A:$A,"BOM",DATA_GOC!$D:$D,$B210,DATA_GOC!$F:$F,"Xuất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0" s="61" t="str">
        <f>IF($B210="","",IF(J$4&gt;DAY(EOMONTH(DATE($D$2,$B$2,1),0)),"",SUMIFS(DATA_GOC!$H:$H,DATA_GOC!$A:$A,"BOM",DATA_GOC!$D:$D,$B210,DATA_GOC!$F:$F,"Xuất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0" s="61" t="str">
        <f>IF($B210="","",IF(K$4&gt;DAY(EOMONTH(DATE($D$2,$B$2,1),0)),"",SUMIFS(DATA_GOC!$H:$H,DATA_GOC!$A:$A,"BOM",DATA_GOC!$D:$D,$B210,DATA_GOC!$F:$F,"Xuất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0" s="61" t="str">
        <f>IF($B210="","",IF(L$4&gt;DAY(EOMONTH(DATE($D$2,$B$2,1),0)),"",SUMIFS(DATA_GOC!$H:$H,DATA_GOC!$A:$A,"BOM",DATA_GOC!$D:$D,$B210,DATA_GOC!$F:$F,"Xuất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0" s="61" t="str">
        <f>IF($B210="","",IF(M$4&gt;DAY(EOMONTH(DATE($D$2,$B$2,1),0)),"",SUMIFS(DATA_GOC!$H:$H,DATA_GOC!$A:$A,"BOM",DATA_GOC!$D:$D,$B210,DATA_GOC!$F:$F,"Xuất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0" s="61" t="str">
        <f>IF($B210="","",IF(N$4&gt;DAY(EOMONTH(DATE($D$2,$B$2,1),0)),"",SUMIFS(DATA_GOC!$H:$H,DATA_GOC!$A:$A,"BOM",DATA_GOC!$D:$D,$B210,DATA_GOC!$F:$F,"Xuất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0" s="61" t="str">
        <f>IF($B210="","",IF(O$4&gt;DAY(EOMONTH(DATE($D$2,$B$2,1),0)),"",SUMIFS(DATA_GOC!$H:$H,DATA_GOC!$A:$A,"BOM",DATA_GOC!$D:$D,$B210,DATA_GOC!$F:$F,"Xuất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0" s="61" t="str">
        <f>IF($B210="","",IF(P$4&gt;DAY(EOMONTH(DATE($D$2,$B$2,1),0)),"",SUMIFS(DATA_GOC!$H:$H,DATA_GOC!$A:$A,"BOM",DATA_GOC!$D:$D,$B210,DATA_GOC!$F:$F,"Xuất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0" s="61" t="str">
        <f>IF($B210="","",IF(Q$4&gt;DAY(EOMONTH(DATE($D$2,$B$2,1),0)),"",SUMIFS(DATA_GOC!$H:$H,DATA_GOC!$A:$A,"BOM",DATA_GOC!$D:$D,$B210,DATA_GOC!$F:$F,"Xuất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0" s="61" t="str">
        <f>IF($B210="","",IF(R$4&gt;DAY(EOMONTH(DATE($D$2,$B$2,1),0)),"",SUMIFS(DATA_GOC!$H:$H,DATA_GOC!$A:$A,"BOM",DATA_GOC!$D:$D,$B210,DATA_GOC!$F:$F,"Xuất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0" s="61" t="str">
        <f>IF($B210="","",IF(S$4&gt;DAY(EOMONTH(DATE($D$2,$B$2,1),0)),"",SUMIFS(DATA_GOC!$H:$H,DATA_GOC!$A:$A,"BOM",DATA_GOC!$D:$D,$B210,DATA_GOC!$F:$F,"Xuất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0" s="61" t="str">
        <f>IF($B210="","",IF(T$4&gt;DAY(EOMONTH(DATE($D$2,$B$2,1),0)),"",SUMIFS(DATA_GOC!$H:$H,DATA_GOC!$A:$A,"BOM",DATA_GOC!$D:$D,$B210,DATA_GOC!$F:$F,"Xuất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0" s="61" t="str">
        <f>IF($B210="","",IF(U$4&gt;DAY(EOMONTH(DATE($D$2,$B$2,1),0)),"",SUMIFS(DATA_GOC!$H:$H,DATA_GOC!$A:$A,"BOM",DATA_GOC!$D:$D,$B210,DATA_GOC!$F:$F,"Xuất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0" s="61" t="str">
        <f>IF($B210="","",IF(V$4&gt;DAY(EOMONTH(DATE($D$2,$B$2,1),0)),"",SUMIFS(DATA_GOC!$H:$H,DATA_GOC!$A:$A,"BOM",DATA_GOC!$D:$D,$B210,DATA_GOC!$F:$F,"Xuất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0" s="61" t="str">
        <f>IF($B210="","",IF(W$4&gt;DAY(EOMONTH(DATE($D$2,$B$2,1),0)),"",SUMIFS(DATA_GOC!$H:$H,DATA_GOC!$A:$A,"BOM",DATA_GOC!$D:$D,$B210,DATA_GOC!$F:$F,"Xuất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0" s="61" t="str">
        <f>IF($B210="","",IF(X$4&gt;DAY(EOMONTH(DATE($D$2,$B$2,1),0)),"",SUMIFS(DATA_GOC!$H:$H,DATA_GOC!$A:$A,"BOM",DATA_GOC!$D:$D,$B210,DATA_GOC!$F:$F,"Xuất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0" s="61" t="str">
        <f>IF($B210="","",IF(Y$4&gt;DAY(EOMONTH(DATE($D$2,$B$2,1),0)),"",SUMIFS(DATA_GOC!$H:$H,DATA_GOC!$A:$A,"BOM",DATA_GOC!$D:$D,$B210,DATA_GOC!$F:$F,"Xuất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0" s="61" t="str">
        <f>IF($B210="","",IF(Z$4&gt;DAY(EOMONTH(DATE($D$2,$B$2,1),0)),"",SUMIFS(DATA_GOC!$H:$H,DATA_GOC!$A:$A,"BOM",DATA_GOC!$D:$D,$B210,DATA_GOC!$F:$F,"Xuất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0" s="61" t="str">
        <f>IF($B210="","",IF(AA$4&gt;DAY(EOMONTH(DATE($D$2,$B$2,1),0)),"",SUMIFS(DATA_GOC!$H:$H,DATA_GOC!$A:$A,"BOM",DATA_GOC!$D:$D,$B210,DATA_GOC!$F:$F,"Xuất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0" s="61" t="str">
        <f>IF($B210="","",IF(AB$4&gt;DAY(EOMONTH(DATE($D$2,$B$2,1),0)),"",SUMIFS(DATA_GOC!$H:$H,DATA_GOC!$A:$A,"BOM",DATA_GOC!$D:$D,$B210,DATA_GOC!$F:$F,"Xuất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0" s="61" t="str">
        <f>IF($B210="","",IF(AC$4&gt;DAY(EOMONTH(DATE($D$2,$B$2,1),0)),"",SUMIFS(DATA_GOC!$H:$H,DATA_GOC!$A:$A,"BOM",DATA_GOC!$D:$D,$B210,DATA_GOC!$F:$F,"Xuất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0" s="222" t="str">
        <f>IF($B210="","",IF(AD$4&gt;DAY(EOMONTH(DATE($D$2,$B$2,1),0)),"",SUMIFS(DATA_GOC!$H:$H,DATA_GOC!$A:$A,"BOM",DATA_GOC!$D:$D,$B210,DATA_GOC!$F:$F,"Xuất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0" s="222" t="str">
        <f>IF($B210="","",IF(AE$4&gt;DAY(EOMONTH(DATE($D$2,$B$2,1),0)),"",SUMIFS(DATA_GOC!$H:$H,DATA_GOC!$A:$A,"BOM",DATA_GOC!$D:$D,$B210,DATA_GOC!$F:$F,"Xuất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0" s="222" t="str">
        <f>IF($B210="","",IF(AF$4&gt;DAY(EOMONTH(DATE($D$2,$B$2,1),0)),"",SUMIFS(DATA_GOC!$H:$H,DATA_GOC!$A:$A,"BOM",DATA_GOC!$D:$D,$B210,DATA_GOC!$F:$F,"Xuất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0" s="222" t="str">
        <f>IF($B210="","",IF(AG$4&gt;DAY(EOMONTH(DATE($D$2,$B$2,1),0)),"",SUMIFS(DATA_GOC!$H:$H,DATA_GOC!$A:$A,"BOM",DATA_GOC!$D:$D,$B210,DATA_GOC!$F:$F,"Xuất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0" s="222" t="str">
        <f t="shared" si="2"/>
        <v/>
      </c>
      <c r="AI210" s="222" t="str">
        <f>IF($B210="","",SUMIFS(DATA_GOC!$H:$H,DATA_GOC!$A:$A,"BOM",DATA_GOC!$D:$D,$B210,DATA_GOC!$F:$F,"Bơm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0" s="222" t="str">
        <f t="shared" si="3"/>
        <v/>
      </c>
      <c r="AM210" s="222" t="str">
        <f>IF($B210="","",SUMIFS(DATA_GOC!$K:$K,DATA_GOC!$A:$A,"BOM",DATA_GOC!$D:$D,$B210,DATA_GOC!$G:$G,"DO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0" s="222" t="str">
        <f t="shared" si="4"/>
        <v/>
      </c>
      <c r="AO210" s="227" t="str">
        <f t="shared" si="5"/>
        <v/>
      </c>
      <c r="AP210" s="226" t="str">
        <f>IF($B210="","",IFERROR(AO210-(SUMIFS(DATA_GOC!$H:$H,DATA_GOC!$A:$A,"BOM",DATA_GOC!$D:$D,$B210,DATA_GOC!$F:$F,"Xuất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1" ht="15.0" customHeight="1">
      <c r="A211" s="61" t="str">
        <f t="shared" si="1"/>
        <v/>
      </c>
      <c r="B211" s="61" t="str">
        <f t="array" ref="B211">IFERROR(INDEX(DANH_MUC!$E:$E,ROW()-1),"")</f>
        <v/>
      </c>
      <c r="C211" s="61" t="str">
        <f>IF($B211="","",IF(C$4&gt;DAY(EOMONTH(DATE($D$2,$B$2,1),0)),"",SUMIFS(DATA_GOC!$H:$H,DATA_GOC!$A:$A,"BOM",DATA_GOC!$D:$D,$B211,DATA_GOC!$F:$F,"Xuất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1" s="61" t="str">
        <f>IF($B211="","",IF(D$4&gt;DAY(EOMONTH(DATE($D$2,$B$2,1),0)),"",SUMIFS(DATA_GOC!$H:$H,DATA_GOC!$A:$A,"BOM",DATA_GOC!$D:$D,$B211,DATA_GOC!$F:$F,"Xuất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1" s="61" t="str">
        <f>IF($B211="","",IF(E$4&gt;DAY(EOMONTH(DATE($D$2,$B$2,1),0)),"",SUMIFS(DATA_GOC!$H:$H,DATA_GOC!$A:$A,"BOM",DATA_GOC!$D:$D,$B211,DATA_GOC!$F:$F,"Xuất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1" s="61" t="str">
        <f>IF($B211="","",IF(F$4&gt;DAY(EOMONTH(DATE($D$2,$B$2,1),0)),"",SUMIFS(DATA_GOC!$H:$H,DATA_GOC!$A:$A,"BOM",DATA_GOC!$D:$D,$B211,DATA_GOC!$F:$F,"Xuất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1" s="61" t="str">
        <f>IF($B211="","",IF(G$4&gt;DAY(EOMONTH(DATE($D$2,$B$2,1),0)),"",SUMIFS(DATA_GOC!$H:$H,DATA_GOC!$A:$A,"BOM",DATA_GOC!$D:$D,$B211,DATA_GOC!$F:$F,"Xuất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1" s="61" t="str">
        <f>IF($B211="","",IF(H$4&gt;DAY(EOMONTH(DATE($D$2,$B$2,1),0)),"",SUMIFS(DATA_GOC!$H:$H,DATA_GOC!$A:$A,"BOM",DATA_GOC!$D:$D,$B211,DATA_GOC!$F:$F,"Xuất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1" s="61" t="str">
        <f>IF($B211="","",IF(I$4&gt;DAY(EOMONTH(DATE($D$2,$B$2,1),0)),"",SUMIFS(DATA_GOC!$H:$H,DATA_GOC!$A:$A,"BOM",DATA_GOC!$D:$D,$B211,DATA_GOC!$F:$F,"Xuất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1" s="61" t="str">
        <f>IF($B211="","",IF(J$4&gt;DAY(EOMONTH(DATE($D$2,$B$2,1),0)),"",SUMIFS(DATA_GOC!$H:$H,DATA_GOC!$A:$A,"BOM",DATA_GOC!$D:$D,$B211,DATA_GOC!$F:$F,"Xuất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1" s="61" t="str">
        <f>IF($B211="","",IF(K$4&gt;DAY(EOMONTH(DATE($D$2,$B$2,1),0)),"",SUMIFS(DATA_GOC!$H:$H,DATA_GOC!$A:$A,"BOM",DATA_GOC!$D:$D,$B211,DATA_GOC!$F:$F,"Xuất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1" s="61" t="str">
        <f>IF($B211="","",IF(L$4&gt;DAY(EOMONTH(DATE($D$2,$B$2,1),0)),"",SUMIFS(DATA_GOC!$H:$H,DATA_GOC!$A:$A,"BOM",DATA_GOC!$D:$D,$B211,DATA_GOC!$F:$F,"Xuất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1" s="61" t="str">
        <f>IF($B211="","",IF(M$4&gt;DAY(EOMONTH(DATE($D$2,$B$2,1),0)),"",SUMIFS(DATA_GOC!$H:$H,DATA_GOC!$A:$A,"BOM",DATA_GOC!$D:$D,$B211,DATA_GOC!$F:$F,"Xuất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1" s="61" t="str">
        <f>IF($B211="","",IF(N$4&gt;DAY(EOMONTH(DATE($D$2,$B$2,1),0)),"",SUMIFS(DATA_GOC!$H:$H,DATA_GOC!$A:$A,"BOM",DATA_GOC!$D:$D,$B211,DATA_GOC!$F:$F,"Xuất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1" s="61" t="str">
        <f>IF($B211="","",IF(O$4&gt;DAY(EOMONTH(DATE($D$2,$B$2,1),0)),"",SUMIFS(DATA_GOC!$H:$H,DATA_GOC!$A:$A,"BOM",DATA_GOC!$D:$D,$B211,DATA_GOC!$F:$F,"Xuất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1" s="61" t="str">
        <f>IF($B211="","",IF(P$4&gt;DAY(EOMONTH(DATE($D$2,$B$2,1),0)),"",SUMIFS(DATA_GOC!$H:$H,DATA_GOC!$A:$A,"BOM",DATA_GOC!$D:$D,$B211,DATA_GOC!$F:$F,"Xuất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1" s="61" t="str">
        <f>IF($B211="","",IF(Q$4&gt;DAY(EOMONTH(DATE($D$2,$B$2,1),0)),"",SUMIFS(DATA_GOC!$H:$H,DATA_GOC!$A:$A,"BOM",DATA_GOC!$D:$D,$B211,DATA_GOC!$F:$F,"Xuất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1" s="61" t="str">
        <f>IF($B211="","",IF(R$4&gt;DAY(EOMONTH(DATE($D$2,$B$2,1),0)),"",SUMIFS(DATA_GOC!$H:$H,DATA_GOC!$A:$A,"BOM",DATA_GOC!$D:$D,$B211,DATA_GOC!$F:$F,"Xuất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1" s="61" t="str">
        <f>IF($B211="","",IF(S$4&gt;DAY(EOMONTH(DATE($D$2,$B$2,1),0)),"",SUMIFS(DATA_GOC!$H:$H,DATA_GOC!$A:$A,"BOM",DATA_GOC!$D:$D,$B211,DATA_GOC!$F:$F,"Xuất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1" s="61" t="str">
        <f>IF($B211="","",IF(T$4&gt;DAY(EOMONTH(DATE($D$2,$B$2,1),0)),"",SUMIFS(DATA_GOC!$H:$H,DATA_GOC!$A:$A,"BOM",DATA_GOC!$D:$D,$B211,DATA_GOC!$F:$F,"Xuất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1" s="61" t="str">
        <f>IF($B211="","",IF(U$4&gt;DAY(EOMONTH(DATE($D$2,$B$2,1),0)),"",SUMIFS(DATA_GOC!$H:$H,DATA_GOC!$A:$A,"BOM",DATA_GOC!$D:$D,$B211,DATA_GOC!$F:$F,"Xuất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1" s="61" t="str">
        <f>IF($B211="","",IF(V$4&gt;DAY(EOMONTH(DATE($D$2,$B$2,1),0)),"",SUMIFS(DATA_GOC!$H:$H,DATA_GOC!$A:$A,"BOM",DATA_GOC!$D:$D,$B211,DATA_GOC!$F:$F,"Xuất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1" s="61" t="str">
        <f>IF($B211="","",IF(W$4&gt;DAY(EOMONTH(DATE($D$2,$B$2,1),0)),"",SUMIFS(DATA_GOC!$H:$H,DATA_GOC!$A:$A,"BOM",DATA_GOC!$D:$D,$B211,DATA_GOC!$F:$F,"Xuất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1" s="61" t="str">
        <f>IF($B211="","",IF(X$4&gt;DAY(EOMONTH(DATE($D$2,$B$2,1),0)),"",SUMIFS(DATA_GOC!$H:$H,DATA_GOC!$A:$A,"BOM",DATA_GOC!$D:$D,$B211,DATA_GOC!$F:$F,"Xuất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1" s="61" t="str">
        <f>IF($B211="","",IF(Y$4&gt;DAY(EOMONTH(DATE($D$2,$B$2,1),0)),"",SUMIFS(DATA_GOC!$H:$H,DATA_GOC!$A:$A,"BOM",DATA_GOC!$D:$D,$B211,DATA_GOC!$F:$F,"Xuất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1" s="61" t="str">
        <f>IF($B211="","",IF(Z$4&gt;DAY(EOMONTH(DATE($D$2,$B$2,1),0)),"",SUMIFS(DATA_GOC!$H:$H,DATA_GOC!$A:$A,"BOM",DATA_GOC!$D:$D,$B211,DATA_GOC!$F:$F,"Xuất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1" s="61" t="str">
        <f>IF($B211="","",IF(AA$4&gt;DAY(EOMONTH(DATE($D$2,$B$2,1),0)),"",SUMIFS(DATA_GOC!$H:$H,DATA_GOC!$A:$A,"BOM",DATA_GOC!$D:$D,$B211,DATA_GOC!$F:$F,"Xuất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1" s="61" t="str">
        <f>IF($B211="","",IF(AB$4&gt;DAY(EOMONTH(DATE($D$2,$B$2,1),0)),"",SUMIFS(DATA_GOC!$H:$H,DATA_GOC!$A:$A,"BOM",DATA_GOC!$D:$D,$B211,DATA_GOC!$F:$F,"Xuất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1" s="61" t="str">
        <f>IF($B211="","",IF(AC$4&gt;DAY(EOMONTH(DATE($D$2,$B$2,1),0)),"",SUMIFS(DATA_GOC!$H:$H,DATA_GOC!$A:$A,"BOM",DATA_GOC!$D:$D,$B211,DATA_GOC!$F:$F,"Xuất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1" s="222" t="str">
        <f>IF($B211="","",IF(AD$4&gt;DAY(EOMONTH(DATE($D$2,$B$2,1),0)),"",SUMIFS(DATA_GOC!$H:$H,DATA_GOC!$A:$A,"BOM",DATA_GOC!$D:$D,$B211,DATA_GOC!$F:$F,"Xuất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1" s="222" t="str">
        <f>IF($B211="","",IF(AE$4&gt;DAY(EOMONTH(DATE($D$2,$B$2,1),0)),"",SUMIFS(DATA_GOC!$H:$H,DATA_GOC!$A:$A,"BOM",DATA_GOC!$D:$D,$B211,DATA_GOC!$F:$F,"Xuất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1" s="222" t="str">
        <f>IF($B211="","",IF(AF$4&gt;DAY(EOMONTH(DATE($D$2,$B$2,1),0)),"",SUMIFS(DATA_GOC!$H:$H,DATA_GOC!$A:$A,"BOM",DATA_GOC!$D:$D,$B211,DATA_GOC!$F:$F,"Xuất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1" s="222" t="str">
        <f>IF($B211="","",IF(AG$4&gt;DAY(EOMONTH(DATE($D$2,$B$2,1),0)),"",SUMIFS(DATA_GOC!$H:$H,DATA_GOC!$A:$A,"BOM",DATA_GOC!$D:$D,$B211,DATA_GOC!$F:$F,"Xuất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1" s="222" t="str">
        <f t="shared" si="2"/>
        <v/>
      </c>
      <c r="AI211" s="222" t="str">
        <f>IF($B211="","",SUMIFS(DATA_GOC!$H:$H,DATA_GOC!$A:$A,"BOM",DATA_GOC!$D:$D,$B211,DATA_GOC!$F:$F,"Bơm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1" s="222" t="str">
        <f t="shared" si="3"/>
        <v/>
      </c>
      <c r="AM211" s="222" t="str">
        <f>IF($B211="","",SUMIFS(DATA_GOC!$K:$K,DATA_GOC!$A:$A,"BOM",DATA_GOC!$D:$D,$B211,DATA_GOC!$G:$G,"DO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1" s="222" t="str">
        <f t="shared" si="4"/>
        <v/>
      </c>
      <c r="AO211" s="227" t="str">
        <f t="shared" si="5"/>
        <v/>
      </c>
      <c r="AP211" s="226" t="str">
        <f>IF($B211="","",IFERROR(AO211-(SUMIFS(DATA_GOC!$H:$H,DATA_GOC!$A:$A,"BOM",DATA_GOC!$D:$D,$B211,DATA_GOC!$F:$F,"Xuất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2" ht="15.0" customHeight="1">
      <c r="A212" s="61" t="str">
        <f t="shared" si="1"/>
        <v/>
      </c>
      <c r="B212" s="61" t="str">
        <f t="array" ref="B212">IFERROR(INDEX(DANH_MUC!$E:$E,ROW()-1),"")</f>
        <v/>
      </c>
      <c r="C212" s="61" t="str">
        <f>IF($B212="","",IF(C$4&gt;DAY(EOMONTH(DATE($D$2,$B$2,1),0)),"",SUMIFS(DATA_GOC!$H:$H,DATA_GOC!$A:$A,"BOM",DATA_GOC!$D:$D,$B212,DATA_GOC!$F:$F,"Xuất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2" s="61" t="str">
        <f>IF($B212="","",IF(D$4&gt;DAY(EOMONTH(DATE($D$2,$B$2,1),0)),"",SUMIFS(DATA_GOC!$H:$H,DATA_GOC!$A:$A,"BOM",DATA_GOC!$D:$D,$B212,DATA_GOC!$F:$F,"Xuất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2" s="61" t="str">
        <f>IF($B212="","",IF(E$4&gt;DAY(EOMONTH(DATE($D$2,$B$2,1),0)),"",SUMIFS(DATA_GOC!$H:$H,DATA_GOC!$A:$A,"BOM",DATA_GOC!$D:$D,$B212,DATA_GOC!$F:$F,"Xuất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2" s="61" t="str">
        <f>IF($B212="","",IF(F$4&gt;DAY(EOMONTH(DATE($D$2,$B$2,1),0)),"",SUMIFS(DATA_GOC!$H:$H,DATA_GOC!$A:$A,"BOM",DATA_GOC!$D:$D,$B212,DATA_GOC!$F:$F,"Xuất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2" s="61" t="str">
        <f>IF($B212="","",IF(G$4&gt;DAY(EOMONTH(DATE($D$2,$B$2,1),0)),"",SUMIFS(DATA_GOC!$H:$H,DATA_GOC!$A:$A,"BOM",DATA_GOC!$D:$D,$B212,DATA_GOC!$F:$F,"Xuất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2" s="61" t="str">
        <f>IF($B212="","",IF(H$4&gt;DAY(EOMONTH(DATE($D$2,$B$2,1),0)),"",SUMIFS(DATA_GOC!$H:$H,DATA_GOC!$A:$A,"BOM",DATA_GOC!$D:$D,$B212,DATA_GOC!$F:$F,"Xuất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2" s="61" t="str">
        <f>IF($B212="","",IF(I$4&gt;DAY(EOMONTH(DATE($D$2,$B$2,1),0)),"",SUMIFS(DATA_GOC!$H:$H,DATA_GOC!$A:$A,"BOM",DATA_GOC!$D:$D,$B212,DATA_GOC!$F:$F,"Xuất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2" s="61" t="str">
        <f>IF($B212="","",IF(J$4&gt;DAY(EOMONTH(DATE($D$2,$B$2,1),0)),"",SUMIFS(DATA_GOC!$H:$H,DATA_GOC!$A:$A,"BOM",DATA_GOC!$D:$D,$B212,DATA_GOC!$F:$F,"Xuất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2" s="61" t="str">
        <f>IF($B212="","",IF(K$4&gt;DAY(EOMONTH(DATE($D$2,$B$2,1),0)),"",SUMIFS(DATA_GOC!$H:$H,DATA_GOC!$A:$A,"BOM",DATA_GOC!$D:$D,$B212,DATA_GOC!$F:$F,"Xuất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2" s="61" t="str">
        <f>IF($B212="","",IF(L$4&gt;DAY(EOMONTH(DATE($D$2,$B$2,1),0)),"",SUMIFS(DATA_GOC!$H:$H,DATA_GOC!$A:$A,"BOM",DATA_GOC!$D:$D,$B212,DATA_GOC!$F:$F,"Xuất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2" s="61" t="str">
        <f>IF($B212="","",IF(M$4&gt;DAY(EOMONTH(DATE($D$2,$B$2,1),0)),"",SUMIFS(DATA_GOC!$H:$H,DATA_GOC!$A:$A,"BOM",DATA_GOC!$D:$D,$B212,DATA_GOC!$F:$F,"Xuất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2" s="61" t="str">
        <f>IF($B212="","",IF(N$4&gt;DAY(EOMONTH(DATE($D$2,$B$2,1),0)),"",SUMIFS(DATA_GOC!$H:$H,DATA_GOC!$A:$A,"BOM",DATA_GOC!$D:$D,$B212,DATA_GOC!$F:$F,"Xuất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2" s="61" t="str">
        <f>IF($B212="","",IF(O$4&gt;DAY(EOMONTH(DATE($D$2,$B$2,1),0)),"",SUMIFS(DATA_GOC!$H:$H,DATA_GOC!$A:$A,"BOM",DATA_GOC!$D:$D,$B212,DATA_GOC!$F:$F,"Xuất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2" s="61" t="str">
        <f>IF($B212="","",IF(P$4&gt;DAY(EOMONTH(DATE($D$2,$B$2,1),0)),"",SUMIFS(DATA_GOC!$H:$H,DATA_GOC!$A:$A,"BOM",DATA_GOC!$D:$D,$B212,DATA_GOC!$F:$F,"Xuất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2" s="61" t="str">
        <f>IF($B212="","",IF(Q$4&gt;DAY(EOMONTH(DATE($D$2,$B$2,1),0)),"",SUMIFS(DATA_GOC!$H:$H,DATA_GOC!$A:$A,"BOM",DATA_GOC!$D:$D,$B212,DATA_GOC!$F:$F,"Xuất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2" s="61" t="str">
        <f>IF($B212="","",IF(R$4&gt;DAY(EOMONTH(DATE($D$2,$B$2,1),0)),"",SUMIFS(DATA_GOC!$H:$H,DATA_GOC!$A:$A,"BOM",DATA_GOC!$D:$D,$B212,DATA_GOC!$F:$F,"Xuất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2" s="61" t="str">
        <f>IF($B212="","",IF(S$4&gt;DAY(EOMONTH(DATE($D$2,$B$2,1),0)),"",SUMIFS(DATA_GOC!$H:$H,DATA_GOC!$A:$A,"BOM",DATA_GOC!$D:$D,$B212,DATA_GOC!$F:$F,"Xuất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2" s="61" t="str">
        <f>IF($B212="","",IF(T$4&gt;DAY(EOMONTH(DATE($D$2,$B$2,1),0)),"",SUMIFS(DATA_GOC!$H:$H,DATA_GOC!$A:$A,"BOM",DATA_GOC!$D:$D,$B212,DATA_GOC!$F:$F,"Xuất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2" s="61" t="str">
        <f>IF($B212="","",IF(U$4&gt;DAY(EOMONTH(DATE($D$2,$B$2,1),0)),"",SUMIFS(DATA_GOC!$H:$H,DATA_GOC!$A:$A,"BOM",DATA_GOC!$D:$D,$B212,DATA_GOC!$F:$F,"Xuất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2" s="61" t="str">
        <f>IF($B212="","",IF(V$4&gt;DAY(EOMONTH(DATE($D$2,$B$2,1),0)),"",SUMIFS(DATA_GOC!$H:$H,DATA_GOC!$A:$A,"BOM",DATA_GOC!$D:$D,$B212,DATA_GOC!$F:$F,"Xuất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2" s="61" t="str">
        <f>IF($B212="","",IF(W$4&gt;DAY(EOMONTH(DATE($D$2,$B$2,1),0)),"",SUMIFS(DATA_GOC!$H:$H,DATA_GOC!$A:$A,"BOM",DATA_GOC!$D:$D,$B212,DATA_GOC!$F:$F,"Xuất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2" s="61" t="str">
        <f>IF($B212="","",IF(X$4&gt;DAY(EOMONTH(DATE($D$2,$B$2,1),0)),"",SUMIFS(DATA_GOC!$H:$H,DATA_GOC!$A:$A,"BOM",DATA_GOC!$D:$D,$B212,DATA_GOC!$F:$F,"Xuất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2" s="61" t="str">
        <f>IF($B212="","",IF(Y$4&gt;DAY(EOMONTH(DATE($D$2,$B$2,1),0)),"",SUMIFS(DATA_GOC!$H:$H,DATA_GOC!$A:$A,"BOM",DATA_GOC!$D:$D,$B212,DATA_GOC!$F:$F,"Xuất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2" s="61" t="str">
        <f>IF($B212="","",IF(Z$4&gt;DAY(EOMONTH(DATE($D$2,$B$2,1),0)),"",SUMIFS(DATA_GOC!$H:$H,DATA_GOC!$A:$A,"BOM",DATA_GOC!$D:$D,$B212,DATA_GOC!$F:$F,"Xuất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2" s="61" t="str">
        <f>IF($B212="","",IF(AA$4&gt;DAY(EOMONTH(DATE($D$2,$B$2,1),0)),"",SUMIFS(DATA_GOC!$H:$H,DATA_GOC!$A:$A,"BOM",DATA_GOC!$D:$D,$B212,DATA_GOC!$F:$F,"Xuất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2" s="61" t="str">
        <f>IF($B212="","",IF(AB$4&gt;DAY(EOMONTH(DATE($D$2,$B$2,1),0)),"",SUMIFS(DATA_GOC!$H:$H,DATA_GOC!$A:$A,"BOM",DATA_GOC!$D:$D,$B212,DATA_GOC!$F:$F,"Xuất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2" s="61" t="str">
        <f>IF($B212="","",IF(AC$4&gt;DAY(EOMONTH(DATE($D$2,$B$2,1),0)),"",SUMIFS(DATA_GOC!$H:$H,DATA_GOC!$A:$A,"BOM",DATA_GOC!$D:$D,$B212,DATA_GOC!$F:$F,"Xuất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2" s="222" t="str">
        <f>IF($B212="","",IF(AD$4&gt;DAY(EOMONTH(DATE($D$2,$B$2,1),0)),"",SUMIFS(DATA_GOC!$H:$H,DATA_GOC!$A:$A,"BOM",DATA_GOC!$D:$D,$B212,DATA_GOC!$F:$F,"Xuất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2" s="222" t="str">
        <f>IF($B212="","",IF(AE$4&gt;DAY(EOMONTH(DATE($D$2,$B$2,1),0)),"",SUMIFS(DATA_GOC!$H:$H,DATA_GOC!$A:$A,"BOM",DATA_GOC!$D:$D,$B212,DATA_GOC!$F:$F,"Xuất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2" s="222" t="str">
        <f>IF($B212="","",IF(AF$4&gt;DAY(EOMONTH(DATE($D$2,$B$2,1),0)),"",SUMIFS(DATA_GOC!$H:$H,DATA_GOC!$A:$A,"BOM",DATA_GOC!$D:$D,$B212,DATA_GOC!$F:$F,"Xuất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2" s="222" t="str">
        <f>IF($B212="","",IF(AG$4&gt;DAY(EOMONTH(DATE($D$2,$B$2,1),0)),"",SUMIFS(DATA_GOC!$H:$H,DATA_GOC!$A:$A,"BOM",DATA_GOC!$D:$D,$B212,DATA_GOC!$F:$F,"Xuất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2" s="222" t="str">
        <f t="shared" si="2"/>
        <v/>
      </c>
      <c r="AI212" s="222" t="str">
        <f>IF($B212="","",SUMIFS(DATA_GOC!$H:$H,DATA_GOC!$A:$A,"BOM",DATA_GOC!$D:$D,$B212,DATA_GOC!$F:$F,"Bơm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2" s="222" t="str">
        <f t="shared" si="3"/>
        <v/>
      </c>
      <c r="AM212" s="222" t="str">
        <f>IF($B212="","",SUMIFS(DATA_GOC!$K:$K,DATA_GOC!$A:$A,"BOM",DATA_GOC!$D:$D,$B212,DATA_GOC!$G:$G,"DO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2" s="222" t="str">
        <f t="shared" si="4"/>
        <v/>
      </c>
      <c r="AO212" s="227" t="str">
        <f t="shared" si="5"/>
        <v/>
      </c>
      <c r="AP212" s="226" t="str">
        <f>IF($B212="","",IFERROR(AO212-(SUMIFS(DATA_GOC!$H:$H,DATA_GOC!$A:$A,"BOM",DATA_GOC!$D:$D,$B212,DATA_GOC!$F:$F,"Xuất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3" ht="15.0" customHeight="1">
      <c r="A213" s="61" t="str">
        <f t="shared" si="1"/>
        <v/>
      </c>
      <c r="B213" s="61" t="str">
        <f t="array" ref="B213">IFERROR(INDEX(DANH_MUC!$E:$E,ROW()-1),"")</f>
        <v/>
      </c>
      <c r="C213" s="61" t="str">
        <f>IF($B213="","",IF(C$4&gt;DAY(EOMONTH(DATE($D$2,$B$2,1),0)),"",SUMIFS(DATA_GOC!$H:$H,DATA_GOC!$A:$A,"BOM",DATA_GOC!$D:$D,$B213,DATA_GOC!$F:$F,"Xuất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3" s="61" t="str">
        <f>IF($B213="","",IF(D$4&gt;DAY(EOMONTH(DATE($D$2,$B$2,1),0)),"",SUMIFS(DATA_GOC!$H:$H,DATA_GOC!$A:$A,"BOM",DATA_GOC!$D:$D,$B213,DATA_GOC!$F:$F,"Xuất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3" s="61" t="str">
        <f>IF($B213="","",IF(E$4&gt;DAY(EOMONTH(DATE($D$2,$B$2,1),0)),"",SUMIFS(DATA_GOC!$H:$H,DATA_GOC!$A:$A,"BOM",DATA_GOC!$D:$D,$B213,DATA_GOC!$F:$F,"Xuất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3" s="61" t="str">
        <f>IF($B213="","",IF(F$4&gt;DAY(EOMONTH(DATE($D$2,$B$2,1),0)),"",SUMIFS(DATA_GOC!$H:$H,DATA_GOC!$A:$A,"BOM",DATA_GOC!$D:$D,$B213,DATA_GOC!$F:$F,"Xuất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3" s="61" t="str">
        <f>IF($B213="","",IF(G$4&gt;DAY(EOMONTH(DATE($D$2,$B$2,1),0)),"",SUMIFS(DATA_GOC!$H:$H,DATA_GOC!$A:$A,"BOM",DATA_GOC!$D:$D,$B213,DATA_GOC!$F:$F,"Xuất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3" s="61" t="str">
        <f>IF($B213="","",IF(H$4&gt;DAY(EOMONTH(DATE($D$2,$B$2,1),0)),"",SUMIFS(DATA_GOC!$H:$H,DATA_GOC!$A:$A,"BOM",DATA_GOC!$D:$D,$B213,DATA_GOC!$F:$F,"Xuất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3" s="61" t="str">
        <f>IF($B213="","",IF(I$4&gt;DAY(EOMONTH(DATE($D$2,$B$2,1),0)),"",SUMIFS(DATA_GOC!$H:$H,DATA_GOC!$A:$A,"BOM",DATA_GOC!$D:$D,$B213,DATA_GOC!$F:$F,"Xuất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3" s="61" t="str">
        <f>IF($B213="","",IF(J$4&gt;DAY(EOMONTH(DATE($D$2,$B$2,1),0)),"",SUMIFS(DATA_GOC!$H:$H,DATA_GOC!$A:$A,"BOM",DATA_GOC!$D:$D,$B213,DATA_GOC!$F:$F,"Xuất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3" s="61" t="str">
        <f>IF($B213="","",IF(K$4&gt;DAY(EOMONTH(DATE($D$2,$B$2,1),0)),"",SUMIFS(DATA_GOC!$H:$H,DATA_GOC!$A:$A,"BOM",DATA_GOC!$D:$D,$B213,DATA_GOC!$F:$F,"Xuất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3" s="61" t="str">
        <f>IF($B213="","",IF(L$4&gt;DAY(EOMONTH(DATE($D$2,$B$2,1),0)),"",SUMIFS(DATA_GOC!$H:$H,DATA_GOC!$A:$A,"BOM",DATA_GOC!$D:$D,$B213,DATA_GOC!$F:$F,"Xuất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3" s="61" t="str">
        <f>IF($B213="","",IF(M$4&gt;DAY(EOMONTH(DATE($D$2,$B$2,1),0)),"",SUMIFS(DATA_GOC!$H:$H,DATA_GOC!$A:$A,"BOM",DATA_GOC!$D:$D,$B213,DATA_GOC!$F:$F,"Xuất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3" s="61" t="str">
        <f>IF($B213="","",IF(N$4&gt;DAY(EOMONTH(DATE($D$2,$B$2,1),0)),"",SUMIFS(DATA_GOC!$H:$H,DATA_GOC!$A:$A,"BOM",DATA_GOC!$D:$D,$B213,DATA_GOC!$F:$F,"Xuất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3" s="61" t="str">
        <f>IF($B213="","",IF(O$4&gt;DAY(EOMONTH(DATE($D$2,$B$2,1),0)),"",SUMIFS(DATA_GOC!$H:$H,DATA_GOC!$A:$A,"BOM",DATA_GOC!$D:$D,$B213,DATA_GOC!$F:$F,"Xuất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3" s="61" t="str">
        <f>IF($B213="","",IF(P$4&gt;DAY(EOMONTH(DATE($D$2,$B$2,1),0)),"",SUMIFS(DATA_GOC!$H:$H,DATA_GOC!$A:$A,"BOM",DATA_GOC!$D:$D,$B213,DATA_GOC!$F:$F,"Xuất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3" s="61" t="str">
        <f>IF($B213="","",IF(Q$4&gt;DAY(EOMONTH(DATE($D$2,$B$2,1),0)),"",SUMIFS(DATA_GOC!$H:$H,DATA_GOC!$A:$A,"BOM",DATA_GOC!$D:$D,$B213,DATA_GOC!$F:$F,"Xuất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3" s="61" t="str">
        <f>IF($B213="","",IF(R$4&gt;DAY(EOMONTH(DATE($D$2,$B$2,1),0)),"",SUMIFS(DATA_GOC!$H:$H,DATA_GOC!$A:$A,"BOM",DATA_GOC!$D:$D,$B213,DATA_GOC!$F:$F,"Xuất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3" s="61" t="str">
        <f>IF($B213="","",IF(S$4&gt;DAY(EOMONTH(DATE($D$2,$B$2,1),0)),"",SUMIFS(DATA_GOC!$H:$H,DATA_GOC!$A:$A,"BOM",DATA_GOC!$D:$D,$B213,DATA_GOC!$F:$F,"Xuất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3" s="61" t="str">
        <f>IF($B213="","",IF(T$4&gt;DAY(EOMONTH(DATE($D$2,$B$2,1),0)),"",SUMIFS(DATA_GOC!$H:$H,DATA_GOC!$A:$A,"BOM",DATA_GOC!$D:$D,$B213,DATA_GOC!$F:$F,"Xuất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3" s="61" t="str">
        <f>IF($B213="","",IF(U$4&gt;DAY(EOMONTH(DATE($D$2,$B$2,1),0)),"",SUMIFS(DATA_GOC!$H:$H,DATA_GOC!$A:$A,"BOM",DATA_GOC!$D:$D,$B213,DATA_GOC!$F:$F,"Xuất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3" s="61" t="str">
        <f>IF($B213="","",IF(V$4&gt;DAY(EOMONTH(DATE($D$2,$B$2,1),0)),"",SUMIFS(DATA_GOC!$H:$H,DATA_GOC!$A:$A,"BOM",DATA_GOC!$D:$D,$B213,DATA_GOC!$F:$F,"Xuất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3" s="61" t="str">
        <f>IF($B213="","",IF(W$4&gt;DAY(EOMONTH(DATE($D$2,$B$2,1),0)),"",SUMIFS(DATA_GOC!$H:$H,DATA_GOC!$A:$A,"BOM",DATA_GOC!$D:$D,$B213,DATA_GOC!$F:$F,"Xuất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3" s="61" t="str">
        <f>IF($B213="","",IF(X$4&gt;DAY(EOMONTH(DATE($D$2,$B$2,1),0)),"",SUMIFS(DATA_GOC!$H:$H,DATA_GOC!$A:$A,"BOM",DATA_GOC!$D:$D,$B213,DATA_GOC!$F:$F,"Xuất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3" s="61" t="str">
        <f>IF($B213="","",IF(Y$4&gt;DAY(EOMONTH(DATE($D$2,$B$2,1),0)),"",SUMIFS(DATA_GOC!$H:$H,DATA_GOC!$A:$A,"BOM",DATA_GOC!$D:$D,$B213,DATA_GOC!$F:$F,"Xuất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3" s="61" t="str">
        <f>IF($B213="","",IF(Z$4&gt;DAY(EOMONTH(DATE($D$2,$B$2,1),0)),"",SUMIFS(DATA_GOC!$H:$H,DATA_GOC!$A:$A,"BOM",DATA_GOC!$D:$D,$B213,DATA_GOC!$F:$F,"Xuất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3" s="61" t="str">
        <f>IF($B213="","",IF(AA$4&gt;DAY(EOMONTH(DATE($D$2,$B$2,1),0)),"",SUMIFS(DATA_GOC!$H:$H,DATA_GOC!$A:$A,"BOM",DATA_GOC!$D:$D,$B213,DATA_GOC!$F:$F,"Xuất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3" s="61" t="str">
        <f>IF($B213="","",IF(AB$4&gt;DAY(EOMONTH(DATE($D$2,$B$2,1),0)),"",SUMIFS(DATA_GOC!$H:$H,DATA_GOC!$A:$A,"BOM",DATA_GOC!$D:$D,$B213,DATA_GOC!$F:$F,"Xuất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3" s="61" t="str">
        <f>IF($B213="","",IF(AC$4&gt;DAY(EOMONTH(DATE($D$2,$B$2,1),0)),"",SUMIFS(DATA_GOC!$H:$H,DATA_GOC!$A:$A,"BOM",DATA_GOC!$D:$D,$B213,DATA_GOC!$F:$F,"Xuất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3" s="222" t="str">
        <f>IF($B213="","",IF(AD$4&gt;DAY(EOMONTH(DATE($D$2,$B$2,1),0)),"",SUMIFS(DATA_GOC!$H:$H,DATA_GOC!$A:$A,"BOM",DATA_GOC!$D:$D,$B213,DATA_GOC!$F:$F,"Xuất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3" s="222" t="str">
        <f>IF($B213="","",IF(AE$4&gt;DAY(EOMONTH(DATE($D$2,$B$2,1),0)),"",SUMIFS(DATA_GOC!$H:$H,DATA_GOC!$A:$A,"BOM",DATA_GOC!$D:$D,$B213,DATA_GOC!$F:$F,"Xuất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3" s="222" t="str">
        <f>IF($B213="","",IF(AF$4&gt;DAY(EOMONTH(DATE($D$2,$B$2,1),0)),"",SUMIFS(DATA_GOC!$H:$H,DATA_GOC!$A:$A,"BOM",DATA_GOC!$D:$D,$B213,DATA_GOC!$F:$F,"Xuất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3" s="222" t="str">
        <f>IF($B213="","",IF(AG$4&gt;DAY(EOMONTH(DATE($D$2,$B$2,1),0)),"",SUMIFS(DATA_GOC!$H:$H,DATA_GOC!$A:$A,"BOM",DATA_GOC!$D:$D,$B213,DATA_GOC!$F:$F,"Xuất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3" s="222" t="str">
        <f t="shared" si="2"/>
        <v/>
      </c>
      <c r="AI213" s="222" t="str">
        <f>IF($B213="","",SUMIFS(DATA_GOC!$H:$H,DATA_GOC!$A:$A,"BOM",DATA_GOC!$D:$D,$B213,DATA_GOC!$F:$F,"Bơm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3" s="222" t="str">
        <f t="shared" si="3"/>
        <v/>
      </c>
      <c r="AM213" s="222" t="str">
        <f>IF($B213="","",SUMIFS(DATA_GOC!$K:$K,DATA_GOC!$A:$A,"BOM",DATA_GOC!$D:$D,$B213,DATA_GOC!$G:$G,"DO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3" s="222" t="str">
        <f t="shared" si="4"/>
        <v/>
      </c>
      <c r="AO213" s="227" t="str">
        <f t="shared" si="5"/>
        <v/>
      </c>
      <c r="AP213" s="226" t="str">
        <f>IF($B213="","",IFERROR(AO213-(SUMIFS(DATA_GOC!$H:$H,DATA_GOC!$A:$A,"BOM",DATA_GOC!$D:$D,$B213,DATA_GOC!$F:$F,"Xuất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4" ht="15.0" customHeight="1">
      <c r="A214" s="61" t="str">
        <f t="shared" si="1"/>
        <v/>
      </c>
      <c r="B214" s="61" t="str">
        <f t="array" ref="B214">IFERROR(INDEX(DANH_MUC!$E:$E,ROW()-1),"")</f>
        <v/>
      </c>
      <c r="C214" s="61" t="str">
        <f>IF($B214="","",IF(C$4&gt;DAY(EOMONTH(DATE($D$2,$B$2,1),0)),"",SUMIFS(DATA_GOC!$H:$H,DATA_GOC!$A:$A,"BOM",DATA_GOC!$D:$D,$B214,DATA_GOC!$F:$F,"Xuất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4" s="61" t="str">
        <f>IF($B214="","",IF(D$4&gt;DAY(EOMONTH(DATE($D$2,$B$2,1),0)),"",SUMIFS(DATA_GOC!$H:$H,DATA_GOC!$A:$A,"BOM",DATA_GOC!$D:$D,$B214,DATA_GOC!$F:$F,"Xuất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4" s="61" t="str">
        <f>IF($B214="","",IF(E$4&gt;DAY(EOMONTH(DATE($D$2,$B$2,1),0)),"",SUMIFS(DATA_GOC!$H:$H,DATA_GOC!$A:$A,"BOM",DATA_GOC!$D:$D,$B214,DATA_GOC!$F:$F,"Xuất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4" s="61" t="str">
        <f>IF($B214="","",IF(F$4&gt;DAY(EOMONTH(DATE($D$2,$B$2,1),0)),"",SUMIFS(DATA_GOC!$H:$H,DATA_GOC!$A:$A,"BOM",DATA_GOC!$D:$D,$B214,DATA_GOC!$F:$F,"Xuất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4" s="61" t="str">
        <f>IF($B214="","",IF(G$4&gt;DAY(EOMONTH(DATE($D$2,$B$2,1),0)),"",SUMIFS(DATA_GOC!$H:$H,DATA_GOC!$A:$A,"BOM",DATA_GOC!$D:$D,$B214,DATA_GOC!$F:$F,"Xuất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4" s="61" t="str">
        <f>IF($B214="","",IF(H$4&gt;DAY(EOMONTH(DATE($D$2,$B$2,1),0)),"",SUMIFS(DATA_GOC!$H:$H,DATA_GOC!$A:$A,"BOM",DATA_GOC!$D:$D,$B214,DATA_GOC!$F:$F,"Xuất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4" s="61" t="str">
        <f>IF($B214="","",IF(I$4&gt;DAY(EOMONTH(DATE($D$2,$B$2,1),0)),"",SUMIFS(DATA_GOC!$H:$H,DATA_GOC!$A:$A,"BOM",DATA_GOC!$D:$D,$B214,DATA_GOC!$F:$F,"Xuất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4" s="61" t="str">
        <f>IF($B214="","",IF(J$4&gt;DAY(EOMONTH(DATE($D$2,$B$2,1),0)),"",SUMIFS(DATA_GOC!$H:$H,DATA_GOC!$A:$A,"BOM",DATA_GOC!$D:$D,$B214,DATA_GOC!$F:$F,"Xuất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4" s="61" t="str">
        <f>IF($B214="","",IF(K$4&gt;DAY(EOMONTH(DATE($D$2,$B$2,1),0)),"",SUMIFS(DATA_GOC!$H:$H,DATA_GOC!$A:$A,"BOM",DATA_GOC!$D:$D,$B214,DATA_GOC!$F:$F,"Xuất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4" s="61" t="str">
        <f>IF($B214="","",IF(L$4&gt;DAY(EOMONTH(DATE($D$2,$B$2,1),0)),"",SUMIFS(DATA_GOC!$H:$H,DATA_GOC!$A:$A,"BOM",DATA_GOC!$D:$D,$B214,DATA_GOC!$F:$F,"Xuất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4" s="61" t="str">
        <f>IF($B214="","",IF(M$4&gt;DAY(EOMONTH(DATE($D$2,$B$2,1),0)),"",SUMIFS(DATA_GOC!$H:$H,DATA_GOC!$A:$A,"BOM",DATA_GOC!$D:$D,$B214,DATA_GOC!$F:$F,"Xuất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4" s="61" t="str">
        <f>IF($B214="","",IF(N$4&gt;DAY(EOMONTH(DATE($D$2,$B$2,1),0)),"",SUMIFS(DATA_GOC!$H:$H,DATA_GOC!$A:$A,"BOM",DATA_GOC!$D:$D,$B214,DATA_GOC!$F:$F,"Xuất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4" s="61" t="str">
        <f>IF($B214="","",IF(O$4&gt;DAY(EOMONTH(DATE($D$2,$B$2,1),0)),"",SUMIFS(DATA_GOC!$H:$H,DATA_GOC!$A:$A,"BOM",DATA_GOC!$D:$D,$B214,DATA_GOC!$F:$F,"Xuất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4" s="61" t="str">
        <f>IF($B214="","",IF(P$4&gt;DAY(EOMONTH(DATE($D$2,$B$2,1),0)),"",SUMIFS(DATA_GOC!$H:$H,DATA_GOC!$A:$A,"BOM",DATA_GOC!$D:$D,$B214,DATA_GOC!$F:$F,"Xuất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4" s="61" t="str">
        <f>IF($B214="","",IF(Q$4&gt;DAY(EOMONTH(DATE($D$2,$B$2,1),0)),"",SUMIFS(DATA_GOC!$H:$H,DATA_GOC!$A:$A,"BOM",DATA_GOC!$D:$D,$B214,DATA_GOC!$F:$F,"Xuất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4" s="61" t="str">
        <f>IF($B214="","",IF(R$4&gt;DAY(EOMONTH(DATE($D$2,$B$2,1),0)),"",SUMIFS(DATA_GOC!$H:$H,DATA_GOC!$A:$A,"BOM",DATA_GOC!$D:$D,$B214,DATA_GOC!$F:$F,"Xuất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4" s="61" t="str">
        <f>IF($B214="","",IF(S$4&gt;DAY(EOMONTH(DATE($D$2,$B$2,1),0)),"",SUMIFS(DATA_GOC!$H:$H,DATA_GOC!$A:$A,"BOM",DATA_GOC!$D:$D,$B214,DATA_GOC!$F:$F,"Xuất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4" s="61" t="str">
        <f>IF($B214="","",IF(T$4&gt;DAY(EOMONTH(DATE($D$2,$B$2,1),0)),"",SUMIFS(DATA_GOC!$H:$H,DATA_GOC!$A:$A,"BOM",DATA_GOC!$D:$D,$B214,DATA_GOC!$F:$F,"Xuất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4" s="61" t="str">
        <f>IF($B214="","",IF(U$4&gt;DAY(EOMONTH(DATE($D$2,$B$2,1),0)),"",SUMIFS(DATA_GOC!$H:$H,DATA_GOC!$A:$A,"BOM",DATA_GOC!$D:$D,$B214,DATA_GOC!$F:$F,"Xuất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4" s="61" t="str">
        <f>IF($B214="","",IF(V$4&gt;DAY(EOMONTH(DATE($D$2,$B$2,1),0)),"",SUMIFS(DATA_GOC!$H:$H,DATA_GOC!$A:$A,"BOM",DATA_GOC!$D:$D,$B214,DATA_GOC!$F:$F,"Xuất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4" s="61" t="str">
        <f>IF($B214="","",IF(W$4&gt;DAY(EOMONTH(DATE($D$2,$B$2,1),0)),"",SUMIFS(DATA_GOC!$H:$H,DATA_GOC!$A:$A,"BOM",DATA_GOC!$D:$D,$B214,DATA_GOC!$F:$F,"Xuất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4" s="61" t="str">
        <f>IF($B214="","",IF(X$4&gt;DAY(EOMONTH(DATE($D$2,$B$2,1),0)),"",SUMIFS(DATA_GOC!$H:$H,DATA_GOC!$A:$A,"BOM",DATA_GOC!$D:$D,$B214,DATA_GOC!$F:$F,"Xuất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4" s="61" t="str">
        <f>IF($B214="","",IF(Y$4&gt;DAY(EOMONTH(DATE($D$2,$B$2,1),0)),"",SUMIFS(DATA_GOC!$H:$H,DATA_GOC!$A:$A,"BOM",DATA_GOC!$D:$D,$B214,DATA_GOC!$F:$F,"Xuất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4" s="61" t="str">
        <f>IF($B214="","",IF(Z$4&gt;DAY(EOMONTH(DATE($D$2,$B$2,1),0)),"",SUMIFS(DATA_GOC!$H:$H,DATA_GOC!$A:$A,"BOM",DATA_GOC!$D:$D,$B214,DATA_GOC!$F:$F,"Xuất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4" s="61" t="str">
        <f>IF($B214="","",IF(AA$4&gt;DAY(EOMONTH(DATE($D$2,$B$2,1),0)),"",SUMIFS(DATA_GOC!$H:$H,DATA_GOC!$A:$A,"BOM",DATA_GOC!$D:$D,$B214,DATA_GOC!$F:$F,"Xuất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4" s="61" t="str">
        <f>IF($B214="","",IF(AB$4&gt;DAY(EOMONTH(DATE($D$2,$B$2,1),0)),"",SUMIFS(DATA_GOC!$H:$H,DATA_GOC!$A:$A,"BOM",DATA_GOC!$D:$D,$B214,DATA_GOC!$F:$F,"Xuất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4" s="61" t="str">
        <f>IF($B214="","",IF(AC$4&gt;DAY(EOMONTH(DATE($D$2,$B$2,1),0)),"",SUMIFS(DATA_GOC!$H:$H,DATA_GOC!$A:$A,"BOM",DATA_GOC!$D:$D,$B214,DATA_GOC!$F:$F,"Xuất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4" s="222" t="str">
        <f>IF($B214="","",IF(AD$4&gt;DAY(EOMONTH(DATE($D$2,$B$2,1),0)),"",SUMIFS(DATA_GOC!$H:$H,DATA_GOC!$A:$A,"BOM",DATA_GOC!$D:$D,$B214,DATA_GOC!$F:$F,"Xuất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4" s="222" t="str">
        <f>IF($B214="","",IF(AE$4&gt;DAY(EOMONTH(DATE($D$2,$B$2,1),0)),"",SUMIFS(DATA_GOC!$H:$H,DATA_GOC!$A:$A,"BOM",DATA_GOC!$D:$D,$B214,DATA_GOC!$F:$F,"Xuất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4" s="222" t="str">
        <f>IF($B214="","",IF(AF$4&gt;DAY(EOMONTH(DATE($D$2,$B$2,1),0)),"",SUMIFS(DATA_GOC!$H:$H,DATA_GOC!$A:$A,"BOM",DATA_GOC!$D:$D,$B214,DATA_GOC!$F:$F,"Xuất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4" s="222" t="str">
        <f>IF($B214="","",IF(AG$4&gt;DAY(EOMONTH(DATE($D$2,$B$2,1),0)),"",SUMIFS(DATA_GOC!$H:$H,DATA_GOC!$A:$A,"BOM",DATA_GOC!$D:$D,$B214,DATA_GOC!$F:$F,"Xuất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4" s="222" t="str">
        <f t="shared" si="2"/>
        <v/>
      </c>
      <c r="AI214" s="222" t="str">
        <f>IF($B214="","",SUMIFS(DATA_GOC!$H:$H,DATA_GOC!$A:$A,"BOM",DATA_GOC!$D:$D,$B214,DATA_GOC!$F:$F,"Bơm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4" s="222" t="str">
        <f t="shared" si="3"/>
        <v/>
      </c>
      <c r="AM214" s="222" t="str">
        <f>IF($B214="","",SUMIFS(DATA_GOC!$K:$K,DATA_GOC!$A:$A,"BOM",DATA_GOC!$D:$D,$B214,DATA_GOC!$G:$G,"DO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4" s="222" t="str">
        <f t="shared" si="4"/>
        <v/>
      </c>
      <c r="AO214" s="227" t="str">
        <f t="shared" si="5"/>
        <v/>
      </c>
      <c r="AP214" s="226" t="str">
        <f>IF($B214="","",IFERROR(AO214-(SUMIFS(DATA_GOC!$H:$H,DATA_GOC!$A:$A,"BOM",DATA_GOC!$D:$D,$B214,DATA_GOC!$F:$F,"Xuất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5" ht="15.0" customHeight="1">
      <c r="A215" s="61" t="str">
        <f t="shared" si="1"/>
        <v/>
      </c>
      <c r="B215" s="61" t="str">
        <f t="array" ref="B215">IFERROR(INDEX(DANH_MUC!$E:$E,ROW()-1),"")</f>
        <v/>
      </c>
      <c r="C215" s="61" t="str">
        <f>IF($B215="","",IF(C$4&gt;DAY(EOMONTH(DATE($D$2,$B$2,1),0)),"",SUMIFS(DATA_GOC!$H:$H,DATA_GOC!$A:$A,"BOM",DATA_GOC!$D:$D,$B215,DATA_GOC!$F:$F,"Xuất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5" s="61" t="str">
        <f>IF($B215="","",IF(D$4&gt;DAY(EOMONTH(DATE($D$2,$B$2,1),0)),"",SUMIFS(DATA_GOC!$H:$H,DATA_GOC!$A:$A,"BOM",DATA_GOC!$D:$D,$B215,DATA_GOC!$F:$F,"Xuất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5" s="61" t="str">
        <f>IF($B215="","",IF(E$4&gt;DAY(EOMONTH(DATE($D$2,$B$2,1),0)),"",SUMIFS(DATA_GOC!$H:$H,DATA_GOC!$A:$A,"BOM",DATA_GOC!$D:$D,$B215,DATA_GOC!$F:$F,"Xuất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5" s="61" t="str">
        <f>IF($B215="","",IF(F$4&gt;DAY(EOMONTH(DATE($D$2,$B$2,1),0)),"",SUMIFS(DATA_GOC!$H:$H,DATA_GOC!$A:$A,"BOM",DATA_GOC!$D:$D,$B215,DATA_GOC!$F:$F,"Xuất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5" s="61" t="str">
        <f>IF($B215="","",IF(G$4&gt;DAY(EOMONTH(DATE($D$2,$B$2,1),0)),"",SUMIFS(DATA_GOC!$H:$H,DATA_GOC!$A:$A,"BOM",DATA_GOC!$D:$D,$B215,DATA_GOC!$F:$F,"Xuất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5" s="61" t="str">
        <f>IF($B215="","",IF(H$4&gt;DAY(EOMONTH(DATE($D$2,$B$2,1),0)),"",SUMIFS(DATA_GOC!$H:$H,DATA_GOC!$A:$A,"BOM",DATA_GOC!$D:$D,$B215,DATA_GOC!$F:$F,"Xuất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5" s="61" t="str">
        <f>IF($B215="","",IF(I$4&gt;DAY(EOMONTH(DATE($D$2,$B$2,1),0)),"",SUMIFS(DATA_GOC!$H:$H,DATA_GOC!$A:$A,"BOM",DATA_GOC!$D:$D,$B215,DATA_GOC!$F:$F,"Xuất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5" s="61" t="str">
        <f>IF($B215="","",IF(J$4&gt;DAY(EOMONTH(DATE($D$2,$B$2,1),0)),"",SUMIFS(DATA_GOC!$H:$H,DATA_GOC!$A:$A,"BOM",DATA_GOC!$D:$D,$B215,DATA_GOC!$F:$F,"Xuất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5" s="61" t="str">
        <f>IF($B215="","",IF(K$4&gt;DAY(EOMONTH(DATE($D$2,$B$2,1),0)),"",SUMIFS(DATA_GOC!$H:$H,DATA_GOC!$A:$A,"BOM",DATA_GOC!$D:$D,$B215,DATA_GOC!$F:$F,"Xuất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5" s="61" t="str">
        <f>IF($B215="","",IF(L$4&gt;DAY(EOMONTH(DATE($D$2,$B$2,1),0)),"",SUMIFS(DATA_GOC!$H:$H,DATA_GOC!$A:$A,"BOM",DATA_GOC!$D:$D,$B215,DATA_GOC!$F:$F,"Xuất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5" s="61" t="str">
        <f>IF($B215="","",IF(M$4&gt;DAY(EOMONTH(DATE($D$2,$B$2,1),0)),"",SUMIFS(DATA_GOC!$H:$H,DATA_GOC!$A:$A,"BOM",DATA_GOC!$D:$D,$B215,DATA_GOC!$F:$F,"Xuất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5" s="61" t="str">
        <f>IF($B215="","",IF(N$4&gt;DAY(EOMONTH(DATE($D$2,$B$2,1),0)),"",SUMIFS(DATA_GOC!$H:$H,DATA_GOC!$A:$A,"BOM",DATA_GOC!$D:$D,$B215,DATA_GOC!$F:$F,"Xuất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5" s="61" t="str">
        <f>IF($B215="","",IF(O$4&gt;DAY(EOMONTH(DATE($D$2,$B$2,1),0)),"",SUMIFS(DATA_GOC!$H:$H,DATA_GOC!$A:$A,"BOM",DATA_GOC!$D:$D,$B215,DATA_GOC!$F:$F,"Xuất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5" s="61" t="str">
        <f>IF($B215="","",IF(P$4&gt;DAY(EOMONTH(DATE($D$2,$B$2,1),0)),"",SUMIFS(DATA_GOC!$H:$H,DATA_GOC!$A:$A,"BOM",DATA_GOC!$D:$D,$B215,DATA_GOC!$F:$F,"Xuất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5" s="61" t="str">
        <f>IF($B215="","",IF(Q$4&gt;DAY(EOMONTH(DATE($D$2,$B$2,1),0)),"",SUMIFS(DATA_GOC!$H:$H,DATA_GOC!$A:$A,"BOM",DATA_GOC!$D:$D,$B215,DATA_GOC!$F:$F,"Xuất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5" s="61" t="str">
        <f>IF($B215="","",IF(R$4&gt;DAY(EOMONTH(DATE($D$2,$B$2,1),0)),"",SUMIFS(DATA_GOC!$H:$H,DATA_GOC!$A:$A,"BOM",DATA_GOC!$D:$D,$B215,DATA_GOC!$F:$F,"Xuất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5" s="61" t="str">
        <f>IF($B215="","",IF(S$4&gt;DAY(EOMONTH(DATE($D$2,$B$2,1),0)),"",SUMIFS(DATA_GOC!$H:$H,DATA_GOC!$A:$A,"BOM",DATA_GOC!$D:$D,$B215,DATA_GOC!$F:$F,"Xuất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5" s="61" t="str">
        <f>IF($B215="","",IF(T$4&gt;DAY(EOMONTH(DATE($D$2,$B$2,1),0)),"",SUMIFS(DATA_GOC!$H:$H,DATA_GOC!$A:$A,"BOM",DATA_GOC!$D:$D,$B215,DATA_GOC!$F:$F,"Xuất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5" s="61" t="str">
        <f>IF($B215="","",IF(U$4&gt;DAY(EOMONTH(DATE($D$2,$B$2,1),0)),"",SUMIFS(DATA_GOC!$H:$H,DATA_GOC!$A:$A,"BOM",DATA_GOC!$D:$D,$B215,DATA_GOC!$F:$F,"Xuất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5" s="61" t="str">
        <f>IF($B215="","",IF(V$4&gt;DAY(EOMONTH(DATE($D$2,$B$2,1),0)),"",SUMIFS(DATA_GOC!$H:$H,DATA_GOC!$A:$A,"BOM",DATA_GOC!$D:$D,$B215,DATA_GOC!$F:$F,"Xuất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5" s="61" t="str">
        <f>IF($B215="","",IF(W$4&gt;DAY(EOMONTH(DATE($D$2,$B$2,1),0)),"",SUMIFS(DATA_GOC!$H:$H,DATA_GOC!$A:$A,"BOM",DATA_GOC!$D:$D,$B215,DATA_GOC!$F:$F,"Xuất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5" s="61" t="str">
        <f>IF($B215="","",IF(X$4&gt;DAY(EOMONTH(DATE($D$2,$B$2,1),0)),"",SUMIFS(DATA_GOC!$H:$H,DATA_GOC!$A:$A,"BOM",DATA_GOC!$D:$D,$B215,DATA_GOC!$F:$F,"Xuất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5" s="61" t="str">
        <f>IF($B215="","",IF(Y$4&gt;DAY(EOMONTH(DATE($D$2,$B$2,1),0)),"",SUMIFS(DATA_GOC!$H:$H,DATA_GOC!$A:$A,"BOM",DATA_GOC!$D:$D,$B215,DATA_GOC!$F:$F,"Xuất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5" s="61" t="str">
        <f>IF($B215="","",IF(Z$4&gt;DAY(EOMONTH(DATE($D$2,$B$2,1),0)),"",SUMIFS(DATA_GOC!$H:$H,DATA_GOC!$A:$A,"BOM",DATA_GOC!$D:$D,$B215,DATA_GOC!$F:$F,"Xuất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5" s="61" t="str">
        <f>IF($B215="","",IF(AA$4&gt;DAY(EOMONTH(DATE($D$2,$B$2,1),0)),"",SUMIFS(DATA_GOC!$H:$H,DATA_GOC!$A:$A,"BOM",DATA_GOC!$D:$D,$B215,DATA_GOC!$F:$F,"Xuất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5" s="61" t="str">
        <f>IF($B215="","",IF(AB$4&gt;DAY(EOMONTH(DATE($D$2,$B$2,1),0)),"",SUMIFS(DATA_GOC!$H:$H,DATA_GOC!$A:$A,"BOM",DATA_GOC!$D:$D,$B215,DATA_GOC!$F:$F,"Xuất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5" s="61" t="str">
        <f>IF($B215="","",IF(AC$4&gt;DAY(EOMONTH(DATE($D$2,$B$2,1),0)),"",SUMIFS(DATA_GOC!$H:$H,DATA_GOC!$A:$A,"BOM",DATA_GOC!$D:$D,$B215,DATA_GOC!$F:$F,"Xuất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5" s="222" t="str">
        <f>IF($B215="","",IF(AD$4&gt;DAY(EOMONTH(DATE($D$2,$B$2,1),0)),"",SUMIFS(DATA_GOC!$H:$H,DATA_GOC!$A:$A,"BOM",DATA_GOC!$D:$D,$B215,DATA_GOC!$F:$F,"Xuất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5" s="222" t="str">
        <f>IF($B215="","",IF(AE$4&gt;DAY(EOMONTH(DATE($D$2,$B$2,1),0)),"",SUMIFS(DATA_GOC!$H:$H,DATA_GOC!$A:$A,"BOM",DATA_GOC!$D:$D,$B215,DATA_GOC!$F:$F,"Xuất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5" s="222" t="str">
        <f>IF($B215="","",IF(AF$4&gt;DAY(EOMONTH(DATE($D$2,$B$2,1),0)),"",SUMIFS(DATA_GOC!$H:$H,DATA_GOC!$A:$A,"BOM",DATA_GOC!$D:$D,$B215,DATA_GOC!$F:$F,"Xuất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5" s="222" t="str">
        <f>IF($B215="","",IF(AG$4&gt;DAY(EOMONTH(DATE($D$2,$B$2,1),0)),"",SUMIFS(DATA_GOC!$H:$H,DATA_GOC!$A:$A,"BOM",DATA_GOC!$D:$D,$B215,DATA_GOC!$F:$F,"Xuất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5" s="222" t="str">
        <f t="shared" si="2"/>
        <v/>
      </c>
      <c r="AI215" s="222" t="str">
        <f>IF($B215="","",SUMIFS(DATA_GOC!$H:$H,DATA_GOC!$A:$A,"BOM",DATA_GOC!$D:$D,$B215,DATA_GOC!$F:$F,"Bơm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5" s="222" t="str">
        <f t="shared" si="3"/>
        <v/>
      </c>
      <c r="AM215" s="222" t="str">
        <f>IF($B215="","",SUMIFS(DATA_GOC!$K:$K,DATA_GOC!$A:$A,"BOM",DATA_GOC!$D:$D,$B215,DATA_GOC!$G:$G,"DO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5" s="222" t="str">
        <f t="shared" si="4"/>
        <v/>
      </c>
      <c r="AO215" s="227" t="str">
        <f t="shared" si="5"/>
        <v/>
      </c>
      <c r="AP215" s="226" t="str">
        <f>IF($B215="","",IFERROR(AO215-(SUMIFS(DATA_GOC!$H:$H,DATA_GOC!$A:$A,"BOM",DATA_GOC!$D:$D,$B215,DATA_GOC!$F:$F,"Xuất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6" ht="15.0" customHeight="1">
      <c r="A216" s="61" t="str">
        <f t="shared" si="1"/>
        <v/>
      </c>
      <c r="B216" s="61" t="str">
        <f t="array" ref="B216">IFERROR(INDEX(DANH_MUC!$E:$E,ROW()-1),"")</f>
        <v/>
      </c>
      <c r="C216" s="61" t="str">
        <f>IF($B216="","",IF(C$4&gt;DAY(EOMONTH(DATE($D$2,$B$2,1),0)),"",SUMIFS(DATA_GOC!$H:$H,DATA_GOC!$A:$A,"BOM",DATA_GOC!$D:$D,$B216,DATA_GOC!$F:$F,"Xuất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6" s="61" t="str">
        <f>IF($B216="","",IF(D$4&gt;DAY(EOMONTH(DATE($D$2,$B$2,1),0)),"",SUMIFS(DATA_GOC!$H:$H,DATA_GOC!$A:$A,"BOM",DATA_GOC!$D:$D,$B216,DATA_GOC!$F:$F,"Xuất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6" s="61" t="str">
        <f>IF($B216="","",IF(E$4&gt;DAY(EOMONTH(DATE($D$2,$B$2,1),0)),"",SUMIFS(DATA_GOC!$H:$H,DATA_GOC!$A:$A,"BOM",DATA_GOC!$D:$D,$B216,DATA_GOC!$F:$F,"Xuất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6" s="61" t="str">
        <f>IF($B216="","",IF(F$4&gt;DAY(EOMONTH(DATE($D$2,$B$2,1),0)),"",SUMIFS(DATA_GOC!$H:$H,DATA_GOC!$A:$A,"BOM",DATA_GOC!$D:$D,$B216,DATA_GOC!$F:$F,"Xuất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6" s="61" t="str">
        <f>IF($B216="","",IF(G$4&gt;DAY(EOMONTH(DATE($D$2,$B$2,1),0)),"",SUMIFS(DATA_GOC!$H:$H,DATA_GOC!$A:$A,"BOM",DATA_GOC!$D:$D,$B216,DATA_GOC!$F:$F,"Xuất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6" s="61" t="str">
        <f>IF($B216="","",IF(H$4&gt;DAY(EOMONTH(DATE($D$2,$B$2,1),0)),"",SUMIFS(DATA_GOC!$H:$H,DATA_GOC!$A:$A,"BOM",DATA_GOC!$D:$D,$B216,DATA_GOC!$F:$F,"Xuất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6" s="61" t="str">
        <f>IF($B216="","",IF(I$4&gt;DAY(EOMONTH(DATE($D$2,$B$2,1),0)),"",SUMIFS(DATA_GOC!$H:$H,DATA_GOC!$A:$A,"BOM",DATA_GOC!$D:$D,$B216,DATA_GOC!$F:$F,"Xuất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6" s="61" t="str">
        <f>IF($B216="","",IF(J$4&gt;DAY(EOMONTH(DATE($D$2,$B$2,1),0)),"",SUMIFS(DATA_GOC!$H:$H,DATA_GOC!$A:$A,"BOM",DATA_GOC!$D:$D,$B216,DATA_GOC!$F:$F,"Xuất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6" s="61" t="str">
        <f>IF($B216="","",IF(K$4&gt;DAY(EOMONTH(DATE($D$2,$B$2,1),0)),"",SUMIFS(DATA_GOC!$H:$H,DATA_GOC!$A:$A,"BOM",DATA_GOC!$D:$D,$B216,DATA_GOC!$F:$F,"Xuất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6" s="61" t="str">
        <f>IF($B216="","",IF(L$4&gt;DAY(EOMONTH(DATE($D$2,$B$2,1),0)),"",SUMIFS(DATA_GOC!$H:$H,DATA_GOC!$A:$A,"BOM",DATA_GOC!$D:$D,$B216,DATA_GOC!$F:$F,"Xuất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6" s="61" t="str">
        <f>IF($B216="","",IF(M$4&gt;DAY(EOMONTH(DATE($D$2,$B$2,1),0)),"",SUMIFS(DATA_GOC!$H:$H,DATA_GOC!$A:$A,"BOM",DATA_GOC!$D:$D,$B216,DATA_GOC!$F:$F,"Xuất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6" s="61" t="str">
        <f>IF($B216="","",IF(N$4&gt;DAY(EOMONTH(DATE($D$2,$B$2,1),0)),"",SUMIFS(DATA_GOC!$H:$H,DATA_GOC!$A:$A,"BOM",DATA_GOC!$D:$D,$B216,DATA_GOC!$F:$F,"Xuất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6" s="61" t="str">
        <f>IF($B216="","",IF(O$4&gt;DAY(EOMONTH(DATE($D$2,$B$2,1),0)),"",SUMIFS(DATA_GOC!$H:$H,DATA_GOC!$A:$A,"BOM",DATA_GOC!$D:$D,$B216,DATA_GOC!$F:$F,"Xuất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6" s="61" t="str">
        <f>IF($B216="","",IF(P$4&gt;DAY(EOMONTH(DATE($D$2,$B$2,1),0)),"",SUMIFS(DATA_GOC!$H:$H,DATA_GOC!$A:$A,"BOM",DATA_GOC!$D:$D,$B216,DATA_GOC!$F:$F,"Xuất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6" s="61" t="str">
        <f>IF($B216="","",IF(Q$4&gt;DAY(EOMONTH(DATE($D$2,$B$2,1),0)),"",SUMIFS(DATA_GOC!$H:$H,DATA_GOC!$A:$A,"BOM",DATA_GOC!$D:$D,$B216,DATA_GOC!$F:$F,"Xuất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6" s="61" t="str">
        <f>IF($B216="","",IF(R$4&gt;DAY(EOMONTH(DATE($D$2,$B$2,1),0)),"",SUMIFS(DATA_GOC!$H:$H,DATA_GOC!$A:$A,"BOM",DATA_GOC!$D:$D,$B216,DATA_GOC!$F:$F,"Xuất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6" s="61" t="str">
        <f>IF($B216="","",IF(S$4&gt;DAY(EOMONTH(DATE($D$2,$B$2,1),0)),"",SUMIFS(DATA_GOC!$H:$H,DATA_GOC!$A:$A,"BOM",DATA_GOC!$D:$D,$B216,DATA_GOC!$F:$F,"Xuất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6" s="61" t="str">
        <f>IF($B216="","",IF(T$4&gt;DAY(EOMONTH(DATE($D$2,$B$2,1),0)),"",SUMIFS(DATA_GOC!$H:$H,DATA_GOC!$A:$A,"BOM",DATA_GOC!$D:$D,$B216,DATA_GOC!$F:$F,"Xuất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6" s="61" t="str">
        <f>IF($B216="","",IF(U$4&gt;DAY(EOMONTH(DATE($D$2,$B$2,1),0)),"",SUMIFS(DATA_GOC!$H:$H,DATA_GOC!$A:$A,"BOM",DATA_GOC!$D:$D,$B216,DATA_GOC!$F:$F,"Xuất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6" s="61" t="str">
        <f>IF($B216="","",IF(V$4&gt;DAY(EOMONTH(DATE($D$2,$B$2,1),0)),"",SUMIFS(DATA_GOC!$H:$H,DATA_GOC!$A:$A,"BOM",DATA_GOC!$D:$D,$B216,DATA_GOC!$F:$F,"Xuất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6" s="61" t="str">
        <f>IF($B216="","",IF(W$4&gt;DAY(EOMONTH(DATE($D$2,$B$2,1),0)),"",SUMIFS(DATA_GOC!$H:$H,DATA_GOC!$A:$A,"BOM",DATA_GOC!$D:$D,$B216,DATA_GOC!$F:$F,"Xuất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6" s="61" t="str">
        <f>IF($B216="","",IF(X$4&gt;DAY(EOMONTH(DATE($D$2,$B$2,1),0)),"",SUMIFS(DATA_GOC!$H:$H,DATA_GOC!$A:$A,"BOM",DATA_GOC!$D:$D,$B216,DATA_GOC!$F:$F,"Xuất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6" s="61" t="str">
        <f>IF($B216="","",IF(Y$4&gt;DAY(EOMONTH(DATE($D$2,$B$2,1),0)),"",SUMIFS(DATA_GOC!$H:$H,DATA_GOC!$A:$A,"BOM",DATA_GOC!$D:$D,$B216,DATA_GOC!$F:$F,"Xuất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6" s="61" t="str">
        <f>IF($B216="","",IF(Z$4&gt;DAY(EOMONTH(DATE($D$2,$B$2,1),0)),"",SUMIFS(DATA_GOC!$H:$H,DATA_GOC!$A:$A,"BOM",DATA_GOC!$D:$D,$B216,DATA_GOC!$F:$F,"Xuất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6" s="61" t="str">
        <f>IF($B216="","",IF(AA$4&gt;DAY(EOMONTH(DATE($D$2,$B$2,1),0)),"",SUMIFS(DATA_GOC!$H:$H,DATA_GOC!$A:$A,"BOM",DATA_GOC!$D:$D,$B216,DATA_GOC!$F:$F,"Xuất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6" s="61" t="str">
        <f>IF($B216="","",IF(AB$4&gt;DAY(EOMONTH(DATE($D$2,$B$2,1),0)),"",SUMIFS(DATA_GOC!$H:$H,DATA_GOC!$A:$A,"BOM",DATA_GOC!$D:$D,$B216,DATA_GOC!$F:$F,"Xuất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6" s="61" t="str">
        <f>IF($B216="","",IF(AC$4&gt;DAY(EOMONTH(DATE($D$2,$B$2,1),0)),"",SUMIFS(DATA_GOC!$H:$H,DATA_GOC!$A:$A,"BOM",DATA_GOC!$D:$D,$B216,DATA_GOC!$F:$F,"Xuất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6" s="222" t="str">
        <f>IF($B216="","",IF(AD$4&gt;DAY(EOMONTH(DATE($D$2,$B$2,1),0)),"",SUMIFS(DATA_GOC!$H:$H,DATA_GOC!$A:$A,"BOM",DATA_GOC!$D:$D,$B216,DATA_GOC!$F:$F,"Xuất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6" s="222" t="str">
        <f>IF($B216="","",IF(AE$4&gt;DAY(EOMONTH(DATE($D$2,$B$2,1),0)),"",SUMIFS(DATA_GOC!$H:$H,DATA_GOC!$A:$A,"BOM",DATA_GOC!$D:$D,$B216,DATA_GOC!$F:$F,"Xuất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6" s="222" t="str">
        <f>IF($B216="","",IF(AF$4&gt;DAY(EOMONTH(DATE($D$2,$B$2,1),0)),"",SUMIFS(DATA_GOC!$H:$H,DATA_GOC!$A:$A,"BOM",DATA_GOC!$D:$D,$B216,DATA_GOC!$F:$F,"Xuất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6" s="222" t="str">
        <f>IF($B216="","",IF(AG$4&gt;DAY(EOMONTH(DATE($D$2,$B$2,1),0)),"",SUMIFS(DATA_GOC!$H:$H,DATA_GOC!$A:$A,"BOM",DATA_GOC!$D:$D,$B216,DATA_GOC!$F:$F,"Xuất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6" s="222" t="str">
        <f t="shared" si="2"/>
        <v/>
      </c>
      <c r="AI216" s="222" t="str">
        <f>IF($B216="","",SUMIFS(DATA_GOC!$H:$H,DATA_GOC!$A:$A,"BOM",DATA_GOC!$D:$D,$B216,DATA_GOC!$F:$F,"Bơm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6" s="222" t="str">
        <f t="shared" si="3"/>
        <v/>
      </c>
      <c r="AM216" s="222" t="str">
        <f>IF($B216="","",SUMIFS(DATA_GOC!$K:$K,DATA_GOC!$A:$A,"BOM",DATA_GOC!$D:$D,$B216,DATA_GOC!$G:$G,"DO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6" s="222" t="str">
        <f t="shared" si="4"/>
        <v/>
      </c>
      <c r="AO216" s="227" t="str">
        <f t="shared" si="5"/>
        <v/>
      </c>
      <c r="AP216" s="226" t="str">
        <f>IF($B216="","",IFERROR(AO216-(SUMIFS(DATA_GOC!$H:$H,DATA_GOC!$A:$A,"BOM",DATA_GOC!$D:$D,$B216,DATA_GOC!$F:$F,"Xuất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7" ht="15.0" customHeight="1">
      <c r="A217" s="61" t="str">
        <f t="shared" si="1"/>
        <v/>
      </c>
      <c r="B217" s="61" t="str">
        <f t="array" ref="B217">IFERROR(INDEX(DANH_MUC!$E:$E,ROW()-1),"")</f>
        <v/>
      </c>
      <c r="C217" s="61" t="str">
        <f>IF($B217="","",IF(C$4&gt;DAY(EOMONTH(DATE($D$2,$B$2,1),0)),"",SUMIFS(DATA_GOC!$H:$H,DATA_GOC!$A:$A,"BOM",DATA_GOC!$D:$D,$B217,DATA_GOC!$F:$F,"Xuất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7" s="61" t="str">
        <f>IF($B217="","",IF(D$4&gt;DAY(EOMONTH(DATE($D$2,$B$2,1),0)),"",SUMIFS(DATA_GOC!$H:$H,DATA_GOC!$A:$A,"BOM",DATA_GOC!$D:$D,$B217,DATA_GOC!$F:$F,"Xuất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7" s="61" t="str">
        <f>IF($B217="","",IF(E$4&gt;DAY(EOMONTH(DATE($D$2,$B$2,1),0)),"",SUMIFS(DATA_GOC!$H:$H,DATA_GOC!$A:$A,"BOM",DATA_GOC!$D:$D,$B217,DATA_GOC!$F:$F,"Xuất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7" s="61" t="str">
        <f>IF($B217="","",IF(F$4&gt;DAY(EOMONTH(DATE($D$2,$B$2,1),0)),"",SUMIFS(DATA_GOC!$H:$H,DATA_GOC!$A:$A,"BOM",DATA_GOC!$D:$D,$B217,DATA_GOC!$F:$F,"Xuất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7" s="61" t="str">
        <f>IF($B217="","",IF(G$4&gt;DAY(EOMONTH(DATE($D$2,$B$2,1),0)),"",SUMIFS(DATA_GOC!$H:$H,DATA_GOC!$A:$A,"BOM",DATA_GOC!$D:$D,$B217,DATA_GOC!$F:$F,"Xuất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7" s="61" t="str">
        <f>IF($B217="","",IF(H$4&gt;DAY(EOMONTH(DATE($D$2,$B$2,1),0)),"",SUMIFS(DATA_GOC!$H:$H,DATA_GOC!$A:$A,"BOM",DATA_GOC!$D:$D,$B217,DATA_GOC!$F:$F,"Xuất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7" s="61" t="str">
        <f>IF($B217="","",IF(I$4&gt;DAY(EOMONTH(DATE($D$2,$B$2,1),0)),"",SUMIFS(DATA_GOC!$H:$H,DATA_GOC!$A:$A,"BOM",DATA_GOC!$D:$D,$B217,DATA_GOC!$F:$F,"Xuất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7" s="61" t="str">
        <f>IF($B217="","",IF(J$4&gt;DAY(EOMONTH(DATE($D$2,$B$2,1),0)),"",SUMIFS(DATA_GOC!$H:$H,DATA_GOC!$A:$A,"BOM",DATA_GOC!$D:$D,$B217,DATA_GOC!$F:$F,"Xuất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7" s="61" t="str">
        <f>IF($B217="","",IF(K$4&gt;DAY(EOMONTH(DATE($D$2,$B$2,1),0)),"",SUMIFS(DATA_GOC!$H:$H,DATA_GOC!$A:$A,"BOM",DATA_GOC!$D:$D,$B217,DATA_GOC!$F:$F,"Xuất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7" s="61" t="str">
        <f>IF($B217="","",IF(L$4&gt;DAY(EOMONTH(DATE($D$2,$B$2,1),0)),"",SUMIFS(DATA_GOC!$H:$H,DATA_GOC!$A:$A,"BOM",DATA_GOC!$D:$D,$B217,DATA_GOC!$F:$F,"Xuất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7" s="61" t="str">
        <f>IF($B217="","",IF(M$4&gt;DAY(EOMONTH(DATE($D$2,$B$2,1),0)),"",SUMIFS(DATA_GOC!$H:$H,DATA_GOC!$A:$A,"BOM",DATA_GOC!$D:$D,$B217,DATA_GOC!$F:$F,"Xuất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7" s="61" t="str">
        <f>IF($B217="","",IF(N$4&gt;DAY(EOMONTH(DATE($D$2,$B$2,1),0)),"",SUMIFS(DATA_GOC!$H:$H,DATA_GOC!$A:$A,"BOM",DATA_GOC!$D:$D,$B217,DATA_GOC!$F:$F,"Xuất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7" s="61" t="str">
        <f>IF($B217="","",IF(O$4&gt;DAY(EOMONTH(DATE($D$2,$B$2,1),0)),"",SUMIFS(DATA_GOC!$H:$H,DATA_GOC!$A:$A,"BOM",DATA_GOC!$D:$D,$B217,DATA_GOC!$F:$F,"Xuất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7" s="61" t="str">
        <f>IF($B217="","",IF(P$4&gt;DAY(EOMONTH(DATE($D$2,$B$2,1),0)),"",SUMIFS(DATA_GOC!$H:$H,DATA_GOC!$A:$A,"BOM",DATA_GOC!$D:$D,$B217,DATA_GOC!$F:$F,"Xuất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7" s="61" t="str">
        <f>IF($B217="","",IF(Q$4&gt;DAY(EOMONTH(DATE($D$2,$B$2,1),0)),"",SUMIFS(DATA_GOC!$H:$H,DATA_GOC!$A:$A,"BOM",DATA_GOC!$D:$D,$B217,DATA_GOC!$F:$F,"Xuất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7" s="61" t="str">
        <f>IF($B217="","",IF(R$4&gt;DAY(EOMONTH(DATE($D$2,$B$2,1),0)),"",SUMIFS(DATA_GOC!$H:$H,DATA_GOC!$A:$A,"BOM",DATA_GOC!$D:$D,$B217,DATA_GOC!$F:$F,"Xuất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7" s="61" t="str">
        <f>IF($B217="","",IF(S$4&gt;DAY(EOMONTH(DATE($D$2,$B$2,1),0)),"",SUMIFS(DATA_GOC!$H:$H,DATA_GOC!$A:$A,"BOM",DATA_GOC!$D:$D,$B217,DATA_GOC!$F:$F,"Xuất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7" s="61" t="str">
        <f>IF($B217="","",IF(T$4&gt;DAY(EOMONTH(DATE($D$2,$B$2,1),0)),"",SUMIFS(DATA_GOC!$H:$H,DATA_GOC!$A:$A,"BOM",DATA_GOC!$D:$D,$B217,DATA_GOC!$F:$F,"Xuất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7" s="61" t="str">
        <f>IF($B217="","",IF(U$4&gt;DAY(EOMONTH(DATE($D$2,$B$2,1),0)),"",SUMIFS(DATA_GOC!$H:$H,DATA_GOC!$A:$A,"BOM",DATA_GOC!$D:$D,$B217,DATA_GOC!$F:$F,"Xuất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7" s="61" t="str">
        <f>IF($B217="","",IF(V$4&gt;DAY(EOMONTH(DATE($D$2,$B$2,1),0)),"",SUMIFS(DATA_GOC!$H:$H,DATA_GOC!$A:$A,"BOM",DATA_GOC!$D:$D,$B217,DATA_GOC!$F:$F,"Xuất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7" s="61" t="str">
        <f>IF($B217="","",IF(W$4&gt;DAY(EOMONTH(DATE($D$2,$B$2,1),0)),"",SUMIFS(DATA_GOC!$H:$H,DATA_GOC!$A:$A,"BOM",DATA_GOC!$D:$D,$B217,DATA_GOC!$F:$F,"Xuất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7" s="61" t="str">
        <f>IF($B217="","",IF(X$4&gt;DAY(EOMONTH(DATE($D$2,$B$2,1),0)),"",SUMIFS(DATA_GOC!$H:$H,DATA_GOC!$A:$A,"BOM",DATA_GOC!$D:$D,$B217,DATA_GOC!$F:$F,"Xuất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7" s="61" t="str">
        <f>IF($B217="","",IF(Y$4&gt;DAY(EOMONTH(DATE($D$2,$B$2,1),0)),"",SUMIFS(DATA_GOC!$H:$H,DATA_GOC!$A:$A,"BOM",DATA_GOC!$D:$D,$B217,DATA_GOC!$F:$F,"Xuất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7" s="61" t="str">
        <f>IF($B217="","",IF(Z$4&gt;DAY(EOMONTH(DATE($D$2,$B$2,1),0)),"",SUMIFS(DATA_GOC!$H:$H,DATA_GOC!$A:$A,"BOM",DATA_GOC!$D:$D,$B217,DATA_GOC!$F:$F,"Xuất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7" s="61" t="str">
        <f>IF($B217="","",IF(AA$4&gt;DAY(EOMONTH(DATE($D$2,$B$2,1),0)),"",SUMIFS(DATA_GOC!$H:$H,DATA_GOC!$A:$A,"BOM",DATA_GOC!$D:$D,$B217,DATA_GOC!$F:$F,"Xuất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7" s="61" t="str">
        <f>IF($B217="","",IF(AB$4&gt;DAY(EOMONTH(DATE($D$2,$B$2,1),0)),"",SUMIFS(DATA_GOC!$H:$H,DATA_GOC!$A:$A,"BOM",DATA_GOC!$D:$D,$B217,DATA_GOC!$F:$F,"Xuất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7" s="61" t="str">
        <f>IF($B217="","",IF(AC$4&gt;DAY(EOMONTH(DATE($D$2,$B$2,1),0)),"",SUMIFS(DATA_GOC!$H:$H,DATA_GOC!$A:$A,"BOM",DATA_GOC!$D:$D,$B217,DATA_GOC!$F:$F,"Xuất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7" s="222" t="str">
        <f>IF($B217="","",IF(AD$4&gt;DAY(EOMONTH(DATE($D$2,$B$2,1),0)),"",SUMIFS(DATA_GOC!$H:$H,DATA_GOC!$A:$A,"BOM",DATA_GOC!$D:$D,$B217,DATA_GOC!$F:$F,"Xuất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7" s="222" t="str">
        <f>IF($B217="","",IF(AE$4&gt;DAY(EOMONTH(DATE($D$2,$B$2,1),0)),"",SUMIFS(DATA_GOC!$H:$H,DATA_GOC!$A:$A,"BOM",DATA_GOC!$D:$D,$B217,DATA_GOC!$F:$F,"Xuất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7" s="222" t="str">
        <f>IF($B217="","",IF(AF$4&gt;DAY(EOMONTH(DATE($D$2,$B$2,1),0)),"",SUMIFS(DATA_GOC!$H:$H,DATA_GOC!$A:$A,"BOM",DATA_GOC!$D:$D,$B217,DATA_GOC!$F:$F,"Xuất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7" s="222" t="str">
        <f>IF($B217="","",IF(AG$4&gt;DAY(EOMONTH(DATE($D$2,$B$2,1),0)),"",SUMIFS(DATA_GOC!$H:$H,DATA_GOC!$A:$A,"BOM",DATA_GOC!$D:$D,$B217,DATA_GOC!$F:$F,"Xuất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7" s="222" t="str">
        <f t="shared" si="2"/>
        <v/>
      </c>
      <c r="AI217" s="222" t="str">
        <f>IF($B217="","",SUMIFS(DATA_GOC!$H:$H,DATA_GOC!$A:$A,"BOM",DATA_GOC!$D:$D,$B217,DATA_GOC!$F:$F,"Bơm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7" s="222" t="str">
        <f t="shared" si="3"/>
        <v/>
      </c>
      <c r="AM217" s="222" t="str">
        <f>IF($B217="","",SUMIFS(DATA_GOC!$K:$K,DATA_GOC!$A:$A,"BOM",DATA_GOC!$D:$D,$B217,DATA_GOC!$G:$G,"DO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7" s="222" t="str">
        <f t="shared" si="4"/>
        <v/>
      </c>
      <c r="AO217" s="227" t="str">
        <f t="shared" si="5"/>
        <v/>
      </c>
      <c r="AP217" s="226" t="str">
        <f>IF($B217="","",IFERROR(AO217-(SUMIFS(DATA_GOC!$H:$H,DATA_GOC!$A:$A,"BOM",DATA_GOC!$D:$D,$B217,DATA_GOC!$F:$F,"Xuất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8" ht="15.0" customHeight="1">
      <c r="A218" s="61" t="str">
        <f t="shared" si="1"/>
        <v/>
      </c>
      <c r="B218" s="61" t="str">
        <f t="array" ref="B218">IFERROR(INDEX(DANH_MUC!$E:$E,ROW()-1),"")</f>
        <v/>
      </c>
      <c r="C218" s="61" t="str">
        <f>IF($B218="","",IF(C$4&gt;DAY(EOMONTH(DATE($D$2,$B$2,1),0)),"",SUMIFS(DATA_GOC!$H:$H,DATA_GOC!$A:$A,"BOM",DATA_GOC!$D:$D,$B218,DATA_GOC!$F:$F,"Xuất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8" s="61" t="str">
        <f>IF($B218="","",IF(D$4&gt;DAY(EOMONTH(DATE($D$2,$B$2,1),0)),"",SUMIFS(DATA_GOC!$H:$H,DATA_GOC!$A:$A,"BOM",DATA_GOC!$D:$D,$B218,DATA_GOC!$F:$F,"Xuất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8" s="61" t="str">
        <f>IF($B218="","",IF(E$4&gt;DAY(EOMONTH(DATE($D$2,$B$2,1),0)),"",SUMIFS(DATA_GOC!$H:$H,DATA_GOC!$A:$A,"BOM",DATA_GOC!$D:$D,$B218,DATA_GOC!$F:$F,"Xuất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8" s="61" t="str">
        <f>IF($B218="","",IF(F$4&gt;DAY(EOMONTH(DATE($D$2,$B$2,1),0)),"",SUMIFS(DATA_GOC!$H:$H,DATA_GOC!$A:$A,"BOM",DATA_GOC!$D:$D,$B218,DATA_GOC!$F:$F,"Xuất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8" s="61" t="str">
        <f>IF($B218="","",IF(G$4&gt;DAY(EOMONTH(DATE($D$2,$B$2,1),0)),"",SUMIFS(DATA_GOC!$H:$H,DATA_GOC!$A:$A,"BOM",DATA_GOC!$D:$D,$B218,DATA_GOC!$F:$F,"Xuất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8" s="61" t="str">
        <f>IF($B218="","",IF(H$4&gt;DAY(EOMONTH(DATE($D$2,$B$2,1),0)),"",SUMIFS(DATA_GOC!$H:$H,DATA_GOC!$A:$A,"BOM",DATA_GOC!$D:$D,$B218,DATA_GOC!$F:$F,"Xuất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8" s="61" t="str">
        <f>IF($B218="","",IF(I$4&gt;DAY(EOMONTH(DATE($D$2,$B$2,1),0)),"",SUMIFS(DATA_GOC!$H:$H,DATA_GOC!$A:$A,"BOM",DATA_GOC!$D:$D,$B218,DATA_GOC!$F:$F,"Xuất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8" s="61" t="str">
        <f>IF($B218="","",IF(J$4&gt;DAY(EOMONTH(DATE($D$2,$B$2,1),0)),"",SUMIFS(DATA_GOC!$H:$H,DATA_GOC!$A:$A,"BOM",DATA_GOC!$D:$D,$B218,DATA_GOC!$F:$F,"Xuất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8" s="61" t="str">
        <f>IF($B218="","",IF(K$4&gt;DAY(EOMONTH(DATE($D$2,$B$2,1),0)),"",SUMIFS(DATA_GOC!$H:$H,DATA_GOC!$A:$A,"BOM",DATA_GOC!$D:$D,$B218,DATA_GOC!$F:$F,"Xuất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8" s="61" t="str">
        <f>IF($B218="","",IF(L$4&gt;DAY(EOMONTH(DATE($D$2,$B$2,1),0)),"",SUMIFS(DATA_GOC!$H:$H,DATA_GOC!$A:$A,"BOM",DATA_GOC!$D:$D,$B218,DATA_GOC!$F:$F,"Xuất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8" s="61" t="str">
        <f>IF($B218="","",IF(M$4&gt;DAY(EOMONTH(DATE($D$2,$B$2,1),0)),"",SUMIFS(DATA_GOC!$H:$H,DATA_GOC!$A:$A,"BOM",DATA_GOC!$D:$D,$B218,DATA_GOC!$F:$F,"Xuất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8" s="61" t="str">
        <f>IF($B218="","",IF(N$4&gt;DAY(EOMONTH(DATE($D$2,$B$2,1),0)),"",SUMIFS(DATA_GOC!$H:$H,DATA_GOC!$A:$A,"BOM",DATA_GOC!$D:$D,$B218,DATA_GOC!$F:$F,"Xuất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8" s="61" t="str">
        <f>IF($B218="","",IF(O$4&gt;DAY(EOMONTH(DATE($D$2,$B$2,1),0)),"",SUMIFS(DATA_GOC!$H:$H,DATA_GOC!$A:$A,"BOM",DATA_GOC!$D:$D,$B218,DATA_GOC!$F:$F,"Xuất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8" s="61" t="str">
        <f>IF($B218="","",IF(P$4&gt;DAY(EOMONTH(DATE($D$2,$B$2,1),0)),"",SUMIFS(DATA_GOC!$H:$H,DATA_GOC!$A:$A,"BOM",DATA_GOC!$D:$D,$B218,DATA_GOC!$F:$F,"Xuất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8" s="61" t="str">
        <f>IF($B218="","",IF(Q$4&gt;DAY(EOMONTH(DATE($D$2,$B$2,1),0)),"",SUMIFS(DATA_GOC!$H:$H,DATA_GOC!$A:$A,"BOM",DATA_GOC!$D:$D,$B218,DATA_GOC!$F:$F,"Xuất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8" s="61" t="str">
        <f>IF($B218="","",IF(R$4&gt;DAY(EOMONTH(DATE($D$2,$B$2,1),0)),"",SUMIFS(DATA_GOC!$H:$H,DATA_GOC!$A:$A,"BOM",DATA_GOC!$D:$D,$B218,DATA_GOC!$F:$F,"Xuất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8" s="61" t="str">
        <f>IF($B218="","",IF(S$4&gt;DAY(EOMONTH(DATE($D$2,$B$2,1),0)),"",SUMIFS(DATA_GOC!$H:$H,DATA_GOC!$A:$A,"BOM",DATA_GOC!$D:$D,$B218,DATA_GOC!$F:$F,"Xuất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8" s="61" t="str">
        <f>IF($B218="","",IF(T$4&gt;DAY(EOMONTH(DATE($D$2,$B$2,1),0)),"",SUMIFS(DATA_GOC!$H:$H,DATA_GOC!$A:$A,"BOM",DATA_GOC!$D:$D,$B218,DATA_GOC!$F:$F,"Xuất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8" s="61" t="str">
        <f>IF($B218="","",IF(U$4&gt;DAY(EOMONTH(DATE($D$2,$B$2,1),0)),"",SUMIFS(DATA_GOC!$H:$H,DATA_GOC!$A:$A,"BOM",DATA_GOC!$D:$D,$B218,DATA_GOC!$F:$F,"Xuất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8" s="61" t="str">
        <f>IF($B218="","",IF(V$4&gt;DAY(EOMONTH(DATE($D$2,$B$2,1),0)),"",SUMIFS(DATA_GOC!$H:$H,DATA_GOC!$A:$A,"BOM",DATA_GOC!$D:$D,$B218,DATA_GOC!$F:$F,"Xuất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8" s="61" t="str">
        <f>IF($B218="","",IF(W$4&gt;DAY(EOMONTH(DATE($D$2,$B$2,1),0)),"",SUMIFS(DATA_GOC!$H:$H,DATA_GOC!$A:$A,"BOM",DATA_GOC!$D:$D,$B218,DATA_GOC!$F:$F,"Xuất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8" s="61" t="str">
        <f>IF($B218="","",IF(X$4&gt;DAY(EOMONTH(DATE($D$2,$B$2,1),0)),"",SUMIFS(DATA_GOC!$H:$H,DATA_GOC!$A:$A,"BOM",DATA_GOC!$D:$D,$B218,DATA_GOC!$F:$F,"Xuất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8" s="61" t="str">
        <f>IF($B218="","",IF(Y$4&gt;DAY(EOMONTH(DATE($D$2,$B$2,1),0)),"",SUMIFS(DATA_GOC!$H:$H,DATA_GOC!$A:$A,"BOM",DATA_GOC!$D:$D,$B218,DATA_GOC!$F:$F,"Xuất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8" s="61" t="str">
        <f>IF($B218="","",IF(Z$4&gt;DAY(EOMONTH(DATE($D$2,$B$2,1),0)),"",SUMIFS(DATA_GOC!$H:$H,DATA_GOC!$A:$A,"BOM",DATA_GOC!$D:$D,$B218,DATA_GOC!$F:$F,"Xuất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8" s="61" t="str">
        <f>IF($B218="","",IF(AA$4&gt;DAY(EOMONTH(DATE($D$2,$B$2,1),0)),"",SUMIFS(DATA_GOC!$H:$H,DATA_GOC!$A:$A,"BOM",DATA_GOC!$D:$D,$B218,DATA_GOC!$F:$F,"Xuất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8" s="61" t="str">
        <f>IF($B218="","",IF(AB$4&gt;DAY(EOMONTH(DATE($D$2,$B$2,1),0)),"",SUMIFS(DATA_GOC!$H:$H,DATA_GOC!$A:$A,"BOM",DATA_GOC!$D:$D,$B218,DATA_GOC!$F:$F,"Xuất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8" s="61" t="str">
        <f>IF($B218="","",IF(AC$4&gt;DAY(EOMONTH(DATE($D$2,$B$2,1),0)),"",SUMIFS(DATA_GOC!$H:$H,DATA_GOC!$A:$A,"BOM",DATA_GOC!$D:$D,$B218,DATA_GOC!$F:$F,"Xuất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8" s="222" t="str">
        <f>IF($B218="","",IF(AD$4&gt;DAY(EOMONTH(DATE($D$2,$B$2,1),0)),"",SUMIFS(DATA_GOC!$H:$H,DATA_GOC!$A:$A,"BOM",DATA_GOC!$D:$D,$B218,DATA_GOC!$F:$F,"Xuất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8" s="222" t="str">
        <f>IF($B218="","",IF(AE$4&gt;DAY(EOMONTH(DATE($D$2,$B$2,1),0)),"",SUMIFS(DATA_GOC!$H:$H,DATA_GOC!$A:$A,"BOM",DATA_GOC!$D:$D,$B218,DATA_GOC!$F:$F,"Xuất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8" s="222" t="str">
        <f>IF($B218="","",IF(AF$4&gt;DAY(EOMONTH(DATE($D$2,$B$2,1),0)),"",SUMIFS(DATA_GOC!$H:$H,DATA_GOC!$A:$A,"BOM",DATA_GOC!$D:$D,$B218,DATA_GOC!$F:$F,"Xuất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8" s="222" t="str">
        <f>IF($B218="","",IF(AG$4&gt;DAY(EOMONTH(DATE($D$2,$B$2,1),0)),"",SUMIFS(DATA_GOC!$H:$H,DATA_GOC!$A:$A,"BOM",DATA_GOC!$D:$D,$B218,DATA_GOC!$F:$F,"Xuất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8" s="222" t="str">
        <f t="shared" si="2"/>
        <v/>
      </c>
      <c r="AI218" s="222" t="str">
        <f>IF($B218="","",SUMIFS(DATA_GOC!$H:$H,DATA_GOC!$A:$A,"BOM",DATA_GOC!$D:$D,$B218,DATA_GOC!$F:$F,"Bơm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8" s="222" t="str">
        <f t="shared" si="3"/>
        <v/>
      </c>
      <c r="AM218" s="222" t="str">
        <f>IF($B218="","",SUMIFS(DATA_GOC!$K:$K,DATA_GOC!$A:$A,"BOM",DATA_GOC!$D:$D,$B218,DATA_GOC!$G:$G,"DO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8" s="222" t="str">
        <f t="shared" si="4"/>
        <v/>
      </c>
      <c r="AO218" s="227" t="str">
        <f t="shared" si="5"/>
        <v/>
      </c>
      <c r="AP218" s="226" t="str">
        <f>IF($B218="","",IFERROR(AO218-(SUMIFS(DATA_GOC!$H:$H,DATA_GOC!$A:$A,"BOM",DATA_GOC!$D:$D,$B218,DATA_GOC!$F:$F,"Xuất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19" ht="15.0" customHeight="1">
      <c r="A219" s="61" t="str">
        <f t="shared" si="1"/>
        <v/>
      </c>
      <c r="B219" s="61" t="str">
        <f t="array" ref="B219">IFERROR(INDEX(DANH_MUC!$E:$E,ROW()-1),"")</f>
        <v/>
      </c>
      <c r="C219" s="61" t="str">
        <f>IF($B219="","",IF(C$4&gt;DAY(EOMONTH(DATE($D$2,$B$2,1),0)),"",SUMIFS(DATA_GOC!$H:$H,DATA_GOC!$A:$A,"BOM",DATA_GOC!$D:$D,$B219,DATA_GOC!$F:$F,"Xuất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19" s="61" t="str">
        <f>IF($B219="","",IF(D$4&gt;DAY(EOMONTH(DATE($D$2,$B$2,1),0)),"",SUMIFS(DATA_GOC!$H:$H,DATA_GOC!$A:$A,"BOM",DATA_GOC!$D:$D,$B219,DATA_GOC!$F:$F,"Xuất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19" s="61" t="str">
        <f>IF($B219="","",IF(E$4&gt;DAY(EOMONTH(DATE($D$2,$B$2,1),0)),"",SUMIFS(DATA_GOC!$H:$H,DATA_GOC!$A:$A,"BOM",DATA_GOC!$D:$D,$B219,DATA_GOC!$F:$F,"Xuất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19" s="61" t="str">
        <f>IF($B219="","",IF(F$4&gt;DAY(EOMONTH(DATE($D$2,$B$2,1),0)),"",SUMIFS(DATA_GOC!$H:$H,DATA_GOC!$A:$A,"BOM",DATA_GOC!$D:$D,$B219,DATA_GOC!$F:$F,"Xuất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19" s="61" t="str">
        <f>IF($B219="","",IF(G$4&gt;DAY(EOMONTH(DATE($D$2,$B$2,1),0)),"",SUMIFS(DATA_GOC!$H:$H,DATA_GOC!$A:$A,"BOM",DATA_GOC!$D:$D,$B219,DATA_GOC!$F:$F,"Xuất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19" s="61" t="str">
        <f>IF($B219="","",IF(H$4&gt;DAY(EOMONTH(DATE($D$2,$B$2,1),0)),"",SUMIFS(DATA_GOC!$H:$H,DATA_GOC!$A:$A,"BOM",DATA_GOC!$D:$D,$B219,DATA_GOC!$F:$F,"Xuất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19" s="61" t="str">
        <f>IF($B219="","",IF(I$4&gt;DAY(EOMONTH(DATE($D$2,$B$2,1),0)),"",SUMIFS(DATA_GOC!$H:$H,DATA_GOC!$A:$A,"BOM",DATA_GOC!$D:$D,$B219,DATA_GOC!$F:$F,"Xuất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19" s="61" t="str">
        <f>IF($B219="","",IF(J$4&gt;DAY(EOMONTH(DATE($D$2,$B$2,1),0)),"",SUMIFS(DATA_GOC!$H:$H,DATA_GOC!$A:$A,"BOM",DATA_GOC!$D:$D,$B219,DATA_GOC!$F:$F,"Xuất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19" s="61" t="str">
        <f>IF($B219="","",IF(K$4&gt;DAY(EOMONTH(DATE($D$2,$B$2,1),0)),"",SUMIFS(DATA_GOC!$H:$H,DATA_GOC!$A:$A,"BOM",DATA_GOC!$D:$D,$B219,DATA_GOC!$F:$F,"Xuất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19" s="61" t="str">
        <f>IF($B219="","",IF(L$4&gt;DAY(EOMONTH(DATE($D$2,$B$2,1),0)),"",SUMIFS(DATA_GOC!$H:$H,DATA_GOC!$A:$A,"BOM",DATA_GOC!$D:$D,$B219,DATA_GOC!$F:$F,"Xuất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19" s="61" t="str">
        <f>IF($B219="","",IF(M$4&gt;DAY(EOMONTH(DATE($D$2,$B$2,1),0)),"",SUMIFS(DATA_GOC!$H:$H,DATA_GOC!$A:$A,"BOM",DATA_GOC!$D:$D,$B219,DATA_GOC!$F:$F,"Xuất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19" s="61" t="str">
        <f>IF($B219="","",IF(N$4&gt;DAY(EOMONTH(DATE($D$2,$B$2,1),0)),"",SUMIFS(DATA_GOC!$H:$H,DATA_GOC!$A:$A,"BOM",DATA_GOC!$D:$D,$B219,DATA_GOC!$F:$F,"Xuất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19" s="61" t="str">
        <f>IF($B219="","",IF(O$4&gt;DAY(EOMONTH(DATE($D$2,$B$2,1),0)),"",SUMIFS(DATA_GOC!$H:$H,DATA_GOC!$A:$A,"BOM",DATA_GOC!$D:$D,$B219,DATA_GOC!$F:$F,"Xuất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19" s="61" t="str">
        <f>IF($B219="","",IF(P$4&gt;DAY(EOMONTH(DATE($D$2,$B$2,1),0)),"",SUMIFS(DATA_GOC!$H:$H,DATA_GOC!$A:$A,"BOM",DATA_GOC!$D:$D,$B219,DATA_GOC!$F:$F,"Xuất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19" s="61" t="str">
        <f>IF($B219="","",IF(Q$4&gt;DAY(EOMONTH(DATE($D$2,$B$2,1),0)),"",SUMIFS(DATA_GOC!$H:$H,DATA_GOC!$A:$A,"BOM",DATA_GOC!$D:$D,$B219,DATA_GOC!$F:$F,"Xuất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19" s="61" t="str">
        <f>IF($B219="","",IF(R$4&gt;DAY(EOMONTH(DATE($D$2,$B$2,1),0)),"",SUMIFS(DATA_GOC!$H:$H,DATA_GOC!$A:$A,"BOM",DATA_GOC!$D:$D,$B219,DATA_GOC!$F:$F,"Xuất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19" s="61" t="str">
        <f>IF($B219="","",IF(S$4&gt;DAY(EOMONTH(DATE($D$2,$B$2,1),0)),"",SUMIFS(DATA_GOC!$H:$H,DATA_GOC!$A:$A,"BOM",DATA_GOC!$D:$D,$B219,DATA_GOC!$F:$F,"Xuất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19" s="61" t="str">
        <f>IF($B219="","",IF(T$4&gt;DAY(EOMONTH(DATE($D$2,$B$2,1),0)),"",SUMIFS(DATA_GOC!$H:$H,DATA_GOC!$A:$A,"BOM",DATA_GOC!$D:$D,$B219,DATA_GOC!$F:$F,"Xuất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19" s="61" t="str">
        <f>IF($B219="","",IF(U$4&gt;DAY(EOMONTH(DATE($D$2,$B$2,1),0)),"",SUMIFS(DATA_GOC!$H:$H,DATA_GOC!$A:$A,"BOM",DATA_GOC!$D:$D,$B219,DATA_GOC!$F:$F,"Xuất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19" s="61" t="str">
        <f>IF($B219="","",IF(V$4&gt;DAY(EOMONTH(DATE($D$2,$B$2,1),0)),"",SUMIFS(DATA_GOC!$H:$H,DATA_GOC!$A:$A,"BOM",DATA_GOC!$D:$D,$B219,DATA_GOC!$F:$F,"Xuất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19" s="61" t="str">
        <f>IF($B219="","",IF(W$4&gt;DAY(EOMONTH(DATE($D$2,$B$2,1),0)),"",SUMIFS(DATA_GOC!$H:$H,DATA_GOC!$A:$A,"BOM",DATA_GOC!$D:$D,$B219,DATA_GOC!$F:$F,"Xuất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19" s="61" t="str">
        <f>IF($B219="","",IF(X$4&gt;DAY(EOMONTH(DATE($D$2,$B$2,1),0)),"",SUMIFS(DATA_GOC!$H:$H,DATA_GOC!$A:$A,"BOM",DATA_GOC!$D:$D,$B219,DATA_GOC!$F:$F,"Xuất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19" s="61" t="str">
        <f>IF($B219="","",IF(Y$4&gt;DAY(EOMONTH(DATE($D$2,$B$2,1),0)),"",SUMIFS(DATA_GOC!$H:$H,DATA_GOC!$A:$A,"BOM",DATA_GOC!$D:$D,$B219,DATA_GOC!$F:$F,"Xuất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19" s="61" t="str">
        <f>IF($B219="","",IF(Z$4&gt;DAY(EOMONTH(DATE($D$2,$B$2,1),0)),"",SUMIFS(DATA_GOC!$H:$H,DATA_GOC!$A:$A,"BOM",DATA_GOC!$D:$D,$B219,DATA_GOC!$F:$F,"Xuất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19" s="61" t="str">
        <f>IF($B219="","",IF(AA$4&gt;DAY(EOMONTH(DATE($D$2,$B$2,1),0)),"",SUMIFS(DATA_GOC!$H:$H,DATA_GOC!$A:$A,"BOM",DATA_GOC!$D:$D,$B219,DATA_GOC!$F:$F,"Xuất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19" s="61" t="str">
        <f>IF($B219="","",IF(AB$4&gt;DAY(EOMONTH(DATE($D$2,$B$2,1),0)),"",SUMIFS(DATA_GOC!$H:$H,DATA_GOC!$A:$A,"BOM",DATA_GOC!$D:$D,$B219,DATA_GOC!$F:$F,"Xuất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19" s="61" t="str">
        <f>IF($B219="","",IF(AC$4&gt;DAY(EOMONTH(DATE($D$2,$B$2,1),0)),"",SUMIFS(DATA_GOC!$H:$H,DATA_GOC!$A:$A,"BOM",DATA_GOC!$D:$D,$B219,DATA_GOC!$F:$F,"Xuất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19" s="222" t="str">
        <f>IF($B219="","",IF(AD$4&gt;DAY(EOMONTH(DATE($D$2,$B$2,1),0)),"",SUMIFS(DATA_GOC!$H:$H,DATA_GOC!$A:$A,"BOM",DATA_GOC!$D:$D,$B219,DATA_GOC!$F:$F,"Xuất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19" s="222" t="str">
        <f>IF($B219="","",IF(AE$4&gt;DAY(EOMONTH(DATE($D$2,$B$2,1),0)),"",SUMIFS(DATA_GOC!$H:$H,DATA_GOC!$A:$A,"BOM",DATA_GOC!$D:$D,$B219,DATA_GOC!$F:$F,"Xuất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19" s="222" t="str">
        <f>IF($B219="","",IF(AF$4&gt;DAY(EOMONTH(DATE($D$2,$B$2,1),0)),"",SUMIFS(DATA_GOC!$H:$H,DATA_GOC!$A:$A,"BOM",DATA_GOC!$D:$D,$B219,DATA_GOC!$F:$F,"Xuất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19" s="222" t="str">
        <f>IF($B219="","",IF(AG$4&gt;DAY(EOMONTH(DATE($D$2,$B$2,1),0)),"",SUMIFS(DATA_GOC!$H:$H,DATA_GOC!$A:$A,"BOM",DATA_GOC!$D:$D,$B219,DATA_GOC!$F:$F,"Xuất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19" s="222" t="str">
        <f t="shared" si="2"/>
        <v/>
      </c>
      <c r="AI219" s="222" t="str">
        <f>IF($B219="","",SUMIFS(DATA_GOC!$H:$H,DATA_GOC!$A:$A,"BOM",DATA_GOC!$D:$D,$B219,DATA_GOC!$F:$F,"Bơm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19" s="222" t="str">
        <f t="shared" si="3"/>
        <v/>
      </c>
      <c r="AM219" s="222" t="str">
        <f>IF($B219="","",SUMIFS(DATA_GOC!$K:$K,DATA_GOC!$A:$A,"BOM",DATA_GOC!$D:$D,$B219,DATA_GOC!$G:$G,"DO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19" s="222" t="str">
        <f t="shared" si="4"/>
        <v/>
      </c>
      <c r="AO219" s="227" t="str">
        <f t="shared" si="5"/>
        <v/>
      </c>
      <c r="AP219" s="226" t="str">
        <f>IF($B219="","",IFERROR(AO219-(SUMIFS(DATA_GOC!$H:$H,DATA_GOC!$A:$A,"BOM",DATA_GOC!$D:$D,$B219,DATA_GOC!$F:$F,"Xuất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số",DATA_GOC!$B:$B,"&gt;="&amp;EDATE(DATE($D$2,$B$2,1),-1),DATA_GOC!$B:$B,"&lt;"&amp;DATE($D$2,$B$2,1))/SUMIFS(DATA_GOC!$K:$K,DATA_GOC!$A:$A,"BOM",DATA_GOC!$D:$D,$B219,DATA_GOC!$G:$G,"DO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0" ht="15.0" customHeight="1">
      <c r="A220" s="61" t="str">
        <f t="shared" si="1"/>
        <v/>
      </c>
      <c r="B220" s="61" t="str">
        <f t="array" ref="B220">IFERROR(INDEX(DANH_MUC!$E:$E,ROW()-1),"")</f>
        <v/>
      </c>
      <c r="C220" s="61" t="str">
        <f>IF($B220="","",IF(C$4&gt;DAY(EOMONTH(DATE($D$2,$B$2,1),0)),"",SUMIFS(DATA_GOC!$H:$H,DATA_GOC!$A:$A,"BOM",DATA_GOC!$D:$D,$B220,DATA_GOC!$F:$F,"Xuất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0" s="61" t="str">
        <f>IF($B220="","",IF(D$4&gt;DAY(EOMONTH(DATE($D$2,$B$2,1),0)),"",SUMIFS(DATA_GOC!$H:$H,DATA_GOC!$A:$A,"BOM",DATA_GOC!$D:$D,$B220,DATA_GOC!$F:$F,"Xuất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0" s="61" t="str">
        <f>IF($B220="","",IF(E$4&gt;DAY(EOMONTH(DATE($D$2,$B$2,1),0)),"",SUMIFS(DATA_GOC!$H:$H,DATA_GOC!$A:$A,"BOM",DATA_GOC!$D:$D,$B220,DATA_GOC!$F:$F,"Xuất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0" s="61" t="str">
        <f>IF($B220="","",IF(F$4&gt;DAY(EOMONTH(DATE($D$2,$B$2,1),0)),"",SUMIFS(DATA_GOC!$H:$H,DATA_GOC!$A:$A,"BOM",DATA_GOC!$D:$D,$B220,DATA_GOC!$F:$F,"Xuất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0" s="61" t="str">
        <f>IF($B220="","",IF(G$4&gt;DAY(EOMONTH(DATE($D$2,$B$2,1),0)),"",SUMIFS(DATA_GOC!$H:$H,DATA_GOC!$A:$A,"BOM",DATA_GOC!$D:$D,$B220,DATA_GOC!$F:$F,"Xuất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0" s="61" t="str">
        <f>IF($B220="","",IF(H$4&gt;DAY(EOMONTH(DATE($D$2,$B$2,1),0)),"",SUMIFS(DATA_GOC!$H:$H,DATA_GOC!$A:$A,"BOM",DATA_GOC!$D:$D,$B220,DATA_GOC!$F:$F,"Xuất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0" s="61" t="str">
        <f>IF($B220="","",IF(I$4&gt;DAY(EOMONTH(DATE($D$2,$B$2,1),0)),"",SUMIFS(DATA_GOC!$H:$H,DATA_GOC!$A:$A,"BOM",DATA_GOC!$D:$D,$B220,DATA_GOC!$F:$F,"Xuất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0" s="61" t="str">
        <f>IF($B220="","",IF(J$4&gt;DAY(EOMONTH(DATE($D$2,$B$2,1),0)),"",SUMIFS(DATA_GOC!$H:$H,DATA_GOC!$A:$A,"BOM",DATA_GOC!$D:$D,$B220,DATA_GOC!$F:$F,"Xuất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0" s="61" t="str">
        <f>IF($B220="","",IF(K$4&gt;DAY(EOMONTH(DATE($D$2,$B$2,1),0)),"",SUMIFS(DATA_GOC!$H:$H,DATA_GOC!$A:$A,"BOM",DATA_GOC!$D:$D,$B220,DATA_GOC!$F:$F,"Xuất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0" s="61" t="str">
        <f>IF($B220="","",IF(L$4&gt;DAY(EOMONTH(DATE($D$2,$B$2,1),0)),"",SUMIFS(DATA_GOC!$H:$H,DATA_GOC!$A:$A,"BOM",DATA_GOC!$D:$D,$B220,DATA_GOC!$F:$F,"Xuất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0" s="61" t="str">
        <f>IF($B220="","",IF(M$4&gt;DAY(EOMONTH(DATE($D$2,$B$2,1),0)),"",SUMIFS(DATA_GOC!$H:$H,DATA_GOC!$A:$A,"BOM",DATA_GOC!$D:$D,$B220,DATA_GOC!$F:$F,"Xuất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0" s="61" t="str">
        <f>IF($B220="","",IF(N$4&gt;DAY(EOMONTH(DATE($D$2,$B$2,1),0)),"",SUMIFS(DATA_GOC!$H:$H,DATA_GOC!$A:$A,"BOM",DATA_GOC!$D:$D,$B220,DATA_GOC!$F:$F,"Xuất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0" s="61" t="str">
        <f>IF($B220="","",IF(O$4&gt;DAY(EOMONTH(DATE($D$2,$B$2,1),0)),"",SUMIFS(DATA_GOC!$H:$H,DATA_GOC!$A:$A,"BOM",DATA_GOC!$D:$D,$B220,DATA_GOC!$F:$F,"Xuất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0" s="61" t="str">
        <f>IF($B220="","",IF(P$4&gt;DAY(EOMONTH(DATE($D$2,$B$2,1),0)),"",SUMIFS(DATA_GOC!$H:$H,DATA_GOC!$A:$A,"BOM",DATA_GOC!$D:$D,$B220,DATA_GOC!$F:$F,"Xuất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0" s="61" t="str">
        <f>IF($B220="","",IF(Q$4&gt;DAY(EOMONTH(DATE($D$2,$B$2,1),0)),"",SUMIFS(DATA_GOC!$H:$H,DATA_GOC!$A:$A,"BOM",DATA_GOC!$D:$D,$B220,DATA_GOC!$F:$F,"Xuất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0" s="61" t="str">
        <f>IF($B220="","",IF(R$4&gt;DAY(EOMONTH(DATE($D$2,$B$2,1),0)),"",SUMIFS(DATA_GOC!$H:$H,DATA_GOC!$A:$A,"BOM",DATA_GOC!$D:$D,$B220,DATA_GOC!$F:$F,"Xuất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0" s="61" t="str">
        <f>IF($B220="","",IF(S$4&gt;DAY(EOMONTH(DATE($D$2,$B$2,1),0)),"",SUMIFS(DATA_GOC!$H:$H,DATA_GOC!$A:$A,"BOM",DATA_GOC!$D:$D,$B220,DATA_GOC!$F:$F,"Xuất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0" s="61" t="str">
        <f>IF($B220="","",IF(T$4&gt;DAY(EOMONTH(DATE($D$2,$B$2,1),0)),"",SUMIFS(DATA_GOC!$H:$H,DATA_GOC!$A:$A,"BOM",DATA_GOC!$D:$D,$B220,DATA_GOC!$F:$F,"Xuất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0" s="61" t="str">
        <f>IF($B220="","",IF(U$4&gt;DAY(EOMONTH(DATE($D$2,$B$2,1),0)),"",SUMIFS(DATA_GOC!$H:$H,DATA_GOC!$A:$A,"BOM",DATA_GOC!$D:$D,$B220,DATA_GOC!$F:$F,"Xuất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0" s="61" t="str">
        <f>IF($B220="","",IF(V$4&gt;DAY(EOMONTH(DATE($D$2,$B$2,1),0)),"",SUMIFS(DATA_GOC!$H:$H,DATA_GOC!$A:$A,"BOM",DATA_GOC!$D:$D,$B220,DATA_GOC!$F:$F,"Xuất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0" s="61" t="str">
        <f>IF($B220="","",IF(W$4&gt;DAY(EOMONTH(DATE($D$2,$B$2,1),0)),"",SUMIFS(DATA_GOC!$H:$H,DATA_GOC!$A:$A,"BOM",DATA_GOC!$D:$D,$B220,DATA_GOC!$F:$F,"Xuất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0" s="61" t="str">
        <f>IF($B220="","",IF(X$4&gt;DAY(EOMONTH(DATE($D$2,$B$2,1),0)),"",SUMIFS(DATA_GOC!$H:$H,DATA_GOC!$A:$A,"BOM",DATA_GOC!$D:$D,$B220,DATA_GOC!$F:$F,"Xuất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0" s="61" t="str">
        <f>IF($B220="","",IF(Y$4&gt;DAY(EOMONTH(DATE($D$2,$B$2,1),0)),"",SUMIFS(DATA_GOC!$H:$H,DATA_GOC!$A:$A,"BOM",DATA_GOC!$D:$D,$B220,DATA_GOC!$F:$F,"Xuất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0" s="61" t="str">
        <f>IF($B220="","",IF(Z$4&gt;DAY(EOMONTH(DATE($D$2,$B$2,1),0)),"",SUMIFS(DATA_GOC!$H:$H,DATA_GOC!$A:$A,"BOM",DATA_GOC!$D:$D,$B220,DATA_GOC!$F:$F,"Xuất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0" s="61" t="str">
        <f>IF($B220="","",IF(AA$4&gt;DAY(EOMONTH(DATE($D$2,$B$2,1),0)),"",SUMIFS(DATA_GOC!$H:$H,DATA_GOC!$A:$A,"BOM",DATA_GOC!$D:$D,$B220,DATA_GOC!$F:$F,"Xuất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0" s="61" t="str">
        <f>IF($B220="","",IF(AB$4&gt;DAY(EOMONTH(DATE($D$2,$B$2,1),0)),"",SUMIFS(DATA_GOC!$H:$H,DATA_GOC!$A:$A,"BOM",DATA_GOC!$D:$D,$B220,DATA_GOC!$F:$F,"Xuất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0" s="61" t="str">
        <f>IF($B220="","",IF(AC$4&gt;DAY(EOMONTH(DATE($D$2,$B$2,1),0)),"",SUMIFS(DATA_GOC!$H:$H,DATA_GOC!$A:$A,"BOM",DATA_GOC!$D:$D,$B220,DATA_GOC!$F:$F,"Xuất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0" s="222" t="str">
        <f>IF($B220="","",IF(AD$4&gt;DAY(EOMONTH(DATE($D$2,$B$2,1),0)),"",SUMIFS(DATA_GOC!$H:$H,DATA_GOC!$A:$A,"BOM",DATA_GOC!$D:$D,$B220,DATA_GOC!$F:$F,"Xuất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0" s="222" t="str">
        <f>IF($B220="","",IF(AE$4&gt;DAY(EOMONTH(DATE($D$2,$B$2,1),0)),"",SUMIFS(DATA_GOC!$H:$H,DATA_GOC!$A:$A,"BOM",DATA_GOC!$D:$D,$B220,DATA_GOC!$F:$F,"Xuất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0" s="222" t="str">
        <f>IF($B220="","",IF(AF$4&gt;DAY(EOMONTH(DATE($D$2,$B$2,1),0)),"",SUMIFS(DATA_GOC!$H:$H,DATA_GOC!$A:$A,"BOM",DATA_GOC!$D:$D,$B220,DATA_GOC!$F:$F,"Xuất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0" s="222" t="str">
        <f>IF($B220="","",IF(AG$4&gt;DAY(EOMONTH(DATE($D$2,$B$2,1),0)),"",SUMIFS(DATA_GOC!$H:$H,DATA_GOC!$A:$A,"BOM",DATA_GOC!$D:$D,$B220,DATA_GOC!$F:$F,"Xuất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0" s="222" t="str">
        <f t="shared" si="2"/>
        <v/>
      </c>
      <c r="AI220" s="222" t="str">
        <f>IF($B220="","",SUMIFS(DATA_GOC!$H:$H,DATA_GOC!$A:$A,"BOM",DATA_GOC!$D:$D,$B220,DATA_GOC!$F:$F,"Bơm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0" s="222" t="str">
        <f t="shared" si="3"/>
        <v/>
      </c>
      <c r="AM220" s="222" t="str">
        <f>IF($B220="","",SUMIFS(DATA_GOC!$K:$K,DATA_GOC!$A:$A,"BOM",DATA_GOC!$D:$D,$B220,DATA_GOC!$G:$G,"DO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0" s="222" t="str">
        <f t="shared" si="4"/>
        <v/>
      </c>
      <c r="AO220" s="227" t="str">
        <f t="shared" si="5"/>
        <v/>
      </c>
      <c r="AP220" s="226" t="str">
        <f>IF($B220="","",IFERROR(AO220-(SUMIFS(DATA_GOC!$H:$H,DATA_GOC!$A:$A,"BOM",DATA_GOC!$D:$D,$B220,DATA_GOC!$F:$F,"Xuất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1" ht="15.0" customHeight="1">
      <c r="A221" s="61" t="str">
        <f t="shared" si="1"/>
        <v/>
      </c>
      <c r="B221" s="61" t="str">
        <f t="array" ref="B221">IFERROR(INDEX(DANH_MUC!$E:$E,ROW()-1),"")</f>
        <v/>
      </c>
      <c r="C221" s="61" t="str">
        <f>IF($B221="","",IF(C$4&gt;DAY(EOMONTH(DATE($D$2,$B$2,1),0)),"",SUMIFS(DATA_GOC!$H:$H,DATA_GOC!$A:$A,"BOM",DATA_GOC!$D:$D,$B221,DATA_GOC!$F:$F,"Xuất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1" s="61" t="str">
        <f>IF($B221="","",IF(D$4&gt;DAY(EOMONTH(DATE($D$2,$B$2,1),0)),"",SUMIFS(DATA_GOC!$H:$H,DATA_GOC!$A:$A,"BOM",DATA_GOC!$D:$D,$B221,DATA_GOC!$F:$F,"Xuất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1" s="61" t="str">
        <f>IF($B221="","",IF(E$4&gt;DAY(EOMONTH(DATE($D$2,$B$2,1),0)),"",SUMIFS(DATA_GOC!$H:$H,DATA_GOC!$A:$A,"BOM",DATA_GOC!$D:$D,$B221,DATA_GOC!$F:$F,"Xuất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1" s="61" t="str">
        <f>IF($B221="","",IF(F$4&gt;DAY(EOMONTH(DATE($D$2,$B$2,1),0)),"",SUMIFS(DATA_GOC!$H:$H,DATA_GOC!$A:$A,"BOM",DATA_GOC!$D:$D,$B221,DATA_GOC!$F:$F,"Xuất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1" s="61" t="str">
        <f>IF($B221="","",IF(G$4&gt;DAY(EOMONTH(DATE($D$2,$B$2,1),0)),"",SUMIFS(DATA_GOC!$H:$H,DATA_GOC!$A:$A,"BOM",DATA_GOC!$D:$D,$B221,DATA_GOC!$F:$F,"Xuất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1" s="61" t="str">
        <f>IF($B221="","",IF(H$4&gt;DAY(EOMONTH(DATE($D$2,$B$2,1),0)),"",SUMIFS(DATA_GOC!$H:$H,DATA_GOC!$A:$A,"BOM",DATA_GOC!$D:$D,$B221,DATA_GOC!$F:$F,"Xuất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1" s="61" t="str">
        <f>IF($B221="","",IF(I$4&gt;DAY(EOMONTH(DATE($D$2,$B$2,1),0)),"",SUMIFS(DATA_GOC!$H:$H,DATA_GOC!$A:$A,"BOM",DATA_GOC!$D:$D,$B221,DATA_GOC!$F:$F,"Xuất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1" s="61" t="str">
        <f>IF($B221="","",IF(J$4&gt;DAY(EOMONTH(DATE($D$2,$B$2,1),0)),"",SUMIFS(DATA_GOC!$H:$H,DATA_GOC!$A:$A,"BOM",DATA_GOC!$D:$D,$B221,DATA_GOC!$F:$F,"Xuất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1" s="61" t="str">
        <f>IF($B221="","",IF(K$4&gt;DAY(EOMONTH(DATE($D$2,$B$2,1),0)),"",SUMIFS(DATA_GOC!$H:$H,DATA_GOC!$A:$A,"BOM",DATA_GOC!$D:$D,$B221,DATA_GOC!$F:$F,"Xuất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1" s="61" t="str">
        <f>IF($B221="","",IF(L$4&gt;DAY(EOMONTH(DATE($D$2,$B$2,1),0)),"",SUMIFS(DATA_GOC!$H:$H,DATA_GOC!$A:$A,"BOM",DATA_GOC!$D:$D,$B221,DATA_GOC!$F:$F,"Xuất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1" s="61" t="str">
        <f>IF($B221="","",IF(M$4&gt;DAY(EOMONTH(DATE($D$2,$B$2,1),0)),"",SUMIFS(DATA_GOC!$H:$H,DATA_GOC!$A:$A,"BOM",DATA_GOC!$D:$D,$B221,DATA_GOC!$F:$F,"Xuất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1" s="61" t="str">
        <f>IF($B221="","",IF(N$4&gt;DAY(EOMONTH(DATE($D$2,$B$2,1),0)),"",SUMIFS(DATA_GOC!$H:$H,DATA_GOC!$A:$A,"BOM",DATA_GOC!$D:$D,$B221,DATA_GOC!$F:$F,"Xuất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1" s="61" t="str">
        <f>IF($B221="","",IF(O$4&gt;DAY(EOMONTH(DATE($D$2,$B$2,1),0)),"",SUMIFS(DATA_GOC!$H:$H,DATA_GOC!$A:$A,"BOM",DATA_GOC!$D:$D,$B221,DATA_GOC!$F:$F,"Xuất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1" s="61" t="str">
        <f>IF($B221="","",IF(P$4&gt;DAY(EOMONTH(DATE($D$2,$B$2,1),0)),"",SUMIFS(DATA_GOC!$H:$H,DATA_GOC!$A:$A,"BOM",DATA_GOC!$D:$D,$B221,DATA_GOC!$F:$F,"Xuất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1" s="61" t="str">
        <f>IF($B221="","",IF(Q$4&gt;DAY(EOMONTH(DATE($D$2,$B$2,1),0)),"",SUMIFS(DATA_GOC!$H:$H,DATA_GOC!$A:$A,"BOM",DATA_GOC!$D:$D,$B221,DATA_GOC!$F:$F,"Xuất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1" s="61" t="str">
        <f>IF($B221="","",IF(R$4&gt;DAY(EOMONTH(DATE($D$2,$B$2,1),0)),"",SUMIFS(DATA_GOC!$H:$H,DATA_GOC!$A:$A,"BOM",DATA_GOC!$D:$D,$B221,DATA_GOC!$F:$F,"Xuất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1" s="61" t="str">
        <f>IF($B221="","",IF(S$4&gt;DAY(EOMONTH(DATE($D$2,$B$2,1),0)),"",SUMIFS(DATA_GOC!$H:$H,DATA_GOC!$A:$A,"BOM",DATA_GOC!$D:$D,$B221,DATA_GOC!$F:$F,"Xuất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1" s="61" t="str">
        <f>IF($B221="","",IF(T$4&gt;DAY(EOMONTH(DATE($D$2,$B$2,1),0)),"",SUMIFS(DATA_GOC!$H:$H,DATA_GOC!$A:$A,"BOM",DATA_GOC!$D:$D,$B221,DATA_GOC!$F:$F,"Xuất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1" s="61" t="str">
        <f>IF($B221="","",IF(U$4&gt;DAY(EOMONTH(DATE($D$2,$B$2,1),0)),"",SUMIFS(DATA_GOC!$H:$H,DATA_GOC!$A:$A,"BOM",DATA_GOC!$D:$D,$B221,DATA_GOC!$F:$F,"Xuất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1" s="61" t="str">
        <f>IF($B221="","",IF(V$4&gt;DAY(EOMONTH(DATE($D$2,$B$2,1),0)),"",SUMIFS(DATA_GOC!$H:$H,DATA_GOC!$A:$A,"BOM",DATA_GOC!$D:$D,$B221,DATA_GOC!$F:$F,"Xuất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1" s="61" t="str">
        <f>IF($B221="","",IF(W$4&gt;DAY(EOMONTH(DATE($D$2,$B$2,1),0)),"",SUMIFS(DATA_GOC!$H:$H,DATA_GOC!$A:$A,"BOM",DATA_GOC!$D:$D,$B221,DATA_GOC!$F:$F,"Xuất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1" s="61" t="str">
        <f>IF($B221="","",IF(X$4&gt;DAY(EOMONTH(DATE($D$2,$B$2,1),0)),"",SUMIFS(DATA_GOC!$H:$H,DATA_GOC!$A:$A,"BOM",DATA_GOC!$D:$D,$B221,DATA_GOC!$F:$F,"Xuất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1" s="61" t="str">
        <f>IF($B221="","",IF(Y$4&gt;DAY(EOMONTH(DATE($D$2,$B$2,1),0)),"",SUMIFS(DATA_GOC!$H:$H,DATA_GOC!$A:$A,"BOM",DATA_GOC!$D:$D,$B221,DATA_GOC!$F:$F,"Xuất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1" s="61" t="str">
        <f>IF($B221="","",IF(Z$4&gt;DAY(EOMONTH(DATE($D$2,$B$2,1),0)),"",SUMIFS(DATA_GOC!$H:$H,DATA_GOC!$A:$A,"BOM",DATA_GOC!$D:$D,$B221,DATA_GOC!$F:$F,"Xuất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1" s="61" t="str">
        <f>IF($B221="","",IF(AA$4&gt;DAY(EOMONTH(DATE($D$2,$B$2,1),0)),"",SUMIFS(DATA_GOC!$H:$H,DATA_GOC!$A:$A,"BOM",DATA_GOC!$D:$D,$B221,DATA_GOC!$F:$F,"Xuất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1" s="61" t="str">
        <f>IF($B221="","",IF(AB$4&gt;DAY(EOMONTH(DATE($D$2,$B$2,1),0)),"",SUMIFS(DATA_GOC!$H:$H,DATA_GOC!$A:$A,"BOM",DATA_GOC!$D:$D,$B221,DATA_GOC!$F:$F,"Xuất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1" s="61" t="str">
        <f>IF($B221="","",IF(AC$4&gt;DAY(EOMONTH(DATE($D$2,$B$2,1),0)),"",SUMIFS(DATA_GOC!$H:$H,DATA_GOC!$A:$A,"BOM",DATA_GOC!$D:$D,$B221,DATA_GOC!$F:$F,"Xuất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1" s="222" t="str">
        <f>IF($B221="","",IF(AD$4&gt;DAY(EOMONTH(DATE($D$2,$B$2,1),0)),"",SUMIFS(DATA_GOC!$H:$H,DATA_GOC!$A:$A,"BOM",DATA_GOC!$D:$D,$B221,DATA_GOC!$F:$F,"Xuất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1" s="222" t="str">
        <f>IF($B221="","",IF(AE$4&gt;DAY(EOMONTH(DATE($D$2,$B$2,1),0)),"",SUMIFS(DATA_GOC!$H:$H,DATA_GOC!$A:$A,"BOM",DATA_GOC!$D:$D,$B221,DATA_GOC!$F:$F,"Xuất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1" s="222" t="str">
        <f>IF($B221="","",IF(AF$4&gt;DAY(EOMONTH(DATE($D$2,$B$2,1),0)),"",SUMIFS(DATA_GOC!$H:$H,DATA_GOC!$A:$A,"BOM",DATA_GOC!$D:$D,$B221,DATA_GOC!$F:$F,"Xuất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1" s="222" t="str">
        <f>IF($B221="","",IF(AG$4&gt;DAY(EOMONTH(DATE($D$2,$B$2,1),0)),"",SUMIFS(DATA_GOC!$H:$H,DATA_GOC!$A:$A,"BOM",DATA_GOC!$D:$D,$B221,DATA_GOC!$F:$F,"Xuất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1" s="222" t="str">
        <f t="shared" si="2"/>
        <v/>
      </c>
      <c r="AI221" s="222" t="str">
        <f>IF($B221="","",SUMIFS(DATA_GOC!$H:$H,DATA_GOC!$A:$A,"BOM",DATA_GOC!$D:$D,$B221,DATA_GOC!$F:$F,"Bơm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1" s="222" t="str">
        <f t="shared" si="3"/>
        <v/>
      </c>
      <c r="AM221" s="222" t="str">
        <f>IF($B221="","",SUMIFS(DATA_GOC!$K:$K,DATA_GOC!$A:$A,"BOM",DATA_GOC!$D:$D,$B221,DATA_GOC!$G:$G,"DO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1" s="222" t="str">
        <f t="shared" si="4"/>
        <v/>
      </c>
      <c r="AO221" s="227" t="str">
        <f t="shared" si="5"/>
        <v/>
      </c>
      <c r="AP221" s="226" t="str">
        <f>IF($B221="","",IFERROR(AO221-(SUMIFS(DATA_GOC!$H:$H,DATA_GOC!$A:$A,"BOM",DATA_GOC!$D:$D,$B221,DATA_GOC!$F:$F,"Xuất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2" ht="15.0" customHeight="1">
      <c r="A222" s="61" t="str">
        <f t="shared" si="1"/>
        <v/>
      </c>
      <c r="B222" s="61" t="str">
        <f t="array" ref="B222">IFERROR(INDEX(DANH_MUC!$E:$E,ROW()-1),"")</f>
        <v/>
      </c>
      <c r="C222" s="61" t="str">
        <f>IF($B222="","",IF(C$4&gt;DAY(EOMONTH(DATE($D$2,$B$2,1),0)),"",SUMIFS(DATA_GOC!$H:$H,DATA_GOC!$A:$A,"BOM",DATA_GOC!$D:$D,$B222,DATA_GOC!$F:$F,"Xuất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2" s="61" t="str">
        <f>IF($B222="","",IF(D$4&gt;DAY(EOMONTH(DATE($D$2,$B$2,1),0)),"",SUMIFS(DATA_GOC!$H:$H,DATA_GOC!$A:$A,"BOM",DATA_GOC!$D:$D,$B222,DATA_GOC!$F:$F,"Xuất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2" s="61" t="str">
        <f>IF($B222="","",IF(E$4&gt;DAY(EOMONTH(DATE($D$2,$B$2,1),0)),"",SUMIFS(DATA_GOC!$H:$H,DATA_GOC!$A:$A,"BOM",DATA_GOC!$D:$D,$B222,DATA_GOC!$F:$F,"Xuất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2" s="61" t="str">
        <f>IF($B222="","",IF(F$4&gt;DAY(EOMONTH(DATE($D$2,$B$2,1),0)),"",SUMIFS(DATA_GOC!$H:$H,DATA_GOC!$A:$A,"BOM",DATA_GOC!$D:$D,$B222,DATA_GOC!$F:$F,"Xuất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2" s="61" t="str">
        <f>IF($B222="","",IF(G$4&gt;DAY(EOMONTH(DATE($D$2,$B$2,1),0)),"",SUMIFS(DATA_GOC!$H:$H,DATA_GOC!$A:$A,"BOM",DATA_GOC!$D:$D,$B222,DATA_GOC!$F:$F,"Xuất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2" s="61" t="str">
        <f>IF($B222="","",IF(H$4&gt;DAY(EOMONTH(DATE($D$2,$B$2,1),0)),"",SUMIFS(DATA_GOC!$H:$H,DATA_GOC!$A:$A,"BOM",DATA_GOC!$D:$D,$B222,DATA_GOC!$F:$F,"Xuất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2" s="61" t="str">
        <f>IF($B222="","",IF(I$4&gt;DAY(EOMONTH(DATE($D$2,$B$2,1),0)),"",SUMIFS(DATA_GOC!$H:$H,DATA_GOC!$A:$A,"BOM",DATA_GOC!$D:$D,$B222,DATA_GOC!$F:$F,"Xuất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2" s="61" t="str">
        <f>IF($B222="","",IF(J$4&gt;DAY(EOMONTH(DATE($D$2,$B$2,1),0)),"",SUMIFS(DATA_GOC!$H:$H,DATA_GOC!$A:$A,"BOM",DATA_GOC!$D:$D,$B222,DATA_GOC!$F:$F,"Xuất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2" s="61" t="str">
        <f>IF($B222="","",IF(K$4&gt;DAY(EOMONTH(DATE($D$2,$B$2,1),0)),"",SUMIFS(DATA_GOC!$H:$H,DATA_GOC!$A:$A,"BOM",DATA_GOC!$D:$D,$B222,DATA_GOC!$F:$F,"Xuất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2" s="61" t="str">
        <f>IF($B222="","",IF(L$4&gt;DAY(EOMONTH(DATE($D$2,$B$2,1),0)),"",SUMIFS(DATA_GOC!$H:$H,DATA_GOC!$A:$A,"BOM",DATA_GOC!$D:$D,$B222,DATA_GOC!$F:$F,"Xuất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2" s="61" t="str">
        <f>IF($B222="","",IF(M$4&gt;DAY(EOMONTH(DATE($D$2,$B$2,1),0)),"",SUMIFS(DATA_GOC!$H:$H,DATA_GOC!$A:$A,"BOM",DATA_GOC!$D:$D,$B222,DATA_GOC!$F:$F,"Xuất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2" s="61" t="str">
        <f>IF($B222="","",IF(N$4&gt;DAY(EOMONTH(DATE($D$2,$B$2,1),0)),"",SUMIFS(DATA_GOC!$H:$H,DATA_GOC!$A:$A,"BOM",DATA_GOC!$D:$D,$B222,DATA_GOC!$F:$F,"Xuất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2" s="61" t="str">
        <f>IF($B222="","",IF(O$4&gt;DAY(EOMONTH(DATE($D$2,$B$2,1),0)),"",SUMIFS(DATA_GOC!$H:$H,DATA_GOC!$A:$A,"BOM",DATA_GOC!$D:$D,$B222,DATA_GOC!$F:$F,"Xuất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2" s="61" t="str">
        <f>IF($B222="","",IF(P$4&gt;DAY(EOMONTH(DATE($D$2,$B$2,1),0)),"",SUMIFS(DATA_GOC!$H:$H,DATA_GOC!$A:$A,"BOM",DATA_GOC!$D:$D,$B222,DATA_GOC!$F:$F,"Xuất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2" s="61" t="str">
        <f>IF($B222="","",IF(Q$4&gt;DAY(EOMONTH(DATE($D$2,$B$2,1),0)),"",SUMIFS(DATA_GOC!$H:$H,DATA_GOC!$A:$A,"BOM",DATA_GOC!$D:$D,$B222,DATA_GOC!$F:$F,"Xuất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2" s="61" t="str">
        <f>IF($B222="","",IF(R$4&gt;DAY(EOMONTH(DATE($D$2,$B$2,1),0)),"",SUMIFS(DATA_GOC!$H:$H,DATA_GOC!$A:$A,"BOM",DATA_GOC!$D:$D,$B222,DATA_GOC!$F:$F,"Xuất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2" s="61" t="str">
        <f>IF($B222="","",IF(S$4&gt;DAY(EOMONTH(DATE($D$2,$B$2,1),0)),"",SUMIFS(DATA_GOC!$H:$H,DATA_GOC!$A:$A,"BOM",DATA_GOC!$D:$D,$B222,DATA_GOC!$F:$F,"Xuất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2" s="61" t="str">
        <f>IF($B222="","",IF(T$4&gt;DAY(EOMONTH(DATE($D$2,$B$2,1),0)),"",SUMIFS(DATA_GOC!$H:$H,DATA_GOC!$A:$A,"BOM",DATA_GOC!$D:$D,$B222,DATA_GOC!$F:$F,"Xuất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2" s="61" t="str">
        <f>IF($B222="","",IF(U$4&gt;DAY(EOMONTH(DATE($D$2,$B$2,1),0)),"",SUMIFS(DATA_GOC!$H:$H,DATA_GOC!$A:$A,"BOM",DATA_GOC!$D:$D,$B222,DATA_GOC!$F:$F,"Xuất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2" s="61" t="str">
        <f>IF($B222="","",IF(V$4&gt;DAY(EOMONTH(DATE($D$2,$B$2,1),0)),"",SUMIFS(DATA_GOC!$H:$H,DATA_GOC!$A:$A,"BOM",DATA_GOC!$D:$D,$B222,DATA_GOC!$F:$F,"Xuất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2" s="61" t="str">
        <f>IF($B222="","",IF(W$4&gt;DAY(EOMONTH(DATE($D$2,$B$2,1),0)),"",SUMIFS(DATA_GOC!$H:$H,DATA_GOC!$A:$A,"BOM",DATA_GOC!$D:$D,$B222,DATA_GOC!$F:$F,"Xuất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2" s="61" t="str">
        <f>IF($B222="","",IF(X$4&gt;DAY(EOMONTH(DATE($D$2,$B$2,1),0)),"",SUMIFS(DATA_GOC!$H:$H,DATA_GOC!$A:$A,"BOM",DATA_GOC!$D:$D,$B222,DATA_GOC!$F:$F,"Xuất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2" s="61" t="str">
        <f>IF($B222="","",IF(Y$4&gt;DAY(EOMONTH(DATE($D$2,$B$2,1),0)),"",SUMIFS(DATA_GOC!$H:$H,DATA_GOC!$A:$A,"BOM",DATA_GOC!$D:$D,$B222,DATA_GOC!$F:$F,"Xuất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2" s="61" t="str">
        <f>IF($B222="","",IF(Z$4&gt;DAY(EOMONTH(DATE($D$2,$B$2,1),0)),"",SUMIFS(DATA_GOC!$H:$H,DATA_GOC!$A:$A,"BOM",DATA_GOC!$D:$D,$B222,DATA_GOC!$F:$F,"Xuất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2" s="61" t="str">
        <f>IF($B222="","",IF(AA$4&gt;DAY(EOMONTH(DATE($D$2,$B$2,1),0)),"",SUMIFS(DATA_GOC!$H:$H,DATA_GOC!$A:$A,"BOM",DATA_GOC!$D:$D,$B222,DATA_GOC!$F:$F,"Xuất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2" s="61" t="str">
        <f>IF($B222="","",IF(AB$4&gt;DAY(EOMONTH(DATE($D$2,$B$2,1),0)),"",SUMIFS(DATA_GOC!$H:$H,DATA_GOC!$A:$A,"BOM",DATA_GOC!$D:$D,$B222,DATA_GOC!$F:$F,"Xuất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2" s="61" t="str">
        <f>IF($B222="","",IF(AC$4&gt;DAY(EOMONTH(DATE($D$2,$B$2,1),0)),"",SUMIFS(DATA_GOC!$H:$H,DATA_GOC!$A:$A,"BOM",DATA_GOC!$D:$D,$B222,DATA_GOC!$F:$F,"Xuất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2" s="222" t="str">
        <f>IF($B222="","",IF(AD$4&gt;DAY(EOMONTH(DATE($D$2,$B$2,1),0)),"",SUMIFS(DATA_GOC!$H:$H,DATA_GOC!$A:$A,"BOM",DATA_GOC!$D:$D,$B222,DATA_GOC!$F:$F,"Xuất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2" s="222" t="str">
        <f>IF($B222="","",IF(AE$4&gt;DAY(EOMONTH(DATE($D$2,$B$2,1),0)),"",SUMIFS(DATA_GOC!$H:$H,DATA_GOC!$A:$A,"BOM",DATA_GOC!$D:$D,$B222,DATA_GOC!$F:$F,"Xuất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2" s="222" t="str">
        <f>IF($B222="","",IF(AF$4&gt;DAY(EOMONTH(DATE($D$2,$B$2,1),0)),"",SUMIFS(DATA_GOC!$H:$H,DATA_GOC!$A:$A,"BOM",DATA_GOC!$D:$D,$B222,DATA_GOC!$F:$F,"Xuất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2" s="222" t="str">
        <f>IF($B222="","",IF(AG$4&gt;DAY(EOMONTH(DATE($D$2,$B$2,1),0)),"",SUMIFS(DATA_GOC!$H:$H,DATA_GOC!$A:$A,"BOM",DATA_GOC!$D:$D,$B222,DATA_GOC!$F:$F,"Xuất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2" s="222" t="str">
        <f t="shared" si="2"/>
        <v/>
      </c>
      <c r="AI222" s="222" t="str">
        <f>IF($B222="","",SUMIFS(DATA_GOC!$H:$H,DATA_GOC!$A:$A,"BOM",DATA_GOC!$D:$D,$B222,DATA_GOC!$F:$F,"Bơm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2" s="222" t="str">
        <f t="shared" si="3"/>
        <v/>
      </c>
      <c r="AM222" s="222" t="str">
        <f>IF($B222="","",SUMIFS(DATA_GOC!$K:$K,DATA_GOC!$A:$A,"BOM",DATA_GOC!$D:$D,$B222,DATA_GOC!$G:$G,"DO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2" s="222" t="str">
        <f t="shared" si="4"/>
        <v/>
      </c>
      <c r="AO222" s="227" t="str">
        <f t="shared" si="5"/>
        <v/>
      </c>
      <c r="AP222" s="226" t="str">
        <f>IF($B222="","",IFERROR(AO222-(SUMIFS(DATA_GOC!$H:$H,DATA_GOC!$A:$A,"BOM",DATA_GOC!$D:$D,$B222,DATA_GOC!$F:$F,"Xuất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3" ht="15.0" customHeight="1">
      <c r="A223" s="61" t="str">
        <f t="shared" si="1"/>
        <v/>
      </c>
      <c r="B223" s="61" t="str">
        <f t="array" ref="B223">IFERROR(INDEX(DANH_MUC!$E:$E,ROW()-1),"")</f>
        <v/>
      </c>
      <c r="C223" s="61" t="str">
        <f>IF($B223="","",IF(C$4&gt;DAY(EOMONTH(DATE($D$2,$B$2,1),0)),"",SUMIFS(DATA_GOC!$H:$H,DATA_GOC!$A:$A,"BOM",DATA_GOC!$D:$D,$B223,DATA_GOC!$F:$F,"Xuất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3" s="61" t="str">
        <f>IF($B223="","",IF(D$4&gt;DAY(EOMONTH(DATE($D$2,$B$2,1),0)),"",SUMIFS(DATA_GOC!$H:$H,DATA_GOC!$A:$A,"BOM",DATA_GOC!$D:$D,$B223,DATA_GOC!$F:$F,"Xuất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3" s="61" t="str">
        <f>IF($B223="","",IF(E$4&gt;DAY(EOMONTH(DATE($D$2,$B$2,1),0)),"",SUMIFS(DATA_GOC!$H:$H,DATA_GOC!$A:$A,"BOM",DATA_GOC!$D:$D,$B223,DATA_GOC!$F:$F,"Xuất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3" s="61" t="str">
        <f>IF($B223="","",IF(F$4&gt;DAY(EOMONTH(DATE($D$2,$B$2,1),0)),"",SUMIFS(DATA_GOC!$H:$H,DATA_GOC!$A:$A,"BOM",DATA_GOC!$D:$D,$B223,DATA_GOC!$F:$F,"Xuất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3" s="61" t="str">
        <f>IF($B223="","",IF(G$4&gt;DAY(EOMONTH(DATE($D$2,$B$2,1),0)),"",SUMIFS(DATA_GOC!$H:$H,DATA_GOC!$A:$A,"BOM",DATA_GOC!$D:$D,$B223,DATA_GOC!$F:$F,"Xuất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3" s="61" t="str">
        <f>IF($B223="","",IF(H$4&gt;DAY(EOMONTH(DATE($D$2,$B$2,1),0)),"",SUMIFS(DATA_GOC!$H:$H,DATA_GOC!$A:$A,"BOM",DATA_GOC!$D:$D,$B223,DATA_GOC!$F:$F,"Xuất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3" s="61" t="str">
        <f>IF($B223="","",IF(I$4&gt;DAY(EOMONTH(DATE($D$2,$B$2,1),0)),"",SUMIFS(DATA_GOC!$H:$H,DATA_GOC!$A:$A,"BOM",DATA_GOC!$D:$D,$B223,DATA_GOC!$F:$F,"Xuất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3" s="61" t="str">
        <f>IF($B223="","",IF(J$4&gt;DAY(EOMONTH(DATE($D$2,$B$2,1),0)),"",SUMIFS(DATA_GOC!$H:$H,DATA_GOC!$A:$A,"BOM",DATA_GOC!$D:$D,$B223,DATA_GOC!$F:$F,"Xuất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3" s="61" t="str">
        <f>IF($B223="","",IF(K$4&gt;DAY(EOMONTH(DATE($D$2,$B$2,1),0)),"",SUMIFS(DATA_GOC!$H:$H,DATA_GOC!$A:$A,"BOM",DATA_GOC!$D:$D,$B223,DATA_GOC!$F:$F,"Xuất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3" s="61" t="str">
        <f>IF($B223="","",IF(L$4&gt;DAY(EOMONTH(DATE($D$2,$B$2,1),0)),"",SUMIFS(DATA_GOC!$H:$H,DATA_GOC!$A:$A,"BOM",DATA_GOC!$D:$D,$B223,DATA_GOC!$F:$F,"Xuất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3" s="61" t="str">
        <f>IF($B223="","",IF(M$4&gt;DAY(EOMONTH(DATE($D$2,$B$2,1),0)),"",SUMIFS(DATA_GOC!$H:$H,DATA_GOC!$A:$A,"BOM",DATA_GOC!$D:$D,$B223,DATA_GOC!$F:$F,"Xuất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3" s="61" t="str">
        <f>IF($B223="","",IF(N$4&gt;DAY(EOMONTH(DATE($D$2,$B$2,1),0)),"",SUMIFS(DATA_GOC!$H:$H,DATA_GOC!$A:$A,"BOM",DATA_GOC!$D:$D,$B223,DATA_GOC!$F:$F,"Xuất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3" s="61" t="str">
        <f>IF($B223="","",IF(O$4&gt;DAY(EOMONTH(DATE($D$2,$B$2,1),0)),"",SUMIFS(DATA_GOC!$H:$H,DATA_GOC!$A:$A,"BOM",DATA_GOC!$D:$D,$B223,DATA_GOC!$F:$F,"Xuất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3" s="61" t="str">
        <f>IF($B223="","",IF(P$4&gt;DAY(EOMONTH(DATE($D$2,$B$2,1),0)),"",SUMIFS(DATA_GOC!$H:$H,DATA_GOC!$A:$A,"BOM",DATA_GOC!$D:$D,$B223,DATA_GOC!$F:$F,"Xuất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3" s="61" t="str">
        <f>IF($B223="","",IF(Q$4&gt;DAY(EOMONTH(DATE($D$2,$B$2,1),0)),"",SUMIFS(DATA_GOC!$H:$H,DATA_GOC!$A:$A,"BOM",DATA_GOC!$D:$D,$B223,DATA_GOC!$F:$F,"Xuất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3" s="61" t="str">
        <f>IF($B223="","",IF(R$4&gt;DAY(EOMONTH(DATE($D$2,$B$2,1),0)),"",SUMIFS(DATA_GOC!$H:$H,DATA_GOC!$A:$A,"BOM",DATA_GOC!$D:$D,$B223,DATA_GOC!$F:$F,"Xuất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3" s="61" t="str">
        <f>IF($B223="","",IF(S$4&gt;DAY(EOMONTH(DATE($D$2,$B$2,1),0)),"",SUMIFS(DATA_GOC!$H:$H,DATA_GOC!$A:$A,"BOM",DATA_GOC!$D:$D,$B223,DATA_GOC!$F:$F,"Xuất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3" s="61" t="str">
        <f>IF($B223="","",IF(T$4&gt;DAY(EOMONTH(DATE($D$2,$B$2,1),0)),"",SUMIFS(DATA_GOC!$H:$H,DATA_GOC!$A:$A,"BOM",DATA_GOC!$D:$D,$B223,DATA_GOC!$F:$F,"Xuất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3" s="61" t="str">
        <f>IF($B223="","",IF(U$4&gt;DAY(EOMONTH(DATE($D$2,$B$2,1),0)),"",SUMIFS(DATA_GOC!$H:$H,DATA_GOC!$A:$A,"BOM",DATA_GOC!$D:$D,$B223,DATA_GOC!$F:$F,"Xuất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3" s="61" t="str">
        <f>IF($B223="","",IF(V$4&gt;DAY(EOMONTH(DATE($D$2,$B$2,1),0)),"",SUMIFS(DATA_GOC!$H:$H,DATA_GOC!$A:$A,"BOM",DATA_GOC!$D:$D,$B223,DATA_GOC!$F:$F,"Xuất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3" s="61" t="str">
        <f>IF($B223="","",IF(W$4&gt;DAY(EOMONTH(DATE($D$2,$B$2,1),0)),"",SUMIFS(DATA_GOC!$H:$H,DATA_GOC!$A:$A,"BOM",DATA_GOC!$D:$D,$B223,DATA_GOC!$F:$F,"Xuất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3" s="61" t="str">
        <f>IF($B223="","",IF(X$4&gt;DAY(EOMONTH(DATE($D$2,$B$2,1),0)),"",SUMIFS(DATA_GOC!$H:$H,DATA_GOC!$A:$A,"BOM",DATA_GOC!$D:$D,$B223,DATA_GOC!$F:$F,"Xuất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3" s="61" t="str">
        <f>IF($B223="","",IF(Y$4&gt;DAY(EOMONTH(DATE($D$2,$B$2,1),0)),"",SUMIFS(DATA_GOC!$H:$H,DATA_GOC!$A:$A,"BOM",DATA_GOC!$D:$D,$B223,DATA_GOC!$F:$F,"Xuất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3" s="61" t="str">
        <f>IF($B223="","",IF(Z$4&gt;DAY(EOMONTH(DATE($D$2,$B$2,1),0)),"",SUMIFS(DATA_GOC!$H:$H,DATA_GOC!$A:$A,"BOM",DATA_GOC!$D:$D,$B223,DATA_GOC!$F:$F,"Xuất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3" s="61" t="str">
        <f>IF($B223="","",IF(AA$4&gt;DAY(EOMONTH(DATE($D$2,$B$2,1),0)),"",SUMIFS(DATA_GOC!$H:$H,DATA_GOC!$A:$A,"BOM",DATA_GOC!$D:$D,$B223,DATA_GOC!$F:$F,"Xuất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3" s="61" t="str">
        <f>IF($B223="","",IF(AB$4&gt;DAY(EOMONTH(DATE($D$2,$B$2,1),0)),"",SUMIFS(DATA_GOC!$H:$H,DATA_GOC!$A:$A,"BOM",DATA_GOC!$D:$D,$B223,DATA_GOC!$F:$F,"Xuất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3" s="61" t="str">
        <f>IF($B223="","",IF(AC$4&gt;DAY(EOMONTH(DATE($D$2,$B$2,1),0)),"",SUMIFS(DATA_GOC!$H:$H,DATA_GOC!$A:$A,"BOM",DATA_GOC!$D:$D,$B223,DATA_GOC!$F:$F,"Xuất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3" s="222" t="str">
        <f>IF($B223="","",IF(AD$4&gt;DAY(EOMONTH(DATE($D$2,$B$2,1),0)),"",SUMIFS(DATA_GOC!$H:$H,DATA_GOC!$A:$A,"BOM",DATA_GOC!$D:$D,$B223,DATA_GOC!$F:$F,"Xuất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3" s="222" t="str">
        <f>IF($B223="","",IF(AE$4&gt;DAY(EOMONTH(DATE($D$2,$B$2,1),0)),"",SUMIFS(DATA_GOC!$H:$H,DATA_GOC!$A:$A,"BOM",DATA_GOC!$D:$D,$B223,DATA_GOC!$F:$F,"Xuất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3" s="222" t="str">
        <f>IF($B223="","",IF(AF$4&gt;DAY(EOMONTH(DATE($D$2,$B$2,1),0)),"",SUMIFS(DATA_GOC!$H:$H,DATA_GOC!$A:$A,"BOM",DATA_GOC!$D:$D,$B223,DATA_GOC!$F:$F,"Xuất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3" s="222" t="str">
        <f>IF($B223="","",IF(AG$4&gt;DAY(EOMONTH(DATE($D$2,$B$2,1),0)),"",SUMIFS(DATA_GOC!$H:$H,DATA_GOC!$A:$A,"BOM",DATA_GOC!$D:$D,$B223,DATA_GOC!$F:$F,"Xuất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3" s="222" t="str">
        <f t="shared" si="2"/>
        <v/>
      </c>
      <c r="AI223" s="222" t="str">
        <f>IF($B223="","",SUMIFS(DATA_GOC!$H:$H,DATA_GOC!$A:$A,"BOM",DATA_GOC!$D:$D,$B223,DATA_GOC!$F:$F,"Bơm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3" s="222" t="str">
        <f t="shared" si="3"/>
        <v/>
      </c>
      <c r="AM223" s="222" t="str">
        <f>IF($B223="","",SUMIFS(DATA_GOC!$K:$K,DATA_GOC!$A:$A,"BOM",DATA_GOC!$D:$D,$B223,DATA_GOC!$G:$G,"DO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3" s="222" t="str">
        <f t="shared" si="4"/>
        <v/>
      </c>
      <c r="AO223" s="227" t="str">
        <f t="shared" si="5"/>
        <v/>
      </c>
      <c r="AP223" s="226" t="str">
        <f>IF($B223="","",IFERROR(AO223-(SUMIFS(DATA_GOC!$H:$H,DATA_GOC!$A:$A,"BOM",DATA_GOC!$D:$D,$B223,DATA_GOC!$F:$F,"Xuất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4" ht="15.0" customHeight="1">
      <c r="A224" s="61" t="str">
        <f t="shared" si="1"/>
        <v/>
      </c>
      <c r="B224" s="61" t="str">
        <f t="array" ref="B224">IFERROR(INDEX(DANH_MUC!$E:$E,ROW()-1),"")</f>
        <v/>
      </c>
      <c r="C224" s="61" t="str">
        <f>IF($B224="","",IF(C$4&gt;DAY(EOMONTH(DATE($D$2,$B$2,1),0)),"",SUMIFS(DATA_GOC!$H:$H,DATA_GOC!$A:$A,"BOM",DATA_GOC!$D:$D,$B224,DATA_GOC!$F:$F,"Xuất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4" s="61" t="str">
        <f>IF($B224="","",IF(D$4&gt;DAY(EOMONTH(DATE($D$2,$B$2,1),0)),"",SUMIFS(DATA_GOC!$H:$H,DATA_GOC!$A:$A,"BOM",DATA_GOC!$D:$D,$B224,DATA_GOC!$F:$F,"Xuất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4" s="61" t="str">
        <f>IF($B224="","",IF(E$4&gt;DAY(EOMONTH(DATE($D$2,$B$2,1),0)),"",SUMIFS(DATA_GOC!$H:$H,DATA_GOC!$A:$A,"BOM",DATA_GOC!$D:$D,$B224,DATA_GOC!$F:$F,"Xuất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4" s="61" t="str">
        <f>IF($B224="","",IF(F$4&gt;DAY(EOMONTH(DATE($D$2,$B$2,1),0)),"",SUMIFS(DATA_GOC!$H:$H,DATA_GOC!$A:$A,"BOM",DATA_GOC!$D:$D,$B224,DATA_GOC!$F:$F,"Xuất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4" s="61" t="str">
        <f>IF($B224="","",IF(G$4&gt;DAY(EOMONTH(DATE($D$2,$B$2,1),0)),"",SUMIFS(DATA_GOC!$H:$H,DATA_GOC!$A:$A,"BOM",DATA_GOC!$D:$D,$B224,DATA_GOC!$F:$F,"Xuất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4" s="61" t="str">
        <f>IF($B224="","",IF(H$4&gt;DAY(EOMONTH(DATE($D$2,$B$2,1),0)),"",SUMIFS(DATA_GOC!$H:$H,DATA_GOC!$A:$A,"BOM",DATA_GOC!$D:$D,$B224,DATA_GOC!$F:$F,"Xuất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4" s="61" t="str">
        <f>IF($B224="","",IF(I$4&gt;DAY(EOMONTH(DATE($D$2,$B$2,1),0)),"",SUMIFS(DATA_GOC!$H:$H,DATA_GOC!$A:$A,"BOM",DATA_GOC!$D:$D,$B224,DATA_GOC!$F:$F,"Xuất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4" s="61" t="str">
        <f>IF($B224="","",IF(J$4&gt;DAY(EOMONTH(DATE($D$2,$B$2,1),0)),"",SUMIFS(DATA_GOC!$H:$H,DATA_GOC!$A:$A,"BOM",DATA_GOC!$D:$D,$B224,DATA_GOC!$F:$F,"Xuất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4" s="61" t="str">
        <f>IF($B224="","",IF(K$4&gt;DAY(EOMONTH(DATE($D$2,$B$2,1),0)),"",SUMIFS(DATA_GOC!$H:$H,DATA_GOC!$A:$A,"BOM",DATA_GOC!$D:$D,$B224,DATA_GOC!$F:$F,"Xuất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4" s="61" t="str">
        <f>IF($B224="","",IF(L$4&gt;DAY(EOMONTH(DATE($D$2,$B$2,1),0)),"",SUMIFS(DATA_GOC!$H:$H,DATA_GOC!$A:$A,"BOM",DATA_GOC!$D:$D,$B224,DATA_GOC!$F:$F,"Xuất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4" s="61" t="str">
        <f>IF($B224="","",IF(M$4&gt;DAY(EOMONTH(DATE($D$2,$B$2,1),0)),"",SUMIFS(DATA_GOC!$H:$H,DATA_GOC!$A:$A,"BOM",DATA_GOC!$D:$D,$B224,DATA_GOC!$F:$F,"Xuất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4" s="61" t="str">
        <f>IF($B224="","",IF(N$4&gt;DAY(EOMONTH(DATE($D$2,$B$2,1),0)),"",SUMIFS(DATA_GOC!$H:$H,DATA_GOC!$A:$A,"BOM",DATA_GOC!$D:$D,$B224,DATA_GOC!$F:$F,"Xuất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4" s="61" t="str">
        <f>IF($B224="","",IF(O$4&gt;DAY(EOMONTH(DATE($D$2,$B$2,1),0)),"",SUMIFS(DATA_GOC!$H:$H,DATA_GOC!$A:$A,"BOM",DATA_GOC!$D:$D,$B224,DATA_GOC!$F:$F,"Xuất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4" s="61" t="str">
        <f>IF($B224="","",IF(P$4&gt;DAY(EOMONTH(DATE($D$2,$B$2,1),0)),"",SUMIFS(DATA_GOC!$H:$H,DATA_GOC!$A:$A,"BOM",DATA_GOC!$D:$D,$B224,DATA_GOC!$F:$F,"Xuất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4" s="61" t="str">
        <f>IF($B224="","",IF(Q$4&gt;DAY(EOMONTH(DATE($D$2,$B$2,1),0)),"",SUMIFS(DATA_GOC!$H:$H,DATA_GOC!$A:$A,"BOM",DATA_GOC!$D:$D,$B224,DATA_GOC!$F:$F,"Xuất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4" s="61" t="str">
        <f>IF($B224="","",IF(R$4&gt;DAY(EOMONTH(DATE($D$2,$B$2,1),0)),"",SUMIFS(DATA_GOC!$H:$H,DATA_GOC!$A:$A,"BOM",DATA_GOC!$D:$D,$B224,DATA_GOC!$F:$F,"Xuất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4" s="61" t="str">
        <f>IF($B224="","",IF(S$4&gt;DAY(EOMONTH(DATE($D$2,$B$2,1),0)),"",SUMIFS(DATA_GOC!$H:$H,DATA_GOC!$A:$A,"BOM",DATA_GOC!$D:$D,$B224,DATA_GOC!$F:$F,"Xuất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4" s="61" t="str">
        <f>IF($B224="","",IF(T$4&gt;DAY(EOMONTH(DATE($D$2,$B$2,1),0)),"",SUMIFS(DATA_GOC!$H:$H,DATA_GOC!$A:$A,"BOM",DATA_GOC!$D:$D,$B224,DATA_GOC!$F:$F,"Xuất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4" s="61" t="str">
        <f>IF($B224="","",IF(U$4&gt;DAY(EOMONTH(DATE($D$2,$B$2,1),0)),"",SUMIFS(DATA_GOC!$H:$H,DATA_GOC!$A:$A,"BOM",DATA_GOC!$D:$D,$B224,DATA_GOC!$F:$F,"Xuất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4" s="61" t="str">
        <f>IF($B224="","",IF(V$4&gt;DAY(EOMONTH(DATE($D$2,$B$2,1),0)),"",SUMIFS(DATA_GOC!$H:$H,DATA_GOC!$A:$A,"BOM",DATA_GOC!$D:$D,$B224,DATA_GOC!$F:$F,"Xuất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4" s="61" t="str">
        <f>IF($B224="","",IF(W$4&gt;DAY(EOMONTH(DATE($D$2,$B$2,1),0)),"",SUMIFS(DATA_GOC!$H:$H,DATA_GOC!$A:$A,"BOM",DATA_GOC!$D:$D,$B224,DATA_GOC!$F:$F,"Xuất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4" s="61" t="str">
        <f>IF($B224="","",IF(X$4&gt;DAY(EOMONTH(DATE($D$2,$B$2,1),0)),"",SUMIFS(DATA_GOC!$H:$H,DATA_GOC!$A:$A,"BOM",DATA_GOC!$D:$D,$B224,DATA_GOC!$F:$F,"Xuất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4" s="61" t="str">
        <f>IF($B224="","",IF(Y$4&gt;DAY(EOMONTH(DATE($D$2,$B$2,1),0)),"",SUMIFS(DATA_GOC!$H:$H,DATA_GOC!$A:$A,"BOM",DATA_GOC!$D:$D,$B224,DATA_GOC!$F:$F,"Xuất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4" s="61" t="str">
        <f>IF($B224="","",IF(Z$4&gt;DAY(EOMONTH(DATE($D$2,$B$2,1),0)),"",SUMIFS(DATA_GOC!$H:$H,DATA_GOC!$A:$A,"BOM",DATA_GOC!$D:$D,$B224,DATA_GOC!$F:$F,"Xuất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4" s="61" t="str">
        <f>IF($B224="","",IF(AA$4&gt;DAY(EOMONTH(DATE($D$2,$B$2,1),0)),"",SUMIFS(DATA_GOC!$H:$H,DATA_GOC!$A:$A,"BOM",DATA_GOC!$D:$D,$B224,DATA_GOC!$F:$F,"Xuất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4" s="61" t="str">
        <f>IF($B224="","",IF(AB$4&gt;DAY(EOMONTH(DATE($D$2,$B$2,1),0)),"",SUMIFS(DATA_GOC!$H:$H,DATA_GOC!$A:$A,"BOM",DATA_GOC!$D:$D,$B224,DATA_GOC!$F:$F,"Xuất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4" s="61" t="str">
        <f>IF($B224="","",IF(AC$4&gt;DAY(EOMONTH(DATE($D$2,$B$2,1),0)),"",SUMIFS(DATA_GOC!$H:$H,DATA_GOC!$A:$A,"BOM",DATA_GOC!$D:$D,$B224,DATA_GOC!$F:$F,"Xuất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4" s="222" t="str">
        <f>IF($B224="","",IF(AD$4&gt;DAY(EOMONTH(DATE($D$2,$B$2,1),0)),"",SUMIFS(DATA_GOC!$H:$H,DATA_GOC!$A:$A,"BOM",DATA_GOC!$D:$D,$B224,DATA_GOC!$F:$F,"Xuất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4" s="222" t="str">
        <f>IF($B224="","",IF(AE$4&gt;DAY(EOMONTH(DATE($D$2,$B$2,1),0)),"",SUMIFS(DATA_GOC!$H:$H,DATA_GOC!$A:$A,"BOM",DATA_GOC!$D:$D,$B224,DATA_GOC!$F:$F,"Xuất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4" s="222" t="str">
        <f>IF($B224="","",IF(AF$4&gt;DAY(EOMONTH(DATE($D$2,$B$2,1),0)),"",SUMIFS(DATA_GOC!$H:$H,DATA_GOC!$A:$A,"BOM",DATA_GOC!$D:$D,$B224,DATA_GOC!$F:$F,"Xuất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4" s="222" t="str">
        <f>IF($B224="","",IF(AG$4&gt;DAY(EOMONTH(DATE($D$2,$B$2,1),0)),"",SUMIFS(DATA_GOC!$H:$H,DATA_GOC!$A:$A,"BOM",DATA_GOC!$D:$D,$B224,DATA_GOC!$F:$F,"Xuất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4" s="222" t="str">
        <f t="shared" si="2"/>
        <v/>
      </c>
      <c r="AI224" s="222" t="str">
        <f>IF($B224="","",SUMIFS(DATA_GOC!$H:$H,DATA_GOC!$A:$A,"BOM",DATA_GOC!$D:$D,$B224,DATA_GOC!$F:$F,"Bơm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4" s="222" t="str">
        <f t="shared" si="3"/>
        <v/>
      </c>
      <c r="AM224" s="222" t="str">
        <f>IF($B224="","",SUMIFS(DATA_GOC!$K:$K,DATA_GOC!$A:$A,"BOM",DATA_GOC!$D:$D,$B224,DATA_GOC!$G:$G,"DO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4" s="222" t="str">
        <f t="shared" si="4"/>
        <v/>
      </c>
      <c r="AO224" s="227" t="str">
        <f t="shared" si="5"/>
        <v/>
      </c>
      <c r="AP224" s="226" t="str">
        <f>IF($B224="","",IFERROR(AO224-(SUMIFS(DATA_GOC!$H:$H,DATA_GOC!$A:$A,"BOM",DATA_GOC!$D:$D,$B224,DATA_GOC!$F:$F,"Xuất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5" ht="15.0" customHeight="1">
      <c r="A225" s="61" t="str">
        <f t="shared" si="1"/>
        <v/>
      </c>
      <c r="B225" s="61" t="str">
        <f t="array" ref="B225">IFERROR(INDEX(DANH_MUC!$E:$E,ROW()-1),"")</f>
        <v/>
      </c>
      <c r="C225" s="61" t="str">
        <f>IF($B225="","",IF(C$4&gt;DAY(EOMONTH(DATE($D$2,$B$2,1),0)),"",SUMIFS(DATA_GOC!$H:$H,DATA_GOC!$A:$A,"BOM",DATA_GOC!$D:$D,$B225,DATA_GOC!$F:$F,"Xuất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5" s="61" t="str">
        <f>IF($B225="","",IF(D$4&gt;DAY(EOMONTH(DATE($D$2,$B$2,1),0)),"",SUMIFS(DATA_GOC!$H:$H,DATA_GOC!$A:$A,"BOM",DATA_GOC!$D:$D,$B225,DATA_GOC!$F:$F,"Xuất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5" s="61" t="str">
        <f>IF($B225="","",IF(E$4&gt;DAY(EOMONTH(DATE($D$2,$B$2,1),0)),"",SUMIFS(DATA_GOC!$H:$H,DATA_GOC!$A:$A,"BOM",DATA_GOC!$D:$D,$B225,DATA_GOC!$F:$F,"Xuất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5" s="61" t="str">
        <f>IF($B225="","",IF(F$4&gt;DAY(EOMONTH(DATE($D$2,$B$2,1),0)),"",SUMIFS(DATA_GOC!$H:$H,DATA_GOC!$A:$A,"BOM",DATA_GOC!$D:$D,$B225,DATA_GOC!$F:$F,"Xuất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5" s="61" t="str">
        <f>IF($B225="","",IF(G$4&gt;DAY(EOMONTH(DATE($D$2,$B$2,1),0)),"",SUMIFS(DATA_GOC!$H:$H,DATA_GOC!$A:$A,"BOM",DATA_GOC!$D:$D,$B225,DATA_GOC!$F:$F,"Xuất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5" s="61" t="str">
        <f>IF($B225="","",IF(H$4&gt;DAY(EOMONTH(DATE($D$2,$B$2,1),0)),"",SUMIFS(DATA_GOC!$H:$H,DATA_GOC!$A:$A,"BOM",DATA_GOC!$D:$D,$B225,DATA_GOC!$F:$F,"Xuất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5" s="61" t="str">
        <f>IF($B225="","",IF(I$4&gt;DAY(EOMONTH(DATE($D$2,$B$2,1),0)),"",SUMIFS(DATA_GOC!$H:$H,DATA_GOC!$A:$A,"BOM",DATA_GOC!$D:$D,$B225,DATA_GOC!$F:$F,"Xuất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5" s="61" t="str">
        <f>IF($B225="","",IF(J$4&gt;DAY(EOMONTH(DATE($D$2,$B$2,1),0)),"",SUMIFS(DATA_GOC!$H:$H,DATA_GOC!$A:$A,"BOM",DATA_GOC!$D:$D,$B225,DATA_GOC!$F:$F,"Xuất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5" s="61" t="str">
        <f>IF($B225="","",IF(K$4&gt;DAY(EOMONTH(DATE($D$2,$B$2,1),0)),"",SUMIFS(DATA_GOC!$H:$H,DATA_GOC!$A:$A,"BOM",DATA_GOC!$D:$D,$B225,DATA_GOC!$F:$F,"Xuất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5" s="61" t="str">
        <f>IF($B225="","",IF(L$4&gt;DAY(EOMONTH(DATE($D$2,$B$2,1),0)),"",SUMIFS(DATA_GOC!$H:$H,DATA_GOC!$A:$A,"BOM",DATA_GOC!$D:$D,$B225,DATA_GOC!$F:$F,"Xuất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5" s="61" t="str">
        <f>IF($B225="","",IF(M$4&gt;DAY(EOMONTH(DATE($D$2,$B$2,1),0)),"",SUMIFS(DATA_GOC!$H:$H,DATA_GOC!$A:$A,"BOM",DATA_GOC!$D:$D,$B225,DATA_GOC!$F:$F,"Xuất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5" s="61" t="str">
        <f>IF($B225="","",IF(N$4&gt;DAY(EOMONTH(DATE($D$2,$B$2,1),0)),"",SUMIFS(DATA_GOC!$H:$H,DATA_GOC!$A:$A,"BOM",DATA_GOC!$D:$D,$B225,DATA_GOC!$F:$F,"Xuất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5" s="61" t="str">
        <f>IF($B225="","",IF(O$4&gt;DAY(EOMONTH(DATE($D$2,$B$2,1),0)),"",SUMIFS(DATA_GOC!$H:$H,DATA_GOC!$A:$A,"BOM",DATA_GOC!$D:$D,$B225,DATA_GOC!$F:$F,"Xuất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5" s="61" t="str">
        <f>IF($B225="","",IF(P$4&gt;DAY(EOMONTH(DATE($D$2,$B$2,1),0)),"",SUMIFS(DATA_GOC!$H:$H,DATA_GOC!$A:$A,"BOM",DATA_GOC!$D:$D,$B225,DATA_GOC!$F:$F,"Xuất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5" s="61" t="str">
        <f>IF($B225="","",IF(Q$4&gt;DAY(EOMONTH(DATE($D$2,$B$2,1),0)),"",SUMIFS(DATA_GOC!$H:$H,DATA_GOC!$A:$A,"BOM",DATA_GOC!$D:$D,$B225,DATA_GOC!$F:$F,"Xuất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5" s="61" t="str">
        <f>IF($B225="","",IF(R$4&gt;DAY(EOMONTH(DATE($D$2,$B$2,1),0)),"",SUMIFS(DATA_GOC!$H:$H,DATA_GOC!$A:$A,"BOM",DATA_GOC!$D:$D,$B225,DATA_GOC!$F:$F,"Xuất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5" s="61" t="str">
        <f>IF($B225="","",IF(S$4&gt;DAY(EOMONTH(DATE($D$2,$B$2,1),0)),"",SUMIFS(DATA_GOC!$H:$H,DATA_GOC!$A:$A,"BOM",DATA_GOC!$D:$D,$B225,DATA_GOC!$F:$F,"Xuất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5" s="61" t="str">
        <f>IF($B225="","",IF(T$4&gt;DAY(EOMONTH(DATE($D$2,$B$2,1),0)),"",SUMIFS(DATA_GOC!$H:$H,DATA_GOC!$A:$A,"BOM",DATA_GOC!$D:$D,$B225,DATA_GOC!$F:$F,"Xuất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5" s="61" t="str">
        <f>IF($B225="","",IF(U$4&gt;DAY(EOMONTH(DATE($D$2,$B$2,1),0)),"",SUMIFS(DATA_GOC!$H:$H,DATA_GOC!$A:$A,"BOM",DATA_GOC!$D:$D,$B225,DATA_GOC!$F:$F,"Xuất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5" s="61" t="str">
        <f>IF($B225="","",IF(V$4&gt;DAY(EOMONTH(DATE($D$2,$B$2,1),0)),"",SUMIFS(DATA_GOC!$H:$H,DATA_GOC!$A:$A,"BOM",DATA_GOC!$D:$D,$B225,DATA_GOC!$F:$F,"Xuất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5" s="61" t="str">
        <f>IF($B225="","",IF(W$4&gt;DAY(EOMONTH(DATE($D$2,$B$2,1),0)),"",SUMIFS(DATA_GOC!$H:$H,DATA_GOC!$A:$A,"BOM",DATA_GOC!$D:$D,$B225,DATA_GOC!$F:$F,"Xuất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5" s="61" t="str">
        <f>IF($B225="","",IF(X$4&gt;DAY(EOMONTH(DATE($D$2,$B$2,1),0)),"",SUMIFS(DATA_GOC!$H:$H,DATA_GOC!$A:$A,"BOM",DATA_GOC!$D:$D,$B225,DATA_GOC!$F:$F,"Xuất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5" s="61" t="str">
        <f>IF($B225="","",IF(Y$4&gt;DAY(EOMONTH(DATE($D$2,$B$2,1),0)),"",SUMIFS(DATA_GOC!$H:$H,DATA_GOC!$A:$A,"BOM",DATA_GOC!$D:$D,$B225,DATA_GOC!$F:$F,"Xuất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5" s="61" t="str">
        <f>IF($B225="","",IF(Z$4&gt;DAY(EOMONTH(DATE($D$2,$B$2,1),0)),"",SUMIFS(DATA_GOC!$H:$H,DATA_GOC!$A:$A,"BOM",DATA_GOC!$D:$D,$B225,DATA_GOC!$F:$F,"Xuất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5" s="61" t="str">
        <f>IF($B225="","",IF(AA$4&gt;DAY(EOMONTH(DATE($D$2,$B$2,1),0)),"",SUMIFS(DATA_GOC!$H:$H,DATA_GOC!$A:$A,"BOM",DATA_GOC!$D:$D,$B225,DATA_GOC!$F:$F,"Xuất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5" s="61" t="str">
        <f>IF($B225="","",IF(AB$4&gt;DAY(EOMONTH(DATE($D$2,$B$2,1),0)),"",SUMIFS(DATA_GOC!$H:$H,DATA_GOC!$A:$A,"BOM",DATA_GOC!$D:$D,$B225,DATA_GOC!$F:$F,"Xuất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5" s="61" t="str">
        <f>IF($B225="","",IF(AC$4&gt;DAY(EOMONTH(DATE($D$2,$B$2,1),0)),"",SUMIFS(DATA_GOC!$H:$H,DATA_GOC!$A:$A,"BOM",DATA_GOC!$D:$D,$B225,DATA_GOC!$F:$F,"Xuất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5" s="222" t="str">
        <f>IF($B225="","",IF(AD$4&gt;DAY(EOMONTH(DATE($D$2,$B$2,1),0)),"",SUMIFS(DATA_GOC!$H:$H,DATA_GOC!$A:$A,"BOM",DATA_GOC!$D:$D,$B225,DATA_GOC!$F:$F,"Xuất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5" s="222" t="str">
        <f>IF($B225="","",IF(AE$4&gt;DAY(EOMONTH(DATE($D$2,$B$2,1),0)),"",SUMIFS(DATA_GOC!$H:$H,DATA_GOC!$A:$A,"BOM",DATA_GOC!$D:$D,$B225,DATA_GOC!$F:$F,"Xuất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5" s="222" t="str">
        <f>IF($B225="","",IF(AF$4&gt;DAY(EOMONTH(DATE($D$2,$B$2,1),0)),"",SUMIFS(DATA_GOC!$H:$H,DATA_GOC!$A:$A,"BOM",DATA_GOC!$D:$D,$B225,DATA_GOC!$F:$F,"Xuất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5" s="222" t="str">
        <f>IF($B225="","",IF(AG$4&gt;DAY(EOMONTH(DATE($D$2,$B$2,1),0)),"",SUMIFS(DATA_GOC!$H:$H,DATA_GOC!$A:$A,"BOM",DATA_GOC!$D:$D,$B225,DATA_GOC!$F:$F,"Xuất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5" s="222" t="str">
        <f t="shared" si="2"/>
        <v/>
      </c>
      <c r="AI225" s="222" t="str">
        <f>IF($B225="","",SUMIFS(DATA_GOC!$H:$H,DATA_GOC!$A:$A,"BOM",DATA_GOC!$D:$D,$B225,DATA_GOC!$F:$F,"Bơm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5" s="222" t="str">
        <f t="shared" si="3"/>
        <v/>
      </c>
      <c r="AM225" s="222" t="str">
        <f>IF($B225="","",SUMIFS(DATA_GOC!$K:$K,DATA_GOC!$A:$A,"BOM",DATA_GOC!$D:$D,$B225,DATA_GOC!$G:$G,"DO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5" s="222" t="str">
        <f t="shared" si="4"/>
        <v/>
      </c>
      <c r="AO225" s="227" t="str">
        <f t="shared" si="5"/>
        <v/>
      </c>
      <c r="AP225" s="226" t="str">
        <f>IF($B225="","",IFERROR(AO225-(SUMIFS(DATA_GOC!$H:$H,DATA_GOC!$A:$A,"BOM",DATA_GOC!$D:$D,$B225,DATA_GOC!$F:$F,"Xuất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6" ht="15.0" customHeight="1">
      <c r="A226" s="61" t="str">
        <f t="shared" si="1"/>
        <v/>
      </c>
      <c r="B226" s="61" t="str">
        <f t="array" ref="B226">IFERROR(INDEX(DANH_MUC!$E:$E,ROW()-1),"")</f>
        <v/>
      </c>
      <c r="C226" s="61" t="str">
        <f>IF($B226="","",IF(C$4&gt;DAY(EOMONTH(DATE($D$2,$B$2,1),0)),"",SUMIFS(DATA_GOC!$H:$H,DATA_GOC!$A:$A,"BOM",DATA_GOC!$D:$D,$B226,DATA_GOC!$F:$F,"Xuất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6" s="61" t="str">
        <f>IF($B226="","",IF(D$4&gt;DAY(EOMONTH(DATE($D$2,$B$2,1),0)),"",SUMIFS(DATA_GOC!$H:$H,DATA_GOC!$A:$A,"BOM",DATA_GOC!$D:$D,$B226,DATA_GOC!$F:$F,"Xuất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6" s="61" t="str">
        <f>IF($B226="","",IF(E$4&gt;DAY(EOMONTH(DATE($D$2,$B$2,1),0)),"",SUMIFS(DATA_GOC!$H:$H,DATA_GOC!$A:$A,"BOM",DATA_GOC!$D:$D,$B226,DATA_GOC!$F:$F,"Xuất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6" s="61" t="str">
        <f>IF($B226="","",IF(F$4&gt;DAY(EOMONTH(DATE($D$2,$B$2,1),0)),"",SUMIFS(DATA_GOC!$H:$H,DATA_GOC!$A:$A,"BOM",DATA_GOC!$D:$D,$B226,DATA_GOC!$F:$F,"Xuất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6" s="61" t="str">
        <f>IF($B226="","",IF(G$4&gt;DAY(EOMONTH(DATE($D$2,$B$2,1),0)),"",SUMIFS(DATA_GOC!$H:$H,DATA_GOC!$A:$A,"BOM",DATA_GOC!$D:$D,$B226,DATA_GOC!$F:$F,"Xuất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6" s="61" t="str">
        <f>IF($B226="","",IF(H$4&gt;DAY(EOMONTH(DATE($D$2,$B$2,1),0)),"",SUMIFS(DATA_GOC!$H:$H,DATA_GOC!$A:$A,"BOM",DATA_GOC!$D:$D,$B226,DATA_GOC!$F:$F,"Xuất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6" s="61" t="str">
        <f>IF($B226="","",IF(I$4&gt;DAY(EOMONTH(DATE($D$2,$B$2,1),0)),"",SUMIFS(DATA_GOC!$H:$H,DATA_GOC!$A:$A,"BOM",DATA_GOC!$D:$D,$B226,DATA_GOC!$F:$F,"Xuất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6" s="61" t="str">
        <f>IF($B226="","",IF(J$4&gt;DAY(EOMONTH(DATE($D$2,$B$2,1),0)),"",SUMIFS(DATA_GOC!$H:$H,DATA_GOC!$A:$A,"BOM",DATA_GOC!$D:$D,$B226,DATA_GOC!$F:$F,"Xuất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6" s="61" t="str">
        <f>IF($B226="","",IF(K$4&gt;DAY(EOMONTH(DATE($D$2,$B$2,1),0)),"",SUMIFS(DATA_GOC!$H:$H,DATA_GOC!$A:$A,"BOM",DATA_GOC!$D:$D,$B226,DATA_GOC!$F:$F,"Xuất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6" s="61" t="str">
        <f>IF($B226="","",IF(L$4&gt;DAY(EOMONTH(DATE($D$2,$B$2,1),0)),"",SUMIFS(DATA_GOC!$H:$H,DATA_GOC!$A:$A,"BOM",DATA_GOC!$D:$D,$B226,DATA_GOC!$F:$F,"Xuất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6" s="61" t="str">
        <f>IF($B226="","",IF(M$4&gt;DAY(EOMONTH(DATE($D$2,$B$2,1),0)),"",SUMIFS(DATA_GOC!$H:$H,DATA_GOC!$A:$A,"BOM",DATA_GOC!$D:$D,$B226,DATA_GOC!$F:$F,"Xuất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6" s="61" t="str">
        <f>IF($B226="","",IF(N$4&gt;DAY(EOMONTH(DATE($D$2,$B$2,1),0)),"",SUMIFS(DATA_GOC!$H:$H,DATA_GOC!$A:$A,"BOM",DATA_GOC!$D:$D,$B226,DATA_GOC!$F:$F,"Xuất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6" s="61" t="str">
        <f>IF($B226="","",IF(O$4&gt;DAY(EOMONTH(DATE($D$2,$B$2,1),0)),"",SUMIFS(DATA_GOC!$H:$H,DATA_GOC!$A:$A,"BOM",DATA_GOC!$D:$D,$B226,DATA_GOC!$F:$F,"Xuất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6" s="61" t="str">
        <f>IF($B226="","",IF(P$4&gt;DAY(EOMONTH(DATE($D$2,$B$2,1),0)),"",SUMIFS(DATA_GOC!$H:$H,DATA_GOC!$A:$A,"BOM",DATA_GOC!$D:$D,$B226,DATA_GOC!$F:$F,"Xuất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6" s="61" t="str">
        <f>IF($B226="","",IF(Q$4&gt;DAY(EOMONTH(DATE($D$2,$B$2,1),0)),"",SUMIFS(DATA_GOC!$H:$H,DATA_GOC!$A:$A,"BOM",DATA_GOC!$D:$D,$B226,DATA_GOC!$F:$F,"Xuất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6" s="61" t="str">
        <f>IF($B226="","",IF(R$4&gt;DAY(EOMONTH(DATE($D$2,$B$2,1),0)),"",SUMIFS(DATA_GOC!$H:$H,DATA_GOC!$A:$A,"BOM",DATA_GOC!$D:$D,$B226,DATA_GOC!$F:$F,"Xuất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6" s="61" t="str">
        <f>IF($B226="","",IF(S$4&gt;DAY(EOMONTH(DATE($D$2,$B$2,1),0)),"",SUMIFS(DATA_GOC!$H:$H,DATA_GOC!$A:$A,"BOM",DATA_GOC!$D:$D,$B226,DATA_GOC!$F:$F,"Xuất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6" s="61" t="str">
        <f>IF($B226="","",IF(T$4&gt;DAY(EOMONTH(DATE($D$2,$B$2,1),0)),"",SUMIFS(DATA_GOC!$H:$H,DATA_GOC!$A:$A,"BOM",DATA_GOC!$D:$D,$B226,DATA_GOC!$F:$F,"Xuất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6" s="61" t="str">
        <f>IF($B226="","",IF(U$4&gt;DAY(EOMONTH(DATE($D$2,$B$2,1),0)),"",SUMIFS(DATA_GOC!$H:$H,DATA_GOC!$A:$A,"BOM",DATA_GOC!$D:$D,$B226,DATA_GOC!$F:$F,"Xuất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6" s="61" t="str">
        <f>IF($B226="","",IF(V$4&gt;DAY(EOMONTH(DATE($D$2,$B$2,1),0)),"",SUMIFS(DATA_GOC!$H:$H,DATA_GOC!$A:$A,"BOM",DATA_GOC!$D:$D,$B226,DATA_GOC!$F:$F,"Xuất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6" s="61" t="str">
        <f>IF($B226="","",IF(W$4&gt;DAY(EOMONTH(DATE($D$2,$B$2,1),0)),"",SUMIFS(DATA_GOC!$H:$H,DATA_GOC!$A:$A,"BOM",DATA_GOC!$D:$D,$B226,DATA_GOC!$F:$F,"Xuất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6" s="61" t="str">
        <f>IF($B226="","",IF(X$4&gt;DAY(EOMONTH(DATE($D$2,$B$2,1),0)),"",SUMIFS(DATA_GOC!$H:$H,DATA_GOC!$A:$A,"BOM",DATA_GOC!$D:$D,$B226,DATA_GOC!$F:$F,"Xuất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6" s="61" t="str">
        <f>IF($B226="","",IF(Y$4&gt;DAY(EOMONTH(DATE($D$2,$B$2,1),0)),"",SUMIFS(DATA_GOC!$H:$H,DATA_GOC!$A:$A,"BOM",DATA_GOC!$D:$D,$B226,DATA_GOC!$F:$F,"Xuất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6" s="61" t="str">
        <f>IF($B226="","",IF(Z$4&gt;DAY(EOMONTH(DATE($D$2,$B$2,1),0)),"",SUMIFS(DATA_GOC!$H:$H,DATA_GOC!$A:$A,"BOM",DATA_GOC!$D:$D,$B226,DATA_GOC!$F:$F,"Xuất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6" s="61" t="str">
        <f>IF($B226="","",IF(AA$4&gt;DAY(EOMONTH(DATE($D$2,$B$2,1),0)),"",SUMIFS(DATA_GOC!$H:$H,DATA_GOC!$A:$A,"BOM",DATA_GOC!$D:$D,$B226,DATA_GOC!$F:$F,"Xuất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6" s="61" t="str">
        <f>IF($B226="","",IF(AB$4&gt;DAY(EOMONTH(DATE($D$2,$B$2,1),0)),"",SUMIFS(DATA_GOC!$H:$H,DATA_GOC!$A:$A,"BOM",DATA_GOC!$D:$D,$B226,DATA_GOC!$F:$F,"Xuất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6" s="61" t="str">
        <f>IF($B226="","",IF(AC$4&gt;DAY(EOMONTH(DATE($D$2,$B$2,1),0)),"",SUMIFS(DATA_GOC!$H:$H,DATA_GOC!$A:$A,"BOM",DATA_GOC!$D:$D,$B226,DATA_GOC!$F:$F,"Xuất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6" s="222" t="str">
        <f>IF($B226="","",IF(AD$4&gt;DAY(EOMONTH(DATE($D$2,$B$2,1),0)),"",SUMIFS(DATA_GOC!$H:$H,DATA_GOC!$A:$A,"BOM",DATA_GOC!$D:$D,$B226,DATA_GOC!$F:$F,"Xuất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6" s="222" t="str">
        <f>IF($B226="","",IF(AE$4&gt;DAY(EOMONTH(DATE($D$2,$B$2,1),0)),"",SUMIFS(DATA_GOC!$H:$H,DATA_GOC!$A:$A,"BOM",DATA_GOC!$D:$D,$B226,DATA_GOC!$F:$F,"Xuất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6" s="222" t="str">
        <f>IF($B226="","",IF(AF$4&gt;DAY(EOMONTH(DATE($D$2,$B$2,1),0)),"",SUMIFS(DATA_GOC!$H:$H,DATA_GOC!$A:$A,"BOM",DATA_GOC!$D:$D,$B226,DATA_GOC!$F:$F,"Xuất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6" s="222" t="str">
        <f>IF($B226="","",IF(AG$4&gt;DAY(EOMONTH(DATE($D$2,$B$2,1),0)),"",SUMIFS(DATA_GOC!$H:$H,DATA_GOC!$A:$A,"BOM",DATA_GOC!$D:$D,$B226,DATA_GOC!$F:$F,"Xuất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6" s="222" t="str">
        <f t="shared" si="2"/>
        <v/>
      </c>
      <c r="AI226" s="222" t="str">
        <f>IF($B226="","",SUMIFS(DATA_GOC!$H:$H,DATA_GOC!$A:$A,"BOM",DATA_GOC!$D:$D,$B226,DATA_GOC!$F:$F,"Bơm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6" s="222" t="str">
        <f t="shared" si="3"/>
        <v/>
      </c>
      <c r="AM226" s="222" t="str">
        <f>IF($B226="","",SUMIFS(DATA_GOC!$K:$K,DATA_GOC!$A:$A,"BOM",DATA_GOC!$D:$D,$B226,DATA_GOC!$G:$G,"DO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6" s="222" t="str">
        <f t="shared" si="4"/>
        <v/>
      </c>
      <c r="AO226" s="227" t="str">
        <f t="shared" si="5"/>
        <v/>
      </c>
      <c r="AP226" s="226" t="str">
        <f>IF($B226="","",IFERROR(AO226-(SUMIFS(DATA_GOC!$H:$H,DATA_GOC!$A:$A,"BOM",DATA_GOC!$D:$D,$B226,DATA_GOC!$F:$F,"Xuất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7" ht="15.0" customHeight="1">
      <c r="A227" s="61" t="str">
        <f t="shared" si="1"/>
        <v/>
      </c>
      <c r="B227" s="61" t="str">
        <f t="array" ref="B227">IFERROR(INDEX(DANH_MUC!$E:$E,ROW()-1),"")</f>
        <v/>
      </c>
      <c r="C227" s="61" t="str">
        <f>IF($B227="","",IF(C$4&gt;DAY(EOMONTH(DATE($D$2,$B$2,1),0)),"",SUMIFS(DATA_GOC!$H:$H,DATA_GOC!$A:$A,"BOM",DATA_GOC!$D:$D,$B227,DATA_GOC!$F:$F,"Xuất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7" s="61" t="str">
        <f>IF($B227="","",IF(D$4&gt;DAY(EOMONTH(DATE($D$2,$B$2,1),0)),"",SUMIFS(DATA_GOC!$H:$H,DATA_GOC!$A:$A,"BOM",DATA_GOC!$D:$D,$B227,DATA_GOC!$F:$F,"Xuất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7" s="61" t="str">
        <f>IF($B227="","",IF(E$4&gt;DAY(EOMONTH(DATE($D$2,$B$2,1),0)),"",SUMIFS(DATA_GOC!$H:$H,DATA_GOC!$A:$A,"BOM",DATA_GOC!$D:$D,$B227,DATA_GOC!$F:$F,"Xuất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7" s="61" t="str">
        <f>IF($B227="","",IF(F$4&gt;DAY(EOMONTH(DATE($D$2,$B$2,1),0)),"",SUMIFS(DATA_GOC!$H:$H,DATA_GOC!$A:$A,"BOM",DATA_GOC!$D:$D,$B227,DATA_GOC!$F:$F,"Xuất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7" s="61" t="str">
        <f>IF($B227="","",IF(G$4&gt;DAY(EOMONTH(DATE($D$2,$B$2,1),0)),"",SUMIFS(DATA_GOC!$H:$H,DATA_GOC!$A:$A,"BOM",DATA_GOC!$D:$D,$B227,DATA_GOC!$F:$F,"Xuất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7" s="61" t="str">
        <f>IF($B227="","",IF(H$4&gt;DAY(EOMONTH(DATE($D$2,$B$2,1),0)),"",SUMIFS(DATA_GOC!$H:$H,DATA_GOC!$A:$A,"BOM",DATA_GOC!$D:$D,$B227,DATA_GOC!$F:$F,"Xuất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7" s="61" t="str">
        <f>IF($B227="","",IF(I$4&gt;DAY(EOMONTH(DATE($D$2,$B$2,1),0)),"",SUMIFS(DATA_GOC!$H:$H,DATA_GOC!$A:$A,"BOM",DATA_GOC!$D:$D,$B227,DATA_GOC!$F:$F,"Xuất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7" s="61" t="str">
        <f>IF($B227="","",IF(J$4&gt;DAY(EOMONTH(DATE($D$2,$B$2,1),0)),"",SUMIFS(DATA_GOC!$H:$H,DATA_GOC!$A:$A,"BOM",DATA_GOC!$D:$D,$B227,DATA_GOC!$F:$F,"Xuất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7" s="61" t="str">
        <f>IF($B227="","",IF(K$4&gt;DAY(EOMONTH(DATE($D$2,$B$2,1),0)),"",SUMIFS(DATA_GOC!$H:$H,DATA_GOC!$A:$A,"BOM",DATA_GOC!$D:$D,$B227,DATA_GOC!$F:$F,"Xuất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7" s="61" t="str">
        <f>IF($B227="","",IF(L$4&gt;DAY(EOMONTH(DATE($D$2,$B$2,1),0)),"",SUMIFS(DATA_GOC!$H:$H,DATA_GOC!$A:$A,"BOM",DATA_GOC!$D:$D,$B227,DATA_GOC!$F:$F,"Xuất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7" s="61" t="str">
        <f>IF($B227="","",IF(M$4&gt;DAY(EOMONTH(DATE($D$2,$B$2,1),0)),"",SUMIFS(DATA_GOC!$H:$H,DATA_GOC!$A:$A,"BOM",DATA_GOC!$D:$D,$B227,DATA_GOC!$F:$F,"Xuất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7" s="61" t="str">
        <f>IF($B227="","",IF(N$4&gt;DAY(EOMONTH(DATE($D$2,$B$2,1),0)),"",SUMIFS(DATA_GOC!$H:$H,DATA_GOC!$A:$A,"BOM",DATA_GOC!$D:$D,$B227,DATA_GOC!$F:$F,"Xuất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7" s="61" t="str">
        <f>IF($B227="","",IF(O$4&gt;DAY(EOMONTH(DATE($D$2,$B$2,1),0)),"",SUMIFS(DATA_GOC!$H:$H,DATA_GOC!$A:$A,"BOM",DATA_GOC!$D:$D,$B227,DATA_GOC!$F:$F,"Xuất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7" s="61" t="str">
        <f>IF($B227="","",IF(P$4&gt;DAY(EOMONTH(DATE($D$2,$B$2,1),0)),"",SUMIFS(DATA_GOC!$H:$H,DATA_GOC!$A:$A,"BOM",DATA_GOC!$D:$D,$B227,DATA_GOC!$F:$F,"Xuất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7" s="61" t="str">
        <f>IF($B227="","",IF(Q$4&gt;DAY(EOMONTH(DATE($D$2,$B$2,1),0)),"",SUMIFS(DATA_GOC!$H:$H,DATA_GOC!$A:$A,"BOM",DATA_GOC!$D:$D,$B227,DATA_GOC!$F:$F,"Xuất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7" s="61" t="str">
        <f>IF($B227="","",IF(R$4&gt;DAY(EOMONTH(DATE($D$2,$B$2,1),0)),"",SUMIFS(DATA_GOC!$H:$H,DATA_GOC!$A:$A,"BOM",DATA_GOC!$D:$D,$B227,DATA_GOC!$F:$F,"Xuất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7" s="61" t="str">
        <f>IF($B227="","",IF(S$4&gt;DAY(EOMONTH(DATE($D$2,$B$2,1),0)),"",SUMIFS(DATA_GOC!$H:$H,DATA_GOC!$A:$A,"BOM",DATA_GOC!$D:$D,$B227,DATA_GOC!$F:$F,"Xuất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7" s="61" t="str">
        <f>IF($B227="","",IF(T$4&gt;DAY(EOMONTH(DATE($D$2,$B$2,1),0)),"",SUMIFS(DATA_GOC!$H:$H,DATA_GOC!$A:$A,"BOM",DATA_GOC!$D:$D,$B227,DATA_GOC!$F:$F,"Xuất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7" s="61" t="str">
        <f>IF($B227="","",IF(U$4&gt;DAY(EOMONTH(DATE($D$2,$B$2,1),0)),"",SUMIFS(DATA_GOC!$H:$H,DATA_GOC!$A:$A,"BOM",DATA_GOC!$D:$D,$B227,DATA_GOC!$F:$F,"Xuất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7" s="61" t="str">
        <f>IF($B227="","",IF(V$4&gt;DAY(EOMONTH(DATE($D$2,$B$2,1),0)),"",SUMIFS(DATA_GOC!$H:$H,DATA_GOC!$A:$A,"BOM",DATA_GOC!$D:$D,$B227,DATA_GOC!$F:$F,"Xuất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7" s="61" t="str">
        <f>IF($B227="","",IF(W$4&gt;DAY(EOMONTH(DATE($D$2,$B$2,1),0)),"",SUMIFS(DATA_GOC!$H:$H,DATA_GOC!$A:$A,"BOM",DATA_GOC!$D:$D,$B227,DATA_GOC!$F:$F,"Xuất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7" s="61" t="str">
        <f>IF($B227="","",IF(X$4&gt;DAY(EOMONTH(DATE($D$2,$B$2,1),0)),"",SUMIFS(DATA_GOC!$H:$H,DATA_GOC!$A:$A,"BOM",DATA_GOC!$D:$D,$B227,DATA_GOC!$F:$F,"Xuất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7" s="61" t="str">
        <f>IF($B227="","",IF(Y$4&gt;DAY(EOMONTH(DATE($D$2,$B$2,1),0)),"",SUMIFS(DATA_GOC!$H:$H,DATA_GOC!$A:$A,"BOM",DATA_GOC!$D:$D,$B227,DATA_GOC!$F:$F,"Xuất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7" s="61" t="str">
        <f>IF($B227="","",IF(Z$4&gt;DAY(EOMONTH(DATE($D$2,$B$2,1),0)),"",SUMIFS(DATA_GOC!$H:$H,DATA_GOC!$A:$A,"BOM",DATA_GOC!$D:$D,$B227,DATA_GOC!$F:$F,"Xuất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7" s="61" t="str">
        <f>IF($B227="","",IF(AA$4&gt;DAY(EOMONTH(DATE($D$2,$B$2,1),0)),"",SUMIFS(DATA_GOC!$H:$H,DATA_GOC!$A:$A,"BOM",DATA_GOC!$D:$D,$B227,DATA_GOC!$F:$F,"Xuất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7" s="61" t="str">
        <f>IF($B227="","",IF(AB$4&gt;DAY(EOMONTH(DATE($D$2,$B$2,1),0)),"",SUMIFS(DATA_GOC!$H:$H,DATA_GOC!$A:$A,"BOM",DATA_GOC!$D:$D,$B227,DATA_GOC!$F:$F,"Xuất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7" s="61" t="str">
        <f>IF($B227="","",IF(AC$4&gt;DAY(EOMONTH(DATE($D$2,$B$2,1),0)),"",SUMIFS(DATA_GOC!$H:$H,DATA_GOC!$A:$A,"BOM",DATA_GOC!$D:$D,$B227,DATA_GOC!$F:$F,"Xuất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7" s="222" t="str">
        <f>IF($B227="","",IF(AD$4&gt;DAY(EOMONTH(DATE($D$2,$B$2,1),0)),"",SUMIFS(DATA_GOC!$H:$H,DATA_GOC!$A:$A,"BOM",DATA_GOC!$D:$D,$B227,DATA_GOC!$F:$F,"Xuất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7" s="222" t="str">
        <f>IF($B227="","",IF(AE$4&gt;DAY(EOMONTH(DATE($D$2,$B$2,1),0)),"",SUMIFS(DATA_GOC!$H:$H,DATA_GOC!$A:$A,"BOM",DATA_GOC!$D:$D,$B227,DATA_GOC!$F:$F,"Xuất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7" s="222" t="str">
        <f>IF($B227="","",IF(AF$4&gt;DAY(EOMONTH(DATE($D$2,$B$2,1),0)),"",SUMIFS(DATA_GOC!$H:$H,DATA_GOC!$A:$A,"BOM",DATA_GOC!$D:$D,$B227,DATA_GOC!$F:$F,"Xuất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7" s="222" t="str">
        <f>IF($B227="","",IF(AG$4&gt;DAY(EOMONTH(DATE($D$2,$B$2,1),0)),"",SUMIFS(DATA_GOC!$H:$H,DATA_GOC!$A:$A,"BOM",DATA_GOC!$D:$D,$B227,DATA_GOC!$F:$F,"Xuất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7" s="222" t="str">
        <f t="shared" si="2"/>
        <v/>
      </c>
      <c r="AI227" s="222" t="str">
        <f>IF($B227="","",SUMIFS(DATA_GOC!$H:$H,DATA_GOC!$A:$A,"BOM",DATA_GOC!$D:$D,$B227,DATA_GOC!$F:$F,"Bơm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7" s="222" t="str">
        <f t="shared" si="3"/>
        <v/>
      </c>
      <c r="AM227" s="222" t="str">
        <f>IF($B227="","",SUMIFS(DATA_GOC!$K:$K,DATA_GOC!$A:$A,"BOM",DATA_GOC!$D:$D,$B227,DATA_GOC!$G:$G,"DO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7" s="222" t="str">
        <f t="shared" si="4"/>
        <v/>
      </c>
      <c r="AO227" s="227" t="str">
        <f t="shared" si="5"/>
        <v/>
      </c>
      <c r="AP227" s="226" t="str">
        <f>IF($B227="","",IFERROR(AO227-(SUMIFS(DATA_GOC!$H:$H,DATA_GOC!$A:$A,"BOM",DATA_GOC!$D:$D,$B227,DATA_GOC!$F:$F,"Xuất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8" ht="15.0" customHeight="1">
      <c r="A228" s="61" t="str">
        <f t="shared" si="1"/>
        <v/>
      </c>
      <c r="B228" s="61" t="str">
        <f t="array" ref="B228">IFERROR(INDEX(DANH_MUC!$E:$E,ROW()-1),"")</f>
        <v/>
      </c>
      <c r="C228" s="61" t="str">
        <f>IF($B228="","",IF(C$4&gt;DAY(EOMONTH(DATE($D$2,$B$2,1),0)),"",SUMIFS(DATA_GOC!$H:$H,DATA_GOC!$A:$A,"BOM",DATA_GOC!$D:$D,$B228,DATA_GOC!$F:$F,"Xuất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8" s="61" t="str">
        <f>IF($B228="","",IF(D$4&gt;DAY(EOMONTH(DATE($D$2,$B$2,1),0)),"",SUMIFS(DATA_GOC!$H:$H,DATA_GOC!$A:$A,"BOM",DATA_GOC!$D:$D,$B228,DATA_GOC!$F:$F,"Xuất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8" s="61" t="str">
        <f>IF($B228="","",IF(E$4&gt;DAY(EOMONTH(DATE($D$2,$B$2,1),0)),"",SUMIFS(DATA_GOC!$H:$H,DATA_GOC!$A:$A,"BOM",DATA_GOC!$D:$D,$B228,DATA_GOC!$F:$F,"Xuất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8" s="61" t="str">
        <f>IF($B228="","",IF(F$4&gt;DAY(EOMONTH(DATE($D$2,$B$2,1),0)),"",SUMIFS(DATA_GOC!$H:$H,DATA_GOC!$A:$A,"BOM",DATA_GOC!$D:$D,$B228,DATA_GOC!$F:$F,"Xuất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8" s="61" t="str">
        <f>IF($B228="","",IF(G$4&gt;DAY(EOMONTH(DATE($D$2,$B$2,1),0)),"",SUMIFS(DATA_GOC!$H:$H,DATA_GOC!$A:$A,"BOM",DATA_GOC!$D:$D,$B228,DATA_GOC!$F:$F,"Xuất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8" s="61" t="str">
        <f>IF($B228="","",IF(H$4&gt;DAY(EOMONTH(DATE($D$2,$B$2,1),0)),"",SUMIFS(DATA_GOC!$H:$H,DATA_GOC!$A:$A,"BOM",DATA_GOC!$D:$D,$B228,DATA_GOC!$F:$F,"Xuất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8" s="61" t="str">
        <f>IF($B228="","",IF(I$4&gt;DAY(EOMONTH(DATE($D$2,$B$2,1),0)),"",SUMIFS(DATA_GOC!$H:$H,DATA_GOC!$A:$A,"BOM",DATA_GOC!$D:$D,$B228,DATA_GOC!$F:$F,"Xuất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8" s="61" t="str">
        <f>IF($B228="","",IF(J$4&gt;DAY(EOMONTH(DATE($D$2,$B$2,1),0)),"",SUMIFS(DATA_GOC!$H:$H,DATA_GOC!$A:$A,"BOM",DATA_GOC!$D:$D,$B228,DATA_GOC!$F:$F,"Xuất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8" s="61" t="str">
        <f>IF($B228="","",IF(K$4&gt;DAY(EOMONTH(DATE($D$2,$B$2,1),0)),"",SUMIFS(DATA_GOC!$H:$H,DATA_GOC!$A:$A,"BOM",DATA_GOC!$D:$D,$B228,DATA_GOC!$F:$F,"Xuất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8" s="61" t="str">
        <f>IF($B228="","",IF(L$4&gt;DAY(EOMONTH(DATE($D$2,$B$2,1),0)),"",SUMIFS(DATA_GOC!$H:$H,DATA_GOC!$A:$A,"BOM",DATA_GOC!$D:$D,$B228,DATA_GOC!$F:$F,"Xuất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8" s="61" t="str">
        <f>IF($B228="","",IF(M$4&gt;DAY(EOMONTH(DATE($D$2,$B$2,1),0)),"",SUMIFS(DATA_GOC!$H:$H,DATA_GOC!$A:$A,"BOM",DATA_GOC!$D:$D,$B228,DATA_GOC!$F:$F,"Xuất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8" s="61" t="str">
        <f>IF($B228="","",IF(N$4&gt;DAY(EOMONTH(DATE($D$2,$B$2,1),0)),"",SUMIFS(DATA_GOC!$H:$H,DATA_GOC!$A:$A,"BOM",DATA_GOC!$D:$D,$B228,DATA_GOC!$F:$F,"Xuất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8" s="61" t="str">
        <f>IF($B228="","",IF(O$4&gt;DAY(EOMONTH(DATE($D$2,$B$2,1),0)),"",SUMIFS(DATA_GOC!$H:$H,DATA_GOC!$A:$A,"BOM",DATA_GOC!$D:$D,$B228,DATA_GOC!$F:$F,"Xuất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8" s="61" t="str">
        <f>IF($B228="","",IF(P$4&gt;DAY(EOMONTH(DATE($D$2,$B$2,1),0)),"",SUMIFS(DATA_GOC!$H:$H,DATA_GOC!$A:$A,"BOM",DATA_GOC!$D:$D,$B228,DATA_GOC!$F:$F,"Xuất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8" s="61" t="str">
        <f>IF($B228="","",IF(Q$4&gt;DAY(EOMONTH(DATE($D$2,$B$2,1),0)),"",SUMIFS(DATA_GOC!$H:$H,DATA_GOC!$A:$A,"BOM",DATA_GOC!$D:$D,$B228,DATA_GOC!$F:$F,"Xuất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8" s="61" t="str">
        <f>IF($B228="","",IF(R$4&gt;DAY(EOMONTH(DATE($D$2,$B$2,1),0)),"",SUMIFS(DATA_GOC!$H:$H,DATA_GOC!$A:$A,"BOM",DATA_GOC!$D:$D,$B228,DATA_GOC!$F:$F,"Xuất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8" s="61" t="str">
        <f>IF($B228="","",IF(S$4&gt;DAY(EOMONTH(DATE($D$2,$B$2,1),0)),"",SUMIFS(DATA_GOC!$H:$H,DATA_GOC!$A:$A,"BOM",DATA_GOC!$D:$D,$B228,DATA_GOC!$F:$F,"Xuất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8" s="61" t="str">
        <f>IF($B228="","",IF(T$4&gt;DAY(EOMONTH(DATE($D$2,$B$2,1),0)),"",SUMIFS(DATA_GOC!$H:$H,DATA_GOC!$A:$A,"BOM",DATA_GOC!$D:$D,$B228,DATA_GOC!$F:$F,"Xuất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8" s="61" t="str">
        <f>IF($B228="","",IF(U$4&gt;DAY(EOMONTH(DATE($D$2,$B$2,1),0)),"",SUMIFS(DATA_GOC!$H:$H,DATA_GOC!$A:$A,"BOM",DATA_GOC!$D:$D,$B228,DATA_GOC!$F:$F,"Xuất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8" s="61" t="str">
        <f>IF($B228="","",IF(V$4&gt;DAY(EOMONTH(DATE($D$2,$B$2,1),0)),"",SUMIFS(DATA_GOC!$H:$H,DATA_GOC!$A:$A,"BOM",DATA_GOC!$D:$D,$B228,DATA_GOC!$F:$F,"Xuất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8" s="61" t="str">
        <f>IF($B228="","",IF(W$4&gt;DAY(EOMONTH(DATE($D$2,$B$2,1),0)),"",SUMIFS(DATA_GOC!$H:$H,DATA_GOC!$A:$A,"BOM",DATA_GOC!$D:$D,$B228,DATA_GOC!$F:$F,"Xuất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8" s="61" t="str">
        <f>IF($B228="","",IF(X$4&gt;DAY(EOMONTH(DATE($D$2,$B$2,1),0)),"",SUMIFS(DATA_GOC!$H:$H,DATA_GOC!$A:$A,"BOM",DATA_GOC!$D:$D,$B228,DATA_GOC!$F:$F,"Xuất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8" s="61" t="str">
        <f>IF($B228="","",IF(Y$4&gt;DAY(EOMONTH(DATE($D$2,$B$2,1),0)),"",SUMIFS(DATA_GOC!$H:$H,DATA_GOC!$A:$A,"BOM",DATA_GOC!$D:$D,$B228,DATA_GOC!$F:$F,"Xuất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8" s="61" t="str">
        <f>IF($B228="","",IF(Z$4&gt;DAY(EOMONTH(DATE($D$2,$B$2,1),0)),"",SUMIFS(DATA_GOC!$H:$H,DATA_GOC!$A:$A,"BOM",DATA_GOC!$D:$D,$B228,DATA_GOC!$F:$F,"Xuất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8" s="61" t="str">
        <f>IF($B228="","",IF(AA$4&gt;DAY(EOMONTH(DATE($D$2,$B$2,1),0)),"",SUMIFS(DATA_GOC!$H:$H,DATA_GOC!$A:$A,"BOM",DATA_GOC!$D:$D,$B228,DATA_GOC!$F:$F,"Xuất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8" s="61" t="str">
        <f>IF($B228="","",IF(AB$4&gt;DAY(EOMONTH(DATE($D$2,$B$2,1),0)),"",SUMIFS(DATA_GOC!$H:$H,DATA_GOC!$A:$A,"BOM",DATA_GOC!$D:$D,$B228,DATA_GOC!$F:$F,"Xuất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8" s="61" t="str">
        <f>IF($B228="","",IF(AC$4&gt;DAY(EOMONTH(DATE($D$2,$B$2,1),0)),"",SUMIFS(DATA_GOC!$H:$H,DATA_GOC!$A:$A,"BOM",DATA_GOC!$D:$D,$B228,DATA_GOC!$F:$F,"Xuất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8" s="222" t="str">
        <f>IF($B228="","",IF(AD$4&gt;DAY(EOMONTH(DATE($D$2,$B$2,1),0)),"",SUMIFS(DATA_GOC!$H:$H,DATA_GOC!$A:$A,"BOM",DATA_GOC!$D:$D,$B228,DATA_GOC!$F:$F,"Xuất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8" s="222" t="str">
        <f>IF($B228="","",IF(AE$4&gt;DAY(EOMONTH(DATE($D$2,$B$2,1),0)),"",SUMIFS(DATA_GOC!$H:$H,DATA_GOC!$A:$A,"BOM",DATA_GOC!$D:$D,$B228,DATA_GOC!$F:$F,"Xuất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8" s="222" t="str">
        <f>IF($B228="","",IF(AF$4&gt;DAY(EOMONTH(DATE($D$2,$B$2,1),0)),"",SUMIFS(DATA_GOC!$H:$H,DATA_GOC!$A:$A,"BOM",DATA_GOC!$D:$D,$B228,DATA_GOC!$F:$F,"Xuất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8" s="222" t="str">
        <f>IF($B228="","",IF(AG$4&gt;DAY(EOMONTH(DATE($D$2,$B$2,1),0)),"",SUMIFS(DATA_GOC!$H:$H,DATA_GOC!$A:$A,"BOM",DATA_GOC!$D:$D,$B228,DATA_GOC!$F:$F,"Xuất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8" s="222" t="str">
        <f t="shared" si="2"/>
        <v/>
      </c>
      <c r="AI228" s="222" t="str">
        <f>IF($B228="","",SUMIFS(DATA_GOC!$H:$H,DATA_GOC!$A:$A,"BOM",DATA_GOC!$D:$D,$B228,DATA_GOC!$F:$F,"Bơm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8" s="222" t="str">
        <f t="shared" si="3"/>
        <v/>
      </c>
      <c r="AM228" s="222" t="str">
        <f>IF($B228="","",SUMIFS(DATA_GOC!$K:$K,DATA_GOC!$A:$A,"BOM",DATA_GOC!$D:$D,$B228,DATA_GOC!$G:$G,"DO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8" s="222" t="str">
        <f t="shared" si="4"/>
        <v/>
      </c>
      <c r="AO228" s="227" t="str">
        <f t="shared" si="5"/>
        <v/>
      </c>
      <c r="AP228" s="226" t="str">
        <f>IF($B228="","",IFERROR(AO228-(SUMIFS(DATA_GOC!$H:$H,DATA_GOC!$A:$A,"BOM",DATA_GOC!$D:$D,$B228,DATA_GOC!$F:$F,"Xuất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29" ht="15.0" customHeight="1">
      <c r="A229" s="61" t="str">
        <f t="shared" si="1"/>
        <v/>
      </c>
      <c r="B229" s="61" t="str">
        <f t="array" ref="B229">IFERROR(INDEX(DANH_MUC!$E:$E,ROW()-1),"")</f>
        <v/>
      </c>
      <c r="C229" s="61" t="str">
        <f>IF($B229="","",IF(C$4&gt;DAY(EOMONTH(DATE($D$2,$B$2,1),0)),"",SUMIFS(DATA_GOC!$H:$H,DATA_GOC!$A:$A,"BOM",DATA_GOC!$D:$D,$B229,DATA_GOC!$F:$F,"Xuất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29" s="61" t="str">
        <f>IF($B229="","",IF(D$4&gt;DAY(EOMONTH(DATE($D$2,$B$2,1),0)),"",SUMIFS(DATA_GOC!$H:$H,DATA_GOC!$A:$A,"BOM",DATA_GOC!$D:$D,$B229,DATA_GOC!$F:$F,"Xuất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29" s="61" t="str">
        <f>IF($B229="","",IF(E$4&gt;DAY(EOMONTH(DATE($D$2,$B$2,1),0)),"",SUMIFS(DATA_GOC!$H:$H,DATA_GOC!$A:$A,"BOM",DATA_GOC!$D:$D,$B229,DATA_GOC!$F:$F,"Xuất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29" s="61" t="str">
        <f>IF($B229="","",IF(F$4&gt;DAY(EOMONTH(DATE($D$2,$B$2,1),0)),"",SUMIFS(DATA_GOC!$H:$H,DATA_GOC!$A:$A,"BOM",DATA_GOC!$D:$D,$B229,DATA_GOC!$F:$F,"Xuất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29" s="61" t="str">
        <f>IF($B229="","",IF(G$4&gt;DAY(EOMONTH(DATE($D$2,$B$2,1),0)),"",SUMIFS(DATA_GOC!$H:$H,DATA_GOC!$A:$A,"BOM",DATA_GOC!$D:$D,$B229,DATA_GOC!$F:$F,"Xuất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29" s="61" t="str">
        <f>IF($B229="","",IF(H$4&gt;DAY(EOMONTH(DATE($D$2,$B$2,1),0)),"",SUMIFS(DATA_GOC!$H:$H,DATA_GOC!$A:$A,"BOM",DATA_GOC!$D:$D,$B229,DATA_GOC!$F:$F,"Xuất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29" s="61" t="str">
        <f>IF($B229="","",IF(I$4&gt;DAY(EOMONTH(DATE($D$2,$B$2,1),0)),"",SUMIFS(DATA_GOC!$H:$H,DATA_GOC!$A:$A,"BOM",DATA_GOC!$D:$D,$B229,DATA_GOC!$F:$F,"Xuất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29" s="61" t="str">
        <f>IF($B229="","",IF(J$4&gt;DAY(EOMONTH(DATE($D$2,$B$2,1),0)),"",SUMIFS(DATA_GOC!$H:$H,DATA_GOC!$A:$A,"BOM",DATA_GOC!$D:$D,$B229,DATA_GOC!$F:$F,"Xuất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29" s="61" t="str">
        <f>IF($B229="","",IF(K$4&gt;DAY(EOMONTH(DATE($D$2,$B$2,1),0)),"",SUMIFS(DATA_GOC!$H:$H,DATA_GOC!$A:$A,"BOM",DATA_GOC!$D:$D,$B229,DATA_GOC!$F:$F,"Xuất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29" s="61" t="str">
        <f>IF($B229="","",IF(L$4&gt;DAY(EOMONTH(DATE($D$2,$B$2,1),0)),"",SUMIFS(DATA_GOC!$H:$H,DATA_GOC!$A:$A,"BOM",DATA_GOC!$D:$D,$B229,DATA_GOC!$F:$F,"Xuất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29" s="61" t="str">
        <f>IF($B229="","",IF(M$4&gt;DAY(EOMONTH(DATE($D$2,$B$2,1),0)),"",SUMIFS(DATA_GOC!$H:$H,DATA_GOC!$A:$A,"BOM",DATA_GOC!$D:$D,$B229,DATA_GOC!$F:$F,"Xuất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29" s="61" t="str">
        <f>IF($B229="","",IF(N$4&gt;DAY(EOMONTH(DATE($D$2,$B$2,1),0)),"",SUMIFS(DATA_GOC!$H:$H,DATA_GOC!$A:$A,"BOM",DATA_GOC!$D:$D,$B229,DATA_GOC!$F:$F,"Xuất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29" s="61" t="str">
        <f>IF($B229="","",IF(O$4&gt;DAY(EOMONTH(DATE($D$2,$B$2,1),0)),"",SUMIFS(DATA_GOC!$H:$H,DATA_GOC!$A:$A,"BOM",DATA_GOC!$D:$D,$B229,DATA_GOC!$F:$F,"Xuất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29" s="61" t="str">
        <f>IF($B229="","",IF(P$4&gt;DAY(EOMONTH(DATE($D$2,$B$2,1),0)),"",SUMIFS(DATA_GOC!$H:$H,DATA_GOC!$A:$A,"BOM",DATA_GOC!$D:$D,$B229,DATA_GOC!$F:$F,"Xuất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29" s="61" t="str">
        <f>IF($B229="","",IF(Q$4&gt;DAY(EOMONTH(DATE($D$2,$B$2,1),0)),"",SUMIFS(DATA_GOC!$H:$H,DATA_GOC!$A:$A,"BOM",DATA_GOC!$D:$D,$B229,DATA_GOC!$F:$F,"Xuất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29" s="61" t="str">
        <f>IF($B229="","",IF(R$4&gt;DAY(EOMONTH(DATE($D$2,$B$2,1),0)),"",SUMIFS(DATA_GOC!$H:$H,DATA_GOC!$A:$A,"BOM",DATA_GOC!$D:$D,$B229,DATA_GOC!$F:$F,"Xuất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29" s="61" t="str">
        <f>IF($B229="","",IF(S$4&gt;DAY(EOMONTH(DATE($D$2,$B$2,1),0)),"",SUMIFS(DATA_GOC!$H:$H,DATA_GOC!$A:$A,"BOM",DATA_GOC!$D:$D,$B229,DATA_GOC!$F:$F,"Xuất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29" s="61" t="str">
        <f>IF($B229="","",IF(T$4&gt;DAY(EOMONTH(DATE($D$2,$B$2,1),0)),"",SUMIFS(DATA_GOC!$H:$H,DATA_GOC!$A:$A,"BOM",DATA_GOC!$D:$D,$B229,DATA_GOC!$F:$F,"Xuất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29" s="61" t="str">
        <f>IF($B229="","",IF(U$4&gt;DAY(EOMONTH(DATE($D$2,$B$2,1),0)),"",SUMIFS(DATA_GOC!$H:$H,DATA_GOC!$A:$A,"BOM",DATA_GOC!$D:$D,$B229,DATA_GOC!$F:$F,"Xuất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29" s="61" t="str">
        <f>IF($B229="","",IF(V$4&gt;DAY(EOMONTH(DATE($D$2,$B$2,1),0)),"",SUMIFS(DATA_GOC!$H:$H,DATA_GOC!$A:$A,"BOM",DATA_GOC!$D:$D,$B229,DATA_GOC!$F:$F,"Xuất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29" s="61" t="str">
        <f>IF($B229="","",IF(W$4&gt;DAY(EOMONTH(DATE($D$2,$B$2,1),0)),"",SUMIFS(DATA_GOC!$H:$H,DATA_GOC!$A:$A,"BOM",DATA_GOC!$D:$D,$B229,DATA_GOC!$F:$F,"Xuất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29" s="61" t="str">
        <f>IF($B229="","",IF(X$4&gt;DAY(EOMONTH(DATE($D$2,$B$2,1),0)),"",SUMIFS(DATA_GOC!$H:$H,DATA_GOC!$A:$A,"BOM",DATA_GOC!$D:$D,$B229,DATA_GOC!$F:$F,"Xuất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29" s="61" t="str">
        <f>IF($B229="","",IF(Y$4&gt;DAY(EOMONTH(DATE($D$2,$B$2,1),0)),"",SUMIFS(DATA_GOC!$H:$H,DATA_GOC!$A:$A,"BOM",DATA_GOC!$D:$D,$B229,DATA_GOC!$F:$F,"Xuất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29" s="61" t="str">
        <f>IF($B229="","",IF(Z$4&gt;DAY(EOMONTH(DATE($D$2,$B$2,1),0)),"",SUMIFS(DATA_GOC!$H:$H,DATA_GOC!$A:$A,"BOM",DATA_GOC!$D:$D,$B229,DATA_GOC!$F:$F,"Xuất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29" s="61" t="str">
        <f>IF($B229="","",IF(AA$4&gt;DAY(EOMONTH(DATE($D$2,$B$2,1),0)),"",SUMIFS(DATA_GOC!$H:$H,DATA_GOC!$A:$A,"BOM",DATA_GOC!$D:$D,$B229,DATA_GOC!$F:$F,"Xuất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29" s="61" t="str">
        <f>IF($B229="","",IF(AB$4&gt;DAY(EOMONTH(DATE($D$2,$B$2,1),0)),"",SUMIFS(DATA_GOC!$H:$H,DATA_GOC!$A:$A,"BOM",DATA_GOC!$D:$D,$B229,DATA_GOC!$F:$F,"Xuất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29" s="61" t="str">
        <f>IF($B229="","",IF(AC$4&gt;DAY(EOMONTH(DATE($D$2,$B$2,1),0)),"",SUMIFS(DATA_GOC!$H:$H,DATA_GOC!$A:$A,"BOM",DATA_GOC!$D:$D,$B229,DATA_GOC!$F:$F,"Xuất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29" s="222" t="str">
        <f>IF($B229="","",IF(AD$4&gt;DAY(EOMONTH(DATE($D$2,$B$2,1),0)),"",SUMIFS(DATA_GOC!$H:$H,DATA_GOC!$A:$A,"BOM",DATA_GOC!$D:$D,$B229,DATA_GOC!$F:$F,"Xuất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29" s="222" t="str">
        <f>IF($B229="","",IF(AE$4&gt;DAY(EOMONTH(DATE($D$2,$B$2,1),0)),"",SUMIFS(DATA_GOC!$H:$H,DATA_GOC!$A:$A,"BOM",DATA_GOC!$D:$D,$B229,DATA_GOC!$F:$F,"Xuất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29" s="222" t="str">
        <f>IF($B229="","",IF(AF$4&gt;DAY(EOMONTH(DATE($D$2,$B$2,1),0)),"",SUMIFS(DATA_GOC!$H:$H,DATA_GOC!$A:$A,"BOM",DATA_GOC!$D:$D,$B229,DATA_GOC!$F:$F,"Xuất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29" s="222" t="str">
        <f>IF($B229="","",IF(AG$4&gt;DAY(EOMONTH(DATE($D$2,$B$2,1),0)),"",SUMIFS(DATA_GOC!$H:$H,DATA_GOC!$A:$A,"BOM",DATA_GOC!$D:$D,$B229,DATA_GOC!$F:$F,"Xuất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29" s="222" t="str">
        <f t="shared" si="2"/>
        <v/>
      </c>
      <c r="AI229" s="222" t="str">
        <f>IF($B229="","",SUMIFS(DATA_GOC!$H:$H,DATA_GOC!$A:$A,"BOM",DATA_GOC!$D:$D,$B229,DATA_GOC!$F:$F,"Bơm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29" s="222" t="str">
        <f t="shared" si="3"/>
        <v/>
      </c>
      <c r="AM229" s="222" t="str">
        <f>IF($B229="","",SUMIFS(DATA_GOC!$K:$K,DATA_GOC!$A:$A,"BOM",DATA_GOC!$D:$D,$B229,DATA_GOC!$G:$G,"DO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29" s="222" t="str">
        <f t="shared" si="4"/>
        <v/>
      </c>
      <c r="AO229" s="227" t="str">
        <f t="shared" si="5"/>
        <v/>
      </c>
      <c r="AP229" s="226" t="str">
        <f>IF($B229="","",IFERROR(AO229-(SUMIFS(DATA_GOC!$H:$H,DATA_GOC!$A:$A,"BOM",DATA_GOC!$D:$D,$B229,DATA_GOC!$F:$F,"Xuất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số",DATA_GOC!$B:$B,"&gt;="&amp;EDATE(DATE($D$2,$B$2,1),-1),DATA_GOC!$B:$B,"&lt;"&amp;DATE($D$2,$B$2,1))/SUMIFS(DATA_GOC!$K:$K,DATA_GOC!$A:$A,"BOM",DATA_GOC!$D:$D,$B229,DATA_GOC!$G:$G,"DO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0" ht="15.0" customHeight="1">
      <c r="A230" s="61" t="str">
        <f t="shared" si="1"/>
        <v/>
      </c>
      <c r="B230" s="61" t="str">
        <f t="array" ref="B230">IFERROR(INDEX(DANH_MUC!$E:$E,ROW()-1),"")</f>
        <v/>
      </c>
      <c r="C230" s="61" t="str">
        <f>IF($B230="","",IF(C$4&gt;DAY(EOMONTH(DATE($D$2,$B$2,1),0)),"",SUMIFS(DATA_GOC!$H:$H,DATA_GOC!$A:$A,"BOM",DATA_GOC!$D:$D,$B230,DATA_GOC!$F:$F,"Xuất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0" s="61" t="str">
        <f>IF($B230="","",IF(D$4&gt;DAY(EOMONTH(DATE($D$2,$B$2,1),0)),"",SUMIFS(DATA_GOC!$H:$H,DATA_GOC!$A:$A,"BOM",DATA_GOC!$D:$D,$B230,DATA_GOC!$F:$F,"Xuất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0" s="61" t="str">
        <f>IF($B230="","",IF(E$4&gt;DAY(EOMONTH(DATE($D$2,$B$2,1),0)),"",SUMIFS(DATA_GOC!$H:$H,DATA_GOC!$A:$A,"BOM",DATA_GOC!$D:$D,$B230,DATA_GOC!$F:$F,"Xuất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0" s="61" t="str">
        <f>IF($B230="","",IF(F$4&gt;DAY(EOMONTH(DATE($D$2,$B$2,1),0)),"",SUMIFS(DATA_GOC!$H:$H,DATA_GOC!$A:$A,"BOM",DATA_GOC!$D:$D,$B230,DATA_GOC!$F:$F,"Xuất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0" s="61" t="str">
        <f>IF($B230="","",IF(G$4&gt;DAY(EOMONTH(DATE($D$2,$B$2,1),0)),"",SUMIFS(DATA_GOC!$H:$H,DATA_GOC!$A:$A,"BOM",DATA_GOC!$D:$D,$B230,DATA_GOC!$F:$F,"Xuất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0" s="61" t="str">
        <f>IF($B230="","",IF(H$4&gt;DAY(EOMONTH(DATE($D$2,$B$2,1),0)),"",SUMIFS(DATA_GOC!$H:$H,DATA_GOC!$A:$A,"BOM",DATA_GOC!$D:$D,$B230,DATA_GOC!$F:$F,"Xuất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0" s="61" t="str">
        <f>IF($B230="","",IF(I$4&gt;DAY(EOMONTH(DATE($D$2,$B$2,1),0)),"",SUMIFS(DATA_GOC!$H:$H,DATA_GOC!$A:$A,"BOM",DATA_GOC!$D:$D,$B230,DATA_GOC!$F:$F,"Xuất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0" s="61" t="str">
        <f>IF($B230="","",IF(J$4&gt;DAY(EOMONTH(DATE($D$2,$B$2,1),0)),"",SUMIFS(DATA_GOC!$H:$H,DATA_GOC!$A:$A,"BOM",DATA_GOC!$D:$D,$B230,DATA_GOC!$F:$F,"Xuất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0" s="61" t="str">
        <f>IF($B230="","",IF(K$4&gt;DAY(EOMONTH(DATE($D$2,$B$2,1),0)),"",SUMIFS(DATA_GOC!$H:$H,DATA_GOC!$A:$A,"BOM",DATA_GOC!$D:$D,$B230,DATA_GOC!$F:$F,"Xuất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0" s="61" t="str">
        <f>IF($B230="","",IF(L$4&gt;DAY(EOMONTH(DATE($D$2,$B$2,1),0)),"",SUMIFS(DATA_GOC!$H:$H,DATA_GOC!$A:$A,"BOM",DATA_GOC!$D:$D,$B230,DATA_GOC!$F:$F,"Xuất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0" s="61" t="str">
        <f>IF($B230="","",IF(M$4&gt;DAY(EOMONTH(DATE($D$2,$B$2,1),0)),"",SUMIFS(DATA_GOC!$H:$H,DATA_GOC!$A:$A,"BOM",DATA_GOC!$D:$D,$B230,DATA_GOC!$F:$F,"Xuất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0" s="61" t="str">
        <f>IF($B230="","",IF(N$4&gt;DAY(EOMONTH(DATE($D$2,$B$2,1),0)),"",SUMIFS(DATA_GOC!$H:$H,DATA_GOC!$A:$A,"BOM",DATA_GOC!$D:$D,$B230,DATA_GOC!$F:$F,"Xuất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0" s="61" t="str">
        <f>IF($B230="","",IF(O$4&gt;DAY(EOMONTH(DATE($D$2,$B$2,1),0)),"",SUMIFS(DATA_GOC!$H:$H,DATA_GOC!$A:$A,"BOM",DATA_GOC!$D:$D,$B230,DATA_GOC!$F:$F,"Xuất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0" s="61" t="str">
        <f>IF($B230="","",IF(P$4&gt;DAY(EOMONTH(DATE($D$2,$B$2,1),0)),"",SUMIFS(DATA_GOC!$H:$H,DATA_GOC!$A:$A,"BOM",DATA_GOC!$D:$D,$B230,DATA_GOC!$F:$F,"Xuất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0" s="61" t="str">
        <f>IF($B230="","",IF(Q$4&gt;DAY(EOMONTH(DATE($D$2,$B$2,1),0)),"",SUMIFS(DATA_GOC!$H:$H,DATA_GOC!$A:$A,"BOM",DATA_GOC!$D:$D,$B230,DATA_GOC!$F:$F,"Xuất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0" s="61" t="str">
        <f>IF($B230="","",IF(R$4&gt;DAY(EOMONTH(DATE($D$2,$B$2,1),0)),"",SUMIFS(DATA_GOC!$H:$H,DATA_GOC!$A:$A,"BOM",DATA_GOC!$D:$D,$B230,DATA_GOC!$F:$F,"Xuất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0" s="61" t="str">
        <f>IF($B230="","",IF(S$4&gt;DAY(EOMONTH(DATE($D$2,$B$2,1),0)),"",SUMIFS(DATA_GOC!$H:$H,DATA_GOC!$A:$A,"BOM",DATA_GOC!$D:$D,$B230,DATA_GOC!$F:$F,"Xuất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0" s="61" t="str">
        <f>IF($B230="","",IF(T$4&gt;DAY(EOMONTH(DATE($D$2,$B$2,1),0)),"",SUMIFS(DATA_GOC!$H:$H,DATA_GOC!$A:$A,"BOM",DATA_GOC!$D:$D,$B230,DATA_GOC!$F:$F,"Xuất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0" s="61" t="str">
        <f>IF($B230="","",IF(U$4&gt;DAY(EOMONTH(DATE($D$2,$B$2,1),0)),"",SUMIFS(DATA_GOC!$H:$H,DATA_GOC!$A:$A,"BOM",DATA_GOC!$D:$D,$B230,DATA_GOC!$F:$F,"Xuất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0" s="61" t="str">
        <f>IF($B230="","",IF(V$4&gt;DAY(EOMONTH(DATE($D$2,$B$2,1),0)),"",SUMIFS(DATA_GOC!$H:$H,DATA_GOC!$A:$A,"BOM",DATA_GOC!$D:$D,$B230,DATA_GOC!$F:$F,"Xuất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0" s="61" t="str">
        <f>IF($B230="","",IF(W$4&gt;DAY(EOMONTH(DATE($D$2,$B$2,1),0)),"",SUMIFS(DATA_GOC!$H:$H,DATA_GOC!$A:$A,"BOM",DATA_GOC!$D:$D,$B230,DATA_GOC!$F:$F,"Xuất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0" s="61" t="str">
        <f>IF($B230="","",IF(X$4&gt;DAY(EOMONTH(DATE($D$2,$B$2,1),0)),"",SUMIFS(DATA_GOC!$H:$H,DATA_GOC!$A:$A,"BOM",DATA_GOC!$D:$D,$B230,DATA_GOC!$F:$F,"Xuất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0" s="61" t="str">
        <f>IF($B230="","",IF(Y$4&gt;DAY(EOMONTH(DATE($D$2,$B$2,1),0)),"",SUMIFS(DATA_GOC!$H:$H,DATA_GOC!$A:$A,"BOM",DATA_GOC!$D:$D,$B230,DATA_GOC!$F:$F,"Xuất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0" s="61" t="str">
        <f>IF($B230="","",IF(Z$4&gt;DAY(EOMONTH(DATE($D$2,$B$2,1),0)),"",SUMIFS(DATA_GOC!$H:$H,DATA_GOC!$A:$A,"BOM",DATA_GOC!$D:$D,$B230,DATA_GOC!$F:$F,"Xuất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0" s="61" t="str">
        <f>IF($B230="","",IF(AA$4&gt;DAY(EOMONTH(DATE($D$2,$B$2,1),0)),"",SUMIFS(DATA_GOC!$H:$H,DATA_GOC!$A:$A,"BOM",DATA_GOC!$D:$D,$B230,DATA_GOC!$F:$F,"Xuất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0" s="61" t="str">
        <f>IF($B230="","",IF(AB$4&gt;DAY(EOMONTH(DATE($D$2,$B$2,1),0)),"",SUMIFS(DATA_GOC!$H:$H,DATA_GOC!$A:$A,"BOM",DATA_GOC!$D:$D,$B230,DATA_GOC!$F:$F,"Xuất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0" s="61" t="str">
        <f>IF($B230="","",IF(AC$4&gt;DAY(EOMONTH(DATE($D$2,$B$2,1),0)),"",SUMIFS(DATA_GOC!$H:$H,DATA_GOC!$A:$A,"BOM",DATA_GOC!$D:$D,$B230,DATA_GOC!$F:$F,"Xuất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0" s="222" t="str">
        <f>IF($B230="","",IF(AD$4&gt;DAY(EOMONTH(DATE($D$2,$B$2,1),0)),"",SUMIFS(DATA_GOC!$H:$H,DATA_GOC!$A:$A,"BOM",DATA_GOC!$D:$D,$B230,DATA_GOC!$F:$F,"Xuất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0" s="222" t="str">
        <f>IF($B230="","",IF(AE$4&gt;DAY(EOMONTH(DATE($D$2,$B$2,1),0)),"",SUMIFS(DATA_GOC!$H:$H,DATA_GOC!$A:$A,"BOM",DATA_GOC!$D:$D,$B230,DATA_GOC!$F:$F,"Xuất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0" s="222" t="str">
        <f>IF($B230="","",IF(AF$4&gt;DAY(EOMONTH(DATE($D$2,$B$2,1),0)),"",SUMIFS(DATA_GOC!$H:$H,DATA_GOC!$A:$A,"BOM",DATA_GOC!$D:$D,$B230,DATA_GOC!$F:$F,"Xuất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0" s="222" t="str">
        <f>IF($B230="","",IF(AG$4&gt;DAY(EOMONTH(DATE($D$2,$B$2,1),0)),"",SUMIFS(DATA_GOC!$H:$H,DATA_GOC!$A:$A,"BOM",DATA_GOC!$D:$D,$B230,DATA_GOC!$F:$F,"Xuất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0" s="222" t="str">
        <f t="shared" si="2"/>
        <v/>
      </c>
      <c r="AI230" s="222" t="str">
        <f>IF($B230="","",SUMIFS(DATA_GOC!$H:$H,DATA_GOC!$A:$A,"BOM",DATA_GOC!$D:$D,$B230,DATA_GOC!$F:$F,"Bơm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0" s="222" t="str">
        <f t="shared" si="3"/>
        <v/>
      </c>
      <c r="AM230" s="222" t="str">
        <f>IF($B230="","",SUMIFS(DATA_GOC!$K:$K,DATA_GOC!$A:$A,"BOM",DATA_GOC!$D:$D,$B230,DATA_GOC!$G:$G,"DO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0" s="222" t="str">
        <f t="shared" si="4"/>
        <v/>
      </c>
      <c r="AO230" s="227" t="str">
        <f t="shared" si="5"/>
        <v/>
      </c>
      <c r="AP230" s="226" t="str">
        <f>IF($B230="","",IFERROR(AO230-(SUMIFS(DATA_GOC!$H:$H,DATA_GOC!$A:$A,"BOM",DATA_GOC!$D:$D,$B230,DATA_GOC!$F:$F,"Xuất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1" ht="15.0" customHeight="1">
      <c r="A231" s="61" t="str">
        <f t="shared" si="1"/>
        <v/>
      </c>
      <c r="B231" s="61" t="str">
        <f t="array" ref="B231">IFERROR(INDEX(DANH_MUC!$E:$E,ROW()-1),"")</f>
        <v/>
      </c>
      <c r="C231" s="61" t="str">
        <f>IF($B231="","",IF(C$4&gt;DAY(EOMONTH(DATE($D$2,$B$2,1),0)),"",SUMIFS(DATA_GOC!$H:$H,DATA_GOC!$A:$A,"BOM",DATA_GOC!$D:$D,$B231,DATA_GOC!$F:$F,"Xuất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1" s="61" t="str">
        <f>IF($B231="","",IF(D$4&gt;DAY(EOMONTH(DATE($D$2,$B$2,1),0)),"",SUMIFS(DATA_GOC!$H:$H,DATA_GOC!$A:$A,"BOM",DATA_GOC!$D:$D,$B231,DATA_GOC!$F:$F,"Xuất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1" s="61" t="str">
        <f>IF($B231="","",IF(E$4&gt;DAY(EOMONTH(DATE($D$2,$B$2,1),0)),"",SUMIFS(DATA_GOC!$H:$H,DATA_GOC!$A:$A,"BOM",DATA_GOC!$D:$D,$B231,DATA_GOC!$F:$F,"Xuất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1" s="61" t="str">
        <f>IF($B231="","",IF(F$4&gt;DAY(EOMONTH(DATE($D$2,$B$2,1),0)),"",SUMIFS(DATA_GOC!$H:$H,DATA_GOC!$A:$A,"BOM",DATA_GOC!$D:$D,$B231,DATA_GOC!$F:$F,"Xuất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1" s="61" t="str">
        <f>IF($B231="","",IF(G$4&gt;DAY(EOMONTH(DATE($D$2,$B$2,1),0)),"",SUMIFS(DATA_GOC!$H:$H,DATA_GOC!$A:$A,"BOM",DATA_GOC!$D:$D,$B231,DATA_GOC!$F:$F,"Xuất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1" s="61" t="str">
        <f>IF($B231="","",IF(H$4&gt;DAY(EOMONTH(DATE($D$2,$B$2,1),0)),"",SUMIFS(DATA_GOC!$H:$H,DATA_GOC!$A:$A,"BOM",DATA_GOC!$D:$D,$B231,DATA_GOC!$F:$F,"Xuất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1" s="61" t="str">
        <f>IF($B231="","",IF(I$4&gt;DAY(EOMONTH(DATE($D$2,$B$2,1),0)),"",SUMIFS(DATA_GOC!$H:$H,DATA_GOC!$A:$A,"BOM",DATA_GOC!$D:$D,$B231,DATA_GOC!$F:$F,"Xuất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1" s="61" t="str">
        <f>IF($B231="","",IF(J$4&gt;DAY(EOMONTH(DATE($D$2,$B$2,1),0)),"",SUMIFS(DATA_GOC!$H:$H,DATA_GOC!$A:$A,"BOM",DATA_GOC!$D:$D,$B231,DATA_GOC!$F:$F,"Xuất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1" s="61" t="str">
        <f>IF($B231="","",IF(K$4&gt;DAY(EOMONTH(DATE($D$2,$B$2,1),0)),"",SUMIFS(DATA_GOC!$H:$H,DATA_GOC!$A:$A,"BOM",DATA_GOC!$D:$D,$B231,DATA_GOC!$F:$F,"Xuất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1" s="61" t="str">
        <f>IF($B231="","",IF(L$4&gt;DAY(EOMONTH(DATE($D$2,$B$2,1),0)),"",SUMIFS(DATA_GOC!$H:$H,DATA_GOC!$A:$A,"BOM",DATA_GOC!$D:$D,$B231,DATA_GOC!$F:$F,"Xuất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1" s="61" t="str">
        <f>IF($B231="","",IF(M$4&gt;DAY(EOMONTH(DATE($D$2,$B$2,1),0)),"",SUMIFS(DATA_GOC!$H:$H,DATA_GOC!$A:$A,"BOM",DATA_GOC!$D:$D,$B231,DATA_GOC!$F:$F,"Xuất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1" s="61" t="str">
        <f>IF($B231="","",IF(N$4&gt;DAY(EOMONTH(DATE($D$2,$B$2,1),0)),"",SUMIFS(DATA_GOC!$H:$H,DATA_GOC!$A:$A,"BOM",DATA_GOC!$D:$D,$B231,DATA_GOC!$F:$F,"Xuất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1" s="61" t="str">
        <f>IF($B231="","",IF(O$4&gt;DAY(EOMONTH(DATE($D$2,$B$2,1),0)),"",SUMIFS(DATA_GOC!$H:$H,DATA_GOC!$A:$A,"BOM",DATA_GOC!$D:$D,$B231,DATA_GOC!$F:$F,"Xuất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1" s="61" t="str">
        <f>IF($B231="","",IF(P$4&gt;DAY(EOMONTH(DATE($D$2,$B$2,1),0)),"",SUMIFS(DATA_GOC!$H:$H,DATA_GOC!$A:$A,"BOM",DATA_GOC!$D:$D,$B231,DATA_GOC!$F:$F,"Xuất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1" s="61" t="str">
        <f>IF($B231="","",IF(Q$4&gt;DAY(EOMONTH(DATE($D$2,$B$2,1),0)),"",SUMIFS(DATA_GOC!$H:$H,DATA_GOC!$A:$A,"BOM",DATA_GOC!$D:$D,$B231,DATA_GOC!$F:$F,"Xuất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1" s="61" t="str">
        <f>IF($B231="","",IF(R$4&gt;DAY(EOMONTH(DATE($D$2,$B$2,1),0)),"",SUMIFS(DATA_GOC!$H:$H,DATA_GOC!$A:$A,"BOM",DATA_GOC!$D:$D,$B231,DATA_GOC!$F:$F,"Xuất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1" s="61" t="str">
        <f>IF($B231="","",IF(S$4&gt;DAY(EOMONTH(DATE($D$2,$B$2,1),0)),"",SUMIFS(DATA_GOC!$H:$H,DATA_GOC!$A:$A,"BOM",DATA_GOC!$D:$D,$B231,DATA_GOC!$F:$F,"Xuất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1" s="61" t="str">
        <f>IF($B231="","",IF(T$4&gt;DAY(EOMONTH(DATE($D$2,$B$2,1),0)),"",SUMIFS(DATA_GOC!$H:$H,DATA_GOC!$A:$A,"BOM",DATA_GOC!$D:$D,$B231,DATA_GOC!$F:$F,"Xuất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1" s="61" t="str">
        <f>IF($B231="","",IF(U$4&gt;DAY(EOMONTH(DATE($D$2,$B$2,1),0)),"",SUMIFS(DATA_GOC!$H:$H,DATA_GOC!$A:$A,"BOM",DATA_GOC!$D:$D,$B231,DATA_GOC!$F:$F,"Xuất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1" s="61" t="str">
        <f>IF($B231="","",IF(V$4&gt;DAY(EOMONTH(DATE($D$2,$B$2,1),0)),"",SUMIFS(DATA_GOC!$H:$H,DATA_GOC!$A:$A,"BOM",DATA_GOC!$D:$D,$B231,DATA_GOC!$F:$F,"Xuất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1" s="61" t="str">
        <f>IF($B231="","",IF(W$4&gt;DAY(EOMONTH(DATE($D$2,$B$2,1),0)),"",SUMIFS(DATA_GOC!$H:$H,DATA_GOC!$A:$A,"BOM",DATA_GOC!$D:$D,$B231,DATA_GOC!$F:$F,"Xuất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1" s="61" t="str">
        <f>IF($B231="","",IF(X$4&gt;DAY(EOMONTH(DATE($D$2,$B$2,1),0)),"",SUMIFS(DATA_GOC!$H:$H,DATA_GOC!$A:$A,"BOM",DATA_GOC!$D:$D,$B231,DATA_GOC!$F:$F,"Xuất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1" s="61" t="str">
        <f>IF($B231="","",IF(Y$4&gt;DAY(EOMONTH(DATE($D$2,$B$2,1),0)),"",SUMIFS(DATA_GOC!$H:$H,DATA_GOC!$A:$A,"BOM",DATA_GOC!$D:$D,$B231,DATA_GOC!$F:$F,"Xuất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1" s="61" t="str">
        <f>IF($B231="","",IF(Z$4&gt;DAY(EOMONTH(DATE($D$2,$B$2,1),0)),"",SUMIFS(DATA_GOC!$H:$H,DATA_GOC!$A:$A,"BOM",DATA_GOC!$D:$D,$B231,DATA_GOC!$F:$F,"Xuất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1" s="61" t="str">
        <f>IF($B231="","",IF(AA$4&gt;DAY(EOMONTH(DATE($D$2,$B$2,1),0)),"",SUMIFS(DATA_GOC!$H:$H,DATA_GOC!$A:$A,"BOM",DATA_GOC!$D:$D,$B231,DATA_GOC!$F:$F,"Xuất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1" s="61" t="str">
        <f>IF($B231="","",IF(AB$4&gt;DAY(EOMONTH(DATE($D$2,$B$2,1),0)),"",SUMIFS(DATA_GOC!$H:$H,DATA_GOC!$A:$A,"BOM",DATA_GOC!$D:$D,$B231,DATA_GOC!$F:$F,"Xuất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1" s="61" t="str">
        <f>IF($B231="","",IF(AC$4&gt;DAY(EOMONTH(DATE($D$2,$B$2,1),0)),"",SUMIFS(DATA_GOC!$H:$H,DATA_GOC!$A:$A,"BOM",DATA_GOC!$D:$D,$B231,DATA_GOC!$F:$F,"Xuất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1" s="222" t="str">
        <f>IF($B231="","",IF(AD$4&gt;DAY(EOMONTH(DATE($D$2,$B$2,1),0)),"",SUMIFS(DATA_GOC!$H:$H,DATA_GOC!$A:$A,"BOM",DATA_GOC!$D:$D,$B231,DATA_GOC!$F:$F,"Xuất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1" s="222" t="str">
        <f>IF($B231="","",IF(AE$4&gt;DAY(EOMONTH(DATE($D$2,$B$2,1),0)),"",SUMIFS(DATA_GOC!$H:$H,DATA_GOC!$A:$A,"BOM",DATA_GOC!$D:$D,$B231,DATA_GOC!$F:$F,"Xuất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1" s="222" t="str">
        <f>IF($B231="","",IF(AF$4&gt;DAY(EOMONTH(DATE($D$2,$B$2,1),0)),"",SUMIFS(DATA_GOC!$H:$H,DATA_GOC!$A:$A,"BOM",DATA_GOC!$D:$D,$B231,DATA_GOC!$F:$F,"Xuất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1" s="222" t="str">
        <f>IF($B231="","",IF(AG$4&gt;DAY(EOMONTH(DATE($D$2,$B$2,1),0)),"",SUMIFS(DATA_GOC!$H:$H,DATA_GOC!$A:$A,"BOM",DATA_GOC!$D:$D,$B231,DATA_GOC!$F:$F,"Xuất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1" s="222" t="str">
        <f t="shared" si="2"/>
        <v/>
      </c>
      <c r="AI231" s="222" t="str">
        <f>IF($B231="","",SUMIFS(DATA_GOC!$H:$H,DATA_GOC!$A:$A,"BOM",DATA_GOC!$D:$D,$B231,DATA_GOC!$F:$F,"Bơm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1" s="222" t="str">
        <f t="shared" si="3"/>
        <v/>
      </c>
      <c r="AM231" s="222" t="str">
        <f>IF($B231="","",SUMIFS(DATA_GOC!$K:$K,DATA_GOC!$A:$A,"BOM",DATA_GOC!$D:$D,$B231,DATA_GOC!$G:$G,"DO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1" s="222" t="str">
        <f t="shared" si="4"/>
        <v/>
      </c>
      <c r="AO231" s="227" t="str">
        <f t="shared" si="5"/>
        <v/>
      </c>
      <c r="AP231" s="226" t="str">
        <f>IF($B231="","",IFERROR(AO231-(SUMIFS(DATA_GOC!$H:$H,DATA_GOC!$A:$A,"BOM",DATA_GOC!$D:$D,$B231,DATA_GOC!$F:$F,"Xuất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2" ht="15.0" customHeight="1">
      <c r="A232" s="61" t="str">
        <f t="shared" si="1"/>
        <v/>
      </c>
      <c r="B232" s="61" t="str">
        <f t="array" ref="B232">IFERROR(INDEX(DANH_MUC!$E:$E,ROW()-1),"")</f>
        <v/>
      </c>
      <c r="C232" s="61" t="str">
        <f>IF($B232="","",IF(C$4&gt;DAY(EOMONTH(DATE($D$2,$B$2,1),0)),"",SUMIFS(DATA_GOC!$H:$H,DATA_GOC!$A:$A,"BOM",DATA_GOC!$D:$D,$B232,DATA_GOC!$F:$F,"Xuất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2" s="61" t="str">
        <f>IF($B232="","",IF(D$4&gt;DAY(EOMONTH(DATE($D$2,$B$2,1),0)),"",SUMIFS(DATA_GOC!$H:$H,DATA_GOC!$A:$A,"BOM",DATA_GOC!$D:$D,$B232,DATA_GOC!$F:$F,"Xuất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2" s="61" t="str">
        <f>IF($B232="","",IF(E$4&gt;DAY(EOMONTH(DATE($D$2,$B$2,1),0)),"",SUMIFS(DATA_GOC!$H:$H,DATA_GOC!$A:$A,"BOM",DATA_GOC!$D:$D,$B232,DATA_GOC!$F:$F,"Xuất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2" s="61" t="str">
        <f>IF($B232="","",IF(F$4&gt;DAY(EOMONTH(DATE($D$2,$B$2,1),0)),"",SUMIFS(DATA_GOC!$H:$H,DATA_GOC!$A:$A,"BOM",DATA_GOC!$D:$D,$B232,DATA_GOC!$F:$F,"Xuất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2" s="61" t="str">
        <f>IF($B232="","",IF(G$4&gt;DAY(EOMONTH(DATE($D$2,$B$2,1),0)),"",SUMIFS(DATA_GOC!$H:$H,DATA_GOC!$A:$A,"BOM",DATA_GOC!$D:$D,$B232,DATA_GOC!$F:$F,"Xuất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2" s="61" t="str">
        <f>IF($B232="","",IF(H$4&gt;DAY(EOMONTH(DATE($D$2,$B$2,1),0)),"",SUMIFS(DATA_GOC!$H:$H,DATA_GOC!$A:$A,"BOM",DATA_GOC!$D:$D,$B232,DATA_GOC!$F:$F,"Xuất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2" s="61" t="str">
        <f>IF($B232="","",IF(I$4&gt;DAY(EOMONTH(DATE($D$2,$B$2,1),0)),"",SUMIFS(DATA_GOC!$H:$H,DATA_GOC!$A:$A,"BOM",DATA_GOC!$D:$D,$B232,DATA_GOC!$F:$F,"Xuất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2" s="61" t="str">
        <f>IF($B232="","",IF(J$4&gt;DAY(EOMONTH(DATE($D$2,$B$2,1),0)),"",SUMIFS(DATA_GOC!$H:$H,DATA_GOC!$A:$A,"BOM",DATA_GOC!$D:$D,$B232,DATA_GOC!$F:$F,"Xuất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2" s="61" t="str">
        <f>IF($B232="","",IF(K$4&gt;DAY(EOMONTH(DATE($D$2,$B$2,1),0)),"",SUMIFS(DATA_GOC!$H:$H,DATA_GOC!$A:$A,"BOM",DATA_GOC!$D:$D,$B232,DATA_GOC!$F:$F,"Xuất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2" s="61" t="str">
        <f>IF($B232="","",IF(L$4&gt;DAY(EOMONTH(DATE($D$2,$B$2,1),0)),"",SUMIFS(DATA_GOC!$H:$H,DATA_GOC!$A:$A,"BOM",DATA_GOC!$D:$D,$B232,DATA_GOC!$F:$F,"Xuất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2" s="61" t="str">
        <f>IF($B232="","",IF(M$4&gt;DAY(EOMONTH(DATE($D$2,$B$2,1),0)),"",SUMIFS(DATA_GOC!$H:$H,DATA_GOC!$A:$A,"BOM",DATA_GOC!$D:$D,$B232,DATA_GOC!$F:$F,"Xuất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2" s="61" t="str">
        <f>IF($B232="","",IF(N$4&gt;DAY(EOMONTH(DATE($D$2,$B$2,1),0)),"",SUMIFS(DATA_GOC!$H:$H,DATA_GOC!$A:$A,"BOM",DATA_GOC!$D:$D,$B232,DATA_GOC!$F:$F,"Xuất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2" s="61" t="str">
        <f>IF($B232="","",IF(O$4&gt;DAY(EOMONTH(DATE($D$2,$B$2,1),0)),"",SUMIFS(DATA_GOC!$H:$H,DATA_GOC!$A:$A,"BOM",DATA_GOC!$D:$D,$B232,DATA_GOC!$F:$F,"Xuất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2" s="61" t="str">
        <f>IF($B232="","",IF(P$4&gt;DAY(EOMONTH(DATE($D$2,$B$2,1),0)),"",SUMIFS(DATA_GOC!$H:$H,DATA_GOC!$A:$A,"BOM",DATA_GOC!$D:$D,$B232,DATA_GOC!$F:$F,"Xuất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2" s="61" t="str">
        <f>IF($B232="","",IF(Q$4&gt;DAY(EOMONTH(DATE($D$2,$B$2,1),0)),"",SUMIFS(DATA_GOC!$H:$H,DATA_GOC!$A:$A,"BOM",DATA_GOC!$D:$D,$B232,DATA_GOC!$F:$F,"Xuất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2" s="61" t="str">
        <f>IF($B232="","",IF(R$4&gt;DAY(EOMONTH(DATE($D$2,$B$2,1),0)),"",SUMIFS(DATA_GOC!$H:$H,DATA_GOC!$A:$A,"BOM",DATA_GOC!$D:$D,$B232,DATA_GOC!$F:$F,"Xuất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2" s="61" t="str">
        <f>IF($B232="","",IF(S$4&gt;DAY(EOMONTH(DATE($D$2,$B$2,1),0)),"",SUMIFS(DATA_GOC!$H:$H,DATA_GOC!$A:$A,"BOM",DATA_GOC!$D:$D,$B232,DATA_GOC!$F:$F,"Xuất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2" s="61" t="str">
        <f>IF($B232="","",IF(T$4&gt;DAY(EOMONTH(DATE($D$2,$B$2,1),0)),"",SUMIFS(DATA_GOC!$H:$H,DATA_GOC!$A:$A,"BOM",DATA_GOC!$D:$D,$B232,DATA_GOC!$F:$F,"Xuất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2" s="61" t="str">
        <f>IF($B232="","",IF(U$4&gt;DAY(EOMONTH(DATE($D$2,$B$2,1),0)),"",SUMIFS(DATA_GOC!$H:$H,DATA_GOC!$A:$A,"BOM",DATA_GOC!$D:$D,$B232,DATA_GOC!$F:$F,"Xuất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2" s="61" t="str">
        <f>IF($B232="","",IF(V$4&gt;DAY(EOMONTH(DATE($D$2,$B$2,1),0)),"",SUMIFS(DATA_GOC!$H:$H,DATA_GOC!$A:$A,"BOM",DATA_GOC!$D:$D,$B232,DATA_GOC!$F:$F,"Xuất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2" s="61" t="str">
        <f>IF($B232="","",IF(W$4&gt;DAY(EOMONTH(DATE($D$2,$B$2,1),0)),"",SUMIFS(DATA_GOC!$H:$H,DATA_GOC!$A:$A,"BOM",DATA_GOC!$D:$D,$B232,DATA_GOC!$F:$F,"Xuất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2" s="61" t="str">
        <f>IF($B232="","",IF(X$4&gt;DAY(EOMONTH(DATE($D$2,$B$2,1),0)),"",SUMIFS(DATA_GOC!$H:$H,DATA_GOC!$A:$A,"BOM",DATA_GOC!$D:$D,$B232,DATA_GOC!$F:$F,"Xuất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2" s="61" t="str">
        <f>IF($B232="","",IF(Y$4&gt;DAY(EOMONTH(DATE($D$2,$B$2,1),0)),"",SUMIFS(DATA_GOC!$H:$H,DATA_GOC!$A:$A,"BOM",DATA_GOC!$D:$D,$B232,DATA_GOC!$F:$F,"Xuất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2" s="61" t="str">
        <f>IF($B232="","",IF(Z$4&gt;DAY(EOMONTH(DATE($D$2,$B$2,1),0)),"",SUMIFS(DATA_GOC!$H:$H,DATA_GOC!$A:$A,"BOM",DATA_GOC!$D:$D,$B232,DATA_GOC!$F:$F,"Xuất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2" s="61" t="str">
        <f>IF($B232="","",IF(AA$4&gt;DAY(EOMONTH(DATE($D$2,$B$2,1),0)),"",SUMIFS(DATA_GOC!$H:$H,DATA_GOC!$A:$A,"BOM",DATA_GOC!$D:$D,$B232,DATA_GOC!$F:$F,"Xuất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2" s="61" t="str">
        <f>IF($B232="","",IF(AB$4&gt;DAY(EOMONTH(DATE($D$2,$B$2,1),0)),"",SUMIFS(DATA_GOC!$H:$H,DATA_GOC!$A:$A,"BOM",DATA_GOC!$D:$D,$B232,DATA_GOC!$F:$F,"Xuất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2" s="61" t="str">
        <f>IF($B232="","",IF(AC$4&gt;DAY(EOMONTH(DATE($D$2,$B$2,1),0)),"",SUMIFS(DATA_GOC!$H:$H,DATA_GOC!$A:$A,"BOM",DATA_GOC!$D:$D,$B232,DATA_GOC!$F:$F,"Xuất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2" s="222" t="str">
        <f>IF($B232="","",IF(AD$4&gt;DAY(EOMONTH(DATE($D$2,$B$2,1),0)),"",SUMIFS(DATA_GOC!$H:$H,DATA_GOC!$A:$A,"BOM",DATA_GOC!$D:$D,$B232,DATA_GOC!$F:$F,"Xuất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2" s="222" t="str">
        <f>IF($B232="","",IF(AE$4&gt;DAY(EOMONTH(DATE($D$2,$B$2,1),0)),"",SUMIFS(DATA_GOC!$H:$H,DATA_GOC!$A:$A,"BOM",DATA_GOC!$D:$D,$B232,DATA_GOC!$F:$F,"Xuất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2" s="222" t="str">
        <f>IF($B232="","",IF(AF$4&gt;DAY(EOMONTH(DATE($D$2,$B$2,1),0)),"",SUMIFS(DATA_GOC!$H:$H,DATA_GOC!$A:$A,"BOM",DATA_GOC!$D:$D,$B232,DATA_GOC!$F:$F,"Xuất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2" s="222" t="str">
        <f>IF($B232="","",IF(AG$4&gt;DAY(EOMONTH(DATE($D$2,$B$2,1),0)),"",SUMIFS(DATA_GOC!$H:$H,DATA_GOC!$A:$A,"BOM",DATA_GOC!$D:$D,$B232,DATA_GOC!$F:$F,"Xuất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2" s="222" t="str">
        <f t="shared" si="2"/>
        <v/>
      </c>
      <c r="AI232" s="222" t="str">
        <f>IF($B232="","",SUMIFS(DATA_GOC!$H:$H,DATA_GOC!$A:$A,"BOM",DATA_GOC!$D:$D,$B232,DATA_GOC!$F:$F,"Bơm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2" s="222" t="str">
        <f t="shared" si="3"/>
        <v/>
      </c>
      <c r="AM232" s="222" t="str">
        <f>IF($B232="","",SUMIFS(DATA_GOC!$K:$K,DATA_GOC!$A:$A,"BOM",DATA_GOC!$D:$D,$B232,DATA_GOC!$G:$G,"DO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2" s="222" t="str">
        <f t="shared" si="4"/>
        <v/>
      </c>
      <c r="AO232" s="227" t="str">
        <f t="shared" si="5"/>
        <v/>
      </c>
      <c r="AP232" s="226" t="str">
        <f>IF($B232="","",IFERROR(AO232-(SUMIFS(DATA_GOC!$H:$H,DATA_GOC!$A:$A,"BOM",DATA_GOC!$D:$D,$B232,DATA_GOC!$F:$F,"Xuất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3" ht="15.0" customHeight="1">
      <c r="A233" s="61" t="str">
        <f t="shared" si="1"/>
        <v/>
      </c>
      <c r="B233" s="61" t="str">
        <f t="array" ref="B233">IFERROR(INDEX(DANH_MUC!$E:$E,ROW()-1),"")</f>
        <v/>
      </c>
      <c r="C233" s="61" t="str">
        <f>IF($B233="","",IF(C$4&gt;DAY(EOMONTH(DATE($D$2,$B$2,1),0)),"",SUMIFS(DATA_GOC!$H:$H,DATA_GOC!$A:$A,"BOM",DATA_GOC!$D:$D,$B233,DATA_GOC!$F:$F,"Xuất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3" s="61" t="str">
        <f>IF($B233="","",IF(D$4&gt;DAY(EOMONTH(DATE($D$2,$B$2,1),0)),"",SUMIFS(DATA_GOC!$H:$H,DATA_GOC!$A:$A,"BOM",DATA_GOC!$D:$D,$B233,DATA_GOC!$F:$F,"Xuất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3" s="61" t="str">
        <f>IF($B233="","",IF(E$4&gt;DAY(EOMONTH(DATE($D$2,$B$2,1),0)),"",SUMIFS(DATA_GOC!$H:$H,DATA_GOC!$A:$A,"BOM",DATA_GOC!$D:$D,$B233,DATA_GOC!$F:$F,"Xuất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3" s="61" t="str">
        <f>IF($B233="","",IF(F$4&gt;DAY(EOMONTH(DATE($D$2,$B$2,1),0)),"",SUMIFS(DATA_GOC!$H:$H,DATA_GOC!$A:$A,"BOM",DATA_GOC!$D:$D,$B233,DATA_GOC!$F:$F,"Xuất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3" s="61" t="str">
        <f>IF($B233="","",IF(G$4&gt;DAY(EOMONTH(DATE($D$2,$B$2,1),0)),"",SUMIFS(DATA_GOC!$H:$H,DATA_GOC!$A:$A,"BOM",DATA_GOC!$D:$D,$B233,DATA_GOC!$F:$F,"Xuất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3" s="61" t="str">
        <f>IF($B233="","",IF(H$4&gt;DAY(EOMONTH(DATE($D$2,$B$2,1),0)),"",SUMIFS(DATA_GOC!$H:$H,DATA_GOC!$A:$A,"BOM",DATA_GOC!$D:$D,$B233,DATA_GOC!$F:$F,"Xuất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3" s="61" t="str">
        <f>IF($B233="","",IF(I$4&gt;DAY(EOMONTH(DATE($D$2,$B$2,1),0)),"",SUMIFS(DATA_GOC!$H:$H,DATA_GOC!$A:$A,"BOM",DATA_GOC!$D:$D,$B233,DATA_GOC!$F:$F,"Xuất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3" s="61" t="str">
        <f>IF($B233="","",IF(J$4&gt;DAY(EOMONTH(DATE($D$2,$B$2,1),0)),"",SUMIFS(DATA_GOC!$H:$H,DATA_GOC!$A:$A,"BOM",DATA_GOC!$D:$D,$B233,DATA_GOC!$F:$F,"Xuất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3" s="61" t="str">
        <f>IF($B233="","",IF(K$4&gt;DAY(EOMONTH(DATE($D$2,$B$2,1),0)),"",SUMIFS(DATA_GOC!$H:$H,DATA_GOC!$A:$A,"BOM",DATA_GOC!$D:$D,$B233,DATA_GOC!$F:$F,"Xuất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3" s="61" t="str">
        <f>IF($B233="","",IF(L$4&gt;DAY(EOMONTH(DATE($D$2,$B$2,1),0)),"",SUMIFS(DATA_GOC!$H:$H,DATA_GOC!$A:$A,"BOM",DATA_GOC!$D:$D,$B233,DATA_GOC!$F:$F,"Xuất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3" s="61" t="str">
        <f>IF($B233="","",IF(M$4&gt;DAY(EOMONTH(DATE($D$2,$B$2,1),0)),"",SUMIFS(DATA_GOC!$H:$H,DATA_GOC!$A:$A,"BOM",DATA_GOC!$D:$D,$B233,DATA_GOC!$F:$F,"Xuất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3" s="61" t="str">
        <f>IF($B233="","",IF(N$4&gt;DAY(EOMONTH(DATE($D$2,$B$2,1),0)),"",SUMIFS(DATA_GOC!$H:$H,DATA_GOC!$A:$A,"BOM",DATA_GOC!$D:$D,$B233,DATA_GOC!$F:$F,"Xuất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3" s="61" t="str">
        <f>IF($B233="","",IF(O$4&gt;DAY(EOMONTH(DATE($D$2,$B$2,1),0)),"",SUMIFS(DATA_GOC!$H:$H,DATA_GOC!$A:$A,"BOM",DATA_GOC!$D:$D,$B233,DATA_GOC!$F:$F,"Xuất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3" s="61" t="str">
        <f>IF($B233="","",IF(P$4&gt;DAY(EOMONTH(DATE($D$2,$B$2,1),0)),"",SUMIFS(DATA_GOC!$H:$H,DATA_GOC!$A:$A,"BOM",DATA_GOC!$D:$D,$B233,DATA_GOC!$F:$F,"Xuất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3" s="61" t="str">
        <f>IF($B233="","",IF(Q$4&gt;DAY(EOMONTH(DATE($D$2,$B$2,1),0)),"",SUMIFS(DATA_GOC!$H:$H,DATA_GOC!$A:$A,"BOM",DATA_GOC!$D:$D,$B233,DATA_GOC!$F:$F,"Xuất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3" s="61" t="str">
        <f>IF($B233="","",IF(R$4&gt;DAY(EOMONTH(DATE($D$2,$B$2,1),0)),"",SUMIFS(DATA_GOC!$H:$H,DATA_GOC!$A:$A,"BOM",DATA_GOC!$D:$D,$B233,DATA_GOC!$F:$F,"Xuất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3" s="61" t="str">
        <f>IF($B233="","",IF(S$4&gt;DAY(EOMONTH(DATE($D$2,$B$2,1),0)),"",SUMIFS(DATA_GOC!$H:$H,DATA_GOC!$A:$A,"BOM",DATA_GOC!$D:$D,$B233,DATA_GOC!$F:$F,"Xuất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3" s="61" t="str">
        <f>IF($B233="","",IF(T$4&gt;DAY(EOMONTH(DATE($D$2,$B$2,1),0)),"",SUMIFS(DATA_GOC!$H:$H,DATA_GOC!$A:$A,"BOM",DATA_GOC!$D:$D,$B233,DATA_GOC!$F:$F,"Xuất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3" s="61" t="str">
        <f>IF($B233="","",IF(U$4&gt;DAY(EOMONTH(DATE($D$2,$B$2,1),0)),"",SUMIFS(DATA_GOC!$H:$H,DATA_GOC!$A:$A,"BOM",DATA_GOC!$D:$D,$B233,DATA_GOC!$F:$F,"Xuất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3" s="61" t="str">
        <f>IF($B233="","",IF(V$4&gt;DAY(EOMONTH(DATE($D$2,$B$2,1),0)),"",SUMIFS(DATA_GOC!$H:$H,DATA_GOC!$A:$A,"BOM",DATA_GOC!$D:$D,$B233,DATA_GOC!$F:$F,"Xuất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3" s="61" t="str">
        <f>IF($B233="","",IF(W$4&gt;DAY(EOMONTH(DATE($D$2,$B$2,1),0)),"",SUMIFS(DATA_GOC!$H:$H,DATA_GOC!$A:$A,"BOM",DATA_GOC!$D:$D,$B233,DATA_GOC!$F:$F,"Xuất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3" s="61" t="str">
        <f>IF($B233="","",IF(X$4&gt;DAY(EOMONTH(DATE($D$2,$B$2,1),0)),"",SUMIFS(DATA_GOC!$H:$H,DATA_GOC!$A:$A,"BOM",DATA_GOC!$D:$D,$B233,DATA_GOC!$F:$F,"Xuất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3" s="61" t="str">
        <f>IF($B233="","",IF(Y$4&gt;DAY(EOMONTH(DATE($D$2,$B$2,1),0)),"",SUMIFS(DATA_GOC!$H:$H,DATA_GOC!$A:$A,"BOM",DATA_GOC!$D:$D,$B233,DATA_GOC!$F:$F,"Xuất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3" s="61" t="str">
        <f>IF($B233="","",IF(Z$4&gt;DAY(EOMONTH(DATE($D$2,$B$2,1),0)),"",SUMIFS(DATA_GOC!$H:$H,DATA_GOC!$A:$A,"BOM",DATA_GOC!$D:$D,$B233,DATA_GOC!$F:$F,"Xuất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3" s="61" t="str">
        <f>IF($B233="","",IF(AA$4&gt;DAY(EOMONTH(DATE($D$2,$B$2,1),0)),"",SUMIFS(DATA_GOC!$H:$H,DATA_GOC!$A:$A,"BOM",DATA_GOC!$D:$D,$B233,DATA_GOC!$F:$F,"Xuất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3" s="61" t="str">
        <f>IF($B233="","",IF(AB$4&gt;DAY(EOMONTH(DATE($D$2,$B$2,1),0)),"",SUMIFS(DATA_GOC!$H:$H,DATA_GOC!$A:$A,"BOM",DATA_GOC!$D:$D,$B233,DATA_GOC!$F:$F,"Xuất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3" s="61" t="str">
        <f>IF($B233="","",IF(AC$4&gt;DAY(EOMONTH(DATE($D$2,$B$2,1),0)),"",SUMIFS(DATA_GOC!$H:$H,DATA_GOC!$A:$A,"BOM",DATA_GOC!$D:$D,$B233,DATA_GOC!$F:$F,"Xuất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3" s="222" t="str">
        <f>IF($B233="","",IF(AD$4&gt;DAY(EOMONTH(DATE($D$2,$B$2,1),0)),"",SUMIFS(DATA_GOC!$H:$H,DATA_GOC!$A:$A,"BOM",DATA_GOC!$D:$D,$B233,DATA_GOC!$F:$F,"Xuất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3" s="222" t="str">
        <f>IF($B233="","",IF(AE$4&gt;DAY(EOMONTH(DATE($D$2,$B$2,1),0)),"",SUMIFS(DATA_GOC!$H:$H,DATA_GOC!$A:$A,"BOM",DATA_GOC!$D:$D,$B233,DATA_GOC!$F:$F,"Xuất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3" s="222" t="str">
        <f>IF($B233="","",IF(AF$4&gt;DAY(EOMONTH(DATE($D$2,$B$2,1),0)),"",SUMIFS(DATA_GOC!$H:$H,DATA_GOC!$A:$A,"BOM",DATA_GOC!$D:$D,$B233,DATA_GOC!$F:$F,"Xuất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3" s="222" t="str">
        <f>IF($B233="","",IF(AG$4&gt;DAY(EOMONTH(DATE($D$2,$B$2,1),0)),"",SUMIFS(DATA_GOC!$H:$H,DATA_GOC!$A:$A,"BOM",DATA_GOC!$D:$D,$B233,DATA_GOC!$F:$F,"Xuất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3" s="222" t="str">
        <f t="shared" si="2"/>
        <v/>
      </c>
      <c r="AI233" s="222" t="str">
        <f>IF($B233="","",SUMIFS(DATA_GOC!$H:$H,DATA_GOC!$A:$A,"BOM",DATA_GOC!$D:$D,$B233,DATA_GOC!$F:$F,"Bơm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3" s="222" t="str">
        <f t="shared" si="3"/>
        <v/>
      </c>
      <c r="AM233" s="222" t="str">
        <f>IF($B233="","",SUMIFS(DATA_GOC!$K:$K,DATA_GOC!$A:$A,"BOM",DATA_GOC!$D:$D,$B233,DATA_GOC!$G:$G,"DO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3" s="222" t="str">
        <f t="shared" si="4"/>
        <v/>
      </c>
      <c r="AO233" s="227" t="str">
        <f t="shared" si="5"/>
        <v/>
      </c>
      <c r="AP233" s="226" t="str">
        <f>IF($B233="","",IFERROR(AO233-(SUMIFS(DATA_GOC!$H:$H,DATA_GOC!$A:$A,"BOM",DATA_GOC!$D:$D,$B233,DATA_GOC!$F:$F,"Xuất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4" ht="15.0" customHeight="1">
      <c r="A234" s="61" t="str">
        <f t="shared" si="1"/>
        <v/>
      </c>
      <c r="B234" s="61" t="str">
        <f t="array" ref="B234">IFERROR(INDEX(DANH_MUC!$E:$E,ROW()-1),"")</f>
        <v/>
      </c>
      <c r="C234" s="61" t="str">
        <f>IF($B234="","",IF(C$4&gt;DAY(EOMONTH(DATE($D$2,$B$2,1),0)),"",SUMIFS(DATA_GOC!$H:$H,DATA_GOC!$A:$A,"BOM",DATA_GOC!$D:$D,$B234,DATA_GOC!$F:$F,"Xuất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4" s="61" t="str">
        <f>IF($B234="","",IF(D$4&gt;DAY(EOMONTH(DATE($D$2,$B$2,1),0)),"",SUMIFS(DATA_GOC!$H:$H,DATA_GOC!$A:$A,"BOM",DATA_GOC!$D:$D,$B234,DATA_GOC!$F:$F,"Xuất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4" s="61" t="str">
        <f>IF($B234="","",IF(E$4&gt;DAY(EOMONTH(DATE($D$2,$B$2,1),0)),"",SUMIFS(DATA_GOC!$H:$H,DATA_GOC!$A:$A,"BOM",DATA_GOC!$D:$D,$B234,DATA_GOC!$F:$F,"Xuất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4" s="61" t="str">
        <f>IF($B234="","",IF(F$4&gt;DAY(EOMONTH(DATE($D$2,$B$2,1),0)),"",SUMIFS(DATA_GOC!$H:$H,DATA_GOC!$A:$A,"BOM",DATA_GOC!$D:$D,$B234,DATA_GOC!$F:$F,"Xuất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4" s="61" t="str">
        <f>IF($B234="","",IF(G$4&gt;DAY(EOMONTH(DATE($D$2,$B$2,1),0)),"",SUMIFS(DATA_GOC!$H:$H,DATA_GOC!$A:$A,"BOM",DATA_GOC!$D:$D,$B234,DATA_GOC!$F:$F,"Xuất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4" s="61" t="str">
        <f>IF($B234="","",IF(H$4&gt;DAY(EOMONTH(DATE($D$2,$B$2,1),0)),"",SUMIFS(DATA_GOC!$H:$H,DATA_GOC!$A:$A,"BOM",DATA_GOC!$D:$D,$B234,DATA_GOC!$F:$F,"Xuất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4" s="61" t="str">
        <f>IF($B234="","",IF(I$4&gt;DAY(EOMONTH(DATE($D$2,$B$2,1),0)),"",SUMIFS(DATA_GOC!$H:$H,DATA_GOC!$A:$A,"BOM",DATA_GOC!$D:$D,$B234,DATA_GOC!$F:$F,"Xuất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4" s="61" t="str">
        <f>IF($B234="","",IF(J$4&gt;DAY(EOMONTH(DATE($D$2,$B$2,1),0)),"",SUMIFS(DATA_GOC!$H:$H,DATA_GOC!$A:$A,"BOM",DATA_GOC!$D:$D,$B234,DATA_GOC!$F:$F,"Xuất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4" s="61" t="str">
        <f>IF($B234="","",IF(K$4&gt;DAY(EOMONTH(DATE($D$2,$B$2,1),0)),"",SUMIFS(DATA_GOC!$H:$H,DATA_GOC!$A:$A,"BOM",DATA_GOC!$D:$D,$B234,DATA_GOC!$F:$F,"Xuất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4" s="61" t="str">
        <f>IF($B234="","",IF(L$4&gt;DAY(EOMONTH(DATE($D$2,$B$2,1),0)),"",SUMIFS(DATA_GOC!$H:$H,DATA_GOC!$A:$A,"BOM",DATA_GOC!$D:$D,$B234,DATA_GOC!$F:$F,"Xuất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4" s="61" t="str">
        <f>IF($B234="","",IF(M$4&gt;DAY(EOMONTH(DATE($D$2,$B$2,1),0)),"",SUMIFS(DATA_GOC!$H:$H,DATA_GOC!$A:$A,"BOM",DATA_GOC!$D:$D,$B234,DATA_GOC!$F:$F,"Xuất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4" s="61" t="str">
        <f>IF($B234="","",IF(N$4&gt;DAY(EOMONTH(DATE($D$2,$B$2,1),0)),"",SUMIFS(DATA_GOC!$H:$H,DATA_GOC!$A:$A,"BOM",DATA_GOC!$D:$D,$B234,DATA_GOC!$F:$F,"Xuất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4" s="61" t="str">
        <f>IF($B234="","",IF(O$4&gt;DAY(EOMONTH(DATE($D$2,$B$2,1),0)),"",SUMIFS(DATA_GOC!$H:$H,DATA_GOC!$A:$A,"BOM",DATA_GOC!$D:$D,$B234,DATA_GOC!$F:$F,"Xuất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4" s="61" t="str">
        <f>IF($B234="","",IF(P$4&gt;DAY(EOMONTH(DATE($D$2,$B$2,1),0)),"",SUMIFS(DATA_GOC!$H:$H,DATA_GOC!$A:$A,"BOM",DATA_GOC!$D:$D,$B234,DATA_GOC!$F:$F,"Xuất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4" s="61" t="str">
        <f>IF($B234="","",IF(Q$4&gt;DAY(EOMONTH(DATE($D$2,$B$2,1),0)),"",SUMIFS(DATA_GOC!$H:$H,DATA_GOC!$A:$A,"BOM",DATA_GOC!$D:$D,$B234,DATA_GOC!$F:$F,"Xuất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4" s="61" t="str">
        <f>IF($B234="","",IF(R$4&gt;DAY(EOMONTH(DATE($D$2,$B$2,1),0)),"",SUMIFS(DATA_GOC!$H:$H,DATA_GOC!$A:$A,"BOM",DATA_GOC!$D:$D,$B234,DATA_GOC!$F:$F,"Xuất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4" s="61" t="str">
        <f>IF($B234="","",IF(S$4&gt;DAY(EOMONTH(DATE($D$2,$B$2,1),0)),"",SUMIFS(DATA_GOC!$H:$H,DATA_GOC!$A:$A,"BOM",DATA_GOC!$D:$D,$B234,DATA_GOC!$F:$F,"Xuất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4" s="61" t="str">
        <f>IF($B234="","",IF(T$4&gt;DAY(EOMONTH(DATE($D$2,$B$2,1),0)),"",SUMIFS(DATA_GOC!$H:$H,DATA_GOC!$A:$A,"BOM",DATA_GOC!$D:$D,$B234,DATA_GOC!$F:$F,"Xuất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4" s="61" t="str">
        <f>IF($B234="","",IF(U$4&gt;DAY(EOMONTH(DATE($D$2,$B$2,1),0)),"",SUMIFS(DATA_GOC!$H:$H,DATA_GOC!$A:$A,"BOM",DATA_GOC!$D:$D,$B234,DATA_GOC!$F:$F,"Xuất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4" s="61" t="str">
        <f>IF($B234="","",IF(V$4&gt;DAY(EOMONTH(DATE($D$2,$B$2,1),0)),"",SUMIFS(DATA_GOC!$H:$H,DATA_GOC!$A:$A,"BOM",DATA_GOC!$D:$D,$B234,DATA_GOC!$F:$F,"Xuất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4" s="61" t="str">
        <f>IF($B234="","",IF(W$4&gt;DAY(EOMONTH(DATE($D$2,$B$2,1),0)),"",SUMIFS(DATA_GOC!$H:$H,DATA_GOC!$A:$A,"BOM",DATA_GOC!$D:$D,$B234,DATA_GOC!$F:$F,"Xuất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4" s="61" t="str">
        <f>IF($B234="","",IF(X$4&gt;DAY(EOMONTH(DATE($D$2,$B$2,1),0)),"",SUMIFS(DATA_GOC!$H:$H,DATA_GOC!$A:$A,"BOM",DATA_GOC!$D:$D,$B234,DATA_GOC!$F:$F,"Xuất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4" s="61" t="str">
        <f>IF($B234="","",IF(Y$4&gt;DAY(EOMONTH(DATE($D$2,$B$2,1),0)),"",SUMIFS(DATA_GOC!$H:$H,DATA_GOC!$A:$A,"BOM",DATA_GOC!$D:$D,$B234,DATA_GOC!$F:$F,"Xuất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4" s="61" t="str">
        <f>IF($B234="","",IF(Z$4&gt;DAY(EOMONTH(DATE($D$2,$B$2,1),0)),"",SUMIFS(DATA_GOC!$H:$H,DATA_GOC!$A:$A,"BOM",DATA_GOC!$D:$D,$B234,DATA_GOC!$F:$F,"Xuất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4" s="61" t="str">
        <f>IF($B234="","",IF(AA$4&gt;DAY(EOMONTH(DATE($D$2,$B$2,1),0)),"",SUMIFS(DATA_GOC!$H:$H,DATA_GOC!$A:$A,"BOM",DATA_GOC!$D:$D,$B234,DATA_GOC!$F:$F,"Xuất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4" s="61" t="str">
        <f>IF($B234="","",IF(AB$4&gt;DAY(EOMONTH(DATE($D$2,$B$2,1),0)),"",SUMIFS(DATA_GOC!$H:$H,DATA_GOC!$A:$A,"BOM",DATA_GOC!$D:$D,$B234,DATA_GOC!$F:$F,"Xuất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4" s="61" t="str">
        <f>IF($B234="","",IF(AC$4&gt;DAY(EOMONTH(DATE($D$2,$B$2,1),0)),"",SUMIFS(DATA_GOC!$H:$H,DATA_GOC!$A:$A,"BOM",DATA_GOC!$D:$D,$B234,DATA_GOC!$F:$F,"Xuất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4" s="222" t="str">
        <f>IF($B234="","",IF(AD$4&gt;DAY(EOMONTH(DATE($D$2,$B$2,1),0)),"",SUMIFS(DATA_GOC!$H:$H,DATA_GOC!$A:$A,"BOM",DATA_GOC!$D:$D,$B234,DATA_GOC!$F:$F,"Xuất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4" s="222" t="str">
        <f>IF($B234="","",IF(AE$4&gt;DAY(EOMONTH(DATE($D$2,$B$2,1),0)),"",SUMIFS(DATA_GOC!$H:$H,DATA_GOC!$A:$A,"BOM",DATA_GOC!$D:$D,$B234,DATA_GOC!$F:$F,"Xuất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4" s="222" t="str">
        <f>IF($B234="","",IF(AF$4&gt;DAY(EOMONTH(DATE($D$2,$B$2,1),0)),"",SUMIFS(DATA_GOC!$H:$H,DATA_GOC!$A:$A,"BOM",DATA_GOC!$D:$D,$B234,DATA_GOC!$F:$F,"Xuất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4" s="222" t="str">
        <f>IF($B234="","",IF(AG$4&gt;DAY(EOMONTH(DATE($D$2,$B$2,1),0)),"",SUMIFS(DATA_GOC!$H:$H,DATA_GOC!$A:$A,"BOM",DATA_GOC!$D:$D,$B234,DATA_GOC!$F:$F,"Xuất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4" s="222" t="str">
        <f t="shared" si="2"/>
        <v/>
      </c>
      <c r="AI234" s="222" t="str">
        <f>IF($B234="","",SUMIFS(DATA_GOC!$H:$H,DATA_GOC!$A:$A,"BOM",DATA_GOC!$D:$D,$B234,DATA_GOC!$F:$F,"Bơm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4" s="222" t="str">
        <f t="shared" si="3"/>
        <v/>
      </c>
      <c r="AM234" s="222" t="str">
        <f>IF($B234="","",SUMIFS(DATA_GOC!$K:$K,DATA_GOC!$A:$A,"BOM",DATA_GOC!$D:$D,$B234,DATA_GOC!$G:$G,"DO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4" s="222" t="str">
        <f t="shared" si="4"/>
        <v/>
      </c>
      <c r="AO234" s="227" t="str">
        <f t="shared" si="5"/>
        <v/>
      </c>
      <c r="AP234" s="226" t="str">
        <f>IF($B234="","",IFERROR(AO234-(SUMIFS(DATA_GOC!$H:$H,DATA_GOC!$A:$A,"BOM",DATA_GOC!$D:$D,$B234,DATA_GOC!$F:$F,"Xuất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5" ht="15.0" customHeight="1">
      <c r="A235" s="61" t="str">
        <f t="shared" si="1"/>
        <v/>
      </c>
      <c r="B235" s="61" t="str">
        <f t="array" ref="B235">IFERROR(INDEX(DANH_MUC!$E:$E,ROW()-1),"")</f>
        <v/>
      </c>
      <c r="C235" s="61" t="str">
        <f>IF($B235="","",IF(C$4&gt;DAY(EOMONTH(DATE($D$2,$B$2,1),0)),"",SUMIFS(DATA_GOC!$H:$H,DATA_GOC!$A:$A,"BOM",DATA_GOC!$D:$D,$B235,DATA_GOC!$F:$F,"Xuất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5" s="61" t="str">
        <f>IF($B235="","",IF(D$4&gt;DAY(EOMONTH(DATE($D$2,$B$2,1),0)),"",SUMIFS(DATA_GOC!$H:$H,DATA_GOC!$A:$A,"BOM",DATA_GOC!$D:$D,$B235,DATA_GOC!$F:$F,"Xuất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5" s="61" t="str">
        <f>IF($B235="","",IF(E$4&gt;DAY(EOMONTH(DATE($D$2,$B$2,1),0)),"",SUMIFS(DATA_GOC!$H:$H,DATA_GOC!$A:$A,"BOM",DATA_GOC!$D:$D,$B235,DATA_GOC!$F:$F,"Xuất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5" s="61" t="str">
        <f>IF($B235="","",IF(F$4&gt;DAY(EOMONTH(DATE($D$2,$B$2,1),0)),"",SUMIFS(DATA_GOC!$H:$H,DATA_GOC!$A:$A,"BOM",DATA_GOC!$D:$D,$B235,DATA_GOC!$F:$F,"Xuất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5" s="61" t="str">
        <f>IF($B235="","",IF(G$4&gt;DAY(EOMONTH(DATE($D$2,$B$2,1),0)),"",SUMIFS(DATA_GOC!$H:$H,DATA_GOC!$A:$A,"BOM",DATA_GOC!$D:$D,$B235,DATA_GOC!$F:$F,"Xuất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5" s="61" t="str">
        <f>IF($B235="","",IF(H$4&gt;DAY(EOMONTH(DATE($D$2,$B$2,1),0)),"",SUMIFS(DATA_GOC!$H:$H,DATA_GOC!$A:$A,"BOM",DATA_GOC!$D:$D,$B235,DATA_GOC!$F:$F,"Xuất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5" s="61" t="str">
        <f>IF($B235="","",IF(I$4&gt;DAY(EOMONTH(DATE($D$2,$B$2,1),0)),"",SUMIFS(DATA_GOC!$H:$H,DATA_GOC!$A:$A,"BOM",DATA_GOC!$D:$D,$B235,DATA_GOC!$F:$F,"Xuất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5" s="61" t="str">
        <f>IF($B235="","",IF(J$4&gt;DAY(EOMONTH(DATE($D$2,$B$2,1),0)),"",SUMIFS(DATA_GOC!$H:$H,DATA_GOC!$A:$A,"BOM",DATA_GOC!$D:$D,$B235,DATA_GOC!$F:$F,"Xuất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5" s="61" t="str">
        <f>IF($B235="","",IF(K$4&gt;DAY(EOMONTH(DATE($D$2,$B$2,1),0)),"",SUMIFS(DATA_GOC!$H:$H,DATA_GOC!$A:$A,"BOM",DATA_GOC!$D:$D,$B235,DATA_GOC!$F:$F,"Xuất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5" s="61" t="str">
        <f>IF($B235="","",IF(L$4&gt;DAY(EOMONTH(DATE($D$2,$B$2,1),0)),"",SUMIFS(DATA_GOC!$H:$H,DATA_GOC!$A:$A,"BOM",DATA_GOC!$D:$D,$B235,DATA_GOC!$F:$F,"Xuất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5" s="61" t="str">
        <f>IF($B235="","",IF(M$4&gt;DAY(EOMONTH(DATE($D$2,$B$2,1),0)),"",SUMIFS(DATA_GOC!$H:$H,DATA_GOC!$A:$A,"BOM",DATA_GOC!$D:$D,$B235,DATA_GOC!$F:$F,"Xuất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5" s="61" t="str">
        <f>IF($B235="","",IF(N$4&gt;DAY(EOMONTH(DATE($D$2,$B$2,1),0)),"",SUMIFS(DATA_GOC!$H:$H,DATA_GOC!$A:$A,"BOM",DATA_GOC!$D:$D,$B235,DATA_GOC!$F:$F,"Xuất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5" s="61" t="str">
        <f>IF($B235="","",IF(O$4&gt;DAY(EOMONTH(DATE($D$2,$B$2,1),0)),"",SUMIFS(DATA_GOC!$H:$H,DATA_GOC!$A:$A,"BOM",DATA_GOC!$D:$D,$B235,DATA_GOC!$F:$F,"Xuất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5" s="61" t="str">
        <f>IF($B235="","",IF(P$4&gt;DAY(EOMONTH(DATE($D$2,$B$2,1),0)),"",SUMIFS(DATA_GOC!$H:$H,DATA_GOC!$A:$A,"BOM",DATA_GOC!$D:$D,$B235,DATA_GOC!$F:$F,"Xuất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5" s="61" t="str">
        <f>IF($B235="","",IF(Q$4&gt;DAY(EOMONTH(DATE($D$2,$B$2,1),0)),"",SUMIFS(DATA_GOC!$H:$H,DATA_GOC!$A:$A,"BOM",DATA_GOC!$D:$D,$B235,DATA_GOC!$F:$F,"Xuất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5" s="61" t="str">
        <f>IF($B235="","",IF(R$4&gt;DAY(EOMONTH(DATE($D$2,$B$2,1),0)),"",SUMIFS(DATA_GOC!$H:$H,DATA_GOC!$A:$A,"BOM",DATA_GOC!$D:$D,$B235,DATA_GOC!$F:$F,"Xuất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5" s="61" t="str">
        <f>IF($B235="","",IF(S$4&gt;DAY(EOMONTH(DATE($D$2,$B$2,1),0)),"",SUMIFS(DATA_GOC!$H:$H,DATA_GOC!$A:$A,"BOM",DATA_GOC!$D:$D,$B235,DATA_GOC!$F:$F,"Xuất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5" s="61" t="str">
        <f>IF($B235="","",IF(T$4&gt;DAY(EOMONTH(DATE($D$2,$B$2,1),0)),"",SUMIFS(DATA_GOC!$H:$H,DATA_GOC!$A:$A,"BOM",DATA_GOC!$D:$D,$B235,DATA_GOC!$F:$F,"Xuất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5" s="61" t="str">
        <f>IF($B235="","",IF(U$4&gt;DAY(EOMONTH(DATE($D$2,$B$2,1),0)),"",SUMIFS(DATA_GOC!$H:$H,DATA_GOC!$A:$A,"BOM",DATA_GOC!$D:$D,$B235,DATA_GOC!$F:$F,"Xuất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5" s="61" t="str">
        <f>IF($B235="","",IF(V$4&gt;DAY(EOMONTH(DATE($D$2,$B$2,1),0)),"",SUMIFS(DATA_GOC!$H:$H,DATA_GOC!$A:$A,"BOM",DATA_GOC!$D:$D,$B235,DATA_GOC!$F:$F,"Xuất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5" s="61" t="str">
        <f>IF($B235="","",IF(W$4&gt;DAY(EOMONTH(DATE($D$2,$B$2,1),0)),"",SUMIFS(DATA_GOC!$H:$H,DATA_GOC!$A:$A,"BOM",DATA_GOC!$D:$D,$B235,DATA_GOC!$F:$F,"Xuất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5" s="61" t="str">
        <f>IF($B235="","",IF(X$4&gt;DAY(EOMONTH(DATE($D$2,$B$2,1),0)),"",SUMIFS(DATA_GOC!$H:$H,DATA_GOC!$A:$A,"BOM",DATA_GOC!$D:$D,$B235,DATA_GOC!$F:$F,"Xuất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5" s="61" t="str">
        <f>IF($B235="","",IF(Y$4&gt;DAY(EOMONTH(DATE($D$2,$B$2,1),0)),"",SUMIFS(DATA_GOC!$H:$H,DATA_GOC!$A:$A,"BOM",DATA_GOC!$D:$D,$B235,DATA_GOC!$F:$F,"Xuất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5" s="61" t="str">
        <f>IF($B235="","",IF(Z$4&gt;DAY(EOMONTH(DATE($D$2,$B$2,1),0)),"",SUMIFS(DATA_GOC!$H:$H,DATA_GOC!$A:$A,"BOM",DATA_GOC!$D:$D,$B235,DATA_GOC!$F:$F,"Xuất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5" s="61" t="str">
        <f>IF($B235="","",IF(AA$4&gt;DAY(EOMONTH(DATE($D$2,$B$2,1),0)),"",SUMIFS(DATA_GOC!$H:$H,DATA_GOC!$A:$A,"BOM",DATA_GOC!$D:$D,$B235,DATA_GOC!$F:$F,"Xuất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5" s="61" t="str">
        <f>IF($B235="","",IF(AB$4&gt;DAY(EOMONTH(DATE($D$2,$B$2,1),0)),"",SUMIFS(DATA_GOC!$H:$H,DATA_GOC!$A:$A,"BOM",DATA_GOC!$D:$D,$B235,DATA_GOC!$F:$F,"Xuất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5" s="61" t="str">
        <f>IF($B235="","",IF(AC$4&gt;DAY(EOMONTH(DATE($D$2,$B$2,1),0)),"",SUMIFS(DATA_GOC!$H:$H,DATA_GOC!$A:$A,"BOM",DATA_GOC!$D:$D,$B235,DATA_GOC!$F:$F,"Xuất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5" s="222" t="str">
        <f>IF($B235="","",IF(AD$4&gt;DAY(EOMONTH(DATE($D$2,$B$2,1),0)),"",SUMIFS(DATA_GOC!$H:$H,DATA_GOC!$A:$A,"BOM",DATA_GOC!$D:$D,$B235,DATA_GOC!$F:$F,"Xuất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5" s="222" t="str">
        <f>IF($B235="","",IF(AE$4&gt;DAY(EOMONTH(DATE($D$2,$B$2,1),0)),"",SUMIFS(DATA_GOC!$H:$H,DATA_GOC!$A:$A,"BOM",DATA_GOC!$D:$D,$B235,DATA_GOC!$F:$F,"Xuất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5" s="222" t="str">
        <f>IF($B235="","",IF(AF$4&gt;DAY(EOMONTH(DATE($D$2,$B$2,1),0)),"",SUMIFS(DATA_GOC!$H:$H,DATA_GOC!$A:$A,"BOM",DATA_GOC!$D:$D,$B235,DATA_GOC!$F:$F,"Xuất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5" s="222" t="str">
        <f>IF($B235="","",IF(AG$4&gt;DAY(EOMONTH(DATE($D$2,$B$2,1),0)),"",SUMIFS(DATA_GOC!$H:$H,DATA_GOC!$A:$A,"BOM",DATA_GOC!$D:$D,$B235,DATA_GOC!$F:$F,"Xuất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5" s="222" t="str">
        <f t="shared" si="2"/>
        <v/>
      </c>
      <c r="AI235" s="222" t="str">
        <f>IF($B235="","",SUMIFS(DATA_GOC!$H:$H,DATA_GOC!$A:$A,"BOM",DATA_GOC!$D:$D,$B235,DATA_GOC!$F:$F,"Bơm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5" s="222" t="str">
        <f t="shared" si="3"/>
        <v/>
      </c>
      <c r="AM235" s="222" t="str">
        <f>IF($B235="","",SUMIFS(DATA_GOC!$K:$K,DATA_GOC!$A:$A,"BOM",DATA_GOC!$D:$D,$B235,DATA_GOC!$G:$G,"DO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5" s="222" t="str">
        <f t="shared" si="4"/>
        <v/>
      </c>
      <c r="AO235" s="227" t="str">
        <f t="shared" si="5"/>
        <v/>
      </c>
      <c r="AP235" s="226" t="str">
        <f>IF($B235="","",IFERROR(AO235-(SUMIFS(DATA_GOC!$H:$H,DATA_GOC!$A:$A,"BOM",DATA_GOC!$D:$D,$B235,DATA_GOC!$F:$F,"Xuất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6" ht="15.0" customHeight="1">
      <c r="A236" s="61" t="str">
        <f t="shared" si="1"/>
        <v/>
      </c>
      <c r="B236" s="61" t="str">
        <f t="array" ref="B236">IFERROR(INDEX(DANH_MUC!$E:$E,ROW()-1),"")</f>
        <v/>
      </c>
      <c r="C236" s="61" t="str">
        <f>IF($B236="","",IF(C$4&gt;DAY(EOMONTH(DATE($D$2,$B$2,1),0)),"",SUMIFS(DATA_GOC!$H:$H,DATA_GOC!$A:$A,"BOM",DATA_GOC!$D:$D,$B236,DATA_GOC!$F:$F,"Xuất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6" s="61" t="str">
        <f>IF($B236="","",IF(D$4&gt;DAY(EOMONTH(DATE($D$2,$B$2,1),0)),"",SUMIFS(DATA_GOC!$H:$H,DATA_GOC!$A:$A,"BOM",DATA_GOC!$D:$D,$B236,DATA_GOC!$F:$F,"Xuất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6" s="61" t="str">
        <f>IF($B236="","",IF(E$4&gt;DAY(EOMONTH(DATE($D$2,$B$2,1),0)),"",SUMIFS(DATA_GOC!$H:$H,DATA_GOC!$A:$A,"BOM",DATA_GOC!$D:$D,$B236,DATA_GOC!$F:$F,"Xuất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6" s="61" t="str">
        <f>IF($B236="","",IF(F$4&gt;DAY(EOMONTH(DATE($D$2,$B$2,1),0)),"",SUMIFS(DATA_GOC!$H:$H,DATA_GOC!$A:$A,"BOM",DATA_GOC!$D:$D,$B236,DATA_GOC!$F:$F,"Xuất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6" s="61" t="str">
        <f>IF($B236="","",IF(G$4&gt;DAY(EOMONTH(DATE($D$2,$B$2,1),0)),"",SUMIFS(DATA_GOC!$H:$H,DATA_GOC!$A:$A,"BOM",DATA_GOC!$D:$D,$B236,DATA_GOC!$F:$F,"Xuất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6" s="61" t="str">
        <f>IF($B236="","",IF(H$4&gt;DAY(EOMONTH(DATE($D$2,$B$2,1),0)),"",SUMIFS(DATA_GOC!$H:$H,DATA_GOC!$A:$A,"BOM",DATA_GOC!$D:$D,$B236,DATA_GOC!$F:$F,"Xuất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6" s="61" t="str">
        <f>IF($B236="","",IF(I$4&gt;DAY(EOMONTH(DATE($D$2,$B$2,1),0)),"",SUMIFS(DATA_GOC!$H:$H,DATA_GOC!$A:$A,"BOM",DATA_GOC!$D:$D,$B236,DATA_GOC!$F:$F,"Xuất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6" s="61" t="str">
        <f>IF($B236="","",IF(J$4&gt;DAY(EOMONTH(DATE($D$2,$B$2,1),0)),"",SUMIFS(DATA_GOC!$H:$H,DATA_GOC!$A:$A,"BOM",DATA_GOC!$D:$D,$B236,DATA_GOC!$F:$F,"Xuất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6" s="61" t="str">
        <f>IF($B236="","",IF(K$4&gt;DAY(EOMONTH(DATE($D$2,$B$2,1),0)),"",SUMIFS(DATA_GOC!$H:$H,DATA_GOC!$A:$A,"BOM",DATA_GOC!$D:$D,$B236,DATA_GOC!$F:$F,"Xuất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6" s="61" t="str">
        <f>IF($B236="","",IF(L$4&gt;DAY(EOMONTH(DATE($D$2,$B$2,1),0)),"",SUMIFS(DATA_GOC!$H:$H,DATA_GOC!$A:$A,"BOM",DATA_GOC!$D:$D,$B236,DATA_GOC!$F:$F,"Xuất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6" s="61" t="str">
        <f>IF($B236="","",IF(M$4&gt;DAY(EOMONTH(DATE($D$2,$B$2,1),0)),"",SUMIFS(DATA_GOC!$H:$H,DATA_GOC!$A:$A,"BOM",DATA_GOC!$D:$D,$B236,DATA_GOC!$F:$F,"Xuất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6" s="61" t="str">
        <f>IF($B236="","",IF(N$4&gt;DAY(EOMONTH(DATE($D$2,$B$2,1),0)),"",SUMIFS(DATA_GOC!$H:$H,DATA_GOC!$A:$A,"BOM",DATA_GOC!$D:$D,$B236,DATA_GOC!$F:$F,"Xuất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6" s="61" t="str">
        <f>IF($B236="","",IF(O$4&gt;DAY(EOMONTH(DATE($D$2,$B$2,1),0)),"",SUMIFS(DATA_GOC!$H:$H,DATA_GOC!$A:$A,"BOM",DATA_GOC!$D:$D,$B236,DATA_GOC!$F:$F,"Xuất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6" s="61" t="str">
        <f>IF($B236="","",IF(P$4&gt;DAY(EOMONTH(DATE($D$2,$B$2,1),0)),"",SUMIFS(DATA_GOC!$H:$H,DATA_GOC!$A:$A,"BOM",DATA_GOC!$D:$D,$B236,DATA_GOC!$F:$F,"Xuất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6" s="61" t="str">
        <f>IF($B236="","",IF(Q$4&gt;DAY(EOMONTH(DATE($D$2,$B$2,1),0)),"",SUMIFS(DATA_GOC!$H:$H,DATA_GOC!$A:$A,"BOM",DATA_GOC!$D:$D,$B236,DATA_GOC!$F:$F,"Xuất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6" s="61" t="str">
        <f>IF($B236="","",IF(R$4&gt;DAY(EOMONTH(DATE($D$2,$B$2,1),0)),"",SUMIFS(DATA_GOC!$H:$H,DATA_GOC!$A:$A,"BOM",DATA_GOC!$D:$D,$B236,DATA_GOC!$F:$F,"Xuất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6" s="61" t="str">
        <f>IF($B236="","",IF(S$4&gt;DAY(EOMONTH(DATE($D$2,$B$2,1),0)),"",SUMIFS(DATA_GOC!$H:$H,DATA_GOC!$A:$A,"BOM",DATA_GOC!$D:$D,$B236,DATA_GOC!$F:$F,"Xuất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6" s="61" t="str">
        <f>IF($B236="","",IF(T$4&gt;DAY(EOMONTH(DATE($D$2,$B$2,1),0)),"",SUMIFS(DATA_GOC!$H:$H,DATA_GOC!$A:$A,"BOM",DATA_GOC!$D:$D,$B236,DATA_GOC!$F:$F,"Xuất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6" s="61" t="str">
        <f>IF($B236="","",IF(U$4&gt;DAY(EOMONTH(DATE($D$2,$B$2,1),0)),"",SUMIFS(DATA_GOC!$H:$H,DATA_GOC!$A:$A,"BOM",DATA_GOC!$D:$D,$B236,DATA_GOC!$F:$F,"Xuất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6" s="61" t="str">
        <f>IF($B236="","",IF(V$4&gt;DAY(EOMONTH(DATE($D$2,$B$2,1),0)),"",SUMIFS(DATA_GOC!$H:$H,DATA_GOC!$A:$A,"BOM",DATA_GOC!$D:$D,$B236,DATA_GOC!$F:$F,"Xuất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6" s="61" t="str">
        <f>IF($B236="","",IF(W$4&gt;DAY(EOMONTH(DATE($D$2,$B$2,1),0)),"",SUMIFS(DATA_GOC!$H:$H,DATA_GOC!$A:$A,"BOM",DATA_GOC!$D:$D,$B236,DATA_GOC!$F:$F,"Xuất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6" s="61" t="str">
        <f>IF($B236="","",IF(X$4&gt;DAY(EOMONTH(DATE($D$2,$B$2,1),0)),"",SUMIFS(DATA_GOC!$H:$H,DATA_GOC!$A:$A,"BOM",DATA_GOC!$D:$D,$B236,DATA_GOC!$F:$F,"Xuất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6" s="61" t="str">
        <f>IF($B236="","",IF(Y$4&gt;DAY(EOMONTH(DATE($D$2,$B$2,1),0)),"",SUMIFS(DATA_GOC!$H:$H,DATA_GOC!$A:$A,"BOM",DATA_GOC!$D:$D,$B236,DATA_GOC!$F:$F,"Xuất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6" s="61" t="str">
        <f>IF($B236="","",IF(Z$4&gt;DAY(EOMONTH(DATE($D$2,$B$2,1),0)),"",SUMIFS(DATA_GOC!$H:$H,DATA_GOC!$A:$A,"BOM",DATA_GOC!$D:$D,$B236,DATA_GOC!$F:$F,"Xuất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6" s="61" t="str">
        <f>IF($B236="","",IF(AA$4&gt;DAY(EOMONTH(DATE($D$2,$B$2,1),0)),"",SUMIFS(DATA_GOC!$H:$H,DATA_GOC!$A:$A,"BOM",DATA_GOC!$D:$D,$B236,DATA_GOC!$F:$F,"Xuất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6" s="61" t="str">
        <f>IF($B236="","",IF(AB$4&gt;DAY(EOMONTH(DATE($D$2,$B$2,1),0)),"",SUMIFS(DATA_GOC!$H:$H,DATA_GOC!$A:$A,"BOM",DATA_GOC!$D:$D,$B236,DATA_GOC!$F:$F,"Xuất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6" s="61" t="str">
        <f>IF($B236="","",IF(AC$4&gt;DAY(EOMONTH(DATE($D$2,$B$2,1),0)),"",SUMIFS(DATA_GOC!$H:$H,DATA_GOC!$A:$A,"BOM",DATA_GOC!$D:$D,$B236,DATA_GOC!$F:$F,"Xuất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6" s="222" t="str">
        <f>IF($B236="","",IF(AD$4&gt;DAY(EOMONTH(DATE($D$2,$B$2,1),0)),"",SUMIFS(DATA_GOC!$H:$H,DATA_GOC!$A:$A,"BOM",DATA_GOC!$D:$D,$B236,DATA_GOC!$F:$F,"Xuất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6" s="222" t="str">
        <f>IF($B236="","",IF(AE$4&gt;DAY(EOMONTH(DATE($D$2,$B$2,1),0)),"",SUMIFS(DATA_GOC!$H:$H,DATA_GOC!$A:$A,"BOM",DATA_GOC!$D:$D,$B236,DATA_GOC!$F:$F,"Xuất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6" s="222" t="str">
        <f>IF($B236="","",IF(AF$4&gt;DAY(EOMONTH(DATE($D$2,$B$2,1),0)),"",SUMIFS(DATA_GOC!$H:$H,DATA_GOC!$A:$A,"BOM",DATA_GOC!$D:$D,$B236,DATA_GOC!$F:$F,"Xuất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6" s="222" t="str">
        <f>IF($B236="","",IF(AG$4&gt;DAY(EOMONTH(DATE($D$2,$B$2,1),0)),"",SUMIFS(DATA_GOC!$H:$H,DATA_GOC!$A:$A,"BOM",DATA_GOC!$D:$D,$B236,DATA_GOC!$F:$F,"Xuất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6" s="222" t="str">
        <f t="shared" si="2"/>
        <v/>
      </c>
      <c r="AI236" s="222" t="str">
        <f>IF($B236="","",SUMIFS(DATA_GOC!$H:$H,DATA_GOC!$A:$A,"BOM",DATA_GOC!$D:$D,$B236,DATA_GOC!$F:$F,"Bơm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6" s="222" t="str">
        <f t="shared" si="3"/>
        <v/>
      </c>
      <c r="AM236" s="222" t="str">
        <f>IF($B236="","",SUMIFS(DATA_GOC!$K:$K,DATA_GOC!$A:$A,"BOM",DATA_GOC!$D:$D,$B236,DATA_GOC!$G:$G,"DO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6" s="222" t="str">
        <f t="shared" si="4"/>
        <v/>
      </c>
      <c r="AO236" s="227" t="str">
        <f t="shared" si="5"/>
        <v/>
      </c>
      <c r="AP236" s="226" t="str">
        <f>IF($B236="","",IFERROR(AO236-(SUMIFS(DATA_GOC!$H:$H,DATA_GOC!$A:$A,"BOM",DATA_GOC!$D:$D,$B236,DATA_GOC!$F:$F,"Xuất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7" ht="15.0" customHeight="1">
      <c r="A237" s="61" t="str">
        <f t="shared" si="1"/>
        <v/>
      </c>
      <c r="B237" s="61" t="str">
        <f t="array" ref="B237">IFERROR(INDEX(DANH_MUC!$E:$E,ROW()-1),"")</f>
        <v/>
      </c>
      <c r="C237" s="61" t="str">
        <f>IF($B237="","",IF(C$4&gt;DAY(EOMONTH(DATE($D$2,$B$2,1),0)),"",SUMIFS(DATA_GOC!$H:$H,DATA_GOC!$A:$A,"BOM",DATA_GOC!$D:$D,$B237,DATA_GOC!$F:$F,"Xuất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7" s="61" t="str">
        <f>IF($B237="","",IF(D$4&gt;DAY(EOMONTH(DATE($D$2,$B$2,1),0)),"",SUMIFS(DATA_GOC!$H:$H,DATA_GOC!$A:$A,"BOM",DATA_GOC!$D:$D,$B237,DATA_GOC!$F:$F,"Xuất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7" s="61" t="str">
        <f>IF($B237="","",IF(E$4&gt;DAY(EOMONTH(DATE($D$2,$B$2,1),0)),"",SUMIFS(DATA_GOC!$H:$H,DATA_GOC!$A:$A,"BOM",DATA_GOC!$D:$D,$B237,DATA_GOC!$F:$F,"Xuất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7" s="61" t="str">
        <f>IF($B237="","",IF(F$4&gt;DAY(EOMONTH(DATE($D$2,$B$2,1),0)),"",SUMIFS(DATA_GOC!$H:$H,DATA_GOC!$A:$A,"BOM",DATA_GOC!$D:$D,$B237,DATA_GOC!$F:$F,"Xuất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7" s="61" t="str">
        <f>IF($B237="","",IF(G$4&gt;DAY(EOMONTH(DATE($D$2,$B$2,1),0)),"",SUMIFS(DATA_GOC!$H:$H,DATA_GOC!$A:$A,"BOM",DATA_GOC!$D:$D,$B237,DATA_GOC!$F:$F,"Xuất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7" s="61" t="str">
        <f>IF($B237="","",IF(H$4&gt;DAY(EOMONTH(DATE($D$2,$B$2,1),0)),"",SUMIFS(DATA_GOC!$H:$H,DATA_GOC!$A:$A,"BOM",DATA_GOC!$D:$D,$B237,DATA_GOC!$F:$F,"Xuất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7" s="61" t="str">
        <f>IF($B237="","",IF(I$4&gt;DAY(EOMONTH(DATE($D$2,$B$2,1),0)),"",SUMIFS(DATA_GOC!$H:$H,DATA_GOC!$A:$A,"BOM",DATA_GOC!$D:$D,$B237,DATA_GOC!$F:$F,"Xuất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7" s="61" t="str">
        <f>IF($B237="","",IF(J$4&gt;DAY(EOMONTH(DATE($D$2,$B$2,1),0)),"",SUMIFS(DATA_GOC!$H:$H,DATA_GOC!$A:$A,"BOM",DATA_GOC!$D:$D,$B237,DATA_GOC!$F:$F,"Xuất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7" s="61" t="str">
        <f>IF($B237="","",IF(K$4&gt;DAY(EOMONTH(DATE($D$2,$B$2,1),0)),"",SUMIFS(DATA_GOC!$H:$H,DATA_GOC!$A:$A,"BOM",DATA_GOC!$D:$D,$B237,DATA_GOC!$F:$F,"Xuất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7" s="61" t="str">
        <f>IF($B237="","",IF(L$4&gt;DAY(EOMONTH(DATE($D$2,$B$2,1),0)),"",SUMIFS(DATA_GOC!$H:$H,DATA_GOC!$A:$A,"BOM",DATA_GOC!$D:$D,$B237,DATA_GOC!$F:$F,"Xuất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7" s="61" t="str">
        <f>IF($B237="","",IF(M$4&gt;DAY(EOMONTH(DATE($D$2,$B$2,1),0)),"",SUMIFS(DATA_GOC!$H:$H,DATA_GOC!$A:$A,"BOM",DATA_GOC!$D:$D,$B237,DATA_GOC!$F:$F,"Xuất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7" s="61" t="str">
        <f>IF($B237="","",IF(N$4&gt;DAY(EOMONTH(DATE($D$2,$B$2,1),0)),"",SUMIFS(DATA_GOC!$H:$H,DATA_GOC!$A:$A,"BOM",DATA_GOC!$D:$D,$B237,DATA_GOC!$F:$F,"Xuất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7" s="61" t="str">
        <f>IF($B237="","",IF(O$4&gt;DAY(EOMONTH(DATE($D$2,$B$2,1),0)),"",SUMIFS(DATA_GOC!$H:$H,DATA_GOC!$A:$A,"BOM",DATA_GOC!$D:$D,$B237,DATA_GOC!$F:$F,"Xuất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7" s="61" t="str">
        <f>IF($B237="","",IF(P$4&gt;DAY(EOMONTH(DATE($D$2,$B$2,1),0)),"",SUMIFS(DATA_GOC!$H:$H,DATA_GOC!$A:$A,"BOM",DATA_GOC!$D:$D,$B237,DATA_GOC!$F:$F,"Xuất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7" s="61" t="str">
        <f>IF($B237="","",IF(Q$4&gt;DAY(EOMONTH(DATE($D$2,$B$2,1),0)),"",SUMIFS(DATA_GOC!$H:$H,DATA_GOC!$A:$A,"BOM",DATA_GOC!$D:$D,$B237,DATA_GOC!$F:$F,"Xuất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7" s="61" t="str">
        <f>IF($B237="","",IF(R$4&gt;DAY(EOMONTH(DATE($D$2,$B$2,1),0)),"",SUMIFS(DATA_GOC!$H:$H,DATA_GOC!$A:$A,"BOM",DATA_GOC!$D:$D,$B237,DATA_GOC!$F:$F,"Xuất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7" s="61" t="str">
        <f>IF($B237="","",IF(S$4&gt;DAY(EOMONTH(DATE($D$2,$B$2,1),0)),"",SUMIFS(DATA_GOC!$H:$H,DATA_GOC!$A:$A,"BOM",DATA_GOC!$D:$D,$B237,DATA_GOC!$F:$F,"Xuất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7" s="61" t="str">
        <f>IF($B237="","",IF(T$4&gt;DAY(EOMONTH(DATE($D$2,$B$2,1),0)),"",SUMIFS(DATA_GOC!$H:$H,DATA_GOC!$A:$A,"BOM",DATA_GOC!$D:$D,$B237,DATA_GOC!$F:$F,"Xuất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7" s="61" t="str">
        <f>IF($B237="","",IF(U$4&gt;DAY(EOMONTH(DATE($D$2,$B$2,1),0)),"",SUMIFS(DATA_GOC!$H:$H,DATA_GOC!$A:$A,"BOM",DATA_GOC!$D:$D,$B237,DATA_GOC!$F:$F,"Xuất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7" s="61" t="str">
        <f>IF($B237="","",IF(V$4&gt;DAY(EOMONTH(DATE($D$2,$B$2,1),0)),"",SUMIFS(DATA_GOC!$H:$H,DATA_GOC!$A:$A,"BOM",DATA_GOC!$D:$D,$B237,DATA_GOC!$F:$F,"Xuất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7" s="61" t="str">
        <f>IF($B237="","",IF(W$4&gt;DAY(EOMONTH(DATE($D$2,$B$2,1),0)),"",SUMIFS(DATA_GOC!$H:$H,DATA_GOC!$A:$A,"BOM",DATA_GOC!$D:$D,$B237,DATA_GOC!$F:$F,"Xuất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7" s="61" t="str">
        <f>IF($B237="","",IF(X$4&gt;DAY(EOMONTH(DATE($D$2,$B$2,1),0)),"",SUMIFS(DATA_GOC!$H:$H,DATA_GOC!$A:$A,"BOM",DATA_GOC!$D:$D,$B237,DATA_GOC!$F:$F,"Xuất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7" s="61" t="str">
        <f>IF($B237="","",IF(Y$4&gt;DAY(EOMONTH(DATE($D$2,$B$2,1),0)),"",SUMIFS(DATA_GOC!$H:$H,DATA_GOC!$A:$A,"BOM",DATA_GOC!$D:$D,$B237,DATA_GOC!$F:$F,"Xuất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7" s="61" t="str">
        <f>IF($B237="","",IF(Z$4&gt;DAY(EOMONTH(DATE($D$2,$B$2,1),0)),"",SUMIFS(DATA_GOC!$H:$H,DATA_GOC!$A:$A,"BOM",DATA_GOC!$D:$D,$B237,DATA_GOC!$F:$F,"Xuất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7" s="61" t="str">
        <f>IF($B237="","",IF(AA$4&gt;DAY(EOMONTH(DATE($D$2,$B$2,1),0)),"",SUMIFS(DATA_GOC!$H:$H,DATA_GOC!$A:$A,"BOM",DATA_GOC!$D:$D,$B237,DATA_GOC!$F:$F,"Xuất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7" s="61" t="str">
        <f>IF($B237="","",IF(AB$4&gt;DAY(EOMONTH(DATE($D$2,$B$2,1),0)),"",SUMIFS(DATA_GOC!$H:$H,DATA_GOC!$A:$A,"BOM",DATA_GOC!$D:$D,$B237,DATA_GOC!$F:$F,"Xuất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7" s="61" t="str">
        <f>IF($B237="","",IF(AC$4&gt;DAY(EOMONTH(DATE($D$2,$B$2,1),0)),"",SUMIFS(DATA_GOC!$H:$H,DATA_GOC!$A:$A,"BOM",DATA_GOC!$D:$D,$B237,DATA_GOC!$F:$F,"Xuất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7" s="222" t="str">
        <f>IF($B237="","",IF(AD$4&gt;DAY(EOMONTH(DATE($D$2,$B$2,1),0)),"",SUMIFS(DATA_GOC!$H:$H,DATA_GOC!$A:$A,"BOM",DATA_GOC!$D:$D,$B237,DATA_GOC!$F:$F,"Xuất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7" s="222" t="str">
        <f>IF($B237="","",IF(AE$4&gt;DAY(EOMONTH(DATE($D$2,$B$2,1),0)),"",SUMIFS(DATA_GOC!$H:$H,DATA_GOC!$A:$A,"BOM",DATA_GOC!$D:$D,$B237,DATA_GOC!$F:$F,"Xuất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7" s="222" t="str">
        <f>IF($B237="","",IF(AF$4&gt;DAY(EOMONTH(DATE($D$2,$B$2,1),0)),"",SUMIFS(DATA_GOC!$H:$H,DATA_GOC!$A:$A,"BOM",DATA_GOC!$D:$D,$B237,DATA_GOC!$F:$F,"Xuất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7" s="222" t="str">
        <f>IF($B237="","",IF(AG$4&gt;DAY(EOMONTH(DATE($D$2,$B$2,1),0)),"",SUMIFS(DATA_GOC!$H:$H,DATA_GOC!$A:$A,"BOM",DATA_GOC!$D:$D,$B237,DATA_GOC!$F:$F,"Xuất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7" s="222" t="str">
        <f t="shared" si="2"/>
        <v/>
      </c>
      <c r="AI237" s="222" t="str">
        <f>IF($B237="","",SUMIFS(DATA_GOC!$H:$H,DATA_GOC!$A:$A,"BOM",DATA_GOC!$D:$D,$B237,DATA_GOC!$F:$F,"Bơm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7" s="222" t="str">
        <f t="shared" si="3"/>
        <v/>
      </c>
      <c r="AM237" s="222" t="str">
        <f>IF($B237="","",SUMIFS(DATA_GOC!$K:$K,DATA_GOC!$A:$A,"BOM",DATA_GOC!$D:$D,$B237,DATA_GOC!$G:$G,"DO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7" s="222" t="str">
        <f t="shared" si="4"/>
        <v/>
      </c>
      <c r="AO237" s="227" t="str">
        <f t="shared" si="5"/>
        <v/>
      </c>
      <c r="AP237" s="226" t="str">
        <f>IF($B237="","",IFERROR(AO237-(SUMIFS(DATA_GOC!$H:$H,DATA_GOC!$A:$A,"BOM",DATA_GOC!$D:$D,$B237,DATA_GOC!$F:$F,"Xuất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8" ht="15.0" customHeight="1">
      <c r="A238" s="61" t="str">
        <f t="shared" si="1"/>
        <v/>
      </c>
      <c r="B238" s="61" t="str">
        <f t="array" ref="B238">IFERROR(INDEX(DANH_MUC!$E:$E,ROW()-1),"")</f>
        <v/>
      </c>
      <c r="C238" s="61" t="str">
        <f>IF($B238="","",IF(C$4&gt;DAY(EOMONTH(DATE($D$2,$B$2,1),0)),"",SUMIFS(DATA_GOC!$H:$H,DATA_GOC!$A:$A,"BOM",DATA_GOC!$D:$D,$B238,DATA_GOC!$F:$F,"Xuất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8" s="61" t="str">
        <f>IF($B238="","",IF(D$4&gt;DAY(EOMONTH(DATE($D$2,$B$2,1),0)),"",SUMIFS(DATA_GOC!$H:$H,DATA_GOC!$A:$A,"BOM",DATA_GOC!$D:$D,$B238,DATA_GOC!$F:$F,"Xuất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8" s="61" t="str">
        <f>IF($B238="","",IF(E$4&gt;DAY(EOMONTH(DATE($D$2,$B$2,1),0)),"",SUMIFS(DATA_GOC!$H:$H,DATA_GOC!$A:$A,"BOM",DATA_GOC!$D:$D,$B238,DATA_GOC!$F:$F,"Xuất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8" s="61" t="str">
        <f>IF($B238="","",IF(F$4&gt;DAY(EOMONTH(DATE($D$2,$B$2,1),0)),"",SUMIFS(DATA_GOC!$H:$H,DATA_GOC!$A:$A,"BOM",DATA_GOC!$D:$D,$B238,DATA_GOC!$F:$F,"Xuất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8" s="61" t="str">
        <f>IF($B238="","",IF(G$4&gt;DAY(EOMONTH(DATE($D$2,$B$2,1),0)),"",SUMIFS(DATA_GOC!$H:$H,DATA_GOC!$A:$A,"BOM",DATA_GOC!$D:$D,$B238,DATA_GOC!$F:$F,"Xuất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8" s="61" t="str">
        <f>IF($B238="","",IF(H$4&gt;DAY(EOMONTH(DATE($D$2,$B$2,1),0)),"",SUMIFS(DATA_GOC!$H:$H,DATA_GOC!$A:$A,"BOM",DATA_GOC!$D:$D,$B238,DATA_GOC!$F:$F,"Xuất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8" s="61" t="str">
        <f>IF($B238="","",IF(I$4&gt;DAY(EOMONTH(DATE($D$2,$B$2,1),0)),"",SUMIFS(DATA_GOC!$H:$H,DATA_GOC!$A:$A,"BOM",DATA_GOC!$D:$D,$B238,DATA_GOC!$F:$F,"Xuất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8" s="61" t="str">
        <f>IF($B238="","",IF(J$4&gt;DAY(EOMONTH(DATE($D$2,$B$2,1),0)),"",SUMIFS(DATA_GOC!$H:$H,DATA_GOC!$A:$A,"BOM",DATA_GOC!$D:$D,$B238,DATA_GOC!$F:$F,"Xuất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8" s="61" t="str">
        <f>IF($B238="","",IF(K$4&gt;DAY(EOMONTH(DATE($D$2,$B$2,1),0)),"",SUMIFS(DATA_GOC!$H:$H,DATA_GOC!$A:$A,"BOM",DATA_GOC!$D:$D,$B238,DATA_GOC!$F:$F,"Xuất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8" s="61" t="str">
        <f>IF($B238="","",IF(L$4&gt;DAY(EOMONTH(DATE($D$2,$B$2,1),0)),"",SUMIFS(DATA_GOC!$H:$H,DATA_GOC!$A:$A,"BOM",DATA_GOC!$D:$D,$B238,DATA_GOC!$F:$F,"Xuất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8" s="61" t="str">
        <f>IF($B238="","",IF(M$4&gt;DAY(EOMONTH(DATE($D$2,$B$2,1),0)),"",SUMIFS(DATA_GOC!$H:$H,DATA_GOC!$A:$A,"BOM",DATA_GOC!$D:$D,$B238,DATA_GOC!$F:$F,"Xuất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8" s="61" t="str">
        <f>IF($B238="","",IF(N$4&gt;DAY(EOMONTH(DATE($D$2,$B$2,1),0)),"",SUMIFS(DATA_GOC!$H:$H,DATA_GOC!$A:$A,"BOM",DATA_GOC!$D:$D,$B238,DATA_GOC!$F:$F,"Xuất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8" s="61" t="str">
        <f>IF($B238="","",IF(O$4&gt;DAY(EOMONTH(DATE($D$2,$B$2,1),0)),"",SUMIFS(DATA_GOC!$H:$H,DATA_GOC!$A:$A,"BOM",DATA_GOC!$D:$D,$B238,DATA_GOC!$F:$F,"Xuất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8" s="61" t="str">
        <f>IF($B238="","",IF(P$4&gt;DAY(EOMONTH(DATE($D$2,$B$2,1),0)),"",SUMIFS(DATA_GOC!$H:$H,DATA_GOC!$A:$A,"BOM",DATA_GOC!$D:$D,$B238,DATA_GOC!$F:$F,"Xuất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8" s="61" t="str">
        <f>IF($B238="","",IF(Q$4&gt;DAY(EOMONTH(DATE($D$2,$B$2,1),0)),"",SUMIFS(DATA_GOC!$H:$H,DATA_GOC!$A:$A,"BOM",DATA_GOC!$D:$D,$B238,DATA_GOC!$F:$F,"Xuất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8" s="61" t="str">
        <f>IF($B238="","",IF(R$4&gt;DAY(EOMONTH(DATE($D$2,$B$2,1),0)),"",SUMIFS(DATA_GOC!$H:$H,DATA_GOC!$A:$A,"BOM",DATA_GOC!$D:$D,$B238,DATA_GOC!$F:$F,"Xuất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8" s="61" t="str">
        <f>IF($B238="","",IF(S$4&gt;DAY(EOMONTH(DATE($D$2,$B$2,1),0)),"",SUMIFS(DATA_GOC!$H:$H,DATA_GOC!$A:$A,"BOM",DATA_GOC!$D:$D,$B238,DATA_GOC!$F:$F,"Xuất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8" s="61" t="str">
        <f>IF($B238="","",IF(T$4&gt;DAY(EOMONTH(DATE($D$2,$B$2,1),0)),"",SUMIFS(DATA_GOC!$H:$H,DATA_GOC!$A:$A,"BOM",DATA_GOC!$D:$D,$B238,DATA_GOC!$F:$F,"Xuất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8" s="61" t="str">
        <f>IF($B238="","",IF(U$4&gt;DAY(EOMONTH(DATE($D$2,$B$2,1),0)),"",SUMIFS(DATA_GOC!$H:$H,DATA_GOC!$A:$A,"BOM",DATA_GOC!$D:$D,$B238,DATA_GOC!$F:$F,"Xuất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8" s="61" t="str">
        <f>IF($B238="","",IF(V$4&gt;DAY(EOMONTH(DATE($D$2,$B$2,1),0)),"",SUMIFS(DATA_GOC!$H:$H,DATA_GOC!$A:$A,"BOM",DATA_GOC!$D:$D,$B238,DATA_GOC!$F:$F,"Xuất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8" s="61" t="str">
        <f>IF($B238="","",IF(W$4&gt;DAY(EOMONTH(DATE($D$2,$B$2,1),0)),"",SUMIFS(DATA_GOC!$H:$H,DATA_GOC!$A:$A,"BOM",DATA_GOC!$D:$D,$B238,DATA_GOC!$F:$F,"Xuất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8" s="61" t="str">
        <f>IF($B238="","",IF(X$4&gt;DAY(EOMONTH(DATE($D$2,$B$2,1),0)),"",SUMIFS(DATA_GOC!$H:$H,DATA_GOC!$A:$A,"BOM",DATA_GOC!$D:$D,$B238,DATA_GOC!$F:$F,"Xuất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8" s="61" t="str">
        <f>IF($B238="","",IF(Y$4&gt;DAY(EOMONTH(DATE($D$2,$B$2,1),0)),"",SUMIFS(DATA_GOC!$H:$H,DATA_GOC!$A:$A,"BOM",DATA_GOC!$D:$D,$B238,DATA_GOC!$F:$F,"Xuất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8" s="61" t="str">
        <f>IF($B238="","",IF(Z$4&gt;DAY(EOMONTH(DATE($D$2,$B$2,1),0)),"",SUMIFS(DATA_GOC!$H:$H,DATA_GOC!$A:$A,"BOM",DATA_GOC!$D:$D,$B238,DATA_GOC!$F:$F,"Xuất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8" s="61" t="str">
        <f>IF($B238="","",IF(AA$4&gt;DAY(EOMONTH(DATE($D$2,$B$2,1),0)),"",SUMIFS(DATA_GOC!$H:$H,DATA_GOC!$A:$A,"BOM",DATA_GOC!$D:$D,$B238,DATA_GOC!$F:$F,"Xuất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8" s="61" t="str">
        <f>IF($B238="","",IF(AB$4&gt;DAY(EOMONTH(DATE($D$2,$B$2,1),0)),"",SUMIFS(DATA_GOC!$H:$H,DATA_GOC!$A:$A,"BOM",DATA_GOC!$D:$D,$B238,DATA_GOC!$F:$F,"Xuất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8" s="61" t="str">
        <f>IF($B238="","",IF(AC$4&gt;DAY(EOMONTH(DATE($D$2,$B$2,1),0)),"",SUMIFS(DATA_GOC!$H:$H,DATA_GOC!$A:$A,"BOM",DATA_GOC!$D:$D,$B238,DATA_GOC!$F:$F,"Xuất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8" s="222" t="str">
        <f>IF($B238="","",IF(AD$4&gt;DAY(EOMONTH(DATE($D$2,$B$2,1),0)),"",SUMIFS(DATA_GOC!$H:$H,DATA_GOC!$A:$A,"BOM",DATA_GOC!$D:$D,$B238,DATA_GOC!$F:$F,"Xuất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8" s="222" t="str">
        <f>IF($B238="","",IF(AE$4&gt;DAY(EOMONTH(DATE($D$2,$B$2,1),0)),"",SUMIFS(DATA_GOC!$H:$H,DATA_GOC!$A:$A,"BOM",DATA_GOC!$D:$D,$B238,DATA_GOC!$F:$F,"Xuất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8" s="222" t="str">
        <f>IF($B238="","",IF(AF$4&gt;DAY(EOMONTH(DATE($D$2,$B$2,1),0)),"",SUMIFS(DATA_GOC!$H:$H,DATA_GOC!$A:$A,"BOM",DATA_GOC!$D:$D,$B238,DATA_GOC!$F:$F,"Xuất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8" s="222" t="str">
        <f>IF($B238="","",IF(AG$4&gt;DAY(EOMONTH(DATE($D$2,$B$2,1),0)),"",SUMIFS(DATA_GOC!$H:$H,DATA_GOC!$A:$A,"BOM",DATA_GOC!$D:$D,$B238,DATA_GOC!$F:$F,"Xuất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8" s="222" t="str">
        <f t="shared" si="2"/>
        <v/>
      </c>
      <c r="AI238" s="222" t="str">
        <f>IF($B238="","",SUMIFS(DATA_GOC!$H:$H,DATA_GOC!$A:$A,"BOM",DATA_GOC!$D:$D,$B238,DATA_GOC!$F:$F,"Bơm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8" s="222" t="str">
        <f t="shared" si="3"/>
        <v/>
      </c>
      <c r="AM238" s="222" t="str">
        <f>IF($B238="","",SUMIFS(DATA_GOC!$K:$K,DATA_GOC!$A:$A,"BOM",DATA_GOC!$D:$D,$B238,DATA_GOC!$G:$G,"DO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8" s="222" t="str">
        <f t="shared" si="4"/>
        <v/>
      </c>
      <c r="AO238" s="227" t="str">
        <f t="shared" si="5"/>
        <v/>
      </c>
      <c r="AP238" s="226" t="str">
        <f>IF($B238="","",IFERROR(AO238-(SUMIFS(DATA_GOC!$H:$H,DATA_GOC!$A:$A,"BOM",DATA_GOC!$D:$D,$B238,DATA_GOC!$F:$F,"Xuất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39" ht="15.0" customHeight="1">
      <c r="A239" s="61" t="str">
        <f t="shared" si="1"/>
        <v/>
      </c>
      <c r="B239" s="61" t="str">
        <f t="array" ref="B239">IFERROR(INDEX(DANH_MUC!$E:$E,ROW()-1),"")</f>
        <v/>
      </c>
      <c r="C239" s="61" t="str">
        <f>IF($B239="","",IF(C$4&gt;DAY(EOMONTH(DATE($D$2,$B$2,1),0)),"",SUMIFS(DATA_GOC!$H:$H,DATA_GOC!$A:$A,"BOM",DATA_GOC!$D:$D,$B239,DATA_GOC!$F:$F,"Xuất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39" s="61" t="str">
        <f>IF($B239="","",IF(D$4&gt;DAY(EOMONTH(DATE($D$2,$B$2,1),0)),"",SUMIFS(DATA_GOC!$H:$H,DATA_GOC!$A:$A,"BOM",DATA_GOC!$D:$D,$B239,DATA_GOC!$F:$F,"Xuất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39" s="61" t="str">
        <f>IF($B239="","",IF(E$4&gt;DAY(EOMONTH(DATE($D$2,$B$2,1),0)),"",SUMIFS(DATA_GOC!$H:$H,DATA_GOC!$A:$A,"BOM",DATA_GOC!$D:$D,$B239,DATA_GOC!$F:$F,"Xuất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39" s="61" t="str">
        <f>IF($B239="","",IF(F$4&gt;DAY(EOMONTH(DATE($D$2,$B$2,1),0)),"",SUMIFS(DATA_GOC!$H:$H,DATA_GOC!$A:$A,"BOM",DATA_GOC!$D:$D,$B239,DATA_GOC!$F:$F,"Xuất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39" s="61" t="str">
        <f>IF($B239="","",IF(G$4&gt;DAY(EOMONTH(DATE($D$2,$B$2,1),0)),"",SUMIFS(DATA_GOC!$H:$H,DATA_GOC!$A:$A,"BOM",DATA_GOC!$D:$D,$B239,DATA_GOC!$F:$F,"Xuất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39" s="61" t="str">
        <f>IF($B239="","",IF(H$4&gt;DAY(EOMONTH(DATE($D$2,$B$2,1),0)),"",SUMIFS(DATA_GOC!$H:$H,DATA_GOC!$A:$A,"BOM",DATA_GOC!$D:$D,$B239,DATA_GOC!$F:$F,"Xuất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39" s="61" t="str">
        <f>IF($B239="","",IF(I$4&gt;DAY(EOMONTH(DATE($D$2,$B$2,1),0)),"",SUMIFS(DATA_GOC!$H:$H,DATA_GOC!$A:$A,"BOM",DATA_GOC!$D:$D,$B239,DATA_GOC!$F:$F,"Xuất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39" s="61" t="str">
        <f>IF($B239="","",IF(J$4&gt;DAY(EOMONTH(DATE($D$2,$B$2,1),0)),"",SUMIFS(DATA_GOC!$H:$H,DATA_GOC!$A:$A,"BOM",DATA_GOC!$D:$D,$B239,DATA_GOC!$F:$F,"Xuất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39" s="61" t="str">
        <f>IF($B239="","",IF(K$4&gt;DAY(EOMONTH(DATE($D$2,$B$2,1),0)),"",SUMIFS(DATA_GOC!$H:$H,DATA_GOC!$A:$A,"BOM",DATA_GOC!$D:$D,$B239,DATA_GOC!$F:$F,"Xuất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39" s="61" t="str">
        <f>IF($B239="","",IF(L$4&gt;DAY(EOMONTH(DATE($D$2,$B$2,1),0)),"",SUMIFS(DATA_GOC!$H:$H,DATA_GOC!$A:$A,"BOM",DATA_GOC!$D:$D,$B239,DATA_GOC!$F:$F,"Xuất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39" s="61" t="str">
        <f>IF($B239="","",IF(M$4&gt;DAY(EOMONTH(DATE($D$2,$B$2,1),0)),"",SUMIFS(DATA_GOC!$H:$H,DATA_GOC!$A:$A,"BOM",DATA_GOC!$D:$D,$B239,DATA_GOC!$F:$F,"Xuất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39" s="61" t="str">
        <f>IF($B239="","",IF(N$4&gt;DAY(EOMONTH(DATE($D$2,$B$2,1),0)),"",SUMIFS(DATA_GOC!$H:$H,DATA_GOC!$A:$A,"BOM",DATA_GOC!$D:$D,$B239,DATA_GOC!$F:$F,"Xuất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39" s="61" t="str">
        <f>IF($B239="","",IF(O$4&gt;DAY(EOMONTH(DATE($D$2,$B$2,1),0)),"",SUMIFS(DATA_GOC!$H:$H,DATA_GOC!$A:$A,"BOM",DATA_GOC!$D:$D,$B239,DATA_GOC!$F:$F,"Xuất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39" s="61" t="str">
        <f>IF($B239="","",IF(P$4&gt;DAY(EOMONTH(DATE($D$2,$B$2,1),0)),"",SUMIFS(DATA_GOC!$H:$H,DATA_GOC!$A:$A,"BOM",DATA_GOC!$D:$D,$B239,DATA_GOC!$F:$F,"Xuất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39" s="61" t="str">
        <f>IF($B239="","",IF(Q$4&gt;DAY(EOMONTH(DATE($D$2,$B$2,1),0)),"",SUMIFS(DATA_GOC!$H:$H,DATA_GOC!$A:$A,"BOM",DATA_GOC!$D:$D,$B239,DATA_GOC!$F:$F,"Xuất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39" s="61" t="str">
        <f>IF($B239="","",IF(R$4&gt;DAY(EOMONTH(DATE($D$2,$B$2,1),0)),"",SUMIFS(DATA_GOC!$H:$H,DATA_GOC!$A:$A,"BOM",DATA_GOC!$D:$D,$B239,DATA_GOC!$F:$F,"Xuất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39" s="61" t="str">
        <f>IF($B239="","",IF(S$4&gt;DAY(EOMONTH(DATE($D$2,$B$2,1),0)),"",SUMIFS(DATA_GOC!$H:$H,DATA_GOC!$A:$A,"BOM",DATA_GOC!$D:$D,$B239,DATA_GOC!$F:$F,"Xuất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39" s="61" t="str">
        <f>IF($B239="","",IF(T$4&gt;DAY(EOMONTH(DATE($D$2,$B$2,1),0)),"",SUMIFS(DATA_GOC!$H:$H,DATA_GOC!$A:$A,"BOM",DATA_GOC!$D:$D,$B239,DATA_GOC!$F:$F,"Xuất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39" s="61" t="str">
        <f>IF($B239="","",IF(U$4&gt;DAY(EOMONTH(DATE($D$2,$B$2,1),0)),"",SUMIFS(DATA_GOC!$H:$H,DATA_GOC!$A:$A,"BOM",DATA_GOC!$D:$D,$B239,DATA_GOC!$F:$F,"Xuất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39" s="61" t="str">
        <f>IF($B239="","",IF(V$4&gt;DAY(EOMONTH(DATE($D$2,$B$2,1),0)),"",SUMIFS(DATA_GOC!$H:$H,DATA_GOC!$A:$A,"BOM",DATA_GOC!$D:$D,$B239,DATA_GOC!$F:$F,"Xuất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39" s="61" t="str">
        <f>IF($B239="","",IF(W$4&gt;DAY(EOMONTH(DATE($D$2,$B$2,1),0)),"",SUMIFS(DATA_GOC!$H:$H,DATA_GOC!$A:$A,"BOM",DATA_GOC!$D:$D,$B239,DATA_GOC!$F:$F,"Xuất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39" s="61" t="str">
        <f>IF($B239="","",IF(X$4&gt;DAY(EOMONTH(DATE($D$2,$B$2,1),0)),"",SUMIFS(DATA_GOC!$H:$H,DATA_GOC!$A:$A,"BOM",DATA_GOC!$D:$D,$B239,DATA_GOC!$F:$F,"Xuất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39" s="61" t="str">
        <f>IF($B239="","",IF(Y$4&gt;DAY(EOMONTH(DATE($D$2,$B$2,1),0)),"",SUMIFS(DATA_GOC!$H:$H,DATA_GOC!$A:$A,"BOM",DATA_GOC!$D:$D,$B239,DATA_GOC!$F:$F,"Xuất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39" s="61" t="str">
        <f>IF($B239="","",IF(Z$4&gt;DAY(EOMONTH(DATE($D$2,$B$2,1),0)),"",SUMIFS(DATA_GOC!$H:$H,DATA_GOC!$A:$A,"BOM",DATA_GOC!$D:$D,$B239,DATA_GOC!$F:$F,"Xuất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39" s="61" t="str">
        <f>IF($B239="","",IF(AA$4&gt;DAY(EOMONTH(DATE($D$2,$B$2,1),0)),"",SUMIFS(DATA_GOC!$H:$H,DATA_GOC!$A:$A,"BOM",DATA_GOC!$D:$D,$B239,DATA_GOC!$F:$F,"Xuất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39" s="61" t="str">
        <f>IF($B239="","",IF(AB$4&gt;DAY(EOMONTH(DATE($D$2,$B$2,1),0)),"",SUMIFS(DATA_GOC!$H:$H,DATA_GOC!$A:$A,"BOM",DATA_GOC!$D:$D,$B239,DATA_GOC!$F:$F,"Xuất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39" s="61" t="str">
        <f>IF($B239="","",IF(AC$4&gt;DAY(EOMONTH(DATE($D$2,$B$2,1),0)),"",SUMIFS(DATA_GOC!$H:$H,DATA_GOC!$A:$A,"BOM",DATA_GOC!$D:$D,$B239,DATA_GOC!$F:$F,"Xuất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39" s="222" t="str">
        <f>IF($B239="","",IF(AD$4&gt;DAY(EOMONTH(DATE($D$2,$B$2,1),0)),"",SUMIFS(DATA_GOC!$H:$H,DATA_GOC!$A:$A,"BOM",DATA_GOC!$D:$D,$B239,DATA_GOC!$F:$F,"Xuất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39" s="222" t="str">
        <f>IF($B239="","",IF(AE$4&gt;DAY(EOMONTH(DATE($D$2,$B$2,1),0)),"",SUMIFS(DATA_GOC!$H:$H,DATA_GOC!$A:$A,"BOM",DATA_GOC!$D:$D,$B239,DATA_GOC!$F:$F,"Xuất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39" s="222" t="str">
        <f>IF($B239="","",IF(AF$4&gt;DAY(EOMONTH(DATE($D$2,$B$2,1),0)),"",SUMIFS(DATA_GOC!$H:$H,DATA_GOC!$A:$A,"BOM",DATA_GOC!$D:$D,$B239,DATA_GOC!$F:$F,"Xuất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39" s="222" t="str">
        <f>IF($B239="","",IF(AG$4&gt;DAY(EOMONTH(DATE($D$2,$B$2,1),0)),"",SUMIFS(DATA_GOC!$H:$H,DATA_GOC!$A:$A,"BOM",DATA_GOC!$D:$D,$B239,DATA_GOC!$F:$F,"Xuất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39" s="222" t="str">
        <f t="shared" si="2"/>
        <v/>
      </c>
      <c r="AI239" s="222" t="str">
        <f>IF($B239="","",SUMIFS(DATA_GOC!$H:$H,DATA_GOC!$A:$A,"BOM",DATA_GOC!$D:$D,$B239,DATA_GOC!$F:$F,"Bơm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39" s="222" t="str">
        <f t="shared" si="3"/>
        <v/>
      </c>
      <c r="AM239" s="222" t="str">
        <f>IF($B239="","",SUMIFS(DATA_GOC!$K:$K,DATA_GOC!$A:$A,"BOM",DATA_GOC!$D:$D,$B239,DATA_GOC!$G:$G,"DO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39" s="222" t="str">
        <f t="shared" si="4"/>
        <v/>
      </c>
      <c r="AO239" s="227" t="str">
        <f t="shared" si="5"/>
        <v/>
      </c>
      <c r="AP239" s="226" t="str">
        <f>IF($B239="","",IFERROR(AO239-(SUMIFS(DATA_GOC!$H:$H,DATA_GOC!$A:$A,"BOM",DATA_GOC!$D:$D,$B239,DATA_GOC!$F:$F,"Xuất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số",DATA_GOC!$B:$B,"&gt;="&amp;EDATE(DATE($D$2,$B$2,1),-1),DATA_GOC!$B:$B,"&lt;"&amp;DATE($D$2,$B$2,1))/SUMIFS(DATA_GOC!$K:$K,DATA_GOC!$A:$A,"BOM",DATA_GOC!$D:$D,$B239,DATA_GOC!$G:$G,"DO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0" ht="15.0" customHeight="1">
      <c r="A240" s="61" t="str">
        <f t="shared" si="1"/>
        <v/>
      </c>
      <c r="B240" s="61" t="str">
        <f t="array" ref="B240">IFERROR(INDEX(DANH_MUC!$E:$E,ROW()-1),"")</f>
        <v/>
      </c>
      <c r="C240" s="61" t="str">
        <f>IF($B240="","",IF(C$4&gt;DAY(EOMONTH(DATE($D$2,$B$2,1),0)),"",SUMIFS(DATA_GOC!$H:$H,DATA_GOC!$A:$A,"BOM",DATA_GOC!$D:$D,$B240,DATA_GOC!$F:$F,"Xuất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0" s="61" t="str">
        <f>IF($B240="","",IF(D$4&gt;DAY(EOMONTH(DATE($D$2,$B$2,1),0)),"",SUMIFS(DATA_GOC!$H:$H,DATA_GOC!$A:$A,"BOM",DATA_GOC!$D:$D,$B240,DATA_GOC!$F:$F,"Xuất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0" s="61" t="str">
        <f>IF($B240="","",IF(E$4&gt;DAY(EOMONTH(DATE($D$2,$B$2,1),0)),"",SUMIFS(DATA_GOC!$H:$H,DATA_GOC!$A:$A,"BOM",DATA_GOC!$D:$D,$B240,DATA_GOC!$F:$F,"Xuất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0" s="61" t="str">
        <f>IF($B240="","",IF(F$4&gt;DAY(EOMONTH(DATE($D$2,$B$2,1),0)),"",SUMIFS(DATA_GOC!$H:$H,DATA_GOC!$A:$A,"BOM",DATA_GOC!$D:$D,$B240,DATA_GOC!$F:$F,"Xuất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0" s="61" t="str">
        <f>IF($B240="","",IF(G$4&gt;DAY(EOMONTH(DATE($D$2,$B$2,1),0)),"",SUMIFS(DATA_GOC!$H:$H,DATA_GOC!$A:$A,"BOM",DATA_GOC!$D:$D,$B240,DATA_GOC!$F:$F,"Xuất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0" s="61" t="str">
        <f>IF($B240="","",IF(H$4&gt;DAY(EOMONTH(DATE($D$2,$B$2,1),0)),"",SUMIFS(DATA_GOC!$H:$H,DATA_GOC!$A:$A,"BOM",DATA_GOC!$D:$D,$B240,DATA_GOC!$F:$F,"Xuất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0" s="61" t="str">
        <f>IF($B240="","",IF(I$4&gt;DAY(EOMONTH(DATE($D$2,$B$2,1),0)),"",SUMIFS(DATA_GOC!$H:$H,DATA_GOC!$A:$A,"BOM",DATA_GOC!$D:$D,$B240,DATA_GOC!$F:$F,"Xuất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0" s="61" t="str">
        <f>IF($B240="","",IF(J$4&gt;DAY(EOMONTH(DATE($D$2,$B$2,1),0)),"",SUMIFS(DATA_GOC!$H:$H,DATA_GOC!$A:$A,"BOM",DATA_GOC!$D:$D,$B240,DATA_GOC!$F:$F,"Xuất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0" s="61" t="str">
        <f>IF($B240="","",IF(K$4&gt;DAY(EOMONTH(DATE($D$2,$B$2,1),0)),"",SUMIFS(DATA_GOC!$H:$H,DATA_GOC!$A:$A,"BOM",DATA_GOC!$D:$D,$B240,DATA_GOC!$F:$F,"Xuất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0" s="61" t="str">
        <f>IF($B240="","",IF(L$4&gt;DAY(EOMONTH(DATE($D$2,$B$2,1),0)),"",SUMIFS(DATA_GOC!$H:$H,DATA_GOC!$A:$A,"BOM",DATA_GOC!$D:$D,$B240,DATA_GOC!$F:$F,"Xuất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0" s="61" t="str">
        <f>IF($B240="","",IF(M$4&gt;DAY(EOMONTH(DATE($D$2,$B$2,1),0)),"",SUMIFS(DATA_GOC!$H:$H,DATA_GOC!$A:$A,"BOM",DATA_GOC!$D:$D,$B240,DATA_GOC!$F:$F,"Xuất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0" s="61" t="str">
        <f>IF($B240="","",IF(N$4&gt;DAY(EOMONTH(DATE($D$2,$B$2,1),0)),"",SUMIFS(DATA_GOC!$H:$H,DATA_GOC!$A:$A,"BOM",DATA_GOC!$D:$D,$B240,DATA_GOC!$F:$F,"Xuất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0" s="61" t="str">
        <f>IF($B240="","",IF(O$4&gt;DAY(EOMONTH(DATE($D$2,$B$2,1),0)),"",SUMIFS(DATA_GOC!$H:$H,DATA_GOC!$A:$A,"BOM",DATA_GOC!$D:$D,$B240,DATA_GOC!$F:$F,"Xuất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0" s="61" t="str">
        <f>IF($B240="","",IF(P$4&gt;DAY(EOMONTH(DATE($D$2,$B$2,1),0)),"",SUMIFS(DATA_GOC!$H:$H,DATA_GOC!$A:$A,"BOM",DATA_GOC!$D:$D,$B240,DATA_GOC!$F:$F,"Xuất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0" s="61" t="str">
        <f>IF($B240="","",IF(Q$4&gt;DAY(EOMONTH(DATE($D$2,$B$2,1),0)),"",SUMIFS(DATA_GOC!$H:$H,DATA_GOC!$A:$A,"BOM",DATA_GOC!$D:$D,$B240,DATA_GOC!$F:$F,"Xuất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0" s="61" t="str">
        <f>IF($B240="","",IF(R$4&gt;DAY(EOMONTH(DATE($D$2,$B$2,1),0)),"",SUMIFS(DATA_GOC!$H:$H,DATA_GOC!$A:$A,"BOM",DATA_GOC!$D:$D,$B240,DATA_GOC!$F:$F,"Xuất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0" s="61" t="str">
        <f>IF($B240="","",IF(S$4&gt;DAY(EOMONTH(DATE($D$2,$B$2,1),0)),"",SUMIFS(DATA_GOC!$H:$H,DATA_GOC!$A:$A,"BOM",DATA_GOC!$D:$D,$B240,DATA_GOC!$F:$F,"Xuất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0" s="61" t="str">
        <f>IF($B240="","",IF(T$4&gt;DAY(EOMONTH(DATE($D$2,$B$2,1),0)),"",SUMIFS(DATA_GOC!$H:$H,DATA_GOC!$A:$A,"BOM",DATA_GOC!$D:$D,$B240,DATA_GOC!$F:$F,"Xuất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0" s="61" t="str">
        <f>IF($B240="","",IF(U$4&gt;DAY(EOMONTH(DATE($D$2,$B$2,1),0)),"",SUMIFS(DATA_GOC!$H:$H,DATA_GOC!$A:$A,"BOM",DATA_GOC!$D:$D,$B240,DATA_GOC!$F:$F,"Xuất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0" s="61" t="str">
        <f>IF($B240="","",IF(V$4&gt;DAY(EOMONTH(DATE($D$2,$B$2,1),0)),"",SUMIFS(DATA_GOC!$H:$H,DATA_GOC!$A:$A,"BOM",DATA_GOC!$D:$D,$B240,DATA_GOC!$F:$F,"Xuất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0" s="61" t="str">
        <f>IF($B240="","",IF(W$4&gt;DAY(EOMONTH(DATE($D$2,$B$2,1),0)),"",SUMIFS(DATA_GOC!$H:$H,DATA_GOC!$A:$A,"BOM",DATA_GOC!$D:$D,$B240,DATA_GOC!$F:$F,"Xuất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0" s="61" t="str">
        <f>IF($B240="","",IF(X$4&gt;DAY(EOMONTH(DATE($D$2,$B$2,1),0)),"",SUMIFS(DATA_GOC!$H:$H,DATA_GOC!$A:$A,"BOM",DATA_GOC!$D:$D,$B240,DATA_GOC!$F:$F,"Xuất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0" s="61" t="str">
        <f>IF($B240="","",IF(Y$4&gt;DAY(EOMONTH(DATE($D$2,$B$2,1),0)),"",SUMIFS(DATA_GOC!$H:$H,DATA_GOC!$A:$A,"BOM",DATA_GOC!$D:$D,$B240,DATA_GOC!$F:$F,"Xuất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0" s="61" t="str">
        <f>IF($B240="","",IF(Z$4&gt;DAY(EOMONTH(DATE($D$2,$B$2,1),0)),"",SUMIFS(DATA_GOC!$H:$H,DATA_GOC!$A:$A,"BOM",DATA_GOC!$D:$D,$B240,DATA_GOC!$F:$F,"Xuất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0" s="61" t="str">
        <f>IF($B240="","",IF(AA$4&gt;DAY(EOMONTH(DATE($D$2,$B$2,1),0)),"",SUMIFS(DATA_GOC!$H:$H,DATA_GOC!$A:$A,"BOM",DATA_GOC!$D:$D,$B240,DATA_GOC!$F:$F,"Xuất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0" s="61" t="str">
        <f>IF($B240="","",IF(AB$4&gt;DAY(EOMONTH(DATE($D$2,$B$2,1),0)),"",SUMIFS(DATA_GOC!$H:$H,DATA_GOC!$A:$A,"BOM",DATA_GOC!$D:$D,$B240,DATA_GOC!$F:$F,"Xuất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0" s="61" t="str">
        <f>IF($B240="","",IF(AC$4&gt;DAY(EOMONTH(DATE($D$2,$B$2,1),0)),"",SUMIFS(DATA_GOC!$H:$H,DATA_GOC!$A:$A,"BOM",DATA_GOC!$D:$D,$B240,DATA_GOC!$F:$F,"Xuất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0" s="222" t="str">
        <f>IF($B240="","",IF(AD$4&gt;DAY(EOMONTH(DATE($D$2,$B$2,1),0)),"",SUMIFS(DATA_GOC!$H:$H,DATA_GOC!$A:$A,"BOM",DATA_GOC!$D:$D,$B240,DATA_GOC!$F:$F,"Xuất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0" s="222" t="str">
        <f>IF($B240="","",IF(AE$4&gt;DAY(EOMONTH(DATE($D$2,$B$2,1),0)),"",SUMIFS(DATA_GOC!$H:$H,DATA_GOC!$A:$A,"BOM",DATA_GOC!$D:$D,$B240,DATA_GOC!$F:$F,"Xuất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0" s="222" t="str">
        <f>IF($B240="","",IF(AF$4&gt;DAY(EOMONTH(DATE($D$2,$B$2,1),0)),"",SUMIFS(DATA_GOC!$H:$H,DATA_GOC!$A:$A,"BOM",DATA_GOC!$D:$D,$B240,DATA_GOC!$F:$F,"Xuất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0" s="222" t="str">
        <f>IF($B240="","",IF(AG$4&gt;DAY(EOMONTH(DATE($D$2,$B$2,1),0)),"",SUMIFS(DATA_GOC!$H:$H,DATA_GOC!$A:$A,"BOM",DATA_GOC!$D:$D,$B240,DATA_GOC!$F:$F,"Xuất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0" s="222" t="str">
        <f t="shared" si="2"/>
        <v/>
      </c>
      <c r="AI240" s="222" t="str">
        <f>IF($B240="","",SUMIFS(DATA_GOC!$H:$H,DATA_GOC!$A:$A,"BOM",DATA_GOC!$D:$D,$B240,DATA_GOC!$F:$F,"Bơm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0" s="222" t="str">
        <f t="shared" si="3"/>
        <v/>
      </c>
      <c r="AM240" s="222" t="str">
        <f>IF($B240="","",SUMIFS(DATA_GOC!$K:$K,DATA_GOC!$A:$A,"BOM",DATA_GOC!$D:$D,$B240,DATA_GOC!$G:$G,"DO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0" s="222" t="str">
        <f t="shared" si="4"/>
        <v/>
      </c>
      <c r="AO240" s="227" t="str">
        <f t="shared" si="5"/>
        <v/>
      </c>
      <c r="AP240" s="226" t="str">
        <f>IF($B240="","",IFERROR(AO240-(SUMIFS(DATA_GOC!$H:$H,DATA_GOC!$A:$A,"BOM",DATA_GOC!$D:$D,$B240,DATA_GOC!$F:$F,"Xuất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số",DATA_GOC!$B:$B,"&gt;="&amp;EDATE(DATE($D$2,$B$2,1),-1),DATA_GOC!$B:$B,"&lt;"&amp;DATE($D$2,$B$2,1))/SUMIFS(DATA_GOC!$K:$K,DATA_GOC!$A:$A,"BOM",DATA_GOC!$D:$D,$B240,DATA_GOC!$G:$G,"DO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1" ht="15.0" customHeight="1">
      <c r="A241" s="61" t="str">
        <f t="shared" si="1"/>
        <v/>
      </c>
      <c r="B241" s="61" t="str">
        <f t="array" ref="B241">IFERROR(INDEX(DANH_MUC!$E:$E,ROW()-1),"")</f>
        <v/>
      </c>
      <c r="C241" s="61" t="str">
        <f>IF($B241="","",IF(C$4&gt;DAY(EOMONTH(DATE($D$2,$B$2,1),0)),"",SUMIFS(DATA_GOC!$H:$H,DATA_GOC!$A:$A,"BOM",DATA_GOC!$D:$D,$B241,DATA_GOC!$F:$F,"Xuất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1" s="61" t="str">
        <f>IF($B241="","",IF(D$4&gt;DAY(EOMONTH(DATE($D$2,$B$2,1),0)),"",SUMIFS(DATA_GOC!$H:$H,DATA_GOC!$A:$A,"BOM",DATA_GOC!$D:$D,$B241,DATA_GOC!$F:$F,"Xuất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1" s="61" t="str">
        <f>IF($B241="","",IF(E$4&gt;DAY(EOMONTH(DATE($D$2,$B$2,1),0)),"",SUMIFS(DATA_GOC!$H:$H,DATA_GOC!$A:$A,"BOM",DATA_GOC!$D:$D,$B241,DATA_GOC!$F:$F,"Xuất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1" s="61" t="str">
        <f>IF($B241="","",IF(F$4&gt;DAY(EOMONTH(DATE($D$2,$B$2,1),0)),"",SUMIFS(DATA_GOC!$H:$H,DATA_GOC!$A:$A,"BOM",DATA_GOC!$D:$D,$B241,DATA_GOC!$F:$F,"Xuất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1" s="61" t="str">
        <f>IF($B241="","",IF(G$4&gt;DAY(EOMONTH(DATE($D$2,$B$2,1),0)),"",SUMIFS(DATA_GOC!$H:$H,DATA_GOC!$A:$A,"BOM",DATA_GOC!$D:$D,$B241,DATA_GOC!$F:$F,"Xuất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1" s="61" t="str">
        <f>IF($B241="","",IF(H$4&gt;DAY(EOMONTH(DATE($D$2,$B$2,1),0)),"",SUMIFS(DATA_GOC!$H:$H,DATA_GOC!$A:$A,"BOM",DATA_GOC!$D:$D,$B241,DATA_GOC!$F:$F,"Xuất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1" s="61" t="str">
        <f>IF($B241="","",IF(I$4&gt;DAY(EOMONTH(DATE($D$2,$B$2,1),0)),"",SUMIFS(DATA_GOC!$H:$H,DATA_GOC!$A:$A,"BOM",DATA_GOC!$D:$D,$B241,DATA_GOC!$F:$F,"Xuất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1" s="61" t="str">
        <f>IF($B241="","",IF(J$4&gt;DAY(EOMONTH(DATE($D$2,$B$2,1),0)),"",SUMIFS(DATA_GOC!$H:$H,DATA_GOC!$A:$A,"BOM",DATA_GOC!$D:$D,$B241,DATA_GOC!$F:$F,"Xuất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1" s="61" t="str">
        <f>IF($B241="","",IF(K$4&gt;DAY(EOMONTH(DATE($D$2,$B$2,1),0)),"",SUMIFS(DATA_GOC!$H:$H,DATA_GOC!$A:$A,"BOM",DATA_GOC!$D:$D,$B241,DATA_GOC!$F:$F,"Xuất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1" s="61" t="str">
        <f>IF($B241="","",IF(L$4&gt;DAY(EOMONTH(DATE($D$2,$B$2,1),0)),"",SUMIFS(DATA_GOC!$H:$H,DATA_GOC!$A:$A,"BOM",DATA_GOC!$D:$D,$B241,DATA_GOC!$F:$F,"Xuất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1" s="61" t="str">
        <f>IF($B241="","",IF(M$4&gt;DAY(EOMONTH(DATE($D$2,$B$2,1),0)),"",SUMIFS(DATA_GOC!$H:$H,DATA_GOC!$A:$A,"BOM",DATA_GOC!$D:$D,$B241,DATA_GOC!$F:$F,"Xuất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1" s="61" t="str">
        <f>IF($B241="","",IF(N$4&gt;DAY(EOMONTH(DATE($D$2,$B$2,1),0)),"",SUMIFS(DATA_GOC!$H:$H,DATA_GOC!$A:$A,"BOM",DATA_GOC!$D:$D,$B241,DATA_GOC!$F:$F,"Xuất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1" s="61" t="str">
        <f>IF($B241="","",IF(O$4&gt;DAY(EOMONTH(DATE($D$2,$B$2,1),0)),"",SUMIFS(DATA_GOC!$H:$H,DATA_GOC!$A:$A,"BOM",DATA_GOC!$D:$D,$B241,DATA_GOC!$F:$F,"Xuất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1" s="61" t="str">
        <f>IF($B241="","",IF(P$4&gt;DAY(EOMONTH(DATE($D$2,$B$2,1),0)),"",SUMIFS(DATA_GOC!$H:$H,DATA_GOC!$A:$A,"BOM",DATA_GOC!$D:$D,$B241,DATA_GOC!$F:$F,"Xuất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1" s="61" t="str">
        <f>IF($B241="","",IF(Q$4&gt;DAY(EOMONTH(DATE($D$2,$B$2,1),0)),"",SUMIFS(DATA_GOC!$H:$H,DATA_GOC!$A:$A,"BOM",DATA_GOC!$D:$D,$B241,DATA_GOC!$F:$F,"Xuất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1" s="61" t="str">
        <f>IF($B241="","",IF(R$4&gt;DAY(EOMONTH(DATE($D$2,$B$2,1),0)),"",SUMIFS(DATA_GOC!$H:$H,DATA_GOC!$A:$A,"BOM",DATA_GOC!$D:$D,$B241,DATA_GOC!$F:$F,"Xuất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1" s="61" t="str">
        <f>IF($B241="","",IF(S$4&gt;DAY(EOMONTH(DATE($D$2,$B$2,1),0)),"",SUMIFS(DATA_GOC!$H:$H,DATA_GOC!$A:$A,"BOM",DATA_GOC!$D:$D,$B241,DATA_GOC!$F:$F,"Xuất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1" s="61" t="str">
        <f>IF($B241="","",IF(T$4&gt;DAY(EOMONTH(DATE($D$2,$B$2,1),0)),"",SUMIFS(DATA_GOC!$H:$H,DATA_GOC!$A:$A,"BOM",DATA_GOC!$D:$D,$B241,DATA_GOC!$F:$F,"Xuất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1" s="61" t="str">
        <f>IF($B241="","",IF(U$4&gt;DAY(EOMONTH(DATE($D$2,$B$2,1),0)),"",SUMIFS(DATA_GOC!$H:$H,DATA_GOC!$A:$A,"BOM",DATA_GOC!$D:$D,$B241,DATA_GOC!$F:$F,"Xuất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1" s="61" t="str">
        <f>IF($B241="","",IF(V$4&gt;DAY(EOMONTH(DATE($D$2,$B$2,1),0)),"",SUMIFS(DATA_GOC!$H:$H,DATA_GOC!$A:$A,"BOM",DATA_GOC!$D:$D,$B241,DATA_GOC!$F:$F,"Xuất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1" s="61" t="str">
        <f>IF($B241="","",IF(W$4&gt;DAY(EOMONTH(DATE($D$2,$B$2,1),0)),"",SUMIFS(DATA_GOC!$H:$H,DATA_GOC!$A:$A,"BOM",DATA_GOC!$D:$D,$B241,DATA_GOC!$F:$F,"Xuất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1" s="61" t="str">
        <f>IF($B241="","",IF(X$4&gt;DAY(EOMONTH(DATE($D$2,$B$2,1),0)),"",SUMIFS(DATA_GOC!$H:$H,DATA_GOC!$A:$A,"BOM",DATA_GOC!$D:$D,$B241,DATA_GOC!$F:$F,"Xuất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1" s="61" t="str">
        <f>IF($B241="","",IF(Y$4&gt;DAY(EOMONTH(DATE($D$2,$B$2,1),0)),"",SUMIFS(DATA_GOC!$H:$H,DATA_GOC!$A:$A,"BOM",DATA_GOC!$D:$D,$B241,DATA_GOC!$F:$F,"Xuất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1" s="61" t="str">
        <f>IF($B241="","",IF(Z$4&gt;DAY(EOMONTH(DATE($D$2,$B$2,1),0)),"",SUMIFS(DATA_GOC!$H:$H,DATA_GOC!$A:$A,"BOM",DATA_GOC!$D:$D,$B241,DATA_GOC!$F:$F,"Xuất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1" s="61" t="str">
        <f>IF($B241="","",IF(AA$4&gt;DAY(EOMONTH(DATE($D$2,$B$2,1),0)),"",SUMIFS(DATA_GOC!$H:$H,DATA_GOC!$A:$A,"BOM",DATA_GOC!$D:$D,$B241,DATA_GOC!$F:$F,"Xuất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1" s="61" t="str">
        <f>IF($B241="","",IF(AB$4&gt;DAY(EOMONTH(DATE($D$2,$B$2,1),0)),"",SUMIFS(DATA_GOC!$H:$H,DATA_GOC!$A:$A,"BOM",DATA_GOC!$D:$D,$B241,DATA_GOC!$F:$F,"Xuất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1" s="61" t="str">
        <f>IF($B241="","",IF(AC$4&gt;DAY(EOMONTH(DATE($D$2,$B$2,1),0)),"",SUMIFS(DATA_GOC!$H:$H,DATA_GOC!$A:$A,"BOM",DATA_GOC!$D:$D,$B241,DATA_GOC!$F:$F,"Xuất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1" s="222" t="str">
        <f>IF($B241="","",IF(AD$4&gt;DAY(EOMONTH(DATE($D$2,$B$2,1),0)),"",SUMIFS(DATA_GOC!$H:$H,DATA_GOC!$A:$A,"BOM",DATA_GOC!$D:$D,$B241,DATA_GOC!$F:$F,"Xuất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1" s="222" t="str">
        <f>IF($B241="","",IF(AE$4&gt;DAY(EOMONTH(DATE($D$2,$B$2,1),0)),"",SUMIFS(DATA_GOC!$H:$H,DATA_GOC!$A:$A,"BOM",DATA_GOC!$D:$D,$B241,DATA_GOC!$F:$F,"Xuất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1" s="222" t="str">
        <f>IF($B241="","",IF(AF$4&gt;DAY(EOMONTH(DATE($D$2,$B$2,1),0)),"",SUMIFS(DATA_GOC!$H:$H,DATA_GOC!$A:$A,"BOM",DATA_GOC!$D:$D,$B241,DATA_GOC!$F:$F,"Xuất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1" s="222" t="str">
        <f>IF($B241="","",IF(AG$4&gt;DAY(EOMONTH(DATE($D$2,$B$2,1),0)),"",SUMIFS(DATA_GOC!$H:$H,DATA_GOC!$A:$A,"BOM",DATA_GOC!$D:$D,$B241,DATA_GOC!$F:$F,"Xuất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1" s="222" t="str">
        <f t="shared" si="2"/>
        <v/>
      </c>
      <c r="AI241" s="222" t="str">
        <f>IF($B241="","",SUMIFS(DATA_GOC!$H:$H,DATA_GOC!$A:$A,"BOM",DATA_GOC!$D:$D,$B241,DATA_GOC!$F:$F,"Bơm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1" s="222" t="str">
        <f t="shared" si="3"/>
        <v/>
      </c>
      <c r="AM241" s="222" t="str">
        <f>IF($B241="","",SUMIFS(DATA_GOC!$K:$K,DATA_GOC!$A:$A,"BOM",DATA_GOC!$D:$D,$B241,DATA_GOC!$G:$G,"DO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1" s="222" t="str">
        <f t="shared" si="4"/>
        <v/>
      </c>
      <c r="AO241" s="227" t="str">
        <f t="shared" si="5"/>
        <v/>
      </c>
      <c r="AP241" s="226" t="str">
        <f>IF($B241="","",IFERROR(AO241-(SUMIFS(DATA_GOC!$H:$H,DATA_GOC!$A:$A,"BOM",DATA_GOC!$D:$D,$B241,DATA_GOC!$F:$F,"Xuất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số",DATA_GOC!$B:$B,"&gt;="&amp;EDATE(DATE($D$2,$B$2,1),-1),DATA_GOC!$B:$B,"&lt;"&amp;DATE($D$2,$B$2,1))/SUMIFS(DATA_GOC!$K:$K,DATA_GOC!$A:$A,"BOM",DATA_GOC!$D:$D,$B241,DATA_GOC!$G:$G,"DO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2" ht="15.0" customHeight="1">
      <c r="A242" s="61" t="str">
        <f t="shared" si="1"/>
        <v/>
      </c>
      <c r="B242" s="61" t="str">
        <f t="array" ref="B242">IFERROR(INDEX(DANH_MUC!$E:$E,ROW()-1),"")</f>
        <v/>
      </c>
      <c r="C242" s="61" t="str">
        <f>IF($B242="","",IF(C$4&gt;DAY(EOMONTH(DATE($D$2,$B$2,1),0)),"",SUMIFS(DATA_GOC!$H:$H,DATA_GOC!$A:$A,"BOM",DATA_GOC!$D:$D,$B242,DATA_GOC!$F:$F,"Xuất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2" s="61" t="str">
        <f>IF($B242="","",IF(D$4&gt;DAY(EOMONTH(DATE($D$2,$B$2,1),0)),"",SUMIFS(DATA_GOC!$H:$H,DATA_GOC!$A:$A,"BOM",DATA_GOC!$D:$D,$B242,DATA_GOC!$F:$F,"Xuất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2" s="61" t="str">
        <f>IF($B242="","",IF(E$4&gt;DAY(EOMONTH(DATE($D$2,$B$2,1),0)),"",SUMIFS(DATA_GOC!$H:$H,DATA_GOC!$A:$A,"BOM",DATA_GOC!$D:$D,$B242,DATA_GOC!$F:$F,"Xuất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2" s="61" t="str">
        <f>IF($B242="","",IF(F$4&gt;DAY(EOMONTH(DATE($D$2,$B$2,1),0)),"",SUMIFS(DATA_GOC!$H:$H,DATA_GOC!$A:$A,"BOM",DATA_GOC!$D:$D,$B242,DATA_GOC!$F:$F,"Xuất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2" s="61" t="str">
        <f>IF($B242="","",IF(G$4&gt;DAY(EOMONTH(DATE($D$2,$B$2,1),0)),"",SUMIFS(DATA_GOC!$H:$H,DATA_GOC!$A:$A,"BOM",DATA_GOC!$D:$D,$B242,DATA_GOC!$F:$F,"Xuất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2" s="61" t="str">
        <f>IF($B242="","",IF(H$4&gt;DAY(EOMONTH(DATE($D$2,$B$2,1),0)),"",SUMIFS(DATA_GOC!$H:$H,DATA_GOC!$A:$A,"BOM",DATA_GOC!$D:$D,$B242,DATA_GOC!$F:$F,"Xuất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2" s="61" t="str">
        <f>IF($B242="","",IF(I$4&gt;DAY(EOMONTH(DATE($D$2,$B$2,1),0)),"",SUMIFS(DATA_GOC!$H:$H,DATA_GOC!$A:$A,"BOM",DATA_GOC!$D:$D,$B242,DATA_GOC!$F:$F,"Xuất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2" s="61" t="str">
        <f>IF($B242="","",IF(J$4&gt;DAY(EOMONTH(DATE($D$2,$B$2,1),0)),"",SUMIFS(DATA_GOC!$H:$H,DATA_GOC!$A:$A,"BOM",DATA_GOC!$D:$D,$B242,DATA_GOC!$F:$F,"Xuất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2" s="61" t="str">
        <f>IF($B242="","",IF(K$4&gt;DAY(EOMONTH(DATE($D$2,$B$2,1),0)),"",SUMIFS(DATA_GOC!$H:$H,DATA_GOC!$A:$A,"BOM",DATA_GOC!$D:$D,$B242,DATA_GOC!$F:$F,"Xuất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2" s="61" t="str">
        <f>IF($B242="","",IF(L$4&gt;DAY(EOMONTH(DATE($D$2,$B$2,1),0)),"",SUMIFS(DATA_GOC!$H:$H,DATA_GOC!$A:$A,"BOM",DATA_GOC!$D:$D,$B242,DATA_GOC!$F:$F,"Xuất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2" s="61" t="str">
        <f>IF($B242="","",IF(M$4&gt;DAY(EOMONTH(DATE($D$2,$B$2,1),0)),"",SUMIFS(DATA_GOC!$H:$H,DATA_GOC!$A:$A,"BOM",DATA_GOC!$D:$D,$B242,DATA_GOC!$F:$F,"Xuất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2" s="61" t="str">
        <f>IF($B242="","",IF(N$4&gt;DAY(EOMONTH(DATE($D$2,$B$2,1),0)),"",SUMIFS(DATA_GOC!$H:$H,DATA_GOC!$A:$A,"BOM",DATA_GOC!$D:$D,$B242,DATA_GOC!$F:$F,"Xuất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2" s="61" t="str">
        <f>IF($B242="","",IF(O$4&gt;DAY(EOMONTH(DATE($D$2,$B$2,1),0)),"",SUMIFS(DATA_GOC!$H:$H,DATA_GOC!$A:$A,"BOM",DATA_GOC!$D:$D,$B242,DATA_GOC!$F:$F,"Xuất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2" s="61" t="str">
        <f>IF($B242="","",IF(P$4&gt;DAY(EOMONTH(DATE($D$2,$B$2,1),0)),"",SUMIFS(DATA_GOC!$H:$H,DATA_GOC!$A:$A,"BOM",DATA_GOC!$D:$D,$B242,DATA_GOC!$F:$F,"Xuất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2" s="61" t="str">
        <f>IF($B242="","",IF(Q$4&gt;DAY(EOMONTH(DATE($D$2,$B$2,1),0)),"",SUMIFS(DATA_GOC!$H:$H,DATA_GOC!$A:$A,"BOM",DATA_GOC!$D:$D,$B242,DATA_GOC!$F:$F,"Xuất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2" s="61" t="str">
        <f>IF($B242="","",IF(R$4&gt;DAY(EOMONTH(DATE($D$2,$B$2,1),0)),"",SUMIFS(DATA_GOC!$H:$H,DATA_GOC!$A:$A,"BOM",DATA_GOC!$D:$D,$B242,DATA_GOC!$F:$F,"Xuất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2" s="61" t="str">
        <f>IF($B242="","",IF(S$4&gt;DAY(EOMONTH(DATE($D$2,$B$2,1),0)),"",SUMIFS(DATA_GOC!$H:$H,DATA_GOC!$A:$A,"BOM",DATA_GOC!$D:$D,$B242,DATA_GOC!$F:$F,"Xuất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2" s="61" t="str">
        <f>IF($B242="","",IF(T$4&gt;DAY(EOMONTH(DATE($D$2,$B$2,1),0)),"",SUMIFS(DATA_GOC!$H:$H,DATA_GOC!$A:$A,"BOM",DATA_GOC!$D:$D,$B242,DATA_GOC!$F:$F,"Xuất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2" s="61" t="str">
        <f>IF($B242="","",IF(U$4&gt;DAY(EOMONTH(DATE($D$2,$B$2,1),0)),"",SUMIFS(DATA_GOC!$H:$H,DATA_GOC!$A:$A,"BOM",DATA_GOC!$D:$D,$B242,DATA_GOC!$F:$F,"Xuất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2" s="61" t="str">
        <f>IF($B242="","",IF(V$4&gt;DAY(EOMONTH(DATE($D$2,$B$2,1),0)),"",SUMIFS(DATA_GOC!$H:$H,DATA_GOC!$A:$A,"BOM",DATA_GOC!$D:$D,$B242,DATA_GOC!$F:$F,"Xuất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2" s="61" t="str">
        <f>IF($B242="","",IF(W$4&gt;DAY(EOMONTH(DATE($D$2,$B$2,1),0)),"",SUMIFS(DATA_GOC!$H:$H,DATA_GOC!$A:$A,"BOM",DATA_GOC!$D:$D,$B242,DATA_GOC!$F:$F,"Xuất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2" s="61" t="str">
        <f>IF($B242="","",IF(X$4&gt;DAY(EOMONTH(DATE($D$2,$B$2,1),0)),"",SUMIFS(DATA_GOC!$H:$H,DATA_GOC!$A:$A,"BOM",DATA_GOC!$D:$D,$B242,DATA_GOC!$F:$F,"Xuất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2" s="61" t="str">
        <f>IF($B242="","",IF(Y$4&gt;DAY(EOMONTH(DATE($D$2,$B$2,1),0)),"",SUMIFS(DATA_GOC!$H:$H,DATA_GOC!$A:$A,"BOM",DATA_GOC!$D:$D,$B242,DATA_GOC!$F:$F,"Xuất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2" s="61" t="str">
        <f>IF($B242="","",IF(Z$4&gt;DAY(EOMONTH(DATE($D$2,$B$2,1),0)),"",SUMIFS(DATA_GOC!$H:$H,DATA_GOC!$A:$A,"BOM",DATA_GOC!$D:$D,$B242,DATA_GOC!$F:$F,"Xuất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2" s="61" t="str">
        <f>IF($B242="","",IF(AA$4&gt;DAY(EOMONTH(DATE($D$2,$B$2,1),0)),"",SUMIFS(DATA_GOC!$H:$H,DATA_GOC!$A:$A,"BOM",DATA_GOC!$D:$D,$B242,DATA_GOC!$F:$F,"Xuất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2" s="61" t="str">
        <f>IF($B242="","",IF(AB$4&gt;DAY(EOMONTH(DATE($D$2,$B$2,1),0)),"",SUMIFS(DATA_GOC!$H:$H,DATA_GOC!$A:$A,"BOM",DATA_GOC!$D:$D,$B242,DATA_GOC!$F:$F,"Xuất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2" s="61" t="str">
        <f>IF($B242="","",IF(AC$4&gt;DAY(EOMONTH(DATE($D$2,$B$2,1),0)),"",SUMIFS(DATA_GOC!$H:$H,DATA_GOC!$A:$A,"BOM",DATA_GOC!$D:$D,$B242,DATA_GOC!$F:$F,"Xuất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2" s="222" t="str">
        <f>IF($B242="","",IF(AD$4&gt;DAY(EOMONTH(DATE($D$2,$B$2,1),0)),"",SUMIFS(DATA_GOC!$H:$H,DATA_GOC!$A:$A,"BOM",DATA_GOC!$D:$D,$B242,DATA_GOC!$F:$F,"Xuất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2" s="222" t="str">
        <f>IF($B242="","",IF(AE$4&gt;DAY(EOMONTH(DATE($D$2,$B$2,1),0)),"",SUMIFS(DATA_GOC!$H:$H,DATA_GOC!$A:$A,"BOM",DATA_GOC!$D:$D,$B242,DATA_GOC!$F:$F,"Xuất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2" s="222" t="str">
        <f>IF($B242="","",IF(AF$4&gt;DAY(EOMONTH(DATE($D$2,$B$2,1),0)),"",SUMIFS(DATA_GOC!$H:$H,DATA_GOC!$A:$A,"BOM",DATA_GOC!$D:$D,$B242,DATA_GOC!$F:$F,"Xuất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2" s="222" t="str">
        <f>IF($B242="","",IF(AG$4&gt;DAY(EOMONTH(DATE($D$2,$B$2,1),0)),"",SUMIFS(DATA_GOC!$H:$H,DATA_GOC!$A:$A,"BOM",DATA_GOC!$D:$D,$B242,DATA_GOC!$F:$F,"Xuất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2" s="222" t="str">
        <f t="shared" si="2"/>
        <v/>
      </c>
      <c r="AI242" s="222" t="str">
        <f>IF($B242="","",SUMIFS(DATA_GOC!$H:$H,DATA_GOC!$A:$A,"BOM",DATA_GOC!$D:$D,$B242,DATA_GOC!$F:$F,"Bơm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2" s="222" t="str">
        <f t="shared" si="3"/>
        <v/>
      </c>
      <c r="AM242" s="222" t="str">
        <f>IF($B242="","",SUMIFS(DATA_GOC!$K:$K,DATA_GOC!$A:$A,"BOM",DATA_GOC!$D:$D,$B242,DATA_GOC!$G:$G,"DO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2" s="222" t="str">
        <f t="shared" si="4"/>
        <v/>
      </c>
      <c r="AO242" s="227" t="str">
        <f t="shared" si="5"/>
        <v/>
      </c>
      <c r="AP242" s="226" t="str">
        <f>IF($B242="","",IFERROR(AO242-(SUMIFS(DATA_GOC!$H:$H,DATA_GOC!$A:$A,"BOM",DATA_GOC!$D:$D,$B242,DATA_GOC!$F:$F,"Xuất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số",DATA_GOC!$B:$B,"&gt;="&amp;EDATE(DATE($D$2,$B$2,1),-1),DATA_GOC!$B:$B,"&lt;"&amp;DATE($D$2,$B$2,1))/SUMIFS(DATA_GOC!$K:$K,DATA_GOC!$A:$A,"BOM",DATA_GOC!$D:$D,$B242,DATA_GOC!$G:$G,"DO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3" ht="15.0" customHeight="1">
      <c r="A243" s="61" t="str">
        <f t="shared" si="1"/>
        <v/>
      </c>
      <c r="B243" s="61" t="str">
        <f t="array" ref="B243">IFERROR(INDEX(DANH_MUC!$E:$E,ROW()-1),"")</f>
        <v/>
      </c>
      <c r="C243" s="61" t="str">
        <f>IF($B243="","",IF(C$4&gt;DAY(EOMONTH(DATE($D$2,$B$2,1),0)),"",SUMIFS(DATA_GOC!$H:$H,DATA_GOC!$A:$A,"BOM",DATA_GOC!$D:$D,$B243,DATA_GOC!$F:$F,"Xuất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3" s="61" t="str">
        <f>IF($B243="","",IF(D$4&gt;DAY(EOMONTH(DATE($D$2,$B$2,1),0)),"",SUMIFS(DATA_GOC!$H:$H,DATA_GOC!$A:$A,"BOM",DATA_GOC!$D:$D,$B243,DATA_GOC!$F:$F,"Xuất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3" s="61" t="str">
        <f>IF($B243="","",IF(E$4&gt;DAY(EOMONTH(DATE($D$2,$B$2,1),0)),"",SUMIFS(DATA_GOC!$H:$H,DATA_GOC!$A:$A,"BOM",DATA_GOC!$D:$D,$B243,DATA_GOC!$F:$F,"Xuất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3" s="61" t="str">
        <f>IF($B243="","",IF(F$4&gt;DAY(EOMONTH(DATE($D$2,$B$2,1),0)),"",SUMIFS(DATA_GOC!$H:$H,DATA_GOC!$A:$A,"BOM",DATA_GOC!$D:$D,$B243,DATA_GOC!$F:$F,"Xuất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3" s="61" t="str">
        <f>IF($B243="","",IF(G$4&gt;DAY(EOMONTH(DATE($D$2,$B$2,1),0)),"",SUMIFS(DATA_GOC!$H:$H,DATA_GOC!$A:$A,"BOM",DATA_GOC!$D:$D,$B243,DATA_GOC!$F:$F,"Xuất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3" s="61" t="str">
        <f>IF($B243="","",IF(H$4&gt;DAY(EOMONTH(DATE($D$2,$B$2,1),0)),"",SUMIFS(DATA_GOC!$H:$H,DATA_GOC!$A:$A,"BOM",DATA_GOC!$D:$D,$B243,DATA_GOC!$F:$F,"Xuất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3" s="61" t="str">
        <f>IF($B243="","",IF(I$4&gt;DAY(EOMONTH(DATE($D$2,$B$2,1),0)),"",SUMIFS(DATA_GOC!$H:$H,DATA_GOC!$A:$A,"BOM",DATA_GOC!$D:$D,$B243,DATA_GOC!$F:$F,"Xuất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3" s="61" t="str">
        <f>IF($B243="","",IF(J$4&gt;DAY(EOMONTH(DATE($D$2,$B$2,1),0)),"",SUMIFS(DATA_GOC!$H:$H,DATA_GOC!$A:$A,"BOM",DATA_GOC!$D:$D,$B243,DATA_GOC!$F:$F,"Xuất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3" s="61" t="str">
        <f>IF($B243="","",IF(K$4&gt;DAY(EOMONTH(DATE($D$2,$B$2,1),0)),"",SUMIFS(DATA_GOC!$H:$H,DATA_GOC!$A:$A,"BOM",DATA_GOC!$D:$D,$B243,DATA_GOC!$F:$F,"Xuất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3" s="61" t="str">
        <f>IF($B243="","",IF(L$4&gt;DAY(EOMONTH(DATE($D$2,$B$2,1),0)),"",SUMIFS(DATA_GOC!$H:$H,DATA_GOC!$A:$A,"BOM",DATA_GOC!$D:$D,$B243,DATA_GOC!$F:$F,"Xuất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3" s="61" t="str">
        <f>IF($B243="","",IF(M$4&gt;DAY(EOMONTH(DATE($D$2,$B$2,1),0)),"",SUMIFS(DATA_GOC!$H:$H,DATA_GOC!$A:$A,"BOM",DATA_GOC!$D:$D,$B243,DATA_GOC!$F:$F,"Xuất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3" s="61" t="str">
        <f>IF($B243="","",IF(N$4&gt;DAY(EOMONTH(DATE($D$2,$B$2,1),0)),"",SUMIFS(DATA_GOC!$H:$H,DATA_GOC!$A:$A,"BOM",DATA_GOC!$D:$D,$B243,DATA_GOC!$F:$F,"Xuất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3" s="61" t="str">
        <f>IF($B243="","",IF(O$4&gt;DAY(EOMONTH(DATE($D$2,$B$2,1),0)),"",SUMIFS(DATA_GOC!$H:$H,DATA_GOC!$A:$A,"BOM",DATA_GOC!$D:$D,$B243,DATA_GOC!$F:$F,"Xuất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3" s="61" t="str">
        <f>IF($B243="","",IF(P$4&gt;DAY(EOMONTH(DATE($D$2,$B$2,1),0)),"",SUMIFS(DATA_GOC!$H:$H,DATA_GOC!$A:$A,"BOM",DATA_GOC!$D:$D,$B243,DATA_GOC!$F:$F,"Xuất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3" s="61" t="str">
        <f>IF($B243="","",IF(Q$4&gt;DAY(EOMONTH(DATE($D$2,$B$2,1),0)),"",SUMIFS(DATA_GOC!$H:$H,DATA_GOC!$A:$A,"BOM",DATA_GOC!$D:$D,$B243,DATA_GOC!$F:$F,"Xuất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3" s="61" t="str">
        <f>IF($B243="","",IF(R$4&gt;DAY(EOMONTH(DATE($D$2,$B$2,1),0)),"",SUMIFS(DATA_GOC!$H:$H,DATA_GOC!$A:$A,"BOM",DATA_GOC!$D:$D,$B243,DATA_GOC!$F:$F,"Xuất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3" s="61" t="str">
        <f>IF($B243="","",IF(S$4&gt;DAY(EOMONTH(DATE($D$2,$B$2,1),0)),"",SUMIFS(DATA_GOC!$H:$H,DATA_GOC!$A:$A,"BOM",DATA_GOC!$D:$D,$B243,DATA_GOC!$F:$F,"Xuất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3" s="61" t="str">
        <f>IF($B243="","",IF(T$4&gt;DAY(EOMONTH(DATE($D$2,$B$2,1),0)),"",SUMIFS(DATA_GOC!$H:$H,DATA_GOC!$A:$A,"BOM",DATA_GOC!$D:$D,$B243,DATA_GOC!$F:$F,"Xuất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3" s="61" t="str">
        <f>IF($B243="","",IF(U$4&gt;DAY(EOMONTH(DATE($D$2,$B$2,1),0)),"",SUMIFS(DATA_GOC!$H:$H,DATA_GOC!$A:$A,"BOM",DATA_GOC!$D:$D,$B243,DATA_GOC!$F:$F,"Xuất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3" s="61" t="str">
        <f>IF($B243="","",IF(V$4&gt;DAY(EOMONTH(DATE($D$2,$B$2,1),0)),"",SUMIFS(DATA_GOC!$H:$H,DATA_GOC!$A:$A,"BOM",DATA_GOC!$D:$D,$B243,DATA_GOC!$F:$F,"Xuất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3" s="61" t="str">
        <f>IF($B243="","",IF(W$4&gt;DAY(EOMONTH(DATE($D$2,$B$2,1),0)),"",SUMIFS(DATA_GOC!$H:$H,DATA_GOC!$A:$A,"BOM",DATA_GOC!$D:$D,$B243,DATA_GOC!$F:$F,"Xuất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3" s="61" t="str">
        <f>IF($B243="","",IF(X$4&gt;DAY(EOMONTH(DATE($D$2,$B$2,1),0)),"",SUMIFS(DATA_GOC!$H:$H,DATA_GOC!$A:$A,"BOM",DATA_GOC!$D:$D,$B243,DATA_GOC!$F:$F,"Xuất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3" s="61" t="str">
        <f>IF($B243="","",IF(Y$4&gt;DAY(EOMONTH(DATE($D$2,$B$2,1),0)),"",SUMIFS(DATA_GOC!$H:$H,DATA_GOC!$A:$A,"BOM",DATA_GOC!$D:$D,$B243,DATA_GOC!$F:$F,"Xuất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3" s="61" t="str">
        <f>IF($B243="","",IF(Z$4&gt;DAY(EOMONTH(DATE($D$2,$B$2,1),0)),"",SUMIFS(DATA_GOC!$H:$H,DATA_GOC!$A:$A,"BOM",DATA_GOC!$D:$D,$B243,DATA_GOC!$F:$F,"Xuất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3" s="61" t="str">
        <f>IF($B243="","",IF(AA$4&gt;DAY(EOMONTH(DATE($D$2,$B$2,1),0)),"",SUMIFS(DATA_GOC!$H:$H,DATA_GOC!$A:$A,"BOM",DATA_GOC!$D:$D,$B243,DATA_GOC!$F:$F,"Xuất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3" s="61" t="str">
        <f>IF($B243="","",IF(AB$4&gt;DAY(EOMONTH(DATE($D$2,$B$2,1),0)),"",SUMIFS(DATA_GOC!$H:$H,DATA_GOC!$A:$A,"BOM",DATA_GOC!$D:$D,$B243,DATA_GOC!$F:$F,"Xuất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3" s="61" t="str">
        <f>IF($B243="","",IF(AC$4&gt;DAY(EOMONTH(DATE($D$2,$B$2,1),0)),"",SUMIFS(DATA_GOC!$H:$H,DATA_GOC!$A:$A,"BOM",DATA_GOC!$D:$D,$B243,DATA_GOC!$F:$F,"Xuất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3" s="222" t="str">
        <f>IF($B243="","",IF(AD$4&gt;DAY(EOMONTH(DATE($D$2,$B$2,1),0)),"",SUMIFS(DATA_GOC!$H:$H,DATA_GOC!$A:$A,"BOM",DATA_GOC!$D:$D,$B243,DATA_GOC!$F:$F,"Xuất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3" s="222" t="str">
        <f>IF($B243="","",IF(AE$4&gt;DAY(EOMONTH(DATE($D$2,$B$2,1),0)),"",SUMIFS(DATA_GOC!$H:$H,DATA_GOC!$A:$A,"BOM",DATA_GOC!$D:$D,$B243,DATA_GOC!$F:$F,"Xuất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3" s="222" t="str">
        <f>IF($B243="","",IF(AF$4&gt;DAY(EOMONTH(DATE($D$2,$B$2,1),0)),"",SUMIFS(DATA_GOC!$H:$H,DATA_GOC!$A:$A,"BOM",DATA_GOC!$D:$D,$B243,DATA_GOC!$F:$F,"Xuất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3" s="222" t="str">
        <f>IF($B243="","",IF(AG$4&gt;DAY(EOMONTH(DATE($D$2,$B$2,1),0)),"",SUMIFS(DATA_GOC!$H:$H,DATA_GOC!$A:$A,"BOM",DATA_GOC!$D:$D,$B243,DATA_GOC!$F:$F,"Xuất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3" s="222" t="str">
        <f t="shared" si="2"/>
        <v/>
      </c>
      <c r="AI243" s="222" t="str">
        <f>IF($B243="","",SUMIFS(DATA_GOC!$H:$H,DATA_GOC!$A:$A,"BOM",DATA_GOC!$D:$D,$B243,DATA_GOC!$F:$F,"Bơm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3" s="222" t="str">
        <f t="shared" si="3"/>
        <v/>
      </c>
      <c r="AM243" s="222" t="str">
        <f>IF($B243="","",SUMIFS(DATA_GOC!$K:$K,DATA_GOC!$A:$A,"BOM",DATA_GOC!$D:$D,$B243,DATA_GOC!$G:$G,"DO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3" s="222" t="str">
        <f t="shared" si="4"/>
        <v/>
      </c>
      <c r="AO243" s="227" t="str">
        <f t="shared" si="5"/>
        <v/>
      </c>
      <c r="AP243" s="226" t="str">
        <f>IF($B243="","",IFERROR(AO243-(SUMIFS(DATA_GOC!$H:$H,DATA_GOC!$A:$A,"BOM",DATA_GOC!$D:$D,$B243,DATA_GOC!$F:$F,"Xuất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số",DATA_GOC!$B:$B,"&gt;="&amp;EDATE(DATE($D$2,$B$2,1),-1),DATA_GOC!$B:$B,"&lt;"&amp;DATE($D$2,$B$2,1))/SUMIFS(DATA_GOC!$K:$K,DATA_GOC!$A:$A,"BOM",DATA_GOC!$D:$D,$B243,DATA_GOC!$G:$G,"DO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4" ht="15.0" customHeight="1">
      <c r="A244" s="61" t="str">
        <f t="shared" si="1"/>
        <v/>
      </c>
      <c r="B244" s="61" t="str">
        <f t="array" ref="B244">IFERROR(INDEX(DANH_MUC!$E:$E,ROW()-1),"")</f>
        <v/>
      </c>
      <c r="C244" s="61" t="str">
        <f>IF($B244="","",IF(C$4&gt;DAY(EOMONTH(DATE($D$2,$B$2,1),0)),"",SUMIFS(DATA_GOC!$H:$H,DATA_GOC!$A:$A,"BOM",DATA_GOC!$D:$D,$B244,DATA_GOC!$F:$F,"Xuất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4" s="61" t="str">
        <f>IF($B244="","",IF(D$4&gt;DAY(EOMONTH(DATE($D$2,$B$2,1),0)),"",SUMIFS(DATA_GOC!$H:$H,DATA_GOC!$A:$A,"BOM",DATA_GOC!$D:$D,$B244,DATA_GOC!$F:$F,"Xuất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4" s="61" t="str">
        <f>IF($B244="","",IF(E$4&gt;DAY(EOMONTH(DATE($D$2,$B$2,1),0)),"",SUMIFS(DATA_GOC!$H:$H,DATA_GOC!$A:$A,"BOM",DATA_GOC!$D:$D,$B244,DATA_GOC!$F:$F,"Xuất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4" s="61" t="str">
        <f>IF($B244="","",IF(F$4&gt;DAY(EOMONTH(DATE($D$2,$B$2,1),0)),"",SUMIFS(DATA_GOC!$H:$H,DATA_GOC!$A:$A,"BOM",DATA_GOC!$D:$D,$B244,DATA_GOC!$F:$F,"Xuất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4" s="61" t="str">
        <f>IF($B244="","",IF(G$4&gt;DAY(EOMONTH(DATE($D$2,$B$2,1),0)),"",SUMIFS(DATA_GOC!$H:$H,DATA_GOC!$A:$A,"BOM",DATA_GOC!$D:$D,$B244,DATA_GOC!$F:$F,"Xuất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4" s="61" t="str">
        <f>IF($B244="","",IF(H$4&gt;DAY(EOMONTH(DATE($D$2,$B$2,1),0)),"",SUMIFS(DATA_GOC!$H:$H,DATA_GOC!$A:$A,"BOM",DATA_GOC!$D:$D,$B244,DATA_GOC!$F:$F,"Xuất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4" s="61" t="str">
        <f>IF($B244="","",IF(I$4&gt;DAY(EOMONTH(DATE($D$2,$B$2,1),0)),"",SUMIFS(DATA_GOC!$H:$H,DATA_GOC!$A:$A,"BOM",DATA_GOC!$D:$D,$B244,DATA_GOC!$F:$F,"Xuất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4" s="61" t="str">
        <f>IF($B244="","",IF(J$4&gt;DAY(EOMONTH(DATE($D$2,$B$2,1),0)),"",SUMIFS(DATA_GOC!$H:$H,DATA_GOC!$A:$A,"BOM",DATA_GOC!$D:$D,$B244,DATA_GOC!$F:$F,"Xuất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4" s="61" t="str">
        <f>IF($B244="","",IF(K$4&gt;DAY(EOMONTH(DATE($D$2,$B$2,1),0)),"",SUMIFS(DATA_GOC!$H:$H,DATA_GOC!$A:$A,"BOM",DATA_GOC!$D:$D,$B244,DATA_GOC!$F:$F,"Xuất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4" s="61" t="str">
        <f>IF($B244="","",IF(L$4&gt;DAY(EOMONTH(DATE($D$2,$B$2,1),0)),"",SUMIFS(DATA_GOC!$H:$H,DATA_GOC!$A:$A,"BOM",DATA_GOC!$D:$D,$B244,DATA_GOC!$F:$F,"Xuất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4" s="61" t="str">
        <f>IF($B244="","",IF(M$4&gt;DAY(EOMONTH(DATE($D$2,$B$2,1),0)),"",SUMIFS(DATA_GOC!$H:$H,DATA_GOC!$A:$A,"BOM",DATA_GOC!$D:$D,$B244,DATA_GOC!$F:$F,"Xuất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4" s="61" t="str">
        <f>IF($B244="","",IF(N$4&gt;DAY(EOMONTH(DATE($D$2,$B$2,1),0)),"",SUMIFS(DATA_GOC!$H:$H,DATA_GOC!$A:$A,"BOM",DATA_GOC!$D:$D,$B244,DATA_GOC!$F:$F,"Xuất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4" s="61" t="str">
        <f>IF($B244="","",IF(O$4&gt;DAY(EOMONTH(DATE($D$2,$B$2,1),0)),"",SUMIFS(DATA_GOC!$H:$H,DATA_GOC!$A:$A,"BOM",DATA_GOC!$D:$D,$B244,DATA_GOC!$F:$F,"Xuất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4" s="61" t="str">
        <f>IF($B244="","",IF(P$4&gt;DAY(EOMONTH(DATE($D$2,$B$2,1),0)),"",SUMIFS(DATA_GOC!$H:$H,DATA_GOC!$A:$A,"BOM",DATA_GOC!$D:$D,$B244,DATA_GOC!$F:$F,"Xuất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4" s="61" t="str">
        <f>IF($B244="","",IF(Q$4&gt;DAY(EOMONTH(DATE($D$2,$B$2,1),0)),"",SUMIFS(DATA_GOC!$H:$H,DATA_GOC!$A:$A,"BOM",DATA_GOC!$D:$D,$B244,DATA_GOC!$F:$F,"Xuất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4" s="61" t="str">
        <f>IF($B244="","",IF(R$4&gt;DAY(EOMONTH(DATE($D$2,$B$2,1),0)),"",SUMIFS(DATA_GOC!$H:$H,DATA_GOC!$A:$A,"BOM",DATA_GOC!$D:$D,$B244,DATA_GOC!$F:$F,"Xuất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4" s="61" t="str">
        <f>IF($B244="","",IF(S$4&gt;DAY(EOMONTH(DATE($D$2,$B$2,1),0)),"",SUMIFS(DATA_GOC!$H:$H,DATA_GOC!$A:$A,"BOM",DATA_GOC!$D:$D,$B244,DATA_GOC!$F:$F,"Xuất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4" s="61" t="str">
        <f>IF($B244="","",IF(T$4&gt;DAY(EOMONTH(DATE($D$2,$B$2,1),0)),"",SUMIFS(DATA_GOC!$H:$H,DATA_GOC!$A:$A,"BOM",DATA_GOC!$D:$D,$B244,DATA_GOC!$F:$F,"Xuất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4" s="61" t="str">
        <f>IF($B244="","",IF(U$4&gt;DAY(EOMONTH(DATE($D$2,$B$2,1),0)),"",SUMIFS(DATA_GOC!$H:$H,DATA_GOC!$A:$A,"BOM",DATA_GOC!$D:$D,$B244,DATA_GOC!$F:$F,"Xuất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4" s="61" t="str">
        <f>IF($B244="","",IF(V$4&gt;DAY(EOMONTH(DATE($D$2,$B$2,1),0)),"",SUMIFS(DATA_GOC!$H:$H,DATA_GOC!$A:$A,"BOM",DATA_GOC!$D:$D,$B244,DATA_GOC!$F:$F,"Xuất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4" s="61" t="str">
        <f>IF($B244="","",IF(W$4&gt;DAY(EOMONTH(DATE($D$2,$B$2,1),0)),"",SUMIFS(DATA_GOC!$H:$H,DATA_GOC!$A:$A,"BOM",DATA_GOC!$D:$D,$B244,DATA_GOC!$F:$F,"Xuất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4" s="61" t="str">
        <f>IF($B244="","",IF(X$4&gt;DAY(EOMONTH(DATE($D$2,$B$2,1),0)),"",SUMIFS(DATA_GOC!$H:$H,DATA_GOC!$A:$A,"BOM",DATA_GOC!$D:$D,$B244,DATA_GOC!$F:$F,"Xuất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4" s="61" t="str">
        <f>IF($B244="","",IF(Y$4&gt;DAY(EOMONTH(DATE($D$2,$B$2,1),0)),"",SUMIFS(DATA_GOC!$H:$H,DATA_GOC!$A:$A,"BOM",DATA_GOC!$D:$D,$B244,DATA_GOC!$F:$F,"Xuất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4" s="61" t="str">
        <f>IF($B244="","",IF(Z$4&gt;DAY(EOMONTH(DATE($D$2,$B$2,1),0)),"",SUMIFS(DATA_GOC!$H:$H,DATA_GOC!$A:$A,"BOM",DATA_GOC!$D:$D,$B244,DATA_GOC!$F:$F,"Xuất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4" s="61" t="str">
        <f>IF($B244="","",IF(AA$4&gt;DAY(EOMONTH(DATE($D$2,$B$2,1),0)),"",SUMIFS(DATA_GOC!$H:$H,DATA_GOC!$A:$A,"BOM",DATA_GOC!$D:$D,$B244,DATA_GOC!$F:$F,"Xuất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4" s="61" t="str">
        <f>IF($B244="","",IF(AB$4&gt;DAY(EOMONTH(DATE($D$2,$B$2,1),0)),"",SUMIFS(DATA_GOC!$H:$H,DATA_GOC!$A:$A,"BOM",DATA_GOC!$D:$D,$B244,DATA_GOC!$F:$F,"Xuất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4" s="61" t="str">
        <f>IF($B244="","",IF(AC$4&gt;DAY(EOMONTH(DATE($D$2,$B$2,1),0)),"",SUMIFS(DATA_GOC!$H:$H,DATA_GOC!$A:$A,"BOM",DATA_GOC!$D:$D,$B244,DATA_GOC!$F:$F,"Xuất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4" s="222" t="str">
        <f>IF($B244="","",IF(AD$4&gt;DAY(EOMONTH(DATE($D$2,$B$2,1),0)),"",SUMIFS(DATA_GOC!$H:$H,DATA_GOC!$A:$A,"BOM",DATA_GOC!$D:$D,$B244,DATA_GOC!$F:$F,"Xuất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4" s="222" t="str">
        <f>IF($B244="","",IF(AE$4&gt;DAY(EOMONTH(DATE($D$2,$B$2,1),0)),"",SUMIFS(DATA_GOC!$H:$H,DATA_GOC!$A:$A,"BOM",DATA_GOC!$D:$D,$B244,DATA_GOC!$F:$F,"Xuất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4" s="222" t="str">
        <f>IF($B244="","",IF(AF$4&gt;DAY(EOMONTH(DATE($D$2,$B$2,1),0)),"",SUMIFS(DATA_GOC!$H:$H,DATA_GOC!$A:$A,"BOM",DATA_GOC!$D:$D,$B244,DATA_GOC!$F:$F,"Xuất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4" s="222" t="str">
        <f>IF($B244="","",IF(AG$4&gt;DAY(EOMONTH(DATE($D$2,$B$2,1),0)),"",SUMIFS(DATA_GOC!$H:$H,DATA_GOC!$A:$A,"BOM",DATA_GOC!$D:$D,$B244,DATA_GOC!$F:$F,"Xuất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4" s="222" t="str">
        <f t="shared" si="2"/>
        <v/>
      </c>
      <c r="AI244" s="222" t="str">
        <f>IF($B244="","",SUMIFS(DATA_GOC!$H:$H,DATA_GOC!$A:$A,"BOM",DATA_GOC!$D:$D,$B244,DATA_GOC!$F:$F,"Bơm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4" s="222" t="str">
        <f t="shared" si="3"/>
        <v/>
      </c>
      <c r="AM244" s="222" t="str">
        <f>IF($B244="","",SUMIFS(DATA_GOC!$K:$K,DATA_GOC!$A:$A,"BOM",DATA_GOC!$D:$D,$B244,DATA_GOC!$G:$G,"DO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4" s="222" t="str">
        <f t="shared" si="4"/>
        <v/>
      </c>
      <c r="AO244" s="227" t="str">
        <f t="shared" si="5"/>
        <v/>
      </c>
      <c r="AP244" s="226" t="str">
        <f>IF($B244="","",IFERROR(AO244-(SUMIFS(DATA_GOC!$H:$H,DATA_GOC!$A:$A,"BOM",DATA_GOC!$D:$D,$B244,DATA_GOC!$F:$F,"Xuất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số",DATA_GOC!$B:$B,"&gt;="&amp;EDATE(DATE($D$2,$B$2,1),-1),DATA_GOC!$B:$B,"&lt;"&amp;DATE($D$2,$B$2,1))/SUMIFS(DATA_GOC!$K:$K,DATA_GOC!$A:$A,"BOM",DATA_GOC!$D:$D,$B244,DATA_GOC!$G:$G,"DO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5" ht="15.0" customHeight="1">
      <c r="A245" s="61" t="str">
        <f t="shared" si="1"/>
        <v/>
      </c>
      <c r="B245" s="61" t="str">
        <f t="array" ref="B245">IFERROR(INDEX(DANH_MUC!$E:$E,ROW()-1),"")</f>
        <v/>
      </c>
      <c r="C245" s="61" t="str">
        <f>IF($B245="","",IF(C$4&gt;DAY(EOMONTH(DATE($D$2,$B$2,1),0)),"",SUMIFS(DATA_GOC!$H:$H,DATA_GOC!$A:$A,"BOM",DATA_GOC!$D:$D,$B245,DATA_GOC!$F:$F,"Xuất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5" s="61" t="str">
        <f>IF($B245="","",IF(D$4&gt;DAY(EOMONTH(DATE($D$2,$B$2,1),0)),"",SUMIFS(DATA_GOC!$H:$H,DATA_GOC!$A:$A,"BOM",DATA_GOC!$D:$D,$B245,DATA_GOC!$F:$F,"Xuất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5" s="61" t="str">
        <f>IF($B245="","",IF(E$4&gt;DAY(EOMONTH(DATE($D$2,$B$2,1),0)),"",SUMIFS(DATA_GOC!$H:$H,DATA_GOC!$A:$A,"BOM",DATA_GOC!$D:$D,$B245,DATA_GOC!$F:$F,"Xuất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5" s="61" t="str">
        <f>IF($B245="","",IF(F$4&gt;DAY(EOMONTH(DATE($D$2,$B$2,1),0)),"",SUMIFS(DATA_GOC!$H:$H,DATA_GOC!$A:$A,"BOM",DATA_GOC!$D:$D,$B245,DATA_GOC!$F:$F,"Xuất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5" s="61" t="str">
        <f>IF($B245="","",IF(G$4&gt;DAY(EOMONTH(DATE($D$2,$B$2,1),0)),"",SUMIFS(DATA_GOC!$H:$H,DATA_GOC!$A:$A,"BOM",DATA_GOC!$D:$D,$B245,DATA_GOC!$F:$F,"Xuất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5" s="61" t="str">
        <f>IF($B245="","",IF(H$4&gt;DAY(EOMONTH(DATE($D$2,$B$2,1),0)),"",SUMIFS(DATA_GOC!$H:$H,DATA_GOC!$A:$A,"BOM",DATA_GOC!$D:$D,$B245,DATA_GOC!$F:$F,"Xuất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5" s="61" t="str">
        <f>IF($B245="","",IF(I$4&gt;DAY(EOMONTH(DATE($D$2,$B$2,1),0)),"",SUMIFS(DATA_GOC!$H:$H,DATA_GOC!$A:$A,"BOM",DATA_GOC!$D:$D,$B245,DATA_GOC!$F:$F,"Xuất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5" s="61" t="str">
        <f>IF($B245="","",IF(J$4&gt;DAY(EOMONTH(DATE($D$2,$B$2,1),0)),"",SUMIFS(DATA_GOC!$H:$H,DATA_GOC!$A:$A,"BOM",DATA_GOC!$D:$D,$B245,DATA_GOC!$F:$F,"Xuất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5" s="61" t="str">
        <f>IF($B245="","",IF(K$4&gt;DAY(EOMONTH(DATE($D$2,$B$2,1),0)),"",SUMIFS(DATA_GOC!$H:$H,DATA_GOC!$A:$A,"BOM",DATA_GOC!$D:$D,$B245,DATA_GOC!$F:$F,"Xuất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5" s="61" t="str">
        <f>IF($B245="","",IF(L$4&gt;DAY(EOMONTH(DATE($D$2,$B$2,1),0)),"",SUMIFS(DATA_GOC!$H:$H,DATA_GOC!$A:$A,"BOM",DATA_GOC!$D:$D,$B245,DATA_GOC!$F:$F,"Xuất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5" s="61" t="str">
        <f>IF($B245="","",IF(M$4&gt;DAY(EOMONTH(DATE($D$2,$B$2,1),0)),"",SUMIFS(DATA_GOC!$H:$H,DATA_GOC!$A:$A,"BOM",DATA_GOC!$D:$D,$B245,DATA_GOC!$F:$F,"Xuất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5" s="61" t="str">
        <f>IF($B245="","",IF(N$4&gt;DAY(EOMONTH(DATE($D$2,$B$2,1),0)),"",SUMIFS(DATA_GOC!$H:$H,DATA_GOC!$A:$A,"BOM",DATA_GOC!$D:$D,$B245,DATA_GOC!$F:$F,"Xuất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5" s="61" t="str">
        <f>IF($B245="","",IF(O$4&gt;DAY(EOMONTH(DATE($D$2,$B$2,1),0)),"",SUMIFS(DATA_GOC!$H:$H,DATA_GOC!$A:$A,"BOM",DATA_GOC!$D:$D,$B245,DATA_GOC!$F:$F,"Xuất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5" s="61" t="str">
        <f>IF($B245="","",IF(P$4&gt;DAY(EOMONTH(DATE($D$2,$B$2,1),0)),"",SUMIFS(DATA_GOC!$H:$H,DATA_GOC!$A:$A,"BOM",DATA_GOC!$D:$D,$B245,DATA_GOC!$F:$F,"Xuất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5" s="61" t="str">
        <f>IF($B245="","",IF(Q$4&gt;DAY(EOMONTH(DATE($D$2,$B$2,1),0)),"",SUMIFS(DATA_GOC!$H:$H,DATA_GOC!$A:$A,"BOM",DATA_GOC!$D:$D,$B245,DATA_GOC!$F:$F,"Xuất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5" s="61" t="str">
        <f>IF($B245="","",IF(R$4&gt;DAY(EOMONTH(DATE($D$2,$B$2,1),0)),"",SUMIFS(DATA_GOC!$H:$H,DATA_GOC!$A:$A,"BOM",DATA_GOC!$D:$D,$B245,DATA_GOC!$F:$F,"Xuất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5" s="61" t="str">
        <f>IF($B245="","",IF(S$4&gt;DAY(EOMONTH(DATE($D$2,$B$2,1),0)),"",SUMIFS(DATA_GOC!$H:$H,DATA_GOC!$A:$A,"BOM",DATA_GOC!$D:$D,$B245,DATA_GOC!$F:$F,"Xuất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5" s="61" t="str">
        <f>IF($B245="","",IF(T$4&gt;DAY(EOMONTH(DATE($D$2,$B$2,1),0)),"",SUMIFS(DATA_GOC!$H:$H,DATA_GOC!$A:$A,"BOM",DATA_GOC!$D:$D,$B245,DATA_GOC!$F:$F,"Xuất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5" s="61" t="str">
        <f>IF($B245="","",IF(U$4&gt;DAY(EOMONTH(DATE($D$2,$B$2,1),0)),"",SUMIFS(DATA_GOC!$H:$H,DATA_GOC!$A:$A,"BOM",DATA_GOC!$D:$D,$B245,DATA_GOC!$F:$F,"Xuất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5" s="61" t="str">
        <f>IF($B245="","",IF(V$4&gt;DAY(EOMONTH(DATE($D$2,$B$2,1),0)),"",SUMIFS(DATA_GOC!$H:$H,DATA_GOC!$A:$A,"BOM",DATA_GOC!$D:$D,$B245,DATA_GOC!$F:$F,"Xuất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5" s="61" t="str">
        <f>IF($B245="","",IF(W$4&gt;DAY(EOMONTH(DATE($D$2,$B$2,1),0)),"",SUMIFS(DATA_GOC!$H:$H,DATA_GOC!$A:$A,"BOM",DATA_GOC!$D:$D,$B245,DATA_GOC!$F:$F,"Xuất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5" s="61" t="str">
        <f>IF($B245="","",IF(X$4&gt;DAY(EOMONTH(DATE($D$2,$B$2,1),0)),"",SUMIFS(DATA_GOC!$H:$H,DATA_GOC!$A:$A,"BOM",DATA_GOC!$D:$D,$B245,DATA_GOC!$F:$F,"Xuất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5" s="61" t="str">
        <f>IF($B245="","",IF(Y$4&gt;DAY(EOMONTH(DATE($D$2,$B$2,1),0)),"",SUMIFS(DATA_GOC!$H:$H,DATA_GOC!$A:$A,"BOM",DATA_GOC!$D:$D,$B245,DATA_GOC!$F:$F,"Xuất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5" s="61" t="str">
        <f>IF($B245="","",IF(Z$4&gt;DAY(EOMONTH(DATE($D$2,$B$2,1),0)),"",SUMIFS(DATA_GOC!$H:$H,DATA_GOC!$A:$A,"BOM",DATA_GOC!$D:$D,$B245,DATA_GOC!$F:$F,"Xuất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5" s="61" t="str">
        <f>IF($B245="","",IF(AA$4&gt;DAY(EOMONTH(DATE($D$2,$B$2,1),0)),"",SUMIFS(DATA_GOC!$H:$H,DATA_GOC!$A:$A,"BOM",DATA_GOC!$D:$D,$B245,DATA_GOC!$F:$F,"Xuất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5" s="61" t="str">
        <f>IF($B245="","",IF(AB$4&gt;DAY(EOMONTH(DATE($D$2,$B$2,1),0)),"",SUMIFS(DATA_GOC!$H:$H,DATA_GOC!$A:$A,"BOM",DATA_GOC!$D:$D,$B245,DATA_GOC!$F:$F,"Xuất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5" s="61" t="str">
        <f>IF($B245="","",IF(AC$4&gt;DAY(EOMONTH(DATE($D$2,$B$2,1),0)),"",SUMIFS(DATA_GOC!$H:$H,DATA_GOC!$A:$A,"BOM",DATA_GOC!$D:$D,$B245,DATA_GOC!$F:$F,"Xuất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5" s="222" t="str">
        <f>IF($B245="","",IF(AD$4&gt;DAY(EOMONTH(DATE($D$2,$B$2,1),0)),"",SUMIFS(DATA_GOC!$H:$H,DATA_GOC!$A:$A,"BOM",DATA_GOC!$D:$D,$B245,DATA_GOC!$F:$F,"Xuất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5" s="222" t="str">
        <f>IF($B245="","",IF(AE$4&gt;DAY(EOMONTH(DATE($D$2,$B$2,1),0)),"",SUMIFS(DATA_GOC!$H:$H,DATA_GOC!$A:$A,"BOM",DATA_GOC!$D:$D,$B245,DATA_GOC!$F:$F,"Xuất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5" s="222" t="str">
        <f>IF($B245="","",IF(AF$4&gt;DAY(EOMONTH(DATE($D$2,$B$2,1),0)),"",SUMIFS(DATA_GOC!$H:$H,DATA_GOC!$A:$A,"BOM",DATA_GOC!$D:$D,$B245,DATA_GOC!$F:$F,"Xuất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5" s="222" t="str">
        <f>IF($B245="","",IF(AG$4&gt;DAY(EOMONTH(DATE($D$2,$B$2,1),0)),"",SUMIFS(DATA_GOC!$H:$H,DATA_GOC!$A:$A,"BOM",DATA_GOC!$D:$D,$B245,DATA_GOC!$F:$F,"Xuất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5" s="222" t="str">
        <f t="shared" si="2"/>
        <v/>
      </c>
      <c r="AI245" s="222" t="str">
        <f>IF($B245="","",SUMIFS(DATA_GOC!$H:$H,DATA_GOC!$A:$A,"BOM",DATA_GOC!$D:$D,$B245,DATA_GOC!$F:$F,"Bơm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5" s="222" t="str">
        <f t="shared" si="3"/>
        <v/>
      </c>
      <c r="AM245" s="222" t="str">
        <f>IF($B245="","",SUMIFS(DATA_GOC!$K:$K,DATA_GOC!$A:$A,"BOM",DATA_GOC!$D:$D,$B245,DATA_GOC!$G:$G,"DO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5" s="222" t="str">
        <f t="shared" si="4"/>
        <v/>
      </c>
      <c r="AO245" s="227" t="str">
        <f t="shared" si="5"/>
        <v/>
      </c>
      <c r="AP245" s="226" t="str">
        <f>IF($B245="","",IFERROR(AO245-(SUMIFS(DATA_GOC!$H:$H,DATA_GOC!$A:$A,"BOM",DATA_GOC!$D:$D,$B245,DATA_GOC!$F:$F,"Xuất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số",DATA_GOC!$B:$B,"&gt;="&amp;EDATE(DATE($D$2,$B$2,1),-1),DATA_GOC!$B:$B,"&lt;"&amp;DATE($D$2,$B$2,1))/SUMIFS(DATA_GOC!$K:$K,DATA_GOC!$A:$A,"BOM",DATA_GOC!$D:$D,$B245,DATA_GOC!$G:$G,"DO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6" ht="15.0" customHeight="1">
      <c r="A246" s="61" t="str">
        <f t="shared" si="1"/>
        <v/>
      </c>
      <c r="B246" s="61" t="str">
        <f t="array" ref="B246">IFERROR(INDEX(DANH_MUC!$E:$E,ROW()-1),"")</f>
        <v/>
      </c>
      <c r="C246" s="61" t="str">
        <f>IF($B246="","",IF(C$4&gt;DAY(EOMONTH(DATE($D$2,$B$2,1),0)),"",SUMIFS(DATA_GOC!$H:$H,DATA_GOC!$A:$A,"BOM",DATA_GOC!$D:$D,$B246,DATA_GOC!$F:$F,"Xuất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6" s="61" t="str">
        <f>IF($B246="","",IF(D$4&gt;DAY(EOMONTH(DATE($D$2,$B$2,1),0)),"",SUMIFS(DATA_GOC!$H:$H,DATA_GOC!$A:$A,"BOM",DATA_GOC!$D:$D,$B246,DATA_GOC!$F:$F,"Xuất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6" s="61" t="str">
        <f>IF($B246="","",IF(E$4&gt;DAY(EOMONTH(DATE($D$2,$B$2,1),0)),"",SUMIFS(DATA_GOC!$H:$H,DATA_GOC!$A:$A,"BOM",DATA_GOC!$D:$D,$B246,DATA_GOC!$F:$F,"Xuất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6" s="61" t="str">
        <f>IF($B246="","",IF(F$4&gt;DAY(EOMONTH(DATE($D$2,$B$2,1),0)),"",SUMIFS(DATA_GOC!$H:$H,DATA_GOC!$A:$A,"BOM",DATA_GOC!$D:$D,$B246,DATA_GOC!$F:$F,"Xuất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6" s="61" t="str">
        <f>IF($B246="","",IF(G$4&gt;DAY(EOMONTH(DATE($D$2,$B$2,1),0)),"",SUMIFS(DATA_GOC!$H:$H,DATA_GOC!$A:$A,"BOM",DATA_GOC!$D:$D,$B246,DATA_GOC!$F:$F,"Xuất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6" s="61" t="str">
        <f>IF($B246="","",IF(H$4&gt;DAY(EOMONTH(DATE($D$2,$B$2,1),0)),"",SUMIFS(DATA_GOC!$H:$H,DATA_GOC!$A:$A,"BOM",DATA_GOC!$D:$D,$B246,DATA_GOC!$F:$F,"Xuất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6" s="61" t="str">
        <f>IF($B246="","",IF(I$4&gt;DAY(EOMONTH(DATE($D$2,$B$2,1),0)),"",SUMIFS(DATA_GOC!$H:$H,DATA_GOC!$A:$A,"BOM",DATA_GOC!$D:$D,$B246,DATA_GOC!$F:$F,"Xuất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6" s="61" t="str">
        <f>IF($B246="","",IF(J$4&gt;DAY(EOMONTH(DATE($D$2,$B$2,1),0)),"",SUMIFS(DATA_GOC!$H:$H,DATA_GOC!$A:$A,"BOM",DATA_GOC!$D:$D,$B246,DATA_GOC!$F:$F,"Xuất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6" s="61" t="str">
        <f>IF($B246="","",IF(K$4&gt;DAY(EOMONTH(DATE($D$2,$B$2,1),0)),"",SUMIFS(DATA_GOC!$H:$H,DATA_GOC!$A:$A,"BOM",DATA_GOC!$D:$D,$B246,DATA_GOC!$F:$F,"Xuất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6" s="61" t="str">
        <f>IF($B246="","",IF(L$4&gt;DAY(EOMONTH(DATE($D$2,$B$2,1),0)),"",SUMIFS(DATA_GOC!$H:$H,DATA_GOC!$A:$A,"BOM",DATA_GOC!$D:$D,$B246,DATA_GOC!$F:$F,"Xuất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6" s="61" t="str">
        <f>IF($B246="","",IF(M$4&gt;DAY(EOMONTH(DATE($D$2,$B$2,1),0)),"",SUMIFS(DATA_GOC!$H:$H,DATA_GOC!$A:$A,"BOM",DATA_GOC!$D:$D,$B246,DATA_GOC!$F:$F,"Xuất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6" s="61" t="str">
        <f>IF($B246="","",IF(N$4&gt;DAY(EOMONTH(DATE($D$2,$B$2,1),0)),"",SUMIFS(DATA_GOC!$H:$H,DATA_GOC!$A:$A,"BOM",DATA_GOC!$D:$D,$B246,DATA_GOC!$F:$F,"Xuất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6" s="61" t="str">
        <f>IF($B246="","",IF(O$4&gt;DAY(EOMONTH(DATE($D$2,$B$2,1),0)),"",SUMIFS(DATA_GOC!$H:$H,DATA_GOC!$A:$A,"BOM",DATA_GOC!$D:$D,$B246,DATA_GOC!$F:$F,"Xuất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6" s="61" t="str">
        <f>IF($B246="","",IF(P$4&gt;DAY(EOMONTH(DATE($D$2,$B$2,1),0)),"",SUMIFS(DATA_GOC!$H:$H,DATA_GOC!$A:$A,"BOM",DATA_GOC!$D:$D,$B246,DATA_GOC!$F:$F,"Xuất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6" s="61" t="str">
        <f>IF($B246="","",IF(Q$4&gt;DAY(EOMONTH(DATE($D$2,$B$2,1),0)),"",SUMIFS(DATA_GOC!$H:$H,DATA_GOC!$A:$A,"BOM",DATA_GOC!$D:$D,$B246,DATA_GOC!$F:$F,"Xuất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6" s="61" t="str">
        <f>IF($B246="","",IF(R$4&gt;DAY(EOMONTH(DATE($D$2,$B$2,1),0)),"",SUMIFS(DATA_GOC!$H:$H,DATA_GOC!$A:$A,"BOM",DATA_GOC!$D:$D,$B246,DATA_GOC!$F:$F,"Xuất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6" s="61" t="str">
        <f>IF($B246="","",IF(S$4&gt;DAY(EOMONTH(DATE($D$2,$B$2,1),0)),"",SUMIFS(DATA_GOC!$H:$H,DATA_GOC!$A:$A,"BOM",DATA_GOC!$D:$D,$B246,DATA_GOC!$F:$F,"Xuất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6" s="61" t="str">
        <f>IF($B246="","",IF(T$4&gt;DAY(EOMONTH(DATE($D$2,$B$2,1),0)),"",SUMIFS(DATA_GOC!$H:$H,DATA_GOC!$A:$A,"BOM",DATA_GOC!$D:$D,$B246,DATA_GOC!$F:$F,"Xuất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6" s="61" t="str">
        <f>IF($B246="","",IF(U$4&gt;DAY(EOMONTH(DATE($D$2,$B$2,1),0)),"",SUMIFS(DATA_GOC!$H:$H,DATA_GOC!$A:$A,"BOM",DATA_GOC!$D:$D,$B246,DATA_GOC!$F:$F,"Xuất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6" s="61" t="str">
        <f>IF($B246="","",IF(V$4&gt;DAY(EOMONTH(DATE($D$2,$B$2,1),0)),"",SUMIFS(DATA_GOC!$H:$H,DATA_GOC!$A:$A,"BOM",DATA_GOC!$D:$D,$B246,DATA_GOC!$F:$F,"Xuất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6" s="61" t="str">
        <f>IF($B246="","",IF(W$4&gt;DAY(EOMONTH(DATE($D$2,$B$2,1),0)),"",SUMIFS(DATA_GOC!$H:$H,DATA_GOC!$A:$A,"BOM",DATA_GOC!$D:$D,$B246,DATA_GOC!$F:$F,"Xuất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6" s="61" t="str">
        <f>IF($B246="","",IF(X$4&gt;DAY(EOMONTH(DATE($D$2,$B$2,1),0)),"",SUMIFS(DATA_GOC!$H:$H,DATA_GOC!$A:$A,"BOM",DATA_GOC!$D:$D,$B246,DATA_GOC!$F:$F,"Xuất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6" s="61" t="str">
        <f>IF($B246="","",IF(Y$4&gt;DAY(EOMONTH(DATE($D$2,$B$2,1),0)),"",SUMIFS(DATA_GOC!$H:$H,DATA_GOC!$A:$A,"BOM",DATA_GOC!$D:$D,$B246,DATA_GOC!$F:$F,"Xuất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6" s="61" t="str">
        <f>IF($B246="","",IF(Z$4&gt;DAY(EOMONTH(DATE($D$2,$B$2,1),0)),"",SUMIFS(DATA_GOC!$H:$H,DATA_GOC!$A:$A,"BOM",DATA_GOC!$D:$D,$B246,DATA_GOC!$F:$F,"Xuất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6" s="61" t="str">
        <f>IF($B246="","",IF(AA$4&gt;DAY(EOMONTH(DATE($D$2,$B$2,1),0)),"",SUMIFS(DATA_GOC!$H:$H,DATA_GOC!$A:$A,"BOM",DATA_GOC!$D:$D,$B246,DATA_GOC!$F:$F,"Xuất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6" s="61" t="str">
        <f>IF($B246="","",IF(AB$4&gt;DAY(EOMONTH(DATE($D$2,$B$2,1),0)),"",SUMIFS(DATA_GOC!$H:$H,DATA_GOC!$A:$A,"BOM",DATA_GOC!$D:$D,$B246,DATA_GOC!$F:$F,"Xuất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6" s="61" t="str">
        <f>IF($B246="","",IF(AC$4&gt;DAY(EOMONTH(DATE($D$2,$B$2,1),0)),"",SUMIFS(DATA_GOC!$H:$H,DATA_GOC!$A:$A,"BOM",DATA_GOC!$D:$D,$B246,DATA_GOC!$F:$F,"Xuất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6" s="222" t="str">
        <f>IF($B246="","",IF(AD$4&gt;DAY(EOMONTH(DATE($D$2,$B$2,1),0)),"",SUMIFS(DATA_GOC!$H:$H,DATA_GOC!$A:$A,"BOM",DATA_GOC!$D:$D,$B246,DATA_GOC!$F:$F,"Xuất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6" s="222" t="str">
        <f>IF($B246="","",IF(AE$4&gt;DAY(EOMONTH(DATE($D$2,$B$2,1),0)),"",SUMIFS(DATA_GOC!$H:$H,DATA_GOC!$A:$A,"BOM",DATA_GOC!$D:$D,$B246,DATA_GOC!$F:$F,"Xuất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6" s="222" t="str">
        <f>IF($B246="","",IF(AF$4&gt;DAY(EOMONTH(DATE($D$2,$B$2,1),0)),"",SUMIFS(DATA_GOC!$H:$H,DATA_GOC!$A:$A,"BOM",DATA_GOC!$D:$D,$B246,DATA_GOC!$F:$F,"Xuất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6" s="222" t="str">
        <f>IF($B246="","",IF(AG$4&gt;DAY(EOMONTH(DATE($D$2,$B$2,1),0)),"",SUMIFS(DATA_GOC!$H:$H,DATA_GOC!$A:$A,"BOM",DATA_GOC!$D:$D,$B246,DATA_GOC!$F:$F,"Xuất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6" s="222" t="str">
        <f t="shared" si="2"/>
        <v/>
      </c>
      <c r="AI246" s="222" t="str">
        <f>IF($B246="","",SUMIFS(DATA_GOC!$H:$H,DATA_GOC!$A:$A,"BOM",DATA_GOC!$D:$D,$B246,DATA_GOC!$F:$F,"Bơm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6" s="222" t="str">
        <f t="shared" si="3"/>
        <v/>
      </c>
      <c r="AM246" s="222" t="str">
        <f>IF($B246="","",SUMIFS(DATA_GOC!$K:$K,DATA_GOC!$A:$A,"BOM",DATA_GOC!$D:$D,$B246,DATA_GOC!$G:$G,"DO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6" s="222" t="str">
        <f t="shared" si="4"/>
        <v/>
      </c>
      <c r="AO246" s="227" t="str">
        <f t="shared" si="5"/>
        <v/>
      </c>
      <c r="AP246" s="226" t="str">
        <f>IF($B246="","",IFERROR(AO246-(SUMIFS(DATA_GOC!$H:$H,DATA_GOC!$A:$A,"BOM",DATA_GOC!$D:$D,$B246,DATA_GOC!$F:$F,"Xuất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số",DATA_GOC!$B:$B,"&gt;="&amp;EDATE(DATE($D$2,$B$2,1),-1),DATA_GOC!$B:$B,"&lt;"&amp;DATE($D$2,$B$2,1))/SUMIFS(DATA_GOC!$K:$K,DATA_GOC!$A:$A,"BOM",DATA_GOC!$D:$D,$B246,DATA_GOC!$G:$G,"DO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7" ht="15.0" customHeight="1">
      <c r="A247" s="61" t="str">
        <f t="shared" si="1"/>
        <v/>
      </c>
      <c r="B247" s="61" t="str">
        <f t="array" ref="B247">IFERROR(INDEX(DANH_MUC!$E:$E,ROW()-1),"")</f>
        <v/>
      </c>
      <c r="C247" s="61" t="str">
        <f>IF($B247="","",IF(C$4&gt;DAY(EOMONTH(DATE($D$2,$B$2,1),0)),"",SUMIFS(DATA_GOC!$H:$H,DATA_GOC!$A:$A,"BOM",DATA_GOC!$D:$D,$B247,DATA_GOC!$F:$F,"Xuất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7" s="61" t="str">
        <f>IF($B247="","",IF(D$4&gt;DAY(EOMONTH(DATE($D$2,$B$2,1),0)),"",SUMIFS(DATA_GOC!$H:$H,DATA_GOC!$A:$A,"BOM",DATA_GOC!$D:$D,$B247,DATA_GOC!$F:$F,"Xuất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7" s="61" t="str">
        <f>IF($B247="","",IF(E$4&gt;DAY(EOMONTH(DATE($D$2,$B$2,1),0)),"",SUMIFS(DATA_GOC!$H:$H,DATA_GOC!$A:$A,"BOM",DATA_GOC!$D:$D,$B247,DATA_GOC!$F:$F,"Xuất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7" s="61" t="str">
        <f>IF($B247="","",IF(F$4&gt;DAY(EOMONTH(DATE($D$2,$B$2,1),0)),"",SUMIFS(DATA_GOC!$H:$H,DATA_GOC!$A:$A,"BOM",DATA_GOC!$D:$D,$B247,DATA_GOC!$F:$F,"Xuất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7" s="61" t="str">
        <f>IF($B247="","",IF(G$4&gt;DAY(EOMONTH(DATE($D$2,$B$2,1),0)),"",SUMIFS(DATA_GOC!$H:$H,DATA_GOC!$A:$A,"BOM",DATA_GOC!$D:$D,$B247,DATA_GOC!$F:$F,"Xuất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7" s="61" t="str">
        <f>IF($B247="","",IF(H$4&gt;DAY(EOMONTH(DATE($D$2,$B$2,1),0)),"",SUMIFS(DATA_GOC!$H:$H,DATA_GOC!$A:$A,"BOM",DATA_GOC!$D:$D,$B247,DATA_GOC!$F:$F,"Xuất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7" s="61" t="str">
        <f>IF($B247="","",IF(I$4&gt;DAY(EOMONTH(DATE($D$2,$B$2,1),0)),"",SUMIFS(DATA_GOC!$H:$H,DATA_GOC!$A:$A,"BOM",DATA_GOC!$D:$D,$B247,DATA_GOC!$F:$F,"Xuất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7" s="61" t="str">
        <f>IF($B247="","",IF(J$4&gt;DAY(EOMONTH(DATE($D$2,$B$2,1),0)),"",SUMIFS(DATA_GOC!$H:$H,DATA_GOC!$A:$A,"BOM",DATA_GOC!$D:$D,$B247,DATA_GOC!$F:$F,"Xuất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7" s="61" t="str">
        <f>IF($B247="","",IF(K$4&gt;DAY(EOMONTH(DATE($D$2,$B$2,1),0)),"",SUMIFS(DATA_GOC!$H:$H,DATA_GOC!$A:$A,"BOM",DATA_GOC!$D:$D,$B247,DATA_GOC!$F:$F,"Xuất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7" s="61" t="str">
        <f>IF($B247="","",IF(L$4&gt;DAY(EOMONTH(DATE($D$2,$B$2,1),0)),"",SUMIFS(DATA_GOC!$H:$H,DATA_GOC!$A:$A,"BOM",DATA_GOC!$D:$D,$B247,DATA_GOC!$F:$F,"Xuất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7" s="61" t="str">
        <f>IF($B247="","",IF(M$4&gt;DAY(EOMONTH(DATE($D$2,$B$2,1),0)),"",SUMIFS(DATA_GOC!$H:$H,DATA_GOC!$A:$A,"BOM",DATA_GOC!$D:$D,$B247,DATA_GOC!$F:$F,"Xuất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7" s="61" t="str">
        <f>IF($B247="","",IF(N$4&gt;DAY(EOMONTH(DATE($D$2,$B$2,1),0)),"",SUMIFS(DATA_GOC!$H:$H,DATA_GOC!$A:$A,"BOM",DATA_GOC!$D:$D,$B247,DATA_GOC!$F:$F,"Xuất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7" s="61" t="str">
        <f>IF($B247="","",IF(O$4&gt;DAY(EOMONTH(DATE($D$2,$B$2,1),0)),"",SUMIFS(DATA_GOC!$H:$H,DATA_GOC!$A:$A,"BOM",DATA_GOC!$D:$D,$B247,DATA_GOC!$F:$F,"Xuất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7" s="61" t="str">
        <f>IF($B247="","",IF(P$4&gt;DAY(EOMONTH(DATE($D$2,$B$2,1),0)),"",SUMIFS(DATA_GOC!$H:$H,DATA_GOC!$A:$A,"BOM",DATA_GOC!$D:$D,$B247,DATA_GOC!$F:$F,"Xuất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7" s="61" t="str">
        <f>IF($B247="","",IF(Q$4&gt;DAY(EOMONTH(DATE($D$2,$B$2,1),0)),"",SUMIFS(DATA_GOC!$H:$H,DATA_GOC!$A:$A,"BOM",DATA_GOC!$D:$D,$B247,DATA_GOC!$F:$F,"Xuất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7" s="61" t="str">
        <f>IF($B247="","",IF(R$4&gt;DAY(EOMONTH(DATE($D$2,$B$2,1),0)),"",SUMIFS(DATA_GOC!$H:$H,DATA_GOC!$A:$A,"BOM",DATA_GOC!$D:$D,$B247,DATA_GOC!$F:$F,"Xuất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7" s="61" t="str">
        <f>IF($B247="","",IF(S$4&gt;DAY(EOMONTH(DATE($D$2,$B$2,1),0)),"",SUMIFS(DATA_GOC!$H:$H,DATA_GOC!$A:$A,"BOM",DATA_GOC!$D:$D,$B247,DATA_GOC!$F:$F,"Xuất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7" s="61" t="str">
        <f>IF($B247="","",IF(T$4&gt;DAY(EOMONTH(DATE($D$2,$B$2,1),0)),"",SUMIFS(DATA_GOC!$H:$H,DATA_GOC!$A:$A,"BOM",DATA_GOC!$D:$D,$B247,DATA_GOC!$F:$F,"Xuất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7" s="61" t="str">
        <f>IF($B247="","",IF(U$4&gt;DAY(EOMONTH(DATE($D$2,$B$2,1),0)),"",SUMIFS(DATA_GOC!$H:$H,DATA_GOC!$A:$A,"BOM",DATA_GOC!$D:$D,$B247,DATA_GOC!$F:$F,"Xuất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7" s="61" t="str">
        <f>IF($B247="","",IF(V$4&gt;DAY(EOMONTH(DATE($D$2,$B$2,1),0)),"",SUMIFS(DATA_GOC!$H:$H,DATA_GOC!$A:$A,"BOM",DATA_GOC!$D:$D,$B247,DATA_GOC!$F:$F,"Xuất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7" s="61" t="str">
        <f>IF($B247="","",IF(W$4&gt;DAY(EOMONTH(DATE($D$2,$B$2,1),0)),"",SUMIFS(DATA_GOC!$H:$H,DATA_GOC!$A:$A,"BOM",DATA_GOC!$D:$D,$B247,DATA_GOC!$F:$F,"Xuất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7" s="61" t="str">
        <f>IF($B247="","",IF(X$4&gt;DAY(EOMONTH(DATE($D$2,$B$2,1),0)),"",SUMIFS(DATA_GOC!$H:$H,DATA_GOC!$A:$A,"BOM",DATA_GOC!$D:$D,$B247,DATA_GOC!$F:$F,"Xuất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7" s="61" t="str">
        <f>IF($B247="","",IF(Y$4&gt;DAY(EOMONTH(DATE($D$2,$B$2,1),0)),"",SUMIFS(DATA_GOC!$H:$H,DATA_GOC!$A:$A,"BOM",DATA_GOC!$D:$D,$B247,DATA_GOC!$F:$F,"Xuất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7" s="61" t="str">
        <f>IF($B247="","",IF(Z$4&gt;DAY(EOMONTH(DATE($D$2,$B$2,1),0)),"",SUMIFS(DATA_GOC!$H:$H,DATA_GOC!$A:$A,"BOM",DATA_GOC!$D:$D,$B247,DATA_GOC!$F:$F,"Xuất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7" s="61" t="str">
        <f>IF($B247="","",IF(AA$4&gt;DAY(EOMONTH(DATE($D$2,$B$2,1),0)),"",SUMIFS(DATA_GOC!$H:$H,DATA_GOC!$A:$A,"BOM",DATA_GOC!$D:$D,$B247,DATA_GOC!$F:$F,"Xuất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7" s="61" t="str">
        <f>IF($B247="","",IF(AB$4&gt;DAY(EOMONTH(DATE($D$2,$B$2,1),0)),"",SUMIFS(DATA_GOC!$H:$H,DATA_GOC!$A:$A,"BOM",DATA_GOC!$D:$D,$B247,DATA_GOC!$F:$F,"Xuất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7" s="61" t="str">
        <f>IF($B247="","",IF(AC$4&gt;DAY(EOMONTH(DATE($D$2,$B$2,1),0)),"",SUMIFS(DATA_GOC!$H:$H,DATA_GOC!$A:$A,"BOM",DATA_GOC!$D:$D,$B247,DATA_GOC!$F:$F,"Xuất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7" s="222" t="str">
        <f>IF($B247="","",IF(AD$4&gt;DAY(EOMONTH(DATE($D$2,$B$2,1),0)),"",SUMIFS(DATA_GOC!$H:$H,DATA_GOC!$A:$A,"BOM",DATA_GOC!$D:$D,$B247,DATA_GOC!$F:$F,"Xuất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7" s="222" t="str">
        <f>IF($B247="","",IF(AE$4&gt;DAY(EOMONTH(DATE($D$2,$B$2,1),0)),"",SUMIFS(DATA_GOC!$H:$H,DATA_GOC!$A:$A,"BOM",DATA_GOC!$D:$D,$B247,DATA_GOC!$F:$F,"Xuất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7" s="222" t="str">
        <f>IF($B247="","",IF(AF$4&gt;DAY(EOMONTH(DATE($D$2,$B$2,1),0)),"",SUMIFS(DATA_GOC!$H:$H,DATA_GOC!$A:$A,"BOM",DATA_GOC!$D:$D,$B247,DATA_GOC!$F:$F,"Xuất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7" s="222" t="str">
        <f>IF($B247="","",IF(AG$4&gt;DAY(EOMONTH(DATE($D$2,$B$2,1),0)),"",SUMIFS(DATA_GOC!$H:$H,DATA_GOC!$A:$A,"BOM",DATA_GOC!$D:$D,$B247,DATA_GOC!$F:$F,"Xuất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7" s="222" t="str">
        <f t="shared" si="2"/>
        <v/>
      </c>
      <c r="AI247" s="222" t="str">
        <f>IF($B247="","",SUMIFS(DATA_GOC!$H:$H,DATA_GOC!$A:$A,"BOM",DATA_GOC!$D:$D,$B247,DATA_GOC!$F:$F,"Bơm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7" s="222" t="str">
        <f t="shared" si="3"/>
        <v/>
      </c>
      <c r="AM247" s="222" t="str">
        <f>IF($B247="","",SUMIFS(DATA_GOC!$K:$K,DATA_GOC!$A:$A,"BOM",DATA_GOC!$D:$D,$B247,DATA_GOC!$G:$G,"DO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7" s="222" t="str">
        <f t="shared" si="4"/>
        <v/>
      </c>
      <c r="AO247" s="227" t="str">
        <f t="shared" si="5"/>
        <v/>
      </c>
      <c r="AP247" s="226" t="str">
        <f>IF($B247="","",IFERROR(AO247-(SUMIFS(DATA_GOC!$H:$H,DATA_GOC!$A:$A,"BOM",DATA_GOC!$D:$D,$B247,DATA_GOC!$F:$F,"Xuất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số",DATA_GOC!$B:$B,"&gt;="&amp;EDATE(DATE($D$2,$B$2,1),-1),DATA_GOC!$B:$B,"&lt;"&amp;DATE($D$2,$B$2,1))/SUMIFS(DATA_GOC!$K:$K,DATA_GOC!$A:$A,"BOM",DATA_GOC!$D:$D,$B247,DATA_GOC!$G:$G,"DO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8" ht="15.0" customHeight="1">
      <c r="A248" s="61" t="str">
        <f t="shared" si="1"/>
        <v/>
      </c>
      <c r="B248" s="61" t="str">
        <f t="array" ref="B248">IFERROR(INDEX(DANH_MUC!$E:$E,ROW()-1),"")</f>
        <v/>
      </c>
      <c r="C248" s="61" t="str">
        <f>IF($B248="","",IF(C$4&gt;DAY(EOMONTH(DATE($D$2,$B$2,1),0)),"",SUMIFS(DATA_GOC!$H:$H,DATA_GOC!$A:$A,"BOM",DATA_GOC!$D:$D,$B248,DATA_GOC!$F:$F,"Xuất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8" s="61" t="str">
        <f>IF($B248="","",IF(D$4&gt;DAY(EOMONTH(DATE($D$2,$B$2,1),0)),"",SUMIFS(DATA_GOC!$H:$H,DATA_GOC!$A:$A,"BOM",DATA_GOC!$D:$D,$B248,DATA_GOC!$F:$F,"Xuất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8" s="61" t="str">
        <f>IF($B248="","",IF(E$4&gt;DAY(EOMONTH(DATE($D$2,$B$2,1),0)),"",SUMIFS(DATA_GOC!$H:$H,DATA_GOC!$A:$A,"BOM",DATA_GOC!$D:$D,$B248,DATA_GOC!$F:$F,"Xuất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8" s="61" t="str">
        <f>IF($B248="","",IF(F$4&gt;DAY(EOMONTH(DATE($D$2,$B$2,1),0)),"",SUMIFS(DATA_GOC!$H:$H,DATA_GOC!$A:$A,"BOM",DATA_GOC!$D:$D,$B248,DATA_GOC!$F:$F,"Xuất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8" s="61" t="str">
        <f>IF($B248="","",IF(G$4&gt;DAY(EOMONTH(DATE($D$2,$B$2,1),0)),"",SUMIFS(DATA_GOC!$H:$H,DATA_GOC!$A:$A,"BOM",DATA_GOC!$D:$D,$B248,DATA_GOC!$F:$F,"Xuất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8" s="61" t="str">
        <f>IF($B248="","",IF(H$4&gt;DAY(EOMONTH(DATE($D$2,$B$2,1),0)),"",SUMIFS(DATA_GOC!$H:$H,DATA_GOC!$A:$A,"BOM",DATA_GOC!$D:$D,$B248,DATA_GOC!$F:$F,"Xuất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8" s="61" t="str">
        <f>IF($B248="","",IF(I$4&gt;DAY(EOMONTH(DATE($D$2,$B$2,1),0)),"",SUMIFS(DATA_GOC!$H:$H,DATA_GOC!$A:$A,"BOM",DATA_GOC!$D:$D,$B248,DATA_GOC!$F:$F,"Xuất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8" s="61" t="str">
        <f>IF($B248="","",IF(J$4&gt;DAY(EOMONTH(DATE($D$2,$B$2,1),0)),"",SUMIFS(DATA_GOC!$H:$H,DATA_GOC!$A:$A,"BOM",DATA_GOC!$D:$D,$B248,DATA_GOC!$F:$F,"Xuất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8" s="61" t="str">
        <f>IF($B248="","",IF(K$4&gt;DAY(EOMONTH(DATE($D$2,$B$2,1),0)),"",SUMIFS(DATA_GOC!$H:$H,DATA_GOC!$A:$A,"BOM",DATA_GOC!$D:$D,$B248,DATA_GOC!$F:$F,"Xuất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8" s="61" t="str">
        <f>IF($B248="","",IF(L$4&gt;DAY(EOMONTH(DATE($D$2,$B$2,1),0)),"",SUMIFS(DATA_GOC!$H:$H,DATA_GOC!$A:$A,"BOM",DATA_GOC!$D:$D,$B248,DATA_GOC!$F:$F,"Xuất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8" s="61" t="str">
        <f>IF($B248="","",IF(M$4&gt;DAY(EOMONTH(DATE($D$2,$B$2,1),0)),"",SUMIFS(DATA_GOC!$H:$H,DATA_GOC!$A:$A,"BOM",DATA_GOC!$D:$D,$B248,DATA_GOC!$F:$F,"Xuất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8" s="61" t="str">
        <f>IF($B248="","",IF(N$4&gt;DAY(EOMONTH(DATE($D$2,$B$2,1),0)),"",SUMIFS(DATA_GOC!$H:$H,DATA_GOC!$A:$A,"BOM",DATA_GOC!$D:$D,$B248,DATA_GOC!$F:$F,"Xuất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8" s="61" t="str">
        <f>IF($B248="","",IF(O$4&gt;DAY(EOMONTH(DATE($D$2,$B$2,1),0)),"",SUMIFS(DATA_GOC!$H:$H,DATA_GOC!$A:$A,"BOM",DATA_GOC!$D:$D,$B248,DATA_GOC!$F:$F,"Xuất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8" s="61" t="str">
        <f>IF($B248="","",IF(P$4&gt;DAY(EOMONTH(DATE($D$2,$B$2,1),0)),"",SUMIFS(DATA_GOC!$H:$H,DATA_GOC!$A:$A,"BOM",DATA_GOC!$D:$D,$B248,DATA_GOC!$F:$F,"Xuất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8" s="61" t="str">
        <f>IF($B248="","",IF(Q$4&gt;DAY(EOMONTH(DATE($D$2,$B$2,1),0)),"",SUMIFS(DATA_GOC!$H:$H,DATA_GOC!$A:$A,"BOM",DATA_GOC!$D:$D,$B248,DATA_GOC!$F:$F,"Xuất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8" s="61" t="str">
        <f>IF($B248="","",IF(R$4&gt;DAY(EOMONTH(DATE($D$2,$B$2,1),0)),"",SUMIFS(DATA_GOC!$H:$H,DATA_GOC!$A:$A,"BOM",DATA_GOC!$D:$D,$B248,DATA_GOC!$F:$F,"Xuất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8" s="61" t="str">
        <f>IF($B248="","",IF(S$4&gt;DAY(EOMONTH(DATE($D$2,$B$2,1),0)),"",SUMIFS(DATA_GOC!$H:$H,DATA_GOC!$A:$A,"BOM",DATA_GOC!$D:$D,$B248,DATA_GOC!$F:$F,"Xuất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8" s="61" t="str">
        <f>IF($B248="","",IF(T$4&gt;DAY(EOMONTH(DATE($D$2,$B$2,1),0)),"",SUMIFS(DATA_GOC!$H:$H,DATA_GOC!$A:$A,"BOM",DATA_GOC!$D:$D,$B248,DATA_GOC!$F:$F,"Xuất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8" s="61" t="str">
        <f>IF($B248="","",IF(U$4&gt;DAY(EOMONTH(DATE($D$2,$B$2,1),0)),"",SUMIFS(DATA_GOC!$H:$H,DATA_GOC!$A:$A,"BOM",DATA_GOC!$D:$D,$B248,DATA_GOC!$F:$F,"Xuất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8" s="61" t="str">
        <f>IF($B248="","",IF(V$4&gt;DAY(EOMONTH(DATE($D$2,$B$2,1),0)),"",SUMIFS(DATA_GOC!$H:$H,DATA_GOC!$A:$A,"BOM",DATA_GOC!$D:$D,$B248,DATA_GOC!$F:$F,"Xuất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8" s="61" t="str">
        <f>IF($B248="","",IF(W$4&gt;DAY(EOMONTH(DATE($D$2,$B$2,1),0)),"",SUMIFS(DATA_GOC!$H:$H,DATA_GOC!$A:$A,"BOM",DATA_GOC!$D:$D,$B248,DATA_GOC!$F:$F,"Xuất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8" s="61" t="str">
        <f>IF($B248="","",IF(X$4&gt;DAY(EOMONTH(DATE($D$2,$B$2,1),0)),"",SUMIFS(DATA_GOC!$H:$H,DATA_GOC!$A:$A,"BOM",DATA_GOC!$D:$D,$B248,DATA_GOC!$F:$F,"Xuất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8" s="61" t="str">
        <f>IF($B248="","",IF(Y$4&gt;DAY(EOMONTH(DATE($D$2,$B$2,1),0)),"",SUMIFS(DATA_GOC!$H:$H,DATA_GOC!$A:$A,"BOM",DATA_GOC!$D:$D,$B248,DATA_GOC!$F:$F,"Xuất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8" s="61" t="str">
        <f>IF($B248="","",IF(Z$4&gt;DAY(EOMONTH(DATE($D$2,$B$2,1),0)),"",SUMIFS(DATA_GOC!$H:$H,DATA_GOC!$A:$A,"BOM",DATA_GOC!$D:$D,$B248,DATA_GOC!$F:$F,"Xuất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8" s="61" t="str">
        <f>IF($B248="","",IF(AA$4&gt;DAY(EOMONTH(DATE($D$2,$B$2,1),0)),"",SUMIFS(DATA_GOC!$H:$H,DATA_GOC!$A:$A,"BOM",DATA_GOC!$D:$D,$B248,DATA_GOC!$F:$F,"Xuất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8" s="61" t="str">
        <f>IF($B248="","",IF(AB$4&gt;DAY(EOMONTH(DATE($D$2,$B$2,1),0)),"",SUMIFS(DATA_GOC!$H:$H,DATA_GOC!$A:$A,"BOM",DATA_GOC!$D:$D,$B248,DATA_GOC!$F:$F,"Xuất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8" s="61" t="str">
        <f>IF($B248="","",IF(AC$4&gt;DAY(EOMONTH(DATE($D$2,$B$2,1),0)),"",SUMIFS(DATA_GOC!$H:$H,DATA_GOC!$A:$A,"BOM",DATA_GOC!$D:$D,$B248,DATA_GOC!$F:$F,"Xuất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8" s="222" t="str">
        <f>IF($B248="","",IF(AD$4&gt;DAY(EOMONTH(DATE($D$2,$B$2,1),0)),"",SUMIFS(DATA_GOC!$H:$H,DATA_GOC!$A:$A,"BOM",DATA_GOC!$D:$D,$B248,DATA_GOC!$F:$F,"Xuất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8" s="222" t="str">
        <f>IF($B248="","",IF(AE$4&gt;DAY(EOMONTH(DATE($D$2,$B$2,1),0)),"",SUMIFS(DATA_GOC!$H:$H,DATA_GOC!$A:$A,"BOM",DATA_GOC!$D:$D,$B248,DATA_GOC!$F:$F,"Xuất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8" s="222" t="str">
        <f>IF($B248="","",IF(AF$4&gt;DAY(EOMONTH(DATE($D$2,$B$2,1),0)),"",SUMIFS(DATA_GOC!$H:$H,DATA_GOC!$A:$A,"BOM",DATA_GOC!$D:$D,$B248,DATA_GOC!$F:$F,"Xuất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8" s="222" t="str">
        <f>IF($B248="","",IF(AG$4&gt;DAY(EOMONTH(DATE($D$2,$B$2,1),0)),"",SUMIFS(DATA_GOC!$H:$H,DATA_GOC!$A:$A,"BOM",DATA_GOC!$D:$D,$B248,DATA_GOC!$F:$F,"Xuất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8" s="222" t="str">
        <f t="shared" si="2"/>
        <v/>
      </c>
      <c r="AI248" s="222" t="str">
        <f>IF($B248="","",SUMIFS(DATA_GOC!$H:$H,DATA_GOC!$A:$A,"BOM",DATA_GOC!$D:$D,$B248,DATA_GOC!$F:$F,"Bơm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8" s="222" t="str">
        <f t="shared" si="3"/>
        <v/>
      </c>
      <c r="AM248" s="222" t="str">
        <f>IF($B248="","",SUMIFS(DATA_GOC!$K:$K,DATA_GOC!$A:$A,"BOM",DATA_GOC!$D:$D,$B248,DATA_GOC!$G:$G,"DO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8" s="222" t="str">
        <f t="shared" si="4"/>
        <v/>
      </c>
      <c r="AO248" s="227" t="str">
        <f t="shared" si="5"/>
        <v/>
      </c>
      <c r="AP248" s="226" t="str">
        <f>IF($B248="","",IFERROR(AO248-(SUMIFS(DATA_GOC!$H:$H,DATA_GOC!$A:$A,"BOM",DATA_GOC!$D:$D,$B248,DATA_GOC!$F:$F,"Xuất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số",DATA_GOC!$B:$B,"&gt;="&amp;EDATE(DATE($D$2,$B$2,1),-1),DATA_GOC!$B:$B,"&lt;"&amp;DATE($D$2,$B$2,1))/SUMIFS(DATA_GOC!$K:$K,DATA_GOC!$A:$A,"BOM",DATA_GOC!$D:$D,$B248,DATA_GOC!$G:$G,"DO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49" ht="15.0" customHeight="1">
      <c r="A249" s="61" t="str">
        <f t="shared" si="1"/>
        <v/>
      </c>
      <c r="B249" s="61" t="str">
        <f t="array" ref="B249">IFERROR(INDEX(DANH_MUC!$E:$E,ROW()-1),"")</f>
        <v/>
      </c>
      <c r="C249" s="61" t="str">
        <f>IF($B249="","",IF(C$4&gt;DAY(EOMONTH(DATE($D$2,$B$2,1),0)),"",SUMIFS(DATA_GOC!$H:$H,DATA_GOC!$A:$A,"BOM",DATA_GOC!$D:$D,$B249,DATA_GOC!$F:$F,"Xuất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số",DATA_GOC!$B:$B,DATE($D$2,$B$2,C$4))))</f>
        <v/>
      </c>
      <c r="D249" s="61" t="str">
        <f>IF($B249="","",IF(D$4&gt;DAY(EOMONTH(DATE($D$2,$B$2,1),0)),"",SUMIFS(DATA_GOC!$H:$H,DATA_GOC!$A:$A,"BOM",DATA_GOC!$D:$D,$B249,DATA_GOC!$F:$F,"Xuất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số",DATA_GOC!$B:$B,DATE($D$2,$B$2,D$4))))</f>
        <v/>
      </c>
      <c r="E249" s="61" t="str">
        <f>IF($B249="","",IF(E$4&gt;DAY(EOMONTH(DATE($D$2,$B$2,1),0)),"",SUMIFS(DATA_GOC!$H:$H,DATA_GOC!$A:$A,"BOM",DATA_GOC!$D:$D,$B249,DATA_GOC!$F:$F,"Xuất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số",DATA_GOC!$B:$B,DATE($D$2,$B$2,E$4))))</f>
        <v/>
      </c>
      <c r="F249" s="61" t="str">
        <f>IF($B249="","",IF(F$4&gt;DAY(EOMONTH(DATE($D$2,$B$2,1),0)),"",SUMIFS(DATA_GOC!$H:$H,DATA_GOC!$A:$A,"BOM",DATA_GOC!$D:$D,$B249,DATA_GOC!$F:$F,"Xuất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số",DATA_GOC!$B:$B,DATE($D$2,$B$2,F$4))))</f>
        <v/>
      </c>
      <c r="G249" s="61" t="str">
        <f>IF($B249="","",IF(G$4&gt;DAY(EOMONTH(DATE($D$2,$B$2,1),0)),"",SUMIFS(DATA_GOC!$H:$H,DATA_GOC!$A:$A,"BOM",DATA_GOC!$D:$D,$B249,DATA_GOC!$F:$F,"Xuất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số",DATA_GOC!$B:$B,DATE($D$2,$B$2,G$4))))</f>
        <v/>
      </c>
      <c r="H249" s="61" t="str">
        <f>IF($B249="","",IF(H$4&gt;DAY(EOMONTH(DATE($D$2,$B$2,1),0)),"",SUMIFS(DATA_GOC!$H:$H,DATA_GOC!$A:$A,"BOM",DATA_GOC!$D:$D,$B249,DATA_GOC!$F:$F,"Xuất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số",DATA_GOC!$B:$B,DATE($D$2,$B$2,H$4))))</f>
        <v/>
      </c>
      <c r="I249" s="61" t="str">
        <f>IF($B249="","",IF(I$4&gt;DAY(EOMONTH(DATE($D$2,$B$2,1),0)),"",SUMIFS(DATA_GOC!$H:$H,DATA_GOC!$A:$A,"BOM",DATA_GOC!$D:$D,$B249,DATA_GOC!$F:$F,"Xuất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số",DATA_GOC!$B:$B,DATE($D$2,$B$2,I$4))))</f>
        <v/>
      </c>
      <c r="J249" s="61" t="str">
        <f>IF($B249="","",IF(J$4&gt;DAY(EOMONTH(DATE($D$2,$B$2,1),0)),"",SUMIFS(DATA_GOC!$H:$H,DATA_GOC!$A:$A,"BOM",DATA_GOC!$D:$D,$B249,DATA_GOC!$F:$F,"Xuất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số",DATA_GOC!$B:$B,DATE($D$2,$B$2,J$4))))</f>
        <v/>
      </c>
      <c r="K249" s="61" t="str">
        <f>IF($B249="","",IF(K$4&gt;DAY(EOMONTH(DATE($D$2,$B$2,1),0)),"",SUMIFS(DATA_GOC!$H:$H,DATA_GOC!$A:$A,"BOM",DATA_GOC!$D:$D,$B249,DATA_GOC!$F:$F,"Xuất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số",DATA_GOC!$B:$B,DATE($D$2,$B$2,K$4))))</f>
        <v/>
      </c>
      <c r="L249" s="61" t="str">
        <f>IF($B249="","",IF(L$4&gt;DAY(EOMONTH(DATE($D$2,$B$2,1),0)),"",SUMIFS(DATA_GOC!$H:$H,DATA_GOC!$A:$A,"BOM",DATA_GOC!$D:$D,$B249,DATA_GOC!$F:$F,"Xuất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số",DATA_GOC!$B:$B,DATE($D$2,$B$2,L$4))))</f>
        <v/>
      </c>
      <c r="M249" s="61" t="str">
        <f>IF($B249="","",IF(M$4&gt;DAY(EOMONTH(DATE($D$2,$B$2,1),0)),"",SUMIFS(DATA_GOC!$H:$H,DATA_GOC!$A:$A,"BOM",DATA_GOC!$D:$D,$B249,DATA_GOC!$F:$F,"Xuất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số",DATA_GOC!$B:$B,DATE($D$2,$B$2,M$4))))</f>
        <v/>
      </c>
      <c r="N249" s="61" t="str">
        <f>IF($B249="","",IF(N$4&gt;DAY(EOMONTH(DATE($D$2,$B$2,1),0)),"",SUMIFS(DATA_GOC!$H:$H,DATA_GOC!$A:$A,"BOM",DATA_GOC!$D:$D,$B249,DATA_GOC!$F:$F,"Xuất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số",DATA_GOC!$B:$B,DATE($D$2,$B$2,N$4))))</f>
        <v/>
      </c>
      <c r="O249" s="61" t="str">
        <f>IF($B249="","",IF(O$4&gt;DAY(EOMONTH(DATE($D$2,$B$2,1),0)),"",SUMIFS(DATA_GOC!$H:$H,DATA_GOC!$A:$A,"BOM",DATA_GOC!$D:$D,$B249,DATA_GOC!$F:$F,"Xuất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số",DATA_GOC!$B:$B,DATE($D$2,$B$2,O$4))))</f>
        <v/>
      </c>
      <c r="P249" s="61" t="str">
        <f>IF($B249="","",IF(P$4&gt;DAY(EOMONTH(DATE($D$2,$B$2,1),0)),"",SUMIFS(DATA_GOC!$H:$H,DATA_GOC!$A:$A,"BOM",DATA_GOC!$D:$D,$B249,DATA_GOC!$F:$F,"Xuất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số",DATA_GOC!$B:$B,DATE($D$2,$B$2,P$4))))</f>
        <v/>
      </c>
      <c r="Q249" s="61" t="str">
        <f>IF($B249="","",IF(Q$4&gt;DAY(EOMONTH(DATE($D$2,$B$2,1),0)),"",SUMIFS(DATA_GOC!$H:$H,DATA_GOC!$A:$A,"BOM",DATA_GOC!$D:$D,$B249,DATA_GOC!$F:$F,"Xuất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số",DATA_GOC!$B:$B,DATE($D$2,$B$2,Q$4))))</f>
        <v/>
      </c>
      <c r="R249" s="61" t="str">
        <f>IF($B249="","",IF(R$4&gt;DAY(EOMONTH(DATE($D$2,$B$2,1),0)),"",SUMIFS(DATA_GOC!$H:$H,DATA_GOC!$A:$A,"BOM",DATA_GOC!$D:$D,$B249,DATA_GOC!$F:$F,"Xuất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số",DATA_GOC!$B:$B,DATE($D$2,$B$2,R$4))))</f>
        <v/>
      </c>
      <c r="S249" s="61" t="str">
        <f>IF($B249="","",IF(S$4&gt;DAY(EOMONTH(DATE($D$2,$B$2,1),0)),"",SUMIFS(DATA_GOC!$H:$H,DATA_GOC!$A:$A,"BOM",DATA_GOC!$D:$D,$B249,DATA_GOC!$F:$F,"Xuất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số",DATA_GOC!$B:$B,DATE($D$2,$B$2,S$4))))</f>
        <v/>
      </c>
      <c r="T249" s="61" t="str">
        <f>IF($B249="","",IF(T$4&gt;DAY(EOMONTH(DATE($D$2,$B$2,1),0)),"",SUMIFS(DATA_GOC!$H:$H,DATA_GOC!$A:$A,"BOM",DATA_GOC!$D:$D,$B249,DATA_GOC!$F:$F,"Xuất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số",DATA_GOC!$B:$B,DATE($D$2,$B$2,T$4))))</f>
        <v/>
      </c>
      <c r="U249" s="61" t="str">
        <f>IF($B249="","",IF(U$4&gt;DAY(EOMONTH(DATE($D$2,$B$2,1),0)),"",SUMIFS(DATA_GOC!$H:$H,DATA_GOC!$A:$A,"BOM",DATA_GOC!$D:$D,$B249,DATA_GOC!$F:$F,"Xuất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số",DATA_GOC!$B:$B,DATE($D$2,$B$2,U$4))))</f>
        <v/>
      </c>
      <c r="V249" s="61" t="str">
        <f>IF($B249="","",IF(V$4&gt;DAY(EOMONTH(DATE($D$2,$B$2,1),0)),"",SUMIFS(DATA_GOC!$H:$H,DATA_GOC!$A:$A,"BOM",DATA_GOC!$D:$D,$B249,DATA_GOC!$F:$F,"Xuất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số",DATA_GOC!$B:$B,DATE($D$2,$B$2,V$4))))</f>
        <v/>
      </c>
      <c r="W249" s="61" t="str">
        <f>IF($B249="","",IF(W$4&gt;DAY(EOMONTH(DATE($D$2,$B$2,1),0)),"",SUMIFS(DATA_GOC!$H:$H,DATA_GOC!$A:$A,"BOM",DATA_GOC!$D:$D,$B249,DATA_GOC!$F:$F,"Xuất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số",DATA_GOC!$B:$B,DATE($D$2,$B$2,W$4))))</f>
        <v/>
      </c>
      <c r="X249" s="61" t="str">
        <f>IF($B249="","",IF(X$4&gt;DAY(EOMONTH(DATE($D$2,$B$2,1),0)),"",SUMIFS(DATA_GOC!$H:$H,DATA_GOC!$A:$A,"BOM",DATA_GOC!$D:$D,$B249,DATA_GOC!$F:$F,"Xuất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số",DATA_GOC!$B:$B,DATE($D$2,$B$2,X$4))))</f>
        <v/>
      </c>
      <c r="Y249" s="61" t="str">
        <f>IF($B249="","",IF(Y$4&gt;DAY(EOMONTH(DATE($D$2,$B$2,1),0)),"",SUMIFS(DATA_GOC!$H:$H,DATA_GOC!$A:$A,"BOM",DATA_GOC!$D:$D,$B249,DATA_GOC!$F:$F,"Xuất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số",DATA_GOC!$B:$B,DATE($D$2,$B$2,Y$4))))</f>
        <v/>
      </c>
      <c r="Z249" s="61" t="str">
        <f>IF($B249="","",IF(Z$4&gt;DAY(EOMONTH(DATE($D$2,$B$2,1),0)),"",SUMIFS(DATA_GOC!$H:$H,DATA_GOC!$A:$A,"BOM",DATA_GOC!$D:$D,$B249,DATA_GOC!$F:$F,"Xuất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số",DATA_GOC!$B:$B,DATE($D$2,$B$2,Z$4))))</f>
        <v/>
      </c>
      <c r="AA249" s="61" t="str">
        <f>IF($B249="","",IF(AA$4&gt;DAY(EOMONTH(DATE($D$2,$B$2,1),0)),"",SUMIFS(DATA_GOC!$H:$H,DATA_GOC!$A:$A,"BOM",DATA_GOC!$D:$D,$B249,DATA_GOC!$F:$F,"Xuất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số",DATA_GOC!$B:$B,DATE($D$2,$B$2,AA$4))))</f>
        <v/>
      </c>
      <c r="AB249" s="61" t="str">
        <f>IF($B249="","",IF(AB$4&gt;DAY(EOMONTH(DATE($D$2,$B$2,1),0)),"",SUMIFS(DATA_GOC!$H:$H,DATA_GOC!$A:$A,"BOM",DATA_GOC!$D:$D,$B249,DATA_GOC!$F:$F,"Xuất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số",DATA_GOC!$B:$B,DATE($D$2,$B$2,AB$4))))</f>
        <v/>
      </c>
      <c r="AC249" s="61" t="str">
        <f>IF($B249="","",IF(AC$4&gt;DAY(EOMONTH(DATE($D$2,$B$2,1),0)),"",SUMIFS(DATA_GOC!$H:$H,DATA_GOC!$A:$A,"BOM",DATA_GOC!$D:$D,$B249,DATA_GOC!$F:$F,"Xuất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số",DATA_GOC!$B:$B,DATE($D$2,$B$2,AC$4))))</f>
        <v/>
      </c>
      <c r="AD249" s="222" t="str">
        <f>IF($B249="","",IF(AD$4&gt;DAY(EOMONTH(DATE($D$2,$B$2,1),0)),"",SUMIFS(DATA_GOC!$H:$H,DATA_GOC!$A:$A,"BOM",DATA_GOC!$D:$D,$B249,DATA_GOC!$F:$F,"Xuất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số",DATA_GOC!$B:$B,DATE($D$2,$B$2,AD$4))))</f>
        <v/>
      </c>
      <c r="AE249" s="222" t="str">
        <f>IF($B249="","",IF(AE$4&gt;DAY(EOMONTH(DATE($D$2,$B$2,1),0)),"",SUMIFS(DATA_GOC!$H:$H,DATA_GOC!$A:$A,"BOM",DATA_GOC!$D:$D,$B249,DATA_GOC!$F:$F,"Xuất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số",DATA_GOC!$B:$B,DATE($D$2,$B$2,AE$4))))</f>
        <v/>
      </c>
      <c r="AF249" s="222" t="str">
        <f>IF($B249="","",IF(AF$4&gt;DAY(EOMONTH(DATE($D$2,$B$2,1),0)),"",SUMIFS(DATA_GOC!$H:$H,DATA_GOC!$A:$A,"BOM",DATA_GOC!$D:$D,$B249,DATA_GOC!$F:$F,"Xuất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số",DATA_GOC!$B:$B,DATE($D$2,$B$2,AF$4))))</f>
        <v/>
      </c>
      <c r="AG249" s="222" t="str">
        <f>IF($B249="","",IF(AG$4&gt;DAY(EOMONTH(DATE($D$2,$B$2,1),0)),"",SUMIFS(DATA_GOC!$H:$H,DATA_GOC!$A:$A,"BOM",DATA_GOC!$D:$D,$B249,DATA_GOC!$F:$F,"Xuất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số",DATA_GOC!$B:$B,DATE($D$2,$B$2,AG$4))))</f>
        <v/>
      </c>
      <c r="AH249" s="222" t="str">
        <f t="shared" si="2"/>
        <v/>
      </c>
      <c r="AI249" s="222" t="str">
        <f>IF($B249="","",SUMIFS(DATA_GOC!$H:$H,DATA_GOC!$A:$A,"BOM",DATA_GOC!$D:$D,$B249,DATA_GOC!$F:$F,"Bơm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L249" s="222" t="str">
        <f t="shared" si="3"/>
        <v/>
      </c>
      <c r="AM249" s="222" t="str">
        <f>IF($B249="","",SUMIFS(DATA_GOC!$K:$K,DATA_GOC!$A:$A,"BOM",DATA_GOC!$D:$D,$B249,DATA_GOC!$G:$G,"DO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số",DATA_GOC!$B:$B,"&gt;="&amp;DATE($D$2,$B$2,1),DATA_GOC!$B:$B,"&lt;"&amp;EDATE(DATE($D$2,$B$2,1),1)))</f>
        <v/>
      </c>
      <c r="AN249" s="222" t="str">
        <f t="shared" si="4"/>
        <v/>
      </c>
      <c r="AO249" s="227" t="str">
        <f t="shared" si="5"/>
        <v/>
      </c>
      <c r="AP249" s="226" t="str">
        <f>IF($B249="","",IFERROR(AO249-(SUMIFS(DATA_GOC!$H:$H,DATA_GOC!$A:$A,"BOM",DATA_GOC!$D:$D,$B249,DATA_GOC!$F:$F,"Xuất nội bộ từ téc",DATA_GOC!$G:$G,"DO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số",DATA_GOC!$B:$B,"&gt;="&amp;EDATE(DATE($D$2,$B$2,1),-1),DATA_GOC!$B:$B,"&lt;"&amp;DATE($D$2,$B$2,1))/SUMIFS(DATA_GOC!$K:$K,DATA_GOC!$A:$A,"BOM",DATA_GOC!$D:$D,$B249,DATA_GOC!$G:$G,"DO 0.05S",DATA_GOC!$E:$E,"&lt;&gt;Dầu động cơ",DATA_GOC!$E:$E,"&lt;&gt;Dầu thủy lực",DATA_GOC!$E:$E,"&lt;&gt;Dầu cầu",DATA_GOC!$E:$E,"&lt;&gt;Dầu số",DATA_GOC!$B:$B,"&gt;="&amp;EDATE(DATE($D$2,$B$2,1),-1),DATA_GOC!$B:$B,"&lt;"&amp;DATE($D$2,$B$2,1))),""))</f>
        <v/>
      </c>
    </row>
    <row r="250" ht="15.75" customHeight="1">
      <c r="AO250" s="179"/>
    </row>
    <row r="251" ht="15.75" customHeight="1">
      <c r="AO251" s="179"/>
    </row>
    <row r="252" ht="15.75" customHeight="1">
      <c r="AO252" s="179"/>
    </row>
    <row r="253" ht="15.75" customHeight="1">
      <c r="AO253" s="179"/>
    </row>
    <row r="254" ht="15.75" customHeight="1">
      <c r="AO254" s="179"/>
    </row>
    <row r="255" ht="15.75" customHeight="1">
      <c r="AO255" s="179"/>
    </row>
    <row r="256" ht="15.75" customHeight="1">
      <c r="AO256" s="179"/>
    </row>
    <row r="257" ht="15.75" customHeight="1">
      <c r="AO257" s="179"/>
    </row>
    <row r="258" ht="15.75" customHeight="1">
      <c r="AO258" s="179"/>
    </row>
    <row r="259" ht="15.75" customHeight="1">
      <c r="AO259" s="179"/>
    </row>
    <row r="260" ht="15.75" customHeight="1">
      <c r="AO260" s="179"/>
    </row>
    <row r="261" ht="15.75" customHeight="1">
      <c r="AO261" s="179"/>
    </row>
    <row r="262" ht="15.75" customHeight="1">
      <c r="AO262" s="179"/>
    </row>
    <row r="263" ht="15.75" customHeight="1">
      <c r="AO263" s="179"/>
    </row>
    <row r="264" ht="15.75" customHeight="1">
      <c r="AO264" s="179"/>
    </row>
    <row r="265" ht="15.75" customHeight="1">
      <c r="AO265" s="179"/>
    </row>
    <row r="266" ht="15.75" customHeight="1">
      <c r="AO266" s="179"/>
    </row>
    <row r="267" ht="15.75" customHeight="1">
      <c r="AO267" s="179"/>
    </row>
    <row r="268" ht="15.75" customHeight="1">
      <c r="AO268" s="179"/>
    </row>
    <row r="269" ht="15.75" customHeight="1">
      <c r="AO269" s="179"/>
    </row>
    <row r="270" ht="15.75" customHeight="1">
      <c r="AO270" s="179"/>
    </row>
    <row r="271" ht="15.75" customHeight="1">
      <c r="AO271" s="179"/>
    </row>
    <row r="272" ht="15.75" customHeight="1">
      <c r="AO272" s="179"/>
    </row>
    <row r="273" ht="15.75" customHeight="1">
      <c r="AO273" s="179"/>
    </row>
    <row r="274" ht="15.75" customHeight="1">
      <c r="AO274" s="179"/>
    </row>
    <row r="275" ht="15.75" customHeight="1">
      <c r="AO275" s="179"/>
    </row>
    <row r="276" ht="15.75" customHeight="1">
      <c r="AO276" s="179"/>
    </row>
    <row r="277" ht="15.75" customHeight="1">
      <c r="AO277" s="179"/>
    </row>
    <row r="278" ht="15.75" customHeight="1">
      <c r="AO278" s="179"/>
    </row>
    <row r="279" ht="15.75" customHeight="1">
      <c r="AO279" s="179"/>
    </row>
    <row r="280" ht="15.75" customHeight="1">
      <c r="AO280" s="179"/>
    </row>
    <row r="281" ht="15.75" customHeight="1">
      <c r="AO281" s="179"/>
    </row>
    <row r="282" ht="15.75" customHeight="1">
      <c r="AO282" s="179"/>
    </row>
    <row r="283" ht="15.75" customHeight="1">
      <c r="AO283" s="179"/>
    </row>
    <row r="284" ht="15.75" customHeight="1">
      <c r="AO284" s="179"/>
    </row>
    <row r="285" ht="15.75" customHeight="1">
      <c r="AO285" s="179"/>
    </row>
    <row r="286" ht="15.75" customHeight="1">
      <c r="AO286" s="179"/>
    </row>
    <row r="287" ht="15.75" customHeight="1">
      <c r="AO287" s="179"/>
    </row>
    <row r="288" ht="15.75" customHeight="1">
      <c r="AO288" s="179"/>
    </row>
    <row r="289" ht="15.75" customHeight="1">
      <c r="AO289" s="179"/>
    </row>
    <row r="290" ht="15.75" customHeight="1">
      <c r="AO290" s="179"/>
    </row>
    <row r="291" ht="15.75" customHeight="1">
      <c r="AO291" s="179"/>
    </row>
    <row r="292" ht="15.75" customHeight="1">
      <c r="AO292" s="179"/>
    </row>
    <row r="293" ht="15.75" customHeight="1">
      <c r="AO293" s="179"/>
    </row>
    <row r="294" ht="15.75" customHeight="1">
      <c r="AO294" s="179"/>
    </row>
    <row r="295" ht="15.75" customHeight="1">
      <c r="AO295" s="179"/>
    </row>
    <row r="296" ht="15.75" customHeight="1">
      <c r="AO296" s="179"/>
    </row>
    <row r="297" ht="15.75" customHeight="1">
      <c r="AO297" s="179"/>
    </row>
    <row r="298" ht="15.75" customHeight="1">
      <c r="AO298" s="179"/>
    </row>
    <row r="299" ht="15.75" customHeight="1">
      <c r="AO299" s="179"/>
    </row>
    <row r="300" ht="15.75" customHeight="1">
      <c r="AO300" s="179"/>
    </row>
    <row r="301" ht="15.75" customHeight="1">
      <c r="AO301" s="179"/>
    </row>
    <row r="302" ht="15.75" customHeight="1">
      <c r="AO302" s="179"/>
    </row>
    <row r="303" ht="15.75" customHeight="1">
      <c r="AO303" s="179"/>
    </row>
    <row r="304" ht="15.75" customHeight="1">
      <c r="AO304" s="179"/>
    </row>
    <row r="305" ht="15.75" customHeight="1">
      <c r="AO305" s="179"/>
    </row>
    <row r="306" ht="15.75" customHeight="1">
      <c r="AO306" s="179"/>
    </row>
    <row r="307" ht="15.75" customHeight="1">
      <c r="AO307" s="179"/>
    </row>
    <row r="308" ht="15.75" customHeight="1">
      <c r="AO308" s="179"/>
    </row>
    <row r="309" ht="15.75" customHeight="1">
      <c r="AO309" s="179"/>
    </row>
    <row r="310" ht="15.75" customHeight="1">
      <c r="AO310" s="179"/>
    </row>
    <row r="311" ht="15.75" customHeight="1">
      <c r="AO311" s="179"/>
    </row>
    <row r="312" ht="15.75" customHeight="1">
      <c r="AO312" s="179"/>
    </row>
    <row r="313" ht="15.75" customHeight="1">
      <c r="AO313" s="179"/>
    </row>
    <row r="314" ht="15.75" customHeight="1">
      <c r="AO314" s="179"/>
    </row>
    <row r="315" ht="15.75" customHeight="1">
      <c r="AO315" s="179"/>
    </row>
    <row r="316" ht="15.75" customHeight="1">
      <c r="AO316" s="179"/>
    </row>
    <row r="317" ht="15.75" customHeight="1">
      <c r="AO317" s="179"/>
    </row>
    <row r="318" ht="15.75" customHeight="1">
      <c r="AO318" s="179"/>
    </row>
    <row r="319" ht="15.75" customHeight="1">
      <c r="AO319" s="179"/>
    </row>
    <row r="320" ht="15.75" customHeight="1">
      <c r="AO320" s="179"/>
    </row>
    <row r="321" ht="15.75" customHeight="1">
      <c r="AO321" s="179"/>
    </row>
    <row r="322" ht="15.75" customHeight="1">
      <c r="AO322" s="179"/>
    </row>
    <row r="323" ht="15.75" customHeight="1">
      <c r="AO323" s="179"/>
    </row>
    <row r="324" ht="15.75" customHeight="1">
      <c r="AO324" s="179"/>
    </row>
    <row r="325" ht="15.75" customHeight="1">
      <c r="AO325" s="179"/>
    </row>
    <row r="326" ht="15.75" customHeight="1">
      <c r="AO326" s="179"/>
    </row>
    <row r="327" ht="15.75" customHeight="1">
      <c r="AO327" s="179"/>
    </row>
    <row r="328" ht="15.75" customHeight="1">
      <c r="AO328" s="179"/>
    </row>
    <row r="329" ht="15.75" customHeight="1">
      <c r="AO329" s="179"/>
    </row>
    <row r="330" ht="15.75" customHeight="1">
      <c r="AO330" s="179"/>
    </row>
    <row r="331" ht="15.75" customHeight="1">
      <c r="AO331" s="179"/>
    </row>
    <row r="332" ht="15.75" customHeight="1">
      <c r="AO332" s="179"/>
    </row>
    <row r="333" ht="15.75" customHeight="1">
      <c r="AO333" s="179"/>
    </row>
    <row r="334" ht="15.75" customHeight="1">
      <c r="AO334" s="179"/>
    </row>
    <row r="335" ht="15.75" customHeight="1">
      <c r="AO335" s="179"/>
    </row>
    <row r="336" ht="15.75" customHeight="1">
      <c r="AO336" s="179"/>
    </row>
    <row r="337" ht="15.75" customHeight="1">
      <c r="AO337" s="179"/>
    </row>
    <row r="338" ht="15.75" customHeight="1">
      <c r="AO338" s="179"/>
    </row>
    <row r="339" ht="15.75" customHeight="1">
      <c r="AO339" s="179"/>
    </row>
    <row r="340" ht="15.75" customHeight="1">
      <c r="AO340" s="179"/>
    </row>
    <row r="341" ht="15.75" customHeight="1">
      <c r="AO341" s="179"/>
    </row>
    <row r="342" ht="15.75" customHeight="1">
      <c r="AO342" s="179"/>
    </row>
    <row r="343" ht="15.75" customHeight="1">
      <c r="AO343" s="179"/>
    </row>
    <row r="344" ht="15.75" customHeight="1">
      <c r="AO344" s="179"/>
    </row>
    <row r="345" ht="15.75" customHeight="1">
      <c r="AO345" s="179"/>
    </row>
    <row r="346" ht="15.75" customHeight="1">
      <c r="AO346" s="179"/>
    </row>
    <row r="347" ht="15.75" customHeight="1">
      <c r="AO347" s="179"/>
    </row>
    <row r="348" ht="15.75" customHeight="1">
      <c r="AO348" s="179"/>
    </row>
    <row r="349" ht="15.75" customHeight="1">
      <c r="AO349" s="179"/>
    </row>
    <row r="350" ht="15.75" customHeight="1">
      <c r="AO350" s="179"/>
    </row>
    <row r="351" ht="15.75" customHeight="1">
      <c r="AO351" s="179"/>
    </row>
    <row r="352" ht="15.75" customHeight="1">
      <c r="AO352" s="179"/>
    </row>
    <row r="353" ht="15.75" customHeight="1">
      <c r="AO353" s="179"/>
    </row>
    <row r="354" ht="15.75" customHeight="1">
      <c r="AO354" s="179"/>
    </row>
    <row r="355" ht="15.75" customHeight="1">
      <c r="AO355" s="179"/>
    </row>
    <row r="356" ht="15.75" customHeight="1">
      <c r="AO356" s="179"/>
    </row>
    <row r="357" ht="15.75" customHeight="1">
      <c r="AO357" s="179"/>
    </row>
    <row r="358" ht="15.75" customHeight="1">
      <c r="AO358" s="179"/>
    </row>
    <row r="359" ht="15.75" customHeight="1">
      <c r="AO359" s="179"/>
    </row>
    <row r="360" ht="15.75" customHeight="1">
      <c r="AO360" s="179"/>
    </row>
    <row r="361" ht="15.75" customHeight="1">
      <c r="AO361" s="179"/>
    </row>
    <row r="362" ht="15.75" customHeight="1">
      <c r="AO362" s="179"/>
    </row>
    <row r="363" ht="15.75" customHeight="1">
      <c r="AO363" s="179"/>
    </row>
    <row r="364" ht="15.75" customHeight="1">
      <c r="AO364" s="179"/>
    </row>
    <row r="365" ht="15.75" customHeight="1">
      <c r="AO365" s="179"/>
    </row>
    <row r="366" ht="15.75" customHeight="1">
      <c r="AO366" s="179"/>
    </row>
    <row r="367" ht="15.75" customHeight="1">
      <c r="AO367" s="179"/>
    </row>
    <row r="368" ht="15.75" customHeight="1">
      <c r="AO368" s="179"/>
    </row>
    <row r="369" ht="15.75" customHeight="1">
      <c r="AO369" s="179"/>
    </row>
    <row r="370" ht="15.75" customHeight="1">
      <c r="AO370" s="179"/>
    </row>
    <row r="371" ht="15.75" customHeight="1">
      <c r="AO371" s="179"/>
    </row>
    <row r="372" ht="15.75" customHeight="1">
      <c r="AO372" s="179"/>
    </row>
    <row r="373" ht="15.75" customHeight="1">
      <c r="AO373" s="179"/>
    </row>
    <row r="374" ht="15.75" customHeight="1">
      <c r="AO374" s="179"/>
    </row>
    <row r="375" ht="15.75" customHeight="1">
      <c r="AO375" s="179"/>
    </row>
    <row r="376" ht="15.75" customHeight="1">
      <c r="AO376" s="179"/>
    </row>
    <row r="377" ht="15.75" customHeight="1">
      <c r="AO377" s="179"/>
    </row>
    <row r="378" ht="15.75" customHeight="1">
      <c r="AO378" s="179"/>
    </row>
    <row r="379" ht="15.75" customHeight="1">
      <c r="AO379" s="179"/>
    </row>
    <row r="380" ht="15.75" customHeight="1">
      <c r="AO380" s="179"/>
    </row>
    <row r="381" ht="15.75" customHeight="1">
      <c r="AO381" s="179"/>
    </row>
    <row r="382" ht="15.75" customHeight="1">
      <c r="AO382" s="179"/>
    </row>
    <row r="383" ht="15.75" customHeight="1">
      <c r="AO383" s="179"/>
    </row>
    <row r="384" ht="15.75" customHeight="1">
      <c r="AO384" s="179"/>
    </row>
    <row r="385" ht="15.75" customHeight="1">
      <c r="AO385" s="179"/>
    </row>
    <row r="386" ht="15.75" customHeight="1">
      <c r="AO386" s="179"/>
    </row>
    <row r="387" ht="15.75" customHeight="1">
      <c r="AO387" s="179"/>
    </row>
    <row r="388" ht="15.75" customHeight="1">
      <c r="AO388" s="179"/>
    </row>
    <row r="389" ht="15.75" customHeight="1">
      <c r="AO389" s="179"/>
    </row>
    <row r="390" ht="15.75" customHeight="1">
      <c r="AO390" s="179"/>
    </row>
    <row r="391" ht="15.75" customHeight="1">
      <c r="AO391" s="179"/>
    </row>
    <row r="392" ht="15.75" customHeight="1">
      <c r="AO392" s="179"/>
    </row>
    <row r="393" ht="15.75" customHeight="1">
      <c r="AO393" s="179"/>
    </row>
    <row r="394" ht="15.75" customHeight="1">
      <c r="AO394" s="179"/>
    </row>
    <row r="395" ht="15.75" customHeight="1">
      <c r="AO395" s="179"/>
    </row>
    <row r="396" ht="15.75" customHeight="1">
      <c r="AO396" s="179"/>
    </row>
    <row r="397" ht="15.75" customHeight="1">
      <c r="AO397" s="179"/>
    </row>
    <row r="398" ht="15.75" customHeight="1">
      <c r="AO398" s="179"/>
    </row>
    <row r="399" ht="15.75" customHeight="1">
      <c r="AO399" s="179"/>
    </row>
    <row r="400" ht="15.75" customHeight="1">
      <c r="AO400" s="179"/>
    </row>
    <row r="401" ht="15.75" customHeight="1">
      <c r="AO401" s="179"/>
    </row>
    <row r="402" ht="15.75" customHeight="1">
      <c r="AO402" s="179"/>
    </row>
    <row r="403" ht="15.75" customHeight="1">
      <c r="AO403" s="179"/>
    </row>
    <row r="404" ht="15.75" customHeight="1">
      <c r="AO404" s="179"/>
    </row>
    <row r="405" ht="15.75" customHeight="1">
      <c r="AO405" s="179"/>
    </row>
    <row r="406" ht="15.75" customHeight="1">
      <c r="AO406" s="179"/>
    </row>
    <row r="407" ht="15.75" customHeight="1">
      <c r="AO407" s="179"/>
    </row>
    <row r="408" ht="15.75" customHeight="1">
      <c r="AO408" s="179"/>
    </row>
    <row r="409" ht="15.75" customHeight="1">
      <c r="AO409" s="179"/>
    </row>
    <row r="410" ht="15.75" customHeight="1">
      <c r="AO410" s="179"/>
    </row>
    <row r="411" ht="15.75" customHeight="1">
      <c r="AO411" s="179"/>
    </row>
    <row r="412" ht="15.75" customHeight="1">
      <c r="AO412" s="179"/>
    </row>
    <row r="413" ht="15.75" customHeight="1">
      <c r="AO413" s="179"/>
    </row>
    <row r="414" ht="15.75" customHeight="1">
      <c r="AO414" s="179"/>
    </row>
    <row r="415" ht="15.75" customHeight="1">
      <c r="AO415" s="179"/>
    </row>
    <row r="416" ht="15.75" customHeight="1">
      <c r="AO416" s="179"/>
    </row>
    <row r="417" ht="15.75" customHeight="1">
      <c r="AO417" s="179"/>
    </row>
    <row r="418" ht="15.75" customHeight="1">
      <c r="AO418" s="179"/>
    </row>
    <row r="419" ht="15.75" customHeight="1">
      <c r="AO419" s="179"/>
    </row>
    <row r="420" ht="15.75" customHeight="1">
      <c r="AO420" s="179"/>
    </row>
    <row r="421" ht="15.75" customHeight="1">
      <c r="AO421" s="179"/>
    </row>
    <row r="422" ht="15.75" customHeight="1">
      <c r="AO422" s="179"/>
    </row>
    <row r="423" ht="15.75" customHeight="1">
      <c r="AO423" s="179"/>
    </row>
    <row r="424" ht="15.75" customHeight="1">
      <c r="AO424" s="179"/>
    </row>
    <row r="425" ht="15.75" customHeight="1">
      <c r="AO425" s="179"/>
    </row>
    <row r="426" ht="15.75" customHeight="1">
      <c r="AO426" s="179"/>
    </row>
    <row r="427" ht="15.75" customHeight="1">
      <c r="AO427" s="179"/>
    </row>
    <row r="428" ht="15.75" customHeight="1">
      <c r="AO428" s="179"/>
    </row>
    <row r="429" ht="15.75" customHeight="1">
      <c r="AO429" s="179"/>
    </row>
    <row r="430" ht="15.75" customHeight="1">
      <c r="AO430" s="179"/>
    </row>
    <row r="431" ht="15.75" customHeight="1">
      <c r="AO431" s="179"/>
    </row>
    <row r="432" ht="15.75" customHeight="1">
      <c r="AO432" s="179"/>
    </row>
    <row r="433" ht="15.75" customHeight="1">
      <c r="AO433" s="179"/>
    </row>
    <row r="434" ht="15.75" customHeight="1">
      <c r="AO434" s="179"/>
    </row>
    <row r="435" ht="15.75" customHeight="1">
      <c r="AO435" s="179"/>
    </row>
    <row r="436" ht="15.75" customHeight="1">
      <c r="AO436" s="179"/>
    </row>
    <row r="437" ht="15.75" customHeight="1">
      <c r="AO437" s="179"/>
    </row>
    <row r="438" ht="15.75" customHeight="1">
      <c r="AO438" s="179"/>
    </row>
    <row r="439" ht="15.75" customHeight="1">
      <c r="AO439" s="179"/>
    </row>
    <row r="440" ht="15.75" customHeight="1">
      <c r="AO440" s="179"/>
    </row>
    <row r="441" ht="15.75" customHeight="1">
      <c r="AO441" s="179"/>
    </row>
    <row r="442" ht="15.75" customHeight="1">
      <c r="AO442" s="179"/>
    </row>
    <row r="443" ht="15.75" customHeight="1">
      <c r="AO443" s="179"/>
    </row>
    <row r="444" ht="15.75" customHeight="1">
      <c r="AO444" s="179"/>
    </row>
    <row r="445" ht="15.75" customHeight="1">
      <c r="AO445" s="179"/>
    </row>
    <row r="446" ht="15.75" customHeight="1">
      <c r="AO446" s="179"/>
    </row>
    <row r="447" ht="15.75" customHeight="1">
      <c r="AO447" s="179"/>
    </row>
    <row r="448" ht="15.75" customHeight="1">
      <c r="AO448" s="179"/>
    </row>
    <row r="449" ht="15.75" customHeight="1">
      <c r="AO449" s="179"/>
    </row>
    <row r="450" ht="15.75" customHeight="1">
      <c r="AO450" s="179"/>
    </row>
    <row r="451" ht="15.75" customHeight="1">
      <c r="AO451" s="179"/>
    </row>
    <row r="452" ht="15.75" customHeight="1">
      <c r="AO452" s="179"/>
    </row>
    <row r="453" ht="15.75" customHeight="1">
      <c r="AO453" s="179"/>
    </row>
    <row r="454" ht="15.75" customHeight="1">
      <c r="AO454" s="179"/>
    </row>
    <row r="455" ht="15.75" customHeight="1">
      <c r="AO455" s="179"/>
    </row>
    <row r="456" ht="15.75" customHeight="1">
      <c r="AO456" s="179"/>
    </row>
    <row r="457" ht="15.75" customHeight="1">
      <c r="AO457" s="179"/>
    </row>
    <row r="458" ht="15.75" customHeight="1">
      <c r="AO458" s="179"/>
    </row>
    <row r="459" ht="15.75" customHeight="1">
      <c r="AO459" s="179"/>
    </row>
    <row r="460" ht="15.75" customHeight="1">
      <c r="AO460" s="179"/>
    </row>
    <row r="461" ht="15.75" customHeight="1">
      <c r="AO461" s="179"/>
    </row>
    <row r="462" ht="15.75" customHeight="1">
      <c r="AO462" s="179"/>
    </row>
    <row r="463" ht="15.75" customHeight="1">
      <c r="AO463" s="179"/>
    </row>
    <row r="464" ht="15.75" customHeight="1">
      <c r="AO464" s="179"/>
    </row>
    <row r="465" ht="15.75" customHeight="1">
      <c r="AO465" s="179"/>
    </row>
    <row r="466" ht="15.75" customHeight="1">
      <c r="AO466" s="179"/>
    </row>
    <row r="467" ht="15.75" customHeight="1">
      <c r="AO467" s="179"/>
    </row>
    <row r="468" ht="15.75" customHeight="1">
      <c r="AO468" s="179"/>
    </row>
    <row r="469" ht="15.75" customHeight="1">
      <c r="AO469" s="179"/>
    </row>
    <row r="470" ht="15.75" customHeight="1">
      <c r="AO470" s="179"/>
    </row>
    <row r="471" ht="15.75" customHeight="1">
      <c r="AO471" s="179"/>
    </row>
    <row r="472" ht="15.75" customHeight="1">
      <c r="AO472" s="179"/>
    </row>
    <row r="473" ht="15.75" customHeight="1">
      <c r="AO473" s="179"/>
    </row>
    <row r="474" ht="15.75" customHeight="1">
      <c r="AO474" s="179"/>
    </row>
    <row r="475" ht="15.75" customHeight="1">
      <c r="AO475" s="179"/>
    </row>
    <row r="476" ht="15.75" customHeight="1">
      <c r="AO476" s="179"/>
    </row>
    <row r="477" ht="15.75" customHeight="1">
      <c r="AO477" s="179"/>
    </row>
    <row r="478" ht="15.75" customHeight="1">
      <c r="AO478" s="179"/>
    </row>
    <row r="479" ht="15.75" customHeight="1">
      <c r="AO479" s="179"/>
    </row>
    <row r="480" ht="15.75" customHeight="1">
      <c r="AO480" s="179"/>
    </row>
    <row r="481" ht="15.75" customHeight="1">
      <c r="AO481" s="179"/>
    </row>
    <row r="482" ht="15.75" customHeight="1">
      <c r="AO482" s="179"/>
    </row>
    <row r="483" ht="15.75" customHeight="1">
      <c r="AO483" s="179"/>
    </row>
    <row r="484" ht="15.75" customHeight="1">
      <c r="AO484" s="179"/>
    </row>
    <row r="485" ht="15.75" customHeight="1">
      <c r="AO485" s="179"/>
    </row>
    <row r="486" ht="15.75" customHeight="1">
      <c r="AO486" s="179"/>
    </row>
    <row r="487" ht="15.75" customHeight="1">
      <c r="AO487" s="179"/>
    </row>
    <row r="488" ht="15.75" customHeight="1">
      <c r="AO488" s="179"/>
    </row>
    <row r="489" ht="15.75" customHeight="1">
      <c r="AO489" s="179"/>
    </row>
    <row r="490" ht="15.75" customHeight="1">
      <c r="AO490" s="179"/>
    </row>
    <row r="491" ht="15.75" customHeight="1">
      <c r="AO491" s="179"/>
    </row>
    <row r="492" ht="15.75" customHeight="1">
      <c r="AO492" s="179"/>
    </row>
    <row r="493" ht="15.75" customHeight="1">
      <c r="AO493" s="179"/>
    </row>
    <row r="494" ht="15.75" customHeight="1">
      <c r="AO494" s="179"/>
    </row>
    <row r="495" ht="15.75" customHeight="1">
      <c r="AO495" s="179"/>
    </row>
    <row r="496" ht="15.75" customHeight="1">
      <c r="AO496" s="179"/>
    </row>
    <row r="497" ht="15.75" customHeight="1">
      <c r="AO497" s="179"/>
    </row>
    <row r="498" ht="15.75" customHeight="1">
      <c r="AO498" s="179"/>
    </row>
    <row r="499" ht="15.75" customHeight="1">
      <c r="AO499" s="179"/>
    </row>
    <row r="500" ht="15.75" customHeight="1">
      <c r="AO500" s="179"/>
    </row>
    <row r="501" ht="15.75" customHeight="1">
      <c r="AO501" s="179"/>
    </row>
    <row r="502" ht="15.75" customHeight="1">
      <c r="AO502" s="179"/>
    </row>
    <row r="503" ht="15.75" customHeight="1">
      <c r="AO503" s="179"/>
    </row>
    <row r="504" ht="15.75" customHeight="1">
      <c r="AO504" s="179"/>
    </row>
    <row r="505" ht="15.75" customHeight="1">
      <c r="AO505" s="179"/>
    </row>
    <row r="506" ht="15.75" customHeight="1">
      <c r="AO506" s="179"/>
    </row>
    <row r="507" ht="15.75" customHeight="1">
      <c r="AO507" s="179"/>
    </row>
    <row r="508" ht="15.75" customHeight="1">
      <c r="AO508" s="179"/>
    </row>
    <row r="509" ht="15.75" customHeight="1">
      <c r="AO509" s="179"/>
    </row>
    <row r="510" ht="15.75" customHeight="1">
      <c r="AO510" s="179"/>
    </row>
    <row r="511" ht="15.75" customHeight="1">
      <c r="AO511" s="179"/>
    </row>
    <row r="512" ht="15.75" customHeight="1">
      <c r="AO512" s="179"/>
    </row>
    <row r="513" ht="15.75" customHeight="1">
      <c r="AO513" s="179"/>
    </row>
    <row r="514" ht="15.75" customHeight="1">
      <c r="AO514" s="179"/>
    </row>
    <row r="515" ht="15.75" customHeight="1">
      <c r="AO515" s="179"/>
    </row>
    <row r="516" ht="15.75" customHeight="1">
      <c r="AO516" s="179"/>
    </row>
    <row r="517" ht="15.75" customHeight="1">
      <c r="AO517" s="179"/>
    </row>
    <row r="518" ht="15.75" customHeight="1">
      <c r="AO518" s="179"/>
    </row>
    <row r="519" ht="15.75" customHeight="1">
      <c r="AO519" s="179"/>
    </row>
    <row r="520" ht="15.75" customHeight="1">
      <c r="AO520" s="179"/>
    </row>
    <row r="521" ht="15.75" customHeight="1">
      <c r="AO521" s="179"/>
    </row>
    <row r="522" ht="15.75" customHeight="1">
      <c r="AO522" s="179"/>
    </row>
    <row r="523" ht="15.75" customHeight="1">
      <c r="AO523" s="179"/>
    </row>
    <row r="524" ht="15.75" customHeight="1">
      <c r="AO524" s="179"/>
    </row>
    <row r="525" ht="15.75" customHeight="1">
      <c r="AO525" s="179"/>
    </row>
    <row r="526" ht="15.75" customHeight="1">
      <c r="AO526" s="179"/>
    </row>
    <row r="527" ht="15.75" customHeight="1">
      <c r="AO527" s="179"/>
    </row>
    <row r="528" ht="15.75" customHeight="1">
      <c r="AO528" s="179"/>
    </row>
    <row r="529" ht="15.75" customHeight="1">
      <c r="AO529" s="179"/>
    </row>
    <row r="530" ht="15.75" customHeight="1">
      <c r="AO530" s="179"/>
    </row>
    <row r="531" ht="15.75" customHeight="1">
      <c r="AO531" s="179"/>
    </row>
    <row r="532" ht="15.75" customHeight="1">
      <c r="AO532" s="179"/>
    </row>
    <row r="533" ht="15.75" customHeight="1">
      <c r="AO533" s="179"/>
    </row>
    <row r="534" ht="15.75" customHeight="1">
      <c r="AO534" s="179"/>
    </row>
    <row r="535" ht="15.75" customHeight="1">
      <c r="AO535" s="179"/>
    </row>
    <row r="536" ht="15.75" customHeight="1">
      <c r="AO536" s="179"/>
    </row>
    <row r="537" ht="15.75" customHeight="1">
      <c r="AO537" s="179"/>
    </row>
    <row r="538" ht="15.75" customHeight="1">
      <c r="AO538" s="179"/>
    </row>
    <row r="539" ht="15.75" customHeight="1">
      <c r="AO539" s="179"/>
    </row>
    <row r="540" ht="15.75" customHeight="1">
      <c r="AO540" s="179"/>
    </row>
    <row r="541" ht="15.75" customHeight="1">
      <c r="AO541" s="179"/>
    </row>
    <row r="542" ht="15.75" customHeight="1">
      <c r="AO542" s="179"/>
    </row>
    <row r="543" ht="15.75" customHeight="1">
      <c r="AO543" s="179"/>
    </row>
    <row r="544" ht="15.75" customHeight="1">
      <c r="AO544" s="179"/>
    </row>
    <row r="545" ht="15.75" customHeight="1">
      <c r="AO545" s="179"/>
    </row>
    <row r="546" ht="15.75" customHeight="1">
      <c r="AO546" s="179"/>
    </row>
    <row r="547" ht="15.75" customHeight="1">
      <c r="AO547" s="179"/>
    </row>
    <row r="548" ht="15.75" customHeight="1">
      <c r="AO548" s="179"/>
    </row>
    <row r="549" ht="15.75" customHeight="1">
      <c r="AO549" s="179"/>
    </row>
    <row r="550" ht="15.75" customHeight="1">
      <c r="AO550" s="179"/>
    </row>
    <row r="551" ht="15.75" customHeight="1">
      <c r="AO551" s="179"/>
    </row>
    <row r="552" ht="15.75" customHeight="1">
      <c r="AO552" s="179"/>
    </row>
    <row r="553" ht="15.75" customHeight="1">
      <c r="AO553" s="179"/>
    </row>
    <row r="554" ht="15.75" customHeight="1">
      <c r="AO554" s="179"/>
    </row>
    <row r="555" ht="15.75" customHeight="1">
      <c r="AO555" s="179"/>
    </row>
    <row r="556" ht="15.75" customHeight="1">
      <c r="AO556" s="179"/>
    </row>
    <row r="557" ht="15.75" customHeight="1">
      <c r="AO557" s="179"/>
    </row>
    <row r="558" ht="15.75" customHeight="1">
      <c r="AO558" s="179"/>
    </row>
    <row r="559" ht="15.75" customHeight="1">
      <c r="AO559" s="179"/>
    </row>
    <row r="560" ht="15.75" customHeight="1">
      <c r="AO560" s="179"/>
    </row>
    <row r="561" ht="15.75" customHeight="1">
      <c r="AO561" s="179"/>
    </row>
    <row r="562" ht="15.75" customHeight="1">
      <c r="AO562" s="179"/>
    </row>
    <row r="563" ht="15.75" customHeight="1">
      <c r="AO563" s="179"/>
    </row>
    <row r="564" ht="15.75" customHeight="1">
      <c r="AO564" s="179"/>
    </row>
    <row r="565" ht="15.75" customHeight="1">
      <c r="AO565" s="179"/>
    </row>
    <row r="566" ht="15.75" customHeight="1">
      <c r="AO566" s="179"/>
    </row>
    <row r="567" ht="15.75" customHeight="1">
      <c r="AO567" s="179"/>
    </row>
    <row r="568" ht="15.75" customHeight="1">
      <c r="AO568" s="179"/>
    </row>
    <row r="569" ht="15.75" customHeight="1">
      <c r="AO569" s="179"/>
    </row>
    <row r="570" ht="15.75" customHeight="1">
      <c r="AO570" s="179"/>
    </row>
    <row r="571" ht="15.75" customHeight="1">
      <c r="AO571" s="179"/>
    </row>
    <row r="572" ht="15.75" customHeight="1">
      <c r="AO572" s="179"/>
    </row>
    <row r="573" ht="15.75" customHeight="1">
      <c r="AO573" s="179"/>
    </row>
    <row r="574" ht="15.75" customHeight="1">
      <c r="AO574" s="179"/>
    </row>
    <row r="575" ht="15.75" customHeight="1">
      <c r="AO575" s="179"/>
    </row>
    <row r="576" ht="15.75" customHeight="1">
      <c r="AO576" s="179"/>
    </row>
    <row r="577" ht="15.75" customHeight="1">
      <c r="AO577" s="179"/>
    </row>
    <row r="578" ht="15.75" customHeight="1">
      <c r="AO578" s="179"/>
    </row>
    <row r="579" ht="15.75" customHeight="1">
      <c r="AO579" s="179"/>
    </row>
    <row r="580" ht="15.75" customHeight="1">
      <c r="AO580" s="179"/>
    </row>
    <row r="581" ht="15.75" customHeight="1">
      <c r="AO581" s="179"/>
    </row>
    <row r="582" ht="15.75" customHeight="1">
      <c r="AO582" s="179"/>
    </row>
    <row r="583" ht="15.75" customHeight="1">
      <c r="AO583" s="179"/>
    </row>
    <row r="584" ht="15.75" customHeight="1">
      <c r="AO584" s="179"/>
    </row>
    <row r="585" ht="15.75" customHeight="1">
      <c r="AO585" s="179"/>
    </row>
    <row r="586" ht="15.75" customHeight="1">
      <c r="AO586" s="179"/>
    </row>
    <row r="587" ht="15.75" customHeight="1">
      <c r="AO587" s="179"/>
    </row>
    <row r="588" ht="15.75" customHeight="1">
      <c r="AO588" s="179"/>
    </row>
    <row r="589" ht="15.75" customHeight="1">
      <c r="AO589" s="179"/>
    </row>
    <row r="590" ht="15.75" customHeight="1">
      <c r="AO590" s="179"/>
    </row>
    <row r="591" ht="15.75" customHeight="1">
      <c r="AO591" s="179"/>
    </row>
    <row r="592" ht="15.75" customHeight="1">
      <c r="AO592" s="179"/>
    </row>
    <row r="593" ht="15.75" customHeight="1">
      <c r="AO593" s="179"/>
    </row>
    <row r="594" ht="15.75" customHeight="1">
      <c r="AO594" s="179"/>
    </row>
    <row r="595" ht="15.75" customHeight="1">
      <c r="AO595" s="179"/>
    </row>
    <row r="596" ht="15.75" customHeight="1">
      <c r="AO596" s="179"/>
    </row>
    <row r="597" ht="15.75" customHeight="1">
      <c r="AO597" s="179"/>
    </row>
    <row r="598" ht="15.75" customHeight="1">
      <c r="AO598" s="179"/>
    </row>
    <row r="599" ht="15.75" customHeight="1">
      <c r="AO599" s="179"/>
    </row>
    <row r="600" ht="15.75" customHeight="1">
      <c r="AO600" s="179"/>
    </row>
    <row r="601" ht="15.75" customHeight="1">
      <c r="AO601" s="179"/>
    </row>
    <row r="602" ht="15.75" customHeight="1">
      <c r="AO602" s="179"/>
    </row>
    <row r="603" ht="15.75" customHeight="1">
      <c r="AO603" s="179"/>
    </row>
    <row r="604" ht="15.75" customHeight="1">
      <c r="AO604" s="179"/>
    </row>
    <row r="605" ht="15.75" customHeight="1">
      <c r="AO605" s="179"/>
    </row>
    <row r="606" ht="15.75" customHeight="1">
      <c r="AO606" s="179"/>
    </row>
    <row r="607" ht="15.75" customHeight="1">
      <c r="AO607" s="179"/>
    </row>
    <row r="608" ht="15.75" customHeight="1">
      <c r="AO608" s="179"/>
    </row>
    <row r="609" ht="15.75" customHeight="1">
      <c r="AO609" s="179"/>
    </row>
    <row r="610" ht="15.75" customHeight="1">
      <c r="AO610" s="179"/>
    </row>
    <row r="611" ht="15.75" customHeight="1">
      <c r="AO611" s="179"/>
    </row>
    <row r="612" ht="15.75" customHeight="1">
      <c r="AO612" s="179"/>
    </row>
    <row r="613" ht="15.75" customHeight="1">
      <c r="AO613" s="179"/>
    </row>
    <row r="614" ht="15.75" customHeight="1">
      <c r="AO614" s="179"/>
    </row>
    <row r="615" ht="15.75" customHeight="1">
      <c r="AO615" s="179"/>
    </row>
    <row r="616" ht="15.75" customHeight="1">
      <c r="AO616" s="179"/>
    </row>
    <row r="617" ht="15.75" customHeight="1">
      <c r="AO617" s="179"/>
    </row>
    <row r="618" ht="15.75" customHeight="1">
      <c r="AO618" s="179"/>
    </row>
    <row r="619" ht="15.75" customHeight="1">
      <c r="AO619" s="179"/>
    </row>
    <row r="620" ht="15.75" customHeight="1">
      <c r="AO620" s="179"/>
    </row>
    <row r="621" ht="15.75" customHeight="1">
      <c r="AO621" s="179"/>
    </row>
    <row r="622" ht="15.75" customHeight="1">
      <c r="AO622" s="179"/>
    </row>
    <row r="623" ht="15.75" customHeight="1">
      <c r="AO623" s="179"/>
    </row>
    <row r="624" ht="15.75" customHeight="1">
      <c r="AO624" s="179"/>
    </row>
    <row r="625" ht="15.75" customHeight="1">
      <c r="AO625" s="179"/>
    </row>
    <row r="626" ht="15.75" customHeight="1">
      <c r="AO626" s="179"/>
    </row>
    <row r="627" ht="15.75" customHeight="1">
      <c r="AO627" s="179"/>
    </row>
    <row r="628" ht="15.75" customHeight="1">
      <c r="AO628" s="179"/>
    </row>
    <row r="629" ht="15.75" customHeight="1">
      <c r="AO629" s="179"/>
    </row>
    <row r="630" ht="15.75" customHeight="1">
      <c r="AO630" s="179"/>
    </row>
    <row r="631" ht="15.75" customHeight="1">
      <c r="AO631" s="179"/>
    </row>
    <row r="632" ht="15.75" customHeight="1">
      <c r="AO632" s="179"/>
    </row>
    <row r="633" ht="15.75" customHeight="1">
      <c r="AO633" s="179"/>
    </row>
    <row r="634" ht="15.75" customHeight="1">
      <c r="AO634" s="179"/>
    </row>
    <row r="635" ht="15.75" customHeight="1">
      <c r="AO635" s="179"/>
    </row>
    <row r="636" ht="15.75" customHeight="1">
      <c r="AO636" s="179"/>
    </row>
    <row r="637" ht="15.75" customHeight="1">
      <c r="AO637" s="179"/>
    </row>
    <row r="638" ht="15.75" customHeight="1">
      <c r="AO638" s="179"/>
    </row>
    <row r="639" ht="15.75" customHeight="1">
      <c r="AO639" s="179"/>
    </row>
    <row r="640" ht="15.75" customHeight="1">
      <c r="AO640" s="179"/>
    </row>
    <row r="641" ht="15.75" customHeight="1">
      <c r="AO641" s="179"/>
    </row>
    <row r="642" ht="15.75" customHeight="1">
      <c r="AO642" s="179"/>
    </row>
    <row r="643" ht="15.75" customHeight="1">
      <c r="AO643" s="179"/>
    </row>
    <row r="644" ht="15.75" customHeight="1">
      <c r="AO644" s="179"/>
    </row>
    <row r="645" ht="15.75" customHeight="1">
      <c r="AO645" s="179"/>
    </row>
    <row r="646" ht="15.75" customHeight="1">
      <c r="AO646" s="179"/>
    </row>
    <row r="647" ht="15.75" customHeight="1">
      <c r="AO647" s="179"/>
    </row>
    <row r="648" ht="15.75" customHeight="1">
      <c r="AO648" s="179"/>
    </row>
    <row r="649" ht="15.75" customHeight="1">
      <c r="AO649" s="179"/>
    </row>
    <row r="650" ht="15.75" customHeight="1">
      <c r="AO650" s="179"/>
    </row>
    <row r="651" ht="15.75" customHeight="1">
      <c r="AO651" s="179"/>
    </row>
    <row r="652" ht="15.75" customHeight="1">
      <c r="AO652" s="179"/>
    </row>
    <row r="653" ht="15.75" customHeight="1">
      <c r="AO653" s="179"/>
    </row>
    <row r="654" ht="15.75" customHeight="1">
      <c r="AO654" s="179"/>
    </row>
    <row r="655" ht="15.75" customHeight="1">
      <c r="AO655" s="179"/>
    </row>
    <row r="656" ht="15.75" customHeight="1">
      <c r="AO656" s="179"/>
    </row>
    <row r="657" ht="15.75" customHeight="1">
      <c r="AO657" s="179"/>
    </row>
    <row r="658" ht="15.75" customHeight="1">
      <c r="AO658" s="179"/>
    </row>
    <row r="659" ht="15.75" customHeight="1">
      <c r="AO659" s="179"/>
    </row>
    <row r="660" ht="15.75" customHeight="1">
      <c r="AO660" s="179"/>
    </row>
    <row r="661" ht="15.75" customHeight="1">
      <c r="AO661" s="179"/>
    </row>
    <row r="662" ht="15.75" customHeight="1">
      <c r="AO662" s="179"/>
    </row>
    <row r="663" ht="15.75" customHeight="1">
      <c r="AO663" s="179"/>
    </row>
    <row r="664" ht="15.75" customHeight="1">
      <c r="AO664" s="179"/>
    </row>
    <row r="665" ht="15.75" customHeight="1">
      <c r="AO665" s="179"/>
    </row>
    <row r="666" ht="15.75" customHeight="1">
      <c r="AO666" s="179"/>
    </row>
    <row r="667" ht="15.75" customHeight="1">
      <c r="AO667" s="179"/>
    </row>
    <row r="668" ht="15.75" customHeight="1">
      <c r="AO668" s="179"/>
    </row>
    <row r="669" ht="15.75" customHeight="1">
      <c r="AO669" s="179"/>
    </row>
    <row r="670" ht="15.75" customHeight="1">
      <c r="AO670" s="179"/>
    </row>
    <row r="671" ht="15.75" customHeight="1">
      <c r="AO671" s="179"/>
    </row>
    <row r="672" ht="15.75" customHeight="1">
      <c r="AO672" s="179"/>
    </row>
    <row r="673" ht="15.75" customHeight="1">
      <c r="AO673" s="179"/>
    </row>
    <row r="674" ht="15.75" customHeight="1">
      <c r="AO674" s="179"/>
    </row>
    <row r="675" ht="15.75" customHeight="1">
      <c r="AO675" s="179"/>
    </row>
    <row r="676" ht="15.75" customHeight="1">
      <c r="AO676" s="179"/>
    </row>
    <row r="677" ht="15.75" customHeight="1">
      <c r="AO677" s="179"/>
    </row>
    <row r="678" ht="15.75" customHeight="1">
      <c r="AO678" s="179"/>
    </row>
    <row r="679" ht="15.75" customHeight="1">
      <c r="AO679" s="179"/>
    </row>
    <row r="680" ht="15.75" customHeight="1">
      <c r="AO680" s="179"/>
    </row>
    <row r="681" ht="15.75" customHeight="1">
      <c r="AO681" s="179"/>
    </row>
    <row r="682" ht="15.75" customHeight="1">
      <c r="AO682" s="179"/>
    </row>
    <row r="683" ht="15.75" customHeight="1">
      <c r="AO683" s="179"/>
    </row>
    <row r="684" ht="15.75" customHeight="1">
      <c r="AO684" s="179"/>
    </row>
    <row r="685" ht="15.75" customHeight="1">
      <c r="AO685" s="179"/>
    </row>
    <row r="686" ht="15.75" customHeight="1">
      <c r="AO686" s="179"/>
    </row>
    <row r="687" ht="15.75" customHeight="1">
      <c r="AO687" s="179"/>
    </row>
    <row r="688" ht="15.75" customHeight="1">
      <c r="AO688" s="179"/>
    </row>
    <row r="689" ht="15.75" customHeight="1">
      <c r="AO689" s="179"/>
    </row>
    <row r="690" ht="15.75" customHeight="1">
      <c r="AO690" s="179"/>
    </row>
    <row r="691" ht="15.75" customHeight="1">
      <c r="AO691" s="179"/>
    </row>
    <row r="692" ht="15.75" customHeight="1">
      <c r="AO692" s="179"/>
    </row>
    <row r="693" ht="15.75" customHeight="1">
      <c r="AO693" s="179"/>
    </row>
    <row r="694" ht="15.75" customHeight="1">
      <c r="AO694" s="179"/>
    </row>
    <row r="695" ht="15.75" customHeight="1">
      <c r="AO695" s="179"/>
    </row>
    <row r="696" ht="15.75" customHeight="1">
      <c r="AO696" s="179"/>
    </row>
    <row r="697" ht="15.75" customHeight="1">
      <c r="AO697" s="179"/>
    </row>
    <row r="698" ht="15.75" customHeight="1">
      <c r="AO698" s="179"/>
    </row>
    <row r="699" ht="15.75" customHeight="1">
      <c r="AO699" s="179"/>
    </row>
    <row r="700" ht="15.75" customHeight="1">
      <c r="AO700" s="179"/>
    </row>
    <row r="701" ht="15.75" customHeight="1">
      <c r="AO701" s="179"/>
    </row>
    <row r="702" ht="15.75" customHeight="1">
      <c r="AO702" s="179"/>
    </row>
    <row r="703" ht="15.75" customHeight="1">
      <c r="AO703" s="179"/>
    </row>
    <row r="704" ht="15.75" customHeight="1">
      <c r="AO704" s="179"/>
    </row>
    <row r="705" ht="15.75" customHeight="1">
      <c r="AO705" s="179"/>
    </row>
    <row r="706" ht="15.75" customHeight="1">
      <c r="AO706" s="179"/>
    </row>
    <row r="707" ht="15.75" customHeight="1">
      <c r="AO707" s="179"/>
    </row>
    <row r="708" ht="15.75" customHeight="1">
      <c r="AO708" s="179"/>
    </row>
    <row r="709" ht="15.75" customHeight="1">
      <c r="AO709" s="179"/>
    </row>
    <row r="710" ht="15.75" customHeight="1">
      <c r="AO710" s="179"/>
    </row>
    <row r="711" ht="15.75" customHeight="1">
      <c r="AO711" s="179"/>
    </row>
    <row r="712" ht="15.75" customHeight="1">
      <c r="AO712" s="179"/>
    </row>
    <row r="713" ht="15.75" customHeight="1">
      <c r="AO713" s="179"/>
    </row>
    <row r="714" ht="15.75" customHeight="1">
      <c r="AO714" s="179"/>
    </row>
    <row r="715" ht="15.75" customHeight="1">
      <c r="AO715" s="179"/>
    </row>
    <row r="716" ht="15.75" customHeight="1">
      <c r="AO716" s="179"/>
    </row>
    <row r="717" ht="15.75" customHeight="1">
      <c r="AO717" s="179"/>
    </row>
    <row r="718" ht="15.75" customHeight="1">
      <c r="AO718" s="179"/>
    </row>
    <row r="719" ht="15.75" customHeight="1">
      <c r="AO719" s="179"/>
    </row>
    <row r="720" ht="15.75" customHeight="1">
      <c r="AO720" s="179"/>
    </row>
    <row r="721" ht="15.75" customHeight="1">
      <c r="AO721" s="179"/>
    </row>
    <row r="722" ht="15.75" customHeight="1">
      <c r="AO722" s="179"/>
    </row>
    <row r="723" ht="15.75" customHeight="1">
      <c r="AO723" s="179"/>
    </row>
    <row r="724" ht="15.75" customHeight="1">
      <c r="AO724" s="179"/>
    </row>
    <row r="725" ht="15.75" customHeight="1">
      <c r="AO725" s="179"/>
    </row>
    <row r="726" ht="15.75" customHeight="1">
      <c r="AO726" s="179"/>
    </row>
    <row r="727" ht="15.75" customHeight="1">
      <c r="AO727" s="179"/>
    </row>
    <row r="728" ht="15.75" customHeight="1">
      <c r="AO728" s="179"/>
    </row>
    <row r="729" ht="15.75" customHeight="1">
      <c r="AO729" s="179"/>
    </row>
    <row r="730" ht="15.75" customHeight="1">
      <c r="AO730" s="179"/>
    </row>
    <row r="731" ht="15.75" customHeight="1">
      <c r="AO731" s="179"/>
    </row>
    <row r="732" ht="15.75" customHeight="1">
      <c r="AO732" s="179"/>
    </row>
    <row r="733" ht="15.75" customHeight="1">
      <c r="AO733" s="179"/>
    </row>
    <row r="734" ht="15.75" customHeight="1">
      <c r="AO734" s="179"/>
    </row>
    <row r="735" ht="15.75" customHeight="1">
      <c r="AO735" s="179"/>
    </row>
    <row r="736" ht="15.75" customHeight="1">
      <c r="AO736" s="179"/>
    </row>
    <row r="737" ht="15.75" customHeight="1">
      <c r="AO737" s="179"/>
    </row>
    <row r="738" ht="15.75" customHeight="1">
      <c r="AO738" s="179"/>
    </row>
    <row r="739" ht="15.75" customHeight="1">
      <c r="AO739" s="179"/>
    </row>
    <row r="740" ht="15.75" customHeight="1">
      <c r="AO740" s="179"/>
    </row>
    <row r="741" ht="15.75" customHeight="1">
      <c r="AO741" s="179"/>
    </row>
    <row r="742" ht="15.75" customHeight="1">
      <c r="AO742" s="179"/>
    </row>
    <row r="743" ht="15.75" customHeight="1">
      <c r="AO743" s="179"/>
    </row>
    <row r="744" ht="15.75" customHeight="1">
      <c r="AO744" s="179"/>
    </row>
    <row r="745" ht="15.75" customHeight="1">
      <c r="AO745" s="179"/>
    </row>
    <row r="746" ht="15.75" customHeight="1">
      <c r="AO746" s="179"/>
    </row>
    <row r="747" ht="15.75" customHeight="1">
      <c r="AO747" s="179"/>
    </row>
    <row r="748" ht="15.75" customHeight="1">
      <c r="AO748" s="179"/>
    </row>
    <row r="749" ht="15.75" customHeight="1">
      <c r="AO749" s="179"/>
    </row>
    <row r="750" ht="15.75" customHeight="1">
      <c r="AO750" s="179"/>
    </row>
    <row r="751" ht="15.75" customHeight="1">
      <c r="AO751" s="179"/>
    </row>
    <row r="752" ht="15.75" customHeight="1">
      <c r="AO752" s="179"/>
    </row>
    <row r="753" ht="15.75" customHeight="1">
      <c r="AO753" s="179"/>
    </row>
    <row r="754" ht="15.75" customHeight="1">
      <c r="AO754" s="179"/>
    </row>
    <row r="755" ht="15.75" customHeight="1">
      <c r="AO755" s="179"/>
    </row>
    <row r="756" ht="15.75" customHeight="1">
      <c r="AO756" s="179"/>
    </row>
    <row r="757" ht="15.75" customHeight="1">
      <c r="AO757" s="179"/>
    </row>
    <row r="758" ht="15.75" customHeight="1">
      <c r="AO758" s="179"/>
    </row>
    <row r="759" ht="15.75" customHeight="1">
      <c r="AO759" s="179"/>
    </row>
    <row r="760" ht="15.75" customHeight="1">
      <c r="AO760" s="179"/>
    </row>
    <row r="761" ht="15.75" customHeight="1">
      <c r="AO761" s="179"/>
    </row>
    <row r="762" ht="15.75" customHeight="1">
      <c r="AO762" s="179"/>
    </row>
    <row r="763" ht="15.75" customHeight="1">
      <c r="AO763" s="179"/>
    </row>
    <row r="764" ht="15.75" customHeight="1">
      <c r="AO764" s="179"/>
    </row>
    <row r="765" ht="15.75" customHeight="1">
      <c r="AO765" s="179"/>
    </row>
    <row r="766" ht="15.75" customHeight="1">
      <c r="AO766" s="179"/>
    </row>
    <row r="767" ht="15.75" customHeight="1">
      <c r="AO767" s="179"/>
    </row>
    <row r="768" ht="15.75" customHeight="1">
      <c r="AO768" s="179"/>
    </row>
    <row r="769" ht="15.75" customHeight="1">
      <c r="AO769" s="179"/>
    </row>
    <row r="770" ht="15.75" customHeight="1">
      <c r="AO770" s="179"/>
    </row>
    <row r="771" ht="15.75" customHeight="1">
      <c r="AO771" s="179"/>
    </row>
    <row r="772" ht="15.75" customHeight="1">
      <c r="AO772" s="179"/>
    </row>
    <row r="773" ht="15.75" customHeight="1">
      <c r="AO773" s="179"/>
    </row>
    <row r="774" ht="15.75" customHeight="1">
      <c r="AO774" s="179"/>
    </row>
    <row r="775" ht="15.75" customHeight="1">
      <c r="AO775" s="179"/>
    </row>
    <row r="776" ht="15.75" customHeight="1">
      <c r="AO776" s="179"/>
    </row>
    <row r="777" ht="15.75" customHeight="1">
      <c r="AO777" s="179"/>
    </row>
    <row r="778" ht="15.75" customHeight="1">
      <c r="AO778" s="179"/>
    </row>
    <row r="779" ht="15.75" customHeight="1">
      <c r="AO779" s="179"/>
    </row>
    <row r="780" ht="15.75" customHeight="1">
      <c r="AO780" s="179"/>
    </row>
    <row r="781" ht="15.75" customHeight="1">
      <c r="AO781" s="179"/>
    </row>
    <row r="782" ht="15.75" customHeight="1">
      <c r="AO782" s="179"/>
    </row>
    <row r="783" ht="15.75" customHeight="1">
      <c r="AO783" s="179"/>
    </row>
    <row r="784" ht="15.75" customHeight="1">
      <c r="AO784" s="179"/>
    </row>
    <row r="785" ht="15.75" customHeight="1">
      <c r="AO785" s="179"/>
    </row>
    <row r="786" ht="15.75" customHeight="1">
      <c r="AO786" s="179"/>
    </row>
    <row r="787" ht="15.75" customHeight="1">
      <c r="AO787" s="179"/>
    </row>
    <row r="788" ht="15.75" customHeight="1">
      <c r="AO788" s="179"/>
    </row>
    <row r="789" ht="15.75" customHeight="1">
      <c r="AO789" s="179"/>
    </row>
    <row r="790" ht="15.75" customHeight="1">
      <c r="AO790" s="179"/>
    </row>
    <row r="791" ht="15.75" customHeight="1">
      <c r="AO791" s="179"/>
    </row>
    <row r="792" ht="15.75" customHeight="1">
      <c r="AO792" s="179"/>
    </row>
    <row r="793" ht="15.75" customHeight="1">
      <c r="AO793" s="179"/>
    </row>
    <row r="794" ht="15.75" customHeight="1">
      <c r="AO794" s="179"/>
    </row>
    <row r="795" ht="15.75" customHeight="1">
      <c r="AO795" s="179"/>
    </row>
    <row r="796" ht="15.75" customHeight="1">
      <c r="AO796" s="179"/>
    </row>
    <row r="797" ht="15.75" customHeight="1">
      <c r="AO797" s="179"/>
    </row>
    <row r="798" ht="15.75" customHeight="1">
      <c r="AO798" s="179"/>
    </row>
    <row r="799" ht="15.75" customHeight="1">
      <c r="AO799" s="179"/>
    </row>
    <row r="800" ht="15.75" customHeight="1">
      <c r="AO800" s="179"/>
    </row>
    <row r="801" ht="15.75" customHeight="1">
      <c r="AO801" s="179"/>
    </row>
    <row r="802" ht="15.75" customHeight="1">
      <c r="AO802" s="179"/>
    </row>
    <row r="803" ht="15.75" customHeight="1">
      <c r="AO803" s="179"/>
    </row>
    <row r="804" ht="15.75" customHeight="1">
      <c r="AO804" s="179"/>
    </row>
    <row r="805" ht="15.75" customHeight="1">
      <c r="AO805" s="179"/>
    </row>
    <row r="806" ht="15.75" customHeight="1">
      <c r="AO806" s="179"/>
    </row>
    <row r="807" ht="15.75" customHeight="1">
      <c r="AO807" s="179"/>
    </row>
    <row r="808" ht="15.75" customHeight="1">
      <c r="AO808" s="179"/>
    </row>
    <row r="809" ht="15.75" customHeight="1">
      <c r="AO809" s="179"/>
    </row>
    <row r="810" ht="15.75" customHeight="1">
      <c r="AO810" s="179"/>
    </row>
    <row r="811" ht="15.75" customHeight="1">
      <c r="AO811" s="179"/>
    </row>
    <row r="812" ht="15.75" customHeight="1">
      <c r="AO812" s="179"/>
    </row>
    <row r="813" ht="15.75" customHeight="1">
      <c r="AO813" s="179"/>
    </row>
    <row r="814" ht="15.75" customHeight="1">
      <c r="AO814" s="179"/>
    </row>
    <row r="815" ht="15.75" customHeight="1">
      <c r="AO815" s="179"/>
    </row>
    <row r="816" ht="15.75" customHeight="1">
      <c r="AO816" s="179"/>
    </row>
    <row r="817" ht="15.75" customHeight="1">
      <c r="AO817" s="179"/>
    </row>
    <row r="818" ht="15.75" customHeight="1">
      <c r="AO818" s="179"/>
    </row>
    <row r="819" ht="15.75" customHeight="1">
      <c r="AO819" s="179"/>
    </row>
    <row r="820" ht="15.75" customHeight="1">
      <c r="AO820" s="179"/>
    </row>
    <row r="821" ht="15.75" customHeight="1">
      <c r="AO821" s="179"/>
    </row>
    <row r="822" ht="15.75" customHeight="1">
      <c r="AO822" s="179"/>
    </row>
    <row r="823" ht="15.75" customHeight="1">
      <c r="AO823" s="179"/>
    </row>
    <row r="824" ht="15.75" customHeight="1">
      <c r="AO824" s="179"/>
    </row>
    <row r="825" ht="15.75" customHeight="1">
      <c r="AO825" s="179"/>
    </row>
    <row r="826" ht="15.75" customHeight="1">
      <c r="AO826" s="179"/>
    </row>
    <row r="827" ht="15.75" customHeight="1">
      <c r="AO827" s="179"/>
    </row>
    <row r="828" ht="15.75" customHeight="1">
      <c r="AO828" s="179"/>
    </row>
    <row r="829" ht="15.75" customHeight="1">
      <c r="AO829" s="179"/>
    </row>
    <row r="830" ht="15.75" customHeight="1">
      <c r="AO830" s="179"/>
    </row>
    <row r="831" ht="15.75" customHeight="1">
      <c r="AO831" s="179"/>
    </row>
    <row r="832" ht="15.75" customHeight="1">
      <c r="AO832" s="179"/>
    </row>
    <row r="833" ht="15.75" customHeight="1">
      <c r="AO833" s="179"/>
    </row>
    <row r="834" ht="15.75" customHeight="1">
      <c r="AO834" s="179"/>
    </row>
    <row r="835" ht="15.75" customHeight="1">
      <c r="AO835" s="179"/>
    </row>
    <row r="836" ht="15.75" customHeight="1">
      <c r="AO836" s="179"/>
    </row>
    <row r="837" ht="15.75" customHeight="1">
      <c r="AO837" s="179"/>
    </row>
    <row r="838" ht="15.75" customHeight="1">
      <c r="AO838" s="179"/>
    </row>
    <row r="839" ht="15.75" customHeight="1">
      <c r="AO839" s="179"/>
    </row>
    <row r="840" ht="15.75" customHeight="1">
      <c r="AO840" s="179"/>
    </row>
    <row r="841" ht="15.75" customHeight="1">
      <c r="AO841" s="179"/>
    </row>
    <row r="842" ht="15.75" customHeight="1">
      <c r="AO842" s="179"/>
    </row>
    <row r="843" ht="15.75" customHeight="1">
      <c r="AO843" s="179"/>
    </row>
    <row r="844" ht="15.75" customHeight="1">
      <c r="AO844" s="179"/>
    </row>
    <row r="845" ht="15.75" customHeight="1">
      <c r="AO845" s="179"/>
    </row>
    <row r="846" ht="15.75" customHeight="1">
      <c r="AO846" s="179"/>
    </row>
    <row r="847" ht="15.75" customHeight="1">
      <c r="AO847" s="179"/>
    </row>
    <row r="848" ht="15.75" customHeight="1">
      <c r="AO848" s="179"/>
    </row>
    <row r="849" ht="15.75" customHeight="1">
      <c r="AO849" s="179"/>
    </row>
    <row r="850" ht="15.75" customHeight="1">
      <c r="AO850" s="179"/>
    </row>
    <row r="851" ht="15.75" customHeight="1">
      <c r="AO851" s="179"/>
    </row>
    <row r="852" ht="15.75" customHeight="1">
      <c r="AO852" s="179"/>
    </row>
    <row r="853" ht="15.75" customHeight="1">
      <c r="AO853" s="179"/>
    </row>
    <row r="854" ht="15.75" customHeight="1">
      <c r="AO854" s="179"/>
    </row>
    <row r="855" ht="15.75" customHeight="1">
      <c r="AO855" s="179"/>
    </row>
    <row r="856" ht="15.75" customHeight="1">
      <c r="AO856" s="179"/>
    </row>
    <row r="857" ht="15.75" customHeight="1">
      <c r="AO857" s="179"/>
    </row>
    <row r="858" ht="15.75" customHeight="1">
      <c r="AO858" s="179"/>
    </row>
    <row r="859" ht="15.75" customHeight="1">
      <c r="AO859" s="179"/>
    </row>
    <row r="860" ht="15.75" customHeight="1">
      <c r="AO860" s="179"/>
    </row>
    <row r="861" ht="15.75" customHeight="1">
      <c r="AO861" s="179"/>
    </row>
    <row r="862" ht="15.75" customHeight="1">
      <c r="AO862" s="179"/>
    </row>
    <row r="863" ht="15.75" customHeight="1">
      <c r="AO863" s="179"/>
    </row>
    <row r="864" ht="15.75" customHeight="1">
      <c r="AO864" s="179"/>
    </row>
    <row r="865" ht="15.75" customHeight="1">
      <c r="AO865" s="179"/>
    </row>
    <row r="866" ht="15.75" customHeight="1">
      <c r="AO866" s="179"/>
    </row>
    <row r="867" ht="15.75" customHeight="1">
      <c r="AO867" s="179"/>
    </row>
    <row r="868" ht="15.75" customHeight="1">
      <c r="AO868" s="179"/>
    </row>
    <row r="869" ht="15.75" customHeight="1">
      <c r="AO869" s="179"/>
    </row>
    <row r="870" ht="15.75" customHeight="1">
      <c r="AO870" s="179"/>
    </row>
    <row r="871" ht="15.75" customHeight="1">
      <c r="AO871" s="179"/>
    </row>
    <row r="872" ht="15.75" customHeight="1">
      <c r="AO872" s="179"/>
    </row>
    <row r="873" ht="15.75" customHeight="1">
      <c r="AO873" s="179"/>
    </row>
    <row r="874" ht="15.75" customHeight="1">
      <c r="AO874" s="179"/>
    </row>
    <row r="875" ht="15.75" customHeight="1">
      <c r="AO875" s="179"/>
    </row>
    <row r="876" ht="15.75" customHeight="1">
      <c r="AO876" s="179"/>
    </row>
    <row r="877" ht="15.75" customHeight="1">
      <c r="AO877" s="179"/>
    </row>
    <row r="878" ht="15.75" customHeight="1">
      <c r="AO878" s="179"/>
    </row>
    <row r="879" ht="15.75" customHeight="1">
      <c r="AO879" s="179"/>
    </row>
    <row r="880" ht="15.75" customHeight="1">
      <c r="AO880" s="179"/>
    </row>
    <row r="881" ht="15.75" customHeight="1">
      <c r="AO881" s="179"/>
    </row>
    <row r="882" ht="15.75" customHeight="1">
      <c r="AO882" s="179"/>
    </row>
    <row r="883" ht="15.75" customHeight="1">
      <c r="AO883" s="179"/>
    </row>
    <row r="884" ht="15.75" customHeight="1">
      <c r="AO884" s="179"/>
    </row>
    <row r="885" ht="15.75" customHeight="1">
      <c r="AO885" s="179"/>
    </row>
    <row r="886" ht="15.75" customHeight="1">
      <c r="AO886" s="179"/>
    </row>
    <row r="887" ht="15.75" customHeight="1">
      <c r="AO887" s="179"/>
    </row>
    <row r="888" ht="15.75" customHeight="1">
      <c r="AO888" s="179"/>
    </row>
    <row r="889" ht="15.75" customHeight="1">
      <c r="AO889" s="179"/>
    </row>
    <row r="890" ht="15.75" customHeight="1">
      <c r="AO890" s="179"/>
    </row>
    <row r="891" ht="15.75" customHeight="1">
      <c r="AO891" s="179"/>
    </row>
    <row r="892" ht="15.75" customHeight="1">
      <c r="AO892" s="179"/>
    </row>
    <row r="893" ht="15.75" customHeight="1">
      <c r="AO893" s="179"/>
    </row>
    <row r="894" ht="15.75" customHeight="1">
      <c r="AO894" s="179"/>
    </row>
    <row r="895" ht="15.75" customHeight="1">
      <c r="AO895" s="179"/>
    </row>
    <row r="896" ht="15.75" customHeight="1">
      <c r="AO896" s="179"/>
    </row>
    <row r="897" ht="15.75" customHeight="1">
      <c r="AO897" s="179"/>
    </row>
    <row r="898" ht="15.75" customHeight="1">
      <c r="AO898" s="179"/>
    </row>
    <row r="899" ht="15.75" customHeight="1">
      <c r="AO899" s="179"/>
    </row>
    <row r="900" ht="15.75" customHeight="1">
      <c r="AO900" s="179"/>
    </row>
    <row r="901" ht="15.75" customHeight="1">
      <c r="AO901" s="179"/>
    </row>
    <row r="902" ht="15.75" customHeight="1">
      <c r="AO902" s="179"/>
    </row>
    <row r="903" ht="15.75" customHeight="1">
      <c r="AO903" s="179"/>
    </row>
    <row r="904" ht="15.75" customHeight="1">
      <c r="AO904" s="179"/>
    </row>
    <row r="905" ht="15.75" customHeight="1">
      <c r="AO905" s="179"/>
    </row>
    <row r="906" ht="15.75" customHeight="1">
      <c r="AO906" s="179"/>
    </row>
    <row r="907" ht="15.75" customHeight="1">
      <c r="AO907" s="179"/>
    </row>
    <row r="908" ht="15.75" customHeight="1">
      <c r="AO908" s="179"/>
    </row>
    <row r="909" ht="15.75" customHeight="1">
      <c r="AO909" s="179"/>
    </row>
    <row r="910" ht="15.75" customHeight="1">
      <c r="AO910" s="179"/>
    </row>
    <row r="911" ht="15.75" customHeight="1">
      <c r="AO911" s="179"/>
    </row>
    <row r="912" ht="15.75" customHeight="1">
      <c r="AO912" s="179"/>
    </row>
    <row r="913" ht="15.75" customHeight="1">
      <c r="AO913" s="179"/>
    </row>
    <row r="914" ht="15.75" customHeight="1">
      <c r="AO914" s="179"/>
    </row>
    <row r="915" ht="15.75" customHeight="1">
      <c r="AO915" s="179"/>
    </row>
    <row r="916" ht="15.75" customHeight="1">
      <c r="AO916" s="179"/>
    </row>
    <row r="917" ht="15.75" customHeight="1">
      <c r="AO917" s="179"/>
    </row>
    <row r="918" ht="15.75" customHeight="1">
      <c r="AO918" s="179"/>
    </row>
    <row r="919" ht="15.75" customHeight="1">
      <c r="AO919" s="179"/>
    </row>
    <row r="920" ht="15.75" customHeight="1">
      <c r="AO920" s="179"/>
    </row>
    <row r="921" ht="15.75" customHeight="1">
      <c r="AO921" s="179"/>
    </row>
    <row r="922" ht="15.75" customHeight="1">
      <c r="AO922" s="179"/>
    </row>
    <row r="923" ht="15.75" customHeight="1">
      <c r="AO923" s="179"/>
    </row>
    <row r="924" ht="15.75" customHeight="1">
      <c r="AO924" s="179"/>
    </row>
    <row r="925" ht="15.75" customHeight="1">
      <c r="AO925" s="179"/>
    </row>
    <row r="926" ht="15.75" customHeight="1">
      <c r="AO926" s="179"/>
    </row>
    <row r="927" ht="15.75" customHeight="1">
      <c r="AO927" s="179"/>
    </row>
    <row r="928" ht="15.75" customHeight="1">
      <c r="AO928" s="179"/>
    </row>
    <row r="929" ht="15.75" customHeight="1">
      <c r="AO929" s="179"/>
    </row>
    <row r="930" ht="15.75" customHeight="1">
      <c r="AO930" s="179"/>
    </row>
    <row r="931" ht="15.75" customHeight="1">
      <c r="AO931" s="179"/>
    </row>
    <row r="932" ht="15.75" customHeight="1">
      <c r="AO932" s="179"/>
    </row>
    <row r="933" ht="15.75" customHeight="1">
      <c r="AO933" s="179"/>
    </row>
    <row r="934" ht="15.75" customHeight="1">
      <c r="AO934" s="179"/>
    </row>
    <row r="935" ht="15.75" customHeight="1">
      <c r="AO935" s="179"/>
    </row>
    <row r="936" ht="15.75" customHeight="1">
      <c r="AO936" s="179"/>
    </row>
    <row r="937" ht="15.75" customHeight="1">
      <c r="AO937" s="179"/>
    </row>
    <row r="938" ht="15.75" customHeight="1">
      <c r="AO938" s="179"/>
    </row>
    <row r="939" ht="15.75" customHeight="1">
      <c r="AO939" s="179"/>
    </row>
    <row r="940" ht="15.75" customHeight="1">
      <c r="AO940" s="179"/>
    </row>
    <row r="941" ht="15.75" customHeight="1">
      <c r="AO941" s="179"/>
    </row>
    <row r="942" ht="15.75" customHeight="1">
      <c r="AO942" s="179"/>
    </row>
    <row r="943" ht="15.75" customHeight="1">
      <c r="AO943" s="179"/>
    </row>
    <row r="944" ht="15.75" customHeight="1">
      <c r="AO944" s="179"/>
    </row>
    <row r="945" ht="15.75" customHeight="1">
      <c r="AO945" s="179"/>
    </row>
    <row r="946" ht="15.75" customHeight="1">
      <c r="AO946" s="179"/>
    </row>
    <row r="947" ht="15.75" customHeight="1">
      <c r="AO947" s="179"/>
    </row>
    <row r="948" ht="15.75" customHeight="1">
      <c r="AO948" s="179"/>
    </row>
    <row r="949" ht="15.75" customHeight="1">
      <c r="AO949" s="179"/>
    </row>
    <row r="950" ht="15.75" customHeight="1">
      <c r="AO950" s="179"/>
    </row>
    <row r="951" ht="15.75" customHeight="1">
      <c r="AO951" s="179"/>
    </row>
    <row r="952" ht="15.75" customHeight="1">
      <c r="AO952" s="179"/>
    </row>
    <row r="953" ht="15.75" customHeight="1">
      <c r="AO953" s="179"/>
    </row>
    <row r="954" ht="15.75" customHeight="1">
      <c r="AO954" s="179"/>
    </row>
    <row r="955" ht="15.75" customHeight="1">
      <c r="AO955" s="179"/>
    </row>
    <row r="956" ht="15.75" customHeight="1">
      <c r="AO956" s="179"/>
    </row>
    <row r="957" ht="15.75" customHeight="1">
      <c r="AO957" s="179"/>
    </row>
    <row r="958" ht="15.75" customHeight="1">
      <c r="AO958" s="179"/>
    </row>
    <row r="959" ht="15.75" customHeight="1">
      <c r="AO959" s="179"/>
    </row>
    <row r="960" ht="15.75" customHeight="1">
      <c r="AO960" s="179"/>
    </row>
    <row r="961" ht="15.75" customHeight="1">
      <c r="AO961" s="179"/>
    </row>
    <row r="962" ht="15.75" customHeight="1">
      <c r="AO962" s="179"/>
    </row>
    <row r="963" ht="15.75" customHeight="1">
      <c r="AO963" s="179"/>
    </row>
    <row r="964" ht="15.75" customHeight="1">
      <c r="AO964" s="179"/>
    </row>
    <row r="965" ht="15.75" customHeight="1">
      <c r="AO965" s="179"/>
    </row>
    <row r="966" ht="15.75" customHeight="1">
      <c r="AO966" s="179"/>
    </row>
    <row r="967" ht="15.75" customHeight="1">
      <c r="AO967" s="179"/>
    </row>
    <row r="968" ht="15.75" customHeight="1">
      <c r="AO968" s="179"/>
    </row>
    <row r="969" ht="15.75" customHeight="1">
      <c r="AO969" s="179"/>
    </row>
    <row r="970" ht="15.75" customHeight="1">
      <c r="AO970" s="179"/>
    </row>
    <row r="971" ht="15.75" customHeight="1">
      <c r="AO971" s="179"/>
    </row>
    <row r="972" ht="15.75" customHeight="1">
      <c r="AO972" s="179"/>
    </row>
    <row r="973" ht="15.75" customHeight="1">
      <c r="AO973" s="179"/>
    </row>
    <row r="974" ht="15.75" customHeight="1">
      <c r="AO974" s="179"/>
    </row>
    <row r="975" ht="15.75" customHeight="1">
      <c r="AO975" s="179"/>
    </row>
    <row r="976" ht="15.75" customHeight="1">
      <c r="AO976" s="179"/>
    </row>
    <row r="977" ht="15.75" customHeight="1">
      <c r="AO977" s="179"/>
    </row>
    <row r="978" ht="15.75" customHeight="1">
      <c r="AO978" s="179"/>
    </row>
    <row r="979" ht="15.75" customHeight="1">
      <c r="AO979" s="179"/>
    </row>
    <row r="980" ht="15.75" customHeight="1">
      <c r="AO980" s="179"/>
    </row>
    <row r="981" ht="15.75" customHeight="1">
      <c r="AO981" s="179"/>
    </row>
    <row r="982" ht="15.75" customHeight="1">
      <c r="AO982" s="179"/>
    </row>
    <row r="983" ht="15.75" customHeight="1">
      <c r="AO983" s="179"/>
    </row>
    <row r="984" ht="15.75" customHeight="1">
      <c r="AO984" s="179"/>
    </row>
    <row r="985" ht="15.75" customHeight="1">
      <c r="AO985" s="179"/>
    </row>
    <row r="986" ht="15.75" customHeight="1">
      <c r="AO986" s="179"/>
    </row>
    <row r="987" ht="15.75" customHeight="1">
      <c r="AO987" s="179"/>
    </row>
    <row r="988" ht="15.75" customHeight="1">
      <c r="AO988" s="179"/>
    </row>
    <row r="989" ht="15.75" customHeight="1">
      <c r="AO989" s="179"/>
    </row>
    <row r="990" ht="15.75" customHeight="1">
      <c r="AO990" s="179"/>
    </row>
    <row r="991" ht="15.75" customHeight="1">
      <c r="AO991" s="179"/>
    </row>
    <row r="992" ht="15.75" customHeight="1">
      <c r="AO992" s="179"/>
    </row>
    <row r="993" ht="15.75" customHeight="1">
      <c r="AO993" s="179"/>
    </row>
    <row r="994" ht="15.75" customHeight="1">
      <c r="AO994" s="179"/>
    </row>
    <row r="995" ht="15.75" customHeight="1">
      <c r="AO995" s="179"/>
    </row>
    <row r="996" ht="15.75" customHeight="1">
      <c r="AO996" s="179"/>
    </row>
    <row r="997" ht="15.75" customHeight="1">
      <c r="AO997" s="179"/>
    </row>
    <row r="998" ht="15.75" customHeight="1">
      <c r="AO998" s="179"/>
    </row>
    <row r="999" ht="15.75" customHeight="1">
      <c r="AO999" s="179"/>
    </row>
    <row r="1000" ht="15.75" customHeight="1">
      <c r="AO1000" s="179"/>
    </row>
  </sheetData>
  <mergeCells count="1">
    <mergeCell ref="A1:AP1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71"/>
    <col customWidth="1" min="2" max="2" width="22.0"/>
    <col customWidth="1" min="3" max="3" width="7.86"/>
    <col customWidth="1" min="4" max="4" width="8.86"/>
    <col customWidth="1" min="5" max="33" width="5.14"/>
    <col customWidth="1" min="34" max="34" width="10.0"/>
    <col customWidth="1" min="35" max="35" width="11.0"/>
    <col customWidth="1" min="36" max="38" width="16.0"/>
  </cols>
  <sheetData>
    <row r="1" ht="30.0" customHeight="1">
      <c r="A1" s="24" t="s">
        <v>534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ht="30.0" customHeight="1">
      <c r="A2" s="136" t="s">
        <v>211</v>
      </c>
      <c r="B2" s="176">
        <v>7.0</v>
      </c>
      <c r="C2" s="136" t="s">
        <v>212</v>
      </c>
      <c r="D2" s="176">
        <v>2026.0</v>
      </c>
      <c r="E2" s="230" t="s">
        <v>344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</row>
    <row r="3" ht="3.7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</row>
    <row r="4" ht="24.0" customHeight="1">
      <c r="A4" s="231" t="s">
        <v>174</v>
      </c>
      <c r="B4" s="231" t="s">
        <v>535</v>
      </c>
      <c r="C4" s="232">
        <v>1.0</v>
      </c>
      <c r="D4" s="232">
        <v>2.0</v>
      </c>
      <c r="E4" s="232">
        <v>3.0</v>
      </c>
      <c r="F4" s="232">
        <v>4.0</v>
      </c>
      <c r="G4" s="232">
        <v>5.0</v>
      </c>
      <c r="H4" s="232">
        <v>6.0</v>
      </c>
      <c r="I4" s="232">
        <v>7.0</v>
      </c>
      <c r="J4" s="232">
        <v>8.0</v>
      </c>
      <c r="K4" s="232">
        <v>9.0</v>
      </c>
      <c r="L4" s="232">
        <v>10.0</v>
      </c>
      <c r="M4" s="232">
        <v>11.0</v>
      </c>
      <c r="N4" s="232">
        <v>12.0</v>
      </c>
      <c r="O4" s="232">
        <v>13.0</v>
      </c>
      <c r="P4" s="232">
        <v>14.0</v>
      </c>
      <c r="Q4" s="232">
        <v>15.0</v>
      </c>
      <c r="R4" s="232">
        <v>16.0</v>
      </c>
      <c r="S4" s="232">
        <v>17.0</v>
      </c>
      <c r="T4" s="232">
        <v>18.0</v>
      </c>
      <c r="U4" s="232">
        <v>19.0</v>
      </c>
      <c r="V4" s="232">
        <v>20.0</v>
      </c>
      <c r="W4" s="232">
        <v>21.0</v>
      </c>
      <c r="X4" s="232">
        <v>22.0</v>
      </c>
      <c r="Y4" s="232">
        <v>23.0</v>
      </c>
      <c r="Z4" s="232">
        <v>24.0</v>
      </c>
      <c r="AA4" s="232">
        <v>25.0</v>
      </c>
      <c r="AB4" s="232">
        <v>26.0</v>
      </c>
      <c r="AC4" s="232">
        <v>27.0</v>
      </c>
      <c r="AD4" s="232">
        <v>28.0</v>
      </c>
      <c r="AE4" s="232">
        <v>29.0</v>
      </c>
      <c r="AF4" s="232">
        <v>30.0</v>
      </c>
      <c r="AG4" s="232">
        <v>31.0</v>
      </c>
      <c r="AH4" s="233" t="s">
        <v>340</v>
      </c>
      <c r="AI4" s="233" t="s">
        <v>150</v>
      </c>
      <c r="AJ4" s="233" t="s">
        <v>536</v>
      </c>
      <c r="AK4" s="233" t="s">
        <v>537</v>
      </c>
      <c r="AL4" s="233" t="s">
        <v>538</v>
      </c>
    </row>
    <row r="5" ht="18.0" customHeight="1">
      <c r="A5" s="234" t="s">
        <v>539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6"/>
    </row>
    <row r="6" ht="15.75" customHeight="1">
      <c r="A6" s="237">
        <f>IF($B6&lt;&gt;"",1,"")</f>
        <v>1</v>
      </c>
      <c r="B6" s="238" t="str">
        <f t="array" ref="B6">IFERROR(INDEX(DANH_MUC!$E:$E,4),"")</f>
        <v>19H09482</v>
      </c>
      <c r="C6" s="239">
        <f>IF(C$4&gt;DAY(EOMONTH(DATE($D$2,$B$2,1),0)),"",IFERROR(SUMIFS(DATA_GOC!$H:$H,DATA_GOC!$A:$A,"BOM",DATA_GOC!$D:$D,$B6,DATA_GOC!$E:$E,"Téc 1",DATA_GOC!$F:$F,"Xuất nội bộ từ téc",DATA_GOC!$B:$B,DATE($D$2,$B$2,C$4)),0))</f>
        <v>0</v>
      </c>
      <c r="D6" s="239">
        <f>IF(D$4&gt;DAY(EOMONTH(DATE($D$2,$B$2,1),0)),"",IFERROR(SUMIFS(DATA_GOC!$H:$H,DATA_GOC!$A:$A,"BOM",DATA_GOC!$D:$D,$B6,DATA_GOC!$E:$E,"Téc 1",DATA_GOC!$F:$F,"Xuất nội bộ từ téc",DATA_GOC!$B:$B,DATE($D$2,$B$2,D$4)),0))</f>
        <v>0</v>
      </c>
      <c r="E6" s="239">
        <f>IF(E$4&gt;DAY(EOMONTH(DATE($D$2,$B$2,1),0)),"",IFERROR(SUMIFS(DATA_GOC!$H:$H,DATA_GOC!$A:$A,"BOM",DATA_GOC!$D:$D,$B6,DATA_GOC!$E:$E,"Téc 1",DATA_GOC!$F:$F,"Xuất nội bộ từ téc",DATA_GOC!$B:$B,DATE($D$2,$B$2,E$4)),0))</f>
        <v>0</v>
      </c>
      <c r="F6" s="239">
        <f>IF(F$4&gt;DAY(EOMONTH(DATE($D$2,$B$2,1),0)),"",IFERROR(SUMIFS(DATA_GOC!$H:$H,DATA_GOC!$A:$A,"BOM",DATA_GOC!$D:$D,$B6,DATA_GOC!$E:$E,"Téc 1",DATA_GOC!$F:$F,"Xuất nội bộ từ téc",DATA_GOC!$B:$B,DATE($D$2,$B$2,F$4)),0))</f>
        <v>0</v>
      </c>
      <c r="G6" s="239">
        <f>IF(G$4&gt;DAY(EOMONTH(DATE($D$2,$B$2,1),0)),"",IFERROR(SUMIFS(DATA_GOC!$H:$H,DATA_GOC!$A:$A,"BOM",DATA_GOC!$D:$D,$B6,DATA_GOC!$E:$E,"Téc 1",DATA_GOC!$F:$F,"Xuất nội bộ từ téc",DATA_GOC!$B:$B,DATE($D$2,$B$2,G$4)),0))</f>
        <v>0</v>
      </c>
      <c r="H6" s="239">
        <f>IF(H$4&gt;DAY(EOMONTH(DATE($D$2,$B$2,1),0)),"",IFERROR(SUMIFS(DATA_GOC!$H:$H,DATA_GOC!$A:$A,"BOM",DATA_GOC!$D:$D,$B6,DATA_GOC!$E:$E,"Téc 1",DATA_GOC!$F:$F,"Xuất nội bộ từ téc",DATA_GOC!$B:$B,DATE($D$2,$B$2,H$4)),0))</f>
        <v>0</v>
      </c>
      <c r="I6" s="239">
        <f>IF(I$4&gt;DAY(EOMONTH(DATE($D$2,$B$2,1),0)),"",IFERROR(SUMIFS(DATA_GOC!$H:$H,DATA_GOC!$A:$A,"BOM",DATA_GOC!$D:$D,$B6,DATA_GOC!$E:$E,"Téc 1",DATA_GOC!$F:$F,"Xuất nội bộ từ téc",DATA_GOC!$B:$B,DATE($D$2,$B$2,I$4)),0))</f>
        <v>0</v>
      </c>
      <c r="J6" s="239">
        <f>IF(J$4&gt;DAY(EOMONTH(DATE($D$2,$B$2,1),0)),"",IFERROR(SUMIFS(DATA_GOC!$H:$H,DATA_GOC!$A:$A,"BOM",DATA_GOC!$D:$D,$B6,DATA_GOC!$E:$E,"Téc 1",DATA_GOC!$F:$F,"Xuất nội bộ từ téc",DATA_GOC!$B:$B,DATE($D$2,$B$2,J$4)),0))</f>
        <v>0</v>
      </c>
      <c r="K6" s="239">
        <f>IF(K$4&gt;DAY(EOMONTH(DATE($D$2,$B$2,1),0)),"",IFERROR(SUMIFS(DATA_GOC!$H:$H,DATA_GOC!$A:$A,"BOM",DATA_GOC!$D:$D,$B6,DATA_GOC!$E:$E,"Téc 1",DATA_GOC!$F:$F,"Xuất nội bộ từ téc",DATA_GOC!$B:$B,DATE($D$2,$B$2,K$4)),0))</f>
        <v>0</v>
      </c>
      <c r="L6" s="239">
        <f>IF(L$4&gt;DAY(EOMONTH(DATE($D$2,$B$2,1),0)),"",IFERROR(SUMIFS(DATA_GOC!$H:$H,DATA_GOC!$A:$A,"BOM",DATA_GOC!$D:$D,$B6,DATA_GOC!$E:$E,"Téc 1",DATA_GOC!$F:$F,"Xuất nội bộ từ téc",DATA_GOC!$B:$B,DATE($D$2,$B$2,L$4)),0))</f>
        <v>0</v>
      </c>
      <c r="M6" s="239">
        <f>IF(M$4&gt;DAY(EOMONTH(DATE($D$2,$B$2,1),0)),"",IFERROR(SUMIFS(DATA_GOC!$H:$H,DATA_GOC!$A:$A,"BOM",DATA_GOC!$D:$D,$B6,DATA_GOC!$E:$E,"Téc 1",DATA_GOC!$F:$F,"Xuất nội bộ từ téc",DATA_GOC!$B:$B,DATE($D$2,$B$2,M$4)),0))</f>
        <v>0</v>
      </c>
      <c r="N6" s="239">
        <f>IF(N$4&gt;DAY(EOMONTH(DATE($D$2,$B$2,1),0)),"",IFERROR(SUMIFS(DATA_GOC!$H:$H,DATA_GOC!$A:$A,"BOM",DATA_GOC!$D:$D,$B6,DATA_GOC!$E:$E,"Téc 1",DATA_GOC!$F:$F,"Xuất nội bộ từ téc",DATA_GOC!$B:$B,DATE($D$2,$B$2,N$4)),0))</f>
        <v>0</v>
      </c>
      <c r="O6" s="239">
        <f>IF(O$4&gt;DAY(EOMONTH(DATE($D$2,$B$2,1),0)),"",IFERROR(SUMIFS(DATA_GOC!$H:$H,DATA_GOC!$A:$A,"BOM",DATA_GOC!$D:$D,$B6,DATA_GOC!$E:$E,"Téc 1",DATA_GOC!$F:$F,"Xuất nội bộ từ téc",DATA_GOC!$B:$B,DATE($D$2,$B$2,O$4)),0))</f>
        <v>0</v>
      </c>
      <c r="P6" s="239">
        <f>IF(P$4&gt;DAY(EOMONTH(DATE($D$2,$B$2,1),0)),"",IFERROR(SUMIFS(DATA_GOC!$H:$H,DATA_GOC!$A:$A,"BOM",DATA_GOC!$D:$D,$B6,DATA_GOC!$E:$E,"Téc 1",DATA_GOC!$F:$F,"Xuất nội bộ từ téc",DATA_GOC!$B:$B,DATE($D$2,$B$2,P$4)),0))</f>
        <v>0</v>
      </c>
      <c r="Q6" s="239">
        <f>IF(Q$4&gt;DAY(EOMONTH(DATE($D$2,$B$2,1),0)),"",IFERROR(SUMIFS(DATA_GOC!$H:$H,DATA_GOC!$A:$A,"BOM",DATA_GOC!$D:$D,$B6,DATA_GOC!$E:$E,"Téc 1",DATA_GOC!$F:$F,"Xuất nội bộ từ téc",DATA_GOC!$B:$B,DATE($D$2,$B$2,Q$4)),0))</f>
        <v>0</v>
      </c>
      <c r="R6" s="239">
        <f>IF(R$4&gt;DAY(EOMONTH(DATE($D$2,$B$2,1),0)),"",IFERROR(SUMIFS(DATA_GOC!$H:$H,DATA_GOC!$A:$A,"BOM",DATA_GOC!$D:$D,$B6,DATA_GOC!$E:$E,"Téc 1",DATA_GOC!$F:$F,"Xuất nội bộ từ téc",DATA_GOC!$B:$B,DATE($D$2,$B$2,R$4)),0))</f>
        <v>0</v>
      </c>
      <c r="S6" s="239">
        <f>IF(S$4&gt;DAY(EOMONTH(DATE($D$2,$B$2,1),0)),"",IFERROR(SUMIFS(DATA_GOC!$H:$H,DATA_GOC!$A:$A,"BOM",DATA_GOC!$D:$D,$B6,DATA_GOC!$E:$E,"Téc 1",DATA_GOC!$F:$F,"Xuất nội bộ từ téc",DATA_GOC!$B:$B,DATE($D$2,$B$2,S$4)),0))</f>
        <v>0</v>
      </c>
      <c r="T6" s="239">
        <f>IF(T$4&gt;DAY(EOMONTH(DATE($D$2,$B$2,1),0)),"",IFERROR(SUMIFS(DATA_GOC!$H:$H,DATA_GOC!$A:$A,"BOM",DATA_GOC!$D:$D,$B6,DATA_GOC!$E:$E,"Téc 1",DATA_GOC!$F:$F,"Xuất nội bộ từ téc",DATA_GOC!$B:$B,DATE($D$2,$B$2,T$4)),0))</f>
        <v>0</v>
      </c>
      <c r="U6" s="239">
        <f>IF(U$4&gt;DAY(EOMONTH(DATE($D$2,$B$2,1),0)),"",IFERROR(SUMIFS(DATA_GOC!$H:$H,DATA_GOC!$A:$A,"BOM",DATA_GOC!$D:$D,$B6,DATA_GOC!$E:$E,"Téc 1",DATA_GOC!$F:$F,"Xuất nội bộ từ téc",DATA_GOC!$B:$B,DATE($D$2,$B$2,U$4)),0))</f>
        <v>0</v>
      </c>
      <c r="V6" s="239">
        <f>IF(V$4&gt;DAY(EOMONTH(DATE($D$2,$B$2,1),0)),"",IFERROR(SUMIFS(DATA_GOC!$H:$H,DATA_GOC!$A:$A,"BOM",DATA_GOC!$D:$D,$B6,DATA_GOC!$E:$E,"Téc 1",DATA_GOC!$F:$F,"Xuất nội bộ từ téc",DATA_GOC!$B:$B,DATE($D$2,$B$2,V$4)),0))</f>
        <v>0</v>
      </c>
      <c r="W6" s="239">
        <f>IF(W$4&gt;DAY(EOMONTH(DATE($D$2,$B$2,1),0)),"",IFERROR(SUMIFS(DATA_GOC!$H:$H,DATA_GOC!$A:$A,"BOM",DATA_GOC!$D:$D,$B6,DATA_GOC!$E:$E,"Téc 1",DATA_GOC!$F:$F,"Xuất nội bộ từ téc",DATA_GOC!$B:$B,DATE($D$2,$B$2,W$4)),0))</f>
        <v>0</v>
      </c>
      <c r="X6" s="239">
        <f>IF(X$4&gt;DAY(EOMONTH(DATE($D$2,$B$2,1),0)),"",IFERROR(SUMIFS(DATA_GOC!$H:$H,DATA_GOC!$A:$A,"BOM",DATA_GOC!$D:$D,$B6,DATA_GOC!$E:$E,"Téc 1",DATA_GOC!$F:$F,"Xuất nội bộ từ téc",DATA_GOC!$B:$B,DATE($D$2,$B$2,X$4)),0))</f>
        <v>0</v>
      </c>
      <c r="Y6" s="239">
        <f>IF(Y$4&gt;DAY(EOMONTH(DATE($D$2,$B$2,1),0)),"",IFERROR(SUMIFS(DATA_GOC!$H:$H,DATA_GOC!$A:$A,"BOM",DATA_GOC!$D:$D,$B6,DATA_GOC!$E:$E,"Téc 1",DATA_GOC!$F:$F,"Xuất nội bộ từ téc",DATA_GOC!$B:$B,DATE($D$2,$B$2,Y$4)),0))</f>
        <v>0</v>
      </c>
      <c r="Z6" s="239">
        <f>IF(Z$4&gt;DAY(EOMONTH(DATE($D$2,$B$2,1),0)),"",IFERROR(SUMIFS(DATA_GOC!$H:$H,DATA_GOC!$A:$A,"BOM",DATA_GOC!$D:$D,$B6,DATA_GOC!$E:$E,"Téc 1",DATA_GOC!$F:$F,"Xuất nội bộ từ téc",DATA_GOC!$B:$B,DATE($D$2,$B$2,Z$4)),0))</f>
        <v>0</v>
      </c>
      <c r="AA6" s="239">
        <f>IF(AA$4&gt;DAY(EOMONTH(DATE($D$2,$B$2,1),0)),"",IFERROR(SUMIFS(DATA_GOC!$H:$H,DATA_GOC!$A:$A,"BOM",DATA_GOC!$D:$D,$B6,DATA_GOC!$E:$E,"Téc 1",DATA_GOC!$F:$F,"Xuất nội bộ từ téc",DATA_GOC!$B:$B,DATE($D$2,$B$2,AA$4)),0))</f>
        <v>0</v>
      </c>
      <c r="AB6" s="239">
        <f>IF(AB$4&gt;DAY(EOMONTH(DATE($D$2,$B$2,1),0)),"",IFERROR(SUMIFS(DATA_GOC!$H:$H,DATA_GOC!$A:$A,"BOM",DATA_GOC!$D:$D,$B6,DATA_GOC!$E:$E,"Téc 1",DATA_GOC!$F:$F,"Xuất nội bộ từ téc",DATA_GOC!$B:$B,DATE($D$2,$B$2,AB$4)),0))</f>
        <v>0</v>
      </c>
      <c r="AC6" s="239">
        <f>IF(AC$4&gt;DAY(EOMONTH(DATE($D$2,$B$2,1),0)),"",IFERROR(SUMIFS(DATA_GOC!$H:$H,DATA_GOC!$A:$A,"BOM",DATA_GOC!$D:$D,$B6,DATA_GOC!$E:$E,"Téc 1",DATA_GOC!$F:$F,"Xuất nội bộ từ téc",DATA_GOC!$B:$B,DATE($D$2,$B$2,AC$4)),0))</f>
        <v>0</v>
      </c>
      <c r="AD6" s="239">
        <f>IF(AD$4&gt;DAY(EOMONTH(DATE($D$2,$B$2,1),0)),"",IFERROR(SUMIFS(DATA_GOC!$H:$H,DATA_GOC!$A:$A,"BOM",DATA_GOC!$D:$D,$B6,DATA_GOC!$E:$E,"Téc 1",DATA_GOC!$F:$F,"Xuất nội bộ từ téc",DATA_GOC!$B:$B,DATE($D$2,$B$2,AD$4)),0))</f>
        <v>0</v>
      </c>
      <c r="AE6" s="239">
        <f>IF(AE$4&gt;DAY(EOMONTH(DATE($D$2,$B$2,1),0)),"",IFERROR(SUMIFS(DATA_GOC!$H:$H,DATA_GOC!$A:$A,"BOM",DATA_GOC!$D:$D,$B6,DATA_GOC!$E:$E,"Téc 1",DATA_GOC!$F:$F,"Xuất nội bộ từ téc",DATA_GOC!$B:$B,DATE($D$2,$B$2,AE$4)),0))</f>
        <v>0</v>
      </c>
      <c r="AF6" s="239">
        <f>IF(AF$4&gt;DAY(EOMONTH(DATE($D$2,$B$2,1),0)),"",IFERROR(SUMIFS(DATA_GOC!$H:$H,DATA_GOC!$A:$A,"BOM",DATA_GOC!$D:$D,$B6,DATA_GOC!$E:$E,"Téc 1",DATA_GOC!$F:$F,"Xuất nội bộ từ téc",DATA_GOC!$B:$B,DATE($D$2,$B$2,AF$4)),0))</f>
        <v>0</v>
      </c>
      <c r="AG6" s="239">
        <f>IF(AG$4&gt;DAY(EOMONTH(DATE($D$2,$B$2,1),0)),"",IFERROR(SUMIFS(DATA_GOC!$H:$H,DATA_GOC!$A:$A,"BOM",DATA_GOC!$D:$D,$B6,DATA_GOC!$E:$E,"Téc 1",DATA_GOC!$F:$F,"Xuất nội bộ từ téc",DATA_GOC!$B:$B,DATE($D$2,$B$2,AG$4)),0))</f>
        <v>0</v>
      </c>
      <c r="AH6" s="240">
        <f t="shared" ref="AH6:AH63" si="1">SUM(C6:AG6)</f>
        <v>0</v>
      </c>
      <c r="AI6" s="241"/>
      <c r="AJ6" s="239">
        <f>IF($B6="","",SUMIFS(TINH_TEC!$K$233:$K$9232,TINH_TEC!$H$233:$H$9232,$B6,TINH_TEC!$C$233:$C$9232,"Téc 1",TINH_TEC!$F$233:$F$9232,$B$2,TINH_TEC!$G$233:$G$9232,$D$2,TINH_TEC!$B$233:$B$9232,"Đã chốt"))</f>
        <v>0</v>
      </c>
      <c r="AK6" s="242">
        <f>IF($B6="","",SUMIFS(TINH_TEC!$J$233:$J$9232,TINH_TEC!$H$233:$H$9232,$B6,TINH_TEC!$C$233:$C$9232,"Téc 1",TINH_TEC!$F$233:$F$9232,$B$2,TINH_TEC!$G$233:$G$9232,$D$2,TINH_TEC!$B$233:$B$9232,"Đã chốt"))</f>
        <v>0</v>
      </c>
      <c r="AL6" s="239">
        <f t="shared" ref="AL6:AL63" si="2">IF($B6="","",N(AH6)+N(AI6)+N(AK6)-N(AJ6))</f>
        <v>0</v>
      </c>
    </row>
    <row r="7" ht="15.75" customHeight="1">
      <c r="A7" s="237">
        <f>IF($B7&lt;&gt;"",2,"")</f>
        <v>2</v>
      </c>
      <c r="B7" s="238" t="str">
        <f t="array" ref="B7">IFERROR(INDEX(DANH_MUC!$E:$E,5),"")</f>
        <v>28A30696</v>
      </c>
      <c r="C7" s="239">
        <f>IF(C$4&gt;DAY(EOMONTH(DATE($D$2,$B$2,1),0)),"",IFERROR(SUMIFS(DATA_GOC!$H:$H,DATA_GOC!$A:$A,"BOM",DATA_GOC!$D:$D,$B7,DATA_GOC!$E:$E,"Téc 1",DATA_GOC!$F:$F,"Xuất nội bộ từ téc",DATA_GOC!$B:$B,DATE($D$2,$B$2,C$4)),0))</f>
        <v>0</v>
      </c>
      <c r="D7" s="239">
        <f>IF(D$4&gt;DAY(EOMONTH(DATE($D$2,$B$2,1),0)),"",IFERROR(SUMIFS(DATA_GOC!$H:$H,DATA_GOC!$A:$A,"BOM",DATA_GOC!$D:$D,$B7,DATA_GOC!$E:$E,"Téc 1",DATA_GOC!$F:$F,"Xuất nội bộ từ téc",DATA_GOC!$B:$B,DATE($D$2,$B$2,D$4)),0))</f>
        <v>0</v>
      </c>
      <c r="E7" s="239">
        <f>IF(E$4&gt;DAY(EOMONTH(DATE($D$2,$B$2,1),0)),"",IFERROR(SUMIFS(DATA_GOC!$H:$H,DATA_GOC!$A:$A,"BOM",DATA_GOC!$D:$D,$B7,DATA_GOC!$E:$E,"Téc 1",DATA_GOC!$F:$F,"Xuất nội bộ từ téc",DATA_GOC!$B:$B,DATE($D$2,$B$2,E$4)),0))</f>
        <v>0</v>
      </c>
      <c r="F7" s="239">
        <f>IF(F$4&gt;DAY(EOMONTH(DATE($D$2,$B$2,1),0)),"",IFERROR(SUMIFS(DATA_GOC!$H:$H,DATA_GOC!$A:$A,"BOM",DATA_GOC!$D:$D,$B7,DATA_GOC!$E:$E,"Téc 1",DATA_GOC!$F:$F,"Xuất nội bộ từ téc",DATA_GOC!$B:$B,DATE($D$2,$B$2,F$4)),0))</f>
        <v>0</v>
      </c>
      <c r="G7" s="239">
        <f>IF(G$4&gt;DAY(EOMONTH(DATE($D$2,$B$2,1),0)),"",IFERROR(SUMIFS(DATA_GOC!$H:$H,DATA_GOC!$A:$A,"BOM",DATA_GOC!$D:$D,$B7,DATA_GOC!$E:$E,"Téc 1",DATA_GOC!$F:$F,"Xuất nội bộ từ téc",DATA_GOC!$B:$B,DATE($D$2,$B$2,G$4)),0))</f>
        <v>0</v>
      </c>
      <c r="H7" s="239">
        <f>IF(H$4&gt;DAY(EOMONTH(DATE($D$2,$B$2,1),0)),"",IFERROR(SUMIFS(DATA_GOC!$H:$H,DATA_GOC!$A:$A,"BOM",DATA_GOC!$D:$D,$B7,DATA_GOC!$E:$E,"Téc 1",DATA_GOC!$F:$F,"Xuất nội bộ từ téc",DATA_GOC!$B:$B,DATE($D$2,$B$2,H$4)),0))</f>
        <v>0</v>
      </c>
      <c r="I7" s="239">
        <f>IF(I$4&gt;DAY(EOMONTH(DATE($D$2,$B$2,1),0)),"",IFERROR(SUMIFS(DATA_GOC!$H:$H,DATA_GOC!$A:$A,"BOM",DATA_GOC!$D:$D,$B7,DATA_GOC!$E:$E,"Téc 1",DATA_GOC!$F:$F,"Xuất nội bộ từ téc",DATA_GOC!$B:$B,DATE($D$2,$B$2,I$4)),0))</f>
        <v>0</v>
      </c>
      <c r="J7" s="239">
        <f>IF(J$4&gt;DAY(EOMONTH(DATE($D$2,$B$2,1),0)),"",IFERROR(SUMIFS(DATA_GOC!$H:$H,DATA_GOC!$A:$A,"BOM",DATA_GOC!$D:$D,$B7,DATA_GOC!$E:$E,"Téc 1",DATA_GOC!$F:$F,"Xuất nội bộ từ téc",DATA_GOC!$B:$B,DATE($D$2,$B$2,J$4)),0))</f>
        <v>0</v>
      </c>
      <c r="K7" s="239">
        <f>IF(K$4&gt;DAY(EOMONTH(DATE($D$2,$B$2,1),0)),"",IFERROR(SUMIFS(DATA_GOC!$H:$H,DATA_GOC!$A:$A,"BOM",DATA_GOC!$D:$D,$B7,DATA_GOC!$E:$E,"Téc 1",DATA_GOC!$F:$F,"Xuất nội bộ từ téc",DATA_GOC!$B:$B,DATE($D$2,$B$2,K$4)),0))</f>
        <v>0</v>
      </c>
      <c r="L7" s="239">
        <f>IF(L$4&gt;DAY(EOMONTH(DATE($D$2,$B$2,1),0)),"",IFERROR(SUMIFS(DATA_GOC!$H:$H,DATA_GOC!$A:$A,"BOM",DATA_GOC!$D:$D,$B7,DATA_GOC!$E:$E,"Téc 1",DATA_GOC!$F:$F,"Xuất nội bộ từ téc",DATA_GOC!$B:$B,DATE($D$2,$B$2,L$4)),0))</f>
        <v>0</v>
      </c>
      <c r="M7" s="239">
        <f>IF(M$4&gt;DAY(EOMONTH(DATE($D$2,$B$2,1),0)),"",IFERROR(SUMIFS(DATA_GOC!$H:$H,DATA_GOC!$A:$A,"BOM",DATA_GOC!$D:$D,$B7,DATA_GOC!$E:$E,"Téc 1",DATA_GOC!$F:$F,"Xuất nội bộ từ téc",DATA_GOC!$B:$B,DATE($D$2,$B$2,M$4)),0))</f>
        <v>0</v>
      </c>
      <c r="N7" s="239">
        <f>IF(N$4&gt;DAY(EOMONTH(DATE($D$2,$B$2,1),0)),"",IFERROR(SUMIFS(DATA_GOC!$H:$H,DATA_GOC!$A:$A,"BOM",DATA_GOC!$D:$D,$B7,DATA_GOC!$E:$E,"Téc 1",DATA_GOC!$F:$F,"Xuất nội bộ từ téc",DATA_GOC!$B:$B,DATE($D$2,$B$2,N$4)),0))</f>
        <v>0</v>
      </c>
      <c r="O7" s="239">
        <f>IF(O$4&gt;DAY(EOMONTH(DATE($D$2,$B$2,1),0)),"",IFERROR(SUMIFS(DATA_GOC!$H:$H,DATA_GOC!$A:$A,"BOM",DATA_GOC!$D:$D,$B7,DATA_GOC!$E:$E,"Téc 1",DATA_GOC!$F:$F,"Xuất nội bộ từ téc",DATA_GOC!$B:$B,DATE($D$2,$B$2,O$4)),0))</f>
        <v>0</v>
      </c>
      <c r="P7" s="239">
        <f>IF(P$4&gt;DAY(EOMONTH(DATE($D$2,$B$2,1),0)),"",IFERROR(SUMIFS(DATA_GOC!$H:$H,DATA_GOC!$A:$A,"BOM",DATA_GOC!$D:$D,$B7,DATA_GOC!$E:$E,"Téc 1",DATA_GOC!$F:$F,"Xuất nội bộ từ téc",DATA_GOC!$B:$B,DATE($D$2,$B$2,P$4)),0))</f>
        <v>0</v>
      </c>
      <c r="Q7" s="239">
        <f>IF(Q$4&gt;DAY(EOMONTH(DATE($D$2,$B$2,1),0)),"",IFERROR(SUMIFS(DATA_GOC!$H:$H,DATA_GOC!$A:$A,"BOM",DATA_GOC!$D:$D,$B7,DATA_GOC!$E:$E,"Téc 1",DATA_GOC!$F:$F,"Xuất nội bộ từ téc",DATA_GOC!$B:$B,DATE($D$2,$B$2,Q$4)),0))</f>
        <v>0</v>
      </c>
      <c r="R7" s="239">
        <f>IF(R$4&gt;DAY(EOMONTH(DATE($D$2,$B$2,1),0)),"",IFERROR(SUMIFS(DATA_GOC!$H:$H,DATA_GOC!$A:$A,"BOM",DATA_GOC!$D:$D,$B7,DATA_GOC!$E:$E,"Téc 1",DATA_GOC!$F:$F,"Xuất nội bộ từ téc",DATA_GOC!$B:$B,DATE($D$2,$B$2,R$4)),0))</f>
        <v>0</v>
      </c>
      <c r="S7" s="239">
        <f>IF(S$4&gt;DAY(EOMONTH(DATE($D$2,$B$2,1),0)),"",IFERROR(SUMIFS(DATA_GOC!$H:$H,DATA_GOC!$A:$A,"BOM",DATA_GOC!$D:$D,$B7,DATA_GOC!$E:$E,"Téc 1",DATA_GOC!$F:$F,"Xuất nội bộ từ téc",DATA_GOC!$B:$B,DATE($D$2,$B$2,S$4)),0))</f>
        <v>0</v>
      </c>
      <c r="T7" s="239">
        <f>IF(T$4&gt;DAY(EOMONTH(DATE($D$2,$B$2,1),0)),"",IFERROR(SUMIFS(DATA_GOC!$H:$H,DATA_GOC!$A:$A,"BOM",DATA_GOC!$D:$D,$B7,DATA_GOC!$E:$E,"Téc 1",DATA_GOC!$F:$F,"Xuất nội bộ từ téc",DATA_GOC!$B:$B,DATE($D$2,$B$2,T$4)),0))</f>
        <v>0</v>
      </c>
      <c r="U7" s="239">
        <f>IF(U$4&gt;DAY(EOMONTH(DATE($D$2,$B$2,1),0)),"",IFERROR(SUMIFS(DATA_GOC!$H:$H,DATA_GOC!$A:$A,"BOM",DATA_GOC!$D:$D,$B7,DATA_GOC!$E:$E,"Téc 1",DATA_GOC!$F:$F,"Xuất nội bộ từ téc",DATA_GOC!$B:$B,DATE($D$2,$B$2,U$4)),0))</f>
        <v>0</v>
      </c>
      <c r="V7" s="239">
        <f>IF(V$4&gt;DAY(EOMONTH(DATE($D$2,$B$2,1),0)),"",IFERROR(SUMIFS(DATA_GOC!$H:$H,DATA_GOC!$A:$A,"BOM",DATA_GOC!$D:$D,$B7,DATA_GOC!$E:$E,"Téc 1",DATA_GOC!$F:$F,"Xuất nội bộ từ téc",DATA_GOC!$B:$B,DATE($D$2,$B$2,V$4)),0))</f>
        <v>0</v>
      </c>
      <c r="W7" s="239">
        <f>IF(W$4&gt;DAY(EOMONTH(DATE($D$2,$B$2,1),0)),"",IFERROR(SUMIFS(DATA_GOC!$H:$H,DATA_GOC!$A:$A,"BOM",DATA_GOC!$D:$D,$B7,DATA_GOC!$E:$E,"Téc 1",DATA_GOC!$F:$F,"Xuất nội bộ từ téc",DATA_GOC!$B:$B,DATE($D$2,$B$2,W$4)),0))</f>
        <v>0</v>
      </c>
      <c r="X7" s="239">
        <f>IF(X$4&gt;DAY(EOMONTH(DATE($D$2,$B$2,1),0)),"",IFERROR(SUMIFS(DATA_GOC!$H:$H,DATA_GOC!$A:$A,"BOM",DATA_GOC!$D:$D,$B7,DATA_GOC!$E:$E,"Téc 1",DATA_GOC!$F:$F,"Xuất nội bộ từ téc",DATA_GOC!$B:$B,DATE($D$2,$B$2,X$4)),0))</f>
        <v>0</v>
      </c>
      <c r="Y7" s="239">
        <f>IF(Y$4&gt;DAY(EOMONTH(DATE($D$2,$B$2,1),0)),"",IFERROR(SUMIFS(DATA_GOC!$H:$H,DATA_GOC!$A:$A,"BOM",DATA_GOC!$D:$D,$B7,DATA_GOC!$E:$E,"Téc 1",DATA_GOC!$F:$F,"Xuất nội bộ từ téc",DATA_GOC!$B:$B,DATE($D$2,$B$2,Y$4)),0))</f>
        <v>0</v>
      </c>
      <c r="Z7" s="239">
        <f>IF(Z$4&gt;DAY(EOMONTH(DATE($D$2,$B$2,1),0)),"",IFERROR(SUMIFS(DATA_GOC!$H:$H,DATA_GOC!$A:$A,"BOM",DATA_GOC!$D:$D,$B7,DATA_GOC!$E:$E,"Téc 1",DATA_GOC!$F:$F,"Xuất nội bộ từ téc",DATA_GOC!$B:$B,DATE($D$2,$B$2,Z$4)),0))</f>
        <v>0</v>
      </c>
      <c r="AA7" s="239">
        <f>IF(AA$4&gt;DAY(EOMONTH(DATE($D$2,$B$2,1),0)),"",IFERROR(SUMIFS(DATA_GOC!$H:$H,DATA_GOC!$A:$A,"BOM",DATA_GOC!$D:$D,$B7,DATA_GOC!$E:$E,"Téc 1",DATA_GOC!$F:$F,"Xuất nội bộ từ téc",DATA_GOC!$B:$B,DATE($D$2,$B$2,AA$4)),0))</f>
        <v>0</v>
      </c>
      <c r="AB7" s="239">
        <f>IF(AB$4&gt;DAY(EOMONTH(DATE($D$2,$B$2,1),0)),"",IFERROR(SUMIFS(DATA_GOC!$H:$H,DATA_GOC!$A:$A,"BOM",DATA_GOC!$D:$D,$B7,DATA_GOC!$E:$E,"Téc 1",DATA_GOC!$F:$F,"Xuất nội bộ từ téc",DATA_GOC!$B:$B,DATE($D$2,$B$2,AB$4)),0))</f>
        <v>0</v>
      </c>
      <c r="AC7" s="239">
        <f>IF(AC$4&gt;DAY(EOMONTH(DATE($D$2,$B$2,1),0)),"",IFERROR(SUMIFS(DATA_GOC!$H:$H,DATA_GOC!$A:$A,"BOM",DATA_GOC!$D:$D,$B7,DATA_GOC!$E:$E,"Téc 1",DATA_GOC!$F:$F,"Xuất nội bộ từ téc",DATA_GOC!$B:$B,DATE($D$2,$B$2,AC$4)),0))</f>
        <v>0</v>
      </c>
      <c r="AD7" s="239">
        <f>IF(AD$4&gt;DAY(EOMONTH(DATE($D$2,$B$2,1),0)),"",IFERROR(SUMIFS(DATA_GOC!$H:$H,DATA_GOC!$A:$A,"BOM",DATA_GOC!$D:$D,$B7,DATA_GOC!$E:$E,"Téc 1",DATA_GOC!$F:$F,"Xuất nội bộ từ téc",DATA_GOC!$B:$B,DATE($D$2,$B$2,AD$4)),0))</f>
        <v>0</v>
      </c>
      <c r="AE7" s="239">
        <f>IF(AE$4&gt;DAY(EOMONTH(DATE($D$2,$B$2,1),0)),"",IFERROR(SUMIFS(DATA_GOC!$H:$H,DATA_GOC!$A:$A,"BOM",DATA_GOC!$D:$D,$B7,DATA_GOC!$E:$E,"Téc 1",DATA_GOC!$F:$F,"Xuất nội bộ từ téc",DATA_GOC!$B:$B,DATE($D$2,$B$2,AE$4)),0))</f>
        <v>0</v>
      </c>
      <c r="AF7" s="239">
        <f>IF(AF$4&gt;DAY(EOMONTH(DATE($D$2,$B$2,1),0)),"",IFERROR(SUMIFS(DATA_GOC!$H:$H,DATA_GOC!$A:$A,"BOM",DATA_GOC!$D:$D,$B7,DATA_GOC!$E:$E,"Téc 1",DATA_GOC!$F:$F,"Xuất nội bộ từ téc",DATA_GOC!$B:$B,DATE($D$2,$B$2,AF$4)),0))</f>
        <v>0</v>
      </c>
      <c r="AG7" s="239">
        <f>IF(AG$4&gt;DAY(EOMONTH(DATE($D$2,$B$2,1),0)),"",IFERROR(SUMIFS(DATA_GOC!$H:$H,DATA_GOC!$A:$A,"BOM",DATA_GOC!$D:$D,$B7,DATA_GOC!$E:$E,"Téc 1",DATA_GOC!$F:$F,"Xuất nội bộ từ téc",DATA_GOC!$B:$B,DATE($D$2,$B$2,AG$4)),0))</f>
        <v>0</v>
      </c>
      <c r="AH7" s="240">
        <f t="shared" si="1"/>
        <v>0</v>
      </c>
      <c r="AI7" s="241"/>
      <c r="AJ7" s="239">
        <f>IF($B7="","",SUMIFS(TINH_TEC!$K$233:$K$9232,TINH_TEC!$H$233:$H$9232,$B7,TINH_TEC!$C$233:$C$9232,"Téc 1",TINH_TEC!$F$233:$F$9232,$B$2,TINH_TEC!$G$233:$G$9232,$D$2,TINH_TEC!$B$233:$B$9232,"Đã chốt"))</f>
        <v>0</v>
      </c>
      <c r="AK7" s="239">
        <f>IF($B7="","",SUMIFS(TINH_TEC!$J$233:$J$9232,TINH_TEC!$H$233:$H$9232,$B7,TINH_TEC!$C$233:$C$9232,"Téc 1",TINH_TEC!$F$233:$F$9232,$B$2,TINH_TEC!$G$233:$G$9232,$D$2,TINH_TEC!$B$233:$B$9232,"Đã chốt"))</f>
        <v>0</v>
      </c>
      <c r="AL7" s="239">
        <f t="shared" si="2"/>
        <v>0</v>
      </c>
    </row>
    <row r="8" ht="15.75" customHeight="1">
      <c r="A8" s="237">
        <f>IF($B8&lt;&gt;"",3,"")</f>
        <v>3</v>
      </c>
      <c r="B8" s="238" t="str">
        <f t="array" ref="B8">IFERROR(INDEX(DANH_MUC!$E:$E,6),"")</f>
        <v>28C00462</v>
      </c>
      <c r="C8" s="239">
        <f>IF(C$4&gt;DAY(EOMONTH(DATE($D$2,$B$2,1),0)),"",IFERROR(SUMIFS(DATA_GOC!$H:$H,DATA_GOC!$A:$A,"BOM",DATA_GOC!$D:$D,$B8,DATA_GOC!$E:$E,"Téc 1",DATA_GOC!$F:$F,"Xuất nội bộ từ téc",DATA_GOC!$B:$B,DATE($D$2,$B$2,C$4)),0))</f>
        <v>0</v>
      </c>
      <c r="D8" s="239">
        <f>IF(D$4&gt;DAY(EOMONTH(DATE($D$2,$B$2,1),0)),"",IFERROR(SUMIFS(DATA_GOC!$H:$H,DATA_GOC!$A:$A,"BOM",DATA_GOC!$D:$D,$B8,DATA_GOC!$E:$E,"Téc 1",DATA_GOC!$F:$F,"Xuất nội bộ từ téc",DATA_GOC!$B:$B,DATE($D$2,$B$2,D$4)),0))</f>
        <v>0</v>
      </c>
      <c r="E8" s="239">
        <f>IF(E$4&gt;DAY(EOMONTH(DATE($D$2,$B$2,1),0)),"",IFERROR(SUMIFS(DATA_GOC!$H:$H,DATA_GOC!$A:$A,"BOM",DATA_GOC!$D:$D,$B8,DATA_GOC!$E:$E,"Téc 1",DATA_GOC!$F:$F,"Xuất nội bộ từ téc",DATA_GOC!$B:$B,DATE($D$2,$B$2,E$4)),0))</f>
        <v>0</v>
      </c>
      <c r="F8" s="239">
        <f>IF(F$4&gt;DAY(EOMONTH(DATE($D$2,$B$2,1),0)),"",IFERROR(SUMIFS(DATA_GOC!$H:$H,DATA_GOC!$A:$A,"BOM",DATA_GOC!$D:$D,$B8,DATA_GOC!$E:$E,"Téc 1",DATA_GOC!$F:$F,"Xuất nội bộ từ téc",DATA_GOC!$B:$B,DATE($D$2,$B$2,F$4)),0))</f>
        <v>0</v>
      </c>
      <c r="G8" s="239">
        <f>IF(G$4&gt;DAY(EOMONTH(DATE($D$2,$B$2,1),0)),"",IFERROR(SUMIFS(DATA_GOC!$H:$H,DATA_GOC!$A:$A,"BOM",DATA_GOC!$D:$D,$B8,DATA_GOC!$E:$E,"Téc 1",DATA_GOC!$F:$F,"Xuất nội bộ từ téc",DATA_GOC!$B:$B,DATE($D$2,$B$2,G$4)),0))</f>
        <v>0</v>
      </c>
      <c r="H8" s="239">
        <f>IF(H$4&gt;DAY(EOMONTH(DATE($D$2,$B$2,1),0)),"",IFERROR(SUMIFS(DATA_GOC!$H:$H,DATA_GOC!$A:$A,"BOM",DATA_GOC!$D:$D,$B8,DATA_GOC!$E:$E,"Téc 1",DATA_GOC!$F:$F,"Xuất nội bộ từ téc",DATA_GOC!$B:$B,DATE($D$2,$B$2,H$4)),0))</f>
        <v>0</v>
      </c>
      <c r="I8" s="239">
        <f>IF(I$4&gt;DAY(EOMONTH(DATE($D$2,$B$2,1),0)),"",IFERROR(SUMIFS(DATA_GOC!$H:$H,DATA_GOC!$A:$A,"BOM",DATA_GOC!$D:$D,$B8,DATA_GOC!$E:$E,"Téc 1",DATA_GOC!$F:$F,"Xuất nội bộ từ téc",DATA_GOC!$B:$B,DATE($D$2,$B$2,I$4)),0))</f>
        <v>0</v>
      </c>
      <c r="J8" s="239">
        <f>IF(J$4&gt;DAY(EOMONTH(DATE($D$2,$B$2,1),0)),"",IFERROR(SUMIFS(DATA_GOC!$H:$H,DATA_GOC!$A:$A,"BOM",DATA_GOC!$D:$D,$B8,DATA_GOC!$E:$E,"Téc 1",DATA_GOC!$F:$F,"Xuất nội bộ từ téc",DATA_GOC!$B:$B,DATE($D$2,$B$2,J$4)),0))</f>
        <v>0</v>
      </c>
      <c r="K8" s="239">
        <f>IF(K$4&gt;DAY(EOMONTH(DATE($D$2,$B$2,1),0)),"",IFERROR(SUMIFS(DATA_GOC!$H:$H,DATA_GOC!$A:$A,"BOM",DATA_GOC!$D:$D,$B8,DATA_GOC!$E:$E,"Téc 1",DATA_GOC!$F:$F,"Xuất nội bộ từ téc",DATA_GOC!$B:$B,DATE($D$2,$B$2,K$4)),0))</f>
        <v>0</v>
      </c>
      <c r="L8" s="239">
        <f>IF(L$4&gt;DAY(EOMONTH(DATE($D$2,$B$2,1),0)),"",IFERROR(SUMIFS(DATA_GOC!$H:$H,DATA_GOC!$A:$A,"BOM",DATA_GOC!$D:$D,$B8,DATA_GOC!$E:$E,"Téc 1",DATA_GOC!$F:$F,"Xuất nội bộ từ téc",DATA_GOC!$B:$B,DATE($D$2,$B$2,L$4)),0))</f>
        <v>0</v>
      </c>
      <c r="M8" s="239">
        <f>IF(M$4&gt;DAY(EOMONTH(DATE($D$2,$B$2,1),0)),"",IFERROR(SUMIFS(DATA_GOC!$H:$H,DATA_GOC!$A:$A,"BOM",DATA_GOC!$D:$D,$B8,DATA_GOC!$E:$E,"Téc 1",DATA_GOC!$F:$F,"Xuất nội bộ từ téc",DATA_GOC!$B:$B,DATE($D$2,$B$2,M$4)),0))</f>
        <v>0</v>
      </c>
      <c r="N8" s="239">
        <f>IF(N$4&gt;DAY(EOMONTH(DATE($D$2,$B$2,1),0)),"",IFERROR(SUMIFS(DATA_GOC!$H:$H,DATA_GOC!$A:$A,"BOM",DATA_GOC!$D:$D,$B8,DATA_GOC!$E:$E,"Téc 1",DATA_GOC!$F:$F,"Xuất nội bộ từ téc",DATA_GOC!$B:$B,DATE($D$2,$B$2,N$4)),0))</f>
        <v>0</v>
      </c>
      <c r="O8" s="239">
        <f>IF(O$4&gt;DAY(EOMONTH(DATE($D$2,$B$2,1),0)),"",IFERROR(SUMIFS(DATA_GOC!$H:$H,DATA_GOC!$A:$A,"BOM",DATA_GOC!$D:$D,$B8,DATA_GOC!$E:$E,"Téc 1",DATA_GOC!$F:$F,"Xuất nội bộ từ téc",DATA_GOC!$B:$B,DATE($D$2,$B$2,O$4)),0))</f>
        <v>0</v>
      </c>
      <c r="P8" s="239">
        <f>IF(P$4&gt;DAY(EOMONTH(DATE($D$2,$B$2,1),0)),"",IFERROR(SUMIFS(DATA_GOC!$H:$H,DATA_GOC!$A:$A,"BOM",DATA_GOC!$D:$D,$B8,DATA_GOC!$E:$E,"Téc 1",DATA_GOC!$F:$F,"Xuất nội bộ từ téc",DATA_GOC!$B:$B,DATE($D$2,$B$2,P$4)),0))</f>
        <v>0</v>
      </c>
      <c r="Q8" s="239">
        <f>IF(Q$4&gt;DAY(EOMONTH(DATE($D$2,$B$2,1),0)),"",IFERROR(SUMIFS(DATA_GOC!$H:$H,DATA_GOC!$A:$A,"BOM",DATA_GOC!$D:$D,$B8,DATA_GOC!$E:$E,"Téc 1",DATA_GOC!$F:$F,"Xuất nội bộ từ téc",DATA_GOC!$B:$B,DATE($D$2,$B$2,Q$4)),0))</f>
        <v>0</v>
      </c>
      <c r="R8" s="239">
        <f>IF(R$4&gt;DAY(EOMONTH(DATE($D$2,$B$2,1),0)),"",IFERROR(SUMIFS(DATA_GOC!$H:$H,DATA_GOC!$A:$A,"BOM",DATA_GOC!$D:$D,$B8,DATA_GOC!$E:$E,"Téc 1",DATA_GOC!$F:$F,"Xuất nội bộ từ téc",DATA_GOC!$B:$B,DATE($D$2,$B$2,R$4)),0))</f>
        <v>0</v>
      </c>
      <c r="S8" s="239">
        <f>IF(S$4&gt;DAY(EOMONTH(DATE($D$2,$B$2,1),0)),"",IFERROR(SUMIFS(DATA_GOC!$H:$H,DATA_GOC!$A:$A,"BOM",DATA_GOC!$D:$D,$B8,DATA_GOC!$E:$E,"Téc 1",DATA_GOC!$F:$F,"Xuất nội bộ từ téc",DATA_GOC!$B:$B,DATE($D$2,$B$2,S$4)),0))</f>
        <v>0</v>
      </c>
      <c r="T8" s="239">
        <f>IF(T$4&gt;DAY(EOMONTH(DATE($D$2,$B$2,1),0)),"",IFERROR(SUMIFS(DATA_GOC!$H:$H,DATA_GOC!$A:$A,"BOM",DATA_GOC!$D:$D,$B8,DATA_GOC!$E:$E,"Téc 1",DATA_GOC!$F:$F,"Xuất nội bộ từ téc",DATA_GOC!$B:$B,DATE($D$2,$B$2,T$4)),0))</f>
        <v>0</v>
      </c>
      <c r="U8" s="239">
        <f>IF(U$4&gt;DAY(EOMONTH(DATE($D$2,$B$2,1),0)),"",IFERROR(SUMIFS(DATA_GOC!$H:$H,DATA_GOC!$A:$A,"BOM",DATA_GOC!$D:$D,$B8,DATA_GOC!$E:$E,"Téc 1",DATA_GOC!$F:$F,"Xuất nội bộ từ téc",DATA_GOC!$B:$B,DATE($D$2,$B$2,U$4)),0))</f>
        <v>0</v>
      </c>
      <c r="V8" s="239">
        <f>IF(V$4&gt;DAY(EOMONTH(DATE($D$2,$B$2,1),0)),"",IFERROR(SUMIFS(DATA_GOC!$H:$H,DATA_GOC!$A:$A,"BOM",DATA_GOC!$D:$D,$B8,DATA_GOC!$E:$E,"Téc 1",DATA_GOC!$F:$F,"Xuất nội bộ từ téc",DATA_GOC!$B:$B,DATE($D$2,$B$2,V$4)),0))</f>
        <v>0</v>
      </c>
      <c r="W8" s="239">
        <f>IF(W$4&gt;DAY(EOMONTH(DATE($D$2,$B$2,1),0)),"",IFERROR(SUMIFS(DATA_GOC!$H:$H,DATA_GOC!$A:$A,"BOM",DATA_GOC!$D:$D,$B8,DATA_GOC!$E:$E,"Téc 1",DATA_GOC!$F:$F,"Xuất nội bộ từ téc",DATA_GOC!$B:$B,DATE($D$2,$B$2,W$4)),0))</f>
        <v>0</v>
      </c>
      <c r="X8" s="239">
        <f>IF(X$4&gt;DAY(EOMONTH(DATE($D$2,$B$2,1),0)),"",IFERROR(SUMIFS(DATA_GOC!$H:$H,DATA_GOC!$A:$A,"BOM",DATA_GOC!$D:$D,$B8,DATA_GOC!$E:$E,"Téc 1",DATA_GOC!$F:$F,"Xuất nội bộ từ téc",DATA_GOC!$B:$B,DATE($D$2,$B$2,X$4)),0))</f>
        <v>0</v>
      </c>
      <c r="Y8" s="239">
        <f>IF(Y$4&gt;DAY(EOMONTH(DATE($D$2,$B$2,1),0)),"",IFERROR(SUMIFS(DATA_GOC!$H:$H,DATA_GOC!$A:$A,"BOM",DATA_GOC!$D:$D,$B8,DATA_GOC!$E:$E,"Téc 1",DATA_GOC!$F:$F,"Xuất nội bộ từ téc",DATA_GOC!$B:$B,DATE($D$2,$B$2,Y$4)),0))</f>
        <v>0</v>
      </c>
      <c r="Z8" s="239">
        <f>IF(Z$4&gt;DAY(EOMONTH(DATE($D$2,$B$2,1),0)),"",IFERROR(SUMIFS(DATA_GOC!$H:$H,DATA_GOC!$A:$A,"BOM",DATA_GOC!$D:$D,$B8,DATA_GOC!$E:$E,"Téc 1",DATA_GOC!$F:$F,"Xuất nội bộ từ téc",DATA_GOC!$B:$B,DATE($D$2,$B$2,Z$4)),0))</f>
        <v>0</v>
      </c>
      <c r="AA8" s="239">
        <f>IF(AA$4&gt;DAY(EOMONTH(DATE($D$2,$B$2,1),0)),"",IFERROR(SUMIFS(DATA_GOC!$H:$H,DATA_GOC!$A:$A,"BOM",DATA_GOC!$D:$D,$B8,DATA_GOC!$E:$E,"Téc 1",DATA_GOC!$F:$F,"Xuất nội bộ từ téc",DATA_GOC!$B:$B,DATE($D$2,$B$2,AA$4)),0))</f>
        <v>0</v>
      </c>
      <c r="AB8" s="239">
        <f>IF(AB$4&gt;DAY(EOMONTH(DATE($D$2,$B$2,1),0)),"",IFERROR(SUMIFS(DATA_GOC!$H:$H,DATA_GOC!$A:$A,"BOM",DATA_GOC!$D:$D,$B8,DATA_GOC!$E:$E,"Téc 1",DATA_GOC!$F:$F,"Xuất nội bộ từ téc",DATA_GOC!$B:$B,DATE($D$2,$B$2,AB$4)),0))</f>
        <v>0</v>
      </c>
      <c r="AC8" s="239">
        <f>IF(AC$4&gt;DAY(EOMONTH(DATE($D$2,$B$2,1),0)),"",IFERROR(SUMIFS(DATA_GOC!$H:$H,DATA_GOC!$A:$A,"BOM",DATA_GOC!$D:$D,$B8,DATA_GOC!$E:$E,"Téc 1",DATA_GOC!$F:$F,"Xuất nội bộ từ téc",DATA_GOC!$B:$B,DATE($D$2,$B$2,AC$4)),0))</f>
        <v>0</v>
      </c>
      <c r="AD8" s="239">
        <f>IF(AD$4&gt;DAY(EOMONTH(DATE($D$2,$B$2,1),0)),"",IFERROR(SUMIFS(DATA_GOC!$H:$H,DATA_GOC!$A:$A,"BOM",DATA_GOC!$D:$D,$B8,DATA_GOC!$E:$E,"Téc 1",DATA_GOC!$F:$F,"Xuất nội bộ từ téc",DATA_GOC!$B:$B,DATE($D$2,$B$2,AD$4)),0))</f>
        <v>0</v>
      </c>
      <c r="AE8" s="239">
        <f>IF(AE$4&gt;DAY(EOMONTH(DATE($D$2,$B$2,1),0)),"",IFERROR(SUMIFS(DATA_GOC!$H:$H,DATA_GOC!$A:$A,"BOM",DATA_GOC!$D:$D,$B8,DATA_GOC!$E:$E,"Téc 1",DATA_GOC!$F:$F,"Xuất nội bộ từ téc",DATA_GOC!$B:$B,DATE($D$2,$B$2,AE$4)),0))</f>
        <v>0</v>
      </c>
      <c r="AF8" s="239">
        <f>IF(AF$4&gt;DAY(EOMONTH(DATE($D$2,$B$2,1),0)),"",IFERROR(SUMIFS(DATA_GOC!$H:$H,DATA_GOC!$A:$A,"BOM",DATA_GOC!$D:$D,$B8,DATA_GOC!$E:$E,"Téc 1",DATA_GOC!$F:$F,"Xuất nội bộ từ téc",DATA_GOC!$B:$B,DATE($D$2,$B$2,AF$4)),0))</f>
        <v>0</v>
      </c>
      <c r="AG8" s="239">
        <f>IF(AG$4&gt;DAY(EOMONTH(DATE($D$2,$B$2,1),0)),"",IFERROR(SUMIFS(DATA_GOC!$H:$H,DATA_GOC!$A:$A,"BOM",DATA_GOC!$D:$D,$B8,DATA_GOC!$E:$E,"Téc 1",DATA_GOC!$F:$F,"Xuất nội bộ từ téc",DATA_GOC!$B:$B,DATE($D$2,$B$2,AG$4)),0))</f>
        <v>0</v>
      </c>
      <c r="AH8" s="240">
        <f t="shared" si="1"/>
        <v>0</v>
      </c>
      <c r="AI8" s="241"/>
      <c r="AJ8" s="239">
        <f>IF($B8="","",SUMIFS(TINH_TEC!$K$233:$K$9232,TINH_TEC!$H$233:$H$9232,$B8,TINH_TEC!$C$233:$C$9232,"Téc 1",TINH_TEC!$F$233:$F$9232,$B$2,TINH_TEC!$G$233:$G$9232,$D$2,TINH_TEC!$B$233:$B$9232,"Đã chốt"))</f>
        <v>0</v>
      </c>
      <c r="AK8" s="239">
        <f>IF($B8="","",SUMIFS(TINH_TEC!$J$233:$J$9232,TINH_TEC!$H$233:$H$9232,$B8,TINH_TEC!$C$233:$C$9232,"Téc 1",TINH_TEC!$F$233:$F$9232,$B$2,TINH_TEC!$G$233:$G$9232,$D$2,TINH_TEC!$B$233:$B$9232,"Đã chốt"))</f>
        <v>0</v>
      </c>
      <c r="AL8" s="239">
        <f t="shared" si="2"/>
        <v>0</v>
      </c>
    </row>
    <row r="9" ht="15.75" customHeight="1">
      <c r="A9" s="237">
        <f>IF($B9&lt;&gt;"",4,"")</f>
        <v>4</v>
      </c>
      <c r="B9" s="238" t="str">
        <f t="array" ref="B9">IFERROR(INDEX(DANH_MUC!$E:$E,7),"")</f>
        <v>28C01165</v>
      </c>
      <c r="C9" s="239">
        <f>IF(C$4&gt;DAY(EOMONTH(DATE($D$2,$B$2,1),0)),"",IFERROR(SUMIFS(DATA_GOC!$H:$H,DATA_GOC!$A:$A,"BOM",DATA_GOC!$D:$D,$B9,DATA_GOC!$E:$E,"Téc 1",DATA_GOC!$F:$F,"Xuất nội bộ từ téc",DATA_GOC!$B:$B,DATE($D$2,$B$2,C$4)),0))</f>
        <v>0</v>
      </c>
      <c r="D9" s="239">
        <f>IF(D$4&gt;DAY(EOMONTH(DATE($D$2,$B$2,1),0)),"",IFERROR(SUMIFS(DATA_GOC!$H:$H,DATA_GOC!$A:$A,"BOM",DATA_GOC!$D:$D,$B9,DATA_GOC!$E:$E,"Téc 1",DATA_GOC!$F:$F,"Xuất nội bộ từ téc",DATA_GOC!$B:$B,DATE($D$2,$B$2,D$4)),0))</f>
        <v>0</v>
      </c>
      <c r="E9" s="239">
        <f>IF(E$4&gt;DAY(EOMONTH(DATE($D$2,$B$2,1),0)),"",IFERROR(SUMIFS(DATA_GOC!$H:$H,DATA_GOC!$A:$A,"BOM",DATA_GOC!$D:$D,$B9,DATA_GOC!$E:$E,"Téc 1",DATA_GOC!$F:$F,"Xuất nội bộ từ téc",DATA_GOC!$B:$B,DATE($D$2,$B$2,E$4)),0))</f>
        <v>0</v>
      </c>
      <c r="F9" s="239">
        <f>IF(F$4&gt;DAY(EOMONTH(DATE($D$2,$B$2,1),0)),"",IFERROR(SUMIFS(DATA_GOC!$H:$H,DATA_GOC!$A:$A,"BOM",DATA_GOC!$D:$D,$B9,DATA_GOC!$E:$E,"Téc 1",DATA_GOC!$F:$F,"Xuất nội bộ từ téc",DATA_GOC!$B:$B,DATE($D$2,$B$2,F$4)),0))</f>
        <v>0</v>
      </c>
      <c r="G9" s="239">
        <f>IF(G$4&gt;DAY(EOMONTH(DATE($D$2,$B$2,1),0)),"",IFERROR(SUMIFS(DATA_GOC!$H:$H,DATA_GOC!$A:$A,"BOM",DATA_GOC!$D:$D,$B9,DATA_GOC!$E:$E,"Téc 1",DATA_GOC!$F:$F,"Xuất nội bộ từ téc",DATA_GOC!$B:$B,DATE($D$2,$B$2,G$4)),0))</f>
        <v>0</v>
      </c>
      <c r="H9" s="239">
        <f>IF(H$4&gt;DAY(EOMONTH(DATE($D$2,$B$2,1),0)),"",IFERROR(SUMIFS(DATA_GOC!$H:$H,DATA_GOC!$A:$A,"BOM",DATA_GOC!$D:$D,$B9,DATA_GOC!$E:$E,"Téc 1",DATA_GOC!$F:$F,"Xuất nội bộ từ téc",DATA_GOC!$B:$B,DATE($D$2,$B$2,H$4)),0))</f>
        <v>0</v>
      </c>
      <c r="I9" s="239">
        <f>IF(I$4&gt;DAY(EOMONTH(DATE($D$2,$B$2,1),0)),"",IFERROR(SUMIFS(DATA_GOC!$H:$H,DATA_GOC!$A:$A,"BOM",DATA_GOC!$D:$D,$B9,DATA_GOC!$E:$E,"Téc 1",DATA_GOC!$F:$F,"Xuất nội bộ từ téc",DATA_GOC!$B:$B,DATE($D$2,$B$2,I$4)),0))</f>
        <v>0</v>
      </c>
      <c r="J9" s="239">
        <f>IF(J$4&gt;DAY(EOMONTH(DATE($D$2,$B$2,1),0)),"",IFERROR(SUMIFS(DATA_GOC!$H:$H,DATA_GOC!$A:$A,"BOM",DATA_GOC!$D:$D,$B9,DATA_GOC!$E:$E,"Téc 1",DATA_GOC!$F:$F,"Xuất nội bộ từ téc",DATA_GOC!$B:$B,DATE($D$2,$B$2,J$4)),0))</f>
        <v>0</v>
      </c>
      <c r="K9" s="239">
        <f>IF(K$4&gt;DAY(EOMONTH(DATE($D$2,$B$2,1),0)),"",IFERROR(SUMIFS(DATA_GOC!$H:$H,DATA_GOC!$A:$A,"BOM",DATA_GOC!$D:$D,$B9,DATA_GOC!$E:$E,"Téc 1",DATA_GOC!$F:$F,"Xuất nội bộ từ téc",DATA_GOC!$B:$B,DATE($D$2,$B$2,K$4)),0))</f>
        <v>0</v>
      </c>
      <c r="L9" s="239">
        <f>IF(L$4&gt;DAY(EOMONTH(DATE($D$2,$B$2,1),0)),"",IFERROR(SUMIFS(DATA_GOC!$H:$H,DATA_GOC!$A:$A,"BOM",DATA_GOC!$D:$D,$B9,DATA_GOC!$E:$E,"Téc 1",DATA_GOC!$F:$F,"Xuất nội bộ từ téc",DATA_GOC!$B:$B,DATE($D$2,$B$2,L$4)),0))</f>
        <v>0</v>
      </c>
      <c r="M9" s="239">
        <f>IF(M$4&gt;DAY(EOMONTH(DATE($D$2,$B$2,1),0)),"",IFERROR(SUMIFS(DATA_GOC!$H:$H,DATA_GOC!$A:$A,"BOM",DATA_GOC!$D:$D,$B9,DATA_GOC!$E:$E,"Téc 1",DATA_GOC!$F:$F,"Xuất nội bộ từ téc",DATA_GOC!$B:$B,DATE($D$2,$B$2,M$4)),0))</f>
        <v>0</v>
      </c>
      <c r="N9" s="239">
        <f>IF(N$4&gt;DAY(EOMONTH(DATE($D$2,$B$2,1),0)),"",IFERROR(SUMIFS(DATA_GOC!$H:$H,DATA_GOC!$A:$A,"BOM",DATA_GOC!$D:$D,$B9,DATA_GOC!$E:$E,"Téc 1",DATA_GOC!$F:$F,"Xuất nội bộ từ téc",DATA_GOC!$B:$B,DATE($D$2,$B$2,N$4)),0))</f>
        <v>0</v>
      </c>
      <c r="O9" s="239">
        <f>IF(O$4&gt;DAY(EOMONTH(DATE($D$2,$B$2,1),0)),"",IFERROR(SUMIFS(DATA_GOC!$H:$H,DATA_GOC!$A:$A,"BOM",DATA_GOC!$D:$D,$B9,DATA_GOC!$E:$E,"Téc 1",DATA_GOC!$F:$F,"Xuất nội bộ từ téc",DATA_GOC!$B:$B,DATE($D$2,$B$2,O$4)),0))</f>
        <v>0</v>
      </c>
      <c r="P9" s="239">
        <f>IF(P$4&gt;DAY(EOMONTH(DATE($D$2,$B$2,1),0)),"",IFERROR(SUMIFS(DATA_GOC!$H:$H,DATA_GOC!$A:$A,"BOM",DATA_GOC!$D:$D,$B9,DATA_GOC!$E:$E,"Téc 1",DATA_GOC!$F:$F,"Xuất nội bộ từ téc",DATA_GOC!$B:$B,DATE($D$2,$B$2,P$4)),0))</f>
        <v>0</v>
      </c>
      <c r="Q9" s="239">
        <f>IF(Q$4&gt;DAY(EOMONTH(DATE($D$2,$B$2,1),0)),"",IFERROR(SUMIFS(DATA_GOC!$H:$H,DATA_GOC!$A:$A,"BOM",DATA_GOC!$D:$D,$B9,DATA_GOC!$E:$E,"Téc 1",DATA_GOC!$F:$F,"Xuất nội bộ từ téc",DATA_GOC!$B:$B,DATE($D$2,$B$2,Q$4)),0))</f>
        <v>0</v>
      </c>
      <c r="R9" s="239">
        <f>IF(R$4&gt;DAY(EOMONTH(DATE($D$2,$B$2,1),0)),"",IFERROR(SUMIFS(DATA_GOC!$H:$H,DATA_GOC!$A:$A,"BOM",DATA_GOC!$D:$D,$B9,DATA_GOC!$E:$E,"Téc 1",DATA_GOC!$F:$F,"Xuất nội bộ từ téc",DATA_GOC!$B:$B,DATE($D$2,$B$2,R$4)),0))</f>
        <v>0</v>
      </c>
      <c r="S9" s="239">
        <f>IF(S$4&gt;DAY(EOMONTH(DATE($D$2,$B$2,1),0)),"",IFERROR(SUMIFS(DATA_GOC!$H:$H,DATA_GOC!$A:$A,"BOM",DATA_GOC!$D:$D,$B9,DATA_GOC!$E:$E,"Téc 1",DATA_GOC!$F:$F,"Xuất nội bộ từ téc",DATA_GOC!$B:$B,DATE($D$2,$B$2,S$4)),0))</f>
        <v>0</v>
      </c>
      <c r="T9" s="239">
        <f>IF(T$4&gt;DAY(EOMONTH(DATE($D$2,$B$2,1),0)),"",IFERROR(SUMIFS(DATA_GOC!$H:$H,DATA_GOC!$A:$A,"BOM",DATA_GOC!$D:$D,$B9,DATA_GOC!$E:$E,"Téc 1",DATA_GOC!$F:$F,"Xuất nội bộ từ téc",DATA_GOC!$B:$B,DATE($D$2,$B$2,T$4)),0))</f>
        <v>0</v>
      </c>
      <c r="U9" s="239">
        <f>IF(U$4&gt;DAY(EOMONTH(DATE($D$2,$B$2,1),0)),"",IFERROR(SUMIFS(DATA_GOC!$H:$H,DATA_GOC!$A:$A,"BOM",DATA_GOC!$D:$D,$B9,DATA_GOC!$E:$E,"Téc 1",DATA_GOC!$F:$F,"Xuất nội bộ từ téc",DATA_GOC!$B:$B,DATE($D$2,$B$2,U$4)),0))</f>
        <v>0</v>
      </c>
      <c r="V9" s="239">
        <f>IF(V$4&gt;DAY(EOMONTH(DATE($D$2,$B$2,1),0)),"",IFERROR(SUMIFS(DATA_GOC!$H:$H,DATA_GOC!$A:$A,"BOM",DATA_GOC!$D:$D,$B9,DATA_GOC!$E:$E,"Téc 1",DATA_GOC!$F:$F,"Xuất nội bộ từ téc",DATA_GOC!$B:$B,DATE($D$2,$B$2,V$4)),0))</f>
        <v>0</v>
      </c>
      <c r="W9" s="239">
        <f>IF(W$4&gt;DAY(EOMONTH(DATE($D$2,$B$2,1),0)),"",IFERROR(SUMIFS(DATA_GOC!$H:$H,DATA_GOC!$A:$A,"BOM",DATA_GOC!$D:$D,$B9,DATA_GOC!$E:$E,"Téc 1",DATA_GOC!$F:$F,"Xuất nội bộ từ téc",DATA_GOC!$B:$B,DATE($D$2,$B$2,W$4)),0))</f>
        <v>0</v>
      </c>
      <c r="X9" s="239">
        <f>IF(X$4&gt;DAY(EOMONTH(DATE($D$2,$B$2,1),0)),"",IFERROR(SUMIFS(DATA_GOC!$H:$H,DATA_GOC!$A:$A,"BOM",DATA_GOC!$D:$D,$B9,DATA_GOC!$E:$E,"Téc 1",DATA_GOC!$F:$F,"Xuất nội bộ từ téc",DATA_GOC!$B:$B,DATE($D$2,$B$2,X$4)),0))</f>
        <v>0</v>
      </c>
      <c r="Y9" s="239">
        <f>IF(Y$4&gt;DAY(EOMONTH(DATE($D$2,$B$2,1),0)),"",IFERROR(SUMIFS(DATA_GOC!$H:$H,DATA_GOC!$A:$A,"BOM",DATA_GOC!$D:$D,$B9,DATA_GOC!$E:$E,"Téc 1",DATA_GOC!$F:$F,"Xuất nội bộ từ téc",DATA_GOC!$B:$B,DATE($D$2,$B$2,Y$4)),0))</f>
        <v>0</v>
      </c>
      <c r="Z9" s="239">
        <f>IF(Z$4&gt;DAY(EOMONTH(DATE($D$2,$B$2,1),0)),"",IFERROR(SUMIFS(DATA_GOC!$H:$H,DATA_GOC!$A:$A,"BOM",DATA_GOC!$D:$D,$B9,DATA_GOC!$E:$E,"Téc 1",DATA_GOC!$F:$F,"Xuất nội bộ từ téc",DATA_GOC!$B:$B,DATE($D$2,$B$2,Z$4)),0))</f>
        <v>0</v>
      </c>
      <c r="AA9" s="239">
        <f>IF(AA$4&gt;DAY(EOMONTH(DATE($D$2,$B$2,1),0)),"",IFERROR(SUMIFS(DATA_GOC!$H:$H,DATA_GOC!$A:$A,"BOM",DATA_GOC!$D:$D,$B9,DATA_GOC!$E:$E,"Téc 1",DATA_GOC!$F:$F,"Xuất nội bộ từ téc",DATA_GOC!$B:$B,DATE($D$2,$B$2,AA$4)),0))</f>
        <v>0</v>
      </c>
      <c r="AB9" s="239">
        <f>IF(AB$4&gt;DAY(EOMONTH(DATE($D$2,$B$2,1),0)),"",IFERROR(SUMIFS(DATA_GOC!$H:$H,DATA_GOC!$A:$A,"BOM",DATA_GOC!$D:$D,$B9,DATA_GOC!$E:$E,"Téc 1",DATA_GOC!$F:$F,"Xuất nội bộ từ téc",DATA_GOC!$B:$B,DATE($D$2,$B$2,AB$4)),0))</f>
        <v>0</v>
      </c>
      <c r="AC9" s="239">
        <f>IF(AC$4&gt;DAY(EOMONTH(DATE($D$2,$B$2,1),0)),"",IFERROR(SUMIFS(DATA_GOC!$H:$H,DATA_GOC!$A:$A,"BOM",DATA_GOC!$D:$D,$B9,DATA_GOC!$E:$E,"Téc 1",DATA_GOC!$F:$F,"Xuất nội bộ từ téc",DATA_GOC!$B:$B,DATE($D$2,$B$2,AC$4)),0))</f>
        <v>0</v>
      </c>
      <c r="AD9" s="239">
        <f>IF(AD$4&gt;DAY(EOMONTH(DATE($D$2,$B$2,1),0)),"",IFERROR(SUMIFS(DATA_GOC!$H:$H,DATA_GOC!$A:$A,"BOM",DATA_GOC!$D:$D,$B9,DATA_GOC!$E:$E,"Téc 1",DATA_GOC!$F:$F,"Xuất nội bộ từ téc",DATA_GOC!$B:$B,DATE($D$2,$B$2,AD$4)),0))</f>
        <v>0</v>
      </c>
      <c r="AE9" s="239">
        <f>IF(AE$4&gt;DAY(EOMONTH(DATE($D$2,$B$2,1),0)),"",IFERROR(SUMIFS(DATA_GOC!$H:$H,DATA_GOC!$A:$A,"BOM",DATA_GOC!$D:$D,$B9,DATA_GOC!$E:$E,"Téc 1",DATA_GOC!$F:$F,"Xuất nội bộ từ téc",DATA_GOC!$B:$B,DATE($D$2,$B$2,AE$4)),0))</f>
        <v>0</v>
      </c>
      <c r="AF9" s="239">
        <f>IF(AF$4&gt;DAY(EOMONTH(DATE($D$2,$B$2,1),0)),"",IFERROR(SUMIFS(DATA_GOC!$H:$H,DATA_GOC!$A:$A,"BOM",DATA_GOC!$D:$D,$B9,DATA_GOC!$E:$E,"Téc 1",DATA_GOC!$F:$F,"Xuất nội bộ từ téc",DATA_GOC!$B:$B,DATE($D$2,$B$2,AF$4)),0))</f>
        <v>0</v>
      </c>
      <c r="AG9" s="239">
        <f>IF(AG$4&gt;DAY(EOMONTH(DATE($D$2,$B$2,1),0)),"",IFERROR(SUMIFS(DATA_GOC!$H:$H,DATA_GOC!$A:$A,"BOM",DATA_GOC!$D:$D,$B9,DATA_GOC!$E:$E,"Téc 1",DATA_GOC!$F:$F,"Xuất nội bộ từ téc",DATA_GOC!$B:$B,DATE($D$2,$B$2,AG$4)),0))</f>
        <v>0</v>
      </c>
      <c r="AH9" s="240">
        <f t="shared" si="1"/>
        <v>0</v>
      </c>
      <c r="AI9" s="241"/>
      <c r="AJ9" s="239">
        <f>IF($B9="","",SUMIFS(TINH_TEC!$K$233:$K$9232,TINH_TEC!$H$233:$H$9232,$B9,TINH_TEC!$C$233:$C$9232,"Téc 1",TINH_TEC!$F$233:$F$9232,$B$2,TINH_TEC!$G$233:$G$9232,$D$2,TINH_TEC!$B$233:$B$9232,"Đã chốt"))</f>
        <v>0</v>
      </c>
      <c r="AK9" s="239">
        <f>IF($B9="","",SUMIFS(TINH_TEC!$J$233:$J$9232,TINH_TEC!$H$233:$H$9232,$B9,TINH_TEC!$C$233:$C$9232,"Téc 1",TINH_TEC!$F$233:$F$9232,$B$2,TINH_TEC!$G$233:$G$9232,$D$2,TINH_TEC!$B$233:$B$9232,"Đã chốt"))</f>
        <v>0</v>
      </c>
      <c r="AL9" s="239">
        <f t="shared" si="2"/>
        <v>0</v>
      </c>
    </row>
    <row r="10" ht="15.75" customHeight="1">
      <c r="A10" s="237">
        <f>IF($B10&lt;&gt;"",5,"")</f>
        <v>5</v>
      </c>
      <c r="B10" s="238" t="str">
        <f t="array" ref="B10">IFERROR(INDEX(DANH_MUC!$E:$E,8),"")</f>
        <v>28C01406</v>
      </c>
      <c r="C10" s="239">
        <f>IF(C$4&gt;DAY(EOMONTH(DATE($D$2,$B$2,1),0)),"",IFERROR(SUMIFS(DATA_GOC!$H:$H,DATA_GOC!$A:$A,"BOM",DATA_GOC!$D:$D,$B10,DATA_GOC!$E:$E,"Téc 1",DATA_GOC!$F:$F,"Xuất nội bộ từ téc",DATA_GOC!$B:$B,DATE($D$2,$B$2,C$4)),0))</f>
        <v>0</v>
      </c>
      <c r="D10" s="239">
        <f>IF(D$4&gt;DAY(EOMONTH(DATE($D$2,$B$2,1),0)),"",IFERROR(SUMIFS(DATA_GOC!$H:$H,DATA_GOC!$A:$A,"BOM",DATA_GOC!$D:$D,$B10,DATA_GOC!$E:$E,"Téc 1",DATA_GOC!$F:$F,"Xuất nội bộ từ téc",DATA_GOC!$B:$B,DATE($D$2,$B$2,D$4)),0))</f>
        <v>0</v>
      </c>
      <c r="E10" s="239">
        <f>IF(E$4&gt;DAY(EOMONTH(DATE($D$2,$B$2,1),0)),"",IFERROR(SUMIFS(DATA_GOC!$H:$H,DATA_GOC!$A:$A,"BOM",DATA_GOC!$D:$D,$B10,DATA_GOC!$E:$E,"Téc 1",DATA_GOC!$F:$F,"Xuất nội bộ từ téc",DATA_GOC!$B:$B,DATE($D$2,$B$2,E$4)),0))</f>
        <v>0</v>
      </c>
      <c r="F10" s="239">
        <f>IF(F$4&gt;DAY(EOMONTH(DATE($D$2,$B$2,1),0)),"",IFERROR(SUMIFS(DATA_GOC!$H:$H,DATA_GOC!$A:$A,"BOM",DATA_GOC!$D:$D,$B10,DATA_GOC!$E:$E,"Téc 1",DATA_GOC!$F:$F,"Xuất nội bộ từ téc",DATA_GOC!$B:$B,DATE($D$2,$B$2,F$4)),0))</f>
        <v>0</v>
      </c>
      <c r="G10" s="239">
        <f>IF(G$4&gt;DAY(EOMONTH(DATE($D$2,$B$2,1),0)),"",IFERROR(SUMIFS(DATA_GOC!$H:$H,DATA_GOC!$A:$A,"BOM",DATA_GOC!$D:$D,$B10,DATA_GOC!$E:$E,"Téc 1",DATA_GOC!$F:$F,"Xuất nội bộ từ téc",DATA_GOC!$B:$B,DATE($D$2,$B$2,G$4)),0))</f>
        <v>0</v>
      </c>
      <c r="H10" s="239">
        <f>IF(H$4&gt;DAY(EOMONTH(DATE($D$2,$B$2,1),0)),"",IFERROR(SUMIFS(DATA_GOC!$H:$H,DATA_GOC!$A:$A,"BOM",DATA_GOC!$D:$D,$B10,DATA_GOC!$E:$E,"Téc 1",DATA_GOC!$F:$F,"Xuất nội bộ từ téc",DATA_GOC!$B:$B,DATE($D$2,$B$2,H$4)),0))</f>
        <v>0</v>
      </c>
      <c r="I10" s="239">
        <f>IF(I$4&gt;DAY(EOMONTH(DATE($D$2,$B$2,1),0)),"",IFERROR(SUMIFS(DATA_GOC!$H:$H,DATA_GOC!$A:$A,"BOM",DATA_GOC!$D:$D,$B10,DATA_GOC!$E:$E,"Téc 1",DATA_GOC!$F:$F,"Xuất nội bộ từ téc",DATA_GOC!$B:$B,DATE($D$2,$B$2,I$4)),0))</f>
        <v>0</v>
      </c>
      <c r="J10" s="239">
        <f>IF(J$4&gt;DAY(EOMONTH(DATE($D$2,$B$2,1),0)),"",IFERROR(SUMIFS(DATA_GOC!$H:$H,DATA_GOC!$A:$A,"BOM",DATA_GOC!$D:$D,$B10,DATA_GOC!$E:$E,"Téc 1",DATA_GOC!$F:$F,"Xuất nội bộ từ téc",DATA_GOC!$B:$B,DATE($D$2,$B$2,J$4)),0))</f>
        <v>0</v>
      </c>
      <c r="K10" s="239">
        <f>IF(K$4&gt;DAY(EOMONTH(DATE($D$2,$B$2,1),0)),"",IFERROR(SUMIFS(DATA_GOC!$H:$H,DATA_GOC!$A:$A,"BOM",DATA_GOC!$D:$D,$B10,DATA_GOC!$E:$E,"Téc 1",DATA_GOC!$F:$F,"Xuất nội bộ từ téc",DATA_GOC!$B:$B,DATE($D$2,$B$2,K$4)),0))</f>
        <v>0</v>
      </c>
      <c r="L10" s="239">
        <f>IF(L$4&gt;DAY(EOMONTH(DATE($D$2,$B$2,1),0)),"",IFERROR(SUMIFS(DATA_GOC!$H:$H,DATA_GOC!$A:$A,"BOM",DATA_GOC!$D:$D,$B10,DATA_GOC!$E:$E,"Téc 1",DATA_GOC!$F:$F,"Xuất nội bộ từ téc",DATA_GOC!$B:$B,DATE($D$2,$B$2,L$4)),0))</f>
        <v>0</v>
      </c>
      <c r="M10" s="239">
        <f>IF(M$4&gt;DAY(EOMONTH(DATE($D$2,$B$2,1),0)),"",IFERROR(SUMIFS(DATA_GOC!$H:$H,DATA_GOC!$A:$A,"BOM",DATA_GOC!$D:$D,$B10,DATA_GOC!$E:$E,"Téc 1",DATA_GOC!$F:$F,"Xuất nội bộ từ téc",DATA_GOC!$B:$B,DATE($D$2,$B$2,M$4)),0))</f>
        <v>0</v>
      </c>
      <c r="N10" s="239">
        <f>IF(N$4&gt;DAY(EOMONTH(DATE($D$2,$B$2,1),0)),"",IFERROR(SUMIFS(DATA_GOC!$H:$H,DATA_GOC!$A:$A,"BOM",DATA_GOC!$D:$D,$B10,DATA_GOC!$E:$E,"Téc 1",DATA_GOC!$F:$F,"Xuất nội bộ từ téc",DATA_GOC!$B:$B,DATE($D$2,$B$2,N$4)),0))</f>
        <v>0</v>
      </c>
      <c r="O10" s="239">
        <f>IF(O$4&gt;DAY(EOMONTH(DATE($D$2,$B$2,1),0)),"",IFERROR(SUMIFS(DATA_GOC!$H:$H,DATA_GOC!$A:$A,"BOM",DATA_GOC!$D:$D,$B10,DATA_GOC!$E:$E,"Téc 1",DATA_GOC!$F:$F,"Xuất nội bộ từ téc",DATA_GOC!$B:$B,DATE($D$2,$B$2,O$4)),0))</f>
        <v>0</v>
      </c>
      <c r="P10" s="239">
        <f>IF(P$4&gt;DAY(EOMONTH(DATE($D$2,$B$2,1),0)),"",IFERROR(SUMIFS(DATA_GOC!$H:$H,DATA_GOC!$A:$A,"BOM",DATA_GOC!$D:$D,$B10,DATA_GOC!$E:$E,"Téc 1",DATA_GOC!$F:$F,"Xuất nội bộ từ téc",DATA_GOC!$B:$B,DATE($D$2,$B$2,P$4)),0))</f>
        <v>0</v>
      </c>
      <c r="Q10" s="239">
        <f>IF(Q$4&gt;DAY(EOMONTH(DATE($D$2,$B$2,1),0)),"",IFERROR(SUMIFS(DATA_GOC!$H:$H,DATA_GOC!$A:$A,"BOM",DATA_GOC!$D:$D,$B10,DATA_GOC!$E:$E,"Téc 1",DATA_GOC!$F:$F,"Xuất nội bộ từ téc",DATA_GOC!$B:$B,DATE($D$2,$B$2,Q$4)),0))</f>
        <v>0</v>
      </c>
      <c r="R10" s="239">
        <f>IF(R$4&gt;DAY(EOMONTH(DATE($D$2,$B$2,1),0)),"",IFERROR(SUMIFS(DATA_GOC!$H:$H,DATA_GOC!$A:$A,"BOM",DATA_GOC!$D:$D,$B10,DATA_GOC!$E:$E,"Téc 1",DATA_GOC!$F:$F,"Xuất nội bộ từ téc",DATA_GOC!$B:$B,DATE($D$2,$B$2,R$4)),0))</f>
        <v>0</v>
      </c>
      <c r="S10" s="239">
        <f>IF(S$4&gt;DAY(EOMONTH(DATE($D$2,$B$2,1),0)),"",IFERROR(SUMIFS(DATA_GOC!$H:$H,DATA_GOC!$A:$A,"BOM",DATA_GOC!$D:$D,$B10,DATA_GOC!$E:$E,"Téc 1",DATA_GOC!$F:$F,"Xuất nội bộ từ téc",DATA_GOC!$B:$B,DATE($D$2,$B$2,S$4)),0))</f>
        <v>0</v>
      </c>
      <c r="T10" s="239">
        <f>IF(T$4&gt;DAY(EOMONTH(DATE($D$2,$B$2,1),0)),"",IFERROR(SUMIFS(DATA_GOC!$H:$H,DATA_GOC!$A:$A,"BOM",DATA_GOC!$D:$D,$B10,DATA_GOC!$E:$E,"Téc 1",DATA_GOC!$F:$F,"Xuất nội bộ từ téc",DATA_GOC!$B:$B,DATE($D$2,$B$2,T$4)),0))</f>
        <v>0</v>
      </c>
      <c r="U10" s="239">
        <f>IF(U$4&gt;DAY(EOMONTH(DATE($D$2,$B$2,1),0)),"",IFERROR(SUMIFS(DATA_GOC!$H:$H,DATA_GOC!$A:$A,"BOM",DATA_GOC!$D:$D,$B10,DATA_GOC!$E:$E,"Téc 1",DATA_GOC!$F:$F,"Xuất nội bộ từ téc",DATA_GOC!$B:$B,DATE($D$2,$B$2,U$4)),0))</f>
        <v>0</v>
      </c>
      <c r="V10" s="239">
        <f>IF(V$4&gt;DAY(EOMONTH(DATE($D$2,$B$2,1),0)),"",IFERROR(SUMIFS(DATA_GOC!$H:$H,DATA_GOC!$A:$A,"BOM",DATA_GOC!$D:$D,$B10,DATA_GOC!$E:$E,"Téc 1",DATA_GOC!$F:$F,"Xuất nội bộ từ téc",DATA_GOC!$B:$B,DATE($D$2,$B$2,V$4)),0))</f>
        <v>0</v>
      </c>
      <c r="W10" s="239">
        <f>IF(W$4&gt;DAY(EOMONTH(DATE($D$2,$B$2,1),0)),"",IFERROR(SUMIFS(DATA_GOC!$H:$H,DATA_GOC!$A:$A,"BOM",DATA_GOC!$D:$D,$B10,DATA_GOC!$E:$E,"Téc 1",DATA_GOC!$F:$F,"Xuất nội bộ từ téc",DATA_GOC!$B:$B,DATE($D$2,$B$2,W$4)),0))</f>
        <v>0</v>
      </c>
      <c r="X10" s="239">
        <f>IF(X$4&gt;DAY(EOMONTH(DATE($D$2,$B$2,1),0)),"",IFERROR(SUMIFS(DATA_GOC!$H:$H,DATA_GOC!$A:$A,"BOM",DATA_GOC!$D:$D,$B10,DATA_GOC!$E:$E,"Téc 1",DATA_GOC!$F:$F,"Xuất nội bộ từ téc",DATA_GOC!$B:$B,DATE($D$2,$B$2,X$4)),0))</f>
        <v>0</v>
      </c>
      <c r="Y10" s="239">
        <f>IF(Y$4&gt;DAY(EOMONTH(DATE($D$2,$B$2,1),0)),"",IFERROR(SUMIFS(DATA_GOC!$H:$H,DATA_GOC!$A:$A,"BOM",DATA_GOC!$D:$D,$B10,DATA_GOC!$E:$E,"Téc 1",DATA_GOC!$F:$F,"Xuất nội bộ từ téc",DATA_GOC!$B:$B,DATE($D$2,$B$2,Y$4)),0))</f>
        <v>0</v>
      </c>
      <c r="Z10" s="239">
        <f>IF(Z$4&gt;DAY(EOMONTH(DATE($D$2,$B$2,1),0)),"",IFERROR(SUMIFS(DATA_GOC!$H:$H,DATA_GOC!$A:$A,"BOM",DATA_GOC!$D:$D,$B10,DATA_GOC!$E:$E,"Téc 1",DATA_GOC!$F:$F,"Xuất nội bộ từ téc",DATA_GOC!$B:$B,DATE($D$2,$B$2,Z$4)),0))</f>
        <v>0</v>
      </c>
      <c r="AA10" s="239">
        <f>IF(AA$4&gt;DAY(EOMONTH(DATE($D$2,$B$2,1),0)),"",IFERROR(SUMIFS(DATA_GOC!$H:$H,DATA_GOC!$A:$A,"BOM",DATA_GOC!$D:$D,$B10,DATA_GOC!$E:$E,"Téc 1",DATA_GOC!$F:$F,"Xuất nội bộ từ téc",DATA_GOC!$B:$B,DATE($D$2,$B$2,AA$4)),0))</f>
        <v>0</v>
      </c>
      <c r="AB10" s="239">
        <f>IF(AB$4&gt;DAY(EOMONTH(DATE($D$2,$B$2,1),0)),"",IFERROR(SUMIFS(DATA_GOC!$H:$H,DATA_GOC!$A:$A,"BOM",DATA_GOC!$D:$D,$B10,DATA_GOC!$E:$E,"Téc 1",DATA_GOC!$F:$F,"Xuất nội bộ từ téc",DATA_GOC!$B:$B,DATE($D$2,$B$2,AB$4)),0))</f>
        <v>0</v>
      </c>
      <c r="AC10" s="239">
        <f>IF(AC$4&gt;DAY(EOMONTH(DATE($D$2,$B$2,1),0)),"",IFERROR(SUMIFS(DATA_GOC!$H:$H,DATA_GOC!$A:$A,"BOM",DATA_GOC!$D:$D,$B10,DATA_GOC!$E:$E,"Téc 1",DATA_GOC!$F:$F,"Xuất nội bộ từ téc",DATA_GOC!$B:$B,DATE($D$2,$B$2,AC$4)),0))</f>
        <v>0</v>
      </c>
      <c r="AD10" s="239">
        <f>IF(AD$4&gt;DAY(EOMONTH(DATE($D$2,$B$2,1),0)),"",IFERROR(SUMIFS(DATA_GOC!$H:$H,DATA_GOC!$A:$A,"BOM",DATA_GOC!$D:$D,$B10,DATA_GOC!$E:$E,"Téc 1",DATA_GOC!$F:$F,"Xuất nội bộ từ téc",DATA_GOC!$B:$B,DATE($D$2,$B$2,AD$4)),0))</f>
        <v>0</v>
      </c>
      <c r="AE10" s="239">
        <f>IF(AE$4&gt;DAY(EOMONTH(DATE($D$2,$B$2,1),0)),"",IFERROR(SUMIFS(DATA_GOC!$H:$H,DATA_GOC!$A:$A,"BOM",DATA_GOC!$D:$D,$B10,DATA_GOC!$E:$E,"Téc 1",DATA_GOC!$F:$F,"Xuất nội bộ từ téc",DATA_GOC!$B:$B,DATE($D$2,$B$2,AE$4)),0))</f>
        <v>0</v>
      </c>
      <c r="AF10" s="239">
        <f>IF(AF$4&gt;DAY(EOMONTH(DATE($D$2,$B$2,1),0)),"",IFERROR(SUMIFS(DATA_GOC!$H:$H,DATA_GOC!$A:$A,"BOM",DATA_GOC!$D:$D,$B10,DATA_GOC!$E:$E,"Téc 1",DATA_GOC!$F:$F,"Xuất nội bộ từ téc",DATA_GOC!$B:$B,DATE($D$2,$B$2,AF$4)),0))</f>
        <v>0</v>
      </c>
      <c r="AG10" s="239">
        <f>IF(AG$4&gt;DAY(EOMONTH(DATE($D$2,$B$2,1),0)),"",IFERROR(SUMIFS(DATA_GOC!$H:$H,DATA_GOC!$A:$A,"BOM",DATA_GOC!$D:$D,$B10,DATA_GOC!$E:$E,"Téc 1",DATA_GOC!$F:$F,"Xuất nội bộ từ téc",DATA_GOC!$B:$B,DATE($D$2,$B$2,AG$4)),0))</f>
        <v>0</v>
      </c>
      <c r="AH10" s="240">
        <f t="shared" si="1"/>
        <v>0</v>
      </c>
      <c r="AI10" s="241"/>
      <c r="AJ10" s="239">
        <f>IF($B10="","",SUMIFS(TINH_TEC!$K$233:$K$9232,TINH_TEC!$H$233:$H$9232,$B10,TINH_TEC!$C$233:$C$9232,"Téc 1",TINH_TEC!$F$233:$F$9232,$B$2,TINH_TEC!$G$233:$G$9232,$D$2,TINH_TEC!$B$233:$B$9232,"Đã chốt"))</f>
        <v>0</v>
      </c>
      <c r="AK10" s="239">
        <f>IF($B10="","",SUMIFS(TINH_TEC!$J$233:$J$9232,TINH_TEC!$H$233:$H$9232,$B10,TINH_TEC!$C$233:$C$9232,"Téc 1",TINH_TEC!$F$233:$F$9232,$B$2,TINH_TEC!$G$233:$G$9232,$D$2,TINH_TEC!$B$233:$B$9232,"Đã chốt"))</f>
        <v>0</v>
      </c>
      <c r="AL10" s="239">
        <f t="shared" si="2"/>
        <v>0</v>
      </c>
    </row>
    <row r="11" ht="15.75" customHeight="1">
      <c r="A11" s="237">
        <f>IF($B11&lt;&gt;"",6,"")</f>
        <v>6</v>
      </c>
      <c r="B11" s="238" t="str">
        <f t="array" ref="B11">IFERROR(INDEX(DANH_MUC!$E:$E,9),"")</f>
        <v>28C01544</v>
      </c>
      <c r="C11" s="239">
        <f>IF(C$4&gt;DAY(EOMONTH(DATE($D$2,$B$2,1),0)),"",IFERROR(SUMIFS(DATA_GOC!$H:$H,DATA_GOC!$A:$A,"BOM",DATA_GOC!$D:$D,$B11,DATA_GOC!$E:$E,"Téc 1",DATA_GOC!$F:$F,"Xuất nội bộ từ téc",DATA_GOC!$B:$B,DATE($D$2,$B$2,C$4)),0))</f>
        <v>0</v>
      </c>
      <c r="D11" s="239">
        <f>IF(D$4&gt;DAY(EOMONTH(DATE($D$2,$B$2,1),0)),"",IFERROR(SUMIFS(DATA_GOC!$H:$H,DATA_GOC!$A:$A,"BOM",DATA_GOC!$D:$D,$B11,DATA_GOC!$E:$E,"Téc 1",DATA_GOC!$F:$F,"Xuất nội bộ từ téc",DATA_GOC!$B:$B,DATE($D$2,$B$2,D$4)),0))</f>
        <v>0</v>
      </c>
      <c r="E11" s="239">
        <f>IF(E$4&gt;DAY(EOMONTH(DATE($D$2,$B$2,1),0)),"",IFERROR(SUMIFS(DATA_GOC!$H:$H,DATA_GOC!$A:$A,"BOM",DATA_GOC!$D:$D,$B11,DATA_GOC!$E:$E,"Téc 1",DATA_GOC!$F:$F,"Xuất nội bộ từ téc",DATA_GOC!$B:$B,DATE($D$2,$B$2,E$4)),0))</f>
        <v>0</v>
      </c>
      <c r="F11" s="239">
        <f>IF(F$4&gt;DAY(EOMONTH(DATE($D$2,$B$2,1),0)),"",IFERROR(SUMIFS(DATA_GOC!$H:$H,DATA_GOC!$A:$A,"BOM",DATA_GOC!$D:$D,$B11,DATA_GOC!$E:$E,"Téc 1",DATA_GOC!$F:$F,"Xuất nội bộ từ téc",DATA_GOC!$B:$B,DATE($D$2,$B$2,F$4)),0))</f>
        <v>0</v>
      </c>
      <c r="G11" s="239">
        <f>IF(G$4&gt;DAY(EOMONTH(DATE($D$2,$B$2,1),0)),"",IFERROR(SUMIFS(DATA_GOC!$H:$H,DATA_GOC!$A:$A,"BOM",DATA_GOC!$D:$D,$B11,DATA_GOC!$E:$E,"Téc 1",DATA_GOC!$F:$F,"Xuất nội bộ từ téc",DATA_GOC!$B:$B,DATE($D$2,$B$2,G$4)),0))</f>
        <v>0</v>
      </c>
      <c r="H11" s="239">
        <f>IF(H$4&gt;DAY(EOMONTH(DATE($D$2,$B$2,1),0)),"",IFERROR(SUMIFS(DATA_GOC!$H:$H,DATA_GOC!$A:$A,"BOM",DATA_GOC!$D:$D,$B11,DATA_GOC!$E:$E,"Téc 1",DATA_GOC!$F:$F,"Xuất nội bộ từ téc",DATA_GOC!$B:$B,DATE($D$2,$B$2,H$4)),0))</f>
        <v>0</v>
      </c>
      <c r="I11" s="239">
        <f>IF(I$4&gt;DAY(EOMONTH(DATE($D$2,$B$2,1),0)),"",IFERROR(SUMIFS(DATA_GOC!$H:$H,DATA_GOC!$A:$A,"BOM",DATA_GOC!$D:$D,$B11,DATA_GOC!$E:$E,"Téc 1",DATA_GOC!$F:$F,"Xuất nội bộ từ téc",DATA_GOC!$B:$B,DATE($D$2,$B$2,I$4)),0))</f>
        <v>0</v>
      </c>
      <c r="J11" s="239">
        <f>IF(J$4&gt;DAY(EOMONTH(DATE($D$2,$B$2,1),0)),"",IFERROR(SUMIFS(DATA_GOC!$H:$H,DATA_GOC!$A:$A,"BOM",DATA_GOC!$D:$D,$B11,DATA_GOC!$E:$E,"Téc 1",DATA_GOC!$F:$F,"Xuất nội bộ từ téc",DATA_GOC!$B:$B,DATE($D$2,$B$2,J$4)),0))</f>
        <v>0</v>
      </c>
      <c r="K11" s="239">
        <f>IF(K$4&gt;DAY(EOMONTH(DATE($D$2,$B$2,1),0)),"",IFERROR(SUMIFS(DATA_GOC!$H:$H,DATA_GOC!$A:$A,"BOM",DATA_GOC!$D:$D,$B11,DATA_GOC!$E:$E,"Téc 1",DATA_GOC!$F:$F,"Xuất nội bộ từ téc",DATA_GOC!$B:$B,DATE($D$2,$B$2,K$4)),0))</f>
        <v>0</v>
      </c>
      <c r="L11" s="239">
        <f>IF(L$4&gt;DAY(EOMONTH(DATE($D$2,$B$2,1),0)),"",IFERROR(SUMIFS(DATA_GOC!$H:$H,DATA_GOC!$A:$A,"BOM",DATA_GOC!$D:$D,$B11,DATA_GOC!$E:$E,"Téc 1",DATA_GOC!$F:$F,"Xuất nội bộ từ téc",DATA_GOC!$B:$B,DATE($D$2,$B$2,L$4)),0))</f>
        <v>0</v>
      </c>
      <c r="M11" s="239">
        <f>IF(M$4&gt;DAY(EOMONTH(DATE($D$2,$B$2,1),0)),"",IFERROR(SUMIFS(DATA_GOC!$H:$H,DATA_GOC!$A:$A,"BOM",DATA_GOC!$D:$D,$B11,DATA_GOC!$E:$E,"Téc 1",DATA_GOC!$F:$F,"Xuất nội bộ từ téc",DATA_GOC!$B:$B,DATE($D$2,$B$2,M$4)),0))</f>
        <v>0</v>
      </c>
      <c r="N11" s="239">
        <f>IF(N$4&gt;DAY(EOMONTH(DATE($D$2,$B$2,1),0)),"",IFERROR(SUMIFS(DATA_GOC!$H:$H,DATA_GOC!$A:$A,"BOM",DATA_GOC!$D:$D,$B11,DATA_GOC!$E:$E,"Téc 1",DATA_GOC!$F:$F,"Xuất nội bộ từ téc",DATA_GOC!$B:$B,DATE($D$2,$B$2,N$4)),0))</f>
        <v>0</v>
      </c>
      <c r="O11" s="239">
        <f>IF(O$4&gt;DAY(EOMONTH(DATE($D$2,$B$2,1),0)),"",IFERROR(SUMIFS(DATA_GOC!$H:$H,DATA_GOC!$A:$A,"BOM",DATA_GOC!$D:$D,$B11,DATA_GOC!$E:$E,"Téc 1",DATA_GOC!$F:$F,"Xuất nội bộ từ téc",DATA_GOC!$B:$B,DATE($D$2,$B$2,O$4)),0))</f>
        <v>0</v>
      </c>
      <c r="P11" s="239">
        <f>IF(P$4&gt;DAY(EOMONTH(DATE($D$2,$B$2,1),0)),"",IFERROR(SUMIFS(DATA_GOC!$H:$H,DATA_GOC!$A:$A,"BOM",DATA_GOC!$D:$D,$B11,DATA_GOC!$E:$E,"Téc 1",DATA_GOC!$F:$F,"Xuất nội bộ từ téc",DATA_GOC!$B:$B,DATE($D$2,$B$2,P$4)),0))</f>
        <v>0</v>
      </c>
      <c r="Q11" s="239">
        <f>IF(Q$4&gt;DAY(EOMONTH(DATE($D$2,$B$2,1),0)),"",IFERROR(SUMIFS(DATA_GOC!$H:$H,DATA_GOC!$A:$A,"BOM",DATA_GOC!$D:$D,$B11,DATA_GOC!$E:$E,"Téc 1",DATA_GOC!$F:$F,"Xuất nội bộ từ téc",DATA_GOC!$B:$B,DATE($D$2,$B$2,Q$4)),0))</f>
        <v>0</v>
      </c>
      <c r="R11" s="239">
        <f>IF(R$4&gt;DAY(EOMONTH(DATE($D$2,$B$2,1),0)),"",IFERROR(SUMIFS(DATA_GOC!$H:$H,DATA_GOC!$A:$A,"BOM",DATA_GOC!$D:$D,$B11,DATA_GOC!$E:$E,"Téc 1",DATA_GOC!$F:$F,"Xuất nội bộ từ téc",DATA_GOC!$B:$B,DATE($D$2,$B$2,R$4)),0))</f>
        <v>0</v>
      </c>
      <c r="S11" s="239">
        <f>IF(S$4&gt;DAY(EOMONTH(DATE($D$2,$B$2,1),0)),"",IFERROR(SUMIFS(DATA_GOC!$H:$H,DATA_GOC!$A:$A,"BOM",DATA_GOC!$D:$D,$B11,DATA_GOC!$E:$E,"Téc 1",DATA_GOC!$F:$F,"Xuất nội bộ từ téc",DATA_GOC!$B:$B,DATE($D$2,$B$2,S$4)),0))</f>
        <v>0</v>
      </c>
      <c r="T11" s="239">
        <f>IF(T$4&gt;DAY(EOMONTH(DATE($D$2,$B$2,1),0)),"",IFERROR(SUMIFS(DATA_GOC!$H:$H,DATA_GOC!$A:$A,"BOM",DATA_GOC!$D:$D,$B11,DATA_GOC!$E:$E,"Téc 1",DATA_GOC!$F:$F,"Xuất nội bộ từ téc",DATA_GOC!$B:$B,DATE($D$2,$B$2,T$4)),0))</f>
        <v>0</v>
      </c>
      <c r="U11" s="239">
        <f>IF(U$4&gt;DAY(EOMONTH(DATE($D$2,$B$2,1),0)),"",IFERROR(SUMIFS(DATA_GOC!$H:$H,DATA_GOC!$A:$A,"BOM",DATA_GOC!$D:$D,$B11,DATA_GOC!$E:$E,"Téc 1",DATA_GOC!$F:$F,"Xuất nội bộ từ téc",DATA_GOC!$B:$B,DATE($D$2,$B$2,U$4)),0))</f>
        <v>0</v>
      </c>
      <c r="V11" s="239">
        <f>IF(V$4&gt;DAY(EOMONTH(DATE($D$2,$B$2,1),0)),"",IFERROR(SUMIFS(DATA_GOC!$H:$H,DATA_GOC!$A:$A,"BOM",DATA_GOC!$D:$D,$B11,DATA_GOC!$E:$E,"Téc 1",DATA_GOC!$F:$F,"Xuất nội bộ từ téc",DATA_GOC!$B:$B,DATE($D$2,$B$2,V$4)),0))</f>
        <v>0</v>
      </c>
      <c r="W11" s="239">
        <f>IF(W$4&gt;DAY(EOMONTH(DATE($D$2,$B$2,1),0)),"",IFERROR(SUMIFS(DATA_GOC!$H:$H,DATA_GOC!$A:$A,"BOM",DATA_GOC!$D:$D,$B11,DATA_GOC!$E:$E,"Téc 1",DATA_GOC!$F:$F,"Xuất nội bộ từ téc",DATA_GOC!$B:$B,DATE($D$2,$B$2,W$4)),0))</f>
        <v>0</v>
      </c>
      <c r="X11" s="239">
        <f>IF(X$4&gt;DAY(EOMONTH(DATE($D$2,$B$2,1),0)),"",IFERROR(SUMIFS(DATA_GOC!$H:$H,DATA_GOC!$A:$A,"BOM",DATA_GOC!$D:$D,$B11,DATA_GOC!$E:$E,"Téc 1",DATA_GOC!$F:$F,"Xuất nội bộ từ téc",DATA_GOC!$B:$B,DATE($D$2,$B$2,X$4)),0))</f>
        <v>0</v>
      </c>
      <c r="Y11" s="239">
        <f>IF(Y$4&gt;DAY(EOMONTH(DATE($D$2,$B$2,1),0)),"",IFERROR(SUMIFS(DATA_GOC!$H:$H,DATA_GOC!$A:$A,"BOM",DATA_GOC!$D:$D,$B11,DATA_GOC!$E:$E,"Téc 1",DATA_GOC!$F:$F,"Xuất nội bộ từ téc",DATA_GOC!$B:$B,DATE($D$2,$B$2,Y$4)),0))</f>
        <v>0</v>
      </c>
      <c r="Z11" s="239">
        <f>IF(Z$4&gt;DAY(EOMONTH(DATE($D$2,$B$2,1),0)),"",IFERROR(SUMIFS(DATA_GOC!$H:$H,DATA_GOC!$A:$A,"BOM",DATA_GOC!$D:$D,$B11,DATA_GOC!$E:$E,"Téc 1",DATA_GOC!$F:$F,"Xuất nội bộ từ téc",DATA_GOC!$B:$B,DATE($D$2,$B$2,Z$4)),0))</f>
        <v>0</v>
      </c>
      <c r="AA11" s="239">
        <f>IF(AA$4&gt;DAY(EOMONTH(DATE($D$2,$B$2,1),0)),"",IFERROR(SUMIFS(DATA_GOC!$H:$H,DATA_GOC!$A:$A,"BOM",DATA_GOC!$D:$D,$B11,DATA_GOC!$E:$E,"Téc 1",DATA_GOC!$F:$F,"Xuất nội bộ từ téc",DATA_GOC!$B:$B,DATE($D$2,$B$2,AA$4)),0))</f>
        <v>0</v>
      </c>
      <c r="AB11" s="239">
        <f>IF(AB$4&gt;DAY(EOMONTH(DATE($D$2,$B$2,1),0)),"",IFERROR(SUMIFS(DATA_GOC!$H:$H,DATA_GOC!$A:$A,"BOM",DATA_GOC!$D:$D,$B11,DATA_GOC!$E:$E,"Téc 1",DATA_GOC!$F:$F,"Xuất nội bộ từ téc",DATA_GOC!$B:$B,DATE($D$2,$B$2,AB$4)),0))</f>
        <v>0</v>
      </c>
      <c r="AC11" s="239">
        <f>IF(AC$4&gt;DAY(EOMONTH(DATE($D$2,$B$2,1),0)),"",IFERROR(SUMIFS(DATA_GOC!$H:$H,DATA_GOC!$A:$A,"BOM",DATA_GOC!$D:$D,$B11,DATA_GOC!$E:$E,"Téc 1",DATA_GOC!$F:$F,"Xuất nội bộ từ téc",DATA_GOC!$B:$B,DATE($D$2,$B$2,AC$4)),0))</f>
        <v>0</v>
      </c>
      <c r="AD11" s="239">
        <f>IF(AD$4&gt;DAY(EOMONTH(DATE($D$2,$B$2,1),0)),"",IFERROR(SUMIFS(DATA_GOC!$H:$H,DATA_GOC!$A:$A,"BOM",DATA_GOC!$D:$D,$B11,DATA_GOC!$E:$E,"Téc 1",DATA_GOC!$F:$F,"Xuất nội bộ từ téc",DATA_GOC!$B:$B,DATE($D$2,$B$2,AD$4)),0))</f>
        <v>0</v>
      </c>
      <c r="AE11" s="239">
        <f>IF(AE$4&gt;DAY(EOMONTH(DATE($D$2,$B$2,1),0)),"",IFERROR(SUMIFS(DATA_GOC!$H:$H,DATA_GOC!$A:$A,"BOM",DATA_GOC!$D:$D,$B11,DATA_GOC!$E:$E,"Téc 1",DATA_GOC!$F:$F,"Xuất nội bộ từ téc",DATA_GOC!$B:$B,DATE($D$2,$B$2,AE$4)),0))</f>
        <v>0</v>
      </c>
      <c r="AF11" s="239">
        <f>IF(AF$4&gt;DAY(EOMONTH(DATE($D$2,$B$2,1),0)),"",IFERROR(SUMIFS(DATA_GOC!$H:$H,DATA_GOC!$A:$A,"BOM",DATA_GOC!$D:$D,$B11,DATA_GOC!$E:$E,"Téc 1",DATA_GOC!$F:$F,"Xuất nội bộ từ téc",DATA_GOC!$B:$B,DATE($D$2,$B$2,AF$4)),0))</f>
        <v>0</v>
      </c>
      <c r="AG11" s="239">
        <f>IF(AG$4&gt;DAY(EOMONTH(DATE($D$2,$B$2,1),0)),"",IFERROR(SUMIFS(DATA_GOC!$H:$H,DATA_GOC!$A:$A,"BOM",DATA_GOC!$D:$D,$B11,DATA_GOC!$E:$E,"Téc 1",DATA_GOC!$F:$F,"Xuất nội bộ từ téc",DATA_GOC!$B:$B,DATE($D$2,$B$2,AG$4)),0))</f>
        <v>0</v>
      </c>
      <c r="AH11" s="240">
        <f t="shared" si="1"/>
        <v>0</v>
      </c>
      <c r="AI11" s="241"/>
      <c r="AJ11" s="239">
        <f>IF($B11="","",SUMIFS(TINH_TEC!$K$233:$K$9232,TINH_TEC!$H$233:$H$9232,$B11,TINH_TEC!$C$233:$C$9232,"Téc 1",TINH_TEC!$F$233:$F$9232,$B$2,TINH_TEC!$G$233:$G$9232,$D$2,TINH_TEC!$B$233:$B$9232,"Đã chốt"))</f>
        <v>0</v>
      </c>
      <c r="AK11" s="239">
        <f>IF($B11="","",SUMIFS(TINH_TEC!$J$233:$J$9232,TINH_TEC!$H$233:$H$9232,$B11,TINH_TEC!$C$233:$C$9232,"Téc 1",TINH_TEC!$F$233:$F$9232,$B$2,TINH_TEC!$G$233:$G$9232,$D$2,TINH_TEC!$B$233:$B$9232,"Đã chốt"))</f>
        <v>0</v>
      </c>
      <c r="AL11" s="239">
        <f t="shared" si="2"/>
        <v>0</v>
      </c>
    </row>
    <row r="12" ht="15.75" customHeight="1">
      <c r="A12" s="237">
        <f>IF($B12&lt;&gt;"",7,"")</f>
        <v>7</v>
      </c>
      <c r="B12" s="238" t="str">
        <f t="array" ref="B12">IFERROR(INDEX(DANH_MUC!$E:$E,10),"")</f>
        <v>28C01622</v>
      </c>
      <c r="C12" s="239">
        <f>IF(C$4&gt;DAY(EOMONTH(DATE($D$2,$B$2,1),0)),"",IFERROR(SUMIFS(DATA_GOC!$H:$H,DATA_GOC!$A:$A,"BOM",DATA_GOC!$D:$D,$B12,DATA_GOC!$E:$E,"Téc 1",DATA_GOC!$F:$F,"Xuất nội bộ từ téc",DATA_GOC!$B:$B,DATE($D$2,$B$2,C$4)),0))</f>
        <v>0</v>
      </c>
      <c r="D12" s="239">
        <f>IF(D$4&gt;DAY(EOMONTH(DATE($D$2,$B$2,1),0)),"",IFERROR(SUMIFS(DATA_GOC!$H:$H,DATA_GOC!$A:$A,"BOM",DATA_GOC!$D:$D,$B12,DATA_GOC!$E:$E,"Téc 1",DATA_GOC!$F:$F,"Xuất nội bộ từ téc",DATA_GOC!$B:$B,DATE($D$2,$B$2,D$4)),0))</f>
        <v>0</v>
      </c>
      <c r="E12" s="239">
        <f>IF(E$4&gt;DAY(EOMONTH(DATE($D$2,$B$2,1),0)),"",IFERROR(SUMIFS(DATA_GOC!$H:$H,DATA_GOC!$A:$A,"BOM",DATA_GOC!$D:$D,$B12,DATA_GOC!$E:$E,"Téc 1",DATA_GOC!$F:$F,"Xuất nội bộ từ téc",DATA_GOC!$B:$B,DATE($D$2,$B$2,E$4)),0))</f>
        <v>0</v>
      </c>
      <c r="F12" s="239">
        <f>IF(F$4&gt;DAY(EOMONTH(DATE($D$2,$B$2,1),0)),"",IFERROR(SUMIFS(DATA_GOC!$H:$H,DATA_GOC!$A:$A,"BOM",DATA_GOC!$D:$D,$B12,DATA_GOC!$E:$E,"Téc 1",DATA_GOC!$F:$F,"Xuất nội bộ từ téc",DATA_GOC!$B:$B,DATE($D$2,$B$2,F$4)),0))</f>
        <v>0</v>
      </c>
      <c r="G12" s="239">
        <f>IF(G$4&gt;DAY(EOMONTH(DATE($D$2,$B$2,1),0)),"",IFERROR(SUMIFS(DATA_GOC!$H:$H,DATA_GOC!$A:$A,"BOM",DATA_GOC!$D:$D,$B12,DATA_GOC!$E:$E,"Téc 1",DATA_GOC!$F:$F,"Xuất nội bộ từ téc",DATA_GOC!$B:$B,DATE($D$2,$B$2,G$4)),0))</f>
        <v>0</v>
      </c>
      <c r="H12" s="239">
        <f>IF(H$4&gt;DAY(EOMONTH(DATE($D$2,$B$2,1),0)),"",IFERROR(SUMIFS(DATA_GOC!$H:$H,DATA_GOC!$A:$A,"BOM",DATA_GOC!$D:$D,$B12,DATA_GOC!$E:$E,"Téc 1",DATA_GOC!$F:$F,"Xuất nội bộ từ téc",DATA_GOC!$B:$B,DATE($D$2,$B$2,H$4)),0))</f>
        <v>0</v>
      </c>
      <c r="I12" s="239">
        <f>IF(I$4&gt;DAY(EOMONTH(DATE($D$2,$B$2,1),0)),"",IFERROR(SUMIFS(DATA_GOC!$H:$H,DATA_GOC!$A:$A,"BOM",DATA_GOC!$D:$D,$B12,DATA_GOC!$E:$E,"Téc 1",DATA_GOC!$F:$F,"Xuất nội bộ từ téc",DATA_GOC!$B:$B,DATE($D$2,$B$2,I$4)),0))</f>
        <v>0</v>
      </c>
      <c r="J12" s="239">
        <f>IF(J$4&gt;DAY(EOMONTH(DATE($D$2,$B$2,1),0)),"",IFERROR(SUMIFS(DATA_GOC!$H:$H,DATA_GOC!$A:$A,"BOM",DATA_GOC!$D:$D,$B12,DATA_GOC!$E:$E,"Téc 1",DATA_GOC!$F:$F,"Xuất nội bộ từ téc",DATA_GOC!$B:$B,DATE($D$2,$B$2,J$4)),0))</f>
        <v>0</v>
      </c>
      <c r="K12" s="239">
        <f>IF(K$4&gt;DAY(EOMONTH(DATE($D$2,$B$2,1),0)),"",IFERROR(SUMIFS(DATA_GOC!$H:$H,DATA_GOC!$A:$A,"BOM",DATA_GOC!$D:$D,$B12,DATA_GOC!$E:$E,"Téc 1",DATA_GOC!$F:$F,"Xuất nội bộ từ téc",DATA_GOC!$B:$B,DATE($D$2,$B$2,K$4)),0))</f>
        <v>0</v>
      </c>
      <c r="L12" s="239">
        <f>IF(L$4&gt;DAY(EOMONTH(DATE($D$2,$B$2,1),0)),"",IFERROR(SUMIFS(DATA_GOC!$H:$H,DATA_GOC!$A:$A,"BOM",DATA_GOC!$D:$D,$B12,DATA_GOC!$E:$E,"Téc 1",DATA_GOC!$F:$F,"Xuất nội bộ từ téc",DATA_GOC!$B:$B,DATE($D$2,$B$2,L$4)),0))</f>
        <v>0</v>
      </c>
      <c r="M12" s="239">
        <f>IF(M$4&gt;DAY(EOMONTH(DATE($D$2,$B$2,1),0)),"",IFERROR(SUMIFS(DATA_GOC!$H:$H,DATA_GOC!$A:$A,"BOM",DATA_GOC!$D:$D,$B12,DATA_GOC!$E:$E,"Téc 1",DATA_GOC!$F:$F,"Xuất nội bộ từ téc",DATA_GOC!$B:$B,DATE($D$2,$B$2,M$4)),0))</f>
        <v>0</v>
      </c>
      <c r="N12" s="239">
        <f>IF(N$4&gt;DAY(EOMONTH(DATE($D$2,$B$2,1),0)),"",IFERROR(SUMIFS(DATA_GOC!$H:$H,DATA_GOC!$A:$A,"BOM",DATA_GOC!$D:$D,$B12,DATA_GOC!$E:$E,"Téc 1",DATA_GOC!$F:$F,"Xuất nội bộ từ téc",DATA_GOC!$B:$B,DATE($D$2,$B$2,N$4)),0))</f>
        <v>0</v>
      </c>
      <c r="O12" s="239">
        <f>IF(O$4&gt;DAY(EOMONTH(DATE($D$2,$B$2,1),0)),"",IFERROR(SUMIFS(DATA_GOC!$H:$H,DATA_GOC!$A:$A,"BOM",DATA_GOC!$D:$D,$B12,DATA_GOC!$E:$E,"Téc 1",DATA_GOC!$F:$F,"Xuất nội bộ từ téc",DATA_GOC!$B:$B,DATE($D$2,$B$2,O$4)),0))</f>
        <v>0</v>
      </c>
      <c r="P12" s="239">
        <f>IF(P$4&gt;DAY(EOMONTH(DATE($D$2,$B$2,1),0)),"",IFERROR(SUMIFS(DATA_GOC!$H:$H,DATA_GOC!$A:$A,"BOM",DATA_GOC!$D:$D,$B12,DATA_GOC!$E:$E,"Téc 1",DATA_GOC!$F:$F,"Xuất nội bộ từ téc",DATA_GOC!$B:$B,DATE($D$2,$B$2,P$4)),0))</f>
        <v>0</v>
      </c>
      <c r="Q12" s="239">
        <f>IF(Q$4&gt;DAY(EOMONTH(DATE($D$2,$B$2,1),0)),"",IFERROR(SUMIFS(DATA_GOC!$H:$H,DATA_GOC!$A:$A,"BOM",DATA_GOC!$D:$D,$B12,DATA_GOC!$E:$E,"Téc 1",DATA_GOC!$F:$F,"Xuất nội bộ từ téc",DATA_GOC!$B:$B,DATE($D$2,$B$2,Q$4)),0))</f>
        <v>0</v>
      </c>
      <c r="R12" s="239">
        <f>IF(R$4&gt;DAY(EOMONTH(DATE($D$2,$B$2,1),0)),"",IFERROR(SUMIFS(DATA_GOC!$H:$H,DATA_GOC!$A:$A,"BOM",DATA_GOC!$D:$D,$B12,DATA_GOC!$E:$E,"Téc 1",DATA_GOC!$F:$F,"Xuất nội bộ từ téc",DATA_GOC!$B:$B,DATE($D$2,$B$2,R$4)),0))</f>
        <v>0</v>
      </c>
      <c r="S12" s="239">
        <f>IF(S$4&gt;DAY(EOMONTH(DATE($D$2,$B$2,1),0)),"",IFERROR(SUMIFS(DATA_GOC!$H:$H,DATA_GOC!$A:$A,"BOM",DATA_GOC!$D:$D,$B12,DATA_GOC!$E:$E,"Téc 1",DATA_GOC!$F:$F,"Xuất nội bộ từ téc",DATA_GOC!$B:$B,DATE($D$2,$B$2,S$4)),0))</f>
        <v>0</v>
      </c>
      <c r="T12" s="239">
        <f>IF(T$4&gt;DAY(EOMONTH(DATE($D$2,$B$2,1),0)),"",IFERROR(SUMIFS(DATA_GOC!$H:$H,DATA_GOC!$A:$A,"BOM",DATA_GOC!$D:$D,$B12,DATA_GOC!$E:$E,"Téc 1",DATA_GOC!$F:$F,"Xuất nội bộ từ téc",DATA_GOC!$B:$B,DATE($D$2,$B$2,T$4)),0))</f>
        <v>0</v>
      </c>
      <c r="U12" s="239">
        <f>IF(U$4&gt;DAY(EOMONTH(DATE($D$2,$B$2,1),0)),"",IFERROR(SUMIFS(DATA_GOC!$H:$H,DATA_GOC!$A:$A,"BOM",DATA_GOC!$D:$D,$B12,DATA_GOC!$E:$E,"Téc 1",DATA_GOC!$F:$F,"Xuất nội bộ từ téc",DATA_GOC!$B:$B,DATE($D$2,$B$2,U$4)),0))</f>
        <v>0</v>
      </c>
      <c r="V12" s="239">
        <f>IF(V$4&gt;DAY(EOMONTH(DATE($D$2,$B$2,1),0)),"",IFERROR(SUMIFS(DATA_GOC!$H:$H,DATA_GOC!$A:$A,"BOM",DATA_GOC!$D:$D,$B12,DATA_GOC!$E:$E,"Téc 1",DATA_GOC!$F:$F,"Xuất nội bộ từ téc",DATA_GOC!$B:$B,DATE($D$2,$B$2,V$4)),0))</f>
        <v>0</v>
      </c>
      <c r="W12" s="239">
        <f>IF(W$4&gt;DAY(EOMONTH(DATE($D$2,$B$2,1),0)),"",IFERROR(SUMIFS(DATA_GOC!$H:$H,DATA_GOC!$A:$A,"BOM",DATA_GOC!$D:$D,$B12,DATA_GOC!$E:$E,"Téc 1",DATA_GOC!$F:$F,"Xuất nội bộ từ téc",DATA_GOC!$B:$B,DATE($D$2,$B$2,W$4)),0))</f>
        <v>0</v>
      </c>
      <c r="X12" s="239">
        <f>IF(X$4&gt;DAY(EOMONTH(DATE($D$2,$B$2,1),0)),"",IFERROR(SUMIFS(DATA_GOC!$H:$H,DATA_GOC!$A:$A,"BOM",DATA_GOC!$D:$D,$B12,DATA_GOC!$E:$E,"Téc 1",DATA_GOC!$F:$F,"Xuất nội bộ từ téc",DATA_GOC!$B:$B,DATE($D$2,$B$2,X$4)),0))</f>
        <v>0</v>
      </c>
      <c r="Y12" s="239">
        <f>IF(Y$4&gt;DAY(EOMONTH(DATE($D$2,$B$2,1),0)),"",IFERROR(SUMIFS(DATA_GOC!$H:$H,DATA_GOC!$A:$A,"BOM",DATA_GOC!$D:$D,$B12,DATA_GOC!$E:$E,"Téc 1",DATA_GOC!$F:$F,"Xuất nội bộ từ téc",DATA_GOC!$B:$B,DATE($D$2,$B$2,Y$4)),0))</f>
        <v>0</v>
      </c>
      <c r="Z12" s="239">
        <f>IF(Z$4&gt;DAY(EOMONTH(DATE($D$2,$B$2,1),0)),"",IFERROR(SUMIFS(DATA_GOC!$H:$H,DATA_GOC!$A:$A,"BOM",DATA_GOC!$D:$D,$B12,DATA_GOC!$E:$E,"Téc 1",DATA_GOC!$F:$F,"Xuất nội bộ từ téc",DATA_GOC!$B:$B,DATE($D$2,$B$2,Z$4)),0))</f>
        <v>0</v>
      </c>
      <c r="AA12" s="239">
        <f>IF(AA$4&gt;DAY(EOMONTH(DATE($D$2,$B$2,1),0)),"",IFERROR(SUMIFS(DATA_GOC!$H:$H,DATA_GOC!$A:$A,"BOM",DATA_GOC!$D:$D,$B12,DATA_GOC!$E:$E,"Téc 1",DATA_GOC!$F:$F,"Xuất nội bộ từ téc",DATA_GOC!$B:$B,DATE($D$2,$B$2,AA$4)),0))</f>
        <v>0</v>
      </c>
      <c r="AB12" s="239">
        <f>IF(AB$4&gt;DAY(EOMONTH(DATE($D$2,$B$2,1),0)),"",IFERROR(SUMIFS(DATA_GOC!$H:$H,DATA_GOC!$A:$A,"BOM",DATA_GOC!$D:$D,$B12,DATA_GOC!$E:$E,"Téc 1",DATA_GOC!$F:$F,"Xuất nội bộ từ téc",DATA_GOC!$B:$B,DATE($D$2,$B$2,AB$4)),0))</f>
        <v>0</v>
      </c>
      <c r="AC12" s="239">
        <f>IF(AC$4&gt;DAY(EOMONTH(DATE($D$2,$B$2,1),0)),"",IFERROR(SUMIFS(DATA_GOC!$H:$H,DATA_GOC!$A:$A,"BOM",DATA_GOC!$D:$D,$B12,DATA_GOC!$E:$E,"Téc 1",DATA_GOC!$F:$F,"Xuất nội bộ từ téc",DATA_GOC!$B:$B,DATE($D$2,$B$2,AC$4)),0))</f>
        <v>0</v>
      </c>
      <c r="AD12" s="239">
        <f>IF(AD$4&gt;DAY(EOMONTH(DATE($D$2,$B$2,1),0)),"",IFERROR(SUMIFS(DATA_GOC!$H:$H,DATA_GOC!$A:$A,"BOM",DATA_GOC!$D:$D,$B12,DATA_GOC!$E:$E,"Téc 1",DATA_GOC!$F:$F,"Xuất nội bộ từ téc",DATA_GOC!$B:$B,DATE($D$2,$B$2,AD$4)),0))</f>
        <v>0</v>
      </c>
      <c r="AE12" s="239">
        <f>IF(AE$4&gt;DAY(EOMONTH(DATE($D$2,$B$2,1),0)),"",IFERROR(SUMIFS(DATA_GOC!$H:$H,DATA_GOC!$A:$A,"BOM",DATA_GOC!$D:$D,$B12,DATA_GOC!$E:$E,"Téc 1",DATA_GOC!$F:$F,"Xuất nội bộ từ téc",DATA_GOC!$B:$B,DATE($D$2,$B$2,AE$4)),0))</f>
        <v>0</v>
      </c>
      <c r="AF12" s="239">
        <f>IF(AF$4&gt;DAY(EOMONTH(DATE($D$2,$B$2,1),0)),"",IFERROR(SUMIFS(DATA_GOC!$H:$H,DATA_GOC!$A:$A,"BOM",DATA_GOC!$D:$D,$B12,DATA_GOC!$E:$E,"Téc 1",DATA_GOC!$F:$F,"Xuất nội bộ từ téc",DATA_GOC!$B:$B,DATE($D$2,$B$2,AF$4)),0))</f>
        <v>0</v>
      </c>
      <c r="AG12" s="239">
        <f>IF(AG$4&gt;DAY(EOMONTH(DATE($D$2,$B$2,1),0)),"",IFERROR(SUMIFS(DATA_GOC!$H:$H,DATA_GOC!$A:$A,"BOM",DATA_GOC!$D:$D,$B12,DATA_GOC!$E:$E,"Téc 1",DATA_GOC!$F:$F,"Xuất nội bộ từ téc",DATA_GOC!$B:$B,DATE($D$2,$B$2,AG$4)),0))</f>
        <v>0</v>
      </c>
      <c r="AH12" s="240">
        <f t="shared" si="1"/>
        <v>0</v>
      </c>
      <c r="AI12" s="241"/>
      <c r="AJ12" s="239">
        <f>IF($B12="","",SUMIFS(TINH_TEC!$K$233:$K$9232,TINH_TEC!$H$233:$H$9232,$B12,TINH_TEC!$C$233:$C$9232,"Téc 1",TINH_TEC!$F$233:$F$9232,$B$2,TINH_TEC!$G$233:$G$9232,$D$2,TINH_TEC!$B$233:$B$9232,"Đã chốt"))</f>
        <v>0</v>
      </c>
      <c r="AK12" s="239">
        <f>IF($B12="","",SUMIFS(TINH_TEC!$J$233:$J$9232,TINH_TEC!$H$233:$H$9232,$B12,TINH_TEC!$C$233:$C$9232,"Téc 1",TINH_TEC!$F$233:$F$9232,$B$2,TINH_TEC!$G$233:$G$9232,$D$2,TINH_TEC!$B$233:$B$9232,"Đã chốt"))</f>
        <v>0</v>
      </c>
      <c r="AL12" s="239">
        <f t="shared" si="2"/>
        <v>0</v>
      </c>
    </row>
    <row r="13" ht="15.75" customHeight="1">
      <c r="A13" s="237">
        <f>IF($B13&lt;&gt;"",8,"")</f>
        <v>8</v>
      </c>
      <c r="B13" s="238" t="str">
        <f t="array" ref="B13">IFERROR(INDEX(DANH_MUC!$E:$E,11),"")</f>
        <v>28C01647</v>
      </c>
      <c r="C13" s="239">
        <f>IF(C$4&gt;DAY(EOMONTH(DATE($D$2,$B$2,1),0)),"",IFERROR(SUMIFS(DATA_GOC!$H:$H,DATA_GOC!$A:$A,"BOM",DATA_GOC!$D:$D,$B13,DATA_GOC!$E:$E,"Téc 1",DATA_GOC!$F:$F,"Xuất nội bộ từ téc",DATA_GOC!$B:$B,DATE($D$2,$B$2,C$4)),0))</f>
        <v>0</v>
      </c>
      <c r="D13" s="239">
        <f>IF(D$4&gt;DAY(EOMONTH(DATE($D$2,$B$2,1),0)),"",IFERROR(SUMIFS(DATA_GOC!$H:$H,DATA_GOC!$A:$A,"BOM",DATA_GOC!$D:$D,$B13,DATA_GOC!$E:$E,"Téc 1",DATA_GOC!$F:$F,"Xuất nội bộ từ téc",DATA_GOC!$B:$B,DATE($D$2,$B$2,D$4)),0))</f>
        <v>0</v>
      </c>
      <c r="E13" s="239">
        <f>IF(E$4&gt;DAY(EOMONTH(DATE($D$2,$B$2,1),0)),"",IFERROR(SUMIFS(DATA_GOC!$H:$H,DATA_GOC!$A:$A,"BOM",DATA_GOC!$D:$D,$B13,DATA_GOC!$E:$E,"Téc 1",DATA_GOC!$F:$F,"Xuất nội bộ từ téc",DATA_GOC!$B:$B,DATE($D$2,$B$2,E$4)),0))</f>
        <v>0</v>
      </c>
      <c r="F13" s="239">
        <f>IF(F$4&gt;DAY(EOMONTH(DATE($D$2,$B$2,1),0)),"",IFERROR(SUMIFS(DATA_GOC!$H:$H,DATA_GOC!$A:$A,"BOM",DATA_GOC!$D:$D,$B13,DATA_GOC!$E:$E,"Téc 1",DATA_GOC!$F:$F,"Xuất nội bộ từ téc",DATA_GOC!$B:$B,DATE($D$2,$B$2,F$4)),0))</f>
        <v>0</v>
      </c>
      <c r="G13" s="239">
        <f>IF(G$4&gt;DAY(EOMONTH(DATE($D$2,$B$2,1),0)),"",IFERROR(SUMIFS(DATA_GOC!$H:$H,DATA_GOC!$A:$A,"BOM",DATA_GOC!$D:$D,$B13,DATA_GOC!$E:$E,"Téc 1",DATA_GOC!$F:$F,"Xuất nội bộ từ téc",DATA_GOC!$B:$B,DATE($D$2,$B$2,G$4)),0))</f>
        <v>0</v>
      </c>
      <c r="H13" s="239">
        <f>IF(H$4&gt;DAY(EOMONTH(DATE($D$2,$B$2,1),0)),"",IFERROR(SUMIFS(DATA_GOC!$H:$H,DATA_GOC!$A:$A,"BOM",DATA_GOC!$D:$D,$B13,DATA_GOC!$E:$E,"Téc 1",DATA_GOC!$F:$F,"Xuất nội bộ từ téc",DATA_GOC!$B:$B,DATE($D$2,$B$2,H$4)),0))</f>
        <v>0</v>
      </c>
      <c r="I13" s="239">
        <f>IF(I$4&gt;DAY(EOMONTH(DATE($D$2,$B$2,1),0)),"",IFERROR(SUMIFS(DATA_GOC!$H:$H,DATA_GOC!$A:$A,"BOM",DATA_GOC!$D:$D,$B13,DATA_GOC!$E:$E,"Téc 1",DATA_GOC!$F:$F,"Xuất nội bộ từ téc",DATA_GOC!$B:$B,DATE($D$2,$B$2,I$4)),0))</f>
        <v>0</v>
      </c>
      <c r="J13" s="239">
        <f>IF(J$4&gt;DAY(EOMONTH(DATE($D$2,$B$2,1),0)),"",IFERROR(SUMIFS(DATA_GOC!$H:$H,DATA_GOC!$A:$A,"BOM",DATA_GOC!$D:$D,$B13,DATA_GOC!$E:$E,"Téc 1",DATA_GOC!$F:$F,"Xuất nội bộ từ téc",DATA_GOC!$B:$B,DATE($D$2,$B$2,J$4)),0))</f>
        <v>0</v>
      </c>
      <c r="K13" s="239">
        <f>IF(K$4&gt;DAY(EOMONTH(DATE($D$2,$B$2,1),0)),"",IFERROR(SUMIFS(DATA_GOC!$H:$H,DATA_GOC!$A:$A,"BOM",DATA_GOC!$D:$D,$B13,DATA_GOC!$E:$E,"Téc 1",DATA_GOC!$F:$F,"Xuất nội bộ từ téc",DATA_GOC!$B:$B,DATE($D$2,$B$2,K$4)),0))</f>
        <v>0</v>
      </c>
      <c r="L13" s="239">
        <f>IF(L$4&gt;DAY(EOMONTH(DATE($D$2,$B$2,1),0)),"",IFERROR(SUMIFS(DATA_GOC!$H:$H,DATA_GOC!$A:$A,"BOM",DATA_GOC!$D:$D,$B13,DATA_GOC!$E:$E,"Téc 1",DATA_GOC!$F:$F,"Xuất nội bộ từ téc",DATA_GOC!$B:$B,DATE($D$2,$B$2,L$4)),0))</f>
        <v>0</v>
      </c>
      <c r="M13" s="239">
        <f>IF(M$4&gt;DAY(EOMONTH(DATE($D$2,$B$2,1),0)),"",IFERROR(SUMIFS(DATA_GOC!$H:$H,DATA_GOC!$A:$A,"BOM",DATA_GOC!$D:$D,$B13,DATA_GOC!$E:$E,"Téc 1",DATA_GOC!$F:$F,"Xuất nội bộ từ téc",DATA_GOC!$B:$B,DATE($D$2,$B$2,M$4)),0))</f>
        <v>0</v>
      </c>
      <c r="N13" s="239">
        <f>IF(N$4&gt;DAY(EOMONTH(DATE($D$2,$B$2,1),0)),"",IFERROR(SUMIFS(DATA_GOC!$H:$H,DATA_GOC!$A:$A,"BOM",DATA_GOC!$D:$D,$B13,DATA_GOC!$E:$E,"Téc 1",DATA_GOC!$F:$F,"Xuất nội bộ từ téc",DATA_GOC!$B:$B,DATE($D$2,$B$2,N$4)),0))</f>
        <v>0</v>
      </c>
      <c r="O13" s="239">
        <f>IF(O$4&gt;DAY(EOMONTH(DATE($D$2,$B$2,1),0)),"",IFERROR(SUMIFS(DATA_GOC!$H:$H,DATA_GOC!$A:$A,"BOM",DATA_GOC!$D:$D,$B13,DATA_GOC!$E:$E,"Téc 1",DATA_GOC!$F:$F,"Xuất nội bộ từ téc",DATA_GOC!$B:$B,DATE($D$2,$B$2,O$4)),0))</f>
        <v>0</v>
      </c>
      <c r="P13" s="239">
        <f>IF(P$4&gt;DAY(EOMONTH(DATE($D$2,$B$2,1),0)),"",IFERROR(SUMIFS(DATA_GOC!$H:$H,DATA_GOC!$A:$A,"BOM",DATA_GOC!$D:$D,$B13,DATA_GOC!$E:$E,"Téc 1",DATA_GOC!$F:$F,"Xuất nội bộ từ téc",DATA_GOC!$B:$B,DATE($D$2,$B$2,P$4)),0))</f>
        <v>0</v>
      </c>
      <c r="Q13" s="239">
        <f>IF(Q$4&gt;DAY(EOMONTH(DATE($D$2,$B$2,1),0)),"",IFERROR(SUMIFS(DATA_GOC!$H:$H,DATA_GOC!$A:$A,"BOM",DATA_GOC!$D:$D,$B13,DATA_GOC!$E:$E,"Téc 1",DATA_GOC!$F:$F,"Xuất nội bộ từ téc",DATA_GOC!$B:$B,DATE($D$2,$B$2,Q$4)),0))</f>
        <v>0</v>
      </c>
      <c r="R13" s="239">
        <f>IF(R$4&gt;DAY(EOMONTH(DATE($D$2,$B$2,1),0)),"",IFERROR(SUMIFS(DATA_GOC!$H:$H,DATA_GOC!$A:$A,"BOM",DATA_GOC!$D:$D,$B13,DATA_GOC!$E:$E,"Téc 1",DATA_GOC!$F:$F,"Xuất nội bộ từ téc",DATA_GOC!$B:$B,DATE($D$2,$B$2,R$4)),0))</f>
        <v>0</v>
      </c>
      <c r="S13" s="239">
        <f>IF(S$4&gt;DAY(EOMONTH(DATE($D$2,$B$2,1),0)),"",IFERROR(SUMIFS(DATA_GOC!$H:$H,DATA_GOC!$A:$A,"BOM",DATA_GOC!$D:$D,$B13,DATA_GOC!$E:$E,"Téc 1",DATA_GOC!$F:$F,"Xuất nội bộ từ téc",DATA_GOC!$B:$B,DATE($D$2,$B$2,S$4)),0))</f>
        <v>0</v>
      </c>
      <c r="T13" s="239">
        <f>IF(T$4&gt;DAY(EOMONTH(DATE($D$2,$B$2,1),0)),"",IFERROR(SUMIFS(DATA_GOC!$H:$H,DATA_GOC!$A:$A,"BOM",DATA_GOC!$D:$D,$B13,DATA_GOC!$E:$E,"Téc 1",DATA_GOC!$F:$F,"Xuất nội bộ từ téc",DATA_GOC!$B:$B,DATE($D$2,$B$2,T$4)),0))</f>
        <v>0</v>
      </c>
      <c r="U13" s="239">
        <f>IF(U$4&gt;DAY(EOMONTH(DATE($D$2,$B$2,1),0)),"",IFERROR(SUMIFS(DATA_GOC!$H:$H,DATA_GOC!$A:$A,"BOM",DATA_GOC!$D:$D,$B13,DATA_GOC!$E:$E,"Téc 1",DATA_GOC!$F:$F,"Xuất nội bộ từ téc",DATA_GOC!$B:$B,DATE($D$2,$B$2,U$4)),0))</f>
        <v>0</v>
      </c>
      <c r="V13" s="239">
        <f>IF(V$4&gt;DAY(EOMONTH(DATE($D$2,$B$2,1),0)),"",IFERROR(SUMIFS(DATA_GOC!$H:$H,DATA_GOC!$A:$A,"BOM",DATA_GOC!$D:$D,$B13,DATA_GOC!$E:$E,"Téc 1",DATA_GOC!$F:$F,"Xuất nội bộ từ téc",DATA_GOC!$B:$B,DATE($D$2,$B$2,V$4)),0))</f>
        <v>0</v>
      </c>
      <c r="W13" s="239">
        <f>IF(W$4&gt;DAY(EOMONTH(DATE($D$2,$B$2,1),0)),"",IFERROR(SUMIFS(DATA_GOC!$H:$H,DATA_GOC!$A:$A,"BOM",DATA_GOC!$D:$D,$B13,DATA_GOC!$E:$E,"Téc 1",DATA_GOC!$F:$F,"Xuất nội bộ từ téc",DATA_GOC!$B:$B,DATE($D$2,$B$2,W$4)),0))</f>
        <v>0</v>
      </c>
      <c r="X13" s="239">
        <f>IF(X$4&gt;DAY(EOMONTH(DATE($D$2,$B$2,1),0)),"",IFERROR(SUMIFS(DATA_GOC!$H:$H,DATA_GOC!$A:$A,"BOM",DATA_GOC!$D:$D,$B13,DATA_GOC!$E:$E,"Téc 1",DATA_GOC!$F:$F,"Xuất nội bộ từ téc",DATA_GOC!$B:$B,DATE($D$2,$B$2,X$4)),0))</f>
        <v>0</v>
      </c>
      <c r="Y13" s="239">
        <f>IF(Y$4&gt;DAY(EOMONTH(DATE($D$2,$B$2,1),0)),"",IFERROR(SUMIFS(DATA_GOC!$H:$H,DATA_GOC!$A:$A,"BOM",DATA_GOC!$D:$D,$B13,DATA_GOC!$E:$E,"Téc 1",DATA_GOC!$F:$F,"Xuất nội bộ từ téc",DATA_GOC!$B:$B,DATE($D$2,$B$2,Y$4)),0))</f>
        <v>0</v>
      </c>
      <c r="Z13" s="239">
        <f>IF(Z$4&gt;DAY(EOMONTH(DATE($D$2,$B$2,1),0)),"",IFERROR(SUMIFS(DATA_GOC!$H:$H,DATA_GOC!$A:$A,"BOM",DATA_GOC!$D:$D,$B13,DATA_GOC!$E:$E,"Téc 1",DATA_GOC!$F:$F,"Xuất nội bộ từ téc",DATA_GOC!$B:$B,DATE($D$2,$B$2,Z$4)),0))</f>
        <v>0</v>
      </c>
      <c r="AA13" s="239">
        <f>IF(AA$4&gt;DAY(EOMONTH(DATE($D$2,$B$2,1),0)),"",IFERROR(SUMIFS(DATA_GOC!$H:$H,DATA_GOC!$A:$A,"BOM",DATA_GOC!$D:$D,$B13,DATA_GOC!$E:$E,"Téc 1",DATA_GOC!$F:$F,"Xuất nội bộ từ téc",DATA_GOC!$B:$B,DATE($D$2,$B$2,AA$4)),0))</f>
        <v>0</v>
      </c>
      <c r="AB13" s="239">
        <f>IF(AB$4&gt;DAY(EOMONTH(DATE($D$2,$B$2,1),0)),"",IFERROR(SUMIFS(DATA_GOC!$H:$H,DATA_GOC!$A:$A,"BOM",DATA_GOC!$D:$D,$B13,DATA_GOC!$E:$E,"Téc 1",DATA_GOC!$F:$F,"Xuất nội bộ từ téc",DATA_GOC!$B:$B,DATE($D$2,$B$2,AB$4)),0))</f>
        <v>0</v>
      </c>
      <c r="AC13" s="239">
        <f>IF(AC$4&gt;DAY(EOMONTH(DATE($D$2,$B$2,1),0)),"",IFERROR(SUMIFS(DATA_GOC!$H:$H,DATA_GOC!$A:$A,"BOM",DATA_GOC!$D:$D,$B13,DATA_GOC!$E:$E,"Téc 1",DATA_GOC!$F:$F,"Xuất nội bộ từ téc",DATA_GOC!$B:$B,DATE($D$2,$B$2,AC$4)),0))</f>
        <v>0</v>
      </c>
      <c r="AD13" s="239">
        <f>IF(AD$4&gt;DAY(EOMONTH(DATE($D$2,$B$2,1),0)),"",IFERROR(SUMIFS(DATA_GOC!$H:$H,DATA_GOC!$A:$A,"BOM",DATA_GOC!$D:$D,$B13,DATA_GOC!$E:$E,"Téc 1",DATA_GOC!$F:$F,"Xuất nội bộ từ téc",DATA_GOC!$B:$B,DATE($D$2,$B$2,AD$4)),0))</f>
        <v>0</v>
      </c>
      <c r="AE13" s="239">
        <f>IF(AE$4&gt;DAY(EOMONTH(DATE($D$2,$B$2,1),0)),"",IFERROR(SUMIFS(DATA_GOC!$H:$H,DATA_GOC!$A:$A,"BOM",DATA_GOC!$D:$D,$B13,DATA_GOC!$E:$E,"Téc 1",DATA_GOC!$F:$F,"Xuất nội bộ từ téc",DATA_GOC!$B:$B,DATE($D$2,$B$2,AE$4)),0))</f>
        <v>0</v>
      </c>
      <c r="AF13" s="239">
        <f>IF(AF$4&gt;DAY(EOMONTH(DATE($D$2,$B$2,1),0)),"",IFERROR(SUMIFS(DATA_GOC!$H:$H,DATA_GOC!$A:$A,"BOM",DATA_GOC!$D:$D,$B13,DATA_GOC!$E:$E,"Téc 1",DATA_GOC!$F:$F,"Xuất nội bộ từ téc",DATA_GOC!$B:$B,DATE($D$2,$B$2,AF$4)),0))</f>
        <v>0</v>
      </c>
      <c r="AG13" s="239">
        <f>IF(AG$4&gt;DAY(EOMONTH(DATE($D$2,$B$2,1),0)),"",IFERROR(SUMIFS(DATA_GOC!$H:$H,DATA_GOC!$A:$A,"BOM",DATA_GOC!$D:$D,$B13,DATA_GOC!$E:$E,"Téc 1",DATA_GOC!$F:$F,"Xuất nội bộ từ téc",DATA_GOC!$B:$B,DATE($D$2,$B$2,AG$4)),0))</f>
        <v>0</v>
      </c>
      <c r="AH13" s="240">
        <f t="shared" si="1"/>
        <v>0</v>
      </c>
      <c r="AI13" s="241"/>
      <c r="AJ13" s="239">
        <f>IF($B13="","",SUMIFS(TINH_TEC!$K$233:$K$9232,TINH_TEC!$H$233:$H$9232,$B13,TINH_TEC!$C$233:$C$9232,"Téc 1",TINH_TEC!$F$233:$F$9232,$B$2,TINH_TEC!$G$233:$G$9232,$D$2,TINH_TEC!$B$233:$B$9232,"Đã chốt"))</f>
        <v>0</v>
      </c>
      <c r="AK13" s="239">
        <f>IF($B13="","",SUMIFS(TINH_TEC!$J$233:$J$9232,TINH_TEC!$H$233:$H$9232,$B13,TINH_TEC!$C$233:$C$9232,"Téc 1",TINH_TEC!$F$233:$F$9232,$B$2,TINH_TEC!$G$233:$G$9232,$D$2,TINH_TEC!$B$233:$B$9232,"Đã chốt"))</f>
        <v>0</v>
      </c>
      <c r="AL13" s="239">
        <f t="shared" si="2"/>
        <v>0</v>
      </c>
    </row>
    <row r="14" ht="15.75" customHeight="1">
      <c r="A14" s="237">
        <f>IF($B14&lt;&gt;"",9,"")</f>
        <v>9</v>
      </c>
      <c r="B14" s="238" t="str">
        <f t="array" ref="B14">IFERROR(INDEX(DANH_MUC!$E:$E,12),"")</f>
        <v>28C01731</v>
      </c>
      <c r="C14" s="239">
        <f>IF(C$4&gt;DAY(EOMONTH(DATE($D$2,$B$2,1),0)),"",IFERROR(SUMIFS(DATA_GOC!$H:$H,DATA_GOC!$A:$A,"BOM",DATA_GOC!$D:$D,$B14,DATA_GOC!$E:$E,"Téc 1",DATA_GOC!$F:$F,"Xuất nội bộ từ téc",DATA_GOC!$B:$B,DATE($D$2,$B$2,C$4)),0))</f>
        <v>0</v>
      </c>
      <c r="D14" s="239">
        <f>IF(D$4&gt;DAY(EOMONTH(DATE($D$2,$B$2,1),0)),"",IFERROR(SUMIFS(DATA_GOC!$H:$H,DATA_GOC!$A:$A,"BOM",DATA_GOC!$D:$D,$B14,DATA_GOC!$E:$E,"Téc 1",DATA_GOC!$F:$F,"Xuất nội bộ từ téc",DATA_GOC!$B:$B,DATE($D$2,$B$2,D$4)),0))</f>
        <v>0</v>
      </c>
      <c r="E14" s="239">
        <f>IF(E$4&gt;DAY(EOMONTH(DATE($D$2,$B$2,1),0)),"",IFERROR(SUMIFS(DATA_GOC!$H:$H,DATA_GOC!$A:$A,"BOM",DATA_GOC!$D:$D,$B14,DATA_GOC!$E:$E,"Téc 1",DATA_GOC!$F:$F,"Xuất nội bộ từ téc",DATA_GOC!$B:$B,DATE($D$2,$B$2,E$4)),0))</f>
        <v>0</v>
      </c>
      <c r="F14" s="239">
        <f>IF(F$4&gt;DAY(EOMONTH(DATE($D$2,$B$2,1),0)),"",IFERROR(SUMIFS(DATA_GOC!$H:$H,DATA_GOC!$A:$A,"BOM",DATA_GOC!$D:$D,$B14,DATA_GOC!$E:$E,"Téc 1",DATA_GOC!$F:$F,"Xuất nội bộ từ téc",DATA_GOC!$B:$B,DATE($D$2,$B$2,F$4)),0))</f>
        <v>0</v>
      </c>
      <c r="G14" s="239">
        <f>IF(G$4&gt;DAY(EOMONTH(DATE($D$2,$B$2,1),0)),"",IFERROR(SUMIFS(DATA_GOC!$H:$H,DATA_GOC!$A:$A,"BOM",DATA_GOC!$D:$D,$B14,DATA_GOC!$E:$E,"Téc 1",DATA_GOC!$F:$F,"Xuất nội bộ từ téc",DATA_GOC!$B:$B,DATE($D$2,$B$2,G$4)),0))</f>
        <v>0</v>
      </c>
      <c r="H14" s="239">
        <f>IF(H$4&gt;DAY(EOMONTH(DATE($D$2,$B$2,1),0)),"",IFERROR(SUMIFS(DATA_GOC!$H:$H,DATA_GOC!$A:$A,"BOM",DATA_GOC!$D:$D,$B14,DATA_GOC!$E:$E,"Téc 1",DATA_GOC!$F:$F,"Xuất nội bộ từ téc",DATA_GOC!$B:$B,DATE($D$2,$B$2,H$4)),0))</f>
        <v>0</v>
      </c>
      <c r="I14" s="239">
        <f>IF(I$4&gt;DAY(EOMONTH(DATE($D$2,$B$2,1),0)),"",IFERROR(SUMIFS(DATA_GOC!$H:$H,DATA_GOC!$A:$A,"BOM",DATA_GOC!$D:$D,$B14,DATA_GOC!$E:$E,"Téc 1",DATA_GOC!$F:$F,"Xuất nội bộ từ téc",DATA_GOC!$B:$B,DATE($D$2,$B$2,I$4)),0))</f>
        <v>0</v>
      </c>
      <c r="J14" s="239">
        <f>IF(J$4&gt;DAY(EOMONTH(DATE($D$2,$B$2,1),0)),"",IFERROR(SUMIFS(DATA_GOC!$H:$H,DATA_GOC!$A:$A,"BOM",DATA_GOC!$D:$D,$B14,DATA_GOC!$E:$E,"Téc 1",DATA_GOC!$F:$F,"Xuất nội bộ từ téc",DATA_GOC!$B:$B,DATE($D$2,$B$2,J$4)),0))</f>
        <v>0</v>
      </c>
      <c r="K14" s="239">
        <f>IF(K$4&gt;DAY(EOMONTH(DATE($D$2,$B$2,1),0)),"",IFERROR(SUMIFS(DATA_GOC!$H:$H,DATA_GOC!$A:$A,"BOM",DATA_GOC!$D:$D,$B14,DATA_GOC!$E:$E,"Téc 1",DATA_GOC!$F:$F,"Xuất nội bộ từ téc",DATA_GOC!$B:$B,DATE($D$2,$B$2,K$4)),0))</f>
        <v>0</v>
      </c>
      <c r="L14" s="239">
        <f>IF(L$4&gt;DAY(EOMONTH(DATE($D$2,$B$2,1),0)),"",IFERROR(SUMIFS(DATA_GOC!$H:$H,DATA_GOC!$A:$A,"BOM",DATA_GOC!$D:$D,$B14,DATA_GOC!$E:$E,"Téc 1",DATA_GOC!$F:$F,"Xuất nội bộ từ téc",DATA_GOC!$B:$B,DATE($D$2,$B$2,L$4)),0))</f>
        <v>0</v>
      </c>
      <c r="M14" s="239">
        <f>IF(M$4&gt;DAY(EOMONTH(DATE($D$2,$B$2,1),0)),"",IFERROR(SUMIFS(DATA_GOC!$H:$H,DATA_GOC!$A:$A,"BOM",DATA_GOC!$D:$D,$B14,DATA_GOC!$E:$E,"Téc 1",DATA_GOC!$F:$F,"Xuất nội bộ từ téc",DATA_GOC!$B:$B,DATE($D$2,$B$2,M$4)),0))</f>
        <v>0</v>
      </c>
      <c r="N14" s="239">
        <f>IF(N$4&gt;DAY(EOMONTH(DATE($D$2,$B$2,1),0)),"",IFERROR(SUMIFS(DATA_GOC!$H:$H,DATA_GOC!$A:$A,"BOM",DATA_GOC!$D:$D,$B14,DATA_GOC!$E:$E,"Téc 1",DATA_GOC!$F:$F,"Xuất nội bộ từ téc",DATA_GOC!$B:$B,DATE($D$2,$B$2,N$4)),0))</f>
        <v>0</v>
      </c>
      <c r="O14" s="239">
        <f>IF(O$4&gt;DAY(EOMONTH(DATE($D$2,$B$2,1),0)),"",IFERROR(SUMIFS(DATA_GOC!$H:$H,DATA_GOC!$A:$A,"BOM",DATA_GOC!$D:$D,$B14,DATA_GOC!$E:$E,"Téc 1",DATA_GOC!$F:$F,"Xuất nội bộ từ téc",DATA_GOC!$B:$B,DATE($D$2,$B$2,O$4)),0))</f>
        <v>0</v>
      </c>
      <c r="P14" s="239">
        <f>IF(P$4&gt;DAY(EOMONTH(DATE($D$2,$B$2,1),0)),"",IFERROR(SUMIFS(DATA_GOC!$H:$H,DATA_GOC!$A:$A,"BOM",DATA_GOC!$D:$D,$B14,DATA_GOC!$E:$E,"Téc 1",DATA_GOC!$F:$F,"Xuất nội bộ từ téc",DATA_GOC!$B:$B,DATE($D$2,$B$2,P$4)),0))</f>
        <v>0</v>
      </c>
      <c r="Q14" s="239">
        <f>IF(Q$4&gt;DAY(EOMONTH(DATE($D$2,$B$2,1),0)),"",IFERROR(SUMIFS(DATA_GOC!$H:$H,DATA_GOC!$A:$A,"BOM",DATA_GOC!$D:$D,$B14,DATA_GOC!$E:$E,"Téc 1",DATA_GOC!$F:$F,"Xuất nội bộ từ téc",DATA_GOC!$B:$B,DATE($D$2,$B$2,Q$4)),0))</f>
        <v>0</v>
      </c>
      <c r="R14" s="239">
        <f>IF(R$4&gt;DAY(EOMONTH(DATE($D$2,$B$2,1),0)),"",IFERROR(SUMIFS(DATA_GOC!$H:$H,DATA_GOC!$A:$A,"BOM",DATA_GOC!$D:$D,$B14,DATA_GOC!$E:$E,"Téc 1",DATA_GOC!$F:$F,"Xuất nội bộ từ téc",DATA_GOC!$B:$B,DATE($D$2,$B$2,R$4)),0))</f>
        <v>0</v>
      </c>
      <c r="S14" s="239">
        <f>IF(S$4&gt;DAY(EOMONTH(DATE($D$2,$B$2,1),0)),"",IFERROR(SUMIFS(DATA_GOC!$H:$H,DATA_GOC!$A:$A,"BOM",DATA_GOC!$D:$D,$B14,DATA_GOC!$E:$E,"Téc 1",DATA_GOC!$F:$F,"Xuất nội bộ từ téc",DATA_GOC!$B:$B,DATE($D$2,$B$2,S$4)),0))</f>
        <v>0</v>
      </c>
      <c r="T14" s="239">
        <f>IF(T$4&gt;DAY(EOMONTH(DATE($D$2,$B$2,1),0)),"",IFERROR(SUMIFS(DATA_GOC!$H:$H,DATA_GOC!$A:$A,"BOM",DATA_GOC!$D:$D,$B14,DATA_GOC!$E:$E,"Téc 1",DATA_GOC!$F:$F,"Xuất nội bộ từ téc",DATA_GOC!$B:$B,DATE($D$2,$B$2,T$4)),0))</f>
        <v>0</v>
      </c>
      <c r="U14" s="239">
        <f>IF(U$4&gt;DAY(EOMONTH(DATE($D$2,$B$2,1),0)),"",IFERROR(SUMIFS(DATA_GOC!$H:$H,DATA_GOC!$A:$A,"BOM",DATA_GOC!$D:$D,$B14,DATA_GOC!$E:$E,"Téc 1",DATA_GOC!$F:$F,"Xuất nội bộ từ téc",DATA_GOC!$B:$B,DATE($D$2,$B$2,U$4)),0))</f>
        <v>0</v>
      </c>
      <c r="V14" s="239">
        <f>IF(V$4&gt;DAY(EOMONTH(DATE($D$2,$B$2,1),0)),"",IFERROR(SUMIFS(DATA_GOC!$H:$H,DATA_GOC!$A:$A,"BOM",DATA_GOC!$D:$D,$B14,DATA_GOC!$E:$E,"Téc 1",DATA_GOC!$F:$F,"Xuất nội bộ từ téc",DATA_GOC!$B:$B,DATE($D$2,$B$2,V$4)),0))</f>
        <v>0</v>
      </c>
      <c r="W14" s="239">
        <f>IF(W$4&gt;DAY(EOMONTH(DATE($D$2,$B$2,1),0)),"",IFERROR(SUMIFS(DATA_GOC!$H:$H,DATA_GOC!$A:$A,"BOM",DATA_GOC!$D:$D,$B14,DATA_GOC!$E:$E,"Téc 1",DATA_GOC!$F:$F,"Xuất nội bộ từ téc",DATA_GOC!$B:$B,DATE($D$2,$B$2,W$4)),0))</f>
        <v>0</v>
      </c>
      <c r="X14" s="239">
        <f>IF(X$4&gt;DAY(EOMONTH(DATE($D$2,$B$2,1),0)),"",IFERROR(SUMIFS(DATA_GOC!$H:$H,DATA_GOC!$A:$A,"BOM",DATA_GOC!$D:$D,$B14,DATA_GOC!$E:$E,"Téc 1",DATA_GOC!$F:$F,"Xuất nội bộ từ téc",DATA_GOC!$B:$B,DATE($D$2,$B$2,X$4)),0))</f>
        <v>0</v>
      </c>
      <c r="Y14" s="239">
        <f>IF(Y$4&gt;DAY(EOMONTH(DATE($D$2,$B$2,1),0)),"",IFERROR(SUMIFS(DATA_GOC!$H:$H,DATA_GOC!$A:$A,"BOM",DATA_GOC!$D:$D,$B14,DATA_GOC!$E:$E,"Téc 1",DATA_GOC!$F:$F,"Xuất nội bộ từ téc",DATA_GOC!$B:$B,DATE($D$2,$B$2,Y$4)),0))</f>
        <v>0</v>
      </c>
      <c r="Z14" s="239">
        <f>IF(Z$4&gt;DAY(EOMONTH(DATE($D$2,$B$2,1),0)),"",IFERROR(SUMIFS(DATA_GOC!$H:$H,DATA_GOC!$A:$A,"BOM",DATA_GOC!$D:$D,$B14,DATA_GOC!$E:$E,"Téc 1",DATA_GOC!$F:$F,"Xuất nội bộ từ téc",DATA_GOC!$B:$B,DATE($D$2,$B$2,Z$4)),0))</f>
        <v>0</v>
      </c>
      <c r="AA14" s="239">
        <f>IF(AA$4&gt;DAY(EOMONTH(DATE($D$2,$B$2,1),0)),"",IFERROR(SUMIFS(DATA_GOC!$H:$H,DATA_GOC!$A:$A,"BOM",DATA_GOC!$D:$D,$B14,DATA_GOC!$E:$E,"Téc 1",DATA_GOC!$F:$F,"Xuất nội bộ từ téc",DATA_GOC!$B:$B,DATE($D$2,$B$2,AA$4)),0))</f>
        <v>0</v>
      </c>
      <c r="AB14" s="239">
        <f>IF(AB$4&gt;DAY(EOMONTH(DATE($D$2,$B$2,1),0)),"",IFERROR(SUMIFS(DATA_GOC!$H:$H,DATA_GOC!$A:$A,"BOM",DATA_GOC!$D:$D,$B14,DATA_GOC!$E:$E,"Téc 1",DATA_GOC!$F:$F,"Xuất nội bộ từ téc",DATA_GOC!$B:$B,DATE($D$2,$B$2,AB$4)),0))</f>
        <v>0</v>
      </c>
      <c r="AC14" s="239">
        <f>IF(AC$4&gt;DAY(EOMONTH(DATE($D$2,$B$2,1),0)),"",IFERROR(SUMIFS(DATA_GOC!$H:$H,DATA_GOC!$A:$A,"BOM",DATA_GOC!$D:$D,$B14,DATA_GOC!$E:$E,"Téc 1",DATA_GOC!$F:$F,"Xuất nội bộ từ téc",DATA_GOC!$B:$B,DATE($D$2,$B$2,AC$4)),0))</f>
        <v>0</v>
      </c>
      <c r="AD14" s="239">
        <f>IF(AD$4&gt;DAY(EOMONTH(DATE($D$2,$B$2,1),0)),"",IFERROR(SUMIFS(DATA_GOC!$H:$H,DATA_GOC!$A:$A,"BOM",DATA_GOC!$D:$D,$B14,DATA_GOC!$E:$E,"Téc 1",DATA_GOC!$F:$F,"Xuất nội bộ từ téc",DATA_GOC!$B:$B,DATE($D$2,$B$2,AD$4)),0))</f>
        <v>0</v>
      </c>
      <c r="AE14" s="239">
        <f>IF(AE$4&gt;DAY(EOMONTH(DATE($D$2,$B$2,1),0)),"",IFERROR(SUMIFS(DATA_GOC!$H:$H,DATA_GOC!$A:$A,"BOM",DATA_GOC!$D:$D,$B14,DATA_GOC!$E:$E,"Téc 1",DATA_GOC!$F:$F,"Xuất nội bộ từ téc",DATA_GOC!$B:$B,DATE($D$2,$B$2,AE$4)),0))</f>
        <v>0</v>
      </c>
      <c r="AF14" s="239">
        <f>IF(AF$4&gt;DAY(EOMONTH(DATE($D$2,$B$2,1),0)),"",IFERROR(SUMIFS(DATA_GOC!$H:$H,DATA_GOC!$A:$A,"BOM",DATA_GOC!$D:$D,$B14,DATA_GOC!$E:$E,"Téc 1",DATA_GOC!$F:$F,"Xuất nội bộ từ téc",DATA_GOC!$B:$B,DATE($D$2,$B$2,AF$4)),0))</f>
        <v>0</v>
      </c>
      <c r="AG14" s="239">
        <f>IF(AG$4&gt;DAY(EOMONTH(DATE($D$2,$B$2,1),0)),"",IFERROR(SUMIFS(DATA_GOC!$H:$H,DATA_GOC!$A:$A,"BOM",DATA_GOC!$D:$D,$B14,DATA_GOC!$E:$E,"Téc 1",DATA_GOC!$F:$F,"Xuất nội bộ từ téc",DATA_GOC!$B:$B,DATE($D$2,$B$2,AG$4)),0))</f>
        <v>0</v>
      </c>
      <c r="AH14" s="240">
        <f t="shared" si="1"/>
        <v>0</v>
      </c>
      <c r="AI14" s="241"/>
      <c r="AJ14" s="239">
        <f>IF($B14="","",SUMIFS(TINH_TEC!$K$233:$K$9232,TINH_TEC!$H$233:$H$9232,$B14,TINH_TEC!$C$233:$C$9232,"Téc 1",TINH_TEC!$F$233:$F$9232,$B$2,TINH_TEC!$G$233:$G$9232,$D$2,TINH_TEC!$B$233:$B$9232,"Đã chốt"))</f>
        <v>0</v>
      </c>
      <c r="AK14" s="239">
        <f>IF($B14="","",SUMIFS(TINH_TEC!$J$233:$J$9232,TINH_TEC!$H$233:$H$9232,$B14,TINH_TEC!$C$233:$C$9232,"Téc 1",TINH_TEC!$F$233:$F$9232,$B$2,TINH_TEC!$G$233:$G$9232,$D$2,TINH_TEC!$B$233:$B$9232,"Đã chốt"))</f>
        <v>0</v>
      </c>
      <c r="AL14" s="239">
        <f t="shared" si="2"/>
        <v>0</v>
      </c>
    </row>
    <row r="15" ht="15.75" customHeight="1">
      <c r="A15" s="237">
        <f>IF($B15&lt;&gt;"",10,"")</f>
        <v>10</v>
      </c>
      <c r="B15" s="238" t="str">
        <f t="array" ref="B15">IFERROR(INDEX(DANH_MUC!$E:$E,13),"")</f>
        <v>28C01743</v>
      </c>
      <c r="C15" s="239">
        <f>IF(C$4&gt;DAY(EOMONTH(DATE($D$2,$B$2,1),0)),"",IFERROR(SUMIFS(DATA_GOC!$H:$H,DATA_GOC!$A:$A,"BOM",DATA_GOC!$D:$D,$B15,DATA_GOC!$E:$E,"Téc 1",DATA_GOC!$F:$F,"Xuất nội bộ từ téc",DATA_GOC!$B:$B,DATE($D$2,$B$2,C$4)),0))</f>
        <v>0</v>
      </c>
      <c r="D15" s="239">
        <f>IF(D$4&gt;DAY(EOMONTH(DATE($D$2,$B$2,1),0)),"",IFERROR(SUMIFS(DATA_GOC!$H:$H,DATA_GOC!$A:$A,"BOM",DATA_GOC!$D:$D,$B15,DATA_GOC!$E:$E,"Téc 1",DATA_GOC!$F:$F,"Xuất nội bộ từ téc",DATA_GOC!$B:$B,DATE($D$2,$B$2,D$4)),0))</f>
        <v>0</v>
      </c>
      <c r="E15" s="239">
        <f>IF(E$4&gt;DAY(EOMONTH(DATE($D$2,$B$2,1),0)),"",IFERROR(SUMIFS(DATA_GOC!$H:$H,DATA_GOC!$A:$A,"BOM",DATA_GOC!$D:$D,$B15,DATA_GOC!$E:$E,"Téc 1",DATA_GOC!$F:$F,"Xuất nội bộ từ téc",DATA_GOC!$B:$B,DATE($D$2,$B$2,E$4)),0))</f>
        <v>0</v>
      </c>
      <c r="F15" s="239">
        <f>IF(F$4&gt;DAY(EOMONTH(DATE($D$2,$B$2,1),0)),"",IFERROR(SUMIFS(DATA_GOC!$H:$H,DATA_GOC!$A:$A,"BOM",DATA_GOC!$D:$D,$B15,DATA_GOC!$E:$E,"Téc 1",DATA_GOC!$F:$F,"Xuất nội bộ từ téc",DATA_GOC!$B:$B,DATE($D$2,$B$2,F$4)),0))</f>
        <v>0</v>
      </c>
      <c r="G15" s="239">
        <f>IF(G$4&gt;DAY(EOMONTH(DATE($D$2,$B$2,1),0)),"",IFERROR(SUMIFS(DATA_GOC!$H:$H,DATA_GOC!$A:$A,"BOM",DATA_GOC!$D:$D,$B15,DATA_GOC!$E:$E,"Téc 1",DATA_GOC!$F:$F,"Xuất nội bộ từ téc",DATA_GOC!$B:$B,DATE($D$2,$B$2,G$4)),0))</f>
        <v>0</v>
      </c>
      <c r="H15" s="239">
        <f>IF(H$4&gt;DAY(EOMONTH(DATE($D$2,$B$2,1),0)),"",IFERROR(SUMIFS(DATA_GOC!$H:$H,DATA_GOC!$A:$A,"BOM",DATA_GOC!$D:$D,$B15,DATA_GOC!$E:$E,"Téc 1",DATA_GOC!$F:$F,"Xuất nội bộ từ téc",DATA_GOC!$B:$B,DATE($D$2,$B$2,H$4)),0))</f>
        <v>0</v>
      </c>
      <c r="I15" s="239">
        <f>IF(I$4&gt;DAY(EOMONTH(DATE($D$2,$B$2,1),0)),"",IFERROR(SUMIFS(DATA_GOC!$H:$H,DATA_GOC!$A:$A,"BOM",DATA_GOC!$D:$D,$B15,DATA_GOC!$E:$E,"Téc 1",DATA_GOC!$F:$F,"Xuất nội bộ từ téc",DATA_GOC!$B:$B,DATE($D$2,$B$2,I$4)),0))</f>
        <v>0</v>
      </c>
      <c r="J15" s="239">
        <f>IF(J$4&gt;DAY(EOMONTH(DATE($D$2,$B$2,1),0)),"",IFERROR(SUMIFS(DATA_GOC!$H:$H,DATA_GOC!$A:$A,"BOM",DATA_GOC!$D:$D,$B15,DATA_GOC!$E:$E,"Téc 1",DATA_GOC!$F:$F,"Xuất nội bộ từ téc",DATA_GOC!$B:$B,DATE($D$2,$B$2,J$4)),0))</f>
        <v>0</v>
      </c>
      <c r="K15" s="239">
        <f>IF(K$4&gt;DAY(EOMONTH(DATE($D$2,$B$2,1),0)),"",IFERROR(SUMIFS(DATA_GOC!$H:$H,DATA_GOC!$A:$A,"BOM",DATA_GOC!$D:$D,$B15,DATA_GOC!$E:$E,"Téc 1",DATA_GOC!$F:$F,"Xuất nội bộ từ téc",DATA_GOC!$B:$B,DATE($D$2,$B$2,K$4)),0))</f>
        <v>0</v>
      </c>
      <c r="L15" s="239">
        <f>IF(L$4&gt;DAY(EOMONTH(DATE($D$2,$B$2,1),0)),"",IFERROR(SUMIFS(DATA_GOC!$H:$H,DATA_GOC!$A:$A,"BOM",DATA_GOC!$D:$D,$B15,DATA_GOC!$E:$E,"Téc 1",DATA_GOC!$F:$F,"Xuất nội bộ từ téc",DATA_GOC!$B:$B,DATE($D$2,$B$2,L$4)),0))</f>
        <v>0</v>
      </c>
      <c r="M15" s="239">
        <f>IF(M$4&gt;DAY(EOMONTH(DATE($D$2,$B$2,1),0)),"",IFERROR(SUMIFS(DATA_GOC!$H:$H,DATA_GOC!$A:$A,"BOM",DATA_GOC!$D:$D,$B15,DATA_GOC!$E:$E,"Téc 1",DATA_GOC!$F:$F,"Xuất nội bộ từ téc",DATA_GOC!$B:$B,DATE($D$2,$B$2,M$4)),0))</f>
        <v>0</v>
      </c>
      <c r="N15" s="239">
        <f>IF(N$4&gt;DAY(EOMONTH(DATE($D$2,$B$2,1),0)),"",IFERROR(SUMIFS(DATA_GOC!$H:$H,DATA_GOC!$A:$A,"BOM",DATA_GOC!$D:$D,$B15,DATA_GOC!$E:$E,"Téc 1",DATA_GOC!$F:$F,"Xuất nội bộ từ téc",DATA_GOC!$B:$B,DATE($D$2,$B$2,N$4)),0))</f>
        <v>0</v>
      </c>
      <c r="O15" s="239">
        <f>IF(O$4&gt;DAY(EOMONTH(DATE($D$2,$B$2,1),0)),"",IFERROR(SUMIFS(DATA_GOC!$H:$H,DATA_GOC!$A:$A,"BOM",DATA_GOC!$D:$D,$B15,DATA_GOC!$E:$E,"Téc 1",DATA_GOC!$F:$F,"Xuất nội bộ từ téc",DATA_GOC!$B:$B,DATE($D$2,$B$2,O$4)),0))</f>
        <v>0</v>
      </c>
      <c r="P15" s="239">
        <f>IF(P$4&gt;DAY(EOMONTH(DATE($D$2,$B$2,1),0)),"",IFERROR(SUMIFS(DATA_GOC!$H:$H,DATA_GOC!$A:$A,"BOM",DATA_GOC!$D:$D,$B15,DATA_GOC!$E:$E,"Téc 1",DATA_GOC!$F:$F,"Xuất nội bộ từ téc",DATA_GOC!$B:$B,DATE($D$2,$B$2,P$4)),0))</f>
        <v>0</v>
      </c>
      <c r="Q15" s="239">
        <f>IF(Q$4&gt;DAY(EOMONTH(DATE($D$2,$B$2,1),0)),"",IFERROR(SUMIFS(DATA_GOC!$H:$H,DATA_GOC!$A:$A,"BOM",DATA_GOC!$D:$D,$B15,DATA_GOC!$E:$E,"Téc 1",DATA_GOC!$F:$F,"Xuất nội bộ từ téc",DATA_GOC!$B:$B,DATE($D$2,$B$2,Q$4)),0))</f>
        <v>0</v>
      </c>
      <c r="R15" s="239">
        <f>IF(R$4&gt;DAY(EOMONTH(DATE($D$2,$B$2,1),0)),"",IFERROR(SUMIFS(DATA_GOC!$H:$H,DATA_GOC!$A:$A,"BOM",DATA_GOC!$D:$D,$B15,DATA_GOC!$E:$E,"Téc 1",DATA_GOC!$F:$F,"Xuất nội bộ từ téc",DATA_GOC!$B:$B,DATE($D$2,$B$2,R$4)),0))</f>
        <v>0</v>
      </c>
      <c r="S15" s="239">
        <f>IF(S$4&gt;DAY(EOMONTH(DATE($D$2,$B$2,1),0)),"",IFERROR(SUMIFS(DATA_GOC!$H:$H,DATA_GOC!$A:$A,"BOM",DATA_GOC!$D:$D,$B15,DATA_GOC!$E:$E,"Téc 1",DATA_GOC!$F:$F,"Xuất nội bộ từ téc",DATA_GOC!$B:$B,DATE($D$2,$B$2,S$4)),0))</f>
        <v>0</v>
      </c>
      <c r="T15" s="239">
        <f>IF(T$4&gt;DAY(EOMONTH(DATE($D$2,$B$2,1),0)),"",IFERROR(SUMIFS(DATA_GOC!$H:$H,DATA_GOC!$A:$A,"BOM",DATA_GOC!$D:$D,$B15,DATA_GOC!$E:$E,"Téc 1",DATA_GOC!$F:$F,"Xuất nội bộ từ téc",DATA_GOC!$B:$B,DATE($D$2,$B$2,T$4)),0))</f>
        <v>0</v>
      </c>
      <c r="U15" s="239">
        <f>IF(U$4&gt;DAY(EOMONTH(DATE($D$2,$B$2,1),0)),"",IFERROR(SUMIFS(DATA_GOC!$H:$H,DATA_GOC!$A:$A,"BOM",DATA_GOC!$D:$D,$B15,DATA_GOC!$E:$E,"Téc 1",DATA_GOC!$F:$F,"Xuất nội bộ từ téc",DATA_GOC!$B:$B,DATE($D$2,$B$2,U$4)),0))</f>
        <v>0</v>
      </c>
      <c r="V15" s="239">
        <f>IF(V$4&gt;DAY(EOMONTH(DATE($D$2,$B$2,1),0)),"",IFERROR(SUMIFS(DATA_GOC!$H:$H,DATA_GOC!$A:$A,"BOM",DATA_GOC!$D:$D,$B15,DATA_GOC!$E:$E,"Téc 1",DATA_GOC!$F:$F,"Xuất nội bộ từ téc",DATA_GOC!$B:$B,DATE($D$2,$B$2,V$4)),0))</f>
        <v>0</v>
      </c>
      <c r="W15" s="239">
        <f>IF(W$4&gt;DAY(EOMONTH(DATE($D$2,$B$2,1),0)),"",IFERROR(SUMIFS(DATA_GOC!$H:$H,DATA_GOC!$A:$A,"BOM",DATA_GOC!$D:$D,$B15,DATA_GOC!$E:$E,"Téc 1",DATA_GOC!$F:$F,"Xuất nội bộ từ téc",DATA_GOC!$B:$B,DATE($D$2,$B$2,W$4)),0))</f>
        <v>0</v>
      </c>
      <c r="X15" s="239">
        <f>IF(X$4&gt;DAY(EOMONTH(DATE($D$2,$B$2,1),0)),"",IFERROR(SUMIFS(DATA_GOC!$H:$H,DATA_GOC!$A:$A,"BOM",DATA_GOC!$D:$D,$B15,DATA_GOC!$E:$E,"Téc 1",DATA_GOC!$F:$F,"Xuất nội bộ từ téc",DATA_GOC!$B:$B,DATE($D$2,$B$2,X$4)),0))</f>
        <v>0</v>
      </c>
      <c r="Y15" s="239">
        <f>IF(Y$4&gt;DAY(EOMONTH(DATE($D$2,$B$2,1),0)),"",IFERROR(SUMIFS(DATA_GOC!$H:$H,DATA_GOC!$A:$A,"BOM",DATA_GOC!$D:$D,$B15,DATA_GOC!$E:$E,"Téc 1",DATA_GOC!$F:$F,"Xuất nội bộ từ téc",DATA_GOC!$B:$B,DATE($D$2,$B$2,Y$4)),0))</f>
        <v>0</v>
      </c>
      <c r="Z15" s="239">
        <f>IF(Z$4&gt;DAY(EOMONTH(DATE($D$2,$B$2,1),0)),"",IFERROR(SUMIFS(DATA_GOC!$H:$H,DATA_GOC!$A:$A,"BOM",DATA_GOC!$D:$D,$B15,DATA_GOC!$E:$E,"Téc 1",DATA_GOC!$F:$F,"Xuất nội bộ từ téc",DATA_GOC!$B:$B,DATE($D$2,$B$2,Z$4)),0))</f>
        <v>0</v>
      </c>
      <c r="AA15" s="239">
        <f>IF(AA$4&gt;DAY(EOMONTH(DATE($D$2,$B$2,1),0)),"",IFERROR(SUMIFS(DATA_GOC!$H:$H,DATA_GOC!$A:$A,"BOM",DATA_GOC!$D:$D,$B15,DATA_GOC!$E:$E,"Téc 1",DATA_GOC!$F:$F,"Xuất nội bộ từ téc",DATA_GOC!$B:$B,DATE($D$2,$B$2,AA$4)),0))</f>
        <v>0</v>
      </c>
      <c r="AB15" s="239">
        <f>IF(AB$4&gt;DAY(EOMONTH(DATE($D$2,$B$2,1),0)),"",IFERROR(SUMIFS(DATA_GOC!$H:$H,DATA_GOC!$A:$A,"BOM",DATA_GOC!$D:$D,$B15,DATA_GOC!$E:$E,"Téc 1",DATA_GOC!$F:$F,"Xuất nội bộ từ téc",DATA_GOC!$B:$B,DATE($D$2,$B$2,AB$4)),0))</f>
        <v>0</v>
      </c>
      <c r="AC15" s="239">
        <f>IF(AC$4&gt;DAY(EOMONTH(DATE($D$2,$B$2,1),0)),"",IFERROR(SUMIFS(DATA_GOC!$H:$H,DATA_GOC!$A:$A,"BOM",DATA_GOC!$D:$D,$B15,DATA_GOC!$E:$E,"Téc 1",DATA_GOC!$F:$F,"Xuất nội bộ từ téc",DATA_GOC!$B:$B,DATE($D$2,$B$2,AC$4)),0))</f>
        <v>0</v>
      </c>
      <c r="AD15" s="239">
        <f>IF(AD$4&gt;DAY(EOMONTH(DATE($D$2,$B$2,1),0)),"",IFERROR(SUMIFS(DATA_GOC!$H:$H,DATA_GOC!$A:$A,"BOM",DATA_GOC!$D:$D,$B15,DATA_GOC!$E:$E,"Téc 1",DATA_GOC!$F:$F,"Xuất nội bộ từ téc",DATA_GOC!$B:$B,DATE($D$2,$B$2,AD$4)),0))</f>
        <v>0</v>
      </c>
      <c r="AE15" s="239">
        <f>IF(AE$4&gt;DAY(EOMONTH(DATE($D$2,$B$2,1),0)),"",IFERROR(SUMIFS(DATA_GOC!$H:$H,DATA_GOC!$A:$A,"BOM",DATA_GOC!$D:$D,$B15,DATA_GOC!$E:$E,"Téc 1",DATA_GOC!$F:$F,"Xuất nội bộ từ téc",DATA_GOC!$B:$B,DATE($D$2,$B$2,AE$4)),0))</f>
        <v>0</v>
      </c>
      <c r="AF15" s="239">
        <f>IF(AF$4&gt;DAY(EOMONTH(DATE($D$2,$B$2,1),0)),"",IFERROR(SUMIFS(DATA_GOC!$H:$H,DATA_GOC!$A:$A,"BOM",DATA_GOC!$D:$D,$B15,DATA_GOC!$E:$E,"Téc 1",DATA_GOC!$F:$F,"Xuất nội bộ từ téc",DATA_GOC!$B:$B,DATE($D$2,$B$2,AF$4)),0))</f>
        <v>0</v>
      </c>
      <c r="AG15" s="239">
        <f>IF(AG$4&gt;DAY(EOMONTH(DATE($D$2,$B$2,1),0)),"",IFERROR(SUMIFS(DATA_GOC!$H:$H,DATA_GOC!$A:$A,"BOM",DATA_GOC!$D:$D,$B15,DATA_GOC!$E:$E,"Téc 1",DATA_GOC!$F:$F,"Xuất nội bộ từ téc",DATA_GOC!$B:$B,DATE($D$2,$B$2,AG$4)),0))</f>
        <v>0</v>
      </c>
      <c r="AH15" s="240">
        <f t="shared" si="1"/>
        <v>0</v>
      </c>
      <c r="AI15" s="241"/>
      <c r="AJ15" s="239">
        <f>IF($B15="","",SUMIFS(TINH_TEC!$K$233:$K$9232,TINH_TEC!$H$233:$H$9232,$B15,TINH_TEC!$C$233:$C$9232,"Téc 1",TINH_TEC!$F$233:$F$9232,$B$2,TINH_TEC!$G$233:$G$9232,$D$2,TINH_TEC!$B$233:$B$9232,"Đã chốt"))</f>
        <v>0</v>
      </c>
      <c r="AK15" s="239">
        <f>IF($B15="","",SUMIFS(TINH_TEC!$J$233:$J$9232,TINH_TEC!$H$233:$H$9232,$B15,TINH_TEC!$C$233:$C$9232,"Téc 1",TINH_TEC!$F$233:$F$9232,$B$2,TINH_TEC!$G$233:$G$9232,$D$2,TINH_TEC!$B$233:$B$9232,"Đã chốt"))</f>
        <v>0</v>
      </c>
      <c r="AL15" s="239">
        <f t="shared" si="2"/>
        <v>0</v>
      </c>
    </row>
    <row r="16" ht="15.75" customHeight="1">
      <c r="A16" s="237">
        <f>IF($B16&lt;&gt;"",11,"")</f>
        <v>11</v>
      </c>
      <c r="B16" s="238" t="str">
        <f t="array" ref="B16">IFERROR(INDEX(DANH_MUC!$E:$E,14),"")</f>
        <v>28C02106</v>
      </c>
      <c r="C16" s="239">
        <f>IF(C$4&gt;DAY(EOMONTH(DATE($D$2,$B$2,1),0)),"",IFERROR(SUMIFS(DATA_GOC!$H:$H,DATA_GOC!$A:$A,"BOM",DATA_GOC!$D:$D,$B16,DATA_GOC!$E:$E,"Téc 1",DATA_GOC!$F:$F,"Xuất nội bộ từ téc",DATA_GOC!$B:$B,DATE($D$2,$B$2,C$4)),0))</f>
        <v>0</v>
      </c>
      <c r="D16" s="239">
        <f>IF(D$4&gt;DAY(EOMONTH(DATE($D$2,$B$2,1),0)),"",IFERROR(SUMIFS(DATA_GOC!$H:$H,DATA_GOC!$A:$A,"BOM",DATA_GOC!$D:$D,$B16,DATA_GOC!$E:$E,"Téc 1",DATA_GOC!$F:$F,"Xuất nội bộ từ téc",DATA_GOC!$B:$B,DATE($D$2,$B$2,D$4)),0))</f>
        <v>0</v>
      </c>
      <c r="E16" s="239">
        <f>IF(E$4&gt;DAY(EOMONTH(DATE($D$2,$B$2,1),0)),"",IFERROR(SUMIFS(DATA_GOC!$H:$H,DATA_GOC!$A:$A,"BOM",DATA_GOC!$D:$D,$B16,DATA_GOC!$E:$E,"Téc 1",DATA_GOC!$F:$F,"Xuất nội bộ từ téc",DATA_GOC!$B:$B,DATE($D$2,$B$2,E$4)),0))</f>
        <v>0</v>
      </c>
      <c r="F16" s="239">
        <f>IF(F$4&gt;DAY(EOMONTH(DATE($D$2,$B$2,1),0)),"",IFERROR(SUMIFS(DATA_GOC!$H:$H,DATA_GOC!$A:$A,"BOM",DATA_GOC!$D:$D,$B16,DATA_GOC!$E:$E,"Téc 1",DATA_GOC!$F:$F,"Xuất nội bộ từ téc",DATA_GOC!$B:$B,DATE($D$2,$B$2,F$4)),0))</f>
        <v>0</v>
      </c>
      <c r="G16" s="239">
        <f>IF(G$4&gt;DAY(EOMONTH(DATE($D$2,$B$2,1),0)),"",IFERROR(SUMIFS(DATA_GOC!$H:$H,DATA_GOC!$A:$A,"BOM",DATA_GOC!$D:$D,$B16,DATA_GOC!$E:$E,"Téc 1",DATA_GOC!$F:$F,"Xuất nội bộ từ téc",DATA_GOC!$B:$B,DATE($D$2,$B$2,G$4)),0))</f>
        <v>0</v>
      </c>
      <c r="H16" s="239">
        <f>IF(H$4&gt;DAY(EOMONTH(DATE($D$2,$B$2,1),0)),"",IFERROR(SUMIFS(DATA_GOC!$H:$H,DATA_GOC!$A:$A,"BOM",DATA_GOC!$D:$D,$B16,DATA_GOC!$E:$E,"Téc 1",DATA_GOC!$F:$F,"Xuất nội bộ từ téc",DATA_GOC!$B:$B,DATE($D$2,$B$2,H$4)),0))</f>
        <v>0</v>
      </c>
      <c r="I16" s="239">
        <f>IF(I$4&gt;DAY(EOMONTH(DATE($D$2,$B$2,1),0)),"",IFERROR(SUMIFS(DATA_GOC!$H:$H,DATA_GOC!$A:$A,"BOM",DATA_GOC!$D:$D,$B16,DATA_GOC!$E:$E,"Téc 1",DATA_GOC!$F:$F,"Xuất nội bộ từ téc",DATA_GOC!$B:$B,DATE($D$2,$B$2,I$4)),0))</f>
        <v>0</v>
      </c>
      <c r="J16" s="239">
        <f>IF(J$4&gt;DAY(EOMONTH(DATE($D$2,$B$2,1),0)),"",IFERROR(SUMIFS(DATA_GOC!$H:$H,DATA_GOC!$A:$A,"BOM",DATA_GOC!$D:$D,$B16,DATA_GOC!$E:$E,"Téc 1",DATA_GOC!$F:$F,"Xuất nội bộ từ téc",DATA_GOC!$B:$B,DATE($D$2,$B$2,J$4)),0))</f>
        <v>0</v>
      </c>
      <c r="K16" s="239">
        <f>IF(K$4&gt;DAY(EOMONTH(DATE($D$2,$B$2,1),0)),"",IFERROR(SUMIFS(DATA_GOC!$H:$H,DATA_GOC!$A:$A,"BOM",DATA_GOC!$D:$D,$B16,DATA_GOC!$E:$E,"Téc 1",DATA_GOC!$F:$F,"Xuất nội bộ từ téc",DATA_GOC!$B:$B,DATE($D$2,$B$2,K$4)),0))</f>
        <v>0</v>
      </c>
      <c r="L16" s="239">
        <f>IF(L$4&gt;DAY(EOMONTH(DATE($D$2,$B$2,1),0)),"",IFERROR(SUMIFS(DATA_GOC!$H:$H,DATA_GOC!$A:$A,"BOM",DATA_GOC!$D:$D,$B16,DATA_GOC!$E:$E,"Téc 1",DATA_GOC!$F:$F,"Xuất nội bộ từ téc",DATA_GOC!$B:$B,DATE($D$2,$B$2,L$4)),0))</f>
        <v>0</v>
      </c>
      <c r="M16" s="239">
        <f>IF(M$4&gt;DAY(EOMONTH(DATE($D$2,$B$2,1),0)),"",IFERROR(SUMIFS(DATA_GOC!$H:$H,DATA_GOC!$A:$A,"BOM",DATA_GOC!$D:$D,$B16,DATA_GOC!$E:$E,"Téc 1",DATA_GOC!$F:$F,"Xuất nội bộ từ téc",DATA_GOC!$B:$B,DATE($D$2,$B$2,M$4)),0))</f>
        <v>0</v>
      </c>
      <c r="N16" s="239">
        <f>IF(N$4&gt;DAY(EOMONTH(DATE($D$2,$B$2,1),0)),"",IFERROR(SUMIFS(DATA_GOC!$H:$H,DATA_GOC!$A:$A,"BOM",DATA_GOC!$D:$D,$B16,DATA_GOC!$E:$E,"Téc 1",DATA_GOC!$F:$F,"Xuất nội bộ từ téc",DATA_GOC!$B:$B,DATE($D$2,$B$2,N$4)),0))</f>
        <v>0</v>
      </c>
      <c r="O16" s="239">
        <f>IF(O$4&gt;DAY(EOMONTH(DATE($D$2,$B$2,1),0)),"",IFERROR(SUMIFS(DATA_GOC!$H:$H,DATA_GOC!$A:$A,"BOM",DATA_GOC!$D:$D,$B16,DATA_GOC!$E:$E,"Téc 1",DATA_GOC!$F:$F,"Xuất nội bộ từ téc",DATA_GOC!$B:$B,DATE($D$2,$B$2,O$4)),0))</f>
        <v>0</v>
      </c>
      <c r="P16" s="239">
        <f>IF(P$4&gt;DAY(EOMONTH(DATE($D$2,$B$2,1),0)),"",IFERROR(SUMIFS(DATA_GOC!$H:$H,DATA_GOC!$A:$A,"BOM",DATA_GOC!$D:$D,$B16,DATA_GOC!$E:$E,"Téc 1",DATA_GOC!$F:$F,"Xuất nội bộ từ téc",DATA_GOC!$B:$B,DATE($D$2,$B$2,P$4)),0))</f>
        <v>0</v>
      </c>
      <c r="Q16" s="239">
        <f>IF(Q$4&gt;DAY(EOMONTH(DATE($D$2,$B$2,1),0)),"",IFERROR(SUMIFS(DATA_GOC!$H:$H,DATA_GOC!$A:$A,"BOM",DATA_GOC!$D:$D,$B16,DATA_GOC!$E:$E,"Téc 1",DATA_GOC!$F:$F,"Xuất nội bộ từ téc",DATA_GOC!$B:$B,DATE($D$2,$B$2,Q$4)),0))</f>
        <v>0</v>
      </c>
      <c r="R16" s="239">
        <f>IF(R$4&gt;DAY(EOMONTH(DATE($D$2,$B$2,1),0)),"",IFERROR(SUMIFS(DATA_GOC!$H:$H,DATA_GOC!$A:$A,"BOM",DATA_GOC!$D:$D,$B16,DATA_GOC!$E:$E,"Téc 1",DATA_GOC!$F:$F,"Xuất nội bộ từ téc",DATA_GOC!$B:$B,DATE($D$2,$B$2,R$4)),0))</f>
        <v>0</v>
      </c>
      <c r="S16" s="239">
        <f>IF(S$4&gt;DAY(EOMONTH(DATE($D$2,$B$2,1),0)),"",IFERROR(SUMIFS(DATA_GOC!$H:$H,DATA_GOC!$A:$A,"BOM",DATA_GOC!$D:$D,$B16,DATA_GOC!$E:$E,"Téc 1",DATA_GOC!$F:$F,"Xuất nội bộ từ téc",DATA_GOC!$B:$B,DATE($D$2,$B$2,S$4)),0))</f>
        <v>0</v>
      </c>
      <c r="T16" s="239">
        <f>IF(T$4&gt;DAY(EOMONTH(DATE($D$2,$B$2,1),0)),"",IFERROR(SUMIFS(DATA_GOC!$H:$H,DATA_GOC!$A:$A,"BOM",DATA_GOC!$D:$D,$B16,DATA_GOC!$E:$E,"Téc 1",DATA_GOC!$F:$F,"Xuất nội bộ từ téc",DATA_GOC!$B:$B,DATE($D$2,$B$2,T$4)),0))</f>
        <v>0</v>
      </c>
      <c r="U16" s="239">
        <f>IF(U$4&gt;DAY(EOMONTH(DATE($D$2,$B$2,1),0)),"",IFERROR(SUMIFS(DATA_GOC!$H:$H,DATA_GOC!$A:$A,"BOM",DATA_GOC!$D:$D,$B16,DATA_GOC!$E:$E,"Téc 1",DATA_GOC!$F:$F,"Xuất nội bộ từ téc",DATA_GOC!$B:$B,DATE($D$2,$B$2,U$4)),0))</f>
        <v>0</v>
      </c>
      <c r="V16" s="239">
        <f>IF(V$4&gt;DAY(EOMONTH(DATE($D$2,$B$2,1),0)),"",IFERROR(SUMIFS(DATA_GOC!$H:$H,DATA_GOC!$A:$A,"BOM",DATA_GOC!$D:$D,$B16,DATA_GOC!$E:$E,"Téc 1",DATA_GOC!$F:$F,"Xuất nội bộ từ téc",DATA_GOC!$B:$B,DATE($D$2,$B$2,V$4)),0))</f>
        <v>0</v>
      </c>
      <c r="W16" s="239">
        <f>IF(W$4&gt;DAY(EOMONTH(DATE($D$2,$B$2,1),0)),"",IFERROR(SUMIFS(DATA_GOC!$H:$H,DATA_GOC!$A:$A,"BOM",DATA_GOC!$D:$D,$B16,DATA_GOC!$E:$E,"Téc 1",DATA_GOC!$F:$F,"Xuất nội bộ từ téc",DATA_GOC!$B:$B,DATE($D$2,$B$2,W$4)),0))</f>
        <v>0</v>
      </c>
      <c r="X16" s="239">
        <f>IF(X$4&gt;DAY(EOMONTH(DATE($D$2,$B$2,1),0)),"",IFERROR(SUMIFS(DATA_GOC!$H:$H,DATA_GOC!$A:$A,"BOM",DATA_GOC!$D:$D,$B16,DATA_GOC!$E:$E,"Téc 1",DATA_GOC!$F:$F,"Xuất nội bộ từ téc",DATA_GOC!$B:$B,DATE($D$2,$B$2,X$4)),0))</f>
        <v>0</v>
      </c>
      <c r="Y16" s="239">
        <f>IF(Y$4&gt;DAY(EOMONTH(DATE($D$2,$B$2,1),0)),"",IFERROR(SUMIFS(DATA_GOC!$H:$H,DATA_GOC!$A:$A,"BOM",DATA_GOC!$D:$D,$B16,DATA_GOC!$E:$E,"Téc 1",DATA_GOC!$F:$F,"Xuất nội bộ từ téc",DATA_GOC!$B:$B,DATE($D$2,$B$2,Y$4)),0))</f>
        <v>0</v>
      </c>
      <c r="Z16" s="239">
        <f>IF(Z$4&gt;DAY(EOMONTH(DATE($D$2,$B$2,1),0)),"",IFERROR(SUMIFS(DATA_GOC!$H:$H,DATA_GOC!$A:$A,"BOM",DATA_GOC!$D:$D,$B16,DATA_GOC!$E:$E,"Téc 1",DATA_GOC!$F:$F,"Xuất nội bộ từ téc",DATA_GOC!$B:$B,DATE($D$2,$B$2,Z$4)),0))</f>
        <v>0</v>
      </c>
      <c r="AA16" s="239">
        <f>IF(AA$4&gt;DAY(EOMONTH(DATE($D$2,$B$2,1),0)),"",IFERROR(SUMIFS(DATA_GOC!$H:$H,DATA_GOC!$A:$A,"BOM",DATA_GOC!$D:$D,$B16,DATA_GOC!$E:$E,"Téc 1",DATA_GOC!$F:$F,"Xuất nội bộ từ téc",DATA_GOC!$B:$B,DATE($D$2,$B$2,AA$4)),0))</f>
        <v>0</v>
      </c>
      <c r="AB16" s="239">
        <f>IF(AB$4&gt;DAY(EOMONTH(DATE($D$2,$B$2,1),0)),"",IFERROR(SUMIFS(DATA_GOC!$H:$H,DATA_GOC!$A:$A,"BOM",DATA_GOC!$D:$D,$B16,DATA_GOC!$E:$E,"Téc 1",DATA_GOC!$F:$F,"Xuất nội bộ từ téc",DATA_GOC!$B:$B,DATE($D$2,$B$2,AB$4)),0))</f>
        <v>0</v>
      </c>
      <c r="AC16" s="239">
        <f>IF(AC$4&gt;DAY(EOMONTH(DATE($D$2,$B$2,1),0)),"",IFERROR(SUMIFS(DATA_GOC!$H:$H,DATA_GOC!$A:$A,"BOM",DATA_GOC!$D:$D,$B16,DATA_GOC!$E:$E,"Téc 1",DATA_GOC!$F:$F,"Xuất nội bộ từ téc",DATA_GOC!$B:$B,DATE($D$2,$B$2,AC$4)),0))</f>
        <v>0</v>
      </c>
      <c r="AD16" s="239">
        <f>IF(AD$4&gt;DAY(EOMONTH(DATE($D$2,$B$2,1),0)),"",IFERROR(SUMIFS(DATA_GOC!$H:$H,DATA_GOC!$A:$A,"BOM",DATA_GOC!$D:$D,$B16,DATA_GOC!$E:$E,"Téc 1",DATA_GOC!$F:$F,"Xuất nội bộ từ téc",DATA_GOC!$B:$B,DATE($D$2,$B$2,AD$4)),0))</f>
        <v>0</v>
      </c>
      <c r="AE16" s="239">
        <f>IF(AE$4&gt;DAY(EOMONTH(DATE($D$2,$B$2,1),0)),"",IFERROR(SUMIFS(DATA_GOC!$H:$H,DATA_GOC!$A:$A,"BOM",DATA_GOC!$D:$D,$B16,DATA_GOC!$E:$E,"Téc 1",DATA_GOC!$F:$F,"Xuất nội bộ từ téc",DATA_GOC!$B:$B,DATE($D$2,$B$2,AE$4)),0))</f>
        <v>0</v>
      </c>
      <c r="AF16" s="239">
        <f>IF(AF$4&gt;DAY(EOMONTH(DATE($D$2,$B$2,1),0)),"",IFERROR(SUMIFS(DATA_GOC!$H:$H,DATA_GOC!$A:$A,"BOM",DATA_GOC!$D:$D,$B16,DATA_GOC!$E:$E,"Téc 1",DATA_GOC!$F:$F,"Xuất nội bộ từ téc",DATA_GOC!$B:$B,DATE($D$2,$B$2,AF$4)),0))</f>
        <v>0</v>
      </c>
      <c r="AG16" s="239">
        <f>IF(AG$4&gt;DAY(EOMONTH(DATE($D$2,$B$2,1),0)),"",IFERROR(SUMIFS(DATA_GOC!$H:$H,DATA_GOC!$A:$A,"BOM",DATA_GOC!$D:$D,$B16,DATA_GOC!$E:$E,"Téc 1",DATA_GOC!$F:$F,"Xuất nội bộ từ téc",DATA_GOC!$B:$B,DATE($D$2,$B$2,AG$4)),0))</f>
        <v>0</v>
      </c>
      <c r="AH16" s="240">
        <f t="shared" si="1"/>
        <v>0</v>
      </c>
      <c r="AI16" s="241"/>
      <c r="AJ16" s="239">
        <f>IF($B16="","",SUMIFS(TINH_TEC!$K$233:$K$9232,TINH_TEC!$H$233:$H$9232,$B16,TINH_TEC!$C$233:$C$9232,"Téc 1",TINH_TEC!$F$233:$F$9232,$B$2,TINH_TEC!$G$233:$G$9232,$D$2,TINH_TEC!$B$233:$B$9232,"Đã chốt"))</f>
        <v>0</v>
      </c>
      <c r="AK16" s="239">
        <f>IF($B16="","",SUMIFS(TINH_TEC!$J$233:$J$9232,TINH_TEC!$H$233:$H$9232,$B16,TINH_TEC!$C$233:$C$9232,"Téc 1",TINH_TEC!$F$233:$F$9232,$B$2,TINH_TEC!$G$233:$G$9232,$D$2,TINH_TEC!$B$233:$B$9232,"Đã chốt"))</f>
        <v>0</v>
      </c>
      <c r="AL16" s="239">
        <f t="shared" si="2"/>
        <v>0</v>
      </c>
    </row>
    <row r="17" ht="15.75" customHeight="1">
      <c r="A17" s="237">
        <f>IF($B17&lt;&gt;"",12,"")</f>
        <v>12</v>
      </c>
      <c r="B17" s="238" t="str">
        <f t="array" ref="B17">IFERROR(INDEX(DANH_MUC!$E:$E,15),"")</f>
        <v>28C02410</v>
      </c>
      <c r="C17" s="239">
        <f>IF(C$4&gt;DAY(EOMONTH(DATE($D$2,$B$2,1),0)),"",IFERROR(SUMIFS(DATA_GOC!$H:$H,DATA_GOC!$A:$A,"BOM",DATA_GOC!$D:$D,$B17,DATA_GOC!$E:$E,"Téc 1",DATA_GOC!$F:$F,"Xuất nội bộ từ téc",DATA_GOC!$B:$B,DATE($D$2,$B$2,C$4)),0))</f>
        <v>0</v>
      </c>
      <c r="D17" s="239">
        <f>IF(D$4&gt;DAY(EOMONTH(DATE($D$2,$B$2,1),0)),"",IFERROR(SUMIFS(DATA_GOC!$H:$H,DATA_GOC!$A:$A,"BOM",DATA_GOC!$D:$D,$B17,DATA_GOC!$E:$E,"Téc 1",DATA_GOC!$F:$F,"Xuất nội bộ từ téc",DATA_GOC!$B:$B,DATE($D$2,$B$2,D$4)),0))</f>
        <v>0</v>
      </c>
      <c r="E17" s="239">
        <f>IF(E$4&gt;DAY(EOMONTH(DATE($D$2,$B$2,1),0)),"",IFERROR(SUMIFS(DATA_GOC!$H:$H,DATA_GOC!$A:$A,"BOM",DATA_GOC!$D:$D,$B17,DATA_GOC!$E:$E,"Téc 1",DATA_GOC!$F:$F,"Xuất nội bộ từ téc",DATA_GOC!$B:$B,DATE($D$2,$B$2,E$4)),0))</f>
        <v>0</v>
      </c>
      <c r="F17" s="239">
        <f>IF(F$4&gt;DAY(EOMONTH(DATE($D$2,$B$2,1),0)),"",IFERROR(SUMIFS(DATA_GOC!$H:$H,DATA_GOC!$A:$A,"BOM",DATA_GOC!$D:$D,$B17,DATA_GOC!$E:$E,"Téc 1",DATA_GOC!$F:$F,"Xuất nội bộ từ téc",DATA_GOC!$B:$B,DATE($D$2,$B$2,F$4)),0))</f>
        <v>0</v>
      </c>
      <c r="G17" s="239">
        <f>IF(G$4&gt;DAY(EOMONTH(DATE($D$2,$B$2,1),0)),"",IFERROR(SUMIFS(DATA_GOC!$H:$H,DATA_GOC!$A:$A,"BOM",DATA_GOC!$D:$D,$B17,DATA_GOC!$E:$E,"Téc 1",DATA_GOC!$F:$F,"Xuất nội bộ từ téc",DATA_GOC!$B:$B,DATE($D$2,$B$2,G$4)),0))</f>
        <v>0</v>
      </c>
      <c r="H17" s="239">
        <f>IF(H$4&gt;DAY(EOMONTH(DATE($D$2,$B$2,1),0)),"",IFERROR(SUMIFS(DATA_GOC!$H:$H,DATA_GOC!$A:$A,"BOM",DATA_GOC!$D:$D,$B17,DATA_GOC!$E:$E,"Téc 1",DATA_GOC!$F:$F,"Xuất nội bộ từ téc",DATA_GOC!$B:$B,DATE($D$2,$B$2,H$4)),0))</f>
        <v>0</v>
      </c>
      <c r="I17" s="239">
        <f>IF(I$4&gt;DAY(EOMONTH(DATE($D$2,$B$2,1),0)),"",IFERROR(SUMIFS(DATA_GOC!$H:$H,DATA_GOC!$A:$A,"BOM",DATA_GOC!$D:$D,$B17,DATA_GOC!$E:$E,"Téc 1",DATA_GOC!$F:$F,"Xuất nội bộ từ téc",DATA_GOC!$B:$B,DATE($D$2,$B$2,I$4)),0))</f>
        <v>0</v>
      </c>
      <c r="J17" s="239">
        <f>IF(J$4&gt;DAY(EOMONTH(DATE($D$2,$B$2,1),0)),"",IFERROR(SUMIFS(DATA_GOC!$H:$H,DATA_GOC!$A:$A,"BOM",DATA_GOC!$D:$D,$B17,DATA_GOC!$E:$E,"Téc 1",DATA_GOC!$F:$F,"Xuất nội bộ từ téc",DATA_GOC!$B:$B,DATE($D$2,$B$2,J$4)),0))</f>
        <v>0</v>
      </c>
      <c r="K17" s="239">
        <f>IF(K$4&gt;DAY(EOMONTH(DATE($D$2,$B$2,1),0)),"",IFERROR(SUMIFS(DATA_GOC!$H:$H,DATA_GOC!$A:$A,"BOM",DATA_GOC!$D:$D,$B17,DATA_GOC!$E:$E,"Téc 1",DATA_GOC!$F:$F,"Xuất nội bộ từ téc",DATA_GOC!$B:$B,DATE($D$2,$B$2,K$4)),0))</f>
        <v>0</v>
      </c>
      <c r="L17" s="239">
        <f>IF(L$4&gt;DAY(EOMONTH(DATE($D$2,$B$2,1),0)),"",IFERROR(SUMIFS(DATA_GOC!$H:$H,DATA_GOC!$A:$A,"BOM",DATA_GOC!$D:$D,$B17,DATA_GOC!$E:$E,"Téc 1",DATA_GOC!$F:$F,"Xuất nội bộ từ téc",DATA_GOC!$B:$B,DATE($D$2,$B$2,L$4)),0))</f>
        <v>0</v>
      </c>
      <c r="M17" s="239">
        <f>IF(M$4&gt;DAY(EOMONTH(DATE($D$2,$B$2,1),0)),"",IFERROR(SUMIFS(DATA_GOC!$H:$H,DATA_GOC!$A:$A,"BOM",DATA_GOC!$D:$D,$B17,DATA_GOC!$E:$E,"Téc 1",DATA_GOC!$F:$F,"Xuất nội bộ từ téc",DATA_GOC!$B:$B,DATE($D$2,$B$2,M$4)),0))</f>
        <v>0</v>
      </c>
      <c r="N17" s="239">
        <f>IF(N$4&gt;DAY(EOMONTH(DATE($D$2,$B$2,1),0)),"",IFERROR(SUMIFS(DATA_GOC!$H:$H,DATA_GOC!$A:$A,"BOM",DATA_GOC!$D:$D,$B17,DATA_GOC!$E:$E,"Téc 1",DATA_GOC!$F:$F,"Xuất nội bộ từ téc",DATA_GOC!$B:$B,DATE($D$2,$B$2,N$4)),0))</f>
        <v>0</v>
      </c>
      <c r="O17" s="239">
        <f>IF(O$4&gt;DAY(EOMONTH(DATE($D$2,$B$2,1),0)),"",IFERROR(SUMIFS(DATA_GOC!$H:$H,DATA_GOC!$A:$A,"BOM",DATA_GOC!$D:$D,$B17,DATA_GOC!$E:$E,"Téc 1",DATA_GOC!$F:$F,"Xuất nội bộ từ téc",DATA_GOC!$B:$B,DATE($D$2,$B$2,O$4)),0))</f>
        <v>0</v>
      </c>
      <c r="P17" s="239">
        <f>IF(P$4&gt;DAY(EOMONTH(DATE($D$2,$B$2,1),0)),"",IFERROR(SUMIFS(DATA_GOC!$H:$H,DATA_GOC!$A:$A,"BOM",DATA_GOC!$D:$D,$B17,DATA_GOC!$E:$E,"Téc 1",DATA_GOC!$F:$F,"Xuất nội bộ từ téc",DATA_GOC!$B:$B,DATE($D$2,$B$2,P$4)),0))</f>
        <v>0</v>
      </c>
      <c r="Q17" s="239">
        <f>IF(Q$4&gt;DAY(EOMONTH(DATE($D$2,$B$2,1),0)),"",IFERROR(SUMIFS(DATA_GOC!$H:$H,DATA_GOC!$A:$A,"BOM",DATA_GOC!$D:$D,$B17,DATA_GOC!$E:$E,"Téc 1",DATA_GOC!$F:$F,"Xuất nội bộ từ téc",DATA_GOC!$B:$B,DATE($D$2,$B$2,Q$4)),0))</f>
        <v>0</v>
      </c>
      <c r="R17" s="239">
        <f>IF(R$4&gt;DAY(EOMONTH(DATE($D$2,$B$2,1),0)),"",IFERROR(SUMIFS(DATA_GOC!$H:$H,DATA_GOC!$A:$A,"BOM",DATA_GOC!$D:$D,$B17,DATA_GOC!$E:$E,"Téc 1",DATA_GOC!$F:$F,"Xuất nội bộ từ téc",DATA_GOC!$B:$B,DATE($D$2,$B$2,R$4)),0))</f>
        <v>0</v>
      </c>
      <c r="S17" s="239">
        <f>IF(S$4&gt;DAY(EOMONTH(DATE($D$2,$B$2,1),0)),"",IFERROR(SUMIFS(DATA_GOC!$H:$H,DATA_GOC!$A:$A,"BOM",DATA_GOC!$D:$D,$B17,DATA_GOC!$E:$E,"Téc 1",DATA_GOC!$F:$F,"Xuất nội bộ từ téc",DATA_GOC!$B:$B,DATE($D$2,$B$2,S$4)),0))</f>
        <v>0</v>
      </c>
      <c r="T17" s="239">
        <f>IF(T$4&gt;DAY(EOMONTH(DATE($D$2,$B$2,1),0)),"",IFERROR(SUMIFS(DATA_GOC!$H:$H,DATA_GOC!$A:$A,"BOM",DATA_GOC!$D:$D,$B17,DATA_GOC!$E:$E,"Téc 1",DATA_GOC!$F:$F,"Xuất nội bộ từ téc",DATA_GOC!$B:$B,DATE($D$2,$B$2,T$4)),0))</f>
        <v>0</v>
      </c>
      <c r="U17" s="239">
        <f>IF(U$4&gt;DAY(EOMONTH(DATE($D$2,$B$2,1),0)),"",IFERROR(SUMIFS(DATA_GOC!$H:$H,DATA_GOC!$A:$A,"BOM",DATA_GOC!$D:$D,$B17,DATA_GOC!$E:$E,"Téc 1",DATA_GOC!$F:$F,"Xuất nội bộ từ téc",DATA_GOC!$B:$B,DATE($D$2,$B$2,U$4)),0))</f>
        <v>0</v>
      </c>
      <c r="V17" s="239">
        <f>IF(V$4&gt;DAY(EOMONTH(DATE($D$2,$B$2,1),0)),"",IFERROR(SUMIFS(DATA_GOC!$H:$H,DATA_GOC!$A:$A,"BOM",DATA_GOC!$D:$D,$B17,DATA_GOC!$E:$E,"Téc 1",DATA_GOC!$F:$F,"Xuất nội bộ từ téc",DATA_GOC!$B:$B,DATE($D$2,$B$2,V$4)),0))</f>
        <v>0</v>
      </c>
      <c r="W17" s="239">
        <f>IF(W$4&gt;DAY(EOMONTH(DATE($D$2,$B$2,1),0)),"",IFERROR(SUMIFS(DATA_GOC!$H:$H,DATA_GOC!$A:$A,"BOM",DATA_GOC!$D:$D,$B17,DATA_GOC!$E:$E,"Téc 1",DATA_GOC!$F:$F,"Xuất nội bộ từ téc",DATA_GOC!$B:$B,DATE($D$2,$B$2,W$4)),0))</f>
        <v>0</v>
      </c>
      <c r="X17" s="239">
        <f>IF(X$4&gt;DAY(EOMONTH(DATE($D$2,$B$2,1),0)),"",IFERROR(SUMIFS(DATA_GOC!$H:$H,DATA_GOC!$A:$A,"BOM",DATA_GOC!$D:$D,$B17,DATA_GOC!$E:$E,"Téc 1",DATA_GOC!$F:$F,"Xuất nội bộ từ téc",DATA_GOC!$B:$B,DATE($D$2,$B$2,X$4)),0))</f>
        <v>0</v>
      </c>
      <c r="Y17" s="239">
        <f>IF(Y$4&gt;DAY(EOMONTH(DATE($D$2,$B$2,1),0)),"",IFERROR(SUMIFS(DATA_GOC!$H:$H,DATA_GOC!$A:$A,"BOM",DATA_GOC!$D:$D,$B17,DATA_GOC!$E:$E,"Téc 1",DATA_GOC!$F:$F,"Xuất nội bộ từ téc",DATA_GOC!$B:$B,DATE($D$2,$B$2,Y$4)),0))</f>
        <v>0</v>
      </c>
      <c r="Z17" s="239">
        <f>IF(Z$4&gt;DAY(EOMONTH(DATE($D$2,$B$2,1),0)),"",IFERROR(SUMIFS(DATA_GOC!$H:$H,DATA_GOC!$A:$A,"BOM",DATA_GOC!$D:$D,$B17,DATA_GOC!$E:$E,"Téc 1",DATA_GOC!$F:$F,"Xuất nội bộ từ téc",DATA_GOC!$B:$B,DATE($D$2,$B$2,Z$4)),0))</f>
        <v>0</v>
      </c>
      <c r="AA17" s="239">
        <f>IF(AA$4&gt;DAY(EOMONTH(DATE($D$2,$B$2,1),0)),"",IFERROR(SUMIFS(DATA_GOC!$H:$H,DATA_GOC!$A:$A,"BOM",DATA_GOC!$D:$D,$B17,DATA_GOC!$E:$E,"Téc 1",DATA_GOC!$F:$F,"Xuất nội bộ từ téc",DATA_GOC!$B:$B,DATE($D$2,$B$2,AA$4)),0))</f>
        <v>0</v>
      </c>
      <c r="AB17" s="239">
        <f>IF(AB$4&gt;DAY(EOMONTH(DATE($D$2,$B$2,1),0)),"",IFERROR(SUMIFS(DATA_GOC!$H:$H,DATA_GOC!$A:$A,"BOM",DATA_GOC!$D:$D,$B17,DATA_GOC!$E:$E,"Téc 1",DATA_GOC!$F:$F,"Xuất nội bộ từ téc",DATA_GOC!$B:$B,DATE($D$2,$B$2,AB$4)),0))</f>
        <v>0</v>
      </c>
      <c r="AC17" s="239">
        <f>IF(AC$4&gt;DAY(EOMONTH(DATE($D$2,$B$2,1),0)),"",IFERROR(SUMIFS(DATA_GOC!$H:$H,DATA_GOC!$A:$A,"BOM",DATA_GOC!$D:$D,$B17,DATA_GOC!$E:$E,"Téc 1",DATA_GOC!$F:$F,"Xuất nội bộ từ téc",DATA_GOC!$B:$B,DATE($D$2,$B$2,AC$4)),0))</f>
        <v>0</v>
      </c>
      <c r="AD17" s="239">
        <f>IF(AD$4&gt;DAY(EOMONTH(DATE($D$2,$B$2,1),0)),"",IFERROR(SUMIFS(DATA_GOC!$H:$H,DATA_GOC!$A:$A,"BOM",DATA_GOC!$D:$D,$B17,DATA_GOC!$E:$E,"Téc 1",DATA_GOC!$F:$F,"Xuất nội bộ từ téc",DATA_GOC!$B:$B,DATE($D$2,$B$2,AD$4)),0))</f>
        <v>0</v>
      </c>
      <c r="AE17" s="239">
        <f>IF(AE$4&gt;DAY(EOMONTH(DATE($D$2,$B$2,1),0)),"",IFERROR(SUMIFS(DATA_GOC!$H:$H,DATA_GOC!$A:$A,"BOM",DATA_GOC!$D:$D,$B17,DATA_GOC!$E:$E,"Téc 1",DATA_GOC!$F:$F,"Xuất nội bộ từ téc",DATA_GOC!$B:$B,DATE($D$2,$B$2,AE$4)),0))</f>
        <v>0</v>
      </c>
      <c r="AF17" s="239">
        <f>IF(AF$4&gt;DAY(EOMONTH(DATE($D$2,$B$2,1),0)),"",IFERROR(SUMIFS(DATA_GOC!$H:$H,DATA_GOC!$A:$A,"BOM",DATA_GOC!$D:$D,$B17,DATA_GOC!$E:$E,"Téc 1",DATA_GOC!$F:$F,"Xuất nội bộ từ téc",DATA_GOC!$B:$B,DATE($D$2,$B$2,AF$4)),0))</f>
        <v>0</v>
      </c>
      <c r="AG17" s="239">
        <f>IF(AG$4&gt;DAY(EOMONTH(DATE($D$2,$B$2,1),0)),"",IFERROR(SUMIFS(DATA_GOC!$H:$H,DATA_GOC!$A:$A,"BOM",DATA_GOC!$D:$D,$B17,DATA_GOC!$E:$E,"Téc 1",DATA_GOC!$F:$F,"Xuất nội bộ từ téc",DATA_GOC!$B:$B,DATE($D$2,$B$2,AG$4)),0))</f>
        <v>0</v>
      </c>
      <c r="AH17" s="240">
        <f t="shared" si="1"/>
        <v>0</v>
      </c>
      <c r="AI17" s="241"/>
      <c r="AJ17" s="239">
        <f>IF($B17="","",SUMIFS(TINH_TEC!$K$233:$K$9232,TINH_TEC!$H$233:$H$9232,$B17,TINH_TEC!$C$233:$C$9232,"Téc 1",TINH_TEC!$F$233:$F$9232,$B$2,TINH_TEC!$G$233:$G$9232,$D$2,TINH_TEC!$B$233:$B$9232,"Đã chốt"))</f>
        <v>0</v>
      </c>
      <c r="AK17" s="239">
        <f>IF($B17="","",SUMIFS(TINH_TEC!$J$233:$J$9232,TINH_TEC!$H$233:$H$9232,$B17,TINH_TEC!$C$233:$C$9232,"Téc 1",TINH_TEC!$F$233:$F$9232,$B$2,TINH_TEC!$G$233:$G$9232,$D$2,TINH_TEC!$B$233:$B$9232,"Đã chốt"))</f>
        <v>0</v>
      </c>
      <c r="AL17" s="239">
        <f t="shared" si="2"/>
        <v>0</v>
      </c>
    </row>
    <row r="18" ht="15.75" customHeight="1">
      <c r="A18" s="237">
        <f>IF($B18&lt;&gt;"",13,"")</f>
        <v>13</v>
      </c>
      <c r="B18" s="238" t="str">
        <f t="array" ref="B18">IFERROR(INDEX(DANH_MUC!$E:$E,16),"")</f>
        <v>28C02545</v>
      </c>
      <c r="C18" s="239">
        <f>IF(C$4&gt;DAY(EOMONTH(DATE($D$2,$B$2,1),0)),"",IFERROR(SUMIFS(DATA_GOC!$H:$H,DATA_GOC!$A:$A,"BOM",DATA_GOC!$D:$D,$B18,DATA_GOC!$E:$E,"Téc 1",DATA_GOC!$F:$F,"Xuất nội bộ từ téc",DATA_GOC!$B:$B,DATE($D$2,$B$2,C$4)),0))</f>
        <v>0</v>
      </c>
      <c r="D18" s="239">
        <f>IF(D$4&gt;DAY(EOMONTH(DATE($D$2,$B$2,1),0)),"",IFERROR(SUMIFS(DATA_GOC!$H:$H,DATA_GOC!$A:$A,"BOM",DATA_GOC!$D:$D,$B18,DATA_GOC!$E:$E,"Téc 1",DATA_GOC!$F:$F,"Xuất nội bộ từ téc",DATA_GOC!$B:$B,DATE($D$2,$B$2,D$4)),0))</f>
        <v>0</v>
      </c>
      <c r="E18" s="239">
        <f>IF(E$4&gt;DAY(EOMONTH(DATE($D$2,$B$2,1),0)),"",IFERROR(SUMIFS(DATA_GOC!$H:$H,DATA_GOC!$A:$A,"BOM",DATA_GOC!$D:$D,$B18,DATA_GOC!$E:$E,"Téc 1",DATA_GOC!$F:$F,"Xuất nội bộ từ téc",DATA_GOC!$B:$B,DATE($D$2,$B$2,E$4)),0))</f>
        <v>0</v>
      </c>
      <c r="F18" s="239">
        <f>IF(F$4&gt;DAY(EOMONTH(DATE($D$2,$B$2,1),0)),"",IFERROR(SUMIFS(DATA_GOC!$H:$H,DATA_GOC!$A:$A,"BOM",DATA_GOC!$D:$D,$B18,DATA_GOC!$E:$E,"Téc 1",DATA_GOC!$F:$F,"Xuất nội bộ từ téc",DATA_GOC!$B:$B,DATE($D$2,$B$2,F$4)),0))</f>
        <v>0</v>
      </c>
      <c r="G18" s="239">
        <f>IF(G$4&gt;DAY(EOMONTH(DATE($D$2,$B$2,1),0)),"",IFERROR(SUMIFS(DATA_GOC!$H:$H,DATA_GOC!$A:$A,"BOM",DATA_GOC!$D:$D,$B18,DATA_GOC!$E:$E,"Téc 1",DATA_GOC!$F:$F,"Xuất nội bộ từ téc",DATA_GOC!$B:$B,DATE($D$2,$B$2,G$4)),0))</f>
        <v>0</v>
      </c>
      <c r="H18" s="239">
        <f>IF(H$4&gt;DAY(EOMONTH(DATE($D$2,$B$2,1),0)),"",IFERROR(SUMIFS(DATA_GOC!$H:$H,DATA_GOC!$A:$A,"BOM",DATA_GOC!$D:$D,$B18,DATA_GOC!$E:$E,"Téc 1",DATA_GOC!$F:$F,"Xuất nội bộ từ téc",DATA_GOC!$B:$B,DATE($D$2,$B$2,H$4)),0))</f>
        <v>0</v>
      </c>
      <c r="I18" s="239">
        <f>IF(I$4&gt;DAY(EOMONTH(DATE($D$2,$B$2,1),0)),"",IFERROR(SUMIFS(DATA_GOC!$H:$H,DATA_GOC!$A:$A,"BOM",DATA_GOC!$D:$D,$B18,DATA_GOC!$E:$E,"Téc 1",DATA_GOC!$F:$F,"Xuất nội bộ từ téc",DATA_GOC!$B:$B,DATE($D$2,$B$2,I$4)),0))</f>
        <v>0</v>
      </c>
      <c r="J18" s="239">
        <f>IF(J$4&gt;DAY(EOMONTH(DATE($D$2,$B$2,1),0)),"",IFERROR(SUMIFS(DATA_GOC!$H:$H,DATA_GOC!$A:$A,"BOM",DATA_GOC!$D:$D,$B18,DATA_GOC!$E:$E,"Téc 1",DATA_GOC!$F:$F,"Xuất nội bộ từ téc",DATA_GOC!$B:$B,DATE($D$2,$B$2,J$4)),0))</f>
        <v>0</v>
      </c>
      <c r="K18" s="239">
        <f>IF(K$4&gt;DAY(EOMONTH(DATE($D$2,$B$2,1),0)),"",IFERROR(SUMIFS(DATA_GOC!$H:$H,DATA_GOC!$A:$A,"BOM",DATA_GOC!$D:$D,$B18,DATA_GOC!$E:$E,"Téc 1",DATA_GOC!$F:$F,"Xuất nội bộ từ téc",DATA_GOC!$B:$B,DATE($D$2,$B$2,K$4)),0))</f>
        <v>0</v>
      </c>
      <c r="L18" s="239">
        <f>IF(L$4&gt;DAY(EOMONTH(DATE($D$2,$B$2,1),0)),"",IFERROR(SUMIFS(DATA_GOC!$H:$H,DATA_GOC!$A:$A,"BOM",DATA_GOC!$D:$D,$B18,DATA_GOC!$E:$E,"Téc 1",DATA_GOC!$F:$F,"Xuất nội bộ từ téc",DATA_GOC!$B:$B,DATE($D$2,$B$2,L$4)),0))</f>
        <v>0</v>
      </c>
      <c r="M18" s="239">
        <f>IF(M$4&gt;DAY(EOMONTH(DATE($D$2,$B$2,1),0)),"",IFERROR(SUMIFS(DATA_GOC!$H:$H,DATA_GOC!$A:$A,"BOM",DATA_GOC!$D:$D,$B18,DATA_GOC!$E:$E,"Téc 1",DATA_GOC!$F:$F,"Xuất nội bộ từ téc",DATA_GOC!$B:$B,DATE($D$2,$B$2,M$4)),0))</f>
        <v>0</v>
      </c>
      <c r="N18" s="239">
        <f>IF(N$4&gt;DAY(EOMONTH(DATE($D$2,$B$2,1),0)),"",IFERROR(SUMIFS(DATA_GOC!$H:$H,DATA_GOC!$A:$A,"BOM",DATA_GOC!$D:$D,$B18,DATA_GOC!$E:$E,"Téc 1",DATA_GOC!$F:$F,"Xuất nội bộ từ téc",DATA_GOC!$B:$B,DATE($D$2,$B$2,N$4)),0))</f>
        <v>0</v>
      </c>
      <c r="O18" s="239">
        <f>IF(O$4&gt;DAY(EOMONTH(DATE($D$2,$B$2,1),0)),"",IFERROR(SUMIFS(DATA_GOC!$H:$H,DATA_GOC!$A:$A,"BOM",DATA_GOC!$D:$D,$B18,DATA_GOC!$E:$E,"Téc 1",DATA_GOC!$F:$F,"Xuất nội bộ từ téc",DATA_GOC!$B:$B,DATE($D$2,$B$2,O$4)),0))</f>
        <v>0</v>
      </c>
      <c r="P18" s="239">
        <f>IF(P$4&gt;DAY(EOMONTH(DATE($D$2,$B$2,1),0)),"",IFERROR(SUMIFS(DATA_GOC!$H:$H,DATA_GOC!$A:$A,"BOM",DATA_GOC!$D:$D,$B18,DATA_GOC!$E:$E,"Téc 1",DATA_GOC!$F:$F,"Xuất nội bộ từ téc",DATA_GOC!$B:$B,DATE($D$2,$B$2,P$4)),0))</f>
        <v>0</v>
      </c>
      <c r="Q18" s="239">
        <f>IF(Q$4&gt;DAY(EOMONTH(DATE($D$2,$B$2,1),0)),"",IFERROR(SUMIFS(DATA_GOC!$H:$H,DATA_GOC!$A:$A,"BOM",DATA_GOC!$D:$D,$B18,DATA_GOC!$E:$E,"Téc 1",DATA_GOC!$F:$F,"Xuất nội bộ từ téc",DATA_GOC!$B:$B,DATE($D$2,$B$2,Q$4)),0))</f>
        <v>0</v>
      </c>
      <c r="R18" s="239">
        <f>IF(R$4&gt;DAY(EOMONTH(DATE($D$2,$B$2,1),0)),"",IFERROR(SUMIFS(DATA_GOC!$H:$H,DATA_GOC!$A:$A,"BOM",DATA_GOC!$D:$D,$B18,DATA_GOC!$E:$E,"Téc 1",DATA_GOC!$F:$F,"Xuất nội bộ từ téc",DATA_GOC!$B:$B,DATE($D$2,$B$2,R$4)),0))</f>
        <v>0</v>
      </c>
      <c r="S18" s="239">
        <f>IF(S$4&gt;DAY(EOMONTH(DATE($D$2,$B$2,1),0)),"",IFERROR(SUMIFS(DATA_GOC!$H:$H,DATA_GOC!$A:$A,"BOM",DATA_GOC!$D:$D,$B18,DATA_GOC!$E:$E,"Téc 1",DATA_GOC!$F:$F,"Xuất nội bộ từ téc",DATA_GOC!$B:$B,DATE($D$2,$B$2,S$4)),0))</f>
        <v>0</v>
      </c>
      <c r="T18" s="239">
        <f>IF(T$4&gt;DAY(EOMONTH(DATE($D$2,$B$2,1),0)),"",IFERROR(SUMIFS(DATA_GOC!$H:$H,DATA_GOC!$A:$A,"BOM",DATA_GOC!$D:$D,$B18,DATA_GOC!$E:$E,"Téc 1",DATA_GOC!$F:$F,"Xuất nội bộ từ téc",DATA_GOC!$B:$B,DATE($D$2,$B$2,T$4)),0))</f>
        <v>0</v>
      </c>
      <c r="U18" s="239">
        <f>IF(U$4&gt;DAY(EOMONTH(DATE($D$2,$B$2,1),0)),"",IFERROR(SUMIFS(DATA_GOC!$H:$H,DATA_GOC!$A:$A,"BOM",DATA_GOC!$D:$D,$B18,DATA_GOC!$E:$E,"Téc 1",DATA_GOC!$F:$F,"Xuất nội bộ từ téc",DATA_GOC!$B:$B,DATE($D$2,$B$2,U$4)),0))</f>
        <v>0</v>
      </c>
      <c r="V18" s="239">
        <f>IF(V$4&gt;DAY(EOMONTH(DATE($D$2,$B$2,1),0)),"",IFERROR(SUMIFS(DATA_GOC!$H:$H,DATA_GOC!$A:$A,"BOM",DATA_GOC!$D:$D,$B18,DATA_GOC!$E:$E,"Téc 1",DATA_GOC!$F:$F,"Xuất nội bộ từ téc",DATA_GOC!$B:$B,DATE($D$2,$B$2,V$4)),0))</f>
        <v>0</v>
      </c>
      <c r="W18" s="239">
        <f>IF(W$4&gt;DAY(EOMONTH(DATE($D$2,$B$2,1),0)),"",IFERROR(SUMIFS(DATA_GOC!$H:$H,DATA_GOC!$A:$A,"BOM",DATA_GOC!$D:$D,$B18,DATA_GOC!$E:$E,"Téc 1",DATA_GOC!$F:$F,"Xuất nội bộ từ téc",DATA_GOC!$B:$B,DATE($D$2,$B$2,W$4)),0))</f>
        <v>0</v>
      </c>
      <c r="X18" s="239">
        <f>IF(X$4&gt;DAY(EOMONTH(DATE($D$2,$B$2,1),0)),"",IFERROR(SUMIFS(DATA_GOC!$H:$H,DATA_GOC!$A:$A,"BOM",DATA_GOC!$D:$D,$B18,DATA_GOC!$E:$E,"Téc 1",DATA_GOC!$F:$F,"Xuất nội bộ từ téc",DATA_GOC!$B:$B,DATE($D$2,$B$2,X$4)),0))</f>
        <v>0</v>
      </c>
      <c r="Y18" s="239">
        <f>IF(Y$4&gt;DAY(EOMONTH(DATE($D$2,$B$2,1),0)),"",IFERROR(SUMIFS(DATA_GOC!$H:$H,DATA_GOC!$A:$A,"BOM",DATA_GOC!$D:$D,$B18,DATA_GOC!$E:$E,"Téc 1",DATA_GOC!$F:$F,"Xuất nội bộ từ téc",DATA_GOC!$B:$B,DATE($D$2,$B$2,Y$4)),0))</f>
        <v>0</v>
      </c>
      <c r="Z18" s="239">
        <f>IF(Z$4&gt;DAY(EOMONTH(DATE($D$2,$B$2,1),0)),"",IFERROR(SUMIFS(DATA_GOC!$H:$H,DATA_GOC!$A:$A,"BOM",DATA_GOC!$D:$D,$B18,DATA_GOC!$E:$E,"Téc 1",DATA_GOC!$F:$F,"Xuất nội bộ từ téc",DATA_GOC!$B:$B,DATE($D$2,$B$2,Z$4)),0))</f>
        <v>0</v>
      </c>
      <c r="AA18" s="239">
        <f>IF(AA$4&gt;DAY(EOMONTH(DATE($D$2,$B$2,1),0)),"",IFERROR(SUMIFS(DATA_GOC!$H:$H,DATA_GOC!$A:$A,"BOM",DATA_GOC!$D:$D,$B18,DATA_GOC!$E:$E,"Téc 1",DATA_GOC!$F:$F,"Xuất nội bộ từ téc",DATA_GOC!$B:$B,DATE($D$2,$B$2,AA$4)),0))</f>
        <v>0</v>
      </c>
      <c r="AB18" s="239">
        <f>IF(AB$4&gt;DAY(EOMONTH(DATE($D$2,$B$2,1),0)),"",IFERROR(SUMIFS(DATA_GOC!$H:$H,DATA_GOC!$A:$A,"BOM",DATA_GOC!$D:$D,$B18,DATA_GOC!$E:$E,"Téc 1",DATA_GOC!$F:$F,"Xuất nội bộ từ téc",DATA_GOC!$B:$B,DATE($D$2,$B$2,AB$4)),0))</f>
        <v>0</v>
      </c>
      <c r="AC18" s="239">
        <f>IF(AC$4&gt;DAY(EOMONTH(DATE($D$2,$B$2,1),0)),"",IFERROR(SUMIFS(DATA_GOC!$H:$H,DATA_GOC!$A:$A,"BOM",DATA_GOC!$D:$D,$B18,DATA_GOC!$E:$E,"Téc 1",DATA_GOC!$F:$F,"Xuất nội bộ từ téc",DATA_GOC!$B:$B,DATE($D$2,$B$2,AC$4)),0))</f>
        <v>0</v>
      </c>
      <c r="AD18" s="239">
        <f>IF(AD$4&gt;DAY(EOMONTH(DATE($D$2,$B$2,1),0)),"",IFERROR(SUMIFS(DATA_GOC!$H:$H,DATA_GOC!$A:$A,"BOM",DATA_GOC!$D:$D,$B18,DATA_GOC!$E:$E,"Téc 1",DATA_GOC!$F:$F,"Xuất nội bộ từ téc",DATA_GOC!$B:$B,DATE($D$2,$B$2,AD$4)),0))</f>
        <v>0</v>
      </c>
      <c r="AE18" s="239">
        <f>IF(AE$4&gt;DAY(EOMONTH(DATE($D$2,$B$2,1),0)),"",IFERROR(SUMIFS(DATA_GOC!$H:$H,DATA_GOC!$A:$A,"BOM",DATA_GOC!$D:$D,$B18,DATA_GOC!$E:$E,"Téc 1",DATA_GOC!$F:$F,"Xuất nội bộ từ téc",DATA_GOC!$B:$B,DATE($D$2,$B$2,AE$4)),0))</f>
        <v>0</v>
      </c>
      <c r="AF18" s="239">
        <f>IF(AF$4&gt;DAY(EOMONTH(DATE($D$2,$B$2,1),0)),"",IFERROR(SUMIFS(DATA_GOC!$H:$H,DATA_GOC!$A:$A,"BOM",DATA_GOC!$D:$D,$B18,DATA_GOC!$E:$E,"Téc 1",DATA_GOC!$F:$F,"Xuất nội bộ từ téc",DATA_GOC!$B:$B,DATE($D$2,$B$2,AF$4)),0))</f>
        <v>0</v>
      </c>
      <c r="AG18" s="239">
        <f>IF(AG$4&gt;DAY(EOMONTH(DATE($D$2,$B$2,1),0)),"",IFERROR(SUMIFS(DATA_GOC!$H:$H,DATA_GOC!$A:$A,"BOM",DATA_GOC!$D:$D,$B18,DATA_GOC!$E:$E,"Téc 1",DATA_GOC!$F:$F,"Xuất nội bộ từ téc",DATA_GOC!$B:$B,DATE($D$2,$B$2,AG$4)),0))</f>
        <v>0</v>
      </c>
      <c r="AH18" s="240">
        <f t="shared" si="1"/>
        <v>0</v>
      </c>
      <c r="AI18" s="241"/>
      <c r="AJ18" s="239">
        <f>IF($B18="","",SUMIFS(TINH_TEC!$K$233:$K$9232,TINH_TEC!$H$233:$H$9232,$B18,TINH_TEC!$C$233:$C$9232,"Téc 1",TINH_TEC!$F$233:$F$9232,$B$2,TINH_TEC!$G$233:$G$9232,$D$2,TINH_TEC!$B$233:$B$9232,"Đã chốt"))</f>
        <v>0</v>
      </c>
      <c r="AK18" s="239">
        <f>IF($B18="","",SUMIFS(TINH_TEC!$J$233:$J$9232,TINH_TEC!$H$233:$H$9232,$B18,TINH_TEC!$C$233:$C$9232,"Téc 1",TINH_TEC!$F$233:$F$9232,$B$2,TINH_TEC!$G$233:$G$9232,$D$2,TINH_TEC!$B$233:$B$9232,"Đã chốt"))</f>
        <v>0</v>
      </c>
      <c r="AL18" s="239">
        <f t="shared" si="2"/>
        <v>0</v>
      </c>
    </row>
    <row r="19" ht="15.75" customHeight="1">
      <c r="A19" s="237">
        <f>IF($B19&lt;&gt;"",14,"")</f>
        <v>14</v>
      </c>
      <c r="B19" s="238" t="str">
        <f t="array" ref="B19">IFERROR(INDEX(DANH_MUC!$E:$E,17),"")</f>
        <v>28C02574</v>
      </c>
      <c r="C19" s="239">
        <f>IF(C$4&gt;DAY(EOMONTH(DATE($D$2,$B$2,1),0)),"",IFERROR(SUMIFS(DATA_GOC!$H:$H,DATA_GOC!$A:$A,"BOM",DATA_GOC!$D:$D,$B19,DATA_GOC!$E:$E,"Téc 1",DATA_GOC!$F:$F,"Xuất nội bộ từ téc",DATA_GOC!$B:$B,DATE($D$2,$B$2,C$4)),0))</f>
        <v>0</v>
      </c>
      <c r="D19" s="239">
        <f>IF(D$4&gt;DAY(EOMONTH(DATE($D$2,$B$2,1),0)),"",IFERROR(SUMIFS(DATA_GOC!$H:$H,DATA_GOC!$A:$A,"BOM",DATA_GOC!$D:$D,$B19,DATA_GOC!$E:$E,"Téc 1",DATA_GOC!$F:$F,"Xuất nội bộ từ téc",DATA_GOC!$B:$B,DATE($D$2,$B$2,D$4)),0))</f>
        <v>0</v>
      </c>
      <c r="E19" s="239">
        <f>IF(E$4&gt;DAY(EOMONTH(DATE($D$2,$B$2,1),0)),"",IFERROR(SUMIFS(DATA_GOC!$H:$H,DATA_GOC!$A:$A,"BOM",DATA_GOC!$D:$D,$B19,DATA_GOC!$E:$E,"Téc 1",DATA_GOC!$F:$F,"Xuất nội bộ từ téc",DATA_GOC!$B:$B,DATE($D$2,$B$2,E$4)),0))</f>
        <v>0</v>
      </c>
      <c r="F19" s="239">
        <f>IF(F$4&gt;DAY(EOMONTH(DATE($D$2,$B$2,1),0)),"",IFERROR(SUMIFS(DATA_GOC!$H:$H,DATA_GOC!$A:$A,"BOM",DATA_GOC!$D:$D,$B19,DATA_GOC!$E:$E,"Téc 1",DATA_GOC!$F:$F,"Xuất nội bộ từ téc",DATA_GOC!$B:$B,DATE($D$2,$B$2,F$4)),0))</f>
        <v>0</v>
      </c>
      <c r="G19" s="239">
        <f>IF(G$4&gt;DAY(EOMONTH(DATE($D$2,$B$2,1),0)),"",IFERROR(SUMIFS(DATA_GOC!$H:$H,DATA_GOC!$A:$A,"BOM",DATA_GOC!$D:$D,$B19,DATA_GOC!$E:$E,"Téc 1",DATA_GOC!$F:$F,"Xuất nội bộ từ téc",DATA_GOC!$B:$B,DATE($D$2,$B$2,G$4)),0))</f>
        <v>0</v>
      </c>
      <c r="H19" s="239">
        <f>IF(H$4&gt;DAY(EOMONTH(DATE($D$2,$B$2,1),0)),"",IFERROR(SUMIFS(DATA_GOC!$H:$H,DATA_GOC!$A:$A,"BOM",DATA_GOC!$D:$D,$B19,DATA_GOC!$E:$E,"Téc 1",DATA_GOC!$F:$F,"Xuất nội bộ từ téc",DATA_GOC!$B:$B,DATE($D$2,$B$2,H$4)),0))</f>
        <v>0</v>
      </c>
      <c r="I19" s="239">
        <f>IF(I$4&gt;DAY(EOMONTH(DATE($D$2,$B$2,1),0)),"",IFERROR(SUMIFS(DATA_GOC!$H:$H,DATA_GOC!$A:$A,"BOM",DATA_GOC!$D:$D,$B19,DATA_GOC!$E:$E,"Téc 1",DATA_GOC!$F:$F,"Xuất nội bộ từ téc",DATA_GOC!$B:$B,DATE($D$2,$B$2,I$4)),0))</f>
        <v>0</v>
      </c>
      <c r="J19" s="239">
        <f>IF(J$4&gt;DAY(EOMONTH(DATE($D$2,$B$2,1),0)),"",IFERROR(SUMIFS(DATA_GOC!$H:$H,DATA_GOC!$A:$A,"BOM",DATA_GOC!$D:$D,$B19,DATA_GOC!$E:$E,"Téc 1",DATA_GOC!$F:$F,"Xuất nội bộ từ téc",DATA_GOC!$B:$B,DATE($D$2,$B$2,J$4)),0))</f>
        <v>0</v>
      </c>
      <c r="K19" s="239">
        <f>IF(K$4&gt;DAY(EOMONTH(DATE($D$2,$B$2,1),0)),"",IFERROR(SUMIFS(DATA_GOC!$H:$H,DATA_GOC!$A:$A,"BOM",DATA_GOC!$D:$D,$B19,DATA_GOC!$E:$E,"Téc 1",DATA_GOC!$F:$F,"Xuất nội bộ từ téc",DATA_GOC!$B:$B,DATE($D$2,$B$2,K$4)),0))</f>
        <v>0</v>
      </c>
      <c r="L19" s="239">
        <f>IF(L$4&gt;DAY(EOMONTH(DATE($D$2,$B$2,1),0)),"",IFERROR(SUMIFS(DATA_GOC!$H:$H,DATA_GOC!$A:$A,"BOM",DATA_GOC!$D:$D,$B19,DATA_GOC!$E:$E,"Téc 1",DATA_GOC!$F:$F,"Xuất nội bộ từ téc",DATA_GOC!$B:$B,DATE($D$2,$B$2,L$4)),0))</f>
        <v>0</v>
      </c>
      <c r="M19" s="239">
        <f>IF(M$4&gt;DAY(EOMONTH(DATE($D$2,$B$2,1),0)),"",IFERROR(SUMIFS(DATA_GOC!$H:$H,DATA_GOC!$A:$A,"BOM",DATA_GOC!$D:$D,$B19,DATA_GOC!$E:$E,"Téc 1",DATA_GOC!$F:$F,"Xuất nội bộ từ téc",DATA_GOC!$B:$B,DATE($D$2,$B$2,M$4)),0))</f>
        <v>0</v>
      </c>
      <c r="N19" s="239">
        <f>IF(N$4&gt;DAY(EOMONTH(DATE($D$2,$B$2,1),0)),"",IFERROR(SUMIFS(DATA_GOC!$H:$H,DATA_GOC!$A:$A,"BOM",DATA_GOC!$D:$D,$B19,DATA_GOC!$E:$E,"Téc 1",DATA_GOC!$F:$F,"Xuất nội bộ từ téc",DATA_GOC!$B:$B,DATE($D$2,$B$2,N$4)),0))</f>
        <v>0</v>
      </c>
      <c r="O19" s="239">
        <f>IF(O$4&gt;DAY(EOMONTH(DATE($D$2,$B$2,1),0)),"",IFERROR(SUMIFS(DATA_GOC!$H:$H,DATA_GOC!$A:$A,"BOM",DATA_GOC!$D:$D,$B19,DATA_GOC!$E:$E,"Téc 1",DATA_GOC!$F:$F,"Xuất nội bộ từ téc",DATA_GOC!$B:$B,DATE($D$2,$B$2,O$4)),0))</f>
        <v>0</v>
      </c>
      <c r="P19" s="239">
        <f>IF(P$4&gt;DAY(EOMONTH(DATE($D$2,$B$2,1),0)),"",IFERROR(SUMIFS(DATA_GOC!$H:$H,DATA_GOC!$A:$A,"BOM",DATA_GOC!$D:$D,$B19,DATA_GOC!$E:$E,"Téc 1",DATA_GOC!$F:$F,"Xuất nội bộ từ téc",DATA_GOC!$B:$B,DATE($D$2,$B$2,P$4)),0))</f>
        <v>0</v>
      </c>
      <c r="Q19" s="239">
        <f>IF(Q$4&gt;DAY(EOMONTH(DATE($D$2,$B$2,1),0)),"",IFERROR(SUMIFS(DATA_GOC!$H:$H,DATA_GOC!$A:$A,"BOM",DATA_GOC!$D:$D,$B19,DATA_GOC!$E:$E,"Téc 1",DATA_GOC!$F:$F,"Xuất nội bộ từ téc",DATA_GOC!$B:$B,DATE($D$2,$B$2,Q$4)),0))</f>
        <v>0</v>
      </c>
      <c r="R19" s="239">
        <f>IF(R$4&gt;DAY(EOMONTH(DATE($D$2,$B$2,1),0)),"",IFERROR(SUMIFS(DATA_GOC!$H:$H,DATA_GOC!$A:$A,"BOM",DATA_GOC!$D:$D,$B19,DATA_GOC!$E:$E,"Téc 1",DATA_GOC!$F:$F,"Xuất nội bộ từ téc",DATA_GOC!$B:$B,DATE($D$2,$B$2,R$4)),0))</f>
        <v>0</v>
      </c>
      <c r="S19" s="239">
        <f>IF(S$4&gt;DAY(EOMONTH(DATE($D$2,$B$2,1),0)),"",IFERROR(SUMIFS(DATA_GOC!$H:$H,DATA_GOC!$A:$A,"BOM",DATA_GOC!$D:$D,$B19,DATA_GOC!$E:$E,"Téc 1",DATA_GOC!$F:$F,"Xuất nội bộ từ téc",DATA_GOC!$B:$B,DATE($D$2,$B$2,S$4)),0))</f>
        <v>0</v>
      </c>
      <c r="T19" s="239">
        <f>IF(T$4&gt;DAY(EOMONTH(DATE($D$2,$B$2,1),0)),"",IFERROR(SUMIFS(DATA_GOC!$H:$H,DATA_GOC!$A:$A,"BOM",DATA_GOC!$D:$D,$B19,DATA_GOC!$E:$E,"Téc 1",DATA_GOC!$F:$F,"Xuất nội bộ từ téc",DATA_GOC!$B:$B,DATE($D$2,$B$2,T$4)),0))</f>
        <v>0</v>
      </c>
      <c r="U19" s="239">
        <f>IF(U$4&gt;DAY(EOMONTH(DATE($D$2,$B$2,1),0)),"",IFERROR(SUMIFS(DATA_GOC!$H:$H,DATA_GOC!$A:$A,"BOM",DATA_GOC!$D:$D,$B19,DATA_GOC!$E:$E,"Téc 1",DATA_GOC!$F:$F,"Xuất nội bộ từ téc",DATA_GOC!$B:$B,DATE($D$2,$B$2,U$4)),0))</f>
        <v>0</v>
      </c>
      <c r="V19" s="239">
        <f>IF(V$4&gt;DAY(EOMONTH(DATE($D$2,$B$2,1),0)),"",IFERROR(SUMIFS(DATA_GOC!$H:$H,DATA_GOC!$A:$A,"BOM",DATA_GOC!$D:$D,$B19,DATA_GOC!$E:$E,"Téc 1",DATA_GOC!$F:$F,"Xuất nội bộ từ téc",DATA_GOC!$B:$B,DATE($D$2,$B$2,V$4)),0))</f>
        <v>0</v>
      </c>
      <c r="W19" s="239">
        <f>IF(W$4&gt;DAY(EOMONTH(DATE($D$2,$B$2,1),0)),"",IFERROR(SUMIFS(DATA_GOC!$H:$H,DATA_GOC!$A:$A,"BOM",DATA_GOC!$D:$D,$B19,DATA_GOC!$E:$E,"Téc 1",DATA_GOC!$F:$F,"Xuất nội bộ từ téc",DATA_GOC!$B:$B,DATE($D$2,$B$2,W$4)),0))</f>
        <v>0</v>
      </c>
      <c r="X19" s="239">
        <f>IF(X$4&gt;DAY(EOMONTH(DATE($D$2,$B$2,1),0)),"",IFERROR(SUMIFS(DATA_GOC!$H:$H,DATA_GOC!$A:$A,"BOM",DATA_GOC!$D:$D,$B19,DATA_GOC!$E:$E,"Téc 1",DATA_GOC!$F:$F,"Xuất nội bộ từ téc",DATA_GOC!$B:$B,DATE($D$2,$B$2,X$4)),0))</f>
        <v>0</v>
      </c>
      <c r="Y19" s="239">
        <f>IF(Y$4&gt;DAY(EOMONTH(DATE($D$2,$B$2,1),0)),"",IFERROR(SUMIFS(DATA_GOC!$H:$H,DATA_GOC!$A:$A,"BOM",DATA_GOC!$D:$D,$B19,DATA_GOC!$E:$E,"Téc 1",DATA_GOC!$F:$F,"Xuất nội bộ từ téc",DATA_GOC!$B:$B,DATE($D$2,$B$2,Y$4)),0))</f>
        <v>0</v>
      </c>
      <c r="Z19" s="239">
        <f>IF(Z$4&gt;DAY(EOMONTH(DATE($D$2,$B$2,1),0)),"",IFERROR(SUMIFS(DATA_GOC!$H:$H,DATA_GOC!$A:$A,"BOM",DATA_GOC!$D:$D,$B19,DATA_GOC!$E:$E,"Téc 1",DATA_GOC!$F:$F,"Xuất nội bộ từ téc",DATA_GOC!$B:$B,DATE($D$2,$B$2,Z$4)),0))</f>
        <v>0</v>
      </c>
      <c r="AA19" s="239">
        <f>IF(AA$4&gt;DAY(EOMONTH(DATE($D$2,$B$2,1),0)),"",IFERROR(SUMIFS(DATA_GOC!$H:$H,DATA_GOC!$A:$A,"BOM",DATA_GOC!$D:$D,$B19,DATA_GOC!$E:$E,"Téc 1",DATA_GOC!$F:$F,"Xuất nội bộ từ téc",DATA_GOC!$B:$B,DATE($D$2,$B$2,AA$4)),0))</f>
        <v>0</v>
      </c>
      <c r="AB19" s="239">
        <f>IF(AB$4&gt;DAY(EOMONTH(DATE($D$2,$B$2,1),0)),"",IFERROR(SUMIFS(DATA_GOC!$H:$H,DATA_GOC!$A:$A,"BOM",DATA_GOC!$D:$D,$B19,DATA_GOC!$E:$E,"Téc 1",DATA_GOC!$F:$F,"Xuất nội bộ từ téc",DATA_GOC!$B:$B,DATE($D$2,$B$2,AB$4)),0))</f>
        <v>0</v>
      </c>
      <c r="AC19" s="239">
        <f>IF(AC$4&gt;DAY(EOMONTH(DATE($D$2,$B$2,1),0)),"",IFERROR(SUMIFS(DATA_GOC!$H:$H,DATA_GOC!$A:$A,"BOM",DATA_GOC!$D:$D,$B19,DATA_GOC!$E:$E,"Téc 1",DATA_GOC!$F:$F,"Xuất nội bộ từ téc",DATA_GOC!$B:$B,DATE($D$2,$B$2,AC$4)),0))</f>
        <v>0</v>
      </c>
      <c r="AD19" s="239">
        <f>IF(AD$4&gt;DAY(EOMONTH(DATE($D$2,$B$2,1),0)),"",IFERROR(SUMIFS(DATA_GOC!$H:$H,DATA_GOC!$A:$A,"BOM",DATA_GOC!$D:$D,$B19,DATA_GOC!$E:$E,"Téc 1",DATA_GOC!$F:$F,"Xuất nội bộ từ téc",DATA_GOC!$B:$B,DATE($D$2,$B$2,AD$4)),0))</f>
        <v>0</v>
      </c>
      <c r="AE19" s="239">
        <f>IF(AE$4&gt;DAY(EOMONTH(DATE($D$2,$B$2,1),0)),"",IFERROR(SUMIFS(DATA_GOC!$H:$H,DATA_GOC!$A:$A,"BOM",DATA_GOC!$D:$D,$B19,DATA_GOC!$E:$E,"Téc 1",DATA_GOC!$F:$F,"Xuất nội bộ từ téc",DATA_GOC!$B:$B,DATE($D$2,$B$2,AE$4)),0))</f>
        <v>0</v>
      </c>
      <c r="AF19" s="239">
        <f>IF(AF$4&gt;DAY(EOMONTH(DATE($D$2,$B$2,1),0)),"",IFERROR(SUMIFS(DATA_GOC!$H:$H,DATA_GOC!$A:$A,"BOM",DATA_GOC!$D:$D,$B19,DATA_GOC!$E:$E,"Téc 1",DATA_GOC!$F:$F,"Xuất nội bộ từ téc",DATA_GOC!$B:$B,DATE($D$2,$B$2,AF$4)),0))</f>
        <v>0</v>
      </c>
      <c r="AG19" s="239">
        <f>IF(AG$4&gt;DAY(EOMONTH(DATE($D$2,$B$2,1),0)),"",IFERROR(SUMIFS(DATA_GOC!$H:$H,DATA_GOC!$A:$A,"BOM",DATA_GOC!$D:$D,$B19,DATA_GOC!$E:$E,"Téc 1",DATA_GOC!$F:$F,"Xuất nội bộ từ téc",DATA_GOC!$B:$B,DATE($D$2,$B$2,AG$4)),0))</f>
        <v>0</v>
      </c>
      <c r="AH19" s="240">
        <f t="shared" si="1"/>
        <v>0</v>
      </c>
      <c r="AI19" s="241"/>
      <c r="AJ19" s="239">
        <f>IF($B19="","",SUMIFS(TINH_TEC!$K$233:$K$9232,TINH_TEC!$H$233:$H$9232,$B19,TINH_TEC!$C$233:$C$9232,"Téc 1",TINH_TEC!$F$233:$F$9232,$B$2,TINH_TEC!$G$233:$G$9232,$D$2,TINH_TEC!$B$233:$B$9232,"Đã chốt"))</f>
        <v>0</v>
      </c>
      <c r="AK19" s="239">
        <f>IF($B19="","",SUMIFS(TINH_TEC!$J$233:$J$9232,TINH_TEC!$H$233:$H$9232,$B19,TINH_TEC!$C$233:$C$9232,"Téc 1",TINH_TEC!$F$233:$F$9232,$B$2,TINH_TEC!$G$233:$G$9232,$D$2,TINH_TEC!$B$233:$B$9232,"Đã chốt"))</f>
        <v>0</v>
      </c>
      <c r="AL19" s="239">
        <f t="shared" si="2"/>
        <v>0</v>
      </c>
    </row>
    <row r="20" ht="15.75" customHeight="1">
      <c r="A20" s="237">
        <f>IF($B20&lt;&gt;"",15,"")</f>
        <v>15</v>
      </c>
      <c r="B20" s="238" t="str">
        <f t="array" ref="B20">IFERROR(INDEX(DANH_MUC!$E:$E,18),"")</f>
        <v>28C02770</v>
      </c>
      <c r="C20" s="239">
        <f>IF(C$4&gt;DAY(EOMONTH(DATE($D$2,$B$2,1),0)),"",IFERROR(SUMIFS(DATA_GOC!$H:$H,DATA_GOC!$A:$A,"BOM",DATA_GOC!$D:$D,$B20,DATA_GOC!$E:$E,"Téc 1",DATA_GOC!$F:$F,"Xuất nội bộ từ téc",DATA_GOC!$B:$B,DATE($D$2,$B$2,C$4)),0))</f>
        <v>0</v>
      </c>
      <c r="D20" s="239">
        <f>IF(D$4&gt;DAY(EOMONTH(DATE($D$2,$B$2,1),0)),"",IFERROR(SUMIFS(DATA_GOC!$H:$H,DATA_GOC!$A:$A,"BOM",DATA_GOC!$D:$D,$B20,DATA_GOC!$E:$E,"Téc 1",DATA_GOC!$F:$F,"Xuất nội bộ từ téc",DATA_GOC!$B:$B,DATE($D$2,$B$2,D$4)),0))</f>
        <v>0</v>
      </c>
      <c r="E20" s="239">
        <f>IF(E$4&gt;DAY(EOMONTH(DATE($D$2,$B$2,1),0)),"",IFERROR(SUMIFS(DATA_GOC!$H:$H,DATA_GOC!$A:$A,"BOM",DATA_GOC!$D:$D,$B20,DATA_GOC!$E:$E,"Téc 1",DATA_GOC!$F:$F,"Xuất nội bộ từ téc",DATA_GOC!$B:$B,DATE($D$2,$B$2,E$4)),0))</f>
        <v>0</v>
      </c>
      <c r="F20" s="239">
        <f>IF(F$4&gt;DAY(EOMONTH(DATE($D$2,$B$2,1),0)),"",IFERROR(SUMIFS(DATA_GOC!$H:$H,DATA_GOC!$A:$A,"BOM",DATA_GOC!$D:$D,$B20,DATA_GOC!$E:$E,"Téc 1",DATA_GOC!$F:$F,"Xuất nội bộ từ téc",DATA_GOC!$B:$B,DATE($D$2,$B$2,F$4)),0))</f>
        <v>0</v>
      </c>
      <c r="G20" s="239">
        <f>IF(G$4&gt;DAY(EOMONTH(DATE($D$2,$B$2,1),0)),"",IFERROR(SUMIFS(DATA_GOC!$H:$H,DATA_GOC!$A:$A,"BOM",DATA_GOC!$D:$D,$B20,DATA_GOC!$E:$E,"Téc 1",DATA_GOC!$F:$F,"Xuất nội bộ từ téc",DATA_GOC!$B:$B,DATE($D$2,$B$2,G$4)),0))</f>
        <v>0</v>
      </c>
      <c r="H20" s="239">
        <f>IF(H$4&gt;DAY(EOMONTH(DATE($D$2,$B$2,1),0)),"",IFERROR(SUMIFS(DATA_GOC!$H:$H,DATA_GOC!$A:$A,"BOM",DATA_GOC!$D:$D,$B20,DATA_GOC!$E:$E,"Téc 1",DATA_GOC!$F:$F,"Xuất nội bộ từ téc",DATA_GOC!$B:$B,DATE($D$2,$B$2,H$4)),0))</f>
        <v>0</v>
      </c>
      <c r="I20" s="239">
        <f>IF(I$4&gt;DAY(EOMONTH(DATE($D$2,$B$2,1),0)),"",IFERROR(SUMIFS(DATA_GOC!$H:$H,DATA_GOC!$A:$A,"BOM",DATA_GOC!$D:$D,$B20,DATA_GOC!$E:$E,"Téc 1",DATA_GOC!$F:$F,"Xuất nội bộ từ téc",DATA_GOC!$B:$B,DATE($D$2,$B$2,I$4)),0))</f>
        <v>0</v>
      </c>
      <c r="J20" s="239">
        <f>IF(J$4&gt;DAY(EOMONTH(DATE($D$2,$B$2,1),0)),"",IFERROR(SUMIFS(DATA_GOC!$H:$H,DATA_GOC!$A:$A,"BOM",DATA_GOC!$D:$D,$B20,DATA_GOC!$E:$E,"Téc 1",DATA_GOC!$F:$F,"Xuất nội bộ từ téc",DATA_GOC!$B:$B,DATE($D$2,$B$2,J$4)),0))</f>
        <v>0</v>
      </c>
      <c r="K20" s="239">
        <f>IF(K$4&gt;DAY(EOMONTH(DATE($D$2,$B$2,1),0)),"",IFERROR(SUMIFS(DATA_GOC!$H:$H,DATA_GOC!$A:$A,"BOM",DATA_GOC!$D:$D,$B20,DATA_GOC!$E:$E,"Téc 1",DATA_GOC!$F:$F,"Xuất nội bộ từ téc",DATA_GOC!$B:$B,DATE($D$2,$B$2,K$4)),0))</f>
        <v>0</v>
      </c>
      <c r="L20" s="239">
        <f>IF(L$4&gt;DAY(EOMONTH(DATE($D$2,$B$2,1),0)),"",IFERROR(SUMIFS(DATA_GOC!$H:$H,DATA_GOC!$A:$A,"BOM",DATA_GOC!$D:$D,$B20,DATA_GOC!$E:$E,"Téc 1",DATA_GOC!$F:$F,"Xuất nội bộ từ téc",DATA_GOC!$B:$B,DATE($D$2,$B$2,L$4)),0))</f>
        <v>0</v>
      </c>
      <c r="M20" s="239">
        <f>IF(M$4&gt;DAY(EOMONTH(DATE($D$2,$B$2,1),0)),"",IFERROR(SUMIFS(DATA_GOC!$H:$H,DATA_GOC!$A:$A,"BOM",DATA_GOC!$D:$D,$B20,DATA_GOC!$E:$E,"Téc 1",DATA_GOC!$F:$F,"Xuất nội bộ từ téc",DATA_GOC!$B:$B,DATE($D$2,$B$2,M$4)),0))</f>
        <v>0</v>
      </c>
      <c r="N20" s="239">
        <f>IF(N$4&gt;DAY(EOMONTH(DATE($D$2,$B$2,1),0)),"",IFERROR(SUMIFS(DATA_GOC!$H:$H,DATA_GOC!$A:$A,"BOM",DATA_GOC!$D:$D,$B20,DATA_GOC!$E:$E,"Téc 1",DATA_GOC!$F:$F,"Xuất nội bộ từ téc",DATA_GOC!$B:$B,DATE($D$2,$B$2,N$4)),0))</f>
        <v>0</v>
      </c>
      <c r="O20" s="239">
        <f>IF(O$4&gt;DAY(EOMONTH(DATE($D$2,$B$2,1),0)),"",IFERROR(SUMIFS(DATA_GOC!$H:$H,DATA_GOC!$A:$A,"BOM",DATA_GOC!$D:$D,$B20,DATA_GOC!$E:$E,"Téc 1",DATA_GOC!$F:$F,"Xuất nội bộ từ téc",DATA_GOC!$B:$B,DATE($D$2,$B$2,O$4)),0))</f>
        <v>0</v>
      </c>
      <c r="P20" s="239">
        <f>IF(P$4&gt;DAY(EOMONTH(DATE($D$2,$B$2,1),0)),"",IFERROR(SUMIFS(DATA_GOC!$H:$H,DATA_GOC!$A:$A,"BOM",DATA_GOC!$D:$D,$B20,DATA_GOC!$E:$E,"Téc 1",DATA_GOC!$F:$F,"Xuất nội bộ từ téc",DATA_GOC!$B:$B,DATE($D$2,$B$2,P$4)),0))</f>
        <v>0</v>
      </c>
      <c r="Q20" s="239">
        <f>IF(Q$4&gt;DAY(EOMONTH(DATE($D$2,$B$2,1),0)),"",IFERROR(SUMIFS(DATA_GOC!$H:$H,DATA_GOC!$A:$A,"BOM",DATA_GOC!$D:$D,$B20,DATA_GOC!$E:$E,"Téc 1",DATA_GOC!$F:$F,"Xuất nội bộ từ téc",DATA_GOC!$B:$B,DATE($D$2,$B$2,Q$4)),0))</f>
        <v>0</v>
      </c>
      <c r="R20" s="239">
        <f>IF(R$4&gt;DAY(EOMONTH(DATE($D$2,$B$2,1),0)),"",IFERROR(SUMIFS(DATA_GOC!$H:$H,DATA_GOC!$A:$A,"BOM",DATA_GOC!$D:$D,$B20,DATA_GOC!$E:$E,"Téc 1",DATA_GOC!$F:$F,"Xuất nội bộ từ téc",DATA_GOC!$B:$B,DATE($D$2,$B$2,R$4)),0))</f>
        <v>0</v>
      </c>
      <c r="S20" s="239">
        <f>IF(S$4&gt;DAY(EOMONTH(DATE($D$2,$B$2,1),0)),"",IFERROR(SUMIFS(DATA_GOC!$H:$H,DATA_GOC!$A:$A,"BOM",DATA_GOC!$D:$D,$B20,DATA_GOC!$E:$E,"Téc 1",DATA_GOC!$F:$F,"Xuất nội bộ từ téc",DATA_GOC!$B:$B,DATE($D$2,$B$2,S$4)),0))</f>
        <v>0</v>
      </c>
      <c r="T20" s="239">
        <f>IF(T$4&gt;DAY(EOMONTH(DATE($D$2,$B$2,1),0)),"",IFERROR(SUMIFS(DATA_GOC!$H:$H,DATA_GOC!$A:$A,"BOM",DATA_GOC!$D:$D,$B20,DATA_GOC!$E:$E,"Téc 1",DATA_GOC!$F:$F,"Xuất nội bộ từ téc",DATA_GOC!$B:$B,DATE($D$2,$B$2,T$4)),0))</f>
        <v>0</v>
      </c>
      <c r="U20" s="239">
        <f>IF(U$4&gt;DAY(EOMONTH(DATE($D$2,$B$2,1),0)),"",IFERROR(SUMIFS(DATA_GOC!$H:$H,DATA_GOC!$A:$A,"BOM",DATA_GOC!$D:$D,$B20,DATA_GOC!$E:$E,"Téc 1",DATA_GOC!$F:$F,"Xuất nội bộ từ téc",DATA_GOC!$B:$B,DATE($D$2,$B$2,U$4)),0))</f>
        <v>0</v>
      </c>
      <c r="V20" s="239">
        <f>IF(V$4&gt;DAY(EOMONTH(DATE($D$2,$B$2,1),0)),"",IFERROR(SUMIFS(DATA_GOC!$H:$H,DATA_GOC!$A:$A,"BOM",DATA_GOC!$D:$D,$B20,DATA_GOC!$E:$E,"Téc 1",DATA_GOC!$F:$F,"Xuất nội bộ từ téc",DATA_GOC!$B:$B,DATE($D$2,$B$2,V$4)),0))</f>
        <v>0</v>
      </c>
      <c r="W20" s="239">
        <f>IF(W$4&gt;DAY(EOMONTH(DATE($D$2,$B$2,1),0)),"",IFERROR(SUMIFS(DATA_GOC!$H:$H,DATA_GOC!$A:$A,"BOM",DATA_GOC!$D:$D,$B20,DATA_GOC!$E:$E,"Téc 1",DATA_GOC!$F:$F,"Xuất nội bộ từ téc",DATA_GOC!$B:$B,DATE($D$2,$B$2,W$4)),0))</f>
        <v>0</v>
      </c>
      <c r="X20" s="239">
        <f>IF(X$4&gt;DAY(EOMONTH(DATE($D$2,$B$2,1),0)),"",IFERROR(SUMIFS(DATA_GOC!$H:$H,DATA_GOC!$A:$A,"BOM",DATA_GOC!$D:$D,$B20,DATA_GOC!$E:$E,"Téc 1",DATA_GOC!$F:$F,"Xuất nội bộ từ téc",DATA_GOC!$B:$B,DATE($D$2,$B$2,X$4)),0))</f>
        <v>0</v>
      </c>
      <c r="Y20" s="239">
        <f>IF(Y$4&gt;DAY(EOMONTH(DATE($D$2,$B$2,1),0)),"",IFERROR(SUMIFS(DATA_GOC!$H:$H,DATA_GOC!$A:$A,"BOM",DATA_GOC!$D:$D,$B20,DATA_GOC!$E:$E,"Téc 1",DATA_GOC!$F:$F,"Xuất nội bộ từ téc",DATA_GOC!$B:$B,DATE($D$2,$B$2,Y$4)),0))</f>
        <v>0</v>
      </c>
      <c r="Z20" s="239">
        <f>IF(Z$4&gt;DAY(EOMONTH(DATE($D$2,$B$2,1),0)),"",IFERROR(SUMIFS(DATA_GOC!$H:$H,DATA_GOC!$A:$A,"BOM",DATA_GOC!$D:$D,$B20,DATA_GOC!$E:$E,"Téc 1",DATA_GOC!$F:$F,"Xuất nội bộ từ téc",DATA_GOC!$B:$B,DATE($D$2,$B$2,Z$4)),0))</f>
        <v>0</v>
      </c>
      <c r="AA20" s="239">
        <f>IF(AA$4&gt;DAY(EOMONTH(DATE($D$2,$B$2,1),0)),"",IFERROR(SUMIFS(DATA_GOC!$H:$H,DATA_GOC!$A:$A,"BOM",DATA_GOC!$D:$D,$B20,DATA_GOC!$E:$E,"Téc 1",DATA_GOC!$F:$F,"Xuất nội bộ từ téc",DATA_GOC!$B:$B,DATE($D$2,$B$2,AA$4)),0))</f>
        <v>0</v>
      </c>
      <c r="AB20" s="239">
        <f>IF(AB$4&gt;DAY(EOMONTH(DATE($D$2,$B$2,1),0)),"",IFERROR(SUMIFS(DATA_GOC!$H:$H,DATA_GOC!$A:$A,"BOM",DATA_GOC!$D:$D,$B20,DATA_GOC!$E:$E,"Téc 1",DATA_GOC!$F:$F,"Xuất nội bộ từ téc",DATA_GOC!$B:$B,DATE($D$2,$B$2,AB$4)),0))</f>
        <v>0</v>
      </c>
      <c r="AC20" s="239">
        <f>IF(AC$4&gt;DAY(EOMONTH(DATE($D$2,$B$2,1),0)),"",IFERROR(SUMIFS(DATA_GOC!$H:$H,DATA_GOC!$A:$A,"BOM",DATA_GOC!$D:$D,$B20,DATA_GOC!$E:$E,"Téc 1",DATA_GOC!$F:$F,"Xuất nội bộ từ téc",DATA_GOC!$B:$B,DATE($D$2,$B$2,AC$4)),0))</f>
        <v>0</v>
      </c>
      <c r="AD20" s="239">
        <f>IF(AD$4&gt;DAY(EOMONTH(DATE($D$2,$B$2,1),0)),"",IFERROR(SUMIFS(DATA_GOC!$H:$H,DATA_GOC!$A:$A,"BOM",DATA_GOC!$D:$D,$B20,DATA_GOC!$E:$E,"Téc 1",DATA_GOC!$F:$F,"Xuất nội bộ từ téc",DATA_GOC!$B:$B,DATE($D$2,$B$2,AD$4)),0))</f>
        <v>0</v>
      </c>
      <c r="AE20" s="239">
        <f>IF(AE$4&gt;DAY(EOMONTH(DATE($D$2,$B$2,1),0)),"",IFERROR(SUMIFS(DATA_GOC!$H:$H,DATA_GOC!$A:$A,"BOM",DATA_GOC!$D:$D,$B20,DATA_GOC!$E:$E,"Téc 1",DATA_GOC!$F:$F,"Xuất nội bộ từ téc",DATA_GOC!$B:$B,DATE($D$2,$B$2,AE$4)),0))</f>
        <v>0</v>
      </c>
      <c r="AF20" s="239">
        <f>IF(AF$4&gt;DAY(EOMONTH(DATE($D$2,$B$2,1),0)),"",IFERROR(SUMIFS(DATA_GOC!$H:$H,DATA_GOC!$A:$A,"BOM",DATA_GOC!$D:$D,$B20,DATA_GOC!$E:$E,"Téc 1",DATA_GOC!$F:$F,"Xuất nội bộ từ téc",DATA_GOC!$B:$B,DATE($D$2,$B$2,AF$4)),0))</f>
        <v>0</v>
      </c>
      <c r="AG20" s="239">
        <f>IF(AG$4&gt;DAY(EOMONTH(DATE($D$2,$B$2,1),0)),"",IFERROR(SUMIFS(DATA_GOC!$H:$H,DATA_GOC!$A:$A,"BOM",DATA_GOC!$D:$D,$B20,DATA_GOC!$E:$E,"Téc 1",DATA_GOC!$F:$F,"Xuất nội bộ từ téc",DATA_GOC!$B:$B,DATE($D$2,$B$2,AG$4)),0))</f>
        <v>0</v>
      </c>
      <c r="AH20" s="240">
        <f t="shared" si="1"/>
        <v>0</v>
      </c>
      <c r="AI20" s="241"/>
      <c r="AJ20" s="239">
        <f>IF($B20="","",SUMIFS(TINH_TEC!$K$233:$K$9232,TINH_TEC!$H$233:$H$9232,$B20,TINH_TEC!$C$233:$C$9232,"Téc 1",TINH_TEC!$F$233:$F$9232,$B$2,TINH_TEC!$G$233:$G$9232,$D$2,TINH_TEC!$B$233:$B$9232,"Đã chốt"))</f>
        <v>0</v>
      </c>
      <c r="AK20" s="239">
        <f>IF($B20="","",SUMIFS(TINH_TEC!$J$233:$J$9232,TINH_TEC!$H$233:$H$9232,$B20,TINH_TEC!$C$233:$C$9232,"Téc 1",TINH_TEC!$F$233:$F$9232,$B$2,TINH_TEC!$G$233:$G$9232,$D$2,TINH_TEC!$B$233:$B$9232,"Đã chốt"))</f>
        <v>0</v>
      </c>
      <c r="AL20" s="239">
        <f t="shared" si="2"/>
        <v>0</v>
      </c>
    </row>
    <row r="21" ht="15.75" customHeight="1">
      <c r="A21" s="237">
        <f>IF($B21&lt;&gt;"",16,"")</f>
        <v>16</v>
      </c>
      <c r="B21" s="238" t="str">
        <f t="array" ref="B21">IFERROR(INDEX(DANH_MUC!$E:$E,19),"")</f>
        <v>28C02986</v>
      </c>
      <c r="C21" s="239">
        <f>IF(C$4&gt;DAY(EOMONTH(DATE($D$2,$B$2,1),0)),"",IFERROR(SUMIFS(DATA_GOC!$H:$H,DATA_GOC!$A:$A,"BOM",DATA_GOC!$D:$D,$B21,DATA_GOC!$E:$E,"Téc 1",DATA_GOC!$F:$F,"Xuất nội bộ từ téc",DATA_GOC!$B:$B,DATE($D$2,$B$2,C$4)),0))</f>
        <v>0</v>
      </c>
      <c r="D21" s="239">
        <f>IF(D$4&gt;DAY(EOMONTH(DATE($D$2,$B$2,1),0)),"",IFERROR(SUMIFS(DATA_GOC!$H:$H,DATA_GOC!$A:$A,"BOM",DATA_GOC!$D:$D,$B21,DATA_GOC!$E:$E,"Téc 1",DATA_GOC!$F:$F,"Xuất nội bộ từ téc",DATA_GOC!$B:$B,DATE($D$2,$B$2,D$4)),0))</f>
        <v>0</v>
      </c>
      <c r="E21" s="239">
        <f>IF(E$4&gt;DAY(EOMONTH(DATE($D$2,$B$2,1),0)),"",IFERROR(SUMIFS(DATA_GOC!$H:$H,DATA_GOC!$A:$A,"BOM",DATA_GOC!$D:$D,$B21,DATA_GOC!$E:$E,"Téc 1",DATA_GOC!$F:$F,"Xuất nội bộ từ téc",DATA_GOC!$B:$B,DATE($D$2,$B$2,E$4)),0))</f>
        <v>0</v>
      </c>
      <c r="F21" s="239">
        <f>IF(F$4&gt;DAY(EOMONTH(DATE($D$2,$B$2,1),0)),"",IFERROR(SUMIFS(DATA_GOC!$H:$H,DATA_GOC!$A:$A,"BOM",DATA_GOC!$D:$D,$B21,DATA_GOC!$E:$E,"Téc 1",DATA_GOC!$F:$F,"Xuất nội bộ từ téc",DATA_GOC!$B:$B,DATE($D$2,$B$2,F$4)),0))</f>
        <v>0</v>
      </c>
      <c r="G21" s="239">
        <f>IF(G$4&gt;DAY(EOMONTH(DATE($D$2,$B$2,1),0)),"",IFERROR(SUMIFS(DATA_GOC!$H:$H,DATA_GOC!$A:$A,"BOM",DATA_GOC!$D:$D,$B21,DATA_GOC!$E:$E,"Téc 1",DATA_GOC!$F:$F,"Xuất nội bộ từ téc",DATA_GOC!$B:$B,DATE($D$2,$B$2,G$4)),0))</f>
        <v>0</v>
      </c>
      <c r="H21" s="239">
        <f>IF(H$4&gt;DAY(EOMONTH(DATE($D$2,$B$2,1),0)),"",IFERROR(SUMIFS(DATA_GOC!$H:$H,DATA_GOC!$A:$A,"BOM",DATA_GOC!$D:$D,$B21,DATA_GOC!$E:$E,"Téc 1",DATA_GOC!$F:$F,"Xuất nội bộ từ téc",DATA_GOC!$B:$B,DATE($D$2,$B$2,H$4)),0))</f>
        <v>0</v>
      </c>
      <c r="I21" s="239">
        <f>IF(I$4&gt;DAY(EOMONTH(DATE($D$2,$B$2,1),0)),"",IFERROR(SUMIFS(DATA_GOC!$H:$H,DATA_GOC!$A:$A,"BOM",DATA_GOC!$D:$D,$B21,DATA_GOC!$E:$E,"Téc 1",DATA_GOC!$F:$F,"Xuất nội bộ từ téc",DATA_GOC!$B:$B,DATE($D$2,$B$2,I$4)),0))</f>
        <v>0</v>
      </c>
      <c r="J21" s="239">
        <f>IF(J$4&gt;DAY(EOMONTH(DATE($D$2,$B$2,1),0)),"",IFERROR(SUMIFS(DATA_GOC!$H:$H,DATA_GOC!$A:$A,"BOM",DATA_GOC!$D:$D,$B21,DATA_GOC!$E:$E,"Téc 1",DATA_GOC!$F:$F,"Xuất nội bộ từ téc",DATA_GOC!$B:$B,DATE($D$2,$B$2,J$4)),0))</f>
        <v>0</v>
      </c>
      <c r="K21" s="239">
        <f>IF(K$4&gt;DAY(EOMONTH(DATE($D$2,$B$2,1),0)),"",IFERROR(SUMIFS(DATA_GOC!$H:$H,DATA_GOC!$A:$A,"BOM",DATA_GOC!$D:$D,$B21,DATA_GOC!$E:$E,"Téc 1",DATA_GOC!$F:$F,"Xuất nội bộ từ téc",DATA_GOC!$B:$B,DATE($D$2,$B$2,K$4)),0))</f>
        <v>0</v>
      </c>
      <c r="L21" s="239">
        <f>IF(L$4&gt;DAY(EOMONTH(DATE($D$2,$B$2,1),0)),"",IFERROR(SUMIFS(DATA_GOC!$H:$H,DATA_GOC!$A:$A,"BOM",DATA_GOC!$D:$D,$B21,DATA_GOC!$E:$E,"Téc 1",DATA_GOC!$F:$F,"Xuất nội bộ từ téc",DATA_GOC!$B:$B,DATE($D$2,$B$2,L$4)),0))</f>
        <v>0</v>
      </c>
      <c r="M21" s="239">
        <f>IF(M$4&gt;DAY(EOMONTH(DATE($D$2,$B$2,1),0)),"",IFERROR(SUMIFS(DATA_GOC!$H:$H,DATA_GOC!$A:$A,"BOM",DATA_GOC!$D:$D,$B21,DATA_GOC!$E:$E,"Téc 1",DATA_GOC!$F:$F,"Xuất nội bộ từ téc",DATA_GOC!$B:$B,DATE($D$2,$B$2,M$4)),0))</f>
        <v>0</v>
      </c>
      <c r="N21" s="239">
        <f>IF(N$4&gt;DAY(EOMONTH(DATE($D$2,$B$2,1),0)),"",IFERROR(SUMIFS(DATA_GOC!$H:$H,DATA_GOC!$A:$A,"BOM",DATA_GOC!$D:$D,$B21,DATA_GOC!$E:$E,"Téc 1",DATA_GOC!$F:$F,"Xuất nội bộ từ téc",DATA_GOC!$B:$B,DATE($D$2,$B$2,N$4)),0))</f>
        <v>0</v>
      </c>
      <c r="O21" s="239">
        <f>IF(O$4&gt;DAY(EOMONTH(DATE($D$2,$B$2,1),0)),"",IFERROR(SUMIFS(DATA_GOC!$H:$H,DATA_GOC!$A:$A,"BOM",DATA_GOC!$D:$D,$B21,DATA_GOC!$E:$E,"Téc 1",DATA_GOC!$F:$F,"Xuất nội bộ từ téc",DATA_GOC!$B:$B,DATE($D$2,$B$2,O$4)),0))</f>
        <v>0</v>
      </c>
      <c r="P21" s="239">
        <f>IF(P$4&gt;DAY(EOMONTH(DATE($D$2,$B$2,1),0)),"",IFERROR(SUMIFS(DATA_GOC!$H:$H,DATA_GOC!$A:$A,"BOM",DATA_GOC!$D:$D,$B21,DATA_GOC!$E:$E,"Téc 1",DATA_GOC!$F:$F,"Xuất nội bộ từ téc",DATA_GOC!$B:$B,DATE($D$2,$B$2,P$4)),0))</f>
        <v>0</v>
      </c>
      <c r="Q21" s="239">
        <f>IF(Q$4&gt;DAY(EOMONTH(DATE($D$2,$B$2,1),0)),"",IFERROR(SUMIFS(DATA_GOC!$H:$H,DATA_GOC!$A:$A,"BOM",DATA_GOC!$D:$D,$B21,DATA_GOC!$E:$E,"Téc 1",DATA_GOC!$F:$F,"Xuất nội bộ từ téc",DATA_GOC!$B:$B,DATE($D$2,$B$2,Q$4)),0))</f>
        <v>0</v>
      </c>
      <c r="R21" s="239">
        <f>IF(R$4&gt;DAY(EOMONTH(DATE($D$2,$B$2,1),0)),"",IFERROR(SUMIFS(DATA_GOC!$H:$H,DATA_GOC!$A:$A,"BOM",DATA_GOC!$D:$D,$B21,DATA_GOC!$E:$E,"Téc 1",DATA_GOC!$F:$F,"Xuất nội bộ từ téc",DATA_GOC!$B:$B,DATE($D$2,$B$2,R$4)),0))</f>
        <v>0</v>
      </c>
      <c r="S21" s="239">
        <f>IF(S$4&gt;DAY(EOMONTH(DATE($D$2,$B$2,1),0)),"",IFERROR(SUMIFS(DATA_GOC!$H:$H,DATA_GOC!$A:$A,"BOM",DATA_GOC!$D:$D,$B21,DATA_GOC!$E:$E,"Téc 1",DATA_GOC!$F:$F,"Xuất nội bộ từ téc",DATA_GOC!$B:$B,DATE($D$2,$B$2,S$4)),0))</f>
        <v>0</v>
      </c>
      <c r="T21" s="239">
        <f>IF(T$4&gt;DAY(EOMONTH(DATE($D$2,$B$2,1),0)),"",IFERROR(SUMIFS(DATA_GOC!$H:$H,DATA_GOC!$A:$A,"BOM",DATA_GOC!$D:$D,$B21,DATA_GOC!$E:$E,"Téc 1",DATA_GOC!$F:$F,"Xuất nội bộ từ téc",DATA_GOC!$B:$B,DATE($D$2,$B$2,T$4)),0))</f>
        <v>0</v>
      </c>
      <c r="U21" s="239">
        <f>IF(U$4&gt;DAY(EOMONTH(DATE($D$2,$B$2,1),0)),"",IFERROR(SUMIFS(DATA_GOC!$H:$H,DATA_GOC!$A:$A,"BOM",DATA_GOC!$D:$D,$B21,DATA_GOC!$E:$E,"Téc 1",DATA_GOC!$F:$F,"Xuất nội bộ từ téc",DATA_GOC!$B:$B,DATE($D$2,$B$2,U$4)),0))</f>
        <v>0</v>
      </c>
      <c r="V21" s="239">
        <f>IF(V$4&gt;DAY(EOMONTH(DATE($D$2,$B$2,1),0)),"",IFERROR(SUMIFS(DATA_GOC!$H:$H,DATA_GOC!$A:$A,"BOM",DATA_GOC!$D:$D,$B21,DATA_GOC!$E:$E,"Téc 1",DATA_GOC!$F:$F,"Xuất nội bộ từ téc",DATA_GOC!$B:$B,DATE($D$2,$B$2,V$4)),0))</f>
        <v>0</v>
      </c>
      <c r="W21" s="239">
        <f>IF(W$4&gt;DAY(EOMONTH(DATE($D$2,$B$2,1),0)),"",IFERROR(SUMIFS(DATA_GOC!$H:$H,DATA_GOC!$A:$A,"BOM",DATA_GOC!$D:$D,$B21,DATA_GOC!$E:$E,"Téc 1",DATA_GOC!$F:$F,"Xuất nội bộ từ téc",DATA_GOC!$B:$B,DATE($D$2,$B$2,W$4)),0))</f>
        <v>0</v>
      </c>
      <c r="X21" s="239">
        <f>IF(X$4&gt;DAY(EOMONTH(DATE($D$2,$B$2,1),0)),"",IFERROR(SUMIFS(DATA_GOC!$H:$H,DATA_GOC!$A:$A,"BOM",DATA_GOC!$D:$D,$B21,DATA_GOC!$E:$E,"Téc 1",DATA_GOC!$F:$F,"Xuất nội bộ từ téc",DATA_GOC!$B:$B,DATE($D$2,$B$2,X$4)),0))</f>
        <v>0</v>
      </c>
      <c r="Y21" s="239">
        <f>IF(Y$4&gt;DAY(EOMONTH(DATE($D$2,$B$2,1),0)),"",IFERROR(SUMIFS(DATA_GOC!$H:$H,DATA_GOC!$A:$A,"BOM",DATA_GOC!$D:$D,$B21,DATA_GOC!$E:$E,"Téc 1",DATA_GOC!$F:$F,"Xuất nội bộ từ téc",DATA_GOC!$B:$B,DATE($D$2,$B$2,Y$4)),0))</f>
        <v>0</v>
      </c>
      <c r="Z21" s="239">
        <f>IF(Z$4&gt;DAY(EOMONTH(DATE($D$2,$B$2,1),0)),"",IFERROR(SUMIFS(DATA_GOC!$H:$H,DATA_GOC!$A:$A,"BOM",DATA_GOC!$D:$D,$B21,DATA_GOC!$E:$E,"Téc 1",DATA_GOC!$F:$F,"Xuất nội bộ từ téc",DATA_GOC!$B:$B,DATE($D$2,$B$2,Z$4)),0))</f>
        <v>0</v>
      </c>
      <c r="AA21" s="239">
        <f>IF(AA$4&gt;DAY(EOMONTH(DATE($D$2,$B$2,1),0)),"",IFERROR(SUMIFS(DATA_GOC!$H:$H,DATA_GOC!$A:$A,"BOM",DATA_GOC!$D:$D,$B21,DATA_GOC!$E:$E,"Téc 1",DATA_GOC!$F:$F,"Xuất nội bộ từ téc",DATA_GOC!$B:$B,DATE($D$2,$B$2,AA$4)),0))</f>
        <v>0</v>
      </c>
      <c r="AB21" s="239">
        <f>IF(AB$4&gt;DAY(EOMONTH(DATE($D$2,$B$2,1),0)),"",IFERROR(SUMIFS(DATA_GOC!$H:$H,DATA_GOC!$A:$A,"BOM",DATA_GOC!$D:$D,$B21,DATA_GOC!$E:$E,"Téc 1",DATA_GOC!$F:$F,"Xuất nội bộ từ téc",DATA_GOC!$B:$B,DATE($D$2,$B$2,AB$4)),0))</f>
        <v>0</v>
      </c>
      <c r="AC21" s="239">
        <f>IF(AC$4&gt;DAY(EOMONTH(DATE($D$2,$B$2,1),0)),"",IFERROR(SUMIFS(DATA_GOC!$H:$H,DATA_GOC!$A:$A,"BOM",DATA_GOC!$D:$D,$B21,DATA_GOC!$E:$E,"Téc 1",DATA_GOC!$F:$F,"Xuất nội bộ từ téc",DATA_GOC!$B:$B,DATE($D$2,$B$2,AC$4)),0))</f>
        <v>0</v>
      </c>
      <c r="AD21" s="239">
        <f>IF(AD$4&gt;DAY(EOMONTH(DATE($D$2,$B$2,1),0)),"",IFERROR(SUMIFS(DATA_GOC!$H:$H,DATA_GOC!$A:$A,"BOM",DATA_GOC!$D:$D,$B21,DATA_GOC!$E:$E,"Téc 1",DATA_GOC!$F:$F,"Xuất nội bộ từ téc",DATA_GOC!$B:$B,DATE($D$2,$B$2,AD$4)),0))</f>
        <v>0</v>
      </c>
      <c r="AE21" s="239">
        <f>IF(AE$4&gt;DAY(EOMONTH(DATE($D$2,$B$2,1),0)),"",IFERROR(SUMIFS(DATA_GOC!$H:$H,DATA_GOC!$A:$A,"BOM",DATA_GOC!$D:$D,$B21,DATA_GOC!$E:$E,"Téc 1",DATA_GOC!$F:$F,"Xuất nội bộ từ téc",DATA_GOC!$B:$B,DATE($D$2,$B$2,AE$4)),0))</f>
        <v>0</v>
      </c>
      <c r="AF21" s="239">
        <f>IF(AF$4&gt;DAY(EOMONTH(DATE($D$2,$B$2,1),0)),"",IFERROR(SUMIFS(DATA_GOC!$H:$H,DATA_GOC!$A:$A,"BOM",DATA_GOC!$D:$D,$B21,DATA_GOC!$E:$E,"Téc 1",DATA_GOC!$F:$F,"Xuất nội bộ từ téc",DATA_GOC!$B:$B,DATE($D$2,$B$2,AF$4)),0))</f>
        <v>0</v>
      </c>
      <c r="AG21" s="239">
        <f>IF(AG$4&gt;DAY(EOMONTH(DATE($D$2,$B$2,1),0)),"",IFERROR(SUMIFS(DATA_GOC!$H:$H,DATA_GOC!$A:$A,"BOM",DATA_GOC!$D:$D,$B21,DATA_GOC!$E:$E,"Téc 1",DATA_GOC!$F:$F,"Xuất nội bộ từ téc",DATA_GOC!$B:$B,DATE($D$2,$B$2,AG$4)),0))</f>
        <v>0</v>
      </c>
      <c r="AH21" s="240">
        <f t="shared" si="1"/>
        <v>0</v>
      </c>
      <c r="AI21" s="241"/>
      <c r="AJ21" s="239">
        <f>IF($B21="","",SUMIFS(TINH_TEC!$K$233:$K$9232,TINH_TEC!$H$233:$H$9232,$B21,TINH_TEC!$C$233:$C$9232,"Téc 1",TINH_TEC!$F$233:$F$9232,$B$2,TINH_TEC!$G$233:$G$9232,$D$2,TINH_TEC!$B$233:$B$9232,"Đã chốt"))</f>
        <v>0</v>
      </c>
      <c r="AK21" s="239">
        <f>IF($B21="","",SUMIFS(TINH_TEC!$J$233:$J$9232,TINH_TEC!$H$233:$H$9232,$B21,TINH_TEC!$C$233:$C$9232,"Téc 1",TINH_TEC!$F$233:$F$9232,$B$2,TINH_TEC!$G$233:$G$9232,$D$2,TINH_TEC!$B$233:$B$9232,"Đã chốt"))</f>
        <v>0</v>
      </c>
      <c r="AL21" s="239">
        <f t="shared" si="2"/>
        <v>0</v>
      </c>
    </row>
    <row r="22" ht="15.75" customHeight="1">
      <c r="A22" s="237">
        <f>IF($B22&lt;&gt;"",17,"")</f>
        <v>17</v>
      </c>
      <c r="B22" s="238" t="str">
        <f t="array" ref="B22">IFERROR(INDEX(DANH_MUC!$E:$E,20),"")</f>
        <v>28C03261</v>
      </c>
      <c r="C22" s="239">
        <f>IF(C$4&gt;DAY(EOMONTH(DATE($D$2,$B$2,1),0)),"",IFERROR(SUMIFS(DATA_GOC!$H:$H,DATA_GOC!$A:$A,"BOM",DATA_GOC!$D:$D,$B22,DATA_GOC!$E:$E,"Téc 1",DATA_GOC!$F:$F,"Xuất nội bộ từ téc",DATA_GOC!$B:$B,DATE($D$2,$B$2,C$4)),0))</f>
        <v>0</v>
      </c>
      <c r="D22" s="239">
        <f>IF(D$4&gt;DAY(EOMONTH(DATE($D$2,$B$2,1),0)),"",IFERROR(SUMIFS(DATA_GOC!$H:$H,DATA_GOC!$A:$A,"BOM",DATA_GOC!$D:$D,$B22,DATA_GOC!$E:$E,"Téc 1",DATA_GOC!$F:$F,"Xuất nội bộ từ téc",DATA_GOC!$B:$B,DATE($D$2,$B$2,D$4)),0))</f>
        <v>0</v>
      </c>
      <c r="E22" s="239">
        <f>IF(E$4&gt;DAY(EOMONTH(DATE($D$2,$B$2,1),0)),"",IFERROR(SUMIFS(DATA_GOC!$H:$H,DATA_GOC!$A:$A,"BOM",DATA_GOC!$D:$D,$B22,DATA_GOC!$E:$E,"Téc 1",DATA_GOC!$F:$F,"Xuất nội bộ từ téc",DATA_GOC!$B:$B,DATE($D$2,$B$2,E$4)),0))</f>
        <v>0</v>
      </c>
      <c r="F22" s="239">
        <f>IF(F$4&gt;DAY(EOMONTH(DATE($D$2,$B$2,1),0)),"",IFERROR(SUMIFS(DATA_GOC!$H:$H,DATA_GOC!$A:$A,"BOM",DATA_GOC!$D:$D,$B22,DATA_GOC!$E:$E,"Téc 1",DATA_GOC!$F:$F,"Xuất nội bộ từ téc",DATA_GOC!$B:$B,DATE($D$2,$B$2,F$4)),0))</f>
        <v>0</v>
      </c>
      <c r="G22" s="239">
        <f>IF(G$4&gt;DAY(EOMONTH(DATE($D$2,$B$2,1),0)),"",IFERROR(SUMIFS(DATA_GOC!$H:$H,DATA_GOC!$A:$A,"BOM",DATA_GOC!$D:$D,$B22,DATA_GOC!$E:$E,"Téc 1",DATA_GOC!$F:$F,"Xuất nội bộ từ téc",DATA_GOC!$B:$B,DATE($D$2,$B$2,G$4)),0))</f>
        <v>0</v>
      </c>
      <c r="H22" s="239">
        <f>IF(H$4&gt;DAY(EOMONTH(DATE($D$2,$B$2,1),0)),"",IFERROR(SUMIFS(DATA_GOC!$H:$H,DATA_GOC!$A:$A,"BOM",DATA_GOC!$D:$D,$B22,DATA_GOC!$E:$E,"Téc 1",DATA_GOC!$F:$F,"Xuất nội bộ từ téc",DATA_GOC!$B:$B,DATE($D$2,$B$2,H$4)),0))</f>
        <v>0</v>
      </c>
      <c r="I22" s="239">
        <f>IF(I$4&gt;DAY(EOMONTH(DATE($D$2,$B$2,1),0)),"",IFERROR(SUMIFS(DATA_GOC!$H:$H,DATA_GOC!$A:$A,"BOM",DATA_GOC!$D:$D,$B22,DATA_GOC!$E:$E,"Téc 1",DATA_GOC!$F:$F,"Xuất nội bộ từ téc",DATA_GOC!$B:$B,DATE($D$2,$B$2,I$4)),0))</f>
        <v>0</v>
      </c>
      <c r="J22" s="239">
        <f>IF(J$4&gt;DAY(EOMONTH(DATE($D$2,$B$2,1),0)),"",IFERROR(SUMIFS(DATA_GOC!$H:$H,DATA_GOC!$A:$A,"BOM",DATA_GOC!$D:$D,$B22,DATA_GOC!$E:$E,"Téc 1",DATA_GOC!$F:$F,"Xuất nội bộ từ téc",DATA_GOC!$B:$B,DATE($D$2,$B$2,J$4)),0))</f>
        <v>0</v>
      </c>
      <c r="K22" s="239">
        <f>IF(K$4&gt;DAY(EOMONTH(DATE($D$2,$B$2,1),0)),"",IFERROR(SUMIFS(DATA_GOC!$H:$H,DATA_GOC!$A:$A,"BOM",DATA_GOC!$D:$D,$B22,DATA_GOC!$E:$E,"Téc 1",DATA_GOC!$F:$F,"Xuất nội bộ từ téc",DATA_GOC!$B:$B,DATE($D$2,$B$2,K$4)),0))</f>
        <v>0</v>
      </c>
      <c r="L22" s="239">
        <f>IF(L$4&gt;DAY(EOMONTH(DATE($D$2,$B$2,1),0)),"",IFERROR(SUMIFS(DATA_GOC!$H:$H,DATA_GOC!$A:$A,"BOM",DATA_GOC!$D:$D,$B22,DATA_GOC!$E:$E,"Téc 1",DATA_GOC!$F:$F,"Xuất nội bộ từ téc",DATA_GOC!$B:$B,DATE($D$2,$B$2,L$4)),0))</f>
        <v>0</v>
      </c>
      <c r="M22" s="239">
        <f>IF(M$4&gt;DAY(EOMONTH(DATE($D$2,$B$2,1),0)),"",IFERROR(SUMIFS(DATA_GOC!$H:$H,DATA_GOC!$A:$A,"BOM",DATA_GOC!$D:$D,$B22,DATA_GOC!$E:$E,"Téc 1",DATA_GOC!$F:$F,"Xuất nội bộ từ téc",DATA_GOC!$B:$B,DATE($D$2,$B$2,M$4)),0))</f>
        <v>0</v>
      </c>
      <c r="N22" s="239">
        <f>IF(N$4&gt;DAY(EOMONTH(DATE($D$2,$B$2,1),0)),"",IFERROR(SUMIFS(DATA_GOC!$H:$H,DATA_GOC!$A:$A,"BOM",DATA_GOC!$D:$D,$B22,DATA_GOC!$E:$E,"Téc 1",DATA_GOC!$F:$F,"Xuất nội bộ từ téc",DATA_GOC!$B:$B,DATE($D$2,$B$2,N$4)),0))</f>
        <v>0</v>
      </c>
      <c r="O22" s="239">
        <f>IF(O$4&gt;DAY(EOMONTH(DATE($D$2,$B$2,1),0)),"",IFERROR(SUMIFS(DATA_GOC!$H:$H,DATA_GOC!$A:$A,"BOM",DATA_GOC!$D:$D,$B22,DATA_GOC!$E:$E,"Téc 1",DATA_GOC!$F:$F,"Xuất nội bộ từ téc",DATA_GOC!$B:$B,DATE($D$2,$B$2,O$4)),0))</f>
        <v>0</v>
      </c>
      <c r="P22" s="239">
        <f>IF(P$4&gt;DAY(EOMONTH(DATE($D$2,$B$2,1),0)),"",IFERROR(SUMIFS(DATA_GOC!$H:$H,DATA_GOC!$A:$A,"BOM",DATA_GOC!$D:$D,$B22,DATA_GOC!$E:$E,"Téc 1",DATA_GOC!$F:$F,"Xuất nội bộ từ téc",DATA_GOC!$B:$B,DATE($D$2,$B$2,P$4)),0))</f>
        <v>0</v>
      </c>
      <c r="Q22" s="239">
        <f>IF(Q$4&gt;DAY(EOMONTH(DATE($D$2,$B$2,1),0)),"",IFERROR(SUMIFS(DATA_GOC!$H:$H,DATA_GOC!$A:$A,"BOM",DATA_GOC!$D:$D,$B22,DATA_GOC!$E:$E,"Téc 1",DATA_GOC!$F:$F,"Xuất nội bộ từ téc",DATA_GOC!$B:$B,DATE($D$2,$B$2,Q$4)),0))</f>
        <v>0</v>
      </c>
      <c r="R22" s="239">
        <f>IF(R$4&gt;DAY(EOMONTH(DATE($D$2,$B$2,1),0)),"",IFERROR(SUMIFS(DATA_GOC!$H:$H,DATA_GOC!$A:$A,"BOM",DATA_GOC!$D:$D,$B22,DATA_GOC!$E:$E,"Téc 1",DATA_GOC!$F:$F,"Xuất nội bộ từ téc",DATA_GOC!$B:$B,DATE($D$2,$B$2,R$4)),0))</f>
        <v>0</v>
      </c>
      <c r="S22" s="239">
        <f>IF(S$4&gt;DAY(EOMONTH(DATE($D$2,$B$2,1),0)),"",IFERROR(SUMIFS(DATA_GOC!$H:$H,DATA_GOC!$A:$A,"BOM",DATA_GOC!$D:$D,$B22,DATA_GOC!$E:$E,"Téc 1",DATA_GOC!$F:$F,"Xuất nội bộ từ téc",DATA_GOC!$B:$B,DATE($D$2,$B$2,S$4)),0))</f>
        <v>0</v>
      </c>
      <c r="T22" s="239">
        <f>IF(T$4&gt;DAY(EOMONTH(DATE($D$2,$B$2,1),0)),"",IFERROR(SUMIFS(DATA_GOC!$H:$H,DATA_GOC!$A:$A,"BOM",DATA_GOC!$D:$D,$B22,DATA_GOC!$E:$E,"Téc 1",DATA_GOC!$F:$F,"Xuất nội bộ từ téc",DATA_GOC!$B:$B,DATE($D$2,$B$2,T$4)),0))</f>
        <v>0</v>
      </c>
      <c r="U22" s="239">
        <f>IF(U$4&gt;DAY(EOMONTH(DATE($D$2,$B$2,1),0)),"",IFERROR(SUMIFS(DATA_GOC!$H:$H,DATA_GOC!$A:$A,"BOM",DATA_GOC!$D:$D,$B22,DATA_GOC!$E:$E,"Téc 1",DATA_GOC!$F:$F,"Xuất nội bộ từ téc",DATA_GOC!$B:$B,DATE($D$2,$B$2,U$4)),0))</f>
        <v>0</v>
      </c>
      <c r="V22" s="239">
        <f>IF(V$4&gt;DAY(EOMONTH(DATE($D$2,$B$2,1),0)),"",IFERROR(SUMIFS(DATA_GOC!$H:$H,DATA_GOC!$A:$A,"BOM",DATA_GOC!$D:$D,$B22,DATA_GOC!$E:$E,"Téc 1",DATA_GOC!$F:$F,"Xuất nội bộ từ téc",DATA_GOC!$B:$B,DATE($D$2,$B$2,V$4)),0))</f>
        <v>0</v>
      </c>
      <c r="W22" s="239">
        <f>IF(W$4&gt;DAY(EOMONTH(DATE($D$2,$B$2,1),0)),"",IFERROR(SUMIFS(DATA_GOC!$H:$H,DATA_GOC!$A:$A,"BOM",DATA_GOC!$D:$D,$B22,DATA_GOC!$E:$E,"Téc 1",DATA_GOC!$F:$F,"Xuất nội bộ từ téc",DATA_GOC!$B:$B,DATE($D$2,$B$2,W$4)),0))</f>
        <v>0</v>
      </c>
      <c r="X22" s="239">
        <f>IF(X$4&gt;DAY(EOMONTH(DATE($D$2,$B$2,1),0)),"",IFERROR(SUMIFS(DATA_GOC!$H:$H,DATA_GOC!$A:$A,"BOM",DATA_GOC!$D:$D,$B22,DATA_GOC!$E:$E,"Téc 1",DATA_GOC!$F:$F,"Xuất nội bộ từ téc",DATA_GOC!$B:$B,DATE($D$2,$B$2,X$4)),0))</f>
        <v>0</v>
      </c>
      <c r="Y22" s="239">
        <f>IF(Y$4&gt;DAY(EOMONTH(DATE($D$2,$B$2,1),0)),"",IFERROR(SUMIFS(DATA_GOC!$H:$H,DATA_GOC!$A:$A,"BOM",DATA_GOC!$D:$D,$B22,DATA_GOC!$E:$E,"Téc 1",DATA_GOC!$F:$F,"Xuất nội bộ từ téc",DATA_GOC!$B:$B,DATE($D$2,$B$2,Y$4)),0))</f>
        <v>0</v>
      </c>
      <c r="Z22" s="239">
        <f>IF(Z$4&gt;DAY(EOMONTH(DATE($D$2,$B$2,1),0)),"",IFERROR(SUMIFS(DATA_GOC!$H:$H,DATA_GOC!$A:$A,"BOM",DATA_GOC!$D:$D,$B22,DATA_GOC!$E:$E,"Téc 1",DATA_GOC!$F:$F,"Xuất nội bộ từ téc",DATA_GOC!$B:$B,DATE($D$2,$B$2,Z$4)),0))</f>
        <v>0</v>
      </c>
      <c r="AA22" s="239">
        <f>IF(AA$4&gt;DAY(EOMONTH(DATE($D$2,$B$2,1),0)),"",IFERROR(SUMIFS(DATA_GOC!$H:$H,DATA_GOC!$A:$A,"BOM",DATA_GOC!$D:$D,$B22,DATA_GOC!$E:$E,"Téc 1",DATA_GOC!$F:$F,"Xuất nội bộ từ téc",DATA_GOC!$B:$B,DATE($D$2,$B$2,AA$4)),0))</f>
        <v>0</v>
      </c>
      <c r="AB22" s="239">
        <f>IF(AB$4&gt;DAY(EOMONTH(DATE($D$2,$B$2,1),0)),"",IFERROR(SUMIFS(DATA_GOC!$H:$H,DATA_GOC!$A:$A,"BOM",DATA_GOC!$D:$D,$B22,DATA_GOC!$E:$E,"Téc 1",DATA_GOC!$F:$F,"Xuất nội bộ từ téc",DATA_GOC!$B:$B,DATE($D$2,$B$2,AB$4)),0))</f>
        <v>0</v>
      </c>
      <c r="AC22" s="239">
        <f>IF(AC$4&gt;DAY(EOMONTH(DATE($D$2,$B$2,1),0)),"",IFERROR(SUMIFS(DATA_GOC!$H:$H,DATA_GOC!$A:$A,"BOM",DATA_GOC!$D:$D,$B22,DATA_GOC!$E:$E,"Téc 1",DATA_GOC!$F:$F,"Xuất nội bộ từ téc",DATA_GOC!$B:$B,DATE($D$2,$B$2,AC$4)),0))</f>
        <v>0</v>
      </c>
      <c r="AD22" s="239">
        <f>IF(AD$4&gt;DAY(EOMONTH(DATE($D$2,$B$2,1),0)),"",IFERROR(SUMIFS(DATA_GOC!$H:$H,DATA_GOC!$A:$A,"BOM",DATA_GOC!$D:$D,$B22,DATA_GOC!$E:$E,"Téc 1",DATA_GOC!$F:$F,"Xuất nội bộ từ téc",DATA_GOC!$B:$B,DATE($D$2,$B$2,AD$4)),0))</f>
        <v>0</v>
      </c>
      <c r="AE22" s="239">
        <f>IF(AE$4&gt;DAY(EOMONTH(DATE($D$2,$B$2,1),0)),"",IFERROR(SUMIFS(DATA_GOC!$H:$H,DATA_GOC!$A:$A,"BOM",DATA_GOC!$D:$D,$B22,DATA_GOC!$E:$E,"Téc 1",DATA_GOC!$F:$F,"Xuất nội bộ từ téc",DATA_GOC!$B:$B,DATE($D$2,$B$2,AE$4)),0))</f>
        <v>0</v>
      </c>
      <c r="AF22" s="239">
        <f>IF(AF$4&gt;DAY(EOMONTH(DATE($D$2,$B$2,1),0)),"",IFERROR(SUMIFS(DATA_GOC!$H:$H,DATA_GOC!$A:$A,"BOM",DATA_GOC!$D:$D,$B22,DATA_GOC!$E:$E,"Téc 1",DATA_GOC!$F:$F,"Xuất nội bộ từ téc",DATA_GOC!$B:$B,DATE($D$2,$B$2,AF$4)),0))</f>
        <v>0</v>
      </c>
      <c r="AG22" s="239">
        <f>IF(AG$4&gt;DAY(EOMONTH(DATE($D$2,$B$2,1),0)),"",IFERROR(SUMIFS(DATA_GOC!$H:$H,DATA_GOC!$A:$A,"BOM",DATA_GOC!$D:$D,$B22,DATA_GOC!$E:$E,"Téc 1",DATA_GOC!$F:$F,"Xuất nội bộ từ téc",DATA_GOC!$B:$B,DATE($D$2,$B$2,AG$4)),0))</f>
        <v>0</v>
      </c>
      <c r="AH22" s="240">
        <f t="shared" si="1"/>
        <v>0</v>
      </c>
      <c r="AI22" s="241"/>
      <c r="AJ22" s="239">
        <f>IF($B22="","",SUMIFS(TINH_TEC!$K$233:$K$9232,TINH_TEC!$H$233:$H$9232,$B22,TINH_TEC!$C$233:$C$9232,"Téc 1",TINH_TEC!$F$233:$F$9232,$B$2,TINH_TEC!$G$233:$G$9232,$D$2,TINH_TEC!$B$233:$B$9232,"Đã chốt"))</f>
        <v>0</v>
      </c>
      <c r="AK22" s="239">
        <f>IF($B22="","",SUMIFS(TINH_TEC!$J$233:$J$9232,TINH_TEC!$H$233:$H$9232,$B22,TINH_TEC!$C$233:$C$9232,"Téc 1",TINH_TEC!$F$233:$F$9232,$B$2,TINH_TEC!$G$233:$G$9232,$D$2,TINH_TEC!$B$233:$B$9232,"Đã chốt"))</f>
        <v>0</v>
      </c>
      <c r="AL22" s="239">
        <f t="shared" si="2"/>
        <v>0</v>
      </c>
    </row>
    <row r="23" ht="15.75" customHeight="1">
      <c r="A23" s="237">
        <f>IF($B23&lt;&gt;"",18,"")</f>
        <v>18</v>
      </c>
      <c r="B23" s="238" t="str">
        <f t="array" ref="B23">IFERROR(INDEX(DANH_MUC!$E:$E,21),"")</f>
        <v>28C03323</v>
      </c>
      <c r="C23" s="239">
        <f>IF(C$4&gt;DAY(EOMONTH(DATE($D$2,$B$2,1),0)),"",IFERROR(SUMIFS(DATA_GOC!$H:$H,DATA_GOC!$A:$A,"BOM",DATA_GOC!$D:$D,$B23,DATA_GOC!$E:$E,"Téc 1",DATA_GOC!$F:$F,"Xuất nội bộ từ téc",DATA_GOC!$B:$B,DATE($D$2,$B$2,C$4)),0))</f>
        <v>0</v>
      </c>
      <c r="D23" s="239">
        <f>IF(D$4&gt;DAY(EOMONTH(DATE($D$2,$B$2,1),0)),"",IFERROR(SUMIFS(DATA_GOC!$H:$H,DATA_GOC!$A:$A,"BOM",DATA_GOC!$D:$D,$B23,DATA_GOC!$E:$E,"Téc 1",DATA_GOC!$F:$F,"Xuất nội bộ từ téc",DATA_GOC!$B:$B,DATE($D$2,$B$2,D$4)),0))</f>
        <v>0</v>
      </c>
      <c r="E23" s="239">
        <f>IF(E$4&gt;DAY(EOMONTH(DATE($D$2,$B$2,1),0)),"",IFERROR(SUMIFS(DATA_GOC!$H:$H,DATA_GOC!$A:$A,"BOM",DATA_GOC!$D:$D,$B23,DATA_GOC!$E:$E,"Téc 1",DATA_GOC!$F:$F,"Xuất nội bộ từ téc",DATA_GOC!$B:$B,DATE($D$2,$B$2,E$4)),0))</f>
        <v>0</v>
      </c>
      <c r="F23" s="239">
        <f>IF(F$4&gt;DAY(EOMONTH(DATE($D$2,$B$2,1),0)),"",IFERROR(SUMIFS(DATA_GOC!$H:$H,DATA_GOC!$A:$A,"BOM",DATA_GOC!$D:$D,$B23,DATA_GOC!$E:$E,"Téc 1",DATA_GOC!$F:$F,"Xuất nội bộ từ téc",DATA_GOC!$B:$B,DATE($D$2,$B$2,F$4)),0))</f>
        <v>0</v>
      </c>
      <c r="G23" s="239">
        <f>IF(G$4&gt;DAY(EOMONTH(DATE($D$2,$B$2,1),0)),"",IFERROR(SUMIFS(DATA_GOC!$H:$H,DATA_GOC!$A:$A,"BOM",DATA_GOC!$D:$D,$B23,DATA_GOC!$E:$E,"Téc 1",DATA_GOC!$F:$F,"Xuất nội bộ từ téc",DATA_GOC!$B:$B,DATE($D$2,$B$2,G$4)),0))</f>
        <v>0</v>
      </c>
      <c r="H23" s="239">
        <f>IF(H$4&gt;DAY(EOMONTH(DATE($D$2,$B$2,1),0)),"",IFERROR(SUMIFS(DATA_GOC!$H:$H,DATA_GOC!$A:$A,"BOM",DATA_GOC!$D:$D,$B23,DATA_GOC!$E:$E,"Téc 1",DATA_GOC!$F:$F,"Xuất nội bộ từ téc",DATA_GOC!$B:$B,DATE($D$2,$B$2,H$4)),0))</f>
        <v>0</v>
      </c>
      <c r="I23" s="239">
        <f>IF(I$4&gt;DAY(EOMONTH(DATE($D$2,$B$2,1),0)),"",IFERROR(SUMIFS(DATA_GOC!$H:$H,DATA_GOC!$A:$A,"BOM",DATA_GOC!$D:$D,$B23,DATA_GOC!$E:$E,"Téc 1",DATA_GOC!$F:$F,"Xuất nội bộ từ téc",DATA_GOC!$B:$B,DATE($D$2,$B$2,I$4)),0))</f>
        <v>0</v>
      </c>
      <c r="J23" s="239">
        <f>IF(J$4&gt;DAY(EOMONTH(DATE($D$2,$B$2,1),0)),"",IFERROR(SUMIFS(DATA_GOC!$H:$H,DATA_GOC!$A:$A,"BOM",DATA_GOC!$D:$D,$B23,DATA_GOC!$E:$E,"Téc 1",DATA_GOC!$F:$F,"Xuất nội bộ từ téc",DATA_GOC!$B:$B,DATE($D$2,$B$2,J$4)),0))</f>
        <v>0</v>
      </c>
      <c r="K23" s="239">
        <f>IF(K$4&gt;DAY(EOMONTH(DATE($D$2,$B$2,1),0)),"",IFERROR(SUMIFS(DATA_GOC!$H:$H,DATA_GOC!$A:$A,"BOM",DATA_GOC!$D:$D,$B23,DATA_GOC!$E:$E,"Téc 1",DATA_GOC!$F:$F,"Xuất nội bộ từ téc",DATA_GOC!$B:$B,DATE($D$2,$B$2,K$4)),0))</f>
        <v>0</v>
      </c>
      <c r="L23" s="239">
        <f>IF(L$4&gt;DAY(EOMONTH(DATE($D$2,$B$2,1),0)),"",IFERROR(SUMIFS(DATA_GOC!$H:$H,DATA_GOC!$A:$A,"BOM",DATA_GOC!$D:$D,$B23,DATA_GOC!$E:$E,"Téc 1",DATA_GOC!$F:$F,"Xuất nội bộ từ téc",DATA_GOC!$B:$B,DATE($D$2,$B$2,L$4)),0))</f>
        <v>0</v>
      </c>
      <c r="M23" s="239">
        <f>IF(M$4&gt;DAY(EOMONTH(DATE($D$2,$B$2,1),0)),"",IFERROR(SUMIFS(DATA_GOC!$H:$H,DATA_GOC!$A:$A,"BOM",DATA_GOC!$D:$D,$B23,DATA_GOC!$E:$E,"Téc 1",DATA_GOC!$F:$F,"Xuất nội bộ từ téc",DATA_GOC!$B:$B,DATE($D$2,$B$2,M$4)),0))</f>
        <v>0</v>
      </c>
      <c r="N23" s="239">
        <f>IF(N$4&gt;DAY(EOMONTH(DATE($D$2,$B$2,1),0)),"",IFERROR(SUMIFS(DATA_GOC!$H:$H,DATA_GOC!$A:$A,"BOM",DATA_GOC!$D:$D,$B23,DATA_GOC!$E:$E,"Téc 1",DATA_GOC!$F:$F,"Xuất nội bộ từ téc",DATA_GOC!$B:$B,DATE($D$2,$B$2,N$4)),0))</f>
        <v>0</v>
      </c>
      <c r="O23" s="239">
        <f>IF(O$4&gt;DAY(EOMONTH(DATE($D$2,$B$2,1),0)),"",IFERROR(SUMIFS(DATA_GOC!$H:$H,DATA_GOC!$A:$A,"BOM",DATA_GOC!$D:$D,$B23,DATA_GOC!$E:$E,"Téc 1",DATA_GOC!$F:$F,"Xuất nội bộ từ téc",DATA_GOC!$B:$B,DATE($D$2,$B$2,O$4)),0))</f>
        <v>0</v>
      </c>
      <c r="P23" s="239">
        <f>IF(P$4&gt;DAY(EOMONTH(DATE($D$2,$B$2,1),0)),"",IFERROR(SUMIFS(DATA_GOC!$H:$H,DATA_GOC!$A:$A,"BOM",DATA_GOC!$D:$D,$B23,DATA_GOC!$E:$E,"Téc 1",DATA_GOC!$F:$F,"Xuất nội bộ từ téc",DATA_GOC!$B:$B,DATE($D$2,$B$2,P$4)),0))</f>
        <v>0</v>
      </c>
      <c r="Q23" s="239">
        <f>IF(Q$4&gt;DAY(EOMONTH(DATE($D$2,$B$2,1),0)),"",IFERROR(SUMIFS(DATA_GOC!$H:$H,DATA_GOC!$A:$A,"BOM",DATA_GOC!$D:$D,$B23,DATA_GOC!$E:$E,"Téc 1",DATA_GOC!$F:$F,"Xuất nội bộ từ téc",DATA_GOC!$B:$B,DATE($D$2,$B$2,Q$4)),0))</f>
        <v>0</v>
      </c>
      <c r="R23" s="239">
        <f>IF(R$4&gt;DAY(EOMONTH(DATE($D$2,$B$2,1),0)),"",IFERROR(SUMIFS(DATA_GOC!$H:$H,DATA_GOC!$A:$A,"BOM",DATA_GOC!$D:$D,$B23,DATA_GOC!$E:$E,"Téc 1",DATA_GOC!$F:$F,"Xuất nội bộ từ téc",DATA_GOC!$B:$B,DATE($D$2,$B$2,R$4)),0))</f>
        <v>0</v>
      </c>
      <c r="S23" s="239">
        <f>IF(S$4&gt;DAY(EOMONTH(DATE($D$2,$B$2,1),0)),"",IFERROR(SUMIFS(DATA_GOC!$H:$H,DATA_GOC!$A:$A,"BOM",DATA_GOC!$D:$D,$B23,DATA_GOC!$E:$E,"Téc 1",DATA_GOC!$F:$F,"Xuất nội bộ từ téc",DATA_GOC!$B:$B,DATE($D$2,$B$2,S$4)),0))</f>
        <v>0</v>
      </c>
      <c r="T23" s="239">
        <f>IF(T$4&gt;DAY(EOMONTH(DATE($D$2,$B$2,1),0)),"",IFERROR(SUMIFS(DATA_GOC!$H:$H,DATA_GOC!$A:$A,"BOM",DATA_GOC!$D:$D,$B23,DATA_GOC!$E:$E,"Téc 1",DATA_GOC!$F:$F,"Xuất nội bộ từ téc",DATA_GOC!$B:$B,DATE($D$2,$B$2,T$4)),0))</f>
        <v>0</v>
      </c>
      <c r="U23" s="239">
        <f>IF(U$4&gt;DAY(EOMONTH(DATE($D$2,$B$2,1),0)),"",IFERROR(SUMIFS(DATA_GOC!$H:$H,DATA_GOC!$A:$A,"BOM",DATA_GOC!$D:$D,$B23,DATA_GOC!$E:$E,"Téc 1",DATA_GOC!$F:$F,"Xuất nội bộ từ téc",DATA_GOC!$B:$B,DATE($D$2,$B$2,U$4)),0))</f>
        <v>0</v>
      </c>
      <c r="V23" s="239">
        <f>IF(V$4&gt;DAY(EOMONTH(DATE($D$2,$B$2,1),0)),"",IFERROR(SUMIFS(DATA_GOC!$H:$H,DATA_GOC!$A:$A,"BOM",DATA_GOC!$D:$D,$B23,DATA_GOC!$E:$E,"Téc 1",DATA_GOC!$F:$F,"Xuất nội bộ từ téc",DATA_GOC!$B:$B,DATE($D$2,$B$2,V$4)),0))</f>
        <v>0</v>
      </c>
      <c r="W23" s="239">
        <f>IF(W$4&gt;DAY(EOMONTH(DATE($D$2,$B$2,1),0)),"",IFERROR(SUMIFS(DATA_GOC!$H:$H,DATA_GOC!$A:$A,"BOM",DATA_GOC!$D:$D,$B23,DATA_GOC!$E:$E,"Téc 1",DATA_GOC!$F:$F,"Xuất nội bộ từ téc",DATA_GOC!$B:$B,DATE($D$2,$B$2,W$4)),0))</f>
        <v>0</v>
      </c>
      <c r="X23" s="239">
        <f>IF(X$4&gt;DAY(EOMONTH(DATE($D$2,$B$2,1),0)),"",IFERROR(SUMIFS(DATA_GOC!$H:$H,DATA_GOC!$A:$A,"BOM",DATA_GOC!$D:$D,$B23,DATA_GOC!$E:$E,"Téc 1",DATA_GOC!$F:$F,"Xuất nội bộ từ téc",DATA_GOC!$B:$B,DATE($D$2,$B$2,X$4)),0))</f>
        <v>0</v>
      </c>
      <c r="Y23" s="239">
        <f>IF(Y$4&gt;DAY(EOMONTH(DATE($D$2,$B$2,1),0)),"",IFERROR(SUMIFS(DATA_GOC!$H:$H,DATA_GOC!$A:$A,"BOM",DATA_GOC!$D:$D,$B23,DATA_GOC!$E:$E,"Téc 1",DATA_GOC!$F:$F,"Xuất nội bộ từ téc",DATA_GOC!$B:$B,DATE($D$2,$B$2,Y$4)),0))</f>
        <v>0</v>
      </c>
      <c r="Z23" s="239">
        <f>IF(Z$4&gt;DAY(EOMONTH(DATE($D$2,$B$2,1),0)),"",IFERROR(SUMIFS(DATA_GOC!$H:$H,DATA_GOC!$A:$A,"BOM",DATA_GOC!$D:$D,$B23,DATA_GOC!$E:$E,"Téc 1",DATA_GOC!$F:$F,"Xuất nội bộ từ téc",DATA_GOC!$B:$B,DATE($D$2,$B$2,Z$4)),0))</f>
        <v>0</v>
      </c>
      <c r="AA23" s="239">
        <f>IF(AA$4&gt;DAY(EOMONTH(DATE($D$2,$B$2,1),0)),"",IFERROR(SUMIFS(DATA_GOC!$H:$H,DATA_GOC!$A:$A,"BOM",DATA_GOC!$D:$D,$B23,DATA_GOC!$E:$E,"Téc 1",DATA_GOC!$F:$F,"Xuất nội bộ từ téc",DATA_GOC!$B:$B,DATE($D$2,$B$2,AA$4)),0))</f>
        <v>0</v>
      </c>
      <c r="AB23" s="239">
        <f>IF(AB$4&gt;DAY(EOMONTH(DATE($D$2,$B$2,1),0)),"",IFERROR(SUMIFS(DATA_GOC!$H:$H,DATA_GOC!$A:$A,"BOM",DATA_GOC!$D:$D,$B23,DATA_GOC!$E:$E,"Téc 1",DATA_GOC!$F:$F,"Xuất nội bộ từ téc",DATA_GOC!$B:$B,DATE($D$2,$B$2,AB$4)),0))</f>
        <v>0</v>
      </c>
      <c r="AC23" s="239">
        <f>IF(AC$4&gt;DAY(EOMONTH(DATE($D$2,$B$2,1),0)),"",IFERROR(SUMIFS(DATA_GOC!$H:$H,DATA_GOC!$A:$A,"BOM",DATA_GOC!$D:$D,$B23,DATA_GOC!$E:$E,"Téc 1",DATA_GOC!$F:$F,"Xuất nội bộ từ téc",DATA_GOC!$B:$B,DATE($D$2,$B$2,AC$4)),0))</f>
        <v>0</v>
      </c>
      <c r="AD23" s="239">
        <f>IF(AD$4&gt;DAY(EOMONTH(DATE($D$2,$B$2,1),0)),"",IFERROR(SUMIFS(DATA_GOC!$H:$H,DATA_GOC!$A:$A,"BOM",DATA_GOC!$D:$D,$B23,DATA_GOC!$E:$E,"Téc 1",DATA_GOC!$F:$F,"Xuất nội bộ từ téc",DATA_GOC!$B:$B,DATE($D$2,$B$2,AD$4)),0))</f>
        <v>0</v>
      </c>
      <c r="AE23" s="239">
        <f>IF(AE$4&gt;DAY(EOMONTH(DATE($D$2,$B$2,1),0)),"",IFERROR(SUMIFS(DATA_GOC!$H:$H,DATA_GOC!$A:$A,"BOM",DATA_GOC!$D:$D,$B23,DATA_GOC!$E:$E,"Téc 1",DATA_GOC!$F:$F,"Xuất nội bộ từ téc",DATA_GOC!$B:$B,DATE($D$2,$B$2,AE$4)),0))</f>
        <v>0</v>
      </c>
      <c r="AF23" s="239">
        <f>IF(AF$4&gt;DAY(EOMONTH(DATE($D$2,$B$2,1),0)),"",IFERROR(SUMIFS(DATA_GOC!$H:$H,DATA_GOC!$A:$A,"BOM",DATA_GOC!$D:$D,$B23,DATA_GOC!$E:$E,"Téc 1",DATA_GOC!$F:$F,"Xuất nội bộ từ téc",DATA_GOC!$B:$B,DATE($D$2,$B$2,AF$4)),0))</f>
        <v>0</v>
      </c>
      <c r="AG23" s="239">
        <f>IF(AG$4&gt;DAY(EOMONTH(DATE($D$2,$B$2,1),0)),"",IFERROR(SUMIFS(DATA_GOC!$H:$H,DATA_GOC!$A:$A,"BOM",DATA_GOC!$D:$D,$B23,DATA_GOC!$E:$E,"Téc 1",DATA_GOC!$F:$F,"Xuất nội bộ từ téc",DATA_GOC!$B:$B,DATE($D$2,$B$2,AG$4)),0))</f>
        <v>0</v>
      </c>
      <c r="AH23" s="240">
        <f t="shared" si="1"/>
        <v>0</v>
      </c>
      <c r="AI23" s="241"/>
      <c r="AJ23" s="239">
        <f>IF($B23="","",SUMIFS(TINH_TEC!$K$233:$K$9232,TINH_TEC!$H$233:$H$9232,$B23,TINH_TEC!$C$233:$C$9232,"Téc 1",TINH_TEC!$F$233:$F$9232,$B$2,TINH_TEC!$G$233:$G$9232,$D$2,TINH_TEC!$B$233:$B$9232,"Đã chốt"))</f>
        <v>0</v>
      </c>
      <c r="AK23" s="239">
        <f>IF($B23="","",SUMIFS(TINH_TEC!$J$233:$J$9232,TINH_TEC!$H$233:$H$9232,$B23,TINH_TEC!$C$233:$C$9232,"Téc 1",TINH_TEC!$F$233:$F$9232,$B$2,TINH_TEC!$G$233:$G$9232,$D$2,TINH_TEC!$B$233:$B$9232,"Đã chốt"))</f>
        <v>0</v>
      </c>
      <c r="AL23" s="239">
        <f t="shared" si="2"/>
        <v>0</v>
      </c>
    </row>
    <row r="24" ht="15.75" customHeight="1">
      <c r="A24" s="237">
        <f>IF($B24&lt;&gt;"",19,"")</f>
        <v>19</v>
      </c>
      <c r="B24" s="238" t="str">
        <f t="array" ref="B24">IFERROR(INDEX(DANH_MUC!$E:$E,22),"")</f>
        <v>28C03385</v>
      </c>
      <c r="C24" s="239">
        <f>IF(C$4&gt;DAY(EOMONTH(DATE($D$2,$B$2,1),0)),"",IFERROR(SUMIFS(DATA_GOC!$H:$H,DATA_GOC!$A:$A,"BOM",DATA_GOC!$D:$D,$B24,DATA_GOC!$E:$E,"Téc 1",DATA_GOC!$F:$F,"Xuất nội bộ từ téc",DATA_GOC!$B:$B,DATE($D$2,$B$2,C$4)),0))</f>
        <v>0</v>
      </c>
      <c r="D24" s="239">
        <f>IF(D$4&gt;DAY(EOMONTH(DATE($D$2,$B$2,1),0)),"",IFERROR(SUMIFS(DATA_GOC!$H:$H,DATA_GOC!$A:$A,"BOM",DATA_GOC!$D:$D,$B24,DATA_GOC!$E:$E,"Téc 1",DATA_GOC!$F:$F,"Xuất nội bộ từ téc",DATA_GOC!$B:$B,DATE($D$2,$B$2,D$4)),0))</f>
        <v>0</v>
      </c>
      <c r="E24" s="239">
        <f>IF(E$4&gt;DAY(EOMONTH(DATE($D$2,$B$2,1),0)),"",IFERROR(SUMIFS(DATA_GOC!$H:$H,DATA_GOC!$A:$A,"BOM",DATA_GOC!$D:$D,$B24,DATA_GOC!$E:$E,"Téc 1",DATA_GOC!$F:$F,"Xuất nội bộ từ téc",DATA_GOC!$B:$B,DATE($D$2,$B$2,E$4)),0))</f>
        <v>0</v>
      </c>
      <c r="F24" s="239">
        <f>IF(F$4&gt;DAY(EOMONTH(DATE($D$2,$B$2,1),0)),"",IFERROR(SUMIFS(DATA_GOC!$H:$H,DATA_GOC!$A:$A,"BOM",DATA_GOC!$D:$D,$B24,DATA_GOC!$E:$E,"Téc 1",DATA_GOC!$F:$F,"Xuất nội bộ từ téc",DATA_GOC!$B:$B,DATE($D$2,$B$2,F$4)),0))</f>
        <v>0</v>
      </c>
      <c r="G24" s="239">
        <f>IF(G$4&gt;DAY(EOMONTH(DATE($D$2,$B$2,1),0)),"",IFERROR(SUMIFS(DATA_GOC!$H:$H,DATA_GOC!$A:$A,"BOM",DATA_GOC!$D:$D,$B24,DATA_GOC!$E:$E,"Téc 1",DATA_GOC!$F:$F,"Xuất nội bộ từ téc",DATA_GOC!$B:$B,DATE($D$2,$B$2,G$4)),0))</f>
        <v>0</v>
      </c>
      <c r="H24" s="239">
        <f>IF(H$4&gt;DAY(EOMONTH(DATE($D$2,$B$2,1),0)),"",IFERROR(SUMIFS(DATA_GOC!$H:$H,DATA_GOC!$A:$A,"BOM",DATA_GOC!$D:$D,$B24,DATA_GOC!$E:$E,"Téc 1",DATA_GOC!$F:$F,"Xuất nội bộ từ téc",DATA_GOC!$B:$B,DATE($D$2,$B$2,H$4)),0))</f>
        <v>0</v>
      </c>
      <c r="I24" s="239">
        <f>IF(I$4&gt;DAY(EOMONTH(DATE($D$2,$B$2,1),0)),"",IFERROR(SUMIFS(DATA_GOC!$H:$H,DATA_GOC!$A:$A,"BOM",DATA_GOC!$D:$D,$B24,DATA_GOC!$E:$E,"Téc 1",DATA_GOC!$F:$F,"Xuất nội bộ từ téc",DATA_GOC!$B:$B,DATE($D$2,$B$2,I$4)),0))</f>
        <v>0</v>
      </c>
      <c r="J24" s="239">
        <f>IF(J$4&gt;DAY(EOMONTH(DATE($D$2,$B$2,1),0)),"",IFERROR(SUMIFS(DATA_GOC!$H:$H,DATA_GOC!$A:$A,"BOM",DATA_GOC!$D:$D,$B24,DATA_GOC!$E:$E,"Téc 1",DATA_GOC!$F:$F,"Xuất nội bộ từ téc",DATA_GOC!$B:$B,DATE($D$2,$B$2,J$4)),0))</f>
        <v>0</v>
      </c>
      <c r="K24" s="239">
        <f>IF(K$4&gt;DAY(EOMONTH(DATE($D$2,$B$2,1),0)),"",IFERROR(SUMIFS(DATA_GOC!$H:$H,DATA_GOC!$A:$A,"BOM",DATA_GOC!$D:$D,$B24,DATA_GOC!$E:$E,"Téc 1",DATA_GOC!$F:$F,"Xuất nội bộ từ téc",DATA_GOC!$B:$B,DATE($D$2,$B$2,K$4)),0))</f>
        <v>0</v>
      </c>
      <c r="L24" s="239">
        <f>IF(L$4&gt;DAY(EOMONTH(DATE($D$2,$B$2,1),0)),"",IFERROR(SUMIFS(DATA_GOC!$H:$H,DATA_GOC!$A:$A,"BOM",DATA_GOC!$D:$D,$B24,DATA_GOC!$E:$E,"Téc 1",DATA_GOC!$F:$F,"Xuất nội bộ từ téc",DATA_GOC!$B:$B,DATE($D$2,$B$2,L$4)),0))</f>
        <v>0</v>
      </c>
      <c r="M24" s="239">
        <f>IF(M$4&gt;DAY(EOMONTH(DATE($D$2,$B$2,1),0)),"",IFERROR(SUMIFS(DATA_GOC!$H:$H,DATA_GOC!$A:$A,"BOM",DATA_GOC!$D:$D,$B24,DATA_GOC!$E:$E,"Téc 1",DATA_GOC!$F:$F,"Xuất nội bộ từ téc",DATA_GOC!$B:$B,DATE($D$2,$B$2,M$4)),0))</f>
        <v>0</v>
      </c>
      <c r="N24" s="239">
        <f>IF(N$4&gt;DAY(EOMONTH(DATE($D$2,$B$2,1),0)),"",IFERROR(SUMIFS(DATA_GOC!$H:$H,DATA_GOC!$A:$A,"BOM",DATA_GOC!$D:$D,$B24,DATA_GOC!$E:$E,"Téc 1",DATA_GOC!$F:$F,"Xuất nội bộ từ téc",DATA_GOC!$B:$B,DATE($D$2,$B$2,N$4)),0))</f>
        <v>0</v>
      </c>
      <c r="O24" s="239">
        <f>IF(O$4&gt;DAY(EOMONTH(DATE($D$2,$B$2,1),0)),"",IFERROR(SUMIFS(DATA_GOC!$H:$H,DATA_GOC!$A:$A,"BOM",DATA_GOC!$D:$D,$B24,DATA_GOC!$E:$E,"Téc 1",DATA_GOC!$F:$F,"Xuất nội bộ từ téc",DATA_GOC!$B:$B,DATE($D$2,$B$2,O$4)),0))</f>
        <v>0</v>
      </c>
      <c r="P24" s="239">
        <f>IF(P$4&gt;DAY(EOMONTH(DATE($D$2,$B$2,1),0)),"",IFERROR(SUMIFS(DATA_GOC!$H:$H,DATA_GOC!$A:$A,"BOM",DATA_GOC!$D:$D,$B24,DATA_GOC!$E:$E,"Téc 1",DATA_GOC!$F:$F,"Xuất nội bộ từ téc",DATA_GOC!$B:$B,DATE($D$2,$B$2,P$4)),0))</f>
        <v>0</v>
      </c>
      <c r="Q24" s="239">
        <f>IF(Q$4&gt;DAY(EOMONTH(DATE($D$2,$B$2,1),0)),"",IFERROR(SUMIFS(DATA_GOC!$H:$H,DATA_GOC!$A:$A,"BOM",DATA_GOC!$D:$D,$B24,DATA_GOC!$E:$E,"Téc 1",DATA_GOC!$F:$F,"Xuất nội bộ từ téc",DATA_GOC!$B:$B,DATE($D$2,$B$2,Q$4)),0))</f>
        <v>0</v>
      </c>
      <c r="R24" s="239">
        <f>IF(R$4&gt;DAY(EOMONTH(DATE($D$2,$B$2,1),0)),"",IFERROR(SUMIFS(DATA_GOC!$H:$H,DATA_GOC!$A:$A,"BOM",DATA_GOC!$D:$D,$B24,DATA_GOC!$E:$E,"Téc 1",DATA_GOC!$F:$F,"Xuất nội bộ từ téc",DATA_GOC!$B:$B,DATE($D$2,$B$2,R$4)),0))</f>
        <v>0</v>
      </c>
      <c r="S24" s="239">
        <f>IF(S$4&gt;DAY(EOMONTH(DATE($D$2,$B$2,1),0)),"",IFERROR(SUMIFS(DATA_GOC!$H:$H,DATA_GOC!$A:$A,"BOM",DATA_GOC!$D:$D,$B24,DATA_GOC!$E:$E,"Téc 1",DATA_GOC!$F:$F,"Xuất nội bộ từ téc",DATA_GOC!$B:$B,DATE($D$2,$B$2,S$4)),0))</f>
        <v>0</v>
      </c>
      <c r="T24" s="239">
        <f>IF(T$4&gt;DAY(EOMONTH(DATE($D$2,$B$2,1),0)),"",IFERROR(SUMIFS(DATA_GOC!$H:$H,DATA_GOC!$A:$A,"BOM",DATA_GOC!$D:$D,$B24,DATA_GOC!$E:$E,"Téc 1",DATA_GOC!$F:$F,"Xuất nội bộ từ téc",DATA_GOC!$B:$B,DATE($D$2,$B$2,T$4)),0))</f>
        <v>0</v>
      </c>
      <c r="U24" s="239">
        <f>IF(U$4&gt;DAY(EOMONTH(DATE($D$2,$B$2,1),0)),"",IFERROR(SUMIFS(DATA_GOC!$H:$H,DATA_GOC!$A:$A,"BOM",DATA_GOC!$D:$D,$B24,DATA_GOC!$E:$E,"Téc 1",DATA_GOC!$F:$F,"Xuất nội bộ từ téc",DATA_GOC!$B:$B,DATE($D$2,$B$2,U$4)),0))</f>
        <v>0</v>
      </c>
      <c r="V24" s="239">
        <f>IF(V$4&gt;DAY(EOMONTH(DATE($D$2,$B$2,1),0)),"",IFERROR(SUMIFS(DATA_GOC!$H:$H,DATA_GOC!$A:$A,"BOM",DATA_GOC!$D:$D,$B24,DATA_GOC!$E:$E,"Téc 1",DATA_GOC!$F:$F,"Xuất nội bộ từ téc",DATA_GOC!$B:$B,DATE($D$2,$B$2,V$4)),0))</f>
        <v>0</v>
      </c>
      <c r="W24" s="239">
        <f>IF(W$4&gt;DAY(EOMONTH(DATE($D$2,$B$2,1),0)),"",IFERROR(SUMIFS(DATA_GOC!$H:$H,DATA_GOC!$A:$A,"BOM",DATA_GOC!$D:$D,$B24,DATA_GOC!$E:$E,"Téc 1",DATA_GOC!$F:$F,"Xuất nội bộ từ téc",DATA_GOC!$B:$B,DATE($D$2,$B$2,W$4)),0))</f>
        <v>0</v>
      </c>
      <c r="X24" s="239">
        <f>IF(X$4&gt;DAY(EOMONTH(DATE($D$2,$B$2,1),0)),"",IFERROR(SUMIFS(DATA_GOC!$H:$H,DATA_GOC!$A:$A,"BOM",DATA_GOC!$D:$D,$B24,DATA_GOC!$E:$E,"Téc 1",DATA_GOC!$F:$F,"Xuất nội bộ từ téc",DATA_GOC!$B:$B,DATE($D$2,$B$2,X$4)),0))</f>
        <v>0</v>
      </c>
      <c r="Y24" s="239">
        <f>IF(Y$4&gt;DAY(EOMONTH(DATE($D$2,$B$2,1),0)),"",IFERROR(SUMIFS(DATA_GOC!$H:$H,DATA_GOC!$A:$A,"BOM",DATA_GOC!$D:$D,$B24,DATA_GOC!$E:$E,"Téc 1",DATA_GOC!$F:$F,"Xuất nội bộ từ téc",DATA_GOC!$B:$B,DATE($D$2,$B$2,Y$4)),0))</f>
        <v>0</v>
      </c>
      <c r="Z24" s="239">
        <f>IF(Z$4&gt;DAY(EOMONTH(DATE($D$2,$B$2,1),0)),"",IFERROR(SUMIFS(DATA_GOC!$H:$H,DATA_GOC!$A:$A,"BOM",DATA_GOC!$D:$D,$B24,DATA_GOC!$E:$E,"Téc 1",DATA_GOC!$F:$F,"Xuất nội bộ từ téc",DATA_GOC!$B:$B,DATE($D$2,$B$2,Z$4)),0))</f>
        <v>0</v>
      </c>
      <c r="AA24" s="239">
        <f>IF(AA$4&gt;DAY(EOMONTH(DATE($D$2,$B$2,1),0)),"",IFERROR(SUMIFS(DATA_GOC!$H:$H,DATA_GOC!$A:$A,"BOM",DATA_GOC!$D:$D,$B24,DATA_GOC!$E:$E,"Téc 1",DATA_GOC!$F:$F,"Xuất nội bộ từ téc",DATA_GOC!$B:$B,DATE($D$2,$B$2,AA$4)),0))</f>
        <v>0</v>
      </c>
      <c r="AB24" s="239">
        <f>IF(AB$4&gt;DAY(EOMONTH(DATE($D$2,$B$2,1),0)),"",IFERROR(SUMIFS(DATA_GOC!$H:$H,DATA_GOC!$A:$A,"BOM",DATA_GOC!$D:$D,$B24,DATA_GOC!$E:$E,"Téc 1",DATA_GOC!$F:$F,"Xuất nội bộ từ téc",DATA_GOC!$B:$B,DATE($D$2,$B$2,AB$4)),0))</f>
        <v>0</v>
      </c>
      <c r="AC24" s="239">
        <f>IF(AC$4&gt;DAY(EOMONTH(DATE($D$2,$B$2,1),0)),"",IFERROR(SUMIFS(DATA_GOC!$H:$H,DATA_GOC!$A:$A,"BOM",DATA_GOC!$D:$D,$B24,DATA_GOC!$E:$E,"Téc 1",DATA_GOC!$F:$F,"Xuất nội bộ từ téc",DATA_GOC!$B:$B,DATE($D$2,$B$2,AC$4)),0))</f>
        <v>0</v>
      </c>
      <c r="AD24" s="239">
        <f>IF(AD$4&gt;DAY(EOMONTH(DATE($D$2,$B$2,1),0)),"",IFERROR(SUMIFS(DATA_GOC!$H:$H,DATA_GOC!$A:$A,"BOM",DATA_GOC!$D:$D,$B24,DATA_GOC!$E:$E,"Téc 1",DATA_GOC!$F:$F,"Xuất nội bộ từ téc",DATA_GOC!$B:$B,DATE($D$2,$B$2,AD$4)),0))</f>
        <v>0</v>
      </c>
      <c r="AE24" s="239">
        <f>IF(AE$4&gt;DAY(EOMONTH(DATE($D$2,$B$2,1),0)),"",IFERROR(SUMIFS(DATA_GOC!$H:$H,DATA_GOC!$A:$A,"BOM",DATA_GOC!$D:$D,$B24,DATA_GOC!$E:$E,"Téc 1",DATA_GOC!$F:$F,"Xuất nội bộ từ téc",DATA_GOC!$B:$B,DATE($D$2,$B$2,AE$4)),0))</f>
        <v>0</v>
      </c>
      <c r="AF24" s="239">
        <f>IF(AF$4&gt;DAY(EOMONTH(DATE($D$2,$B$2,1),0)),"",IFERROR(SUMIFS(DATA_GOC!$H:$H,DATA_GOC!$A:$A,"BOM",DATA_GOC!$D:$D,$B24,DATA_GOC!$E:$E,"Téc 1",DATA_GOC!$F:$F,"Xuất nội bộ từ téc",DATA_GOC!$B:$B,DATE($D$2,$B$2,AF$4)),0))</f>
        <v>0</v>
      </c>
      <c r="AG24" s="239">
        <f>IF(AG$4&gt;DAY(EOMONTH(DATE($D$2,$B$2,1),0)),"",IFERROR(SUMIFS(DATA_GOC!$H:$H,DATA_GOC!$A:$A,"BOM",DATA_GOC!$D:$D,$B24,DATA_GOC!$E:$E,"Téc 1",DATA_GOC!$F:$F,"Xuất nội bộ từ téc",DATA_GOC!$B:$B,DATE($D$2,$B$2,AG$4)),0))</f>
        <v>0</v>
      </c>
      <c r="AH24" s="240">
        <f t="shared" si="1"/>
        <v>0</v>
      </c>
      <c r="AI24" s="241"/>
      <c r="AJ24" s="239">
        <f>IF($B24="","",SUMIFS(TINH_TEC!$K$233:$K$9232,TINH_TEC!$H$233:$H$9232,$B24,TINH_TEC!$C$233:$C$9232,"Téc 1",TINH_TEC!$F$233:$F$9232,$B$2,TINH_TEC!$G$233:$G$9232,$D$2,TINH_TEC!$B$233:$B$9232,"Đã chốt"))</f>
        <v>0</v>
      </c>
      <c r="AK24" s="239">
        <f>IF($B24="","",SUMIFS(TINH_TEC!$J$233:$J$9232,TINH_TEC!$H$233:$H$9232,$B24,TINH_TEC!$C$233:$C$9232,"Téc 1",TINH_TEC!$F$233:$F$9232,$B$2,TINH_TEC!$G$233:$G$9232,$D$2,TINH_TEC!$B$233:$B$9232,"Đã chốt"))</f>
        <v>0</v>
      </c>
      <c r="AL24" s="239">
        <f t="shared" si="2"/>
        <v>0</v>
      </c>
    </row>
    <row r="25" ht="15.75" customHeight="1">
      <c r="A25" s="237">
        <f>IF($B25&lt;&gt;"",20,"")</f>
        <v>20</v>
      </c>
      <c r="B25" s="238" t="str">
        <f t="array" ref="B25">IFERROR(INDEX(DANH_MUC!$E:$E,23),"")</f>
        <v>28C03652</v>
      </c>
      <c r="C25" s="239">
        <f>IF(C$4&gt;DAY(EOMONTH(DATE($D$2,$B$2,1),0)),"",IFERROR(SUMIFS(DATA_GOC!$H:$H,DATA_GOC!$A:$A,"BOM",DATA_GOC!$D:$D,$B25,DATA_GOC!$E:$E,"Téc 1",DATA_GOC!$F:$F,"Xuất nội bộ từ téc",DATA_GOC!$B:$B,DATE($D$2,$B$2,C$4)),0))</f>
        <v>0</v>
      </c>
      <c r="D25" s="239">
        <f>IF(D$4&gt;DAY(EOMONTH(DATE($D$2,$B$2,1),0)),"",IFERROR(SUMIFS(DATA_GOC!$H:$H,DATA_GOC!$A:$A,"BOM",DATA_GOC!$D:$D,$B25,DATA_GOC!$E:$E,"Téc 1",DATA_GOC!$F:$F,"Xuất nội bộ từ téc",DATA_GOC!$B:$B,DATE($D$2,$B$2,D$4)),0))</f>
        <v>0</v>
      </c>
      <c r="E25" s="239">
        <f>IF(E$4&gt;DAY(EOMONTH(DATE($D$2,$B$2,1),0)),"",IFERROR(SUMIFS(DATA_GOC!$H:$H,DATA_GOC!$A:$A,"BOM",DATA_GOC!$D:$D,$B25,DATA_GOC!$E:$E,"Téc 1",DATA_GOC!$F:$F,"Xuất nội bộ từ téc",DATA_GOC!$B:$B,DATE($D$2,$B$2,E$4)),0))</f>
        <v>0</v>
      </c>
      <c r="F25" s="239">
        <f>IF(F$4&gt;DAY(EOMONTH(DATE($D$2,$B$2,1),0)),"",IFERROR(SUMIFS(DATA_GOC!$H:$H,DATA_GOC!$A:$A,"BOM",DATA_GOC!$D:$D,$B25,DATA_GOC!$E:$E,"Téc 1",DATA_GOC!$F:$F,"Xuất nội bộ từ téc",DATA_GOC!$B:$B,DATE($D$2,$B$2,F$4)),0))</f>
        <v>0</v>
      </c>
      <c r="G25" s="239">
        <f>IF(G$4&gt;DAY(EOMONTH(DATE($D$2,$B$2,1),0)),"",IFERROR(SUMIFS(DATA_GOC!$H:$H,DATA_GOC!$A:$A,"BOM",DATA_GOC!$D:$D,$B25,DATA_GOC!$E:$E,"Téc 1",DATA_GOC!$F:$F,"Xuất nội bộ từ téc",DATA_GOC!$B:$B,DATE($D$2,$B$2,G$4)),0))</f>
        <v>0</v>
      </c>
      <c r="H25" s="239">
        <f>IF(H$4&gt;DAY(EOMONTH(DATE($D$2,$B$2,1),0)),"",IFERROR(SUMIFS(DATA_GOC!$H:$H,DATA_GOC!$A:$A,"BOM",DATA_GOC!$D:$D,$B25,DATA_GOC!$E:$E,"Téc 1",DATA_GOC!$F:$F,"Xuất nội bộ từ téc",DATA_GOC!$B:$B,DATE($D$2,$B$2,H$4)),0))</f>
        <v>0</v>
      </c>
      <c r="I25" s="239">
        <f>IF(I$4&gt;DAY(EOMONTH(DATE($D$2,$B$2,1),0)),"",IFERROR(SUMIFS(DATA_GOC!$H:$H,DATA_GOC!$A:$A,"BOM",DATA_GOC!$D:$D,$B25,DATA_GOC!$E:$E,"Téc 1",DATA_GOC!$F:$F,"Xuất nội bộ từ téc",DATA_GOC!$B:$B,DATE($D$2,$B$2,I$4)),0))</f>
        <v>0</v>
      </c>
      <c r="J25" s="239">
        <f>IF(J$4&gt;DAY(EOMONTH(DATE($D$2,$B$2,1),0)),"",IFERROR(SUMIFS(DATA_GOC!$H:$H,DATA_GOC!$A:$A,"BOM",DATA_GOC!$D:$D,$B25,DATA_GOC!$E:$E,"Téc 1",DATA_GOC!$F:$F,"Xuất nội bộ từ téc",DATA_GOC!$B:$B,DATE($D$2,$B$2,J$4)),0))</f>
        <v>0</v>
      </c>
      <c r="K25" s="239">
        <f>IF(K$4&gt;DAY(EOMONTH(DATE($D$2,$B$2,1),0)),"",IFERROR(SUMIFS(DATA_GOC!$H:$H,DATA_GOC!$A:$A,"BOM",DATA_GOC!$D:$D,$B25,DATA_GOC!$E:$E,"Téc 1",DATA_GOC!$F:$F,"Xuất nội bộ từ téc",DATA_GOC!$B:$B,DATE($D$2,$B$2,K$4)),0))</f>
        <v>0</v>
      </c>
      <c r="L25" s="239">
        <f>IF(L$4&gt;DAY(EOMONTH(DATE($D$2,$B$2,1),0)),"",IFERROR(SUMIFS(DATA_GOC!$H:$H,DATA_GOC!$A:$A,"BOM",DATA_GOC!$D:$D,$B25,DATA_GOC!$E:$E,"Téc 1",DATA_GOC!$F:$F,"Xuất nội bộ từ téc",DATA_GOC!$B:$B,DATE($D$2,$B$2,L$4)),0))</f>
        <v>0</v>
      </c>
      <c r="M25" s="239">
        <f>IF(M$4&gt;DAY(EOMONTH(DATE($D$2,$B$2,1),0)),"",IFERROR(SUMIFS(DATA_GOC!$H:$H,DATA_GOC!$A:$A,"BOM",DATA_GOC!$D:$D,$B25,DATA_GOC!$E:$E,"Téc 1",DATA_GOC!$F:$F,"Xuất nội bộ từ téc",DATA_GOC!$B:$B,DATE($D$2,$B$2,M$4)),0))</f>
        <v>0</v>
      </c>
      <c r="N25" s="239">
        <f>IF(N$4&gt;DAY(EOMONTH(DATE($D$2,$B$2,1),0)),"",IFERROR(SUMIFS(DATA_GOC!$H:$H,DATA_GOC!$A:$A,"BOM",DATA_GOC!$D:$D,$B25,DATA_GOC!$E:$E,"Téc 1",DATA_GOC!$F:$F,"Xuất nội bộ từ téc",DATA_GOC!$B:$B,DATE($D$2,$B$2,N$4)),0))</f>
        <v>0</v>
      </c>
      <c r="O25" s="239">
        <f>IF(O$4&gt;DAY(EOMONTH(DATE($D$2,$B$2,1),0)),"",IFERROR(SUMIFS(DATA_GOC!$H:$H,DATA_GOC!$A:$A,"BOM",DATA_GOC!$D:$D,$B25,DATA_GOC!$E:$E,"Téc 1",DATA_GOC!$F:$F,"Xuất nội bộ từ téc",DATA_GOC!$B:$B,DATE($D$2,$B$2,O$4)),0))</f>
        <v>0</v>
      </c>
      <c r="P25" s="239">
        <f>IF(P$4&gt;DAY(EOMONTH(DATE($D$2,$B$2,1),0)),"",IFERROR(SUMIFS(DATA_GOC!$H:$H,DATA_GOC!$A:$A,"BOM",DATA_GOC!$D:$D,$B25,DATA_GOC!$E:$E,"Téc 1",DATA_GOC!$F:$F,"Xuất nội bộ từ téc",DATA_GOC!$B:$B,DATE($D$2,$B$2,P$4)),0))</f>
        <v>0</v>
      </c>
      <c r="Q25" s="239">
        <f>IF(Q$4&gt;DAY(EOMONTH(DATE($D$2,$B$2,1),0)),"",IFERROR(SUMIFS(DATA_GOC!$H:$H,DATA_GOC!$A:$A,"BOM",DATA_GOC!$D:$D,$B25,DATA_GOC!$E:$E,"Téc 1",DATA_GOC!$F:$F,"Xuất nội bộ từ téc",DATA_GOC!$B:$B,DATE($D$2,$B$2,Q$4)),0))</f>
        <v>0</v>
      </c>
      <c r="R25" s="239">
        <f>IF(R$4&gt;DAY(EOMONTH(DATE($D$2,$B$2,1),0)),"",IFERROR(SUMIFS(DATA_GOC!$H:$H,DATA_GOC!$A:$A,"BOM",DATA_GOC!$D:$D,$B25,DATA_GOC!$E:$E,"Téc 1",DATA_GOC!$F:$F,"Xuất nội bộ từ téc",DATA_GOC!$B:$B,DATE($D$2,$B$2,R$4)),0))</f>
        <v>0</v>
      </c>
      <c r="S25" s="239">
        <f>IF(S$4&gt;DAY(EOMONTH(DATE($D$2,$B$2,1),0)),"",IFERROR(SUMIFS(DATA_GOC!$H:$H,DATA_GOC!$A:$A,"BOM",DATA_GOC!$D:$D,$B25,DATA_GOC!$E:$E,"Téc 1",DATA_GOC!$F:$F,"Xuất nội bộ từ téc",DATA_GOC!$B:$B,DATE($D$2,$B$2,S$4)),0))</f>
        <v>0</v>
      </c>
      <c r="T25" s="239">
        <f>IF(T$4&gt;DAY(EOMONTH(DATE($D$2,$B$2,1),0)),"",IFERROR(SUMIFS(DATA_GOC!$H:$H,DATA_GOC!$A:$A,"BOM",DATA_GOC!$D:$D,$B25,DATA_GOC!$E:$E,"Téc 1",DATA_GOC!$F:$F,"Xuất nội bộ từ téc",DATA_GOC!$B:$B,DATE($D$2,$B$2,T$4)),0))</f>
        <v>0</v>
      </c>
      <c r="U25" s="239">
        <f>IF(U$4&gt;DAY(EOMONTH(DATE($D$2,$B$2,1),0)),"",IFERROR(SUMIFS(DATA_GOC!$H:$H,DATA_GOC!$A:$A,"BOM",DATA_GOC!$D:$D,$B25,DATA_GOC!$E:$E,"Téc 1",DATA_GOC!$F:$F,"Xuất nội bộ từ téc",DATA_GOC!$B:$B,DATE($D$2,$B$2,U$4)),0))</f>
        <v>0</v>
      </c>
      <c r="V25" s="239">
        <f>IF(V$4&gt;DAY(EOMONTH(DATE($D$2,$B$2,1),0)),"",IFERROR(SUMIFS(DATA_GOC!$H:$H,DATA_GOC!$A:$A,"BOM",DATA_GOC!$D:$D,$B25,DATA_GOC!$E:$E,"Téc 1",DATA_GOC!$F:$F,"Xuất nội bộ từ téc",DATA_GOC!$B:$B,DATE($D$2,$B$2,V$4)),0))</f>
        <v>0</v>
      </c>
      <c r="W25" s="239">
        <f>IF(W$4&gt;DAY(EOMONTH(DATE($D$2,$B$2,1),0)),"",IFERROR(SUMIFS(DATA_GOC!$H:$H,DATA_GOC!$A:$A,"BOM",DATA_GOC!$D:$D,$B25,DATA_GOC!$E:$E,"Téc 1",DATA_GOC!$F:$F,"Xuất nội bộ từ téc",DATA_GOC!$B:$B,DATE($D$2,$B$2,W$4)),0))</f>
        <v>0</v>
      </c>
      <c r="X25" s="239">
        <f>IF(X$4&gt;DAY(EOMONTH(DATE($D$2,$B$2,1),0)),"",IFERROR(SUMIFS(DATA_GOC!$H:$H,DATA_GOC!$A:$A,"BOM",DATA_GOC!$D:$D,$B25,DATA_GOC!$E:$E,"Téc 1",DATA_GOC!$F:$F,"Xuất nội bộ từ téc",DATA_GOC!$B:$B,DATE($D$2,$B$2,X$4)),0))</f>
        <v>0</v>
      </c>
      <c r="Y25" s="239">
        <f>IF(Y$4&gt;DAY(EOMONTH(DATE($D$2,$B$2,1),0)),"",IFERROR(SUMIFS(DATA_GOC!$H:$H,DATA_GOC!$A:$A,"BOM",DATA_GOC!$D:$D,$B25,DATA_GOC!$E:$E,"Téc 1",DATA_GOC!$F:$F,"Xuất nội bộ từ téc",DATA_GOC!$B:$B,DATE($D$2,$B$2,Y$4)),0))</f>
        <v>0</v>
      </c>
      <c r="Z25" s="239">
        <f>IF(Z$4&gt;DAY(EOMONTH(DATE($D$2,$B$2,1),0)),"",IFERROR(SUMIFS(DATA_GOC!$H:$H,DATA_GOC!$A:$A,"BOM",DATA_GOC!$D:$D,$B25,DATA_GOC!$E:$E,"Téc 1",DATA_GOC!$F:$F,"Xuất nội bộ từ téc",DATA_GOC!$B:$B,DATE($D$2,$B$2,Z$4)),0))</f>
        <v>0</v>
      </c>
      <c r="AA25" s="239">
        <f>IF(AA$4&gt;DAY(EOMONTH(DATE($D$2,$B$2,1),0)),"",IFERROR(SUMIFS(DATA_GOC!$H:$H,DATA_GOC!$A:$A,"BOM",DATA_GOC!$D:$D,$B25,DATA_GOC!$E:$E,"Téc 1",DATA_GOC!$F:$F,"Xuất nội bộ từ téc",DATA_GOC!$B:$B,DATE($D$2,$B$2,AA$4)),0))</f>
        <v>0</v>
      </c>
      <c r="AB25" s="239">
        <f>IF(AB$4&gt;DAY(EOMONTH(DATE($D$2,$B$2,1),0)),"",IFERROR(SUMIFS(DATA_GOC!$H:$H,DATA_GOC!$A:$A,"BOM",DATA_GOC!$D:$D,$B25,DATA_GOC!$E:$E,"Téc 1",DATA_GOC!$F:$F,"Xuất nội bộ từ téc",DATA_GOC!$B:$B,DATE($D$2,$B$2,AB$4)),0))</f>
        <v>0</v>
      </c>
      <c r="AC25" s="239">
        <f>IF(AC$4&gt;DAY(EOMONTH(DATE($D$2,$B$2,1),0)),"",IFERROR(SUMIFS(DATA_GOC!$H:$H,DATA_GOC!$A:$A,"BOM",DATA_GOC!$D:$D,$B25,DATA_GOC!$E:$E,"Téc 1",DATA_GOC!$F:$F,"Xuất nội bộ từ téc",DATA_GOC!$B:$B,DATE($D$2,$B$2,AC$4)),0))</f>
        <v>0</v>
      </c>
      <c r="AD25" s="239">
        <f>IF(AD$4&gt;DAY(EOMONTH(DATE($D$2,$B$2,1),0)),"",IFERROR(SUMIFS(DATA_GOC!$H:$H,DATA_GOC!$A:$A,"BOM",DATA_GOC!$D:$D,$B25,DATA_GOC!$E:$E,"Téc 1",DATA_GOC!$F:$F,"Xuất nội bộ từ téc",DATA_GOC!$B:$B,DATE($D$2,$B$2,AD$4)),0))</f>
        <v>0</v>
      </c>
      <c r="AE25" s="239">
        <f>IF(AE$4&gt;DAY(EOMONTH(DATE($D$2,$B$2,1),0)),"",IFERROR(SUMIFS(DATA_GOC!$H:$H,DATA_GOC!$A:$A,"BOM",DATA_GOC!$D:$D,$B25,DATA_GOC!$E:$E,"Téc 1",DATA_GOC!$F:$F,"Xuất nội bộ từ téc",DATA_GOC!$B:$B,DATE($D$2,$B$2,AE$4)),0))</f>
        <v>0</v>
      </c>
      <c r="AF25" s="239">
        <f>IF(AF$4&gt;DAY(EOMONTH(DATE($D$2,$B$2,1),0)),"",IFERROR(SUMIFS(DATA_GOC!$H:$H,DATA_GOC!$A:$A,"BOM",DATA_GOC!$D:$D,$B25,DATA_GOC!$E:$E,"Téc 1",DATA_GOC!$F:$F,"Xuất nội bộ từ téc",DATA_GOC!$B:$B,DATE($D$2,$B$2,AF$4)),0))</f>
        <v>0</v>
      </c>
      <c r="AG25" s="239">
        <f>IF(AG$4&gt;DAY(EOMONTH(DATE($D$2,$B$2,1),0)),"",IFERROR(SUMIFS(DATA_GOC!$H:$H,DATA_GOC!$A:$A,"BOM",DATA_GOC!$D:$D,$B25,DATA_GOC!$E:$E,"Téc 1",DATA_GOC!$F:$F,"Xuất nội bộ từ téc",DATA_GOC!$B:$B,DATE($D$2,$B$2,AG$4)),0))</f>
        <v>0</v>
      </c>
      <c r="AH25" s="240">
        <f t="shared" si="1"/>
        <v>0</v>
      </c>
      <c r="AI25" s="241"/>
      <c r="AJ25" s="239">
        <f>IF($B25="","",SUMIFS(TINH_TEC!$K$233:$K$9232,TINH_TEC!$H$233:$H$9232,$B25,TINH_TEC!$C$233:$C$9232,"Téc 1",TINH_TEC!$F$233:$F$9232,$B$2,TINH_TEC!$G$233:$G$9232,$D$2,TINH_TEC!$B$233:$B$9232,"Đã chốt"))</f>
        <v>0</v>
      </c>
      <c r="AK25" s="239">
        <f>IF($B25="","",SUMIFS(TINH_TEC!$J$233:$J$9232,TINH_TEC!$H$233:$H$9232,$B25,TINH_TEC!$C$233:$C$9232,"Téc 1",TINH_TEC!$F$233:$F$9232,$B$2,TINH_TEC!$G$233:$G$9232,$D$2,TINH_TEC!$B$233:$B$9232,"Đã chốt"))</f>
        <v>0</v>
      </c>
      <c r="AL25" s="239">
        <f t="shared" si="2"/>
        <v>0</v>
      </c>
    </row>
    <row r="26" ht="15.75" customHeight="1">
      <c r="A26" s="237">
        <f>IF($B26&lt;&gt;"",21,"")</f>
        <v>21</v>
      </c>
      <c r="B26" s="238" t="str">
        <f t="array" ref="B26">IFERROR(INDEX(DANH_MUC!$E:$E,24),"")</f>
        <v>28C03695</v>
      </c>
      <c r="C26" s="239">
        <f>IF(C$4&gt;DAY(EOMONTH(DATE($D$2,$B$2,1),0)),"",IFERROR(SUMIFS(DATA_GOC!$H:$H,DATA_GOC!$A:$A,"BOM",DATA_GOC!$D:$D,$B26,DATA_GOC!$E:$E,"Téc 1",DATA_GOC!$F:$F,"Xuất nội bộ từ téc",DATA_GOC!$B:$B,DATE($D$2,$B$2,C$4)),0))</f>
        <v>0</v>
      </c>
      <c r="D26" s="239">
        <f>IF(D$4&gt;DAY(EOMONTH(DATE($D$2,$B$2,1),0)),"",IFERROR(SUMIFS(DATA_GOC!$H:$H,DATA_GOC!$A:$A,"BOM",DATA_GOC!$D:$D,$B26,DATA_GOC!$E:$E,"Téc 1",DATA_GOC!$F:$F,"Xuất nội bộ từ téc",DATA_GOC!$B:$B,DATE($D$2,$B$2,D$4)),0))</f>
        <v>0</v>
      </c>
      <c r="E26" s="239">
        <f>IF(E$4&gt;DAY(EOMONTH(DATE($D$2,$B$2,1),0)),"",IFERROR(SUMIFS(DATA_GOC!$H:$H,DATA_GOC!$A:$A,"BOM",DATA_GOC!$D:$D,$B26,DATA_GOC!$E:$E,"Téc 1",DATA_GOC!$F:$F,"Xuất nội bộ từ téc",DATA_GOC!$B:$B,DATE($D$2,$B$2,E$4)),0))</f>
        <v>0</v>
      </c>
      <c r="F26" s="239">
        <f>IF(F$4&gt;DAY(EOMONTH(DATE($D$2,$B$2,1),0)),"",IFERROR(SUMIFS(DATA_GOC!$H:$H,DATA_GOC!$A:$A,"BOM",DATA_GOC!$D:$D,$B26,DATA_GOC!$E:$E,"Téc 1",DATA_GOC!$F:$F,"Xuất nội bộ từ téc",DATA_GOC!$B:$B,DATE($D$2,$B$2,F$4)),0))</f>
        <v>0</v>
      </c>
      <c r="G26" s="239">
        <f>IF(G$4&gt;DAY(EOMONTH(DATE($D$2,$B$2,1),0)),"",IFERROR(SUMIFS(DATA_GOC!$H:$H,DATA_GOC!$A:$A,"BOM",DATA_GOC!$D:$D,$B26,DATA_GOC!$E:$E,"Téc 1",DATA_GOC!$F:$F,"Xuất nội bộ từ téc",DATA_GOC!$B:$B,DATE($D$2,$B$2,G$4)),0))</f>
        <v>0</v>
      </c>
      <c r="H26" s="239">
        <f>IF(H$4&gt;DAY(EOMONTH(DATE($D$2,$B$2,1),0)),"",IFERROR(SUMIFS(DATA_GOC!$H:$H,DATA_GOC!$A:$A,"BOM",DATA_GOC!$D:$D,$B26,DATA_GOC!$E:$E,"Téc 1",DATA_GOC!$F:$F,"Xuất nội bộ từ téc",DATA_GOC!$B:$B,DATE($D$2,$B$2,H$4)),0))</f>
        <v>0</v>
      </c>
      <c r="I26" s="239">
        <f>IF(I$4&gt;DAY(EOMONTH(DATE($D$2,$B$2,1),0)),"",IFERROR(SUMIFS(DATA_GOC!$H:$H,DATA_GOC!$A:$A,"BOM",DATA_GOC!$D:$D,$B26,DATA_GOC!$E:$E,"Téc 1",DATA_GOC!$F:$F,"Xuất nội bộ từ téc",DATA_GOC!$B:$B,DATE($D$2,$B$2,I$4)),0))</f>
        <v>0</v>
      </c>
      <c r="J26" s="239">
        <f>IF(J$4&gt;DAY(EOMONTH(DATE($D$2,$B$2,1),0)),"",IFERROR(SUMIFS(DATA_GOC!$H:$H,DATA_GOC!$A:$A,"BOM",DATA_GOC!$D:$D,$B26,DATA_GOC!$E:$E,"Téc 1",DATA_GOC!$F:$F,"Xuất nội bộ từ téc",DATA_GOC!$B:$B,DATE($D$2,$B$2,J$4)),0))</f>
        <v>0</v>
      </c>
      <c r="K26" s="239">
        <f>IF(K$4&gt;DAY(EOMONTH(DATE($D$2,$B$2,1),0)),"",IFERROR(SUMIFS(DATA_GOC!$H:$H,DATA_GOC!$A:$A,"BOM",DATA_GOC!$D:$D,$B26,DATA_GOC!$E:$E,"Téc 1",DATA_GOC!$F:$F,"Xuất nội bộ từ téc",DATA_GOC!$B:$B,DATE($D$2,$B$2,K$4)),0))</f>
        <v>0</v>
      </c>
      <c r="L26" s="239">
        <f>IF(L$4&gt;DAY(EOMONTH(DATE($D$2,$B$2,1),0)),"",IFERROR(SUMIFS(DATA_GOC!$H:$H,DATA_GOC!$A:$A,"BOM",DATA_GOC!$D:$D,$B26,DATA_GOC!$E:$E,"Téc 1",DATA_GOC!$F:$F,"Xuất nội bộ từ téc",DATA_GOC!$B:$B,DATE($D$2,$B$2,L$4)),0))</f>
        <v>0</v>
      </c>
      <c r="M26" s="239">
        <f>IF(M$4&gt;DAY(EOMONTH(DATE($D$2,$B$2,1),0)),"",IFERROR(SUMIFS(DATA_GOC!$H:$H,DATA_GOC!$A:$A,"BOM",DATA_GOC!$D:$D,$B26,DATA_GOC!$E:$E,"Téc 1",DATA_GOC!$F:$F,"Xuất nội bộ từ téc",DATA_GOC!$B:$B,DATE($D$2,$B$2,M$4)),0))</f>
        <v>0</v>
      </c>
      <c r="N26" s="239">
        <f>IF(N$4&gt;DAY(EOMONTH(DATE($D$2,$B$2,1),0)),"",IFERROR(SUMIFS(DATA_GOC!$H:$H,DATA_GOC!$A:$A,"BOM",DATA_GOC!$D:$D,$B26,DATA_GOC!$E:$E,"Téc 1",DATA_GOC!$F:$F,"Xuất nội bộ từ téc",DATA_GOC!$B:$B,DATE($D$2,$B$2,N$4)),0))</f>
        <v>0</v>
      </c>
      <c r="O26" s="239">
        <f>IF(O$4&gt;DAY(EOMONTH(DATE($D$2,$B$2,1),0)),"",IFERROR(SUMIFS(DATA_GOC!$H:$H,DATA_GOC!$A:$A,"BOM",DATA_GOC!$D:$D,$B26,DATA_GOC!$E:$E,"Téc 1",DATA_GOC!$F:$F,"Xuất nội bộ từ téc",DATA_GOC!$B:$B,DATE($D$2,$B$2,O$4)),0))</f>
        <v>0</v>
      </c>
      <c r="P26" s="239">
        <f>IF(P$4&gt;DAY(EOMONTH(DATE($D$2,$B$2,1),0)),"",IFERROR(SUMIFS(DATA_GOC!$H:$H,DATA_GOC!$A:$A,"BOM",DATA_GOC!$D:$D,$B26,DATA_GOC!$E:$E,"Téc 1",DATA_GOC!$F:$F,"Xuất nội bộ từ téc",DATA_GOC!$B:$B,DATE($D$2,$B$2,P$4)),0))</f>
        <v>0</v>
      </c>
      <c r="Q26" s="239">
        <f>IF(Q$4&gt;DAY(EOMONTH(DATE($D$2,$B$2,1),0)),"",IFERROR(SUMIFS(DATA_GOC!$H:$H,DATA_GOC!$A:$A,"BOM",DATA_GOC!$D:$D,$B26,DATA_GOC!$E:$E,"Téc 1",DATA_GOC!$F:$F,"Xuất nội bộ từ téc",DATA_GOC!$B:$B,DATE($D$2,$B$2,Q$4)),0))</f>
        <v>0</v>
      </c>
      <c r="R26" s="239">
        <f>IF(R$4&gt;DAY(EOMONTH(DATE($D$2,$B$2,1),0)),"",IFERROR(SUMIFS(DATA_GOC!$H:$H,DATA_GOC!$A:$A,"BOM",DATA_GOC!$D:$D,$B26,DATA_GOC!$E:$E,"Téc 1",DATA_GOC!$F:$F,"Xuất nội bộ từ téc",DATA_GOC!$B:$B,DATE($D$2,$B$2,R$4)),0))</f>
        <v>0</v>
      </c>
      <c r="S26" s="239">
        <f>IF(S$4&gt;DAY(EOMONTH(DATE($D$2,$B$2,1),0)),"",IFERROR(SUMIFS(DATA_GOC!$H:$H,DATA_GOC!$A:$A,"BOM",DATA_GOC!$D:$D,$B26,DATA_GOC!$E:$E,"Téc 1",DATA_GOC!$F:$F,"Xuất nội bộ từ téc",DATA_GOC!$B:$B,DATE($D$2,$B$2,S$4)),0))</f>
        <v>0</v>
      </c>
      <c r="T26" s="239">
        <f>IF(T$4&gt;DAY(EOMONTH(DATE($D$2,$B$2,1),0)),"",IFERROR(SUMIFS(DATA_GOC!$H:$H,DATA_GOC!$A:$A,"BOM",DATA_GOC!$D:$D,$B26,DATA_GOC!$E:$E,"Téc 1",DATA_GOC!$F:$F,"Xuất nội bộ từ téc",DATA_GOC!$B:$B,DATE($D$2,$B$2,T$4)),0))</f>
        <v>0</v>
      </c>
      <c r="U26" s="239">
        <f>IF(U$4&gt;DAY(EOMONTH(DATE($D$2,$B$2,1),0)),"",IFERROR(SUMIFS(DATA_GOC!$H:$H,DATA_GOC!$A:$A,"BOM",DATA_GOC!$D:$D,$B26,DATA_GOC!$E:$E,"Téc 1",DATA_GOC!$F:$F,"Xuất nội bộ từ téc",DATA_GOC!$B:$B,DATE($D$2,$B$2,U$4)),0))</f>
        <v>0</v>
      </c>
      <c r="V26" s="239">
        <f>IF(V$4&gt;DAY(EOMONTH(DATE($D$2,$B$2,1),0)),"",IFERROR(SUMIFS(DATA_GOC!$H:$H,DATA_GOC!$A:$A,"BOM",DATA_GOC!$D:$D,$B26,DATA_GOC!$E:$E,"Téc 1",DATA_GOC!$F:$F,"Xuất nội bộ từ téc",DATA_GOC!$B:$B,DATE($D$2,$B$2,V$4)),0))</f>
        <v>0</v>
      </c>
      <c r="W26" s="239">
        <f>IF(W$4&gt;DAY(EOMONTH(DATE($D$2,$B$2,1),0)),"",IFERROR(SUMIFS(DATA_GOC!$H:$H,DATA_GOC!$A:$A,"BOM",DATA_GOC!$D:$D,$B26,DATA_GOC!$E:$E,"Téc 1",DATA_GOC!$F:$F,"Xuất nội bộ từ téc",DATA_GOC!$B:$B,DATE($D$2,$B$2,W$4)),0))</f>
        <v>0</v>
      </c>
      <c r="X26" s="239">
        <f>IF(X$4&gt;DAY(EOMONTH(DATE($D$2,$B$2,1),0)),"",IFERROR(SUMIFS(DATA_GOC!$H:$H,DATA_GOC!$A:$A,"BOM",DATA_GOC!$D:$D,$B26,DATA_GOC!$E:$E,"Téc 1",DATA_GOC!$F:$F,"Xuất nội bộ từ téc",DATA_GOC!$B:$B,DATE($D$2,$B$2,X$4)),0))</f>
        <v>0</v>
      </c>
      <c r="Y26" s="239">
        <f>IF(Y$4&gt;DAY(EOMONTH(DATE($D$2,$B$2,1),0)),"",IFERROR(SUMIFS(DATA_GOC!$H:$H,DATA_GOC!$A:$A,"BOM",DATA_GOC!$D:$D,$B26,DATA_GOC!$E:$E,"Téc 1",DATA_GOC!$F:$F,"Xuất nội bộ từ téc",DATA_GOC!$B:$B,DATE($D$2,$B$2,Y$4)),0))</f>
        <v>0</v>
      </c>
      <c r="Z26" s="239">
        <f>IF(Z$4&gt;DAY(EOMONTH(DATE($D$2,$B$2,1),0)),"",IFERROR(SUMIFS(DATA_GOC!$H:$H,DATA_GOC!$A:$A,"BOM",DATA_GOC!$D:$D,$B26,DATA_GOC!$E:$E,"Téc 1",DATA_GOC!$F:$F,"Xuất nội bộ từ téc",DATA_GOC!$B:$B,DATE($D$2,$B$2,Z$4)),0))</f>
        <v>0</v>
      </c>
      <c r="AA26" s="239">
        <f>IF(AA$4&gt;DAY(EOMONTH(DATE($D$2,$B$2,1),0)),"",IFERROR(SUMIFS(DATA_GOC!$H:$H,DATA_GOC!$A:$A,"BOM",DATA_GOC!$D:$D,$B26,DATA_GOC!$E:$E,"Téc 1",DATA_GOC!$F:$F,"Xuất nội bộ từ téc",DATA_GOC!$B:$B,DATE($D$2,$B$2,AA$4)),0))</f>
        <v>0</v>
      </c>
      <c r="AB26" s="239">
        <f>IF(AB$4&gt;DAY(EOMONTH(DATE($D$2,$B$2,1),0)),"",IFERROR(SUMIFS(DATA_GOC!$H:$H,DATA_GOC!$A:$A,"BOM",DATA_GOC!$D:$D,$B26,DATA_GOC!$E:$E,"Téc 1",DATA_GOC!$F:$F,"Xuất nội bộ từ téc",DATA_GOC!$B:$B,DATE($D$2,$B$2,AB$4)),0))</f>
        <v>0</v>
      </c>
      <c r="AC26" s="239">
        <f>IF(AC$4&gt;DAY(EOMONTH(DATE($D$2,$B$2,1),0)),"",IFERROR(SUMIFS(DATA_GOC!$H:$H,DATA_GOC!$A:$A,"BOM",DATA_GOC!$D:$D,$B26,DATA_GOC!$E:$E,"Téc 1",DATA_GOC!$F:$F,"Xuất nội bộ từ téc",DATA_GOC!$B:$B,DATE($D$2,$B$2,AC$4)),0))</f>
        <v>0</v>
      </c>
      <c r="AD26" s="239">
        <f>IF(AD$4&gt;DAY(EOMONTH(DATE($D$2,$B$2,1),0)),"",IFERROR(SUMIFS(DATA_GOC!$H:$H,DATA_GOC!$A:$A,"BOM",DATA_GOC!$D:$D,$B26,DATA_GOC!$E:$E,"Téc 1",DATA_GOC!$F:$F,"Xuất nội bộ từ téc",DATA_GOC!$B:$B,DATE($D$2,$B$2,AD$4)),0))</f>
        <v>0</v>
      </c>
      <c r="AE26" s="239">
        <f>IF(AE$4&gt;DAY(EOMONTH(DATE($D$2,$B$2,1),0)),"",IFERROR(SUMIFS(DATA_GOC!$H:$H,DATA_GOC!$A:$A,"BOM",DATA_GOC!$D:$D,$B26,DATA_GOC!$E:$E,"Téc 1",DATA_GOC!$F:$F,"Xuất nội bộ từ téc",DATA_GOC!$B:$B,DATE($D$2,$B$2,AE$4)),0))</f>
        <v>0</v>
      </c>
      <c r="AF26" s="239">
        <f>IF(AF$4&gt;DAY(EOMONTH(DATE($D$2,$B$2,1),0)),"",IFERROR(SUMIFS(DATA_GOC!$H:$H,DATA_GOC!$A:$A,"BOM",DATA_GOC!$D:$D,$B26,DATA_GOC!$E:$E,"Téc 1",DATA_GOC!$F:$F,"Xuất nội bộ từ téc",DATA_GOC!$B:$B,DATE($D$2,$B$2,AF$4)),0))</f>
        <v>0</v>
      </c>
      <c r="AG26" s="239">
        <f>IF(AG$4&gt;DAY(EOMONTH(DATE($D$2,$B$2,1),0)),"",IFERROR(SUMIFS(DATA_GOC!$H:$H,DATA_GOC!$A:$A,"BOM",DATA_GOC!$D:$D,$B26,DATA_GOC!$E:$E,"Téc 1",DATA_GOC!$F:$F,"Xuất nội bộ từ téc",DATA_GOC!$B:$B,DATE($D$2,$B$2,AG$4)),0))</f>
        <v>0</v>
      </c>
      <c r="AH26" s="240">
        <f t="shared" si="1"/>
        <v>0</v>
      </c>
      <c r="AI26" s="241"/>
      <c r="AJ26" s="239">
        <f>IF($B26="","",SUMIFS(TINH_TEC!$K$233:$K$9232,TINH_TEC!$H$233:$H$9232,$B26,TINH_TEC!$C$233:$C$9232,"Téc 1",TINH_TEC!$F$233:$F$9232,$B$2,TINH_TEC!$G$233:$G$9232,$D$2,TINH_TEC!$B$233:$B$9232,"Đã chốt"))</f>
        <v>0</v>
      </c>
      <c r="AK26" s="239">
        <f>IF($B26="","",SUMIFS(TINH_TEC!$J$233:$J$9232,TINH_TEC!$H$233:$H$9232,$B26,TINH_TEC!$C$233:$C$9232,"Téc 1",TINH_TEC!$F$233:$F$9232,$B$2,TINH_TEC!$G$233:$G$9232,$D$2,TINH_TEC!$B$233:$B$9232,"Đã chốt"))</f>
        <v>0</v>
      </c>
      <c r="AL26" s="239">
        <f t="shared" si="2"/>
        <v>0</v>
      </c>
    </row>
    <row r="27" ht="15.75" customHeight="1">
      <c r="A27" s="237">
        <f>IF($B27&lt;&gt;"",22,"")</f>
        <v>22</v>
      </c>
      <c r="B27" s="238" t="str">
        <f t="array" ref="B27">IFERROR(INDEX(DANH_MUC!$E:$E,25),"")</f>
        <v>28C03927</v>
      </c>
      <c r="C27" s="239">
        <f>IF(C$4&gt;DAY(EOMONTH(DATE($D$2,$B$2,1),0)),"",IFERROR(SUMIFS(DATA_GOC!$H:$H,DATA_GOC!$A:$A,"BOM",DATA_GOC!$D:$D,$B27,DATA_GOC!$E:$E,"Téc 1",DATA_GOC!$F:$F,"Xuất nội bộ từ téc",DATA_GOC!$B:$B,DATE($D$2,$B$2,C$4)),0))</f>
        <v>0</v>
      </c>
      <c r="D27" s="239">
        <f>IF(D$4&gt;DAY(EOMONTH(DATE($D$2,$B$2,1),0)),"",IFERROR(SUMIFS(DATA_GOC!$H:$H,DATA_GOC!$A:$A,"BOM",DATA_GOC!$D:$D,$B27,DATA_GOC!$E:$E,"Téc 1",DATA_GOC!$F:$F,"Xuất nội bộ từ téc",DATA_GOC!$B:$B,DATE($D$2,$B$2,D$4)),0))</f>
        <v>0</v>
      </c>
      <c r="E27" s="239">
        <f>IF(E$4&gt;DAY(EOMONTH(DATE($D$2,$B$2,1),0)),"",IFERROR(SUMIFS(DATA_GOC!$H:$H,DATA_GOC!$A:$A,"BOM",DATA_GOC!$D:$D,$B27,DATA_GOC!$E:$E,"Téc 1",DATA_GOC!$F:$F,"Xuất nội bộ từ téc",DATA_GOC!$B:$B,DATE($D$2,$B$2,E$4)),0))</f>
        <v>0</v>
      </c>
      <c r="F27" s="239">
        <f>IF(F$4&gt;DAY(EOMONTH(DATE($D$2,$B$2,1),0)),"",IFERROR(SUMIFS(DATA_GOC!$H:$H,DATA_GOC!$A:$A,"BOM",DATA_GOC!$D:$D,$B27,DATA_GOC!$E:$E,"Téc 1",DATA_GOC!$F:$F,"Xuất nội bộ từ téc",DATA_GOC!$B:$B,DATE($D$2,$B$2,F$4)),0))</f>
        <v>0</v>
      </c>
      <c r="G27" s="239">
        <f>IF(G$4&gt;DAY(EOMONTH(DATE($D$2,$B$2,1),0)),"",IFERROR(SUMIFS(DATA_GOC!$H:$H,DATA_GOC!$A:$A,"BOM",DATA_GOC!$D:$D,$B27,DATA_GOC!$E:$E,"Téc 1",DATA_GOC!$F:$F,"Xuất nội bộ từ téc",DATA_GOC!$B:$B,DATE($D$2,$B$2,G$4)),0))</f>
        <v>0</v>
      </c>
      <c r="H27" s="239">
        <f>IF(H$4&gt;DAY(EOMONTH(DATE($D$2,$B$2,1),0)),"",IFERROR(SUMIFS(DATA_GOC!$H:$H,DATA_GOC!$A:$A,"BOM",DATA_GOC!$D:$D,$B27,DATA_GOC!$E:$E,"Téc 1",DATA_GOC!$F:$F,"Xuất nội bộ từ téc",DATA_GOC!$B:$B,DATE($D$2,$B$2,H$4)),0))</f>
        <v>0</v>
      </c>
      <c r="I27" s="239">
        <f>IF(I$4&gt;DAY(EOMONTH(DATE($D$2,$B$2,1),0)),"",IFERROR(SUMIFS(DATA_GOC!$H:$H,DATA_GOC!$A:$A,"BOM",DATA_GOC!$D:$D,$B27,DATA_GOC!$E:$E,"Téc 1",DATA_GOC!$F:$F,"Xuất nội bộ từ téc",DATA_GOC!$B:$B,DATE($D$2,$B$2,I$4)),0))</f>
        <v>0</v>
      </c>
      <c r="J27" s="239">
        <f>IF(J$4&gt;DAY(EOMONTH(DATE($D$2,$B$2,1),0)),"",IFERROR(SUMIFS(DATA_GOC!$H:$H,DATA_GOC!$A:$A,"BOM",DATA_GOC!$D:$D,$B27,DATA_GOC!$E:$E,"Téc 1",DATA_GOC!$F:$F,"Xuất nội bộ từ téc",DATA_GOC!$B:$B,DATE($D$2,$B$2,J$4)),0))</f>
        <v>0</v>
      </c>
      <c r="K27" s="239">
        <f>IF(K$4&gt;DAY(EOMONTH(DATE($D$2,$B$2,1),0)),"",IFERROR(SUMIFS(DATA_GOC!$H:$H,DATA_GOC!$A:$A,"BOM",DATA_GOC!$D:$D,$B27,DATA_GOC!$E:$E,"Téc 1",DATA_GOC!$F:$F,"Xuất nội bộ từ téc",DATA_GOC!$B:$B,DATE($D$2,$B$2,K$4)),0))</f>
        <v>0</v>
      </c>
      <c r="L27" s="239">
        <f>IF(L$4&gt;DAY(EOMONTH(DATE($D$2,$B$2,1),0)),"",IFERROR(SUMIFS(DATA_GOC!$H:$H,DATA_GOC!$A:$A,"BOM",DATA_GOC!$D:$D,$B27,DATA_GOC!$E:$E,"Téc 1",DATA_GOC!$F:$F,"Xuất nội bộ từ téc",DATA_GOC!$B:$B,DATE($D$2,$B$2,L$4)),0))</f>
        <v>0</v>
      </c>
      <c r="M27" s="239">
        <f>IF(M$4&gt;DAY(EOMONTH(DATE($D$2,$B$2,1),0)),"",IFERROR(SUMIFS(DATA_GOC!$H:$H,DATA_GOC!$A:$A,"BOM",DATA_GOC!$D:$D,$B27,DATA_GOC!$E:$E,"Téc 1",DATA_GOC!$F:$F,"Xuất nội bộ từ téc",DATA_GOC!$B:$B,DATE($D$2,$B$2,M$4)),0))</f>
        <v>0</v>
      </c>
      <c r="N27" s="239">
        <f>IF(N$4&gt;DAY(EOMONTH(DATE($D$2,$B$2,1),0)),"",IFERROR(SUMIFS(DATA_GOC!$H:$H,DATA_GOC!$A:$A,"BOM",DATA_GOC!$D:$D,$B27,DATA_GOC!$E:$E,"Téc 1",DATA_GOC!$F:$F,"Xuất nội bộ từ téc",DATA_GOC!$B:$B,DATE($D$2,$B$2,N$4)),0))</f>
        <v>0</v>
      </c>
      <c r="O27" s="239">
        <f>IF(O$4&gt;DAY(EOMONTH(DATE($D$2,$B$2,1),0)),"",IFERROR(SUMIFS(DATA_GOC!$H:$H,DATA_GOC!$A:$A,"BOM",DATA_GOC!$D:$D,$B27,DATA_GOC!$E:$E,"Téc 1",DATA_GOC!$F:$F,"Xuất nội bộ từ téc",DATA_GOC!$B:$B,DATE($D$2,$B$2,O$4)),0))</f>
        <v>0</v>
      </c>
      <c r="P27" s="239">
        <f>IF(P$4&gt;DAY(EOMONTH(DATE($D$2,$B$2,1),0)),"",IFERROR(SUMIFS(DATA_GOC!$H:$H,DATA_GOC!$A:$A,"BOM",DATA_GOC!$D:$D,$B27,DATA_GOC!$E:$E,"Téc 1",DATA_GOC!$F:$F,"Xuất nội bộ từ téc",DATA_GOC!$B:$B,DATE($D$2,$B$2,P$4)),0))</f>
        <v>0</v>
      </c>
      <c r="Q27" s="239">
        <f>IF(Q$4&gt;DAY(EOMONTH(DATE($D$2,$B$2,1),0)),"",IFERROR(SUMIFS(DATA_GOC!$H:$H,DATA_GOC!$A:$A,"BOM",DATA_GOC!$D:$D,$B27,DATA_GOC!$E:$E,"Téc 1",DATA_GOC!$F:$F,"Xuất nội bộ từ téc",DATA_GOC!$B:$B,DATE($D$2,$B$2,Q$4)),0))</f>
        <v>0</v>
      </c>
      <c r="R27" s="239">
        <f>IF(R$4&gt;DAY(EOMONTH(DATE($D$2,$B$2,1),0)),"",IFERROR(SUMIFS(DATA_GOC!$H:$H,DATA_GOC!$A:$A,"BOM",DATA_GOC!$D:$D,$B27,DATA_GOC!$E:$E,"Téc 1",DATA_GOC!$F:$F,"Xuất nội bộ từ téc",DATA_GOC!$B:$B,DATE($D$2,$B$2,R$4)),0))</f>
        <v>0</v>
      </c>
      <c r="S27" s="239">
        <f>IF(S$4&gt;DAY(EOMONTH(DATE($D$2,$B$2,1),0)),"",IFERROR(SUMIFS(DATA_GOC!$H:$H,DATA_GOC!$A:$A,"BOM",DATA_GOC!$D:$D,$B27,DATA_GOC!$E:$E,"Téc 1",DATA_GOC!$F:$F,"Xuất nội bộ từ téc",DATA_GOC!$B:$B,DATE($D$2,$B$2,S$4)),0))</f>
        <v>0</v>
      </c>
      <c r="T27" s="239">
        <f>IF(T$4&gt;DAY(EOMONTH(DATE($D$2,$B$2,1),0)),"",IFERROR(SUMIFS(DATA_GOC!$H:$H,DATA_GOC!$A:$A,"BOM",DATA_GOC!$D:$D,$B27,DATA_GOC!$E:$E,"Téc 1",DATA_GOC!$F:$F,"Xuất nội bộ từ téc",DATA_GOC!$B:$B,DATE($D$2,$B$2,T$4)),0))</f>
        <v>0</v>
      </c>
      <c r="U27" s="239">
        <f>IF(U$4&gt;DAY(EOMONTH(DATE($D$2,$B$2,1),0)),"",IFERROR(SUMIFS(DATA_GOC!$H:$H,DATA_GOC!$A:$A,"BOM",DATA_GOC!$D:$D,$B27,DATA_GOC!$E:$E,"Téc 1",DATA_GOC!$F:$F,"Xuất nội bộ từ téc",DATA_GOC!$B:$B,DATE($D$2,$B$2,U$4)),0))</f>
        <v>0</v>
      </c>
      <c r="V27" s="239">
        <f>IF(V$4&gt;DAY(EOMONTH(DATE($D$2,$B$2,1),0)),"",IFERROR(SUMIFS(DATA_GOC!$H:$H,DATA_GOC!$A:$A,"BOM",DATA_GOC!$D:$D,$B27,DATA_GOC!$E:$E,"Téc 1",DATA_GOC!$F:$F,"Xuất nội bộ từ téc",DATA_GOC!$B:$B,DATE($D$2,$B$2,V$4)),0))</f>
        <v>0</v>
      </c>
      <c r="W27" s="239">
        <f>IF(W$4&gt;DAY(EOMONTH(DATE($D$2,$B$2,1),0)),"",IFERROR(SUMIFS(DATA_GOC!$H:$H,DATA_GOC!$A:$A,"BOM",DATA_GOC!$D:$D,$B27,DATA_GOC!$E:$E,"Téc 1",DATA_GOC!$F:$F,"Xuất nội bộ từ téc",DATA_GOC!$B:$B,DATE($D$2,$B$2,W$4)),0))</f>
        <v>0</v>
      </c>
      <c r="X27" s="239">
        <f>IF(X$4&gt;DAY(EOMONTH(DATE($D$2,$B$2,1),0)),"",IFERROR(SUMIFS(DATA_GOC!$H:$H,DATA_GOC!$A:$A,"BOM",DATA_GOC!$D:$D,$B27,DATA_GOC!$E:$E,"Téc 1",DATA_GOC!$F:$F,"Xuất nội bộ từ téc",DATA_GOC!$B:$B,DATE($D$2,$B$2,X$4)),0))</f>
        <v>0</v>
      </c>
      <c r="Y27" s="239">
        <f>IF(Y$4&gt;DAY(EOMONTH(DATE($D$2,$B$2,1),0)),"",IFERROR(SUMIFS(DATA_GOC!$H:$H,DATA_GOC!$A:$A,"BOM",DATA_GOC!$D:$D,$B27,DATA_GOC!$E:$E,"Téc 1",DATA_GOC!$F:$F,"Xuất nội bộ từ téc",DATA_GOC!$B:$B,DATE($D$2,$B$2,Y$4)),0))</f>
        <v>0</v>
      </c>
      <c r="Z27" s="239">
        <f>IF(Z$4&gt;DAY(EOMONTH(DATE($D$2,$B$2,1),0)),"",IFERROR(SUMIFS(DATA_GOC!$H:$H,DATA_GOC!$A:$A,"BOM",DATA_GOC!$D:$D,$B27,DATA_GOC!$E:$E,"Téc 1",DATA_GOC!$F:$F,"Xuất nội bộ từ téc",DATA_GOC!$B:$B,DATE($D$2,$B$2,Z$4)),0))</f>
        <v>0</v>
      </c>
      <c r="AA27" s="239">
        <f>IF(AA$4&gt;DAY(EOMONTH(DATE($D$2,$B$2,1),0)),"",IFERROR(SUMIFS(DATA_GOC!$H:$H,DATA_GOC!$A:$A,"BOM",DATA_GOC!$D:$D,$B27,DATA_GOC!$E:$E,"Téc 1",DATA_GOC!$F:$F,"Xuất nội bộ từ téc",DATA_GOC!$B:$B,DATE($D$2,$B$2,AA$4)),0))</f>
        <v>0</v>
      </c>
      <c r="AB27" s="239">
        <f>IF(AB$4&gt;DAY(EOMONTH(DATE($D$2,$B$2,1),0)),"",IFERROR(SUMIFS(DATA_GOC!$H:$H,DATA_GOC!$A:$A,"BOM",DATA_GOC!$D:$D,$B27,DATA_GOC!$E:$E,"Téc 1",DATA_GOC!$F:$F,"Xuất nội bộ từ téc",DATA_GOC!$B:$B,DATE($D$2,$B$2,AB$4)),0))</f>
        <v>0</v>
      </c>
      <c r="AC27" s="239">
        <f>IF(AC$4&gt;DAY(EOMONTH(DATE($D$2,$B$2,1),0)),"",IFERROR(SUMIFS(DATA_GOC!$H:$H,DATA_GOC!$A:$A,"BOM",DATA_GOC!$D:$D,$B27,DATA_GOC!$E:$E,"Téc 1",DATA_GOC!$F:$F,"Xuất nội bộ từ téc",DATA_GOC!$B:$B,DATE($D$2,$B$2,AC$4)),0))</f>
        <v>0</v>
      </c>
      <c r="AD27" s="239">
        <f>IF(AD$4&gt;DAY(EOMONTH(DATE($D$2,$B$2,1),0)),"",IFERROR(SUMIFS(DATA_GOC!$H:$H,DATA_GOC!$A:$A,"BOM",DATA_GOC!$D:$D,$B27,DATA_GOC!$E:$E,"Téc 1",DATA_GOC!$F:$F,"Xuất nội bộ từ téc",DATA_GOC!$B:$B,DATE($D$2,$B$2,AD$4)),0))</f>
        <v>0</v>
      </c>
      <c r="AE27" s="239">
        <f>IF(AE$4&gt;DAY(EOMONTH(DATE($D$2,$B$2,1),0)),"",IFERROR(SUMIFS(DATA_GOC!$H:$H,DATA_GOC!$A:$A,"BOM",DATA_GOC!$D:$D,$B27,DATA_GOC!$E:$E,"Téc 1",DATA_GOC!$F:$F,"Xuất nội bộ từ téc",DATA_GOC!$B:$B,DATE($D$2,$B$2,AE$4)),0))</f>
        <v>0</v>
      </c>
      <c r="AF27" s="239">
        <f>IF(AF$4&gt;DAY(EOMONTH(DATE($D$2,$B$2,1),0)),"",IFERROR(SUMIFS(DATA_GOC!$H:$H,DATA_GOC!$A:$A,"BOM",DATA_GOC!$D:$D,$B27,DATA_GOC!$E:$E,"Téc 1",DATA_GOC!$F:$F,"Xuất nội bộ từ téc",DATA_GOC!$B:$B,DATE($D$2,$B$2,AF$4)),0))</f>
        <v>0</v>
      </c>
      <c r="AG27" s="239">
        <f>IF(AG$4&gt;DAY(EOMONTH(DATE($D$2,$B$2,1),0)),"",IFERROR(SUMIFS(DATA_GOC!$H:$H,DATA_GOC!$A:$A,"BOM",DATA_GOC!$D:$D,$B27,DATA_GOC!$E:$E,"Téc 1",DATA_GOC!$F:$F,"Xuất nội bộ từ téc",DATA_GOC!$B:$B,DATE($D$2,$B$2,AG$4)),0))</f>
        <v>0</v>
      </c>
      <c r="AH27" s="240">
        <f t="shared" si="1"/>
        <v>0</v>
      </c>
      <c r="AI27" s="241"/>
      <c r="AJ27" s="239">
        <f>IF($B27="","",SUMIFS(TINH_TEC!$K$233:$K$9232,TINH_TEC!$H$233:$H$9232,$B27,TINH_TEC!$C$233:$C$9232,"Téc 1",TINH_TEC!$F$233:$F$9232,$B$2,TINH_TEC!$G$233:$G$9232,$D$2,TINH_TEC!$B$233:$B$9232,"Đã chốt"))</f>
        <v>0</v>
      </c>
      <c r="AK27" s="239">
        <f>IF($B27="","",SUMIFS(TINH_TEC!$J$233:$J$9232,TINH_TEC!$H$233:$H$9232,$B27,TINH_TEC!$C$233:$C$9232,"Téc 1",TINH_TEC!$F$233:$F$9232,$B$2,TINH_TEC!$G$233:$G$9232,$D$2,TINH_TEC!$B$233:$B$9232,"Đã chốt"))</f>
        <v>0</v>
      </c>
      <c r="AL27" s="239">
        <f t="shared" si="2"/>
        <v>0</v>
      </c>
    </row>
    <row r="28" ht="15.75" customHeight="1">
      <c r="A28" s="237">
        <f>IF($B28&lt;&gt;"",23,"")</f>
        <v>23</v>
      </c>
      <c r="B28" s="238" t="str">
        <f t="array" ref="B28">IFERROR(INDEX(DANH_MUC!$E:$E,26),"")</f>
        <v>28C04509</v>
      </c>
      <c r="C28" s="239">
        <f>IF(C$4&gt;DAY(EOMONTH(DATE($D$2,$B$2,1),0)),"",IFERROR(SUMIFS(DATA_GOC!$H:$H,DATA_GOC!$A:$A,"BOM",DATA_GOC!$D:$D,$B28,DATA_GOC!$E:$E,"Téc 1",DATA_GOC!$F:$F,"Xuất nội bộ từ téc",DATA_GOC!$B:$B,DATE($D$2,$B$2,C$4)),0))</f>
        <v>0</v>
      </c>
      <c r="D28" s="239">
        <f>IF(D$4&gt;DAY(EOMONTH(DATE($D$2,$B$2,1),0)),"",IFERROR(SUMIFS(DATA_GOC!$H:$H,DATA_GOC!$A:$A,"BOM",DATA_GOC!$D:$D,$B28,DATA_GOC!$E:$E,"Téc 1",DATA_GOC!$F:$F,"Xuất nội bộ từ téc",DATA_GOC!$B:$B,DATE($D$2,$B$2,D$4)),0))</f>
        <v>0</v>
      </c>
      <c r="E28" s="239">
        <f>IF(E$4&gt;DAY(EOMONTH(DATE($D$2,$B$2,1),0)),"",IFERROR(SUMIFS(DATA_GOC!$H:$H,DATA_GOC!$A:$A,"BOM",DATA_GOC!$D:$D,$B28,DATA_GOC!$E:$E,"Téc 1",DATA_GOC!$F:$F,"Xuất nội bộ từ téc",DATA_GOC!$B:$B,DATE($D$2,$B$2,E$4)),0))</f>
        <v>0</v>
      </c>
      <c r="F28" s="239">
        <f>IF(F$4&gt;DAY(EOMONTH(DATE($D$2,$B$2,1),0)),"",IFERROR(SUMIFS(DATA_GOC!$H:$H,DATA_GOC!$A:$A,"BOM",DATA_GOC!$D:$D,$B28,DATA_GOC!$E:$E,"Téc 1",DATA_GOC!$F:$F,"Xuất nội bộ từ téc",DATA_GOC!$B:$B,DATE($D$2,$B$2,F$4)),0))</f>
        <v>0</v>
      </c>
      <c r="G28" s="239">
        <f>IF(G$4&gt;DAY(EOMONTH(DATE($D$2,$B$2,1),0)),"",IFERROR(SUMIFS(DATA_GOC!$H:$H,DATA_GOC!$A:$A,"BOM",DATA_GOC!$D:$D,$B28,DATA_GOC!$E:$E,"Téc 1",DATA_GOC!$F:$F,"Xuất nội bộ từ téc",DATA_GOC!$B:$B,DATE($D$2,$B$2,G$4)),0))</f>
        <v>0</v>
      </c>
      <c r="H28" s="239">
        <f>IF(H$4&gt;DAY(EOMONTH(DATE($D$2,$B$2,1),0)),"",IFERROR(SUMIFS(DATA_GOC!$H:$H,DATA_GOC!$A:$A,"BOM",DATA_GOC!$D:$D,$B28,DATA_GOC!$E:$E,"Téc 1",DATA_GOC!$F:$F,"Xuất nội bộ từ téc",DATA_GOC!$B:$B,DATE($D$2,$B$2,H$4)),0))</f>
        <v>0</v>
      </c>
      <c r="I28" s="239">
        <f>IF(I$4&gt;DAY(EOMONTH(DATE($D$2,$B$2,1),0)),"",IFERROR(SUMIFS(DATA_GOC!$H:$H,DATA_GOC!$A:$A,"BOM",DATA_GOC!$D:$D,$B28,DATA_GOC!$E:$E,"Téc 1",DATA_GOC!$F:$F,"Xuất nội bộ từ téc",DATA_GOC!$B:$B,DATE($D$2,$B$2,I$4)),0))</f>
        <v>0</v>
      </c>
      <c r="J28" s="239">
        <f>IF(J$4&gt;DAY(EOMONTH(DATE($D$2,$B$2,1),0)),"",IFERROR(SUMIFS(DATA_GOC!$H:$H,DATA_GOC!$A:$A,"BOM",DATA_GOC!$D:$D,$B28,DATA_GOC!$E:$E,"Téc 1",DATA_GOC!$F:$F,"Xuất nội bộ từ téc",DATA_GOC!$B:$B,DATE($D$2,$B$2,J$4)),0))</f>
        <v>0</v>
      </c>
      <c r="K28" s="239">
        <f>IF(K$4&gt;DAY(EOMONTH(DATE($D$2,$B$2,1),0)),"",IFERROR(SUMIFS(DATA_GOC!$H:$H,DATA_GOC!$A:$A,"BOM",DATA_GOC!$D:$D,$B28,DATA_GOC!$E:$E,"Téc 1",DATA_GOC!$F:$F,"Xuất nội bộ từ téc",DATA_GOC!$B:$B,DATE($D$2,$B$2,K$4)),0))</f>
        <v>0</v>
      </c>
      <c r="L28" s="239">
        <f>IF(L$4&gt;DAY(EOMONTH(DATE($D$2,$B$2,1),0)),"",IFERROR(SUMIFS(DATA_GOC!$H:$H,DATA_GOC!$A:$A,"BOM",DATA_GOC!$D:$D,$B28,DATA_GOC!$E:$E,"Téc 1",DATA_GOC!$F:$F,"Xuất nội bộ từ téc",DATA_GOC!$B:$B,DATE($D$2,$B$2,L$4)),0))</f>
        <v>0</v>
      </c>
      <c r="M28" s="239">
        <f>IF(M$4&gt;DAY(EOMONTH(DATE($D$2,$B$2,1),0)),"",IFERROR(SUMIFS(DATA_GOC!$H:$H,DATA_GOC!$A:$A,"BOM",DATA_GOC!$D:$D,$B28,DATA_GOC!$E:$E,"Téc 1",DATA_GOC!$F:$F,"Xuất nội bộ từ téc",DATA_GOC!$B:$B,DATE($D$2,$B$2,M$4)),0))</f>
        <v>0</v>
      </c>
      <c r="N28" s="239">
        <f>IF(N$4&gt;DAY(EOMONTH(DATE($D$2,$B$2,1),0)),"",IFERROR(SUMIFS(DATA_GOC!$H:$H,DATA_GOC!$A:$A,"BOM",DATA_GOC!$D:$D,$B28,DATA_GOC!$E:$E,"Téc 1",DATA_GOC!$F:$F,"Xuất nội bộ từ téc",DATA_GOC!$B:$B,DATE($D$2,$B$2,N$4)),0))</f>
        <v>0</v>
      </c>
      <c r="O28" s="239">
        <f>IF(O$4&gt;DAY(EOMONTH(DATE($D$2,$B$2,1),0)),"",IFERROR(SUMIFS(DATA_GOC!$H:$H,DATA_GOC!$A:$A,"BOM",DATA_GOC!$D:$D,$B28,DATA_GOC!$E:$E,"Téc 1",DATA_GOC!$F:$F,"Xuất nội bộ từ téc",DATA_GOC!$B:$B,DATE($D$2,$B$2,O$4)),0))</f>
        <v>0</v>
      </c>
      <c r="P28" s="239">
        <f>IF(P$4&gt;DAY(EOMONTH(DATE($D$2,$B$2,1),0)),"",IFERROR(SUMIFS(DATA_GOC!$H:$H,DATA_GOC!$A:$A,"BOM",DATA_GOC!$D:$D,$B28,DATA_GOC!$E:$E,"Téc 1",DATA_GOC!$F:$F,"Xuất nội bộ từ téc",DATA_GOC!$B:$B,DATE($D$2,$B$2,P$4)),0))</f>
        <v>0</v>
      </c>
      <c r="Q28" s="239">
        <f>IF(Q$4&gt;DAY(EOMONTH(DATE($D$2,$B$2,1),0)),"",IFERROR(SUMIFS(DATA_GOC!$H:$H,DATA_GOC!$A:$A,"BOM",DATA_GOC!$D:$D,$B28,DATA_GOC!$E:$E,"Téc 1",DATA_GOC!$F:$F,"Xuất nội bộ từ téc",DATA_GOC!$B:$B,DATE($D$2,$B$2,Q$4)),0))</f>
        <v>0</v>
      </c>
      <c r="R28" s="239">
        <f>IF(R$4&gt;DAY(EOMONTH(DATE($D$2,$B$2,1),0)),"",IFERROR(SUMIFS(DATA_GOC!$H:$H,DATA_GOC!$A:$A,"BOM",DATA_GOC!$D:$D,$B28,DATA_GOC!$E:$E,"Téc 1",DATA_GOC!$F:$F,"Xuất nội bộ từ téc",DATA_GOC!$B:$B,DATE($D$2,$B$2,R$4)),0))</f>
        <v>0</v>
      </c>
      <c r="S28" s="239">
        <f>IF(S$4&gt;DAY(EOMONTH(DATE($D$2,$B$2,1),0)),"",IFERROR(SUMIFS(DATA_GOC!$H:$H,DATA_GOC!$A:$A,"BOM",DATA_GOC!$D:$D,$B28,DATA_GOC!$E:$E,"Téc 1",DATA_GOC!$F:$F,"Xuất nội bộ từ téc",DATA_GOC!$B:$B,DATE($D$2,$B$2,S$4)),0))</f>
        <v>0</v>
      </c>
      <c r="T28" s="239">
        <f>IF(T$4&gt;DAY(EOMONTH(DATE($D$2,$B$2,1),0)),"",IFERROR(SUMIFS(DATA_GOC!$H:$H,DATA_GOC!$A:$A,"BOM",DATA_GOC!$D:$D,$B28,DATA_GOC!$E:$E,"Téc 1",DATA_GOC!$F:$F,"Xuất nội bộ từ téc",DATA_GOC!$B:$B,DATE($D$2,$B$2,T$4)),0))</f>
        <v>0</v>
      </c>
      <c r="U28" s="239">
        <f>IF(U$4&gt;DAY(EOMONTH(DATE($D$2,$B$2,1),0)),"",IFERROR(SUMIFS(DATA_GOC!$H:$H,DATA_GOC!$A:$A,"BOM",DATA_GOC!$D:$D,$B28,DATA_GOC!$E:$E,"Téc 1",DATA_GOC!$F:$F,"Xuất nội bộ từ téc",DATA_GOC!$B:$B,DATE($D$2,$B$2,U$4)),0))</f>
        <v>0</v>
      </c>
      <c r="V28" s="239">
        <f>IF(V$4&gt;DAY(EOMONTH(DATE($D$2,$B$2,1),0)),"",IFERROR(SUMIFS(DATA_GOC!$H:$H,DATA_GOC!$A:$A,"BOM",DATA_GOC!$D:$D,$B28,DATA_GOC!$E:$E,"Téc 1",DATA_GOC!$F:$F,"Xuất nội bộ từ téc",DATA_GOC!$B:$B,DATE($D$2,$B$2,V$4)),0))</f>
        <v>0</v>
      </c>
      <c r="W28" s="239">
        <f>IF(W$4&gt;DAY(EOMONTH(DATE($D$2,$B$2,1),0)),"",IFERROR(SUMIFS(DATA_GOC!$H:$H,DATA_GOC!$A:$A,"BOM",DATA_GOC!$D:$D,$B28,DATA_GOC!$E:$E,"Téc 1",DATA_GOC!$F:$F,"Xuất nội bộ từ téc",DATA_GOC!$B:$B,DATE($D$2,$B$2,W$4)),0))</f>
        <v>0</v>
      </c>
      <c r="X28" s="239">
        <f>IF(X$4&gt;DAY(EOMONTH(DATE($D$2,$B$2,1),0)),"",IFERROR(SUMIFS(DATA_GOC!$H:$H,DATA_GOC!$A:$A,"BOM",DATA_GOC!$D:$D,$B28,DATA_GOC!$E:$E,"Téc 1",DATA_GOC!$F:$F,"Xuất nội bộ từ téc",DATA_GOC!$B:$B,DATE($D$2,$B$2,X$4)),0))</f>
        <v>0</v>
      </c>
      <c r="Y28" s="239">
        <f>IF(Y$4&gt;DAY(EOMONTH(DATE($D$2,$B$2,1),0)),"",IFERROR(SUMIFS(DATA_GOC!$H:$H,DATA_GOC!$A:$A,"BOM",DATA_GOC!$D:$D,$B28,DATA_GOC!$E:$E,"Téc 1",DATA_GOC!$F:$F,"Xuất nội bộ từ téc",DATA_GOC!$B:$B,DATE($D$2,$B$2,Y$4)),0))</f>
        <v>0</v>
      </c>
      <c r="Z28" s="239">
        <f>IF(Z$4&gt;DAY(EOMONTH(DATE($D$2,$B$2,1),0)),"",IFERROR(SUMIFS(DATA_GOC!$H:$H,DATA_GOC!$A:$A,"BOM",DATA_GOC!$D:$D,$B28,DATA_GOC!$E:$E,"Téc 1",DATA_GOC!$F:$F,"Xuất nội bộ từ téc",DATA_GOC!$B:$B,DATE($D$2,$B$2,Z$4)),0))</f>
        <v>0</v>
      </c>
      <c r="AA28" s="239">
        <f>IF(AA$4&gt;DAY(EOMONTH(DATE($D$2,$B$2,1),0)),"",IFERROR(SUMIFS(DATA_GOC!$H:$H,DATA_GOC!$A:$A,"BOM",DATA_GOC!$D:$D,$B28,DATA_GOC!$E:$E,"Téc 1",DATA_GOC!$F:$F,"Xuất nội bộ từ téc",DATA_GOC!$B:$B,DATE($D$2,$B$2,AA$4)),0))</f>
        <v>0</v>
      </c>
      <c r="AB28" s="239">
        <f>IF(AB$4&gt;DAY(EOMONTH(DATE($D$2,$B$2,1),0)),"",IFERROR(SUMIFS(DATA_GOC!$H:$H,DATA_GOC!$A:$A,"BOM",DATA_GOC!$D:$D,$B28,DATA_GOC!$E:$E,"Téc 1",DATA_GOC!$F:$F,"Xuất nội bộ từ téc",DATA_GOC!$B:$B,DATE($D$2,$B$2,AB$4)),0))</f>
        <v>0</v>
      </c>
      <c r="AC28" s="239">
        <f>IF(AC$4&gt;DAY(EOMONTH(DATE($D$2,$B$2,1),0)),"",IFERROR(SUMIFS(DATA_GOC!$H:$H,DATA_GOC!$A:$A,"BOM",DATA_GOC!$D:$D,$B28,DATA_GOC!$E:$E,"Téc 1",DATA_GOC!$F:$F,"Xuất nội bộ từ téc",DATA_GOC!$B:$B,DATE($D$2,$B$2,AC$4)),0))</f>
        <v>0</v>
      </c>
      <c r="AD28" s="239">
        <f>IF(AD$4&gt;DAY(EOMONTH(DATE($D$2,$B$2,1),0)),"",IFERROR(SUMIFS(DATA_GOC!$H:$H,DATA_GOC!$A:$A,"BOM",DATA_GOC!$D:$D,$B28,DATA_GOC!$E:$E,"Téc 1",DATA_GOC!$F:$F,"Xuất nội bộ từ téc",DATA_GOC!$B:$B,DATE($D$2,$B$2,AD$4)),0))</f>
        <v>0</v>
      </c>
      <c r="AE28" s="239">
        <f>IF(AE$4&gt;DAY(EOMONTH(DATE($D$2,$B$2,1),0)),"",IFERROR(SUMIFS(DATA_GOC!$H:$H,DATA_GOC!$A:$A,"BOM",DATA_GOC!$D:$D,$B28,DATA_GOC!$E:$E,"Téc 1",DATA_GOC!$F:$F,"Xuất nội bộ từ téc",DATA_GOC!$B:$B,DATE($D$2,$B$2,AE$4)),0))</f>
        <v>0</v>
      </c>
      <c r="AF28" s="239">
        <f>IF(AF$4&gt;DAY(EOMONTH(DATE($D$2,$B$2,1),0)),"",IFERROR(SUMIFS(DATA_GOC!$H:$H,DATA_GOC!$A:$A,"BOM",DATA_GOC!$D:$D,$B28,DATA_GOC!$E:$E,"Téc 1",DATA_GOC!$F:$F,"Xuất nội bộ từ téc",DATA_GOC!$B:$B,DATE($D$2,$B$2,AF$4)),0))</f>
        <v>0</v>
      </c>
      <c r="AG28" s="239">
        <f>IF(AG$4&gt;DAY(EOMONTH(DATE($D$2,$B$2,1),0)),"",IFERROR(SUMIFS(DATA_GOC!$H:$H,DATA_GOC!$A:$A,"BOM",DATA_GOC!$D:$D,$B28,DATA_GOC!$E:$E,"Téc 1",DATA_GOC!$F:$F,"Xuất nội bộ từ téc",DATA_GOC!$B:$B,DATE($D$2,$B$2,AG$4)),0))</f>
        <v>0</v>
      </c>
      <c r="AH28" s="240">
        <f t="shared" si="1"/>
        <v>0</v>
      </c>
      <c r="AI28" s="241"/>
      <c r="AJ28" s="239">
        <f>IF($B28="","",SUMIFS(TINH_TEC!$K$233:$K$9232,TINH_TEC!$H$233:$H$9232,$B28,TINH_TEC!$C$233:$C$9232,"Téc 1",TINH_TEC!$F$233:$F$9232,$B$2,TINH_TEC!$G$233:$G$9232,$D$2,TINH_TEC!$B$233:$B$9232,"Đã chốt"))</f>
        <v>0</v>
      </c>
      <c r="AK28" s="239">
        <f>IF($B28="","",SUMIFS(TINH_TEC!$J$233:$J$9232,TINH_TEC!$H$233:$H$9232,$B28,TINH_TEC!$C$233:$C$9232,"Téc 1",TINH_TEC!$F$233:$F$9232,$B$2,TINH_TEC!$G$233:$G$9232,$D$2,TINH_TEC!$B$233:$B$9232,"Đã chốt"))</f>
        <v>0</v>
      </c>
      <c r="AL28" s="239">
        <f t="shared" si="2"/>
        <v>0</v>
      </c>
    </row>
    <row r="29" ht="15.75" customHeight="1">
      <c r="A29" s="237">
        <f>IF($B29&lt;&gt;"",24,"")</f>
        <v>24</v>
      </c>
      <c r="B29" s="238" t="str">
        <f t="array" ref="B29">IFERROR(INDEX(DANH_MUC!$E:$E,27),"")</f>
        <v>28C04536</v>
      </c>
      <c r="C29" s="239">
        <f>IF(C$4&gt;DAY(EOMONTH(DATE($D$2,$B$2,1),0)),"",IFERROR(SUMIFS(DATA_GOC!$H:$H,DATA_GOC!$A:$A,"BOM",DATA_GOC!$D:$D,$B29,DATA_GOC!$E:$E,"Téc 1",DATA_GOC!$F:$F,"Xuất nội bộ từ téc",DATA_GOC!$B:$B,DATE($D$2,$B$2,C$4)),0))</f>
        <v>0</v>
      </c>
      <c r="D29" s="239">
        <f>IF(D$4&gt;DAY(EOMONTH(DATE($D$2,$B$2,1),0)),"",IFERROR(SUMIFS(DATA_GOC!$H:$H,DATA_GOC!$A:$A,"BOM",DATA_GOC!$D:$D,$B29,DATA_GOC!$E:$E,"Téc 1",DATA_GOC!$F:$F,"Xuất nội bộ từ téc",DATA_GOC!$B:$B,DATE($D$2,$B$2,D$4)),0))</f>
        <v>0</v>
      </c>
      <c r="E29" s="239">
        <f>IF(E$4&gt;DAY(EOMONTH(DATE($D$2,$B$2,1),0)),"",IFERROR(SUMIFS(DATA_GOC!$H:$H,DATA_GOC!$A:$A,"BOM",DATA_GOC!$D:$D,$B29,DATA_GOC!$E:$E,"Téc 1",DATA_GOC!$F:$F,"Xuất nội bộ từ téc",DATA_GOC!$B:$B,DATE($D$2,$B$2,E$4)),0))</f>
        <v>0</v>
      </c>
      <c r="F29" s="239">
        <f>IF(F$4&gt;DAY(EOMONTH(DATE($D$2,$B$2,1),0)),"",IFERROR(SUMIFS(DATA_GOC!$H:$H,DATA_GOC!$A:$A,"BOM",DATA_GOC!$D:$D,$B29,DATA_GOC!$E:$E,"Téc 1",DATA_GOC!$F:$F,"Xuất nội bộ từ téc",DATA_GOC!$B:$B,DATE($D$2,$B$2,F$4)),0))</f>
        <v>0</v>
      </c>
      <c r="G29" s="239">
        <f>IF(G$4&gt;DAY(EOMONTH(DATE($D$2,$B$2,1),0)),"",IFERROR(SUMIFS(DATA_GOC!$H:$H,DATA_GOC!$A:$A,"BOM",DATA_GOC!$D:$D,$B29,DATA_GOC!$E:$E,"Téc 1",DATA_GOC!$F:$F,"Xuất nội bộ từ téc",DATA_GOC!$B:$B,DATE($D$2,$B$2,G$4)),0))</f>
        <v>0</v>
      </c>
      <c r="H29" s="239">
        <f>IF(H$4&gt;DAY(EOMONTH(DATE($D$2,$B$2,1),0)),"",IFERROR(SUMIFS(DATA_GOC!$H:$H,DATA_GOC!$A:$A,"BOM",DATA_GOC!$D:$D,$B29,DATA_GOC!$E:$E,"Téc 1",DATA_GOC!$F:$F,"Xuất nội bộ từ téc",DATA_GOC!$B:$B,DATE($D$2,$B$2,H$4)),0))</f>
        <v>0</v>
      </c>
      <c r="I29" s="239">
        <f>IF(I$4&gt;DAY(EOMONTH(DATE($D$2,$B$2,1),0)),"",IFERROR(SUMIFS(DATA_GOC!$H:$H,DATA_GOC!$A:$A,"BOM",DATA_GOC!$D:$D,$B29,DATA_GOC!$E:$E,"Téc 1",DATA_GOC!$F:$F,"Xuất nội bộ từ téc",DATA_GOC!$B:$B,DATE($D$2,$B$2,I$4)),0))</f>
        <v>0</v>
      </c>
      <c r="J29" s="239">
        <f>IF(J$4&gt;DAY(EOMONTH(DATE($D$2,$B$2,1),0)),"",IFERROR(SUMIFS(DATA_GOC!$H:$H,DATA_GOC!$A:$A,"BOM",DATA_GOC!$D:$D,$B29,DATA_GOC!$E:$E,"Téc 1",DATA_GOC!$F:$F,"Xuất nội bộ từ téc",DATA_GOC!$B:$B,DATE($D$2,$B$2,J$4)),0))</f>
        <v>0</v>
      </c>
      <c r="K29" s="239">
        <f>IF(K$4&gt;DAY(EOMONTH(DATE($D$2,$B$2,1),0)),"",IFERROR(SUMIFS(DATA_GOC!$H:$H,DATA_GOC!$A:$A,"BOM",DATA_GOC!$D:$D,$B29,DATA_GOC!$E:$E,"Téc 1",DATA_GOC!$F:$F,"Xuất nội bộ từ téc",DATA_GOC!$B:$B,DATE($D$2,$B$2,K$4)),0))</f>
        <v>0</v>
      </c>
      <c r="L29" s="239">
        <f>IF(L$4&gt;DAY(EOMONTH(DATE($D$2,$B$2,1),0)),"",IFERROR(SUMIFS(DATA_GOC!$H:$H,DATA_GOC!$A:$A,"BOM",DATA_GOC!$D:$D,$B29,DATA_GOC!$E:$E,"Téc 1",DATA_GOC!$F:$F,"Xuất nội bộ từ téc",DATA_GOC!$B:$B,DATE($D$2,$B$2,L$4)),0))</f>
        <v>0</v>
      </c>
      <c r="M29" s="239">
        <f>IF(M$4&gt;DAY(EOMONTH(DATE($D$2,$B$2,1),0)),"",IFERROR(SUMIFS(DATA_GOC!$H:$H,DATA_GOC!$A:$A,"BOM",DATA_GOC!$D:$D,$B29,DATA_GOC!$E:$E,"Téc 1",DATA_GOC!$F:$F,"Xuất nội bộ từ téc",DATA_GOC!$B:$B,DATE($D$2,$B$2,M$4)),0))</f>
        <v>0</v>
      </c>
      <c r="N29" s="239">
        <f>IF(N$4&gt;DAY(EOMONTH(DATE($D$2,$B$2,1),0)),"",IFERROR(SUMIFS(DATA_GOC!$H:$H,DATA_GOC!$A:$A,"BOM",DATA_GOC!$D:$D,$B29,DATA_GOC!$E:$E,"Téc 1",DATA_GOC!$F:$F,"Xuất nội bộ từ téc",DATA_GOC!$B:$B,DATE($D$2,$B$2,N$4)),0))</f>
        <v>0</v>
      </c>
      <c r="O29" s="239">
        <f>IF(O$4&gt;DAY(EOMONTH(DATE($D$2,$B$2,1),0)),"",IFERROR(SUMIFS(DATA_GOC!$H:$H,DATA_GOC!$A:$A,"BOM",DATA_GOC!$D:$D,$B29,DATA_GOC!$E:$E,"Téc 1",DATA_GOC!$F:$F,"Xuất nội bộ từ téc",DATA_GOC!$B:$B,DATE($D$2,$B$2,O$4)),0))</f>
        <v>0</v>
      </c>
      <c r="P29" s="239">
        <f>IF(P$4&gt;DAY(EOMONTH(DATE($D$2,$B$2,1),0)),"",IFERROR(SUMIFS(DATA_GOC!$H:$H,DATA_GOC!$A:$A,"BOM",DATA_GOC!$D:$D,$B29,DATA_GOC!$E:$E,"Téc 1",DATA_GOC!$F:$F,"Xuất nội bộ từ téc",DATA_GOC!$B:$B,DATE($D$2,$B$2,P$4)),0))</f>
        <v>0</v>
      </c>
      <c r="Q29" s="239">
        <f>IF(Q$4&gt;DAY(EOMONTH(DATE($D$2,$B$2,1),0)),"",IFERROR(SUMIFS(DATA_GOC!$H:$H,DATA_GOC!$A:$A,"BOM",DATA_GOC!$D:$D,$B29,DATA_GOC!$E:$E,"Téc 1",DATA_GOC!$F:$F,"Xuất nội bộ từ téc",DATA_GOC!$B:$B,DATE($D$2,$B$2,Q$4)),0))</f>
        <v>0</v>
      </c>
      <c r="R29" s="239">
        <f>IF(R$4&gt;DAY(EOMONTH(DATE($D$2,$B$2,1),0)),"",IFERROR(SUMIFS(DATA_GOC!$H:$H,DATA_GOC!$A:$A,"BOM",DATA_GOC!$D:$D,$B29,DATA_GOC!$E:$E,"Téc 1",DATA_GOC!$F:$F,"Xuất nội bộ từ téc",DATA_GOC!$B:$B,DATE($D$2,$B$2,R$4)),0))</f>
        <v>0</v>
      </c>
      <c r="S29" s="239">
        <f>IF(S$4&gt;DAY(EOMONTH(DATE($D$2,$B$2,1),0)),"",IFERROR(SUMIFS(DATA_GOC!$H:$H,DATA_GOC!$A:$A,"BOM",DATA_GOC!$D:$D,$B29,DATA_GOC!$E:$E,"Téc 1",DATA_GOC!$F:$F,"Xuất nội bộ từ téc",DATA_GOC!$B:$B,DATE($D$2,$B$2,S$4)),0))</f>
        <v>0</v>
      </c>
      <c r="T29" s="239">
        <f>IF(T$4&gt;DAY(EOMONTH(DATE($D$2,$B$2,1),0)),"",IFERROR(SUMIFS(DATA_GOC!$H:$H,DATA_GOC!$A:$A,"BOM",DATA_GOC!$D:$D,$B29,DATA_GOC!$E:$E,"Téc 1",DATA_GOC!$F:$F,"Xuất nội bộ từ téc",DATA_GOC!$B:$B,DATE($D$2,$B$2,T$4)),0))</f>
        <v>0</v>
      </c>
      <c r="U29" s="239">
        <f>IF(U$4&gt;DAY(EOMONTH(DATE($D$2,$B$2,1),0)),"",IFERROR(SUMIFS(DATA_GOC!$H:$H,DATA_GOC!$A:$A,"BOM",DATA_GOC!$D:$D,$B29,DATA_GOC!$E:$E,"Téc 1",DATA_GOC!$F:$F,"Xuất nội bộ từ téc",DATA_GOC!$B:$B,DATE($D$2,$B$2,U$4)),0))</f>
        <v>0</v>
      </c>
      <c r="V29" s="239">
        <f>IF(V$4&gt;DAY(EOMONTH(DATE($D$2,$B$2,1),0)),"",IFERROR(SUMIFS(DATA_GOC!$H:$H,DATA_GOC!$A:$A,"BOM",DATA_GOC!$D:$D,$B29,DATA_GOC!$E:$E,"Téc 1",DATA_GOC!$F:$F,"Xuất nội bộ từ téc",DATA_GOC!$B:$B,DATE($D$2,$B$2,V$4)),0))</f>
        <v>0</v>
      </c>
      <c r="W29" s="239">
        <f>IF(W$4&gt;DAY(EOMONTH(DATE($D$2,$B$2,1),0)),"",IFERROR(SUMIFS(DATA_GOC!$H:$H,DATA_GOC!$A:$A,"BOM",DATA_GOC!$D:$D,$B29,DATA_GOC!$E:$E,"Téc 1",DATA_GOC!$F:$F,"Xuất nội bộ từ téc",DATA_GOC!$B:$B,DATE($D$2,$B$2,W$4)),0))</f>
        <v>0</v>
      </c>
      <c r="X29" s="239">
        <f>IF(X$4&gt;DAY(EOMONTH(DATE($D$2,$B$2,1),0)),"",IFERROR(SUMIFS(DATA_GOC!$H:$H,DATA_GOC!$A:$A,"BOM",DATA_GOC!$D:$D,$B29,DATA_GOC!$E:$E,"Téc 1",DATA_GOC!$F:$F,"Xuất nội bộ từ téc",DATA_GOC!$B:$B,DATE($D$2,$B$2,X$4)),0))</f>
        <v>0</v>
      </c>
      <c r="Y29" s="239">
        <f>IF(Y$4&gt;DAY(EOMONTH(DATE($D$2,$B$2,1),0)),"",IFERROR(SUMIFS(DATA_GOC!$H:$H,DATA_GOC!$A:$A,"BOM",DATA_GOC!$D:$D,$B29,DATA_GOC!$E:$E,"Téc 1",DATA_GOC!$F:$F,"Xuất nội bộ từ téc",DATA_GOC!$B:$B,DATE($D$2,$B$2,Y$4)),0))</f>
        <v>0</v>
      </c>
      <c r="Z29" s="239">
        <f>IF(Z$4&gt;DAY(EOMONTH(DATE($D$2,$B$2,1),0)),"",IFERROR(SUMIFS(DATA_GOC!$H:$H,DATA_GOC!$A:$A,"BOM",DATA_GOC!$D:$D,$B29,DATA_GOC!$E:$E,"Téc 1",DATA_GOC!$F:$F,"Xuất nội bộ từ téc",DATA_GOC!$B:$B,DATE($D$2,$B$2,Z$4)),0))</f>
        <v>0</v>
      </c>
      <c r="AA29" s="239">
        <f>IF(AA$4&gt;DAY(EOMONTH(DATE($D$2,$B$2,1),0)),"",IFERROR(SUMIFS(DATA_GOC!$H:$H,DATA_GOC!$A:$A,"BOM",DATA_GOC!$D:$D,$B29,DATA_GOC!$E:$E,"Téc 1",DATA_GOC!$F:$F,"Xuất nội bộ từ téc",DATA_GOC!$B:$B,DATE($D$2,$B$2,AA$4)),0))</f>
        <v>0</v>
      </c>
      <c r="AB29" s="239">
        <f>IF(AB$4&gt;DAY(EOMONTH(DATE($D$2,$B$2,1),0)),"",IFERROR(SUMIFS(DATA_GOC!$H:$H,DATA_GOC!$A:$A,"BOM",DATA_GOC!$D:$D,$B29,DATA_GOC!$E:$E,"Téc 1",DATA_GOC!$F:$F,"Xuất nội bộ từ téc",DATA_GOC!$B:$B,DATE($D$2,$B$2,AB$4)),0))</f>
        <v>0</v>
      </c>
      <c r="AC29" s="239">
        <f>IF(AC$4&gt;DAY(EOMONTH(DATE($D$2,$B$2,1),0)),"",IFERROR(SUMIFS(DATA_GOC!$H:$H,DATA_GOC!$A:$A,"BOM",DATA_GOC!$D:$D,$B29,DATA_GOC!$E:$E,"Téc 1",DATA_GOC!$F:$F,"Xuất nội bộ từ téc",DATA_GOC!$B:$B,DATE($D$2,$B$2,AC$4)),0))</f>
        <v>0</v>
      </c>
      <c r="AD29" s="239">
        <f>IF(AD$4&gt;DAY(EOMONTH(DATE($D$2,$B$2,1),0)),"",IFERROR(SUMIFS(DATA_GOC!$H:$H,DATA_GOC!$A:$A,"BOM",DATA_GOC!$D:$D,$B29,DATA_GOC!$E:$E,"Téc 1",DATA_GOC!$F:$F,"Xuất nội bộ từ téc",DATA_GOC!$B:$B,DATE($D$2,$B$2,AD$4)),0))</f>
        <v>0</v>
      </c>
      <c r="AE29" s="239">
        <f>IF(AE$4&gt;DAY(EOMONTH(DATE($D$2,$B$2,1),0)),"",IFERROR(SUMIFS(DATA_GOC!$H:$H,DATA_GOC!$A:$A,"BOM",DATA_GOC!$D:$D,$B29,DATA_GOC!$E:$E,"Téc 1",DATA_GOC!$F:$F,"Xuất nội bộ từ téc",DATA_GOC!$B:$B,DATE($D$2,$B$2,AE$4)),0))</f>
        <v>0</v>
      </c>
      <c r="AF29" s="239">
        <f>IF(AF$4&gt;DAY(EOMONTH(DATE($D$2,$B$2,1),0)),"",IFERROR(SUMIFS(DATA_GOC!$H:$H,DATA_GOC!$A:$A,"BOM",DATA_GOC!$D:$D,$B29,DATA_GOC!$E:$E,"Téc 1",DATA_GOC!$F:$F,"Xuất nội bộ từ téc",DATA_GOC!$B:$B,DATE($D$2,$B$2,AF$4)),0))</f>
        <v>0</v>
      </c>
      <c r="AG29" s="239">
        <f>IF(AG$4&gt;DAY(EOMONTH(DATE($D$2,$B$2,1),0)),"",IFERROR(SUMIFS(DATA_GOC!$H:$H,DATA_GOC!$A:$A,"BOM",DATA_GOC!$D:$D,$B29,DATA_GOC!$E:$E,"Téc 1",DATA_GOC!$F:$F,"Xuất nội bộ từ téc",DATA_GOC!$B:$B,DATE($D$2,$B$2,AG$4)),0))</f>
        <v>0</v>
      </c>
      <c r="AH29" s="240">
        <f t="shared" si="1"/>
        <v>0</v>
      </c>
      <c r="AI29" s="241"/>
      <c r="AJ29" s="239">
        <f>IF($B29="","",SUMIFS(TINH_TEC!$K$233:$K$9232,TINH_TEC!$H$233:$H$9232,$B29,TINH_TEC!$C$233:$C$9232,"Téc 1",TINH_TEC!$F$233:$F$9232,$B$2,TINH_TEC!$G$233:$G$9232,$D$2,TINH_TEC!$B$233:$B$9232,"Đã chốt"))</f>
        <v>0</v>
      </c>
      <c r="AK29" s="239">
        <f>IF($B29="","",SUMIFS(TINH_TEC!$J$233:$J$9232,TINH_TEC!$H$233:$H$9232,$B29,TINH_TEC!$C$233:$C$9232,"Téc 1",TINH_TEC!$F$233:$F$9232,$B$2,TINH_TEC!$G$233:$G$9232,$D$2,TINH_TEC!$B$233:$B$9232,"Đã chốt"))</f>
        <v>0</v>
      </c>
      <c r="AL29" s="239">
        <f t="shared" si="2"/>
        <v>0</v>
      </c>
    </row>
    <row r="30" ht="15.75" customHeight="1">
      <c r="A30" s="237">
        <f>IF($B30&lt;&gt;"",25,"")</f>
        <v>25</v>
      </c>
      <c r="B30" s="238" t="str">
        <f t="array" ref="B30">IFERROR(INDEX(DANH_MUC!$E:$E,28),"")</f>
        <v>28C04576</v>
      </c>
      <c r="C30" s="239">
        <f>IF(C$4&gt;DAY(EOMONTH(DATE($D$2,$B$2,1),0)),"",IFERROR(SUMIFS(DATA_GOC!$H:$H,DATA_GOC!$A:$A,"BOM",DATA_GOC!$D:$D,$B30,DATA_GOC!$E:$E,"Téc 1",DATA_GOC!$F:$F,"Xuất nội bộ từ téc",DATA_GOC!$B:$B,DATE($D$2,$B$2,C$4)),0))</f>
        <v>0</v>
      </c>
      <c r="D30" s="239">
        <f>IF(D$4&gt;DAY(EOMONTH(DATE($D$2,$B$2,1),0)),"",IFERROR(SUMIFS(DATA_GOC!$H:$H,DATA_GOC!$A:$A,"BOM",DATA_GOC!$D:$D,$B30,DATA_GOC!$E:$E,"Téc 1",DATA_GOC!$F:$F,"Xuất nội bộ từ téc",DATA_GOC!$B:$B,DATE($D$2,$B$2,D$4)),0))</f>
        <v>0</v>
      </c>
      <c r="E30" s="239">
        <f>IF(E$4&gt;DAY(EOMONTH(DATE($D$2,$B$2,1),0)),"",IFERROR(SUMIFS(DATA_GOC!$H:$H,DATA_GOC!$A:$A,"BOM",DATA_GOC!$D:$D,$B30,DATA_GOC!$E:$E,"Téc 1",DATA_GOC!$F:$F,"Xuất nội bộ từ téc",DATA_GOC!$B:$B,DATE($D$2,$B$2,E$4)),0))</f>
        <v>0</v>
      </c>
      <c r="F30" s="239">
        <f>IF(F$4&gt;DAY(EOMONTH(DATE($D$2,$B$2,1),0)),"",IFERROR(SUMIFS(DATA_GOC!$H:$H,DATA_GOC!$A:$A,"BOM",DATA_GOC!$D:$D,$B30,DATA_GOC!$E:$E,"Téc 1",DATA_GOC!$F:$F,"Xuất nội bộ từ téc",DATA_GOC!$B:$B,DATE($D$2,$B$2,F$4)),0))</f>
        <v>0</v>
      </c>
      <c r="G30" s="239">
        <f>IF(G$4&gt;DAY(EOMONTH(DATE($D$2,$B$2,1),0)),"",IFERROR(SUMIFS(DATA_GOC!$H:$H,DATA_GOC!$A:$A,"BOM",DATA_GOC!$D:$D,$B30,DATA_GOC!$E:$E,"Téc 1",DATA_GOC!$F:$F,"Xuất nội bộ từ téc",DATA_GOC!$B:$B,DATE($D$2,$B$2,G$4)),0))</f>
        <v>0</v>
      </c>
      <c r="H30" s="239">
        <f>IF(H$4&gt;DAY(EOMONTH(DATE($D$2,$B$2,1),0)),"",IFERROR(SUMIFS(DATA_GOC!$H:$H,DATA_GOC!$A:$A,"BOM",DATA_GOC!$D:$D,$B30,DATA_GOC!$E:$E,"Téc 1",DATA_GOC!$F:$F,"Xuất nội bộ từ téc",DATA_GOC!$B:$B,DATE($D$2,$B$2,H$4)),0))</f>
        <v>0</v>
      </c>
      <c r="I30" s="239">
        <f>IF(I$4&gt;DAY(EOMONTH(DATE($D$2,$B$2,1),0)),"",IFERROR(SUMIFS(DATA_GOC!$H:$H,DATA_GOC!$A:$A,"BOM",DATA_GOC!$D:$D,$B30,DATA_GOC!$E:$E,"Téc 1",DATA_GOC!$F:$F,"Xuất nội bộ từ téc",DATA_GOC!$B:$B,DATE($D$2,$B$2,I$4)),0))</f>
        <v>0</v>
      </c>
      <c r="J30" s="239">
        <f>IF(J$4&gt;DAY(EOMONTH(DATE($D$2,$B$2,1),0)),"",IFERROR(SUMIFS(DATA_GOC!$H:$H,DATA_GOC!$A:$A,"BOM",DATA_GOC!$D:$D,$B30,DATA_GOC!$E:$E,"Téc 1",DATA_GOC!$F:$F,"Xuất nội bộ từ téc",DATA_GOC!$B:$B,DATE($D$2,$B$2,J$4)),0))</f>
        <v>0</v>
      </c>
      <c r="K30" s="239">
        <f>IF(K$4&gt;DAY(EOMONTH(DATE($D$2,$B$2,1),0)),"",IFERROR(SUMIFS(DATA_GOC!$H:$H,DATA_GOC!$A:$A,"BOM",DATA_GOC!$D:$D,$B30,DATA_GOC!$E:$E,"Téc 1",DATA_GOC!$F:$F,"Xuất nội bộ từ téc",DATA_GOC!$B:$B,DATE($D$2,$B$2,K$4)),0))</f>
        <v>0</v>
      </c>
      <c r="L30" s="239">
        <f>IF(L$4&gt;DAY(EOMONTH(DATE($D$2,$B$2,1),0)),"",IFERROR(SUMIFS(DATA_GOC!$H:$H,DATA_GOC!$A:$A,"BOM",DATA_GOC!$D:$D,$B30,DATA_GOC!$E:$E,"Téc 1",DATA_GOC!$F:$F,"Xuất nội bộ từ téc",DATA_GOC!$B:$B,DATE($D$2,$B$2,L$4)),0))</f>
        <v>0</v>
      </c>
      <c r="M30" s="239">
        <f>IF(M$4&gt;DAY(EOMONTH(DATE($D$2,$B$2,1),0)),"",IFERROR(SUMIFS(DATA_GOC!$H:$H,DATA_GOC!$A:$A,"BOM",DATA_GOC!$D:$D,$B30,DATA_GOC!$E:$E,"Téc 1",DATA_GOC!$F:$F,"Xuất nội bộ từ téc",DATA_GOC!$B:$B,DATE($D$2,$B$2,M$4)),0))</f>
        <v>0</v>
      </c>
      <c r="N30" s="239">
        <f>IF(N$4&gt;DAY(EOMONTH(DATE($D$2,$B$2,1),0)),"",IFERROR(SUMIFS(DATA_GOC!$H:$H,DATA_GOC!$A:$A,"BOM",DATA_GOC!$D:$D,$B30,DATA_GOC!$E:$E,"Téc 1",DATA_GOC!$F:$F,"Xuất nội bộ từ téc",DATA_GOC!$B:$B,DATE($D$2,$B$2,N$4)),0))</f>
        <v>0</v>
      </c>
      <c r="O30" s="239">
        <f>IF(O$4&gt;DAY(EOMONTH(DATE($D$2,$B$2,1),0)),"",IFERROR(SUMIFS(DATA_GOC!$H:$H,DATA_GOC!$A:$A,"BOM",DATA_GOC!$D:$D,$B30,DATA_GOC!$E:$E,"Téc 1",DATA_GOC!$F:$F,"Xuất nội bộ từ téc",DATA_GOC!$B:$B,DATE($D$2,$B$2,O$4)),0))</f>
        <v>0</v>
      </c>
      <c r="P30" s="239">
        <f>IF(P$4&gt;DAY(EOMONTH(DATE($D$2,$B$2,1),0)),"",IFERROR(SUMIFS(DATA_GOC!$H:$H,DATA_GOC!$A:$A,"BOM",DATA_GOC!$D:$D,$B30,DATA_GOC!$E:$E,"Téc 1",DATA_GOC!$F:$F,"Xuất nội bộ từ téc",DATA_GOC!$B:$B,DATE($D$2,$B$2,P$4)),0))</f>
        <v>0</v>
      </c>
      <c r="Q30" s="239">
        <f>IF(Q$4&gt;DAY(EOMONTH(DATE($D$2,$B$2,1),0)),"",IFERROR(SUMIFS(DATA_GOC!$H:$H,DATA_GOC!$A:$A,"BOM",DATA_GOC!$D:$D,$B30,DATA_GOC!$E:$E,"Téc 1",DATA_GOC!$F:$F,"Xuất nội bộ từ téc",DATA_GOC!$B:$B,DATE($D$2,$B$2,Q$4)),0))</f>
        <v>0</v>
      </c>
      <c r="R30" s="239">
        <f>IF(R$4&gt;DAY(EOMONTH(DATE($D$2,$B$2,1),0)),"",IFERROR(SUMIFS(DATA_GOC!$H:$H,DATA_GOC!$A:$A,"BOM",DATA_GOC!$D:$D,$B30,DATA_GOC!$E:$E,"Téc 1",DATA_GOC!$F:$F,"Xuất nội bộ từ téc",DATA_GOC!$B:$B,DATE($D$2,$B$2,R$4)),0))</f>
        <v>0</v>
      </c>
      <c r="S30" s="239">
        <f>IF(S$4&gt;DAY(EOMONTH(DATE($D$2,$B$2,1),0)),"",IFERROR(SUMIFS(DATA_GOC!$H:$H,DATA_GOC!$A:$A,"BOM",DATA_GOC!$D:$D,$B30,DATA_GOC!$E:$E,"Téc 1",DATA_GOC!$F:$F,"Xuất nội bộ từ téc",DATA_GOC!$B:$B,DATE($D$2,$B$2,S$4)),0))</f>
        <v>0</v>
      </c>
      <c r="T30" s="239">
        <f>IF(T$4&gt;DAY(EOMONTH(DATE($D$2,$B$2,1),0)),"",IFERROR(SUMIFS(DATA_GOC!$H:$H,DATA_GOC!$A:$A,"BOM",DATA_GOC!$D:$D,$B30,DATA_GOC!$E:$E,"Téc 1",DATA_GOC!$F:$F,"Xuất nội bộ từ téc",DATA_GOC!$B:$B,DATE($D$2,$B$2,T$4)),0))</f>
        <v>0</v>
      </c>
      <c r="U30" s="239">
        <f>IF(U$4&gt;DAY(EOMONTH(DATE($D$2,$B$2,1),0)),"",IFERROR(SUMIFS(DATA_GOC!$H:$H,DATA_GOC!$A:$A,"BOM",DATA_GOC!$D:$D,$B30,DATA_GOC!$E:$E,"Téc 1",DATA_GOC!$F:$F,"Xuất nội bộ từ téc",DATA_GOC!$B:$B,DATE($D$2,$B$2,U$4)),0))</f>
        <v>0</v>
      </c>
      <c r="V30" s="239">
        <f>IF(V$4&gt;DAY(EOMONTH(DATE($D$2,$B$2,1),0)),"",IFERROR(SUMIFS(DATA_GOC!$H:$H,DATA_GOC!$A:$A,"BOM",DATA_GOC!$D:$D,$B30,DATA_GOC!$E:$E,"Téc 1",DATA_GOC!$F:$F,"Xuất nội bộ từ téc",DATA_GOC!$B:$B,DATE($D$2,$B$2,V$4)),0))</f>
        <v>0</v>
      </c>
      <c r="W30" s="239">
        <f>IF(W$4&gt;DAY(EOMONTH(DATE($D$2,$B$2,1),0)),"",IFERROR(SUMIFS(DATA_GOC!$H:$H,DATA_GOC!$A:$A,"BOM",DATA_GOC!$D:$D,$B30,DATA_GOC!$E:$E,"Téc 1",DATA_GOC!$F:$F,"Xuất nội bộ từ téc",DATA_GOC!$B:$B,DATE($D$2,$B$2,W$4)),0))</f>
        <v>0</v>
      </c>
      <c r="X30" s="239">
        <f>IF(X$4&gt;DAY(EOMONTH(DATE($D$2,$B$2,1),0)),"",IFERROR(SUMIFS(DATA_GOC!$H:$H,DATA_GOC!$A:$A,"BOM",DATA_GOC!$D:$D,$B30,DATA_GOC!$E:$E,"Téc 1",DATA_GOC!$F:$F,"Xuất nội bộ từ téc",DATA_GOC!$B:$B,DATE($D$2,$B$2,X$4)),0))</f>
        <v>0</v>
      </c>
      <c r="Y30" s="239">
        <f>IF(Y$4&gt;DAY(EOMONTH(DATE($D$2,$B$2,1),0)),"",IFERROR(SUMIFS(DATA_GOC!$H:$H,DATA_GOC!$A:$A,"BOM",DATA_GOC!$D:$D,$B30,DATA_GOC!$E:$E,"Téc 1",DATA_GOC!$F:$F,"Xuất nội bộ từ téc",DATA_GOC!$B:$B,DATE($D$2,$B$2,Y$4)),0))</f>
        <v>0</v>
      </c>
      <c r="Z30" s="239">
        <f>IF(Z$4&gt;DAY(EOMONTH(DATE($D$2,$B$2,1),0)),"",IFERROR(SUMIFS(DATA_GOC!$H:$H,DATA_GOC!$A:$A,"BOM",DATA_GOC!$D:$D,$B30,DATA_GOC!$E:$E,"Téc 1",DATA_GOC!$F:$F,"Xuất nội bộ từ téc",DATA_GOC!$B:$B,DATE($D$2,$B$2,Z$4)),0))</f>
        <v>0</v>
      </c>
      <c r="AA30" s="239">
        <f>IF(AA$4&gt;DAY(EOMONTH(DATE($D$2,$B$2,1),0)),"",IFERROR(SUMIFS(DATA_GOC!$H:$H,DATA_GOC!$A:$A,"BOM",DATA_GOC!$D:$D,$B30,DATA_GOC!$E:$E,"Téc 1",DATA_GOC!$F:$F,"Xuất nội bộ từ téc",DATA_GOC!$B:$B,DATE($D$2,$B$2,AA$4)),0))</f>
        <v>0</v>
      </c>
      <c r="AB30" s="239">
        <f>IF(AB$4&gt;DAY(EOMONTH(DATE($D$2,$B$2,1),0)),"",IFERROR(SUMIFS(DATA_GOC!$H:$H,DATA_GOC!$A:$A,"BOM",DATA_GOC!$D:$D,$B30,DATA_GOC!$E:$E,"Téc 1",DATA_GOC!$F:$F,"Xuất nội bộ từ téc",DATA_GOC!$B:$B,DATE($D$2,$B$2,AB$4)),0))</f>
        <v>0</v>
      </c>
      <c r="AC30" s="239">
        <f>IF(AC$4&gt;DAY(EOMONTH(DATE($D$2,$B$2,1),0)),"",IFERROR(SUMIFS(DATA_GOC!$H:$H,DATA_GOC!$A:$A,"BOM",DATA_GOC!$D:$D,$B30,DATA_GOC!$E:$E,"Téc 1",DATA_GOC!$F:$F,"Xuất nội bộ từ téc",DATA_GOC!$B:$B,DATE($D$2,$B$2,AC$4)),0))</f>
        <v>0</v>
      </c>
      <c r="AD30" s="239">
        <f>IF(AD$4&gt;DAY(EOMONTH(DATE($D$2,$B$2,1),0)),"",IFERROR(SUMIFS(DATA_GOC!$H:$H,DATA_GOC!$A:$A,"BOM",DATA_GOC!$D:$D,$B30,DATA_GOC!$E:$E,"Téc 1",DATA_GOC!$F:$F,"Xuất nội bộ từ téc",DATA_GOC!$B:$B,DATE($D$2,$B$2,AD$4)),0))</f>
        <v>0</v>
      </c>
      <c r="AE30" s="239">
        <f>IF(AE$4&gt;DAY(EOMONTH(DATE($D$2,$B$2,1),0)),"",IFERROR(SUMIFS(DATA_GOC!$H:$H,DATA_GOC!$A:$A,"BOM",DATA_GOC!$D:$D,$B30,DATA_GOC!$E:$E,"Téc 1",DATA_GOC!$F:$F,"Xuất nội bộ từ téc",DATA_GOC!$B:$B,DATE($D$2,$B$2,AE$4)),0))</f>
        <v>0</v>
      </c>
      <c r="AF30" s="239">
        <f>IF(AF$4&gt;DAY(EOMONTH(DATE($D$2,$B$2,1),0)),"",IFERROR(SUMIFS(DATA_GOC!$H:$H,DATA_GOC!$A:$A,"BOM",DATA_GOC!$D:$D,$B30,DATA_GOC!$E:$E,"Téc 1",DATA_GOC!$F:$F,"Xuất nội bộ từ téc",DATA_GOC!$B:$B,DATE($D$2,$B$2,AF$4)),0))</f>
        <v>0</v>
      </c>
      <c r="AG30" s="239">
        <f>IF(AG$4&gt;DAY(EOMONTH(DATE($D$2,$B$2,1),0)),"",IFERROR(SUMIFS(DATA_GOC!$H:$H,DATA_GOC!$A:$A,"BOM",DATA_GOC!$D:$D,$B30,DATA_GOC!$E:$E,"Téc 1",DATA_GOC!$F:$F,"Xuất nội bộ từ téc",DATA_GOC!$B:$B,DATE($D$2,$B$2,AG$4)),0))</f>
        <v>0</v>
      </c>
      <c r="AH30" s="240">
        <f t="shared" si="1"/>
        <v>0</v>
      </c>
      <c r="AI30" s="241"/>
      <c r="AJ30" s="239">
        <f>IF($B30="","",SUMIFS(TINH_TEC!$K$233:$K$9232,TINH_TEC!$H$233:$H$9232,$B30,TINH_TEC!$C$233:$C$9232,"Téc 1",TINH_TEC!$F$233:$F$9232,$B$2,TINH_TEC!$G$233:$G$9232,$D$2,TINH_TEC!$B$233:$B$9232,"Đã chốt"))</f>
        <v>0</v>
      </c>
      <c r="AK30" s="239">
        <f>IF($B30="","",SUMIFS(TINH_TEC!$J$233:$J$9232,TINH_TEC!$H$233:$H$9232,$B30,TINH_TEC!$C$233:$C$9232,"Téc 1",TINH_TEC!$F$233:$F$9232,$B$2,TINH_TEC!$G$233:$G$9232,$D$2,TINH_TEC!$B$233:$B$9232,"Đã chốt"))</f>
        <v>0</v>
      </c>
      <c r="AL30" s="239">
        <f t="shared" si="2"/>
        <v>0</v>
      </c>
    </row>
    <row r="31" ht="15.75" customHeight="1">
      <c r="A31" s="237">
        <f>IF($B31&lt;&gt;"",26,"")</f>
        <v>26</v>
      </c>
      <c r="B31" s="238" t="str">
        <f t="array" ref="B31">IFERROR(INDEX(DANH_MUC!$E:$E,29),"")</f>
        <v>28C05090</v>
      </c>
      <c r="C31" s="239">
        <f>IF(C$4&gt;DAY(EOMONTH(DATE($D$2,$B$2,1),0)),"",IFERROR(SUMIFS(DATA_GOC!$H:$H,DATA_GOC!$A:$A,"BOM",DATA_GOC!$D:$D,$B31,DATA_GOC!$E:$E,"Téc 1",DATA_GOC!$F:$F,"Xuất nội bộ từ téc",DATA_GOC!$B:$B,DATE($D$2,$B$2,C$4)),0))</f>
        <v>0</v>
      </c>
      <c r="D31" s="239">
        <f>IF(D$4&gt;DAY(EOMONTH(DATE($D$2,$B$2,1),0)),"",IFERROR(SUMIFS(DATA_GOC!$H:$H,DATA_GOC!$A:$A,"BOM",DATA_GOC!$D:$D,$B31,DATA_GOC!$E:$E,"Téc 1",DATA_GOC!$F:$F,"Xuất nội bộ từ téc",DATA_GOC!$B:$B,DATE($D$2,$B$2,D$4)),0))</f>
        <v>0</v>
      </c>
      <c r="E31" s="239">
        <f>IF(E$4&gt;DAY(EOMONTH(DATE($D$2,$B$2,1),0)),"",IFERROR(SUMIFS(DATA_GOC!$H:$H,DATA_GOC!$A:$A,"BOM",DATA_GOC!$D:$D,$B31,DATA_GOC!$E:$E,"Téc 1",DATA_GOC!$F:$F,"Xuất nội bộ từ téc",DATA_GOC!$B:$B,DATE($D$2,$B$2,E$4)),0))</f>
        <v>0</v>
      </c>
      <c r="F31" s="239">
        <f>IF(F$4&gt;DAY(EOMONTH(DATE($D$2,$B$2,1),0)),"",IFERROR(SUMIFS(DATA_GOC!$H:$H,DATA_GOC!$A:$A,"BOM",DATA_GOC!$D:$D,$B31,DATA_GOC!$E:$E,"Téc 1",DATA_GOC!$F:$F,"Xuất nội bộ từ téc",DATA_GOC!$B:$B,DATE($D$2,$B$2,F$4)),0))</f>
        <v>0</v>
      </c>
      <c r="G31" s="239">
        <f>IF(G$4&gt;DAY(EOMONTH(DATE($D$2,$B$2,1),0)),"",IFERROR(SUMIFS(DATA_GOC!$H:$H,DATA_GOC!$A:$A,"BOM",DATA_GOC!$D:$D,$B31,DATA_GOC!$E:$E,"Téc 1",DATA_GOC!$F:$F,"Xuất nội bộ từ téc",DATA_GOC!$B:$B,DATE($D$2,$B$2,G$4)),0))</f>
        <v>0</v>
      </c>
      <c r="H31" s="239">
        <f>IF(H$4&gt;DAY(EOMONTH(DATE($D$2,$B$2,1),0)),"",IFERROR(SUMIFS(DATA_GOC!$H:$H,DATA_GOC!$A:$A,"BOM",DATA_GOC!$D:$D,$B31,DATA_GOC!$E:$E,"Téc 1",DATA_GOC!$F:$F,"Xuất nội bộ từ téc",DATA_GOC!$B:$B,DATE($D$2,$B$2,H$4)),0))</f>
        <v>0</v>
      </c>
      <c r="I31" s="239">
        <f>IF(I$4&gt;DAY(EOMONTH(DATE($D$2,$B$2,1),0)),"",IFERROR(SUMIFS(DATA_GOC!$H:$H,DATA_GOC!$A:$A,"BOM",DATA_GOC!$D:$D,$B31,DATA_GOC!$E:$E,"Téc 1",DATA_GOC!$F:$F,"Xuất nội bộ từ téc",DATA_GOC!$B:$B,DATE($D$2,$B$2,I$4)),0))</f>
        <v>0</v>
      </c>
      <c r="J31" s="239">
        <f>IF(J$4&gt;DAY(EOMONTH(DATE($D$2,$B$2,1),0)),"",IFERROR(SUMIFS(DATA_GOC!$H:$H,DATA_GOC!$A:$A,"BOM",DATA_GOC!$D:$D,$B31,DATA_GOC!$E:$E,"Téc 1",DATA_GOC!$F:$F,"Xuất nội bộ từ téc",DATA_GOC!$B:$B,DATE($D$2,$B$2,J$4)),0))</f>
        <v>0</v>
      </c>
      <c r="K31" s="239">
        <f>IF(K$4&gt;DAY(EOMONTH(DATE($D$2,$B$2,1),0)),"",IFERROR(SUMIFS(DATA_GOC!$H:$H,DATA_GOC!$A:$A,"BOM",DATA_GOC!$D:$D,$B31,DATA_GOC!$E:$E,"Téc 1",DATA_GOC!$F:$F,"Xuất nội bộ từ téc",DATA_GOC!$B:$B,DATE($D$2,$B$2,K$4)),0))</f>
        <v>0</v>
      </c>
      <c r="L31" s="239">
        <f>IF(L$4&gt;DAY(EOMONTH(DATE($D$2,$B$2,1),0)),"",IFERROR(SUMIFS(DATA_GOC!$H:$H,DATA_GOC!$A:$A,"BOM",DATA_GOC!$D:$D,$B31,DATA_GOC!$E:$E,"Téc 1",DATA_GOC!$F:$F,"Xuất nội bộ từ téc",DATA_GOC!$B:$B,DATE($D$2,$B$2,L$4)),0))</f>
        <v>0</v>
      </c>
      <c r="M31" s="239">
        <f>IF(M$4&gt;DAY(EOMONTH(DATE($D$2,$B$2,1),0)),"",IFERROR(SUMIFS(DATA_GOC!$H:$H,DATA_GOC!$A:$A,"BOM",DATA_GOC!$D:$D,$B31,DATA_GOC!$E:$E,"Téc 1",DATA_GOC!$F:$F,"Xuất nội bộ từ téc",DATA_GOC!$B:$B,DATE($D$2,$B$2,M$4)),0))</f>
        <v>0</v>
      </c>
      <c r="N31" s="239">
        <f>IF(N$4&gt;DAY(EOMONTH(DATE($D$2,$B$2,1),0)),"",IFERROR(SUMIFS(DATA_GOC!$H:$H,DATA_GOC!$A:$A,"BOM",DATA_GOC!$D:$D,$B31,DATA_GOC!$E:$E,"Téc 1",DATA_GOC!$F:$F,"Xuất nội bộ từ téc",DATA_GOC!$B:$B,DATE($D$2,$B$2,N$4)),0))</f>
        <v>0</v>
      </c>
      <c r="O31" s="239">
        <f>IF(O$4&gt;DAY(EOMONTH(DATE($D$2,$B$2,1),0)),"",IFERROR(SUMIFS(DATA_GOC!$H:$H,DATA_GOC!$A:$A,"BOM",DATA_GOC!$D:$D,$B31,DATA_GOC!$E:$E,"Téc 1",DATA_GOC!$F:$F,"Xuất nội bộ từ téc",DATA_GOC!$B:$B,DATE($D$2,$B$2,O$4)),0))</f>
        <v>0</v>
      </c>
      <c r="P31" s="239">
        <f>IF(P$4&gt;DAY(EOMONTH(DATE($D$2,$B$2,1),0)),"",IFERROR(SUMIFS(DATA_GOC!$H:$H,DATA_GOC!$A:$A,"BOM",DATA_GOC!$D:$D,$B31,DATA_GOC!$E:$E,"Téc 1",DATA_GOC!$F:$F,"Xuất nội bộ từ téc",DATA_GOC!$B:$B,DATE($D$2,$B$2,P$4)),0))</f>
        <v>0</v>
      </c>
      <c r="Q31" s="239">
        <f>IF(Q$4&gt;DAY(EOMONTH(DATE($D$2,$B$2,1),0)),"",IFERROR(SUMIFS(DATA_GOC!$H:$H,DATA_GOC!$A:$A,"BOM",DATA_GOC!$D:$D,$B31,DATA_GOC!$E:$E,"Téc 1",DATA_GOC!$F:$F,"Xuất nội bộ từ téc",DATA_GOC!$B:$B,DATE($D$2,$B$2,Q$4)),0))</f>
        <v>0</v>
      </c>
      <c r="R31" s="239">
        <f>IF(R$4&gt;DAY(EOMONTH(DATE($D$2,$B$2,1),0)),"",IFERROR(SUMIFS(DATA_GOC!$H:$H,DATA_GOC!$A:$A,"BOM",DATA_GOC!$D:$D,$B31,DATA_GOC!$E:$E,"Téc 1",DATA_GOC!$F:$F,"Xuất nội bộ từ téc",DATA_GOC!$B:$B,DATE($D$2,$B$2,R$4)),0))</f>
        <v>0</v>
      </c>
      <c r="S31" s="239">
        <f>IF(S$4&gt;DAY(EOMONTH(DATE($D$2,$B$2,1),0)),"",IFERROR(SUMIFS(DATA_GOC!$H:$H,DATA_GOC!$A:$A,"BOM",DATA_GOC!$D:$D,$B31,DATA_GOC!$E:$E,"Téc 1",DATA_GOC!$F:$F,"Xuất nội bộ từ téc",DATA_GOC!$B:$B,DATE($D$2,$B$2,S$4)),0))</f>
        <v>0</v>
      </c>
      <c r="T31" s="239">
        <f>IF(T$4&gt;DAY(EOMONTH(DATE($D$2,$B$2,1),0)),"",IFERROR(SUMIFS(DATA_GOC!$H:$H,DATA_GOC!$A:$A,"BOM",DATA_GOC!$D:$D,$B31,DATA_GOC!$E:$E,"Téc 1",DATA_GOC!$F:$F,"Xuất nội bộ từ téc",DATA_GOC!$B:$B,DATE($D$2,$B$2,T$4)),0))</f>
        <v>0</v>
      </c>
      <c r="U31" s="239">
        <f>IF(U$4&gt;DAY(EOMONTH(DATE($D$2,$B$2,1),0)),"",IFERROR(SUMIFS(DATA_GOC!$H:$H,DATA_GOC!$A:$A,"BOM",DATA_GOC!$D:$D,$B31,DATA_GOC!$E:$E,"Téc 1",DATA_GOC!$F:$F,"Xuất nội bộ từ téc",DATA_GOC!$B:$B,DATE($D$2,$B$2,U$4)),0))</f>
        <v>0</v>
      </c>
      <c r="V31" s="239">
        <f>IF(V$4&gt;DAY(EOMONTH(DATE($D$2,$B$2,1),0)),"",IFERROR(SUMIFS(DATA_GOC!$H:$H,DATA_GOC!$A:$A,"BOM",DATA_GOC!$D:$D,$B31,DATA_GOC!$E:$E,"Téc 1",DATA_GOC!$F:$F,"Xuất nội bộ từ téc",DATA_GOC!$B:$B,DATE($D$2,$B$2,V$4)),0))</f>
        <v>0</v>
      </c>
      <c r="W31" s="239">
        <f>IF(W$4&gt;DAY(EOMONTH(DATE($D$2,$B$2,1),0)),"",IFERROR(SUMIFS(DATA_GOC!$H:$H,DATA_GOC!$A:$A,"BOM",DATA_GOC!$D:$D,$B31,DATA_GOC!$E:$E,"Téc 1",DATA_GOC!$F:$F,"Xuất nội bộ từ téc",DATA_GOC!$B:$B,DATE($D$2,$B$2,W$4)),0))</f>
        <v>0</v>
      </c>
      <c r="X31" s="239">
        <f>IF(X$4&gt;DAY(EOMONTH(DATE($D$2,$B$2,1),0)),"",IFERROR(SUMIFS(DATA_GOC!$H:$H,DATA_GOC!$A:$A,"BOM",DATA_GOC!$D:$D,$B31,DATA_GOC!$E:$E,"Téc 1",DATA_GOC!$F:$F,"Xuất nội bộ từ téc",DATA_GOC!$B:$B,DATE($D$2,$B$2,X$4)),0))</f>
        <v>0</v>
      </c>
      <c r="Y31" s="239">
        <f>IF(Y$4&gt;DAY(EOMONTH(DATE($D$2,$B$2,1),0)),"",IFERROR(SUMIFS(DATA_GOC!$H:$H,DATA_GOC!$A:$A,"BOM",DATA_GOC!$D:$D,$B31,DATA_GOC!$E:$E,"Téc 1",DATA_GOC!$F:$F,"Xuất nội bộ từ téc",DATA_GOC!$B:$B,DATE($D$2,$B$2,Y$4)),0))</f>
        <v>0</v>
      </c>
      <c r="Z31" s="239">
        <f>IF(Z$4&gt;DAY(EOMONTH(DATE($D$2,$B$2,1),0)),"",IFERROR(SUMIFS(DATA_GOC!$H:$H,DATA_GOC!$A:$A,"BOM",DATA_GOC!$D:$D,$B31,DATA_GOC!$E:$E,"Téc 1",DATA_GOC!$F:$F,"Xuất nội bộ từ téc",DATA_GOC!$B:$B,DATE($D$2,$B$2,Z$4)),0))</f>
        <v>0</v>
      </c>
      <c r="AA31" s="239">
        <f>IF(AA$4&gt;DAY(EOMONTH(DATE($D$2,$B$2,1),0)),"",IFERROR(SUMIFS(DATA_GOC!$H:$H,DATA_GOC!$A:$A,"BOM",DATA_GOC!$D:$D,$B31,DATA_GOC!$E:$E,"Téc 1",DATA_GOC!$F:$F,"Xuất nội bộ từ téc",DATA_GOC!$B:$B,DATE($D$2,$B$2,AA$4)),0))</f>
        <v>0</v>
      </c>
      <c r="AB31" s="239">
        <f>IF(AB$4&gt;DAY(EOMONTH(DATE($D$2,$B$2,1),0)),"",IFERROR(SUMIFS(DATA_GOC!$H:$H,DATA_GOC!$A:$A,"BOM",DATA_GOC!$D:$D,$B31,DATA_GOC!$E:$E,"Téc 1",DATA_GOC!$F:$F,"Xuất nội bộ từ téc",DATA_GOC!$B:$B,DATE($D$2,$B$2,AB$4)),0))</f>
        <v>0</v>
      </c>
      <c r="AC31" s="239">
        <f>IF(AC$4&gt;DAY(EOMONTH(DATE($D$2,$B$2,1),0)),"",IFERROR(SUMIFS(DATA_GOC!$H:$H,DATA_GOC!$A:$A,"BOM",DATA_GOC!$D:$D,$B31,DATA_GOC!$E:$E,"Téc 1",DATA_GOC!$F:$F,"Xuất nội bộ từ téc",DATA_GOC!$B:$B,DATE($D$2,$B$2,AC$4)),0))</f>
        <v>0</v>
      </c>
      <c r="AD31" s="239">
        <f>IF(AD$4&gt;DAY(EOMONTH(DATE($D$2,$B$2,1),0)),"",IFERROR(SUMIFS(DATA_GOC!$H:$H,DATA_GOC!$A:$A,"BOM",DATA_GOC!$D:$D,$B31,DATA_GOC!$E:$E,"Téc 1",DATA_GOC!$F:$F,"Xuất nội bộ từ téc",DATA_GOC!$B:$B,DATE($D$2,$B$2,AD$4)),0))</f>
        <v>0</v>
      </c>
      <c r="AE31" s="239">
        <f>IF(AE$4&gt;DAY(EOMONTH(DATE($D$2,$B$2,1),0)),"",IFERROR(SUMIFS(DATA_GOC!$H:$H,DATA_GOC!$A:$A,"BOM",DATA_GOC!$D:$D,$B31,DATA_GOC!$E:$E,"Téc 1",DATA_GOC!$F:$F,"Xuất nội bộ từ téc",DATA_GOC!$B:$B,DATE($D$2,$B$2,AE$4)),0))</f>
        <v>0</v>
      </c>
      <c r="AF31" s="239">
        <f>IF(AF$4&gt;DAY(EOMONTH(DATE($D$2,$B$2,1),0)),"",IFERROR(SUMIFS(DATA_GOC!$H:$H,DATA_GOC!$A:$A,"BOM",DATA_GOC!$D:$D,$B31,DATA_GOC!$E:$E,"Téc 1",DATA_GOC!$F:$F,"Xuất nội bộ từ téc",DATA_GOC!$B:$B,DATE($D$2,$B$2,AF$4)),0))</f>
        <v>0</v>
      </c>
      <c r="AG31" s="239">
        <f>IF(AG$4&gt;DAY(EOMONTH(DATE($D$2,$B$2,1),0)),"",IFERROR(SUMIFS(DATA_GOC!$H:$H,DATA_GOC!$A:$A,"BOM",DATA_GOC!$D:$D,$B31,DATA_GOC!$E:$E,"Téc 1",DATA_GOC!$F:$F,"Xuất nội bộ từ téc",DATA_GOC!$B:$B,DATE($D$2,$B$2,AG$4)),0))</f>
        <v>0</v>
      </c>
      <c r="AH31" s="240">
        <f t="shared" si="1"/>
        <v>0</v>
      </c>
      <c r="AI31" s="241"/>
      <c r="AJ31" s="239">
        <f>IF($B31="","",SUMIFS(TINH_TEC!$K$233:$K$9232,TINH_TEC!$H$233:$H$9232,$B31,TINH_TEC!$C$233:$C$9232,"Téc 1",TINH_TEC!$F$233:$F$9232,$B$2,TINH_TEC!$G$233:$G$9232,$D$2,TINH_TEC!$B$233:$B$9232,"Đã chốt"))</f>
        <v>0</v>
      </c>
      <c r="AK31" s="239">
        <f>IF($B31="","",SUMIFS(TINH_TEC!$J$233:$J$9232,TINH_TEC!$H$233:$H$9232,$B31,TINH_TEC!$C$233:$C$9232,"Téc 1",TINH_TEC!$F$233:$F$9232,$B$2,TINH_TEC!$G$233:$G$9232,$D$2,TINH_TEC!$B$233:$B$9232,"Đã chốt"))</f>
        <v>0</v>
      </c>
      <c r="AL31" s="239">
        <f t="shared" si="2"/>
        <v>0</v>
      </c>
    </row>
    <row r="32" ht="15.75" customHeight="1">
      <c r="A32" s="237">
        <f>IF($B32&lt;&gt;"",27,"")</f>
        <v>27</v>
      </c>
      <c r="B32" s="238" t="str">
        <f t="array" ref="B32">IFERROR(INDEX(DANH_MUC!$E:$E,30),"")</f>
        <v>28C05345</v>
      </c>
      <c r="C32" s="239">
        <f>IF(C$4&gt;DAY(EOMONTH(DATE($D$2,$B$2,1),0)),"",IFERROR(SUMIFS(DATA_GOC!$H:$H,DATA_GOC!$A:$A,"BOM",DATA_GOC!$D:$D,$B32,DATA_GOC!$E:$E,"Téc 1",DATA_GOC!$F:$F,"Xuất nội bộ từ téc",DATA_GOC!$B:$B,DATE($D$2,$B$2,C$4)),0))</f>
        <v>0</v>
      </c>
      <c r="D32" s="239">
        <f>IF(D$4&gt;DAY(EOMONTH(DATE($D$2,$B$2,1),0)),"",IFERROR(SUMIFS(DATA_GOC!$H:$H,DATA_GOC!$A:$A,"BOM",DATA_GOC!$D:$D,$B32,DATA_GOC!$E:$E,"Téc 1",DATA_GOC!$F:$F,"Xuất nội bộ từ téc",DATA_GOC!$B:$B,DATE($D$2,$B$2,D$4)),0))</f>
        <v>0</v>
      </c>
      <c r="E32" s="239">
        <f>IF(E$4&gt;DAY(EOMONTH(DATE($D$2,$B$2,1),0)),"",IFERROR(SUMIFS(DATA_GOC!$H:$H,DATA_GOC!$A:$A,"BOM",DATA_GOC!$D:$D,$B32,DATA_GOC!$E:$E,"Téc 1",DATA_GOC!$F:$F,"Xuất nội bộ từ téc",DATA_GOC!$B:$B,DATE($D$2,$B$2,E$4)),0))</f>
        <v>0</v>
      </c>
      <c r="F32" s="239">
        <f>IF(F$4&gt;DAY(EOMONTH(DATE($D$2,$B$2,1),0)),"",IFERROR(SUMIFS(DATA_GOC!$H:$H,DATA_GOC!$A:$A,"BOM",DATA_GOC!$D:$D,$B32,DATA_GOC!$E:$E,"Téc 1",DATA_GOC!$F:$F,"Xuất nội bộ từ téc",DATA_GOC!$B:$B,DATE($D$2,$B$2,F$4)),0))</f>
        <v>0</v>
      </c>
      <c r="G32" s="239">
        <f>IF(G$4&gt;DAY(EOMONTH(DATE($D$2,$B$2,1),0)),"",IFERROR(SUMIFS(DATA_GOC!$H:$H,DATA_GOC!$A:$A,"BOM",DATA_GOC!$D:$D,$B32,DATA_GOC!$E:$E,"Téc 1",DATA_GOC!$F:$F,"Xuất nội bộ từ téc",DATA_GOC!$B:$B,DATE($D$2,$B$2,G$4)),0))</f>
        <v>0</v>
      </c>
      <c r="H32" s="239">
        <f>IF(H$4&gt;DAY(EOMONTH(DATE($D$2,$B$2,1),0)),"",IFERROR(SUMIFS(DATA_GOC!$H:$H,DATA_GOC!$A:$A,"BOM",DATA_GOC!$D:$D,$B32,DATA_GOC!$E:$E,"Téc 1",DATA_GOC!$F:$F,"Xuất nội bộ từ téc",DATA_GOC!$B:$B,DATE($D$2,$B$2,H$4)),0))</f>
        <v>0</v>
      </c>
      <c r="I32" s="239">
        <f>IF(I$4&gt;DAY(EOMONTH(DATE($D$2,$B$2,1),0)),"",IFERROR(SUMIFS(DATA_GOC!$H:$H,DATA_GOC!$A:$A,"BOM",DATA_GOC!$D:$D,$B32,DATA_GOC!$E:$E,"Téc 1",DATA_GOC!$F:$F,"Xuất nội bộ từ téc",DATA_GOC!$B:$B,DATE($D$2,$B$2,I$4)),0))</f>
        <v>0</v>
      </c>
      <c r="J32" s="239">
        <f>IF(J$4&gt;DAY(EOMONTH(DATE($D$2,$B$2,1),0)),"",IFERROR(SUMIFS(DATA_GOC!$H:$H,DATA_GOC!$A:$A,"BOM",DATA_GOC!$D:$D,$B32,DATA_GOC!$E:$E,"Téc 1",DATA_GOC!$F:$F,"Xuất nội bộ từ téc",DATA_GOC!$B:$B,DATE($D$2,$B$2,J$4)),0))</f>
        <v>0</v>
      </c>
      <c r="K32" s="239">
        <f>IF(K$4&gt;DAY(EOMONTH(DATE($D$2,$B$2,1),0)),"",IFERROR(SUMIFS(DATA_GOC!$H:$H,DATA_GOC!$A:$A,"BOM",DATA_GOC!$D:$D,$B32,DATA_GOC!$E:$E,"Téc 1",DATA_GOC!$F:$F,"Xuất nội bộ từ téc",DATA_GOC!$B:$B,DATE($D$2,$B$2,K$4)),0))</f>
        <v>0</v>
      </c>
      <c r="L32" s="239">
        <f>IF(L$4&gt;DAY(EOMONTH(DATE($D$2,$B$2,1),0)),"",IFERROR(SUMIFS(DATA_GOC!$H:$H,DATA_GOC!$A:$A,"BOM",DATA_GOC!$D:$D,$B32,DATA_GOC!$E:$E,"Téc 1",DATA_GOC!$F:$F,"Xuất nội bộ từ téc",DATA_GOC!$B:$B,DATE($D$2,$B$2,L$4)),0))</f>
        <v>0</v>
      </c>
      <c r="M32" s="239">
        <f>IF(M$4&gt;DAY(EOMONTH(DATE($D$2,$B$2,1),0)),"",IFERROR(SUMIFS(DATA_GOC!$H:$H,DATA_GOC!$A:$A,"BOM",DATA_GOC!$D:$D,$B32,DATA_GOC!$E:$E,"Téc 1",DATA_GOC!$F:$F,"Xuất nội bộ từ téc",DATA_GOC!$B:$B,DATE($D$2,$B$2,M$4)),0))</f>
        <v>0</v>
      </c>
      <c r="N32" s="239">
        <f>IF(N$4&gt;DAY(EOMONTH(DATE($D$2,$B$2,1),0)),"",IFERROR(SUMIFS(DATA_GOC!$H:$H,DATA_GOC!$A:$A,"BOM",DATA_GOC!$D:$D,$B32,DATA_GOC!$E:$E,"Téc 1",DATA_GOC!$F:$F,"Xuất nội bộ từ téc",DATA_GOC!$B:$B,DATE($D$2,$B$2,N$4)),0))</f>
        <v>0</v>
      </c>
      <c r="O32" s="239">
        <f>IF(O$4&gt;DAY(EOMONTH(DATE($D$2,$B$2,1),0)),"",IFERROR(SUMIFS(DATA_GOC!$H:$H,DATA_GOC!$A:$A,"BOM",DATA_GOC!$D:$D,$B32,DATA_GOC!$E:$E,"Téc 1",DATA_GOC!$F:$F,"Xuất nội bộ từ téc",DATA_GOC!$B:$B,DATE($D$2,$B$2,O$4)),0))</f>
        <v>0</v>
      </c>
      <c r="P32" s="239">
        <f>IF(P$4&gt;DAY(EOMONTH(DATE($D$2,$B$2,1),0)),"",IFERROR(SUMIFS(DATA_GOC!$H:$H,DATA_GOC!$A:$A,"BOM",DATA_GOC!$D:$D,$B32,DATA_GOC!$E:$E,"Téc 1",DATA_GOC!$F:$F,"Xuất nội bộ từ téc",DATA_GOC!$B:$B,DATE($D$2,$B$2,P$4)),0))</f>
        <v>0</v>
      </c>
      <c r="Q32" s="239">
        <f>IF(Q$4&gt;DAY(EOMONTH(DATE($D$2,$B$2,1),0)),"",IFERROR(SUMIFS(DATA_GOC!$H:$H,DATA_GOC!$A:$A,"BOM",DATA_GOC!$D:$D,$B32,DATA_GOC!$E:$E,"Téc 1",DATA_GOC!$F:$F,"Xuất nội bộ từ téc",DATA_GOC!$B:$B,DATE($D$2,$B$2,Q$4)),0))</f>
        <v>0</v>
      </c>
      <c r="R32" s="239">
        <f>IF(R$4&gt;DAY(EOMONTH(DATE($D$2,$B$2,1),0)),"",IFERROR(SUMIFS(DATA_GOC!$H:$H,DATA_GOC!$A:$A,"BOM",DATA_GOC!$D:$D,$B32,DATA_GOC!$E:$E,"Téc 1",DATA_GOC!$F:$F,"Xuất nội bộ từ téc",DATA_GOC!$B:$B,DATE($D$2,$B$2,R$4)),0))</f>
        <v>0</v>
      </c>
      <c r="S32" s="239">
        <f>IF(S$4&gt;DAY(EOMONTH(DATE($D$2,$B$2,1),0)),"",IFERROR(SUMIFS(DATA_GOC!$H:$H,DATA_GOC!$A:$A,"BOM",DATA_GOC!$D:$D,$B32,DATA_GOC!$E:$E,"Téc 1",DATA_GOC!$F:$F,"Xuất nội bộ từ téc",DATA_GOC!$B:$B,DATE($D$2,$B$2,S$4)),0))</f>
        <v>0</v>
      </c>
      <c r="T32" s="239">
        <f>IF(T$4&gt;DAY(EOMONTH(DATE($D$2,$B$2,1),0)),"",IFERROR(SUMIFS(DATA_GOC!$H:$H,DATA_GOC!$A:$A,"BOM",DATA_GOC!$D:$D,$B32,DATA_GOC!$E:$E,"Téc 1",DATA_GOC!$F:$F,"Xuất nội bộ từ téc",DATA_GOC!$B:$B,DATE($D$2,$B$2,T$4)),0))</f>
        <v>0</v>
      </c>
      <c r="U32" s="239">
        <f>IF(U$4&gt;DAY(EOMONTH(DATE($D$2,$B$2,1),0)),"",IFERROR(SUMIFS(DATA_GOC!$H:$H,DATA_GOC!$A:$A,"BOM",DATA_GOC!$D:$D,$B32,DATA_GOC!$E:$E,"Téc 1",DATA_GOC!$F:$F,"Xuất nội bộ từ téc",DATA_GOC!$B:$B,DATE($D$2,$B$2,U$4)),0))</f>
        <v>0</v>
      </c>
      <c r="V32" s="239">
        <f>IF(V$4&gt;DAY(EOMONTH(DATE($D$2,$B$2,1),0)),"",IFERROR(SUMIFS(DATA_GOC!$H:$H,DATA_GOC!$A:$A,"BOM",DATA_GOC!$D:$D,$B32,DATA_GOC!$E:$E,"Téc 1",DATA_GOC!$F:$F,"Xuất nội bộ từ téc",DATA_GOC!$B:$B,DATE($D$2,$B$2,V$4)),0))</f>
        <v>0</v>
      </c>
      <c r="W32" s="239">
        <f>IF(W$4&gt;DAY(EOMONTH(DATE($D$2,$B$2,1),0)),"",IFERROR(SUMIFS(DATA_GOC!$H:$H,DATA_GOC!$A:$A,"BOM",DATA_GOC!$D:$D,$B32,DATA_GOC!$E:$E,"Téc 1",DATA_GOC!$F:$F,"Xuất nội bộ từ téc",DATA_GOC!$B:$B,DATE($D$2,$B$2,W$4)),0))</f>
        <v>0</v>
      </c>
      <c r="X32" s="239">
        <f>IF(X$4&gt;DAY(EOMONTH(DATE($D$2,$B$2,1),0)),"",IFERROR(SUMIFS(DATA_GOC!$H:$H,DATA_GOC!$A:$A,"BOM",DATA_GOC!$D:$D,$B32,DATA_GOC!$E:$E,"Téc 1",DATA_GOC!$F:$F,"Xuất nội bộ từ téc",DATA_GOC!$B:$B,DATE($D$2,$B$2,X$4)),0))</f>
        <v>0</v>
      </c>
      <c r="Y32" s="239">
        <f>IF(Y$4&gt;DAY(EOMONTH(DATE($D$2,$B$2,1),0)),"",IFERROR(SUMIFS(DATA_GOC!$H:$H,DATA_GOC!$A:$A,"BOM",DATA_GOC!$D:$D,$B32,DATA_GOC!$E:$E,"Téc 1",DATA_GOC!$F:$F,"Xuất nội bộ từ téc",DATA_GOC!$B:$B,DATE($D$2,$B$2,Y$4)),0))</f>
        <v>0</v>
      </c>
      <c r="Z32" s="239">
        <f>IF(Z$4&gt;DAY(EOMONTH(DATE($D$2,$B$2,1),0)),"",IFERROR(SUMIFS(DATA_GOC!$H:$H,DATA_GOC!$A:$A,"BOM",DATA_GOC!$D:$D,$B32,DATA_GOC!$E:$E,"Téc 1",DATA_GOC!$F:$F,"Xuất nội bộ từ téc",DATA_GOC!$B:$B,DATE($D$2,$B$2,Z$4)),0))</f>
        <v>0</v>
      </c>
      <c r="AA32" s="239">
        <f>IF(AA$4&gt;DAY(EOMONTH(DATE($D$2,$B$2,1),0)),"",IFERROR(SUMIFS(DATA_GOC!$H:$H,DATA_GOC!$A:$A,"BOM",DATA_GOC!$D:$D,$B32,DATA_GOC!$E:$E,"Téc 1",DATA_GOC!$F:$F,"Xuất nội bộ từ téc",DATA_GOC!$B:$B,DATE($D$2,$B$2,AA$4)),0))</f>
        <v>0</v>
      </c>
      <c r="AB32" s="239">
        <f>IF(AB$4&gt;DAY(EOMONTH(DATE($D$2,$B$2,1),0)),"",IFERROR(SUMIFS(DATA_GOC!$H:$H,DATA_GOC!$A:$A,"BOM",DATA_GOC!$D:$D,$B32,DATA_GOC!$E:$E,"Téc 1",DATA_GOC!$F:$F,"Xuất nội bộ từ téc",DATA_GOC!$B:$B,DATE($D$2,$B$2,AB$4)),0))</f>
        <v>0</v>
      </c>
      <c r="AC32" s="239">
        <f>IF(AC$4&gt;DAY(EOMONTH(DATE($D$2,$B$2,1),0)),"",IFERROR(SUMIFS(DATA_GOC!$H:$H,DATA_GOC!$A:$A,"BOM",DATA_GOC!$D:$D,$B32,DATA_GOC!$E:$E,"Téc 1",DATA_GOC!$F:$F,"Xuất nội bộ từ téc",DATA_GOC!$B:$B,DATE($D$2,$B$2,AC$4)),0))</f>
        <v>0</v>
      </c>
      <c r="AD32" s="239">
        <f>IF(AD$4&gt;DAY(EOMONTH(DATE($D$2,$B$2,1),0)),"",IFERROR(SUMIFS(DATA_GOC!$H:$H,DATA_GOC!$A:$A,"BOM",DATA_GOC!$D:$D,$B32,DATA_GOC!$E:$E,"Téc 1",DATA_GOC!$F:$F,"Xuất nội bộ từ téc",DATA_GOC!$B:$B,DATE($D$2,$B$2,AD$4)),0))</f>
        <v>0</v>
      </c>
      <c r="AE32" s="239">
        <f>IF(AE$4&gt;DAY(EOMONTH(DATE($D$2,$B$2,1),0)),"",IFERROR(SUMIFS(DATA_GOC!$H:$H,DATA_GOC!$A:$A,"BOM",DATA_GOC!$D:$D,$B32,DATA_GOC!$E:$E,"Téc 1",DATA_GOC!$F:$F,"Xuất nội bộ từ téc",DATA_GOC!$B:$B,DATE($D$2,$B$2,AE$4)),0))</f>
        <v>0</v>
      </c>
      <c r="AF32" s="239">
        <f>IF(AF$4&gt;DAY(EOMONTH(DATE($D$2,$B$2,1),0)),"",IFERROR(SUMIFS(DATA_GOC!$H:$H,DATA_GOC!$A:$A,"BOM",DATA_GOC!$D:$D,$B32,DATA_GOC!$E:$E,"Téc 1",DATA_GOC!$F:$F,"Xuất nội bộ từ téc",DATA_GOC!$B:$B,DATE($D$2,$B$2,AF$4)),0))</f>
        <v>0</v>
      </c>
      <c r="AG32" s="239">
        <f>IF(AG$4&gt;DAY(EOMONTH(DATE($D$2,$B$2,1),0)),"",IFERROR(SUMIFS(DATA_GOC!$H:$H,DATA_GOC!$A:$A,"BOM",DATA_GOC!$D:$D,$B32,DATA_GOC!$E:$E,"Téc 1",DATA_GOC!$F:$F,"Xuất nội bộ từ téc",DATA_GOC!$B:$B,DATE($D$2,$B$2,AG$4)),0))</f>
        <v>0</v>
      </c>
      <c r="AH32" s="240">
        <f t="shared" si="1"/>
        <v>0</v>
      </c>
      <c r="AI32" s="241"/>
      <c r="AJ32" s="239">
        <f>IF($B32="","",SUMIFS(TINH_TEC!$K$233:$K$9232,TINH_TEC!$H$233:$H$9232,$B32,TINH_TEC!$C$233:$C$9232,"Téc 1",TINH_TEC!$F$233:$F$9232,$B$2,TINH_TEC!$G$233:$G$9232,$D$2,TINH_TEC!$B$233:$B$9232,"Đã chốt"))</f>
        <v>0</v>
      </c>
      <c r="AK32" s="239">
        <f>IF($B32="","",SUMIFS(TINH_TEC!$J$233:$J$9232,TINH_TEC!$H$233:$H$9232,$B32,TINH_TEC!$C$233:$C$9232,"Téc 1",TINH_TEC!$F$233:$F$9232,$B$2,TINH_TEC!$G$233:$G$9232,$D$2,TINH_TEC!$B$233:$B$9232,"Đã chốt"))</f>
        <v>0</v>
      </c>
      <c r="AL32" s="239">
        <f t="shared" si="2"/>
        <v>0</v>
      </c>
    </row>
    <row r="33" ht="15.75" customHeight="1">
      <c r="A33" s="237">
        <f>IF($B33&lt;&gt;"",28,"")</f>
        <v>28</v>
      </c>
      <c r="B33" s="238" t="str">
        <f t="array" ref="B33">IFERROR(INDEX(DANH_MUC!$E:$E,31),"")</f>
        <v>28C05661</v>
      </c>
      <c r="C33" s="239">
        <f>IF(C$4&gt;DAY(EOMONTH(DATE($D$2,$B$2,1),0)),"",IFERROR(SUMIFS(DATA_GOC!$H:$H,DATA_GOC!$A:$A,"BOM",DATA_GOC!$D:$D,$B33,DATA_GOC!$E:$E,"Téc 1",DATA_GOC!$F:$F,"Xuất nội bộ từ téc",DATA_GOC!$B:$B,DATE($D$2,$B$2,C$4)),0))</f>
        <v>0</v>
      </c>
      <c r="D33" s="239">
        <f>IF(D$4&gt;DAY(EOMONTH(DATE($D$2,$B$2,1),0)),"",IFERROR(SUMIFS(DATA_GOC!$H:$H,DATA_GOC!$A:$A,"BOM",DATA_GOC!$D:$D,$B33,DATA_GOC!$E:$E,"Téc 1",DATA_GOC!$F:$F,"Xuất nội bộ từ téc",DATA_GOC!$B:$B,DATE($D$2,$B$2,D$4)),0))</f>
        <v>0</v>
      </c>
      <c r="E33" s="239">
        <f>IF(E$4&gt;DAY(EOMONTH(DATE($D$2,$B$2,1),0)),"",IFERROR(SUMIFS(DATA_GOC!$H:$H,DATA_GOC!$A:$A,"BOM",DATA_GOC!$D:$D,$B33,DATA_GOC!$E:$E,"Téc 1",DATA_GOC!$F:$F,"Xuất nội bộ từ téc",DATA_GOC!$B:$B,DATE($D$2,$B$2,E$4)),0))</f>
        <v>0</v>
      </c>
      <c r="F33" s="239">
        <f>IF(F$4&gt;DAY(EOMONTH(DATE($D$2,$B$2,1),0)),"",IFERROR(SUMIFS(DATA_GOC!$H:$H,DATA_GOC!$A:$A,"BOM",DATA_GOC!$D:$D,$B33,DATA_GOC!$E:$E,"Téc 1",DATA_GOC!$F:$F,"Xuất nội bộ từ téc",DATA_GOC!$B:$B,DATE($D$2,$B$2,F$4)),0))</f>
        <v>0</v>
      </c>
      <c r="G33" s="239">
        <f>IF(G$4&gt;DAY(EOMONTH(DATE($D$2,$B$2,1),0)),"",IFERROR(SUMIFS(DATA_GOC!$H:$H,DATA_GOC!$A:$A,"BOM",DATA_GOC!$D:$D,$B33,DATA_GOC!$E:$E,"Téc 1",DATA_GOC!$F:$F,"Xuất nội bộ từ téc",DATA_GOC!$B:$B,DATE($D$2,$B$2,G$4)),0))</f>
        <v>0</v>
      </c>
      <c r="H33" s="239">
        <f>IF(H$4&gt;DAY(EOMONTH(DATE($D$2,$B$2,1),0)),"",IFERROR(SUMIFS(DATA_GOC!$H:$H,DATA_GOC!$A:$A,"BOM",DATA_GOC!$D:$D,$B33,DATA_GOC!$E:$E,"Téc 1",DATA_GOC!$F:$F,"Xuất nội bộ từ téc",DATA_GOC!$B:$B,DATE($D$2,$B$2,H$4)),0))</f>
        <v>0</v>
      </c>
      <c r="I33" s="239">
        <f>IF(I$4&gt;DAY(EOMONTH(DATE($D$2,$B$2,1),0)),"",IFERROR(SUMIFS(DATA_GOC!$H:$H,DATA_GOC!$A:$A,"BOM",DATA_GOC!$D:$D,$B33,DATA_GOC!$E:$E,"Téc 1",DATA_GOC!$F:$F,"Xuất nội bộ từ téc",DATA_GOC!$B:$B,DATE($D$2,$B$2,I$4)),0))</f>
        <v>0</v>
      </c>
      <c r="J33" s="239">
        <f>IF(J$4&gt;DAY(EOMONTH(DATE($D$2,$B$2,1),0)),"",IFERROR(SUMIFS(DATA_GOC!$H:$H,DATA_GOC!$A:$A,"BOM",DATA_GOC!$D:$D,$B33,DATA_GOC!$E:$E,"Téc 1",DATA_GOC!$F:$F,"Xuất nội bộ từ téc",DATA_GOC!$B:$B,DATE($D$2,$B$2,J$4)),0))</f>
        <v>0</v>
      </c>
      <c r="K33" s="239">
        <f>IF(K$4&gt;DAY(EOMONTH(DATE($D$2,$B$2,1),0)),"",IFERROR(SUMIFS(DATA_GOC!$H:$H,DATA_GOC!$A:$A,"BOM",DATA_GOC!$D:$D,$B33,DATA_GOC!$E:$E,"Téc 1",DATA_GOC!$F:$F,"Xuất nội bộ từ téc",DATA_GOC!$B:$B,DATE($D$2,$B$2,K$4)),0))</f>
        <v>0</v>
      </c>
      <c r="L33" s="239">
        <f>IF(L$4&gt;DAY(EOMONTH(DATE($D$2,$B$2,1),0)),"",IFERROR(SUMIFS(DATA_GOC!$H:$H,DATA_GOC!$A:$A,"BOM",DATA_GOC!$D:$D,$B33,DATA_GOC!$E:$E,"Téc 1",DATA_GOC!$F:$F,"Xuất nội bộ từ téc",DATA_GOC!$B:$B,DATE($D$2,$B$2,L$4)),0))</f>
        <v>0</v>
      </c>
      <c r="M33" s="239">
        <f>IF(M$4&gt;DAY(EOMONTH(DATE($D$2,$B$2,1),0)),"",IFERROR(SUMIFS(DATA_GOC!$H:$H,DATA_GOC!$A:$A,"BOM",DATA_GOC!$D:$D,$B33,DATA_GOC!$E:$E,"Téc 1",DATA_GOC!$F:$F,"Xuất nội bộ từ téc",DATA_GOC!$B:$B,DATE($D$2,$B$2,M$4)),0))</f>
        <v>0</v>
      </c>
      <c r="N33" s="239">
        <f>IF(N$4&gt;DAY(EOMONTH(DATE($D$2,$B$2,1),0)),"",IFERROR(SUMIFS(DATA_GOC!$H:$H,DATA_GOC!$A:$A,"BOM",DATA_GOC!$D:$D,$B33,DATA_GOC!$E:$E,"Téc 1",DATA_GOC!$F:$F,"Xuất nội bộ từ téc",DATA_GOC!$B:$B,DATE($D$2,$B$2,N$4)),0))</f>
        <v>0</v>
      </c>
      <c r="O33" s="239">
        <f>IF(O$4&gt;DAY(EOMONTH(DATE($D$2,$B$2,1),0)),"",IFERROR(SUMIFS(DATA_GOC!$H:$H,DATA_GOC!$A:$A,"BOM",DATA_GOC!$D:$D,$B33,DATA_GOC!$E:$E,"Téc 1",DATA_GOC!$F:$F,"Xuất nội bộ từ téc",DATA_GOC!$B:$B,DATE($D$2,$B$2,O$4)),0))</f>
        <v>0</v>
      </c>
      <c r="P33" s="239">
        <f>IF(P$4&gt;DAY(EOMONTH(DATE($D$2,$B$2,1),0)),"",IFERROR(SUMIFS(DATA_GOC!$H:$H,DATA_GOC!$A:$A,"BOM",DATA_GOC!$D:$D,$B33,DATA_GOC!$E:$E,"Téc 1",DATA_GOC!$F:$F,"Xuất nội bộ từ téc",DATA_GOC!$B:$B,DATE($D$2,$B$2,P$4)),0))</f>
        <v>0</v>
      </c>
      <c r="Q33" s="239">
        <f>IF(Q$4&gt;DAY(EOMONTH(DATE($D$2,$B$2,1),0)),"",IFERROR(SUMIFS(DATA_GOC!$H:$H,DATA_GOC!$A:$A,"BOM",DATA_GOC!$D:$D,$B33,DATA_GOC!$E:$E,"Téc 1",DATA_GOC!$F:$F,"Xuất nội bộ từ téc",DATA_GOC!$B:$B,DATE($D$2,$B$2,Q$4)),0))</f>
        <v>0</v>
      </c>
      <c r="R33" s="239">
        <f>IF(R$4&gt;DAY(EOMONTH(DATE($D$2,$B$2,1),0)),"",IFERROR(SUMIFS(DATA_GOC!$H:$H,DATA_GOC!$A:$A,"BOM",DATA_GOC!$D:$D,$B33,DATA_GOC!$E:$E,"Téc 1",DATA_GOC!$F:$F,"Xuất nội bộ từ téc",DATA_GOC!$B:$B,DATE($D$2,$B$2,R$4)),0))</f>
        <v>0</v>
      </c>
      <c r="S33" s="239">
        <f>IF(S$4&gt;DAY(EOMONTH(DATE($D$2,$B$2,1),0)),"",IFERROR(SUMIFS(DATA_GOC!$H:$H,DATA_GOC!$A:$A,"BOM",DATA_GOC!$D:$D,$B33,DATA_GOC!$E:$E,"Téc 1",DATA_GOC!$F:$F,"Xuất nội bộ từ téc",DATA_GOC!$B:$B,DATE($D$2,$B$2,S$4)),0))</f>
        <v>0</v>
      </c>
      <c r="T33" s="239">
        <f>IF(T$4&gt;DAY(EOMONTH(DATE($D$2,$B$2,1),0)),"",IFERROR(SUMIFS(DATA_GOC!$H:$H,DATA_GOC!$A:$A,"BOM",DATA_GOC!$D:$D,$B33,DATA_GOC!$E:$E,"Téc 1",DATA_GOC!$F:$F,"Xuất nội bộ từ téc",DATA_GOC!$B:$B,DATE($D$2,$B$2,T$4)),0))</f>
        <v>0</v>
      </c>
      <c r="U33" s="239">
        <f>IF(U$4&gt;DAY(EOMONTH(DATE($D$2,$B$2,1),0)),"",IFERROR(SUMIFS(DATA_GOC!$H:$H,DATA_GOC!$A:$A,"BOM",DATA_GOC!$D:$D,$B33,DATA_GOC!$E:$E,"Téc 1",DATA_GOC!$F:$F,"Xuất nội bộ từ téc",DATA_GOC!$B:$B,DATE($D$2,$B$2,U$4)),0))</f>
        <v>0</v>
      </c>
      <c r="V33" s="239">
        <f>IF(V$4&gt;DAY(EOMONTH(DATE($D$2,$B$2,1),0)),"",IFERROR(SUMIFS(DATA_GOC!$H:$H,DATA_GOC!$A:$A,"BOM",DATA_GOC!$D:$D,$B33,DATA_GOC!$E:$E,"Téc 1",DATA_GOC!$F:$F,"Xuất nội bộ từ téc",DATA_GOC!$B:$B,DATE($D$2,$B$2,V$4)),0))</f>
        <v>0</v>
      </c>
      <c r="W33" s="239">
        <f>IF(W$4&gt;DAY(EOMONTH(DATE($D$2,$B$2,1),0)),"",IFERROR(SUMIFS(DATA_GOC!$H:$H,DATA_GOC!$A:$A,"BOM",DATA_GOC!$D:$D,$B33,DATA_GOC!$E:$E,"Téc 1",DATA_GOC!$F:$F,"Xuất nội bộ từ téc",DATA_GOC!$B:$B,DATE($D$2,$B$2,W$4)),0))</f>
        <v>0</v>
      </c>
      <c r="X33" s="239">
        <f>IF(X$4&gt;DAY(EOMONTH(DATE($D$2,$B$2,1),0)),"",IFERROR(SUMIFS(DATA_GOC!$H:$H,DATA_GOC!$A:$A,"BOM",DATA_GOC!$D:$D,$B33,DATA_GOC!$E:$E,"Téc 1",DATA_GOC!$F:$F,"Xuất nội bộ từ téc",DATA_GOC!$B:$B,DATE($D$2,$B$2,X$4)),0))</f>
        <v>0</v>
      </c>
      <c r="Y33" s="239">
        <f>IF(Y$4&gt;DAY(EOMONTH(DATE($D$2,$B$2,1),0)),"",IFERROR(SUMIFS(DATA_GOC!$H:$H,DATA_GOC!$A:$A,"BOM",DATA_GOC!$D:$D,$B33,DATA_GOC!$E:$E,"Téc 1",DATA_GOC!$F:$F,"Xuất nội bộ từ téc",DATA_GOC!$B:$B,DATE($D$2,$B$2,Y$4)),0))</f>
        <v>0</v>
      </c>
      <c r="Z33" s="239">
        <f>IF(Z$4&gt;DAY(EOMONTH(DATE($D$2,$B$2,1),0)),"",IFERROR(SUMIFS(DATA_GOC!$H:$H,DATA_GOC!$A:$A,"BOM",DATA_GOC!$D:$D,$B33,DATA_GOC!$E:$E,"Téc 1",DATA_GOC!$F:$F,"Xuất nội bộ từ téc",DATA_GOC!$B:$B,DATE($D$2,$B$2,Z$4)),0))</f>
        <v>0</v>
      </c>
      <c r="AA33" s="239">
        <f>IF(AA$4&gt;DAY(EOMONTH(DATE($D$2,$B$2,1),0)),"",IFERROR(SUMIFS(DATA_GOC!$H:$H,DATA_GOC!$A:$A,"BOM",DATA_GOC!$D:$D,$B33,DATA_GOC!$E:$E,"Téc 1",DATA_GOC!$F:$F,"Xuất nội bộ từ téc",DATA_GOC!$B:$B,DATE($D$2,$B$2,AA$4)),0))</f>
        <v>0</v>
      </c>
      <c r="AB33" s="239">
        <f>IF(AB$4&gt;DAY(EOMONTH(DATE($D$2,$B$2,1),0)),"",IFERROR(SUMIFS(DATA_GOC!$H:$H,DATA_GOC!$A:$A,"BOM",DATA_GOC!$D:$D,$B33,DATA_GOC!$E:$E,"Téc 1",DATA_GOC!$F:$F,"Xuất nội bộ từ téc",DATA_GOC!$B:$B,DATE($D$2,$B$2,AB$4)),0))</f>
        <v>0</v>
      </c>
      <c r="AC33" s="239">
        <f>IF(AC$4&gt;DAY(EOMONTH(DATE($D$2,$B$2,1),0)),"",IFERROR(SUMIFS(DATA_GOC!$H:$H,DATA_GOC!$A:$A,"BOM",DATA_GOC!$D:$D,$B33,DATA_GOC!$E:$E,"Téc 1",DATA_GOC!$F:$F,"Xuất nội bộ từ téc",DATA_GOC!$B:$B,DATE($D$2,$B$2,AC$4)),0))</f>
        <v>0</v>
      </c>
      <c r="AD33" s="239">
        <f>IF(AD$4&gt;DAY(EOMONTH(DATE($D$2,$B$2,1),0)),"",IFERROR(SUMIFS(DATA_GOC!$H:$H,DATA_GOC!$A:$A,"BOM",DATA_GOC!$D:$D,$B33,DATA_GOC!$E:$E,"Téc 1",DATA_GOC!$F:$F,"Xuất nội bộ từ téc",DATA_GOC!$B:$B,DATE($D$2,$B$2,AD$4)),0))</f>
        <v>0</v>
      </c>
      <c r="AE33" s="239">
        <f>IF(AE$4&gt;DAY(EOMONTH(DATE($D$2,$B$2,1),0)),"",IFERROR(SUMIFS(DATA_GOC!$H:$H,DATA_GOC!$A:$A,"BOM",DATA_GOC!$D:$D,$B33,DATA_GOC!$E:$E,"Téc 1",DATA_GOC!$F:$F,"Xuất nội bộ từ téc",DATA_GOC!$B:$B,DATE($D$2,$B$2,AE$4)),0))</f>
        <v>0</v>
      </c>
      <c r="AF33" s="239">
        <f>IF(AF$4&gt;DAY(EOMONTH(DATE($D$2,$B$2,1),0)),"",IFERROR(SUMIFS(DATA_GOC!$H:$H,DATA_GOC!$A:$A,"BOM",DATA_GOC!$D:$D,$B33,DATA_GOC!$E:$E,"Téc 1",DATA_GOC!$F:$F,"Xuất nội bộ từ téc",DATA_GOC!$B:$B,DATE($D$2,$B$2,AF$4)),0))</f>
        <v>0</v>
      </c>
      <c r="AG33" s="239">
        <f>IF(AG$4&gt;DAY(EOMONTH(DATE($D$2,$B$2,1),0)),"",IFERROR(SUMIFS(DATA_GOC!$H:$H,DATA_GOC!$A:$A,"BOM",DATA_GOC!$D:$D,$B33,DATA_GOC!$E:$E,"Téc 1",DATA_GOC!$F:$F,"Xuất nội bộ từ téc",DATA_GOC!$B:$B,DATE($D$2,$B$2,AG$4)),0))</f>
        <v>0</v>
      </c>
      <c r="AH33" s="240">
        <f t="shared" si="1"/>
        <v>0</v>
      </c>
      <c r="AI33" s="241"/>
      <c r="AJ33" s="239">
        <f>IF($B33="","",SUMIFS(TINH_TEC!$K$233:$K$9232,TINH_TEC!$H$233:$H$9232,$B33,TINH_TEC!$C$233:$C$9232,"Téc 1",TINH_TEC!$F$233:$F$9232,$B$2,TINH_TEC!$G$233:$G$9232,$D$2,TINH_TEC!$B$233:$B$9232,"Đã chốt"))</f>
        <v>0</v>
      </c>
      <c r="AK33" s="239">
        <f>IF($B33="","",SUMIFS(TINH_TEC!$J$233:$J$9232,TINH_TEC!$H$233:$H$9232,$B33,TINH_TEC!$C$233:$C$9232,"Téc 1",TINH_TEC!$F$233:$F$9232,$B$2,TINH_TEC!$G$233:$G$9232,$D$2,TINH_TEC!$B$233:$B$9232,"Đã chốt"))</f>
        <v>0</v>
      </c>
      <c r="AL33" s="239">
        <f t="shared" si="2"/>
        <v>0</v>
      </c>
    </row>
    <row r="34" ht="15.75" customHeight="1">
      <c r="A34" s="237">
        <f>IF($B34&lt;&gt;"",29,"")</f>
        <v>29</v>
      </c>
      <c r="B34" s="238" t="str">
        <f t="array" ref="B34">IFERROR(INDEX(DANH_MUC!$E:$E,32),"")</f>
        <v>28C05739</v>
      </c>
      <c r="C34" s="239">
        <f>IF(C$4&gt;DAY(EOMONTH(DATE($D$2,$B$2,1),0)),"",IFERROR(SUMIFS(DATA_GOC!$H:$H,DATA_GOC!$A:$A,"BOM",DATA_GOC!$D:$D,$B34,DATA_GOC!$E:$E,"Téc 1",DATA_GOC!$F:$F,"Xuất nội bộ từ téc",DATA_GOC!$B:$B,DATE($D$2,$B$2,C$4)),0))</f>
        <v>0</v>
      </c>
      <c r="D34" s="239">
        <f>IF(D$4&gt;DAY(EOMONTH(DATE($D$2,$B$2,1),0)),"",IFERROR(SUMIFS(DATA_GOC!$H:$H,DATA_GOC!$A:$A,"BOM",DATA_GOC!$D:$D,$B34,DATA_GOC!$E:$E,"Téc 1",DATA_GOC!$F:$F,"Xuất nội bộ từ téc",DATA_GOC!$B:$B,DATE($D$2,$B$2,D$4)),0))</f>
        <v>0</v>
      </c>
      <c r="E34" s="239">
        <f>IF(E$4&gt;DAY(EOMONTH(DATE($D$2,$B$2,1),0)),"",IFERROR(SUMIFS(DATA_GOC!$H:$H,DATA_GOC!$A:$A,"BOM",DATA_GOC!$D:$D,$B34,DATA_GOC!$E:$E,"Téc 1",DATA_GOC!$F:$F,"Xuất nội bộ từ téc",DATA_GOC!$B:$B,DATE($D$2,$B$2,E$4)),0))</f>
        <v>0</v>
      </c>
      <c r="F34" s="239">
        <f>IF(F$4&gt;DAY(EOMONTH(DATE($D$2,$B$2,1),0)),"",IFERROR(SUMIFS(DATA_GOC!$H:$H,DATA_GOC!$A:$A,"BOM",DATA_GOC!$D:$D,$B34,DATA_GOC!$E:$E,"Téc 1",DATA_GOC!$F:$F,"Xuất nội bộ từ téc",DATA_GOC!$B:$B,DATE($D$2,$B$2,F$4)),0))</f>
        <v>0</v>
      </c>
      <c r="G34" s="239">
        <f>IF(G$4&gt;DAY(EOMONTH(DATE($D$2,$B$2,1),0)),"",IFERROR(SUMIFS(DATA_GOC!$H:$H,DATA_GOC!$A:$A,"BOM",DATA_GOC!$D:$D,$B34,DATA_GOC!$E:$E,"Téc 1",DATA_GOC!$F:$F,"Xuất nội bộ từ téc",DATA_GOC!$B:$B,DATE($D$2,$B$2,G$4)),0))</f>
        <v>0</v>
      </c>
      <c r="H34" s="239">
        <f>IF(H$4&gt;DAY(EOMONTH(DATE($D$2,$B$2,1),0)),"",IFERROR(SUMIFS(DATA_GOC!$H:$H,DATA_GOC!$A:$A,"BOM",DATA_GOC!$D:$D,$B34,DATA_GOC!$E:$E,"Téc 1",DATA_GOC!$F:$F,"Xuất nội bộ từ téc",DATA_GOC!$B:$B,DATE($D$2,$B$2,H$4)),0))</f>
        <v>0</v>
      </c>
      <c r="I34" s="239">
        <f>IF(I$4&gt;DAY(EOMONTH(DATE($D$2,$B$2,1),0)),"",IFERROR(SUMIFS(DATA_GOC!$H:$H,DATA_GOC!$A:$A,"BOM",DATA_GOC!$D:$D,$B34,DATA_GOC!$E:$E,"Téc 1",DATA_GOC!$F:$F,"Xuất nội bộ từ téc",DATA_GOC!$B:$B,DATE($D$2,$B$2,I$4)),0))</f>
        <v>0</v>
      </c>
      <c r="J34" s="239">
        <f>IF(J$4&gt;DAY(EOMONTH(DATE($D$2,$B$2,1),0)),"",IFERROR(SUMIFS(DATA_GOC!$H:$H,DATA_GOC!$A:$A,"BOM",DATA_GOC!$D:$D,$B34,DATA_GOC!$E:$E,"Téc 1",DATA_GOC!$F:$F,"Xuất nội bộ từ téc",DATA_GOC!$B:$B,DATE($D$2,$B$2,J$4)),0))</f>
        <v>0</v>
      </c>
      <c r="K34" s="239">
        <f>IF(K$4&gt;DAY(EOMONTH(DATE($D$2,$B$2,1),0)),"",IFERROR(SUMIFS(DATA_GOC!$H:$H,DATA_GOC!$A:$A,"BOM",DATA_GOC!$D:$D,$B34,DATA_GOC!$E:$E,"Téc 1",DATA_GOC!$F:$F,"Xuất nội bộ từ téc",DATA_GOC!$B:$B,DATE($D$2,$B$2,K$4)),0))</f>
        <v>0</v>
      </c>
      <c r="L34" s="239">
        <f>IF(L$4&gt;DAY(EOMONTH(DATE($D$2,$B$2,1),0)),"",IFERROR(SUMIFS(DATA_GOC!$H:$H,DATA_GOC!$A:$A,"BOM",DATA_GOC!$D:$D,$B34,DATA_GOC!$E:$E,"Téc 1",DATA_GOC!$F:$F,"Xuất nội bộ từ téc",DATA_GOC!$B:$B,DATE($D$2,$B$2,L$4)),0))</f>
        <v>0</v>
      </c>
      <c r="M34" s="239">
        <f>IF(M$4&gt;DAY(EOMONTH(DATE($D$2,$B$2,1),0)),"",IFERROR(SUMIFS(DATA_GOC!$H:$H,DATA_GOC!$A:$A,"BOM",DATA_GOC!$D:$D,$B34,DATA_GOC!$E:$E,"Téc 1",DATA_GOC!$F:$F,"Xuất nội bộ từ téc",DATA_GOC!$B:$B,DATE($D$2,$B$2,M$4)),0))</f>
        <v>0</v>
      </c>
      <c r="N34" s="239">
        <f>IF(N$4&gt;DAY(EOMONTH(DATE($D$2,$B$2,1),0)),"",IFERROR(SUMIFS(DATA_GOC!$H:$H,DATA_GOC!$A:$A,"BOM",DATA_GOC!$D:$D,$B34,DATA_GOC!$E:$E,"Téc 1",DATA_GOC!$F:$F,"Xuất nội bộ từ téc",DATA_GOC!$B:$B,DATE($D$2,$B$2,N$4)),0))</f>
        <v>0</v>
      </c>
      <c r="O34" s="239">
        <f>IF(O$4&gt;DAY(EOMONTH(DATE($D$2,$B$2,1),0)),"",IFERROR(SUMIFS(DATA_GOC!$H:$H,DATA_GOC!$A:$A,"BOM",DATA_GOC!$D:$D,$B34,DATA_GOC!$E:$E,"Téc 1",DATA_GOC!$F:$F,"Xuất nội bộ từ téc",DATA_GOC!$B:$B,DATE($D$2,$B$2,O$4)),0))</f>
        <v>0</v>
      </c>
      <c r="P34" s="239">
        <f>IF(P$4&gt;DAY(EOMONTH(DATE($D$2,$B$2,1),0)),"",IFERROR(SUMIFS(DATA_GOC!$H:$H,DATA_GOC!$A:$A,"BOM",DATA_GOC!$D:$D,$B34,DATA_GOC!$E:$E,"Téc 1",DATA_GOC!$F:$F,"Xuất nội bộ từ téc",DATA_GOC!$B:$B,DATE($D$2,$B$2,P$4)),0))</f>
        <v>0</v>
      </c>
      <c r="Q34" s="239">
        <f>IF(Q$4&gt;DAY(EOMONTH(DATE($D$2,$B$2,1),0)),"",IFERROR(SUMIFS(DATA_GOC!$H:$H,DATA_GOC!$A:$A,"BOM",DATA_GOC!$D:$D,$B34,DATA_GOC!$E:$E,"Téc 1",DATA_GOC!$F:$F,"Xuất nội bộ từ téc",DATA_GOC!$B:$B,DATE($D$2,$B$2,Q$4)),0))</f>
        <v>0</v>
      </c>
      <c r="R34" s="239">
        <f>IF(R$4&gt;DAY(EOMONTH(DATE($D$2,$B$2,1),0)),"",IFERROR(SUMIFS(DATA_GOC!$H:$H,DATA_GOC!$A:$A,"BOM",DATA_GOC!$D:$D,$B34,DATA_GOC!$E:$E,"Téc 1",DATA_GOC!$F:$F,"Xuất nội bộ từ téc",DATA_GOC!$B:$B,DATE($D$2,$B$2,R$4)),0))</f>
        <v>0</v>
      </c>
      <c r="S34" s="239">
        <f>IF(S$4&gt;DAY(EOMONTH(DATE($D$2,$B$2,1),0)),"",IFERROR(SUMIFS(DATA_GOC!$H:$H,DATA_GOC!$A:$A,"BOM",DATA_GOC!$D:$D,$B34,DATA_GOC!$E:$E,"Téc 1",DATA_GOC!$F:$F,"Xuất nội bộ từ téc",DATA_GOC!$B:$B,DATE($D$2,$B$2,S$4)),0))</f>
        <v>0</v>
      </c>
      <c r="T34" s="239">
        <f>IF(T$4&gt;DAY(EOMONTH(DATE($D$2,$B$2,1),0)),"",IFERROR(SUMIFS(DATA_GOC!$H:$H,DATA_GOC!$A:$A,"BOM",DATA_GOC!$D:$D,$B34,DATA_GOC!$E:$E,"Téc 1",DATA_GOC!$F:$F,"Xuất nội bộ từ téc",DATA_GOC!$B:$B,DATE($D$2,$B$2,T$4)),0))</f>
        <v>0</v>
      </c>
      <c r="U34" s="239">
        <f>IF(U$4&gt;DAY(EOMONTH(DATE($D$2,$B$2,1),0)),"",IFERROR(SUMIFS(DATA_GOC!$H:$H,DATA_GOC!$A:$A,"BOM",DATA_GOC!$D:$D,$B34,DATA_GOC!$E:$E,"Téc 1",DATA_GOC!$F:$F,"Xuất nội bộ từ téc",DATA_GOC!$B:$B,DATE($D$2,$B$2,U$4)),0))</f>
        <v>0</v>
      </c>
      <c r="V34" s="239">
        <f>IF(V$4&gt;DAY(EOMONTH(DATE($D$2,$B$2,1),0)),"",IFERROR(SUMIFS(DATA_GOC!$H:$H,DATA_GOC!$A:$A,"BOM",DATA_GOC!$D:$D,$B34,DATA_GOC!$E:$E,"Téc 1",DATA_GOC!$F:$F,"Xuất nội bộ từ téc",DATA_GOC!$B:$B,DATE($D$2,$B$2,V$4)),0))</f>
        <v>0</v>
      </c>
      <c r="W34" s="239">
        <f>IF(W$4&gt;DAY(EOMONTH(DATE($D$2,$B$2,1),0)),"",IFERROR(SUMIFS(DATA_GOC!$H:$H,DATA_GOC!$A:$A,"BOM",DATA_GOC!$D:$D,$B34,DATA_GOC!$E:$E,"Téc 1",DATA_GOC!$F:$F,"Xuất nội bộ từ téc",DATA_GOC!$B:$B,DATE($D$2,$B$2,W$4)),0))</f>
        <v>0</v>
      </c>
      <c r="X34" s="239">
        <f>IF(X$4&gt;DAY(EOMONTH(DATE($D$2,$B$2,1),0)),"",IFERROR(SUMIFS(DATA_GOC!$H:$H,DATA_GOC!$A:$A,"BOM",DATA_GOC!$D:$D,$B34,DATA_GOC!$E:$E,"Téc 1",DATA_GOC!$F:$F,"Xuất nội bộ từ téc",DATA_GOC!$B:$B,DATE($D$2,$B$2,X$4)),0))</f>
        <v>0</v>
      </c>
      <c r="Y34" s="239">
        <f>IF(Y$4&gt;DAY(EOMONTH(DATE($D$2,$B$2,1),0)),"",IFERROR(SUMIFS(DATA_GOC!$H:$H,DATA_GOC!$A:$A,"BOM",DATA_GOC!$D:$D,$B34,DATA_GOC!$E:$E,"Téc 1",DATA_GOC!$F:$F,"Xuất nội bộ từ téc",DATA_GOC!$B:$B,DATE($D$2,$B$2,Y$4)),0))</f>
        <v>0</v>
      </c>
      <c r="Z34" s="239">
        <f>IF(Z$4&gt;DAY(EOMONTH(DATE($D$2,$B$2,1),0)),"",IFERROR(SUMIFS(DATA_GOC!$H:$H,DATA_GOC!$A:$A,"BOM",DATA_GOC!$D:$D,$B34,DATA_GOC!$E:$E,"Téc 1",DATA_GOC!$F:$F,"Xuất nội bộ từ téc",DATA_GOC!$B:$B,DATE($D$2,$B$2,Z$4)),0))</f>
        <v>0</v>
      </c>
      <c r="AA34" s="239">
        <f>IF(AA$4&gt;DAY(EOMONTH(DATE($D$2,$B$2,1),0)),"",IFERROR(SUMIFS(DATA_GOC!$H:$H,DATA_GOC!$A:$A,"BOM",DATA_GOC!$D:$D,$B34,DATA_GOC!$E:$E,"Téc 1",DATA_GOC!$F:$F,"Xuất nội bộ từ téc",DATA_GOC!$B:$B,DATE($D$2,$B$2,AA$4)),0))</f>
        <v>0</v>
      </c>
      <c r="AB34" s="239">
        <f>IF(AB$4&gt;DAY(EOMONTH(DATE($D$2,$B$2,1),0)),"",IFERROR(SUMIFS(DATA_GOC!$H:$H,DATA_GOC!$A:$A,"BOM",DATA_GOC!$D:$D,$B34,DATA_GOC!$E:$E,"Téc 1",DATA_GOC!$F:$F,"Xuất nội bộ từ téc",DATA_GOC!$B:$B,DATE($D$2,$B$2,AB$4)),0))</f>
        <v>0</v>
      </c>
      <c r="AC34" s="239">
        <f>IF(AC$4&gt;DAY(EOMONTH(DATE($D$2,$B$2,1),0)),"",IFERROR(SUMIFS(DATA_GOC!$H:$H,DATA_GOC!$A:$A,"BOM",DATA_GOC!$D:$D,$B34,DATA_GOC!$E:$E,"Téc 1",DATA_GOC!$F:$F,"Xuất nội bộ từ téc",DATA_GOC!$B:$B,DATE($D$2,$B$2,AC$4)),0))</f>
        <v>0</v>
      </c>
      <c r="AD34" s="239">
        <f>IF(AD$4&gt;DAY(EOMONTH(DATE($D$2,$B$2,1),0)),"",IFERROR(SUMIFS(DATA_GOC!$H:$H,DATA_GOC!$A:$A,"BOM",DATA_GOC!$D:$D,$B34,DATA_GOC!$E:$E,"Téc 1",DATA_GOC!$F:$F,"Xuất nội bộ từ téc",DATA_GOC!$B:$B,DATE($D$2,$B$2,AD$4)),0))</f>
        <v>0</v>
      </c>
      <c r="AE34" s="239">
        <f>IF(AE$4&gt;DAY(EOMONTH(DATE($D$2,$B$2,1),0)),"",IFERROR(SUMIFS(DATA_GOC!$H:$H,DATA_GOC!$A:$A,"BOM",DATA_GOC!$D:$D,$B34,DATA_GOC!$E:$E,"Téc 1",DATA_GOC!$F:$F,"Xuất nội bộ từ téc",DATA_GOC!$B:$B,DATE($D$2,$B$2,AE$4)),0))</f>
        <v>0</v>
      </c>
      <c r="AF34" s="239">
        <f>IF(AF$4&gt;DAY(EOMONTH(DATE($D$2,$B$2,1),0)),"",IFERROR(SUMIFS(DATA_GOC!$H:$H,DATA_GOC!$A:$A,"BOM",DATA_GOC!$D:$D,$B34,DATA_GOC!$E:$E,"Téc 1",DATA_GOC!$F:$F,"Xuất nội bộ từ téc",DATA_GOC!$B:$B,DATE($D$2,$B$2,AF$4)),0))</f>
        <v>0</v>
      </c>
      <c r="AG34" s="239">
        <f>IF(AG$4&gt;DAY(EOMONTH(DATE($D$2,$B$2,1),0)),"",IFERROR(SUMIFS(DATA_GOC!$H:$H,DATA_GOC!$A:$A,"BOM",DATA_GOC!$D:$D,$B34,DATA_GOC!$E:$E,"Téc 1",DATA_GOC!$F:$F,"Xuất nội bộ từ téc",DATA_GOC!$B:$B,DATE($D$2,$B$2,AG$4)),0))</f>
        <v>0</v>
      </c>
      <c r="AH34" s="240">
        <f t="shared" si="1"/>
        <v>0</v>
      </c>
      <c r="AI34" s="241"/>
      <c r="AJ34" s="239">
        <f>IF($B34="","",SUMIFS(TINH_TEC!$K$233:$K$9232,TINH_TEC!$H$233:$H$9232,$B34,TINH_TEC!$C$233:$C$9232,"Téc 1",TINH_TEC!$F$233:$F$9232,$B$2,TINH_TEC!$G$233:$G$9232,$D$2,TINH_TEC!$B$233:$B$9232,"Đã chốt"))</f>
        <v>0</v>
      </c>
      <c r="AK34" s="239">
        <f>IF($B34="","",SUMIFS(TINH_TEC!$J$233:$J$9232,TINH_TEC!$H$233:$H$9232,$B34,TINH_TEC!$C$233:$C$9232,"Téc 1",TINH_TEC!$F$233:$F$9232,$B$2,TINH_TEC!$G$233:$G$9232,$D$2,TINH_TEC!$B$233:$B$9232,"Đã chốt"))</f>
        <v>0</v>
      </c>
      <c r="AL34" s="239">
        <f t="shared" si="2"/>
        <v>0</v>
      </c>
    </row>
    <row r="35" ht="15.75" customHeight="1">
      <c r="A35" s="237">
        <f>IF($B35&lt;&gt;"",30,"")</f>
        <v>30</v>
      </c>
      <c r="B35" s="238" t="str">
        <f t="array" ref="B35">IFERROR(INDEX(DANH_MUC!$E:$E,33),"")</f>
        <v>28C06369</v>
      </c>
      <c r="C35" s="239">
        <f>IF(C$4&gt;DAY(EOMONTH(DATE($D$2,$B$2,1),0)),"",IFERROR(SUMIFS(DATA_GOC!$H:$H,DATA_GOC!$A:$A,"BOM",DATA_GOC!$D:$D,$B35,DATA_GOC!$E:$E,"Téc 1",DATA_GOC!$F:$F,"Xuất nội bộ từ téc",DATA_GOC!$B:$B,DATE($D$2,$B$2,C$4)),0))</f>
        <v>0</v>
      </c>
      <c r="D35" s="239">
        <f>IF(D$4&gt;DAY(EOMONTH(DATE($D$2,$B$2,1),0)),"",IFERROR(SUMIFS(DATA_GOC!$H:$H,DATA_GOC!$A:$A,"BOM",DATA_GOC!$D:$D,$B35,DATA_GOC!$E:$E,"Téc 1",DATA_GOC!$F:$F,"Xuất nội bộ từ téc",DATA_GOC!$B:$B,DATE($D$2,$B$2,D$4)),0))</f>
        <v>0</v>
      </c>
      <c r="E35" s="239">
        <f>IF(E$4&gt;DAY(EOMONTH(DATE($D$2,$B$2,1),0)),"",IFERROR(SUMIFS(DATA_GOC!$H:$H,DATA_GOC!$A:$A,"BOM",DATA_GOC!$D:$D,$B35,DATA_GOC!$E:$E,"Téc 1",DATA_GOC!$F:$F,"Xuất nội bộ từ téc",DATA_GOC!$B:$B,DATE($D$2,$B$2,E$4)),0))</f>
        <v>0</v>
      </c>
      <c r="F35" s="239">
        <f>IF(F$4&gt;DAY(EOMONTH(DATE($D$2,$B$2,1),0)),"",IFERROR(SUMIFS(DATA_GOC!$H:$H,DATA_GOC!$A:$A,"BOM",DATA_GOC!$D:$D,$B35,DATA_GOC!$E:$E,"Téc 1",DATA_GOC!$F:$F,"Xuất nội bộ từ téc",DATA_GOC!$B:$B,DATE($D$2,$B$2,F$4)),0))</f>
        <v>0</v>
      </c>
      <c r="G35" s="239">
        <f>IF(G$4&gt;DAY(EOMONTH(DATE($D$2,$B$2,1),0)),"",IFERROR(SUMIFS(DATA_GOC!$H:$H,DATA_GOC!$A:$A,"BOM",DATA_GOC!$D:$D,$B35,DATA_GOC!$E:$E,"Téc 1",DATA_GOC!$F:$F,"Xuất nội bộ từ téc",DATA_GOC!$B:$B,DATE($D$2,$B$2,G$4)),0))</f>
        <v>0</v>
      </c>
      <c r="H35" s="239">
        <f>IF(H$4&gt;DAY(EOMONTH(DATE($D$2,$B$2,1),0)),"",IFERROR(SUMIFS(DATA_GOC!$H:$H,DATA_GOC!$A:$A,"BOM",DATA_GOC!$D:$D,$B35,DATA_GOC!$E:$E,"Téc 1",DATA_GOC!$F:$F,"Xuất nội bộ từ téc",DATA_GOC!$B:$B,DATE($D$2,$B$2,H$4)),0))</f>
        <v>0</v>
      </c>
      <c r="I35" s="239">
        <f>IF(I$4&gt;DAY(EOMONTH(DATE($D$2,$B$2,1),0)),"",IFERROR(SUMIFS(DATA_GOC!$H:$H,DATA_GOC!$A:$A,"BOM",DATA_GOC!$D:$D,$B35,DATA_GOC!$E:$E,"Téc 1",DATA_GOC!$F:$F,"Xuất nội bộ từ téc",DATA_GOC!$B:$B,DATE($D$2,$B$2,I$4)),0))</f>
        <v>0</v>
      </c>
      <c r="J35" s="239">
        <f>IF(J$4&gt;DAY(EOMONTH(DATE($D$2,$B$2,1),0)),"",IFERROR(SUMIFS(DATA_GOC!$H:$H,DATA_GOC!$A:$A,"BOM",DATA_GOC!$D:$D,$B35,DATA_GOC!$E:$E,"Téc 1",DATA_GOC!$F:$F,"Xuất nội bộ từ téc",DATA_GOC!$B:$B,DATE($D$2,$B$2,J$4)),0))</f>
        <v>0</v>
      </c>
      <c r="K35" s="239">
        <f>IF(K$4&gt;DAY(EOMONTH(DATE($D$2,$B$2,1),0)),"",IFERROR(SUMIFS(DATA_GOC!$H:$H,DATA_GOC!$A:$A,"BOM",DATA_GOC!$D:$D,$B35,DATA_GOC!$E:$E,"Téc 1",DATA_GOC!$F:$F,"Xuất nội bộ từ téc",DATA_GOC!$B:$B,DATE($D$2,$B$2,K$4)),0))</f>
        <v>0</v>
      </c>
      <c r="L35" s="239">
        <f>IF(L$4&gt;DAY(EOMONTH(DATE($D$2,$B$2,1),0)),"",IFERROR(SUMIFS(DATA_GOC!$H:$H,DATA_GOC!$A:$A,"BOM",DATA_GOC!$D:$D,$B35,DATA_GOC!$E:$E,"Téc 1",DATA_GOC!$F:$F,"Xuất nội bộ từ téc",DATA_GOC!$B:$B,DATE($D$2,$B$2,L$4)),0))</f>
        <v>0</v>
      </c>
      <c r="M35" s="239">
        <f>IF(M$4&gt;DAY(EOMONTH(DATE($D$2,$B$2,1),0)),"",IFERROR(SUMIFS(DATA_GOC!$H:$H,DATA_GOC!$A:$A,"BOM",DATA_GOC!$D:$D,$B35,DATA_GOC!$E:$E,"Téc 1",DATA_GOC!$F:$F,"Xuất nội bộ từ téc",DATA_GOC!$B:$B,DATE($D$2,$B$2,M$4)),0))</f>
        <v>0</v>
      </c>
      <c r="N35" s="239">
        <f>IF(N$4&gt;DAY(EOMONTH(DATE($D$2,$B$2,1),0)),"",IFERROR(SUMIFS(DATA_GOC!$H:$H,DATA_GOC!$A:$A,"BOM",DATA_GOC!$D:$D,$B35,DATA_GOC!$E:$E,"Téc 1",DATA_GOC!$F:$F,"Xuất nội bộ từ téc",DATA_GOC!$B:$B,DATE($D$2,$B$2,N$4)),0))</f>
        <v>0</v>
      </c>
      <c r="O35" s="239">
        <f>IF(O$4&gt;DAY(EOMONTH(DATE($D$2,$B$2,1),0)),"",IFERROR(SUMIFS(DATA_GOC!$H:$H,DATA_GOC!$A:$A,"BOM",DATA_GOC!$D:$D,$B35,DATA_GOC!$E:$E,"Téc 1",DATA_GOC!$F:$F,"Xuất nội bộ từ téc",DATA_GOC!$B:$B,DATE($D$2,$B$2,O$4)),0))</f>
        <v>0</v>
      </c>
      <c r="P35" s="239">
        <f>IF(P$4&gt;DAY(EOMONTH(DATE($D$2,$B$2,1),0)),"",IFERROR(SUMIFS(DATA_GOC!$H:$H,DATA_GOC!$A:$A,"BOM",DATA_GOC!$D:$D,$B35,DATA_GOC!$E:$E,"Téc 1",DATA_GOC!$F:$F,"Xuất nội bộ từ téc",DATA_GOC!$B:$B,DATE($D$2,$B$2,P$4)),0))</f>
        <v>0</v>
      </c>
      <c r="Q35" s="239">
        <f>IF(Q$4&gt;DAY(EOMONTH(DATE($D$2,$B$2,1),0)),"",IFERROR(SUMIFS(DATA_GOC!$H:$H,DATA_GOC!$A:$A,"BOM",DATA_GOC!$D:$D,$B35,DATA_GOC!$E:$E,"Téc 1",DATA_GOC!$F:$F,"Xuất nội bộ từ téc",DATA_GOC!$B:$B,DATE($D$2,$B$2,Q$4)),0))</f>
        <v>0</v>
      </c>
      <c r="R35" s="239">
        <f>IF(R$4&gt;DAY(EOMONTH(DATE($D$2,$B$2,1),0)),"",IFERROR(SUMIFS(DATA_GOC!$H:$H,DATA_GOC!$A:$A,"BOM",DATA_GOC!$D:$D,$B35,DATA_GOC!$E:$E,"Téc 1",DATA_GOC!$F:$F,"Xuất nội bộ từ téc",DATA_GOC!$B:$B,DATE($D$2,$B$2,R$4)),0))</f>
        <v>0</v>
      </c>
      <c r="S35" s="239">
        <f>IF(S$4&gt;DAY(EOMONTH(DATE($D$2,$B$2,1),0)),"",IFERROR(SUMIFS(DATA_GOC!$H:$H,DATA_GOC!$A:$A,"BOM",DATA_GOC!$D:$D,$B35,DATA_GOC!$E:$E,"Téc 1",DATA_GOC!$F:$F,"Xuất nội bộ từ téc",DATA_GOC!$B:$B,DATE($D$2,$B$2,S$4)),0))</f>
        <v>0</v>
      </c>
      <c r="T35" s="239">
        <f>IF(T$4&gt;DAY(EOMONTH(DATE($D$2,$B$2,1),0)),"",IFERROR(SUMIFS(DATA_GOC!$H:$H,DATA_GOC!$A:$A,"BOM",DATA_GOC!$D:$D,$B35,DATA_GOC!$E:$E,"Téc 1",DATA_GOC!$F:$F,"Xuất nội bộ từ téc",DATA_GOC!$B:$B,DATE($D$2,$B$2,T$4)),0))</f>
        <v>0</v>
      </c>
      <c r="U35" s="239">
        <f>IF(U$4&gt;DAY(EOMONTH(DATE($D$2,$B$2,1),0)),"",IFERROR(SUMIFS(DATA_GOC!$H:$H,DATA_GOC!$A:$A,"BOM",DATA_GOC!$D:$D,$B35,DATA_GOC!$E:$E,"Téc 1",DATA_GOC!$F:$F,"Xuất nội bộ từ téc",DATA_GOC!$B:$B,DATE($D$2,$B$2,U$4)),0))</f>
        <v>0</v>
      </c>
      <c r="V35" s="239">
        <f>IF(V$4&gt;DAY(EOMONTH(DATE($D$2,$B$2,1),0)),"",IFERROR(SUMIFS(DATA_GOC!$H:$H,DATA_GOC!$A:$A,"BOM",DATA_GOC!$D:$D,$B35,DATA_GOC!$E:$E,"Téc 1",DATA_GOC!$F:$F,"Xuất nội bộ từ téc",DATA_GOC!$B:$B,DATE($D$2,$B$2,V$4)),0))</f>
        <v>0</v>
      </c>
      <c r="W35" s="239">
        <f>IF(W$4&gt;DAY(EOMONTH(DATE($D$2,$B$2,1),0)),"",IFERROR(SUMIFS(DATA_GOC!$H:$H,DATA_GOC!$A:$A,"BOM",DATA_GOC!$D:$D,$B35,DATA_GOC!$E:$E,"Téc 1",DATA_GOC!$F:$F,"Xuất nội bộ từ téc",DATA_GOC!$B:$B,DATE($D$2,$B$2,W$4)),0))</f>
        <v>0</v>
      </c>
      <c r="X35" s="239">
        <f>IF(X$4&gt;DAY(EOMONTH(DATE($D$2,$B$2,1),0)),"",IFERROR(SUMIFS(DATA_GOC!$H:$H,DATA_GOC!$A:$A,"BOM",DATA_GOC!$D:$D,$B35,DATA_GOC!$E:$E,"Téc 1",DATA_GOC!$F:$F,"Xuất nội bộ từ téc",DATA_GOC!$B:$B,DATE($D$2,$B$2,X$4)),0))</f>
        <v>0</v>
      </c>
      <c r="Y35" s="239">
        <f>IF(Y$4&gt;DAY(EOMONTH(DATE($D$2,$B$2,1),0)),"",IFERROR(SUMIFS(DATA_GOC!$H:$H,DATA_GOC!$A:$A,"BOM",DATA_GOC!$D:$D,$B35,DATA_GOC!$E:$E,"Téc 1",DATA_GOC!$F:$F,"Xuất nội bộ từ téc",DATA_GOC!$B:$B,DATE($D$2,$B$2,Y$4)),0))</f>
        <v>0</v>
      </c>
      <c r="Z35" s="239">
        <f>IF(Z$4&gt;DAY(EOMONTH(DATE($D$2,$B$2,1),0)),"",IFERROR(SUMIFS(DATA_GOC!$H:$H,DATA_GOC!$A:$A,"BOM",DATA_GOC!$D:$D,$B35,DATA_GOC!$E:$E,"Téc 1",DATA_GOC!$F:$F,"Xuất nội bộ từ téc",DATA_GOC!$B:$B,DATE($D$2,$B$2,Z$4)),0))</f>
        <v>0</v>
      </c>
      <c r="AA35" s="239">
        <f>IF(AA$4&gt;DAY(EOMONTH(DATE($D$2,$B$2,1),0)),"",IFERROR(SUMIFS(DATA_GOC!$H:$H,DATA_GOC!$A:$A,"BOM",DATA_GOC!$D:$D,$B35,DATA_GOC!$E:$E,"Téc 1",DATA_GOC!$F:$F,"Xuất nội bộ từ téc",DATA_GOC!$B:$B,DATE($D$2,$B$2,AA$4)),0))</f>
        <v>0</v>
      </c>
      <c r="AB35" s="239">
        <f>IF(AB$4&gt;DAY(EOMONTH(DATE($D$2,$B$2,1),0)),"",IFERROR(SUMIFS(DATA_GOC!$H:$H,DATA_GOC!$A:$A,"BOM",DATA_GOC!$D:$D,$B35,DATA_GOC!$E:$E,"Téc 1",DATA_GOC!$F:$F,"Xuất nội bộ từ téc",DATA_GOC!$B:$B,DATE($D$2,$B$2,AB$4)),0))</f>
        <v>0</v>
      </c>
      <c r="AC35" s="239">
        <f>IF(AC$4&gt;DAY(EOMONTH(DATE($D$2,$B$2,1),0)),"",IFERROR(SUMIFS(DATA_GOC!$H:$H,DATA_GOC!$A:$A,"BOM",DATA_GOC!$D:$D,$B35,DATA_GOC!$E:$E,"Téc 1",DATA_GOC!$F:$F,"Xuất nội bộ từ téc",DATA_GOC!$B:$B,DATE($D$2,$B$2,AC$4)),0))</f>
        <v>0</v>
      </c>
      <c r="AD35" s="239">
        <f>IF(AD$4&gt;DAY(EOMONTH(DATE($D$2,$B$2,1),0)),"",IFERROR(SUMIFS(DATA_GOC!$H:$H,DATA_GOC!$A:$A,"BOM",DATA_GOC!$D:$D,$B35,DATA_GOC!$E:$E,"Téc 1",DATA_GOC!$F:$F,"Xuất nội bộ từ téc",DATA_GOC!$B:$B,DATE($D$2,$B$2,AD$4)),0))</f>
        <v>0</v>
      </c>
      <c r="AE35" s="239">
        <f>IF(AE$4&gt;DAY(EOMONTH(DATE($D$2,$B$2,1),0)),"",IFERROR(SUMIFS(DATA_GOC!$H:$H,DATA_GOC!$A:$A,"BOM",DATA_GOC!$D:$D,$B35,DATA_GOC!$E:$E,"Téc 1",DATA_GOC!$F:$F,"Xuất nội bộ từ téc",DATA_GOC!$B:$B,DATE($D$2,$B$2,AE$4)),0))</f>
        <v>0</v>
      </c>
      <c r="AF35" s="239">
        <f>IF(AF$4&gt;DAY(EOMONTH(DATE($D$2,$B$2,1),0)),"",IFERROR(SUMIFS(DATA_GOC!$H:$H,DATA_GOC!$A:$A,"BOM",DATA_GOC!$D:$D,$B35,DATA_GOC!$E:$E,"Téc 1",DATA_GOC!$F:$F,"Xuất nội bộ từ téc",DATA_GOC!$B:$B,DATE($D$2,$B$2,AF$4)),0))</f>
        <v>0</v>
      </c>
      <c r="AG35" s="239">
        <f>IF(AG$4&gt;DAY(EOMONTH(DATE($D$2,$B$2,1),0)),"",IFERROR(SUMIFS(DATA_GOC!$H:$H,DATA_GOC!$A:$A,"BOM",DATA_GOC!$D:$D,$B35,DATA_GOC!$E:$E,"Téc 1",DATA_GOC!$F:$F,"Xuất nội bộ từ téc",DATA_GOC!$B:$B,DATE($D$2,$B$2,AG$4)),0))</f>
        <v>0</v>
      </c>
      <c r="AH35" s="240">
        <f t="shared" si="1"/>
        <v>0</v>
      </c>
      <c r="AI35" s="241"/>
      <c r="AJ35" s="239">
        <f>IF($B35="","",SUMIFS(TINH_TEC!$K$233:$K$9232,TINH_TEC!$H$233:$H$9232,$B35,TINH_TEC!$C$233:$C$9232,"Téc 1",TINH_TEC!$F$233:$F$9232,$B$2,TINH_TEC!$G$233:$G$9232,$D$2,TINH_TEC!$B$233:$B$9232,"Đã chốt"))</f>
        <v>0</v>
      </c>
      <c r="AK35" s="239">
        <f>IF($B35="","",SUMIFS(TINH_TEC!$J$233:$J$9232,TINH_TEC!$H$233:$H$9232,$B35,TINH_TEC!$C$233:$C$9232,"Téc 1",TINH_TEC!$F$233:$F$9232,$B$2,TINH_TEC!$G$233:$G$9232,$D$2,TINH_TEC!$B$233:$B$9232,"Đã chốt"))</f>
        <v>0</v>
      </c>
      <c r="AL35" s="239">
        <f t="shared" si="2"/>
        <v>0</v>
      </c>
    </row>
    <row r="36" ht="15.75" customHeight="1">
      <c r="A36" s="237">
        <f>IF($B36&lt;&gt;"",31,"")</f>
        <v>31</v>
      </c>
      <c r="B36" s="238" t="str">
        <f t="array" ref="B36">IFERROR(INDEX(DANH_MUC!$E:$E,34),"")</f>
        <v>28C06447</v>
      </c>
      <c r="C36" s="239">
        <f>IF(C$4&gt;DAY(EOMONTH(DATE($D$2,$B$2,1),0)),"",IFERROR(SUMIFS(DATA_GOC!$H:$H,DATA_GOC!$A:$A,"BOM",DATA_GOC!$D:$D,$B36,DATA_GOC!$E:$E,"Téc 1",DATA_GOC!$F:$F,"Xuất nội bộ từ téc",DATA_GOC!$B:$B,DATE($D$2,$B$2,C$4)),0))</f>
        <v>0</v>
      </c>
      <c r="D36" s="239">
        <f>IF(D$4&gt;DAY(EOMONTH(DATE($D$2,$B$2,1),0)),"",IFERROR(SUMIFS(DATA_GOC!$H:$H,DATA_GOC!$A:$A,"BOM",DATA_GOC!$D:$D,$B36,DATA_GOC!$E:$E,"Téc 1",DATA_GOC!$F:$F,"Xuất nội bộ từ téc",DATA_GOC!$B:$B,DATE($D$2,$B$2,D$4)),0))</f>
        <v>0</v>
      </c>
      <c r="E36" s="239">
        <f>IF(E$4&gt;DAY(EOMONTH(DATE($D$2,$B$2,1),0)),"",IFERROR(SUMIFS(DATA_GOC!$H:$H,DATA_GOC!$A:$A,"BOM",DATA_GOC!$D:$D,$B36,DATA_GOC!$E:$E,"Téc 1",DATA_GOC!$F:$F,"Xuất nội bộ từ téc",DATA_GOC!$B:$B,DATE($D$2,$B$2,E$4)),0))</f>
        <v>0</v>
      </c>
      <c r="F36" s="239">
        <f>IF(F$4&gt;DAY(EOMONTH(DATE($D$2,$B$2,1),0)),"",IFERROR(SUMIFS(DATA_GOC!$H:$H,DATA_GOC!$A:$A,"BOM",DATA_GOC!$D:$D,$B36,DATA_GOC!$E:$E,"Téc 1",DATA_GOC!$F:$F,"Xuất nội bộ từ téc",DATA_GOC!$B:$B,DATE($D$2,$B$2,F$4)),0))</f>
        <v>0</v>
      </c>
      <c r="G36" s="239">
        <f>IF(G$4&gt;DAY(EOMONTH(DATE($D$2,$B$2,1),0)),"",IFERROR(SUMIFS(DATA_GOC!$H:$H,DATA_GOC!$A:$A,"BOM",DATA_GOC!$D:$D,$B36,DATA_GOC!$E:$E,"Téc 1",DATA_GOC!$F:$F,"Xuất nội bộ từ téc",DATA_GOC!$B:$B,DATE($D$2,$B$2,G$4)),0))</f>
        <v>0</v>
      </c>
      <c r="H36" s="239">
        <f>IF(H$4&gt;DAY(EOMONTH(DATE($D$2,$B$2,1),0)),"",IFERROR(SUMIFS(DATA_GOC!$H:$H,DATA_GOC!$A:$A,"BOM",DATA_GOC!$D:$D,$B36,DATA_GOC!$E:$E,"Téc 1",DATA_GOC!$F:$F,"Xuất nội bộ từ téc",DATA_GOC!$B:$B,DATE($D$2,$B$2,H$4)),0))</f>
        <v>0</v>
      </c>
      <c r="I36" s="239">
        <f>IF(I$4&gt;DAY(EOMONTH(DATE($D$2,$B$2,1),0)),"",IFERROR(SUMIFS(DATA_GOC!$H:$H,DATA_GOC!$A:$A,"BOM",DATA_GOC!$D:$D,$B36,DATA_GOC!$E:$E,"Téc 1",DATA_GOC!$F:$F,"Xuất nội bộ từ téc",DATA_GOC!$B:$B,DATE($D$2,$B$2,I$4)),0))</f>
        <v>0</v>
      </c>
      <c r="J36" s="239">
        <f>IF(J$4&gt;DAY(EOMONTH(DATE($D$2,$B$2,1),0)),"",IFERROR(SUMIFS(DATA_GOC!$H:$H,DATA_GOC!$A:$A,"BOM",DATA_GOC!$D:$D,$B36,DATA_GOC!$E:$E,"Téc 1",DATA_GOC!$F:$F,"Xuất nội bộ từ téc",DATA_GOC!$B:$B,DATE($D$2,$B$2,J$4)),0))</f>
        <v>0</v>
      </c>
      <c r="K36" s="239">
        <f>IF(K$4&gt;DAY(EOMONTH(DATE($D$2,$B$2,1),0)),"",IFERROR(SUMIFS(DATA_GOC!$H:$H,DATA_GOC!$A:$A,"BOM",DATA_GOC!$D:$D,$B36,DATA_GOC!$E:$E,"Téc 1",DATA_GOC!$F:$F,"Xuất nội bộ từ téc",DATA_GOC!$B:$B,DATE($D$2,$B$2,K$4)),0))</f>
        <v>0</v>
      </c>
      <c r="L36" s="239">
        <f>IF(L$4&gt;DAY(EOMONTH(DATE($D$2,$B$2,1),0)),"",IFERROR(SUMIFS(DATA_GOC!$H:$H,DATA_GOC!$A:$A,"BOM",DATA_GOC!$D:$D,$B36,DATA_GOC!$E:$E,"Téc 1",DATA_GOC!$F:$F,"Xuất nội bộ từ téc",DATA_GOC!$B:$B,DATE($D$2,$B$2,L$4)),0))</f>
        <v>0</v>
      </c>
      <c r="M36" s="239">
        <f>IF(M$4&gt;DAY(EOMONTH(DATE($D$2,$B$2,1),0)),"",IFERROR(SUMIFS(DATA_GOC!$H:$H,DATA_GOC!$A:$A,"BOM",DATA_GOC!$D:$D,$B36,DATA_GOC!$E:$E,"Téc 1",DATA_GOC!$F:$F,"Xuất nội bộ từ téc",DATA_GOC!$B:$B,DATE($D$2,$B$2,M$4)),0))</f>
        <v>0</v>
      </c>
      <c r="N36" s="239">
        <f>IF(N$4&gt;DAY(EOMONTH(DATE($D$2,$B$2,1),0)),"",IFERROR(SUMIFS(DATA_GOC!$H:$H,DATA_GOC!$A:$A,"BOM",DATA_GOC!$D:$D,$B36,DATA_GOC!$E:$E,"Téc 1",DATA_GOC!$F:$F,"Xuất nội bộ từ téc",DATA_GOC!$B:$B,DATE($D$2,$B$2,N$4)),0))</f>
        <v>0</v>
      </c>
      <c r="O36" s="239">
        <f>IF(O$4&gt;DAY(EOMONTH(DATE($D$2,$B$2,1),0)),"",IFERROR(SUMIFS(DATA_GOC!$H:$H,DATA_GOC!$A:$A,"BOM",DATA_GOC!$D:$D,$B36,DATA_GOC!$E:$E,"Téc 1",DATA_GOC!$F:$F,"Xuất nội bộ từ téc",DATA_GOC!$B:$B,DATE($D$2,$B$2,O$4)),0))</f>
        <v>0</v>
      </c>
      <c r="P36" s="239">
        <f>IF(P$4&gt;DAY(EOMONTH(DATE($D$2,$B$2,1),0)),"",IFERROR(SUMIFS(DATA_GOC!$H:$H,DATA_GOC!$A:$A,"BOM",DATA_GOC!$D:$D,$B36,DATA_GOC!$E:$E,"Téc 1",DATA_GOC!$F:$F,"Xuất nội bộ từ téc",DATA_GOC!$B:$B,DATE($D$2,$B$2,P$4)),0))</f>
        <v>0</v>
      </c>
      <c r="Q36" s="239">
        <f>IF(Q$4&gt;DAY(EOMONTH(DATE($D$2,$B$2,1),0)),"",IFERROR(SUMIFS(DATA_GOC!$H:$H,DATA_GOC!$A:$A,"BOM",DATA_GOC!$D:$D,$B36,DATA_GOC!$E:$E,"Téc 1",DATA_GOC!$F:$F,"Xuất nội bộ từ téc",DATA_GOC!$B:$B,DATE($D$2,$B$2,Q$4)),0))</f>
        <v>0</v>
      </c>
      <c r="R36" s="239">
        <f>IF(R$4&gt;DAY(EOMONTH(DATE($D$2,$B$2,1),0)),"",IFERROR(SUMIFS(DATA_GOC!$H:$H,DATA_GOC!$A:$A,"BOM",DATA_GOC!$D:$D,$B36,DATA_GOC!$E:$E,"Téc 1",DATA_GOC!$F:$F,"Xuất nội bộ từ téc",DATA_GOC!$B:$B,DATE($D$2,$B$2,R$4)),0))</f>
        <v>0</v>
      </c>
      <c r="S36" s="239">
        <f>IF(S$4&gt;DAY(EOMONTH(DATE($D$2,$B$2,1),0)),"",IFERROR(SUMIFS(DATA_GOC!$H:$H,DATA_GOC!$A:$A,"BOM",DATA_GOC!$D:$D,$B36,DATA_GOC!$E:$E,"Téc 1",DATA_GOC!$F:$F,"Xuất nội bộ từ téc",DATA_GOC!$B:$B,DATE($D$2,$B$2,S$4)),0))</f>
        <v>0</v>
      </c>
      <c r="T36" s="239">
        <f>IF(T$4&gt;DAY(EOMONTH(DATE($D$2,$B$2,1),0)),"",IFERROR(SUMIFS(DATA_GOC!$H:$H,DATA_GOC!$A:$A,"BOM",DATA_GOC!$D:$D,$B36,DATA_GOC!$E:$E,"Téc 1",DATA_GOC!$F:$F,"Xuất nội bộ từ téc",DATA_GOC!$B:$B,DATE($D$2,$B$2,T$4)),0))</f>
        <v>0</v>
      </c>
      <c r="U36" s="239">
        <f>IF(U$4&gt;DAY(EOMONTH(DATE($D$2,$B$2,1),0)),"",IFERROR(SUMIFS(DATA_GOC!$H:$H,DATA_GOC!$A:$A,"BOM",DATA_GOC!$D:$D,$B36,DATA_GOC!$E:$E,"Téc 1",DATA_GOC!$F:$F,"Xuất nội bộ từ téc",DATA_GOC!$B:$B,DATE($D$2,$B$2,U$4)),0))</f>
        <v>0</v>
      </c>
      <c r="V36" s="239">
        <f>IF(V$4&gt;DAY(EOMONTH(DATE($D$2,$B$2,1),0)),"",IFERROR(SUMIFS(DATA_GOC!$H:$H,DATA_GOC!$A:$A,"BOM",DATA_GOC!$D:$D,$B36,DATA_GOC!$E:$E,"Téc 1",DATA_GOC!$F:$F,"Xuất nội bộ từ téc",DATA_GOC!$B:$B,DATE($D$2,$B$2,V$4)),0))</f>
        <v>0</v>
      </c>
      <c r="W36" s="239">
        <f>IF(W$4&gt;DAY(EOMONTH(DATE($D$2,$B$2,1),0)),"",IFERROR(SUMIFS(DATA_GOC!$H:$H,DATA_GOC!$A:$A,"BOM",DATA_GOC!$D:$D,$B36,DATA_GOC!$E:$E,"Téc 1",DATA_GOC!$F:$F,"Xuất nội bộ từ téc",DATA_GOC!$B:$B,DATE($D$2,$B$2,W$4)),0))</f>
        <v>0</v>
      </c>
      <c r="X36" s="239">
        <f>IF(X$4&gt;DAY(EOMONTH(DATE($D$2,$B$2,1),0)),"",IFERROR(SUMIFS(DATA_GOC!$H:$H,DATA_GOC!$A:$A,"BOM",DATA_GOC!$D:$D,$B36,DATA_GOC!$E:$E,"Téc 1",DATA_GOC!$F:$F,"Xuất nội bộ từ téc",DATA_GOC!$B:$B,DATE($D$2,$B$2,X$4)),0))</f>
        <v>0</v>
      </c>
      <c r="Y36" s="239">
        <f>IF(Y$4&gt;DAY(EOMONTH(DATE($D$2,$B$2,1),0)),"",IFERROR(SUMIFS(DATA_GOC!$H:$H,DATA_GOC!$A:$A,"BOM",DATA_GOC!$D:$D,$B36,DATA_GOC!$E:$E,"Téc 1",DATA_GOC!$F:$F,"Xuất nội bộ từ téc",DATA_GOC!$B:$B,DATE($D$2,$B$2,Y$4)),0))</f>
        <v>0</v>
      </c>
      <c r="Z36" s="239">
        <f>IF(Z$4&gt;DAY(EOMONTH(DATE($D$2,$B$2,1),0)),"",IFERROR(SUMIFS(DATA_GOC!$H:$H,DATA_GOC!$A:$A,"BOM",DATA_GOC!$D:$D,$B36,DATA_GOC!$E:$E,"Téc 1",DATA_GOC!$F:$F,"Xuất nội bộ từ téc",DATA_GOC!$B:$B,DATE($D$2,$B$2,Z$4)),0))</f>
        <v>0</v>
      </c>
      <c r="AA36" s="239">
        <f>IF(AA$4&gt;DAY(EOMONTH(DATE($D$2,$B$2,1),0)),"",IFERROR(SUMIFS(DATA_GOC!$H:$H,DATA_GOC!$A:$A,"BOM",DATA_GOC!$D:$D,$B36,DATA_GOC!$E:$E,"Téc 1",DATA_GOC!$F:$F,"Xuất nội bộ từ téc",DATA_GOC!$B:$B,DATE($D$2,$B$2,AA$4)),0))</f>
        <v>0</v>
      </c>
      <c r="AB36" s="239">
        <f>IF(AB$4&gt;DAY(EOMONTH(DATE($D$2,$B$2,1),0)),"",IFERROR(SUMIFS(DATA_GOC!$H:$H,DATA_GOC!$A:$A,"BOM",DATA_GOC!$D:$D,$B36,DATA_GOC!$E:$E,"Téc 1",DATA_GOC!$F:$F,"Xuất nội bộ từ téc",DATA_GOC!$B:$B,DATE($D$2,$B$2,AB$4)),0))</f>
        <v>0</v>
      </c>
      <c r="AC36" s="239">
        <f>IF(AC$4&gt;DAY(EOMONTH(DATE($D$2,$B$2,1),0)),"",IFERROR(SUMIFS(DATA_GOC!$H:$H,DATA_GOC!$A:$A,"BOM",DATA_GOC!$D:$D,$B36,DATA_GOC!$E:$E,"Téc 1",DATA_GOC!$F:$F,"Xuất nội bộ từ téc",DATA_GOC!$B:$B,DATE($D$2,$B$2,AC$4)),0))</f>
        <v>0</v>
      </c>
      <c r="AD36" s="239">
        <f>IF(AD$4&gt;DAY(EOMONTH(DATE($D$2,$B$2,1),0)),"",IFERROR(SUMIFS(DATA_GOC!$H:$H,DATA_GOC!$A:$A,"BOM",DATA_GOC!$D:$D,$B36,DATA_GOC!$E:$E,"Téc 1",DATA_GOC!$F:$F,"Xuất nội bộ từ téc",DATA_GOC!$B:$B,DATE($D$2,$B$2,AD$4)),0))</f>
        <v>0</v>
      </c>
      <c r="AE36" s="239">
        <f>IF(AE$4&gt;DAY(EOMONTH(DATE($D$2,$B$2,1),0)),"",IFERROR(SUMIFS(DATA_GOC!$H:$H,DATA_GOC!$A:$A,"BOM",DATA_GOC!$D:$D,$B36,DATA_GOC!$E:$E,"Téc 1",DATA_GOC!$F:$F,"Xuất nội bộ từ téc",DATA_GOC!$B:$B,DATE($D$2,$B$2,AE$4)),0))</f>
        <v>0</v>
      </c>
      <c r="AF36" s="239">
        <f>IF(AF$4&gt;DAY(EOMONTH(DATE($D$2,$B$2,1),0)),"",IFERROR(SUMIFS(DATA_GOC!$H:$H,DATA_GOC!$A:$A,"BOM",DATA_GOC!$D:$D,$B36,DATA_GOC!$E:$E,"Téc 1",DATA_GOC!$F:$F,"Xuất nội bộ từ téc",DATA_GOC!$B:$B,DATE($D$2,$B$2,AF$4)),0))</f>
        <v>0</v>
      </c>
      <c r="AG36" s="239">
        <f>IF(AG$4&gt;DAY(EOMONTH(DATE($D$2,$B$2,1),0)),"",IFERROR(SUMIFS(DATA_GOC!$H:$H,DATA_GOC!$A:$A,"BOM",DATA_GOC!$D:$D,$B36,DATA_GOC!$E:$E,"Téc 1",DATA_GOC!$F:$F,"Xuất nội bộ từ téc",DATA_GOC!$B:$B,DATE($D$2,$B$2,AG$4)),0))</f>
        <v>0</v>
      </c>
      <c r="AH36" s="240">
        <f t="shared" si="1"/>
        <v>0</v>
      </c>
      <c r="AI36" s="241"/>
      <c r="AJ36" s="239">
        <f>IF($B36="","",SUMIFS(TINH_TEC!$K$233:$K$9232,TINH_TEC!$H$233:$H$9232,$B36,TINH_TEC!$C$233:$C$9232,"Téc 1",TINH_TEC!$F$233:$F$9232,$B$2,TINH_TEC!$G$233:$G$9232,$D$2,TINH_TEC!$B$233:$B$9232,"Đã chốt"))</f>
        <v>0</v>
      </c>
      <c r="AK36" s="239">
        <f>IF($B36="","",SUMIFS(TINH_TEC!$J$233:$J$9232,TINH_TEC!$H$233:$H$9232,$B36,TINH_TEC!$C$233:$C$9232,"Téc 1",TINH_TEC!$F$233:$F$9232,$B$2,TINH_TEC!$G$233:$G$9232,$D$2,TINH_TEC!$B$233:$B$9232,"Đã chốt"))</f>
        <v>0</v>
      </c>
      <c r="AL36" s="239">
        <f t="shared" si="2"/>
        <v>0</v>
      </c>
    </row>
    <row r="37" ht="15.75" customHeight="1">
      <c r="A37" s="237">
        <f>IF($B37&lt;&gt;"",32,"")</f>
        <v>32</v>
      </c>
      <c r="B37" s="238" t="str">
        <f t="array" ref="B37">IFERROR(INDEX(DANH_MUC!$E:$E,35),"")</f>
        <v>28H00003</v>
      </c>
      <c r="C37" s="239">
        <f>IF(C$4&gt;DAY(EOMONTH(DATE($D$2,$B$2,1),0)),"",IFERROR(SUMIFS(DATA_GOC!$H:$H,DATA_GOC!$A:$A,"BOM",DATA_GOC!$D:$D,$B37,DATA_GOC!$E:$E,"Téc 1",DATA_GOC!$F:$F,"Xuất nội bộ từ téc",DATA_GOC!$B:$B,DATE($D$2,$B$2,C$4)),0))</f>
        <v>0</v>
      </c>
      <c r="D37" s="239">
        <f>IF(D$4&gt;DAY(EOMONTH(DATE($D$2,$B$2,1),0)),"",IFERROR(SUMIFS(DATA_GOC!$H:$H,DATA_GOC!$A:$A,"BOM",DATA_GOC!$D:$D,$B37,DATA_GOC!$E:$E,"Téc 1",DATA_GOC!$F:$F,"Xuất nội bộ từ téc",DATA_GOC!$B:$B,DATE($D$2,$B$2,D$4)),0))</f>
        <v>0</v>
      </c>
      <c r="E37" s="239">
        <f>IF(E$4&gt;DAY(EOMONTH(DATE($D$2,$B$2,1),0)),"",IFERROR(SUMIFS(DATA_GOC!$H:$H,DATA_GOC!$A:$A,"BOM",DATA_GOC!$D:$D,$B37,DATA_GOC!$E:$E,"Téc 1",DATA_GOC!$F:$F,"Xuất nội bộ từ téc",DATA_GOC!$B:$B,DATE($D$2,$B$2,E$4)),0))</f>
        <v>0</v>
      </c>
      <c r="F37" s="239">
        <f>IF(F$4&gt;DAY(EOMONTH(DATE($D$2,$B$2,1),0)),"",IFERROR(SUMIFS(DATA_GOC!$H:$H,DATA_GOC!$A:$A,"BOM",DATA_GOC!$D:$D,$B37,DATA_GOC!$E:$E,"Téc 1",DATA_GOC!$F:$F,"Xuất nội bộ từ téc",DATA_GOC!$B:$B,DATE($D$2,$B$2,F$4)),0))</f>
        <v>0</v>
      </c>
      <c r="G37" s="239">
        <f>IF(G$4&gt;DAY(EOMONTH(DATE($D$2,$B$2,1),0)),"",IFERROR(SUMIFS(DATA_GOC!$H:$H,DATA_GOC!$A:$A,"BOM",DATA_GOC!$D:$D,$B37,DATA_GOC!$E:$E,"Téc 1",DATA_GOC!$F:$F,"Xuất nội bộ từ téc",DATA_GOC!$B:$B,DATE($D$2,$B$2,G$4)),0))</f>
        <v>0</v>
      </c>
      <c r="H37" s="239">
        <f>IF(H$4&gt;DAY(EOMONTH(DATE($D$2,$B$2,1),0)),"",IFERROR(SUMIFS(DATA_GOC!$H:$H,DATA_GOC!$A:$A,"BOM",DATA_GOC!$D:$D,$B37,DATA_GOC!$E:$E,"Téc 1",DATA_GOC!$F:$F,"Xuất nội bộ từ téc",DATA_GOC!$B:$B,DATE($D$2,$B$2,H$4)),0))</f>
        <v>0</v>
      </c>
      <c r="I37" s="239">
        <f>IF(I$4&gt;DAY(EOMONTH(DATE($D$2,$B$2,1),0)),"",IFERROR(SUMIFS(DATA_GOC!$H:$H,DATA_GOC!$A:$A,"BOM",DATA_GOC!$D:$D,$B37,DATA_GOC!$E:$E,"Téc 1",DATA_GOC!$F:$F,"Xuất nội bộ từ téc",DATA_GOC!$B:$B,DATE($D$2,$B$2,I$4)),0))</f>
        <v>0</v>
      </c>
      <c r="J37" s="239">
        <f>IF(J$4&gt;DAY(EOMONTH(DATE($D$2,$B$2,1),0)),"",IFERROR(SUMIFS(DATA_GOC!$H:$H,DATA_GOC!$A:$A,"BOM",DATA_GOC!$D:$D,$B37,DATA_GOC!$E:$E,"Téc 1",DATA_GOC!$F:$F,"Xuất nội bộ từ téc",DATA_GOC!$B:$B,DATE($D$2,$B$2,J$4)),0))</f>
        <v>0</v>
      </c>
      <c r="K37" s="239">
        <f>IF(K$4&gt;DAY(EOMONTH(DATE($D$2,$B$2,1),0)),"",IFERROR(SUMIFS(DATA_GOC!$H:$H,DATA_GOC!$A:$A,"BOM",DATA_GOC!$D:$D,$B37,DATA_GOC!$E:$E,"Téc 1",DATA_GOC!$F:$F,"Xuất nội bộ từ téc",DATA_GOC!$B:$B,DATE($D$2,$B$2,K$4)),0))</f>
        <v>0</v>
      </c>
      <c r="L37" s="239">
        <f>IF(L$4&gt;DAY(EOMONTH(DATE($D$2,$B$2,1),0)),"",IFERROR(SUMIFS(DATA_GOC!$H:$H,DATA_GOC!$A:$A,"BOM",DATA_GOC!$D:$D,$B37,DATA_GOC!$E:$E,"Téc 1",DATA_GOC!$F:$F,"Xuất nội bộ từ téc",DATA_GOC!$B:$B,DATE($D$2,$B$2,L$4)),0))</f>
        <v>0</v>
      </c>
      <c r="M37" s="239">
        <f>IF(M$4&gt;DAY(EOMONTH(DATE($D$2,$B$2,1),0)),"",IFERROR(SUMIFS(DATA_GOC!$H:$H,DATA_GOC!$A:$A,"BOM",DATA_GOC!$D:$D,$B37,DATA_GOC!$E:$E,"Téc 1",DATA_GOC!$F:$F,"Xuất nội bộ từ téc",DATA_GOC!$B:$B,DATE($D$2,$B$2,M$4)),0))</f>
        <v>0</v>
      </c>
      <c r="N37" s="239">
        <f>IF(N$4&gt;DAY(EOMONTH(DATE($D$2,$B$2,1),0)),"",IFERROR(SUMIFS(DATA_GOC!$H:$H,DATA_GOC!$A:$A,"BOM",DATA_GOC!$D:$D,$B37,DATA_GOC!$E:$E,"Téc 1",DATA_GOC!$F:$F,"Xuất nội bộ từ téc",DATA_GOC!$B:$B,DATE($D$2,$B$2,N$4)),0))</f>
        <v>0</v>
      </c>
      <c r="O37" s="239">
        <f>IF(O$4&gt;DAY(EOMONTH(DATE($D$2,$B$2,1),0)),"",IFERROR(SUMIFS(DATA_GOC!$H:$H,DATA_GOC!$A:$A,"BOM",DATA_GOC!$D:$D,$B37,DATA_GOC!$E:$E,"Téc 1",DATA_GOC!$F:$F,"Xuất nội bộ từ téc",DATA_GOC!$B:$B,DATE($D$2,$B$2,O$4)),0))</f>
        <v>0</v>
      </c>
      <c r="P37" s="239">
        <f>IF(P$4&gt;DAY(EOMONTH(DATE($D$2,$B$2,1),0)),"",IFERROR(SUMIFS(DATA_GOC!$H:$H,DATA_GOC!$A:$A,"BOM",DATA_GOC!$D:$D,$B37,DATA_GOC!$E:$E,"Téc 1",DATA_GOC!$F:$F,"Xuất nội bộ từ téc",DATA_GOC!$B:$B,DATE($D$2,$B$2,P$4)),0))</f>
        <v>0</v>
      </c>
      <c r="Q37" s="239">
        <f>IF(Q$4&gt;DAY(EOMONTH(DATE($D$2,$B$2,1),0)),"",IFERROR(SUMIFS(DATA_GOC!$H:$H,DATA_GOC!$A:$A,"BOM",DATA_GOC!$D:$D,$B37,DATA_GOC!$E:$E,"Téc 1",DATA_GOC!$F:$F,"Xuất nội bộ từ téc",DATA_GOC!$B:$B,DATE($D$2,$B$2,Q$4)),0))</f>
        <v>0</v>
      </c>
      <c r="R37" s="239">
        <f>IF(R$4&gt;DAY(EOMONTH(DATE($D$2,$B$2,1),0)),"",IFERROR(SUMIFS(DATA_GOC!$H:$H,DATA_GOC!$A:$A,"BOM",DATA_GOC!$D:$D,$B37,DATA_GOC!$E:$E,"Téc 1",DATA_GOC!$F:$F,"Xuất nội bộ từ téc",DATA_GOC!$B:$B,DATE($D$2,$B$2,R$4)),0))</f>
        <v>0</v>
      </c>
      <c r="S37" s="239">
        <f>IF(S$4&gt;DAY(EOMONTH(DATE($D$2,$B$2,1),0)),"",IFERROR(SUMIFS(DATA_GOC!$H:$H,DATA_GOC!$A:$A,"BOM",DATA_GOC!$D:$D,$B37,DATA_GOC!$E:$E,"Téc 1",DATA_GOC!$F:$F,"Xuất nội bộ từ téc",DATA_GOC!$B:$B,DATE($D$2,$B$2,S$4)),0))</f>
        <v>0</v>
      </c>
      <c r="T37" s="239">
        <f>IF(T$4&gt;DAY(EOMONTH(DATE($D$2,$B$2,1),0)),"",IFERROR(SUMIFS(DATA_GOC!$H:$H,DATA_GOC!$A:$A,"BOM",DATA_GOC!$D:$D,$B37,DATA_GOC!$E:$E,"Téc 1",DATA_GOC!$F:$F,"Xuất nội bộ từ téc",DATA_GOC!$B:$B,DATE($D$2,$B$2,T$4)),0))</f>
        <v>0</v>
      </c>
      <c r="U37" s="239">
        <f>IF(U$4&gt;DAY(EOMONTH(DATE($D$2,$B$2,1),0)),"",IFERROR(SUMIFS(DATA_GOC!$H:$H,DATA_GOC!$A:$A,"BOM",DATA_GOC!$D:$D,$B37,DATA_GOC!$E:$E,"Téc 1",DATA_GOC!$F:$F,"Xuất nội bộ từ téc",DATA_GOC!$B:$B,DATE($D$2,$B$2,U$4)),0))</f>
        <v>0</v>
      </c>
      <c r="V37" s="239">
        <f>IF(V$4&gt;DAY(EOMONTH(DATE($D$2,$B$2,1),0)),"",IFERROR(SUMIFS(DATA_GOC!$H:$H,DATA_GOC!$A:$A,"BOM",DATA_GOC!$D:$D,$B37,DATA_GOC!$E:$E,"Téc 1",DATA_GOC!$F:$F,"Xuất nội bộ từ téc",DATA_GOC!$B:$B,DATE($D$2,$B$2,V$4)),0))</f>
        <v>0</v>
      </c>
      <c r="W37" s="239">
        <f>IF(W$4&gt;DAY(EOMONTH(DATE($D$2,$B$2,1),0)),"",IFERROR(SUMIFS(DATA_GOC!$H:$H,DATA_GOC!$A:$A,"BOM",DATA_GOC!$D:$D,$B37,DATA_GOC!$E:$E,"Téc 1",DATA_GOC!$F:$F,"Xuất nội bộ từ téc",DATA_GOC!$B:$B,DATE($D$2,$B$2,W$4)),0))</f>
        <v>0</v>
      </c>
      <c r="X37" s="239">
        <f>IF(X$4&gt;DAY(EOMONTH(DATE($D$2,$B$2,1),0)),"",IFERROR(SUMIFS(DATA_GOC!$H:$H,DATA_GOC!$A:$A,"BOM",DATA_GOC!$D:$D,$B37,DATA_GOC!$E:$E,"Téc 1",DATA_GOC!$F:$F,"Xuất nội bộ từ téc",DATA_GOC!$B:$B,DATE($D$2,$B$2,X$4)),0))</f>
        <v>0</v>
      </c>
      <c r="Y37" s="239">
        <f>IF(Y$4&gt;DAY(EOMONTH(DATE($D$2,$B$2,1),0)),"",IFERROR(SUMIFS(DATA_GOC!$H:$H,DATA_GOC!$A:$A,"BOM",DATA_GOC!$D:$D,$B37,DATA_GOC!$E:$E,"Téc 1",DATA_GOC!$F:$F,"Xuất nội bộ từ téc",DATA_GOC!$B:$B,DATE($D$2,$B$2,Y$4)),0))</f>
        <v>0</v>
      </c>
      <c r="Z37" s="239">
        <f>IF(Z$4&gt;DAY(EOMONTH(DATE($D$2,$B$2,1),0)),"",IFERROR(SUMIFS(DATA_GOC!$H:$H,DATA_GOC!$A:$A,"BOM",DATA_GOC!$D:$D,$B37,DATA_GOC!$E:$E,"Téc 1",DATA_GOC!$F:$F,"Xuất nội bộ từ téc",DATA_GOC!$B:$B,DATE($D$2,$B$2,Z$4)),0))</f>
        <v>0</v>
      </c>
      <c r="AA37" s="239">
        <f>IF(AA$4&gt;DAY(EOMONTH(DATE($D$2,$B$2,1),0)),"",IFERROR(SUMIFS(DATA_GOC!$H:$H,DATA_GOC!$A:$A,"BOM",DATA_GOC!$D:$D,$B37,DATA_GOC!$E:$E,"Téc 1",DATA_GOC!$F:$F,"Xuất nội bộ từ téc",DATA_GOC!$B:$B,DATE($D$2,$B$2,AA$4)),0))</f>
        <v>0</v>
      </c>
      <c r="AB37" s="239">
        <f>IF(AB$4&gt;DAY(EOMONTH(DATE($D$2,$B$2,1),0)),"",IFERROR(SUMIFS(DATA_GOC!$H:$H,DATA_GOC!$A:$A,"BOM",DATA_GOC!$D:$D,$B37,DATA_GOC!$E:$E,"Téc 1",DATA_GOC!$F:$F,"Xuất nội bộ từ téc",DATA_GOC!$B:$B,DATE($D$2,$B$2,AB$4)),0))</f>
        <v>0</v>
      </c>
      <c r="AC37" s="239">
        <f>IF(AC$4&gt;DAY(EOMONTH(DATE($D$2,$B$2,1),0)),"",IFERROR(SUMIFS(DATA_GOC!$H:$H,DATA_GOC!$A:$A,"BOM",DATA_GOC!$D:$D,$B37,DATA_GOC!$E:$E,"Téc 1",DATA_GOC!$F:$F,"Xuất nội bộ từ téc",DATA_GOC!$B:$B,DATE($D$2,$B$2,AC$4)),0))</f>
        <v>0</v>
      </c>
      <c r="AD37" s="239">
        <f>IF(AD$4&gt;DAY(EOMONTH(DATE($D$2,$B$2,1),0)),"",IFERROR(SUMIFS(DATA_GOC!$H:$H,DATA_GOC!$A:$A,"BOM",DATA_GOC!$D:$D,$B37,DATA_GOC!$E:$E,"Téc 1",DATA_GOC!$F:$F,"Xuất nội bộ từ téc",DATA_GOC!$B:$B,DATE($D$2,$B$2,AD$4)),0))</f>
        <v>0</v>
      </c>
      <c r="AE37" s="239">
        <f>IF(AE$4&gt;DAY(EOMONTH(DATE($D$2,$B$2,1),0)),"",IFERROR(SUMIFS(DATA_GOC!$H:$H,DATA_GOC!$A:$A,"BOM",DATA_GOC!$D:$D,$B37,DATA_GOC!$E:$E,"Téc 1",DATA_GOC!$F:$F,"Xuất nội bộ từ téc",DATA_GOC!$B:$B,DATE($D$2,$B$2,AE$4)),0))</f>
        <v>0</v>
      </c>
      <c r="AF37" s="239">
        <f>IF(AF$4&gt;DAY(EOMONTH(DATE($D$2,$B$2,1),0)),"",IFERROR(SUMIFS(DATA_GOC!$H:$H,DATA_GOC!$A:$A,"BOM",DATA_GOC!$D:$D,$B37,DATA_GOC!$E:$E,"Téc 1",DATA_GOC!$F:$F,"Xuất nội bộ từ téc",DATA_GOC!$B:$B,DATE($D$2,$B$2,AF$4)),0))</f>
        <v>0</v>
      </c>
      <c r="AG37" s="239">
        <f>IF(AG$4&gt;DAY(EOMONTH(DATE($D$2,$B$2,1),0)),"",IFERROR(SUMIFS(DATA_GOC!$H:$H,DATA_GOC!$A:$A,"BOM",DATA_GOC!$D:$D,$B37,DATA_GOC!$E:$E,"Téc 1",DATA_GOC!$F:$F,"Xuất nội bộ từ téc",DATA_GOC!$B:$B,DATE($D$2,$B$2,AG$4)),0))</f>
        <v>0</v>
      </c>
      <c r="AH37" s="240">
        <f t="shared" si="1"/>
        <v>0</v>
      </c>
      <c r="AI37" s="241"/>
      <c r="AJ37" s="239">
        <f>IF($B37="","",SUMIFS(TINH_TEC!$K$233:$K$9232,TINH_TEC!$H$233:$H$9232,$B37,TINH_TEC!$C$233:$C$9232,"Téc 1",TINH_TEC!$F$233:$F$9232,$B$2,TINH_TEC!$G$233:$G$9232,$D$2,TINH_TEC!$B$233:$B$9232,"Đã chốt"))</f>
        <v>0</v>
      </c>
      <c r="AK37" s="239">
        <f>IF($B37="","",SUMIFS(TINH_TEC!$J$233:$J$9232,TINH_TEC!$H$233:$H$9232,$B37,TINH_TEC!$C$233:$C$9232,"Téc 1",TINH_TEC!$F$233:$F$9232,$B$2,TINH_TEC!$G$233:$G$9232,$D$2,TINH_TEC!$B$233:$B$9232,"Đã chốt"))</f>
        <v>0</v>
      </c>
      <c r="AL37" s="239">
        <f t="shared" si="2"/>
        <v>0</v>
      </c>
    </row>
    <row r="38" ht="15.75" customHeight="1">
      <c r="A38" s="237">
        <f>IF($B38&lt;&gt;"",33,"")</f>
        <v>33</v>
      </c>
      <c r="B38" s="238" t="str">
        <f t="array" ref="B38">IFERROR(INDEX(DANH_MUC!$E:$E,36),"")</f>
        <v>28H00061</v>
      </c>
      <c r="C38" s="239">
        <f>IF(C$4&gt;DAY(EOMONTH(DATE($D$2,$B$2,1),0)),"",IFERROR(SUMIFS(DATA_GOC!$H:$H,DATA_GOC!$A:$A,"BOM",DATA_GOC!$D:$D,$B38,DATA_GOC!$E:$E,"Téc 1",DATA_GOC!$F:$F,"Xuất nội bộ từ téc",DATA_GOC!$B:$B,DATE($D$2,$B$2,C$4)),0))</f>
        <v>0</v>
      </c>
      <c r="D38" s="239">
        <f>IF(D$4&gt;DAY(EOMONTH(DATE($D$2,$B$2,1),0)),"",IFERROR(SUMIFS(DATA_GOC!$H:$H,DATA_GOC!$A:$A,"BOM",DATA_GOC!$D:$D,$B38,DATA_GOC!$E:$E,"Téc 1",DATA_GOC!$F:$F,"Xuất nội bộ từ téc",DATA_GOC!$B:$B,DATE($D$2,$B$2,D$4)),0))</f>
        <v>0</v>
      </c>
      <c r="E38" s="239">
        <f>IF(E$4&gt;DAY(EOMONTH(DATE($D$2,$B$2,1),0)),"",IFERROR(SUMIFS(DATA_GOC!$H:$H,DATA_GOC!$A:$A,"BOM",DATA_GOC!$D:$D,$B38,DATA_GOC!$E:$E,"Téc 1",DATA_GOC!$F:$F,"Xuất nội bộ từ téc",DATA_GOC!$B:$B,DATE($D$2,$B$2,E$4)),0))</f>
        <v>0</v>
      </c>
      <c r="F38" s="239">
        <f>IF(F$4&gt;DAY(EOMONTH(DATE($D$2,$B$2,1),0)),"",IFERROR(SUMIFS(DATA_GOC!$H:$H,DATA_GOC!$A:$A,"BOM",DATA_GOC!$D:$D,$B38,DATA_GOC!$E:$E,"Téc 1",DATA_GOC!$F:$F,"Xuất nội bộ từ téc",DATA_GOC!$B:$B,DATE($D$2,$B$2,F$4)),0))</f>
        <v>0</v>
      </c>
      <c r="G38" s="239">
        <f>IF(G$4&gt;DAY(EOMONTH(DATE($D$2,$B$2,1),0)),"",IFERROR(SUMIFS(DATA_GOC!$H:$H,DATA_GOC!$A:$A,"BOM",DATA_GOC!$D:$D,$B38,DATA_GOC!$E:$E,"Téc 1",DATA_GOC!$F:$F,"Xuất nội bộ từ téc",DATA_GOC!$B:$B,DATE($D$2,$B$2,G$4)),0))</f>
        <v>0</v>
      </c>
      <c r="H38" s="239">
        <f>IF(H$4&gt;DAY(EOMONTH(DATE($D$2,$B$2,1),0)),"",IFERROR(SUMIFS(DATA_GOC!$H:$H,DATA_GOC!$A:$A,"BOM",DATA_GOC!$D:$D,$B38,DATA_GOC!$E:$E,"Téc 1",DATA_GOC!$F:$F,"Xuất nội bộ từ téc",DATA_GOC!$B:$B,DATE($D$2,$B$2,H$4)),0))</f>
        <v>0</v>
      </c>
      <c r="I38" s="239">
        <f>IF(I$4&gt;DAY(EOMONTH(DATE($D$2,$B$2,1),0)),"",IFERROR(SUMIFS(DATA_GOC!$H:$H,DATA_GOC!$A:$A,"BOM",DATA_GOC!$D:$D,$B38,DATA_GOC!$E:$E,"Téc 1",DATA_GOC!$F:$F,"Xuất nội bộ từ téc",DATA_GOC!$B:$B,DATE($D$2,$B$2,I$4)),0))</f>
        <v>0</v>
      </c>
      <c r="J38" s="239">
        <f>IF(J$4&gt;DAY(EOMONTH(DATE($D$2,$B$2,1),0)),"",IFERROR(SUMIFS(DATA_GOC!$H:$H,DATA_GOC!$A:$A,"BOM",DATA_GOC!$D:$D,$B38,DATA_GOC!$E:$E,"Téc 1",DATA_GOC!$F:$F,"Xuất nội bộ từ téc",DATA_GOC!$B:$B,DATE($D$2,$B$2,J$4)),0))</f>
        <v>0</v>
      </c>
      <c r="K38" s="239">
        <f>IF(K$4&gt;DAY(EOMONTH(DATE($D$2,$B$2,1),0)),"",IFERROR(SUMIFS(DATA_GOC!$H:$H,DATA_GOC!$A:$A,"BOM",DATA_GOC!$D:$D,$B38,DATA_GOC!$E:$E,"Téc 1",DATA_GOC!$F:$F,"Xuất nội bộ từ téc",DATA_GOC!$B:$B,DATE($D$2,$B$2,K$4)),0))</f>
        <v>0</v>
      </c>
      <c r="L38" s="239">
        <f>IF(L$4&gt;DAY(EOMONTH(DATE($D$2,$B$2,1),0)),"",IFERROR(SUMIFS(DATA_GOC!$H:$H,DATA_GOC!$A:$A,"BOM",DATA_GOC!$D:$D,$B38,DATA_GOC!$E:$E,"Téc 1",DATA_GOC!$F:$F,"Xuất nội bộ từ téc",DATA_GOC!$B:$B,DATE($D$2,$B$2,L$4)),0))</f>
        <v>0</v>
      </c>
      <c r="M38" s="239">
        <f>IF(M$4&gt;DAY(EOMONTH(DATE($D$2,$B$2,1),0)),"",IFERROR(SUMIFS(DATA_GOC!$H:$H,DATA_GOC!$A:$A,"BOM",DATA_GOC!$D:$D,$B38,DATA_GOC!$E:$E,"Téc 1",DATA_GOC!$F:$F,"Xuất nội bộ từ téc",DATA_GOC!$B:$B,DATE($D$2,$B$2,M$4)),0))</f>
        <v>0</v>
      </c>
      <c r="N38" s="239">
        <f>IF(N$4&gt;DAY(EOMONTH(DATE($D$2,$B$2,1),0)),"",IFERROR(SUMIFS(DATA_GOC!$H:$H,DATA_GOC!$A:$A,"BOM",DATA_GOC!$D:$D,$B38,DATA_GOC!$E:$E,"Téc 1",DATA_GOC!$F:$F,"Xuất nội bộ từ téc",DATA_GOC!$B:$B,DATE($D$2,$B$2,N$4)),0))</f>
        <v>0</v>
      </c>
      <c r="O38" s="239">
        <f>IF(O$4&gt;DAY(EOMONTH(DATE($D$2,$B$2,1),0)),"",IFERROR(SUMIFS(DATA_GOC!$H:$H,DATA_GOC!$A:$A,"BOM",DATA_GOC!$D:$D,$B38,DATA_GOC!$E:$E,"Téc 1",DATA_GOC!$F:$F,"Xuất nội bộ từ téc",DATA_GOC!$B:$B,DATE($D$2,$B$2,O$4)),0))</f>
        <v>0</v>
      </c>
      <c r="P38" s="239">
        <f>IF(P$4&gt;DAY(EOMONTH(DATE($D$2,$B$2,1),0)),"",IFERROR(SUMIFS(DATA_GOC!$H:$H,DATA_GOC!$A:$A,"BOM",DATA_GOC!$D:$D,$B38,DATA_GOC!$E:$E,"Téc 1",DATA_GOC!$F:$F,"Xuất nội bộ từ téc",DATA_GOC!$B:$B,DATE($D$2,$B$2,P$4)),0))</f>
        <v>0</v>
      </c>
      <c r="Q38" s="239">
        <f>IF(Q$4&gt;DAY(EOMONTH(DATE($D$2,$B$2,1),0)),"",IFERROR(SUMIFS(DATA_GOC!$H:$H,DATA_GOC!$A:$A,"BOM",DATA_GOC!$D:$D,$B38,DATA_GOC!$E:$E,"Téc 1",DATA_GOC!$F:$F,"Xuất nội bộ từ téc",DATA_GOC!$B:$B,DATE($D$2,$B$2,Q$4)),0))</f>
        <v>0</v>
      </c>
      <c r="R38" s="239">
        <f>IF(R$4&gt;DAY(EOMONTH(DATE($D$2,$B$2,1),0)),"",IFERROR(SUMIFS(DATA_GOC!$H:$H,DATA_GOC!$A:$A,"BOM",DATA_GOC!$D:$D,$B38,DATA_GOC!$E:$E,"Téc 1",DATA_GOC!$F:$F,"Xuất nội bộ từ téc",DATA_GOC!$B:$B,DATE($D$2,$B$2,R$4)),0))</f>
        <v>0</v>
      </c>
      <c r="S38" s="239">
        <f>IF(S$4&gt;DAY(EOMONTH(DATE($D$2,$B$2,1),0)),"",IFERROR(SUMIFS(DATA_GOC!$H:$H,DATA_GOC!$A:$A,"BOM",DATA_GOC!$D:$D,$B38,DATA_GOC!$E:$E,"Téc 1",DATA_GOC!$F:$F,"Xuất nội bộ từ téc",DATA_GOC!$B:$B,DATE($D$2,$B$2,S$4)),0))</f>
        <v>0</v>
      </c>
      <c r="T38" s="239">
        <f>IF(T$4&gt;DAY(EOMONTH(DATE($D$2,$B$2,1),0)),"",IFERROR(SUMIFS(DATA_GOC!$H:$H,DATA_GOC!$A:$A,"BOM",DATA_GOC!$D:$D,$B38,DATA_GOC!$E:$E,"Téc 1",DATA_GOC!$F:$F,"Xuất nội bộ từ téc",DATA_GOC!$B:$B,DATE($D$2,$B$2,T$4)),0))</f>
        <v>0</v>
      </c>
      <c r="U38" s="239">
        <f>IF(U$4&gt;DAY(EOMONTH(DATE($D$2,$B$2,1),0)),"",IFERROR(SUMIFS(DATA_GOC!$H:$H,DATA_GOC!$A:$A,"BOM",DATA_GOC!$D:$D,$B38,DATA_GOC!$E:$E,"Téc 1",DATA_GOC!$F:$F,"Xuất nội bộ từ téc",DATA_GOC!$B:$B,DATE($D$2,$B$2,U$4)),0))</f>
        <v>0</v>
      </c>
      <c r="V38" s="239">
        <f>IF(V$4&gt;DAY(EOMONTH(DATE($D$2,$B$2,1),0)),"",IFERROR(SUMIFS(DATA_GOC!$H:$H,DATA_GOC!$A:$A,"BOM",DATA_GOC!$D:$D,$B38,DATA_GOC!$E:$E,"Téc 1",DATA_GOC!$F:$F,"Xuất nội bộ từ téc",DATA_GOC!$B:$B,DATE($D$2,$B$2,V$4)),0))</f>
        <v>0</v>
      </c>
      <c r="W38" s="239">
        <f>IF(W$4&gt;DAY(EOMONTH(DATE($D$2,$B$2,1),0)),"",IFERROR(SUMIFS(DATA_GOC!$H:$H,DATA_GOC!$A:$A,"BOM",DATA_GOC!$D:$D,$B38,DATA_GOC!$E:$E,"Téc 1",DATA_GOC!$F:$F,"Xuất nội bộ từ téc",DATA_GOC!$B:$B,DATE($D$2,$B$2,W$4)),0))</f>
        <v>0</v>
      </c>
      <c r="X38" s="239">
        <f>IF(X$4&gt;DAY(EOMONTH(DATE($D$2,$B$2,1),0)),"",IFERROR(SUMIFS(DATA_GOC!$H:$H,DATA_GOC!$A:$A,"BOM",DATA_GOC!$D:$D,$B38,DATA_GOC!$E:$E,"Téc 1",DATA_GOC!$F:$F,"Xuất nội bộ từ téc",DATA_GOC!$B:$B,DATE($D$2,$B$2,X$4)),0))</f>
        <v>0</v>
      </c>
      <c r="Y38" s="239">
        <f>IF(Y$4&gt;DAY(EOMONTH(DATE($D$2,$B$2,1),0)),"",IFERROR(SUMIFS(DATA_GOC!$H:$H,DATA_GOC!$A:$A,"BOM",DATA_GOC!$D:$D,$B38,DATA_GOC!$E:$E,"Téc 1",DATA_GOC!$F:$F,"Xuất nội bộ từ téc",DATA_GOC!$B:$B,DATE($D$2,$B$2,Y$4)),0))</f>
        <v>0</v>
      </c>
      <c r="Z38" s="239">
        <f>IF(Z$4&gt;DAY(EOMONTH(DATE($D$2,$B$2,1),0)),"",IFERROR(SUMIFS(DATA_GOC!$H:$H,DATA_GOC!$A:$A,"BOM",DATA_GOC!$D:$D,$B38,DATA_GOC!$E:$E,"Téc 1",DATA_GOC!$F:$F,"Xuất nội bộ từ téc",DATA_GOC!$B:$B,DATE($D$2,$B$2,Z$4)),0))</f>
        <v>0</v>
      </c>
      <c r="AA38" s="239">
        <f>IF(AA$4&gt;DAY(EOMONTH(DATE($D$2,$B$2,1),0)),"",IFERROR(SUMIFS(DATA_GOC!$H:$H,DATA_GOC!$A:$A,"BOM",DATA_GOC!$D:$D,$B38,DATA_GOC!$E:$E,"Téc 1",DATA_GOC!$F:$F,"Xuất nội bộ từ téc",DATA_GOC!$B:$B,DATE($D$2,$B$2,AA$4)),0))</f>
        <v>0</v>
      </c>
      <c r="AB38" s="239">
        <f>IF(AB$4&gt;DAY(EOMONTH(DATE($D$2,$B$2,1),0)),"",IFERROR(SUMIFS(DATA_GOC!$H:$H,DATA_GOC!$A:$A,"BOM",DATA_GOC!$D:$D,$B38,DATA_GOC!$E:$E,"Téc 1",DATA_GOC!$F:$F,"Xuất nội bộ từ téc",DATA_GOC!$B:$B,DATE($D$2,$B$2,AB$4)),0))</f>
        <v>0</v>
      </c>
      <c r="AC38" s="239">
        <f>IF(AC$4&gt;DAY(EOMONTH(DATE($D$2,$B$2,1),0)),"",IFERROR(SUMIFS(DATA_GOC!$H:$H,DATA_GOC!$A:$A,"BOM",DATA_GOC!$D:$D,$B38,DATA_GOC!$E:$E,"Téc 1",DATA_GOC!$F:$F,"Xuất nội bộ từ téc",DATA_GOC!$B:$B,DATE($D$2,$B$2,AC$4)),0))</f>
        <v>0</v>
      </c>
      <c r="AD38" s="239">
        <f>IF(AD$4&gt;DAY(EOMONTH(DATE($D$2,$B$2,1),0)),"",IFERROR(SUMIFS(DATA_GOC!$H:$H,DATA_GOC!$A:$A,"BOM",DATA_GOC!$D:$D,$B38,DATA_GOC!$E:$E,"Téc 1",DATA_GOC!$F:$F,"Xuất nội bộ từ téc",DATA_GOC!$B:$B,DATE($D$2,$B$2,AD$4)),0))</f>
        <v>0</v>
      </c>
      <c r="AE38" s="239">
        <f>IF(AE$4&gt;DAY(EOMONTH(DATE($D$2,$B$2,1),0)),"",IFERROR(SUMIFS(DATA_GOC!$H:$H,DATA_GOC!$A:$A,"BOM",DATA_GOC!$D:$D,$B38,DATA_GOC!$E:$E,"Téc 1",DATA_GOC!$F:$F,"Xuất nội bộ từ téc",DATA_GOC!$B:$B,DATE($D$2,$B$2,AE$4)),0))</f>
        <v>0</v>
      </c>
      <c r="AF38" s="239">
        <f>IF(AF$4&gt;DAY(EOMONTH(DATE($D$2,$B$2,1),0)),"",IFERROR(SUMIFS(DATA_GOC!$H:$H,DATA_GOC!$A:$A,"BOM",DATA_GOC!$D:$D,$B38,DATA_GOC!$E:$E,"Téc 1",DATA_GOC!$F:$F,"Xuất nội bộ từ téc",DATA_GOC!$B:$B,DATE($D$2,$B$2,AF$4)),0))</f>
        <v>0</v>
      </c>
      <c r="AG38" s="239">
        <f>IF(AG$4&gt;DAY(EOMONTH(DATE($D$2,$B$2,1),0)),"",IFERROR(SUMIFS(DATA_GOC!$H:$H,DATA_GOC!$A:$A,"BOM",DATA_GOC!$D:$D,$B38,DATA_GOC!$E:$E,"Téc 1",DATA_GOC!$F:$F,"Xuất nội bộ từ téc",DATA_GOC!$B:$B,DATE($D$2,$B$2,AG$4)),0))</f>
        <v>0</v>
      </c>
      <c r="AH38" s="240">
        <f t="shared" si="1"/>
        <v>0</v>
      </c>
      <c r="AI38" s="241"/>
      <c r="AJ38" s="239">
        <f>IF($B38="","",SUMIFS(TINH_TEC!$K$233:$K$9232,TINH_TEC!$H$233:$H$9232,$B38,TINH_TEC!$C$233:$C$9232,"Téc 1",TINH_TEC!$F$233:$F$9232,$B$2,TINH_TEC!$G$233:$G$9232,$D$2,TINH_TEC!$B$233:$B$9232,"Đã chốt"))</f>
        <v>0</v>
      </c>
      <c r="AK38" s="239">
        <f>IF($B38="","",SUMIFS(TINH_TEC!$J$233:$J$9232,TINH_TEC!$H$233:$H$9232,$B38,TINH_TEC!$C$233:$C$9232,"Téc 1",TINH_TEC!$F$233:$F$9232,$B$2,TINH_TEC!$G$233:$G$9232,$D$2,TINH_TEC!$B$233:$B$9232,"Đã chốt"))</f>
        <v>0</v>
      </c>
      <c r="AL38" s="239">
        <f t="shared" si="2"/>
        <v>0</v>
      </c>
    </row>
    <row r="39" ht="15.75" customHeight="1">
      <c r="A39" s="237">
        <f>IF($B39&lt;&gt;"",34,"")</f>
        <v>34</v>
      </c>
      <c r="B39" s="238" t="str">
        <f t="array" ref="B39">IFERROR(INDEX(DANH_MUC!$E:$E,37),"")</f>
        <v>28H00354</v>
      </c>
      <c r="C39" s="239">
        <f>IF(C$4&gt;DAY(EOMONTH(DATE($D$2,$B$2,1),0)),"",IFERROR(SUMIFS(DATA_GOC!$H:$H,DATA_GOC!$A:$A,"BOM",DATA_GOC!$D:$D,$B39,DATA_GOC!$E:$E,"Téc 1",DATA_GOC!$F:$F,"Xuất nội bộ từ téc",DATA_GOC!$B:$B,DATE($D$2,$B$2,C$4)),0))</f>
        <v>0</v>
      </c>
      <c r="D39" s="239">
        <f>IF(D$4&gt;DAY(EOMONTH(DATE($D$2,$B$2,1),0)),"",IFERROR(SUMIFS(DATA_GOC!$H:$H,DATA_GOC!$A:$A,"BOM",DATA_GOC!$D:$D,$B39,DATA_GOC!$E:$E,"Téc 1",DATA_GOC!$F:$F,"Xuất nội bộ từ téc",DATA_GOC!$B:$B,DATE($D$2,$B$2,D$4)),0))</f>
        <v>0</v>
      </c>
      <c r="E39" s="239">
        <f>IF(E$4&gt;DAY(EOMONTH(DATE($D$2,$B$2,1),0)),"",IFERROR(SUMIFS(DATA_GOC!$H:$H,DATA_GOC!$A:$A,"BOM",DATA_GOC!$D:$D,$B39,DATA_GOC!$E:$E,"Téc 1",DATA_GOC!$F:$F,"Xuất nội bộ từ téc",DATA_GOC!$B:$B,DATE($D$2,$B$2,E$4)),0))</f>
        <v>0</v>
      </c>
      <c r="F39" s="239">
        <f>IF(F$4&gt;DAY(EOMONTH(DATE($D$2,$B$2,1),0)),"",IFERROR(SUMIFS(DATA_GOC!$H:$H,DATA_GOC!$A:$A,"BOM",DATA_GOC!$D:$D,$B39,DATA_GOC!$E:$E,"Téc 1",DATA_GOC!$F:$F,"Xuất nội bộ từ téc",DATA_GOC!$B:$B,DATE($D$2,$B$2,F$4)),0))</f>
        <v>0</v>
      </c>
      <c r="G39" s="239">
        <f>IF(G$4&gt;DAY(EOMONTH(DATE($D$2,$B$2,1),0)),"",IFERROR(SUMIFS(DATA_GOC!$H:$H,DATA_GOC!$A:$A,"BOM",DATA_GOC!$D:$D,$B39,DATA_GOC!$E:$E,"Téc 1",DATA_GOC!$F:$F,"Xuất nội bộ từ téc",DATA_GOC!$B:$B,DATE($D$2,$B$2,G$4)),0))</f>
        <v>0</v>
      </c>
      <c r="H39" s="239">
        <f>IF(H$4&gt;DAY(EOMONTH(DATE($D$2,$B$2,1),0)),"",IFERROR(SUMIFS(DATA_GOC!$H:$H,DATA_GOC!$A:$A,"BOM",DATA_GOC!$D:$D,$B39,DATA_GOC!$E:$E,"Téc 1",DATA_GOC!$F:$F,"Xuất nội bộ từ téc",DATA_GOC!$B:$B,DATE($D$2,$B$2,H$4)),0))</f>
        <v>0</v>
      </c>
      <c r="I39" s="239">
        <f>IF(I$4&gt;DAY(EOMONTH(DATE($D$2,$B$2,1),0)),"",IFERROR(SUMIFS(DATA_GOC!$H:$H,DATA_GOC!$A:$A,"BOM",DATA_GOC!$D:$D,$B39,DATA_GOC!$E:$E,"Téc 1",DATA_GOC!$F:$F,"Xuất nội bộ từ téc",DATA_GOC!$B:$B,DATE($D$2,$B$2,I$4)),0))</f>
        <v>0</v>
      </c>
      <c r="J39" s="239">
        <f>IF(J$4&gt;DAY(EOMONTH(DATE($D$2,$B$2,1),0)),"",IFERROR(SUMIFS(DATA_GOC!$H:$H,DATA_GOC!$A:$A,"BOM",DATA_GOC!$D:$D,$B39,DATA_GOC!$E:$E,"Téc 1",DATA_GOC!$F:$F,"Xuất nội bộ từ téc",DATA_GOC!$B:$B,DATE($D$2,$B$2,J$4)),0))</f>
        <v>0</v>
      </c>
      <c r="K39" s="239">
        <f>IF(K$4&gt;DAY(EOMONTH(DATE($D$2,$B$2,1),0)),"",IFERROR(SUMIFS(DATA_GOC!$H:$H,DATA_GOC!$A:$A,"BOM",DATA_GOC!$D:$D,$B39,DATA_GOC!$E:$E,"Téc 1",DATA_GOC!$F:$F,"Xuất nội bộ từ téc",DATA_GOC!$B:$B,DATE($D$2,$B$2,K$4)),0))</f>
        <v>0</v>
      </c>
      <c r="L39" s="239">
        <f>IF(L$4&gt;DAY(EOMONTH(DATE($D$2,$B$2,1),0)),"",IFERROR(SUMIFS(DATA_GOC!$H:$H,DATA_GOC!$A:$A,"BOM",DATA_GOC!$D:$D,$B39,DATA_GOC!$E:$E,"Téc 1",DATA_GOC!$F:$F,"Xuất nội bộ từ téc",DATA_GOC!$B:$B,DATE($D$2,$B$2,L$4)),0))</f>
        <v>0</v>
      </c>
      <c r="M39" s="239">
        <f>IF(M$4&gt;DAY(EOMONTH(DATE($D$2,$B$2,1),0)),"",IFERROR(SUMIFS(DATA_GOC!$H:$H,DATA_GOC!$A:$A,"BOM",DATA_GOC!$D:$D,$B39,DATA_GOC!$E:$E,"Téc 1",DATA_GOC!$F:$F,"Xuất nội bộ từ téc",DATA_GOC!$B:$B,DATE($D$2,$B$2,M$4)),0))</f>
        <v>0</v>
      </c>
      <c r="N39" s="239">
        <f>IF(N$4&gt;DAY(EOMONTH(DATE($D$2,$B$2,1),0)),"",IFERROR(SUMIFS(DATA_GOC!$H:$H,DATA_GOC!$A:$A,"BOM",DATA_GOC!$D:$D,$B39,DATA_GOC!$E:$E,"Téc 1",DATA_GOC!$F:$F,"Xuất nội bộ từ téc",DATA_GOC!$B:$B,DATE($D$2,$B$2,N$4)),0))</f>
        <v>0</v>
      </c>
      <c r="O39" s="239">
        <f>IF(O$4&gt;DAY(EOMONTH(DATE($D$2,$B$2,1),0)),"",IFERROR(SUMIFS(DATA_GOC!$H:$H,DATA_GOC!$A:$A,"BOM",DATA_GOC!$D:$D,$B39,DATA_GOC!$E:$E,"Téc 1",DATA_GOC!$F:$F,"Xuất nội bộ từ téc",DATA_GOC!$B:$B,DATE($D$2,$B$2,O$4)),0))</f>
        <v>0</v>
      </c>
      <c r="P39" s="239">
        <f>IF(P$4&gt;DAY(EOMONTH(DATE($D$2,$B$2,1),0)),"",IFERROR(SUMIFS(DATA_GOC!$H:$H,DATA_GOC!$A:$A,"BOM",DATA_GOC!$D:$D,$B39,DATA_GOC!$E:$E,"Téc 1",DATA_GOC!$F:$F,"Xuất nội bộ từ téc",DATA_GOC!$B:$B,DATE($D$2,$B$2,P$4)),0))</f>
        <v>0</v>
      </c>
      <c r="Q39" s="239">
        <f>IF(Q$4&gt;DAY(EOMONTH(DATE($D$2,$B$2,1),0)),"",IFERROR(SUMIFS(DATA_GOC!$H:$H,DATA_GOC!$A:$A,"BOM",DATA_GOC!$D:$D,$B39,DATA_GOC!$E:$E,"Téc 1",DATA_GOC!$F:$F,"Xuất nội bộ từ téc",DATA_GOC!$B:$B,DATE($D$2,$B$2,Q$4)),0))</f>
        <v>0</v>
      </c>
      <c r="R39" s="239">
        <f>IF(R$4&gt;DAY(EOMONTH(DATE($D$2,$B$2,1),0)),"",IFERROR(SUMIFS(DATA_GOC!$H:$H,DATA_GOC!$A:$A,"BOM",DATA_GOC!$D:$D,$B39,DATA_GOC!$E:$E,"Téc 1",DATA_GOC!$F:$F,"Xuất nội bộ từ téc",DATA_GOC!$B:$B,DATE($D$2,$B$2,R$4)),0))</f>
        <v>0</v>
      </c>
      <c r="S39" s="239">
        <f>IF(S$4&gt;DAY(EOMONTH(DATE($D$2,$B$2,1),0)),"",IFERROR(SUMIFS(DATA_GOC!$H:$H,DATA_GOC!$A:$A,"BOM",DATA_GOC!$D:$D,$B39,DATA_GOC!$E:$E,"Téc 1",DATA_GOC!$F:$F,"Xuất nội bộ từ téc",DATA_GOC!$B:$B,DATE($D$2,$B$2,S$4)),0))</f>
        <v>0</v>
      </c>
      <c r="T39" s="239">
        <f>IF(T$4&gt;DAY(EOMONTH(DATE($D$2,$B$2,1),0)),"",IFERROR(SUMIFS(DATA_GOC!$H:$H,DATA_GOC!$A:$A,"BOM",DATA_GOC!$D:$D,$B39,DATA_GOC!$E:$E,"Téc 1",DATA_GOC!$F:$F,"Xuất nội bộ từ téc",DATA_GOC!$B:$B,DATE($D$2,$B$2,T$4)),0))</f>
        <v>0</v>
      </c>
      <c r="U39" s="239">
        <f>IF(U$4&gt;DAY(EOMONTH(DATE($D$2,$B$2,1),0)),"",IFERROR(SUMIFS(DATA_GOC!$H:$H,DATA_GOC!$A:$A,"BOM",DATA_GOC!$D:$D,$B39,DATA_GOC!$E:$E,"Téc 1",DATA_GOC!$F:$F,"Xuất nội bộ từ téc",DATA_GOC!$B:$B,DATE($D$2,$B$2,U$4)),0))</f>
        <v>0</v>
      </c>
      <c r="V39" s="239">
        <f>IF(V$4&gt;DAY(EOMONTH(DATE($D$2,$B$2,1),0)),"",IFERROR(SUMIFS(DATA_GOC!$H:$H,DATA_GOC!$A:$A,"BOM",DATA_GOC!$D:$D,$B39,DATA_GOC!$E:$E,"Téc 1",DATA_GOC!$F:$F,"Xuất nội bộ từ téc",DATA_GOC!$B:$B,DATE($D$2,$B$2,V$4)),0))</f>
        <v>0</v>
      </c>
      <c r="W39" s="239">
        <f>IF(W$4&gt;DAY(EOMONTH(DATE($D$2,$B$2,1),0)),"",IFERROR(SUMIFS(DATA_GOC!$H:$H,DATA_GOC!$A:$A,"BOM",DATA_GOC!$D:$D,$B39,DATA_GOC!$E:$E,"Téc 1",DATA_GOC!$F:$F,"Xuất nội bộ từ téc",DATA_GOC!$B:$B,DATE($D$2,$B$2,W$4)),0))</f>
        <v>0</v>
      </c>
      <c r="X39" s="239">
        <f>IF(X$4&gt;DAY(EOMONTH(DATE($D$2,$B$2,1),0)),"",IFERROR(SUMIFS(DATA_GOC!$H:$H,DATA_GOC!$A:$A,"BOM",DATA_GOC!$D:$D,$B39,DATA_GOC!$E:$E,"Téc 1",DATA_GOC!$F:$F,"Xuất nội bộ từ téc",DATA_GOC!$B:$B,DATE($D$2,$B$2,X$4)),0))</f>
        <v>0</v>
      </c>
      <c r="Y39" s="239">
        <f>IF(Y$4&gt;DAY(EOMONTH(DATE($D$2,$B$2,1),0)),"",IFERROR(SUMIFS(DATA_GOC!$H:$H,DATA_GOC!$A:$A,"BOM",DATA_GOC!$D:$D,$B39,DATA_GOC!$E:$E,"Téc 1",DATA_GOC!$F:$F,"Xuất nội bộ từ téc",DATA_GOC!$B:$B,DATE($D$2,$B$2,Y$4)),0))</f>
        <v>0</v>
      </c>
      <c r="Z39" s="239">
        <f>IF(Z$4&gt;DAY(EOMONTH(DATE($D$2,$B$2,1),0)),"",IFERROR(SUMIFS(DATA_GOC!$H:$H,DATA_GOC!$A:$A,"BOM",DATA_GOC!$D:$D,$B39,DATA_GOC!$E:$E,"Téc 1",DATA_GOC!$F:$F,"Xuất nội bộ từ téc",DATA_GOC!$B:$B,DATE($D$2,$B$2,Z$4)),0))</f>
        <v>0</v>
      </c>
      <c r="AA39" s="239">
        <f>IF(AA$4&gt;DAY(EOMONTH(DATE($D$2,$B$2,1),0)),"",IFERROR(SUMIFS(DATA_GOC!$H:$H,DATA_GOC!$A:$A,"BOM",DATA_GOC!$D:$D,$B39,DATA_GOC!$E:$E,"Téc 1",DATA_GOC!$F:$F,"Xuất nội bộ từ téc",DATA_GOC!$B:$B,DATE($D$2,$B$2,AA$4)),0))</f>
        <v>0</v>
      </c>
      <c r="AB39" s="239">
        <f>IF(AB$4&gt;DAY(EOMONTH(DATE($D$2,$B$2,1),0)),"",IFERROR(SUMIFS(DATA_GOC!$H:$H,DATA_GOC!$A:$A,"BOM",DATA_GOC!$D:$D,$B39,DATA_GOC!$E:$E,"Téc 1",DATA_GOC!$F:$F,"Xuất nội bộ từ téc",DATA_GOC!$B:$B,DATE($D$2,$B$2,AB$4)),0))</f>
        <v>0</v>
      </c>
      <c r="AC39" s="239">
        <f>IF(AC$4&gt;DAY(EOMONTH(DATE($D$2,$B$2,1),0)),"",IFERROR(SUMIFS(DATA_GOC!$H:$H,DATA_GOC!$A:$A,"BOM",DATA_GOC!$D:$D,$B39,DATA_GOC!$E:$E,"Téc 1",DATA_GOC!$F:$F,"Xuất nội bộ từ téc",DATA_GOC!$B:$B,DATE($D$2,$B$2,AC$4)),0))</f>
        <v>0</v>
      </c>
      <c r="AD39" s="239">
        <f>IF(AD$4&gt;DAY(EOMONTH(DATE($D$2,$B$2,1),0)),"",IFERROR(SUMIFS(DATA_GOC!$H:$H,DATA_GOC!$A:$A,"BOM",DATA_GOC!$D:$D,$B39,DATA_GOC!$E:$E,"Téc 1",DATA_GOC!$F:$F,"Xuất nội bộ từ téc",DATA_GOC!$B:$B,DATE($D$2,$B$2,AD$4)),0))</f>
        <v>0</v>
      </c>
      <c r="AE39" s="239">
        <f>IF(AE$4&gt;DAY(EOMONTH(DATE($D$2,$B$2,1),0)),"",IFERROR(SUMIFS(DATA_GOC!$H:$H,DATA_GOC!$A:$A,"BOM",DATA_GOC!$D:$D,$B39,DATA_GOC!$E:$E,"Téc 1",DATA_GOC!$F:$F,"Xuất nội bộ từ téc",DATA_GOC!$B:$B,DATE($D$2,$B$2,AE$4)),0))</f>
        <v>0</v>
      </c>
      <c r="AF39" s="239">
        <f>IF(AF$4&gt;DAY(EOMONTH(DATE($D$2,$B$2,1),0)),"",IFERROR(SUMIFS(DATA_GOC!$H:$H,DATA_GOC!$A:$A,"BOM",DATA_GOC!$D:$D,$B39,DATA_GOC!$E:$E,"Téc 1",DATA_GOC!$F:$F,"Xuất nội bộ từ téc",DATA_GOC!$B:$B,DATE($D$2,$B$2,AF$4)),0))</f>
        <v>0</v>
      </c>
      <c r="AG39" s="239">
        <f>IF(AG$4&gt;DAY(EOMONTH(DATE($D$2,$B$2,1),0)),"",IFERROR(SUMIFS(DATA_GOC!$H:$H,DATA_GOC!$A:$A,"BOM",DATA_GOC!$D:$D,$B39,DATA_GOC!$E:$E,"Téc 1",DATA_GOC!$F:$F,"Xuất nội bộ từ téc",DATA_GOC!$B:$B,DATE($D$2,$B$2,AG$4)),0))</f>
        <v>0</v>
      </c>
      <c r="AH39" s="240">
        <f t="shared" si="1"/>
        <v>0</v>
      </c>
      <c r="AI39" s="241"/>
      <c r="AJ39" s="239">
        <f>IF($B39="","",SUMIFS(TINH_TEC!$K$233:$K$9232,TINH_TEC!$H$233:$H$9232,$B39,TINH_TEC!$C$233:$C$9232,"Téc 1",TINH_TEC!$F$233:$F$9232,$B$2,TINH_TEC!$G$233:$G$9232,$D$2,TINH_TEC!$B$233:$B$9232,"Đã chốt"))</f>
        <v>0</v>
      </c>
      <c r="AK39" s="239">
        <f>IF($B39="","",SUMIFS(TINH_TEC!$J$233:$J$9232,TINH_TEC!$H$233:$H$9232,$B39,TINH_TEC!$C$233:$C$9232,"Téc 1",TINH_TEC!$F$233:$F$9232,$B$2,TINH_TEC!$G$233:$G$9232,$D$2,TINH_TEC!$B$233:$B$9232,"Đã chốt"))</f>
        <v>0</v>
      </c>
      <c r="AL39" s="239">
        <f t="shared" si="2"/>
        <v>0</v>
      </c>
    </row>
    <row r="40" ht="15.75" customHeight="1">
      <c r="A40" s="237">
        <f>IF($B40&lt;&gt;"",35,"")</f>
        <v>35</v>
      </c>
      <c r="B40" s="238" t="str">
        <f t="array" ref="B40">IFERROR(INDEX(DANH_MUC!$E:$E,38),"")</f>
        <v>28H00603</v>
      </c>
      <c r="C40" s="239">
        <f>IF(C$4&gt;DAY(EOMONTH(DATE($D$2,$B$2,1),0)),"",IFERROR(SUMIFS(DATA_GOC!$H:$H,DATA_GOC!$A:$A,"BOM",DATA_GOC!$D:$D,$B40,DATA_GOC!$E:$E,"Téc 1",DATA_GOC!$F:$F,"Xuất nội bộ từ téc",DATA_GOC!$B:$B,DATE($D$2,$B$2,C$4)),0))</f>
        <v>0</v>
      </c>
      <c r="D40" s="239">
        <f>IF(D$4&gt;DAY(EOMONTH(DATE($D$2,$B$2,1),0)),"",IFERROR(SUMIFS(DATA_GOC!$H:$H,DATA_GOC!$A:$A,"BOM",DATA_GOC!$D:$D,$B40,DATA_GOC!$E:$E,"Téc 1",DATA_GOC!$F:$F,"Xuất nội bộ từ téc",DATA_GOC!$B:$B,DATE($D$2,$B$2,D$4)),0))</f>
        <v>0</v>
      </c>
      <c r="E40" s="239">
        <f>IF(E$4&gt;DAY(EOMONTH(DATE($D$2,$B$2,1),0)),"",IFERROR(SUMIFS(DATA_GOC!$H:$H,DATA_GOC!$A:$A,"BOM",DATA_GOC!$D:$D,$B40,DATA_GOC!$E:$E,"Téc 1",DATA_GOC!$F:$F,"Xuất nội bộ từ téc",DATA_GOC!$B:$B,DATE($D$2,$B$2,E$4)),0))</f>
        <v>0</v>
      </c>
      <c r="F40" s="239">
        <f>IF(F$4&gt;DAY(EOMONTH(DATE($D$2,$B$2,1),0)),"",IFERROR(SUMIFS(DATA_GOC!$H:$H,DATA_GOC!$A:$A,"BOM",DATA_GOC!$D:$D,$B40,DATA_GOC!$E:$E,"Téc 1",DATA_GOC!$F:$F,"Xuất nội bộ từ téc",DATA_GOC!$B:$B,DATE($D$2,$B$2,F$4)),0))</f>
        <v>0</v>
      </c>
      <c r="G40" s="239">
        <f>IF(G$4&gt;DAY(EOMONTH(DATE($D$2,$B$2,1),0)),"",IFERROR(SUMIFS(DATA_GOC!$H:$H,DATA_GOC!$A:$A,"BOM",DATA_GOC!$D:$D,$B40,DATA_GOC!$E:$E,"Téc 1",DATA_GOC!$F:$F,"Xuất nội bộ từ téc",DATA_GOC!$B:$B,DATE($D$2,$B$2,G$4)),0))</f>
        <v>0</v>
      </c>
      <c r="H40" s="239">
        <f>IF(H$4&gt;DAY(EOMONTH(DATE($D$2,$B$2,1),0)),"",IFERROR(SUMIFS(DATA_GOC!$H:$H,DATA_GOC!$A:$A,"BOM",DATA_GOC!$D:$D,$B40,DATA_GOC!$E:$E,"Téc 1",DATA_GOC!$F:$F,"Xuất nội bộ từ téc",DATA_GOC!$B:$B,DATE($D$2,$B$2,H$4)),0))</f>
        <v>0</v>
      </c>
      <c r="I40" s="239">
        <f>IF(I$4&gt;DAY(EOMONTH(DATE($D$2,$B$2,1),0)),"",IFERROR(SUMIFS(DATA_GOC!$H:$H,DATA_GOC!$A:$A,"BOM",DATA_GOC!$D:$D,$B40,DATA_GOC!$E:$E,"Téc 1",DATA_GOC!$F:$F,"Xuất nội bộ từ téc",DATA_GOC!$B:$B,DATE($D$2,$B$2,I$4)),0))</f>
        <v>0</v>
      </c>
      <c r="J40" s="239">
        <f>IF(J$4&gt;DAY(EOMONTH(DATE($D$2,$B$2,1),0)),"",IFERROR(SUMIFS(DATA_GOC!$H:$H,DATA_GOC!$A:$A,"BOM",DATA_GOC!$D:$D,$B40,DATA_GOC!$E:$E,"Téc 1",DATA_GOC!$F:$F,"Xuất nội bộ từ téc",DATA_GOC!$B:$B,DATE($D$2,$B$2,J$4)),0))</f>
        <v>0</v>
      </c>
      <c r="K40" s="239">
        <f>IF(K$4&gt;DAY(EOMONTH(DATE($D$2,$B$2,1),0)),"",IFERROR(SUMIFS(DATA_GOC!$H:$H,DATA_GOC!$A:$A,"BOM",DATA_GOC!$D:$D,$B40,DATA_GOC!$E:$E,"Téc 1",DATA_GOC!$F:$F,"Xuất nội bộ từ téc",DATA_GOC!$B:$B,DATE($D$2,$B$2,K$4)),0))</f>
        <v>0</v>
      </c>
      <c r="L40" s="239">
        <f>IF(L$4&gt;DAY(EOMONTH(DATE($D$2,$B$2,1),0)),"",IFERROR(SUMIFS(DATA_GOC!$H:$H,DATA_GOC!$A:$A,"BOM",DATA_GOC!$D:$D,$B40,DATA_GOC!$E:$E,"Téc 1",DATA_GOC!$F:$F,"Xuất nội bộ từ téc",DATA_GOC!$B:$B,DATE($D$2,$B$2,L$4)),0))</f>
        <v>0</v>
      </c>
      <c r="M40" s="239">
        <f>IF(M$4&gt;DAY(EOMONTH(DATE($D$2,$B$2,1),0)),"",IFERROR(SUMIFS(DATA_GOC!$H:$H,DATA_GOC!$A:$A,"BOM",DATA_GOC!$D:$D,$B40,DATA_GOC!$E:$E,"Téc 1",DATA_GOC!$F:$F,"Xuất nội bộ từ téc",DATA_GOC!$B:$B,DATE($D$2,$B$2,M$4)),0))</f>
        <v>0</v>
      </c>
      <c r="N40" s="239">
        <f>IF(N$4&gt;DAY(EOMONTH(DATE($D$2,$B$2,1),0)),"",IFERROR(SUMIFS(DATA_GOC!$H:$H,DATA_GOC!$A:$A,"BOM",DATA_GOC!$D:$D,$B40,DATA_GOC!$E:$E,"Téc 1",DATA_GOC!$F:$F,"Xuất nội bộ từ téc",DATA_GOC!$B:$B,DATE($D$2,$B$2,N$4)),0))</f>
        <v>0</v>
      </c>
      <c r="O40" s="239">
        <f>IF(O$4&gt;DAY(EOMONTH(DATE($D$2,$B$2,1),0)),"",IFERROR(SUMIFS(DATA_GOC!$H:$H,DATA_GOC!$A:$A,"BOM",DATA_GOC!$D:$D,$B40,DATA_GOC!$E:$E,"Téc 1",DATA_GOC!$F:$F,"Xuất nội bộ từ téc",DATA_GOC!$B:$B,DATE($D$2,$B$2,O$4)),0))</f>
        <v>0</v>
      </c>
      <c r="P40" s="239">
        <f>IF(P$4&gt;DAY(EOMONTH(DATE($D$2,$B$2,1),0)),"",IFERROR(SUMIFS(DATA_GOC!$H:$H,DATA_GOC!$A:$A,"BOM",DATA_GOC!$D:$D,$B40,DATA_GOC!$E:$E,"Téc 1",DATA_GOC!$F:$F,"Xuất nội bộ từ téc",DATA_GOC!$B:$B,DATE($D$2,$B$2,P$4)),0))</f>
        <v>0</v>
      </c>
      <c r="Q40" s="239">
        <f>IF(Q$4&gt;DAY(EOMONTH(DATE($D$2,$B$2,1),0)),"",IFERROR(SUMIFS(DATA_GOC!$H:$H,DATA_GOC!$A:$A,"BOM",DATA_GOC!$D:$D,$B40,DATA_GOC!$E:$E,"Téc 1",DATA_GOC!$F:$F,"Xuất nội bộ từ téc",DATA_GOC!$B:$B,DATE($D$2,$B$2,Q$4)),0))</f>
        <v>0</v>
      </c>
      <c r="R40" s="239">
        <f>IF(R$4&gt;DAY(EOMONTH(DATE($D$2,$B$2,1),0)),"",IFERROR(SUMIFS(DATA_GOC!$H:$H,DATA_GOC!$A:$A,"BOM",DATA_GOC!$D:$D,$B40,DATA_GOC!$E:$E,"Téc 1",DATA_GOC!$F:$F,"Xuất nội bộ từ téc",DATA_GOC!$B:$B,DATE($D$2,$B$2,R$4)),0))</f>
        <v>0</v>
      </c>
      <c r="S40" s="239">
        <f>IF(S$4&gt;DAY(EOMONTH(DATE($D$2,$B$2,1),0)),"",IFERROR(SUMIFS(DATA_GOC!$H:$H,DATA_GOC!$A:$A,"BOM",DATA_GOC!$D:$D,$B40,DATA_GOC!$E:$E,"Téc 1",DATA_GOC!$F:$F,"Xuất nội bộ từ téc",DATA_GOC!$B:$B,DATE($D$2,$B$2,S$4)),0))</f>
        <v>0</v>
      </c>
      <c r="T40" s="239">
        <f>IF(T$4&gt;DAY(EOMONTH(DATE($D$2,$B$2,1),0)),"",IFERROR(SUMIFS(DATA_GOC!$H:$H,DATA_GOC!$A:$A,"BOM",DATA_GOC!$D:$D,$B40,DATA_GOC!$E:$E,"Téc 1",DATA_GOC!$F:$F,"Xuất nội bộ từ téc",DATA_GOC!$B:$B,DATE($D$2,$B$2,T$4)),0))</f>
        <v>0</v>
      </c>
      <c r="U40" s="239">
        <f>IF(U$4&gt;DAY(EOMONTH(DATE($D$2,$B$2,1),0)),"",IFERROR(SUMIFS(DATA_GOC!$H:$H,DATA_GOC!$A:$A,"BOM",DATA_GOC!$D:$D,$B40,DATA_GOC!$E:$E,"Téc 1",DATA_GOC!$F:$F,"Xuất nội bộ từ téc",DATA_GOC!$B:$B,DATE($D$2,$B$2,U$4)),0))</f>
        <v>0</v>
      </c>
      <c r="V40" s="239">
        <f>IF(V$4&gt;DAY(EOMONTH(DATE($D$2,$B$2,1),0)),"",IFERROR(SUMIFS(DATA_GOC!$H:$H,DATA_GOC!$A:$A,"BOM",DATA_GOC!$D:$D,$B40,DATA_GOC!$E:$E,"Téc 1",DATA_GOC!$F:$F,"Xuất nội bộ từ téc",DATA_GOC!$B:$B,DATE($D$2,$B$2,V$4)),0))</f>
        <v>0</v>
      </c>
      <c r="W40" s="239">
        <f>IF(W$4&gt;DAY(EOMONTH(DATE($D$2,$B$2,1),0)),"",IFERROR(SUMIFS(DATA_GOC!$H:$H,DATA_GOC!$A:$A,"BOM",DATA_GOC!$D:$D,$B40,DATA_GOC!$E:$E,"Téc 1",DATA_GOC!$F:$F,"Xuất nội bộ từ téc",DATA_GOC!$B:$B,DATE($D$2,$B$2,W$4)),0))</f>
        <v>0</v>
      </c>
      <c r="X40" s="239">
        <f>IF(X$4&gt;DAY(EOMONTH(DATE($D$2,$B$2,1),0)),"",IFERROR(SUMIFS(DATA_GOC!$H:$H,DATA_GOC!$A:$A,"BOM",DATA_GOC!$D:$D,$B40,DATA_GOC!$E:$E,"Téc 1",DATA_GOC!$F:$F,"Xuất nội bộ từ téc",DATA_GOC!$B:$B,DATE($D$2,$B$2,X$4)),0))</f>
        <v>0</v>
      </c>
      <c r="Y40" s="239">
        <f>IF(Y$4&gt;DAY(EOMONTH(DATE($D$2,$B$2,1),0)),"",IFERROR(SUMIFS(DATA_GOC!$H:$H,DATA_GOC!$A:$A,"BOM",DATA_GOC!$D:$D,$B40,DATA_GOC!$E:$E,"Téc 1",DATA_GOC!$F:$F,"Xuất nội bộ từ téc",DATA_GOC!$B:$B,DATE($D$2,$B$2,Y$4)),0))</f>
        <v>0</v>
      </c>
      <c r="Z40" s="239">
        <f>IF(Z$4&gt;DAY(EOMONTH(DATE($D$2,$B$2,1),0)),"",IFERROR(SUMIFS(DATA_GOC!$H:$H,DATA_GOC!$A:$A,"BOM",DATA_GOC!$D:$D,$B40,DATA_GOC!$E:$E,"Téc 1",DATA_GOC!$F:$F,"Xuất nội bộ từ téc",DATA_GOC!$B:$B,DATE($D$2,$B$2,Z$4)),0))</f>
        <v>0</v>
      </c>
      <c r="AA40" s="239">
        <f>IF(AA$4&gt;DAY(EOMONTH(DATE($D$2,$B$2,1),0)),"",IFERROR(SUMIFS(DATA_GOC!$H:$H,DATA_GOC!$A:$A,"BOM",DATA_GOC!$D:$D,$B40,DATA_GOC!$E:$E,"Téc 1",DATA_GOC!$F:$F,"Xuất nội bộ từ téc",DATA_GOC!$B:$B,DATE($D$2,$B$2,AA$4)),0))</f>
        <v>0</v>
      </c>
      <c r="AB40" s="239">
        <f>IF(AB$4&gt;DAY(EOMONTH(DATE($D$2,$B$2,1),0)),"",IFERROR(SUMIFS(DATA_GOC!$H:$H,DATA_GOC!$A:$A,"BOM",DATA_GOC!$D:$D,$B40,DATA_GOC!$E:$E,"Téc 1",DATA_GOC!$F:$F,"Xuất nội bộ từ téc",DATA_GOC!$B:$B,DATE($D$2,$B$2,AB$4)),0))</f>
        <v>0</v>
      </c>
      <c r="AC40" s="239">
        <f>IF(AC$4&gt;DAY(EOMONTH(DATE($D$2,$B$2,1),0)),"",IFERROR(SUMIFS(DATA_GOC!$H:$H,DATA_GOC!$A:$A,"BOM",DATA_GOC!$D:$D,$B40,DATA_GOC!$E:$E,"Téc 1",DATA_GOC!$F:$F,"Xuất nội bộ từ téc",DATA_GOC!$B:$B,DATE($D$2,$B$2,AC$4)),0))</f>
        <v>0</v>
      </c>
      <c r="AD40" s="239">
        <f>IF(AD$4&gt;DAY(EOMONTH(DATE($D$2,$B$2,1),0)),"",IFERROR(SUMIFS(DATA_GOC!$H:$H,DATA_GOC!$A:$A,"BOM",DATA_GOC!$D:$D,$B40,DATA_GOC!$E:$E,"Téc 1",DATA_GOC!$F:$F,"Xuất nội bộ từ téc",DATA_GOC!$B:$B,DATE($D$2,$B$2,AD$4)),0))</f>
        <v>0</v>
      </c>
      <c r="AE40" s="239">
        <f>IF(AE$4&gt;DAY(EOMONTH(DATE($D$2,$B$2,1),0)),"",IFERROR(SUMIFS(DATA_GOC!$H:$H,DATA_GOC!$A:$A,"BOM",DATA_GOC!$D:$D,$B40,DATA_GOC!$E:$E,"Téc 1",DATA_GOC!$F:$F,"Xuất nội bộ từ téc",DATA_GOC!$B:$B,DATE($D$2,$B$2,AE$4)),0))</f>
        <v>0</v>
      </c>
      <c r="AF40" s="239">
        <f>IF(AF$4&gt;DAY(EOMONTH(DATE($D$2,$B$2,1),0)),"",IFERROR(SUMIFS(DATA_GOC!$H:$H,DATA_GOC!$A:$A,"BOM",DATA_GOC!$D:$D,$B40,DATA_GOC!$E:$E,"Téc 1",DATA_GOC!$F:$F,"Xuất nội bộ từ téc",DATA_GOC!$B:$B,DATE($D$2,$B$2,AF$4)),0))</f>
        <v>0</v>
      </c>
      <c r="AG40" s="239">
        <f>IF(AG$4&gt;DAY(EOMONTH(DATE($D$2,$B$2,1),0)),"",IFERROR(SUMIFS(DATA_GOC!$H:$H,DATA_GOC!$A:$A,"BOM",DATA_GOC!$D:$D,$B40,DATA_GOC!$E:$E,"Téc 1",DATA_GOC!$F:$F,"Xuất nội bộ từ téc",DATA_GOC!$B:$B,DATE($D$2,$B$2,AG$4)),0))</f>
        <v>0</v>
      </c>
      <c r="AH40" s="240">
        <f t="shared" si="1"/>
        <v>0</v>
      </c>
      <c r="AI40" s="241"/>
      <c r="AJ40" s="239">
        <f>IF($B40="","",SUMIFS(TINH_TEC!$K$233:$K$9232,TINH_TEC!$H$233:$H$9232,$B40,TINH_TEC!$C$233:$C$9232,"Téc 1",TINH_TEC!$F$233:$F$9232,$B$2,TINH_TEC!$G$233:$G$9232,$D$2,TINH_TEC!$B$233:$B$9232,"Đã chốt"))</f>
        <v>0</v>
      </c>
      <c r="AK40" s="239">
        <f>IF($B40="","",SUMIFS(TINH_TEC!$J$233:$J$9232,TINH_TEC!$H$233:$H$9232,$B40,TINH_TEC!$C$233:$C$9232,"Téc 1",TINH_TEC!$F$233:$F$9232,$B$2,TINH_TEC!$G$233:$G$9232,$D$2,TINH_TEC!$B$233:$B$9232,"Đã chốt"))</f>
        <v>0</v>
      </c>
      <c r="AL40" s="239">
        <f t="shared" si="2"/>
        <v>0</v>
      </c>
    </row>
    <row r="41" ht="15.75" customHeight="1">
      <c r="A41" s="237">
        <f>IF($B41&lt;&gt;"",36,"")</f>
        <v>36</v>
      </c>
      <c r="B41" s="238" t="str">
        <f t="array" ref="B41">IFERROR(INDEX(DANH_MUC!$E:$E,39),"")</f>
        <v>28H00609</v>
      </c>
      <c r="C41" s="239">
        <f>IF(C$4&gt;DAY(EOMONTH(DATE($D$2,$B$2,1),0)),"",IFERROR(SUMIFS(DATA_GOC!$H:$H,DATA_GOC!$A:$A,"BOM",DATA_GOC!$D:$D,$B41,DATA_GOC!$E:$E,"Téc 1",DATA_GOC!$F:$F,"Xuất nội bộ từ téc",DATA_GOC!$B:$B,DATE($D$2,$B$2,C$4)),0))</f>
        <v>0</v>
      </c>
      <c r="D41" s="239">
        <f>IF(D$4&gt;DAY(EOMONTH(DATE($D$2,$B$2,1),0)),"",IFERROR(SUMIFS(DATA_GOC!$H:$H,DATA_GOC!$A:$A,"BOM",DATA_GOC!$D:$D,$B41,DATA_GOC!$E:$E,"Téc 1",DATA_GOC!$F:$F,"Xuất nội bộ từ téc",DATA_GOC!$B:$B,DATE($D$2,$B$2,D$4)),0))</f>
        <v>0</v>
      </c>
      <c r="E41" s="239">
        <f>IF(E$4&gt;DAY(EOMONTH(DATE($D$2,$B$2,1),0)),"",IFERROR(SUMIFS(DATA_GOC!$H:$H,DATA_GOC!$A:$A,"BOM",DATA_GOC!$D:$D,$B41,DATA_GOC!$E:$E,"Téc 1",DATA_GOC!$F:$F,"Xuất nội bộ từ téc",DATA_GOC!$B:$B,DATE($D$2,$B$2,E$4)),0))</f>
        <v>0</v>
      </c>
      <c r="F41" s="239">
        <f>IF(F$4&gt;DAY(EOMONTH(DATE($D$2,$B$2,1),0)),"",IFERROR(SUMIFS(DATA_GOC!$H:$H,DATA_GOC!$A:$A,"BOM",DATA_GOC!$D:$D,$B41,DATA_GOC!$E:$E,"Téc 1",DATA_GOC!$F:$F,"Xuất nội bộ từ téc",DATA_GOC!$B:$B,DATE($D$2,$B$2,F$4)),0))</f>
        <v>0</v>
      </c>
      <c r="G41" s="239">
        <f>IF(G$4&gt;DAY(EOMONTH(DATE($D$2,$B$2,1),0)),"",IFERROR(SUMIFS(DATA_GOC!$H:$H,DATA_GOC!$A:$A,"BOM",DATA_GOC!$D:$D,$B41,DATA_GOC!$E:$E,"Téc 1",DATA_GOC!$F:$F,"Xuất nội bộ từ téc",DATA_GOC!$B:$B,DATE($D$2,$B$2,G$4)),0))</f>
        <v>0</v>
      </c>
      <c r="H41" s="239">
        <f>IF(H$4&gt;DAY(EOMONTH(DATE($D$2,$B$2,1),0)),"",IFERROR(SUMIFS(DATA_GOC!$H:$H,DATA_GOC!$A:$A,"BOM",DATA_GOC!$D:$D,$B41,DATA_GOC!$E:$E,"Téc 1",DATA_GOC!$F:$F,"Xuất nội bộ từ téc",DATA_GOC!$B:$B,DATE($D$2,$B$2,H$4)),0))</f>
        <v>0</v>
      </c>
      <c r="I41" s="239">
        <f>IF(I$4&gt;DAY(EOMONTH(DATE($D$2,$B$2,1),0)),"",IFERROR(SUMIFS(DATA_GOC!$H:$H,DATA_GOC!$A:$A,"BOM",DATA_GOC!$D:$D,$B41,DATA_GOC!$E:$E,"Téc 1",DATA_GOC!$F:$F,"Xuất nội bộ từ téc",DATA_GOC!$B:$B,DATE($D$2,$B$2,I$4)),0))</f>
        <v>0</v>
      </c>
      <c r="J41" s="239">
        <f>IF(J$4&gt;DAY(EOMONTH(DATE($D$2,$B$2,1),0)),"",IFERROR(SUMIFS(DATA_GOC!$H:$H,DATA_GOC!$A:$A,"BOM",DATA_GOC!$D:$D,$B41,DATA_GOC!$E:$E,"Téc 1",DATA_GOC!$F:$F,"Xuất nội bộ từ téc",DATA_GOC!$B:$B,DATE($D$2,$B$2,J$4)),0))</f>
        <v>0</v>
      </c>
      <c r="K41" s="239">
        <f>IF(K$4&gt;DAY(EOMONTH(DATE($D$2,$B$2,1),0)),"",IFERROR(SUMIFS(DATA_GOC!$H:$H,DATA_GOC!$A:$A,"BOM",DATA_GOC!$D:$D,$B41,DATA_GOC!$E:$E,"Téc 1",DATA_GOC!$F:$F,"Xuất nội bộ từ téc",DATA_GOC!$B:$B,DATE($D$2,$B$2,K$4)),0))</f>
        <v>0</v>
      </c>
      <c r="L41" s="239">
        <f>IF(L$4&gt;DAY(EOMONTH(DATE($D$2,$B$2,1),0)),"",IFERROR(SUMIFS(DATA_GOC!$H:$H,DATA_GOC!$A:$A,"BOM",DATA_GOC!$D:$D,$B41,DATA_GOC!$E:$E,"Téc 1",DATA_GOC!$F:$F,"Xuất nội bộ từ téc",DATA_GOC!$B:$B,DATE($D$2,$B$2,L$4)),0))</f>
        <v>0</v>
      </c>
      <c r="M41" s="239">
        <f>IF(M$4&gt;DAY(EOMONTH(DATE($D$2,$B$2,1),0)),"",IFERROR(SUMIFS(DATA_GOC!$H:$H,DATA_GOC!$A:$A,"BOM",DATA_GOC!$D:$D,$B41,DATA_GOC!$E:$E,"Téc 1",DATA_GOC!$F:$F,"Xuất nội bộ từ téc",DATA_GOC!$B:$B,DATE($D$2,$B$2,M$4)),0))</f>
        <v>0</v>
      </c>
      <c r="N41" s="239">
        <f>IF(N$4&gt;DAY(EOMONTH(DATE($D$2,$B$2,1),0)),"",IFERROR(SUMIFS(DATA_GOC!$H:$H,DATA_GOC!$A:$A,"BOM",DATA_GOC!$D:$D,$B41,DATA_GOC!$E:$E,"Téc 1",DATA_GOC!$F:$F,"Xuất nội bộ từ téc",DATA_GOC!$B:$B,DATE($D$2,$B$2,N$4)),0))</f>
        <v>0</v>
      </c>
      <c r="O41" s="239">
        <f>IF(O$4&gt;DAY(EOMONTH(DATE($D$2,$B$2,1),0)),"",IFERROR(SUMIFS(DATA_GOC!$H:$H,DATA_GOC!$A:$A,"BOM",DATA_GOC!$D:$D,$B41,DATA_GOC!$E:$E,"Téc 1",DATA_GOC!$F:$F,"Xuất nội bộ từ téc",DATA_GOC!$B:$B,DATE($D$2,$B$2,O$4)),0))</f>
        <v>0</v>
      </c>
      <c r="P41" s="239">
        <f>IF(P$4&gt;DAY(EOMONTH(DATE($D$2,$B$2,1),0)),"",IFERROR(SUMIFS(DATA_GOC!$H:$H,DATA_GOC!$A:$A,"BOM",DATA_GOC!$D:$D,$B41,DATA_GOC!$E:$E,"Téc 1",DATA_GOC!$F:$F,"Xuất nội bộ từ téc",DATA_GOC!$B:$B,DATE($D$2,$B$2,P$4)),0))</f>
        <v>0</v>
      </c>
      <c r="Q41" s="239">
        <f>IF(Q$4&gt;DAY(EOMONTH(DATE($D$2,$B$2,1),0)),"",IFERROR(SUMIFS(DATA_GOC!$H:$H,DATA_GOC!$A:$A,"BOM",DATA_GOC!$D:$D,$B41,DATA_GOC!$E:$E,"Téc 1",DATA_GOC!$F:$F,"Xuất nội bộ từ téc",DATA_GOC!$B:$B,DATE($D$2,$B$2,Q$4)),0))</f>
        <v>0</v>
      </c>
      <c r="R41" s="239">
        <f>IF(R$4&gt;DAY(EOMONTH(DATE($D$2,$B$2,1),0)),"",IFERROR(SUMIFS(DATA_GOC!$H:$H,DATA_GOC!$A:$A,"BOM",DATA_GOC!$D:$D,$B41,DATA_GOC!$E:$E,"Téc 1",DATA_GOC!$F:$F,"Xuất nội bộ từ téc",DATA_GOC!$B:$B,DATE($D$2,$B$2,R$4)),0))</f>
        <v>0</v>
      </c>
      <c r="S41" s="239">
        <f>IF(S$4&gt;DAY(EOMONTH(DATE($D$2,$B$2,1),0)),"",IFERROR(SUMIFS(DATA_GOC!$H:$H,DATA_GOC!$A:$A,"BOM",DATA_GOC!$D:$D,$B41,DATA_GOC!$E:$E,"Téc 1",DATA_GOC!$F:$F,"Xuất nội bộ từ téc",DATA_GOC!$B:$B,DATE($D$2,$B$2,S$4)),0))</f>
        <v>0</v>
      </c>
      <c r="T41" s="239">
        <f>IF(T$4&gt;DAY(EOMONTH(DATE($D$2,$B$2,1),0)),"",IFERROR(SUMIFS(DATA_GOC!$H:$H,DATA_GOC!$A:$A,"BOM",DATA_GOC!$D:$D,$B41,DATA_GOC!$E:$E,"Téc 1",DATA_GOC!$F:$F,"Xuất nội bộ từ téc",DATA_GOC!$B:$B,DATE($D$2,$B$2,T$4)),0))</f>
        <v>0</v>
      </c>
      <c r="U41" s="239">
        <f>IF(U$4&gt;DAY(EOMONTH(DATE($D$2,$B$2,1),0)),"",IFERROR(SUMIFS(DATA_GOC!$H:$H,DATA_GOC!$A:$A,"BOM",DATA_GOC!$D:$D,$B41,DATA_GOC!$E:$E,"Téc 1",DATA_GOC!$F:$F,"Xuất nội bộ từ téc",DATA_GOC!$B:$B,DATE($D$2,$B$2,U$4)),0))</f>
        <v>0</v>
      </c>
      <c r="V41" s="239">
        <f>IF(V$4&gt;DAY(EOMONTH(DATE($D$2,$B$2,1),0)),"",IFERROR(SUMIFS(DATA_GOC!$H:$H,DATA_GOC!$A:$A,"BOM",DATA_GOC!$D:$D,$B41,DATA_GOC!$E:$E,"Téc 1",DATA_GOC!$F:$F,"Xuất nội bộ từ téc",DATA_GOC!$B:$B,DATE($D$2,$B$2,V$4)),0))</f>
        <v>0</v>
      </c>
      <c r="W41" s="239">
        <f>IF(W$4&gt;DAY(EOMONTH(DATE($D$2,$B$2,1),0)),"",IFERROR(SUMIFS(DATA_GOC!$H:$H,DATA_GOC!$A:$A,"BOM",DATA_GOC!$D:$D,$B41,DATA_GOC!$E:$E,"Téc 1",DATA_GOC!$F:$F,"Xuất nội bộ từ téc",DATA_GOC!$B:$B,DATE($D$2,$B$2,W$4)),0))</f>
        <v>0</v>
      </c>
      <c r="X41" s="239">
        <f>IF(X$4&gt;DAY(EOMONTH(DATE($D$2,$B$2,1),0)),"",IFERROR(SUMIFS(DATA_GOC!$H:$H,DATA_GOC!$A:$A,"BOM",DATA_GOC!$D:$D,$B41,DATA_GOC!$E:$E,"Téc 1",DATA_GOC!$F:$F,"Xuất nội bộ từ téc",DATA_GOC!$B:$B,DATE($D$2,$B$2,X$4)),0))</f>
        <v>0</v>
      </c>
      <c r="Y41" s="239">
        <f>IF(Y$4&gt;DAY(EOMONTH(DATE($D$2,$B$2,1),0)),"",IFERROR(SUMIFS(DATA_GOC!$H:$H,DATA_GOC!$A:$A,"BOM",DATA_GOC!$D:$D,$B41,DATA_GOC!$E:$E,"Téc 1",DATA_GOC!$F:$F,"Xuất nội bộ từ téc",DATA_GOC!$B:$B,DATE($D$2,$B$2,Y$4)),0))</f>
        <v>0</v>
      </c>
      <c r="Z41" s="239">
        <f>IF(Z$4&gt;DAY(EOMONTH(DATE($D$2,$B$2,1),0)),"",IFERROR(SUMIFS(DATA_GOC!$H:$H,DATA_GOC!$A:$A,"BOM",DATA_GOC!$D:$D,$B41,DATA_GOC!$E:$E,"Téc 1",DATA_GOC!$F:$F,"Xuất nội bộ từ téc",DATA_GOC!$B:$B,DATE($D$2,$B$2,Z$4)),0))</f>
        <v>0</v>
      </c>
      <c r="AA41" s="239">
        <f>IF(AA$4&gt;DAY(EOMONTH(DATE($D$2,$B$2,1),0)),"",IFERROR(SUMIFS(DATA_GOC!$H:$H,DATA_GOC!$A:$A,"BOM",DATA_GOC!$D:$D,$B41,DATA_GOC!$E:$E,"Téc 1",DATA_GOC!$F:$F,"Xuất nội bộ từ téc",DATA_GOC!$B:$B,DATE($D$2,$B$2,AA$4)),0))</f>
        <v>0</v>
      </c>
      <c r="AB41" s="239">
        <f>IF(AB$4&gt;DAY(EOMONTH(DATE($D$2,$B$2,1),0)),"",IFERROR(SUMIFS(DATA_GOC!$H:$H,DATA_GOC!$A:$A,"BOM",DATA_GOC!$D:$D,$B41,DATA_GOC!$E:$E,"Téc 1",DATA_GOC!$F:$F,"Xuất nội bộ từ téc",DATA_GOC!$B:$B,DATE($D$2,$B$2,AB$4)),0))</f>
        <v>0</v>
      </c>
      <c r="AC41" s="239">
        <f>IF(AC$4&gt;DAY(EOMONTH(DATE($D$2,$B$2,1),0)),"",IFERROR(SUMIFS(DATA_GOC!$H:$H,DATA_GOC!$A:$A,"BOM",DATA_GOC!$D:$D,$B41,DATA_GOC!$E:$E,"Téc 1",DATA_GOC!$F:$F,"Xuất nội bộ từ téc",DATA_GOC!$B:$B,DATE($D$2,$B$2,AC$4)),0))</f>
        <v>0</v>
      </c>
      <c r="AD41" s="239">
        <f>IF(AD$4&gt;DAY(EOMONTH(DATE($D$2,$B$2,1),0)),"",IFERROR(SUMIFS(DATA_GOC!$H:$H,DATA_GOC!$A:$A,"BOM",DATA_GOC!$D:$D,$B41,DATA_GOC!$E:$E,"Téc 1",DATA_GOC!$F:$F,"Xuất nội bộ từ téc",DATA_GOC!$B:$B,DATE($D$2,$B$2,AD$4)),0))</f>
        <v>0</v>
      </c>
      <c r="AE41" s="239">
        <f>IF(AE$4&gt;DAY(EOMONTH(DATE($D$2,$B$2,1),0)),"",IFERROR(SUMIFS(DATA_GOC!$H:$H,DATA_GOC!$A:$A,"BOM",DATA_GOC!$D:$D,$B41,DATA_GOC!$E:$E,"Téc 1",DATA_GOC!$F:$F,"Xuất nội bộ từ téc",DATA_GOC!$B:$B,DATE($D$2,$B$2,AE$4)),0))</f>
        <v>0</v>
      </c>
      <c r="AF41" s="239">
        <f>IF(AF$4&gt;DAY(EOMONTH(DATE($D$2,$B$2,1),0)),"",IFERROR(SUMIFS(DATA_GOC!$H:$H,DATA_GOC!$A:$A,"BOM",DATA_GOC!$D:$D,$B41,DATA_GOC!$E:$E,"Téc 1",DATA_GOC!$F:$F,"Xuất nội bộ từ téc",DATA_GOC!$B:$B,DATE($D$2,$B$2,AF$4)),0))</f>
        <v>0</v>
      </c>
      <c r="AG41" s="239">
        <f>IF(AG$4&gt;DAY(EOMONTH(DATE($D$2,$B$2,1),0)),"",IFERROR(SUMIFS(DATA_GOC!$H:$H,DATA_GOC!$A:$A,"BOM",DATA_GOC!$D:$D,$B41,DATA_GOC!$E:$E,"Téc 1",DATA_GOC!$F:$F,"Xuất nội bộ từ téc",DATA_GOC!$B:$B,DATE($D$2,$B$2,AG$4)),0))</f>
        <v>0</v>
      </c>
      <c r="AH41" s="240">
        <f t="shared" si="1"/>
        <v>0</v>
      </c>
      <c r="AI41" s="241"/>
      <c r="AJ41" s="239">
        <f>IF($B41="","",SUMIFS(TINH_TEC!$K$233:$K$9232,TINH_TEC!$H$233:$H$9232,$B41,TINH_TEC!$C$233:$C$9232,"Téc 1",TINH_TEC!$F$233:$F$9232,$B$2,TINH_TEC!$G$233:$G$9232,$D$2,TINH_TEC!$B$233:$B$9232,"Đã chốt"))</f>
        <v>0</v>
      </c>
      <c r="AK41" s="239">
        <f>IF($B41="","",SUMIFS(TINH_TEC!$J$233:$J$9232,TINH_TEC!$H$233:$H$9232,$B41,TINH_TEC!$C$233:$C$9232,"Téc 1",TINH_TEC!$F$233:$F$9232,$B$2,TINH_TEC!$G$233:$G$9232,$D$2,TINH_TEC!$B$233:$B$9232,"Đã chốt"))</f>
        <v>0</v>
      </c>
      <c r="AL41" s="239">
        <f t="shared" si="2"/>
        <v>0</v>
      </c>
    </row>
    <row r="42" ht="15.75" customHeight="1">
      <c r="A42" s="237">
        <f>IF($B42&lt;&gt;"",37,"")</f>
        <v>37</v>
      </c>
      <c r="B42" s="238" t="str">
        <f t="array" ref="B42">IFERROR(INDEX(DANH_MUC!$E:$E,40),"")</f>
        <v>28H00669</v>
      </c>
      <c r="C42" s="239">
        <f>IF(C$4&gt;DAY(EOMONTH(DATE($D$2,$B$2,1),0)),"",IFERROR(SUMIFS(DATA_GOC!$H:$H,DATA_GOC!$A:$A,"BOM",DATA_GOC!$D:$D,$B42,DATA_GOC!$E:$E,"Téc 1",DATA_GOC!$F:$F,"Xuất nội bộ từ téc",DATA_GOC!$B:$B,DATE($D$2,$B$2,C$4)),0))</f>
        <v>0</v>
      </c>
      <c r="D42" s="239">
        <f>IF(D$4&gt;DAY(EOMONTH(DATE($D$2,$B$2,1),0)),"",IFERROR(SUMIFS(DATA_GOC!$H:$H,DATA_GOC!$A:$A,"BOM",DATA_GOC!$D:$D,$B42,DATA_GOC!$E:$E,"Téc 1",DATA_GOC!$F:$F,"Xuất nội bộ từ téc",DATA_GOC!$B:$B,DATE($D$2,$B$2,D$4)),0))</f>
        <v>0</v>
      </c>
      <c r="E42" s="239">
        <f>IF(E$4&gt;DAY(EOMONTH(DATE($D$2,$B$2,1),0)),"",IFERROR(SUMIFS(DATA_GOC!$H:$H,DATA_GOC!$A:$A,"BOM",DATA_GOC!$D:$D,$B42,DATA_GOC!$E:$E,"Téc 1",DATA_GOC!$F:$F,"Xuất nội bộ từ téc",DATA_GOC!$B:$B,DATE($D$2,$B$2,E$4)),0))</f>
        <v>0</v>
      </c>
      <c r="F42" s="239">
        <f>IF(F$4&gt;DAY(EOMONTH(DATE($D$2,$B$2,1),0)),"",IFERROR(SUMIFS(DATA_GOC!$H:$H,DATA_GOC!$A:$A,"BOM",DATA_GOC!$D:$D,$B42,DATA_GOC!$E:$E,"Téc 1",DATA_GOC!$F:$F,"Xuất nội bộ từ téc",DATA_GOC!$B:$B,DATE($D$2,$B$2,F$4)),0))</f>
        <v>0</v>
      </c>
      <c r="G42" s="239">
        <f>IF(G$4&gt;DAY(EOMONTH(DATE($D$2,$B$2,1),0)),"",IFERROR(SUMIFS(DATA_GOC!$H:$H,DATA_GOC!$A:$A,"BOM",DATA_GOC!$D:$D,$B42,DATA_GOC!$E:$E,"Téc 1",DATA_GOC!$F:$F,"Xuất nội bộ từ téc",DATA_GOC!$B:$B,DATE($D$2,$B$2,G$4)),0))</f>
        <v>0</v>
      </c>
      <c r="H42" s="239">
        <f>IF(H$4&gt;DAY(EOMONTH(DATE($D$2,$B$2,1),0)),"",IFERROR(SUMIFS(DATA_GOC!$H:$H,DATA_GOC!$A:$A,"BOM",DATA_GOC!$D:$D,$B42,DATA_GOC!$E:$E,"Téc 1",DATA_GOC!$F:$F,"Xuất nội bộ từ téc",DATA_GOC!$B:$B,DATE($D$2,$B$2,H$4)),0))</f>
        <v>0</v>
      </c>
      <c r="I42" s="239">
        <f>IF(I$4&gt;DAY(EOMONTH(DATE($D$2,$B$2,1),0)),"",IFERROR(SUMIFS(DATA_GOC!$H:$H,DATA_GOC!$A:$A,"BOM",DATA_GOC!$D:$D,$B42,DATA_GOC!$E:$E,"Téc 1",DATA_GOC!$F:$F,"Xuất nội bộ từ téc",DATA_GOC!$B:$B,DATE($D$2,$B$2,I$4)),0))</f>
        <v>0</v>
      </c>
      <c r="J42" s="239">
        <f>IF(J$4&gt;DAY(EOMONTH(DATE($D$2,$B$2,1),0)),"",IFERROR(SUMIFS(DATA_GOC!$H:$H,DATA_GOC!$A:$A,"BOM",DATA_GOC!$D:$D,$B42,DATA_GOC!$E:$E,"Téc 1",DATA_GOC!$F:$F,"Xuất nội bộ từ téc",DATA_GOC!$B:$B,DATE($D$2,$B$2,J$4)),0))</f>
        <v>0</v>
      </c>
      <c r="K42" s="239">
        <f>IF(K$4&gt;DAY(EOMONTH(DATE($D$2,$B$2,1),0)),"",IFERROR(SUMIFS(DATA_GOC!$H:$H,DATA_GOC!$A:$A,"BOM",DATA_GOC!$D:$D,$B42,DATA_GOC!$E:$E,"Téc 1",DATA_GOC!$F:$F,"Xuất nội bộ từ téc",DATA_GOC!$B:$B,DATE($D$2,$B$2,K$4)),0))</f>
        <v>0</v>
      </c>
      <c r="L42" s="239">
        <f>IF(L$4&gt;DAY(EOMONTH(DATE($D$2,$B$2,1),0)),"",IFERROR(SUMIFS(DATA_GOC!$H:$H,DATA_GOC!$A:$A,"BOM",DATA_GOC!$D:$D,$B42,DATA_GOC!$E:$E,"Téc 1",DATA_GOC!$F:$F,"Xuất nội bộ từ téc",DATA_GOC!$B:$B,DATE($D$2,$B$2,L$4)),0))</f>
        <v>0</v>
      </c>
      <c r="M42" s="239">
        <f>IF(M$4&gt;DAY(EOMONTH(DATE($D$2,$B$2,1),0)),"",IFERROR(SUMIFS(DATA_GOC!$H:$H,DATA_GOC!$A:$A,"BOM",DATA_GOC!$D:$D,$B42,DATA_GOC!$E:$E,"Téc 1",DATA_GOC!$F:$F,"Xuất nội bộ từ téc",DATA_GOC!$B:$B,DATE($D$2,$B$2,M$4)),0))</f>
        <v>0</v>
      </c>
      <c r="N42" s="239">
        <f>IF(N$4&gt;DAY(EOMONTH(DATE($D$2,$B$2,1),0)),"",IFERROR(SUMIFS(DATA_GOC!$H:$H,DATA_GOC!$A:$A,"BOM",DATA_GOC!$D:$D,$B42,DATA_GOC!$E:$E,"Téc 1",DATA_GOC!$F:$F,"Xuất nội bộ từ téc",DATA_GOC!$B:$B,DATE($D$2,$B$2,N$4)),0))</f>
        <v>0</v>
      </c>
      <c r="O42" s="239">
        <f>IF(O$4&gt;DAY(EOMONTH(DATE($D$2,$B$2,1),0)),"",IFERROR(SUMIFS(DATA_GOC!$H:$H,DATA_GOC!$A:$A,"BOM",DATA_GOC!$D:$D,$B42,DATA_GOC!$E:$E,"Téc 1",DATA_GOC!$F:$F,"Xuất nội bộ từ téc",DATA_GOC!$B:$B,DATE($D$2,$B$2,O$4)),0))</f>
        <v>0</v>
      </c>
      <c r="P42" s="239">
        <f>IF(P$4&gt;DAY(EOMONTH(DATE($D$2,$B$2,1),0)),"",IFERROR(SUMIFS(DATA_GOC!$H:$H,DATA_GOC!$A:$A,"BOM",DATA_GOC!$D:$D,$B42,DATA_GOC!$E:$E,"Téc 1",DATA_GOC!$F:$F,"Xuất nội bộ từ téc",DATA_GOC!$B:$B,DATE($D$2,$B$2,P$4)),0))</f>
        <v>0</v>
      </c>
      <c r="Q42" s="239">
        <f>IF(Q$4&gt;DAY(EOMONTH(DATE($D$2,$B$2,1),0)),"",IFERROR(SUMIFS(DATA_GOC!$H:$H,DATA_GOC!$A:$A,"BOM",DATA_GOC!$D:$D,$B42,DATA_GOC!$E:$E,"Téc 1",DATA_GOC!$F:$F,"Xuất nội bộ từ téc",DATA_GOC!$B:$B,DATE($D$2,$B$2,Q$4)),0))</f>
        <v>0</v>
      </c>
      <c r="R42" s="239">
        <f>IF(R$4&gt;DAY(EOMONTH(DATE($D$2,$B$2,1),0)),"",IFERROR(SUMIFS(DATA_GOC!$H:$H,DATA_GOC!$A:$A,"BOM",DATA_GOC!$D:$D,$B42,DATA_GOC!$E:$E,"Téc 1",DATA_GOC!$F:$F,"Xuất nội bộ từ téc",DATA_GOC!$B:$B,DATE($D$2,$B$2,R$4)),0))</f>
        <v>0</v>
      </c>
      <c r="S42" s="239">
        <f>IF(S$4&gt;DAY(EOMONTH(DATE($D$2,$B$2,1),0)),"",IFERROR(SUMIFS(DATA_GOC!$H:$H,DATA_GOC!$A:$A,"BOM",DATA_GOC!$D:$D,$B42,DATA_GOC!$E:$E,"Téc 1",DATA_GOC!$F:$F,"Xuất nội bộ từ téc",DATA_GOC!$B:$B,DATE($D$2,$B$2,S$4)),0))</f>
        <v>0</v>
      </c>
      <c r="T42" s="239">
        <f>IF(T$4&gt;DAY(EOMONTH(DATE($D$2,$B$2,1),0)),"",IFERROR(SUMIFS(DATA_GOC!$H:$H,DATA_GOC!$A:$A,"BOM",DATA_GOC!$D:$D,$B42,DATA_GOC!$E:$E,"Téc 1",DATA_GOC!$F:$F,"Xuất nội bộ từ téc",DATA_GOC!$B:$B,DATE($D$2,$B$2,T$4)),0))</f>
        <v>0</v>
      </c>
      <c r="U42" s="239">
        <f>IF(U$4&gt;DAY(EOMONTH(DATE($D$2,$B$2,1),0)),"",IFERROR(SUMIFS(DATA_GOC!$H:$H,DATA_GOC!$A:$A,"BOM",DATA_GOC!$D:$D,$B42,DATA_GOC!$E:$E,"Téc 1",DATA_GOC!$F:$F,"Xuất nội bộ từ téc",DATA_GOC!$B:$B,DATE($D$2,$B$2,U$4)),0))</f>
        <v>0</v>
      </c>
      <c r="V42" s="239">
        <f>IF(V$4&gt;DAY(EOMONTH(DATE($D$2,$B$2,1),0)),"",IFERROR(SUMIFS(DATA_GOC!$H:$H,DATA_GOC!$A:$A,"BOM",DATA_GOC!$D:$D,$B42,DATA_GOC!$E:$E,"Téc 1",DATA_GOC!$F:$F,"Xuất nội bộ từ téc",DATA_GOC!$B:$B,DATE($D$2,$B$2,V$4)),0))</f>
        <v>0</v>
      </c>
      <c r="W42" s="239">
        <f>IF(W$4&gt;DAY(EOMONTH(DATE($D$2,$B$2,1),0)),"",IFERROR(SUMIFS(DATA_GOC!$H:$H,DATA_GOC!$A:$A,"BOM",DATA_GOC!$D:$D,$B42,DATA_GOC!$E:$E,"Téc 1",DATA_GOC!$F:$F,"Xuất nội bộ từ téc",DATA_GOC!$B:$B,DATE($D$2,$B$2,W$4)),0))</f>
        <v>0</v>
      </c>
      <c r="X42" s="239">
        <f>IF(X$4&gt;DAY(EOMONTH(DATE($D$2,$B$2,1),0)),"",IFERROR(SUMIFS(DATA_GOC!$H:$H,DATA_GOC!$A:$A,"BOM",DATA_GOC!$D:$D,$B42,DATA_GOC!$E:$E,"Téc 1",DATA_GOC!$F:$F,"Xuất nội bộ từ téc",DATA_GOC!$B:$B,DATE($D$2,$B$2,X$4)),0))</f>
        <v>0</v>
      </c>
      <c r="Y42" s="239">
        <f>IF(Y$4&gt;DAY(EOMONTH(DATE($D$2,$B$2,1),0)),"",IFERROR(SUMIFS(DATA_GOC!$H:$H,DATA_GOC!$A:$A,"BOM",DATA_GOC!$D:$D,$B42,DATA_GOC!$E:$E,"Téc 1",DATA_GOC!$F:$F,"Xuất nội bộ từ téc",DATA_GOC!$B:$B,DATE($D$2,$B$2,Y$4)),0))</f>
        <v>0</v>
      </c>
      <c r="Z42" s="239">
        <f>IF(Z$4&gt;DAY(EOMONTH(DATE($D$2,$B$2,1),0)),"",IFERROR(SUMIFS(DATA_GOC!$H:$H,DATA_GOC!$A:$A,"BOM",DATA_GOC!$D:$D,$B42,DATA_GOC!$E:$E,"Téc 1",DATA_GOC!$F:$F,"Xuất nội bộ từ téc",DATA_GOC!$B:$B,DATE($D$2,$B$2,Z$4)),0))</f>
        <v>0</v>
      </c>
      <c r="AA42" s="239">
        <f>IF(AA$4&gt;DAY(EOMONTH(DATE($D$2,$B$2,1),0)),"",IFERROR(SUMIFS(DATA_GOC!$H:$H,DATA_GOC!$A:$A,"BOM",DATA_GOC!$D:$D,$B42,DATA_GOC!$E:$E,"Téc 1",DATA_GOC!$F:$F,"Xuất nội bộ từ téc",DATA_GOC!$B:$B,DATE($D$2,$B$2,AA$4)),0))</f>
        <v>0</v>
      </c>
      <c r="AB42" s="239">
        <f>IF(AB$4&gt;DAY(EOMONTH(DATE($D$2,$B$2,1),0)),"",IFERROR(SUMIFS(DATA_GOC!$H:$H,DATA_GOC!$A:$A,"BOM",DATA_GOC!$D:$D,$B42,DATA_GOC!$E:$E,"Téc 1",DATA_GOC!$F:$F,"Xuất nội bộ từ téc",DATA_GOC!$B:$B,DATE($D$2,$B$2,AB$4)),0))</f>
        <v>0</v>
      </c>
      <c r="AC42" s="239">
        <f>IF(AC$4&gt;DAY(EOMONTH(DATE($D$2,$B$2,1),0)),"",IFERROR(SUMIFS(DATA_GOC!$H:$H,DATA_GOC!$A:$A,"BOM",DATA_GOC!$D:$D,$B42,DATA_GOC!$E:$E,"Téc 1",DATA_GOC!$F:$F,"Xuất nội bộ từ téc",DATA_GOC!$B:$B,DATE($D$2,$B$2,AC$4)),0))</f>
        <v>0</v>
      </c>
      <c r="AD42" s="239">
        <f>IF(AD$4&gt;DAY(EOMONTH(DATE($D$2,$B$2,1),0)),"",IFERROR(SUMIFS(DATA_GOC!$H:$H,DATA_GOC!$A:$A,"BOM",DATA_GOC!$D:$D,$B42,DATA_GOC!$E:$E,"Téc 1",DATA_GOC!$F:$F,"Xuất nội bộ từ téc",DATA_GOC!$B:$B,DATE($D$2,$B$2,AD$4)),0))</f>
        <v>0</v>
      </c>
      <c r="AE42" s="239">
        <f>IF(AE$4&gt;DAY(EOMONTH(DATE($D$2,$B$2,1),0)),"",IFERROR(SUMIFS(DATA_GOC!$H:$H,DATA_GOC!$A:$A,"BOM",DATA_GOC!$D:$D,$B42,DATA_GOC!$E:$E,"Téc 1",DATA_GOC!$F:$F,"Xuất nội bộ từ téc",DATA_GOC!$B:$B,DATE($D$2,$B$2,AE$4)),0))</f>
        <v>0</v>
      </c>
      <c r="AF42" s="239">
        <f>IF(AF$4&gt;DAY(EOMONTH(DATE($D$2,$B$2,1),0)),"",IFERROR(SUMIFS(DATA_GOC!$H:$H,DATA_GOC!$A:$A,"BOM",DATA_GOC!$D:$D,$B42,DATA_GOC!$E:$E,"Téc 1",DATA_GOC!$F:$F,"Xuất nội bộ từ téc",DATA_GOC!$B:$B,DATE($D$2,$B$2,AF$4)),0))</f>
        <v>0</v>
      </c>
      <c r="AG42" s="239">
        <f>IF(AG$4&gt;DAY(EOMONTH(DATE($D$2,$B$2,1),0)),"",IFERROR(SUMIFS(DATA_GOC!$H:$H,DATA_GOC!$A:$A,"BOM",DATA_GOC!$D:$D,$B42,DATA_GOC!$E:$E,"Téc 1",DATA_GOC!$F:$F,"Xuất nội bộ từ téc",DATA_GOC!$B:$B,DATE($D$2,$B$2,AG$4)),0))</f>
        <v>0</v>
      </c>
      <c r="AH42" s="240">
        <f t="shared" si="1"/>
        <v>0</v>
      </c>
      <c r="AI42" s="241"/>
      <c r="AJ42" s="239">
        <f>IF($B42="","",SUMIFS(TINH_TEC!$K$233:$K$9232,TINH_TEC!$H$233:$H$9232,$B42,TINH_TEC!$C$233:$C$9232,"Téc 1",TINH_TEC!$F$233:$F$9232,$B$2,TINH_TEC!$G$233:$G$9232,$D$2,TINH_TEC!$B$233:$B$9232,"Đã chốt"))</f>
        <v>0</v>
      </c>
      <c r="AK42" s="239">
        <f>IF($B42="","",SUMIFS(TINH_TEC!$J$233:$J$9232,TINH_TEC!$H$233:$H$9232,$B42,TINH_TEC!$C$233:$C$9232,"Téc 1",TINH_TEC!$F$233:$F$9232,$B$2,TINH_TEC!$G$233:$G$9232,$D$2,TINH_TEC!$B$233:$B$9232,"Đã chốt"))</f>
        <v>0</v>
      </c>
      <c r="AL42" s="239">
        <f t="shared" si="2"/>
        <v>0</v>
      </c>
    </row>
    <row r="43" ht="15.75" customHeight="1">
      <c r="A43" s="237">
        <f>IF($B43&lt;&gt;"",38,"")</f>
        <v>38</v>
      </c>
      <c r="B43" s="238" t="str">
        <f t="array" ref="B43">IFERROR(INDEX(DANH_MUC!$E:$E,41),"")</f>
        <v>28H00680</v>
      </c>
      <c r="C43" s="239">
        <f>IF(C$4&gt;DAY(EOMONTH(DATE($D$2,$B$2,1),0)),"",IFERROR(SUMIFS(DATA_GOC!$H:$H,DATA_GOC!$A:$A,"BOM",DATA_GOC!$D:$D,$B43,DATA_GOC!$E:$E,"Téc 1",DATA_GOC!$F:$F,"Xuất nội bộ từ téc",DATA_GOC!$B:$B,DATE($D$2,$B$2,C$4)),0))</f>
        <v>0</v>
      </c>
      <c r="D43" s="239">
        <f>IF(D$4&gt;DAY(EOMONTH(DATE($D$2,$B$2,1),0)),"",IFERROR(SUMIFS(DATA_GOC!$H:$H,DATA_GOC!$A:$A,"BOM",DATA_GOC!$D:$D,$B43,DATA_GOC!$E:$E,"Téc 1",DATA_GOC!$F:$F,"Xuất nội bộ từ téc",DATA_GOC!$B:$B,DATE($D$2,$B$2,D$4)),0))</f>
        <v>0</v>
      </c>
      <c r="E43" s="239">
        <f>IF(E$4&gt;DAY(EOMONTH(DATE($D$2,$B$2,1),0)),"",IFERROR(SUMIFS(DATA_GOC!$H:$H,DATA_GOC!$A:$A,"BOM",DATA_GOC!$D:$D,$B43,DATA_GOC!$E:$E,"Téc 1",DATA_GOC!$F:$F,"Xuất nội bộ từ téc",DATA_GOC!$B:$B,DATE($D$2,$B$2,E$4)),0))</f>
        <v>0</v>
      </c>
      <c r="F43" s="239">
        <f>IF(F$4&gt;DAY(EOMONTH(DATE($D$2,$B$2,1),0)),"",IFERROR(SUMIFS(DATA_GOC!$H:$H,DATA_GOC!$A:$A,"BOM",DATA_GOC!$D:$D,$B43,DATA_GOC!$E:$E,"Téc 1",DATA_GOC!$F:$F,"Xuất nội bộ từ téc",DATA_GOC!$B:$B,DATE($D$2,$B$2,F$4)),0))</f>
        <v>0</v>
      </c>
      <c r="G43" s="239">
        <f>IF(G$4&gt;DAY(EOMONTH(DATE($D$2,$B$2,1),0)),"",IFERROR(SUMIFS(DATA_GOC!$H:$H,DATA_GOC!$A:$A,"BOM",DATA_GOC!$D:$D,$B43,DATA_GOC!$E:$E,"Téc 1",DATA_GOC!$F:$F,"Xuất nội bộ từ téc",DATA_GOC!$B:$B,DATE($D$2,$B$2,G$4)),0))</f>
        <v>0</v>
      </c>
      <c r="H43" s="239">
        <f>IF(H$4&gt;DAY(EOMONTH(DATE($D$2,$B$2,1),0)),"",IFERROR(SUMIFS(DATA_GOC!$H:$H,DATA_GOC!$A:$A,"BOM",DATA_GOC!$D:$D,$B43,DATA_GOC!$E:$E,"Téc 1",DATA_GOC!$F:$F,"Xuất nội bộ từ téc",DATA_GOC!$B:$B,DATE($D$2,$B$2,H$4)),0))</f>
        <v>0</v>
      </c>
      <c r="I43" s="239">
        <f>IF(I$4&gt;DAY(EOMONTH(DATE($D$2,$B$2,1),0)),"",IFERROR(SUMIFS(DATA_GOC!$H:$H,DATA_GOC!$A:$A,"BOM",DATA_GOC!$D:$D,$B43,DATA_GOC!$E:$E,"Téc 1",DATA_GOC!$F:$F,"Xuất nội bộ từ téc",DATA_GOC!$B:$B,DATE($D$2,$B$2,I$4)),0))</f>
        <v>0</v>
      </c>
      <c r="J43" s="239">
        <f>IF(J$4&gt;DAY(EOMONTH(DATE($D$2,$B$2,1),0)),"",IFERROR(SUMIFS(DATA_GOC!$H:$H,DATA_GOC!$A:$A,"BOM",DATA_GOC!$D:$D,$B43,DATA_GOC!$E:$E,"Téc 1",DATA_GOC!$F:$F,"Xuất nội bộ từ téc",DATA_GOC!$B:$B,DATE($D$2,$B$2,J$4)),0))</f>
        <v>0</v>
      </c>
      <c r="K43" s="239">
        <f>IF(K$4&gt;DAY(EOMONTH(DATE($D$2,$B$2,1),0)),"",IFERROR(SUMIFS(DATA_GOC!$H:$H,DATA_GOC!$A:$A,"BOM",DATA_GOC!$D:$D,$B43,DATA_GOC!$E:$E,"Téc 1",DATA_GOC!$F:$F,"Xuất nội bộ từ téc",DATA_GOC!$B:$B,DATE($D$2,$B$2,K$4)),0))</f>
        <v>0</v>
      </c>
      <c r="L43" s="239">
        <f>IF(L$4&gt;DAY(EOMONTH(DATE($D$2,$B$2,1),0)),"",IFERROR(SUMIFS(DATA_GOC!$H:$H,DATA_GOC!$A:$A,"BOM",DATA_GOC!$D:$D,$B43,DATA_GOC!$E:$E,"Téc 1",DATA_GOC!$F:$F,"Xuất nội bộ từ téc",DATA_GOC!$B:$B,DATE($D$2,$B$2,L$4)),0))</f>
        <v>0</v>
      </c>
      <c r="M43" s="239">
        <f>IF(M$4&gt;DAY(EOMONTH(DATE($D$2,$B$2,1),0)),"",IFERROR(SUMIFS(DATA_GOC!$H:$H,DATA_GOC!$A:$A,"BOM",DATA_GOC!$D:$D,$B43,DATA_GOC!$E:$E,"Téc 1",DATA_GOC!$F:$F,"Xuất nội bộ từ téc",DATA_GOC!$B:$B,DATE($D$2,$B$2,M$4)),0))</f>
        <v>0</v>
      </c>
      <c r="N43" s="239">
        <f>IF(N$4&gt;DAY(EOMONTH(DATE($D$2,$B$2,1),0)),"",IFERROR(SUMIFS(DATA_GOC!$H:$H,DATA_GOC!$A:$A,"BOM",DATA_GOC!$D:$D,$B43,DATA_GOC!$E:$E,"Téc 1",DATA_GOC!$F:$F,"Xuất nội bộ từ téc",DATA_GOC!$B:$B,DATE($D$2,$B$2,N$4)),0))</f>
        <v>0</v>
      </c>
      <c r="O43" s="239">
        <f>IF(O$4&gt;DAY(EOMONTH(DATE($D$2,$B$2,1),0)),"",IFERROR(SUMIFS(DATA_GOC!$H:$H,DATA_GOC!$A:$A,"BOM",DATA_GOC!$D:$D,$B43,DATA_GOC!$E:$E,"Téc 1",DATA_GOC!$F:$F,"Xuất nội bộ từ téc",DATA_GOC!$B:$B,DATE($D$2,$B$2,O$4)),0))</f>
        <v>0</v>
      </c>
      <c r="P43" s="239">
        <f>IF(P$4&gt;DAY(EOMONTH(DATE($D$2,$B$2,1),0)),"",IFERROR(SUMIFS(DATA_GOC!$H:$H,DATA_GOC!$A:$A,"BOM",DATA_GOC!$D:$D,$B43,DATA_GOC!$E:$E,"Téc 1",DATA_GOC!$F:$F,"Xuất nội bộ từ téc",DATA_GOC!$B:$B,DATE($D$2,$B$2,P$4)),0))</f>
        <v>0</v>
      </c>
      <c r="Q43" s="239">
        <f>IF(Q$4&gt;DAY(EOMONTH(DATE($D$2,$B$2,1),0)),"",IFERROR(SUMIFS(DATA_GOC!$H:$H,DATA_GOC!$A:$A,"BOM",DATA_GOC!$D:$D,$B43,DATA_GOC!$E:$E,"Téc 1",DATA_GOC!$F:$F,"Xuất nội bộ từ téc",DATA_GOC!$B:$B,DATE($D$2,$B$2,Q$4)),0))</f>
        <v>0</v>
      </c>
      <c r="R43" s="239">
        <f>IF(R$4&gt;DAY(EOMONTH(DATE($D$2,$B$2,1),0)),"",IFERROR(SUMIFS(DATA_GOC!$H:$H,DATA_GOC!$A:$A,"BOM",DATA_GOC!$D:$D,$B43,DATA_GOC!$E:$E,"Téc 1",DATA_GOC!$F:$F,"Xuất nội bộ từ téc",DATA_GOC!$B:$B,DATE($D$2,$B$2,R$4)),0))</f>
        <v>0</v>
      </c>
      <c r="S43" s="239">
        <f>IF(S$4&gt;DAY(EOMONTH(DATE($D$2,$B$2,1),0)),"",IFERROR(SUMIFS(DATA_GOC!$H:$H,DATA_GOC!$A:$A,"BOM",DATA_GOC!$D:$D,$B43,DATA_GOC!$E:$E,"Téc 1",DATA_GOC!$F:$F,"Xuất nội bộ từ téc",DATA_GOC!$B:$B,DATE($D$2,$B$2,S$4)),0))</f>
        <v>0</v>
      </c>
      <c r="T43" s="239">
        <f>IF(T$4&gt;DAY(EOMONTH(DATE($D$2,$B$2,1),0)),"",IFERROR(SUMIFS(DATA_GOC!$H:$H,DATA_GOC!$A:$A,"BOM",DATA_GOC!$D:$D,$B43,DATA_GOC!$E:$E,"Téc 1",DATA_GOC!$F:$F,"Xuất nội bộ từ téc",DATA_GOC!$B:$B,DATE($D$2,$B$2,T$4)),0))</f>
        <v>0</v>
      </c>
      <c r="U43" s="239">
        <f>IF(U$4&gt;DAY(EOMONTH(DATE($D$2,$B$2,1),0)),"",IFERROR(SUMIFS(DATA_GOC!$H:$H,DATA_GOC!$A:$A,"BOM",DATA_GOC!$D:$D,$B43,DATA_GOC!$E:$E,"Téc 1",DATA_GOC!$F:$F,"Xuất nội bộ từ téc",DATA_GOC!$B:$B,DATE($D$2,$B$2,U$4)),0))</f>
        <v>0</v>
      </c>
      <c r="V43" s="239">
        <f>IF(V$4&gt;DAY(EOMONTH(DATE($D$2,$B$2,1),0)),"",IFERROR(SUMIFS(DATA_GOC!$H:$H,DATA_GOC!$A:$A,"BOM",DATA_GOC!$D:$D,$B43,DATA_GOC!$E:$E,"Téc 1",DATA_GOC!$F:$F,"Xuất nội bộ từ téc",DATA_GOC!$B:$B,DATE($D$2,$B$2,V$4)),0))</f>
        <v>0</v>
      </c>
      <c r="W43" s="239">
        <f>IF(W$4&gt;DAY(EOMONTH(DATE($D$2,$B$2,1),0)),"",IFERROR(SUMIFS(DATA_GOC!$H:$H,DATA_GOC!$A:$A,"BOM",DATA_GOC!$D:$D,$B43,DATA_GOC!$E:$E,"Téc 1",DATA_GOC!$F:$F,"Xuất nội bộ từ téc",DATA_GOC!$B:$B,DATE($D$2,$B$2,W$4)),0))</f>
        <v>0</v>
      </c>
      <c r="X43" s="239">
        <f>IF(X$4&gt;DAY(EOMONTH(DATE($D$2,$B$2,1),0)),"",IFERROR(SUMIFS(DATA_GOC!$H:$H,DATA_GOC!$A:$A,"BOM",DATA_GOC!$D:$D,$B43,DATA_GOC!$E:$E,"Téc 1",DATA_GOC!$F:$F,"Xuất nội bộ từ téc",DATA_GOC!$B:$B,DATE($D$2,$B$2,X$4)),0))</f>
        <v>0</v>
      </c>
      <c r="Y43" s="239">
        <f>IF(Y$4&gt;DAY(EOMONTH(DATE($D$2,$B$2,1),0)),"",IFERROR(SUMIFS(DATA_GOC!$H:$H,DATA_GOC!$A:$A,"BOM",DATA_GOC!$D:$D,$B43,DATA_GOC!$E:$E,"Téc 1",DATA_GOC!$F:$F,"Xuất nội bộ từ téc",DATA_GOC!$B:$B,DATE($D$2,$B$2,Y$4)),0))</f>
        <v>0</v>
      </c>
      <c r="Z43" s="239">
        <f>IF(Z$4&gt;DAY(EOMONTH(DATE($D$2,$B$2,1),0)),"",IFERROR(SUMIFS(DATA_GOC!$H:$H,DATA_GOC!$A:$A,"BOM",DATA_GOC!$D:$D,$B43,DATA_GOC!$E:$E,"Téc 1",DATA_GOC!$F:$F,"Xuất nội bộ từ téc",DATA_GOC!$B:$B,DATE($D$2,$B$2,Z$4)),0))</f>
        <v>0</v>
      </c>
      <c r="AA43" s="239">
        <f>IF(AA$4&gt;DAY(EOMONTH(DATE($D$2,$B$2,1),0)),"",IFERROR(SUMIFS(DATA_GOC!$H:$H,DATA_GOC!$A:$A,"BOM",DATA_GOC!$D:$D,$B43,DATA_GOC!$E:$E,"Téc 1",DATA_GOC!$F:$F,"Xuất nội bộ từ téc",DATA_GOC!$B:$B,DATE($D$2,$B$2,AA$4)),0))</f>
        <v>0</v>
      </c>
      <c r="AB43" s="239">
        <f>IF(AB$4&gt;DAY(EOMONTH(DATE($D$2,$B$2,1),0)),"",IFERROR(SUMIFS(DATA_GOC!$H:$H,DATA_GOC!$A:$A,"BOM",DATA_GOC!$D:$D,$B43,DATA_GOC!$E:$E,"Téc 1",DATA_GOC!$F:$F,"Xuất nội bộ từ téc",DATA_GOC!$B:$B,DATE($D$2,$B$2,AB$4)),0))</f>
        <v>0</v>
      </c>
      <c r="AC43" s="239">
        <f>IF(AC$4&gt;DAY(EOMONTH(DATE($D$2,$B$2,1),0)),"",IFERROR(SUMIFS(DATA_GOC!$H:$H,DATA_GOC!$A:$A,"BOM",DATA_GOC!$D:$D,$B43,DATA_GOC!$E:$E,"Téc 1",DATA_GOC!$F:$F,"Xuất nội bộ từ téc",DATA_GOC!$B:$B,DATE($D$2,$B$2,AC$4)),0))</f>
        <v>0</v>
      </c>
      <c r="AD43" s="239">
        <f>IF(AD$4&gt;DAY(EOMONTH(DATE($D$2,$B$2,1),0)),"",IFERROR(SUMIFS(DATA_GOC!$H:$H,DATA_GOC!$A:$A,"BOM",DATA_GOC!$D:$D,$B43,DATA_GOC!$E:$E,"Téc 1",DATA_GOC!$F:$F,"Xuất nội bộ từ téc",DATA_GOC!$B:$B,DATE($D$2,$B$2,AD$4)),0))</f>
        <v>0</v>
      </c>
      <c r="AE43" s="239">
        <f>IF(AE$4&gt;DAY(EOMONTH(DATE($D$2,$B$2,1),0)),"",IFERROR(SUMIFS(DATA_GOC!$H:$H,DATA_GOC!$A:$A,"BOM",DATA_GOC!$D:$D,$B43,DATA_GOC!$E:$E,"Téc 1",DATA_GOC!$F:$F,"Xuất nội bộ từ téc",DATA_GOC!$B:$B,DATE($D$2,$B$2,AE$4)),0))</f>
        <v>0</v>
      </c>
      <c r="AF43" s="239">
        <f>IF(AF$4&gt;DAY(EOMONTH(DATE($D$2,$B$2,1),0)),"",IFERROR(SUMIFS(DATA_GOC!$H:$H,DATA_GOC!$A:$A,"BOM",DATA_GOC!$D:$D,$B43,DATA_GOC!$E:$E,"Téc 1",DATA_GOC!$F:$F,"Xuất nội bộ từ téc",DATA_GOC!$B:$B,DATE($D$2,$B$2,AF$4)),0))</f>
        <v>0</v>
      </c>
      <c r="AG43" s="239">
        <f>IF(AG$4&gt;DAY(EOMONTH(DATE($D$2,$B$2,1),0)),"",IFERROR(SUMIFS(DATA_GOC!$H:$H,DATA_GOC!$A:$A,"BOM",DATA_GOC!$D:$D,$B43,DATA_GOC!$E:$E,"Téc 1",DATA_GOC!$F:$F,"Xuất nội bộ từ téc",DATA_GOC!$B:$B,DATE($D$2,$B$2,AG$4)),0))</f>
        <v>0</v>
      </c>
      <c r="AH43" s="240">
        <f t="shared" si="1"/>
        <v>0</v>
      </c>
      <c r="AI43" s="241"/>
      <c r="AJ43" s="239">
        <f>IF($B43="","",SUMIFS(TINH_TEC!$K$233:$K$9232,TINH_TEC!$H$233:$H$9232,$B43,TINH_TEC!$C$233:$C$9232,"Téc 1",TINH_TEC!$F$233:$F$9232,$B$2,TINH_TEC!$G$233:$G$9232,$D$2,TINH_TEC!$B$233:$B$9232,"Đã chốt"))</f>
        <v>0</v>
      </c>
      <c r="AK43" s="239">
        <f>IF($B43="","",SUMIFS(TINH_TEC!$J$233:$J$9232,TINH_TEC!$H$233:$H$9232,$B43,TINH_TEC!$C$233:$C$9232,"Téc 1",TINH_TEC!$F$233:$F$9232,$B$2,TINH_TEC!$G$233:$G$9232,$D$2,TINH_TEC!$B$233:$B$9232,"Đã chốt"))</f>
        <v>0</v>
      </c>
      <c r="AL43" s="239">
        <f t="shared" si="2"/>
        <v>0</v>
      </c>
    </row>
    <row r="44" ht="15.75" customHeight="1">
      <c r="A44" s="237">
        <f>IF($B44&lt;&gt;"",39,"")</f>
        <v>39</v>
      </c>
      <c r="B44" s="238" t="str">
        <f t="array" ref="B44">IFERROR(INDEX(DANH_MUC!$E:$E,42),"")</f>
        <v>28H01070</v>
      </c>
      <c r="C44" s="239">
        <f>IF(C$4&gt;DAY(EOMONTH(DATE($D$2,$B$2,1),0)),"",IFERROR(SUMIFS(DATA_GOC!$H:$H,DATA_GOC!$A:$A,"BOM",DATA_GOC!$D:$D,$B44,DATA_GOC!$E:$E,"Téc 1",DATA_GOC!$F:$F,"Xuất nội bộ từ téc",DATA_GOC!$B:$B,DATE($D$2,$B$2,C$4)),0))</f>
        <v>0</v>
      </c>
      <c r="D44" s="239">
        <f>IF(D$4&gt;DAY(EOMONTH(DATE($D$2,$B$2,1),0)),"",IFERROR(SUMIFS(DATA_GOC!$H:$H,DATA_GOC!$A:$A,"BOM",DATA_GOC!$D:$D,$B44,DATA_GOC!$E:$E,"Téc 1",DATA_GOC!$F:$F,"Xuất nội bộ từ téc",DATA_GOC!$B:$B,DATE($D$2,$B$2,D$4)),0))</f>
        <v>0</v>
      </c>
      <c r="E44" s="239">
        <f>IF(E$4&gt;DAY(EOMONTH(DATE($D$2,$B$2,1),0)),"",IFERROR(SUMIFS(DATA_GOC!$H:$H,DATA_GOC!$A:$A,"BOM",DATA_GOC!$D:$D,$B44,DATA_GOC!$E:$E,"Téc 1",DATA_GOC!$F:$F,"Xuất nội bộ từ téc",DATA_GOC!$B:$B,DATE($D$2,$B$2,E$4)),0))</f>
        <v>0</v>
      </c>
      <c r="F44" s="239">
        <f>IF(F$4&gt;DAY(EOMONTH(DATE($D$2,$B$2,1),0)),"",IFERROR(SUMIFS(DATA_GOC!$H:$H,DATA_GOC!$A:$A,"BOM",DATA_GOC!$D:$D,$B44,DATA_GOC!$E:$E,"Téc 1",DATA_GOC!$F:$F,"Xuất nội bộ từ téc",DATA_GOC!$B:$B,DATE($D$2,$B$2,F$4)),0))</f>
        <v>0</v>
      </c>
      <c r="G44" s="239">
        <f>IF(G$4&gt;DAY(EOMONTH(DATE($D$2,$B$2,1),0)),"",IFERROR(SUMIFS(DATA_GOC!$H:$H,DATA_GOC!$A:$A,"BOM",DATA_GOC!$D:$D,$B44,DATA_GOC!$E:$E,"Téc 1",DATA_GOC!$F:$F,"Xuất nội bộ từ téc",DATA_GOC!$B:$B,DATE($D$2,$B$2,G$4)),0))</f>
        <v>0</v>
      </c>
      <c r="H44" s="239">
        <f>IF(H$4&gt;DAY(EOMONTH(DATE($D$2,$B$2,1),0)),"",IFERROR(SUMIFS(DATA_GOC!$H:$H,DATA_GOC!$A:$A,"BOM",DATA_GOC!$D:$D,$B44,DATA_GOC!$E:$E,"Téc 1",DATA_GOC!$F:$F,"Xuất nội bộ từ téc",DATA_GOC!$B:$B,DATE($D$2,$B$2,H$4)),0))</f>
        <v>0</v>
      </c>
      <c r="I44" s="239">
        <f>IF(I$4&gt;DAY(EOMONTH(DATE($D$2,$B$2,1),0)),"",IFERROR(SUMIFS(DATA_GOC!$H:$H,DATA_GOC!$A:$A,"BOM",DATA_GOC!$D:$D,$B44,DATA_GOC!$E:$E,"Téc 1",DATA_GOC!$F:$F,"Xuất nội bộ từ téc",DATA_GOC!$B:$B,DATE($D$2,$B$2,I$4)),0))</f>
        <v>0</v>
      </c>
      <c r="J44" s="239">
        <f>IF(J$4&gt;DAY(EOMONTH(DATE($D$2,$B$2,1),0)),"",IFERROR(SUMIFS(DATA_GOC!$H:$H,DATA_GOC!$A:$A,"BOM",DATA_GOC!$D:$D,$B44,DATA_GOC!$E:$E,"Téc 1",DATA_GOC!$F:$F,"Xuất nội bộ từ téc",DATA_GOC!$B:$B,DATE($D$2,$B$2,J$4)),0))</f>
        <v>0</v>
      </c>
      <c r="K44" s="239">
        <f>IF(K$4&gt;DAY(EOMONTH(DATE($D$2,$B$2,1),0)),"",IFERROR(SUMIFS(DATA_GOC!$H:$H,DATA_GOC!$A:$A,"BOM",DATA_GOC!$D:$D,$B44,DATA_GOC!$E:$E,"Téc 1",DATA_GOC!$F:$F,"Xuất nội bộ từ téc",DATA_GOC!$B:$B,DATE($D$2,$B$2,K$4)),0))</f>
        <v>0</v>
      </c>
      <c r="L44" s="239">
        <f>IF(L$4&gt;DAY(EOMONTH(DATE($D$2,$B$2,1),0)),"",IFERROR(SUMIFS(DATA_GOC!$H:$H,DATA_GOC!$A:$A,"BOM",DATA_GOC!$D:$D,$B44,DATA_GOC!$E:$E,"Téc 1",DATA_GOC!$F:$F,"Xuất nội bộ từ téc",DATA_GOC!$B:$B,DATE($D$2,$B$2,L$4)),0))</f>
        <v>0</v>
      </c>
      <c r="M44" s="239">
        <f>IF(M$4&gt;DAY(EOMONTH(DATE($D$2,$B$2,1),0)),"",IFERROR(SUMIFS(DATA_GOC!$H:$H,DATA_GOC!$A:$A,"BOM",DATA_GOC!$D:$D,$B44,DATA_GOC!$E:$E,"Téc 1",DATA_GOC!$F:$F,"Xuất nội bộ từ téc",DATA_GOC!$B:$B,DATE($D$2,$B$2,M$4)),0))</f>
        <v>0</v>
      </c>
      <c r="N44" s="239">
        <f>IF(N$4&gt;DAY(EOMONTH(DATE($D$2,$B$2,1),0)),"",IFERROR(SUMIFS(DATA_GOC!$H:$H,DATA_GOC!$A:$A,"BOM",DATA_GOC!$D:$D,$B44,DATA_GOC!$E:$E,"Téc 1",DATA_GOC!$F:$F,"Xuất nội bộ từ téc",DATA_GOC!$B:$B,DATE($D$2,$B$2,N$4)),0))</f>
        <v>0</v>
      </c>
      <c r="O44" s="239">
        <f>IF(O$4&gt;DAY(EOMONTH(DATE($D$2,$B$2,1),0)),"",IFERROR(SUMIFS(DATA_GOC!$H:$H,DATA_GOC!$A:$A,"BOM",DATA_GOC!$D:$D,$B44,DATA_GOC!$E:$E,"Téc 1",DATA_GOC!$F:$F,"Xuất nội bộ từ téc",DATA_GOC!$B:$B,DATE($D$2,$B$2,O$4)),0))</f>
        <v>0</v>
      </c>
      <c r="P44" s="239">
        <f>IF(P$4&gt;DAY(EOMONTH(DATE($D$2,$B$2,1),0)),"",IFERROR(SUMIFS(DATA_GOC!$H:$H,DATA_GOC!$A:$A,"BOM",DATA_GOC!$D:$D,$B44,DATA_GOC!$E:$E,"Téc 1",DATA_GOC!$F:$F,"Xuất nội bộ từ téc",DATA_GOC!$B:$B,DATE($D$2,$B$2,P$4)),0))</f>
        <v>0</v>
      </c>
      <c r="Q44" s="239">
        <f>IF(Q$4&gt;DAY(EOMONTH(DATE($D$2,$B$2,1),0)),"",IFERROR(SUMIFS(DATA_GOC!$H:$H,DATA_GOC!$A:$A,"BOM",DATA_GOC!$D:$D,$B44,DATA_GOC!$E:$E,"Téc 1",DATA_GOC!$F:$F,"Xuất nội bộ từ téc",DATA_GOC!$B:$B,DATE($D$2,$B$2,Q$4)),0))</f>
        <v>0</v>
      </c>
      <c r="R44" s="239">
        <f>IF(R$4&gt;DAY(EOMONTH(DATE($D$2,$B$2,1),0)),"",IFERROR(SUMIFS(DATA_GOC!$H:$H,DATA_GOC!$A:$A,"BOM",DATA_GOC!$D:$D,$B44,DATA_GOC!$E:$E,"Téc 1",DATA_GOC!$F:$F,"Xuất nội bộ từ téc",DATA_GOC!$B:$B,DATE($D$2,$B$2,R$4)),0))</f>
        <v>0</v>
      </c>
      <c r="S44" s="239">
        <f>IF(S$4&gt;DAY(EOMONTH(DATE($D$2,$B$2,1),0)),"",IFERROR(SUMIFS(DATA_GOC!$H:$H,DATA_GOC!$A:$A,"BOM",DATA_GOC!$D:$D,$B44,DATA_GOC!$E:$E,"Téc 1",DATA_GOC!$F:$F,"Xuất nội bộ từ téc",DATA_GOC!$B:$B,DATE($D$2,$B$2,S$4)),0))</f>
        <v>0</v>
      </c>
      <c r="T44" s="239">
        <f>IF(T$4&gt;DAY(EOMONTH(DATE($D$2,$B$2,1),0)),"",IFERROR(SUMIFS(DATA_GOC!$H:$H,DATA_GOC!$A:$A,"BOM",DATA_GOC!$D:$D,$B44,DATA_GOC!$E:$E,"Téc 1",DATA_GOC!$F:$F,"Xuất nội bộ từ téc",DATA_GOC!$B:$B,DATE($D$2,$B$2,T$4)),0))</f>
        <v>0</v>
      </c>
      <c r="U44" s="239">
        <f>IF(U$4&gt;DAY(EOMONTH(DATE($D$2,$B$2,1),0)),"",IFERROR(SUMIFS(DATA_GOC!$H:$H,DATA_GOC!$A:$A,"BOM",DATA_GOC!$D:$D,$B44,DATA_GOC!$E:$E,"Téc 1",DATA_GOC!$F:$F,"Xuất nội bộ từ téc",DATA_GOC!$B:$B,DATE($D$2,$B$2,U$4)),0))</f>
        <v>0</v>
      </c>
      <c r="V44" s="239">
        <f>IF(V$4&gt;DAY(EOMONTH(DATE($D$2,$B$2,1),0)),"",IFERROR(SUMIFS(DATA_GOC!$H:$H,DATA_GOC!$A:$A,"BOM",DATA_GOC!$D:$D,$B44,DATA_GOC!$E:$E,"Téc 1",DATA_GOC!$F:$F,"Xuất nội bộ từ téc",DATA_GOC!$B:$B,DATE($D$2,$B$2,V$4)),0))</f>
        <v>0</v>
      </c>
      <c r="W44" s="239">
        <f>IF(W$4&gt;DAY(EOMONTH(DATE($D$2,$B$2,1),0)),"",IFERROR(SUMIFS(DATA_GOC!$H:$H,DATA_GOC!$A:$A,"BOM",DATA_GOC!$D:$D,$B44,DATA_GOC!$E:$E,"Téc 1",DATA_GOC!$F:$F,"Xuất nội bộ từ téc",DATA_GOC!$B:$B,DATE($D$2,$B$2,W$4)),0))</f>
        <v>0</v>
      </c>
      <c r="X44" s="239">
        <f>IF(X$4&gt;DAY(EOMONTH(DATE($D$2,$B$2,1),0)),"",IFERROR(SUMIFS(DATA_GOC!$H:$H,DATA_GOC!$A:$A,"BOM",DATA_GOC!$D:$D,$B44,DATA_GOC!$E:$E,"Téc 1",DATA_GOC!$F:$F,"Xuất nội bộ từ téc",DATA_GOC!$B:$B,DATE($D$2,$B$2,X$4)),0))</f>
        <v>0</v>
      </c>
      <c r="Y44" s="239">
        <f>IF(Y$4&gt;DAY(EOMONTH(DATE($D$2,$B$2,1),0)),"",IFERROR(SUMIFS(DATA_GOC!$H:$H,DATA_GOC!$A:$A,"BOM",DATA_GOC!$D:$D,$B44,DATA_GOC!$E:$E,"Téc 1",DATA_GOC!$F:$F,"Xuất nội bộ từ téc",DATA_GOC!$B:$B,DATE($D$2,$B$2,Y$4)),0))</f>
        <v>0</v>
      </c>
      <c r="Z44" s="239">
        <f>IF(Z$4&gt;DAY(EOMONTH(DATE($D$2,$B$2,1),0)),"",IFERROR(SUMIFS(DATA_GOC!$H:$H,DATA_GOC!$A:$A,"BOM",DATA_GOC!$D:$D,$B44,DATA_GOC!$E:$E,"Téc 1",DATA_GOC!$F:$F,"Xuất nội bộ từ téc",DATA_GOC!$B:$B,DATE($D$2,$B$2,Z$4)),0))</f>
        <v>0</v>
      </c>
      <c r="AA44" s="239">
        <f>IF(AA$4&gt;DAY(EOMONTH(DATE($D$2,$B$2,1),0)),"",IFERROR(SUMIFS(DATA_GOC!$H:$H,DATA_GOC!$A:$A,"BOM",DATA_GOC!$D:$D,$B44,DATA_GOC!$E:$E,"Téc 1",DATA_GOC!$F:$F,"Xuất nội bộ từ téc",DATA_GOC!$B:$B,DATE($D$2,$B$2,AA$4)),0))</f>
        <v>0</v>
      </c>
      <c r="AB44" s="239">
        <f>IF(AB$4&gt;DAY(EOMONTH(DATE($D$2,$B$2,1),0)),"",IFERROR(SUMIFS(DATA_GOC!$H:$H,DATA_GOC!$A:$A,"BOM",DATA_GOC!$D:$D,$B44,DATA_GOC!$E:$E,"Téc 1",DATA_GOC!$F:$F,"Xuất nội bộ từ téc",DATA_GOC!$B:$B,DATE($D$2,$B$2,AB$4)),0))</f>
        <v>0</v>
      </c>
      <c r="AC44" s="239">
        <f>IF(AC$4&gt;DAY(EOMONTH(DATE($D$2,$B$2,1),0)),"",IFERROR(SUMIFS(DATA_GOC!$H:$H,DATA_GOC!$A:$A,"BOM",DATA_GOC!$D:$D,$B44,DATA_GOC!$E:$E,"Téc 1",DATA_GOC!$F:$F,"Xuất nội bộ từ téc",DATA_GOC!$B:$B,DATE($D$2,$B$2,AC$4)),0))</f>
        <v>0</v>
      </c>
      <c r="AD44" s="239">
        <f>IF(AD$4&gt;DAY(EOMONTH(DATE($D$2,$B$2,1),0)),"",IFERROR(SUMIFS(DATA_GOC!$H:$H,DATA_GOC!$A:$A,"BOM",DATA_GOC!$D:$D,$B44,DATA_GOC!$E:$E,"Téc 1",DATA_GOC!$F:$F,"Xuất nội bộ từ téc",DATA_GOC!$B:$B,DATE($D$2,$B$2,AD$4)),0))</f>
        <v>0</v>
      </c>
      <c r="AE44" s="239">
        <f>IF(AE$4&gt;DAY(EOMONTH(DATE($D$2,$B$2,1),0)),"",IFERROR(SUMIFS(DATA_GOC!$H:$H,DATA_GOC!$A:$A,"BOM",DATA_GOC!$D:$D,$B44,DATA_GOC!$E:$E,"Téc 1",DATA_GOC!$F:$F,"Xuất nội bộ từ téc",DATA_GOC!$B:$B,DATE($D$2,$B$2,AE$4)),0))</f>
        <v>0</v>
      </c>
      <c r="AF44" s="239">
        <f>IF(AF$4&gt;DAY(EOMONTH(DATE($D$2,$B$2,1),0)),"",IFERROR(SUMIFS(DATA_GOC!$H:$H,DATA_GOC!$A:$A,"BOM",DATA_GOC!$D:$D,$B44,DATA_GOC!$E:$E,"Téc 1",DATA_GOC!$F:$F,"Xuất nội bộ từ téc",DATA_GOC!$B:$B,DATE($D$2,$B$2,AF$4)),0))</f>
        <v>0</v>
      </c>
      <c r="AG44" s="239">
        <f>IF(AG$4&gt;DAY(EOMONTH(DATE($D$2,$B$2,1),0)),"",IFERROR(SUMIFS(DATA_GOC!$H:$H,DATA_GOC!$A:$A,"BOM",DATA_GOC!$D:$D,$B44,DATA_GOC!$E:$E,"Téc 1",DATA_GOC!$F:$F,"Xuất nội bộ từ téc",DATA_GOC!$B:$B,DATE($D$2,$B$2,AG$4)),0))</f>
        <v>0</v>
      </c>
      <c r="AH44" s="240">
        <f t="shared" si="1"/>
        <v>0</v>
      </c>
      <c r="AI44" s="241"/>
      <c r="AJ44" s="239">
        <f>IF($B44="","",SUMIFS(TINH_TEC!$K$233:$K$9232,TINH_TEC!$H$233:$H$9232,$B44,TINH_TEC!$C$233:$C$9232,"Téc 1",TINH_TEC!$F$233:$F$9232,$B$2,TINH_TEC!$G$233:$G$9232,$D$2,TINH_TEC!$B$233:$B$9232,"Đã chốt"))</f>
        <v>0</v>
      </c>
      <c r="AK44" s="239">
        <f>IF($B44="","",SUMIFS(TINH_TEC!$J$233:$J$9232,TINH_TEC!$H$233:$H$9232,$B44,TINH_TEC!$C$233:$C$9232,"Téc 1",TINH_TEC!$F$233:$F$9232,$B$2,TINH_TEC!$G$233:$G$9232,$D$2,TINH_TEC!$B$233:$B$9232,"Đã chốt"))</f>
        <v>0</v>
      </c>
      <c r="AL44" s="239">
        <f t="shared" si="2"/>
        <v>0</v>
      </c>
    </row>
    <row r="45" ht="15.75" customHeight="1">
      <c r="A45" s="237">
        <f>IF($B45&lt;&gt;"",40,"")</f>
        <v>40</v>
      </c>
      <c r="B45" s="238" t="str">
        <f t="array" ref="B45">IFERROR(INDEX(DANH_MUC!$E:$E,43),"")</f>
        <v>28H01364</v>
      </c>
      <c r="C45" s="239">
        <f>IF(C$4&gt;DAY(EOMONTH(DATE($D$2,$B$2,1),0)),"",IFERROR(SUMIFS(DATA_GOC!$H:$H,DATA_GOC!$A:$A,"BOM",DATA_GOC!$D:$D,$B45,DATA_GOC!$E:$E,"Téc 1",DATA_GOC!$F:$F,"Xuất nội bộ từ téc",DATA_GOC!$B:$B,DATE($D$2,$B$2,C$4)),0))</f>
        <v>0</v>
      </c>
      <c r="D45" s="239">
        <f>IF(D$4&gt;DAY(EOMONTH(DATE($D$2,$B$2,1),0)),"",IFERROR(SUMIFS(DATA_GOC!$H:$H,DATA_GOC!$A:$A,"BOM",DATA_GOC!$D:$D,$B45,DATA_GOC!$E:$E,"Téc 1",DATA_GOC!$F:$F,"Xuất nội bộ từ téc",DATA_GOC!$B:$B,DATE($D$2,$B$2,D$4)),0))</f>
        <v>0</v>
      </c>
      <c r="E45" s="239">
        <f>IF(E$4&gt;DAY(EOMONTH(DATE($D$2,$B$2,1),0)),"",IFERROR(SUMIFS(DATA_GOC!$H:$H,DATA_GOC!$A:$A,"BOM",DATA_GOC!$D:$D,$B45,DATA_GOC!$E:$E,"Téc 1",DATA_GOC!$F:$F,"Xuất nội bộ từ téc",DATA_GOC!$B:$B,DATE($D$2,$B$2,E$4)),0))</f>
        <v>0</v>
      </c>
      <c r="F45" s="239">
        <f>IF(F$4&gt;DAY(EOMONTH(DATE($D$2,$B$2,1),0)),"",IFERROR(SUMIFS(DATA_GOC!$H:$H,DATA_GOC!$A:$A,"BOM",DATA_GOC!$D:$D,$B45,DATA_GOC!$E:$E,"Téc 1",DATA_GOC!$F:$F,"Xuất nội bộ từ téc",DATA_GOC!$B:$B,DATE($D$2,$B$2,F$4)),0))</f>
        <v>0</v>
      </c>
      <c r="G45" s="239">
        <f>IF(G$4&gt;DAY(EOMONTH(DATE($D$2,$B$2,1),0)),"",IFERROR(SUMIFS(DATA_GOC!$H:$H,DATA_GOC!$A:$A,"BOM",DATA_GOC!$D:$D,$B45,DATA_GOC!$E:$E,"Téc 1",DATA_GOC!$F:$F,"Xuất nội bộ từ téc",DATA_GOC!$B:$B,DATE($D$2,$B$2,G$4)),0))</f>
        <v>0</v>
      </c>
      <c r="H45" s="239">
        <f>IF(H$4&gt;DAY(EOMONTH(DATE($D$2,$B$2,1),0)),"",IFERROR(SUMIFS(DATA_GOC!$H:$H,DATA_GOC!$A:$A,"BOM",DATA_GOC!$D:$D,$B45,DATA_GOC!$E:$E,"Téc 1",DATA_GOC!$F:$F,"Xuất nội bộ từ téc",DATA_GOC!$B:$B,DATE($D$2,$B$2,H$4)),0))</f>
        <v>0</v>
      </c>
      <c r="I45" s="239">
        <f>IF(I$4&gt;DAY(EOMONTH(DATE($D$2,$B$2,1),0)),"",IFERROR(SUMIFS(DATA_GOC!$H:$H,DATA_GOC!$A:$A,"BOM",DATA_GOC!$D:$D,$B45,DATA_GOC!$E:$E,"Téc 1",DATA_GOC!$F:$F,"Xuất nội bộ từ téc",DATA_GOC!$B:$B,DATE($D$2,$B$2,I$4)),0))</f>
        <v>0</v>
      </c>
      <c r="J45" s="239">
        <f>IF(J$4&gt;DAY(EOMONTH(DATE($D$2,$B$2,1),0)),"",IFERROR(SUMIFS(DATA_GOC!$H:$H,DATA_GOC!$A:$A,"BOM",DATA_GOC!$D:$D,$B45,DATA_GOC!$E:$E,"Téc 1",DATA_GOC!$F:$F,"Xuất nội bộ từ téc",DATA_GOC!$B:$B,DATE($D$2,$B$2,J$4)),0))</f>
        <v>0</v>
      </c>
      <c r="K45" s="239">
        <f>IF(K$4&gt;DAY(EOMONTH(DATE($D$2,$B$2,1),0)),"",IFERROR(SUMIFS(DATA_GOC!$H:$H,DATA_GOC!$A:$A,"BOM",DATA_GOC!$D:$D,$B45,DATA_GOC!$E:$E,"Téc 1",DATA_GOC!$F:$F,"Xuất nội bộ từ téc",DATA_GOC!$B:$B,DATE($D$2,$B$2,K$4)),0))</f>
        <v>0</v>
      </c>
      <c r="L45" s="239">
        <f>IF(L$4&gt;DAY(EOMONTH(DATE($D$2,$B$2,1),0)),"",IFERROR(SUMIFS(DATA_GOC!$H:$H,DATA_GOC!$A:$A,"BOM",DATA_GOC!$D:$D,$B45,DATA_GOC!$E:$E,"Téc 1",DATA_GOC!$F:$F,"Xuất nội bộ từ téc",DATA_GOC!$B:$B,DATE($D$2,$B$2,L$4)),0))</f>
        <v>0</v>
      </c>
      <c r="M45" s="239">
        <f>IF(M$4&gt;DAY(EOMONTH(DATE($D$2,$B$2,1),0)),"",IFERROR(SUMIFS(DATA_GOC!$H:$H,DATA_GOC!$A:$A,"BOM",DATA_GOC!$D:$D,$B45,DATA_GOC!$E:$E,"Téc 1",DATA_GOC!$F:$F,"Xuất nội bộ từ téc",DATA_GOC!$B:$B,DATE($D$2,$B$2,M$4)),0))</f>
        <v>0</v>
      </c>
      <c r="N45" s="239">
        <f>IF(N$4&gt;DAY(EOMONTH(DATE($D$2,$B$2,1),0)),"",IFERROR(SUMIFS(DATA_GOC!$H:$H,DATA_GOC!$A:$A,"BOM",DATA_GOC!$D:$D,$B45,DATA_GOC!$E:$E,"Téc 1",DATA_GOC!$F:$F,"Xuất nội bộ từ téc",DATA_GOC!$B:$B,DATE($D$2,$B$2,N$4)),0))</f>
        <v>0</v>
      </c>
      <c r="O45" s="239">
        <f>IF(O$4&gt;DAY(EOMONTH(DATE($D$2,$B$2,1),0)),"",IFERROR(SUMIFS(DATA_GOC!$H:$H,DATA_GOC!$A:$A,"BOM",DATA_GOC!$D:$D,$B45,DATA_GOC!$E:$E,"Téc 1",DATA_GOC!$F:$F,"Xuất nội bộ từ téc",DATA_GOC!$B:$B,DATE($D$2,$B$2,O$4)),0))</f>
        <v>0</v>
      </c>
      <c r="P45" s="239">
        <f>IF(P$4&gt;DAY(EOMONTH(DATE($D$2,$B$2,1),0)),"",IFERROR(SUMIFS(DATA_GOC!$H:$H,DATA_GOC!$A:$A,"BOM",DATA_GOC!$D:$D,$B45,DATA_GOC!$E:$E,"Téc 1",DATA_GOC!$F:$F,"Xuất nội bộ từ téc",DATA_GOC!$B:$B,DATE($D$2,$B$2,P$4)),0))</f>
        <v>0</v>
      </c>
      <c r="Q45" s="239">
        <f>IF(Q$4&gt;DAY(EOMONTH(DATE($D$2,$B$2,1),0)),"",IFERROR(SUMIFS(DATA_GOC!$H:$H,DATA_GOC!$A:$A,"BOM",DATA_GOC!$D:$D,$B45,DATA_GOC!$E:$E,"Téc 1",DATA_GOC!$F:$F,"Xuất nội bộ từ téc",DATA_GOC!$B:$B,DATE($D$2,$B$2,Q$4)),0))</f>
        <v>0</v>
      </c>
      <c r="R45" s="239">
        <f>IF(R$4&gt;DAY(EOMONTH(DATE($D$2,$B$2,1),0)),"",IFERROR(SUMIFS(DATA_GOC!$H:$H,DATA_GOC!$A:$A,"BOM",DATA_GOC!$D:$D,$B45,DATA_GOC!$E:$E,"Téc 1",DATA_GOC!$F:$F,"Xuất nội bộ từ téc",DATA_GOC!$B:$B,DATE($D$2,$B$2,R$4)),0))</f>
        <v>0</v>
      </c>
      <c r="S45" s="239">
        <f>IF(S$4&gt;DAY(EOMONTH(DATE($D$2,$B$2,1),0)),"",IFERROR(SUMIFS(DATA_GOC!$H:$H,DATA_GOC!$A:$A,"BOM",DATA_GOC!$D:$D,$B45,DATA_GOC!$E:$E,"Téc 1",DATA_GOC!$F:$F,"Xuất nội bộ từ téc",DATA_GOC!$B:$B,DATE($D$2,$B$2,S$4)),0))</f>
        <v>0</v>
      </c>
      <c r="T45" s="239">
        <f>IF(T$4&gt;DAY(EOMONTH(DATE($D$2,$B$2,1),0)),"",IFERROR(SUMIFS(DATA_GOC!$H:$H,DATA_GOC!$A:$A,"BOM",DATA_GOC!$D:$D,$B45,DATA_GOC!$E:$E,"Téc 1",DATA_GOC!$F:$F,"Xuất nội bộ từ téc",DATA_GOC!$B:$B,DATE($D$2,$B$2,T$4)),0))</f>
        <v>0</v>
      </c>
      <c r="U45" s="239">
        <f>IF(U$4&gt;DAY(EOMONTH(DATE($D$2,$B$2,1),0)),"",IFERROR(SUMIFS(DATA_GOC!$H:$H,DATA_GOC!$A:$A,"BOM",DATA_GOC!$D:$D,$B45,DATA_GOC!$E:$E,"Téc 1",DATA_GOC!$F:$F,"Xuất nội bộ từ téc",DATA_GOC!$B:$B,DATE($D$2,$B$2,U$4)),0))</f>
        <v>0</v>
      </c>
      <c r="V45" s="239">
        <f>IF(V$4&gt;DAY(EOMONTH(DATE($D$2,$B$2,1),0)),"",IFERROR(SUMIFS(DATA_GOC!$H:$H,DATA_GOC!$A:$A,"BOM",DATA_GOC!$D:$D,$B45,DATA_GOC!$E:$E,"Téc 1",DATA_GOC!$F:$F,"Xuất nội bộ từ téc",DATA_GOC!$B:$B,DATE($D$2,$B$2,V$4)),0))</f>
        <v>0</v>
      </c>
      <c r="W45" s="239">
        <f>IF(W$4&gt;DAY(EOMONTH(DATE($D$2,$B$2,1),0)),"",IFERROR(SUMIFS(DATA_GOC!$H:$H,DATA_GOC!$A:$A,"BOM",DATA_GOC!$D:$D,$B45,DATA_GOC!$E:$E,"Téc 1",DATA_GOC!$F:$F,"Xuất nội bộ từ téc",DATA_GOC!$B:$B,DATE($D$2,$B$2,W$4)),0))</f>
        <v>0</v>
      </c>
      <c r="X45" s="239">
        <f>IF(X$4&gt;DAY(EOMONTH(DATE($D$2,$B$2,1),0)),"",IFERROR(SUMIFS(DATA_GOC!$H:$H,DATA_GOC!$A:$A,"BOM",DATA_GOC!$D:$D,$B45,DATA_GOC!$E:$E,"Téc 1",DATA_GOC!$F:$F,"Xuất nội bộ từ téc",DATA_GOC!$B:$B,DATE($D$2,$B$2,X$4)),0))</f>
        <v>0</v>
      </c>
      <c r="Y45" s="239">
        <f>IF(Y$4&gt;DAY(EOMONTH(DATE($D$2,$B$2,1),0)),"",IFERROR(SUMIFS(DATA_GOC!$H:$H,DATA_GOC!$A:$A,"BOM",DATA_GOC!$D:$D,$B45,DATA_GOC!$E:$E,"Téc 1",DATA_GOC!$F:$F,"Xuất nội bộ từ téc",DATA_GOC!$B:$B,DATE($D$2,$B$2,Y$4)),0))</f>
        <v>0</v>
      </c>
      <c r="Z45" s="239">
        <f>IF(Z$4&gt;DAY(EOMONTH(DATE($D$2,$B$2,1),0)),"",IFERROR(SUMIFS(DATA_GOC!$H:$H,DATA_GOC!$A:$A,"BOM",DATA_GOC!$D:$D,$B45,DATA_GOC!$E:$E,"Téc 1",DATA_GOC!$F:$F,"Xuất nội bộ từ téc",DATA_GOC!$B:$B,DATE($D$2,$B$2,Z$4)),0))</f>
        <v>0</v>
      </c>
      <c r="AA45" s="239">
        <f>IF(AA$4&gt;DAY(EOMONTH(DATE($D$2,$B$2,1),0)),"",IFERROR(SUMIFS(DATA_GOC!$H:$H,DATA_GOC!$A:$A,"BOM",DATA_GOC!$D:$D,$B45,DATA_GOC!$E:$E,"Téc 1",DATA_GOC!$F:$F,"Xuất nội bộ từ téc",DATA_GOC!$B:$B,DATE($D$2,$B$2,AA$4)),0))</f>
        <v>0</v>
      </c>
      <c r="AB45" s="239">
        <f>IF(AB$4&gt;DAY(EOMONTH(DATE($D$2,$B$2,1),0)),"",IFERROR(SUMIFS(DATA_GOC!$H:$H,DATA_GOC!$A:$A,"BOM",DATA_GOC!$D:$D,$B45,DATA_GOC!$E:$E,"Téc 1",DATA_GOC!$F:$F,"Xuất nội bộ từ téc",DATA_GOC!$B:$B,DATE($D$2,$B$2,AB$4)),0))</f>
        <v>0</v>
      </c>
      <c r="AC45" s="239">
        <f>IF(AC$4&gt;DAY(EOMONTH(DATE($D$2,$B$2,1),0)),"",IFERROR(SUMIFS(DATA_GOC!$H:$H,DATA_GOC!$A:$A,"BOM",DATA_GOC!$D:$D,$B45,DATA_GOC!$E:$E,"Téc 1",DATA_GOC!$F:$F,"Xuất nội bộ từ téc",DATA_GOC!$B:$B,DATE($D$2,$B$2,AC$4)),0))</f>
        <v>0</v>
      </c>
      <c r="AD45" s="239">
        <f>IF(AD$4&gt;DAY(EOMONTH(DATE($D$2,$B$2,1),0)),"",IFERROR(SUMIFS(DATA_GOC!$H:$H,DATA_GOC!$A:$A,"BOM",DATA_GOC!$D:$D,$B45,DATA_GOC!$E:$E,"Téc 1",DATA_GOC!$F:$F,"Xuất nội bộ từ téc",DATA_GOC!$B:$B,DATE($D$2,$B$2,AD$4)),0))</f>
        <v>0</v>
      </c>
      <c r="AE45" s="239">
        <f>IF(AE$4&gt;DAY(EOMONTH(DATE($D$2,$B$2,1),0)),"",IFERROR(SUMIFS(DATA_GOC!$H:$H,DATA_GOC!$A:$A,"BOM",DATA_GOC!$D:$D,$B45,DATA_GOC!$E:$E,"Téc 1",DATA_GOC!$F:$F,"Xuất nội bộ từ téc",DATA_GOC!$B:$B,DATE($D$2,$B$2,AE$4)),0))</f>
        <v>0</v>
      </c>
      <c r="AF45" s="239">
        <f>IF(AF$4&gt;DAY(EOMONTH(DATE($D$2,$B$2,1),0)),"",IFERROR(SUMIFS(DATA_GOC!$H:$H,DATA_GOC!$A:$A,"BOM",DATA_GOC!$D:$D,$B45,DATA_GOC!$E:$E,"Téc 1",DATA_GOC!$F:$F,"Xuất nội bộ từ téc",DATA_GOC!$B:$B,DATE($D$2,$B$2,AF$4)),0))</f>
        <v>0</v>
      </c>
      <c r="AG45" s="239">
        <f>IF(AG$4&gt;DAY(EOMONTH(DATE($D$2,$B$2,1),0)),"",IFERROR(SUMIFS(DATA_GOC!$H:$H,DATA_GOC!$A:$A,"BOM",DATA_GOC!$D:$D,$B45,DATA_GOC!$E:$E,"Téc 1",DATA_GOC!$F:$F,"Xuất nội bộ từ téc",DATA_GOC!$B:$B,DATE($D$2,$B$2,AG$4)),0))</f>
        <v>0</v>
      </c>
      <c r="AH45" s="240">
        <f t="shared" si="1"/>
        <v>0</v>
      </c>
      <c r="AI45" s="241"/>
      <c r="AJ45" s="239">
        <f>IF($B45="","",SUMIFS(TINH_TEC!$K$233:$K$9232,TINH_TEC!$H$233:$H$9232,$B45,TINH_TEC!$C$233:$C$9232,"Téc 1",TINH_TEC!$F$233:$F$9232,$B$2,TINH_TEC!$G$233:$G$9232,$D$2,TINH_TEC!$B$233:$B$9232,"Đã chốt"))</f>
        <v>0</v>
      </c>
      <c r="AK45" s="239">
        <f>IF($B45="","",SUMIFS(TINH_TEC!$J$233:$J$9232,TINH_TEC!$H$233:$H$9232,$B45,TINH_TEC!$C$233:$C$9232,"Téc 1",TINH_TEC!$F$233:$F$9232,$B$2,TINH_TEC!$G$233:$G$9232,$D$2,TINH_TEC!$B$233:$B$9232,"Đã chốt"))</f>
        <v>0</v>
      </c>
      <c r="AL45" s="239">
        <f t="shared" si="2"/>
        <v>0</v>
      </c>
    </row>
    <row r="46" ht="15.75" customHeight="1">
      <c r="A46" s="237">
        <f>IF($B46&lt;&gt;"",41,"")</f>
        <v>41</v>
      </c>
      <c r="B46" s="238" t="str">
        <f t="array" ref="B46">IFERROR(INDEX(DANH_MUC!$E:$E,44),"")</f>
        <v>29E17269</v>
      </c>
      <c r="C46" s="239">
        <f>IF(C$4&gt;DAY(EOMONTH(DATE($D$2,$B$2,1),0)),"",IFERROR(SUMIFS(DATA_GOC!$H:$H,DATA_GOC!$A:$A,"BOM",DATA_GOC!$D:$D,$B46,DATA_GOC!$E:$E,"Téc 1",DATA_GOC!$F:$F,"Xuất nội bộ từ téc",DATA_GOC!$B:$B,DATE($D$2,$B$2,C$4)),0))</f>
        <v>0</v>
      </c>
      <c r="D46" s="239">
        <f>IF(D$4&gt;DAY(EOMONTH(DATE($D$2,$B$2,1),0)),"",IFERROR(SUMIFS(DATA_GOC!$H:$H,DATA_GOC!$A:$A,"BOM",DATA_GOC!$D:$D,$B46,DATA_GOC!$E:$E,"Téc 1",DATA_GOC!$F:$F,"Xuất nội bộ từ téc",DATA_GOC!$B:$B,DATE($D$2,$B$2,D$4)),0))</f>
        <v>0</v>
      </c>
      <c r="E46" s="239">
        <f>IF(E$4&gt;DAY(EOMONTH(DATE($D$2,$B$2,1),0)),"",IFERROR(SUMIFS(DATA_GOC!$H:$H,DATA_GOC!$A:$A,"BOM",DATA_GOC!$D:$D,$B46,DATA_GOC!$E:$E,"Téc 1",DATA_GOC!$F:$F,"Xuất nội bộ từ téc",DATA_GOC!$B:$B,DATE($D$2,$B$2,E$4)),0))</f>
        <v>0</v>
      </c>
      <c r="F46" s="239">
        <f>IF(F$4&gt;DAY(EOMONTH(DATE($D$2,$B$2,1),0)),"",IFERROR(SUMIFS(DATA_GOC!$H:$H,DATA_GOC!$A:$A,"BOM",DATA_GOC!$D:$D,$B46,DATA_GOC!$E:$E,"Téc 1",DATA_GOC!$F:$F,"Xuất nội bộ từ téc",DATA_GOC!$B:$B,DATE($D$2,$B$2,F$4)),0))</f>
        <v>0</v>
      </c>
      <c r="G46" s="239">
        <f>IF(G$4&gt;DAY(EOMONTH(DATE($D$2,$B$2,1),0)),"",IFERROR(SUMIFS(DATA_GOC!$H:$H,DATA_GOC!$A:$A,"BOM",DATA_GOC!$D:$D,$B46,DATA_GOC!$E:$E,"Téc 1",DATA_GOC!$F:$F,"Xuất nội bộ từ téc",DATA_GOC!$B:$B,DATE($D$2,$B$2,G$4)),0))</f>
        <v>0</v>
      </c>
      <c r="H46" s="239">
        <f>IF(H$4&gt;DAY(EOMONTH(DATE($D$2,$B$2,1),0)),"",IFERROR(SUMIFS(DATA_GOC!$H:$H,DATA_GOC!$A:$A,"BOM",DATA_GOC!$D:$D,$B46,DATA_GOC!$E:$E,"Téc 1",DATA_GOC!$F:$F,"Xuất nội bộ từ téc",DATA_GOC!$B:$B,DATE($D$2,$B$2,H$4)),0))</f>
        <v>0</v>
      </c>
      <c r="I46" s="239">
        <f>IF(I$4&gt;DAY(EOMONTH(DATE($D$2,$B$2,1),0)),"",IFERROR(SUMIFS(DATA_GOC!$H:$H,DATA_GOC!$A:$A,"BOM",DATA_GOC!$D:$D,$B46,DATA_GOC!$E:$E,"Téc 1",DATA_GOC!$F:$F,"Xuất nội bộ từ téc",DATA_GOC!$B:$B,DATE($D$2,$B$2,I$4)),0))</f>
        <v>0</v>
      </c>
      <c r="J46" s="239">
        <f>IF(J$4&gt;DAY(EOMONTH(DATE($D$2,$B$2,1),0)),"",IFERROR(SUMIFS(DATA_GOC!$H:$H,DATA_GOC!$A:$A,"BOM",DATA_GOC!$D:$D,$B46,DATA_GOC!$E:$E,"Téc 1",DATA_GOC!$F:$F,"Xuất nội bộ từ téc",DATA_GOC!$B:$B,DATE($D$2,$B$2,J$4)),0))</f>
        <v>0</v>
      </c>
      <c r="K46" s="239">
        <f>IF(K$4&gt;DAY(EOMONTH(DATE($D$2,$B$2,1),0)),"",IFERROR(SUMIFS(DATA_GOC!$H:$H,DATA_GOC!$A:$A,"BOM",DATA_GOC!$D:$D,$B46,DATA_GOC!$E:$E,"Téc 1",DATA_GOC!$F:$F,"Xuất nội bộ từ téc",DATA_GOC!$B:$B,DATE($D$2,$B$2,K$4)),0))</f>
        <v>0</v>
      </c>
      <c r="L46" s="239">
        <f>IF(L$4&gt;DAY(EOMONTH(DATE($D$2,$B$2,1),0)),"",IFERROR(SUMIFS(DATA_GOC!$H:$H,DATA_GOC!$A:$A,"BOM",DATA_GOC!$D:$D,$B46,DATA_GOC!$E:$E,"Téc 1",DATA_GOC!$F:$F,"Xuất nội bộ từ téc",DATA_GOC!$B:$B,DATE($D$2,$B$2,L$4)),0))</f>
        <v>0</v>
      </c>
      <c r="M46" s="239">
        <f>IF(M$4&gt;DAY(EOMONTH(DATE($D$2,$B$2,1),0)),"",IFERROR(SUMIFS(DATA_GOC!$H:$H,DATA_GOC!$A:$A,"BOM",DATA_GOC!$D:$D,$B46,DATA_GOC!$E:$E,"Téc 1",DATA_GOC!$F:$F,"Xuất nội bộ từ téc",DATA_GOC!$B:$B,DATE($D$2,$B$2,M$4)),0))</f>
        <v>0</v>
      </c>
      <c r="N46" s="239">
        <f>IF(N$4&gt;DAY(EOMONTH(DATE($D$2,$B$2,1),0)),"",IFERROR(SUMIFS(DATA_GOC!$H:$H,DATA_GOC!$A:$A,"BOM",DATA_GOC!$D:$D,$B46,DATA_GOC!$E:$E,"Téc 1",DATA_GOC!$F:$F,"Xuất nội bộ từ téc",DATA_GOC!$B:$B,DATE($D$2,$B$2,N$4)),0))</f>
        <v>0</v>
      </c>
      <c r="O46" s="239">
        <f>IF(O$4&gt;DAY(EOMONTH(DATE($D$2,$B$2,1),0)),"",IFERROR(SUMIFS(DATA_GOC!$H:$H,DATA_GOC!$A:$A,"BOM",DATA_GOC!$D:$D,$B46,DATA_GOC!$E:$E,"Téc 1",DATA_GOC!$F:$F,"Xuất nội bộ từ téc",DATA_GOC!$B:$B,DATE($D$2,$B$2,O$4)),0))</f>
        <v>0</v>
      </c>
      <c r="P46" s="239">
        <f>IF(P$4&gt;DAY(EOMONTH(DATE($D$2,$B$2,1),0)),"",IFERROR(SUMIFS(DATA_GOC!$H:$H,DATA_GOC!$A:$A,"BOM",DATA_GOC!$D:$D,$B46,DATA_GOC!$E:$E,"Téc 1",DATA_GOC!$F:$F,"Xuất nội bộ từ téc",DATA_GOC!$B:$B,DATE($D$2,$B$2,P$4)),0))</f>
        <v>0</v>
      </c>
      <c r="Q46" s="239">
        <f>IF(Q$4&gt;DAY(EOMONTH(DATE($D$2,$B$2,1),0)),"",IFERROR(SUMIFS(DATA_GOC!$H:$H,DATA_GOC!$A:$A,"BOM",DATA_GOC!$D:$D,$B46,DATA_GOC!$E:$E,"Téc 1",DATA_GOC!$F:$F,"Xuất nội bộ từ téc",DATA_GOC!$B:$B,DATE($D$2,$B$2,Q$4)),0))</f>
        <v>0</v>
      </c>
      <c r="R46" s="239">
        <f>IF(R$4&gt;DAY(EOMONTH(DATE($D$2,$B$2,1),0)),"",IFERROR(SUMIFS(DATA_GOC!$H:$H,DATA_GOC!$A:$A,"BOM",DATA_GOC!$D:$D,$B46,DATA_GOC!$E:$E,"Téc 1",DATA_GOC!$F:$F,"Xuất nội bộ từ téc",DATA_GOC!$B:$B,DATE($D$2,$B$2,R$4)),0))</f>
        <v>0</v>
      </c>
      <c r="S46" s="239">
        <f>IF(S$4&gt;DAY(EOMONTH(DATE($D$2,$B$2,1),0)),"",IFERROR(SUMIFS(DATA_GOC!$H:$H,DATA_GOC!$A:$A,"BOM",DATA_GOC!$D:$D,$B46,DATA_GOC!$E:$E,"Téc 1",DATA_GOC!$F:$F,"Xuất nội bộ từ téc",DATA_GOC!$B:$B,DATE($D$2,$B$2,S$4)),0))</f>
        <v>0</v>
      </c>
      <c r="T46" s="239">
        <f>IF(T$4&gt;DAY(EOMONTH(DATE($D$2,$B$2,1),0)),"",IFERROR(SUMIFS(DATA_GOC!$H:$H,DATA_GOC!$A:$A,"BOM",DATA_GOC!$D:$D,$B46,DATA_GOC!$E:$E,"Téc 1",DATA_GOC!$F:$F,"Xuất nội bộ từ téc",DATA_GOC!$B:$B,DATE($D$2,$B$2,T$4)),0))</f>
        <v>0</v>
      </c>
      <c r="U46" s="239">
        <f>IF(U$4&gt;DAY(EOMONTH(DATE($D$2,$B$2,1),0)),"",IFERROR(SUMIFS(DATA_GOC!$H:$H,DATA_GOC!$A:$A,"BOM",DATA_GOC!$D:$D,$B46,DATA_GOC!$E:$E,"Téc 1",DATA_GOC!$F:$F,"Xuất nội bộ từ téc",DATA_GOC!$B:$B,DATE($D$2,$B$2,U$4)),0))</f>
        <v>0</v>
      </c>
      <c r="V46" s="239">
        <f>IF(V$4&gt;DAY(EOMONTH(DATE($D$2,$B$2,1),0)),"",IFERROR(SUMIFS(DATA_GOC!$H:$H,DATA_GOC!$A:$A,"BOM",DATA_GOC!$D:$D,$B46,DATA_GOC!$E:$E,"Téc 1",DATA_GOC!$F:$F,"Xuất nội bộ từ téc",DATA_GOC!$B:$B,DATE($D$2,$B$2,V$4)),0))</f>
        <v>0</v>
      </c>
      <c r="W46" s="239">
        <f>IF(W$4&gt;DAY(EOMONTH(DATE($D$2,$B$2,1),0)),"",IFERROR(SUMIFS(DATA_GOC!$H:$H,DATA_GOC!$A:$A,"BOM",DATA_GOC!$D:$D,$B46,DATA_GOC!$E:$E,"Téc 1",DATA_GOC!$F:$F,"Xuất nội bộ từ téc",DATA_GOC!$B:$B,DATE($D$2,$B$2,W$4)),0))</f>
        <v>0</v>
      </c>
      <c r="X46" s="239">
        <f>IF(X$4&gt;DAY(EOMONTH(DATE($D$2,$B$2,1),0)),"",IFERROR(SUMIFS(DATA_GOC!$H:$H,DATA_GOC!$A:$A,"BOM",DATA_GOC!$D:$D,$B46,DATA_GOC!$E:$E,"Téc 1",DATA_GOC!$F:$F,"Xuất nội bộ từ téc",DATA_GOC!$B:$B,DATE($D$2,$B$2,X$4)),0))</f>
        <v>0</v>
      </c>
      <c r="Y46" s="239">
        <f>IF(Y$4&gt;DAY(EOMONTH(DATE($D$2,$B$2,1),0)),"",IFERROR(SUMIFS(DATA_GOC!$H:$H,DATA_GOC!$A:$A,"BOM",DATA_GOC!$D:$D,$B46,DATA_GOC!$E:$E,"Téc 1",DATA_GOC!$F:$F,"Xuất nội bộ từ téc",DATA_GOC!$B:$B,DATE($D$2,$B$2,Y$4)),0))</f>
        <v>0</v>
      </c>
      <c r="Z46" s="239">
        <f>IF(Z$4&gt;DAY(EOMONTH(DATE($D$2,$B$2,1),0)),"",IFERROR(SUMIFS(DATA_GOC!$H:$H,DATA_GOC!$A:$A,"BOM",DATA_GOC!$D:$D,$B46,DATA_GOC!$E:$E,"Téc 1",DATA_GOC!$F:$F,"Xuất nội bộ từ téc",DATA_GOC!$B:$B,DATE($D$2,$B$2,Z$4)),0))</f>
        <v>0</v>
      </c>
      <c r="AA46" s="239">
        <f>IF(AA$4&gt;DAY(EOMONTH(DATE($D$2,$B$2,1),0)),"",IFERROR(SUMIFS(DATA_GOC!$H:$H,DATA_GOC!$A:$A,"BOM",DATA_GOC!$D:$D,$B46,DATA_GOC!$E:$E,"Téc 1",DATA_GOC!$F:$F,"Xuất nội bộ từ téc",DATA_GOC!$B:$B,DATE($D$2,$B$2,AA$4)),0))</f>
        <v>0</v>
      </c>
      <c r="AB46" s="239">
        <f>IF(AB$4&gt;DAY(EOMONTH(DATE($D$2,$B$2,1),0)),"",IFERROR(SUMIFS(DATA_GOC!$H:$H,DATA_GOC!$A:$A,"BOM",DATA_GOC!$D:$D,$B46,DATA_GOC!$E:$E,"Téc 1",DATA_GOC!$F:$F,"Xuất nội bộ từ téc",DATA_GOC!$B:$B,DATE($D$2,$B$2,AB$4)),0))</f>
        <v>0</v>
      </c>
      <c r="AC46" s="239">
        <f>IF(AC$4&gt;DAY(EOMONTH(DATE($D$2,$B$2,1),0)),"",IFERROR(SUMIFS(DATA_GOC!$H:$H,DATA_GOC!$A:$A,"BOM",DATA_GOC!$D:$D,$B46,DATA_GOC!$E:$E,"Téc 1",DATA_GOC!$F:$F,"Xuất nội bộ từ téc",DATA_GOC!$B:$B,DATE($D$2,$B$2,AC$4)),0))</f>
        <v>0</v>
      </c>
      <c r="AD46" s="239">
        <f>IF(AD$4&gt;DAY(EOMONTH(DATE($D$2,$B$2,1),0)),"",IFERROR(SUMIFS(DATA_GOC!$H:$H,DATA_GOC!$A:$A,"BOM",DATA_GOC!$D:$D,$B46,DATA_GOC!$E:$E,"Téc 1",DATA_GOC!$F:$F,"Xuất nội bộ từ téc",DATA_GOC!$B:$B,DATE($D$2,$B$2,AD$4)),0))</f>
        <v>0</v>
      </c>
      <c r="AE46" s="239">
        <f>IF(AE$4&gt;DAY(EOMONTH(DATE($D$2,$B$2,1),0)),"",IFERROR(SUMIFS(DATA_GOC!$H:$H,DATA_GOC!$A:$A,"BOM",DATA_GOC!$D:$D,$B46,DATA_GOC!$E:$E,"Téc 1",DATA_GOC!$F:$F,"Xuất nội bộ từ téc",DATA_GOC!$B:$B,DATE($D$2,$B$2,AE$4)),0))</f>
        <v>0</v>
      </c>
      <c r="AF46" s="239">
        <f>IF(AF$4&gt;DAY(EOMONTH(DATE($D$2,$B$2,1),0)),"",IFERROR(SUMIFS(DATA_GOC!$H:$H,DATA_GOC!$A:$A,"BOM",DATA_GOC!$D:$D,$B46,DATA_GOC!$E:$E,"Téc 1",DATA_GOC!$F:$F,"Xuất nội bộ từ téc",DATA_GOC!$B:$B,DATE($D$2,$B$2,AF$4)),0))</f>
        <v>0</v>
      </c>
      <c r="AG46" s="239">
        <f>IF(AG$4&gt;DAY(EOMONTH(DATE($D$2,$B$2,1),0)),"",IFERROR(SUMIFS(DATA_GOC!$H:$H,DATA_GOC!$A:$A,"BOM",DATA_GOC!$D:$D,$B46,DATA_GOC!$E:$E,"Téc 1",DATA_GOC!$F:$F,"Xuất nội bộ từ téc",DATA_GOC!$B:$B,DATE($D$2,$B$2,AG$4)),0))</f>
        <v>0</v>
      </c>
      <c r="AH46" s="240">
        <f t="shared" si="1"/>
        <v>0</v>
      </c>
      <c r="AI46" s="241"/>
      <c r="AJ46" s="239">
        <f>IF($B46="","",SUMIFS(TINH_TEC!$K$233:$K$9232,TINH_TEC!$H$233:$H$9232,$B46,TINH_TEC!$C$233:$C$9232,"Téc 1",TINH_TEC!$F$233:$F$9232,$B$2,TINH_TEC!$G$233:$G$9232,$D$2,TINH_TEC!$B$233:$B$9232,"Đã chốt"))</f>
        <v>0</v>
      </c>
      <c r="AK46" s="239">
        <f>IF($B46="","",SUMIFS(TINH_TEC!$J$233:$J$9232,TINH_TEC!$H$233:$H$9232,$B46,TINH_TEC!$C$233:$C$9232,"Téc 1",TINH_TEC!$F$233:$F$9232,$B$2,TINH_TEC!$G$233:$G$9232,$D$2,TINH_TEC!$B$233:$B$9232,"Đã chốt"))</f>
        <v>0</v>
      </c>
      <c r="AL46" s="239">
        <f t="shared" si="2"/>
        <v>0</v>
      </c>
    </row>
    <row r="47" ht="15.75" customHeight="1">
      <c r="A47" s="237">
        <f>IF($B47&lt;&gt;"",42,"")</f>
        <v>42</v>
      </c>
      <c r="B47" s="238" t="str">
        <f t="array" ref="B47">IFERROR(INDEX(DANH_MUC!$E:$E,45),"")</f>
        <v>29E17273</v>
      </c>
      <c r="C47" s="239">
        <f>IF(C$4&gt;DAY(EOMONTH(DATE($D$2,$B$2,1),0)),"",IFERROR(SUMIFS(DATA_GOC!$H:$H,DATA_GOC!$A:$A,"BOM",DATA_GOC!$D:$D,$B47,DATA_GOC!$E:$E,"Téc 1",DATA_GOC!$F:$F,"Xuất nội bộ từ téc",DATA_GOC!$B:$B,DATE($D$2,$B$2,C$4)),0))</f>
        <v>0</v>
      </c>
      <c r="D47" s="239">
        <f>IF(D$4&gt;DAY(EOMONTH(DATE($D$2,$B$2,1),0)),"",IFERROR(SUMIFS(DATA_GOC!$H:$H,DATA_GOC!$A:$A,"BOM",DATA_GOC!$D:$D,$B47,DATA_GOC!$E:$E,"Téc 1",DATA_GOC!$F:$F,"Xuất nội bộ từ téc",DATA_GOC!$B:$B,DATE($D$2,$B$2,D$4)),0))</f>
        <v>0</v>
      </c>
      <c r="E47" s="239">
        <f>IF(E$4&gt;DAY(EOMONTH(DATE($D$2,$B$2,1),0)),"",IFERROR(SUMIFS(DATA_GOC!$H:$H,DATA_GOC!$A:$A,"BOM",DATA_GOC!$D:$D,$B47,DATA_GOC!$E:$E,"Téc 1",DATA_GOC!$F:$F,"Xuất nội bộ từ téc",DATA_GOC!$B:$B,DATE($D$2,$B$2,E$4)),0))</f>
        <v>0</v>
      </c>
      <c r="F47" s="239">
        <f>IF(F$4&gt;DAY(EOMONTH(DATE($D$2,$B$2,1),0)),"",IFERROR(SUMIFS(DATA_GOC!$H:$H,DATA_GOC!$A:$A,"BOM",DATA_GOC!$D:$D,$B47,DATA_GOC!$E:$E,"Téc 1",DATA_GOC!$F:$F,"Xuất nội bộ từ téc",DATA_GOC!$B:$B,DATE($D$2,$B$2,F$4)),0))</f>
        <v>0</v>
      </c>
      <c r="G47" s="239">
        <f>IF(G$4&gt;DAY(EOMONTH(DATE($D$2,$B$2,1),0)),"",IFERROR(SUMIFS(DATA_GOC!$H:$H,DATA_GOC!$A:$A,"BOM",DATA_GOC!$D:$D,$B47,DATA_GOC!$E:$E,"Téc 1",DATA_GOC!$F:$F,"Xuất nội bộ từ téc",DATA_GOC!$B:$B,DATE($D$2,$B$2,G$4)),0))</f>
        <v>0</v>
      </c>
      <c r="H47" s="239">
        <f>IF(H$4&gt;DAY(EOMONTH(DATE($D$2,$B$2,1),0)),"",IFERROR(SUMIFS(DATA_GOC!$H:$H,DATA_GOC!$A:$A,"BOM",DATA_GOC!$D:$D,$B47,DATA_GOC!$E:$E,"Téc 1",DATA_GOC!$F:$F,"Xuất nội bộ từ téc",DATA_GOC!$B:$B,DATE($D$2,$B$2,H$4)),0))</f>
        <v>0</v>
      </c>
      <c r="I47" s="239">
        <f>IF(I$4&gt;DAY(EOMONTH(DATE($D$2,$B$2,1),0)),"",IFERROR(SUMIFS(DATA_GOC!$H:$H,DATA_GOC!$A:$A,"BOM",DATA_GOC!$D:$D,$B47,DATA_GOC!$E:$E,"Téc 1",DATA_GOC!$F:$F,"Xuất nội bộ từ téc",DATA_GOC!$B:$B,DATE($D$2,$B$2,I$4)),0))</f>
        <v>0</v>
      </c>
      <c r="J47" s="239">
        <f>IF(J$4&gt;DAY(EOMONTH(DATE($D$2,$B$2,1),0)),"",IFERROR(SUMIFS(DATA_GOC!$H:$H,DATA_GOC!$A:$A,"BOM",DATA_GOC!$D:$D,$B47,DATA_GOC!$E:$E,"Téc 1",DATA_GOC!$F:$F,"Xuất nội bộ từ téc",DATA_GOC!$B:$B,DATE($D$2,$B$2,J$4)),0))</f>
        <v>0</v>
      </c>
      <c r="K47" s="239">
        <f>IF(K$4&gt;DAY(EOMONTH(DATE($D$2,$B$2,1),0)),"",IFERROR(SUMIFS(DATA_GOC!$H:$H,DATA_GOC!$A:$A,"BOM",DATA_GOC!$D:$D,$B47,DATA_GOC!$E:$E,"Téc 1",DATA_GOC!$F:$F,"Xuất nội bộ từ téc",DATA_GOC!$B:$B,DATE($D$2,$B$2,K$4)),0))</f>
        <v>0</v>
      </c>
      <c r="L47" s="239">
        <f>IF(L$4&gt;DAY(EOMONTH(DATE($D$2,$B$2,1),0)),"",IFERROR(SUMIFS(DATA_GOC!$H:$H,DATA_GOC!$A:$A,"BOM",DATA_GOC!$D:$D,$B47,DATA_GOC!$E:$E,"Téc 1",DATA_GOC!$F:$F,"Xuất nội bộ từ téc",DATA_GOC!$B:$B,DATE($D$2,$B$2,L$4)),0))</f>
        <v>0</v>
      </c>
      <c r="M47" s="239">
        <f>IF(M$4&gt;DAY(EOMONTH(DATE($D$2,$B$2,1),0)),"",IFERROR(SUMIFS(DATA_GOC!$H:$H,DATA_GOC!$A:$A,"BOM",DATA_GOC!$D:$D,$B47,DATA_GOC!$E:$E,"Téc 1",DATA_GOC!$F:$F,"Xuất nội bộ từ téc",DATA_GOC!$B:$B,DATE($D$2,$B$2,M$4)),0))</f>
        <v>0</v>
      </c>
      <c r="N47" s="239">
        <f>IF(N$4&gt;DAY(EOMONTH(DATE($D$2,$B$2,1),0)),"",IFERROR(SUMIFS(DATA_GOC!$H:$H,DATA_GOC!$A:$A,"BOM",DATA_GOC!$D:$D,$B47,DATA_GOC!$E:$E,"Téc 1",DATA_GOC!$F:$F,"Xuất nội bộ từ téc",DATA_GOC!$B:$B,DATE($D$2,$B$2,N$4)),0))</f>
        <v>0</v>
      </c>
      <c r="O47" s="239">
        <f>IF(O$4&gt;DAY(EOMONTH(DATE($D$2,$B$2,1),0)),"",IFERROR(SUMIFS(DATA_GOC!$H:$H,DATA_GOC!$A:$A,"BOM",DATA_GOC!$D:$D,$B47,DATA_GOC!$E:$E,"Téc 1",DATA_GOC!$F:$F,"Xuất nội bộ từ téc",DATA_GOC!$B:$B,DATE($D$2,$B$2,O$4)),0))</f>
        <v>0</v>
      </c>
      <c r="P47" s="239">
        <f>IF(P$4&gt;DAY(EOMONTH(DATE($D$2,$B$2,1),0)),"",IFERROR(SUMIFS(DATA_GOC!$H:$H,DATA_GOC!$A:$A,"BOM",DATA_GOC!$D:$D,$B47,DATA_GOC!$E:$E,"Téc 1",DATA_GOC!$F:$F,"Xuất nội bộ từ téc",DATA_GOC!$B:$B,DATE($D$2,$B$2,P$4)),0))</f>
        <v>0</v>
      </c>
      <c r="Q47" s="239">
        <f>IF(Q$4&gt;DAY(EOMONTH(DATE($D$2,$B$2,1),0)),"",IFERROR(SUMIFS(DATA_GOC!$H:$H,DATA_GOC!$A:$A,"BOM",DATA_GOC!$D:$D,$B47,DATA_GOC!$E:$E,"Téc 1",DATA_GOC!$F:$F,"Xuất nội bộ từ téc",DATA_GOC!$B:$B,DATE($D$2,$B$2,Q$4)),0))</f>
        <v>0</v>
      </c>
      <c r="R47" s="239">
        <f>IF(R$4&gt;DAY(EOMONTH(DATE($D$2,$B$2,1),0)),"",IFERROR(SUMIFS(DATA_GOC!$H:$H,DATA_GOC!$A:$A,"BOM",DATA_GOC!$D:$D,$B47,DATA_GOC!$E:$E,"Téc 1",DATA_GOC!$F:$F,"Xuất nội bộ từ téc",DATA_GOC!$B:$B,DATE($D$2,$B$2,R$4)),0))</f>
        <v>0</v>
      </c>
      <c r="S47" s="239">
        <f>IF(S$4&gt;DAY(EOMONTH(DATE($D$2,$B$2,1),0)),"",IFERROR(SUMIFS(DATA_GOC!$H:$H,DATA_GOC!$A:$A,"BOM",DATA_GOC!$D:$D,$B47,DATA_GOC!$E:$E,"Téc 1",DATA_GOC!$F:$F,"Xuất nội bộ từ téc",DATA_GOC!$B:$B,DATE($D$2,$B$2,S$4)),0))</f>
        <v>0</v>
      </c>
      <c r="T47" s="239">
        <f>IF(T$4&gt;DAY(EOMONTH(DATE($D$2,$B$2,1),0)),"",IFERROR(SUMIFS(DATA_GOC!$H:$H,DATA_GOC!$A:$A,"BOM",DATA_GOC!$D:$D,$B47,DATA_GOC!$E:$E,"Téc 1",DATA_GOC!$F:$F,"Xuất nội bộ từ téc",DATA_GOC!$B:$B,DATE($D$2,$B$2,T$4)),0))</f>
        <v>0</v>
      </c>
      <c r="U47" s="239">
        <f>IF(U$4&gt;DAY(EOMONTH(DATE($D$2,$B$2,1),0)),"",IFERROR(SUMIFS(DATA_GOC!$H:$H,DATA_GOC!$A:$A,"BOM",DATA_GOC!$D:$D,$B47,DATA_GOC!$E:$E,"Téc 1",DATA_GOC!$F:$F,"Xuất nội bộ từ téc",DATA_GOC!$B:$B,DATE($D$2,$B$2,U$4)),0))</f>
        <v>0</v>
      </c>
      <c r="V47" s="239">
        <f>IF(V$4&gt;DAY(EOMONTH(DATE($D$2,$B$2,1),0)),"",IFERROR(SUMIFS(DATA_GOC!$H:$H,DATA_GOC!$A:$A,"BOM",DATA_GOC!$D:$D,$B47,DATA_GOC!$E:$E,"Téc 1",DATA_GOC!$F:$F,"Xuất nội bộ từ téc",DATA_GOC!$B:$B,DATE($D$2,$B$2,V$4)),0))</f>
        <v>0</v>
      </c>
      <c r="W47" s="239">
        <f>IF(W$4&gt;DAY(EOMONTH(DATE($D$2,$B$2,1),0)),"",IFERROR(SUMIFS(DATA_GOC!$H:$H,DATA_GOC!$A:$A,"BOM",DATA_GOC!$D:$D,$B47,DATA_GOC!$E:$E,"Téc 1",DATA_GOC!$F:$F,"Xuất nội bộ từ téc",DATA_GOC!$B:$B,DATE($D$2,$B$2,W$4)),0))</f>
        <v>0</v>
      </c>
      <c r="X47" s="239">
        <f>IF(X$4&gt;DAY(EOMONTH(DATE($D$2,$B$2,1),0)),"",IFERROR(SUMIFS(DATA_GOC!$H:$H,DATA_GOC!$A:$A,"BOM",DATA_GOC!$D:$D,$B47,DATA_GOC!$E:$E,"Téc 1",DATA_GOC!$F:$F,"Xuất nội bộ từ téc",DATA_GOC!$B:$B,DATE($D$2,$B$2,X$4)),0))</f>
        <v>0</v>
      </c>
      <c r="Y47" s="239">
        <f>IF(Y$4&gt;DAY(EOMONTH(DATE($D$2,$B$2,1),0)),"",IFERROR(SUMIFS(DATA_GOC!$H:$H,DATA_GOC!$A:$A,"BOM",DATA_GOC!$D:$D,$B47,DATA_GOC!$E:$E,"Téc 1",DATA_GOC!$F:$F,"Xuất nội bộ từ téc",DATA_GOC!$B:$B,DATE($D$2,$B$2,Y$4)),0))</f>
        <v>0</v>
      </c>
      <c r="Z47" s="239">
        <f>IF(Z$4&gt;DAY(EOMONTH(DATE($D$2,$B$2,1),0)),"",IFERROR(SUMIFS(DATA_GOC!$H:$H,DATA_GOC!$A:$A,"BOM",DATA_GOC!$D:$D,$B47,DATA_GOC!$E:$E,"Téc 1",DATA_GOC!$F:$F,"Xuất nội bộ từ téc",DATA_GOC!$B:$B,DATE($D$2,$B$2,Z$4)),0))</f>
        <v>0</v>
      </c>
      <c r="AA47" s="239">
        <f>IF(AA$4&gt;DAY(EOMONTH(DATE($D$2,$B$2,1),0)),"",IFERROR(SUMIFS(DATA_GOC!$H:$H,DATA_GOC!$A:$A,"BOM",DATA_GOC!$D:$D,$B47,DATA_GOC!$E:$E,"Téc 1",DATA_GOC!$F:$F,"Xuất nội bộ từ téc",DATA_GOC!$B:$B,DATE($D$2,$B$2,AA$4)),0))</f>
        <v>0</v>
      </c>
      <c r="AB47" s="239">
        <f>IF(AB$4&gt;DAY(EOMONTH(DATE($D$2,$B$2,1),0)),"",IFERROR(SUMIFS(DATA_GOC!$H:$H,DATA_GOC!$A:$A,"BOM",DATA_GOC!$D:$D,$B47,DATA_GOC!$E:$E,"Téc 1",DATA_GOC!$F:$F,"Xuất nội bộ từ téc",DATA_GOC!$B:$B,DATE($D$2,$B$2,AB$4)),0))</f>
        <v>0</v>
      </c>
      <c r="AC47" s="239">
        <f>IF(AC$4&gt;DAY(EOMONTH(DATE($D$2,$B$2,1),0)),"",IFERROR(SUMIFS(DATA_GOC!$H:$H,DATA_GOC!$A:$A,"BOM",DATA_GOC!$D:$D,$B47,DATA_GOC!$E:$E,"Téc 1",DATA_GOC!$F:$F,"Xuất nội bộ từ téc",DATA_GOC!$B:$B,DATE($D$2,$B$2,AC$4)),0))</f>
        <v>0</v>
      </c>
      <c r="AD47" s="239">
        <f>IF(AD$4&gt;DAY(EOMONTH(DATE($D$2,$B$2,1),0)),"",IFERROR(SUMIFS(DATA_GOC!$H:$H,DATA_GOC!$A:$A,"BOM",DATA_GOC!$D:$D,$B47,DATA_GOC!$E:$E,"Téc 1",DATA_GOC!$F:$F,"Xuất nội bộ từ téc",DATA_GOC!$B:$B,DATE($D$2,$B$2,AD$4)),0))</f>
        <v>0</v>
      </c>
      <c r="AE47" s="239">
        <f>IF(AE$4&gt;DAY(EOMONTH(DATE($D$2,$B$2,1),0)),"",IFERROR(SUMIFS(DATA_GOC!$H:$H,DATA_GOC!$A:$A,"BOM",DATA_GOC!$D:$D,$B47,DATA_GOC!$E:$E,"Téc 1",DATA_GOC!$F:$F,"Xuất nội bộ từ téc",DATA_GOC!$B:$B,DATE($D$2,$B$2,AE$4)),0))</f>
        <v>0</v>
      </c>
      <c r="AF47" s="239">
        <f>IF(AF$4&gt;DAY(EOMONTH(DATE($D$2,$B$2,1),0)),"",IFERROR(SUMIFS(DATA_GOC!$H:$H,DATA_GOC!$A:$A,"BOM",DATA_GOC!$D:$D,$B47,DATA_GOC!$E:$E,"Téc 1",DATA_GOC!$F:$F,"Xuất nội bộ từ téc",DATA_GOC!$B:$B,DATE($D$2,$B$2,AF$4)),0))</f>
        <v>0</v>
      </c>
      <c r="AG47" s="239">
        <f>IF(AG$4&gt;DAY(EOMONTH(DATE($D$2,$B$2,1),0)),"",IFERROR(SUMIFS(DATA_GOC!$H:$H,DATA_GOC!$A:$A,"BOM",DATA_GOC!$D:$D,$B47,DATA_GOC!$E:$E,"Téc 1",DATA_GOC!$F:$F,"Xuất nội bộ từ téc",DATA_GOC!$B:$B,DATE($D$2,$B$2,AG$4)),0))</f>
        <v>0</v>
      </c>
      <c r="AH47" s="240">
        <f t="shared" si="1"/>
        <v>0</v>
      </c>
      <c r="AI47" s="241"/>
      <c r="AJ47" s="239">
        <f>IF($B47="","",SUMIFS(TINH_TEC!$K$233:$K$9232,TINH_TEC!$H$233:$H$9232,$B47,TINH_TEC!$C$233:$C$9232,"Téc 1",TINH_TEC!$F$233:$F$9232,$B$2,TINH_TEC!$G$233:$G$9232,$D$2,TINH_TEC!$B$233:$B$9232,"Đã chốt"))</f>
        <v>0</v>
      </c>
      <c r="AK47" s="239">
        <f>IF($B47="","",SUMIFS(TINH_TEC!$J$233:$J$9232,TINH_TEC!$H$233:$H$9232,$B47,TINH_TEC!$C$233:$C$9232,"Téc 1",TINH_TEC!$F$233:$F$9232,$B$2,TINH_TEC!$G$233:$G$9232,$D$2,TINH_TEC!$B$233:$B$9232,"Đã chốt"))</f>
        <v>0</v>
      </c>
      <c r="AL47" s="239">
        <f t="shared" si="2"/>
        <v>0</v>
      </c>
    </row>
    <row r="48" ht="15.75" customHeight="1">
      <c r="A48" s="237">
        <f>IF($B48&lt;&gt;"",43,"")</f>
        <v>43</v>
      </c>
      <c r="B48" s="238" t="str">
        <f t="array" ref="B48">IFERROR(INDEX(DANH_MUC!$E:$E,46),"")</f>
        <v>29E17410</v>
      </c>
      <c r="C48" s="239">
        <f>IF(C$4&gt;DAY(EOMONTH(DATE($D$2,$B$2,1),0)),"",IFERROR(SUMIFS(DATA_GOC!$H:$H,DATA_GOC!$A:$A,"BOM",DATA_GOC!$D:$D,$B48,DATA_GOC!$E:$E,"Téc 1",DATA_GOC!$F:$F,"Xuất nội bộ từ téc",DATA_GOC!$B:$B,DATE($D$2,$B$2,C$4)),0))</f>
        <v>0</v>
      </c>
      <c r="D48" s="239">
        <f>IF(D$4&gt;DAY(EOMONTH(DATE($D$2,$B$2,1),0)),"",IFERROR(SUMIFS(DATA_GOC!$H:$H,DATA_GOC!$A:$A,"BOM",DATA_GOC!$D:$D,$B48,DATA_GOC!$E:$E,"Téc 1",DATA_GOC!$F:$F,"Xuất nội bộ từ téc",DATA_GOC!$B:$B,DATE($D$2,$B$2,D$4)),0))</f>
        <v>0</v>
      </c>
      <c r="E48" s="239">
        <f>IF(E$4&gt;DAY(EOMONTH(DATE($D$2,$B$2,1),0)),"",IFERROR(SUMIFS(DATA_GOC!$H:$H,DATA_GOC!$A:$A,"BOM",DATA_GOC!$D:$D,$B48,DATA_GOC!$E:$E,"Téc 1",DATA_GOC!$F:$F,"Xuất nội bộ từ téc",DATA_GOC!$B:$B,DATE($D$2,$B$2,E$4)),0))</f>
        <v>0</v>
      </c>
      <c r="F48" s="239">
        <f>IF(F$4&gt;DAY(EOMONTH(DATE($D$2,$B$2,1),0)),"",IFERROR(SUMIFS(DATA_GOC!$H:$H,DATA_GOC!$A:$A,"BOM",DATA_GOC!$D:$D,$B48,DATA_GOC!$E:$E,"Téc 1",DATA_GOC!$F:$F,"Xuất nội bộ từ téc",DATA_GOC!$B:$B,DATE($D$2,$B$2,F$4)),0))</f>
        <v>0</v>
      </c>
      <c r="G48" s="239">
        <f>IF(G$4&gt;DAY(EOMONTH(DATE($D$2,$B$2,1),0)),"",IFERROR(SUMIFS(DATA_GOC!$H:$H,DATA_GOC!$A:$A,"BOM",DATA_GOC!$D:$D,$B48,DATA_GOC!$E:$E,"Téc 1",DATA_GOC!$F:$F,"Xuất nội bộ từ téc",DATA_GOC!$B:$B,DATE($D$2,$B$2,G$4)),0))</f>
        <v>0</v>
      </c>
      <c r="H48" s="239">
        <f>IF(H$4&gt;DAY(EOMONTH(DATE($D$2,$B$2,1),0)),"",IFERROR(SUMIFS(DATA_GOC!$H:$H,DATA_GOC!$A:$A,"BOM",DATA_GOC!$D:$D,$B48,DATA_GOC!$E:$E,"Téc 1",DATA_GOC!$F:$F,"Xuất nội bộ từ téc",DATA_GOC!$B:$B,DATE($D$2,$B$2,H$4)),0))</f>
        <v>0</v>
      </c>
      <c r="I48" s="239">
        <f>IF(I$4&gt;DAY(EOMONTH(DATE($D$2,$B$2,1),0)),"",IFERROR(SUMIFS(DATA_GOC!$H:$H,DATA_GOC!$A:$A,"BOM",DATA_GOC!$D:$D,$B48,DATA_GOC!$E:$E,"Téc 1",DATA_GOC!$F:$F,"Xuất nội bộ từ téc",DATA_GOC!$B:$B,DATE($D$2,$B$2,I$4)),0))</f>
        <v>0</v>
      </c>
      <c r="J48" s="239">
        <f>IF(J$4&gt;DAY(EOMONTH(DATE($D$2,$B$2,1),0)),"",IFERROR(SUMIFS(DATA_GOC!$H:$H,DATA_GOC!$A:$A,"BOM",DATA_GOC!$D:$D,$B48,DATA_GOC!$E:$E,"Téc 1",DATA_GOC!$F:$F,"Xuất nội bộ từ téc",DATA_GOC!$B:$B,DATE($D$2,$B$2,J$4)),0))</f>
        <v>0</v>
      </c>
      <c r="K48" s="239">
        <f>IF(K$4&gt;DAY(EOMONTH(DATE($D$2,$B$2,1),0)),"",IFERROR(SUMIFS(DATA_GOC!$H:$H,DATA_GOC!$A:$A,"BOM",DATA_GOC!$D:$D,$B48,DATA_GOC!$E:$E,"Téc 1",DATA_GOC!$F:$F,"Xuất nội bộ từ téc",DATA_GOC!$B:$B,DATE($D$2,$B$2,K$4)),0))</f>
        <v>0</v>
      </c>
      <c r="L48" s="239">
        <f>IF(L$4&gt;DAY(EOMONTH(DATE($D$2,$B$2,1),0)),"",IFERROR(SUMIFS(DATA_GOC!$H:$H,DATA_GOC!$A:$A,"BOM",DATA_GOC!$D:$D,$B48,DATA_GOC!$E:$E,"Téc 1",DATA_GOC!$F:$F,"Xuất nội bộ từ téc",DATA_GOC!$B:$B,DATE($D$2,$B$2,L$4)),0))</f>
        <v>0</v>
      </c>
      <c r="M48" s="239">
        <f>IF(M$4&gt;DAY(EOMONTH(DATE($D$2,$B$2,1),0)),"",IFERROR(SUMIFS(DATA_GOC!$H:$H,DATA_GOC!$A:$A,"BOM",DATA_GOC!$D:$D,$B48,DATA_GOC!$E:$E,"Téc 1",DATA_GOC!$F:$F,"Xuất nội bộ từ téc",DATA_GOC!$B:$B,DATE($D$2,$B$2,M$4)),0))</f>
        <v>0</v>
      </c>
      <c r="N48" s="239">
        <f>IF(N$4&gt;DAY(EOMONTH(DATE($D$2,$B$2,1),0)),"",IFERROR(SUMIFS(DATA_GOC!$H:$H,DATA_GOC!$A:$A,"BOM",DATA_GOC!$D:$D,$B48,DATA_GOC!$E:$E,"Téc 1",DATA_GOC!$F:$F,"Xuất nội bộ từ téc",DATA_GOC!$B:$B,DATE($D$2,$B$2,N$4)),0))</f>
        <v>0</v>
      </c>
      <c r="O48" s="239">
        <f>IF(O$4&gt;DAY(EOMONTH(DATE($D$2,$B$2,1),0)),"",IFERROR(SUMIFS(DATA_GOC!$H:$H,DATA_GOC!$A:$A,"BOM",DATA_GOC!$D:$D,$B48,DATA_GOC!$E:$E,"Téc 1",DATA_GOC!$F:$F,"Xuất nội bộ từ téc",DATA_GOC!$B:$B,DATE($D$2,$B$2,O$4)),0))</f>
        <v>0</v>
      </c>
      <c r="P48" s="239">
        <f>IF(P$4&gt;DAY(EOMONTH(DATE($D$2,$B$2,1),0)),"",IFERROR(SUMIFS(DATA_GOC!$H:$H,DATA_GOC!$A:$A,"BOM",DATA_GOC!$D:$D,$B48,DATA_GOC!$E:$E,"Téc 1",DATA_GOC!$F:$F,"Xuất nội bộ từ téc",DATA_GOC!$B:$B,DATE($D$2,$B$2,P$4)),0))</f>
        <v>0</v>
      </c>
      <c r="Q48" s="239">
        <f>IF(Q$4&gt;DAY(EOMONTH(DATE($D$2,$B$2,1),0)),"",IFERROR(SUMIFS(DATA_GOC!$H:$H,DATA_GOC!$A:$A,"BOM",DATA_GOC!$D:$D,$B48,DATA_GOC!$E:$E,"Téc 1",DATA_GOC!$F:$F,"Xuất nội bộ từ téc",DATA_GOC!$B:$B,DATE($D$2,$B$2,Q$4)),0))</f>
        <v>0</v>
      </c>
      <c r="R48" s="239">
        <f>IF(R$4&gt;DAY(EOMONTH(DATE($D$2,$B$2,1),0)),"",IFERROR(SUMIFS(DATA_GOC!$H:$H,DATA_GOC!$A:$A,"BOM",DATA_GOC!$D:$D,$B48,DATA_GOC!$E:$E,"Téc 1",DATA_GOC!$F:$F,"Xuất nội bộ từ téc",DATA_GOC!$B:$B,DATE($D$2,$B$2,R$4)),0))</f>
        <v>0</v>
      </c>
      <c r="S48" s="239">
        <f>IF(S$4&gt;DAY(EOMONTH(DATE($D$2,$B$2,1),0)),"",IFERROR(SUMIFS(DATA_GOC!$H:$H,DATA_GOC!$A:$A,"BOM",DATA_GOC!$D:$D,$B48,DATA_GOC!$E:$E,"Téc 1",DATA_GOC!$F:$F,"Xuất nội bộ từ téc",DATA_GOC!$B:$B,DATE($D$2,$B$2,S$4)),0))</f>
        <v>0</v>
      </c>
      <c r="T48" s="239">
        <f>IF(T$4&gt;DAY(EOMONTH(DATE($D$2,$B$2,1),0)),"",IFERROR(SUMIFS(DATA_GOC!$H:$H,DATA_GOC!$A:$A,"BOM",DATA_GOC!$D:$D,$B48,DATA_GOC!$E:$E,"Téc 1",DATA_GOC!$F:$F,"Xuất nội bộ từ téc",DATA_GOC!$B:$B,DATE($D$2,$B$2,T$4)),0))</f>
        <v>0</v>
      </c>
      <c r="U48" s="239">
        <f>IF(U$4&gt;DAY(EOMONTH(DATE($D$2,$B$2,1),0)),"",IFERROR(SUMIFS(DATA_GOC!$H:$H,DATA_GOC!$A:$A,"BOM",DATA_GOC!$D:$D,$B48,DATA_GOC!$E:$E,"Téc 1",DATA_GOC!$F:$F,"Xuất nội bộ từ téc",DATA_GOC!$B:$B,DATE($D$2,$B$2,U$4)),0))</f>
        <v>0</v>
      </c>
      <c r="V48" s="239">
        <f>IF(V$4&gt;DAY(EOMONTH(DATE($D$2,$B$2,1),0)),"",IFERROR(SUMIFS(DATA_GOC!$H:$H,DATA_GOC!$A:$A,"BOM",DATA_GOC!$D:$D,$B48,DATA_GOC!$E:$E,"Téc 1",DATA_GOC!$F:$F,"Xuất nội bộ từ téc",DATA_GOC!$B:$B,DATE($D$2,$B$2,V$4)),0))</f>
        <v>0</v>
      </c>
      <c r="W48" s="239">
        <f>IF(W$4&gt;DAY(EOMONTH(DATE($D$2,$B$2,1),0)),"",IFERROR(SUMIFS(DATA_GOC!$H:$H,DATA_GOC!$A:$A,"BOM",DATA_GOC!$D:$D,$B48,DATA_GOC!$E:$E,"Téc 1",DATA_GOC!$F:$F,"Xuất nội bộ từ téc",DATA_GOC!$B:$B,DATE($D$2,$B$2,W$4)),0))</f>
        <v>0</v>
      </c>
      <c r="X48" s="239">
        <f>IF(X$4&gt;DAY(EOMONTH(DATE($D$2,$B$2,1),0)),"",IFERROR(SUMIFS(DATA_GOC!$H:$H,DATA_GOC!$A:$A,"BOM",DATA_GOC!$D:$D,$B48,DATA_GOC!$E:$E,"Téc 1",DATA_GOC!$F:$F,"Xuất nội bộ từ téc",DATA_GOC!$B:$B,DATE($D$2,$B$2,X$4)),0))</f>
        <v>0</v>
      </c>
      <c r="Y48" s="239">
        <f>IF(Y$4&gt;DAY(EOMONTH(DATE($D$2,$B$2,1),0)),"",IFERROR(SUMIFS(DATA_GOC!$H:$H,DATA_GOC!$A:$A,"BOM",DATA_GOC!$D:$D,$B48,DATA_GOC!$E:$E,"Téc 1",DATA_GOC!$F:$F,"Xuất nội bộ từ téc",DATA_GOC!$B:$B,DATE($D$2,$B$2,Y$4)),0))</f>
        <v>0</v>
      </c>
      <c r="Z48" s="239">
        <f>IF(Z$4&gt;DAY(EOMONTH(DATE($D$2,$B$2,1),0)),"",IFERROR(SUMIFS(DATA_GOC!$H:$H,DATA_GOC!$A:$A,"BOM",DATA_GOC!$D:$D,$B48,DATA_GOC!$E:$E,"Téc 1",DATA_GOC!$F:$F,"Xuất nội bộ từ téc",DATA_GOC!$B:$B,DATE($D$2,$B$2,Z$4)),0))</f>
        <v>0</v>
      </c>
      <c r="AA48" s="239">
        <f>IF(AA$4&gt;DAY(EOMONTH(DATE($D$2,$B$2,1),0)),"",IFERROR(SUMIFS(DATA_GOC!$H:$H,DATA_GOC!$A:$A,"BOM",DATA_GOC!$D:$D,$B48,DATA_GOC!$E:$E,"Téc 1",DATA_GOC!$F:$F,"Xuất nội bộ từ téc",DATA_GOC!$B:$B,DATE($D$2,$B$2,AA$4)),0))</f>
        <v>0</v>
      </c>
      <c r="AB48" s="239">
        <f>IF(AB$4&gt;DAY(EOMONTH(DATE($D$2,$B$2,1),0)),"",IFERROR(SUMIFS(DATA_GOC!$H:$H,DATA_GOC!$A:$A,"BOM",DATA_GOC!$D:$D,$B48,DATA_GOC!$E:$E,"Téc 1",DATA_GOC!$F:$F,"Xuất nội bộ từ téc",DATA_GOC!$B:$B,DATE($D$2,$B$2,AB$4)),0))</f>
        <v>0</v>
      </c>
      <c r="AC48" s="239">
        <f>IF(AC$4&gt;DAY(EOMONTH(DATE($D$2,$B$2,1),0)),"",IFERROR(SUMIFS(DATA_GOC!$H:$H,DATA_GOC!$A:$A,"BOM",DATA_GOC!$D:$D,$B48,DATA_GOC!$E:$E,"Téc 1",DATA_GOC!$F:$F,"Xuất nội bộ từ téc",DATA_GOC!$B:$B,DATE($D$2,$B$2,AC$4)),0))</f>
        <v>0</v>
      </c>
      <c r="AD48" s="239">
        <f>IF(AD$4&gt;DAY(EOMONTH(DATE($D$2,$B$2,1),0)),"",IFERROR(SUMIFS(DATA_GOC!$H:$H,DATA_GOC!$A:$A,"BOM",DATA_GOC!$D:$D,$B48,DATA_GOC!$E:$E,"Téc 1",DATA_GOC!$F:$F,"Xuất nội bộ từ téc",DATA_GOC!$B:$B,DATE($D$2,$B$2,AD$4)),0))</f>
        <v>0</v>
      </c>
      <c r="AE48" s="239">
        <f>IF(AE$4&gt;DAY(EOMONTH(DATE($D$2,$B$2,1),0)),"",IFERROR(SUMIFS(DATA_GOC!$H:$H,DATA_GOC!$A:$A,"BOM",DATA_GOC!$D:$D,$B48,DATA_GOC!$E:$E,"Téc 1",DATA_GOC!$F:$F,"Xuất nội bộ từ téc",DATA_GOC!$B:$B,DATE($D$2,$B$2,AE$4)),0))</f>
        <v>0</v>
      </c>
      <c r="AF48" s="239">
        <f>IF(AF$4&gt;DAY(EOMONTH(DATE($D$2,$B$2,1),0)),"",IFERROR(SUMIFS(DATA_GOC!$H:$H,DATA_GOC!$A:$A,"BOM",DATA_GOC!$D:$D,$B48,DATA_GOC!$E:$E,"Téc 1",DATA_GOC!$F:$F,"Xuất nội bộ từ téc",DATA_GOC!$B:$B,DATE($D$2,$B$2,AF$4)),0))</f>
        <v>0</v>
      </c>
      <c r="AG48" s="239">
        <f>IF(AG$4&gt;DAY(EOMONTH(DATE($D$2,$B$2,1),0)),"",IFERROR(SUMIFS(DATA_GOC!$H:$H,DATA_GOC!$A:$A,"BOM",DATA_GOC!$D:$D,$B48,DATA_GOC!$E:$E,"Téc 1",DATA_GOC!$F:$F,"Xuất nội bộ từ téc",DATA_GOC!$B:$B,DATE($D$2,$B$2,AG$4)),0))</f>
        <v>0</v>
      </c>
      <c r="AH48" s="240">
        <f t="shared" si="1"/>
        <v>0</v>
      </c>
      <c r="AI48" s="241"/>
      <c r="AJ48" s="239">
        <f>IF($B48="","",SUMIFS(TINH_TEC!$K$233:$K$9232,TINH_TEC!$H$233:$H$9232,$B48,TINH_TEC!$C$233:$C$9232,"Téc 1",TINH_TEC!$F$233:$F$9232,$B$2,TINH_TEC!$G$233:$G$9232,$D$2,TINH_TEC!$B$233:$B$9232,"Đã chốt"))</f>
        <v>0</v>
      </c>
      <c r="AK48" s="239">
        <f>IF($B48="","",SUMIFS(TINH_TEC!$J$233:$J$9232,TINH_TEC!$H$233:$H$9232,$B48,TINH_TEC!$C$233:$C$9232,"Téc 1",TINH_TEC!$F$233:$F$9232,$B$2,TINH_TEC!$G$233:$G$9232,$D$2,TINH_TEC!$B$233:$B$9232,"Đã chốt"))</f>
        <v>0</v>
      </c>
      <c r="AL48" s="239">
        <f t="shared" si="2"/>
        <v>0</v>
      </c>
    </row>
    <row r="49" ht="15.75" customHeight="1">
      <c r="A49" s="237">
        <f>IF($B49&lt;&gt;"",44,"")</f>
        <v>44</v>
      </c>
      <c r="B49" s="238" t="str">
        <f t="array" ref="B49">IFERROR(INDEX(DANH_MUC!$E:$E,47),"")</f>
        <v>29E17417</v>
      </c>
      <c r="C49" s="239">
        <f>IF(C$4&gt;DAY(EOMONTH(DATE($D$2,$B$2,1),0)),"",IFERROR(SUMIFS(DATA_GOC!$H:$H,DATA_GOC!$A:$A,"BOM",DATA_GOC!$D:$D,$B49,DATA_GOC!$E:$E,"Téc 1",DATA_GOC!$F:$F,"Xuất nội bộ từ téc",DATA_GOC!$B:$B,DATE($D$2,$B$2,C$4)),0))</f>
        <v>0</v>
      </c>
      <c r="D49" s="239">
        <f>IF(D$4&gt;DAY(EOMONTH(DATE($D$2,$B$2,1),0)),"",IFERROR(SUMIFS(DATA_GOC!$H:$H,DATA_GOC!$A:$A,"BOM",DATA_GOC!$D:$D,$B49,DATA_GOC!$E:$E,"Téc 1",DATA_GOC!$F:$F,"Xuất nội bộ từ téc",DATA_GOC!$B:$B,DATE($D$2,$B$2,D$4)),0))</f>
        <v>0</v>
      </c>
      <c r="E49" s="239">
        <f>IF(E$4&gt;DAY(EOMONTH(DATE($D$2,$B$2,1),0)),"",IFERROR(SUMIFS(DATA_GOC!$H:$H,DATA_GOC!$A:$A,"BOM",DATA_GOC!$D:$D,$B49,DATA_GOC!$E:$E,"Téc 1",DATA_GOC!$F:$F,"Xuất nội bộ từ téc",DATA_GOC!$B:$B,DATE($D$2,$B$2,E$4)),0))</f>
        <v>0</v>
      </c>
      <c r="F49" s="239">
        <f>IF(F$4&gt;DAY(EOMONTH(DATE($D$2,$B$2,1),0)),"",IFERROR(SUMIFS(DATA_GOC!$H:$H,DATA_GOC!$A:$A,"BOM",DATA_GOC!$D:$D,$B49,DATA_GOC!$E:$E,"Téc 1",DATA_GOC!$F:$F,"Xuất nội bộ từ téc",DATA_GOC!$B:$B,DATE($D$2,$B$2,F$4)),0))</f>
        <v>0</v>
      </c>
      <c r="G49" s="239">
        <f>IF(G$4&gt;DAY(EOMONTH(DATE($D$2,$B$2,1),0)),"",IFERROR(SUMIFS(DATA_GOC!$H:$H,DATA_GOC!$A:$A,"BOM",DATA_GOC!$D:$D,$B49,DATA_GOC!$E:$E,"Téc 1",DATA_GOC!$F:$F,"Xuất nội bộ từ téc",DATA_GOC!$B:$B,DATE($D$2,$B$2,G$4)),0))</f>
        <v>0</v>
      </c>
      <c r="H49" s="239">
        <f>IF(H$4&gt;DAY(EOMONTH(DATE($D$2,$B$2,1),0)),"",IFERROR(SUMIFS(DATA_GOC!$H:$H,DATA_GOC!$A:$A,"BOM",DATA_GOC!$D:$D,$B49,DATA_GOC!$E:$E,"Téc 1",DATA_GOC!$F:$F,"Xuất nội bộ từ téc",DATA_GOC!$B:$B,DATE($D$2,$B$2,H$4)),0))</f>
        <v>0</v>
      </c>
      <c r="I49" s="239">
        <f>IF(I$4&gt;DAY(EOMONTH(DATE($D$2,$B$2,1),0)),"",IFERROR(SUMIFS(DATA_GOC!$H:$H,DATA_GOC!$A:$A,"BOM",DATA_GOC!$D:$D,$B49,DATA_GOC!$E:$E,"Téc 1",DATA_GOC!$F:$F,"Xuất nội bộ từ téc",DATA_GOC!$B:$B,DATE($D$2,$B$2,I$4)),0))</f>
        <v>0</v>
      </c>
      <c r="J49" s="239">
        <f>IF(J$4&gt;DAY(EOMONTH(DATE($D$2,$B$2,1),0)),"",IFERROR(SUMIFS(DATA_GOC!$H:$H,DATA_GOC!$A:$A,"BOM",DATA_GOC!$D:$D,$B49,DATA_GOC!$E:$E,"Téc 1",DATA_GOC!$F:$F,"Xuất nội bộ từ téc",DATA_GOC!$B:$B,DATE($D$2,$B$2,J$4)),0))</f>
        <v>0</v>
      </c>
      <c r="K49" s="239">
        <f>IF(K$4&gt;DAY(EOMONTH(DATE($D$2,$B$2,1),0)),"",IFERROR(SUMIFS(DATA_GOC!$H:$H,DATA_GOC!$A:$A,"BOM",DATA_GOC!$D:$D,$B49,DATA_GOC!$E:$E,"Téc 1",DATA_GOC!$F:$F,"Xuất nội bộ từ téc",DATA_GOC!$B:$B,DATE($D$2,$B$2,K$4)),0))</f>
        <v>0</v>
      </c>
      <c r="L49" s="239">
        <f>IF(L$4&gt;DAY(EOMONTH(DATE($D$2,$B$2,1),0)),"",IFERROR(SUMIFS(DATA_GOC!$H:$H,DATA_GOC!$A:$A,"BOM",DATA_GOC!$D:$D,$B49,DATA_GOC!$E:$E,"Téc 1",DATA_GOC!$F:$F,"Xuất nội bộ từ téc",DATA_GOC!$B:$B,DATE($D$2,$B$2,L$4)),0))</f>
        <v>0</v>
      </c>
      <c r="M49" s="239">
        <f>IF(M$4&gt;DAY(EOMONTH(DATE($D$2,$B$2,1),0)),"",IFERROR(SUMIFS(DATA_GOC!$H:$H,DATA_GOC!$A:$A,"BOM",DATA_GOC!$D:$D,$B49,DATA_GOC!$E:$E,"Téc 1",DATA_GOC!$F:$F,"Xuất nội bộ từ téc",DATA_GOC!$B:$B,DATE($D$2,$B$2,M$4)),0))</f>
        <v>0</v>
      </c>
      <c r="N49" s="239">
        <f>IF(N$4&gt;DAY(EOMONTH(DATE($D$2,$B$2,1),0)),"",IFERROR(SUMIFS(DATA_GOC!$H:$H,DATA_GOC!$A:$A,"BOM",DATA_GOC!$D:$D,$B49,DATA_GOC!$E:$E,"Téc 1",DATA_GOC!$F:$F,"Xuất nội bộ từ téc",DATA_GOC!$B:$B,DATE($D$2,$B$2,N$4)),0))</f>
        <v>0</v>
      </c>
      <c r="O49" s="239">
        <f>IF(O$4&gt;DAY(EOMONTH(DATE($D$2,$B$2,1),0)),"",IFERROR(SUMIFS(DATA_GOC!$H:$H,DATA_GOC!$A:$A,"BOM",DATA_GOC!$D:$D,$B49,DATA_GOC!$E:$E,"Téc 1",DATA_GOC!$F:$F,"Xuất nội bộ từ téc",DATA_GOC!$B:$B,DATE($D$2,$B$2,O$4)),0))</f>
        <v>0</v>
      </c>
      <c r="P49" s="239">
        <f>IF(P$4&gt;DAY(EOMONTH(DATE($D$2,$B$2,1),0)),"",IFERROR(SUMIFS(DATA_GOC!$H:$H,DATA_GOC!$A:$A,"BOM",DATA_GOC!$D:$D,$B49,DATA_GOC!$E:$E,"Téc 1",DATA_GOC!$F:$F,"Xuất nội bộ từ téc",DATA_GOC!$B:$B,DATE($D$2,$B$2,P$4)),0))</f>
        <v>0</v>
      </c>
      <c r="Q49" s="239">
        <f>IF(Q$4&gt;DAY(EOMONTH(DATE($D$2,$B$2,1),0)),"",IFERROR(SUMIFS(DATA_GOC!$H:$H,DATA_GOC!$A:$A,"BOM",DATA_GOC!$D:$D,$B49,DATA_GOC!$E:$E,"Téc 1",DATA_GOC!$F:$F,"Xuất nội bộ từ téc",DATA_GOC!$B:$B,DATE($D$2,$B$2,Q$4)),0))</f>
        <v>0</v>
      </c>
      <c r="R49" s="239">
        <f>IF(R$4&gt;DAY(EOMONTH(DATE($D$2,$B$2,1),0)),"",IFERROR(SUMIFS(DATA_GOC!$H:$H,DATA_GOC!$A:$A,"BOM",DATA_GOC!$D:$D,$B49,DATA_GOC!$E:$E,"Téc 1",DATA_GOC!$F:$F,"Xuất nội bộ từ téc",DATA_GOC!$B:$B,DATE($D$2,$B$2,R$4)),0))</f>
        <v>0</v>
      </c>
      <c r="S49" s="239">
        <f>IF(S$4&gt;DAY(EOMONTH(DATE($D$2,$B$2,1),0)),"",IFERROR(SUMIFS(DATA_GOC!$H:$H,DATA_GOC!$A:$A,"BOM",DATA_GOC!$D:$D,$B49,DATA_GOC!$E:$E,"Téc 1",DATA_GOC!$F:$F,"Xuất nội bộ từ téc",DATA_GOC!$B:$B,DATE($D$2,$B$2,S$4)),0))</f>
        <v>0</v>
      </c>
      <c r="T49" s="239">
        <f>IF(T$4&gt;DAY(EOMONTH(DATE($D$2,$B$2,1),0)),"",IFERROR(SUMIFS(DATA_GOC!$H:$H,DATA_GOC!$A:$A,"BOM",DATA_GOC!$D:$D,$B49,DATA_GOC!$E:$E,"Téc 1",DATA_GOC!$F:$F,"Xuất nội bộ từ téc",DATA_GOC!$B:$B,DATE($D$2,$B$2,T$4)),0))</f>
        <v>0</v>
      </c>
      <c r="U49" s="239">
        <f>IF(U$4&gt;DAY(EOMONTH(DATE($D$2,$B$2,1),0)),"",IFERROR(SUMIFS(DATA_GOC!$H:$H,DATA_GOC!$A:$A,"BOM",DATA_GOC!$D:$D,$B49,DATA_GOC!$E:$E,"Téc 1",DATA_GOC!$F:$F,"Xuất nội bộ từ téc",DATA_GOC!$B:$B,DATE($D$2,$B$2,U$4)),0))</f>
        <v>0</v>
      </c>
      <c r="V49" s="239">
        <f>IF(V$4&gt;DAY(EOMONTH(DATE($D$2,$B$2,1),0)),"",IFERROR(SUMIFS(DATA_GOC!$H:$H,DATA_GOC!$A:$A,"BOM",DATA_GOC!$D:$D,$B49,DATA_GOC!$E:$E,"Téc 1",DATA_GOC!$F:$F,"Xuất nội bộ từ téc",DATA_GOC!$B:$B,DATE($D$2,$B$2,V$4)),0))</f>
        <v>0</v>
      </c>
      <c r="W49" s="239">
        <f>IF(W$4&gt;DAY(EOMONTH(DATE($D$2,$B$2,1),0)),"",IFERROR(SUMIFS(DATA_GOC!$H:$H,DATA_GOC!$A:$A,"BOM",DATA_GOC!$D:$D,$B49,DATA_GOC!$E:$E,"Téc 1",DATA_GOC!$F:$F,"Xuất nội bộ từ téc",DATA_GOC!$B:$B,DATE($D$2,$B$2,W$4)),0))</f>
        <v>0</v>
      </c>
      <c r="X49" s="239">
        <f>IF(X$4&gt;DAY(EOMONTH(DATE($D$2,$B$2,1),0)),"",IFERROR(SUMIFS(DATA_GOC!$H:$H,DATA_GOC!$A:$A,"BOM",DATA_GOC!$D:$D,$B49,DATA_GOC!$E:$E,"Téc 1",DATA_GOC!$F:$F,"Xuất nội bộ từ téc",DATA_GOC!$B:$B,DATE($D$2,$B$2,X$4)),0))</f>
        <v>0</v>
      </c>
      <c r="Y49" s="239">
        <f>IF(Y$4&gt;DAY(EOMONTH(DATE($D$2,$B$2,1),0)),"",IFERROR(SUMIFS(DATA_GOC!$H:$H,DATA_GOC!$A:$A,"BOM",DATA_GOC!$D:$D,$B49,DATA_GOC!$E:$E,"Téc 1",DATA_GOC!$F:$F,"Xuất nội bộ từ téc",DATA_GOC!$B:$B,DATE($D$2,$B$2,Y$4)),0))</f>
        <v>0</v>
      </c>
      <c r="Z49" s="239">
        <f>IF(Z$4&gt;DAY(EOMONTH(DATE($D$2,$B$2,1),0)),"",IFERROR(SUMIFS(DATA_GOC!$H:$H,DATA_GOC!$A:$A,"BOM",DATA_GOC!$D:$D,$B49,DATA_GOC!$E:$E,"Téc 1",DATA_GOC!$F:$F,"Xuất nội bộ từ téc",DATA_GOC!$B:$B,DATE($D$2,$B$2,Z$4)),0))</f>
        <v>0</v>
      </c>
      <c r="AA49" s="239">
        <f>IF(AA$4&gt;DAY(EOMONTH(DATE($D$2,$B$2,1),0)),"",IFERROR(SUMIFS(DATA_GOC!$H:$H,DATA_GOC!$A:$A,"BOM",DATA_GOC!$D:$D,$B49,DATA_GOC!$E:$E,"Téc 1",DATA_GOC!$F:$F,"Xuất nội bộ từ téc",DATA_GOC!$B:$B,DATE($D$2,$B$2,AA$4)),0))</f>
        <v>0</v>
      </c>
      <c r="AB49" s="239">
        <f>IF(AB$4&gt;DAY(EOMONTH(DATE($D$2,$B$2,1),0)),"",IFERROR(SUMIFS(DATA_GOC!$H:$H,DATA_GOC!$A:$A,"BOM",DATA_GOC!$D:$D,$B49,DATA_GOC!$E:$E,"Téc 1",DATA_GOC!$F:$F,"Xuất nội bộ từ téc",DATA_GOC!$B:$B,DATE($D$2,$B$2,AB$4)),0))</f>
        <v>0</v>
      </c>
      <c r="AC49" s="239">
        <f>IF(AC$4&gt;DAY(EOMONTH(DATE($D$2,$B$2,1),0)),"",IFERROR(SUMIFS(DATA_GOC!$H:$H,DATA_GOC!$A:$A,"BOM",DATA_GOC!$D:$D,$B49,DATA_GOC!$E:$E,"Téc 1",DATA_GOC!$F:$F,"Xuất nội bộ từ téc",DATA_GOC!$B:$B,DATE($D$2,$B$2,AC$4)),0))</f>
        <v>0</v>
      </c>
      <c r="AD49" s="239">
        <f>IF(AD$4&gt;DAY(EOMONTH(DATE($D$2,$B$2,1),0)),"",IFERROR(SUMIFS(DATA_GOC!$H:$H,DATA_GOC!$A:$A,"BOM",DATA_GOC!$D:$D,$B49,DATA_GOC!$E:$E,"Téc 1",DATA_GOC!$F:$F,"Xuất nội bộ từ téc",DATA_GOC!$B:$B,DATE($D$2,$B$2,AD$4)),0))</f>
        <v>0</v>
      </c>
      <c r="AE49" s="239">
        <f>IF(AE$4&gt;DAY(EOMONTH(DATE($D$2,$B$2,1),0)),"",IFERROR(SUMIFS(DATA_GOC!$H:$H,DATA_GOC!$A:$A,"BOM",DATA_GOC!$D:$D,$B49,DATA_GOC!$E:$E,"Téc 1",DATA_GOC!$F:$F,"Xuất nội bộ từ téc",DATA_GOC!$B:$B,DATE($D$2,$B$2,AE$4)),0))</f>
        <v>0</v>
      </c>
      <c r="AF49" s="239">
        <f>IF(AF$4&gt;DAY(EOMONTH(DATE($D$2,$B$2,1),0)),"",IFERROR(SUMIFS(DATA_GOC!$H:$H,DATA_GOC!$A:$A,"BOM",DATA_GOC!$D:$D,$B49,DATA_GOC!$E:$E,"Téc 1",DATA_GOC!$F:$F,"Xuất nội bộ từ téc",DATA_GOC!$B:$B,DATE($D$2,$B$2,AF$4)),0))</f>
        <v>0</v>
      </c>
      <c r="AG49" s="239">
        <f>IF(AG$4&gt;DAY(EOMONTH(DATE($D$2,$B$2,1),0)),"",IFERROR(SUMIFS(DATA_GOC!$H:$H,DATA_GOC!$A:$A,"BOM",DATA_GOC!$D:$D,$B49,DATA_GOC!$E:$E,"Téc 1",DATA_GOC!$F:$F,"Xuất nội bộ từ téc",DATA_GOC!$B:$B,DATE($D$2,$B$2,AG$4)),0))</f>
        <v>0</v>
      </c>
      <c r="AH49" s="240">
        <f t="shared" si="1"/>
        <v>0</v>
      </c>
      <c r="AI49" s="241"/>
      <c r="AJ49" s="239">
        <f>IF($B49="","",SUMIFS(TINH_TEC!$K$233:$K$9232,TINH_TEC!$H$233:$H$9232,$B49,TINH_TEC!$C$233:$C$9232,"Téc 1",TINH_TEC!$F$233:$F$9232,$B$2,TINH_TEC!$G$233:$G$9232,$D$2,TINH_TEC!$B$233:$B$9232,"Đã chốt"))</f>
        <v>0</v>
      </c>
      <c r="AK49" s="239">
        <f>IF($B49="","",SUMIFS(TINH_TEC!$J$233:$J$9232,TINH_TEC!$H$233:$H$9232,$B49,TINH_TEC!$C$233:$C$9232,"Téc 1",TINH_TEC!$F$233:$F$9232,$B$2,TINH_TEC!$G$233:$G$9232,$D$2,TINH_TEC!$B$233:$B$9232,"Đã chốt"))</f>
        <v>0</v>
      </c>
      <c r="AL49" s="239">
        <f t="shared" si="2"/>
        <v>0</v>
      </c>
    </row>
    <row r="50" ht="15.75" customHeight="1">
      <c r="A50" s="237">
        <f>IF($B50&lt;&gt;"",45,"")</f>
        <v>45</v>
      </c>
      <c r="B50" s="238" t="str">
        <f t="array" ref="B50">IFERROR(INDEX(DANH_MUC!$E:$E,48),"")</f>
        <v>29E17539</v>
      </c>
      <c r="C50" s="239">
        <f>IF(C$4&gt;DAY(EOMONTH(DATE($D$2,$B$2,1),0)),"",IFERROR(SUMIFS(DATA_GOC!$H:$H,DATA_GOC!$A:$A,"BOM",DATA_GOC!$D:$D,$B50,DATA_GOC!$E:$E,"Téc 1",DATA_GOC!$F:$F,"Xuất nội bộ từ téc",DATA_GOC!$B:$B,DATE($D$2,$B$2,C$4)),0))</f>
        <v>0</v>
      </c>
      <c r="D50" s="239">
        <f>IF(D$4&gt;DAY(EOMONTH(DATE($D$2,$B$2,1),0)),"",IFERROR(SUMIFS(DATA_GOC!$H:$H,DATA_GOC!$A:$A,"BOM",DATA_GOC!$D:$D,$B50,DATA_GOC!$E:$E,"Téc 1",DATA_GOC!$F:$F,"Xuất nội bộ từ téc",DATA_GOC!$B:$B,DATE($D$2,$B$2,D$4)),0))</f>
        <v>0</v>
      </c>
      <c r="E50" s="239">
        <f>IF(E$4&gt;DAY(EOMONTH(DATE($D$2,$B$2,1),0)),"",IFERROR(SUMIFS(DATA_GOC!$H:$H,DATA_GOC!$A:$A,"BOM",DATA_GOC!$D:$D,$B50,DATA_GOC!$E:$E,"Téc 1",DATA_GOC!$F:$F,"Xuất nội bộ từ téc",DATA_GOC!$B:$B,DATE($D$2,$B$2,E$4)),0))</f>
        <v>0</v>
      </c>
      <c r="F50" s="239">
        <f>IF(F$4&gt;DAY(EOMONTH(DATE($D$2,$B$2,1),0)),"",IFERROR(SUMIFS(DATA_GOC!$H:$H,DATA_GOC!$A:$A,"BOM",DATA_GOC!$D:$D,$B50,DATA_GOC!$E:$E,"Téc 1",DATA_GOC!$F:$F,"Xuất nội bộ từ téc",DATA_GOC!$B:$B,DATE($D$2,$B$2,F$4)),0))</f>
        <v>0</v>
      </c>
      <c r="G50" s="239">
        <f>IF(G$4&gt;DAY(EOMONTH(DATE($D$2,$B$2,1),0)),"",IFERROR(SUMIFS(DATA_GOC!$H:$H,DATA_GOC!$A:$A,"BOM",DATA_GOC!$D:$D,$B50,DATA_GOC!$E:$E,"Téc 1",DATA_GOC!$F:$F,"Xuất nội bộ từ téc",DATA_GOC!$B:$B,DATE($D$2,$B$2,G$4)),0))</f>
        <v>0</v>
      </c>
      <c r="H50" s="239">
        <f>IF(H$4&gt;DAY(EOMONTH(DATE($D$2,$B$2,1),0)),"",IFERROR(SUMIFS(DATA_GOC!$H:$H,DATA_GOC!$A:$A,"BOM",DATA_GOC!$D:$D,$B50,DATA_GOC!$E:$E,"Téc 1",DATA_GOC!$F:$F,"Xuất nội bộ từ téc",DATA_GOC!$B:$B,DATE($D$2,$B$2,H$4)),0))</f>
        <v>0</v>
      </c>
      <c r="I50" s="239">
        <f>IF(I$4&gt;DAY(EOMONTH(DATE($D$2,$B$2,1),0)),"",IFERROR(SUMIFS(DATA_GOC!$H:$H,DATA_GOC!$A:$A,"BOM",DATA_GOC!$D:$D,$B50,DATA_GOC!$E:$E,"Téc 1",DATA_GOC!$F:$F,"Xuất nội bộ từ téc",DATA_GOC!$B:$B,DATE($D$2,$B$2,I$4)),0))</f>
        <v>0</v>
      </c>
      <c r="J50" s="239">
        <f>IF(J$4&gt;DAY(EOMONTH(DATE($D$2,$B$2,1),0)),"",IFERROR(SUMIFS(DATA_GOC!$H:$H,DATA_GOC!$A:$A,"BOM",DATA_GOC!$D:$D,$B50,DATA_GOC!$E:$E,"Téc 1",DATA_GOC!$F:$F,"Xuất nội bộ từ téc",DATA_GOC!$B:$B,DATE($D$2,$B$2,J$4)),0))</f>
        <v>0</v>
      </c>
      <c r="K50" s="239">
        <f>IF(K$4&gt;DAY(EOMONTH(DATE($D$2,$B$2,1),0)),"",IFERROR(SUMIFS(DATA_GOC!$H:$H,DATA_GOC!$A:$A,"BOM",DATA_GOC!$D:$D,$B50,DATA_GOC!$E:$E,"Téc 1",DATA_GOC!$F:$F,"Xuất nội bộ từ téc",DATA_GOC!$B:$B,DATE($D$2,$B$2,K$4)),0))</f>
        <v>0</v>
      </c>
      <c r="L50" s="239">
        <f>IF(L$4&gt;DAY(EOMONTH(DATE($D$2,$B$2,1),0)),"",IFERROR(SUMIFS(DATA_GOC!$H:$H,DATA_GOC!$A:$A,"BOM",DATA_GOC!$D:$D,$B50,DATA_GOC!$E:$E,"Téc 1",DATA_GOC!$F:$F,"Xuất nội bộ từ téc",DATA_GOC!$B:$B,DATE($D$2,$B$2,L$4)),0))</f>
        <v>0</v>
      </c>
      <c r="M50" s="239">
        <f>IF(M$4&gt;DAY(EOMONTH(DATE($D$2,$B$2,1),0)),"",IFERROR(SUMIFS(DATA_GOC!$H:$H,DATA_GOC!$A:$A,"BOM",DATA_GOC!$D:$D,$B50,DATA_GOC!$E:$E,"Téc 1",DATA_GOC!$F:$F,"Xuất nội bộ từ téc",DATA_GOC!$B:$B,DATE($D$2,$B$2,M$4)),0))</f>
        <v>0</v>
      </c>
      <c r="N50" s="239">
        <f>IF(N$4&gt;DAY(EOMONTH(DATE($D$2,$B$2,1),0)),"",IFERROR(SUMIFS(DATA_GOC!$H:$H,DATA_GOC!$A:$A,"BOM",DATA_GOC!$D:$D,$B50,DATA_GOC!$E:$E,"Téc 1",DATA_GOC!$F:$F,"Xuất nội bộ từ téc",DATA_GOC!$B:$B,DATE($D$2,$B$2,N$4)),0))</f>
        <v>0</v>
      </c>
      <c r="O50" s="239">
        <f>IF(O$4&gt;DAY(EOMONTH(DATE($D$2,$B$2,1),0)),"",IFERROR(SUMIFS(DATA_GOC!$H:$H,DATA_GOC!$A:$A,"BOM",DATA_GOC!$D:$D,$B50,DATA_GOC!$E:$E,"Téc 1",DATA_GOC!$F:$F,"Xuất nội bộ từ téc",DATA_GOC!$B:$B,DATE($D$2,$B$2,O$4)),0))</f>
        <v>0</v>
      </c>
      <c r="P50" s="239">
        <f>IF(P$4&gt;DAY(EOMONTH(DATE($D$2,$B$2,1),0)),"",IFERROR(SUMIFS(DATA_GOC!$H:$H,DATA_GOC!$A:$A,"BOM",DATA_GOC!$D:$D,$B50,DATA_GOC!$E:$E,"Téc 1",DATA_GOC!$F:$F,"Xuất nội bộ từ téc",DATA_GOC!$B:$B,DATE($D$2,$B$2,P$4)),0))</f>
        <v>0</v>
      </c>
      <c r="Q50" s="239">
        <f>IF(Q$4&gt;DAY(EOMONTH(DATE($D$2,$B$2,1),0)),"",IFERROR(SUMIFS(DATA_GOC!$H:$H,DATA_GOC!$A:$A,"BOM",DATA_GOC!$D:$D,$B50,DATA_GOC!$E:$E,"Téc 1",DATA_GOC!$F:$F,"Xuất nội bộ từ téc",DATA_GOC!$B:$B,DATE($D$2,$B$2,Q$4)),0))</f>
        <v>0</v>
      </c>
      <c r="R50" s="239">
        <f>IF(R$4&gt;DAY(EOMONTH(DATE($D$2,$B$2,1),0)),"",IFERROR(SUMIFS(DATA_GOC!$H:$H,DATA_GOC!$A:$A,"BOM",DATA_GOC!$D:$D,$B50,DATA_GOC!$E:$E,"Téc 1",DATA_GOC!$F:$F,"Xuất nội bộ từ téc",DATA_GOC!$B:$B,DATE($D$2,$B$2,R$4)),0))</f>
        <v>0</v>
      </c>
      <c r="S50" s="239">
        <f>IF(S$4&gt;DAY(EOMONTH(DATE($D$2,$B$2,1),0)),"",IFERROR(SUMIFS(DATA_GOC!$H:$H,DATA_GOC!$A:$A,"BOM",DATA_GOC!$D:$D,$B50,DATA_GOC!$E:$E,"Téc 1",DATA_GOC!$F:$F,"Xuất nội bộ từ téc",DATA_GOC!$B:$B,DATE($D$2,$B$2,S$4)),0))</f>
        <v>0</v>
      </c>
      <c r="T50" s="239">
        <f>IF(T$4&gt;DAY(EOMONTH(DATE($D$2,$B$2,1),0)),"",IFERROR(SUMIFS(DATA_GOC!$H:$H,DATA_GOC!$A:$A,"BOM",DATA_GOC!$D:$D,$B50,DATA_GOC!$E:$E,"Téc 1",DATA_GOC!$F:$F,"Xuất nội bộ từ téc",DATA_GOC!$B:$B,DATE($D$2,$B$2,T$4)),0))</f>
        <v>0</v>
      </c>
      <c r="U50" s="239">
        <f>IF(U$4&gt;DAY(EOMONTH(DATE($D$2,$B$2,1),0)),"",IFERROR(SUMIFS(DATA_GOC!$H:$H,DATA_GOC!$A:$A,"BOM",DATA_GOC!$D:$D,$B50,DATA_GOC!$E:$E,"Téc 1",DATA_GOC!$F:$F,"Xuất nội bộ từ téc",DATA_GOC!$B:$B,DATE($D$2,$B$2,U$4)),0))</f>
        <v>0</v>
      </c>
      <c r="V50" s="239">
        <f>IF(V$4&gt;DAY(EOMONTH(DATE($D$2,$B$2,1),0)),"",IFERROR(SUMIFS(DATA_GOC!$H:$H,DATA_GOC!$A:$A,"BOM",DATA_GOC!$D:$D,$B50,DATA_GOC!$E:$E,"Téc 1",DATA_GOC!$F:$F,"Xuất nội bộ từ téc",DATA_GOC!$B:$B,DATE($D$2,$B$2,V$4)),0))</f>
        <v>0</v>
      </c>
      <c r="W50" s="239">
        <f>IF(W$4&gt;DAY(EOMONTH(DATE($D$2,$B$2,1),0)),"",IFERROR(SUMIFS(DATA_GOC!$H:$H,DATA_GOC!$A:$A,"BOM",DATA_GOC!$D:$D,$B50,DATA_GOC!$E:$E,"Téc 1",DATA_GOC!$F:$F,"Xuất nội bộ từ téc",DATA_GOC!$B:$B,DATE($D$2,$B$2,W$4)),0))</f>
        <v>0</v>
      </c>
      <c r="X50" s="239">
        <f>IF(X$4&gt;DAY(EOMONTH(DATE($D$2,$B$2,1),0)),"",IFERROR(SUMIFS(DATA_GOC!$H:$H,DATA_GOC!$A:$A,"BOM",DATA_GOC!$D:$D,$B50,DATA_GOC!$E:$E,"Téc 1",DATA_GOC!$F:$F,"Xuất nội bộ từ téc",DATA_GOC!$B:$B,DATE($D$2,$B$2,X$4)),0))</f>
        <v>0</v>
      </c>
      <c r="Y50" s="239">
        <f>IF(Y$4&gt;DAY(EOMONTH(DATE($D$2,$B$2,1),0)),"",IFERROR(SUMIFS(DATA_GOC!$H:$H,DATA_GOC!$A:$A,"BOM",DATA_GOC!$D:$D,$B50,DATA_GOC!$E:$E,"Téc 1",DATA_GOC!$F:$F,"Xuất nội bộ từ téc",DATA_GOC!$B:$B,DATE($D$2,$B$2,Y$4)),0))</f>
        <v>0</v>
      </c>
      <c r="Z50" s="239">
        <f>IF(Z$4&gt;DAY(EOMONTH(DATE($D$2,$B$2,1),0)),"",IFERROR(SUMIFS(DATA_GOC!$H:$H,DATA_GOC!$A:$A,"BOM",DATA_GOC!$D:$D,$B50,DATA_GOC!$E:$E,"Téc 1",DATA_GOC!$F:$F,"Xuất nội bộ từ téc",DATA_GOC!$B:$B,DATE($D$2,$B$2,Z$4)),0))</f>
        <v>0</v>
      </c>
      <c r="AA50" s="239">
        <f>IF(AA$4&gt;DAY(EOMONTH(DATE($D$2,$B$2,1),0)),"",IFERROR(SUMIFS(DATA_GOC!$H:$H,DATA_GOC!$A:$A,"BOM",DATA_GOC!$D:$D,$B50,DATA_GOC!$E:$E,"Téc 1",DATA_GOC!$F:$F,"Xuất nội bộ từ téc",DATA_GOC!$B:$B,DATE($D$2,$B$2,AA$4)),0))</f>
        <v>0</v>
      </c>
      <c r="AB50" s="239">
        <f>IF(AB$4&gt;DAY(EOMONTH(DATE($D$2,$B$2,1),0)),"",IFERROR(SUMIFS(DATA_GOC!$H:$H,DATA_GOC!$A:$A,"BOM",DATA_GOC!$D:$D,$B50,DATA_GOC!$E:$E,"Téc 1",DATA_GOC!$F:$F,"Xuất nội bộ từ téc",DATA_GOC!$B:$B,DATE($D$2,$B$2,AB$4)),0))</f>
        <v>0</v>
      </c>
      <c r="AC50" s="239">
        <f>IF(AC$4&gt;DAY(EOMONTH(DATE($D$2,$B$2,1),0)),"",IFERROR(SUMIFS(DATA_GOC!$H:$H,DATA_GOC!$A:$A,"BOM",DATA_GOC!$D:$D,$B50,DATA_GOC!$E:$E,"Téc 1",DATA_GOC!$F:$F,"Xuất nội bộ từ téc",DATA_GOC!$B:$B,DATE($D$2,$B$2,AC$4)),0))</f>
        <v>0</v>
      </c>
      <c r="AD50" s="239">
        <f>IF(AD$4&gt;DAY(EOMONTH(DATE($D$2,$B$2,1),0)),"",IFERROR(SUMIFS(DATA_GOC!$H:$H,DATA_GOC!$A:$A,"BOM",DATA_GOC!$D:$D,$B50,DATA_GOC!$E:$E,"Téc 1",DATA_GOC!$F:$F,"Xuất nội bộ từ téc",DATA_GOC!$B:$B,DATE($D$2,$B$2,AD$4)),0))</f>
        <v>0</v>
      </c>
      <c r="AE50" s="239">
        <f>IF(AE$4&gt;DAY(EOMONTH(DATE($D$2,$B$2,1),0)),"",IFERROR(SUMIFS(DATA_GOC!$H:$H,DATA_GOC!$A:$A,"BOM",DATA_GOC!$D:$D,$B50,DATA_GOC!$E:$E,"Téc 1",DATA_GOC!$F:$F,"Xuất nội bộ từ téc",DATA_GOC!$B:$B,DATE($D$2,$B$2,AE$4)),0))</f>
        <v>0</v>
      </c>
      <c r="AF50" s="239">
        <f>IF(AF$4&gt;DAY(EOMONTH(DATE($D$2,$B$2,1),0)),"",IFERROR(SUMIFS(DATA_GOC!$H:$H,DATA_GOC!$A:$A,"BOM",DATA_GOC!$D:$D,$B50,DATA_GOC!$E:$E,"Téc 1",DATA_GOC!$F:$F,"Xuất nội bộ từ téc",DATA_GOC!$B:$B,DATE($D$2,$B$2,AF$4)),0))</f>
        <v>0</v>
      </c>
      <c r="AG50" s="239">
        <f>IF(AG$4&gt;DAY(EOMONTH(DATE($D$2,$B$2,1),0)),"",IFERROR(SUMIFS(DATA_GOC!$H:$H,DATA_GOC!$A:$A,"BOM",DATA_GOC!$D:$D,$B50,DATA_GOC!$E:$E,"Téc 1",DATA_GOC!$F:$F,"Xuất nội bộ từ téc",DATA_GOC!$B:$B,DATE($D$2,$B$2,AG$4)),0))</f>
        <v>0</v>
      </c>
      <c r="AH50" s="240">
        <f t="shared" si="1"/>
        <v>0</v>
      </c>
      <c r="AI50" s="241"/>
      <c r="AJ50" s="239">
        <f>IF($B50="","",SUMIFS(TINH_TEC!$K$233:$K$9232,TINH_TEC!$H$233:$H$9232,$B50,TINH_TEC!$C$233:$C$9232,"Téc 1",TINH_TEC!$F$233:$F$9232,$B$2,TINH_TEC!$G$233:$G$9232,$D$2,TINH_TEC!$B$233:$B$9232,"Đã chốt"))</f>
        <v>0</v>
      </c>
      <c r="AK50" s="239">
        <f>IF($B50="","",SUMIFS(TINH_TEC!$J$233:$J$9232,TINH_TEC!$H$233:$H$9232,$B50,TINH_TEC!$C$233:$C$9232,"Téc 1",TINH_TEC!$F$233:$F$9232,$B$2,TINH_TEC!$G$233:$G$9232,$D$2,TINH_TEC!$B$233:$B$9232,"Đã chốt"))</f>
        <v>0</v>
      </c>
      <c r="AL50" s="239">
        <f t="shared" si="2"/>
        <v>0</v>
      </c>
    </row>
    <row r="51" ht="15.75" customHeight="1">
      <c r="A51" s="237">
        <f>IF($B51&lt;&gt;"",46,"")</f>
        <v>46</v>
      </c>
      <c r="B51" s="238" t="str">
        <f t="array" ref="B51">IFERROR(INDEX(DANH_MUC!$E:$E,49),"")</f>
        <v>29E18160</v>
      </c>
      <c r="C51" s="239">
        <f>IF(C$4&gt;DAY(EOMONTH(DATE($D$2,$B$2,1),0)),"",IFERROR(SUMIFS(DATA_GOC!$H:$H,DATA_GOC!$A:$A,"BOM",DATA_GOC!$D:$D,$B51,DATA_GOC!$E:$E,"Téc 1",DATA_GOC!$F:$F,"Xuất nội bộ từ téc",DATA_GOC!$B:$B,DATE($D$2,$B$2,C$4)),0))</f>
        <v>0</v>
      </c>
      <c r="D51" s="239">
        <f>IF(D$4&gt;DAY(EOMONTH(DATE($D$2,$B$2,1),0)),"",IFERROR(SUMIFS(DATA_GOC!$H:$H,DATA_GOC!$A:$A,"BOM",DATA_GOC!$D:$D,$B51,DATA_GOC!$E:$E,"Téc 1",DATA_GOC!$F:$F,"Xuất nội bộ từ téc",DATA_GOC!$B:$B,DATE($D$2,$B$2,D$4)),0))</f>
        <v>0</v>
      </c>
      <c r="E51" s="239">
        <f>IF(E$4&gt;DAY(EOMONTH(DATE($D$2,$B$2,1),0)),"",IFERROR(SUMIFS(DATA_GOC!$H:$H,DATA_GOC!$A:$A,"BOM",DATA_GOC!$D:$D,$B51,DATA_GOC!$E:$E,"Téc 1",DATA_GOC!$F:$F,"Xuất nội bộ từ téc",DATA_GOC!$B:$B,DATE($D$2,$B$2,E$4)),0))</f>
        <v>0</v>
      </c>
      <c r="F51" s="239">
        <f>IF(F$4&gt;DAY(EOMONTH(DATE($D$2,$B$2,1),0)),"",IFERROR(SUMIFS(DATA_GOC!$H:$H,DATA_GOC!$A:$A,"BOM",DATA_GOC!$D:$D,$B51,DATA_GOC!$E:$E,"Téc 1",DATA_GOC!$F:$F,"Xuất nội bộ từ téc",DATA_GOC!$B:$B,DATE($D$2,$B$2,F$4)),0))</f>
        <v>0</v>
      </c>
      <c r="G51" s="239">
        <f>IF(G$4&gt;DAY(EOMONTH(DATE($D$2,$B$2,1),0)),"",IFERROR(SUMIFS(DATA_GOC!$H:$H,DATA_GOC!$A:$A,"BOM",DATA_GOC!$D:$D,$B51,DATA_GOC!$E:$E,"Téc 1",DATA_GOC!$F:$F,"Xuất nội bộ từ téc",DATA_GOC!$B:$B,DATE($D$2,$B$2,G$4)),0))</f>
        <v>0</v>
      </c>
      <c r="H51" s="239">
        <f>IF(H$4&gt;DAY(EOMONTH(DATE($D$2,$B$2,1),0)),"",IFERROR(SUMIFS(DATA_GOC!$H:$H,DATA_GOC!$A:$A,"BOM",DATA_GOC!$D:$D,$B51,DATA_GOC!$E:$E,"Téc 1",DATA_GOC!$F:$F,"Xuất nội bộ từ téc",DATA_GOC!$B:$B,DATE($D$2,$B$2,H$4)),0))</f>
        <v>0</v>
      </c>
      <c r="I51" s="239">
        <f>IF(I$4&gt;DAY(EOMONTH(DATE($D$2,$B$2,1),0)),"",IFERROR(SUMIFS(DATA_GOC!$H:$H,DATA_GOC!$A:$A,"BOM",DATA_GOC!$D:$D,$B51,DATA_GOC!$E:$E,"Téc 1",DATA_GOC!$F:$F,"Xuất nội bộ từ téc",DATA_GOC!$B:$B,DATE($D$2,$B$2,I$4)),0))</f>
        <v>0</v>
      </c>
      <c r="J51" s="239">
        <f>IF(J$4&gt;DAY(EOMONTH(DATE($D$2,$B$2,1),0)),"",IFERROR(SUMIFS(DATA_GOC!$H:$H,DATA_GOC!$A:$A,"BOM",DATA_GOC!$D:$D,$B51,DATA_GOC!$E:$E,"Téc 1",DATA_GOC!$F:$F,"Xuất nội bộ từ téc",DATA_GOC!$B:$B,DATE($D$2,$B$2,J$4)),0))</f>
        <v>0</v>
      </c>
      <c r="K51" s="239">
        <f>IF(K$4&gt;DAY(EOMONTH(DATE($D$2,$B$2,1),0)),"",IFERROR(SUMIFS(DATA_GOC!$H:$H,DATA_GOC!$A:$A,"BOM",DATA_GOC!$D:$D,$B51,DATA_GOC!$E:$E,"Téc 1",DATA_GOC!$F:$F,"Xuất nội bộ từ téc",DATA_GOC!$B:$B,DATE($D$2,$B$2,K$4)),0))</f>
        <v>0</v>
      </c>
      <c r="L51" s="239">
        <f>IF(L$4&gt;DAY(EOMONTH(DATE($D$2,$B$2,1),0)),"",IFERROR(SUMIFS(DATA_GOC!$H:$H,DATA_GOC!$A:$A,"BOM",DATA_GOC!$D:$D,$B51,DATA_GOC!$E:$E,"Téc 1",DATA_GOC!$F:$F,"Xuất nội bộ từ téc",DATA_GOC!$B:$B,DATE($D$2,$B$2,L$4)),0))</f>
        <v>0</v>
      </c>
      <c r="M51" s="239">
        <f>IF(M$4&gt;DAY(EOMONTH(DATE($D$2,$B$2,1),0)),"",IFERROR(SUMIFS(DATA_GOC!$H:$H,DATA_GOC!$A:$A,"BOM",DATA_GOC!$D:$D,$B51,DATA_GOC!$E:$E,"Téc 1",DATA_GOC!$F:$F,"Xuất nội bộ từ téc",DATA_GOC!$B:$B,DATE($D$2,$B$2,M$4)),0))</f>
        <v>0</v>
      </c>
      <c r="N51" s="239">
        <f>IF(N$4&gt;DAY(EOMONTH(DATE($D$2,$B$2,1),0)),"",IFERROR(SUMIFS(DATA_GOC!$H:$H,DATA_GOC!$A:$A,"BOM",DATA_GOC!$D:$D,$B51,DATA_GOC!$E:$E,"Téc 1",DATA_GOC!$F:$F,"Xuất nội bộ từ téc",DATA_GOC!$B:$B,DATE($D$2,$B$2,N$4)),0))</f>
        <v>0</v>
      </c>
      <c r="O51" s="239">
        <f>IF(O$4&gt;DAY(EOMONTH(DATE($D$2,$B$2,1),0)),"",IFERROR(SUMIFS(DATA_GOC!$H:$H,DATA_GOC!$A:$A,"BOM",DATA_GOC!$D:$D,$B51,DATA_GOC!$E:$E,"Téc 1",DATA_GOC!$F:$F,"Xuất nội bộ từ téc",DATA_GOC!$B:$B,DATE($D$2,$B$2,O$4)),0))</f>
        <v>0</v>
      </c>
      <c r="P51" s="239">
        <f>IF(P$4&gt;DAY(EOMONTH(DATE($D$2,$B$2,1),0)),"",IFERROR(SUMIFS(DATA_GOC!$H:$H,DATA_GOC!$A:$A,"BOM",DATA_GOC!$D:$D,$B51,DATA_GOC!$E:$E,"Téc 1",DATA_GOC!$F:$F,"Xuất nội bộ từ téc",DATA_GOC!$B:$B,DATE($D$2,$B$2,P$4)),0))</f>
        <v>0</v>
      </c>
      <c r="Q51" s="239">
        <f>IF(Q$4&gt;DAY(EOMONTH(DATE($D$2,$B$2,1),0)),"",IFERROR(SUMIFS(DATA_GOC!$H:$H,DATA_GOC!$A:$A,"BOM",DATA_GOC!$D:$D,$B51,DATA_GOC!$E:$E,"Téc 1",DATA_GOC!$F:$F,"Xuất nội bộ từ téc",DATA_GOC!$B:$B,DATE($D$2,$B$2,Q$4)),0))</f>
        <v>0</v>
      </c>
      <c r="R51" s="239">
        <f>IF(R$4&gt;DAY(EOMONTH(DATE($D$2,$B$2,1),0)),"",IFERROR(SUMIFS(DATA_GOC!$H:$H,DATA_GOC!$A:$A,"BOM",DATA_GOC!$D:$D,$B51,DATA_GOC!$E:$E,"Téc 1",DATA_GOC!$F:$F,"Xuất nội bộ từ téc",DATA_GOC!$B:$B,DATE($D$2,$B$2,R$4)),0))</f>
        <v>0</v>
      </c>
      <c r="S51" s="239">
        <f>IF(S$4&gt;DAY(EOMONTH(DATE($D$2,$B$2,1),0)),"",IFERROR(SUMIFS(DATA_GOC!$H:$H,DATA_GOC!$A:$A,"BOM",DATA_GOC!$D:$D,$B51,DATA_GOC!$E:$E,"Téc 1",DATA_GOC!$F:$F,"Xuất nội bộ từ téc",DATA_GOC!$B:$B,DATE($D$2,$B$2,S$4)),0))</f>
        <v>0</v>
      </c>
      <c r="T51" s="239">
        <f>IF(T$4&gt;DAY(EOMONTH(DATE($D$2,$B$2,1),0)),"",IFERROR(SUMIFS(DATA_GOC!$H:$H,DATA_GOC!$A:$A,"BOM",DATA_GOC!$D:$D,$B51,DATA_GOC!$E:$E,"Téc 1",DATA_GOC!$F:$F,"Xuất nội bộ từ téc",DATA_GOC!$B:$B,DATE($D$2,$B$2,T$4)),0))</f>
        <v>0</v>
      </c>
      <c r="U51" s="239">
        <f>IF(U$4&gt;DAY(EOMONTH(DATE($D$2,$B$2,1),0)),"",IFERROR(SUMIFS(DATA_GOC!$H:$H,DATA_GOC!$A:$A,"BOM",DATA_GOC!$D:$D,$B51,DATA_GOC!$E:$E,"Téc 1",DATA_GOC!$F:$F,"Xuất nội bộ từ téc",DATA_GOC!$B:$B,DATE($D$2,$B$2,U$4)),0))</f>
        <v>0</v>
      </c>
      <c r="V51" s="239">
        <f>IF(V$4&gt;DAY(EOMONTH(DATE($D$2,$B$2,1),0)),"",IFERROR(SUMIFS(DATA_GOC!$H:$H,DATA_GOC!$A:$A,"BOM",DATA_GOC!$D:$D,$B51,DATA_GOC!$E:$E,"Téc 1",DATA_GOC!$F:$F,"Xuất nội bộ từ téc",DATA_GOC!$B:$B,DATE($D$2,$B$2,V$4)),0))</f>
        <v>0</v>
      </c>
      <c r="W51" s="239">
        <f>IF(W$4&gt;DAY(EOMONTH(DATE($D$2,$B$2,1),0)),"",IFERROR(SUMIFS(DATA_GOC!$H:$H,DATA_GOC!$A:$A,"BOM",DATA_GOC!$D:$D,$B51,DATA_GOC!$E:$E,"Téc 1",DATA_GOC!$F:$F,"Xuất nội bộ từ téc",DATA_GOC!$B:$B,DATE($D$2,$B$2,W$4)),0))</f>
        <v>0</v>
      </c>
      <c r="X51" s="239">
        <f>IF(X$4&gt;DAY(EOMONTH(DATE($D$2,$B$2,1),0)),"",IFERROR(SUMIFS(DATA_GOC!$H:$H,DATA_GOC!$A:$A,"BOM",DATA_GOC!$D:$D,$B51,DATA_GOC!$E:$E,"Téc 1",DATA_GOC!$F:$F,"Xuất nội bộ từ téc",DATA_GOC!$B:$B,DATE($D$2,$B$2,X$4)),0))</f>
        <v>0</v>
      </c>
      <c r="Y51" s="239">
        <f>IF(Y$4&gt;DAY(EOMONTH(DATE($D$2,$B$2,1),0)),"",IFERROR(SUMIFS(DATA_GOC!$H:$H,DATA_GOC!$A:$A,"BOM",DATA_GOC!$D:$D,$B51,DATA_GOC!$E:$E,"Téc 1",DATA_GOC!$F:$F,"Xuất nội bộ từ téc",DATA_GOC!$B:$B,DATE($D$2,$B$2,Y$4)),0))</f>
        <v>0</v>
      </c>
      <c r="Z51" s="239">
        <f>IF(Z$4&gt;DAY(EOMONTH(DATE($D$2,$B$2,1),0)),"",IFERROR(SUMIFS(DATA_GOC!$H:$H,DATA_GOC!$A:$A,"BOM",DATA_GOC!$D:$D,$B51,DATA_GOC!$E:$E,"Téc 1",DATA_GOC!$F:$F,"Xuất nội bộ từ téc",DATA_GOC!$B:$B,DATE($D$2,$B$2,Z$4)),0))</f>
        <v>0</v>
      </c>
      <c r="AA51" s="239">
        <f>IF(AA$4&gt;DAY(EOMONTH(DATE($D$2,$B$2,1),0)),"",IFERROR(SUMIFS(DATA_GOC!$H:$H,DATA_GOC!$A:$A,"BOM",DATA_GOC!$D:$D,$B51,DATA_GOC!$E:$E,"Téc 1",DATA_GOC!$F:$F,"Xuất nội bộ từ téc",DATA_GOC!$B:$B,DATE($D$2,$B$2,AA$4)),0))</f>
        <v>0</v>
      </c>
      <c r="AB51" s="239">
        <f>IF(AB$4&gt;DAY(EOMONTH(DATE($D$2,$B$2,1),0)),"",IFERROR(SUMIFS(DATA_GOC!$H:$H,DATA_GOC!$A:$A,"BOM",DATA_GOC!$D:$D,$B51,DATA_GOC!$E:$E,"Téc 1",DATA_GOC!$F:$F,"Xuất nội bộ từ téc",DATA_GOC!$B:$B,DATE($D$2,$B$2,AB$4)),0))</f>
        <v>0</v>
      </c>
      <c r="AC51" s="239">
        <f>IF(AC$4&gt;DAY(EOMONTH(DATE($D$2,$B$2,1),0)),"",IFERROR(SUMIFS(DATA_GOC!$H:$H,DATA_GOC!$A:$A,"BOM",DATA_GOC!$D:$D,$B51,DATA_GOC!$E:$E,"Téc 1",DATA_GOC!$F:$F,"Xuất nội bộ từ téc",DATA_GOC!$B:$B,DATE($D$2,$B$2,AC$4)),0))</f>
        <v>0</v>
      </c>
      <c r="AD51" s="239">
        <f>IF(AD$4&gt;DAY(EOMONTH(DATE($D$2,$B$2,1),0)),"",IFERROR(SUMIFS(DATA_GOC!$H:$H,DATA_GOC!$A:$A,"BOM",DATA_GOC!$D:$D,$B51,DATA_GOC!$E:$E,"Téc 1",DATA_GOC!$F:$F,"Xuất nội bộ từ téc",DATA_GOC!$B:$B,DATE($D$2,$B$2,AD$4)),0))</f>
        <v>0</v>
      </c>
      <c r="AE51" s="239">
        <f>IF(AE$4&gt;DAY(EOMONTH(DATE($D$2,$B$2,1),0)),"",IFERROR(SUMIFS(DATA_GOC!$H:$H,DATA_GOC!$A:$A,"BOM",DATA_GOC!$D:$D,$B51,DATA_GOC!$E:$E,"Téc 1",DATA_GOC!$F:$F,"Xuất nội bộ từ téc",DATA_GOC!$B:$B,DATE($D$2,$B$2,AE$4)),0))</f>
        <v>0</v>
      </c>
      <c r="AF51" s="239">
        <f>IF(AF$4&gt;DAY(EOMONTH(DATE($D$2,$B$2,1),0)),"",IFERROR(SUMIFS(DATA_GOC!$H:$H,DATA_GOC!$A:$A,"BOM",DATA_GOC!$D:$D,$B51,DATA_GOC!$E:$E,"Téc 1",DATA_GOC!$F:$F,"Xuất nội bộ từ téc",DATA_GOC!$B:$B,DATE($D$2,$B$2,AF$4)),0))</f>
        <v>0</v>
      </c>
      <c r="AG51" s="239">
        <f>IF(AG$4&gt;DAY(EOMONTH(DATE($D$2,$B$2,1),0)),"",IFERROR(SUMIFS(DATA_GOC!$H:$H,DATA_GOC!$A:$A,"BOM",DATA_GOC!$D:$D,$B51,DATA_GOC!$E:$E,"Téc 1",DATA_GOC!$F:$F,"Xuất nội bộ từ téc",DATA_GOC!$B:$B,DATE($D$2,$B$2,AG$4)),0))</f>
        <v>0</v>
      </c>
      <c r="AH51" s="240">
        <f t="shared" si="1"/>
        <v>0</v>
      </c>
      <c r="AI51" s="241"/>
      <c r="AJ51" s="239">
        <f>IF($B51="","",SUMIFS(TINH_TEC!$K$233:$K$9232,TINH_TEC!$H$233:$H$9232,$B51,TINH_TEC!$C$233:$C$9232,"Téc 1",TINH_TEC!$F$233:$F$9232,$B$2,TINH_TEC!$G$233:$G$9232,$D$2,TINH_TEC!$B$233:$B$9232,"Đã chốt"))</f>
        <v>0</v>
      </c>
      <c r="AK51" s="239">
        <f>IF($B51="","",SUMIFS(TINH_TEC!$J$233:$J$9232,TINH_TEC!$H$233:$H$9232,$B51,TINH_TEC!$C$233:$C$9232,"Téc 1",TINH_TEC!$F$233:$F$9232,$B$2,TINH_TEC!$G$233:$G$9232,$D$2,TINH_TEC!$B$233:$B$9232,"Đã chốt"))</f>
        <v>0</v>
      </c>
      <c r="AL51" s="239">
        <f t="shared" si="2"/>
        <v>0</v>
      </c>
    </row>
    <row r="52" ht="15.75" customHeight="1">
      <c r="A52" s="237">
        <f>IF($B52&lt;&gt;"",47,"")</f>
        <v>47</v>
      </c>
      <c r="B52" s="238" t="str">
        <f t="array" ref="B52">IFERROR(INDEX(DANH_MUC!$E:$E,50),"")</f>
        <v>Công trình Asphalt</v>
      </c>
      <c r="C52" s="239">
        <f>IF(C$4&gt;DAY(EOMONTH(DATE($D$2,$B$2,1),0)),"",IFERROR(SUMIFS(DATA_GOC!$H:$H,DATA_GOC!$A:$A,"BOM",DATA_GOC!$D:$D,$B52,DATA_GOC!$E:$E,"Téc 1",DATA_GOC!$F:$F,"Xuất nội bộ từ téc",DATA_GOC!$B:$B,DATE($D$2,$B$2,C$4)),0))</f>
        <v>0</v>
      </c>
      <c r="D52" s="239">
        <f>IF(D$4&gt;DAY(EOMONTH(DATE($D$2,$B$2,1),0)),"",IFERROR(SUMIFS(DATA_GOC!$H:$H,DATA_GOC!$A:$A,"BOM",DATA_GOC!$D:$D,$B52,DATA_GOC!$E:$E,"Téc 1",DATA_GOC!$F:$F,"Xuất nội bộ từ téc",DATA_GOC!$B:$B,DATE($D$2,$B$2,D$4)),0))</f>
        <v>0</v>
      </c>
      <c r="E52" s="239">
        <f>IF(E$4&gt;DAY(EOMONTH(DATE($D$2,$B$2,1),0)),"",IFERROR(SUMIFS(DATA_GOC!$H:$H,DATA_GOC!$A:$A,"BOM",DATA_GOC!$D:$D,$B52,DATA_GOC!$E:$E,"Téc 1",DATA_GOC!$F:$F,"Xuất nội bộ từ téc",DATA_GOC!$B:$B,DATE($D$2,$B$2,E$4)),0))</f>
        <v>0</v>
      </c>
      <c r="F52" s="239">
        <f>IF(F$4&gt;DAY(EOMONTH(DATE($D$2,$B$2,1),0)),"",IFERROR(SUMIFS(DATA_GOC!$H:$H,DATA_GOC!$A:$A,"BOM",DATA_GOC!$D:$D,$B52,DATA_GOC!$E:$E,"Téc 1",DATA_GOC!$F:$F,"Xuất nội bộ từ téc",DATA_GOC!$B:$B,DATE($D$2,$B$2,F$4)),0))</f>
        <v>0</v>
      </c>
      <c r="G52" s="239">
        <f>IF(G$4&gt;DAY(EOMONTH(DATE($D$2,$B$2,1),0)),"",IFERROR(SUMIFS(DATA_GOC!$H:$H,DATA_GOC!$A:$A,"BOM",DATA_GOC!$D:$D,$B52,DATA_GOC!$E:$E,"Téc 1",DATA_GOC!$F:$F,"Xuất nội bộ từ téc",DATA_GOC!$B:$B,DATE($D$2,$B$2,G$4)),0))</f>
        <v>0</v>
      </c>
      <c r="H52" s="239">
        <f>IF(H$4&gt;DAY(EOMONTH(DATE($D$2,$B$2,1),0)),"",IFERROR(SUMIFS(DATA_GOC!$H:$H,DATA_GOC!$A:$A,"BOM",DATA_GOC!$D:$D,$B52,DATA_GOC!$E:$E,"Téc 1",DATA_GOC!$F:$F,"Xuất nội bộ từ téc",DATA_GOC!$B:$B,DATE($D$2,$B$2,H$4)),0))</f>
        <v>0</v>
      </c>
      <c r="I52" s="239">
        <f>IF(I$4&gt;DAY(EOMONTH(DATE($D$2,$B$2,1),0)),"",IFERROR(SUMIFS(DATA_GOC!$H:$H,DATA_GOC!$A:$A,"BOM",DATA_GOC!$D:$D,$B52,DATA_GOC!$E:$E,"Téc 1",DATA_GOC!$F:$F,"Xuất nội bộ từ téc",DATA_GOC!$B:$B,DATE($D$2,$B$2,I$4)),0))</f>
        <v>0</v>
      </c>
      <c r="J52" s="239">
        <f>IF(J$4&gt;DAY(EOMONTH(DATE($D$2,$B$2,1),0)),"",IFERROR(SUMIFS(DATA_GOC!$H:$H,DATA_GOC!$A:$A,"BOM",DATA_GOC!$D:$D,$B52,DATA_GOC!$E:$E,"Téc 1",DATA_GOC!$F:$F,"Xuất nội bộ từ téc",DATA_GOC!$B:$B,DATE($D$2,$B$2,J$4)),0))</f>
        <v>0</v>
      </c>
      <c r="K52" s="239">
        <f>IF(K$4&gt;DAY(EOMONTH(DATE($D$2,$B$2,1),0)),"",IFERROR(SUMIFS(DATA_GOC!$H:$H,DATA_GOC!$A:$A,"BOM",DATA_GOC!$D:$D,$B52,DATA_GOC!$E:$E,"Téc 1",DATA_GOC!$F:$F,"Xuất nội bộ từ téc",DATA_GOC!$B:$B,DATE($D$2,$B$2,K$4)),0))</f>
        <v>0</v>
      </c>
      <c r="L52" s="239">
        <f>IF(L$4&gt;DAY(EOMONTH(DATE($D$2,$B$2,1),0)),"",IFERROR(SUMIFS(DATA_GOC!$H:$H,DATA_GOC!$A:$A,"BOM",DATA_GOC!$D:$D,$B52,DATA_GOC!$E:$E,"Téc 1",DATA_GOC!$F:$F,"Xuất nội bộ từ téc",DATA_GOC!$B:$B,DATE($D$2,$B$2,L$4)),0))</f>
        <v>0</v>
      </c>
      <c r="M52" s="239">
        <f>IF(M$4&gt;DAY(EOMONTH(DATE($D$2,$B$2,1),0)),"",IFERROR(SUMIFS(DATA_GOC!$H:$H,DATA_GOC!$A:$A,"BOM",DATA_GOC!$D:$D,$B52,DATA_GOC!$E:$E,"Téc 1",DATA_GOC!$F:$F,"Xuất nội bộ từ téc",DATA_GOC!$B:$B,DATE($D$2,$B$2,M$4)),0))</f>
        <v>0</v>
      </c>
      <c r="N52" s="239">
        <f>IF(N$4&gt;DAY(EOMONTH(DATE($D$2,$B$2,1),0)),"",IFERROR(SUMIFS(DATA_GOC!$H:$H,DATA_GOC!$A:$A,"BOM",DATA_GOC!$D:$D,$B52,DATA_GOC!$E:$E,"Téc 1",DATA_GOC!$F:$F,"Xuất nội bộ từ téc",DATA_GOC!$B:$B,DATE($D$2,$B$2,N$4)),0))</f>
        <v>0</v>
      </c>
      <c r="O52" s="239">
        <f>IF(O$4&gt;DAY(EOMONTH(DATE($D$2,$B$2,1),0)),"",IFERROR(SUMIFS(DATA_GOC!$H:$H,DATA_GOC!$A:$A,"BOM",DATA_GOC!$D:$D,$B52,DATA_GOC!$E:$E,"Téc 1",DATA_GOC!$F:$F,"Xuất nội bộ từ téc",DATA_GOC!$B:$B,DATE($D$2,$B$2,O$4)),0))</f>
        <v>0</v>
      </c>
      <c r="P52" s="239">
        <f>IF(P$4&gt;DAY(EOMONTH(DATE($D$2,$B$2,1),0)),"",IFERROR(SUMIFS(DATA_GOC!$H:$H,DATA_GOC!$A:$A,"BOM",DATA_GOC!$D:$D,$B52,DATA_GOC!$E:$E,"Téc 1",DATA_GOC!$F:$F,"Xuất nội bộ từ téc",DATA_GOC!$B:$B,DATE($D$2,$B$2,P$4)),0))</f>
        <v>0</v>
      </c>
      <c r="Q52" s="239">
        <f>IF(Q$4&gt;DAY(EOMONTH(DATE($D$2,$B$2,1),0)),"",IFERROR(SUMIFS(DATA_GOC!$H:$H,DATA_GOC!$A:$A,"BOM",DATA_GOC!$D:$D,$B52,DATA_GOC!$E:$E,"Téc 1",DATA_GOC!$F:$F,"Xuất nội bộ từ téc",DATA_GOC!$B:$B,DATE($D$2,$B$2,Q$4)),0))</f>
        <v>0</v>
      </c>
      <c r="R52" s="239">
        <f>IF(R$4&gt;DAY(EOMONTH(DATE($D$2,$B$2,1),0)),"",IFERROR(SUMIFS(DATA_GOC!$H:$H,DATA_GOC!$A:$A,"BOM",DATA_GOC!$D:$D,$B52,DATA_GOC!$E:$E,"Téc 1",DATA_GOC!$F:$F,"Xuất nội bộ từ téc",DATA_GOC!$B:$B,DATE($D$2,$B$2,R$4)),0))</f>
        <v>0</v>
      </c>
      <c r="S52" s="239">
        <f>IF(S$4&gt;DAY(EOMONTH(DATE($D$2,$B$2,1),0)),"",IFERROR(SUMIFS(DATA_GOC!$H:$H,DATA_GOC!$A:$A,"BOM",DATA_GOC!$D:$D,$B52,DATA_GOC!$E:$E,"Téc 1",DATA_GOC!$F:$F,"Xuất nội bộ từ téc",DATA_GOC!$B:$B,DATE($D$2,$B$2,S$4)),0))</f>
        <v>0</v>
      </c>
      <c r="T52" s="239">
        <f>IF(T$4&gt;DAY(EOMONTH(DATE($D$2,$B$2,1),0)),"",IFERROR(SUMIFS(DATA_GOC!$H:$H,DATA_GOC!$A:$A,"BOM",DATA_GOC!$D:$D,$B52,DATA_GOC!$E:$E,"Téc 1",DATA_GOC!$F:$F,"Xuất nội bộ từ téc",DATA_GOC!$B:$B,DATE($D$2,$B$2,T$4)),0))</f>
        <v>0</v>
      </c>
      <c r="U52" s="239">
        <f>IF(U$4&gt;DAY(EOMONTH(DATE($D$2,$B$2,1),0)),"",IFERROR(SUMIFS(DATA_GOC!$H:$H,DATA_GOC!$A:$A,"BOM",DATA_GOC!$D:$D,$B52,DATA_GOC!$E:$E,"Téc 1",DATA_GOC!$F:$F,"Xuất nội bộ từ téc",DATA_GOC!$B:$B,DATE($D$2,$B$2,U$4)),0))</f>
        <v>0</v>
      </c>
      <c r="V52" s="239">
        <f>IF(V$4&gt;DAY(EOMONTH(DATE($D$2,$B$2,1),0)),"",IFERROR(SUMIFS(DATA_GOC!$H:$H,DATA_GOC!$A:$A,"BOM",DATA_GOC!$D:$D,$B52,DATA_GOC!$E:$E,"Téc 1",DATA_GOC!$F:$F,"Xuất nội bộ từ téc",DATA_GOC!$B:$B,DATE($D$2,$B$2,V$4)),0))</f>
        <v>0</v>
      </c>
      <c r="W52" s="239">
        <f>IF(W$4&gt;DAY(EOMONTH(DATE($D$2,$B$2,1),0)),"",IFERROR(SUMIFS(DATA_GOC!$H:$H,DATA_GOC!$A:$A,"BOM",DATA_GOC!$D:$D,$B52,DATA_GOC!$E:$E,"Téc 1",DATA_GOC!$F:$F,"Xuất nội bộ từ téc",DATA_GOC!$B:$B,DATE($D$2,$B$2,W$4)),0))</f>
        <v>0</v>
      </c>
      <c r="X52" s="239">
        <f>IF(X$4&gt;DAY(EOMONTH(DATE($D$2,$B$2,1),0)),"",IFERROR(SUMIFS(DATA_GOC!$H:$H,DATA_GOC!$A:$A,"BOM",DATA_GOC!$D:$D,$B52,DATA_GOC!$E:$E,"Téc 1",DATA_GOC!$F:$F,"Xuất nội bộ từ téc",DATA_GOC!$B:$B,DATE($D$2,$B$2,X$4)),0))</f>
        <v>0</v>
      </c>
      <c r="Y52" s="239">
        <f>IF(Y$4&gt;DAY(EOMONTH(DATE($D$2,$B$2,1),0)),"",IFERROR(SUMIFS(DATA_GOC!$H:$H,DATA_GOC!$A:$A,"BOM",DATA_GOC!$D:$D,$B52,DATA_GOC!$E:$E,"Téc 1",DATA_GOC!$F:$F,"Xuất nội bộ từ téc",DATA_GOC!$B:$B,DATE($D$2,$B$2,Y$4)),0))</f>
        <v>0</v>
      </c>
      <c r="Z52" s="239">
        <f>IF(Z$4&gt;DAY(EOMONTH(DATE($D$2,$B$2,1),0)),"",IFERROR(SUMIFS(DATA_GOC!$H:$H,DATA_GOC!$A:$A,"BOM",DATA_GOC!$D:$D,$B52,DATA_GOC!$E:$E,"Téc 1",DATA_GOC!$F:$F,"Xuất nội bộ từ téc",DATA_GOC!$B:$B,DATE($D$2,$B$2,Z$4)),0))</f>
        <v>0</v>
      </c>
      <c r="AA52" s="239">
        <f>IF(AA$4&gt;DAY(EOMONTH(DATE($D$2,$B$2,1),0)),"",IFERROR(SUMIFS(DATA_GOC!$H:$H,DATA_GOC!$A:$A,"BOM",DATA_GOC!$D:$D,$B52,DATA_GOC!$E:$E,"Téc 1",DATA_GOC!$F:$F,"Xuất nội bộ từ téc",DATA_GOC!$B:$B,DATE($D$2,$B$2,AA$4)),0))</f>
        <v>0</v>
      </c>
      <c r="AB52" s="239">
        <f>IF(AB$4&gt;DAY(EOMONTH(DATE($D$2,$B$2,1),0)),"",IFERROR(SUMIFS(DATA_GOC!$H:$H,DATA_GOC!$A:$A,"BOM",DATA_GOC!$D:$D,$B52,DATA_GOC!$E:$E,"Téc 1",DATA_GOC!$F:$F,"Xuất nội bộ từ téc",DATA_GOC!$B:$B,DATE($D$2,$B$2,AB$4)),0))</f>
        <v>0</v>
      </c>
      <c r="AC52" s="239">
        <f>IF(AC$4&gt;DAY(EOMONTH(DATE($D$2,$B$2,1),0)),"",IFERROR(SUMIFS(DATA_GOC!$H:$H,DATA_GOC!$A:$A,"BOM",DATA_GOC!$D:$D,$B52,DATA_GOC!$E:$E,"Téc 1",DATA_GOC!$F:$F,"Xuất nội bộ từ téc",DATA_GOC!$B:$B,DATE($D$2,$B$2,AC$4)),0))</f>
        <v>0</v>
      </c>
      <c r="AD52" s="239">
        <f>IF(AD$4&gt;DAY(EOMONTH(DATE($D$2,$B$2,1),0)),"",IFERROR(SUMIFS(DATA_GOC!$H:$H,DATA_GOC!$A:$A,"BOM",DATA_GOC!$D:$D,$B52,DATA_GOC!$E:$E,"Téc 1",DATA_GOC!$F:$F,"Xuất nội bộ từ téc",DATA_GOC!$B:$B,DATE($D$2,$B$2,AD$4)),0))</f>
        <v>0</v>
      </c>
      <c r="AE52" s="239">
        <f>IF(AE$4&gt;DAY(EOMONTH(DATE($D$2,$B$2,1),0)),"",IFERROR(SUMIFS(DATA_GOC!$H:$H,DATA_GOC!$A:$A,"BOM",DATA_GOC!$D:$D,$B52,DATA_GOC!$E:$E,"Téc 1",DATA_GOC!$F:$F,"Xuất nội bộ từ téc",DATA_GOC!$B:$B,DATE($D$2,$B$2,AE$4)),0))</f>
        <v>0</v>
      </c>
      <c r="AF52" s="239">
        <f>IF(AF$4&gt;DAY(EOMONTH(DATE($D$2,$B$2,1),0)),"",IFERROR(SUMIFS(DATA_GOC!$H:$H,DATA_GOC!$A:$A,"BOM",DATA_GOC!$D:$D,$B52,DATA_GOC!$E:$E,"Téc 1",DATA_GOC!$F:$F,"Xuất nội bộ từ téc",DATA_GOC!$B:$B,DATE($D$2,$B$2,AF$4)),0))</f>
        <v>0</v>
      </c>
      <c r="AG52" s="239">
        <f>IF(AG$4&gt;DAY(EOMONTH(DATE($D$2,$B$2,1),0)),"",IFERROR(SUMIFS(DATA_GOC!$H:$H,DATA_GOC!$A:$A,"BOM",DATA_GOC!$D:$D,$B52,DATA_GOC!$E:$E,"Téc 1",DATA_GOC!$F:$F,"Xuất nội bộ từ téc",DATA_GOC!$B:$B,DATE($D$2,$B$2,AG$4)),0))</f>
        <v>0</v>
      </c>
      <c r="AH52" s="240">
        <f t="shared" si="1"/>
        <v>0</v>
      </c>
      <c r="AI52" s="241"/>
      <c r="AJ52" s="239">
        <f>IF($B52="","",SUMIFS(TINH_TEC!$K$233:$K$9232,TINH_TEC!$H$233:$H$9232,$B52,TINH_TEC!$C$233:$C$9232,"Téc 1",TINH_TEC!$F$233:$F$9232,$B$2,TINH_TEC!$G$233:$G$9232,$D$2,TINH_TEC!$B$233:$B$9232,"Đã chốt"))</f>
        <v>0</v>
      </c>
      <c r="AK52" s="239">
        <f>IF($B52="","",SUMIFS(TINH_TEC!$J$233:$J$9232,TINH_TEC!$H$233:$H$9232,$B52,TINH_TEC!$C$233:$C$9232,"Téc 1",TINH_TEC!$F$233:$F$9232,$B$2,TINH_TEC!$G$233:$G$9232,$D$2,TINH_TEC!$B$233:$B$9232,"Đã chốt"))</f>
        <v>0</v>
      </c>
      <c r="AL52" s="239">
        <f t="shared" si="2"/>
        <v>0</v>
      </c>
    </row>
    <row r="53" ht="15.75" customHeight="1">
      <c r="A53" s="237">
        <f>IF($B53&lt;&gt;"",48,"")</f>
        <v>48</v>
      </c>
      <c r="B53" s="238" t="str">
        <f t="array" ref="B53">IFERROR(INDEX(DANH_MUC!$E:$E,51),"")</f>
        <v>LG53F</v>
      </c>
      <c r="C53" s="239">
        <f>IF(C$4&gt;DAY(EOMONTH(DATE($D$2,$B$2,1),0)),"",IFERROR(SUMIFS(DATA_GOC!$H:$H,DATA_GOC!$A:$A,"BOM",DATA_GOC!$D:$D,$B53,DATA_GOC!$E:$E,"Téc 1",DATA_GOC!$F:$F,"Xuất nội bộ từ téc",DATA_GOC!$B:$B,DATE($D$2,$B$2,C$4)),0))</f>
        <v>0</v>
      </c>
      <c r="D53" s="239">
        <f>IF(D$4&gt;DAY(EOMONTH(DATE($D$2,$B$2,1),0)),"",IFERROR(SUMIFS(DATA_GOC!$H:$H,DATA_GOC!$A:$A,"BOM",DATA_GOC!$D:$D,$B53,DATA_GOC!$E:$E,"Téc 1",DATA_GOC!$F:$F,"Xuất nội bộ từ téc",DATA_GOC!$B:$B,DATE($D$2,$B$2,D$4)),0))</f>
        <v>0</v>
      </c>
      <c r="E53" s="239">
        <f>IF(E$4&gt;DAY(EOMONTH(DATE($D$2,$B$2,1),0)),"",IFERROR(SUMIFS(DATA_GOC!$H:$H,DATA_GOC!$A:$A,"BOM",DATA_GOC!$D:$D,$B53,DATA_GOC!$E:$E,"Téc 1",DATA_GOC!$F:$F,"Xuất nội bộ từ téc",DATA_GOC!$B:$B,DATE($D$2,$B$2,E$4)),0))</f>
        <v>0</v>
      </c>
      <c r="F53" s="239">
        <f>IF(F$4&gt;DAY(EOMONTH(DATE($D$2,$B$2,1),0)),"",IFERROR(SUMIFS(DATA_GOC!$H:$H,DATA_GOC!$A:$A,"BOM",DATA_GOC!$D:$D,$B53,DATA_GOC!$E:$E,"Téc 1",DATA_GOC!$F:$F,"Xuất nội bộ từ téc",DATA_GOC!$B:$B,DATE($D$2,$B$2,F$4)),0))</f>
        <v>0</v>
      </c>
      <c r="G53" s="239">
        <f>IF(G$4&gt;DAY(EOMONTH(DATE($D$2,$B$2,1),0)),"",IFERROR(SUMIFS(DATA_GOC!$H:$H,DATA_GOC!$A:$A,"BOM",DATA_GOC!$D:$D,$B53,DATA_GOC!$E:$E,"Téc 1",DATA_GOC!$F:$F,"Xuất nội bộ từ téc",DATA_GOC!$B:$B,DATE($D$2,$B$2,G$4)),0))</f>
        <v>0</v>
      </c>
      <c r="H53" s="239">
        <f>IF(H$4&gt;DAY(EOMONTH(DATE($D$2,$B$2,1),0)),"",IFERROR(SUMIFS(DATA_GOC!$H:$H,DATA_GOC!$A:$A,"BOM",DATA_GOC!$D:$D,$B53,DATA_GOC!$E:$E,"Téc 1",DATA_GOC!$F:$F,"Xuất nội bộ từ téc",DATA_GOC!$B:$B,DATE($D$2,$B$2,H$4)),0))</f>
        <v>0</v>
      </c>
      <c r="I53" s="239">
        <f>IF(I$4&gt;DAY(EOMONTH(DATE($D$2,$B$2,1),0)),"",IFERROR(SUMIFS(DATA_GOC!$H:$H,DATA_GOC!$A:$A,"BOM",DATA_GOC!$D:$D,$B53,DATA_GOC!$E:$E,"Téc 1",DATA_GOC!$F:$F,"Xuất nội bộ từ téc",DATA_GOC!$B:$B,DATE($D$2,$B$2,I$4)),0))</f>
        <v>0</v>
      </c>
      <c r="J53" s="239">
        <f>IF(J$4&gt;DAY(EOMONTH(DATE($D$2,$B$2,1),0)),"",IFERROR(SUMIFS(DATA_GOC!$H:$H,DATA_GOC!$A:$A,"BOM",DATA_GOC!$D:$D,$B53,DATA_GOC!$E:$E,"Téc 1",DATA_GOC!$F:$F,"Xuất nội bộ từ téc",DATA_GOC!$B:$B,DATE($D$2,$B$2,J$4)),0))</f>
        <v>0</v>
      </c>
      <c r="K53" s="239">
        <f>IF(K$4&gt;DAY(EOMONTH(DATE($D$2,$B$2,1),0)),"",IFERROR(SUMIFS(DATA_GOC!$H:$H,DATA_GOC!$A:$A,"BOM",DATA_GOC!$D:$D,$B53,DATA_GOC!$E:$E,"Téc 1",DATA_GOC!$F:$F,"Xuất nội bộ từ téc",DATA_GOC!$B:$B,DATE($D$2,$B$2,K$4)),0))</f>
        <v>0</v>
      </c>
      <c r="L53" s="239">
        <f>IF(L$4&gt;DAY(EOMONTH(DATE($D$2,$B$2,1),0)),"",IFERROR(SUMIFS(DATA_GOC!$H:$H,DATA_GOC!$A:$A,"BOM",DATA_GOC!$D:$D,$B53,DATA_GOC!$E:$E,"Téc 1",DATA_GOC!$F:$F,"Xuất nội bộ từ téc",DATA_GOC!$B:$B,DATE($D$2,$B$2,L$4)),0))</f>
        <v>0</v>
      </c>
      <c r="M53" s="239">
        <f>IF(M$4&gt;DAY(EOMONTH(DATE($D$2,$B$2,1),0)),"",IFERROR(SUMIFS(DATA_GOC!$H:$H,DATA_GOC!$A:$A,"BOM",DATA_GOC!$D:$D,$B53,DATA_GOC!$E:$E,"Téc 1",DATA_GOC!$F:$F,"Xuất nội bộ từ téc",DATA_GOC!$B:$B,DATE($D$2,$B$2,M$4)),0))</f>
        <v>0</v>
      </c>
      <c r="N53" s="239">
        <f>IF(N$4&gt;DAY(EOMONTH(DATE($D$2,$B$2,1),0)),"",IFERROR(SUMIFS(DATA_GOC!$H:$H,DATA_GOC!$A:$A,"BOM",DATA_GOC!$D:$D,$B53,DATA_GOC!$E:$E,"Téc 1",DATA_GOC!$F:$F,"Xuất nội bộ từ téc",DATA_GOC!$B:$B,DATE($D$2,$B$2,N$4)),0))</f>
        <v>0</v>
      </c>
      <c r="O53" s="239">
        <f>IF(O$4&gt;DAY(EOMONTH(DATE($D$2,$B$2,1),0)),"",IFERROR(SUMIFS(DATA_GOC!$H:$H,DATA_GOC!$A:$A,"BOM",DATA_GOC!$D:$D,$B53,DATA_GOC!$E:$E,"Téc 1",DATA_GOC!$F:$F,"Xuất nội bộ từ téc",DATA_GOC!$B:$B,DATE($D$2,$B$2,O$4)),0))</f>
        <v>0</v>
      </c>
      <c r="P53" s="239">
        <f>IF(P$4&gt;DAY(EOMONTH(DATE($D$2,$B$2,1),0)),"",IFERROR(SUMIFS(DATA_GOC!$H:$H,DATA_GOC!$A:$A,"BOM",DATA_GOC!$D:$D,$B53,DATA_GOC!$E:$E,"Téc 1",DATA_GOC!$F:$F,"Xuất nội bộ từ téc",DATA_GOC!$B:$B,DATE($D$2,$B$2,P$4)),0))</f>
        <v>0</v>
      </c>
      <c r="Q53" s="239">
        <f>IF(Q$4&gt;DAY(EOMONTH(DATE($D$2,$B$2,1),0)),"",IFERROR(SUMIFS(DATA_GOC!$H:$H,DATA_GOC!$A:$A,"BOM",DATA_GOC!$D:$D,$B53,DATA_GOC!$E:$E,"Téc 1",DATA_GOC!$F:$F,"Xuất nội bộ từ téc",DATA_GOC!$B:$B,DATE($D$2,$B$2,Q$4)),0))</f>
        <v>0</v>
      </c>
      <c r="R53" s="239">
        <f>IF(R$4&gt;DAY(EOMONTH(DATE($D$2,$B$2,1),0)),"",IFERROR(SUMIFS(DATA_GOC!$H:$H,DATA_GOC!$A:$A,"BOM",DATA_GOC!$D:$D,$B53,DATA_GOC!$E:$E,"Téc 1",DATA_GOC!$F:$F,"Xuất nội bộ từ téc",DATA_GOC!$B:$B,DATE($D$2,$B$2,R$4)),0))</f>
        <v>0</v>
      </c>
      <c r="S53" s="239">
        <f>IF(S$4&gt;DAY(EOMONTH(DATE($D$2,$B$2,1),0)),"",IFERROR(SUMIFS(DATA_GOC!$H:$H,DATA_GOC!$A:$A,"BOM",DATA_GOC!$D:$D,$B53,DATA_GOC!$E:$E,"Téc 1",DATA_GOC!$F:$F,"Xuất nội bộ từ téc",DATA_GOC!$B:$B,DATE($D$2,$B$2,S$4)),0))</f>
        <v>0</v>
      </c>
      <c r="T53" s="239">
        <f>IF(T$4&gt;DAY(EOMONTH(DATE($D$2,$B$2,1),0)),"",IFERROR(SUMIFS(DATA_GOC!$H:$H,DATA_GOC!$A:$A,"BOM",DATA_GOC!$D:$D,$B53,DATA_GOC!$E:$E,"Téc 1",DATA_GOC!$F:$F,"Xuất nội bộ từ téc",DATA_GOC!$B:$B,DATE($D$2,$B$2,T$4)),0))</f>
        <v>0</v>
      </c>
      <c r="U53" s="239">
        <f>IF(U$4&gt;DAY(EOMONTH(DATE($D$2,$B$2,1),0)),"",IFERROR(SUMIFS(DATA_GOC!$H:$H,DATA_GOC!$A:$A,"BOM",DATA_GOC!$D:$D,$B53,DATA_GOC!$E:$E,"Téc 1",DATA_GOC!$F:$F,"Xuất nội bộ từ téc",DATA_GOC!$B:$B,DATE($D$2,$B$2,U$4)),0))</f>
        <v>0</v>
      </c>
      <c r="V53" s="239">
        <f>IF(V$4&gt;DAY(EOMONTH(DATE($D$2,$B$2,1),0)),"",IFERROR(SUMIFS(DATA_GOC!$H:$H,DATA_GOC!$A:$A,"BOM",DATA_GOC!$D:$D,$B53,DATA_GOC!$E:$E,"Téc 1",DATA_GOC!$F:$F,"Xuất nội bộ từ téc",DATA_GOC!$B:$B,DATE($D$2,$B$2,V$4)),0))</f>
        <v>0</v>
      </c>
      <c r="W53" s="239">
        <f>IF(W$4&gt;DAY(EOMONTH(DATE($D$2,$B$2,1),0)),"",IFERROR(SUMIFS(DATA_GOC!$H:$H,DATA_GOC!$A:$A,"BOM",DATA_GOC!$D:$D,$B53,DATA_GOC!$E:$E,"Téc 1",DATA_GOC!$F:$F,"Xuất nội bộ từ téc",DATA_GOC!$B:$B,DATE($D$2,$B$2,W$4)),0))</f>
        <v>0</v>
      </c>
      <c r="X53" s="239">
        <f>IF(X$4&gt;DAY(EOMONTH(DATE($D$2,$B$2,1),0)),"",IFERROR(SUMIFS(DATA_GOC!$H:$H,DATA_GOC!$A:$A,"BOM",DATA_GOC!$D:$D,$B53,DATA_GOC!$E:$E,"Téc 1",DATA_GOC!$F:$F,"Xuất nội bộ từ téc",DATA_GOC!$B:$B,DATE($D$2,$B$2,X$4)),0))</f>
        <v>0</v>
      </c>
      <c r="Y53" s="239">
        <f>IF(Y$4&gt;DAY(EOMONTH(DATE($D$2,$B$2,1),0)),"",IFERROR(SUMIFS(DATA_GOC!$H:$H,DATA_GOC!$A:$A,"BOM",DATA_GOC!$D:$D,$B53,DATA_GOC!$E:$E,"Téc 1",DATA_GOC!$F:$F,"Xuất nội bộ từ téc",DATA_GOC!$B:$B,DATE($D$2,$B$2,Y$4)),0))</f>
        <v>0</v>
      </c>
      <c r="Z53" s="239">
        <f>IF(Z$4&gt;DAY(EOMONTH(DATE($D$2,$B$2,1),0)),"",IFERROR(SUMIFS(DATA_GOC!$H:$H,DATA_GOC!$A:$A,"BOM",DATA_GOC!$D:$D,$B53,DATA_GOC!$E:$E,"Téc 1",DATA_GOC!$F:$F,"Xuất nội bộ từ téc",DATA_GOC!$B:$B,DATE($D$2,$B$2,Z$4)),0))</f>
        <v>0</v>
      </c>
      <c r="AA53" s="239">
        <f>IF(AA$4&gt;DAY(EOMONTH(DATE($D$2,$B$2,1),0)),"",IFERROR(SUMIFS(DATA_GOC!$H:$H,DATA_GOC!$A:$A,"BOM",DATA_GOC!$D:$D,$B53,DATA_GOC!$E:$E,"Téc 1",DATA_GOC!$F:$F,"Xuất nội bộ từ téc",DATA_GOC!$B:$B,DATE($D$2,$B$2,AA$4)),0))</f>
        <v>0</v>
      </c>
      <c r="AB53" s="239">
        <f>IF(AB$4&gt;DAY(EOMONTH(DATE($D$2,$B$2,1),0)),"",IFERROR(SUMIFS(DATA_GOC!$H:$H,DATA_GOC!$A:$A,"BOM",DATA_GOC!$D:$D,$B53,DATA_GOC!$E:$E,"Téc 1",DATA_GOC!$F:$F,"Xuất nội bộ từ téc",DATA_GOC!$B:$B,DATE($D$2,$B$2,AB$4)),0))</f>
        <v>0</v>
      </c>
      <c r="AC53" s="239">
        <f>IF(AC$4&gt;DAY(EOMONTH(DATE($D$2,$B$2,1),0)),"",IFERROR(SUMIFS(DATA_GOC!$H:$H,DATA_GOC!$A:$A,"BOM",DATA_GOC!$D:$D,$B53,DATA_GOC!$E:$E,"Téc 1",DATA_GOC!$F:$F,"Xuất nội bộ từ téc",DATA_GOC!$B:$B,DATE($D$2,$B$2,AC$4)),0))</f>
        <v>0</v>
      </c>
      <c r="AD53" s="239">
        <f>IF(AD$4&gt;DAY(EOMONTH(DATE($D$2,$B$2,1),0)),"",IFERROR(SUMIFS(DATA_GOC!$H:$H,DATA_GOC!$A:$A,"BOM",DATA_GOC!$D:$D,$B53,DATA_GOC!$E:$E,"Téc 1",DATA_GOC!$F:$F,"Xuất nội bộ từ téc",DATA_GOC!$B:$B,DATE($D$2,$B$2,AD$4)),0))</f>
        <v>0</v>
      </c>
      <c r="AE53" s="239">
        <f>IF(AE$4&gt;DAY(EOMONTH(DATE($D$2,$B$2,1),0)),"",IFERROR(SUMIFS(DATA_GOC!$H:$H,DATA_GOC!$A:$A,"BOM",DATA_GOC!$D:$D,$B53,DATA_GOC!$E:$E,"Téc 1",DATA_GOC!$F:$F,"Xuất nội bộ từ téc",DATA_GOC!$B:$B,DATE($D$2,$B$2,AE$4)),0))</f>
        <v>0</v>
      </c>
      <c r="AF53" s="239">
        <f>IF(AF$4&gt;DAY(EOMONTH(DATE($D$2,$B$2,1),0)),"",IFERROR(SUMIFS(DATA_GOC!$H:$H,DATA_GOC!$A:$A,"BOM",DATA_GOC!$D:$D,$B53,DATA_GOC!$E:$E,"Téc 1",DATA_GOC!$F:$F,"Xuất nội bộ từ téc",DATA_GOC!$B:$B,DATE($D$2,$B$2,AF$4)),0))</f>
        <v>0</v>
      </c>
      <c r="AG53" s="239">
        <f>IF(AG$4&gt;DAY(EOMONTH(DATE($D$2,$B$2,1),0)),"",IFERROR(SUMIFS(DATA_GOC!$H:$H,DATA_GOC!$A:$A,"BOM",DATA_GOC!$D:$D,$B53,DATA_GOC!$E:$E,"Téc 1",DATA_GOC!$F:$F,"Xuất nội bộ từ téc",DATA_GOC!$B:$B,DATE($D$2,$B$2,AG$4)),0))</f>
        <v>0</v>
      </c>
      <c r="AH53" s="240">
        <f t="shared" si="1"/>
        <v>0</v>
      </c>
      <c r="AI53" s="241"/>
      <c r="AJ53" s="239">
        <f>IF($B53="","",SUMIFS(TINH_TEC!$K$233:$K$9232,TINH_TEC!$H$233:$H$9232,$B53,TINH_TEC!$C$233:$C$9232,"Téc 1",TINH_TEC!$F$233:$F$9232,$B$2,TINH_TEC!$G$233:$G$9232,$D$2,TINH_TEC!$B$233:$B$9232,"Đã chốt"))</f>
        <v>0</v>
      </c>
      <c r="AK53" s="239">
        <f>IF($B53="","",SUMIFS(TINH_TEC!$J$233:$J$9232,TINH_TEC!$H$233:$H$9232,$B53,TINH_TEC!$C$233:$C$9232,"Téc 1",TINH_TEC!$F$233:$F$9232,$B$2,TINH_TEC!$G$233:$G$9232,$D$2,TINH_TEC!$B$233:$B$9232,"Đã chốt"))</f>
        <v>0</v>
      </c>
      <c r="AL53" s="239">
        <f t="shared" si="2"/>
        <v>0</v>
      </c>
    </row>
    <row r="54" ht="15.75" customHeight="1">
      <c r="A54" s="237">
        <f>IF($B54&lt;&gt;"",49,"")</f>
        <v>49</v>
      </c>
      <c r="B54" s="238" t="str">
        <f t="array" ref="B54">IFERROR(INDEX(DANH_MUC!$E:$E,52),"")</f>
        <v>Máy phát điện</v>
      </c>
      <c r="C54" s="239">
        <f>IF(C$4&gt;DAY(EOMONTH(DATE($D$2,$B$2,1),0)),"",IFERROR(SUMIFS(DATA_GOC!$H:$H,DATA_GOC!$A:$A,"BOM",DATA_GOC!$D:$D,$B54,DATA_GOC!$E:$E,"Téc 1",DATA_GOC!$F:$F,"Xuất nội bộ từ téc",DATA_GOC!$B:$B,DATE($D$2,$B$2,C$4)),0))</f>
        <v>0</v>
      </c>
      <c r="D54" s="239">
        <f>IF(D$4&gt;DAY(EOMONTH(DATE($D$2,$B$2,1),0)),"",IFERROR(SUMIFS(DATA_GOC!$H:$H,DATA_GOC!$A:$A,"BOM",DATA_GOC!$D:$D,$B54,DATA_GOC!$E:$E,"Téc 1",DATA_GOC!$F:$F,"Xuất nội bộ từ téc",DATA_GOC!$B:$B,DATE($D$2,$B$2,D$4)),0))</f>
        <v>0</v>
      </c>
      <c r="E54" s="239">
        <f>IF(E$4&gt;DAY(EOMONTH(DATE($D$2,$B$2,1),0)),"",IFERROR(SUMIFS(DATA_GOC!$H:$H,DATA_GOC!$A:$A,"BOM",DATA_GOC!$D:$D,$B54,DATA_GOC!$E:$E,"Téc 1",DATA_GOC!$F:$F,"Xuất nội bộ từ téc",DATA_GOC!$B:$B,DATE($D$2,$B$2,E$4)),0))</f>
        <v>0</v>
      </c>
      <c r="F54" s="239">
        <f>IF(F$4&gt;DAY(EOMONTH(DATE($D$2,$B$2,1),0)),"",IFERROR(SUMIFS(DATA_GOC!$H:$H,DATA_GOC!$A:$A,"BOM",DATA_GOC!$D:$D,$B54,DATA_GOC!$E:$E,"Téc 1",DATA_GOC!$F:$F,"Xuất nội bộ từ téc",DATA_GOC!$B:$B,DATE($D$2,$B$2,F$4)),0))</f>
        <v>0</v>
      </c>
      <c r="G54" s="239">
        <f>IF(G$4&gt;DAY(EOMONTH(DATE($D$2,$B$2,1),0)),"",IFERROR(SUMIFS(DATA_GOC!$H:$H,DATA_GOC!$A:$A,"BOM",DATA_GOC!$D:$D,$B54,DATA_GOC!$E:$E,"Téc 1",DATA_GOC!$F:$F,"Xuất nội bộ từ téc",DATA_GOC!$B:$B,DATE($D$2,$B$2,G$4)),0))</f>
        <v>0</v>
      </c>
      <c r="H54" s="239">
        <f>IF(H$4&gt;DAY(EOMONTH(DATE($D$2,$B$2,1),0)),"",IFERROR(SUMIFS(DATA_GOC!$H:$H,DATA_GOC!$A:$A,"BOM",DATA_GOC!$D:$D,$B54,DATA_GOC!$E:$E,"Téc 1",DATA_GOC!$F:$F,"Xuất nội bộ từ téc",DATA_GOC!$B:$B,DATE($D$2,$B$2,H$4)),0))</f>
        <v>0</v>
      </c>
      <c r="I54" s="239">
        <f>IF(I$4&gt;DAY(EOMONTH(DATE($D$2,$B$2,1),0)),"",IFERROR(SUMIFS(DATA_GOC!$H:$H,DATA_GOC!$A:$A,"BOM",DATA_GOC!$D:$D,$B54,DATA_GOC!$E:$E,"Téc 1",DATA_GOC!$F:$F,"Xuất nội bộ từ téc",DATA_GOC!$B:$B,DATE($D$2,$B$2,I$4)),0))</f>
        <v>0</v>
      </c>
      <c r="J54" s="239">
        <f>IF(J$4&gt;DAY(EOMONTH(DATE($D$2,$B$2,1),0)),"",IFERROR(SUMIFS(DATA_GOC!$H:$H,DATA_GOC!$A:$A,"BOM",DATA_GOC!$D:$D,$B54,DATA_GOC!$E:$E,"Téc 1",DATA_GOC!$F:$F,"Xuất nội bộ từ téc",DATA_GOC!$B:$B,DATE($D$2,$B$2,J$4)),0))</f>
        <v>0</v>
      </c>
      <c r="K54" s="239">
        <f>IF(K$4&gt;DAY(EOMONTH(DATE($D$2,$B$2,1),0)),"",IFERROR(SUMIFS(DATA_GOC!$H:$H,DATA_GOC!$A:$A,"BOM",DATA_GOC!$D:$D,$B54,DATA_GOC!$E:$E,"Téc 1",DATA_GOC!$F:$F,"Xuất nội bộ từ téc",DATA_GOC!$B:$B,DATE($D$2,$B$2,K$4)),0))</f>
        <v>0</v>
      </c>
      <c r="L54" s="239">
        <f>IF(L$4&gt;DAY(EOMONTH(DATE($D$2,$B$2,1),0)),"",IFERROR(SUMIFS(DATA_GOC!$H:$H,DATA_GOC!$A:$A,"BOM",DATA_GOC!$D:$D,$B54,DATA_GOC!$E:$E,"Téc 1",DATA_GOC!$F:$F,"Xuất nội bộ từ téc",DATA_GOC!$B:$B,DATE($D$2,$B$2,L$4)),0))</f>
        <v>0</v>
      </c>
      <c r="M54" s="239">
        <f>IF(M$4&gt;DAY(EOMONTH(DATE($D$2,$B$2,1),0)),"",IFERROR(SUMIFS(DATA_GOC!$H:$H,DATA_GOC!$A:$A,"BOM",DATA_GOC!$D:$D,$B54,DATA_GOC!$E:$E,"Téc 1",DATA_GOC!$F:$F,"Xuất nội bộ từ téc",DATA_GOC!$B:$B,DATE($D$2,$B$2,M$4)),0))</f>
        <v>0</v>
      </c>
      <c r="N54" s="239">
        <f>IF(N$4&gt;DAY(EOMONTH(DATE($D$2,$B$2,1),0)),"",IFERROR(SUMIFS(DATA_GOC!$H:$H,DATA_GOC!$A:$A,"BOM",DATA_GOC!$D:$D,$B54,DATA_GOC!$E:$E,"Téc 1",DATA_GOC!$F:$F,"Xuất nội bộ từ téc",DATA_GOC!$B:$B,DATE($D$2,$B$2,N$4)),0))</f>
        <v>0</v>
      </c>
      <c r="O54" s="239">
        <f>IF(O$4&gt;DAY(EOMONTH(DATE($D$2,$B$2,1),0)),"",IFERROR(SUMIFS(DATA_GOC!$H:$H,DATA_GOC!$A:$A,"BOM",DATA_GOC!$D:$D,$B54,DATA_GOC!$E:$E,"Téc 1",DATA_GOC!$F:$F,"Xuất nội bộ từ téc",DATA_GOC!$B:$B,DATE($D$2,$B$2,O$4)),0))</f>
        <v>0</v>
      </c>
      <c r="P54" s="239">
        <f>IF(P$4&gt;DAY(EOMONTH(DATE($D$2,$B$2,1),0)),"",IFERROR(SUMIFS(DATA_GOC!$H:$H,DATA_GOC!$A:$A,"BOM",DATA_GOC!$D:$D,$B54,DATA_GOC!$E:$E,"Téc 1",DATA_GOC!$F:$F,"Xuất nội bộ từ téc",DATA_GOC!$B:$B,DATE($D$2,$B$2,P$4)),0))</f>
        <v>0</v>
      </c>
      <c r="Q54" s="239">
        <f>IF(Q$4&gt;DAY(EOMONTH(DATE($D$2,$B$2,1),0)),"",IFERROR(SUMIFS(DATA_GOC!$H:$H,DATA_GOC!$A:$A,"BOM",DATA_GOC!$D:$D,$B54,DATA_GOC!$E:$E,"Téc 1",DATA_GOC!$F:$F,"Xuất nội bộ từ téc",DATA_GOC!$B:$B,DATE($D$2,$B$2,Q$4)),0))</f>
        <v>0</v>
      </c>
      <c r="R54" s="239">
        <f>IF(R$4&gt;DAY(EOMONTH(DATE($D$2,$B$2,1),0)),"",IFERROR(SUMIFS(DATA_GOC!$H:$H,DATA_GOC!$A:$A,"BOM",DATA_GOC!$D:$D,$B54,DATA_GOC!$E:$E,"Téc 1",DATA_GOC!$F:$F,"Xuất nội bộ từ téc",DATA_GOC!$B:$B,DATE($D$2,$B$2,R$4)),0))</f>
        <v>0</v>
      </c>
      <c r="S54" s="239">
        <f>IF(S$4&gt;DAY(EOMONTH(DATE($D$2,$B$2,1),0)),"",IFERROR(SUMIFS(DATA_GOC!$H:$H,DATA_GOC!$A:$A,"BOM",DATA_GOC!$D:$D,$B54,DATA_GOC!$E:$E,"Téc 1",DATA_GOC!$F:$F,"Xuất nội bộ từ téc",DATA_GOC!$B:$B,DATE($D$2,$B$2,S$4)),0))</f>
        <v>0</v>
      </c>
      <c r="T54" s="239">
        <f>IF(T$4&gt;DAY(EOMONTH(DATE($D$2,$B$2,1),0)),"",IFERROR(SUMIFS(DATA_GOC!$H:$H,DATA_GOC!$A:$A,"BOM",DATA_GOC!$D:$D,$B54,DATA_GOC!$E:$E,"Téc 1",DATA_GOC!$F:$F,"Xuất nội bộ từ téc",DATA_GOC!$B:$B,DATE($D$2,$B$2,T$4)),0))</f>
        <v>0</v>
      </c>
      <c r="U54" s="239">
        <f>IF(U$4&gt;DAY(EOMONTH(DATE($D$2,$B$2,1),0)),"",IFERROR(SUMIFS(DATA_GOC!$H:$H,DATA_GOC!$A:$A,"BOM",DATA_GOC!$D:$D,$B54,DATA_GOC!$E:$E,"Téc 1",DATA_GOC!$F:$F,"Xuất nội bộ từ téc",DATA_GOC!$B:$B,DATE($D$2,$B$2,U$4)),0))</f>
        <v>0</v>
      </c>
      <c r="V54" s="239">
        <f>IF(V$4&gt;DAY(EOMONTH(DATE($D$2,$B$2,1),0)),"",IFERROR(SUMIFS(DATA_GOC!$H:$H,DATA_GOC!$A:$A,"BOM",DATA_GOC!$D:$D,$B54,DATA_GOC!$E:$E,"Téc 1",DATA_GOC!$F:$F,"Xuất nội bộ từ téc",DATA_GOC!$B:$B,DATE($D$2,$B$2,V$4)),0))</f>
        <v>0</v>
      </c>
      <c r="W54" s="239">
        <f>IF(W$4&gt;DAY(EOMONTH(DATE($D$2,$B$2,1),0)),"",IFERROR(SUMIFS(DATA_GOC!$H:$H,DATA_GOC!$A:$A,"BOM",DATA_GOC!$D:$D,$B54,DATA_GOC!$E:$E,"Téc 1",DATA_GOC!$F:$F,"Xuất nội bộ từ téc",DATA_GOC!$B:$B,DATE($D$2,$B$2,W$4)),0))</f>
        <v>0</v>
      </c>
      <c r="X54" s="239">
        <f>IF(X$4&gt;DAY(EOMONTH(DATE($D$2,$B$2,1),0)),"",IFERROR(SUMIFS(DATA_GOC!$H:$H,DATA_GOC!$A:$A,"BOM",DATA_GOC!$D:$D,$B54,DATA_GOC!$E:$E,"Téc 1",DATA_GOC!$F:$F,"Xuất nội bộ từ téc",DATA_GOC!$B:$B,DATE($D$2,$B$2,X$4)),0))</f>
        <v>0</v>
      </c>
      <c r="Y54" s="239">
        <f>IF(Y$4&gt;DAY(EOMONTH(DATE($D$2,$B$2,1),0)),"",IFERROR(SUMIFS(DATA_GOC!$H:$H,DATA_GOC!$A:$A,"BOM",DATA_GOC!$D:$D,$B54,DATA_GOC!$E:$E,"Téc 1",DATA_GOC!$F:$F,"Xuất nội bộ từ téc",DATA_GOC!$B:$B,DATE($D$2,$B$2,Y$4)),0))</f>
        <v>0</v>
      </c>
      <c r="Z54" s="239">
        <f>IF(Z$4&gt;DAY(EOMONTH(DATE($D$2,$B$2,1),0)),"",IFERROR(SUMIFS(DATA_GOC!$H:$H,DATA_GOC!$A:$A,"BOM",DATA_GOC!$D:$D,$B54,DATA_GOC!$E:$E,"Téc 1",DATA_GOC!$F:$F,"Xuất nội bộ từ téc",DATA_GOC!$B:$B,DATE($D$2,$B$2,Z$4)),0))</f>
        <v>0</v>
      </c>
      <c r="AA54" s="239">
        <f>IF(AA$4&gt;DAY(EOMONTH(DATE($D$2,$B$2,1),0)),"",IFERROR(SUMIFS(DATA_GOC!$H:$H,DATA_GOC!$A:$A,"BOM",DATA_GOC!$D:$D,$B54,DATA_GOC!$E:$E,"Téc 1",DATA_GOC!$F:$F,"Xuất nội bộ từ téc",DATA_GOC!$B:$B,DATE($D$2,$B$2,AA$4)),0))</f>
        <v>0</v>
      </c>
      <c r="AB54" s="239">
        <f>IF(AB$4&gt;DAY(EOMONTH(DATE($D$2,$B$2,1),0)),"",IFERROR(SUMIFS(DATA_GOC!$H:$H,DATA_GOC!$A:$A,"BOM",DATA_GOC!$D:$D,$B54,DATA_GOC!$E:$E,"Téc 1",DATA_GOC!$F:$F,"Xuất nội bộ từ téc",DATA_GOC!$B:$B,DATE($D$2,$B$2,AB$4)),0))</f>
        <v>0</v>
      </c>
      <c r="AC54" s="239">
        <f>IF(AC$4&gt;DAY(EOMONTH(DATE($D$2,$B$2,1),0)),"",IFERROR(SUMIFS(DATA_GOC!$H:$H,DATA_GOC!$A:$A,"BOM",DATA_GOC!$D:$D,$B54,DATA_GOC!$E:$E,"Téc 1",DATA_GOC!$F:$F,"Xuất nội bộ từ téc",DATA_GOC!$B:$B,DATE($D$2,$B$2,AC$4)),0))</f>
        <v>0</v>
      </c>
      <c r="AD54" s="239">
        <f>IF(AD$4&gt;DAY(EOMONTH(DATE($D$2,$B$2,1),0)),"",IFERROR(SUMIFS(DATA_GOC!$H:$H,DATA_GOC!$A:$A,"BOM",DATA_GOC!$D:$D,$B54,DATA_GOC!$E:$E,"Téc 1",DATA_GOC!$F:$F,"Xuất nội bộ từ téc",DATA_GOC!$B:$B,DATE($D$2,$B$2,AD$4)),0))</f>
        <v>0</v>
      </c>
      <c r="AE54" s="239">
        <f>IF(AE$4&gt;DAY(EOMONTH(DATE($D$2,$B$2,1),0)),"",IFERROR(SUMIFS(DATA_GOC!$H:$H,DATA_GOC!$A:$A,"BOM",DATA_GOC!$D:$D,$B54,DATA_GOC!$E:$E,"Téc 1",DATA_GOC!$F:$F,"Xuất nội bộ từ téc",DATA_GOC!$B:$B,DATE($D$2,$B$2,AE$4)),0))</f>
        <v>0</v>
      </c>
      <c r="AF54" s="239">
        <f>IF(AF$4&gt;DAY(EOMONTH(DATE($D$2,$B$2,1),0)),"",IFERROR(SUMIFS(DATA_GOC!$H:$H,DATA_GOC!$A:$A,"BOM",DATA_GOC!$D:$D,$B54,DATA_GOC!$E:$E,"Téc 1",DATA_GOC!$F:$F,"Xuất nội bộ từ téc",DATA_GOC!$B:$B,DATE($D$2,$B$2,AF$4)),0))</f>
        <v>0</v>
      </c>
      <c r="AG54" s="239">
        <f>IF(AG$4&gt;DAY(EOMONTH(DATE($D$2,$B$2,1),0)),"",IFERROR(SUMIFS(DATA_GOC!$H:$H,DATA_GOC!$A:$A,"BOM",DATA_GOC!$D:$D,$B54,DATA_GOC!$E:$E,"Téc 1",DATA_GOC!$F:$F,"Xuất nội bộ từ téc",DATA_GOC!$B:$B,DATE($D$2,$B$2,AG$4)),0))</f>
        <v>0</v>
      </c>
      <c r="AH54" s="240">
        <f t="shared" si="1"/>
        <v>0</v>
      </c>
      <c r="AI54" s="241"/>
      <c r="AJ54" s="239">
        <f>IF($B54="","",SUMIFS(TINH_TEC!$K$233:$K$9232,TINH_TEC!$H$233:$H$9232,$B54,TINH_TEC!$C$233:$C$9232,"Téc 1",TINH_TEC!$F$233:$F$9232,$B$2,TINH_TEC!$G$233:$G$9232,$D$2,TINH_TEC!$B$233:$B$9232,"Đã chốt"))</f>
        <v>0</v>
      </c>
      <c r="AK54" s="239">
        <f>IF($B54="","",SUMIFS(TINH_TEC!$J$233:$J$9232,TINH_TEC!$H$233:$H$9232,$B54,TINH_TEC!$C$233:$C$9232,"Téc 1",TINH_TEC!$F$233:$F$9232,$B$2,TINH_TEC!$G$233:$G$9232,$D$2,TINH_TEC!$B$233:$B$9232,"Đã chốt"))</f>
        <v>0</v>
      </c>
      <c r="AL54" s="239">
        <f t="shared" si="2"/>
        <v>0</v>
      </c>
    </row>
    <row r="55" ht="15.75" customHeight="1">
      <c r="A55" s="237">
        <f>IF($B55&lt;&gt;"",50,"")</f>
        <v>50</v>
      </c>
      <c r="B55" s="238" t="str">
        <f t="array" ref="B55">IFERROR(INDEX(DANH_MUC!$E:$E,53),"")</f>
        <v>Máy rải thảm</v>
      </c>
      <c r="C55" s="239">
        <f>IF(C$4&gt;DAY(EOMONTH(DATE($D$2,$B$2,1),0)),"",IFERROR(SUMIFS(DATA_GOC!$H:$H,DATA_GOC!$A:$A,"BOM",DATA_GOC!$D:$D,$B55,DATA_GOC!$E:$E,"Téc 1",DATA_GOC!$F:$F,"Xuất nội bộ từ téc",DATA_GOC!$B:$B,DATE($D$2,$B$2,C$4)),0))</f>
        <v>0</v>
      </c>
      <c r="D55" s="239">
        <f>IF(D$4&gt;DAY(EOMONTH(DATE($D$2,$B$2,1),0)),"",IFERROR(SUMIFS(DATA_GOC!$H:$H,DATA_GOC!$A:$A,"BOM",DATA_GOC!$D:$D,$B55,DATA_GOC!$E:$E,"Téc 1",DATA_GOC!$F:$F,"Xuất nội bộ từ téc",DATA_GOC!$B:$B,DATE($D$2,$B$2,D$4)),0))</f>
        <v>0</v>
      </c>
      <c r="E55" s="239">
        <f>IF(E$4&gt;DAY(EOMONTH(DATE($D$2,$B$2,1),0)),"",IFERROR(SUMIFS(DATA_GOC!$H:$H,DATA_GOC!$A:$A,"BOM",DATA_GOC!$D:$D,$B55,DATA_GOC!$E:$E,"Téc 1",DATA_GOC!$F:$F,"Xuất nội bộ từ téc",DATA_GOC!$B:$B,DATE($D$2,$B$2,E$4)),0))</f>
        <v>0</v>
      </c>
      <c r="F55" s="239">
        <f>IF(F$4&gt;DAY(EOMONTH(DATE($D$2,$B$2,1),0)),"",IFERROR(SUMIFS(DATA_GOC!$H:$H,DATA_GOC!$A:$A,"BOM",DATA_GOC!$D:$D,$B55,DATA_GOC!$E:$E,"Téc 1",DATA_GOC!$F:$F,"Xuất nội bộ từ téc",DATA_GOC!$B:$B,DATE($D$2,$B$2,F$4)),0))</f>
        <v>0</v>
      </c>
      <c r="G55" s="239">
        <f>IF(G$4&gt;DAY(EOMONTH(DATE($D$2,$B$2,1),0)),"",IFERROR(SUMIFS(DATA_GOC!$H:$H,DATA_GOC!$A:$A,"BOM",DATA_GOC!$D:$D,$B55,DATA_GOC!$E:$E,"Téc 1",DATA_GOC!$F:$F,"Xuất nội bộ từ téc",DATA_GOC!$B:$B,DATE($D$2,$B$2,G$4)),0))</f>
        <v>0</v>
      </c>
      <c r="H55" s="239">
        <f>IF(H$4&gt;DAY(EOMONTH(DATE($D$2,$B$2,1),0)),"",IFERROR(SUMIFS(DATA_GOC!$H:$H,DATA_GOC!$A:$A,"BOM",DATA_GOC!$D:$D,$B55,DATA_GOC!$E:$E,"Téc 1",DATA_GOC!$F:$F,"Xuất nội bộ từ téc",DATA_GOC!$B:$B,DATE($D$2,$B$2,H$4)),0))</f>
        <v>0</v>
      </c>
      <c r="I55" s="239">
        <f>IF(I$4&gt;DAY(EOMONTH(DATE($D$2,$B$2,1),0)),"",IFERROR(SUMIFS(DATA_GOC!$H:$H,DATA_GOC!$A:$A,"BOM",DATA_GOC!$D:$D,$B55,DATA_GOC!$E:$E,"Téc 1",DATA_GOC!$F:$F,"Xuất nội bộ từ téc",DATA_GOC!$B:$B,DATE($D$2,$B$2,I$4)),0))</f>
        <v>0</v>
      </c>
      <c r="J55" s="239">
        <f>IF(J$4&gt;DAY(EOMONTH(DATE($D$2,$B$2,1),0)),"",IFERROR(SUMIFS(DATA_GOC!$H:$H,DATA_GOC!$A:$A,"BOM",DATA_GOC!$D:$D,$B55,DATA_GOC!$E:$E,"Téc 1",DATA_GOC!$F:$F,"Xuất nội bộ từ téc",DATA_GOC!$B:$B,DATE($D$2,$B$2,J$4)),0))</f>
        <v>0</v>
      </c>
      <c r="K55" s="239">
        <f>IF(K$4&gt;DAY(EOMONTH(DATE($D$2,$B$2,1),0)),"",IFERROR(SUMIFS(DATA_GOC!$H:$H,DATA_GOC!$A:$A,"BOM",DATA_GOC!$D:$D,$B55,DATA_GOC!$E:$E,"Téc 1",DATA_GOC!$F:$F,"Xuất nội bộ từ téc",DATA_GOC!$B:$B,DATE($D$2,$B$2,K$4)),0))</f>
        <v>0</v>
      </c>
      <c r="L55" s="239">
        <f>IF(L$4&gt;DAY(EOMONTH(DATE($D$2,$B$2,1),0)),"",IFERROR(SUMIFS(DATA_GOC!$H:$H,DATA_GOC!$A:$A,"BOM",DATA_GOC!$D:$D,$B55,DATA_GOC!$E:$E,"Téc 1",DATA_GOC!$F:$F,"Xuất nội bộ từ téc",DATA_GOC!$B:$B,DATE($D$2,$B$2,L$4)),0))</f>
        <v>0</v>
      </c>
      <c r="M55" s="239">
        <f>IF(M$4&gt;DAY(EOMONTH(DATE($D$2,$B$2,1),0)),"",IFERROR(SUMIFS(DATA_GOC!$H:$H,DATA_GOC!$A:$A,"BOM",DATA_GOC!$D:$D,$B55,DATA_GOC!$E:$E,"Téc 1",DATA_GOC!$F:$F,"Xuất nội bộ từ téc",DATA_GOC!$B:$B,DATE($D$2,$B$2,M$4)),0))</f>
        <v>0</v>
      </c>
      <c r="N55" s="239">
        <f>IF(N$4&gt;DAY(EOMONTH(DATE($D$2,$B$2,1),0)),"",IFERROR(SUMIFS(DATA_GOC!$H:$H,DATA_GOC!$A:$A,"BOM",DATA_GOC!$D:$D,$B55,DATA_GOC!$E:$E,"Téc 1",DATA_GOC!$F:$F,"Xuất nội bộ từ téc",DATA_GOC!$B:$B,DATE($D$2,$B$2,N$4)),0))</f>
        <v>0</v>
      </c>
      <c r="O55" s="239">
        <f>IF(O$4&gt;DAY(EOMONTH(DATE($D$2,$B$2,1),0)),"",IFERROR(SUMIFS(DATA_GOC!$H:$H,DATA_GOC!$A:$A,"BOM",DATA_GOC!$D:$D,$B55,DATA_GOC!$E:$E,"Téc 1",DATA_GOC!$F:$F,"Xuất nội bộ từ téc",DATA_GOC!$B:$B,DATE($D$2,$B$2,O$4)),0))</f>
        <v>0</v>
      </c>
      <c r="P55" s="239">
        <f>IF(P$4&gt;DAY(EOMONTH(DATE($D$2,$B$2,1),0)),"",IFERROR(SUMIFS(DATA_GOC!$H:$H,DATA_GOC!$A:$A,"BOM",DATA_GOC!$D:$D,$B55,DATA_GOC!$E:$E,"Téc 1",DATA_GOC!$F:$F,"Xuất nội bộ từ téc",DATA_GOC!$B:$B,DATE($D$2,$B$2,P$4)),0))</f>
        <v>0</v>
      </c>
      <c r="Q55" s="239">
        <f>IF(Q$4&gt;DAY(EOMONTH(DATE($D$2,$B$2,1),0)),"",IFERROR(SUMIFS(DATA_GOC!$H:$H,DATA_GOC!$A:$A,"BOM",DATA_GOC!$D:$D,$B55,DATA_GOC!$E:$E,"Téc 1",DATA_GOC!$F:$F,"Xuất nội bộ từ téc",DATA_GOC!$B:$B,DATE($D$2,$B$2,Q$4)),0))</f>
        <v>0</v>
      </c>
      <c r="R55" s="239">
        <f>IF(R$4&gt;DAY(EOMONTH(DATE($D$2,$B$2,1),0)),"",IFERROR(SUMIFS(DATA_GOC!$H:$H,DATA_GOC!$A:$A,"BOM",DATA_GOC!$D:$D,$B55,DATA_GOC!$E:$E,"Téc 1",DATA_GOC!$F:$F,"Xuất nội bộ từ téc",DATA_GOC!$B:$B,DATE($D$2,$B$2,R$4)),0))</f>
        <v>0</v>
      </c>
      <c r="S55" s="239">
        <f>IF(S$4&gt;DAY(EOMONTH(DATE($D$2,$B$2,1),0)),"",IFERROR(SUMIFS(DATA_GOC!$H:$H,DATA_GOC!$A:$A,"BOM",DATA_GOC!$D:$D,$B55,DATA_GOC!$E:$E,"Téc 1",DATA_GOC!$F:$F,"Xuất nội bộ từ téc",DATA_GOC!$B:$B,DATE($D$2,$B$2,S$4)),0))</f>
        <v>0</v>
      </c>
      <c r="T55" s="239">
        <f>IF(T$4&gt;DAY(EOMONTH(DATE($D$2,$B$2,1),0)),"",IFERROR(SUMIFS(DATA_GOC!$H:$H,DATA_GOC!$A:$A,"BOM",DATA_GOC!$D:$D,$B55,DATA_GOC!$E:$E,"Téc 1",DATA_GOC!$F:$F,"Xuất nội bộ từ téc",DATA_GOC!$B:$B,DATE($D$2,$B$2,T$4)),0))</f>
        <v>0</v>
      </c>
      <c r="U55" s="239">
        <f>IF(U$4&gt;DAY(EOMONTH(DATE($D$2,$B$2,1),0)),"",IFERROR(SUMIFS(DATA_GOC!$H:$H,DATA_GOC!$A:$A,"BOM",DATA_GOC!$D:$D,$B55,DATA_GOC!$E:$E,"Téc 1",DATA_GOC!$F:$F,"Xuất nội bộ từ téc",DATA_GOC!$B:$B,DATE($D$2,$B$2,U$4)),0))</f>
        <v>0</v>
      </c>
      <c r="V55" s="239">
        <f>IF(V$4&gt;DAY(EOMONTH(DATE($D$2,$B$2,1),0)),"",IFERROR(SUMIFS(DATA_GOC!$H:$H,DATA_GOC!$A:$A,"BOM",DATA_GOC!$D:$D,$B55,DATA_GOC!$E:$E,"Téc 1",DATA_GOC!$F:$F,"Xuất nội bộ từ téc",DATA_GOC!$B:$B,DATE($D$2,$B$2,V$4)),0))</f>
        <v>0</v>
      </c>
      <c r="W55" s="239">
        <f>IF(W$4&gt;DAY(EOMONTH(DATE($D$2,$B$2,1),0)),"",IFERROR(SUMIFS(DATA_GOC!$H:$H,DATA_GOC!$A:$A,"BOM",DATA_GOC!$D:$D,$B55,DATA_GOC!$E:$E,"Téc 1",DATA_GOC!$F:$F,"Xuất nội bộ từ téc",DATA_GOC!$B:$B,DATE($D$2,$B$2,W$4)),0))</f>
        <v>0</v>
      </c>
      <c r="X55" s="239">
        <f>IF(X$4&gt;DAY(EOMONTH(DATE($D$2,$B$2,1),0)),"",IFERROR(SUMIFS(DATA_GOC!$H:$H,DATA_GOC!$A:$A,"BOM",DATA_GOC!$D:$D,$B55,DATA_GOC!$E:$E,"Téc 1",DATA_GOC!$F:$F,"Xuất nội bộ từ téc",DATA_GOC!$B:$B,DATE($D$2,$B$2,X$4)),0))</f>
        <v>0</v>
      </c>
      <c r="Y55" s="239">
        <f>IF(Y$4&gt;DAY(EOMONTH(DATE($D$2,$B$2,1),0)),"",IFERROR(SUMIFS(DATA_GOC!$H:$H,DATA_GOC!$A:$A,"BOM",DATA_GOC!$D:$D,$B55,DATA_GOC!$E:$E,"Téc 1",DATA_GOC!$F:$F,"Xuất nội bộ từ téc",DATA_GOC!$B:$B,DATE($D$2,$B$2,Y$4)),0))</f>
        <v>0</v>
      </c>
      <c r="Z55" s="239">
        <f>IF(Z$4&gt;DAY(EOMONTH(DATE($D$2,$B$2,1),0)),"",IFERROR(SUMIFS(DATA_GOC!$H:$H,DATA_GOC!$A:$A,"BOM",DATA_GOC!$D:$D,$B55,DATA_GOC!$E:$E,"Téc 1",DATA_GOC!$F:$F,"Xuất nội bộ từ téc",DATA_GOC!$B:$B,DATE($D$2,$B$2,Z$4)),0))</f>
        <v>0</v>
      </c>
      <c r="AA55" s="239">
        <f>IF(AA$4&gt;DAY(EOMONTH(DATE($D$2,$B$2,1),0)),"",IFERROR(SUMIFS(DATA_GOC!$H:$H,DATA_GOC!$A:$A,"BOM",DATA_GOC!$D:$D,$B55,DATA_GOC!$E:$E,"Téc 1",DATA_GOC!$F:$F,"Xuất nội bộ từ téc",DATA_GOC!$B:$B,DATE($D$2,$B$2,AA$4)),0))</f>
        <v>0</v>
      </c>
      <c r="AB55" s="239">
        <f>IF(AB$4&gt;DAY(EOMONTH(DATE($D$2,$B$2,1),0)),"",IFERROR(SUMIFS(DATA_GOC!$H:$H,DATA_GOC!$A:$A,"BOM",DATA_GOC!$D:$D,$B55,DATA_GOC!$E:$E,"Téc 1",DATA_GOC!$F:$F,"Xuất nội bộ từ téc",DATA_GOC!$B:$B,DATE($D$2,$B$2,AB$4)),0))</f>
        <v>0</v>
      </c>
      <c r="AC55" s="239">
        <f>IF(AC$4&gt;DAY(EOMONTH(DATE($D$2,$B$2,1),0)),"",IFERROR(SUMIFS(DATA_GOC!$H:$H,DATA_GOC!$A:$A,"BOM",DATA_GOC!$D:$D,$B55,DATA_GOC!$E:$E,"Téc 1",DATA_GOC!$F:$F,"Xuất nội bộ từ téc",DATA_GOC!$B:$B,DATE($D$2,$B$2,AC$4)),0))</f>
        <v>0</v>
      </c>
      <c r="AD55" s="239">
        <f>IF(AD$4&gt;DAY(EOMONTH(DATE($D$2,$B$2,1),0)),"",IFERROR(SUMIFS(DATA_GOC!$H:$H,DATA_GOC!$A:$A,"BOM",DATA_GOC!$D:$D,$B55,DATA_GOC!$E:$E,"Téc 1",DATA_GOC!$F:$F,"Xuất nội bộ từ téc",DATA_GOC!$B:$B,DATE($D$2,$B$2,AD$4)),0))</f>
        <v>0</v>
      </c>
      <c r="AE55" s="239">
        <f>IF(AE$4&gt;DAY(EOMONTH(DATE($D$2,$B$2,1),0)),"",IFERROR(SUMIFS(DATA_GOC!$H:$H,DATA_GOC!$A:$A,"BOM",DATA_GOC!$D:$D,$B55,DATA_GOC!$E:$E,"Téc 1",DATA_GOC!$F:$F,"Xuất nội bộ từ téc",DATA_GOC!$B:$B,DATE($D$2,$B$2,AE$4)),0))</f>
        <v>0</v>
      </c>
      <c r="AF55" s="239">
        <f>IF(AF$4&gt;DAY(EOMONTH(DATE($D$2,$B$2,1),0)),"",IFERROR(SUMIFS(DATA_GOC!$H:$H,DATA_GOC!$A:$A,"BOM",DATA_GOC!$D:$D,$B55,DATA_GOC!$E:$E,"Téc 1",DATA_GOC!$F:$F,"Xuất nội bộ từ téc",DATA_GOC!$B:$B,DATE($D$2,$B$2,AF$4)),0))</f>
        <v>0</v>
      </c>
      <c r="AG55" s="239">
        <f>IF(AG$4&gt;DAY(EOMONTH(DATE($D$2,$B$2,1),0)),"",IFERROR(SUMIFS(DATA_GOC!$H:$H,DATA_GOC!$A:$A,"BOM",DATA_GOC!$D:$D,$B55,DATA_GOC!$E:$E,"Téc 1",DATA_GOC!$F:$F,"Xuất nội bộ từ téc",DATA_GOC!$B:$B,DATE($D$2,$B$2,AG$4)),0))</f>
        <v>0</v>
      </c>
      <c r="AH55" s="240">
        <f t="shared" si="1"/>
        <v>0</v>
      </c>
      <c r="AI55" s="241"/>
      <c r="AJ55" s="239">
        <f>IF($B55="","",SUMIFS(TINH_TEC!$K$233:$K$9232,TINH_TEC!$H$233:$H$9232,$B55,TINH_TEC!$C$233:$C$9232,"Téc 1",TINH_TEC!$F$233:$F$9232,$B$2,TINH_TEC!$G$233:$G$9232,$D$2,TINH_TEC!$B$233:$B$9232,"Đã chốt"))</f>
        <v>0</v>
      </c>
      <c r="AK55" s="239">
        <f>IF($B55="","",SUMIFS(TINH_TEC!$J$233:$J$9232,TINH_TEC!$H$233:$H$9232,$B55,TINH_TEC!$C$233:$C$9232,"Téc 1",TINH_TEC!$F$233:$F$9232,$B$2,TINH_TEC!$G$233:$G$9232,$D$2,TINH_TEC!$B$233:$B$9232,"Đã chốt"))</f>
        <v>0</v>
      </c>
      <c r="AL55" s="239">
        <f t="shared" si="2"/>
        <v>0</v>
      </c>
    </row>
    <row r="56" ht="15.75" customHeight="1">
      <c r="A56" s="237">
        <f>IF($B56&lt;&gt;"",51,"")</f>
        <v>51</v>
      </c>
      <c r="B56" s="238" t="str">
        <f t="array" ref="B56">IFERROR(INDEX(DANH_MUC!$E:$E,54),"")</f>
        <v>Xúc Đào</v>
      </c>
      <c r="C56" s="239">
        <f>IF(C$4&gt;DAY(EOMONTH(DATE($D$2,$B$2,1),0)),"",IFERROR(SUMIFS(DATA_GOC!$H:$H,DATA_GOC!$A:$A,"BOM",DATA_GOC!$D:$D,$B56,DATA_GOC!$E:$E,"Téc 1",DATA_GOC!$F:$F,"Xuất nội bộ từ téc",DATA_GOC!$B:$B,DATE($D$2,$B$2,C$4)),0))</f>
        <v>0</v>
      </c>
      <c r="D56" s="239">
        <f>IF(D$4&gt;DAY(EOMONTH(DATE($D$2,$B$2,1),0)),"",IFERROR(SUMIFS(DATA_GOC!$H:$H,DATA_GOC!$A:$A,"BOM",DATA_GOC!$D:$D,$B56,DATA_GOC!$E:$E,"Téc 1",DATA_GOC!$F:$F,"Xuất nội bộ từ téc",DATA_GOC!$B:$B,DATE($D$2,$B$2,D$4)),0))</f>
        <v>0</v>
      </c>
      <c r="E56" s="239">
        <f>IF(E$4&gt;DAY(EOMONTH(DATE($D$2,$B$2,1),0)),"",IFERROR(SUMIFS(DATA_GOC!$H:$H,DATA_GOC!$A:$A,"BOM",DATA_GOC!$D:$D,$B56,DATA_GOC!$E:$E,"Téc 1",DATA_GOC!$F:$F,"Xuất nội bộ từ téc",DATA_GOC!$B:$B,DATE($D$2,$B$2,E$4)),0))</f>
        <v>0</v>
      </c>
      <c r="F56" s="239">
        <f>IF(F$4&gt;DAY(EOMONTH(DATE($D$2,$B$2,1),0)),"",IFERROR(SUMIFS(DATA_GOC!$H:$H,DATA_GOC!$A:$A,"BOM",DATA_GOC!$D:$D,$B56,DATA_GOC!$E:$E,"Téc 1",DATA_GOC!$F:$F,"Xuất nội bộ từ téc",DATA_GOC!$B:$B,DATE($D$2,$B$2,F$4)),0))</f>
        <v>0</v>
      </c>
      <c r="G56" s="239">
        <f>IF(G$4&gt;DAY(EOMONTH(DATE($D$2,$B$2,1),0)),"",IFERROR(SUMIFS(DATA_GOC!$H:$H,DATA_GOC!$A:$A,"BOM",DATA_GOC!$D:$D,$B56,DATA_GOC!$E:$E,"Téc 1",DATA_GOC!$F:$F,"Xuất nội bộ từ téc",DATA_GOC!$B:$B,DATE($D$2,$B$2,G$4)),0))</f>
        <v>0</v>
      </c>
      <c r="H56" s="239">
        <f>IF(H$4&gt;DAY(EOMONTH(DATE($D$2,$B$2,1),0)),"",IFERROR(SUMIFS(DATA_GOC!$H:$H,DATA_GOC!$A:$A,"BOM",DATA_GOC!$D:$D,$B56,DATA_GOC!$E:$E,"Téc 1",DATA_GOC!$F:$F,"Xuất nội bộ từ téc",DATA_GOC!$B:$B,DATE($D$2,$B$2,H$4)),0))</f>
        <v>0</v>
      </c>
      <c r="I56" s="239">
        <f>IF(I$4&gt;DAY(EOMONTH(DATE($D$2,$B$2,1),0)),"",IFERROR(SUMIFS(DATA_GOC!$H:$H,DATA_GOC!$A:$A,"BOM",DATA_GOC!$D:$D,$B56,DATA_GOC!$E:$E,"Téc 1",DATA_GOC!$F:$F,"Xuất nội bộ từ téc",DATA_GOC!$B:$B,DATE($D$2,$B$2,I$4)),0))</f>
        <v>0</v>
      </c>
      <c r="J56" s="239">
        <f>IF(J$4&gt;DAY(EOMONTH(DATE($D$2,$B$2,1),0)),"",IFERROR(SUMIFS(DATA_GOC!$H:$H,DATA_GOC!$A:$A,"BOM",DATA_GOC!$D:$D,$B56,DATA_GOC!$E:$E,"Téc 1",DATA_GOC!$F:$F,"Xuất nội bộ từ téc",DATA_GOC!$B:$B,DATE($D$2,$B$2,J$4)),0))</f>
        <v>0</v>
      </c>
      <c r="K56" s="239">
        <f>IF(K$4&gt;DAY(EOMONTH(DATE($D$2,$B$2,1),0)),"",IFERROR(SUMIFS(DATA_GOC!$H:$H,DATA_GOC!$A:$A,"BOM",DATA_GOC!$D:$D,$B56,DATA_GOC!$E:$E,"Téc 1",DATA_GOC!$F:$F,"Xuất nội bộ từ téc",DATA_GOC!$B:$B,DATE($D$2,$B$2,K$4)),0))</f>
        <v>0</v>
      </c>
      <c r="L56" s="239">
        <f>IF(L$4&gt;DAY(EOMONTH(DATE($D$2,$B$2,1),0)),"",IFERROR(SUMIFS(DATA_GOC!$H:$H,DATA_GOC!$A:$A,"BOM",DATA_GOC!$D:$D,$B56,DATA_GOC!$E:$E,"Téc 1",DATA_GOC!$F:$F,"Xuất nội bộ từ téc",DATA_GOC!$B:$B,DATE($D$2,$B$2,L$4)),0))</f>
        <v>0</v>
      </c>
      <c r="M56" s="239">
        <f>IF(M$4&gt;DAY(EOMONTH(DATE($D$2,$B$2,1),0)),"",IFERROR(SUMIFS(DATA_GOC!$H:$H,DATA_GOC!$A:$A,"BOM",DATA_GOC!$D:$D,$B56,DATA_GOC!$E:$E,"Téc 1",DATA_GOC!$F:$F,"Xuất nội bộ từ téc",DATA_GOC!$B:$B,DATE($D$2,$B$2,M$4)),0))</f>
        <v>0</v>
      </c>
      <c r="N56" s="239">
        <f>IF(N$4&gt;DAY(EOMONTH(DATE($D$2,$B$2,1),0)),"",IFERROR(SUMIFS(DATA_GOC!$H:$H,DATA_GOC!$A:$A,"BOM",DATA_GOC!$D:$D,$B56,DATA_GOC!$E:$E,"Téc 1",DATA_GOC!$F:$F,"Xuất nội bộ từ téc",DATA_GOC!$B:$B,DATE($D$2,$B$2,N$4)),0))</f>
        <v>0</v>
      </c>
      <c r="O56" s="239">
        <f>IF(O$4&gt;DAY(EOMONTH(DATE($D$2,$B$2,1),0)),"",IFERROR(SUMIFS(DATA_GOC!$H:$H,DATA_GOC!$A:$A,"BOM",DATA_GOC!$D:$D,$B56,DATA_GOC!$E:$E,"Téc 1",DATA_GOC!$F:$F,"Xuất nội bộ từ téc",DATA_GOC!$B:$B,DATE($D$2,$B$2,O$4)),0))</f>
        <v>0</v>
      </c>
      <c r="P56" s="239">
        <f>IF(P$4&gt;DAY(EOMONTH(DATE($D$2,$B$2,1),0)),"",IFERROR(SUMIFS(DATA_GOC!$H:$H,DATA_GOC!$A:$A,"BOM",DATA_GOC!$D:$D,$B56,DATA_GOC!$E:$E,"Téc 1",DATA_GOC!$F:$F,"Xuất nội bộ từ téc",DATA_GOC!$B:$B,DATE($D$2,$B$2,P$4)),0))</f>
        <v>0</v>
      </c>
      <c r="Q56" s="239">
        <f>IF(Q$4&gt;DAY(EOMONTH(DATE($D$2,$B$2,1),0)),"",IFERROR(SUMIFS(DATA_GOC!$H:$H,DATA_GOC!$A:$A,"BOM",DATA_GOC!$D:$D,$B56,DATA_GOC!$E:$E,"Téc 1",DATA_GOC!$F:$F,"Xuất nội bộ từ téc",DATA_GOC!$B:$B,DATE($D$2,$B$2,Q$4)),0))</f>
        <v>0</v>
      </c>
      <c r="R56" s="239">
        <f>IF(R$4&gt;DAY(EOMONTH(DATE($D$2,$B$2,1),0)),"",IFERROR(SUMIFS(DATA_GOC!$H:$H,DATA_GOC!$A:$A,"BOM",DATA_GOC!$D:$D,$B56,DATA_GOC!$E:$E,"Téc 1",DATA_GOC!$F:$F,"Xuất nội bộ từ téc",DATA_GOC!$B:$B,DATE($D$2,$B$2,R$4)),0))</f>
        <v>0</v>
      </c>
      <c r="S56" s="239">
        <f>IF(S$4&gt;DAY(EOMONTH(DATE($D$2,$B$2,1),0)),"",IFERROR(SUMIFS(DATA_GOC!$H:$H,DATA_GOC!$A:$A,"BOM",DATA_GOC!$D:$D,$B56,DATA_GOC!$E:$E,"Téc 1",DATA_GOC!$F:$F,"Xuất nội bộ từ téc",DATA_GOC!$B:$B,DATE($D$2,$B$2,S$4)),0))</f>
        <v>0</v>
      </c>
      <c r="T56" s="239">
        <f>IF(T$4&gt;DAY(EOMONTH(DATE($D$2,$B$2,1),0)),"",IFERROR(SUMIFS(DATA_GOC!$H:$H,DATA_GOC!$A:$A,"BOM",DATA_GOC!$D:$D,$B56,DATA_GOC!$E:$E,"Téc 1",DATA_GOC!$F:$F,"Xuất nội bộ từ téc",DATA_GOC!$B:$B,DATE($D$2,$B$2,T$4)),0))</f>
        <v>0</v>
      </c>
      <c r="U56" s="239">
        <f>IF(U$4&gt;DAY(EOMONTH(DATE($D$2,$B$2,1),0)),"",IFERROR(SUMIFS(DATA_GOC!$H:$H,DATA_GOC!$A:$A,"BOM",DATA_GOC!$D:$D,$B56,DATA_GOC!$E:$E,"Téc 1",DATA_GOC!$F:$F,"Xuất nội bộ từ téc",DATA_GOC!$B:$B,DATE($D$2,$B$2,U$4)),0))</f>
        <v>0</v>
      </c>
      <c r="V56" s="239">
        <f>IF(V$4&gt;DAY(EOMONTH(DATE($D$2,$B$2,1),0)),"",IFERROR(SUMIFS(DATA_GOC!$H:$H,DATA_GOC!$A:$A,"BOM",DATA_GOC!$D:$D,$B56,DATA_GOC!$E:$E,"Téc 1",DATA_GOC!$F:$F,"Xuất nội bộ từ téc",DATA_GOC!$B:$B,DATE($D$2,$B$2,V$4)),0))</f>
        <v>0</v>
      </c>
      <c r="W56" s="239">
        <f>IF(W$4&gt;DAY(EOMONTH(DATE($D$2,$B$2,1),0)),"",IFERROR(SUMIFS(DATA_GOC!$H:$H,DATA_GOC!$A:$A,"BOM",DATA_GOC!$D:$D,$B56,DATA_GOC!$E:$E,"Téc 1",DATA_GOC!$F:$F,"Xuất nội bộ từ téc",DATA_GOC!$B:$B,DATE($D$2,$B$2,W$4)),0))</f>
        <v>0</v>
      </c>
      <c r="X56" s="239">
        <f>IF(X$4&gt;DAY(EOMONTH(DATE($D$2,$B$2,1),0)),"",IFERROR(SUMIFS(DATA_GOC!$H:$H,DATA_GOC!$A:$A,"BOM",DATA_GOC!$D:$D,$B56,DATA_GOC!$E:$E,"Téc 1",DATA_GOC!$F:$F,"Xuất nội bộ từ téc",DATA_GOC!$B:$B,DATE($D$2,$B$2,X$4)),0))</f>
        <v>0</v>
      </c>
      <c r="Y56" s="239">
        <f>IF(Y$4&gt;DAY(EOMONTH(DATE($D$2,$B$2,1),0)),"",IFERROR(SUMIFS(DATA_GOC!$H:$H,DATA_GOC!$A:$A,"BOM",DATA_GOC!$D:$D,$B56,DATA_GOC!$E:$E,"Téc 1",DATA_GOC!$F:$F,"Xuất nội bộ từ téc",DATA_GOC!$B:$B,DATE($D$2,$B$2,Y$4)),0))</f>
        <v>0</v>
      </c>
      <c r="Z56" s="239">
        <f>IF(Z$4&gt;DAY(EOMONTH(DATE($D$2,$B$2,1),0)),"",IFERROR(SUMIFS(DATA_GOC!$H:$H,DATA_GOC!$A:$A,"BOM",DATA_GOC!$D:$D,$B56,DATA_GOC!$E:$E,"Téc 1",DATA_GOC!$F:$F,"Xuất nội bộ từ téc",DATA_GOC!$B:$B,DATE($D$2,$B$2,Z$4)),0))</f>
        <v>0</v>
      </c>
      <c r="AA56" s="239">
        <f>IF(AA$4&gt;DAY(EOMONTH(DATE($D$2,$B$2,1),0)),"",IFERROR(SUMIFS(DATA_GOC!$H:$H,DATA_GOC!$A:$A,"BOM",DATA_GOC!$D:$D,$B56,DATA_GOC!$E:$E,"Téc 1",DATA_GOC!$F:$F,"Xuất nội bộ từ téc",DATA_GOC!$B:$B,DATE($D$2,$B$2,AA$4)),0))</f>
        <v>0</v>
      </c>
      <c r="AB56" s="239">
        <f>IF(AB$4&gt;DAY(EOMONTH(DATE($D$2,$B$2,1),0)),"",IFERROR(SUMIFS(DATA_GOC!$H:$H,DATA_GOC!$A:$A,"BOM",DATA_GOC!$D:$D,$B56,DATA_GOC!$E:$E,"Téc 1",DATA_GOC!$F:$F,"Xuất nội bộ từ téc",DATA_GOC!$B:$B,DATE($D$2,$B$2,AB$4)),0))</f>
        <v>0</v>
      </c>
      <c r="AC56" s="239">
        <f>IF(AC$4&gt;DAY(EOMONTH(DATE($D$2,$B$2,1),0)),"",IFERROR(SUMIFS(DATA_GOC!$H:$H,DATA_GOC!$A:$A,"BOM",DATA_GOC!$D:$D,$B56,DATA_GOC!$E:$E,"Téc 1",DATA_GOC!$F:$F,"Xuất nội bộ từ téc",DATA_GOC!$B:$B,DATE($D$2,$B$2,AC$4)),0))</f>
        <v>0</v>
      </c>
      <c r="AD56" s="239">
        <f>IF(AD$4&gt;DAY(EOMONTH(DATE($D$2,$B$2,1),0)),"",IFERROR(SUMIFS(DATA_GOC!$H:$H,DATA_GOC!$A:$A,"BOM",DATA_GOC!$D:$D,$B56,DATA_GOC!$E:$E,"Téc 1",DATA_GOC!$F:$F,"Xuất nội bộ từ téc",DATA_GOC!$B:$B,DATE($D$2,$B$2,AD$4)),0))</f>
        <v>0</v>
      </c>
      <c r="AE56" s="239">
        <f>IF(AE$4&gt;DAY(EOMONTH(DATE($D$2,$B$2,1),0)),"",IFERROR(SUMIFS(DATA_GOC!$H:$H,DATA_GOC!$A:$A,"BOM",DATA_GOC!$D:$D,$B56,DATA_GOC!$E:$E,"Téc 1",DATA_GOC!$F:$F,"Xuất nội bộ từ téc",DATA_GOC!$B:$B,DATE($D$2,$B$2,AE$4)),0))</f>
        <v>0</v>
      </c>
      <c r="AF56" s="239">
        <f>IF(AF$4&gt;DAY(EOMONTH(DATE($D$2,$B$2,1),0)),"",IFERROR(SUMIFS(DATA_GOC!$H:$H,DATA_GOC!$A:$A,"BOM",DATA_GOC!$D:$D,$B56,DATA_GOC!$E:$E,"Téc 1",DATA_GOC!$F:$F,"Xuất nội bộ từ téc",DATA_GOC!$B:$B,DATE($D$2,$B$2,AF$4)),0))</f>
        <v>0</v>
      </c>
      <c r="AG56" s="239">
        <f>IF(AG$4&gt;DAY(EOMONTH(DATE($D$2,$B$2,1),0)),"",IFERROR(SUMIFS(DATA_GOC!$H:$H,DATA_GOC!$A:$A,"BOM",DATA_GOC!$D:$D,$B56,DATA_GOC!$E:$E,"Téc 1",DATA_GOC!$F:$F,"Xuất nội bộ từ téc",DATA_GOC!$B:$B,DATE($D$2,$B$2,AG$4)),0))</f>
        <v>0</v>
      </c>
      <c r="AH56" s="240">
        <f t="shared" si="1"/>
        <v>0</v>
      </c>
      <c r="AI56" s="241"/>
      <c r="AJ56" s="239">
        <f>IF($B56="","",SUMIFS(TINH_TEC!$K$233:$K$9232,TINH_TEC!$H$233:$H$9232,$B56,TINH_TEC!$C$233:$C$9232,"Téc 1",TINH_TEC!$F$233:$F$9232,$B$2,TINH_TEC!$G$233:$G$9232,$D$2,TINH_TEC!$B$233:$B$9232,"Đã chốt"))</f>
        <v>0</v>
      </c>
      <c r="AK56" s="239">
        <f>IF($B56="","",SUMIFS(TINH_TEC!$J$233:$J$9232,TINH_TEC!$H$233:$H$9232,$B56,TINH_TEC!$C$233:$C$9232,"Téc 1",TINH_TEC!$F$233:$F$9232,$B$2,TINH_TEC!$G$233:$G$9232,$D$2,TINH_TEC!$B$233:$B$9232,"Đã chốt"))</f>
        <v>0</v>
      </c>
      <c r="AL56" s="239">
        <f t="shared" si="2"/>
        <v>0</v>
      </c>
    </row>
    <row r="57" ht="15.75" customHeight="1">
      <c r="A57" s="237">
        <f>IF($B57&lt;&gt;"",52,"")</f>
        <v>52</v>
      </c>
      <c r="B57" s="238" t="str">
        <f t="array" ref="B57">IFERROR(INDEX(DANH_MUC!$E:$E,55),"")</f>
        <v>Xúclật asphalt</v>
      </c>
      <c r="C57" s="239">
        <f>IF(C$4&gt;DAY(EOMONTH(DATE($D$2,$B$2,1),0)),"",IFERROR(SUMIFS(DATA_GOC!$H:$H,DATA_GOC!$A:$A,"BOM",DATA_GOC!$D:$D,$B57,DATA_GOC!$E:$E,"Téc 1",DATA_GOC!$F:$F,"Xuất nội bộ từ téc",DATA_GOC!$B:$B,DATE($D$2,$B$2,C$4)),0))</f>
        <v>0</v>
      </c>
      <c r="D57" s="239">
        <f>IF(D$4&gt;DAY(EOMONTH(DATE($D$2,$B$2,1),0)),"",IFERROR(SUMIFS(DATA_GOC!$H:$H,DATA_GOC!$A:$A,"BOM",DATA_GOC!$D:$D,$B57,DATA_GOC!$E:$E,"Téc 1",DATA_GOC!$F:$F,"Xuất nội bộ từ téc",DATA_GOC!$B:$B,DATE($D$2,$B$2,D$4)),0))</f>
        <v>0</v>
      </c>
      <c r="E57" s="239">
        <f>IF(E$4&gt;DAY(EOMONTH(DATE($D$2,$B$2,1),0)),"",IFERROR(SUMIFS(DATA_GOC!$H:$H,DATA_GOC!$A:$A,"BOM",DATA_GOC!$D:$D,$B57,DATA_GOC!$E:$E,"Téc 1",DATA_GOC!$F:$F,"Xuất nội bộ từ téc",DATA_GOC!$B:$B,DATE($D$2,$B$2,E$4)),0))</f>
        <v>0</v>
      </c>
      <c r="F57" s="239">
        <f>IF(F$4&gt;DAY(EOMONTH(DATE($D$2,$B$2,1),0)),"",IFERROR(SUMIFS(DATA_GOC!$H:$H,DATA_GOC!$A:$A,"BOM",DATA_GOC!$D:$D,$B57,DATA_GOC!$E:$E,"Téc 1",DATA_GOC!$F:$F,"Xuất nội bộ từ téc",DATA_GOC!$B:$B,DATE($D$2,$B$2,F$4)),0))</f>
        <v>0</v>
      </c>
      <c r="G57" s="239">
        <f>IF(G$4&gt;DAY(EOMONTH(DATE($D$2,$B$2,1),0)),"",IFERROR(SUMIFS(DATA_GOC!$H:$H,DATA_GOC!$A:$A,"BOM",DATA_GOC!$D:$D,$B57,DATA_GOC!$E:$E,"Téc 1",DATA_GOC!$F:$F,"Xuất nội bộ từ téc",DATA_GOC!$B:$B,DATE($D$2,$B$2,G$4)),0))</f>
        <v>0</v>
      </c>
      <c r="H57" s="239">
        <f>IF(H$4&gt;DAY(EOMONTH(DATE($D$2,$B$2,1),0)),"",IFERROR(SUMIFS(DATA_GOC!$H:$H,DATA_GOC!$A:$A,"BOM",DATA_GOC!$D:$D,$B57,DATA_GOC!$E:$E,"Téc 1",DATA_GOC!$F:$F,"Xuất nội bộ từ téc",DATA_GOC!$B:$B,DATE($D$2,$B$2,H$4)),0))</f>
        <v>0</v>
      </c>
      <c r="I57" s="239">
        <f>IF(I$4&gt;DAY(EOMONTH(DATE($D$2,$B$2,1),0)),"",IFERROR(SUMIFS(DATA_GOC!$H:$H,DATA_GOC!$A:$A,"BOM",DATA_GOC!$D:$D,$B57,DATA_GOC!$E:$E,"Téc 1",DATA_GOC!$F:$F,"Xuất nội bộ từ téc",DATA_GOC!$B:$B,DATE($D$2,$B$2,I$4)),0))</f>
        <v>0</v>
      </c>
      <c r="J57" s="239">
        <f>IF(J$4&gt;DAY(EOMONTH(DATE($D$2,$B$2,1),0)),"",IFERROR(SUMIFS(DATA_GOC!$H:$H,DATA_GOC!$A:$A,"BOM",DATA_GOC!$D:$D,$B57,DATA_GOC!$E:$E,"Téc 1",DATA_GOC!$F:$F,"Xuất nội bộ từ téc",DATA_GOC!$B:$B,DATE($D$2,$B$2,J$4)),0))</f>
        <v>0</v>
      </c>
      <c r="K57" s="239">
        <f>IF(K$4&gt;DAY(EOMONTH(DATE($D$2,$B$2,1),0)),"",IFERROR(SUMIFS(DATA_GOC!$H:$H,DATA_GOC!$A:$A,"BOM",DATA_GOC!$D:$D,$B57,DATA_GOC!$E:$E,"Téc 1",DATA_GOC!$F:$F,"Xuất nội bộ từ téc",DATA_GOC!$B:$B,DATE($D$2,$B$2,K$4)),0))</f>
        <v>0</v>
      </c>
      <c r="L57" s="239">
        <f>IF(L$4&gt;DAY(EOMONTH(DATE($D$2,$B$2,1),0)),"",IFERROR(SUMIFS(DATA_GOC!$H:$H,DATA_GOC!$A:$A,"BOM",DATA_GOC!$D:$D,$B57,DATA_GOC!$E:$E,"Téc 1",DATA_GOC!$F:$F,"Xuất nội bộ từ téc",DATA_GOC!$B:$B,DATE($D$2,$B$2,L$4)),0))</f>
        <v>0</v>
      </c>
      <c r="M57" s="239">
        <f>IF(M$4&gt;DAY(EOMONTH(DATE($D$2,$B$2,1),0)),"",IFERROR(SUMIFS(DATA_GOC!$H:$H,DATA_GOC!$A:$A,"BOM",DATA_GOC!$D:$D,$B57,DATA_GOC!$E:$E,"Téc 1",DATA_GOC!$F:$F,"Xuất nội bộ từ téc",DATA_GOC!$B:$B,DATE($D$2,$B$2,M$4)),0))</f>
        <v>0</v>
      </c>
      <c r="N57" s="239">
        <f>IF(N$4&gt;DAY(EOMONTH(DATE($D$2,$B$2,1),0)),"",IFERROR(SUMIFS(DATA_GOC!$H:$H,DATA_GOC!$A:$A,"BOM",DATA_GOC!$D:$D,$B57,DATA_GOC!$E:$E,"Téc 1",DATA_GOC!$F:$F,"Xuất nội bộ từ téc",DATA_GOC!$B:$B,DATE($D$2,$B$2,N$4)),0))</f>
        <v>0</v>
      </c>
      <c r="O57" s="239">
        <f>IF(O$4&gt;DAY(EOMONTH(DATE($D$2,$B$2,1),0)),"",IFERROR(SUMIFS(DATA_GOC!$H:$H,DATA_GOC!$A:$A,"BOM",DATA_GOC!$D:$D,$B57,DATA_GOC!$E:$E,"Téc 1",DATA_GOC!$F:$F,"Xuất nội bộ từ téc",DATA_GOC!$B:$B,DATE($D$2,$B$2,O$4)),0))</f>
        <v>0</v>
      </c>
      <c r="P57" s="239">
        <f>IF(P$4&gt;DAY(EOMONTH(DATE($D$2,$B$2,1),0)),"",IFERROR(SUMIFS(DATA_GOC!$H:$H,DATA_GOC!$A:$A,"BOM",DATA_GOC!$D:$D,$B57,DATA_GOC!$E:$E,"Téc 1",DATA_GOC!$F:$F,"Xuất nội bộ từ téc",DATA_GOC!$B:$B,DATE($D$2,$B$2,P$4)),0))</f>
        <v>0</v>
      </c>
      <c r="Q57" s="239">
        <f>IF(Q$4&gt;DAY(EOMONTH(DATE($D$2,$B$2,1),0)),"",IFERROR(SUMIFS(DATA_GOC!$H:$H,DATA_GOC!$A:$A,"BOM",DATA_GOC!$D:$D,$B57,DATA_GOC!$E:$E,"Téc 1",DATA_GOC!$F:$F,"Xuất nội bộ từ téc",DATA_GOC!$B:$B,DATE($D$2,$B$2,Q$4)),0))</f>
        <v>0</v>
      </c>
      <c r="R57" s="239">
        <f>IF(R$4&gt;DAY(EOMONTH(DATE($D$2,$B$2,1),0)),"",IFERROR(SUMIFS(DATA_GOC!$H:$H,DATA_GOC!$A:$A,"BOM",DATA_GOC!$D:$D,$B57,DATA_GOC!$E:$E,"Téc 1",DATA_GOC!$F:$F,"Xuất nội bộ từ téc",DATA_GOC!$B:$B,DATE($D$2,$B$2,R$4)),0))</f>
        <v>0</v>
      </c>
      <c r="S57" s="239">
        <f>IF(S$4&gt;DAY(EOMONTH(DATE($D$2,$B$2,1),0)),"",IFERROR(SUMIFS(DATA_GOC!$H:$H,DATA_GOC!$A:$A,"BOM",DATA_GOC!$D:$D,$B57,DATA_GOC!$E:$E,"Téc 1",DATA_GOC!$F:$F,"Xuất nội bộ từ téc",DATA_GOC!$B:$B,DATE($D$2,$B$2,S$4)),0))</f>
        <v>0</v>
      </c>
      <c r="T57" s="239">
        <f>IF(T$4&gt;DAY(EOMONTH(DATE($D$2,$B$2,1),0)),"",IFERROR(SUMIFS(DATA_GOC!$H:$H,DATA_GOC!$A:$A,"BOM",DATA_GOC!$D:$D,$B57,DATA_GOC!$E:$E,"Téc 1",DATA_GOC!$F:$F,"Xuất nội bộ từ téc",DATA_GOC!$B:$B,DATE($D$2,$B$2,T$4)),0))</f>
        <v>0</v>
      </c>
      <c r="U57" s="239">
        <f>IF(U$4&gt;DAY(EOMONTH(DATE($D$2,$B$2,1),0)),"",IFERROR(SUMIFS(DATA_GOC!$H:$H,DATA_GOC!$A:$A,"BOM",DATA_GOC!$D:$D,$B57,DATA_GOC!$E:$E,"Téc 1",DATA_GOC!$F:$F,"Xuất nội bộ từ téc",DATA_GOC!$B:$B,DATE($D$2,$B$2,U$4)),0))</f>
        <v>0</v>
      </c>
      <c r="V57" s="239">
        <f>IF(V$4&gt;DAY(EOMONTH(DATE($D$2,$B$2,1),0)),"",IFERROR(SUMIFS(DATA_GOC!$H:$H,DATA_GOC!$A:$A,"BOM",DATA_GOC!$D:$D,$B57,DATA_GOC!$E:$E,"Téc 1",DATA_GOC!$F:$F,"Xuất nội bộ từ téc",DATA_GOC!$B:$B,DATE($D$2,$B$2,V$4)),0))</f>
        <v>0</v>
      </c>
      <c r="W57" s="239">
        <f>IF(W$4&gt;DAY(EOMONTH(DATE($D$2,$B$2,1),0)),"",IFERROR(SUMIFS(DATA_GOC!$H:$H,DATA_GOC!$A:$A,"BOM",DATA_GOC!$D:$D,$B57,DATA_GOC!$E:$E,"Téc 1",DATA_GOC!$F:$F,"Xuất nội bộ từ téc",DATA_GOC!$B:$B,DATE($D$2,$B$2,W$4)),0))</f>
        <v>0</v>
      </c>
      <c r="X57" s="239">
        <f>IF(X$4&gt;DAY(EOMONTH(DATE($D$2,$B$2,1),0)),"",IFERROR(SUMIFS(DATA_GOC!$H:$H,DATA_GOC!$A:$A,"BOM",DATA_GOC!$D:$D,$B57,DATA_GOC!$E:$E,"Téc 1",DATA_GOC!$F:$F,"Xuất nội bộ từ téc",DATA_GOC!$B:$B,DATE($D$2,$B$2,X$4)),0))</f>
        <v>0</v>
      </c>
      <c r="Y57" s="239">
        <f>IF(Y$4&gt;DAY(EOMONTH(DATE($D$2,$B$2,1),0)),"",IFERROR(SUMIFS(DATA_GOC!$H:$H,DATA_GOC!$A:$A,"BOM",DATA_GOC!$D:$D,$B57,DATA_GOC!$E:$E,"Téc 1",DATA_GOC!$F:$F,"Xuất nội bộ từ téc",DATA_GOC!$B:$B,DATE($D$2,$B$2,Y$4)),0))</f>
        <v>0</v>
      </c>
      <c r="Z57" s="239">
        <f>IF(Z$4&gt;DAY(EOMONTH(DATE($D$2,$B$2,1),0)),"",IFERROR(SUMIFS(DATA_GOC!$H:$H,DATA_GOC!$A:$A,"BOM",DATA_GOC!$D:$D,$B57,DATA_GOC!$E:$E,"Téc 1",DATA_GOC!$F:$F,"Xuất nội bộ từ téc",DATA_GOC!$B:$B,DATE($D$2,$B$2,Z$4)),0))</f>
        <v>0</v>
      </c>
      <c r="AA57" s="239">
        <f>IF(AA$4&gt;DAY(EOMONTH(DATE($D$2,$B$2,1),0)),"",IFERROR(SUMIFS(DATA_GOC!$H:$H,DATA_GOC!$A:$A,"BOM",DATA_GOC!$D:$D,$B57,DATA_GOC!$E:$E,"Téc 1",DATA_GOC!$F:$F,"Xuất nội bộ từ téc",DATA_GOC!$B:$B,DATE($D$2,$B$2,AA$4)),0))</f>
        <v>0</v>
      </c>
      <c r="AB57" s="239">
        <f>IF(AB$4&gt;DAY(EOMONTH(DATE($D$2,$B$2,1),0)),"",IFERROR(SUMIFS(DATA_GOC!$H:$H,DATA_GOC!$A:$A,"BOM",DATA_GOC!$D:$D,$B57,DATA_GOC!$E:$E,"Téc 1",DATA_GOC!$F:$F,"Xuất nội bộ từ téc",DATA_GOC!$B:$B,DATE($D$2,$B$2,AB$4)),0))</f>
        <v>0</v>
      </c>
      <c r="AC57" s="239">
        <f>IF(AC$4&gt;DAY(EOMONTH(DATE($D$2,$B$2,1),0)),"",IFERROR(SUMIFS(DATA_GOC!$H:$H,DATA_GOC!$A:$A,"BOM",DATA_GOC!$D:$D,$B57,DATA_GOC!$E:$E,"Téc 1",DATA_GOC!$F:$F,"Xuất nội bộ từ téc",DATA_GOC!$B:$B,DATE($D$2,$B$2,AC$4)),0))</f>
        <v>0</v>
      </c>
      <c r="AD57" s="239">
        <f>IF(AD$4&gt;DAY(EOMONTH(DATE($D$2,$B$2,1),0)),"",IFERROR(SUMIFS(DATA_GOC!$H:$H,DATA_GOC!$A:$A,"BOM",DATA_GOC!$D:$D,$B57,DATA_GOC!$E:$E,"Téc 1",DATA_GOC!$F:$F,"Xuất nội bộ từ téc",DATA_GOC!$B:$B,DATE($D$2,$B$2,AD$4)),0))</f>
        <v>0</v>
      </c>
      <c r="AE57" s="239">
        <f>IF(AE$4&gt;DAY(EOMONTH(DATE($D$2,$B$2,1),0)),"",IFERROR(SUMIFS(DATA_GOC!$H:$H,DATA_GOC!$A:$A,"BOM",DATA_GOC!$D:$D,$B57,DATA_GOC!$E:$E,"Téc 1",DATA_GOC!$F:$F,"Xuất nội bộ từ téc",DATA_GOC!$B:$B,DATE($D$2,$B$2,AE$4)),0))</f>
        <v>0</v>
      </c>
      <c r="AF57" s="239">
        <f>IF(AF$4&gt;DAY(EOMONTH(DATE($D$2,$B$2,1),0)),"",IFERROR(SUMIFS(DATA_GOC!$H:$H,DATA_GOC!$A:$A,"BOM",DATA_GOC!$D:$D,$B57,DATA_GOC!$E:$E,"Téc 1",DATA_GOC!$F:$F,"Xuất nội bộ từ téc",DATA_GOC!$B:$B,DATE($D$2,$B$2,AF$4)),0))</f>
        <v>0</v>
      </c>
      <c r="AG57" s="239">
        <f>IF(AG$4&gt;DAY(EOMONTH(DATE($D$2,$B$2,1),0)),"",IFERROR(SUMIFS(DATA_GOC!$H:$H,DATA_GOC!$A:$A,"BOM",DATA_GOC!$D:$D,$B57,DATA_GOC!$E:$E,"Téc 1",DATA_GOC!$F:$F,"Xuất nội bộ từ téc",DATA_GOC!$B:$B,DATE($D$2,$B$2,AG$4)),0))</f>
        <v>0</v>
      </c>
      <c r="AH57" s="240">
        <f t="shared" si="1"/>
        <v>0</v>
      </c>
      <c r="AI57" s="241"/>
      <c r="AJ57" s="239">
        <f>IF($B57="","",SUMIFS(TINH_TEC!$K$233:$K$9232,TINH_TEC!$H$233:$H$9232,$B57,TINH_TEC!$C$233:$C$9232,"Téc 1",TINH_TEC!$F$233:$F$9232,$B$2,TINH_TEC!$G$233:$G$9232,$D$2,TINH_TEC!$B$233:$B$9232,"Đã chốt"))</f>
        <v>0</v>
      </c>
      <c r="AK57" s="239">
        <f>IF($B57="","",SUMIFS(TINH_TEC!$J$233:$J$9232,TINH_TEC!$H$233:$H$9232,$B57,TINH_TEC!$C$233:$C$9232,"Téc 1",TINH_TEC!$F$233:$F$9232,$B$2,TINH_TEC!$G$233:$G$9232,$D$2,TINH_TEC!$B$233:$B$9232,"Đã chốt"))</f>
        <v>0</v>
      </c>
      <c r="AL57" s="239">
        <f t="shared" si="2"/>
        <v>0</v>
      </c>
    </row>
    <row r="58" ht="15.75" customHeight="1">
      <c r="A58" s="237">
        <f>IF($B58&lt;&gt;"",53,"")</f>
        <v>53</v>
      </c>
      <c r="B58" s="238" t="str">
        <f t="array" ref="B58">IFERROR(INDEX(DANH_MUC!$E:$E,56),"")</f>
        <v>Xúclật855H</v>
      </c>
      <c r="C58" s="239">
        <f>IF(C$4&gt;DAY(EOMONTH(DATE($D$2,$B$2,1),0)),"",IFERROR(SUMIFS(DATA_GOC!$H:$H,DATA_GOC!$A:$A,"BOM",DATA_GOC!$D:$D,$B58,DATA_GOC!$E:$E,"Téc 1",DATA_GOC!$F:$F,"Xuất nội bộ từ téc",DATA_GOC!$B:$B,DATE($D$2,$B$2,C$4)),0))</f>
        <v>0</v>
      </c>
      <c r="D58" s="239">
        <f>IF(D$4&gt;DAY(EOMONTH(DATE($D$2,$B$2,1),0)),"",IFERROR(SUMIFS(DATA_GOC!$H:$H,DATA_GOC!$A:$A,"BOM",DATA_GOC!$D:$D,$B58,DATA_GOC!$E:$E,"Téc 1",DATA_GOC!$F:$F,"Xuất nội bộ từ téc",DATA_GOC!$B:$B,DATE($D$2,$B$2,D$4)),0))</f>
        <v>0</v>
      </c>
      <c r="E58" s="239">
        <f>IF(E$4&gt;DAY(EOMONTH(DATE($D$2,$B$2,1),0)),"",IFERROR(SUMIFS(DATA_GOC!$H:$H,DATA_GOC!$A:$A,"BOM",DATA_GOC!$D:$D,$B58,DATA_GOC!$E:$E,"Téc 1",DATA_GOC!$F:$F,"Xuất nội bộ từ téc",DATA_GOC!$B:$B,DATE($D$2,$B$2,E$4)),0))</f>
        <v>0</v>
      </c>
      <c r="F58" s="239">
        <f>IF(F$4&gt;DAY(EOMONTH(DATE($D$2,$B$2,1),0)),"",IFERROR(SUMIFS(DATA_GOC!$H:$H,DATA_GOC!$A:$A,"BOM",DATA_GOC!$D:$D,$B58,DATA_GOC!$E:$E,"Téc 1",DATA_GOC!$F:$F,"Xuất nội bộ từ téc",DATA_GOC!$B:$B,DATE($D$2,$B$2,F$4)),0))</f>
        <v>0</v>
      </c>
      <c r="G58" s="239">
        <f>IF(G$4&gt;DAY(EOMONTH(DATE($D$2,$B$2,1),0)),"",IFERROR(SUMIFS(DATA_GOC!$H:$H,DATA_GOC!$A:$A,"BOM",DATA_GOC!$D:$D,$B58,DATA_GOC!$E:$E,"Téc 1",DATA_GOC!$F:$F,"Xuất nội bộ từ téc",DATA_GOC!$B:$B,DATE($D$2,$B$2,G$4)),0))</f>
        <v>0</v>
      </c>
      <c r="H58" s="239">
        <f>IF(H$4&gt;DAY(EOMONTH(DATE($D$2,$B$2,1),0)),"",IFERROR(SUMIFS(DATA_GOC!$H:$H,DATA_GOC!$A:$A,"BOM",DATA_GOC!$D:$D,$B58,DATA_GOC!$E:$E,"Téc 1",DATA_GOC!$F:$F,"Xuất nội bộ từ téc",DATA_GOC!$B:$B,DATE($D$2,$B$2,H$4)),0))</f>
        <v>0</v>
      </c>
      <c r="I58" s="239">
        <f>IF(I$4&gt;DAY(EOMONTH(DATE($D$2,$B$2,1),0)),"",IFERROR(SUMIFS(DATA_GOC!$H:$H,DATA_GOC!$A:$A,"BOM",DATA_GOC!$D:$D,$B58,DATA_GOC!$E:$E,"Téc 1",DATA_GOC!$F:$F,"Xuất nội bộ từ téc",DATA_GOC!$B:$B,DATE($D$2,$B$2,I$4)),0))</f>
        <v>0</v>
      </c>
      <c r="J58" s="239">
        <f>IF(J$4&gt;DAY(EOMONTH(DATE($D$2,$B$2,1),0)),"",IFERROR(SUMIFS(DATA_GOC!$H:$H,DATA_GOC!$A:$A,"BOM",DATA_GOC!$D:$D,$B58,DATA_GOC!$E:$E,"Téc 1",DATA_GOC!$F:$F,"Xuất nội bộ từ téc",DATA_GOC!$B:$B,DATE($D$2,$B$2,J$4)),0))</f>
        <v>0</v>
      </c>
      <c r="K58" s="239">
        <f>IF(K$4&gt;DAY(EOMONTH(DATE($D$2,$B$2,1),0)),"",IFERROR(SUMIFS(DATA_GOC!$H:$H,DATA_GOC!$A:$A,"BOM",DATA_GOC!$D:$D,$B58,DATA_GOC!$E:$E,"Téc 1",DATA_GOC!$F:$F,"Xuất nội bộ từ téc",DATA_GOC!$B:$B,DATE($D$2,$B$2,K$4)),0))</f>
        <v>0</v>
      </c>
      <c r="L58" s="239">
        <f>IF(L$4&gt;DAY(EOMONTH(DATE($D$2,$B$2,1),0)),"",IFERROR(SUMIFS(DATA_GOC!$H:$H,DATA_GOC!$A:$A,"BOM",DATA_GOC!$D:$D,$B58,DATA_GOC!$E:$E,"Téc 1",DATA_GOC!$F:$F,"Xuất nội bộ từ téc",DATA_GOC!$B:$B,DATE($D$2,$B$2,L$4)),0))</f>
        <v>0</v>
      </c>
      <c r="M58" s="239">
        <f>IF(M$4&gt;DAY(EOMONTH(DATE($D$2,$B$2,1),0)),"",IFERROR(SUMIFS(DATA_GOC!$H:$H,DATA_GOC!$A:$A,"BOM",DATA_GOC!$D:$D,$B58,DATA_GOC!$E:$E,"Téc 1",DATA_GOC!$F:$F,"Xuất nội bộ từ téc",DATA_GOC!$B:$B,DATE($D$2,$B$2,M$4)),0))</f>
        <v>0</v>
      </c>
      <c r="N58" s="239">
        <f>IF(N$4&gt;DAY(EOMONTH(DATE($D$2,$B$2,1),0)),"",IFERROR(SUMIFS(DATA_GOC!$H:$H,DATA_GOC!$A:$A,"BOM",DATA_GOC!$D:$D,$B58,DATA_GOC!$E:$E,"Téc 1",DATA_GOC!$F:$F,"Xuất nội bộ từ téc",DATA_GOC!$B:$B,DATE($D$2,$B$2,N$4)),0))</f>
        <v>0</v>
      </c>
      <c r="O58" s="239">
        <f>IF(O$4&gt;DAY(EOMONTH(DATE($D$2,$B$2,1),0)),"",IFERROR(SUMIFS(DATA_GOC!$H:$H,DATA_GOC!$A:$A,"BOM",DATA_GOC!$D:$D,$B58,DATA_GOC!$E:$E,"Téc 1",DATA_GOC!$F:$F,"Xuất nội bộ từ téc",DATA_GOC!$B:$B,DATE($D$2,$B$2,O$4)),0))</f>
        <v>0</v>
      </c>
      <c r="P58" s="239">
        <f>IF(P$4&gt;DAY(EOMONTH(DATE($D$2,$B$2,1),0)),"",IFERROR(SUMIFS(DATA_GOC!$H:$H,DATA_GOC!$A:$A,"BOM",DATA_GOC!$D:$D,$B58,DATA_GOC!$E:$E,"Téc 1",DATA_GOC!$F:$F,"Xuất nội bộ từ téc",DATA_GOC!$B:$B,DATE($D$2,$B$2,P$4)),0))</f>
        <v>0</v>
      </c>
      <c r="Q58" s="239">
        <f>IF(Q$4&gt;DAY(EOMONTH(DATE($D$2,$B$2,1),0)),"",IFERROR(SUMIFS(DATA_GOC!$H:$H,DATA_GOC!$A:$A,"BOM",DATA_GOC!$D:$D,$B58,DATA_GOC!$E:$E,"Téc 1",DATA_GOC!$F:$F,"Xuất nội bộ từ téc",DATA_GOC!$B:$B,DATE($D$2,$B$2,Q$4)),0))</f>
        <v>0</v>
      </c>
      <c r="R58" s="239">
        <f>IF(R$4&gt;DAY(EOMONTH(DATE($D$2,$B$2,1),0)),"",IFERROR(SUMIFS(DATA_GOC!$H:$H,DATA_GOC!$A:$A,"BOM",DATA_GOC!$D:$D,$B58,DATA_GOC!$E:$E,"Téc 1",DATA_GOC!$F:$F,"Xuất nội bộ từ téc",DATA_GOC!$B:$B,DATE($D$2,$B$2,R$4)),0))</f>
        <v>0</v>
      </c>
      <c r="S58" s="239">
        <f>IF(S$4&gt;DAY(EOMONTH(DATE($D$2,$B$2,1),0)),"",IFERROR(SUMIFS(DATA_GOC!$H:$H,DATA_GOC!$A:$A,"BOM",DATA_GOC!$D:$D,$B58,DATA_GOC!$E:$E,"Téc 1",DATA_GOC!$F:$F,"Xuất nội bộ từ téc",DATA_GOC!$B:$B,DATE($D$2,$B$2,S$4)),0))</f>
        <v>0</v>
      </c>
      <c r="T58" s="239">
        <f>IF(T$4&gt;DAY(EOMONTH(DATE($D$2,$B$2,1),0)),"",IFERROR(SUMIFS(DATA_GOC!$H:$H,DATA_GOC!$A:$A,"BOM",DATA_GOC!$D:$D,$B58,DATA_GOC!$E:$E,"Téc 1",DATA_GOC!$F:$F,"Xuất nội bộ từ téc",DATA_GOC!$B:$B,DATE($D$2,$B$2,T$4)),0))</f>
        <v>0</v>
      </c>
      <c r="U58" s="239">
        <f>IF(U$4&gt;DAY(EOMONTH(DATE($D$2,$B$2,1),0)),"",IFERROR(SUMIFS(DATA_GOC!$H:$H,DATA_GOC!$A:$A,"BOM",DATA_GOC!$D:$D,$B58,DATA_GOC!$E:$E,"Téc 1",DATA_GOC!$F:$F,"Xuất nội bộ từ téc",DATA_GOC!$B:$B,DATE($D$2,$B$2,U$4)),0))</f>
        <v>0</v>
      </c>
      <c r="V58" s="239">
        <f>IF(V$4&gt;DAY(EOMONTH(DATE($D$2,$B$2,1),0)),"",IFERROR(SUMIFS(DATA_GOC!$H:$H,DATA_GOC!$A:$A,"BOM",DATA_GOC!$D:$D,$B58,DATA_GOC!$E:$E,"Téc 1",DATA_GOC!$F:$F,"Xuất nội bộ từ téc",DATA_GOC!$B:$B,DATE($D$2,$B$2,V$4)),0))</f>
        <v>0</v>
      </c>
      <c r="W58" s="239">
        <f>IF(W$4&gt;DAY(EOMONTH(DATE($D$2,$B$2,1),0)),"",IFERROR(SUMIFS(DATA_GOC!$H:$H,DATA_GOC!$A:$A,"BOM",DATA_GOC!$D:$D,$B58,DATA_GOC!$E:$E,"Téc 1",DATA_GOC!$F:$F,"Xuất nội bộ từ téc",DATA_GOC!$B:$B,DATE($D$2,$B$2,W$4)),0))</f>
        <v>0</v>
      </c>
      <c r="X58" s="239">
        <f>IF(X$4&gt;DAY(EOMONTH(DATE($D$2,$B$2,1),0)),"",IFERROR(SUMIFS(DATA_GOC!$H:$H,DATA_GOC!$A:$A,"BOM",DATA_GOC!$D:$D,$B58,DATA_GOC!$E:$E,"Téc 1",DATA_GOC!$F:$F,"Xuất nội bộ từ téc",DATA_GOC!$B:$B,DATE($D$2,$B$2,X$4)),0))</f>
        <v>0</v>
      </c>
      <c r="Y58" s="239">
        <f>IF(Y$4&gt;DAY(EOMONTH(DATE($D$2,$B$2,1),0)),"",IFERROR(SUMIFS(DATA_GOC!$H:$H,DATA_GOC!$A:$A,"BOM",DATA_GOC!$D:$D,$B58,DATA_GOC!$E:$E,"Téc 1",DATA_GOC!$F:$F,"Xuất nội bộ từ téc",DATA_GOC!$B:$B,DATE($D$2,$B$2,Y$4)),0))</f>
        <v>0</v>
      </c>
      <c r="Z58" s="239">
        <f>IF(Z$4&gt;DAY(EOMONTH(DATE($D$2,$B$2,1),0)),"",IFERROR(SUMIFS(DATA_GOC!$H:$H,DATA_GOC!$A:$A,"BOM",DATA_GOC!$D:$D,$B58,DATA_GOC!$E:$E,"Téc 1",DATA_GOC!$F:$F,"Xuất nội bộ từ téc",DATA_GOC!$B:$B,DATE($D$2,$B$2,Z$4)),0))</f>
        <v>0</v>
      </c>
      <c r="AA58" s="239">
        <f>IF(AA$4&gt;DAY(EOMONTH(DATE($D$2,$B$2,1),0)),"",IFERROR(SUMIFS(DATA_GOC!$H:$H,DATA_GOC!$A:$A,"BOM",DATA_GOC!$D:$D,$B58,DATA_GOC!$E:$E,"Téc 1",DATA_GOC!$F:$F,"Xuất nội bộ từ téc",DATA_GOC!$B:$B,DATE($D$2,$B$2,AA$4)),0))</f>
        <v>0</v>
      </c>
      <c r="AB58" s="239">
        <f>IF(AB$4&gt;DAY(EOMONTH(DATE($D$2,$B$2,1),0)),"",IFERROR(SUMIFS(DATA_GOC!$H:$H,DATA_GOC!$A:$A,"BOM",DATA_GOC!$D:$D,$B58,DATA_GOC!$E:$E,"Téc 1",DATA_GOC!$F:$F,"Xuất nội bộ từ téc",DATA_GOC!$B:$B,DATE($D$2,$B$2,AB$4)),0))</f>
        <v>0</v>
      </c>
      <c r="AC58" s="239">
        <f>IF(AC$4&gt;DAY(EOMONTH(DATE($D$2,$B$2,1),0)),"",IFERROR(SUMIFS(DATA_GOC!$H:$H,DATA_GOC!$A:$A,"BOM",DATA_GOC!$D:$D,$B58,DATA_GOC!$E:$E,"Téc 1",DATA_GOC!$F:$F,"Xuất nội bộ từ téc",DATA_GOC!$B:$B,DATE($D$2,$B$2,AC$4)),0))</f>
        <v>0</v>
      </c>
      <c r="AD58" s="239">
        <f>IF(AD$4&gt;DAY(EOMONTH(DATE($D$2,$B$2,1),0)),"",IFERROR(SUMIFS(DATA_GOC!$H:$H,DATA_GOC!$A:$A,"BOM",DATA_GOC!$D:$D,$B58,DATA_GOC!$E:$E,"Téc 1",DATA_GOC!$F:$F,"Xuất nội bộ từ téc",DATA_GOC!$B:$B,DATE($D$2,$B$2,AD$4)),0))</f>
        <v>0</v>
      </c>
      <c r="AE58" s="239">
        <f>IF(AE$4&gt;DAY(EOMONTH(DATE($D$2,$B$2,1),0)),"",IFERROR(SUMIFS(DATA_GOC!$H:$H,DATA_GOC!$A:$A,"BOM",DATA_GOC!$D:$D,$B58,DATA_GOC!$E:$E,"Téc 1",DATA_GOC!$F:$F,"Xuất nội bộ từ téc",DATA_GOC!$B:$B,DATE($D$2,$B$2,AE$4)),0))</f>
        <v>0</v>
      </c>
      <c r="AF58" s="239">
        <f>IF(AF$4&gt;DAY(EOMONTH(DATE($D$2,$B$2,1),0)),"",IFERROR(SUMIFS(DATA_GOC!$H:$H,DATA_GOC!$A:$A,"BOM",DATA_GOC!$D:$D,$B58,DATA_GOC!$E:$E,"Téc 1",DATA_GOC!$F:$F,"Xuất nội bộ từ téc",DATA_GOC!$B:$B,DATE($D$2,$B$2,AF$4)),0))</f>
        <v>0</v>
      </c>
      <c r="AG58" s="239">
        <f>IF(AG$4&gt;DAY(EOMONTH(DATE($D$2,$B$2,1),0)),"",IFERROR(SUMIFS(DATA_GOC!$H:$H,DATA_GOC!$A:$A,"BOM",DATA_GOC!$D:$D,$B58,DATA_GOC!$E:$E,"Téc 1",DATA_GOC!$F:$F,"Xuất nội bộ từ téc",DATA_GOC!$B:$B,DATE($D$2,$B$2,AG$4)),0))</f>
        <v>0</v>
      </c>
      <c r="AH58" s="240">
        <f t="shared" si="1"/>
        <v>0</v>
      </c>
      <c r="AI58" s="241"/>
      <c r="AJ58" s="239">
        <f>IF($B58="","",SUMIFS(TINH_TEC!$K$233:$K$9232,TINH_TEC!$H$233:$H$9232,$B58,TINH_TEC!$C$233:$C$9232,"Téc 1",TINH_TEC!$F$233:$F$9232,$B$2,TINH_TEC!$G$233:$G$9232,$D$2,TINH_TEC!$B$233:$B$9232,"Đã chốt"))</f>
        <v>0</v>
      </c>
      <c r="AK58" s="239">
        <f>IF($B58="","",SUMIFS(TINH_TEC!$J$233:$J$9232,TINH_TEC!$H$233:$H$9232,$B58,TINH_TEC!$C$233:$C$9232,"Téc 1",TINH_TEC!$F$233:$F$9232,$B$2,TINH_TEC!$G$233:$G$9232,$D$2,TINH_TEC!$B$233:$B$9232,"Đã chốt"))</f>
        <v>0</v>
      </c>
      <c r="AL58" s="239">
        <f t="shared" si="2"/>
        <v>0</v>
      </c>
    </row>
    <row r="59" ht="15.75" customHeight="1">
      <c r="A59" s="237">
        <f>IF($B59&lt;&gt;"",54,"")</f>
        <v>54</v>
      </c>
      <c r="B59" s="238" t="str">
        <f t="array" ref="B59">IFERROR(INDEX(DANH_MUC!$E:$E,57),"")</f>
        <v>Xúclật855N</v>
      </c>
      <c r="C59" s="239">
        <f>IF(C$4&gt;DAY(EOMONTH(DATE($D$2,$B$2,1),0)),"",IFERROR(SUMIFS(DATA_GOC!$H:$H,DATA_GOC!$A:$A,"BOM",DATA_GOC!$D:$D,$B59,DATA_GOC!$E:$E,"Téc 1",DATA_GOC!$F:$F,"Xuất nội bộ từ téc",DATA_GOC!$B:$B,DATE($D$2,$B$2,C$4)),0))</f>
        <v>0</v>
      </c>
      <c r="D59" s="239">
        <f>IF(D$4&gt;DAY(EOMONTH(DATE($D$2,$B$2,1),0)),"",IFERROR(SUMIFS(DATA_GOC!$H:$H,DATA_GOC!$A:$A,"BOM",DATA_GOC!$D:$D,$B59,DATA_GOC!$E:$E,"Téc 1",DATA_GOC!$F:$F,"Xuất nội bộ từ téc",DATA_GOC!$B:$B,DATE($D$2,$B$2,D$4)),0))</f>
        <v>0</v>
      </c>
      <c r="E59" s="239">
        <f>IF(E$4&gt;DAY(EOMONTH(DATE($D$2,$B$2,1),0)),"",IFERROR(SUMIFS(DATA_GOC!$H:$H,DATA_GOC!$A:$A,"BOM",DATA_GOC!$D:$D,$B59,DATA_GOC!$E:$E,"Téc 1",DATA_GOC!$F:$F,"Xuất nội bộ từ téc",DATA_GOC!$B:$B,DATE($D$2,$B$2,E$4)),0))</f>
        <v>0</v>
      </c>
      <c r="F59" s="239">
        <f>IF(F$4&gt;DAY(EOMONTH(DATE($D$2,$B$2,1),0)),"",IFERROR(SUMIFS(DATA_GOC!$H:$H,DATA_GOC!$A:$A,"BOM",DATA_GOC!$D:$D,$B59,DATA_GOC!$E:$E,"Téc 1",DATA_GOC!$F:$F,"Xuất nội bộ từ téc",DATA_GOC!$B:$B,DATE($D$2,$B$2,F$4)),0))</f>
        <v>0</v>
      </c>
      <c r="G59" s="239">
        <f>IF(G$4&gt;DAY(EOMONTH(DATE($D$2,$B$2,1),0)),"",IFERROR(SUMIFS(DATA_GOC!$H:$H,DATA_GOC!$A:$A,"BOM",DATA_GOC!$D:$D,$B59,DATA_GOC!$E:$E,"Téc 1",DATA_GOC!$F:$F,"Xuất nội bộ từ téc",DATA_GOC!$B:$B,DATE($D$2,$B$2,G$4)),0))</f>
        <v>0</v>
      </c>
      <c r="H59" s="239">
        <f>IF(H$4&gt;DAY(EOMONTH(DATE($D$2,$B$2,1),0)),"",IFERROR(SUMIFS(DATA_GOC!$H:$H,DATA_GOC!$A:$A,"BOM",DATA_GOC!$D:$D,$B59,DATA_GOC!$E:$E,"Téc 1",DATA_GOC!$F:$F,"Xuất nội bộ từ téc",DATA_GOC!$B:$B,DATE($D$2,$B$2,H$4)),0))</f>
        <v>0</v>
      </c>
      <c r="I59" s="239">
        <f>IF(I$4&gt;DAY(EOMONTH(DATE($D$2,$B$2,1),0)),"",IFERROR(SUMIFS(DATA_GOC!$H:$H,DATA_GOC!$A:$A,"BOM",DATA_GOC!$D:$D,$B59,DATA_GOC!$E:$E,"Téc 1",DATA_GOC!$F:$F,"Xuất nội bộ từ téc",DATA_GOC!$B:$B,DATE($D$2,$B$2,I$4)),0))</f>
        <v>0</v>
      </c>
      <c r="J59" s="239">
        <f>IF(J$4&gt;DAY(EOMONTH(DATE($D$2,$B$2,1),0)),"",IFERROR(SUMIFS(DATA_GOC!$H:$H,DATA_GOC!$A:$A,"BOM",DATA_GOC!$D:$D,$B59,DATA_GOC!$E:$E,"Téc 1",DATA_GOC!$F:$F,"Xuất nội bộ từ téc",DATA_GOC!$B:$B,DATE($D$2,$B$2,J$4)),0))</f>
        <v>0</v>
      </c>
      <c r="K59" s="239">
        <f>IF(K$4&gt;DAY(EOMONTH(DATE($D$2,$B$2,1),0)),"",IFERROR(SUMIFS(DATA_GOC!$H:$H,DATA_GOC!$A:$A,"BOM",DATA_GOC!$D:$D,$B59,DATA_GOC!$E:$E,"Téc 1",DATA_GOC!$F:$F,"Xuất nội bộ từ téc",DATA_GOC!$B:$B,DATE($D$2,$B$2,K$4)),0))</f>
        <v>0</v>
      </c>
      <c r="L59" s="239">
        <f>IF(L$4&gt;DAY(EOMONTH(DATE($D$2,$B$2,1),0)),"",IFERROR(SUMIFS(DATA_GOC!$H:$H,DATA_GOC!$A:$A,"BOM",DATA_GOC!$D:$D,$B59,DATA_GOC!$E:$E,"Téc 1",DATA_GOC!$F:$F,"Xuất nội bộ từ téc",DATA_GOC!$B:$B,DATE($D$2,$B$2,L$4)),0))</f>
        <v>0</v>
      </c>
      <c r="M59" s="239">
        <f>IF(M$4&gt;DAY(EOMONTH(DATE($D$2,$B$2,1),0)),"",IFERROR(SUMIFS(DATA_GOC!$H:$H,DATA_GOC!$A:$A,"BOM",DATA_GOC!$D:$D,$B59,DATA_GOC!$E:$E,"Téc 1",DATA_GOC!$F:$F,"Xuất nội bộ từ téc",DATA_GOC!$B:$B,DATE($D$2,$B$2,M$4)),0))</f>
        <v>0</v>
      </c>
      <c r="N59" s="239">
        <f>IF(N$4&gt;DAY(EOMONTH(DATE($D$2,$B$2,1),0)),"",IFERROR(SUMIFS(DATA_GOC!$H:$H,DATA_GOC!$A:$A,"BOM",DATA_GOC!$D:$D,$B59,DATA_GOC!$E:$E,"Téc 1",DATA_GOC!$F:$F,"Xuất nội bộ từ téc",DATA_GOC!$B:$B,DATE($D$2,$B$2,N$4)),0))</f>
        <v>0</v>
      </c>
      <c r="O59" s="239">
        <f>IF(O$4&gt;DAY(EOMONTH(DATE($D$2,$B$2,1),0)),"",IFERROR(SUMIFS(DATA_GOC!$H:$H,DATA_GOC!$A:$A,"BOM",DATA_GOC!$D:$D,$B59,DATA_GOC!$E:$E,"Téc 1",DATA_GOC!$F:$F,"Xuất nội bộ từ téc",DATA_GOC!$B:$B,DATE($D$2,$B$2,O$4)),0))</f>
        <v>0</v>
      </c>
      <c r="P59" s="239">
        <f>IF(P$4&gt;DAY(EOMONTH(DATE($D$2,$B$2,1),0)),"",IFERROR(SUMIFS(DATA_GOC!$H:$H,DATA_GOC!$A:$A,"BOM",DATA_GOC!$D:$D,$B59,DATA_GOC!$E:$E,"Téc 1",DATA_GOC!$F:$F,"Xuất nội bộ từ téc",DATA_GOC!$B:$B,DATE($D$2,$B$2,P$4)),0))</f>
        <v>0</v>
      </c>
      <c r="Q59" s="239">
        <f>IF(Q$4&gt;DAY(EOMONTH(DATE($D$2,$B$2,1),0)),"",IFERROR(SUMIFS(DATA_GOC!$H:$H,DATA_GOC!$A:$A,"BOM",DATA_GOC!$D:$D,$B59,DATA_GOC!$E:$E,"Téc 1",DATA_GOC!$F:$F,"Xuất nội bộ từ téc",DATA_GOC!$B:$B,DATE($D$2,$B$2,Q$4)),0))</f>
        <v>0</v>
      </c>
      <c r="R59" s="239">
        <f>IF(R$4&gt;DAY(EOMONTH(DATE($D$2,$B$2,1),0)),"",IFERROR(SUMIFS(DATA_GOC!$H:$H,DATA_GOC!$A:$A,"BOM",DATA_GOC!$D:$D,$B59,DATA_GOC!$E:$E,"Téc 1",DATA_GOC!$F:$F,"Xuất nội bộ từ téc",DATA_GOC!$B:$B,DATE($D$2,$B$2,R$4)),0))</f>
        <v>0</v>
      </c>
      <c r="S59" s="239">
        <f>IF(S$4&gt;DAY(EOMONTH(DATE($D$2,$B$2,1),0)),"",IFERROR(SUMIFS(DATA_GOC!$H:$H,DATA_GOC!$A:$A,"BOM",DATA_GOC!$D:$D,$B59,DATA_GOC!$E:$E,"Téc 1",DATA_GOC!$F:$F,"Xuất nội bộ từ téc",DATA_GOC!$B:$B,DATE($D$2,$B$2,S$4)),0))</f>
        <v>0</v>
      </c>
      <c r="T59" s="239">
        <f>IF(T$4&gt;DAY(EOMONTH(DATE($D$2,$B$2,1),0)),"",IFERROR(SUMIFS(DATA_GOC!$H:$H,DATA_GOC!$A:$A,"BOM",DATA_GOC!$D:$D,$B59,DATA_GOC!$E:$E,"Téc 1",DATA_GOC!$F:$F,"Xuất nội bộ từ téc",DATA_GOC!$B:$B,DATE($D$2,$B$2,T$4)),0))</f>
        <v>0</v>
      </c>
      <c r="U59" s="239">
        <f>IF(U$4&gt;DAY(EOMONTH(DATE($D$2,$B$2,1),0)),"",IFERROR(SUMIFS(DATA_GOC!$H:$H,DATA_GOC!$A:$A,"BOM",DATA_GOC!$D:$D,$B59,DATA_GOC!$E:$E,"Téc 1",DATA_GOC!$F:$F,"Xuất nội bộ từ téc",DATA_GOC!$B:$B,DATE($D$2,$B$2,U$4)),0))</f>
        <v>0</v>
      </c>
      <c r="V59" s="239">
        <f>IF(V$4&gt;DAY(EOMONTH(DATE($D$2,$B$2,1),0)),"",IFERROR(SUMIFS(DATA_GOC!$H:$H,DATA_GOC!$A:$A,"BOM",DATA_GOC!$D:$D,$B59,DATA_GOC!$E:$E,"Téc 1",DATA_GOC!$F:$F,"Xuất nội bộ từ téc",DATA_GOC!$B:$B,DATE($D$2,$B$2,V$4)),0))</f>
        <v>0</v>
      </c>
      <c r="W59" s="239">
        <f>IF(W$4&gt;DAY(EOMONTH(DATE($D$2,$B$2,1),0)),"",IFERROR(SUMIFS(DATA_GOC!$H:$H,DATA_GOC!$A:$A,"BOM",DATA_GOC!$D:$D,$B59,DATA_GOC!$E:$E,"Téc 1",DATA_GOC!$F:$F,"Xuất nội bộ từ téc",DATA_GOC!$B:$B,DATE($D$2,$B$2,W$4)),0))</f>
        <v>0</v>
      </c>
      <c r="X59" s="239">
        <f>IF(X$4&gt;DAY(EOMONTH(DATE($D$2,$B$2,1),0)),"",IFERROR(SUMIFS(DATA_GOC!$H:$H,DATA_GOC!$A:$A,"BOM",DATA_GOC!$D:$D,$B59,DATA_GOC!$E:$E,"Téc 1",DATA_GOC!$F:$F,"Xuất nội bộ từ téc",DATA_GOC!$B:$B,DATE($D$2,$B$2,X$4)),0))</f>
        <v>0</v>
      </c>
      <c r="Y59" s="239">
        <f>IF(Y$4&gt;DAY(EOMONTH(DATE($D$2,$B$2,1),0)),"",IFERROR(SUMIFS(DATA_GOC!$H:$H,DATA_GOC!$A:$A,"BOM",DATA_GOC!$D:$D,$B59,DATA_GOC!$E:$E,"Téc 1",DATA_GOC!$F:$F,"Xuất nội bộ từ téc",DATA_GOC!$B:$B,DATE($D$2,$B$2,Y$4)),0))</f>
        <v>0</v>
      </c>
      <c r="Z59" s="239">
        <f>IF(Z$4&gt;DAY(EOMONTH(DATE($D$2,$B$2,1),0)),"",IFERROR(SUMIFS(DATA_GOC!$H:$H,DATA_GOC!$A:$A,"BOM",DATA_GOC!$D:$D,$B59,DATA_GOC!$E:$E,"Téc 1",DATA_GOC!$F:$F,"Xuất nội bộ từ téc",DATA_GOC!$B:$B,DATE($D$2,$B$2,Z$4)),0))</f>
        <v>0</v>
      </c>
      <c r="AA59" s="239">
        <f>IF(AA$4&gt;DAY(EOMONTH(DATE($D$2,$B$2,1),0)),"",IFERROR(SUMIFS(DATA_GOC!$H:$H,DATA_GOC!$A:$A,"BOM",DATA_GOC!$D:$D,$B59,DATA_GOC!$E:$E,"Téc 1",DATA_GOC!$F:$F,"Xuất nội bộ từ téc",DATA_GOC!$B:$B,DATE($D$2,$B$2,AA$4)),0))</f>
        <v>0</v>
      </c>
      <c r="AB59" s="239">
        <f>IF(AB$4&gt;DAY(EOMONTH(DATE($D$2,$B$2,1),0)),"",IFERROR(SUMIFS(DATA_GOC!$H:$H,DATA_GOC!$A:$A,"BOM",DATA_GOC!$D:$D,$B59,DATA_GOC!$E:$E,"Téc 1",DATA_GOC!$F:$F,"Xuất nội bộ từ téc",DATA_GOC!$B:$B,DATE($D$2,$B$2,AB$4)),0))</f>
        <v>0</v>
      </c>
      <c r="AC59" s="239">
        <f>IF(AC$4&gt;DAY(EOMONTH(DATE($D$2,$B$2,1),0)),"",IFERROR(SUMIFS(DATA_GOC!$H:$H,DATA_GOC!$A:$A,"BOM",DATA_GOC!$D:$D,$B59,DATA_GOC!$E:$E,"Téc 1",DATA_GOC!$F:$F,"Xuất nội bộ từ téc",DATA_GOC!$B:$B,DATE($D$2,$B$2,AC$4)),0))</f>
        <v>0</v>
      </c>
      <c r="AD59" s="239">
        <f>IF(AD$4&gt;DAY(EOMONTH(DATE($D$2,$B$2,1),0)),"",IFERROR(SUMIFS(DATA_GOC!$H:$H,DATA_GOC!$A:$A,"BOM",DATA_GOC!$D:$D,$B59,DATA_GOC!$E:$E,"Téc 1",DATA_GOC!$F:$F,"Xuất nội bộ từ téc",DATA_GOC!$B:$B,DATE($D$2,$B$2,AD$4)),0))</f>
        <v>0</v>
      </c>
      <c r="AE59" s="239">
        <f>IF(AE$4&gt;DAY(EOMONTH(DATE($D$2,$B$2,1),0)),"",IFERROR(SUMIFS(DATA_GOC!$H:$H,DATA_GOC!$A:$A,"BOM",DATA_GOC!$D:$D,$B59,DATA_GOC!$E:$E,"Téc 1",DATA_GOC!$F:$F,"Xuất nội bộ từ téc",DATA_GOC!$B:$B,DATE($D$2,$B$2,AE$4)),0))</f>
        <v>0</v>
      </c>
      <c r="AF59" s="239">
        <f>IF(AF$4&gt;DAY(EOMONTH(DATE($D$2,$B$2,1),0)),"",IFERROR(SUMIFS(DATA_GOC!$H:$H,DATA_GOC!$A:$A,"BOM",DATA_GOC!$D:$D,$B59,DATA_GOC!$E:$E,"Téc 1",DATA_GOC!$F:$F,"Xuất nội bộ từ téc",DATA_GOC!$B:$B,DATE($D$2,$B$2,AF$4)),0))</f>
        <v>0</v>
      </c>
      <c r="AG59" s="239">
        <f>IF(AG$4&gt;DAY(EOMONTH(DATE($D$2,$B$2,1),0)),"",IFERROR(SUMIFS(DATA_GOC!$H:$H,DATA_GOC!$A:$A,"BOM",DATA_GOC!$D:$D,$B59,DATA_GOC!$E:$E,"Téc 1",DATA_GOC!$F:$F,"Xuất nội bộ từ téc",DATA_GOC!$B:$B,DATE($D$2,$B$2,AG$4)),0))</f>
        <v>0</v>
      </c>
      <c r="AH59" s="240">
        <f t="shared" si="1"/>
        <v>0</v>
      </c>
      <c r="AI59" s="241"/>
      <c r="AJ59" s="239">
        <f>IF($B59="","",SUMIFS(TINH_TEC!$K$233:$K$9232,TINH_TEC!$H$233:$H$9232,$B59,TINH_TEC!$C$233:$C$9232,"Téc 1",TINH_TEC!$F$233:$F$9232,$B$2,TINH_TEC!$G$233:$G$9232,$D$2,TINH_TEC!$B$233:$B$9232,"Đã chốt"))</f>
        <v>0</v>
      </c>
      <c r="AK59" s="239">
        <f>IF($B59="","",SUMIFS(TINH_TEC!$J$233:$J$9232,TINH_TEC!$H$233:$H$9232,$B59,TINH_TEC!$C$233:$C$9232,"Téc 1",TINH_TEC!$F$233:$F$9232,$B$2,TINH_TEC!$G$233:$G$9232,$D$2,TINH_TEC!$B$233:$B$9232,"Đã chốt"))</f>
        <v>0</v>
      </c>
      <c r="AL59" s="239">
        <f t="shared" si="2"/>
        <v>0</v>
      </c>
    </row>
    <row r="60" ht="15.75" customHeight="1">
      <c r="A60" s="237">
        <f>IF($B60&lt;&gt;"",55,"")</f>
        <v>55</v>
      </c>
      <c r="B60" s="238" t="str">
        <f t="array" ref="B60">IFERROR(INDEX(DANH_MUC!$E:$E,58),"")</f>
        <v>Cát nghiền</v>
      </c>
      <c r="C60" s="239">
        <f>IF(C$4&gt;DAY(EOMONTH(DATE($D$2,$B$2,1),0)),"",IFERROR(SUMIFS(DATA_GOC!$H:$H,DATA_GOC!$A:$A,"BOM",DATA_GOC!$D:$D,$B60,DATA_GOC!$E:$E,"Téc 1",DATA_GOC!$F:$F,"Xuất nội bộ từ téc",DATA_GOC!$B:$B,DATE($D$2,$B$2,C$4)),0))</f>
        <v>0</v>
      </c>
      <c r="D60" s="239">
        <f>IF(D$4&gt;DAY(EOMONTH(DATE($D$2,$B$2,1),0)),"",IFERROR(SUMIFS(DATA_GOC!$H:$H,DATA_GOC!$A:$A,"BOM",DATA_GOC!$D:$D,$B60,DATA_GOC!$E:$E,"Téc 1",DATA_GOC!$F:$F,"Xuất nội bộ từ téc",DATA_GOC!$B:$B,DATE($D$2,$B$2,D$4)),0))</f>
        <v>0</v>
      </c>
      <c r="E60" s="239">
        <f>IF(E$4&gt;DAY(EOMONTH(DATE($D$2,$B$2,1),0)),"",IFERROR(SUMIFS(DATA_GOC!$H:$H,DATA_GOC!$A:$A,"BOM",DATA_GOC!$D:$D,$B60,DATA_GOC!$E:$E,"Téc 1",DATA_GOC!$F:$F,"Xuất nội bộ từ téc",DATA_GOC!$B:$B,DATE($D$2,$B$2,E$4)),0))</f>
        <v>0</v>
      </c>
      <c r="F60" s="239">
        <f>IF(F$4&gt;DAY(EOMONTH(DATE($D$2,$B$2,1),0)),"",IFERROR(SUMIFS(DATA_GOC!$H:$H,DATA_GOC!$A:$A,"BOM",DATA_GOC!$D:$D,$B60,DATA_GOC!$E:$E,"Téc 1",DATA_GOC!$F:$F,"Xuất nội bộ từ téc",DATA_GOC!$B:$B,DATE($D$2,$B$2,F$4)),0))</f>
        <v>0</v>
      </c>
      <c r="G60" s="239">
        <f>IF(G$4&gt;DAY(EOMONTH(DATE($D$2,$B$2,1),0)),"",IFERROR(SUMIFS(DATA_GOC!$H:$H,DATA_GOC!$A:$A,"BOM",DATA_GOC!$D:$D,$B60,DATA_GOC!$E:$E,"Téc 1",DATA_GOC!$F:$F,"Xuất nội bộ từ téc",DATA_GOC!$B:$B,DATE($D$2,$B$2,G$4)),0))</f>
        <v>0</v>
      </c>
      <c r="H60" s="239">
        <f>IF(H$4&gt;DAY(EOMONTH(DATE($D$2,$B$2,1),0)),"",IFERROR(SUMIFS(DATA_GOC!$H:$H,DATA_GOC!$A:$A,"BOM",DATA_GOC!$D:$D,$B60,DATA_GOC!$E:$E,"Téc 1",DATA_GOC!$F:$F,"Xuất nội bộ từ téc",DATA_GOC!$B:$B,DATE($D$2,$B$2,H$4)),0))</f>
        <v>0</v>
      </c>
      <c r="I60" s="239">
        <f>IF(I$4&gt;DAY(EOMONTH(DATE($D$2,$B$2,1),0)),"",IFERROR(SUMIFS(DATA_GOC!$H:$H,DATA_GOC!$A:$A,"BOM",DATA_GOC!$D:$D,$B60,DATA_GOC!$E:$E,"Téc 1",DATA_GOC!$F:$F,"Xuất nội bộ từ téc",DATA_GOC!$B:$B,DATE($D$2,$B$2,I$4)),0))</f>
        <v>0</v>
      </c>
      <c r="J60" s="239">
        <f>IF(J$4&gt;DAY(EOMONTH(DATE($D$2,$B$2,1),0)),"",IFERROR(SUMIFS(DATA_GOC!$H:$H,DATA_GOC!$A:$A,"BOM",DATA_GOC!$D:$D,$B60,DATA_GOC!$E:$E,"Téc 1",DATA_GOC!$F:$F,"Xuất nội bộ từ téc",DATA_GOC!$B:$B,DATE($D$2,$B$2,J$4)),0))</f>
        <v>0</v>
      </c>
      <c r="K60" s="239">
        <f>IF(K$4&gt;DAY(EOMONTH(DATE($D$2,$B$2,1),0)),"",IFERROR(SUMIFS(DATA_GOC!$H:$H,DATA_GOC!$A:$A,"BOM",DATA_GOC!$D:$D,$B60,DATA_GOC!$E:$E,"Téc 1",DATA_GOC!$F:$F,"Xuất nội bộ từ téc",DATA_GOC!$B:$B,DATE($D$2,$B$2,K$4)),0))</f>
        <v>0</v>
      </c>
      <c r="L60" s="239">
        <f>IF(L$4&gt;DAY(EOMONTH(DATE($D$2,$B$2,1),0)),"",IFERROR(SUMIFS(DATA_GOC!$H:$H,DATA_GOC!$A:$A,"BOM",DATA_GOC!$D:$D,$B60,DATA_GOC!$E:$E,"Téc 1",DATA_GOC!$F:$F,"Xuất nội bộ từ téc",DATA_GOC!$B:$B,DATE($D$2,$B$2,L$4)),0))</f>
        <v>0</v>
      </c>
      <c r="M60" s="239">
        <f>IF(M$4&gt;DAY(EOMONTH(DATE($D$2,$B$2,1),0)),"",IFERROR(SUMIFS(DATA_GOC!$H:$H,DATA_GOC!$A:$A,"BOM",DATA_GOC!$D:$D,$B60,DATA_GOC!$E:$E,"Téc 1",DATA_GOC!$F:$F,"Xuất nội bộ từ téc",DATA_GOC!$B:$B,DATE($D$2,$B$2,M$4)),0))</f>
        <v>0</v>
      </c>
      <c r="N60" s="239">
        <f>IF(N$4&gt;DAY(EOMONTH(DATE($D$2,$B$2,1),0)),"",IFERROR(SUMIFS(DATA_GOC!$H:$H,DATA_GOC!$A:$A,"BOM",DATA_GOC!$D:$D,$B60,DATA_GOC!$E:$E,"Téc 1",DATA_GOC!$F:$F,"Xuất nội bộ từ téc",DATA_GOC!$B:$B,DATE($D$2,$B$2,N$4)),0))</f>
        <v>0</v>
      </c>
      <c r="O60" s="239">
        <f>IF(O$4&gt;DAY(EOMONTH(DATE($D$2,$B$2,1),0)),"",IFERROR(SUMIFS(DATA_GOC!$H:$H,DATA_GOC!$A:$A,"BOM",DATA_GOC!$D:$D,$B60,DATA_GOC!$E:$E,"Téc 1",DATA_GOC!$F:$F,"Xuất nội bộ từ téc",DATA_GOC!$B:$B,DATE($D$2,$B$2,O$4)),0))</f>
        <v>0</v>
      </c>
      <c r="P60" s="239">
        <f>IF(P$4&gt;DAY(EOMONTH(DATE($D$2,$B$2,1),0)),"",IFERROR(SUMIFS(DATA_GOC!$H:$H,DATA_GOC!$A:$A,"BOM",DATA_GOC!$D:$D,$B60,DATA_GOC!$E:$E,"Téc 1",DATA_GOC!$F:$F,"Xuất nội bộ từ téc",DATA_GOC!$B:$B,DATE($D$2,$B$2,P$4)),0))</f>
        <v>0</v>
      </c>
      <c r="Q60" s="239">
        <f>IF(Q$4&gt;DAY(EOMONTH(DATE($D$2,$B$2,1),0)),"",IFERROR(SUMIFS(DATA_GOC!$H:$H,DATA_GOC!$A:$A,"BOM",DATA_GOC!$D:$D,$B60,DATA_GOC!$E:$E,"Téc 1",DATA_GOC!$F:$F,"Xuất nội bộ từ téc",DATA_GOC!$B:$B,DATE($D$2,$B$2,Q$4)),0))</f>
        <v>0</v>
      </c>
      <c r="R60" s="239">
        <f>IF(R$4&gt;DAY(EOMONTH(DATE($D$2,$B$2,1),0)),"",IFERROR(SUMIFS(DATA_GOC!$H:$H,DATA_GOC!$A:$A,"BOM",DATA_GOC!$D:$D,$B60,DATA_GOC!$E:$E,"Téc 1",DATA_GOC!$F:$F,"Xuất nội bộ từ téc",DATA_GOC!$B:$B,DATE($D$2,$B$2,R$4)),0))</f>
        <v>0</v>
      </c>
      <c r="S60" s="239">
        <f>IF(S$4&gt;DAY(EOMONTH(DATE($D$2,$B$2,1),0)),"",IFERROR(SUMIFS(DATA_GOC!$H:$H,DATA_GOC!$A:$A,"BOM",DATA_GOC!$D:$D,$B60,DATA_GOC!$E:$E,"Téc 1",DATA_GOC!$F:$F,"Xuất nội bộ từ téc",DATA_GOC!$B:$B,DATE($D$2,$B$2,S$4)),0))</f>
        <v>0</v>
      </c>
      <c r="T60" s="239">
        <f>IF(T$4&gt;DAY(EOMONTH(DATE($D$2,$B$2,1),0)),"",IFERROR(SUMIFS(DATA_GOC!$H:$H,DATA_GOC!$A:$A,"BOM",DATA_GOC!$D:$D,$B60,DATA_GOC!$E:$E,"Téc 1",DATA_GOC!$F:$F,"Xuất nội bộ từ téc",DATA_GOC!$B:$B,DATE($D$2,$B$2,T$4)),0))</f>
        <v>0</v>
      </c>
      <c r="U60" s="239">
        <f>IF(U$4&gt;DAY(EOMONTH(DATE($D$2,$B$2,1),0)),"",IFERROR(SUMIFS(DATA_GOC!$H:$H,DATA_GOC!$A:$A,"BOM",DATA_GOC!$D:$D,$B60,DATA_GOC!$E:$E,"Téc 1",DATA_GOC!$F:$F,"Xuất nội bộ từ téc",DATA_GOC!$B:$B,DATE($D$2,$B$2,U$4)),0))</f>
        <v>0</v>
      </c>
      <c r="V60" s="239">
        <f>IF(V$4&gt;DAY(EOMONTH(DATE($D$2,$B$2,1),0)),"",IFERROR(SUMIFS(DATA_GOC!$H:$H,DATA_GOC!$A:$A,"BOM",DATA_GOC!$D:$D,$B60,DATA_GOC!$E:$E,"Téc 1",DATA_GOC!$F:$F,"Xuất nội bộ từ téc",DATA_GOC!$B:$B,DATE($D$2,$B$2,V$4)),0))</f>
        <v>0</v>
      </c>
      <c r="W60" s="239">
        <f>IF(W$4&gt;DAY(EOMONTH(DATE($D$2,$B$2,1),0)),"",IFERROR(SUMIFS(DATA_GOC!$H:$H,DATA_GOC!$A:$A,"BOM",DATA_GOC!$D:$D,$B60,DATA_GOC!$E:$E,"Téc 1",DATA_GOC!$F:$F,"Xuất nội bộ từ téc",DATA_GOC!$B:$B,DATE($D$2,$B$2,W$4)),0))</f>
        <v>0</v>
      </c>
      <c r="X60" s="239">
        <f>IF(X$4&gt;DAY(EOMONTH(DATE($D$2,$B$2,1),0)),"",IFERROR(SUMIFS(DATA_GOC!$H:$H,DATA_GOC!$A:$A,"BOM",DATA_GOC!$D:$D,$B60,DATA_GOC!$E:$E,"Téc 1",DATA_GOC!$F:$F,"Xuất nội bộ từ téc",DATA_GOC!$B:$B,DATE($D$2,$B$2,X$4)),0))</f>
        <v>0</v>
      </c>
      <c r="Y60" s="239">
        <f>IF(Y$4&gt;DAY(EOMONTH(DATE($D$2,$B$2,1),0)),"",IFERROR(SUMIFS(DATA_GOC!$H:$H,DATA_GOC!$A:$A,"BOM",DATA_GOC!$D:$D,$B60,DATA_GOC!$E:$E,"Téc 1",DATA_GOC!$F:$F,"Xuất nội bộ từ téc",DATA_GOC!$B:$B,DATE($D$2,$B$2,Y$4)),0))</f>
        <v>0</v>
      </c>
      <c r="Z60" s="239">
        <f>IF(Z$4&gt;DAY(EOMONTH(DATE($D$2,$B$2,1),0)),"",IFERROR(SUMIFS(DATA_GOC!$H:$H,DATA_GOC!$A:$A,"BOM",DATA_GOC!$D:$D,$B60,DATA_GOC!$E:$E,"Téc 1",DATA_GOC!$F:$F,"Xuất nội bộ từ téc",DATA_GOC!$B:$B,DATE($D$2,$B$2,Z$4)),0))</f>
        <v>0</v>
      </c>
      <c r="AA60" s="239">
        <f>IF(AA$4&gt;DAY(EOMONTH(DATE($D$2,$B$2,1),0)),"",IFERROR(SUMIFS(DATA_GOC!$H:$H,DATA_GOC!$A:$A,"BOM",DATA_GOC!$D:$D,$B60,DATA_GOC!$E:$E,"Téc 1",DATA_GOC!$F:$F,"Xuất nội bộ từ téc",DATA_GOC!$B:$B,DATE($D$2,$B$2,AA$4)),0))</f>
        <v>0</v>
      </c>
      <c r="AB60" s="239">
        <f>IF(AB$4&gt;DAY(EOMONTH(DATE($D$2,$B$2,1),0)),"",IFERROR(SUMIFS(DATA_GOC!$H:$H,DATA_GOC!$A:$A,"BOM",DATA_GOC!$D:$D,$B60,DATA_GOC!$E:$E,"Téc 1",DATA_GOC!$F:$F,"Xuất nội bộ từ téc",DATA_GOC!$B:$B,DATE($D$2,$B$2,AB$4)),0))</f>
        <v>0</v>
      </c>
      <c r="AC60" s="239">
        <f>IF(AC$4&gt;DAY(EOMONTH(DATE($D$2,$B$2,1),0)),"",IFERROR(SUMIFS(DATA_GOC!$H:$H,DATA_GOC!$A:$A,"BOM",DATA_GOC!$D:$D,$B60,DATA_GOC!$E:$E,"Téc 1",DATA_GOC!$F:$F,"Xuất nội bộ từ téc",DATA_GOC!$B:$B,DATE($D$2,$B$2,AC$4)),0))</f>
        <v>0</v>
      </c>
      <c r="AD60" s="239">
        <f>IF(AD$4&gt;DAY(EOMONTH(DATE($D$2,$B$2,1),0)),"",IFERROR(SUMIFS(DATA_GOC!$H:$H,DATA_GOC!$A:$A,"BOM",DATA_GOC!$D:$D,$B60,DATA_GOC!$E:$E,"Téc 1",DATA_GOC!$F:$F,"Xuất nội bộ từ téc",DATA_GOC!$B:$B,DATE($D$2,$B$2,AD$4)),0))</f>
        <v>0</v>
      </c>
      <c r="AE60" s="239">
        <f>IF(AE$4&gt;DAY(EOMONTH(DATE($D$2,$B$2,1),0)),"",IFERROR(SUMIFS(DATA_GOC!$H:$H,DATA_GOC!$A:$A,"BOM",DATA_GOC!$D:$D,$B60,DATA_GOC!$E:$E,"Téc 1",DATA_GOC!$F:$F,"Xuất nội bộ từ téc",DATA_GOC!$B:$B,DATE($D$2,$B$2,AE$4)),0))</f>
        <v>0</v>
      </c>
      <c r="AF60" s="239">
        <f>IF(AF$4&gt;DAY(EOMONTH(DATE($D$2,$B$2,1),0)),"",IFERROR(SUMIFS(DATA_GOC!$H:$H,DATA_GOC!$A:$A,"BOM",DATA_GOC!$D:$D,$B60,DATA_GOC!$E:$E,"Téc 1",DATA_GOC!$F:$F,"Xuất nội bộ từ téc",DATA_GOC!$B:$B,DATE($D$2,$B$2,AF$4)),0))</f>
        <v>0</v>
      </c>
      <c r="AG60" s="239">
        <f>IF(AG$4&gt;DAY(EOMONTH(DATE($D$2,$B$2,1),0)),"",IFERROR(SUMIFS(DATA_GOC!$H:$H,DATA_GOC!$A:$A,"BOM",DATA_GOC!$D:$D,$B60,DATA_GOC!$E:$E,"Téc 1",DATA_GOC!$F:$F,"Xuất nội bộ từ téc",DATA_GOC!$B:$B,DATE($D$2,$B$2,AG$4)),0))</f>
        <v>0</v>
      </c>
      <c r="AH60" s="240">
        <f t="shared" si="1"/>
        <v>0</v>
      </c>
      <c r="AI60" s="241"/>
      <c r="AJ60" s="239">
        <f>IF($B60="","",SUMIFS(TINH_TEC!$K$233:$K$9232,TINH_TEC!$H$233:$H$9232,$B60,TINH_TEC!$C$233:$C$9232,"Téc 1",TINH_TEC!$F$233:$F$9232,$B$2,TINH_TEC!$G$233:$G$9232,$D$2,TINH_TEC!$B$233:$B$9232,"Đã chốt"))</f>
        <v>0</v>
      </c>
      <c r="AK60" s="239">
        <f>IF($B60="","",SUMIFS(TINH_TEC!$J$233:$J$9232,TINH_TEC!$H$233:$H$9232,$B60,TINH_TEC!$C$233:$C$9232,"Téc 1",TINH_TEC!$F$233:$F$9232,$B$2,TINH_TEC!$G$233:$G$9232,$D$2,TINH_TEC!$B$233:$B$9232,"Đã chốt"))</f>
        <v>0</v>
      </c>
      <c r="AL60" s="239">
        <f t="shared" si="2"/>
        <v>0</v>
      </c>
    </row>
    <row r="61" ht="15.75" customHeight="1">
      <c r="A61" s="237">
        <f>IF($B61&lt;&gt;"",56,"")</f>
        <v>56</v>
      </c>
      <c r="B61" s="238" t="str">
        <f t="array" ref="B61">IFERROR(INDEX(DANH_MUC!$E:$E,59),"")</f>
        <v>28C02973</v>
      </c>
      <c r="C61" s="239">
        <f>IF(C$4&gt;DAY(EOMONTH(DATE($D$2,$B$2,1),0)),"",IFERROR(SUMIFS(DATA_GOC!$H:$H,DATA_GOC!$A:$A,"BOM",DATA_GOC!$D:$D,$B61,DATA_GOC!$E:$E,"Téc 1",DATA_GOC!$F:$F,"Xuất nội bộ từ téc",DATA_GOC!$B:$B,DATE($D$2,$B$2,C$4)),0))</f>
        <v>0</v>
      </c>
      <c r="D61" s="239">
        <f>IF(D$4&gt;DAY(EOMONTH(DATE($D$2,$B$2,1),0)),"",IFERROR(SUMIFS(DATA_GOC!$H:$H,DATA_GOC!$A:$A,"BOM",DATA_GOC!$D:$D,$B61,DATA_GOC!$E:$E,"Téc 1",DATA_GOC!$F:$F,"Xuất nội bộ từ téc",DATA_GOC!$B:$B,DATE($D$2,$B$2,D$4)),0))</f>
        <v>0</v>
      </c>
      <c r="E61" s="239">
        <f>IF(E$4&gt;DAY(EOMONTH(DATE($D$2,$B$2,1),0)),"",IFERROR(SUMIFS(DATA_GOC!$H:$H,DATA_GOC!$A:$A,"BOM",DATA_GOC!$D:$D,$B61,DATA_GOC!$E:$E,"Téc 1",DATA_GOC!$F:$F,"Xuất nội bộ từ téc",DATA_GOC!$B:$B,DATE($D$2,$B$2,E$4)),0))</f>
        <v>0</v>
      </c>
      <c r="F61" s="239">
        <f>IF(F$4&gt;DAY(EOMONTH(DATE($D$2,$B$2,1),0)),"",IFERROR(SUMIFS(DATA_GOC!$H:$H,DATA_GOC!$A:$A,"BOM",DATA_GOC!$D:$D,$B61,DATA_GOC!$E:$E,"Téc 1",DATA_GOC!$F:$F,"Xuất nội bộ từ téc",DATA_GOC!$B:$B,DATE($D$2,$B$2,F$4)),0))</f>
        <v>0</v>
      </c>
      <c r="G61" s="239">
        <f>IF(G$4&gt;DAY(EOMONTH(DATE($D$2,$B$2,1),0)),"",IFERROR(SUMIFS(DATA_GOC!$H:$H,DATA_GOC!$A:$A,"BOM",DATA_GOC!$D:$D,$B61,DATA_GOC!$E:$E,"Téc 1",DATA_GOC!$F:$F,"Xuất nội bộ từ téc",DATA_GOC!$B:$B,DATE($D$2,$B$2,G$4)),0))</f>
        <v>0</v>
      </c>
      <c r="H61" s="239">
        <f>IF(H$4&gt;DAY(EOMONTH(DATE($D$2,$B$2,1),0)),"",IFERROR(SUMIFS(DATA_GOC!$H:$H,DATA_GOC!$A:$A,"BOM",DATA_GOC!$D:$D,$B61,DATA_GOC!$E:$E,"Téc 1",DATA_GOC!$F:$F,"Xuất nội bộ từ téc",DATA_GOC!$B:$B,DATE($D$2,$B$2,H$4)),0))</f>
        <v>0</v>
      </c>
      <c r="I61" s="239">
        <f>IF(I$4&gt;DAY(EOMONTH(DATE($D$2,$B$2,1),0)),"",IFERROR(SUMIFS(DATA_GOC!$H:$H,DATA_GOC!$A:$A,"BOM",DATA_GOC!$D:$D,$B61,DATA_GOC!$E:$E,"Téc 1",DATA_GOC!$F:$F,"Xuất nội bộ từ téc",DATA_GOC!$B:$B,DATE($D$2,$B$2,I$4)),0))</f>
        <v>0</v>
      </c>
      <c r="J61" s="239">
        <f>IF(J$4&gt;DAY(EOMONTH(DATE($D$2,$B$2,1),0)),"",IFERROR(SUMIFS(DATA_GOC!$H:$H,DATA_GOC!$A:$A,"BOM",DATA_GOC!$D:$D,$B61,DATA_GOC!$E:$E,"Téc 1",DATA_GOC!$F:$F,"Xuất nội bộ từ téc",DATA_GOC!$B:$B,DATE($D$2,$B$2,J$4)),0))</f>
        <v>0</v>
      </c>
      <c r="K61" s="239">
        <f>IF(K$4&gt;DAY(EOMONTH(DATE($D$2,$B$2,1),0)),"",IFERROR(SUMIFS(DATA_GOC!$H:$H,DATA_GOC!$A:$A,"BOM",DATA_GOC!$D:$D,$B61,DATA_GOC!$E:$E,"Téc 1",DATA_GOC!$F:$F,"Xuất nội bộ từ téc",DATA_GOC!$B:$B,DATE($D$2,$B$2,K$4)),0))</f>
        <v>0</v>
      </c>
      <c r="L61" s="239">
        <f>IF(L$4&gt;DAY(EOMONTH(DATE($D$2,$B$2,1),0)),"",IFERROR(SUMIFS(DATA_GOC!$H:$H,DATA_GOC!$A:$A,"BOM",DATA_GOC!$D:$D,$B61,DATA_GOC!$E:$E,"Téc 1",DATA_GOC!$F:$F,"Xuất nội bộ từ téc",DATA_GOC!$B:$B,DATE($D$2,$B$2,L$4)),0))</f>
        <v>0</v>
      </c>
      <c r="M61" s="239">
        <f>IF(M$4&gt;DAY(EOMONTH(DATE($D$2,$B$2,1),0)),"",IFERROR(SUMIFS(DATA_GOC!$H:$H,DATA_GOC!$A:$A,"BOM",DATA_GOC!$D:$D,$B61,DATA_GOC!$E:$E,"Téc 1",DATA_GOC!$F:$F,"Xuất nội bộ từ téc",DATA_GOC!$B:$B,DATE($D$2,$B$2,M$4)),0))</f>
        <v>0</v>
      </c>
      <c r="N61" s="239">
        <f>IF(N$4&gt;DAY(EOMONTH(DATE($D$2,$B$2,1),0)),"",IFERROR(SUMIFS(DATA_GOC!$H:$H,DATA_GOC!$A:$A,"BOM",DATA_GOC!$D:$D,$B61,DATA_GOC!$E:$E,"Téc 1",DATA_GOC!$F:$F,"Xuất nội bộ từ téc",DATA_GOC!$B:$B,DATE($D$2,$B$2,N$4)),0))</f>
        <v>0</v>
      </c>
      <c r="O61" s="239">
        <f>IF(O$4&gt;DAY(EOMONTH(DATE($D$2,$B$2,1),0)),"",IFERROR(SUMIFS(DATA_GOC!$H:$H,DATA_GOC!$A:$A,"BOM",DATA_GOC!$D:$D,$B61,DATA_GOC!$E:$E,"Téc 1",DATA_GOC!$F:$F,"Xuất nội bộ từ téc",DATA_GOC!$B:$B,DATE($D$2,$B$2,O$4)),0))</f>
        <v>0</v>
      </c>
      <c r="P61" s="239">
        <f>IF(P$4&gt;DAY(EOMONTH(DATE($D$2,$B$2,1),0)),"",IFERROR(SUMIFS(DATA_GOC!$H:$H,DATA_GOC!$A:$A,"BOM",DATA_GOC!$D:$D,$B61,DATA_GOC!$E:$E,"Téc 1",DATA_GOC!$F:$F,"Xuất nội bộ từ téc",DATA_GOC!$B:$B,DATE($D$2,$B$2,P$4)),0))</f>
        <v>0</v>
      </c>
      <c r="Q61" s="239">
        <f>IF(Q$4&gt;DAY(EOMONTH(DATE($D$2,$B$2,1),0)),"",IFERROR(SUMIFS(DATA_GOC!$H:$H,DATA_GOC!$A:$A,"BOM",DATA_GOC!$D:$D,$B61,DATA_GOC!$E:$E,"Téc 1",DATA_GOC!$F:$F,"Xuất nội bộ từ téc",DATA_GOC!$B:$B,DATE($D$2,$B$2,Q$4)),0))</f>
        <v>0</v>
      </c>
      <c r="R61" s="239">
        <f>IF(R$4&gt;DAY(EOMONTH(DATE($D$2,$B$2,1),0)),"",IFERROR(SUMIFS(DATA_GOC!$H:$H,DATA_GOC!$A:$A,"BOM",DATA_GOC!$D:$D,$B61,DATA_GOC!$E:$E,"Téc 1",DATA_GOC!$F:$F,"Xuất nội bộ từ téc",DATA_GOC!$B:$B,DATE($D$2,$B$2,R$4)),0))</f>
        <v>0</v>
      </c>
      <c r="S61" s="239">
        <f>IF(S$4&gt;DAY(EOMONTH(DATE($D$2,$B$2,1),0)),"",IFERROR(SUMIFS(DATA_GOC!$H:$H,DATA_GOC!$A:$A,"BOM",DATA_GOC!$D:$D,$B61,DATA_GOC!$E:$E,"Téc 1",DATA_GOC!$F:$F,"Xuất nội bộ từ téc",DATA_GOC!$B:$B,DATE($D$2,$B$2,S$4)),0))</f>
        <v>0</v>
      </c>
      <c r="T61" s="239">
        <f>IF(T$4&gt;DAY(EOMONTH(DATE($D$2,$B$2,1),0)),"",IFERROR(SUMIFS(DATA_GOC!$H:$H,DATA_GOC!$A:$A,"BOM",DATA_GOC!$D:$D,$B61,DATA_GOC!$E:$E,"Téc 1",DATA_GOC!$F:$F,"Xuất nội bộ từ téc",DATA_GOC!$B:$B,DATE($D$2,$B$2,T$4)),0))</f>
        <v>0</v>
      </c>
      <c r="U61" s="239">
        <f>IF(U$4&gt;DAY(EOMONTH(DATE($D$2,$B$2,1),0)),"",IFERROR(SUMIFS(DATA_GOC!$H:$H,DATA_GOC!$A:$A,"BOM",DATA_GOC!$D:$D,$B61,DATA_GOC!$E:$E,"Téc 1",DATA_GOC!$F:$F,"Xuất nội bộ từ téc",DATA_GOC!$B:$B,DATE($D$2,$B$2,U$4)),0))</f>
        <v>0</v>
      </c>
      <c r="V61" s="239">
        <f>IF(V$4&gt;DAY(EOMONTH(DATE($D$2,$B$2,1),0)),"",IFERROR(SUMIFS(DATA_GOC!$H:$H,DATA_GOC!$A:$A,"BOM",DATA_GOC!$D:$D,$B61,DATA_GOC!$E:$E,"Téc 1",DATA_GOC!$F:$F,"Xuất nội bộ từ téc",DATA_GOC!$B:$B,DATE($D$2,$B$2,V$4)),0))</f>
        <v>0</v>
      </c>
      <c r="W61" s="239">
        <f>IF(W$4&gt;DAY(EOMONTH(DATE($D$2,$B$2,1),0)),"",IFERROR(SUMIFS(DATA_GOC!$H:$H,DATA_GOC!$A:$A,"BOM",DATA_GOC!$D:$D,$B61,DATA_GOC!$E:$E,"Téc 1",DATA_GOC!$F:$F,"Xuất nội bộ từ téc",DATA_GOC!$B:$B,DATE($D$2,$B$2,W$4)),0))</f>
        <v>0</v>
      </c>
      <c r="X61" s="239">
        <f>IF(X$4&gt;DAY(EOMONTH(DATE($D$2,$B$2,1),0)),"",IFERROR(SUMIFS(DATA_GOC!$H:$H,DATA_GOC!$A:$A,"BOM",DATA_GOC!$D:$D,$B61,DATA_GOC!$E:$E,"Téc 1",DATA_GOC!$F:$F,"Xuất nội bộ từ téc",DATA_GOC!$B:$B,DATE($D$2,$B$2,X$4)),0))</f>
        <v>0</v>
      </c>
      <c r="Y61" s="239">
        <f>IF(Y$4&gt;DAY(EOMONTH(DATE($D$2,$B$2,1),0)),"",IFERROR(SUMIFS(DATA_GOC!$H:$H,DATA_GOC!$A:$A,"BOM",DATA_GOC!$D:$D,$B61,DATA_GOC!$E:$E,"Téc 1",DATA_GOC!$F:$F,"Xuất nội bộ từ téc",DATA_GOC!$B:$B,DATE($D$2,$B$2,Y$4)),0))</f>
        <v>0</v>
      </c>
      <c r="Z61" s="239">
        <f>IF(Z$4&gt;DAY(EOMONTH(DATE($D$2,$B$2,1),0)),"",IFERROR(SUMIFS(DATA_GOC!$H:$H,DATA_GOC!$A:$A,"BOM",DATA_GOC!$D:$D,$B61,DATA_GOC!$E:$E,"Téc 1",DATA_GOC!$F:$F,"Xuất nội bộ từ téc",DATA_GOC!$B:$B,DATE($D$2,$B$2,Z$4)),0))</f>
        <v>0</v>
      </c>
      <c r="AA61" s="239">
        <f>IF(AA$4&gt;DAY(EOMONTH(DATE($D$2,$B$2,1),0)),"",IFERROR(SUMIFS(DATA_GOC!$H:$H,DATA_GOC!$A:$A,"BOM",DATA_GOC!$D:$D,$B61,DATA_GOC!$E:$E,"Téc 1",DATA_GOC!$F:$F,"Xuất nội bộ từ téc",DATA_GOC!$B:$B,DATE($D$2,$B$2,AA$4)),0))</f>
        <v>0</v>
      </c>
      <c r="AB61" s="239">
        <f>IF(AB$4&gt;DAY(EOMONTH(DATE($D$2,$B$2,1),0)),"",IFERROR(SUMIFS(DATA_GOC!$H:$H,DATA_GOC!$A:$A,"BOM",DATA_GOC!$D:$D,$B61,DATA_GOC!$E:$E,"Téc 1",DATA_GOC!$F:$F,"Xuất nội bộ từ téc",DATA_GOC!$B:$B,DATE($D$2,$B$2,AB$4)),0))</f>
        <v>0</v>
      </c>
      <c r="AC61" s="239">
        <f>IF(AC$4&gt;DAY(EOMONTH(DATE($D$2,$B$2,1),0)),"",IFERROR(SUMIFS(DATA_GOC!$H:$H,DATA_GOC!$A:$A,"BOM",DATA_GOC!$D:$D,$B61,DATA_GOC!$E:$E,"Téc 1",DATA_GOC!$F:$F,"Xuất nội bộ từ téc",DATA_GOC!$B:$B,DATE($D$2,$B$2,AC$4)),0))</f>
        <v>0</v>
      </c>
      <c r="AD61" s="239">
        <f>IF(AD$4&gt;DAY(EOMONTH(DATE($D$2,$B$2,1),0)),"",IFERROR(SUMIFS(DATA_GOC!$H:$H,DATA_GOC!$A:$A,"BOM",DATA_GOC!$D:$D,$B61,DATA_GOC!$E:$E,"Téc 1",DATA_GOC!$F:$F,"Xuất nội bộ từ téc",DATA_GOC!$B:$B,DATE($D$2,$B$2,AD$4)),0))</f>
        <v>0</v>
      </c>
      <c r="AE61" s="239">
        <f>IF(AE$4&gt;DAY(EOMONTH(DATE($D$2,$B$2,1),0)),"",IFERROR(SUMIFS(DATA_GOC!$H:$H,DATA_GOC!$A:$A,"BOM",DATA_GOC!$D:$D,$B61,DATA_GOC!$E:$E,"Téc 1",DATA_GOC!$F:$F,"Xuất nội bộ từ téc",DATA_GOC!$B:$B,DATE($D$2,$B$2,AE$4)),0))</f>
        <v>0</v>
      </c>
      <c r="AF61" s="239">
        <f>IF(AF$4&gt;DAY(EOMONTH(DATE($D$2,$B$2,1),0)),"",IFERROR(SUMIFS(DATA_GOC!$H:$H,DATA_GOC!$A:$A,"BOM",DATA_GOC!$D:$D,$B61,DATA_GOC!$E:$E,"Téc 1",DATA_GOC!$F:$F,"Xuất nội bộ từ téc",DATA_GOC!$B:$B,DATE($D$2,$B$2,AF$4)),0))</f>
        <v>0</v>
      </c>
      <c r="AG61" s="239">
        <f>IF(AG$4&gt;DAY(EOMONTH(DATE($D$2,$B$2,1),0)),"",IFERROR(SUMIFS(DATA_GOC!$H:$H,DATA_GOC!$A:$A,"BOM",DATA_GOC!$D:$D,$B61,DATA_GOC!$E:$E,"Téc 1",DATA_GOC!$F:$F,"Xuất nội bộ từ téc",DATA_GOC!$B:$B,DATE($D$2,$B$2,AG$4)),0))</f>
        <v>0</v>
      </c>
      <c r="AH61" s="240">
        <f t="shared" si="1"/>
        <v>0</v>
      </c>
      <c r="AI61" s="241"/>
      <c r="AJ61" s="239">
        <f>IF($B61="","",SUMIFS(TINH_TEC!$K$233:$K$9232,TINH_TEC!$H$233:$H$9232,$B61,TINH_TEC!$C$233:$C$9232,"Téc 1",TINH_TEC!$F$233:$F$9232,$B$2,TINH_TEC!$G$233:$G$9232,$D$2,TINH_TEC!$B$233:$B$9232,"Đã chốt"))</f>
        <v>0</v>
      </c>
      <c r="AK61" s="239">
        <f>IF($B61="","",SUMIFS(TINH_TEC!$J$233:$J$9232,TINH_TEC!$H$233:$H$9232,$B61,TINH_TEC!$C$233:$C$9232,"Téc 1",TINH_TEC!$F$233:$F$9232,$B$2,TINH_TEC!$G$233:$G$9232,$D$2,TINH_TEC!$B$233:$B$9232,"Đã chốt"))</f>
        <v>0</v>
      </c>
      <c r="AL61" s="239">
        <f t="shared" si="2"/>
        <v>0</v>
      </c>
    </row>
    <row r="62" ht="15.75" customHeight="1">
      <c r="A62" s="237">
        <f>IF($B62&lt;&gt;"",57,"")</f>
        <v>57</v>
      </c>
      <c r="B62" s="238" t="str">
        <f t="array" ref="B62">IFERROR(INDEX(DANH_MUC!$E:$E,60),"")</f>
        <v>28C03044</v>
      </c>
      <c r="C62" s="239">
        <f>IF(C$4&gt;DAY(EOMONTH(DATE($D$2,$B$2,1),0)),"",IFERROR(SUMIFS(DATA_GOC!$H:$H,DATA_GOC!$A:$A,"BOM",DATA_GOC!$D:$D,$B62,DATA_GOC!$E:$E,"Téc 1",DATA_GOC!$F:$F,"Xuất nội bộ từ téc",DATA_GOC!$B:$B,DATE($D$2,$B$2,C$4)),0))</f>
        <v>0</v>
      </c>
      <c r="D62" s="239">
        <f>IF(D$4&gt;DAY(EOMONTH(DATE($D$2,$B$2,1),0)),"",IFERROR(SUMIFS(DATA_GOC!$H:$H,DATA_GOC!$A:$A,"BOM",DATA_GOC!$D:$D,$B62,DATA_GOC!$E:$E,"Téc 1",DATA_GOC!$F:$F,"Xuất nội bộ từ téc",DATA_GOC!$B:$B,DATE($D$2,$B$2,D$4)),0))</f>
        <v>0</v>
      </c>
      <c r="E62" s="239">
        <f>IF(E$4&gt;DAY(EOMONTH(DATE($D$2,$B$2,1),0)),"",IFERROR(SUMIFS(DATA_GOC!$H:$H,DATA_GOC!$A:$A,"BOM",DATA_GOC!$D:$D,$B62,DATA_GOC!$E:$E,"Téc 1",DATA_GOC!$F:$F,"Xuất nội bộ từ téc",DATA_GOC!$B:$B,DATE($D$2,$B$2,E$4)),0))</f>
        <v>0</v>
      </c>
      <c r="F62" s="239">
        <f>IF(F$4&gt;DAY(EOMONTH(DATE($D$2,$B$2,1),0)),"",IFERROR(SUMIFS(DATA_GOC!$H:$H,DATA_GOC!$A:$A,"BOM",DATA_GOC!$D:$D,$B62,DATA_GOC!$E:$E,"Téc 1",DATA_GOC!$F:$F,"Xuất nội bộ từ téc",DATA_GOC!$B:$B,DATE($D$2,$B$2,F$4)),0))</f>
        <v>0</v>
      </c>
      <c r="G62" s="239">
        <f>IF(G$4&gt;DAY(EOMONTH(DATE($D$2,$B$2,1),0)),"",IFERROR(SUMIFS(DATA_GOC!$H:$H,DATA_GOC!$A:$A,"BOM",DATA_GOC!$D:$D,$B62,DATA_GOC!$E:$E,"Téc 1",DATA_GOC!$F:$F,"Xuất nội bộ từ téc",DATA_GOC!$B:$B,DATE($D$2,$B$2,G$4)),0))</f>
        <v>0</v>
      </c>
      <c r="H62" s="239">
        <f>IF(H$4&gt;DAY(EOMONTH(DATE($D$2,$B$2,1),0)),"",IFERROR(SUMIFS(DATA_GOC!$H:$H,DATA_GOC!$A:$A,"BOM",DATA_GOC!$D:$D,$B62,DATA_GOC!$E:$E,"Téc 1",DATA_GOC!$F:$F,"Xuất nội bộ từ téc",DATA_GOC!$B:$B,DATE($D$2,$B$2,H$4)),0))</f>
        <v>0</v>
      </c>
      <c r="I62" s="239">
        <f>IF(I$4&gt;DAY(EOMONTH(DATE($D$2,$B$2,1),0)),"",IFERROR(SUMIFS(DATA_GOC!$H:$H,DATA_GOC!$A:$A,"BOM",DATA_GOC!$D:$D,$B62,DATA_GOC!$E:$E,"Téc 1",DATA_GOC!$F:$F,"Xuất nội bộ từ téc",DATA_GOC!$B:$B,DATE($D$2,$B$2,I$4)),0))</f>
        <v>0</v>
      </c>
      <c r="J62" s="239">
        <f>IF(J$4&gt;DAY(EOMONTH(DATE($D$2,$B$2,1),0)),"",IFERROR(SUMIFS(DATA_GOC!$H:$H,DATA_GOC!$A:$A,"BOM",DATA_GOC!$D:$D,$B62,DATA_GOC!$E:$E,"Téc 1",DATA_GOC!$F:$F,"Xuất nội bộ từ téc",DATA_GOC!$B:$B,DATE($D$2,$B$2,J$4)),0))</f>
        <v>0</v>
      </c>
      <c r="K62" s="239">
        <f>IF(K$4&gt;DAY(EOMONTH(DATE($D$2,$B$2,1),0)),"",IFERROR(SUMIFS(DATA_GOC!$H:$H,DATA_GOC!$A:$A,"BOM",DATA_GOC!$D:$D,$B62,DATA_GOC!$E:$E,"Téc 1",DATA_GOC!$F:$F,"Xuất nội bộ từ téc",DATA_GOC!$B:$B,DATE($D$2,$B$2,K$4)),0))</f>
        <v>0</v>
      </c>
      <c r="L62" s="239">
        <f>IF(L$4&gt;DAY(EOMONTH(DATE($D$2,$B$2,1),0)),"",IFERROR(SUMIFS(DATA_GOC!$H:$H,DATA_GOC!$A:$A,"BOM",DATA_GOC!$D:$D,$B62,DATA_GOC!$E:$E,"Téc 1",DATA_GOC!$F:$F,"Xuất nội bộ từ téc",DATA_GOC!$B:$B,DATE($D$2,$B$2,L$4)),0))</f>
        <v>0</v>
      </c>
      <c r="M62" s="239">
        <f>IF(M$4&gt;DAY(EOMONTH(DATE($D$2,$B$2,1),0)),"",IFERROR(SUMIFS(DATA_GOC!$H:$H,DATA_GOC!$A:$A,"BOM",DATA_GOC!$D:$D,$B62,DATA_GOC!$E:$E,"Téc 1",DATA_GOC!$F:$F,"Xuất nội bộ từ téc",DATA_GOC!$B:$B,DATE($D$2,$B$2,M$4)),0))</f>
        <v>0</v>
      </c>
      <c r="N62" s="239">
        <f>IF(N$4&gt;DAY(EOMONTH(DATE($D$2,$B$2,1),0)),"",IFERROR(SUMIFS(DATA_GOC!$H:$H,DATA_GOC!$A:$A,"BOM",DATA_GOC!$D:$D,$B62,DATA_GOC!$E:$E,"Téc 1",DATA_GOC!$F:$F,"Xuất nội bộ từ téc",DATA_GOC!$B:$B,DATE($D$2,$B$2,N$4)),0))</f>
        <v>0</v>
      </c>
      <c r="O62" s="239">
        <f>IF(O$4&gt;DAY(EOMONTH(DATE($D$2,$B$2,1),0)),"",IFERROR(SUMIFS(DATA_GOC!$H:$H,DATA_GOC!$A:$A,"BOM",DATA_GOC!$D:$D,$B62,DATA_GOC!$E:$E,"Téc 1",DATA_GOC!$F:$F,"Xuất nội bộ từ téc",DATA_GOC!$B:$B,DATE($D$2,$B$2,O$4)),0))</f>
        <v>0</v>
      </c>
      <c r="P62" s="239">
        <f>IF(P$4&gt;DAY(EOMONTH(DATE($D$2,$B$2,1),0)),"",IFERROR(SUMIFS(DATA_GOC!$H:$H,DATA_GOC!$A:$A,"BOM",DATA_GOC!$D:$D,$B62,DATA_GOC!$E:$E,"Téc 1",DATA_GOC!$F:$F,"Xuất nội bộ từ téc",DATA_GOC!$B:$B,DATE($D$2,$B$2,P$4)),0))</f>
        <v>0</v>
      </c>
      <c r="Q62" s="239">
        <f>IF(Q$4&gt;DAY(EOMONTH(DATE($D$2,$B$2,1),0)),"",IFERROR(SUMIFS(DATA_GOC!$H:$H,DATA_GOC!$A:$A,"BOM",DATA_GOC!$D:$D,$B62,DATA_GOC!$E:$E,"Téc 1",DATA_GOC!$F:$F,"Xuất nội bộ từ téc",DATA_GOC!$B:$B,DATE($D$2,$B$2,Q$4)),0))</f>
        <v>0</v>
      </c>
      <c r="R62" s="239">
        <f>IF(R$4&gt;DAY(EOMONTH(DATE($D$2,$B$2,1),0)),"",IFERROR(SUMIFS(DATA_GOC!$H:$H,DATA_GOC!$A:$A,"BOM",DATA_GOC!$D:$D,$B62,DATA_GOC!$E:$E,"Téc 1",DATA_GOC!$F:$F,"Xuất nội bộ từ téc",DATA_GOC!$B:$B,DATE($D$2,$B$2,R$4)),0))</f>
        <v>0</v>
      </c>
      <c r="S62" s="239">
        <f>IF(S$4&gt;DAY(EOMONTH(DATE($D$2,$B$2,1),0)),"",IFERROR(SUMIFS(DATA_GOC!$H:$H,DATA_GOC!$A:$A,"BOM",DATA_GOC!$D:$D,$B62,DATA_GOC!$E:$E,"Téc 1",DATA_GOC!$F:$F,"Xuất nội bộ từ téc",DATA_GOC!$B:$B,DATE($D$2,$B$2,S$4)),0))</f>
        <v>0</v>
      </c>
      <c r="T62" s="239">
        <f>IF(T$4&gt;DAY(EOMONTH(DATE($D$2,$B$2,1),0)),"",IFERROR(SUMIFS(DATA_GOC!$H:$H,DATA_GOC!$A:$A,"BOM",DATA_GOC!$D:$D,$B62,DATA_GOC!$E:$E,"Téc 1",DATA_GOC!$F:$F,"Xuất nội bộ từ téc",DATA_GOC!$B:$B,DATE($D$2,$B$2,T$4)),0))</f>
        <v>0</v>
      </c>
      <c r="U62" s="239">
        <f>IF(U$4&gt;DAY(EOMONTH(DATE($D$2,$B$2,1),0)),"",IFERROR(SUMIFS(DATA_GOC!$H:$H,DATA_GOC!$A:$A,"BOM",DATA_GOC!$D:$D,$B62,DATA_GOC!$E:$E,"Téc 1",DATA_GOC!$F:$F,"Xuất nội bộ từ téc",DATA_GOC!$B:$B,DATE($D$2,$B$2,U$4)),0))</f>
        <v>0</v>
      </c>
      <c r="V62" s="239">
        <f>IF(V$4&gt;DAY(EOMONTH(DATE($D$2,$B$2,1),0)),"",IFERROR(SUMIFS(DATA_GOC!$H:$H,DATA_GOC!$A:$A,"BOM",DATA_GOC!$D:$D,$B62,DATA_GOC!$E:$E,"Téc 1",DATA_GOC!$F:$F,"Xuất nội bộ từ téc",DATA_GOC!$B:$B,DATE($D$2,$B$2,V$4)),0))</f>
        <v>0</v>
      </c>
      <c r="W62" s="239">
        <f>IF(W$4&gt;DAY(EOMONTH(DATE($D$2,$B$2,1),0)),"",IFERROR(SUMIFS(DATA_GOC!$H:$H,DATA_GOC!$A:$A,"BOM",DATA_GOC!$D:$D,$B62,DATA_GOC!$E:$E,"Téc 1",DATA_GOC!$F:$F,"Xuất nội bộ từ téc",DATA_GOC!$B:$B,DATE($D$2,$B$2,W$4)),0))</f>
        <v>0</v>
      </c>
      <c r="X62" s="239">
        <f>IF(X$4&gt;DAY(EOMONTH(DATE($D$2,$B$2,1),0)),"",IFERROR(SUMIFS(DATA_GOC!$H:$H,DATA_GOC!$A:$A,"BOM",DATA_GOC!$D:$D,$B62,DATA_GOC!$E:$E,"Téc 1",DATA_GOC!$F:$F,"Xuất nội bộ từ téc",DATA_GOC!$B:$B,DATE($D$2,$B$2,X$4)),0))</f>
        <v>0</v>
      </c>
      <c r="Y62" s="239">
        <f>IF(Y$4&gt;DAY(EOMONTH(DATE($D$2,$B$2,1),0)),"",IFERROR(SUMIFS(DATA_GOC!$H:$H,DATA_GOC!$A:$A,"BOM",DATA_GOC!$D:$D,$B62,DATA_GOC!$E:$E,"Téc 1",DATA_GOC!$F:$F,"Xuất nội bộ từ téc",DATA_GOC!$B:$B,DATE($D$2,$B$2,Y$4)),0))</f>
        <v>0</v>
      </c>
      <c r="Z62" s="239">
        <f>IF(Z$4&gt;DAY(EOMONTH(DATE($D$2,$B$2,1),0)),"",IFERROR(SUMIFS(DATA_GOC!$H:$H,DATA_GOC!$A:$A,"BOM",DATA_GOC!$D:$D,$B62,DATA_GOC!$E:$E,"Téc 1",DATA_GOC!$F:$F,"Xuất nội bộ từ téc",DATA_GOC!$B:$B,DATE($D$2,$B$2,Z$4)),0))</f>
        <v>0</v>
      </c>
      <c r="AA62" s="239">
        <f>IF(AA$4&gt;DAY(EOMONTH(DATE($D$2,$B$2,1),0)),"",IFERROR(SUMIFS(DATA_GOC!$H:$H,DATA_GOC!$A:$A,"BOM",DATA_GOC!$D:$D,$B62,DATA_GOC!$E:$E,"Téc 1",DATA_GOC!$F:$F,"Xuất nội bộ từ téc",DATA_GOC!$B:$B,DATE($D$2,$B$2,AA$4)),0))</f>
        <v>0</v>
      </c>
      <c r="AB62" s="239">
        <f>IF(AB$4&gt;DAY(EOMONTH(DATE($D$2,$B$2,1),0)),"",IFERROR(SUMIFS(DATA_GOC!$H:$H,DATA_GOC!$A:$A,"BOM",DATA_GOC!$D:$D,$B62,DATA_GOC!$E:$E,"Téc 1",DATA_GOC!$F:$F,"Xuất nội bộ từ téc",DATA_GOC!$B:$B,DATE($D$2,$B$2,AB$4)),0))</f>
        <v>0</v>
      </c>
      <c r="AC62" s="239">
        <f>IF(AC$4&gt;DAY(EOMONTH(DATE($D$2,$B$2,1),0)),"",IFERROR(SUMIFS(DATA_GOC!$H:$H,DATA_GOC!$A:$A,"BOM",DATA_GOC!$D:$D,$B62,DATA_GOC!$E:$E,"Téc 1",DATA_GOC!$F:$F,"Xuất nội bộ từ téc",DATA_GOC!$B:$B,DATE($D$2,$B$2,AC$4)),0))</f>
        <v>0</v>
      </c>
      <c r="AD62" s="239">
        <f>IF(AD$4&gt;DAY(EOMONTH(DATE($D$2,$B$2,1),0)),"",IFERROR(SUMIFS(DATA_GOC!$H:$H,DATA_GOC!$A:$A,"BOM",DATA_GOC!$D:$D,$B62,DATA_GOC!$E:$E,"Téc 1",DATA_GOC!$F:$F,"Xuất nội bộ từ téc",DATA_GOC!$B:$B,DATE($D$2,$B$2,AD$4)),0))</f>
        <v>0</v>
      </c>
      <c r="AE62" s="239">
        <f>IF(AE$4&gt;DAY(EOMONTH(DATE($D$2,$B$2,1),0)),"",IFERROR(SUMIFS(DATA_GOC!$H:$H,DATA_GOC!$A:$A,"BOM",DATA_GOC!$D:$D,$B62,DATA_GOC!$E:$E,"Téc 1",DATA_GOC!$F:$F,"Xuất nội bộ từ téc",DATA_GOC!$B:$B,DATE($D$2,$B$2,AE$4)),0))</f>
        <v>0</v>
      </c>
      <c r="AF62" s="239">
        <f>IF(AF$4&gt;DAY(EOMONTH(DATE($D$2,$B$2,1),0)),"",IFERROR(SUMIFS(DATA_GOC!$H:$H,DATA_GOC!$A:$A,"BOM",DATA_GOC!$D:$D,$B62,DATA_GOC!$E:$E,"Téc 1",DATA_GOC!$F:$F,"Xuất nội bộ từ téc",DATA_GOC!$B:$B,DATE($D$2,$B$2,AF$4)),0))</f>
        <v>0</v>
      </c>
      <c r="AG62" s="239">
        <f>IF(AG$4&gt;DAY(EOMONTH(DATE($D$2,$B$2,1),0)),"",IFERROR(SUMIFS(DATA_GOC!$H:$H,DATA_GOC!$A:$A,"BOM",DATA_GOC!$D:$D,$B62,DATA_GOC!$E:$E,"Téc 1",DATA_GOC!$F:$F,"Xuất nội bộ từ téc",DATA_GOC!$B:$B,DATE($D$2,$B$2,AG$4)),0))</f>
        <v>0</v>
      </c>
      <c r="AH62" s="240">
        <f t="shared" si="1"/>
        <v>0</v>
      </c>
      <c r="AI62" s="241"/>
      <c r="AJ62" s="239">
        <f>IF($B62="","",SUMIFS(TINH_TEC!$K$233:$K$9232,TINH_TEC!$H$233:$H$9232,$B62,TINH_TEC!$C$233:$C$9232,"Téc 1",TINH_TEC!$F$233:$F$9232,$B$2,TINH_TEC!$G$233:$G$9232,$D$2,TINH_TEC!$B$233:$B$9232,"Đã chốt"))</f>
        <v>0</v>
      </c>
      <c r="AK62" s="239">
        <f>IF($B62="","",SUMIFS(TINH_TEC!$J$233:$J$9232,TINH_TEC!$H$233:$H$9232,$B62,TINH_TEC!$C$233:$C$9232,"Téc 1",TINH_TEC!$F$233:$F$9232,$B$2,TINH_TEC!$G$233:$G$9232,$D$2,TINH_TEC!$B$233:$B$9232,"Đã chốt"))</f>
        <v>0</v>
      </c>
      <c r="AL62" s="239">
        <f t="shared" si="2"/>
        <v>0</v>
      </c>
    </row>
    <row r="63" ht="15.75" customHeight="1">
      <c r="A63" s="237">
        <f>IF($B63&lt;&gt;"",58,"")</f>
        <v>58</v>
      </c>
      <c r="B63" s="238" t="str">
        <f t="array" ref="B63">IFERROR(INDEX(DANH_MUC!$E:$E,61),"")</f>
        <v>Máy lu lốp</v>
      </c>
      <c r="C63" s="239">
        <f>IF(C$4&gt;DAY(EOMONTH(DATE($D$2,$B$2,1),0)),"",IFERROR(SUMIFS(DATA_GOC!$H:$H,DATA_GOC!$A:$A,"BOM",DATA_GOC!$D:$D,$B63,DATA_GOC!$E:$E,"Téc 1",DATA_GOC!$F:$F,"Xuất nội bộ từ téc",DATA_GOC!$B:$B,DATE($D$2,$B$2,C$4)),0))</f>
        <v>0</v>
      </c>
      <c r="D63" s="239">
        <f>IF(D$4&gt;DAY(EOMONTH(DATE($D$2,$B$2,1),0)),"",IFERROR(SUMIFS(DATA_GOC!$H:$H,DATA_GOC!$A:$A,"BOM",DATA_GOC!$D:$D,$B63,DATA_GOC!$E:$E,"Téc 1",DATA_GOC!$F:$F,"Xuất nội bộ từ téc",DATA_GOC!$B:$B,DATE($D$2,$B$2,D$4)),0))</f>
        <v>0</v>
      </c>
      <c r="E63" s="239">
        <f>IF(E$4&gt;DAY(EOMONTH(DATE($D$2,$B$2,1),0)),"",IFERROR(SUMIFS(DATA_GOC!$H:$H,DATA_GOC!$A:$A,"BOM",DATA_GOC!$D:$D,$B63,DATA_GOC!$E:$E,"Téc 1",DATA_GOC!$F:$F,"Xuất nội bộ từ téc",DATA_GOC!$B:$B,DATE($D$2,$B$2,E$4)),0))</f>
        <v>0</v>
      </c>
      <c r="F63" s="239">
        <f>IF(F$4&gt;DAY(EOMONTH(DATE($D$2,$B$2,1),0)),"",IFERROR(SUMIFS(DATA_GOC!$H:$H,DATA_GOC!$A:$A,"BOM",DATA_GOC!$D:$D,$B63,DATA_GOC!$E:$E,"Téc 1",DATA_GOC!$F:$F,"Xuất nội bộ từ téc",DATA_GOC!$B:$B,DATE($D$2,$B$2,F$4)),0))</f>
        <v>0</v>
      </c>
      <c r="G63" s="239">
        <f>IF(G$4&gt;DAY(EOMONTH(DATE($D$2,$B$2,1),0)),"",IFERROR(SUMIFS(DATA_GOC!$H:$H,DATA_GOC!$A:$A,"BOM",DATA_GOC!$D:$D,$B63,DATA_GOC!$E:$E,"Téc 1",DATA_GOC!$F:$F,"Xuất nội bộ từ téc",DATA_GOC!$B:$B,DATE($D$2,$B$2,G$4)),0))</f>
        <v>0</v>
      </c>
      <c r="H63" s="239">
        <f>IF(H$4&gt;DAY(EOMONTH(DATE($D$2,$B$2,1),0)),"",IFERROR(SUMIFS(DATA_GOC!$H:$H,DATA_GOC!$A:$A,"BOM",DATA_GOC!$D:$D,$B63,DATA_GOC!$E:$E,"Téc 1",DATA_GOC!$F:$F,"Xuất nội bộ từ téc",DATA_GOC!$B:$B,DATE($D$2,$B$2,H$4)),0))</f>
        <v>0</v>
      </c>
      <c r="I63" s="239">
        <f>IF(I$4&gt;DAY(EOMONTH(DATE($D$2,$B$2,1),0)),"",IFERROR(SUMIFS(DATA_GOC!$H:$H,DATA_GOC!$A:$A,"BOM",DATA_GOC!$D:$D,$B63,DATA_GOC!$E:$E,"Téc 1",DATA_GOC!$F:$F,"Xuất nội bộ từ téc",DATA_GOC!$B:$B,DATE($D$2,$B$2,I$4)),0))</f>
        <v>0</v>
      </c>
      <c r="J63" s="239">
        <f>IF(J$4&gt;DAY(EOMONTH(DATE($D$2,$B$2,1),0)),"",IFERROR(SUMIFS(DATA_GOC!$H:$H,DATA_GOC!$A:$A,"BOM",DATA_GOC!$D:$D,$B63,DATA_GOC!$E:$E,"Téc 1",DATA_GOC!$F:$F,"Xuất nội bộ từ téc",DATA_GOC!$B:$B,DATE($D$2,$B$2,J$4)),0))</f>
        <v>0</v>
      </c>
      <c r="K63" s="239">
        <f>IF(K$4&gt;DAY(EOMONTH(DATE($D$2,$B$2,1),0)),"",IFERROR(SUMIFS(DATA_GOC!$H:$H,DATA_GOC!$A:$A,"BOM",DATA_GOC!$D:$D,$B63,DATA_GOC!$E:$E,"Téc 1",DATA_GOC!$F:$F,"Xuất nội bộ từ téc",DATA_GOC!$B:$B,DATE($D$2,$B$2,K$4)),0))</f>
        <v>0</v>
      </c>
      <c r="L63" s="239">
        <f>IF(L$4&gt;DAY(EOMONTH(DATE($D$2,$B$2,1),0)),"",IFERROR(SUMIFS(DATA_GOC!$H:$H,DATA_GOC!$A:$A,"BOM",DATA_GOC!$D:$D,$B63,DATA_GOC!$E:$E,"Téc 1",DATA_GOC!$F:$F,"Xuất nội bộ từ téc",DATA_GOC!$B:$B,DATE($D$2,$B$2,L$4)),0))</f>
        <v>0</v>
      </c>
      <c r="M63" s="239">
        <f>IF(M$4&gt;DAY(EOMONTH(DATE($D$2,$B$2,1),0)),"",IFERROR(SUMIFS(DATA_GOC!$H:$H,DATA_GOC!$A:$A,"BOM",DATA_GOC!$D:$D,$B63,DATA_GOC!$E:$E,"Téc 1",DATA_GOC!$F:$F,"Xuất nội bộ từ téc",DATA_GOC!$B:$B,DATE($D$2,$B$2,M$4)),0))</f>
        <v>0</v>
      </c>
      <c r="N63" s="239">
        <f>IF(N$4&gt;DAY(EOMONTH(DATE($D$2,$B$2,1),0)),"",IFERROR(SUMIFS(DATA_GOC!$H:$H,DATA_GOC!$A:$A,"BOM",DATA_GOC!$D:$D,$B63,DATA_GOC!$E:$E,"Téc 1",DATA_GOC!$F:$F,"Xuất nội bộ từ téc",DATA_GOC!$B:$B,DATE($D$2,$B$2,N$4)),0))</f>
        <v>0</v>
      </c>
      <c r="O63" s="239">
        <f>IF(O$4&gt;DAY(EOMONTH(DATE($D$2,$B$2,1),0)),"",IFERROR(SUMIFS(DATA_GOC!$H:$H,DATA_GOC!$A:$A,"BOM",DATA_GOC!$D:$D,$B63,DATA_GOC!$E:$E,"Téc 1",DATA_GOC!$F:$F,"Xuất nội bộ từ téc",DATA_GOC!$B:$B,DATE($D$2,$B$2,O$4)),0))</f>
        <v>0</v>
      </c>
      <c r="P63" s="239">
        <f>IF(P$4&gt;DAY(EOMONTH(DATE($D$2,$B$2,1),0)),"",IFERROR(SUMIFS(DATA_GOC!$H:$H,DATA_GOC!$A:$A,"BOM",DATA_GOC!$D:$D,$B63,DATA_GOC!$E:$E,"Téc 1",DATA_GOC!$F:$F,"Xuất nội bộ từ téc",DATA_GOC!$B:$B,DATE($D$2,$B$2,P$4)),0))</f>
        <v>0</v>
      </c>
      <c r="Q63" s="239">
        <f>IF(Q$4&gt;DAY(EOMONTH(DATE($D$2,$B$2,1),0)),"",IFERROR(SUMIFS(DATA_GOC!$H:$H,DATA_GOC!$A:$A,"BOM",DATA_GOC!$D:$D,$B63,DATA_GOC!$E:$E,"Téc 1",DATA_GOC!$F:$F,"Xuất nội bộ từ téc",DATA_GOC!$B:$B,DATE($D$2,$B$2,Q$4)),0))</f>
        <v>0</v>
      </c>
      <c r="R63" s="239">
        <f>IF(R$4&gt;DAY(EOMONTH(DATE($D$2,$B$2,1),0)),"",IFERROR(SUMIFS(DATA_GOC!$H:$H,DATA_GOC!$A:$A,"BOM",DATA_GOC!$D:$D,$B63,DATA_GOC!$E:$E,"Téc 1",DATA_GOC!$F:$F,"Xuất nội bộ từ téc",DATA_GOC!$B:$B,DATE($D$2,$B$2,R$4)),0))</f>
        <v>0</v>
      </c>
      <c r="S63" s="239">
        <f>IF(S$4&gt;DAY(EOMONTH(DATE($D$2,$B$2,1),0)),"",IFERROR(SUMIFS(DATA_GOC!$H:$H,DATA_GOC!$A:$A,"BOM",DATA_GOC!$D:$D,$B63,DATA_GOC!$E:$E,"Téc 1",DATA_GOC!$F:$F,"Xuất nội bộ từ téc",DATA_GOC!$B:$B,DATE($D$2,$B$2,S$4)),0))</f>
        <v>0</v>
      </c>
      <c r="T63" s="239">
        <f>IF(T$4&gt;DAY(EOMONTH(DATE($D$2,$B$2,1),0)),"",IFERROR(SUMIFS(DATA_GOC!$H:$H,DATA_GOC!$A:$A,"BOM",DATA_GOC!$D:$D,$B63,DATA_GOC!$E:$E,"Téc 1",DATA_GOC!$F:$F,"Xuất nội bộ từ téc",DATA_GOC!$B:$B,DATE($D$2,$B$2,T$4)),0))</f>
        <v>0</v>
      </c>
      <c r="U63" s="239">
        <f>IF(U$4&gt;DAY(EOMONTH(DATE($D$2,$B$2,1),0)),"",IFERROR(SUMIFS(DATA_GOC!$H:$H,DATA_GOC!$A:$A,"BOM",DATA_GOC!$D:$D,$B63,DATA_GOC!$E:$E,"Téc 1",DATA_GOC!$F:$F,"Xuất nội bộ từ téc",DATA_GOC!$B:$B,DATE($D$2,$B$2,U$4)),0))</f>
        <v>0</v>
      </c>
      <c r="V63" s="239">
        <f>IF(V$4&gt;DAY(EOMONTH(DATE($D$2,$B$2,1),0)),"",IFERROR(SUMIFS(DATA_GOC!$H:$H,DATA_GOC!$A:$A,"BOM",DATA_GOC!$D:$D,$B63,DATA_GOC!$E:$E,"Téc 1",DATA_GOC!$F:$F,"Xuất nội bộ từ téc",DATA_GOC!$B:$B,DATE($D$2,$B$2,V$4)),0))</f>
        <v>0</v>
      </c>
      <c r="W63" s="239">
        <f>IF(W$4&gt;DAY(EOMONTH(DATE($D$2,$B$2,1),0)),"",IFERROR(SUMIFS(DATA_GOC!$H:$H,DATA_GOC!$A:$A,"BOM",DATA_GOC!$D:$D,$B63,DATA_GOC!$E:$E,"Téc 1",DATA_GOC!$F:$F,"Xuất nội bộ từ téc",DATA_GOC!$B:$B,DATE($D$2,$B$2,W$4)),0))</f>
        <v>0</v>
      </c>
      <c r="X63" s="239">
        <f>IF(X$4&gt;DAY(EOMONTH(DATE($D$2,$B$2,1),0)),"",IFERROR(SUMIFS(DATA_GOC!$H:$H,DATA_GOC!$A:$A,"BOM",DATA_GOC!$D:$D,$B63,DATA_GOC!$E:$E,"Téc 1",DATA_GOC!$F:$F,"Xuất nội bộ từ téc",DATA_GOC!$B:$B,DATE($D$2,$B$2,X$4)),0))</f>
        <v>0</v>
      </c>
      <c r="Y63" s="239">
        <f>IF(Y$4&gt;DAY(EOMONTH(DATE($D$2,$B$2,1),0)),"",IFERROR(SUMIFS(DATA_GOC!$H:$H,DATA_GOC!$A:$A,"BOM",DATA_GOC!$D:$D,$B63,DATA_GOC!$E:$E,"Téc 1",DATA_GOC!$F:$F,"Xuất nội bộ từ téc",DATA_GOC!$B:$B,DATE($D$2,$B$2,Y$4)),0))</f>
        <v>0</v>
      </c>
      <c r="Z63" s="239">
        <f>IF(Z$4&gt;DAY(EOMONTH(DATE($D$2,$B$2,1),0)),"",IFERROR(SUMIFS(DATA_GOC!$H:$H,DATA_GOC!$A:$A,"BOM",DATA_GOC!$D:$D,$B63,DATA_GOC!$E:$E,"Téc 1",DATA_GOC!$F:$F,"Xuất nội bộ từ téc",DATA_GOC!$B:$B,DATE($D$2,$B$2,Z$4)),0))</f>
        <v>0</v>
      </c>
      <c r="AA63" s="239">
        <f>IF(AA$4&gt;DAY(EOMONTH(DATE($D$2,$B$2,1),0)),"",IFERROR(SUMIFS(DATA_GOC!$H:$H,DATA_GOC!$A:$A,"BOM",DATA_GOC!$D:$D,$B63,DATA_GOC!$E:$E,"Téc 1",DATA_GOC!$F:$F,"Xuất nội bộ từ téc",DATA_GOC!$B:$B,DATE($D$2,$B$2,AA$4)),0))</f>
        <v>0</v>
      </c>
      <c r="AB63" s="239">
        <f>IF(AB$4&gt;DAY(EOMONTH(DATE($D$2,$B$2,1),0)),"",IFERROR(SUMIFS(DATA_GOC!$H:$H,DATA_GOC!$A:$A,"BOM",DATA_GOC!$D:$D,$B63,DATA_GOC!$E:$E,"Téc 1",DATA_GOC!$F:$F,"Xuất nội bộ từ téc",DATA_GOC!$B:$B,DATE($D$2,$B$2,AB$4)),0))</f>
        <v>0</v>
      </c>
      <c r="AC63" s="239">
        <f>IF(AC$4&gt;DAY(EOMONTH(DATE($D$2,$B$2,1),0)),"",IFERROR(SUMIFS(DATA_GOC!$H:$H,DATA_GOC!$A:$A,"BOM",DATA_GOC!$D:$D,$B63,DATA_GOC!$E:$E,"Téc 1",DATA_GOC!$F:$F,"Xuất nội bộ từ téc",DATA_GOC!$B:$B,DATE($D$2,$B$2,AC$4)),0))</f>
        <v>0</v>
      </c>
      <c r="AD63" s="239">
        <f>IF(AD$4&gt;DAY(EOMONTH(DATE($D$2,$B$2,1),0)),"",IFERROR(SUMIFS(DATA_GOC!$H:$H,DATA_GOC!$A:$A,"BOM",DATA_GOC!$D:$D,$B63,DATA_GOC!$E:$E,"Téc 1",DATA_GOC!$F:$F,"Xuất nội bộ từ téc",DATA_GOC!$B:$B,DATE($D$2,$B$2,AD$4)),0))</f>
        <v>0</v>
      </c>
      <c r="AE63" s="239">
        <f>IF(AE$4&gt;DAY(EOMONTH(DATE($D$2,$B$2,1),0)),"",IFERROR(SUMIFS(DATA_GOC!$H:$H,DATA_GOC!$A:$A,"BOM",DATA_GOC!$D:$D,$B63,DATA_GOC!$E:$E,"Téc 1",DATA_GOC!$F:$F,"Xuất nội bộ từ téc",DATA_GOC!$B:$B,DATE($D$2,$B$2,AE$4)),0))</f>
        <v>0</v>
      </c>
      <c r="AF63" s="239">
        <f>IF(AF$4&gt;DAY(EOMONTH(DATE($D$2,$B$2,1),0)),"",IFERROR(SUMIFS(DATA_GOC!$H:$H,DATA_GOC!$A:$A,"BOM",DATA_GOC!$D:$D,$B63,DATA_GOC!$E:$E,"Téc 1",DATA_GOC!$F:$F,"Xuất nội bộ từ téc",DATA_GOC!$B:$B,DATE($D$2,$B$2,AF$4)),0))</f>
        <v>0</v>
      </c>
      <c r="AG63" s="239">
        <f>IF(AG$4&gt;DAY(EOMONTH(DATE($D$2,$B$2,1),0)),"",IFERROR(SUMIFS(DATA_GOC!$H:$H,DATA_GOC!$A:$A,"BOM",DATA_GOC!$D:$D,$B63,DATA_GOC!$E:$E,"Téc 1",DATA_GOC!$F:$F,"Xuất nội bộ từ téc",DATA_GOC!$B:$B,DATE($D$2,$B$2,AG$4)),0))</f>
        <v>0</v>
      </c>
      <c r="AH63" s="240">
        <f t="shared" si="1"/>
        <v>0</v>
      </c>
      <c r="AI63" s="241"/>
      <c r="AJ63" s="239">
        <f>IF($B63="","",SUMIFS(TINH_TEC!$K$233:$K$9232,TINH_TEC!$H$233:$H$9232,$B63,TINH_TEC!$C$233:$C$9232,"Téc 1",TINH_TEC!$F$233:$F$9232,$B$2,TINH_TEC!$G$233:$G$9232,$D$2,TINH_TEC!$B$233:$B$9232,"Đã chốt"))</f>
        <v>0</v>
      </c>
      <c r="AK63" s="239">
        <f>IF($B63="","",SUMIFS(TINH_TEC!$J$233:$J$9232,TINH_TEC!$H$233:$H$9232,$B63,TINH_TEC!$C$233:$C$9232,"Téc 1",TINH_TEC!$F$233:$F$9232,$B$2,TINH_TEC!$G$233:$G$9232,$D$2,TINH_TEC!$B$233:$B$9232,"Đã chốt"))</f>
        <v>0</v>
      </c>
      <c r="AL63" s="239">
        <f t="shared" si="2"/>
        <v>0</v>
      </c>
    </row>
    <row r="64" ht="18.0" customHeight="1">
      <c r="A64" s="212"/>
      <c r="B64" s="243" t="s">
        <v>540</v>
      </c>
      <c r="C64" s="244">
        <f t="shared" ref="C64:AL64" si="3">SUM(C6:C63)</f>
        <v>0</v>
      </c>
      <c r="D64" s="244">
        <f t="shared" si="3"/>
        <v>0</v>
      </c>
      <c r="E64" s="244">
        <f t="shared" si="3"/>
        <v>0</v>
      </c>
      <c r="F64" s="244">
        <f t="shared" si="3"/>
        <v>0</v>
      </c>
      <c r="G64" s="244">
        <f t="shared" si="3"/>
        <v>0</v>
      </c>
      <c r="H64" s="244">
        <f t="shared" si="3"/>
        <v>0</v>
      </c>
      <c r="I64" s="244">
        <f t="shared" si="3"/>
        <v>0</v>
      </c>
      <c r="J64" s="244">
        <f t="shared" si="3"/>
        <v>0</v>
      </c>
      <c r="K64" s="244">
        <f t="shared" si="3"/>
        <v>0</v>
      </c>
      <c r="L64" s="244">
        <f t="shared" si="3"/>
        <v>0</v>
      </c>
      <c r="M64" s="244">
        <f t="shared" si="3"/>
        <v>0</v>
      </c>
      <c r="N64" s="244">
        <f t="shared" si="3"/>
        <v>0</v>
      </c>
      <c r="O64" s="244">
        <f t="shared" si="3"/>
        <v>0</v>
      </c>
      <c r="P64" s="244">
        <f t="shared" si="3"/>
        <v>0</v>
      </c>
      <c r="Q64" s="244">
        <f t="shared" si="3"/>
        <v>0</v>
      </c>
      <c r="R64" s="244">
        <f t="shared" si="3"/>
        <v>0</v>
      </c>
      <c r="S64" s="244">
        <f t="shared" si="3"/>
        <v>0</v>
      </c>
      <c r="T64" s="244">
        <f t="shared" si="3"/>
        <v>0</v>
      </c>
      <c r="U64" s="244">
        <f t="shared" si="3"/>
        <v>0</v>
      </c>
      <c r="V64" s="244">
        <f t="shared" si="3"/>
        <v>0</v>
      </c>
      <c r="W64" s="244">
        <f t="shared" si="3"/>
        <v>0</v>
      </c>
      <c r="X64" s="244">
        <f t="shared" si="3"/>
        <v>0</v>
      </c>
      <c r="Y64" s="244">
        <f t="shared" si="3"/>
        <v>0</v>
      </c>
      <c r="Z64" s="244">
        <f t="shared" si="3"/>
        <v>0</v>
      </c>
      <c r="AA64" s="244">
        <f t="shared" si="3"/>
        <v>0</v>
      </c>
      <c r="AB64" s="244">
        <f t="shared" si="3"/>
        <v>0</v>
      </c>
      <c r="AC64" s="244">
        <f t="shared" si="3"/>
        <v>0</v>
      </c>
      <c r="AD64" s="244">
        <f t="shared" si="3"/>
        <v>0</v>
      </c>
      <c r="AE64" s="244">
        <f t="shared" si="3"/>
        <v>0</v>
      </c>
      <c r="AF64" s="244">
        <f t="shared" si="3"/>
        <v>0</v>
      </c>
      <c r="AG64" s="244">
        <f t="shared" si="3"/>
        <v>0</v>
      </c>
      <c r="AH64" s="245">
        <f t="shared" si="3"/>
        <v>0</v>
      </c>
      <c r="AI64" s="246">
        <f t="shared" si="3"/>
        <v>0</v>
      </c>
      <c r="AJ64" s="247">
        <f t="shared" si="3"/>
        <v>0</v>
      </c>
      <c r="AK64" s="247">
        <f t="shared" si="3"/>
        <v>0</v>
      </c>
      <c r="AL64" s="247">
        <f t="shared" si="3"/>
        <v>0</v>
      </c>
    </row>
    <row r="65" ht="18.0" customHeight="1">
      <c r="A65" s="248"/>
    </row>
    <row r="66" ht="18.0" customHeight="1">
      <c r="A66" s="249" t="s">
        <v>541</v>
      </c>
    </row>
    <row r="67" ht="15.75" customHeight="1">
      <c r="A67" s="237">
        <f>IF($B67&lt;&gt;"",1,"")</f>
        <v>1</v>
      </c>
      <c r="B67" s="250" t="str">
        <f t="array" ref="B67">IFERROR(INDEX(DANH_MUC!$E:$E,4),"")</f>
        <v>19H09482</v>
      </c>
      <c r="C67" s="251">
        <f>IF(C$4&gt;DAY(EOMONTH(DATE($D$2,$B$2,1),0)),"",IFERROR(SUMIFS(DATA_GOC!$H:$H,DATA_GOC!$A:$A,"BOM",DATA_GOC!$D:$D,$B67,DATA_GOC!$E:$E,"Téc 2",DATA_GOC!$F:$F,"Xuất nội bộ từ téc",DATA_GOC!$B:$B,DATE($D$2,$B$2,C$4)),0))</f>
        <v>0</v>
      </c>
      <c r="D67" s="251">
        <f>IF(D$4&gt;DAY(EOMONTH(DATE($D$2,$B$2,1),0)),"",IFERROR(SUMIFS(DATA_GOC!$H:$H,DATA_GOC!$A:$A,"BOM",DATA_GOC!$D:$D,$B67,DATA_GOC!$E:$E,"Téc 2",DATA_GOC!$F:$F,"Xuất nội bộ từ téc",DATA_GOC!$B:$B,DATE($D$2,$B$2,D$4)),0))</f>
        <v>0</v>
      </c>
      <c r="E67" s="251">
        <f>IF(E$4&gt;DAY(EOMONTH(DATE($D$2,$B$2,1),0)),"",IFERROR(SUMIFS(DATA_GOC!$H:$H,DATA_GOC!$A:$A,"BOM",DATA_GOC!$D:$D,$B67,DATA_GOC!$E:$E,"Téc 2",DATA_GOC!$F:$F,"Xuất nội bộ từ téc",DATA_GOC!$B:$B,DATE($D$2,$B$2,E$4)),0))</f>
        <v>45</v>
      </c>
      <c r="F67" s="251">
        <f>IF(F$4&gt;DAY(EOMONTH(DATE($D$2,$B$2,1),0)),"",IFERROR(SUMIFS(DATA_GOC!$H:$H,DATA_GOC!$A:$A,"BOM",DATA_GOC!$D:$D,$B67,DATA_GOC!$E:$E,"Téc 2",DATA_GOC!$F:$F,"Xuất nội bộ từ téc",DATA_GOC!$B:$B,DATE($D$2,$B$2,F$4)),0))</f>
        <v>0</v>
      </c>
      <c r="G67" s="251">
        <f>IF(G$4&gt;DAY(EOMONTH(DATE($D$2,$B$2,1),0)),"",IFERROR(SUMIFS(DATA_GOC!$H:$H,DATA_GOC!$A:$A,"BOM",DATA_GOC!$D:$D,$B67,DATA_GOC!$E:$E,"Téc 2",DATA_GOC!$F:$F,"Xuất nội bộ từ téc",DATA_GOC!$B:$B,DATE($D$2,$B$2,G$4)),0))</f>
        <v>0</v>
      </c>
      <c r="H67" s="251">
        <f>IF(H$4&gt;DAY(EOMONTH(DATE($D$2,$B$2,1),0)),"",IFERROR(SUMIFS(DATA_GOC!$H:$H,DATA_GOC!$A:$A,"BOM",DATA_GOC!$D:$D,$B67,DATA_GOC!$E:$E,"Téc 2",DATA_GOC!$F:$F,"Xuất nội bộ từ téc",DATA_GOC!$B:$B,DATE($D$2,$B$2,H$4)),0))</f>
        <v>0</v>
      </c>
      <c r="I67" s="251">
        <f>IF(I$4&gt;DAY(EOMONTH(DATE($D$2,$B$2,1),0)),"",IFERROR(SUMIFS(DATA_GOC!$H:$H,DATA_GOC!$A:$A,"BOM",DATA_GOC!$D:$D,$B67,DATA_GOC!$E:$E,"Téc 2",DATA_GOC!$F:$F,"Xuất nội bộ từ téc",DATA_GOC!$B:$B,DATE($D$2,$B$2,I$4)),0))</f>
        <v>0</v>
      </c>
      <c r="J67" s="251">
        <f>IF(J$4&gt;DAY(EOMONTH(DATE($D$2,$B$2,1),0)),"",IFERROR(SUMIFS(DATA_GOC!$H:$H,DATA_GOC!$A:$A,"BOM",DATA_GOC!$D:$D,$B67,DATA_GOC!$E:$E,"Téc 2",DATA_GOC!$F:$F,"Xuất nội bộ từ téc",DATA_GOC!$B:$B,DATE($D$2,$B$2,J$4)),0))</f>
        <v>0</v>
      </c>
      <c r="K67" s="251">
        <f>IF(K$4&gt;DAY(EOMONTH(DATE($D$2,$B$2,1),0)),"",IFERROR(SUMIFS(DATA_GOC!$H:$H,DATA_GOC!$A:$A,"BOM",DATA_GOC!$D:$D,$B67,DATA_GOC!$E:$E,"Téc 2",DATA_GOC!$F:$F,"Xuất nội bộ từ téc",DATA_GOC!$B:$B,DATE($D$2,$B$2,K$4)),0))</f>
        <v>0</v>
      </c>
      <c r="L67" s="251">
        <f>IF(L$4&gt;DAY(EOMONTH(DATE($D$2,$B$2,1),0)),"",IFERROR(SUMIFS(DATA_GOC!$H:$H,DATA_GOC!$A:$A,"BOM",DATA_GOC!$D:$D,$B67,DATA_GOC!$E:$E,"Téc 2",DATA_GOC!$F:$F,"Xuất nội bộ từ téc",DATA_GOC!$B:$B,DATE($D$2,$B$2,L$4)),0))</f>
        <v>0</v>
      </c>
      <c r="M67" s="251">
        <f>IF(M$4&gt;DAY(EOMONTH(DATE($D$2,$B$2,1),0)),"",IFERROR(SUMIFS(DATA_GOC!$H:$H,DATA_GOC!$A:$A,"BOM",DATA_GOC!$D:$D,$B67,DATA_GOC!$E:$E,"Téc 2",DATA_GOC!$F:$F,"Xuất nội bộ từ téc",DATA_GOC!$B:$B,DATE($D$2,$B$2,M$4)),0))</f>
        <v>0</v>
      </c>
      <c r="N67" s="251">
        <f>IF(N$4&gt;DAY(EOMONTH(DATE($D$2,$B$2,1),0)),"",IFERROR(SUMIFS(DATA_GOC!$H:$H,DATA_GOC!$A:$A,"BOM",DATA_GOC!$D:$D,$B67,DATA_GOC!$E:$E,"Téc 2",DATA_GOC!$F:$F,"Xuất nội bộ từ téc",DATA_GOC!$B:$B,DATE($D$2,$B$2,N$4)),0))</f>
        <v>0</v>
      </c>
      <c r="O67" s="251">
        <f>IF(O$4&gt;DAY(EOMONTH(DATE($D$2,$B$2,1),0)),"",IFERROR(SUMIFS(DATA_GOC!$H:$H,DATA_GOC!$A:$A,"BOM",DATA_GOC!$D:$D,$B67,DATA_GOC!$E:$E,"Téc 2",DATA_GOC!$F:$F,"Xuất nội bộ từ téc",DATA_GOC!$B:$B,DATE($D$2,$B$2,O$4)),0))</f>
        <v>0</v>
      </c>
      <c r="P67" s="251">
        <f>IF(P$4&gt;DAY(EOMONTH(DATE($D$2,$B$2,1),0)),"",IFERROR(SUMIFS(DATA_GOC!$H:$H,DATA_GOC!$A:$A,"BOM",DATA_GOC!$D:$D,$B67,DATA_GOC!$E:$E,"Téc 2",DATA_GOC!$F:$F,"Xuất nội bộ từ téc",DATA_GOC!$B:$B,DATE($D$2,$B$2,P$4)),0))</f>
        <v>0</v>
      </c>
      <c r="Q67" s="251">
        <f>IF(Q$4&gt;DAY(EOMONTH(DATE($D$2,$B$2,1),0)),"",IFERROR(SUMIFS(DATA_GOC!$H:$H,DATA_GOC!$A:$A,"BOM",DATA_GOC!$D:$D,$B67,DATA_GOC!$E:$E,"Téc 2",DATA_GOC!$F:$F,"Xuất nội bộ từ téc",DATA_GOC!$B:$B,DATE($D$2,$B$2,Q$4)),0))</f>
        <v>0</v>
      </c>
      <c r="R67" s="251">
        <f>IF(R$4&gt;DAY(EOMONTH(DATE($D$2,$B$2,1),0)),"",IFERROR(SUMIFS(DATA_GOC!$H:$H,DATA_GOC!$A:$A,"BOM",DATA_GOC!$D:$D,$B67,DATA_GOC!$E:$E,"Téc 2",DATA_GOC!$F:$F,"Xuất nội bộ từ téc",DATA_GOC!$B:$B,DATE($D$2,$B$2,R$4)),0))</f>
        <v>0</v>
      </c>
      <c r="S67" s="251">
        <f>IF(S$4&gt;DAY(EOMONTH(DATE($D$2,$B$2,1),0)),"",IFERROR(SUMIFS(DATA_GOC!$H:$H,DATA_GOC!$A:$A,"BOM",DATA_GOC!$D:$D,$B67,DATA_GOC!$E:$E,"Téc 2",DATA_GOC!$F:$F,"Xuất nội bộ từ téc",DATA_GOC!$B:$B,DATE($D$2,$B$2,S$4)),0))</f>
        <v>0</v>
      </c>
      <c r="T67" s="251">
        <f>IF(T$4&gt;DAY(EOMONTH(DATE($D$2,$B$2,1),0)),"",IFERROR(SUMIFS(DATA_GOC!$H:$H,DATA_GOC!$A:$A,"BOM",DATA_GOC!$D:$D,$B67,DATA_GOC!$E:$E,"Téc 2",DATA_GOC!$F:$F,"Xuất nội bộ từ téc",DATA_GOC!$B:$B,DATE($D$2,$B$2,T$4)),0))</f>
        <v>0</v>
      </c>
      <c r="U67" s="251">
        <f>IF(U$4&gt;DAY(EOMONTH(DATE($D$2,$B$2,1),0)),"",IFERROR(SUMIFS(DATA_GOC!$H:$H,DATA_GOC!$A:$A,"BOM",DATA_GOC!$D:$D,$B67,DATA_GOC!$E:$E,"Téc 2",DATA_GOC!$F:$F,"Xuất nội bộ từ téc",DATA_GOC!$B:$B,DATE($D$2,$B$2,U$4)),0))</f>
        <v>0</v>
      </c>
      <c r="V67" s="251">
        <f>IF(V$4&gt;DAY(EOMONTH(DATE($D$2,$B$2,1),0)),"",IFERROR(SUMIFS(DATA_GOC!$H:$H,DATA_GOC!$A:$A,"BOM",DATA_GOC!$D:$D,$B67,DATA_GOC!$E:$E,"Téc 2",DATA_GOC!$F:$F,"Xuất nội bộ từ téc",DATA_GOC!$B:$B,DATE($D$2,$B$2,V$4)),0))</f>
        <v>0</v>
      </c>
      <c r="W67" s="251">
        <f>IF(W$4&gt;DAY(EOMONTH(DATE($D$2,$B$2,1),0)),"",IFERROR(SUMIFS(DATA_GOC!$H:$H,DATA_GOC!$A:$A,"BOM",DATA_GOC!$D:$D,$B67,DATA_GOC!$E:$E,"Téc 2",DATA_GOC!$F:$F,"Xuất nội bộ từ téc",DATA_GOC!$B:$B,DATE($D$2,$B$2,W$4)),0))</f>
        <v>0</v>
      </c>
      <c r="X67" s="251">
        <f>IF(X$4&gt;DAY(EOMONTH(DATE($D$2,$B$2,1),0)),"",IFERROR(SUMIFS(DATA_GOC!$H:$H,DATA_GOC!$A:$A,"BOM",DATA_GOC!$D:$D,$B67,DATA_GOC!$E:$E,"Téc 2",DATA_GOC!$F:$F,"Xuất nội bộ từ téc",DATA_GOC!$B:$B,DATE($D$2,$B$2,X$4)),0))</f>
        <v>0</v>
      </c>
      <c r="Y67" s="251">
        <f>IF(Y$4&gt;DAY(EOMONTH(DATE($D$2,$B$2,1),0)),"",IFERROR(SUMIFS(DATA_GOC!$H:$H,DATA_GOC!$A:$A,"BOM",DATA_GOC!$D:$D,$B67,DATA_GOC!$E:$E,"Téc 2",DATA_GOC!$F:$F,"Xuất nội bộ từ téc",DATA_GOC!$B:$B,DATE($D$2,$B$2,Y$4)),0))</f>
        <v>0</v>
      </c>
      <c r="Z67" s="251">
        <f>IF(Z$4&gt;DAY(EOMONTH(DATE($D$2,$B$2,1),0)),"",IFERROR(SUMIFS(DATA_GOC!$H:$H,DATA_GOC!$A:$A,"BOM",DATA_GOC!$D:$D,$B67,DATA_GOC!$E:$E,"Téc 2",DATA_GOC!$F:$F,"Xuất nội bộ từ téc",DATA_GOC!$B:$B,DATE($D$2,$B$2,Z$4)),0))</f>
        <v>0</v>
      </c>
      <c r="AA67" s="251">
        <f>IF(AA$4&gt;DAY(EOMONTH(DATE($D$2,$B$2,1),0)),"",IFERROR(SUMIFS(DATA_GOC!$H:$H,DATA_GOC!$A:$A,"BOM",DATA_GOC!$D:$D,$B67,DATA_GOC!$E:$E,"Téc 2",DATA_GOC!$F:$F,"Xuất nội bộ từ téc",DATA_GOC!$B:$B,DATE($D$2,$B$2,AA$4)),0))</f>
        <v>0</v>
      </c>
      <c r="AB67" s="251">
        <f>IF(AB$4&gt;DAY(EOMONTH(DATE($D$2,$B$2,1),0)),"",IFERROR(SUMIFS(DATA_GOC!$H:$H,DATA_GOC!$A:$A,"BOM",DATA_GOC!$D:$D,$B67,DATA_GOC!$E:$E,"Téc 2",DATA_GOC!$F:$F,"Xuất nội bộ từ téc",DATA_GOC!$B:$B,DATE($D$2,$B$2,AB$4)),0))</f>
        <v>0</v>
      </c>
      <c r="AC67" s="251">
        <f>IF(AC$4&gt;DAY(EOMONTH(DATE($D$2,$B$2,1),0)),"",IFERROR(SUMIFS(DATA_GOC!$H:$H,DATA_GOC!$A:$A,"BOM",DATA_GOC!$D:$D,$B67,DATA_GOC!$E:$E,"Téc 2",DATA_GOC!$F:$F,"Xuất nội bộ từ téc",DATA_GOC!$B:$B,DATE($D$2,$B$2,AC$4)),0))</f>
        <v>0</v>
      </c>
      <c r="AD67" s="251">
        <f>IF(AD$4&gt;DAY(EOMONTH(DATE($D$2,$B$2,1),0)),"",IFERROR(SUMIFS(DATA_GOC!$H:$H,DATA_GOC!$A:$A,"BOM",DATA_GOC!$D:$D,$B67,DATA_GOC!$E:$E,"Téc 2",DATA_GOC!$F:$F,"Xuất nội bộ từ téc",DATA_GOC!$B:$B,DATE($D$2,$B$2,AD$4)),0))</f>
        <v>0</v>
      </c>
      <c r="AE67" s="251">
        <f>IF(AE$4&gt;DAY(EOMONTH(DATE($D$2,$B$2,1),0)),"",IFERROR(SUMIFS(DATA_GOC!$H:$H,DATA_GOC!$A:$A,"BOM",DATA_GOC!$D:$D,$B67,DATA_GOC!$E:$E,"Téc 2",DATA_GOC!$F:$F,"Xuất nội bộ từ téc",DATA_GOC!$B:$B,DATE($D$2,$B$2,AE$4)),0))</f>
        <v>0</v>
      </c>
      <c r="AF67" s="251">
        <f>IF(AF$4&gt;DAY(EOMONTH(DATE($D$2,$B$2,1),0)),"",IFERROR(SUMIFS(DATA_GOC!$H:$H,DATA_GOC!$A:$A,"BOM",DATA_GOC!$D:$D,$B67,DATA_GOC!$E:$E,"Téc 2",DATA_GOC!$F:$F,"Xuất nội bộ từ téc",DATA_GOC!$B:$B,DATE($D$2,$B$2,AF$4)),0))</f>
        <v>0</v>
      </c>
      <c r="AG67" s="251">
        <f>IF(AG$4&gt;DAY(EOMONTH(DATE($D$2,$B$2,1),0)),"",IFERROR(SUMIFS(DATA_GOC!$H:$H,DATA_GOC!$A:$A,"BOM",DATA_GOC!$D:$D,$B67,DATA_GOC!$E:$E,"Téc 2",DATA_GOC!$F:$F,"Xuất nội bộ từ téc",DATA_GOC!$B:$B,DATE($D$2,$B$2,AG$4)),0))</f>
        <v>0</v>
      </c>
      <c r="AH67" s="252">
        <f t="shared" ref="AH67:AH124" si="4">SUM(C67:AG67)</f>
        <v>45</v>
      </c>
      <c r="AI67" s="241">
        <f>IFERROR(SUMIFS(DATA_GOC!$H:$H,DATA_GOC!$A:$A,"BOM",DATA_GOC!$D:$D,$B67,DATA_GOC!$E:$E,"Bơm ngoài/Hải Tân",DATA_GOC!$F:$F,"Bơm ngoài",DATA_GOC!$B:$B,"&gt;="&amp;DATE($D$2,$B$2,1),DATA_GOC!$B:$B,"&lt;="&amp;EOMONTH(DATE($D$2,$B$2,1),0)),0)</f>
        <v>0</v>
      </c>
      <c r="AJ67" s="242">
        <f>IF($B67="","",SUMIFS(TINH_TEC!$K$233:$K$9232,TINH_TEC!$H$233:$H$9232,$B67,TINH_TEC!$C$233:$C$9232,"Téc 2",TINH_TEC!$F$233:$F$9232,$B$2,TINH_TEC!$G$233:$G$9232,$D$2,TINH_TEC!$B$233:$B$9232,"Đã chốt"))</f>
        <v>0</v>
      </c>
      <c r="AK67" s="242">
        <f>IF($B67="","",SUMIFS(TINH_TEC!$J$233:$J$9232,TINH_TEC!$H$233:$H$9232,$B67,TINH_TEC!$C$233:$C$9232,"Téc 2",TINH_TEC!$F$233:$F$9232,$B$2,TINH_TEC!$G$233:$G$9232,$D$2,TINH_TEC!$B$233:$B$9232,"Đã chốt"))</f>
        <v>32.616</v>
      </c>
      <c r="AL67" s="242">
        <f t="shared" ref="AL67:AL124" si="5">IF($B67="","",N(AH67)+N(AI67)+N(AK67)-N(AJ67))</f>
        <v>77.616</v>
      </c>
    </row>
    <row r="68" ht="15.75" customHeight="1">
      <c r="A68" s="237">
        <f>IF($B68&lt;&gt;"",2,"")</f>
        <v>2</v>
      </c>
      <c r="B68" s="250" t="str">
        <f t="array" ref="B68">IFERROR(INDEX(DANH_MUC!$E:$E,5),"")</f>
        <v>28A30696</v>
      </c>
      <c r="C68" s="251">
        <f>IF(C$4&gt;DAY(EOMONTH(DATE($D$2,$B$2,1),0)),"",IFERROR(SUMIFS(DATA_GOC!$H:$H,DATA_GOC!$A:$A,"BOM",DATA_GOC!$D:$D,$B68,DATA_GOC!$E:$E,"Téc 2",DATA_GOC!$F:$F,"Xuất nội bộ từ téc",DATA_GOC!$B:$B,DATE($D$2,$B$2,C$4)),0))</f>
        <v>0</v>
      </c>
      <c r="D68" s="251">
        <f>IF(D$4&gt;DAY(EOMONTH(DATE($D$2,$B$2,1),0)),"",IFERROR(SUMIFS(DATA_GOC!$H:$H,DATA_GOC!$A:$A,"BOM",DATA_GOC!$D:$D,$B68,DATA_GOC!$E:$E,"Téc 2",DATA_GOC!$F:$F,"Xuất nội bộ từ téc",DATA_GOC!$B:$B,DATE($D$2,$B$2,D$4)),0))</f>
        <v>0</v>
      </c>
      <c r="E68" s="251">
        <f>IF(E$4&gt;DAY(EOMONTH(DATE($D$2,$B$2,1),0)),"",IFERROR(SUMIFS(DATA_GOC!$H:$H,DATA_GOC!$A:$A,"BOM",DATA_GOC!$D:$D,$B68,DATA_GOC!$E:$E,"Téc 2",DATA_GOC!$F:$F,"Xuất nội bộ từ téc",DATA_GOC!$B:$B,DATE($D$2,$B$2,E$4)),0))</f>
        <v>0</v>
      </c>
      <c r="F68" s="251">
        <f>IF(F$4&gt;DAY(EOMONTH(DATE($D$2,$B$2,1),0)),"",IFERROR(SUMIFS(DATA_GOC!$H:$H,DATA_GOC!$A:$A,"BOM",DATA_GOC!$D:$D,$B68,DATA_GOC!$E:$E,"Téc 2",DATA_GOC!$F:$F,"Xuất nội bộ từ téc",DATA_GOC!$B:$B,DATE($D$2,$B$2,F$4)),0))</f>
        <v>0</v>
      </c>
      <c r="G68" s="251">
        <f>IF(G$4&gt;DAY(EOMONTH(DATE($D$2,$B$2,1),0)),"",IFERROR(SUMIFS(DATA_GOC!$H:$H,DATA_GOC!$A:$A,"BOM",DATA_GOC!$D:$D,$B68,DATA_GOC!$E:$E,"Téc 2",DATA_GOC!$F:$F,"Xuất nội bộ từ téc",DATA_GOC!$B:$B,DATE($D$2,$B$2,G$4)),0))</f>
        <v>0</v>
      </c>
      <c r="H68" s="251">
        <f>IF(H$4&gt;DAY(EOMONTH(DATE($D$2,$B$2,1),0)),"",IFERROR(SUMIFS(DATA_GOC!$H:$H,DATA_GOC!$A:$A,"BOM",DATA_GOC!$D:$D,$B68,DATA_GOC!$E:$E,"Téc 2",DATA_GOC!$F:$F,"Xuất nội bộ từ téc",DATA_GOC!$B:$B,DATE($D$2,$B$2,H$4)),0))</f>
        <v>0</v>
      </c>
      <c r="I68" s="251">
        <f>IF(I$4&gt;DAY(EOMONTH(DATE($D$2,$B$2,1),0)),"",IFERROR(SUMIFS(DATA_GOC!$H:$H,DATA_GOC!$A:$A,"BOM",DATA_GOC!$D:$D,$B68,DATA_GOC!$E:$E,"Téc 2",DATA_GOC!$F:$F,"Xuất nội bộ từ téc",DATA_GOC!$B:$B,DATE($D$2,$B$2,I$4)),0))</f>
        <v>0</v>
      </c>
      <c r="J68" s="251">
        <f>IF(J$4&gt;DAY(EOMONTH(DATE($D$2,$B$2,1),0)),"",IFERROR(SUMIFS(DATA_GOC!$H:$H,DATA_GOC!$A:$A,"BOM",DATA_GOC!$D:$D,$B68,DATA_GOC!$E:$E,"Téc 2",DATA_GOC!$F:$F,"Xuất nội bộ từ téc",DATA_GOC!$B:$B,DATE($D$2,$B$2,J$4)),0))</f>
        <v>0</v>
      </c>
      <c r="K68" s="251">
        <f>IF(K$4&gt;DAY(EOMONTH(DATE($D$2,$B$2,1),0)),"",IFERROR(SUMIFS(DATA_GOC!$H:$H,DATA_GOC!$A:$A,"BOM",DATA_GOC!$D:$D,$B68,DATA_GOC!$E:$E,"Téc 2",DATA_GOC!$F:$F,"Xuất nội bộ từ téc",DATA_GOC!$B:$B,DATE($D$2,$B$2,K$4)),0))</f>
        <v>0</v>
      </c>
      <c r="L68" s="251">
        <f>IF(L$4&gt;DAY(EOMONTH(DATE($D$2,$B$2,1),0)),"",IFERROR(SUMIFS(DATA_GOC!$H:$H,DATA_GOC!$A:$A,"BOM",DATA_GOC!$D:$D,$B68,DATA_GOC!$E:$E,"Téc 2",DATA_GOC!$F:$F,"Xuất nội bộ từ téc",DATA_GOC!$B:$B,DATE($D$2,$B$2,L$4)),0))</f>
        <v>0</v>
      </c>
      <c r="M68" s="251">
        <f>IF(M$4&gt;DAY(EOMONTH(DATE($D$2,$B$2,1),0)),"",IFERROR(SUMIFS(DATA_GOC!$H:$H,DATA_GOC!$A:$A,"BOM",DATA_GOC!$D:$D,$B68,DATA_GOC!$E:$E,"Téc 2",DATA_GOC!$F:$F,"Xuất nội bộ từ téc",DATA_GOC!$B:$B,DATE($D$2,$B$2,M$4)),0))</f>
        <v>0</v>
      </c>
      <c r="N68" s="251">
        <f>IF(N$4&gt;DAY(EOMONTH(DATE($D$2,$B$2,1),0)),"",IFERROR(SUMIFS(DATA_GOC!$H:$H,DATA_GOC!$A:$A,"BOM",DATA_GOC!$D:$D,$B68,DATA_GOC!$E:$E,"Téc 2",DATA_GOC!$F:$F,"Xuất nội bộ từ téc",DATA_GOC!$B:$B,DATE($D$2,$B$2,N$4)),0))</f>
        <v>0</v>
      </c>
      <c r="O68" s="251">
        <f>IF(O$4&gt;DAY(EOMONTH(DATE($D$2,$B$2,1),0)),"",IFERROR(SUMIFS(DATA_GOC!$H:$H,DATA_GOC!$A:$A,"BOM",DATA_GOC!$D:$D,$B68,DATA_GOC!$E:$E,"Téc 2",DATA_GOC!$F:$F,"Xuất nội bộ từ téc",DATA_GOC!$B:$B,DATE($D$2,$B$2,O$4)),0))</f>
        <v>0</v>
      </c>
      <c r="P68" s="251">
        <f>IF(P$4&gt;DAY(EOMONTH(DATE($D$2,$B$2,1),0)),"",IFERROR(SUMIFS(DATA_GOC!$H:$H,DATA_GOC!$A:$A,"BOM",DATA_GOC!$D:$D,$B68,DATA_GOC!$E:$E,"Téc 2",DATA_GOC!$F:$F,"Xuất nội bộ từ téc",DATA_GOC!$B:$B,DATE($D$2,$B$2,P$4)),0))</f>
        <v>0</v>
      </c>
      <c r="Q68" s="251">
        <f>IF(Q$4&gt;DAY(EOMONTH(DATE($D$2,$B$2,1),0)),"",IFERROR(SUMIFS(DATA_GOC!$H:$H,DATA_GOC!$A:$A,"BOM",DATA_GOC!$D:$D,$B68,DATA_GOC!$E:$E,"Téc 2",DATA_GOC!$F:$F,"Xuất nội bộ từ téc",DATA_GOC!$B:$B,DATE($D$2,$B$2,Q$4)),0))</f>
        <v>0</v>
      </c>
      <c r="R68" s="251">
        <f>IF(R$4&gt;DAY(EOMONTH(DATE($D$2,$B$2,1),0)),"",IFERROR(SUMIFS(DATA_GOC!$H:$H,DATA_GOC!$A:$A,"BOM",DATA_GOC!$D:$D,$B68,DATA_GOC!$E:$E,"Téc 2",DATA_GOC!$F:$F,"Xuất nội bộ từ téc",DATA_GOC!$B:$B,DATE($D$2,$B$2,R$4)),0))</f>
        <v>0</v>
      </c>
      <c r="S68" s="251">
        <f>IF(S$4&gt;DAY(EOMONTH(DATE($D$2,$B$2,1),0)),"",IFERROR(SUMIFS(DATA_GOC!$H:$H,DATA_GOC!$A:$A,"BOM",DATA_GOC!$D:$D,$B68,DATA_GOC!$E:$E,"Téc 2",DATA_GOC!$F:$F,"Xuất nội bộ từ téc",DATA_GOC!$B:$B,DATE($D$2,$B$2,S$4)),0))</f>
        <v>0</v>
      </c>
      <c r="T68" s="251">
        <f>IF(T$4&gt;DAY(EOMONTH(DATE($D$2,$B$2,1),0)),"",IFERROR(SUMIFS(DATA_GOC!$H:$H,DATA_GOC!$A:$A,"BOM",DATA_GOC!$D:$D,$B68,DATA_GOC!$E:$E,"Téc 2",DATA_GOC!$F:$F,"Xuất nội bộ từ téc",DATA_GOC!$B:$B,DATE($D$2,$B$2,T$4)),0))</f>
        <v>0</v>
      </c>
      <c r="U68" s="251">
        <f>IF(U$4&gt;DAY(EOMONTH(DATE($D$2,$B$2,1),0)),"",IFERROR(SUMIFS(DATA_GOC!$H:$H,DATA_GOC!$A:$A,"BOM",DATA_GOC!$D:$D,$B68,DATA_GOC!$E:$E,"Téc 2",DATA_GOC!$F:$F,"Xuất nội bộ từ téc",DATA_GOC!$B:$B,DATE($D$2,$B$2,U$4)),0))</f>
        <v>0</v>
      </c>
      <c r="V68" s="251">
        <f>IF(V$4&gt;DAY(EOMONTH(DATE($D$2,$B$2,1),0)),"",IFERROR(SUMIFS(DATA_GOC!$H:$H,DATA_GOC!$A:$A,"BOM",DATA_GOC!$D:$D,$B68,DATA_GOC!$E:$E,"Téc 2",DATA_GOC!$F:$F,"Xuất nội bộ từ téc",DATA_GOC!$B:$B,DATE($D$2,$B$2,V$4)),0))</f>
        <v>0</v>
      </c>
      <c r="W68" s="251">
        <f>IF(W$4&gt;DAY(EOMONTH(DATE($D$2,$B$2,1),0)),"",IFERROR(SUMIFS(DATA_GOC!$H:$H,DATA_GOC!$A:$A,"BOM",DATA_GOC!$D:$D,$B68,DATA_GOC!$E:$E,"Téc 2",DATA_GOC!$F:$F,"Xuất nội bộ từ téc",DATA_GOC!$B:$B,DATE($D$2,$B$2,W$4)),0))</f>
        <v>0</v>
      </c>
      <c r="X68" s="251">
        <f>IF(X$4&gt;DAY(EOMONTH(DATE($D$2,$B$2,1),0)),"",IFERROR(SUMIFS(DATA_GOC!$H:$H,DATA_GOC!$A:$A,"BOM",DATA_GOC!$D:$D,$B68,DATA_GOC!$E:$E,"Téc 2",DATA_GOC!$F:$F,"Xuất nội bộ từ téc",DATA_GOC!$B:$B,DATE($D$2,$B$2,X$4)),0))</f>
        <v>0</v>
      </c>
      <c r="Y68" s="251">
        <f>IF(Y$4&gt;DAY(EOMONTH(DATE($D$2,$B$2,1),0)),"",IFERROR(SUMIFS(DATA_GOC!$H:$H,DATA_GOC!$A:$A,"BOM",DATA_GOC!$D:$D,$B68,DATA_GOC!$E:$E,"Téc 2",DATA_GOC!$F:$F,"Xuất nội bộ từ téc",DATA_GOC!$B:$B,DATE($D$2,$B$2,Y$4)),0))</f>
        <v>0</v>
      </c>
      <c r="Z68" s="251">
        <f>IF(Z$4&gt;DAY(EOMONTH(DATE($D$2,$B$2,1),0)),"",IFERROR(SUMIFS(DATA_GOC!$H:$H,DATA_GOC!$A:$A,"BOM",DATA_GOC!$D:$D,$B68,DATA_GOC!$E:$E,"Téc 2",DATA_GOC!$F:$F,"Xuất nội bộ từ téc",DATA_GOC!$B:$B,DATE($D$2,$B$2,Z$4)),0))</f>
        <v>0</v>
      </c>
      <c r="AA68" s="251">
        <f>IF(AA$4&gt;DAY(EOMONTH(DATE($D$2,$B$2,1),0)),"",IFERROR(SUMIFS(DATA_GOC!$H:$H,DATA_GOC!$A:$A,"BOM",DATA_GOC!$D:$D,$B68,DATA_GOC!$E:$E,"Téc 2",DATA_GOC!$F:$F,"Xuất nội bộ từ téc",DATA_GOC!$B:$B,DATE($D$2,$B$2,AA$4)),0))</f>
        <v>0</v>
      </c>
      <c r="AB68" s="251">
        <f>IF(AB$4&gt;DAY(EOMONTH(DATE($D$2,$B$2,1),0)),"",IFERROR(SUMIFS(DATA_GOC!$H:$H,DATA_GOC!$A:$A,"BOM",DATA_GOC!$D:$D,$B68,DATA_GOC!$E:$E,"Téc 2",DATA_GOC!$F:$F,"Xuất nội bộ từ téc",DATA_GOC!$B:$B,DATE($D$2,$B$2,AB$4)),0))</f>
        <v>0</v>
      </c>
      <c r="AC68" s="251">
        <f>IF(AC$4&gt;DAY(EOMONTH(DATE($D$2,$B$2,1),0)),"",IFERROR(SUMIFS(DATA_GOC!$H:$H,DATA_GOC!$A:$A,"BOM",DATA_GOC!$D:$D,$B68,DATA_GOC!$E:$E,"Téc 2",DATA_GOC!$F:$F,"Xuất nội bộ từ téc",DATA_GOC!$B:$B,DATE($D$2,$B$2,AC$4)),0))</f>
        <v>0</v>
      </c>
      <c r="AD68" s="251">
        <f>IF(AD$4&gt;DAY(EOMONTH(DATE($D$2,$B$2,1),0)),"",IFERROR(SUMIFS(DATA_GOC!$H:$H,DATA_GOC!$A:$A,"BOM",DATA_GOC!$D:$D,$B68,DATA_GOC!$E:$E,"Téc 2",DATA_GOC!$F:$F,"Xuất nội bộ từ téc",DATA_GOC!$B:$B,DATE($D$2,$B$2,AD$4)),0))</f>
        <v>0</v>
      </c>
      <c r="AE68" s="251">
        <f>IF(AE$4&gt;DAY(EOMONTH(DATE($D$2,$B$2,1),0)),"",IFERROR(SUMIFS(DATA_GOC!$H:$H,DATA_GOC!$A:$A,"BOM",DATA_GOC!$D:$D,$B68,DATA_GOC!$E:$E,"Téc 2",DATA_GOC!$F:$F,"Xuất nội bộ từ téc",DATA_GOC!$B:$B,DATE($D$2,$B$2,AE$4)),0))</f>
        <v>0</v>
      </c>
      <c r="AF68" s="251">
        <f>IF(AF$4&gt;DAY(EOMONTH(DATE($D$2,$B$2,1),0)),"",IFERROR(SUMIFS(DATA_GOC!$H:$H,DATA_GOC!$A:$A,"BOM",DATA_GOC!$D:$D,$B68,DATA_GOC!$E:$E,"Téc 2",DATA_GOC!$F:$F,"Xuất nội bộ từ téc",DATA_GOC!$B:$B,DATE($D$2,$B$2,AF$4)),0))</f>
        <v>0</v>
      </c>
      <c r="AG68" s="251">
        <f>IF(AG$4&gt;DAY(EOMONTH(DATE($D$2,$B$2,1),0)),"",IFERROR(SUMIFS(DATA_GOC!$H:$H,DATA_GOC!$A:$A,"BOM",DATA_GOC!$D:$D,$B68,DATA_GOC!$E:$E,"Téc 2",DATA_GOC!$F:$F,"Xuất nội bộ từ téc",DATA_GOC!$B:$B,DATE($D$2,$B$2,AG$4)),0))</f>
        <v>0</v>
      </c>
      <c r="AH68" s="252">
        <f t="shared" si="4"/>
        <v>0</v>
      </c>
      <c r="AI68" s="241">
        <f>IFERROR(SUMIFS(DATA_GOC!$H:$H,DATA_GOC!$A:$A,"BOM",DATA_GOC!$D:$D,$B68,DATA_GOC!$E:$E,"Bơm ngoài/Hải Tân",DATA_GOC!$F:$F,"Bơm ngoài",DATA_GOC!$B:$B,"&gt;="&amp;DATE($D$2,$B$2,1),DATA_GOC!$B:$B,"&lt;="&amp;EOMONTH(DATE($D$2,$B$2,1),0)),0)</f>
        <v>0</v>
      </c>
      <c r="AJ68" s="242">
        <f>IF($B68="","",SUMIFS(TINH_TEC!$K$233:$K$9232,TINH_TEC!$H$233:$H$9232,$B68,TINH_TEC!$C$233:$C$9232,"Téc 2",TINH_TEC!$F$233:$F$9232,$B$2,TINH_TEC!$G$233:$G$9232,$D$2,TINH_TEC!$B$233:$B$9232,"Đã chốt"))</f>
        <v>0</v>
      </c>
      <c r="AK68" s="242">
        <f>IF($B68="","",SUMIFS(TINH_TEC!$J$233:$J$9232,TINH_TEC!$H$233:$H$9232,$B68,TINH_TEC!$C$233:$C$9232,"Téc 2",TINH_TEC!$F$233:$F$9232,$B$2,TINH_TEC!$G$233:$G$9232,$D$2,TINH_TEC!$B$233:$B$9232,"Đã chốt"))</f>
        <v>2.155</v>
      </c>
      <c r="AL68" s="242">
        <f t="shared" si="5"/>
        <v>2.155</v>
      </c>
    </row>
    <row r="69" ht="15.75" customHeight="1">
      <c r="A69" s="237">
        <f>IF($B69&lt;&gt;"",3,"")</f>
        <v>3</v>
      </c>
      <c r="B69" s="250" t="str">
        <f t="array" ref="B69">IFERROR(INDEX(DANH_MUC!$E:$E,6),"")</f>
        <v>28C00462</v>
      </c>
      <c r="C69" s="251">
        <f>IF(C$4&gt;DAY(EOMONTH(DATE($D$2,$B$2,1),0)),"",IFERROR(SUMIFS(DATA_GOC!$H:$H,DATA_GOC!$A:$A,"BOM",DATA_GOC!$D:$D,$B69,DATA_GOC!$E:$E,"Téc 2",DATA_GOC!$F:$F,"Xuất nội bộ từ téc",DATA_GOC!$B:$B,DATE($D$2,$B$2,C$4)),0))</f>
        <v>0</v>
      </c>
      <c r="D69" s="251">
        <f>IF(D$4&gt;DAY(EOMONTH(DATE($D$2,$B$2,1),0)),"",IFERROR(SUMIFS(DATA_GOC!$H:$H,DATA_GOC!$A:$A,"BOM",DATA_GOC!$D:$D,$B69,DATA_GOC!$E:$E,"Téc 2",DATA_GOC!$F:$F,"Xuất nội bộ từ téc",DATA_GOC!$B:$B,DATE($D$2,$B$2,D$4)),0))</f>
        <v>0</v>
      </c>
      <c r="E69" s="251">
        <f>IF(E$4&gt;DAY(EOMONTH(DATE($D$2,$B$2,1),0)),"",IFERROR(SUMIFS(DATA_GOC!$H:$H,DATA_GOC!$A:$A,"BOM",DATA_GOC!$D:$D,$B69,DATA_GOC!$E:$E,"Téc 2",DATA_GOC!$F:$F,"Xuất nội bộ từ téc",DATA_GOC!$B:$B,DATE($D$2,$B$2,E$4)),0))</f>
        <v>0</v>
      </c>
      <c r="F69" s="251">
        <f>IF(F$4&gt;DAY(EOMONTH(DATE($D$2,$B$2,1),0)),"",IFERROR(SUMIFS(DATA_GOC!$H:$H,DATA_GOC!$A:$A,"BOM",DATA_GOC!$D:$D,$B69,DATA_GOC!$E:$E,"Téc 2",DATA_GOC!$F:$F,"Xuất nội bộ từ téc",DATA_GOC!$B:$B,DATE($D$2,$B$2,F$4)),0))</f>
        <v>46</v>
      </c>
      <c r="G69" s="251">
        <f>IF(G$4&gt;DAY(EOMONTH(DATE($D$2,$B$2,1),0)),"",IFERROR(SUMIFS(DATA_GOC!$H:$H,DATA_GOC!$A:$A,"BOM",DATA_GOC!$D:$D,$B69,DATA_GOC!$E:$E,"Téc 2",DATA_GOC!$F:$F,"Xuất nội bộ từ téc",DATA_GOC!$B:$B,DATE($D$2,$B$2,G$4)),0))</f>
        <v>0</v>
      </c>
      <c r="H69" s="251">
        <f>IF(H$4&gt;DAY(EOMONTH(DATE($D$2,$B$2,1),0)),"",IFERROR(SUMIFS(DATA_GOC!$H:$H,DATA_GOC!$A:$A,"BOM",DATA_GOC!$D:$D,$B69,DATA_GOC!$E:$E,"Téc 2",DATA_GOC!$F:$F,"Xuất nội bộ từ téc",DATA_GOC!$B:$B,DATE($D$2,$B$2,H$4)),0))</f>
        <v>0</v>
      </c>
      <c r="I69" s="251">
        <f>IF(I$4&gt;DAY(EOMONTH(DATE($D$2,$B$2,1),0)),"",IFERROR(SUMIFS(DATA_GOC!$H:$H,DATA_GOC!$A:$A,"BOM",DATA_GOC!$D:$D,$B69,DATA_GOC!$E:$E,"Téc 2",DATA_GOC!$F:$F,"Xuất nội bộ từ téc",DATA_GOC!$B:$B,DATE($D$2,$B$2,I$4)),0))</f>
        <v>0</v>
      </c>
      <c r="J69" s="251">
        <f>IF(J$4&gt;DAY(EOMONTH(DATE($D$2,$B$2,1),0)),"",IFERROR(SUMIFS(DATA_GOC!$H:$H,DATA_GOC!$A:$A,"BOM",DATA_GOC!$D:$D,$B69,DATA_GOC!$E:$E,"Téc 2",DATA_GOC!$F:$F,"Xuất nội bộ từ téc",DATA_GOC!$B:$B,DATE($D$2,$B$2,J$4)),0))</f>
        <v>0</v>
      </c>
      <c r="K69" s="251">
        <f>IF(K$4&gt;DAY(EOMONTH(DATE($D$2,$B$2,1),0)),"",IFERROR(SUMIFS(DATA_GOC!$H:$H,DATA_GOC!$A:$A,"BOM",DATA_GOC!$D:$D,$B69,DATA_GOC!$E:$E,"Téc 2",DATA_GOC!$F:$F,"Xuất nội bộ từ téc",DATA_GOC!$B:$B,DATE($D$2,$B$2,K$4)),0))</f>
        <v>0</v>
      </c>
      <c r="L69" s="251">
        <f>IF(L$4&gt;DAY(EOMONTH(DATE($D$2,$B$2,1),0)),"",IFERROR(SUMIFS(DATA_GOC!$H:$H,DATA_GOC!$A:$A,"BOM",DATA_GOC!$D:$D,$B69,DATA_GOC!$E:$E,"Téc 2",DATA_GOC!$F:$F,"Xuất nội bộ từ téc",DATA_GOC!$B:$B,DATE($D$2,$B$2,L$4)),0))</f>
        <v>0</v>
      </c>
      <c r="M69" s="251">
        <f>IF(M$4&gt;DAY(EOMONTH(DATE($D$2,$B$2,1),0)),"",IFERROR(SUMIFS(DATA_GOC!$H:$H,DATA_GOC!$A:$A,"BOM",DATA_GOC!$D:$D,$B69,DATA_GOC!$E:$E,"Téc 2",DATA_GOC!$F:$F,"Xuất nội bộ từ téc",DATA_GOC!$B:$B,DATE($D$2,$B$2,M$4)),0))</f>
        <v>0</v>
      </c>
      <c r="N69" s="251">
        <f>IF(N$4&gt;DAY(EOMONTH(DATE($D$2,$B$2,1),0)),"",IFERROR(SUMIFS(DATA_GOC!$H:$H,DATA_GOC!$A:$A,"BOM",DATA_GOC!$D:$D,$B69,DATA_GOC!$E:$E,"Téc 2",DATA_GOC!$F:$F,"Xuất nội bộ từ téc",DATA_GOC!$B:$B,DATE($D$2,$B$2,N$4)),0))</f>
        <v>0</v>
      </c>
      <c r="O69" s="251">
        <f>IF(O$4&gt;DAY(EOMONTH(DATE($D$2,$B$2,1),0)),"",IFERROR(SUMIFS(DATA_GOC!$H:$H,DATA_GOC!$A:$A,"BOM",DATA_GOC!$D:$D,$B69,DATA_GOC!$E:$E,"Téc 2",DATA_GOC!$F:$F,"Xuất nội bộ từ téc",DATA_GOC!$B:$B,DATE($D$2,$B$2,O$4)),0))</f>
        <v>0</v>
      </c>
      <c r="P69" s="251">
        <f>IF(P$4&gt;DAY(EOMONTH(DATE($D$2,$B$2,1),0)),"",IFERROR(SUMIFS(DATA_GOC!$H:$H,DATA_GOC!$A:$A,"BOM",DATA_GOC!$D:$D,$B69,DATA_GOC!$E:$E,"Téc 2",DATA_GOC!$F:$F,"Xuất nội bộ từ téc",DATA_GOC!$B:$B,DATE($D$2,$B$2,P$4)),0))</f>
        <v>0</v>
      </c>
      <c r="Q69" s="251">
        <f>IF(Q$4&gt;DAY(EOMONTH(DATE($D$2,$B$2,1),0)),"",IFERROR(SUMIFS(DATA_GOC!$H:$H,DATA_GOC!$A:$A,"BOM",DATA_GOC!$D:$D,$B69,DATA_GOC!$E:$E,"Téc 2",DATA_GOC!$F:$F,"Xuất nội bộ từ téc",DATA_GOC!$B:$B,DATE($D$2,$B$2,Q$4)),0))</f>
        <v>0</v>
      </c>
      <c r="R69" s="251">
        <f>IF(R$4&gt;DAY(EOMONTH(DATE($D$2,$B$2,1),0)),"",IFERROR(SUMIFS(DATA_GOC!$H:$H,DATA_GOC!$A:$A,"BOM",DATA_GOC!$D:$D,$B69,DATA_GOC!$E:$E,"Téc 2",DATA_GOC!$F:$F,"Xuất nội bộ từ téc",DATA_GOC!$B:$B,DATE($D$2,$B$2,R$4)),0))</f>
        <v>0</v>
      </c>
      <c r="S69" s="251">
        <f>IF(S$4&gt;DAY(EOMONTH(DATE($D$2,$B$2,1),0)),"",IFERROR(SUMIFS(DATA_GOC!$H:$H,DATA_GOC!$A:$A,"BOM",DATA_GOC!$D:$D,$B69,DATA_GOC!$E:$E,"Téc 2",DATA_GOC!$F:$F,"Xuất nội bộ từ téc",DATA_GOC!$B:$B,DATE($D$2,$B$2,S$4)),0))</f>
        <v>0</v>
      </c>
      <c r="T69" s="251">
        <f>IF(T$4&gt;DAY(EOMONTH(DATE($D$2,$B$2,1),0)),"",IFERROR(SUMIFS(DATA_GOC!$H:$H,DATA_GOC!$A:$A,"BOM",DATA_GOC!$D:$D,$B69,DATA_GOC!$E:$E,"Téc 2",DATA_GOC!$F:$F,"Xuất nội bộ từ téc",DATA_GOC!$B:$B,DATE($D$2,$B$2,T$4)),0))</f>
        <v>0</v>
      </c>
      <c r="U69" s="251">
        <f>IF(U$4&gt;DAY(EOMONTH(DATE($D$2,$B$2,1),0)),"",IFERROR(SUMIFS(DATA_GOC!$H:$H,DATA_GOC!$A:$A,"BOM",DATA_GOC!$D:$D,$B69,DATA_GOC!$E:$E,"Téc 2",DATA_GOC!$F:$F,"Xuất nội bộ từ téc",DATA_GOC!$B:$B,DATE($D$2,$B$2,U$4)),0))</f>
        <v>0</v>
      </c>
      <c r="V69" s="251">
        <f>IF(V$4&gt;DAY(EOMONTH(DATE($D$2,$B$2,1),0)),"",IFERROR(SUMIFS(DATA_GOC!$H:$H,DATA_GOC!$A:$A,"BOM",DATA_GOC!$D:$D,$B69,DATA_GOC!$E:$E,"Téc 2",DATA_GOC!$F:$F,"Xuất nội bộ từ téc",DATA_GOC!$B:$B,DATE($D$2,$B$2,V$4)),0))</f>
        <v>0</v>
      </c>
      <c r="W69" s="251">
        <f>IF(W$4&gt;DAY(EOMONTH(DATE($D$2,$B$2,1),0)),"",IFERROR(SUMIFS(DATA_GOC!$H:$H,DATA_GOC!$A:$A,"BOM",DATA_GOC!$D:$D,$B69,DATA_GOC!$E:$E,"Téc 2",DATA_GOC!$F:$F,"Xuất nội bộ từ téc",DATA_GOC!$B:$B,DATE($D$2,$B$2,W$4)),0))</f>
        <v>0</v>
      </c>
      <c r="X69" s="251">
        <f>IF(X$4&gt;DAY(EOMONTH(DATE($D$2,$B$2,1),0)),"",IFERROR(SUMIFS(DATA_GOC!$H:$H,DATA_GOC!$A:$A,"BOM",DATA_GOC!$D:$D,$B69,DATA_GOC!$E:$E,"Téc 2",DATA_GOC!$F:$F,"Xuất nội bộ từ téc",DATA_GOC!$B:$B,DATE($D$2,$B$2,X$4)),0))</f>
        <v>0</v>
      </c>
      <c r="Y69" s="251">
        <f>IF(Y$4&gt;DAY(EOMONTH(DATE($D$2,$B$2,1),0)),"",IFERROR(SUMIFS(DATA_GOC!$H:$H,DATA_GOC!$A:$A,"BOM",DATA_GOC!$D:$D,$B69,DATA_GOC!$E:$E,"Téc 2",DATA_GOC!$F:$F,"Xuất nội bộ từ téc",DATA_GOC!$B:$B,DATE($D$2,$B$2,Y$4)),0))</f>
        <v>0</v>
      </c>
      <c r="Z69" s="251">
        <f>IF(Z$4&gt;DAY(EOMONTH(DATE($D$2,$B$2,1),0)),"",IFERROR(SUMIFS(DATA_GOC!$H:$H,DATA_GOC!$A:$A,"BOM",DATA_GOC!$D:$D,$B69,DATA_GOC!$E:$E,"Téc 2",DATA_GOC!$F:$F,"Xuất nội bộ từ téc",DATA_GOC!$B:$B,DATE($D$2,$B$2,Z$4)),0))</f>
        <v>0</v>
      </c>
      <c r="AA69" s="251">
        <f>IF(AA$4&gt;DAY(EOMONTH(DATE($D$2,$B$2,1),0)),"",IFERROR(SUMIFS(DATA_GOC!$H:$H,DATA_GOC!$A:$A,"BOM",DATA_GOC!$D:$D,$B69,DATA_GOC!$E:$E,"Téc 2",DATA_GOC!$F:$F,"Xuất nội bộ từ téc",DATA_GOC!$B:$B,DATE($D$2,$B$2,AA$4)),0))</f>
        <v>0</v>
      </c>
      <c r="AB69" s="251">
        <f>IF(AB$4&gt;DAY(EOMONTH(DATE($D$2,$B$2,1),0)),"",IFERROR(SUMIFS(DATA_GOC!$H:$H,DATA_GOC!$A:$A,"BOM",DATA_GOC!$D:$D,$B69,DATA_GOC!$E:$E,"Téc 2",DATA_GOC!$F:$F,"Xuất nội bộ từ téc",DATA_GOC!$B:$B,DATE($D$2,$B$2,AB$4)),0))</f>
        <v>0</v>
      </c>
      <c r="AC69" s="251">
        <f>IF(AC$4&gt;DAY(EOMONTH(DATE($D$2,$B$2,1),0)),"",IFERROR(SUMIFS(DATA_GOC!$H:$H,DATA_GOC!$A:$A,"BOM",DATA_GOC!$D:$D,$B69,DATA_GOC!$E:$E,"Téc 2",DATA_GOC!$F:$F,"Xuất nội bộ từ téc",DATA_GOC!$B:$B,DATE($D$2,$B$2,AC$4)),0))</f>
        <v>0</v>
      </c>
      <c r="AD69" s="251">
        <f>IF(AD$4&gt;DAY(EOMONTH(DATE($D$2,$B$2,1),0)),"",IFERROR(SUMIFS(DATA_GOC!$H:$H,DATA_GOC!$A:$A,"BOM",DATA_GOC!$D:$D,$B69,DATA_GOC!$E:$E,"Téc 2",DATA_GOC!$F:$F,"Xuất nội bộ từ téc",DATA_GOC!$B:$B,DATE($D$2,$B$2,AD$4)),0))</f>
        <v>0</v>
      </c>
      <c r="AE69" s="251">
        <f>IF(AE$4&gt;DAY(EOMONTH(DATE($D$2,$B$2,1),0)),"",IFERROR(SUMIFS(DATA_GOC!$H:$H,DATA_GOC!$A:$A,"BOM",DATA_GOC!$D:$D,$B69,DATA_GOC!$E:$E,"Téc 2",DATA_GOC!$F:$F,"Xuất nội bộ từ téc",DATA_GOC!$B:$B,DATE($D$2,$B$2,AE$4)),0))</f>
        <v>0</v>
      </c>
      <c r="AF69" s="251">
        <f>IF(AF$4&gt;DAY(EOMONTH(DATE($D$2,$B$2,1),0)),"",IFERROR(SUMIFS(DATA_GOC!$H:$H,DATA_GOC!$A:$A,"BOM",DATA_GOC!$D:$D,$B69,DATA_GOC!$E:$E,"Téc 2",DATA_GOC!$F:$F,"Xuất nội bộ từ téc",DATA_GOC!$B:$B,DATE($D$2,$B$2,AF$4)),0))</f>
        <v>0</v>
      </c>
      <c r="AG69" s="251">
        <f>IF(AG$4&gt;DAY(EOMONTH(DATE($D$2,$B$2,1),0)),"",IFERROR(SUMIFS(DATA_GOC!$H:$H,DATA_GOC!$A:$A,"BOM",DATA_GOC!$D:$D,$B69,DATA_GOC!$E:$E,"Téc 2",DATA_GOC!$F:$F,"Xuất nội bộ từ téc",DATA_GOC!$B:$B,DATE($D$2,$B$2,AG$4)),0))</f>
        <v>0</v>
      </c>
      <c r="AH69" s="252">
        <f t="shared" si="4"/>
        <v>46</v>
      </c>
      <c r="AI69" s="241">
        <f>IFERROR(SUMIFS(DATA_GOC!$H:$H,DATA_GOC!$A:$A,"BOM",DATA_GOC!$D:$D,$B69,DATA_GOC!$E:$E,"Bơm ngoài/Hải Tân",DATA_GOC!$F:$F,"Bơm ngoài",DATA_GOC!$B:$B,"&gt;="&amp;DATE($D$2,$B$2,1),DATA_GOC!$B:$B,"&lt;="&amp;EOMONTH(DATE($D$2,$B$2,1),0)),0)</f>
        <v>0</v>
      </c>
      <c r="AJ69" s="242">
        <f>IF($B69="","",SUMIFS(TINH_TEC!$K$233:$K$9232,TINH_TEC!$H$233:$H$9232,$B69,TINH_TEC!$C$233:$C$9232,"Téc 2",TINH_TEC!$F$233:$F$9232,$B$2,TINH_TEC!$G$233:$G$9232,$D$2,TINH_TEC!$B$233:$B$9232,"Đã chốt"))</f>
        <v>0</v>
      </c>
      <c r="AK69" s="242">
        <f>IF($B69="","",SUMIFS(TINH_TEC!$J$233:$J$9232,TINH_TEC!$H$233:$H$9232,$B69,TINH_TEC!$C$233:$C$9232,"Téc 2",TINH_TEC!$F$233:$F$9232,$B$2,TINH_TEC!$G$233:$G$9232,$D$2,TINH_TEC!$B$233:$B$9232,"Đã chốt"))</f>
        <v>9.086</v>
      </c>
      <c r="AL69" s="242">
        <f t="shared" si="5"/>
        <v>55.086</v>
      </c>
    </row>
    <row r="70" ht="15.75" customHeight="1">
      <c r="A70" s="237">
        <f>IF($B70&lt;&gt;"",4,"")</f>
        <v>4</v>
      </c>
      <c r="B70" s="250" t="str">
        <f t="array" ref="B70">IFERROR(INDEX(DANH_MUC!$E:$E,7),"")</f>
        <v>28C01165</v>
      </c>
      <c r="C70" s="251">
        <f>IF(C$4&gt;DAY(EOMONTH(DATE($D$2,$B$2,1),0)),"",IFERROR(SUMIFS(DATA_GOC!$H:$H,DATA_GOC!$A:$A,"BOM",DATA_GOC!$D:$D,$B70,DATA_GOC!$E:$E,"Téc 2",DATA_GOC!$F:$F,"Xuất nội bộ từ téc",DATA_GOC!$B:$B,DATE($D$2,$B$2,C$4)),0))</f>
        <v>0</v>
      </c>
      <c r="D70" s="251">
        <f>IF(D$4&gt;DAY(EOMONTH(DATE($D$2,$B$2,1),0)),"",IFERROR(SUMIFS(DATA_GOC!$H:$H,DATA_GOC!$A:$A,"BOM",DATA_GOC!$D:$D,$B70,DATA_GOC!$E:$E,"Téc 2",DATA_GOC!$F:$F,"Xuất nội bộ từ téc",DATA_GOC!$B:$B,DATE($D$2,$B$2,D$4)),0))</f>
        <v>0</v>
      </c>
      <c r="E70" s="251">
        <f>IF(E$4&gt;DAY(EOMONTH(DATE($D$2,$B$2,1),0)),"",IFERROR(SUMIFS(DATA_GOC!$H:$H,DATA_GOC!$A:$A,"BOM",DATA_GOC!$D:$D,$B70,DATA_GOC!$E:$E,"Téc 2",DATA_GOC!$F:$F,"Xuất nội bộ từ téc",DATA_GOC!$B:$B,DATE($D$2,$B$2,E$4)),0))</f>
        <v>0</v>
      </c>
      <c r="F70" s="251">
        <f>IF(F$4&gt;DAY(EOMONTH(DATE($D$2,$B$2,1),0)),"",IFERROR(SUMIFS(DATA_GOC!$H:$H,DATA_GOC!$A:$A,"BOM",DATA_GOC!$D:$D,$B70,DATA_GOC!$E:$E,"Téc 2",DATA_GOC!$F:$F,"Xuất nội bộ từ téc",DATA_GOC!$B:$B,DATE($D$2,$B$2,F$4)),0))</f>
        <v>0</v>
      </c>
      <c r="G70" s="251">
        <f>IF(G$4&gt;DAY(EOMONTH(DATE($D$2,$B$2,1),0)),"",IFERROR(SUMIFS(DATA_GOC!$H:$H,DATA_GOC!$A:$A,"BOM",DATA_GOC!$D:$D,$B70,DATA_GOC!$E:$E,"Téc 2",DATA_GOC!$F:$F,"Xuất nội bộ từ téc",DATA_GOC!$B:$B,DATE($D$2,$B$2,G$4)),0))</f>
        <v>0</v>
      </c>
      <c r="H70" s="251">
        <f>IF(H$4&gt;DAY(EOMONTH(DATE($D$2,$B$2,1),0)),"",IFERROR(SUMIFS(DATA_GOC!$H:$H,DATA_GOC!$A:$A,"BOM",DATA_GOC!$D:$D,$B70,DATA_GOC!$E:$E,"Téc 2",DATA_GOC!$F:$F,"Xuất nội bộ từ téc",DATA_GOC!$B:$B,DATE($D$2,$B$2,H$4)),0))</f>
        <v>0</v>
      </c>
      <c r="I70" s="251">
        <f>IF(I$4&gt;DAY(EOMONTH(DATE($D$2,$B$2,1),0)),"",IFERROR(SUMIFS(DATA_GOC!$H:$H,DATA_GOC!$A:$A,"BOM",DATA_GOC!$D:$D,$B70,DATA_GOC!$E:$E,"Téc 2",DATA_GOC!$F:$F,"Xuất nội bộ từ téc",DATA_GOC!$B:$B,DATE($D$2,$B$2,I$4)),0))</f>
        <v>0</v>
      </c>
      <c r="J70" s="251">
        <f>IF(J$4&gt;DAY(EOMONTH(DATE($D$2,$B$2,1),0)),"",IFERROR(SUMIFS(DATA_GOC!$H:$H,DATA_GOC!$A:$A,"BOM",DATA_GOC!$D:$D,$B70,DATA_GOC!$E:$E,"Téc 2",DATA_GOC!$F:$F,"Xuất nội bộ từ téc",DATA_GOC!$B:$B,DATE($D$2,$B$2,J$4)),0))</f>
        <v>0</v>
      </c>
      <c r="K70" s="251">
        <f>IF(K$4&gt;DAY(EOMONTH(DATE($D$2,$B$2,1),0)),"",IFERROR(SUMIFS(DATA_GOC!$H:$H,DATA_GOC!$A:$A,"BOM",DATA_GOC!$D:$D,$B70,DATA_GOC!$E:$E,"Téc 2",DATA_GOC!$F:$F,"Xuất nội bộ từ téc",DATA_GOC!$B:$B,DATE($D$2,$B$2,K$4)),0))</f>
        <v>0</v>
      </c>
      <c r="L70" s="251">
        <f>IF(L$4&gt;DAY(EOMONTH(DATE($D$2,$B$2,1),0)),"",IFERROR(SUMIFS(DATA_GOC!$H:$H,DATA_GOC!$A:$A,"BOM",DATA_GOC!$D:$D,$B70,DATA_GOC!$E:$E,"Téc 2",DATA_GOC!$F:$F,"Xuất nội bộ từ téc",DATA_GOC!$B:$B,DATE($D$2,$B$2,L$4)),0))</f>
        <v>0</v>
      </c>
      <c r="M70" s="251">
        <f>IF(M$4&gt;DAY(EOMONTH(DATE($D$2,$B$2,1),0)),"",IFERROR(SUMIFS(DATA_GOC!$H:$H,DATA_GOC!$A:$A,"BOM",DATA_GOC!$D:$D,$B70,DATA_GOC!$E:$E,"Téc 2",DATA_GOC!$F:$F,"Xuất nội bộ từ téc",DATA_GOC!$B:$B,DATE($D$2,$B$2,M$4)),0))</f>
        <v>0</v>
      </c>
      <c r="N70" s="251">
        <f>IF(N$4&gt;DAY(EOMONTH(DATE($D$2,$B$2,1),0)),"",IFERROR(SUMIFS(DATA_GOC!$H:$H,DATA_GOC!$A:$A,"BOM",DATA_GOC!$D:$D,$B70,DATA_GOC!$E:$E,"Téc 2",DATA_GOC!$F:$F,"Xuất nội bộ từ téc",DATA_GOC!$B:$B,DATE($D$2,$B$2,N$4)),0))</f>
        <v>0</v>
      </c>
      <c r="O70" s="251">
        <f>IF(O$4&gt;DAY(EOMONTH(DATE($D$2,$B$2,1),0)),"",IFERROR(SUMIFS(DATA_GOC!$H:$H,DATA_GOC!$A:$A,"BOM",DATA_GOC!$D:$D,$B70,DATA_GOC!$E:$E,"Téc 2",DATA_GOC!$F:$F,"Xuất nội bộ từ téc",DATA_GOC!$B:$B,DATE($D$2,$B$2,O$4)),0))</f>
        <v>0</v>
      </c>
      <c r="P70" s="251">
        <f>IF(P$4&gt;DAY(EOMONTH(DATE($D$2,$B$2,1),0)),"",IFERROR(SUMIFS(DATA_GOC!$H:$H,DATA_GOC!$A:$A,"BOM",DATA_GOC!$D:$D,$B70,DATA_GOC!$E:$E,"Téc 2",DATA_GOC!$F:$F,"Xuất nội bộ từ téc",DATA_GOC!$B:$B,DATE($D$2,$B$2,P$4)),0))</f>
        <v>0</v>
      </c>
      <c r="Q70" s="251">
        <f>IF(Q$4&gt;DAY(EOMONTH(DATE($D$2,$B$2,1),0)),"",IFERROR(SUMIFS(DATA_GOC!$H:$H,DATA_GOC!$A:$A,"BOM",DATA_GOC!$D:$D,$B70,DATA_GOC!$E:$E,"Téc 2",DATA_GOC!$F:$F,"Xuất nội bộ từ téc",DATA_GOC!$B:$B,DATE($D$2,$B$2,Q$4)),0))</f>
        <v>0</v>
      </c>
      <c r="R70" s="251">
        <f>IF(R$4&gt;DAY(EOMONTH(DATE($D$2,$B$2,1),0)),"",IFERROR(SUMIFS(DATA_GOC!$H:$H,DATA_GOC!$A:$A,"BOM",DATA_GOC!$D:$D,$B70,DATA_GOC!$E:$E,"Téc 2",DATA_GOC!$F:$F,"Xuất nội bộ từ téc",DATA_GOC!$B:$B,DATE($D$2,$B$2,R$4)),0))</f>
        <v>0</v>
      </c>
      <c r="S70" s="251">
        <f>IF(S$4&gt;DAY(EOMONTH(DATE($D$2,$B$2,1),0)),"",IFERROR(SUMIFS(DATA_GOC!$H:$H,DATA_GOC!$A:$A,"BOM",DATA_GOC!$D:$D,$B70,DATA_GOC!$E:$E,"Téc 2",DATA_GOC!$F:$F,"Xuất nội bộ từ téc",DATA_GOC!$B:$B,DATE($D$2,$B$2,S$4)),0))</f>
        <v>0</v>
      </c>
      <c r="T70" s="251">
        <f>IF(T$4&gt;DAY(EOMONTH(DATE($D$2,$B$2,1),0)),"",IFERROR(SUMIFS(DATA_GOC!$H:$H,DATA_GOC!$A:$A,"BOM",DATA_GOC!$D:$D,$B70,DATA_GOC!$E:$E,"Téc 2",DATA_GOC!$F:$F,"Xuất nội bộ từ téc",DATA_GOC!$B:$B,DATE($D$2,$B$2,T$4)),0))</f>
        <v>0</v>
      </c>
      <c r="U70" s="251">
        <f>IF(U$4&gt;DAY(EOMONTH(DATE($D$2,$B$2,1),0)),"",IFERROR(SUMIFS(DATA_GOC!$H:$H,DATA_GOC!$A:$A,"BOM",DATA_GOC!$D:$D,$B70,DATA_GOC!$E:$E,"Téc 2",DATA_GOC!$F:$F,"Xuất nội bộ từ téc",DATA_GOC!$B:$B,DATE($D$2,$B$2,U$4)),0))</f>
        <v>0</v>
      </c>
      <c r="V70" s="251">
        <f>IF(V$4&gt;DAY(EOMONTH(DATE($D$2,$B$2,1),0)),"",IFERROR(SUMIFS(DATA_GOC!$H:$H,DATA_GOC!$A:$A,"BOM",DATA_GOC!$D:$D,$B70,DATA_GOC!$E:$E,"Téc 2",DATA_GOC!$F:$F,"Xuất nội bộ từ téc",DATA_GOC!$B:$B,DATE($D$2,$B$2,V$4)),0))</f>
        <v>0</v>
      </c>
      <c r="W70" s="251">
        <f>IF(W$4&gt;DAY(EOMONTH(DATE($D$2,$B$2,1),0)),"",IFERROR(SUMIFS(DATA_GOC!$H:$H,DATA_GOC!$A:$A,"BOM",DATA_GOC!$D:$D,$B70,DATA_GOC!$E:$E,"Téc 2",DATA_GOC!$F:$F,"Xuất nội bộ từ téc",DATA_GOC!$B:$B,DATE($D$2,$B$2,W$4)),0))</f>
        <v>0</v>
      </c>
      <c r="X70" s="251">
        <f>IF(X$4&gt;DAY(EOMONTH(DATE($D$2,$B$2,1),0)),"",IFERROR(SUMIFS(DATA_GOC!$H:$H,DATA_GOC!$A:$A,"BOM",DATA_GOC!$D:$D,$B70,DATA_GOC!$E:$E,"Téc 2",DATA_GOC!$F:$F,"Xuất nội bộ từ téc",DATA_GOC!$B:$B,DATE($D$2,$B$2,X$4)),0))</f>
        <v>0</v>
      </c>
      <c r="Y70" s="251">
        <f>IF(Y$4&gt;DAY(EOMONTH(DATE($D$2,$B$2,1),0)),"",IFERROR(SUMIFS(DATA_GOC!$H:$H,DATA_GOC!$A:$A,"BOM",DATA_GOC!$D:$D,$B70,DATA_GOC!$E:$E,"Téc 2",DATA_GOC!$F:$F,"Xuất nội bộ từ téc",DATA_GOC!$B:$B,DATE($D$2,$B$2,Y$4)),0))</f>
        <v>0</v>
      </c>
      <c r="Z70" s="251">
        <f>IF(Z$4&gt;DAY(EOMONTH(DATE($D$2,$B$2,1),0)),"",IFERROR(SUMIFS(DATA_GOC!$H:$H,DATA_GOC!$A:$A,"BOM",DATA_GOC!$D:$D,$B70,DATA_GOC!$E:$E,"Téc 2",DATA_GOC!$F:$F,"Xuất nội bộ từ téc",DATA_GOC!$B:$B,DATE($D$2,$B$2,Z$4)),0))</f>
        <v>0</v>
      </c>
      <c r="AA70" s="251">
        <f>IF(AA$4&gt;DAY(EOMONTH(DATE($D$2,$B$2,1),0)),"",IFERROR(SUMIFS(DATA_GOC!$H:$H,DATA_GOC!$A:$A,"BOM",DATA_GOC!$D:$D,$B70,DATA_GOC!$E:$E,"Téc 2",DATA_GOC!$F:$F,"Xuất nội bộ từ téc",DATA_GOC!$B:$B,DATE($D$2,$B$2,AA$4)),0))</f>
        <v>0</v>
      </c>
      <c r="AB70" s="251">
        <f>IF(AB$4&gt;DAY(EOMONTH(DATE($D$2,$B$2,1),0)),"",IFERROR(SUMIFS(DATA_GOC!$H:$H,DATA_GOC!$A:$A,"BOM",DATA_GOC!$D:$D,$B70,DATA_GOC!$E:$E,"Téc 2",DATA_GOC!$F:$F,"Xuất nội bộ từ téc",DATA_GOC!$B:$B,DATE($D$2,$B$2,AB$4)),0))</f>
        <v>0</v>
      </c>
      <c r="AC70" s="251">
        <f>IF(AC$4&gt;DAY(EOMONTH(DATE($D$2,$B$2,1),0)),"",IFERROR(SUMIFS(DATA_GOC!$H:$H,DATA_GOC!$A:$A,"BOM",DATA_GOC!$D:$D,$B70,DATA_GOC!$E:$E,"Téc 2",DATA_GOC!$F:$F,"Xuất nội bộ từ téc",DATA_GOC!$B:$B,DATE($D$2,$B$2,AC$4)),0))</f>
        <v>0</v>
      </c>
      <c r="AD70" s="251">
        <f>IF(AD$4&gt;DAY(EOMONTH(DATE($D$2,$B$2,1),0)),"",IFERROR(SUMIFS(DATA_GOC!$H:$H,DATA_GOC!$A:$A,"BOM",DATA_GOC!$D:$D,$B70,DATA_GOC!$E:$E,"Téc 2",DATA_GOC!$F:$F,"Xuất nội bộ từ téc",DATA_GOC!$B:$B,DATE($D$2,$B$2,AD$4)),0))</f>
        <v>0</v>
      </c>
      <c r="AE70" s="251">
        <f>IF(AE$4&gt;DAY(EOMONTH(DATE($D$2,$B$2,1),0)),"",IFERROR(SUMIFS(DATA_GOC!$H:$H,DATA_GOC!$A:$A,"BOM",DATA_GOC!$D:$D,$B70,DATA_GOC!$E:$E,"Téc 2",DATA_GOC!$F:$F,"Xuất nội bộ từ téc",DATA_GOC!$B:$B,DATE($D$2,$B$2,AE$4)),0))</f>
        <v>0</v>
      </c>
      <c r="AF70" s="251">
        <f>IF(AF$4&gt;DAY(EOMONTH(DATE($D$2,$B$2,1),0)),"",IFERROR(SUMIFS(DATA_GOC!$H:$H,DATA_GOC!$A:$A,"BOM",DATA_GOC!$D:$D,$B70,DATA_GOC!$E:$E,"Téc 2",DATA_GOC!$F:$F,"Xuất nội bộ từ téc",DATA_GOC!$B:$B,DATE($D$2,$B$2,AF$4)),0))</f>
        <v>0</v>
      </c>
      <c r="AG70" s="251">
        <f>IF(AG$4&gt;DAY(EOMONTH(DATE($D$2,$B$2,1),0)),"",IFERROR(SUMIFS(DATA_GOC!$H:$H,DATA_GOC!$A:$A,"BOM",DATA_GOC!$D:$D,$B70,DATA_GOC!$E:$E,"Téc 2",DATA_GOC!$F:$F,"Xuất nội bộ từ téc",DATA_GOC!$B:$B,DATE($D$2,$B$2,AG$4)),0))</f>
        <v>0</v>
      </c>
      <c r="AH70" s="252">
        <f t="shared" si="4"/>
        <v>0</v>
      </c>
      <c r="AI70" s="241">
        <f>IFERROR(SUMIFS(DATA_GOC!$H:$H,DATA_GOC!$A:$A,"BOM",DATA_GOC!$D:$D,$B70,DATA_GOC!$E:$E,"Bơm ngoài/Hải Tân",DATA_GOC!$F:$F,"Bơm ngoài",DATA_GOC!$B:$B,"&gt;="&amp;DATE($D$2,$B$2,1),DATA_GOC!$B:$B,"&lt;="&amp;EOMONTH(DATE($D$2,$B$2,1),0)),0)</f>
        <v>0</v>
      </c>
      <c r="AJ70" s="242">
        <f>IF($B70="","",SUMIFS(TINH_TEC!$K$233:$K$9232,TINH_TEC!$H$233:$H$9232,$B70,TINH_TEC!$C$233:$C$9232,"Téc 2",TINH_TEC!$F$233:$F$9232,$B$2,TINH_TEC!$G$233:$G$9232,$D$2,TINH_TEC!$B$233:$B$9232,"Đã chốt"))</f>
        <v>0</v>
      </c>
      <c r="AK70" s="242">
        <f>IF($B70="","",SUMIFS(TINH_TEC!$J$233:$J$9232,TINH_TEC!$H$233:$H$9232,$B70,TINH_TEC!$C$233:$C$9232,"Téc 2",TINH_TEC!$F$233:$F$9232,$B$2,TINH_TEC!$G$233:$G$9232,$D$2,TINH_TEC!$B$233:$B$9232,"Đã chốt"))</f>
        <v>12.231</v>
      </c>
      <c r="AL70" s="242">
        <f t="shared" si="5"/>
        <v>12.231</v>
      </c>
    </row>
    <row r="71" ht="15.75" customHeight="1">
      <c r="A71" s="237">
        <f>IF($B71&lt;&gt;"",5,"")</f>
        <v>5</v>
      </c>
      <c r="B71" s="250" t="str">
        <f t="array" ref="B71">IFERROR(INDEX(DANH_MUC!$E:$E,8),"")</f>
        <v>28C01406</v>
      </c>
      <c r="C71" s="251">
        <f>IF(C$4&gt;DAY(EOMONTH(DATE($D$2,$B$2,1),0)),"",IFERROR(SUMIFS(DATA_GOC!$H:$H,DATA_GOC!$A:$A,"BOM",DATA_GOC!$D:$D,$B71,DATA_GOC!$E:$E,"Téc 2",DATA_GOC!$F:$F,"Xuất nội bộ từ téc",DATA_GOC!$B:$B,DATE($D$2,$B$2,C$4)),0))</f>
        <v>0</v>
      </c>
      <c r="D71" s="251">
        <f>IF(D$4&gt;DAY(EOMONTH(DATE($D$2,$B$2,1),0)),"",IFERROR(SUMIFS(DATA_GOC!$H:$H,DATA_GOC!$A:$A,"BOM",DATA_GOC!$D:$D,$B71,DATA_GOC!$E:$E,"Téc 2",DATA_GOC!$F:$F,"Xuất nội bộ từ téc",DATA_GOC!$B:$B,DATE($D$2,$B$2,D$4)),0))</f>
        <v>0</v>
      </c>
      <c r="E71" s="251">
        <f>IF(E$4&gt;DAY(EOMONTH(DATE($D$2,$B$2,1),0)),"",IFERROR(SUMIFS(DATA_GOC!$H:$H,DATA_GOC!$A:$A,"BOM",DATA_GOC!$D:$D,$B71,DATA_GOC!$E:$E,"Téc 2",DATA_GOC!$F:$F,"Xuất nội bộ từ téc",DATA_GOC!$B:$B,DATE($D$2,$B$2,E$4)),0))</f>
        <v>390</v>
      </c>
      <c r="F71" s="251">
        <f>IF(F$4&gt;DAY(EOMONTH(DATE($D$2,$B$2,1),0)),"",IFERROR(SUMIFS(DATA_GOC!$H:$H,DATA_GOC!$A:$A,"BOM",DATA_GOC!$D:$D,$B71,DATA_GOC!$E:$E,"Téc 2",DATA_GOC!$F:$F,"Xuất nội bộ từ téc",DATA_GOC!$B:$B,DATE($D$2,$B$2,F$4)),0))</f>
        <v>0</v>
      </c>
      <c r="G71" s="251">
        <f>IF(G$4&gt;DAY(EOMONTH(DATE($D$2,$B$2,1),0)),"",IFERROR(SUMIFS(DATA_GOC!$H:$H,DATA_GOC!$A:$A,"BOM",DATA_GOC!$D:$D,$B71,DATA_GOC!$E:$E,"Téc 2",DATA_GOC!$F:$F,"Xuất nội bộ từ téc",DATA_GOC!$B:$B,DATE($D$2,$B$2,G$4)),0))</f>
        <v>0</v>
      </c>
      <c r="H71" s="251">
        <f>IF(H$4&gt;DAY(EOMONTH(DATE($D$2,$B$2,1),0)),"",IFERROR(SUMIFS(DATA_GOC!$H:$H,DATA_GOC!$A:$A,"BOM",DATA_GOC!$D:$D,$B71,DATA_GOC!$E:$E,"Téc 2",DATA_GOC!$F:$F,"Xuất nội bộ từ téc",DATA_GOC!$B:$B,DATE($D$2,$B$2,H$4)),0))</f>
        <v>0</v>
      </c>
      <c r="I71" s="251">
        <f>IF(I$4&gt;DAY(EOMONTH(DATE($D$2,$B$2,1),0)),"",IFERROR(SUMIFS(DATA_GOC!$H:$H,DATA_GOC!$A:$A,"BOM",DATA_GOC!$D:$D,$B71,DATA_GOC!$E:$E,"Téc 2",DATA_GOC!$F:$F,"Xuất nội bộ từ téc",DATA_GOC!$B:$B,DATE($D$2,$B$2,I$4)),0))</f>
        <v>0</v>
      </c>
      <c r="J71" s="251">
        <f>IF(J$4&gt;DAY(EOMONTH(DATE($D$2,$B$2,1),0)),"",IFERROR(SUMIFS(DATA_GOC!$H:$H,DATA_GOC!$A:$A,"BOM",DATA_GOC!$D:$D,$B71,DATA_GOC!$E:$E,"Téc 2",DATA_GOC!$F:$F,"Xuất nội bộ từ téc",DATA_GOC!$B:$B,DATE($D$2,$B$2,J$4)),0))</f>
        <v>0</v>
      </c>
      <c r="K71" s="251">
        <f>IF(K$4&gt;DAY(EOMONTH(DATE($D$2,$B$2,1),0)),"",IFERROR(SUMIFS(DATA_GOC!$H:$H,DATA_GOC!$A:$A,"BOM",DATA_GOC!$D:$D,$B71,DATA_GOC!$E:$E,"Téc 2",DATA_GOC!$F:$F,"Xuất nội bộ từ téc",DATA_GOC!$B:$B,DATE($D$2,$B$2,K$4)),0))</f>
        <v>0</v>
      </c>
      <c r="L71" s="251">
        <f>IF(L$4&gt;DAY(EOMONTH(DATE($D$2,$B$2,1),0)),"",IFERROR(SUMIFS(DATA_GOC!$H:$H,DATA_GOC!$A:$A,"BOM",DATA_GOC!$D:$D,$B71,DATA_GOC!$E:$E,"Téc 2",DATA_GOC!$F:$F,"Xuất nội bộ từ téc",DATA_GOC!$B:$B,DATE($D$2,$B$2,L$4)),0))</f>
        <v>0</v>
      </c>
      <c r="M71" s="251">
        <f>IF(M$4&gt;DAY(EOMONTH(DATE($D$2,$B$2,1),0)),"",IFERROR(SUMIFS(DATA_GOC!$H:$H,DATA_GOC!$A:$A,"BOM",DATA_GOC!$D:$D,$B71,DATA_GOC!$E:$E,"Téc 2",DATA_GOC!$F:$F,"Xuất nội bộ từ téc",DATA_GOC!$B:$B,DATE($D$2,$B$2,M$4)),0))</f>
        <v>0</v>
      </c>
      <c r="N71" s="251">
        <f>IF(N$4&gt;DAY(EOMONTH(DATE($D$2,$B$2,1),0)),"",IFERROR(SUMIFS(DATA_GOC!$H:$H,DATA_GOC!$A:$A,"BOM",DATA_GOC!$D:$D,$B71,DATA_GOC!$E:$E,"Téc 2",DATA_GOC!$F:$F,"Xuất nội bộ từ téc",DATA_GOC!$B:$B,DATE($D$2,$B$2,N$4)),0))</f>
        <v>0</v>
      </c>
      <c r="O71" s="251">
        <f>IF(O$4&gt;DAY(EOMONTH(DATE($D$2,$B$2,1),0)),"",IFERROR(SUMIFS(DATA_GOC!$H:$H,DATA_GOC!$A:$A,"BOM",DATA_GOC!$D:$D,$B71,DATA_GOC!$E:$E,"Téc 2",DATA_GOC!$F:$F,"Xuất nội bộ từ téc",DATA_GOC!$B:$B,DATE($D$2,$B$2,O$4)),0))</f>
        <v>0</v>
      </c>
      <c r="P71" s="251">
        <f>IF(P$4&gt;DAY(EOMONTH(DATE($D$2,$B$2,1),0)),"",IFERROR(SUMIFS(DATA_GOC!$H:$H,DATA_GOC!$A:$A,"BOM",DATA_GOC!$D:$D,$B71,DATA_GOC!$E:$E,"Téc 2",DATA_GOC!$F:$F,"Xuất nội bộ từ téc",DATA_GOC!$B:$B,DATE($D$2,$B$2,P$4)),0))</f>
        <v>0</v>
      </c>
      <c r="Q71" s="251">
        <f>IF(Q$4&gt;DAY(EOMONTH(DATE($D$2,$B$2,1),0)),"",IFERROR(SUMIFS(DATA_GOC!$H:$H,DATA_GOC!$A:$A,"BOM",DATA_GOC!$D:$D,$B71,DATA_GOC!$E:$E,"Téc 2",DATA_GOC!$F:$F,"Xuất nội bộ từ téc",DATA_GOC!$B:$B,DATE($D$2,$B$2,Q$4)),0))</f>
        <v>0</v>
      </c>
      <c r="R71" s="251">
        <f>IF(R$4&gt;DAY(EOMONTH(DATE($D$2,$B$2,1),0)),"",IFERROR(SUMIFS(DATA_GOC!$H:$H,DATA_GOC!$A:$A,"BOM",DATA_GOC!$D:$D,$B71,DATA_GOC!$E:$E,"Téc 2",DATA_GOC!$F:$F,"Xuất nội bộ từ téc",DATA_GOC!$B:$B,DATE($D$2,$B$2,R$4)),0))</f>
        <v>0</v>
      </c>
      <c r="S71" s="251">
        <f>IF(S$4&gt;DAY(EOMONTH(DATE($D$2,$B$2,1),0)),"",IFERROR(SUMIFS(DATA_GOC!$H:$H,DATA_GOC!$A:$A,"BOM",DATA_GOC!$D:$D,$B71,DATA_GOC!$E:$E,"Téc 2",DATA_GOC!$F:$F,"Xuất nội bộ từ téc",DATA_GOC!$B:$B,DATE($D$2,$B$2,S$4)),0))</f>
        <v>0</v>
      </c>
      <c r="T71" s="251">
        <f>IF(T$4&gt;DAY(EOMONTH(DATE($D$2,$B$2,1),0)),"",IFERROR(SUMIFS(DATA_GOC!$H:$H,DATA_GOC!$A:$A,"BOM",DATA_GOC!$D:$D,$B71,DATA_GOC!$E:$E,"Téc 2",DATA_GOC!$F:$F,"Xuất nội bộ từ téc",DATA_GOC!$B:$B,DATE($D$2,$B$2,T$4)),0))</f>
        <v>0</v>
      </c>
      <c r="U71" s="251">
        <f>IF(U$4&gt;DAY(EOMONTH(DATE($D$2,$B$2,1),0)),"",IFERROR(SUMIFS(DATA_GOC!$H:$H,DATA_GOC!$A:$A,"BOM",DATA_GOC!$D:$D,$B71,DATA_GOC!$E:$E,"Téc 2",DATA_GOC!$F:$F,"Xuất nội bộ từ téc",DATA_GOC!$B:$B,DATE($D$2,$B$2,U$4)),0))</f>
        <v>0</v>
      </c>
      <c r="V71" s="251">
        <f>IF(V$4&gt;DAY(EOMONTH(DATE($D$2,$B$2,1),0)),"",IFERROR(SUMIFS(DATA_GOC!$H:$H,DATA_GOC!$A:$A,"BOM",DATA_GOC!$D:$D,$B71,DATA_GOC!$E:$E,"Téc 2",DATA_GOC!$F:$F,"Xuất nội bộ từ téc",DATA_GOC!$B:$B,DATE($D$2,$B$2,V$4)),0))</f>
        <v>0</v>
      </c>
      <c r="W71" s="251">
        <f>IF(W$4&gt;DAY(EOMONTH(DATE($D$2,$B$2,1),0)),"",IFERROR(SUMIFS(DATA_GOC!$H:$H,DATA_GOC!$A:$A,"BOM",DATA_GOC!$D:$D,$B71,DATA_GOC!$E:$E,"Téc 2",DATA_GOC!$F:$F,"Xuất nội bộ từ téc",DATA_GOC!$B:$B,DATE($D$2,$B$2,W$4)),0))</f>
        <v>0</v>
      </c>
      <c r="X71" s="251">
        <f>IF(X$4&gt;DAY(EOMONTH(DATE($D$2,$B$2,1),0)),"",IFERROR(SUMIFS(DATA_GOC!$H:$H,DATA_GOC!$A:$A,"BOM",DATA_GOC!$D:$D,$B71,DATA_GOC!$E:$E,"Téc 2",DATA_GOC!$F:$F,"Xuất nội bộ từ téc",DATA_GOC!$B:$B,DATE($D$2,$B$2,X$4)),0))</f>
        <v>0</v>
      </c>
      <c r="Y71" s="251">
        <f>IF(Y$4&gt;DAY(EOMONTH(DATE($D$2,$B$2,1),0)),"",IFERROR(SUMIFS(DATA_GOC!$H:$H,DATA_GOC!$A:$A,"BOM",DATA_GOC!$D:$D,$B71,DATA_GOC!$E:$E,"Téc 2",DATA_GOC!$F:$F,"Xuất nội bộ từ téc",DATA_GOC!$B:$B,DATE($D$2,$B$2,Y$4)),0))</f>
        <v>0</v>
      </c>
      <c r="Z71" s="251">
        <f>IF(Z$4&gt;DAY(EOMONTH(DATE($D$2,$B$2,1),0)),"",IFERROR(SUMIFS(DATA_GOC!$H:$H,DATA_GOC!$A:$A,"BOM",DATA_GOC!$D:$D,$B71,DATA_GOC!$E:$E,"Téc 2",DATA_GOC!$F:$F,"Xuất nội bộ từ téc",DATA_GOC!$B:$B,DATE($D$2,$B$2,Z$4)),0))</f>
        <v>0</v>
      </c>
      <c r="AA71" s="251">
        <f>IF(AA$4&gt;DAY(EOMONTH(DATE($D$2,$B$2,1),0)),"",IFERROR(SUMIFS(DATA_GOC!$H:$H,DATA_GOC!$A:$A,"BOM",DATA_GOC!$D:$D,$B71,DATA_GOC!$E:$E,"Téc 2",DATA_GOC!$F:$F,"Xuất nội bộ từ téc",DATA_GOC!$B:$B,DATE($D$2,$B$2,AA$4)),0))</f>
        <v>0</v>
      </c>
      <c r="AB71" s="251">
        <f>IF(AB$4&gt;DAY(EOMONTH(DATE($D$2,$B$2,1),0)),"",IFERROR(SUMIFS(DATA_GOC!$H:$H,DATA_GOC!$A:$A,"BOM",DATA_GOC!$D:$D,$B71,DATA_GOC!$E:$E,"Téc 2",DATA_GOC!$F:$F,"Xuất nội bộ từ téc",DATA_GOC!$B:$B,DATE($D$2,$B$2,AB$4)),0))</f>
        <v>0</v>
      </c>
      <c r="AC71" s="251">
        <f>IF(AC$4&gt;DAY(EOMONTH(DATE($D$2,$B$2,1),0)),"",IFERROR(SUMIFS(DATA_GOC!$H:$H,DATA_GOC!$A:$A,"BOM",DATA_GOC!$D:$D,$B71,DATA_GOC!$E:$E,"Téc 2",DATA_GOC!$F:$F,"Xuất nội bộ từ téc",DATA_GOC!$B:$B,DATE($D$2,$B$2,AC$4)),0))</f>
        <v>0</v>
      </c>
      <c r="AD71" s="251">
        <f>IF(AD$4&gt;DAY(EOMONTH(DATE($D$2,$B$2,1),0)),"",IFERROR(SUMIFS(DATA_GOC!$H:$H,DATA_GOC!$A:$A,"BOM",DATA_GOC!$D:$D,$B71,DATA_GOC!$E:$E,"Téc 2",DATA_GOC!$F:$F,"Xuất nội bộ từ téc",DATA_GOC!$B:$B,DATE($D$2,$B$2,AD$4)),0))</f>
        <v>0</v>
      </c>
      <c r="AE71" s="251">
        <f>IF(AE$4&gt;DAY(EOMONTH(DATE($D$2,$B$2,1),0)),"",IFERROR(SUMIFS(DATA_GOC!$H:$H,DATA_GOC!$A:$A,"BOM",DATA_GOC!$D:$D,$B71,DATA_GOC!$E:$E,"Téc 2",DATA_GOC!$F:$F,"Xuất nội bộ từ téc",DATA_GOC!$B:$B,DATE($D$2,$B$2,AE$4)),0))</f>
        <v>0</v>
      </c>
      <c r="AF71" s="251">
        <f>IF(AF$4&gt;DAY(EOMONTH(DATE($D$2,$B$2,1),0)),"",IFERROR(SUMIFS(DATA_GOC!$H:$H,DATA_GOC!$A:$A,"BOM",DATA_GOC!$D:$D,$B71,DATA_GOC!$E:$E,"Téc 2",DATA_GOC!$F:$F,"Xuất nội bộ từ téc",DATA_GOC!$B:$B,DATE($D$2,$B$2,AF$4)),0))</f>
        <v>0</v>
      </c>
      <c r="AG71" s="251">
        <f>IF(AG$4&gt;DAY(EOMONTH(DATE($D$2,$B$2,1),0)),"",IFERROR(SUMIFS(DATA_GOC!$H:$H,DATA_GOC!$A:$A,"BOM",DATA_GOC!$D:$D,$B71,DATA_GOC!$E:$E,"Téc 2",DATA_GOC!$F:$F,"Xuất nội bộ từ téc",DATA_GOC!$B:$B,DATE($D$2,$B$2,AG$4)),0))</f>
        <v>0</v>
      </c>
      <c r="AH71" s="252">
        <f t="shared" si="4"/>
        <v>390</v>
      </c>
      <c r="AI71" s="241">
        <f>IFERROR(SUMIFS(DATA_GOC!$H:$H,DATA_GOC!$A:$A,"BOM",DATA_GOC!$D:$D,$B71,DATA_GOC!$E:$E,"Bơm ngoài/Hải Tân",DATA_GOC!$F:$F,"Bơm ngoài",DATA_GOC!$B:$B,"&gt;="&amp;DATE($D$2,$B$2,1),DATA_GOC!$B:$B,"&lt;="&amp;EOMONTH(DATE($D$2,$B$2,1),0)),0)</f>
        <v>0</v>
      </c>
      <c r="AJ71" s="242">
        <f>IF($B71="","",SUMIFS(TINH_TEC!$K$233:$K$9232,TINH_TEC!$H$233:$H$9232,$B71,TINH_TEC!$C$233:$C$9232,"Téc 2",TINH_TEC!$F$233:$F$9232,$B$2,TINH_TEC!$G$233:$G$9232,$D$2,TINH_TEC!$B$233:$B$9232,"Đã chốt"))</f>
        <v>0</v>
      </c>
      <c r="AK71" s="242">
        <f>IF($B71="","",SUMIFS(TINH_TEC!$J$233:$J$9232,TINH_TEC!$H$233:$H$9232,$B71,TINH_TEC!$C$233:$C$9232,"Téc 2",TINH_TEC!$F$233:$F$9232,$B$2,TINH_TEC!$G$233:$G$9232,$D$2,TINH_TEC!$B$233:$B$9232,"Đã chốt"))</f>
        <v>69.891</v>
      </c>
      <c r="AL71" s="242">
        <f t="shared" si="5"/>
        <v>459.891</v>
      </c>
    </row>
    <row r="72" ht="15.75" customHeight="1">
      <c r="A72" s="237">
        <f>IF($B72&lt;&gt;"",6,"")</f>
        <v>6</v>
      </c>
      <c r="B72" s="250" t="str">
        <f t="array" ref="B72">IFERROR(INDEX(DANH_MUC!$E:$E,9),"")</f>
        <v>28C01544</v>
      </c>
      <c r="C72" s="251">
        <f>IF(C$4&gt;DAY(EOMONTH(DATE($D$2,$B$2,1),0)),"",IFERROR(SUMIFS(DATA_GOC!$H:$H,DATA_GOC!$A:$A,"BOM",DATA_GOC!$D:$D,$B72,DATA_GOC!$E:$E,"Téc 2",DATA_GOC!$F:$F,"Xuất nội bộ từ téc",DATA_GOC!$B:$B,DATE($D$2,$B$2,C$4)),0))</f>
        <v>0</v>
      </c>
      <c r="D72" s="251">
        <f>IF(D$4&gt;DAY(EOMONTH(DATE($D$2,$B$2,1),0)),"",IFERROR(SUMIFS(DATA_GOC!$H:$H,DATA_GOC!$A:$A,"BOM",DATA_GOC!$D:$D,$B72,DATA_GOC!$E:$E,"Téc 2",DATA_GOC!$F:$F,"Xuất nội bộ từ téc",DATA_GOC!$B:$B,DATE($D$2,$B$2,D$4)),0))</f>
        <v>0</v>
      </c>
      <c r="E72" s="251">
        <f>IF(E$4&gt;DAY(EOMONTH(DATE($D$2,$B$2,1),0)),"",IFERROR(SUMIFS(DATA_GOC!$H:$H,DATA_GOC!$A:$A,"BOM",DATA_GOC!$D:$D,$B72,DATA_GOC!$E:$E,"Téc 2",DATA_GOC!$F:$F,"Xuất nội bộ từ téc",DATA_GOC!$B:$B,DATE($D$2,$B$2,E$4)),0))</f>
        <v>0</v>
      </c>
      <c r="F72" s="251">
        <f>IF(F$4&gt;DAY(EOMONTH(DATE($D$2,$B$2,1),0)),"",IFERROR(SUMIFS(DATA_GOC!$H:$H,DATA_GOC!$A:$A,"BOM",DATA_GOC!$D:$D,$B72,DATA_GOC!$E:$E,"Téc 2",DATA_GOC!$F:$F,"Xuất nội bộ từ téc",DATA_GOC!$B:$B,DATE($D$2,$B$2,F$4)),0))</f>
        <v>0</v>
      </c>
      <c r="G72" s="251">
        <f>IF(G$4&gt;DAY(EOMONTH(DATE($D$2,$B$2,1),0)),"",IFERROR(SUMIFS(DATA_GOC!$H:$H,DATA_GOC!$A:$A,"BOM",DATA_GOC!$D:$D,$B72,DATA_GOC!$E:$E,"Téc 2",DATA_GOC!$F:$F,"Xuất nội bộ từ téc",DATA_GOC!$B:$B,DATE($D$2,$B$2,G$4)),0))</f>
        <v>0</v>
      </c>
      <c r="H72" s="251">
        <f>IF(H$4&gt;DAY(EOMONTH(DATE($D$2,$B$2,1),0)),"",IFERROR(SUMIFS(DATA_GOC!$H:$H,DATA_GOC!$A:$A,"BOM",DATA_GOC!$D:$D,$B72,DATA_GOC!$E:$E,"Téc 2",DATA_GOC!$F:$F,"Xuất nội bộ từ téc",DATA_GOC!$B:$B,DATE($D$2,$B$2,H$4)),0))</f>
        <v>0</v>
      </c>
      <c r="I72" s="251">
        <f>IF(I$4&gt;DAY(EOMONTH(DATE($D$2,$B$2,1),0)),"",IFERROR(SUMIFS(DATA_GOC!$H:$H,DATA_GOC!$A:$A,"BOM",DATA_GOC!$D:$D,$B72,DATA_GOC!$E:$E,"Téc 2",DATA_GOC!$F:$F,"Xuất nội bộ từ téc",DATA_GOC!$B:$B,DATE($D$2,$B$2,I$4)),0))</f>
        <v>0</v>
      </c>
      <c r="J72" s="251">
        <f>IF(J$4&gt;DAY(EOMONTH(DATE($D$2,$B$2,1),0)),"",IFERROR(SUMIFS(DATA_GOC!$H:$H,DATA_GOC!$A:$A,"BOM",DATA_GOC!$D:$D,$B72,DATA_GOC!$E:$E,"Téc 2",DATA_GOC!$F:$F,"Xuất nội bộ từ téc",DATA_GOC!$B:$B,DATE($D$2,$B$2,J$4)),0))</f>
        <v>0</v>
      </c>
      <c r="K72" s="251">
        <f>IF(K$4&gt;DAY(EOMONTH(DATE($D$2,$B$2,1),0)),"",IFERROR(SUMIFS(DATA_GOC!$H:$H,DATA_GOC!$A:$A,"BOM",DATA_GOC!$D:$D,$B72,DATA_GOC!$E:$E,"Téc 2",DATA_GOC!$F:$F,"Xuất nội bộ từ téc",DATA_GOC!$B:$B,DATE($D$2,$B$2,K$4)),0))</f>
        <v>0</v>
      </c>
      <c r="L72" s="251">
        <f>IF(L$4&gt;DAY(EOMONTH(DATE($D$2,$B$2,1),0)),"",IFERROR(SUMIFS(DATA_GOC!$H:$H,DATA_GOC!$A:$A,"BOM",DATA_GOC!$D:$D,$B72,DATA_GOC!$E:$E,"Téc 2",DATA_GOC!$F:$F,"Xuất nội bộ từ téc",DATA_GOC!$B:$B,DATE($D$2,$B$2,L$4)),0))</f>
        <v>0</v>
      </c>
      <c r="M72" s="251">
        <f>IF(M$4&gt;DAY(EOMONTH(DATE($D$2,$B$2,1),0)),"",IFERROR(SUMIFS(DATA_GOC!$H:$H,DATA_GOC!$A:$A,"BOM",DATA_GOC!$D:$D,$B72,DATA_GOC!$E:$E,"Téc 2",DATA_GOC!$F:$F,"Xuất nội bộ từ téc",DATA_GOC!$B:$B,DATE($D$2,$B$2,M$4)),0))</f>
        <v>0</v>
      </c>
      <c r="N72" s="251">
        <f>IF(N$4&gt;DAY(EOMONTH(DATE($D$2,$B$2,1),0)),"",IFERROR(SUMIFS(DATA_GOC!$H:$H,DATA_GOC!$A:$A,"BOM",DATA_GOC!$D:$D,$B72,DATA_GOC!$E:$E,"Téc 2",DATA_GOC!$F:$F,"Xuất nội bộ từ téc",DATA_GOC!$B:$B,DATE($D$2,$B$2,N$4)),0))</f>
        <v>0</v>
      </c>
      <c r="O72" s="251">
        <f>IF(O$4&gt;DAY(EOMONTH(DATE($D$2,$B$2,1),0)),"",IFERROR(SUMIFS(DATA_GOC!$H:$H,DATA_GOC!$A:$A,"BOM",DATA_GOC!$D:$D,$B72,DATA_GOC!$E:$E,"Téc 2",DATA_GOC!$F:$F,"Xuất nội bộ từ téc",DATA_GOC!$B:$B,DATE($D$2,$B$2,O$4)),0))</f>
        <v>0</v>
      </c>
      <c r="P72" s="251">
        <f>IF(P$4&gt;DAY(EOMONTH(DATE($D$2,$B$2,1),0)),"",IFERROR(SUMIFS(DATA_GOC!$H:$H,DATA_GOC!$A:$A,"BOM",DATA_GOC!$D:$D,$B72,DATA_GOC!$E:$E,"Téc 2",DATA_GOC!$F:$F,"Xuất nội bộ từ téc",DATA_GOC!$B:$B,DATE($D$2,$B$2,P$4)),0))</f>
        <v>0</v>
      </c>
      <c r="Q72" s="251">
        <f>IF(Q$4&gt;DAY(EOMONTH(DATE($D$2,$B$2,1),0)),"",IFERROR(SUMIFS(DATA_GOC!$H:$H,DATA_GOC!$A:$A,"BOM",DATA_GOC!$D:$D,$B72,DATA_GOC!$E:$E,"Téc 2",DATA_GOC!$F:$F,"Xuất nội bộ từ téc",DATA_GOC!$B:$B,DATE($D$2,$B$2,Q$4)),0))</f>
        <v>0</v>
      </c>
      <c r="R72" s="251">
        <f>IF(R$4&gt;DAY(EOMONTH(DATE($D$2,$B$2,1),0)),"",IFERROR(SUMIFS(DATA_GOC!$H:$H,DATA_GOC!$A:$A,"BOM",DATA_GOC!$D:$D,$B72,DATA_GOC!$E:$E,"Téc 2",DATA_GOC!$F:$F,"Xuất nội bộ từ téc",DATA_GOC!$B:$B,DATE($D$2,$B$2,R$4)),0))</f>
        <v>0</v>
      </c>
      <c r="S72" s="251">
        <f>IF(S$4&gt;DAY(EOMONTH(DATE($D$2,$B$2,1),0)),"",IFERROR(SUMIFS(DATA_GOC!$H:$H,DATA_GOC!$A:$A,"BOM",DATA_GOC!$D:$D,$B72,DATA_GOC!$E:$E,"Téc 2",DATA_GOC!$F:$F,"Xuất nội bộ từ téc",DATA_GOC!$B:$B,DATE($D$2,$B$2,S$4)),0))</f>
        <v>0</v>
      </c>
      <c r="T72" s="251">
        <f>IF(T$4&gt;DAY(EOMONTH(DATE($D$2,$B$2,1),0)),"",IFERROR(SUMIFS(DATA_GOC!$H:$H,DATA_GOC!$A:$A,"BOM",DATA_GOC!$D:$D,$B72,DATA_GOC!$E:$E,"Téc 2",DATA_GOC!$F:$F,"Xuất nội bộ từ téc",DATA_GOC!$B:$B,DATE($D$2,$B$2,T$4)),0))</f>
        <v>0</v>
      </c>
      <c r="U72" s="251">
        <f>IF(U$4&gt;DAY(EOMONTH(DATE($D$2,$B$2,1),0)),"",IFERROR(SUMIFS(DATA_GOC!$H:$H,DATA_GOC!$A:$A,"BOM",DATA_GOC!$D:$D,$B72,DATA_GOC!$E:$E,"Téc 2",DATA_GOC!$F:$F,"Xuất nội bộ từ téc",DATA_GOC!$B:$B,DATE($D$2,$B$2,U$4)),0))</f>
        <v>0</v>
      </c>
      <c r="V72" s="251">
        <f>IF(V$4&gt;DAY(EOMONTH(DATE($D$2,$B$2,1),0)),"",IFERROR(SUMIFS(DATA_GOC!$H:$H,DATA_GOC!$A:$A,"BOM",DATA_GOC!$D:$D,$B72,DATA_GOC!$E:$E,"Téc 2",DATA_GOC!$F:$F,"Xuất nội bộ từ téc",DATA_GOC!$B:$B,DATE($D$2,$B$2,V$4)),0))</f>
        <v>0</v>
      </c>
      <c r="W72" s="251">
        <f>IF(W$4&gt;DAY(EOMONTH(DATE($D$2,$B$2,1),0)),"",IFERROR(SUMIFS(DATA_GOC!$H:$H,DATA_GOC!$A:$A,"BOM",DATA_GOC!$D:$D,$B72,DATA_GOC!$E:$E,"Téc 2",DATA_GOC!$F:$F,"Xuất nội bộ từ téc",DATA_GOC!$B:$B,DATE($D$2,$B$2,W$4)),0))</f>
        <v>0</v>
      </c>
      <c r="X72" s="251">
        <f>IF(X$4&gt;DAY(EOMONTH(DATE($D$2,$B$2,1),0)),"",IFERROR(SUMIFS(DATA_GOC!$H:$H,DATA_GOC!$A:$A,"BOM",DATA_GOC!$D:$D,$B72,DATA_GOC!$E:$E,"Téc 2",DATA_GOC!$F:$F,"Xuất nội bộ từ téc",DATA_GOC!$B:$B,DATE($D$2,$B$2,X$4)),0))</f>
        <v>0</v>
      </c>
      <c r="Y72" s="251">
        <f>IF(Y$4&gt;DAY(EOMONTH(DATE($D$2,$B$2,1),0)),"",IFERROR(SUMIFS(DATA_GOC!$H:$H,DATA_GOC!$A:$A,"BOM",DATA_GOC!$D:$D,$B72,DATA_GOC!$E:$E,"Téc 2",DATA_GOC!$F:$F,"Xuất nội bộ từ téc",DATA_GOC!$B:$B,DATE($D$2,$B$2,Y$4)),0))</f>
        <v>0</v>
      </c>
      <c r="Z72" s="251">
        <f>IF(Z$4&gt;DAY(EOMONTH(DATE($D$2,$B$2,1),0)),"",IFERROR(SUMIFS(DATA_GOC!$H:$H,DATA_GOC!$A:$A,"BOM",DATA_GOC!$D:$D,$B72,DATA_GOC!$E:$E,"Téc 2",DATA_GOC!$F:$F,"Xuất nội bộ từ téc",DATA_GOC!$B:$B,DATE($D$2,$B$2,Z$4)),0))</f>
        <v>0</v>
      </c>
      <c r="AA72" s="251">
        <f>IF(AA$4&gt;DAY(EOMONTH(DATE($D$2,$B$2,1),0)),"",IFERROR(SUMIFS(DATA_GOC!$H:$H,DATA_GOC!$A:$A,"BOM",DATA_GOC!$D:$D,$B72,DATA_GOC!$E:$E,"Téc 2",DATA_GOC!$F:$F,"Xuất nội bộ từ téc",DATA_GOC!$B:$B,DATE($D$2,$B$2,AA$4)),0))</f>
        <v>0</v>
      </c>
      <c r="AB72" s="251">
        <f>IF(AB$4&gt;DAY(EOMONTH(DATE($D$2,$B$2,1),0)),"",IFERROR(SUMIFS(DATA_GOC!$H:$H,DATA_GOC!$A:$A,"BOM",DATA_GOC!$D:$D,$B72,DATA_GOC!$E:$E,"Téc 2",DATA_GOC!$F:$F,"Xuất nội bộ từ téc",DATA_GOC!$B:$B,DATE($D$2,$B$2,AB$4)),0))</f>
        <v>0</v>
      </c>
      <c r="AC72" s="251">
        <f>IF(AC$4&gt;DAY(EOMONTH(DATE($D$2,$B$2,1),0)),"",IFERROR(SUMIFS(DATA_GOC!$H:$H,DATA_GOC!$A:$A,"BOM",DATA_GOC!$D:$D,$B72,DATA_GOC!$E:$E,"Téc 2",DATA_GOC!$F:$F,"Xuất nội bộ từ téc",DATA_GOC!$B:$B,DATE($D$2,$B$2,AC$4)),0))</f>
        <v>0</v>
      </c>
      <c r="AD72" s="251">
        <f>IF(AD$4&gt;DAY(EOMONTH(DATE($D$2,$B$2,1),0)),"",IFERROR(SUMIFS(DATA_GOC!$H:$H,DATA_GOC!$A:$A,"BOM",DATA_GOC!$D:$D,$B72,DATA_GOC!$E:$E,"Téc 2",DATA_GOC!$F:$F,"Xuất nội bộ từ téc",DATA_GOC!$B:$B,DATE($D$2,$B$2,AD$4)),0))</f>
        <v>0</v>
      </c>
      <c r="AE72" s="251">
        <f>IF(AE$4&gt;DAY(EOMONTH(DATE($D$2,$B$2,1),0)),"",IFERROR(SUMIFS(DATA_GOC!$H:$H,DATA_GOC!$A:$A,"BOM",DATA_GOC!$D:$D,$B72,DATA_GOC!$E:$E,"Téc 2",DATA_GOC!$F:$F,"Xuất nội bộ từ téc",DATA_GOC!$B:$B,DATE($D$2,$B$2,AE$4)),0))</f>
        <v>0</v>
      </c>
      <c r="AF72" s="251">
        <f>IF(AF$4&gt;DAY(EOMONTH(DATE($D$2,$B$2,1),0)),"",IFERROR(SUMIFS(DATA_GOC!$H:$H,DATA_GOC!$A:$A,"BOM",DATA_GOC!$D:$D,$B72,DATA_GOC!$E:$E,"Téc 2",DATA_GOC!$F:$F,"Xuất nội bộ từ téc",DATA_GOC!$B:$B,DATE($D$2,$B$2,AF$4)),0))</f>
        <v>0</v>
      </c>
      <c r="AG72" s="251">
        <f>IF(AG$4&gt;DAY(EOMONTH(DATE($D$2,$B$2,1),0)),"",IFERROR(SUMIFS(DATA_GOC!$H:$H,DATA_GOC!$A:$A,"BOM",DATA_GOC!$D:$D,$B72,DATA_GOC!$E:$E,"Téc 2",DATA_GOC!$F:$F,"Xuất nội bộ từ téc",DATA_GOC!$B:$B,DATE($D$2,$B$2,AG$4)),0))</f>
        <v>0</v>
      </c>
      <c r="AH72" s="252">
        <f t="shared" si="4"/>
        <v>0</v>
      </c>
      <c r="AI72" s="241">
        <f>IFERROR(SUMIFS(DATA_GOC!$H:$H,DATA_GOC!$A:$A,"BOM",DATA_GOC!$D:$D,$B72,DATA_GOC!$E:$E,"Bơm ngoài/Hải Tân",DATA_GOC!$F:$F,"Bơm ngoài",DATA_GOC!$B:$B,"&gt;="&amp;DATE($D$2,$B$2,1),DATA_GOC!$B:$B,"&lt;="&amp;EOMONTH(DATE($D$2,$B$2,1),0)),0)</f>
        <v>0</v>
      </c>
      <c r="AJ72" s="242">
        <f>IF($B72="","",SUMIFS(TINH_TEC!$K$233:$K$9232,TINH_TEC!$H$233:$H$9232,$B72,TINH_TEC!$C$233:$C$9232,"Téc 2",TINH_TEC!$F$233:$F$9232,$B$2,TINH_TEC!$G$233:$G$9232,$D$2,TINH_TEC!$B$233:$B$9232,"Đã chốt"))</f>
        <v>0</v>
      </c>
      <c r="AK72" s="242">
        <f>IF($B72="","",SUMIFS(TINH_TEC!$J$233:$J$9232,TINH_TEC!$H$233:$H$9232,$B72,TINH_TEC!$C$233:$C$9232,"Téc 2",TINH_TEC!$F$233:$F$9232,$B$2,TINH_TEC!$G$233:$G$9232,$D$2,TINH_TEC!$B$233:$B$9232,"Đã chốt"))</f>
        <v>2.504</v>
      </c>
      <c r="AL72" s="242">
        <f t="shared" si="5"/>
        <v>2.504</v>
      </c>
    </row>
    <row r="73" ht="15.75" customHeight="1">
      <c r="A73" s="237">
        <f>IF($B73&lt;&gt;"",7,"")</f>
        <v>7</v>
      </c>
      <c r="B73" s="250" t="str">
        <f t="array" ref="B73">IFERROR(INDEX(DANH_MUC!$E:$E,10),"")</f>
        <v>28C01622</v>
      </c>
      <c r="C73" s="251">
        <f>IF(C$4&gt;DAY(EOMONTH(DATE($D$2,$B$2,1),0)),"",IFERROR(SUMIFS(DATA_GOC!$H:$H,DATA_GOC!$A:$A,"BOM",DATA_GOC!$D:$D,$B73,DATA_GOC!$E:$E,"Téc 2",DATA_GOC!$F:$F,"Xuất nội bộ từ téc",DATA_GOC!$B:$B,DATE($D$2,$B$2,C$4)),0))</f>
        <v>0</v>
      </c>
      <c r="D73" s="251">
        <f>IF(D$4&gt;DAY(EOMONTH(DATE($D$2,$B$2,1),0)),"",IFERROR(SUMIFS(DATA_GOC!$H:$H,DATA_GOC!$A:$A,"BOM",DATA_GOC!$D:$D,$B73,DATA_GOC!$E:$E,"Téc 2",DATA_GOC!$F:$F,"Xuất nội bộ từ téc",DATA_GOC!$B:$B,DATE($D$2,$B$2,D$4)),0))</f>
        <v>0</v>
      </c>
      <c r="E73" s="251">
        <f>IF(E$4&gt;DAY(EOMONTH(DATE($D$2,$B$2,1),0)),"",IFERROR(SUMIFS(DATA_GOC!$H:$H,DATA_GOC!$A:$A,"BOM",DATA_GOC!$D:$D,$B73,DATA_GOC!$E:$E,"Téc 2",DATA_GOC!$F:$F,"Xuất nội bộ từ téc",DATA_GOC!$B:$B,DATE($D$2,$B$2,E$4)),0))</f>
        <v>390</v>
      </c>
      <c r="F73" s="251">
        <f>IF(F$4&gt;DAY(EOMONTH(DATE($D$2,$B$2,1),0)),"",IFERROR(SUMIFS(DATA_GOC!$H:$H,DATA_GOC!$A:$A,"BOM",DATA_GOC!$D:$D,$B73,DATA_GOC!$E:$E,"Téc 2",DATA_GOC!$F:$F,"Xuất nội bộ từ téc",DATA_GOC!$B:$B,DATE($D$2,$B$2,F$4)),0))</f>
        <v>0</v>
      </c>
      <c r="G73" s="251">
        <f>IF(G$4&gt;DAY(EOMONTH(DATE($D$2,$B$2,1),0)),"",IFERROR(SUMIFS(DATA_GOC!$H:$H,DATA_GOC!$A:$A,"BOM",DATA_GOC!$D:$D,$B73,DATA_GOC!$E:$E,"Téc 2",DATA_GOC!$F:$F,"Xuất nội bộ từ téc",DATA_GOC!$B:$B,DATE($D$2,$B$2,G$4)),0))</f>
        <v>0</v>
      </c>
      <c r="H73" s="251">
        <f>IF(H$4&gt;DAY(EOMONTH(DATE($D$2,$B$2,1),0)),"",IFERROR(SUMIFS(DATA_GOC!$H:$H,DATA_GOC!$A:$A,"BOM",DATA_GOC!$D:$D,$B73,DATA_GOC!$E:$E,"Téc 2",DATA_GOC!$F:$F,"Xuất nội bộ từ téc",DATA_GOC!$B:$B,DATE($D$2,$B$2,H$4)),0))</f>
        <v>0</v>
      </c>
      <c r="I73" s="251">
        <f>IF(I$4&gt;DAY(EOMONTH(DATE($D$2,$B$2,1),0)),"",IFERROR(SUMIFS(DATA_GOC!$H:$H,DATA_GOC!$A:$A,"BOM",DATA_GOC!$D:$D,$B73,DATA_GOC!$E:$E,"Téc 2",DATA_GOC!$F:$F,"Xuất nội bộ từ téc",DATA_GOC!$B:$B,DATE($D$2,$B$2,I$4)),0))</f>
        <v>0</v>
      </c>
      <c r="J73" s="251">
        <f>IF(J$4&gt;DAY(EOMONTH(DATE($D$2,$B$2,1),0)),"",IFERROR(SUMIFS(DATA_GOC!$H:$H,DATA_GOC!$A:$A,"BOM",DATA_GOC!$D:$D,$B73,DATA_GOC!$E:$E,"Téc 2",DATA_GOC!$F:$F,"Xuất nội bộ từ téc",DATA_GOC!$B:$B,DATE($D$2,$B$2,J$4)),0))</f>
        <v>0</v>
      </c>
      <c r="K73" s="251">
        <f>IF(K$4&gt;DAY(EOMONTH(DATE($D$2,$B$2,1),0)),"",IFERROR(SUMIFS(DATA_GOC!$H:$H,DATA_GOC!$A:$A,"BOM",DATA_GOC!$D:$D,$B73,DATA_GOC!$E:$E,"Téc 2",DATA_GOC!$F:$F,"Xuất nội bộ từ téc",DATA_GOC!$B:$B,DATE($D$2,$B$2,K$4)),0))</f>
        <v>0</v>
      </c>
      <c r="L73" s="251">
        <f>IF(L$4&gt;DAY(EOMONTH(DATE($D$2,$B$2,1),0)),"",IFERROR(SUMIFS(DATA_GOC!$H:$H,DATA_GOC!$A:$A,"BOM",DATA_GOC!$D:$D,$B73,DATA_GOC!$E:$E,"Téc 2",DATA_GOC!$F:$F,"Xuất nội bộ từ téc",DATA_GOC!$B:$B,DATE($D$2,$B$2,L$4)),0))</f>
        <v>0</v>
      </c>
      <c r="M73" s="251">
        <f>IF(M$4&gt;DAY(EOMONTH(DATE($D$2,$B$2,1),0)),"",IFERROR(SUMIFS(DATA_GOC!$H:$H,DATA_GOC!$A:$A,"BOM",DATA_GOC!$D:$D,$B73,DATA_GOC!$E:$E,"Téc 2",DATA_GOC!$F:$F,"Xuất nội bộ từ téc",DATA_GOC!$B:$B,DATE($D$2,$B$2,M$4)),0))</f>
        <v>0</v>
      </c>
      <c r="N73" s="251">
        <f>IF(N$4&gt;DAY(EOMONTH(DATE($D$2,$B$2,1),0)),"",IFERROR(SUMIFS(DATA_GOC!$H:$H,DATA_GOC!$A:$A,"BOM",DATA_GOC!$D:$D,$B73,DATA_GOC!$E:$E,"Téc 2",DATA_GOC!$F:$F,"Xuất nội bộ từ téc",DATA_GOC!$B:$B,DATE($D$2,$B$2,N$4)),0))</f>
        <v>0</v>
      </c>
      <c r="O73" s="251">
        <f>IF(O$4&gt;DAY(EOMONTH(DATE($D$2,$B$2,1),0)),"",IFERROR(SUMIFS(DATA_GOC!$H:$H,DATA_GOC!$A:$A,"BOM",DATA_GOC!$D:$D,$B73,DATA_GOC!$E:$E,"Téc 2",DATA_GOC!$F:$F,"Xuất nội bộ từ téc",DATA_GOC!$B:$B,DATE($D$2,$B$2,O$4)),0))</f>
        <v>0</v>
      </c>
      <c r="P73" s="251">
        <f>IF(P$4&gt;DAY(EOMONTH(DATE($D$2,$B$2,1),0)),"",IFERROR(SUMIFS(DATA_GOC!$H:$H,DATA_GOC!$A:$A,"BOM",DATA_GOC!$D:$D,$B73,DATA_GOC!$E:$E,"Téc 2",DATA_GOC!$F:$F,"Xuất nội bộ từ téc",DATA_GOC!$B:$B,DATE($D$2,$B$2,P$4)),0))</f>
        <v>0</v>
      </c>
      <c r="Q73" s="251">
        <f>IF(Q$4&gt;DAY(EOMONTH(DATE($D$2,$B$2,1),0)),"",IFERROR(SUMIFS(DATA_GOC!$H:$H,DATA_GOC!$A:$A,"BOM",DATA_GOC!$D:$D,$B73,DATA_GOC!$E:$E,"Téc 2",DATA_GOC!$F:$F,"Xuất nội bộ từ téc",DATA_GOC!$B:$B,DATE($D$2,$B$2,Q$4)),0))</f>
        <v>0</v>
      </c>
      <c r="R73" s="251">
        <f>IF(R$4&gt;DAY(EOMONTH(DATE($D$2,$B$2,1),0)),"",IFERROR(SUMIFS(DATA_GOC!$H:$H,DATA_GOC!$A:$A,"BOM",DATA_GOC!$D:$D,$B73,DATA_GOC!$E:$E,"Téc 2",DATA_GOC!$F:$F,"Xuất nội bộ từ téc",DATA_GOC!$B:$B,DATE($D$2,$B$2,R$4)),0))</f>
        <v>0</v>
      </c>
      <c r="S73" s="251">
        <f>IF(S$4&gt;DAY(EOMONTH(DATE($D$2,$B$2,1),0)),"",IFERROR(SUMIFS(DATA_GOC!$H:$H,DATA_GOC!$A:$A,"BOM",DATA_GOC!$D:$D,$B73,DATA_GOC!$E:$E,"Téc 2",DATA_GOC!$F:$F,"Xuất nội bộ từ téc",DATA_GOC!$B:$B,DATE($D$2,$B$2,S$4)),0))</f>
        <v>0</v>
      </c>
      <c r="T73" s="251">
        <f>IF(T$4&gt;DAY(EOMONTH(DATE($D$2,$B$2,1),0)),"",IFERROR(SUMIFS(DATA_GOC!$H:$H,DATA_GOC!$A:$A,"BOM",DATA_GOC!$D:$D,$B73,DATA_GOC!$E:$E,"Téc 2",DATA_GOC!$F:$F,"Xuất nội bộ từ téc",DATA_GOC!$B:$B,DATE($D$2,$B$2,T$4)),0))</f>
        <v>0</v>
      </c>
      <c r="U73" s="251">
        <f>IF(U$4&gt;DAY(EOMONTH(DATE($D$2,$B$2,1),0)),"",IFERROR(SUMIFS(DATA_GOC!$H:$H,DATA_GOC!$A:$A,"BOM",DATA_GOC!$D:$D,$B73,DATA_GOC!$E:$E,"Téc 2",DATA_GOC!$F:$F,"Xuất nội bộ từ téc",DATA_GOC!$B:$B,DATE($D$2,$B$2,U$4)),0))</f>
        <v>0</v>
      </c>
      <c r="V73" s="251">
        <f>IF(V$4&gt;DAY(EOMONTH(DATE($D$2,$B$2,1),0)),"",IFERROR(SUMIFS(DATA_GOC!$H:$H,DATA_GOC!$A:$A,"BOM",DATA_GOC!$D:$D,$B73,DATA_GOC!$E:$E,"Téc 2",DATA_GOC!$F:$F,"Xuất nội bộ từ téc",DATA_GOC!$B:$B,DATE($D$2,$B$2,V$4)),0))</f>
        <v>0</v>
      </c>
      <c r="W73" s="251">
        <f>IF(W$4&gt;DAY(EOMONTH(DATE($D$2,$B$2,1),0)),"",IFERROR(SUMIFS(DATA_GOC!$H:$H,DATA_GOC!$A:$A,"BOM",DATA_GOC!$D:$D,$B73,DATA_GOC!$E:$E,"Téc 2",DATA_GOC!$F:$F,"Xuất nội bộ từ téc",DATA_GOC!$B:$B,DATE($D$2,$B$2,W$4)),0))</f>
        <v>0</v>
      </c>
      <c r="X73" s="251">
        <f>IF(X$4&gt;DAY(EOMONTH(DATE($D$2,$B$2,1),0)),"",IFERROR(SUMIFS(DATA_GOC!$H:$H,DATA_GOC!$A:$A,"BOM",DATA_GOC!$D:$D,$B73,DATA_GOC!$E:$E,"Téc 2",DATA_GOC!$F:$F,"Xuất nội bộ từ téc",DATA_GOC!$B:$B,DATE($D$2,$B$2,X$4)),0))</f>
        <v>0</v>
      </c>
      <c r="Y73" s="251">
        <f>IF(Y$4&gt;DAY(EOMONTH(DATE($D$2,$B$2,1),0)),"",IFERROR(SUMIFS(DATA_GOC!$H:$H,DATA_GOC!$A:$A,"BOM",DATA_GOC!$D:$D,$B73,DATA_GOC!$E:$E,"Téc 2",DATA_GOC!$F:$F,"Xuất nội bộ từ téc",DATA_GOC!$B:$B,DATE($D$2,$B$2,Y$4)),0))</f>
        <v>0</v>
      </c>
      <c r="Z73" s="251">
        <f>IF(Z$4&gt;DAY(EOMONTH(DATE($D$2,$B$2,1),0)),"",IFERROR(SUMIFS(DATA_GOC!$H:$H,DATA_GOC!$A:$A,"BOM",DATA_GOC!$D:$D,$B73,DATA_GOC!$E:$E,"Téc 2",DATA_GOC!$F:$F,"Xuất nội bộ từ téc",DATA_GOC!$B:$B,DATE($D$2,$B$2,Z$4)),0))</f>
        <v>0</v>
      </c>
      <c r="AA73" s="251">
        <f>IF(AA$4&gt;DAY(EOMONTH(DATE($D$2,$B$2,1),0)),"",IFERROR(SUMIFS(DATA_GOC!$H:$H,DATA_GOC!$A:$A,"BOM",DATA_GOC!$D:$D,$B73,DATA_GOC!$E:$E,"Téc 2",DATA_GOC!$F:$F,"Xuất nội bộ từ téc",DATA_GOC!$B:$B,DATE($D$2,$B$2,AA$4)),0))</f>
        <v>0</v>
      </c>
      <c r="AB73" s="251">
        <f>IF(AB$4&gt;DAY(EOMONTH(DATE($D$2,$B$2,1),0)),"",IFERROR(SUMIFS(DATA_GOC!$H:$H,DATA_GOC!$A:$A,"BOM",DATA_GOC!$D:$D,$B73,DATA_GOC!$E:$E,"Téc 2",DATA_GOC!$F:$F,"Xuất nội bộ từ téc",DATA_GOC!$B:$B,DATE($D$2,$B$2,AB$4)),0))</f>
        <v>0</v>
      </c>
      <c r="AC73" s="251">
        <f>IF(AC$4&gt;DAY(EOMONTH(DATE($D$2,$B$2,1),0)),"",IFERROR(SUMIFS(DATA_GOC!$H:$H,DATA_GOC!$A:$A,"BOM",DATA_GOC!$D:$D,$B73,DATA_GOC!$E:$E,"Téc 2",DATA_GOC!$F:$F,"Xuất nội bộ từ téc",DATA_GOC!$B:$B,DATE($D$2,$B$2,AC$4)),0))</f>
        <v>0</v>
      </c>
      <c r="AD73" s="251">
        <f>IF(AD$4&gt;DAY(EOMONTH(DATE($D$2,$B$2,1),0)),"",IFERROR(SUMIFS(DATA_GOC!$H:$H,DATA_GOC!$A:$A,"BOM",DATA_GOC!$D:$D,$B73,DATA_GOC!$E:$E,"Téc 2",DATA_GOC!$F:$F,"Xuất nội bộ từ téc",DATA_GOC!$B:$B,DATE($D$2,$B$2,AD$4)),0))</f>
        <v>0</v>
      </c>
      <c r="AE73" s="251">
        <f>IF(AE$4&gt;DAY(EOMONTH(DATE($D$2,$B$2,1),0)),"",IFERROR(SUMIFS(DATA_GOC!$H:$H,DATA_GOC!$A:$A,"BOM",DATA_GOC!$D:$D,$B73,DATA_GOC!$E:$E,"Téc 2",DATA_GOC!$F:$F,"Xuất nội bộ từ téc",DATA_GOC!$B:$B,DATE($D$2,$B$2,AE$4)),0))</f>
        <v>0</v>
      </c>
      <c r="AF73" s="251">
        <f>IF(AF$4&gt;DAY(EOMONTH(DATE($D$2,$B$2,1),0)),"",IFERROR(SUMIFS(DATA_GOC!$H:$H,DATA_GOC!$A:$A,"BOM",DATA_GOC!$D:$D,$B73,DATA_GOC!$E:$E,"Téc 2",DATA_GOC!$F:$F,"Xuất nội bộ từ téc",DATA_GOC!$B:$B,DATE($D$2,$B$2,AF$4)),0))</f>
        <v>0</v>
      </c>
      <c r="AG73" s="251">
        <f>IF(AG$4&gt;DAY(EOMONTH(DATE($D$2,$B$2,1),0)),"",IFERROR(SUMIFS(DATA_GOC!$H:$H,DATA_GOC!$A:$A,"BOM",DATA_GOC!$D:$D,$B73,DATA_GOC!$E:$E,"Téc 2",DATA_GOC!$F:$F,"Xuất nội bộ từ téc",DATA_GOC!$B:$B,DATE($D$2,$B$2,AG$4)),0))</f>
        <v>0</v>
      </c>
      <c r="AH73" s="252">
        <f t="shared" si="4"/>
        <v>390</v>
      </c>
      <c r="AI73" s="241">
        <f>IFERROR(SUMIFS(DATA_GOC!$H:$H,DATA_GOC!$A:$A,"BOM",DATA_GOC!$D:$D,$B73,DATA_GOC!$E:$E,"Bơm ngoài/Hải Tân",DATA_GOC!$F:$F,"Bơm ngoài",DATA_GOC!$B:$B,"&gt;="&amp;DATE($D$2,$B$2,1),DATA_GOC!$B:$B,"&lt;="&amp;EOMONTH(DATE($D$2,$B$2,1),0)),0)</f>
        <v>0</v>
      </c>
      <c r="AJ73" s="242">
        <f>IF($B73="","",SUMIFS(TINH_TEC!$K$233:$K$9232,TINH_TEC!$H$233:$H$9232,$B73,TINH_TEC!$C$233:$C$9232,"Téc 2",TINH_TEC!$F$233:$F$9232,$B$2,TINH_TEC!$G$233:$G$9232,$D$2,TINH_TEC!$B$233:$B$9232,"Đã chốt"))</f>
        <v>0</v>
      </c>
      <c r="AK73" s="242">
        <f>IF($B73="","",SUMIFS(TINH_TEC!$J$233:$J$9232,TINH_TEC!$H$233:$H$9232,$B73,TINH_TEC!$C$233:$C$9232,"Téc 2",TINH_TEC!$F$233:$F$9232,$B$2,TINH_TEC!$G$233:$G$9232,$D$2,TINH_TEC!$B$233:$B$9232,"Đã chốt"))</f>
        <v>59.99</v>
      </c>
      <c r="AL73" s="242">
        <f t="shared" si="5"/>
        <v>449.99</v>
      </c>
    </row>
    <row r="74" ht="15.75" customHeight="1">
      <c r="A74" s="237">
        <f>IF($B74&lt;&gt;"",8,"")</f>
        <v>8</v>
      </c>
      <c r="B74" s="250" t="str">
        <f t="array" ref="B74">IFERROR(INDEX(DANH_MUC!$E:$E,11),"")</f>
        <v>28C01647</v>
      </c>
      <c r="C74" s="251">
        <f>IF(C$4&gt;DAY(EOMONTH(DATE($D$2,$B$2,1),0)),"",IFERROR(SUMIFS(DATA_GOC!$H:$H,DATA_GOC!$A:$A,"BOM",DATA_GOC!$D:$D,$B74,DATA_GOC!$E:$E,"Téc 2",DATA_GOC!$F:$F,"Xuất nội bộ từ téc",DATA_GOC!$B:$B,DATE($D$2,$B$2,C$4)),0))</f>
        <v>0</v>
      </c>
      <c r="D74" s="251">
        <f>IF(D$4&gt;DAY(EOMONTH(DATE($D$2,$B$2,1),0)),"",IFERROR(SUMIFS(DATA_GOC!$H:$H,DATA_GOC!$A:$A,"BOM",DATA_GOC!$D:$D,$B74,DATA_GOC!$E:$E,"Téc 2",DATA_GOC!$F:$F,"Xuất nội bộ từ téc",DATA_GOC!$B:$B,DATE($D$2,$B$2,D$4)),0))</f>
        <v>0</v>
      </c>
      <c r="E74" s="251">
        <f>IF(E$4&gt;DAY(EOMONTH(DATE($D$2,$B$2,1),0)),"",IFERROR(SUMIFS(DATA_GOC!$H:$H,DATA_GOC!$A:$A,"BOM",DATA_GOC!$D:$D,$B74,DATA_GOC!$E:$E,"Téc 2",DATA_GOC!$F:$F,"Xuất nội bộ từ téc",DATA_GOC!$B:$B,DATE($D$2,$B$2,E$4)),0))</f>
        <v>0</v>
      </c>
      <c r="F74" s="251">
        <f>IF(F$4&gt;DAY(EOMONTH(DATE($D$2,$B$2,1),0)),"",IFERROR(SUMIFS(DATA_GOC!$H:$H,DATA_GOC!$A:$A,"BOM",DATA_GOC!$D:$D,$B74,DATA_GOC!$E:$E,"Téc 2",DATA_GOC!$F:$F,"Xuất nội bộ từ téc",DATA_GOC!$B:$B,DATE($D$2,$B$2,F$4)),0))</f>
        <v>0</v>
      </c>
      <c r="G74" s="251">
        <f>IF(G$4&gt;DAY(EOMONTH(DATE($D$2,$B$2,1),0)),"",IFERROR(SUMIFS(DATA_GOC!$H:$H,DATA_GOC!$A:$A,"BOM",DATA_GOC!$D:$D,$B74,DATA_GOC!$E:$E,"Téc 2",DATA_GOC!$F:$F,"Xuất nội bộ từ téc",DATA_GOC!$B:$B,DATE($D$2,$B$2,G$4)),0))</f>
        <v>0</v>
      </c>
      <c r="H74" s="251">
        <f>IF(H$4&gt;DAY(EOMONTH(DATE($D$2,$B$2,1),0)),"",IFERROR(SUMIFS(DATA_GOC!$H:$H,DATA_GOC!$A:$A,"BOM",DATA_GOC!$D:$D,$B74,DATA_GOC!$E:$E,"Téc 2",DATA_GOC!$F:$F,"Xuất nội bộ từ téc",DATA_GOC!$B:$B,DATE($D$2,$B$2,H$4)),0))</f>
        <v>0</v>
      </c>
      <c r="I74" s="251">
        <f>IF(I$4&gt;DAY(EOMONTH(DATE($D$2,$B$2,1),0)),"",IFERROR(SUMIFS(DATA_GOC!$H:$H,DATA_GOC!$A:$A,"BOM",DATA_GOC!$D:$D,$B74,DATA_GOC!$E:$E,"Téc 2",DATA_GOC!$F:$F,"Xuất nội bộ từ téc",DATA_GOC!$B:$B,DATE($D$2,$B$2,I$4)),0))</f>
        <v>0</v>
      </c>
      <c r="J74" s="251">
        <f>IF(J$4&gt;DAY(EOMONTH(DATE($D$2,$B$2,1),0)),"",IFERROR(SUMIFS(DATA_GOC!$H:$H,DATA_GOC!$A:$A,"BOM",DATA_GOC!$D:$D,$B74,DATA_GOC!$E:$E,"Téc 2",DATA_GOC!$F:$F,"Xuất nội bộ từ téc",DATA_GOC!$B:$B,DATE($D$2,$B$2,J$4)),0))</f>
        <v>0</v>
      </c>
      <c r="K74" s="251">
        <f>IF(K$4&gt;DAY(EOMONTH(DATE($D$2,$B$2,1),0)),"",IFERROR(SUMIFS(DATA_GOC!$H:$H,DATA_GOC!$A:$A,"BOM",DATA_GOC!$D:$D,$B74,DATA_GOC!$E:$E,"Téc 2",DATA_GOC!$F:$F,"Xuất nội bộ từ téc",DATA_GOC!$B:$B,DATE($D$2,$B$2,K$4)),0))</f>
        <v>0</v>
      </c>
      <c r="L74" s="251">
        <f>IF(L$4&gt;DAY(EOMONTH(DATE($D$2,$B$2,1),0)),"",IFERROR(SUMIFS(DATA_GOC!$H:$H,DATA_GOC!$A:$A,"BOM",DATA_GOC!$D:$D,$B74,DATA_GOC!$E:$E,"Téc 2",DATA_GOC!$F:$F,"Xuất nội bộ từ téc",DATA_GOC!$B:$B,DATE($D$2,$B$2,L$4)),0))</f>
        <v>0</v>
      </c>
      <c r="M74" s="251">
        <f>IF(M$4&gt;DAY(EOMONTH(DATE($D$2,$B$2,1),0)),"",IFERROR(SUMIFS(DATA_GOC!$H:$H,DATA_GOC!$A:$A,"BOM",DATA_GOC!$D:$D,$B74,DATA_GOC!$E:$E,"Téc 2",DATA_GOC!$F:$F,"Xuất nội bộ từ téc",DATA_GOC!$B:$B,DATE($D$2,$B$2,M$4)),0))</f>
        <v>0</v>
      </c>
      <c r="N74" s="251">
        <f>IF(N$4&gt;DAY(EOMONTH(DATE($D$2,$B$2,1),0)),"",IFERROR(SUMIFS(DATA_GOC!$H:$H,DATA_GOC!$A:$A,"BOM",DATA_GOC!$D:$D,$B74,DATA_GOC!$E:$E,"Téc 2",DATA_GOC!$F:$F,"Xuất nội bộ từ téc",DATA_GOC!$B:$B,DATE($D$2,$B$2,N$4)),0))</f>
        <v>0</v>
      </c>
      <c r="O74" s="251">
        <f>IF(O$4&gt;DAY(EOMONTH(DATE($D$2,$B$2,1),0)),"",IFERROR(SUMIFS(DATA_GOC!$H:$H,DATA_GOC!$A:$A,"BOM",DATA_GOC!$D:$D,$B74,DATA_GOC!$E:$E,"Téc 2",DATA_GOC!$F:$F,"Xuất nội bộ từ téc",DATA_GOC!$B:$B,DATE($D$2,$B$2,O$4)),0))</f>
        <v>0</v>
      </c>
      <c r="P74" s="251">
        <f>IF(P$4&gt;DAY(EOMONTH(DATE($D$2,$B$2,1),0)),"",IFERROR(SUMIFS(DATA_GOC!$H:$H,DATA_GOC!$A:$A,"BOM",DATA_GOC!$D:$D,$B74,DATA_GOC!$E:$E,"Téc 2",DATA_GOC!$F:$F,"Xuất nội bộ từ téc",DATA_GOC!$B:$B,DATE($D$2,$B$2,P$4)),0))</f>
        <v>0</v>
      </c>
      <c r="Q74" s="251">
        <f>IF(Q$4&gt;DAY(EOMONTH(DATE($D$2,$B$2,1),0)),"",IFERROR(SUMIFS(DATA_GOC!$H:$H,DATA_GOC!$A:$A,"BOM",DATA_GOC!$D:$D,$B74,DATA_GOC!$E:$E,"Téc 2",DATA_GOC!$F:$F,"Xuất nội bộ từ téc",DATA_GOC!$B:$B,DATE($D$2,$B$2,Q$4)),0))</f>
        <v>0</v>
      </c>
      <c r="R74" s="251">
        <f>IF(R$4&gt;DAY(EOMONTH(DATE($D$2,$B$2,1),0)),"",IFERROR(SUMIFS(DATA_GOC!$H:$H,DATA_GOC!$A:$A,"BOM",DATA_GOC!$D:$D,$B74,DATA_GOC!$E:$E,"Téc 2",DATA_GOC!$F:$F,"Xuất nội bộ từ téc",DATA_GOC!$B:$B,DATE($D$2,$B$2,R$4)),0))</f>
        <v>0</v>
      </c>
      <c r="S74" s="251">
        <f>IF(S$4&gt;DAY(EOMONTH(DATE($D$2,$B$2,1),0)),"",IFERROR(SUMIFS(DATA_GOC!$H:$H,DATA_GOC!$A:$A,"BOM",DATA_GOC!$D:$D,$B74,DATA_GOC!$E:$E,"Téc 2",DATA_GOC!$F:$F,"Xuất nội bộ từ téc",DATA_GOC!$B:$B,DATE($D$2,$B$2,S$4)),0))</f>
        <v>0</v>
      </c>
      <c r="T74" s="251">
        <f>IF(T$4&gt;DAY(EOMONTH(DATE($D$2,$B$2,1),0)),"",IFERROR(SUMIFS(DATA_GOC!$H:$H,DATA_GOC!$A:$A,"BOM",DATA_GOC!$D:$D,$B74,DATA_GOC!$E:$E,"Téc 2",DATA_GOC!$F:$F,"Xuất nội bộ từ téc",DATA_GOC!$B:$B,DATE($D$2,$B$2,T$4)),0))</f>
        <v>0</v>
      </c>
      <c r="U74" s="251">
        <f>IF(U$4&gt;DAY(EOMONTH(DATE($D$2,$B$2,1),0)),"",IFERROR(SUMIFS(DATA_GOC!$H:$H,DATA_GOC!$A:$A,"BOM",DATA_GOC!$D:$D,$B74,DATA_GOC!$E:$E,"Téc 2",DATA_GOC!$F:$F,"Xuất nội bộ từ téc",DATA_GOC!$B:$B,DATE($D$2,$B$2,U$4)),0))</f>
        <v>0</v>
      </c>
      <c r="V74" s="251">
        <f>IF(V$4&gt;DAY(EOMONTH(DATE($D$2,$B$2,1),0)),"",IFERROR(SUMIFS(DATA_GOC!$H:$H,DATA_GOC!$A:$A,"BOM",DATA_GOC!$D:$D,$B74,DATA_GOC!$E:$E,"Téc 2",DATA_GOC!$F:$F,"Xuất nội bộ từ téc",DATA_GOC!$B:$B,DATE($D$2,$B$2,V$4)),0))</f>
        <v>0</v>
      </c>
      <c r="W74" s="251">
        <f>IF(W$4&gt;DAY(EOMONTH(DATE($D$2,$B$2,1),0)),"",IFERROR(SUMIFS(DATA_GOC!$H:$H,DATA_GOC!$A:$A,"BOM",DATA_GOC!$D:$D,$B74,DATA_GOC!$E:$E,"Téc 2",DATA_GOC!$F:$F,"Xuất nội bộ từ téc",DATA_GOC!$B:$B,DATE($D$2,$B$2,W$4)),0))</f>
        <v>0</v>
      </c>
      <c r="X74" s="251">
        <f>IF(X$4&gt;DAY(EOMONTH(DATE($D$2,$B$2,1),0)),"",IFERROR(SUMIFS(DATA_GOC!$H:$H,DATA_GOC!$A:$A,"BOM",DATA_GOC!$D:$D,$B74,DATA_GOC!$E:$E,"Téc 2",DATA_GOC!$F:$F,"Xuất nội bộ từ téc",DATA_GOC!$B:$B,DATE($D$2,$B$2,X$4)),0))</f>
        <v>0</v>
      </c>
      <c r="Y74" s="251">
        <f>IF(Y$4&gt;DAY(EOMONTH(DATE($D$2,$B$2,1),0)),"",IFERROR(SUMIFS(DATA_GOC!$H:$H,DATA_GOC!$A:$A,"BOM",DATA_GOC!$D:$D,$B74,DATA_GOC!$E:$E,"Téc 2",DATA_GOC!$F:$F,"Xuất nội bộ từ téc",DATA_GOC!$B:$B,DATE($D$2,$B$2,Y$4)),0))</f>
        <v>0</v>
      </c>
      <c r="Z74" s="251">
        <f>IF(Z$4&gt;DAY(EOMONTH(DATE($D$2,$B$2,1),0)),"",IFERROR(SUMIFS(DATA_GOC!$H:$H,DATA_GOC!$A:$A,"BOM",DATA_GOC!$D:$D,$B74,DATA_GOC!$E:$E,"Téc 2",DATA_GOC!$F:$F,"Xuất nội bộ từ téc",DATA_GOC!$B:$B,DATE($D$2,$B$2,Z$4)),0))</f>
        <v>0</v>
      </c>
      <c r="AA74" s="251">
        <f>IF(AA$4&gt;DAY(EOMONTH(DATE($D$2,$B$2,1),0)),"",IFERROR(SUMIFS(DATA_GOC!$H:$H,DATA_GOC!$A:$A,"BOM",DATA_GOC!$D:$D,$B74,DATA_GOC!$E:$E,"Téc 2",DATA_GOC!$F:$F,"Xuất nội bộ từ téc",DATA_GOC!$B:$B,DATE($D$2,$B$2,AA$4)),0))</f>
        <v>0</v>
      </c>
      <c r="AB74" s="251">
        <f>IF(AB$4&gt;DAY(EOMONTH(DATE($D$2,$B$2,1),0)),"",IFERROR(SUMIFS(DATA_GOC!$H:$H,DATA_GOC!$A:$A,"BOM",DATA_GOC!$D:$D,$B74,DATA_GOC!$E:$E,"Téc 2",DATA_GOC!$F:$F,"Xuất nội bộ từ téc",DATA_GOC!$B:$B,DATE($D$2,$B$2,AB$4)),0))</f>
        <v>0</v>
      </c>
      <c r="AC74" s="251">
        <f>IF(AC$4&gt;DAY(EOMONTH(DATE($D$2,$B$2,1),0)),"",IFERROR(SUMIFS(DATA_GOC!$H:$H,DATA_GOC!$A:$A,"BOM",DATA_GOC!$D:$D,$B74,DATA_GOC!$E:$E,"Téc 2",DATA_GOC!$F:$F,"Xuất nội bộ từ téc",DATA_GOC!$B:$B,DATE($D$2,$B$2,AC$4)),0))</f>
        <v>0</v>
      </c>
      <c r="AD74" s="251">
        <f>IF(AD$4&gt;DAY(EOMONTH(DATE($D$2,$B$2,1),0)),"",IFERROR(SUMIFS(DATA_GOC!$H:$H,DATA_GOC!$A:$A,"BOM",DATA_GOC!$D:$D,$B74,DATA_GOC!$E:$E,"Téc 2",DATA_GOC!$F:$F,"Xuất nội bộ từ téc",DATA_GOC!$B:$B,DATE($D$2,$B$2,AD$4)),0))</f>
        <v>0</v>
      </c>
      <c r="AE74" s="251">
        <f>IF(AE$4&gt;DAY(EOMONTH(DATE($D$2,$B$2,1),0)),"",IFERROR(SUMIFS(DATA_GOC!$H:$H,DATA_GOC!$A:$A,"BOM",DATA_GOC!$D:$D,$B74,DATA_GOC!$E:$E,"Téc 2",DATA_GOC!$F:$F,"Xuất nội bộ từ téc",DATA_GOC!$B:$B,DATE($D$2,$B$2,AE$4)),0))</f>
        <v>0</v>
      </c>
      <c r="AF74" s="251">
        <f>IF(AF$4&gt;DAY(EOMONTH(DATE($D$2,$B$2,1),0)),"",IFERROR(SUMIFS(DATA_GOC!$H:$H,DATA_GOC!$A:$A,"BOM",DATA_GOC!$D:$D,$B74,DATA_GOC!$E:$E,"Téc 2",DATA_GOC!$F:$F,"Xuất nội bộ từ téc",DATA_GOC!$B:$B,DATE($D$2,$B$2,AF$4)),0))</f>
        <v>0</v>
      </c>
      <c r="AG74" s="251">
        <f>IF(AG$4&gt;DAY(EOMONTH(DATE($D$2,$B$2,1),0)),"",IFERROR(SUMIFS(DATA_GOC!$H:$H,DATA_GOC!$A:$A,"BOM",DATA_GOC!$D:$D,$B74,DATA_GOC!$E:$E,"Téc 2",DATA_GOC!$F:$F,"Xuất nội bộ từ téc",DATA_GOC!$B:$B,DATE($D$2,$B$2,AG$4)),0))</f>
        <v>0</v>
      </c>
      <c r="AH74" s="252">
        <f t="shared" si="4"/>
        <v>0</v>
      </c>
      <c r="AI74" s="241">
        <f>IFERROR(SUMIFS(DATA_GOC!$H:$H,DATA_GOC!$A:$A,"BOM",DATA_GOC!$D:$D,$B74,DATA_GOC!$E:$E,"Bơm ngoài/Hải Tân",DATA_GOC!$F:$F,"Bơm ngoài",DATA_GOC!$B:$B,"&gt;="&amp;DATE($D$2,$B$2,1),DATA_GOC!$B:$B,"&lt;="&amp;EOMONTH(DATE($D$2,$B$2,1),0)),0)</f>
        <v>0</v>
      </c>
      <c r="AJ74" s="242">
        <f>IF($B74="","",SUMIFS(TINH_TEC!$K$233:$K$9232,TINH_TEC!$H$233:$H$9232,$B74,TINH_TEC!$C$233:$C$9232,"Téc 2",TINH_TEC!$F$233:$F$9232,$B$2,TINH_TEC!$G$233:$G$9232,$D$2,TINH_TEC!$B$233:$B$9232,"Đã chốt"))</f>
        <v>0</v>
      </c>
      <c r="AK74" s="242">
        <f>IF($B74="","",SUMIFS(TINH_TEC!$J$233:$J$9232,TINH_TEC!$H$233:$H$9232,$B74,TINH_TEC!$C$233:$C$9232,"Téc 2",TINH_TEC!$F$233:$F$9232,$B$2,TINH_TEC!$G$233:$G$9232,$D$2,TINH_TEC!$B$233:$B$9232,"Đã chốt"))</f>
        <v>35.528</v>
      </c>
      <c r="AL74" s="242">
        <f t="shared" si="5"/>
        <v>35.528</v>
      </c>
    </row>
    <row r="75" ht="15.75" customHeight="1">
      <c r="A75" s="237">
        <f>IF($B75&lt;&gt;"",9,"")</f>
        <v>9</v>
      </c>
      <c r="B75" s="250" t="str">
        <f t="array" ref="B75">IFERROR(INDEX(DANH_MUC!$E:$E,12),"")</f>
        <v>28C01731</v>
      </c>
      <c r="C75" s="251">
        <f>IF(C$4&gt;DAY(EOMONTH(DATE($D$2,$B$2,1),0)),"",IFERROR(SUMIFS(DATA_GOC!$H:$H,DATA_GOC!$A:$A,"BOM",DATA_GOC!$D:$D,$B75,DATA_GOC!$E:$E,"Téc 2",DATA_GOC!$F:$F,"Xuất nội bộ từ téc",DATA_GOC!$B:$B,DATE($D$2,$B$2,C$4)),0))</f>
        <v>0</v>
      </c>
      <c r="D75" s="251">
        <f>IF(D$4&gt;DAY(EOMONTH(DATE($D$2,$B$2,1),0)),"",IFERROR(SUMIFS(DATA_GOC!$H:$H,DATA_GOC!$A:$A,"BOM",DATA_GOC!$D:$D,$B75,DATA_GOC!$E:$E,"Téc 2",DATA_GOC!$F:$F,"Xuất nội bộ từ téc",DATA_GOC!$B:$B,DATE($D$2,$B$2,D$4)),0))</f>
        <v>0</v>
      </c>
      <c r="E75" s="251">
        <f>IF(E$4&gt;DAY(EOMONTH(DATE($D$2,$B$2,1),0)),"",IFERROR(SUMIFS(DATA_GOC!$H:$H,DATA_GOC!$A:$A,"BOM",DATA_GOC!$D:$D,$B75,DATA_GOC!$E:$E,"Téc 2",DATA_GOC!$F:$F,"Xuất nội bộ từ téc",DATA_GOC!$B:$B,DATE($D$2,$B$2,E$4)),0))</f>
        <v>0</v>
      </c>
      <c r="F75" s="251">
        <f>IF(F$4&gt;DAY(EOMONTH(DATE($D$2,$B$2,1),0)),"",IFERROR(SUMIFS(DATA_GOC!$H:$H,DATA_GOC!$A:$A,"BOM",DATA_GOC!$D:$D,$B75,DATA_GOC!$E:$E,"Téc 2",DATA_GOC!$F:$F,"Xuất nội bộ từ téc",DATA_GOC!$B:$B,DATE($D$2,$B$2,F$4)),0))</f>
        <v>0</v>
      </c>
      <c r="G75" s="251">
        <f>IF(G$4&gt;DAY(EOMONTH(DATE($D$2,$B$2,1),0)),"",IFERROR(SUMIFS(DATA_GOC!$H:$H,DATA_GOC!$A:$A,"BOM",DATA_GOC!$D:$D,$B75,DATA_GOC!$E:$E,"Téc 2",DATA_GOC!$F:$F,"Xuất nội bộ từ téc",DATA_GOC!$B:$B,DATE($D$2,$B$2,G$4)),0))</f>
        <v>0</v>
      </c>
      <c r="H75" s="251">
        <f>IF(H$4&gt;DAY(EOMONTH(DATE($D$2,$B$2,1),0)),"",IFERROR(SUMIFS(DATA_GOC!$H:$H,DATA_GOC!$A:$A,"BOM",DATA_GOC!$D:$D,$B75,DATA_GOC!$E:$E,"Téc 2",DATA_GOC!$F:$F,"Xuất nội bộ từ téc",DATA_GOC!$B:$B,DATE($D$2,$B$2,H$4)),0))</f>
        <v>0</v>
      </c>
      <c r="I75" s="251">
        <f>IF(I$4&gt;DAY(EOMONTH(DATE($D$2,$B$2,1),0)),"",IFERROR(SUMIFS(DATA_GOC!$H:$H,DATA_GOC!$A:$A,"BOM",DATA_GOC!$D:$D,$B75,DATA_GOC!$E:$E,"Téc 2",DATA_GOC!$F:$F,"Xuất nội bộ từ téc",DATA_GOC!$B:$B,DATE($D$2,$B$2,I$4)),0))</f>
        <v>0</v>
      </c>
      <c r="J75" s="251">
        <f>IF(J$4&gt;DAY(EOMONTH(DATE($D$2,$B$2,1),0)),"",IFERROR(SUMIFS(DATA_GOC!$H:$H,DATA_GOC!$A:$A,"BOM",DATA_GOC!$D:$D,$B75,DATA_GOC!$E:$E,"Téc 2",DATA_GOC!$F:$F,"Xuất nội bộ từ téc",DATA_GOC!$B:$B,DATE($D$2,$B$2,J$4)),0))</f>
        <v>0</v>
      </c>
      <c r="K75" s="251">
        <f>IF(K$4&gt;DAY(EOMONTH(DATE($D$2,$B$2,1),0)),"",IFERROR(SUMIFS(DATA_GOC!$H:$H,DATA_GOC!$A:$A,"BOM",DATA_GOC!$D:$D,$B75,DATA_GOC!$E:$E,"Téc 2",DATA_GOC!$F:$F,"Xuất nội bộ từ téc",DATA_GOC!$B:$B,DATE($D$2,$B$2,K$4)),0))</f>
        <v>0</v>
      </c>
      <c r="L75" s="251">
        <f>IF(L$4&gt;DAY(EOMONTH(DATE($D$2,$B$2,1),0)),"",IFERROR(SUMIFS(DATA_GOC!$H:$H,DATA_GOC!$A:$A,"BOM",DATA_GOC!$D:$D,$B75,DATA_GOC!$E:$E,"Téc 2",DATA_GOC!$F:$F,"Xuất nội bộ từ téc",DATA_GOC!$B:$B,DATE($D$2,$B$2,L$4)),0))</f>
        <v>0</v>
      </c>
      <c r="M75" s="251">
        <f>IF(M$4&gt;DAY(EOMONTH(DATE($D$2,$B$2,1),0)),"",IFERROR(SUMIFS(DATA_GOC!$H:$H,DATA_GOC!$A:$A,"BOM",DATA_GOC!$D:$D,$B75,DATA_GOC!$E:$E,"Téc 2",DATA_GOC!$F:$F,"Xuất nội bộ từ téc",DATA_GOC!$B:$B,DATE($D$2,$B$2,M$4)),0))</f>
        <v>0</v>
      </c>
      <c r="N75" s="251">
        <f>IF(N$4&gt;DAY(EOMONTH(DATE($D$2,$B$2,1),0)),"",IFERROR(SUMIFS(DATA_GOC!$H:$H,DATA_GOC!$A:$A,"BOM",DATA_GOC!$D:$D,$B75,DATA_GOC!$E:$E,"Téc 2",DATA_GOC!$F:$F,"Xuất nội bộ từ téc",DATA_GOC!$B:$B,DATE($D$2,$B$2,N$4)),0))</f>
        <v>0</v>
      </c>
      <c r="O75" s="251">
        <f>IF(O$4&gt;DAY(EOMONTH(DATE($D$2,$B$2,1),0)),"",IFERROR(SUMIFS(DATA_GOC!$H:$H,DATA_GOC!$A:$A,"BOM",DATA_GOC!$D:$D,$B75,DATA_GOC!$E:$E,"Téc 2",DATA_GOC!$F:$F,"Xuất nội bộ từ téc",DATA_GOC!$B:$B,DATE($D$2,$B$2,O$4)),0))</f>
        <v>0</v>
      </c>
      <c r="P75" s="251">
        <f>IF(P$4&gt;DAY(EOMONTH(DATE($D$2,$B$2,1),0)),"",IFERROR(SUMIFS(DATA_GOC!$H:$H,DATA_GOC!$A:$A,"BOM",DATA_GOC!$D:$D,$B75,DATA_GOC!$E:$E,"Téc 2",DATA_GOC!$F:$F,"Xuất nội bộ từ téc",DATA_GOC!$B:$B,DATE($D$2,$B$2,P$4)),0))</f>
        <v>0</v>
      </c>
      <c r="Q75" s="251">
        <f>IF(Q$4&gt;DAY(EOMONTH(DATE($D$2,$B$2,1),0)),"",IFERROR(SUMIFS(DATA_GOC!$H:$H,DATA_GOC!$A:$A,"BOM",DATA_GOC!$D:$D,$B75,DATA_GOC!$E:$E,"Téc 2",DATA_GOC!$F:$F,"Xuất nội bộ từ téc",DATA_GOC!$B:$B,DATE($D$2,$B$2,Q$4)),0))</f>
        <v>0</v>
      </c>
      <c r="R75" s="251">
        <f>IF(R$4&gt;DAY(EOMONTH(DATE($D$2,$B$2,1),0)),"",IFERROR(SUMIFS(DATA_GOC!$H:$H,DATA_GOC!$A:$A,"BOM",DATA_GOC!$D:$D,$B75,DATA_GOC!$E:$E,"Téc 2",DATA_GOC!$F:$F,"Xuất nội bộ từ téc",DATA_GOC!$B:$B,DATE($D$2,$B$2,R$4)),0))</f>
        <v>0</v>
      </c>
      <c r="S75" s="251">
        <f>IF(S$4&gt;DAY(EOMONTH(DATE($D$2,$B$2,1),0)),"",IFERROR(SUMIFS(DATA_GOC!$H:$H,DATA_GOC!$A:$A,"BOM",DATA_GOC!$D:$D,$B75,DATA_GOC!$E:$E,"Téc 2",DATA_GOC!$F:$F,"Xuất nội bộ từ téc",DATA_GOC!$B:$B,DATE($D$2,$B$2,S$4)),0))</f>
        <v>0</v>
      </c>
      <c r="T75" s="251">
        <f>IF(T$4&gt;DAY(EOMONTH(DATE($D$2,$B$2,1),0)),"",IFERROR(SUMIFS(DATA_GOC!$H:$H,DATA_GOC!$A:$A,"BOM",DATA_GOC!$D:$D,$B75,DATA_GOC!$E:$E,"Téc 2",DATA_GOC!$F:$F,"Xuất nội bộ từ téc",DATA_GOC!$B:$B,DATE($D$2,$B$2,T$4)),0))</f>
        <v>0</v>
      </c>
      <c r="U75" s="251">
        <f>IF(U$4&gt;DAY(EOMONTH(DATE($D$2,$B$2,1),0)),"",IFERROR(SUMIFS(DATA_GOC!$H:$H,DATA_GOC!$A:$A,"BOM",DATA_GOC!$D:$D,$B75,DATA_GOC!$E:$E,"Téc 2",DATA_GOC!$F:$F,"Xuất nội bộ từ téc",DATA_GOC!$B:$B,DATE($D$2,$B$2,U$4)),0))</f>
        <v>0</v>
      </c>
      <c r="V75" s="251">
        <f>IF(V$4&gt;DAY(EOMONTH(DATE($D$2,$B$2,1),0)),"",IFERROR(SUMIFS(DATA_GOC!$H:$H,DATA_GOC!$A:$A,"BOM",DATA_GOC!$D:$D,$B75,DATA_GOC!$E:$E,"Téc 2",DATA_GOC!$F:$F,"Xuất nội bộ từ téc",DATA_GOC!$B:$B,DATE($D$2,$B$2,V$4)),0))</f>
        <v>0</v>
      </c>
      <c r="W75" s="251">
        <f>IF(W$4&gt;DAY(EOMONTH(DATE($D$2,$B$2,1),0)),"",IFERROR(SUMIFS(DATA_GOC!$H:$H,DATA_GOC!$A:$A,"BOM",DATA_GOC!$D:$D,$B75,DATA_GOC!$E:$E,"Téc 2",DATA_GOC!$F:$F,"Xuất nội bộ từ téc",DATA_GOC!$B:$B,DATE($D$2,$B$2,W$4)),0))</f>
        <v>0</v>
      </c>
      <c r="X75" s="251">
        <f>IF(X$4&gt;DAY(EOMONTH(DATE($D$2,$B$2,1),0)),"",IFERROR(SUMIFS(DATA_GOC!$H:$H,DATA_GOC!$A:$A,"BOM",DATA_GOC!$D:$D,$B75,DATA_GOC!$E:$E,"Téc 2",DATA_GOC!$F:$F,"Xuất nội bộ từ téc",DATA_GOC!$B:$B,DATE($D$2,$B$2,X$4)),0))</f>
        <v>0</v>
      </c>
      <c r="Y75" s="251">
        <f>IF(Y$4&gt;DAY(EOMONTH(DATE($D$2,$B$2,1),0)),"",IFERROR(SUMIFS(DATA_GOC!$H:$H,DATA_GOC!$A:$A,"BOM",DATA_GOC!$D:$D,$B75,DATA_GOC!$E:$E,"Téc 2",DATA_GOC!$F:$F,"Xuất nội bộ từ téc",DATA_GOC!$B:$B,DATE($D$2,$B$2,Y$4)),0))</f>
        <v>0</v>
      </c>
      <c r="Z75" s="251">
        <f>IF(Z$4&gt;DAY(EOMONTH(DATE($D$2,$B$2,1),0)),"",IFERROR(SUMIFS(DATA_GOC!$H:$H,DATA_GOC!$A:$A,"BOM",DATA_GOC!$D:$D,$B75,DATA_GOC!$E:$E,"Téc 2",DATA_GOC!$F:$F,"Xuất nội bộ từ téc",DATA_GOC!$B:$B,DATE($D$2,$B$2,Z$4)),0))</f>
        <v>0</v>
      </c>
      <c r="AA75" s="251">
        <f>IF(AA$4&gt;DAY(EOMONTH(DATE($D$2,$B$2,1),0)),"",IFERROR(SUMIFS(DATA_GOC!$H:$H,DATA_GOC!$A:$A,"BOM",DATA_GOC!$D:$D,$B75,DATA_GOC!$E:$E,"Téc 2",DATA_GOC!$F:$F,"Xuất nội bộ từ téc",DATA_GOC!$B:$B,DATE($D$2,$B$2,AA$4)),0))</f>
        <v>0</v>
      </c>
      <c r="AB75" s="251">
        <f>IF(AB$4&gt;DAY(EOMONTH(DATE($D$2,$B$2,1),0)),"",IFERROR(SUMIFS(DATA_GOC!$H:$H,DATA_GOC!$A:$A,"BOM",DATA_GOC!$D:$D,$B75,DATA_GOC!$E:$E,"Téc 2",DATA_GOC!$F:$F,"Xuất nội bộ từ téc",DATA_GOC!$B:$B,DATE($D$2,$B$2,AB$4)),0))</f>
        <v>0</v>
      </c>
      <c r="AC75" s="251">
        <f>IF(AC$4&gt;DAY(EOMONTH(DATE($D$2,$B$2,1),0)),"",IFERROR(SUMIFS(DATA_GOC!$H:$H,DATA_GOC!$A:$A,"BOM",DATA_GOC!$D:$D,$B75,DATA_GOC!$E:$E,"Téc 2",DATA_GOC!$F:$F,"Xuất nội bộ từ téc",DATA_GOC!$B:$B,DATE($D$2,$B$2,AC$4)),0))</f>
        <v>0</v>
      </c>
      <c r="AD75" s="251">
        <f>IF(AD$4&gt;DAY(EOMONTH(DATE($D$2,$B$2,1),0)),"",IFERROR(SUMIFS(DATA_GOC!$H:$H,DATA_GOC!$A:$A,"BOM",DATA_GOC!$D:$D,$B75,DATA_GOC!$E:$E,"Téc 2",DATA_GOC!$F:$F,"Xuất nội bộ từ téc",DATA_GOC!$B:$B,DATE($D$2,$B$2,AD$4)),0))</f>
        <v>0</v>
      </c>
      <c r="AE75" s="251">
        <f>IF(AE$4&gt;DAY(EOMONTH(DATE($D$2,$B$2,1),0)),"",IFERROR(SUMIFS(DATA_GOC!$H:$H,DATA_GOC!$A:$A,"BOM",DATA_GOC!$D:$D,$B75,DATA_GOC!$E:$E,"Téc 2",DATA_GOC!$F:$F,"Xuất nội bộ từ téc",DATA_GOC!$B:$B,DATE($D$2,$B$2,AE$4)),0))</f>
        <v>0</v>
      </c>
      <c r="AF75" s="251">
        <f>IF(AF$4&gt;DAY(EOMONTH(DATE($D$2,$B$2,1),0)),"",IFERROR(SUMIFS(DATA_GOC!$H:$H,DATA_GOC!$A:$A,"BOM",DATA_GOC!$D:$D,$B75,DATA_GOC!$E:$E,"Téc 2",DATA_GOC!$F:$F,"Xuất nội bộ từ téc",DATA_GOC!$B:$B,DATE($D$2,$B$2,AF$4)),0))</f>
        <v>0</v>
      </c>
      <c r="AG75" s="251">
        <f>IF(AG$4&gt;DAY(EOMONTH(DATE($D$2,$B$2,1),0)),"",IFERROR(SUMIFS(DATA_GOC!$H:$H,DATA_GOC!$A:$A,"BOM",DATA_GOC!$D:$D,$B75,DATA_GOC!$E:$E,"Téc 2",DATA_GOC!$F:$F,"Xuất nội bộ từ téc",DATA_GOC!$B:$B,DATE($D$2,$B$2,AG$4)),0))</f>
        <v>0</v>
      </c>
      <c r="AH75" s="252">
        <f t="shared" si="4"/>
        <v>0</v>
      </c>
      <c r="AI75" s="241">
        <f>IFERROR(SUMIFS(DATA_GOC!$H:$H,DATA_GOC!$A:$A,"BOM",DATA_GOC!$D:$D,$B75,DATA_GOC!$E:$E,"Bơm ngoài/Hải Tân",DATA_GOC!$F:$F,"Bơm ngoài",DATA_GOC!$B:$B,"&gt;="&amp;DATE($D$2,$B$2,1),DATA_GOC!$B:$B,"&lt;="&amp;EOMONTH(DATE($D$2,$B$2,1),0)),0)</f>
        <v>0</v>
      </c>
      <c r="AJ75" s="242">
        <f>IF($B75="","",SUMIFS(TINH_TEC!$K$233:$K$9232,TINH_TEC!$H$233:$H$9232,$B75,TINH_TEC!$C$233:$C$9232,"Téc 2",TINH_TEC!$F$233:$F$9232,$B$2,TINH_TEC!$G$233:$G$9232,$D$2,TINH_TEC!$B$233:$B$9232,"Đã chốt"))</f>
        <v>0</v>
      </c>
      <c r="AK75" s="242">
        <f>IF($B75="","",SUMIFS(TINH_TEC!$J$233:$J$9232,TINH_TEC!$H$233:$H$9232,$B75,TINH_TEC!$C$233:$C$9232,"Téc 2",TINH_TEC!$F$233:$F$9232,$B$2,TINH_TEC!$G$233:$G$9232,$D$2,TINH_TEC!$B$233:$B$9232,"Đã chốt"))</f>
        <v>11.357</v>
      </c>
      <c r="AL75" s="242">
        <f t="shared" si="5"/>
        <v>11.357</v>
      </c>
    </row>
    <row r="76" ht="15.75" customHeight="1">
      <c r="A76" s="237">
        <f>IF($B76&lt;&gt;"",10,"")</f>
        <v>10</v>
      </c>
      <c r="B76" s="250" t="str">
        <f t="array" ref="B76">IFERROR(INDEX(DANH_MUC!$E:$E,13),"")</f>
        <v>28C01743</v>
      </c>
      <c r="C76" s="251">
        <f>IF(C$4&gt;DAY(EOMONTH(DATE($D$2,$B$2,1),0)),"",IFERROR(SUMIFS(DATA_GOC!$H:$H,DATA_GOC!$A:$A,"BOM",DATA_GOC!$D:$D,$B76,DATA_GOC!$E:$E,"Téc 2",DATA_GOC!$F:$F,"Xuất nội bộ từ téc",DATA_GOC!$B:$B,DATE($D$2,$B$2,C$4)),0))</f>
        <v>0</v>
      </c>
      <c r="D76" s="251">
        <f>IF(D$4&gt;DAY(EOMONTH(DATE($D$2,$B$2,1),0)),"",IFERROR(SUMIFS(DATA_GOC!$H:$H,DATA_GOC!$A:$A,"BOM",DATA_GOC!$D:$D,$B76,DATA_GOC!$E:$E,"Téc 2",DATA_GOC!$F:$F,"Xuất nội bộ từ téc",DATA_GOC!$B:$B,DATE($D$2,$B$2,D$4)),0))</f>
        <v>0</v>
      </c>
      <c r="E76" s="251">
        <f>IF(E$4&gt;DAY(EOMONTH(DATE($D$2,$B$2,1),0)),"",IFERROR(SUMIFS(DATA_GOC!$H:$H,DATA_GOC!$A:$A,"BOM",DATA_GOC!$D:$D,$B76,DATA_GOC!$E:$E,"Téc 2",DATA_GOC!$F:$F,"Xuất nội bộ từ téc",DATA_GOC!$B:$B,DATE($D$2,$B$2,E$4)),0))</f>
        <v>0</v>
      </c>
      <c r="F76" s="251">
        <f>IF(F$4&gt;DAY(EOMONTH(DATE($D$2,$B$2,1),0)),"",IFERROR(SUMIFS(DATA_GOC!$H:$H,DATA_GOC!$A:$A,"BOM",DATA_GOC!$D:$D,$B76,DATA_GOC!$E:$E,"Téc 2",DATA_GOC!$F:$F,"Xuất nội bộ từ téc",DATA_GOC!$B:$B,DATE($D$2,$B$2,F$4)),0))</f>
        <v>0</v>
      </c>
      <c r="G76" s="251">
        <f>IF(G$4&gt;DAY(EOMONTH(DATE($D$2,$B$2,1),0)),"",IFERROR(SUMIFS(DATA_GOC!$H:$H,DATA_GOC!$A:$A,"BOM",DATA_GOC!$D:$D,$B76,DATA_GOC!$E:$E,"Téc 2",DATA_GOC!$F:$F,"Xuất nội bộ từ téc",DATA_GOC!$B:$B,DATE($D$2,$B$2,G$4)),0))</f>
        <v>0</v>
      </c>
      <c r="H76" s="251">
        <f>IF(H$4&gt;DAY(EOMONTH(DATE($D$2,$B$2,1),0)),"",IFERROR(SUMIFS(DATA_GOC!$H:$H,DATA_GOC!$A:$A,"BOM",DATA_GOC!$D:$D,$B76,DATA_GOC!$E:$E,"Téc 2",DATA_GOC!$F:$F,"Xuất nội bộ từ téc",DATA_GOC!$B:$B,DATE($D$2,$B$2,H$4)),0))</f>
        <v>0</v>
      </c>
      <c r="I76" s="251">
        <f>IF(I$4&gt;DAY(EOMONTH(DATE($D$2,$B$2,1),0)),"",IFERROR(SUMIFS(DATA_GOC!$H:$H,DATA_GOC!$A:$A,"BOM",DATA_GOC!$D:$D,$B76,DATA_GOC!$E:$E,"Téc 2",DATA_GOC!$F:$F,"Xuất nội bộ từ téc",DATA_GOC!$B:$B,DATE($D$2,$B$2,I$4)),0))</f>
        <v>0</v>
      </c>
      <c r="J76" s="251">
        <f>IF(J$4&gt;DAY(EOMONTH(DATE($D$2,$B$2,1),0)),"",IFERROR(SUMIFS(DATA_GOC!$H:$H,DATA_GOC!$A:$A,"BOM",DATA_GOC!$D:$D,$B76,DATA_GOC!$E:$E,"Téc 2",DATA_GOC!$F:$F,"Xuất nội bộ từ téc",DATA_GOC!$B:$B,DATE($D$2,$B$2,J$4)),0))</f>
        <v>0</v>
      </c>
      <c r="K76" s="251">
        <f>IF(K$4&gt;DAY(EOMONTH(DATE($D$2,$B$2,1),0)),"",IFERROR(SUMIFS(DATA_GOC!$H:$H,DATA_GOC!$A:$A,"BOM",DATA_GOC!$D:$D,$B76,DATA_GOC!$E:$E,"Téc 2",DATA_GOC!$F:$F,"Xuất nội bộ từ téc",DATA_GOC!$B:$B,DATE($D$2,$B$2,K$4)),0))</f>
        <v>0</v>
      </c>
      <c r="L76" s="251">
        <f>IF(L$4&gt;DAY(EOMONTH(DATE($D$2,$B$2,1),0)),"",IFERROR(SUMIFS(DATA_GOC!$H:$H,DATA_GOC!$A:$A,"BOM",DATA_GOC!$D:$D,$B76,DATA_GOC!$E:$E,"Téc 2",DATA_GOC!$F:$F,"Xuất nội bộ từ téc",DATA_GOC!$B:$B,DATE($D$2,$B$2,L$4)),0))</f>
        <v>0</v>
      </c>
      <c r="M76" s="251">
        <f>IF(M$4&gt;DAY(EOMONTH(DATE($D$2,$B$2,1),0)),"",IFERROR(SUMIFS(DATA_GOC!$H:$H,DATA_GOC!$A:$A,"BOM",DATA_GOC!$D:$D,$B76,DATA_GOC!$E:$E,"Téc 2",DATA_GOC!$F:$F,"Xuất nội bộ từ téc",DATA_GOC!$B:$B,DATE($D$2,$B$2,M$4)),0))</f>
        <v>0</v>
      </c>
      <c r="N76" s="251">
        <f>IF(N$4&gt;DAY(EOMONTH(DATE($D$2,$B$2,1),0)),"",IFERROR(SUMIFS(DATA_GOC!$H:$H,DATA_GOC!$A:$A,"BOM",DATA_GOC!$D:$D,$B76,DATA_GOC!$E:$E,"Téc 2",DATA_GOC!$F:$F,"Xuất nội bộ từ téc",DATA_GOC!$B:$B,DATE($D$2,$B$2,N$4)),0))</f>
        <v>0</v>
      </c>
      <c r="O76" s="251">
        <f>IF(O$4&gt;DAY(EOMONTH(DATE($D$2,$B$2,1),0)),"",IFERROR(SUMIFS(DATA_GOC!$H:$H,DATA_GOC!$A:$A,"BOM",DATA_GOC!$D:$D,$B76,DATA_GOC!$E:$E,"Téc 2",DATA_GOC!$F:$F,"Xuất nội bộ từ téc",DATA_GOC!$B:$B,DATE($D$2,$B$2,O$4)),0))</f>
        <v>0</v>
      </c>
      <c r="P76" s="251">
        <f>IF(P$4&gt;DAY(EOMONTH(DATE($D$2,$B$2,1),0)),"",IFERROR(SUMIFS(DATA_GOC!$H:$H,DATA_GOC!$A:$A,"BOM",DATA_GOC!$D:$D,$B76,DATA_GOC!$E:$E,"Téc 2",DATA_GOC!$F:$F,"Xuất nội bộ từ téc",DATA_GOC!$B:$B,DATE($D$2,$B$2,P$4)),0))</f>
        <v>0</v>
      </c>
      <c r="Q76" s="251">
        <f>IF(Q$4&gt;DAY(EOMONTH(DATE($D$2,$B$2,1),0)),"",IFERROR(SUMIFS(DATA_GOC!$H:$H,DATA_GOC!$A:$A,"BOM",DATA_GOC!$D:$D,$B76,DATA_GOC!$E:$E,"Téc 2",DATA_GOC!$F:$F,"Xuất nội bộ từ téc",DATA_GOC!$B:$B,DATE($D$2,$B$2,Q$4)),0))</f>
        <v>0</v>
      </c>
      <c r="R76" s="251">
        <f>IF(R$4&gt;DAY(EOMONTH(DATE($D$2,$B$2,1),0)),"",IFERROR(SUMIFS(DATA_GOC!$H:$H,DATA_GOC!$A:$A,"BOM",DATA_GOC!$D:$D,$B76,DATA_GOC!$E:$E,"Téc 2",DATA_GOC!$F:$F,"Xuất nội bộ từ téc",DATA_GOC!$B:$B,DATE($D$2,$B$2,R$4)),0))</f>
        <v>0</v>
      </c>
      <c r="S76" s="251">
        <f>IF(S$4&gt;DAY(EOMONTH(DATE($D$2,$B$2,1),0)),"",IFERROR(SUMIFS(DATA_GOC!$H:$H,DATA_GOC!$A:$A,"BOM",DATA_GOC!$D:$D,$B76,DATA_GOC!$E:$E,"Téc 2",DATA_GOC!$F:$F,"Xuất nội bộ từ téc",DATA_GOC!$B:$B,DATE($D$2,$B$2,S$4)),0))</f>
        <v>0</v>
      </c>
      <c r="T76" s="251">
        <f>IF(T$4&gt;DAY(EOMONTH(DATE($D$2,$B$2,1),0)),"",IFERROR(SUMIFS(DATA_GOC!$H:$H,DATA_GOC!$A:$A,"BOM",DATA_GOC!$D:$D,$B76,DATA_GOC!$E:$E,"Téc 2",DATA_GOC!$F:$F,"Xuất nội bộ từ téc",DATA_GOC!$B:$B,DATE($D$2,$B$2,T$4)),0))</f>
        <v>0</v>
      </c>
      <c r="U76" s="251">
        <f>IF(U$4&gt;DAY(EOMONTH(DATE($D$2,$B$2,1),0)),"",IFERROR(SUMIFS(DATA_GOC!$H:$H,DATA_GOC!$A:$A,"BOM",DATA_GOC!$D:$D,$B76,DATA_GOC!$E:$E,"Téc 2",DATA_GOC!$F:$F,"Xuất nội bộ từ téc",DATA_GOC!$B:$B,DATE($D$2,$B$2,U$4)),0))</f>
        <v>0</v>
      </c>
      <c r="V76" s="251">
        <f>IF(V$4&gt;DAY(EOMONTH(DATE($D$2,$B$2,1),0)),"",IFERROR(SUMIFS(DATA_GOC!$H:$H,DATA_GOC!$A:$A,"BOM",DATA_GOC!$D:$D,$B76,DATA_GOC!$E:$E,"Téc 2",DATA_GOC!$F:$F,"Xuất nội bộ từ téc",DATA_GOC!$B:$B,DATE($D$2,$B$2,V$4)),0))</f>
        <v>0</v>
      </c>
      <c r="W76" s="251">
        <f>IF(W$4&gt;DAY(EOMONTH(DATE($D$2,$B$2,1),0)),"",IFERROR(SUMIFS(DATA_GOC!$H:$H,DATA_GOC!$A:$A,"BOM",DATA_GOC!$D:$D,$B76,DATA_GOC!$E:$E,"Téc 2",DATA_GOC!$F:$F,"Xuất nội bộ từ téc",DATA_GOC!$B:$B,DATE($D$2,$B$2,W$4)),0))</f>
        <v>0</v>
      </c>
      <c r="X76" s="251">
        <f>IF(X$4&gt;DAY(EOMONTH(DATE($D$2,$B$2,1),0)),"",IFERROR(SUMIFS(DATA_GOC!$H:$H,DATA_GOC!$A:$A,"BOM",DATA_GOC!$D:$D,$B76,DATA_GOC!$E:$E,"Téc 2",DATA_GOC!$F:$F,"Xuất nội bộ từ téc",DATA_GOC!$B:$B,DATE($D$2,$B$2,X$4)),0))</f>
        <v>0</v>
      </c>
      <c r="Y76" s="251">
        <f>IF(Y$4&gt;DAY(EOMONTH(DATE($D$2,$B$2,1),0)),"",IFERROR(SUMIFS(DATA_GOC!$H:$H,DATA_GOC!$A:$A,"BOM",DATA_GOC!$D:$D,$B76,DATA_GOC!$E:$E,"Téc 2",DATA_GOC!$F:$F,"Xuất nội bộ từ téc",DATA_GOC!$B:$B,DATE($D$2,$B$2,Y$4)),0))</f>
        <v>0</v>
      </c>
      <c r="Z76" s="251">
        <f>IF(Z$4&gt;DAY(EOMONTH(DATE($D$2,$B$2,1),0)),"",IFERROR(SUMIFS(DATA_GOC!$H:$H,DATA_GOC!$A:$A,"BOM",DATA_GOC!$D:$D,$B76,DATA_GOC!$E:$E,"Téc 2",DATA_GOC!$F:$F,"Xuất nội bộ từ téc",DATA_GOC!$B:$B,DATE($D$2,$B$2,Z$4)),0))</f>
        <v>0</v>
      </c>
      <c r="AA76" s="251">
        <f>IF(AA$4&gt;DAY(EOMONTH(DATE($D$2,$B$2,1),0)),"",IFERROR(SUMIFS(DATA_GOC!$H:$H,DATA_GOC!$A:$A,"BOM",DATA_GOC!$D:$D,$B76,DATA_GOC!$E:$E,"Téc 2",DATA_GOC!$F:$F,"Xuất nội bộ từ téc",DATA_GOC!$B:$B,DATE($D$2,$B$2,AA$4)),0))</f>
        <v>0</v>
      </c>
      <c r="AB76" s="251">
        <f>IF(AB$4&gt;DAY(EOMONTH(DATE($D$2,$B$2,1),0)),"",IFERROR(SUMIFS(DATA_GOC!$H:$H,DATA_GOC!$A:$A,"BOM",DATA_GOC!$D:$D,$B76,DATA_GOC!$E:$E,"Téc 2",DATA_GOC!$F:$F,"Xuất nội bộ từ téc",DATA_GOC!$B:$B,DATE($D$2,$B$2,AB$4)),0))</f>
        <v>0</v>
      </c>
      <c r="AC76" s="251">
        <f>IF(AC$4&gt;DAY(EOMONTH(DATE($D$2,$B$2,1),0)),"",IFERROR(SUMIFS(DATA_GOC!$H:$H,DATA_GOC!$A:$A,"BOM",DATA_GOC!$D:$D,$B76,DATA_GOC!$E:$E,"Téc 2",DATA_GOC!$F:$F,"Xuất nội bộ từ téc",DATA_GOC!$B:$B,DATE($D$2,$B$2,AC$4)),0))</f>
        <v>0</v>
      </c>
      <c r="AD76" s="251">
        <f>IF(AD$4&gt;DAY(EOMONTH(DATE($D$2,$B$2,1),0)),"",IFERROR(SUMIFS(DATA_GOC!$H:$H,DATA_GOC!$A:$A,"BOM",DATA_GOC!$D:$D,$B76,DATA_GOC!$E:$E,"Téc 2",DATA_GOC!$F:$F,"Xuất nội bộ từ téc",DATA_GOC!$B:$B,DATE($D$2,$B$2,AD$4)),0))</f>
        <v>0</v>
      </c>
      <c r="AE76" s="251">
        <f>IF(AE$4&gt;DAY(EOMONTH(DATE($D$2,$B$2,1),0)),"",IFERROR(SUMIFS(DATA_GOC!$H:$H,DATA_GOC!$A:$A,"BOM",DATA_GOC!$D:$D,$B76,DATA_GOC!$E:$E,"Téc 2",DATA_GOC!$F:$F,"Xuất nội bộ từ téc",DATA_GOC!$B:$B,DATE($D$2,$B$2,AE$4)),0))</f>
        <v>0</v>
      </c>
      <c r="AF76" s="251">
        <f>IF(AF$4&gt;DAY(EOMONTH(DATE($D$2,$B$2,1),0)),"",IFERROR(SUMIFS(DATA_GOC!$H:$H,DATA_GOC!$A:$A,"BOM",DATA_GOC!$D:$D,$B76,DATA_GOC!$E:$E,"Téc 2",DATA_GOC!$F:$F,"Xuất nội bộ từ téc",DATA_GOC!$B:$B,DATE($D$2,$B$2,AF$4)),0))</f>
        <v>0</v>
      </c>
      <c r="AG76" s="251">
        <f>IF(AG$4&gt;DAY(EOMONTH(DATE($D$2,$B$2,1),0)),"",IFERROR(SUMIFS(DATA_GOC!$H:$H,DATA_GOC!$A:$A,"BOM",DATA_GOC!$D:$D,$B76,DATA_GOC!$E:$E,"Téc 2",DATA_GOC!$F:$F,"Xuất nội bộ từ téc",DATA_GOC!$B:$B,DATE($D$2,$B$2,AG$4)),0))</f>
        <v>0</v>
      </c>
      <c r="AH76" s="252">
        <f t="shared" si="4"/>
        <v>0</v>
      </c>
      <c r="AI76" s="241">
        <f>IFERROR(SUMIFS(DATA_GOC!$H:$H,DATA_GOC!$A:$A,"BOM",DATA_GOC!$D:$D,$B76,DATA_GOC!$E:$E,"Bơm ngoài/Hải Tân",DATA_GOC!$F:$F,"Bơm ngoài",DATA_GOC!$B:$B,"&gt;="&amp;DATE($D$2,$B$2,1),DATA_GOC!$B:$B,"&lt;="&amp;EOMONTH(DATE($D$2,$B$2,1),0)),0)</f>
        <v>0</v>
      </c>
      <c r="AJ76" s="242">
        <f>IF($B76="","",SUMIFS(TINH_TEC!$K$233:$K$9232,TINH_TEC!$H$233:$H$9232,$B76,TINH_TEC!$C$233:$C$9232,"Téc 2",TINH_TEC!$F$233:$F$9232,$B$2,TINH_TEC!$G$233:$G$9232,$D$2,TINH_TEC!$B$233:$B$9232,"Đã chốt"))</f>
        <v>0</v>
      </c>
      <c r="AK76" s="242">
        <f>IF($B76="","",SUMIFS(TINH_TEC!$J$233:$J$9232,TINH_TEC!$H$233:$H$9232,$B76,TINH_TEC!$C$233:$C$9232,"Téc 2",TINH_TEC!$F$233:$F$9232,$B$2,TINH_TEC!$G$233:$G$9232,$D$2,TINH_TEC!$B$233:$B$9232,"Đã chốt"))</f>
        <v>5.475</v>
      </c>
      <c r="AL76" s="242">
        <f t="shared" si="5"/>
        <v>5.475</v>
      </c>
    </row>
    <row r="77" ht="15.75" customHeight="1">
      <c r="A77" s="237">
        <f>IF($B77&lt;&gt;"",11,"")</f>
        <v>11</v>
      </c>
      <c r="B77" s="250" t="str">
        <f t="array" ref="B77">IFERROR(INDEX(DANH_MUC!$E:$E,14),"")</f>
        <v>28C02106</v>
      </c>
      <c r="C77" s="251">
        <f>IF(C$4&gt;DAY(EOMONTH(DATE($D$2,$B$2,1),0)),"",IFERROR(SUMIFS(DATA_GOC!$H:$H,DATA_GOC!$A:$A,"BOM",DATA_GOC!$D:$D,$B77,DATA_GOC!$E:$E,"Téc 2",DATA_GOC!$F:$F,"Xuất nội bộ từ téc",DATA_GOC!$B:$B,DATE($D$2,$B$2,C$4)),0))</f>
        <v>0</v>
      </c>
      <c r="D77" s="251">
        <f>IF(D$4&gt;DAY(EOMONTH(DATE($D$2,$B$2,1),0)),"",IFERROR(SUMIFS(DATA_GOC!$H:$H,DATA_GOC!$A:$A,"BOM",DATA_GOC!$D:$D,$B77,DATA_GOC!$E:$E,"Téc 2",DATA_GOC!$F:$F,"Xuất nội bộ từ téc",DATA_GOC!$B:$B,DATE($D$2,$B$2,D$4)),0))</f>
        <v>0</v>
      </c>
      <c r="E77" s="251">
        <f>IF(E$4&gt;DAY(EOMONTH(DATE($D$2,$B$2,1),0)),"",IFERROR(SUMIFS(DATA_GOC!$H:$H,DATA_GOC!$A:$A,"BOM",DATA_GOC!$D:$D,$B77,DATA_GOC!$E:$E,"Téc 2",DATA_GOC!$F:$F,"Xuất nội bộ từ téc",DATA_GOC!$B:$B,DATE($D$2,$B$2,E$4)),0))</f>
        <v>0</v>
      </c>
      <c r="F77" s="251">
        <f>IF(F$4&gt;DAY(EOMONTH(DATE($D$2,$B$2,1),0)),"",IFERROR(SUMIFS(DATA_GOC!$H:$H,DATA_GOC!$A:$A,"BOM",DATA_GOC!$D:$D,$B77,DATA_GOC!$E:$E,"Téc 2",DATA_GOC!$F:$F,"Xuất nội bộ từ téc",DATA_GOC!$B:$B,DATE($D$2,$B$2,F$4)),0))</f>
        <v>0</v>
      </c>
      <c r="G77" s="251">
        <f>IF(G$4&gt;DAY(EOMONTH(DATE($D$2,$B$2,1),0)),"",IFERROR(SUMIFS(DATA_GOC!$H:$H,DATA_GOC!$A:$A,"BOM",DATA_GOC!$D:$D,$B77,DATA_GOC!$E:$E,"Téc 2",DATA_GOC!$F:$F,"Xuất nội bộ từ téc",DATA_GOC!$B:$B,DATE($D$2,$B$2,G$4)),0))</f>
        <v>0</v>
      </c>
      <c r="H77" s="251">
        <f>IF(H$4&gt;DAY(EOMONTH(DATE($D$2,$B$2,1),0)),"",IFERROR(SUMIFS(DATA_GOC!$H:$H,DATA_GOC!$A:$A,"BOM",DATA_GOC!$D:$D,$B77,DATA_GOC!$E:$E,"Téc 2",DATA_GOC!$F:$F,"Xuất nội bộ từ téc",DATA_GOC!$B:$B,DATE($D$2,$B$2,H$4)),0))</f>
        <v>0</v>
      </c>
      <c r="I77" s="251">
        <f>IF(I$4&gt;DAY(EOMONTH(DATE($D$2,$B$2,1),0)),"",IFERROR(SUMIFS(DATA_GOC!$H:$H,DATA_GOC!$A:$A,"BOM",DATA_GOC!$D:$D,$B77,DATA_GOC!$E:$E,"Téc 2",DATA_GOC!$F:$F,"Xuất nội bộ từ téc",DATA_GOC!$B:$B,DATE($D$2,$B$2,I$4)),0))</f>
        <v>0</v>
      </c>
      <c r="J77" s="251">
        <f>IF(J$4&gt;DAY(EOMONTH(DATE($D$2,$B$2,1),0)),"",IFERROR(SUMIFS(DATA_GOC!$H:$H,DATA_GOC!$A:$A,"BOM",DATA_GOC!$D:$D,$B77,DATA_GOC!$E:$E,"Téc 2",DATA_GOC!$F:$F,"Xuất nội bộ từ téc",DATA_GOC!$B:$B,DATE($D$2,$B$2,J$4)),0))</f>
        <v>0</v>
      </c>
      <c r="K77" s="251">
        <f>IF(K$4&gt;DAY(EOMONTH(DATE($D$2,$B$2,1),0)),"",IFERROR(SUMIFS(DATA_GOC!$H:$H,DATA_GOC!$A:$A,"BOM",DATA_GOC!$D:$D,$B77,DATA_GOC!$E:$E,"Téc 2",DATA_GOC!$F:$F,"Xuất nội bộ từ téc",DATA_GOC!$B:$B,DATE($D$2,$B$2,K$4)),0))</f>
        <v>0</v>
      </c>
      <c r="L77" s="251">
        <f>IF(L$4&gt;DAY(EOMONTH(DATE($D$2,$B$2,1),0)),"",IFERROR(SUMIFS(DATA_GOC!$H:$H,DATA_GOC!$A:$A,"BOM",DATA_GOC!$D:$D,$B77,DATA_GOC!$E:$E,"Téc 2",DATA_GOC!$F:$F,"Xuất nội bộ từ téc",DATA_GOC!$B:$B,DATE($D$2,$B$2,L$4)),0))</f>
        <v>0</v>
      </c>
      <c r="M77" s="251">
        <f>IF(M$4&gt;DAY(EOMONTH(DATE($D$2,$B$2,1),0)),"",IFERROR(SUMIFS(DATA_GOC!$H:$H,DATA_GOC!$A:$A,"BOM",DATA_GOC!$D:$D,$B77,DATA_GOC!$E:$E,"Téc 2",DATA_GOC!$F:$F,"Xuất nội bộ từ téc",DATA_GOC!$B:$B,DATE($D$2,$B$2,M$4)),0))</f>
        <v>0</v>
      </c>
      <c r="N77" s="251">
        <f>IF(N$4&gt;DAY(EOMONTH(DATE($D$2,$B$2,1),0)),"",IFERROR(SUMIFS(DATA_GOC!$H:$H,DATA_GOC!$A:$A,"BOM",DATA_GOC!$D:$D,$B77,DATA_GOC!$E:$E,"Téc 2",DATA_GOC!$F:$F,"Xuất nội bộ từ téc",DATA_GOC!$B:$B,DATE($D$2,$B$2,N$4)),0))</f>
        <v>0</v>
      </c>
      <c r="O77" s="251">
        <f>IF(O$4&gt;DAY(EOMONTH(DATE($D$2,$B$2,1),0)),"",IFERROR(SUMIFS(DATA_GOC!$H:$H,DATA_GOC!$A:$A,"BOM",DATA_GOC!$D:$D,$B77,DATA_GOC!$E:$E,"Téc 2",DATA_GOC!$F:$F,"Xuất nội bộ từ téc",DATA_GOC!$B:$B,DATE($D$2,$B$2,O$4)),0))</f>
        <v>0</v>
      </c>
      <c r="P77" s="251">
        <f>IF(P$4&gt;DAY(EOMONTH(DATE($D$2,$B$2,1),0)),"",IFERROR(SUMIFS(DATA_GOC!$H:$H,DATA_GOC!$A:$A,"BOM",DATA_GOC!$D:$D,$B77,DATA_GOC!$E:$E,"Téc 2",DATA_GOC!$F:$F,"Xuất nội bộ từ téc",DATA_GOC!$B:$B,DATE($D$2,$B$2,P$4)),0))</f>
        <v>0</v>
      </c>
      <c r="Q77" s="251">
        <f>IF(Q$4&gt;DAY(EOMONTH(DATE($D$2,$B$2,1),0)),"",IFERROR(SUMIFS(DATA_GOC!$H:$H,DATA_GOC!$A:$A,"BOM",DATA_GOC!$D:$D,$B77,DATA_GOC!$E:$E,"Téc 2",DATA_GOC!$F:$F,"Xuất nội bộ từ téc",DATA_GOC!$B:$B,DATE($D$2,$B$2,Q$4)),0))</f>
        <v>0</v>
      </c>
      <c r="R77" s="251">
        <f>IF(R$4&gt;DAY(EOMONTH(DATE($D$2,$B$2,1),0)),"",IFERROR(SUMIFS(DATA_GOC!$H:$H,DATA_GOC!$A:$A,"BOM",DATA_GOC!$D:$D,$B77,DATA_GOC!$E:$E,"Téc 2",DATA_GOC!$F:$F,"Xuất nội bộ từ téc",DATA_GOC!$B:$B,DATE($D$2,$B$2,R$4)),0))</f>
        <v>0</v>
      </c>
      <c r="S77" s="251">
        <f>IF(S$4&gt;DAY(EOMONTH(DATE($D$2,$B$2,1),0)),"",IFERROR(SUMIFS(DATA_GOC!$H:$H,DATA_GOC!$A:$A,"BOM",DATA_GOC!$D:$D,$B77,DATA_GOC!$E:$E,"Téc 2",DATA_GOC!$F:$F,"Xuất nội bộ từ téc",DATA_GOC!$B:$B,DATE($D$2,$B$2,S$4)),0))</f>
        <v>0</v>
      </c>
      <c r="T77" s="251">
        <f>IF(T$4&gt;DAY(EOMONTH(DATE($D$2,$B$2,1),0)),"",IFERROR(SUMIFS(DATA_GOC!$H:$H,DATA_GOC!$A:$A,"BOM",DATA_GOC!$D:$D,$B77,DATA_GOC!$E:$E,"Téc 2",DATA_GOC!$F:$F,"Xuất nội bộ từ téc",DATA_GOC!$B:$B,DATE($D$2,$B$2,T$4)),0))</f>
        <v>0</v>
      </c>
      <c r="U77" s="251">
        <f>IF(U$4&gt;DAY(EOMONTH(DATE($D$2,$B$2,1),0)),"",IFERROR(SUMIFS(DATA_GOC!$H:$H,DATA_GOC!$A:$A,"BOM",DATA_GOC!$D:$D,$B77,DATA_GOC!$E:$E,"Téc 2",DATA_GOC!$F:$F,"Xuất nội bộ từ téc",DATA_GOC!$B:$B,DATE($D$2,$B$2,U$4)),0))</f>
        <v>0</v>
      </c>
      <c r="V77" s="251">
        <f>IF(V$4&gt;DAY(EOMONTH(DATE($D$2,$B$2,1),0)),"",IFERROR(SUMIFS(DATA_GOC!$H:$H,DATA_GOC!$A:$A,"BOM",DATA_GOC!$D:$D,$B77,DATA_GOC!$E:$E,"Téc 2",DATA_GOC!$F:$F,"Xuất nội bộ từ téc",DATA_GOC!$B:$B,DATE($D$2,$B$2,V$4)),0))</f>
        <v>0</v>
      </c>
      <c r="W77" s="251">
        <f>IF(W$4&gt;DAY(EOMONTH(DATE($D$2,$B$2,1),0)),"",IFERROR(SUMIFS(DATA_GOC!$H:$H,DATA_GOC!$A:$A,"BOM",DATA_GOC!$D:$D,$B77,DATA_GOC!$E:$E,"Téc 2",DATA_GOC!$F:$F,"Xuất nội bộ từ téc",DATA_GOC!$B:$B,DATE($D$2,$B$2,W$4)),0))</f>
        <v>0</v>
      </c>
      <c r="X77" s="251">
        <f>IF(X$4&gt;DAY(EOMONTH(DATE($D$2,$B$2,1),0)),"",IFERROR(SUMIFS(DATA_GOC!$H:$H,DATA_GOC!$A:$A,"BOM",DATA_GOC!$D:$D,$B77,DATA_GOC!$E:$E,"Téc 2",DATA_GOC!$F:$F,"Xuất nội bộ từ téc",DATA_GOC!$B:$B,DATE($D$2,$B$2,X$4)),0))</f>
        <v>0</v>
      </c>
      <c r="Y77" s="251">
        <f>IF(Y$4&gt;DAY(EOMONTH(DATE($D$2,$B$2,1),0)),"",IFERROR(SUMIFS(DATA_GOC!$H:$H,DATA_GOC!$A:$A,"BOM",DATA_GOC!$D:$D,$B77,DATA_GOC!$E:$E,"Téc 2",DATA_GOC!$F:$F,"Xuất nội bộ từ téc",DATA_GOC!$B:$B,DATE($D$2,$B$2,Y$4)),0))</f>
        <v>0</v>
      </c>
      <c r="Z77" s="251">
        <f>IF(Z$4&gt;DAY(EOMONTH(DATE($D$2,$B$2,1),0)),"",IFERROR(SUMIFS(DATA_GOC!$H:$H,DATA_GOC!$A:$A,"BOM",DATA_GOC!$D:$D,$B77,DATA_GOC!$E:$E,"Téc 2",DATA_GOC!$F:$F,"Xuất nội bộ từ téc",DATA_GOC!$B:$B,DATE($D$2,$B$2,Z$4)),0))</f>
        <v>0</v>
      </c>
      <c r="AA77" s="251">
        <f>IF(AA$4&gt;DAY(EOMONTH(DATE($D$2,$B$2,1),0)),"",IFERROR(SUMIFS(DATA_GOC!$H:$H,DATA_GOC!$A:$A,"BOM",DATA_GOC!$D:$D,$B77,DATA_GOC!$E:$E,"Téc 2",DATA_GOC!$F:$F,"Xuất nội bộ từ téc",DATA_GOC!$B:$B,DATE($D$2,$B$2,AA$4)),0))</f>
        <v>0</v>
      </c>
      <c r="AB77" s="251">
        <f>IF(AB$4&gt;DAY(EOMONTH(DATE($D$2,$B$2,1),0)),"",IFERROR(SUMIFS(DATA_GOC!$H:$H,DATA_GOC!$A:$A,"BOM",DATA_GOC!$D:$D,$B77,DATA_GOC!$E:$E,"Téc 2",DATA_GOC!$F:$F,"Xuất nội bộ từ téc",DATA_GOC!$B:$B,DATE($D$2,$B$2,AB$4)),0))</f>
        <v>0</v>
      </c>
      <c r="AC77" s="251">
        <f>IF(AC$4&gt;DAY(EOMONTH(DATE($D$2,$B$2,1),0)),"",IFERROR(SUMIFS(DATA_GOC!$H:$H,DATA_GOC!$A:$A,"BOM",DATA_GOC!$D:$D,$B77,DATA_GOC!$E:$E,"Téc 2",DATA_GOC!$F:$F,"Xuất nội bộ từ téc",DATA_GOC!$B:$B,DATE($D$2,$B$2,AC$4)),0))</f>
        <v>0</v>
      </c>
      <c r="AD77" s="251">
        <f>IF(AD$4&gt;DAY(EOMONTH(DATE($D$2,$B$2,1),0)),"",IFERROR(SUMIFS(DATA_GOC!$H:$H,DATA_GOC!$A:$A,"BOM",DATA_GOC!$D:$D,$B77,DATA_GOC!$E:$E,"Téc 2",DATA_GOC!$F:$F,"Xuất nội bộ từ téc",DATA_GOC!$B:$B,DATE($D$2,$B$2,AD$4)),0))</f>
        <v>0</v>
      </c>
      <c r="AE77" s="251">
        <f>IF(AE$4&gt;DAY(EOMONTH(DATE($D$2,$B$2,1),0)),"",IFERROR(SUMIFS(DATA_GOC!$H:$H,DATA_GOC!$A:$A,"BOM",DATA_GOC!$D:$D,$B77,DATA_GOC!$E:$E,"Téc 2",DATA_GOC!$F:$F,"Xuất nội bộ từ téc",DATA_GOC!$B:$B,DATE($D$2,$B$2,AE$4)),0))</f>
        <v>0</v>
      </c>
      <c r="AF77" s="251">
        <f>IF(AF$4&gt;DAY(EOMONTH(DATE($D$2,$B$2,1),0)),"",IFERROR(SUMIFS(DATA_GOC!$H:$H,DATA_GOC!$A:$A,"BOM",DATA_GOC!$D:$D,$B77,DATA_GOC!$E:$E,"Téc 2",DATA_GOC!$F:$F,"Xuất nội bộ từ téc",DATA_GOC!$B:$B,DATE($D$2,$B$2,AF$4)),0))</f>
        <v>0</v>
      </c>
      <c r="AG77" s="251">
        <f>IF(AG$4&gt;DAY(EOMONTH(DATE($D$2,$B$2,1),0)),"",IFERROR(SUMIFS(DATA_GOC!$H:$H,DATA_GOC!$A:$A,"BOM",DATA_GOC!$D:$D,$B77,DATA_GOC!$E:$E,"Téc 2",DATA_GOC!$F:$F,"Xuất nội bộ từ téc",DATA_GOC!$B:$B,DATE($D$2,$B$2,AG$4)),0))</f>
        <v>0</v>
      </c>
      <c r="AH77" s="252">
        <f t="shared" si="4"/>
        <v>0</v>
      </c>
      <c r="AI77" s="241">
        <f>IFERROR(SUMIFS(DATA_GOC!$H:$H,DATA_GOC!$A:$A,"BOM",DATA_GOC!$D:$D,$B77,DATA_GOC!$E:$E,"Bơm ngoài/Hải Tân",DATA_GOC!$F:$F,"Bơm ngoài",DATA_GOC!$B:$B,"&gt;="&amp;DATE($D$2,$B$2,1),DATA_GOC!$B:$B,"&lt;="&amp;EOMONTH(DATE($D$2,$B$2,1),0)),0)</f>
        <v>0</v>
      </c>
      <c r="AJ77" s="242">
        <f>IF($B77="","",SUMIFS(TINH_TEC!$K$233:$K$9232,TINH_TEC!$H$233:$H$9232,$B77,TINH_TEC!$C$233:$C$9232,"Téc 2",TINH_TEC!$F$233:$F$9232,$B$2,TINH_TEC!$G$233:$G$9232,$D$2,TINH_TEC!$B$233:$B$9232,"Đã chốt"))</f>
        <v>0</v>
      </c>
      <c r="AK77" s="242">
        <f>IF($B77="","",SUMIFS(TINH_TEC!$J$233:$J$9232,TINH_TEC!$H$233:$H$9232,$B77,TINH_TEC!$C$233:$C$9232,"Téc 2",TINH_TEC!$F$233:$F$9232,$B$2,TINH_TEC!$G$233:$G$9232,$D$2,TINH_TEC!$B$233:$B$9232,"Đã chốt"))</f>
        <v>0</v>
      </c>
      <c r="AL77" s="242">
        <f t="shared" si="5"/>
        <v>0</v>
      </c>
    </row>
    <row r="78" ht="15.75" customHeight="1">
      <c r="A78" s="237">
        <f>IF($B78&lt;&gt;"",12,"")</f>
        <v>12</v>
      </c>
      <c r="B78" s="250" t="str">
        <f t="array" ref="B78">IFERROR(INDEX(DANH_MUC!$E:$E,15),"")</f>
        <v>28C02410</v>
      </c>
      <c r="C78" s="251">
        <f>IF(C$4&gt;DAY(EOMONTH(DATE($D$2,$B$2,1),0)),"",IFERROR(SUMIFS(DATA_GOC!$H:$H,DATA_GOC!$A:$A,"BOM",DATA_GOC!$D:$D,$B78,DATA_GOC!$E:$E,"Téc 2",DATA_GOC!$F:$F,"Xuất nội bộ từ téc",DATA_GOC!$B:$B,DATE($D$2,$B$2,C$4)),0))</f>
        <v>0</v>
      </c>
      <c r="D78" s="251">
        <f>IF(D$4&gt;DAY(EOMONTH(DATE($D$2,$B$2,1),0)),"",IFERROR(SUMIFS(DATA_GOC!$H:$H,DATA_GOC!$A:$A,"BOM",DATA_GOC!$D:$D,$B78,DATA_GOC!$E:$E,"Téc 2",DATA_GOC!$F:$F,"Xuất nội bộ từ téc",DATA_GOC!$B:$B,DATE($D$2,$B$2,D$4)),0))</f>
        <v>0</v>
      </c>
      <c r="E78" s="251">
        <f>IF(E$4&gt;DAY(EOMONTH(DATE($D$2,$B$2,1),0)),"",IFERROR(SUMIFS(DATA_GOC!$H:$H,DATA_GOC!$A:$A,"BOM",DATA_GOC!$D:$D,$B78,DATA_GOC!$E:$E,"Téc 2",DATA_GOC!$F:$F,"Xuất nội bộ từ téc",DATA_GOC!$B:$B,DATE($D$2,$B$2,E$4)),0))</f>
        <v>0</v>
      </c>
      <c r="F78" s="251">
        <f>IF(F$4&gt;DAY(EOMONTH(DATE($D$2,$B$2,1),0)),"",IFERROR(SUMIFS(DATA_GOC!$H:$H,DATA_GOC!$A:$A,"BOM",DATA_GOC!$D:$D,$B78,DATA_GOC!$E:$E,"Téc 2",DATA_GOC!$F:$F,"Xuất nội bộ từ téc",DATA_GOC!$B:$B,DATE($D$2,$B$2,F$4)),0))</f>
        <v>0</v>
      </c>
      <c r="G78" s="251">
        <f>IF(G$4&gt;DAY(EOMONTH(DATE($D$2,$B$2,1),0)),"",IFERROR(SUMIFS(DATA_GOC!$H:$H,DATA_GOC!$A:$A,"BOM",DATA_GOC!$D:$D,$B78,DATA_GOC!$E:$E,"Téc 2",DATA_GOC!$F:$F,"Xuất nội bộ từ téc",DATA_GOC!$B:$B,DATE($D$2,$B$2,G$4)),0))</f>
        <v>0</v>
      </c>
      <c r="H78" s="251">
        <f>IF(H$4&gt;DAY(EOMONTH(DATE($D$2,$B$2,1),0)),"",IFERROR(SUMIFS(DATA_GOC!$H:$H,DATA_GOC!$A:$A,"BOM",DATA_GOC!$D:$D,$B78,DATA_GOC!$E:$E,"Téc 2",DATA_GOC!$F:$F,"Xuất nội bộ từ téc",DATA_GOC!$B:$B,DATE($D$2,$B$2,H$4)),0))</f>
        <v>0</v>
      </c>
      <c r="I78" s="251">
        <f>IF(I$4&gt;DAY(EOMONTH(DATE($D$2,$B$2,1),0)),"",IFERROR(SUMIFS(DATA_GOC!$H:$H,DATA_GOC!$A:$A,"BOM",DATA_GOC!$D:$D,$B78,DATA_GOC!$E:$E,"Téc 2",DATA_GOC!$F:$F,"Xuất nội bộ từ téc",DATA_GOC!$B:$B,DATE($D$2,$B$2,I$4)),0))</f>
        <v>0</v>
      </c>
      <c r="J78" s="251">
        <f>IF(J$4&gt;DAY(EOMONTH(DATE($D$2,$B$2,1),0)),"",IFERROR(SUMIFS(DATA_GOC!$H:$H,DATA_GOC!$A:$A,"BOM",DATA_GOC!$D:$D,$B78,DATA_GOC!$E:$E,"Téc 2",DATA_GOC!$F:$F,"Xuất nội bộ từ téc",DATA_GOC!$B:$B,DATE($D$2,$B$2,J$4)),0))</f>
        <v>0</v>
      </c>
      <c r="K78" s="251">
        <f>IF(K$4&gt;DAY(EOMONTH(DATE($D$2,$B$2,1),0)),"",IFERROR(SUMIFS(DATA_GOC!$H:$H,DATA_GOC!$A:$A,"BOM",DATA_GOC!$D:$D,$B78,DATA_GOC!$E:$E,"Téc 2",DATA_GOC!$F:$F,"Xuất nội bộ từ téc",DATA_GOC!$B:$B,DATE($D$2,$B$2,K$4)),0))</f>
        <v>0</v>
      </c>
      <c r="L78" s="251">
        <f>IF(L$4&gt;DAY(EOMONTH(DATE($D$2,$B$2,1),0)),"",IFERROR(SUMIFS(DATA_GOC!$H:$H,DATA_GOC!$A:$A,"BOM",DATA_GOC!$D:$D,$B78,DATA_GOC!$E:$E,"Téc 2",DATA_GOC!$F:$F,"Xuất nội bộ từ téc",DATA_GOC!$B:$B,DATE($D$2,$B$2,L$4)),0))</f>
        <v>0</v>
      </c>
      <c r="M78" s="251">
        <f>IF(M$4&gt;DAY(EOMONTH(DATE($D$2,$B$2,1),0)),"",IFERROR(SUMIFS(DATA_GOC!$H:$H,DATA_GOC!$A:$A,"BOM",DATA_GOC!$D:$D,$B78,DATA_GOC!$E:$E,"Téc 2",DATA_GOC!$F:$F,"Xuất nội bộ từ téc",DATA_GOC!$B:$B,DATE($D$2,$B$2,M$4)),0))</f>
        <v>0</v>
      </c>
      <c r="N78" s="251">
        <f>IF(N$4&gt;DAY(EOMONTH(DATE($D$2,$B$2,1),0)),"",IFERROR(SUMIFS(DATA_GOC!$H:$H,DATA_GOC!$A:$A,"BOM",DATA_GOC!$D:$D,$B78,DATA_GOC!$E:$E,"Téc 2",DATA_GOC!$F:$F,"Xuất nội bộ từ téc",DATA_GOC!$B:$B,DATE($D$2,$B$2,N$4)),0))</f>
        <v>0</v>
      </c>
      <c r="O78" s="251">
        <f>IF(O$4&gt;DAY(EOMONTH(DATE($D$2,$B$2,1),0)),"",IFERROR(SUMIFS(DATA_GOC!$H:$H,DATA_GOC!$A:$A,"BOM",DATA_GOC!$D:$D,$B78,DATA_GOC!$E:$E,"Téc 2",DATA_GOC!$F:$F,"Xuất nội bộ từ téc",DATA_GOC!$B:$B,DATE($D$2,$B$2,O$4)),0))</f>
        <v>0</v>
      </c>
      <c r="P78" s="251">
        <f>IF(P$4&gt;DAY(EOMONTH(DATE($D$2,$B$2,1),0)),"",IFERROR(SUMIFS(DATA_GOC!$H:$H,DATA_GOC!$A:$A,"BOM",DATA_GOC!$D:$D,$B78,DATA_GOC!$E:$E,"Téc 2",DATA_GOC!$F:$F,"Xuất nội bộ từ téc",DATA_GOC!$B:$B,DATE($D$2,$B$2,P$4)),0))</f>
        <v>0</v>
      </c>
      <c r="Q78" s="251">
        <f>IF(Q$4&gt;DAY(EOMONTH(DATE($D$2,$B$2,1),0)),"",IFERROR(SUMIFS(DATA_GOC!$H:$H,DATA_GOC!$A:$A,"BOM",DATA_GOC!$D:$D,$B78,DATA_GOC!$E:$E,"Téc 2",DATA_GOC!$F:$F,"Xuất nội bộ từ téc",DATA_GOC!$B:$B,DATE($D$2,$B$2,Q$4)),0))</f>
        <v>0</v>
      </c>
      <c r="R78" s="251">
        <f>IF(R$4&gt;DAY(EOMONTH(DATE($D$2,$B$2,1),0)),"",IFERROR(SUMIFS(DATA_GOC!$H:$H,DATA_GOC!$A:$A,"BOM",DATA_GOC!$D:$D,$B78,DATA_GOC!$E:$E,"Téc 2",DATA_GOC!$F:$F,"Xuất nội bộ từ téc",DATA_GOC!$B:$B,DATE($D$2,$B$2,R$4)),0))</f>
        <v>0</v>
      </c>
      <c r="S78" s="251">
        <f>IF(S$4&gt;DAY(EOMONTH(DATE($D$2,$B$2,1),0)),"",IFERROR(SUMIFS(DATA_GOC!$H:$H,DATA_GOC!$A:$A,"BOM",DATA_GOC!$D:$D,$B78,DATA_GOC!$E:$E,"Téc 2",DATA_GOC!$F:$F,"Xuất nội bộ từ téc",DATA_GOC!$B:$B,DATE($D$2,$B$2,S$4)),0))</f>
        <v>0</v>
      </c>
      <c r="T78" s="251">
        <f>IF(T$4&gt;DAY(EOMONTH(DATE($D$2,$B$2,1),0)),"",IFERROR(SUMIFS(DATA_GOC!$H:$H,DATA_GOC!$A:$A,"BOM",DATA_GOC!$D:$D,$B78,DATA_GOC!$E:$E,"Téc 2",DATA_GOC!$F:$F,"Xuất nội bộ từ téc",DATA_GOC!$B:$B,DATE($D$2,$B$2,T$4)),0))</f>
        <v>0</v>
      </c>
      <c r="U78" s="251">
        <f>IF(U$4&gt;DAY(EOMONTH(DATE($D$2,$B$2,1),0)),"",IFERROR(SUMIFS(DATA_GOC!$H:$H,DATA_GOC!$A:$A,"BOM",DATA_GOC!$D:$D,$B78,DATA_GOC!$E:$E,"Téc 2",DATA_GOC!$F:$F,"Xuất nội bộ từ téc",DATA_GOC!$B:$B,DATE($D$2,$B$2,U$4)),0))</f>
        <v>0</v>
      </c>
      <c r="V78" s="251">
        <f>IF(V$4&gt;DAY(EOMONTH(DATE($D$2,$B$2,1),0)),"",IFERROR(SUMIFS(DATA_GOC!$H:$H,DATA_GOC!$A:$A,"BOM",DATA_GOC!$D:$D,$B78,DATA_GOC!$E:$E,"Téc 2",DATA_GOC!$F:$F,"Xuất nội bộ từ téc",DATA_GOC!$B:$B,DATE($D$2,$B$2,V$4)),0))</f>
        <v>0</v>
      </c>
      <c r="W78" s="251">
        <f>IF(W$4&gt;DAY(EOMONTH(DATE($D$2,$B$2,1),0)),"",IFERROR(SUMIFS(DATA_GOC!$H:$H,DATA_GOC!$A:$A,"BOM",DATA_GOC!$D:$D,$B78,DATA_GOC!$E:$E,"Téc 2",DATA_GOC!$F:$F,"Xuất nội bộ từ téc",DATA_GOC!$B:$B,DATE($D$2,$B$2,W$4)),0))</f>
        <v>0</v>
      </c>
      <c r="X78" s="251">
        <f>IF(X$4&gt;DAY(EOMONTH(DATE($D$2,$B$2,1),0)),"",IFERROR(SUMIFS(DATA_GOC!$H:$H,DATA_GOC!$A:$A,"BOM",DATA_GOC!$D:$D,$B78,DATA_GOC!$E:$E,"Téc 2",DATA_GOC!$F:$F,"Xuất nội bộ từ téc",DATA_GOC!$B:$B,DATE($D$2,$B$2,X$4)),0))</f>
        <v>0</v>
      </c>
      <c r="Y78" s="251">
        <f>IF(Y$4&gt;DAY(EOMONTH(DATE($D$2,$B$2,1),0)),"",IFERROR(SUMIFS(DATA_GOC!$H:$H,DATA_GOC!$A:$A,"BOM",DATA_GOC!$D:$D,$B78,DATA_GOC!$E:$E,"Téc 2",DATA_GOC!$F:$F,"Xuất nội bộ từ téc",DATA_GOC!$B:$B,DATE($D$2,$B$2,Y$4)),0))</f>
        <v>0</v>
      </c>
      <c r="Z78" s="251">
        <f>IF(Z$4&gt;DAY(EOMONTH(DATE($D$2,$B$2,1),0)),"",IFERROR(SUMIFS(DATA_GOC!$H:$H,DATA_GOC!$A:$A,"BOM",DATA_GOC!$D:$D,$B78,DATA_GOC!$E:$E,"Téc 2",DATA_GOC!$F:$F,"Xuất nội bộ từ téc",DATA_GOC!$B:$B,DATE($D$2,$B$2,Z$4)),0))</f>
        <v>0</v>
      </c>
      <c r="AA78" s="251">
        <f>IF(AA$4&gt;DAY(EOMONTH(DATE($D$2,$B$2,1),0)),"",IFERROR(SUMIFS(DATA_GOC!$H:$H,DATA_GOC!$A:$A,"BOM",DATA_GOC!$D:$D,$B78,DATA_GOC!$E:$E,"Téc 2",DATA_GOC!$F:$F,"Xuất nội bộ từ téc",DATA_GOC!$B:$B,DATE($D$2,$B$2,AA$4)),0))</f>
        <v>0</v>
      </c>
      <c r="AB78" s="251">
        <f>IF(AB$4&gt;DAY(EOMONTH(DATE($D$2,$B$2,1),0)),"",IFERROR(SUMIFS(DATA_GOC!$H:$H,DATA_GOC!$A:$A,"BOM",DATA_GOC!$D:$D,$B78,DATA_GOC!$E:$E,"Téc 2",DATA_GOC!$F:$F,"Xuất nội bộ từ téc",DATA_GOC!$B:$B,DATE($D$2,$B$2,AB$4)),0))</f>
        <v>0</v>
      </c>
      <c r="AC78" s="251">
        <f>IF(AC$4&gt;DAY(EOMONTH(DATE($D$2,$B$2,1),0)),"",IFERROR(SUMIFS(DATA_GOC!$H:$H,DATA_GOC!$A:$A,"BOM",DATA_GOC!$D:$D,$B78,DATA_GOC!$E:$E,"Téc 2",DATA_GOC!$F:$F,"Xuất nội bộ từ téc",DATA_GOC!$B:$B,DATE($D$2,$B$2,AC$4)),0))</f>
        <v>0</v>
      </c>
      <c r="AD78" s="251">
        <f>IF(AD$4&gt;DAY(EOMONTH(DATE($D$2,$B$2,1),0)),"",IFERROR(SUMIFS(DATA_GOC!$H:$H,DATA_GOC!$A:$A,"BOM",DATA_GOC!$D:$D,$B78,DATA_GOC!$E:$E,"Téc 2",DATA_GOC!$F:$F,"Xuất nội bộ từ téc",DATA_GOC!$B:$B,DATE($D$2,$B$2,AD$4)),0))</f>
        <v>0</v>
      </c>
      <c r="AE78" s="251">
        <f>IF(AE$4&gt;DAY(EOMONTH(DATE($D$2,$B$2,1),0)),"",IFERROR(SUMIFS(DATA_GOC!$H:$H,DATA_GOC!$A:$A,"BOM",DATA_GOC!$D:$D,$B78,DATA_GOC!$E:$E,"Téc 2",DATA_GOC!$F:$F,"Xuất nội bộ từ téc",DATA_GOC!$B:$B,DATE($D$2,$B$2,AE$4)),0))</f>
        <v>0</v>
      </c>
      <c r="AF78" s="251">
        <f>IF(AF$4&gt;DAY(EOMONTH(DATE($D$2,$B$2,1),0)),"",IFERROR(SUMIFS(DATA_GOC!$H:$H,DATA_GOC!$A:$A,"BOM",DATA_GOC!$D:$D,$B78,DATA_GOC!$E:$E,"Téc 2",DATA_GOC!$F:$F,"Xuất nội bộ từ téc",DATA_GOC!$B:$B,DATE($D$2,$B$2,AF$4)),0))</f>
        <v>0</v>
      </c>
      <c r="AG78" s="251">
        <f>IF(AG$4&gt;DAY(EOMONTH(DATE($D$2,$B$2,1),0)),"",IFERROR(SUMIFS(DATA_GOC!$H:$H,DATA_GOC!$A:$A,"BOM",DATA_GOC!$D:$D,$B78,DATA_GOC!$E:$E,"Téc 2",DATA_GOC!$F:$F,"Xuất nội bộ từ téc",DATA_GOC!$B:$B,DATE($D$2,$B$2,AG$4)),0))</f>
        <v>0</v>
      </c>
      <c r="AH78" s="252">
        <f t="shared" si="4"/>
        <v>0</v>
      </c>
      <c r="AI78" s="241">
        <f>IFERROR(SUMIFS(DATA_GOC!$H:$H,DATA_GOC!$A:$A,"BOM",DATA_GOC!$D:$D,$B78,DATA_GOC!$E:$E,"Bơm ngoài/Hải Tân",DATA_GOC!$F:$F,"Bơm ngoài",DATA_GOC!$B:$B,"&gt;="&amp;DATE($D$2,$B$2,1),DATA_GOC!$B:$B,"&lt;="&amp;EOMONTH(DATE($D$2,$B$2,1),0)),0)</f>
        <v>0</v>
      </c>
      <c r="AJ78" s="242">
        <f>IF($B78="","",SUMIFS(TINH_TEC!$K$233:$K$9232,TINH_TEC!$H$233:$H$9232,$B78,TINH_TEC!$C$233:$C$9232,"Téc 2",TINH_TEC!$F$233:$F$9232,$B$2,TINH_TEC!$G$233:$G$9232,$D$2,TINH_TEC!$B$233:$B$9232,"Đã chốt"))</f>
        <v>0</v>
      </c>
      <c r="AK78" s="242">
        <f>IF($B78="","",SUMIFS(TINH_TEC!$J$233:$J$9232,TINH_TEC!$H$233:$H$9232,$B78,TINH_TEC!$C$233:$C$9232,"Téc 2",TINH_TEC!$F$233:$F$9232,$B$2,TINH_TEC!$G$233:$G$9232,$D$2,TINH_TEC!$B$233:$B$9232,"Đã chốt"))</f>
        <v>8.154</v>
      </c>
      <c r="AL78" s="242">
        <f t="shared" si="5"/>
        <v>8.154</v>
      </c>
    </row>
    <row r="79" ht="15.75" customHeight="1">
      <c r="A79" s="237">
        <f>IF($B79&lt;&gt;"",13,"")</f>
        <v>13</v>
      </c>
      <c r="B79" s="250" t="str">
        <f t="array" ref="B79">IFERROR(INDEX(DANH_MUC!$E:$E,16),"")</f>
        <v>28C02545</v>
      </c>
      <c r="C79" s="251">
        <f>IF(C$4&gt;DAY(EOMONTH(DATE($D$2,$B$2,1),0)),"",IFERROR(SUMIFS(DATA_GOC!$H:$H,DATA_GOC!$A:$A,"BOM",DATA_GOC!$D:$D,$B79,DATA_GOC!$E:$E,"Téc 2",DATA_GOC!$F:$F,"Xuất nội bộ từ téc",DATA_GOC!$B:$B,DATE($D$2,$B$2,C$4)),0))</f>
        <v>0</v>
      </c>
      <c r="D79" s="251">
        <f>IF(D$4&gt;DAY(EOMONTH(DATE($D$2,$B$2,1),0)),"",IFERROR(SUMIFS(DATA_GOC!$H:$H,DATA_GOC!$A:$A,"BOM",DATA_GOC!$D:$D,$B79,DATA_GOC!$E:$E,"Téc 2",DATA_GOC!$F:$F,"Xuất nội bộ từ téc",DATA_GOC!$B:$B,DATE($D$2,$B$2,D$4)),0))</f>
        <v>0</v>
      </c>
      <c r="E79" s="251">
        <f>IF(E$4&gt;DAY(EOMONTH(DATE($D$2,$B$2,1),0)),"",IFERROR(SUMIFS(DATA_GOC!$H:$H,DATA_GOC!$A:$A,"BOM",DATA_GOC!$D:$D,$B79,DATA_GOC!$E:$E,"Téc 2",DATA_GOC!$F:$F,"Xuất nội bộ từ téc",DATA_GOC!$B:$B,DATE($D$2,$B$2,E$4)),0))</f>
        <v>0</v>
      </c>
      <c r="F79" s="251">
        <f>IF(F$4&gt;DAY(EOMONTH(DATE($D$2,$B$2,1),0)),"",IFERROR(SUMIFS(DATA_GOC!$H:$H,DATA_GOC!$A:$A,"BOM",DATA_GOC!$D:$D,$B79,DATA_GOC!$E:$E,"Téc 2",DATA_GOC!$F:$F,"Xuất nội bộ từ téc",DATA_GOC!$B:$B,DATE($D$2,$B$2,F$4)),0))</f>
        <v>157</v>
      </c>
      <c r="G79" s="251">
        <f>IF(G$4&gt;DAY(EOMONTH(DATE($D$2,$B$2,1),0)),"",IFERROR(SUMIFS(DATA_GOC!$H:$H,DATA_GOC!$A:$A,"BOM",DATA_GOC!$D:$D,$B79,DATA_GOC!$E:$E,"Téc 2",DATA_GOC!$F:$F,"Xuất nội bộ từ téc",DATA_GOC!$B:$B,DATE($D$2,$B$2,G$4)),0))</f>
        <v>0</v>
      </c>
      <c r="H79" s="251">
        <f>IF(H$4&gt;DAY(EOMONTH(DATE($D$2,$B$2,1),0)),"",IFERROR(SUMIFS(DATA_GOC!$H:$H,DATA_GOC!$A:$A,"BOM",DATA_GOC!$D:$D,$B79,DATA_GOC!$E:$E,"Téc 2",DATA_GOC!$F:$F,"Xuất nội bộ từ téc",DATA_GOC!$B:$B,DATE($D$2,$B$2,H$4)),0))</f>
        <v>0</v>
      </c>
      <c r="I79" s="251">
        <f>IF(I$4&gt;DAY(EOMONTH(DATE($D$2,$B$2,1),0)),"",IFERROR(SUMIFS(DATA_GOC!$H:$H,DATA_GOC!$A:$A,"BOM",DATA_GOC!$D:$D,$B79,DATA_GOC!$E:$E,"Téc 2",DATA_GOC!$F:$F,"Xuất nội bộ từ téc",DATA_GOC!$B:$B,DATE($D$2,$B$2,I$4)),0))</f>
        <v>0</v>
      </c>
      <c r="J79" s="251">
        <f>IF(J$4&gt;DAY(EOMONTH(DATE($D$2,$B$2,1),0)),"",IFERROR(SUMIFS(DATA_GOC!$H:$H,DATA_GOC!$A:$A,"BOM",DATA_GOC!$D:$D,$B79,DATA_GOC!$E:$E,"Téc 2",DATA_GOC!$F:$F,"Xuất nội bộ từ téc",DATA_GOC!$B:$B,DATE($D$2,$B$2,J$4)),0))</f>
        <v>0</v>
      </c>
      <c r="K79" s="251">
        <f>IF(K$4&gt;DAY(EOMONTH(DATE($D$2,$B$2,1),0)),"",IFERROR(SUMIFS(DATA_GOC!$H:$H,DATA_GOC!$A:$A,"BOM",DATA_GOC!$D:$D,$B79,DATA_GOC!$E:$E,"Téc 2",DATA_GOC!$F:$F,"Xuất nội bộ từ téc",DATA_GOC!$B:$B,DATE($D$2,$B$2,K$4)),0))</f>
        <v>0</v>
      </c>
      <c r="L79" s="251">
        <f>IF(L$4&gt;DAY(EOMONTH(DATE($D$2,$B$2,1),0)),"",IFERROR(SUMIFS(DATA_GOC!$H:$H,DATA_GOC!$A:$A,"BOM",DATA_GOC!$D:$D,$B79,DATA_GOC!$E:$E,"Téc 2",DATA_GOC!$F:$F,"Xuất nội bộ từ téc",DATA_GOC!$B:$B,DATE($D$2,$B$2,L$4)),0))</f>
        <v>0</v>
      </c>
      <c r="M79" s="251">
        <f>IF(M$4&gt;DAY(EOMONTH(DATE($D$2,$B$2,1),0)),"",IFERROR(SUMIFS(DATA_GOC!$H:$H,DATA_GOC!$A:$A,"BOM",DATA_GOC!$D:$D,$B79,DATA_GOC!$E:$E,"Téc 2",DATA_GOC!$F:$F,"Xuất nội bộ từ téc",DATA_GOC!$B:$B,DATE($D$2,$B$2,M$4)),0))</f>
        <v>0</v>
      </c>
      <c r="N79" s="251">
        <f>IF(N$4&gt;DAY(EOMONTH(DATE($D$2,$B$2,1),0)),"",IFERROR(SUMIFS(DATA_GOC!$H:$H,DATA_GOC!$A:$A,"BOM",DATA_GOC!$D:$D,$B79,DATA_GOC!$E:$E,"Téc 2",DATA_GOC!$F:$F,"Xuất nội bộ từ téc",DATA_GOC!$B:$B,DATE($D$2,$B$2,N$4)),0))</f>
        <v>0</v>
      </c>
      <c r="O79" s="251">
        <f>IF(O$4&gt;DAY(EOMONTH(DATE($D$2,$B$2,1),0)),"",IFERROR(SUMIFS(DATA_GOC!$H:$H,DATA_GOC!$A:$A,"BOM",DATA_GOC!$D:$D,$B79,DATA_GOC!$E:$E,"Téc 2",DATA_GOC!$F:$F,"Xuất nội bộ từ téc",DATA_GOC!$B:$B,DATE($D$2,$B$2,O$4)),0))</f>
        <v>0</v>
      </c>
      <c r="P79" s="251">
        <f>IF(P$4&gt;DAY(EOMONTH(DATE($D$2,$B$2,1),0)),"",IFERROR(SUMIFS(DATA_GOC!$H:$H,DATA_GOC!$A:$A,"BOM",DATA_GOC!$D:$D,$B79,DATA_GOC!$E:$E,"Téc 2",DATA_GOC!$F:$F,"Xuất nội bộ từ téc",DATA_GOC!$B:$B,DATE($D$2,$B$2,P$4)),0))</f>
        <v>0</v>
      </c>
      <c r="Q79" s="251">
        <f>IF(Q$4&gt;DAY(EOMONTH(DATE($D$2,$B$2,1),0)),"",IFERROR(SUMIFS(DATA_GOC!$H:$H,DATA_GOC!$A:$A,"BOM",DATA_GOC!$D:$D,$B79,DATA_GOC!$E:$E,"Téc 2",DATA_GOC!$F:$F,"Xuất nội bộ từ téc",DATA_GOC!$B:$B,DATE($D$2,$B$2,Q$4)),0))</f>
        <v>0</v>
      </c>
      <c r="R79" s="251">
        <f>IF(R$4&gt;DAY(EOMONTH(DATE($D$2,$B$2,1),0)),"",IFERROR(SUMIFS(DATA_GOC!$H:$H,DATA_GOC!$A:$A,"BOM",DATA_GOC!$D:$D,$B79,DATA_GOC!$E:$E,"Téc 2",DATA_GOC!$F:$F,"Xuất nội bộ từ téc",DATA_GOC!$B:$B,DATE($D$2,$B$2,R$4)),0))</f>
        <v>0</v>
      </c>
      <c r="S79" s="251">
        <f>IF(S$4&gt;DAY(EOMONTH(DATE($D$2,$B$2,1),0)),"",IFERROR(SUMIFS(DATA_GOC!$H:$H,DATA_GOC!$A:$A,"BOM",DATA_GOC!$D:$D,$B79,DATA_GOC!$E:$E,"Téc 2",DATA_GOC!$F:$F,"Xuất nội bộ từ téc",DATA_GOC!$B:$B,DATE($D$2,$B$2,S$4)),0))</f>
        <v>0</v>
      </c>
      <c r="T79" s="251">
        <f>IF(T$4&gt;DAY(EOMONTH(DATE($D$2,$B$2,1),0)),"",IFERROR(SUMIFS(DATA_GOC!$H:$H,DATA_GOC!$A:$A,"BOM",DATA_GOC!$D:$D,$B79,DATA_GOC!$E:$E,"Téc 2",DATA_GOC!$F:$F,"Xuất nội bộ từ téc",DATA_GOC!$B:$B,DATE($D$2,$B$2,T$4)),0))</f>
        <v>0</v>
      </c>
      <c r="U79" s="251">
        <f>IF(U$4&gt;DAY(EOMONTH(DATE($D$2,$B$2,1),0)),"",IFERROR(SUMIFS(DATA_GOC!$H:$H,DATA_GOC!$A:$A,"BOM",DATA_GOC!$D:$D,$B79,DATA_GOC!$E:$E,"Téc 2",DATA_GOC!$F:$F,"Xuất nội bộ từ téc",DATA_GOC!$B:$B,DATE($D$2,$B$2,U$4)),0))</f>
        <v>0</v>
      </c>
      <c r="V79" s="251">
        <f>IF(V$4&gt;DAY(EOMONTH(DATE($D$2,$B$2,1),0)),"",IFERROR(SUMIFS(DATA_GOC!$H:$H,DATA_GOC!$A:$A,"BOM",DATA_GOC!$D:$D,$B79,DATA_GOC!$E:$E,"Téc 2",DATA_GOC!$F:$F,"Xuất nội bộ từ téc",DATA_GOC!$B:$B,DATE($D$2,$B$2,V$4)),0))</f>
        <v>0</v>
      </c>
      <c r="W79" s="251">
        <f>IF(W$4&gt;DAY(EOMONTH(DATE($D$2,$B$2,1),0)),"",IFERROR(SUMIFS(DATA_GOC!$H:$H,DATA_GOC!$A:$A,"BOM",DATA_GOC!$D:$D,$B79,DATA_GOC!$E:$E,"Téc 2",DATA_GOC!$F:$F,"Xuất nội bộ từ téc",DATA_GOC!$B:$B,DATE($D$2,$B$2,W$4)),0))</f>
        <v>0</v>
      </c>
      <c r="X79" s="251">
        <f>IF(X$4&gt;DAY(EOMONTH(DATE($D$2,$B$2,1),0)),"",IFERROR(SUMIFS(DATA_GOC!$H:$H,DATA_GOC!$A:$A,"BOM",DATA_GOC!$D:$D,$B79,DATA_GOC!$E:$E,"Téc 2",DATA_GOC!$F:$F,"Xuất nội bộ từ téc",DATA_GOC!$B:$B,DATE($D$2,$B$2,X$4)),0))</f>
        <v>0</v>
      </c>
      <c r="Y79" s="251">
        <f>IF(Y$4&gt;DAY(EOMONTH(DATE($D$2,$B$2,1),0)),"",IFERROR(SUMIFS(DATA_GOC!$H:$H,DATA_GOC!$A:$A,"BOM",DATA_GOC!$D:$D,$B79,DATA_GOC!$E:$E,"Téc 2",DATA_GOC!$F:$F,"Xuất nội bộ từ téc",DATA_GOC!$B:$B,DATE($D$2,$B$2,Y$4)),0))</f>
        <v>0</v>
      </c>
      <c r="Z79" s="251">
        <f>IF(Z$4&gt;DAY(EOMONTH(DATE($D$2,$B$2,1),0)),"",IFERROR(SUMIFS(DATA_GOC!$H:$H,DATA_GOC!$A:$A,"BOM",DATA_GOC!$D:$D,$B79,DATA_GOC!$E:$E,"Téc 2",DATA_GOC!$F:$F,"Xuất nội bộ từ téc",DATA_GOC!$B:$B,DATE($D$2,$B$2,Z$4)),0))</f>
        <v>0</v>
      </c>
      <c r="AA79" s="251">
        <f>IF(AA$4&gt;DAY(EOMONTH(DATE($D$2,$B$2,1),0)),"",IFERROR(SUMIFS(DATA_GOC!$H:$H,DATA_GOC!$A:$A,"BOM",DATA_GOC!$D:$D,$B79,DATA_GOC!$E:$E,"Téc 2",DATA_GOC!$F:$F,"Xuất nội bộ từ téc",DATA_GOC!$B:$B,DATE($D$2,$B$2,AA$4)),0))</f>
        <v>0</v>
      </c>
      <c r="AB79" s="251">
        <f>IF(AB$4&gt;DAY(EOMONTH(DATE($D$2,$B$2,1),0)),"",IFERROR(SUMIFS(DATA_GOC!$H:$H,DATA_GOC!$A:$A,"BOM",DATA_GOC!$D:$D,$B79,DATA_GOC!$E:$E,"Téc 2",DATA_GOC!$F:$F,"Xuất nội bộ từ téc",DATA_GOC!$B:$B,DATE($D$2,$B$2,AB$4)),0))</f>
        <v>0</v>
      </c>
      <c r="AC79" s="251">
        <f>IF(AC$4&gt;DAY(EOMONTH(DATE($D$2,$B$2,1),0)),"",IFERROR(SUMIFS(DATA_GOC!$H:$H,DATA_GOC!$A:$A,"BOM",DATA_GOC!$D:$D,$B79,DATA_GOC!$E:$E,"Téc 2",DATA_GOC!$F:$F,"Xuất nội bộ từ téc",DATA_GOC!$B:$B,DATE($D$2,$B$2,AC$4)),0))</f>
        <v>0</v>
      </c>
      <c r="AD79" s="251">
        <f>IF(AD$4&gt;DAY(EOMONTH(DATE($D$2,$B$2,1),0)),"",IFERROR(SUMIFS(DATA_GOC!$H:$H,DATA_GOC!$A:$A,"BOM",DATA_GOC!$D:$D,$B79,DATA_GOC!$E:$E,"Téc 2",DATA_GOC!$F:$F,"Xuất nội bộ từ téc",DATA_GOC!$B:$B,DATE($D$2,$B$2,AD$4)),0))</f>
        <v>0</v>
      </c>
      <c r="AE79" s="251">
        <f>IF(AE$4&gt;DAY(EOMONTH(DATE($D$2,$B$2,1),0)),"",IFERROR(SUMIFS(DATA_GOC!$H:$H,DATA_GOC!$A:$A,"BOM",DATA_GOC!$D:$D,$B79,DATA_GOC!$E:$E,"Téc 2",DATA_GOC!$F:$F,"Xuất nội bộ từ téc",DATA_GOC!$B:$B,DATE($D$2,$B$2,AE$4)),0))</f>
        <v>0</v>
      </c>
      <c r="AF79" s="251">
        <f>IF(AF$4&gt;DAY(EOMONTH(DATE($D$2,$B$2,1),0)),"",IFERROR(SUMIFS(DATA_GOC!$H:$H,DATA_GOC!$A:$A,"BOM",DATA_GOC!$D:$D,$B79,DATA_GOC!$E:$E,"Téc 2",DATA_GOC!$F:$F,"Xuất nội bộ từ téc",DATA_GOC!$B:$B,DATE($D$2,$B$2,AF$4)),0))</f>
        <v>0</v>
      </c>
      <c r="AG79" s="251">
        <f>IF(AG$4&gt;DAY(EOMONTH(DATE($D$2,$B$2,1),0)),"",IFERROR(SUMIFS(DATA_GOC!$H:$H,DATA_GOC!$A:$A,"BOM",DATA_GOC!$D:$D,$B79,DATA_GOC!$E:$E,"Téc 2",DATA_GOC!$F:$F,"Xuất nội bộ từ téc",DATA_GOC!$B:$B,DATE($D$2,$B$2,AG$4)),0))</f>
        <v>0</v>
      </c>
      <c r="AH79" s="252">
        <f t="shared" si="4"/>
        <v>157</v>
      </c>
      <c r="AI79" s="241">
        <f>IFERROR(SUMIFS(DATA_GOC!$H:$H,DATA_GOC!$A:$A,"BOM",DATA_GOC!$D:$D,$B79,DATA_GOC!$E:$E,"Bơm ngoài/Hải Tân",DATA_GOC!$F:$F,"Bơm ngoài",DATA_GOC!$B:$B,"&gt;="&amp;DATE($D$2,$B$2,1),DATA_GOC!$B:$B,"&lt;="&amp;EOMONTH(DATE($D$2,$B$2,1),0)),0)</f>
        <v>0</v>
      </c>
      <c r="AJ79" s="242">
        <f>IF($B79="","",SUMIFS(TINH_TEC!$K$233:$K$9232,TINH_TEC!$H$233:$H$9232,$B79,TINH_TEC!$C$233:$C$9232,"Téc 2",TINH_TEC!$F$233:$F$9232,$B$2,TINH_TEC!$G$233:$G$9232,$D$2,TINH_TEC!$B$233:$B$9232,"Đã chốt"))</f>
        <v>0</v>
      </c>
      <c r="AK79" s="242">
        <f>IF($B79="","",SUMIFS(TINH_TEC!$J$233:$J$9232,TINH_TEC!$H$233:$H$9232,$B79,TINH_TEC!$C$233:$C$9232,"Téc 2",TINH_TEC!$F$233:$F$9232,$B$2,TINH_TEC!$G$233:$G$9232,$D$2,TINH_TEC!$B$233:$B$9232,"Đã chốt"))</f>
        <v>15.842</v>
      </c>
      <c r="AL79" s="242">
        <f t="shared" si="5"/>
        <v>172.842</v>
      </c>
    </row>
    <row r="80" ht="15.75" customHeight="1">
      <c r="A80" s="237">
        <f>IF($B80&lt;&gt;"",14,"")</f>
        <v>14</v>
      </c>
      <c r="B80" s="250" t="str">
        <f t="array" ref="B80">IFERROR(INDEX(DANH_MUC!$E:$E,17),"")</f>
        <v>28C02574</v>
      </c>
      <c r="C80" s="251">
        <f>IF(C$4&gt;DAY(EOMONTH(DATE($D$2,$B$2,1),0)),"",IFERROR(SUMIFS(DATA_GOC!$H:$H,DATA_GOC!$A:$A,"BOM",DATA_GOC!$D:$D,$B80,DATA_GOC!$E:$E,"Téc 2",DATA_GOC!$F:$F,"Xuất nội bộ từ téc",DATA_GOC!$B:$B,DATE($D$2,$B$2,C$4)),0))</f>
        <v>0</v>
      </c>
      <c r="D80" s="251">
        <f>IF(D$4&gt;DAY(EOMONTH(DATE($D$2,$B$2,1),0)),"",IFERROR(SUMIFS(DATA_GOC!$H:$H,DATA_GOC!$A:$A,"BOM",DATA_GOC!$D:$D,$B80,DATA_GOC!$E:$E,"Téc 2",DATA_GOC!$F:$F,"Xuất nội bộ từ téc",DATA_GOC!$B:$B,DATE($D$2,$B$2,D$4)),0))</f>
        <v>0</v>
      </c>
      <c r="E80" s="251">
        <f>IF(E$4&gt;DAY(EOMONTH(DATE($D$2,$B$2,1),0)),"",IFERROR(SUMIFS(DATA_GOC!$H:$H,DATA_GOC!$A:$A,"BOM",DATA_GOC!$D:$D,$B80,DATA_GOC!$E:$E,"Téc 2",DATA_GOC!$F:$F,"Xuất nội bộ từ téc",DATA_GOC!$B:$B,DATE($D$2,$B$2,E$4)),0))</f>
        <v>0</v>
      </c>
      <c r="F80" s="251">
        <f>IF(F$4&gt;DAY(EOMONTH(DATE($D$2,$B$2,1),0)),"",IFERROR(SUMIFS(DATA_GOC!$H:$H,DATA_GOC!$A:$A,"BOM",DATA_GOC!$D:$D,$B80,DATA_GOC!$E:$E,"Téc 2",DATA_GOC!$F:$F,"Xuất nội bộ từ téc",DATA_GOC!$B:$B,DATE($D$2,$B$2,F$4)),0))</f>
        <v>0</v>
      </c>
      <c r="G80" s="251">
        <f>IF(G$4&gt;DAY(EOMONTH(DATE($D$2,$B$2,1),0)),"",IFERROR(SUMIFS(DATA_GOC!$H:$H,DATA_GOC!$A:$A,"BOM",DATA_GOC!$D:$D,$B80,DATA_GOC!$E:$E,"Téc 2",DATA_GOC!$F:$F,"Xuất nội bộ từ téc",DATA_GOC!$B:$B,DATE($D$2,$B$2,G$4)),0))</f>
        <v>0</v>
      </c>
      <c r="H80" s="251">
        <f>IF(H$4&gt;DAY(EOMONTH(DATE($D$2,$B$2,1),0)),"",IFERROR(SUMIFS(DATA_GOC!$H:$H,DATA_GOC!$A:$A,"BOM",DATA_GOC!$D:$D,$B80,DATA_GOC!$E:$E,"Téc 2",DATA_GOC!$F:$F,"Xuất nội bộ từ téc",DATA_GOC!$B:$B,DATE($D$2,$B$2,H$4)),0))</f>
        <v>210</v>
      </c>
      <c r="I80" s="251">
        <f>IF(I$4&gt;DAY(EOMONTH(DATE($D$2,$B$2,1),0)),"",IFERROR(SUMIFS(DATA_GOC!$H:$H,DATA_GOC!$A:$A,"BOM",DATA_GOC!$D:$D,$B80,DATA_GOC!$E:$E,"Téc 2",DATA_GOC!$F:$F,"Xuất nội bộ từ téc",DATA_GOC!$B:$B,DATE($D$2,$B$2,I$4)),0))</f>
        <v>0</v>
      </c>
      <c r="J80" s="251">
        <f>IF(J$4&gt;DAY(EOMONTH(DATE($D$2,$B$2,1),0)),"",IFERROR(SUMIFS(DATA_GOC!$H:$H,DATA_GOC!$A:$A,"BOM",DATA_GOC!$D:$D,$B80,DATA_GOC!$E:$E,"Téc 2",DATA_GOC!$F:$F,"Xuất nội bộ từ téc",DATA_GOC!$B:$B,DATE($D$2,$B$2,J$4)),0))</f>
        <v>0</v>
      </c>
      <c r="K80" s="251">
        <f>IF(K$4&gt;DAY(EOMONTH(DATE($D$2,$B$2,1),0)),"",IFERROR(SUMIFS(DATA_GOC!$H:$H,DATA_GOC!$A:$A,"BOM",DATA_GOC!$D:$D,$B80,DATA_GOC!$E:$E,"Téc 2",DATA_GOC!$F:$F,"Xuất nội bộ từ téc",DATA_GOC!$B:$B,DATE($D$2,$B$2,K$4)),0))</f>
        <v>0</v>
      </c>
      <c r="L80" s="251">
        <f>IF(L$4&gt;DAY(EOMONTH(DATE($D$2,$B$2,1),0)),"",IFERROR(SUMIFS(DATA_GOC!$H:$H,DATA_GOC!$A:$A,"BOM",DATA_GOC!$D:$D,$B80,DATA_GOC!$E:$E,"Téc 2",DATA_GOC!$F:$F,"Xuất nội bộ từ téc",DATA_GOC!$B:$B,DATE($D$2,$B$2,L$4)),0))</f>
        <v>0</v>
      </c>
      <c r="M80" s="251">
        <f>IF(M$4&gt;DAY(EOMONTH(DATE($D$2,$B$2,1),0)),"",IFERROR(SUMIFS(DATA_GOC!$H:$H,DATA_GOC!$A:$A,"BOM",DATA_GOC!$D:$D,$B80,DATA_GOC!$E:$E,"Téc 2",DATA_GOC!$F:$F,"Xuất nội bộ từ téc",DATA_GOC!$B:$B,DATE($D$2,$B$2,M$4)),0))</f>
        <v>0</v>
      </c>
      <c r="N80" s="251">
        <f>IF(N$4&gt;DAY(EOMONTH(DATE($D$2,$B$2,1),0)),"",IFERROR(SUMIFS(DATA_GOC!$H:$H,DATA_GOC!$A:$A,"BOM",DATA_GOC!$D:$D,$B80,DATA_GOC!$E:$E,"Téc 2",DATA_GOC!$F:$F,"Xuất nội bộ từ téc",DATA_GOC!$B:$B,DATE($D$2,$B$2,N$4)),0))</f>
        <v>0</v>
      </c>
      <c r="O80" s="251">
        <f>IF(O$4&gt;DAY(EOMONTH(DATE($D$2,$B$2,1),0)),"",IFERROR(SUMIFS(DATA_GOC!$H:$H,DATA_GOC!$A:$A,"BOM",DATA_GOC!$D:$D,$B80,DATA_GOC!$E:$E,"Téc 2",DATA_GOC!$F:$F,"Xuất nội bộ từ téc",DATA_GOC!$B:$B,DATE($D$2,$B$2,O$4)),0))</f>
        <v>0</v>
      </c>
      <c r="P80" s="251">
        <f>IF(P$4&gt;DAY(EOMONTH(DATE($D$2,$B$2,1),0)),"",IFERROR(SUMIFS(DATA_GOC!$H:$H,DATA_GOC!$A:$A,"BOM",DATA_GOC!$D:$D,$B80,DATA_GOC!$E:$E,"Téc 2",DATA_GOC!$F:$F,"Xuất nội bộ từ téc",DATA_GOC!$B:$B,DATE($D$2,$B$2,P$4)),0))</f>
        <v>0</v>
      </c>
      <c r="Q80" s="251">
        <f>IF(Q$4&gt;DAY(EOMONTH(DATE($D$2,$B$2,1),0)),"",IFERROR(SUMIFS(DATA_GOC!$H:$H,DATA_GOC!$A:$A,"BOM",DATA_GOC!$D:$D,$B80,DATA_GOC!$E:$E,"Téc 2",DATA_GOC!$F:$F,"Xuất nội bộ từ téc",DATA_GOC!$B:$B,DATE($D$2,$B$2,Q$4)),0))</f>
        <v>0</v>
      </c>
      <c r="R80" s="251">
        <f>IF(R$4&gt;DAY(EOMONTH(DATE($D$2,$B$2,1),0)),"",IFERROR(SUMIFS(DATA_GOC!$H:$H,DATA_GOC!$A:$A,"BOM",DATA_GOC!$D:$D,$B80,DATA_GOC!$E:$E,"Téc 2",DATA_GOC!$F:$F,"Xuất nội bộ từ téc",DATA_GOC!$B:$B,DATE($D$2,$B$2,R$4)),0))</f>
        <v>0</v>
      </c>
      <c r="S80" s="251">
        <f>IF(S$4&gt;DAY(EOMONTH(DATE($D$2,$B$2,1),0)),"",IFERROR(SUMIFS(DATA_GOC!$H:$H,DATA_GOC!$A:$A,"BOM",DATA_GOC!$D:$D,$B80,DATA_GOC!$E:$E,"Téc 2",DATA_GOC!$F:$F,"Xuất nội bộ từ téc",DATA_GOC!$B:$B,DATE($D$2,$B$2,S$4)),0))</f>
        <v>0</v>
      </c>
      <c r="T80" s="251">
        <f>IF(T$4&gt;DAY(EOMONTH(DATE($D$2,$B$2,1),0)),"",IFERROR(SUMIFS(DATA_GOC!$H:$H,DATA_GOC!$A:$A,"BOM",DATA_GOC!$D:$D,$B80,DATA_GOC!$E:$E,"Téc 2",DATA_GOC!$F:$F,"Xuất nội bộ từ téc",DATA_GOC!$B:$B,DATE($D$2,$B$2,T$4)),0))</f>
        <v>0</v>
      </c>
      <c r="U80" s="251">
        <f>IF(U$4&gt;DAY(EOMONTH(DATE($D$2,$B$2,1),0)),"",IFERROR(SUMIFS(DATA_GOC!$H:$H,DATA_GOC!$A:$A,"BOM",DATA_GOC!$D:$D,$B80,DATA_GOC!$E:$E,"Téc 2",DATA_GOC!$F:$F,"Xuất nội bộ từ téc",DATA_GOC!$B:$B,DATE($D$2,$B$2,U$4)),0))</f>
        <v>0</v>
      </c>
      <c r="V80" s="251">
        <f>IF(V$4&gt;DAY(EOMONTH(DATE($D$2,$B$2,1),0)),"",IFERROR(SUMIFS(DATA_GOC!$H:$H,DATA_GOC!$A:$A,"BOM",DATA_GOC!$D:$D,$B80,DATA_GOC!$E:$E,"Téc 2",DATA_GOC!$F:$F,"Xuất nội bộ từ téc",DATA_GOC!$B:$B,DATE($D$2,$B$2,V$4)),0))</f>
        <v>0</v>
      </c>
      <c r="W80" s="251">
        <f>IF(W$4&gt;DAY(EOMONTH(DATE($D$2,$B$2,1),0)),"",IFERROR(SUMIFS(DATA_GOC!$H:$H,DATA_GOC!$A:$A,"BOM",DATA_GOC!$D:$D,$B80,DATA_GOC!$E:$E,"Téc 2",DATA_GOC!$F:$F,"Xuất nội bộ từ téc",DATA_GOC!$B:$B,DATE($D$2,$B$2,W$4)),0))</f>
        <v>0</v>
      </c>
      <c r="X80" s="251">
        <f>IF(X$4&gt;DAY(EOMONTH(DATE($D$2,$B$2,1),0)),"",IFERROR(SUMIFS(DATA_GOC!$H:$H,DATA_GOC!$A:$A,"BOM",DATA_GOC!$D:$D,$B80,DATA_GOC!$E:$E,"Téc 2",DATA_GOC!$F:$F,"Xuất nội bộ từ téc",DATA_GOC!$B:$B,DATE($D$2,$B$2,X$4)),0))</f>
        <v>0</v>
      </c>
      <c r="Y80" s="251">
        <f>IF(Y$4&gt;DAY(EOMONTH(DATE($D$2,$B$2,1),0)),"",IFERROR(SUMIFS(DATA_GOC!$H:$H,DATA_GOC!$A:$A,"BOM",DATA_GOC!$D:$D,$B80,DATA_GOC!$E:$E,"Téc 2",DATA_GOC!$F:$F,"Xuất nội bộ từ téc",DATA_GOC!$B:$B,DATE($D$2,$B$2,Y$4)),0))</f>
        <v>0</v>
      </c>
      <c r="Z80" s="251">
        <f>IF(Z$4&gt;DAY(EOMONTH(DATE($D$2,$B$2,1),0)),"",IFERROR(SUMIFS(DATA_GOC!$H:$H,DATA_GOC!$A:$A,"BOM",DATA_GOC!$D:$D,$B80,DATA_GOC!$E:$E,"Téc 2",DATA_GOC!$F:$F,"Xuất nội bộ từ téc",DATA_GOC!$B:$B,DATE($D$2,$B$2,Z$4)),0))</f>
        <v>0</v>
      </c>
      <c r="AA80" s="251">
        <f>IF(AA$4&gt;DAY(EOMONTH(DATE($D$2,$B$2,1),0)),"",IFERROR(SUMIFS(DATA_GOC!$H:$H,DATA_GOC!$A:$A,"BOM",DATA_GOC!$D:$D,$B80,DATA_GOC!$E:$E,"Téc 2",DATA_GOC!$F:$F,"Xuất nội bộ từ téc",DATA_GOC!$B:$B,DATE($D$2,$B$2,AA$4)),0))</f>
        <v>0</v>
      </c>
      <c r="AB80" s="251">
        <f>IF(AB$4&gt;DAY(EOMONTH(DATE($D$2,$B$2,1),0)),"",IFERROR(SUMIFS(DATA_GOC!$H:$H,DATA_GOC!$A:$A,"BOM",DATA_GOC!$D:$D,$B80,DATA_GOC!$E:$E,"Téc 2",DATA_GOC!$F:$F,"Xuất nội bộ từ téc",DATA_GOC!$B:$B,DATE($D$2,$B$2,AB$4)),0))</f>
        <v>0</v>
      </c>
      <c r="AC80" s="251">
        <f>IF(AC$4&gt;DAY(EOMONTH(DATE($D$2,$B$2,1),0)),"",IFERROR(SUMIFS(DATA_GOC!$H:$H,DATA_GOC!$A:$A,"BOM",DATA_GOC!$D:$D,$B80,DATA_GOC!$E:$E,"Téc 2",DATA_GOC!$F:$F,"Xuất nội bộ từ téc",DATA_GOC!$B:$B,DATE($D$2,$B$2,AC$4)),0))</f>
        <v>0</v>
      </c>
      <c r="AD80" s="251">
        <f>IF(AD$4&gt;DAY(EOMONTH(DATE($D$2,$B$2,1),0)),"",IFERROR(SUMIFS(DATA_GOC!$H:$H,DATA_GOC!$A:$A,"BOM",DATA_GOC!$D:$D,$B80,DATA_GOC!$E:$E,"Téc 2",DATA_GOC!$F:$F,"Xuất nội bộ từ téc",DATA_GOC!$B:$B,DATE($D$2,$B$2,AD$4)),0))</f>
        <v>0</v>
      </c>
      <c r="AE80" s="251">
        <f>IF(AE$4&gt;DAY(EOMONTH(DATE($D$2,$B$2,1),0)),"",IFERROR(SUMIFS(DATA_GOC!$H:$H,DATA_GOC!$A:$A,"BOM",DATA_GOC!$D:$D,$B80,DATA_GOC!$E:$E,"Téc 2",DATA_GOC!$F:$F,"Xuất nội bộ từ téc",DATA_GOC!$B:$B,DATE($D$2,$B$2,AE$4)),0))</f>
        <v>0</v>
      </c>
      <c r="AF80" s="251">
        <f>IF(AF$4&gt;DAY(EOMONTH(DATE($D$2,$B$2,1),0)),"",IFERROR(SUMIFS(DATA_GOC!$H:$H,DATA_GOC!$A:$A,"BOM",DATA_GOC!$D:$D,$B80,DATA_GOC!$E:$E,"Téc 2",DATA_GOC!$F:$F,"Xuất nội bộ từ téc",DATA_GOC!$B:$B,DATE($D$2,$B$2,AF$4)),0))</f>
        <v>0</v>
      </c>
      <c r="AG80" s="251">
        <f>IF(AG$4&gt;DAY(EOMONTH(DATE($D$2,$B$2,1),0)),"",IFERROR(SUMIFS(DATA_GOC!$H:$H,DATA_GOC!$A:$A,"BOM",DATA_GOC!$D:$D,$B80,DATA_GOC!$E:$E,"Téc 2",DATA_GOC!$F:$F,"Xuất nội bộ từ téc",DATA_GOC!$B:$B,DATE($D$2,$B$2,AG$4)),0))</f>
        <v>0</v>
      </c>
      <c r="AH80" s="252">
        <f t="shared" si="4"/>
        <v>210</v>
      </c>
      <c r="AI80" s="241">
        <f>IFERROR(SUMIFS(DATA_GOC!$H:$H,DATA_GOC!$A:$A,"BOM",DATA_GOC!$D:$D,$B80,DATA_GOC!$E:$E,"Bơm ngoài/Hải Tân",DATA_GOC!$F:$F,"Bơm ngoài",DATA_GOC!$B:$B,"&gt;="&amp;DATE($D$2,$B$2,1),DATA_GOC!$B:$B,"&lt;="&amp;EOMONTH(DATE($D$2,$B$2,1),0)),0)</f>
        <v>0</v>
      </c>
      <c r="AJ80" s="242">
        <f>IF($B80="","",SUMIFS(TINH_TEC!$K$233:$K$9232,TINH_TEC!$H$233:$H$9232,$B80,TINH_TEC!$C$233:$C$9232,"Téc 2",TINH_TEC!$F$233:$F$9232,$B$2,TINH_TEC!$G$233:$G$9232,$D$2,TINH_TEC!$B$233:$B$9232,"Đã chốt"))</f>
        <v>0</v>
      </c>
      <c r="AK80" s="242">
        <f>IF($B80="","",SUMIFS(TINH_TEC!$J$233:$J$9232,TINH_TEC!$H$233:$H$9232,$B80,TINH_TEC!$C$233:$C$9232,"Téc 2",TINH_TEC!$F$233:$F$9232,$B$2,TINH_TEC!$G$233:$G$9232,$D$2,TINH_TEC!$B$233:$B$9232,"Đã chốt"))</f>
        <v>10.658</v>
      </c>
      <c r="AL80" s="242">
        <f t="shared" si="5"/>
        <v>220.658</v>
      </c>
    </row>
    <row r="81" ht="15.75" customHeight="1">
      <c r="A81" s="237">
        <f>IF($B81&lt;&gt;"",15,"")</f>
        <v>15</v>
      </c>
      <c r="B81" s="250" t="str">
        <f t="array" ref="B81">IFERROR(INDEX(DANH_MUC!$E:$E,18),"")</f>
        <v>28C02770</v>
      </c>
      <c r="C81" s="251">
        <f>IF(C$4&gt;DAY(EOMONTH(DATE($D$2,$B$2,1),0)),"",IFERROR(SUMIFS(DATA_GOC!$H:$H,DATA_GOC!$A:$A,"BOM",DATA_GOC!$D:$D,$B81,DATA_GOC!$E:$E,"Téc 2",DATA_GOC!$F:$F,"Xuất nội bộ từ téc",DATA_GOC!$B:$B,DATE($D$2,$B$2,C$4)),0))</f>
        <v>0</v>
      </c>
      <c r="D81" s="251">
        <f>IF(D$4&gt;DAY(EOMONTH(DATE($D$2,$B$2,1),0)),"",IFERROR(SUMIFS(DATA_GOC!$H:$H,DATA_GOC!$A:$A,"BOM",DATA_GOC!$D:$D,$B81,DATA_GOC!$E:$E,"Téc 2",DATA_GOC!$F:$F,"Xuất nội bộ từ téc",DATA_GOC!$B:$B,DATE($D$2,$B$2,D$4)),0))</f>
        <v>0</v>
      </c>
      <c r="E81" s="251">
        <f>IF(E$4&gt;DAY(EOMONTH(DATE($D$2,$B$2,1),0)),"",IFERROR(SUMIFS(DATA_GOC!$H:$H,DATA_GOC!$A:$A,"BOM",DATA_GOC!$D:$D,$B81,DATA_GOC!$E:$E,"Téc 2",DATA_GOC!$F:$F,"Xuất nội bộ từ téc",DATA_GOC!$B:$B,DATE($D$2,$B$2,E$4)),0))</f>
        <v>0</v>
      </c>
      <c r="F81" s="251">
        <f>IF(F$4&gt;DAY(EOMONTH(DATE($D$2,$B$2,1),0)),"",IFERROR(SUMIFS(DATA_GOC!$H:$H,DATA_GOC!$A:$A,"BOM",DATA_GOC!$D:$D,$B81,DATA_GOC!$E:$E,"Téc 2",DATA_GOC!$F:$F,"Xuất nội bộ từ téc",DATA_GOC!$B:$B,DATE($D$2,$B$2,F$4)),0))</f>
        <v>0</v>
      </c>
      <c r="G81" s="251">
        <f>IF(G$4&gt;DAY(EOMONTH(DATE($D$2,$B$2,1),0)),"",IFERROR(SUMIFS(DATA_GOC!$H:$H,DATA_GOC!$A:$A,"BOM",DATA_GOC!$D:$D,$B81,DATA_GOC!$E:$E,"Téc 2",DATA_GOC!$F:$F,"Xuất nội bộ từ téc",DATA_GOC!$B:$B,DATE($D$2,$B$2,G$4)),0))</f>
        <v>0</v>
      </c>
      <c r="H81" s="251">
        <f>IF(H$4&gt;DAY(EOMONTH(DATE($D$2,$B$2,1),0)),"",IFERROR(SUMIFS(DATA_GOC!$H:$H,DATA_GOC!$A:$A,"BOM",DATA_GOC!$D:$D,$B81,DATA_GOC!$E:$E,"Téc 2",DATA_GOC!$F:$F,"Xuất nội bộ từ téc",DATA_GOC!$B:$B,DATE($D$2,$B$2,H$4)),0))</f>
        <v>0</v>
      </c>
      <c r="I81" s="251">
        <f>IF(I$4&gt;DAY(EOMONTH(DATE($D$2,$B$2,1),0)),"",IFERROR(SUMIFS(DATA_GOC!$H:$H,DATA_GOC!$A:$A,"BOM",DATA_GOC!$D:$D,$B81,DATA_GOC!$E:$E,"Téc 2",DATA_GOC!$F:$F,"Xuất nội bộ từ téc",DATA_GOC!$B:$B,DATE($D$2,$B$2,I$4)),0))</f>
        <v>0</v>
      </c>
      <c r="J81" s="251">
        <f>IF(J$4&gt;DAY(EOMONTH(DATE($D$2,$B$2,1),0)),"",IFERROR(SUMIFS(DATA_GOC!$H:$H,DATA_GOC!$A:$A,"BOM",DATA_GOC!$D:$D,$B81,DATA_GOC!$E:$E,"Téc 2",DATA_GOC!$F:$F,"Xuất nội bộ từ téc",DATA_GOC!$B:$B,DATE($D$2,$B$2,J$4)),0))</f>
        <v>0</v>
      </c>
      <c r="K81" s="251">
        <f>IF(K$4&gt;DAY(EOMONTH(DATE($D$2,$B$2,1),0)),"",IFERROR(SUMIFS(DATA_GOC!$H:$H,DATA_GOC!$A:$A,"BOM",DATA_GOC!$D:$D,$B81,DATA_GOC!$E:$E,"Téc 2",DATA_GOC!$F:$F,"Xuất nội bộ từ téc",DATA_GOC!$B:$B,DATE($D$2,$B$2,K$4)),0))</f>
        <v>0</v>
      </c>
      <c r="L81" s="251">
        <f>IF(L$4&gt;DAY(EOMONTH(DATE($D$2,$B$2,1),0)),"",IFERROR(SUMIFS(DATA_GOC!$H:$H,DATA_GOC!$A:$A,"BOM",DATA_GOC!$D:$D,$B81,DATA_GOC!$E:$E,"Téc 2",DATA_GOC!$F:$F,"Xuất nội bộ từ téc",DATA_GOC!$B:$B,DATE($D$2,$B$2,L$4)),0))</f>
        <v>0</v>
      </c>
      <c r="M81" s="251">
        <f>IF(M$4&gt;DAY(EOMONTH(DATE($D$2,$B$2,1),0)),"",IFERROR(SUMIFS(DATA_GOC!$H:$H,DATA_GOC!$A:$A,"BOM",DATA_GOC!$D:$D,$B81,DATA_GOC!$E:$E,"Téc 2",DATA_GOC!$F:$F,"Xuất nội bộ từ téc",DATA_GOC!$B:$B,DATE($D$2,$B$2,M$4)),0))</f>
        <v>0</v>
      </c>
      <c r="N81" s="251">
        <f>IF(N$4&gt;DAY(EOMONTH(DATE($D$2,$B$2,1),0)),"",IFERROR(SUMIFS(DATA_GOC!$H:$H,DATA_GOC!$A:$A,"BOM",DATA_GOC!$D:$D,$B81,DATA_GOC!$E:$E,"Téc 2",DATA_GOC!$F:$F,"Xuất nội bộ từ téc",DATA_GOC!$B:$B,DATE($D$2,$B$2,N$4)),0))</f>
        <v>0</v>
      </c>
      <c r="O81" s="251">
        <f>IF(O$4&gt;DAY(EOMONTH(DATE($D$2,$B$2,1),0)),"",IFERROR(SUMIFS(DATA_GOC!$H:$H,DATA_GOC!$A:$A,"BOM",DATA_GOC!$D:$D,$B81,DATA_GOC!$E:$E,"Téc 2",DATA_GOC!$F:$F,"Xuất nội bộ từ téc",DATA_GOC!$B:$B,DATE($D$2,$B$2,O$4)),0))</f>
        <v>0</v>
      </c>
      <c r="P81" s="251">
        <f>IF(P$4&gt;DAY(EOMONTH(DATE($D$2,$B$2,1),0)),"",IFERROR(SUMIFS(DATA_GOC!$H:$H,DATA_GOC!$A:$A,"BOM",DATA_GOC!$D:$D,$B81,DATA_GOC!$E:$E,"Téc 2",DATA_GOC!$F:$F,"Xuất nội bộ từ téc",DATA_GOC!$B:$B,DATE($D$2,$B$2,P$4)),0))</f>
        <v>0</v>
      </c>
      <c r="Q81" s="251">
        <f>IF(Q$4&gt;DAY(EOMONTH(DATE($D$2,$B$2,1),0)),"",IFERROR(SUMIFS(DATA_GOC!$H:$H,DATA_GOC!$A:$A,"BOM",DATA_GOC!$D:$D,$B81,DATA_GOC!$E:$E,"Téc 2",DATA_GOC!$F:$F,"Xuất nội bộ từ téc",DATA_GOC!$B:$B,DATE($D$2,$B$2,Q$4)),0))</f>
        <v>0</v>
      </c>
      <c r="R81" s="251">
        <f>IF(R$4&gt;DAY(EOMONTH(DATE($D$2,$B$2,1),0)),"",IFERROR(SUMIFS(DATA_GOC!$H:$H,DATA_GOC!$A:$A,"BOM",DATA_GOC!$D:$D,$B81,DATA_GOC!$E:$E,"Téc 2",DATA_GOC!$F:$F,"Xuất nội bộ từ téc",DATA_GOC!$B:$B,DATE($D$2,$B$2,R$4)),0))</f>
        <v>0</v>
      </c>
      <c r="S81" s="251">
        <f>IF(S$4&gt;DAY(EOMONTH(DATE($D$2,$B$2,1),0)),"",IFERROR(SUMIFS(DATA_GOC!$H:$H,DATA_GOC!$A:$A,"BOM",DATA_GOC!$D:$D,$B81,DATA_GOC!$E:$E,"Téc 2",DATA_GOC!$F:$F,"Xuất nội bộ từ téc",DATA_GOC!$B:$B,DATE($D$2,$B$2,S$4)),0))</f>
        <v>0</v>
      </c>
      <c r="T81" s="251">
        <f>IF(T$4&gt;DAY(EOMONTH(DATE($D$2,$B$2,1),0)),"",IFERROR(SUMIFS(DATA_GOC!$H:$H,DATA_GOC!$A:$A,"BOM",DATA_GOC!$D:$D,$B81,DATA_GOC!$E:$E,"Téc 2",DATA_GOC!$F:$F,"Xuất nội bộ từ téc",DATA_GOC!$B:$B,DATE($D$2,$B$2,T$4)),0))</f>
        <v>0</v>
      </c>
      <c r="U81" s="251">
        <f>IF(U$4&gt;DAY(EOMONTH(DATE($D$2,$B$2,1),0)),"",IFERROR(SUMIFS(DATA_GOC!$H:$H,DATA_GOC!$A:$A,"BOM",DATA_GOC!$D:$D,$B81,DATA_GOC!$E:$E,"Téc 2",DATA_GOC!$F:$F,"Xuất nội bộ từ téc",DATA_GOC!$B:$B,DATE($D$2,$B$2,U$4)),0))</f>
        <v>0</v>
      </c>
      <c r="V81" s="251">
        <f>IF(V$4&gt;DAY(EOMONTH(DATE($D$2,$B$2,1),0)),"",IFERROR(SUMIFS(DATA_GOC!$H:$H,DATA_GOC!$A:$A,"BOM",DATA_GOC!$D:$D,$B81,DATA_GOC!$E:$E,"Téc 2",DATA_GOC!$F:$F,"Xuất nội bộ từ téc",DATA_GOC!$B:$B,DATE($D$2,$B$2,V$4)),0))</f>
        <v>0</v>
      </c>
      <c r="W81" s="251">
        <f>IF(W$4&gt;DAY(EOMONTH(DATE($D$2,$B$2,1),0)),"",IFERROR(SUMIFS(DATA_GOC!$H:$H,DATA_GOC!$A:$A,"BOM",DATA_GOC!$D:$D,$B81,DATA_GOC!$E:$E,"Téc 2",DATA_GOC!$F:$F,"Xuất nội bộ từ téc",DATA_GOC!$B:$B,DATE($D$2,$B$2,W$4)),0))</f>
        <v>0</v>
      </c>
      <c r="X81" s="251">
        <f>IF(X$4&gt;DAY(EOMONTH(DATE($D$2,$B$2,1),0)),"",IFERROR(SUMIFS(DATA_GOC!$H:$H,DATA_GOC!$A:$A,"BOM",DATA_GOC!$D:$D,$B81,DATA_GOC!$E:$E,"Téc 2",DATA_GOC!$F:$F,"Xuất nội bộ từ téc",DATA_GOC!$B:$B,DATE($D$2,$B$2,X$4)),0))</f>
        <v>0</v>
      </c>
      <c r="Y81" s="251">
        <f>IF(Y$4&gt;DAY(EOMONTH(DATE($D$2,$B$2,1),0)),"",IFERROR(SUMIFS(DATA_GOC!$H:$H,DATA_GOC!$A:$A,"BOM",DATA_GOC!$D:$D,$B81,DATA_GOC!$E:$E,"Téc 2",DATA_GOC!$F:$F,"Xuất nội bộ từ téc",DATA_GOC!$B:$B,DATE($D$2,$B$2,Y$4)),0))</f>
        <v>0</v>
      </c>
      <c r="Z81" s="251">
        <f>IF(Z$4&gt;DAY(EOMONTH(DATE($D$2,$B$2,1),0)),"",IFERROR(SUMIFS(DATA_GOC!$H:$H,DATA_GOC!$A:$A,"BOM",DATA_GOC!$D:$D,$B81,DATA_GOC!$E:$E,"Téc 2",DATA_GOC!$F:$F,"Xuất nội bộ từ téc",DATA_GOC!$B:$B,DATE($D$2,$B$2,Z$4)),0))</f>
        <v>0</v>
      </c>
      <c r="AA81" s="251">
        <f>IF(AA$4&gt;DAY(EOMONTH(DATE($D$2,$B$2,1),0)),"",IFERROR(SUMIFS(DATA_GOC!$H:$H,DATA_GOC!$A:$A,"BOM",DATA_GOC!$D:$D,$B81,DATA_GOC!$E:$E,"Téc 2",DATA_GOC!$F:$F,"Xuất nội bộ từ téc",DATA_GOC!$B:$B,DATE($D$2,$B$2,AA$4)),0))</f>
        <v>0</v>
      </c>
      <c r="AB81" s="251">
        <f>IF(AB$4&gt;DAY(EOMONTH(DATE($D$2,$B$2,1),0)),"",IFERROR(SUMIFS(DATA_GOC!$H:$H,DATA_GOC!$A:$A,"BOM",DATA_GOC!$D:$D,$B81,DATA_GOC!$E:$E,"Téc 2",DATA_GOC!$F:$F,"Xuất nội bộ từ téc",DATA_GOC!$B:$B,DATE($D$2,$B$2,AB$4)),0))</f>
        <v>0</v>
      </c>
      <c r="AC81" s="251">
        <f>IF(AC$4&gt;DAY(EOMONTH(DATE($D$2,$B$2,1),0)),"",IFERROR(SUMIFS(DATA_GOC!$H:$H,DATA_GOC!$A:$A,"BOM",DATA_GOC!$D:$D,$B81,DATA_GOC!$E:$E,"Téc 2",DATA_GOC!$F:$F,"Xuất nội bộ từ téc",DATA_GOC!$B:$B,DATE($D$2,$B$2,AC$4)),0))</f>
        <v>0</v>
      </c>
      <c r="AD81" s="251">
        <f>IF(AD$4&gt;DAY(EOMONTH(DATE($D$2,$B$2,1),0)),"",IFERROR(SUMIFS(DATA_GOC!$H:$H,DATA_GOC!$A:$A,"BOM",DATA_GOC!$D:$D,$B81,DATA_GOC!$E:$E,"Téc 2",DATA_GOC!$F:$F,"Xuất nội bộ từ téc",DATA_GOC!$B:$B,DATE($D$2,$B$2,AD$4)),0))</f>
        <v>0</v>
      </c>
      <c r="AE81" s="251">
        <f>IF(AE$4&gt;DAY(EOMONTH(DATE($D$2,$B$2,1),0)),"",IFERROR(SUMIFS(DATA_GOC!$H:$H,DATA_GOC!$A:$A,"BOM",DATA_GOC!$D:$D,$B81,DATA_GOC!$E:$E,"Téc 2",DATA_GOC!$F:$F,"Xuất nội bộ từ téc",DATA_GOC!$B:$B,DATE($D$2,$B$2,AE$4)),0))</f>
        <v>0</v>
      </c>
      <c r="AF81" s="251">
        <f>IF(AF$4&gt;DAY(EOMONTH(DATE($D$2,$B$2,1),0)),"",IFERROR(SUMIFS(DATA_GOC!$H:$H,DATA_GOC!$A:$A,"BOM",DATA_GOC!$D:$D,$B81,DATA_GOC!$E:$E,"Téc 2",DATA_GOC!$F:$F,"Xuất nội bộ từ téc",DATA_GOC!$B:$B,DATE($D$2,$B$2,AF$4)),0))</f>
        <v>0</v>
      </c>
      <c r="AG81" s="251">
        <f>IF(AG$4&gt;DAY(EOMONTH(DATE($D$2,$B$2,1),0)),"",IFERROR(SUMIFS(DATA_GOC!$H:$H,DATA_GOC!$A:$A,"BOM",DATA_GOC!$D:$D,$B81,DATA_GOC!$E:$E,"Téc 2",DATA_GOC!$F:$F,"Xuất nội bộ từ téc",DATA_GOC!$B:$B,DATE($D$2,$B$2,AG$4)),0))</f>
        <v>0</v>
      </c>
      <c r="AH81" s="252">
        <f t="shared" si="4"/>
        <v>0</v>
      </c>
      <c r="AI81" s="241">
        <f>IFERROR(SUMIFS(DATA_GOC!$H:$H,DATA_GOC!$A:$A,"BOM",DATA_GOC!$D:$D,$B81,DATA_GOC!$E:$E,"Bơm ngoài/Hải Tân",DATA_GOC!$F:$F,"Bơm ngoài",DATA_GOC!$B:$B,"&gt;="&amp;DATE($D$2,$B$2,1),DATA_GOC!$B:$B,"&lt;="&amp;EOMONTH(DATE($D$2,$B$2,1),0)),0)</f>
        <v>0</v>
      </c>
      <c r="AJ81" s="242">
        <f>IF($B81="","",SUMIFS(TINH_TEC!$K$233:$K$9232,TINH_TEC!$H$233:$H$9232,$B81,TINH_TEC!$C$233:$C$9232,"Téc 2",TINH_TEC!$F$233:$F$9232,$B$2,TINH_TEC!$G$233:$G$9232,$D$2,TINH_TEC!$B$233:$B$9232,"Đã chốt"))</f>
        <v>0</v>
      </c>
      <c r="AK81" s="242">
        <f>IF($B81="","",SUMIFS(TINH_TEC!$J$233:$J$9232,TINH_TEC!$H$233:$H$9232,$B81,TINH_TEC!$C$233:$C$9232,"Téc 2",TINH_TEC!$F$233:$F$9232,$B$2,TINH_TEC!$G$233:$G$9232,$D$2,TINH_TEC!$B$233:$B$9232,"Đã chốt"))</f>
        <v>47.176</v>
      </c>
      <c r="AL81" s="242">
        <f t="shared" si="5"/>
        <v>47.176</v>
      </c>
    </row>
    <row r="82" ht="15.75" customHeight="1">
      <c r="A82" s="237">
        <f>IF($B82&lt;&gt;"",16,"")</f>
        <v>16</v>
      </c>
      <c r="B82" s="250" t="str">
        <f t="array" ref="B82">IFERROR(INDEX(DANH_MUC!$E:$E,19),"")</f>
        <v>28C02986</v>
      </c>
      <c r="C82" s="251">
        <f>IF(C$4&gt;DAY(EOMONTH(DATE($D$2,$B$2,1),0)),"",IFERROR(SUMIFS(DATA_GOC!$H:$H,DATA_GOC!$A:$A,"BOM",DATA_GOC!$D:$D,$B82,DATA_GOC!$E:$E,"Téc 2",DATA_GOC!$F:$F,"Xuất nội bộ từ téc",DATA_GOC!$B:$B,DATE($D$2,$B$2,C$4)),0))</f>
        <v>0</v>
      </c>
      <c r="D82" s="251">
        <f>IF(D$4&gt;DAY(EOMONTH(DATE($D$2,$B$2,1),0)),"",IFERROR(SUMIFS(DATA_GOC!$H:$H,DATA_GOC!$A:$A,"BOM",DATA_GOC!$D:$D,$B82,DATA_GOC!$E:$E,"Téc 2",DATA_GOC!$F:$F,"Xuất nội bộ từ téc",DATA_GOC!$B:$B,DATE($D$2,$B$2,D$4)),0))</f>
        <v>0</v>
      </c>
      <c r="E82" s="251">
        <f>IF(E$4&gt;DAY(EOMONTH(DATE($D$2,$B$2,1),0)),"",IFERROR(SUMIFS(DATA_GOC!$H:$H,DATA_GOC!$A:$A,"BOM",DATA_GOC!$D:$D,$B82,DATA_GOC!$E:$E,"Téc 2",DATA_GOC!$F:$F,"Xuất nội bộ từ téc",DATA_GOC!$B:$B,DATE($D$2,$B$2,E$4)),0))</f>
        <v>0</v>
      </c>
      <c r="F82" s="251">
        <f>IF(F$4&gt;DAY(EOMONTH(DATE($D$2,$B$2,1),0)),"",IFERROR(SUMIFS(DATA_GOC!$H:$H,DATA_GOC!$A:$A,"BOM",DATA_GOC!$D:$D,$B82,DATA_GOC!$E:$E,"Téc 2",DATA_GOC!$F:$F,"Xuất nội bộ từ téc",DATA_GOC!$B:$B,DATE($D$2,$B$2,F$4)),0))</f>
        <v>88</v>
      </c>
      <c r="G82" s="251">
        <f>IF(G$4&gt;DAY(EOMONTH(DATE($D$2,$B$2,1),0)),"",IFERROR(SUMIFS(DATA_GOC!$H:$H,DATA_GOC!$A:$A,"BOM",DATA_GOC!$D:$D,$B82,DATA_GOC!$E:$E,"Téc 2",DATA_GOC!$F:$F,"Xuất nội bộ từ téc",DATA_GOC!$B:$B,DATE($D$2,$B$2,G$4)),0))</f>
        <v>0</v>
      </c>
      <c r="H82" s="251">
        <f>IF(H$4&gt;DAY(EOMONTH(DATE($D$2,$B$2,1),0)),"",IFERROR(SUMIFS(DATA_GOC!$H:$H,DATA_GOC!$A:$A,"BOM",DATA_GOC!$D:$D,$B82,DATA_GOC!$E:$E,"Téc 2",DATA_GOC!$F:$F,"Xuất nội bộ từ téc",DATA_GOC!$B:$B,DATE($D$2,$B$2,H$4)),0))</f>
        <v>0</v>
      </c>
      <c r="I82" s="251">
        <f>IF(I$4&gt;DAY(EOMONTH(DATE($D$2,$B$2,1),0)),"",IFERROR(SUMIFS(DATA_GOC!$H:$H,DATA_GOC!$A:$A,"BOM",DATA_GOC!$D:$D,$B82,DATA_GOC!$E:$E,"Téc 2",DATA_GOC!$F:$F,"Xuất nội bộ từ téc",DATA_GOC!$B:$B,DATE($D$2,$B$2,I$4)),0))</f>
        <v>0</v>
      </c>
      <c r="J82" s="251">
        <f>IF(J$4&gt;DAY(EOMONTH(DATE($D$2,$B$2,1),0)),"",IFERROR(SUMIFS(DATA_GOC!$H:$H,DATA_GOC!$A:$A,"BOM",DATA_GOC!$D:$D,$B82,DATA_GOC!$E:$E,"Téc 2",DATA_GOC!$F:$F,"Xuất nội bộ từ téc",DATA_GOC!$B:$B,DATE($D$2,$B$2,J$4)),0))</f>
        <v>0</v>
      </c>
      <c r="K82" s="251">
        <f>IF(K$4&gt;DAY(EOMONTH(DATE($D$2,$B$2,1),0)),"",IFERROR(SUMIFS(DATA_GOC!$H:$H,DATA_GOC!$A:$A,"BOM",DATA_GOC!$D:$D,$B82,DATA_GOC!$E:$E,"Téc 2",DATA_GOC!$F:$F,"Xuất nội bộ từ téc",DATA_GOC!$B:$B,DATE($D$2,$B$2,K$4)),0))</f>
        <v>0</v>
      </c>
      <c r="L82" s="251">
        <f>IF(L$4&gt;DAY(EOMONTH(DATE($D$2,$B$2,1),0)),"",IFERROR(SUMIFS(DATA_GOC!$H:$H,DATA_GOC!$A:$A,"BOM",DATA_GOC!$D:$D,$B82,DATA_GOC!$E:$E,"Téc 2",DATA_GOC!$F:$F,"Xuất nội bộ từ téc",DATA_GOC!$B:$B,DATE($D$2,$B$2,L$4)),0))</f>
        <v>0</v>
      </c>
      <c r="M82" s="251">
        <f>IF(M$4&gt;DAY(EOMONTH(DATE($D$2,$B$2,1),0)),"",IFERROR(SUMIFS(DATA_GOC!$H:$H,DATA_GOC!$A:$A,"BOM",DATA_GOC!$D:$D,$B82,DATA_GOC!$E:$E,"Téc 2",DATA_GOC!$F:$F,"Xuất nội bộ từ téc",DATA_GOC!$B:$B,DATE($D$2,$B$2,M$4)),0))</f>
        <v>0</v>
      </c>
      <c r="N82" s="251">
        <f>IF(N$4&gt;DAY(EOMONTH(DATE($D$2,$B$2,1),0)),"",IFERROR(SUMIFS(DATA_GOC!$H:$H,DATA_GOC!$A:$A,"BOM",DATA_GOC!$D:$D,$B82,DATA_GOC!$E:$E,"Téc 2",DATA_GOC!$F:$F,"Xuất nội bộ từ téc",DATA_GOC!$B:$B,DATE($D$2,$B$2,N$4)),0))</f>
        <v>0</v>
      </c>
      <c r="O82" s="251">
        <f>IF(O$4&gt;DAY(EOMONTH(DATE($D$2,$B$2,1),0)),"",IFERROR(SUMIFS(DATA_GOC!$H:$H,DATA_GOC!$A:$A,"BOM",DATA_GOC!$D:$D,$B82,DATA_GOC!$E:$E,"Téc 2",DATA_GOC!$F:$F,"Xuất nội bộ từ téc",DATA_GOC!$B:$B,DATE($D$2,$B$2,O$4)),0))</f>
        <v>0</v>
      </c>
      <c r="P82" s="251">
        <f>IF(P$4&gt;DAY(EOMONTH(DATE($D$2,$B$2,1),0)),"",IFERROR(SUMIFS(DATA_GOC!$H:$H,DATA_GOC!$A:$A,"BOM",DATA_GOC!$D:$D,$B82,DATA_GOC!$E:$E,"Téc 2",DATA_GOC!$F:$F,"Xuất nội bộ từ téc",DATA_GOC!$B:$B,DATE($D$2,$B$2,P$4)),0))</f>
        <v>0</v>
      </c>
      <c r="Q82" s="251">
        <f>IF(Q$4&gt;DAY(EOMONTH(DATE($D$2,$B$2,1),0)),"",IFERROR(SUMIFS(DATA_GOC!$H:$H,DATA_GOC!$A:$A,"BOM",DATA_GOC!$D:$D,$B82,DATA_GOC!$E:$E,"Téc 2",DATA_GOC!$F:$F,"Xuất nội bộ từ téc",DATA_GOC!$B:$B,DATE($D$2,$B$2,Q$4)),0))</f>
        <v>0</v>
      </c>
      <c r="R82" s="251">
        <f>IF(R$4&gt;DAY(EOMONTH(DATE($D$2,$B$2,1),0)),"",IFERROR(SUMIFS(DATA_GOC!$H:$H,DATA_GOC!$A:$A,"BOM",DATA_GOC!$D:$D,$B82,DATA_GOC!$E:$E,"Téc 2",DATA_GOC!$F:$F,"Xuất nội bộ từ téc",DATA_GOC!$B:$B,DATE($D$2,$B$2,R$4)),0))</f>
        <v>0</v>
      </c>
      <c r="S82" s="251">
        <f>IF(S$4&gt;DAY(EOMONTH(DATE($D$2,$B$2,1),0)),"",IFERROR(SUMIFS(DATA_GOC!$H:$H,DATA_GOC!$A:$A,"BOM",DATA_GOC!$D:$D,$B82,DATA_GOC!$E:$E,"Téc 2",DATA_GOC!$F:$F,"Xuất nội bộ từ téc",DATA_GOC!$B:$B,DATE($D$2,$B$2,S$4)),0))</f>
        <v>0</v>
      </c>
      <c r="T82" s="251">
        <f>IF(T$4&gt;DAY(EOMONTH(DATE($D$2,$B$2,1),0)),"",IFERROR(SUMIFS(DATA_GOC!$H:$H,DATA_GOC!$A:$A,"BOM",DATA_GOC!$D:$D,$B82,DATA_GOC!$E:$E,"Téc 2",DATA_GOC!$F:$F,"Xuất nội bộ từ téc",DATA_GOC!$B:$B,DATE($D$2,$B$2,T$4)),0))</f>
        <v>0</v>
      </c>
      <c r="U82" s="251">
        <f>IF(U$4&gt;DAY(EOMONTH(DATE($D$2,$B$2,1),0)),"",IFERROR(SUMIFS(DATA_GOC!$H:$H,DATA_GOC!$A:$A,"BOM",DATA_GOC!$D:$D,$B82,DATA_GOC!$E:$E,"Téc 2",DATA_GOC!$F:$F,"Xuất nội bộ từ téc",DATA_GOC!$B:$B,DATE($D$2,$B$2,U$4)),0))</f>
        <v>0</v>
      </c>
      <c r="V82" s="251">
        <f>IF(V$4&gt;DAY(EOMONTH(DATE($D$2,$B$2,1),0)),"",IFERROR(SUMIFS(DATA_GOC!$H:$H,DATA_GOC!$A:$A,"BOM",DATA_GOC!$D:$D,$B82,DATA_GOC!$E:$E,"Téc 2",DATA_GOC!$F:$F,"Xuất nội bộ từ téc",DATA_GOC!$B:$B,DATE($D$2,$B$2,V$4)),0))</f>
        <v>0</v>
      </c>
      <c r="W82" s="251">
        <f>IF(W$4&gt;DAY(EOMONTH(DATE($D$2,$B$2,1),0)),"",IFERROR(SUMIFS(DATA_GOC!$H:$H,DATA_GOC!$A:$A,"BOM",DATA_GOC!$D:$D,$B82,DATA_GOC!$E:$E,"Téc 2",DATA_GOC!$F:$F,"Xuất nội bộ từ téc",DATA_GOC!$B:$B,DATE($D$2,$B$2,W$4)),0))</f>
        <v>0</v>
      </c>
      <c r="X82" s="251">
        <f>IF(X$4&gt;DAY(EOMONTH(DATE($D$2,$B$2,1),0)),"",IFERROR(SUMIFS(DATA_GOC!$H:$H,DATA_GOC!$A:$A,"BOM",DATA_GOC!$D:$D,$B82,DATA_GOC!$E:$E,"Téc 2",DATA_GOC!$F:$F,"Xuất nội bộ từ téc",DATA_GOC!$B:$B,DATE($D$2,$B$2,X$4)),0))</f>
        <v>0</v>
      </c>
      <c r="Y82" s="251">
        <f>IF(Y$4&gt;DAY(EOMONTH(DATE($D$2,$B$2,1),0)),"",IFERROR(SUMIFS(DATA_GOC!$H:$H,DATA_GOC!$A:$A,"BOM",DATA_GOC!$D:$D,$B82,DATA_GOC!$E:$E,"Téc 2",DATA_GOC!$F:$F,"Xuất nội bộ từ téc",DATA_GOC!$B:$B,DATE($D$2,$B$2,Y$4)),0))</f>
        <v>0</v>
      </c>
      <c r="Z82" s="251">
        <f>IF(Z$4&gt;DAY(EOMONTH(DATE($D$2,$B$2,1),0)),"",IFERROR(SUMIFS(DATA_GOC!$H:$H,DATA_GOC!$A:$A,"BOM",DATA_GOC!$D:$D,$B82,DATA_GOC!$E:$E,"Téc 2",DATA_GOC!$F:$F,"Xuất nội bộ từ téc",DATA_GOC!$B:$B,DATE($D$2,$B$2,Z$4)),0))</f>
        <v>0</v>
      </c>
      <c r="AA82" s="251">
        <f>IF(AA$4&gt;DAY(EOMONTH(DATE($D$2,$B$2,1),0)),"",IFERROR(SUMIFS(DATA_GOC!$H:$H,DATA_GOC!$A:$A,"BOM",DATA_GOC!$D:$D,$B82,DATA_GOC!$E:$E,"Téc 2",DATA_GOC!$F:$F,"Xuất nội bộ từ téc",DATA_GOC!$B:$B,DATE($D$2,$B$2,AA$4)),0))</f>
        <v>0</v>
      </c>
      <c r="AB82" s="251">
        <f>IF(AB$4&gt;DAY(EOMONTH(DATE($D$2,$B$2,1),0)),"",IFERROR(SUMIFS(DATA_GOC!$H:$H,DATA_GOC!$A:$A,"BOM",DATA_GOC!$D:$D,$B82,DATA_GOC!$E:$E,"Téc 2",DATA_GOC!$F:$F,"Xuất nội bộ từ téc",DATA_GOC!$B:$B,DATE($D$2,$B$2,AB$4)),0))</f>
        <v>0</v>
      </c>
      <c r="AC82" s="251">
        <f>IF(AC$4&gt;DAY(EOMONTH(DATE($D$2,$B$2,1),0)),"",IFERROR(SUMIFS(DATA_GOC!$H:$H,DATA_GOC!$A:$A,"BOM",DATA_GOC!$D:$D,$B82,DATA_GOC!$E:$E,"Téc 2",DATA_GOC!$F:$F,"Xuất nội bộ từ téc",DATA_GOC!$B:$B,DATE($D$2,$B$2,AC$4)),0))</f>
        <v>0</v>
      </c>
      <c r="AD82" s="251">
        <f>IF(AD$4&gt;DAY(EOMONTH(DATE($D$2,$B$2,1),0)),"",IFERROR(SUMIFS(DATA_GOC!$H:$H,DATA_GOC!$A:$A,"BOM",DATA_GOC!$D:$D,$B82,DATA_GOC!$E:$E,"Téc 2",DATA_GOC!$F:$F,"Xuất nội bộ từ téc",DATA_GOC!$B:$B,DATE($D$2,$B$2,AD$4)),0))</f>
        <v>0</v>
      </c>
      <c r="AE82" s="251">
        <f>IF(AE$4&gt;DAY(EOMONTH(DATE($D$2,$B$2,1),0)),"",IFERROR(SUMIFS(DATA_GOC!$H:$H,DATA_GOC!$A:$A,"BOM",DATA_GOC!$D:$D,$B82,DATA_GOC!$E:$E,"Téc 2",DATA_GOC!$F:$F,"Xuất nội bộ từ téc",DATA_GOC!$B:$B,DATE($D$2,$B$2,AE$4)),0))</f>
        <v>0</v>
      </c>
      <c r="AF82" s="251">
        <f>IF(AF$4&gt;DAY(EOMONTH(DATE($D$2,$B$2,1),0)),"",IFERROR(SUMIFS(DATA_GOC!$H:$H,DATA_GOC!$A:$A,"BOM",DATA_GOC!$D:$D,$B82,DATA_GOC!$E:$E,"Téc 2",DATA_GOC!$F:$F,"Xuất nội bộ từ téc",DATA_GOC!$B:$B,DATE($D$2,$B$2,AF$4)),0))</f>
        <v>0</v>
      </c>
      <c r="AG82" s="251">
        <f>IF(AG$4&gt;DAY(EOMONTH(DATE($D$2,$B$2,1),0)),"",IFERROR(SUMIFS(DATA_GOC!$H:$H,DATA_GOC!$A:$A,"BOM",DATA_GOC!$D:$D,$B82,DATA_GOC!$E:$E,"Téc 2",DATA_GOC!$F:$F,"Xuất nội bộ từ téc",DATA_GOC!$B:$B,DATE($D$2,$B$2,AG$4)),0))</f>
        <v>0</v>
      </c>
      <c r="AH82" s="252">
        <f t="shared" si="4"/>
        <v>88</v>
      </c>
      <c r="AI82" s="241">
        <f>IFERROR(SUMIFS(DATA_GOC!$H:$H,DATA_GOC!$A:$A,"BOM",DATA_GOC!$D:$D,$B82,DATA_GOC!$E:$E,"Bơm ngoài/Hải Tân",DATA_GOC!$F:$F,"Bơm ngoài",DATA_GOC!$B:$B,"&gt;="&amp;DATE($D$2,$B$2,1),DATA_GOC!$B:$B,"&lt;="&amp;EOMONTH(DATE($D$2,$B$2,1),0)),0)</f>
        <v>0</v>
      </c>
      <c r="AJ82" s="242">
        <f>IF($B82="","",SUMIFS(TINH_TEC!$K$233:$K$9232,TINH_TEC!$H$233:$H$9232,$B82,TINH_TEC!$C$233:$C$9232,"Téc 2",TINH_TEC!$F$233:$F$9232,$B$2,TINH_TEC!$G$233:$G$9232,$D$2,TINH_TEC!$B$233:$B$9232,"Đã chốt"))</f>
        <v>0</v>
      </c>
      <c r="AK82" s="242">
        <f>IF($B82="","",SUMIFS(TINH_TEC!$J$233:$J$9232,TINH_TEC!$H$233:$H$9232,$B82,TINH_TEC!$C$233:$C$9232,"Téc 2",TINH_TEC!$F$233:$F$9232,$B$2,TINH_TEC!$G$233:$G$9232,$D$2,TINH_TEC!$B$233:$B$9232,"Đã chốt"))</f>
        <v>35.12</v>
      </c>
      <c r="AL82" s="242">
        <f t="shared" si="5"/>
        <v>123.12</v>
      </c>
    </row>
    <row r="83" ht="15.75" customHeight="1">
      <c r="A83" s="237">
        <f>IF($B83&lt;&gt;"",17,"")</f>
        <v>17</v>
      </c>
      <c r="B83" s="250" t="str">
        <f t="array" ref="B83">IFERROR(INDEX(DANH_MUC!$E:$E,20),"")</f>
        <v>28C03261</v>
      </c>
      <c r="C83" s="251">
        <f>IF(C$4&gt;DAY(EOMONTH(DATE($D$2,$B$2,1),0)),"",IFERROR(SUMIFS(DATA_GOC!$H:$H,DATA_GOC!$A:$A,"BOM",DATA_GOC!$D:$D,$B83,DATA_GOC!$E:$E,"Téc 2",DATA_GOC!$F:$F,"Xuất nội bộ từ téc",DATA_GOC!$B:$B,DATE($D$2,$B$2,C$4)),0))</f>
        <v>0</v>
      </c>
      <c r="D83" s="251">
        <f>IF(D$4&gt;DAY(EOMONTH(DATE($D$2,$B$2,1),0)),"",IFERROR(SUMIFS(DATA_GOC!$H:$H,DATA_GOC!$A:$A,"BOM",DATA_GOC!$D:$D,$B83,DATA_GOC!$E:$E,"Téc 2",DATA_GOC!$F:$F,"Xuất nội bộ từ téc",DATA_GOC!$B:$B,DATE($D$2,$B$2,D$4)),0))</f>
        <v>0</v>
      </c>
      <c r="E83" s="251">
        <f>IF(E$4&gt;DAY(EOMONTH(DATE($D$2,$B$2,1),0)),"",IFERROR(SUMIFS(DATA_GOC!$H:$H,DATA_GOC!$A:$A,"BOM",DATA_GOC!$D:$D,$B83,DATA_GOC!$E:$E,"Téc 2",DATA_GOC!$F:$F,"Xuất nội bộ từ téc",DATA_GOC!$B:$B,DATE($D$2,$B$2,E$4)),0))</f>
        <v>0</v>
      </c>
      <c r="F83" s="251">
        <f>IF(F$4&gt;DAY(EOMONTH(DATE($D$2,$B$2,1),0)),"",IFERROR(SUMIFS(DATA_GOC!$H:$H,DATA_GOC!$A:$A,"BOM",DATA_GOC!$D:$D,$B83,DATA_GOC!$E:$E,"Téc 2",DATA_GOC!$F:$F,"Xuất nội bộ từ téc",DATA_GOC!$B:$B,DATE($D$2,$B$2,F$4)),0))</f>
        <v>0</v>
      </c>
      <c r="G83" s="251">
        <f>IF(G$4&gt;DAY(EOMONTH(DATE($D$2,$B$2,1),0)),"",IFERROR(SUMIFS(DATA_GOC!$H:$H,DATA_GOC!$A:$A,"BOM",DATA_GOC!$D:$D,$B83,DATA_GOC!$E:$E,"Téc 2",DATA_GOC!$F:$F,"Xuất nội bộ từ téc",DATA_GOC!$B:$B,DATE($D$2,$B$2,G$4)),0))</f>
        <v>230</v>
      </c>
      <c r="H83" s="251">
        <f>IF(H$4&gt;DAY(EOMONTH(DATE($D$2,$B$2,1),0)),"",IFERROR(SUMIFS(DATA_GOC!$H:$H,DATA_GOC!$A:$A,"BOM",DATA_GOC!$D:$D,$B83,DATA_GOC!$E:$E,"Téc 2",DATA_GOC!$F:$F,"Xuất nội bộ từ téc",DATA_GOC!$B:$B,DATE($D$2,$B$2,H$4)),0))</f>
        <v>0</v>
      </c>
      <c r="I83" s="251">
        <f>IF(I$4&gt;DAY(EOMONTH(DATE($D$2,$B$2,1),0)),"",IFERROR(SUMIFS(DATA_GOC!$H:$H,DATA_GOC!$A:$A,"BOM",DATA_GOC!$D:$D,$B83,DATA_GOC!$E:$E,"Téc 2",DATA_GOC!$F:$F,"Xuất nội bộ từ téc",DATA_GOC!$B:$B,DATE($D$2,$B$2,I$4)),0))</f>
        <v>0</v>
      </c>
      <c r="J83" s="251">
        <f>IF(J$4&gt;DAY(EOMONTH(DATE($D$2,$B$2,1),0)),"",IFERROR(SUMIFS(DATA_GOC!$H:$H,DATA_GOC!$A:$A,"BOM",DATA_GOC!$D:$D,$B83,DATA_GOC!$E:$E,"Téc 2",DATA_GOC!$F:$F,"Xuất nội bộ từ téc",DATA_GOC!$B:$B,DATE($D$2,$B$2,J$4)),0))</f>
        <v>0</v>
      </c>
      <c r="K83" s="251">
        <f>IF(K$4&gt;DAY(EOMONTH(DATE($D$2,$B$2,1),0)),"",IFERROR(SUMIFS(DATA_GOC!$H:$H,DATA_GOC!$A:$A,"BOM",DATA_GOC!$D:$D,$B83,DATA_GOC!$E:$E,"Téc 2",DATA_GOC!$F:$F,"Xuất nội bộ từ téc",DATA_GOC!$B:$B,DATE($D$2,$B$2,K$4)),0))</f>
        <v>0</v>
      </c>
      <c r="L83" s="251">
        <f>IF(L$4&gt;DAY(EOMONTH(DATE($D$2,$B$2,1),0)),"",IFERROR(SUMIFS(DATA_GOC!$H:$H,DATA_GOC!$A:$A,"BOM",DATA_GOC!$D:$D,$B83,DATA_GOC!$E:$E,"Téc 2",DATA_GOC!$F:$F,"Xuất nội bộ từ téc",DATA_GOC!$B:$B,DATE($D$2,$B$2,L$4)),0))</f>
        <v>0</v>
      </c>
      <c r="M83" s="251">
        <f>IF(M$4&gt;DAY(EOMONTH(DATE($D$2,$B$2,1),0)),"",IFERROR(SUMIFS(DATA_GOC!$H:$H,DATA_GOC!$A:$A,"BOM",DATA_GOC!$D:$D,$B83,DATA_GOC!$E:$E,"Téc 2",DATA_GOC!$F:$F,"Xuất nội bộ từ téc",DATA_GOC!$B:$B,DATE($D$2,$B$2,M$4)),0))</f>
        <v>0</v>
      </c>
      <c r="N83" s="251">
        <f>IF(N$4&gt;DAY(EOMONTH(DATE($D$2,$B$2,1),0)),"",IFERROR(SUMIFS(DATA_GOC!$H:$H,DATA_GOC!$A:$A,"BOM",DATA_GOC!$D:$D,$B83,DATA_GOC!$E:$E,"Téc 2",DATA_GOC!$F:$F,"Xuất nội bộ từ téc",DATA_GOC!$B:$B,DATE($D$2,$B$2,N$4)),0))</f>
        <v>0</v>
      </c>
      <c r="O83" s="251">
        <f>IF(O$4&gt;DAY(EOMONTH(DATE($D$2,$B$2,1),0)),"",IFERROR(SUMIFS(DATA_GOC!$H:$H,DATA_GOC!$A:$A,"BOM",DATA_GOC!$D:$D,$B83,DATA_GOC!$E:$E,"Téc 2",DATA_GOC!$F:$F,"Xuất nội bộ từ téc",DATA_GOC!$B:$B,DATE($D$2,$B$2,O$4)),0))</f>
        <v>0</v>
      </c>
      <c r="P83" s="251">
        <f>IF(P$4&gt;DAY(EOMONTH(DATE($D$2,$B$2,1),0)),"",IFERROR(SUMIFS(DATA_GOC!$H:$H,DATA_GOC!$A:$A,"BOM",DATA_GOC!$D:$D,$B83,DATA_GOC!$E:$E,"Téc 2",DATA_GOC!$F:$F,"Xuất nội bộ từ téc",DATA_GOC!$B:$B,DATE($D$2,$B$2,P$4)),0))</f>
        <v>0</v>
      </c>
      <c r="Q83" s="251">
        <f>IF(Q$4&gt;DAY(EOMONTH(DATE($D$2,$B$2,1),0)),"",IFERROR(SUMIFS(DATA_GOC!$H:$H,DATA_GOC!$A:$A,"BOM",DATA_GOC!$D:$D,$B83,DATA_GOC!$E:$E,"Téc 2",DATA_GOC!$F:$F,"Xuất nội bộ từ téc",DATA_GOC!$B:$B,DATE($D$2,$B$2,Q$4)),0))</f>
        <v>0</v>
      </c>
      <c r="R83" s="251">
        <f>IF(R$4&gt;DAY(EOMONTH(DATE($D$2,$B$2,1),0)),"",IFERROR(SUMIFS(DATA_GOC!$H:$H,DATA_GOC!$A:$A,"BOM",DATA_GOC!$D:$D,$B83,DATA_GOC!$E:$E,"Téc 2",DATA_GOC!$F:$F,"Xuất nội bộ từ téc",DATA_GOC!$B:$B,DATE($D$2,$B$2,R$4)),0))</f>
        <v>0</v>
      </c>
      <c r="S83" s="251">
        <f>IF(S$4&gt;DAY(EOMONTH(DATE($D$2,$B$2,1),0)),"",IFERROR(SUMIFS(DATA_GOC!$H:$H,DATA_GOC!$A:$A,"BOM",DATA_GOC!$D:$D,$B83,DATA_GOC!$E:$E,"Téc 2",DATA_GOC!$F:$F,"Xuất nội bộ từ téc",DATA_GOC!$B:$B,DATE($D$2,$B$2,S$4)),0))</f>
        <v>0</v>
      </c>
      <c r="T83" s="251">
        <f>IF(T$4&gt;DAY(EOMONTH(DATE($D$2,$B$2,1),0)),"",IFERROR(SUMIFS(DATA_GOC!$H:$H,DATA_GOC!$A:$A,"BOM",DATA_GOC!$D:$D,$B83,DATA_GOC!$E:$E,"Téc 2",DATA_GOC!$F:$F,"Xuất nội bộ từ téc",DATA_GOC!$B:$B,DATE($D$2,$B$2,T$4)),0))</f>
        <v>0</v>
      </c>
      <c r="U83" s="251">
        <f>IF(U$4&gt;DAY(EOMONTH(DATE($D$2,$B$2,1),0)),"",IFERROR(SUMIFS(DATA_GOC!$H:$H,DATA_GOC!$A:$A,"BOM",DATA_GOC!$D:$D,$B83,DATA_GOC!$E:$E,"Téc 2",DATA_GOC!$F:$F,"Xuất nội bộ từ téc",DATA_GOC!$B:$B,DATE($D$2,$B$2,U$4)),0))</f>
        <v>0</v>
      </c>
      <c r="V83" s="251">
        <f>IF(V$4&gt;DAY(EOMONTH(DATE($D$2,$B$2,1),0)),"",IFERROR(SUMIFS(DATA_GOC!$H:$H,DATA_GOC!$A:$A,"BOM",DATA_GOC!$D:$D,$B83,DATA_GOC!$E:$E,"Téc 2",DATA_GOC!$F:$F,"Xuất nội bộ từ téc",DATA_GOC!$B:$B,DATE($D$2,$B$2,V$4)),0))</f>
        <v>0</v>
      </c>
      <c r="W83" s="251">
        <f>IF(W$4&gt;DAY(EOMONTH(DATE($D$2,$B$2,1),0)),"",IFERROR(SUMIFS(DATA_GOC!$H:$H,DATA_GOC!$A:$A,"BOM",DATA_GOC!$D:$D,$B83,DATA_GOC!$E:$E,"Téc 2",DATA_GOC!$F:$F,"Xuất nội bộ từ téc",DATA_GOC!$B:$B,DATE($D$2,$B$2,W$4)),0))</f>
        <v>0</v>
      </c>
      <c r="X83" s="251">
        <f>IF(X$4&gt;DAY(EOMONTH(DATE($D$2,$B$2,1),0)),"",IFERROR(SUMIFS(DATA_GOC!$H:$H,DATA_GOC!$A:$A,"BOM",DATA_GOC!$D:$D,$B83,DATA_GOC!$E:$E,"Téc 2",DATA_GOC!$F:$F,"Xuất nội bộ từ téc",DATA_GOC!$B:$B,DATE($D$2,$B$2,X$4)),0))</f>
        <v>0</v>
      </c>
      <c r="Y83" s="251">
        <f>IF(Y$4&gt;DAY(EOMONTH(DATE($D$2,$B$2,1),0)),"",IFERROR(SUMIFS(DATA_GOC!$H:$H,DATA_GOC!$A:$A,"BOM",DATA_GOC!$D:$D,$B83,DATA_GOC!$E:$E,"Téc 2",DATA_GOC!$F:$F,"Xuất nội bộ từ téc",DATA_GOC!$B:$B,DATE($D$2,$B$2,Y$4)),0))</f>
        <v>0</v>
      </c>
      <c r="Z83" s="251">
        <f>IF(Z$4&gt;DAY(EOMONTH(DATE($D$2,$B$2,1),0)),"",IFERROR(SUMIFS(DATA_GOC!$H:$H,DATA_GOC!$A:$A,"BOM",DATA_GOC!$D:$D,$B83,DATA_GOC!$E:$E,"Téc 2",DATA_GOC!$F:$F,"Xuất nội bộ từ téc",DATA_GOC!$B:$B,DATE($D$2,$B$2,Z$4)),0))</f>
        <v>0</v>
      </c>
      <c r="AA83" s="251">
        <f>IF(AA$4&gt;DAY(EOMONTH(DATE($D$2,$B$2,1),0)),"",IFERROR(SUMIFS(DATA_GOC!$H:$H,DATA_GOC!$A:$A,"BOM",DATA_GOC!$D:$D,$B83,DATA_GOC!$E:$E,"Téc 2",DATA_GOC!$F:$F,"Xuất nội bộ từ téc",DATA_GOC!$B:$B,DATE($D$2,$B$2,AA$4)),0))</f>
        <v>0</v>
      </c>
      <c r="AB83" s="251">
        <f>IF(AB$4&gt;DAY(EOMONTH(DATE($D$2,$B$2,1),0)),"",IFERROR(SUMIFS(DATA_GOC!$H:$H,DATA_GOC!$A:$A,"BOM",DATA_GOC!$D:$D,$B83,DATA_GOC!$E:$E,"Téc 2",DATA_GOC!$F:$F,"Xuất nội bộ từ téc",DATA_GOC!$B:$B,DATE($D$2,$B$2,AB$4)),0))</f>
        <v>0</v>
      </c>
      <c r="AC83" s="251">
        <f>IF(AC$4&gt;DAY(EOMONTH(DATE($D$2,$B$2,1),0)),"",IFERROR(SUMIFS(DATA_GOC!$H:$H,DATA_GOC!$A:$A,"BOM",DATA_GOC!$D:$D,$B83,DATA_GOC!$E:$E,"Téc 2",DATA_GOC!$F:$F,"Xuất nội bộ từ téc",DATA_GOC!$B:$B,DATE($D$2,$B$2,AC$4)),0))</f>
        <v>0</v>
      </c>
      <c r="AD83" s="251">
        <f>IF(AD$4&gt;DAY(EOMONTH(DATE($D$2,$B$2,1),0)),"",IFERROR(SUMIFS(DATA_GOC!$H:$H,DATA_GOC!$A:$A,"BOM",DATA_GOC!$D:$D,$B83,DATA_GOC!$E:$E,"Téc 2",DATA_GOC!$F:$F,"Xuất nội bộ từ téc",DATA_GOC!$B:$B,DATE($D$2,$B$2,AD$4)),0))</f>
        <v>0</v>
      </c>
      <c r="AE83" s="251">
        <f>IF(AE$4&gt;DAY(EOMONTH(DATE($D$2,$B$2,1),0)),"",IFERROR(SUMIFS(DATA_GOC!$H:$H,DATA_GOC!$A:$A,"BOM",DATA_GOC!$D:$D,$B83,DATA_GOC!$E:$E,"Téc 2",DATA_GOC!$F:$F,"Xuất nội bộ từ téc",DATA_GOC!$B:$B,DATE($D$2,$B$2,AE$4)),0))</f>
        <v>0</v>
      </c>
      <c r="AF83" s="251">
        <f>IF(AF$4&gt;DAY(EOMONTH(DATE($D$2,$B$2,1),0)),"",IFERROR(SUMIFS(DATA_GOC!$H:$H,DATA_GOC!$A:$A,"BOM",DATA_GOC!$D:$D,$B83,DATA_GOC!$E:$E,"Téc 2",DATA_GOC!$F:$F,"Xuất nội bộ từ téc",DATA_GOC!$B:$B,DATE($D$2,$B$2,AF$4)),0))</f>
        <v>0</v>
      </c>
      <c r="AG83" s="251">
        <f>IF(AG$4&gt;DAY(EOMONTH(DATE($D$2,$B$2,1),0)),"",IFERROR(SUMIFS(DATA_GOC!$H:$H,DATA_GOC!$A:$A,"BOM",DATA_GOC!$D:$D,$B83,DATA_GOC!$E:$E,"Téc 2",DATA_GOC!$F:$F,"Xuất nội bộ từ téc",DATA_GOC!$B:$B,DATE($D$2,$B$2,AG$4)),0))</f>
        <v>0</v>
      </c>
      <c r="AH83" s="252">
        <f t="shared" si="4"/>
        <v>230</v>
      </c>
      <c r="AI83" s="241">
        <f>IFERROR(SUMIFS(DATA_GOC!$H:$H,DATA_GOC!$A:$A,"BOM",DATA_GOC!$D:$D,$B83,DATA_GOC!$E:$E,"Bơm ngoài/Hải Tân",DATA_GOC!$F:$F,"Bơm ngoài",DATA_GOC!$B:$B,"&gt;="&amp;DATE($D$2,$B$2,1),DATA_GOC!$B:$B,"&lt;="&amp;EOMONTH(DATE($D$2,$B$2,1),0)),0)</f>
        <v>0</v>
      </c>
      <c r="AJ83" s="242">
        <f>IF($B83="","",SUMIFS(TINH_TEC!$K$233:$K$9232,TINH_TEC!$H$233:$H$9232,$B83,TINH_TEC!$C$233:$C$9232,"Téc 2",TINH_TEC!$F$233:$F$9232,$B$2,TINH_TEC!$G$233:$G$9232,$D$2,TINH_TEC!$B$233:$B$9232,"Đã chốt"))</f>
        <v>0</v>
      </c>
      <c r="AK83" s="242">
        <f>IF($B83="","",SUMIFS(TINH_TEC!$J$233:$J$9232,TINH_TEC!$H$233:$H$9232,$B83,TINH_TEC!$C$233:$C$9232,"Téc 2",TINH_TEC!$F$233:$F$9232,$B$2,TINH_TEC!$G$233:$G$9232,$D$2,TINH_TEC!$B$233:$B$9232,"Đã chốt"))</f>
        <v>31.451</v>
      </c>
      <c r="AL83" s="242">
        <f t="shared" si="5"/>
        <v>261.451</v>
      </c>
    </row>
    <row r="84" ht="15.75" customHeight="1">
      <c r="A84" s="237">
        <f>IF($B84&lt;&gt;"",18,"")</f>
        <v>18</v>
      </c>
      <c r="B84" s="250" t="str">
        <f t="array" ref="B84">IFERROR(INDEX(DANH_MUC!$E:$E,21),"")</f>
        <v>28C03323</v>
      </c>
      <c r="C84" s="251">
        <f>IF(C$4&gt;DAY(EOMONTH(DATE($D$2,$B$2,1),0)),"",IFERROR(SUMIFS(DATA_GOC!$H:$H,DATA_GOC!$A:$A,"BOM",DATA_GOC!$D:$D,$B84,DATA_GOC!$E:$E,"Téc 2",DATA_GOC!$F:$F,"Xuất nội bộ từ téc",DATA_GOC!$B:$B,DATE($D$2,$B$2,C$4)),0))</f>
        <v>0</v>
      </c>
      <c r="D84" s="251">
        <f>IF(D$4&gt;DAY(EOMONTH(DATE($D$2,$B$2,1),0)),"",IFERROR(SUMIFS(DATA_GOC!$H:$H,DATA_GOC!$A:$A,"BOM",DATA_GOC!$D:$D,$B84,DATA_GOC!$E:$E,"Téc 2",DATA_GOC!$F:$F,"Xuất nội bộ từ téc",DATA_GOC!$B:$B,DATE($D$2,$B$2,D$4)),0))</f>
        <v>0</v>
      </c>
      <c r="E84" s="251">
        <f>IF(E$4&gt;DAY(EOMONTH(DATE($D$2,$B$2,1),0)),"",IFERROR(SUMIFS(DATA_GOC!$H:$H,DATA_GOC!$A:$A,"BOM",DATA_GOC!$D:$D,$B84,DATA_GOC!$E:$E,"Téc 2",DATA_GOC!$F:$F,"Xuất nội bộ từ téc",DATA_GOC!$B:$B,DATE($D$2,$B$2,E$4)),0))</f>
        <v>0</v>
      </c>
      <c r="F84" s="251">
        <f>IF(F$4&gt;DAY(EOMONTH(DATE($D$2,$B$2,1),0)),"",IFERROR(SUMIFS(DATA_GOC!$H:$H,DATA_GOC!$A:$A,"BOM",DATA_GOC!$D:$D,$B84,DATA_GOC!$E:$E,"Téc 2",DATA_GOC!$F:$F,"Xuất nội bộ từ téc",DATA_GOC!$B:$B,DATE($D$2,$B$2,F$4)),0))</f>
        <v>0</v>
      </c>
      <c r="G84" s="251">
        <f>IF(G$4&gt;DAY(EOMONTH(DATE($D$2,$B$2,1),0)),"",IFERROR(SUMIFS(DATA_GOC!$H:$H,DATA_GOC!$A:$A,"BOM",DATA_GOC!$D:$D,$B84,DATA_GOC!$E:$E,"Téc 2",DATA_GOC!$F:$F,"Xuất nội bộ từ téc",DATA_GOC!$B:$B,DATE($D$2,$B$2,G$4)),0))</f>
        <v>0</v>
      </c>
      <c r="H84" s="251">
        <f>IF(H$4&gt;DAY(EOMONTH(DATE($D$2,$B$2,1),0)),"",IFERROR(SUMIFS(DATA_GOC!$H:$H,DATA_GOC!$A:$A,"BOM",DATA_GOC!$D:$D,$B84,DATA_GOC!$E:$E,"Téc 2",DATA_GOC!$F:$F,"Xuất nội bộ từ téc",DATA_GOC!$B:$B,DATE($D$2,$B$2,H$4)),0))</f>
        <v>0</v>
      </c>
      <c r="I84" s="251">
        <f>IF(I$4&gt;DAY(EOMONTH(DATE($D$2,$B$2,1),0)),"",IFERROR(SUMIFS(DATA_GOC!$H:$H,DATA_GOC!$A:$A,"BOM",DATA_GOC!$D:$D,$B84,DATA_GOC!$E:$E,"Téc 2",DATA_GOC!$F:$F,"Xuất nội bộ từ téc",DATA_GOC!$B:$B,DATE($D$2,$B$2,I$4)),0))</f>
        <v>0</v>
      </c>
      <c r="J84" s="251">
        <f>IF(J$4&gt;DAY(EOMONTH(DATE($D$2,$B$2,1),0)),"",IFERROR(SUMIFS(DATA_GOC!$H:$H,DATA_GOC!$A:$A,"BOM",DATA_GOC!$D:$D,$B84,DATA_GOC!$E:$E,"Téc 2",DATA_GOC!$F:$F,"Xuất nội bộ từ téc",DATA_GOC!$B:$B,DATE($D$2,$B$2,J$4)),0))</f>
        <v>0</v>
      </c>
      <c r="K84" s="251">
        <f>IF(K$4&gt;DAY(EOMONTH(DATE($D$2,$B$2,1),0)),"",IFERROR(SUMIFS(DATA_GOC!$H:$H,DATA_GOC!$A:$A,"BOM",DATA_GOC!$D:$D,$B84,DATA_GOC!$E:$E,"Téc 2",DATA_GOC!$F:$F,"Xuất nội bộ từ téc",DATA_GOC!$B:$B,DATE($D$2,$B$2,K$4)),0))</f>
        <v>0</v>
      </c>
      <c r="L84" s="251">
        <f>IF(L$4&gt;DAY(EOMONTH(DATE($D$2,$B$2,1),0)),"",IFERROR(SUMIFS(DATA_GOC!$H:$H,DATA_GOC!$A:$A,"BOM",DATA_GOC!$D:$D,$B84,DATA_GOC!$E:$E,"Téc 2",DATA_GOC!$F:$F,"Xuất nội bộ từ téc",DATA_GOC!$B:$B,DATE($D$2,$B$2,L$4)),0))</f>
        <v>0</v>
      </c>
      <c r="M84" s="251">
        <f>IF(M$4&gt;DAY(EOMONTH(DATE($D$2,$B$2,1),0)),"",IFERROR(SUMIFS(DATA_GOC!$H:$H,DATA_GOC!$A:$A,"BOM",DATA_GOC!$D:$D,$B84,DATA_GOC!$E:$E,"Téc 2",DATA_GOC!$F:$F,"Xuất nội bộ từ téc",DATA_GOC!$B:$B,DATE($D$2,$B$2,M$4)),0))</f>
        <v>0</v>
      </c>
      <c r="N84" s="251">
        <f>IF(N$4&gt;DAY(EOMONTH(DATE($D$2,$B$2,1),0)),"",IFERROR(SUMIFS(DATA_GOC!$H:$H,DATA_GOC!$A:$A,"BOM",DATA_GOC!$D:$D,$B84,DATA_GOC!$E:$E,"Téc 2",DATA_GOC!$F:$F,"Xuất nội bộ từ téc",DATA_GOC!$B:$B,DATE($D$2,$B$2,N$4)),0))</f>
        <v>0</v>
      </c>
      <c r="O84" s="251">
        <f>IF(O$4&gt;DAY(EOMONTH(DATE($D$2,$B$2,1),0)),"",IFERROR(SUMIFS(DATA_GOC!$H:$H,DATA_GOC!$A:$A,"BOM",DATA_GOC!$D:$D,$B84,DATA_GOC!$E:$E,"Téc 2",DATA_GOC!$F:$F,"Xuất nội bộ từ téc",DATA_GOC!$B:$B,DATE($D$2,$B$2,O$4)),0))</f>
        <v>0</v>
      </c>
      <c r="P84" s="251">
        <f>IF(P$4&gt;DAY(EOMONTH(DATE($D$2,$B$2,1),0)),"",IFERROR(SUMIFS(DATA_GOC!$H:$H,DATA_GOC!$A:$A,"BOM",DATA_GOC!$D:$D,$B84,DATA_GOC!$E:$E,"Téc 2",DATA_GOC!$F:$F,"Xuất nội bộ từ téc",DATA_GOC!$B:$B,DATE($D$2,$B$2,P$4)),0))</f>
        <v>0</v>
      </c>
      <c r="Q84" s="251">
        <f>IF(Q$4&gt;DAY(EOMONTH(DATE($D$2,$B$2,1),0)),"",IFERROR(SUMIFS(DATA_GOC!$H:$H,DATA_GOC!$A:$A,"BOM",DATA_GOC!$D:$D,$B84,DATA_GOC!$E:$E,"Téc 2",DATA_GOC!$F:$F,"Xuất nội bộ từ téc",DATA_GOC!$B:$B,DATE($D$2,$B$2,Q$4)),0))</f>
        <v>0</v>
      </c>
      <c r="R84" s="251">
        <f>IF(R$4&gt;DAY(EOMONTH(DATE($D$2,$B$2,1),0)),"",IFERROR(SUMIFS(DATA_GOC!$H:$H,DATA_GOC!$A:$A,"BOM",DATA_GOC!$D:$D,$B84,DATA_GOC!$E:$E,"Téc 2",DATA_GOC!$F:$F,"Xuất nội bộ từ téc",DATA_GOC!$B:$B,DATE($D$2,$B$2,R$4)),0))</f>
        <v>0</v>
      </c>
      <c r="S84" s="251">
        <f>IF(S$4&gt;DAY(EOMONTH(DATE($D$2,$B$2,1),0)),"",IFERROR(SUMIFS(DATA_GOC!$H:$H,DATA_GOC!$A:$A,"BOM",DATA_GOC!$D:$D,$B84,DATA_GOC!$E:$E,"Téc 2",DATA_GOC!$F:$F,"Xuất nội bộ từ téc",DATA_GOC!$B:$B,DATE($D$2,$B$2,S$4)),0))</f>
        <v>0</v>
      </c>
      <c r="T84" s="251">
        <f>IF(T$4&gt;DAY(EOMONTH(DATE($D$2,$B$2,1),0)),"",IFERROR(SUMIFS(DATA_GOC!$H:$H,DATA_GOC!$A:$A,"BOM",DATA_GOC!$D:$D,$B84,DATA_GOC!$E:$E,"Téc 2",DATA_GOC!$F:$F,"Xuất nội bộ từ téc",DATA_GOC!$B:$B,DATE($D$2,$B$2,T$4)),0))</f>
        <v>0</v>
      </c>
      <c r="U84" s="251">
        <f>IF(U$4&gt;DAY(EOMONTH(DATE($D$2,$B$2,1),0)),"",IFERROR(SUMIFS(DATA_GOC!$H:$H,DATA_GOC!$A:$A,"BOM",DATA_GOC!$D:$D,$B84,DATA_GOC!$E:$E,"Téc 2",DATA_GOC!$F:$F,"Xuất nội bộ từ téc",DATA_GOC!$B:$B,DATE($D$2,$B$2,U$4)),0))</f>
        <v>0</v>
      </c>
      <c r="V84" s="251">
        <f>IF(V$4&gt;DAY(EOMONTH(DATE($D$2,$B$2,1),0)),"",IFERROR(SUMIFS(DATA_GOC!$H:$H,DATA_GOC!$A:$A,"BOM",DATA_GOC!$D:$D,$B84,DATA_GOC!$E:$E,"Téc 2",DATA_GOC!$F:$F,"Xuất nội bộ từ téc",DATA_GOC!$B:$B,DATE($D$2,$B$2,V$4)),0))</f>
        <v>0</v>
      </c>
      <c r="W84" s="251">
        <f>IF(W$4&gt;DAY(EOMONTH(DATE($D$2,$B$2,1),0)),"",IFERROR(SUMIFS(DATA_GOC!$H:$H,DATA_GOC!$A:$A,"BOM",DATA_GOC!$D:$D,$B84,DATA_GOC!$E:$E,"Téc 2",DATA_GOC!$F:$F,"Xuất nội bộ từ téc",DATA_GOC!$B:$B,DATE($D$2,$B$2,W$4)),0))</f>
        <v>0</v>
      </c>
      <c r="X84" s="251">
        <f>IF(X$4&gt;DAY(EOMONTH(DATE($D$2,$B$2,1),0)),"",IFERROR(SUMIFS(DATA_GOC!$H:$H,DATA_GOC!$A:$A,"BOM",DATA_GOC!$D:$D,$B84,DATA_GOC!$E:$E,"Téc 2",DATA_GOC!$F:$F,"Xuất nội bộ từ téc",DATA_GOC!$B:$B,DATE($D$2,$B$2,X$4)),0))</f>
        <v>0</v>
      </c>
      <c r="Y84" s="251">
        <f>IF(Y$4&gt;DAY(EOMONTH(DATE($D$2,$B$2,1),0)),"",IFERROR(SUMIFS(DATA_GOC!$H:$H,DATA_GOC!$A:$A,"BOM",DATA_GOC!$D:$D,$B84,DATA_GOC!$E:$E,"Téc 2",DATA_GOC!$F:$F,"Xuất nội bộ từ téc",DATA_GOC!$B:$B,DATE($D$2,$B$2,Y$4)),0))</f>
        <v>0</v>
      </c>
      <c r="Z84" s="251">
        <f>IF(Z$4&gt;DAY(EOMONTH(DATE($D$2,$B$2,1),0)),"",IFERROR(SUMIFS(DATA_GOC!$H:$H,DATA_GOC!$A:$A,"BOM",DATA_GOC!$D:$D,$B84,DATA_GOC!$E:$E,"Téc 2",DATA_GOC!$F:$F,"Xuất nội bộ từ téc",DATA_GOC!$B:$B,DATE($D$2,$B$2,Z$4)),0))</f>
        <v>0</v>
      </c>
      <c r="AA84" s="251">
        <f>IF(AA$4&gt;DAY(EOMONTH(DATE($D$2,$B$2,1),0)),"",IFERROR(SUMIFS(DATA_GOC!$H:$H,DATA_GOC!$A:$A,"BOM",DATA_GOC!$D:$D,$B84,DATA_GOC!$E:$E,"Téc 2",DATA_GOC!$F:$F,"Xuất nội bộ từ téc",DATA_GOC!$B:$B,DATE($D$2,$B$2,AA$4)),0))</f>
        <v>0</v>
      </c>
      <c r="AB84" s="251">
        <f>IF(AB$4&gt;DAY(EOMONTH(DATE($D$2,$B$2,1),0)),"",IFERROR(SUMIFS(DATA_GOC!$H:$H,DATA_GOC!$A:$A,"BOM",DATA_GOC!$D:$D,$B84,DATA_GOC!$E:$E,"Téc 2",DATA_GOC!$F:$F,"Xuất nội bộ từ téc",DATA_GOC!$B:$B,DATE($D$2,$B$2,AB$4)),0))</f>
        <v>0</v>
      </c>
      <c r="AC84" s="251">
        <f>IF(AC$4&gt;DAY(EOMONTH(DATE($D$2,$B$2,1),0)),"",IFERROR(SUMIFS(DATA_GOC!$H:$H,DATA_GOC!$A:$A,"BOM",DATA_GOC!$D:$D,$B84,DATA_GOC!$E:$E,"Téc 2",DATA_GOC!$F:$F,"Xuất nội bộ từ téc",DATA_GOC!$B:$B,DATE($D$2,$B$2,AC$4)),0))</f>
        <v>0</v>
      </c>
      <c r="AD84" s="251">
        <f>IF(AD$4&gt;DAY(EOMONTH(DATE($D$2,$B$2,1),0)),"",IFERROR(SUMIFS(DATA_GOC!$H:$H,DATA_GOC!$A:$A,"BOM",DATA_GOC!$D:$D,$B84,DATA_GOC!$E:$E,"Téc 2",DATA_GOC!$F:$F,"Xuất nội bộ từ téc",DATA_GOC!$B:$B,DATE($D$2,$B$2,AD$4)),0))</f>
        <v>0</v>
      </c>
      <c r="AE84" s="251">
        <f>IF(AE$4&gt;DAY(EOMONTH(DATE($D$2,$B$2,1),0)),"",IFERROR(SUMIFS(DATA_GOC!$H:$H,DATA_GOC!$A:$A,"BOM",DATA_GOC!$D:$D,$B84,DATA_GOC!$E:$E,"Téc 2",DATA_GOC!$F:$F,"Xuất nội bộ từ téc",DATA_GOC!$B:$B,DATE($D$2,$B$2,AE$4)),0))</f>
        <v>0</v>
      </c>
      <c r="AF84" s="251">
        <f>IF(AF$4&gt;DAY(EOMONTH(DATE($D$2,$B$2,1),0)),"",IFERROR(SUMIFS(DATA_GOC!$H:$H,DATA_GOC!$A:$A,"BOM",DATA_GOC!$D:$D,$B84,DATA_GOC!$E:$E,"Téc 2",DATA_GOC!$F:$F,"Xuất nội bộ từ téc",DATA_GOC!$B:$B,DATE($D$2,$B$2,AF$4)),0))</f>
        <v>0</v>
      </c>
      <c r="AG84" s="251">
        <f>IF(AG$4&gt;DAY(EOMONTH(DATE($D$2,$B$2,1),0)),"",IFERROR(SUMIFS(DATA_GOC!$H:$H,DATA_GOC!$A:$A,"BOM",DATA_GOC!$D:$D,$B84,DATA_GOC!$E:$E,"Téc 2",DATA_GOC!$F:$F,"Xuất nội bộ từ téc",DATA_GOC!$B:$B,DATE($D$2,$B$2,AG$4)),0))</f>
        <v>0</v>
      </c>
      <c r="AH84" s="252">
        <f t="shared" si="4"/>
        <v>0</v>
      </c>
      <c r="AI84" s="241">
        <f>IFERROR(SUMIFS(DATA_GOC!$H:$H,DATA_GOC!$A:$A,"BOM",DATA_GOC!$D:$D,$B84,DATA_GOC!$E:$E,"Bơm ngoài/Hải Tân",DATA_GOC!$F:$F,"Bơm ngoài",DATA_GOC!$B:$B,"&gt;="&amp;DATE($D$2,$B$2,1),DATA_GOC!$B:$B,"&lt;="&amp;EOMONTH(DATE($D$2,$B$2,1),0)),0)</f>
        <v>0</v>
      </c>
      <c r="AJ84" s="242">
        <f>IF($B84="","",SUMIFS(TINH_TEC!$K$233:$K$9232,TINH_TEC!$H$233:$H$9232,$B84,TINH_TEC!$C$233:$C$9232,"Téc 2",TINH_TEC!$F$233:$F$9232,$B$2,TINH_TEC!$G$233:$G$9232,$D$2,TINH_TEC!$B$233:$B$9232,"Đã chốt"))</f>
        <v>0</v>
      </c>
      <c r="AK84" s="242">
        <f>IF($B84="","",SUMIFS(TINH_TEC!$J$233:$J$9232,TINH_TEC!$H$233:$H$9232,$B84,TINH_TEC!$C$233:$C$9232,"Téc 2",TINH_TEC!$F$233:$F$9232,$B$2,TINH_TEC!$G$233:$G$9232,$D$2,TINH_TEC!$B$233:$B$9232,"Đã chốt"))</f>
        <v>21.899</v>
      </c>
      <c r="AL84" s="242">
        <f t="shared" si="5"/>
        <v>21.899</v>
      </c>
    </row>
    <row r="85" ht="15.75" customHeight="1">
      <c r="A85" s="237">
        <f>IF($B85&lt;&gt;"",19,"")</f>
        <v>19</v>
      </c>
      <c r="B85" s="250" t="str">
        <f t="array" ref="B85">IFERROR(INDEX(DANH_MUC!$E:$E,22),"")</f>
        <v>28C03385</v>
      </c>
      <c r="C85" s="251">
        <f>IF(C$4&gt;DAY(EOMONTH(DATE($D$2,$B$2,1),0)),"",IFERROR(SUMIFS(DATA_GOC!$H:$H,DATA_GOC!$A:$A,"BOM",DATA_GOC!$D:$D,$B85,DATA_GOC!$E:$E,"Téc 2",DATA_GOC!$F:$F,"Xuất nội bộ từ téc",DATA_GOC!$B:$B,DATE($D$2,$B$2,C$4)),0))</f>
        <v>0</v>
      </c>
      <c r="D85" s="251">
        <f>IF(D$4&gt;DAY(EOMONTH(DATE($D$2,$B$2,1),0)),"",IFERROR(SUMIFS(DATA_GOC!$H:$H,DATA_GOC!$A:$A,"BOM",DATA_GOC!$D:$D,$B85,DATA_GOC!$E:$E,"Téc 2",DATA_GOC!$F:$F,"Xuất nội bộ từ téc",DATA_GOC!$B:$B,DATE($D$2,$B$2,D$4)),0))</f>
        <v>0</v>
      </c>
      <c r="E85" s="251">
        <f>IF(E$4&gt;DAY(EOMONTH(DATE($D$2,$B$2,1),0)),"",IFERROR(SUMIFS(DATA_GOC!$H:$H,DATA_GOC!$A:$A,"BOM",DATA_GOC!$D:$D,$B85,DATA_GOC!$E:$E,"Téc 2",DATA_GOC!$F:$F,"Xuất nội bộ từ téc",DATA_GOC!$B:$B,DATE($D$2,$B$2,E$4)),0))</f>
        <v>0</v>
      </c>
      <c r="F85" s="251">
        <f>IF(F$4&gt;DAY(EOMONTH(DATE($D$2,$B$2,1),0)),"",IFERROR(SUMIFS(DATA_GOC!$H:$H,DATA_GOC!$A:$A,"BOM",DATA_GOC!$D:$D,$B85,DATA_GOC!$E:$E,"Téc 2",DATA_GOC!$F:$F,"Xuất nội bộ từ téc",DATA_GOC!$B:$B,DATE($D$2,$B$2,F$4)),0))</f>
        <v>0</v>
      </c>
      <c r="G85" s="251">
        <f>IF(G$4&gt;DAY(EOMONTH(DATE($D$2,$B$2,1),0)),"",IFERROR(SUMIFS(DATA_GOC!$H:$H,DATA_GOC!$A:$A,"BOM",DATA_GOC!$D:$D,$B85,DATA_GOC!$E:$E,"Téc 2",DATA_GOC!$F:$F,"Xuất nội bộ từ téc",DATA_GOC!$B:$B,DATE($D$2,$B$2,G$4)),0))</f>
        <v>0</v>
      </c>
      <c r="H85" s="251">
        <f>IF(H$4&gt;DAY(EOMONTH(DATE($D$2,$B$2,1),0)),"",IFERROR(SUMIFS(DATA_GOC!$H:$H,DATA_GOC!$A:$A,"BOM",DATA_GOC!$D:$D,$B85,DATA_GOC!$E:$E,"Téc 2",DATA_GOC!$F:$F,"Xuất nội bộ từ téc",DATA_GOC!$B:$B,DATE($D$2,$B$2,H$4)),0))</f>
        <v>0</v>
      </c>
      <c r="I85" s="251">
        <f>IF(I$4&gt;DAY(EOMONTH(DATE($D$2,$B$2,1),0)),"",IFERROR(SUMIFS(DATA_GOC!$H:$H,DATA_GOC!$A:$A,"BOM",DATA_GOC!$D:$D,$B85,DATA_GOC!$E:$E,"Téc 2",DATA_GOC!$F:$F,"Xuất nội bộ từ téc",DATA_GOC!$B:$B,DATE($D$2,$B$2,I$4)),0))</f>
        <v>0</v>
      </c>
      <c r="J85" s="251">
        <f>IF(J$4&gt;DAY(EOMONTH(DATE($D$2,$B$2,1),0)),"",IFERROR(SUMIFS(DATA_GOC!$H:$H,DATA_GOC!$A:$A,"BOM",DATA_GOC!$D:$D,$B85,DATA_GOC!$E:$E,"Téc 2",DATA_GOC!$F:$F,"Xuất nội bộ từ téc",DATA_GOC!$B:$B,DATE($D$2,$B$2,J$4)),0))</f>
        <v>0</v>
      </c>
      <c r="K85" s="251">
        <f>IF(K$4&gt;DAY(EOMONTH(DATE($D$2,$B$2,1),0)),"",IFERROR(SUMIFS(DATA_GOC!$H:$H,DATA_GOC!$A:$A,"BOM",DATA_GOC!$D:$D,$B85,DATA_GOC!$E:$E,"Téc 2",DATA_GOC!$F:$F,"Xuất nội bộ từ téc",DATA_GOC!$B:$B,DATE($D$2,$B$2,K$4)),0))</f>
        <v>0</v>
      </c>
      <c r="L85" s="251">
        <f>IF(L$4&gt;DAY(EOMONTH(DATE($D$2,$B$2,1),0)),"",IFERROR(SUMIFS(DATA_GOC!$H:$H,DATA_GOC!$A:$A,"BOM",DATA_GOC!$D:$D,$B85,DATA_GOC!$E:$E,"Téc 2",DATA_GOC!$F:$F,"Xuất nội bộ từ téc",DATA_GOC!$B:$B,DATE($D$2,$B$2,L$4)),0))</f>
        <v>0</v>
      </c>
      <c r="M85" s="251">
        <f>IF(M$4&gt;DAY(EOMONTH(DATE($D$2,$B$2,1),0)),"",IFERROR(SUMIFS(DATA_GOC!$H:$H,DATA_GOC!$A:$A,"BOM",DATA_GOC!$D:$D,$B85,DATA_GOC!$E:$E,"Téc 2",DATA_GOC!$F:$F,"Xuất nội bộ từ téc",DATA_GOC!$B:$B,DATE($D$2,$B$2,M$4)),0))</f>
        <v>0</v>
      </c>
      <c r="N85" s="251">
        <f>IF(N$4&gt;DAY(EOMONTH(DATE($D$2,$B$2,1),0)),"",IFERROR(SUMIFS(DATA_GOC!$H:$H,DATA_GOC!$A:$A,"BOM",DATA_GOC!$D:$D,$B85,DATA_GOC!$E:$E,"Téc 2",DATA_GOC!$F:$F,"Xuất nội bộ từ téc",DATA_GOC!$B:$B,DATE($D$2,$B$2,N$4)),0))</f>
        <v>0</v>
      </c>
      <c r="O85" s="251">
        <f>IF(O$4&gt;DAY(EOMONTH(DATE($D$2,$B$2,1),0)),"",IFERROR(SUMIFS(DATA_GOC!$H:$H,DATA_GOC!$A:$A,"BOM",DATA_GOC!$D:$D,$B85,DATA_GOC!$E:$E,"Téc 2",DATA_GOC!$F:$F,"Xuất nội bộ từ téc",DATA_GOC!$B:$B,DATE($D$2,$B$2,O$4)),0))</f>
        <v>0</v>
      </c>
      <c r="P85" s="251">
        <f>IF(P$4&gt;DAY(EOMONTH(DATE($D$2,$B$2,1),0)),"",IFERROR(SUMIFS(DATA_GOC!$H:$H,DATA_GOC!$A:$A,"BOM",DATA_GOC!$D:$D,$B85,DATA_GOC!$E:$E,"Téc 2",DATA_GOC!$F:$F,"Xuất nội bộ từ téc",DATA_GOC!$B:$B,DATE($D$2,$B$2,P$4)),0))</f>
        <v>0</v>
      </c>
      <c r="Q85" s="251">
        <f>IF(Q$4&gt;DAY(EOMONTH(DATE($D$2,$B$2,1),0)),"",IFERROR(SUMIFS(DATA_GOC!$H:$H,DATA_GOC!$A:$A,"BOM",DATA_GOC!$D:$D,$B85,DATA_GOC!$E:$E,"Téc 2",DATA_GOC!$F:$F,"Xuất nội bộ từ téc",DATA_GOC!$B:$B,DATE($D$2,$B$2,Q$4)),0))</f>
        <v>0</v>
      </c>
      <c r="R85" s="251">
        <f>IF(R$4&gt;DAY(EOMONTH(DATE($D$2,$B$2,1),0)),"",IFERROR(SUMIFS(DATA_GOC!$H:$H,DATA_GOC!$A:$A,"BOM",DATA_GOC!$D:$D,$B85,DATA_GOC!$E:$E,"Téc 2",DATA_GOC!$F:$F,"Xuất nội bộ từ téc",DATA_GOC!$B:$B,DATE($D$2,$B$2,R$4)),0))</f>
        <v>0</v>
      </c>
      <c r="S85" s="251">
        <f>IF(S$4&gt;DAY(EOMONTH(DATE($D$2,$B$2,1),0)),"",IFERROR(SUMIFS(DATA_GOC!$H:$H,DATA_GOC!$A:$A,"BOM",DATA_GOC!$D:$D,$B85,DATA_GOC!$E:$E,"Téc 2",DATA_GOC!$F:$F,"Xuất nội bộ từ téc",DATA_GOC!$B:$B,DATE($D$2,$B$2,S$4)),0))</f>
        <v>0</v>
      </c>
      <c r="T85" s="251">
        <f>IF(T$4&gt;DAY(EOMONTH(DATE($D$2,$B$2,1),0)),"",IFERROR(SUMIFS(DATA_GOC!$H:$H,DATA_GOC!$A:$A,"BOM",DATA_GOC!$D:$D,$B85,DATA_GOC!$E:$E,"Téc 2",DATA_GOC!$F:$F,"Xuất nội bộ từ téc",DATA_GOC!$B:$B,DATE($D$2,$B$2,T$4)),0))</f>
        <v>0</v>
      </c>
      <c r="U85" s="251">
        <f>IF(U$4&gt;DAY(EOMONTH(DATE($D$2,$B$2,1),0)),"",IFERROR(SUMIFS(DATA_GOC!$H:$H,DATA_GOC!$A:$A,"BOM",DATA_GOC!$D:$D,$B85,DATA_GOC!$E:$E,"Téc 2",DATA_GOC!$F:$F,"Xuất nội bộ từ téc",DATA_GOC!$B:$B,DATE($D$2,$B$2,U$4)),0))</f>
        <v>0</v>
      </c>
      <c r="V85" s="251">
        <f>IF(V$4&gt;DAY(EOMONTH(DATE($D$2,$B$2,1),0)),"",IFERROR(SUMIFS(DATA_GOC!$H:$H,DATA_GOC!$A:$A,"BOM",DATA_GOC!$D:$D,$B85,DATA_GOC!$E:$E,"Téc 2",DATA_GOC!$F:$F,"Xuất nội bộ từ téc",DATA_GOC!$B:$B,DATE($D$2,$B$2,V$4)),0))</f>
        <v>0</v>
      </c>
      <c r="W85" s="251">
        <f>IF(W$4&gt;DAY(EOMONTH(DATE($D$2,$B$2,1),0)),"",IFERROR(SUMIFS(DATA_GOC!$H:$H,DATA_GOC!$A:$A,"BOM",DATA_GOC!$D:$D,$B85,DATA_GOC!$E:$E,"Téc 2",DATA_GOC!$F:$F,"Xuất nội bộ từ téc",DATA_GOC!$B:$B,DATE($D$2,$B$2,W$4)),0))</f>
        <v>0</v>
      </c>
      <c r="X85" s="251">
        <f>IF(X$4&gt;DAY(EOMONTH(DATE($D$2,$B$2,1),0)),"",IFERROR(SUMIFS(DATA_GOC!$H:$H,DATA_GOC!$A:$A,"BOM",DATA_GOC!$D:$D,$B85,DATA_GOC!$E:$E,"Téc 2",DATA_GOC!$F:$F,"Xuất nội bộ từ téc",DATA_GOC!$B:$B,DATE($D$2,$B$2,X$4)),0))</f>
        <v>0</v>
      </c>
      <c r="Y85" s="251">
        <f>IF(Y$4&gt;DAY(EOMONTH(DATE($D$2,$B$2,1),0)),"",IFERROR(SUMIFS(DATA_GOC!$H:$H,DATA_GOC!$A:$A,"BOM",DATA_GOC!$D:$D,$B85,DATA_GOC!$E:$E,"Téc 2",DATA_GOC!$F:$F,"Xuất nội bộ từ téc",DATA_GOC!$B:$B,DATE($D$2,$B$2,Y$4)),0))</f>
        <v>0</v>
      </c>
      <c r="Z85" s="251">
        <f>IF(Z$4&gt;DAY(EOMONTH(DATE($D$2,$B$2,1),0)),"",IFERROR(SUMIFS(DATA_GOC!$H:$H,DATA_GOC!$A:$A,"BOM",DATA_GOC!$D:$D,$B85,DATA_GOC!$E:$E,"Téc 2",DATA_GOC!$F:$F,"Xuất nội bộ từ téc",DATA_GOC!$B:$B,DATE($D$2,$B$2,Z$4)),0))</f>
        <v>0</v>
      </c>
      <c r="AA85" s="251">
        <f>IF(AA$4&gt;DAY(EOMONTH(DATE($D$2,$B$2,1),0)),"",IFERROR(SUMIFS(DATA_GOC!$H:$H,DATA_GOC!$A:$A,"BOM",DATA_GOC!$D:$D,$B85,DATA_GOC!$E:$E,"Téc 2",DATA_GOC!$F:$F,"Xuất nội bộ từ téc",DATA_GOC!$B:$B,DATE($D$2,$B$2,AA$4)),0))</f>
        <v>0</v>
      </c>
      <c r="AB85" s="251">
        <f>IF(AB$4&gt;DAY(EOMONTH(DATE($D$2,$B$2,1),0)),"",IFERROR(SUMIFS(DATA_GOC!$H:$H,DATA_GOC!$A:$A,"BOM",DATA_GOC!$D:$D,$B85,DATA_GOC!$E:$E,"Téc 2",DATA_GOC!$F:$F,"Xuất nội bộ từ téc",DATA_GOC!$B:$B,DATE($D$2,$B$2,AB$4)),0))</f>
        <v>0</v>
      </c>
      <c r="AC85" s="251">
        <f>IF(AC$4&gt;DAY(EOMONTH(DATE($D$2,$B$2,1),0)),"",IFERROR(SUMIFS(DATA_GOC!$H:$H,DATA_GOC!$A:$A,"BOM",DATA_GOC!$D:$D,$B85,DATA_GOC!$E:$E,"Téc 2",DATA_GOC!$F:$F,"Xuất nội bộ từ téc",DATA_GOC!$B:$B,DATE($D$2,$B$2,AC$4)),0))</f>
        <v>0</v>
      </c>
      <c r="AD85" s="251">
        <f>IF(AD$4&gt;DAY(EOMONTH(DATE($D$2,$B$2,1),0)),"",IFERROR(SUMIFS(DATA_GOC!$H:$H,DATA_GOC!$A:$A,"BOM",DATA_GOC!$D:$D,$B85,DATA_GOC!$E:$E,"Téc 2",DATA_GOC!$F:$F,"Xuất nội bộ từ téc",DATA_GOC!$B:$B,DATE($D$2,$B$2,AD$4)),0))</f>
        <v>0</v>
      </c>
      <c r="AE85" s="251">
        <f>IF(AE$4&gt;DAY(EOMONTH(DATE($D$2,$B$2,1),0)),"",IFERROR(SUMIFS(DATA_GOC!$H:$H,DATA_GOC!$A:$A,"BOM",DATA_GOC!$D:$D,$B85,DATA_GOC!$E:$E,"Téc 2",DATA_GOC!$F:$F,"Xuất nội bộ từ téc",DATA_GOC!$B:$B,DATE($D$2,$B$2,AE$4)),0))</f>
        <v>0</v>
      </c>
      <c r="AF85" s="251">
        <f>IF(AF$4&gt;DAY(EOMONTH(DATE($D$2,$B$2,1),0)),"",IFERROR(SUMIFS(DATA_GOC!$H:$H,DATA_GOC!$A:$A,"BOM",DATA_GOC!$D:$D,$B85,DATA_GOC!$E:$E,"Téc 2",DATA_GOC!$F:$F,"Xuất nội bộ từ téc",DATA_GOC!$B:$B,DATE($D$2,$B$2,AF$4)),0))</f>
        <v>0</v>
      </c>
      <c r="AG85" s="251">
        <f>IF(AG$4&gt;DAY(EOMONTH(DATE($D$2,$B$2,1),0)),"",IFERROR(SUMIFS(DATA_GOC!$H:$H,DATA_GOC!$A:$A,"BOM",DATA_GOC!$D:$D,$B85,DATA_GOC!$E:$E,"Téc 2",DATA_GOC!$F:$F,"Xuất nội bộ từ téc",DATA_GOC!$B:$B,DATE($D$2,$B$2,AG$4)),0))</f>
        <v>0</v>
      </c>
      <c r="AH85" s="252">
        <f t="shared" si="4"/>
        <v>0</v>
      </c>
      <c r="AI85" s="241">
        <f>IFERROR(SUMIFS(DATA_GOC!$H:$H,DATA_GOC!$A:$A,"BOM",DATA_GOC!$D:$D,$B85,DATA_GOC!$E:$E,"Bơm ngoài/Hải Tân",DATA_GOC!$F:$F,"Bơm ngoài",DATA_GOC!$B:$B,"&gt;="&amp;DATE($D$2,$B$2,1),DATA_GOC!$B:$B,"&lt;="&amp;EOMONTH(DATE($D$2,$B$2,1),0)),0)</f>
        <v>0</v>
      </c>
      <c r="AJ85" s="242">
        <f>IF($B85="","",SUMIFS(TINH_TEC!$K$233:$K$9232,TINH_TEC!$H$233:$H$9232,$B85,TINH_TEC!$C$233:$C$9232,"Téc 2",TINH_TEC!$F$233:$F$9232,$B$2,TINH_TEC!$G$233:$G$9232,$D$2,TINH_TEC!$B$233:$B$9232,"Đã chốt"))</f>
        <v>0</v>
      </c>
      <c r="AK85" s="242">
        <f>IF($B85="","",SUMIFS(TINH_TEC!$J$233:$J$9232,TINH_TEC!$H$233:$H$9232,$B85,TINH_TEC!$C$233:$C$9232,"Téc 2",TINH_TEC!$F$233:$F$9232,$B$2,TINH_TEC!$G$233:$G$9232,$D$2,TINH_TEC!$B$233:$B$9232,"Đã chốt"))</f>
        <v>0</v>
      </c>
      <c r="AL85" s="242">
        <f t="shared" si="5"/>
        <v>0</v>
      </c>
    </row>
    <row r="86" ht="15.75" customHeight="1">
      <c r="A86" s="237">
        <f>IF($B86&lt;&gt;"",20,"")</f>
        <v>20</v>
      </c>
      <c r="B86" s="250" t="str">
        <f t="array" ref="B86">IFERROR(INDEX(DANH_MUC!$E:$E,23),"")</f>
        <v>28C03652</v>
      </c>
      <c r="C86" s="251">
        <f>IF(C$4&gt;DAY(EOMONTH(DATE($D$2,$B$2,1),0)),"",IFERROR(SUMIFS(DATA_GOC!$H:$H,DATA_GOC!$A:$A,"BOM",DATA_GOC!$D:$D,$B86,DATA_GOC!$E:$E,"Téc 2",DATA_GOC!$F:$F,"Xuất nội bộ từ téc",DATA_GOC!$B:$B,DATE($D$2,$B$2,C$4)),0))</f>
        <v>0</v>
      </c>
      <c r="D86" s="251">
        <f>IF(D$4&gt;DAY(EOMONTH(DATE($D$2,$B$2,1),0)),"",IFERROR(SUMIFS(DATA_GOC!$H:$H,DATA_GOC!$A:$A,"BOM",DATA_GOC!$D:$D,$B86,DATA_GOC!$E:$E,"Téc 2",DATA_GOC!$F:$F,"Xuất nội bộ từ téc",DATA_GOC!$B:$B,DATE($D$2,$B$2,D$4)),0))</f>
        <v>0</v>
      </c>
      <c r="E86" s="251">
        <f>IF(E$4&gt;DAY(EOMONTH(DATE($D$2,$B$2,1),0)),"",IFERROR(SUMIFS(DATA_GOC!$H:$H,DATA_GOC!$A:$A,"BOM",DATA_GOC!$D:$D,$B86,DATA_GOC!$E:$E,"Téc 2",DATA_GOC!$F:$F,"Xuất nội bộ từ téc",DATA_GOC!$B:$B,DATE($D$2,$B$2,E$4)),0))</f>
        <v>0</v>
      </c>
      <c r="F86" s="251">
        <f>IF(F$4&gt;DAY(EOMONTH(DATE($D$2,$B$2,1),0)),"",IFERROR(SUMIFS(DATA_GOC!$H:$H,DATA_GOC!$A:$A,"BOM",DATA_GOC!$D:$D,$B86,DATA_GOC!$E:$E,"Téc 2",DATA_GOC!$F:$F,"Xuất nội bộ từ téc",DATA_GOC!$B:$B,DATE($D$2,$B$2,F$4)),0))</f>
        <v>0</v>
      </c>
      <c r="G86" s="251">
        <f>IF(G$4&gt;DAY(EOMONTH(DATE($D$2,$B$2,1),0)),"",IFERROR(SUMIFS(DATA_GOC!$H:$H,DATA_GOC!$A:$A,"BOM",DATA_GOC!$D:$D,$B86,DATA_GOC!$E:$E,"Téc 2",DATA_GOC!$F:$F,"Xuất nội bộ từ téc",DATA_GOC!$B:$B,DATE($D$2,$B$2,G$4)),0))</f>
        <v>0</v>
      </c>
      <c r="H86" s="251">
        <f>IF(H$4&gt;DAY(EOMONTH(DATE($D$2,$B$2,1),0)),"",IFERROR(SUMIFS(DATA_GOC!$H:$H,DATA_GOC!$A:$A,"BOM",DATA_GOC!$D:$D,$B86,DATA_GOC!$E:$E,"Téc 2",DATA_GOC!$F:$F,"Xuất nội bộ từ téc",DATA_GOC!$B:$B,DATE($D$2,$B$2,H$4)),0))</f>
        <v>0</v>
      </c>
      <c r="I86" s="251">
        <f>IF(I$4&gt;DAY(EOMONTH(DATE($D$2,$B$2,1),0)),"",IFERROR(SUMIFS(DATA_GOC!$H:$H,DATA_GOC!$A:$A,"BOM",DATA_GOC!$D:$D,$B86,DATA_GOC!$E:$E,"Téc 2",DATA_GOC!$F:$F,"Xuất nội bộ từ téc",DATA_GOC!$B:$B,DATE($D$2,$B$2,I$4)),0))</f>
        <v>0</v>
      </c>
      <c r="J86" s="251">
        <f>IF(J$4&gt;DAY(EOMONTH(DATE($D$2,$B$2,1),0)),"",IFERROR(SUMIFS(DATA_GOC!$H:$H,DATA_GOC!$A:$A,"BOM",DATA_GOC!$D:$D,$B86,DATA_GOC!$E:$E,"Téc 2",DATA_GOC!$F:$F,"Xuất nội bộ từ téc",DATA_GOC!$B:$B,DATE($D$2,$B$2,J$4)),0))</f>
        <v>0</v>
      </c>
      <c r="K86" s="251">
        <f>IF(K$4&gt;DAY(EOMONTH(DATE($D$2,$B$2,1),0)),"",IFERROR(SUMIFS(DATA_GOC!$H:$H,DATA_GOC!$A:$A,"BOM",DATA_GOC!$D:$D,$B86,DATA_GOC!$E:$E,"Téc 2",DATA_GOC!$F:$F,"Xuất nội bộ từ téc",DATA_GOC!$B:$B,DATE($D$2,$B$2,K$4)),0))</f>
        <v>0</v>
      </c>
      <c r="L86" s="251">
        <f>IF(L$4&gt;DAY(EOMONTH(DATE($D$2,$B$2,1),0)),"",IFERROR(SUMIFS(DATA_GOC!$H:$H,DATA_GOC!$A:$A,"BOM",DATA_GOC!$D:$D,$B86,DATA_GOC!$E:$E,"Téc 2",DATA_GOC!$F:$F,"Xuất nội bộ từ téc",DATA_GOC!$B:$B,DATE($D$2,$B$2,L$4)),0))</f>
        <v>0</v>
      </c>
      <c r="M86" s="251">
        <f>IF(M$4&gt;DAY(EOMONTH(DATE($D$2,$B$2,1),0)),"",IFERROR(SUMIFS(DATA_GOC!$H:$H,DATA_GOC!$A:$A,"BOM",DATA_GOC!$D:$D,$B86,DATA_GOC!$E:$E,"Téc 2",DATA_GOC!$F:$F,"Xuất nội bộ từ téc",DATA_GOC!$B:$B,DATE($D$2,$B$2,M$4)),0))</f>
        <v>0</v>
      </c>
      <c r="N86" s="251">
        <f>IF(N$4&gt;DAY(EOMONTH(DATE($D$2,$B$2,1),0)),"",IFERROR(SUMIFS(DATA_GOC!$H:$H,DATA_GOC!$A:$A,"BOM",DATA_GOC!$D:$D,$B86,DATA_GOC!$E:$E,"Téc 2",DATA_GOC!$F:$F,"Xuất nội bộ từ téc",DATA_GOC!$B:$B,DATE($D$2,$B$2,N$4)),0))</f>
        <v>0</v>
      </c>
      <c r="O86" s="251">
        <f>IF(O$4&gt;DAY(EOMONTH(DATE($D$2,$B$2,1),0)),"",IFERROR(SUMIFS(DATA_GOC!$H:$H,DATA_GOC!$A:$A,"BOM",DATA_GOC!$D:$D,$B86,DATA_GOC!$E:$E,"Téc 2",DATA_GOC!$F:$F,"Xuất nội bộ từ téc",DATA_GOC!$B:$B,DATE($D$2,$B$2,O$4)),0))</f>
        <v>0</v>
      </c>
      <c r="P86" s="251">
        <f>IF(P$4&gt;DAY(EOMONTH(DATE($D$2,$B$2,1),0)),"",IFERROR(SUMIFS(DATA_GOC!$H:$H,DATA_GOC!$A:$A,"BOM",DATA_GOC!$D:$D,$B86,DATA_GOC!$E:$E,"Téc 2",DATA_GOC!$F:$F,"Xuất nội bộ từ téc",DATA_GOC!$B:$B,DATE($D$2,$B$2,P$4)),0))</f>
        <v>0</v>
      </c>
      <c r="Q86" s="251">
        <f>IF(Q$4&gt;DAY(EOMONTH(DATE($D$2,$B$2,1),0)),"",IFERROR(SUMIFS(DATA_GOC!$H:$H,DATA_GOC!$A:$A,"BOM",DATA_GOC!$D:$D,$B86,DATA_GOC!$E:$E,"Téc 2",DATA_GOC!$F:$F,"Xuất nội bộ từ téc",DATA_GOC!$B:$B,DATE($D$2,$B$2,Q$4)),0))</f>
        <v>0</v>
      </c>
      <c r="R86" s="251">
        <f>IF(R$4&gt;DAY(EOMONTH(DATE($D$2,$B$2,1),0)),"",IFERROR(SUMIFS(DATA_GOC!$H:$H,DATA_GOC!$A:$A,"BOM",DATA_GOC!$D:$D,$B86,DATA_GOC!$E:$E,"Téc 2",DATA_GOC!$F:$F,"Xuất nội bộ từ téc",DATA_GOC!$B:$B,DATE($D$2,$B$2,R$4)),0))</f>
        <v>0</v>
      </c>
      <c r="S86" s="251">
        <f>IF(S$4&gt;DAY(EOMONTH(DATE($D$2,$B$2,1),0)),"",IFERROR(SUMIFS(DATA_GOC!$H:$H,DATA_GOC!$A:$A,"BOM",DATA_GOC!$D:$D,$B86,DATA_GOC!$E:$E,"Téc 2",DATA_GOC!$F:$F,"Xuất nội bộ từ téc",DATA_GOC!$B:$B,DATE($D$2,$B$2,S$4)),0))</f>
        <v>0</v>
      </c>
      <c r="T86" s="251">
        <f>IF(T$4&gt;DAY(EOMONTH(DATE($D$2,$B$2,1),0)),"",IFERROR(SUMIFS(DATA_GOC!$H:$H,DATA_GOC!$A:$A,"BOM",DATA_GOC!$D:$D,$B86,DATA_GOC!$E:$E,"Téc 2",DATA_GOC!$F:$F,"Xuất nội bộ từ téc",DATA_GOC!$B:$B,DATE($D$2,$B$2,T$4)),0))</f>
        <v>0</v>
      </c>
      <c r="U86" s="251">
        <f>IF(U$4&gt;DAY(EOMONTH(DATE($D$2,$B$2,1),0)),"",IFERROR(SUMIFS(DATA_GOC!$H:$H,DATA_GOC!$A:$A,"BOM",DATA_GOC!$D:$D,$B86,DATA_GOC!$E:$E,"Téc 2",DATA_GOC!$F:$F,"Xuất nội bộ từ téc",DATA_GOC!$B:$B,DATE($D$2,$B$2,U$4)),0))</f>
        <v>0</v>
      </c>
      <c r="V86" s="251">
        <f>IF(V$4&gt;DAY(EOMONTH(DATE($D$2,$B$2,1),0)),"",IFERROR(SUMIFS(DATA_GOC!$H:$H,DATA_GOC!$A:$A,"BOM",DATA_GOC!$D:$D,$B86,DATA_GOC!$E:$E,"Téc 2",DATA_GOC!$F:$F,"Xuất nội bộ từ téc",DATA_GOC!$B:$B,DATE($D$2,$B$2,V$4)),0))</f>
        <v>0</v>
      </c>
      <c r="W86" s="251">
        <f>IF(W$4&gt;DAY(EOMONTH(DATE($D$2,$B$2,1),0)),"",IFERROR(SUMIFS(DATA_GOC!$H:$H,DATA_GOC!$A:$A,"BOM",DATA_GOC!$D:$D,$B86,DATA_GOC!$E:$E,"Téc 2",DATA_GOC!$F:$F,"Xuất nội bộ từ téc",DATA_GOC!$B:$B,DATE($D$2,$B$2,W$4)),0))</f>
        <v>0</v>
      </c>
      <c r="X86" s="251">
        <f>IF(X$4&gt;DAY(EOMONTH(DATE($D$2,$B$2,1),0)),"",IFERROR(SUMIFS(DATA_GOC!$H:$H,DATA_GOC!$A:$A,"BOM",DATA_GOC!$D:$D,$B86,DATA_GOC!$E:$E,"Téc 2",DATA_GOC!$F:$F,"Xuất nội bộ từ téc",DATA_GOC!$B:$B,DATE($D$2,$B$2,X$4)),0))</f>
        <v>0</v>
      </c>
      <c r="Y86" s="251">
        <f>IF(Y$4&gt;DAY(EOMONTH(DATE($D$2,$B$2,1),0)),"",IFERROR(SUMIFS(DATA_GOC!$H:$H,DATA_GOC!$A:$A,"BOM",DATA_GOC!$D:$D,$B86,DATA_GOC!$E:$E,"Téc 2",DATA_GOC!$F:$F,"Xuất nội bộ từ téc",DATA_GOC!$B:$B,DATE($D$2,$B$2,Y$4)),0))</f>
        <v>0</v>
      </c>
      <c r="Z86" s="251">
        <f>IF(Z$4&gt;DAY(EOMONTH(DATE($D$2,$B$2,1),0)),"",IFERROR(SUMIFS(DATA_GOC!$H:$H,DATA_GOC!$A:$A,"BOM",DATA_GOC!$D:$D,$B86,DATA_GOC!$E:$E,"Téc 2",DATA_GOC!$F:$F,"Xuất nội bộ từ téc",DATA_GOC!$B:$B,DATE($D$2,$B$2,Z$4)),0))</f>
        <v>0</v>
      </c>
      <c r="AA86" s="251">
        <f>IF(AA$4&gt;DAY(EOMONTH(DATE($D$2,$B$2,1),0)),"",IFERROR(SUMIFS(DATA_GOC!$H:$H,DATA_GOC!$A:$A,"BOM",DATA_GOC!$D:$D,$B86,DATA_GOC!$E:$E,"Téc 2",DATA_GOC!$F:$F,"Xuất nội bộ từ téc",DATA_GOC!$B:$B,DATE($D$2,$B$2,AA$4)),0))</f>
        <v>0</v>
      </c>
      <c r="AB86" s="251">
        <f>IF(AB$4&gt;DAY(EOMONTH(DATE($D$2,$B$2,1),0)),"",IFERROR(SUMIFS(DATA_GOC!$H:$H,DATA_GOC!$A:$A,"BOM",DATA_GOC!$D:$D,$B86,DATA_GOC!$E:$E,"Téc 2",DATA_GOC!$F:$F,"Xuất nội bộ từ téc",DATA_GOC!$B:$B,DATE($D$2,$B$2,AB$4)),0))</f>
        <v>0</v>
      </c>
      <c r="AC86" s="251">
        <f>IF(AC$4&gt;DAY(EOMONTH(DATE($D$2,$B$2,1),0)),"",IFERROR(SUMIFS(DATA_GOC!$H:$H,DATA_GOC!$A:$A,"BOM",DATA_GOC!$D:$D,$B86,DATA_GOC!$E:$E,"Téc 2",DATA_GOC!$F:$F,"Xuất nội bộ từ téc",DATA_GOC!$B:$B,DATE($D$2,$B$2,AC$4)),0))</f>
        <v>0</v>
      </c>
      <c r="AD86" s="251">
        <f>IF(AD$4&gt;DAY(EOMONTH(DATE($D$2,$B$2,1),0)),"",IFERROR(SUMIFS(DATA_GOC!$H:$H,DATA_GOC!$A:$A,"BOM",DATA_GOC!$D:$D,$B86,DATA_GOC!$E:$E,"Téc 2",DATA_GOC!$F:$F,"Xuất nội bộ từ téc",DATA_GOC!$B:$B,DATE($D$2,$B$2,AD$4)),0))</f>
        <v>0</v>
      </c>
      <c r="AE86" s="251">
        <f>IF(AE$4&gt;DAY(EOMONTH(DATE($D$2,$B$2,1),0)),"",IFERROR(SUMIFS(DATA_GOC!$H:$H,DATA_GOC!$A:$A,"BOM",DATA_GOC!$D:$D,$B86,DATA_GOC!$E:$E,"Téc 2",DATA_GOC!$F:$F,"Xuất nội bộ từ téc",DATA_GOC!$B:$B,DATE($D$2,$B$2,AE$4)),0))</f>
        <v>0</v>
      </c>
      <c r="AF86" s="251">
        <f>IF(AF$4&gt;DAY(EOMONTH(DATE($D$2,$B$2,1),0)),"",IFERROR(SUMIFS(DATA_GOC!$H:$H,DATA_GOC!$A:$A,"BOM",DATA_GOC!$D:$D,$B86,DATA_GOC!$E:$E,"Téc 2",DATA_GOC!$F:$F,"Xuất nội bộ từ téc",DATA_GOC!$B:$B,DATE($D$2,$B$2,AF$4)),0))</f>
        <v>0</v>
      </c>
      <c r="AG86" s="251">
        <f>IF(AG$4&gt;DAY(EOMONTH(DATE($D$2,$B$2,1),0)),"",IFERROR(SUMIFS(DATA_GOC!$H:$H,DATA_GOC!$A:$A,"BOM",DATA_GOC!$D:$D,$B86,DATA_GOC!$E:$E,"Téc 2",DATA_GOC!$F:$F,"Xuất nội bộ từ téc",DATA_GOC!$B:$B,DATE($D$2,$B$2,AG$4)),0))</f>
        <v>0</v>
      </c>
      <c r="AH86" s="252">
        <f t="shared" si="4"/>
        <v>0</v>
      </c>
      <c r="AI86" s="241">
        <f>IFERROR(SUMIFS(DATA_GOC!$H:$H,DATA_GOC!$A:$A,"BOM",DATA_GOC!$D:$D,$B86,DATA_GOC!$E:$E,"Bơm ngoài/Hải Tân",DATA_GOC!$F:$F,"Bơm ngoài",DATA_GOC!$B:$B,"&gt;="&amp;DATE($D$2,$B$2,1),DATA_GOC!$B:$B,"&lt;="&amp;EOMONTH(DATE($D$2,$B$2,1),0)),0)</f>
        <v>0</v>
      </c>
      <c r="AJ86" s="242">
        <f>IF($B86="","",SUMIFS(TINH_TEC!$K$233:$K$9232,TINH_TEC!$H$233:$H$9232,$B86,TINH_TEC!$C$233:$C$9232,"Téc 2",TINH_TEC!$F$233:$F$9232,$B$2,TINH_TEC!$G$233:$G$9232,$D$2,TINH_TEC!$B$233:$B$9232,"Đã chốt"))</f>
        <v>0</v>
      </c>
      <c r="AK86" s="242">
        <f>IF($B86="","",SUMIFS(TINH_TEC!$J$233:$J$9232,TINH_TEC!$H$233:$H$9232,$B86,TINH_TEC!$C$233:$C$9232,"Téc 2",TINH_TEC!$F$233:$F$9232,$B$2,TINH_TEC!$G$233:$G$9232,$D$2,TINH_TEC!$B$233:$B$9232,"Đã chốt"))</f>
        <v>12.813</v>
      </c>
      <c r="AL86" s="242">
        <f t="shared" si="5"/>
        <v>12.813</v>
      </c>
    </row>
    <row r="87" ht="15.75" customHeight="1">
      <c r="A87" s="237">
        <f>IF($B87&lt;&gt;"",21,"")</f>
        <v>21</v>
      </c>
      <c r="B87" s="250" t="str">
        <f t="array" ref="B87">IFERROR(INDEX(DANH_MUC!$E:$E,24),"")</f>
        <v>28C03695</v>
      </c>
      <c r="C87" s="251">
        <f>IF(C$4&gt;DAY(EOMONTH(DATE($D$2,$B$2,1),0)),"",IFERROR(SUMIFS(DATA_GOC!$H:$H,DATA_GOC!$A:$A,"BOM",DATA_GOC!$D:$D,$B87,DATA_GOC!$E:$E,"Téc 2",DATA_GOC!$F:$F,"Xuất nội bộ từ téc",DATA_GOC!$B:$B,DATE($D$2,$B$2,C$4)),0))</f>
        <v>0</v>
      </c>
      <c r="D87" s="251">
        <f>IF(D$4&gt;DAY(EOMONTH(DATE($D$2,$B$2,1),0)),"",IFERROR(SUMIFS(DATA_GOC!$H:$H,DATA_GOC!$A:$A,"BOM",DATA_GOC!$D:$D,$B87,DATA_GOC!$E:$E,"Téc 2",DATA_GOC!$F:$F,"Xuất nội bộ từ téc",DATA_GOC!$B:$B,DATE($D$2,$B$2,D$4)),0))</f>
        <v>0</v>
      </c>
      <c r="E87" s="251">
        <f>IF(E$4&gt;DAY(EOMONTH(DATE($D$2,$B$2,1),0)),"",IFERROR(SUMIFS(DATA_GOC!$H:$H,DATA_GOC!$A:$A,"BOM",DATA_GOC!$D:$D,$B87,DATA_GOC!$E:$E,"Téc 2",DATA_GOC!$F:$F,"Xuất nội bộ từ téc",DATA_GOC!$B:$B,DATE($D$2,$B$2,E$4)),0))</f>
        <v>0</v>
      </c>
      <c r="F87" s="251">
        <f>IF(F$4&gt;DAY(EOMONTH(DATE($D$2,$B$2,1),0)),"",IFERROR(SUMIFS(DATA_GOC!$H:$H,DATA_GOC!$A:$A,"BOM",DATA_GOC!$D:$D,$B87,DATA_GOC!$E:$E,"Téc 2",DATA_GOC!$F:$F,"Xuất nội bộ từ téc",DATA_GOC!$B:$B,DATE($D$2,$B$2,F$4)),0))</f>
        <v>0</v>
      </c>
      <c r="G87" s="251">
        <f>IF(G$4&gt;DAY(EOMONTH(DATE($D$2,$B$2,1),0)),"",IFERROR(SUMIFS(DATA_GOC!$H:$H,DATA_GOC!$A:$A,"BOM",DATA_GOC!$D:$D,$B87,DATA_GOC!$E:$E,"Téc 2",DATA_GOC!$F:$F,"Xuất nội bộ từ téc",DATA_GOC!$B:$B,DATE($D$2,$B$2,G$4)),0))</f>
        <v>0</v>
      </c>
      <c r="H87" s="251">
        <f>IF(H$4&gt;DAY(EOMONTH(DATE($D$2,$B$2,1),0)),"",IFERROR(SUMIFS(DATA_GOC!$H:$H,DATA_GOC!$A:$A,"BOM",DATA_GOC!$D:$D,$B87,DATA_GOC!$E:$E,"Téc 2",DATA_GOC!$F:$F,"Xuất nội bộ từ téc",DATA_GOC!$B:$B,DATE($D$2,$B$2,H$4)),0))</f>
        <v>0</v>
      </c>
      <c r="I87" s="251">
        <f>IF(I$4&gt;DAY(EOMONTH(DATE($D$2,$B$2,1),0)),"",IFERROR(SUMIFS(DATA_GOC!$H:$H,DATA_GOC!$A:$A,"BOM",DATA_GOC!$D:$D,$B87,DATA_GOC!$E:$E,"Téc 2",DATA_GOC!$F:$F,"Xuất nội bộ từ téc",DATA_GOC!$B:$B,DATE($D$2,$B$2,I$4)),0))</f>
        <v>0</v>
      </c>
      <c r="J87" s="251">
        <f>IF(J$4&gt;DAY(EOMONTH(DATE($D$2,$B$2,1),0)),"",IFERROR(SUMIFS(DATA_GOC!$H:$H,DATA_GOC!$A:$A,"BOM",DATA_GOC!$D:$D,$B87,DATA_GOC!$E:$E,"Téc 2",DATA_GOC!$F:$F,"Xuất nội bộ từ téc",DATA_GOC!$B:$B,DATE($D$2,$B$2,J$4)),0))</f>
        <v>0</v>
      </c>
      <c r="K87" s="251">
        <f>IF(K$4&gt;DAY(EOMONTH(DATE($D$2,$B$2,1),0)),"",IFERROR(SUMIFS(DATA_GOC!$H:$H,DATA_GOC!$A:$A,"BOM",DATA_GOC!$D:$D,$B87,DATA_GOC!$E:$E,"Téc 2",DATA_GOC!$F:$F,"Xuất nội bộ từ téc",DATA_GOC!$B:$B,DATE($D$2,$B$2,K$4)),0))</f>
        <v>0</v>
      </c>
      <c r="L87" s="251">
        <f>IF(L$4&gt;DAY(EOMONTH(DATE($D$2,$B$2,1),0)),"",IFERROR(SUMIFS(DATA_GOC!$H:$H,DATA_GOC!$A:$A,"BOM",DATA_GOC!$D:$D,$B87,DATA_GOC!$E:$E,"Téc 2",DATA_GOC!$F:$F,"Xuất nội bộ từ téc",DATA_GOC!$B:$B,DATE($D$2,$B$2,L$4)),0))</f>
        <v>0</v>
      </c>
      <c r="M87" s="251">
        <f>IF(M$4&gt;DAY(EOMONTH(DATE($D$2,$B$2,1),0)),"",IFERROR(SUMIFS(DATA_GOC!$H:$H,DATA_GOC!$A:$A,"BOM",DATA_GOC!$D:$D,$B87,DATA_GOC!$E:$E,"Téc 2",DATA_GOC!$F:$F,"Xuất nội bộ từ téc",DATA_GOC!$B:$B,DATE($D$2,$B$2,M$4)),0))</f>
        <v>0</v>
      </c>
      <c r="N87" s="251">
        <f>IF(N$4&gt;DAY(EOMONTH(DATE($D$2,$B$2,1),0)),"",IFERROR(SUMIFS(DATA_GOC!$H:$H,DATA_GOC!$A:$A,"BOM",DATA_GOC!$D:$D,$B87,DATA_GOC!$E:$E,"Téc 2",DATA_GOC!$F:$F,"Xuất nội bộ từ téc",DATA_GOC!$B:$B,DATE($D$2,$B$2,N$4)),0))</f>
        <v>0</v>
      </c>
      <c r="O87" s="251">
        <f>IF(O$4&gt;DAY(EOMONTH(DATE($D$2,$B$2,1),0)),"",IFERROR(SUMIFS(DATA_GOC!$H:$H,DATA_GOC!$A:$A,"BOM",DATA_GOC!$D:$D,$B87,DATA_GOC!$E:$E,"Téc 2",DATA_GOC!$F:$F,"Xuất nội bộ từ téc",DATA_GOC!$B:$B,DATE($D$2,$B$2,O$4)),0))</f>
        <v>0</v>
      </c>
      <c r="P87" s="251">
        <f>IF(P$4&gt;DAY(EOMONTH(DATE($D$2,$B$2,1),0)),"",IFERROR(SUMIFS(DATA_GOC!$H:$H,DATA_GOC!$A:$A,"BOM",DATA_GOC!$D:$D,$B87,DATA_GOC!$E:$E,"Téc 2",DATA_GOC!$F:$F,"Xuất nội bộ từ téc",DATA_GOC!$B:$B,DATE($D$2,$B$2,P$4)),0))</f>
        <v>0</v>
      </c>
      <c r="Q87" s="251">
        <f>IF(Q$4&gt;DAY(EOMONTH(DATE($D$2,$B$2,1),0)),"",IFERROR(SUMIFS(DATA_GOC!$H:$H,DATA_GOC!$A:$A,"BOM",DATA_GOC!$D:$D,$B87,DATA_GOC!$E:$E,"Téc 2",DATA_GOC!$F:$F,"Xuất nội bộ từ téc",DATA_GOC!$B:$B,DATE($D$2,$B$2,Q$4)),0))</f>
        <v>0</v>
      </c>
      <c r="R87" s="251">
        <f>IF(R$4&gt;DAY(EOMONTH(DATE($D$2,$B$2,1),0)),"",IFERROR(SUMIFS(DATA_GOC!$H:$H,DATA_GOC!$A:$A,"BOM",DATA_GOC!$D:$D,$B87,DATA_GOC!$E:$E,"Téc 2",DATA_GOC!$F:$F,"Xuất nội bộ từ téc",DATA_GOC!$B:$B,DATE($D$2,$B$2,R$4)),0))</f>
        <v>0</v>
      </c>
      <c r="S87" s="251">
        <f>IF(S$4&gt;DAY(EOMONTH(DATE($D$2,$B$2,1),0)),"",IFERROR(SUMIFS(DATA_GOC!$H:$H,DATA_GOC!$A:$A,"BOM",DATA_GOC!$D:$D,$B87,DATA_GOC!$E:$E,"Téc 2",DATA_GOC!$F:$F,"Xuất nội bộ từ téc",DATA_GOC!$B:$B,DATE($D$2,$B$2,S$4)),0))</f>
        <v>0</v>
      </c>
      <c r="T87" s="251">
        <f>IF(T$4&gt;DAY(EOMONTH(DATE($D$2,$B$2,1),0)),"",IFERROR(SUMIFS(DATA_GOC!$H:$H,DATA_GOC!$A:$A,"BOM",DATA_GOC!$D:$D,$B87,DATA_GOC!$E:$E,"Téc 2",DATA_GOC!$F:$F,"Xuất nội bộ từ téc",DATA_GOC!$B:$B,DATE($D$2,$B$2,T$4)),0))</f>
        <v>0</v>
      </c>
      <c r="U87" s="251">
        <f>IF(U$4&gt;DAY(EOMONTH(DATE($D$2,$B$2,1),0)),"",IFERROR(SUMIFS(DATA_GOC!$H:$H,DATA_GOC!$A:$A,"BOM",DATA_GOC!$D:$D,$B87,DATA_GOC!$E:$E,"Téc 2",DATA_GOC!$F:$F,"Xuất nội bộ từ téc",DATA_GOC!$B:$B,DATE($D$2,$B$2,U$4)),0))</f>
        <v>0</v>
      </c>
      <c r="V87" s="251">
        <f>IF(V$4&gt;DAY(EOMONTH(DATE($D$2,$B$2,1),0)),"",IFERROR(SUMIFS(DATA_GOC!$H:$H,DATA_GOC!$A:$A,"BOM",DATA_GOC!$D:$D,$B87,DATA_GOC!$E:$E,"Téc 2",DATA_GOC!$F:$F,"Xuất nội bộ từ téc",DATA_GOC!$B:$B,DATE($D$2,$B$2,V$4)),0))</f>
        <v>0</v>
      </c>
      <c r="W87" s="251">
        <f>IF(W$4&gt;DAY(EOMONTH(DATE($D$2,$B$2,1),0)),"",IFERROR(SUMIFS(DATA_GOC!$H:$H,DATA_GOC!$A:$A,"BOM",DATA_GOC!$D:$D,$B87,DATA_GOC!$E:$E,"Téc 2",DATA_GOC!$F:$F,"Xuất nội bộ từ téc",DATA_GOC!$B:$B,DATE($D$2,$B$2,W$4)),0))</f>
        <v>0</v>
      </c>
      <c r="X87" s="251">
        <f>IF(X$4&gt;DAY(EOMONTH(DATE($D$2,$B$2,1),0)),"",IFERROR(SUMIFS(DATA_GOC!$H:$H,DATA_GOC!$A:$A,"BOM",DATA_GOC!$D:$D,$B87,DATA_GOC!$E:$E,"Téc 2",DATA_GOC!$F:$F,"Xuất nội bộ từ téc",DATA_GOC!$B:$B,DATE($D$2,$B$2,X$4)),0))</f>
        <v>0</v>
      </c>
      <c r="Y87" s="251">
        <f>IF(Y$4&gt;DAY(EOMONTH(DATE($D$2,$B$2,1),0)),"",IFERROR(SUMIFS(DATA_GOC!$H:$H,DATA_GOC!$A:$A,"BOM",DATA_GOC!$D:$D,$B87,DATA_GOC!$E:$E,"Téc 2",DATA_GOC!$F:$F,"Xuất nội bộ từ téc",DATA_GOC!$B:$B,DATE($D$2,$B$2,Y$4)),0))</f>
        <v>0</v>
      </c>
      <c r="Z87" s="251">
        <f>IF(Z$4&gt;DAY(EOMONTH(DATE($D$2,$B$2,1),0)),"",IFERROR(SUMIFS(DATA_GOC!$H:$H,DATA_GOC!$A:$A,"BOM",DATA_GOC!$D:$D,$B87,DATA_GOC!$E:$E,"Téc 2",DATA_GOC!$F:$F,"Xuất nội bộ từ téc",DATA_GOC!$B:$B,DATE($D$2,$B$2,Z$4)),0))</f>
        <v>0</v>
      </c>
      <c r="AA87" s="251">
        <f>IF(AA$4&gt;DAY(EOMONTH(DATE($D$2,$B$2,1),0)),"",IFERROR(SUMIFS(DATA_GOC!$H:$H,DATA_GOC!$A:$A,"BOM",DATA_GOC!$D:$D,$B87,DATA_GOC!$E:$E,"Téc 2",DATA_GOC!$F:$F,"Xuất nội bộ từ téc",DATA_GOC!$B:$B,DATE($D$2,$B$2,AA$4)),0))</f>
        <v>0</v>
      </c>
      <c r="AB87" s="251">
        <f>IF(AB$4&gt;DAY(EOMONTH(DATE($D$2,$B$2,1),0)),"",IFERROR(SUMIFS(DATA_GOC!$H:$H,DATA_GOC!$A:$A,"BOM",DATA_GOC!$D:$D,$B87,DATA_GOC!$E:$E,"Téc 2",DATA_GOC!$F:$F,"Xuất nội bộ từ téc",DATA_GOC!$B:$B,DATE($D$2,$B$2,AB$4)),0))</f>
        <v>0</v>
      </c>
      <c r="AC87" s="251">
        <f>IF(AC$4&gt;DAY(EOMONTH(DATE($D$2,$B$2,1),0)),"",IFERROR(SUMIFS(DATA_GOC!$H:$H,DATA_GOC!$A:$A,"BOM",DATA_GOC!$D:$D,$B87,DATA_GOC!$E:$E,"Téc 2",DATA_GOC!$F:$F,"Xuất nội bộ từ téc",DATA_GOC!$B:$B,DATE($D$2,$B$2,AC$4)),0))</f>
        <v>0</v>
      </c>
      <c r="AD87" s="251">
        <f>IF(AD$4&gt;DAY(EOMONTH(DATE($D$2,$B$2,1),0)),"",IFERROR(SUMIFS(DATA_GOC!$H:$H,DATA_GOC!$A:$A,"BOM",DATA_GOC!$D:$D,$B87,DATA_GOC!$E:$E,"Téc 2",DATA_GOC!$F:$F,"Xuất nội bộ từ téc",DATA_GOC!$B:$B,DATE($D$2,$B$2,AD$4)),0))</f>
        <v>0</v>
      </c>
      <c r="AE87" s="251">
        <f>IF(AE$4&gt;DAY(EOMONTH(DATE($D$2,$B$2,1),0)),"",IFERROR(SUMIFS(DATA_GOC!$H:$H,DATA_GOC!$A:$A,"BOM",DATA_GOC!$D:$D,$B87,DATA_GOC!$E:$E,"Téc 2",DATA_GOC!$F:$F,"Xuất nội bộ từ téc",DATA_GOC!$B:$B,DATE($D$2,$B$2,AE$4)),0))</f>
        <v>0</v>
      </c>
      <c r="AF87" s="251">
        <f>IF(AF$4&gt;DAY(EOMONTH(DATE($D$2,$B$2,1),0)),"",IFERROR(SUMIFS(DATA_GOC!$H:$H,DATA_GOC!$A:$A,"BOM",DATA_GOC!$D:$D,$B87,DATA_GOC!$E:$E,"Téc 2",DATA_GOC!$F:$F,"Xuất nội bộ từ téc",DATA_GOC!$B:$B,DATE($D$2,$B$2,AF$4)),0))</f>
        <v>0</v>
      </c>
      <c r="AG87" s="251">
        <f>IF(AG$4&gt;DAY(EOMONTH(DATE($D$2,$B$2,1),0)),"",IFERROR(SUMIFS(DATA_GOC!$H:$H,DATA_GOC!$A:$A,"BOM",DATA_GOC!$D:$D,$B87,DATA_GOC!$E:$E,"Téc 2",DATA_GOC!$F:$F,"Xuất nội bộ từ téc",DATA_GOC!$B:$B,DATE($D$2,$B$2,AG$4)),0))</f>
        <v>0</v>
      </c>
      <c r="AH87" s="252">
        <f t="shared" si="4"/>
        <v>0</v>
      </c>
      <c r="AI87" s="241">
        <f>IFERROR(SUMIFS(DATA_GOC!$H:$H,DATA_GOC!$A:$A,"BOM",DATA_GOC!$D:$D,$B87,DATA_GOC!$E:$E,"Bơm ngoài/Hải Tân",DATA_GOC!$F:$F,"Bơm ngoài",DATA_GOC!$B:$B,"&gt;="&amp;DATE($D$2,$B$2,1),DATA_GOC!$B:$B,"&lt;="&amp;EOMONTH(DATE($D$2,$B$2,1),0)),0)</f>
        <v>0</v>
      </c>
      <c r="AJ87" s="242">
        <f>IF($B87="","",SUMIFS(TINH_TEC!$K$233:$K$9232,TINH_TEC!$H$233:$H$9232,$B87,TINH_TEC!$C$233:$C$9232,"Téc 2",TINH_TEC!$F$233:$F$9232,$B$2,TINH_TEC!$G$233:$G$9232,$D$2,TINH_TEC!$B$233:$B$9232,"Đã chốt"))</f>
        <v>0</v>
      </c>
      <c r="AK87" s="242">
        <f>IF($B87="","",SUMIFS(TINH_TEC!$J$233:$J$9232,TINH_TEC!$H$233:$H$9232,$B87,TINH_TEC!$C$233:$C$9232,"Téc 2",TINH_TEC!$F$233:$F$9232,$B$2,TINH_TEC!$G$233:$G$9232,$D$2,TINH_TEC!$B$233:$B$9232,"Đã chốt"))</f>
        <v>7.397</v>
      </c>
      <c r="AL87" s="242">
        <f t="shared" si="5"/>
        <v>7.397</v>
      </c>
    </row>
    <row r="88" ht="15.75" customHeight="1">
      <c r="A88" s="237">
        <f>IF($B88&lt;&gt;"",22,"")</f>
        <v>22</v>
      </c>
      <c r="B88" s="250" t="str">
        <f t="array" ref="B88">IFERROR(INDEX(DANH_MUC!$E:$E,25),"")</f>
        <v>28C03927</v>
      </c>
      <c r="C88" s="251">
        <f>IF(C$4&gt;DAY(EOMONTH(DATE($D$2,$B$2,1),0)),"",IFERROR(SUMIFS(DATA_GOC!$H:$H,DATA_GOC!$A:$A,"BOM",DATA_GOC!$D:$D,$B88,DATA_GOC!$E:$E,"Téc 2",DATA_GOC!$F:$F,"Xuất nội bộ từ téc",DATA_GOC!$B:$B,DATE($D$2,$B$2,C$4)),0))</f>
        <v>0</v>
      </c>
      <c r="D88" s="251">
        <f>IF(D$4&gt;DAY(EOMONTH(DATE($D$2,$B$2,1),0)),"",IFERROR(SUMIFS(DATA_GOC!$H:$H,DATA_GOC!$A:$A,"BOM",DATA_GOC!$D:$D,$B88,DATA_GOC!$E:$E,"Téc 2",DATA_GOC!$F:$F,"Xuất nội bộ từ téc",DATA_GOC!$B:$B,DATE($D$2,$B$2,D$4)),0))</f>
        <v>0</v>
      </c>
      <c r="E88" s="251">
        <f>IF(E$4&gt;DAY(EOMONTH(DATE($D$2,$B$2,1),0)),"",IFERROR(SUMIFS(DATA_GOC!$H:$H,DATA_GOC!$A:$A,"BOM",DATA_GOC!$D:$D,$B88,DATA_GOC!$E:$E,"Téc 2",DATA_GOC!$F:$F,"Xuất nội bộ từ téc",DATA_GOC!$B:$B,DATE($D$2,$B$2,E$4)),0))</f>
        <v>0</v>
      </c>
      <c r="F88" s="251">
        <f>IF(F$4&gt;DAY(EOMONTH(DATE($D$2,$B$2,1),0)),"",IFERROR(SUMIFS(DATA_GOC!$H:$H,DATA_GOC!$A:$A,"BOM",DATA_GOC!$D:$D,$B88,DATA_GOC!$E:$E,"Téc 2",DATA_GOC!$F:$F,"Xuất nội bộ từ téc",DATA_GOC!$B:$B,DATE($D$2,$B$2,F$4)),0))</f>
        <v>0</v>
      </c>
      <c r="G88" s="251">
        <f>IF(G$4&gt;DAY(EOMONTH(DATE($D$2,$B$2,1),0)),"",IFERROR(SUMIFS(DATA_GOC!$H:$H,DATA_GOC!$A:$A,"BOM",DATA_GOC!$D:$D,$B88,DATA_GOC!$E:$E,"Téc 2",DATA_GOC!$F:$F,"Xuất nội bộ từ téc",DATA_GOC!$B:$B,DATE($D$2,$B$2,G$4)),0))</f>
        <v>0</v>
      </c>
      <c r="H88" s="251">
        <f>IF(H$4&gt;DAY(EOMONTH(DATE($D$2,$B$2,1),0)),"",IFERROR(SUMIFS(DATA_GOC!$H:$H,DATA_GOC!$A:$A,"BOM",DATA_GOC!$D:$D,$B88,DATA_GOC!$E:$E,"Téc 2",DATA_GOC!$F:$F,"Xuất nội bộ từ téc",DATA_GOC!$B:$B,DATE($D$2,$B$2,H$4)),0))</f>
        <v>0</v>
      </c>
      <c r="I88" s="251">
        <f>IF(I$4&gt;DAY(EOMONTH(DATE($D$2,$B$2,1),0)),"",IFERROR(SUMIFS(DATA_GOC!$H:$H,DATA_GOC!$A:$A,"BOM",DATA_GOC!$D:$D,$B88,DATA_GOC!$E:$E,"Téc 2",DATA_GOC!$F:$F,"Xuất nội bộ từ téc",DATA_GOC!$B:$B,DATE($D$2,$B$2,I$4)),0))</f>
        <v>0</v>
      </c>
      <c r="J88" s="251">
        <f>IF(J$4&gt;DAY(EOMONTH(DATE($D$2,$B$2,1),0)),"",IFERROR(SUMIFS(DATA_GOC!$H:$H,DATA_GOC!$A:$A,"BOM",DATA_GOC!$D:$D,$B88,DATA_GOC!$E:$E,"Téc 2",DATA_GOC!$F:$F,"Xuất nội bộ từ téc",DATA_GOC!$B:$B,DATE($D$2,$B$2,J$4)),0))</f>
        <v>0</v>
      </c>
      <c r="K88" s="251">
        <f>IF(K$4&gt;DAY(EOMONTH(DATE($D$2,$B$2,1),0)),"",IFERROR(SUMIFS(DATA_GOC!$H:$H,DATA_GOC!$A:$A,"BOM",DATA_GOC!$D:$D,$B88,DATA_GOC!$E:$E,"Téc 2",DATA_GOC!$F:$F,"Xuất nội bộ từ téc",DATA_GOC!$B:$B,DATE($D$2,$B$2,K$4)),0))</f>
        <v>0</v>
      </c>
      <c r="L88" s="251">
        <f>IF(L$4&gt;DAY(EOMONTH(DATE($D$2,$B$2,1),0)),"",IFERROR(SUMIFS(DATA_GOC!$H:$H,DATA_GOC!$A:$A,"BOM",DATA_GOC!$D:$D,$B88,DATA_GOC!$E:$E,"Téc 2",DATA_GOC!$F:$F,"Xuất nội bộ từ téc",DATA_GOC!$B:$B,DATE($D$2,$B$2,L$4)),0))</f>
        <v>0</v>
      </c>
      <c r="M88" s="251">
        <f>IF(M$4&gt;DAY(EOMONTH(DATE($D$2,$B$2,1),0)),"",IFERROR(SUMIFS(DATA_GOC!$H:$H,DATA_GOC!$A:$A,"BOM",DATA_GOC!$D:$D,$B88,DATA_GOC!$E:$E,"Téc 2",DATA_GOC!$F:$F,"Xuất nội bộ từ téc",DATA_GOC!$B:$B,DATE($D$2,$B$2,M$4)),0))</f>
        <v>0</v>
      </c>
      <c r="N88" s="251">
        <f>IF(N$4&gt;DAY(EOMONTH(DATE($D$2,$B$2,1),0)),"",IFERROR(SUMIFS(DATA_GOC!$H:$H,DATA_GOC!$A:$A,"BOM",DATA_GOC!$D:$D,$B88,DATA_GOC!$E:$E,"Téc 2",DATA_GOC!$F:$F,"Xuất nội bộ từ téc",DATA_GOC!$B:$B,DATE($D$2,$B$2,N$4)),0))</f>
        <v>0</v>
      </c>
      <c r="O88" s="251">
        <f>IF(O$4&gt;DAY(EOMONTH(DATE($D$2,$B$2,1),0)),"",IFERROR(SUMIFS(DATA_GOC!$H:$H,DATA_GOC!$A:$A,"BOM",DATA_GOC!$D:$D,$B88,DATA_GOC!$E:$E,"Téc 2",DATA_GOC!$F:$F,"Xuất nội bộ từ téc",DATA_GOC!$B:$B,DATE($D$2,$B$2,O$4)),0))</f>
        <v>0</v>
      </c>
      <c r="P88" s="251">
        <f>IF(P$4&gt;DAY(EOMONTH(DATE($D$2,$B$2,1),0)),"",IFERROR(SUMIFS(DATA_GOC!$H:$H,DATA_GOC!$A:$A,"BOM",DATA_GOC!$D:$D,$B88,DATA_GOC!$E:$E,"Téc 2",DATA_GOC!$F:$F,"Xuất nội bộ từ téc",DATA_GOC!$B:$B,DATE($D$2,$B$2,P$4)),0))</f>
        <v>0</v>
      </c>
      <c r="Q88" s="251">
        <f>IF(Q$4&gt;DAY(EOMONTH(DATE($D$2,$B$2,1),0)),"",IFERROR(SUMIFS(DATA_GOC!$H:$H,DATA_GOC!$A:$A,"BOM",DATA_GOC!$D:$D,$B88,DATA_GOC!$E:$E,"Téc 2",DATA_GOC!$F:$F,"Xuất nội bộ từ téc",DATA_GOC!$B:$B,DATE($D$2,$B$2,Q$4)),0))</f>
        <v>0</v>
      </c>
      <c r="R88" s="251">
        <f>IF(R$4&gt;DAY(EOMONTH(DATE($D$2,$B$2,1),0)),"",IFERROR(SUMIFS(DATA_GOC!$H:$H,DATA_GOC!$A:$A,"BOM",DATA_GOC!$D:$D,$B88,DATA_GOC!$E:$E,"Téc 2",DATA_GOC!$F:$F,"Xuất nội bộ từ téc",DATA_GOC!$B:$B,DATE($D$2,$B$2,R$4)),0))</f>
        <v>0</v>
      </c>
      <c r="S88" s="251">
        <f>IF(S$4&gt;DAY(EOMONTH(DATE($D$2,$B$2,1),0)),"",IFERROR(SUMIFS(DATA_GOC!$H:$H,DATA_GOC!$A:$A,"BOM",DATA_GOC!$D:$D,$B88,DATA_GOC!$E:$E,"Téc 2",DATA_GOC!$F:$F,"Xuất nội bộ từ téc",DATA_GOC!$B:$B,DATE($D$2,$B$2,S$4)),0))</f>
        <v>0</v>
      </c>
      <c r="T88" s="251">
        <f>IF(T$4&gt;DAY(EOMONTH(DATE($D$2,$B$2,1),0)),"",IFERROR(SUMIFS(DATA_GOC!$H:$H,DATA_GOC!$A:$A,"BOM",DATA_GOC!$D:$D,$B88,DATA_GOC!$E:$E,"Téc 2",DATA_GOC!$F:$F,"Xuất nội bộ từ téc",DATA_GOC!$B:$B,DATE($D$2,$B$2,T$4)),0))</f>
        <v>0</v>
      </c>
      <c r="U88" s="251">
        <f>IF(U$4&gt;DAY(EOMONTH(DATE($D$2,$B$2,1),0)),"",IFERROR(SUMIFS(DATA_GOC!$H:$H,DATA_GOC!$A:$A,"BOM",DATA_GOC!$D:$D,$B88,DATA_GOC!$E:$E,"Téc 2",DATA_GOC!$F:$F,"Xuất nội bộ từ téc",DATA_GOC!$B:$B,DATE($D$2,$B$2,U$4)),0))</f>
        <v>0</v>
      </c>
      <c r="V88" s="251">
        <f>IF(V$4&gt;DAY(EOMONTH(DATE($D$2,$B$2,1),0)),"",IFERROR(SUMIFS(DATA_GOC!$H:$H,DATA_GOC!$A:$A,"BOM",DATA_GOC!$D:$D,$B88,DATA_GOC!$E:$E,"Téc 2",DATA_GOC!$F:$F,"Xuất nội bộ từ téc",DATA_GOC!$B:$B,DATE($D$2,$B$2,V$4)),0))</f>
        <v>0</v>
      </c>
      <c r="W88" s="251">
        <f>IF(W$4&gt;DAY(EOMONTH(DATE($D$2,$B$2,1),0)),"",IFERROR(SUMIFS(DATA_GOC!$H:$H,DATA_GOC!$A:$A,"BOM",DATA_GOC!$D:$D,$B88,DATA_GOC!$E:$E,"Téc 2",DATA_GOC!$F:$F,"Xuất nội bộ từ téc",DATA_GOC!$B:$B,DATE($D$2,$B$2,W$4)),0))</f>
        <v>0</v>
      </c>
      <c r="X88" s="251">
        <f>IF(X$4&gt;DAY(EOMONTH(DATE($D$2,$B$2,1),0)),"",IFERROR(SUMIFS(DATA_GOC!$H:$H,DATA_GOC!$A:$A,"BOM",DATA_GOC!$D:$D,$B88,DATA_GOC!$E:$E,"Téc 2",DATA_GOC!$F:$F,"Xuất nội bộ từ téc",DATA_GOC!$B:$B,DATE($D$2,$B$2,X$4)),0))</f>
        <v>0</v>
      </c>
      <c r="Y88" s="251">
        <f>IF(Y$4&gt;DAY(EOMONTH(DATE($D$2,$B$2,1),0)),"",IFERROR(SUMIFS(DATA_GOC!$H:$H,DATA_GOC!$A:$A,"BOM",DATA_GOC!$D:$D,$B88,DATA_GOC!$E:$E,"Téc 2",DATA_GOC!$F:$F,"Xuất nội bộ từ téc",DATA_GOC!$B:$B,DATE($D$2,$B$2,Y$4)),0))</f>
        <v>0</v>
      </c>
      <c r="Z88" s="251">
        <f>IF(Z$4&gt;DAY(EOMONTH(DATE($D$2,$B$2,1),0)),"",IFERROR(SUMIFS(DATA_GOC!$H:$H,DATA_GOC!$A:$A,"BOM",DATA_GOC!$D:$D,$B88,DATA_GOC!$E:$E,"Téc 2",DATA_GOC!$F:$F,"Xuất nội bộ từ téc",DATA_GOC!$B:$B,DATE($D$2,$B$2,Z$4)),0))</f>
        <v>0</v>
      </c>
      <c r="AA88" s="251">
        <f>IF(AA$4&gt;DAY(EOMONTH(DATE($D$2,$B$2,1),0)),"",IFERROR(SUMIFS(DATA_GOC!$H:$H,DATA_GOC!$A:$A,"BOM",DATA_GOC!$D:$D,$B88,DATA_GOC!$E:$E,"Téc 2",DATA_GOC!$F:$F,"Xuất nội bộ từ téc",DATA_GOC!$B:$B,DATE($D$2,$B$2,AA$4)),0))</f>
        <v>0</v>
      </c>
      <c r="AB88" s="251">
        <f>IF(AB$4&gt;DAY(EOMONTH(DATE($D$2,$B$2,1),0)),"",IFERROR(SUMIFS(DATA_GOC!$H:$H,DATA_GOC!$A:$A,"BOM",DATA_GOC!$D:$D,$B88,DATA_GOC!$E:$E,"Téc 2",DATA_GOC!$F:$F,"Xuất nội bộ từ téc",DATA_GOC!$B:$B,DATE($D$2,$B$2,AB$4)),0))</f>
        <v>0</v>
      </c>
      <c r="AC88" s="251">
        <f>IF(AC$4&gt;DAY(EOMONTH(DATE($D$2,$B$2,1),0)),"",IFERROR(SUMIFS(DATA_GOC!$H:$H,DATA_GOC!$A:$A,"BOM",DATA_GOC!$D:$D,$B88,DATA_GOC!$E:$E,"Téc 2",DATA_GOC!$F:$F,"Xuất nội bộ từ téc",DATA_GOC!$B:$B,DATE($D$2,$B$2,AC$4)),0))</f>
        <v>0</v>
      </c>
      <c r="AD88" s="251">
        <f>IF(AD$4&gt;DAY(EOMONTH(DATE($D$2,$B$2,1),0)),"",IFERROR(SUMIFS(DATA_GOC!$H:$H,DATA_GOC!$A:$A,"BOM",DATA_GOC!$D:$D,$B88,DATA_GOC!$E:$E,"Téc 2",DATA_GOC!$F:$F,"Xuất nội bộ từ téc",DATA_GOC!$B:$B,DATE($D$2,$B$2,AD$4)),0))</f>
        <v>0</v>
      </c>
      <c r="AE88" s="251">
        <f>IF(AE$4&gt;DAY(EOMONTH(DATE($D$2,$B$2,1),0)),"",IFERROR(SUMIFS(DATA_GOC!$H:$H,DATA_GOC!$A:$A,"BOM",DATA_GOC!$D:$D,$B88,DATA_GOC!$E:$E,"Téc 2",DATA_GOC!$F:$F,"Xuất nội bộ từ téc",DATA_GOC!$B:$B,DATE($D$2,$B$2,AE$4)),0))</f>
        <v>0</v>
      </c>
      <c r="AF88" s="251">
        <f>IF(AF$4&gt;DAY(EOMONTH(DATE($D$2,$B$2,1),0)),"",IFERROR(SUMIFS(DATA_GOC!$H:$H,DATA_GOC!$A:$A,"BOM",DATA_GOC!$D:$D,$B88,DATA_GOC!$E:$E,"Téc 2",DATA_GOC!$F:$F,"Xuất nội bộ từ téc",DATA_GOC!$B:$B,DATE($D$2,$B$2,AF$4)),0))</f>
        <v>0</v>
      </c>
      <c r="AG88" s="251">
        <f>IF(AG$4&gt;DAY(EOMONTH(DATE($D$2,$B$2,1),0)),"",IFERROR(SUMIFS(DATA_GOC!$H:$H,DATA_GOC!$A:$A,"BOM",DATA_GOC!$D:$D,$B88,DATA_GOC!$E:$E,"Téc 2",DATA_GOC!$F:$F,"Xuất nội bộ từ téc",DATA_GOC!$B:$B,DATE($D$2,$B$2,AG$4)),0))</f>
        <v>0</v>
      </c>
      <c r="AH88" s="252">
        <f t="shared" si="4"/>
        <v>0</v>
      </c>
      <c r="AI88" s="241">
        <f>IFERROR(SUMIFS(DATA_GOC!$H:$H,DATA_GOC!$A:$A,"BOM",DATA_GOC!$D:$D,$B88,DATA_GOC!$E:$E,"Bơm ngoài/Hải Tân",DATA_GOC!$F:$F,"Bơm ngoài",DATA_GOC!$B:$B,"&gt;="&amp;DATE($D$2,$B$2,1),DATA_GOC!$B:$B,"&lt;="&amp;EOMONTH(DATE($D$2,$B$2,1),0)),0)</f>
        <v>0</v>
      </c>
      <c r="AJ88" s="242">
        <f>IF($B88="","",SUMIFS(TINH_TEC!$K$233:$K$9232,TINH_TEC!$H$233:$H$9232,$B88,TINH_TEC!$C$233:$C$9232,"Téc 2",TINH_TEC!$F$233:$F$9232,$B$2,TINH_TEC!$G$233:$G$9232,$D$2,TINH_TEC!$B$233:$B$9232,"Đã chốt"))</f>
        <v>0</v>
      </c>
      <c r="AK88" s="242">
        <f>IF($B88="","",SUMIFS(TINH_TEC!$J$233:$J$9232,TINH_TEC!$H$233:$H$9232,$B88,TINH_TEC!$C$233:$C$9232,"Téc 2",TINH_TEC!$F$233:$F$9232,$B$2,TINH_TEC!$G$233:$G$9232,$D$2,TINH_TEC!$B$233:$B$9232,"Đã chốt"))</f>
        <v>0</v>
      </c>
      <c r="AL88" s="242">
        <f t="shared" si="5"/>
        <v>0</v>
      </c>
    </row>
    <row r="89" ht="15.75" customHeight="1">
      <c r="A89" s="237">
        <f>IF($B89&lt;&gt;"",23,"")</f>
        <v>23</v>
      </c>
      <c r="B89" s="250" t="str">
        <f t="array" ref="B89">IFERROR(INDEX(DANH_MUC!$E:$E,26),"")</f>
        <v>28C04509</v>
      </c>
      <c r="C89" s="251">
        <f>IF(C$4&gt;DAY(EOMONTH(DATE($D$2,$B$2,1),0)),"",IFERROR(SUMIFS(DATA_GOC!$H:$H,DATA_GOC!$A:$A,"BOM",DATA_GOC!$D:$D,$B89,DATA_GOC!$E:$E,"Téc 2",DATA_GOC!$F:$F,"Xuất nội bộ từ téc",DATA_GOC!$B:$B,DATE($D$2,$B$2,C$4)),0))</f>
        <v>0</v>
      </c>
      <c r="D89" s="251">
        <f>IF(D$4&gt;DAY(EOMONTH(DATE($D$2,$B$2,1),0)),"",IFERROR(SUMIFS(DATA_GOC!$H:$H,DATA_GOC!$A:$A,"BOM",DATA_GOC!$D:$D,$B89,DATA_GOC!$E:$E,"Téc 2",DATA_GOC!$F:$F,"Xuất nội bộ từ téc",DATA_GOC!$B:$B,DATE($D$2,$B$2,D$4)),0))</f>
        <v>0</v>
      </c>
      <c r="E89" s="251">
        <f>IF(E$4&gt;DAY(EOMONTH(DATE($D$2,$B$2,1),0)),"",IFERROR(SUMIFS(DATA_GOC!$H:$H,DATA_GOC!$A:$A,"BOM",DATA_GOC!$D:$D,$B89,DATA_GOC!$E:$E,"Téc 2",DATA_GOC!$F:$F,"Xuất nội bộ từ téc",DATA_GOC!$B:$B,DATE($D$2,$B$2,E$4)),0))</f>
        <v>0</v>
      </c>
      <c r="F89" s="251">
        <f>IF(F$4&gt;DAY(EOMONTH(DATE($D$2,$B$2,1),0)),"",IFERROR(SUMIFS(DATA_GOC!$H:$H,DATA_GOC!$A:$A,"BOM",DATA_GOC!$D:$D,$B89,DATA_GOC!$E:$E,"Téc 2",DATA_GOC!$F:$F,"Xuất nội bộ từ téc",DATA_GOC!$B:$B,DATE($D$2,$B$2,F$4)),0))</f>
        <v>63</v>
      </c>
      <c r="G89" s="251">
        <f>IF(G$4&gt;DAY(EOMONTH(DATE($D$2,$B$2,1),0)),"",IFERROR(SUMIFS(DATA_GOC!$H:$H,DATA_GOC!$A:$A,"BOM",DATA_GOC!$D:$D,$B89,DATA_GOC!$E:$E,"Téc 2",DATA_GOC!$F:$F,"Xuất nội bộ từ téc",DATA_GOC!$B:$B,DATE($D$2,$B$2,G$4)),0))</f>
        <v>0</v>
      </c>
      <c r="H89" s="251">
        <f>IF(H$4&gt;DAY(EOMONTH(DATE($D$2,$B$2,1),0)),"",IFERROR(SUMIFS(DATA_GOC!$H:$H,DATA_GOC!$A:$A,"BOM",DATA_GOC!$D:$D,$B89,DATA_GOC!$E:$E,"Téc 2",DATA_GOC!$F:$F,"Xuất nội bộ từ téc",DATA_GOC!$B:$B,DATE($D$2,$B$2,H$4)),0))</f>
        <v>0</v>
      </c>
      <c r="I89" s="251">
        <f>IF(I$4&gt;DAY(EOMONTH(DATE($D$2,$B$2,1),0)),"",IFERROR(SUMIFS(DATA_GOC!$H:$H,DATA_GOC!$A:$A,"BOM",DATA_GOC!$D:$D,$B89,DATA_GOC!$E:$E,"Téc 2",DATA_GOC!$F:$F,"Xuất nội bộ từ téc",DATA_GOC!$B:$B,DATE($D$2,$B$2,I$4)),0))</f>
        <v>0</v>
      </c>
      <c r="J89" s="251">
        <f>IF(J$4&gt;DAY(EOMONTH(DATE($D$2,$B$2,1),0)),"",IFERROR(SUMIFS(DATA_GOC!$H:$H,DATA_GOC!$A:$A,"BOM",DATA_GOC!$D:$D,$B89,DATA_GOC!$E:$E,"Téc 2",DATA_GOC!$F:$F,"Xuất nội bộ từ téc",DATA_GOC!$B:$B,DATE($D$2,$B$2,J$4)),0))</f>
        <v>0</v>
      </c>
      <c r="K89" s="251">
        <f>IF(K$4&gt;DAY(EOMONTH(DATE($D$2,$B$2,1),0)),"",IFERROR(SUMIFS(DATA_GOC!$H:$H,DATA_GOC!$A:$A,"BOM",DATA_GOC!$D:$D,$B89,DATA_GOC!$E:$E,"Téc 2",DATA_GOC!$F:$F,"Xuất nội bộ từ téc",DATA_GOC!$B:$B,DATE($D$2,$B$2,K$4)),0))</f>
        <v>0</v>
      </c>
      <c r="L89" s="251">
        <f>IF(L$4&gt;DAY(EOMONTH(DATE($D$2,$B$2,1),0)),"",IFERROR(SUMIFS(DATA_GOC!$H:$H,DATA_GOC!$A:$A,"BOM",DATA_GOC!$D:$D,$B89,DATA_GOC!$E:$E,"Téc 2",DATA_GOC!$F:$F,"Xuất nội bộ từ téc",DATA_GOC!$B:$B,DATE($D$2,$B$2,L$4)),0))</f>
        <v>0</v>
      </c>
      <c r="M89" s="251">
        <f>IF(M$4&gt;DAY(EOMONTH(DATE($D$2,$B$2,1),0)),"",IFERROR(SUMIFS(DATA_GOC!$H:$H,DATA_GOC!$A:$A,"BOM",DATA_GOC!$D:$D,$B89,DATA_GOC!$E:$E,"Téc 2",DATA_GOC!$F:$F,"Xuất nội bộ từ téc",DATA_GOC!$B:$B,DATE($D$2,$B$2,M$4)),0))</f>
        <v>0</v>
      </c>
      <c r="N89" s="251">
        <f>IF(N$4&gt;DAY(EOMONTH(DATE($D$2,$B$2,1),0)),"",IFERROR(SUMIFS(DATA_GOC!$H:$H,DATA_GOC!$A:$A,"BOM",DATA_GOC!$D:$D,$B89,DATA_GOC!$E:$E,"Téc 2",DATA_GOC!$F:$F,"Xuất nội bộ từ téc",DATA_GOC!$B:$B,DATE($D$2,$B$2,N$4)),0))</f>
        <v>0</v>
      </c>
      <c r="O89" s="251">
        <f>IF(O$4&gt;DAY(EOMONTH(DATE($D$2,$B$2,1),0)),"",IFERROR(SUMIFS(DATA_GOC!$H:$H,DATA_GOC!$A:$A,"BOM",DATA_GOC!$D:$D,$B89,DATA_GOC!$E:$E,"Téc 2",DATA_GOC!$F:$F,"Xuất nội bộ từ téc",DATA_GOC!$B:$B,DATE($D$2,$B$2,O$4)),0))</f>
        <v>0</v>
      </c>
      <c r="P89" s="251">
        <f>IF(P$4&gt;DAY(EOMONTH(DATE($D$2,$B$2,1),0)),"",IFERROR(SUMIFS(DATA_GOC!$H:$H,DATA_GOC!$A:$A,"BOM",DATA_GOC!$D:$D,$B89,DATA_GOC!$E:$E,"Téc 2",DATA_GOC!$F:$F,"Xuất nội bộ từ téc",DATA_GOC!$B:$B,DATE($D$2,$B$2,P$4)),0))</f>
        <v>0</v>
      </c>
      <c r="Q89" s="251">
        <f>IF(Q$4&gt;DAY(EOMONTH(DATE($D$2,$B$2,1),0)),"",IFERROR(SUMIFS(DATA_GOC!$H:$H,DATA_GOC!$A:$A,"BOM",DATA_GOC!$D:$D,$B89,DATA_GOC!$E:$E,"Téc 2",DATA_GOC!$F:$F,"Xuất nội bộ từ téc",DATA_GOC!$B:$B,DATE($D$2,$B$2,Q$4)),0))</f>
        <v>0</v>
      </c>
      <c r="R89" s="251">
        <f>IF(R$4&gt;DAY(EOMONTH(DATE($D$2,$B$2,1),0)),"",IFERROR(SUMIFS(DATA_GOC!$H:$H,DATA_GOC!$A:$A,"BOM",DATA_GOC!$D:$D,$B89,DATA_GOC!$E:$E,"Téc 2",DATA_GOC!$F:$F,"Xuất nội bộ từ téc",DATA_GOC!$B:$B,DATE($D$2,$B$2,R$4)),0))</f>
        <v>0</v>
      </c>
      <c r="S89" s="251">
        <f>IF(S$4&gt;DAY(EOMONTH(DATE($D$2,$B$2,1),0)),"",IFERROR(SUMIFS(DATA_GOC!$H:$H,DATA_GOC!$A:$A,"BOM",DATA_GOC!$D:$D,$B89,DATA_GOC!$E:$E,"Téc 2",DATA_GOC!$F:$F,"Xuất nội bộ từ téc",DATA_GOC!$B:$B,DATE($D$2,$B$2,S$4)),0))</f>
        <v>0</v>
      </c>
      <c r="T89" s="251">
        <f>IF(T$4&gt;DAY(EOMONTH(DATE($D$2,$B$2,1),0)),"",IFERROR(SUMIFS(DATA_GOC!$H:$H,DATA_GOC!$A:$A,"BOM",DATA_GOC!$D:$D,$B89,DATA_GOC!$E:$E,"Téc 2",DATA_GOC!$F:$F,"Xuất nội bộ từ téc",DATA_GOC!$B:$B,DATE($D$2,$B$2,T$4)),0))</f>
        <v>0</v>
      </c>
      <c r="U89" s="251">
        <f>IF(U$4&gt;DAY(EOMONTH(DATE($D$2,$B$2,1),0)),"",IFERROR(SUMIFS(DATA_GOC!$H:$H,DATA_GOC!$A:$A,"BOM",DATA_GOC!$D:$D,$B89,DATA_GOC!$E:$E,"Téc 2",DATA_GOC!$F:$F,"Xuất nội bộ từ téc",DATA_GOC!$B:$B,DATE($D$2,$B$2,U$4)),0))</f>
        <v>0</v>
      </c>
      <c r="V89" s="251">
        <f>IF(V$4&gt;DAY(EOMONTH(DATE($D$2,$B$2,1),0)),"",IFERROR(SUMIFS(DATA_GOC!$H:$H,DATA_GOC!$A:$A,"BOM",DATA_GOC!$D:$D,$B89,DATA_GOC!$E:$E,"Téc 2",DATA_GOC!$F:$F,"Xuất nội bộ từ téc",DATA_GOC!$B:$B,DATE($D$2,$B$2,V$4)),0))</f>
        <v>0</v>
      </c>
      <c r="W89" s="251">
        <f>IF(W$4&gt;DAY(EOMONTH(DATE($D$2,$B$2,1),0)),"",IFERROR(SUMIFS(DATA_GOC!$H:$H,DATA_GOC!$A:$A,"BOM",DATA_GOC!$D:$D,$B89,DATA_GOC!$E:$E,"Téc 2",DATA_GOC!$F:$F,"Xuất nội bộ từ téc",DATA_GOC!$B:$B,DATE($D$2,$B$2,W$4)),0))</f>
        <v>0</v>
      </c>
      <c r="X89" s="251">
        <f>IF(X$4&gt;DAY(EOMONTH(DATE($D$2,$B$2,1),0)),"",IFERROR(SUMIFS(DATA_GOC!$H:$H,DATA_GOC!$A:$A,"BOM",DATA_GOC!$D:$D,$B89,DATA_GOC!$E:$E,"Téc 2",DATA_GOC!$F:$F,"Xuất nội bộ từ téc",DATA_GOC!$B:$B,DATE($D$2,$B$2,X$4)),0))</f>
        <v>0</v>
      </c>
      <c r="Y89" s="251">
        <f>IF(Y$4&gt;DAY(EOMONTH(DATE($D$2,$B$2,1),0)),"",IFERROR(SUMIFS(DATA_GOC!$H:$H,DATA_GOC!$A:$A,"BOM",DATA_GOC!$D:$D,$B89,DATA_GOC!$E:$E,"Téc 2",DATA_GOC!$F:$F,"Xuất nội bộ từ téc",DATA_GOC!$B:$B,DATE($D$2,$B$2,Y$4)),0))</f>
        <v>0</v>
      </c>
      <c r="Z89" s="251">
        <f>IF(Z$4&gt;DAY(EOMONTH(DATE($D$2,$B$2,1),0)),"",IFERROR(SUMIFS(DATA_GOC!$H:$H,DATA_GOC!$A:$A,"BOM",DATA_GOC!$D:$D,$B89,DATA_GOC!$E:$E,"Téc 2",DATA_GOC!$F:$F,"Xuất nội bộ từ téc",DATA_GOC!$B:$B,DATE($D$2,$B$2,Z$4)),0))</f>
        <v>0</v>
      </c>
      <c r="AA89" s="251">
        <f>IF(AA$4&gt;DAY(EOMONTH(DATE($D$2,$B$2,1),0)),"",IFERROR(SUMIFS(DATA_GOC!$H:$H,DATA_GOC!$A:$A,"BOM",DATA_GOC!$D:$D,$B89,DATA_GOC!$E:$E,"Téc 2",DATA_GOC!$F:$F,"Xuất nội bộ từ téc",DATA_GOC!$B:$B,DATE($D$2,$B$2,AA$4)),0))</f>
        <v>0</v>
      </c>
      <c r="AB89" s="251">
        <f>IF(AB$4&gt;DAY(EOMONTH(DATE($D$2,$B$2,1),0)),"",IFERROR(SUMIFS(DATA_GOC!$H:$H,DATA_GOC!$A:$A,"BOM",DATA_GOC!$D:$D,$B89,DATA_GOC!$E:$E,"Téc 2",DATA_GOC!$F:$F,"Xuất nội bộ từ téc",DATA_GOC!$B:$B,DATE($D$2,$B$2,AB$4)),0))</f>
        <v>0</v>
      </c>
      <c r="AC89" s="251">
        <f>IF(AC$4&gt;DAY(EOMONTH(DATE($D$2,$B$2,1),0)),"",IFERROR(SUMIFS(DATA_GOC!$H:$H,DATA_GOC!$A:$A,"BOM",DATA_GOC!$D:$D,$B89,DATA_GOC!$E:$E,"Téc 2",DATA_GOC!$F:$F,"Xuất nội bộ từ téc",DATA_GOC!$B:$B,DATE($D$2,$B$2,AC$4)),0))</f>
        <v>0</v>
      </c>
      <c r="AD89" s="251">
        <f>IF(AD$4&gt;DAY(EOMONTH(DATE($D$2,$B$2,1),0)),"",IFERROR(SUMIFS(DATA_GOC!$H:$H,DATA_GOC!$A:$A,"BOM",DATA_GOC!$D:$D,$B89,DATA_GOC!$E:$E,"Téc 2",DATA_GOC!$F:$F,"Xuất nội bộ từ téc",DATA_GOC!$B:$B,DATE($D$2,$B$2,AD$4)),0))</f>
        <v>0</v>
      </c>
      <c r="AE89" s="251">
        <f>IF(AE$4&gt;DAY(EOMONTH(DATE($D$2,$B$2,1),0)),"",IFERROR(SUMIFS(DATA_GOC!$H:$H,DATA_GOC!$A:$A,"BOM",DATA_GOC!$D:$D,$B89,DATA_GOC!$E:$E,"Téc 2",DATA_GOC!$F:$F,"Xuất nội bộ từ téc",DATA_GOC!$B:$B,DATE($D$2,$B$2,AE$4)),0))</f>
        <v>0</v>
      </c>
      <c r="AF89" s="251">
        <f>IF(AF$4&gt;DAY(EOMONTH(DATE($D$2,$B$2,1),0)),"",IFERROR(SUMIFS(DATA_GOC!$H:$H,DATA_GOC!$A:$A,"BOM",DATA_GOC!$D:$D,$B89,DATA_GOC!$E:$E,"Téc 2",DATA_GOC!$F:$F,"Xuất nội bộ từ téc",DATA_GOC!$B:$B,DATE($D$2,$B$2,AF$4)),0))</f>
        <v>0</v>
      </c>
      <c r="AG89" s="251">
        <f>IF(AG$4&gt;DAY(EOMONTH(DATE($D$2,$B$2,1),0)),"",IFERROR(SUMIFS(DATA_GOC!$H:$H,DATA_GOC!$A:$A,"BOM",DATA_GOC!$D:$D,$B89,DATA_GOC!$E:$E,"Téc 2",DATA_GOC!$F:$F,"Xuất nội bộ từ téc",DATA_GOC!$B:$B,DATE($D$2,$B$2,AG$4)),0))</f>
        <v>0</v>
      </c>
      <c r="AH89" s="252">
        <f t="shared" si="4"/>
        <v>63</v>
      </c>
      <c r="AI89" s="241">
        <f>IFERROR(SUMIFS(DATA_GOC!$H:$H,DATA_GOC!$A:$A,"BOM",DATA_GOC!$D:$D,$B89,DATA_GOC!$E:$E,"Bơm ngoài/Hải Tân",DATA_GOC!$F:$F,"Bơm ngoài",DATA_GOC!$B:$B,"&gt;="&amp;DATE($D$2,$B$2,1),DATA_GOC!$B:$B,"&lt;="&amp;EOMONTH(DATE($D$2,$B$2,1),0)),0)</f>
        <v>0</v>
      </c>
      <c r="AJ89" s="242">
        <f>IF($B89="","",SUMIFS(TINH_TEC!$K$233:$K$9232,TINH_TEC!$H$233:$H$9232,$B89,TINH_TEC!$C$233:$C$9232,"Téc 2",TINH_TEC!$F$233:$F$9232,$B$2,TINH_TEC!$G$233:$G$9232,$D$2,TINH_TEC!$B$233:$B$9232,"Đã chốt"))</f>
        <v>0</v>
      </c>
      <c r="AK89" s="242">
        <f>IF($B89="","",SUMIFS(TINH_TEC!$J$233:$J$9232,TINH_TEC!$H$233:$H$9232,$B89,TINH_TEC!$C$233:$C$9232,"Téc 2",TINH_TEC!$F$233:$F$9232,$B$2,TINH_TEC!$G$233:$G$9232,$D$2,TINH_TEC!$B$233:$B$9232,"Đã chốt"))</f>
        <v>6.931</v>
      </c>
      <c r="AL89" s="242">
        <f t="shared" si="5"/>
        <v>69.931</v>
      </c>
    </row>
    <row r="90" ht="15.75" customHeight="1">
      <c r="A90" s="237">
        <f>IF($B90&lt;&gt;"",24,"")</f>
        <v>24</v>
      </c>
      <c r="B90" s="250" t="str">
        <f t="array" ref="B90">IFERROR(INDEX(DANH_MUC!$E:$E,27),"")</f>
        <v>28C04536</v>
      </c>
      <c r="C90" s="251">
        <f>IF(C$4&gt;DAY(EOMONTH(DATE($D$2,$B$2,1),0)),"",IFERROR(SUMIFS(DATA_GOC!$H:$H,DATA_GOC!$A:$A,"BOM",DATA_GOC!$D:$D,$B90,DATA_GOC!$E:$E,"Téc 2",DATA_GOC!$F:$F,"Xuất nội bộ từ téc",DATA_GOC!$B:$B,DATE($D$2,$B$2,C$4)),0))</f>
        <v>0</v>
      </c>
      <c r="D90" s="251">
        <f>IF(D$4&gt;DAY(EOMONTH(DATE($D$2,$B$2,1),0)),"",IFERROR(SUMIFS(DATA_GOC!$H:$H,DATA_GOC!$A:$A,"BOM",DATA_GOC!$D:$D,$B90,DATA_GOC!$E:$E,"Téc 2",DATA_GOC!$F:$F,"Xuất nội bộ từ téc",DATA_GOC!$B:$B,DATE($D$2,$B$2,D$4)),0))</f>
        <v>0</v>
      </c>
      <c r="E90" s="251">
        <f>IF(E$4&gt;DAY(EOMONTH(DATE($D$2,$B$2,1),0)),"",IFERROR(SUMIFS(DATA_GOC!$H:$H,DATA_GOC!$A:$A,"BOM",DATA_GOC!$D:$D,$B90,DATA_GOC!$E:$E,"Téc 2",DATA_GOC!$F:$F,"Xuất nội bộ từ téc",DATA_GOC!$B:$B,DATE($D$2,$B$2,E$4)),0))</f>
        <v>0</v>
      </c>
      <c r="F90" s="251">
        <f>IF(F$4&gt;DAY(EOMONTH(DATE($D$2,$B$2,1),0)),"",IFERROR(SUMIFS(DATA_GOC!$H:$H,DATA_GOC!$A:$A,"BOM",DATA_GOC!$D:$D,$B90,DATA_GOC!$E:$E,"Téc 2",DATA_GOC!$F:$F,"Xuất nội bộ từ téc",DATA_GOC!$B:$B,DATE($D$2,$B$2,F$4)),0))</f>
        <v>0</v>
      </c>
      <c r="G90" s="251">
        <f>IF(G$4&gt;DAY(EOMONTH(DATE($D$2,$B$2,1),0)),"",IFERROR(SUMIFS(DATA_GOC!$H:$H,DATA_GOC!$A:$A,"BOM",DATA_GOC!$D:$D,$B90,DATA_GOC!$E:$E,"Téc 2",DATA_GOC!$F:$F,"Xuất nội bộ từ téc",DATA_GOC!$B:$B,DATE($D$2,$B$2,G$4)),0))</f>
        <v>0</v>
      </c>
      <c r="H90" s="251">
        <f>IF(H$4&gt;DAY(EOMONTH(DATE($D$2,$B$2,1),0)),"",IFERROR(SUMIFS(DATA_GOC!$H:$H,DATA_GOC!$A:$A,"BOM",DATA_GOC!$D:$D,$B90,DATA_GOC!$E:$E,"Téc 2",DATA_GOC!$F:$F,"Xuất nội bộ từ téc",DATA_GOC!$B:$B,DATE($D$2,$B$2,H$4)),0))</f>
        <v>0</v>
      </c>
      <c r="I90" s="251">
        <f>IF(I$4&gt;DAY(EOMONTH(DATE($D$2,$B$2,1),0)),"",IFERROR(SUMIFS(DATA_GOC!$H:$H,DATA_GOC!$A:$A,"BOM",DATA_GOC!$D:$D,$B90,DATA_GOC!$E:$E,"Téc 2",DATA_GOC!$F:$F,"Xuất nội bộ từ téc",DATA_GOC!$B:$B,DATE($D$2,$B$2,I$4)),0))</f>
        <v>0</v>
      </c>
      <c r="J90" s="251">
        <f>IF(J$4&gt;DAY(EOMONTH(DATE($D$2,$B$2,1),0)),"",IFERROR(SUMIFS(DATA_GOC!$H:$H,DATA_GOC!$A:$A,"BOM",DATA_GOC!$D:$D,$B90,DATA_GOC!$E:$E,"Téc 2",DATA_GOC!$F:$F,"Xuất nội bộ từ téc",DATA_GOC!$B:$B,DATE($D$2,$B$2,J$4)),0))</f>
        <v>0</v>
      </c>
      <c r="K90" s="251">
        <f>IF(K$4&gt;DAY(EOMONTH(DATE($D$2,$B$2,1),0)),"",IFERROR(SUMIFS(DATA_GOC!$H:$H,DATA_GOC!$A:$A,"BOM",DATA_GOC!$D:$D,$B90,DATA_GOC!$E:$E,"Téc 2",DATA_GOC!$F:$F,"Xuất nội bộ từ téc",DATA_GOC!$B:$B,DATE($D$2,$B$2,K$4)),0))</f>
        <v>0</v>
      </c>
      <c r="L90" s="251">
        <f>IF(L$4&gt;DAY(EOMONTH(DATE($D$2,$B$2,1),0)),"",IFERROR(SUMIFS(DATA_GOC!$H:$H,DATA_GOC!$A:$A,"BOM",DATA_GOC!$D:$D,$B90,DATA_GOC!$E:$E,"Téc 2",DATA_GOC!$F:$F,"Xuất nội bộ từ téc",DATA_GOC!$B:$B,DATE($D$2,$B$2,L$4)),0))</f>
        <v>0</v>
      </c>
      <c r="M90" s="251">
        <f>IF(M$4&gt;DAY(EOMONTH(DATE($D$2,$B$2,1),0)),"",IFERROR(SUMIFS(DATA_GOC!$H:$H,DATA_GOC!$A:$A,"BOM",DATA_GOC!$D:$D,$B90,DATA_GOC!$E:$E,"Téc 2",DATA_GOC!$F:$F,"Xuất nội bộ từ téc",DATA_GOC!$B:$B,DATE($D$2,$B$2,M$4)),0))</f>
        <v>0</v>
      </c>
      <c r="N90" s="251">
        <f>IF(N$4&gt;DAY(EOMONTH(DATE($D$2,$B$2,1),0)),"",IFERROR(SUMIFS(DATA_GOC!$H:$H,DATA_GOC!$A:$A,"BOM",DATA_GOC!$D:$D,$B90,DATA_GOC!$E:$E,"Téc 2",DATA_GOC!$F:$F,"Xuất nội bộ từ téc",DATA_GOC!$B:$B,DATE($D$2,$B$2,N$4)),0))</f>
        <v>0</v>
      </c>
      <c r="O90" s="251">
        <f>IF(O$4&gt;DAY(EOMONTH(DATE($D$2,$B$2,1),0)),"",IFERROR(SUMIFS(DATA_GOC!$H:$H,DATA_GOC!$A:$A,"BOM",DATA_GOC!$D:$D,$B90,DATA_GOC!$E:$E,"Téc 2",DATA_GOC!$F:$F,"Xuất nội bộ từ téc",DATA_GOC!$B:$B,DATE($D$2,$B$2,O$4)),0))</f>
        <v>0</v>
      </c>
      <c r="P90" s="251">
        <f>IF(P$4&gt;DAY(EOMONTH(DATE($D$2,$B$2,1),0)),"",IFERROR(SUMIFS(DATA_GOC!$H:$H,DATA_GOC!$A:$A,"BOM",DATA_GOC!$D:$D,$B90,DATA_GOC!$E:$E,"Téc 2",DATA_GOC!$F:$F,"Xuất nội bộ từ téc",DATA_GOC!$B:$B,DATE($D$2,$B$2,P$4)),0))</f>
        <v>0</v>
      </c>
      <c r="Q90" s="251">
        <f>IF(Q$4&gt;DAY(EOMONTH(DATE($D$2,$B$2,1),0)),"",IFERROR(SUMIFS(DATA_GOC!$H:$H,DATA_GOC!$A:$A,"BOM",DATA_GOC!$D:$D,$B90,DATA_GOC!$E:$E,"Téc 2",DATA_GOC!$F:$F,"Xuất nội bộ từ téc",DATA_GOC!$B:$B,DATE($D$2,$B$2,Q$4)),0))</f>
        <v>0</v>
      </c>
      <c r="R90" s="251">
        <f>IF(R$4&gt;DAY(EOMONTH(DATE($D$2,$B$2,1),0)),"",IFERROR(SUMIFS(DATA_GOC!$H:$H,DATA_GOC!$A:$A,"BOM",DATA_GOC!$D:$D,$B90,DATA_GOC!$E:$E,"Téc 2",DATA_GOC!$F:$F,"Xuất nội bộ từ téc",DATA_GOC!$B:$B,DATE($D$2,$B$2,R$4)),0))</f>
        <v>0</v>
      </c>
      <c r="S90" s="251">
        <f>IF(S$4&gt;DAY(EOMONTH(DATE($D$2,$B$2,1),0)),"",IFERROR(SUMIFS(DATA_GOC!$H:$H,DATA_GOC!$A:$A,"BOM",DATA_GOC!$D:$D,$B90,DATA_GOC!$E:$E,"Téc 2",DATA_GOC!$F:$F,"Xuất nội bộ từ téc",DATA_GOC!$B:$B,DATE($D$2,$B$2,S$4)),0))</f>
        <v>0</v>
      </c>
      <c r="T90" s="251">
        <f>IF(T$4&gt;DAY(EOMONTH(DATE($D$2,$B$2,1),0)),"",IFERROR(SUMIFS(DATA_GOC!$H:$H,DATA_GOC!$A:$A,"BOM",DATA_GOC!$D:$D,$B90,DATA_GOC!$E:$E,"Téc 2",DATA_GOC!$F:$F,"Xuất nội bộ từ téc",DATA_GOC!$B:$B,DATE($D$2,$B$2,T$4)),0))</f>
        <v>0</v>
      </c>
      <c r="U90" s="251">
        <f>IF(U$4&gt;DAY(EOMONTH(DATE($D$2,$B$2,1),0)),"",IFERROR(SUMIFS(DATA_GOC!$H:$H,DATA_GOC!$A:$A,"BOM",DATA_GOC!$D:$D,$B90,DATA_GOC!$E:$E,"Téc 2",DATA_GOC!$F:$F,"Xuất nội bộ từ téc",DATA_GOC!$B:$B,DATE($D$2,$B$2,U$4)),0))</f>
        <v>0</v>
      </c>
      <c r="V90" s="251">
        <f>IF(V$4&gt;DAY(EOMONTH(DATE($D$2,$B$2,1),0)),"",IFERROR(SUMIFS(DATA_GOC!$H:$H,DATA_GOC!$A:$A,"BOM",DATA_GOC!$D:$D,$B90,DATA_GOC!$E:$E,"Téc 2",DATA_GOC!$F:$F,"Xuất nội bộ từ téc",DATA_GOC!$B:$B,DATE($D$2,$B$2,V$4)),0))</f>
        <v>0</v>
      </c>
      <c r="W90" s="251">
        <f>IF(W$4&gt;DAY(EOMONTH(DATE($D$2,$B$2,1),0)),"",IFERROR(SUMIFS(DATA_GOC!$H:$H,DATA_GOC!$A:$A,"BOM",DATA_GOC!$D:$D,$B90,DATA_GOC!$E:$E,"Téc 2",DATA_GOC!$F:$F,"Xuất nội bộ từ téc",DATA_GOC!$B:$B,DATE($D$2,$B$2,W$4)),0))</f>
        <v>0</v>
      </c>
      <c r="X90" s="251">
        <f>IF(X$4&gt;DAY(EOMONTH(DATE($D$2,$B$2,1),0)),"",IFERROR(SUMIFS(DATA_GOC!$H:$H,DATA_GOC!$A:$A,"BOM",DATA_GOC!$D:$D,$B90,DATA_GOC!$E:$E,"Téc 2",DATA_GOC!$F:$F,"Xuất nội bộ từ téc",DATA_GOC!$B:$B,DATE($D$2,$B$2,X$4)),0))</f>
        <v>0</v>
      </c>
      <c r="Y90" s="251">
        <f>IF(Y$4&gt;DAY(EOMONTH(DATE($D$2,$B$2,1),0)),"",IFERROR(SUMIFS(DATA_GOC!$H:$H,DATA_GOC!$A:$A,"BOM",DATA_GOC!$D:$D,$B90,DATA_GOC!$E:$E,"Téc 2",DATA_GOC!$F:$F,"Xuất nội bộ từ téc",DATA_GOC!$B:$B,DATE($D$2,$B$2,Y$4)),0))</f>
        <v>0</v>
      </c>
      <c r="Z90" s="251">
        <f>IF(Z$4&gt;DAY(EOMONTH(DATE($D$2,$B$2,1),0)),"",IFERROR(SUMIFS(DATA_GOC!$H:$H,DATA_GOC!$A:$A,"BOM",DATA_GOC!$D:$D,$B90,DATA_GOC!$E:$E,"Téc 2",DATA_GOC!$F:$F,"Xuất nội bộ từ téc",DATA_GOC!$B:$B,DATE($D$2,$B$2,Z$4)),0))</f>
        <v>0</v>
      </c>
      <c r="AA90" s="251">
        <f>IF(AA$4&gt;DAY(EOMONTH(DATE($D$2,$B$2,1),0)),"",IFERROR(SUMIFS(DATA_GOC!$H:$H,DATA_GOC!$A:$A,"BOM",DATA_GOC!$D:$D,$B90,DATA_GOC!$E:$E,"Téc 2",DATA_GOC!$F:$F,"Xuất nội bộ từ téc",DATA_GOC!$B:$B,DATE($D$2,$B$2,AA$4)),0))</f>
        <v>0</v>
      </c>
      <c r="AB90" s="251">
        <f>IF(AB$4&gt;DAY(EOMONTH(DATE($D$2,$B$2,1),0)),"",IFERROR(SUMIFS(DATA_GOC!$H:$H,DATA_GOC!$A:$A,"BOM",DATA_GOC!$D:$D,$B90,DATA_GOC!$E:$E,"Téc 2",DATA_GOC!$F:$F,"Xuất nội bộ từ téc",DATA_GOC!$B:$B,DATE($D$2,$B$2,AB$4)),0))</f>
        <v>0</v>
      </c>
      <c r="AC90" s="251">
        <f>IF(AC$4&gt;DAY(EOMONTH(DATE($D$2,$B$2,1),0)),"",IFERROR(SUMIFS(DATA_GOC!$H:$H,DATA_GOC!$A:$A,"BOM",DATA_GOC!$D:$D,$B90,DATA_GOC!$E:$E,"Téc 2",DATA_GOC!$F:$F,"Xuất nội bộ từ téc",DATA_GOC!$B:$B,DATE($D$2,$B$2,AC$4)),0))</f>
        <v>0</v>
      </c>
      <c r="AD90" s="251">
        <f>IF(AD$4&gt;DAY(EOMONTH(DATE($D$2,$B$2,1),0)),"",IFERROR(SUMIFS(DATA_GOC!$H:$H,DATA_GOC!$A:$A,"BOM",DATA_GOC!$D:$D,$B90,DATA_GOC!$E:$E,"Téc 2",DATA_GOC!$F:$F,"Xuất nội bộ từ téc",DATA_GOC!$B:$B,DATE($D$2,$B$2,AD$4)),0))</f>
        <v>0</v>
      </c>
      <c r="AE90" s="251">
        <f>IF(AE$4&gt;DAY(EOMONTH(DATE($D$2,$B$2,1),0)),"",IFERROR(SUMIFS(DATA_GOC!$H:$H,DATA_GOC!$A:$A,"BOM",DATA_GOC!$D:$D,$B90,DATA_GOC!$E:$E,"Téc 2",DATA_GOC!$F:$F,"Xuất nội bộ từ téc",DATA_GOC!$B:$B,DATE($D$2,$B$2,AE$4)),0))</f>
        <v>0</v>
      </c>
      <c r="AF90" s="251">
        <f>IF(AF$4&gt;DAY(EOMONTH(DATE($D$2,$B$2,1),0)),"",IFERROR(SUMIFS(DATA_GOC!$H:$H,DATA_GOC!$A:$A,"BOM",DATA_GOC!$D:$D,$B90,DATA_GOC!$E:$E,"Téc 2",DATA_GOC!$F:$F,"Xuất nội bộ từ téc",DATA_GOC!$B:$B,DATE($D$2,$B$2,AF$4)),0))</f>
        <v>0</v>
      </c>
      <c r="AG90" s="251">
        <f>IF(AG$4&gt;DAY(EOMONTH(DATE($D$2,$B$2,1),0)),"",IFERROR(SUMIFS(DATA_GOC!$H:$H,DATA_GOC!$A:$A,"BOM",DATA_GOC!$D:$D,$B90,DATA_GOC!$E:$E,"Téc 2",DATA_GOC!$F:$F,"Xuất nội bộ từ téc",DATA_GOC!$B:$B,DATE($D$2,$B$2,AG$4)),0))</f>
        <v>0</v>
      </c>
      <c r="AH90" s="252">
        <f t="shared" si="4"/>
        <v>0</v>
      </c>
      <c r="AI90" s="241">
        <f>IFERROR(SUMIFS(DATA_GOC!$H:$H,DATA_GOC!$A:$A,"BOM",DATA_GOC!$D:$D,$B90,DATA_GOC!$E:$E,"Bơm ngoài/Hải Tân",DATA_GOC!$F:$F,"Bơm ngoài",DATA_GOC!$B:$B,"&gt;="&amp;DATE($D$2,$B$2,1),DATA_GOC!$B:$B,"&lt;="&amp;EOMONTH(DATE($D$2,$B$2,1),0)),0)</f>
        <v>0</v>
      </c>
      <c r="AJ90" s="242">
        <f>IF($B90="","",SUMIFS(TINH_TEC!$K$233:$K$9232,TINH_TEC!$H$233:$H$9232,$B90,TINH_TEC!$C$233:$C$9232,"Téc 2",TINH_TEC!$F$233:$F$9232,$B$2,TINH_TEC!$G$233:$G$9232,$D$2,TINH_TEC!$B$233:$B$9232,"Đã chốt"))</f>
        <v>0</v>
      </c>
      <c r="AK90" s="242">
        <f>IF($B90="","",SUMIFS(TINH_TEC!$J$233:$J$9232,TINH_TEC!$H$233:$H$9232,$B90,TINH_TEC!$C$233:$C$9232,"Téc 2",TINH_TEC!$F$233:$F$9232,$B$2,TINH_TEC!$G$233:$G$9232,$D$2,TINH_TEC!$B$233:$B$9232,"Đã chốt"))</f>
        <v>0</v>
      </c>
      <c r="AL90" s="242">
        <f t="shared" si="5"/>
        <v>0</v>
      </c>
    </row>
    <row r="91" ht="15.75" customHeight="1">
      <c r="A91" s="237">
        <f>IF($B91&lt;&gt;"",25,"")</f>
        <v>25</v>
      </c>
      <c r="B91" s="250" t="str">
        <f t="array" ref="B91">IFERROR(INDEX(DANH_MUC!$E:$E,28),"")</f>
        <v>28C04576</v>
      </c>
      <c r="C91" s="251">
        <f>IF(C$4&gt;DAY(EOMONTH(DATE($D$2,$B$2,1),0)),"",IFERROR(SUMIFS(DATA_GOC!$H:$H,DATA_GOC!$A:$A,"BOM",DATA_GOC!$D:$D,$B91,DATA_GOC!$E:$E,"Téc 2",DATA_GOC!$F:$F,"Xuất nội bộ từ téc",DATA_GOC!$B:$B,DATE($D$2,$B$2,C$4)),0))</f>
        <v>0</v>
      </c>
      <c r="D91" s="251">
        <f>IF(D$4&gt;DAY(EOMONTH(DATE($D$2,$B$2,1),0)),"",IFERROR(SUMIFS(DATA_GOC!$H:$H,DATA_GOC!$A:$A,"BOM",DATA_GOC!$D:$D,$B91,DATA_GOC!$E:$E,"Téc 2",DATA_GOC!$F:$F,"Xuất nội bộ từ téc",DATA_GOC!$B:$B,DATE($D$2,$B$2,D$4)),0))</f>
        <v>0</v>
      </c>
      <c r="E91" s="251">
        <f>IF(E$4&gt;DAY(EOMONTH(DATE($D$2,$B$2,1),0)),"",IFERROR(SUMIFS(DATA_GOC!$H:$H,DATA_GOC!$A:$A,"BOM",DATA_GOC!$D:$D,$B91,DATA_GOC!$E:$E,"Téc 2",DATA_GOC!$F:$F,"Xuất nội bộ từ téc",DATA_GOC!$B:$B,DATE($D$2,$B$2,E$4)),0))</f>
        <v>0</v>
      </c>
      <c r="F91" s="251">
        <f>IF(F$4&gt;DAY(EOMONTH(DATE($D$2,$B$2,1),0)),"",IFERROR(SUMIFS(DATA_GOC!$H:$H,DATA_GOC!$A:$A,"BOM",DATA_GOC!$D:$D,$B91,DATA_GOC!$E:$E,"Téc 2",DATA_GOC!$F:$F,"Xuất nội bộ từ téc",DATA_GOC!$B:$B,DATE($D$2,$B$2,F$4)),0))</f>
        <v>223</v>
      </c>
      <c r="G91" s="251">
        <f>IF(G$4&gt;DAY(EOMONTH(DATE($D$2,$B$2,1),0)),"",IFERROR(SUMIFS(DATA_GOC!$H:$H,DATA_GOC!$A:$A,"BOM",DATA_GOC!$D:$D,$B91,DATA_GOC!$E:$E,"Téc 2",DATA_GOC!$F:$F,"Xuất nội bộ từ téc",DATA_GOC!$B:$B,DATE($D$2,$B$2,G$4)),0))</f>
        <v>0</v>
      </c>
      <c r="H91" s="251">
        <f>IF(H$4&gt;DAY(EOMONTH(DATE($D$2,$B$2,1),0)),"",IFERROR(SUMIFS(DATA_GOC!$H:$H,DATA_GOC!$A:$A,"BOM",DATA_GOC!$D:$D,$B91,DATA_GOC!$E:$E,"Téc 2",DATA_GOC!$F:$F,"Xuất nội bộ từ téc",DATA_GOC!$B:$B,DATE($D$2,$B$2,H$4)),0))</f>
        <v>0</v>
      </c>
      <c r="I91" s="251">
        <f>IF(I$4&gt;DAY(EOMONTH(DATE($D$2,$B$2,1),0)),"",IFERROR(SUMIFS(DATA_GOC!$H:$H,DATA_GOC!$A:$A,"BOM",DATA_GOC!$D:$D,$B91,DATA_GOC!$E:$E,"Téc 2",DATA_GOC!$F:$F,"Xuất nội bộ từ téc",DATA_GOC!$B:$B,DATE($D$2,$B$2,I$4)),0))</f>
        <v>0</v>
      </c>
      <c r="J91" s="251">
        <f>IF(J$4&gt;DAY(EOMONTH(DATE($D$2,$B$2,1),0)),"",IFERROR(SUMIFS(DATA_GOC!$H:$H,DATA_GOC!$A:$A,"BOM",DATA_GOC!$D:$D,$B91,DATA_GOC!$E:$E,"Téc 2",DATA_GOC!$F:$F,"Xuất nội bộ từ téc",DATA_GOC!$B:$B,DATE($D$2,$B$2,J$4)),0))</f>
        <v>0</v>
      </c>
      <c r="K91" s="251">
        <f>IF(K$4&gt;DAY(EOMONTH(DATE($D$2,$B$2,1),0)),"",IFERROR(SUMIFS(DATA_GOC!$H:$H,DATA_GOC!$A:$A,"BOM",DATA_GOC!$D:$D,$B91,DATA_GOC!$E:$E,"Téc 2",DATA_GOC!$F:$F,"Xuất nội bộ từ téc",DATA_GOC!$B:$B,DATE($D$2,$B$2,K$4)),0))</f>
        <v>0</v>
      </c>
      <c r="L91" s="251">
        <f>IF(L$4&gt;DAY(EOMONTH(DATE($D$2,$B$2,1),0)),"",IFERROR(SUMIFS(DATA_GOC!$H:$H,DATA_GOC!$A:$A,"BOM",DATA_GOC!$D:$D,$B91,DATA_GOC!$E:$E,"Téc 2",DATA_GOC!$F:$F,"Xuất nội bộ từ téc",DATA_GOC!$B:$B,DATE($D$2,$B$2,L$4)),0))</f>
        <v>0</v>
      </c>
      <c r="M91" s="251">
        <f>IF(M$4&gt;DAY(EOMONTH(DATE($D$2,$B$2,1),0)),"",IFERROR(SUMIFS(DATA_GOC!$H:$H,DATA_GOC!$A:$A,"BOM",DATA_GOC!$D:$D,$B91,DATA_GOC!$E:$E,"Téc 2",DATA_GOC!$F:$F,"Xuất nội bộ từ téc",DATA_GOC!$B:$B,DATE($D$2,$B$2,M$4)),0))</f>
        <v>0</v>
      </c>
      <c r="N91" s="251">
        <f>IF(N$4&gt;DAY(EOMONTH(DATE($D$2,$B$2,1),0)),"",IFERROR(SUMIFS(DATA_GOC!$H:$H,DATA_GOC!$A:$A,"BOM",DATA_GOC!$D:$D,$B91,DATA_GOC!$E:$E,"Téc 2",DATA_GOC!$F:$F,"Xuất nội bộ từ téc",DATA_GOC!$B:$B,DATE($D$2,$B$2,N$4)),0))</f>
        <v>0</v>
      </c>
      <c r="O91" s="251">
        <f>IF(O$4&gt;DAY(EOMONTH(DATE($D$2,$B$2,1),0)),"",IFERROR(SUMIFS(DATA_GOC!$H:$H,DATA_GOC!$A:$A,"BOM",DATA_GOC!$D:$D,$B91,DATA_GOC!$E:$E,"Téc 2",DATA_GOC!$F:$F,"Xuất nội bộ từ téc",DATA_GOC!$B:$B,DATE($D$2,$B$2,O$4)),0))</f>
        <v>0</v>
      </c>
      <c r="P91" s="251">
        <f>IF(P$4&gt;DAY(EOMONTH(DATE($D$2,$B$2,1),0)),"",IFERROR(SUMIFS(DATA_GOC!$H:$H,DATA_GOC!$A:$A,"BOM",DATA_GOC!$D:$D,$B91,DATA_GOC!$E:$E,"Téc 2",DATA_GOC!$F:$F,"Xuất nội bộ từ téc",DATA_GOC!$B:$B,DATE($D$2,$B$2,P$4)),0))</f>
        <v>0</v>
      </c>
      <c r="Q91" s="251">
        <f>IF(Q$4&gt;DAY(EOMONTH(DATE($D$2,$B$2,1),0)),"",IFERROR(SUMIFS(DATA_GOC!$H:$H,DATA_GOC!$A:$A,"BOM",DATA_GOC!$D:$D,$B91,DATA_GOC!$E:$E,"Téc 2",DATA_GOC!$F:$F,"Xuất nội bộ từ téc",DATA_GOC!$B:$B,DATE($D$2,$B$2,Q$4)),0))</f>
        <v>0</v>
      </c>
      <c r="R91" s="251">
        <f>IF(R$4&gt;DAY(EOMONTH(DATE($D$2,$B$2,1),0)),"",IFERROR(SUMIFS(DATA_GOC!$H:$H,DATA_GOC!$A:$A,"BOM",DATA_GOC!$D:$D,$B91,DATA_GOC!$E:$E,"Téc 2",DATA_GOC!$F:$F,"Xuất nội bộ từ téc",DATA_GOC!$B:$B,DATE($D$2,$B$2,R$4)),0))</f>
        <v>0</v>
      </c>
      <c r="S91" s="251">
        <f>IF(S$4&gt;DAY(EOMONTH(DATE($D$2,$B$2,1),0)),"",IFERROR(SUMIFS(DATA_GOC!$H:$H,DATA_GOC!$A:$A,"BOM",DATA_GOC!$D:$D,$B91,DATA_GOC!$E:$E,"Téc 2",DATA_GOC!$F:$F,"Xuất nội bộ từ téc",DATA_GOC!$B:$B,DATE($D$2,$B$2,S$4)),0))</f>
        <v>0</v>
      </c>
      <c r="T91" s="251">
        <f>IF(T$4&gt;DAY(EOMONTH(DATE($D$2,$B$2,1),0)),"",IFERROR(SUMIFS(DATA_GOC!$H:$H,DATA_GOC!$A:$A,"BOM",DATA_GOC!$D:$D,$B91,DATA_GOC!$E:$E,"Téc 2",DATA_GOC!$F:$F,"Xuất nội bộ từ téc",DATA_GOC!$B:$B,DATE($D$2,$B$2,T$4)),0))</f>
        <v>0</v>
      </c>
      <c r="U91" s="251">
        <f>IF(U$4&gt;DAY(EOMONTH(DATE($D$2,$B$2,1),0)),"",IFERROR(SUMIFS(DATA_GOC!$H:$H,DATA_GOC!$A:$A,"BOM",DATA_GOC!$D:$D,$B91,DATA_GOC!$E:$E,"Téc 2",DATA_GOC!$F:$F,"Xuất nội bộ từ téc",DATA_GOC!$B:$B,DATE($D$2,$B$2,U$4)),0))</f>
        <v>0</v>
      </c>
      <c r="V91" s="251">
        <f>IF(V$4&gt;DAY(EOMONTH(DATE($D$2,$B$2,1),0)),"",IFERROR(SUMIFS(DATA_GOC!$H:$H,DATA_GOC!$A:$A,"BOM",DATA_GOC!$D:$D,$B91,DATA_GOC!$E:$E,"Téc 2",DATA_GOC!$F:$F,"Xuất nội bộ từ téc",DATA_GOC!$B:$B,DATE($D$2,$B$2,V$4)),0))</f>
        <v>0</v>
      </c>
      <c r="W91" s="251">
        <f>IF(W$4&gt;DAY(EOMONTH(DATE($D$2,$B$2,1),0)),"",IFERROR(SUMIFS(DATA_GOC!$H:$H,DATA_GOC!$A:$A,"BOM",DATA_GOC!$D:$D,$B91,DATA_GOC!$E:$E,"Téc 2",DATA_GOC!$F:$F,"Xuất nội bộ từ téc",DATA_GOC!$B:$B,DATE($D$2,$B$2,W$4)),0))</f>
        <v>0</v>
      </c>
      <c r="X91" s="251">
        <f>IF(X$4&gt;DAY(EOMONTH(DATE($D$2,$B$2,1),0)),"",IFERROR(SUMIFS(DATA_GOC!$H:$H,DATA_GOC!$A:$A,"BOM",DATA_GOC!$D:$D,$B91,DATA_GOC!$E:$E,"Téc 2",DATA_GOC!$F:$F,"Xuất nội bộ từ téc",DATA_GOC!$B:$B,DATE($D$2,$B$2,X$4)),0))</f>
        <v>0</v>
      </c>
      <c r="Y91" s="251">
        <f>IF(Y$4&gt;DAY(EOMONTH(DATE($D$2,$B$2,1),0)),"",IFERROR(SUMIFS(DATA_GOC!$H:$H,DATA_GOC!$A:$A,"BOM",DATA_GOC!$D:$D,$B91,DATA_GOC!$E:$E,"Téc 2",DATA_GOC!$F:$F,"Xuất nội bộ từ téc",DATA_GOC!$B:$B,DATE($D$2,$B$2,Y$4)),0))</f>
        <v>0</v>
      </c>
      <c r="Z91" s="251">
        <f>IF(Z$4&gt;DAY(EOMONTH(DATE($D$2,$B$2,1),0)),"",IFERROR(SUMIFS(DATA_GOC!$H:$H,DATA_GOC!$A:$A,"BOM",DATA_GOC!$D:$D,$B91,DATA_GOC!$E:$E,"Téc 2",DATA_GOC!$F:$F,"Xuất nội bộ từ téc",DATA_GOC!$B:$B,DATE($D$2,$B$2,Z$4)),0))</f>
        <v>0</v>
      </c>
      <c r="AA91" s="251">
        <f>IF(AA$4&gt;DAY(EOMONTH(DATE($D$2,$B$2,1),0)),"",IFERROR(SUMIFS(DATA_GOC!$H:$H,DATA_GOC!$A:$A,"BOM",DATA_GOC!$D:$D,$B91,DATA_GOC!$E:$E,"Téc 2",DATA_GOC!$F:$F,"Xuất nội bộ từ téc",DATA_GOC!$B:$B,DATE($D$2,$B$2,AA$4)),0))</f>
        <v>0</v>
      </c>
      <c r="AB91" s="251">
        <f>IF(AB$4&gt;DAY(EOMONTH(DATE($D$2,$B$2,1),0)),"",IFERROR(SUMIFS(DATA_GOC!$H:$H,DATA_GOC!$A:$A,"BOM",DATA_GOC!$D:$D,$B91,DATA_GOC!$E:$E,"Téc 2",DATA_GOC!$F:$F,"Xuất nội bộ từ téc",DATA_GOC!$B:$B,DATE($D$2,$B$2,AB$4)),0))</f>
        <v>0</v>
      </c>
      <c r="AC91" s="251">
        <f>IF(AC$4&gt;DAY(EOMONTH(DATE($D$2,$B$2,1),0)),"",IFERROR(SUMIFS(DATA_GOC!$H:$H,DATA_GOC!$A:$A,"BOM",DATA_GOC!$D:$D,$B91,DATA_GOC!$E:$E,"Téc 2",DATA_GOC!$F:$F,"Xuất nội bộ từ téc",DATA_GOC!$B:$B,DATE($D$2,$B$2,AC$4)),0))</f>
        <v>0</v>
      </c>
      <c r="AD91" s="251">
        <f>IF(AD$4&gt;DAY(EOMONTH(DATE($D$2,$B$2,1),0)),"",IFERROR(SUMIFS(DATA_GOC!$H:$H,DATA_GOC!$A:$A,"BOM",DATA_GOC!$D:$D,$B91,DATA_GOC!$E:$E,"Téc 2",DATA_GOC!$F:$F,"Xuất nội bộ từ téc",DATA_GOC!$B:$B,DATE($D$2,$B$2,AD$4)),0))</f>
        <v>0</v>
      </c>
      <c r="AE91" s="251">
        <f>IF(AE$4&gt;DAY(EOMONTH(DATE($D$2,$B$2,1),0)),"",IFERROR(SUMIFS(DATA_GOC!$H:$H,DATA_GOC!$A:$A,"BOM",DATA_GOC!$D:$D,$B91,DATA_GOC!$E:$E,"Téc 2",DATA_GOC!$F:$F,"Xuất nội bộ từ téc",DATA_GOC!$B:$B,DATE($D$2,$B$2,AE$4)),0))</f>
        <v>0</v>
      </c>
      <c r="AF91" s="251">
        <f>IF(AF$4&gt;DAY(EOMONTH(DATE($D$2,$B$2,1),0)),"",IFERROR(SUMIFS(DATA_GOC!$H:$H,DATA_GOC!$A:$A,"BOM",DATA_GOC!$D:$D,$B91,DATA_GOC!$E:$E,"Téc 2",DATA_GOC!$F:$F,"Xuất nội bộ từ téc",DATA_GOC!$B:$B,DATE($D$2,$B$2,AF$4)),0))</f>
        <v>0</v>
      </c>
      <c r="AG91" s="251">
        <f>IF(AG$4&gt;DAY(EOMONTH(DATE($D$2,$B$2,1),0)),"",IFERROR(SUMIFS(DATA_GOC!$H:$H,DATA_GOC!$A:$A,"BOM",DATA_GOC!$D:$D,$B91,DATA_GOC!$E:$E,"Téc 2",DATA_GOC!$F:$F,"Xuất nội bộ từ téc",DATA_GOC!$B:$B,DATE($D$2,$B$2,AG$4)),0))</f>
        <v>0</v>
      </c>
      <c r="AH91" s="252">
        <f t="shared" si="4"/>
        <v>223</v>
      </c>
      <c r="AI91" s="241">
        <f>IFERROR(SUMIFS(DATA_GOC!$H:$H,DATA_GOC!$A:$A,"BOM",DATA_GOC!$D:$D,$B91,DATA_GOC!$E:$E,"Bơm ngoài/Hải Tân",DATA_GOC!$F:$F,"Bơm ngoài",DATA_GOC!$B:$B,"&gt;="&amp;DATE($D$2,$B$2,1),DATA_GOC!$B:$B,"&lt;="&amp;EOMONTH(DATE($D$2,$B$2,1),0)),0)</f>
        <v>0</v>
      </c>
      <c r="AJ91" s="242">
        <f>IF($B91="","",SUMIFS(TINH_TEC!$K$233:$K$9232,TINH_TEC!$H$233:$H$9232,$B91,TINH_TEC!$C$233:$C$9232,"Téc 2",TINH_TEC!$F$233:$F$9232,$B$2,TINH_TEC!$G$233:$G$9232,$D$2,TINH_TEC!$B$233:$B$9232,"Đã chốt"))</f>
        <v>0</v>
      </c>
      <c r="AK91" s="242">
        <f>IF($B91="","",SUMIFS(TINH_TEC!$J$233:$J$9232,TINH_TEC!$H$233:$H$9232,$B91,TINH_TEC!$C$233:$C$9232,"Téc 2",TINH_TEC!$F$233:$F$9232,$B$2,TINH_TEC!$G$233:$G$9232,$D$2,TINH_TEC!$B$233:$B$9232,"Đã chốt"))</f>
        <v>38.731</v>
      </c>
      <c r="AL91" s="242">
        <f t="shared" si="5"/>
        <v>261.731</v>
      </c>
    </row>
    <row r="92" ht="15.75" customHeight="1">
      <c r="A92" s="237">
        <f>IF($B92&lt;&gt;"",26,"")</f>
        <v>26</v>
      </c>
      <c r="B92" s="250" t="str">
        <f t="array" ref="B92">IFERROR(INDEX(DANH_MUC!$E:$E,29),"")</f>
        <v>28C05090</v>
      </c>
      <c r="C92" s="251">
        <f>IF(C$4&gt;DAY(EOMONTH(DATE($D$2,$B$2,1),0)),"",IFERROR(SUMIFS(DATA_GOC!$H:$H,DATA_GOC!$A:$A,"BOM",DATA_GOC!$D:$D,$B92,DATA_GOC!$E:$E,"Téc 2",DATA_GOC!$F:$F,"Xuất nội bộ từ téc",DATA_GOC!$B:$B,DATE($D$2,$B$2,C$4)),0))</f>
        <v>0</v>
      </c>
      <c r="D92" s="251">
        <f>IF(D$4&gt;DAY(EOMONTH(DATE($D$2,$B$2,1),0)),"",IFERROR(SUMIFS(DATA_GOC!$H:$H,DATA_GOC!$A:$A,"BOM",DATA_GOC!$D:$D,$B92,DATA_GOC!$E:$E,"Téc 2",DATA_GOC!$F:$F,"Xuất nội bộ từ téc",DATA_GOC!$B:$B,DATE($D$2,$B$2,D$4)),0))</f>
        <v>0</v>
      </c>
      <c r="E92" s="251">
        <f>IF(E$4&gt;DAY(EOMONTH(DATE($D$2,$B$2,1),0)),"",IFERROR(SUMIFS(DATA_GOC!$H:$H,DATA_GOC!$A:$A,"BOM",DATA_GOC!$D:$D,$B92,DATA_GOC!$E:$E,"Téc 2",DATA_GOC!$F:$F,"Xuất nội bộ từ téc",DATA_GOC!$B:$B,DATE($D$2,$B$2,E$4)),0))</f>
        <v>0</v>
      </c>
      <c r="F92" s="251">
        <f>IF(F$4&gt;DAY(EOMONTH(DATE($D$2,$B$2,1),0)),"",IFERROR(SUMIFS(DATA_GOC!$H:$H,DATA_GOC!$A:$A,"BOM",DATA_GOC!$D:$D,$B92,DATA_GOC!$E:$E,"Téc 2",DATA_GOC!$F:$F,"Xuất nội bộ từ téc",DATA_GOC!$B:$B,DATE($D$2,$B$2,F$4)),0))</f>
        <v>0</v>
      </c>
      <c r="G92" s="251">
        <f>IF(G$4&gt;DAY(EOMONTH(DATE($D$2,$B$2,1),0)),"",IFERROR(SUMIFS(DATA_GOC!$H:$H,DATA_GOC!$A:$A,"BOM",DATA_GOC!$D:$D,$B92,DATA_GOC!$E:$E,"Téc 2",DATA_GOC!$F:$F,"Xuất nội bộ từ téc",DATA_GOC!$B:$B,DATE($D$2,$B$2,G$4)),0))</f>
        <v>0</v>
      </c>
      <c r="H92" s="251">
        <f>IF(H$4&gt;DAY(EOMONTH(DATE($D$2,$B$2,1),0)),"",IFERROR(SUMIFS(DATA_GOC!$H:$H,DATA_GOC!$A:$A,"BOM",DATA_GOC!$D:$D,$B92,DATA_GOC!$E:$E,"Téc 2",DATA_GOC!$F:$F,"Xuất nội bộ từ téc",DATA_GOC!$B:$B,DATE($D$2,$B$2,H$4)),0))</f>
        <v>0</v>
      </c>
      <c r="I92" s="251">
        <f>IF(I$4&gt;DAY(EOMONTH(DATE($D$2,$B$2,1),0)),"",IFERROR(SUMIFS(DATA_GOC!$H:$H,DATA_GOC!$A:$A,"BOM",DATA_GOC!$D:$D,$B92,DATA_GOC!$E:$E,"Téc 2",DATA_GOC!$F:$F,"Xuất nội bộ từ téc",DATA_GOC!$B:$B,DATE($D$2,$B$2,I$4)),0))</f>
        <v>0</v>
      </c>
      <c r="J92" s="251">
        <f>IF(J$4&gt;DAY(EOMONTH(DATE($D$2,$B$2,1),0)),"",IFERROR(SUMIFS(DATA_GOC!$H:$H,DATA_GOC!$A:$A,"BOM",DATA_GOC!$D:$D,$B92,DATA_GOC!$E:$E,"Téc 2",DATA_GOC!$F:$F,"Xuất nội bộ từ téc",DATA_GOC!$B:$B,DATE($D$2,$B$2,J$4)),0))</f>
        <v>0</v>
      </c>
      <c r="K92" s="251">
        <f>IF(K$4&gt;DAY(EOMONTH(DATE($D$2,$B$2,1),0)),"",IFERROR(SUMIFS(DATA_GOC!$H:$H,DATA_GOC!$A:$A,"BOM",DATA_GOC!$D:$D,$B92,DATA_GOC!$E:$E,"Téc 2",DATA_GOC!$F:$F,"Xuất nội bộ từ téc",DATA_GOC!$B:$B,DATE($D$2,$B$2,K$4)),0))</f>
        <v>0</v>
      </c>
      <c r="L92" s="251">
        <f>IF(L$4&gt;DAY(EOMONTH(DATE($D$2,$B$2,1),0)),"",IFERROR(SUMIFS(DATA_GOC!$H:$H,DATA_GOC!$A:$A,"BOM",DATA_GOC!$D:$D,$B92,DATA_GOC!$E:$E,"Téc 2",DATA_GOC!$F:$F,"Xuất nội bộ từ téc",DATA_GOC!$B:$B,DATE($D$2,$B$2,L$4)),0))</f>
        <v>0</v>
      </c>
      <c r="M92" s="251">
        <f>IF(M$4&gt;DAY(EOMONTH(DATE($D$2,$B$2,1),0)),"",IFERROR(SUMIFS(DATA_GOC!$H:$H,DATA_GOC!$A:$A,"BOM",DATA_GOC!$D:$D,$B92,DATA_GOC!$E:$E,"Téc 2",DATA_GOC!$F:$F,"Xuất nội bộ từ téc",DATA_GOC!$B:$B,DATE($D$2,$B$2,M$4)),0))</f>
        <v>0</v>
      </c>
      <c r="N92" s="251">
        <f>IF(N$4&gt;DAY(EOMONTH(DATE($D$2,$B$2,1),0)),"",IFERROR(SUMIFS(DATA_GOC!$H:$H,DATA_GOC!$A:$A,"BOM",DATA_GOC!$D:$D,$B92,DATA_GOC!$E:$E,"Téc 2",DATA_GOC!$F:$F,"Xuất nội bộ từ téc",DATA_GOC!$B:$B,DATE($D$2,$B$2,N$4)),0))</f>
        <v>0</v>
      </c>
      <c r="O92" s="251">
        <f>IF(O$4&gt;DAY(EOMONTH(DATE($D$2,$B$2,1),0)),"",IFERROR(SUMIFS(DATA_GOC!$H:$H,DATA_GOC!$A:$A,"BOM",DATA_GOC!$D:$D,$B92,DATA_GOC!$E:$E,"Téc 2",DATA_GOC!$F:$F,"Xuất nội bộ từ téc",DATA_GOC!$B:$B,DATE($D$2,$B$2,O$4)),0))</f>
        <v>0</v>
      </c>
      <c r="P92" s="251">
        <f>IF(P$4&gt;DAY(EOMONTH(DATE($D$2,$B$2,1),0)),"",IFERROR(SUMIFS(DATA_GOC!$H:$H,DATA_GOC!$A:$A,"BOM",DATA_GOC!$D:$D,$B92,DATA_GOC!$E:$E,"Téc 2",DATA_GOC!$F:$F,"Xuất nội bộ từ téc",DATA_GOC!$B:$B,DATE($D$2,$B$2,P$4)),0))</f>
        <v>0</v>
      </c>
      <c r="Q92" s="251">
        <f>IF(Q$4&gt;DAY(EOMONTH(DATE($D$2,$B$2,1),0)),"",IFERROR(SUMIFS(DATA_GOC!$H:$H,DATA_GOC!$A:$A,"BOM",DATA_GOC!$D:$D,$B92,DATA_GOC!$E:$E,"Téc 2",DATA_GOC!$F:$F,"Xuất nội bộ từ téc",DATA_GOC!$B:$B,DATE($D$2,$B$2,Q$4)),0))</f>
        <v>0</v>
      </c>
      <c r="R92" s="251">
        <f>IF(R$4&gt;DAY(EOMONTH(DATE($D$2,$B$2,1),0)),"",IFERROR(SUMIFS(DATA_GOC!$H:$H,DATA_GOC!$A:$A,"BOM",DATA_GOC!$D:$D,$B92,DATA_GOC!$E:$E,"Téc 2",DATA_GOC!$F:$F,"Xuất nội bộ từ téc",DATA_GOC!$B:$B,DATE($D$2,$B$2,R$4)),0))</f>
        <v>0</v>
      </c>
      <c r="S92" s="251">
        <f>IF(S$4&gt;DAY(EOMONTH(DATE($D$2,$B$2,1),0)),"",IFERROR(SUMIFS(DATA_GOC!$H:$H,DATA_GOC!$A:$A,"BOM",DATA_GOC!$D:$D,$B92,DATA_GOC!$E:$E,"Téc 2",DATA_GOC!$F:$F,"Xuất nội bộ từ téc",DATA_GOC!$B:$B,DATE($D$2,$B$2,S$4)),0))</f>
        <v>0</v>
      </c>
      <c r="T92" s="251">
        <f>IF(T$4&gt;DAY(EOMONTH(DATE($D$2,$B$2,1),0)),"",IFERROR(SUMIFS(DATA_GOC!$H:$H,DATA_GOC!$A:$A,"BOM",DATA_GOC!$D:$D,$B92,DATA_GOC!$E:$E,"Téc 2",DATA_GOC!$F:$F,"Xuất nội bộ từ téc",DATA_GOC!$B:$B,DATE($D$2,$B$2,T$4)),0))</f>
        <v>0</v>
      </c>
      <c r="U92" s="251">
        <f>IF(U$4&gt;DAY(EOMONTH(DATE($D$2,$B$2,1),0)),"",IFERROR(SUMIFS(DATA_GOC!$H:$H,DATA_GOC!$A:$A,"BOM",DATA_GOC!$D:$D,$B92,DATA_GOC!$E:$E,"Téc 2",DATA_GOC!$F:$F,"Xuất nội bộ từ téc",DATA_GOC!$B:$B,DATE($D$2,$B$2,U$4)),0))</f>
        <v>0</v>
      </c>
      <c r="V92" s="251">
        <f>IF(V$4&gt;DAY(EOMONTH(DATE($D$2,$B$2,1),0)),"",IFERROR(SUMIFS(DATA_GOC!$H:$H,DATA_GOC!$A:$A,"BOM",DATA_GOC!$D:$D,$B92,DATA_GOC!$E:$E,"Téc 2",DATA_GOC!$F:$F,"Xuất nội bộ từ téc",DATA_GOC!$B:$B,DATE($D$2,$B$2,V$4)),0))</f>
        <v>0</v>
      </c>
      <c r="W92" s="251">
        <f>IF(W$4&gt;DAY(EOMONTH(DATE($D$2,$B$2,1),0)),"",IFERROR(SUMIFS(DATA_GOC!$H:$H,DATA_GOC!$A:$A,"BOM",DATA_GOC!$D:$D,$B92,DATA_GOC!$E:$E,"Téc 2",DATA_GOC!$F:$F,"Xuất nội bộ từ téc",DATA_GOC!$B:$B,DATE($D$2,$B$2,W$4)),0))</f>
        <v>0</v>
      </c>
      <c r="X92" s="251">
        <f>IF(X$4&gt;DAY(EOMONTH(DATE($D$2,$B$2,1),0)),"",IFERROR(SUMIFS(DATA_GOC!$H:$H,DATA_GOC!$A:$A,"BOM",DATA_GOC!$D:$D,$B92,DATA_GOC!$E:$E,"Téc 2",DATA_GOC!$F:$F,"Xuất nội bộ từ téc",DATA_GOC!$B:$B,DATE($D$2,$B$2,X$4)),0))</f>
        <v>0</v>
      </c>
      <c r="Y92" s="251">
        <f>IF(Y$4&gt;DAY(EOMONTH(DATE($D$2,$B$2,1),0)),"",IFERROR(SUMIFS(DATA_GOC!$H:$H,DATA_GOC!$A:$A,"BOM",DATA_GOC!$D:$D,$B92,DATA_GOC!$E:$E,"Téc 2",DATA_GOC!$F:$F,"Xuất nội bộ từ téc",DATA_GOC!$B:$B,DATE($D$2,$B$2,Y$4)),0))</f>
        <v>0</v>
      </c>
      <c r="Z92" s="251">
        <f>IF(Z$4&gt;DAY(EOMONTH(DATE($D$2,$B$2,1),0)),"",IFERROR(SUMIFS(DATA_GOC!$H:$H,DATA_GOC!$A:$A,"BOM",DATA_GOC!$D:$D,$B92,DATA_GOC!$E:$E,"Téc 2",DATA_GOC!$F:$F,"Xuất nội bộ từ téc",DATA_GOC!$B:$B,DATE($D$2,$B$2,Z$4)),0))</f>
        <v>0</v>
      </c>
      <c r="AA92" s="251">
        <f>IF(AA$4&gt;DAY(EOMONTH(DATE($D$2,$B$2,1),0)),"",IFERROR(SUMIFS(DATA_GOC!$H:$H,DATA_GOC!$A:$A,"BOM",DATA_GOC!$D:$D,$B92,DATA_GOC!$E:$E,"Téc 2",DATA_GOC!$F:$F,"Xuất nội bộ từ téc",DATA_GOC!$B:$B,DATE($D$2,$B$2,AA$4)),0))</f>
        <v>0</v>
      </c>
      <c r="AB92" s="251">
        <f>IF(AB$4&gt;DAY(EOMONTH(DATE($D$2,$B$2,1),0)),"",IFERROR(SUMIFS(DATA_GOC!$H:$H,DATA_GOC!$A:$A,"BOM",DATA_GOC!$D:$D,$B92,DATA_GOC!$E:$E,"Téc 2",DATA_GOC!$F:$F,"Xuất nội bộ từ téc",DATA_GOC!$B:$B,DATE($D$2,$B$2,AB$4)),0))</f>
        <v>0</v>
      </c>
      <c r="AC92" s="251">
        <f>IF(AC$4&gt;DAY(EOMONTH(DATE($D$2,$B$2,1),0)),"",IFERROR(SUMIFS(DATA_GOC!$H:$H,DATA_GOC!$A:$A,"BOM",DATA_GOC!$D:$D,$B92,DATA_GOC!$E:$E,"Téc 2",DATA_GOC!$F:$F,"Xuất nội bộ từ téc",DATA_GOC!$B:$B,DATE($D$2,$B$2,AC$4)),0))</f>
        <v>0</v>
      </c>
      <c r="AD92" s="251">
        <f>IF(AD$4&gt;DAY(EOMONTH(DATE($D$2,$B$2,1),0)),"",IFERROR(SUMIFS(DATA_GOC!$H:$H,DATA_GOC!$A:$A,"BOM",DATA_GOC!$D:$D,$B92,DATA_GOC!$E:$E,"Téc 2",DATA_GOC!$F:$F,"Xuất nội bộ từ téc",DATA_GOC!$B:$B,DATE($D$2,$B$2,AD$4)),0))</f>
        <v>0</v>
      </c>
      <c r="AE92" s="251">
        <f>IF(AE$4&gt;DAY(EOMONTH(DATE($D$2,$B$2,1),0)),"",IFERROR(SUMIFS(DATA_GOC!$H:$H,DATA_GOC!$A:$A,"BOM",DATA_GOC!$D:$D,$B92,DATA_GOC!$E:$E,"Téc 2",DATA_GOC!$F:$F,"Xuất nội bộ từ téc",DATA_GOC!$B:$B,DATE($D$2,$B$2,AE$4)),0))</f>
        <v>0</v>
      </c>
      <c r="AF92" s="251">
        <f>IF(AF$4&gt;DAY(EOMONTH(DATE($D$2,$B$2,1),0)),"",IFERROR(SUMIFS(DATA_GOC!$H:$H,DATA_GOC!$A:$A,"BOM",DATA_GOC!$D:$D,$B92,DATA_GOC!$E:$E,"Téc 2",DATA_GOC!$F:$F,"Xuất nội bộ từ téc",DATA_GOC!$B:$B,DATE($D$2,$B$2,AF$4)),0))</f>
        <v>0</v>
      </c>
      <c r="AG92" s="251">
        <f>IF(AG$4&gt;DAY(EOMONTH(DATE($D$2,$B$2,1),0)),"",IFERROR(SUMIFS(DATA_GOC!$H:$H,DATA_GOC!$A:$A,"BOM",DATA_GOC!$D:$D,$B92,DATA_GOC!$E:$E,"Téc 2",DATA_GOC!$F:$F,"Xuất nội bộ từ téc",DATA_GOC!$B:$B,DATE($D$2,$B$2,AG$4)),0))</f>
        <v>0</v>
      </c>
      <c r="AH92" s="252">
        <f t="shared" si="4"/>
        <v>0</v>
      </c>
      <c r="AI92" s="241">
        <f>IFERROR(SUMIFS(DATA_GOC!$H:$H,DATA_GOC!$A:$A,"BOM",DATA_GOC!$D:$D,$B92,DATA_GOC!$E:$E,"Bơm ngoài/Hải Tân",DATA_GOC!$F:$F,"Bơm ngoài",DATA_GOC!$B:$B,"&gt;="&amp;DATE($D$2,$B$2,1),DATA_GOC!$B:$B,"&lt;="&amp;EOMONTH(DATE($D$2,$B$2,1),0)),0)</f>
        <v>0</v>
      </c>
      <c r="AJ92" s="242">
        <f>IF($B92="","",SUMIFS(TINH_TEC!$K$233:$K$9232,TINH_TEC!$H$233:$H$9232,$B92,TINH_TEC!$C$233:$C$9232,"Téc 2",TINH_TEC!$F$233:$F$9232,$B$2,TINH_TEC!$G$233:$G$9232,$D$2,TINH_TEC!$B$233:$B$9232,"Đã chốt"))</f>
        <v>0</v>
      </c>
      <c r="AK92" s="242">
        <f>IF($B92="","",SUMIFS(TINH_TEC!$J$233:$J$9232,TINH_TEC!$H$233:$H$9232,$B92,TINH_TEC!$C$233:$C$9232,"Téc 2",TINH_TEC!$F$233:$F$9232,$B$2,TINH_TEC!$G$233:$G$9232,$D$2,TINH_TEC!$B$233:$B$9232,"Đã chốt"))</f>
        <v>0</v>
      </c>
      <c r="AL92" s="242">
        <f t="shared" si="5"/>
        <v>0</v>
      </c>
    </row>
    <row r="93" ht="15.75" customHeight="1">
      <c r="A93" s="237">
        <f>IF($B93&lt;&gt;"",27,"")</f>
        <v>27</v>
      </c>
      <c r="B93" s="250" t="str">
        <f t="array" ref="B93">IFERROR(INDEX(DANH_MUC!$E:$E,30),"")</f>
        <v>28C05345</v>
      </c>
      <c r="C93" s="251">
        <f>IF(C$4&gt;DAY(EOMONTH(DATE($D$2,$B$2,1),0)),"",IFERROR(SUMIFS(DATA_GOC!$H:$H,DATA_GOC!$A:$A,"BOM",DATA_GOC!$D:$D,$B93,DATA_GOC!$E:$E,"Téc 2",DATA_GOC!$F:$F,"Xuất nội bộ từ téc",DATA_GOC!$B:$B,DATE($D$2,$B$2,C$4)),0))</f>
        <v>0</v>
      </c>
      <c r="D93" s="251">
        <f>IF(D$4&gt;DAY(EOMONTH(DATE($D$2,$B$2,1),0)),"",IFERROR(SUMIFS(DATA_GOC!$H:$H,DATA_GOC!$A:$A,"BOM",DATA_GOC!$D:$D,$B93,DATA_GOC!$E:$E,"Téc 2",DATA_GOC!$F:$F,"Xuất nội bộ từ téc",DATA_GOC!$B:$B,DATE($D$2,$B$2,D$4)),0))</f>
        <v>127</v>
      </c>
      <c r="E93" s="251">
        <f>IF(E$4&gt;DAY(EOMONTH(DATE($D$2,$B$2,1),0)),"",IFERROR(SUMIFS(DATA_GOC!$H:$H,DATA_GOC!$A:$A,"BOM",DATA_GOC!$D:$D,$B93,DATA_GOC!$E:$E,"Téc 2",DATA_GOC!$F:$F,"Xuất nội bộ từ téc",DATA_GOC!$B:$B,DATE($D$2,$B$2,E$4)),0))</f>
        <v>0</v>
      </c>
      <c r="F93" s="251">
        <f>IF(F$4&gt;DAY(EOMONTH(DATE($D$2,$B$2,1),0)),"",IFERROR(SUMIFS(DATA_GOC!$H:$H,DATA_GOC!$A:$A,"BOM",DATA_GOC!$D:$D,$B93,DATA_GOC!$E:$E,"Téc 2",DATA_GOC!$F:$F,"Xuất nội bộ từ téc",DATA_GOC!$B:$B,DATE($D$2,$B$2,F$4)),0))</f>
        <v>0</v>
      </c>
      <c r="G93" s="251">
        <f>IF(G$4&gt;DAY(EOMONTH(DATE($D$2,$B$2,1),0)),"",IFERROR(SUMIFS(DATA_GOC!$H:$H,DATA_GOC!$A:$A,"BOM",DATA_GOC!$D:$D,$B93,DATA_GOC!$E:$E,"Téc 2",DATA_GOC!$F:$F,"Xuất nội bộ từ téc",DATA_GOC!$B:$B,DATE($D$2,$B$2,G$4)),0))</f>
        <v>0</v>
      </c>
      <c r="H93" s="251">
        <f>IF(H$4&gt;DAY(EOMONTH(DATE($D$2,$B$2,1),0)),"",IFERROR(SUMIFS(DATA_GOC!$H:$H,DATA_GOC!$A:$A,"BOM",DATA_GOC!$D:$D,$B93,DATA_GOC!$E:$E,"Téc 2",DATA_GOC!$F:$F,"Xuất nội bộ từ téc",DATA_GOC!$B:$B,DATE($D$2,$B$2,H$4)),0))</f>
        <v>0</v>
      </c>
      <c r="I93" s="251">
        <f>IF(I$4&gt;DAY(EOMONTH(DATE($D$2,$B$2,1),0)),"",IFERROR(SUMIFS(DATA_GOC!$H:$H,DATA_GOC!$A:$A,"BOM",DATA_GOC!$D:$D,$B93,DATA_GOC!$E:$E,"Téc 2",DATA_GOC!$F:$F,"Xuất nội bộ từ téc",DATA_GOC!$B:$B,DATE($D$2,$B$2,I$4)),0))</f>
        <v>0</v>
      </c>
      <c r="J93" s="251">
        <f>IF(J$4&gt;DAY(EOMONTH(DATE($D$2,$B$2,1),0)),"",IFERROR(SUMIFS(DATA_GOC!$H:$H,DATA_GOC!$A:$A,"BOM",DATA_GOC!$D:$D,$B93,DATA_GOC!$E:$E,"Téc 2",DATA_GOC!$F:$F,"Xuất nội bộ từ téc",DATA_GOC!$B:$B,DATE($D$2,$B$2,J$4)),0))</f>
        <v>0</v>
      </c>
      <c r="K93" s="251">
        <f>IF(K$4&gt;DAY(EOMONTH(DATE($D$2,$B$2,1),0)),"",IFERROR(SUMIFS(DATA_GOC!$H:$H,DATA_GOC!$A:$A,"BOM",DATA_GOC!$D:$D,$B93,DATA_GOC!$E:$E,"Téc 2",DATA_GOC!$F:$F,"Xuất nội bộ từ téc",DATA_GOC!$B:$B,DATE($D$2,$B$2,K$4)),0))</f>
        <v>0</v>
      </c>
      <c r="L93" s="251">
        <f>IF(L$4&gt;DAY(EOMONTH(DATE($D$2,$B$2,1),0)),"",IFERROR(SUMIFS(DATA_GOC!$H:$H,DATA_GOC!$A:$A,"BOM",DATA_GOC!$D:$D,$B93,DATA_GOC!$E:$E,"Téc 2",DATA_GOC!$F:$F,"Xuất nội bộ từ téc",DATA_GOC!$B:$B,DATE($D$2,$B$2,L$4)),0))</f>
        <v>0</v>
      </c>
      <c r="M93" s="251">
        <f>IF(M$4&gt;DAY(EOMONTH(DATE($D$2,$B$2,1),0)),"",IFERROR(SUMIFS(DATA_GOC!$H:$H,DATA_GOC!$A:$A,"BOM",DATA_GOC!$D:$D,$B93,DATA_GOC!$E:$E,"Téc 2",DATA_GOC!$F:$F,"Xuất nội bộ từ téc",DATA_GOC!$B:$B,DATE($D$2,$B$2,M$4)),0))</f>
        <v>0</v>
      </c>
      <c r="N93" s="251">
        <f>IF(N$4&gt;DAY(EOMONTH(DATE($D$2,$B$2,1),0)),"",IFERROR(SUMIFS(DATA_GOC!$H:$H,DATA_GOC!$A:$A,"BOM",DATA_GOC!$D:$D,$B93,DATA_GOC!$E:$E,"Téc 2",DATA_GOC!$F:$F,"Xuất nội bộ từ téc",DATA_GOC!$B:$B,DATE($D$2,$B$2,N$4)),0))</f>
        <v>0</v>
      </c>
      <c r="O93" s="251">
        <f>IF(O$4&gt;DAY(EOMONTH(DATE($D$2,$B$2,1),0)),"",IFERROR(SUMIFS(DATA_GOC!$H:$H,DATA_GOC!$A:$A,"BOM",DATA_GOC!$D:$D,$B93,DATA_GOC!$E:$E,"Téc 2",DATA_GOC!$F:$F,"Xuất nội bộ từ téc",DATA_GOC!$B:$B,DATE($D$2,$B$2,O$4)),0))</f>
        <v>0</v>
      </c>
      <c r="P93" s="251">
        <f>IF(P$4&gt;DAY(EOMONTH(DATE($D$2,$B$2,1),0)),"",IFERROR(SUMIFS(DATA_GOC!$H:$H,DATA_GOC!$A:$A,"BOM",DATA_GOC!$D:$D,$B93,DATA_GOC!$E:$E,"Téc 2",DATA_GOC!$F:$F,"Xuất nội bộ từ téc",DATA_GOC!$B:$B,DATE($D$2,$B$2,P$4)),0))</f>
        <v>0</v>
      </c>
      <c r="Q93" s="251">
        <f>IF(Q$4&gt;DAY(EOMONTH(DATE($D$2,$B$2,1),0)),"",IFERROR(SUMIFS(DATA_GOC!$H:$H,DATA_GOC!$A:$A,"BOM",DATA_GOC!$D:$D,$B93,DATA_GOC!$E:$E,"Téc 2",DATA_GOC!$F:$F,"Xuất nội bộ từ téc",DATA_GOC!$B:$B,DATE($D$2,$B$2,Q$4)),0))</f>
        <v>0</v>
      </c>
      <c r="R93" s="251">
        <f>IF(R$4&gt;DAY(EOMONTH(DATE($D$2,$B$2,1),0)),"",IFERROR(SUMIFS(DATA_GOC!$H:$H,DATA_GOC!$A:$A,"BOM",DATA_GOC!$D:$D,$B93,DATA_GOC!$E:$E,"Téc 2",DATA_GOC!$F:$F,"Xuất nội bộ từ téc",DATA_GOC!$B:$B,DATE($D$2,$B$2,R$4)),0))</f>
        <v>0</v>
      </c>
      <c r="S93" s="251">
        <f>IF(S$4&gt;DAY(EOMONTH(DATE($D$2,$B$2,1),0)),"",IFERROR(SUMIFS(DATA_GOC!$H:$H,DATA_GOC!$A:$A,"BOM",DATA_GOC!$D:$D,$B93,DATA_GOC!$E:$E,"Téc 2",DATA_GOC!$F:$F,"Xuất nội bộ từ téc",DATA_GOC!$B:$B,DATE($D$2,$B$2,S$4)),0))</f>
        <v>0</v>
      </c>
      <c r="T93" s="251">
        <f>IF(T$4&gt;DAY(EOMONTH(DATE($D$2,$B$2,1),0)),"",IFERROR(SUMIFS(DATA_GOC!$H:$H,DATA_GOC!$A:$A,"BOM",DATA_GOC!$D:$D,$B93,DATA_GOC!$E:$E,"Téc 2",DATA_GOC!$F:$F,"Xuất nội bộ từ téc",DATA_GOC!$B:$B,DATE($D$2,$B$2,T$4)),0))</f>
        <v>0</v>
      </c>
      <c r="U93" s="251">
        <f>IF(U$4&gt;DAY(EOMONTH(DATE($D$2,$B$2,1),0)),"",IFERROR(SUMIFS(DATA_GOC!$H:$H,DATA_GOC!$A:$A,"BOM",DATA_GOC!$D:$D,$B93,DATA_GOC!$E:$E,"Téc 2",DATA_GOC!$F:$F,"Xuất nội bộ từ téc",DATA_GOC!$B:$B,DATE($D$2,$B$2,U$4)),0))</f>
        <v>0</v>
      </c>
      <c r="V93" s="251">
        <f>IF(V$4&gt;DAY(EOMONTH(DATE($D$2,$B$2,1),0)),"",IFERROR(SUMIFS(DATA_GOC!$H:$H,DATA_GOC!$A:$A,"BOM",DATA_GOC!$D:$D,$B93,DATA_GOC!$E:$E,"Téc 2",DATA_GOC!$F:$F,"Xuất nội bộ từ téc",DATA_GOC!$B:$B,DATE($D$2,$B$2,V$4)),0))</f>
        <v>0</v>
      </c>
      <c r="W93" s="251">
        <f>IF(W$4&gt;DAY(EOMONTH(DATE($D$2,$B$2,1),0)),"",IFERROR(SUMIFS(DATA_GOC!$H:$H,DATA_GOC!$A:$A,"BOM",DATA_GOC!$D:$D,$B93,DATA_GOC!$E:$E,"Téc 2",DATA_GOC!$F:$F,"Xuất nội bộ từ téc",DATA_GOC!$B:$B,DATE($D$2,$B$2,W$4)),0))</f>
        <v>0</v>
      </c>
      <c r="X93" s="251">
        <f>IF(X$4&gt;DAY(EOMONTH(DATE($D$2,$B$2,1),0)),"",IFERROR(SUMIFS(DATA_GOC!$H:$H,DATA_GOC!$A:$A,"BOM",DATA_GOC!$D:$D,$B93,DATA_GOC!$E:$E,"Téc 2",DATA_GOC!$F:$F,"Xuất nội bộ từ téc",DATA_GOC!$B:$B,DATE($D$2,$B$2,X$4)),0))</f>
        <v>0</v>
      </c>
      <c r="Y93" s="251">
        <f>IF(Y$4&gt;DAY(EOMONTH(DATE($D$2,$B$2,1),0)),"",IFERROR(SUMIFS(DATA_GOC!$H:$H,DATA_GOC!$A:$A,"BOM",DATA_GOC!$D:$D,$B93,DATA_GOC!$E:$E,"Téc 2",DATA_GOC!$F:$F,"Xuất nội bộ từ téc",DATA_GOC!$B:$B,DATE($D$2,$B$2,Y$4)),0))</f>
        <v>0</v>
      </c>
      <c r="Z93" s="251">
        <f>IF(Z$4&gt;DAY(EOMONTH(DATE($D$2,$B$2,1),0)),"",IFERROR(SUMIFS(DATA_GOC!$H:$H,DATA_GOC!$A:$A,"BOM",DATA_GOC!$D:$D,$B93,DATA_GOC!$E:$E,"Téc 2",DATA_GOC!$F:$F,"Xuất nội bộ từ téc",DATA_GOC!$B:$B,DATE($D$2,$B$2,Z$4)),0))</f>
        <v>0</v>
      </c>
      <c r="AA93" s="251">
        <f>IF(AA$4&gt;DAY(EOMONTH(DATE($D$2,$B$2,1),0)),"",IFERROR(SUMIFS(DATA_GOC!$H:$H,DATA_GOC!$A:$A,"BOM",DATA_GOC!$D:$D,$B93,DATA_GOC!$E:$E,"Téc 2",DATA_GOC!$F:$F,"Xuất nội bộ từ téc",DATA_GOC!$B:$B,DATE($D$2,$B$2,AA$4)),0))</f>
        <v>0</v>
      </c>
      <c r="AB93" s="251">
        <f>IF(AB$4&gt;DAY(EOMONTH(DATE($D$2,$B$2,1),0)),"",IFERROR(SUMIFS(DATA_GOC!$H:$H,DATA_GOC!$A:$A,"BOM",DATA_GOC!$D:$D,$B93,DATA_GOC!$E:$E,"Téc 2",DATA_GOC!$F:$F,"Xuất nội bộ từ téc",DATA_GOC!$B:$B,DATE($D$2,$B$2,AB$4)),0))</f>
        <v>0</v>
      </c>
      <c r="AC93" s="251">
        <f>IF(AC$4&gt;DAY(EOMONTH(DATE($D$2,$B$2,1),0)),"",IFERROR(SUMIFS(DATA_GOC!$H:$H,DATA_GOC!$A:$A,"BOM",DATA_GOC!$D:$D,$B93,DATA_GOC!$E:$E,"Téc 2",DATA_GOC!$F:$F,"Xuất nội bộ từ téc",DATA_GOC!$B:$B,DATE($D$2,$B$2,AC$4)),0))</f>
        <v>0</v>
      </c>
      <c r="AD93" s="251">
        <f>IF(AD$4&gt;DAY(EOMONTH(DATE($D$2,$B$2,1),0)),"",IFERROR(SUMIFS(DATA_GOC!$H:$H,DATA_GOC!$A:$A,"BOM",DATA_GOC!$D:$D,$B93,DATA_GOC!$E:$E,"Téc 2",DATA_GOC!$F:$F,"Xuất nội bộ từ téc",DATA_GOC!$B:$B,DATE($D$2,$B$2,AD$4)),0))</f>
        <v>0</v>
      </c>
      <c r="AE93" s="251">
        <f>IF(AE$4&gt;DAY(EOMONTH(DATE($D$2,$B$2,1),0)),"",IFERROR(SUMIFS(DATA_GOC!$H:$H,DATA_GOC!$A:$A,"BOM",DATA_GOC!$D:$D,$B93,DATA_GOC!$E:$E,"Téc 2",DATA_GOC!$F:$F,"Xuất nội bộ từ téc",DATA_GOC!$B:$B,DATE($D$2,$B$2,AE$4)),0))</f>
        <v>0</v>
      </c>
      <c r="AF93" s="251">
        <f>IF(AF$4&gt;DAY(EOMONTH(DATE($D$2,$B$2,1),0)),"",IFERROR(SUMIFS(DATA_GOC!$H:$H,DATA_GOC!$A:$A,"BOM",DATA_GOC!$D:$D,$B93,DATA_GOC!$E:$E,"Téc 2",DATA_GOC!$F:$F,"Xuất nội bộ từ téc",DATA_GOC!$B:$B,DATE($D$2,$B$2,AF$4)),0))</f>
        <v>0</v>
      </c>
      <c r="AG93" s="251">
        <f>IF(AG$4&gt;DAY(EOMONTH(DATE($D$2,$B$2,1),0)),"",IFERROR(SUMIFS(DATA_GOC!$H:$H,DATA_GOC!$A:$A,"BOM",DATA_GOC!$D:$D,$B93,DATA_GOC!$E:$E,"Téc 2",DATA_GOC!$F:$F,"Xuất nội bộ từ téc",DATA_GOC!$B:$B,DATE($D$2,$B$2,AG$4)),0))</f>
        <v>0</v>
      </c>
      <c r="AH93" s="252">
        <f t="shared" si="4"/>
        <v>127</v>
      </c>
      <c r="AI93" s="241">
        <f>IFERROR(SUMIFS(DATA_GOC!$H:$H,DATA_GOC!$A:$A,"BOM",DATA_GOC!$D:$D,$B93,DATA_GOC!$E:$E,"Bơm ngoài/Hải Tân",DATA_GOC!$F:$F,"Bơm ngoài",DATA_GOC!$B:$B,"&gt;="&amp;DATE($D$2,$B$2,1),DATA_GOC!$B:$B,"&lt;="&amp;EOMONTH(DATE($D$2,$B$2,1),0)),0)</f>
        <v>0</v>
      </c>
      <c r="AJ93" s="242">
        <f>IF($B93="","",SUMIFS(TINH_TEC!$K$233:$K$9232,TINH_TEC!$H$233:$H$9232,$B93,TINH_TEC!$C$233:$C$9232,"Téc 2",TINH_TEC!$F$233:$F$9232,$B$2,TINH_TEC!$G$233:$G$9232,$D$2,TINH_TEC!$B$233:$B$9232,"Đã chốt"))</f>
        <v>0</v>
      </c>
      <c r="AK93" s="242">
        <f>IF($B93="","",SUMIFS(TINH_TEC!$J$233:$J$9232,TINH_TEC!$H$233:$H$9232,$B93,TINH_TEC!$C$233:$C$9232,"Téc 2",TINH_TEC!$F$233:$F$9232,$B$2,TINH_TEC!$G$233:$G$9232,$D$2,TINH_TEC!$B$233:$B$9232,"Đã chốt"))</f>
        <v>29.18</v>
      </c>
      <c r="AL93" s="242">
        <f t="shared" si="5"/>
        <v>156.18</v>
      </c>
    </row>
    <row r="94" ht="15.75" customHeight="1">
      <c r="A94" s="237">
        <f>IF($B94&lt;&gt;"",28,"")</f>
        <v>28</v>
      </c>
      <c r="B94" s="250" t="str">
        <f t="array" ref="B94">IFERROR(INDEX(DANH_MUC!$E:$E,31),"")</f>
        <v>28C05661</v>
      </c>
      <c r="C94" s="251">
        <f>IF(C$4&gt;DAY(EOMONTH(DATE($D$2,$B$2,1),0)),"",IFERROR(SUMIFS(DATA_GOC!$H:$H,DATA_GOC!$A:$A,"BOM",DATA_GOC!$D:$D,$B94,DATA_GOC!$E:$E,"Téc 2",DATA_GOC!$F:$F,"Xuất nội bộ từ téc",DATA_GOC!$B:$B,DATE($D$2,$B$2,C$4)),0))</f>
        <v>0</v>
      </c>
      <c r="D94" s="251">
        <f>IF(D$4&gt;DAY(EOMONTH(DATE($D$2,$B$2,1),0)),"",IFERROR(SUMIFS(DATA_GOC!$H:$H,DATA_GOC!$A:$A,"BOM",DATA_GOC!$D:$D,$B94,DATA_GOC!$E:$E,"Téc 2",DATA_GOC!$F:$F,"Xuất nội bộ từ téc",DATA_GOC!$B:$B,DATE($D$2,$B$2,D$4)),0))</f>
        <v>0</v>
      </c>
      <c r="E94" s="251">
        <f>IF(E$4&gt;DAY(EOMONTH(DATE($D$2,$B$2,1),0)),"",IFERROR(SUMIFS(DATA_GOC!$H:$H,DATA_GOC!$A:$A,"BOM",DATA_GOC!$D:$D,$B94,DATA_GOC!$E:$E,"Téc 2",DATA_GOC!$F:$F,"Xuất nội bộ từ téc",DATA_GOC!$B:$B,DATE($D$2,$B$2,E$4)),0))</f>
        <v>0</v>
      </c>
      <c r="F94" s="251">
        <f>IF(F$4&gt;DAY(EOMONTH(DATE($D$2,$B$2,1),0)),"",IFERROR(SUMIFS(DATA_GOC!$H:$H,DATA_GOC!$A:$A,"BOM",DATA_GOC!$D:$D,$B94,DATA_GOC!$E:$E,"Téc 2",DATA_GOC!$F:$F,"Xuất nội bộ từ téc",DATA_GOC!$B:$B,DATE($D$2,$B$2,F$4)),0))</f>
        <v>0</v>
      </c>
      <c r="G94" s="251">
        <f>IF(G$4&gt;DAY(EOMONTH(DATE($D$2,$B$2,1),0)),"",IFERROR(SUMIFS(DATA_GOC!$H:$H,DATA_GOC!$A:$A,"BOM",DATA_GOC!$D:$D,$B94,DATA_GOC!$E:$E,"Téc 2",DATA_GOC!$F:$F,"Xuất nội bộ từ téc",DATA_GOC!$B:$B,DATE($D$2,$B$2,G$4)),0))</f>
        <v>0</v>
      </c>
      <c r="H94" s="251">
        <f>IF(H$4&gt;DAY(EOMONTH(DATE($D$2,$B$2,1),0)),"",IFERROR(SUMIFS(DATA_GOC!$H:$H,DATA_GOC!$A:$A,"BOM",DATA_GOC!$D:$D,$B94,DATA_GOC!$E:$E,"Téc 2",DATA_GOC!$F:$F,"Xuất nội bộ từ téc",DATA_GOC!$B:$B,DATE($D$2,$B$2,H$4)),0))</f>
        <v>0</v>
      </c>
      <c r="I94" s="251">
        <f>IF(I$4&gt;DAY(EOMONTH(DATE($D$2,$B$2,1),0)),"",IFERROR(SUMIFS(DATA_GOC!$H:$H,DATA_GOC!$A:$A,"BOM",DATA_GOC!$D:$D,$B94,DATA_GOC!$E:$E,"Téc 2",DATA_GOC!$F:$F,"Xuất nội bộ từ téc",DATA_GOC!$B:$B,DATE($D$2,$B$2,I$4)),0))</f>
        <v>0</v>
      </c>
      <c r="J94" s="251">
        <f>IF(J$4&gt;DAY(EOMONTH(DATE($D$2,$B$2,1),0)),"",IFERROR(SUMIFS(DATA_GOC!$H:$H,DATA_GOC!$A:$A,"BOM",DATA_GOC!$D:$D,$B94,DATA_GOC!$E:$E,"Téc 2",DATA_GOC!$F:$F,"Xuất nội bộ từ téc",DATA_GOC!$B:$B,DATE($D$2,$B$2,J$4)),0))</f>
        <v>0</v>
      </c>
      <c r="K94" s="251">
        <f>IF(K$4&gt;DAY(EOMONTH(DATE($D$2,$B$2,1),0)),"",IFERROR(SUMIFS(DATA_GOC!$H:$H,DATA_GOC!$A:$A,"BOM",DATA_GOC!$D:$D,$B94,DATA_GOC!$E:$E,"Téc 2",DATA_GOC!$F:$F,"Xuất nội bộ từ téc",DATA_GOC!$B:$B,DATE($D$2,$B$2,K$4)),0))</f>
        <v>0</v>
      </c>
      <c r="L94" s="251">
        <f>IF(L$4&gt;DAY(EOMONTH(DATE($D$2,$B$2,1),0)),"",IFERROR(SUMIFS(DATA_GOC!$H:$H,DATA_GOC!$A:$A,"BOM",DATA_GOC!$D:$D,$B94,DATA_GOC!$E:$E,"Téc 2",DATA_GOC!$F:$F,"Xuất nội bộ từ téc",DATA_GOC!$B:$B,DATE($D$2,$B$2,L$4)),0))</f>
        <v>0</v>
      </c>
      <c r="M94" s="251">
        <f>IF(M$4&gt;DAY(EOMONTH(DATE($D$2,$B$2,1),0)),"",IFERROR(SUMIFS(DATA_GOC!$H:$H,DATA_GOC!$A:$A,"BOM",DATA_GOC!$D:$D,$B94,DATA_GOC!$E:$E,"Téc 2",DATA_GOC!$F:$F,"Xuất nội bộ từ téc",DATA_GOC!$B:$B,DATE($D$2,$B$2,M$4)),0))</f>
        <v>0</v>
      </c>
      <c r="N94" s="251">
        <f>IF(N$4&gt;DAY(EOMONTH(DATE($D$2,$B$2,1),0)),"",IFERROR(SUMIFS(DATA_GOC!$H:$H,DATA_GOC!$A:$A,"BOM",DATA_GOC!$D:$D,$B94,DATA_GOC!$E:$E,"Téc 2",DATA_GOC!$F:$F,"Xuất nội bộ từ téc",DATA_GOC!$B:$B,DATE($D$2,$B$2,N$4)),0))</f>
        <v>0</v>
      </c>
      <c r="O94" s="251">
        <f>IF(O$4&gt;DAY(EOMONTH(DATE($D$2,$B$2,1),0)),"",IFERROR(SUMIFS(DATA_GOC!$H:$H,DATA_GOC!$A:$A,"BOM",DATA_GOC!$D:$D,$B94,DATA_GOC!$E:$E,"Téc 2",DATA_GOC!$F:$F,"Xuất nội bộ từ téc",DATA_GOC!$B:$B,DATE($D$2,$B$2,O$4)),0))</f>
        <v>0</v>
      </c>
      <c r="P94" s="251">
        <f>IF(P$4&gt;DAY(EOMONTH(DATE($D$2,$B$2,1),0)),"",IFERROR(SUMIFS(DATA_GOC!$H:$H,DATA_GOC!$A:$A,"BOM",DATA_GOC!$D:$D,$B94,DATA_GOC!$E:$E,"Téc 2",DATA_GOC!$F:$F,"Xuất nội bộ từ téc",DATA_GOC!$B:$B,DATE($D$2,$B$2,P$4)),0))</f>
        <v>0</v>
      </c>
      <c r="Q94" s="251">
        <f>IF(Q$4&gt;DAY(EOMONTH(DATE($D$2,$B$2,1),0)),"",IFERROR(SUMIFS(DATA_GOC!$H:$H,DATA_GOC!$A:$A,"BOM",DATA_GOC!$D:$D,$B94,DATA_GOC!$E:$E,"Téc 2",DATA_GOC!$F:$F,"Xuất nội bộ từ téc",DATA_GOC!$B:$B,DATE($D$2,$B$2,Q$4)),0))</f>
        <v>0</v>
      </c>
      <c r="R94" s="251">
        <f>IF(R$4&gt;DAY(EOMONTH(DATE($D$2,$B$2,1),0)),"",IFERROR(SUMIFS(DATA_GOC!$H:$H,DATA_GOC!$A:$A,"BOM",DATA_GOC!$D:$D,$B94,DATA_GOC!$E:$E,"Téc 2",DATA_GOC!$F:$F,"Xuất nội bộ từ téc",DATA_GOC!$B:$B,DATE($D$2,$B$2,R$4)),0))</f>
        <v>0</v>
      </c>
      <c r="S94" s="251">
        <f>IF(S$4&gt;DAY(EOMONTH(DATE($D$2,$B$2,1),0)),"",IFERROR(SUMIFS(DATA_GOC!$H:$H,DATA_GOC!$A:$A,"BOM",DATA_GOC!$D:$D,$B94,DATA_GOC!$E:$E,"Téc 2",DATA_GOC!$F:$F,"Xuất nội bộ từ téc",DATA_GOC!$B:$B,DATE($D$2,$B$2,S$4)),0))</f>
        <v>0</v>
      </c>
      <c r="T94" s="251">
        <f>IF(T$4&gt;DAY(EOMONTH(DATE($D$2,$B$2,1),0)),"",IFERROR(SUMIFS(DATA_GOC!$H:$H,DATA_GOC!$A:$A,"BOM",DATA_GOC!$D:$D,$B94,DATA_GOC!$E:$E,"Téc 2",DATA_GOC!$F:$F,"Xuất nội bộ từ téc",DATA_GOC!$B:$B,DATE($D$2,$B$2,T$4)),0))</f>
        <v>0</v>
      </c>
      <c r="U94" s="251">
        <f>IF(U$4&gt;DAY(EOMONTH(DATE($D$2,$B$2,1),0)),"",IFERROR(SUMIFS(DATA_GOC!$H:$H,DATA_GOC!$A:$A,"BOM",DATA_GOC!$D:$D,$B94,DATA_GOC!$E:$E,"Téc 2",DATA_GOC!$F:$F,"Xuất nội bộ từ téc",DATA_GOC!$B:$B,DATE($D$2,$B$2,U$4)),0))</f>
        <v>0</v>
      </c>
      <c r="V94" s="251">
        <f>IF(V$4&gt;DAY(EOMONTH(DATE($D$2,$B$2,1),0)),"",IFERROR(SUMIFS(DATA_GOC!$H:$H,DATA_GOC!$A:$A,"BOM",DATA_GOC!$D:$D,$B94,DATA_GOC!$E:$E,"Téc 2",DATA_GOC!$F:$F,"Xuất nội bộ từ téc",DATA_GOC!$B:$B,DATE($D$2,$B$2,V$4)),0))</f>
        <v>0</v>
      </c>
      <c r="W94" s="251">
        <f>IF(W$4&gt;DAY(EOMONTH(DATE($D$2,$B$2,1),0)),"",IFERROR(SUMIFS(DATA_GOC!$H:$H,DATA_GOC!$A:$A,"BOM",DATA_GOC!$D:$D,$B94,DATA_GOC!$E:$E,"Téc 2",DATA_GOC!$F:$F,"Xuất nội bộ từ téc",DATA_GOC!$B:$B,DATE($D$2,$B$2,W$4)),0))</f>
        <v>0</v>
      </c>
      <c r="X94" s="251">
        <f>IF(X$4&gt;DAY(EOMONTH(DATE($D$2,$B$2,1),0)),"",IFERROR(SUMIFS(DATA_GOC!$H:$H,DATA_GOC!$A:$A,"BOM",DATA_GOC!$D:$D,$B94,DATA_GOC!$E:$E,"Téc 2",DATA_GOC!$F:$F,"Xuất nội bộ từ téc",DATA_GOC!$B:$B,DATE($D$2,$B$2,X$4)),0))</f>
        <v>0</v>
      </c>
      <c r="Y94" s="251">
        <f>IF(Y$4&gt;DAY(EOMONTH(DATE($D$2,$B$2,1),0)),"",IFERROR(SUMIFS(DATA_GOC!$H:$H,DATA_GOC!$A:$A,"BOM",DATA_GOC!$D:$D,$B94,DATA_GOC!$E:$E,"Téc 2",DATA_GOC!$F:$F,"Xuất nội bộ từ téc",DATA_GOC!$B:$B,DATE($D$2,$B$2,Y$4)),0))</f>
        <v>0</v>
      </c>
      <c r="Z94" s="251">
        <f>IF(Z$4&gt;DAY(EOMONTH(DATE($D$2,$B$2,1),0)),"",IFERROR(SUMIFS(DATA_GOC!$H:$H,DATA_GOC!$A:$A,"BOM",DATA_GOC!$D:$D,$B94,DATA_GOC!$E:$E,"Téc 2",DATA_GOC!$F:$F,"Xuất nội bộ từ téc",DATA_GOC!$B:$B,DATE($D$2,$B$2,Z$4)),0))</f>
        <v>0</v>
      </c>
      <c r="AA94" s="251">
        <f>IF(AA$4&gt;DAY(EOMONTH(DATE($D$2,$B$2,1),0)),"",IFERROR(SUMIFS(DATA_GOC!$H:$H,DATA_GOC!$A:$A,"BOM",DATA_GOC!$D:$D,$B94,DATA_GOC!$E:$E,"Téc 2",DATA_GOC!$F:$F,"Xuất nội bộ từ téc",DATA_GOC!$B:$B,DATE($D$2,$B$2,AA$4)),0))</f>
        <v>0</v>
      </c>
      <c r="AB94" s="251">
        <f>IF(AB$4&gt;DAY(EOMONTH(DATE($D$2,$B$2,1),0)),"",IFERROR(SUMIFS(DATA_GOC!$H:$H,DATA_GOC!$A:$A,"BOM",DATA_GOC!$D:$D,$B94,DATA_GOC!$E:$E,"Téc 2",DATA_GOC!$F:$F,"Xuất nội bộ từ téc",DATA_GOC!$B:$B,DATE($D$2,$B$2,AB$4)),0))</f>
        <v>0</v>
      </c>
      <c r="AC94" s="251">
        <f>IF(AC$4&gt;DAY(EOMONTH(DATE($D$2,$B$2,1),0)),"",IFERROR(SUMIFS(DATA_GOC!$H:$H,DATA_GOC!$A:$A,"BOM",DATA_GOC!$D:$D,$B94,DATA_GOC!$E:$E,"Téc 2",DATA_GOC!$F:$F,"Xuất nội bộ từ téc",DATA_GOC!$B:$B,DATE($D$2,$B$2,AC$4)),0))</f>
        <v>0</v>
      </c>
      <c r="AD94" s="251">
        <f>IF(AD$4&gt;DAY(EOMONTH(DATE($D$2,$B$2,1),0)),"",IFERROR(SUMIFS(DATA_GOC!$H:$H,DATA_GOC!$A:$A,"BOM",DATA_GOC!$D:$D,$B94,DATA_GOC!$E:$E,"Téc 2",DATA_GOC!$F:$F,"Xuất nội bộ từ téc",DATA_GOC!$B:$B,DATE($D$2,$B$2,AD$4)),0))</f>
        <v>0</v>
      </c>
      <c r="AE94" s="251">
        <f>IF(AE$4&gt;DAY(EOMONTH(DATE($D$2,$B$2,1),0)),"",IFERROR(SUMIFS(DATA_GOC!$H:$H,DATA_GOC!$A:$A,"BOM",DATA_GOC!$D:$D,$B94,DATA_GOC!$E:$E,"Téc 2",DATA_GOC!$F:$F,"Xuất nội bộ từ téc",DATA_GOC!$B:$B,DATE($D$2,$B$2,AE$4)),0))</f>
        <v>0</v>
      </c>
      <c r="AF94" s="251">
        <f>IF(AF$4&gt;DAY(EOMONTH(DATE($D$2,$B$2,1),0)),"",IFERROR(SUMIFS(DATA_GOC!$H:$H,DATA_GOC!$A:$A,"BOM",DATA_GOC!$D:$D,$B94,DATA_GOC!$E:$E,"Téc 2",DATA_GOC!$F:$F,"Xuất nội bộ từ téc",DATA_GOC!$B:$B,DATE($D$2,$B$2,AF$4)),0))</f>
        <v>0</v>
      </c>
      <c r="AG94" s="251">
        <f>IF(AG$4&gt;DAY(EOMONTH(DATE($D$2,$B$2,1),0)),"",IFERROR(SUMIFS(DATA_GOC!$H:$H,DATA_GOC!$A:$A,"BOM",DATA_GOC!$D:$D,$B94,DATA_GOC!$E:$E,"Téc 2",DATA_GOC!$F:$F,"Xuất nội bộ từ téc",DATA_GOC!$B:$B,DATE($D$2,$B$2,AG$4)),0))</f>
        <v>0</v>
      </c>
      <c r="AH94" s="252">
        <f t="shared" si="4"/>
        <v>0</v>
      </c>
      <c r="AI94" s="241">
        <f>IFERROR(SUMIFS(DATA_GOC!$H:$H,DATA_GOC!$A:$A,"BOM",DATA_GOC!$D:$D,$B94,DATA_GOC!$E:$E,"Bơm ngoài/Hải Tân",DATA_GOC!$F:$F,"Bơm ngoài",DATA_GOC!$B:$B,"&gt;="&amp;DATE($D$2,$B$2,1),DATA_GOC!$B:$B,"&lt;="&amp;EOMONTH(DATE($D$2,$B$2,1),0)),0)</f>
        <v>0</v>
      </c>
      <c r="AJ94" s="242">
        <f>IF($B94="","",SUMIFS(TINH_TEC!$K$233:$K$9232,TINH_TEC!$H$233:$H$9232,$B94,TINH_TEC!$C$233:$C$9232,"Téc 2",TINH_TEC!$F$233:$F$9232,$B$2,TINH_TEC!$G$233:$G$9232,$D$2,TINH_TEC!$B$233:$B$9232,"Đã chốt"))</f>
        <v>0</v>
      </c>
      <c r="AK94" s="242">
        <f>IF($B94="","",SUMIFS(TINH_TEC!$J$233:$J$9232,TINH_TEC!$H$233:$H$9232,$B94,TINH_TEC!$C$233:$C$9232,"Téc 2",TINH_TEC!$F$233:$F$9232,$B$2,TINH_TEC!$G$233:$G$9232,$D$2,TINH_TEC!$B$233:$B$9232,"Đã chốt"))</f>
        <v>0</v>
      </c>
      <c r="AL94" s="242">
        <f t="shared" si="5"/>
        <v>0</v>
      </c>
    </row>
    <row r="95" ht="15.75" customHeight="1">
      <c r="A95" s="237">
        <f>IF($B95&lt;&gt;"",29,"")</f>
        <v>29</v>
      </c>
      <c r="B95" s="250" t="str">
        <f t="array" ref="B95">IFERROR(INDEX(DANH_MUC!$E:$E,32),"")</f>
        <v>28C05739</v>
      </c>
      <c r="C95" s="251">
        <f>IF(C$4&gt;DAY(EOMONTH(DATE($D$2,$B$2,1),0)),"",IFERROR(SUMIFS(DATA_GOC!$H:$H,DATA_GOC!$A:$A,"BOM",DATA_GOC!$D:$D,$B95,DATA_GOC!$E:$E,"Téc 2",DATA_GOC!$F:$F,"Xuất nội bộ từ téc",DATA_GOC!$B:$B,DATE($D$2,$B$2,C$4)),0))</f>
        <v>0</v>
      </c>
      <c r="D95" s="251">
        <f>IF(D$4&gt;DAY(EOMONTH(DATE($D$2,$B$2,1),0)),"",IFERROR(SUMIFS(DATA_GOC!$H:$H,DATA_GOC!$A:$A,"BOM",DATA_GOC!$D:$D,$B95,DATA_GOC!$E:$E,"Téc 2",DATA_GOC!$F:$F,"Xuất nội bộ từ téc",DATA_GOC!$B:$B,DATE($D$2,$B$2,D$4)),0))</f>
        <v>0</v>
      </c>
      <c r="E95" s="251">
        <f>IF(E$4&gt;DAY(EOMONTH(DATE($D$2,$B$2,1),0)),"",IFERROR(SUMIFS(DATA_GOC!$H:$H,DATA_GOC!$A:$A,"BOM",DATA_GOC!$D:$D,$B95,DATA_GOC!$E:$E,"Téc 2",DATA_GOC!$F:$F,"Xuất nội bộ từ téc",DATA_GOC!$B:$B,DATE($D$2,$B$2,E$4)),0))</f>
        <v>0</v>
      </c>
      <c r="F95" s="251">
        <f>IF(F$4&gt;DAY(EOMONTH(DATE($D$2,$B$2,1),0)),"",IFERROR(SUMIFS(DATA_GOC!$H:$H,DATA_GOC!$A:$A,"BOM",DATA_GOC!$D:$D,$B95,DATA_GOC!$E:$E,"Téc 2",DATA_GOC!$F:$F,"Xuất nội bộ từ téc",DATA_GOC!$B:$B,DATE($D$2,$B$2,F$4)),0))</f>
        <v>222</v>
      </c>
      <c r="G95" s="251">
        <f>IF(G$4&gt;DAY(EOMONTH(DATE($D$2,$B$2,1),0)),"",IFERROR(SUMIFS(DATA_GOC!$H:$H,DATA_GOC!$A:$A,"BOM",DATA_GOC!$D:$D,$B95,DATA_GOC!$E:$E,"Téc 2",DATA_GOC!$F:$F,"Xuất nội bộ từ téc",DATA_GOC!$B:$B,DATE($D$2,$B$2,G$4)),0))</f>
        <v>0</v>
      </c>
      <c r="H95" s="251">
        <f>IF(H$4&gt;DAY(EOMONTH(DATE($D$2,$B$2,1),0)),"",IFERROR(SUMIFS(DATA_GOC!$H:$H,DATA_GOC!$A:$A,"BOM",DATA_GOC!$D:$D,$B95,DATA_GOC!$E:$E,"Téc 2",DATA_GOC!$F:$F,"Xuất nội bộ từ téc",DATA_GOC!$B:$B,DATE($D$2,$B$2,H$4)),0))</f>
        <v>0</v>
      </c>
      <c r="I95" s="251">
        <f>IF(I$4&gt;DAY(EOMONTH(DATE($D$2,$B$2,1),0)),"",IFERROR(SUMIFS(DATA_GOC!$H:$H,DATA_GOC!$A:$A,"BOM",DATA_GOC!$D:$D,$B95,DATA_GOC!$E:$E,"Téc 2",DATA_GOC!$F:$F,"Xuất nội bộ từ téc",DATA_GOC!$B:$B,DATE($D$2,$B$2,I$4)),0))</f>
        <v>0</v>
      </c>
      <c r="J95" s="251">
        <f>IF(J$4&gt;DAY(EOMONTH(DATE($D$2,$B$2,1),0)),"",IFERROR(SUMIFS(DATA_GOC!$H:$H,DATA_GOC!$A:$A,"BOM",DATA_GOC!$D:$D,$B95,DATA_GOC!$E:$E,"Téc 2",DATA_GOC!$F:$F,"Xuất nội bộ từ téc",DATA_GOC!$B:$B,DATE($D$2,$B$2,J$4)),0))</f>
        <v>0</v>
      </c>
      <c r="K95" s="251">
        <f>IF(K$4&gt;DAY(EOMONTH(DATE($D$2,$B$2,1),0)),"",IFERROR(SUMIFS(DATA_GOC!$H:$H,DATA_GOC!$A:$A,"BOM",DATA_GOC!$D:$D,$B95,DATA_GOC!$E:$E,"Téc 2",DATA_GOC!$F:$F,"Xuất nội bộ từ téc",DATA_GOC!$B:$B,DATE($D$2,$B$2,K$4)),0))</f>
        <v>0</v>
      </c>
      <c r="L95" s="251">
        <f>IF(L$4&gt;DAY(EOMONTH(DATE($D$2,$B$2,1),0)),"",IFERROR(SUMIFS(DATA_GOC!$H:$H,DATA_GOC!$A:$A,"BOM",DATA_GOC!$D:$D,$B95,DATA_GOC!$E:$E,"Téc 2",DATA_GOC!$F:$F,"Xuất nội bộ từ téc",DATA_GOC!$B:$B,DATE($D$2,$B$2,L$4)),0))</f>
        <v>0</v>
      </c>
      <c r="M95" s="251">
        <f>IF(M$4&gt;DAY(EOMONTH(DATE($D$2,$B$2,1),0)),"",IFERROR(SUMIFS(DATA_GOC!$H:$H,DATA_GOC!$A:$A,"BOM",DATA_GOC!$D:$D,$B95,DATA_GOC!$E:$E,"Téc 2",DATA_GOC!$F:$F,"Xuất nội bộ từ téc",DATA_GOC!$B:$B,DATE($D$2,$B$2,M$4)),0))</f>
        <v>0</v>
      </c>
      <c r="N95" s="251">
        <f>IF(N$4&gt;DAY(EOMONTH(DATE($D$2,$B$2,1),0)),"",IFERROR(SUMIFS(DATA_GOC!$H:$H,DATA_GOC!$A:$A,"BOM",DATA_GOC!$D:$D,$B95,DATA_GOC!$E:$E,"Téc 2",DATA_GOC!$F:$F,"Xuất nội bộ từ téc",DATA_GOC!$B:$B,DATE($D$2,$B$2,N$4)),0))</f>
        <v>0</v>
      </c>
      <c r="O95" s="251">
        <f>IF(O$4&gt;DAY(EOMONTH(DATE($D$2,$B$2,1),0)),"",IFERROR(SUMIFS(DATA_GOC!$H:$H,DATA_GOC!$A:$A,"BOM",DATA_GOC!$D:$D,$B95,DATA_GOC!$E:$E,"Téc 2",DATA_GOC!$F:$F,"Xuất nội bộ từ téc",DATA_GOC!$B:$B,DATE($D$2,$B$2,O$4)),0))</f>
        <v>0</v>
      </c>
      <c r="P95" s="251">
        <f>IF(P$4&gt;DAY(EOMONTH(DATE($D$2,$B$2,1),0)),"",IFERROR(SUMIFS(DATA_GOC!$H:$H,DATA_GOC!$A:$A,"BOM",DATA_GOC!$D:$D,$B95,DATA_GOC!$E:$E,"Téc 2",DATA_GOC!$F:$F,"Xuất nội bộ từ téc",DATA_GOC!$B:$B,DATE($D$2,$B$2,P$4)),0))</f>
        <v>0</v>
      </c>
      <c r="Q95" s="251">
        <f>IF(Q$4&gt;DAY(EOMONTH(DATE($D$2,$B$2,1),0)),"",IFERROR(SUMIFS(DATA_GOC!$H:$H,DATA_GOC!$A:$A,"BOM",DATA_GOC!$D:$D,$B95,DATA_GOC!$E:$E,"Téc 2",DATA_GOC!$F:$F,"Xuất nội bộ từ téc",DATA_GOC!$B:$B,DATE($D$2,$B$2,Q$4)),0))</f>
        <v>0</v>
      </c>
      <c r="R95" s="251">
        <f>IF(R$4&gt;DAY(EOMONTH(DATE($D$2,$B$2,1),0)),"",IFERROR(SUMIFS(DATA_GOC!$H:$H,DATA_GOC!$A:$A,"BOM",DATA_GOC!$D:$D,$B95,DATA_GOC!$E:$E,"Téc 2",DATA_GOC!$F:$F,"Xuất nội bộ từ téc",DATA_GOC!$B:$B,DATE($D$2,$B$2,R$4)),0))</f>
        <v>0</v>
      </c>
      <c r="S95" s="251">
        <f>IF(S$4&gt;DAY(EOMONTH(DATE($D$2,$B$2,1),0)),"",IFERROR(SUMIFS(DATA_GOC!$H:$H,DATA_GOC!$A:$A,"BOM",DATA_GOC!$D:$D,$B95,DATA_GOC!$E:$E,"Téc 2",DATA_GOC!$F:$F,"Xuất nội bộ từ téc",DATA_GOC!$B:$B,DATE($D$2,$B$2,S$4)),0))</f>
        <v>0</v>
      </c>
      <c r="T95" s="251">
        <f>IF(T$4&gt;DAY(EOMONTH(DATE($D$2,$B$2,1),0)),"",IFERROR(SUMIFS(DATA_GOC!$H:$H,DATA_GOC!$A:$A,"BOM",DATA_GOC!$D:$D,$B95,DATA_GOC!$E:$E,"Téc 2",DATA_GOC!$F:$F,"Xuất nội bộ từ téc",DATA_GOC!$B:$B,DATE($D$2,$B$2,T$4)),0))</f>
        <v>0</v>
      </c>
      <c r="U95" s="251">
        <f>IF(U$4&gt;DAY(EOMONTH(DATE($D$2,$B$2,1),0)),"",IFERROR(SUMIFS(DATA_GOC!$H:$H,DATA_GOC!$A:$A,"BOM",DATA_GOC!$D:$D,$B95,DATA_GOC!$E:$E,"Téc 2",DATA_GOC!$F:$F,"Xuất nội bộ từ téc",DATA_GOC!$B:$B,DATE($D$2,$B$2,U$4)),0))</f>
        <v>0</v>
      </c>
      <c r="V95" s="251">
        <f>IF(V$4&gt;DAY(EOMONTH(DATE($D$2,$B$2,1),0)),"",IFERROR(SUMIFS(DATA_GOC!$H:$H,DATA_GOC!$A:$A,"BOM",DATA_GOC!$D:$D,$B95,DATA_GOC!$E:$E,"Téc 2",DATA_GOC!$F:$F,"Xuất nội bộ từ téc",DATA_GOC!$B:$B,DATE($D$2,$B$2,V$4)),0))</f>
        <v>0</v>
      </c>
      <c r="W95" s="251">
        <f>IF(W$4&gt;DAY(EOMONTH(DATE($D$2,$B$2,1),0)),"",IFERROR(SUMIFS(DATA_GOC!$H:$H,DATA_GOC!$A:$A,"BOM",DATA_GOC!$D:$D,$B95,DATA_GOC!$E:$E,"Téc 2",DATA_GOC!$F:$F,"Xuất nội bộ từ téc",DATA_GOC!$B:$B,DATE($D$2,$B$2,W$4)),0))</f>
        <v>0</v>
      </c>
      <c r="X95" s="251">
        <f>IF(X$4&gt;DAY(EOMONTH(DATE($D$2,$B$2,1),0)),"",IFERROR(SUMIFS(DATA_GOC!$H:$H,DATA_GOC!$A:$A,"BOM",DATA_GOC!$D:$D,$B95,DATA_GOC!$E:$E,"Téc 2",DATA_GOC!$F:$F,"Xuất nội bộ từ téc",DATA_GOC!$B:$B,DATE($D$2,$B$2,X$4)),0))</f>
        <v>0</v>
      </c>
      <c r="Y95" s="251">
        <f>IF(Y$4&gt;DAY(EOMONTH(DATE($D$2,$B$2,1),0)),"",IFERROR(SUMIFS(DATA_GOC!$H:$H,DATA_GOC!$A:$A,"BOM",DATA_GOC!$D:$D,$B95,DATA_GOC!$E:$E,"Téc 2",DATA_GOC!$F:$F,"Xuất nội bộ từ téc",DATA_GOC!$B:$B,DATE($D$2,$B$2,Y$4)),0))</f>
        <v>0</v>
      </c>
      <c r="Z95" s="251">
        <f>IF(Z$4&gt;DAY(EOMONTH(DATE($D$2,$B$2,1),0)),"",IFERROR(SUMIFS(DATA_GOC!$H:$H,DATA_GOC!$A:$A,"BOM",DATA_GOC!$D:$D,$B95,DATA_GOC!$E:$E,"Téc 2",DATA_GOC!$F:$F,"Xuất nội bộ từ téc",DATA_GOC!$B:$B,DATE($D$2,$B$2,Z$4)),0))</f>
        <v>0</v>
      </c>
      <c r="AA95" s="251">
        <f>IF(AA$4&gt;DAY(EOMONTH(DATE($D$2,$B$2,1),0)),"",IFERROR(SUMIFS(DATA_GOC!$H:$H,DATA_GOC!$A:$A,"BOM",DATA_GOC!$D:$D,$B95,DATA_GOC!$E:$E,"Téc 2",DATA_GOC!$F:$F,"Xuất nội bộ từ téc",DATA_GOC!$B:$B,DATE($D$2,$B$2,AA$4)),0))</f>
        <v>0</v>
      </c>
      <c r="AB95" s="251">
        <f>IF(AB$4&gt;DAY(EOMONTH(DATE($D$2,$B$2,1),0)),"",IFERROR(SUMIFS(DATA_GOC!$H:$H,DATA_GOC!$A:$A,"BOM",DATA_GOC!$D:$D,$B95,DATA_GOC!$E:$E,"Téc 2",DATA_GOC!$F:$F,"Xuất nội bộ từ téc",DATA_GOC!$B:$B,DATE($D$2,$B$2,AB$4)),0))</f>
        <v>0</v>
      </c>
      <c r="AC95" s="251">
        <f>IF(AC$4&gt;DAY(EOMONTH(DATE($D$2,$B$2,1),0)),"",IFERROR(SUMIFS(DATA_GOC!$H:$H,DATA_GOC!$A:$A,"BOM",DATA_GOC!$D:$D,$B95,DATA_GOC!$E:$E,"Téc 2",DATA_GOC!$F:$F,"Xuất nội bộ từ téc",DATA_GOC!$B:$B,DATE($D$2,$B$2,AC$4)),0))</f>
        <v>0</v>
      </c>
      <c r="AD95" s="251">
        <f>IF(AD$4&gt;DAY(EOMONTH(DATE($D$2,$B$2,1),0)),"",IFERROR(SUMIFS(DATA_GOC!$H:$H,DATA_GOC!$A:$A,"BOM",DATA_GOC!$D:$D,$B95,DATA_GOC!$E:$E,"Téc 2",DATA_GOC!$F:$F,"Xuất nội bộ từ téc",DATA_GOC!$B:$B,DATE($D$2,$B$2,AD$4)),0))</f>
        <v>0</v>
      </c>
      <c r="AE95" s="251">
        <f>IF(AE$4&gt;DAY(EOMONTH(DATE($D$2,$B$2,1),0)),"",IFERROR(SUMIFS(DATA_GOC!$H:$H,DATA_GOC!$A:$A,"BOM",DATA_GOC!$D:$D,$B95,DATA_GOC!$E:$E,"Téc 2",DATA_GOC!$F:$F,"Xuất nội bộ từ téc",DATA_GOC!$B:$B,DATE($D$2,$B$2,AE$4)),0))</f>
        <v>0</v>
      </c>
      <c r="AF95" s="251">
        <f>IF(AF$4&gt;DAY(EOMONTH(DATE($D$2,$B$2,1),0)),"",IFERROR(SUMIFS(DATA_GOC!$H:$H,DATA_GOC!$A:$A,"BOM",DATA_GOC!$D:$D,$B95,DATA_GOC!$E:$E,"Téc 2",DATA_GOC!$F:$F,"Xuất nội bộ từ téc",DATA_GOC!$B:$B,DATE($D$2,$B$2,AF$4)),0))</f>
        <v>0</v>
      </c>
      <c r="AG95" s="251">
        <f>IF(AG$4&gt;DAY(EOMONTH(DATE($D$2,$B$2,1),0)),"",IFERROR(SUMIFS(DATA_GOC!$H:$H,DATA_GOC!$A:$A,"BOM",DATA_GOC!$D:$D,$B95,DATA_GOC!$E:$E,"Téc 2",DATA_GOC!$F:$F,"Xuất nội bộ từ téc",DATA_GOC!$B:$B,DATE($D$2,$B$2,AG$4)),0))</f>
        <v>0</v>
      </c>
      <c r="AH95" s="252">
        <f t="shared" si="4"/>
        <v>222</v>
      </c>
      <c r="AI95" s="241">
        <f>IFERROR(SUMIFS(DATA_GOC!$H:$H,DATA_GOC!$A:$A,"BOM",DATA_GOC!$D:$D,$B95,DATA_GOC!$E:$E,"Bơm ngoài/Hải Tân",DATA_GOC!$F:$F,"Bơm ngoài",DATA_GOC!$B:$B,"&gt;="&amp;DATE($D$2,$B$2,1),DATA_GOC!$B:$B,"&lt;="&amp;EOMONTH(DATE($D$2,$B$2,1),0)),0)</f>
        <v>0</v>
      </c>
      <c r="AJ95" s="242">
        <f>IF($B95="","",SUMIFS(TINH_TEC!$K$233:$K$9232,TINH_TEC!$H$233:$H$9232,$B95,TINH_TEC!$C$233:$C$9232,"Téc 2",TINH_TEC!$F$233:$F$9232,$B$2,TINH_TEC!$G$233:$G$9232,$D$2,TINH_TEC!$B$233:$B$9232,"Đã chốt"))</f>
        <v>0</v>
      </c>
      <c r="AK95" s="242">
        <f>IF($B95="","",SUMIFS(TINH_TEC!$J$233:$J$9232,TINH_TEC!$H$233:$H$9232,$B95,TINH_TEC!$C$233:$C$9232,"Téc 2",TINH_TEC!$F$233:$F$9232,$B$2,TINH_TEC!$G$233:$G$9232,$D$2,TINH_TEC!$B$233:$B$9232,"Đã chốt"))</f>
        <v>39.78</v>
      </c>
      <c r="AL95" s="242">
        <f t="shared" si="5"/>
        <v>261.78</v>
      </c>
    </row>
    <row r="96" ht="15.75" customHeight="1">
      <c r="A96" s="237">
        <f>IF($B96&lt;&gt;"",30,"")</f>
        <v>30</v>
      </c>
      <c r="B96" s="250" t="str">
        <f t="array" ref="B96">IFERROR(INDEX(DANH_MUC!$E:$E,33),"")</f>
        <v>28C06369</v>
      </c>
      <c r="C96" s="251">
        <f>IF(C$4&gt;DAY(EOMONTH(DATE($D$2,$B$2,1),0)),"",IFERROR(SUMIFS(DATA_GOC!$H:$H,DATA_GOC!$A:$A,"BOM",DATA_GOC!$D:$D,$B96,DATA_GOC!$E:$E,"Téc 2",DATA_GOC!$F:$F,"Xuất nội bộ từ téc",DATA_GOC!$B:$B,DATE($D$2,$B$2,C$4)),0))</f>
        <v>0</v>
      </c>
      <c r="D96" s="251">
        <f>IF(D$4&gt;DAY(EOMONTH(DATE($D$2,$B$2,1),0)),"",IFERROR(SUMIFS(DATA_GOC!$H:$H,DATA_GOC!$A:$A,"BOM",DATA_GOC!$D:$D,$B96,DATA_GOC!$E:$E,"Téc 2",DATA_GOC!$F:$F,"Xuất nội bộ từ téc",DATA_GOC!$B:$B,DATE($D$2,$B$2,D$4)),0))</f>
        <v>0</v>
      </c>
      <c r="E96" s="251">
        <f>IF(E$4&gt;DAY(EOMONTH(DATE($D$2,$B$2,1),0)),"",IFERROR(SUMIFS(DATA_GOC!$H:$H,DATA_GOC!$A:$A,"BOM",DATA_GOC!$D:$D,$B96,DATA_GOC!$E:$E,"Téc 2",DATA_GOC!$F:$F,"Xuất nội bộ từ téc",DATA_GOC!$B:$B,DATE($D$2,$B$2,E$4)),0))</f>
        <v>0</v>
      </c>
      <c r="F96" s="251">
        <f>IF(F$4&gt;DAY(EOMONTH(DATE($D$2,$B$2,1),0)),"",IFERROR(SUMIFS(DATA_GOC!$H:$H,DATA_GOC!$A:$A,"BOM",DATA_GOC!$D:$D,$B96,DATA_GOC!$E:$E,"Téc 2",DATA_GOC!$F:$F,"Xuất nội bộ từ téc",DATA_GOC!$B:$B,DATE($D$2,$B$2,F$4)),0))</f>
        <v>0</v>
      </c>
      <c r="G96" s="251">
        <f>IF(G$4&gt;DAY(EOMONTH(DATE($D$2,$B$2,1),0)),"",IFERROR(SUMIFS(DATA_GOC!$H:$H,DATA_GOC!$A:$A,"BOM",DATA_GOC!$D:$D,$B96,DATA_GOC!$E:$E,"Téc 2",DATA_GOC!$F:$F,"Xuất nội bộ từ téc",DATA_GOC!$B:$B,DATE($D$2,$B$2,G$4)),0))</f>
        <v>0</v>
      </c>
      <c r="H96" s="251">
        <f>IF(H$4&gt;DAY(EOMONTH(DATE($D$2,$B$2,1),0)),"",IFERROR(SUMIFS(DATA_GOC!$H:$H,DATA_GOC!$A:$A,"BOM",DATA_GOC!$D:$D,$B96,DATA_GOC!$E:$E,"Téc 2",DATA_GOC!$F:$F,"Xuất nội bộ từ téc",DATA_GOC!$B:$B,DATE($D$2,$B$2,H$4)),0))</f>
        <v>210</v>
      </c>
      <c r="I96" s="251">
        <f>IF(I$4&gt;DAY(EOMONTH(DATE($D$2,$B$2,1),0)),"",IFERROR(SUMIFS(DATA_GOC!$H:$H,DATA_GOC!$A:$A,"BOM",DATA_GOC!$D:$D,$B96,DATA_GOC!$E:$E,"Téc 2",DATA_GOC!$F:$F,"Xuất nội bộ từ téc",DATA_GOC!$B:$B,DATE($D$2,$B$2,I$4)),0))</f>
        <v>0</v>
      </c>
      <c r="J96" s="251">
        <f>IF(J$4&gt;DAY(EOMONTH(DATE($D$2,$B$2,1),0)),"",IFERROR(SUMIFS(DATA_GOC!$H:$H,DATA_GOC!$A:$A,"BOM",DATA_GOC!$D:$D,$B96,DATA_GOC!$E:$E,"Téc 2",DATA_GOC!$F:$F,"Xuất nội bộ từ téc",DATA_GOC!$B:$B,DATE($D$2,$B$2,J$4)),0))</f>
        <v>0</v>
      </c>
      <c r="K96" s="251">
        <f>IF(K$4&gt;DAY(EOMONTH(DATE($D$2,$B$2,1),0)),"",IFERROR(SUMIFS(DATA_GOC!$H:$H,DATA_GOC!$A:$A,"BOM",DATA_GOC!$D:$D,$B96,DATA_GOC!$E:$E,"Téc 2",DATA_GOC!$F:$F,"Xuất nội bộ từ téc",DATA_GOC!$B:$B,DATE($D$2,$B$2,K$4)),0))</f>
        <v>0</v>
      </c>
      <c r="L96" s="251">
        <f>IF(L$4&gt;DAY(EOMONTH(DATE($D$2,$B$2,1),0)),"",IFERROR(SUMIFS(DATA_GOC!$H:$H,DATA_GOC!$A:$A,"BOM",DATA_GOC!$D:$D,$B96,DATA_GOC!$E:$E,"Téc 2",DATA_GOC!$F:$F,"Xuất nội bộ từ téc",DATA_GOC!$B:$B,DATE($D$2,$B$2,L$4)),0))</f>
        <v>0</v>
      </c>
      <c r="M96" s="251">
        <f>IF(M$4&gt;DAY(EOMONTH(DATE($D$2,$B$2,1),0)),"",IFERROR(SUMIFS(DATA_GOC!$H:$H,DATA_GOC!$A:$A,"BOM",DATA_GOC!$D:$D,$B96,DATA_GOC!$E:$E,"Téc 2",DATA_GOC!$F:$F,"Xuất nội bộ từ téc",DATA_GOC!$B:$B,DATE($D$2,$B$2,M$4)),0))</f>
        <v>0</v>
      </c>
      <c r="N96" s="251">
        <f>IF(N$4&gt;DAY(EOMONTH(DATE($D$2,$B$2,1),0)),"",IFERROR(SUMIFS(DATA_GOC!$H:$H,DATA_GOC!$A:$A,"BOM",DATA_GOC!$D:$D,$B96,DATA_GOC!$E:$E,"Téc 2",DATA_GOC!$F:$F,"Xuất nội bộ từ téc",DATA_GOC!$B:$B,DATE($D$2,$B$2,N$4)),0))</f>
        <v>0</v>
      </c>
      <c r="O96" s="251">
        <f>IF(O$4&gt;DAY(EOMONTH(DATE($D$2,$B$2,1),0)),"",IFERROR(SUMIFS(DATA_GOC!$H:$H,DATA_GOC!$A:$A,"BOM",DATA_GOC!$D:$D,$B96,DATA_GOC!$E:$E,"Téc 2",DATA_GOC!$F:$F,"Xuất nội bộ từ téc",DATA_GOC!$B:$B,DATE($D$2,$B$2,O$4)),0))</f>
        <v>0</v>
      </c>
      <c r="P96" s="251">
        <f>IF(P$4&gt;DAY(EOMONTH(DATE($D$2,$B$2,1),0)),"",IFERROR(SUMIFS(DATA_GOC!$H:$H,DATA_GOC!$A:$A,"BOM",DATA_GOC!$D:$D,$B96,DATA_GOC!$E:$E,"Téc 2",DATA_GOC!$F:$F,"Xuất nội bộ từ téc",DATA_GOC!$B:$B,DATE($D$2,$B$2,P$4)),0))</f>
        <v>0</v>
      </c>
      <c r="Q96" s="251">
        <f>IF(Q$4&gt;DAY(EOMONTH(DATE($D$2,$B$2,1),0)),"",IFERROR(SUMIFS(DATA_GOC!$H:$H,DATA_GOC!$A:$A,"BOM",DATA_GOC!$D:$D,$B96,DATA_GOC!$E:$E,"Téc 2",DATA_GOC!$F:$F,"Xuất nội bộ từ téc",DATA_GOC!$B:$B,DATE($D$2,$B$2,Q$4)),0))</f>
        <v>0</v>
      </c>
      <c r="R96" s="251">
        <f>IF(R$4&gt;DAY(EOMONTH(DATE($D$2,$B$2,1),0)),"",IFERROR(SUMIFS(DATA_GOC!$H:$H,DATA_GOC!$A:$A,"BOM",DATA_GOC!$D:$D,$B96,DATA_GOC!$E:$E,"Téc 2",DATA_GOC!$F:$F,"Xuất nội bộ từ téc",DATA_GOC!$B:$B,DATE($D$2,$B$2,R$4)),0))</f>
        <v>0</v>
      </c>
      <c r="S96" s="251">
        <f>IF(S$4&gt;DAY(EOMONTH(DATE($D$2,$B$2,1),0)),"",IFERROR(SUMIFS(DATA_GOC!$H:$H,DATA_GOC!$A:$A,"BOM",DATA_GOC!$D:$D,$B96,DATA_GOC!$E:$E,"Téc 2",DATA_GOC!$F:$F,"Xuất nội bộ từ téc",DATA_GOC!$B:$B,DATE($D$2,$B$2,S$4)),0))</f>
        <v>0</v>
      </c>
      <c r="T96" s="251">
        <f>IF(T$4&gt;DAY(EOMONTH(DATE($D$2,$B$2,1),0)),"",IFERROR(SUMIFS(DATA_GOC!$H:$H,DATA_GOC!$A:$A,"BOM",DATA_GOC!$D:$D,$B96,DATA_GOC!$E:$E,"Téc 2",DATA_GOC!$F:$F,"Xuất nội bộ từ téc",DATA_GOC!$B:$B,DATE($D$2,$B$2,T$4)),0))</f>
        <v>0</v>
      </c>
      <c r="U96" s="251">
        <f>IF(U$4&gt;DAY(EOMONTH(DATE($D$2,$B$2,1),0)),"",IFERROR(SUMIFS(DATA_GOC!$H:$H,DATA_GOC!$A:$A,"BOM",DATA_GOC!$D:$D,$B96,DATA_GOC!$E:$E,"Téc 2",DATA_GOC!$F:$F,"Xuất nội bộ từ téc",DATA_GOC!$B:$B,DATE($D$2,$B$2,U$4)),0))</f>
        <v>0</v>
      </c>
      <c r="V96" s="251">
        <f>IF(V$4&gt;DAY(EOMONTH(DATE($D$2,$B$2,1),0)),"",IFERROR(SUMIFS(DATA_GOC!$H:$H,DATA_GOC!$A:$A,"BOM",DATA_GOC!$D:$D,$B96,DATA_GOC!$E:$E,"Téc 2",DATA_GOC!$F:$F,"Xuất nội bộ từ téc",DATA_GOC!$B:$B,DATE($D$2,$B$2,V$4)),0))</f>
        <v>0</v>
      </c>
      <c r="W96" s="251">
        <f>IF(W$4&gt;DAY(EOMONTH(DATE($D$2,$B$2,1),0)),"",IFERROR(SUMIFS(DATA_GOC!$H:$H,DATA_GOC!$A:$A,"BOM",DATA_GOC!$D:$D,$B96,DATA_GOC!$E:$E,"Téc 2",DATA_GOC!$F:$F,"Xuất nội bộ từ téc",DATA_GOC!$B:$B,DATE($D$2,$B$2,W$4)),0))</f>
        <v>0</v>
      </c>
      <c r="X96" s="251">
        <f>IF(X$4&gt;DAY(EOMONTH(DATE($D$2,$B$2,1),0)),"",IFERROR(SUMIFS(DATA_GOC!$H:$H,DATA_GOC!$A:$A,"BOM",DATA_GOC!$D:$D,$B96,DATA_GOC!$E:$E,"Téc 2",DATA_GOC!$F:$F,"Xuất nội bộ từ téc",DATA_GOC!$B:$B,DATE($D$2,$B$2,X$4)),0))</f>
        <v>0</v>
      </c>
      <c r="Y96" s="251">
        <f>IF(Y$4&gt;DAY(EOMONTH(DATE($D$2,$B$2,1),0)),"",IFERROR(SUMIFS(DATA_GOC!$H:$H,DATA_GOC!$A:$A,"BOM",DATA_GOC!$D:$D,$B96,DATA_GOC!$E:$E,"Téc 2",DATA_GOC!$F:$F,"Xuất nội bộ từ téc",DATA_GOC!$B:$B,DATE($D$2,$B$2,Y$4)),0))</f>
        <v>0</v>
      </c>
      <c r="Z96" s="251">
        <f>IF(Z$4&gt;DAY(EOMONTH(DATE($D$2,$B$2,1),0)),"",IFERROR(SUMIFS(DATA_GOC!$H:$H,DATA_GOC!$A:$A,"BOM",DATA_GOC!$D:$D,$B96,DATA_GOC!$E:$E,"Téc 2",DATA_GOC!$F:$F,"Xuất nội bộ từ téc",DATA_GOC!$B:$B,DATE($D$2,$B$2,Z$4)),0))</f>
        <v>0</v>
      </c>
      <c r="AA96" s="251">
        <f>IF(AA$4&gt;DAY(EOMONTH(DATE($D$2,$B$2,1),0)),"",IFERROR(SUMIFS(DATA_GOC!$H:$H,DATA_GOC!$A:$A,"BOM",DATA_GOC!$D:$D,$B96,DATA_GOC!$E:$E,"Téc 2",DATA_GOC!$F:$F,"Xuất nội bộ từ téc",DATA_GOC!$B:$B,DATE($D$2,$B$2,AA$4)),0))</f>
        <v>0</v>
      </c>
      <c r="AB96" s="251">
        <f>IF(AB$4&gt;DAY(EOMONTH(DATE($D$2,$B$2,1),0)),"",IFERROR(SUMIFS(DATA_GOC!$H:$H,DATA_GOC!$A:$A,"BOM",DATA_GOC!$D:$D,$B96,DATA_GOC!$E:$E,"Téc 2",DATA_GOC!$F:$F,"Xuất nội bộ từ téc",DATA_GOC!$B:$B,DATE($D$2,$B$2,AB$4)),0))</f>
        <v>0</v>
      </c>
      <c r="AC96" s="251">
        <f>IF(AC$4&gt;DAY(EOMONTH(DATE($D$2,$B$2,1),0)),"",IFERROR(SUMIFS(DATA_GOC!$H:$H,DATA_GOC!$A:$A,"BOM",DATA_GOC!$D:$D,$B96,DATA_GOC!$E:$E,"Téc 2",DATA_GOC!$F:$F,"Xuất nội bộ từ téc",DATA_GOC!$B:$B,DATE($D$2,$B$2,AC$4)),0))</f>
        <v>0</v>
      </c>
      <c r="AD96" s="251">
        <f>IF(AD$4&gt;DAY(EOMONTH(DATE($D$2,$B$2,1),0)),"",IFERROR(SUMIFS(DATA_GOC!$H:$H,DATA_GOC!$A:$A,"BOM",DATA_GOC!$D:$D,$B96,DATA_GOC!$E:$E,"Téc 2",DATA_GOC!$F:$F,"Xuất nội bộ từ téc",DATA_GOC!$B:$B,DATE($D$2,$B$2,AD$4)),0))</f>
        <v>0</v>
      </c>
      <c r="AE96" s="251">
        <f>IF(AE$4&gt;DAY(EOMONTH(DATE($D$2,$B$2,1),0)),"",IFERROR(SUMIFS(DATA_GOC!$H:$H,DATA_GOC!$A:$A,"BOM",DATA_GOC!$D:$D,$B96,DATA_GOC!$E:$E,"Téc 2",DATA_GOC!$F:$F,"Xuất nội bộ từ téc",DATA_GOC!$B:$B,DATE($D$2,$B$2,AE$4)),0))</f>
        <v>0</v>
      </c>
      <c r="AF96" s="251">
        <f>IF(AF$4&gt;DAY(EOMONTH(DATE($D$2,$B$2,1),0)),"",IFERROR(SUMIFS(DATA_GOC!$H:$H,DATA_GOC!$A:$A,"BOM",DATA_GOC!$D:$D,$B96,DATA_GOC!$E:$E,"Téc 2",DATA_GOC!$F:$F,"Xuất nội bộ từ téc",DATA_GOC!$B:$B,DATE($D$2,$B$2,AF$4)),0))</f>
        <v>0</v>
      </c>
      <c r="AG96" s="251">
        <f>IF(AG$4&gt;DAY(EOMONTH(DATE($D$2,$B$2,1),0)),"",IFERROR(SUMIFS(DATA_GOC!$H:$H,DATA_GOC!$A:$A,"BOM",DATA_GOC!$D:$D,$B96,DATA_GOC!$E:$E,"Téc 2",DATA_GOC!$F:$F,"Xuất nội bộ từ téc",DATA_GOC!$B:$B,DATE($D$2,$B$2,AG$4)),0))</f>
        <v>0</v>
      </c>
      <c r="AH96" s="252">
        <f t="shared" si="4"/>
        <v>210</v>
      </c>
      <c r="AI96" s="241">
        <f>IFERROR(SUMIFS(DATA_GOC!$H:$H,DATA_GOC!$A:$A,"BOM",DATA_GOC!$D:$D,$B96,DATA_GOC!$E:$E,"Bơm ngoài/Hải Tân",DATA_GOC!$F:$F,"Bơm ngoài",DATA_GOC!$B:$B,"&gt;="&amp;DATE($D$2,$B$2,1),DATA_GOC!$B:$B,"&lt;="&amp;EOMONTH(DATE($D$2,$B$2,1),0)),0)</f>
        <v>0</v>
      </c>
      <c r="AJ96" s="242">
        <f>IF($B96="","",SUMIFS(TINH_TEC!$K$233:$K$9232,TINH_TEC!$H$233:$H$9232,$B96,TINH_TEC!$C$233:$C$9232,"Téc 2",TINH_TEC!$F$233:$F$9232,$B$2,TINH_TEC!$G$233:$G$9232,$D$2,TINH_TEC!$B$233:$B$9232,"Đã chốt"))</f>
        <v>0</v>
      </c>
      <c r="AK96" s="242">
        <f>IF($B96="","",SUMIFS(TINH_TEC!$J$233:$J$9232,TINH_TEC!$H$233:$H$9232,$B96,TINH_TEC!$C$233:$C$9232,"Téc 2",TINH_TEC!$F$233:$F$9232,$B$2,TINH_TEC!$G$233:$G$9232,$D$2,TINH_TEC!$B$233:$B$9232,"Đã chốt"))</f>
        <v>35.644</v>
      </c>
      <c r="AL96" s="242">
        <f t="shared" si="5"/>
        <v>245.644</v>
      </c>
    </row>
    <row r="97" ht="15.75" customHeight="1">
      <c r="A97" s="237">
        <f>IF($B97&lt;&gt;"",31,"")</f>
        <v>31</v>
      </c>
      <c r="B97" s="250" t="str">
        <f t="array" ref="B97">IFERROR(INDEX(DANH_MUC!$E:$E,34),"")</f>
        <v>28C06447</v>
      </c>
      <c r="C97" s="251">
        <f>IF(C$4&gt;DAY(EOMONTH(DATE($D$2,$B$2,1),0)),"",IFERROR(SUMIFS(DATA_GOC!$H:$H,DATA_GOC!$A:$A,"BOM",DATA_GOC!$D:$D,$B97,DATA_GOC!$E:$E,"Téc 2",DATA_GOC!$F:$F,"Xuất nội bộ từ téc",DATA_GOC!$B:$B,DATE($D$2,$B$2,C$4)),0))</f>
        <v>0</v>
      </c>
      <c r="D97" s="251">
        <f>IF(D$4&gt;DAY(EOMONTH(DATE($D$2,$B$2,1),0)),"",IFERROR(SUMIFS(DATA_GOC!$H:$H,DATA_GOC!$A:$A,"BOM",DATA_GOC!$D:$D,$B97,DATA_GOC!$E:$E,"Téc 2",DATA_GOC!$F:$F,"Xuất nội bộ từ téc",DATA_GOC!$B:$B,DATE($D$2,$B$2,D$4)),0))</f>
        <v>0</v>
      </c>
      <c r="E97" s="251">
        <f>IF(E$4&gt;DAY(EOMONTH(DATE($D$2,$B$2,1),0)),"",IFERROR(SUMIFS(DATA_GOC!$H:$H,DATA_GOC!$A:$A,"BOM",DATA_GOC!$D:$D,$B97,DATA_GOC!$E:$E,"Téc 2",DATA_GOC!$F:$F,"Xuất nội bộ từ téc",DATA_GOC!$B:$B,DATE($D$2,$B$2,E$4)),0))</f>
        <v>310</v>
      </c>
      <c r="F97" s="251">
        <f>IF(F$4&gt;DAY(EOMONTH(DATE($D$2,$B$2,1),0)),"",IFERROR(SUMIFS(DATA_GOC!$H:$H,DATA_GOC!$A:$A,"BOM",DATA_GOC!$D:$D,$B97,DATA_GOC!$E:$E,"Téc 2",DATA_GOC!$F:$F,"Xuất nội bộ từ téc",DATA_GOC!$B:$B,DATE($D$2,$B$2,F$4)),0))</f>
        <v>0</v>
      </c>
      <c r="G97" s="251">
        <f>IF(G$4&gt;DAY(EOMONTH(DATE($D$2,$B$2,1),0)),"",IFERROR(SUMIFS(DATA_GOC!$H:$H,DATA_GOC!$A:$A,"BOM",DATA_GOC!$D:$D,$B97,DATA_GOC!$E:$E,"Téc 2",DATA_GOC!$F:$F,"Xuất nội bộ từ téc",DATA_GOC!$B:$B,DATE($D$2,$B$2,G$4)),0))</f>
        <v>0</v>
      </c>
      <c r="H97" s="251">
        <f>IF(H$4&gt;DAY(EOMONTH(DATE($D$2,$B$2,1),0)),"",IFERROR(SUMIFS(DATA_GOC!$H:$H,DATA_GOC!$A:$A,"BOM",DATA_GOC!$D:$D,$B97,DATA_GOC!$E:$E,"Téc 2",DATA_GOC!$F:$F,"Xuất nội bộ từ téc",DATA_GOC!$B:$B,DATE($D$2,$B$2,H$4)),0))</f>
        <v>0</v>
      </c>
      <c r="I97" s="251">
        <f>IF(I$4&gt;DAY(EOMONTH(DATE($D$2,$B$2,1),0)),"",IFERROR(SUMIFS(DATA_GOC!$H:$H,DATA_GOC!$A:$A,"BOM",DATA_GOC!$D:$D,$B97,DATA_GOC!$E:$E,"Téc 2",DATA_GOC!$F:$F,"Xuất nội bộ từ téc",DATA_GOC!$B:$B,DATE($D$2,$B$2,I$4)),0))</f>
        <v>0</v>
      </c>
      <c r="J97" s="251">
        <f>IF(J$4&gt;DAY(EOMONTH(DATE($D$2,$B$2,1),0)),"",IFERROR(SUMIFS(DATA_GOC!$H:$H,DATA_GOC!$A:$A,"BOM",DATA_GOC!$D:$D,$B97,DATA_GOC!$E:$E,"Téc 2",DATA_GOC!$F:$F,"Xuất nội bộ từ téc",DATA_GOC!$B:$B,DATE($D$2,$B$2,J$4)),0))</f>
        <v>0</v>
      </c>
      <c r="K97" s="251">
        <f>IF(K$4&gt;DAY(EOMONTH(DATE($D$2,$B$2,1),0)),"",IFERROR(SUMIFS(DATA_GOC!$H:$H,DATA_GOC!$A:$A,"BOM",DATA_GOC!$D:$D,$B97,DATA_GOC!$E:$E,"Téc 2",DATA_GOC!$F:$F,"Xuất nội bộ từ téc",DATA_GOC!$B:$B,DATE($D$2,$B$2,K$4)),0))</f>
        <v>0</v>
      </c>
      <c r="L97" s="251">
        <f>IF(L$4&gt;DAY(EOMONTH(DATE($D$2,$B$2,1),0)),"",IFERROR(SUMIFS(DATA_GOC!$H:$H,DATA_GOC!$A:$A,"BOM",DATA_GOC!$D:$D,$B97,DATA_GOC!$E:$E,"Téc 2",DATA_GOC!$F:$F,"Xuất nội bộ từ téc",DATA_GOC!$B:$B,DATE($D$2,$B$2,L$4)),0))</f>
        <v>0</v>
      </c>
      <c r="M97" s="251">
        <f>IF(M$4&gt;DAY(EOMONTH(DATE($D$2,$B$2,1),0)),"",IFERROR(SUMIFS(DATA_GOC!$H:$H,DATA_GOC!$A:$A,"BOM",DATA_GOC!$D:$D,$B97,DATA_GOC!$E:$E,"Téc 2",DATA_GOC!$F:$F,"Xuất nội bộ từ téc",DATA_GOC!$B:$B,DATE($D$2,$B$2,M$4)),0))</f>
        <v>0</v>
      </c>
      <c r="N97" s="251">
        <f>IF(N$4&gt;DAY(EOMONTH(DATE($D$2,$B$2,1),0)),"",IFERROR(SUMIFS(DATA_GOC!$H:$H,DATA_GOC!$A:$A,"BOM",DATA_GOC!$D:$D,$B97,DATA_GOC!$E:$E,"Téc 2",DATA_GOC!$F:$F,"Xuất nội bộ từ téc",DATA_GOC!$B:$B,DATE($D$2,$B$2,N$4)),0))</f>
        <v>0</v>
      </c>
      <c r="O97" s="251">
        <f>IF(O$4&gt;DAY(EOMONTH(DATE($D$2,$B$2,1),0)),"",IFERROR(SUMIFS(DATA_GOC!$H:$H,DATA_GOC!$A:$A,"BOM",DATA_GOC!$D:$D,$B97,DATA_GOC!$E:$E,"Téc 2",DATA_GOC!$F:$F,"Xuất nội bộ từ téc",DATA_GOC!$B:$B,DATE($D$2,$B$2,O$4)),0))</f>
        <v>0</v>
      </c>
      <c r="P97" s="251">
        <f>IF(P$4&gt;DAY(EOMONTH(DATE($D$2,$B$2,1),0)),"",IFERROR(SUMIFS(DATA_GOC!$H:$H,DATA_GOC!$A:$A,"BOM",DATA_GOC!$D:$D,$B97,DATA_GOC!$E:$E,"Téc 2",DATA_GOC!$F:$F,"Xuất nội bộ từ téc",DATA_GOC!$B:$B,DATE($D$2,$B$2,P$4)),0))</f>
        <v>0</v>
      </c>
      <c r="Q97" s="251">
        <f>IF(Q$4&gt;DAY(EOMONTH(DATE($D$2,$B$2,1),0)),"",IFERROR(SUMIFS(DATA_GOC!$H:$H,DATA_GOC!$A:$A,"BOM",DATA_GOC!$D:$D,$B97,DATA_GOC!$E:$E,"Téc 2",DATA_GOC!$F:$F,"Xuất nội bộ từ téc",DATA_GOC!$B:$B,DATE($D$2,$B$2,Q$4)),0))</f>
        <v>0</v>
      </c>
      <c r="R97" s="251">
        <f>IF(R$4&gt;DAY(EOMONTH(DATE($D$2,$B$2,1),0)),"",IFERROR(SUMIFS(DATA_GOC!$H:$H,DATA_GOC!$A:$A,"BOM",DATA_GOC!$D:$D,$B97,DATA_GOC!$E:$E,"Téc 2",DATA_GOC!$F:$F,"Xuất nội bộ từ téc",DATA_GOC!$B:$B,DATE($D$2,$B$2,R$4)),0))</f>
        <v>0</v>
      </c>
      <c r="S97" s="251">
        <f>IF(S$4&gt;DAY(EOMONTH(DATE($D$2,$B$2,1),0)),"",IFERROR(SUMIFS(DATA_GOC!$H:$H,DATA_GOC!$A:$A,"BOM",DATA_GOC!$D:$D,$B97,DATA_GOC!$E:$E,"Téc 2",DATA_GOC!$F:$F,"Xuất nội bộ từ téc",DATA_GOC!$B:$B,DATE($D$2,$B$2,S$4)),0))</f>
        <v>0</v>
      </c>
      <c r="T97" s="251">
        <f>IF(T$4&gt;DAY(EOMONTH(DATE($D$2,$B$2,1),0)),"",IFERROR(SUMIFS(DATA_GOC!$H:$H,DATA_GOC!$A:$A,"BOM",DATA_GOC!$D:$D,$B97,DATA_GOC!$E:$E,"Téc 2",DATA_GOC!$F:$F,"Xuất nội bộ từ téc",DATA_GOC!$B:$B,DATE($D$2,$B$2,T$4)),0))</f>
        <v>0</v>
      </c>
      <c r="U97" s="251">
        <f>IF(U$4&gt;DAY(EOMONTH(DATE($D$2,$B$2,1),0)),"",IFERROR(SUMIFS(DATA_GOC!$H:$H,DATA_GOC!$A:$A,"BOM",DATA_GOC!$D:$D,$B97,DATA_GOC!$E:$E,"Téc 2",DATA_GOC!$F:$F,"Xuất nội bộ từ téc",DATA_GOC!$B:$B,DATE($D$2,$B$2,U$4)),0))</f>
        <v>0</v>
      </c>
      <c r="V97" s="251">
        <f>IF(V$4&gt;DAY(EOMONTH(DATE($D$2,$B$2,1),0)),"",IFERROR(SUMIFS(DATA_GOC!$H:$H,DATA_GOC!$A:$A,"BOM",DATA_GOC!$D:$D,$B97,DATA_GOC!$E:$E,"Téc 2",DATA_GOC!$F:$F,"Xuất nội bộ từ téc",DATA_GOC!$B:$B,DATE($D$2,$B$2,V$4)),0))</f>
        <v>0</v>
      </c>
      <c r="W97" s="251">
        <f>IF(W$4&gt;DAY(EOMONTH(DATE($D$2,$B$2,1),0)),"",IFERROR(SUMIFS(DATA_GOC!$H:$H,DATA_GOC!$A:$A,"BOM",DATA_GOC!$D:$D,$B97,DATA_GOC!$E:$E,"Téc 2",DATA_GOC!$F:$F,"Xuất nội bộ từ téc",DATA_GOC!$B:$B,DATE($D$2,$B$2,W$4)),0))</f>
        <v>0</v>
      </c>
      <c r="X97" s="251">
        <f>IF(X$4&gt;DAY(EOMONTH(DATE($D$2,$B$2,1),0)),"",IFERROR(SUMIFS(DATA_GOC!$H:$H,DATA_GOC!$A:$A,"BOM",DATA_GOC!$D:$D,$B97,DATA_GOC!$E:$E,"Téc 2",DATA_GOC!$F:$F,"Xuất nội bộ từ téc",DATA_GOC!$B:$B,DATE($D$2,$B$2,X$4)),0))</f>
        <v>0</v>
      </c>
      <c r="Y97" s="251">
        <f>IF(Y$4&gt;DAY(EOMONTH(DATE($D$2,$B$2,1),0)),"",IFERROR(SUMIFS(DATA_GOC!$H:$H,DATA_GOC!$A:$A,"BOM",DATA_GOC!$D:$D,$B97,DATA_GOC!$E:$E,"Téc 2",DATA_GOC!$F:$F,"Xuất nội bộ từ téc",DATA_GOC!$B:$B,DATE($D$2,$B$2,Y$4)),0))</f>
        <v>0</v>
      </c>
      <c r="Z97" s="251">
        <f>IF(Z$4&gt;DAY(EOMONTH(DATE($D$2,$B$2,1),0)),"",IFERROR(SUMIFS(DATA_GOC!$H:$H,DATA_GOC!$A:$A,"BOM",DATA_GOC!$D:$D,$B97,DATA_GOC!$E:$E,"Téc 2",DATA_GOC!$F:$F,"Xuất nội bộ từ téc",DATA_GOC!$B:$B,DATE($D$2,$B$2,Z$4)),0))</f>
        <v>0</v>
      </c>
      <c r="AA97" s="251">
        <f>IF(AA$4&gt;DAY(EOMONTH(DATE($D$2,$B$2,1),0)),"",IFERROR(SUMIFS(DATA_GOC!$H:$H,DATA_GOC!$A:$A,"BOM",DATA_GOC!$D:$D,$B97,DATA_GOC!$E:$E,"Téc 2",DATA_GOC!$F:$F,"Xuất nội bộ từ téc",DATA_GOC!$B:$B,DATE($D$2,$B$2,AA$4)),0))</f>
        <v>0</v>
      </c>
      <c r="AB97" s="251">
        <f>IF(AB$4&gt;DAY(EOMONTH(DATE($D$2,$B$2,1),0)),"",IFERROR(SUMIFS(DATA_GOC!$H:$H,DATA_GOC!$A:$A,"BOM",DATA_GOC!$D:$D,$B97,DATA_GOC!$E:$E,"Téc 2",DATA_GOC!$F:$F,"Xuất nội bộ từ téc",DATA_GOC!$B:$B,DATE($D$2,$B$2,AB$4)),0))</f>
        <v>0</v>
      </c>
      <c r="AC97" s="251">
        <f>IF(AC$4&gt;DAY(EOMONTH(DATE($D$2,$B$2,1),0)),"",IFERROR(SUMIFS(DATA_GOC!$H:$H,DATA_GOC!$A:$A,"BOM",DATA_GOC!$D:$D,$B97,DATA_GOC!$E:$E,"Téc 2",DATA_GOC!$F:$F,"Xuất nội bộ từ téc",DATA_GOC!$B:$B,DATE($D$2,$B$2,AC$4)),0))</f>
        <v>0</v>
      </c>
      <c r="AD97" s="251">
        <f>IF(AD$4&gt;DAY(EOMONTH(DATE($D$2,$B$2,1),0)),"",IFERROR(SUMIFS(DATA_GOC!$H:$H,DATA_GOC!$A:$A,"BOM",DATA_GOC!$D:$D,$B97,DATA_GOC!$E:$E,"Téc 2",DATA_GOC!$F:$F,"Xuất nội bộ từ téc",DATA_GOC!$B:$B,DATE($D$2,$B$2,AD$4)),0))</f>
        <v>0</v>
      </c>
      <c r="AE97" s="251">
        <f>IF(AE$4&gt;DAY(EOMONTH(DATE($D$2,$B$2,1),0)),"",IFERROR(SUMIFS(DATA_GOC!$H:$H,DATA_GOC!$A:$A,"BOM",DATA_GOC!$D:$D,$B97,DATA_GOC!$E:$E,"Téc 2",DATA_GOC!$F:$F,"Xuất nội bộ từ téc",DATA_GOC!$B:$B,DATE($D$2,$B$2,AE$4)),0))</f>
        <v>0</v>
      </c>
      <c r="AF97" s="251">
        <f>IF(AF$4&gt;DAY(EOMONTH(DATE($D$2,$B$2,1),0)),"",IFERROR(SUMIFS(DATA_GOC!$H:$H,DATA_GOC!$A:$A,"BOM",DATA_GOC!$D:$D,$B97,DATA_GOC!$E:$E,"Téc 2",DATA_GOC!$F:$F,"Xuất nội bộ từ téc",DATA_GOC!$B:$B,DATE($D$2,$B$2,AF$4)),0))</f>
        <v>0</v>
      </c>
      <c r="AG97" s="251">
        <f>IF(AG$4&gt;DAY(EOMONTH(DATE($D$2,$B$2,1),0)),"",IFERROR(SUMIFS(DATA_GOC!$H:$H,DATA_GOC!$A:$A,"BOM",DATA_GOC!$D:$D,$B97,DATA_GOC!$E:$E,"Téc 2",DATA_GOC!$F:$F,"Xuất nội bộ từ téc",DATA_GOC!$B:$B,DATE($D$2,$B$2,AG$4)),0))</f>
        <v>0</v>
      </c>
      <c r="AH97" s="252">
        <f t="shared" si="4"/>
        <v>310</v>
      </c>
      <c r="AI97" s="241">
        <f>IFERROR(SUMIFS(DATA_GOC!$H:$H,DATA_GOC!$A:$A,"BOM",DATA_GOC!$D:$D,$B97,DATA_GOC!$E:$E,"Bơm ngoài/Hải Tân",DATA_GOC!$F:$F,"Bơm ngoài",DATA_GOC!$B:$B,"&gt;="&amp;DATE($D$2,$B$2,1),DATA_GOC!$B:$B,"&lt;="&amp;EOMONTH(DATE($D$2,$B$2,1),0)),0)</f>
        <v>0</v>
      </c>
      <c r="AJ97" s="242">
        <f>IF($B97="","",SUMIFS(TINH_TEC!$K$233:$K$9232,TINH_TEC!$H$233:$H$9232,$B97,TINH_TEC!$C$233:$C$9232,"Téc 2",TINH_TEC!$F$233:$F$9232,$B$2,TINH_TEC!$G$233:$G$9232,$D$2,TINH_TEC!$B$233:$B$9232,"Đã chốt"))</f>
        <v>0</v>
      </c>
      <c r="AK97" s="242">
        <f>IF($B97="","",SUMIFS(TINH_TEC!$J$233:$J$9232,TINH_TEC!$H$233:$H$9232,$B97,TINH_TEC!$C$233:$C$9232,"Téc 2",TINH_TEC!$F$233:$F$9232,$B$2,TINH_TEC!$G$233:$G$9232,$D$2,TINH_TEC!$B$233:$B$9232,"Đã chốt"))</f>
        <v>56.787</v>
      </c>
      <c r="AL97" s="242">
        <f t="shared" si="5"/>
        <v>366.787</v>
      </c>
    </row>
    <row r="98" ht="15.75" customHeight="1">
      <c r="A98" s="237">
        <f>IF($B98&lt;&gt;"",32,"")</f>
        <v>32</v>
      </c>
      <c r="B98" s="250" t="str">
        <f t="array" ref="B98">IFERROR(INDEX(DANH_MUC!$E:$E,35),"")</f>
        <v>28H00003</v>
      </c>
      <c r="C98" s="251">
        <f>IF(C$4&gt;DAY(EOMONTH(DATE($D$2,$B$2,1),0)),"",IFERROR(SUMIFS(DATA_GOC!$H:$H,DATA_GOC!$A:$A,"BOM",DATA_GOC!$D:$D,$B98,DATA_GOC!$E:$E,"Téc 2",DATA_GOC!$F:$F,"Xuất nội bộ từ téc",DATA_GOC!$B:$B,DATE($D$2,$B$2,C$4)),0))</f>
        <v>0</v>
      </c>
      <c r="D98" s="251">
        <f>IF(D$4&gt;DAY(EOMONTH(DATE($D$2,$B$2,1),0)),"",IFERROR(SUMIFS(DATA_GOC!$H:$H,DATA_GOC!$A:$A,"BOM",DATA_GOC!$D:$D,$B98,DATA_GOC!$E:$E,"Téc 2",DATA_GOC!$F:$F,"Xuất nội bộ từ téc",DATA_GOC!$B:$B,DATE($D$2,$B$2,D$4)),0))</f>
        <v>0</v>
      </c>
      <c r="E98" s="251">
        <f>IF(E$4&gt;DAY(EOMONTH(DATE($D$2,$B$2,1),0)),"",IFERROR(SUMIFS(DATA_GOC!$H:$H,DATA_GOC!$A:$A,"BOM",DATA_GOC!$D:$D,$B98,DATA_GOC!$E:$E,"Téc 2",DATA_GOC!$F:$F,"Xuất nội bộ từ téc",DATA_GOC!$B:$B,DATE($D$2,$B$2,E$4)),0))</f>
        <v>360</v>
      </c>
      <c r="F98" s="251">
        <f>IF(F$4&gt;DAY(EOMONTH(DATE($D$2,$B$2,1),0)),"",IFERROR(SUMIFS(DATA_GOC!$H:$H,DATA_GOC!$A:$A,"BOM",DATA_GOC!$D:$D,$B98,DATA_GOC!$E:$E,"Téc 2",DATA_GOC!$F:$F,"Xuất nội bộ từ téc",DATA_GOC!$B:$B,DATE($D$2,$B$2,F$4)),0))</f>
        <v>0</v>
      </c>
      <c r="G98" s="251">
        <f>IF(G$4&gt;DAY(EOMONTH(DATE($D$2,$B$2,1),0)),"",IFERROR(SUMIFS(DATA_GOC!$H:$H,DATA_GOC!$A:$A,"BOM",DATA_GOC!$D:$D,$B98,DATA_GOC!$E:$E,"Téc 2",DATA_GOC!$F:$F,"Xuất nội bộ từ téc",DATA_GOC!$B:$B,DATE($D$2,$B$2,G$4)),0))</f>
        <v>0</v>
      </c>
      <c r="H98" s="251">
        <f>IF(H$4&gt;DAY(EOMONTH(DATE($D$2,$B$2,1),0)),"",IFERROR(SUMIFS(DATA_GOC!$H:$H,DATA_GOC!$A:$A,"BOM",DATA_GOC!$D:$D,$B98,DATA_GOC!$E:$E,"Téc 2",DATA_GOC!$F:$F,"Xuất nội bộ từ téc",DATA_GOC!$B:$B,DATE($D$2,$B$2,H$4)),0))</f>
        <v>0</v>
      </c>
      <c r="I98" s="251">
        <f>IF(I$4&gt;DAY(EOMONTH(DATE($D$2,$B$2,1),0)),"",IFERROR(SUMIFS(DATA_GOC!$H:$H,DATA_GOC!$A:$A,"BOM",DATA_GOC!$D:$D,$B98,DATA_GOC!$E:$E,"Téc 2",DATA_GOC!$F:$F,"Xuất nội bộ từ téc",DATA_GOC!$B:$B,DATE($D$2,$B$2,I$4)),0))</f>
        <v>0</v>
      </c>
      <c r="J98" s="251">
        <f>IF(J$4&gt;DAY(EOMONTH(DATE($D$2,$B$2,1),0)),"",IFERROR(SUMIFS(DATA_GOC!$H:$H,DATA_GOC!$A:$A,"BOM",DATA_GOC!$D:$D,$B98,DATA_GOC!$E:$E,"Téc 2",DATA_GOC!$F:$F,"Xuất nội bộ từ téc",DATA_GOC!$B:$B,DATE($D$2,$B$2,J$4)),0))</f>
        <v>0</v>
      </c>
      <c r="K98" s="251">
        <f>IF(K$4&gt;DAY(EOMONTH(DATE($D$2,$B$2,1),0)),"",IFERROR(SUMIFS(DATA_GOC!$H:$H,DATA_GOC!$A:$A,"BOM",DATA_GOC!$D:$D,$B98,DATA_GOC!$E:$E,"Téc 2",DATA_GOC!$F:$F,"Xuất nội bộ từ téc",DATA_GOC!$B:$B,DATE($D$2,$B$2,K$4)),0))</f>
        <v>0</v>
      </c>
      <c r="L98" s="251">
        <f>IF(L$4&gt;DAY(EOMONTH(DATE($D$2,$B$2,1),0)),"",IFERROR(SUMIFS(DATA_GOC!$H:$H,DATA_GOC!$A:$A,"BOM",DATA_GOC!$D:$D,$B98,DATA_GOC!$E:$E,"Téc 2",DATA_GOC!$F:$F,"Xuất nội bộ từ téc",DATA_GOC!$B:$B,DATE($D$2,$B$2,L$4)),0))</f>
        <v>0</v>
      </c>
      <c r="M98" s="251">
        <f>IF(M$4&gt;DAY(EOMONTH(DATE($D$2,$B$2,1),0)),"",IFERROR(SUMIFS(DATA_GOC!$H:$H,DATA_GOC!$A:$A,"BOM",DATA_GOC!$D:$D,$B98,DATA_GOC!$E:$E,"Téc 2",DATA_GOC!$F:$F,"Xuất nội bộ từ téc",DATA_GOC!$B:$B,DATE($D$2,$B$2,M$4)),0))</f>
        <v>0</v>
      </c>
      <c r="N98" s="251">
        <f>IF(N$4&gt;DAY(EOMONTH(DATE($D$2,$B$2,1),0)),"",IFERROR(SUMIFS(DATA_GOC!$H:$H,DATA_GOC!$A:$A,"BOM",DATA_GOC!$D:$D,$B98,DATA_GOC!$E:$E,"Téc 2",DATA_GOC!$F:$F,"Xuất nội bộ từ téc",DATA_GOC!$B:$B,DATE($D$2,$B$2,N$4)),0))</f>
        <v>0</v>
      </c>
      <c r="O98" s="251">
        <f>IF(O$4&gt;DAY(EOMONTH(DATE($D$2,$B$2,1),0)),"",IFERROR(SUMIFS(DATA_GOC!$H:$H,DATA_GOC!$A:$A,"BOM",DATA_GOC!$D:$D,$B98,DATA_GOC!$E:$E,"Téc 2",DATA_GOC!$F:$F,"Xuất nội bộ từ téc",DATA_GOC!$B:$B,DATE($D$2,$B$2,O$4)),0))</f>
        <v>0</v>
      </c>
      <c r="P98" s="251">
        <f>IF(P$4&gt;DAY(EOMONTH(DATE($D$2,$B$2,1),0)),"",IFERROR(SUMIFS(DATA_GOC!$H:$H,DATA_GOC!$A:$A,"BOM",DATA_GOC!$D:$D,$B98,DATA_GOC!$E:$E,"Téc 2",DATA_GOC!$F:$F,"Xuất nội bộ từ téc",DATA_GOC!$B:$B,DATE($D$2,$B$2,P$4)),0))</f>
        <v>0</v>
      </c>
      <c r="Q98" s="251">
        <f>IF(Q$4&gt;DAY(EOMONTH(DATE($D$2,$B$2,1),0)),"",IFERROR(SUMIFS(DATA_GOC!$H:$H,DATA_GOC!$A:$A,"BOM",DATA_GOC!$D:$D,$B98,DATA_GOC!$E:$E,"Téc 2",DATA_GOC!$F:$F,"Xuất nội bộ từ téc",DATA_GOC!$B:$B,DATE($D$2,$B$2,Q$4)),0))</f>
        <v>0</v>
      </c>
      <c r="R98" s="251">
        <f>IF(R$4&gt;DAY(EOMONTH(DATE($D$2,$B$2,1),0)),"",IFERROR(SUMIFS(DATA_GOC!$H:$H,DATA_GOC!$A:$A,"BOM",DATA_GOC!$D:$D,$B98,DATA_GOC!$E:$E,"Téc 2",DATA_GOC!$F:$F,"Xuất nội bộ từ téc",DATA_GOC!$B:$B,DATE($D$2,$B$2,R$4)),0))</f>
        <v>0</v>
      </c>
      <c r="S98" s="251">
        <f>IF(S$4&gt;DAY(EOMONTH(DATE($D$2,$B$2,1),0)),"",IFERROR(SUMIFS(DATA_GOC!$H:$H,DATA_GOC!$A:$A,"BOM",DATA_GOC!$D:$D,$B98,DATA_GOC!$E:$E,"Téc 2",DATA_GOC!$F:$F,"Xuất nội bộ từ téc",DATA_GOC!$B:$B,DATE($D$2,$B$2,S$4)),0))</f>
        <v>0</v>
      </c>
      <c r="T98" s="251">
        <f>IF(T$4&gt;DAY(EOMONTH(DATE($D$2,$B$2,1),0)),"",IFERROR(SUMIFS(DATA_GOC!$H:$H,DATA_GOC!$A:$A,"BOM",DATA_GOC!$D:$D,$B98,DATA_GOC!$E:$E,"Téc 2",DATA_GOC!$F:$F,"Xuất nội bộ từ téc",DATA_GOC!$B:$B,DATE($D$2,$B$2,T$4)),0))</f>
        <v>0</v>
      </c>
      <c r="U98" s="251">
        <f>IF(U$4&gt;DAY(EOMONTH(DATE($D$2,$B$2,1),0)),"",IFERROR(SUMIFS(DATA_GOC!$H:$H,DATA_GOC!$A:$A,"BOM",DATA_GOC!$D:$D,$B98,DATA_GOC!$E:$E,"Téc 2",DATA_GOC!$F:$F,"Xuất nội bộ từ téc",DATA_GOC!$B:$B,DATE($D$2,$B$2,U$4)),0))</f>
        <v>0</v>
      </c>
      <c r="V98" s="251">
        <f>IF(V$4&gt;DAY(EOMONTH(DATE($D$2,$B$2,1),0)),"",IFERROR(SUMIFS(DATA_GOC!$H:$H,DATA_GOC!$A:$A,"BOM",DATA_GOC!$D:$D,$B98,DATA_GOC!$E:$E,"Téc 2",DATA_GOC!$F:$F,"Xuất nội bộ từ téc",DATA_GOC!$B:$B,DATE($D$2,$B$2,V$4)),0))</f>
        <v>0</v>
      </c>
      <c r="W98" s="251">
        <f>IF(W$4&gt;DAY(EOMONTH(DATE($D$2,$B$2,1),0)),"",IFERROR(SUMIFS(DATA_GOC!$H:$H,DATA_GOC!$A:$A,"BOM",DATA_GOC!$D:$D,$B98,DATA_GOC!$E:$E,"Téc 2",DATA_GOC!$F:$F,"Xuất nội bộ từ téc",DATA_GOC!$B:$B,DATE($D$2,$B$2,W$4)),0))</f>
        <v>0</v>
      </c>
      <c r="X98" s="251">
        <f>IF(X$4&gt;DAY(EOMONTH(DATE($D$2,$B$2,1),0)),"",IFERROR(SUMIFS(DATA_GOC!$H:$H,DATA_GOC!$A:$A,"BOM",DATA_GOC!$D:$D,$B98,DATA_GOC!$E:$E,"Téc 2",DATA_GOC!$F:$F,"Xuất nội bộ từ téc",DATA_GOC!$B:$B,DATE($D$2,$B$2,X$4)),0))</f>
        <v>0</v>
      </c>
      <c r="Y98" s="251">
        <f>IF(Y$4&gt;DAY(EOMONTH(DATE($D$2,$B$2,1),0)),"",IFERROR(SUMIFS(DATA_GOC!$H:$H,DATA_GOC!$A:$A,"BOM",DATA_GOC!$D:$D,$B98,DATA_GOC!$E:$E,"Téc 2",DATA_GOC!$F:$F,"Xuất nội bộ từ téc",DATA_GOC!$B:$B,DATE($D$2,$B$2,Y$4)),0))</f>
        <v>0</v>
      </c>
      <c r="Z98" s="251">
        <f>IF(Z$4&gt;DAY(EOMONTH(DATE($D$2,$B$2,1),0)),"",IFERROR(SUMIFS(DATA_GOC!$H:$H,DATA_GOC!$A:$A,"BOM",DATA_GOC!$D:$D,$B98,DATA_GOC!$E:$E,"Téc 2",DATA_GOC!$F:$F,"Xuất nội bộ từ téc",DATA_GOC!$B:$B,DATE($D$2,$B$2,Z$4)),0))</f>
        <v>0</v>
      </c>
      <c r="AA98" s="251">
        <f>IF(AA$4&gt;DAY(EOMONTH(DATE($D$2,$B$2,1),0)),"",IFERROR(SUMIFS(DATA_GOC!$H:$H,DATA_GOC!$A:$A,"BOM",DATA_GOC!$D:$D,$B98,DATA_GOC!$E:$E,"Téc 2",DATA_GOC!$F:$F,"Xuất nội bộ từ téc",DATA_GOC!$B:$B,DATE($D$2,$B$2,AA$4)),0))</f>
        <v>0</v>
      </c>
      <c r="AB98" s="251">
        <f>IF(AB$4&gt;DAY(EOMONTH(DATE($D$2,$B$2,1),0)),"",IFERROR(SUMIFS(DATA_GOC!$H:$H,DATA_GOC!$A:$A,"BOM",DATA_GOC!$D:$D,$B98,DATA_GOC!$E:$E,"Téc 2",DATA_GOC!$F:$F,"Xuất nội bộ từ téc",DATA_GOC!$B:$B,DATE($D$2,$B$2,AB$4)),0))</f>
        <v>0</v>
      </c>
      <c r="AC98" s="251">
        <f>IF(AC$4&gt;DAY(EOMONTH(DATE($D$2,$B$2,1),0)),"",IFERROR(SUMIFS(DATA_GOC!$H:$H,DATA_GOC!$A:$A,"BOM",DATA_GOC!$D:$D,$B98,DATA_GOC!$E:$E,"Téc 2",DATA_GOC!$F:$F,"Xuất nội bộ từ téc",DATA_GOC!$B:$B,DATE($D$2,$B$2,AC$4)),0))</f>
        <v>0</v>
      </c>
      <c r="AD98" s="251">
        <f>IF(AD$4&gt;DAY(EOMONTH(DATE($D$2,$B$2,1),0)),"",IFERROR(SUMIFS(DATA_GOC!$H:$H,DATA_GOC!$A:$A,"BOM",DATA_GOC!$D:$D,$B98,DATA_GOC!$E:$E,"Téc 2",DATA_GOC!$F:$F,"Xuất nội bộ từ téc",DATA_GOC!$B:$B,DATE($D$2,$B$2,AD$4)),0))</f>
        <v>0</v>
      </c>
      <c r="AE98" s="251">
        <f>IF(AE$4&gt;DAY(EOMONTH(DATE($D$2,$B$2,1),0)),"",IFERROR(SUMIFS(DATA_GOC!$H:$H,DATA_GOC!$A:$A,"BOM",DATA_GOC!$D:$D,$B98,DATA_GOC!$E:$E,"Téc 2",DATA_GOC!$F:$F,"Xuất nội bộ từ téc",DATA_GOC!$B:$B,DATE($D$2,$B$2,AE$4)),0))</f>
        <v>0</v>
      </c>
      <c r="AF98" s="251">
        <f>IF(AF$4&gt;DAY(EOMONTH(DATE($D$2,$B$2,1),0)),"",IFERROR(SUMIFS(DATA_GOC!$H:$H,DATA_GOC!$A:$A,"BOM",DATA_GOC!$D:$D,$B98,DATA_GOC!$E:$E,"Téc 2",DATA_GOC!$F:$F,"Xuất nội bộ từ téc",DATA_GOC!$B:$B,DATE($D$2,$B$2,AF$4)),0))</f>
        <v>0</v>
      </c>
      <c r="AG98" s="251">
        <f>IF(AG$4&gt;DAY(EOMONTH(DATE($D$2,$B$2,1),0)),"",IFERROR(SUMIFS(DATA_GOC!$H:$H,DATA_GOC!$A:$A,"BOM",DATA_GOC!$D:$D,$B98,DATA_GOC!$E:$E,"Téc 2",DATA_GOC!$F:$F,"Xuất nội bộ từ téc",DATA_GOC!$B:$B,DATE($D$2,$B$2,AG$4)),0))</f>
        <v>0</v>
      </c>
      <c r="AH98" s="252">
        <f t="shared" si="4"/>
        <v>360</v>
      </c>
      <c r="AI98" s="241">
        <f>IFERROR(SUMIFS(DATA_GOC!$H:$H,DATA_GOC!$A:$A,"BOM",DATA_GOC!$D:$D,$B98,DATA_GOC!$E:$E,"Bơm ngoài/Hải Tân",DATA_GOC!$F:$F,"Bơm ngoài",DATA_GOC!$B:$B,"&gt;="&amp;DATE($D$2,$B$2,1),DATA_GOC!$B:$B,"&lt;="&amp;EOMONTH(DATE($D$2,$B$2,1),0)),0)</f>
        <v>0</v>
      </c>
      <c r="AJ98" s="242">
        <f>IF($B98="","",SUMIFS(TINH_TEC!$K$233:$K$9232,TINH_TEC!$H$233:$H$9232,$B98,TINH_TEC!$C$233:$C$9232,"Téc 2",TINH_TEC!$F$233:$F$9232,$B$2,TINH_TEC!$G$233:$G$9232,$D$2,TINH_TEC!$B$233:$B$9232,"Đã chốt"))</f>
        <v>0</v>
      </c>
      <c r="AK98" s="242">
        <f>IF($B98="","",SUMIFS(TINH_TEC!$J$233:$J$9232,TINH_TEC!$H$233:$H$9232,$B98,TINH_TEC!$C$233:$C$9232,"Téc 2",TINH_TEC!$F$233:$F$9232,$B$2,TINH_TEC!$G$233:$G$9232,$D$2,TINH_TEC!$B$233:$B$9232,"Đã chốt"))</f>
        <v>75.249</v>
      </c>
      <c r="AL98" s="242">
        <f t="shared" si="5"/>
        <v>435.249</v>
      </c>
    </row>
    <row r="99" ht="15.75" customHeight="1">
      <c r="A99" s="237">
        <f>IF($B99&lt;&gt;"",33,"")</f>
        <v>33</v>
      </c>
      <c r="B99" s="250" t="str">
        <f t="array" ref="B99">IFERROR(INDEX(DANH_MUC!$E:$E,36),"")</f>
        <v>28H00061</v>
      </c>
      <c r="C99" s="251">
        <f>IF(C$4&gt;DAY(EOMONTH(DATE($D$2,$B$2,1),0)),"",IFERROR(SUMIFS(DATA_GOC!$H:$H,DATA_GOC!$A:$A,"BOM",DATA_GOC!$D:$D,$B99,DATA_GOC!$E:$E,"Téc 2",DATA_GOC!$F:$F,"Xuất nội bộ từ téc",DATA_GOC!$B:$B,DATE($D$2,$B$2,C$4)),0))</f>
        <v>0</v>
      </c>
      <c r="D99" s="251">
        <f>IF(D$4&gt;DAY(EOMONTH(DATE($D$2,$B$2,1),0)),"",IFERROR(SUMIFS(DATA_GOC!$H:$H,DATA_GOC!$A:$A,"BOM",DATA_GOC!$D:$D,$B99,DATA_GOC!$E:$E,"Téc 2",DATA_GOC!$F:$F,"Xuất nội bộ từ téc",DATA_GOC!$B:$B,DATE($D$2,$B$2,D$4)),0))</f>
        <v>0</v>
      </c>
      <c r="E99" s="251">
        <f>IF(E$4&gt;DAY(EOMONTH(DATE($D$2,$B$2,1),0)),"",IFERROR(SUMIFS(DATA_GOC!$H:$H,DATA_GOC!$A:$A,"BOM",DATA_GOC!$D:$D,$B99,DATA_GOC!$E:$E,"Téc 2",DATA_GOC!$F:$F,"Xuất nội bộ từ téc",DATA_GOC!$B:$B,DATE($D$2,$B$2,E$4)),0))</f>
        <v>164</v>
      </c>
      <c r="F99" s="251">
        <f>IF(F$4&gt;DAY(EOMONTH(DATE($D$2,$B$2,1),0)),"",IFERROR(SUMIFS(DATA_GOC!$H:$H,DATA_GOC!$A:$A,"BOM",DATA_GOC!$D:$D,$B99,DATA_GOC!$E:$E,"Téc 2",DATA_GOC!$F:$F,"Xuất nội bộ từ téc",DATA_GOC!$B:$B,DATE($D$2,$B$2,F$4)),0))</f>
        <v>0</v>
      </c>
      <c r="G99" s="251">
        <f>IF(G$4&gt;DAY(EOMONTH(DATE($D$2,$B$2,1),0)),"",IFERROR(SUMIFS(DATA_GOC!$H:$H,DATA_GOC!$A:$A,"BOM",DATA_GOC!$D:$D,$B99,DATA_GOC!$E:$E,"Téc 2",DATA_GOC!$F:$F,"Xuất nội bộ từ téc",DATA_GOC!$B:$B,DATE($D$2,$B$2,G$4)),0))</f>
        <v>0</v>
      </c>
      <c r="H99" s="251">
        <f>IF(H$4&gt;DAY(EOMONTH(DATE($D$2,$B$2,1),0)),"",IFERROR(SUMIFS(DATA_GOC!$H:$H,DATA_GOC!$A:$A,"BOM",DATA_GOC!$D:$D,$B99,DATA_GOC!$E:$E,"Téc 2",DATA_GOC!$F:$F,"Xuất nội bộ từ téc",DATA_GOC!$B:$B,DATE($D$2,$B$2,H$4)),0))</f>
        <v>0</v>
      </c>
      <c r="I99" s="251">
        <f>IF(I$4&gt;DAY(EOMONTH(DATE($D$2,$B$2,1),0)),"",IFERROR(SUMIFS(DATA_GOC!$H:$H,DATA_GOC!$A:$A,"BOM",DATA_GOC!$D:$D,$B99,DATA_GOC!$E:$E,"Téc 2",DATA_GOC!$F:$F,"Xuất nội bộ từ téc",DATA_GOC!$B:$B,DATE($D$2,$B$2,I$4)),0))</f>
        <v>0</v>
      </c>
      <c r="J99" s="251">
        <f>IF(J$4&gt;DAY(EOMONTH(DATE($D$2,$B$2,1),0)),"",IFERROR(SUMIFS(DATA_GOC!$H:$H,DATA_GOC!$A:$A,"BOM",DATA_GOC!$D:$D,$B99,DATA_GOC!$E:$E,"Téc 2",DATA_GOC!$F:$F,"Xuất nội bộ từ téc",DATA_GOC!$B:$B,DATE($D$2,$B$2,J$4)),0))</f>
        <v>0</v>
      </c>
      <c r="K99" s="251">
        <f>IF(K$4&gt;DAY(EOMONTH(DATE($D$2,$B$2,1),0)),"",IFERROR(SUMIFS(DATA_GOC!$H:$H,DATA_GOC!$A:$A,"BOM",DATA_GOC!$D:$D,$B99,DATA_GOC!$E:$E,"Téc 2",DATA_GOC!$F:$F,"Xuất nội bộ từ téc",DATA_GOC!$B:$B,DATE($D$2,$B$2,K$4)),0))</f>
        <v>0</v>
      </c>
      <c r="L99" s="251">
        <f>IF(L$4&gt;DAY(EOMONTH(DATE($D$2,$B$2,1),0)),"",IFERROR(SUMIFS(DATA_GOC!$H:$H,DATA_GOC!$A:$A,"BOM",DATA_GOC!$D:$D,$B99,DATA_GOC!$E:$E,"Téc 2",DATA_GOC!$F:$F,"Xuất nội bộ từ téc",DATA_GOC!$B:$B,DATE($D$2,$B$2,L$4)),0))</f>
        <v>0</v>
      </c>
      <c r="M99" s="251">
        <f>IF(M$4&gt;DAY(EOMONTH(DATE($D$2,$B$2,1),0)),"",IFERROR(SUMIFS(DATA_GOC!$H:$H,DATA_GOC!$A:$A,"BOM",DATA_GOC!$D:$D,$B99,DATA_GOC!$E:$E,"Téc 2",DATA_GOC!$F:$F,"Xuất nội bộ từ téc",DATA_GOC!$B:$B,DATE($D$2,$B$2,M$4)),0))</f>
        <v>0</v>
      </c>
      <c r="N99" s="251">
        <f>IF(N$4&gt;DAY(EOMONTH(DATE($D$2,$B$2,1),0)),"",IFERROR(SUMIFS(DATA_GOC!$H:$H,DATA_GOC!$A:$A,"BOM",DATA_GOC!$D:$D,$B99,DATA_GOC!$E:$E,"Téc 2",DATA_GOC!$F:$F,"Xuất nội bộ từ téc",DATA_GOC!$B:$B,DATE($D$2,$B$2,N$4)),0))</f>
        <v>0</v>
      </c>
      <c r="O99" s="251">
        <f>IF(O$4&gt;DAY(EOMONTH(DATE($D$2,$B$2,1),0)),"",IFERROR(SUMIFS(DATA_GOC!$H:$H,DATA_GOC!$A:$A,"BOM",DATA_GOC!$D:$D,$B99,DATA_GOC!$E:$E,"Téc 2",DATA_GOC!$F:$F,"Xuất nội bộ từ téc",DATA_GOC!$B:$B,DATE($D$2,$B$2,O$4)),0))</f>
        <v>0</v>
      </c>
      <c r="P99" s="251">
        <f>IF(P$4&gt;DAY(EOMONTH(DATE($D$2,$B$2,1),0)),"",IFERROR(SUMIFS(DATA_GOC!$H:$H,DATA_GOC!$A:$A,"BOM",DATA_GOC!$D:$D,$B99,DATA_GOC!$E:$E,"Téc 2",DATA_GOC!$F:$F,"Xuất nội bộ từ téc",DATA_GOC!$B:$B,DATE($D$2,$B$2,P$4)),0))</f>
        <v>0</v>
      </c>
      <c r="Q99" s="251">
        <f>IF(Q$4&gt;DAY(EOMONTH(DATE($D$2,$B$2,1),0)),"",IFERROR(SUMIFS(DATA_GOC!$H:$H,DATA_GOC!$A:$A,"BOM",DATA_GOC!$D:$D,$B99,DATA_GOC!$E:$E,"Téc 2",DATA_GOC!$F:$F,"Xuất nội bộ từ téc",DATA_GOC!$B:$B,DATE($D$2,$B$2,Q$4)),0))</f>
        <v>0</v>
      </c>
      <c r="R99" s="251">
        <f>IF(R$4&gt;DAY(EOMONTH(DATE($D$2,$B$2,1),0)),"",IFERROR(SUMIFS(DATA_GOC!$H:$H,DATA_GOC!$A:$A,"BOM",DATA_GOC!$D:$D,$B99,DATA_GOC!$E:$E,"Téc 2",DATA_GOC!$F:$F,"Xuất nội bộ từ téc",DATA_GOC!$B:$B,DATE($D$2,$B$2,R$4)),0))</f>
        <v>0</v>
      </c>
      <c r="S99" s="251">
        <f>IF(S$4&gt;DAY(EOMONTH(DATE($D$2,$B$2,1),0)),"",IFERROR(SUMIFS(DATA_GOC!$H:$H,DATA_GOC!$A:$A,"BOM",DATA_GOC!$D:$D,$B99,DATA_GOC!$E:$E,"Téc 2",DATA_GOC!$F:$F,"Xuất nội bộ từ téc",DATA_GOC!$B:$B,DATE($D$2,$B$2,S$4)),0))</f>
        <v>0</v>
      </c>
      <c r="T99" s="251">
        <f>IF(T$4&gt;DAY(EOMONTH(DATE($D$2,$B$2,1),0)),"",IFERROR(SUMIFS(DATA_GOC!$H:$H,DATA_GOC!$A:$A,"BOM",DATA_GOC!$D:$D,$B99,DATA_GOC!$E:$E,"Téc 2",DATA_GOC!$F:$F,"Xuất nội bộ từ téc",DATA_GOC!$B:$B,DATE($D$2,$B$2,T$4)),0))</f>
        <v>0</v>
      </c>
      <c r="U99" s="251">
        <f>IF(U$4&gt;DAY(EOMONTH(DATE($D$2,$B$2,1),0)),"",IFERROR(SUMIFS(DATA_GOC!$H:$H,DATA_GOC!$A:$A,"BOM",DATA_GOC!$D:$D,$B99,DATA_GOC!$E:$E,"Téc 2",DATA_GOC!$F:$F,"Xuất nội bộ từ téc",DATA_GOC!$B:$B,DATE($D$2,$B$2,U$4)),0))</f>
        <v>0</v>
      </c>
      <c r="V99" s="251">
        <f>IF(V$4&gt;DAY(EOMONTH(DATE($D$2,$B$2,1),0)),"",IFERROR(SUMIFS(DATA_GOC!$H:$H,DATA_GOC!$A:$A,"BOM",DATA_GOC!$D:$D,$B99,DATA_GOC!$E:$E,"Téc 2",DATA_GOC!$F:$F,"Xuất nội bộ từ téc",DATA_GOC!$B:$B,DATE($D$2,$B$2,V$4)),0))</f>
        <v>0</v>
      </c>
      <c r="W99" s="251">
        <f>IF(W$4&gt;DAY(EOMONTH(DATE($D$2,$B$2,1),0)),"",IFERROR(SUMIFS(DATA_GOC!$H:$H,DATA_GOC!$A:$A,"BOM",DATA_GOC!$D:$D,$B99,DATA_GOC!$E:$E,"Téc 2",DATA_GOC!$F:$F,"Xuất nội bộ từ téc",DATA_GOC!$B:$B,DATE($D$2,$B$2,W$4)),0))</f>
        <v>0</v>
      </c>
      <c r="X99" s="251">
        <f>IF(X$4&gt;DAY(EOMONTH(DATE($D$2,$B$2,1),0)),"",IFERROR(SUMIFS(DATA_GOC!$H:$H,DATA_GOC!$A:$A,"BOM",DATA_GOC!$D:$D,$B99,DATA_GOC!$E:$E,"Téc 2",DATA_GOC!$F:$F,"Xuất nội bộ từ téc",DATA_GOC!$B:$B,DATE($D$2,$B$2,X$4)),0))</f>
        <v>0</v>
      </c>
      <c r="Y99" s="251">
        <f>IF(Y$4&gt;DAY(EOMONTH(DATE($D$2,$B$2,1),0)),"",IFERROR(SUMIFS(DATA_GOC!$H:$H,DATA_GOC!$A:$A,"BOM",DATA_GOC!$D:$D,$B99,DATA_GOC!$E:$E,"Téc 2",DATA_GOC!$F:$F,"Xuất nội bộ từ téc",DATA_GOC!$B:$B,DATE($D$2,$B$2,Y$4)),0))</f>
        <v>0</v>
      </c>
      <c r="Z99" s="251">
        <f>IF(Z$4&gt;DAY(EOMONTH(DATE($D$2,$B$2,1),0)),"",IFERROR(SUMIFS(DATA_GOC!$H:$H,DATA_GOC!$A:$A,"BOM",DATA_GOC!$D:$D,$B99,DATA_GOC!$E:$E,"Téc 2",DATA_GOC!$F:$F,"Xuất nội bộ từ téc",DATA_GOC!$B:$B,DATE($D$2,$B$2,Z$4)),0))</f>
        <v>0</v>
      </c>
      <c r="AA99" s="251">
        <f>IF(AA$4&gt;DAY(EOMONTH(DATE($D$2,$B$2,1),0)),"",IFERROR(SUMIFS(DATA_GOC!$H:$H,DATA_GOC!$A:$A,"BOM",DATA_GOC!$D:$D,$B99,DATA_GOC!$E:$E,"Téc 2",DATA_GOC!$F:$F,"Xuất nội bộ từ téc",DATA_GOC!$B:$B,DATE($D$2,$B$2,AA$4)),0))</f>
        <v>0</v>
      </c>
      <c r="AB99" s="251">
        <f>IF(AB$4&gt;DAY(EOMONTH(DATE($D$2,$B$2,1),0)),"",IFERROR(SUMIFS(DATA_GOC!$H:$H,DATA_GOC!$A:$A,"BOM",DATA_GOC!$D:$D,$B99,DATA_GOC!$E:$E,"Téc 2",DATA_GOC!$F:$F,"Xuất nội bộ từ téc",DATA_GOC!$B:$B,DATE($D$2,$B$2,AB$4)),0))</f>
        <v>0</v>
      </c>
      <c r="AC99" s="251">
        <f>IF(AC$4&gt;DAY(EOMONTH(DATE($D$2,$B$2,1),0)),"",IFERROR(SUMIFS(DATA_GOC!$H:$H,DATA_GOC!$A:$A,"BOM",DATA_GOC!$D:$D,$B99,DATA_GOC!$E:$E,"Téc 2",DATA_GOC!$F:$F,"Xuất nội bộ từ téc",DATA_GOC!$B:$B,DATE($D$2,$B$2,AC$4)),0))</f>
        <v>0</v>
      </c>
      <c r="AD99" s="251">
        <f>IF(AD$4&gt;DAY(EOMONTH(DATE($D$2,$B$2,1),0)),"",IFERROR(SUMIFS(DATA_GOC!$H:$H,DATA_GOC!$A:$A,"BOM",DATA_GOC!$D:$D,$B99,DATA_GOC!$E:$E,"Téc 2",DATA_GOC!$F:$F,"Xuất nội bộ từ téc",DATA_GOC!$B:$B,DATE($D$2,$B$2,AD$4)),0))</f>
        <v>0</v>
      </c>
      <c r="AE99" s="251">
        <f>IF(AE$4&gt;DAY(EOMONTH(DATE($D$2,$B$2,1),0)),"",IFERROR(SUMIFS(DATA_GOC!$H:$H,DATA_GOC!$A:$A,"BOM",DATA_GOC!$D:$D,$B99,DATA_GOC!$E:$E,"Téc 2",DATA_GOC!$F:$F,"Xuất nội bộ từ téc",DATA_GOC!$B:$B,DATE($D$2,$B$2,AE$4)),0))</f>
        <v>0</v>
      </c>
      <c r="AF99" s="251">
        <f>IF(AF$4&gt;DAY(EOMONTH(DATE($D$2,$B$2,1),0)),"",IFERROR(SUMIFS(DATA_GOC!$H:$H,DATA_GOC!$A:$A,"BOM",DATA_GOC!$D:$D,$B99,DATA_GOC!$E:$E,"Téc 2",DATA_GOC!$F:$F,"Xuất nội bộ từ téc",DATA_GOC!$B:$B,DATE($D$2,$B$2,AF$4)),0))</f>
        <v>0</v>
      </c>
      <c r="AG99" s="251">
        <f>IF(AG$4&gt;DAY(EOMONTH(DATE($D$2,$B$2,1),0)),"",IFERROR(SUMIFS(DATA_GOC!$H:$H,DATA_GOC!$A:$A,"BOM",DATA_GOC!$D:$D,$B99,DATA_GOC!$E:$E,"Téc 2",DATA_GOC!$F:$F,"Xuất nội bộ từ téc",DATA_GOC!$B:$B,DATE($D$2,$B$2,AG$4)),0))</f>
        <v>0</v>
      </c>
      <c r="AH99" s="252">
        <f t="shared" si="4"/>
        <v>164</v>
      </c>
      <c r="AI99" s="241">
        <f>IFERROR(SUMIFS(DATA_GOC!$H:$H,DATA_GOC!$A:$A,"BOM",DATA_GOC!$D:$D,$B99,DATA_GOC!$E:$E,"Bơm ngoài/Hải Tân",DATA_GOC!$F:$F,"Bơm ngoài",DATA_GOC!$B:$B,"&gt;="&amp;DATE($D$2,$B$2,1),DATA_GOC!$B:$B,"&lt;="&amp;EOMONTH(DATE($D$2,$B$2,1),0)),0)</f>
        <v>0</v>
      </c>
      <c r="AJ99" s="242">
        <f>IF($B99="","",SUMIFS(TINH_TEC!$K$233:$K$9232,TINH_TEC!$H$233:$H$9232,$B99,TINH_TEC!$C$233:$C$9232,"Téc 2",TINH_TEC!$F$233:$F$9232,$B$2,TINH_TEC!$G$233:$G$9232,$D$2,TINH_TEC!$B$233:$B$9232,"Đã chốt"))</f>
        <v>0</v>
      </c>
      <c r="AK99" s="242">
        <f>IF($B99="","",SUMIFS(TINH_TEC!$J$233:$J$9232,TINH_TEC!$H$233:$H$9232,$B99,TINH_TEC!$C$233:$C$9232,"Téc 2",TINH_TEC!$F$233:$F$9232,$B$2,TINH_TEC!$G$233:$G$9232,$D$2,TINH_TEC!$B$233:$B$9232,"Đã chốt"))</f>
        <v>37.101</v>
      </c>
      <c r="AL99" s="242">
        <f t="shared" si="5"/>
        <v>201.101</v>
      </c>
    </row>
    <row r="100" ht="15.75" customHeight="1">
      <c r="A100" s="237">
        <f>IF($B100&lt;&gt;"",34,"")</f>
        <v>34</v>
      </c>
      <c r="B100" s="250" t="str">
        <f t="array" ref="B100">IFERROR(INDEX(DANH_MUC!$E:$E,37),"")</f>
        <v>28H00354</v>
      </c>
      <c r="C100" s="251">
        <f>IF(C$4&gt;DAY(EOMONTH(DATE($D$2,$B$2,1),0)),"",IFERROR(SUMIFS(DATA_GOC!$H:$H,DATA_GOC!$A:$A,"BOM",DATA_GOC!$D:$D,$B100,DATA_GOC!$E:$E,"Téc 2",DATA_GOC!$F:$F,"Xuất nội bộ từ téc",DATA_GOC!$B:$B,DATE($D$2,$B$2,C$4)),0))</f>
        <v>0</v>
      </c>
      <c r="D100" s="251">
        <f>IF(D$4&gt;DAY(EOMONTH(DATE($D$2,$B$2,1),0)),"",IFERROR(SUMIFS(DATA_GOC!$H:$H,DATA_GOC!$A:$A,"BOM",DATA_GOC!$D:$D,$B100,DATA_GOC!$E:$E,"Téc 2",DATA_GOC!$F:$F,"Xuất nội bộ từ téc",DATA_GOC!$B:$B,DATE($D$2,$B$2,D$4)),0))</f>
        <v>0</v>
      </c>
      <c r="E100" s="251">
        <f>IF(E$4&gt;DAY(EOMONTH(DATE($D$2,$B$2,1),0)),"",IFERROR(SUMIFS(DATA_GOC!$H:$H,DATA_GOC!$A:$A,"BOM",DATA_GOC!$D:$D,$B100,DATA_GOC!$E:$E,"Téc 2",DATA_GOC!$F:$F,"Xuất nội bộ từ téc",DATA_GOC!$B:$B,DATE($D$2,$B$2,E$4)),0))</f>
        <v>0</v>
      </c>
      <c r="F100" s="251">
        <f>IF(F$4&gt;DAY(EOMONTH(DATE($D$2,$B$2,1),0)),"",IFERROR(SUMIFS(DATA_GOC!$H:$H,DATA_GOC!$A:$A,"BOM",DATA_GOC!$D:$D,$B100,DATA_GOC!$E:$E,"Téc 2",DATA_GOC!$F:$F,"Xuất nội bộ từ téc",DATA_GOC!$B:$B,DATE($D$2,$B$2,F$4)),0))</f>
        <v>0</v>
      </c>
      <c r="G100" s="251">
        <f>IF(G$4&gt;DAY(EOMONTH(DATE($D$2,$B$2,1),0)),"",IFERROR(SUMIFS(DATA_GOC!$H:$H,DATA_GOC!$A:$A,"BOM",DATA_GOC!$D:$D,$B100,DATA_GOC!$E:$E,"Téc 2",DATA_GOC!$F:$F,"Xuất nội bộ từ téc",DATA_GOC!$B:$B,DATE($D$2,$B$2,G$4)),0))</f>
        <v>0</v>
      </c>
      <c r="H100" s="251">
        <f>IF(H$4&gt;DAY(EOMONTH(DATE($D$2,$B$2,1),0)),"",IFERROR(SUMIFS(DATA_GOC!$H:$H,DATA_GOC!$A:$A,"BOM",DATA_GOC!$D:$D,$B100,DATA_GOC!$E:$E,"Téc 2",DATA_GOC!$F:$F,"Xuất nội bộ từ téc",DATA_GOC!$B:$B,DATE($D$2,$B$2,H$4)),0))</f>
        <v>0</v>
      </c>
      <c r="I100" s="251">
        <f>IF(I$4&gt;DAY(EOMONTH(DATE($D$2,$B$2,1),0)),"",IFERROR(SUMIFS(DATA_GOC!$H:$H,DATA_GOC!$A:$A,"BOM",DATA_GOC!$D:$D,$B100,DATA_GOC!$E:$E,"Téc 2",DATA_GOC!$F:$F,"Xuất nội bộ từ téc",DATA_GOC!$B:$B,DATE($D$2,$B$2,I$4)),0))</f>
        <v>0</v>
      </c>
      <c r="J100" s="251">
        <f>IF(J$4&gt;DAY(EOMONTH(DATE($D$2,$B$2,1),0)),"",IFERROR(SUMIFS(DATA_GOC!$H:$H,DATA_GOC!$A:$A,"BOM",DATA_GOC!$D:$D,$B100,DATA_GOC!$E:$E,"Téc 2",DATA_GOC!$F:$F,"Xuất nội bộ từ téc",DATA_GOC!$B:$B,DATE($D$2,$B$2,J$4)),0))</f>
        <v>0</v>
      </c>
      <c r="K100" s="251">
        <f>IF(K$4&gt;DAY(EOMONTH(DATE($D$2,$B$2,1),0)),"",IFERROR(SUMIFS(DATA_GOC!$H:$H,DATA_GOC!$A:$A,"BOM",DATA_GOC!$D:$D,$B100,DATA_GOC!$E:$E,"Téc 2",DATA_GOC!$F:$F,"Xuất nội bộ từ téc",DATA_GOC!$B:$B,DATE($D$2,$B$2,K$4)),0))</f>
        <v>0</v>
      </c>
      <c r="L100" s="251">
        <f>IF(L$4&gt;DAY(EOMONTH(DATE($D$2,$B$2,1),0)),"",IFERROR(SUMIFS(DATA_GOC!$H:$H,DATA_GOC!$A:$A,"BOM",DATA_GOC!$D:$D,$B100,DATA_GOC!$E:$E,"Téc 2",DATA_GOC!$F:$F,"Xuất nội bộ từ téc",DATA_GOC!$B:$B,DATE($D$2,$B$2,L$4)),0))</f>
        <v>0</v>
      </c>
      <c r="M100" s="251">
        <f>IF(M$4&gt;DAY(EOMONTH(DATE($D$2,$B$2,1),0)),"",IFERROR(SUMIFS(DATA_GOC!$H:$H,DATA_GOC!$A:$A,"BOM",DATA_GOC!$D:$D,$B100,DATA_GOC!$E:$E,"Téc 2",DATA_GOC!$F:$F,"Xuất nội bộ từ téc",DATA_GOC!$B:$B,DATE($D$2,$B$2,M$4)),0))</f>
        <v>0</v>
      </c>
      <c r="N100" s="251">
        <f>IF(N$4&gt;DAY(EOMONTH(DATE($D$2,$B$2,1),0)),"",IFERROR(SUMIFS(DATA_GOC!$H:$H,DATA_GOC!$A:$A,"BOM",DATA_GOC!$D:$D,$B100,DATA_GOC!$E:$E,"Téc 2",DATA_GOC!$F:$F,"Xuất nội bộ từ téc",DATA_GOC!$B:$B,DATE($D$2,$B$2,N$4)),0))</f>
        <v>0</v>
      </c>
      <c r="O100" s="251">
        <f>IF(O$4&gt;DAY(EOMONTH(DATE($D$2,$B$2,1),0)),"",IFERROR(SUMIFS(DATA_GOC!$H:$H,DATA_GOC!$A:$A,"BOM",DATA_GOC!$D:$D,$B100,DATA_GOC!$E:$E,"Téc 2",DATA_GOC!$F:$F,"Xuất nội bộ từ téc",DATA_GOC!$B:$B,DATE($D$2,$B$2,O$4)),0))</f>
        <v>0</v>
      </c>
      <c r="P100" s="251">
        <f>IF(P$4&gt;DAY(EOMONTH(DATE($D$2,$B$2,1),0)),"",IFERROR(SUMIFS(DATA_GOC!$H:$H,DATA_GOC!$A:$A,"BOM",DATA_GOC!$D:$D,$B100,DATA_GOC!$E:$E,"Téc 2",DATA_GOC!$F:$F,"Xuất nội bộ từ téc",DATA_GOC!$B:$B,DATE($D$2,$B$2,P$4)),0))</f>
        <v>0</v>
      </c>
      <c r="Q100" s="251">
        <f>IF(Q$4&gt;DAY(EOMONTH(DATE($D$2,$B$2,1),0)),"",IFERROR(SUMIFS(DATA_GOC!$H:$H,DATA_GOC!$A:$A,"BOM",DATA_GOC!$D:$D,$B100,DATA_GOC!$E:$E,"Téc 2",DATA_GOC!$F:$F,"Xuất nội bộ từ téc",DATA_GOC!$B:$B,DATE($D$2,$B$2,Q$4)),0))</f>
        <v>0</v>
      </c>
      <c r="R100" s="251">
        <f>IF(R$4&gt;DAY(EOMONTH(DATE($D$2,$B$2,1),0)),"",IFERROR(SUMIFS(DATA_GOC!$H:$H,DATA_GOC!$A:$A,"BOM",DATA_GOC!$D:$D,$B100,DATA_GOC!$E:$E,"Téc 2",DATA_GOC!$F:$F,"Xuất nội bộ từ téc",DATA_GOC!$B:$B,DATE($D$2,$B$2,R$4)),0))</f>
        <v>0</v>
      </c>
      <c r="S100" s="251">
        <f>IF(S$4&gt;DAY(EOMONTH(DATE($D$2,$B$2,1),0)),"",IFERROR(SUMIFS(DATA_GOC!$H:$H,DATA_GOC!$A:$A,"BOM",DATA_GOC!$D:$D,$B100,DATA_GOC!$E:$E,"Téc 2",DATA_GOC!$F:$F,"Xuất nội bộ từ téc",DATA_GOC!$B:$B,DATE($D$2,$B$2,S$4)),0))</f>
        <v>0</v>
      </c>
      <c r="T100" s="251">
        <f>IF(T$4&gt;DAY(EOMONTH(DATE($D$2,$B$2,1),0)),"",IFERROR(SUMIFS(DATA_GOC!$H:$H,DATA_GOC!$A:$A,"BOM",DATA_GOC!$D:$D,$B100,DATA_GOC!$E:$E,"Téc 2",DATA_GOC!$F:$F,"Xuất nội bộ từ téc",DATA_GOC!$B:$B,DATE($D$2,$B$2,T$4)),0))</f>
        <v>0</v>
      </c>
      <c r="U100" s="251">
        <f>IF(U$4&gt;DAY(EOMONTH(DATE($D$2,$B$2,1),0)),"",IFERROR(SUMIFS(DATA_GOC!$H:$H,DATA_GOC!$A:$A,"BOM",DATA_GOC!$D:$D,$B100,DATA_GOC!$E:$E,"Téc 2",DATA_GOC!$F:$F,"Xuất nội bộ từ téc",DATA_GOC!$B:$B,DATE($D$2,$B$2,U$4)),0))</f>
        <v>0</v>
      </c>
      <c r="V100" s="251">
        <f>IF(V$4&gt;DAY(EOMONTH(DATE($D$2,$B$2,1),0)),"",IFERROR(SUMIFS(DATA_GOC!$H:$H,DATA_GOC!$A:$A,"BOM",DATA_GOC!$D:$D,$B100,DATA_GOC!$E:$E,"Téc 2",DATA_GOC!$F:$F,"Xuất nội bộ từ téc",DATA_GOC!$B:$B,DATE($D$2,$B$2,V$4)),0))</f>
        <v>0</v>
      </c>
      <c r="W100" s="251">
        <f>IF(W$4&gt;DAY(EOMONTH(DATE($D$2,$B$2,1),0)),"",IFERROR(SUMIFS(DATA_GOC!$H:$H,DATA_GOC!$A:$A,"BOM",DATA_GOC!$D:$D,$B100,DATA_GOC!$E:$E,"Téc 2",DATA_GOC!$F:$F,"Xuất nội bộ từ téc",DATA_GOC!$B:$B,DATE($D$2,$B$2,W$4)),0))</f>
        <v>0</v>
      </c>
      <c r="X100" s="251">
        <f>IF(X$4&gt;DAY(EOMONTH(DATE($D$2,$B$2,1),0)),"",IFERROR(SUMIFS(DATA_GOC!$H:$H,DATA_GOC!$A:$A,"BOM",DATA_GOC!$D:$D,$B100,DATA_GOC!$E:$E,"Téc 2",DATA_GOC!$F:$F,"Xuất nội bộ từ téc",DATA_GOC!$B:$B,DATE($D$2,$B$2,X$4)),0))</f>
        <v>0</v>
      </c>
      <c r="Y100" s="251">
        <f>IF(Y$4&gt;DAY(EOMONTH(DATE($D$2,$B$2,1),0)),"",IFERROR(SUMIFS(DATA_GOC!$H:$H,DATA_GOC!$A:$A,"BOM",DATA_GOC!$D:$D,$B100,DATA_GOC!$E:$E,"Téc 2",DATA_GOC!$F:$F,"Xuất nội bộ từ téc",DATA_GOC!$B:$B,DATE($D$2,$B$2,Y$4)),0))</f>
        <v>0</v>
      </c>
      <c r="Z100" s="251">
        <f>IF(Z$4&gt;DAY(EOMONTH(DATE($D$2,$B$2,1),0)),"",IFERROR(SUMIFS(DATA_GOC!$H:$H,DATA_GOC!$A:$A,"BOM",DATA_GOC!$D:$D,$B100,DATA_GOC!$E:$E,"Téc 2",DATA_GOC!$F:$F,"Xuất nội bộ từ téc",DATA_GOC!$B:$B,DATE($D$2,$B$2,Z$4)),0))</f>
        <v>0</v>
      </c>
      <c r="AA100" s="251">
        <f>IF(AA$4&gt;DAY(EOMONTH(DATE($D$2,$B$2,1),0)),"",IFERROR(SUMIFS(DATA_GOC!$H:$H,DATA_GOC!$A:$A,"BOM",DATA_GOC!$D:$D,$B100,DATA_GOC!$E:$E,"Téc 2",DATA_GOC!$F:$F,"Xuất nội bộ từ téc",DATA_GOC!$B:$B,DATE($D$2,$B$2,AA$4)),0))</f>
        <v>0</v>
      </c>
      <c r="AB100" s="251">
        <f>IF(AB$4&gt;DAY(EOMONTH(DATE($D$2,$B$2,1),0)),"",IFERROR(SUMIFS(DATA_GOC!$H:$H,DATA_GOC!$A:$A,"BOM",DATA_GOC!$D:$D,$B100,DATA_GOC!$E:$E,"Téc 2",DATA_GOC!$F:$F,"Xuất nội bộ từ téc",DATA_GOC!$B:$B,DATE($D$2,$B$2,AB$4)),0))</f>
        <v>0</v>
      </c>
      <c r="AC100" s="251">
        <f>IF(AC$4&gt;DAY(EOMONTH(DATE($D$2,$B$2,1),0)),"",IFERROR(SUMIFS(DATA_GOC!$H:$H,DATA_GOC!$A:$A,"BOM",DATA_GOC!$D:$D,$B100,DATA_GOC!$E:$E,"Téc 2",DATA_GOC!$F:$F,"Xuất nội bộ từ téc",DATA_GOC!$B:$B,DATE($D$2,$B$2,AC$4)),0))</f>
        <v>0</v>
      </c>
      <c r="AD100" s="251">
        <f>IF(AD$4&gt;DAY(EOMONTH(DATE($D$2,$B$2,1),0)),"",IFERROR(SUMIFS(DATA_GOC!$H:$H,DATA_GOC!$A:$A,"BOM",DATA_GOC!$D:$D,$B100,DATA_GOC!$E:$E,"Téc 2",DATA_GOC!$F:$F,"Xuất nội bộ từ téc",DATA_GOC!$B:$B,DATE($D$2,$B$2,AD$4)),0))</f>
        <v>0</v>
      </c>
      <c r="AE100" s="251">
        <f>IF(AE$4&gt;DAY(EOMONTH(DATE($D$2,$B$2,1),0)),"",IFERROR(SUMIFS(DATA_GOC!$H:$H,DATA_GOC!$A:$A,"BOM",DATA_GOC!$D:$D,$B100,DATA_GOC!$E:$E,"Téc 2",DATA_GOC!$F:$F,"Xuất nội bộ từ téc",DATA_GOC!$B:$B,DATE($D$2,$B$2,AE$4)),0))</f>
        <v>0</v>
      </c>
      <c r="AF100" s="251">
        <f>IF(AF$4&gt;DAY(EOMONTH(DATE($D$2,$B$2,1),0)),"",IFERROR(SUMIFS(DATA_GOC!$H:$H,DATA_GOC!$A:$A,"BOM",DATA_GOC!$D:$D,$B100,DATA_GOC!$E:$E,"Téc 2",DATA_GOC!$F:$F,"Xuất nội bộ từ téc",DATA_GOC!$B:$B,DATE($D$2,$B$2,AF$4)),0))</f>
        <v>0</v>
      </c>
      <c r="AG100" s="251">
        <f>IF(AG$4&gt;DAY(EOMONTH(DATE($D$2,$B$2,1),0)),"",IFERROR(SUMIFS(DATA_GOC!$H:$H,DATA_GOC!$A:$A,"BOM",DATA_GOC!$D:$D,$B100,DATA_GOC!$E:$E,"Téc 2",DATA_GOC!$F:$F,"Xuất nội bộ từ téc",DATA_GOC!$B:$B,DATE($D$2,$B$2,AG$4)),0))</f>
        <v>0</v>
      </c>
      <c r="AH100" s="252">
        <f t="shared" si="4"/>
        <v>0</v>
      </c>
      <c r="AI100" s="241">
        <f>IFERROR(SUMIFS(DATA_GOC!$H:$H,DATA_GOC!$A:$A,"BOM",DATA_GOC!$D:$D,$B100,DATA_GOC!$E:$E,"Bơm ngoài/Hải Tân",DATA_GOC!$F:$F,"Bơm ngoài",DATA_GOC!$B:$B,"&gt;="&amp;DATE($D$2,$B$2,1),DATA_GOC!$B:$B,"&lt;="&amp;EOMONTH(DATE($D$2,$B$2,1),0)),0)</f>
        <v>0</v>
      </c>
      <c r="AJ100" s="242">
        <f>IF($B100="","",SUMIFS(TINH_TEC!$K$233:$K$9232,TINH_TEC!$H$233:$H$9232,$B100,TINH_TEC!$C$233:$C$9232,"Téc 2",TINH_TEC!$F$233:$F$9232,$B$2,TINH_TEC!$G$233:$G$9232,$D$2,TINH_TEC!$B$233:$B$9232,"Đã chốt"))</f>
        <v>0</v>
      </c>
      <c r="AK100" s="242">
        <f>IF($B100="","",SUMIFS(TINH_TEC!$J$233:$J$9232,TINH_TEC!$H$233:$H$9232,$B100,TINH_TEC!$C$233:$C$9232,"Téc 2",TINH_TEC!$F$233:$F$9232,$B$2,TINH_TEC!$G$233:$G$9232,$D$2,TINH_TEC!$B$233:$B$9232,"Đã chốt"))</f>
        <v>25.685</v>
      </c>
      <c r="AL100" s="242">
        <f t="shared" si="5"/>
        <v>25.685</v>
      </c>
    </row>
    <row r="101" ht="15.75" customHeight="1">
      <c r="A101" s="237">
        <f>IF($B101&lt;&gt;"",35,"")</f>
        <v>35</v>
      </c>
      <c r="B101" s="250" t="str">
        <f t="array" ref="B101">IFERROR(INDEX(DANH_MUC!$E:$E,38),"")</f>
        <v>28H00603</v>
      </c>
      <c r="C101" s="251">
        <f>IF(C$4&gt;DAY(EOMONTH(DATE($D$2,$B$2,1),0)),"",IFERROR(SUMIFS(DATA_GOC!$H:$H,DATA_GOC!$A:$A,"BOM",DATA_GOC!$D:$D,$B101,DATA_GOC!$E:$E,"Téc 2",DATA_GOC!$F:$F,"Xuất nội bộ từ téc",DATA_GOC!$B:$B,DATE($D$2,$B$2,C$4)),0))</f>
        <v>0</v>
      </c>
      <c r="D101" s="251">
        <f>IF(D$4&gt;DAY(EOMONTH(DATE($D$2,$B$2,1),0)),"",IFERROR(SUMIFS(DATA_GOC!$H:$H,DATA_GOC!$A:$A,"BOM",DATA_GOC!$D:$D,$B101,DATA_GOC!$E:$E,"Téc 2",DATA_GOC!$F:$F,"Xuất nội bộ từ téc",DATA_GOC!$B:$B,DATE($D$2,$B$2,D$4)),0))</f>
        <v>0</v>
      </c>
      <c r="E101" s="251">
        <f>IF(E$4&gt;DAY(EOMONTH(DATE($D$2,$B$2,1),0)),"",IFERROR(SUMIFS(DATA_GOC!$H:$H,DATA_GOC!$A:$A,"BOM",DATA_GOC!$D:$D,$B101,DATA_GOC!$E:$E,"Téc 2",DATA_GOC!$F:$F,"Xuất nội bộ từ téc",DATA_GOC!$B:$B,DATE($D$2,$B$2,E$4)),0))</f>
        <v>0</v>
      </c>
      <c r="F101" s="251">
        <f>IF(F$4&gt;DAY(EOMONTH(DATE($D$2,$B$2,1),0)),"",IFERROR(SUMIFS(DATA_GOC!$H:$H,DATA_GOC!$A:$A,"BOM",DATA_GOC!$D:$D,$B101,DATA_GOC!$E:$E,"Téc 2",DATA_GOC!$F:$F,"Xuất nội bộ từ téc",DATA_GOC!$B:$B,DATE($D$2,$B$2,F$4)),0))</f>
        <v>0</v>
      </c>
      <c r="G101" s="251">
        <f>IF(G$4&gt;DAY(EOMONTH(DATE($D$2,$B$2,1),0)),"",IFERROR(SUMIFS(DATA_GOC!$H:$H,DATA_GOC!$A:$A,"BOM",DATA_GOC!$D:$D,$B101,DATA_GOC!$E:$E,"Téc 2",DATA_GOC!$F:$F,"Xuất nội bộ từ téc",DATA_GOC!$B:$B,DATE($D$2,$B$2,G$4)),0))</f>
        <v>0</v>
      </c>
      <c r="H101" s="251">
        <f>IF(H$4&gt;DAY(EOMONTH(DATE($D$2,$B$2,1),0)),"",IFERROR(SUMIFS(DATA_GOC!$H:$H,DATA_GOC!$A:$A,"BOM",DATA_GOC!$D:$D,$B101,DATA_GOC!$E:$E,"Téc 2",DATA_GOC!$F:$F,"Xuất nội bộ từ téc",DATA_GOC!$B:$B,DATE($D$2,$B$2,H$4)),0))</f>
        <v>233</v>
      </c>
      <c r="I101" s="251">
        <f>IF(I$4&gt;DAY(EOMONTH(DATE($D$2,$B$2,1),0)),"",IFERROR(SUMIFS(DATA_GOC!$H:$H,DATA_GOC!$A:$A,"BOM",DATA_GOC!$D:$D,$B101,DATA_GOC!$E:$E,"Téc 2",DATA_GOC!$F:$F,"Xuất nội bộ từ téc",DATA_GOC!$B:$B,DATE($D$2,$B$2,I$4)),0))</f>
        <v>0</v>
      </c>
      <c r="J101" s="251">
        <f>IF(J$4&gt;DAY(EOMONTH(DATE($D$2,$B$2,1),0)),"",IFERROR(SUMIFS(DATA_GOC!$H:$H,DATA_GOC!$A:$A,"BOM",DATA_GOC!$D:$D,$B101,DATA_GOC!$E:$E,"Téc 2",DATA_GOC!$F:$F,"Xuất nội bộ từ téc",DATA_GOC!$B:$B,DATE($D$2,$B$2,J$4)),0))</f>
        <v>0</v>
      </c>
      <c r="K101" s="251">
        <f>IF(K$4&gt;DAY(EOMONTH(DATE($D$2,$B$2,1),0)),"",IFERROR(SUMIFS(DATA_GOC!$H:$H,DATA_GOC!$A:$A,"BOM",DATA_GOC!$D:$D,$B101,DATA_GOC!$E:$E,"Téc 2",DATA_GOC!$F:$F,"Xuất nội bộ từ téc",DATA_GOC!$B:$B,DATE($D$2,$B$2,K$4)),0))</f>
        <v>0</v>
      </c>
      <c r="L101" s="251">
        <f>IF(L$4&gt;DAY(EOMONTH(DATE($D$2,$B$2,1),0)),"",IFERROR(SUMIFS(DATA_GOC!$H:$H,DATA_GOC!$A:$A,"BOM",DATA_GOC!$D:$D,$B101,DATA_GOC!$E:$E,"Téc 2",DATA_GOC!$F:$F,"Xuất nội bộ từ téc",DATA_GOC!$B:$B,DATE($D$2,$B$2,L$4)),0))</f>
        <v>0</v>
      </c>
      <c r="M101" s="251">
        <f>IF(M$4&gt;DAY(EOMONTH(DATE($D$2,$B$2,1),0)),"",IFERROR(SUMIFS(DATA_GOC!$H:$H,DATA_GOC!$A:$A,"BOM",DATA_GOC!$D:$D,$B101,DATA_GOC!$E:$E,"Téc 2",DATA_GOC!$F:$F,"Xuất nội bộ từ téc",DATA_GOC!$B:$B,DATE($D$2,$B$2,M$4)),0))</f>
        <v>0</v>
      </c>
      <c r="N101" s="251">
        <f>IF(N$4&gt;DAY(EOMONTH(DATE($D$2,$B$2,1),0)),"",IFERROR(SUMIFS(DATA_GOC!$H:$H,DATA_GOC!$A:$A,"BOM",DATA_GOC!$D:$D,$B101,DATA_GOC!$E:$E,"Téc 2",DATA_GOC!$F:$F,"Xuất nội bộ từ téc",DATA_GOC!$B:$B,DATE($D$2,$B$2,N$4)),0))</f>
        <v>0</v>
      </c>
      <c r="O101" s="251">
        <f>IF(O$4&gt;DAY(EOMONTH(DATE($D$2,$B$2,1),0)),"",IFERROR(SUMIFS(DATA_GOC!$H:$H,DATA_GOC!$A:$A,"BOM",DATA_GOC!$D:$D,$B101,DATA_GOC!$E:$E,"Téc 2",DATA_GOC!$F:$F,"Xuất nội bộ từ téc",DATA_GOC!$B:$B,DATE($D$2,$B$2,O$4)),0))</f>
        <v>0</v>
      </c>
      <c r="P101" s="251">
        <f>IF(P$4&gt;DAY(EOMONTH(DATE($D$2,$B$2,1),0)),"",IFERROR(SUMIFS(DATA_GOC!$H:$H,DATA_GOC!$A:$A,"BOM",DATA_GOC!$D:$D,$B101,DATA_GOC!$E:$E,"Téc 2",DATA_GOC!$F:$F,"Xuất nội bộ từ téc",DATA_GOC!$B:$B,DATE($D$2,$B$2,P$4)),0))</f>
        <v>0</v>
      </c>
      <c r="Q101" s="251">
        <f>IF(Q$4&gt;DAY(EOMONTH(DATE($D$2,$B$2,1),0)),"",IFERROR(SUMIFS(DATA_GOC!$H:$H,DATA_GOC!$A:$A,"BOM",DATA_GOC!$D:$D,$B101,DATA_GOC!$E:$E,"Téc 2",DATA_GOC!$F:$F,"Xuất nội bộ từ téc",DATA_GOC!$B:$B,DATE($D$2,$B$2,Q$4)),0))</f>
        <v>0</v>
      </c>
      <c r="R101" s="251">
        <f>IF(R$4&gt;DAY(EOMONTH(DATE($D$2,$B$2,1),0)),"",IFERROR(SUMIFS(DATA_GOC!$H:$H,DATA_GOC!$A:$A,"BOM",DATA_GOC!$D:$D,$B101,DATA_GOC!$E:$E,"Téc 2",DATA_GOC!$F:$F,"Xuất nội bộ từ téc",DATA_GOC!$B:$B,DATE($D$2,$B$2,R$4)),0))</f>
        <v>0</v>
      </c>
      <c r="S101" s="251">
        <f>IF(S$4&gt;DAY(EOMONTH(DATE($D$2,$B$2,1),0)),"",IFERROR(SUMIFS(DATA_GOC!$H:$H,DATA_GOC!$A:$A,"BOM",DATA_GOC!$D:$D,$B101,DATA_GOC!$E:$E,"Téc 2",DATA_GOC!$F:$F,"Xuất nội bộ từ téc",DATA_GOC!$B:$B,DATE($D$2,$B$2,S$4)),0))</f>
        <v>0</v>
      </c>
      <c r="T101" s="251">
        <f>IF(T$4&gt;DAY(EOMONTH(DATE($D$2,$B$2,1),0)),"",IFERROR(SUMIFS(DATA_GOC!$H:$H,DATA_GOC!$A:$A,"BOM",DATA_GOC!$D:$D,$B101,DATA_GOC!$E:$E,"Téc 2",DATA_GOC!$F:$F,"Xuất nội bộ từ téc",DATA_GOC!$B:$B,DATE($D$2,$B$2,T$4)),0))</f>
        <v>0</v>
      </c>
      <c r="U101" s="251">
        <f>IF(U$4&gt;DAY(EOMONTH(DATE($D$2,$B$2,1),0)),"",IFERROR(SUMIFS(DATA_GOC!$H:$H,DATA_GOC!$A:$A,"BOM",DATA_GOC!$D:$D,$B101,DATA_GOC!$E:$E,"Téc 2",DATA_GOC!$F:$F,"Xuất nội bộ từ téc",DATA_GOC!$B:$B,DATE($D$2,$B$2,U$4)),0))</f>
        <v>0</v>
      </c>
      <c r="V101" s="251">
        <f>IF(V$4&gt;DAY(EOMONTH(DATE($D$2,$B$2,1),0)),"",IFERROR(SUMIFS(DATA_GOC!$H:$H,DATA_GOC!$A:$A,"BOM",DATA_GOC!$D:$D,$B101,DATA_GOC!$E:$E,"Téc 2",DATA_GOC!$F:$F,"Xuất nội bộ từ téc",DATA_GOC!$B:$B,DATE($D$2,$B$2,V$4)),0))</f>
        <v>0</v>
      </c>
      <c r="W101" s="251">
        <f>IF(W$4&gt;DAY(EOMONTH(DATE($D$2,$B$2,1),0)),"",IFERROR(SUMIFS(DATA_GOC!$H:$H,DATA_GOC!$A:$A,"BOM",DATA_GOC!$D:$D,$B101,DATA_GOC!$E:$E,"Téc 2",DATA_GOC!$F:$F,"Xuất nội bộ từ téc",DATA_GOC!$B:$B,DATE($D$2,$B$2,W$4)),0))</f>
        <v>0</v>
      </c>
      <c r="X101" s="251">
        <f>IF(X$4&gt;DAY(EOMONTH(DATE($D$2,$B$2,1),0)),"",IFERROR(SUMIFS(DATA_GOC!$H:$H,DATA_GOC!$A:$A,"BOM",DATA_GOC!$D:$D,$B101,DATA_GOC!$E:$E,"Téc 2",DATA_GOC!$F:$F,"Xuất nội bộ từ téc",DATA_GOC!$B:$B,DATE($D$2,$B$2,X$4)),0))</f>
        <v>0</v>
      </c>
      <c r="Y101" s="251">
        <f>IF(Y$4&gt;DAY(EOMONTH(DATE($D$2,$B$2,1),0)),"",IFERROR(SUMIFS(DATA_GOC!$H:$H,DATA_GOC!$A:$A,"BOM",DATA_GOC!$D:$D,$B101,DATA_GOC!$E:$E,"Téc 2",DATA_GOC!$F:$F,"Xuất nội bộ từ téc",DATA_GOC!$B:$B,DATE($D$2,$B$2,Y$4)),0))</f>
        <v>0</v>
      </c>
      <c r="Z101" s="251">
        <f>IF(Z$4&gt;DAY(EOMONTH(DATE($D$2,$B$2,1),0)),"",IFERROR(SUMIFS(DATA_GOC!$H:$H,DATA_GOC!$A:$A,"BOM",DATA_GOC!$D:$D,$B101,DATA_GOC!$E:$E,"Téc 2",DATA_GOC!$F:$F,"Xuất nội bộ từ téc",DATA_GOC!$B:$B,DATE($D$2,$B$2,Z$4)),0))</f>
        <v>0</v>
      </c>
      <c r="AA101" s="251">
        <f>IF(AA$4&gt;DAY(EOMONTH(DATE($D$2,$B$2,1),0)),"",IFERROR(SUMIFS(DATA_GOC!$H:$H,DATA_GOC!$A:$A,"BOM",DATA_GOC!$D:$D,$B101,DATA_GOC!$E:$E,"Téc 2",DATA_GOC!$F:$F,"Xuất nội bộ từ téc",DATA_GOC!$B:$B,DATE($D$2,$B$2,AA$4)),0))</f>
        <v>0</v>
      </c>
      <c r="AB101" s="251">
        <f>IF(AB$4&gt;DAY(EOMONTH(DATE($D$2,$B$2,1),0)),"",IFERROR(SUMIFS(DATA_GOC!$H:$H,DATA_GOC!$A:$A,"BOM",DATA_GOC!$D:$D,$B101,DATA_GOC!$E:$E,"Téc 2",DATA_GOC!$F:$F,"Xuất nội bộ từ téc",DATA_GOC!$B:$B,DATE($D$2,$B$2,AB$4)),0))</f>
        <v>0</v>
      </c>
      <c r="AC101" s="251">
        <f>IF(AC$4&gt;DAY(EOMONTH(DATE($D$2,$B$2,1),0)),"",IFERROR(SUMIFS(DATA_GOC!$H:$H,DATA_GOC!$A:$A,"BOM",DATA_GOC!$D:$D,$B101,DATA_GOC!$E:$E,"Téc 2",DATA_GOC!$F:$F,"Xuất nội bộ từ téc",DATA_GOC!$B:$B,DATE($D$2,$B$2,AC$4)),0))</f>
        <v>0</v>
      </c>
      <c r="AD101" s="251">
        <f>IF(AD$4&gt;DAY(EOMONTH(DATE($D$2,$B$2,1),0)),"",IFERROR(SUMIFS(DATA_GOC!$H:$H,DATA_GOC!$A:$A,"BOM",DATA_GOC!$D:$D,$B101,DATA_GOC!$E:$E,"Téc 2",DATA_GOC!$F:$F,"Xuất nội bộ từ téc",DATA_GOC!$B:$B,DATE($D$2,$B$2,AD$4)),0))</f>
        <v>0</v>
      </c>
      <c r="AE101" s="251">
        <f>IF(AE$4&gt;DAY(EOMONTH(DATE($D$2,$B$2,1),0)),"",IFERROR(SUMIFS(DATA_GOC!$H:$H,DATA_GOC!$A:$A,"BOM",DATA_GOC!$D:$D,$B101,DATA_GOC!$E:$E,"Téc 2",DATA_GOC!$F:$F,"Xuất nội bộ từ téc",DATA_GOC!$B:$B,DATE($D$2,$B$2,AE$4)),0))</f>
        <v>0</v>
      </c>
      <c r="AF101" s="251">
        <f>IF(AF$4&gt;DAY(EOMONTH(DATE($D$2,$B$2,1),0)),"",IFERROR(SUMIFS(DATA_GOC!$H:$H,DATA_GOC!$A:$A,"BOM",DATA_GOC!$D:$D,$B101,DATA_GOC!$E:$E,"Téc 2",DATA_GOC!$F:$F,"Xuất nội bộ từ téc",DATA_GOC!$B:$B,DATE($D$2,$B$2,AF$4)),0))</f>
        <v>0</v>
      </c>
      <c r="AG101" s="251">
        <f>IF(AG$4&gt;DAY(EOMONTH(DATE($D$2,$B$2,1),0)),"",IFERROR(SUMIFS(DATA_GOC!$H:$H,DATA_GOC!$A:$A,"BOM",DATA_GOC!$D:$D,$B101,DATA_GOC!$E:$E,"Téc 2",DATA_GOC!$F:$F,"Xuất nội bộ từ téc",DATA_GOC!$B:$B,DATE($D$2,$B$2,AG$4)),0))</f>
        <v>0</v>
      </c>
      <c r="AH101" s="252">
        <f t="shared" si="4"/>
        <v>233</v>
      </c>
      <c r="AI101" s="241">
        <f>IFERROR(SUMIFS(DATA_GOC!$H:$H,DATA_GOC!$A:$A,"BOM",DATA_GOC!$D:$D,$B101,DATA_GOC!$E:$E,"Bơm ngoài/Hải Tân",DATA_GOC!$F:$F,"Bơm ngoài",DATA_GOC!$B:$B,"&gt;="&amp;DATE($D$2,$B$2,1),DATA_GOC!$B:$B,"&lt;="&amp;EOMONTH(DATE($D$2,$B$2,1),0)),0)</f>
        <v>0</v>
      </c>
      <c r="AJ101" s="242">
        <f>IF($B101="","",SUMIFS(TINH_TEC!$K$233:$K$9232,TINH_TEC!$H$233:$H$9232,$B101,TINH_TEC!$C$233:$C$9232,"Téc 2",TINH_TEC!$F$233:$F$9232,$B$2,TINH_TEC!$G$233:$G$9232,$D$2,TINH_TEC!$B$233:$B$9232,"Đã chốt"))</f>
        <v>0</v>
      </c>
      <c r="AK101" s="242">
        <f>IF($B101="","",SUMIFS(TINH_TEC!$J$233:$J$9232,TINH_TEC!$H$233:$H$9232,$B101,TINH_TEC!$C$233:$C$9232,"Téc 2",TINH_TEC!$F$233:$F$9232,$B$2,TINH_TEC!$G$233:$G$9232,$D$2,TINH_TEC!$B$233:$B$9232,"Đã chốt"))</f>
        <v>33.489</v>
      </c>
      <c r="AL101" s="242">
        <f t="shared" si="5"/>
        <v>266.489</v>
      </c>
    </row>
    <row r="102" ht="15.75" customHeight="1">
      <c r="A102" s="237">
        <f>IF($B102&lt;&gt;"",36,"")</f>
        <v>36</v>
      </c>
      <c r="B102" s="250" t="str">
        <f t="array" ref="B102">IFERROR(INDEX(DANH_MUC!$E:$E,39),"")</f>
        <v>28H00609</v>
      </c>
      <c r="C102" s="251">
        <f>IF(C$4&gt;DAY(EOMONTH(DATE($D$2,$B$2,1),0)),"",IFERROR(SUMIFS(DATA_GOC!$H:$H,DATA_GOC!$A:$A,"BOM",DATA_GOC!$D:$D,$B102,DATA_GOC!$E:$E,"Téc 2",DATA_GOC!$F:$F,"Xuất nội bộ từ téc",DATA_GOC!$B:$B,DATE($D$2,$B$2,C$4)),0))</f>
        <v>0</v>
      </c>
      <c r="D102" s="251">
        <f>IF(D$4&gt;DAY(EOMONTH(DATE($D$2,$B$2,1),0)),"",IFERROR(SUMIFS(DATA_GOC!$H:$H,DATA_GOC!$A:$A,"BOM",DATA_GOC!$D:$D,$B102,DATA_GOC!$E:$E,"Téc 2",DATA_GOC!$F:$F,"Xuất nội bộ từ téc",DATA_GOC!$B:$B,DATE($D$2,$B$2,D$4)),0))</f>
        <v>0</v>
      </c>
      <c r="E102" s="251">
        <f>IF(E$4&gt;DAY(EOMONTH(DATE($D$2,$B$2,1),0)),"",IFERROR(SUMIFS(DATA_GOC!$H:$H,DATA_GOC!$A:$A,"BOM",DATA_GOC!$D:$D,$B102,DATA_GOC!$E:$E,"Téc 2",DATA_GOC!$F:$F,"Xuất nội bộ từ téc",DATA_GOC!$B:$B,DATE($D$2,$B$2,E$4)),0))</f>
        <v>0</v>
      </c>
      <c r="F102" s="251">
        <f>IF(F$4&gt;DAY(EOMONTH(DATE($D$2,$B$2,1),0)),"",IFERROR(SUMIFS(DATA_GOC!$H:$H,DATA_GOC!$A:$A,"BOM",DATA_GOC!$D:$D,$B102,DATA_GOC!$E:$E,"Téc 2",DATA_GOC!$F:$F,"Xuất nội bộ từ téc",DATA_GOC!$B:$B,DATE($D$2,$B$2,F$4)),0))</f>
        <v>0</v>
      </c>
      <c r="G102" s="251">
        <f>IF(G$4&gt;DAY(EOMONTH(DATE($D$2,$B$2,1),0)),"",IFERROR(SUMIFS(DATA_GOC!$H:$H,DATA_GOC!$A:$A,"BOM",DATA_GOC!$D:$D,$B102,DATA_GOC!$E:$E,"Téc 2",DATA_GOC!$F:$F,"Xuất nội bộ từ téc",DATA_GOC!$B:$B,DATE($D$2,$B$2,G$4)),0))</f>
        <v>0</v>
      </c>
      <c r="H102" s="251">
        <f>IF(H$4&gt;DAY(EOMONTH(DATE($D$2,$B$2,1),0)),"",IFERROR(SUMIFS(DATA_GOC!$H:$H,DATA_GOC!$A:$A,"BOM",DATA_GOC!$D:$D,$B102,DATA_GOC!$E:$E,"Téc 2",DATA_GOC!$F:$F,"Xuất nội bộ từ téc",DATA_GOC!$B:$B,DATE($D$2,$B$2,H$4)),0))</f>
        <v>0</v>
      </c>
      <c r="I102" s="251">
        <f>IF(I$4&gt;DAY(EOMONTH(DATE($D$2,$B$2,1),0)),"",IFERROR(SUMIFS(DATA_GOC!$H:$H,DATA_GOC!$A:$A,"BOM",DATA_GOC!$D:$D,$B102,DATA_GOC!$E:$E,"Téc 2",DATA_GOC!$F:$F,"Xuất nội bộ từ téc",DATA_GOC!$B:$B,DATE($D$2,$B$2,I$4)),0))</f>
        <v>0</v>
      </c>
      <c r="J102" s="251">
        <f>IF(J$4&gt;DAY(EOMONTH(DATE($D$2,$B$2,1),0)),"",IFERROR(SUMIFS(DATA_GOC!$H:$H,DATA_GOC!$A:$A,"BOM",DATA_GOC!$D:$D,$B102,DATA_GOC!$E:$E,"Téc 2",DATA_GOC!$F:$F,"Xuất nội bộ từ téc",DATA_GOC!$B:$B,DATE($D$2,$B$2,J$4)),0))</f>
        <v>0</v>
      </c>
      <c r="K102" s="251">
        <f>IF(K$4&gt;DAY(EOMONTH(DATE($D$2,$B$2,1),0)),"",IFERROR(SUMIFS(DATA_GOC!$H:$H,DATA_GOC!$A:$A,"BOM",DATA_GOC!$D:$D,$B102,DATA_GOC!$E:$E,"Téc 2",DATA_GOC!$F:$F,"Xuất nội bộ từ téc",DATA_GOC!$B:$B,DATE($D$2,$B$2,K$4)),0))</f>
        <v>0</v>
      </c>
      <c r="L102" s="251">
        <f>IF(L$4&gt;DAY(EOMONTH(DATE($D$2,$B$2,1),0)),"",IFERROR(SUMIFS(DATA_GOC!$H:$H,DATA_GOC!$A:$A,"BOM",DATA_GOC!$D:$D,$B102,DATA_GOC!$E:$E,"Téc 2",DATA_GOC!$F:$F,"Xuất nội bộ từ téc",DATA_GOC!$B:$B,DATE($D$2,$B$2,L$4)),0))</f>
        <v>0</v>
      </c>
      <c r="M102" s="251">
        <f>IF(M$4&gt;DAY(EOMONTH(DATE($D$2,$B$2,1),0)),"",IFERROR(SUMIFS(DATA_GOC!$H:$H,DATA_GOC!$A:$A,"BOM",DATA_GOC!$D:$D,$B102,DATA_GOC!$E:$E,"Téc 2",DATA_GOC!$F:$F,"Xuất nội bộ từ téc",DATA_GOC!$B:$B,DATE($D$2,$B$2,M$4)),0))</f>
        <v>0</v>
      </c>
      <c r="N102" s="251">
        <f>IF(N$4&gt;DAY(EOMONTH(DATE($D$2,$B$2,1),0)),"",IFERROR(SUMIFS(DATA_GOC!$H:$H,DATA_GOC!$A:$A,"BOM",DATA_GOC!$D:$D,$B102,DATA_GOC!$E:$E,"Téc 2",DATA_GOC!$F:$F,"Xuất nội bộ từ téc",DATA_GOC!$B:$B,DATE($D$2,$B$2,N$4)),0))</f>
        <v>0</v>
      </c>
      <c r="O102" s="251">
        <f>IF(O$4&gt;DAY(EOMONTH(DATE($D$2,$B$2,1),0)),"",IFERROR(SUMIFS(DATA_GOC!$H:$H,DATA_GOC!$A:$A,"BOM",DATA_GOC!$D:$D,$B102,DATA_GOC!$E:$E,"Téc 2",DATA_GOC!$F:$F,"Xuất nội bộ từ téc",DATA_GOC!$B:$B,DATE($D$2,$B$2,O$4)),0))</f>
        <v>0</v>
      </c>
      <c r="P102" s="251">
        <f>IF(P$4&gt;DAY(EOMONTH(DATE($D$2,$B$2,1),0)),"",IFERROR(SUMIFS(DATA_GOC!$H:$H,DATA_GOC!$A:$A,"BOM",DATA_GOC!$D:$D,$B102,DATA_GOC!$E:$E,"Téc 2",DATA_GOC!$F:$F,"Xuất nội bộ từ téc",DATA_GOC!$B:$B,DATE($D$2,$B$2,P$4)),0))</f>
        <v>0</v>
      </c>
      <c r="Q102" s="251">
        <f>IF(Q$4&gt;DAY(EOMONTH(DATE($D$2,$B$2,1),0)),"",IFERROR(SUMIFS(DATA_GOC!$H:$H,DATA_GOC!$A:$A,"BOM",DATA_GOC!$D:$D,$B102,DATA_GOC!$E:$E,"Téc 2",DATA_GOC!$F:$F,"Xuất nội bộ từ téc",DATA_GOC!$B:$B,DATE($D$2,$B$2,Q$4)),0))</f>
        <v>0</v>
      </c>
      <c r="R102" s="251">
        <f>IF(R$4&gt;DAY(EOMONTH(DATE($D$2,$B$2,1),0)),"",IFERROR(SUMIFS(DATA_GOC!$H:$H,DATA_GOC!$A:$A,"BOM",DATA_GOC!$D:$D,$B102,DATA_GOC!$E:$E,"Téc 2",DATA_GOC!$F:$F,"Xuất nội bộ từ téc",DATA_GOC!$B:$B,DATE($D$2,$B$2,R$4)),0))</f>
        <v>0</v>
      </c>
      <c r="S102" s="251">
        <f>IF(S$4&gt;DAY(EOMONTH(DATE($D$2,$B$2,1),0)),"",IFERROR(SUMIFS(DATA_GOC!$H:$H,DATA_GOC!$A:$A,"BOM",DATA_GOC!$D:$D,$B102,DATA_GOC!$E:$E,"Téc 2",DATA_GOC!$F:$F,"Xuất nội bộ từ téc",DATA_GOC!$B:$B,DATE($D$2,$B$2,S$4)),0))</f>
        <v>0</v>
      </c>
      <c r="T102" s="251">
        <f>IF(T$4&gt;DAY(EOMONTH(DATE($D$2,$B$2,1),0)),"",IFERROR(SUMIFS(DATA_GOC!$H:$H,DATA_GOC!$A:$A,"BOM",DATA_GOC!$D:$D,$B102,DATA_GOC!$E:$E,"Téc 2",DATA_GOC!$F:$F,"Xuất nội bộ từ téc",DATA_GOC!$B:$B,DATE($D$2,$B$2,T$4)),0))</f>
        <v>0</v>
      </c>
      <c r="U102" s="251">
        <f>IF(U$4&gt;DAY(EOMONTH(DATE($D$2,$B$2,1),0)),"",IFERROR(SUMIFS(DATA_GOC!$H:$H,DATA_GOC!$A:$A,"BOM",DATA_GOC!$D:$D,$B102,DATA_GOC!$E:$E,"Téc 2",DATA_GOC!$F:$F,"Xuất nội bộ từ téc",DATA_GOC!$B:$B,DATE($D$2,$B$2,U$4)),0))</f>
        <v>0</v>
      </c>
      <c r="V102" s="251">
        <f>IF(V$4&gt;DAY(EOMONTH(DATE($D$2,$B$2,1),0)),"",IFERROR(SUMIFS(DATA_GOC!$H:$H,DATA_GOC!$A:$A,"BOM",DATA_GOC!$D:$D,$B102,DATA_GOC!$E:$E,"Téc 2",DATA_GOC!$F:$F,"Xuất nội bộ từ téc",DATA_GOC!$B:$B,DATE($D$2,$B$2,V$4)),0))</f>
        <v>0</v>
      </c>
      <c r="W102" s="251">
        <f>IF(W$4&gt;DAY(EOMONTH(DATE($D$2,$B$2,1),0)),"",IFERROR(SUMIFS(DATA_GOC!$H:$H,DATA_GOC!$A:$A,"BOM",DATA_GOC!$D:$D,$B102,DATA_GOC!$E:$E,"Téc 2",DATA_GOC!$F:$F,"Xuất nội bộ từ téc",DATA_GOC!$B:$B,DATE($D$2,$B$2,W$4)),0))</f>
        <v>0</v>
      </c>
      <c r="X102" s="251">
        <f>IF(X$4&gt;DAY(EOMONTH(DATE($D$2,$B$2,1),0)),"",IFERROR(SUMIFS(DATA_GOC!$H:$H,DATA_GOC!$A:$A,"BOM",DATA_GOC!$D:$D,$B102,DATA_GOC!$E:$E,"Téc 2",DATA_GOC!$F:$F,"Xuất nội bộ từ téc",DATA_GOC!$B:$B,DATE($D$2,$B$2,X$4)),0))</f>
        <v>0</v>
      </c>
      <c r="Y102" s="251">
        <f>IF(Y$4&gt;DAY(EOMONTH(DATE($D$2,$B$2,1),0)),"",IFERROR(SUMIFS(DATA_GOC!$H:$H,DATA_GOC!$A:$A,"BOM",DATA_GOC!$D:$D,$B102,DATA_GOC!$E:$E,"Téc 2",DATA_GOC!$F:$F,"Xuất nội bộ từ téc",DATA_GOC!$B:$B,DATE($D$2,$B$2,Y$4)),0))</f>
        <v>0</v>
      </c>
      <c r="Z102" s="251">
        <f>IF(Z$4&gt;DAY(EOMONTH(DATE($D$2,$B$2,1),0)),"",IFERROR(SUMIFS(DATA_GOC!$H:$H,DATA_GOC!$A:$A,"BOM",DATA_GOC!$D:$D,$B102,DATA_GOC!$E:$E,"Téc 2",DATA_GOC!$F:$F,"Xuất nội bộ từ téc",DATA_GOC!$B:$B,DATE($D$2,$B$2,Z$4)),0))</f>
        <v>0</v>
      </c>
      <c r="AA102" s="251">
        <f>IF(AA$4&gt;DAY(EOMONTH(DATE($D$2,$B$2,1),0)),"",IFERROR(SUMIFS(DATA_GOC!$H:$H,DATA_GOC!$A:$A,"BOM",DATA_GOC!$D:$D,$B102,DATA_GOC!$E:$E,"Téc 2",DATA_GOC!$F:$F,"Xuất nội bộ từ téc",DATA_GOC!$B:$B,DATE($D$2,$B$2,AA$4)),0))</f>
        <v>0</v>
      </c>
      <c r="AB102" s="251">
        <f>IF(AB$4&gt;DAY(EOMONTH(DATE($D$2,$B$2,1),0)),"",IFERROR(SUMIFS(DATA_GOC!$H:$H,DATA_GOC!$A:$A,"BOM",DATA_GOC!$D:$D,$B102,DATA_GOC!$E:$E,"Téc 2",DATA_GOC!$F:$F,"Xuất nội bộ từ téc",DATA_GOC!$B:$B,DATE($D$2,$B$2,AB$4)),0))</f>
        <v>0</v>
      </c>
      <c r="AC102" s="251">
        <f>IF(AC$4&gt;DAY(EOMONTH(DATE($D$2,$B$2,1),0)),"",IFERROR(SUMIFS(DATA_GOC!$H:$H,DATA_GOC!$A:$A,"BOM",DATA_GOC!$D:$D,$B102,DATA_GOC!$E:$E,"Téc 2",DATA_GOC!$F:$F,"Xuất nội bộ từ téc",DATA_GOC!$B:$B,DATE($D$2,$B$2,AC$4)),0))</f>
        <v>0</v>
      </c>
      <c r="AD102" s="251">
        <f>IF(AD$4&gt;DAY(EOMONTH(DATE($D$2,$B$2,1),0)),"",IFERROR(SUMIFS(DATA_GOC!$H:$H,DATA_GOC!$A:$A,"BOM",DATA_GOC!$D:$D,$B102,DATA_GOC!$E:$E,"Téc 2",DATA_GOC!$F:$F,"Xuất nội bộ từ téc",DATA_GOC!$B:$B,DATE($D$2,$B$2,AD$4)),0))</f>
        <v>0</v>
      </c>
      <c r="AE102" s="251">
        <f>IF(AE$4&gt;DAY(EOMONTH(DATE($D$2,$B$2,1),0)),"",IFERROR(SUMIFS(DATA_GOC!$H:$H,DATA_GOC!$A:$A,"BOM",DATA_GOC!$D:$D,$B102,DATA_GOC!$E:$E,"Téc 2",DATA_GOC!$F:$F,"Xuất nội bộ từ téc",DATA_GOC!$B:$B,DATE($D$2,$B$2,AE$4)),0))</f>
        <v>0</v>
      </c>
      <c r="AF102" s="251">
        <f>IF(AF$4&gt;DAY(EOMONTH(DATE($D$2,$B$2,1),0)),"",IFERROR(SUMIFS(DATA_GOC!$H:$H,DATA_GOC!$A:$A,"BOM",DATA_GOC!$D:$D,$B102,DATA_GOC!$E:$E,"Téc 2",DATA_GOC!$F:$F,"Xuất nội bộ từ téc",DATA_GOC!$B:$B,DATE($D$2,$B$2,AF$4)),0))</f>
        <v>0</v>
      </c>
      <c r="AG102" s="251">
        <f>IF(AG$4&gt;DAY(EOMONTH(DATE($D$2,$B$2,1),0)),"",IFERROR(SUMIFS(DATA_GOC!$H:$H,DATA_GOC!$A:$A,"BOM",DATA_GOC!$D:$D,$B102,DATA_GOC!$E:$E,"Téc 2",DATA_GOC!$F:$F,"Xuất nội bộ từ téc",DATA_GOC!$B:$B,DATE($D$2,$B$2,AG$4)),0))</f>
        <v>0</v>
      </c>
      <c r="AH102" s="252">
        <f t="shared" si="4"/>
        <v>0</v>
      </c>
      <c r="AI102" s="241">
        <f>IFERROR(SUMIFS(DATA_GOC!$H:$H,DATA_GOC!$A:$A,"BOM",DATA_GOC!$D:$D,$B102,DATA_GOC!$E:$E,"Bơm ngoài/Hải Tân",DATA_GOC!$F:$F,"Bơm ngoài",DATA_GOC!$B:$B,"&gt;="&amp;DATE($D$2,$B$2,1),DATA_GOC!$B:$B,"&lt;="&amp;EOMONTH(DATE($D$2,$B$2,1),0)),0)</f>
        <v>0</v>
      </c>
      <c r="AJ102" s="242">
        <f>IF($B102="","",SUMIFS(TINH_TEC!$K$233:$K$9232,TINH_TEC!$H$233:$H$9232,$B102,TINH_TEC!$C$233:$C$9232,"Téc 2",TINH_TEC!$F$233:$F$9232,$B$2,TINH_TEC!$G$233:$G$9232,$D$2,TINH_TEC!$B$233:$B$9232,"Đã chốt"))</f>
        <v>0</v>
      </c>
      <c r="AK102" s="242">
        <f>IF($B102="","",SUMIFS(TINH_TEC!$J$233:$J$9232,TINH_TEC!$H$233:$H$9232,$B102,TINH_TEC!$C$233:$C$9232,"Téc 2",TINH_TEC!$F$233:$F$9232,$B$2,TINH_TEC!$G$233:$G$9232,$D$2,TINH_TEC!$B$233:$B$9232,"Đã chốt"))</f>
        <v>25.044</v>
      </c>
      <c r="AL102" s="242">
        <f t="shared" si="5"/>
        <v>25.044</v>
      </c>
    </row>
    <row r="103" ht="15.75" customHeight="1">
      <c r="A103" s="237">
        <f>IF($B103&lt;&gt;"",37,"")</f>
        <v>37</v>
      </c>
      <c r="B103" s="250" t="str">
        <f t="array" ref="B103">IFERROR(INDEX(DANH_MUC!$E:$E,40),"")</f>
        <v>28H00669</v>
      </c>
      <c r="C103" s="251">
        <f>IF(C$4&gt;DAY(EOMONTH(DATE($D$2,$B$2,1),0)),"",IFERROR(SUMIFS(DATA_GOC!$H:$H,DATA_GOC!$A:$A,"BOM",DATA_GOC!$D:$D,$B103,DATA_GOC!$E:$E,"Téc 2",DATA_GOC!$F:$F,"Xuất nội bộ từ téc",DATA_GOC!$B:$B,DATE($D$2,$B$2,C$4)),0))</f>
        <v>0</v>
      </c>
      <c r="D103" s="251">
        <f>IF(D$4&gt;DAY(EOMONTH(DATE($D$2,$B$2,1),0)),"",IFERROR(SUMIFS(DATA_GOC!$H:$H,DATA_GOC!$A:$A,"BOM",DATA_GOC!$D:$D,$B103,DATA_GOC!$E:$E,"Téc 2",DATA_GOC!$F:$F,"Xuất nội bộ từ téc",DATA_GOC!$B:$B,DATE($D$2,$B$2,D$4)),0))</f>
        <v>0</v>
      </c>
      <c r="E103" s="251">
        <f>IF(E$4&gt;DAY(EOMONTH(DATE($D$2,$B$2,1),0)),"",IFERROR(SUMIFS(DATA_GOC!$H:$H,DATA_GOC!$A:$A,"BOM",DATA_GOC!$D:$D,$B103,DATA_GOC!$E:$E,"Téc 2",DATA_GOC!$F:$F,"Xuất nội bộ từ téc",DATA_GOC!$B:$B,DATE($D$2,$B$2,E$4)),0))</f>
        <v>387</v>
      </c>
      <c r="F103" s="251">
        <f>IF(F$4&gt;DAY(EOMONTH(DATE($D$2,$B$2,1),0)),"",IFERROR(SUMIFS(DATA_GOC!$H:$H,DATA_GOC!$A:$A,"BOM",DATA_GOC!$D:$D,$B103,DATA_GOC!$E:$E,"Téc 2",DATA_GOC!$F:$F,"Xuất nội bộ từ téc",DATA_GOC!$B:$B,DATE($D$2,$B$2,F$4)),0))</f>
        <v>0</v>
      </c>
      <c r="G103" s="251">
        <f>IF(G$4&gt;DAY(EOMONTH(DATE($D$2,$B$2,1),0)),"",IFERROR(SUMIFS(DATA_GOC!$H:$H,DATA_GOC!$A:$A,"BOM",DATA_GOC!$D:$D,$B103,DATA_GOC!$E:$E,"Téc 2",DATA_GOC!$F:$F,"Xuất nội bộ từ téc",DATA_GOC!$B:$B,DATE($D$2,$B$2,G$4)),0))</f>
        <v>0</v>
      </c>
      <c r="H103" s="251">
        <f>IF(H$4&gt;DAY(EOMONTH(DATE($D$2,$B$2,1),0)),"",IFERROR(SUMIFS(DATA_GOC!$H:$H,DATA_GOC!$A:$A,"BOM",DATA_GOC!$D:$D,$B103,DATA_GOC!$E:$E,"Téc 2",DATA_GOC!$F:$F,"Xuất nội bộ từ téc",DATA_GOC!$B:$B,DATE($D$2,$B$2,H$4)),0))</f>
        <v>0</v>
      </c>
      <c r="I103" s="251">
        <f>IF(I$4&gt;DAY(EOMONTH(DATE($D$2,$B$2,1),0)),"",IFERROR(SUMIFS(DATA_GOC!$H:$H,DATA_GOC!$A:$A,"BOM",DATA_GOC!$D:$D,$B103,DATA_GOC!$E:$E,"Téc 2",DATA_GOC!$F:$F,"Xuất nội bộ từ téc",DATA_GOC!$B:$B,DATE($D$2,$B$2,I$4)),0))</f>
        <v>0</v>
      </c>
      <c r="J103" s="251">
        <f>IF(J$4&gt;DAY(EOMONTH(DATE($D$2,$B$2,1),0)),"",IFERROR(SUMIFS(DATA_GOC!$H:$H,DATA_GOC!$A:$A,"BOM",DATA_GOC!$D:$D,$B103,DATA_GOC!$E:$E,"Téc 2",DATA_GOC!$F:$F,"Xuất nội bộ từ téc",DATA_GOC!$B:$B,DATE($D$2,$B$2,J$4)),0))</f>
        <v>0</v>
      </c>
      <c r="K103" s="251">
        <f>IF(K$4&gt;DAY(EOMONTH(DATE($D$2,$B$2,1),0)),"",IFERROR(SUMIFS(DATA_GOC!$H:$H,DATA_GOC!$A:$A,"BOM",DATA_GOC!$D:$D,$B103,DATA_GOC!$E:$E,"Téc 2",DATA_GOC!$F:$F,"Xuất nội bộ từ téc",DATA_GOC!$B:$B,DATE($D$2,$B$2,K$4)),0))</f>
        <v>0</v>
      </c>
      <c r="L103" s="251">
        <f>IF(L$4&gt;DAY(EOMONTH(DATE($D$2,$B$2,1),0)),"",IFERROR(SUMIFS(DATA_GOC!$H:$H,DATA_GOC!$A:$A,"BOM",DATA_GOC!$D:$D,$B103,DATA_GOC!$E:$E,"Téc 2",DATA_GOC!$F:$F,"Xuất nội bộ từ téc",DATA_GOC!$B:$B,DATE($D$2,$B$2,L$4)),0))</f>
        <v>0</v>
      </c>
      <c r="M103" s="251">
        <f>IF(M$4&gt;DAY(EOMONTH(DATE($D$2,$B$2,1),0)),"",IFERROR(SUMIFS(DATA_GOC!$H:$H,DATA_GOC!$A:$A,"BOM",DATA_GOC!$D:$D,$B103,DATA_GOC!$E:$E,"Téc 2",DATA_GOC!$F:$F,"Xuất nội bộ từ téc",DATA_GOC!$B:$B,DATE($D$2,$B$2,M$4)),0))</f>
        <v>0</v>
      </c>
      <c r="N103" s="251">
        <f>IF(N$4&gt;DAY(EOMONTH(DATE($D$2,$B$2,1),0)),"",IFERROR(SUMIFS(DATA_GOC!$H:$H,DATA_GOC!$A:$A,"BOM",DATA_GOC!$D:$D,$B103,DATA_GOC!$E:$E,"Téc 2",DATA_GOC!$F:$F,"Xuất nội bộ từ téc",DATA_GOC!$B:$B,DATE($D$2,$B$2,N$4)),0))</f>
        <v>0</v>
      </c>
      <c r="O103" s="251">
        <f>IF(O$4&gt;DAY(EOMONTH(DATE($D$2,$B$2,1),0)),"",IFERROR(SUMIFS(DATA_GOC!$H:$H,DATA_GOC!$A:$A,"BOM",DATA_GOC!$D:$D,$B103,DATA_GOC!$E:$E,"Téc 2",DATA_GOC!$F:$F,"Xuất nội bộ từ téc",DATA_GOC!$B:$B,DATE($D$2,$B$2,O$4)),0))</f>
        <v>0</v>
      </c>
      <c r="P103" s="251">
        <f>IF(P$4&gt;DAY(EOMONTH(DATE($D$2,$B$2,1),0)),"",IFERROR(SUMIFS(DATA_GOC!$H:$H,DATA_GOC!$A:$A,"BOM",DATA_GOC!$D:$D,$B103,DATA_GOC!$E:$E,"Téc 2",DATA_GOC!$F:$F,"Xuất nội bộ từ téc",DATA_GOC!$B:$B,DATE($D$2,$B$2,P$4)),0))</f>
        <v>0</v>
      </c>
      <c r="Q103" s="251">
        <f>IF(Q$4&gt;DAY(EOMONTH(DATE($D$2,$B$2,1),0)),"",IFERROR(SUMIFS(DATA_GOC!$H:$H,DATA_GOC!$A:$A,"BOM",DATA_GOC!$D:$D,$B103,DATA_GOC!$E:$E,"Téc 2",DATA_GOC!$F:$F,"Xuất nội bộ từ téc",DATA_GOC!$B:$B,DATE($D$2,$B$2,Q$4)),0))</f>
        <v>0</v>
      </c>
      <c r="R103" s="251">
        <f>IF(R$4&gt;DAY(EOMONTH(DATE($D$2,$B$2,1),0)),"",IFERROR(SUMIFS(DATA_GOC!$H:$H,DATA_GOC!$A:$A,"BOM",DATA_GOC!$D:$D,$B103,DATA_GOC!$E:$E,"Téc 2",DATA_GOC!$F:$F,"Xuất nội bộ từ téc",DATA_GOC!$B:$B,DATE($D$2,$B$2,R$4)),0))</f>
        <v>0</v>
      </c>
      <c r="S103" s="251">
        <f>IF(S$4&gt;DAY(EOMONTH(DATE($D$2,$B$2,1),0)),"",IFERROR(SUMIFS(DATA_GOC!$H:$H,DATA_GOC!$A:$A,"BOM",DATA_GOC!$D:$D,$B103,DATA_GOC!$E:$E,"Téc 2",DATA_GOC!$F:$F,"Xuất nội bộ từ téc",DATA_GOC!$B:$B,DATE($D$2,$B$2,S$4)),0))</f>
        <v>0</v>
      </c>
      <c r="T103" s="251">
        <f>IF(T$4&gt;DAY(EOMONTH(DATE($D$2,$B$2,1),0)),"",IFERROR(SUMIFS(DATA_GOC!$H:$H,DATA_GOC!$A:$A,"BOM",DATA_GOC!$D:$D,$B103,DATA_GOC!$E:$E,"Téc 2",DATA_GOC!$F:$F,"Xuất nội bộ từ téc",DATA_GOC!$B:$B,DATE($D$2,$B$2,T$4)),0))</f>
        <v>0</v>
      </c>
      <c r="U103" s="251">
        <f>IF(U$4&gt;DAY(EOMONTH(DATE($D$2,$B$2,1),0)),"",IFERROR(SUMIFS(DATA_GOC!$H:$H,DATA_GOC!$A:$A,"BOM",DATA_GOC!$D:$D,$B103,DATA_GOC!$E:$E,"Téc 2",DATA_GOC!$F:$F,"Xuất nội bộ từ téc",DATA_GOC!$B:$B,DATE($D$2,$B$2,U$4)),0))</f>
        <v>0</v>
      </c>
      <c r="V103" s="251">
        <f>IF(V$4&gt;DAY(EOMONTH(DATE($D$2,$B$2,1),0)),"",IFERROR(SUMIFS(DATA_GOC!$H:$H,DATA_GOC!$A:$A,"BOM",DATA_GOC!$D:$D,$B103,DATA_GOC!$E:$E,"Téc 2",DATA_GOC!$F:$F,"Xuất nội bộ từ téc",DATA_GOC!$B:$B,DATE($D$2,$B$2,V$4)),0))</f>
        <v>0</v>
      </c>
      <c r="W103" s="251">
        <f>IF(W$4&gt;DAY(EOMONTH(DATE($D$2,$B$2,1),0)),"",IFERROR(SUMIFS(DATA_GOC!$H:$H,DATA_GOC!$A:$A,"BOM",DATA_GOC!$D:$D,$B103,DATA_GOC!$E:$E,"Téc 2",DATA_GOC!$F:$F,"Xuất nội bộ từ téc",DATA_GOC!$B:$B,DATE($D$2,$B$2,W$4)),0))</f>
        <v>0</v>
      </c>
      <c r="X103" s="251">
        <f>IF(X$4&gt;DAY(EOMONTH(DATE($D$2,$B$2,1),0)),"",IFERROR(SUMIFS(DATA_GOC!$H:$H,DATA_GOC!$A:$A,"BOM",DATA_GOC!$D:$D,$B103,DATA_GOC!$E:$E,"Téc 2",DATA_GOC!$F:$F,"Xuất nội bộ từ téc",DATA_GOC!$B:$B,DATE($D$2,$B$2,X$4)),0))</f>
        <v>0</v>
      </c>
      <c r="Y103" s="251">
        <f>IF(Y$4&gt;DAY(EOMONTH(DATE($D$2,$B$2,1),0)),"",IFERROR(SUMIFS(DATA_GOC!$H:$H,DATA_GOC!$A:$A,"BOM",DATA_GOC!$D:$D,$B103,DATA_GOC!$E:$E,"Téc 2",DATA_GOC!$F:$F,"Xuất nội bộ từ téc",DATA_GOC!$B:$B,DATE($D$2,$B$2,Y$4)),0))</f>
        <v>0</v>
      </c>
      <c r="Z103" s="251">
        <f>IF(Z$4&gt;DAY(EOMONTH(DATE($D$2,$B$2,1),0)),"",IFERROR(SUMIFS(DATA_GOC!$H:$H,DATA_GOC!$A:$A,"BOM",DATA_GOC!$D:$D,$B103,DATA_GOC!$E:$E,"Téc 2",DATA_GOC!$F:$F,"Xuất nội bộ từ téc",DATA_GOC!$B:$B,DATE($D$2,$B$2,Z$4)),0))</f>
        <v>0</v>
      </c>
      <c r="AA103" s="251">
        <f>IF(AA$4&gt;DAY(EOMONTH(DATE($D$2,$B$2,1),0)),"",IFERROR(SUMIFS(DATA_GOC!$H:$H,DATA_GOC!$A:$A,"BOM",DATA_GOC!$D:$D,$B103,DATA_GOC!$E:$E,"Téc 2",DATA_GOC!$F:$F,"Xuất nội bộ từ téc",DATA_GOC!$B:$B,DATE($D$2,$B$2,AA$4)),0))</f>
        <v>0</v>
      </c>
      <c r="AB103" s="251">
        <f>IF(AB$4&gt;DAY(EOMONTH(DATE($D$2,$B$2,1),0)),"",IFERROR(SUMIFS(DATA_GOC!$H:$H,DATA_GOC!$A:$A,"BOM",DATA_GOC!$D:$D,$B103,DATA_GOC!$E:$E,"Téc 2",DATA_GOC!$F:$F,"Xuất nội bộ từ téc",DATA_GOC!$B:$B,DATE($D$2,$B$2,AB$4)),0))</f>
        <v>0</v>
      </c>
      <c r="AC103" s="251">
        <f>IF(AC$4&gt;DAY(EOMONTH(DATE($D$2,$B$2,1),0)),"",IFERROR(SUMIFS(DATA_GOC!$H:$H,DATA_GOC!$A:$A,"BOM",DATA_GOC!$D:$D,$B103,DATA_GOC!$E:$E,"Téc 2",DATA_GOC!$F:$F,"Xuất nội bộ từ téc",DATA_GOC!$B:$B,DATE($D$2,$B$2,AC$4)),0))</f>
        <v>0</v>
      </c>
      <c r="AD103" s="251">
        <f>IF(AD$4&gt;DAY(EOMONTH(DATE($D$2,$B$2,1),0)),"",IFERROR(SUMIFS(DATA_GOC!$H:$H,DATA_GOC!$A:$A,"BOM",DATA_GOC!$D:$D,$B103,DATA_GOC!$E:$E,"Téc 2",DATA_GOC!$F:$F,"Xuất nội bộ từ téc",DATA_GOC!$B:$B,DATE($D$2,$B$2,AD$4)),0))</f>
        <v>0</v>
      </c>
      <c r="AE103" s="251">
        <f>IF(AE$4&gt;DAY(EOMONTH(DATE($D$2,$B$2,1),0)),"",IFERROR(SUMIFS(DATA_GOC!$H:$H,DATA_GOC!$A:$A,"BOM",DATA_GOC!$D:$D,$B103,DATA_GOC!$E:$E,"Téc 2",DATA_GOC!$F:$F,"Xuất nội bộ từ téc",DATA_GOC!$B:$B,DATE($D$2,$B$2,AE$4)),0))</f>
        <v>0</v>
      </c>
      <c r="AF103" s="251">
        <f>IF(AF$4&gt;DAY(EOMONTH(DATE($D$2,$B$2,1),0)),"",IFERROR(SUMIFS(DATA_GOC!$H:$H,DATA_GOC!$A:$A,"BOM",DATA_GOC!$D:$D,$B103,DATA_GOC!$E:$E,"Téc 2",DATA_GOC!$F:$F,"Xuất nội bộ từ téc",DATA_GOC!$B:$B,DATE($D$2,$B$2,AF$4)),0))</f>
        <v>0</v>
      </c>
      <c r="AG103" s="251">
        <f>IF(AG$4&gt;DAY(EOMONTH(DATE($D$2,$B$2,1),0)),"",IFERROR(SUMIFS(DATA_GOC!$H:$H,DATA_GOC!$A:$A,"BOM",DATA_GOC!$D:$D,$B103,DATA_GOC!$E:$E,"Téc 2",DATA_GOC!$F:$F,"Xuất nội bộ từ téc",DATA_GOC!$B:$B,DATE($D$2,$B$2,AG$4)),0))</f>
        <v>0</v>
      </c>
      <c r="AH103" s="252">
        <f t="shared" si="4"/>
        <v>387</v>
      </c>
      <c r="AI103" s="241">
        <f>IFERROR(SUMIFS(DATA_GOC!$H:$H,DATA_GOC!$A:$A,"BOM",DATA_GOC!$D:$D,$B103,DATA_GOC!$E:$E,"Bơm ngoài/Hải Tân",DATA_GOC!$F:$F,"Bơm ngoài",DATA_GOC!$B:$B,"&gt;="&amp;DATE($D$2,$B$2,1),DATA_GOC!$B:$B,"&lt;="&amp;EOMONTH(DATE($D$2,$B$2,1),0)),0)</f>
        <v>0</v>
      </c>
      <c r="AJ103" s="242">
        <f>IF($B103="","",SUMIFS(TINH_TEC!$K$233:$K$9232,TINH_TEC!$H$233:$H$9232,$B103,TINH_TEC!$C$233:$C$9232,"Téc 2",TINH_TEC!$F$233:$F$9232,$B$2,TINH_TEC!$G$233:$G$9232,$D$2,TINH_TEC!$B$233:$B$9232,"Đã chốt"))</f>
        <v>0</v>
      </c>
      <c r="AK103" s="242">
        <f>IF($B103="","",SUMIFS(TINH_TEC!$J$233:$J$9232,TINH_TEC!$H$233:$H$9232,$B103,TINH_TEC!$C$233:$C$9232,"Téc 2",TINH_TEC!$F$233:$F$9232,$B$2,TINH_TEC!$G$233:$G$9232,$D$2,TINH_TEC!$B$233:$B$9232,"Đã chốt"))</f>
        <v>62.844</v>
      </c>
      <c r="AL103" s="242">
        <f t="shared" si="5"/>
        <v>449.844</v>
      </c>
    </row>
    <row r="104" ht="15.75" customHeight="1">
      <c r="A104" s="237">
        <f>IF($B104&lt;&gt;"",38,"")</f>
        <v>38</v>
      </c>
      <c r="B104" s="250" t="str">
        <f t="array" ref="B104">IFERROR(INDEX(DANH_MUC!$E:$E,41),"")</f>
        <v>28H00680</v>
      </c>
      <c r="C104" s="251">
        <f>IF(C$4&gt;DAY(EOMONTH(DATE($D$2,$B$2,1),0)),"",IFERROR(SUMIFS(DATA_GOC!$H:$H,DATA_GOC!$A:$A,"BOM",DATA_GOC!$D:$D,$B104,DATA_GOC!$E:$E,"Téc 2",DATA_GOC!$F:$F,"Xuất nội bộ từ téc",DATA_GOC!$B:$B,DATE($D$2,$B$2,C$4)),0))</f>
        <v>0</v>
      </c>
      <c r="D104" s="251">
        <f>IF(D$4&gt;DAY(EOMONTH(DATE($D$2,$B$2,1),0)),"",IFERROR(SUMIFS(DATA_GOC!$H:$H,DATA_GOC!$A:$A,"BOM",DATA_GOC!$D:$D,$B104,DATA_GOC!$E:$E,"Téc 2",DATA_GOC!$F:$F,"Xuất nội bộ từ téc",DATA_GOC!$B:$B,DATE($D$2,$B$2,D$4)),0))</f>
        <v>0</v>
      </c>
      <c r="E104" s="251">
        <f>IF(E$4&gt;DAY(EOMONTH(DATE($D$2,$B$2,1),0)),"",IFERROR(SUMIFS(DATA_GOC!$H:$H,DATA_GOC!$A:$A,"BOM",DATA_GOC!$D:$D,$B104,DATA_GOC!$E:$E,"Téc 2",DATA_GOC!$F:$F,"Xuất nội bộ từ téc",DATA_GOC!$B:$B,DATE($D$2,$B$2,E$4)),0))</f>
        <v>0</v>
      </c>
      <c r="F104" s="251">
        <f>IF(F$4&gt;DAY(EOMONTH(DATE($D$2,$B$2,1),0)),"",IFERROR(SUMIFS(DATA_GOC!$H:$H,DATA_GOC!$A:$A,"BOM",DATA_GOC!$D:$D,$B104,DATA_GOC!$E:$E,"Téc 2",DATA_GOC!$F:$F,"Xuất nội bộ từ téc",DATA_GOC!$B:$B,DATE($D$2,$B$2,F$4)),0))</f>
        <v>460</v>
      </c>
      <c r="G104" s="251">
        <f>IF(G$4&gt;DAY(EOMONTH(DATE($D$2,$B$2,1),0)),"",IFERROR(SUMIFS(DATA_GOC!$H:$H,DATA_GOC!$A:$A,"BOM",DATA_GOC!$D:$D,$B104,DATA_GOC!$E:$E,"Téc 2",DATA_GOC!$F:$F,"Xuất nội bộ từ téc",DATA_GOC!$B:$B,DATE($D$2,$B$2,G$4)),0))</f>
        <v>0</v>
      </c>
      <c r="H104" s="251">
        <f>IF(H$4&gt;DAY(EOMONTH(DATE($D$2,$B$2,1),0)),"",IFERROR(SUMIFS(DATA_GOC!$H:$H,DATA_GOC!$A:$A,"BOM",DATA_GOC!$D:$D,$B104,DATA_GOC!$E:$E,"Téc 2",DATA_GOC!$F:$F,"Xuất nội bộ từ téc",DATA_GOC!$B:$B,DATE($D$2,$B$2,H$4)),0))</f>
        <v>0</v>
      </c>
      <c r="I104" s="251">
        <f>IF(I$4&gt;DAY(EOMONTH(DATE($D$2,$B$2,1),0)),"",IFERROR(SUMIFS(DATA_GOC!$H:$H,DATA_GOC!$A:$A,"BOM",DATA_GOC!$D:$D,$B104,DATA_GOC!$E:$E,"Téc 2",DATA_GOC!$F:$F,"Xuất nội bộ từ téc",DATA_GOC!$B:$B,DATE($D$2,$B$2,I$4)),0))</f>
        <v>0</v>
      </c>
      <c r="J104" s="251">
        <f>IF(J$4&gt;DAY(EOMONTH(DATE($D$2,$B$2,1),0)),"",IFERROR(SUMIFS(DATA_GOC!$H:$H,DATA_GOC!$A:$A,"BOM",DATA_GOC!$D:$D,$B104,DATA_GOC!$E:$E,"Téc 2",DATA_GOC!$F:$F,"Xuất nội bộ từ téc",DATA_GOC!$B:$B,DATE($D$2,$B$2,J$4)),0))</f>
        <v>0</v>
      </c>
      <c r="K104" s="251">
        <f>IF(K$4&gt;DAY(EOMONTH(DATE($D$2,$B$2,1),0)),"",IFERROR(SUMIFS(DATA_GOC!$H:$H,DATA_GOC!$A:$A,"BOM",DATA_GOC!$D:$D,$B104,DATA_GOC!$E:$E,"Téc 2",DATA_GOC!$F:$F,"Xuất nội bộ từ téc",DATA_GOC!$B:$B,DATE($D$2,$B$2,K$4)),0))</f>
        <v>0</v>
      </c>
      <c r="L104" s="251">
        <f>IF(L$4&gt;DAY(EOMONTH(DATE($D$2,$B$2,1),0)),"",IFERROR(SUMIFS(DATA_GOC!$H:$H,DATA_GOC!$A:$A,"BOM",DATA_GOC!$D:$D,$B104,DATA_GOC!$E:$E,"Téc 2",DATA_GOC!$F:$F,"Xuất nội bộ từ téc",DATA_GOC!$B:$B,DATE($D$2,$B$2,L$4)),0))</f>
        <v>0</v>
      </c>
      <c r="M104" s="251">
        <f>IF(M$4&gt;DAY(EOMONTH(DATE($D$2,$B$2,1),0)),"",IFERROR(SUMIFS(DATA_GOC!$H:$H,DATA_GOC!$A:$A,"BOM",DATA_GOC!$D:$D,$B104,DATA_GOC!$E:$E,"Téc 2",DATA_GOC!$F:$F,"Xuất nội bộ từ téc",DATA_GOC!$B:$B,DATE($D$2,$B$2,M$4)),0))</f>
        <v>0</v>
      </c>
      <c r="N104" s="251">
        <f>IF(N$4&gt;DAY(EOMONTH(DATE($D$2,$B$2,1),0)),"",IFERROR(SUMIFS(DATA_GOC!$H:$H,DATA_GOC!$A:$A,"BOM",DATA_GOC!$D:$D,$B104,DATA_GOC!$E:$E,"Téc 2",DATA_GOC!$F:$F,"Xuất nội bộ từ téc",DATA_GOC!$B:$B,DATE($D$2,$B$2,N$4)),0))</f>
        <v>0</v>
      </c>
      <c r="O104" s="251">
        <f>IF(O$4&gt;DAY(EOMONTH(DATE($D$2,$B$2,1),0)),"",IFERROR(SUMIFS(DATA_GOC!$H:$H,DATA_GOC!$A:$A,"BOM",DATA_GOC!$D:$D,$B104,DATA_GOC!$E:$E,"Téc 2",DATA_GOC!$F:$F,"Xuất nội bộ từ téc",DATA_GOC!$B:$B,DATE($D$2,$B$2,O$4)),0))</f>
        <v>0</v>
      </c>
      <c r="P104" s="251">
        <f>IF(P$4&gt;DAY(EOMONTH(DATE($D$2,$B$2,1),0)),"",IFERROR(SUMIFS(DATA_GOC!$H:$H,DATA_GOC!$A:$A,"BOM",DATA_GOC!$D:$D,$B104,DATA_GOC!$E:$E,"Téc 2",DATA_GOC!$F:$F,"Xuất nội bộ từ téc",DATA_GOC!$B:$B,DATE($D$2,$B$2,P$4)),0))</f>
        <v>0</v>
      </c>
      <c r="Q104" s="251">
        <f>IF(Q$4&gt;DAY(EOMONTH(DATE($D$2,$B$2,1),0)),"",IFERROR(SUMIFS(DATA_GOC!$H:$H,DATA_GOC!$A:$A,"BOM",DATA_GOC!$D:$D,$B104,DATA_GOC!$E:$E,"Téc 2",DATA_GOC!$F:$F,"Xuất nội bộ từ téc",DATA_GOC!$B:$B,DATE($D$2,$B$2,Q$4)),0))</f>
        <v>0</v>
      </c>
      <c r="R104" s="251">
        <f>IF(R$4&gt;DAY(EOMONTH(DATE($D$2,$B$2,1),0)),"",IFERROR(SUMIFS(DATA_GOC!$H:$H,DATA_GOC!$A:$A,"BOM",DATA_GOC!$D:$D,$B104,DATA_GOC!$E:$E,"Téc 2",DATA_GOC!$F:$F,"Xuất nội bộ từ téc",DATA_GOC!$B:$B,DATE($D$2,$B$2,R$4)),0))</f>
        <v>0</v>
      </c>
      <c r="S104" s="251">
        <f>IF(S$4&gt;DAY(EOMONTH(DATE($D$2,$B$2,1),0)),"",IFERROR(SUMIFS(DATA_GOC!$H:$H,DATA_GOC!$A:$A,"BOM",DATA_GOC!$D:$D,$B104,DATA_GOC!$E:$E,"Téc 2",DATA_GOC!$F:$F,"Xuất nội bộ từ téc",DATA_GOC!$B:$B,DATE($D$2,$B$2,S$4)),0))</f>
        <v>0</v>
      </c>
      <c r="T104" s="251">
        <f>IF(T$4&gt;DAY(EOMONTH(DATE($D$2,$B$2,1),0)),"",IFERROR(SUMIFS(DATA_GOC!$H:$H,DATA_GOC!$A:$A,"BOM",DATA_GOC!$D:$D,$B104,DATA_GOC!$E:$E,"Téc 2",DATA_GOC!$F:$F,"Xuất nội bộ từ téc",DATA_GOC!$B:$B,DATE($D$2,$B$2,T$4)),0))</f>
        <v>0</v>
      </c>
      <c r="U104" s="251">
        <f>IF(U$4&gt;DAY(EOMONTH(DATE($D$2,$B$2,1),0)),"",IFERROR(SUMIFS(DATA_GOC!$H:$H,DATA_GOC!$A:$A,"BOM",DATA_GOC!$D:$D,$B104,DATA_GOC!$E:$E,"Téc 2",DATA_GOC!$F:$F,"Xuất nội bộ từ téc",DATA_GOC!$B:$B,DATE($D$2,$B$2,U$4)),0))</f>
        <v>0</v>
      </c>
      <c r="V104" s="251">
        <f>IF(V$4&gt;DAY(EOMONTH(DATE($D$2,$B$2,1),0)),"",IFERROR(SUMIFS(DATA_GOC!$H:$H,DATA_GOC!$A:$A,"BOM",DATA_GOC!$D:$D,$B104,DATA_GOC!$E:$E,"Téc 2",DATA_GOC!$F:$F,"Xuất nội bộ từ téc",DATA_GOC!$B:$B,DATE($D$2,$B$2,V$4)),0))</f>
        <v>0</v>
      </c>
      <c r="W104" s="251">
        <f>IF(W$4&gt;DAY(EOMONTH(DATE($D$2,$B$2,1),0)),"",IFERROR(SUMIFS(DATA_GOC!$H:$H,DATA_GOC!$A:$A,"BOM",DATA_GOC!$D:$D,$B104,DATA_GOC!$E:$E,"Téc 2",DATA_GOC!$F:$F,"Xuất nội bộ từ téc",DATA_GOC!$B:$B,DATE($D$2,$B$2,W$4)),0))</f>
        <v>0</v>
      </c>
      <c r="X104" s="251">
        <f>IF(X$4&gt;DAY(EOMONTH(DATE($D$2,$B$2,1),0)),"",IFERROR(SUMIFS(DATA_GOC!$H:$H,DATA_GOC!$A:$A,"BOM",DATA_GOC!$D:$D,$B104,DATA_GOC!$E:$E,"Téc 2",DATA_GOC!$F:$F,"Xuất nội bộ từ téc",DATA_GOC!$B:$B,DATE($D$2,$B$2,X$4)),0))</f>
        <v>0</v>
      </c>
      <c r="Y104" s="251">
        <f>IF(Y$4&gt;DAY(EOMONTH(DATE($D$2,$B$2,1),0)),"",IFERROR(SUMIFS(DATA_GOC!$H:$H,DATA_GOC!$A:$A,"BOM",DATA_GOC!$D:$D,$B104,DATA_GOC!$E:$E,"Téc 2",DATA_GOC!$F:$F,"Xuất nội bộ từ téc",DATA_GOC!$B:$B,DATE($D$2,$B$2,Y$4)),0))</f>
        <v>0</v>
      </c>
      <c r="Z104" s="251">
        <f>IF(Z$4&gt;DAY(EOMONTH(DATE($D$2,$B$2,1),0)),"",IFERROR(SUMIFS(DATA_GOC!$H:$H,DATA_GOC!$A:$A,"BOM",DATA_GOC!$D:$D,$B104,DATA_GOC!$E:$E,"Téc 2",DATA_GOC!$F:$F,"Xuất nội bộ từ téc",DATA_GOC!$B:$B,DATE($D$2,$B$2,Z$4)),0))</f>
        <v>0</v>
      </c>
      <c r="AA104" s="251">
        <f>IF(AA$4&gt;DAY(EOMONTH(DATE($D$2,$B$2,1),0)),"",IFERROR(SUMIFS(DATA_GOC!$H:$H,DATA_GOC!$A:$A,"BOM",DATA_GOC!$D:$D,$B104,DATA_GOC!$E:$E,"Téc 2",DATA_GOC!$F:$F,"Xuất nội bộ từ téc",DATA_GOC!$B:$B,DATE($D$2,$B$2,AA$4)),0))</f>
        <v>0</v>
      </c>
      <c r="AB104" s="251">
        <f>IF(AB$4&gt;DAY(EOMONTH(DATE($D$2,$B$2,1),0)),"",IFERROR(SUMIFS(DATA_GOC!$H:$H,DATA_GOC!$A:$A,"BOM",DATA_GOC!$D:$D,$B104,DATA_GOC!$E:$E,"Téc 2",DATA_GOC!$F:$F,"Xuất nội bộ từ téc",DATA_GOC!$B:$B,DATE($D$2,$B$2,AB$4)),0))</f>
        <v>0</v>
      </c>
      <c r="AC104" s="251">
        <f>IF(AC$4&gt;DAY(EOMONTH(DATE($D$2,$B$2,1),0)),"",IFERROR(SUMIFS(DATA_GOC!$H:$H,DATA_GOC!$A:$A,"BOM",DATA_GOC!$D:$D,$B104,DATA_GOC!$E:$E,"Téc 2",DATA_GOC!$F:$F,"Xuất nội bộ từ téc",DATA_GOC!$B:$B,DATE($D$2,$B$2,AC$4)),0))</f>
        <v>0</v>
      </c>
      <c r="AD104" s="251">
        <f>IF(AD$4&gt;DAY(EOMONTH(DATE($D$2,$B$2,1),0)),"",IFERROR(SUMIFS(DATA_GOC!$H:$H,DATA_GOC!$A:$A,"BOM",DATA_GOC!$D:$D,$B104,DATA_GOC!$E:$E,"Téc 2",DATA_GOC!$F:$F,"Xuất nội bộ từ téc",DATA_GOC!$B:$B,DATE($D$2,$B$2,AD$4)),0))</f>
        <v>0</v>
      </c>
      <c r="AE104" s="251">
        <f>IF(AE$4&gt;DAY(EOMONTH(DATE($D$2,$B$2,1),0)),"",IFERROR(SUMIFS(DATA_GOC!$H:$H,DATA_GOC!$A:$A,"BOM",DATA_GOC!$D:$D,$B104,DATA_GOC!$E:$E,"Téc 2",DATA_GOC!$F:$F,"Xuất nội bộ từ téc",DATA_GOC!$B:$B,DATE($D$2,$B$2,AE$4)),0))</f>
        <v>0</v>
      </c>
      <c r="AF104" s="251">
        <f>IF(AF$4&gt;DAY(EOMONTH(DATE($D$2,$B$2,1),0)),"",IFERROR(SUMIFS(DATA_GOC!$H:$H,DATA_GOC!$A:$A,"BOM",DATA_GOC!$D:$D,$B104,DATA_GOC!$E:$E,"Téc 2",DATA_GOC!$F:$F,"Xuất nội bộ từ téc",DATA_GOC!$B:$B,DATE($D$2,$B$2,AF$4)),0))</f>
        <v>0</v>
      </c>
      <c r="AG104" s="251">
        <f>IF(AG$4&gt;DAY(EOMONTH(DATE($D$2,$B$2,1),0)),"",IFERROR(SUMIFS(DATA_GOC!$H:$H,DATA_GOC!$A:$A,"BOM",DATA_GOC!$D:$D,$B104,DATA_GOC!$E:$E,"Téc 2",DATA_GOC!$F:$F,"Xuất nội bộ từ téc",DATA_GOC!$B:$B,DATE($D$2,$B$2,AG$4)),0))</f>
        <v>0</v>
      </c>
      <c r="AH104" s="252">
        <f t="shared" si="4"/>
        <v>460</v>
      </c>
      <c r="AI104" s="241">
        <f>IFERROR(SUMIFS(DATA_GOC!$H:$H,DATA_GOC!$A:$A,"BOM",DATA_GOC!$D:$D,$B104,DATA_GOC!$E:$E,"Bơm ngoài/Hải Tân",DATA_GOC!$F:$F,"Bơm ngoài",DATA_GOC!$B:$B,"&gt;="&amp;DATE($D$2,$B$2,1),DATA_GOC!$B:$B,"&lt;="&amp;EOMONTH(DATE($D$2,$B$2,1),0)),0)</f>
        <v>0</v>
      </c>
      <c r="AJ104" s="242">
        <f>IF($B104="","",SUMIFS(TINH_TEC!$K$233:$K$9232,TINH_TEC!$H$233:$H$9232,$B104,TINH_TEC!$C$233:$C$9232,"Téc 2",TINH_TEC!$F$233:$F$9232,$B$2,TINH_TEC!$G$233:$G$9232,$D$2,TINH_TEC!$B$233:$B$9232,"Đã chốt"))</f>
        <v>0</v>
      </c>
      <c r="AK104" s="242">
        <f>IF($B104="","",SUMIFS(TINH_TEC!$J$233:$J$9232,TINH_TEC!$H$233:$H$9232,$B104,TINH_TEC!$C$233:$C$9232,"Téc 2",TINH_TEC!$F$233:$F$9232,$B$2,TINH_TEC!$G$233:$G$9232,$D$2,TINH_TEC!$B$233:$B$9232,"Đã chốt"))</f>
        <v>84.452</v>
      </c>
      <c r="AL104" s="242">
        <f t="shared" si="5"/>
        <v>544.452</v>
      </c>
    </row>
    <row r="105" ht="15.75" customHeight="1">
      <c r="A105" s="237">
        <f>IF($B105&lt;&gt;"",39,"")</f>
        <v>39</v>
      </c>
      <c r="B105" s="250" t="str">
        <f t="array" ref="B105">IFERROR(INDEX(DANH_MUC!$E:$E,42),"")</f>
        <v>28H01070</v>
      </c>
      <c r="C105" s="251">
        <f>IF(C$4&gt;DAY(EOMONTH(DATE($D$2,$B$2,1),0)),"",IFERROR(SUMIFS(DATA_GOC!$H:$H,DATA_GOC!$A:$A,"BOM",DATA_GOC!$D:$D,$B105,DATA_GOC!$E:$E,"Téc 2",DATA_GOC!$F:$F,"Xuất nội bộ từ téc",DATA_GOC!$B:$B,DATE($D$2,$B$2,C$4)),0))</f>
        <v>0</v>
      </c>
      <c r="D105" s="251">
        <f>IF(D$4&gt;DAY(EOMONTH(DATE($D$2,$B$2,1),0)),"",IFERROR(SUMIFS(DATA_GOC!$H:$H,DATA_GOC!$A:$A,"BOM",DATA_GOC!$D:$D,$B105,DATA_GOC!$E:$E,"Téc 2",DATA_GOC!$F:$F,"Xuất nội bộ từ téc",DATA_GOC!$B:$B,DATE($D$2,$B$2,D$4)),0))</f>
        <v>0</v>
      </c>
      <c r="E105" s="251">
        <f>IF(E$4&gt;DAY(EOMONTH(DATE($D$2,$B$2,1),0)),"",IFERROR(SUMIFS(DATA_GOC!$H:$H,DATA_GOC!$A:$A,"BOM",DATA_GOC!$D:$D,$B105,DATA_GOC!$E:$E,"Téc 2",DATA_GOC!$F:$F,"Xuất nội bộ từ téc",DATA_GOC!$B:$B,DATE($D$2,$B$2,E$4)),0))</f>
        <v>0</v>
      </c>
      <c r="F105" s="251">
        <f>IF(F$4&gt;DAY(EOMONTH(DATE($D$2,$B$2,1),0)),"",IFERROR(SUMIFS(DATA_GOC!$H:$H,DATA_GOC!$A:$A,"BOM",DATA_GOC!$D:$D,$B105,DATA_GOC!$E:$E,"Téc 2",DATA_GOC!$F:$F,"Xuất nội bộ từ téc",DATA_GOC!$B:$B,DATE($D$2,$B$2,F$4)),0))</f>
        <v>0</v>
      </c>
      <c r="G105" s="251">
        <f>IF(G$4&gt;DAY(EOMONTH(DATE($D$2,$B$2,1),0)),"",IFERROR(SUMIFS(DATA_GOC!$H:$H,DATA_GOC!$A:$A,"BOM",DATA_GOC!$D:$D,$B105,DATA_GOC!$E:$E,"Téc 2",DATA_GOC!$F:$F,"Xuất nội bộ từ téc",DATA_GOC!$B:$B,DATE($D$2,$B$2,G$4)),0))</f>
        <v>0</v>
      </c>
      <c r="H105" s="251">
        <f>IF(H$4&gt;DAY(EOMONTH(DATE($D$2,$B$2,1),0)),"",IFERROR(SUMIFS(DATA_GOC!$H:$H,DATA_GOC!$A:$A,"BOM",DATA_GOC!$D:$D,$B105,DATA_GOC!$E:$E,"Téc 2",DATA_GOC!$F:$F,"Xuất nội bộ từ téc",DATA_GOC!$B:$B,DATE($D$2,$B$2,H$4)),0))</f>
        <v>364</v>
      </c>
      <c r="I105" s="251">
        <f>IF(I$4&gt;DAY(EOMONTH(DATE($D$2,$B$2,1),0)),"",IFERROR(SUMIFS(DATA_GOC!$H:$H,DATA_GOC!$A:$A,"BOM",DATA_GOC!$D:$D,$B105,DATA_GOC!$E:$E,"Téc 2",DATA_GOC!$F:$F,"Xuất nội bộ từ téc",DATA_GOC!$B:$B,DATE($D$2,$B$2,I$4)),0))</f>
        <v>0</v>
      </c>
      <c r="J105" s="251">
        <f>IF(J$4&gt;DAY(EOMONTH(DATE($D$2,$B$2,1),0)),"",IFERROR(SUMIFS(DATA_GOC!$H:$H,DATA_GOC!$A:$A,"BOM",DATA_GOC!$D:$D,$B105,DATA_GOC!$E:$E,"Téc 2",DATA_GOC!$F:$F,"Xuất nội bộ từ téc",DATA_GOC!$B:$B,DATE($D$2,$B$2,J$4)),0))</f>
        <v>0</v>
      </c>
      <c r="K105" s="251">
        <f>IF(K$4&gt;DAY(EOMONTH(DATE($D$2,$B$2,1),0)),"",IFERROR(SUMIFS(DATA_GOC!$H:$H,DATA_GOC!$A:$A,"BOM",DATA_GOC!$D:$D,$B105,DATA_GOC!$E:$E,"Téc 2",DATA_GOC!$F:$F,"Xuất nội bộ từ téc",DATA_GOC!$B:$B,DATE($D$2,$B$2,K$4)),0))</f>
        <v>0</v>
      </c>
      <c r="L105" s="251">
        <f>IF(L$4&gt;DAY(EOMONTH(DATE($D$2,$B$2,1),0)),"",IFERROR(SUMIFS(DATA_GOC!$H:$H,DATA_GOC!$A:$A,"BOM",DATA_GOC!$D:$D,$B105,DATA_GOC!$E:$E,"Téc 2",DATA_GOC!$F:$F,"Xuất nội bộ từ téc",DATA_GOC!$B:$B,DATE($D$2,$B$2,L$4)),0))</f>
        <v>0</v>
      </c>
      <c r="M105" s="251">
        <f>IF(M$4&gt;DAY(EOMONTH(DATE($D$2,$B$2,1),0)),"",IFERROR(SUMIFS(DATA_GOC!$H:$H,DATA_GOC!$A:$A,"BOM",DATA_GOC!$D:$D,$B105,DATA_GOC!$E:$E,"Téc 2",DATA_GOC!$F:$F,"Xuất nội bộ từ téc",DATA_GOC!$B:$B,DATE($D$2,$B$2,M$4)),0))</f>
        <v>0</v>
      </c>
      <c r="N105" s="251">
        <f>IF(N$4&gt;DAY(EOMONTH(DATE($D$2,$B$2,1),0)),"",IFERROR(SUMIFS(DATA_GOC!$H:$H,DATA_GOC!$A:$A,"BOM",DATA_GOC!$D:$D,$B105,DATA_GOC!$E:$E,"Téc 2",DATA_GOC!$F:$F,"Xuất nội bộ từ téc",DATA_GOC!$B:$B,DATE($D$2,$B$2,N$4)),0))</f>
        <v>0</v>
      </c>
      <c r="O105" s="251">
        <f>IF(O$4&gt;DAY(EOMONTH(DATE($D$2,$B$2,1),0)),"",IFERROR(SUMIFS(DATA_GOC!$H:$H,DATA_GOC!$A:$A,"BOM",DATA_GOC!$D:$D,$B105,DATA_GOC!$E:$E,"Téc 2",DATA_GOC!$F:$F,"Xuất nội bộ từ téc",DATA_GOC!$B:$B,DATE($D$2,$B$2,O$4)),0))</f>
        <v>0</v>
      </c>
      <c r="P105" s="251">
        <f>IF(P$4&gt;DAY(EOMONTH(DATE($D$2,$B$2,1),0)),"",IFERROR(SUMIFS(DATA_GOC!$H:$H,DATA_GOC!$A:$A,"BOM",DATA_GOC!$D:$D,$B105,DATA_GOC!$E:$E,"Téc 2",DATA_GOC!$F:$F,"Xuất nội bộ từ téc",DATA_GOC!$B:$B,DATE($D$2,$B$2,P$4)),0))</f>
        <v>0</v>
      </c>
      <c r="Q105" s="251">
        <f>IF(Q$4&gt;DAY(EOMONTH(DATE($D$2,$B$2,1),0)),"",IFERROR(SUMIFS(DATA_GOC!$H:$H,DATA_GOC!$A:$A,"BOM",DATA_GOC!$D:$D,$B105,DATA_GOC!$E:$E,"Téc 2",DATA_GOC!$F:$F,"Xuất nội bộ từ téc",DATA_GOC!$B:$B,DATE($D$2,$B$2,Q$4)),0))</f>
        <v>0</v>
      </c>
      <c r="R105" s="251">
        <f>IF(R$4&gt;DAY(EOMONTH(DATE($D$2,$B$2,1),0)),"",IFERROR(SUMIFS(DATA_GOC!$H:$H,DATA_GOC!$A:$A,"BOM",DATA_GOC!$D:$D,$B105,DATA_GOC!$E:$E,"Téc 2",DATA_GOC!$F:$F,"Xuất nội bộ từ téc",DATA_GOC!$B:$B,DATE($D$2,$B$2,R$4)),0))</f>
        <v>0</v>
      </c>
      <c r="S105" s="251">
        <f>IF(S$4&gt;DAY(EOMONTH(DATE($D$2,$B$2,1),0)),"",IFERROR(SUMIFS(DATA_GOC!$H:$H,DATA_GOC!$A:$A,"BOM",DATA_GOC!$D:$D,$B105,DATA_GOC!$E:$E,"Téc 2",DATA_GOC!$F:$F,"Xuất nội bộ từ téc",DATA_GOC!$B:$B,DATE($D$2,$B$2,S$4)),0))</f>
        <v>0</v>
      </c>
      <c r="T105" s="251">
        <f>IF(T$4&gt;DAY(EOMONTH(DATE($D$2,$B$2,1),0)),"",IFERROR(SUMIFS(DATA_GOC!$H:$H,DATA_GOC!$A:$A,"BOM",DATA_GOC!$D:$D,$B105,DATA_GOC!$E:$E,"Téc 2",DATA_GOC!$F:$F,"Xuất nội bộ từ téc",DATA_GOC!$B:$B,DATE($D$2,$B$2,T$4)),0))</f>
        <v>0</v>
      </c>
      <c r="U105" s="251">
        <f>IF(U$4&gt;DAY(EOMONTH(DATE($D$2,$B$2,1),0)),"",IFERROR(SUMIFS(DATA_GOC!$H:$H,DATA_GOC!$A:$A,"BOM",DATA_GOC!$D:$D,$B105,DATA_GOC!$E:$E,"Téc 2",DATA_GOC!$F:$F,"Xuất nội bộ từ téc",DATA_GOC!$B:$B,DATE($D$2,$B$2,U$4)),0))</f>
        <v>0</v>
      </c>
      <c r="V105" s="251">
        <f>IF(V$4&gt;DAY(EOMONTH(DATE($D$2,$B$2,1),0)),"",IFERROR(SUMIFS(DATA_GOC!$H:$H,DATA_GOC!$A:$A,"BOM",DATA_GOC!$D:$D,$B105,DATA_GOC!$E:$E,"Téc 2",DATA_GOC!$F:$F,"Xuất nội bộ từ téc",DATA_GOC!$B:$B,DATE($D$2,$B$2,V$4)),0))</f>
        <v>0</v>
      </c>
      <c r="W105" s="251">
        <f>IF(W$4&gt;DAY(EOMONTH(DATE($D$2,$B$2,1),0)),"",IFERROR(SUMIFS(DATA_GOC!$H:$H,DATA_GOC!$A:$A,"BOM",DATA_GOC!$D:$D,$B105,DATA_GOC!$E:$E,"Téc 2",DATA_GOC!$F:$F,"Xuất nội bộ từ téc",DATA_GOC!$B:$B,DATE($D$2,$B$2,W$4)),0))</f>
        <v>0</v>
      </c>
      <c r="X105" s="251">
        <f>IF(X$4&gt;DAY(EOMONTH(DATE($D$2,$B$2,1),0)),"",IFERROR(SUMIFS(DATA_GOC!$H:$H,DATA_GOC!$A:$A,"BOM",DATA_GOC!$D:$D,$B105,DATA_GOC!$E:$E,"Téc 2",DATA_GOC!$F:$F,"Xuất nội bộ từ téc",DATA_GOC!$B:$B,DATE($D$2,$B$2,X$4)),0))</f>
        <v>0</v>
      </c>
      <c r="Y105" s="251">
        <f>IF(Y$4&gt;DAY(EOMONTH(DATE($D$2,$B$2,1),0)),"",IFERROR(SUMIFS(DATA_GOC!$H:$H,DATA_GOC!$A:$A,"BOM",DATA_GOC!$D:$D,$B105,DATA_GOC!$E:$E,"Téc 2",DATA_GOC!$F:$F,"Xuất nội bộ từ téc",DATA_GOC!$B:$B,DATE($D$2,$B$2,Y$4)),0))</f>
        <v>0</v>
      </c>
      <c r="Z105" s="251">
        <f>IF(Z$4&gt;DAY(EOMONTH(DATE($D$2,$B$2,1),0)),"",IFERROR(SUMIFS(DATA_GOC!$H:$H,DATA_GOC!$A:$A,"BOM",DATA_GOC!$D:$D,$B105,DATA_GOC!$E:$E,"Téc 2",DATA_GOC!$F:$F,"Xuất nội bộ từ téc",DATA_GOC!$B:$B,DATE($D$2,$B$2,Z$4)),0))</f>
        <v>0</v>
      </c>
      <c r="AA105" s="251">
        <f>IF(AA$4&gt;DAY(EOMONTH(DATE($D$2,$B$2,1),0)),"",IFERROR(SUMIFS(DATA_GOC!$H:$H,DATA_GOC!$A:$A,"BOM",DATA_GOC!$D:$D,$B105,DATA_GOC!$E:$E,"Téc 2",DATA_GOC!$F:$F,"Xuất nội bộ từ téc",DATA_GOC!$B:$B,DATE($D$2,$B$2,AA$4)),0))</f>
        <v>0</v>
      </c>
      <c r="AB105" s="251">
        <f>IF(AB$4&gt;DAY(EOMONTH(DATE($D$2,$B$2,1),0)),"",IFERROR(SUMIFS(DATA_GOC!$H:$H,DATA_GOC!$A:$A,"BOM",DATA_GOC!$D:$D,$B105,DATA_GOC!$E:$E,"Téc 2",DATA_GOC!$F:$F,"Xuất nội bộ từ téc",DATA_GOC!$B:$B,DATE($D$2,$B$2,AB$4)),0))</f>
        <v>0</v>
      </c>
      <c r="AC105" s="251">
        <f>IF(AC$4&gt;DAY(EOMONTH(DATE($D$2,$B$2,1),0)),"",IFERROR(SUMIFS(DATA_GOC!$H:$H,DATA_GOC!$A:$A,"BOM",DATA_GOC!$D:$D,$B105,DATA_GOC!$E:$E,"Téc 2",DATA_GOC!$F:$F,"Xuất nội bộ từ téc",DATA_GOC!$B:$B,DATE($D$2,$B$2,AC$4)),0))</f>
        <v>0</v>
      </c>
      <c r="AD105" s="251">
        <f>IF(AD$4&gt;DAY(EOMONTH(DATE($D$2,$B$2,1),0)),"",IFERROR(SUMIFS(DATA_GOC!$H:$H,DATA_GOC!$A:$A,"BOM",DATA_GOC!$D:$D,$B105,DATA_GOC!$E:$E,"Téc 2",DATA_GOC!$F:$F,"Xuất nội bộ từ téc",DATA_GOC!$B:$B,DATE($D$2,$B$2,AD$4)),0))</f>
        <v>0</v>
      </c>
      <c r="AE105" s="251">
        <f>IF(AE$4&gt;DAY(EOMONTH(DATE($D$2,$B$2,1),0)),"",IFERROR(SUMIFS(DATA_GOC!$H:$H,DATA_GOC!$A:$A,"BOM",DATA_GOC!$D:$D,$B105,DATA_GOC!$E:$E,"Téc 2",DATA_GOC!$F:$F,"Xuất nội bộ từ téc",DATA_GOC!$B:$B,DATE($D$2,$B$2,AE$4)),0))</f>
        <v>0</v>
      </c>
      <c r="AF105" s="251">
        <f>IF(AF$4&gt;DAY(EOMONTH(DATE($D$2,$B$2,1),0)),"",IFERROR(SUMIFS(DATA_GOC!$H:$H,DATA_GOC!$A:$A,"BOM",DATA_GOC!$D:$D,$B105,DATA_GOC!$E:$E,"Téc 2",DATA_GOC!$F:$F,"Xuất nội bộ từ téc",DATA_GOC!$B:$B,DATE($D$2,$B$2,AF$4)),0))</f>
        <v>0</v>
      </c>
      <c r="AG105" s="251">
        <f>IF(AG$4&gt;DAY(EOMONTH(DATE($D$2,$B$2,1),0)),"",IFERROR(SUMIFS(DATA_GOC!$H:$H,DATA_GOC!$A:$A,"BOM",DATA_GOC!$D:$D,$B105,DATA_GOC!$E:$E,"Téc 2",DATA_GOC!$F:$F,"Xuất nội bộ từ téc",DATA_GOC!$B:$B,DATE($D$2,$B$2,AG$4)),0))</f>
        <v>0</v>
      </c>
      <c r="AH105" s="252">
        <f t="shared" si="4"/>
        <v>364</v>
      </c>
      <c r="AI105" s="241">
        <f>IFERROR(SUMIFS(DATA_GOC!$H:$H,DATA_GOC!$A:$A,"BOM",DATA_GOC!$D:$D,$B105,DATA_GOC!$E:$E,"Bơm ngoài/Hải Tân",DATA_GOC!$F:$F,"Bơm ngoài",DATA_GOC!$B:$B,"&gt;="&amp;DATE($D$2,$B$2,1),DATA_GOC!$B:$B,"&lt;="&amp;EOMONTH(DATE($D$2,$B$2,1),0)),0)</f>
        <v>0</v>
      </c>
      <c r="AJ105" s="242">
        <f>IF($B105="","",SUMIFS(TINH_TEC!$K$233:$K$9232,TINH_TEC!$H$233:$H$9232,$B105,TINH_TEC!$C$233:$C$9232,"Téc 2",TINH_TEC!$F$233:$F$9232,$B$2,TINH_TEC!$G$233:$G$9232,$D$2,TINH_TEC!$B$233:$B$9232,"Đã chốt"))</f>
        <v>0</v>
      </c>
      <c r="AK105" s="242">
        <f>IF($B105="","",SUMIFS(TINH_TEC!$J$233:$J$9232,TINH_TEC!$H$233:$H$9232,$B105,TINH_TEC!$C$233:$C$9232,"Téc 2",TINH_TEC!$F$233:$F$9232,$B$2,TINH_TEC!$G$233:$G$9232,$D$2,TINH_TEC!$B$233:$B$9232,"Đã chốt"))</f>
        <v>26.5</v>
      </c>
      <c r="AL105" s="242">
        <f t="shared" si="5"/>
        <v>390.5</v>
      </c>
    </row>
    <row r="106" ht="15.75" customHeight="1">
      <c r="A106" s="237">
        <f>IF($B106&lt;&gt;"",40,"")</f>
        <v>40</v>
      </c>
      <c r="B106" s="250" t="str">
        <f t="array" ref="B106">IFERROR(INDEX(DANH_MUC!$E:$E,43),"")</f>
        <v>28H01364</v>
      </c>
      <c r="C106" s="251">
        <f>IF(C$4&gt;DAY(EOMONTH(DATE($D$2,$B$2,1),0)),"",IFERROR(SUMIFS(DATA_GOC!$H:$H,DATA_GOC!$A:$A,"BOM",DATA_GOC!$D:$D,$B106,DATA_GOC!$E:$E,"Téc 2",DATA_GOC!$F:$F,"Xuất nội bộ từ téc",DATA_GOC!$B:$B,DATE($D$2,$B$2,C$4)),0))</f>
        <v>0</v>
      </c>
      <c r="D106" s="251">
        <f>IF(D$4&gt;DAY(EOMONTH(DATE($D$2,$B$2,1),0)),"",IFERROR(SUMIFS(DATA_GOC!$H:$H,DATA_GOC!$A:$A,"BOM",DATA_GOC!$D:$D,$B106,DATA_GOC!$E:$E,"Téc 2",DATA_GOC!$F:$F,"Xuất nội bộ từ téc",DATA_GOC!$B:$B,DATE($D$2,$B$2,D$4)),0))</f>
        <v>0</v>
      </c>
      <c r="E106" s="251">
        <f>IF(E$4&gt;DAY(EOMONTH(DATE($D$2,$B$2,1),0)),"",IFERROR(SUMIFS(DATA_GOC!$H:$H,DATA_GOC!$A:$A,"BOM",DATA_GOC!$D:$D,$B106,DATA_GOC!$E:$E,"Téc 2",DATA_GOC!$F:$F,"Xuất nội bộ từ téc",DATA_GOC!$B:$B,DATE($D$2,$B$2,E$4)),0))</f>
        <v>0</v>
      </c>
      <c r="F106" s="251">
        <f>IF(F$4&gt;DAY(EOMONTH(DATE($D$2,$B$2,1),0)),"",IFERROR(SUMIFS(DATA_GOC!$H:$H,DATA_GOC!$A:$A,"BOM",DATA_GOC!$D:$D,$B106,DATA_GOC!$E:$E,"Téc 2",DATA_GOC!$F:$F,"Xuất nội bộ từ téc",DATA_GOC!$B:$B,DATE($D$2,$B$2,F$4)),0))</f>
        <v>0</v>
      </c>
      <c r="G106" s="251">
        <f>IF(G$4&gt;DAY(EOMONTH(DATE($D$2,$B$2,1),0)),"",IFERROR(SUMIFS(DATA_GOC!$H:$H,DATA_GOC!$A:$A,"BOM",DATA_GOC!$D:$D,$B106,DATA_GOC!$E:$E,"Téc 2",DATA_GOC!$F:$F,"Xuất nội bộ từ téc",DATA_GOC!$B:$B,DATE($D$2,$B$2,G$4)),0))</f>
        <v>0</v>
      </c>
      <c r="H106" s="251">
        <f>IF(H$4&gt;DAY(EOMONTH(DATE($D$2,$B$2,1),0)),"",IFERROR(SUMIFS(DATA_GOC!$H:$H,DATA_GOC!$A:$A,"BOM",DATA_GOC!$D:$D,$B106,DATA_GOC!$E:$E,"Téc 2",DATA_GOC!$F:$F,"Xuất nội bộ từ téc",DATA_GOC!$B:$B,DATE($D$2,$B$2,H$4)),0))</f>
        <v>0</v>
      </c>
      <c r="I106" s="251">
        <f>IF(I$4&gt;DAY(EOMONTH(DATE($D$2,$B$2,1),0)),"",IFERROR(SUMIFS(DATA_GOC!$H:$H,DATA_GOC!$A:$A,"BOM",DATA_GOC!$D:$D,$B106,DATA_GOC!$E:$E,"Téc 2",DATA_GOC!$F:$F,"Xuất nội bộ từ téc",DATA_GOC!$B:$B,DATE($D$2,$B$2,I$4)),0))</f>
        <v>0</v>
      </c>
      <c r="J106" s="251">
        <f>IF(J$4&gt;DAY(EOMONTH(DATE($D$2,$B$2,1),0)),"",IFERROR(SUMIFS(DATA_GOC!$H:$H,DATA_GOC!$A:$A,"BOM",DATA_GOC!$D:$D,$B106,DATA_GOC!$E:$E,"Téc 2",DATA_GOC!$F:$F,"Xuất nội bộ từ téc",DATA_GOC!$B:$B,DATE($D$2,$B$2,J$4)),0))</f>
        <v>0</v>
      </c>
      <c r="K106" s="251">
        <f>IF(K$4&gt;DAY(EOMONTH(DATE($D$2,$B$2,1),0)),"",IFERROR(SUMIFS(DATA_GOC!$H:$H,DATA_GOC!$A:$A,"BOM",DATA_GOC!$D:$D,$B106,DATA_GOC!$E:$E,"Téc 2",DATA_GOC!$F:$F,"Xuất nội bộ từ téc",DATA_GOC!$B:$B,DATE($D$2,$B$2,K$4)),0))</f>
        <v>0</v>
      </c>
      <c r="L106" s="251">
        <f>IF(L$4&gt;DAY(EOMONTH(DATE($D$2,$B$2,1),0)),"",IFERROR(SUMIFS(DATA_GOC!$H:$H,DATA_GOC!$A:$A,"BOM",DATA_GOC!$D:$D,$B106,DATA_GOC!$E:$E,"Téc 2",DATA_GOC!$F:$F,"Xuất nội bộ từ téc",DATA_GOC!$B:$B,DATE($D$2,$B$2,L$4)),0))</f>
        <v>0</v>
      </c>
      <c r="M106" s="251">
        <f>IF(M$4&gt;DAY(EOMONTH(DATE($D$2,$B$2,1),0)),"",IFERROR(SUMIFS(DATA_GOC!$H:$H,DATA_GOC!$A:$A,"BOM",DATA_GOC!$D:$D,$B106,DATA_GOC!$E:$E,"Téc 2",DATA_GOC!$F:$F,"Xuất nội bộ từ téc",DATA_GOC!$B:$B,DATE($D$2,$B$2,M$4)),0))</f>
        <v>0</v>
      </c>
      <c r="N106" s="251">
        <f>IF(N$4&gt;DAY(EOMONTH(DATE($D$2,$B$2,1),0)),"",IFERROR(SUMIFS(DATA_GOC!$H:$H,DATA_GOC!$A:$A,"BOM",DATA_GOC!$D:$D,$B106,DATA_GOC!$E:$E,"Téc 2",DATA_GOC!$F:$F,"Xuất nội bộ từ téc",DATA_GOC!$B:$B,DATE($D$2,$B$2,N$4)),0))</f>
        <v>0</v>
      </c>
      <c r="O106" s="251">
        <f>IF(O$4&gt;DAY(EOMONTH(DATE($D$2,$B$2,1),0)),"",IFERROR(SUMIFS(DATA_GOC!$H:$H,DATA_GOC!$A:$A,"BOM",DATA_GOC!$D:$D,$B106,DATA_GOC!$E:$E,"Téc 2",DATA_GOC!$F:$F,"Xuất nội bộ từ téc",DATA_GOC!$B:$B,DATE($D$2,$B$2,O$4)),0))</f>
        <v>0</v>
      </c>
      <c r="P106" s="251">
        <f>IF(P$4&gt;DAY(EOMONTH(DATE($D$2,$B$2,1),0)),"",IFERROR(SUMIFS(DATA_GOC!$H:$H,DATA_GOC!$A:$A,"BOM",DATA_GOC!$D:$D,$B106,DATA_GOC!$E:$E,"Téc 2",DATA_GOC!$F:$F,"Xuất nội bộ từ téc",DATA_GOC!$B:$B,DATE($D$2,$B$2,P$4)),0))</f>
        <v>0</v>
      </c>
      <c r="Q106" s="251">
        <f>IF(Q$4&gt;DAY(EOMONTH(DATE($D$2,$B$2,1),0)),"",IFERROR(SUMIFS(DATA_GOC!$H:$H,DATA_GOC!$A:$A,"BOM",DATA_GOC!$D:$D,$B106,DATA_GOC!$E:$E,"Téc 2",DATA_GOC!$F:$F,"Xuất nội bộ từ téc",DATA_GOC!$B:$B,DATE($D$2,$B$2,Q$4)),0))</f>
        <v>0</v>
      </c>
      <c r="R106" s="251">
        <f>IF(R$4&gt;DAY(EOMONTH(DATE($D$2,$B$2,1),0)),"",IFERROR(SUMIFS(DATA_GOC!$H:$H,DATA_GOC!$A:$A,"BOM",DATA_GOC!$D:$D,$B106,DATA_GOC!$E:$E,"Téc 2",DATA_GOC!$F:$F,"Xuất nội bộ từ téc",DATA_GOC!$B:$B,DATE($D$2,$B$2,R$4)),0))</f>
        <v>0</v>
      </c>
      <c r="S106" s="251">
        <f>IF(S$4&gt;DAY(EOMONTH(DATE($D$2,$B$2,1),0)),"",IFERROR(SUMIFS(DATA_GOC!$H:$H,DATA_GOC!$A:$A,"BOM",DATA_GOC!$D:$D,$B106,DATA_GOC!$E:$E,"Téc 2",DATA_GOC!$F:$F,"Xuất nội bộ từ téc",DATA_GOC!$B:$B,DATE($D$2,$B$2,S$4)),0))</f>
        <v>0</v>
      </c>
      <c r="T106" s="251">
        <f>IF(T$4&gt;DAY(EOMONTH(DATE($D$2,$B$2,1),0)),"",IFERROR(SUMIFS(DATA_GOC!$H:$H,DATA_GOC!$A:$A,"BOM",DATA_GOC!$D:$D,$B106,DATA_GOC!$E:$E,"Téc 2",DATA_GOC!$F:$F,"Xuất nội bộ từ téc",DATA_GOC!$B:$B,DATE($D$2,$B$2,T$4)),0))</f>
        <v>0</v>
      </c>
      <c r="U106" s="251">
        <f>IF(U$4&gt;DAY(EOMONTH(DATE($D$2,$B$2,1),0)),"",IFERROR(SUMIFS(DATA_GOC!$H:$H,DATA_GOC!$A:$A,"BOM",DATA_GOC!$D:$D,$B106,DATA_GOC!$E:$E,"Téc 2",DATA_GOC!$F:$F,"Xuất nội bộ từ téc",DATA_GOC!$B:$B,DATE($D$2,$B$2,U$4)),0))</f>
        <v>0</v>
      </c>
      <c r="V106" s="251">
        <f>IF(V$4&gt;DAY(EOMONTH(DATE($D$2,$B$2,1),0)),"",IFERROR(SUMIFS(DATA_GOC!$H:$H,DATA_GOC!$A:$A,"BOM",DATA_GOC!$D:$D,$B106,DATA_GOC!$E:$E,"Téc 2",DATA_GOC!$F:$F,"Xuất nội bộ từ téc",DATA_GOC!$B:$B,DATE($D$2,$B$2,V$4)),0))</f>
        <v>0</v>
      </c>
      <c r="W106" s="251">
        <f>IF(W$4&gt;DAY(EOMONTH(DATE($D$2,$B$2,1),0)),"",IFERROR(SUMIFS(DATA_GOC!$H:$H,DATA_GOC!$A:$A,"BOM",DATA_GOC!$D:$D,$B106,DATA_GOC!$E:$E,"Téc 2",DATA_GOC!$F:$F,"Xuất nội bộ từ téc",DATA_GOC!$B:$B,DATE($D$2,$B$2,W$4)),0))</f>
        <v>0</v>
      </c>
      <c r="X106" s="251">
        <f>IF(X$4&gt;DAY(EOMONTH(DATE($D$2,$B$2,1),0)),"",IFERROR(SUMIFS(DATA_GOC!$H:$H,DATA_GOC!$A:$A,"BOM",DATA_GOC!$D:$D,$B106,DATA_GOC!$E:$E,"Téc 2",DATA_GOC!$F:$F,"Xuất nội bộ từ téc",DATA_GOC!$B:$B,DATE($D$2,$B$2,X$4)),0))</f>
        <v>0</v>
      </c>
      <c r="Y106" s="251">
        <f>IF(Y$4&gt;DAY(EOMONTH(DATE($D$2,$B$2,1),0)),"",IFERROR(SUMIFS(DATA_GOC!$H:$H,DATA_GOC!$A:$A,"BOM",DATA_GOC!$D:$D,$B106,DATA_GOC!$E:$E,"Téc 2",DATA_GOC!$F:$F,"Xuất nội bộ từ téc",DATA_GOC!$B:$B,DATE($D$2,$B$2,Y$4)),0))</f>
        <v>0</v>
      </c>
      <c r="Z106" s="251">
        <f>IF(Z$4&gt;DAY(EOMONTH(DATE($D$2,$B$2,1),0)),"",IFERROR(SUMIFS(DATA_GOC!$H:$H,DATA_GOC!$A:$A,"BOM",DATA_GOC!$D:$D,$B106,DATA_GOC!$E:$E,"Téc 2",DATA_GOC!$F:$F,"Xuất nội bộ từ téc",DATA_GOC!$B:$B,DATE($D$2,$B$2,Z$4)),0))</f>
        <v>0</v>
      </c>
      <c r="AA106" s="251">
        <f>IF(AA$4&gt;DAY(EOMONTH(DATE($D$2,$B$2,1),0)),"",IFERROR(SUMIFS(DATA_GOC!$H:$H,DATA_GOC!$A:$A,"BOM",DATA_GOC!$D:$D,$B106,DATA_GOC!$E:$E,"Téc 2",DATA_GOC!$F:$F,"Xuất nội bộ từ téc",DATA_GOC!$B:$B,DATE($D$2,$B$2,AA$4)),0))</f>
        <v>0</v>
      </c>
      <c r="AB106" s="251">
        <f>IF(AB$4&gt;DAY(EOMONTH(DATE($D$2,$B$2,1),0)),"",IFERROR(SUMIFS(DATA_GOC!$H:$H,DATA_GOC!$A:$A,"BOM",DATA_GOC!$D:$D,$B106,DATA_GOC!$E:$E,"Téc 2",DATA_GOC!$F:$F,"Xuất nội bộ từ téc",DATA_GOC!$B:$B,DATE($D$2,$B$2,AB$4)),0))</f>
        <v>0</v>
      </c>
      <c r="AC106" s="251">
        <f>IF(AC$4&gt;DAY(EOMONTH(DATE($D$2,$B$2,1),0)),"",IFERROR(SUMIFS(DATA_GOC!$H:$H,DATA_GOC!$A:$A,"BOM",DATA_GOC!$D:$D,$B106,DATA_GOC!$E:$E,"Téc 2",DATA_GOC!$F:$F,"Xuất nội bộ từ téc",DATA_GOC!$B:$B,DATE($D$2,$B$2,AC$4)),0))</f>
        <v>0</v>
      </c>
      <c r="AD106" s="251">
        <f>IF(AD$4&gt;DAY(EOMONTH(DATE($D$2,$B$2,1),0)),"",IFERROR(SUMIFS(DATA_GOC!$H:$H,DATA_GOC!$A:$A,"BOM",DATA_GOC!$D:$D,$B106,DATA_GOC!$E:$E,"Téc 2",DATA_GOC!$F:$F,"Xuất nội bộ từ téc",DATA_GOC!$B:$B,DATE($D$2,$B$2,AD$4)),0))</f>
        <v>0</v>
      </c>
      <c r="AE106" s="251">
        <f>IF(AE$4&gt;DAY(EOMONTH(DATE($D$2,$B$2,1),0)),"",IFERROR(SUMIFS(DATA_GOC!$H:$H,DATA_GOC!$A:$A,"BOM",DATA_GOC!$D:$D,$B106,DATA_GOC!$E:$E,"Téc 2",DATA_GOC!$F:$F,"Xuất nội bộ từ téc",DATA_GOC!$B:$B,DATE($D$2,$B$2,AE$4)),0))</f>
        <v>0</v>
      </c>
      <c r="AF106" s="251">
        <f>IF(AF$4&gt;DAY(EOMONTH(DATE($D$2,$B$2,1),0)),"",IFERROR(SUMIFS(DATA_GOC!$H:$H,DATA_GOC!$A:$A,"BOM",DATA_GOC!$D:$D,$B106,DATA_GOC!$E:$E,"Téc 2",DATA_GOC!$F:$F,"Xuất nội bộ từ téc",DATA_GOC!$B:$B,DATE($D$2,$B$2,AF$4)),0))</f>
        <v>0</v>
      </c>
      <c r="AG106" s="251">
        <f>IF(AG$4&gt;DAY(EOMONTH(DATE($D$2,$B$2,1),0)),"",IFERROR(SUMIFS(DATA_GOC!$H:$H,DATA_GOC!$A:$A,"BOM",DATA_GOC!$D:$D,$B106,DATA_GOC!$E:$E,"Téc 2",DATA_GOC!$F:$F,"Xuất nội bộ từ téc",DATA_GOC!$B:$B,DATE($D$2,$B$2,AG$4)),0))</f>
        <v>0</v>
      </c>
      <c r="AH106" s="252">
        <f t="shared" si="4"/>
        <v>0</v>
      </c>
      <c r="AI106" s="241">
        <f>IFERROR(SUMIFS(DATA_GOC!$H:$H,DATA_GOC!$A:$A,"BOM",DATA_GOC!$D:$D,$B106,DATA_GOC!$E:$E,"Bơm ngoài/Hải Tân",DATA_GOC!$F:$F,"Bơm ngoài",DATA_GOC!$B:$B,"&gt;="&amp;DATE($D$2,$B$2,1),DATA_GOC!$B:$B,"&lt;="&amp;EOMONTH(DATE($D$2,$B$2,1),0)),0)</f>
        <v>0</v>
      </c>
      <c r="AJ106" s="242">
        <f>IF($B106="","",SUMIFS(TINH_TEC!$K$233:$K$9232,TINH_TEC!$H$233:$H$9232,$B106,TINH_TEC!$C$233:$C$9232,"Téc 2",TINH_TEC!$F$233:$F$9232,$B$2,TINH_TEC!$G$233:$G$9232,$D$2,TINH_TEC!$B$233:$B$9232,"Đã chốt"))</f>
        <v>0</v>
      </c>
      <c r="AK106" s="242">
        <f>IF($B106="","",SUMIFS(TINH_TEC!$J$233:$J$9232,TINH_TEC!$H$233:$H$9232,$B106,TINH_TEC!$C$233:$C$9232,"Téc 2",TINH_TEC!$F$233:$F$9232,$B$2,TINH_TEC!$G$233:$G$9232,$D$2,TINH_TEC!$B$233:$B$9232,"Đã chốt"))</f>
        <v>25.627</v>
      </c>
      <c r="AL106" s="242">
        <f t="shared" si="5"/>
        <v>25.627</v>
      </c>
    </row>
    <row r="107" ht="15.75" customHeight="1">
      <c r="A107" s="237">
        <f>IF($B107&lt;&gt;"",41,"")</f>
        <v>41</v>
      </c>
      <c r="B107" s="250" t="str">
        <f t="array" ref="B107">IFERROR(INDEX(DANH_MUC!$E:$E,44),"")</f>
        <v>29E17269</v>
      </c>
      <c r="C107" s="251">
        <f>IF(C$4&gt;DAY(EOMONTH(DATE($D$2,$B$2,1),0)),"",IFERROR(SUMIFS(DATA_GOC!$H:$H,DATA_GOC!$A:$A,"BOM",DATA_GOC!$D:$D,$B107,DATA_GOC!$E:$E,"Téc 2",DATA_GOC!$F:$F,"Xuất nội bộ từ téc",DATA_GOC!$B:$B,DATE($D$2,$B$2,C$4)),0))</f>
        <v>0</v>
      </c>
      <c r="D107" s="251">
        <f>IF(D$4&gt;DAY(EOMONTH(DATE($D$2,$B$2,1),0)),"",IFERROR(SUMIFS(DATA_GOC!$H:$H,DATA_GOC!$A:$A,"BOM",DATA_GOC!$D:$D,$B107,DATA_GOC!$E:$E,"Téc 2",DATA_GOC!$F:$F,"Xuất nội bộ từ téc",DATA_GOC!$B:$B,DATE($D$2,$B$2,D$4)),0))</f>
        <v>0</v>
      </c>
      <c r="E107" s="251">
        <f>IF(E$4&gt;DAY(EOMONTH(DATE($D$2,$B$2,1),0)),"",IFERROR(SUMIFS(DATA_GOC!$H:$H,DATA_GOC!$A:$A,"BOM",DATA_GOC!$D:$D,$B107,DATA_GOC!$E:$E,"Téc 2",DATA_GOC!$F:$F,"Xuất nội bộ từ téc",DATA_GOC!$B:$B,DATE($D$2,$B$2,E$4)),0))</f>
        <v>0</v>
      </c>
      <c r="F107" s="251">
        <f>IF(F$4&gt;DAY(EOMONTH(DATE($D$2,$B$2,1),0)),"",IFERROR(SUMIFS(DATA_GOC!$H:$H,DATA_GOC!$A:$A,"BOM",DATA_GOC!$D:$D,$B107,DATA_GOC!$E:$E,"Téc 2",DATA_GOC!$F:$F,"Xuất nội bộ từ téc",DATA_GOC!$B:$B,DATE($D$2,$B$2,F$4)),0))</f>
        <v>0</v>
      </c>
      <c r="G107" s="251">
        <f>IF(G$4&gt;DAY(EOMONTH(DATE($D$2,$B$2,1),0)),"",IFERROR(SUMIFS(DATA_GOC!$H:$H,DATA_GOC!$A:$A,"BOM",DATA_GOC!$D:$D,$B107,DATA_GOC!$E:$E,"Téc 2",DATA_GOC!$F:$F,"Xuất nội bộ từ téc",DATA_GOC!$B:$B,DATE($D$2,$B$2,G$4)),0))</f>
        <v>0</v>
      </c>
      <c r="H107" s="251">
        <f>IF(H$4&gt;DAY(EOMONTH(DATE($D$2,$B$2,1),0)),"",IFERROR(SUMIFS(DATA_GOC!$H:$H,DATA_GOC!$A:$A,"BOM",DATA_GOC!$D:$D,$B107,DATA_GOC!$E:$E,"Téc 2",DATA_GOC!$F:$F,"Xuất nội bộ từ téc",DATA_GOC!$B:$B,DATE($D$2,$B$2,H$4)),0))</f>
        <v>0</v>
      </c>
      <c r="I107" s="251">
        <f>IF(I$4&gt;DAY(EOMONTH(DATE($D$2,$B$2,1),0)),"",IFERROR(SUMIFS(DATA_GOC!$H:$H,DATA_GOC!$A:$A,"BOM",DATA_GOC!$D:$D,$B107,DATA_GOC!$E:$E,"Téc 2",DATA_GOC!$F:$F,"Xuất nội bộ từ téc",DATA_GOC!$B:$B,DATE($D$2,$B$2,I$4)),0))</f>
        <v>0</v>
      </c>
      <c r="J107" s="251">
        <f>IF(J$4&gt;DAY(EOMONTH(DATE($D$2,$B$2,1),0)),"",IFERROR(SUMIFS(DATA_GOC!$H:$H,DATA_GOC!$A:$A,"BOM",DATA_GOC!$D:$D,$B107,DATA_GOC!$E:$E,"Téc 2",DATA_GOC!$F:$F,"Xuất nội bộ từ téc",DATA_GOC!$B:$B,DATE($D$2,$B$2,J$4)),0))</f>
        <v>0</v>
      </c>
      <c r="K107" s="251">
        <f>IF(K$4&gt;DAY(EOMONTH(DATE($D$2,$B$2,1),0)),"",IFERROR(SUMIFS(DATA_GOC!$H:$H,DATA_GOC!$A:$A,"BOM",DATA_GOC!$D:$D,$B107,DATA_GOC!$E:$E,"Téc 2",DATA_GOC!$F:$F,"Xuất nội bộ từ téc",DATA_GOC!$B:$B,DATE($D$2,$B$2,K$4)),0))</f>
        <v>0</v>
      </c>
      <c r="L107" s="251">
        <f>IF(L$4&gt;DAY(EOMONTH(DATE($D$2,$B$2,1),0)),"",IFERROR(SUMIFS(DATA_GOC!$H:$H,DATA_GOC!$A:$A,"BOM",DATA_GOC!$D:$D,$B107,DATA_GOC!$E:$E,"Téc 2",DATA_GOC!$F:$F,"Xuất nội bộ từ téc",DATA_GOC!$B:$B,DATE($D$2,$B$2,L$4)),0))</f>
        <v>0</v>
      </c>
      <c r="M107" s="251">
        <f>IF(M$4&gt;DAY(EOMONTH(DATE($D$2,$B$2,1),0)),"",IFERROR(SUMIFS(DATA_GOC!$H:$H,DATA_GOC!$A:$A,"BOM",DATA_GOC!$D:$D,$B107,DATA_GOC!$E:$E,"Téc 2",DATA_GOC!$F:$F,"Xuất nội bộ từ téc",DATA_GOC!$B:$B,DATE($D$2,$B$2,M$4)),0))</f>
        <v>0</v>
      </c>
      <c r="N107" s="251">
        <f>IF(N$4&gt;DAY(EOMONTH(DATE($D$2,$B$2,1),0)),"",IFERROR(SUMIFS(DATA_GOC!$H:$H,DATA_GOC!$A:$A,"BOM",DATA_GOC!$D:$D,$B107,DATA_GOC!$E:$E,"Téc 2",DATA_GOC!$F:$F,"Xuất nội bộ từ téc",DATA_GOC!$B:$B,DATE($D$2,$B$2,N$4)),0))</f>
        <v>0</v>
      </c>
      <c r="O107" s="251">
        <f>IF(O$4&gt;DAY(EOMONTH(DATE($D$2,$B$2,1),0)),"",IFERROR(SUMIFS(DATA_GOC!$H:$H,DATA_GOC!$A:$A,"BOM",DATA_GOC!$D:$D,$B107,DATA_GOC!$E:$E,"Téc 2",DATA_GOC!$F:$F,"Xuất nội bộ từ téc",DATA_GOC!$B:$B,DATE($D$2,$B$2,O$4)),0))</f>
        <v>0</v>
      </c>
      <c r="P107" s="251">
        <f>IF(P$4&gt;DAY(EOMONTH(DATE($D$2,$B$2,1),0)),"",IFERROR(SUMIFS(DATA_GOC!$H:$H,DATA_GOC!$A:$A,"BOM",DATA_GOC!$D:$D,$B107,DATA_GOC!$E:$E,"Téc 2",DATA_GOC!$F:$F,"Xuất nội bộ từ téc",DATA_GOC!$B:$B,DATE($D$2,$B$2,P$4)),0))</f>
        <v>0</v>
      </c>
      <c r="Q107" s="251">
        <f>IF(Q$4&gt;DAY(EOMONTH(DATE($D$2,$B$2,1),0)),"",IFERROR(SUMIFS(DATA_GOC!$H:$H,DATA_GOC!$A:$A,"BOM",DATA_GOC!$D:$D,$B107,DATA_GOC!$E:$E,"Téc 2",DATA_GOC!$F:$F,"Xuất nội bộ từ téc",DATA_GOC!$B:$B,DATE($D$2,$B$2,Q$4)),0))</f>
        <v>0</v>
      </c>
      <c r="R107" s="251">
        <f>IF(R$4&gt;DAY(EOMONTH(DATE($D$2,$B$2,1),0)),"",IFERROR(SUMIFS(DATA_GOC!$H:$H,DATA_GOC!$A:$A,"BOM",DATA_GOC!$D:$D,$B107,DATA_GOC!$E:$E,"Téc 2",DATA_GOC!$F:$F,"Xuất nội bộ từ téc",DATA_GOC!$B:$B,DATE($D$2,$B$2,R$4)),0))</f>
        <v>0</v>
      </c>
      <c r="S107" s="251">
        <f>IF(S$4&gt;DAY(EOMONTH(DATE($D$2,$B$2,1),0)),"",IFERROR(SUMIFS(DATA_GOC!$H:$H,DATA_GOC!$A:$A,"BOM",DATA_GOC!$D:$D,$B107,DATA_GOC!$E:$E,"Téc 2",DATA_GOC!$F:$F,"Xuất nội bộ từ téc",DATA_GOC!$B:$B,DATE($D$2,$B$2,S$4)),0))</f>
        <v>0</v>
      </c>
      <c r="T107" s="251">
        <f>IF(T$4&gt;DAY(EOMONTH(DATE($D$2,$B$2,1),0)),"",IFERROR(SUMIFS(DATA_GOC!$H:$H,DATA_GOC!$A:$A,"BOM",DATA_GOC!$D:$D,$B107,DATA_GOC!$E:$E,"Téc 2",DATA_GOC!$F:$F,"Xuất nội bộ từ téc",DATA_GOC!$B:$B,DATE($D$2,$B$2,T$4)),0))</f>
        <v>0</v>
      </c>
      <c r="U107" s="251">
        <f>IF(U$4&gt;DAY(EOMONTH(DATE($D$2,$B$2,1),0)),"",IFERROR(SUMIFS(DATA_GOC!$H:$H,DATA_GOC!$A:$A,"BOM",DATA_GOC!$D:$D,$B107,DATA_GOC!$E:$E,"Téc 2",DATA_GOC!$F:$F,"Xuất nội bộ từ téc",DATA_GOC!$B:$B,DATE($D$2,$B$2,U$4)),0))</f>
        <v>0</v>
      </c>
      <c r="V107" s="251">
        <f>IF(V$4&gt;DAY(EOMONTH(DATE($D$2,$B$2,1),0)),"",IFERROR(SUMIFS(DATA_GOC!$H:$H,DATA_GOC!$A:$A,"BOM",DATA_GOC!$D:$D,$B107,DATA_GOC!$E:$E,"Téc 2",DATA_GOC!$F:$F,"Xuất nội bộ từ téc",DATA_GOC!$B:$B,DATE($D$2,$B$2,V$4)),0))</f>
        <v>0</v>
      </c>
      <c r="W107" s="251">
        <f>IF(W$4&gt;DAY(EOMONTH(DATE($D$2,$B$2,1),0)),"",IFERROR(SUMIFS(DATA_GOC!$H:$H,DATA_GOC!$A:$A,"BOM",DATA_GOC!$D:$D,$B107,DATA_GOC!$E:$E,"Téc 2",DATA_GOC!$F:$F,"Xuất nội bộ từ téc",DATA_GOC!$B:$B,DATE($D$2,$B$2,W$4)),0))</f>
        <v>0</v>
      </c>
      <c r="X107" s="251">
        <f>IF(X$4&gt;DAY(EOMONTH(DATE($D$2,$B$2,1),0)),"",IFERROR(SUMIFS(DATA_GOC!$H:$H,DATA_GOC!$A:$A,"BOM",DATA_GOC!$D:$D,$B107,DATA_GOC!$E:$E,"Téc 2",DATA_GOC!$F:$F,"Xuất nội bộ từ téc",DATA_GOC!$B:$B,DATE($D$2,$B$2,X$4)),0))</f>
        <v>0</v>
      </c>
      <c r="Y107" s="251">
        <f>IF(Y$4&gt;DAY(EOMONTH(DATE($D$2,$B$2,1),0)),"",IFERROR(SUMIFS(DATA_GOC!$H:$H,DATA_GOC!$A:$A,"BOM",DATA_GOC!$D:$D,$B107,DATA_GOC!$E:$E,"Téc 2",DATA_GOC!$F:$F,"Xuất nội bộ từ téc",DATA_GOC!$B:$B,DATE($D$2,$B$2,Y$4)),0))</f>
        <v>0</v>
      </c>
      <c r="Z107" s="251">
        <f>IF(Z$4&gt;DAY(EOMONTH(DATE($D$2,$B$2,1),0)),"",IFERROR(SUMIFS(DATA_GOC!$H:$H,DATA_GOC!$A:$A,"BOM",DATA_GOC!$D:$D,$B107,DATA_GOC!$E:$E,"Téc 2",DATA_GOC!$F:$F,"Xuất nội bộ từ téc",DATA_GOC!$B:$B,DATE($D$2,$B$2,Z$4)),0))</f>
        <v>0</v>
      </c>
      <c r="AA107" s="251">
        <f>IF(AA$4&gt;DAY(EOMONTH(DATE($D$2,$B$2,1),0)),"",IFERROR(SUMIFS(DATA_GOC!$H:$H,DATA_GOC!$A:$A,"BOM",DATA_GOC!$D:$D,$B107,DATA_GOC!$E:$E,"Téc 2",DATA_GOC!$F:$F,"Xuất nội bộ từ téc",DATA_GOC!$B:$B,DATE($D$2,$B$2,AA$4)),0))</f>
        <v>0</v>
      </c>
      <c r="AB107" s="251">
        <f>IF(AB$4&gt;DAY(EOMONTH(DATE($D$2,$B$2,1),0)),"",IFERROR(SUMIFS(DATA_GOC!$H:$H,DATA_GOC!$A:$A,"BOM",DATA_GOC!$D:$D,$B107,DATA_GOC!$E:$E,"Téc 2",DATA_GOC!$F:$F,"Xuất nội bộ từ téc",DATA_GOC!$B:$B,DATE($D$2,$B$2,AB$4)),0))</f>
        <v>0</v>
      </c>
      <c r="AC107" s="251">
        <f>IF(AC$4&gt;DAY(EOMONTH(DATE($D$2,$B$2,1),0)),"",IFERROR(SUMIFS(DATA_GOC!$H:$H,DATA_GOC!$A:$A,"BOM",DATA_GOC!$D:$D,$B107,DATA_GOC!$E:$E,"Téc 2",DATA_GOC!$F:$F,"Xuất nội bộ từ téc",DATA_GOC!$B:$B,DATE($D$2,$B$2,AC$4)),0))</f>
        <v>0</v>
      </c>
      <c r="AD107" s="251">
        <f>IF(AD$4&gt;DAY(EOMONTH(DATE($D$2,$B$2,1),0)),"",IFERROR(SUMIFS(DATA_GOC!$H:$H,DATA_GOC!$A:$A,"BOM",DATA_GOC!$D:$D,$B107,DATA_GOC!$E:$E,"Téc 2",DATA_GOC!$F:$F,"Xuất nội bộ từ téc",DATA_GOC!$B:$B,DATE($D$2,$B$2,AD$4)),0))</f>
        <v>0</v>
      </c>
      <c r="AE107" s="251">
        <f>IF(AE$4&gt;DAY(EOMONTH(DATE($D$2,$B$2,1),0)),"",IFERROR(SUMIFS(DATA_GOC!$H:$H,DATA_GOC!$A:$A,"BOM",DATA_GOC!$D:$D,$B107,DATA_GOC!$E:$E,"Téc 2",DATA_GOC!$F:$F,"Xuất nội bộ từ téc",DATA_GOC!$B:$B,DATE($D$2,$B$2,AE$4)),0))</f>
        <v>0</v>
      </c>
      <c r="AF107" s="251">
        <f>IF(AF$4&gt;DAY(EOMONTH(DATE($D$2,$B$2,1),0)),"",IFERROR(SUMIFS(DATA_GOC!$H:$H,DATA_GOC!$A:$A,"BOM",DATA_GOC!$D:$D,$B107,DATA_GOC!$E:$E,"Téc 2",DATA_GOC!$F:$F,"Xuất nội bộ từ téc",DATA_GOC!$B:$B,DATE($D$2,$B$2,AF$4)),0))</f>
        <v>0</v>
      </c>
      <c r="AG107" s="251">
        <f>IF(AG$4&gt;DAY(EOMONTH(DATE($D$2,$B$2,1),0)),"",IFERROR(SUMIFS(DATA_GOC!$H:$H,DATA_GOC!$A:$A,"BOM",DATA_GOC!$D:$D,$B107,DATA_GOC!$E:$E,"Téc 2",DATA_GOC!$F:$F,"Xuất nội bộ từ téc",DATA_GOC!$B:$B,DATE($D$2,$B$2,AG$4)),0))</f>
        <v>0</v>
      </c>
      <c r="AH107" s="252">
        <f t="shared" si="4"/>
        <v>0</v>
      </c>
      <c r="AI107" s="241">
        <f>IFERROR(SUMIFS(DATA_GOC!$H:$H,DATA_GOC!$A:$A,"BOM",DATA_GOC!$D:$D,$B107,DATA_GOC!$E:$E,"Bơm ngoài/Hải Tân",DATA_GOC!$F:$F,"Bơm ngoài",DATA_GOC!$B:$B,"&gt;="&amp;DATE($D$2,$B$2,1),DATA_GOC!$B:$B,"&lt;="&amp;EOMONTH(DATE($D$2,$B$2,1),0)),0)</f>
        <v>0</v>
      </c>
      <c r="AJ107" s="242">
        <f>IF($B107="","",SUMIFS(TINH_TEC!$K$233:$K$9232,TINH_TEC!$H$233:$H$9232,$B107,TINH_TEC!$C$233:$C$9232,"Téc 2",TINH_TEC!$F$233:$F$9232,$B$2,TINH_TEC!$G$233:$G$9232,$D$2,TINH_TEC!$B$233:$B$9232,"Đã chốt"))</f>
        <v>0</v>
      </c>
      <c r="AK107" s="242">
        <f>IF($B107="","",SUMIFS(TINH_TEC!$J$233:$J$9232,TINH_TEC!$H$233:$H$9232,$B107,TINH_TEC!$C$233:$C$9232,"Téc 2",TINH_TEC!$F$233:$F$9232,$B$2,TINH_TEC!$G$233:$G$9232,$D$2,TINH_TEC!$B$233:$B$9232,"Đã chốt"))</f>
        <v>20.56</v>
      </c>
      <c r="AL107" s="242">
        <f t="shared" si="5"/>
        <v>20.56</v>
      </c>
    </row>
    <row r="108" ht="15.75" customHeight="1">
      <c r="A108" s="237">
        <f>IF($B108&lt;&gt;"",42,"")</f>
        <v>42</v>
      </c>
      <c r="B108" s="250" t="str">
        <f t="array" ref="B108">IFERROR(INDEX(DANH_MUC!$E:$E,45),"")</f>
        <v>29E17273</v>
      </c>
      <c r="C108" s="251">
        <f>IF(C$4&gt;DAY(EOMONTH(DATE($D$2,$B$2,1),0)),"",IFERROR(SUMIFS(DATA_GOC!$H:$H,DATA_GOC!$A:$A,"BOM",DATA_GOC!$D:$D,$B108,DATA_GOC!$E:$E,"Téc 2",DATA_GOC!$F:$F,"Xuất nội bộ từ téc",DATA_GOC!$B:$B,DATE($D$2,$B$2,C$4)),0))</f>
        <v>0</v>
      </c>
      <c r="D108" s="251">
        <f>IF(D$4&gt;DAY(EOMONTH(DATE($D$2,$B$2,1),0)),"",IFERROR(SUMIFS(DATA_GOC!$H:$H,DATA_GOC!$A:$A,"BOM",DATA_GOC!$D:$D,$B108,DATA_GOC!$E:$E,"Téc 2",DATA_GOC!$F:$F,"Xuất nội bộ từ téc",DATA_GOC!$B:$B,DATE($D$2,$B$2,D$4)),0))</f>
        <v>0</v>
      </c>
      <c r="E108" s="251">
        <f>IF(E$4&gt;DAY(EOMONTH(DATE($D$2,$B$2,1),0)),"",IFERROR(SUMIFS(DATA_GOC!$H:$H,DATA_GOC!$A:$A,"BOM",DATA_GOC!$D:$D,$B108,DATA_GOC!$E:$E,"Téc 2",DATA_GOC!$F:$F,"Xuất nội bộ từ téc",DATA_GOC!$B:$B,DATE($D$2,$B$2,E$4)),0))</f>
        <v>0</v>
      </c>
      <c r="F108" s="251">
        <f>IF(F$4&gt;DAY(EOMONTH(DATE($D$2,$B$2,1),0)),"",IFERROR(SUMIFS(DATA_GOC!$H:$H,DATA_GOC!$A:$A,"BOM",DATA_GOC!$D:$D,$B108,DATA_GOC!$E:$E,"Téc 2",DATA_GOC!$F:$F,"Xuất nội bộ từ téc",DATA_GOC!$B:$B,DATE($D$2,$B$2,F$4)),0))</f>
        <v>0</v>
      </c>
      <c r="G108" s="251">
        <f>IF(G$4&gt;DAY(EOMONTH(DATE($D$2,$B$2,1),0)),"",IFERROR(SUMIFS(DATA_GOC!$H:$H,DATA_GOC!$A:$A,"BOM",DATA_GOC!$D:$D,$B108,DATA_GOC!$E:$E,"Téc 2",DATA_GOC!$F:$F,"Xuất nội bộ từ téc",DATA_GOC!$B:$B,DATE($D$2,$B$2,G$4)),0))</f>
        <v>0</v>
      </c>
      <c r="H108" s="251">
        <f>IF(H$4&gt;DAY(EOMONTH(DATE($D$2,$B$2,1),0)),"",IFERROR(SUMIFS(DATA_GOC!$H:$H,DATA_GOC!$A:$A,"BOM",DATA_GOC!$D:$D,$B108,DATA_GOC!$E:$E,"Téc 2",DATA_GOC!$F:$F,"Xuất nội bộ từ téc",DATA_GOC!$B:$B,DATE($D$2,$B$2,H$4)),0))</f>
        <v>0</v>
      </c>
      <c r="I108" s="251">
        <f>IF(I$4&gt;DAY(EOMONTH(DATE($D$2,$B$2,1),0)),"",IFERROR(SUMIFS(DATA_GOC!$H:$H,DATA_GOC!$A:$A,"BOM",DATA_GOC!$D:$D,$B108,DATA_GOC!$E:$E,"Téc 2",DATA_GOC!$F:$F,"Xuất nội bộ từ téc",DATA_GOC!$B:$B,DATE($D$2,$B$2,I$4)),0))</f>
        <v>0</v>
      </c>
      <c r="J108" s="251">
        <f>IF(J$4&gt;DAY(EOMONTH(DATE($D$2,$B$2,1),0)),"",IFERROR(SUMIFS(DATA_GOC!$H:$H,DATA_GOC!$A:$A,"BOM",DATA_GOC!$D:$D,$B108,DATA_GOC!$E:$E,"Téc 2",DATA_GOC!$F:$F,"Xuất nội bộ từ téc",DATA_GOC!$B:$B,DATE($D$2,$B$2,J$4)),0))</f>
        <v>0</v>
      </c>
      <c r="K108" s="251">
        <f>IF(K$4&gt;DAY(EOMONTH(DATE($D$2,$B$2,1),0)),"",IFERROR(SUMIFS(DATA_GOC!$H:$H,DATA_GOC!$A:$A,"BOM",DATA_GOC!$D:$D,$B108,DATA_GOC!$E:$E,"Téc 2",DATA_GOC!$F:$F,"Xuất nội bộ từ téc",DATA_GOC!$B:$B,DATE($D$2,$B$2,K$4)),0))</f>
        <v>0</v>
      </c>
      <c r="L108" s="251">
        <f>IF(L$4&gt;DAY(EOMONTH(DATE($D$2,$B$2,1),0)),"",IFERROR(SUMIFS(DATA_GOC!$H:$H,DATA_GOC!$A:$A,"BOM",DATA_GOC!$D:$D,$B108,DATA_GOC!$E:$E,"Téc 2",DATA_GOC!$F:$F,"Xuất nội bộ từ téc",DATA_GOC!$B:$B,DATE($D$2,$B$2,L$4)),0))</f>
        <v>0</v>
      </c>
      <c r="M108" s="251">
        <f>IF(M$4&gt;DAY(EOMONTH(DATE($D$2,$B$2,1),0)),"",IFERROR(SUMIFS(DATA_GOC!$H:$H,DATA_GOC!$A:$A,"BOM",DATA_GOC!$D:$D,$B108,DATA_GOC!$E:$E,"Téc 2",DATA_GOC!$F:$F,"Xuất nội bộ từ téc",DATA_GOC!$B:$B,DATE($D$2,$B$2,M$4)),0))</f>
        <v>0</v>
      </c>
      <c r="N108" s="251">
        <f>IF(N$4&gt;DAY(EOMONTH(DATE($D$2,$B$2,1),0)),"",IFERROR(SUMIFS(DATA_GOC!$H:$H,DATA_GOC!$A:$A,"BOM",DATA_GOC!$D:$D,$B108,DATA_GOC!$E:$E,"Téc 2",DATA_GOC!$F:$F,"Xuất nội bộ từ téc",DATA_GOC!$B:$B,DATE($D$2,$B$2,N$4)),0))</f>
        <v>0</v>
      </c>
      <c r="O108" s="251">
        <f>IF(O$4&gt;DAY(EOMONTH(DATE($D$2,$B$2,1),0)),"",IFERROR(SUMIFS(DATA_GOC!$H:$H,DATA_GOC!$A:$A,"BOM",DATA_GOC!$D:$D,$B108,DATA_GOC!$E:$E,"Téc 2",DATA_GOC!$F:$F,"Xuất nội bộ từ téc",DATA_GOC!$B:$B,DATE($D$2,$B$2,O$4)),0))</f>
        <v>0</v>
      </c>
      <c r="P108" s="251">
        <f>IF(P$4&gt;DAY(EOMONTH(DATE($D$2,$B$2,1),0)),"",IFERROR(SUMIFS(DATA_GOC!$H:$H,DATA_GOC!$A:$A,"BOM",DATA_GOC!$D:$D,$B108,DATA_GOC!$E:$E,"Téc 2",DATA_GOC!$F:$F,"Xuất nội bộ từ téc",DATA_GOC!$B:$B,DATE($D$2,$B$2,P$4)),0))</f>
        <v>0</v>
      </c>
      <c r="Q108" s="251">
        <f>IF(Q$4&gt;DAY(EOMONTH(DATE($D$2,$B$2,1),0)),"",IFERROR(SUMIFS(DATA_GOC!$H:$H,DATA_GOC!$A:$A,"BOM",DATA_GOC!$D:$D,$B108,DATA_GOC!$E:$E,"Téc 2",DATA_GOC!$F:$F,"Xuất nội bộ từ téc",DATA_GOC!$B:$B,DATE($D$2,$B$2,Q$4)),0))</f>
        <v>0</v>
      </c>
      <c r="R108" s="251">
        <f>IF(R$4&gt;DAY(EOMONTH(DATE($D$2,$B$2,1),0)),"",IFERROR(SUMIFS(DATA_GOC!$H:$H,DATA_GOC!$A:$A,"BOM",DATA_GOC!$D:$D,$B108,DATA_GOC!$E:$E,"Téc 2",DATA_GOC!$F:$F,"Xuất nội bộ từ téc",DATA_GOC!$B:$B,DATE($D$2,$B$2,R$4)),0))</f>
        <v>0</v>
      </c>
      <c r="S108" s="251">
        <f>IF(S$4&gt;DAY(EOMONTH(DATE($D$2,$B$2,1),0)),"",IFERROR(SUMIFS(DATA_GOC!$H:$H,DATA_GOC!$A:$A,"BOM",DATA_GOC!$D:$D,$B108,DATA_GOC!$E:$E,"Téc 2",DATA_GOC!$F:$F,"Xuất nội bộ từ téc",DATA_GOC!$B:$B,DATE($D$2,$B$2,S$4)),0))</f>
        <v>0</v>
      </c>
      <c r="T108" s="251">
        <f>IF(T$4&gt;DAY(EOMONTH(DATE($D$2,$B$2,1),0)),"",IFERROR(SUMIFS(DATA_GOC!$H:$H,DATA_GOC!$A:$A,"BOM",DATA_GOC!$D:$D,$B108,DATA_GOC!$E:$E,"Téc 2",DATA_GOC!$F:$F,"Xuất nội bộ từ téc",DATA_GOC!$B:$B,DATE($D$2,$B$2,T$4)),0))</f>
        <v>0</v>
      </c>
      <c r="U108" s="251">
        <f>IF(U$4&gt;DAY(EOMONTH(DATE($D$2,$B$2,1),0)),"",IFERROR(SUMIFS(DATA_GOC!$H:$H,DATA_GOC!$A:$A,"BOM",DATA_GOC!$D:$D,$B108,DATA_GOC!$E:$E,"Téc 2",DATA_GOC!$F:$F,"Xuất nội bộ từ téc",DATA_GOC!$B:$B,DATE($D$2,$B$2,U$4)),0))</f>
        <v>0</v>
      </c>
      <c r="V108" s="251">
        <f>IF(V$4&gt;DAY(EOMONTH(DATE($D$2,$B$2,1),0)),"",IFERROR(SUMIFS(DATA_GOC!$H:$H,DATA_GOC!$A:$A,"BOM",DATA_GOC!$D:$D,$B108,DATA_GOC!$E:$E,"Téc 2",DATA_GOC!$F:$F,"Xuất nội bộ từ téc",DATA_GOC!$B:$B,DATE($D$2,$B$2,V$4)),0))</f>
        <v>0</v>
      </c>
      <c r="W108" s="251">
        <f>IF(W$4&gt;DAY(EOMONTH(DATE($D$2,$B$2,1),0)),"",IFERROR(SUMIFS(DATA_GOC!$H:$H,DATA_GOC!$A:$A,"BOM",DATA_GOC!$D:$D,$B108,DATA_GOC!$E:$E,"Téc 2",DATA_GOC!$F:$F,"Xuất nội bộ từ téc",DATA_GOC!$B:$B,DATE($D$2,$B$2,W$4)),0))</f>
        <v>0</v>
      </c>
      <c r="X108" s="251">
        <f>IF(X$4&gt;DAY(EOMONTH(DATE($D$2,$B$2,1),0)),"",IFERROR(SUMIFS(DATA_GOC!$H:$H,DATA_GOC!$A:$A,"BOM",DATA_GOC!$D:$D,$B108,DATA_GOC!$E:$E,"Téc 2",DATA_GOC!$F:$F,"Xuất nội bộ từ téc",DATA_GOC!$B:$B,DATE($D$2,$B$2,X$4)),0))</f>
        <v>0</v>
      </c>
      <c r="Y108" s="251">
        <f>IF(Y$4&gt;DAY(EOMONTH(DATE($D$2,$B$2,1),0)),"",IFERROR(SUMIFS(DATA_GOC!$H:$H,DATA_GOC!$A:$A,"BOM",DATA_GOC!$D:$D,$B108,DATA_GOC!$E:$E,"Téc 2",DATA_GOC!$F:$F,"Xuất nội bộ từ téc",DATA_GOC!$B:$B,DATE($D$2,$B$2,Y$4)),0))</f>
        <v>0</v>
      </c>
      <c r="Z108" s="251">
        <f>IF(Z$4&gt;DAY(EOMONTH(DATE($D$2,$B$2,1),0)),"",IFERROR(SUMIFS(DATA_GOC!$H:$H,DATA_GOC!$A:$A,"BOM",DATA_GOC!$D:$D,$B108,DATA_GOC!$E:$E,"Téc 2",DATA_GOC!$F:$F,"Xuất nội bộ từ téc",DATA_GOC!$B:$B,DATE($D$2,$B$2,Z$4)),0))</f>
        <v>0</v>
      </c>
      <c r="AA108" s="251">
        <f>IF(AA$4&gt;DAY(EOMONTH(DATE($D$2,$B$2,1),0)),"",IFERROR(SUMIFS(DATA_GOC!$H:$H,DATA_GOC!$A:$A,"BOM",DATA_GOC!$D:$D,$B108,DATA_GOC!$E:$E,"Téc 2",DATA_GOC!$F:$F,"Xuất nội bộ từ téc",DATA_GOC!$B:$B,DATE($D$2,$B$2,AA$4)),0))</f>
        <v>0</v>
      </c>
      <c r="AB108" s="251">
        <f>IF(AB$4&gt;DAY(EOMONTH(DATE($D$2,$B$2,1),0)),"",IFERROR(SUMIFS(DATA_GOC!$H:$H,DATA_GOC!$A:$A,"BOM",DATA_GOC!$D:$D,$B108,DATA_GOC!$E:$E,"Téc 2",DATA_GOC!$F:$F,"Xuất nội bộ từ téc",DATA_GOC!$B:$B,DATE($D$2,$B$2,AB$4)),0))</f>
        <v>0</v>
      </c>
      <c r="AC108" s="251">
        <f>IF(AC$4&gt;DAY(EOMONTH(DATE($D$2,$B$2,1),0)),"",IFERROR(SUMIFS(DATA_GOC!$H:$H,DATA_GOC!$A:$A,"BOM",DATA_GOC!$D:$D,$B108,DATA_GOC!$E:$E,"Téc 2",DATA_GOC!$F:$F,"Xuất nội bộ từ téc",DATA_GOC!$B:$B,DATE($D$2,$B$2,AC$4)),0))</f>
        <v>0</v>
      </c>
      <c r="AD108" s="251">
        <f>IF(AD$4&gt;DAY(EOMONTH(DATE($D$2,$B$2,1),0)),"",IFERROR(SUMIFS(DATA_GOC!$H:$H,DATA_GOC!$A:$A,"BOM",DATA_GOC!$D:$D,$B108,DATA_GOC!$E:$E,"Téc 2",DATA_GOC!$F:$F,"Xuất nội bộ từ téc",DATA_GOC!$B:$B,DATE($D$2,$B$2,AD$4)),0))</f>
        <v>0</v>
      </c>
      <c r="AE108" s="251">
        <f>IF(AE$4&gt;DAY(EOMONTH(DATE($D$2,$B$2,1),0)),"",IFERROR(SUMIFS(DATA_GOC!$H:$H,DATA_GOC!$A:$A,"BOM",DATA_GOC!$D:$D,$B108,DATA_GOC!$E:$E,"Téc 2",DATA_GOC!$F:$F,"Xuất nội bộ từ téc",DATA_GOC!$B:$B,DATE($D$2,$B$2,AE$4)),0))</f>
        <v>0</v>
      </c>
      <c r="AF108" s="251">
        <f>IF(AF$4&gt;DAY(EOMONTH(DATE($D$2,$B$2,1),0)),"",IFERROR(SUMIFS(DATA_GOC!$H:$H,DATA_GOC!$A:$A,"BOM",DATA_GOC!$D:$D,$B108,DATA_GOC!$E:$E,"Téc 2",DATA_GOC!$F:$F,"Xuất nội bộ từ téc",DATA_GOC!$B:$B,DATE($D$2,$B$2,AF$4)),0))</f>
        <v>0</v>
      </c>
      <c r="AG108" s="251">
        <f>IF(AG$4&gt;DAY(EOMONTH(DATE($D$2,$B$2,1),0)),"",IFERROR(SUMIFS(DATA_GOC!$H:$H,DATA_GOC!$A:$A,"BOM",DATA_GOC!$D:$D,$B108,DATA_GOC!$E:$E,"Téc 2",DATA_GOC!$F:$F,"Xuất nội bộ từ téc",DATA_GOC!$B:$B,DATE($D$2,$B$2,AG$4)),0))</f>
        <v>0</v>
      </c>
      <c r="AH108" s="252">
        <f t="shared" si="4"/>
        <v>0</v>
      </c>
      <c r="AI108" s="241">
        <f>IFERROR(SUMIFS(DATA_GOC!$H:$H,DATA_GOC!$A:$A,"BOM",DATA_GOC!$D:$D,$B108,DATA_GOC!$E:$E,"Bơm ngoài/Hải Tân",DATA_GOC!$F:$F,"Bơm ngoài",DATA_GOC!$B:$B,"&gt;="&amp;DATE($D$2,$B$2,1),DATA_GOC!$B:$B,"&lt;="&amp;EOMONTH(DATE($D$2,$B$2,1),0)),0)</f>
        <v>0</v>
      </c>
      <c r="AJ108" s="242">
        <f>IF($B108="","",SUMIFS(TINH_TEC!$K$233:$K$9232,TINH_TEC!$H$233:$H$9232,$B108,TINH_TEC!$C$233:$C$9232,"Téc 2",TINH_TEC!$F$233:$F$9232,$B$2,TINH_TEC!$G$233:$G$9232,$D$2,TINH_TEC!$B$233:$B$9232,"Đã chốt"))</f>
        <v>0</v>
      </c>
      <c r="AK108" s="242">
        <f>IF($B108="","",SUMIFS(TINH_TEC!$J$233:$J$9232,TINH_TEC!$H$233:$H$9232,$B108,TINH_TEC!$C$233:$C$9232,"Téc 2",TINH_TEC!$F$233:$F$9232,$B$2,TINH_TEC!$G$233:$G$9232,$D$2,TINH_TEC!$B$233:$B$9232,"Đã chốt"))</f>
        <v>16.89</v>
      </c>
      <c r="AL108" s="242">
        <f t="shared" si="5"/>
        <v>16.89</v>
      </c>
    </row>
    <row r="109" ht="15.75" customHeight="1">
      <c r="A109" s="237">
        <f>IF($B109&lt;&gt;"",43,"")</f>
        <v>43</v>
      </c>
      <c r="B109" s="250" t="str">
        <f t="array" ref="B109">IFERROR(INDEX(DANH_MUC!$E:$E,46),"")</f>
        <v>29E17410</v>
      </c>
      <c r="C109" s="251">
        <f>IF(C$4&gt;DAY(EOMONTH(DATE($D$2,$B$2,1),0)),"",IFERROR(SUMIFS(DATA_GOC!$H:$H,DATA_GOC!$A:$A,"BOM",DATA_GOC!$D:$D,$B109,DATA_GOC!$E:$E,"Téc 2",DATA_GOC!$F:$F,"Xuất nội bộ từ téc",DATA_GOC!$B:$B,DATE($D$2,$B$2,C$4)),0))</f>
        <v>0</v>
      </c>
      <c r="D109" s="251">
        <f>IF(D$4&gt;DAY(EOMONTH(DATE($D$2,$B$2,1),0)),"",IFERROR(SUMIFS(DATA_GOC!$H:$H,DATA_GOC!$A:$A,"BOM",DATA_GOC!$D:$D,$B109,DATA_GOC!$E:$E,"Téc 2",DATA_GOC!$F:$F,"Xuất nội bộ từ téc",DATA_GOC!$B:$B,DATE($D$2,$B$2,D$4)),0))</f>
        <v>0</v>
      </c>
      <c r="E109" s="251">
        <f>IF(E$4&gt;DAY(EOMONTH(DATE($D$2,$B$2,1),0)),"",IFERROR(SUMIFS(DATA_GOC!$H:$H,DATA_GOC!$A:$A,"BOM",DATA_GOC!$D:$D,$B109,DATA_GOC!$E:$E,"Téc 2",DATA_GOC!$F:$F,"Xuất nội bộ từ téc",DATA_GOC!$B:$B,DATE($D$2,$B$2,E$4)),0))</f>
        <v>0</v>
      </c>
      <c r="F109" s="251">
        <f>IF(F$4&gt;DAY(EOMONTH(DATE($D$2,$B$2,1),0)),"",IFERROR(SUMIFS(DATA_GOC!$H:$H,DATA_GOC!$A:$A,"BOM",DATA_GOC!$D:$D,$B109,DATA_GOC!$E:$E,"Téc 2",DATA_GOC!$F:$F,"Xuất nội bộ từ téc",DATA_GOC!$B:$B,DATE($D$2,$B$2,F$4)),0))</f>
        <v>0</v>
      </c>
      <c r="G109" s="251">
        <f>IF(G$4&gt;DAY(EOMONTH(DATE($D$2,$B$2,1),0)),"",IFERROR(SUMIFS(DATA_GOC!$H:$H,DATA_GOC!$A:$A,"BOM",DATA_GOC!$D:$D,$B109,DATA_GOC!$E:$E,"Téc 2",DATA_GOC!$F:$F,"Xuất nội bộ từ téc",DATA_GOC!$B:$B,DATE($D$2,$B$2,G$4)),0))</f>
        <v>0</v>
      </c>
      <c r="H109" s="251">
        <f>IF(H$4&gt;DAY(EOMONTH(DATE($D$2,$B$2,1),0)),"",IFERROR(SUMIFS(DATA_GOC!$H:$H,DATA_GOC!$A:$A,"BOM",DATA_GOC!$D:$D,$B109,DATA_GOC!$E:$E,"Téc 2",DATA_GOC!$F:$F,"Xuất nội bộ từ téc",DATA_GOC!$B:$B,DATE($D$2,$B$2,H$4)),0))</f>
        <v>0</v>
      </c>
      <c r="I109" s="251">
        <f>IF(I$4&gt;DAY(EOMONTH(DATE($D$2,$B$2,1),0)),"",IFERROR(SUMIFS(DATA_GOC!$H:$H,DATA_GOC!$A:$A,"BOM",DATA_GOC!$D:$D,$B109,DATA_GOC!$E:$E,"Téc 2",DATA_GOC!$F:$F,"Xuất nội bộ từ téc",DATA_GOC!$B:$B,DATE($D$2,$B$2,I$4)),0))</f>
        <v>0</v>
      </c>
      <c r="J109" s="251">
        <f>IF(J$4&gt;DAY(EOMONTH(DATE($D$2,$B$2,1),0)),"",IFERROR(SUMIFS(DATA_GOC!$H:$H,DATA_GOC!$A:$A,"BOM",DATA_GOC!$D:$D,$B109,DATA_GOC!$E:$E,"Téc 2",DATA_GOC!$F:$F,"Xuất nội bộ từ téc",DATA_GOC!$B:$B,DATE($D$2,$B$2,J$4)),0))</f>
        <v>0</v>
      </c>
      <c r="K109" s="251">
        <f>IF(K$4&gt;DAY(EOMONTH(DATE($D$2,$B$2,1),0)),"",IFERROR(SUMIFS(DATA_GOC!$H:$H,DATA_GOC!$A:$A,"BOM",DATA_GOC!$D:$D,$B109,DATA_GOC!$E:$E,"Téc 2",DATA_GOC!$F:$F,"Xuất nội bộ từ téc",DATA_GOC!$B:$B,DATE($D$2,$B$2,K$4)),0))</f>
        <v>0</v>
      </c>
      <c r="L109" s="251">
        <f>IF(L$4&gt;DAY(EOMONTH(DATE($D$2,$B$2,1),0)),"",IFERROR(SUMIFS(DATA_GOC!$H:$H,DATA_GOC!$A:$A,"BOM",DATA_GOC!$D:$D,$B109,DATA_GOC!$E:$E,"Téc 2",DATA_GOC!$F:$F,"Xuất nội bộ từ téc",DATA_GOC!$B:$B,DATE($D$2,$B$2,L$4)),0))</f>
        <v>0</v>
      </c>
      <c r="M109" s="251">
        <f>IF(M$4&gt;DAY(EOMONTH(DATE($D$2,$B$2,1),0)),"",IFERROR(SUMIFS(DATA_GOC!$H:$H,DATA_GOC!$A:$A,"BOM",DATA_GOC!$D:$D,$B109,DATA_GOC!$E:$E,"Téc 2",DATA_GOC!$F:$F,"Xuất nội bộ từ téc",DATA_GOC!$B:$B,DATE($D$2,$B$2,M$4)),0))</f>
        <v>0</v>
      </c>
      <c r="N109" s="251">
        <f>IF(N$4&gt;DAY(EOMONTH(DATE($D$2,$B$2,1),0)),"",IFERROR(SUMIFS(DATA_GOC!$H:$H,DATA_GOC!$A:$A,"BOM",DATA_GOC!$D:$D,$B109,DATA_GOC!$E:$E,"Téc 2",DATA_GOC!$F:$F,"Xuất nội bộ từ téc",DATA_GOC!$B:$B,DATE($D$2,$B$2,N$4)),0))</f>
        <v>0</v>
      </c>
      <c r="O109" s="251">
        <f>IF(O$4&gt;DAY(EOMONTH(DATE($D$2,$B$2,1),0)),"",IFERROR(SUMIFS(DATA_GOC!$H:$H,DATA_GOC!$A:$A,"BOM",DATA_GOC!$D:$D,$B109,DATA_GOC!$E:$E,"Téc 2",DATA_GOC!$F:$F,"Xuất nội bộ từ téc",DATA_GOC!$B:$B,DATE($D$2,$B$2,O$4)),0))</f>
        <v>0</v>
      </c>
      <c r="P109" s="251">
        <f>IF(P$4&gt;DAY(EOMONTH(DATE($D$2,$B$2,1),0)),"",IFERROR(SUMIFS(DATA_GOC!$H:$H,DATA_GOC!$A:$A,"BOM",DATA_GOC!$D:$D,$B109,DATA_GOC!$E:$E,"Téc 2",DATA_GOC!$F:$F,"Xuất nội bộ từ téc",DATA_GOC!$B:$B,DATE($D$2,$B$2,P$4)),0))</f>
        <v>0</v>
      </c>
      <c r="Q109" s="251">
        <f>IF(Q$4&gt;DAY(EOMONTH(DATE($D$2,$B$2,1),0)),"",IFERROR(SUMIFS(DATA_GOC!$H:$H,DATA_GOC!$A:$A,"BOM",DATA_GOC!$D:$D,$B109,DATA_GOC!$E:$E,"Téc 2",DATA_GOC!$F:$F,"Xuất nội bộ từ téc",DATA_GOC!$B:$B,DATE($D$2,$B$2,Q$4)),0))</f>
        <v>0</v>
      </c>
      <c r="R109" s="251">
        <f>IF(R$4&gt;DAY(EOMONTH(DATE($D$2,$B$2,1),0)),"",IFERROR(SUMIFS(DATA_GOC!$H:$H,DATA_GOC!$A:$A,"BOM",DATA_GOC!$D:$D,$B109,DATA_GOC!$E:$E,"Téc 2",DATA_GOC!$F:$F,"Xuất nội bộ từ téc",DATA_GOC!$B:$B,DATE($D$2,$B$2,R$4)),0))</f>
        <v>0</v>
      </c>
      <c r="S109" s="251">
        <f>IF(S$4&gt;DAY(EOMONTH(DATE($D$2,$B$2,1),0)),"",IFERROR(SUMIFS(DATA_GOC!$H:$H,DATA_GOC!$A:$A,"BOM",DATA_GOC!$D:$D,$B109,DATA_GOC!$E:$E,"Téc 2",DATA_GOC!$F:$F,"Xuất nội bộ từ téc",DATA_GOC!$B:$B,DATE($D$2,$B$2,S$4)),0))</f>
        <v>0</v>
      </c>
      <c r="T109" s="251">
        <f>IF(T$4&gt;DAY(EOMONTH(DATE($D$2,$B$2,1),0)),"",IFERROR(SUMIFS(DATA_GOC!$H:$H,DATA_GOC!$A:$A,"BOM",DATA_GOC!$D:$D,$B109,DATA_GOC!$E:$E,"Téc 2",DATA_GOC!$F:$F,"Xuất nội bộ từ téc",DATA_GOC!$B:$B,DATE($D$2,$B$2,T$4)),0))</f>
        <v>0</v>
      </c>
      <c r="U109" s="251">
        <f>IF(U$4&gt;DAY(EOMONTH(DATE($D$2,$B$2,1),0)),"",IFERROR(SUMIFS(DATA_GOC!$H:$H,DATA_GOC!$A:$A,"BOM",DATA_GOC!$D:$D,$B109,DATA_GOC!$E:$E,"Téc 2",DATA_GOC!$F:$F,"Xuất nội bộ từ téc",DATA_GOC!$B:$B,DATE($D$2,$B$2,U$4)),0))</f>
        <v>0</v>
      </c>
      <c r="V109" s="251">
        <f>IF(V$4&gt;DAY(EOMONTH(DATE($D$2,$B$2,1),0)),"",IFERROR(SUMIFS(DATA_GOC!$H:$H,DATA_GOC!$A:$A,"BOM",DATA_GOC!$D:$D,$B109,DATA_GOC!$E:$E,"Téc 2",DATA_GOC!$F:$F,"Xuất nội bộ từ téc",DATA_GOC!$B:$B,DATE($D$2,$B$2,V$4)),0))</f>
        <v>0</v>
      </c>
      <c r="W109" s="251">
        <f>IF(W$4&gt;DAY(EOMONTH(DATE($D$2,$B$2,1),0)),"",IFERROR(SUMIFS(DATA_GOC!$H:$H,DATA_GOC!$A:$A,"BOM",DATA_GOC!$D:$D,$B109,DATA_GOC!$E:$E,"Téc 2",DATA_GOC!$F:$F,"Xuất nội bộ từ téc",DATA_GOC!$B:$B,DATE($D$2,$B$2,W$4)),0))</f>
        <v>0</v>
      </c>
      <c r="X109" s="251">
        <f>IF(X$4&gt;DAY(EOMONTH(DATE($D$2,$B$2,1),0)),"",IFERROR(SUMIFS(DATA_GOC!$H:$H,DATA_GOC!$A:$A,"BOM",DATA_GOC!$D:$D,$B109,DATA_GOC!$E:$E,"Téc 2",DATA_GOC!$F:$F,"Xuất nội bộ từ téc",DATA_GOC!$B:$B,DATE($D$2,$B$2,X$4)),0))</f>
        <v>0</v>
      </c>
      <c r="Y109" s="251">
        <f>IF(Y$4&gt;DAY(EOMONTH(DATE($D$2,$B$2,1),0)),"",IFERROR(SUMIFS(DATA_GOC!$H:$H,DATA_GOC!$A:$A,"BOM",DATA_GOC!$D:$D,$B109,DATA_GOC!$E:$E,"Téc 2",DATA_GOC!$F:$F,"Xuất nội bộ từ téc",DATA_GOC!$B:$B,DATE($D$2,$B$2,Y$4)),0))</f>
        <v>0</v>
      </c>
      <c r="Z109" s="251">
        <f>IF(Z$4&gt;DAY(EOMONTH(DATE($D$2,$B$2,1),0)),"",IFERROR(SUMIFS(DATA_GOC!$H:$H,DATA_GOC!$A:$A,"BOM",DATA_GOC!$D:$D,$B109,DATA_GOC!$E:$E,"Téc 2",DATA_GOC!$F:$F,"Xuất nội bộ từ téc",DATA_GOC!$B:$B,DATE($D$2,$B$2,Z$4)),0))</f>
        <v>0</v>
      </c>
      <c r="AA109" s="251">
        <f>IF(AA$4&gt;DAY(EOMONTH(DATE($D$2,$B$2,1),0)),"",IFERROR(SUMIFS(DATA_GOC!$H:$H,DATA_GOC!$A:$A,"BOM",DATA_GOC!$D:$D,$B109,DATA_GOC!$E:$E,"Téc 2",DATA_GOC!$F:$F,"Xuất nội bộ từ téc",DATA_GOC!$B:$B,DATE($D$2,$B$2,AA$4)),0))</f>
        <v>0</v>
      </c>
      <c r="AB109" s="251">
        <f>IF(AB$4&gt;DAY(EOMONTH(DATE($D$2,$B$2,1),0)),"",IFERROR(SUMIFS(DATA_GOC!$H:$H,DATA_GOC!$A:$A,"BOM",DATA_GOC!$D:$D,$B109,DATA_GOC!$E:$E,"Téc 2",DATA_GOC!$F:$F,"Xuất nội bộ từ téc",DATA_GOC!$B:$B,DATE($D$2,$B$2,AB$4)),0))</f>
        <v>0</v>
      </c>
      <c r="AC109" s="251">
        <f>IF(AC$4&gt;DAY(EOMONTH(DATE($D$2,$B$2,1),0)),"",IFERROR(SUMIFS(DATA_GOC!$H:$H,DATA_GOC!$A:$A,"BOM",DATA_GOC!$D:$D,$B109,DATA_GOC!$E:$E,"Téc 2",DATA_GOC!$F:$F,"Xuất nội bộ từ téc",DATA_GOC!$B:$B,DATE($D$2,$B$2,AC$4)),0))</f>
        <v>0</v>
      </c>
      <c r="AD109" s="251">
        <f>IF(AD$4&gt;DAY(EOMONTH(DATE($D$2,$B$2,1),0)),"",IFERROR(SUMIFS(DATA_GOC!$H:$H,DATA_GOC!$A:$A,"BOM",DATA_GOC!$D:$D,$B109,DATA_GOC!$E:$E,"Téc 2",DATA_GOC!$F:$F,"Xuất nội bộ từ téc",DATA_GOC!$B:$B,DATE($D$2,$B$2,AD$4)),0))</f>
        <v>0</v>
      </c>
      <c r="AE109" s="251">
        <f>IF(AE$4&gt;DAY(EOMONTH(DATE($D$2,$B$2,1),0)),"",IFERROR(SUMIFS(DATA_GOC!$H:$H,DATA_GOC!$A:$A,"BOM",DATA_GOC!$D:$D,$B109,DATA_GOC!$E:$E,"Téc 2",DATA_GOC!$F:$F,"Xuất nội bộ từ téc",DATA_GOC!$B:$B,DATE($D$2,$B$2,AE$4)),0))</f>
        <v>0</v>
      </c>
      <c r="AF109" s="251">
        <f>IF(AF$4&gt;DAY(EOMONTH(DATE($D$2,$B$2,1),0)),"",IFERROR(SUMIFS(DATA_GOC!$H:$H,DATA_GOC!$A:$A,"BOM",DATA_GOC!$D:$D,$B109,DATA_GOC!$E:$E,"Téc 2",DATA_GOC!$F:$F,"Xuất nội bộ từ téc",DATA_GOC!$B:$B,DATE($D$2,$B$2,AF$4)),0))</f>
        <v>0</v>
      </c>
      <c r="AG109" s="251">
        <f>IF(AG$4&gt;DAY(EOMONTH(DATE($D$2,$B$2,1),0)),"",IFERROR(SUMIFS(DATA_GOC!$H:$H,DATA_GOC!$A:$A,"BOM",DATA_GOC!$D:$D,$B109,DATA_GOC!$E:$E,"Téc 2",DATA_GOC!$F:$F,"Xuất nội bộ từ téc",DATA_GOC!$B:$B,DATE($D$2,$B$2,AG$4)),0))</f>
        <v>0</v>
      </c>
      <c r="AH109" s="252">
        <f t="shared" si="4"/>
        <v>0</v>
      </c>
      <c r="AI109" s="241">
        <f>IFERROR(SUMIFS(DATA_GOC!$H:$H,DATA_GOC!$A:$A,"BOM",DATA_GOC!$D:$D,$B109,DATA_GOC!$E:$E,"Bơm ngoài/Hải Tân",DATA_GOC!$F:$F,"Bơm ngoài",DATA_GOC!$B:$B,"&gt;="&amp;DATE($D$2,$B$2,1),DATA_GOC!$B:$B,"&lt;="&amp;EOMONTH(DATE($D$2,$B$2,1),0)),0)</f>
        <v>0</v>
      </c>
      <c r="AJ109" s="242">
        <f>IF($B109="","",SUMIFS(TINH_TEC!$K$233:$K$9232,TINH_TEC!$H$233:$H$9232,$B109,TINH_TEC!$C$233:$C$9232,"Téc 2",TINH_TEC!$F$233:$F$9232,$B$2,TINH_TEC!$G$233:$G$9232,$D$2,TINH_TEC!$B$233:$B$9232,"Đã chốt"))</f>
        <v>0</v>
      </c>
      <c r="AK109" s="242">
        <f>IF($B109="","",SUMIFS(TINH_TEC!$J$233:$J$9232,TINH_TEC!$H$233:$H$9232,$B109,TINH_TEC!$C$233:$C$9232,"Téc 2",TINH_TEC!$F$233:$F$9232,$B$2,TINH_TEC!$G$233:$G$9232,$D$2,TINH_TEC!$B$233:$B$9232,"Đã chốt"))</f>
        <v>22.598</v>
      </c>
      <c r="AL109" s="242">
        <f t="shared" si="5"/>
        <v>22.598</v>
      </c>
    </row>
    <row r="110" ht="15.75" customHeight="1">
      <c r="A110" s="237">
        <f>IF($B110&lt;&gt;"",44,"")</f>
        <v>44</v>
      </c>
      <c r="B110" s="250" t="str">
        <f t="array" ref="B110">IFERROR(INDEX(DANH_MUC!$E:$E,47),"")</f>
        <v>29E17417</v>
      </c>
      <c r="C110" s="251">
        <f>IF(C$4&gt;DAY(EOMONTH(DATE($D$2,$B$2,1),0)),"",IFERROR(SUMIFS(DATA_GOC!$H:$H,DATA_GOC!$A:$A,"BOM",DATA_GOC!$D:$D,$B110,DATA_GOC!$E:$E,"Téc 2",DATA_GOC!$F:$F,"Xuất nội bộ từ téc",DATA_GOC!$B:$B,DATE($D$2,$B$2,C$4)),0))</f>
        <v>0</v>
      </c>
      <c r="D110" s="251">
        <f>IF(D$4&gt;DAY(EOMONTH(DATE($D$2,$B$2,1),0)),"",IFERROR(SUMIFS(DATA_GOC!$H:$H,DATA_GOC!$A:$A,"BOM",DATA_GOC!$D:$D,$B110,DATA_GOC!$E:$E,"Téc 2",DATA_GOC!$F:$F,"Xuất nội bộ từ téc",DATA_GOC!$B:$B,DATE($D$2,$B$2,D$4)),0))</f>
        <v>0</v>
      </c>
      <c r="E110" s="251">
        <f>IF(E$4&gt;DAY(EOMONTH(DATE($D$2,$B$2,1),0)),"",IFERROR(SUMIFS(DATA_GOC!$H:$H,DATA_GOC!$A:$A,"BOM",DATA_GOC!$D:$D,$B110,DATA_GOC!$E:$E,"Téc 2",DATA_GOC!$F:$F,"Xuất nội bộ từ téc",DATA_GOC!$B:$B,DATE($D$2,$B$2,E$4)),0))</f>
        <v>0</v>
      </c>
      <c r="F110" s="251">
        <f>IF(F$4&gt;DAY(EOMONTH(DATE($D$2,$B$2,1),0)),"",IFERROR(SUMIFS(DATA_GOC!$H:$H,DATA_GOC!$A:$A,"BOM",DATA_GOC!$D:$D,$B110,DATA_GOC!$E:$E,"Téc 2",DATA_GOC!$F:$F,"Xuất nội bộ từ téc",DATA_GOC!$B:$B,DATE($D$2,$B$2,F$4)),0))</f>
        <v>0</v>
      </c>
      <c r="G110" s="251">
        <f>IF(G$4&gt;DAY(EOMONTH(DATE($D$2,$B$2,1),0)),"",IFERROR(SUMIFS(DATA_GOC!$H:$H,DATA_GOC!$A:$A,"BOM",DATA_GOC!$D:$D,$B110,DATA_GOC!$E:$E,"Téc 2",DATA_GOC!$F:$F,"Xuất nội bộ từ téc",DATA_GOC!$B:$B,DATE($D$2,$B$2,G$4)),0))</f>
        <v>0</v>
      </c>
      <c r="H110" s="251">
        <f>IF(H$4&gt;DAY(EOMONTH(DATE($D$2,$B$2,1),0)),"",IFERROR(SUMIFS(DATA_GOC!$H:$H,DATA_GOC!$A:$A,"BOM",DATA_GOC!$D:$D,$B110,DATA_GOC!$E:$E,"Téc 2",DATA_GOC!$F:$F,"Xuất nội bộ từ téc",DATA_GOC!$B:$B,DATE($D$2,$B$2,H$4)),0))</f>
        <v>0</v>
      </c>
      <c r="I110" s="251">
        <f>IF(I$4&gt;DAY(EOMONTH(DATE($D$2,$B$2,1),0)),"",IFERROR(SUMIFS(DATA_GOC!$H:$H,DATA_GOC!$A:$A,"BOM",DATA_GOC!$D:$D,$B110,DATA_GOC!$E:$E,"Téc 2",DATA_GOC!$F:$F,"Xuất nội bộ từ téc",DATA_GOC!$B:$B,DATE($D$2,$B$2,I$4)),0))</f>
        <v>0</v>
      </c>
      <c r="J110" s="251">
        <f>IF(J$4&gt;DAY(EOMONTH(DATE($D$2,$B$2,1),0)),"",IFERROR(SUMIFS(DATA_GOC!$H:$H,DATA_GOC!$A:$A,"BOM",DATA_GOC!$D:$D,$B110,DATA_GOC!$E:$E,"Téc 2",DATA_GOC!$F:$F,"Xuất nội bộ từ téc",DATA_GOC!$B:$B,DATE($D$2,$B$2,J$4)),0))</f>
        <v>0</v>
      </c>
      <c r="K110" s="251">
        <f>IF(K$4&gt;DAY(EOMONTH(DATE($D$2,$B$2,1),0)),"",IFERROR(SUMIFS(DATA_GOC!$H:$H,DATA_GOC!$A:$A,"BOM",DATA_GOC!$D:$D,$B110,DATA_GOC!$E:$E,"Téc 2",DATA_GOC!$F:$F,"Xuất nội bộ từ téc",DATA_GOC!$B:$B,DATE($D$2,$B$2,K$4)),0))</f>
        <v>0</v>
      </c>
      <c r="L110" s="251">
        <f>IF(L$4&gt;DAY(EOMONTH(DATE($D$2,$B$2,1),0)),"",IFERROR(SUMIFS(DATA_GOC!$H:$H,DATA_GOC!$A:$A,"BOM",DATA_GOC!$D:$D,$B110,DATA_GOC!$E:$E,"Téc 2",DATA_GOC!$F:$F,"Xuất nội bộ từ téc",DATA_GOC!$B:$B,DATE($D$2,$B$2,L$4)),0))</f>
        <v>0</v>
      </c>
      <c r="M110" s="251">
        <f>IF(M$4&gt;DAY(EOMONTH(DATE($D$2,$B$2,1),0)),"",IFERROR(SUMIFS(DATA_GOC!$H:$H,DATA_GOC!$A:$A,"BOM",DATA_GOC!$D:$D,$B110,DATA_GOC!$E:$E,"Téc 2",DATA_GOC!$F:$F,"Xuất nội bộ từ téc",DATA_GOC!$B:$B,DATE($D$2,$B$2,M$4)),0))</f>
        <v>0</v>
      </c>
      <c r="N110" s="251">
        <f>IF(N$4&gt;DAY(EOMONTH(DATE($D$2,$B$2,1),0)),"",IFERROR(SUMIFS(DATA_GOC!$H:$H,DATA_GOC!$A:$A,"BOM",DATA_GOC!$D:$D,$B110,DATA_GOC!$E:$E,"Téc 2",DATA_GOC!$F:$F,"Xuất nội bộ từ téc",DATA_GOC!$B:$B,DATE($D$2,$B$2,N$4)),0))</f>
        <v>0</v>
      </c>
      <c r="O110" s="251">
        <f>IF(O$4&gt;DAY(EOMONTH(DATE($D$2,$B$2,1),0)),"",IFERROR(SUMIFS(DATA_GOC!$H:$H,DATA_GOC!$A:$A,"BOM",DATA_GOC!$D:$D,$B110,DATA_GOC!$E:$E,"Téc 2",DATA_GOC!$F:$F,"Xuất nội bộ từ téc",DATA_GOC!$B:$B,DATE($D$2,$B$2,O$4)),0))</f>
        <v>0</v>
      </c>
      <c r="P110" s="251">
        <f>IF(P$4&gt;DAY(EOMONTH(DATE($D$2,$B$2,1),0)),"",IFERROR(SUMIFS(DATA_GOC!$H:$H,DATA_GOC!$A:$A,"BOM",DATA_GOC!$D:$D,$B110,DATA_GOC!$E:$E,"Téc 2",DATA_GOC!$F:$F,"Xuất nội bộ từ téc",DATA_GOC!$B:$B,DATE($D$2,$B$2,P$4)),0))</f>
        <v>0</v>
      </c>
      <c r="Q110" s="251">
        <f>IF(Q$4&gt;DAY(EOMONTH(DATE($D$2,$B$2,1),0)),"",IFERROR(SUMIFS(DATA_GOC!$H:$H,DATA_GOC!$A:$A,"BOM",DATA_GOC!$D:$D,$B110,DATA_GOC!$E:$E,"Téc 2",DATA_GOC!$F:$F,"Xuất nội bộ từ téc",DATA_GOC!$B:$B,DATE($D$2,$B$2,Q$4)),0))</f>
        <v>0</v>
      </c>
      <c r="R110" s="251">
        <f>IF(R$4&gt;DAY(EOMONTH(DATE($D$2,$B$2,1),0)),"",IFERROR(SUMIFS(DATA_GOC!$H:$H,DATA_GOC!$A:$A,"BOM",DATA_GOC!$D:$D,$B110,DATA_GOC!$E:$E,"Téc 2",DATA_GOC!$F:$F,"Xuất nội bộ từ téc",DATA_GOC!$B:$B,DATE($D$2,$B$2,R$4)),0))</f>
        <v>0</v>
      </c>
      <c r="S110" s="251">
        <f>IF(S$4&gt;DAY(EOMONTH(DATE($D$2,$B$2,1),0)),"",IFERROR(SUMIFS(DATA_GOC!$H:$H,DATA_GOC!$A:$A,"BOM",DATA_GOC!$D:$D,$B110,DATA_GOC!$E:$E,"Téc 2",DATA_GOC!$F:$F,"Xuất nội bộ từ téc",DATA_GOC!$B:$B,DATE($D$2,$B$2,S$4)),0))</f>
        <v>0</v>
      </c>
      <c r="T110" s="251">
        <f>IF(T$4&gt;DAY(EOMONTH(DATE($D$2,$B$2,1),0)),"",IFERROR(SUMIFS(DATA_GOC!$H:$H,DATA_GOC!$A:$A,"BOM",DATA_GOC!$D:$D,$B110,DATA_GOC!$E:$E,"Téc 2",DATA_GOC!$F:$F,"Xuất nội bộ từ téc",DATA_GOC!$B:$B,DATE($D$2,$B$2,T$4)),0))</f>
        <v>0</v>
      </c>
      <c r="U110" s="251">
        <f>IF(U$4&gt;DAY(EOMONTH(DATE($D$2,$B$2,1),0)),"",IFERROR(SUMIFS(DATA_GOC!$H:$H,DATA_GOC!$A:$A,"BOM",DATA_GOC!$D:$D,$B110,DATA_GOC!$E:$E,"Téc 2",DATA_GOC!$F:$F,"Xuất nội bộ từ téc",DATA_GOC!$B:$B,DATE($D$2,$B$2,U$4)),0))</f>
        <v>0</v>
      </c>
      <c r="V110" s="251">
        <f>IF(V$4&gt;DAY(EOMONTH(DATE($D$2,$B$2,1),0)),"",IFERROR(SUMIFS(DATA_GOC!$H:$H,DATA_GOC!$A:$A,"BOM",DATA_GOC!$D:$D,$B110,DATA_GOC!$E:$E,"Téc 2",DATA_GOC!$F:$F,"Xuất nội bộ từ téc",DATA_GOC!$B:$B,DATE($D$2,$B$2,V$4)),0))</f>
        <v>0</v>
      </c>
      <c r="W110" s="251">
        <f>IF(W$4&gt;DAY(EOMONTH(DATE($D$2,$B$2,1),0)),"",IFERROR(SUMIFS(DATA_GOC!$H:$H,DATA_GOC!$A:$A,"BOM",DATA_GOC!$D:$D,$B110,DATA_GOC!$E:$E,"Téc 2",DATA_GOC!$F:$F,"Xuất nội bộ từ téc",DATA_GOC!$B:$B,DATE($D$2,$B$2,W$4)),0))</f>
        <v>0</v>
      </c>
      <c r="X110" s="251">
        <f>IF(X$4&gt;DAY(EOMONTH(DATE($D$2,$B$2,1),0)),"",IFERROR(SUMIFS(DATA_GOC!$H:$H,DATA_GOC!$A:$A,"BOM",DATA_GOC!$D:$D,$B110,DATA_GOC!$E:$E,"Téc 2",DATA_GOC!$F:$F,"Xuất nội bộ từ téc",DATA_GOC!$B:$B,DATE($D$2,$B$2,X$4)),0))</f>
        <v>0</v>
      </c>
      <c r="Y110" s="251">
        <f>IF(Y$4&gt;DAY(EOMONTH(DATE($D$2,$B$2,1),0)),"",IFERROR(SUMIFS(DATA_GOC!$H:$H,DATA_GOC!$A:$A,"BOM",DATA_GOC!$D:$D,$B110,DATA_GOC!$E:$E,"Téc 2",DATA_GOC!$F:$F,"Xuất nội bộ từ téc",DATA_GOC!$B:$B,DATE($D$2,$B$2,Y$4)),0))</f>
        <v>0</v>
      </c>
      <c r="Z110" s="251">
        <f>IF(Z$4&gt;DAY(EOMONTH(DATE($D$2,$B$2,1),0)),"",IFERROR(SUMIFS(DATA_GOC!$H:$H,DATA_GOC!$A:$A,"BOM",DATA_GOC!$D:$D,$B110,DATA_GOC!$E:$E,"Téc 2",DATA_GOC!$F:$F,"Xuất nội bộ từ téc",DATA_GOC!$B:$B,DATE($D$2,$B$2,Z$4)),0))</f>
        <v>0</v>
      </c>
      <c r="AA110" s="251">
        <f>IF(AA$4&gt;DAY(EOMONTH(DATE($D$2,$B$2,1),0)),"",IFERROR(SUMIFS(DATA_GOC!$H:$H,DATA_GOC!$A:$A,"BOM",DATA_GOC!$D:$D,$B110,DATA_GOC!$E:$E,"Téc 2",DATA_GOC!$F:$F,"Xuất nội bộ từ téc",DATA_GOC!$B:$B,DATE($D$2,$B$2,AA$4)),0))</f>
        <v>0</v>
      </c>
      <c r="AB110" s="251">
        <f>IF(AB$4&gt;DAY(EOMONTH(DATE($D$2,$B$2,1),0)),"",IFERROR(SUMIFS(DATA_GOC!$H:$H,DATA_GOC!$A:$A,"BOM",DATA_GOC!$D:$D,$B110,DATA_GOC!$E:$E,"Téc 2",DATA_GOC!$F:$F,"Xuất nội bộ từ téc",DATA_GOC!$B:$B,DATE($D$2,$B$2,AB$4)),0))</f>
        <v>0</v>
      </c>
      <c r="AC110" s="251">
        <f>IF(AC$4&gt;DAY(EOMONTH(DATE($D$2,$B$2,1),0)),"",IFERROR(SUMIFS(DATA_GOC!$H:$H,DATA_GOC!$A:$A,"BOM",DATA_GOC!$D:$D,$B110,DATA_GOC!$E:$E,"Téc 2",DATA_GOC!$F:$F,"Xuất nội bộ từ téc",DATA_GOC!$B:$B,DATE($D$2,$B$2,AC$4)),0))</f>
        <v>0</v>
      </c>
      <c r="AD110" s="251">
        <f>IF(AD$4&gt;DAY(EOMONTH(DATE($D$2,$B$2,1),0)),"",IFERROR(SUMIFS(DATA_GOC!$H:$H,DATA_GOC!$A:$A,"BOM",DATA_GOC!$D:$D,$B110,DATA_GOC!$E:$E,"Téc 2",DATA_GOC!$F:$F,"Xuất nội bộ từ téc",DATA_GOC!$B:$B,DATE($D$2,$B$2,AD$4)),0))</f>
        <v>0</v>
      </c>
      <c r="AE110" s="251">
        <f>IF(AE$4&gt;DAY(EOMONTH(DATE($D$2,$B$2,1),0)),"",IFERROR(SUMIFS(DATA_GOC!$H:$H,DATA_GOC!$A:$A,"BOM",DATA_GOC!$D:$D,$B110,DATA_GOC!$E:$E,"Téc 2",DATA_GOC!$F:$F,"Xuất nội bộ từ téc",DATA_GOC!$B:$B,DATE($D$2,$B$2,AE$4)),0))</f>
        <v>0</v>
      </c>
      <c r="AF110" s="251">
        <f>IF(AF$4&gt;DAY(EOMONTH(DATE($D$2,$B$2,1),0)),"",IFERROR(SUMIFS(DATA_GOC!$H:$H,DATA_GOC!$A:$A,"BOM",DATA_GOC!$D:$D,$B110,DATA_GOC!$E:$E,"Téc 2",DATA_GOC!$F:$F,"Xuất nội bộ từ téc",DATA_GOC!$B:$B,DATE($D$2,$B$2,AF$4)),0))</f>
        <v>0</v>
      </c>
      <c r="AG110" s="251">
        <f>IF(AG$4&gt;DAY(EOMONTH(DATE($D$2,$B$2,1),0)),"",IFERROR(SUMIFS(DATA_GOC!$H:$H,DATA_GOC!$A:$A,"BOM",DATA_GOC!$D:$D,$B110,DATA_GOC!$E:$E,"Téc 2",DATA_GOC!$F:$F,"Xuất nội bộ từ téc",DATA_GOC!$B:$B,DATE($D$2,$B$2,AG$4)),0))</f>
        <v>0</v>
      </c>
      <c r="AH110" s="252">
        <f t="shared" si="4"/>
        <v>0</v>
      </c>
      <c r="AI110" s="241">
        <f>IFERROR(SUMIFS(DATA_GOC!$H:$H,DATA_GOC!$A:$A,"BOM",DATA_GOC!$D:$D,$B110,DATA_GOC!$E:$E,"Bơm ngoài/Hải Tân",DATA_GOC!$F:$F,"Bơm ngoài",DATA_GOC!$B:$B,"&gt;="&amp;DATE($D$2,$B$2,1),DATA_GOC!$B:$B,"&lt;="&amp;EOMONTH(DATE($D$2,$B$2,1),0)),0)</f>
        <v>0</v>
      </c>
      <c r="AJ110" s="242">
        <f>IF($B110="","",SUMIFS(TINH_TEC!$K$233:$K$9232,TINH_TEC!$H$233:$H$9232,$B110,TINH_TEC!$C$233:$C$9232,"Téc 2",TINH_TEC!$F$233:$F$9232,$B$2,TINH_TEC!$G$233:$G$9232,$D$2,TINH_TEC!$B$233:$B$9232,"Đã chốt"))</f>
        <v>0</v>
      </c>
      <c r="AK110" s="242">
        <f>IF($B110="","",SUMIFS(TINH_TEC!$J$233:$J$9232,TINH_TEC!$H$233:$H$9232,$B110,TINH_TEC!$C$233:$C$9232,"Téc 2",TINH_TEC!$F$233:$F$9232,$B$2,TINH_TEC!$G$233:$G$9232,$D$2,TINH_TEC!$B$233:$B$9232,"Đã chốt"))</f>
        <v>19.686</v>
      </c>
      <c r="AL110" s="242">
        <f t="shared" si="5"/>
        <v>19.686</v>
      </c>
    </row>
    <row r="111" ht="15.75" customHeight="1">
      <c r="A111" s="237">
        <f>IF($B111&lt;&gt;"",45,"")</f>
        <v>45</v>
      </c>
      <c r="B111" s="250" t="str">
        <f t="array" ref="B111">IFERROR(INDEX(DANH_MUC!$E:$E,48),"")</f>
        <v>29E17539</v>
      </c>
      <c r="C111" s="251">
        <f>IF(C$4&gt;DAY(EOMONTH(DATE($D$2,$B$2,1),0)),"",IFERROR(SUMIFS(DATA_GOC!$H:$H,DATA_GOC!$A:$A,"BOM",DATA_GOC!$D:$D,$B111,DATA_GOC!$E:$E,"Téc 2",DATA_GOC!$F:$F,"Xuất nội bộ từ téc",DATA_GOC!$B:$B,DATE($D$2,$B$2,C$4)),0))</f>
        <v>0</v>
      </c>
      <c r="D111" s="251">
        <f>IF(D$4&gt;DAY(EOMONTH(DATE($D$2,$B$2,1),0)),"",IFERROR(SUMIFS(DATA_GOC!$H:$H,DATA_GOC!$A:$A,"BOM",DATA_GOC!$D:$D,$B111,DATA_GOC!$E:$E,"Téc 2",DATA_GOC!$F:$F,"Xuất nội bộ từ téc",DATA_GOC!$B:$B,DATE($D$2,$B$2,D$4)),0))</f>
        <v>0</v>
      </c>
      <c r="E111" s="251">
        <f>IF(E$4&gt;DAY(EOMONTH(DATE($D$2,$B$2,1),0)),"",IFERROR(SUMIFS(DATA_GOC!$H:$H,DATA_GOC!$A:$A,"BOM",DATA_GOC!$D:$D,$B111,DATA_GOC!$E:$E,"Téc 2",DATA_GOC!$F:$F,"Xuất nội bộ từ téc",DATA_GOC!$B:$B,DATE($D$2,$B$2,E$4)),0))</f>
        <v>0</v>
      </c>
      <c r="F111" s="251">
        <f>IF(F$4&gt;DAY(EOMONTH(DATE($D$2,$B$2,1),0)),"",IFERROR(SUMIFS(DATA_GOC!$H:$H,DATA_GOC!$A:$A,"BOM",DATA_GOC!$D:$D,$B111,DATA_GOC!$E:$E,"Téc 2",DATA_GOC!$F:$F,"Xuất nội bộ từ téc",DATA_GOC!$B:$B,DATE($D$2,$B$2,F$4)),0))</f>
        <v>0</v>
      </c>
      <c r="G111" s="251">
        <f>IF(G$4&gt;DAY(EOMONTH(DATE($D$2,$B$2,1),0)),"",IFERROR(SUMIFS(DATA_GOC!$H:$H,DATA_GOC!$A:$A,"BOM",DATA_GOC!$D:$D,$B111,DATA_GOC!$E:$E,"Téc 2",DATA_GOC!$F:$F,"Xuất nội bộ từ téc",DATA_GOC!$B:$B,DATE($D$2,$B$2,G$4)),0))</f>
        <v>0</v>
      </c>
      <c r="H111" s="251">
        <f>IF(H$4&gt;DAY(EOMONTH(DATE($D$2,$B$2,1),0)),"",IFERROR(SUMIFS(DATA_GOC!$H:$H,DATA_GOC!$A:$A,"BOM",DATA_GOC!$D:$D,$B111,DATA_GOC!$E:$E,"Téc 2",DATA_GOC!$F:$F,"Xuất nội bộ từ téc",DATA_GOC!$B:$B,DATE($D$2,$B$2,H$4)),0))</f>
        <v>0</v>
      </c>
      <c r="I111" s="251">
        <f>IF(I$4&gt;DAY(EOMONTH(DATE($D$2,$B$2,1),0)),"",IFERROR(SUMIFS(DATA_GOC!$H:$H,DATA_GOC!$A:$A,"BOM",DATA_GOC!$D:$D,$B111,DATA_GOC!$E:$E,"Téc 2",DATA_GOC!$F:$F,"Xuất nội bộ từ téc",DATA_GOC!$B:$B,DATE($D$2,$B$2,I$4)),0))</f>
        <v>0</v>
      </c>
      <c r="J111" s="251">
        <f>IF(J$4&gt;DAY(EOMONTH(DATE($D$2,$B$2,1),0)),"",IFERROR(SUMIFS(DATA_GOC!$H:$H,DATA_GOC!$A:$A,"BOM",DATA_GOC!$D:$D,$B111,DATA_GOC!$E:$E,"Téc 2",DATA_GOC!$F:$F,"Xuất nội bộ từ téc",DATA_GOC!$B:$B,DATE($D$2,$B$2,J$4)),0))</f>
        <v>0</v>
      </c>
      <c r="K111" s="251">
        <f>IF(K$4&gt;DAY(EOMONTH(DATE($D$2,$B$2,1),0)),"",IFERROR(SUMIFS(DATA_GOC!$H:$H,DATA_GOC!$A:$A,"BOM",DATA_GOC!$D:$D,$B111,DATA_GOC!$E:$E,"Téc 2",DATA_GOC!$F:$F,"Xuất nội bộ từ téc",DATA_GOC!$B:$B,DATE($D$2,$B$2,K$4)),0))</f>
        <v>0</v>
      </c>
      <c r="L111" s="251">
        <f>IF(L$4&gt;DAY(EOMONTH(DATE($D$2,$B$2,1),0)),"",IFERROR(SUMIFS(DATA_GOC!$H:$H,DATA_GOC!$A:$A,"BOM",DATA_GOC!$D:$D,$B111,DATA_GOC!$E:$E,"Téc 2",DATA_GOC!$F:$F,"Xuất nội bộ từ téc",DATA_GOC!$B:$B,DATE($D$2,$B$2,L$4)),0))</f>
        <v>0</v>
      </c>
      <c r="M111" s="251">
        <f>IF(M$4&gt;DAY(EOMONTH(DATE($D$2,$B$2,1),0)),"",IFERROR(SUMIFS(DATA_GOC!$H:$H,DATA_GOC!$A:$A,"BOM",DATA_GOC!$D:$D,$B111,DATA_GOC!$E:$E,"Téc 2",DATA_GOC!$F:$F,"Xuất nội bộ từ téc",DATA_GOC!$B:$B,DATE($D$2,$B$2,M$4)),0))</f>
        <v>0</v>
      </c>
      <c r="N111" s="251">
        <f>IF(N$4&gt;DAY(EOMONTH(DATE($D$2,$B$2,1),0)),"",IFERROR(SUMIFS(DATA_GOC!$H:$H,DATA_GOC!$A:$A,"BOM",DATA_GOC!$D:$D,$B111,DATA_GOC!$E:$E,"Téc 2",DATA_GOC!$F:$F,"Xuất nội bộ từ téc",DATA_GOC!$B:$B,DATE($D$2,$B$2,N$4)),0))</f>
        <v>0</v>
      </c>
      <c r="O111" s="251">
        <f>IF(O$4&gt;DAY(EOMONTH(DATE($D$2,$B$2,1),0)),"",IFERROR(SUMIFS(DATA_GOC!$H:$H,DATA_GOC!$A:$A,"BOM",DATA_GOC!$D:$D,$B111,DATA_GOC!$E:$E,"Téc 2",DATA_GOC!$F:$F,"Xuất nội bộ từ téc",DATA_GOC!$B:$B,DATE($D$2,$B$2,O$4)),0))</f>
        <v>0</v>
      </c>
      <c r="P111" s="251">
        <f>IF(P$4&gt;DAY(EOMONTH(DATE($D$2,$B$2,1),0)),"",IFERROR(SUMIFS(DATA_GOC!$H:$H,DATA_GOC!$A:$A,"BOM",DATA_GOC!$D:$D,$B111,DATA_GOC!$E:$E,"Téc 2",DATA_GOC!$F:$F,"Xuất nội bộ từ téc",DATA_GOC!$B:$B,DATE($D$2,$B$2,P$4)),0))</f>
        <v>0</v>
      </c>
      <c r="Q111" s="251">
        <f>IF(Q$4&gt;DAY(EOMONTH(DATE($D$2,$B$2,1),0)),"",IFERROR(SUMIFS(DATA_GOC!$H:$H,DATA_GOC!$A:$A,"BOM",DATA_GOC!$D:$D,$B111,DATA_GOC!$E:$E,"Téc 2",DATA_GOC!$F:$F,"Xuất nội bộ từ téc",DATA_GOC!$B:$B,DATE($D$2,$B$2,Q$4)),0))</f>
        <v>0</v>
      </c>
      <c r="R111" s="251">
        <f>IF(R$4&gt;DAY(EOMONTH(DATE($D$2,$B$2,1),0)),"",IFERROR(SUMIFS(DATA_GOC!$H:$H,DATA_GOC!$A:$A,"BOM",DATA_GOC!$D:$D,$B111,DATA_GOC!$E:$E,"Téc 2",DATA_GOC!$F:$F,"Xuất nội bộ từ téc",DATA_GOC!$B:$B,DATE($D$2,$B$2,R$4)),0))</f>
        <v>0</v>
      </c>
      <c r="S111" s="251">
        <f>IF(S$4&gt;DAY(EOMONTH(DATE($D$2,$B$2,1),0)),"",IFERROR(SUMIFS(DATA_GOC!$H:$H,DATA_GOC!$A:$A,"BOM",DATA_GOC!$D:$D,$B111,DATA_GOC!$E:$E,"Téc 2",DATA_GOC!$F:$F,"Xuất nội bộ từ téc",DATA_GOC!$B:$B,DATE($D$2,$B$2,S$4)),0))</f>
        <v>0</v>
      </c>
      <c r="T111" s="251">
        <f>IF(T$4&gt;DAY(EOMONTH(DATE($D$2,$B$2,1),0)),"",IFERROR(SUMIFS(DATA_GOC!$H:$H,DATA_GOC!$A:$A,"BOM",DATA_GOC!$D:$D,$B111,DATA_GOC!$E:$E,"Téc 2",DATA_GOC!$F:$F,"Xuất nội bộ từ téc",DATA_GOC!$B:$B,DATE($D$2,$B$2,T$4)),0))</f>
        <v>0</v>
      </c>
      <c r="U111" s="251">
        <f>IF(U$4&gt;DAY(EOMONTH(DATE($D$2,$B$2,1),0)),"",IFERROR(SUMIFS(DATA_GOC!$H:$H,DATA_GOC!$A:$A,"BOM",DATA_GOC!$D:$D,$B111,DATA_GOC!$E:$E,"Téc 2",DATA_GOC!$F:$F,"Xuất nội bộ từ téc",DATA_GOC!$B:$B,DATE($D$2,$B$2,U$4)),0))</f>
        <v>0</v>
      </c>
      <c r="V111" s="251">
        <f>IF(V$4&gt;DAY(EOMONTH(DATE($D$2,$B$2,1),0)),"",IFERROR(SUMIFS(DATA_GOC!$H:$H,DATA_GOC!$A:$A,"BOM",DATA_GOC!$D:$D,$B111,DATA_GOC!$E:$E,"Téc 2",DATA_GOC!$F:$F,"Xuất nội bộ từ téc",DATA_GOC!$B:$B,DATE($D$2,$B$2,V$4)),0))</f>
        <v>0</v>
      </c>
      <c r="W111" s="251">
        <f>IF(W$4&gt;DAY(EOMONTH(DATE($D$2,$B$2,1),0)),"",IFERROR(SUMIFS(DATA_GOC!$H:$H,DATA_GOC!$A:$A,"BOM",DATA_GOC!$D:$D,$B111,DATA_GOC!$E:$E,"Téc 2",DATA_GOC!$F:$F,"Xuất nội bộ từ téc",DATA_GOC!$B:$B,DATE($D$2,$B$2,W$4)),0))</f>
        <v>0</v>
      </c>
      <c r="X111" s="251">
        <f>IF(X$4&gt;DAY(EOMONTH(DATE($D$2,$B$2,1),0)),"",IFERROR(SUMIFS(DATA_GOC!$H:$H,DATA_GOC!$A:$A,"BOM",DATA_GOC!$D:$D,$B111,DATA_GOC!$E:$E,"Téc 2",DATA_GOC!$F:$F,"Xuất nội bộ từ téc",DATA_GOC!$B:$B,DATE($D$2,$B$2,X$4)),0))</f>
        <v>0</v>
      </c>
      <c r="Y111" s="251">
        <f>IF(Y$4&gt;DAY(EOMONTH(DATE($D$2,$B$2,1),0)),"",IFERROR(SUMIFS(DATA_GOC!$H:$H,DATA_GOC!$A:$A,"BOM",DATA_GOC!$D:$D,$B111,DATA_GOC!$E:$E,"Téc 2",DATA_GOC!$F:$F,"Xuất nội bộ từ téc",DATA_GOC!$B:$B,DATE($D$2,$B$2,Y$4)),0))</f>
        <v>0</v>
      </c>
      <c r="Z111" s="251">
        <f>IF(Z$4&gt;DAY(EOMONTH(DATE($D$2,$B$2,1),0)),"",IFERROR(SUMIFS(DATA_GOC!$H:$H,DATA_GOC!$A:$A,"BOM",DATA_GOC!$D:$D,$B111,DATA_GOC!$E:$E,"Téc 2",DATA_GOC!$F:$F,"Xuất nội bộ từ téc",DATA_GOC!$B:$B,DATE($D$2,$B$2,Z$4)),0))</f>
        <v>0</v>
      </c>
      <c r="AA111" s="251">
        <f>IF(AA$4&gt;DAY(EOMONTH(DATE($D$2,$B$2,1),0)),"",IFERROR(SUMIFS(DATA_GOC!$H:$H,DATA_GOC!$A:$A,"BOM",DATA_GOC!$D:$D,$B111,DATA_GOC!$E:$E,"Téc 2",DATA_GOC!$F:$F,"Xuất nội bộ từ téc",DATA_GOC!$B:$B,DATE($D$2,$B$2,AA$4)),0))</f>
        <v>0</v>
      </c>
      <c r="AB111" s="251">
        <f>IF(AB$4&gt;DAY(EOMONTH(DATE($D$2,$B$2,1),0)),"",IFERROR(SUMIFS(DATA_GOC!$H:$H,DATA_GOC!$A:$A,"BOM",DATA_GOC!$D:$D,$B111,DATA_GOC!$E:$E,"Téc 2",DATA_GOC!$F:$F,"Xuất nội bộ từ téc",DATA_GOC!$B:$B,DATE($D$2,$B$2,AB$4)),0))</f>
        <v>0</v>
      </c>
      <c r="AC111" s="251">
        <f>IF(AC$4&gt;DAY(EOMONTH(DATE($D$2,$B$2,1),0)),"",IFERROR(SUMIFS(DATA_GOC!$H:$H,DATA_GOC!$A:$A,"BOM",DATA_GOC!$D:$D,$B111,DATA_GOC!$E:$E,"Téc 2",DATA_GOC!$F:$F,"Xuất nội bộ từ téc",DATA_GOC!$B:$B,DATE($D$2,$B$2,AC$4)),0))</f>
        <v>0</v>
      </c>
      <c r="AD111" s="251">
        <f>IF(AD$4&gt;DAY(EOMONTH(DATE($D$2,$B$2,1),0)),"",IFERROR(SUMIFS(DATA_GOC!$H:$H,DATA_GOC!$A:$A,"BOM",DATA_GOC!$D:$D,$B111,DATA_GOC!$E:$E,"Téc 2",DATA_GOC!$F:$F,"Xuất nội bộ từ téc",DATA_GOC!$B:$B,DATE($D$2,$B$2,AD$4)),0))</f>
        <v>0</v>
      </c>
      <c r="AE111" s="251">
        <f>IF(AE$4&gt;DAY(EOMONTH(DATE($D$2,$B$2,1),0)),"",IFERROR(SUMIFS(DATA_GOC!$H:$H,DATA_GOC!$A:$A,"BOM",DATA_GOC!$D:$D,$B111,DATA_GOC!$E:$E,"Téc 2",DATA_GOC!$F:$F,"Xuất nội bộ từ téc",DATA_GOC!$B:$B,DATE($D$2,$B$2,AE$4)),0))</f>
        <v>0</v>
      </c>
      <c r="AF111" s="251">
        <f>IF(AF$4&gt;DAY(EOMONTH(DATE($D$2,$B$2,1),0)),"",IFERROR(SUMIFS(DATA_GOC!$H:$H,DATA_GOC!$A:$A,"BOM",DATA_GOC!$D:$D,$B111,DATA_GOC!$E:$E,"Téc 2",DATA_GOC!$F:$F,"Xuất nội bộ từ téc",DATA_GOC!$B:$B,DATE($D$2,$B$2,AF$4)),0))</f>
        <v>0</v>
      </c>
      <c r="AG111" s="251">
        <f>IF(AG$4&gt;DAY(EOMONTH(DATE($D$2,$B$2,1),0)),"",IFERROR(SUMIFS(DATA_GOC!$H:$H,DATA_GOC!$A:$A,"BOM",DATA_GOC!$D:$D,$B111,DATA_GOC!$E:$E,"Téc 2",DATA_GOC!$F:$F,"Xuất nội bộ từ téc",DATA_GOC!$B:$B,DATE($D$2,$B$2,AG$4)),0))</f>
        <v>0</v>
      </c>
      <c r="AH111" s="252">
        <f t="shared" si="4"/>
        <v>0</v>
      </c>
      <c r="AI111" s="241">
        <f>IFERROR(SUMIFS(DATA_GOC!$H:$H,DATA_GOC!$A:$A,"BOM",DATA_GOC!$D:$D,$B111,DATA_GOC!$E:$E,"Bơm ngoài/Hải Tân",DATA_GOC!$F:$F,"Bơm ngoài",DATA_GOC!$B:$B,"&gt;="&amp;DATE($D$2,$B$2,1),DATA_GOC!$B:$B,"&lt;="&amp;EOMONTH(DATE($D$2,$B$2,1),0)),0)</f>
        <v>0</v>
      </c>
      <c r="AJ111" s="242">
        <f>IF($B111="","",SUMIFS(TINH_TEC!$K$233:$K$9232,TINH_TEC!$H$233:$H$9232,$B111,TINH_TEC!$C$233:$C$9232,"Téc 2",TINH_TEC!$F$233:$F$9232,$B$2,TINH_TEC!$G$233:$G$9232,$D$2,TINH_TEC!$B$233:$B$9232,"Đã chốt"))</f>
        <v>0</v>
      </c>
      <c r="AK111" s="242">
        <f>IF($B111="","",SUMIFS(TINH_TEC!$J$233:$J$9232,TINH_TEC!$H$233:$H$9232,$B111,TINH_TEC!$C$233:$C$9232,"Téc 2",TINH_TEC!$F$233:$F$9232,$B$2,TINH_TEC!$G$233:$G$9232,$D$2,TINH_TEC!$B$233:$B$9232,"Đã chốt"))</f>
        <v>15.143</v>
      </c>
      <c r="AL111" s="242">
        <f t="shared" si="5"/>
        <v>15.143</v>
      </c>
    </row>
    <row r="112" ht="15.75" customHeight="1">
      <c r="A112" s="237">
        <f>IF($B112&lt;&gt;"",46,"")</f>
        <v>46</v>
      </c>
      <c r="B112" s="250" t="str">
        <f t="array" ref="B112">IFERROR(INDEX(DANH_MUC!$E:$E,49),"")</f>
        <v>29E18160</v>
      </c>
      <c r="C112" s="251">
        <f>IF(C$4&gt;DAY(EOMONTH(DATE($D$2,$B$2,1),0)),"",IFERROR(SUMIFS(DATA_GOC!$H:$H,DATA_GOC!$A:$A,"BOM",DATA_GOC!$D:$D,$B112,DATA_GOC!$E:$E,"Téc 2",DATA_GOC!$F:$F,"Xuất nội bộ từ téc",DATA_GOC!$B:$B,DATE($D$2,$B$2,C$4)),0))</f>
        <v>0</v>
      </c>
      <c r="D112" s="251">
        <f>IF(D$4&gt;DAY(EOMONTH(DATE($D$2,$B$2,1),0)),"",IFERROR(SUMIFS(DATA_GOC!$H:$H,DATA_GOC!$A:$A,"BOM",DATA_GOC!$D:$D,$B112,DATA_GOC!$E:$E,"Téc 2",DATA_GOC!$F:$F,"Xuất nội bộ từ téc",DATA_GOC!$B:$B,DATE($D$2,$B$2,D$4)),0))</f>
        <v>0</v>
      </c>
      <c r="E112" s="251">
        <f>IF(E$4&gt;DAY(EOMONTH(DATE($D$2,$B$2,1),0)),"",IFERROR(SUMIFS(DATA_GOC!$H:$H,DATA_GOC!$A:$A,"BOM",DATA_GOC!$D:$D,$B112,DATA_GOC!$E:$E,"Téc 2",DATA_GOC!$F:$F,"Xuất nội bộ từ téc",DATA_GOC!$B:$B,DATE($D$2,$B$2,E$4)),0))</f>
        <v>0</v>
      </c>
      <c r="F112" s="251">
        <f>IF(F$4&gt;DAY(EOMONTH(DATE($D$2,$B$2,1),0)),"",IFERROR(SUMIFS(DATA_GOC!$H:$H,DATA_GOC!$A:$A,"BOM",DATA_GOC!$D:$D,$B112,DATA_GOC!$E:$E,"Téc 2",DATA_GOC!$F:$F,"Xuất nội bộ từ téc",DATA_GOC!$B:$B,DATE($D$2,$B$2,F$4)),0))</f>
        <v>0</v>
      </c>
      <c r="G112" s="251">
        <f>IF(G$4&gt;DAY(EOMONTH(DATE($D$2,$B$2,1),0)),"",IFERROR(SUMIFS(DATA_GOC!$H:$H,DATA_GOC!$A:$A,"BOM",DATA_GOC!$D:$D,$B112,DATA_GOC!$E:$E,"Téc 2",DATA_GOC!$F:$F,"Xuất nội bộ từ téc",DATA_GOC!$B:$B,DATE($D$2,$B$2,G$4)),0))</f>
        <v>0</v>
      </c>
      <c r="H112" s="251">
        <f>IF(H$4&gt;DAY(EOMONTH(DATE($D$2,$B$2,1),0)),"",IFERROR(SUMIFS(DATA_GOC!$H:$H,DATA_GOC!$A:$A,"BOM",DATA_GOC!$D:$D,$B112,DATA_GOC!$E:$E,"Téc 2",DATA_GOC!$F:$F,"Xuất nội bộ từ téc",DATA_GOC!$B:$B,DATE($D$2,$B$2,H$4)),0))</f>
        <v>0</v>
      </c>
      <c r="I112" s="251">
        <f>IF(I$4&gt;DAY(EOMONTH(DATE($D$2,$B$2,1),0)),"",IFERROR(SUMIFS(DATA_GOC!$H:$H,DATA_GOC!$A:$A,"BOM",DATA_GOC!$D:$D,$B112,DATA_GOC!$E:$E,"Téc 2",DATA_GOC!$F:$F,"Xuất nội bộ từ téc",DATA_GOC!$B:$B,DATE($D$2,$B$2,I$4)),0))</f>
        <v>0</v>
      </c>
      <c r="J112" s="251">
        <f>IF(J$4&gt;DAY(EOMONTH(DATE($D$2,$B$2,1),0)),"",IFERROR(SUMIFS(DATA_GOC!$H:$H,DATA_GOC!$A:$A,"BOM",DATA_GOC!$D:$D,$B112,DATA_GOC!$E:$E,"Téc 2",DATA_GOC!$F:$F,"Xuất nội bộ từ téc",DATA_GOC!$B:$B,DATE($D$2,$B$2,J$4)),0))</f>
        <v>0</v>
      </c>
      <c r="K112" s="251">
        <f>IF(K$4&gt;DAY(EOMONTH(DATE($D$2,$B$2,1),0)),"",IFERROR(SUMIFS(DATA_GOC!$H:$H,DATA_GOC!$A:$A,"BOM",DATA_GOC!$D:$D,$B112,DATA_GOC!$E:$E,"Téc 2",DATA_GOC!$F:$F,"Xuất nội bộ từ téc",DATA_GOC!$B:$B,DATE($D$2,$B$2,K$4)),0))</f>
        <v>0</v>
      </c>
      <c r="L112" s="251">
        <f>IF(L$4&gt;DAY(EOMONTH(DATE($D$2,$B$2,1),0)),"",IFERROR(SUMIFS(DATA_GOC!$H:$H,DATA_GOC!$A:$A,"BOM",DATA_GOC!$D:$D,$B112,DATA_GOC!$E:$E,"Téc 2",DATA_GOC!$F:$F,"Xuất nội bộ từ téc",DATA_GOC!$B:$B,DATE($D$2,$B$2,L$4)),0))</f>
        <v>0</v>
      </c>
      <c r="M112" s="251">
        <f>IF(M$4&gt;DAY(EOMONTH(DATE($D$2,$B$2,1),0)),"",IFERROR(SUMIFS(DATA_GOC!$H:$H,DATA_GOC!$A:$A,"BOM",DATA_GOC!$D:$D,$B112,DATA_GOC!$E:$E,"Téc 2",DATA_GOC!$F:$F,"Xuất nội bộ từ téc",DATA_GOC!$B:$B,DATE($D$2,$B$2,M$4)),0))</f>
        <v>0</v>
      </c>
      <c r="N112" s="251">
        <f>IF(N$4&gt;DAY(EOMONTH(DATE($D$2,$B$2,1),0)),"",IFERROR(SUMIFS(DATA_GOC!$H:$H,DATA_GOC!$A:$A,"BOM",DATA_GOC!$D:$D,$B112,DATA_GOC!$E:$E,"Téc 2",DATA_GOC!$F:$F,"Xuất nội bộ từ téc",DATA_GOC!$B:$B,DATE($D$2,$B$2,N$4)),0))</f>
        <v>0</v>
      </c>
      <c r="O112" s="251">
        <f>IF(O$4&gt;DAY(EOMONTH(DATE($D$2,$B$2,1),0)),"",IFERROR(SUMIFS(DATA_GOC!$H:$H,DATA_GOC!$A:$A,"BOM",DATA_GOC!$D:$D,$B112,DATA_GOC!$E:$E,"Téc 2",DATA_GOC!$F:$F,"Xuất nội bộ từ téc",DATA_GOC!$B:$B,DATE($D$2,$B$2,O$4)),0))</f>
        <v>0</v>
      </c>
      <c r="P112" s="251">
        <f>IF(P$4&gt;DAY(EOMONTH(DATE($D$2,$B$2,1),0)),"",IFERROR(SUMIFS(DATA_GOC!$H:$H,DATA_GOC!$A:$A,"BOM",DATA_GOC!$D:$D,$B112,DATA_GOC!$E:$E,"Téc 2",DATA_GOC!$F:$F,"Xuất nội bộ từ téc",DATA_GOC!$B:$B,DATE($D$2,$B$2,P$4)),0))</f>
        <v>0</v>
      </c>
      <c r="Q112" s="251">
        <f>IF(Q$4&gt;DAY(EOMONTH(DATE($D$2,$B$2,1),0)),"",IFERROR(SUMIFS(DATA_GOC!$H:$H,DATA_GOC!$A:$A,"BOM",DATA_GOC!$D:$D,$B112,DATA_GOC!$E:$E,"Téc 2",DATA_GOC!$F:$F,"Xuất nội bộ từ téc",DATA_GOC!$B:$B,DATE($D$2,$B$2,Q$4)),0))</f>
        <v>0</v>
      </c>
      <c r="R112" s="251">
        <f>IF(R$4&gt;DAY(EOMONTH(DATE($D$2,$B$2,1),0)),"",IFERROR(SUMIFS(DATA_GOC!$H:$H,DATA_GOC!$A:$A,"BOM",DATA_GOC!$D:$D,$B112,DATA_GOC!$E:$E,"Téc 2",DATA_GOC!$F:$F,"Xuất nội bộ từ téc",DATA_GOC!$B:$B,DATE($D$2,$B$2,R$4)),0))</f>
        <v>0</v>
      </c>
      <c r="S112" s="251">
        <f>IF(S$4&gt;DAY(EOMONTH(DATE($D$2,$B$2,1),0)),"",IFERROR(SUMIFS(DATA_GOC!$H:$H,DATA_GOC!$A:$A,"BOM",DATA_GOC!$D:$D,$B112,DATA_GOC!$E:$E,"Téc 2",DATA_GOC!$F:$F,"Xuất nội bộ từ téc",DATA_GOC!$B:$B,DATE($D$2,$B$2,S$4)),0))</f>
        <v>0</v>
      </c>
      <c r="T112" s="251">
        <f>IF(T$4&gt;DAY(EOMONTH(DATE($D$2,$B$2,1),0)),"",IFERROR(SUMIFS(DATA_GOC!$H:$H,DATA_GOC!$A:$A,"BOM",DATA_GOC!$D:$D,$B112,DATA_GOC!$E:$E,"Téc 2",DATA_GOC!$F:$F,"Xuất nội bộ từ téc",DATA_GOC!$B:$B,DATE($D$2,$B$2,T$4)),0))</f>
        <v>0</v>
      </c>
      <c r="U112" s="251">
        <f>IF(U$4&gt;DAY(EOMONTH(DATE($D$2,$B$2,1),0)),"",IFERROR(SUMIFS(DATA_GOC!$H:$H,DATA_GOC!$A:$A,"BOM",DATA_GOC!$D:$D,$B112,DATA_GOC!$E:$E,"Téc 2",DATA_GOC!$F:$F,"Xuất nội bộ từ téc",DATA_GOC!$B:$B,DATE($D$2,$B$2,U$4)),0))</f>
        <v>0</v>
      </c>
      <c r="V112" s="251">
        <f>IF(V$4&gt;DAY(EOMONTH(DATE($D$2,$B$2,1),0)),"",IFERROR(SUMIFS(DATA_GOC!$H:$H,DATA_GOC!$A:$A,"BOM",DATA_GOC!$D:$D,$B112,DATA_GOC!$E:$E,"Téc 2",DATA_GOC!$F:$F,"Xuất nội bộ từ téc",DATA_GOC!$B:$B,DATE($D$2,$B$2,V$4)),0))</f>
        <v>0</v>
      </c>
      <c r="W112" s="251">
        <f>IF(W$4&gt;DAY(EOMONTH(DATE($D$2,$B$2,1),0)),"",IFERROR(SUMIFS(DATA_GOC!$H:$H,DATA_GOC!$A:$A,"BOM",DATA_GOC!$D:$D,$B112,DATA_GOC!$E:$E,"Téc 2",DATA_GOC!$F:$F,"Xuất nội bộ từ téc",DATA_GOC!$B:$B,DATE($D$2,$B$2,W$4)),0))</f>
        <v>0</v>
      </c>
      <c r="X112" s="251">
        <f>IF(X$4&gt;DAY(EOMONTH(DATE($D$2,$B$2,1),0)),"",IFERROR(SUMIFS(DATA_GOC!$H:$H,DATA_GOC!$A:$A,"BOM",DATA_GOC!$D:$D,$B112,DATA_GOC!$E:$E,"Téc 2",DATA_GOC!$F:$F,"Xuất nội bộ từ téc",DATA_GOC!$B:$B,DATE($D$2,$B$2,X$4)),0))</f>
        <v>0</v>
      </c>
      <c r="Y112" s="251">
        <f>IF(Y$4&gt;DAY(EOMONTH(DATE($D$2,$B$2,1),0)),"",IFERROR(SUMIFS(DATA_GOC!$H:$H,DATA_GOC!$A:$A,"BOM",DATA_GOC!$D:$D,$B112,DATA_GOC!$E:$E,"Téc 2",DATA_GOC!$F:$F,"Xuất nội bộ từ téc",DATA_GOC!$B:$B,DATE($D$2,$B$2,Y$4)),0))</f>
        <v>0</v>
      </c>
      <c r="Z112" s="251">
        <f>IF(Z$4&gt;DAY(EOMONTH(DATE($D$2,$B$2,1),0)),"",IFERROR(SUMIFS(DATA_GOC!$H:$H,DATA_GOC!$A:$A,"BOM",DATA_GOC!$D:$D,$B112,DATA_GOC!$E:$E,"Téc 2",DATA_GOC!$F:$F,"Xuất nội bộ từ téc",DATA_GOC!$B:$B,DATE($D$2,$B$2,Z$4)),0))</f>
        <v>0</v>
      </c>
      <c r="AA112" s="251">
        <f>IF(AA$4&gt;DAY(EOMONTH(DATE($D$2,$B$2,1),0)),"",IFERROR(SUMIFS(DATA_GOC!$H:$H,DATA_GOC!$A:$A,"BOM",DATA_GOC!$D:$D,$B112,DATA_GOC!$E:$E,"Téc 2",DATA_GOC!$F:$F,"Xuất nội bộ từ téc",DATA_GOC!$B:$B,DATE($D$2,$B$2,AA$4)),0))</f>
        <v>0</v>
      </c>
      <c r="AB112" s="251">
        <f>IF(AB$4&gt;DAY(EOMONTH(DATE($D$2,$B$2,1),0)),"",IFERROR(SUMIFS(DATA_GOC!$H:$H,DATA_GOC!$A:$A,"BOM",DATA_GOC!$D:$D,$B112,DATA_GOC!$E:$E,"Téc 2",DATA_GOC!$F:$F,"Xuất nội bộ từ téc",DATA_GOC!$B:$B,DATE($D$2,$B$2,AB$4)),0))</f>
        <v>0</v>
      </c>
      <c r="AC112" s="251">
        <f>IF(AC$4&gt;DAY(EOMONTH(DATE($D$2,$B$2,1),0)),"",IFERROR(SUMIFS(DATA_GOC!$H:$H,DATA_GOC!$A:$A,"BOM",DATA_GOC!$D:$D,$B112,DATA_GOC!$E:$E,"Téc 2",DATA_GOC!$F:$F,"Xuất nội bộ từ téc",DATA_GOC!$B:$B,DATE($D$2,$B$2,AC$4)),0))</f>
        <v>0</v>
      </c>
      <c r="AD112" s="251">
        <f>IF(AD$4&gt;DAY(EOMONTH(DATE($D$2,$B$2,1),0)),"",IFERROR(SUMIFS(DATA_GOC!$H:$H,DATA_GOC!$A:$A,"BOM",DATA_GOC!$D:$D,$B112,DATA_GOC!$E:$E,"Téc 2",DATA_GOC!$F:$F,"Xuất nội bộ từ téc",DATA_GOC!$B:$B,DATE($D$2,$B$2,AD$4)),0))</f>
        <v>0</v>
      </c>
      <c r="AE112" s="251">
        <f>IF(AE$4&gt;DAY(EOMONTH(DATE($D$2,$B$2,1),0)),"",IFERROR(SUMIFS(DATA_GOC!$H:$H,DATA_GOC!$A:$A,"BOM",DATA_GOC!$D:$D,$B112,DATA_GOC!$E:$E,"Téc 2",DATA_GOC!$F:$F,"Xuất nội bộ từ téc",DATA_GOC!$B:$B,DATE($D$2,$B$2,AE$4)),0))</f>
        <v>0</v>
      </c>
      <c r="AF112" s="251">
        <f>IF(AF$4&gt;DAY(EOMONTH(DATE($D$2,$B$2,1),0)),"",IFERROR(SUMIFS(DATA_GOC!$H:$H,DATA_GOC!$A:$A,"BOM",DATA_GOC!$D:$D,$B112,DATA_GOC!$E:$E,"Téc 2",DATA_GOC!$F:$F,"Xuất nội bộ từ téc",DATA_GOC!$B:$B,DATE($D$2,$B$2,AF$4)),0))</f>
        <v>0</v>
      </c>
      <c r="AG112" s="251">
        <f>IF(AG$4&gt;DAY(EOMONTH(DATE($D$2,$B$2,1),0)),"",IFERROR(SUMIFS(DATA_GOC!$H:$H,DATA_GOC!$A:$A,"BOM",DATA_GOC!$D:$D,$B112,DATA_GOC!$E:$E,"Téc 2",DATA_GOC!$F:$F,"Xuất nội bộ từ téc",DATA_GOC!$B:$B,DATE($D$2,$B$2,AG$4)),0))</f>
        <v>0</v>
      </c>
      <c r="AH112" s="252">
        <f t="shared" si="4"/>
        <v>0</v>
      </c>
      <c r="AI112" s="241">
        <f>IFERROR(SUMIFS(DATA_GOC!$H:$H,DATA_GOC!$A:$A,"BOM",DATA_GOC!$D:$D,$B112,DATA_GOC!$E:$E,"Bơm ngoài/Hải Tân",DATA_GOC!$F:$F,"Bơm ngoài",DATA_GOC!$B:$B,"&gt;="&amp;DATE($D$2,$B$2,1),DATA_GOC!$B:$B,"&lt;="&amp;EOMONTH(DATE($D$2,$B$2,1),0)),0)</f>
        <v>0</v>
      </c>
      <c r="AJ112" s="242">
        <f>IF($B112="","",SUMIFS(TINH_TEC!$K$233:$K$9232,TINH_TEC!$H$233:$H$9232,$B112,TINH_TEC!$C$233:$C$9232,"Téc 2",TINH_TEC!$F$233:$F$9232,$B$2,TINH_TEC!$G$233:$G$9232,$D$2,TINH_TEC!$B$233:$B$9232,"Đã chốt"))</f>
        <v>0</v>
      </c>
      <c r="AK112" s="242">
        <f>IF($B112="","",SUMIFS(TINH_TEC!$J$233:$J$9232,TINH_TEC!$H$233:$H$9232,$B112,TINH_TEC!$C$233:$C$9232,"Téc 2",TINH_TEC!$F$233:$F$9232,$B$2,TINH_TEC!$G$233:$G$9232,$D$2,TINH_TEC!$B$233:$B$9232,"Đã chốt"))</f>
        <v>7.863</v>
      </c>
      <c r="AL112" s="242">
        <f t="shared" si="5"/>
        <v>7.863</v>
      </c>
    </row>
    <row r="113" ht="15.75" customHeight="1">
      <c r="A113" s="237">
        <f>IF($B113&lt;&gt;"",47,"")</f>
        <v>47</v>
      </c>
      <c r="B113" s="250" t="str">
        <f t="array" ref="B113">IFERROR(INDEX(DANH_MUC!$E:$E,50),"")</f>
        <v>Công trình Asphalt</v>
      </c>
      <c r="C113" s="251">
        <f>IF(C$4&gt;DAY(EOMONTH(DATE($D$2,$B$2,1),0)),"",IFERROR(SUMIFS(DATA_GOC!$H:$H,DATA_GOC!$A:$A,"BOM",DATA_GOC!$D:$D,$B113,DATA_GOC!$E:$E,"Téc 2",DATA_GOC!$F:$F,"Xuất nội bộ từ téc",DATA_GOC!$B:$B,DATE($D$2,$B$2,C$4)),0))</f>
        <v>0</v>
      </c>
      <c r="D113" s="251">
        <f>IF(D$4&gt;DAY(EOMONTH(DATE($D$2,$B$2,1),0)),"",IFERROR(SUMIFS(DATA_GOC!$H:$H,DATA_GOC!$A:$A,"BOM",DATA_GOC!$D:$D,$B113,DATA_GOC!$E:$E,"Téc 2",DATA_GOC!$F:$F,"Xuất nội bộ từ téc",DATA_GOC!$B:$B,DATE($D$2,$B$2,D$4)),0))</f>
        <v>0</v>
      </c>
      <c r="E113" s="251">
        <f>IF(E$4&gt;DAY(EOMONTH(DATE($D$2,$B$2,1),0)),"",IFERROR(SUMIFS(DATA_GOC!$H:$H,DATA_GOC!$A:$A,"BOM",DATA_GOC!$D:$D,$B113,DATA_GOC!$E:$E,"Téc 2",DATA_GOC!$F:$F,"Xuất nội bộ từ téc",DATA_GOC!$B:$B,DATE($D$2,$B$2,E$4)),0))</f>
        <v>0</v>
      </c>
      <c r="F113" s="251">
        <f>IF(F$4&gt;DAY(EOMONTH(DATE($D$2,$B$2,1),0)),"",IFERROR(SUMIFS(DATA_GOC!$H:$H,DATA_GOC!$A:$A,"BOM",DATA_GOC!$D:$D,$B113,DATA_GOC!$E:$E,"Téc 2",DATA_GOC!$F:$F,"Xuất nội bộ từ téc",DATA_GOC!$B:$B,DATE($D$2,$B$2,F$4)),0))</f>
        <v>0</v>
      </c>
      <c r="G113" s="251">
        <f>IF(G$4&gt;DAY(EOMONTH(DATE($D$2,$B$2,1),0)),"",IFERROR(SUMIFS(DATA_GOC!$H:$H,DATA_GOC!$A:$A,"BOM",DATA_GOC!$D:$D,$B113,DATA_GOC!$E:$E,"Téc 2",DATA_GOC!$F:$F,"Xuất nội bộ từ téc",DATA_GOC!$B:$B,DATE($D$2,$B$2,G$4)),0))</f>
        <v>0</v>
      </c>
      <c r="H113" s="251">
        <f>IF(H$4&gt;DAY(EOMONTH(DATE($D$2,$B$2,1),0)),"",IFERROR(SUMIFS(DATA_GOC!$H:$H,DATA_GOC!$A:$A,"BOM",DATA_GOC!$D:$D,$B113,DATA_GOC!$E:$E,"Téc 2",DATA_GOC!$F:$F,"Xuất nội bộ từ téc",DATA_GOC!$B:$B,DATE($D$2,$B$2,H$4)),0))</f>
        <v>0</v>
      </c>
      <c r="I113" s="251">
        <f>IF(I$4&gt;DAY(EOMONTH(DATE($D$2,$B$2,1),0)),"",IFERROR(SUMIFS(DATA_GOC!$H:$H,DATA_GOC!$A:$A,"BOM",DATA_GOC!$D:$D,$B113,DATA_GOC!$E:$E,"Téc 2",DATA_GOC!$F:$F,"Xuất nội bộ từ téc",DATA_GOC!$B:$B,DATE($D$2,$B$2,I$4)),0))</f>
        <v>0</v>
      </c>
      <c r="J113" s="251">
        <f>IF(J$4&gt;DAY(EOMONTH(DATE($D$2,$B$2,1),0)),"",IFERROR(SUMIFS(DATA_GOC!$H:$H,DATA_GOC!$A:$A,"BOM",DATA_GOC!$D:$D,$B113,DATA_GOC!$E:$E,"Téc 2",DATA_GOC!$F:$F,"Xuất nội bộ từ téc",DATA_GOC!$B:$B,DATE($D$2,$B$2,J$4)),0))</f>
        <v>0</v>
      </c>
      <c r="K113" s="251">
        <f>IF(K$4&gt;DAY(EOMONTH(DATE($D$2,$B$2,1),0)),"",IFERROR(SUMIFS(DATA_GOC!$H:$H,DATA_GOC!$A:$A,"BOM",DATA_GOC!$D:$D,$B113,DATA_GOC!$E:$E,"Téc 2",DATA_GOC!$F:$F,"Xuất nội bộ từ téc",DATA_GOC!$B:$B,DATE($D$2,$B$2,K$4)),0))</f>
        <v>0</v>
      </c>
      <c r="L113" s="251">
        <f>IF(L$4&gt;DAY(EOMONTH(DATE($D$2,$B$2,1),0)),"",IFERROR(SUMIFS(DATA_GOC!$H:$H,DATA_GOC!$A:$A,"BOM",DATA_GOC!$D:$D,$B113,DATA_GOC!$E:$E,"Téc 2",DATA_GOC!$F:$F,"Xuất nội bộ từ téc",DATA_GOC!$B:$B,DATE($D$2,$B$2,L$4)),0))</f>
        <v>0</v>
      </c>
      <c r="M113" s="251">
        <f>IF(M$4&gt;DAY(EOMONTH(DATE($D$2,$B$2,1),0)),"",IFERROR(SUMIFS(DATA_GOC!$H:$H,DATA_GOC!$A:$A,"BOM",DATA_GOC!$D:$D,$B113,DATA_GOC!$E:$E,"Téc 2",DATA_GOC!$F:$F,"Xuất nội bộ từ téc",DATA_GOC!$B:$B,DATE($D$2,$B$2,M$4)),0))</f>
        <v>0</v>
      </c>
      <c r="N113" s="251">
        <f>IF(N$4&gt;DAY(EOMONTH(DATE($D$2,$B$2,1),0)),"",IFERROR(SUMIFS(DATA_GOC!$H:$H,DATA_GOC!$A:$A,"BOM",DATA_GOC!$D:$D,$B113,DATA_GOC!$E:$E,"Téc 2",DATA_GOC!$F:$F,"Xuất nội bộ từ téc",DATA_GOC!$B:$B,DATE($D$2,$B$2,N$4)),0))</f>
        <v>0</v>
      </c>
      <c r="O113" s="251">
        <f>IF(O$4&gt;DAY(EOMONTH(DATE($D$2,$B$2,1),0)),"",IFERROR(SUMIFS(DATA_GOC!$H:$H,DATA_GOC!$A:$A,"BOM",DATA_GOC!$D:$D,$B113,DATA_GOC!$E:$E,"Téc 2",DATA_GOC!$F:$F,"Xuất nội bộ từ téc",DATA_GOC!$B:$B,DATE($D$2,$B$2,O$4)),0))</f>
        <v>0</v>
      </c>
      <c r="P113" s="251">
        <f>IF(P$4&gt;DAY(EOMONTH(DATE($D$2,$B$2,1),0)),"",IFERROR(SUMIFS(DATA_GOC!$H:$H,DATA_GOC!$A:$A,"BOM",DATA_GOC!$D:$D,$B113,DATA_GOC!$E:$E,"Téc 2",DATA_GOC!$F:$F,"Xuất nội bộ từ téc",DATA_GOC!$B:$B,DATE($D$2,$B$2,P$4)),0))</f>
        <v>0</v>
      </c>
      <c r="Q113" s="251">
        <f>IF(Q$4&gt;DAY(EOMONTH(DATE($D$2,$B$2,1),0)),"",IFERROR(SUMIFS(DATA_GOC!$H:$H,DATA_GOC!$A:$A,"BOM",DATA_GOC!$D:$D,$B113,DATA_GOC!$E:$E,"Téc 2",DATA_GOC!$F:$F,"Xuất nội bộ từ téc",DATA_GOC!$B:$B,DATE($D$2,$B$2,Q$4)),0))</f>
        <v>0</v>
      </c>
      <c r="R113" s="251">
        <f>IF(R$4&gt;DAY(EOMONTH(DATE($D$2,$B$2,1),0)),"",IFERROR(SUMIFS(DATA_GOC!$H:$H,DATA_GOC!$A:$A,"BOM",DATA_GOC!$D:$D,$B113,DATA_GOC!$E:$E,"Téc 2",DATA_GOC!$F:$F,"Xuất nội bộ từ téc",DATA_GOC!$B:$B,DATE($D$2,$B$2,R$4)),0))</f>
        <v>0</v>
      </c>
      <c r="S113" s="251">
        <f>IF(S$4&gt;DAY(EOMONTH(DATE($D$2,$B$2,1),0)),"",IFERROR(SUMIFS(DATA_GOC!$H:$H,DATA_GOC!$A:$A,"BOM",DATA_GOC!$D:$D,$B113,DATA_GOC!$E:$E,"Téc 2",DATA_GOC!$F:$F,"Xuất nội bộ từ téc",DATA_GOC!$B:$B,DATE($D$2,$B$2,S$4)),0))</f>
        <v>0</v>
      </c>
      <c r="T113" s="251">
        <f>IF(T$4&gt;DAY(EOMONTH(DATE($D$2,$B$2,1),0)),"",IFERROR(SUMIFS(DATA_GOC!$H:$H,DATA_GOC!$A:$A,"BOM",DATA_GOC!$D:$D,$B113,DATA_GOC!$E:$E,"Téc 2",DATA_GOC!$F:$F,"Xuất nội bộ từ téc",DATA_GOC!$B:$B,DATE($D$2,$B$2,T$4)),0))</f>
        <v>0</v>
      </c>
      <c r="U113" s="251">
        <f>IF(U$4&gt;DAY(EOMONTH(DATE($D$2,$B$2,1),0)),"",IFERROR(SUMIFS(DATA_GOC!$H:$H,DATA_GOC!$A:$A,"BOM",DATA_GOC!$D:$D,$B113,DATA_GOC!$E:$E,"Téc 2",DATA_GOC!$F:$F,"Xuất nội bộ từ téc",DATA_GOC!$B:$B,DATE($D$2,$B$2,U$4)),0))</f>
        <v>0</v>
      </c>
      <c r="V113" s="251">
        <f>IF(V$4&gt;DAY(EOMONTH(DATE($D$2,$B$2,1),0)),"",IFERROR(SUMIFS(DATA_GOC!$H:$H,DATA_GOC!$A:$A,"BOM",DATA_GOC!$D:$D,$B113,DATA_GOC!$E:$E,"Téc 2",DATA_GOC!$F:$F,"Xuất nội bộ từ téc",DATA_GOC!$B:$B,DATE($D$2,$B$2,V$4)),0))</f>
        <v>0</v>
      </c>
      <c r="W113" s="251">
        <f>IF(W$4&gt;DAY(EOMONTH(DATE($D$2,$B$2,1),0)),"",IFERROR(SUMIFS(DATA_GOC!$H:$H,DATA_GOC!$A:$A,"BOM",DATA_GOC!$D:$D,$B113,DATA_GOC!$E:$E,"Téc 2",DATA_GOC!$F:$F,"Xuất nội bộ từ téc",DATA_GOC!$B:$B,DATE($D$2,$B$2,W$4)),0))</f>
        <v>0</v>
      </c>
      <c r="X113" s="251">
        <f>IF(X$4&gt;DAY(EOMONTH(DATE($D$2,$B$2,1),0)),"",IFERROR(SUMIFS(DATA_GOC!$H:$H,DATA_GOC!$A:$A,"BOM",DATA_GOC!$D:$D,$B113,DATA_GOC!$E:$E,"Téc 2",DATA_GOC!$F:$F,"Xuất nội bộ từ téc",DATA_GOC!$B:$B,DATE($D$2,$B$2,X$4)),0))</f>
        <v>0</v>
      </c>
      <c r="Y113" s="251">
        <f>IF(Y$4&gt;DAY(EOMONTH(DATE($D$2,$B$2,1),0)),"",IFERROR(SUMIFS(DATA_GOC!$H:$H,DATA_GOC!$A:$A,"BOM",DATA_GOC!$D:$D,$B113,DATA_GOC!$E:$E,"Téc 2",DATA_GOC!$F:$F,"Xuất nội bộ từ téc",DATA_GOC!$B:$B,DATE($D$2,$B$2,Y$4)),0))</f>
        <v>0</v>
      </c>
      <c r="Z113" s="251">
        <f>IF(Z$4&gt;DAY(EOMONTH(DATE($D$2,$B$2,1),0)),"",IFERROR(SUMIFS(DATA_GOC!$H:$H,DATA_GOC!$A:$A,"BOM",DATA_GOC!$D:$D,$B113,DATA_GOC!$E:$E,"Téc 2",DATA_GOC!$F:$F,"Xuất nội bộ từ téc",DATA_GOC!$B:$B,DATE($D$2,$B$2,Z$4)),0))</f>
        <v>0</v>
      </c>
      <c r="AA113" s="251">
        <f>IF(AA$4&gt;DAY(EOMONTH(DATE($D$2,$B$2,1),0)),"",IFERROR(SUMIFS(DATA_GOC!$H:$H,DATA_GOC!$A:$A,"BOM",DATA_GOC!$D:$D,$B113,DATA_GOC!$E:$E,"Téc 2",DATA_GOC!$F:$F,"Xuất nội bộ từ téc",DATA_GOC!$B:$B,DATE($D$2,$B$2,AA$4)),0))</f>
        <v>0</v>
      </c>
      <c r="AB113" s="251">
        <f>IF(AB$4&gt;DAY(EOMONTH(DATE($D$2,$B$2,1),0)),"",IFERROR(SUMIFS(DATA_GOC!$H:$H,DATA_GOC!$A:$A,"BOM",DATA_GOC!$D:$D,$B113,DATA_GOC!$E:$E,"Téc 2",DATA_GOC!$F:$F,"Xuất nội bộ từ téc",DATA_GOC!$B:$B,DATE($D$2,$B$2,AB$4)),0))</f>
        <v>0</v>
      </c>
      <c r="AC113" s="251">
        <f>IF(AC$4&gt;DAY(EOMONTH(DATE($D$2,$B$2,1),0)),"",IFERROR(SUMIFS(DATA_GOC!$H:$H,DATA_GOC!$A:$A,"BOM",DATA_GOC!$D:$D,$B113,DATA_GOC!$E:$E,"Téc 2",DATA_GOC!$F:$F,"Xuất nội bộ từ téc",DATA_GOC!$B:$B,DATE($D$2,$B$2,AC$4)),0))</f>
        <v>0</v>
      </c>
      <c r="AD113" s="251">
        <f>IF(AD$4&gt;DAY(EOMONTH(DATE($D$2,$B$2,1),0)),"",IFERROR(SUMIFS(DATA_GOC!$H:$H,DATA_GOC!$A:$A,"BOM",DATA_GOC!$D:$D,$B113,DATA_GOC!$E:$E,"Téc 2",DATA_GOC!$F:$F,"Xuất nội bộ từ téc",DATA_GOC!$B:$B,DATE($D$2,$B$2,AD$4)),0))</f>
        <v>0</v>
      </c>
      <c r="AE113" s="251">
        <f>IF(AE$4&gt;DAY(EOMONTH(DATE($D$2,$B$2,1),0)),"",IFERROR(SUMIFS(DATA_GOC!$H:$H,DATA_GOC!$A:$A,"BOM",DATA_GOC!$D:$D,$B113,DATA_GOC!$E:$E,"Téc 2",DATA_GOC!$F:$F,"Xuất nội bộ từ téc",DATA_GOC!$B:$B,DATE($D$2,$B$2,AE$4)),0))</f>
        <v>0</v>
      </c>
      <c r="AF113" s="251">
        <f>IF(AF$4&gt;DAY(EOMONTH(DATE($D$2,$B$2,1),0)),"",IFERROR(SUMIFS(DATA_GOC!$H:$H,DATA_GOC!$A:$A,"BOM",DATA_GOC!$D:$D,$B113,DATA_GOC!$E:$E,"Téc 2",DATA_GOC!$F:$F,"Xuất nội bộ từ téc",DATA_GOC!$B:$B,DATE($D$2,$B$2,AF$4)),0))</f>
        <v>0</v>
      </c>
      <c r="AG113" s="251">
        <f>IF(AG$4&gt;DAY(EOMONTH(DATE($D$2,$B$2,1),0)),"",IFERROR(SUMIFS(DATA_GOC!$H:$H,DATA_GOC!$A:$A,"BOM",DATA_GOC!$D:$D,$B113,DATA_GOC!$E:$E,"Téc 2",DATA_GOC!$F:$F,"Xuất nội bộ từ téc",DATA_GOC!$B:$B,DATE($D$2,$B$2,AG$4)),0))</f>
        <v>0</v>
      </c>
      <c r="AH113" s="252">
        <f t="shared" si="4"/>
        <v>0</v>
      </c>
      <c r="AI113" s="241">
        <f>IFERROR(SUMIFS(DATA_GOC!$H:$H,DATA_GOC!$A:$A,"BOM",DATA_GOC!$D:$D,$B113,DATA_GOC!$E:$E,"Bơm ngoài/Hải Tân",DATA_GOC!$F:$F,"Bơm ngoài",DATA_GOC!$B:$B,"&gt;="&amp;DATE($D$2,$B$2,1),DATA_GOC!$B:$B,"&lt;="&amp;EOMONTH(DATE($D$2,$B$2,1),0)),0)</f>
        <v>0</v>
      </c>
      <c r="AJ113" s="242">
        <f>IF($B113="","",SUMIFS(TINH_TEC!$K$233:$K$9232,TINH_TEC!$H$233:$H$9232,$B113,TINH_TEC!$C$233:$C$9232,"Téc 2",TINH_TEC!$F$233:$F$9232,$B$2,TINH_TEC!$G$233:$G$9232,$D$2,TINH_TEC!$B$233:$B$9232,"Đã chốt"))</f>
        <v>0</v>
      </c>
      <c r="AK113" s="242">
        <f>IF($B113="","",SUMIFS(TINH_TEC!$J$233:$J$9232,TINH_TEC!$H$233:$H$9232,$B113,TINH_TEC!$C$233:$C$9232,"Téc 2",TINH_TEC!$F$233:$F$9232,$B$2,TINH_TEC!$G$233:$G$9232,$D$2,TINH_TEC!$B$233:$B$9232,"Đã chốt"))</f>
        <v>10.891</v>
      </c>
      <c r="AL113" s="242">
        <f t="shared" si="5"/>
        <v>10.891</v>
      </c>
    </row>
    <row r="114" ht="15.75" customHeight="1">
      <c r="A114" s="237">
        <f>IF($B114&lt;&gt;"",48,"")</f>
        <v>48</v>
      </c>
      <c r="B114" s="250" t="str">
        <f t="array" ref="B114">IFERROR(INDEX(DANH_MUC!$E:$E,51),"")</f>
        <v>LG53F</v>
      </c>
      <c r="C114" s="251">
        <f>IF(C$4&gt;DAY(EOMONTH(DATE($D$2,$B$2,1),0)),"",IFERROR(SUMIFS(DATA_GOC!$H:$H,DATA_GOC!$A:$A,"BOM",DATA_GOC!$D:$D,$B114,DATA_GOC!$E:$E,"Téc 2",DATA_GOC!$F:$F,"Xuất nội bộ từ téc",DATA_GOC!$B:$B,DATE($D$2,$B$2,C$4)),0))</f>
        <v>0</v>
      </c>
      <c r="D114" s="251">
        <f>IF(D$4&gt;DAY(EOMONTH(DATE($D$2,$B$2,1),0)),"",IFERROR(SUMIFS(DATA_GOC!$H:$H,DATA_GOC!$A:$A,"BOM",DATA_GOC!$D:$D,$B114,DATA_GOC!$E:$E,"Téc 2",DATA_GOC!$F:$F,"Xuất nội bộ từ téc",DATA_GOC!$B:$B,DATE($D$2,$B$2,D$4)),0))</f>
        <v>0</v>
      </c>
      <c r="E114" s="251">
        <f>IF(E$4&gt;DAY(EOMONTH(DATE($D$2,$B$2,1),0)),"",IFERROR(SUMIFS(DATA_GOC!$H:$H,DATA_GOC!$A:$A,"BOM",DATA_GOC!$D:$D,$B114,DATA_GOC!$E:$E,"Téc 2",DATA_GOC!$F:$F,"Xuất nội bộ từ téc",DATA_GOC!$B:$B,DATE($D$2,$B$2,E$4)),0))</f>
        <v>0</v>
      </c>
      <c r="F114" s="251">
        <f>IF(F$4&gt;DAY(EOMONTH(DATE($D$2,$B$2,1),0)),"",IFERROR(SUMIFS(DATA_GOC!$H:$H,DATA_GOC!$A:$A,"BOM",DATA_GOC!$D:$D,$B114,DATA_GOC!$E:$E,"Téc 2",DATA_GOC!$F:$F,"Xuất nội bộ từ téc",DATA_GOC!$B:$B,DATE($D$2,$B$2,F$4)),0))</f>
        <v>0</v>
      </c>
      <c r="G114" s="251">
        <f>IF(G$4&gt;DAY(EOMONTH(DATE($D$2,$B$2,1),0)),"",IFERROR(SUMIFS(DATA_GOC!$H:$H,DATA_GOC!$A:$A,"BOM",DATA_GOC!$D:$D,$B114,DATA_GOC!$E:$E,"Téc 2",DATA_GOC!$F:$F,"Xuất nội bộ từ téc",DATA_GOC!$B:$B,DATE($D$2,$B$2,G$4)),0))</f>
        <v>0</v>
      </c>
      <c r="H114" s="251">
        <f>IF(H$4&gt;DAY(EOMONTH(DATE($D$2,$B$2,1),0)),"",IFERROR(SUMIFS(DATA_GOC!$H:$H,DATA_GOC!$A:$A,"BOM",DATA_GOC!$D:$D,$B114,DATA_GOC!$E:$E,"Téc 2",DATA_GOC!$F:$F,"Xuất nội bộ từ téc",DATA_GOC!$B:$B,DATE($D$2,$B$2,H$4)),0))</f>
        <v>0</v>
      </c>
      <c r="I114" s="251">
        <f>IF(I$4&gt;DAY(EOMONTH(DATE($D$2,$B$2,1),0)),"",IFERROR(SUMIFS(DATA_GOC!$H:$H,DATA_GOC!$A:$A,"BOM",DATA_GOC!$D:$D,$B114,DATA_GOC!$E:$E,"Téc 2",DATA_GOC!$F:$F,"Xuất nội bộ từ téc",DATA_GOC!$B:$B,DATE($D$2,$B$2,I$4)),0))</f>
        <v>0</v>
      </c>
      <c r="J114" s="251">
        <f>IF(J$4&gt;DAY(EOMONTH(DATE($D$2,$B$2,1),0)),"",IFERROR(SUMIFS(DATA_GOC!$H:$H,DATA_GOC!$A:$A,"BOM",DATA_GOC!$D:$D,$B114,DATA_GOC!$E:$E,"Téc 2",DATA_GOC!$F:$F,"Xuất nội bộ từ téc",DATA_GOC!$B:$B,DATE($D$2,$B$2,J$4)),0))</f>
        <v>0</v>
      </c>
      <c r="K114" s="251">
        <f>IF(K$4&gt;DAY(EOMONTH(DATE($D$2,$B$2,1),0)),"",IFERROR(SUMIFS(DATA_GOC!$H:$H,DATA_GOC!$A:$A,"BOM",DATA_GOC!$D:$D,$B114,DATA_GOC!$E:$E,"Téc 2",DATA_GOC!$F:$F,"Xuất nội bộ từ téc",DATA_GOC!$B:$B,DATE($D$2,$B$2,K$4)),0))</f>
        <v>0</v>
      </c>
      <c r="L114" s="251">
        <f>IF(L$4&gt;DAY(EOMONTH(DATE($D$2,$B$2,1),0)),"",IFERROR(SUMIFS(DATA_GOC!$H:$H,DATA_GOC!$A:$A,"BOM",DATA_GOC!$D:$D,$B114,DATA_GOC!$E:$E,"Téc 2",DATA_GOC!$F:$F,"Xuất nội bộ từ téc",DATA_GOC!$B:$B,DATE($D$2,$B$2,L$4)),0))</f>
        <v>0</v>
      </c>
      <c r="M114" s="251">
        <f>IF(M$4&gt;DAY(EOMONTH(DATE($D$2,$B$2,1),0)),"",IFERROR(SUMIFS(DATA_GOC!$H:$H,DATA_GOC!$A:$A,"BOM",DATA_GOC!$D:$D,$B114,DATA_GOC!$E:$E,"Téc 2",DATA_GOC!$F:$F,"Xuất nội bộ từ téc",DATA_GOC!$B:$B,DATE($D$2,$B$2,M$4)),0))</f>
        <v>0</v>
      </c>
      <c r="N114" s="251">
        <f>IF(N$4&gt;DAY(EOMONTH(DATE($D$2,$B$2,1),0)),"",IFERROR(SUMIFS(DATA_GOC!$H:$H,DATA_GOC!$A:$A,"BOM",DATA_GOC!$D:$D,$B114,DATA_GOC!$E:$E,"Téc 2",DATA_GOC!$F:$F,"Xuất nội bộ từ téc",DATA_GOC!$B:$B,DATE($D$2,$B$2,N$4)),0))</f>
        <v>0</v>
      </c>
      <c r="O114" s="251">
        <f>IF(O$4&gt;DAY(EOMONTH(DATE($D$2,$B$2,1),0)),"",IFERROR(SUMIFS(DATA_GOC!$H:$H,DATA_GOC!$A:$A,"BOM",DATA_GOC!$D:$D,$B114,DATA_GOC!$E:$E,"Téc 2",DATA_GOC!$F:$F,"Xuất nội bộ từ téc",DATA_GOC!$B:$B,DATE($D$2,$B$2,O$4)),0))</f>
        <v>0</v>
      </c>
      <c r="P114" s="251">
        <f>IF(P$4&gt;DAY(EOMONTH(DATE($D$2,$B$2,1),0)),"",IFERROR(SUMIFS(DATA_GOC!$H:$H,DATA_GOC!$A:$A,"BOM",DATA_GOC!$D:$D,$B114,DATA_GOC!$E:$E,"Téc 2",DATA_GOC!$F:$F,"Xuất nội bộ từ téc",DATA_GOC!$B:$B,DATE($D$2,$B$2,P$4)),0))</f>
        <v>0</v>
      </c>
      <c r="Q114" s="251">
        <f>IF(Q$4&gt;DAY(EOMONTH(DATE($D$2,$B$2,1),0)),"",IFERROR(SUMIFS(DATA_GOC!$H:$H,DATA_GOC!$A:$A,"BOM",DATA_GOC!$D:$D,$B114,DATA_GOC!$E:$E,"Téc 2",DATA_GOC!$F:$F,"Xuất nội bộ từ téc",DATA_GOC!$B:$B,DATE($D$2,$B$2,Q$4)),0))</f>
        <v>0</v>
      </c>
      <c r="R114" s="251">
        <f>IF(R$4&gt;DAY(EOMONTH(DATE($D$2,$B$2,1),0)),"",IFERROR(SUMIFS(DATA_GOC!$H:$H,DATA_GOC!$A:$A,"BOM",DATA_GOC!$D:$D,$B114,DATA_GOC!$E:$E,"Téc 2",DATA_GOC!$F:$F,"Xuất nội bộ từ téc",DATA_GOC!$B:$B,DATE($D$2,$B$2,R$4)),0))</f>
        <v>0</v>
      </c>
      <c r="S114" s="251">
        <f>IF(S$4&gt;DAY(EOMONTH(DATE($D$2,$B$2,1),0)),"",IFERROR(SUMIFS(DATA_GOC!$H:$H,DATA_GOC!$A:$A,"BOM",DATA_GOC!$D:$D,$B114,DATA_GOC!$E:$E,"Téc 2",DATA_GOC!$F:$F,"Xuất nội bộ từ téc",DATA_GOC!$B:$B,DATE($D$2,$B$2,S$4)),0))</f>
        <v>0</v>
      </c>
      <c r="T114" s="251">
        <f>IF(T$4&gt;DAY(EOMONTH(DATE($D$2,$B$2,1),0)),"",IFERROR(SUMIFS(DATA_GOC!$H:$H,DATA_GOC!$A:$A,"BOM",DATA_GOC!$D:$D,$B114,DATA_GOC!$E:$E,"Téc 2",DATA_GOC!$F:$F,"Xuất nội bộ từ téc",DATA_GOC!$B:$B,DATE($D$2,$B$2,T$4)),0))</f>
        <v>0</v>
      </c>
      <c r="U114" s="251">
        <f>IF(U$4&gt;DAY(EOMONTH(DATE($D$2,$B$2,1),0)),"",IFERROR(SUMIFS(DATA_GOC!$H:$H,DATA_GOC!$A:$A,"BOM",DATA_GOC!$D:$D,$B114,DATA_GOC!$E:$E,"Téc 2",DATA_GOC!$F:$F,"Xuất nội bộ từ téc",DATA_GOC!$B:$B,DATE($D$2,$B$2,U$4)),0))</f>
        <v>0</v>
      </c>
      <c r="V114" s="251">
        <f>IF(V$4&gt;DAY(EOMONTH(DATE($D$2,$B$2,1),0)),"",IFERROR(SUMIFS(DATA_GOC!$H:$H,DATA_GOC!$A:$A,"BOM",DATA_GOC!$D:$D,$B114,DATA_GOC!$E:$E,"Téc 2",DATA_GOC!$F:$F,"Xuất nội bộ từ téc",DATA_GOC!$B:$B,DATE($D$2,$B$2,V$4)),0))</f>
        <v>0</v>
      </c>
      <c r="W114" s="251">
        <f>IF(W$4&gt;DAY(EOMONTH(DATE($D$2,$B$2,1),0)),"",IFERROR(SUMIFS(DATA_GOC!$H:$H,DATA_GOC!$A:$A,"BOM",DATA_GOC!$D:$D,$B114,DATA_GOC!$E:$E,"Téc 2",DATA_GOC!$F:$F,"Xuất nội bộ từ téc",DATA_GOC!$B:$B,DATE($D$2,$B$2,W$4)),0))</f>
        <v>0</v>
      </c>
      <c r="X114" s="251">
        <f>IF(X$4&gt;DAY(EOMONTH(DATE($D$2,$B$2,1),0)),"",IFERROR(SUMIFS(DATA_GOC!$H:$H,DATA_GOC!$A:$A,"BOM",DATA_GOC!$D:$D,$B114,DATA_GOC!$E:$E,"Téc 2",DATA_GOC!$F:$F,"Xuất nội bộ từ téc",DATA_GOC!$B:$B,DATE($D$2,$B$2,X$4)),0))</f>
        <v>0</v>
      </c>
      <c r="Y114" s="251">
        <f>IF(Y$4&gt;DAY(EOMONTH(DATE($D$2,$B$2,1),0)),"",IFERROR(SUMIFS(DATA_GOC!$H:$H,DATA_GOC!$A:$A,"BOM",DATA_GOC!$D:$D,$B114,DATA_GOC!$E:$E,"Téc 2",DATA_GOC!$F:$F,"Xuất nội bộ từ téc",DATA_GOC!$B:$B,DATE($D$2,$B$2,Y$4)),0))</f>
        <v>0</v>
      </c>
      <c r="Z114" s="251">
        <f>IF(Z$4&gt;DAY(EOMONTH(DATE($D$2,$B$2,1),0)),"",IFERROR(SUMIFS(DATA_GOC!$H:$H,DATA_GOC!$A:$A,"BOM",DATA_GOC!$D:$D,$B114,DATA_GOC!$E:$E,"Téc 2",DATA_GOC!$F:$F,"Xuất nội bộ từ téc",DATA_GOC!$B:$B,DATE($D$2,$B$2,Z$4)),0))</f>
        <v>0</v>
      </c>
      <c r="AA114" s="251">
        <f>IF(AA$4&gt;DAY(EOMONTH(DATE($D$2,$B$2,1),0)),"",IFERROR(SUMIFS(DATA_GOC!$H:$H,DATA_GOC!$A:$A,"BOM",DATA_GOC!$D:$D,$B114,DATA_GOC!$E:$E,"Téc 2",DATA_GOC!$F:$F,"Xuất nội bộ từ téc",DATA_GOC!$B:$B,DATE($D$2,$B$2,AA$4)),0))</f>
        <v>0</v>
      </c>
      <c r="AB114" s="251">
        <f>IF(AB$4&gt;DAY(EOMONTH(DATE($D$2,$B$2,1),0)),"",IFERROR(SUMIFS(DATA_GOC!$H:$H,DATA_GOC!$A:$A,"BOM",DATA_GOC!$D:$D,$B114,DATA_GOC!$E:$E,"Téc 2",DATA_GOC!$F:$F,"Xuất nội bộ từ téc",DATA_GOC!$B:$B,DATE($D$2,$B$2,AB$4)),0))</f>
        <v>0</v>
      </c>
      <c r="AC114" s="251">
        <f>IF(AC$4&gt;DAY(EOMONTH(DATE($D$2,$B$2,1),0)),"",IFERROR(SUMIFS(DATA_GOC!$H:$H,DATA_GOC!$A:$A,"BOM",DATA_GOC!$D:$D,$B114,DATA_GOC!$E:$E,"Téc 2",DATA_GOC!$F:$F,"Xuất nội bộ từ téc",DATA_GOC!$B:$B,DATE($D$2,$B$2,AC$4)),0))</f>
        <v>0</v>
      </c>
      <c r="AD114" s="251">
        <f>IF(AD$4&gt;DAY(EOMONTH(DATE($D$2,$B$2,1),0)),"",IFERROR(SUMIFS(DATA_GOC!$H:$H,DATA_GOC!$A:$A,"BOM",DATA_GOC!$D:$D,$B114,DATA_GOC!$E:$E,"Téc 2",DATA_GOC!$F:$F,"Xuất nội bộ từ téc",DATA_GOC!$B:$B,DATE($D$2,$B$2,AD$4)),0))</f>
        <v>0</v>
      </c>
      <c r="AE114" s="251">
        <f>IF(AE$4&gt;DAY(EOMONTH(DATE($D$2,$B$2,1),0)),"",IFERROR(SUMIFS(DATA_GOC!$H:$H,DATA_GOC!$A:$A,"BOM",DATA_GOC!$D:$D,$B114,DATA_GOC!$E:$E,"Téc 2",DATA_GOC!$F:$F,"Xuất nội bộ từ téc",DATA_GOC!$B:$B,DATE($D$2,$B$2,AE$4)),0))</f>
        <v>0</v>
      </c>
      <c r="AF114" s="251">
        <f>IF(AF$4&gt;DAY(EOMONTH(DATE($D$2,$B$2,1),0)),"",IFERROR(SUMIFS(DATA_GOC!$H:$H,DATA_GOC!$A:$A,"BOM",DATA_GOC!$D:$D,$B114,DATA_GOC!$E:$E,"Téc 2",DATA_GOC!$F:$F,"Xuất nội bộ từ téc",DATA_GOC!$B:$B,DATE($D$2,$B$2,AF$4)),0))</f>
        <v>0</v>
      </c>
      <c r="AG114" s="251">
        <f>IF(AG$4&gt;DAY(EOMONTH(DATE($D$2,$B$2,1),0)),"",IFERROR(SUMIFS(DATA_GOC!$H:$H,DATA_GOC!$A:$A,"BOM",DATA_GOC!$D:$D,$B114,DATA_GOC!$E:$E,"Téc 2",DATA_GOC!$F:$F,"Xuất nội bộ từ téc",DATA_GOC!$B:$B,DATE($D$2,$B$2,AG$4)),0))</f>
        <v>0</v>
      </c>
      <c r="AH114" s="252">
        <f t="shared" si="4"/>
        <v>0</v>
      </c>
      <c r="AI114" s="241">
        <f>IFERROR(SUMIFS(DATA_GOC!$H:$H,DATA_GOC!$A:$A,"BOM",DATA_GOC!$D:$D,$B114,DATA_GOC!$E:$E,"Bơm ngoài/Hải Tân",DATA_GOC!$F:$F,"Bơm ngoài",DATA_GOC!$B:$B,"&gt;="&amp;DATE($D$2,$B$2,1),DATA_GOC!$B:$B,"&lt;="&amp;EOMONTH(DATE($D$2,$B$2,1),0)),0)</f>
        <v>0</v>
      </c>
      <c r="AJ114" s="242">
        <f>IF($B114="","",SUMIFS(TINH_TEC!$K$233:$K$9232,TINH_TEC!$H$233:$H$9232,$B114,TINH_TEC!$C$233:$C$9232,"Téc 2",TINH_TEC!$F$233:$F$9232,$B$2,TINH_TEC!$G$233:$G$9232,$D$2,TINH_TEC!$B$233:$B$9232,"Đã chốt"))</f>
        <v>0</v>
      </c>
      <c r="AK114" s="242">
        <f>IF($B114="","",SUMIFS(TINH_TEC!$J$233:$J$9232,TINH_TEC!$H$233:$H$9232,$B114,TINH_TEC!$C$233:$C$9232,"Téc 2",TINH_TEC!$F$233:$F$9232,$B$2,TINH_TEC!$G$233:$G$9232,$D$2,TINH_TEC!$B$233:$B$9232,"Đã chốt"))</f>
        <v>0</v>
      </c>
      <c r="AL114" s="242">
        <f t="shared" si="5"/>
        <v>0</v>
      </c>
    </row>
    <row r="115" ht="15.75" customHeight="1">
      <c r="A115" s="237">
        <f>IF($B115&lt;&gt;"",49,"")</f>
        <v>49</v>
      </c>
      <c r="B115" s="250" t="str">
        <f t="array" ref="B115">IFERROR(INDEX(DANH_MUC!$E:$E,52),"")</f>
        <v>Máy phát điện</v>
      </c>
      <c r="C115" s="251">
        <f>IF(C$4&gt;DAY(EOMONTH(DATE($D$2,$B$2,1),0)),"",IFERROR(SUMIFS(DATA_GOC!$H:$H,DATA_GOC!$A:$A,"BOM",DATA_GOC!$D:$D,$B115,DATA_GOC!$E:$E,"Téc 2",DATA_GOC!$F:$F,"Xuất nội bộ từ téc",DATA_GOC!$B:$B,DATE($D$2,$B$2,C$4)),0))</f>
        <v>0</v>
      </c>
      <c r="D115" s="251">
        <f>IF(D$4&gt;DAY(EOMONTH(DATE($D$2,$B$2,1),0)),"",IFERROR(SUMIFS(DATA_GOC!$H:$H,DATA_GOC!$A:$A,"BOM",DATA_GOC!$D:$D,$B115,DATA_GOC!$E:$E,"Téc 2",DATA_GOC!$F:$F,"Xuất nội bộ từ téc",DATA_GOC!$B:$B,DATE($D$2,$B$2,D$4)),0))</f>
        <v>0</v>
      </c>
      <c r="E115" s="251">
        <f>IF(E$4&gt;DAY(EOMONTH(DATE($D$2,$B$2,1),0)),"",IFERROR(SUMIFS(DATA_GOC!$H:$H,DATA_GOC!$A:$A,"BOM",DATA_GOC!$D:$D,$B115,DATA_GOC!$E:$E,"Téc 2",DATA_GOC!$F:$F,"Xuất nội bộ từ téc",DATA_GOC!$B:$B,DATE($D$2,$B$2,E$4)),0))</f>
        <v>0</v>
      </c>
      <c r="F115" s="251">
        <f>IF(F$4&gt;DAY(EOMONTH(DATE($D$2,$B$2,1),0)),"",IFERROR(SUMIFS(DATA_GOC!$H:$H,DATA_GOC!$A:$A,"BOM",DATA_GOC!$D:$D,$B115,DATA_GOC!$E:$E,"Téc 2",DATA_GOC!$F:$F,"Xuất nội bộ từ téc",DATA_GOC!$B:$B,DATE($D$2,$B$2,F$4)),0))</f>
        <v>0</v>
      </c>
      <c r="G115" s="251">
        <f>IF(G$4&gt;DAY(EOMONTH(DATE($D$2,$B$2,1),0)),"",IFERROR(SUMIFS(DATA_GOC!$H:$H,DATA_GOC!$A:$A,"BOM",DATA_GOC!$D:$D,$B115,DATA_GOC!$E:$E,"Téc 2",DATA_GOC!$F:$F,"Xuất nội bộ từ téc",DATA_GOC!$B:$B,DATE($D$2,$B$2,G$4)),0))</f>
        <v>0</v>
      </c>
      <c r="H115" s="251">
        <f>IF(H$4&gt;DAY(EOMONTH(DATE($D$2,$B$2,1),0)),"",IFERROR(SUMIFS(DATA_GOC!$H:$H,DATA_GOC!$A:$A,"BOM",DATA_GOC!$D:$D,$B115,DATA_GOC!$E:$E,"Téc 2",DATA_GOC!$F:$F,"Xuất nội bộ từ téc",DATA_GOC!$B:$B,DATE($D$2,$B$2,H$4)),0))</f>
        <v>0</v>
      </c>
      <c r="I115" s="251">
        <f>IF(I$4&gt;DAY(EOMONTH(DATE($D$2,$B$2,1),0)),"",IFERROR(SUMIFS(DATA_GOC!$H:$H,DATA_GOC!$A:$A,"BOM",DATA_GOC!$D:$D,$B115,DATA_GOC!$E:$E,"Téc 2",DATA_GOC!$F:$F,"Xuất nội bộ từ téc",DATA_GOC!$B:$B,DATE($D$2,$B$2,I$4)),0))</f>
        <v>0</v>
      </c>
      <c r="J115" s="251">
        <f>IF(J$4&gt;DAY(EOMONTH(DATE($D$2,$B$2,1),0)),"",IFERROR(SUMIFS(DATA_GOC!$H:$H,DATA_GOC!$A:$A,"BOM",DATA_GOC!$D:$D,$B115,DATA_GOC!$E:$E,"Téc 2",DATA_GOC!$F:$F,"Xuất nội bộ từ téc",DATA_GOC!$B:$B,DATE($D$2,$B$2,J$4)),0))</f>
        <v>0</v>
      </c>
      <c r="K115" s="251">
        <f>IF(K$4&gt;DAY(EOMONTH(DATE($D$2,$B$2,1),0)),"",IFERROR(SUMIFS(DATA_GOC!$H:$H,DATA_GOC!$A:$A,"BOM",DATA_GOC!$D:$D,$B115,DATA_GOC!$E:$E,"Téc 2",DATA_GOC!$F:$F,"Xuất nội bộ từ téc",DATA_GOC!$B:$B,DATE($D$2,$B$2,K$4)),0))</f>
        <v>0</v>
      </c>
      <c r="L115" s="251">
        <f>IF(L$4&gt;DAY(EOMONTH(DATE($D$2,$B$2,1),0)),"",IFERROR(SUMIFS(DATA_GOC!$H:$H,DATA_GOC!$A:$A,"BOM",DATA_GOC!$D:$D,$B115,DATA_GOC!$E:$E,"Téc 2",DATA_GOC!$F:$F,"Xuất nội bộ từ téc",DATA_GOC!$B:$B,DATE($D$2,$B$2,L$4)),0))</f>
        <v>0</v>
      </c>
      <c r="M115" s="251">
        <f>IF(M$4&gt;DAY(EOMONTH(DATE($D$2,$B$2,1),0)),"",IFERROR(SUMIFS(DATA_GOC!$H:$H,DATA_GOC!$A:$A,"BOM",DATA_GOC!$D:$D,$B115,DATA_GOC!$E:$E,"Téc 2",DATA_GOC!$F:$F,"Xuất nội bộ từ téc",DATA_GOC!$B:$B,DATE($D$2,$B$2,M$4)),0))</f>
        <v>0</v>
      </c>
      <c r="N115" s="251">
        <f>IF(N$4&gt;DAY(EOMONTH(DATE($D$2,$B$2,1),0)),"",IFERROR(SUMIFS(DATA_GOC!$H:$H,DATA_GOC!$A:$A,"BOM",DATA_GOC!$D:$D,$B115,DATA_GOC!$E:$E,"Téc 2",DATA_GOC!$F:$F,"Xuất nội bộ từ téc",DATA_GOC!$B:$B,DATE($D$2,$B$2,N$4)),0))</f>
        <v>0</v>
      </c>
      <c r="O115" s="251">
        <f>IF(O$4&gt;DAY(EOMONTH(DATE($D$2,$B$2,1),0)),"",IFERROR(SUMIFS(DATA_GOC!$H:$H,DATA_GOC!$A:$A,"BOM",DATA_GOC!$D:$D,$B115,DATA_GOC!$E:$E,"Téc 2",DATA_GOC!$F:$F,"Xuất nội bộ từ téc",DATA_GOC!$B:$B,DATE($D$2,$B$2,O$4)),0))</f>
        <v>0</v>
      </c>
      <c r="P115" s="251">
        <f>IF(P$4&gt;DAY(EOMONTH(DATE($D$2,$B$2,1),0)),"",IFERROR(SUMIFS(DATA_GOC!$H:$H,DATA_GOC!$A:$A,"BOM",DATA_GOC!$D:$D,$B115,DATA_GOC!$E:$E,"Téc 2",DATA_GOC!$F:$F,"Xuất nội bộ từ téc",DATA_GOC!$B:$B,DATE($D$2,$B$2,P$4)),0))</f>
        <v>0</v>
      </c>
      <c r="Q115" s="251">
        <f>IF(Q$4&gt;DAY(EOMONTH(DATE($D$2,$B$2,1),0)),"",IFERROR(SUMIFS(DATA_GOC!$H:$H,DATA_GOC!$A:$A,"BOM",DATA_GOC!$D:$D,$B115,DATA_GOC!$E:$E,"Téc 2",DATA_GOC!$F:$F,"Xuất nội bộ từ téc",DATA_GOC!$B:$B,DATE($D$2,$B$2,Q$4)),0))</f>
        <v>0</v>
      </c>
      <c r="R115" s="251">
        <f>IF(R$4&gt;DAY(EOMONTH(DATE($D$2,$B$2,1),0)),"",IFERROR(SUMIFS(DATA_GOC!$H:$H,DATA_GOC!$A:$A,"BOM",DATA_GOC!$D:$D,$B115,DATA_GOC!$E:$E,"Téc 2",DATA_GOC!$F:$F,"Xuất nội bộ từ téc",DATA_GOC!$B:$B,DATE($D$2,$B$2,R$4)),0))</f>
        <v>0</v>
      </c>
      <c r="S115" s="251">
        <f>IF(S$4&gt;DAY(EOMONTH(DATE($D$2,$B$2,1),0)),"",IFERROR(SUMIFS(DATA_GOC!$H:$H,DATA_GOC!$A:$A,"BOM",DATA_GOC!$D:$D,$B115,DATA_GOC!$E:$E,"Téc 2",DATA_GOC!$F:$F,"Xuất nội bộ từ téc",DATA_GOC!$B:$B,DATE($D$2,$B$2,S$4)),0))</f>
        <v>0</v>
      </c>
      <c r="T115" s="251">
        <f>IF(T$4&gt;DAY(EOMONTH(DATE($D$2,$B$2,1),0)),"",IFERROR(SUMIFS(DATA_GOC!$H:$H,DATA_GOC!$A:$A,"BOM",DATA_GOC!$D:$D,$B115,DATA_GOC!$E:$E,"Téc 2",DATA_GOC!$F:$F,"Xuất nội bộ từ téc",DATA_GOC!$B:$B,DATE($D$2,$B$2,T$4)),0))</f>
        <v>0</v>
      </c>
      <c r="U115" s="251">
        <f>IF(U$4&gt;DAY(EOMONTH(DATE($D$2,$B$2,1),0)),"",IFERROR(SUMIFS(DATA_GOC!$H:$H,DATA_GOC!$A:$A,"BOM",DATA_GOC!$D:$D,$B115,DATA_GOC!$E:$E,"Téc 2",DATA_GOC!$F:$F,"Xuất nội bộ từ téc",DATA_GOC!$B:$B,DATE($D$2,$B$2,U$4)),0))</f>
        <v>0</v>
      </c>
      <c r="V115" s="251">
        <f>IF(V$4&gt;DAY(EOMONTH(DATE($D$2,$B$2,1),0)),"",IFERROR(SUMIFS(DATA_GOC!$H:$H,DATA_GOC!$A:$A,"BOM",DATA_GOC!$D:$D,$B115,DATA_GOC!$E:$E,"Téc 2",DATA_GOC!$F:$F,"Xuất nội bộ từ téc",DATA_GOC!$B:$B,DATE($D$2,$B$2,V$4)),0))</f>
        <v>0</v>
      </c>
      <c r="W115" s="251">
        <f>IF(W$4&gt;DAY(EOMONTH(DATE($D$2,$B$2,1),0)),"",IFERROR(SUMIFS(DATA_GOC!$H:$H,DATA_GOC!$A:$A,"BOM",DATA_GOC!$D:$D,$B115,DATA_GOC!$E:$E,"Téc 2",DATA_GOC!$F:$F,"Xuất nội bộ từ téc",DATA_GOC!$B:$B,DATE($D$2,$B$2,W$4)),0))</f>
        <v>0</v>
      </c>
      <c r="X115" s="251">
        <f>IF(X$4&gt;DAY(EOMONTH(DATE($D$2,$B$2,1),0)),"",IFERROR(SUMIFS(DATA_GOC!$H:$H,DATA_GOC!$A:$A,"BOM",DATA_GOC!$D:$D,$B115,DATA_GOC!$E:$E,"Téc 2",DATA_GOC!$F:$F,"Xuất nội bộ từ téc",DATA_GOC!$B:$B,DATE($D$2,$B$2,X$4)),0))</f>
        <v>0</v>
      </c>
      <c r="Y115" s="251">
        <f>IF(Y$4&gt;DAY(EOMONTH(DATE($D$2,$B$2,1),0)),"",IFERROR(SUMIFS(DATA_GOC!$H:$H,DATA_GOC!$A:$A,"BOM",DATA_GOC!$D:$D,$B115,DATA_GOC!$E:$E,"Téc 2",DATA_GOC!$F:$F,"Xuất nội bộ từ téc",DATA_GOC!$B:$B,DATE($D$2,$B$2,Y$4)),0))</f>
        <v>0</v>
      </c>
      <c r="Z115" s="251">
        <f>IF(Z$4&gt;DAY(EOMONTH(DATE($D$2,$B$2,1),0)),"",IFERROR(SUMIFS(DATA_GOC!$H:$H,DATA_GOC!$A:$A,"BOM",DATA_GOC!$D:$D,$B115,DATA_GOC!$E:$E,"Téc 2",DATA_GOC!$F:$F,"Xuất nội bộ từ téc",DATA_GOC!$B:$B,DATE($D$2,$B$2,Z$4)),0))</f>
        <v>0</v>
      </c>
      <c r="AA115" s="251">
        <f>IF(AA$4&gt;DAY(EOMONTH(DATE($D$2,$B$2,1),0)),"",IFERROR(SUMIFS(DATA_GOC!$H:$H,DATA_GOC!$A:$A,"BOM",DATA_GOC!$D:$D,$B115,DATA_GOC!$E:$E,"Téc 2",DATA_GOC!$F:$F,"Xuất nội bộ từ téc",DATA_GOC!$B:$B,DATE($D$2,$B$2,AA$4)),0))</f>
        <v>0</v>
      </c>
      <c r="AB115" s="251">
        <f>IF(AB$4&gt;DAY(EOMONTH(DATE($D$2,$B$2,1),0)),"",IFERROR(SUMIFS(DATA_GOC!$H:$H,DATA_GOC!$A:$A,"BOM",DATA_GOC!$D:$D,$B115,DATA_GOC!$E:$E,"Téc 2",DATA_GOC!$F:$F,"Xuất nội bộ từ téc",DATA_GOC!$B:$B,DATE($D$2,$B$2,AB$4)),0))</f>
        <v>0</v>
      </c>
      <c r="AC115" s="251">
        <f>IF(AC$4&gt;DAY(EOMONTH(DATE($D$2,$B$2,1),0)),"",IFERROR(SUMIFS(DATA_GOC!$H:$H,DATA_GOC!$A:$A,"BOM",DATA_GOC!$D:$D,$B115,DATA_GOC!$E:$E,"Téc 2",DATA_GOC!$F:$F,"Xuất nội bộ từ téc",DATA_GOC!$B:$B,DATE($D$2,$B$2,AC$4)),0))</f>
        <v>0</v>
      </c>
      <c r="AD115" s="251">
        <f>IF(AD$4&gt;DAY(EOMONTH(DATE($D$2,$B$2,1),0)),"",IFERROR(SUMIFS(DATA_GOC!$H:$H,DATA_GOC!$A:$A,"BOM",DATA_GOC!$D:$D,$B115,DATA_GOC!$E:$E,"Téc 2",DATA_GOC!$F:$F,"Xuất nội bộ từ téc",DATA_GOC!$B:$B,DATE($D$2,$B$2,AD$4)),0))</f>
        <v>0</v>
      </c>
      <c r="AE115" s="251">
        <f>IF(AE$4&gt;DAY(EOMONTH(DATE($D$2,$B$2,1),0)),"",IFERROR(SUMIFS(DATA_GOC!$H:$H,DATA_GOC!$A:$A,"BOM",DATA_GOC!$D:$D,$B115,DATA_GOC!$E:$E,"Téc 2",DATA_GOC!$F:$F,"Xuất nội bộ từ téc",DATA_GOC!$B:$B,DATE($D$2,$B$2,AE$4)),0))</f>
        <v>0</v>
      </c>
      <c r="AF115" s="251">
        <f>IF(AF$4&gt;DAY(EOMONTH(DATE($D$2,$B$2,1),0)),"",IFERROR(SUMIFS(DATA_GOC!$H:$H,DATA_GOC!$A:$A,"BOM",DATA_GOC!$D:$D,$B115,DATA_GOC!$E:$E,"Téc 2",DATA_GOC!$F:$F,"Xuất nội bộ từ téc",DATA_GOC!$B:$B,DATE($D$2,$B$2,AF$4)),0))</f>
        <v>0</v>
      </c>
      <c r="AG115" s="251">
        <f>IF(AG$4&gt;DAY(EOMONTH(DATE($D$2,$B$2,1),0)),"",IFERROR(SUMIFS(DATA_GOC!$H:$H,DATA_GOC!$A:$A,"BOM",DATA_GOC!$D:$D,$B115,DATA_GOC!$E:$E,"Téc 2",DATA_GOC!$F:$F,"Xuất nội bộ từ téc",DATA_GOC!$B:$B,DATE($D$2,$B$2,AG$4)),0))</f>
        <v>0</v>
      </c>
      <c r="AH115" s="252">
        <f t="shared" si="4"/>
        <v>0</v>
      </c>
      <c r="AI115" s="241">
        <f>IFERROR(SUMIFS(DATA_GOC!$H:$H,DATA_GOC!$A:$A,"BOM",DATA_GOC!$D:$D,$B115,DATA_GOC!$E:$E,"Bơm ngoài/Hải Tân",DATA_GOC!$F:$F,"Bơm ngoài",DATA_GOC!$B:$B,"&gt;="&amp;DATE($D$2,$B$2,1),DATA_GOC!$B:$B,"&lt;="&amp;EOMONTH(DATE($D$2,$B$2,1),0)),0)</f>
        <v>0</v>
      </c>
      <c r="AJ115" s="242">
        <f>IF($B115="","",SUMIFS(TINH_TEC!$K$233:$K$9232,TINH_TEC!$H$233:$H$9232,$B115,TINH_TEC!$C$233:$C$9232,"Téc 2",TINH_TEC!$F$233:$F$9232,$B$2,TINH_TEC!$G$233:$G$9232,$D$2,TINH_TEC!$B$233:$B$9232,"Đã chốt"))</f>
        <v>0</v>
      </c>
      <c r="AK115" s="242">
        <f>IF($B115="","",SUMIFS(TINH_TEC!$J$233:$J$9232,TINH_TEC!$H$233:$H$9232,$B115,TINH_TEC!$C$233:$C$9232,"Téc 2",TINH_TEC!$F$233:$F$9232,$B$2,TINH_TEC!$G$233:$G$9232,$D$2,TINH_TEC!$B$233:$B$9232,"Đã chốt"))</f>
        <v>0</v>
      </c>
      <c r="AL115" s="242">
        <f t="shared" si="5"/>
        <v>0</v>
      </c>
    </row>
    <row r="116" ht="15.75" customHeight="1">
      <c r="A116" s="237">
        <f>IF($B116&lt;&gt;"",50,"")</f>
        <v>50</v>
      </c>
      <c r="B116" s="250" t="str">
        <f t="array" ref="B116">IFERROR(INDEX(DANH_MUC!$E:$E,53),"")</f>
        <v>Máy rải thảm</v>
      </c>
      <c r="C116" s="251">
        <f>IF(C$4&gt;DAY(EOMONTH(DATE($D$2,$B$2,1),0)),"",IFERROR(SUMIFS(DATA_GOC!$H:$H,DATA_GOC!$A:$A,"BOM",DATA_GOC!$D:$D,$B116,DATA_GOC!$E:$E,"Téc 2",DATA_GOC!$F:$F,"Xuất nội bộ từ téc",DATA_GOC!$B:$B,DATE($D$2,$B$2,C$4)),0))</f>
        <v>0</v>
      </c>
      <c r="D116" s="251">
        <f>IF(D$4&gt;DAY(EOMONTH(DATE($D$2,$B$2,1),0)),"",IFERROR(SUMIFS(DATA_GOC!$H:$H,DATA_GOC!$A:$A,"BOM",DATA_GOC!$D:$D,$B116,DATA_GOC!$E:$E,"Téc 2",DATA_GOC!$F:$F,"Xuất nội bộ từ téc",DATA_GOC!$B:$B,DATE($D$2,$B$2,D$4)),0))</f>
        <v>0</v>
      </c>
      <c r="E116" s="251">
        <f>IF(E$4&gt;DAY(EOMONTH(DATE($D$2,$B$2,1),0)),"",IFERROR(SUMIFS(DATA_GOC!$H:$H,DATA_GOC!$A:$A,"BOM",DATA_GOC!$D:$D,$B116,DATA_GOC!$E:$E,"Téc 2",DATA_GOC!$F:$F,"Xuất nội bộ từ téc",DATA_GOC!$B:$B,DATE($D$2,$B$2,E$4)),0))</f>
        <v>0</v>
      </c>
      <c r="F116" s="251">
        <f>IF(F$4&gt;DAY(EOMONTH(DATE($D$2,$B$2,1),0)),"",IFERROR(SUMIFS(DATA_GOC!$H:$H,DATA_GOC!$A:$A,"BOM",DATA_GOC!$D:$D,$B116,DATA_GOC!$E:$E,"Téc 2",DATA_GOC!$F:$F,"Xuất nội bộ từ téc",DATA_GOC!$B:$B,DATE($D$2,$B$2,F$4)),0))</f>
        <v>0</v>
      </c>
      <c r="G116" s="251">
        <f>IF(G$4&gt;DAY(EOMONTH(DATE($D$2,$B$2,1),0)),"",IFERROR(SUMIFS(DATA_GOC!$H:$H,DATA_GOC!$A:$A,"BOM",DATA_GOC!$D:$D,$B116,DATA_GOC!$E:$E,"Téc 2",DATA_GOC!$F:$F,"Xuất nội bộ từ téc",DATA_GOC!$B:$B,DATE($D$2,$B$2,G$4)),0))</f>
        <v>0</v>
      </c>
      <c r="H116" s="251">
        <f>IF(H$4&gt;DAY(EOMONTH(DATE($D$2,$B$2,1),0)),"",IFERROR(SUMIFS(DATA_GOC!$H:$H,DATA_GOC!$A:$A,"BOM",DATA_GOC!$D:$D,$B116,DATA_GOC!$E:$E,"Téc 2",DATA_GOC!$F:$F,"Xuất nội bộ từ téc",DATA_GOC!$B:$B,DATE($D$2,$B$2,H$4)),0))</f>
        <v>0</v>
      </c>
      <c r="I116" s="251">
        <f>IF(I$4&gt;DAY(EOMONTH(DATE($D$2,$B$2,1),0)),"",IFERROR(SUMIFS(DATA_GOC!$H:$H,DATA_GOC!$A:$A,"BOM",DATA_GOC!$D:$D,$B116,DATA_GOC!$E:$E,"Téc 2",DATA_GOC!$F:$F,"Xuất nội bộ từ téc",DATA_GOC!$B:$B,DATE($D$2,$B$2,I$4)),0))</f>
        <v>0</v>
      </c>
      <c r="J116" s="251">
        <f>IF(J$4&gt;DAY(EOMONTH(DATE($D$2,$B$2,1),0)),"",IFERROR(SUMIFS(DATA_GOC!$H:$H,DATA_GOC!$A:$A,"BOM",DATA_GOC!$D:$D,$B116,DATA_GOC!$E:$E,"Téc 2",DATA_GOC!$F:$F,"Xuất nội bộ từ téc",DATA_GOC!$B:$B,DATE($D$2,$B$2,J$4)),0))</f>
        <v>0</v>
      </c>
      <c r="K116" s="251">
        <f>IF(K$4&gt;DAY(EOMONTH(DATE($D$2,$B$2,1),0)),"",IFERROR(SUMIFS(DATA_GOC!$H:$H,DATA_GOC!$A:$A,"BOM",DATA_GOC!$D:$D,$B116,DATA_GOC!$E:$E,"Téc 2",DATA_GOC!$F:$F,"Xuất nội bộ từ téc",DATA_GOC!$B:$B,DATE($D$2,$B$2,K$4)),0))</f>
        <v>0</v>
      </c>
      <c r="L116" s="251">
        <f>IF(L$4&gt;DAY(EOMONTH(DATE($D$2,$B$2,1),0)),"",IFERROR(SUMIFS(DATA_GOC!$H:$H,DATA_GOC!$A:$A,"BOM",DATA_GOC!$D:$D,$B116,DATA_GOC!$E:$E,"Téc 2",DATA_GOC!$F:$F,"Xuất nội bộ từ téc",DATA_GOC!$B:$B,DATE($D$2,$B$2,L$4)),0))</f>
        <v>0</v>
      </c>
      <c r="M116" s="251">
        <f>IF(M$4&gt;DAY(EOMONTH(DATE($D$2,$B$2,1),0)),"",IFERROR(SUMIFS(DATA_GOC!$H:$H,DATA_GOC!$A:$A,"BOM",DATA_GOC!$D:$D,$B116,DATA_GOC!$E:$E,"Téc 2",DATA_GOC!$F:$F,"Xuất nội bộ từ téc",DATA_GOC!$B:$B,DATE($D$2,$B$2,M$4)),0))</f>
        <v>0</v>
      </c>
      <c r="N116" s="251">
        <f>IF(N$4&gt;DAY(EOMONTH(DATE($D$2,$B$2,1),0)),"",IFERROR(SUMIFS(DATA_GOC!$H:$H,DATA_GOC!$A:$A,"BOM",DATA_GOC!$D:$D,$B116,DATA_GOC!$E:$E,"Téc 2",DATA_GOC!$F:$F,"Xuất nội bộ từ téc",DATA_GOC!$B:$B,DATE($D$2,$B$2,N$4)),0))</f>
        <v>0</v>
      </c>
      <c r="O116" s="251">
        <f>IF(O$4&gt;DAY(EOMONTH(DATE($D$2,$B$2,1),0)),"",IFERROR(SUMIFS(DATA_GOC!$H:$H,DATA_GOC!$A:$A,"BOM",DATA_GOC!$D:$D,$B116,DATA_GOC!$E:$E,"Téc 2",DATA_GOC!$F:$F,"Xuất nội bộ từ téc",DATA_GOC!$B:$B,DATE($D$2,$B$2,O$4)),0))</f>
        <v>0</v>
      </c>
      <c r="P116" s="251">
        <f>IF(P$4&gt;DAY(EOMONTH(DATE($D$2,$B$2,1),0)),"",IFERROR(SUMIFS(DATA_GOC!$H:$H,DATA_GOC!$A:$A,"BOM",DATA_GOC!$D:$D,$B116,DATA_GOC!$E:$E,"Téc 2",DATA_GOC!$F:$F,"Xuất nội bộ từ téc",DATA_GOC!$B:$B,DATE($D$2,$B$2,P$4)),0))</f>
        <v>0</v>
      </c>
      <c r="Q116" s="251">
        <f>IF(Q$4&gt;DAY(EOMONTH(DATE($D$2,$B$2,1),0)),"",IFERROR(SUMIFS(DATA_GOC!$H:$H,DATA_GOC!$A:$A,"BOM",DATA_GOC!$D:$D,$B116,DATA_GOC!$E:$E,"Téc 2",DATA_GOC!$F:$F,"Xuất nội bộ từ téc",DATA_GOC!$B:$B,DATE($D$2,$B$2,Q$4)),0))</f>
        <v>0</v>
      </c>
      <c r="R116" s="251">
        <f>IF(R$4&gt;DAY(EOMONTH(DATE($D$2,$B$2,1),0)),"",IFERROR(SUMIFS(DATA_GOC!$H:$H,DATA_GOC!$A:$A,"BOM",DATA_GOC!$D:$D,$B116,DATA_GOC!$E:$E,"Téc 2",DATA_GOC!$F:$F,"Xuất nội bộ từ téc",DATA_GOC!$B:$B,DATE($D$2,$B$2,R$4)),0))</f>
        <v>0</v>
      </c>
      <c r="S116" s="251">
        <f>IF(S$4&gt;DAY(EOMONTH(DATE($D$2,$B$2,1),0)),"",IFERROR(SUMIFS(DATA_GOC!$H:$H,DATA_GOC!$A:$A,"BOM",DATA_GOC!$D:$D,$B116,DATA_GOC!$E:$E,"Téc 2",DATA_GOC!$F:$F,"Xuất nội bộ từ téc",DATA_GOC!$B:$B,DATE($D$2,$B$2,S$4)),0))</f>
        <v>0</v>
      </c>
      <c r="T116" s="251">
        <f>IF(T$4&gt;DAY(EOMONTH(DATE($D$2,$B$2,1),0)),"",IFERROR(SUMIFS(DATA_GOC!$H:$H,DATA_GOC!$A:$A,"BOM",DATA_GOC!$D:$D,$B116,DATA_GOC!$E:$E,"Téc 2",DATA_GOC!$F:$F,"Xuất nội bộ từ téc",DATA_GOC!$B:$B,DATE($D$2,$B$2,T$4)),0))</f>
        <v>0</v>
      </c>
      <c r="U116" s="251">
        <f>IF(U$4&gt;DAY(EOMONTH(DATE($D$2,$B$2,1),0)),"",IFERROR(SUMIFS(DATA_GOC!$H:$H,DATA_GOC!$A:$A,"BOM",DATA_GOC!$D:$D,$B116,DATA_GOC!$E:$E,"Téc 2",DATA_GOC!$F:$F,"Xuất nội bộ từ téc",DATA_GOC!$B:$B,DATE($D$2,$B$2,U$4)),0))</f>
        <v>0</v>
      </c>
      <c r="V116" s="251">
        <f>IF(V$4&gt;DAY(EOMONTH(DATE($D$2,$B$2,1),0)),"",IFERROR(SUMIFS(DATA_GOC!$H:$H,DATA_GOC!$A:$A,"BOM",DATA_GOC!$D:$D,$B116,DATA_GOC!$E:$E,"Téc 2",DATA_GOC!$F:$F,"Xuất nội bộ từ téc",DATA_GOC!$B:$B,DATE($D$2,$B$2,V$4)),0))</f>
        <v>0</v>
      </c>
      <c r="W116" s="251">
        <f>IF(W$4&gt;DAY(EOMONTH(DATE($D$2,$B$2,1),0)),"",IFERROR(SUMIFS(DATA_GOC!$H:$H,DATA_GOC!$A:$A,"BOM",DATA_GOC!$D:$D,$B116,DATA_GOC!$E:$E,"Téc 2",DATA_GOC!$F:$F,"Xuất nội bộ từ téc",DATA_GOC!$B:$B,DATE($D$2,$B$2,W$4)),0))</f>
        <v>0</v>
      </c>
      <c r="X116" s="251">
        <f>IF(X$4&gt;DAY(EOMONTH(DATE($D$2,$B$2,1),0)),"",IFERROR(SUMIFS(DATA_GOC!$H:$H,DATA_GOC!$A:$A,"BOM",DATA_GOC!$D:$D,$B116,DATA_GOC!$E:$E,"Téc 2",DATA_GOC!$F:$F,"Xuất nội bộ từ téc",DATA_GOC!$B:$B,DATE($D$2,$B$2,X$4)),0))</f>
        <v>0</v>
      </c>
      <c r="Y116" s="251">
        <f>IF(Y$4&gt;DAY(EOMONTH(DATE($D$2,$B$2,1),0)),"",IFERROR(SUMIFS(DATA_GOC!$H:$H,DATA_GOC!$A:$A,"BOM",DATA_GOC!$D:$D,$B116,DATA_GOC!$E:$E,"Téc 2",DATA_GOC!$F:$F,"Xuất nội bộ từ téc",DATA_GOC!$B:$B,DATE($D$2,$B$2,Y$4)),0))</f>
        <v>0</v>
      </c>
      <c r="Z116" s="251">
        <f>IF(Z$4&gt;DAY(EOMONTH(DATE($D$2,$B$2,1),0)),"",IFERROR(SUMIFS(DATA_GOC!$H:$H,DATA_GOC!$A:$A,"BOM",DATA_GOC!$D:$D,$B116,DATA_GOC!$E:$E,"Téc 2",DATA_GOC!$F:$F,"Xuất nội bộ từ téc",DATA_GOC!$B:$B,DATE($D$2,$B$2,Z$4)),0))</f>
        <v>0</v>
      </c>
      <c r="AA116" s="251">
        <f>IF(AA$4&gt;DAY(EOMONTH(DATE($D$2,$B$2,1),0)),"",IFERROR(SUMIFS(DATA_GOC!$H:$H,DATA_GOC!$A:$A,"BOM",DATA_GOC!$D:$D,$B116,DATA_GOC!$E:$E,"Téc 2",DATA_GOC!$F:$F,"Xuất nội bộ từ téc",DATA_GOC!$B:$B,DATE($D$2,$B$2,AA$4)),0))</f>
        <v>0</v>
      </c>
      <c r="AB116" s="251">
        <f>IF(AB$4&gt;DAY(EOMONTH(DATE($D$2,$B$2,1),0)),"",IFERROR(SUMIFS(DATA_GOC!$H:$H,DATA_GOC!$A:$A,"BOM",DATA_GOC!$D:$D,$B116,DATA_GOC!$E:$E,"Téc 2",DATA_GOC!$F:$F,"Xuất nội bộ từ téc",DATA_GOC!$B:$B,DATE($D$2,$B$2,AB$4)),0))</f>
        <v>0</v>
      </c>
      <c r="AC116" s="251">
        <f>IF(AC$4&gt;DAY(EOMONTH(DATE($D$2,$B$2,1),0)),"",IFERROR(SUMIFS(DATA_GOC!$H:$H,DATA_GOC!$A:$A,"BOM",DATA_GOC!$D:$D,$B116,DATA_GOC!$E:$E,"Téc 2",DATA_GOC!$F:$F,"Xuất nội bộ từ téc",DATA_GOC!$B:$B,DATE($D$2,$B$2,AC$4)),0))</f>
        <v>0</v>
      </c>
      <c r="AD116" s="251">
        <f>IF(AD$4&gt;DAY(EOMONTH(DATE($D$2,$B$2,1),0)),"",IFERROR(SUMIFS(DATA_GOC!$H:$H,DATA_GOC!$A:$A,"BOM",DATA_GOC!$D:$D,$B116,DATA_GOC!$E:$E,"Téc 2",DATA_GOC!$F:$F,"Xuất nội bộ từ téc",DATA_GOC!$B:$B,DATE($D$2,$B$2,AD$4)),0))</f>
        <v>0</v>
      </c>
      <c r="AE116" s="251">
        <f>IF(AE$4&gt;DAY(EOMONTH(DATE($D$2,$B$2,1),0)),"",IFERROR(SUMIFS(DATA_GOC!$H:$H,DATA_GOC!$A:$A,"BOM",DATA_GOC!$D:$D,$B116,DATA_GOC!$E:$E,"Téc 2",DATA_GOC!$F:$F,"Xuất nội bộ từ téc",DATA_GOC!$B:$B,DATE($D$2,$B$2,AE$4)),0))</f>
        <v>0</v>
      </c>
      <c r="AF116" s="251">
        <f>IF(AF$4&gt;DAY(EOMONTH(DATE($D$2,$B$2,1),0)),"",IFERROR(SUMIFS(DATA_GOC!$H:$H,DATA_GOC!$A:$A,"BOM",DATA_GOC!$D:$D,$B116,DATA_GOC!$E:$E,"Téc 2",DATA_GOC!$F:$F,"Xuất nội bộ từ téc",DATA_GOC!$B:$B,DATE($D$2,$B$2,AF$4)),0))</f>
        <v>0</v>
      </c>
      <c r="AG116" s="251">
        <f>IF(AG$4&gt;DAY(EOMONTH(DATE($D$2,$B$2,1),0)),"",IFERROR(SUMIFS(DATA_GOC!$H:$H,DATA_GOC!$A:$A,"BOM",DATA_GOC!$D:$D,$B116,DATA_GOC!$E:$E,"Téc 2",DATA_GOC!$F:$F,"Xuất nội bộ từ téc",DATA_GOC!$B:$B,DATE($D$2,$B$2,AG$4)),0))</f>
        <v>0</v>
      </c>
      <c r="AH116" s="252">
        <f t="shared" si="4"/>
        <v>0</v>
      </c>
      <c r="AI116" s="241">
        <f>IFERROR(SUMIFS(DATA_GOC!$H:$H,DATA_GOC!$A:$A,"BOM",DATA_GOC!$D:$D,$B116,DATA_GOC!$E:$E,"Bơm ngoài/Hải Tân",DATA_GOC!$F:$F,"Bơm ngoài",DATA_GOC!$B:$B,"&gt;="&amp;DATE($D$2,$B$2,1),DATA_GOC!$B:$B,"&lt;="&amp;EOMONTH(DATE($D$2,$B$2,1),0)),0)</f>
        <v>0</v>
      </c>
      <c r="AJ116" s="242">
        <f>IF($B116="","",SUMIFS(TINH_TEC!$K$233:$K$9232,TINH_TEC!$H$233:$H$9232,$B116,TINH_TEC!$C$233:$C$9232,"Téc 2",TINH_TEC!$F$233:$F$9232,$B$2,TINH_TEC!$G$233:$G$9232,$D$2,TINH_TEC!$B$233:$B$9232,"Đã chốt"))</f>
        <v>0</v>
      </c>
      <c r="AK116" s="242">
        <f>IF($B116="","",SUMIFS(TINH_TEC!$J$233:$J$9232,TINH_TEC!$H$233:$H$9232,$B116,TINH_TEC!$C$233:$C$9232,"Téc 2",TINH_TEC!$F$233:$F$9232,$B$2,TINH_TEC!$G$233:$G$9232,$D$2,TINH_TEC!$B$233:$B$9232,"Đã chốt"))</f>
        <v>0</v>
      </c>
      <c r="AL116" s="242">
        <f t="shared" si="5"/>
        <v>0</v>
      </c>
    </row>
    <row r="117" ht="15.75" customHeight="1">
      <c r="A117" s="237">
        <f>IF($B117&lt;&gt;"",51,"")</f>
        <v>51</v>
      </c>
      <c r="B117" s="250" t="str">
        <f t="array" ref="B117">IFERROR(INDEX(DANH_MUC!$E:$E,54),"")</f>
        <v>Xúc Đào</v>
      </c>
      <c r="C117" s="251">
        <f>IF(C$4&gt;DAY(EOMONTH(DATE($D$2,$B$2,1),0)),"",IFERROR(SUMIFS(DATA_GOC!$H:$H,DATA_GOC!$A:$A,"BOM",DATA_GOC!$D:$D,$B117,DATA_GOC!$E:$E,"Téc 2",DATA_GOC!$F:$F,"Xuất nội bộ từ téc",DATA_GOC!$B:$B,DATE($D$2,$B$2,C$4)),0))</f>
        <v>0</v>
      </c>
      <c r="D117" s="251">
        <f>IF(D$4&gt;DAY(EOMONTH(DATE($D$2,$B$2,1),0)),"",IFERROR(SUMIFS(DATA_GOC!$H:$H,DATA_GOC!$A:$A,"BOM",DATA_GOC!$D:$D,$B117,DATA_GOC!$E:$E,"Téc 2",DATA_GOC!$F:$F,"Xuất nội bộ từ téc",DATA_GOC!$B:$B,DATE($D$2,$B$2,D$4)),0))</f>
        <v>0</v>
      </c>
      <c r="E117" s="251">
        <f>IF(E$4&gt;DAY(EOMONTH(DATE($D$2,$B$2,1),0)),"",IFERROR(SUMIFS(DATA_GOC!$H:$H,DATA_GOC!$A:$A,"BOM",DATA_GOC!$D:$D,$B117,DATA_GOC!$E:$E,"Téc 2",DATA_GOC!$F:$F,"Xuất nội bộ từ téc",DATA_GOC!$B:$B,DATE($D$2,$B$2,E$4)),0))</f>
        <v>0</v>
      </c>
      <c r="F117" s="251">
        <f>IF(F$4&gt;DAY(EOMONTH(DATE($D$2,$B$2,1),0)),"",IFERROR(SUMIFS(DATA_GOC!$H:$H,DATA_GOC!$A:$A,"BOM",DATA_GOC!$D:$D,$B117,DATA_GOC!$E:$E,"Téc 2",DATA_GOC!$F:$F,"Xuất nội bộ từ téc",DATA_GOC!$B:$B,DATE($D$2,$B$2,F$4)),0))</f>
        <v>0</v>
      </c>
      <c r="G117" s="251">
        <f>IF(G$4&gt;DAY(EOMONTH(DATE($D$2,$B$2,1),0)),"",IFERROR(SUMIFS(DATA_GOC!$H:$H,DATA_GOC!$A:$A,"BOM",DATA_GOC!$D:$D,$B117,DATA_GOC!$E:$E,"Téc 2",DATA_GOC!$F:$F,"Xuất nội bộ từ téc",DATA_GOC!$B:$B,DATE($D$2,$B$2,G$4)),0))</f>
        <v>0</v>
      </c>
      <c r="H117" s="251">
        <f>IF(H$4&gt;DAY(EOMONTH(DATE($D$2,$B$2,1),0)),"",IFERROR(SUMIFS(DATA_GOC!$H:$H,DATA_GOC!$A:$A,"BOM",DATA_GOC!$D:$D,$B117,DATA_GOC!$E:$E,"Téc 2",DATA_GOC!$F:$F,"Xuất nội bộ từ téc",DATA_GOC!$B:$B,DATE($D$2,$B$2,H$4)),0))</f>
        <v>0</v>
      </c>
      <c r="I117" s="251">
        <f>IF(I$4&gt;DAY(EOMONTH(DATE($D$2,$B$2,1),0)),"",IFERROR(SUMIFS(DATA_GOC!$H:$H,DATA_GOC!$A:$A,"BOM",DATA_GOC!$D:$D,$B117,DATA_GOC!$E:$E,"Téc 2",DATA_GOC!$F:$F,"Xuất nội bộ từ téc",DATA_GOC!$B:$B,DATE($D$2,$B$2,I$4)),0))</f>
        <v>0</v>
      </c>
      <c r="J117" s="251">
        <f>IF(J$4&gt;DAY(EOMONTH(DATE($D$2,$B$2,1),0)),"",IFERROR(SUMIFS(DATA_GOC!$H:$H,DATA_GOC!$A:$A,"BOM",DATA_GOC!$D:$D,$B117,DATA_GOC!$E:$E,"Téc 2",DATA_GOC!$F:$F,"Xuất nội bộ từ téc",DATA_GOC!$B:$B,DATE($D$2,$B$2,J$4)),0))</f>
        <v>0</v>
      </c>
      <c r="K117" s="251">
        <f>IF(K$4&gt;DAY(EOMONTH(DATE($D$2,$B$2,1),0)),"",IFERROR(SUMIFS(DATA_GOC!$H:$H,DATA_GOC!$A:$A,"BOM",DATA_GOC!$D:$D,$B117,DATA_GOC!$E:$E,"Téc 2",DATA_GOC!$F:$F,"Xuất nội bộ từ téc",DATA_GOC!$B:$B,DATE($D$2,$B$2,K$4)),0))</f>
        <v>0</v>
      </c>
      <c r="L117" s="251">
        <f>IF(L$4&gt;DAY(EOMONTH(DATE($D$2,$B$2,1),0)),"",IFERROR(SUMIFS(DATA_GOC!$H:$H,DATA_GOC!$A:$A,"BOM",DATA_GOC!$D:$D,$B117,DATA_GOC!$E:$E,"Téc 2",DATA_GOC!$F:$F,"Xuất nội bộ từ téc",DATA_GOC!$B:$B,DATE($D$2,$B$2,L$4)),0))</f>
        <v>0</v>
      </c>
      <c r="M117" s="251">
        <f>IF(M$4&gt;DAY(EOMONTH(DATE($D$2,$B$2,1),0)),"",IFERROR(SUMIFS(DATA_GOC!$H:$H,DATA_GOC!$A:$A,"BOM",DATA_GOC!$D:$D,$B117,DATA_GOC!$E:$E,"Téc 2",DATA_GOC!$F:$F,"Xuất nội bộ từ téc",DATA_GOC!$B:$B,DATE($D$2,$B$2,M$4)),0))</f>
        <v>0</v>
      </c>
      <c r="N117" s="251">
        <f>IF(N$4&gt;DAY(EOMONTH(DATE($D$2,$B$2,1),0)),"",IFERROR(SUMIFS(DATA_GOC!$H:$H,DATA_GOC!$A:$A,"BOM",DATA_GOC!$D:$D,$B117,DATA_GOC!$E:$E,"Téc 2",DATA_GOC!$F:$F,"Xuất nội bộ từ téc",DATA_GOC!$B:$B,DATE($D$2,$B$2,N$4)),0))</f>
        <v>0</v>
      </c>
      <c r="O117" s="251">
        <f>IF(O$4&gt;DAY(EOMONTH(DATE($D$2,$B$2,1),0)),"",IFERROR(SUMIFS(DATA_GOC!$H:$H,DATA_GOC!$A:$A,"BOM",DATA_GOC!$D:$D,$B117,DATA_GOC!$E:$E,"Téc 2",DATA_GOC!$F:$F,"Xuất nội bộ từ téc",DATA_GOC!$B:$B,DATE($D$2,$B$2,O$4)),0))</f>
        <v>0</v>
      </c>
      <c r="P117" s="251">
        <f>IF(P$4&gt;DAY(EOMONTH(DATE($D$2,$B$2,1),0)),"",IFERROR(SUMIFS(DATA_GOC!$H:$H,DATA_GOC!$A:$A,"BOM",DATA_GOC!$D:$D,$B117,DATA_GOC!$E:$E,"Téc 2",DATA_GOC!$F:$F,"Xuất nội bộ từ téc",DATA_GOC!$B:$B,DATE($D$2,$B$2,P$4)),0))</f>
        <v>0</v>
      </c>
      <c r="Q117" s="251">
        <f>IF(Q$4&gt;DAY(EOMONTH(DATE($D$2,$B$2,1),0)),"",IFERROR(SUMIFS(DATA_GOC!$H:$H,DATA_GOC!$A:$A,"BOM",DATA_GOC!$D:$D,$B117,DATA_GOC!$E:$E,"Téc 2",DATA_GOC!$F:$F,"Xuất nội bộ từ téc",DATA_GOC!$B:$B,DATE($D$2,$B$2,Q$4)),0))</f>
        <v>0</v>
      </c>
      <c r="R117" s="251">
        <f>IF(R$4&gt;DAY(EOMONTH(DATE($D$2,$B$2,1),0)),"",IFERROR(SUMIFS(DATA_GOC!$H:$H,DATA_GOC!$A:$A,"BOM",DATA_GOC!$D:$D,$B117,DATA_GOC!$E:$E,"Téc 2",DATA_GOC!$F:$F,"Xuất nội bộ từ téc",DATA_GOC!$B:$B,DATE($D$2,$B$2,R$4)),0))</f>
        <v>0</v>
      </c>
      <c r="S117" s="251">
        <f>IF(S$4&gt;DAY(EOMONTH(DATE($D$2,$B$2,1),0)),"",IFERROR(SUMIFS(DATA_GOC!$H:$H,DATA_GOC!$A:$A,"BOM",DATA_GOC!$D:$D,$B117,DATA_GOC!$E:$E,"Téc 2",DATA_GOC!$F:$F,"Xuất nội bộ từ téc",DATA_GOC!$B:$B,DATE($D$2,$B$2,S$4)),0))</f>
        <v>0</v>
      </c>
      <c r="T117" s="251">
        <f>IF(T$4&gt;DAY(EOMONTH(DATE($D$2,$B$2,1),0)),"",IFERROR(SUMIFS(DATA_GOC!$H:$H,DATA_GOC!$A:$A,"BOM",DATA_GOC!$D:$D,$B117,DATA_GOC!$E:$E,"Téc 2",DATA_GOC!$F:$F,"Xuất nội bộ từ téc",DATA_GOC!$B:$B,DATE($D$2,$B$2,T$4)),0))</f>
        <v>0</v>
      </c>
      <c r="U117" s="251">
        <f>IF(U$4&gt;DAY(EOMONTH(DATE($D$2,$B$2,1),0)),"",IFERROR(SUMIFS(DATA_GOC!$H:$H,DATA_GOC!$A:$A,"BOM",DATA_GOC!$D:$D,$B117,DATA_GOC!$E:$E,"Téc 2",DATA_GOC!$F:$F,"Xuất nội bộ từ téc",DATA_GOC!$B:$B,DATE($D$2,$B$2,U$4)),0))</f>
        <v>0</v>
      </c>
      <c r="V117" s="251">
        <f>IF(V$4&gt;DAY(EOMONTH(DATE($D$2,$B$2,1),0)),"",IFERROR(SUMIFS(DATA_GOC!$H:$H,DATA_GOC!$A:$A,"BOM",DATA_GOC!$D:$D,$B117,DATA_GOC!$E:$E,"Téc 2",DATA_GOC!$F:$F,"Xuất nội bộ từ téc",DATA_GOC!$B:$B,DATE($D$2,$B$2,V$4)),0))</f>
        <v>0</v>
      </c>
      <c r="W117" s="251">
        <f>IF(W$4&gt;DAY(EOMONTH(DATE($D$2,$B$2,1),0)),"",IFERROR(SUMIFS(DATA_GOC!$H:$H,DATA_GOC!$A:$A,"BOM",DATA_GOC!$D:$D,$B117,DATA_GOC!$E:$E,"Téc 2",DATA_GOC!$F:$F,"Xuất nội bộ từ téc",DATA_GOC!$B:$B,DATE($D$2,$B$2,W$4)),0))</f>
        <v>0</v>
      </c>
      <c r="X117" s="251">
        <f>IF(X$4&gt;DAY(EOMONTH(DATE($D$2,$B$2,1),0)),"",IFERROR(SUMIFS(DATA_GOC!$H:$H,DATA_GOC!$A:$A,"BOM",DATA_GOC!$D:$D,$B117,DATA_GOC!$E:$E,"Téc 2",DATA_GOC!$F:$F,"Xuất nội bộ từ téc",DATA_GOC!$B:$B,DATE($D$2,$B$2,X$4)),0))</f>
        <v>0</v>
      </c>
      <c r="Y117" s="251">
        <f>IF(Y$4&gt;DAY(EOMONTH(DATE($D$2,$B$2,1),0)),"",IFERROR(SUMIFS(DATA_GOC!$H:$H,DATA_GOC!$A:$A,"BOM",DATA_GOC!$D:$D,$B117,DATA_GOC!$E:$E,"Téc 2",DATA_GOC!$F:$F,"Xuất nội bộ từ téc",DATA_GOC!$B:$B,DATE($D$2,$B$2,Y$4)),0))</f>
        <v>0</v>
      </c>
      <c r="Z117" s="251">
        <f>IF(Z$4&gt;DAY(EOMONTH(DATE($D$2,$B$2,1),0)),"",IFERROR(SUMIFS(DATA_GOC!$H:$H,DATA_GOC!$A:$A,"BOM",DATA_GOC!$D:$D,$B117,DATA_GOC!$E:$E,"Téc 2",DATA_GOC!$F:$F,"Xuất nội bộ từ téc",DATA_GOC!$B:$B,DATE($D$2,$B$2,Z$4)),0))</f>
        <v>0</v>
      </c>
      <c r="AA117" s="251">
        <f>IF(AA$4&gt;DAY(EOMONTH(DATE($D$2,$B$2,1),0)),"",IFERROR(SUMIFS(DATA_GOC!$H:$H,DATA_GOC!$A:$A,"BOM",DATA_GOC!$D:$D,$B117,DATA_GOC!$E:$E,"Téc 2",DATA_GOC!$F:$F,"Xuất nội bộ từ téc",DATA_GOC!$B:$B,DATE($D$2,$B$2,AA$4)),0))</f>
        <v>0</v>
      </c>
      <c r="AB117" s="251">
        <f>IF(AB$4&gt;DAY(EOMONTH(DATE($D$2,$B$2,1),0)),"",IFERROR(SUMIFS(DATA_GOC!$H:$H,DATA_GOC!$A:$A,"BOM",DATA_GOC!$D:$D,$B117,DATA_GOC!$E:$E,"Téc 2",DATA_GOC!$F:$F,"Xuất nội bộ từ téc",DATA_GOC!$B:$B,DATE($D$2,$B$2,AB$4)),0))</f>
        <v>0</v>
      </c>
      <c r="AC117" s="251">
        <f>IF(AC$4&gt;DAY(EOMONTH(DATE($D$2,$B$2,1),0)),"",IFERROR(SUMIFS(DATA_GOC!$H:$H,DATA_GOC!$A:$A,"BOM",DATA_GOC!$D:$D,$B117,DATA_GOC!$E:$E,"Téc 2",DATA_GOC!$F:$F,"Xuất nội bộ từ téc",DATA_GOC!$B:$B,DATE($D$2,$B$2,AC$4)),0))</f>
        <v>0</v>
      </c>
      <c r="AD117" s="251">
        <f>IF(AD$4&gt;DAY(EOMONTH(DATE($D$2,$B$2,1),0)),"",IFERROR(SUMIFS(DATA_GOC!$H:$H,DATA_GOC!$A:$A,"BOM",DATA_GOC!$D:$D,$B117,DATA_GOC!$E:$E,"Téc 2",DATA_GOC!$F:$F,"Xuất nội bộ từ téc",DATA_GOC!$B:$B,DATE($D$2,$B$2,AD$4)),0))</f>
        <v>0</v>
      </c>
      <c r="AE117" s="251">
        <f>IF(AE$4&gt;DAY(EOMONTH(DATE($D$2,$B$2,1),0)),"",IFERROR(SUMIFS(DATA_GOC!$H:$H,DATA_GOC!$A:$A,"BOM",DATA_GOC!$D:$D,$B117,DATA_GOC!$E:$E,"Téc 2",DATA_GOC!$F:$F,"Xuất nội bộ từ téc",DATA_GOC!$B:$B,DATE($D$2,$B$2,AE$4)),0))</f>
        <v>0</v>
      </c>
      <c r="AF117" s="251">
        <f>IF(AF$4&gt;DAY(EOMONTH(DATE($D$2,$B$2,1),0)),"",IFERROR(SUMIFS(DATA_GOC!$H:$H,DATA_GOC!$A:$A,"BOM",DATA_GOC!$D:$D,$B117,DATA_GOC!$E:$E,"Téc 2",DATA_GOC!$F:$F,"Xuất nội bộ từ téc",DATA_GOC!$B:$B,DATE($D$2,$B$2,AF$4)),0))</f>
        <v>0</v>
      </c>
      <c r="AG117" s="251">
        <f>IF(AG$4&gt;DAY(EOMONTH(DATE($D$2,$B$2,1),0)),"",IFERROR(SUMIFS(DATA_GOC!$H:$H,DATA_GOC!$A:$A,"BOM",DATA_GOC!$D:$D,$B117,DATA_GOC!$E:$E,"Téc 2",DATA_GOC!$F:$F,"Xuất nội bộ từ téc",DATA_GOC!$B:$B,DATE($D$2,$B$2,AG$4)),0))</f>
        <v>0</v>
      </c>
      <c r="AH117" s="252">
        <f t="shared" si="4"/>
        <v>0</v>
      </c>
      <c r="AI117" s="241">
        <f>IFERROR(SUMIFS(DATA_GOC!$H:$H,DATA_GOC!$A:$A,"BOM",DATA_GOC!$D:$D,$B117,DATA_GOC!$E:$E,"Bơm ngoài/Hải Tân",DATA_GOC!$F:$F,"Bơm ngoài",DATA_GOC!$B:$B,"&gt;="&amp;DATE($D$2,$B$2,1),DATA_GOC!$B:$B,"&lt;="&amp;EOMONTH(DATE($D$2,$B$2,1),0)),0)</f>
        <v>0</v>
      </c>
      <c r="AJ117" s="242">
        <f>IF($B117="","",SUMIFS(TINH_TEC!$K$233:$K$9232,TINH_TEC!$H$233:$H$9232,$B117,TINH_TEC!$C$233:$C$9232,"Téc 2",TINH_TEC!$F$233:$F$9232,$B$2,TINH_TEC!$G$233:$G$9232,$D$2,TINH_TEC!$B$233:$B$9232,"Đã chốt"))</f>
        <v>0</v>
      </c>
      <c r="AK117" s="242">
        <f>IF($B117="","",SUMIFS(TINH_TEC!$J$233:$J$9232,TINH_TEC!$H$233:$H$9232,$B117,TINH_TEC!$C$233:$C$9232,"Téc 2",TINH_TEC!$F$233:$F$9232,$B$2,TINH_TEC!$G$233:$G$9232,$D$2,TINH_TEC!$B$233:$B$9232,"Đã chốt"))</f>
        <v>0</v>
      </c>
      <c r="AL117" s="242">
        <f t="shared" si="5"/>
        <v>0</v>
      </c>
    </row>
    <row r="118" ht="15.75" customHeight="1">
      <c r="A118" s="237">
        <f>IF($B118&lt;&gt;"",52,"")</f>
        <v>52</v>
      </c>
      <c r="B118" s="250" t="str">
        <f t="array" ref="B118">IFERROR(INDEX(DANH_MUC!$E:$E,55),"")</f>
        <v>Xúclật asphalt</v>
      </c>
      <c r="C118" s="251">
        <f>IF(C$4&gt;DAY(EOMONTH(DATE($D$2,$B$2,1),0)),"",IFERROR(SUMIFS(DATA_GOC!$H:$H,DATA_GOC!$A:$A,"BOM",DATA_GOC!$D:$D,$B118,DATA_GOC!$E:$E,"Téc 2",DATA_GOC!$F:$F,"Xuất nội bộ từ téc",DATA_GOC!$B:$B,DATE($D$2,$B$2,C$4)),0))</f>
        <v>0</v>
      </c>
      <c r="D118" s="251">
        <f>IF(D$4&gt;DAY(EOMONTH(DATE($D$2,$B$2,1),0)),"",IFERROR(SUMIFS(DATA_GOC!$H:$H,DATA_GOC!$A:$A,"BOM",DATA_GOC!$D:$D,$B118,DATA_GOC!$E:$E,"Téc 2",DATA_GOC!$F:$F,"Xuất nội bộ từ téc",DATA_GOC!$B:$B,DATE($D$2,$B$2,D$4)),0))</f>
        <v>0</v>
      </c>
      <c r="E118" s="251">
        <f>IF(E$4&gt;DAY(EOMONTH(DATE($D$2,$B$2,1),0)),"",IFERROR(SUMIFS(DATA_GOC!$H:$H,DATA_GOC!$A:$A,"BOM",DATA_GOC!$D:$D,$B118,DATA_GOC!$E:$E,"Téc 2",DATA_GOC!$F:$F,"Xuất nội bộ từ téc",DATA_GOC!$B:$B,DATE($D$2,$B$2,E$4)),0))</f>
        <v>0</v>
      </c>
      <c r="F118" s="251">
        <f>IF(F$4&gt;DAY(EOMONTH(DATE($D$2,$B$2,1),0)),"",IFERROR(SUMIFS(DATA_GOC!$H:$H,DATA_GOC!$A:$A,"BOM",DATA_GOC!$D:$D,$B118,DATA_GOC!$E:$E,"Téc 2",DATA_GOC!$F:$F,"Xuất nội bộ từ téc",DATA_GOC!$B:$B,DATE($D$2,$B$2,F$4)),0))</f>
        <v>0</v>
      </c>
      <c r="G118" s="251">
        <f>IF(G$4&gt;DAY(EOMONTH(DATE($D$2,$B$2,1),0)),"",IFERROR(SUMIFS(DATA_GOC!$H:$H,DATA_GOC!$A:$A,"BOM",DATA_GOC!$D:$D,$B118,DATA_GOC!$E:$E,"Téc 2",DATA_GOC!$F:$F,"Xuất nội bộ từ téc",DATA_GOC!$B:$B,DATE($D$2,$B$2,G$4)),0))</f>
        <v>0</v>
      </c>
      <c r="H118" s="251">
        <f>IF(H$4&gt;DAY(EOMONTH(DATE($D$2,$B$2,1),0)),"",IFERROR(SUMIFS(DATA_GOC!$H:$H,DATA_GOC!$A:$A,"BOM",DATA_GOC!$D:$D,$B118,DATA_GOC!$E:$E,"Téc 2",DATA_GOC!$F:$F,"Xuất nội bộ từ téc",DATA_GOC!$B:$B,DATE($D$2,$B$2,H$4)),0))</f>
        <v>0</v>
      </c>
      <c r="I118" s="251">
        <f>IF(I$4&gt;DAY(EOMONTH(DATE($D$2,$B$2,1),0)),"",IFERROR(SUMIFS(DATA_GOC!$H:$H,DATA_GOC!$A:$A,"BOM",DATA_GOC!$D:$D,$B118,DATA_GOC!$E:$E,"Téc 2",DATA_GOC!$F:$F,"Xuất nội bộ từ téc",DATA_GOC!$B:$B,DATE($D$2,$B$2,I$4)),0))</f>
        <v>0</v>
      </c>
      <c r="J118" s="251">
        <f>IF(J$4&gt;DAY(EOMONTH(DATE($D$2,$B$2,1),0)),"",IFERROR(SUMIFS(DATA_GOC!$H:$H,DATA_GOC!$A:$A,"BOM",DATA_GOC!$D:$D,$B118,DATA_GOC!$E:$E,"Téc 2",DATA_GOC!$F:$F,"Xuất nội bộ từ téc",DATA_GOC!$B:$B,DATE($D$2,$B$2,J$4)),0))</f>
        <v>0</v>
      </c>
      <c r="K118" s="251">
        <f>IF(K$4&gt;DAY(EOMONTH(DATE($D$2,$B$2,1),0)),"",IFERROR(SUMIFS(DATA_GOC!$H:$H,DATA_GOC!$A:$A,"BOM",DATA_GOC!$D:$D,$B118,DATA_GOC!$E:$E,"Téc 2",DATA_GOC!$F:$F,"Xuất nội bộ từ téc",DATA_GOC!$B:$B,DATE($D$2,$B$2,K$4)),0))</f>
        <v>0</v>
      </c>
      <c r="L118" s="251">
        <f>IF(L$4&gt;DAY(EOMONTH(DATE($D$2,$B$2,1),0)),"",IFERROR(SUMIFS(DATA_GOC!$H:$H,DATA_GOC!$A:$A,"BOM",DATA_GOC!$D:$D,$B118,DATA_GOC!$E:$E,"Téc 2",DATA_GOC!$F:$F,"Xuất nội bộ từ téc",DATA_GOC!$B:$B,DATE($D$2,$B$2,L$4)),0))</f>
        <v>0</v>
      </c>
      <c r="M118" s="251">
        <f>IF(M$4&gt;DAY(EOMONTH(DATE($D$2,$B$2,1),0)),"",IFERROR(SUMIFS(DATA_GOC!$H:$H,DATA_GOC!$A:$A,"BOM",DATA_GOC!$D:$D,$B118,DATA_GOC!$E:$E,"Téc 2",DATA_GOC!$F:$F,"Xuất nội bộ từ téc",DATA_GOC!$B:$B,DATE($D$2,$B$2,M$4)),0))</f>
        <v>0</v>
      </c>
      <c r="N118" s="251">
        <f>IF(N$4&gt;DAY(EOMONTH(DATE($D$2,$B$2,1),0)),"",IFERROR(SUMIFS(DATA_GOC!$H:$H,DATA_GOC!$A:$A,"BOM",DATA_GOC!$D:$D,$B118,DATA_GOC!$E:$E,"Téc 2",DATA_GOC!$F:$F,"Xuất nội bộ từ téc",DATA_GOC!$B:$B,DATE($D$2,$B$2,N$4)),0))</f>
        <v>0</v>
      </c>
      <c r="O118" s="251">
        <f>IF(O$4&gt;DAY(EOMONTH(DATE($D$2,$B$2,1),0)),"",IFERROR(SUMIFS(DATA_GOC!$H:$H,DATA_GOC!$A:$A,"BOM",DATA_GOC!$D:$D,$B118,DATA_GOC!$E:$E,"Téc 2",DATA_GOC!$F:$F,"Xuất nội bộ từ téc",DATA_GOC!$B:$B,DATE($D$2,$B$2,O$4)),0))</f>
        <v>0</v>
      </c>
      <c r="P118" s="251">
        <f>IF(P$4&gt;DAY(EOMONTH(DATE($D$2,$B$2,1),0)),"",IFERROR(SUMIFS(DATA_GOC!$H:$H,DATA_GOC!$A:$A,"BOM",DATA_GOC!$D:$D,$B118,DATA_GOC!$E:$E,"Téc 2",DATA_GOC!$F:$F,"Xuất nội bộ từ téc",DATA_GOC!$B:$B,DATE($D$2,$B$2,P$4)),0))</f>
        <v>0</v>
      </c>
      <c r="Q118" s="251">
        <f>IF(Q$4&gt;DAY(EOMONTH(DATE($D$2,$B$2,1),0)),"",IFERROR(SUMIFS(DATA_GOC!$H:$H,DATA_GOC!$A:$A,"BOM",DATA_GOC!$D:$D,$B118,DATA_GOC!$E:$E,"Téc 2",DATA_GOC!$F:$F,"Xuất nội bộ từ téc",DATA_GOC!$B:$B,DATE($D$2,$B$2,Q$4)),0))</f>
        <v>0</v>
      </c>
      <c r="R118" s="251">
        <f>IF(R$4&gt;DAY(EOMONTH(DATE($D$2,$B$2,1),0)),"",IFERROR(SUMIFS(DATA_GOC!$H:$H,DATA_GOC!$A:$A,"BOM",DATA_GOC!$D:$D,$B118,DATA_GOC!$E:$E,"Téc 2",DATA_GOC!$F:$F,"Xuất nội bộ từ téc",DATA_GOC!$B:$B,DATE($D$2,$B$2,R$4)),0))</f>
        <v>0</v>
      </c>
      <c r="S118" s="251">
        <f>IF(S$4&gt;DAY(EOMONTH(DATE($D$2,$B$2,1),0)),"",IFERROR(SUMIFS(DATA_GOC!$H:$H,DATA_GOC!$A:$A,"BOM",DATA_GOC!$D:$D,$B118,DATA_GOC!$E:$E,"Téc 2",DATA_GOC!$F:$F,"Xuất nội bộ từ téc",DATA_GOC!$B:$B,DATE($D$2,$B$2,S$4)),0))</f>
        <v>0</v>
      </c>
      <c r="T118" s="251">
        <f>IF(T$4&gt;DAY(EOMONTH(DATE($D$2,$B$2,1),0)),"",IFERROR(SUMIFS(DATA_GOC!$H:$H,DATA_GOC!$A:$A,"BOM",DATA_GOC!$D:$D,$B118,DATA_GOC!$E:$E,"Téc 2",DATA_GOC!$F:$F,"Xuất nội bộ từ téc",DATA_GOC!$B:$B,DATE($D$2,$B$2,T$4)),0))</f>
        <v>0</v>
      </c>
      <c r="U118" s="251">
        <f>IF(U$4&gt;DAY(EOMONTH(DATE($D$2,$B$2,1),0)),"",IFERROR(SUMIFS(DATA_GOC!$H:$H,DATA_GOC!$A:$A,"BOM",DATA_GOC!$D:$D,$B118,DATA_GOC!$E:$E,"Téc 2",DATA_GOC!$F:$F,"Xuất nội bộ từ téc",DATA_GOC!$B:$B,DATE($D$2,$B$2,U$4)),0))</f>
        <v>0</v>
      </c>
      <c r="V118" s="251">
        <f>IF(V$4&gt;DAY(EOMONTH(DATE($D$2,$B$2,1),0)),"",IFERROR(SUMIFS(DATA_GOC!$H:$H,DATA_GOC!$A:$A,"BOM",DATA_GOC!$D:$D,$B118,DATA_GOC!$E:$E,"Téc 2",DATA_GOC!$F:$F,"Xuất nội bộ từ téc",DATA_GOC!$B:$B,DATE($D$2,$B$2,V$4)),0))</f>
        <v>0</v>
      </c>
      <c r="W118" s="251">
        <f>IF(W$4&gt;DAY(EOMONTH(DATE($D$2,$B$2,1),0)),"",IFERROR(SUMIFS(DATA_GOC!$H:$H,DATA_GOC!$A:$A,"BOM",DATA_GOC!$D:$D,$B118,DATA_GOC!$E:$E,"Téc 2",DATA_GOC!$F:$F,"Xuất nội bộ từ téc",DATA_GOC!$B:$B,DATE($D$2,$B$2,W$4)),0))</f>
        <v>0</v>
      </c>
      <c r="X118" s="251">
        <f>IF(X$4&gt;DAY(EOMONTH(DATE($D$2,$B$2,1),0)),"",IFERROR(SUMIFS(DATA_GOC!$H:$H,DATA_GOC!$A:$A,"BOM",DATA_GOC!$D:$D,$B118,DATA_GOC!$E:$E,"Téc 2",DATA_GOC!$F:$F,"Xuất nội bộ từ téc",DATA_GOC!$B:$B,DATE($D$2,$B$2,X$4)),0))</f>
        <v>0</v>
      </c>
      <c r="Y118" s="251">
        <f>IF(Y$4&gt;DAY(EOMONTH(DATE($D$2,$B$2,1),0)),"",IFERROR(SUMIFS(DATA_GOC!$H:$H,DATA_GOC!$A:$A,"BOM",DATA_GOC!$D:$D,$B118,DATA_GOC!$E:$E,"Téc 2",DATA_GOC!$F:$F,"Xuất nội bộ từ téc",DATA_GOC!$B:$B,DATE($D$2,$B$2,Y$4)),0))</f>
        <v>0</v>
      </c>
      <c r="Z118" s="251">
        <f>IF(Z$4&gt;DAY(EOMONTH(DATE($D$2,$B$2,1),0)),"",IFERROR(SUMIFS(DATA_GOC!$H:$H,DATA_GOC!$A:$A,"BOM",DATA_GOC!$D:$D,$B118,DATA_GOC!$E:$E,"Téc 2",DATA_GOC!$F:$F,"Xuất nội bộ từ téc",DATA_GOC!$B:$B,DATE($D$2,$B$2,Z$4)),0))</f>
        <v>0</v>
      </c>
      <c r="AA118" s="251">
        <f>IF(AA$4&gt;DAY(EOMONTH(DATE($D$2,$B$2,1),0)),"",IFERROR(SUMIFS(DATA_GOC!$H:$H,DATA_GOC!$A:$A,"BOM",DATA_GOC!$D:$D,$B118,DATA_GOC!$E:$E,"Téc 2",DATA_GOC!$F:$F,"Xuất nội bộ từ téc",DATA_GOC!$B:$B,DATE($D$2,$B$2,AA$4)),0))</f>
        <v>0</v>
      </c>
      <c r="AB118" s="251">
        <f>IF(AB$4&gt;DAY(EOMONTH(DATE($D$2,$B$2,1),0)),"",IFERROR(SUMIFS(DATA_GOC!$H:$H,DATA_GOC!$A:$A,"BOM",DATA_GOC!$D:$D,$B118,DATA_GOC!$E:$E,"Téc 2",DATA_GOC!$F:$F,"Xuất nội bộ từ téc",DATA_GOC!$B:$B,DATE($D$2,$B$2,AB$4)),0))</f>
        <v>0</v>
      </c>
      <c r="AC118" s="251">
        <f>IF(AC$4&gt;DAY(EOMONTH(DATE($D$2,$B$2,1),0)),"",IFERROR(SUMIFS(DATA_GOC!$H:$H,DATA_GOC!$A:$A,"BOM",DATA_GOC!$D:$D,$B118,DATA_GOC!$E:$E,"Téc 2",DATA_GOC!$F:$F,"Xuất nội bộ từ téc",DATA_GOC!$B:$B,DATE($D$2,$B$2,AC$4)),0))</f>
        <v>0</v>
      </c>
      <c r="AD118" s="251">
        <f>IF(AD$4&gt;DAY(EOMONTH(DATE($D$2,$B$2,1),0)),"",IFERROR(SUMIFS(DATA_GOC!$H:$H,DATA_GOC!$A:$A,"BOM",DATA_GOC!$D:$D,$B118,DATA_GOC!$E:$E,"Téc 2",DATA_GOC!$F:$F,"Xuất nội bộ từ téc",DATA_GOC!$B:$B,DATE($D$2,$B$2,AD$4)),0))</f>
        <v>0</v>
      </c>
      <c r="AE118" s="251">
        <f>IF(AE$4&gt;DAY(EOMONTH(DATE($D$2,$B$2,1),0)),"",IFERROR(SUMIFS(DATA_GOC!$H:$H,DATA_GOC!$A:$A,"BOM",DATA_GOC!$D:$D,$B118,DATA_GOC!$E:$E,"Téc 2",DATA_GOC!$F:$F,"Xuất nội bộ từ téc",DATA_GOC!$B:$B,DATE($D$2,$B$2,AE$4)),0))</f>
        <v>0</v>
      </c>
      <c r="AF118" s="251">
        <f>IF(AF$4&gt;DAY(EOMONTH(DATE($D$2,$B$2,1),0)),"",IFERROR(SUMIFS(DATA_GOC!$H:$H,DATA_GOC!$A:$A,"BOM",DATA_GOC!$D:$D,$B118,DATA_GOC!$E:$E,"Téc 2",DATA_GOC!$F:$F,"Xuất nội bộ từ téc",DATA_GOC!$B:$B,DATE($D$2,$B$2,AF$4)),0))</f>
        <v>0</v>
      </c>
      <c r="AG118" s="251">
        <f>IF(AG$4&gt;DAY(EOMONTH(DATE($D$2,$B$2,1),0)),"",IFERROR(SUMIFS(DATA_GOC!$H:$H,DATA_GOC!$A:$A,"BOM",DATA_GOC!$D:$D,$B118,DATA_GOC!$E:$E,"Téc 2",DATA_GOC!$F:$F,"Xuất nội bộ từ téc",DATA_GOC!$B:$B,DATE($D$2,$B$2,AG$4)),0))</f>
        <v>0</v>
      </c>
      <c r="AH118" s="252">
        <f t="shared" si="4"/>
        <v>0</v>
      </c>
      <c r="AI118" s="241">
        <f>IFERROR(SUMIFS(DATA_GOC!$H:$H,DATA_GOC!$A:$A,"BOM",DATA_GOC!$D:$D,$B118,DATA_GOC!$E:$E,"Bơm ngoài/Hải Tân",DATA_GOC!$F:$F,"Bơm ngoài",DATA_GOC!$B:$B,"&gt;="&amp;DATE($D$2,$B$2,1),DATA_GOC!$B:$B,"&lt;="&amp;EOMONTH(DATE($D$2,$B$2,1),0)),0)</f>
        <v>0</v>
      </c>
      <c r="AJ118" s="242">
        <f>IF($B118="","",SUMIFS(TINH_TEC!$K$233:$K$9232,TINH_TEC!$H$233:$H$9232,$B118,TINH_TEC!$C$233:$C$9232,"Téc 2",TINH_TEC!$F$233:$F$9232,$B$2,TINH_TEC!$G$233:$G$9232,$D$2,TINH_TEC!$B$233:$B$9232,"Đã chốt"))</f>
        <v>0</v>
      </c>
      <c r="AK118" s="242">
        <f>IF($B118="","",SUMIFS(TINH_TEC!$J$233:$J$9232,TINH_TEC!$H$233:$H$9232,$B118,TINH_TEC!$C$233:$C$9232,"Téc 2",TINH_TEC!$F$233:$F$9232,$B$2,TINH_TEC!$G$233:$G$9232,$D$2,TINH_TEC!$B$233:$B$9232,"Đã chốt"))</f>
        <v>0</v>
      </c>
      <c r="AL118" s="242">
        <f t="shared" si="5"/>
        <v>0</v>
      </c>
    </row>
    <row r="119" ht="15.75" customHeight="1">
      <c r="A119" s="237">
        <f>IF($B119&lt;&gt;"",53,"")</f>
        <v>53</v>
      </c>
      <c r="B119" s="250" t="str">
        <f t="array" ref="B119">IFERROR(INDEX(DANH_MUC!$E:$E,56),"")</f>
        <v>Xúclật855H</v>
      </c>
      <c r="C119" s="251">
        <f>IF(C$4&gt;DAY(EOMONTH(DATE($D$2,$B$2,1),0)),"",IFERROR(SUMIFS(DATA_GOC!$H:$H,DATA_GOC!$A:$A,"BOM",DATA_GOC!$D:$D,$B119,DATA_GOC!$E:$E,"Téc 2",DATA_GOC!$F:$F,"Xuất nội bộ từ téc",DATA_GOC!$B:$B,DATE($D$2,$B$2,C$4)),0))</f>
        <v>0</v>
      </c>
      <c r="D119" s="251">
        <f>IF(D$4&gt;DAY(EOMONTH(DATE($D$2,$B$2,1),0)),"",IFERROR(SUMIFS(DATA_GOC!$H:$H,DATA_GOC!$A:$A,"BOM",DATA_GOC!$D:$D,$B119,DATA_GOC!$E:$E,"Téc 2",DATA_GOC!$F:$F,"Xuất nội bộ từ téc",DATA_GOC!$B:$B,DATE($D$2,$B$2,D$4)),0))</f>
        <v>0</v>
      </c>
      <c r="E119" s="251">
        <f>IF(E$4&gt;DAY(EOMONTH(DATE($D$2,$B$2,1),0)),"",IFERROR(SUMIFS(DATA_GOC!$H:$H,DATA_GOC!$A:$A,"BOM",DATA_GOC!$D:$D,$B119,DATA_GOC!$E:$E,"Téc 2",DATA_GOC!$F:$F,"Xuất nội bộ từ téc",DATA_GOC!$B:$B,DATE($D$2,$B$2,E$4)),0))</f>
        <v>0</v>
      </c>
      <c r="F119" s="251">
        <f>IF(F$4&gt;DAY(EOMONTH(DATE($D$2,$B$2,1),0)),"",IFERROR(SUMIFS(DATA_GOC!$H:$H,DATA_GOC!$A:$A,"BOM",DATA_GOC!$D:$D,$B119,DATA_GOC!$E:$E,"Téc 2",DATA_GOC!$F:$F,"Xuất nội bộ từ téc",DATA_GOC!$B:$B,DATE($D$2,$B$2,F$4)),0))</f>
        <v>0</v>
      </c>
      <c r="G119" s="251">
        <f>IF(G$4&gt;DAY(EOMONTH(DATE($D$2,$B$2,1),0)),"",IFERROR(SUMIFS(DATA_GOC!$H:$H,DATA_GOC!$A:$A,"BOM",DATA_GOC!$D:$D,$B119,DATA_GOC!$E:$E,"Téc 2",DATA_GOC!$F:$F,"Xuất nội bộ từ téc",DATA_GOC!$B:$B,DATE($D$2,$B$2,G$4)),0))</f>
        <v>0</v>
      </c>
      <c r="H119" s="251">
        <f>IF(H$4&gt;DAY(EOMONTH(DATE($D$2,$B$2,1),0)),"",IFERROR(SUMIFS(DATA_GOC!$H:$H,DATA_GOC!$A:$A,"BOM",DATA_GOC!$D:$D,$B119,DATA_GOC!$E:$E,"Téc 2",DATA_GOC!$F:$F,"Xuất nội bộ từ téc",DATA_GOC!$B:$B,DATE($D$2,$B$2,H$4)),0))</f>
        <v>0</v>
      </c>
      <c r="I119" s="251">
        <f>IF(I$4&gt;DAY(EOMONTH(DATE($D$2,$B$2,1),0)),"",IFERROR(SUMIFS(DATA_GOC!$H:$H,DATA_GOC!$A:$A,"BOM",DATA_GOC!$D:$D,$B119,DATA_GOC!$E:$E,"Téc 2",DATA_GOC!$F:$F,"Xuất nội bộ từ téc",DATA_GOC!$B:$B,DATE($D$2,$B$2,I$4)),0))</f>
        <v>0</v>
      </c>
      <c r="J119" s="251">
        <f>IF(J$4&gt;DAY(EOMONTH(DATE($D$2,$B$2,1),0)),"",IFERROR(SUMIFS(DATA_GOC!$H:$H,DATA_GOC!$A:$A,"BOM",DATA_GOC!$D:$D,$B119,DATA_GOC!$E:$E,"Téc 2",DATA_GOC!$F:$F,"Xuất nội bộ từ téc",DATA_GOC!$B:$B,DATE($D$2,$B$2,J$4)),0))</f>
        <v>0</v>
      </c>
      <c r="K119" s="251">
        <f>IF(K$4&gt;DAY(EOMONTH(DATE($D$2,$B$2,1),0)),"",IFERROR(SUMIFS(DATA_GOC!$H:$H,DATA_GOC!$A:$A,"BOM",DATA_GOC!$D:$D,$B119,DATA_GOC!$E:$E,"Téc 2",DATA_GOC!$F:$F,"Xuất nội bộ từ téc",DATA_GOC!$B:$B,DATE($D$2,$B$2,K$4)),0))</f>
        <v>0</v>
      </c>
      <c r="L119" s="251">
        <f>IF(L$4&gt;DAY(EOMONTH(DATE($D$2,$B$2,1),0)),"",IFERROR(SUMIFS(DATA_GOC!$H:$H,DATA_GOC!$A:$A,"BOM",DATA_GOC!$D:$D,$B119,DATA_GOC!$E:$E,"Téc 2",DATA_GOC!$F:$F,"Xuất nội bộ từ téc",DATA_GOC!$B:$B,DATE($D$2,$B$2,L$4)),0))</f>
        <v>0</v>
      </c>
      <c r="M119" s="251">
        <f>IF(M$4&gt;DAY(EOMONTH(DATE($D$2,$B$2,1),0)),"",IFERROR(SUMIFS(DATA_GOC!$H:$H,DATA_GOC!$A:$A,"BOM",DATA_GOC!$D:$D,$B119,DATA_GOC!$E:$E,"Téc 2",DATA_GOC!$F:$F,"Xuất nội bộ từ téc",DATA_GOC!$B:$B,DATE($D$2,$B$2,M$4)),0))</f>
        <v>0</v>
      </c>
      <c r="N119" s="251">
        <f>IF(N$4&gt;DAY(EOMONTH(DATE($D$2,$B$2,1),0)),"",IFERROR(SUMIFS(DATA_GOC!$H:$H,DATA_GOC!$A:$A,"BOM",DATA_GOC!$D:$D,$B119,DATA_GOC!$E:$E,"Téc 2",DATA_GOC!$F:$F,"Xuất nội bộ từ téc",DATA_GOC!$B:$B,DATE($D$2,$B$2,N$4)),0))</f>
        <v>0</v>
      </c>
      <c r="O119" s="251">
        <f>IF(O$4&gt;DAY(EOMONTH(DATE($D$2,$B$2,1),0)),"",IFERROR(SUMIFS(DATA_GOC!$H:$H,DATA_GOC!$A:$A,"BOM",DATA_GOC!$D:$D,$B119,DATA_GOC!$E:$E,"Téc 2",DATA_GOC!$F:$F,"Xuất nội bộ từ téc",DATA_GOC!$B:$B,DATE($D$2,$B$2,O$4)),0))</f>
        <v>0</v>
      </c>
      <c r="P119" s="251">
        <f>IF(P$4&gt;DAY(EOMONTH(DATE($D$2,$B$2,1),0)),"",IFERROR(SUMIFS(DATA_GOC!$H:$H,DATA_GOC!$A:$A,"BOM",DATA_GOC!$D:$D,$B119,DATA_GOC!$E:$E,"Téc 2",DATA_GOC!$F:$F,"Xuất nội bộ từ téc",DATA_GOC!$B:$B,DATE($D$2,$B$2,P$4)),0))</f>
        <v>0</v>
      </c>
      <c r="Q119" s="251">
        <f>IF(Q$4&gt;DAY(EOMONTH(DATE($D$2,$B$2,1),0)),"",IFERROR(SUMIFS(DATA_GOC!$H:$H,DATA_GOC!$A:$A,"BOM",DATA_GOC!$D:$D,$B119,DATA_GOC!$E:$E,"Téc 2",DATA_GOC!$F:$F,"Xuất nội bộ từ téc",DATA_GOC!$B:$B,DATE($D$2,$B$2,Q$4)),0))</f>
        <v>0</v>
      </c>
      <c r="R119" s="251">
        <f>IF(R$4&gt;DAY(EOMONTH(DATE($D$2,$B$2,1),0)),"",IFERROR(SUMIFS(DATA_GOC!$H:$H,DATA_GOC!$A:$A,"BOM",DATA_GOC!$D:$D,$B119,DATA_GOC!$E:$E,"Téc 2",DATA_GOC!$F:$F,"Xuất nội bộ từ téc",DATA_GOC!$B:$B,DATE($D$2,$B$2,R$4)),0))</f>
        <v>0</v>
      </c>
      <c r="S119" s="251">
        <f>IF(S$4&gt;DAY(EOMONTH(DATE($D$2,$B$2,1),0)),"",IFERROR(SUMIFS(DATA_GOC!$H:$H,DATA_GOC!$A:$A,"BOM",DATA_GOC!$D:$D,$B119,DATA_GOC!$E:$E,"Téc 2",DATA_GOC!$F:$F,"Xuất nội bộ từ téc",DATA_GOC!$B:$B,DATE($D$2,$B$2,S$4)),0))</f>
        <v>0</v>
      </c>
      <c r="T119" s="251">
        <f>IF(T$4&gt;DAY(EOMONTH(DATE($D$2,$B$2,1),0)),"",IFERROR(SUMIFS(DATA_GOC!$H:$H,DATA_GOC!$A:$A,"BOM",DATA_GOC!$D:$D,$B119,DATA_GOC!$E:$E,"Téc 2",DATA_GOC!$F:$F,"Xuất nội bộ từ téc",DATA_GOC!$B:$B,DATE($D$2,$B$2,T$4)),0))</f>
        <v>0</v>
      </c>
      <c r="U119" s="251">
        <f>IF(U$4&gt;DAY(EOMONTH(DATE($D$2,$B$2,1),0)),"",IFERROR(SUMIFS(DATA_GOC!$H:$H,DATA_GOC!$A:$A,"BOM",DATA_GOC!$D:$D,$B119,DATA_GOC!$E:$E,"Téc 2",DATA_GOC!$F:$F,"Xuất nội bộ từ téc",DATA_GOC!$B:$B,DATE($D$2,$B$2,U$4)),0))</f>
        <v>0</v>
      </c>
      <c r="V119" s="251">
        <f>IF(V$4&gt;DAY(EOMONTH(DATE($D$2,$B$2,1),0)),"",IFERROR(SUMIFS(DATA_GOC!$H:$H,DATA_GOC!$A:$A,"BOM",DATA_GOC!$D:$D,$B119,DATA_GOC!$E:$E,"Téc 2",DATA_GOC!$F:$F,"Xuất nội bộ từ téc",DATA_GOC!$B:$B,DATE($D$2,$B$2,V$4)),0))</f>
        <v>0</v>
      </c>
      <c r="W119" s="251">
        <f>IF(W$4&gt;DAY(EOMONTH(DATE($D$2,$B$2,1),0)),"",IFERROR(SUMIFS(DATA_GOC!$H:$H,DATA_GOC!$A:$A,"BOM",DATA_GOC!$D:$D,$B119,DATA_GOC!$E:$E,"Téc 2",DATA_GOC!$F:$F,"Xuất nội bộ từ téc",DATA_GOC!$B:$B,DATE($D$2,$B$2,W$4)),0))</f>
        <v>0</v>
      </c>
      <c r="X119" s="251">
        <f>IF(X$4&gt;DAY(EOMONTH(DATE($D$2,$B$2,1),0)),"",IFERROR(SUMIFS(DATA_GOC!$H:$H,DATA_GOC!$A:$A,"BOM",DATA_GOC!$D:$D,$B119,DATA_GOC!$E:$E,"Téc 2",DATA_GOC!$F:$F,"Xuất nội bộ từ téc",DATA_GOC!$B:$B,DATE($D$2,$B$2,X$4)),0))</f>
        <v>0</v>
      </c>
      <c r="Y119" s="251">
        <f>IF(Y$4&gt;DAY(EOMONTH(DATE($D$2,$B$2,1),0)),"",IFERROR(SUMIFS(DATA_GOC!$H:$H,DATA_GOC!$A:$A,"BOM",DATA_GOC!$D:$D,$B119,DATA_GOC!$E:$E,"Téc 2",DATA_GOC!$F:$F,"Xuất nội bộ từ téc",DATA_GOC!$B:$B,DATE($D$2,$B$2,Y$4)),0))</f>
        <v>0</v>
      </c>
      <c r="Z119" s="251">
        <f>IF(Z$4&gt;DAY(EOMONTH(DATE($D$2,$B$2,1),0)),"",IFERROR(SUMIFS(DATA_GOC!$H:$H,DATA_GOC!$A:$A,"BOM",DATA_GOC!$D:$D,$B119,DATA_GOC!$E:$E,"Téc 2",DATA_GOC!$F:$F,"Xuất nội bộ từ téc",DATA_GOC!$B:$B,DATE($D$2,$B$2,Z$4)),0))</f>
        <v>0</v>
      </c>
      <c r="AA119" s="251">
        <f>IF(AA$4&gt;DAY(EOMONTH(DATE($D$2,$B$2,1),0)),"",IFERROR(SUMIFS(DATA_GOC!$H:$H,DATA_GOC!$A:$A,"BOM",DATA_GOC!$D:$D,$B119,DATA_GOC!$E:$E,"Téc 2",DATA_GOC!$F:$F,"Xuất nội bộ từ téc",DATA_GOC!$B:$B,DATE($D$2,$B$2,AA$4)),0))</f>
        <v>0</v>
      </c>
      <c r="AB119" s="251">
        <f>IF(AB$4&gt;DAY(EOMONTH(DATE($D$2,$B$2,1),0)),"",IFERROR(SUMIFS(DATA_GOC!$H:$H,DATA_GOC!$A:$A,"BOM",DATA_GOC!$D:$D,$B119,DATA_GOC!$E:$E,"Téc 2",DATA_GOC!$F:$F,"Xuất nội bộ từ téc",DATA_GOC!$B:$B,DATE($D$2,$B$2,AB$4)),0))</f>
        <v>0</v>
      </c>
      <c r="AC119" s="251">
        <f>IF(AC$4&gt;DAY(EOMONTH(DATE($D$2,$B$2,1),0)),"",IFERROR(SUMIFS(DATA_GOC!$H:$H,DATA_GOC!$A:$A,"BOM",DATA_GOC!$D:$D,$B119,DATA_GOC!$E:$E,"Téc 2",DATA_GOC!$F:$F,"Xuất nội bộ từ téc",DATA_GOC!$B:$B,DATE($D$2,$B$2,AC$4)),0))</f>
        <v>0</v>
      </c>
      <c r="AD119" s="251">
        <f>IF(AD$4&gt;DAY(EOMONTH(DATE($D$2,$B$2,1),0)),"",IFERROR(SUMIFS(DATA_GOC!$H:$H,DATA_GOC!$A:$A,"BOM",DATA_GOC!$D:$D,$B119,DATA_GOC!$E:$E,"Téc 2",DATA_GOC!$F:$F,"Xuất nội bộ từ téc",DATA_GOC!$B:$B,DATE($D$2,$B$2,AD$4)),0))</f>
        <v>0</v>
      </c>
      <c r="AE119" s="251">
        <f>IF(AE$4&gt;DAY(EOMONTH(DATE($D$2,$B$2,1),0)),"",IFERROR(SUMIFS(DATA_GOC!$H:$H,DATA_GOC!$A:$A,"BOM",DATA_GOC!$D:$D,$B119,DATA_GOC!$E:$E,"Téc 2",DATA_GOC!$F:$F,"Xuất nội bộ từ téc",DATA_GOC!$B:$B,DATE($D$2,$B$2,AE$4)),0))</f>
        <v>0</v>
      </c>
      <c r="AF119" s="251">
        <f>IF(AF$4&gt;DAY(EOMONTH(DATE($D$2,$B$2,1),0)),"",IFERROR(SUMIFS(DATA_GOC!$H:$H,DATA_GOC!$A:$A,"BOM",DATA_GOC!$D:$D,$B119,DATA_GOC!$E:$E,"Téc 2",DATA_GOC!$F:$F,"Xuất nội bộ từ téc",DATA_GOC!$B:$B,DATE($D$2,$B$2,AF$4)),0))</f>
        <v>0</v>
      </c>
      <c r="AG119" s="251">
        <f>IF(AG$4&gt;DAY(EOMONTH(DATE($D$2,$B$2,1),0)),"",IFERROR(SUMIFS(DATA_GOC!$H:$H,DATA_GOC!$A:$A,"BOM",DATA_GOC!$D:$D,$B119,DATA_GOC!$E:$E,"Téc 2",DATA_GOC!$F:$F,"Xuất nội bộ từ téc",DATA_GOC!$B:$B,DATE($D$2,$B$2,AG$4)),0))</f>
        <v>0</v>
      </c>
      <c r="AH119" s="252">
        <f t="shared" si="4"/>
        <v>0</v>
      </c>
      <c r="AI119" s="241">
        <f>IFERROR(SUMIFS(DATA_GOC!$H:$H,DATA_GOC!$A:$A,"BOM",DATA_GOC!$D:$D,$B119,DATA_GOC!$E:$E,"Bơm ngoài/Hải Tân",DATA_GOC!$F:$F,"Bơm ngoài",DATA_GOC!$B:$B,"&gt;="&amp;DATE($D$2,$B$2,1),DATA_GOC!$B:$B,"&lt;="&amp;EOMONTH(DATE($D$2,$B$2,1),0)),0)</f>
        <v>0</v>
      </c>
      <c r="AJ119" s="242">
        <f>IF($B119="","",SUMIFS(TINH_TEC!$K$233:$K$9232,TINH_TEC!$H$233:$H$9232,$B119,TINH_TEC!$C$233:$C$9232,"Téc 2",TINH_TEC!$F$233:$F$9232,$B$2,TINH_TEC!$G$233:$G$9232,$D$2,TINH_TEC!$B$233:$B$9232,"Đã chốt"))</f>
        <v>0</v>
      </c>
      <c r="AK119" s="242">
        <f>IF($B119="","",SUMIFS(TINH_TEC!$J$233:$J$9232,TINH_TEC!$H$233:$H$9232,$B119,TINH_TEC!$C$233:$C$9232,"Téc 2",TINH_TEC!$F$233:$F$9232,$B$2,TINH_TEC!$G$233:$G$9232,$D$2,TINH_TEC!$B$233:$B$9232,"Đã chốt"))</f>
        <v>29.005</v>
      </c>
      <c r="AL119" s="242">
        <f t="shared" si="5"/>
        <v>29.005</v>
      </c>
    </row>
    <row r="120" ht="15.75" customHeight="1">
      <c r="A120" s="237">
        <f>IF($B120&lt;&gt;"",54,"")</f>
        <v>54</v>
      </c>
      <c r="B120" s="250" t="str">
        <f t="array" ref="B120">IFERROR(INDEX(DANH_MUC!$E:$E,57),"")</f>
        <v>Xúclật855N</v>
      </c>
      <c r="C120" s="251">
        <f>IF(C$4&gt;DAY(EOMONTH(DATE($D$2,$B$2,1),0)),"",IFERROR(SUMIFS(DATA_GOC!$H:$H,DATA_GOC!$A:$A,"BOM",DATA_GOC!$D:$D,$B120,DATA_GOC!$E:$E,"Téc 2",DATA_GOC!$F:$F,"Xuất nội bộ từ téc",DATA_GOC!$B:$B,DATE($D$2,$B$2,C$4)),0))</f>
        <v>0</v>
      </c>
      <c r="D120" s="251">
        <f>IF(D$4&gt;DAY(EOMONTH(DATE($D$2,$B$2,1),0)),"",IFERROR(SUMIFS(DATA_GOC!$H:$H,DATA_GOC!$A:$A,"BOM",DATA_GOC!$D:$D,$B120,DATA_GOC!$E:$E,"Téc 2",DATA_GOC!$F:$F,"Xuất nội bộ từ téc",DATA_GOC!$B:$B,DATE($D$2,$B$2,D$4)),0))</f>
        <v>0</v>
      </c>
      <c r="E120" s="251">
        <f>IF(E$4&gt;DAY(EOMONTH(DATE($D$2,$B$2,1),0)),"",IFERROR(SUMIFS(DATA_GOC!$H:$H,DATA_GOC!$A:$A,"BOM",DATA_GOC!$D:$D,$B120,DATA_GOC!$E:$E,"Téc 2",DATA_GOC!$F:$F,"Xuất nội bộ từ téc",DATA_GOC!$B:$B,DATE($D$2,$B$2,E$4)),0))</f>
        <v>0</v>
      </c>
      <c r="F120" s="251">
        <f>IF(F$4&gt;DAY(EOMONTH(DATE($D$2,$B$2,1),0)),"",IFERROR(SUMIFS(DATA_GOC!$H:$H,DATA_GOC!$A:$A,"BOM",DATA_GOC!$D:$D,$B120,DATA_GOC!$E:$E,"Téc 2",DATA_GOC!$F:$F,"Xuất nội bộ từ téc",DATA_GOC!$B:$B,DATE($D$2,$B$2,F$4)),0))</f>
        <v>155</v>
      </c>
      <c r="G120" s="251">
        <f>IF(G$4&gt;DAY(EOMONTH(DATE($D$2,$B$2,1),0)),"",IFERROR(SUMIFS(DATA_GOC!$H:$H,DATA_GOC!$A:$A,"BOM",DATA_GOC!$D:$D,$B120,DATA_GOC!$E:$E,"Téc 2",DATA_GOC!$F:$F,"Xuất nội bộ từ téc",DATA_GOC!$B:$B,DATE($D$2,$B$2,G$4)),0))</f>
        <v>0</v>
      </c>
      <c r="H120" s="251">
        <f>IF(H$4&gt;DAY(EOMONTH(DATE($D$2,$B$2,1),0)),"",IFERROR(SUMIFS(DATA_GOC!$H:$H,DATA_GOC!$A:$A,"BOM",DATA_GOC!$D:$D,$B120,DATA_GOC!$E:$E,"Téc 2",DATA_GOC!$F:$F,"Xuất nội bộ từ téc",DATA_GOC!$B:$B,DATE($D$2,$B$2,H$4)),0))</f>
        <v>0</v>
      </c>
      <c r="I120" s="251">
        <f>IF(I$4&gt;DAY(EOMONTH(DATE($D$2,$B$2,1),0)),"",IFERROR(SUMIFS(DATA_GOC!$H:$H,DATA_GOC!$A:$A,"BOM",DATA_GOC!$D:$D,$B120,DATA_GOC!$E:$E,"Téc 2",DATA_GOC!$F:$F,"Xuất nội bộ từ téc",DATA_GOC!$B:$B,DATE($D$2,$B$2,I$4)),0))</f>
        <v>0</v>
      </c>
      <c r="J120" s="251">
        <f>IF(J$4&gt;DAY(EOMONTH(DATE($D$2,$B$2,1),0)),"",IFERROR(SUMIFS(DATA_GOC!$H:$H,DATA_GOC!$A:$A,"BOM",DATA_GOC!$D:$D,$B120,DATA_GOC!$E:$E,"Téc 2",DATA_GOC!$F:$F,"Xuất nội bộ từ téc",DATA_GOC!$B:$B,DATE($D$2,$B$2,J$4)),0))</f>
        <v>0</v>
      </c>
      <c r="K120" s="251">
        <f>IF(K$4&gt;DAY(EOMONTH(DATE($D$2,$B$2,1),0)),"",IFERROR(SUMIFS(DATA_GOC!$H:$H,DATA_GOC!$A:$A,"BOM",DATA_GOC!$D:$D,$B120,DATA_GOC!$E:$E,"Téc 2",DATA_GOC!$F:$F,"Xuất nội bộ từ téc",DATA_GOC!$B:$B,DATE($D$2,$B$2,K$4)),0))</f>
        <v>0</v>
      </c>
      <c r="L120" s="251">
        <f>IF(L$4&gt;DAY(EOMONTH(DATE($D$2,$B$2,1),0)),"",IFERROR(SUMIFS(DATA_GOC!$H:$H,DATA_GOC!$A:$A,"BOM",DATA_GOC!$D:$D,$B120,DATA_GOC!$E:$E,"Téc 2",DATA_GOC!$F:$F,"Xuất nội bộ từ téc",DATA_GOC!$B:$B,DATE($D$2,$B$2,L$4)),0))</f>
        <v>0</v>
      </c>
      <c r="M120" s="251">
        <f>IF(M$4&gt;DAY(EOMONTH(DATE($D$2,$B$2,1),0)),"",IFERROR(SUMIFS(DATA_GOC!$H:$H,DATA_GOC!$A:$A,"BOM",DATA_GOC!$D:$D,$B120,DATA_GOC!$E:$E,"Téc 2",DATA_GOC!$F:$F,"Xuất nội bộ từ téc",DATA_GOC!$B:$B,DATE($D$2,$B$2,M$4)),0))</f>
        <v>0</v>
      </c>
      <c r="N120" s="251">
        <f>IF(N$4&gt;DAY(EOMONTH(DATE($D$2,$B$2,1),0)),"",IFERROR(SUMIFS(DATA_GOC!$H:$H,DATA_GOC!$A:$A,"BOM",DATA_GOC!$D:$D,$B120,DATA_GOC!$E:$E,"Téc 2",DATA_GOC!$F:$F,"Xuất nội bộ từ téc",DATA_GOC!$B:$B,DATE($D$2,$B$2,N$4)),0))</f>
        <v>0</v>
      </c>
      <c r="O120" s="251">
        <f>IF(O$4&gt;DAY(EOMONTH(DATE($D$2,$B$2,1),0)),"",IFERROR(SUMIFS(DATA_GOC!$H:$H,DATA_GOC!$A:$A,"BOM",DATA_GOC!$D:$D,$B120,DATA_GOC!$E:$E,"Téc 2",DATA_GOC!$F:$F,"Xuất nội bộ từ téc",DATA_GOC!$B:$B,DATE($D$2,$B$2,O$4)),0))</f>
        <v>0</v>
      </c>
      <c r="P120" s="251">
        <f>IF(P$4&gt;DAY(EOMONTH(DATE($D$2,$B$2,1),0)),"",IFERROR(SUMIFS(DATA_GOC!$H:$H,DATA_GOC!$A:$A,"BOM",DATA_GOC!$D:$D,$B120,DATA_GOC!$E:$E,"Téc 2",DATA_GOC!$F:$F,"Xuất nội bộ từ téc",DATA_GOC!$B:$B,DATE($D$2,$B$2,P$4)),0))</f>
        <v>0</v>
      </c>
      <c r="Q120" s="251">
        <f>IF(Q$4&gt;DAY(EOMONTH(DATE($D$2,$B$2,1),0)),"",IFERROR(SUMIFS(DATA_GOC!$H:$H,DATA_GOC!$A:$A,"BOM",DATA_GOC!$D:$D,$B120,DATA_GOC!$E:$E,"Téc 2",DATA_GOC!$F:$F,"Xuất nội bộ từ téc",DATA_GOC!$B:$B,DATE($D$2,$B$2,Q$4)),0))</f>
        <v>0</v>
      </c>
      <c r="R120" s="251">
        <f>IF(R$4&gt;DAY(EOMONTH(DATE($D$2,$B$2,1),0)),"",IFERROR(SUMIFS(DATA_GOC!$H:$H,DATA_GOC!$A:$A,"BOM",DATA_GOC!$D:$D,$B120,DATA_GOC!$E:$E,"Téc 2",DATA_GOC!$F:$F,"Xuất nội bộ từ téc",DATA_GOC!$B:$B,DATE($D$2,$B$2,R$4)),0))</f>
        <v>0</v>
      </c>
      <c r="S120" s="251">
        <f>IF(S$4&gt;DAY(EOMONTH(DATE($D$2,$B$2,1),0)),"",IFERROR(SUMIFS(DATA_GOC!$H:$H,DATA_GOC!$A:$A,"BOM",DATA_GOC!$D:$D,$B120,DATA_GOC!$E:$E,"Téc 2",DATA_GOC!$F:$F,"Xuất nội bộ từ téc",DATA_GOC!$B:$B,DATE($D$2,$B$2,S$4)),0))</f>
        <v>0</v>
      </c>
      <c r="T120" s="251">
        <f>IF(T$4&gt;DAY(EOMONTH(DATE($D$2,$B$2,1),0)),"",IFERROR(SUMIFS(DATA_GOC!$H:$H,DATA_GOC!$A:$A,"BOM",DATA_GOC!$D:$D,$B120,DATA_GOC!$E:$E,"Téc 2",DATA_GOC!$F:$F,"Xuất nội bộ từ téc",DATA_GOC!$B:$B,DATE($D$2,$B$2,T$4)),0))</f>
        <v>0</v>
      </c>
      <c r="U120" s="251">
        <f>IF(U$4&gt;DAY(EOMONTH(DATE($D$2,$B$2,1),0)),"",IFERROR(SUMIFS(DATA_GOC!$H:$H,DATA_GOC!$A:$A,"BOM",DATA_GOC!$D:$D,$B120,DATA_GOC!$E:$E,"Téc 2",DATA_GOC!$F:$F,"Xuất nội bộ từ téc",DATA_GOC!$B:$B,DATE($D$2,$B$2,U$4)),0))</f>
        <v>0</v>
      </c>
      <c r="V120" s="251">
        <f>IF(V$4&gt;DAY(EOMONTH(DATE($D$2,$B$2,1),0)),"",IFERROR(SUMIFS(DATA_GOC!$H:$H,DATA_GOC!$A:$A,"BOM",DATA_GOC!$D:$D,$B120,DATA_GOC!$E:$E,"Téc 2",DATA_GOC!$F:$F,"Xuất nội bộ từ téc",DATA_GOC!$B:$B,DATE($D$2,$B$2,V$4)),0))</f>
        <v>0</v>
      </c>
      <c r="W120" s="251">
        <f>IF(W$4&gt;DAY(EOMONTH(DATE($D$2,$B$2,1),0)),"",IFERROR(SUMIFS(DATA_GOC!$H:$H,DATA_GOC!$A:$A,"BOM",DATA_GOC!$D:$D,$B120,DATA_GOC!$E:$E,"Téc 2",DATA_GOC!$F:$F,"Xuất nội bộ từ téc",DATA_GOC!$B:$B,DATE($D$2,$B$2,W$4)),0))</f>
        <v>0</v>
      </c>
      <c r="X120" s="251">
        <f>IF(X$4&gt;DAY(EOMONTH(DATE($D$2,$B$2,1),0)),"",IFERROR(SUMIFS(DATA_GOC!$H:$H,DATA_GOC!$A:$A,"BOM",DATA_GOC!$D:$D,$B120,DATA_GOC!$E:$E,"Téc 2",DATA_GOC!$F:$F,"Xuất nội bộ từ téc",DATA_GOC!$B:$B,DATE($D$2,$B$2,X$4)),0))</f>
        <v>0</v>
      </c>
      <c r="Y120" s="251">
        <f>IF(Y$4&gt;DAY(EOMONTH(DATE($D$2,$B$2,1),0)),"",IFERROR(SUMIFS(DATA_GOC!$H:$H,DATA_GOC!$A:$A,"BOM",DATA_GOC!$D:$D,$B120,DATA_GOC!$E:$E,"Téc 2",DATA_GOC!$F:$F,"Xuất nội bộ từ téc",DATA_GOC!$B:$B,DATE($D$2,$B$2,Y$4)),0))</f>
        <v>0</v>
      </c>
      <c r="Z120" s="251">
        <f>IF(Z$4&gt;DAY(EOMONTH(DATE($D$2,$B$2,1),0)),"",IFERROR(SUMIFS(DATA_GOC!$H:$H,DATA_GOC!$A:$A,"BOM",DATA_GOC!$D:$D,$B120,DATA_GOC!$E:$E,"Téc 2",DATA_GOC!$F:$F,"Xuất nội bộ từ téc",DATA_GOC!$B:$B,DATE($D$2,$B$2,Z$4)),0))</f>
        <v>0</v>
      </c>
      <c r="AA120" s="251">
        <f>IF(AA$4&gt;DAY(EOMONTH(DATE($D$2,$B$2,1),0)),"",IFERROR(SUMIFS(DATA_GOC!$H:$H,DATA_GOC!$A:$A,"BOM",DATA_GOC!$D:$D,$B120,DATA_GOC!$E:$E,"Téc 2",DATA_GOC!$F:$F,"Xuất nội bộ từ téc",DATA_GOC!$B:$B,DATE($D$2,$B$2,AA$4)),0))</f>
        <v>0</v>
      </c>
      <c r="AB120" s="251">
        <f>IF(AB$4&gt;DAY(EOMONTH(DATE($D$2,$B$2,1),0)),"",IFERROR(SUMIFS(DATA_GOC!$H:$H,DATA_GOC!$A:$A,"BOM",DATA_GOC!$D:$D,$B120,DATA_GOC!$E:$E,"Téc 2",DATA_GOC!$F:$F,"Xuất nội bộ từ téc",DATA_GOC!$B:$B,DATE($D$2,$B$2,AB$4)),0))</f>
        <v>0</v>
      </c>
      <c r="AC120" s="251">
        <f>IF(AC$4&gt;DAY(EOMONTH(DATE($D$2,$B$2,1),0)),"",IFERROR(SUMIFS(DATA_GOC!$H:$H,DATA_GOC!$A:$A,"BOM",DATA_GOC!$D:$D,$B120,DATA_GOC!$E:$E,"Téc 2",DATA_GOC!$F:$F,"Xuất nội bộ từ téc",DATA_GOC!$B:$B,DATE($D$2,$B$2,AC$4)),0))</f>
        <v>0</v>
      </c>
      <c r="AD120" s="251">
        <f>IF(AD$4&gt;DAY(EOMONTH(DATE($D$2,$B$2,1),0)),"",IFERROR(SUMIFS(DATA_GOC!$H:$H,DATA_GOC!$A:$A,"BOM",DATA_GOC!$D:$D,$B120,DATA_GOC!$E:$E,"Téc 2",DATA_GOC!$F:$F,"Xuất nội bộ từ téc",DATA_GOC!$B:$B,DATE($D$2,$B$2,AD$4)),0))</f>
        <v>0</v>
      </c>
      <c r="AE120" s="251">
        <f>IF(AE$4&gt;DAY(EOMONTH(DATE($D$2,$B$2,1),0)),"",IFERROR(SUMIFS(DATA_GOC!$H:$H,DATA_GOC!$A:$A,"BOM",DATA_GOC!$D:$D,$B120,DATA_GOC!$E:$E,"Téc 2",DATA_GOC!$F:$F,"Xuất nội bộ từ téc",DATA_GOC!$B:$B,DATE($D$2,$B$2,AE$4)),0))</f>
        <v>0</v>
      </c>
      <c r="AF120" s="251">
        <f>IF(AF$4&gt;DAY(EOMONTH(DATE($D$2,$B$2,1),0)),"",IFERROR(SUMIFS(DATA_GOC!$H:$H,DATA_GOC!$A:$A,"BOM",DATA_GOC!$D:$D,$B120,DATA_GOC!$E:$E,"Téc 2",DATA_GOC!$F:$F,"Xuất nội bộ từ téc",DATA_GOC!$B:$B,DATE($D$2,$B$2,AF$4)),0))</f>
        <v>0</v>
      </c>
      <c r="AG120" s="251">
        <f>IF(AG$4&gt;DAY(EOMONTH(DATE($D$2,$B$2,1),0)),"",IFERROR(SUMIFS(DATA_GOC!$H:$H,DATA_GOC!$A:$A,"BOM",DATA_GOC!$D:$D,$B120,DATA_GOC!$E:$E,"Téc 2",DATA_GOC!$F:$F,"Xuất nội bộ từ téc",DATA_GOC!$B:$B,DATE($D$2,$B$2,AG$4)),0))</f>
        <v>0</v>
      </c>
      <c r="AH120" s="252">
        <f t="shared" si="4"/>
        <v>155</v>
      </c>
      <c r="AI120" s="241">
        <f>IFERROR(SUMIFS(DATA_GOC!$H:$H,DATA_GOC!$A:$A,"BOM",DATA_GOC!$D:$D,$B120,DATA_GOC!$E:$E,"Bơm ngoài/Hải Tân",DATA_GOC!$F:$F,"Bơm ngoài",DATA_GOC!$B:$B,"&gt;="&amp;DATE($D$2,$B$2,1),DATA_GOC!$B:$B,"&lt;="&amp;EOMONTH(DATE($D$2,$B$2,1),0)),0)</f>
        <v>0</v>
      </c>
      <c r="AJ120" s="242">
        <f>IF($B120="","",SUMIFS(TINH_TEC!$K$233:$K$9232,TINH_TEC!$H$233:$H$9232,$B120,TINH_TEC!$C$233:$C$9232,"Téc 2",TINH_TEC!$F$233:$F$9232,$B$2,TINH_TEC!$G$233:$G$9232,$D$2,TINH_TEC!$B$233:$B$9232,"Đã chốt"))</f>
        <v>0</v>
      </c>
      <c r="AK120" s="242">
        <f>IF($B120="","",SUMIFS(TINH_TEC!$J$233:$J$9232,TINH_TEC!$H$233:$H$9232,$B120,TINH_TEC!$C$233:$C$9232,"Téc 2",TINH_TEC!$F$233:$F$9232,$B$2,TINH_TEC!$G$233:$G$9232,$D$2,TINH_TEC!$B$233:$B$9232,"Đã chốt"))</f>
        <v>26.151</v>
      </c>
      <c r="AL120" s="242">
        <f t="shared" si="5"/>
        <v>181.151</v>
      </c>
    </row>
    <row r="121" ht="15.75" customHeight="1">
      <c r="A121" s="237">
        <f>IF($B121&lt;&gt;"",55,"")</f>
        <v>55</v>
      </c>
      <c r="B121" s="250" t="str">
        <f t="array" ref="B121">IFERROR(INDEX(DANH_MUC!$E:$E,58),"")</f>
        <v>Cát nghiền</v>
      </c>
      <c r="C121" s="251">
        <f>IF(C$4&gt;DAY(EOMONTH(DATE($D$2,$B$2,1),0)),"",IFERROR(SUMIFS(DATA_GOC!$H:$H,DATA_GOC!$A:$A,"BOM",DATA_GOC!$D:$D,$B121,DATA_GOC!$E:$E,"Téc 2",DATA_GOC!$F:$F,"Xuất nội bộ từ téc",DATA_GOC!$B:$B,DATE($D$2,$B$2,C$4)),0))</f>
        <v>0</v>
      </c>
      <c r="D121" s="251">
        <f>IF(D$4&gt;DAY(EOMONTH(DATE($D$2,$B$2,1),0)),"",IFERROR(SUMIFS(DATA_GOC!$H:$H,DATA_GOC!$A:$A,"BOM",DATA_GOC!$D:$D,$B121,DATA_GOC!$E:$E,"Téc 2",DATA_GOC!$F:$F,"Xuất nội bộ từ téc",DATA_GOC!$B:$B,DATE($D$2,$B$2,D$4)),0))</f>
        <v>0</v>
      </c>
      <c r="E121" s="251">
        <f>IF(E$4&gt;DAY(EOMONTH(DATE($D$2,$B$2,1),0)),"",IFERROR(SUMIFS(DATA_GOC!$H:$H,DATA_GOC!$A:$A,"BOM",DATA_GOC!$D:$D,$B121,DATA_GOC!$E:$E,"Téc 2",DATA_GOC!$F:$F,"Xuất nội bộ từ téc",DATA_GOC!$B:$B,DATE($D$2,$B$2,E$4)),0))</f>
        <v>0</v>
      </c>
      <c r="F121" s="251">
        <f>IF(F$4&gt;DAY(EOMONTH(DATE($D$2,$B$2,1),0)),"",IFERROR(SUMIFS(DATA_GOC!$H:$H,DATA_GOC!$A:$A,"BOM",DATA_GOC!$D:$D,$B121,DATA_GOC!$E:$E,"Téc 2",DATA_GOC!$F:$F,"Xuất nội bộ từ téc",DATA_GOC!$B:$B,DATE($D$2,$B$2,F$4)),0))</f>
        <v>0</v>
      </c>
      <c r="G121" s="251">
        <f>IF(G$4&gt;DAY(EOMONTH(DATE($D$2,$B$2,1),0)),"",IFERROR(SUMIFS(DATA_GOC!$H:$H,DATA_GOC!$A:$A,"BOM",DATA_GOC!$D:$D,$B121,DATA_GOC!$E:$E,"Téc 2",DATA_GOC!$F:$F,"Xuất nội bộ từ téc",DATA_GOC!$B:$B,DATE($D$2,$B$2,G$4)),0))</f>
        <v>0</v>
      </c>
      <c r="H121" s="251">
        <f>IF(H$4&gt;DAY(EOMONTH(DATE($D$2,$B$2,1),0)),"",IFERROR(SUMIFS(DATA_GOC!$H:$H,DATA_GOC!$A:$A,"BOM",DATA_GOC!$D:$D,$B121,DATA_GOC!$E:$E,"Téc 2",DATA_GOC!$F:$F,"Xuất nội bộ từ téc",DATA_GOC!$B:$B,DATE($D$2,$B$2,H$4)),0))</f>
        <v>0</v>
      </c>
      <c r="I121" s="251">
        <f>IF(I$4&gt;DAY(EOMONTH(DATE($D$2,$B$2,1),0)),"",IFERROR(SUMIFS(DATA_GOC!$H:$H,DATA_GOC!$A:$A,"BOM",DATA_GOC!$D:$D,$B121,DATA_GOC!$E:$E,"Téc 2",DATA_GOC!$F:$F,"Xuất nội bộ từ téc",DATA_GOC!$B:$B,DATE($D$2,$B$2,I$4)),0))</f>
        <v>0</v>
      </c>
      <c r="J121" s="251">
        <f>IF(J$4&gt;DAY(EOMONTH(DATE($D$2,$B$2,1),0)),"",IFERROR(SUMIFS(DATA_GOC!$H:$H,DATA_GOC!$A:$A,"BOM",DATA_GOC!$D:$D,$B121,DATA_GOC!$E:$E,"Téc 2",DATA_GOC!$F:$F,"Xuất nội bộ từ téc",DATA_GOC!$B:$B,DATE($D$2,$B$2,J$4)),0))</f>
        <v>0</v>
      </c>
      <c r="K121" s="251">
        <f>IF(K$4&gt;DAY(EOMONTH(DATE($D$2,$B$2,1),0)),"",IFERROR(SUMIFS(DATA_GOC!$H:$H,DATA_GOC!$A:$A,"BOM",DATA_GOC!$D:$D,$B121,DATA_GOC!$E:$E,"Téc 2",DATA_GOC!$F:$F,"Xuất nội bộ từ téc",DATA_GOC!$B:$B,DATE($D$2,$B$2,K$4)),0))</f>
        <v>0</v>
      </c>
      <c r="L121" s="251">
        <f>IF(L$4&gt;DAY(EOMONTH(DATE($D$2,$B$2,1),0)),"",IFERROR(SUMIFS(DATA_GOC!$H:$H,DATA_GOC!$A:$A,"BOM",DATA_GOC!$D:$D,$B121,DATA_GOC!$E:$E,"Téc 2",DATA_GOC!$F:$F,"Xuất nội bộ từ téc",DATA_GOC!$B:$B,DATE($D$2,$B$2,L$4)),0))</f>
        <v>0</v>
      </c>
      <c r="M121" s="251">
        <f>IF(M$4&gt;DAY(EOMONTH(DATE($D$2,$B$2,1),0)),"",IFERROR(SUMIFS(DATA_GOC!$H:$H,DATA_GOC!$A:$A,"BOM",DATA_GOC!$D:$D,$B121,DATA_GOC!$E:$E,"Téc 2",DATA_GOC!$F:$F,"Xuất nội bộ từ téc",DATA_GOC!$B:$B,DATE($D$2,$B$2,M$4)),0))</f>
        <v>0</v>
      </c>
      <c r="N121" s="251">
        <f>IF(N$4&gt;DAY(EOMONTH(DATE($D$2,$B$2,1),0)),"",IFERROR(SUMIFS(DATA_GOC!$H:$H,DATA_GOC!$A:$A,"BOM",DATA_GOC!$D:$D,$B121,DATA_GOC!$E:$E,"Téc 2",DATA_GOC!$F:$F,"Xuất nội bộ từ téc",DATA_GOC!$B:$B,DATE($D$2,$B$2,N$4)),0))</f>
        <v>0</v>
      </c>
      <c r="O121" s="251">
        <f>IF(O$4&gt;DAY(EOMONTH(DATE($D$2,$B$2,1),0)),"",IFERROR(SUMIFS(DATA_GOC!$H:$H,DATA_GOC!$A:$A,"BOM",DATA_GOC!$D:$D,$B121,DATA_GOC!$E:$E,"Téc 2",DATA_GOC!$F:$F,"Xuất nội bộ từ téc",DATA_GOC!$B:$B,DATE($D$2,$B$2,O$4)),0))</f>
        <v>0</v>
      </c>
      <c r="P121" s="251">
        <f>IF(P$4&gt;DAY(EOMONTH(DATE($D$2,$B$2,1),0)),"",IFERROR(SUMIFS(DATA_GOC!$H:$H,DATA_GOC!$A:$A,"BOM",DATA_GOC!$D:$D,$B121,DATA_GOC!$E:$E,"Téc 2",DATA_GOC!$F:$F,"Xuất nội bộ từ téc",DATA_GOC!$B:$B,DATE($D$2,$B$2,P$4)),0))</f>
        <v>0</v>
      </c>
      <c r="Q121" s="251">
        <f>IF(Q$4&gt;DAY(EOMONTH(DATE($D$2,$B$2,1),0)),"",IFERROR(SUMIFS(DATA_GOC!$H:$H,DATA_GOC!$A:$A,"BOM",DATA_GOC!$D:$D,$B121,DATA_GOC!$E:$E,"Téc 2",DATA_GOC!$F:$F,"Xuất nội bộ từ téc",DATA_GOC!$B:$B,DATE($D$2,$B$2,Q$4)),0))</f>
        <v>0</v>
      </c>
      <c r="R121" s="251">
        <f>IF(R$4&gt;DAY(EOMONTH(DATE($D$2,$B$2,1),0)),"",IFERROR(SUMIFS(DATA_GOC!$H:$H,DATA_GOC!$A:$A,"BOM",DATA_GOC!$D:$D,$B121,DATA_GOC!$E:$E,"Téc 2",DATA_GOC!$F:$F,"Xuất nội bộ từ téc",DATA_GOC!$B:$B,DATE($D$2,$B$2,R$4)),0))</f>
        <v>0</v>
      </c>
      <c r="S121" s="251">
        <f>IF(S$4&gt;DAY(EOMONTH(DATE($D$2,$B$2,1),0)),"",IFERROR(SUMIFS(DATA_GOC!$H:$H,DATA_GOC!$A:$A,"BOM",DATA_GOC!$D:$D,$B121,DATA_GOC!$E:$E,"Téc 2",DATA_GOC!$F:$F,"Xuất nội bộ từ téc",DATA_GOC!$B:$B,DATE($D$2,$B$2,S$4)),0))</f>
        <v>0</v>
      </c>
      <c r="T121" s="251">
        <f>IF(T$4&gt;DAY(EOMONTH(DATE($D$2,$B$2,1),0)),"",IFERROR(SUMIFS(DATA_GOC!$H:$H,DATA_GOC!$A:$A,"BOM",DATA_GOC!$D:$D,$B121,DATA_GOC!$E:$E,"Téc 2",DATA_GOC!$F:$F,"Xuất nội bộ từ téc",DATA_GOC!$B:$B,DATE($D$2,$B$2,T$4)),0))</f>
        <v>0</v>
      </c>
      <c r="U121" s="251">
        <f>IF(U$4&gt;DAY(EOMONTH(DATE($D$2,$B$2,1),0)),"",IFERROR(SUMIFS(DATA_GOC!$H:$H,DATA_GOC!$A:$A,"BOM",DATA_GOC!$D:$D,$B121,DATA_GOC!$E:$E,"Téc 2",DATA_GOC!$F:$F,"Xuất nội bộ từ téc",DATA_GOC!$B:$B,DATE($D$2,$B$2,U$4)),0))</f>
        <v>0</v>
      </c>
      <c r="V121" s="251">
        <f>IF(V$4&gt;DAY(EOMONTH(DATE($D$2,$B$2,1),0)),"",IFERROR(SUMIFS(DATA_GOC!$H:$H,DATA_GOC!$A:$A,"BOM",DATA_GOC!$D:$D,$B121,DATA_GOC!$E:$E,"Téc 2",DATA_GOC!$F:$F,"Xuất nội bộ từ téc",DATA_GOC!$B:$B,DATE($D$2,$B$2,V$4)),0))</f>
        <v>0</v>
      </c>
      <c r="W121" s="251">
        <f>IF(W$4&gt;DAY(EOMONTH(DATE($D$2,$B$2,1),0)),"",IFERROR(SUMIFS(DATA_GOC!$H:$H,DATA_GOC!$A:$A,"BOM",DATA_GOC!$D:$D,$B121,DATA_GOC!$E:$E,"Téc 2",DATA_GOC!$F:$F,"Xuất nội bộ từ téc",DATA_GOC!$B:$B,DATE($D$2,$B$2,W$4)),0))</f>
        <v>0</v>
      </c>
      <c r="X121" s="251">
        <f>IF(X$4&gt;DAY(EOMONTH(DATE($D$2,$B$2,1),0)),"",IFERROR(SUMIFS(DATA_GOC!$H:$H,DATA_GOC!$A:$A,"BOM",DATA_GOC!$D:$D,$B121,DATA_GOC!$E:$E,"Téc 2",DATA_GOC!$F:$F,"Xuất nội bộ từ téc",DATA_GOC!$B:$B,DATE($D$2,$B$2,X$4)),0))</f>
        <v>0</v>
      </c>
      <c r="Y121" s="251">
        <f>IF(Y$4&gt;DAY(EOMONTH(DATE($D$2,$B$2,1),0)),"",IFERROR(SUMIFS(DATA_GOC!$H:$H,DATA_GOC!$A:$A,"BOM",DATA_GOC!$D:$D,$B121,DATA_GOC!$E:$E,"Téc 2",DATA_GOC!$F:$F,"Xuất nội bộ từ téc",DATA_GOC!$B:$B,DATE($D$2,$B$2,Y$4)),0))</f>
        <v>0</v>
      </c>
      <c r="Z121" s="251">
        <f>IF(Z$4&gt;DAY(EOMONTH(DATE($D$2,$B$2,1),0)),"",IFERROR(SUMIFS(DATA_GOC!$H:$H,DATA_GOC!$A:$A,"BOM",DATA_GOC!$D:$D,$B121,DATA_GOC!$E:$E,"Téc 2",DATA_GOC!$F:$F,"Xuất nội bộ từ téc",DATA_GOC!$B:$B,DATE($D$2,$B$2,Z$4)),0))</f>
        <v>0</v>
      </c>
      <c r="AA121" s="251">
        <f>IF(AA$4&gt;DAY(EOMONTH(DATE($D$2,$B$2,1),0)),"",IFERROR(SUMIFS(DATA_GOC!$H:$H,DATA_GOC!$A:$A,"BOM",DATA_GOC!$D:$D,$B121,DATA_GOC!$E:$E,"Téc 2",DATA_GOC!$F:$F,"Xuất nội bộ từ téc",DATA_GOC!$B:$B,DATE($D$2,$B$2,AA$4)),0))</f>
        <v>0</v>
      </c>
      <c r="AB121" s="251">
        <f>IF(AB$4&gt;DAY(EOMONTH(DATE($D$2,$B$2,1),0)),"",IFERROR(SUMIFS(DATA_GOC!$H:$H,DATA_GOC!$A:$A,"BOM",DATA_GOC!$D:$D,$B121,DATA_GOC!$E:$E,"Téc 2",DATA_GOC!$F:$F,"Xuất nội bộ từ téc",DATA_GOC!$B:$B,DATE($D$2,$B$2,AB$4)),0))</f>
        <v>0</v>
      </c>
      <c r="AC121" s="251">
        <f>IF(AC$4&gt;DAY(EOMONTH(DATE($D$2,$B$2,1),0)),"",IFERROR(SUMIFS(DATA_GOC!$H:$H,DATA_GOC!$A:$A,"BOM",DATA_GOC!$D:$D,$B121,DATA_GOC!$E:$E,"Téc 2",DATA_GOC!$F:$F,"Xuất nội bộ từ téc",DATA_GOC!$B:$B,DATE($D$2,$B$2,AC$4)),0))</f>
        <v>0</v>
      </c>
      <c r="AD121" s="251">
        <f>IF(AD$4&gt;DAY(EOMONTH(DATE($D$2,$B$2,1),0)),"",IFERROR(SUMIFS(DATA_GOC!$H:$H,DATA_GOC!$A:$A,"BOM",DATA_GOC!$D:$D,$B121,DATA_GOC!$E:$E,"Téc 2",DATA_GOC!$F:$F,"Xuất nội bộ từ téc",DATA_GOC!$B:$B,DATE($D$2,$B$2,AD$4)),0))</f>
        <v>0</v>
      </c>
      <c r="AE121" s="251">
        <f>IF(AE$4&gt;DAY(EOMONTH(DATE($D$2,$B$2,1),0)),"",IFERROR(SUMIFS(DATA_GOC!$H:$H,DATA_GOC!$A:$A,"BOM",DATA_GOC!$D:$D,$B121,DATA_GOC!$E:$E,"Téc 2",DATA_GOC!$F:$F,"Xuất nội bộ từ téc",DATA_GOC!$B:$B,DATE($D$2,$B$2,AE$4)),0))</f>
        <v>0</v>
      </c>
      <c r="AF121" s="251">
        <f>IF(AF$4&gt;DAY(EOMONTH(DATE($D$2,$B$2,1),0)),"",IFERROR(SUMIFS(DATA_GOC!$H:$H,DATA_GOC!$A:$A,"BOM",DATA_GOC!$D:$D,$B121,DATA_GOC!$E:$E,"Téc 2",DATA_GOC!$F:$F,"Xuất nội bộ từ téc",DATA_GOC!$B:$B,DATE($D$2,$B$2,AF$4)),0))</f>
        <v>0</v>
      </c>
      <c r="AG121" s="251">
        <f>IF(AG$4&gt;DAY(EOMONTH(DATE($D$2,$B$2,1),0)),"",IFERROR(SUMIFS(DATA_GOC!$H:$H,DATA_GOC!$A:$A,"BOM",DATA_GOC!$D:$D,$B121,DATA_GOC!$E:$E,"Téc 2",DATA_GOC!$F:$F,"Xuất nội bộ từ téc",DATA_GOC!$B:$B,DATE($D$2,$B$2,AG$4)),0))</f>
        <v>0</v>
      </c>
      <c r="AH121" s="252">
        <f t="shared" si="4"/>
        <v>0</v>
      </c>
      <c r="AI121" s="241">
        <f>IFERROR(SUMIFS(DATA_GOC!$H:$H,DATA_GOC!$A:$A,"BOM",DATA_GOC!$D:$D,$B121,DATA_GOC!$E:$E,"Bơm ngoài/Hải Tân",DATA_GOC!$F:$F,"Bơm ngoài",DATA_GOC!$B:$B,"&gt;="&amp;DATE($D$2,$B$2,1),DATA_GOC!$B:$B,"&lt;="&amp;EOMONTH(DATE($D$2,$B$2,1),0)),0)</f>
        <v>0</v>
      </c>
      <c r="AJ121" s="242">
        <f>IF($B121="","",SUMIFS(TINH_TEC!$K$233:$K$9232,TINH_TEC!$H$233:$H$9232,$B121,TINH_TEC!$C$233:$C$9232,"Téc 2",TINH_TEC!$F$233:$F$9232,$B$2,TINH_TEC!$G$233:$G$9232,$D$2,TINH_TEC!$B$233:$B$9232,"Đã chốt"))</f>
        <v>0</v>
      </c>
      <c r="AK121" s="242">
        <f>IF($B121="","",SUMIFS(TINH_TEC!$J$233:$J$9232,TINH_TEC!$H$233:$H$9232,$B121,TINH_TEC!$C$233:$C$9232,"Téc 2",TINH_TEC!$F$233:$F$9232,$B$2,TINH_TEC!$G$233:$G$9232,$D$2,TINH_TEC!$B$233:$B$9232,"Đã chốt"))</f>
        <v>0</v>
      </c>
      <c r="AL121" s="242">
        <f t="shared" si="5"/>
        <v>0</v>
      </c>
    </row>
    <row r="122" ht="15.75" customHeight="1">
      <c r="A122" s="237">
        <f>IF($B122&lt;&gt;"",56,"")</f>
        <v>56</v>
      </c>
      <c r="B122" s="250" t="str">
        <f t="array" ref="B122">IFERROR(INDEX(DANH_MUC!$E:$E,59),"")</f>
        <v>28C02973</v>
      </c>
      <c r="C122" s="251">
        <f>IF(C$4&gt;DAY(EOMONTH(DATE($D$2,$B$2,1),0)),"",IFERROR(SUMIFS(DATA_GOC!$H:$H,DATA_GOC!$A:$A,"BOM",DATA_GOC!$D:$D,$B122,DATA_GOC!$E:$E,"Téc 2",DATA_GOC!$F:$F,"Xuất nội bộ từ téc",DATA_GOC!$B:$B,DATE($D$2,$B$2,C$4)),0))</f>
        <v>0</v>
      </c>
      <c r="D122" s="251">
        <f>IF(D$4&gt;DAY(EOMONTH(DATE($D$2,$B$2,1),0)),"",IFERROR(SUMIFS(DATA_GOC!$H:$H,DATA_GOC!$A:$A,"BOM",DATA_GOC!$D:$D,$B122,DATA_GOC!$E:$E,"Téc 2",DATA_GOC!$F:$F,"Xuất nội bộ từ téc",DATA_GOC!$B:$B,DATE($D$2,$B$2,D$4)),0))</f>
        <v>0</v>
      </c>
      <c r="E122" s="251">
        <f>IF(E$4&gt;DAY(EOMONTH(DATE($D$2,$B$2,1),0)),"",IFERROR(SUMIFS(DATA_GOC!$H:$H,DATA_GOC!$A:$A,"BOM",DATA_GOC!$D:$D,$B122,DATA_GOC!$E:$E,"Téc 2",DATA_GOC!$F:$F,"Xuất nội bộ từ téc",DATA_GOC!$B:$B,DATE($D$2,$B$2,E$4)),0))</f>
        <v>0</v>
      </c>
      <c r="F122" s="251">
        <f>IF(F$4&gt;DAY(EOMONTH(DATE($D$2,$B$2,1),0)),"",IFERROR(SUMIFS(DATA_GOC!$H:$H,DATA_GOC!$A:$A,"BOM",DATA_GOC!$D:$D,$B122,DATA_GOC!$E:$E,"Téc 2",DATA_GOC!$F:$F,"Xuất nội bộ từ téc",DATA_GOC!$B:$B,DATE($D$2,$B$2,F$4)),0))</f>
        <v>0</v>
      </c>
      <c r="G122" s="251">
        <f>IF(G$4&gt;DAY(EOMONTH(DATE($D$2,$B$2,1),0)),"",IFERROR(SUMIFS(DATA_GOC!$H:$H,DATA_GOC!$A:$A,"BOM",DATA_GOC!$D:$D,$B122,DATA_GOC!$E:$E,"Téc 2",DATA_GOC!$F:$F,"Xuất nội bộ từ téc",DATA_GOC!$B:$B,DATE($D$2,$B$2,G$4)),0))</f>
        <v>0</v>
      </c>
      <c r="H122" s="251">
        <f>IF(H$4&gt;DAY(EOMONTH(DATE($D$2,$B$2,1),0)),"",IFERROR(SUMIFS(DATA_GOC!$H:$H,DATA_GOC!$A:$A,"BOM",DATA_GOC!$D:$D,$B122,DATA_GOC!$E:$E,"Téc 2",DATA_GOC!$F:$F,"Xuất nội bộ từ téc",DATA_GOC!$B:$B,DATE($D$2,$B$2,H$4)),0))</f>
        <v>255</v>
      </c>
      <c r="I122" s="251">
        <f>IF(I$4&gt;DAY(EOMONTH(DATE($D$2,$B$2,1),0)),"",IFERROR(SUMIFS(DATA_GOC!$H:$H,DATA_GOC!$A:$A,"BOM",DATA_GOC!$D:$D,$B122,DATA_GOC!$E:$E,"Téc 2",DATA_GOC!$F:$F,"Xuất nội bộ từ téc",DATA_GOC!$B:$B,DATE($D$2,$B$2,I$4)),0))</f>
        <v>0</v>
      </c>
      <c r="J122" s="251">
        <f>IF(J$4&gt;DAY(EOMONTH(DATE($D$2,$B$2,1),0)),"",IFERROR(SUMIFS(DATA_GOC!$H:$H,DATA_GOC!$A:$A,"BOM",DATA_GOC!$D:$D,$B122,DATA_GOC!$E:$E,"Téc 2",DATA_GOC!$F:$F,"Xuất nội bộ từ téc",DATA_GOC!$B:$B,DATE($D$2,$B$2,J$4)),0))</f>
        <v>0</v>
      </c>
      <c r="K122" s="251">
        <f>IF(K$4&gt;DAY(EOMONTH(DATE($D$2,$B$2,1),0)),"",IFERROR(SUMIFS(DATA_GOC!$H:$H,DATA_GOC!$A:$A,"BOM",DATA_GOC!$D:$D,$B122,DATA_GOC!$E:$E,"Téc 2",DATA_GOC!$F:$F,"Xuất nội bộ từ téc",DATA_GOC!$B:$B,DATE($D$2,$B$2,K$4)),0))</f>
        <v>0</v>
      </c>
      <c r="L122" s="251">
        <f>IF(L$4&gt;DAY(EOMONTH(DATE($D$2,$B$2,1),0)),"",IFERROR(SUMIFS(DATA_GOC!$H:$H,DATA_GOC!$A:$A,"BOM",DATA_GOC!$D:$D,$B122,DATA_GOC!$E:$E,"Téc 2",DATA_GOC!$F:$F,"Xuất nội bộ từ téc",DATA_GOC!$B:$B,DATE($D$2,$B$2,L$4)),0))</f>
        <v>0</v>
      </c>
      <c r="M122" s="251">
        <f>IF(M$4&gt;DAY(EOMONTH(DATE($D$2,$B$2,1),0)),"",IFERROR(SUMIFS(DATA_GOC!$H:$H,DATA_GOC!$A:$A,"BOM",DATA_GOC!$D:$D,$B122,DATA_GOC!$E:$E,"Téc 2",DATA_GOC!$F:$F,"Xuất nội bộ từ téc",DATA_GOC!$B:$B,DATE($D$2,$B$2,M$4)),0))</f>
        <v>0</v>
      </c>
      <c r="N122" s="251">
        <f>IF(N$4&gt;DAY(EOMONTH(DATE($D$2,$B$2,1),0)),"",IFERROR(SUMIFS(DATA_GOC!$H:$H,DATA_GOC!$A:$A,"BOM",DATA_GOC!$D:$D,$B122,DATA_GOC!$E:$E,"Téc 2",DATA_GOC!$F:$F,"Xuất nội bộ từ téc",DATA_GOC!$B:$B,DATE($D$2,$B$2,N$4)),0))</f>
        <v>0</v>
      </c>
      <c r="O122" s="251">
        <f>IF(O$4&gt;DAY(EOMONTH(DATE($D$2,$B$2,1),0)),"",IFERROR(SUMIFS(DATA_GOC!$H:$H,DATA_GOC!$A:$A,"BOM",DATA_GOC!$D:$D,$B122,DATA_GOC!$E:$E,"Téc 2",DATA_GOC!$F:$F,"Xuất nội bộ từ téc",DATA_GOC!$B:$B,DATE($D$2,$B$2,O$4)),0))</f>
        <v>0</v>
      </c>
      <c r="P122" s="251">
        <f>IF(P$4&gt;DAY(EOMONTH(DATE($D$2,$B$2,1),0)),"",IFERROR(SUMIFS(DATA_GOC!$H:$H,DATA_GOC!$A:$A,"BOM",DATA_GOC!$D:$D,$B122,DATA_GOC!$E:$E,"Téc 2",DATA_GOC!$F:$F,"Xuất nội bộ từ téc",DATA_GOC!$B:$B,DATE($D$2,$B$2,P$4)),0))</f>
        <v>0</v>
      </c>
      <c r="Q122" s="251">
        <f>IF(Q$4&gt;DAY(EOMONTH(DATE($D$2,$B$2,1),0)),"",IFERROR(SUMIFS(DATA_GOC!$H:$H,DATA_GOC!$A:$A,"BOM",DATA_GOC!$D:$D,$B122,DATA_GOC!$E:$E,"Téc 2",DATA_GOC!$F:$F,"Xuất nội bộ từ téc",DATA_GOC!$B:$B,DATE($D$2,$B$2,Q$4)),0))</f>
        <v>0</v>
      </c>
      <c r="R122" s="251">
        <f>IF(R$4&gt;DAY(EOMONTH(DATE($D$2,$B$2,1),0)),"",IFERROR(SUMIFS(DATA_GOC!$H:$H,DATA_GOC!$A:$A,"BOM",DATA_GOC!$D:$D,$B122,DATA_GOC!$E:$E,"Téc 2",DATA_GOC!$F:$F,"Xuất nội bộ từ téc",DATA_GOC!$B:$B,DATE($D$2,$B$2,R$4)),0))</f>
        <v>0</v>
      </c>
      <c r="S122" s="251">
        <f>IF(S$4&gt;DAY(EOMONTH(DATE($D$2,$B$2,1),0)),"",IFERROR(SUMIFS(DATA_GOC!$H:$H,DATA_GOC!$A:$A,"BOM",DATA_GOC!$D:$D,$B122,DATA_GOC!$E:$E,"Téc 2",DATA_GOC!$F:$F,"Xuất nội bộ từ téc",DATA_GOC!$B:$B,DATE($D$2,$B$2,S$4)),0))</f>
        <v>0</v>
      </c>
      <c r="T122" s="251">
        <f>IF(T$4&gt;DAY(EOMONTH(DATE($D$2,$B$2,1),0)),"",IFERROR(SUMIFS(DATA_GOC!$H:$H,DATA_GOC!$A:$A,"BOM",DATA_GOC!$D:$D,$B122,DATA_GOC!$E:$E,"Téc 2",DATA_GOC!$F:$F,"Xuất nội bộ từ téc",DATA_GOC!$B:$B,DATE($D$2,$B$2,T$4)),0))</f>
        <v>0</v>
      </c>
      <c r="U122" s="251">
        <f>IF(U$4&gt;DAY(EOMONTH(DATE($D$2,$B$2,1),0)),"",IFERROR(SUMIFS(DATA_GOC!$H:$H,DATA_GOC!$A:$A,"BOM",DATA_GOC!$D:$D,$B122,DATA_GOC!$E:$E,"Téc 2",DATA_GOC!$F:$F,"Xuất nội bộ từ téc",DATA_GOC!$B:$B,DATE($D$2,$B$2,U$4)),0))</f>
        <v>0</v>
      </c>
      <c r="V122" s="251">
        <f>IF(V$4&gt;DAY(EOMONTH(DATE($D$2,$B$2,1),0)),"",IFERROR(SUMIFS(DATA_GOC!$H:$H,DATA_GOC!$A:$A,"BOM",DATA_GOC!$D:$D,$B122,DATA_GOC!$E:$E,"Téc 2",DATA_GOC!$F:$F,"Xuất nội bộ từ téc",DATA_GOC!$B:$B,DATE($D$2,$B$2,V$4)),0))</f>
        <v>0</v>
      </c>
      <c r="W122" s="251">
        <f>IF(W$4&gt;DAY(EOMONTH(DATE($D$2,$B$2,1),0)),"",IFERROR(SUMIFS(DATA_GOC!$H:$H,DATA_GOC!$A:$A,"BOM",DATA_GOC!$D:$D,$B122,DATA_GOC!$E:$E,"Téc 2",DATA_GOC!$F:$F,"Xuất nội bộ từ téc",DATA_GOC!$B:$B,DATE($D$2,$B$2,W$4)),0))</f>
        <v>0</v>
      </c>
      <c r="X122" s="251">
        <f>IF(X$4&gt;DAY(EOMONTH(DATE($D$2,$B$2,1),0)),"",IFERROR(SUMIFS(DATA_GOC!$H:$H,DATA_GOC!$A:$A,"BOM",DATA_GOC!$D:$D,$B122,DATA_GOC!$E:$E,"Téc 2",DATA_GOC!$F:$F,"Xuất nội bộ từ téc",DATA_GOC!$B:$B,DATE($D$2,$B$2,X$4)),0))</f>
        <v>0</v>
      </c>
      <c r="Y122" s="251">
        <f>IF(Y$4&gt;DAY(EOMONTH(DATE($D$2,$B$2,1),0)),"",IFERROR(SUMIFS(DATA_GOC!$H:$H,DATA_GOC!$A:$A,"BOM",DATA_GOC!$D:$D,$B122,DATA_GOC!$E:$E,"Téc 2",DATA_GOC!$F:$F,"Xuất nội bộ từ téc",DATA_GOC!$B:$B,DATE($D$2,$B$2,Y$4)),0))</f>
        <v>0</v>
      </c>
      <c r="Z122" s="251">
        <f>IF(Z$4&gt;DAY(EOMONTH(DATE($D$2,$B$2,1),0)),"",IFERROR(SUMIFS(DATA_GOC!$H:$H,DATA_GOC!$A:$A,"BOM",DATA_GOC!$D:$D,$B122,DATA_GOC!$E:$E,"Téc 2",DATA_GOC!$F:$F,"Xuất nội bộ từ téc",DATA_GOC!$B:$B,DATE($D$2,$B$2,Z$4)),0))</f>
        <v>0</v>
      </c>
      <c r="AA122" s="251">
        <f>IF(AA$4&gt;DAY(EOMONTH(DATE($D$2,$B$2,1),0)),"",IFERROR(SUMIFS(DATA_GOC!$H:$H,DATA_GOC!$A:$A,"BOM",DATA_GOC!$D:$D,$B122,DATA_GOC!$E:$E,"Téc 2",DATA_GOC!$F:$F,"Xuất nội bộ từ téc",DATA_GOC!$B:$B,DATE($D$2,$B$2,AA$4)),0))</f>
        <v>0</v>
      </c>
      <c r="AB122" s="251">
        <f>IF(AB$4&gt;DAY(EOMONTH(DATE($D$2,$B$2,1),0)),"",IFERROR(SUMIFS(DATA_GOC!$H:$H,DATA_GOC!$A:$A,"BOM",DATA_GOC!$D:$D,$B122,DATA_GOC!$E:$E,"Téc 2",DATA_GOC!$F:$F,"Xuất nội bộ từ téc",DATA_GOC!$B:$B,DATE($D$2,$B$2,AB$4)),0))</f>
        <v>0</v>
      </c>
      <c r="AC122" s="251">
        <f>IF(AC$4&gt;DAY(EOMONTH(DATE($D$2,$B$2,1),0)),"",IFERROR(SUMIFS(DATA_GOC!$H:$H,DATA_GOC!$A:$A,"BOM",DATA_GOC!$D:$D,$B122,DATA_GOC!$E:$E,"Téc 2",DATA_GOC!$F:$F,"Xuất nội bộ từ téc",DATA_GOC!$B:$B,DATE($D$2,$B$2,AC$4)),0))</f>
        <v>0</v>
      </c>
      <c r="AD122" s="251">
        <f>IF(AD$4&gt;DAY(EOMONTH(DATE($D$2,$B$2,1),0)),"",IFERROR(SUMIFS(DATA_GOC!$H:$H,DATA_GOC!$A:$A,"BOM",DATA_GOC!$D:$D,$B122,DATA_GOC!$E:$E,"Téc 2",DATA_GOC!$F:$F,"Xuất nội bộ từ téc",DATA_GOC!$B:$B,DATE($D$2,$B$2,AD$4)),0))</f>
        <v>0</v>
      </c>
      <c r="AE122" s="251">
        <f>IF(AE$4&gt;DAY(EOMONTH(DATE($D$2,$B$2,1),0)),"",IFERROR(SUMIFS(DATA_GOC!$H:$H,DATA_GOC!$A:$A,"BOM",DATA_GOC!$D:$D,$B122,DATA_GOC!$E:$E,"Téc 2",DATA_GOC!$F:$F,"Xuất nội bộ từ téc",DATA_GOC!$B:$B,DATE($D$2,$B$2,AE$4)),0))</f>
        <v>0</v>
      </c>
      <c r="AF122" s="251">
        <f>IF(AF$4&gt;DAY(EOMONTH(DATE($D$2,$B$2,1),0)),"",IFERROR(SUMIFS(DATA_GOC!$H:$H,DATA_GOC!$A:$A,"BOM",DATA_GOC!$D:$D,$B122,DATA_GOC!$E:$E,"Téc 2",DATA_GOC!$F:$F,"Xuất nội bộ từ téc",DATA_GOC!$B:$B,DATE($D$2,$B$2,AF$4)),0))</f>
        <v>0</v>
      </c>
      <c r="AG122" s="251">
        <f>IF(AG$4&gt;DAY(EOMONTH(DATE($D$2,$B$2,1),0)),"",IFERROR(SUMIFS(DATA_GOC!$H:$H,DATA_GOC!$A:$A,"BOM",DATA_GOC!$D:$D,$B122,DATA_GOC!$E:$E,"Téc 2",DATA_GOC!$F:$F,"Xuất nội bộ từ téc",DATA_GOC!$B:$B,DATE($D$2,$B$2,AG$4)),0))</f>
        <v>0</v>
      </c>
      <c r="AH122" s="252">
        <f t="shared" si="4"/>
        <v>255</v>
      </c>
      <c r="AI122" s="241">
        <f>IFERROR(SUMIFS(DATA_GOC!$H:$H,DATA_GOC!$A:$A,"BOM",DATA_GOC!$D:$D,$B122,DATA_GOC!$E:$E,"Bơm ngoài/Hải Tân",DATA_GOC!$F:$F,"Bơm ngoài",DATA_GOC!$B:$B,"&gt;="&amp;DATE($D$2,$B$2,1),DATA_GOC!$B:$B,"&lt;="&amp;EOMONTH(DATE($D$2,$B$2,1),0)),0)</f>
        <v>0</v>
      </c>
      <c r="AJ122" s="242">
        <f>IF($B122="","",SUMIFS(TINH_TEC!$K$233:$K$9232,TINH_TEC!$H$233:$H$9232,$B122,TINH_TEC!$C$233:$C$9232,"Téc 2",TINH_TEC!$F$233:$F$9232,$B$2,TINH_TEC!$G$233:$G$9232,$D$2,TINH_TEC!$B$233:$B$9232,"Đã chốt"))</f>
        <v>0</v>
      </c>
      <c r="AK122" s="242">
        <f>IF($B122="","",SUMIFS(TINH_TEC!$J$233:$J$9232,TINH_TEC!$H$233:$H$9232,$B122,TINH_TEC!$C$233:$C$9232,"Téc 2",TINH_TEC!$F$233:$F$9232,$B$2,TINH_TEC!$G$233:$G$9232,$D$2,TINH_TEC!$B$233:$B$9232,"Đã chốt"))</f>
        <v>36.11</v>
      </c>
      <c r="AL122" s="242">
        <f t="shared" si="5"/>
        <v>291.11</v>
      </c>
    </row>
    <row r="123" ht="15.75" customHeight="1">
      <c r="A123" s="237">
        <f>IF($B123&lt;&gt;"",57,"")</f>
        <v>57</v>
      </c>
      <c r="B123" s="250" t="str">
        <f t="array" ref="B123">IFERROR(INDEX(DANH_MUC!$E:$E,60),"")</f>
        <v>28C03044</v>
      </c>
      <c r="C123" s="251">
        <f>IF(C$4&gt;DAY(EOMONTH(DATE($D$2,$B$2,1),0)),"",IFERROR(SUMIFS(DATA_GOC!$H:$H,DATA_GOC!$A:$A,"BOM",DATA_GOC!$D:$D,$B123,DATA_GOC!$E:$E,"Téc 2",DATA_GOC!$F:$F,"Xuất nội bộ từ téc",DATA_GOC!$B:$B,DATE($D$2,$B$2,C$4)),0))</f>
        <v>0</v>
      </c>
      <c r="D123" s="251">
        <f>IF(D$4&gt;DAY(EOMONTH(DATE($D$2,$B$2,1),0)),"",IFERROR(SUMIFS(DATA_GOC!$H:$H,DATA_GOC!$A:$A,"BOM",DATA_GOC!$D:$D,$B123,DATA_GOC!$E:$E,"Téc 2",DATA_GOC!$F:$F,"Xuất nội bộ từ téc",DATA_GOC!$B:$B,DATE($D$2,$B$2,D$4)),0))</f>
        <v>350</v>
      </c>
      <c r="E123" s="251">
        <f>IF(E$4&gt;DAY(EOMONTH(DATE($D$2,$B$2,1),0)),"",IFERROR(SUMIFS(DATA_GOC!$H:$H,DATA_GOC!$A:$A,"BOM",DATA_GOC!$D:$D,$B123,DATA_GOC!$E:$E,"Téc 2",DATA_GOC!$F:$F,"Xuất nội bộ từ téc",DATA_GOC!$B:$B,DATE($D$2,$B$2,E$4)),0))</f>
        <v>0</v>
      </c>
      <c r="F123" s="251">
        <f>IF(F$4&gt;DAY(EOMONTH(DATE($D$2,$B$2,1),0)),"",IFERROR(SUMIFS(DATA_GOC!$H:$H,DATA_GOC!$A:$A,"BOM",DATA_GOC!$D:$D,$B123,DATA_GOC!$E:$E,"Téc 2",DATA_GOC!$F:$F,"Xuất nội bộ từ téc",DATA_GOC!$B:$B,DATE($D$2,$B$2,F$4)),0))</f>
        <v>0</v>
      </c>
      <c r="G123" s="251">
        <f>IF(G$4&gt;DAY(EOMONTH(DATE($D$2,$B$2,1),0)),"",IFERROR(SUMIFS(DATA_GOC!$H:$H,DATA_GOC!$A:$A,"BOM",DATA_GOC!$D:$D,$B123,DATA_GOC!$E:$E,"Téc 2",DATA_GOC!$F:$F,"Xuất nội bộ từ téc",DATA_GOC!$B:$B,DATE($D$2,$B$2,G$4)),0))</f>
        <v>0</v>
      </c>
      <c r="H123" s="251">
        <f>IF(H$4&gt;DAY(EOMONTH(DATE($D$2,$B$2,1),0)),"",IFERROR(SUMIFS(DATA_GOC!$H:$H,DATA_GOC!$A:$A,"BOM",DATA_GOC!$D:$D,$B123,DATA_GOC!$E:$E,"Téc 2",DATA_GOC!$F:$F,"Xuất nội bộ từ téc",DATA_GOC!$B:$B,DATE($D$2,$B$2,H$4)),0))</f>
        <v>0</v>
      </c>
      <c r="I123" s="251">
        <f>IF(I$4&gt;DAY(EOMONTH(DATE($D$2,$B$2,1),0)),"",IFERROR(SUMIFS(DATA_GOC!$H:$H,DATA_GOC!$A:$A,"BOM",DATA_GOC!$D:$D,$B123,DATA_GOC!$E:$E,"Téc 2",DATA_GOC!$F:$F,"Xuất nội bộ từ téc",DATA_GOC!$B:$B,DATE($D$2,$B$2,I$4)),0))</f>
        <v>0</v>
      </c>
      <c r="J123" s="251">
        <f>IF(J$4&gt;DAY(EOMONTH(DATE($D$2,$B$2,1),0)),"",IFERROR(SUMIFS(DATA_GOC!$H:$H,DATA_GOC!$A:$A,"BOM",DATA_GOC!$D:$D,$B123,DATA_GOC!$E:$E,"Téc 2",DATA_GOC!$F:$F,"Xuất nội bộ từ téc",DATA_GOC!$B:$B,DATE($D$2,$B$2,J$4)),0))</f>
        <v>0</v>
      </c>
      <c r="K123" s="251">
        <f>IF(K$4&gt;DAY(EOMONTH(DATE($D$2,$B$2,1),0)),"",IFERROR(SUMIFS(DATA_GOC!$H:$H,DATA_GOC!$A:$A,"BOM",DATA_GOC!$D:$D,$B123,DATA_GOC!$E:$E,"Téc 2",DATA_GOC!$F:$F,"Xuất nội bộ từ téc",DATA_GOC!$B:$B,DATE($D$2,$B$2,K$4)),0))</f>
        <v>0</v>
      </c>
      <c r="L123" s="251">
        <f>IF(L$4&gt;DAY(EOMONTH(DATE($D$2,$B$2,1),0)),"",IFERROR(SUMIFS(DATA_GOC!$H:$H,DATA_GOC!$A:$A,"BOM",DATA_GOC!$D:$D,$B123,DATA_GOC!$E:$E,"Téc 2",DATA_GOC!$F:$F,"Xuất nội bộ từ téc",DATA_GOC!$B:$B,DATE($D$2,$B$2,L$4)),0))</f>
        <v>0</v>
      </c>
      <c r="M123" s="251">
        <f>IF(M$4&gt;DAY(EOMONTH(DATE($D$2,$B$2,1),0)),"",IFERROR(SUMIFS(DATA_GOC!$H:$H,DATA_GOC!$A:$A,"BOM",DATA_GOC!$D:$D,$B123,DATA_GOC!$E:$E,"Téc 2",DATA_GOC!$F:$F,"Xuất nội bộ từ téc",DATA_GOC!$B:$B,DATE($D$2,$B$2,M$4)),0))</f>
        <v>0</v>
      </c>
      <c r="N123" s="251">
        <f>IF(N$4&gt;DAY(EOMONTH(DATE($D$2,$B$2,1),0)),"",IFERROR(SUMIFS(DATA_GOC!$H:$H,DATA_GOC!$A:$A,"BOM",DATA_GOC!$D:$D,$B123,DATA_GOC!$E:$E,"Téc 2",DATA_GOC!$F:$F,"Xuất nội bộ từ téc",DATA_GOC!$B:$B,DATE($D$2,$B$2,N$4)),0))</f>
        <v>0</v>
      </c>
      <c r="O123" s="251">
        <f>IF(O$4&gt;DAY(EOMONTH(DATE($D$2,$B$2,1),0)),"",IFERROR(SUMIFS(DATA_GOC!$H:$H,DATA_GOC!$A:$A,"BOM",DATA_GOC!$D:$D,$B123,DATA_GOC!$E:$E,"Téc 2",DATA_GOC!$F:$F,"Xuất nội bộ từ téc",DATA_GOC!$B:$B,DATE($D$2,$B$2,O$4)),0))</f>
        <v>0</v>
      </c>
      <c r="P123" s="251">
        <f>IF(P$4&gt;DAY(EOMONTH(DATE($D$2,$B$2,1),0)),"",IFERROR(SUMIFS(DATA_GOC!$H:$H,DATA_GOC!$A:$A,"BOM",DATA_GOC!$D:$D,$B123,DATA_GOC!$E:$E,"Téc 2",DATA_GOC!$F:$F,"Xuất nội bộ từ téc",DATA_GOC!$B:$B,DATE($D$2,$B$2,P$4)),0))</f>
        <v>0</v>
      </c>
      <c r="Q123" s="251">
        <f>IF(Q$4&gt;DAY(EOMONTH(DATE($D$2,$B$2,1),0)),"",IFERROR(SUMIFS(DATA_GOC!$H:$H,DATA_GOC!$A:$A,"BOM",DATA_GOC!$D:$D,$B123,DATA_GOC!$E:$E,"Téc 2",DATA_GOC!$F:$F,"Xuất nội bộ từ téc",DATA_GOC!$B:$B,DATE($D$2,$B$2,Q$4)),0))</f>
        <v>0</v>
      </c>
      <c r="R123" s="251">
        <f>IF(R$4&gt;DAY(EOMONTH(DATE($D$2,$B$2,1),0)),"",IFERROR(SUMIFS(DATA_GOC!$H:$H,DATA_GOC!$A:$A,"BOM",DATA_GOC!$D:$D,$B123,DATA_GOC!$E:$E,"Téc 2",DATA_GOC!$F:$F,"Xuất nội bộ từ téc",DATA_GOC!$B:$B,DATE($D$2,$B$2,R$4)),0))</f>
        <v>0</v>
      </c>
      <c r="S123" s="251">
        <f>IF(S$4&gt;DAY(EOMONTH(DATE($D$2,$B$2,1),0)),"",IFERROR(SUMIFS(DATA_GOC!$H:$H,DATA_GOC!$A:$A,"BOM",DATA_GOC!$D:$D,$B123,DATA_GOC!$E:$E,"Téc 2",DATA_GOC!$F:$F,"Xuất nội bộ từ téc",DATA_GOC!$B:$B,DATE($D$2,$B$2,S$4)),0))</f>
        <v>0</v>
      </c>
      <c r="T123" s="251">
        <f>IF(T$4&gt;DAY(EOMONTH(DATE($D$2,$B$2,1),0)),"",IFERROR(SUMIFS(DATA_GOC!$H:$H,DATA_GOC!$A:$A,"BOM",DATA_GOC!$D:$D,$B123,DATA_GOC!$E:$E,"Téc 2",DATA_GOC!$F:$F,"Xuất nội bộ từ téc",DATA_GOC!$B:$B,DATE($D$2,$B$2,T$4)),0))</f>
        <v>0</v>
      </c>
      <c r="U123" s="251">
        <f>IF(U$4&gt;DAY(EOMONTH(DATE($D$2,$B$2,1),0)),"",IFERROR(SUMIFS(DATA_GOC!$H:$H,DATA_GOC!$A:$A,"BOM",DATA_GOC!$D:$D,$B123,DATA_GOC!$E:$E,"Téc 2",DATA_GOC!$F:$F,"Xuất nội bộ từ téc",DATA_GOC!$B:$B,DATE($D$2,$B$2,U$4)),0))</f>
        <v>0</v>
      </c>
      <c r="V123" s="251">
        <f>IF(V$4&gt;DAY(EOMONTH(DATE($D$2,$B$2,1),0)),"",IFERROR(SUMIFS(DATA_GOC!$H:$H,DATA_GOC!$A:$A,"BOM",DATA_GOC!$D:$D,$B123,DATA_GOC!$E:$E,"Téc 2",DATA_GOC!$F:$F,"Xuất nội bộ từ téc",DATA_GOC!$B:$B,DATE($D$2,$B$2,V$4)),0))</f>
        <v>0</v>
      </c>
      <c r="W123" s="251">
        <f>IF(W$4&gt;DAY(EOMONTH(DATE($D$2,$B$2,1),0)),"",IFERROR(SUMIFS(DATA_GOC!$H:$H,DATA_GOC!$A:$A,"BOM",DATA_GOC!$D:$D,$B123,DATA_GOC!$E:$E,"Téc 2",DATA_GOC!$F:$F,"Xuất nội bộ từ téc",DATA_GOC!$B:$B,DATE($D$2,$B$2,W$4)),0))</f>
        <v>0</v>
      </c>
      <c r="X123" s="251">
        <f>IF(X$4&gt;DAY(EOMONTH(DATE($D$2,$B$2,1),0)),"",IFERROR(SUMIFS(DATA_GOC!$H:$H,DATA_GOC!$A:$A,"BOM",DATA_GOC!$D:$D,$B123,DATA_GOC!$E:$E,"Téc 2",DATA_GOC!$F:$F,"Xuất nội bộ từ téc",DATA_GOC!$B:$B,DATE($D$2,$B$2,X$4)),0))</f>
        <v>0</v>
      </c>
      <c r="Y123" s="251">
        <f>IF(Y$4&gt;DAY(EOMONTH(DATE($D$2,$B$2,1),0)),"",IFERROR(SUMIFS(DATA_GOC!$H:$H,DATA_GOC!$A:$A,"BOM",DATA_GOC!$D:$D,$B123,DATA_GOC!$E:$E,"Téc 2",DATA_GOC!$F:$F,"Xuất nội bộ từ téc",DATA_GOC!$B:$B,DATE($D$2,$B$2,Y$4)),0))</f>
        <v>0</v>
      </c>
      <c r="Z123" s="251">
        <f>IF(Z$4&gt;DAY(EOMONTH(DATE($D$2,$B$2,1),0)),"",IFERROR(SUMIFS(DATA_GOC!$H:$H,DATA_GOC!$A:$A,"BOM",DATA_GOC!$D:$D,$B123,DATA_GOC!$E:$E,"Téc 2",DATA_GOC!$F:$F,"Xuất nội bộ từ téc",DATA_GOC!$B:$B,DATE($D$2,$B$2,Z$4)),0))</f>
        <v>0</v>
      </c>
      <c r="AA123" s="251">
        <f>IF(AA$4&gt;DAY(EOMONTH(DATE($D$2,$B$2,1),0)),"",IFERROR(SUMIFS(DATA_GOC!$H:$H,DATA_GOC!$A:$A,"BOM",DATA_GOC!$D:$D,$B123,DATA_GOC!$E:$E,"Téc 2",DATA_GOC!$F:$F,"Xuất nội bộ từ téc",DATA_GOC!$B:$B,DATE($D$2,$B$2,AA$4)),0))</f>
        <v>0</v>
      </c>
      <c r="AB123" s="251">
        <f>IF(AB$4&gt;DAY(EOMONTH(DATE($D$2,$B$2,1),0)),"",IFERROR(SUMIFS(DATA_GOC!$H:$H,DATA_GOC!$A:$A,"BOM",DATA_GOC!$D:$D,$B123,DATA_GOC!$E:$E,"Téc 2",DATA_GOC!$F:$F,"Xuất nội bộ từ téc",DATA_GOC!$B:$B,DATE($D$2,$B$2,AB$4)),0))</f>
        <v>0</v>
      </c>
      <c r="AC123" s="251">
        <f>IF(AC$4&gt;DAY(EOMONTH(DATE($D$2,$B$2,1),0)),"",IFERROR(SUMIFS(DATA_GOC!$H:$H,DATA_GOC!$A:$A,"BOM",DATA_GOC!$D:$D,$B123,DATA_GOC!$E:$E,"Téc 2",DATA_GOC!$F:$F,"Xuất nội bộ từ téc",DATA_GOC!$B:$B,DATE($D$2,$B$2,AC$4)),0))</f>
        <v>0</v>
      </c>
      <c r="AD123" s="251">
        <f>IF(AD$4&gt;DAY(EOMONTH(DATE($D$2,$B$2,1),0)),"",IFERROR(SUMIFS(DATA_GOC!$H:$H,DATA_GOC!$A:$A,"BOM",DATA_GOC!$D:$D,$B123,DATA_GOC!$E:$E,"Téc 2",DATA_GOC!$F:$F,"Xuất nội bộ từ téc",DATA_GOC!$B:$B,DATE($D$2,$B$2,AD$4)),0))</f>
        <v>0</v>
      </c>
      <c r="AE123" s="251">
        <f>IF(AE$4&gt;DAY(EOMONTH(DATE($D$2,$B$2,1),0)),"",IFERROR(SUMIFS(DATA_GOC!$H:$H,DATA_GOC!$A:$A,"BOM",DATA_GOC!$D:$D,$B123,DATA_GOC!$E:$E,"Téc 2",DATA_GOC!$F:$F,"Xuất nội bộ từ téc",DATA_GOC!$B:$B,DATE($D$2,$B$2,AE$4)),0))</f>
        <v>0</v>
      </c>
      <c r="AF123" s="251">
        <f>IF(AF$4&gt;DAY(EOMONTH(DATE($D$2,$B$2,1),0)),"",IFERROR(SUMIFS(DATA_GOC!$H:$H,DATA_GOC!$A:$A,"BOM",DATA_GOC!$D:$D,$B123,DATA_GOC!$E:$E,"Téc 2",DATA_GOC!$F:$F,"Xuất nội bộ từ téc",DATA_GOC!$B:$B,DATE($D$2,$B$2,AF$4)),0))</f>
        <v>0</v>
      </c>
      <c r="AG123" s="251">
        <f>IF(AG$4&gt;DAY(EOMONTH(DATE($D$2,$B$2,1),0)),"",IFERROR(SUMIFS(DATA_GOC!$H:$H,DATA_GOC!$A:$A,"BOM",DATA_GOC!$D:$D,$B123,DATA_GOC!$E:$E,"Téc 2",DATA_GOC!$F:$F,"Xuất nội bộ từ téc",DATA_GOC!$B:$B,DATE($D$2,$B$2,AG$4)),0))</f>
        <v>0</v>
      </c>
      <c r="AH123" s="252">
        <f t="shared" si="4"/>
        <v>350</v>
      </c>
      <c r="AI123" s="241">
        <f>IFERROR(SUMIFS(DATA_GOC!$H:$H,DATA_GOC!$A:$A,"BOM",DATA_GOC!$D:$D,$B123,DATA_GOC!$E:$E,"Bơm ngoài/Hải Tân",DATA_GOC!$F:$F,"Bơm ngoài",DATA_GOC!$B:$B,"&gt;="&amp;DATE($D$2,$B$2,1),DATA_GOC!$B:$B,"&lt;="&amp;EOMONTH(DATE($D$2,$B$2,1),0)),0)</f>
        <v>0</v>
      </c>
      <c r="AJ123" s="242">
        <f>IF($B123="","",SUMIFS(TINH_TEC!$K$233:$K$9232,TINH_TEC!$H$233:$H$9232,$B123,TINH_TEC!$C$233:$C$9232,"Téc 2",TINH_TEC!$F$233:$F$9232,$B$2,TINH_TEC!$G$233:$G$9232,$D$2,TINH_TEC!$B$233:$B$9232,"Đã chốt"))</f>
        <v>0</v>
      </c>
      <c r="AK123" s="242">
        <f>IF($B123="","",SUMIFS(TINH_TEC!$J$233:$J$9232,TINH_TEC!$H$233:$H$9232,$B123,TINH_TEC!$C$233:$C$9232,"Téc 2",TINH_TEC!$F$233:$F$9232,$B$2,TINH_TEC!$G$233:$G$9232,$D$2,TINH_TEC!$B$233:$B$9232,"Đã chốt"))</f>
        <v>20.385</v>
      </c>
      <c r="AL123" s="242">
        <f t="shared" si="5"/>
        <v>370.385</v>
      </c>
    </row>
    <row r="124" ht="15.75" customHeight="1">
      <c r="A124" s="237">
        <f>IF($B124&lt;&gt;"",58,"")</f>
        <v>58</v>
      </c>
      <c r="B124" s="250" t="str">
        <f t="array" ref="B124">IFERROR(INDEX(DANH_MUC!$E:$E,61),"")</f>
        <v>Máy lu lốp</v>
      </c>
      <c r="C124" s="251">
        <f>IF(C$4&gt;DAY(EOMONTH(DATE($D$2,$B$2,1),0)),"",IFERROR(SUMIFS(DATA_GOC!$H:$H,DATA_GOC!$A:$A,"BOM",DATA_GOC!$D:$D,$B124,DATA_GOC!$E:$E,"Téc 2",DATA_GOC!$F:$F,"Xuất nội bộ từ téc",DATA_GOC!$B:$B,DATE($D$2,$B$2,C$4)),0))</f>
        <v>0</v>
      </c>
      <c r="D124" s="251">
        <f>IF(D$4&gt;DAY(EOMONTH(DATE($D$2,$B$2,1),0)),"",IFERROR(SUMIFS(DATA_GOC!$H:$H,DATA_GOC!$A:$A,"BOM",DATA_GOC!$D:$D,$B124,DATA_GOC!$E:$E,"Téc 2",DATA_GOC!$F:$F,"Xuất nội bộ từ téc",DATA_GOC!$B:$B,DATE($D$2,$B$2,D$4)),0))</f>
        <v>0</v>
      </c>
      <c r="E124" s="251">
        <f>IF(E$4&gt;DAY(EOMONTH(DATE($D$2,$B$2,1),0)),"",IFERROR(SUMIFS(DATA_GOC!$H:$H,DATA_GOC!$A:$A,"BOM",DATA_GOC!$D:$D,$B124,DATA_GOC!$E:$E,"Téc 2",DATA_GOC!$F:$F,"Xuất nội bộ từ téc",DATA_GOC!$B:$B,DATE($D$2,$B$2,E$4)),0))</f>
        <v>0</v>
      </c>
      <c r="F124" s="251">
        <f>IF(F$4&gt;DAY(EOMONTH(DATE($D$2,$B$2,1),0)),"",IFERROR(SUMIFS(DATA_GOC!$H:$H,DATA_GOC!$A:$A,"BOM",DATA_GOC!$D:$D,$B124,DATA_GOC!$E:$E,"Téc 2",DATA_GOC!$F:$F,"Xuất nội bộ từ téc",DATA_GOC!$B:$B,DATE($D$2,$B$2,F$4)),0))</f>
        <v>0</v>
      </c>
      <c r="G124" s="251">
        <f>IF(G$4&gt;DAY(EOMONTH(DATE($D$2,$B$2,1),0)),"",IFERROR(SUMIFS(DATA_GOC!$H:$H,DATA_GOC!$A:$A,"BOM",DATA_GOC!$D:$D,$B124,DATA_GOC!$E:$E,"Téc 2",DATA_GOC!$F:$F,"Xuất nội bộ từ téc",DATA_GOC!$B:$B,DATE($D$2,$B$2,G$4)),0))</f>
        <v>0</v>
      </c>
      <c r="H124" s="251">
        <f>IF(H$4&gt;DAY(EOMONTH(DATE($D$2,$B$2,1),0)),"",IFERROR(SUMIFS(DATA_GOC!$H:$H,DATA_GOC!$A:$A,"BOM",DATA_GOC!$D:$D,$B124,DATA_GOC!$E:$E,"Téc 2",DATA_GOC!$F:$F,"Xuất nội bộ từ téc",DATA_GOC!$B:$B,DATE($D$2,$B$2,H$4)),0))</f>
        <v>0</v>
      </c>
      <c r="I124" s="251">
        <f>IF(I$4&gt;DAY(EOMONTH(DATE($D$2,$B$2,1),0)),"",IFERROR(SUMIFS(DATA_GOC!$H:$H,DATA_GOC!$A:$A,"BOM",DATA_GOC!$D:$D,$B124,DATA_GOC!$E:$E,"Téc 2",DATA_GOC!$F:$F,"Xuất nội bộ từ téc",DATA_GOC!$B:$B,DATE($D$2,$B$2,I$4)),0))</f>
        <v>0</v>
      </c>
      <c r="J124" s="251">
        <f>IF(J$4&gt;DAY(EOMONTH(DATE($D$2,$B$2,1),0)),"",IFERROR(SUMIFS(DATA_GOC!$H:$H,DATA_GOC!$A:$A,"BOM",DATA_GOC!$D:$D,$B124,DATA_GOC!$E:$E,"Téc 2",DATA_GOC!$F:$F,"Xuất nội bộ từ téc",DATA_GOC!$B:$B,DATE($D$2,$B$2,J$4)),0))</f>
        <v>0</v>
      </c>
      <c r="K124" s="251">
        <f>IF(K$4&gt;DAY(EOMONTH(DATE($D$2,$B$2,1),0)),"",IFERROR(SUMIFS(DATA_GOC!$H:$H,DATA_GOC!$A:$A,"BOM",DATA_GOC!$D:$D,$B124,DATA_GOC!$E:$E,"Téc 2",DATA_GOC!$F:$F,"Xuất nội bộ từ téc",DATA_GOC!$B:$B,DATE($D$2,$B$2,K$4)),0))</f>
        <v>0</v>
      </c>
      <c r="L124" s="251">
        <f>IF(L$4&gt;DAY(EOMONTH(DATE($D$2,$B$2,1),0)),"",IFERROR(SUMIFS(DATA_GOC!$H:$H,DATA_GOC!$A:$A,"BOM",DATA_GOC!$D:$D,$B124,DATA_GOC!$E:$E,"Téc 2",DATA_GOC!$F:$F,"Xuất nội bộ từ téc",DATA_GOC!$B:$B,DATE($D$2,$B$2,L$4)),0))</f>
        <v>0</v>
      </c>
      <c r="M124" s="251">
        <f>IF(M$4&gt;DAY(EOMONTH(DATE($D$2,$B$2,1),0)),"",IFERROR(SUMIFS(DATA_GOC!$H:$H,DATA_GOC!$A:$A,"BOM",DATA_GOC!$D:$D,$B124,DATA_GOC!$E:$E,"Téc 2",DATA_GOC!$F:$F,"Xuất nội bộ từ téc",DATA_GOC!$B:$B,DATE($D$2,$B$2,M$4)),0))</f>
        <v>0</v>
      </c>
      <c r="N124" s="251">
        <f>IF(N$4&gt;DAY(EOMONTH(DATE($D$2,$B$2,1),0)),"",IFERROR(SUMIFS(DATA_GOC!$H:$H,DATA_GOC!$A:$A,"BOM",DATA_GOC!$D:$D,$B124,DATA_GOC!$E:$E,"Téc 2",DATA_GOC!$F:$F,"Xuất nội bộ từ téc",DATA_GOC!$B:$B,DATE($D$2,$B$2,N$4)),0))</f>
        <v>0</v>
      </c>
      <c r="O124" s="251">
        <f>IF(O$4&gt;DAY(EOMONTH(DATE($D$2,$B$2,1),0)),"",IFERROR(SUMIFS(DATA_GOC!$H:$H,DATA_GOC!$A:$A,"BOM",DATA_GOC!$D:$D,$B124,DATA_GOC!$E:$E,"Téc 2",DATA_GOC!$F:$F,"Xuất nội bộ từ téc",DATA_GOC!$B:$B,DATE($D$2,$B$2,O$4)),0))</f>
        <v>0</v>
      </c>
      <c r="P124" s="251">
        <f>IF(P$4&gt;DAY(EOMONTH(DATE($D$2,$B$2,1),0)),"",IFERROR(SUMIFS(DATA_GOC!$H:$H,DATA_GOC!$A:$A,"BOM",DATA_GOC!$D:$D,$B124,DATA_GOC!$E:$E,"Téc 2",DATA_GOC!$F:$F,"Xuất nội bộ từ téc",DATA_GOC!$B:$B,DATE($D$2,$B$2,P$4)),0))</f>
        <v>0</v>
      </c>
      <c r="Q124" s="251">
        <f>IF(Q$4&gt;DAY(EOMONTH(DATE($D$2,$B$2,1),0)),"",IFERROR(SUMIFS(DATA_GOC!$H:$H,DATA_GOC!$A:$A,"BOM",DATA_GOC!$D:$D,$B124,DATA_GOC!$E:$E,"Téc 2",DATA_GOC!$F:$F,"Xuất nội bộ từ téc",DATA_GOC!$B:$B,DATE($D$2,$B$2,Q$4)),0))</f>
        <v>0</v>
      </c>
      <c r="R124" s="251">
        <f>IF(R$4&gt;DAY(EOMONTH(DATE($D$2,$B$2,1),0)),"",IFERROR(SUMIFS(DATA_GOC!$H:$H,DATA_GOC!$A:$A,"BOM",DATA_GOC!$D:$D,$B124,DATA_GOC!$E:$E,"Téc 2",DATA_GOC!$F:$F,"Xuất nội bộ từ téc",DATA_GOC!$B:$B,DATE($D$2,$B$2,R$4)),0))</f>
        <v>0</v>
      </c>
      <c r="S124" s="251">
        <f>IF(S$4&gt;DAY(EOMONTH(DATE($D$2,$B$2,1),0)),"",IFERROR(SUMIFS(DATA_GOC!$H:$H,DATA_GOC!$A:$A,"BOM",DATA_GOC!$D:$D,$B124,DATA_GOC!$E:$E,"Téc 2",DATA_GOC!$F:$F,"Xuất nội bộ từ téc",DATA_GOC!$B:$B,DATE($D$2,$B$2,S$4)),0))</f>
        <v>0</v>
      </c>
      <c r="T124" s="251">
        <f>IF(T$4&gt;DAY(EOMONTH(DATE($D$2,$B$2,1),0)),"",IFERROR(SUMIFS(DATA_GOC!$H:$H,DATA_GOC!$A:$A,"BOM",DATA_GOC!$D:$D,$B124,DATA_GOC!$E:$E,"Téc 2",DATA_GOC!$F:$F,"Xuất nội bộ từ téc",DATA_GOC!$B:$B,DATE($D$2,$B$2,T$4)),0))</f>
        <v>0</v>
      </c>
      <c r="U124" s="251">
        <f>IF(U$4&gt;DAY(EOMONTH(DATE($D$2,$B$2,1),0)),"",IFERROR(SUMIFS(DATA_GOC!$H:$H,DATA_GOC!$A:$A,"BOM",DATA_GOC!$D:$D,$B124,DATA_GOC!$E:$E,"Téc 2",DATA_GOC!$F:$F,"Xuất nội bộ từ téc",DATA_GOC!$B:$B,DATE($D$2,$B$2,U$4)),0))</f>
        <v>0</v>
      </c>
      <c r="V124" s="251">
        <f>IF(V$4&gt;DAY(EOMONTH(DATE($D$2,$B$2,1),0)),"",IFERROR(SUMIFS(DATA_GOC!$H:$H,DATA_GOC!$A:$A,"BOM",DATA_GOC!$D:$D,$B124,DATA_GOC!$E:$E,"Téc 2",DATA_GOC!$F:$F,"Xuất nội bộ từ téc",DATA_GOC!$B:$B,DATE($D$2,$B$2,V$4)),0))</f>
        <v>0</v>
      </c>
      <c r="W124" s="251">
        <f>IF(W$4&gt;DAY(EOMONTH(DATE($D$2,$B$2,1),0)),"",IFERROR(SUMIFS(DATA_GOC!$H:$H,DATA_GOC!$A:$A,"BOM",DATA_GOC!$D:$D,$B124,DATA_GOC!$E:$E,"Téc 2",DATA_GOC!$F:$F,"Xuất nội bộ từ téc",DATA_GOC!$B:$B,DATE($D$2,$B$2,W$4)),0))</f>
        <v>0</v>
      </c>
      <c r="X124" s="251">
        <f>IF(X$4&gt;DAY(EOMONTH(DATE($D$2,$B$2,1),0)),"",IFERROR(SUMIFS(DATA_GOC!$H:$H,DATA_GOC!$A:$A,"BOM",DATA_GOC!$D:$D,$B124,DATA_GOC!$E:$E,"Téc 2",DATA_GOC!$F:$F,"Xuất nội bộ từ téc",DATA_GOC!$B:$B,DATE($D$2,$B$2,X$4)),0))</f>
        <v>0</v>
      </c>
      <c r="Y124" s="251">
        <f>IF(Y$4&gt;DAY(EOMONTH(DATE($D$2,$B$2,1),0)),"",IFERROR(SUMIFS(DATA_GOC!$H:$H,DATA_GOC!$A:$A,"BOM",DATA_GOC!$D:$D,$B124,DATA_GOC!$E:$E,"Téc 2",DATA_GOC!$F:$F,"Xuất nội bộ từ téc",DATA_GOC!$B:$B,DATE($D$2,$B$2,Y$4)),0))</f>
        <v>0</v>
      </c>
      <c r="Z124" s="251">
        <f>IF(Z$4&gt;DAY(EOMONTH(DATE($D$2,$B$2,1),0)),"",IFERROR(SUMIFS(DATA_GOC!$H:$H,DATA_GOC!$A:$A,"BOM",DATA_GOC!$D:$D,$B124,DATA_GOC!$E:$E,"Téc 2",DATA_GOC!$F:$F,"Xuất nội bộ từ téc",DATA_GOC!$B:$B,DATE($D$2,$B$2,Z$4)),0))</f>
        <v>0</v>
      </c>
      <c r="AA124" s="251">
        <f>IF(AA$4&gt;DAY(EOMONTH(DATE($D$2,$B$2,1),0)),"",IFERROR(SUMIFS(DATA_GOC!$H:$H,DATA_GOC!$A:$A,"BOM",DATA_GOC!$D:$D,$B124,DATA_GOC!$E:$E,"Téc 2",DATA_GOC!$F:$F,"Xuất nội bộ từ téc",DATA_GOC!$B:$B,DATE($D$2,$B$2,AA$4)),0))</f>
        <v>0</v>
      </c>
      <c r="AB124" s="251">
        <f>IF(AB$4&gt;DAY(EOMONTH(DATE($D$2,$B$2,1),0)),"",IFERROR(SUMIFS(DATA_GOC!$H:$H,DATA_GOC!$A:$A,"BOM",DATA_GOC!$D:$D,$B124,DATA_GOC!$E:$E,"Téc 2",DATA_GOC!$F:$F,"Xuất nội bộ từ téc",DATA_GOC!$B:$B,DATE($D$2,$B$2,AB$4)),0))</f>
        <v>0</v>
      </c>
      <c r="AC124" s="251">
        <f>IF(AC$4&gt;DAY(EOMONTH(DATE($D$2,$B$2,1),0)),"",IFERROR(SUMIFS(DATA_GOC!$H:$H,DATA_GOC!$A:$A,"BOM",DATA_GOC!$D:$D,$B124,DATA_GOC!$E:$E,"Téc 2",DATA_GOC!$F:$F,"Xuất nội bộ từ téc",DATA_GOC!$B:$B,DATE($D$2,$B$2,AC$4)),0))</f>
        <v>0</v>
      </c>
      <c r="AD124" s="251">
        <f>IF(AD$4&gt;DAY(EOMONTH(DATE($D$2,$B$2,1),0)),"",IFERROR(SUMIFS(DATA_GOC!$H:$H,DATA_GOC!$A:$A,"BOM",DATA_GOC!$D:$D,$B124,DATA_GOC!$E:$E,"Téc 2",DATA_GOC!$F:$F,"Xuất nội bộ từ téc",DATA_GOC!$B:$B,DATE($D$2,$B$2,AD$4)),0))</f>
        <v>0</v>
      </c>
      <c r="AE124" s="251">
        <f>IF(AE$4&gt;DAY(EOMONTH(DATE($D$2,$B$2,1),0)),"",IFERROR(SUMIFS(DATA_GOC!$H:$H,DATA_GOC!$A:$A,"BOM",DATA_GOC!$D:$D,$B124,DATA_GOC!$E:$E,"Téc 2",DATA_GOC!$F:$F,"Xuất nội bộ từ téc",DATA_GOC!$B:$B,DATE($D$2,$B$2,AE$4)),0))</f>
        <v>0</v>
      </c>
      <c r="AF124" s="251">
        <f>IF(AF$4&gt;DAY(EOMONTH(DATE($D$2,$B$2,1),0)),"",IFERROR(SUMIFS(DATA_GOC!$H:$H,DATA_GOC!$A:$A,"BOM",DATA_GOC!$D:$D,$B124,DATA_GOC!$E:$E,"Téc 2",DATA_GOC!$F:$F,"Xuất nội bộ từ téc",DATA_GOC!$B:$B,DATE($D$2,$B$2,AF$4)),0))</f>
        <v>0</v>
      </c>
      <c r="AG124" s="251">
        <f>IF(AG$4&gt;DAY(EOMONTH(DATE($D$2,$B$2,1),0)),"",IFERROR(SUMIFS(DATA_GOC!$H:$H,DATA_GOC!$A:$A,"BOM",DATA_GOC!$D:$D,$B124,DATA_GOC!$E:$E,"Téc 2",DATA_GOC!$F:$F,"Xuất nội bộ từ téc",DATA_GOC!$B:$B,DATE($D$2,$B$2,AG$4)),0))</f>
        <v>0</v>
      </c>
      <c r="AH124" s="252">
        <f t="shared" si="4"/>
        <v>0</v>
      </c>
      <c r="AI124" s="241">
        <f>IFERROR(SUMIFS(DATA_GOC!$H:$H,DATA_GOC!$A:$A,"BOM",DATA_GOC!$D:$D,$B124,DATA_GOC!$E:$E,"Bơm ngoài/Hải Tân",DATA_GOC!$F:$F,"Bơm ngoài",DATA_GOC!$B:$B,"&gt;="&amp;DATE($D$2,$B$2,1),DATA_GOC!$B:$B,"&lt;="&amp;EOMONTH(DATE($D$2,$B$2,1),0)),0)</f>
        <v>0</v>
      </c>
      <c r="AJ124" s="242">
        <f>IF($B124="","",SUMIFS(TINH_TEC!$K$233:$K$9232,TINH_TEC!$H$233:$H$9232,$B124,TINH_TEC!$C$233:$C$9232,"Téc 2",TINH_TEC!$F$233:$F$9232,$B$2,TINH_TEC!$G$233:$G$9232,$D$2,TINH_TEC!$B$233:$B$9232,"Đã chốt"))</f>
        <v>0</v>
      </c>
      <c r="AK124" s="242">
        <f>IF($B124="","",SUMIFS(TINH_TEC!$J$233:$J$9232,TINH_TEC!$H$233:$H$9232,$B124,TINH_TEC!$C$233:$C$9232,"Téc 2",TINH_TEC!$F$233:$F$9232,$B$2,TINH_TEC!$G$233:$G$9232,$D$2,TINH_TEC!$B$233:$B$9232,"Đã chốt"))</f>
        <v>0</v>
      </c>
      <c r="AL124" s="242">
        <f t="shared" si="5"/>
        <v>0</v>
      </c>
    </row>
    <row r="125" ht="18.0" customHeight="1">
      <c r="A125" s="212"/>
      <c r="B125" s="253" t="s">
        <v>542</v>
      </c>
      <c r="C125" s="254">
        <f t="shared" ref="C125:AL125" si="6">SUM(C67:C124)</f>
        <v>0</v>
      </c>
      <c r="D125" s="254">
        <f t="shared" si="6"/>
        <v>477</v>
      </c>
      <c r="E125" s="254">
        <f t="shared" si="6"/>
        <v>2046</v>
      </c>
      <c r="F125" s="254">
        <f t="shared" si="6"/>
        <v>1414</v>
      </c>
      <c r="G125" s="254">
        <f t="shared" si="6"/>
        <v>230</v>
      </c>
      <c r="H125" s="254">
        <f t="shared" si="6"/>
        <v>1272</v>
      </c>
      <c r="I125" s="254">
        <f t="shared" si="6"/>
        <v>0</v>
      </c>
      <c r="J125" s="254">
        <f t="shared" si="6"/>
        <v>0</v>
      </c>
      <c r="K125" s="254">
        <f t="shared" si="6"/>
        <v>0</v>
      </c>
      <c r="L125" s="254">
        <f t="shared" si="6"/>
        <v>0</v>
      </c>
      <c r="M125" s="254">
        <f t="shared" si="6"/>
        <v>0</v>
      </c>
      <c r="N125" s="254">
        <f t="shared" si="6"/>
        <v>0</v>
      </c>
      <c r="O125" s="254">
        <f t="shared" si="6"/>
        <v>0</v>
      </c>
      <c r="P125" s="254">
        <f t="shared" si="6"/>
        <v>0</v>
      </c>
      <c r="Q125" s="254">
        <f t="shared" si="6"/>
        <v>0</v>
      </c>
      <c r="R125" s="254">
        <f t="shared" si="6"/>
        <v>0</v>
      </c>
      <c r="S125" s="254">
        <f t="shared" si="6"/>
        <v>0</v>
      </c>
      <c r="T125" s="254">
        <f t="shared" si="6"/>
        <v>0</v>
      </c>
      <c r="U125" s="254">
        <f t="shared" si="6"/>
        <v>0</v>
      </c>
      <c r="V125" s="254">
        <f t="shared" si="6"/>
        <v>0</v>
      </c>
      <c r="W125" s="254">
        <f t="shared" si="6"/>
        <v>0</v>
      </c>
      <c r="X125" s="254">
        <f t="shared" si="6"/>
        <v>0</v>
      </c>
      <c r="Y125" s="254">
        <f t="shared" si="6"/>
        <v>0</v>
      </c>
      <c r="Z125" s="254">
        <f t="shared" si="6"/>
        <v>0</v>
      </c>
      <c r="AA125" s="254">
        <f t="shared" si="6"/>
        <v>0</v>
      </c>
      <c r="AB125" s="254">
        <f t="shared" si="6"/>
        <v>0</v>
      </c>
      <c r="AC125" s="254">
        <f t="shared" si="6"/>
        <v>0</v>
      </c>
      <c r="AD125" s="254">
        <f t="shared" si="6"/>
        <v>0</v>
      </c>
      <c r="AE125" s="254">
        <f t="shared" si="6"/>
        <v>0</v>
      </c>
      <c r="AF125" s="254">
        <f t="shared" si="6"/>
        <v>0</v>
      </c>
      <c r="AG125" s="254">
        <f t="shared" si="6"/>
        <v>0</v>
      </c>
      <c r="AH125" s="255">
        <f t="shared" si="6"/>
        <v>5439</v>
      </c>
      <c r="AI125" s="256">
        <f t="shared" si="6"/>
        <v>0</v>
      </c>
      <c r="AJ125" s="257">
        <f t="shared" si="6"/>
        <v>0</v>
      </c>
      <c r="AK125" s="257">
        <f t="shared" si="6"/>
        <v>1259.669</v>
      </c>
      <c r="AL125" s="257">
        <f t="shared" si="6"/>
        <v>6698.669</v>
      </c>
    </row>
    <row r="126" ht="15.75" customHeight="1">
      <c r="A126" s="237"/>
      <c r="B126" s="250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2"/>
      <c r="AI126" s="241"/>
      <c r="AJ126" s="242"/>
      <c r="AK126" s="242"/>
      <c r="AL126" s="242"/>
    </row>
    <row r="127" ht="18.0" customHeight="1">
      <c r="A127" s="249" t="s">
        <v>543</v>
      </c>
    </row>
    <row r="128" ht="15.75" customHeight="1">
      <c r="A128" s="237">
        <f>IF($B128&lt;&gt;"",1,"")</f>
        <v>1</v>
      </c>
      <c r="B128" s="250" t="str">
        <f t="array" ref="B128">IFERROR(INDEX(DANH_MUC!$E:$E,4),"")</f>
        <v>19H09482</v>
      </c>
      <c r="C128" s="251">
        <f>IF(C$4&gt;DAY(EOMONTH(DATE($D$2,$B$2,1),0)),"",IFERROR(SUMIFS(DATA_GOC!$H:$H,DATA_GOC!$A:$A,"BOM",DATA_GOC!$D:$D,$B128,DATA_GOC!$E:$E,"Téc 3",DATA_GOC!$F:$F,"Xuất nội bộ từ téc",DATA_GOC!$B:$B,DATE($D$2,$B$2,C$4)),0))</f>
        <v>0</v>
      </c>
      <c r="D128" s="251">
        <f>IF(D$4&gt;DAY(EOMONTH(DATE($D$2,$B$2,1),0)),"",IFERROR(SUMIFS(DATA_GOC!$H:$H,DATA_GOC!$A:$A,"BOM",DATA_GOC!$D:$D,$B128,DATA_GOC!$E:$E,"Téc 3",DATA_GOC!$F:$F,"Xuất nội bộ từ téc",DATA_GOC!$B:$B,DATE($D$2,$B$2,D$4)),0))</f>
        <v>0</v>
      </c>
      <c r="E128" s="251">
        <f>IF(E$4&gt;DAY(EOMONTH(DATE($D$2,$B$2,1),0)),"",IFERROR(SUMIFS(DATA_GOC!$H:$H,DATA_GOC!$A:$A,"BOM",DATA_GOC!$D:$D,$B128,DATA_GOC!$E:$E,"Téc 3",DATA_GOC!$F:$F,"Xuất nội bộ từ téc",DATA_GOC!$B:$B,DATE($D$2,$B$2,E$4)),0))</f>
        <v>0</v>
      </c>
      <c r="F128" s="251">
        <f>IF(F$4&gt;DAY(EOMONTH(DATE($D$2,$B$2,1),0)),"",IFERROR(SUMIFS(DATA_GOC!$H:$H,DATA_GOC!$A:$A,"BOM",DATA_GOC!$D:$D,$B128,DATA_GOC!$E:$E,"Téc 3",DATA_GOC!$F:$F,"Xuất nội bộ từ téc",DATA_GOC!$B:$B,DATE($D$2,$B$2,F$4)),0))</f>
        <v>0</v>
      </c>
      <c r="G128" s="251">
        <f>IF(G$4&gt;DAY(EOMONTH(DATE($D$2,$B$2,1),0)),"",IFERROR(SUMIFS(DATA_GOC!$H:$H,DATA_GOC!$A:$A,"BOM",DATA_GOC!$D:$D,$B128,DATA_GOC!$E:$E,"Téc 3",DATA_GOC!$F:$F,"Xuất nội bộ từ téc",DATA_GOC!$B:$B,DATE($D$2,$B$2,G$4)),0))</f>
        <v>0</v>
      </c>
      <c r="H128" s="251">
        <f>IF(H$4&gt;DAY(EOMONTH(DATE($D$2,$B$2,1),0)),"",IFERROR(SUMIFS(DATA_GOC!$H:$H,DATA_GOC!$A:$A,"BOM",DATA_GOC!$D:$D,$B128,DATA_GOC!$E:$E,"Téc 3",DATA_GOC!$F:$F,"Xuất nội bộ từ téc",DATA_GOC!$B:$B,DATE($D$2,$B$2,H$4)),0))</f>
        <v>0</v>
      </c>
      <c r="I128" s="251">
        <f>IF(I$4&gt;DAY(EOMONTH(DATE($D$2,$B$2,1),0)),"",IFERROR(SUMIFS(DATA_GOC!$H:$H,DATA_GOC!$A:$A,"BOM",DATA_GOC!$D:$D,$B128,DATA_GOC!$E:$E,"Téc 3",DATA_GOC!$F:$F,"Xuất nội bộ từ téc",DATA_GOC!$B:$B,DATE($D$2,$B$2,I$4)),0))</f>
        <v>0</v>
      </c>
      <c r="J128" s="251">
        <f>IF(J$4&gt;DAY(EOMONTH(DATE($D$2,$B$2,1),0)),"",IFERROR(SUMIFS(DATA_GOC!$H:$H,DATA_GOC!$A:$A,"BOM",DATA_GOC!$D:$D,$B128,DATA_GOC!$E:$E,"Téc 3",DATA_GOC!$F:$F,"Xuất nội bộ từ téc",DATA_GOC!$B:$B,DATE($D$2,$B$2,J$4)),0))</f>
        <v>0</v>
      </c>
      <c r="K128" s="251">
        <f>IF(K$4&gt;DAY(EOMONTH(DATE($D$2,$B$2,1),0)),"",IFERROR(SUMIFS(DATA_GOC!$H:$H,DATA_GOC!$A:$A,"BOM",DATA_GOC!$D:$D,$B128,DATA_GOC!$E:$E,"Téc 3",DATA_GOC!$F:$F,"Xuất nội bộ từ téc",DATA_GOC!$B:$B,DATE($D$2,$B$2,K$4)),0))</f>
        <v>0</v>
      </c>
      <c r="L128" s="251">
        <f>IF(L$4&gt;DAY(EOMONTH(DATE($D$2,$B$2,1),0)),"",IFERROR(SUMIFS(DATA_GOC!$H:$H,DATA_GOC!$A:$A,"BOM",DATA_GOC!$D:$D,$B128,DATA_GOC!$E:$E,"Téc 3",DATA_GOC!$F:$F,"Xuất nội bộ từ téc",DATA_GOC!$B:$B,DATE($D$2,$B$2,L$4)),0))</f>
        <v>0</v>
      </c>
      <c r="M128" s="251">
        <f>IF(M$4&gt;DAY(EOMONTH(DATE($D$2,$B$2,1),0)),"",IFERROR(SUMIFS(DATA_GOC!$H:$H,DATA_GOC!$A:$A,"BOM",DATA_GOC!$D:$D,$B128,DATA_GOC!$E:$E,"Téc 3",DATA_GOC!$F:$F,"Xuất nội bộ từ téc",DATA_GOC!$B:$B,DATE($D$2,$B$2,M$4)),0))</f>
        <v>0</v>
      </c>
      <c r="N128" s="251">
        <f>IF(N$4&gt;DAY(EOMONTH(DATE($D$2,$B$2,1),0)),"",IFERROR(SUMIFS(DATA_GOC!$H:$H,DATA_GOC!$A:$A,"BOM",DATA_GOC!$D:$D,$B128,DATA_GOC!$E:$E,"Téc 3",DATA_GOC!$F:$F,"Xuất nội bộ từ téc",DATA_GOC!$B:$B,DATE($D$2,$B$2,N$4)),0))</f>
        <v>0</v>
      </c>
      <c r="O128" s="251">
        <f>IF(O$4&gt;DAY(EOMONTH(DATE($D$2,$B$2,1),0)),"",IFERROR(SUMIFS(DATA_GOC!$H:$H,DATA_GOC!$A:$A,"BOM",DATA_GOC!$D:$D,$B128,DATA_GOC!$E:$E,"Téc 3",DATA_GOC!$F:$F,"Xuất nội bộ từ téc",DATA_GOC!$B:$B,DATE($D$2,$B$2,O$4)),0))</f>
        <v>0</v>
      </c>
      <c r="P128" s="251">
        <f>IF(P$4&gt;DAY(EOMONTH(DATE($D$2,$B$2,1),0)),"",IFERROR(SUMIFS(DATA_GOC!$H:$H,DATA_GOC!$A:$A,"BOM",DATA_GOC!$D:$D,$B128,DATA_GOC!$E:$E,"Téc 3",DATA_GOC!$F:$F,"Xuất nội bộ từ téc",DATA_GOC!$B:$B,DATE($D$2,$B$2,P$4)),0))</f>
        <v>0</v>
      </c>
      <c r="Q128" s="251">
        <f>IF(Q$4&gt;DAY(EOMONTH(DATE($D$2,$B$2,1),0)),"",IFERROR(SUMIFS(DATA_GOC!$H:$H,DATA_GOC!$A:$A,"BOM",DATA_GOC!$D:$D,$B128,DATA_GOC!$E:$E,"Téc 3",DATA_GOC!$F:$F,"Xuất nội bộ từ téc",DATA_GOC!$B:$B,DATE($D$2,$B$2,Q$4)),0))</f>
        <v>0</v>
      </c>
      <c r="R128" s="251">
        <f>IF(R$4&gt;DAY(EOMONTH(DATE($D$2,$B$2,1),0)),"",IFERROR(SUMIFS(DATA_GOC!$H:$H,DATA_GOC!$A:$A,"BOM",DATA_GOC!$D:$D,$B128,DATA_GOC!$E:$E,"Téc 3",DATA_GOC!$F:$F,"Xuất nội bộ từ téc",DATA_GOC!$B:$B,DATE($D$2,$B$2,R$4)),0))</f>
        <v>0</v>
      </c>
      <c r="S128" s="251">
        <f>IF(S$4&gt;DAY(EOMONTH(DATE($D$2,$B$2,1),0)),"",IFERROR(SUMIFS(DATA_GOC!$H:$H,DATA_GOC!$A:$A,"BOM",DATA_GOC!$D:$D,$B128,DATA_GOC!$E:$E,"Téc 3",DATA_GOC!$F:$F,"Xuất nội bộ từ téc",DATA_GOC!$B:$B,DATE($D$2,$B$2,S$4)),0))</f>
        <v>0</v>
      </c>
      <c r="T128" s="251">
        <f>IF(T$4&gt;DAY(EOMONTH(DATE($D$2,$B$2,1),0)),"",IFERROR(SUMIFS(DATA_GOC!$H:$H,DATA_GOC!$A:$A,"BOM",DATA_GOC!$D:$D,$B128,DATA_GOC!$E:$E,"Téc 3",DATA_GOC!$F:$F,"Xuất nội bộ từ téc",DATA_GOC!$B:$B,DATE($D$2,$B$2,T$4)),0))</f>
        <v>0</v>
      </c>
      <c r="U128" s="251">
        <f>IF(U$4&gt;DAY(EOMONTH(DATE($D$2,$B$2,1),0)),"",IFERROR(SUMIFS(DATA_GOC!$H:$H,DATA_GOC!$A:$A,"BOM",DATA_GOC!$D:$D,$B128,DATA_GOC!$E:$E,"Téc 3",DATA_GOC!$F:$F,"Xuất nội bộ từ téc",DATA_GOC!$B:$B,DATE($D$2,$B$2,U$4)),0))</f>
        <v>0</v>
      </c>
      <c r="V128" s="251">
        <f>IF(V$4&gt;DAY(EOMONTH(DATE($D$2,$B$2,1),0)),"",IFERROR(SUMIFS(DATA_GOC!$H:$H,DATA_GOC!$A:$A,"BOM",DATA_GOC!$D:$D,$B128,DATA_GOC!$E:$E,"Téc 3",DATA_GOC!$F:$F,"Xuất nội bộ từ téc",DATA_GOC!$B:$B,DATE($D$2,$B$2,V$4)),0))</f>
        <v>0</v>
      </c>
      <c r="W128" s="251">
        <f>IF(W$4&gt;DAY(EOMONTH(DATE($D$2,$B$2,1),0)),"",IFERROR(SUMIFS(DATA_GOC!$H:$H,DATA_GOC!$A:$A,"BOM",DATA_GOC!$D:$D,$B128,DATA_GOC!$E:$E,"Téc 3",DATA_GOC!$F:$F,"Xuất nội bộ từ téc",DATA_GOC!$B:$B,DATE($D$2,$B$2,W$4)),0))</f>
        <v>0</v>
      </c>
      <c r="X128" s="251">
        <f>IF(X$4&gt;DAY(EOMONTH(DATE($D$2,$B$2,1),0)),"",IFERROR(SUMIFS(DATA_GOC!$H:$H,DATA_GOC!$A:$A,"BOM",DATA_GOC!$D:$D,$B128,DATA_GOC!$E:$E,"Téc 3",DATA_GOC!$F:$F,"Xuất nội bộ từ téc",DATA_GOC!$B:$B,DATE($D$2,$B$2,X$4)),0))</f>
        <v>0</v>
      </c>
      <c r="Y128" s="251">
        <f>IF(Y$4&gt;DAY(EOMONTH(DATE($D$2,$B$2,1),0)),"",IFERROR(SUMIFS(DATA_GOC!$H:$H,DATA_GOC!$A:$A,"BOM",DATA_GOC!$D:$D,$B128,DATA_GOC!$E:$E,"Téc 3",DATA_GOC!$F:$F,"Xuất nội bộ từ téc",DATA_GOC!$B:$B,DATE($D$2,$B$2,Y$4)),0))</f>
        <v>0</v>
      </c>
      <c r="Z128" s="251">
        <f>IF(Z$4&gt;DAY(EOMONTH(DATE($D$2,$B$2,1),0)),"",IFERROR(SUMIFS(DATA_GOC!$H:$H,DATA_GOC!$A:$A,"BOM",DATA_GOC!$D:$D,$B128,DATA_GOC!$E:$E,"Téc 3",DATA_GOC!$F:$F,"Xuất nội bộ từ téc",DATA_GOC!$B:$B,DATE($D$2,$B$2,Z$4)),0))</f>
        <v>0</v>
      </c>
      <c r="AA128" s="251">
        <f>IF(AA$4&gt;DAY(EOMONTH(DATE($D$2,$B$2,1),0)),"",IFERROR(SUMIFS(DATA_GOC!$H:$H,DATA_GOC!$A:$A,"BOM",DATA_GOC!$D:$D,$B128,DATA_GOC!$E:$E,"Téc 3",DATA_GOC!$F:$F,"Xuất nội bộ từ téc",DATA_GOC!$B:$B,DATE($D$2,$B$2,AA$4)),0))</f>
        <v>0</v>
      </c>
      <c r="AB128" s="251">
        <f>IF(AB$4&gt;DAY(EOMONTH(DATE($D$2,$B$2,1),0)),"",IFERROR(SUMIFS(DATA_GOC!$H:$H,DATA_GOC!$A:$A,"BOM",DATA_GOC!$D:$D,$B128,DATA_GOC!$E:$E,"Téc 3",DATA_GOC!$F:$F,"Xuất nội bộ từ téc",DATA_GOC!$B:$B,DATE($D$2,$B$2,AB$4)),0))</f>
        <v>0</v>
      </c>
      <c r="AC128" s="251">
        <f>IF(AC$4&gt;DAY(EOMONTH(DATE($D$2,$B$2,1),0)),"",IFERROR(SUMIFS(DATA_GOC!$H:$H,DATA_GOC!$A:$A,"BOM",DATA_GOC!$D:$D,$B128,DATA_GOC!$E:$E,"Téc 3",DATA_GOC!$F:$F,"Xuất nội bộ từ téc",DATA_GOC!$B:$B,DATE($D$2,$B$2,AC$4)),0))</f>
        <v>0</v>
      </c>
      <c r="AD128" s="251">
        <f>IF(AD$4&gt;DAY(EOMONTH(DATE($D$2,$B$2,1),0)),"",IFERROR(SUMIFS(DATA_GOC!$H:$H,DATA_GOC!$A:$A,"BOM",DATA_GOC!$D:$D,$B128,DATA_GOC!$E:$E,"Téc 3",DATA_GOC!$F:$F,"Xuất nội bộ từ téc",DATA_GOC!$B:$B,DATE($D$2,$B$2,AD$4)),0))</f>
        <v>0</v>
      </c>
      <c r="AE128" s="251">
        <f>IF(AE$4&gt;DAY(EOMONTH(DATE($D$2,$B$2,1),0)),"",IFERROR(SUMIFS(DATA_GOC!$H:$H,DATA_GOC!$A:$A,"BOM",DATA_GOC!$D:$D,$B128,DATA_GOC!$E:$E,"Téc 3",DATA_GOC!$F:$F,"Xuất nội bộ từ téc",DATA_GOC!$B:$B,DATE($D$2,$B$2,AE$4)),0))</f>
        <v>0</v>
      </c>
      <c r="AF128" s="251">
        <f>IF(AF$4&gt;DAY(EOMONTH(DATE($D$2,$B$2,1),0)),"",IFERROR(SUMIFS(DATA_GOC!$H:$H,DATA_GOC!$A:$A,"BOM",DATA_GOC!$D:$D,$B128,DATA_GOC!$E:$E,"Téc 3",DATA_GOC!$F:$F,"Xuất nội bộ từ téc",DATA_GOC!$B:$B,DATE($D$2,$B$2,AF$4)),0))</f>
        <v>0</v>
      </c>
      <c r="AG128" s="251">
        <f>IF(AG$4&gt;DAY(EOMONTH(DATE($D$2,$B$2,1),0)),"",IFERROR(SUMIFS(DATA_GOC!$H:$H,DATA_GOC!$A:$A,"BOM",DATA_GOC!$D:$D,$B128,DATA_GOC!$E:$E,"Téc 3",DATA_GOC!$F:$F,"Xuất nội bộ từ téc",DATA_GOC!$B:$B,DATE($D$2,$B$2,AG$4)),0))</f>
        <v>0</v>
      </c>
      <c r="AH128" s="252">
        <f t="shared" ref="AH128:AH185" si="7">SUM(C128:AG128)</f>
        <v>0</v>
      </c>
      <c r="AI128" s="241"/>
      <c r="AJ128" s="242">
        <f>IF($B128="","",SUMIFS(TINH_TEC!$K$233:$K$9232,TINH_TEC!$H$233:$H$9232,$B128,TINH_TEC!$C$233:$C$9232,"Téc 3",TINH_TEC!$F$233:$F$9232,$B$2,TINH_TEC!$G$233:$G$9232,$D$2,TINH_TEC!$B$233:$B$9232,"Đã chốt"))</f>
        <v>0</v>
      </c>
      <c r="AK128" s="242">
        <f>IF($B128="","",SUMIFS(TINH_TEC!$J$233:$J$9232,TINH_TEC!$H$233:$H$9232,$B128,TINH_TEC!$C$233:$C$9232,"Téc 3",TINH_TEC!$F$233:$F$9232,$B$2,TINH_TEC!$G$233:$G$9232,$D$2,TINH_TEC!$B$233:$B$9232,"Đã chốt"))</f>
        <v>0</v>
      </c>
      <c r="AL128" s="242">
        <f t="shared" ref="AL128:AL185" si="8">IF($B128="","",N(AH128)+N(AI128)+N(AK128)-N(AJ128))</f>
        <v>0</v>
      </c>
    </row>
    <row r="129" ht="15.75" customHeight="1">
      <c r="A129" s="237">
        <f>IF($B129&lt;&gt;"",2,"")</f>
        <v>2</v>
      </c>
      <c r="B129" s="250" t="str">
        <f t="array" ref="B129">IFERROR(INDEX(DANH_MUC!$E:$E,5),"")</f>
        <v>28A30696</v>
      </c>
      <c r="C129" s="251">
        <f>IF(C$4&gt;DAY(EOMONTH(DATE($D$2,$B$2,1),0)),"",IFERROR(SUMIFS(DATA_GOC!$H:$H,DATA_GOC!$A:$A,"BOM",DATA_GOC!$D:$D,$B129,DATA_GOC!$E:$E,"Téc 3",DATA_GOC!$F:$F,"Xuất nội bộ từ téc",DATA_GOC!$B:$B,DATE($D$2,$B$2,C$4)),0))</f>
        <v>0</v>
      </c>
      <c r="D129" s="251">
        <f>IF(D$4&gt;DAY(EOMONTH(DATE($D$2,$B$2,1),0)),"",IFERROR(SUMIFS(DATA_GOC!$H:$H,DATA_GOC!$A:$A,"BOM",DATA_GOC!$D:$D,$B129,DATA_GOC!$E:$E,"Téc 3",DATA_GOC!$F:$F,"Xuất nội bộ từ téc",DATA_GOC!$B:$B,DATE($D$2,$B$2,D$4)),0))</f>
        <v>0</v>
      </c>
      <c r="E129" s="251">
        <f>IF(E$4&gt;DAY(EOMONTH(DATE($D$2,$B$2,1),0)),"",IFERROR(SUMIFS(DATA_GOC!$H:$H,DATA_GOC!$A:$A,"BOM",DATA_GOC!$D:$D,$B129,DATA_GOC!$E:$E,"Téc 3",DATA_GOC!$F:$F,"Xuất nội bộ từ téc",DATA_GOC!$B:$B,DATE($D$2,$B$2,E$4)),0))</f>
        <v>0</v>
      </c>
      <c r="F129" s="251">
        <f>IF(F$4&gt;DAY(EOMONTH(DATE($D$2,$B$2,1),0)),"",IFERROR(SUMIFS(DATA_GOC!$H:$H,DATA_GOC!$A:$A,"BOM",DATA_GOC!$D:$D,$B129,DATA_GOC!$E:$E,"Téc 3",DATA_GOC!$F:$F,"Xuất nội bộ từ téc",DATA_GOC!$B:$B,DATE($D$2,$B$2,F$4)),0))</f>
        <v>0</v>
      </c>
      <c r="G129" s="251">
        <f>IF(G$4&gt;DAY(EOMONTH(DATE($D$2,$B$2,1),0)),"",IFERROR(SUMIFS(DATA_GOC!$H:$H,DATA_GOC!$A:$A,"BOM",DATA_GOC!$D:$D,$B129,DATA_GOC!$E:$E,"Téc 3",DATA_GOC!$F:$F,"Xuất nội bộ từ téc",DATA_GOC!$B:$B,DATE($D$2,$B$2,G$4)),0))</f>
        <v>0</v>
      </c>
      <c r="H129" s="251">
        <f>IF(H$4&gt;DAY(EOMONTH(DATE($D$2,$B$2,1),0)),"",IFERROR(SUMIFS(DATA_GOC!$H:$H,DATA_GOC!$A:$A,"BOM",DATA_GOC!$D:$D,$B129,DATA_GOC!$E:$E,"Téc 3",DATA_GOC!$F:$F,"Xuất nội bộ từ téc",DATA_GOC!$B:$B,DATE($D$2,$B$2,H$4)),0))</f>
        <v>0</v>
      </c>
      <c r="I129" s="251">
        <f>IF(I$4&gt;DAY(EOMONTH(DATE($D$2,$B$2,1),0)),"",IFERROR(SUMIFS(DATA_GOC!$H:$H,DATA_GOC!$A:$A,"BOM",DATA_GOC!$D:$D,$B129,DATA_GOC!$E:$E,"Téc 3",DATA_GOC!$F:$F,"Xuất nội bộ từ téc",DATA_GOC!$B:$B,DATE($D$2,$B$2,I$4)),0))</f>
        <v>0</v>
      </c>
      <c r="J129" s="251">
        <f>IF(J$4&gt;DAY(EOMONTH(DATE($D$2,$B$2,1),0)),"",IFERROR(SUMIFS(DATA_GOC!$H:$H,DATA_GOC!$A:$A,"BOM",DATA_GOC!$D:$D,$B129,DATA_GOC!$E:$E,"Téc 3",DATA_GOC!$F:$F,"Xuất nội bộ từ téc",DATA_GOC!$B:$B,DATE($D$2,$B$2,J$4)),0))</f>
        <v>0</v>
      </c>
      <c r="K129" s="251">
        <f>IF(K$4&gt;DAY(EOMONTH(DATE($D$2,$B$2,1),0)),"",IFERROR(SUMIFS(DATA_GOC!$H:$H,DATA_GOC!$A:$A,"BOM",DATA_GOC!$D:$D,$B129,DATA_GOC!$E:$E,"Téc 3",DATA_GOC!$F:$F,"Xuất nội bộ từ téc",DATA_GOC!$B:$B,DATE($D$2,$B$2,K$4)),0))</f>
        <v>0</v>
      </c>
      <c r="L129" s="251">
        <f>IF(L$4&gt;DAY(EOMONTH(DATE($D$2,$B$2,1),0)),"",IFERROR(SUMIFS(DATA_GOC!$H:$H,DATA_GOC!$A:$A,"BOM",DATA_GOC!$D:$D,$B129,DATA_GOC!$E:$E,"Téc 3",DATA_GOC!$F:$F,"Xuất nội bộ từ téc",DATA_GOC!$B:$B,DATE($D$2,$B$2,L$4)),0))</f>
        <v>0</v>
      </c>
      <c r="M129" s="251">
        <f>IF(M$4&gt;DAY(EOMONTH(DATE($D$2,$B$2,1),0)),"",IFERROR(SUMIFS(DATA_GOC!$H:$H,DATA_GOC!$A:$A,"BOM",DATA_GOC!$D:$D,$B129,DATA_GOC!$E:$E,"Téc 3",DATA_GOC!$F:$F,"Xuất nội bộ từ téc",DATA_GOC!$B:$B,DATE($D$2,$B$2,M$4)),0))</f>
        <v>0</v>
      </c>
      <c r="N129" s="251">
        <f>IF(N$4&gt;DAY(EOMONTH(DATE($D$2,$B$2,1),0)),"",IFERROR(SUMIFS(DATA_GOC!$H:$H,DATA_GOC!$A:$A,"BOM",DATA_GOC!$D:$D,$B129,DATA_GOC!$E:$E,"Téc 3",DATA_GOC!$F:$F,"Xuất nội bộ từ téc",DATA_GOC!$B:$B,DATE($D$2,$B$2,N$4)),0))</f>
        <v>0</v>
      </c>
      <c r="O129" s="251">
        <f>IF(O$4&gt;DAY(EOMONTH(DATE($D$2,$B$2,1),0)),"",IFERROR(SUMIFS(DATA_GOC!$H:$H,DATA_GOC!$A:$A,"BOM",DATA_GOC!$D:$D,$B129,DATA_GOC!$E:$E,"Téc 3",DATA_GOC!$F:$F,"Xuất nội bộ từ téc",DATA_GOC!$B:$B,DATE($D$2,$B$2,O$4)),0))</f>
        <v>0</v>
      </c>
      <c r="P129" s="251">
        <f>IF(P$4&gt;DAY(EOMONTH(DATE($D$2,$B$2,1),0)),"",IFERROR(SUMIFS(DATA_GOC!$H:$H,DATA_GOC!$A:$A,"BOM",DATA_GOC!$D:$D,$B129,DATA_GOC!$E:$E,"Téc 3",DATA_GOC!$F:$F,"Xuất nội bộ từ téc",DATA_GOC!$B:$B,DATE($D$2,$B$2,P$4)),0))</f>
        <v>0</v>
      </c>
      <c r="Q129" s="251">
        <f>IF(Q$4&gt;DAY(EOMONTH(DATE($D$2,$B$2,1),0)),"",IFERROR(SUMIFS(DATA_GOC!$H:$H,DATA_GOC!$A:$A,"BOM",DATA_GOC!$D:$D,$B129,DATA_GOC!$E:$E,"Téc 3",DATA_GOC!$F:$F,"Xuất nội bộ từ téc",DATA_GOC!$B:$B,DATE($D$2,$B$2,Q$4)),0))</f>
        <v>0</v>
      </c>
      <c r="R129" s="251">
        <f>IF(R$4&gt;DAY(EOMONTH(DATE($D$2,$B$2,1),0)),"",IFERROR(SUMIFS(DATA_GOC!$H:$H,DATA_GOC!$A:$A,"BOM",DATA_GOC!$D:$D,$B129,DATA_GOC!$E:$E,"Téc 3",DATA_GOC!$F:$F,"Xuất nội bộ từ téc",DATA_GOC!$B:$B,DATE($D$2,$B$2,R$4)),0))</f>
        <v>0</v>
      </c>
      <c r="S129" s="251">
        <f>IF(S$4&gt;DAY(EOMONTH(DATE($D$2,$B$2,1),0)),"",IFERROR(SUMIFS(DATA_GOC!$H:$H,DATA_GOC!$A:$A,"BOM",DATA_GOC!$D:$D,$B129,DATA_GOC!$E:$E,"Téc 3",DATA_GOC!$F:$F,"Xuất nội bộ từ téc",DATA_GOC!$B:$B,DATE($D$2,$B$2,S$4)),0))</f>
        <v>0</v>
      </c>
      <c r="T129" s="251">
        <f>IF(T$4&gt;DAY(EOMONTH(DATE($D$2,$B$2,1),0)),"",IFERROR(SUMIFS(DATA_GOC!$H:$H,DATA_GOC!$A:$A,"BOM",DATA_GOC!$D:$D,$B129,DATA_GOC!$E:$E,"Téc 3",DATA_GOC!$F:$F,"Xuất nội bộ từ téc",DATA_GOC!$B:$B,DATE($D$2,$B$2,T$4)),0))</f>
        <v>0</v>
      </c>
      <c r="U129" s="251">
        <f>IF(U$4&gt;DAY(EOMONTH(DATE($D$2,$B$2,1),0)),"",IFERROR(SUMIFS(DATA_GOC!$H:$H,DATA_GOC!$A:$A,"BOM",DATA_GOC!$D:$D,$B129,DATA_GOC!$E:$E,"Téc 3",DATA_GOC!$F:$F,"Xuất nội bộ từ téc",DATA_GOC!$B:$B,DATE($D$2,$B$2,U$4)),0))</f>
        <v>0</v>
      </c>
      <c r="V129" s="251">
        <f>IF(V$4&gt;DAY(EOMONTH(DATE($D$2,$B$2,1),0)),"",IFERROR(SUMIFS(DATA_GOC!$H:$H,DATA_GOC!$A:$A,"BOM",DATA_GOC!$D:$D,$B129,DATA_GOC!$E:$E,"Téc 3",DATA_GOC!$F:$F,"Xuất nội bộ từ téc",DATA_GOC!$B:$B,DATE($D$2,$B$2,V$4)),0))</f>
        <v>0</v>
      </c>
      <c r="W129" s="251">
        <f>IF(W$4&gt;DAY(EOMONTH(DATE($D$2,$B$2,1),0)),"",IFERROR(SUMIFS(DATA_GOC!$H:$H,DATA_GOC!$A:$A,"BOM",DATA_GOC!$D:$D,$B129,DATA_GOC!$E:$E,"Téc 3",DATA_GOC!$F:$F,"Xuất nội bộ từ téc",DATA_GOC!$B:$B,DATE($D$2,$B$2,W$4)),0))</f>
        <v>0</v>
      </c>
      <c r="X129" s="251">
        <f>IF(X$4&gt;DAY(EOMONTH(DATE($D$2,$B$2,1),0)),"",IFERROR(SUMIFS(DATA_GOC!$H:$H,DATA_GOC!$A:$A,"BOM",DATA_GOC!$D:$D,$B129,DATA_GOC!$E:$E,"Téc 3",DATA_GOC!$F:$F,"Xuất nội bộ từ téc",DATA_GOC!$B:$B,DATE($D$2,$B$2,X$4)),0))</f>
        <v>0</v>
      </c>
      <c r="Y129" s="251">
        <f>IF(Y$4&gt;DAY(EOMONTH(DATE($D$2,$B$2,1),0)),"",IFERROR(SUMIFS(DATA_GOC!$H:$H,DATA_GOC!$A:$A,"BOM",DATA_GOC!$D:$D,$B129,DATA_GOC!$E:$E,"Téc 3",DATA_GOC!$F:$F,"Xuất nội bộ từ téc",DATA_GOC!$B:$B,DATE($D$2,$B$2,Y$4)),0))</f>
        <v>0</v>
      </c>
      <c r="Z129" s="251">
        <f>IF(Z$4&gt;DAY(EOMONTH(DATE($D$2,$B$2,1),0)),"",IFERROR(SUMIFS(DATA_GOC!$H:$H,DATA_GOC!$A:$A,"BOM",DATA_GOC!$D:$D,$B129,DATA_GOC!$E:$E,"Téc 3",DATA_GOC!$F:$F,"Xuất nội bộ từ téc",DATA_GOC!$B:$B,DATE($D$2,$B$2,Z$4)),0))</f>
        <v>0</v>
      </c>
      <c r="AA129" s="251">
        <f>IF(AA$4&gt;DAY(EOMONTH(DATE($D$2,$B$2,1),0)),"",IFERROR(SUMIFS(DATA_GOC!$H:$H,DATA_GOC!$A:$A,"BOM",DATA_GOC!$D:$D,$B129,DATA_GOC!$E:$E,"Téc 3",DATA_GOC!$F:$F,"Xuất nội bộ từ téc",DATA_GOC!$B:$B,DATE($D$2,$B$2,AA$4)),0))</f>
        <v>0</v>
      </c>
      <c r="AB129" s="251">
        <f>IF(AB$4&gt;DAY(EOMONTH(DATE($D$2,$B$2,1),0)),"",IFERROR(SUMIFS(DATA_GOC!$H:$H,DATA_GOC!$A:$A,"BOM",DATA_GOC!$D:$D,$B129,DATA_GOC!$E:$E,"Téc 3",DATA_GOC!$F:$F,"Xuất nội bộ từ téc",DATA_GOC!$B:$B,DATE($D$2,$B$2,AB$4)),0))</f>
        <v>0</v>
      </c>
      <c r="AC129" s="251">
        <f>IF(AC$4&gt;DAY(EOMONTH(DATE($D$2,$B$2,1),0)),"",IFERROR(SUMIFS(DATA_GOC!$H:$H,DATA_GOC!$A:$A,"BOM",DATA_GOC!$D:$D,$B129,DATA_GOC!$E:$E,"Téc 3",DATA_GOC!$F:$F,"Xuất nội bộ từ téc",DATA_GOC!$B:$B,DATE($D$2,$B$2,AC$4)),0))</f>
        <v>0</v>
      </c>
      <c r="AD129" s="251">
        <f>IF(AD$4&gt;DAY(EOMONTH(DATE($D$2,$B$2,1),0)),"",IFERROR(SUMIFS(DATA_GOC!$H:$H,DATA_GOC!$A:$A,"BOM",DATA_GOC!$D:$D,$B129,DATA_GOC!$E:$E,"Téc 3",DATA_GOC!$F:$F,"Xuất nội bộ từ téc",DATA_GOC!$B:$B,DATE($D$2,$B$2,AD$4)),0))</f>
        <v>0</v>
      </c>
      <c r="AE129" s="251">
        <f>IF(AE$4&gt;DAY(EOMONTH(DATE($D$2,$B$2,1),0)),"",IFERROR(SUMIFS(DATA_GOC!$H:$H,DATA_GOC!$A:$A,"BOM",DATA_GOC!$D:$D,$B129,DATA_GOC!$E:$E,"Téc 3",DATA_GOC!$F:$F,"Xuất nội bộ từ téc",DATA_GOC!$B:$B,DATE($D$2,$B$2,AE$4)),0))</f>
        <v>0</v>
      </c>
      <c r="AF129" s="251">
        <f>IF(AF$4&gt;DAY(EOMONTH(DATE($D$2,$B$2,1),0)),"",IFERROR(SUMIFS(DATA_GOC!$H:$H,DATA_GOC!$A:$A,"BOM",DATA_GOC!$D:$D,$B129,DATA_GOC!$E:$E,"Téc 3",DATA_GOC!$F:$F,"Xuất nội bộ từ téc",DATA_GOC!$B:$B,DATE($D$2,$B$2,AF$4)),0))</f>
        <v>0</v>
      </c>
      <c r="AG129" s="251">
        <f>IF(AG$4&gt;DAY(EOMONTH(DATE($D$2,$B$2,1),0)),"",IFERROR(SUMIFS(DATA_GOC!$H:$H,DATA_GOC!$A:$A,"BOM",DATA_GOC!$D:$D,$B129,DATA_GOC!$E:$E,"Téc 3",DATA_GOC!$F:$F,"Xuất nội bộ từ téc",DATA_GOC!$B:$B,DATE($D$2,$B$2,AG$4)),0))</f>
        <v>0</v>
      </c>
      <c r="AH129" s="252">
        <f t="shared" si="7"/>
        <v>0</v>
      </c>
      <c r="AI129" s="241"/>
      <c r="AJ129" s="242">
        <f>IF($B129="","",SUMIFS(TINH_TEC!$K$233:$K$9232,TINH_TEC!$H$233:$H$9232,$B129,TINH_TEC!$C$233:$C$9232,"Téc 3",TINH_TEC!$F$233:$F$9232,$B$2,TINH_TEC!$G$233:$G$9232,$D$2,TINH_TEC!$B$233:$B$9232,"Đã chốt"))</f>
        <v>0</v>
      </c>
      <c r="AK129" s="242">
        <f>IF($B129="","",SUMIFS(TINH_TEC!$J$233:$J$9232,TINH_TEC!$H$233:$H$9232,$B129,TINH_TEC!$C$233:$C$9232,"Téc 3",TINH_TEC!$F$233:$F$9232,$B$2,TINH_TEC!$G$233:$G$9232,$D$2,TINH_TEC!$B$233:$B$9232,"Đã chốt"))</f>
        <v>0</v>
      </c>
      <c r="AL129" s="242">
        <f t="shared" si="8"/>
        <v>0</v>
      </c>
    </row>
    <row r="130" ht="15.75" customHeight="1">
      <c r="A130" s="237">
        <f>IF($B130&lt;&gt;"",3,"")</f>
        <v>3</v>
      </c>
      <c r="B130" s="250" t="str">
        <f t="array" ref="B130">IFERROR(INDEX(DANH_MUC!$E:$E,6),"")</f>
        <v>28C00462</v>
      </c>
      <c r="C130" s="251">
        <f>IF(C$4&gt;DAY(EOMONTH(DATE($D$2,$B$2,1),0)),"",IFERROR(SUMIFS(DATA_GOC!$H:$H,DATA_GOC!$A:$A,"BOM",DATA_GOC!$D:$D,$B130,DATA_GOC!$E:$E,"Téc 3",DATA_GOC!$F:$F,"Xuất nội bộ từ téc",DATA_GOC!$B:$B,DATE($D$2,$B$2,C$4)),0))</f>
        <v>0</v>
      </c>
      <c r="D130" s="251">
        <f>IF(D$4&gt;DAY(EOMONTH(DATE($D$2,$B$2,1),0)),"",IFERROR(SUMIFS(DATA_GOC!$H:$H,DATA_GOC!$A:$A,"BOM",DATA_GOC!$D:$D,$B130,DATA_GOC!$E:$E,"Téc 3",DATA_GOC!$F:$F,"Xuất nội bộ từ téc",DATA_GOC!$B:$B,DATE($D$2,$B$2,D$4)),0))</f>
        <v>0</v>
      </c>
      <c r="E130" s="251">
        <f>IF(E$4&gt;DAY(EOMONTH(DATE($D$2,$B$2,1),0)),"",IFERROR(SUMIFS(DATA_GOC!$H:$H,DATA_GOC!$A:$A,"BOM",DATA_GOC!$D:$D,$B130,DATA_GOC!$E:$E,"Téc 3",DATA_GOC!$F:$F,"Xuất nội bộ từ téc",DATA_GOC!$B:$B,DATE($D$2,$B$2,E$4)),0))</f>
        <v>0</v>
      </c>
      <c r="F130" s="251">
        <f>IF(F$4&gt;DAY(EOMONTH(DATE($D$2,$B$2,1),0)),"",IFERROR(SUMIFS(DATA_GOC!$H:$H,DATA_GOC!$A:$A,"BOM",DATA_GOC!$D:$D,$B130,DATA_GOC!$E:$E,"Téc 3",DATA_GOC!$F:$F,"Xuất nội bộ từ téc",DATA_GOC!$B:$B,DATE($D$2,$B$2,F$4)),0))</f>
        <v>0</v>
      </c>
      <c r="G130" s="251">
        <f>IF(G$4&gt;DAY(EOMONTH(DATE($D$2,$B$2,1),0)),"",IFERROR(SUMIFS(DATA_GOC!$H:$H,DATA_GOC!$A:$A,"BOM",DATA_GOC!$D:$D,$B130,DATA_GOC!$E:$E,"Téc 3",DATA_GOC!$F:$F,"Xuất nội bộ từ téc",DATA_GOC!$B:$B,DATE($D$2,$B$2,G$4)),0))</f>
        <v>0</v>
      </c>
      <c r="H130" s="251">
        <f>IF(H$4&gt;DAY(EOMONTH(DATE($D$2,$B$2,1),0)),"",IFERROR(SUMIFS(DATA_GOC!$H:$H,DATA_GOC!$A:$A,"BOM",DATA_GOC!$D:$D,$B130,DATA_GOC!$E:$E,"Téc 3",DATA_GOC!$F:$F,"Xuất nội bộ từ téc",DATA_GOC!$B:$B,DATE($D$2,$B$2,H$4)),0))</f>
        <v>0</v>
      </c>
      <c r="I130" s="251">
        <f>IF(I$4&gt;DAY(EOMONTH(DATE($D$2,$B$2,1),0)),"",IFERROR(SUMIFS(DATA_GOC!$H:$H,DATA_GOC!$A:$A,"BOM",DATA_GOC!$D:$D,$B130,DATA_GOC!$E:$E,"Téc 3",DATA_GOC!$F:$F,"Xuất nội bộ từ téc",DATA_GOC!$B:$B,DATE($D$2,$B$2,I$4)),0))</f>
        <v>0</v>
      </c>
      <c r="J130" s="251">
        <f>IF(J$4&gt;DAY(EOMONTH(DATE($D$2,$B$2,1),0)),"",IFERROR(SUMIFS(DATA_GOC!$H:$H,DATA_GOC!$A:$A,"BOM",DATA_GOC!$D:$D,$B130,DATA_GOC!$E:$E,"Téc 3",DATA_GOC!$F:$F,"Xuất nội bộ từ téc",DATA_GOC!$B:$B,DATE($D$2,$B$2,J$4)),0))</f>
        <v>0</v>
      </c>
      <c r="K130" s="251">
        <f>IF(K$4&gt;DAY(EOMONTH(DATE($D$2,$B$2,1),0)),"",IFERROR(SUMIFS(DATA_GOC!$H:$H,DATA_GOC!$A:$A,"BOM",DATA_GOC!$D:$D,$B130,DATA_GOC!$E:$E,"Téc 3",DATA_GOC!$F:$F,"Xuất nội bộ từ téc",DATA_GOC!$B:$B,DATE($D$2,$B$2,K$4)),0))</f>
        <v>0</v>
      </c>
      <c r="L130" s="251">
        <f>IF(L$4&gt;DAY(EOMONTH(DATE($D$2,$B$2,1),0)),"",IFERROR(SUMIFS(DATA_GOC!$H:$H,DATA_GOC!$A:$A,"BOM",DATA_GOC!$D:$D,$B130,DATA_GOC!$E:$E,"Téc 3",DATA_GOC!$F:$F,"Xuất nội bộ từ téc",DATA_GOC!$B:$B,DATE($D$2,$B$2,L$4)),0))</f>
        <v>0</v>
      </c>
      <c r="M130" s="251">
        <f>IF(M$4&gt;DAY(EOMONTH(DATE($D$2,$B$2,1),0)),"",IFERROR(SUMIFS(DATA_GOC!$H:$H,DATA_GOC!$A:$A,"BOM",DATA_GOC!$D:$D,$B130,DATA_GOC!$E:$E,"Téc 3",DATA_GOC!$F:$F,"Xuất nội bộ từ téc",DATA_GOC!$B:$B,DATE($D$2,$B$2,M$4)),0))</f>
        <v>0</v>
      </c>
      <c r="N130" s="251">
        <f>IF(N$4&gt;DAY(EOMONTH(DATE($D$2,$B$2,1),0)),"",IFERROR(SUMIFS(DATA_GOC!$H:$H,DATA_GOC!$A:$A,"BOM",DATA_GOC!$D:$D,$B130,DATA_GOC!$E:$E,"Téc 3",DATA_GOC!$F:$F,"Xuất nội bộ từ téc",DATA_GOC!$B:$B,DATE($D$2,$B$2,N$4)),0))</f>
        <v>0</v>
      </c>
      <c r="O130" s="251">
        <f>IF(O$4&gt;DAY(EOMONTH(DATE($D$2,$B$2,1),0)),"",IFERROR(SUMIFS(DATA_GOC!$H:$H,DATA_GOC!$A:$A,"BOM",DATA_GOC!$D:$D,$B130,DATA_GOC!$E:$E,"Téc 3",DATA_GOC!$F:$F,"Xuất nội bộ từ téc",DATA_GOC!$B:$B,DATE($D$2,$B$2,O$4)),0))</f>
        <v>0</v>
      </c>
      <c r="P130" s="251">
        <f>IF(P$4&gt;DAY(EOMONTH(DATE($D$2,$B$2,1),0)),"",IFERROR(SUMIFS(DATA_GOC!$H:$H,DATA_GOC!$A:$A,"BOM",DATA_GOC!$D:$D,$B130,DATA_GOC!$E:$E,"Téc 3",DATA_GOC!$F:$F,"Xuất nội bộ từ téc",DATA_GOC!$B:$B,DATE($D$2,$B$2,P$4)),0))</f>
        <v>0</v>
      </c>
      <c r="Q130" s="251">
        <f>IF(Q$4&gt;DAY(EOMONTH(DATE($D$2,$B$2,1),0)),"",IFERROR(SUMIFS(DATA_GOC!$H:$H,DATA_GOC!$A:$A,"BOM",DATA_GOC!$D:$D,$B130,DATA_GOC!$E:$E,"Téc 3",DATA_GOC!$F:$F,"Xuất nội bộ từ téc",DATA_GOC!$B:$B,DATE($D$2,$B$2,Q$4)),0))</f>
        <v>0</v>
      </c>
      <c r="R130" s="251">
        <f>IF(R$4&gt;DAY(EOMONTH(DATE($D$2,$B$2,1),0)),"",IFERROR(SUMIFS(DATA_GOC!$H:$H,DATA_GOC!$A:$A,"BOM",DATA_GOC!$D:$D,$B130,DATA_GOC!$E:$E,"Téc 3",DATA_GOC!$F:$F,"Xuất nội bộ từ téc",DATA_GOC!$B:$B,DATE($D$2,$B$2,R$4)),0))</f>
        <v>0</v>
      </c>
      <c r="S130" s="251">
        <f>IF(S$4&gt;DAY(EOMONTH(DATE($D$2,$B$2,1),0)),"",IFERROR(SUMIFS(DATA_GOC!$H:$H,DATA_GOC!$A:$A,"BOM",DATA_GOC!$D:$D,$B130,DATA_GOC!$E:$E,"Téc 3",DATA_GOC!$F:$F,"Xuất nội bộ từ téc",DATA_GOC!$B:$B,DATE($D$2,$B$2,S$4)),0))</f>
        <v>0</v>
      </c>
      <c r="T130" s="251">
        <f>IF(T$4&gt;DAY(EOMONTH(DATE($D$2,$B$2,1),0)),"",IFERROR(SUMIFS(DATA_GOC!$H:$H,DATA_GOC!$A:$A,"BOM",DATA_GOC!$D:$D,$B130,DATA_GOC!$E:$E,"Téc 3",DATA_GOC!$F:$F,"Xuất nội bộ từ téc",DATA_GOC!$B:$B,DATE($D$2,$B$2,T$4)),0))</f>
        <v>0</v>
      </c>
      <c r="U130" s="251">
        <f>IF(U$4&gt;DAY(EOMONTH(DATE($D$2,$B$2,1),0)),"",IFERROR(SUMIFS(DATA_GOC!$H:$H,DATA_GOC!$A:$A,"BOM",DATA_GOC!$D:$D,$B130,DATA_GOC!$E:$E,"Téc 3",DATA_GOC!$F:$F,"Xuất nội bộ từ téc",DATA_GOC!$B:$B,DATE($D$2,$B$2,U$4)),0))</f>
        <v>0</v>
      </c>
      <c r="V130" s="251">
        <f>IF(V$4&gt;DAY(EOMONTH(DATE($D$2,$B$2,1),0)),"",IFERROR(SUMIFS(DATA_GOC!$H:$H,DATA_GOC!$A:$A,"BOM",DATA_GOC!$D:$D,$B130,DATA_GOC!$E:$E,"Téc 3",DATA_GOC!$F:$F,"Xuất nội bộ từ téc",DATA_GOC!$B:$B,DATE($D$2,$B$2,V$4)),0))</f>
        <v>0</v>
      </c>
      <c r="W130" s="251">
        <f>IF(W$4&gt;DAY(EOMONTH(DATE($D$2,$B$2,1),0)),"",IFERROR(SUMIFS(DATA_GOC!$H:$H,DATA_GOC!$A:$A,"BOM",DATA_GOC!$D:$D,$B130,DATA_GOC!$E:$E,"Téc 3",DATA_GOC!$F:$F,"Xuất nội bộ từ téc",DATA_GOC!$B:$B,DATE($D$2,$B$2,W$4)),0))</f>
        <v>0</v>
      </c>
      <c r="X130" s="251">
        <f>IF(X$4&gt;DAY(EOMONTH(DATE($D$2,$B$2,1),0)),"",IFERROR(SUMIFS(DATA_GOC!$H:$H,DATA_GOC!$A:$A,"BOM",DATA_GOC!$D:$D,$B130,DATA_GOC!$E:$E,"Téc 3",DATA_GOC!$F:$F,"Xuất nội bộ từ téc",DATA_GOC!$B:$B,DATE($D$2,$B$2,X$4)),0))</f>
        <v>0</v>
      </c>
      <c r="Y130" s="251">
        <f>IF(Y$4&gt;DAY(EOMONTH(DATE($D$2,$B$2,1),0)),"",IFERROR(SUMIFS(DATA_GOC!$H:$H,DATA_GOC!$A:$A,"BOM",DATA_GOC!$D:$D,$B130,DATA_GOC!$E:$E,"Téc 3",DATA_GOC!$F:$F,"Xuất nội bộ từ téc",DATA_GOC!$B:$B,DATE($D$2,$B$2,Y$4)),0))</f>
        <v>0</v>
      </c>
      <c r="Z130" s="251">
        <f>IF(Z$4&gt;DAY(EOMONTH(DATE($D$2,$B$2,1),0)),"",IFERROR(SUMIFS(DATA_GOC!$H:$H,DATA_GOC!$A:$A,"BOM",DATA_GOC!$D:$D,$B130,DATA_GOC!$E:$E,"Téc 3",DATA_GOC!$F:$F,"Xuất nội bộ từ téc",DATA_GOC!$B:$B,DATE($D$2,$B$2,Z$4)),0))</f>
        <v>0</v>
      </c>
      <c r="AA130" s="251">
        <f>IF(AA$4&gt;DAY(EOMONTH(DATE($D$2,$B$2,1),0)),"",IFERROR(SUMIFS(DATA_GOC!$H:$H,DATA_GOC!$A:$A,"BOM",DATA_GOC!$D:$D,$B130,DATA_GOC!$E:$E,"Téc 3",DATA_GOC!$F:$F,"Xuất nội bộ từ téc",DATA_GOC!$B:$B,DATE($D$2,$B$2,AA$4)),0))</f>
        <v>0</v>
      </c>
      <c r="AB130" s="251">
        <f>IF(AB$4&gt;DAY(EOMONTH(DATE($D$2,$B$2,1),0)),"",IFERROR(SUMIFS(DATA_GOC!$H:$H,DATA_GOC!$A:$A,"BOM",DATA_GOC!$D:$D,$B130,DATA_GOC!$E:$E,"Téc 3",DATA_GOC!$F:$F,"Xuất nội bộ từ téc",DATA_GOC!$B:$B,DATE($D$2,$B$2,AB$4)),0))</f>
        <v>0</v>
      </c>
      <c r="AC130" s="251">
        <f>IF(AC$4&gt;DAY(EOMONTH(DATE($D$2,$B$2,1),0)),"",IFERROR(SUMIFS(DATA_GOC!$H:$H,DATA_GOC!$A:$A,"BOM",DATA_GOC!$D:$D,$B130,DATA_GOC!$E:$E,"Téc 3",DATA_GOC!$F:$F,"Xuất nội bộ từ téc",DATA_GOC!$B:$B,DATE($D$2,$B$2,AC$4)),0))</f>
        <v>0</v>
      </c>
      <c r="AD130" s="251">
        <f>IF(AD$4&gt;DAY(EOMONTH(DATE($D$2,$B$2,1),0)),"",IFERROR(SUMIFS(DATA_GOC!$H:$H,DATA_GOC!$A:$A,"BOM",DATA_GOC!$D:$D,$B130,DATA_GOC!$E:$E,"Téc 3",DATA_GOC!$F:$F,"Xuất nội bộ từ téc",DATA_GOC!$B:$B,DATE($D$2,$B$2,AD$4)),0))</f>
        <v>0</v>
      </c>
      <c r="AE130" s="251">
        <f>IF(AE$4&gt;DAY(EOMONTH(DATE($D$2,$B$2,1),0)),"",IFERROR(SUMIFS(DATA_GOC!$H:$H,DATA_GOC!$A:$A,"BOM",DATA_GOC!$D:$D,$B130,DATA_GOC!$E:$E,"Téc 3",DATA_GOC!$F:$F,"Xuất nội bộ từ téc",DATA_GOC!$B:$B,DATE($D$2,$B$2,AE$4)),0))</f>
        <v>0</v>
      </c>
      <c r="AF130" s="251">
        <f>IF(AF$4&gt;DAY(EOMONTH(DATE($D$2,$B$2,1),0)),"",IFERROR(SUMIFS(DATA_GOC!$H:$H,DATA_GOC!$A:$A,"BOM",DATA_GOC!$D:$D,$B130,DATA_GOC!$E:$E,"Téc 3",DATA_GOC!$F:$F,"Xuất nội bộ từ téc",DATA_GOC!$B:$B,DATE($D$2,$B$2,AF$4)),0))</f>
        <v>0</v>
      </c>
      <c r="AG130" s="251">
        <f>IF(AG$4&gt;DAY(EOMONTH(DATE($D$2,$B$2,1),0)),"",IFERROR(SUMIFS(DATA_GOC!$H:$H,DATA_GOC!$A:$A,"BOM",DATA_GOC!$D:$D,$B130,DATA_GOC!$E:$E,"Téc 3",DATA_GOC!$F:$F,"Xuất nội bộ từ téc",DATA_GOC!$B:$B,DATE($D$2,$B$2,AG$4)),0))</f>
        <v>0</v>
      </c>
      <c r="AH130" s="252">
        <f t="shared" si="7"/>
        <v>0</v>
      </c>
      <c r="AI130" s="241"/>
      <c r="AJ130" s="242">
        <f>IF($B130="","",SUMIFS(TINH_TEC!$K$233:$K$9232,TINH_TEC!$H$233:$H$9232,$B130,TINH_TEC!$C$233:$C$9232,"Téc 3",TINH_TEC!$F$233:$F$9232,$B$2,TINH_TEC!$G$233:$G$9232,$D$2,TINH_TEC!$B$233:$B$9232,"Đã chốt"))</f>
        <v>0</v>
      </c>
      <c r="AK130" s="242">
        <f>IF($B130="","",SUMIFS(TINH_TEC!$J$233:$J$9232,TINH_TEC!$H$233:$H$9232,$B130,TINH_TEC!$C$233:$C$9232,"Téc 3",TINH_TEC!$F$233:$F$9232,$B$2,TINH_TEC!$G$233:$G$9232,$D$2,TINH_TEC!$B$233:$B$9232,"Đã chốt"))</f>
        <v>0</v>
      </c>
      <c r="AL130" s="242">
        <f t="shared" si="8"/>
        <v>0</v>
      </c>
    </row>
    <row r="131" ht="15.75" customHeight="1">
      <c r="A131" s="237">
        <f>IF($B131&lt;&gt;"",4,"")</f>
        <v>4</v>
      </c>
      <c r="B131" s="250" t="str">
        <f t="array" ref="B131">IFERROR(INDEX(DANH_MUC!$E:$E,7),"")</f>
        <v>28C01165</v>
      </c>
      <c r="C131" s="251">
        <f>IF(C$4&gt;DAY(EOMONTH(DATE($D$2,$B$2,1),0)),"",IFERROR(SUMIFS(DATA_GOC!$H:$H,DATA_GOC!$A:$A,"BOM",DATA_GOC!$D:$D,$B131,DATA_GOC!$E:$E,"Téc 3",DATA_GOC!$F:$F,"Xuất nội bộ từ téc",DATA_GOC!$B:$B,DATE($D$2,$B$2,C$4)),0))</f>
        <v>0</v>
      </c>
      <c r="D131" s="251">
        <f>IF(D$4&gt;DAY(EOMONTH(DATE($D$2,$B$2,1),0)),"",IFERROR(SUMIFS(DATA_GOC!$H:$H,DATA_GOC!$A:$A,"BOM",DATA_GOC!$D:$D,$B131,DATA_GOC!$E:$E,"Téc 3",DATA_GOC!$F:$F,"Xuất nội bộ từ téc",DATA_GOC!$B:$B,DATE($D$2,$B$2,D$4)),0))</f>
        <v>0</v>
      </c>
      <c r="E131" s="251">
        <f>IF(E$4&gt;DAY(EOMONTH(DATE($D$2,$B$2,1),0)),"",IFERROR(SUMIFS(DATA_GOC!$H:$H,DATA_GOC!$A:$A,"BOM",DATA_GOC!$D:$D,$B131,DATA_GOC!$E:$E,"Téc 3",DATA_GOC!$F:$F,"Xuất nội bộ từ téc",DATA_GOC!$B:$B,DATE($D$2,$B$2,E$4)),0))</f>
        <v>0</v>
      </c>
      <c r="F131" s="251">
        <f>IF(F$4&gt;DAY(EOMONTH(DATE($D$2,$B$2,1),0)),"",IFERROR(SUMIFS(DATA_GOC!$H:$H,DATA_GOC!$A:$A,"BOM",DATA_GOC!$D:$D,$B131,DATA_GOC!$E:$E,"Téc 3",DATA_GOC!$F:$F,"Xuất nội bộ từ téc",DATA_GOC!$B:$B,DATE($D$2,$B$2,F$4)),0))</f>
        <v>0</v>
      </c>
      <c r="G131" s="251">
        <f>IF(G$4&gt;DAY(EOMONTH(DATE($D$2,$B$2,1),0)),"",IFERROR(SUMIFS(DATA_GOC!$H:$H,DATA_GOC!$A:$A,"BOM",DATA_GOC!$D:$D,$B131,DATA_GOC!$E:$E,"Téc 3",DATA_GOC!$F:$F,"Xuất nội bộ từ téc",DATA_GOC!$B:$B,DATE($D$2,$B$2,G$4)),0))</f>
        <v>0</v>
      </c>
      <c r="H131" s="251">
        <f>IF(H$4&gt;DAY(EOMONTH(DATE($D$2,$B$2,1),0)),"",IFERROR(SUMIFS(DATA_GOC!$H:$H,DATA_GOC!$A:$A,"BOM",DATA_GOC!$D:$D,$B131,DATA_GOC!$E:$E,"Téc 3",DATA_GOC!$F:$F,"Xuất nội bộ từ téc",DATA_GOC!$B:$B,DATE($D$2,$B$2,H$4)),0))</f>
        <v>0</v>
      </c>
      <c r="I131" s="251">
        <f>IF(I$4&gt;DAY(EOMONTH(DATE($D$2,$B$2,1),0)),"",IFERROR(SUMIFS(DATA_GOC!$H:$H,DATA_GOC!$A:$A,"BOM",DATA_GOC!$D:$D,$B131,DATA_GOC!$E:$E,"Téc 3",DATA_GOC!$F:$F,"Xuất nội bộ từ téc",DATA_GOC!$B:$B,DATE($D$2,$B$2,I$4)),0))</f>
        <v>0</v>
      </c>
      <c r="J131" s="251">
        <f>IF(J$4&gt;DAY(EOMONTH(DATE($D$2,$B$2,1),0)),"",IFERROR(SUMIFS(DATA_GOC!$H:$H,DATA_GOC!$A:$A,"BOM",DATA_GOC!$D:$D,$B131,DATA_GOC!$E:$E,"Téc 3",DATA_GOC!$F:$F,"Xuất nội bộ từ téc",DATA_GOC!$B:$B,DATE($D$2,$B$2,J$4)),0))</f>
        <v>0</v>
      </c>
      <c r="K131" s="251">
        <f>IF(K$4&gt;DAY(EOMONTH(DATE($D$2,$B$2,1),0)),"",IFERROR(SUMIFS(DATA_GOC!$H:$H,DATA_GOC!$A:$A,"BOM",DATA_GOC!$D:$D,$B131,DATA_GOC!$E:$E,"Téc 3",DATA_GOC!$F:$F,"Xuất nội bộ từ téc",DATA_GOC!$B:$B,DATE($D$2,$B$2,K$4)),0))</f>
        <v>0</v>
      </c>
      <c r="L131" s="251">
        <f>IF(L$4&gt;DAY(EOMONTH(DATE($D$2,$B$2,1),0)),"",IFERROR(SUMIFS(DATA_GOC!$H:$H,DATA_GOC!$A:$A,"BOM",DATA_GOC!$D:$D,$B131,DATA_GOC!$E:$E,"Téc 3",DATA_GOC!$F:$F,"Xuất nội bộ từ téc",DATA_GOC!$B:$B,DATE($D$2,$B$2,L$4)),0))</f>
        <v>0</v>
      </c>
      <c r="M131" s="251">
        <f>IF(M$4&gt;DAY(EOMONTH(DATE($D$2,$B$2,1),0)),"",IFERROR(SUMIFS(DATA_GOC!$H:$H,DATA_GOC!$A:$A,"BOM",DATA_GOC!$D:$D,$B131,DATA_GOC!$E:$E,"Téc 3",DATA_GOC!$F:$F,"Xuất nội bộ từ téc",DATA_GOC!$B:$B,DATE($D$2,$B$2,M$4)),0))</f>
        <v>0</v>
      </c>
      <c r="N131" s="251">
        <f>IF(N$4&gt;DAY(EOMONTH(DATE($D$2,$B$2,1),0)),"",IFERROR(SUMIFS(DATA_GOC!$H:$H,DATA_GOC!$A:$A,"BOM",DATA_GOC!$D:$D,$B131,DATA_GOC!$E:$E,"Téc 3",DATA_GOC!$F:$F,"Xuất nội bộ từ téc",DATA_GOC!$B:$B,DATE($D$2,$B$2,N$4)),0))</f>
        <v>0</v>
      </c>
      <c r="O131" s="251">
        <f>IF(O$4&gt;DAY(EOMONTH(DATE($D$2,$B$2,1),0)),"",IFERROR(SUMIFS(DATA_GOC!$H:$H,DATA_GOC!$A:$A,"BOM",DATA_GOC!$D:$D,$B131,DATA_GOC!$E:$E,"Téc 3",DATA_GOC!$F:$F,"Xuất nội bộ từ téc",DATA_GOC!$B:$B,DATE($D$2,$B$2,O$4)),0))</f>
        <v>0</v>
      </c>
      <c r="P131" s="251">
        <f>IF(P$4&gt;DAY(EOMONTH(DATE($D$2,$B$2,1),0)),"",IFERROR(SUMIFS(DATA_GOC!$H:$H,DATA_GOC!$A:$A,"BOM",DATA_GOC!$D:$D,$B131,DATA_GOC!$E:$E,"Téc 3",DATA_GOC!$F:$F,"Xuất nội bộ từ téc",DATA_GOC!$B:$B,DATE($D$2,$B$2,P$4)),0))</f>
        <v>0</v>
      </c>
      <c r="Q131" s="251">
        <f>IF(Q$4&gt;DAY(EOMONTH(DATE($D$2,$B$2,1),0)),"",IFERROR(SUMIFS(DATA_GOC!$H:$H,DATA_GOC!$A:$A,"BOM",DATA_GOC!$D:$D,$B131,DATA_GOC!$E:$E,"Téc 3",DATA_GOC!$F:$F,"Xuất nội bộ từ téc",DATA_GOC!$B:$B,DATE($D$2,$B$2,Q$4)),0))</f>
        <v>0</v>
      </c>
      <c r="R131" s="251">
        <f>IF(R$4&gt;DAY(EOMONTH(DATE($D$2,$B$2,1),0)),"",IFERROR(SUMIFS(DATA_GOC!$H:$H,DATA_GOC!$A:$A,"BOM",DATA_GOC!$D:$D,$B131,DATA_GOC!$E:$E,"Téc 3",DATA_GOC!$F:$F,"Xuất nội bộ từ téc",DATA_GOC!$B:$B,DATE($D$2,$B$2,R$4)),0))</f>
        <v>0</v>
      </c>
      <c r="S131" s="251">
        <f>IF(S$4&gt;DAY(EOMONTH(DATE($D$2,$B$2,1),0)),"",IFERROR(SUMIFS(DATA_GOC!$H:$H,DATA_GOC!$A:$A,"BOM",DATA_GOC!$D:$D,$B131,DATA_GOC!$E:$E,"Téc 3",DATA_GOC!$F:$F,"Xuất nội bộ từ téc",DATA_GOC!$B:$B,DATE($D$2,$B$2,S$4)),0))</f>
        <v>0</v>
      </c>
      <c r="T131" s="251">
        <f>IF(T$4&gt;DAY(EOMONTH(DATE($D$2,$B$2,1),0)),"",IFERROR(SUMIFS(DATA_GOC!$H:$H,DATA_GOC!$A:$A,"BOM",DATA_GOC!$D:$D,$B131,DATA_GOC!$E:$E,"Téc 3",DATA_GOC!$F:$F,"Xuất nội bộ từ téc",DATA_GOC!$B:$B,DATE($D$2,$B$2,T$4)),0))</f>
        <v>0</v>
      </c>
      <c r="U131" s="251">
        <f>IF(U$4&gt;DAY(EOMONTH(DATE($D$2,$B$2,1),0)),"",IFERROR(SUMIFS(DATA_GOC!$H:$H,DATA_GOC!$A:$A,"BOM",DATA_GOC!$D:$D,$B131,DATA_GOC!$E:$E,"Téc 3",DATA_GOC!$F:$F,"Xuất nội bộ từ téc",DATA_GOC!$B:$B,DATE($D$2,$B$2,U$4)),0))</f>
        <v>0</v>
      </c>
      <c r="V131" s="251">
        <f>IF(V$4&gt;DAY(EOMONTH(DATE($D$2,$B$2,1),0)),"",IFERROR(SUMIFS(DATA_GOC!$H:$H,DATA_GOC!$A:$A,"BOM",DATA_GOC!$D:$D,$B131,DATA_GOC!$E:$E,"Téc 3",DATA_GOC!$F:$F,"Xuất nội bộ từ téc",DATA_GOC!$B:$B,DATE($D$2,$B$2,V$4)),0))</f>
        <v>0</v>
      </c>
      <c r="W131" s="251">
        <f>IF(W$4&gt;DAY(EOMONTH(DATE($D$2,$B$2,1),0)),"",IFERROR(SUMIFS(DATA_GOC!$H:$H,DATA_GOC!$A:$A,"BOM",DATA_GOC!$D:$D,$B131,DATA_GOC!$E:$E,"Téc 3",DATA_GOC!$F:$F,"Xuất nội bộ từ téc",DATA_GOC!$B:$B,DATE($D$2,$B$2,W$4)),0))</f>
        <v>0</v>
      </c>
      <c r="X131" s="251">
        <f>IF(X$4&gt;DAY(EOMONTH(DATE($D$2,$B$2,1),0)),"",IFERROR(SUMIFS(DATA_GOC!$H:$H,DATA_GOC!$A:$A,"BOM",DATA_GOC!$D:$D,$B131,DATA_GOC!$E:$E,"Téc 3",DATA_GOC!$F:$F,"Xuất nội bộ từ téc",DATA_GOC!$B:$B,DATE($D$2,$B$2,X$4)),0))</f>
        <v>0</v>
      </c>
      <c r="Y131" s="251">
        <f>IF(Y$4&gt;DAY(EOMONTH(DATE($D$2,$B$2,1),0)),"",IFERROR(SUMIFS(DATA_GOC!$H:$H,DATA_GOC!$A:$A,"BOM",DATA_GOC!$D:$D,$B131,DATA_GOC!$E:$E,"Téc 3",DATA_GOC!$F:$F,"Xuất nội bộ từ téc",DATA_GOC!$B:$B,DATE($D$2,$B$2,Y$4)),0))</f>
        <v>0</v>
      </c>
      <c r="Z131" s="251">
        <f>IF(Z$4&gt;DAY(EOMONTH(DATE($D$2,$B$2,1),0)),"",IFERROR(SUMIFS(DATA_GOC!$H:$H,DATA_GOC!$A:$A,"BOM",DATA_GOC!$D:$D,$B131,DATA_GOC!$E:$E,"Téc 3",DATA_GOC!$F:$F,"Xuất nội bộ từ téc",DATA_GOC!$B:$B,DATE($D$2,$B$2,Z$4)),0))</f>
        <v>0</v>
      </c>
      <c r="AA131" s="251">
        <f>IF(AA$4&gt;DAY(EOMONTH(DATE($D$2,$B$2,1),0)),"",IFERROR(SUMIFS(DATA_GOC!$H:$H,DATA_GOC!$A:$A,"BOM",DATA_GOC!$D:$D,$B131,DATA_GOC!$E:$E,"Téc 3",DATA_GOC!$F:$F,"Xuất nội bộ từ téc",DATA_GOC!$B:$B,DATE($D$2,$B$2,AA$4)),0))</f>
        <v>0</v>
      </c>
      <c r="AB131" s="251">
        <f>IF(AB$4&gt;DAY(EOMONTH(DATE($D$2,$B$2,1),0)),"",IFERROR(SUMIFS(DATA_GOC!$H:$H,DATA_GOC!$A:$A,"BOM",DATA_GOC!$D:$D,$B131,DATA_GOC!$E:$E,"Téc 3",DATA_GOC!$F:$F,"Xuất nội bộ từ téc",DATA_GOC!$B:$B,DATE($D$2,$B$2,AB$4)),0))</f>
        <v>0</v>
      </c>
      <c r="AC131" s="251">
        <f>IF(AC$4&gt;DAY(EOMONTH(DATE($D$2,$B$2,1),0)),"",IFERROR(SUMIFS(DATA_GOC!$H:$H,DATA_GOC!$A:$A,"BOM",DATA_GOC!$D:$D,$B131,DATA_GOC!$E:$E,"Téc 3",DATA_GOC!$F:$F,"Xuất nội bộ từ téc",DATA_GOC!$B:$B,DATE($D$2,$B$2,AC$4)),0))</f>
        <v>0</v>
      </c>
      <c r="AD131" s="251">
        <f>IF(AD$4&gt;DAY(EOMONTH(DATE($D$2,$B$2,1),0)),"",IFERROR(SUMIFS(DATA_GOC!$H:$H,DATA_GOC!$A:$A,"BOM",DATA_GOC!$D:$D,$B131,DATA_GOC!$E:$E,"Téc 3",DATA_GOC!$F:$F,"Xuất nội bộ từ téc",DATA_GOC!$B:$B,DATE($D$2,$B$2,AD$4)),0))</f>
        <v>0</v>
      </c>
      <c r="AE131" s="251">
        <f>IF(AE$4&gt;DAY(EOMONTH(DATE($D$2,$B$2,1),0)),"",IFERROR(SUMIFS(DATA_GOC!$H:$H,DATA_GOC!$A:$A,"BOM",DATA_GOC!$D:$D,$B131,DATA_GOC!$E:$E,"Téc 3",DATA_GOC!$F:$F,"Xuất nội bộ từ téc",DATA_GOC!$B:$B,DATE($D$2,$B$2,AE$4)),0))</f>
        <v>0</v>
      </c>
      <c r="AF131" s="251">
        <f>IF(AF$4&gt;DAY(EOMONTH(DATE($D$2,$B$2,1),0)),"",IFERROR(SUMIFS(DATA_GOC!$H:$H,DATA_GOC!$A:$A,"BOM",DATA_GOC!$D:$D,$B131,DATA_GOC!$E:$E,"Téc 3",DATA_GOC!$F:$F,"Xuất nội bộ từ téc",DATA_GOC!$B:$B,DATE($D$2,$B$2,AF$4)),0))</f>
        <v>0</v>
      </c>
      <c r="AG131" s="251">
        <f>IF(AG$4&gt;DAY(EOMONTH(DATE($D$2,$B$2,1),0)),"",IFERROR(SUMIFS(DATA_GOC!$H:$H,DATA_GOC!$A:$A,"BOM",DATA_GOC!$D:$D,$B131,DATA_GOC!$E:$E,"Téc 3",DATA_GOC!$F:$F,"Xuất nội bộ từ téc",DATA_GOC!$B:$B,DATE($D$2,$B$2,AG$4)),0))</f>
        <v>0</v>
      </c>
      <c r="AH131" s="252">
        <f t="shared" si="7"/>
        <v>0</v>
      </c>
      <c r="AI131" s="241"/>
      <c r="AJ131" s="242">
        <f>IF($B131="","",SUMIFS(TINH_TEC!$K$233:$K$9232,TINH_TEC!$H$233:$H$9232,$B131,TINH_TEC!$C$233:$C$9232,"Téc 3",TINH_TEC!$F$233:$F$9232,$B$2,TINH_TEC!$G$233:$G$9232,$D$2,TINH_TEC!$B$233:$B$9232,"Đã chốt"))</f>
        <v>0</v>
      </c>
      <c r="AK131" s="242">
        <f>IF($B131="","",SUMIFS(TINH_TEC!$J$233:$J$9232,TINH_TEC!$H$233:$H$9232,$B131,TINH_TEC!$C$233:$C$9232,"Téc 3",TINH_TEC!$F$233:$F$9232,$B$2,TINH_TEC!$G$233:$G$9232,$D$2,TINH_TEC!$B$233:$B$9232,"Đã chốt"))</f>
        <v>0</v>
      </c>
      <c r="AL131" s="242">
        <f t="shared" si="8"/>
        <v>0</v>
      </c>
    </row>
    <row r="132" ht="15.75" customHeight="1">
      <c r="A132" s="237">
        <f>IF($B132&lt;&gt;"",5,"")</f>
        <v>5</v>
      </c>
      <c r="B132" s="250" t="str">
        <f t="array" ref="B132">IFERROR(INDEX(DANH_MUC!$E:$E,8),"")</f>
        <v>28C01406</v>
      </c>
      <c r="C132" s="251">
        <f>IF(C$4&gt;DAY(EOMONTH(DATE($D$2,$B$2,1),0)),"",IFERROR(SUMIFS(DATA_GOC!$H:$H,DATA_GOC!$A:$A,"BOM",DATA_GOC!$D:$D,$B132,DATA_GOC!$E:$E,"Téc 3",DATA_GOC!$F:$F,"Xuất nội bộ từ téc",DATA_GOC!$B:$B,DATE($D$2,$B$2,C$4)),0))</f>
        <v>0</v>
      </c>
      <c r="D132" s="251">
        <f>IF(D$4&gt;DAY(EOMONTH(DATE($D$2,$B$2,1),0)),"",IFERROR(SUMIFS(DATA_GOC!$H:$H,DATA_GOC!$A:$A,"BOM",DATA_GOC!$D:$D,$B132,DATA_GOC!$E:$E,"Téc 3",DATA_GOC!$F:$F,"Xuất nội bộ từ téc",DATA_GOC!$B:$B,DATE($D$2,$B$2,D$4)),0))</f>
        <v>0</v>
      </c>
      <c r="E132" s="251">
        <f>IF(E$4&gt;DAY(EOMONTH(DATE($D$2,$B$2,1),0)),"",IFERROR(SUMIFS(DATA_GOC!$H:$H,DATA_GOC!$A:$A,"BOM",DATA_GOC!$D:$D,$B132,DATA_GOC!$E:$E,"Téc 3",DATA_GOC!$F:$F,"Xuất nội bộ từ téc",DATA_GOC!$B:$B,DATE($D$2,$B$2,E$4)),0))</f>
        <v>0</v>
      </c>
      <c r="F132" s="251">
        <f>IF(F$4&gt;DAY(EOMONTH(DATE($D$2,$B$2,1),0)),"",IFERROR(SUMIFS(DATA_GOC!$H:$H,DATA_GOC!$A:$A,"BOM",DATA_GOC!$D:$D,$B132,DATA_GOC!$E:$E,"Téc 3",DATA_GOC!$F:$F,"Xuất nội bộ từ téc",DATA_GOC!$B:$B,DATE($D$2,$B$2,F$4)),0))</f>
        <v>0</v>
      </c>
      <c r="G132" s="251">
        <f>IF(G$4&gt;DAY(EOMONTH(DATE($D$2,$B$2,1),0)),"",IFERROR(SUMIFS(DATA_GOC!$H:$H,DATA_GOC!$A:$A,"BOM",DATA_GOC!$D:$D,$B132,DATA_GOC!$E:$E,"Téc 3",DATA_GOC!$F:$F,"Xuất nội bộ từ téc",DATA_GOC!$B:$B,DATE($D$2,$B$2,G$4)),0))</f>
        <v>0</v>
      </c>
      <c r="H132" s="251">
        <f>IF(H$4&gt;DAY(EOMONTH(DATE($D$2,$B$2,1),0)),"",IFERROR(SUMIFS(DATA_GOC!$H:$H,DATA_GOC!$A:$A,"BOM",DATA_GOC!$D:$D,$B132,DATA_GOC!$E:$E,"Téc 3",DATA_GOC!$F:$F,"Xuất nội bộ từ téc",DATA_GOC!$B:$B,DATE($D$2,$B$2,H$4)),0))</f>
        <v>0</v>
      </c>
      <c r="I132" s="251">
        <f>IF(I$4&gt;DAY(EOMONTH(DATE($D$2,$B$2,1),0)),"",IFERROR(SUMIFS(DATA_GOC!$H:$H,DATA_GOC!$A:$A,"BOM",DATA_GOC!$D:$D,$B132,DATA_GOC!$E:$E,"Téc 3",DATA_GOC!$F:$F,"Xuất nội bộ từ téc",DATA_GOC!$B:$B,DATE($D$2,$B$2,I$4)),0))</f>
        <v>0</v>
      </c>
      <c r="J132" s="251">
        <f>IF(J$4&gt;DAY(EOMONTH(DATE($D$2,$B$2,1),0)),"",IFERROR(SUMIFS(DATA_GOC!$H:$H,DATA_GOC!$A:$A,"BOM",DATA_GOC!$D:$D,$B132,DATA_GOC!$E:$E,"Téc 3",DATA_GOC!$F:$F,"Xuất nội bộ từ téc",DATA_GOC!$B:$B,DATE($D$2,$B$2,J$4)),0))</f>
        <v>0</v>
      </c>
      <c r="K132" s="251">
        <f>IF(K$4&gt;DAY(EOMONTH(DATE($D$2,$B$2,1),0)),"",IFERROR(SUMIFS(DATA_GOC!$H:$H,DATA_GOC!$A:$A,"BOM",DATA_GOC!$D:$D,$B132,DATA_GOC!$E:$E,"Téc 3",DATA_GOC!$F:$F,"Xuất nội bộ từ téc",DATA_GOC!$B:$B,DATE($D$2,$B$2,K$4)),0))</f>
        <v>0</v>
      </c>
      <c r="L132" s="251">
        <f>IF(L$4&gt;DAY(EOMONTH(DATE($D$2,$B$2,1),0)),"",IFERROR(SUMIFS(DATA_GOC!$H:$H,DATA_GOC!$A:$A,"BOM",DATA_GOC!$D:$D,$B132,DATA_GOC!$E:$E,"Téc 3",DATA_GOC!$F:$F,"Xuất nội bộ từ téc",DATA_GOC!$B:$B,DATE($D$2,$B$2,L$4)),0))</f>
        <v>0</v>
      </c>
      <c r="M132" s="251">
        <f>IF(M$4&gt;DAY(EOMONTH(DATE($D$2,$B$2,1),0)),"",IFERROR(SUMIFS(DATA_GOC!$H:$H,DATA_GOC!$A:$A,"BOM",DATA_GOC!$D:$D,$B132,DATA_GOC!$E:$E,"Téc 3",DATA_GOC!$F:$F,"Xuất nội bộ từ téc",DATA_GOC!$B:$B,DATE($D$2,$B$2,M$4)),0))</f>
        <v>0</v>
      </c>
      <c r="N132" s="251">
        <f>IF(N$4&gt;DAY(EOMONTH(DATE($D$2,$B$2,1),0)),"",IFERROR(SUMIFS(DATA_GOC!$H:$H,DATA_GOC!$A:$A,"BOM",DATA_GOC!$D:$D,$B132,DATA_GOC!$E:$E,"Téc 3",DATA_GOC!$F:$F,"Xuất nội bộ từ téc",DATA_GOC!$B:$B,DATE($D$2,$B$2,N$4)),0))</f>
        <v>0</v>
      </c>
      <c r="O132" s="251">
        <f>IF(O$4&gt;DAY(EOMONTH(DATE($D$2,$B$2,1),0)),"",IFERROR(SUMIFS(DATA_GOC!$H:$H,DATA_GOC!$A:$A,"BOM",DATA_GOC!$D:$D,$B132,DATA_GOC!$E:$E,"Téc 3",DATA_GOC!$F:$F,"Xuất nội bộ từ téc",DATA_GOC!$B:$B,DATE($D$2,$B$2,O$4)),0))</f>
        <v>0</v>
      </c>
      <c r="P132" s="251">
        <f>IF(P$4&gt;DAY(EOMONTH(DATE($D$2,$B$2,1),0)),"",IFERROR(SUMIFS(DATA_GOC!$H:$H,DATA_GOC!$A:$A,"BOM",DATA_GOC!$D:$D,$B132,DATA_GOC!$E:$E,"Téc 3",DATA_GOC!$F:$F,"Xuất nội bộ từ téc",DATA_GOC!$B:$B,DATE($D$2,$B$2,P$4)),0))</f>
        <v>0</v>
      </c>
      <c r="Q132" s="251">
        <f>IF(Q$4&gt;DAY(EOMONTH(DATE($D$2,$B$2,1),0)),"",IFERROR(SUMIFS(DATA_GOC!$H:$H,DATA_GOC!$A:$A,"BOM",DATA_GOC!$D:$D,$B132,DATA_GOC!$E:$E,"Téc 3",DATA_GOC!$F:$F,"Xuất nội bộ từ téc",DATA_GOC!$B:$B,DATE($D$2,$B$2,Q$4)),0))</f>
        <v>0</v>
      </c>
      <c r="R132" s="251">
        <f>IF(R$4&gt;DAY(EOMONTH(DATE($D$2,$B$2,1),0)),"",IFERROR(SUMIFS(DATA_GOC!$H:$H,DATA_GOC!$A:$A,"BOM",DATA_GOC!$D:$D,$B132,DATA_GOC!$E:$E,"Téc 3",DATA_GOC!$F:$F,"Xuất nội bộ từ téc",DATA_GOC!$B:$B,DATE($D$2,$B$2,R$4)),0))</f>
        <v>0</v>
      </c>
      <c r="S132" s="251">
        <f>IF(S$4&gt;DAY(EOMONTH(DATE($D$2,$B$2,1),0)),"",IFERROR(SUMIFS(DATA_GOC!$H:$H,DATA_GOC!$A:$A,"BOM",DATA_GOC!$D:$D,$B132,DATA_GOC!$E:$E,"Téc 3",DATA_GOC!$F:$F,"Xuất nội bộ từ téc",DATA_GOC!$B:$B,DATE($D$2,$B$2,S$4)),0))</f>
        <v>0</v>
      </c>
      <c r="T132" s="251">
        <f>IF(T$4&gt;DAY(EOMONTH(DATE($D$2,$B$2,1),0)),"",IFERROR(SUMIFS(DATA_GOC!$H:$H,DATA_GOC!$A:$A,"BOM",DATA_GOC!$D:$D,$B132,DATA_GOC!$E:$E,"Téc 3",DATA_GOC!$F:$F,"Xuất nội bộ từ téc",DATA_GOC!$B:$B,DATE($D$2,$B$2,T$4)),0))</f>
        <v>0</v>
      </c>
      <c r="U132" s="251">
        <f>IF(U$4&gt;DAY(EOMONTH(DATE($D$2,$B$2,1),0)),"",IFERROR(SUMIFS(DATA_GOC!$H:$H,DATA_GOC!$A:$A,"BOM",DATA_GOC!$D:$D,$B132,DATA_GOC!$E:$E,"Téc 3",DATA_GOC!$F:$F,"Xuất nội bộ từ téc",DATA_GOC!$B:$B,DATE($D$2,$B$2,U$4)),0))</f>
        <v>0</v>
      </c>
      <c r="V132" s="251">
        <f>IF(V$4&gt;DAY(EOMONTH(DATE($D$2,$B$2,1),0)),"",IFERROR(SUMIFS(DATA_GOC!$H:$H,DATA_GOC!$A:$A,"BOM",DATA_GOC!$D:$D,$B132,DATA_GOC!$E:$E,"Téc 3",DATA_GOC!$F:$F,"Xuất nội bộ từ téc",DATA_GOC!$B:$B,DATE($D$2,$B$2,V$4)),0))</f>
        <v>0</v>
      </c>
      <c r="W132" s="251">
        <f>IF(W$4&gt;DAY(EOMONTH(DATE($D$2,$B$2,1),0)),"",IFERROR(SUMIFS(DATA_GOC!$H:$H,DATA_GOC!$A:$A,"BOM",DATA_GOC!$D:$D,$B132,DATA_GOC!$E:$E,"Téc 3",DATA_GOC!$F:$F,"Xuất nội bộ từ téc",DATA_GOC!$B:$B,DATE($D$2,$B$2,W$4)),0))</f>
        <v>0</v>
      </c>
      <c r="X132" s="251">
        <f>IF(X$4&gt;DAY(EOMONTH(DATE($D$2,$B$2,1),0)),"",IFERROR(SUMIFS(DATA_GOC!$H:$H,DATA_GOC!$A:$A,"BOM",DATA_GOC!$D:$D,$B132,DATA_GOC!$E:$E,"Téc 3",DATA_GOC!$F:$F,"Xuất nội bộ từ téc",DATA_GOC!$B:$B,DATE($D$2,$B$2,X$4)),0))</f>
        <v>0</v>
      </c>
      <c r="Y132" s="251">
        <f>IF(Y$4&gt;DAY(EOMONTH(DATE($D$2,$B$2,1),0)),"",IFERROR(SUMIFS(DATA_GOC!$H:$H,DATA_GOC!$A:$A,"BOM",DATA_GOC!$D:$D,$B132,DATA_GOC!$E:$E,"Téc 3",DATA_GOC!$F:$F,"Xuất nội bộ từ téc",DATA_GOC!$B:$B,DATE($D$2,$B$2,Y$4)),0))</f>
        <v>0</v>
      </c>
      <c r="Z132" s="251">
        <f>IF(Z$4&gt;DAY(EOMONTH(DATE($D$2,$B$2,1),0)),"",IFERROR(SUMIFS(DATA_GOC!$H:$H,DATA_GOC!$A:$A,"BOM",DATA_GOC!$D:$D,$B132,DATA_GOC!$E:$E,"Téc 3",DATA_GOC!$F:$F,"Xuất nội bộ từ téc",DATA_GOC!$B:$B,DATE($D$2,$B$2,Z$4)),0))</f>
        <v>0</v>
      </c>
      <c r="AA132" s="251">
        <f>IF(AA$4&gt;DAY(EOMONTH(DATE($D$2,$B$2,1),0)),"",IFERROR(SUMIFS(DATA_GOC!$H:$H,DATA_GOC!$A:$A,"BOM",DATA_GOC!$D:$D,$B132,DATA_GOC!$E:$E,"Téc 3",DATA_GOC!$F:$F,"Xuất nội bộ từ téc",DATA_GOC!$B:$B,DATE($D$2,$B$2,AA$4)),0))</f>
        <v>0</v>
      </c>
      <c r="AB132" s="251">
        <f>IF(AB$4&gt;DAY(EOMONTH(DATE($D$2,$B$2,1),0)),"",IFERROR(SUMIFS(DATA_GOC!$H:$H,DATA_GOC!$A:$A,"BOM",DATA_GOC!$D:$D,$B132,DATA_GOC!$E:$E,"Téc 3",DATA_GOC!$F:$F,"Xuất nội bộ từ téc",DATA_GOC!$B:$B,DATE($D$2,$B$2,AB$4)),0))</f>
        <v>0</v>
      </c>
      <c r="AC132" s="251">
        <f>IF(AC$4&gt;DAY(EOMONTH(DATE($D$2,$B$2,1),0)),"",IFERROR(SUMIFS(DATA_GOC!$H:$H,DATA_GOC!$A:$A,"BOM",DATA_GOC!$D:$D,$B132,DATA_GOC!$E:$E,"Téc 3",DATA_GOC!$F:$F,"Xuất nội bộ từ téc",DATA_GOC!$B:$B,DATE($D$2,$B$2,AC$4)),0))</f>
        <v>0</v>
      </c>
      <c r="AD132" s="251">
        <f>IF(AD$4&gt;DAY(EOMONTH(DATE($D$2,$B$2,1),0)),"",IFERROR(SUMIFS(DATA_GOC!$H:$H,DATA_GOC!$A:$A,"BOM",DATA_GOC!$D:$D,$B132,DATA_GOC!$E:$E,"Téc 3",DATA_GOC!$F:$F,"Xuất nội bộ từ téc",DATA_GOC!$B:$B,DATE($D$2,$B$2,AD$4)),0))</f>
        <v>0</v>
      </c>
      <c r="AE132" s="251">
        <f>IF(AE$4&gt;DAY(EOMONTH(DATE($D$2,$B$2,1),0)),"",IFERROR(SUMIFS(DATA_GOC!$H:$H,DATA_GOC!$A:$A,"BOM",DATA_GOC!$D:$D,$B132,DATA_GOC!$E:$E,"Téc 3",DATA_GOC!$F:$F,"Xuất nội bộ từ téc",DATA_GOC!$B:$B,DATE($D$2,$B$2,AE$4)),0))</f>
        <v>0</v>
      </c>
      <c r="AF132" s="251">
        <f>IF(AF$4&gt;DAY(EOMONTH(DATE($D$2,$B$2,1),0)),"",IFERROR(SUMIFS(DATA_GOC!$H:$H,DATA_GOC!$A:$A,"BOM",DATA_GOC!$D:$D,$B132,DATA_GOC!$E:$E,"Téc 3",DATA_GOC!$F:$F,"Xuất nội bộ từ téc",DATA_GOC!$B:$B,DATE($D$2,$B$2,AF$4)),0))</f>
        <v>0</v>
      </c>
      <c r="AG132" s="251">
        <f>IF(AG$4&gt;DAY(EOMONTH(DATE($D$2,$B$2,1),0)),"",IFERROR(SUMIFS(DATA_GOC!$H:$H,DATA_GOC!$A:$A,"BOM",DATA_GOC!$D:$D,$B132,DATA_GOC!$E:$E,"Téc 3",DATA_GOC!$F:$F,"Xuất nội bộ từ téc",DATA_GOC!$B:$B,DATE($D$2,$B$2,AG$4)),0))</f>
        <v>0</v>
      </c>
      <c r="AH132" s="252">
        <f t="shared" si="7"/>
        <v>0</v>
      </c>
      <c r="AI132" s="241"/>
      <c r="AJ132" s="242">
        <f>IF($B132="","",SUMIFS(TINH_TEC!$K$233:$K$9232,TINH_TEC!$H$233:$H$9232,$B132,TINH_TEC!$C$233:$C$9232,"Téc 3",TINH_TEC!$F$233:$F$9232,$B$2,TINH_TEC!$G$233:$G$9232,$D$2,TINH_TEC!$B$233:$B$9232,"Đã chốt"))</f>
        <v>0</v>
      </c>
      <c r="AK132" s="242">
        <f>IF($B132="","",SUMIFS(TINH_TEC!$J$233:$J$9232,TINH_TEC!$H$233:$H$9232,$B132,TINH_TEC!$C$233:$C$9232,"Téc 3",TINH_TEC!$F$233:$F$9232,$B$2,TINH_TEC!$G$233:$G$9232,$D$2,TINH_TEC!$B$233:$B$9232,"Đã chốt"))</f>
        <v>0</v>
      </c>
      <c r="AL132" s="242">
        <f t="shared" si="8"/>
        <v>0</v>
      </c>
    </row>
    <row r="133" ht="15.75" customHeight="1">
      <c r="A133" s="237">
        <f>IF($B133&lt;&gt;"",6,"")</f>
        <v>6</v>
      </c>
      <c r="B133" s="250" t="str">
        <f t="array" ref="B133">IFERROR(INDEX(DANH_MUC!$E:$E,9),"")</f>
        <v>28C01544</v>
      </c>
      <c r="C133" s="251">
        <f>IF(C$4&gt;DAY(EOMONTH(DATE($D$2,$B$2,1),0)),"",IFERROR(SUMIFS(DATA_GOC!$H:$H,DATA_GOC!$A:$A,"BOM",DATA_GOC!$D:$D,$B133,DATA_GOC!$E:$E,"Téc 3",DATA_GOC!$F:$F,"Xuất nội bộ từ téc",DATA_GOC!$B:$B,DATE($D$2,$B$2,C$4)),0))</f>
        <v>0</v>
      </c>
      <c r="D133" s="251">
        <f>IF(D$4&gt;DAY(EOMONTH(DATE($D$2,$B$2,1),0)),"",IFERROR(SUMIFS(DATA_GOC!$H:$H,DATA_GOC!$A:$A,"BOM",DATA_GOC!$D:$D,$B133,DATA_GOC!$E:$E,"Téc 3",DATA_GOC!$F:$F,"Xuất nội bộ từ téc",DATA_GOC!$B:$B,DATE($D$2,$B$2,D$4)),0))</f>
        <v>0</v>
      </c>
      <c r="E133" s="251">
        <f>IF(E$4&gt;DAY(EOMONTH(DATE($D$2,$B$2,1),0)),"",IFERROR(SUMIFS(DATA_GOC!$H:$H,DATA_GOC!$A:$A,"BOM",DATA_GOC!$D:$D,$B133,DATA_GOC!$E:$E,"Téc 3",DATA_GOC!$F:$F,"Xuất nội bộ từ téc",DATA_GOC!$B:$B,DATE($D$2,$B$2,E$4)),0))</f>
        <v>0</v>
      </c>
      <c r="F133" s="251">
        <f>IF(F$4&gt;DAY(EOMONTH(DATE($D$2,$B$2,1),0)),"",IFERROR(SUMIFS(DATA_GOC!$H:$H,DATA_GOC!$A:$A,"BOM",DATA_GOC!$D:$D,$B133,DATA_GOC!$E:$E,"Téc 3",DATA_GOC!$F:$F,"Xuất nội bộ từ téc",DATA_GOC!$B:$B,DATE($D$2,$B$2,F$4)),0))</f>
        <v>0</v>
      </c>
      <c r="G133" s="251">
        <f>IF(G$4&gt;DAY(EOMONTH(DATE($D$2,$B$2,1),0)),"",IFERROR(SUMIFS(DATA_GOC!$H:$H,DATA_GOC!$A:$A,"BOM",DATA_GOC!$D:$D,$B133,DATA_GOC!$E:$E,"Téc 3",DATA_GOC!$F:$F,"Xuất nội bộ từ téc",DATA_GOC!$B:$B,DATE($D$2,$B$2,G$4)),0))</f>
        <v>0</v>
      </c>
      <c r="H133" s="251">
        <f>IF(H$4&gt;DAY(EOMONTH(DATE($D$2,$B$2,1),0)),"",IFERROR(SUMIFS(DATA_GOC!$H:$H,DATA_GOC!$A:$A,"BOM",DATA_GOC!$D:$D,$B133,DATA_GOC!$E:$E,"Téc 3",DATA_GOC!$F:$F,"Xuất nội bộ từ téc",DATA_GOC!$B:$B,DATE($D$2,$B$2,H$4)),0))</f>
        <v>0</v>
      </c>
      <c r="I133" s="251">
        <f>IF(I$4&gt;DAY(EOMONTH(DATE($D$2,$B$2,1),0)),"",IFERROR(SUMIFS(DATA_GOC!$H:$H,DATA_GOC!$A:$A,"BOM",DATA_GOC!$D:$D,$B133,DATA_GOC!$E:$E,"Téc 3",DATA_GOC!$F:$F,"Xuất nội bộ từ téc",DATA_GOC!$B:$B,DATE($D$2,$B$2,I$4)),0))</f>
        <v>0</v>
      </c>
      <c r="J133" s="251">
        <f>IF(J$4&gt;DAY(EOMONTH(DATE($D$2,$B$2,1),0)),"",IFERROR(SUMIFS(DATA_GOC!$H:$H,DATA_GOC!$A:$A,"BOM",DATA_GOC!$D:$D,$B133,DATA_GOC!$E:$E,"Téc 3",DATA_GOC!$F:$F,"Xuất nội bộ từ téc",DATA_GOC!$B:$B,DATE($D$2,$B$2,J$4)),0))</f>
        <v>0</v>
      </c>
      <c r="K133" s="251">
        <f>IF(K$4&gt;DAY(EOMONTH(DATE($D$2,$B$2,1),0)),"",IFERROR(SUMIFS(DATA_GOC!$H:$H,DATA_GOC!$A:$A,"BOM",DATA_GOC!$D:$D,$B133,DATA_GOC!$E:$E,"Téc 3",DATA_GOC!$F:$F,"Xuất nội bộ từ téc",DATA_GOC!$B:$B,DATE($D$2,$B$2,K$4)),0))</f>
        <v>0</v>
      </c>
      <c r="L133" s="251">
        <f>IF(L$4&gt;DAY(EOMONTH(DATE($D$2,$B$2,1),0)),"",IFERROR(SUMIFS(DATA_GOC!$H:$H,DATA_GOC!$A:$A,"BOM",DATA_GOC!$D:$D,$B133,DATA_GOC!$E:$E,"Téc 3",DATA_GOC!$F:$F,"Xuất nội bộ từ téc",DATA_GOC!$B:$B,DATE($D$2,$B$2,L$4)),0))</f>
        <v>0</v>
      </c>
      <c r="M133" s="251">
        <f>IF(M$4&gt;DAY(EOMONTH(DATE($D$2,$B$2,1),0)),"",IFERROR(SUMIFS(DATA_GOC!$H:$H,DATA_GOC!$A:$A,"BOM",DATA_GOC!$D:$D,$B133,DATA_GOC!$E:$E,"Téc 3",DATA_GOC!$F:$F,"Xuất nội bộ từ téc",DATA_GOC!$B:$B,DATE($D$2,$B$2,M$4)),0))</f>
        <v>0</v>
      </c>
      <c r="N133" s="251">
        <f>IF(N$4&gt;DAY(EOMONTH(DATE($D$2,$B$2,1),0)),"",IFERROR(SUMIFS(DATA_GOC!$H:$H,DATA_GOC!$A:$A,"BOM",DATA_GOC!$D:$D,$B133,DATA_GOC!$E:$E,"Téc 3",DATA_GOC!$F:$F,"Xuất nội bộ từ téc",DATA_GOC!$B:$B,DATE($D$2,$B$2,N$4)),0))</f>
        <v>0</v>
      </c>
      <c r="O133" s="251">
        <f>IF(O$4&gt;DAY(EOMONTH(DATE($D$2,$B$2,1),0)),"",IFERROR(SUMIFS(DATA_GOC!$H:$H,DATA_GOC!$A:$A,"BOM",DATA_GOC!$D:$D,$B133,DATA_GOC!$E:$E,"Téc 3",DATA_GOC!$F:$F,"Xuất nội bộ từ téc",DATA_GOC!$B:$B,DATE($D$2,$B$2,O$4)),0))</f>
        <v>0</v>
      </c>
      <c r="P133" s="251">
        <f>IF(P$4&gt;DAY(EOMONTH(DATE($D$2,$B$2,1),0)),"",IFERROR(SUMIFS(DATA_GOC!$H:$H,DATA_GOC!$A:$A,"BOM",DATA_GOC!$D:$D,$B133,DATA_GOC!$E:$E,"Téc 3",DATA_GOC!$F:$F,"Xuất nội bộ từ téc",DATA_GOC!$B:$B,DATE($D$2,$B$2,P$4)),0))</f>
        <v>0</v>
      </c>
      <c r="Q133" s="251">
        <f>IF(Q$4&gt;DAY(EOMONTH(DATE($D$2,$B$2,1),0)),"",IFERROR(SUMIFS(DATA_GOC!$H:$H,DATA_GOC!$A:$A,"BOM",DATA_GOC!$D:$D,$B133,DATA_GOC!$E:$E,"Téc 3",DATA_GOC!$F:$F,"Xuất nội bộ từ téc",DATA_GOC!$B:$B,DATE($D$2,$B$2,Q$4)),0))</f>
        <v>0</v>
      </c>
      <c r="R133" s="251">
        <f>IF(R$4&gt;DAY(EOMONTH(DATE($D$2,$B$2,1),0)),"",IFERROR(SUMIFS(DATA_GOC!$H:$H,DATA_GOC!$A:$A,"BOM",DATA_GOC!$D:$D,$B133,DATA_GOC!$E:$E,"Téc 3",DATA_GOC!$F:$F,"Xuất nội bộ từ téc",DATA_GOC!$B:$B,DATE($D$2,$B$2,R$4)),0))</f>
        <v>0</v>
      </c>
      <c r="S133" s="251">
        <f>IF(S$4&gt;DAY(EOMONTH(DATE($D$2,$B$2,1),0)),"",IFERROR(SUMIFS(DATA_GOC!$H:$H,DATA_GOC!$A:$A,"BOM",DATA_GOC!$D:$D,$B133,DATA_GOC!$E:$E,"Téc 3",DATA_GOC!$F:$F,"Xuất nội bộ từ téc",DATA_GOC!$B:$B,DATE($D$2,$B$2,S$4)),0))</f>
        <v>0</v>
      </c>
      <c r="T133" s="251">
        <f>IF(T$4&gt;DAY(EOMONTH(DATE($D$2,$B$2,1),0)),"",IFERROR(SUMIFS(DATA_GOC!$H:$H,DATA_GOC!$A:$A,"BOM",DATA_GOC!$D:$D,$B133,DATA_GOC!$E:$E,"Téc 3",DATA_GOC!$F:$F,"Xuất nội bộ từ téc",DATA_GOC!$B:$B,DATE($D$2,$B$2,T$4)),0))</f>
        <v>0</v>
      </c>
      <c r="U133" s="251">
        <f>IF(U$4&gt;DAY(EOMONTH(DATE($D$2,$B$2,1),0)),"",IFERROR(SUMIFS(DATA_GOC!$H:$H,DATA_GOC!$A:$A,"BOM",DATA_GOC!$D:$D,$B133,DATA_GOC!$E:$E,"Téc 3",DATA_GOC!$F:$F,"Xuất nội bộ từ téc",DATA_GOC!$B:$B,DATE($D$2,$B$2,U$4)),0))</f>
        <v>0</v>
      </c>
      <c r="V133" s="251">
        <f>IF(V$4&gt;DAY(EOMONTH(DATE($D$2,$B$2,1),0)),"",IFERROR(SUMIFS(DATA_GOC!$H:$H,DATA_GOC!$A:$A,"BOM",DATA_GOC!$D:$D,$B133,DATA_GOC!$E:$E,"Téc 3",DATA_GOC!$F:$F,"Xuất nội bộ từ téc",DATA_GOC!$B:$B,DATE($D$2,$B$2,V$4)),0))</f>
        <v>0</v>
      </c>
      <c r="W133" s="251">
        <f>IF(W$4&gt;DAY(EOMONTH(DATE($D$2,$B$2,1),0)),"",IFERROR(SUMIFS(DATA_GOC!$H:$H,DATA_GOC!$A:$A,"BOM",DATA_GOC!$D:$D,$B133,DATA_GOC!$E:$E,"Téc 3",DATA_GOC!$F:$F,"Xuất nội bộ từ téc",DATA_GOC!$B:$B,DATE($D$2,$B$2,W$4)),0))</f>
        <v>0</v>
      </c>
      <c r="X133" s="251">
        <f>IF(X$4&gt;DAY(EOMONTH(DATE($D$2,$B$2,1),0)),"",IFERROR(SUMIFS(DATA_GOC!$H:$H,DATA_GOC!$A:$A,"BOM",DATA_GOC!$D:$D,$B133,DATA_GOC!$E:$E,"Téc 3",DATA_GOC!$F:$F,"Xuất nội bộ từ téc",DATA_GOC!$B:$B,DATE($D$2,$B$2,X$4)),0))</f>
        <v>0</v>
      </c>
      <c r="Y133" s="251">
        <f>IF(Y$4&gt;DAY(EOMONTH(DATE($D$2,$B$2,1),0)),"",IFERROR(SUMIFS(DATA_GOC!$H:$H,DATA_GOC!$A:$A,"BOM",DATA_GOC!$D:$D,$B133,DATA_GOC!$E:$E,"Téc 3",DATA_GOC!$F:$F,"Xuất nội bộ từ téc",DATA_GOC!$B:$B,DATE($D$2,$B$2,Y$4)),0))</f>
        <v>0</v>
      </c>
      <c r="Z133" s="251">
        <f>IF(Z$4&gt;DAY(EOMONTH(DATE($D$2,$B$2,1),0)),"",IFERROR(SUMIFS(DATA_GOC!$H:$H,DATA_GOC!$A:$A,"BOM",DATA_GOC!$D:$D,$B133,DATA_GOC!$E:$E,"Téc 3",DATA_GOC!$F:$F,"Xuất nội bộ từ téc",DATA_GOC!$B:$B,DATE($D$2,$B$2,Z$4)),0))</f>
        <v>0</v>
      </c>
      <c r="AA133" s="251">
        <f>IF(AA$4&gt;DAY(EOMONTH(DATE($D$2,$B$2,1),0)),"",IFERROR(SUMIFS(DATA_GOC!$H:$H,DATA_GOC!$A:$A,"BOM",DATA_GOC!$D:$D,$B133,DATA_GOC!$E:$E,"Téc 3",DATA_GOC!$F:$F,"Xuất nội bộ từ téc",DATA_GOC!$B:$B,DATE($D$2,$B$2,AA$4)),0))</f>
        <v>0</v>
      </c>
      <c r="AB133" s="251">
        <f>IF(AB$4&gt;DAY(EOMONTH(DATE($D$2,$B$2,1),0)),"",IFERROR(SUMIFS(DATA_GOC!$H:$H,DATA_GOC!$A:$A,"BOM",DATA_GOC!$D:$D,$B133,DATA_GOC!$E:$E,"Téc 3",DATA_GOC!$F:$F,"Xuất nội bộ từ téc",DATA_GOC!$B:$B,DATE($D$2,$B$2,AB$4)),0))</f>
        <v>0</v>
      </c>
      <c r="AC133" s="251">
        <f>IF(AC$4&gt;DAY(EOMONTH(DATE($D$2,$B$2,1),0)),"",IFERROR(SUMIFS(DATA_GOC!$H:$H,DATA_GOC!$A:$A,"BOM",DATA_GOC!$D:$D,$B133,DATA_GOC!$E:$E,"Téc 3",DATA_GOC!$F:$F,"Xuất nội bộ từ téc",DATA_GOC!$B:$B,DATE($D$2,$B$2,AC$4)),0))</f>
        <v>0</v>
      </c>
      <c r="AD133" s="251">
        <f>IF(AD$4&gt;DAY(EOMONTH(DATE($D$2,$B$2,1),0)),"",IFERROR(SUMIFS(DATA_GOC!$H:$H,DATA_GOC!$A:$A,"BOM",DATA_GOC!$D:$D,$B133,DATA_GOC!$E:$E,"Téc 3",DATA_GOC!$F:$F,"Xuất nội bộ từ téc",DATA_GOC!$B:$B,DATE($D$2,$B$2,AD$4)),0))</f>
        <v>0</v>
      </c>
      <c r="AE133" s="251">
        <f>IF(AE$4&gt;DAY(EOMONTH(DATE($D$2,$B$2,1),0)),"",IFERROR(SUMIFS(DATA_GOC!$H:$H,DATA_GOC!$A:$A,"BOM",DATA_GOC!$D:$D,$B133,DATA_GOC!$E:$E,"Téc 3",DATA_GOC!$F:$F,"Xuất nội bộ từ téc",DATA_GOC!$B:$B,DATE($D$2,$B$2,AE$4)),0))</f>
        <v>0</v>
      </c>
      <c r="AF133" s="251">
        <f>IF(AF$4&gt;DAY(EOMONTH(DATE($D$2,$B$2,1),0)),"",IFERROR(SUMIFS(DATA_GOC!$H:$H,DATA_GOC!$A:$A,"BOM",DATA_GOC!$D:$D,$B133,DATA_GOC!$E:$E,"Téc 3",DATA_GOC!$F:$F,"Xuất nội bộ từ téc",DATA_GOC!$B:$B,DATE($D$2,$B$2,AF$4)),0))</f>
        <v>0</v>
      </c>
      <c r="AG133" s="251">
        <f>IF(AG$4&gt;DAY(EOMONTH(DATE($D$2,$B$2,1),0)),"",IFERROR(SUMIFS(DATA_GOC!$H:$H,DATA_GOC!$A:$A,"BOM",DATA_GOC!$D:$D,$B133,DATA_GOC!$E:$E,"Téc 3",DATA_GOC!$F:$F,"Xuất nội bộ từ téc",DATA_GOC!$B:$B,DATE($D$2,$B$2,AG$4)),0))</f>
        <v>0</v>
      </c>
      <c r="AH133" s="252">
        <f t="shared" si="7"/>
        <v>0</v>
      </c>
      <c r="AI133" s="241"/>
      <c r="AJ133" s="242">
        <f>IF($B133="","",SUMIFS(TINH_TEC!$K$233:$K$9232,TINH_TEC!$H$233:$H$9232,$B133,TINH_TEC!$C$233:$C$9232,"Téc 3",TINH_TEC!$F$233:$F$9232,$B$2,TINH_TEC!$G$233:$G$9232,$D$2,TINH_TEC!$B$233:$B$9232,"Đã chốt"))</f>
        <v>0</v>
      </c>
      <c r="AK133" s="242">
        <f>IF($B133="","",SUMIFS(TINH_TEC!$J$233:$J$9232,TINH_TEC!$H$233:$H$9232,$B133,TINH_TEC!$C$233:$C$9232,"Téc 3",TINH_TEC!$F$233:$F$9232,$B$2,TINH_TEC!$G$233:$G$9232,$D$2,TINH_TEC!$B$233:$B$9232,"Đã chốt"))</f>
        <v>0</v>
      </c>
      <c r="AL133" s="242">
        <f t="shared" si="8"/>
        <v>0</v>
      </c>
    </row>
    <row r="134" ht="15.75" customHeight="1">
      <c r="A134" s="237">
        <f>IF($B134&lt;&gt;"",7,"")</f>
        <v>7</v>
      </c>
      <c r="B134" s="250" t="str">
        <f t="array" ref="B134">IFERROR(INDEX(DANH_MUC!$E:$E,10),"")</f>
        <v>28C01622</v>
      </c>
      <c r="C134" s="251">
        <f>IF(C$4&gt;DAY(EOMONTH(DATE($D$2,$B$2,1),0)),"",IFERROR(SUMIFS(DATA_GOC!$H:$H,DATA_GOC!$A:$A,"BOM",DATA_GOC!$D:$D,$B134,DATA_GOC!$E:$E,"Téc 3",DATA_GOC!$F:$F,"Xuất nội bộ từ téc",DATA_GOC!$B:$B,DATE($D$2,$B$2,C$4)),0))</f>
        <v>0</v>
      </c>
      <c r="D134" s="251">
        <f>IF(D$4&gt;DAY(EOMONTH(DATE($D$2,$B$2,1),0)),"",IFERROR(SUMIFS(DATA_GOC!$H:$H,DATA_GOC!$A:$A,"BOM",DATA_GOC!$D:$D,$B134,DATA_GOC!$E:$E,"Téc 3",DATA_GOC!$F:$F,"Xuất nội bộ từ téc",DATA_GOC!$B:$B,DATE($D$2,$B$2,D$4)),0))</f>
        <v>0</v>
      </c>
      <c r="E134" s="251">
        <f>IF(E$4&gt;DAY(EOMONTH(DATE($D$2,$B$2,1),0)),"",IFERROR(SUMIFS(DATA_GOC!$H:$H,DATA_GOC!$A:$A,"BOM",DATA_GOC!$D:$D,$B134,DATA_GOC!$E:$E,"Téc 3",DATA_GOC!$F:$F,"Xuất nội bộ từ téc",DATA_GOC!$B:$B,DATE($D$2,$B$2,E$4)),0))</f>
        <v>0</v>
      </c>
      <c r="F134" s="251">
        <f>IF(F$4&gt;DAY(EOMONTH(DATE($D$2,$B$2,1),0)),"",IFERROR(SUMIFS(DATA_GOC!$H:$H,DATA_GOC!$A:$A,"BOM",DATA_GOC!$D:$D,$B134,DATA_GOC!$E:$E,"Téc 3",DATA_GOC!$F:$F,"Xuất nội bộ từ téc",DATA_GOC!$B:$B,DATE($D$2,$B$2,F$4)),0))</f>
        <v>0</v>
      </c>
      <c r="G134" s="251">
        <f>IF(G$4&gt;DAY(EOMONTH(DATE($D$2,$B$2,1),0)),"",IFERROR(SUMIFS(DATA_GOC!$H:$H,DATA_GOC!$A:$A,"BOM",DATA_GOC!$D:$D,$B134,DATA_GOC!$E:$E,"Téc 3",DATA_GOC!$F:$F,"Xuất nội bộ từ téc",DATA_GOC!$B:$B,DATE($D$2,$B$2,G$4)),0))</f>
        <v>0</v>
      </c>
      <c r="H134" s="251">
        <f>IF(H$4&gt;DAY(EOMONTH(DATE($D$2,$B$2,1),0)),"",IFERROR(SUMIFS(DATA_GOC!$H:$H,DATA_GOC!$A:$A,"BOM",DATA_GOC!$D:$D,$B134,DATA_GOC!$E:$E,"Téc 3",DATA_GOC!$F:$F,"Xuất nội bộ từ téc",DATA_GOC!$B:$B,DATE($D$2,$B$2,H$4)),0))</f>
        <v>0</v>
      </c>
      <c r="I134" s="251">
        <f>IF(I$4&gt;DAY(EOMONTH(DATE($D$2,$B$2,1),0)),"",IFERROR(SUMIFS(DATA_GOC!$H:$H,DATA_GOC!$A:$A,"BOM",DATA_GOC!$D:$D,$B134,DATA_GOC!$E:$E,"Téc 3",DATA_GOC!$F:$F,"Xuất nội bộ từ téc",DATA_GOC!$B:$B,DATE($D$2,$B$2,I$4)),0))</f>
        <v>0</v>
      </c>
      <c r="J134" s="251">
        <f>IF(J$4&gt;DAY(EOMONTH(DATE($D$2,$B$2,1),0)),"",IFERROR(SUMIFS(DATA_GOC!$H:$H,DATA_GOC!$A:$A,"BOM",DATA_GOC!$D:$D,$B134,DATA_GOC!$E:$E,"Téc 3",DATA_GOC!$F:$F,"Xuất nội bộ từ téc",DATA_GOC!$B:$B,DATE($D$2,$B$2,J$4)),0))</f>
        <v>0</v>
      </c>
      <c r="K134" s="251">
        <f>IF(K$4&gt;DAY(EOMONTH(DATE($D$2,$B$2,1),0)),"",IFERROR(SUMIFS(DATA_GOC!$H:$H,DATA_GOC!$A:$A,"BOM",DATA_GOC!$D:$D,$B134,DATA_GOC!$E:$E,"Téc 3",DATA_GOC!$F:$F,"Xuất nội bộ từ téc",DATA_GOC!$B:$B,DATE($D$2,$B$2,K$4)),0))</f>
        <v>0</v>
      </c>
      <c r="L134" s="251">
        <f>IF(L$4&gt;DAY(EOMONTH(DATE($D$2,$B$2,1),0)),"",IFERROR(SUMIFS(DATA_GOC!$H:$H,DATA_GOC!$A:$A,"BOM",DATA_GOC!$D:$D,$B134,DATA_GOC!$E:$E,"Téc 3",DATA_GOC!$F:$F,"Xuất nội bộ từ téc",DATA_GOC!$B:$B,DATE($D$2,$B$2,L$4)),0))</f>
        <v>0</v>
      </c>
      <c r="M134" s="251">
        <f>IF(M$4&gt;DAY(EOMONTH(DATE($D$2,$B$2,1),0)),"",IFERROR(SUMIFS(DATA_GOC!$H:$H,DATA_GOC!$A:$A,"BOM",DATA_GOC!$D:$D,$B134,DATA_GOC!$E:$E,"Téc 3",DATA_GOC!$F:$F,"Xuất nội bộ từ téc",DATA_GOC!$B:$B,DATE($D$2,$B$2,M$4)),0))</f>
        <v>0</v>
      </c>
      <c r="N134" s="251">
        <f>IF(N$4&gt;DAY(EOMONTH(DATE($D$2,$B$2,1),0)),"",IFERROR(SUMIFS(DATA_GOC!$H:$H,DATA_GOC!$A:$A,"BOM",DATA_GOC!$D:$D,$B134,DATA_GOC!$E:$E,"Téc 3",DATA_GOC!$F:$F,"Xuất nội bộ từ téc",DATA_GOC!$B:$B,DATE($D$2,$B$2,N$4)),0))</f>
        <v>0</v>
      </c>
      <c r="O134" s="251">
        <f>IF(O$4&gt;DAY(EOMONTH(DATE($D$2,$B$2,1),0)),"",IFERROR(SUMIFS(DATA_GOC!$H:$H,DATA_GOC!$A:$A,"BOM",DATA_GOC!$D:$D,$B134,DATA_GOC!$E:$E,"Téc 3",DATA_GOC!$F:$F,"Xuất nội bộ từ téc",DATA_GOC!$B:$B,DATE($D$2,$B$2,O$4)),0))</f>
        <v>0</v>
      </c>
      <c r="P134" s="251">
        <f>IF(P$4&gt;DAY(EOMONTH(DATE($D$2,$B$2,1),0)),"",IFERROR(SUMIFS(DATA_GOC!$H:$H,DATA_GOC!$A:$A,"BOM",DATA_GOC!$D:$D,$B134,DATA_GOC!$E:$E,"Téc 3",DATA_GOC!$F:$F,"Xuất nội bộ từ téc",DATA_GOC!$B:$B,DATE($D$2,$B$2,P$4)),0))</f>
        <v>0</v>
      </c>
      <c r="Q134" s="251">
        <f>IF(Q$4&gt;DAY(EOMONTH(DATE($D$2,$B$2,1),0)),"",IFERROR(SUMIFS(DATA_GOC!$H:$H,DATA_GOC!$A:$A,"BOM",DATA_GOC!$D:$D,$B134,DATA_GOC!$E:$E,"Téc 3",DATA_GOC!$F:$F,"Xuất nội bộ từ téc",DATA_GOC!$B:$B,DATE($D$2,$B$2,Q$4)),0))</f>
        <v>0</v>
      </c>
      <c r="R134" s="251">
        <f>IF(R$4&gt;DAY(EOMONTH(DATE($D$2,$B$2,1),0)),"",IFERROR(SUMIFS(DATA_GOC!$H:$H,DATA_GOC!$A:$A,"BOM",DATA_GOC!$D:$D,$B134,DATA_GOC!$E:$E,"Téc 3",DATA_GOC!$F:$F,"Xuất nội bộ từ téc",DATA_GOC!$B:$B,DATE($D$2,$B$2,R$4)),0))</f>
        <v>0</v>
      </c>
      <c r="S134" s="251">
        <f>IF(S$4&gt;DAY(EOMONTH(DATE($D$2,$B$2,1),0)),"",IFERROR(SUMIFS(DATA_GOC!$H:$H,DATA_GOC!$A:$A,"BOM",DATA_GOC!$D:$D,$B134,DATA_GOC!$E:$E,"Téc 3",DATA_GOC!$F:$F,"Xuất nội bộ từ téc",DATA_GOC!$B:$B,DATE($D$2,$B$2,S$4)),0))</f>
        <v>0</v>
      </c>
      <c r="T134" s="251">
        <f>IF(T$4&gt;DAY(EOMONTH(DATE($D$2,$B$2,1),0)),"",IFERROR(SUMIFS(DATA_GOC!$H:$H,DATA_GOC!$A:$A,"BOM",DATA_GOC!$D:$D,$B134,DATA_GOC!$E:$E,"Téc 3",DATA_GOC!$F:$F,"Xuất nội bộ từ téc",DATA_GOC!$B:$B,DATE($D$2,$B$2,T$4)),0))</f>
        <v>0</v>
      </c>
      <c r="U134" s="251">
        <f>IF(U$4&gt;DAY(EOMONTH(DATE($D$2,$B$2,1),0)),"",IFERROR(SUMIFS(DATA_GOC!$H:$H,DATA_GOC!$A:$A,"BOM",DATA_GOC!$D:$D,$B134,DATA_GOC!$E:$E,"Téc 3",DATA_GOC!$F:$F,"Xuất nội bộ từ téc",DATA_GOC!$B:$B,DATE($D$2,$B$2,U$4)),0))</f>
        <v>0</v>
      </c>
      <c r="V134" s="251">
        <f>IF(V$4&gt;DAY(EOMONTH(DATE($D$2,$B$2,1),0)),"",IFERROR(SUMIFS(DATA_GOC!$H:$H,DATA_GOC!$A:$A,"BOM",DATA_GOC!$D:$D,$B134,DATA_GOC!$E:$E,"Téc 3",DATA_GOC!$F:$F,"Xuất nội bộ từ téc",DATA_GOC!$B:$B,DATE($D$2,$B$2,V$4)),0))</f>
        <v>0</v>
      </c>
      <c r="W134" s="251">
        <f>IF(W$4&gt;DAY(EOMONTH(DATE($D$2,$B$2,1),0)),"",IFERROR(SUMIFS(DATA_GOC!$H:$H,DATA_GOC!$A:$A,"BOM",DATA_GOC!$D:$D,$B134,DATA_GOC!$E:$E,"Téc 3",DATA_GOC!$F:$F,"Xuất nội bộ từ téc",DATA_GOC!$B:$B,DATE($D$2,$B$2,W$4)),0))</f>
        <v>0</v>
      </c>
      <c r="X134" s="251">
        <f>IF(X$4&gt;DAY(EOMONTH(DATE($D$2,$B$2,1),0)),"",IFERROR(SUMIFS(DATA_GOC!$H:$H,DATA_GOC!$A:$A,"BOM",DATA_GOC!$D:$D,$B134,DATA_GOC!$E:$E,"Téc 3",DATA_GOC!$F:$F,"Xuất nội bộ từ téc",DATA_GOC!$B:$B,DATE($D$2,$B$2,X$4)),0))</f>
        <v>0</v>
      </c>
      <c r="Y134" s="251">
        <f>IF(Y$4&gt;DAY(EOMONTH(DATE($D$2,$B$2,1),0)),"",IFERROR(SUMIFS(DATA_GOC!$H:$H,DATA_GOC!$A:$A,"BOM",DATA_GOC!$D:$D,$B134,DATA_GOC!$E:$E,"Téc 3",DATA_GOC!$F:$F,"Xuất nội bộ từ téc",DATA_GOC!$B:$B,DATE($D$2,$B$2,Y$4)),0))</f>
        <v>0</v>
      </c>
      <c r="Z134" s="251">
        <f>IF(Z$4&gt;DAY(EOMONTH(DATE($D$2,$B$2,1),0)),"",IFERROR(SUMIFS(DATA_GOC!$H:$H,DATA_GOC!$A:$A,"BOM",DATA_GOC!$D:$D,$B134,DATA_GOC!$E:$E,"Téc 3",DATA_GOC!$F:$F,"Xuất nội bộ từ téc",DATA_GOC!$B:$B,DATE($D$2,$B$2,Z$4)),0))</f>
        <v>0</v>
      </c>
      <c r="AA134" s="251">
        <f>IF(AA$4&gt;DAY(EOMONTH(DATE($D$2,$B$2,1),0)),"",IFERROR(SUMIFS(DATA_GOC!$H:$H,DATA_GOC!$A:$A,"BOM",DATA_GOC!$D:$D,$B134,DATA_GOC!$E:$E,"Téc 3",DATA_GOC!$F:$F,"Xuất nội bộ từ téc",DATA_GOC!$B:$B,DATE($D$2,$B$2,AA$4)),0))</f>
        <v>0</v>
      </c>
      <c r="AB134" s="251">
        <f>IF(AB$4&gt;DAY(EOMONTH(DATE($D$2,$B$2,1),0)),"",IFERROR(SUMIFS(DATA_GOC!$H:$H,DATA_GOC!$A:$A,"BOM",DATA_GOC!$D:$D,$B134,DATA_GOC!$E:$E,"Téc 3",DATA_GOC!$F:$F,"Xuất nội bộ từ téc",DATA_GOC!$B:$B,DATE($D$2,$B$2,AB$4)),0))</f>
        <v>0</v>
      </c>
      <c r="AC134" s="251">
        <f>IF(AC$4&gt;DAY(EOMONTH(DATE($D$2,$B$2,1),0)),"",IFERROR(SUMIFS(DATA_GOC!$H:$H,DATA_GOC!$A:$A,"BOM",DATA_GOC!$D:$D,$B134,DATA_GOC!$E:$E,"Téc 3",DATA_GOC!$F:$F,"Xuất nội bộ từ téc",DATA_GOC!$B:$B,DATE($D$2,$B$2,AC$4)),0))</f>
        <v>0</v>
      </c>
      <c r="AD134" s="251">
        <f>IF(AD$4&gt;DAY(EOMONTH(DATE($D$2,$B$2,1),0)),"",IFERROR(SUMIFS(DATA_GOC!$H:$H,DATA_GOC!$A:$A,"BOM",DATA_GOC!$D:$D,$B134,DATA_GOC!$E:$E,"Téc 3",DATA_GOC!$F:$F,"Xuất nội bộ từ téc",DATA_GOC!$B:$B,DATE($D$2,$B$2,AD$4)),0))</f>
        <v>0</v>
      </c>
      <c r="AE134" s="251">
        <f>IF(AE$4&gt;DAY(EOMONTH(DATE($D$2,$B$2,1),0)),"",IFERROR(SUMIFS(DATA_GOC!$H:$H,DATA_GOC!$A:$A,"BOM",DATA_GOC!$D:$D,$B134,DATA_GOC!$E:$E,"Téc 3",DATA_GOC!$F:$F,"Xuất nội bộ từ téc",DATA_GOC!$B:$B,DATE($D$2,$B$2,AE$4)),0))</f>
        <v>0</v>
      </c>
      <c r="AF134" s="251">
        <f>IF(AF$4&gt;DAY(EOMONTH(DATE($D$2,$B$2,1),0)),"",IFERROR(SUMIFS(DATA_GOC!$H:$H,DATA_GOC!$A:$A,"BOM",DATA_GOC!$D:$D,$B134,DATA_GOC!$E:$E,"Téc 3",DATA_GOC!$F:$F,"Xuất nội bộ từ téc",DATA_GOC!$B:$B,DATE($D$2,$B$2,AF$4)),0))</f>
        <v>0</v>
      </c>
      <c r="AG134" s="251">
        <f>IF(AG$4&gt;DAY(EOMONTH(DATE($D$2,$B$2,1),0)),"",IFERROR(SUMIFS(DATA_GOC!$H:$H,DATA_GOC!$A:$A,"BOM",DATA_GOC!$D:$D,$B134,DATA_GOC!$E:$E,"Téc 3",DATA_GOC!$F:$F,"Xuất nội bộ từ téc",DATA_GOC!$B:$B,DATE($D$2,$B$2,AG$4)),0))</f>
        <v>0</v>
      </c>
      <c r="AH134" s="252">
        <f t="shared" si="7"/>
        <v>0</v>
      </c>
      <c r="AI134" s="241"/>
      <c r="AJ134" s="242">
        <f>IF($B134="","",SUMIFS(TINH_TEC!$K$233:$K$9232,TINH_TEC!$H$233:$H$9232,$B134,TINH_TEC!$C$233:$C$9232,"Téc 3",TINH_TEC!$F$233:$F$9232,$B$2,TINH_TEC!$G$233:$G$9232,$D$2,TINH_TEC!$B$233:$B$9232,"Đã chốt"))</f>
        <v>0</v>
      </c>
      <c r="AK134" s="242">
        <f>IF($B134="","",SUMIFS(TINH_TEC!$J$233:$J$9232,TINH_TEC!$H$233:$H$9232,$B134,TINH_TEC!$C$233:$C$9232,"Téc 3",TINH_TEC!$F$233:$F$9232,$B$2,TINH_TEC!$G$233:$G$9232,$D$2,TINH_TEC!$B$233:$B$9232,"Đã chốt"))</f>
        <v>0</v>
      </c>
      <c r="AL134" s="242">
        <f t="shared" si="8"/>
        <v>0</v>
      </c>
    </row>
    <row r="135" ht="15.75" customHeight="1">
      <c r="A135" s="237">
        <f>IF($B135&lt;&gt;"",8,"")</f>
        <v>8</v>
      </c>
      <c r="B135" s="250" t="str">
        <f t="array" ref="B135">IFERROR(INDEX(DANH_MUC!$E:$E,11),"")</f>
        <v>28C01647</v>
      </c>
      <c r="C135" s="251">
        <f>IF(C$4&gt;DAY(EOMONTH(DATE($D$2,$B$2,1),0)),"",IFERROR(SUMIFS(DATA_GOC!$H:$H,DATA_GOC!$A:$A,"BOM",DATA_GOC!$D:$D,$B135,DATA_GOC!$E:$E,"Téc 3",DATA_GOC!$F:$F,"Xuất nội bộ từ téc",DATA_GOC!$B:$B,DATE($D$2,$B$2,C$4)),0))</f>
        <v>0</v>
      </c>
      <c r="D135" s="251">
        <f>IF(D$4&gt;DAY(EOMONTH(DATE($D$2,$B$2,1),0)),"",IFERROR(SUMIFS(DATA_GOC!$H:$H,DATA_GOC!$A:$A,"BOM",DATA_GOC!$D:$D,$B135,DATA_GOC!$E:$E,"Téc 3",DATA_GOC!$F:$F,"Xuất nội bộ từ téc",DATA_GOC!$B:$B,DATE($D$2,$B$2,D$4)),0))</f>
        <v>0</v>
      </c>
      <c r="E135" s="251">
        <f>IF(E$4&gt;DAY(EOMONTH(DATE($D$2,$B$2,1),0)),"",IFERROR(SUMIFS(DATA_GOC!$H:$H,DATA_GOC!$A:$A,"BOM",DATA_GOC!$D:$D,$B135,DATA_GOC!$E:$E,"Téc 3",DATA_GOC!$F:$F,"Xuất nội bộ từ téc",DATA_GOC!$B:$B,DATE($D$2,$B$2,E$4)),0))</f>
        <v>0</v>
      </c>
      <c r="F135" s="251">
        <f>IF(F$4&gt;DAY(EOMONTH(DATE($D$2,$B$2,1),0)),"",IFERROR(SUMIFS(DATA_GOC!$H:$H,DATA_GOC!$A:$A,"BOM",DATA_GOC!$D:$D,$B135,DATA_GOC!$E:$E,"Téc 3",DATA_GOC!$F:$F,"Xuất nội bộ từ téc",DATA_GOC!$B:$B,DATE($D$2,$B$2,F$4)),0))</f>
        <v>0</v>
      </c>
      <c r="G135" s="251">
        <f>IF(G$4&gt;DAY(EOMONTH(DATE($D$2,$B$2,1),0)),"",IFERROR(SUMIFS(DATA_GOC!$H:$H,DATA_GOC!$A:$A,"BOM",DATA_GOC!$D:$D,$B135,DATA_GOC!$E:$E,"Téc 3",DATA_GOC!$F:$F,"Xuất nội bộ từ téc",DATA_GOC!$B:$B,DATE($D$2,$B$2,G$4)),0))</f>
        <v>0</v>
      </c>
      <c r="H135" s="251">
        <f>IF(H$4&gt;DAY(EOMONTH(DATE($D$2,$B$2,1),0)),"",IFERROR(SUMIFS(DATA_GOC!$H:$H,DATA_GOC!$A:$A,"BOM",DATA_GOC!$D:$D,$B135,DATA_GOC!$E:$E,"Téc 3",DATA_GOC!$F:$F,"Xuất nội bộ từ téc",DATA_GOC!$B:$B,DATE($D$2,$B$2,H$4)),0))</f>
        <v>0</v>
      </c>
      <c r="I135" s="251">
        <f>IF(I$4&gt;DAY(EOMONTH(DATE($D$2,$B$2,1),0)),"",IFERROR(SUMIFS(DATA_GOC!$H:$H,DATA_GOC!$A:$A,"BOM",DATA_GOC!$D:$D,$B135,DATA_GOC!$E:$E,"Téc 3",DATA_GOC!$F:$F,"Xuất nội bộ từ téc",DATA_GOC!$B:$B,DATE($D$2,$B$2,I$4)),0))</f>
        <v>0</v>
      </c>
      <c r="J135" s="251">
        <f>IF(J$4&gt;DAY(EOMONTH(DATE($D$2,$B$2,1),0)),"",IFERROR(SUMIFS(DATA_GOC!$H:$H,DATA_GOC!$A:$A,"BOM",DATA_GOC!$D:$D,$B135,DATA_GOC!$E:$E,"Téc 3",DATA_GOC!$F:$F,"Xuất nội bộ từ téc",DATA_GOC!$B:$B,DATE($D$2,$B$2,J$4)),0))</f>
        <v>0</v>
      </c>
      <c r="K135" s="251">
        <f>IF(K$4&gt;DAY(EOMONTH(DATE($D$2,$B$2,1),0)),"",IFERROR(SUMIFS(DATA_GOC!$H:$H,DATA_GOC!$A:$A,"BOM",DATA_GOC!$D:$D,$B135,DATA_GOC!$E:$E,"Téc 3",DATA_GOC!$F:$F,"Xuất nội bộ từ téc",DATA_GOC!$B:$B,DATE($D$2,$B$2,K$4)),0))</f>
        <v>0</v>
      </c>
      <c r="L135" s="251">
        <f>IF(L$4&gt;DAY(EOMONTH(DATE($D$2,$B$2,1),0)),"",IFERROR(SUMIFS(DATA_GOC!$H:$H,DATA_GOC!$A:$A,"BOM",DATA_GOC!$D:$D,$B135,DATA_GOC!$E:$E,"Téc 3",DATA_GOC!$F:$F,"Xuất nội bộ từ téc",DATA_GOC!$B:$B,DATE($D$2,$B$2,L$4)),0))</f>
        <v>0</v>
      </c>
      <c r="M135" s="251">
        <f>IF(M$4&gt;DAY(EOMONTH(DATE($D$2,$B$2,1),0)),"",IFERROR(SUMIFS(DATA_GOC!$H:$H,DATA_GOC!$A:$A,"BOM",DATA_GOC!$D:$D,$B135,DATA_GOC!$E:$E,"Téc 3",DATA_GOC!$F:$F,"Xuất nội bộ từ téc",DATA_GOC!$B:$B,DATE($D$2,$B$2,M$4)),0))</f>
        <v>0</v>
      </c>
      <c r="N135" s="251">
        <f>IF(N$4&gt;DAY(EOMONTH(DATE($D$2,$B$2,1),0)),"",IFERROR(SUMIFS(DATA_GOC!$H:$H,DATA_GOC!$A:$A,"BOM",DATA_GOC!$D:$D,$B135,DATA_GOC!$E:$E,"Téc 3",DATA_GOC!$F:$F,"Xuất nội bộ từ téc",DATA_GOC!$B:$B,DATE($D$2,$B$2,N$4)),0))</f>
        <v>0</v>
      </c>
      <c r="O135" s="251">
        <f>IF(O$4&gt;DAY(EOMONTH(DATE($D$2,$B$2,1),0)),"",IFERROR(SUMIFS(DATA_GOC!$H:$H,DATA_GOC!$A:$A,"BOM",DATA_GOC!$D:$D,$B135,DATA_GOC!$E:$E,"Téc 3",DATA_GOC!$F:$F,"Xuất nội bộ từ téc",DATA_GOC!$B:$B,DATE($D$2,$B$2,O$4)),0))</f>
        <v>0</v>
      </c>
      <c r="P135" s="251">
        <f>IF(P$4&gt;DAY(EOMONTH(DATE($D$2,$B$2,1),0)),"",IFERROR(SUMIFS(DATA_GOC!$H:$H,DATA_GOC!$A:$A,"BOM",DATA_GOC!$D:$D,$B135,DATA_GOC!$E:$E,"Téc 3",DATA_GOC!$F:$F,"Xuất nội bộ từ téc",DATA_GOC!$B:$B,DATE($D$2,$B$2,P$4)),0))</f>
        <v>0</v>
      </c>
      <c r="Q135" s="251">
        <f>IF(Q$4&gt;DAY(EOMONTH(DATE($D$2,$B$2,1),0)),"",IFERROR(SUMIFS(DATA_GOC!$H:$H,DATA_GOC!$A:$A,"BOM",DATA_GOC!$D:$D,$B135,DATA_GOC!$E:$E,"Téc 3",DATA_GOC!$F:$F,"Xuất nội bộ từ téc",DATA_GOC!$B:$B,DATE($D$2,$B$2,Q$4)),0))</f>
        <v>0</v>
      </c>
      <c r="R135" s="251">
        <f>IF(R$4&gt;DAY(EOMONTH(DATE($D$2,$B$2,1),0)),"",IFERROR(SUMIFS(DATA_GOC!$H:$H,DATA_GOC!$A:$A,"BOM",DATA_GOC!$D:$D,$B135,DATA_GOC!$E:$E,"Téc 3",DATA_GOC!$F:$F,"Xuất nội bộ từ téc",DATA_GOC!$B:$B,DATE($D$2,$B$2,R$4)),0))</f>
        <v>0</v>
      </c>
      <c r="S135" s="251">
        <f>IF(S$4&gt;DAY(EOMONTH(DATE($D$2,$B$2,1),0)),"",IFERROR(SUMIFS(DATA_GOC!$H:$H,DATA_GOC!$A:$A,"BOM",DATA_GOC!$D:$D,$B135,DATA_GOC!$E:$E,"Téc 3",DATA_GOC!$F:$F,"Xuất nội bộ từ téc",DATA_GOC!$B:$B,DATE($D$2,$B$2,S$4)),0))</f>
        <v>0</v>
      </c>
      <c r="T135" s="251">
        <f>IF(T$4&gt;DAY(EOMONTH(DATE($D$2,$B$2,1),0)),"",IFERROR(SUMIFS(DATA_GOC!$H:$H,DATA_GOC!$A:$A,"BOM",DATA_GOC!$D:$D,$B135,DATA_GOC!$E:$E,"Téc 3",DATA_GOC!$F:$F,"Xuất nội bộ từ téc",DATA_GOC!$B:$B,DATE($D$2,$B$2,T$4)),0))</f>
        <v>0</v>
      </c>
      <c r="U135" s="251">
        <f>IF(U$4&gt;DAY(EOMONTH(DATE($D$2,$B$2,1),0)),"",IFERROR(SUMIFS(DATA_GOC!$H:$H,DATA_GOC!$A:$A,"BOM",DATA_GOC!$D:$D,$B135,DATA_GOC!$E:$E,"Téc 3",DATA_GOC!$F:$F,"Xuất nội bộ từ téc",DATA_GOC!$B:$B,DATE($D$2,$B$2,U$4)),0))</f>
        <v>0</v>
      </c>
      <c r="V135" s="251">
        <f>IF(V$4&gt;DAY(EOMONTH(DATE($D$2,$B$2,1),0)),"",IFERROR(SUMIFS(DATA_GOC!$H:$H,DATA_GOC!$A:$A,"BOM",DATA_GOC!$D:$D,$B135,DATA_GOC!$E:$E,"Téc 3",DATA_GOC!$F:$F,"Xuất nội bộ từ téc",DATA_GOC!$B:$B,DATE($D$2,$B$2,V$4)),0))</f>
        <v>0</v>
      </c>
      <c r="W135" s="251">
        <f>IF(W$4&gt;DAY(EOMONTH(DATE($D$2,$B$2,1),0)),"",IFERROR(SUMIFS(DATA_GOC!$H:$H,DATA_GOC!$A:$A,"BOM",DATA_GOC!$D:$D,$B135,DATA_GOC!$E:$E,"Téc 3",DATA_GOC!$F:$F,"Xuất nội bộ từ téc",DATA_GOC!$B:$B,DATE($D$2,$B$2,W$4)),0))</f>
        <v>0</v>
      </c>
      <c r="X135" s="251">
        <f>IF(X$4&gt;DAY(EOMONTH(DATE($D$2,$B$2,1),0)),"",IFERROR(SUMIFS(DATA_GOC!$H:$H,DATA_GOC!$A:$A,"BOM",DATA_GOC!$D:$D,$B135,DATA_GOC!$E:$E,"Téc 3",DATA_GOC!$F:$F,"Xuất nội bộ từ téc",DATA_GOC!$B:$B,DATE($D$2,$B$2,X$4)),0))</f>
        <v>0</v>
      </c>
      <c r="Y135" s="251">
        <f>IF(Y$4&gt;DAY(EOMONTH(DATE($D$2,$B$2,1),0)),"",IFERROR(SUMIFS(DATA_GOC!$H:$H,DATA_GOC!$A:$A,"BOM",DATA_GOC!$D:$D,$B135,DATA_GOC!$E:$E,"Téc 3",DATA_GOC!$F:$F,"Xuất nội bộ từ téc",DATA_GOC!$B:$B,DATE($D$2,$B$2,Y$4)),0))</f>
        <v>0</v>
      </c>
      <c r="Z135" s="251">
        <f>IF(Z$4&gt;DAY(EOMONTH(DATE($D$2,$B$2,1),0)),"",IFERROR(SUMIFS(DATA_GOC!$H:$H,DATA_GOC!$A:$A,"BOM",DATA_GOC!$D:$D,$B135,DATA_GOC!$E:$E,"Téc 3",DATA_GOC!$F:$F,"Xuất nội bộ từ téc",DATA_GOC!$B:$B,DATE($D$2,$B$2,Z$4)),0))</f>
        <v>0</v>
      </c>
      <c r="AA135" s="251">
        <f>IF(AA$4&gt;DAY(EOMONTH(DATE($D$2,$B$2,1),0)),"",IFERROR(SUMIFS(DATA_GOC!$H:$H,DATA_GOC!$A:$A,"BOM",DATA_GOC!$D:$D,$B135,DATA_GOC!$E:$E,"Téc 3",DATA_GOC!$F:$F,"Xuất nội bộ từ téc",DATA_GOC!$B:$B,DATE($D$2,$B$2,AA$4)),0))</f>
        <v>0</v>
      </c>
      <c r="AB135" s="251">
        <f>IF(AB$4&gt;DAY(EOMONTH(DATE($D$2,$B$2,1),0)),"",IFERROR(SUMIFS(DATA_GOC!$H:$H,DATA_GOC!$A:$A,"BOM",DATA_GOC!$D:$D,$B135,DATA_GOC!$E:$E,"Téc 3",DATA_GOC!$F:$F,"Xuất nội bộ từ téc",DATA_GOC!$B:$B,DATE($D$2,$B$2,AB$4)),0))</f>
        <v>0</v>
      </c>
      <c r="AC135" s="251">
        <f>IF(AC$4&gt;DAY(EOMONTH(DATE($D$2,$B$2,1),0)),"",IFERROR(SUMIFS(DATA_GOC!$H:$H,DATA_GOC!$A:$A,"BOM",DATA_GOC!$D:$D,$B135,DATA_GOC!$E:$E,"Téc 3",DATA_GOC!$F:$F,"Xuất nội bộ từ téc",DATA_GOC!$B:$B,DATE($D$2,$B$2,AC$4)),0))</f>
        <v>0</v>
      </c>
      <c r="AD135" s="251">
        <f>IF(AD$4&gt;DAY(EOMONTH(DATE($D$2,$B$2,1),0)),"",IFERROR(SUMIFS(DATA_GOC!$H:$H,DATA_GOC!$A:$A,"BOM",DATA_GOC!$D:$D,$B135,DATA_GOC!$E:$E,"Téc 3",DATA_GOC!$F:$F,"Xuất nội bộ từ téc",DATA_GOC!$B:$B,DATE($D$2,$B$2,AD$4)),0))</f>
        <v>0</v>
      </c>
      <c r="AE135" s="251">
        <f>IF(AE$4&gt;DAY(EOMONTH(DATE($D$2,$B$2,1),0)),"",IFERROR(SUMIFS(DATA_GOC!$H:$H,DATA_GOC!$A:$A,"BOM",DATA_GOC!$D:$D,$B135,DATA_GOC!$E:$E,"Téc 3",DATA_GOC!$F:$F,"Xuất nội bộ từ téc",DATA_GOC!$B:$B,DATE($D$2,$B$2,AE$4)),0))</f>
        <v>0</v>
      </c>
      <c r="AF135" s="251">
        <f>IF(AF$4&gt;DAY(EOMONTH(DATE($D$2,$B$2,1),0)),"",IFERROR(SUMIFS(DATA_GOC!$H:$H,DATA_GOC!$A:$A,"BOM",DATA_GOC!$D:$D,$B135,DATA_GOC!$E:$E,"Téc 3",DATA_GOC!$F:$F,"Xuất nội bộ từ téc",DATA_GOC!$B:$B,DATE($D$2,$B$2,AF$4)),0))</f>
        <v>0</v>
      </c>
      <c r="AG135" s="251">
        <f>IF(AG$4&gt;DAY(EOMONTH(DATE($D$2,$B$2,1),0)),"",IFERROR(SUMIFS(DATA_GOC!$H:$H,DATA_GOC!$A:$A,"BOM",DATA_GOC!$D:$D,$B135,DATA_GOC!$E:$E,"Téc 3",DATA_GOC!$F:$F,"Xuất nội bộ từ téc",DATA_GOC!$B:$B,DATE($D$2,$B$2,AG$4)),0))</f>
        <v>0</v>
      </c>
      <c r="AH135" s="252">
        <f t="shared" si="7"/>
        <v>0</v>
      </c>
      <c r="AI135" s="241"/>
      <c r="AJ135" s="242">
        <f>IF($B135="","",SUMIFS(TINH_TEC!$K$233:$K$9232,TINH_TEC!$H$233:$H$9232,$B135,TINH_TEC!$C$233:$C$9232,"Téc 3",TINH_TEC!$F$233:$F$9232,$B$2,TINH_TEC!$G$233:$G$9232,$D$2,TINH_TEC!$B$233:$B$9232,"Đã chốt"))</f>
        <v>0</v>
      </c>
      <c r="AK135" s="242">
        <f>IF($B135="","",SUMIFS(TINH_TEC!$J$233:$J$9232,TINH_TEC!$H$233:$H$9232,$B135,TINH_TEC!$C$233:$C$9232,"Téc 3",TINH_TEC!$F$233:$F$9232,$B$2,TINH_TEC!$G$233:$G$9232,$D$2,TINH_TEC!$B$233:$B$9232,"Đã chốt"))</f>
        <v>0</v>
      </c>
      <c r="AL135" s="242">
        <f t="shared" si="8"/>
        <v>0</v>
      </c>
    </row>
    <row r="136" ht="15.75" customHeight="1">
      <c r="A136" s="237">
        <f>IF($B136&lt;&gt;"",9,"")</f>
        <v>9</v>
      </c>
      <c r="B136" s="250" t="str">
        <f t="array" ref="B136">IFERROR(INDEX(DANH_MUC!$E:$E,12),"")</f>
        <v>28C01731</v>
      </c>
      <c r="C136" s="251">
        <f>IF(C$4&gt;DAY(EOMONTH(DATE($D$2,$B$2,1),0)),"",IFERROR(SUMIFS(DATA_GOC!$H:$H,DATA_GOC!$A:$A,"BOM",DATA_GOC!$D:$D,$B136,DATA_GOC!$E:$E,"Téc 3",DATA_GOC!$F:$F,"Xuất nội bộ từ téc",DATA_GOC!$B:$B,DATE($D$2,$B$2,C$4)),0))</f>
        <v>0</v>
      </c>
      <c r="D136" s="251">
        <f>IF(D$4&gt;DAY(EOMONTH(DATE($D$2,$B$2,1),0)),"",IFERROR(SUMIFS(DATA_GOC!$H:$H,DATA_GOC!$A:$A,"BOM",DATA_GOC!$D:$D,$B136,DATA_GOC!$E:$E,"Téc 3",DATA_GOC!$F:$F,"Xuất nội bộ từ téc",DATA_GOC!$B:$B,DATE($D$2,$B$2,D$4)),0))</f>
        <v>0</v>
      </c>
      <c r="E136" s="251">
        <f>IF(E$4&gt;DAY(EOMONTH(DATE($D$2,$B$2,1),0)),"",IFERROR(SUMIFS(DATA_GOC!$H:$H,DATA_GOC!$A:$A,"BOM",DATA_GOC!$D:$D,$B136,DATA_GOC!$E:$E,"Téc 3",DATA_GOC!$F:$F,"Xuất nội bộ từ téc",DATA_GOC!$B:$B,DATE($D$2,$B$2,E$4)),0))</f>
        <v>0</v>
      </c>
      <c r="F136" s="251">
        <f>IF(F$4&gt;DAY(EOMONTH(DATE($D$2,$B$2,1),0)),"",IFERROR(SUMIFS(DATA_GOC!$H:$H,DATA_GOC!$A:$A,"BOM",DATA_GOC!$D:$D,$B136,DATA_GOC!$E:$E,"Téc 3",DATA_GOC!$F:$F,"Xuất nội bộ từ téc",DATA_GOC!$B:$B,DATE($D$2,$B$2,F$4)),0))</f>
        <v>0</v>
      </c>
      <c r="G136" s="251">
        <f>IF(G$4&gt;DAY(EOMONTH(DATE($D$2,$B$2,1),0)),"",IFERROR(SUMIFS(DATA_GOC!$H:$H,DATA_GOC!$A:$A,"BOM",DATA_GOC!$D:$D,$B136,DATA_GOC!$E:$E,"Téc 3",DATA_GOC!$F:$F,"Xuất nội bộ từ téc",DATA_GOC!$B:$B,DATE($D$2,$B$2,G$4)),0))</f>
        <v>0</v>
      </c>
      <c r="H136" s="251">
        <f>IF(H$4&gt;DAY(EOMONTH(DATE($D$2,$B$2,1),0)),"",IFERROR(SUMIFS(DATA_GOC!$H:$H,DATA_GOC!$A:$A,"BOM",DATA_GOC!$D:$D,$B136,DATA_GOC!$E:$E,"Téc 3",DATA_GOC!$F:$F,"Xuất nội bộ từ téc",DATA_GOC!$B:$B,DATE($D$2,$B$2,H$4)),0))</f>
        <v>0</v>
      </c>
      <c r="I136" s="251">
        <f>IF(I$4&gt;DAY(EOMONTH(DATE($D$2,$B$2,1),0)),"",IFERROR(SUMIFS(DATA_GOC!$H:$H,DATA_GOC!$A:$A,"BOM",DATA_GOC!$D:$D,$B136,DATA_GOC!$E:$E,"Téc 3",DATA_GOC!$F:$F,"Xuất nội bộ từ téc",DATA_GOC!$B:$B,DATE($D$2,$B$2,I$4)),0))</f>
        <v>0</v>
      </c>
      <c r="J136" s="251">
        <f>IF(J$4&gt;DAY(EOMONTH(DATE($D$2,$B$2,1),0)),"",IFERROR(SUMIFS(DATA_GOC!$H:$H,DATA_GOC!$A:$A,"BOM",DATA_GOC!$D:$D,$B136,DATA_GOC!$E:$E,"Téc 3",DATA_GOC!$F:$F,"Xuất nội bộ từ téc",DATA_GOC!$B:$B,DATE($D$2,$B$2,J$4)),0))</f>
        <v>0</v>
      </c>
      <c r="K136" s="251">
        <f>IF(K$4&gt;DAY(EOMONTH(DATE($D$2,$B$2,1),0)),"",IFERROR(SUMIFS(DATA_GOC!$H:$H,DATA_GOC!$A:$A,"BOM",DATA_GOC!$D:$D,$B136,DATA_GOC!$E:$E,"Téc 3",DATA_GOC!$F:$F,"Xuất nội bộ từ téc",DATA_GOC!$B:$B,DATE($D$2,$B$2,K$4)),0))</f>
        <v>0</v>
      </c>
      <c r="L136" s="251">
        <f>IF(L$4&gt;DAY(EOMONTH(DATE($D$2,$B$2,1),0)),"",IFERROR(SUMIFS(DATA_GOC!$H:$H,DATA_GOC!$A:$A,"BOM",DATA_GOC!$D:$D,$B136,DATA_GOC!$E:$E,"Téc 3",DATA_GOC!$F:$F,"Xuất nội bộ từ téc",DATA_GOC!$B:$B,DATE($D$2,$B$2,L$4)),0))</f>
        <v>0</v>
      </c>
      <c r="M136" s="251">
        <f>IF(M$4&gt;DAY(EOMONTH(DATE($D$2,$B$2,1),0)),"",IFERROR(SUMIFS(DATA_GOC!$H:$H,DATA_GOC!$A:$A,"BOM",DATA_GOC!$D:$D,$B136,DATA_GOC!$E:$E,"Téc 3",DATA_GOC!$F:$F,"Xuất nội bộ từ téc",DATA_GOC!$B:$B,DATE($D$2,$B$2,M$4)),0))</f>
        <v>0</v>
      </c>
      <c r="N136" s="251">
        <f>IF(N$4&gt;DAY(EOMONTH(DATE($D$2,$B$2,1),0)),"",IFERROR(SUMIFS(DATA_GOC!$H:$H,DATA_GOC!$A:$A,"BOM",DATA_GOC!$D:$D,$B136,DATA_GOC!$E:$E,"Téc 3",DATA_GOC!$F:$F,"Xuất nội bộ từ téc",DATA_GOC!$B:$B,DATE($D$2,$B$2,N$4)),0))</f>
        <v>0</v>
      </c>
      <c r="O136" s="251">
        <f>IF(O$4&gt;DAY(EOMONTH(DATE($D$2,$B$2,1),0)),"",IFERROR(SUMIFS(DATA_GOC!$H:$H,DATA_GOC!$A:$A,"BOM",DATA_GOC!$D:$D,$B136,DATA_GOC!$E:$E,"Téc 3",DATA_GOC!$F:$F,"Xuất nội bộ từ téc",DATA_GOC!$B:$B,DATE($D$2,$B$2,O$4)),0))</f>
        <v>0</v>
      </c>
      <c r="P136" s="251">
        <f>IF(P$4&gt;DAY(EOMONTH(DATE($D$2,$B$2,1),0)),"",IFERROR(SUMIFS(DATA_GOC!$H:$H,DATA_GOC!$A:$A,"BOM",DATA_GOC!$D:$D,$B136,DATA_GOC!$E:$E,"Téc 3",DATA_GOC!$F:$F,"Xuất nội bộ từ téc",DATA_GOC!$B:$B,DATE($D$2,$B$2,P$4)),0))</f>
        <v>0</v>
      </c>
      <c r="Q136" s="251">
        <f>IF(Q$4&gt;DAY(EOMONTH(DATE($D$2,$B$2,1),0)),"",IFERROR(SUMIFS(DATA_GOC!$H:$H,DATA_GOC!$A:$A,"BOM",DATA_GOC!$D:$D,$B136,DATA_GOC!$E:$E,"Téc 3",DATA_GOC!$F:$F,"Xuất nội bộ từ téc",DATA_GOC!$B:$B,DATE($D$2,$B$2,Q$4)),0))</f>
        <v>0</v>
      </c>
      <c r="R136" s="251">
        <f>IF(R$4&gt;DAY(EOMONTH(DATE($D$2,$B$2,1),0)),"",IFERROR(SUMIFS(DATA_GOC!$H:$H,DATA_GOC!$A:$A,"BOM",DATA_GOC!$D:$D,$B136,DATA_GOC!$E:$E,"Téc 3",DATA_GOC!$F:$F,"Xuất nội bộ từ téc",DATA_GOC!$B:$B,DATE($D$2,$B$2,R$4)),0))</f>
        <v>0</v>
      </c>
      <c r="S136" s="251">
        <f>IF(S$4&gt;DAY(EOMONTH(DATE($D$2,$B$2,1),0)),"",IFERROR(SUMIFS(DATA_GOC!$H:$H,DATA_GOC!$A:$A,"BOM",DATA_GOC!$D:$D,$B136,DATA_GOC!$E:$E,"Téc 3",DATA_GOC!$F:$F,"Xuất nội bộ từ téc",DATA_GOC!$B:$B,DATE($D$2,$B$2,S$4)),0))</f>
        <v>0</v>
      </c>
      <c r="T136" s="251">
        <f>IF(T$4&gt;DAY(EOMONTH(DATE($D$2,$B$2,1),0)),"",IFERROR(SUMIFS(DATA_GOC!$H:$H,DATA_GOC!$A:$A,"BOM",DATA_GOC!$D:$D,$B136,DATA_GOC!$E:$E,"Téc 3",DATA_GOC!$F:$F,"Xuất nội bộ từ téc",DATA_GOC!$B:$B,DATE($D$2,$B$2,T$4)),0))</f>
        <v>0</v>
      </c>
      <c r="U136" s="251">
        <f>IF(U$4&gt;DAY(EOMONTH(DATE($D$2,$B$2,1),0)),"",IFERROR(SUMIFS(DATA_GOC!$H:$H,DATA_GOC!$A:$A,"BOM",DATA_GOC!$D:$D,$B136,DATA_GOC!$E:$E,"Téc 3",DATA_GOC!$F:$F,"Xuất nội bộ từ téc",DATA_GOC!$B:$B,DATE($D$2,$B$2,U$4)),0))</f>
        <v>0</v>
      </c>
      <c r="V136" s="251">
        <f>IF(V$4&gt;DAY(EOMONTH(DATE($D$2,$B$2,1),0)),"",IFERROR(SUMIFS(DATA_GOC!$H:$H,DATA_GOC!$A:$A,"BOM",DATA_GOC!$D:$D,$B136,DATA_GOC!$E:$E,"Téc 3",DATA_GOC!$F:$F,"Xuất nội bộ từ téc",DATA_GOC!$B:$B,DATE($D$2,$B$2,V$4)),0))</f>
        <v>0</v>
      </c>
      <c r="W136" s="251">
        <f>IF(W$4&gt;DAY(EOMONTH(DATE($D$2,$B$2,1),0)),"",IFERROR(SUMIFS(DATA_GOC!$H:$H,DATA_GOC!$A:$A,"BOM",DATA_GOC!$D:$D,$B136,DATA_GOC!$E:$E,"Téc 3",DATA_GOC!$F:$F,"Xuất nội bộ từ téc",DATA_GOC!$B:$B,DATE($D$2,$B$2,W$4)),0))</f>
        <v>0</v>
      </c>
      <c r="X136" s="251">
        <f>IF(X$4&gt;DAY(EOMONTH(DATE($D$2,$B$2,1),0)),"",IFERROR(SUMIFS(DATA_GOC!$H:$H,DATA_GOC!$A:$A,"BOM",DATA_GOC!$D:$D,$B136,DATA_GOC!$E:$E,"Téc 3",DATA_GOC!$F:$F,"Xuất nội bộ từ téc",DATA_GOC!$B:$B,DATE($D$2,$B$2,X$4)),0))</f>
        <v>0</v>
      </c>
      <c r="Y136" s="251">
        <f>IF(Y$4&gt;DAY(EOMONTH(DATE($D$2,$B$2,1),0)),"",IFERROR(SUMIFS(DATA_GOC!$H:$H,DATA_GOC!$A:$A,"BOM",DATA_GOC!$D:$D,$B136,DATA_GOC!$E:$E,"Téc 3",DATA_GOC!$F:$F,"Xuất nội bộ từ téc",DATA_GOC!$B:$B,DATE($D$2,$B$2,Y$4)),0))</f>
        <v>0</v>
      </c>
      <c r="Z136" s="251">
        <f>IF(Z$4&gt;DAY(EOMONTH(DATE($D$2,$B$2,1),0)),"",IFERROR(SUMIFS(DATA_GOC!$H:$H,DATA_GOC!$A:$A,"BOM",DATA_GOC!$D:$D,$B136,DATA_GOC!$E:$E,"Téc 3",DATA_GOC!$F:$F,"Xuất nội bộ từ téc",DATA_GOC!$B:$B,DATE($D$2,$B$2,Z$4)),0))</f>
        <v>0</v>
      </c>
      <c r="AA136" s="251">
        <f>IF(AA$4&gt;DAY(EOMONTH(DATE($D$2,$B$2,1),0)),"",IFERROR(SUMIFS(DATA_GOC!$H:$H,DATA_GOC!$A:$A,"BOM",DATA_GOC!$D:$D,$B136,DATA_GOC!$E:$E,"Téc 3",DATA_GOC!$F:$F,"Xuất nội bộ từ téc",DATA_GOC!$B:$B,DATE($D$2,$B$2,AA$4)),0))</f>
        <v>0</v>
      </c>
      <c r="AB136" s="251">
        <f>IF(AB$4&gt;DAY(EOMONTH(DATE($D$2,$B$2,1),0)),"",IFERROR(SUMIFS(DATA_GOC!$H:$H,DATA_GOC!$A:$A,"BOM",DATA_GOC!$D:$D,$B136,DATA_GOC!$E:$E,"Téc 3",DATA_GOC!$F:$F,"Xuất nội bộ từ téc",DATA_GOC!$B:$B,DATE($D$2,$B$2,AB$4)),0))</f>
        <v>0</v>
      </c>
      <c r="AC136" s="251">
        <f>IF(AC$4&gt;DAY(EOMONTH(DATE($D$2,$B$2,1),0)),"",IFERROR(SUMIFS(DATA_GOC!$H:$H,DATA_GOC!$A:$A,"BOM",DATA_GOC!$D:$D,$B136,DATA_GOC!$E:$E,"Téc 3",DATA_GOC!$F:$F,"Xuất nội bộ từ téc",DATA_GOC!$B:$B,DATE($D$2,$B$2,AC$4)),0))</f>
        <v>0</v>
      </c>
      <c r="AD136" s="251">
        <f>IF(AD$4&gt;DAY(EOMONTH(DATE($D$2,$B$2,1),0)),"",IFERROR(SUMIFS(DATA_GOC!$H:$H,DATA_GOC!$A:$A,"BOM",DATA_GOC!$D:$D,$B136,DATA_GOC!$E:$E,"Téc 3",DATA_GOC!$F:$F,"Xuất nội bộ từ téc",DATA_GOC!$B:$B,DATE($D$2,$B$2,AD$4)),0))</f>
        <v>0</v>
      </c>
      <c r="AE136" s="251">
        <f>IF(AE$4&gt;DAY(EOMONTH(DATE($D$2,$B$2,1),0)),"",IFERROR(SUMIFS(DATA_GOC!$H:$H,DATA_GOC!$A:$A,"BOM",DATA_GOC!$D:$D,$B136,DATA_GOC!$E:$E,"Téc 3",DATA_GOC!$F:$F,"Xuất nội bộ từ téc",DATA_GOC!$B:$B,DATE($D$2,$B$2,AE$4)),0))</f>
        <v>0</v>
      </c>
      <c r="AF136" s="251">
        <f>IF(AF$4&gt;DAY(EOMONTH(DATE($D$2,$B$2,1),0)),"",IFERROR(SUMIFS(DATA_GOC!$H:$H,DATA_GOC!$A:$A,"BOM",DATA_GOC!$D:$D,$B136,DATA_GOC!$E:$E,"Téc 3",DATA_GOC!$F:$F,"Xuất nội bộ từ téc",DATA_GOC!$B:$B,DATE($D$2,$B$2,AF$4)),0))</f>
        <v>0</v>
      </c>
      <c r="AG136" s="251">
        <f>IF(AG$4&gt;DAY(EOMONTH(DATE($D$2,$B$2,1),0)),"",IFERROR(SUMIFS(DATA_GOC!$H:$H,DATA_GOC!$A:$A,"BOM",DATA_GOC!$D:$D,$B136,DATA_GOC!$E:$E,"Téc 3",DATA_GOC!$F:$F,"Xuất nội bộ từ téc",DATA_GOC!$B:$B,DATE($D$2,$B$2,AG$4)),0))</f>
        <v>0</v>
      </c>
      <c r="AH136" s="252">
        <f t="shared" si="7"/>
        <v>0</v>
      </c>
      <c r="AI136" s="241"/>
      <c r="AJ136" s="242">
        <f>IF($B136="","",SUMIFS(TINH_TEC!$K$233:$K$9232,TINH_TEC!$H$233:$H$9232,$B136,TINH_TEC!$C$233:$C$9232,"Téc 3",TINH_TEC!$F$233:$F$9232,$B$2,TINH_TEC!$G$233:$G$9232,$D$2,TINH_TEC!$B$233:$B$9232,"Đã chốt"))</f>
        <v>0</v>
      </c>
      <c r="AK136" s="242">
        <f>IF($B136="","",SUMIFS(TINH_TEC!$J$233:$J$9232,TINH_TEC!$H$233:$H$9232,$B136,TINH_TEC!$C$233:$C$9232,"Téc 3",TINH_TEC!$F$233:$F$9232,$B$2,TINH_TEC!$G$233:$G$9232,$D$2,TINH_TEC!$B$233:$B$9232,"Đã chốt"))</f>
        <v>0</v>
      </c>
      <c r="AL136" s="242">
        <f t="shared" si="8"/>
        <v>0</v>
      </c>
    </row>
    <row r="137" ht="15.75" customHeight="1">
      <c r="A137" s="237">
        <f>IF($B137&lt;&gt;"",10,"")</f>
        <v>10</v>
      </c>
      <c r="B137" s="250" t="str">
        <f t="array" ref="B137">IFERROR(INDEX(DANH_MUC!$E:$E,13),"")</f>
        <v>28C01743</v>
      </c>
      <c r="C137" s="251">
        <f>IF(C$4&gt;DAY(EOMONTH(DATE($D$2,$B$2,1),0)),"",IFERROR(SUMIFS(DATA_GOC!$H:$H,DATA_GOC!$A:$A,"BOM",DATA_GOC!$D:$D,$B137,DATA_GOC!$E:$E,"Téc 3",DATA_GOC!$F:$F,"Xuất nội bộ từ téc",DATA_GOC!$B:$B,DATE($D$2,$B$2,C$4)),0))</f>
        <v>0</v>
      </c>
      <c r="D137" s="251">
        <f>IF(D$4&gt;DAY(EOMONTH(DATE($D$2,$B$2,1),0)),"",IFERROR(SUMIFS(DATA_GOC!$H:$H,DATA_GOC!$A:$A,"BOM",DATA_GOC!$D:$D,$B137,DATA_GOC!$E:$E,"Téc 3",DATA_GOC!$F:$F,"Xuất nội bộ từ téc",DATA_GOC!$B:$B,DATE($D$2,$B$2,D$4)),0))</f>
        <v>0</v>
      </c>
      <c r="E137" s="251">
        <f>IF(E$4&gt;DAY(EOMONTH(DATE($D$2,$B$2,1),0)),"",IFERROR(SUMIFS(DATA_GOC!$H:$H,DATA_GOC!$A:$A,"BOM",DATA_GOC!$D:$D,$B137,DATA_GOC!$E:$E,"Téc 3",DATA_GOC!$F:$F,"Xuất nội bộ từ téc",DATA_GOC!$B:$B,DATE($D$2,$B$2,E$4)),0))</f>
        <v>0</v>
      </c>
      <c r="F137" s="251">
        <f>IF(F$4&gt;DAY(EOMONTH(DATE($D$2,$B$2,1),0)),"",IFERROR(SUMIFS(DATA_GOC!$H:$H,DATA_GOC!$A:$A,"BOM",DATA_GOC!$D:$D,$B137,DATA_GOC!$E:$E,"Téc 3",DATA_GOC!$F:$F,"Xuất nội bộ từ téc",DATA_GOC!$B:$B,DATE($D$2,$B$2,F$4)),0))</f>
        <v>0</v>
      </c>
      <c r="G137" s="251">
        <f>IF(G$4&gt;DAY(EOMONTH(DATE($D$2,$B$2,1),0)),"",IFERROR(SUMIFS(DATA_GOC!$H:$H,DATA_GOC!$A:$A,"BOM",DATA_GOC!$D:$D,$B137,DATA_GOC!$E:$E,"Téc 3",DATA_GOC!$F:$F,"Xuất nội bộ từ téc",DATA_GOC!$B:$B,DATE($D$2,$B$2,G$4)),0))</f>
        <v>0</v>
      </c>
      <c r="H137" s="251">
        <f>IF(H$4&gt;DAY(EOMONTH(DATE($D$2,$B$2,1),0)),"",IFERROR(SUMIFS(DATA_GOC!$H:$H,DATA_GOC!$A:$A,"BOM",DATA_GOC!$D:$D,$B137,DATA_GOC!$E:$E,"Téc 3",DATA_GOC!$F:$F,"Xuất nội bộ từ téc",DATA_GOC!$B:$B,DATE($D$2,$B$2,H$4)),0))</f>
        <v>0</v>
      </c>
      <c r="I137" s="251">
        <f>IF(I$4&gt;DAY(EOMONTH(DATE($D$2,$B$2,1),0)),"",IFERROR(SUMIFS(DATA_GOC!$H:$H,DATA_GOC!$A:$A,"BOM",DATA_GOC!$D:$D,$B137,DATA_GOC!$E:$E,"Téc 3",DATA_GOC!$F:$F,"Xuất nội bộ từ téc",DATA_GOC!$B:$B,DATE($D$2,$B$2,I$4)),0))</f>
        <v>0</v>
      </c>
      <c r="J137" s="251">
        <f>IF(J$4&gt;DAY(EOMONTH(DATE($D$2,$B$2,1),0)),"",IFERROR(SUMIFS(DATA_GOC!$H:$H,DATA_GOC!$A:$A,"BOM",DATA_GOC!$D:$D,$B137,DATA_GOC!$E:$E,"Téc 3",DATA_GOC!$F:$F,"Xuất nội bộ từ téc",DATA_GOC!$B:$B,DATE($D$2,$B$2,J$4)),0))</f>
        <v>0</v>
      </c>
      <c r="K137" s="251">
        <f>IF(K$4&gt;DAY(EOMONTH(DATE($D$2,$B$2,1),0)),"",IFERROR(SUMIFS(DATA_GOC!$H:$H,DATA_GOC!$A:$A,"BOM",DATA_GOC!$D:$D,$B137,DATA_GOC!$E:$E,"Téc 3",DATA_GOC!$F:$F,"Xuất nội bộ từ téc",DATA_GOC!$B:$B,DATE($D$2,$B$2,K$4)),0))</f>
        <v>0</v>
      </c>
      <c r="L137" s="251">
        <f>IF(L$4&gt;DAY(EOMONTH(DATE($D$2,$B$2,1),0)),"",IFERROR(SUMIFS(DATA_GOC!$H:$H,DATA_GOC!$A:$A,"BOM",DATA_GOC!$D:$D,$B137,DATA_GOC!$E:$E,"Téc 3",DATA_GOC!$F:$F,"Xuất nội bộ từ téc",DATA_GOC!$B:$B,DATE($D$2,$B$2,L$4)),0))</f>
        <v>0</v>
      </c>
      <c r="M137" s="251">
        <f>IF(M$4&gt;DAY(EOMONTH(DATE($D$2,$B$2,1),0)),"",IFERROR(SUMIFS(DATA_GOC!$H:$H,DATA_GOC!$A:$A,"BOM",DATA_GOC!$D:$D,$B137,DATA_GOC!$E:$E,"Téc 3",DATA_GOC!$F:$F,"Xuất nội bộ từ téc",DATA_GOC!$B:$B,DATE($D$2,$B$2,M$4)),0))</f>
        <v>0</v>
      </c>
      <c r="N137" s="251">
        <f>IF(N$4&gt;DAY(EOMONTH(DATE($D$2,$B$2,1),0)),"",IFERROR(SUMIFS(DATA_GOC!$H:$H,DATA_GOC!$A:$A,"BOM",DATA_GOC!$D:$D,$B137,DATA_GOC!$E:$E,"Téc 3",DATA_GOC!$F:$F,"Xuất nội bộ từ téc",DATA_GOC!$B:$B,DATE($D$2,$B$2,N$4)),0))</f>
        <v>0</v>
      </c>
      <c r="O137" s="251">
        <f>IF(O$4&gt;DAY(EOMONTH(DATE($D$2,$B$2,1),0)),"",IFERROR(SUMIFS(DATA_GOC!$H:$H,DATA_GOC!$A:$A,"BOM",DATA_GOC!$D:$D,$B137,DATA_GOC!$E:$E,"Téc 3",DATA_GOC!$F:$F,"Xuất nội bộ từ téc",DATA_GOC!$B:$B,DATE($D$2,$B$2,O$4)),0))</f>
        <v>0</v>
      </c>
      <c r="P137" s="251">
        <f>IF(P$4&gt;DAY(EOMONTH(DATE($D$2,$B$2,1),0)),"",IFERROR(SUMIFS(DATA_GOC!$H:$H,DATA_GOC!$A:$A,"BOM",DATA_GOC!$D:$D,$B137,DATA_GOC!$E:$E,"Téc 3",DATA_GOC!$F:$F,"Xuất nội bộ từ téc",DATA_GOC!$B:$B,DATE($D$2,$B$2,P$4)),0))</f>
        <v>0</v>
      </c>
      <c r="Q137" s="251">
        <f>IF(Q$4&gt;DAY(EOMONTH(DATE($D$2,$B$2,1),0)),"",IFERROR(SUMIFS(DATA_GOC!$H:$H,DATA_GOC!$A:$A,"BOM",DATA_GOC!$D:$D,$B137,DATA_GOC!$E:$E,"Téc 3",DATA_GOC!$F:$F,"Xuất nội bộ từ téc",DATA_GOC!$B:$B,DATE($D$2,$B$2,Q$4)),0))</f>
        <v>0</v>
      </c>
      <c r="R137" s="251">
        <f>IF(R$4&gt;DAY(EOMONTH(DATE($D$2,$B$2,1),0)),"",IFERROR(SUMIFS(DATA_GOC!$H:$H,DATA_GOC!$A:$A,"BOM",DATA_GOC!$D:$D,$B137,DATA_GOC!$E:$E,"Téc 3",DATA_GOC!$F:$F,"Xuất nội bộ từ téc",DATA_GOC!$B:$B,DATE($D$2,$B$2,R$4)),0))</f>
        <v>0</v>
      </c>
      <c r="S137" s="251">
        <f>IF(S$4&gt;DAY(EOMONTH(DATE($D$2,$B$2,1),0)),"",IFERROR(SUMIFS(DATA_GOC!$H:$H,DATA_GOC!$A:$A,"BOM",DATA_GOC!$D:$D,$B137,DATA_GOC!$E:$E,"Téc 3",DATA_GOC!$F:$F,"Xuất nội bộ từ téc",DATA_GOC!$B:$B,DATE($D$2,$B$2,S$4)),0))</f>
        <v>0</v>
      </c>
      <c r="T137" s="251">
        <f>IF(T$4&gt;DAY(EOMONTH(DATE($D$2,$B$2,1),0)),"",IFERROR(SUMIFS(DATA_GOC!$H:$H,DATA_GOC!$A:$A,"BOM",DATA_GOC!$D:$D,$B137,DATA_GOC!$E:$E,"Téc 3",DATA_GOC!$F:$F,"Xuất nội bộ từ téc",DATA_GOC!$B:$B,DATE($D$2,$B$2,T$4)),0))</f>
        <v>0</v>
      </c>
      <c r="U137" s="251">
        <f>IF(U$4&gt;DAY(EOMONTH(DATE($D$2,$B$2,1),0)),"",IFERROR(SUMIFS(DATA_GOC!$H:$H,DATA_GOC!$A:$A,"BOM",DATA_GOC!$D:$D,$B137,DATA_GOC!$E:$E,"Téc 3",DATA_GOC!$F:$F,"Xuất nội bộ từ téc",DATA_GOC!$B:$B,DATE($D$2,$B$2,U$4)),0))</f>
        <v>0</v>
      </c>
      <c r="V137" s="251">
        <f>IF(V$4&gt;DAY(EOMONTH(DATE($D$2,$B$2,1),0)),"",IFERROR(SUMIFS(DATA_GOC!$H:$H,DATA_GOC!$A:$A,"BOM",DATA_GOC!$D:$D,$B137,DATA_GOC!$E:$E,"Téc 3",DATA_GOC!$F:$F,"Xuất nội bộ từ téc",DATA_GOC!$B:$B,DATE($D$2,$B$2,V$4)),0))</f>
        <v>0</v>
      </c>
      <c r="W137" s="251">
        <f>IF(W$4&gt;DAY(EOMONTH(DATE($D$2,$B$2,1),0)),"",IFERROR(SUMIFS(DATA_GOC!$H:$H,DATA_GOC!$A:$A,"BOM",DATA_GOC!$D:$D,$B137,DATA_GOC!$E:$E,"Téc 3",DATA_GOC!$F:$F,"Xuất nội bộ từ téc",DATA_GOC!$B:$B,DATE($D$2,$B$2,W$4)),0))</f>
        <v>0</v>
      </c>
      <c r="X137" s="251">
        <f>IF(X$4&gt;DAY(EOMONTH(DATE($D$2,$B$2,1),0)),"",IFERROR(SUMIFS(DATA_GOC!$H:$H,DATA_GOC!$A:$A,"BOM",DATA_GOC!$D:$D,$B137,DATA_GOC!$E:$E,"Téc 3",DATA_GOC!$F:$F,"Xuất nội bộ từ téc",DATA_GOC!$B:$B,DATE($D$2,$B$2,X$4)),0))</f>
        <v>0</v>
      </c>
      <c r="Y137" s="251">
        <f>IF(Y$4&gt;DAY(EOMONTH(DATE($D$2,$B$2,1),0)),"",IFERROR(SUMIFS(DATA_GOC!$H:$H,DATA_GOC!$A:$A,"BOM",DATA_GOC!$D:$D,$B137,DATA_GOC!$E:$E,"Téc 3",DATA_GOC!$F:$F,"Xuất nội bộ từ téc",DATA_GOC!$B:$B,DATE($D$2,$B$2,Y$4)),0))</f>
        <v>0</v>
      </c>
      <c r="Z137" s="251">
        <f>IF(Z$4&gt;DAY(EOMONTH(DATE($D$2,$B$2,1),0)),"",IFERROR(SUMIFS(DATA_GOC!$H:$H,DATA_GOC!$A:$A,"BOM",DATA_GOC!$D:$D,$B137,DATA_GOC!$E:$E,"Téc 3",DATA_GOC!$F:$F,"Xuất nội bộ từ téc",DATA_GOC!$B:$B,DATE($D$2,$B$2,Z$4)),0))</f>
        <v>0</v>
      </c>
      <c r="AA137" s="251">
        <f>IF(AA$4&gt;DAY(EOMONTH(DATE($D$2,$B$2,1),0)),"",IFERROR(SUMIFS(DATA_GOC!$H:$H,DATA_GOC!$A:$A,"BOM",DATA_GOC!$D:$D,$B137,DATA_GOC!$E:$E,"Téc 3",DATA_GOC!$F:$F,"Xuất nội bộ từ téc",DATA_GOC!$B:$B,DATE($D$2,$B$2,AA$4)),0))</f>
        <v>0</v>
      </c>
      <c r="AB137" s="251">
        <f>IF(AB$4&gt;DAY(EOMONTH(DATE($D$2,$B$2,1),0)),"",IFERROR(SUMIFS(DATA_GOC!$H:$H,DATA_GOC!$A:$A,"BOM",DATA_GOC!$D:$D,$B137,DATA_GOC!$E:$E,"Téc 3",DATA_GOC!$F:$F,"Xuất nội bộ từ téc",DATA_GOC!$B:$B,DATE($D$2,$B$2,AB$4)),0))</f>
        <v>0</v>
      </c>
      <c r="AC137" s="251">
        <f>IF(AC$4&gt;DAY(EOMONTH(DATE($D$2,$B$2,1),0)),"",IFERROR(SUMIFS(DATA_GOC!$H:$H,DATA_GOC!$A:$A,"BOM",DATA_GOC!$D:$D,$B137,DATA_GOC!$E:$E,"Téc 3",DATA_GOC!$F:$F,"Xuất nội bộ từ téc",DATA_GOC!$B:$B,DATE($D$2,$B$2,AC$4)),0))</f>
        <v>0</v>
      </c>
      <c r="AD137" s="251">
        <f>IF(AD$4&gt;DAY(EOMONTH(DATE($D$2,$B$2,1),0)),"",IFERROR(SUMIFS(DATA_GOC!$H:$H,DATA_GOC!$A:$A,"BOM",DATA_GOC!$D:$D,$B137,DATA_GOC!$E:$E,"Téc 3",DATA_GOC!$F:$F,"Xuất nội bộ từ téc",DATA_GOC!$B:$B,DATE($D$2,$B$2,AD$4)),0))</f>
        <v>0</v>
      </c>
      <c r="AE137" s="251">
        <f>IF(AE$4&gt;DAY(EOMONTH(DATE($D$2,$B$2,1),0)),"",IFERROR(SUMIFS(DATA_GOC!$H:$H,DATA_GOC!$A:$A,"BOM",DATA_GOC!$D:$D,$B137,DATA_GOC!$E:$E,"Téc 3",DATA_GOC!$F:$F,"Xuất nội bộ từ téc",DATA_GOC!$B:$B,DATE($D$2,$B$2,AE$4)),0))</f>
        <v>0</v>
      </c>
      <c r="AF137" s="251">
        <f>IF(AF$4&gt;DAY(EOMONTH(DATE($D$2,$B$2,1),0)),"",IFERROR(SUMIFS(DATA_GOC!$H:$H,DATA_GOC!$A:$A,"BOM",DATA_GOC!$D:$D,$B137,DATA_GOC!$E:$E,"Téc 3",DATA_GOC!$F:$F,"Xuất nội bộ từ téc",DATA_GOC!$B:$B,DATE($D$2,$B$2,AF$4)),0))</f>
        <v>0</v>
      </c>
      <c r="AG137" s="251">
        <f>IF(AG$4&gt;DAY(EOMONTH(DATE($D$2,$B$2,1),0)),"",IFERROR(SUMIFS(DATA_GOC!$H:$H,DATA_GOC!$A:$A,"BOM",DATA_GOC!$D:$D,$B137,DATA_GOC!$E:$E,"Téc 3",DATA_GOC!$F:$F,"Xuất nội bộ từ téc",DATA_GOC!$B:$B,DATE($D$2,$B$2,AG$4)),0))</f>
        <v>0</v>
      </c>
      <c r="AH137" s="252">
        <f t="shared" si="7"/>
        <v>0</v>
      </c>
      <c r="AI137" s="241"/>
      <c r="AJ137" s="242">
        <f>IF($B137="","",SUMIFS(TINH_TEC!$K$233:$K$9232,TINH_TEC!$H$233:$H$9232,$B137,TINH_TEC!$C$233:$C$9232,"Téc 3",TINH_TEC!$F$233:$F$9232,$B$2,TINH_TEC!$G$233:$G$9232,$D$2,TINH_TEC!$B$233:$B$9232,"Đã chốt"))</f>
        <v>0</v>
      </c>
      <c r="AK137" s="242">
        <f>IF($B137="","",SUMIFS(TINH_TEC!$J$233:$J$9232,TINH_TEC!$H$233:$H$9232,$B137,TINH_TEC!$C$233:$C$9232,"Téc 3",TINH_TEC!$F$233:$F$9232,$B$2,TINH_TEC!$G$233:$G$9232,$D$2,TINH_TEC!$B$233:$B$9232,"Đã chốt"))</f>
        <v>0</v>
      </c>
      <c r="AL137" s="242">
        <f t="shared" si="8"/>
        <v>0</v>
      </c>
    </row>
    <row r="138" ht="15.75" customHeight="1">
      <c r="A138" s="237">
        <f>IF($B138&lt;&gt;"",11,"")</f>
        <v>11</v>
      </c>
      <c r="B138" s="250" t="str">
        <f t="array" ref="B138">IFERROR(INDEX(DANH_MUC!$E:$E,14),"")</f>
        <v>28C02106</v>
      </c>
      <c r="C138" s="251">
        <f>IF(C$4&gt;DAY(EOMONTH(DATE($D$2,$B$2,1),0)),"",IFERROR(SUMIFS(DATA_GOC!$H:$H,DATA_GOC!$A:$A,"BOM",DATA_GOC!$D:$D,$B138,DATA_GOC!$E:$E,"Téc 3",DATA_GOC!$F:$F,"Xuất nội bộ từ téc",DATA_GOC!$B:$B,DATE($D$2,$B$2,C$4)),0))</f>
        <v>0</v>
      </c>
      <c r="D138" s="251">
        <f>IF(D$4&gt;DAY(EOMONTH(DATE($D$2,$B$2,1),0)),"",IFERROR(SUMIFS(DATA_GOC!$H:$H,DATA_GOC!$A:$A,"BOM",DATA_GOC!$D:$D,$B138,DATA_GOC!$E:$E,"Téc 3",DATA_GOC!$F:$F,"Xuất nội bộ từ téc",DATA_GOC!$B:$B,DATE($D$2,$B$2,D$4)),0))</f>
        <v>0</v>
      </c>
      <c r="E138" s="251">
        <f>IF(E$4&gt;DAY(EOMONTH(DATE($D$2,$B$2,1),0)),"",IFERROR(SUMIFS(DATA_GOC!$H:$H,DATA_GOC!$A:$A,"BOM",DATA_GOC!$D:$D,$B138,DATA_GOC!$E:$E,"Téc 3",DATA_GOC!$F:$F,"Xuất nội bộ từ téc",DATA_GOC!$B:$B,DATE($D$2,$B$2,E$4)),0))</f>
        <v>0</v>
      </c>
      <c r="F138" s="251">
        <f>IF(F$4&gt;DAY(EOMONTH(DATE($D$2,$B$2,1),0)),"",IFERROR(SUMIFS(DATA_GOC!$H:$H,DATA_GOC!$A:$A,"BOM",DATA_GOC!$D:$D,$B138,DATA_GOC!$E:$E,"Téc 3",DATA_GOC!$F:$F,"Xuất nội bộ từ téc",DATA_GOC!$B:$B,DATE($D$2,$B$2,F$4)),0))</f>
        <v>0</v>
      </c>
      <c r="G138" s="251">
        <f>IF(G$4&gt;DAY(EOMONTH(DATE($D$2,$B$2,1),0)),"",IFERROR(SUMIFS(DATA_GOC!$H:$H,DATA_GOC!$A:$A,"BOM",DATA_GOC!$D:$D,$B138,DATA_GOC!$E:$E,"Téc 3",DATA_GOC!$F:$F,"Xuất nội bộ từ téc",DATA_GOC!$B:$B,DATE($D$2,$B$2,G$4)),0))</f>
        <v>0</v>
      </c>
      <c r="H138" s="251">
        <f>IF(H$4&gt;DAY(EOMONTH(DATE($D$2,$B$2,1),0)),"",IFERROR(SUMIFS(DATA_GOC!$H:$H,DATA_GOC!$A:$A,"BOM",DATA_GOC!$D:$D,$B138,DATA_GOC!$E:$E,"Téc 3",DATA_GOC!$F:$F,"Xuất nội bộ từ téc",DATA_GOC!$B:$B,DATE($D$2,$B$2,H$4)),0))</f>
        <v>0</v>
      </c>
      <c r="I138" s="251">
        <f>IF(I$4&gt;DAY(EOMONTH(DATE($D$2,$B$2,1),0)),"",IFERROR(SUMIFS(DATA_GOC!$H:$H,DATA_GOC!$A:$A,"BOM",DATA_GOC!$D:$D,$B138,DATA_GOC!$E:$E,"Téc 3",DATA_GOC!$F:$F,"Xuất nội bộ từ téc",DATA_GOC!$B:$B,DATE($D$2,$B$2,I$4)),0))</f>
        <v>0</v>
      </c>
      <c r="J138" s="251">
        <f>IF(J$4&gt;DAY(EOMONTH(DATE($D$2,$B$2,1),0)),"",IFERROR(SUMIFS(DATA_GOC!$H:$H,DATA_GOC!$A:$A,"BOM",DATA_GOC!$D:$D,$B138,DATA_GOC!$E:$E,"Téc 3",DATA_GOC!$F:$F,"Xuất nội bộ từ téc",DATA_GOC!$B:$B,DATE($D$2,$B$2,J$4)),0))</f>
        <v>0</v>
      </c>
      <c r="K138" s="251">
        <f>IF(K$4&gt;DAY(EOMONTH(DATE($D$2,$B$2,1),0)),"",IFERROR(SUMIFS(DATA_GOC!$H:$H,DATA_GOC!$A:$A,"BOM",DATA_GOC!$D:$D,$B138,DATA_GOC!$E:$E,"Téc 3",DATA_GOC!$F:$F,"Xuất nội bộ từ téc",DATA_GOC!$B:$B,DATE($D$2,$B$2,K$4)),0))</f>
        <v>0</v>
      </c>
      <c r="L138" s="251">
        <f>IF(L$4&gt;DAY(EOMONTH(DATE($D$2,$B$2,1),0)),"",IFERROR(SUMIFS(DATA_GOC!$H:$H,DATA_GOC!$A:$A,"BOM",DATA_GOC!$D:$D,$B138,DATA_GOC!$E:$E,"Téc 3",DATA_GOC!$F:$F,"Xuất nội bộ từ téc",DATA_GOC!$B:$B,DATE($D$2,$B$2,L$4)),0))</f>
        <v>0</v>
      </c>
      <c r="M138" s="251">
        <f>IF(M$4&gt;DAY(EOMONTH(DATE($D$2,$B$2,1),0)),"",IFERROR(SUMIFS(DATA_GOC!$H:$H,DATA_GOC!$A:$A,"BOM",DATA_GOC!$D:$D,$B138,DATA_GOC!$E:$E,"Téc 3",DATA_GOC!$F:$F,"Xuất nội bộ từ téc",DATA_GOC!$B:$B,DATE($D$2,$B$2,M$4)),0))</f>
        <v>0</v>
      </c>
      <c r="N138" s="251">
        <f>IF(N$4&gt;DAY(EOMONTH(DATE($D$2,$B$2,1),0)),"",IFERROR(SUMIFS(DATA_GOC!$H:$H,DATA_GOC!$A:$A,"BOM",DATA_GOC!$D:$D,$B138,DATA_GOC!$E:$E,"Téc 3",DATA_GOC!$F:$F,"Xuất nội bộ từ téc",DATA_GOC!$B:$B,DATE($D$2,$B$2,N$4)),0))</f>
        <v>0</v>
      </c>
      <c r="O138" s="251">
        <f>IF(O$4&gt;DAY(EOMONTH(DATE($D$2,$B$2,1),0)),"",IFERROR(SUMIFS(DATA_GOC!$H:$H,DATA_GOC!$A:$A,"BOM",DATA_GOC!$D:$D,$B138,DATA_GOC!$E:$E,"Téc 3",DATA_GOC!$F:$F,"Xuất nội bộ từ téc",DATA_GOC!$B:$B,DATE($D$2,$B$2,O$4)),0))</f>
        <v>0</v>
      </c>
      <c r="P138" s="251">
        <f>IF(P$4&gt;DAY(EOMONTH(DATE($D$2,$B$2,1),0)),"",IFERROR(SUMIFS(DATA_GOC!$H:$H,DATA_GOC!$A:$A,"BOM",DATA_GOC!$D:$D,$B138,DATA_GOC!$E:$E,"Téc 3",DATA_GOC!$F:$F,"Xuất nội bộ từ téc",DATA_GOC!$B:$B,DATE($D$2,$B$2,P$4)),0))</f>
        <v>0</v>
      </c>
      <c r="Q138" s="251">
        <f>IF(Q$4&gt;DAY(EOMONTH(DATE($D$2,$B$2,1),0)),"",IFERROR(SUMIFS(DATA_GOC!$H:$H,DATA_GOC!$A:$A,"BOM",DATA_GOC!$D:$D,$B138,DATA_GOC!$E:$E,"Téc 3",DATA_GOC!$F:$F,"Xuất nội bộ từ téc",DATA_GOC!$B:$B,DATE($D$2,$B$2,Q$4)),0))</f>
        <v>0</v>
      </c>
      <c r="R138" s="251">
        <f>IF(R$4&gt;DAY(EOMONTH(DATE($D$2,$B$2,1),0)),"",IFERROR(SUMIFS(DATA_GOC!$H:$H,DATA_GOC!$A:$A,"BOM",DATA_GOC!$D:$D,$B138,DATA_GOC!$E:$E,"Téc 3",DATA_GOC!$F:$F,"Xuất nội bộ từ téc",DATA_GOC!$B:$B,DATE($D$2,$B$2,R$4)),0))</f>
        <v>0</v>
      </c>
      <c r="S138" s="251">
        <f>IF(S$4&gt;DAY(EOMONTH(DATE($D$2,$B$2,1),0)),"",IFERROR(SUMIFS(DATA_GOC!$H:$H,DATA_GOC!$A:$A,"BOM",DATA_GOC!$D:$D,$B138,DATA_GOC!$E:$E,"Téc 3",DATA_GOC!$F:$F,"Xuất nội bộ từ téc",DATA_GOC!$B:$B,DATE($D$2,$B$2,S$4)),0))</f>
        <v>0</v>
      </c>
      <c r="T138" s="251">
        <f>IF(T$4&gt;DAY(EOMONTH(DATE($D$2,$B$2,1),0)),"",IFERROR(SUMIFS(DATA_GOC!$H:$H,DATA_GOC!$A:$A,"BOM",DATA_GOC!$D:$D,$B138,DATA_GOC!$E:$E,"Téc 3",DATA_GOC!$F:$F,"Xuất nội bộ từ téc",DATA_GOC!$B:$B,DATE($D$2,$B$2,T$4)),0))</f>
        <v>0</v>
      </c>
      <c r="U138" s="251">
        <f>IF(U$4&gt;DAY(EOMONTH(DATE($D$2,$B$2,1),0)),"",IFERROR(SUMIFS(DATA_GOC!$H:$H,DATA_GOC!$A:$A,"BOM",DATA_GOC!$D:$D,$B138,DATA_GOC!$E:$E,"Téc 3",DATA_GOC!$F:$F,"Xuất nội bộ từ téc",DATA_GOC!$B:$B,DATE($D$2,$B$2,U$4)),0))</f>
        <v>0</v>
      </c>
      <c r="V138" s="251">
        <f>IF(V$4&gt;DAY(EOMONTH(DATE($D$2,$B$2,1),0)),"",IFERROR(SUMIFS(DATA_GOC!$H:$H,DATA_GOC!$A:$A,"BOM",DATA_GOC!$D:$D,$B138,DATA_GOC!$E:$E,"Téc 3",DATA_GOC!$F:$F,"Xuất nội bộ từ téc",DATA_GOC!$B:$B,DATE($D$2,$B$2,V$4)),0))</f>
        <v>0</v>
      </c>
      <c r="W138" s="251">
        <f>IF(W$4&gt;DAY(EOMONTH(DATE($D$2,$B$2,1),0)),"",IFERROR(SUMIFS(DATA_GOC!$H:$H,DATA_GOC!$A:$A,"BOM",DATA_GOC!$D:$D,$B138,DATA_GOC!$E:$E,"Téc 3",DATA_GOC!$F:$F,"Xuất nội bộ từ téc",DATA_GOC!$B:$B,DATE($D$2,$B$2,W$4)),0))</f>
        <v>0</v>
      </c>
      <c r="X138" s="251">
        <f>IF(X$4&gt;DAY(EOMONTH(DATE($D$2,$B$2,1),0)),"",IFERROR(SUMIFS(DATA_GOC!$H:$H,DATA_GOC!$A:$A,"BOM",DATA_GOC!$D:$D,$B138,DATA_GOC!$E:$E,"Téc 3",DATA_GOC!$F:$F,"Xuất nội bộ từ téc",DATA_GOC!$B:$B,DATE($D$2,$B$2,X$4)),0))</f>
        <v>0</v>
      </c>
      <c r="Y138" s="251">
        <f>IF(Y$4&gt;DAY(EOMONTH(DATE($D$2,$B$2,1),0)),"",IFERROR(SUMIFS(DATA_GOC!$H:$H,DATA_GOC!$A:$A,"BOM",DATA_GOC!$D:$D,$B138,DATA_GOC!$E:$E,"Téc 3",DATA_GOC!$F:$F,"Xuất nội bộ từ téc",DATA_GOC!$B:$B,DATE($D$2,$B$2,Y$4)),0))</f>
        <v>0</v>
      </c>
      <c r="Z138" s="251">
        <f>IF(Z$4&gt;DAY(EOMONTH(DATE($D$2,$B$2,1),0)),"",IFERROR(SUMIFS(DATA_GOC!$H:$H,DATA_GOC!$A:$A,"BOM",DATA_GOC!$D:$D,$B138,DATA_GOC!$E:$E,"Téc 3",DATA_GOC!$F:$F,"Xuất nội bộ từ téc",DATA_GOC!$B:$B,DATE($D$2,$B$2,Z$4)),0))</f>
        <v>0</v>
      </c>
      <c r="AA138" s="251">
        <f>IF(AA$4&gt;DAY(EOMONTH(DATE($D$2,$B$2,1),0)),"",IFERROR(SUMIFS(DATA_GOC!$H:$H,DATA_GOC!$A:$A,"BOM",DATA_GOC!$D:$D,$B138,DATA_GOC!$E:$E,"Téc 3",DATA_GOC!$F:$F,"Xuất nội bộ từ téc",DATA_GOC!$B:$B,DATE($D$2,$B$2,AA$4)),0))</f>
        <v>0</v>
      </c>
      <c r="AB138" s="251">
        <f>IF(AB$4&gt;DAY(EOMONTH(DATE($D$2,$B$2,1),0)),"",IFERROR(SUMIFS(DATA_GOC!$H:$H,DATA_GOC!$A:$A,"BOM",DATA_GOC!$D:$D,$B138,DATA_GOC!$E:$E,"Téc 3",DATA_GOC!$F:$F,"Xuất nội bộ từ téc",DATA_GOC!$B:$B,DATE($D$2,$B$2,AB$4)),0))</f>
        <v>0</v>
      </c>
      <c r="AC138" s="251">
        <f>IF(AC$4&gt;DAY(EOMONTH(DATE($D$2,$B$2,1),0)),"",IFERROR(SUMIFS(DATA_GOC!$H:$H,DATA_GOC!$A:$A,"BOM",DATA_GOC!$D:$D,$B138,DATA_GOC!$E:$E,"Téc 3",DATA_GOC!$F:$F,"Xuất nội bộ từ téc",DATA_GOC!$B:$B,DATE($D$2,$B$2,AC$4)),0))</f>
        <v>0</v>
      </c>
      <c r="AD138" s="251">
        <f>IF(AD$4&gt;DAY(EOMONTH(DATE($D$2,$B$2,1),0)),"",IFERROR(SUMIFS(DATA_GOC!$H:$H,DATA_GOC!$A:$A,"BOM",DATA_GOC!$D:$D,$B138,DATA_GOC!$E:$E,"Téc 3",DATA_GOC!$F:$F,"Xuất nội bộ từ téc",DATA_GOC!$B:$B,DATE($D$2,$B$2,AD$4)),0))</f>
        <v>0</v>
      </c>
      <c r="AE138" s="251">
        <f>IF(AE$4&gt;DAY(EOMONTH(DATE($D$2,$B$2,1),0)),"",IFERROR(SUMIFS(DATA_GOC!$H:$H,DATA_GOC!$A:$A,"BOM",DATA_GOC!$D:$D,$B138,DATA_GOC!$E:$E,"Téc 3",DATA_GOC!$F:$F,"Xuất nội bộ từ téc",DATA_GOC!$B:$B,DATE($D$2,$B$2,AE$4)),0))</f>
        <v>0</v>
      </c>
      <c r="AF138" s="251">
        <f>IF(AF$4&gt;DAY(EOMONTH(DATE($D$2,$B$2,1),0)),"",IFERROR(SUMIFS(DATA_GOC!$H:$H,DATA_GOC!$A:$A,"BOM",DATA_GOC!$D:$D,$B138,DATA_GOC!$E:$E,"Téc 3",DATA_GOC!$F:$F,"Xuất nội bộ từ téc",DATA_GOC!$B:$B,DATE($D$2,$B$2,AF$4)),0))</f>
        <v>0</v>
      </c>
      <c r="AG138" s="251">
        <f>IF(AG$4&gt;DAY(EOMONTH(DATE($D$2,$B$2,1),0)),"",IFERROR(SUMIFS(DATA_GOC!$H:$H,DATA_GOC!$A:$A,"BOM",DATA_GOC!$D:$D,$B138,DATA_GOC!$E:$E,"Téc 3",DATA_GOC!$F:$F,"Xuất nội bộ từ téc",DATA_GOC!$B:$B,DATE($D$2,$B$2,AG$4)),0))</f>
        <v>0</v>
      </c>
      <c r="AH138" s="252">
        <f t="shared" si="7"/>
        <v>0</v>
      </c>
      <c r="AI138" s="241"/>
      <c r="AJ138" s="242">
        <f>IF($B138="","",SUMIFS(TINH_TEC!$K$233:$K$9232,TINH_TEC!$H$233:$H$9232,$B138,TINH_TEC!$C$233:$C$9232,"Téc 3",TINH_TEC!$F$233:$F$9232,$B$2,TINH_TEC!$G$233:$G$9232,$D$2,TINH_TEC!$B$233:$B$9232,"Đã chốt"))</f>
        <v>0</v>
      </c>
      <c r="AK138" s="242">
        <f>IF($B138="","",SUMIFS(TINH_TEC!$J$233:$J$9232,TINH_TEC!$H$233:$H$9232,$B138,TINH_TEC!$C$233:$C$9232,"Téc 3",TINH_TEC!$F$233:$F$9232,$B$2,TINH_TEC!$G$233:$G$9232,$D$2,TINH_TEC!$B$233:$B$9232,"Đã chốt"))</f>
        <v>0</v>
      </c>
      <c r="AL138" s="242">
        <f t="shared" si="8"/>
        <v>0</v>
      </c>
    </row>
    <row r="139" ht="15.75" customHeight="1">
      <c r="A139" s="237">
        <f>IF($B139&lt;&gt;"",12,"")</f>
        <v>12</v>
      </c>
      <c r="B139" s="250" t="str">
        <f t="array" ref="B139">IFERROR(INDEX(DANH_MUC!$E:$E,15),"")</f>
        <v>28C02410</v>
      </c>
      <c r="C139" s="251">
        <f>IF(C$4&gt;DAY(EOMONTH(DATE($D$2,$B$2,1),0)),"",IFERROR(SUMIFS(DATA_GOC!$H:$H,DATA_GOC!$A:$A,"BOM",DATA_GOC!$D:$D,$B139,DATA_GOC!$E:$E,"Téc 3",DATA_GOC!$F:$F,"Xuất nội bộ từ téc",DATA_GOC!$B:$B,DATE($D$2,$B$2,C$4)),0))</f>
        <v>0</v>
      </c>
      <c r="D139" s="251">
        <f>IF(D$4&gt;DAY(EOMONTH(DATE($D$2,$B$2,1),0)),"",IFERROR(SUMIFS(DATA_GOC!$H:$H,DATA_GOC!$A:$A,"BOM",DATA_GOC!$D:$D,$B139,DATA_GOC!$E:$E,"Téc 3",DATA_GOC!$F:$F,"Xuất nội bộ từ téc",DATA_GOC!$B:$B,DATE($D$2,$B$2,D$4)),0))</f>
        <v>0</v>
      </c>
      <c r="E139" s="251">
        <f>IF(E$4&gt;DAY(EOMONTH(DATE($D$2,$B$2,1),0)),"",IFERROR(SUMIFS(DATA_GOC!$H:$H,DATA_GOC!$A:$A,"BOM",DATA_GOC!$D:$D,$B139,DATA_GOC!$E:$E,"Téc 3",DATA_GOC!$F:$F,"Xuất nội bộ từ téc",DATA_GOC!$B:$B,DATE($D$2,$B$2,E$4)),0))</f>
        <v>0</v>
      </c>
      <c r="F139" s="251">
        <f>IF(F$4&gt;DAY(EOMONTH(DATE($D$2,$B$2,1),0)),"",IFERROR(SUMIFS(DATA_GOC!$H:$H,DATA_GOC!$A:$A,"BOM",DATA_GOC!$D:$D,$B139,DATA_GOC!$E:$E,"Téc 3",DATA_GOC!$F:$F,"Xuất nội bộ từ téc",DATA_GOC!$B:$B,DATE($D$2,$B$2,F$4)),0))</f>
        <v>0</v>
      </c>
      <c r="G139" s="251">
        <f>IF(G$4&gt;DAY(EOMONTH(DATE($D$2,$B$2,1),0)),"",IFERROR(SUMIFS(DATA_GOC!$H:$H,DATA_GOC!$A:$A,"BOM",DATA_GOC!$D:$D,$B139,DATA_GOC!$E:$E,"Téc 3",DATA_GOC!$F:$F,"Xuất nội bộ từ téc",DATA_GOC!$B:$B,DATE($D$2,$B$2,G$4)),0))</f>
        <v>0</v>
      </c>
      <c r="H139" s="251">
        <f>IF(H$4&gt;DAY(EOMONTH(DATE($D$2,$B$2,1),0)),"",IFERROR(SUMIFS(DATA_GOC!$H:$H,DATA_GOC!$A:$A,"BOM",DATA_GOC!$D:$D,$B139,DATA_GOC!$E:$E,"Téc 3",DATA_GOC!$F:$F,"Xuất nội bộ từ téc",DATA_GOC!$B:$B,DATE($D$2,$B$2,H$4)),0))</f>
        <v>0</v>
      </c>
      <c r="I139" s="251">
        <f>IF(I$4&gt;DAY(EOMONTH(DATE($D$2,$B$2,1),0)),"",IFERROR(SUMIFS(DATA_GOC!$H:$H,DATA_GOC!$A:$A,"BOM",DATA_GOC!$D:$D,$B139,DATA_GOC!$E:$E,"Téc 3",DATA_GOC!$F:$F,"Xuất nội bộ từ téc",DATA_GOC!$B:$B,DATE($D$2,$B$2,I$4)),0))</f>
        <v>0</v>
      </c>
      <c r="J139" s="251">
        <f>IF(J$4&gt;DAY(EOMONTH(DATE($D$2,$B$2,1),0)),"",IFERROR(SUMIFS(DATA_GOC!$H:$H,DATA_GOC!$A:$A,"BOM",DATA_GOC!$D:$D,$B139,DATA_GOC!$E:$E,"Téc 3",DATA_GOC!$F:$F,"Xuất nội bộ từ téc",DATA_GOC!$B:$B,DATE($D$2,$B$2,J$4)),0))</f>
        <v>0</v>
      </c>
      <c r="K139" s="251">
        <f>IF(K$4&gt;DAY(EOMONTH(DATE($D$2,$B$2,1),0)),"",IFERROR(SUMIFS(DATA_GOC!$H:$H,DATA_GOC!$A:$A,"BOM",DATA_GOC!$D:$D,$B139,DATA_GOC!$E:$E,"Téc 3",DATA_GOC!$F:$F,"Xuất nội bộ từ téc",DATA_GOC!$B:$B,DATE($D$2,$B$2,K$4)),0))</f>
        <v>0</v>
      </c>
      <c r="L139" s="251">
        <f>IF(L$4&gt;DAY(EOMONTH(DATE($D$2,$B$2,1),0)),"",IFERROR(SUMIFS(DATA_GOC!$H:$H,DATA_GOC!$A:$A,"BOM",DATA_GOC!$D:$D,$B139,DATA_GOC!$E:$E,"Téc 3",DATA_GOC!$F:$F,"Xuất nội bộ từ téc",DATA_GOC!$B:$B,DATE($D$2,$B$2,L$4)),0))</f>
        <v>0</v>
      </c>
      <c r="M139" s="251">
        <f>IF(M$4&gt;DAY(EOMONTH(DATE($D$2,$B$2,1),0)),"",IFERROR(SUMIFS(DATA_GOC!$H:$H,DATA_GOC!$A:$A,"BOM",DATA_GOC!$D:$D,$B139,DATA_GOC!$E:$E,"Téc 3",DATA_GOC!$F:$F,"Xuất nội bộ từ téc",DATA_GOC!$B:$B,DATE($D$2,$B$2,M$4)),0))</f>
        <v>0</v>
      </c>
      <c r="N139" s="251">
        <f>IF(N$4&gt;DAY(EOMONTH(DATE($D$2,$B$2,1),0)),"",IFERROR(SUMIFS(DATA_GOC!$H:$H,DATA_GOC!$A:$A,"BOM",DATA_GOC!$D:$D,$B139,DATA_GOC!$E:$E,"Téc 3",DATA_GOC!$F:$F,"Xuất nội bộ từ téc",DATA_GOC!$B:$B,DATE($D$2,$B$2,N$4)),0))</f>
        <v>0</v>
      </c>
      <c r="O139" s="251">
        <f>IF(O$4&gt;DAY(EOMONTH(DATE($D$2,$B$2,1),0)),"",IFERROR(SUMIFS(DATA_GOC!$H:$H,DATA_GOC!$A:$A,"BOM",DATA_GOC!$D:$D,$B139,DATA_GOC!$E:$E,"Téc 3",DATA_GOC!$F:$F,"Xuất nội bộ từ téc",DATA_GOC!$B:$B,DATE($D$2,$B$2,O$4)),0))</f>
        <v>0</v>
      </c>
      <c r="P139" s="251">
        <f>IF(P$4&gt;DAY(EOMONTH(DATE($D$2,$B$2,1),0)),"",IFERROR(SUMIFS(DATA_GOC!$H:$H,DATA_GOC!$A:$A,"BOM",DATA_GOC!$D:$D,$B139,DATA_GOC!$E:$E,"Téc 3",DATA_GOC!$F:$F,"Xuất nội bộ từ téc",DATA_GOC!$B:$B,DATE($D$2,$B$2,P$4)),0))</f>
        <v>0</v>
      </c>
      <c r="Q139" s="251">
        <f>IF(Q$4&gt;DAY(EOMONTH(DATE($D$2,$B$2,1),0)),"",IFERROR(SUMIFS(DATA_GOC!$H:$H,DATA_GOC!$A:$A,"BOM",DATA_GOC!$D:$D,$B139,DATA_GOC!$E:$E,"Téc 3",DATA_GOC!$F:$F,"Xuất nội bộ từ téc",DATA_GOC!$B:$B,DATE($D$2,$B$2,Q$4)),0))</f>
        <v>0</v>
      </c>
      <c r="R139" s="251">
        <f>IF(R$4&gt;DAY(EOMONTH(DATE($D$2,$B$2,1),0)),"",IFERROR(SUMIFS(DATA_GOC!$H:$H,DATA_GOC!$A:$A,"BOM",DATA_GOC!$D:$D,$B139,DATA_GOC!$E:$E,"Téc 3",DATA_GOC!$F:$F,"Xuất nội bộ từ téc",DATA_GOC!$B:$B,DATE($D$2,$B$2,R$4)),0))</f>
        <v>0</v>
      </c>
      <c r="S139" s="251">
        <f>IF(S$4&gt;DAY(EOMONTH(DATE($D$2,$B$2,1),0)),"",IFERROR(SUMIFS(DATA_GOC!$H:$H,DATA_GOC!$A:$A,"BOM",DATA_GOC!$D:$D,$B139,DATA_GOC!$E:$E,"Téc 3",DATA_GOC!$F:$F,"Xuất nội bộ từ téc",DATA_GOC!$B:$B,DATE($D$2,$B$2,S$4)),0))</f>
        <v>0</v>
      </c>
      <c r="T139" s="251">
        <f>IF(T$4&gt;DAY(EOMONTH(DATE($D$2,$B$2,1),0)),"",IFERROR(SUMIFS(DATA_GOC!$H:$H,DATA_GOC!$A:$A,"BOM",DATA_GOC!$D:$D,$B139,DATA_GOC!$E:$E,"Téc 3",DATA_GOC!$F:$F,"Xuất nội bộ từ téc",DATA_GOC!$B:$B,DATE($D$2,$B$2,T$4)),0))</f>
        <v>0</v>
      </c>
      <c r="U139" s="251">
        <f>IF(U$4&gt;DAY(EOMONTH(DATE($D$2,$B$2,1),0)),"",IFERROR(SUMIFS(DATA_GOC!$H:$H,DATA_GOC!$A:$A,"BOM",DATA_GOC!$D:$D,$B139,DATA_GOC!$E:$E,"Téc 3",DATA_GOC!$F:$F,"Xuất nội bộ từ téc",DATA_GOC!$B:$B,DATE($D$2,$B$2,U$4)),0))</f>
        <v>0</v>
      </c>
      <c r="V139" s="251">
        <f>IF(V$4&gt;DAY(EOMONTH(DATE($D$2,$B$2,1),0)),"",IFERROR(SUMIFS(DATA_GOC!$H:$H,DATA_GOC!$A:$A,"BOM",DATA_GOC!$D:$D,$B139,DATA_GOC!$E:$E,"Téc 3",DATA_GOC!$F:$F,"Xuất nội bộ từ téc",DATA_GOC!$B:$B,DATE($D$2,$B$2,V$4)),0))</f>
        <v>0</v>
      </c>
      <c r="W139" s="251">
        <f>IF(W$4&gt;DAY(EOMONTH(DATE($D$2,$B$2,1),0)),"",IFERROR(SUMIFS(DATA_GOC!$H:$H,DATA_GOC!$A:$A,"BOM",DATA_GOC!$D:$D,$B139,DATA_GOC!$E:$E,"Téc 3",DATA_GOC!$F:$F,"Xuất nội bộ từ téc",DATA_GOC!$B:$B,DATE($D$2,$B$2,W$4)),0))</f>
        <v>0</v>
      </c>
      <c r="X139" s="251">
        <f>IF(X$4&gt;DAY(EOMONTH(DATE($D$2,$B$2,1),0)),"",IFERROR(SUMIFS(DATA_GOC!$H:$H,DATA_GOC!$A:$A,"BOM",DATA_GOC!$D:$D,$B139,DATA_GOC!$E:$E,"Téc 3",DATA_GOC!$F:$F,"Xuất nội bộ từ téc",DATA_GOC!$B:$B,DATE($D$2,$B$2,X$4)),0))</f>
        <v>0</v>
      </c>
      <c r="Y139" s="251">
        <f>IF(Y$4&gt;DAY(EOMONTH(DATE($D$2,$B$2,1),0)),"",IFERROR(SUMIFS(DATA_GOC!$H:$H,DATA_GOC!$A:$A,"BOM",DATA_GOC!$D:$D,$B139,DATA_GOC!$E:$E,"Téc 3",DATA_GOC!$F:$F,"Xuất nội bộ từ téc",DATA_GOC!$B:$B,DATE($D$2,$B$2,Y$4)),0))</f>
        <v>0</v>
      </c>
      <c r="Z139" s="251">
        <f>IF(Z$4&gt;DAY(EOMONTH(DATE($D$2,$B$2,1),0)),"",IFERROR(SUMIFS(DATA_GOC!$H:$H,DATA_GOC!$A:$A,"BOM",DATA_GOC!$D:$D,$B139,DATA_GOC!$E:$E,"Téc 3",DATA_GOC!$F:$F,"Xuất nội bộ từ téc",DATA_GOC!$B:$B,DATE($D$2,$B$2,Z$4)),0))</f>
        <v>0</v>
      </c>
      <c r="AA139" s="251">
        <f>IF(AA$4&gt;DAY(EOMONTH(DATE($D$2,$B$2,1),0)),"",IFERROR(SUMIFS(DATA_GOC!$H:$H,DATA_GOC!$A:$A,"BOM",DATA_GOC!$D:$D,$B139,DATA_GOC!$E:$E,"Téc 3",DATA_GOC!$F:$F,"Xuất nội bộ từ téc",DATA_GOC!$B:$B,DATE($D$2,$B$2,AA$4)),0))</f>
        <v>0</v>
      </c>
      <c r="AB139" s="251">
        <f>IF(AB$4&gt;DAY(EOMONTH(DATE($D$2,$B$2,1),0)),"",IFERROR(SUMIFS(DATA_GOC!$H:$H,DATA_GOC!$A:$A,"BOM",DATA_GOC!$D:$D,$B139,DATA_GOC!$E:$E,"Téc 3",DATA_GOC!$F:$F,"Xuất nội bộ từ téc",DATA_GOC!$B:$B,DATE($D$2,$B$2,AB$4)),0))</f>
        <v>0</v>
      </c>
      <c r="AC139" s="251">
        <f>IF(AC$4&gt;DAY(EOMONTH(DATE($D$2,$B$2,1),0)),"",IFERROR(SUMIFS(DATA_GOC!$H:$H,DATA_GOC!$A:$A,"BOM",DATA_GOC!$D:$D,$B139,DATA_GOC!$E:$E,"Téc 3",DATA_GOC!$F:$F,"Xuất nội bộ từ téc",DATA_GOC!$B:$B,DATE($D$2,$B$2,AC$4)),0))</f>
        <v>0</v>
      </c>
      <c r="AD139" s="251">
        <f>IF(AD$4&gt;DAY(EOMONTH(DATE($D$2,$B$2,1),0)),"",IFERROR(SUMIFS(DATA_GOC!$H:$H,DATA_GOC!$A:$A,"BOM",DATA_GOC!$D:$D,$B139,DATA_GOC!$E:$E,"Téc 3",DATA_GOC!$F:$F,"Xuất nội bộ từ téc",DATA_GOC!$B:$B,DATE($D$2,$B$2,AD$4)),0))</f>
        <v>0</v>
      </c>
      <c r="AE139" s="251">
        <f>IF(AE$4&gt;DAY(EOMONTH(DATE($D$2,$B$2,1),0)),"",IFERROR(SUMIFS(DATA_GOC!$H:$H,DATA_GOC!$A:$A,"BOM",DATA_GOC!$D:$D,$B139,DATA_GOC!$E:$E,"Téc 3",DATA_GOC!$F:$F,"Xuất nội bộ từ téc",DATA_GOC!$B:$B,DATE($D$2,$B$2,AE$4)),0))</f>
        <v>0</v>
      </c>
      <c r="AF139" s="251">
        <f>IF(AF$4&gt;DAY(EOMONTH(DATE($D$2,$B$2,1),0)),"",IFERROR(SUMIFS(DATA_GOC!$H:$H,DATA_GOC!$A:$A,"BOM",DATA_GOC!$D:$D,$B139,DATA_GOC!$E:$E,"Téc 3",DATA_GOC!$F:$F,"Xuất nội bộ từ téc",DATA_GOC!$B:$B,DATE($D$2,$B$2,AF$4)),0))</f>
        <v>0</v>
      </c>
      <c r="AG139" s="251">
        <f>IF(AG$4&gt;DAY(EOMONTH(DATE($D$2,$B$2,1),0)),"",IFERROR(SUMIFS(DATA_GOC!$H:$H,DATA_GOC!$A:$A,"BOM",DATA_GOC!$D:$D,$B139,DATA_GOC!$E:$E,"Téc 3",DATA_GOC!$F:$F,"Xuất nội bộ từ téc",DATA_GOC!$B:$B,DATE($D$2,$B$2,AG$4)),0))</f>
        <v>0</v>
      </c>
      <c r="AH139" s="252">
        <f t="shared" si="7"/>
        <v>0</v>
      </c>
      <c r="AI139" s="241"/>
      <c r="AJ139" s="242">
        <f>IF($B139="","",SUMIFS(TINH_TEC!$K$233:$K$9232,TINH_TEC!$H$233:$H$9232,$B139,TINH_TEC!$C$233:$C$9232,"Téc 3",TINH_TEC!$F$233:$F$9232,$B$2,TINH_TEC!$G$233:$G$9232,$D$2,TINH_TEC!$B$233:$B$9232,"Đã chốt"))</f>
        <v>0</v>
      </c>
      <c r="AK139" s="242">
        <f>IF($B139="","",SUMIFS(TINH_TEC!$J$233:$J$9232,TINH_TEC!$H$233:$H$9232,$B139,TINH_TEC!$C$233:$C$9232,"Téc 3",TINH_TEC!$F$233:$F$9232,$B$2,TINH_TEC!$G$233:$G$9232,$D$2,TINH_TEC!$B$233:$B$9232,"Đã chốt"))</f>
        <v>0</v>
      </c>
      <c r="AL139" s="242">
        <f t="shared" si="8"/>
        <v>0</v>
      </c>
    </row>
    <row r="140" ht="15.75" customHeight="1">
      <c r="A140" s="237">
        <f>IF($B140&lt;&gt;"",13,"")</f>
        <v>13</v>
      </c>
      <c r="B140" s="250" t="str">
        <f t="array" ref="B140">IFERROR(INDEX(DANH_MUC!$E:$E,16),"")</f>
        <v>28C02545</v>
      </c>
      <c r="C140" s="251">
        <f>IF(C$4&gt;DAY(EOMONTH(DATE($D$2,$B$2,1),0)),"",IFERROR(SUMIFS(DATA_GOC!$H:$H,DATA_GOC!$A:$A,"BOM",DATA_GOC!$D:$D,$B140,DATA_GOC!$E:$E,"Téc 3",DATA_GOC!$F:$F,"Xuất nội bộ từ téc",DATA_GOC!$B:$B,DATE($D$2,$B$2,C$4)),0))</f>
        <v>0</v>
      </c>
      <c r="D140" s="251">
        <f>IF(D$4&gt;DAY(EOMONTH(DATE($D$2,$B$2,1),0)),"",IFERROR(SUMIFS(DATA_GOC!$H:$H,DATA_GOC!$A:$A,"BOM",DATA_GOC!$D:$D,$B140,DATA_GOC!$E:$E,"Téc 3",DATA_GOC!$F:$F,"Xuất nội bộ từ téc",DATA_GOC!$B:$B,DATE($D$2,$B$2,D$4)),0))</f>
        <v>0</v>
      </c>
      <c r="E140" s="251">
        <f>IF(E$4&gt;DAY(EOMONTH(DATE($D$2,$B$2,1),0)),"",IFERROR(SUMIFS(DATA_GOC!$H:$H,DATA_GOC!$A:$A,"BOM",DATA_GOC!$D:$D,$B140,DATA_GOC!$E:$E,"Téc 3",DATA_GOC!$F:$F,"Xuất nội bộ từ téc",DATA_GOC!$B:$B,DATE($D$2,$B$2,E$4)),0))</f>
        <v>0</v>
      </c>
      <c r="F140" s="251">
        <f>IF(F$4&gt;DAY(EOMONTH(DATE($D$2,$B$2,1),0)),"",IFERROR(SUMIFS(DATA_GOC!$H:$H,DATA_GOC!$A:$A,"BOM",DATA_GOC!$D:$D,$B140,DATA_GOC!$E:$E,"Téc 3",DATA_GOC!$F:$F,"Xuất nội bộ từ téc",DATA_GOC!$B:$B,DATE($D$2,$B$2,F$4)),0))</f>
        <v>0</v>
      </c>
      <c r="G140" s="251">
        <f>IF(G$4&gt;DAY(EOMONTH(DATE($D$2,$B$2,1),0)),"",IFERROR(SUMIFS(DATA_GOC!$H:$H,DATA_GOC!$A:$A,"BOM",DATA_GOC!$D:$D,$B140,DATA_GOC!$E:$E,"Téc 3",DATA_GOC!$F:$F,"Xuất nội bộ từ téc",DATA_GOC!$B:$B,DATE($D$2,$B$2,G$4)),0))</f>
        <v>0</v>
      </c>
      <c r="H140" s="251">
        <f>IF(H$4&gt;DAY(EOMONTH(DATE($D$2,$B$2,1),0)),"",IFERROR(SUMIFS(DATA_GOC!$H:$H,DATA_GOC!$A:$A,"BOM",DATA_GOC!$D:$D,$B140,DATA_GOC!$E:$E,"Téc 3",DATA_GOC!$F:$F,"Xuất nội bộ từ téc",DATA_GOC!$B:$B,DATE($D$2,$B$2,H$4)),0))</f>
        <v>0</v>
      </c>
      <c r="I140" s="251">
        <f>IF(I$4&gt;DAY(EOMONTH(DATE($D$2,$B$2,1),0)),"",IFERROR(SUMIFS(DATA_GOC!$H:$H,DATA_GOC!$A:$A,"BOM",DATA_GOC!$D:$D,$B140,DATA_GOC!$E:$E,"Téc 3",DATA_GOC!$F:$F,"Xuất nội bộ từ téc",DATA_GOC!$B:$B,DATE($D$2,$B$2,I$4)),0))</f>
        <v>0</v>
      </c>
      <c r="J140" s="251">
        <f>IF(J$4&gt;DAY(EOMONTH(DATE($D$2,$B$2,1),0)),"",IFERROR(SUMIFS(DATA_GOC!$H:$H,DATA_GOC!$A:$A,"BOM",DATA_GOC!$D:$D,$B140,DATA_GOC!$E:$E,"Téc 3",DATA_GOC!$F:$F,"Xuất nội bộ từ téc",DATA_GOC!$B:$B,DATE($D$2,$B$2,J$4)),0))</f>
        <v>0</v>
      </c>
      <c r="K140" s="251">
        <f>IF(K$4&gt;DAY(EOMONTH(DATE($D$2,$B$2,1),0)),"",IFERROR(SUMIFS(DATA_GOC!$H:$H,DATA_GOC!$A:$A,"BOM",DATA_GOC!$D:$D,$B140,DATA_GOC!$E:$E,"Téc 3",DATA_GOC!$F:$F,"Xuất nội bộ từ téc",DATA_GOC!$B:$B,DATE($D$2,$B$2,K$4)),0))</f>
        <v>0</v>
      </c>
      <c r="L140" s="251">
        <f>IF(L$4&gt;DAY(EOMONTH(DATE($D$2,$B$2,1),0)),"",IFERROR(SUMIFS(DATA_GOC!$H:$H,DATA_GOC!$A:$A,"BOM",DATA_GOC!$D:$D,$B140,DATA_GOC!$E:$E,"Téc 3",DATA_GOC!$F:$F,"Xuất nội bộ từ téc",DATA_GOC!$B:$B,DATE($D$2,$B$2,L$4)),0))</f>
        <v>0</v>
      </c>
      <c r="M140" s="251">
        <f>IF(M$4&gt;DAY(EOMONTH(DATE($D$2,$B$2,1),0)),"",IFERROR(SUMIFS(DATA_GOC!$H:$H,DATA_GOC!$A:$A,"BOM",DATA_GOC!$D:$D,$B140,DATA_GOC!$E:$E,"Téc 3",DATA_GOC!$F:$F,"Xuất nội bộ từ téc",DATA_GOC!$B:$B,DATE($D$2,$B$2,M$4)),0))</f>
        <v>0</v>
      </c>
      <c r="N140" s="251">
        <f>IF(N$4&gt;DAY(EOMONTH(DATE($D$2,$B$2,1),0)),"",IFERROR(SUMIFS(DATA_GOC!$H:$H,DATA_GOC!$A:$A,"BOM",DATA_GOC!$D:$D,$B140,DATA_GOC!$E:$E,"Téc 3",DATA_GOC!$F:$F,"Xuất nội bộ từ téc",DATA_GOC!$B:$B,DATE($D$2,$B$2,N$4)),0))</f>
        <v>0</v>
      </c>
      <c r="O140" s="251">
        <f>IF(O$4&gt;DAY(EOMONTH(DATE($D$2,$B$2,1),0)),"",IFERROR(SUMIFS(DATA_GOC!$H:$H,DATA_GOC!$A:$A,"BOM",DATA_GOC!$D:$D,$B140,DATA_GOC!$E:$E,"Téc 3",DATA_GOC!$F:$F,"Xuất nội bộ từ téc",DATA_GOC!$B:$B,DATE($D$2,$B$2,O$4)),0))</f>
        <v>0</v>
      </c>
      <c r="P140" s="251">
        <f>IF(P$4&gt;DAY(EOMONTH(DATE($D$2,$B$2,1),0)),"",IFERROR(SUMIFS(DATA_GOC!$H:$H,DATA_GOC!$A:$A,"BOM",DATA_GOC!$D:$D,$B140,DATA_GOC!$E:$E,"Téc 3",DATA_GOC!$F:$F,"Xuất nội bộ từ téc",DATA_GOC!$B:$B,DATE($D$2,$B$2,P$4)),0))</f>
        <v>0</v>
      </c>
      <c r="Q140" s="251">
        <f>IF(Q$4&gt;DAY(EOMONTH(DATE($D$2,$B$2,1),0)),"",IFERROR(SUMIFS(DATA_GOC!$H:$H,DATA_GOC!$A:$A,"BOM",DATA_GOC!$D:$D,$B140,DATA_GOC!$E:$E,"Téc 3",DATA_GOC!$F:$F,"Xuất nội bộ từ téc",DATA_GOC!$B:$B,DATE($D$2,$B$2,Q$4)),0))</f>
        <v>0</v>
      </c>
      <c r="R140" s="251">
        <f>IF(R$4&gt;DAY(EOMONTH(DATE($D$2,$B$2,1),0)),"",IFERROR(SUMIFS(DATA_GOC!$H:$H,DATA_GOC!$A:$A,"BOM",DATA_GOC!$D:$D,$B140,DATA_GOC!$E:$E,"Téc 3",DATA_GOC!$F:$F,"Xuất nội bộ từ téc",DATA_GOC!$B:$B,DATE($D$2,$B$2,R$4)),0))</f>
        <v>0</v>
      </c>
      <c r="S140" s="251">
        <f>IF(S$4&gt;DAY(EOMONTH(DATE($D$2,$B$2,1),0)),"",IFERROR(SUMIFS(DATA_GOC!$H:$H,DATA_GOC!$A:$A,"BOM",DATA_GOC!$D:$D,$B140,DATA_GOC!$E:$E,"Téc 3",DATA_GOC!$F:$F,"Xuất nội bộ từ téc",DATA_GOC!$B:$B,DATE($D$2,$B$2,S$4)),0))</f>
        <v>0</v>
      </c>
      <c r="T140" s="251">
        <f>IF(T$4&gt;DAY(EOMONTH(DATE($D$2,$B$2,1),0)),"",IFERROR(SUMIFS(DATA_GOC!$H:$H,DATA_GOC!$A:$A,"BOM",DATA_GOC!$D:$D,$B140,DATA_GOC!$E:$E,"Téc 3",DATA_GOC!$F:$F,"Xuất nội bộ từ téc",DATA_GOC!$B:$B,DATE($D$2,$B$2,T$4)),0))</f>
        <v>0</v>
      </c>
      <c r="U140" s="251">
        <f>IF(U$4&gt;DAY(EOMONTH(DATE($D$2,$B$2,1),0)),"",IFERROR(SUMIFS(DATA_GOC!$H:$H,DATA_GOC!$A:$A,"BOM",DATA_GOC!$D:$D,$B140,DATA_GOC!$E:$E,"Téc 3",DATA_GOC!$F:$F,"Xuất nội bộ từ téc",DATA_GOC!$B:$B,DATE($D$2,$B$2,U$4)),0))</f>
        <v>0</v>
      </c>
      <c r="V140" s="251">
        <f>IF(V$4&gt;DAY(EOMONTH(DATE($D$2,$B$2,1),0)),"",IFERROR(SUMIFS(DATA_GOC!$H:$H,DATA_GOC!$A:$A,"BOM",DATA_GOC!$D:$D,$B140,DATA_GOC!$E:$E,"Téc 3",DATA_GOC!$F:$F,"Xuất nội bộ từ téc",DATA_GOC!$B:$B,DATE($D$2,$B$2,V$4)),0))</f>
        <v>0</v>
      </c>
      <c r="W140" s="251">
        <f>IF(W$4&gt;DAY(EOMONTH(DATE($D$2,$B$2,1),0)),"",IFERROR(SUMIFS(DATA_GOC!$H:$H,DATA_GOC!$A:$A,"BOM",DATA_GOC!$D:$D,$B140,DATA_GOC!$E:$E,"Téc 3",DATA_GOC!$F:$F,"Xuất nội bộ từ téc",DATA_GOC!$B:$B,DATE($D$2,$B$2,W$4)),0))</f>
        <v>0</v>
      </c>
      <c r="X140" s="251">
        <f>IF(X$4&gt;DAY(EOMONTH(DATE($D$2,$B$2,1),0)),"",IFERROR(SUMIFS(DATA_GOC!$H:$H,DATA_GOC!$A:$A,"BOM",DATA_GOC!$D:$D,$B140,DATA_GOC!$E:$E,"Téc 3",DATA_GOC!$F:$F,"Xuất nội bộ từ téc",DATA_GOC!$B:$B,DATE($D$2,$B$2,X$4)),0))</f>
        <v>0</v>
      </c>
      <c r="Y140" s="251">
        <f>IF(Y$4&gt;DAY(EOMONTH(DATE($D$2,$B$2,1),0)),"",IFERROR(SUMIFS(DATA_GOC!$H:$H,DATA_GOC!$A:$A,"BOM",DATA_GOC!$D:$D,$B140,DATA_GOC!$E:$E,"Téc 3",DATA_GOC!$F:$F,"Xuất nội bộ từ téc",DATA_GOC!$B:$B,DATE($D$2,$B$2,Y$4)),0))</f>
        <v>0</v>
      </c>
      <c r="Z140" s="251">
        <f>IF(Z$4&gt;DAY(EOMONTH(DATE($D$2,$B$2,1),0)),"",IFERROR(SUMIFS(DATA_GOC!$H:$H,DATA_GOC!$A:$A,"BOM",DATA_GOC!$D:$D,$B140,DATA_GOC!$E:$E,"Téc 3",DATA_GOC!$F:$F,"Xuất nội bộ từ téc",DATA_GOC!$B:$B,DATE($D$2,$B$2,Z$4)),0))</f>
        <v>0</v>
      </c>
      <c r="AA140" s="251">
        <f>IF(AA$4&gt;DAY(EOMONTH(DATE($D$2,$B$2,1),0)),"",IFERROR(SUMIFS(DATA_GOC!$H:$H,DATA_GOC!$A:$A,"BOM",DATA_GOC!$D:$D,$B140,DATA_GOC!$E:$E,"Téc 3",DATA_GOC!$F:$F,"Xuất nội bộ từ téc",DATA_GOC!$B:$B,DATE($D$2,$B$2,AA$4)),0))</f>
        <v>0</v>
      </c>
      <c r="AB140" s="251">
        <f>IF(AB$4&gt;DAY(EOMONTH(DATE($D$2,$B$2,1),0)),"",IFERROR(SUMIFS(DATA_GOC!$H:$H,DATA_GOC!$A:$A,"BOM",DATA_GOC!$D:$D,$B140,DATA_GOC!$E:$E,"Téc 3",DATA_GOC!$F:$F,"Xuất nội bộ từ téc",DATA_GOC!$B:$B,DATE($D$2,$B$2,AB$4)),0))</f>
        <v>0</v>
      </c>
      <c r="AC140" s="251">
        <f>IF(AC$4&gt;DAY(EOMONTH(DATE($D$2,$B$2,1),0)),"",IFERROR(SUMIFS(DATA_GOC!$H:$H,DATA_GOC!$A:$A,"BOM",DATA_GOC!$D:$D,$B140,DATA_GOC!$E:$E,"Téc 3",DATA_GOC!$F:$F,"Xuất nội bộ từ téc",DATA_GOC!$B:$B,DATE($D$2,$B$2,AC$4)),0))</f>
        <v>0</v>
      </c>
      <c r="AD140" s="251">
        <f>IF(AD$4&gt;DAY(EOMONTH(DATE($D$2,$B$2,1),0)),"",IFERROR(SUMIFS(DATA_GOC!$H:$H,DATA_GOC!$A:$A,"BOM",DATA_GOC!$D:$D,$B140,DATA_GOC!$E:$E,"Téc 3",DATA_GOC!$F:$F,"Xuất nội bộ từ téc",DATA_GOC!$B:$B,DATE($D$2,$B$2,AD$4)),0))</f>
        <v>0</v>
      </c>
      <c r="AE140" s="251">
        <f>IF(AE$4&gt;DAY(EOMONTH(DATE($D$2,$B$2,1),0)),"",IFERROR(SUMIFS(DATA_GOC!$H:$H,DATA_GOC!$A:$A,"BOM",DATA_GOC!$D:$D,$B140,DATA_GOC!$E:$E,"Téc 3",DATA_GOC!$F:$F,"Xuất nội bộ từ téc",DATA_GOC!$B:$B,DATE($D$2,$B$2,AE$4)),0))</f>
        <v>0</v>
      </c>
      <c r="AF140" s="251">
        <f>IF(AF$4&gt;DAY(EOMONTH(DATE($D$2,$B$2,1),0)),"",IFERROR(SUMIFS(DATA_GOC!$H:$H,DATA_GOC!$A:$A,"BOM",DATA_GOC!$D:$D,$B140,DATA_GOC!$E:$E,"Téc 3",DATA_GOC!$F:$F,"Xuất nội bộ từ téc",DATA_GOC!$B:$B,DATE($D$2,$B$2,AF$4)),0))</f>
        <v>0</v>
      </c>
      <c r="AG140" s="251">
        <f>IF(AG$4&gt;DAY(EOMONTH(DATE($D$2,$B$2,1),0)),"",IFERROR(SUMIFS(DATA_GOC!$H:$H,DATA_GOC!$A:$A,"BOM",DATA_GOC!$D:$D,$B140,DATA_GOC!$E:$E,"Téc 3",DATA_GOC!$F:$F,"Xuất nội bộ từ téc",DATA_GOC!$B:$B,DATE($D$2,$B$2,AG$4)),0))</f>
        <v>0</v>
      </c>
      <c r="AH140" s="252">
        <f t="shared" si="7"/>
        <v>0</v>
      </c>
      <c r="AI140" s="241"/>
      <c r="AJ140" s="242">
        <f>IF($B140="","",SUMIFS(TINH_TEC!$K$233:$K$9232,TINH_TEC!$H$233:$H$9232,$B140,TINH_TEC!$C$233:$C$9232,"Téc 3",TINH_TEC!$F$233:$F$9232,$B$2,TINH_TEC!$G$233:$G$9232,$D$2,TINH_TEC!$B$233:$B$9232,"Đã chốt"))</f>
        <v>0</v>
      </c>
      <c r="AK140" s="242">
        <f>IF($B140="","",SUMIFS(TINH_TEC!$J$233:$J$9232,TINH_TEC!$H$233:$H$9232,$B140,TINH_TEC!$C$233:$C$9232,"Téc 3",TINH_TEC!$F$233:$F$9232,$B$2,TINH_TEC!$G$233:$G$9232,$D$2,TINH_TEC!$B$233:$B$9232,"Đã chốt"))</f>
        <v>0</v>
      </c>
      <c r="AL140" s="242">
        <f t="shared" si="8"/>
        <v>0</v>
      </c>
    </row>
    <row r="141" ht="15.75" customHeight="1">
      <c r="A141" s="237">
        <f>IF($B141&lt;&gt;"",14,"")</f>
        <v>14</v>
      </c>
      <c r="B141" s="250" t="str">
        <f t="array" ref="B141">IFERROR(INDEX(DANH_MUC!$E:$E,17),"")</f>
        <v>28C02574</v>
      </c>
      <c r="C141" s="251">
        <f>IF(C$4&gt;DAY(EOMONTH(DATE($D$2,$B$2,1),0)),"",IFERROR(SUMIFS(DATA_GOC!$H:$H,DATA_GOC!$A:$A,"BOM",DATA_GOC!$D:$D,$B141,DATA_GOC!$E:$E,"Téc 3",DATA_GOC!$F:$F,"Xuất nội bộ từ téc",DATA_GOC!$B:$B,DATE($D$2,$B$2,C$4)),0))</f>
        <v>0</v>
      </c>
      <c r="D141" s="251">
        <f>IF(D$4&gt;DAY(EOMONTH(DATE($D$2,$B$2,1),0)),"",IFERROR(SUMIFS(DATA_GOC!$H:$H,DATA_GOC!$A:$A,"BOM",DATA_GOC!$D:$D,$B141,DATA_GOC!$E:$E,"Téc 3",DATA_GOC!$F:$F,"Xuất nội bộ từ téc",DATA_GOC!$B:$B,DATE($D$2,$B$2,D$4)),0))</f>
        <v>0</v>
      </c>
      <c r="E141" s="251">
        <f>IF(E$4&gt;DAY(EOMONTH(DATE($D$2,$B$2,1),0)),"",IFERROR(SUMIFS(DATA_GOC!$H:$H,DATA_GOC!$A:$A,"BOM",DATA_GOC!$D:$D,$B141,DATA_GOC!$E:$E,"Téc 3",DATA_GOC!$F:$F,"Xuất nội bộ từ téc",DATA_GOC!$B:$B,DATE($D$2,$B$2,E$4)),0))</f>
        <v>0</v>
      </c>
      <c r="F141" s="251">
        <f>IF(F$4&gt;DAY(EOMONTH(DATE($D$2,$B$2,1),0)),"",IFERROR(SUMIFS(DATA_GOC!$H:$H,DATA_GOC!$A:$A,"BOM",DATA_GOC!$D:$D,$B141,DATA_GOC!$E:$E,"Téc 3",DATA_GOC!$F:$F,"Xuất nội bộ từ téc",DATA_GOC!$B:$B,DATE($D$2,$B$2,F$4)),0))</f>
        <v>0</v>
      </c>
      <c r="G141" s="251">
        <f>IF(G$4&gt;DAY(EOMONTH(DATE($D$2,$B$2,1),0)),"",IFERROR(SUMIFS(DATA_GOC!$H:$H,DATA_GOC!$A:$A,"BOM",DATA_GOC!$D:$D,$B141,DATA_GOC!$E:$E,"Téc 3",DATA_GOC!$F:$F,"Xuất nội bộ từ téc",DATA_GOC!$B:$B,DATE($D$2,$B$2,G$4)),0))</f>
        <v>0</v>
      </c>
      <c r="H141" s="251">
        <f>IF(H$4&gt;DAY(EOMONTH(DATE($D$2,$B$2,1),0)),"",IFERROR(SUMIFS(DATA_GOC!$H:$H,DATA_GOC!$A:$A,"BOM",DATA_GOC!$D:$D,$B141,DATA_GOC!$E:$E,"Téc 3",DATA_GOC!$F:$F,"Xuất nội bộ từ téc",DATA_GOC!$B:$B,DATE($D$2,$B$2,H$4)),0))</f>
        <v>0</v>
      </c>
      <c r="I141" s="251">
        <f>IF(I$4&gt;DAY(EOMONTH(DATE($D$2,$B$2,1),0)),"",IFERROR(SUMIFS(DATA_GOC!$H:$H,DATA_GOC!$A:$A,"BOM",DATA_GOC!$D:$D,$B141,DATA_GOC!$E:$E,"Téc 3",DATA_GOC!$F:$F,"Xuất nội bộ từ téc",DATA_GOC!$B:$B,DATE($D$2,$B$2,I$4)),0))</f>
        <v>0</v>
      </c>
      <c r="J141" s="251">
        <f>IF(J$4&gt;DAY(EOMONTH(DATE($D$2,$B$2,1),0)),"",IFERROR(SUMIFS(DATA_GOC!$H:$H,DATA_GOC!$A:$A,"BOM",DATA_GOC!$D:$D,$B141,DATA_GOC!$E:$E,"Téc 3",DATA_GOC!$F:$F,"Xuất nội bộ từ téc",DATA_GOC!$B:$B,DATE($D$2,$B$2,J$4)),0))</f>
        <v>0</v>
      </c>
      <c r="K141" s="251">
        <f>IF(K$4&gt;DAY(EOMONTH(DATE($D$2,$B$2,1),0)),"",IFERROR(SUMIFS(DATA_GOC!$H:$H,DATA_GOC!$A:$A,"BOM",DATA_GOC!$D:$D,$B141,DATA_GOC!$E:$E,"Téc 3",DATA_GOC!$F:$F,"Xuất nội bộ từ téc",DATA_GOC!$B:$B,DATE($D$2,$B$2,K$4)),0))</f>
        <v>0</v>
      </c>
      <c r="L141" s="251">
        <f>IF(L$4&gt;DAY(EOMONTH(DATE($D$2,$B$2,1),0)),"",IFERROR(SUMIFS(DATA_GOC!$H:$H,DATA_GOC!$A:$A,"BOM",DATA_GOC!$D:$D,$B141,DATA_GOC!$E:$E,"Téc 3",DATA_GOC!$F:$F,"Xuất nội bộ từ téc",DATA_GOC!$B:$B,DATE($D$2,$B$2,L$4)),0))</f>
        <v>0</v>
      </c>
      <c r="M141" s="251">
        <f>IF(M$4&gt;DAY(EOMONTH(DATE($D$2,$B$2,1),0)),"",IFERROR(SUMIFS(DATA_GOC!$H:$H,DATA_GOC!$A:$A,"BOM",DATA_GOC!$D:$D,$B141,DATA_GOC!$E:$E,"Téc 3",DATA_GOC!$F:$F,"Xuất nội bộ từ téc",DATA_GOC!$B:$B,DATE($D$2,$B$2,M$4)),0))</f>
        <v>0</v>
      </c>
      <c r="N141" s="251">
        <f>IF(N$4&gt;DAY(EOMONTH(DATE($D$2,$B$2,1),0)),"",IFERROR(SUMIFS(DATA_GOC!$H:$H,DATA_GOC!$A:$A,"BOM",DATA_GOC!$D:$D,$B141,DATA_GOC!$E:$E,"Téc 3",DATA_GOC!$F:$F,"Xuất nội bộ từ téc",DATA_GOC!$B:$B,DATE($D$2,$B$2,N$4)),0))</f>
        <v>0</v>
      </c>
      <c r="O141" s="251">
        <f>IF(O$4&gt;DAY(EOMONTH(DATE($D$2,$B$2,1),0)),"",IFERROR(SUMIFS(DATA_GOC!$H:$H,DATA_GOC!$A:$A,"BOM",DATA_GOC!$D:$D,$B141,DATA_GOC!$E:$E,"Téc 3",DATA_GOC!$F:$F,"Xuất nội bộ từ téc",DATA_GOC!$B:$B,DATE($D$2,$B$2,O$4)),0))</f>
        <v>0</v>
      </c>
      <c r="P141" s="251">
        <f>IF(P$4&gt;DAY(EOMONTH(DATE($D$2,$B$2,1),0)),"",IFERROR(SUMIFS(DATA_GOC!$H:$H,DATA_GOC!$A:$A,"BOM",DATA_GOC!$D:$D,$B141,DATA_GOC!$E:$E,"Téc 3",DATA_GOC!$F:$F,"Xuất nội bộ từ téc",DATA_GOC!$B:$B,DATE($D$2,$B$2,P$4)),0))</f>
        <v>0</v>
      </c>
      <c r="Q141" s="251">
        <f>IF(Q$4&gt;DAY(EOMONTH(DATE($D$2,$B$2,1),0)),"",IFERROR(SUMIFS(DATA_GOC!$H:$H,DATA_GOC!$A:$A,"BOM",DATA_GOC!$D:$D,$B141,DATA_GOC!$E:$E,"Téc 3",DATA_GOC!$F:$F,"Xuất nội bộ từ téc",DATA_GOC!$B:$B,DATE($D$2,$B$2,Q$4)),0))</f>
        <v>0</v>
      </c>
      <c r="R141" s="251">
        <f>IF(R$4&gt;DAY(EOMONTH(DATE($D$2,$B$2,1),0)),"",IFERROR(SUMIFS(DATA_GOC!$H:$H,DATA_GOC!$A:$A,"BOM",DATA_GOC!$D:$D,$B141,DATA_GOC!$E:$E,"Téc 3",DATA_GOC!$F:$F,"Xuất nội bộ từ téc",DATA_GOC!$B:$B,DATE($D$2,$B$2,R$4)),0))</f>
        <v>0</v>
      </c>
      <c r="S141" s="251">
        <f>IF(S$4&gt;DAY(EOMONTH(DATE($D$2,$B$2,1),0)),"",IFERROR(SUMIFS(DATA_GOC!$H:$H,DATA_GOC!$A:$A,"BOM",DATA_GOC!$D:$D,$B141,DATA_GOC!$E:$E,"Téc 3",DATA_GOC!$F:$F,"Xuất nội bộ từ téc",DATA_GOC!$B:$B,DATE($D$2,$B$2,S$4)),0))</f>
        <v>0</v>
      </c>
      <c r="T141" s="251">
        <f>IF(T$4&gt;DAY(EOMONTH(DATE($D$2,$B$2,1),0)),"",IFERROR(SUMIFS(DATA_GOC!$H:$H,DATA_GOC!$A:$A,"BOM",DATA_GOC!$D:$D,$B141,DATA_GOC!$E:$E,"Téc 3",DATA_GOC!$F:$F,"Xuất nội bộ từ téc",DATA_GOC!$B:$B,DATE($D$2,$B$2,T$4)),0))</f>
        <v>0</v>
      </c>
      <c r="U141" s="251">
        <f>IF(U$4&gt;DAY(EOMONTH(DATE($D$2,$B$2,1),0)),"",IFERROR(SUMIFS(DATA_GOC!$H:$H,DATA_GOC!$A:$A,"BOM",DATA_GOC!$D:$D,$B141,DATA_GOC!$E:$E,"Téc 3",DATA_GOC!$F:$F,"Xuất nội bộ từ téc",DATA_GOC!$B:$B,DATE($D$2,$B$2,U$4)),0))</f>
        <v>0</v>
      </c>
      <c r="V141" s="251">
        <f>IF(V$4&gt;DAY(EOMONTH(DATE($D$2,$B$2,1),0)),"",IFERROR(SUMIFS(DATA_GOC!$H:$H,DATA_GOC!$A:$A,"BOM",DATA_GOC!$D:$D,$B141,DATA_GOC!$E:$E,"Téc 3",DATA_GOC!$F:$F,"Xuất nội bộ từ téc",DATA_GOC!$B:$B,DATE($D$2,$B$2,V$4)),0))</f>
        <v>0</v>
      </c>
      <c r="W141" s="251">
        <f>IF(W$4&gt;DAY(EOMONTH(DATE($D$2,$B$2,1),0)),"",IFERROR(SUMIFS(DATA_GOC!$H:$H,DATA_GOC!$A:$A,"BOM",DATA_GOC!$D:$D,$B141,DATA_GOC!$E:$E,"Téc 3",DATA_GOC!$F:$F,"Xuất nội bộ từ téc",DATA_GOC!$B:$B,DATE($D$2,$B$2,W$4)),0))</f>
        <v>0</v>
      </c>
      <c r="X141" s="251">
        <f>IF(X$4&gt;DAY(EOMONTH(DATE($D$2,$B$2,1),0)),"",IFERROR(SUMIFS(DATA_GOC!$H:$H,DATA_GOC!$A:$A,"BOM",DATA_GOC!$D:$D,$B141,DATA_GOC!$E:$E,"Téc 3",DATA_GOC!$F:$F,"Xuất nội bộ từ téc",DATA_GOC!$B:$B,DATE($D$2,$B$2,X$4)),0))</f>
        <v>0</v>
      </c>
      <c r="Y141" s="251">
        <f>IF(Y$4&gt;DAY(EOMONTH(DATE($D$2,$B$2,1),0)),"",IFERROR(SUMIFS(DATA_GOC!$H:$H,DATA_GOC!$A:$A,"BOM",DATA_GOC!$D:$D,$B141,DATA_GOC!$E:$E,"Téc 3",DATA_GOC!$F:$F,"Xuất nội bộ từ téc",DATA_GOC!$B:$B,DATE($D$2,$B$2,Y$4)),0))</f>
        <v>0</v>
      </c>
      <c r="Z141" s="251">
        <f>IF(Z$4&gt;DAY(EOMONTH(DATE($D$2,$B$2,1),0)),"",IFERROR(SUMIFS(DATA_GOC!$H:$H,DATA_GOC!$A:$A,"BOM",DATA_GOC!$D:$D,$B141,DATA_GOC!$E:$E,"Téc 3",DATA_GOC!$F:$F,"Xuất nội bộ từ téc",DATA_GOC!$B:$B,DATE($D$2,$B$2,Z$4)),0))</f>
        <v>0</v>
      </c>
      <c r="AA141" s="251">
        <f>IF(AA$4&gt;DAY(EOMONTH(DATE($D$2,$B$2,1),0)),"",IFERROR(SUMIFS(DATA_GOC!$H:$H,DATA_GOC!$A:$A,"BOM",DATA_GOC!$D:$D,$B141,DATA_GOC!$E:$E,"Téc 3",DATA_GOC!$F:$F,"Xuất nội bộ từ téc",DATA_GOC!$B:$B,DATE($D$2,$B$2,AA$4)),0))</f>
        <v>0</v>
      </c>
      <c r="AB141" s="251">
        <f>IF(AB$4&gt;DAY(EOMONTH(DATE($D$2,$B$2,1),0)),"",IFERROR(SUMIFS(DATA_GOC!$H:$H,DATA_GOC!$A:$A,"BOM",DATA_GOC!$D:$D,$B141,DATA_GOC!$E:$E,"Téc 3",DATA_GOC!$F:$F,"Xuất nội bộ từ téc",DATA_GOC!$B:$B,DATE($D$2,$B$2,AB$4)),0))</f>
        <v>0</v>
      </c>
      <c r="AC141" s="251">
        <f>IF(AC$4&gt;DAY(EOMONTH(DATE($D$2,$B$2,1),0)),"",IFERROR(SUMIFS(DATA_GOC!$H:$H,DATA_GOC!$A:$A,"BOM",DATA_GOC!$D:$D,$B141,DATA_GOC!$E:$E,"Téc 3",DATA_GOC!$F:$F,"Xuất nội bộ từ téc",DATA_GOC!$B:$B,DATE($D$2,$B$2,AC$4)),0))</f>
        <v>0</v>
      </c>
      <c r="AD141" s="251">
        <f>IF(AD$4&gt;DAY(EOMONTH(DATE($D$2,$B$2,1),0)),"",IFERROR(SUMIFS(DATA_GOC!$H:$H,DATA_GOC!$A:$A,"BOM",DATA_GOC!$D:$D,$B141,DATA_GOC!$E:$E,"Téc 3",DATA_GOC!$F:$F,"Xuất nội bộ từ téc",DATA_GOC!$B:$B,DATE($D$2,$B$2,AD$4)),0))</f>
        <v>0</v>
      </c>
      <c r="AE141" s="251">
        <f>IF(AE$4&gt;DAY(EOMONTH(DATE($D$2,$B$2,1),0)),"",IFERROR(SUMIFS(DATA_GOC!$H:$H,DATA_GOC!$A:$A,"BOM",DATA_GOC!$D:$D,$B141,DATA_GOC!$E:$E,"Téc 3",DATA_GOC!$F:$F,"Xuất nội bộ từ téc",DATA_GOC!$B:$B,DATE($D$2,$B$2,AE$4)),0))</f>
        <v>0</v>
      </c>
      <c r="AF141" s="251">
        <f>IF(AF$4&gt;DAY(EOMONTH(DATE($D$2,$B$2,1),0)),"",IFERROR(SUMIFS(DATA_GOC!$H:$H,DATA_GOC!$A:$A,"BOM",DATA_GOC!$D:$D,$B141,DATA_GOC!$E:$E,"Téc 3",DATA_GOC!$F:$F,"Xuất nội bộ từ téc",DATA_GOC!$B:$B,DATE($D$2,$B$2,AF$4)),0))</f>
        <v>0</v>
      </c>
      <c r="AG141" s="251">
        <f>IF(AG$4&gt;DAY(EOMONTH(DATE($D$2,$B$2,1),0)),"",IFERROR(SUMIFS(DATA_GOC!$H:$H,DATA_GOC!$A:$A,"BOM",DATA_GOC!$D:$D,$B141,DATA_GOC!$E:$E,"Téc 3",DATA_GOC!$F:$F,"Xuất nội bộ từ téc",DATA_GOC!$B:$B,DATE($D$2,$B$2,AG$4)),0))</f>
        <v>0</v>
      </c>
      <c r="AH141" s="252">
        <f t="shared" si="7"/>
        <v>0</v>
      </c>
      <c r="AI141" s="241"/>
      <c r="AJ141" s="242">
        <f>IF($B141="","",SUMIFS(TINH_TEC!$K$233:$K$9232,TINH_TEC!$H$233:$H$9232,$B141,TINH_TEC!$C$233:$C$9232,"Téc 3",TINH_TEC!$F$233:$F$9232,$B$2,TINH_TEC!$G$233:$G$9232,$D$2,TINH_TEC!$B$233:$B$9232,"Đã chốt"))</f>
        <v>0</v>
      </c>
      <c r="AK141" s="242">
        <f>IF($B141="","",SUMIFS(TINH_TEC!$J$233:$J$9232,TINH_TEC!$H$233:$H$9232,$B141,TINH_TEC!$C$233:$C$9232,"Téc 3",TINH_TEC!$F$233:$F$9232,$B$2,TINH_TEC!$G$233:$G$9232,$D$2,TINH_TEC!$B$233:$B$9232,"Đã chốt"))</f>
        <v>0</v>
      </c>
      <c r="AL141" s="242">
        <f t="shared" si="8"/>
        <v>0</v>
      </c>
    </row>
    <row r="142" ht="15.75" customHeight="1">
      <c r="A142" s="237">
        <f>IF($B142&lt;&gt;"",15,"")</f>
        <v>15</v>
      </c>
      <c r="B142" s="250" t="str">
        <f t="array" ref="B142">IFERROR(INDEX(DANH_MUC!$E:$E,18),"")</f>
        <v>28C02770</v>
      </c>
      <c r="C142" s="251">
        <f>IF(C$4&gt;DAY(EOMONTH(DATE($D$2,$B$2,1),0)),"",IFERROR(SUMIFS(DATA_GOC!$H:$H,DATA_GOC!$A:$A,"BOM",DATA_GOC!$D:$D,$B142,DATA_GOC!$E:$E,"Téc 3",DATA_GOC!$F:$F,"Xuất nội bộ từ téc",DATA_GOC!$B:$B,DATE($D$2,$B$2,C$4)),0))</f>
        <v>0</v>
      </c>
      <c r="D142" s="251">
        <f>IF(D$4&gt;DAY(EOMONTH(DATE($D$2,$B$2,1),0)),"",IFERROR(SUMIFS(DATA_GOC!$H:$H,DATA_GOC!$A:$A,"BOM",DATA_GOC!$D:$D,$B142,DATA_GOC!$E:$E,"Téc 3",DATA_GOC!$F:$F,"Xuất nội bộ từ téc",DATA_GOC!$B:$B,DATE($D$2,$B$2,D$4)),0))</f>
        <v>0</v>
      </c>
      <c r="E142" s="251">
        <f>IF(E$4&gt;DAY(EOMONTH(DATE($D$2,$B$2,1),0)),"",IFERROR(SUMIFS(DATA_GOC!$H:$H,DATA_GOC!$A:$A,"BOM",DATA_GOC!$D:$D,$B142,DATA_GOC!$E:$E,"Téc 3",DATA_GOC!$F:$F,"Xuất nội bộ từ téc",DATA_GOC!$B:$B,DATE($D$2,$B$2,E$4)),0))</f>
        <v>0</v>
      </c>
      <c r="F142" s="251">
        <f>IF(F$4&gt;DAY(EOMONTH(DATE($D$2,$B$2,1),0)),"",IFERROR(SUMIFS(DATA_GOC!$H:$H,DATA_GOC!$A:$A,"BOM",DATA_GOC!$D:$D,$B142,DATA_GOC!$E:$E,"Téc 3",DATA_GOC!$F:$F,"Xuất nội bộ từ téc",DATA_GOC!$B:$B,DATE($D$2,$B$2,F$4)),0))</f>
        <v>0</v>
      </c>
      <c r="G142" s="251">
        <f>IF(G$4&gt;DAY(EOMONTH(DATE($D$2,$B$2,1),0)),"",IFERROR(SUMIFS(DATA_GOC!$H:$H,DATA_GOC!$A:$A,"BOM",DATA_GOC!$D:$D,$B142,DATA_GOC!$E:$E,"Téc 3",DATA_GOC!$F:$F,"Xuất nội bộ từ téc",DATA_GOC!$B:$B,DATE($D$2,$B$2,G$4)),0))</f>
        <v>0</v>
      </c>
      <c r="H142" s="251">
        <f>IF(H$4&gt;DAY(EOMONTH(DATE($D$2,$B$2,1),0)),"",IFERROR(SUMIFS(DATA_GOC!$H:$H,DATA_GOC!$A:$A,"BOM",DATA_GOC!$D:$D,$B142,DATA_GOC!$E:$E,"Téc 3",DATA_GOC!$F:$F,"Xuất nội bộ từ téc",DATA_GOC!$B:$B,DATE($D$2,$B$2,H$4)),0))</f>
        <v>0</v>
      </c>
      <c r="I142" s="251">
        <f>IF(I$4&gt;DAY(EOMONTH(DATE($D$2,$B$2,1),0)),"",IFERROR(SUMIFS(DATA_GOC!$H:$H,DATA_GOC!$A:$A,"BOM",DATA_GOC!$D:$D,$B142,DATA_GOC!$E:$E,"Téc 3",DATA_GOC!$F:$F,"Xuất nội bộ từ téc",DATA_GOC!$B:$B,DATE($D$2,$B$2,I$4)),0))</f>
        <v>0</v>
      </c>
      <c r="J142" s="251">
        <f>IF(J$4&gt;DAY(EOMONTH(DATE($D$2,$B$2,1),0)),"",IFERROR(SUMIFS(DATA_GOC!$H:$H,DATA_GOC!$A:$A,"BOM",DATA_GOC!$D:$D,$B142,DATA_GOC!$E:$E,"Téc 3",DATA_GOC!$F:$F,"Xuất nội bộ từ téc",DATA_GOC!$B:$B,DATE($D$2,$B$2,J$4)),0))</f>
        <v>0</v>
      </c>
      <c r="K142" s="251">
        <f>IF(K$4&gt;DAY(EOMONTH(DATE($D$2,$B$2,1),0)),"",IFERROR(SUMIFS(DATA_GOC!$H:$H,DATA_GOC!$A:$A,"BOM",DATA_GOC!$D:$D,$B142,DATA_GOC!$E:$E,"Téc 3",DATA_GOC!$F:$F,"Xuất nội bộ từ téc",DATA_GOC!$B:$B,DATE($D$2,$B$2,K$4)),0))</f>
        <v>0</v>
      </c>
      <c r="L142" s="251">
        <f>IF(L$4&gt;DAY(EOMONTH(DATE($D$2,$B$2,1),0)),"",IFERROR(SUMIFS(DATA_GOC!$H:$H,DATA_GOC!$A:$A,"BOM",DATA_GOC!$D:$D,$B142,DATA_GOC!$E:$E,"Téc 3",DATA_GOC!$F:$F,"Xuất nội bộ từ téc",DATA_GOC!$B:$B,DATE($D$2,$B$2,L$4)),0))</f>
        <v>0</v>
      </c>
      <c r="M142" s="251">
        <f>IF(M$4&gt;DAY(EOMONTH(DATE($D$2,$B$2,1),0)),"",IFERROR(SUMIFS(DATA_GOC!$H:$H,DATA_GOC!$A:$A,"BOM",DATA_GOC!$D:$D,$B142,DATA_GOC!$E:$E,"Téc 3",DATA_GOC!$F:$F,"Xuất nội bộ từ téc",DATA_GOC!$B:$B,DATE($D$2,$B$2,M$4)),0))</f>
        <v>0</v>
      </c>
      <c r="N142" s="251">
        <f>IF(N$4&gt;DAY(EOMONTH(DATE($D$2,$B$2,1),0)),"",IFERROR(SUMIFS(DATA_GOC!$H:$H,DATA_GOC!$A:$A,"BOM",DATA_GOC!$D:$D,$B142,DATA_GOC!$E:$E,"Téc 3",DATA_GOC!$F:$F,"Xuất nội bộ từ téc",DATA_GOC!$B:$B,DATE($D$2,$B$2,N$4)),0))</f>
        <v>0</v>
      </c>
      <c r="O142" s="251">
        <f>IF(O$4&gt;DAY(EOMONTH(DATE($D$2,$B$2,1),0)),"",IFERROR(SUMIFS(DATA_GOC!$H:$H,DATA_GOC!$A:$A,"BOM",DATA_GOC!$D:$D,$B142,DATA_GOC!$E:$E,"Téc 3",DATA_GOC!$F:$F,"Xuất nội bộ từ téc",DATA_GOC!$B:$B,DATE($D$2,$B$2,O$4)),0))</f>
        <v>0</v>
      </c>
      <c r="P142" s="251">
        <f>IF(P$4&gt;DAY(EOMONTH(DATE($D$2,$B$2,1),0)),"",IFERROR(SUMIFS(DATA_GOC!$H:$H,DATA_GOC!$A:$A,"BOM",DATA_GOC!$D:$D,$B142,DATA_GOC!$E:$E,"Téc 3",DATA_GOC!$F:$F,"Xuất nội bộ từ téc",DATA_GOC!$B:$B,DATE($D$2,$B$2,P$4)),0))</f>
        <v>0</v>
      </c>
      <c r="Q142" s="251">
        <f>IF(Q$4&gt;DAY(EOMONTH(DATE($D$2,$B$2,1),0)),"",IFERROR(SUMIFS(DATA_GOC!$H:$H,DATA_GOC!$A:$A,"BOM",DATA_GOC!$D:$D,$B142,DATA_GOC!$E:$E,"Téc 3",DATA_GOC!$F:$F,"Xuất nội bộ từ téc",DATA_GOC!$B:$B,DATE($D$2,$B$2,Q$4)),0))</f>
        <v>0</v>
      </c>
      <c r="R142" s="251">
        <f>IF(R$4&gt;DAY(EOMONTH(DATE($D$2,$B$2,1),0)),"",IFERROR(SUMIFS(DATA_GOC!$H:$H,DATA_GOC!$A:$A,"BOM",DATA_GOC!$D:$D,$B142,DATA_GOC!$E:$E,"Téc 3",DATA_GOC!$F:$F,"Xuất nội bộ từ téc",DATA_GOC!$B:$B,DATE($D$2,$B$2,R$4)),0))</f>
        <v>0</v>
      </c>
      <c r="S142" s="251">
        <f>IF(S$4&gt;DAY(EOMONTH(DATE($D$2,$B$2,1),0)),"",IFERROR(SUMIFS(DATA_GOC!$H:$H,DATA_GOC!$A:$A,"BOM",DATA_GOC!$D:$D,$B142,DATA_GOC!$E:$E,"Téc 3",DATA_GOC!$F:$F,"Xuất nội bộ từ téc",DATA_GOC!$B:$B,DATE($D$2,$B$2,S$4)),0))</f>
        <v>0</v>
      </c>
      <c r="T142" s="251">
        <f>IF(T$4&gt;DAY(EOMONTH(DATE($D$2,$B$2,1),0)),"",IFERROR(SUMIFS(DATA_GOC!$H:$H,DATA_GOC!$A:$A,"BOM",DATA_GOC!$D:$D,$B142,DATA_GOC!$E:$E,"Téc 3",DATA_GOC!$F:$F,"Xuất nội bộ từ téc",DATA_GOC!$B:$B,DATE($D$2,$B$2,T$4)),0))</f>
        <v>0</v>
      </c>
      <c r="U142" s="251">
        <f>IF(U$4&gt;DAY(EOMONTH(DATE($D$2,$B$2,1),0)),"",IFERROR(SUMIFS(DATA_GOC!$H:$H,DATA_GOC!$A:$A,"BOM",DATA_GOC!$D:$D,$B142,DATA_GOC!$E:$E,"Téc 3",DATA_GOC!$F:$F,"Xuất nội bộ từ téc",DATA_GOC!$B:$B,DATE($D$2,$B$2,U$4)),0))</f>
        <v>0</v>
      </c>
      <c r="V142" s="251">
        <f>IF(V$4&gt;DAY(EOMONTH(DATE($D$2,$B$2,1),0)),"",IFERROR(SUMIFS(DATA_GOC!$H:$H,DATA_GOC!$A:$A,"BOM",DATA_GOC!$D:$D,$B142,DATA_GOC!$E:$E,"Téc 3",DATA_GOC!$F:$F,"Xuất nội bộ từ téc",DATA_GOC!$B:$B,DATE($D$2,$B$2,V$4)),0))</f>
        <v>0</v>
      </c>
      <c r="W142" s="251">
        <f>IF(W$4&gt;DAY(EOMONTH(DATE($D$2,$B$2,1),0)),"",IFERROR(SUMIFS(DATA_GOC!$H:$H,DATA_GOC!$A:$A,"BOM",DATA_GOC!$D:$D,$B142,DATA_GOC!$E:$E,"Téc 3",DATA_GOC!$F:$F,"Xuất nội bộ từ téc",DATA_GOC!$B:$B,DATE($D$2,$B$2,W$4)),0))</f>
        <v>0</v>
      </c>
      <c r="X142" s="251">
        <f>IF(X$4&gt;DAY(EOMONTH(DATE($D$2,$B$2,1),0)),"",IFERROR(SUMIFS(DATA_GOC!$H:$H,DATA_GOC!$A:$A,"BOM",DATA_GOC!$D:$D,$B142,DATA_GOC!$E:$E,"Téc 3",DATA_GOC!$F:$F,"Xuất nội bộ từ téc",DATA_GOC!$B:$B,DATE($D$2,$B$2,X$4)),0))</f>
        <v>0</v>
      </c>
      <c r="Y142" s="251">
        <f>IF(Y$4&gt;DAY(EOMONTH(DATE($D$2,$B$2,1),0)),"",IFERROR(SUMIFS(DATA_GOC!$H:$H,DATA_GOC!$A:$A,"BOM",DATA_GOC!$D:$D,$B142,DATA_GOC!$E:$E,"Téc 3",DATA_GOC!$F:$F,"Xuất nội bộ từ téc",DATA_GOC!$B:$B,DATE($D$2,$B$2,Y$4)),0))</f>
        <v>0</v>
      </c>
      <c r="Z142" s="251">
        <f>IF(Z$4&gt;DAY(EOMONTH(DATE($D$2,$B$2,1),0)),"",IFERROR(SUMIFS(DATA_GOC!$H:$H,DATA_GOC!$A:$A,"BOM",DATA_GOC!$D:$D,$B142,DATA_GOC!$E:$E,"Téc 3",DATA_GOC!$F:$F,"Xuất nội bộ từ téc",DATA_GOC!$B:$B,DATE($D$2,$B$2,Z$4)),0))</f>
        <v>0</v>
      </c>
      <c r="AA142" s="251">
        <f>IF(AA$4&gt;DAY(EOMONTH(DATE($D$2,$B$2,1),0)),"",IFERROR(SUMIFS(DATA_GOC!$H:$H,DATA_GOC!$A:$A,"BOM",DATA_GOC!$D:$D,$B142,DATA_GOC!$E:$E,"Téc 3",DATA_GOC!$F:$F,"Xuất nội bộ từ téc",DATA_GOC!$B:$B,DATE($D$2,$B$2,AA$4)),0))</f>
        <v>0</v>
      </c>
      <c r="AB142" s="251">
        <f>IF(AB$4&gt;DAY(EOMONTH(DATE($D$2,$B$2,1),0)),"",IFERROR(SUMIFS(DATA_GOC!$H:$H,DATA_GOC!$A:$A,"BOM",DATA_GOC!$D:$D,$B142,DATA_GOC!$E:$E,"Téc 3",DATA_GOC!$F:$F,"Xuất nội bộ từ téc",DATA_GOC!$B:$B,DATE($D$2,$B$2,AB$4)),0))</f>
        <v>0</v>
      </c>
      <c r="AC142" s="251">
        <f>IF(AC$4&gt;DAY(EOMONTH(DATE($D$2,$B$2,1),0)),"",IFERROR(SUMIFS(DATA_GOC!$H:$H,DATA_GOC!$A:$A,"BOM",DATA_GOC!$D:$D,$B142,DATA_GOC!$E:$E,"Téc 3",DATA_GOC!$F:$F,"Xuất nội bộ từ téc",DATA_GOC!$B:$B,DATE($D$2,$B$2,AC$4)),0))</f>
        <v>0</v>
      </c>
      <c r="AD142" s="251">
        <f>IF(AD$4&gt;DAY(EOMONTH(DATE($D$2,$B$2,1),0)),"",IFERROR(SUMIFS(DATA_GOC!$H:$H,DATA_GOC!$A:$A,"BOM",DATA_GOC!$D:$D,$B142,DATA_GOC!$E:$E,"Téc 3",DATA_GOC!$F:$F,"Xuất nội bộ từ téc",DATA_GOC!$B:$B,DATE($D$2,$B$2,AD$4)),0))</f>
        <v>0</v>
      </c>
      <c r="AE142" s="251">
        <f>IF(AE$4&gt;DAY(EOMONTH(DATE($D$2,$B$2,1),0)),"",IFERROR(SUMIFS(DATA_GOC!$H:$H,DATA_GOC!$A:$A,"BOM",DATA_GOC!$D:$D,$B142,DATA_GOC!$E:$E,"Téc 3",DATA_GOC!$F:$F,"Xuất nội bộ từ téc",DATA_GOC!$B:$B,DATE($D$2,$B$2,AE$4)),0))</f>
        <v>0</v>
      </c>
      <c r="AF142" s="251">
        <f>IF(AF$4&gt;DAY(EOMONTH(DATE($D$2,$B$2,1),0)),"",IFERROR(SUMIFS(DATA_GOC!$H:$H,DATA_GOC!$A:$A,"BOM",DATA_GOC!$D:$D,$B142,DATA_GOC!$E:$E,"Téc 3",DATA_GOC!$F:$F,"Xuất nội bộ từ téc",DATA_GOC!$B:$B,DATE($D$2,$B$2,AF$4)),0))</f>
        <v>0</v>
      </c>
      <c r="AG142" s="251">
        <f>IF(AG$4&gt;DAY(EOMONTH(DATE($D$2,$B$2,1),0)),"",IFERROR(SUMIFS(DATA_GOC!$H:$H,DATA_GOC!$A:$A,"BOM",DATA_GOC!$D:$D,$B142,DATA_GOC!$E:$E,"Téc 3",DATA_GOC!$F:$F,"Xuất nội bộ từ téc",DATA_GOC!$B:$B,DATE($D$2,$B$2,AG$4)),0))</f>
        <v>0</v>
      </c>
      <c r="AH142" s="252">
        <f t="shared" si="7"/>
        <v>0</v>
      </c>
      <c r="AI142" s="241"/>
      <c r="AJ142" s="242">
        <f>IF($B142="","",SUMIFS(TINH_TEC!$K$233:$K$9232,TINH_TEC!$H$233:$H$9232,$B142,TINH_TEC!$C$233:$C$9232,"Téc 3",TINH_TEC!$F$233:$F$9232,$B$2,TINH_TEC!$G$233:$G$9232,$D$2,TINH_TEC!$B$233:$B$9232,"Đã chốt"))</f>
        <v>0</v>
      </c>
      <c r="AK142" s="242">
        <f>IF($B142="","",SUMIFS(TINH_TEC!$J$233:$J$9232,TINH_TEC!$H$233:$H$9232,$B142,TINH_TEC!$C$233:$C$9232,"Téc 3",TINH_TEC!$F$233:$F$9232,$B$2,TINH_TEC!$G$233:$G$9232,$D$2,TINH_TEC!$B$233:$B$9232,"Đã chốt"))</f>
        <v>0</v>
      </c>
      <c r="AL142" s="242">
        <f t="shared" si="8"/>
        <v>0</v>
      </c>
    </row>
    <row r="143" ht="15.75" customHeight="1">
      <c r="A143" s="237">
        <f>IF($B143&lt;&gt;"",16,"")</f>
        <v>16</v>
      </c>
      <c r="B143" s="250" t="str">
        <f t="array" ref="B143">IFERROR(INDEX(DANH_MUC!$E:$E,19),"")</f>
        <v>28C02986</v>
      </c>
      <c r="C143" s="251">
        <f>IF(C$4&gt;DAY(EOMONTH(DATE($D$2,$B$2,1),0)),"",IFERROR(SUMIFS(DATA_GOC!$H:$H,DATA_GOC!$A:$A,"BOM",DATA_GOC!$D:$D,$B143,DATA_GOC!$E:$E,"Téc 3",DATA_GOC!$F:$F,"Xuất nội bộ từ téc",DATA_GOC!$B:$B,DATE($D$2,$B$2,C$4)),0))</f>
        <v>0</v>
      </c>
      <c r="D143" s="251">
        <f>IF(D$4&gt;DAY(EOMONTH(DATE($D$2,$B$2,1),0)),"",IFERROR(SUMIFS(DATA_GOC!$H:$H,DATA_GOC!$A:$A,"BOM",DATA_GOC!$D:$D,$B143,DATA_GOC!$E:$E,"Téc 3",DATA_GOC!$F:$F,"Xuất nội bộ từ téc",DATA_GOC!$B:$B,DATE($D$2,$B$2,D$4)),0))</f>
        <v>0</v>
      </c>
      <c r="E143" s="251">
        <f>IF(E$4&gt;DAY(EOMONTH(DATE($D$2,$B$2,1),0)),"",IFERROR(SUMIFS(DATA_GOC!$H:$H,DATA_GOC!$A:$A,"BOM",DATA_GOC!$D:$D,$B143,DATA_GOC!$E:$E,"Téc 3",DATA_GOC!$F:$F,"Xuất nội bộ từ téc",DATA_GOC!$B:$B,DATE($D$2,$B$2,E$4)),0))</f>
        <v>0</v>
      </c>
      <c r="F143" s="251">
        <f>IF(F$4&gt;DAY(EOMONTH(DATE($D$2,$B$2,1),0)),"",IFERROR(SUMIFS(DATA_GOC!$H:$H,DATA_GOC!$A:$A,"BOM",DATA_GOC!$D:$D,$B143,DATA_GOC!$E:$E,"Téc 3",DATA_GOC!$F:$F,"Xuất nội bộ từ téc",DATA_GOC!$B:$B,DATE($D$2,$B$2,F$4)),0))</f>
        <v>0</v>
      </c>
      <c r="G143" s="251">
        <f>IF(G$4&gt;DAY(EOMONTH(DATE($D$2,$B$2,1),0)),"",IFERROR(SUMIFS(DATA_GOC!$H:$H,DATA_GOC!$A:$A,"BOM",DATA_GOC!$D:$D,$B143,DATA_GOC!$E:$E,"Téc 3",DATA_GOC!$F:$F,"Xuất nội bộ từ téc",DATA_GOC!$B:$B,DATE($D$2,$B$2,G$4)),0))</f>
        <v>0</v>
      </c>
      <c r="H143" s="251">
        <f>IF(H$4&gt;DAY(EOMONTH(DATE($D$2,$B$2,1),0)),"",IFERROR(SUMIFS(DATA_GOC!$H:$H,DATA_GOC!$A:$A,"BOM",DATA_GOC!$D:$D,$B143,DATA_GOC!$E:$E,"Téc 3",DATA_GOC!$F:$F,"Xuất nội bộ từ téc",DATA_GOC!$B:$B,DATE($D$2,$B$2,H$4)),0))</f>
        <v>0</v>
      </c>
      <c r="I143" s="251">
        <f>IF(I$4&gt;DAY(EOMONTH(DATE($D$2,$B$2,1),0)),"",IFERROR(SUMIFS(DATA_GOC!$H:$H,DATA_GOC!$A:$A,"BOM",DATA_GOC!$D:$D,$B143,DATA_GOC!$E:$E,"Téc 3",DATA_GOC!$F:$F,"Xuất nội bộ từ téc",DATA_GOC!$B:$B,DATE($D$2,$B$2,I$4)),0))</f>
        <v>0</v>
      </c>
      <c r="J143" s="251">
        <f>IF(J$4&gt;DAY(EOMONTH(DATE($D$2,$B$2,1),0)),"",IFERROR(SUMIFS(DATA_GOC!$H:$H,DATA_GOC!$A:$A,"BOM",DATA_GOC!$D:$D,$B143,DATA_GOC!$E:$E,"Téc 3",DATA_GOC!$F:$F,"Xuất nội bộ từ téc",DATA_GOC!$B:$B,DATE($D$2,$B$2,J$4)),0))</f>
        <v>0</v>
      </c>
      <c r="K143" s="251">
        <f>IF(K$4&gt;DAY(EOMONTH(DATE($D$2,$B$2,1),0)),"",IFERROR(SUMIFS(DATA_GOC!$H:$H,DATA_GOC!$A:$A,"BOM",DATA_GOC!$D:$D,$B143,DATA_GOC!$E:$E,"Téc 3",DATA_GOC!$F:$F,"Xuất nội bộ từ téc",DATA_GOC!$B:$B,DATE($D$2,$B$2,K$4)),0))</f>
        <v>0</v>
      </c>
      <c r="L143" s="251">
        <f>IF(L$4&gt;DAY(EOMONTH(DATE($D$2,$B$2,1),0)),"",IFERROR(SUMIFS(DATA_GOC!$H:$H,DATA_GOC!$A:$A,"BOM",DATA_GOC!$D:$D,$B143,DATA_GOC!$E:$E,"Téc 3",DATA_GOC!$F:$F,"Xuất nội bộ từ téc",DATA_GOC!$B:$B,DATE($D$2,$B$2,L$4)),0))</f>
        <v>0</v>
      </c>
      <c r="M143" s="251">
        <f>IF(M$4&gt;DAY(EOMONTH(DATE($D$2,$B$2,1),0)),"",IFERROR(SUMIFS(DATA_GOC!$H:$H,DATA_GOC!$A:$A,"BOM",DATA_GOC!$D:$D,$B143,DATA_GOC!$E:$E,"Téc 3",DATA_GOC!$F:$F,"Xuất nội bộ từ téc",DATA_GOC!$B:$B,DATE($D$2,$B$2,M$4)),0))</f>
        <v>0</v>
      </c>
      <c r="N143" s="251">
        <f>IF(N$4&gt;DAY(EOMONTH(DATE($D$2,$B$2,1),0)),"",IFERROR(SUMIFS(DATA_GOC!$H:$H,DATA_GOC!$A:$A,"BOM",DATA_GOC!$D:$D,$B143,DATA_GOC!$E:$E,"Téc 3",DATA_GOC!$F:$F,"Xuất nội bộ từ téc",DATA_GOC!$B:$B,DATE($D$2,$B$2,N$4)),0))</f>
        <v>0</v>
      </c>
      <c r="O143" s="251">
        <f>IF(O$4&gt;DAY(EOMONTH(DATE($D$2,$B$2,1),0)),"",IFERROR(SUMIFS(DATA_GOC!$H:$H,DATA_GOC!$A:$A,"BOM",DATA_GOC!$D:$D,$B143,DATA_GOC!$E:$E,"Téc 3",DATA_GOC!$F:$F,"Xuất nội bộ từ téc",DATA_GOC!$B:$B,DATE($D$2,$B$2,O$4)),0))</f>
        <v>0</v>
      </c>
      <c r="P143" s="251">
        <f>IF(P$4&gt;DAY(EOMONTH(DATE($D$2,$B$2,1),0)),"",IFERROR(SUMIFS(DATA_GOC!$H:$H,DATA_GOC!$A:$A,"BOM",DATA_GOC!$D:$D,$B143,DATA_GOC!$E:$E,"Téc 3",DATA_GOC!$F:$F,"Xuất nội bộ từ téc",DATA_GOC!$B:$B,DATE($D$2,$B$2,P$4)),0))</f>
        <v>0</v>
      </c>
      <c r="Q143" s="251">
        <f>IF(Q$4&gt;DAY(EOMONTH(DATE($D$2,$B$2,1),0)),"",IFERROR(SUMIFS(DATA_GOC!$H:$H,DATA_GOC!$A:$A,"BOM",DATA_GOC!$D:$D,$B143,DATA_GOC!$E:$E,"Téc 3",DATA_GOC!$F:$F,"Xuất nội bộ từ téc",DATA_GOC!$B:$B,DATE($D$2,$B$2,Q$4)),0))</f>
        <v>0</v>
      </c>
      <c r="R143" s="251">
        <f>IF(R$4&gt;DAY(EOMONTH(DATE($D$2,$B$2,1),0)),"",IFERROR(SUMIFS(DATA_GOC!$H:$H,DATA_GOC!$A:$A,"BOM",DATA_GOC!$D:$D,$B143,DATA_GOC!$E:$E,"Téc 3",DATA_GOC!$F:$F,"Xuất nội bộ từ téc",DATA_GOC!$B:$B,DATE($D$2,$B$2,R$4)),0))</f>
        <v>0</v>
      </c>
      <c r="S143" s="251">
        <f>IF(S$4&gt;DAY(EOMONTH(DATE($D$2,$B$2,1),0)),"",IFERROR(SUMIFS(DATA_GOC!$H:$H,DATA_GOC!$A:$A,"BOM",DATA_GOC!$D:$D,$B143,DATA_GOC!$E:$E,"Téc 3",DATA_GOC!$F:$F,"Xuất nội bộ từ téc",DATA_GOC!$B:$B,DATE($D$2,$B$2,S$4)),0))</f>
        <v>0</v>
      </c>
      <c r="T143" s="251">
        <f>IF(T$4&gt;DAY(EOMONTH(DATE($D$2,$B$2,1),0)),"",IFERROR(SUMIFS(DATA_GOC!$H:$H,DATA_GOC!$A:$A,"BOM",DATA_GOC!$D:$D,$B143,DATA_GOC!$E:$E,"Téc 3",DATA_GOC!$F:$F,"Xuất nội bộ từ téc",DATA_GOC!$B:$B,DATE($D$2,$B$2,T$4)),0))</f>
        <v>0</v>
      </c>
      <c r="U143" s="251">
        <f>IF(U$4&gt;DAY(EOMONTH(DATE($D$2,$B$2,1),0)),"",IFERROR(SUMIFS(DATA_GOC!$H:$H,DATA_GOC!$A:$A,"BOM",DATA_GOC!$D:$D,$B143,DATA_GOC!$E:$E,"Téc 3",DATA_GOC!$F:$F,"Xuất nội bộ từ téc",DATA_GOC!$B:$B,DATE($D$2,$B$2,U$4)),0))</f>
        <v>0</v>
      </c>
      <c r="V143" s="251">
        <f>IF(V$4&gt;DAY(EOMONTH(DATE($D$2,$B$2,1),0)),"",IFERROR(SUMIFS(DATA_GOC!$H:$H,DATA_GOC!$A:$A,"BOM",DATA_GOC!$D:$D,$B143,DATA_GOC!$E:$E,"Téc 3",DATA_GOC!$F:$F,"Xuất nội bộ từ téc",DATA_GOC!$B:$B,DATE($D$2,$B$2,V$4)),0))</f>
        <v>0</v>
      </c>
      <c r="W143" s="251">
        <f>IF(W$4&gt;DAY(EOMONTH(DATE($D$2,$B$2,1),0)),"",IFERROR(SUMIFS(DATA_GOC!$H:$H,DATA_GOC!$A:$A,"BOM",DATA_GOC!$D:$D,$B143,DATA_GOC!$E:$E,"Téc 3",DATA_GOC!$F:$F,"Xuất nội bộ từ téc",DATA_GOC!$B:$B,DATE($D$2,$B$2,W$4)),0))</f>
        <v>0</v>
      </c>
      <c r="X143" s="251">
        <f>IF(X$4&gt;DAY(EOMONTH(DATE($D$2,$B$2,1),0)),"",IFERROR(SUMIFS(DATA_GOC!$H:$H,DATA_GOC!$A:$A,"BOM",DATA_GOC!$D:$D,$B143,DATA_GOC!$E:$E,"Téc 3",DATA_GOC!$F:$F,"Xuất nội bộ từ téc",DATA_GOC!$B:$B,DATE($D$2,$B$2,X$4)),0))</f>
        <v>0</v>
      </c>
      <c r="Y143" s="251">
        <f>IF(Y$4&gt;DAY(EOMONTH(DATE($D$2,$B$2,1),0)),"",IFERROR(SUMIFS(DATA_GOC!$H:$H,DATA_GOC!$A:$A,"BOM",DATA_GOC!$D:$D,$B143,DATA_GOC!$E:$E,"Téc 3",DATA_GOC!$F:$F,"Xuất nội bộ từ téc",DATA_GOC!$B:$B,DATE($D$2,$B$2,Y$4)),0))</f>
        <v>0</v>
      </c>
      <c r="Z143" s="251">
        <f>IF(Z$4&gt;DAY(EOMONTH(DATE($D$2,$B$2,1),0)),"",IFERROR(SUMIFS(DATA_GOC!$H:$H,DATA_GOC!$A:$A,"BOM",DATA_GOC!$D:$D,$B143,DATA_GOC!$E:$E,"Téc 3",DATA_GOC!$F:$F,"Xuất nội bộ từ téc",DATA_GOC!$B:$B,DATE($D$2,$B$2,Z$4)),0))</f>
        <v>0</v>
      </c>
      <c r="AA143" s="251">
        <f>IF(AA$4&gt;DAY(EOMONTH(DATE($D$2,$B$2,1),0)),"",IFERROR(SUMIFS(DATA_GOC!$H:$H,DATA_GOC!$A:$A,"BOM",DATA_GOC!$D:$D,$B143,DATA_GOC!$E:$E,"Téc 3",DATA_GOC!$F:$F,"Xuất nội bộ từ téc",DATA_GOC!$B:$B,DATE($D$2,$B$2,AA$4)),0))</f>
        <v>0</v>
      </c>
      <c r="AB143" s="251">
        <f>IF(AB$4&gt;DAY(EOMONTH(DATE($D$2,$B$2,1),0)),"",IFERROR(SUMIFS(DATA_GOC!$H:$H,DATA_GOC!$A:$A,"BOM",DATA_GOC!$D:$D,$B143,DATA_GOC!$E:$E,"Téc 3",DATA_GOC!$F:$F,"Xuất nội bộ từ téc",DATA_GOC!$B:$B,DATE($D$2,$B$2,AB$4)),0))</f>
        <v>0</v>
      </c>
      <c r="AC143" s="251">
        <f>IF(AC$4&gt;DAY(EOMONTH(DATE($D$2,$B$2,1),0)),"",IFERROR(SUMIFS(DATA_GOC!$H:$H,DATA_GOC!$A:$A,"BOM",DATA_GOC!$D:$D,$B143,DATA_GOC!$E:$E,"Téc 3",DATA_GOC!$F:$F,"Xuất nội bộ từ téc",DATA_GOC!$B:$B,DATE($D$2,$B$2,AC$4)),0))</f>
        <v>0</v>
      </c>
      <c r="AD143" s="251">
        <f>IF(AD$4&gt;DAY(EOMONTH(DATE($D$2,$B$2,1),0)),"",IFERROR(SUMIFS(DATA_GOC!$H:$H,DATA_GOC!$A:$A,"BOM",DATA_GOC!$D:$D,$B143,DATA_GOC!$E:$E,"Téc 3",DATA_GOC!$F:$F,"Xuất nội bộ từ téc",DATA_GOC!$B:$B,DATE($D$2,$B$2,AD$4)),0))</f>
        <v>0</v>
      </c>
      <c r="AE143" s="251">
        <f>IF(AE$4&gt;DAY(EOMONTH(DATE($D$2,$B$2,1),0)),"",IFERROR(SUMIFS(DATA_GOC!$H:$H,DATA_GOC!$A:$A,"BOM",DATA_GOC!$D:$D,$B143,DATA_GOC!$E:$E,"Téc 3",DATA_GOC!$F:$F,"Xuất nội bộ từ téc",DATA_GOC!$B:$B,DATE($D$2,$B$2,AE$4)),0))</f>
        <v>0</v>
      </c>
      <c r="AF143" s="251">
        <f>IF(AF$4&gt;DAY(EOMONTH(DATE($D$2,$B$2,1),0)),"",IFERROR(SUMIFS(DATA_GOC!$H:$H,DATA_GOC!$A:$A,"BOM",DATA_GOC!$D:$D,$B143,DATA_GOC!$E:$E,"Téc 3",DATA_GOC!$F:$F,"Xuất nội bộ từ téc",DATA_GOC!$B:$B,DATE($D$2,$B$2,AF$4)),0))</f>
        <v>0</v>
      </c>
      <c r="AG143" s="251">
        <f>IF(AG$4&gt;DAY(EOMONTH(DATE($D$2,$B$2,1),0)),"",IFERROR(SUMIFS(DATA_GOC!$H:$H,DATA_GOC!$A:$A,"BOM",DATA_GOC!$D:$D,$B143,DATA_GOC!$E:$E,"Téc 3",DATA_GOC!$F:$F,"Xuất nội bộ từ téc",DATA_GOC!$B:$B,DATE($D$2,$B$2,AG$4)),0))</f>
        <v>0</v>
      </c>
      <c r="AH143" s="252">
        <f t="shared" si="7"/>
        <v>0</v>
      </c>
      <c r="AI143" s="241"/>
      <c r="AJ143" s="242">
        <f>IF($B143="","",SUMIFS(TINH_TEC!$K$233:$K$9232,TINH_TEC!$H$233:$H$9232,$B143,TINH_TEC!$C$233:$C$9232,"Téc 3",TINH_TEC!$F$233:$F$9232,$B$2,TINH_TEC!$G$233:$G$9232,$D$2,TINH_TEC!$B$233:$B$9232,"Đã chốt"))</f>
        <v>0</v>
      </c>
      <c r="AK143" s="242">
        <f>IF($B143="","",SUMIFS(TINH_TEC!$J$233:$J$9232,TINH_TEC!$H$233:$H$9232,$B143,TINH_TEC!$C$233:$C$9232,"Téc 3",TINH_TEC!$F$233:$F$9232,$B$2,TINH_TEC!$G$233:$G$9232,$D$2,TINH_TEC!$B$233:$B$9232,"Đã chốt"))</f>
        <v>0</v>
      </c>
      <c r="AL143" s="242">
        <f t="shared" si="8"/>
        <v>0</v>
      </c>
    </row>
    <row r="144" ht="15.75" customHeight="1">
      <c r="A144" s="237">
        <f>IF($B144&lt;&gt;"",17,"")</f>
        <v>17</v>
      </c>
      <c r="B144" s="250" t="str">
        <f t="array" ref="B144">IFERROR(INDEX(DANH_MUC!$E:$E,20),"")</f>
        <v>28C03261</v>
      </c>
      <c r="C144" s="251">
        <f>IF(C$4&gt;DAY(EOMONTH(DATE($D$2,$B$2,1),0)),"",IFERROR(SUMIFS(DATA_GOC!$H:$H,DATA_GOC!$A:$A,"BOM",DATA_GOC!$D:$D,$B144,DATA_GOC!$E:$E,"Téc 3",DATA_GOC!$F:$F,"Xuất nội bộ từ téc",DATA_GOC!$B:$B,DATE($D$2,$B$2,C$4)),0))</f>
        <v>0</v>
      </c>
      <c r="D144" s="251">
        <f>IF(D$4&gt;DAY(EOMONTH(DATE($D$2,$B$2,1),0)),"",IFERROR(SUMIFS(DATA_GOC!$H:$H,DATA_GOC!$A:$A,"BOM",DATA_GOC!$D:$D,$B144,DATA_GOC!$E:$E,"Téc 3",DATA_GOC!$F:$F,"Xuất nội bộ từ téc",DATA_GOC!$B:$B,DATE($D$2,$B$2,D$4)),0))</f>
        <v>0</v>
      </c>
      <c r="E144" s="251">
        <f>IF(E$4&gt;DAY(EOMONTH(DATE($D$2,$B$2,1),0)),"",IFERROR(SUMIFS(DATA_GOC!$H:$H,DATA_GOC!$A:$A,"BOM",DATA_GOC!$D:$D,$B144,DATA_GOC!$E:$E,"Téc 3",DATA_GOC!$F:$F,"Xuất nội bộ từ téc",DATA_GOC!$B:$B,DATE($D$2,$B$2,E$4)),0))</f>
        <v>0</v>
      </c>
      <c r="F144" s="251">
        <f>IF(F$4&gt;DAY(EOMONTH(DATE($D$2,$B$2,1),0)),"",IFERROR(SUMIFS(DATA_GOC!$H:$H,DATA_GOC!$A:$A,"BOM",DATA_GOC!$D:$D,$B144,DATA_GOC!$E:$E,"Téc 3",DATA_GOC!$F:$F,"Xuất nội bộ từ téc",DATA_GOC!$B:$B,DATE($D$2,$B$2,F$4)),0))</f>
        <v>0</v>
      </c>
      <c r="G144" s="251">
        <f>IF(G$4&gt;DAY(EOMONTH(DATE($D$2,$B$2,1),0)),"",IFERROR(SUMIFS(DATA_GOC!$H:$H,DATA_GOC!$A:$A,"BOM",DATA_GOC!$D:$D,$B144,DATA_GOC!$E:$E,"Téc 3",DATA_GOC!$F:$F,"Xuất nội bộ từ téc",DATA_GOC!$B:$B,DATE($D$2,$B$2,G$4)),0))</f>
        <v>0</v>
      </c>
      <c r="H144" s="251">
        <f>IF(H$4&gt;DAY(EOMONTH(DATE($D$2,$B$2,1),0)),"",IFERROR(SUMIFS(DATA_GOC!$H:$H,DATA_GOC!$A:$A,"BOM",DATA_GOC!$D:$D,$B144,DATA_GOC!$E:$E,"Téc 3",DATA_GOC!$F:$F,"Xuất nội bộ từ téc",DATA_GOC!$B:$B,DATE($D$2,$B$2,H$4)),0))</f>
        <v>0</v>
      </c>
      <c r="I144" s="251">
        <f>IF(I$4&gt;DAY(EOMONTH(DATE($D$2,$B$2,1),0)),"",IFERROR(SUMIFS(DATA_GOC!$H:$H,DATA_GOC!$A:$A,"BOM",DATA_GOC!$D:$D,$B144,DATA_GOC!$E:$E,"Téc 3",DATA_GOC!$F:$F,"Xuất nội bộ từ téc",DATA_GOC!$B:$B,DATE($D$2,$B$2,I$4)),0))</f>
        <v>0</v>
      </c>
      <c r="J144" s="251">
        <f>IF(J$4&gt;DAY(EOMONTH(DATE($D$2,$B$2,1),0)),"",IFERROR(SUMIFS(DATA_GOC!$H:$H,DATA_GOC!$A:$A,"BOM",DATA_GOC!$D:$D,$B144,DATA_GOC!$E:$E,"Téc 3",DATA_GOC!$F:$F,"Xuất nội bộ từ téc",DATA_GOC!$B:$B,DATE($D$2,$B$2,J$4)),0))</f>
        <v>0</v>
      </c>
      <c r="K144" s="251">
        <f>IF(K$4&gt;DAY(EOMONTH(DATE($D$2,$B$2,1),0)),"",IFERROR(SUMIFS(DATA_GOC!$H:$H,DATA_GOC!$A:$A,"BOM",DATA_GOC!$D:$D,$B144,DATA_GOC!$E:$E,"Téc 3",DATA_GOC!$F:$F,"Xuất nội bộ từ téc",DATA_GOC!$B:$B,DATE($D$2,$B$2,K$4)),0))</f>
        <v>0</v>
      </c>
      <c r="L144" s="251">
        <f>IF(L$4&gt;DAY(EOMONTH(DATE($D$2,$B$2,1),0)),"",IFERROR(SUMIFS(DATA_GOC!$H:$H,DATA_GOC!$A:$A,"BOM",DATA_GOC!$D:$D,$B144,DATA_GOC!$E:$E,"Téc 3",DATA_GOC!$F:$F,"Xuất nội bộ từ téc",DATA_GOC!$B:$B,DATE($D$2,$B$2,L$4)),0))</f>
        <v>0</v>
      </c>
      <c r="M144" s="251">
        <f>IF(M$4&gt;DAY(EOMONTH(DATE($D$2,$B$2,1),0)),"",IFERROR(SUMIFS(DATA_GOC!$H:$H,DATA_GOC!$A:$A,"BOM",DATA_GOC!$D:$D,$B144,DATA_GOC!$E:$E,"Téc 3",DATA_GOC!$F:$F,"Xuất nội bộ từ téc",DATA_GOC!$B:$B,DATE($D$2,$B$2,M$4)),0))</f>
        <v>0</v>
      </c>
      <c r="N144" s="251">
        <f>IF(N$4&gt;DAY(EOMONTH(DATE($D$2,$B$2,1),0)),"",IFERROR(SUMIFS(DATA_GOC!$H:$H,DATA_GOC!$A:$A,"BOM",DATA_GOC!$D:$D,$B144,DATA_GOC!$E:$E,"Téc 3",DATA_GOC!$F:$F,"Xuất nội bộ từ téc",DATA_GOC!$B:$B,DATE($D$2,$B$2,N$4)),0))</f>
        <v>0</v>
      </c>
      <c r="O144" s="251">
        <f>IF(O$4&gt;DAY(EOMONTH(DATE($D$2,$B$2,1),0)),"",IFERROR(SUMIFS(DATA_GOC!$H:$H,DATA_GOC!$A:$A,"BOM",DATA_GOC!$D:$D,$B144,DATA_GOC!$E:$E,"Téc 3",DATA_GOC!$F:$F,"Xuất nội bộ từ téc",DATA_GOC!$B:$B,DATE($D$2,$B$2,O$4)),0))</f>
        <v>0</v>
      </c>
      <c r="P144" s="251">
        <f>IF(P$4&gt;DAY(EOMONTH(DATE($D$2,$B$2,1),0)),"",IFERROR(SUMIFS(DATA_GOC!$H:$H,DATA_GOC!$A:$A,"BOM",DATA_GOC!$D:$D,$B144,DATA_GOC!$E:$E,"Téc 3",DATA_GOC!$F:$F,"Xuất nội bộ từ téc",DATA_GOC!$B:$B,DATE($D$2,$B$2,P$4)),0))</f>
        <v>0</v>
      </c>
      <c r="Q144" s="251">
        <f>IF(Q$4&gt;DAY(EOMONTH(DATE($D$2,$B$2,1),0)),"",IFERROR(SUMIFS(DATA_GOC!$H:$H,DATA_GOC!$A:$A,"BOM",DATA_GOC!$D:$D,$B144,DATA_GOC!$E:$E,"Téc 3",DATA_GOC!$F:$F,"Xuất nội bộ từ téc",DATA_GOC!$B:$B,DATE($D$2,$B$2,Q$4)),0))</f>
        <v>0</v>
      </c>
      <c r="R144" s="251">
        <f>IF(R$4&gt;DAY(EOMONTH(DATE($D$2,$B$2,1),0)),"",IFERROR(SUMIFS(DATA_GOC!$H:$H,DATA_GOC!$A:$A,"BOM",DATA_GOC!$D:$D,$B144,DATA_GOC!$E:$E,"Téc 3",DATA_GOC!$F:$F,"Xuất nội bộ từ téc",DATA_GOC!$B:$B,DATE($D$2,$B$2,R$4)),0))</f>
        <v>0</v>
      </c>
      <c r="S144" s="251">
        <f>IF(S$4&gt;DAY(EOMONTH(DATE($D$2,$B$2,1),0)),"",IFERROR(SUMIFS(DATA_GOC!$H:$H,DATA_GOC!$A:$A,"BOM",DATA_GOC!$D:$D,$B144,DATA_GOC!$E:$E,"Téc 3",DATA_GOC!$F:$F,"Xuất nội bộ từ téc",DATA_GOC!$B:$B,DATE($D$2,$B$2,S$4)),0))</f>
        <v>0</v>
      </c>
      <c r="T144" s="251">
        <f>IF(T$4&gt;DAY(EOMONTH(DATE($D$2,$B$2,1),0)),"",IFERROR(SUMIFS(DATA_GOC!$H:$H,DATA_GOC!$A:$A,"BOM",DATA_GOC!$D:$D,$B144,DATA_GOC!$E:$E,"Téc 3",DATA_GOC!$F:$F,"Xuất nội bộ từ téc",DATA_GOC!$B:$B,DATE($D$2,$B$2,T$4)),0))</f>
        <v>0</v>
      </c>
      <c r="U144" s="251">
        <f>IF(U$4&gt;DAY(EOMONTH(DATE($D$2,$B$2,1),0)),"",IFERROR(SUMIFS(DATA_GOC!$H:$H,DATA_GOC!$A:$A,"BOM",DATA_GOC!$D:$D,$B144,DATA_GOC!$E:$E,"Téc 3",DATA_GOC!$F:$F,"Xuất nội bộ từ téc",DATA_GOC!$B:$B,DATE($D$2,$B$2,U$4)),0))</f>
        <v>0</v>
      </c>
      <c r="V144" s="251">
        <f>IF(V$4&gt;DAY(EOMONTH(DATE($D$2,$B$2,1),0)),"",IFERROR(SUMIFS(DATA_GOC!$H:$H,DATA_GOC!$A:$A,"BOM",DATA_GOC!$D:$D,$B144,DATA_GOC!$E:$E,"Téc 3",DATA_GOC!$F:$F,"Xuất nội bộ từ téc",DATA_GOC!$B:$B,DATE($D$2,$B$2,V$4)),0))</f>
        <v>0</v>
      </c>
      <c r="W144" s="251">
        <f>IF(W$4&gt;DAY(EOMONTH(DATE($D$2,$B$2,1),0)),"",IFERROR(SUMIFS(DATA_GOC!$H:$H,DATA_GOC!$A:$A,"BOM",DATA_GOC!$D:$D,$B144,DATA_GOC!$E:$E,"Téc 3",DATA_GOC!$F:$F,"Xuất nội bộ từ téc",DATA_GOC!$B:$B,DATE($D$2,$B$2,W$4)),0))</f>
        <v>0</v>
      </c>
      <c r="X144" s="251">
        <f>IF(X$4&gt;DAY(EOMONTH(DATE($D$2,$B$2,1),0)),"",IFERROR(SUMIFS(DATA_GOC!$H:$H,DATA_GOC!$A:$A,"BOM",DATA_GOC!$D:$D,$B144,DATA_GOC!$E:$E,"Téc 3",DATA_GOC!$F:$F,"Xuất nội bộ từ téc",DATA_GOC!$B:$B,DATE($D$2,$B$2,X$4)),0))</f>
        <v>0</v>
      </c>
      <c r="Y144" s="251">
        <f>IF(Y$4&gt;DAY(EOMONTH(DATE($D$2,$B$2,1),0)),"",IFERROR(SUMIFS(DATA_GOC!$H:$H,DATA_GOC!$A:$A,"BOM",DATA_GOC!$D:$D,$B144,DATA_GOC!$E:$E,"Téc 3",DATA_GOC!$F:$F,"Xuất nội bộ từ téc",DATA_GOC!$B:$B,DATE($D$2,$B$2,Y$4)),0))</f>
        <v>0</v>
      </c>
      <c r="Z144" s="251">
        <f>IF(Z$4&gt;DAY(EOMONTH(DATE($D$2,$B$2,1),0)),"",IFERROR(SUMIFS(DATA_GOC!$H:$H,DATA_GOC!$A:$A,"BOM",DATA_GOC!$D:$D,$B144,DATA_GOC!$E:$E,"Téc 3",DATA_GOC!$F:$F,"Xuất nội bộ từ téc",DATA_GOC!$B:$B,DATE($D$2,$B$2,Z$4)),0))</f>
        <v>0</v>
      </c>
      <c r="AA144" s="251">
        <f>IF(AA$4&gt;DAY(EOMONTH(DATE($D$2,$B$2,1),0)),"",IFERROR(SUMIFS(DATA_GOC!$H:$H,DATA_GOC!$A:$A,"BOM",DATA_GOC!$D:$D,$B144,DATA_GOC!$E:$E,"Téc 3",DATA_GOC!$F:$F,"Xuất nội bộ từ téc",DATA_GOC!$B:$B,DATE($D$2,$B$2,AA$4)),0))</f>
        <v>0</v>
      </c>
      <c r="AB144" s="251">
        <f>IF(AB$4&gt;DAY(EOMONTH(DATE($D$2,$B$2,1),0)),"",IFERROR(SUMIFS(DATA_GOC!$H:$H,DATA_GOC!$A:$A,"BOM",DATA_GOC!$D:$D,$B144,DATA_GOC!$E:$E,"Téc 3",DATA_GOC!$F:$F,"Xuất nội bộ từ téc",DATA_GOC!$B:$B,DATE($D$2,$B$2,AB$4)),0))</f>
        <v>0</v>
      </c>
      <c r="AC144" s="251">
        <f>IF(AC$4&gt;DAY(EOMONTH(DATE($D$2,$B$2,1),0)),"",IFERROR(SUMIFS(DATA_GOC!$H:$H,DATA_GOC!$A:$A,"BOM",DATA_GOC!$D:$D,$B144,DATA_GOC!$E:$E,"Téc 3",DATA_GOC!$F:$F,"Xuất nội bộ từ téc",DATA_GOC!$B:$B,DATE($D$2,$B$2,AC$4)),0))</f>
        <v>0</v>
      </c>
      <c r="AD144" s="251">
        <f>IF(AD$4&gt;DAY(EOMONTH(DATE($D$2,$B$2,1),0)),"",IFERROR(SUMIFS(DATA_GOC!$H:$H,DATA_GOC!$A:$A,"BOM",DATA_GOC!$D:$D,$B144,DATA_GOC!$E:$E,"Téc 3",DATA_GOC!$F:$F,"Xuất nội bộ từ téc",DATA_GOC!$B:$B,DATE($D$2,$B$2,AD$4)),0))</f>
        <v>0</v>
      </c>
      <c r="AE144" s="251">
        <f>IF(AE$4&gt;DAY(EOMONTH(DATE($D$2,$B$2,1),0)),"",IFERROR(SUMIFS(DATA_GOC!$H:$H,DATA_GOC!$A:$A,"BOM",DATA_GOC!$D:$D,$B144,DATA_GOC!$E:$E,"Téc 3",DATA_GOC!$F:$F,"Xuất nội bộ từ téc",DATA_GOC!$B:$B,DATE($D$2,$B$2,AE$4)),0))</f>
        <v>0</v>
      </c>
      <c r="AF144" s="251">
        <f>IF(AF$4&gt;DAY(EOMONTH(DATE($D$2,$B$2,1),0)),"",IFERROR(SUMIFS(DATA_GOC!$H:$H,DATA_GOC!$A:$A,"BOM",DATA_GOC!$D:$D,$B144,DATA_GOC!$E:$E,"Téc 3",DATA_GOC!$F:$F,"Xuất nội bộ từ téc",DATA_GOC!$B:$B,DATE($D$2,$B$2,AF$4)),0))</f>
        <v>0</v>
      </c>
      <c r="AG144" s="251">
        <f>IF(AG$4&gt;DAY(EOMONTH(DATE($D$2,$B$2,1),0)),"",IFERROR(SUMIFS(DATA_GOC!$H:$H,DATA_GOC!$A:$A,"BOM",DATA_GOC!$D:$D,$B144,DATA_GOC!$E:$E,"Téc 3",DATA_GOC!$F:$F,"Xuất nội bộ từ téc",DATA_GOC!$B:$B,DATE($D$2,$B$2,AG$4)),0))</f>
        <v>0</v>
      </c>
      <c r="AH144" s="252">
        <f t="shared" si="7"/>
        <v>0</v>
      </c>
      <c r="AI144" s="241"/>
      <c r="AJ144" s="242">
        <f>IF($B144="","",SUMIFS(TINH_TEC!$K$233:$K$9232,TINH_TEC!$H$233:$H$9232,$B144,TINH_TEC!$C$233:$C$9232,"Téc 3",TINH_TEC!$F$233:$F$9232,$B$2,TINH_TEC!$G$233:$G$9232,$D$2,TINH_TEC!$B$233:$B$9232,"Đã chốt"))</f>
        <v>0</v>
      </c>
      <c r="AK144" s="242">
        <f>IF($B144="","",SUMIFS(TINH_TEC!$J$233:$J$9232,TINH_TEC!$H$233:$H$9232,$B144,TINH_TEC!$C$233:$C$9232,"Téc 3",TINH_TEC!$F$233:$F$9232,$B$2,TINH_TEC!$G$233:$G$9232,$D$2,TINH_TEC!$B$233:$B$9232,"Đã chốt"))</f>
        <v>0</v>
      </c>
      <c r="AL144" s="242">
        <f t="shared" si="8"/>
        <v>0</v>
      </c>
    </row>
    <row r="145" ht="15.75" customHeight="1">
      <c r="A145" s="237">
        <f>IF($B145&lt;&gt;"",18,"")</f>
        <v>18</v>
      </c>
      <c r="B145" s="250" t="str">
        <f t="array" ref="B145">IFERROR(INDEX(DANH_MUC!$E:$E,21),"")</f>
        <v>28C03323</v>
      </c>
      <c r="C145" s="251">
        <f>IF(C$4&gt;DAY(EOMONTH(DATE($D$2,$B$2,1),0)),"",IFERROR(SUMIFS(DATA_GOC!$H:$H,DATA_GOC!$A:$A,"BOM",DATA_GOC!$D:$D,$B145,DATA_GOC!$E:$E,"Téc 3",DATA_GOC!$F:$F,"Xuất nội bộ từ téc",DATA_GOC!$B:$B,DATE($D$2,$B$2,C$4)),0))</f>
        <v>0</v>
      </c>
      <c r="D145" s="251">
        <f>IF(D$4&gt;DAY(EOMONTH(DATE($D$2,$B$2,1),0)),"",IFERROR(SUMIFS(DATA_GOC!$H:$H,DATA_GOC!$A:$A,"BOM",DATA_GOC!$D:$D,$B145,DATA_GOC!$E:$E,"Téc 3",DATA_GOC!$F:$F,"Xuất nội bộ từ téc",DATA_GOC!$B:$B,DATE($D$2,$B$2,D$4)),0))</f>
        <v>0</v>
      </c>
      <c r="E145" s="251">
        <f>IF(E$4&gt;DAY(EOMONTH(DATE($D$2,$B$2,1),0)),"",IFERROR(SUMIFS(DATA_GOC!$H:$H,DATA_GOC!$A:$A,"BOM",DATA_GOC!$D:$D,$B145,DATA_GOC!$E:$E,"Téc 3",DATA_GOC!$F:$F,"Xuất nội bộ từ téc",DATA_GOC!$B:$B,DATE($D$2,$B$2,E$4)),0))</f>
        <v>0</v>
      </c>
      <c r="F145" s="251">
        <f>IF(F$4&gt;DAY(EOMONTH(DATE($D$2,$B$2,1),0)),"",IFERROR(SUMIFS(DATA_GOC!$H:$H,DATA_GOC!$A:$A,"BOM",DATA_GOC!$D:$D,$B145,DATA_GOC!$E:$E,"Téc 3",DATA_GOC!$F:$F,"Xuất nội bộ từ téc",DATA_GOC!$B:$B,DATE($D$2,$B$2,F$4)),0))</f>
        <v>0</v>
      </c>
      <c r="G145" s="251">
        <f>IF(G$4&gt;DAY(EOMONTH(DATE($D$2,$B$2,1),0)),"",IFERROR(SUMIFS(DATA_GOC!$H:$H,DATA_GOC!$A:$A,"BOM",DATA_GOC!$D:$D,$B145,DATA_GOC!$E:$E,"Téc 3",DATA_GOC!$F:$F,"Xuất nội bộ từ téc",DATA_GOC!$B:$B,DATE($D$2,$B$2,G$4)),0))</f>
        <v>0</v>
      </c>
      <c r="H145" s="251">
        <f>IF(H$4&gt;DAY(EOMONTH(DATE($D$2,$B$2,1),0)),"",IFERROR(SUMIFS(DATA_GOC!$H:$H,DATA_GOC!$A:$A,"BOM",DATA_GOC!$D:$D,$B145,DATA_GOC!$E:$E,"Téc 3",DATA_GOC!$F:$F,"Xuất nội bộ từ téc",DATA_GOC!$B:$B,DATE($D$2,$B$2,H$4)),0))</f>
        <v>0</v>
      </c>
      <c r="I145" s="251">
        <f>IF(I$4&gt;DAY(EOMONTH(DATE($D$2,$B$2,1),0)),"",IFERROR(SUMIFS(DATA_GOC!$H:$H,DATA_GOC!$A:$A,"BOM",DATA_GOC!$D:$D,$B145,DATA_GOC!$E:$E,"Téc 3",DATA_GOC!$F:$F,"Xuất nội bộ từ téc",DATA_GOC!$B:$B,DATE($D$2,$B$2,I$4)),0))</f>
        <v>0</v>
      </c>
      <c r="J145" s="251">
        <f>IF(J$4&gt;DAY(EOMONTH(DATE($D$2,$B$2,1),0)),"",IFERROR(SUMIFS(DATA_GOC!$H:$H,DATA_GOC!$A:$A,"BOM",DATA_GOC!$D:$D,$B145,DATA_GOC!$E:$E,"Téc 3",DATA_GOC!$F:$F,"Xuất nội bộ từ téc",DATA_GOC!$B:$B,DATE($D$2,$B$2,J$4)),0))</f>
        <v>0</v>
      </c>
      <c r="K145" s="251">
        <f>IF(K$4&gt;DAY(EOMONTH(DATE($D$2,$B$2,1),0)),"",IFERROR(SUMIFS(DATA_GOC!$H:$H,DATA_GOC!$A:$A,"BOM",DATA_GOC!$D:$D,$B145,DATA_GOC!$E:$E,"Téc 3",DATA_GOC!$F:$F,"Xuất nội bộ từ téc",DATA_GOC!$B:$B,DATE($D$2,$B$2,K$4)),0))</f>
        <v>0</v>
      </c>
      <c r="L145" s="251">
        <f>IF(L$4&gt;DAY(EOMONTH(DATE($D$2,$B$2,1),0)),"",IFERROR(SUMIFS(DATA_GOC!$H:$H,DATA_GOC!$A:$A,"BOM",DATA_GOC!$D:$D,$B145,DATA_GOC!$E:$E,"Téc 3",DATA_GOC!$F:$F,"Xuất nội bộ từ téc",DATA_GOC!$B:$B,DATE($D$2,$B$2,L$4)),0))</f>
        <v>0</v>
      </c>
      <c r="M145" s="251">
        <f>IF(M$4&gt;DAY(EOMONTH(DATE($D$2,$B$2,1),0)),"",IFERROR(SUMIFS(DATA_GOC!$H:$H,DATA_GOC!$A:$A,"BOM",DATA_GOC!$D:$D,$B145,DATA_GOC!$E:$E,"Téc 3",DATA_GOC!$F:$F,"Xuất nội bộ từ téc",DATA_GOC!$B:$B,DATE($D$2,$B$2,M$4)),0))</f>
        <v>0</v>
      </c>
      <c r="N145" s="251">
        <f>IF(N$4&gt;DAY(EOMONTH(DATE($D$2,$B$2,1),0)),"",IFERROR(SUMIFS(DATA_GOC!$H:$H,DATA_GOC!$A:$A,"BOM",DATA_GOC!$D:$D,$B145,DATA_GOC!$E:$E,"Téc 3",DATA_GOC!$F:$F,"Xuất nội bộ từ téc",DATA_GOC!$B:$B,DATE($D$2,$B$2,N$4)),0))</f>
        <v>0</v>
      </c>
      <c r="O145" s="251">
        <f>IF(O$4&gt;DAY(EOMONTH(DATE($D$2,$B$2,1),0)),"",IFERROR(SUMIFS(DATA_GOC!$H:$H,DATA_GOC!$A:$A,"BOM",DATA_GOC!$D:$D,$B145,DATA_GOC!$E:$E,"Téc 3",DATA_GOC!$F:$F,"Xuất nội bộ từ téc",DATA_GOC!$B:$B,DATE($D$2,$B$2,O$4)),0))</f>
        <v>0</v>
      </c>
      <c r="P145" s="251">
        <f>IF(P$4&gt;DAY(EOMONTH(DATE($D$2,$B$2,1),0)),"",IFERROR(SUMIFS(DATA_GOC!$H:$H,DATA_GOC!$A:$A,"BOM",DATA_GOC!$D:$D,$B145,DATA_GOC!$E:$E,"Téc 3",DATA_GOC!$F:$F,"Xuất nội bộ từ téc",DATA_GOC!$B:$B,DATE($D$2,$B$2,P$4)),0))</f>
        <v>0</v>
      </c>
      <c r="Q145" s="251">
        <f>IF(Q$4&gt;DAY(EOMONTH(DATE($D$2,$B$2,1),0)),"",IFERROR(SUMIFS(DATA_GOC!$H:$H,DATA_GOC!$A:$A,"BOM",DATA_GOC!$D:$D,$B145,DATA_GOC!$E:$E,"Téc 3",DATA_GOC!$F:$F,"Xuất nội bộ từ téc",DATA_GOC!$B:$B,DATE($D$2,$B$2,Q$4)),0))</f>
        <v>0</v>
      </c>
      <c r="R145" s="251">
        <f>IF(R$4&gt;DAY(EOMONTH(DATE($D$2,$B$2,1),0)),"",IFERROR(SUMIFS(DATA_GOC!$H:$H,DATA_GOC!$A:$A,"BOM",DATA_GOC!$D:$D,$B145,DATA_GOC!$E:$E,"Téc 3",DATA_GOC!$F:$F,"Xuất nội bộ từ téc",DATA_GOC!$B:$B,DATE($D$2,$B$2,R$4)),0))</f>
        <v>0</v>
      </c>
      <c r="S145" s="251">
        <f>IF(S$4&gt;DAY(EOMONTH(DATE($D$2,$B$2,1),0)),"",IFERROR(SUMIFS(DATA_GOC!$H:$H,DATA_GOC!$A:$A,"BOM",DATA_GOC!$D:$D,$B145,DATA_GOC!$E:$E,"Téc 3",DATA_GOC!$F:$F,"Xuất nội bộ từ téc",DATA_GOC!$B:$B,DATE($D$2,$B$2,S$4)),0))</f>
        <v>0</v>
      </c>
      <c r="T145" s="251">
        <f>IF(T$4&gt;DAY(EOMONTH(DATE($D$2,$B$2,1),0)),"",IFERROR(SUMIFS(DATA_GOC!$H:$H,DATA_GOC!$A:$A,"BOM",DATA_GOC!$D:$D,$B145,DATA_GOC!$E:$E,"Téc 3",DATA_GOC!$F:$F,"Xuất nội bộ từ téc",DATA_GOC!$B:$B,DATE($D$2,$B$2,T$4)),0))</f>
        <v>0</v>
      </c>
      <c r="U145" s="251">
        <f>IF(U$4&gt;DAY(EOMONTH(DATE($D$2,$B$2,1),0)),"",IFERROR(SUMIFS(DATA_GOC!$H:$H,DATA_GOC!$A:$A,"BOM",DATA_GOC!$D:$D,$B145,DATA_GOC!$E:$E,"Téc 3",DATA_GOC!$F:$F,"Xuất nội bộ từ téc",DATA_GOC!$B:$B,DATE($D$2,$B$2,U$4)),0))</f>
        <v>0</v>
      </c>
      <c r="V145" s="251">
        <f>IF(V$4&gt;DAY(EOMONTH(DATE($D$2,$B$2,1),0)),"",IFERROR(SUMIFS(DATA_GOC!$H:$H,DATA_GOC!$A:$A,"BOM",DATA_GOC!$D:$D,$B145,DATA_GOC!$E:$E,"Téc 3",DATA_GOC!$F:$F,"Xuất nội bộ từ téc",DATA_GOC!$B:$B,DATE($D$2,$B$2,V$4)),0))</f>
        <v>0</v>
      </c>
      <c r="W145" s="251">
        <f>IF(W$4&gt;DAY(EOMONTH(DATE($D$2,$B$2,1),0)),"",IFERROR(SUMIFS(DATA_GOC!$H:$H,DATA_GOC!$A:$A,"BOM",DATA_GOC!$D:$D,$B145,DATA_GOC!$E:$E,"Téc 3",DATA_GOC!$F:$F,"Xuất nội bộ từ téc",DATA_GOC!$B:$B,DATE($D$2,$B$2,W$4)),0))</f>
        <v>0</v>
      </c>
      <c r="X145" s="251">
        <f>IF(X$4&gt;DAY(EOMONTH(DATE($D$2,$B$2,1),0)),"",IFERROR(SUMIFS(DATA_GOC!$H:$H,DATA_GOC!$A:$A,"BOM",DATA_GOC!$D:$D,$B145,DATA_GOC!$E:$E,"Téc 3",DATA_GOC!$F:$F,"Xuất nội bộ từ téc",DATA_GOC!$B:$B,DATE($D$2,$B$2,X$4)),0))</f>
        <v>0</v>
      </c>
      <c r="Y145" s="251">
        <f>IF(Y$4&gt;DAY(EOMONTH(DATE($D$2,$B$2,1),0)),"",IFERROR(SUMIFS(DATA_GOC!$H:$H,DATA_GOC!$A:$A,"BOM",DATA_GOC!$D:$D,$B145,DATA_GOC!$E:$E,"Téc 3",DATA_GOC!$F:$F,"Xuất nội bộ từ téc",DATA_GOC!$B:$B,DATE($D$2,$B$2,Y$4)),0))</f>
        <v>0</v>
      </c>
      <c r="Z145" s="251">
        <f>IF(Z$4&gt;DAY(EOMONTH(DATE($D$2,$B$2,1),0)),"",IFERROR(SUMIFS(DATA_GOC!$H:$H,DATA_GOC!$A:$A,"BOM",DATA_GOC!$D:$D,$B145,DATA_GOC!$E:$E,"Téc 3",DATA_GOC!$F:$F,"Xuất nội bộ từ téc",DATA_GOC!$B:$B,DATE($D$2,$B$2,Z$4)),0))</f>
        <v>0</v>
      </c>
      <c r="AA145" s="251">
        <f>IF(AA$4&gt;DAY(EOMONTH(DATE($D$2,$B$2,1),0)),"",IFERROR(SUMIFS(DATA_GOC!$H:$H,DATA_GOC!$A:$A,"BOM",DATA_GOC!$D:$D,$B145,DATA_GOC!$E:$E,"Téc 3",DATA_GOC!$F:$F,"Xuất nội bộ từ téc",DATA_GOC!$B:$B,DATE($D$2,$B$2,AA$4)),0))</f>
        <v>0</v>
      </c>
      <c r="AB145" s="251">
        <f>IF(AB$4&gt;DAY(EOMONTH(DATE($D$2,$B$2,1),0)),"",IFERROR(SUMIFS(DATA_GOC!$H:$H,DATA_GOC!$A:$A,"BOM",DATA_GOC!$D:$D,$B145,DATA_GOC!$E:$E,"Téc 3",DATA_GOC!$F:$F,"Xuất nội bộ từ téc",DATA_GOC!$B:$B,DATE($D$2,$B$2,AB$4)),0))</f>
        <v>0</v>
      </c>
      <c r="AC145" s="251">
        <f>IF(AC$4&gt;DAY(EOMONTH(DATE($D$2,$B$2,1),0)),"",IFERROR(SUMIFS(DATA_GOC!$H:$H,DATA_GOC!$A:$A,"BOM",DATA_GOC!$D:$D,$B145,DATA_GOC!$E:$E,"Téc 3",DATA_GOC!$F:$F,"Xuất nội bộ từ téc",DATA_GOC!$B:$B,DATE($D$2,$B$2,AC$4)),0))</f>
        <v>0</v>
      </c>
      <c r="AD145" s="251">
        <f>IF(AD$4&gt;DAY(EOMONTH(DATE($D$2,$B$2,1),0)),"",IFERROR(SUMIFS(DATA_GOC!$H:$H,DATA_GOC!$A:$A,"BOM",DATA_GOC!$D:$D,$B145,DATA_GOC!$E:$E,"Téc 3",DATA_GOC!$F:$F,"Xuất nội bộ từ téc",DATA_GOC!$B:$B,DATE($D$2,$B$2,AD$4)),0))</f>
        <v>0</v>
      </c>
      <c r="AE145" s="251">
        <f>IF(AE$4&gt;DAY(EOMONTH(DATE($D$2,$B$2,1),0)),"",IFERROR(SUMIFS(DATA_GOC!$H:$H,DATA_GOC!$A:$A,"BOM",DATA_GOC!$D:$D,$B145,DATA_GOC!$E:$E,"Téc 3",DATA_GOC!$F:$F,"Xuất nội bộ từ téc",DATA_GOC!$B:$B,DATE($D$2,$B$2,AE$4)),0))</f>
        <v>0</v>
      </c>
      <c r="AF145" s="251">
        <f>IF(AF$4&gt;DAY(EOMONTH(DATE($D$2,$B$2,1),0)),"",IFERROR(SUMIFS(DATA_GOC!$H:$H,DATA_GOC!$A:$A,"BOM",DATA_GOC!$D:$D,$B145,DATA_GOC!$E:$E,"Téc 3",DATA_GOC!$F:$F,"Xuất nội bộ từ téc",DATA_GOC!$B:$B,DATE($D$2,$B$2,AF$4)),0))</f>
        <v>0</v>
      </c>
      <c r="AG145" s="251">
        <f>IF(AG$4&gt;DAY(EOMONTH(DATE($D$2,$B$2,1),0)),"",IFERROR(SUMIFS(DATA_GOC!$H:$H,DATA_GOC!$A:$A,"BOM",DATA_GOC!$D:$D,$B145,DATA_GOC!$E:$E,"Téc 3",DATA_GOC!$F:$F,"Xuất nội bộ từ téc",DATA_GOC!$B:$B,DATE($D$2,$B$2,AG$4)),0))</f>
        <v>0</v>
      </c>
      <c r="AH145" s="252">
        <f t="shared" si="7"/>
        <v>0</v>
      </c>
      <c r="AI145" s="241"/>
      <c r="AJ145" s="242">
        <f>IF($B145="","",SUMIFS(TINH_TEC!$K$233:$K$9232,TINH_TEC!$H$233:$H$9232,$B145,TINH_TEC!$C$233:$C$9232,"Téc 3",TINH_TEC!$F$233:$F$9232,$B$2,TINH_TEC!$G$233:$G$9232,$D$2,TINH_TEC!$B$233:$B$9232,"Đã chốt"))</f>
        <v>0</v>
      </c>
      <c r="AK145" s="242">
        <f>IF($B145="","",SUMIFS(TINH_TEC!$J$233:$J$9232,TINH_TEC!$H$233:$H$9232,$B145,TINH_TEC!$C$233:$C$9232,"Téc 3",TINH_TEC!$F$233:$F$9232,$B$2,TINH_TEC!$G$233:$G$9232,$D$2,TINH_TEC!$B$233:$B$9232,"Đã chốt"))</f>
        <v>0</v>
      </c>
      <c r="AL145" s="242">
        <f t="shared" si="8"/>
        <v>0</v>
      </c>
    </row>
    <row r="146" ht="15.75" customHeight="1">
      <c r="A146" s="237">
        <f>IF($B146&lt;&gt;"",19,"")</f>
        <v>19</v>
      </c>
      <c r="B146" s="250" t="str">
        <f t="array" ref="B146">IFERROR(INDEX(DANH_MUC!$E:$E,22),"")</f>
        <v>28C03385</v>
      </c>
      <c r="C146" s="251">
        <f>IF(C$4&gt;DAY(EOMONTH(DATE($D$2,$B$2,1),0)),"",IFERROR(SUMIFS(DATA_GOC!$H:$H,DATA_GOC!$A:$A,"BOM",DATA_GOC!$D:$D,$B146,DATA_GOC!$E:$E,"Téc 3",DATA_GOC!$F:$F,"Xuất nội bộ từ téc",DATA_GOC!$B:$B,DATE($D$2,$B$2,C$4)),0))</f>
        <v>0</v>
      </c>
      <c r="D146" s="251">
        <f>IF(D$4&gt;DAY(EOMONTH(DATE($D$2,$B$2,1),0)),"",IFERROR(SUMIFS(DATA_GOC!$H:$H,DATA_GOC!$A:$A,"BOM",DATA_GOC!$D:$D,$B146,DATA_GOC!$E:$E,"Téc 3",DATA_GOC!$F:$F,"Xuất nội bộ từ téc",DATA_GOC!$B:$B,DATE($D$2,$B$2,D$4)),0))</f>
        <v>0</v>
      </c>
      <c r="E146" s="251">
        <f>IF(E$4&gt;DAY(EOMONTH(DATE($D$2,$B$2,1),0)),"",IFERROR(SUMIFS(DATA_GOC!$H:$H,DATA_GOC!$A:$A,"BOM",DATA_GOC!$D:$D,$B146,DATA_GOC!$E:$E,"Téc 3",DATA_GOC!$F:$F,"Xuất nội bộ từ téc",DATA_GOC!$B:$B,DATE($D$2,$B$2,E$4)),0))</f>
        <v>0</v>
      </c>
      <c r="F146" s="251">
        <f>IF(F$4&gt;DAY(EOMONTH(DATE($D$2,$B$2,1),0)),"",IFERROR(SUMIFS(DATA_GOC!$H:$H,DATA_GOC!$A:$A,"BOM",DATA_GOC!$D:$D,$B146,DATA_GOC!$E:$E,"Téc 3",DATA_GOC!$F:$F,"Xuất nội bộ từ téc",DATA_GOC!$B:$B,DATE($D$2,$B$2,F$4)),0))</f>
        <v>0</v>
      </c>
      <c r="G146" s="251">
        <f>IF(G$4&gt;DAY(EOMONTH(DATE($D$2,$B$2,1),0)),"",IFERROR(SUMIFS(DATA_GOC!$H:$H,DATA_GOC!$A:$A,"BOM",DATA_GOC!$D:$D,$B146,DATA_GOC!$E:$E,"Téc 3",DATA_GOC!$F:$F,"Xuất nội bộ từ téc",DATA_GOC!$B:$B,DATE($D$2,$B$2,G$4)),0))</f>
        <v>0</v>
      </c>
      <c r="H146" s="251">
        <f>IF(H$4&gt;DAY(EOMONTH(DATE($D$2,$B$2,1),0)),"",IFERROR(SUMIFS(DATA_GOC!$H:$H,DATA_GOC!$A:$A,"BOM",DATA_GOC!$D:$D,$B146,DATA_GOC!$E:$E,"Téc 3",DATA_GOC!$F:$F,"Xuất nội bộ từ téc",DATA_GOC!$B:$B,DATE($D$2,$B$2,H$4)),0))</f>
        <v>0</v>
      </c>
      <c r="I146" s="251">
        <f>IF(I$4&gt;DAY(EOMONTH(DATE($D$2,$B$2,1),0)),"",IFERROR(SUMIFS(DATA_GOC!$H:$H,DATA_GOC!$A:$A,"BOM",DATA_GOC!$D:$D,$B146,DATA_GOC!$E:$E,"Téc 3",DATA_GOC!$F:$F,"Xuất nội bộ từ téc",DATA_GOC!$B:$B,DATE($D$2,$B$2,I$4)),0))</f>
        <v>0</v>
      </c>
      <c r="J146" s="251">
        <f>IF(J$4&gt;DAY(EOMONTH(DATE($D$2,$B$2,1),0)),"",IFERROR(SUMIFS(DATA_GOC!$H:$H,DATA_GOC!$A:$A,"BOM",DATA_GOC!$D:$D,$B146,DATA_GOC!$E:$E,"Téc 3",DATA_GOC!$F:$F,"Xuất nội bộ từ téc",DATA_GOC!$B:$B,DATE($D$2,$B$2,J$4)),0))</f>
        <v>0</v>
      </c>
      <c r="K146" s="251">
        <f>IF(K$4&gt;DAY(EOMONTH(DATE($D$2,$B$2,1),0)),"",IFERROR(SUMIFS(DATA_GOC!$H:$H,DATA_GOC!$A:$A,"BOM",DATA_GOC!$D:$D,$B146,DATA_GOC!$E:$E,"Téc 3",DATA_GOC!$F:$F,"Xuất nội bộ từ téc",DATA_GOC!$B:$B,DATE($D$2,$B$2,K$4)),0))</f>
        <v>0</v>
      </c>
      <c r="L146" s="251">
        <f>IF(L$4&gt;DAY(EOMONTH(DATE($D$2,$B$2,1),0)),"",IFERROR(SUMIFS(DATA_GOC!$H:$H,DATA_GOC!$A:$A,"BOM",DATA_GOC!$D:$D,$B146,DATA_GOC!$E:$E,"Téc 3",DATA_GOC!$F:$F,"Xuất nội bộ từ téc",DATA_GOC!$B:$B,DATE($D$2,$B$2,L$4)),0))</f>
        <v>0</v>
      </c>
      <c r="M146" s="251">
        <f>IF(M$4&gt;DAY(EOMONTH(DATE($D$2,$B$2,1),0)),"",IFERROR(SUMIFS(DATA_GOC!$H:$H,DATA_GOC!$A:$A,"BOM",DATA_GOC!$D:$D,$B146,DATA_GOC!$E:$E,"Téc 3",DATA_GOC!$F:$F,"Xuất nội bộ từ téc",DATA_GOC!$B:$B,DATE($D$2,$B$2,M$4)),0))</f>
        <v>0</v>
      </c>
      <c r="N146" s="251">
        <f>IF(N$4&gt;DAY(EOMONTH(DATE($D$2,$B$2,1),0)),"",IFERROR(SUMIFS(DATA_GOC!$H:$H,DATA_GOC!$A:$A,"BOM",DATA_GOC!$D:$D,$B146,DATA_GOC!$E:$E,"Téc 3",DATA_GOC!$F:$F,"Xuất nội bộ từ téc",DATA_GOC!$B:$B,DATE($D$2,$B$2,N$4)),0))</f>
        <v>0</v>
      </c>
      <c r="O146" s="251">
        <f>IF(O$4&gt;DAY(EOMONTH(DATE($D$2,$B$2,1),0)),"",IFERROR(SUMIFS(DATA_GOC!$H:$H,DATA_GOC!$A:$A,"BOM",DATA_GOC!$D:$D,$B146,DATA_GOC!$E:$E,"Téc 3",DATA_GOC!$F:$F,"Xuất nội bộ từ téc",DATA_GOC!$B:$B,DATE($D$2,$B$2,O$4)),0))</f>
        <v>0</v>
      </c>
      <c r="P146" s="251">
        <f>IF(P$4&gt;DAY(EOMONTH(DATE($D$2,$B$2,1),0)),"",IFERROR(SUMIFS(DATA_GOC!$H:$H,DATA_GOC!$A:$A,"BOM",DATA_GOC!$D:$D,$B146,DATA_GOC!$E:$E,"Téc 3",DATA_GOC!$F:$F,"Xuất nội bộ từ téc",DATA_GOC!$B:$B,DATE($D$2,$B$2,P$4)),0))</f>
        <v>0</v>
      </c>
      <c r="Q146" s="251">
        <f>IF(Q$4&gt;DAY(EOMONTH(DATE($D$2,$B$2,1),0)),"",IFERROR(SUMIFS(DATA_GOC!$H:$H,DATA_GOC!$A:$A,"BOM",DATA_GOC!$D:$D,$B146,DATA_GOC!$E:$E,"Téc 3",DATA_GOC!$F:$F,"Xuất nội bộ từ téc",DATA_GOC!$B:$B,DATE($D$2,$B$2,Q$4)),0))</f>
        <v>0</v>
      </c>
      <c r="R146" s="251">
        <f>IF(R$4&gt;DAY(EOMONTH(DATE($D$2,$B$2,1),0)),"",IFERROR(SUMIFS(DATA_GOC!$H:$H,DATA_GOC!$A:$A,"BOM",DATA_GOC!$D:$D,$B146,DATA_GOC!$E:$E,"Téc 3",DATA_GOC!$F:$F,"Xuất nội bộ từ téc",DATA_GOC!$B:$B,DATE($D$2,$B$2,R$4)),0))</f>
        <v>0</v>
      </c>
      <c r="S146" s="251">
        <f>IF(S$4&gt;DAY(EOMONTH(DATE($D$2,$B$2,1),0)),"",IFERROR(SUMIFS(DATA_GOC!$H:$H,DATA_GOC!$A:$A,"BOM",DATA_GOC!$D:$D,$B146,DATA_GOC!$E:$E,"Téc 3",DATA_GOC!$F:$F,"Xuất nội bộ từ téc",DATA_GOC!$B:$B,DATE($D$2,$B$2,S$4)),0))</f>
        <v>0</v>
      </c>
      <c r="T146" s="251">
        <f>IF(T$4&gt;DAY(EOMONTH(DATE($D$2,$B$2,1),0)),"",IFERROR(SUMIFS(DATA_GOC!$H:$H,DATA_GOC!$A:$A,"BOM",DATA_GOC!$D:$D,$B146,DATA_GOC!$E:$E,"Téc 3",DATA_GOC!$F:$F,"Xuất nội bộ từ téc",DATA_GOC!$B:$B,DATE($D$2,$B$2,T$4)),0))</f>
        <v>0</v>
      </c>
      <c r="U146" s="251">
        <f>IF(U$4&gt;DAY(EOMONTH(DATE($D$2,$B$2,1),0)),"",IFERROR(SUMIFS(DATA_GOC!$H:$H,DATA_GOC!$A:$A,"BOM",DATA_GOC!$D:$D,$B146,DATA_GOC!$E:$E,"Téc 3",DATA_GOC!$F:$F,"Xuất nội bộ từ téc",DATA_GOC!$B:$B,DATE($D$2,$B$2,U$4)),0))</f>
        <v>0</v>
      </c>
      <c r="V146" s="251">
        <f>IF(V$4&gt;DAY(EOMONTH(DATE($D$2,$B$2,1),0)),"",IFERROR(SUMIFS(DATA_GOC!$H:$H,DATA_GOC!$A:$A,"BOM",DATA_GOC!$D:$D,$B146,DATA_GOC!$E:$E,"Téc 3",DATA_GOC!$F:$F,"Xuất nội bộ từ téc",DATA_GOC!$B:$B,DATE($D$2,$B$2,V$4)),0))</f>
        <v>0</v>
      </c>
      <c r="W146" s="251">
        <f>IF(W$4&gt;DAY(EOMONTH(DATE($D$2,$B$2,1),0)),"",IFERROR(SUMIFS(DATA_GOC!$H:$H,DATA_GOC!$A:$A,"BOM",DATA_GOC!$D:$D,$B146,DATA_GOC!$E:$E,"Téc 3",DATA_GOC!$F:$F,"Xuất nội bộ từ téc",DATA_GOC!$B:$B,DATE($D$2,$B$2,W$4)),0))</f>
        <v>0</v>
      </c>
      <c r="X146" s="251">
        <f>IF(X$4&gt;DAY(EOMONTH(DATE($D$2,$B$2,1),0)),"",IFERROR(SUMIFS(DATA_GOC!$H:$H,DATA_GOC!$A:$A,"BOM",DATA_GOC!$D:$D,$B146,DATA_GOC!$E:$E,"Téc 3",DATA_GOC!$F:$F,"Xuất nội bộ từ téc",DATA_GOC!$B:$B,DATE($D$2,$B$2,X$4)),0))</f>
        <v>0</v>
      </c>
      <c r="Y146" s="251">
        <f>IF(Y$4&gt;DAY(EOMONTH(DATE($D$2,$B$2,1),0)),"",IFERROR(SUMIFS(DATA_GOC!$H:$H,DATA_GOC!$A:$A,"BOM",DATA_GOC!$D:$D,$B146,DATA_GOC!$E:$E,"Téc 3",DATA_GOC!$F:$F,"Xuất nội bộ từ téc",DATA_GOC!$B:$B,DATE($D$2,$B$2,Y$4)),0))</f>
        <v>0</v>
      </c>
      <c r="Z146" s="251">
        <f>IF(Z$4&gt;DAY(EOMONTH(DATE($D$2,$B$2,1),0)),"",IFERROR(SUMIFS(DATA_GOC!$H:$H,DATA_GOC!$A:$A,"BOM",DATA_GOC!$D:$D,$B146,DATA_GOC!$E:$E,"Téc 3",DATA_GOC!$F:$F,"Xuất nội bộ từ téc",DATA_GOC!$B:$B,DATE($D$2,$B$2,Z$4)),0))</f>
        <v>0</v>
      </c>
      <c r="AA146" s="251">
        <f>IF(AA$4&gt;DAY(EOMONTH(DATE($D$2,$B$2,1),0)),"",IFERROR(SUMIFS(DATA_GOC!$H:$H,DATA_GOC!$A:$A,"BOM",DATA_GOC!$D:$D,$B146,DATA_GOC!$E:$E,"Téc 3",DATA_GOC!$F:$F,"Xuất nội bộ từ téc",DATA_GOC!$B:$B,DATE($D$2,$B$2,AA$4)),0))</f>
        <v>0</v>
      </c>
      <c r="AB146" s="251">
        <f>IF(AB$4&gt;DAY(EOMONTH(DATE($D$2,$B$2,1),0)),"",IFERROR(SUMIFS(DATA_GOC!$H:$H,DATA_GOC!$A:$A,"BOM",DATA_GOC!$D:$D,$B146,DATA_GOC!$E:$E,"Téc 3",DATA_GOC!$F:$F,"Xuất nội bộ từ téc",DATA_GOC!$B:$B,DATE($D$2,$B$2,AB$4)),0))</f>
        <v>0</v>
      </c>
      <c r="AC146" s="251">
        <f>IF(AC$4&gt;DAY(EOMONTH(DATE($D$2,$B$2,1),0)),"",IFERROR(SUMIFS(DATA_GOC!$H:$H,DATA_GOC!$A:$A,"BOM",DATA_GOC!$D:$D,$B146,DATA_GOC!$E:$E,"Téc 3",DATA_GOC!$F:$F,"Xuất nội bộ từ téc",DATA_GOC!$B:$B,DATE($D$2,$B$2,AC$4)),0))</f>
        <v>0</v>
      </c>
      <c r="AD146" s="251">
        <f>IF(AD$4&gt;DAY(EOMONTH(DATE($D$2,$B$2,1),0)),"",IFERROR(SUMIFS(DATA_GOC!$H:$H,DATA_GOC!$A:$A,"BOM",DATA_GOC!$D:$D,$B146,DATA_GOC!$E:$E,"Téc 3",DATA_GOC!$F:$F,"Xuất nội bộ từ téc",DATA_GOC!$B:$B,DATE($D$2,$B$2,AD$4)),0))</f>
        <v>0</v>
      </c>
      <c r="AE146" s="251">
        <f>IF(AE$4&gt;DAY(EOMONTH(DATE($D$2,$B$2,1),0)),"",IFERROR(SUMIFS(DATA_GOC!$H:$H,DATA_GOC!$A:$A,"BOM",DATA_GOC!$D:$D,$B146,DATA_GOC!$E:$E,"Téc 3",DATA_GOC!$F:$F,"Xuất nội bộ từ téc",DATA_GOC!$B:$B,DATE($D$2,$B$2,AE$4)),0))</f>
        <v>0</v>
      </c>
      <c r="AF146" s="251">
        <f>IF(AF$4&gt;DAY(EOMONTH(DATE($D$2,$B$2,1),0)),"",IFERROR(SUMIFS(DATA_GOC!$H:$H,DATA_GOC!$A:$A,"BOM",DATA_GOC!$D:$D,$B146,DATA_GOC!$E:$E,"Téc 3",DATA_GOC!$F:$F,"Xuất nội bộ từ téc",DATA_GOC!$B:$B,DATE($D$2,$B$2,AF$4)),0))</f>
        <v>0</v>
      </c>
      <c r="AG146" s="251">
        <f>IF(AG$4&gt;DAY(EOMONTH(DATE($D$2,$B$2,1),0)),"",IFERROR(SUMIFS(DATA_GOC!$H:$H,DATA_GOC!$A:$A,"BOM",DATA_GOC!$D:$D,$B146,DATA_GOC!$E:$E,"Téc 3",DATA_GOC!$F:$F,"Xuất nội bộ từ téc",DATA_GOC!$B:$B,DATE($D$2,$B$2,AG$4)),0))</f>
        <v>0</v>
      </c>
      <c r="AH146" s="252">
        <f t="shared" si="7"/>
        <v>0</v>
      </c>
      <c r="AI146" s="241"/>
      <c r="AJ146" s="242">
        <f>IF($B146="","",SUMIFS(TINH_TEC!$K$233:$K$9232,TINH_TEC!$H$233:$H$9232,$B146,TINH_TEC!$C$233:$C$9232,"Téc 3",TINH_TEC!$F$233:$F$9232,$B$2,TINH_TEC!$G$233:$G$9232,$D$2,TINH_TEC!$B$233:$B$9232,"Đã chốt"))</f>
        <v>0</v>
      </c>
      <c r="AK146" s="242">
        <f>IF($B146="","",SUMIFS(TINH_TEC!$J$233:$J$9232,TINH_TEC!$H$233:$H$9232,$B146,TINH_TEC!$C$233:$C$9232,"Téc 3",TINH_TEC!$F$233:$F$9232,$B$2,TINH_TEC!$G$233:$G$9232,$D$2,TINH_TEC!$B$233:$B$9232,"Đã chốt"))</f>
        <v>0</v>
      </c>
      <c r="AL146" s="242">
        <f t="shared" si="8"/>
        <v>0</v>
      </c>
    </row>
    <row r="147" ht="15.75" customHeight="1">
      <c r="A147" s="237">
        <f>IF($B147&lt;&gt;"",20,"")</f>
        <v>20</v>
      </c>
      <c r="B147" s="250" t="str">
        <f t="array" ref="B147">IFERROR(INDEX(DANH_MUC!$E:$E,23),"")</f>
        <v>28C03652</v>
      </c>
      <c r="C147" s="251">
        <f>IF(C$4&gt;DAY(EOMONTH(DATE($D$2,$B$2,1),0)),"",IFERROR(SUMIFS(DATA_GOC!$H:$H,DATA_GOC!$A:$A,"BOM",DATA_GOC!$D:$D,$B147,DATA_GOC!$E:$E,"Téc 3",DATA_GOC!$F:$F,"Xuất nội bộ từ téc",DATA_GOC!$B:$B,DATE($D$2,$B$2,C$4)),0))</f>
        <v>0</v>
      </c>
      <c r="D147" s="251">
        <f>IF(D$4&gt;DAY(EOMONTH(DATE($D$2,$B$2,1),0)),"",IFERROR(SUMIFS(DATA_GOC!$H:$H,DATA_GOC!$A:$A,"BOM",DATA_GOC!$D:$D,$B147,DATA_GOC!$E:$E,"Téc 3",DATA_GOC!$F:$F,"Xuất nội bộ từ téc",DATA_GOC!$B:$B,DATE($D$2,$B$2,D$4)),0))</f>
        <v>0</v>
      </c>
      <c r="E147" s="251">
        <f>IF(E$4&gt;DAY(EOMONTH(DATE($D$2,$B$2,1),0)),"",IFERROR(SUMIFS(DATA_GOC!$H:$H,DATA_GOC!$A:$A,"BOM",DATA_GOC!$D:$D,$B147,DATA_GOC!$E:$E,"Téc 3",DATA_GOC!$F:$F,"Xuất nội bộ từ téc",DATA_GOC!$B:$B,DATE($D$2,$B$2,E$4)),0))</f>
        <v>0</v>
      </c>
      <c r="F147" s="251">
        <f>IF(F$4&gt;DAY(EOMONTH(DATE($D$2,$B$2,1),0)),"",IFERROR(SUMIFS(DATA_GOC!$H:$H,DATA_GOC!$A:$A,"BOM",DATA_GOC!$D:$D,$B147,DATA_GOC!$E:$E,"Téc 3",DATA_GOC!$F:$F,"Xuất nội bộ từ téc",DATA_GOC!$B:$B,DATE($D$2,$B$2,F$4)),0))</f>
        <v>0</v>
      </c>
      <c r="G147" s="251">
        <f>IF(G$4&gt;DAY(EOMONTH(DATE($D$2,$B$2,1),0)),"",IFERROR(SUMIFS(DATA_GOC!$H:$H,DATA_GOC!$A:$A,"BOM",DATA_GOC!$D:$D,$B147,DATA_GOC!$E:$E,"Téc 3",DATA_GOC!$F:$F,"Xuất nội bộ từ téc",DATA_GOC!$B:$B,DATE($D$2,$B$2,G$4)),0))</f>
        <v>0</v>
      </c>
      <c r="H147" s="251">
        <f>IF(H$4&gt;DAY(EOMONTH(DATE($D$2,$B$2,1),0)),"",IFERROR(SUMIFS(DATA_GOC!$H:$H,DATA_GOC!$A:$A,"BOM",DATA_GOC!$D:$D,$B147,DATA_GOC!$E:$E,"Téc 3",DATA_GOC!$F:$F,"Xuất nội bộ từ téc",DATA_GOC!$B:$B,DATE($D$2,$B$2,H$4)),0))</f>
        <v>0</v>
      </c>
      <c r="I147" s="251">
        <f>IF(I$4&gt;DAY(EOMONTH(DATE($D$2,$B$2,1),0)),"",IFERROR(SUMIFS(DATA_GOC!$H:$H,DATA_GOC!$A:$A,"BOM",DATA_GOC!$D:$D,$B147,DATA_GOC!$E:$E,"Téc 3",DATA_GOC!$F:$F,"Xuất nội bộ từ téc",DATA_GOC!$B:$B,DATE($D$2,$B$2,I$4)),0))</f>
        <v>0</v>
      </c>
      <c r="J147" s="251">
        <f>IF(J$4&gt;DAY(EOMONTH(DATE($D$2,$B$2,1),0)),"",IFERROR(SUMIFS(DATA_GOC!$H:$H,DATA_GOC!$A:$A,"BOM",DATA_GOC!$D:$D,$B147,DATA_GOC!$E:$E,"Téc 3",DATA_GOC!$F:$F,"Xuất nội bộ từ téc",DATA_GOC!$B:$B,DATE($D$2,$B$2,J$4)),0))</f>
        <v>0</v>
      </c>
      <c r="K147" s="251">
        <f>IF(K$4&gt;DAY(EOMONTH(DATE($D$2,$B$2,1),0)),"",IFERROR(SUMIFS(DATA_GOC!$H:$H,DATA_GOC!$A:$A,"BOM",DATA_GOC!$D:$D,$B147,DATA_GOC!$E:$E,"Téc 3",DATA_GOC!$F:$F,"Xuất nội bộ từ téc",DATA_GOC!$B:$B,DATE($D$2,$B$2,K$4)),0))</f>
        <v>0</v>
      </c>
      <c r="L147" s="251">
        <f>IF(L$4&gt;DAY(EOMONTH(DATE($D$2,$B$2,1),0)),"",IFERROR(SUMIFS(DATA_GOC!$H:$H,DATA_GOC!$A:$A,"BOM",DATA_GOC!$D:$D,$B147,DATA_GOC!$E:$E,"Téc 3",DATA_GOC!$F:$F,"Xuất nội bộ từ téc",DATA_GOC!$B:$B,DATE($D$2,$B$2,L$4)),0))</f>
        <v>0</v>
      </c>
      <c r="M147" s="251">
        <f>IF(M$4&gt;DAY(EOMONTH(DATE($D$2,$B$2,1),0)),"",IFERROR(SUMIFS(DATA_GOC!$H:$H,DATA_GOC!$A:$A,"BOM",DATA_GOC!$D:$D,$B147,DATA_GOC!$E:$E,"Téc 3",DATA_GOC!$F:$F,"Xuất nội bộ từ téc",DATA_GOC!$B:$B,DATE($D$2,$B$2,M$4)),0))</f>
        <v>0</v>
      </c>
      <c r="N147" s="251">
        <f>IF(N$4&gt;DAY(EOMONTH(DATE($D$2,$B$2,1),0)),"",IFERROR(SUMIFS(DATA_GOC!$H:$H,DATA_GOC!$A:$A,"BOM",DATA_GOC!$D:$D,$B147,DATA_GOC!$E:$E,"Téc 3",DATA_GOC!$F:$F,"Xuất nội bộ từ téc",DATA_GOC!$B:$B,DATE($D$2,$B$2,N$4)),0))</f>
        <v>0</v>
      </c>
      <c r="O147" s="251">
        <f>IF(O$4&gt;DAY(EOMONTH(DATE($D$2,$B$2,1),0)),"",IFERROR(SUMIFS(DATA_GOC!$H:$H,DATA_GOC!$A:$A,"BOM",DATA_GOC!$D:$D,$B147,DATA_GOC!$E:$E,"Téc 3",DATA_GOC!$F:$F,"Xuất nội bộ từ téc",DATA_GOC!$B:$B,DATE($D$2,$B$2,O$4)),0))</f>
        <v>0</v>
      </c>
      <c r="P147" s="251">
        <f>IF(P$4&gt;DAY(EOMONTH(DATE($D$2,$B$2,1),0)),"",IFERROR(SUMIFS(DATA_GOC!$H:$H,DATA_GOC!$A:$A,"BOM",DATA_GOC!$D:$D,$B147,DATA_GOC!$E:$E,"Téc 3",DATA_GOC!$F:$F,"Xuất nội bộ từ téc",DATA_GOC!$B:$B,DATE($D$2,$B$2,P$4)),0))</f>
        <v>0</v>
      </c>
      <c r="Q147" s="251">
        <f>IF(Q$4&gt;DAY(EOMONTH(DATE($D$2,$B$2,1),0)),"",IFERROR(SUMIFS(DATA_GOC!$H:$H,DATA_GOC!$A:$A,"BOM",DATA_GOC!$D:$D,$B147,DATA_GOC!$E:$E,"Téc 3",DATA_GOC!$F:$F,"Xuất nội bộ từ téc",DATA_GOC!$B:$B,DATE($D$2,$B$2,Q$4)),0))</f>
        <v>0</v>
      </c>
      <c r="R147" s="251">
        <f>IF(R$4&gt;DAY(EOMONTH(DATE($D$2,$B$2,1),0)),"",IFERROR(SUMIFS(DATA_GOC!$H:$H,DATA_GOC!$A:$A,"BOM",DATA_GOC!$D:$D,$B147,DATA_GOC!$E:$E,"Téc 3",DATA_GOC!$F:$F,"Xuất nội bộ từ téc",DATA_GOC!$B:$B,DATE($D$2,$B$2,R$4)),0))</f>
        <v>0</v>
      </c>
      <c r="S147" s="251">
        <f>IF(S$4&gt;DAY(EOMONTH(DATE($D$2,$B$2,1),0)),"",IFERROR(SUMIFS(DATA_GOC!$H:$H,DATA_GOC!$A:$A,"BOM",DATA_GOC!$D:$D,$B147,DATA_GOC!$E:$E,"Téc 3",DATA_GOC!$F:$F,"Xuất nội bộ từ téc",DATA_GOC!$B:$B,DATE($D$2,$B$2,S$4)),0))</f>
        <v>0</v>
      </c>
      <c r="T147" s="251">
        <f>IF(T$4&gt;DAY(EOMONTH(DATE($D$2,$B$2,1),0)),"",IFERROR(SUMIFS(DATA_GOC!$H:$H,DATA_GOC!$A:$A,"BOM",DATA_GOC!$D:$D,$B147,DATA_GOC!$E:$E,"Téc 3",DATA_GOC!$F:$F,"Xuất nội bộ từ téc",DATA_GOC!$B:$B,DATE($D$2,$B$2,T$4)),0))</f>
        <v>0</v>
      </c>
      <c r="U147" s="251">
        <f>IF(U$4&gt;DAY(EOMONTH(DATE($D$2,$B$2,1),0)),"",IFERROR(SUMIFS(DATA_GOC!$H:$H,DATA_GOC!$A:$A,"BOM",DATA_GOC!$D:$D,$B147,DATA_GOC!$E:$E,"Téc 3",DATA_GOC!$F:$F,"Xuất nội bộ từ téc",DATA_GOC!$B:$B,DATE($D$2,$B$2,U$4)),0))</f>
        <v>0</v>
      </c>
      <c r="V147" s="251">
        <f>IF(V$4&gt;DAY(EOMONTH(DATE($D$2,$B$2,1),0)),"",IFERROR(SUMIFS(DATA_GOC!$H:$H,DATA_GOC!$A:$A,"BOM",DATA_GOC!$D:$D,$B147,DATA_GOC!$E:$E,"Téc 3",DATA_GOC!$F:$F,"Xuất nội bộ từ téc",DATA_GOC!$B:$B,DATE($D$2,$B$2,V$4)),0))</f>
        <v>0</v>
      </c>
      <c r="W147" s="251">
        <f>IF(W$4&gt;DAY(EOMONTH(DATE($D$2,$B$2,1),0)),"",IFERROR(SUMIFS(DATA_GOC!$H:$H,DATA_GOC!$A:$A,"BOM",DATA_GOC!$D:$D,$B147,DATA_GOC!$E:$E,"Téc 3",DATA_GOC!$F:$F,"Xuất nội bộ từ téc",DATA_GOC!$B:$B,DATE($D$2,$B$2,W$4)),0))</f>
        <v>0</v>
      </c>
      <c r="X147" s="251">
        <f>IF(X$4&gt;DAY(EOMONTH(DATE($D$2,$B$2,1),0)),"",IFERROR(SUMIFS(DATA_GOC!$H:$H,DATA_GOC!$A:$A,"BOM",DATA_GOC!$D:$D,$B147,DATA_GOC!$E:$E,"Téc 3",DATA_GOC!$F:$F,"Xuất nội bộ từ téc",DATA_GOC!$B:$B,DATE($D$2,$B$2,X$4)),0))</f>
        <v>0</v>
      </c>
      <c r="Y147" s="251">
        <f>IF(Y$4&gt;DAY(EOMONTH(DATE($D$2,$B$2,1),0)),"",IFERROR(SUMIFS(DATA_GOC!$H:$H,DATA_GOC!$A:$A,"BOM",DATA_GOC!$D:$D,$B147,DATA_GOC!$E:$E,"Téc 3",DATA_GOC!$F:$F,"Xuất nội bộ từ téc",DATA_GOC!$B:$B,DATE($D$2,$B$2,Y$4)),0))</f>
        <v>0</v>
      </c>
      <c r="Z147" s="251">
        <f>IF(Z$4&gt;DAY(EOMONTH(DATE($D$2,$B$2,1),0)),"",IFERROR(SUMIFS(DATA_GOC!$H:$H,DATA_GOC!$A:$A,"BOM",DATA_GOC!$D:$D,$B147,DATA_GOC!$E:$E,"Téc 3",DATA_GOC!$F:$F,"Xuất nội bộ từ téc",DATA_GOC!$B:$B,DATE($D$2,$B$2,Z$4)),0))</f>
        <v>0</v>
      </c>
      <c r="AA147" s="251">
        <f>IF(AA$4&gt;DAY(EOMONTH(DATE($D$2,$B$2,1),0)),"",IFERROR(SUMIFS(DATA_GOC!$H:$H,DATA_GOC!$A:$A,"BOM",DATA_GOC!$D:$D,$B147,DATA_GOC!$E:$E,"Téc 3",DATA_GOC!$F:$F,"Xuất nội bộ từ téc",DATA_GOC!$B:$B,DATE($D$2,$B$2,AA$4)),0))</f>
        <v>0</v>
      </c>
      <c r="AB147" s="251">
        <f>IF(AB$4&gt;DAY(EOMONTH(DATE($D$2,$B$2,1),0)),"",IFERROR(SUMIFS(DATA_GOC!$H:$H,DATA_GOC!$A:$A,"BOM",DATA_GOC!$D:$D,$B147,DATA_GOC!$E:$E,"Téc 3",DATA_GOC!$F:$F,"Xuất nội bộ từ téc",DATA_GOC!$B:$B,DATE($D$2,$B$2,AB$4)),0))</f>
        <v>0</v>
      </c>
      <c r="AC147" s="251">
        <f>IF(AC$4&gt;DAY(EOMONTH(DATE($D$2,$B$2,1),0)),"",IFERROR(SUMIFS(DATA_GOC!$H:$H,DATA_GOC!$A:$A,"BOM",DATA_GOC!$D:$D,$B147,DATA_GOC!$E:$E,"Téc 3",DATA_GOC!$F:$F,"Xuất nội bộ từ téc",DATA_GOC!$B:$B,DATE($D$2,$B$2,AC$4)),0))</f>
        <v>0</v>
      </c>
      <c r="AD147" s="251">
        <f>IF(AD$4&gt;DAY(EOMONTH(DATE($D$2,$B$2,1),0)),"",IFERROR(SUMIFS(DATA_GOC!$H:$H,DATA_GOC!$A:$A,"BOM",DATA_GOC!$D:$D,$B147,DATA_GOC!$E:$E,"Téc 3",DATA_GOC!$F:$F,"Xuất nội bộ từ téc",DATA_GOC!$B:$B,DATE($D$2,$B$2,AD$4)),0))</f>
        <v>0</v>
      </c>
      <c r="AE147" s="251">
        <f>IF(AE$4&gt;DAY(EOMONTH(DATE($D$2,$B$2,1),0)),"",IFERROR(SUMIFS(DATA_GOC!$H:$H,DATA_GOC!$A:$A,"BOM",DATA_GOC!$D:$D,$B147,DATA_GOC!$E:$E,"Téc 3",DATA_GOC!$F:$F,"Xuất nội bộ từ téc",DATA_GOC!$B:$B,DATE($D$2,$B$2,AE$4)),0))</f>
        <v>0</v>
      </c>
      <c r="AF147" s="251">
        <f>IF(AF$4&gt;DAY(EOMONTH(DATE($D$2,$B$2,1),0)),"",IFERROR(SUMIFS(DATA_GOC!$H:$H,DATA_GOC!$A:$A,"BOM",DATA_GOC!$D:$D,$B147,DATA_GOC!$E:$E,"Téc 3",DATA_GOC!$F:$F,"Xuất nội bộ từ téc",DATA_GOC!$B:$B,DATE($D$2,$B$2,AF$4)),0))</f>
        <v>0</v>
      </c>
      <c r="AG147" s="251">
        <f>IF(AG$4&gt;DAY(EOMONTH(DATE($D$2,$B$2,1),0)),"",IFERROR(SUMIFS(DATA_GOC!$H:$H,DATA_GOC!$A:$A,"BOM",DATA_GOC!$D:$D,$B147,DATA_GOC!$E:$E,"Téc 3",DATA_GOC!$F:$F,"Xuất nội bộ từ téc",DATA_GOC!$B:$B,DATE($D$2,$B$2,AG$4)),0))</f>
        <v>0</v>
      </c>
      <c r="AH147" s="252">
        <f t="shared" si="7"/>
        <v>0</v>
      </c>
      <c r="AI147" s="241"/>
      <c r="AJ147" s="242">
        <f>IF($B147="","",SUMIFS(TINH_TEC!$K$233:$K$9232,TINH_TEC!$H$233:$H$9232,$B147,TINH_TEC!$C$233:$C$9232,"Téc 3",TINH_TEC!$F$233:$F$9232,$B$2,TINH_TEC!$G$233:$G$9232,$D$2,TINH_TEC!$B$233:$B$9232,"Đã chốt"))</f>
        <v>0</v>
      </c>
      <c r="AK147" s="242">
        <f>IF($B147="","",SUMIFS(TINH_TEC!$J$233:$J$9232,TINH_TEC!$H$233:$H$9232,$B147,TINH_TEC!$C$233:$C$9232,"Téc 3",TINH_TEC!$F$233:$F$9232,$B$2,TINH_TEC!$G$233:$G$9232,$D$2,TINH_TEC!$B$233:$B$9232,"Đã chốt"))</f>
        <v>0</v>
      </c>
      <c r="AL147" s="242">
        <f t="shared" si="8"/>
        <v>0</v>
      </c>
    </row>
    <row r="148" ht="15.75" customHeight="1">
      <c r="A148" s="237">
        <f>IF($B148&lt;&gt;"",21,"")</f>
        <v>21</v>
      </c>
      <c r="B148" s="250" t="str">
        <f t="array" ref="B148">IFERROR(INDEX(DANH_MUC!$E:$E,24),"")</f>
        <v>28C03695</v>
      </c>
      <c r="C148" s="251">
        <f>IF(C$4&gt;DAY(EOMONTH(DATE($D$2,$B$2,1),0)),"",IFERROR(SUMIFS(DATA_GOC!$H:$H,DATA_GOC!$A:$A,"BOM",DATA_GOC!$D:$D,$B148,DATA_GOC!$E:$E,"Téc 3",DATA_GOC!$F:$F,"Xuất nội bộ từ téc",DATA_GOC!$B:$B,DATE($D$2,$B$2,C$4)),0))</f>
        <v>0</v>
      </c>
      <c r="D148" s="251">
        <f>IF(D$4&gt;DAY(EOMONTH(DATE($D$2,$B$2,1),0)),"",IFERROR(SUMIFS(DATA_GOC!$H:$H,DATA_GOC!$A:$A,"BOM",DATA_GOC!$D:$D,$B148,DATA_GOC!$E:$E,"Téc 3",DATA_GOC!$F:$F,"Xuất nội bộ từ téc",DATA_GOC!$B:$B,DATE($D$2,$B$2,D$4)),0))</f>
        <v>0</v>
      </c>
      <c r="E148" s="251">
        <f>IF(E$4&gt;DAY(EOMONTH(DATE($D$2,$B$2,1),0)),"",IFERROR(SUMIFS(DATA_GOC!$H:$H,DATA_GOC!$A:$A,"BOM",DATA_GOC!$D:$D,$B148,DATA_GOC!$E:$E,"Téc 3",DATA_GOC!$F:$F,"Xuất nội bộ từ téc",DATA_GOC!$B:$B,DATE($D$2,$B$2,E$4)),0))</f>
        <v>0</v>
      </c>
      <c r="F148" s="251">
        <f>IF(F$4&gt;DAY(EOMONTH(DATE($D$2,$B$2,1),0)),"",IFERROR(SUMIFS(DATA_GOC!$H:$H,DATA_GOC!$A:$A,"BOM",DATA_GOC!$D:$D,$B148,DATA_GOC!$E:$E,"Téc 3",DATA_GOC!$F:$F,"Xuất nội bộ từ téc",DATA_GOC!$B:$B,DATE($D$2,$B$2,F$4)),0))</f>
        <v>0</v>
      </c>
      <c r="G148" s="251">
        <f>IF(G$4&gt;DAY(EOMONTH(DATE($D$2,$B$2,1),0)),"",IFERROR(SUMIFS(DATA_GOC!$H:$H,DATA_GOC!$A:$A,"BOM",DATA_GOC!$D:$D,$B148,DATA_GOC!$E:$E,"Téc 3",DATA_GOC!$F:$F,"Xuất nội bộ từ téc",DATA_GOC!$B:$B,DATE($D$2,$B$2,G$4)),0))</f>
        <v>0</v>
      </c>
      <c r="H148" s="251">
        <f>IF(H$4&gt;DAY(EOMONTH(DATE($D$2,$B$2,1),0)),"",IFERROR(SUMIFS(DATA_GOC!$H:$H,DATA_GOC!$A:$A,"BOM",DATA_GOC!$D:$D,$B148,DATA_GOC!$E:$E,"Téc 3",DATA_GOC!$F:$F,"Xuất nội bộ từ téc",DATA_GOC!$B:$B,DATE($D$2,$B$2,H$4)),0))</f>
        <v>0</v>
      </c>
      <c r="I148" s="251">
        <f>IF(I$4&gt;DAY(EOMONTH(DATE($D$2,$B$2,1),0)),"",IFERROR(SUMIFS(DATA_GOC!$H:$H,DATA_GOC!$A:$A,"BOM",DATA_GOC!$D:$D,$B148,DATA_GOC!$E:$E,"Téc 3",DATA_GOC!$F:$F,"Xuất nội bộ từ téc",DATA_GOC!$B:$B,DATE($D$2,$B$2,I$4)),0))</f>
        <v>0</v>
      </c>
      <c r="J148" s="251">
        <f>IF(J$4&gt;DAY(EOMONTH(DATE($D$2,$B$2,1),0)),"",IFERROR(SUMIFS(DATA_GOC!$H:$H,DATA_GOC!$A:$A,"BOM",DATA_GOC!$D:$D,$B148,DATA_GOC!$E:$E,"Téc 3",DATA_GOC!$F:$F,"Xuất nội bộ từ téc",DATA_GOC!$B:$B,DATE($D$2,$B$2,J$4)),0))</f>
        <v>0</v>
      </c>
      <c r="K148" s="251">
        <f>IF(K$4&gt;DAY(EOMONTH(DATE($D$2,$B$2,1),0)),"",IFERROR(SUMIFS(DATA_GOC!$H:$H,DATA_GOC!$A:$A,"BOM",DATA_GOC!$D:$D,$B148,DATA_GOC!$E:$E,"Téc 3",DATA_GOC!$F:$F,"Xuất nội bộ từ téc",DATA_GOC!$B:$B,DATE($D$2,$B$2,K$4)),0))</f>
        <v>0</v>
      </c>
      <c r="L148" s="251">
        <f>IF(L$4&gt;DAY(EOMONTH(DATE($D$2,$B$2,1),0)),"",IFERROR(SUMIFS(DATA_GOC!$H:$H,DATA_GOC!$A:$A,"BOM",DATA_GOC!$D:$D,$B148,DATA_GOC!$E:$E,"Téc 3",DATA_GOC!$F:$F,"Xuất nội bộ từ téc",DATA_GOC!$B:$B,DATE($D$2,$B$2,L$4)),0))</f>
        <v>0</v>
      </c>
      <c r="M148" s="251">
        <f>IF(M$4&gt;DAY(EOMONTH(DATE($D$2,$B$2,1),0)),"",IFERROR(SUMIFS(DATA_GOC!$H:$H,DATA_GOC!$A:$A,"BOM",DATA_GOC!$D:$D,$B148,DATA_GOC!$E:$E,"Téc 3",DATA_GOC!$F:$F,"Xuất nội bộ từ téc",DATA_GOC!$B:$B,DATE($D$2,$B$2,M$4)),0))</f>
        <v>0</v>
      </c>
      <c r="N148" s="251">
        <f>IF(N$4&gt;DAY(EOMONTH(DATE($D$2,$B$2,1),0)),"",IFERROR(SUMIFS(DATA_GOC!$H:$H,DATA_GOC!$A:$A,"BOM",DATA_GOC!$D:$D,$B148,DATA_GOC!$E:$E,"Téc 3",DATA_GOC!$F:$F,"Xuất nội bộ từ téc",DATA_GOC!$B:$B,DATE($D$2,$B$2,N$4)),0))</f>
        <v>0</v>
      </c>
      <c r="O148" s="251">
        <f>IF(O$4&gt;DAY(EOMONTH(DATE($D$2,$B$2,1),0)),"",IFERROR(SUMIFS(DATA_GOC!$H:$H,DATA_GOC!$A:$A,"BOM",DATA_GOC!$D:$D,$B148,DATA_GOC!$E:$E,"Téc 3",DATA_GOC!$F:$F,"Xuất nội bộ từ téc",DATA_GOC!$B:$B,DATE($D$2,$B$2,O$4)),0))</f>
        <v>0</v>
      </c>
      <c r="P148" s="251">
        <f>IF(P$4&gt;DAY(EOMONTH(DATE($D$2,$B$2,1),0)),"",IFERROR(SUMIFS(DATA_GOC!$H:$H,DATA_GOC!$A:$A,"BOM",DATA_GOC!$D:$D,$B148,DATA_GOC!$E:$E,"Téc 3",DATA_GOC!$F:$F,"Xuất nội bộ từ téc",DATA_GOC!$B:$B,DATE($D$2,$B$2,P$4)),0))</f>
        <v>0</v>
      </c>
      <c r="Q148" s="251">
        <f>IF(Q$4&gt;DAY(EOMONTH(DATE($D$2,$B$2,1),0)),"",IFERROR(SUMIFS(DATA_GOC!$H:$H,DATA_GOC!$A:$A,"BOM",DATA_GOC!$D:$D,$B148,DATA_GOC!$E:$E,"Téc 3",DATA_GOC!$F:$F,"Xuất nội bộ từ téc",DATA_GOC!$B:$B,DATE($D$2,$B$2,Q$4)),0))</f>
        <v>0</v>
      </c>
      <c r="R148" s="251">
        <f>IF(R$4&gt;DAY(EOMONTH(DATE($D$2,$B$2,1),0)),"",IFERROR(SUMIFS(DATA_GOC!$H:$H,DATA_GOC!$A:$A,"BOM",DATA_GOC!$D:$D,$B148,DATA_GOC!$E:$E,"Téc 3",DATA_GOC!$F:$F,"Xuất nội bộ từ téc",DATA_GOC!$B:$B,DATE($D$2,$B$2,R$4)),0))</f>
        <v>0</v>
      </c>
      <c r="S148" s="251">
        <f>IF(S$4&gt;DAY(EOMONTH(DATE($D$2,$B$2,1),0)),"",IFERROR(SUMIFS(DATA_GOC!$H:$H,DATA_GOC!$A:$A,"BOM",DATA_GOC!$D:$D,$B148,DATA_GOC!$E:$E,"Téc 3",DATA_GOC!$F:$F,"Xuất nội bộ từ téc",DATA_GOC!$B:$B,DATE($D$2,$B$2,S$4)),0))</f>
        <v>0</v>
      </c>
      <c r="T148" s="251">
        <f>IF(T$4&gt;DAY(EOMONTH(DATE($D$2,$B$2,1),0)),"",IFERROR(SUMIFS(DATA_GOC!$H:$H,DATA_GOC!$A:$A,"BOM",DATA_GOC!$D:$D,$B148,DATA_GOC!$E:$E,"Téc 3",DATA_GOC!$F:$F,"Xuất nội bộ từ téc",DATA_GOC!$B:$B,DATE($D$2,$B$2,T$4)),0))</f>
        <v>0</v>
      </c>
      <c r="U148" s="251">
        <f>IF(U$4&gt;DAY(EOMONTH(DATE($D$2,$B$2,1),0)),"",IFERROR(SUMIFS(DATA_GOC!$H:$H,DATA_GOC!$A:$A,"BOM",DATA_GOC!$D:$D,$B148,DATA_GOC!$E:$E,"Téc 3",DATA_GOC!$F:$F,"Xuất nội bộ từ téc",DATA_GOC!$B:$B,DATE($D$2,$B$2,U$4)),0))</f>
        <v>0</v>
      </c>
      <c r="V148" s="251">
        <f>IF(V$4&gt;DAY(EOMONTH(DATE($D$2,$B$2,1),0)),"",IFERROR(SUMIFS(DATA_GOC!$H:$H,DATA_GOC!$A:$A,"BOM",DATA_GOC!$D:$D,$B148,DATA_GOC!$E:$E,"Téc 3",DATA_GOC!$F:$F,"Xuất nội bộ từ téc",DATA_GOC!$B:$B,DATE($D$2,$B$2,V$4)),0))</f>
        <v>0</v>
      </c>
      <c r="W148" s="251">
        <f>IF(W$4&gt;DAY(EOMONTH(DATE($D$2,$B$2,1),0)),"",IFERROR(SUMIFS(DATA_GOC!$H:$H,DATA_GOC!$A:$A,"BOM",DATA_GOC!$D:$D,$B148,DATA_GOC!$E:$E,"Téc 3",DATA_GOC!$F:$F,"Xuất nội bộ từ téc",DATA_GOC!$B:$B,DATE($D$2,$B$2,W$4)),0))</f>
        <v>0</v>
      </c>
      <c r="X148" s="251">
        <f>IF(X$4&gt;DAY(EOMONTH(DATE($D$2,$B$2,1),0)),"",IFERROR(SUMIFS(DATA_GOC!$H:$H,DATA_GOC!$A:$A,"BOM",DATA_GOC!$D:$D,$B148,DATA_GOC!$E:$E,"Téc 3",DATA_GOC!$F:$F,"Xuất nội bộ từ téc",DATA_GOC!$B:$B,DATE($D$2,$B$2,X$4)),0))</f>
        <v>0</v>
      </c>
      <c r="Y148" s="251">
        <f>IF(Y$4&gt;DAY(EOMONTH(DATE($D$2,$B$2,1),0)),"",IFERROR(SUMIFS(DATA_GOC!$H:$H,DATA_GOC!$A:$A,"BOM",DATA_GOC!$D:$D,$B148,DATA_GOC!$E:$E,"Téc 3",DATA_GOC!$F:$F,"Xuất nội bộ từ téc",DATA_GOC!$B:$B,DATE($D$2,$B$2,Y$4)),0))</f>
        <v>0</v>
      </c>
      <c r="Z148" s="251">
        <f>IF(Z$4&gt;DAY(EOMONTH(DATE($D$2,$B$2,1),0)),"",IFERROR(SUMIFS(DATA_GOC!$H:$H,DATA_GOC!$A:$A,"BOM",DATA_GOC!$D:$D,$B148,DATA_GOC!$E:$E,"Téc 3",DATA_GOC!$F:$F,"Xuất nội bộ từ téc",DATA_GOC!$B:$B,DATE($D$2,$B$2,Z$4)),0))</f>
        <v>0</v>
      </c>
      <c r="AA148" s="251">
        <f>IF(AA$4&gt;DAY(EOMONTH(DATE($D$2,$B$2,1),0)),"",IFERROR(SUMIFS(DATA_GOC!$H:$H,DATA_GOC!$A:$A,"BOM",DATA_GOC!$D:$D,$B148,DATA_GOC!$E:$E,"Téc 3",DATA_GOC!$F:$F,"Xuất nội bộ từ téc",DATA_GOC!$B:$B,DATE($D$2,$B$2,AA$4)),0))</f>
        <v>0</v>
      </c>
      <c r="AB148" s="251">
        <f>IF(AB$4&gt;DAY(EOMONTH(DATE($D$2,$B$2,1),0)),"",IFERROR(SUMIFS(DATA_GOC!$H:$H,DATA_GOC!$A:$A,"BOM",DATA_GOC!$D:$D,$B148,DATA_GOC!$E:$E,"Téc 3",DATA_GOC!$F:$F,"Xuất nội bộ từ téc",DATA_GOC!$B:$B,DATE($D$2,$B$2,AB$4)),0))</f>
        <v>0</v>
      </c>
      <c r="AC148" s="251">
        <f>IF(AC$4&gt;DAY(EOMONTH(DATE($D$2,$B$2,1),0)),"",IFERROR(SUMIFS(DATA_GOC!$H:$H,DATA_GOC!$A:$A,"BOM",DATA_GOC!$D:$D,$B148,DATA_GOC!$E:$E,"Téc 3",DATA_GOC!$F:$F,"Xuất nội bộ từ téc",DATA_GOC!$B:$B,DATE($D$2,$B$2,AC$4)),0))</f>
        <v>0</v>
      </c>
      <c r="AD148" s="251">
        <f>IF(AD$4&gt;DAY(EOMONTH(DATE($D$2,$B$2,1),0)),"",IFERROR(SUMIFS(DATA_GOC!$H:$H,DATA_GOC!$A:$A,"BOM",DATA_GOC!$D:$D,$B148,DATA_GOC!$E:$E,"Téc 3",DATA_GOC!$F:$F,"Xuất nội bộ từ téc",DATA_GOC!$B:$B,DATE($D$2,$B$2,AD$4)),0))</f>
        <v>0</v>
      </c>
      <c r="AE148" s="251">
        <f>IF(AE$4&gt;DAY(EOMONTH(DATE($D$2,$B$2,1),0)),"",IFERROR(SUMIFS(DATA_GOC!$H:$H,DATA_GOC!$A:$A,"BOM",DATA_GOC!$D:$D,$B148,DATA_GOC!$E:$E,"Téc 3",DATA_GOC!$F:$F,"Xuất nội bộ từ téc",DATA_GOC!$B:$B,DATE($D$2,$B$2,AE$4)),0))</f>
        <v>0</v>
      </c>
      <c r="AF148" s="251">
        <f>IF(AF$4&gt;DAY(EOMONTH(DATE($D$2,$B$2,1),0)),"",IFERROR(SUMIFS(DATA_GOC!$H:$H,DATA_GOC!$A:$A,"BOM",DATA_GOC!$D:$D,$B148,DATA_GOC!$E:$E,"Téc 3",DATA_GOC!$F:$F,"Xuất nội bộ từ téc",DATA_GOC!$B:$B,DATE($D$2,$B$2,AF$4)),0))</f>
        <v>0</v>
      </c>
      <c r="AG148" s="251">
        <f>IF(AG$4&gt;DAY(EOMONTH(DATE($D$2,$B$2,1),0)),"",IFERROR(SUMIFS(DATA_GOC!$H:$H,DATA_GOC!$A:$A,"BOM",DATA_GOC!$D:$D,$B148,DATA_GOC!$E:$E,"Téc 3",DATA_GOC!$F:$F,"Xuất nội bộ từ téc",DATA_GOC!$B:$B,DATE($D$2,$B$2,AG$4)),0))</f>
        <v>0</v>
      </c>
      <c r="AH148" s="252">
        <f t="shared" si="7"/>
        <v>0</v>
      </c>
      <c r="AI148" s="241"/>
      <c r="AJ148" s="242">
        <f>IF($B148="","",SUMIFS(TINH_TEC!$K$233:$K$9232,TINH_TEC!$H$233:$H$9232,$B148,TINH_TEC!$C$233:$C$9232,"Téc 3",TINH_TEC!$F$233:$F$9232,$B$2,TINH_TEC!$G$233:$G$9232,$D$2,TINH_TEC!$B$233:$B$9232,"Đã chốt"))</f>
        <v>0</v>
      </c>
      <c r="AK148" s="242">
        <f>IF($B148="","",SUMIFS(TINH_TEC!$J$233:$J$9232,TINH_TEC!$H$233:$H$9232,$B148,TINH_TEC!$C$233:$C$9232,"Téc 3",TINH_TEC!$F$233:$F$9232,$B$2,TINH_TEC!$G$233:$G$9232,$D$2,TINH_TEC!$B$233:$B$9232,"Đã chốt"))</f>
        <v>0</v>
      </c>
      <c r="AL148" s="242">
        <f t="shared" si="8"/>
        <v>0</v>
      </c>
    </row>
    <row r="149" ht="15.75" customHeight="1">
      <c r="A149" s="237">
        <f>IF($B149&lt;&gt;"",22,"")</f>
        <v>22</v>
      </c>
      <c r="B149" s="250" t="str">
        <f t="array" ref="B149">IFERROR(INDEX(DANH_MUC!$E:$E,25),"")</f>
        <v>28C03927</v>
      </c>
      <c r="C149" s="251">
        <f>IF(C$4&gt;DAY(EOMONTH(DATE($D$2,$B$2,1),0)),"",IFERROR(SUMIFS(DATA_GOC!$H:$H,DATA_GOC!$A:$A,"BOM",DATA_GOC!$D:$D,$B149,DATA_GOC!$E:$E,"Téc 3",DATA_GOC!$F:$F,"Xuất nội bộ từ téc",DATA_GOC!$B:$B,DATE($D$2,$B$2,C$4)),0))</f>
        <v>0</v>
      </c>
      <c r="D149" s="251">
        <f>IF(D$4&gt;DAY(EOMONTH(DATE($D$2,$B$2,1),0)),"",IFERROR(SUMIFS(DATA_GOC!$H:$H,DATA_GOC!$A:$A,"BOM",DATA_GOC!$D:$D,$B149,DATA_GOC!$E:$E,"Téc 3",DATA_GOC!$F:$F,"Xuất nội bộ từ téc",DATA_GOC!$B:$B,DATE($D$2,$B$2,D$4)),0))</f>
        <v>0</v>
      </c>
      <c r="E149" s="251">
        <f>IF(E$4&gt;DAY(EOMONTH(DATE($D$2,$B$2,1),0)),"",IFERROR(SUMIFS(DATA_GOC!$H:$H,DATA_GOC!$A:$A,"BOM",DATA_GOC!$D:$D,$B149,DATA_GOC!$E:$E,"Téc 3",DATA_GOC!$F:$F,"Xuất nội bộ từ téc",DATA_GOC!$B:$B,DATE($D$2,$B$2,E$4)),0))</f>
        <v>0</v>
      </c>
      <c r="F149" s="251">
        <f>IF(F$4&gt;DAY(EOMONTH(DATE($D$2,$B$2,1),0)),"",IFERROR(SUMIFS(DATA_GOC!$H:$H,DATA_GOC!$A:$A,"BOM",DATA_GOC!$D:$D,$B149,DATA_GOC!$E:$E,"Téc 3",DATA_GOC!$F:$F,"Xuất nội bộ từ téc",DATA_GOC!$B:$B,DATE($D$2,$B$2,F$4)),0))</f>
        <v>0</v>
      </c>
      <c r="G149" s="251">
        <f>IF(G$4&gt;DAY(EOMONTH(DATE($D$2,$B$2,1),0)),"",IFERROR(SUMIFS(DATA_GOC!$H:$H,DATA_GOC!$A:$A,"BOM",DATA_GOC!$D:$D,$B149,DATA_GOC!$E:$E,"Téc 3",DATA_GOC!$F:$F,"Xuất nội bộ từ téc",DATA_GOC!$B:$B,DATE($D$2,$B$2,G$4)),0))</f>
        <v>0</v>
      </c>
      <c r="H149" s="251">
        <f>IF(H$4&gt;DAY(EOMONTH(DATE($D$2,$B$2,1),0)),"",IFERROR(SUMIFS(DATA_GOC!$H:$H,DATA_GOC!$A:$A,"BOM",DATA_GOC!$D:$D,$B149,DATA_GOC!$E:$E,"Téc 3",DATA_GOC!$F:$F,"Xuất nội bộ từ téc",DATA_GOC!$B:$B,DATE($D$2,$B$2,H$4)),0))</f>
        <v>0</v>
      </c>
      <c r="I149" s="251">
        <f>IF(I$4&gt;DAY(EOMONTH(DATE($D$2,$B$2,1),0)),"",IFERROR(SUMIFS(DATA_GOC!$H:$H,DATA_GOC!$A:$A,"BOM",DATA_GOC!$D:$D,$B149,DATA_GOC!$E:$E,"Téc 3",DATA_GOC!$F:$F,"Xuất nội bộ từ téc",DATA_GOC!$B:$B,DATE($D$2,$B$2,I$4)),0))</f>
        <v>0</v>
      </c>
      <c r="J149" s="251">
        <f>IF(J$4&gt;DAY(EOMONTH(DATE($D$2,$B$2,1),0)),"",IFERROR(SUMIFS(DATA_GOC!$H:$H,DATA_GOC!$A:$A,"BOM",DATA_GOC!$D:$D,$B149,DATA_GOC!$E:$E,"Téc 3",DATA_GOC!$F:$F,"Xuất nội bộ từ téc",DATA_GOC!$B:$B,DATE($D$2,$B$2,J$4)),0))</f>
        <v>0</v>
      </c>
      <c r="K149" s="251">
        <f>IF(K$4&gt;DAY(EOMONTH(DATE($D$2,$B$2,1),0)),"",IFERROR(SUMIFS(DATA_GOC!$H:$H,DATA_GOC!$A:$A,"BOM",DATA_GOC!$D:$D,$B149,DATA_GOC!$E:$E,"Téc 3",DATA_GOC!$F:$F,"Xuất nội bộ từ téc",DATA_GOC!$B:$B,DATE($D$2,$B$2,K$4)),0))</f>
        <v>0</v>
      </c>
      <c r="L149" s="251">
        <f>IF(L$4&gt;DAY(EOMONTH(DATE($D$2,$B$2,1),0)),"",IFERROR(SUMIFS(DATA_GOC!$H:$H,DATA_GOC!$A:$A,"BOM",DATA_GOC!$D:$D,$B149,DATA_GOC!$E:$E,"Téc 3",DATA_GOC!$F:$F,"Xuất nội bộ từ téc",DATA_GOC!$B:$B,DATE($D$2,$B$2,L$4)),0))</f>
        <v>0</v>
      </c>
      <c r="M149" s="251">
        <f>IF(M$4&gt;DAY(EOMONTH(DATE($D$2,$B$2,1),0)),"",IFERROR(SUMIFS(DATA_GOC!$H:$H,DATA_GOC!$A:$A,"BOM",DATA_GOC!$D:$D,$B149,DATA_GOC!$E:$E,"Téc 3",DATA_GOC!$F:$F,"Xuất nội bộ từ téc",DATA_GOC!$B:$B,DATE($D$2,$B$2,M$4)),0))</f>
        <v>0</v>
      </c>
      <c r="N149" s="251">
        <f>IF(N$4&gt;DAY(EOMONTH(DATE($D$2,$B$2,1),0)),"",IFERROR(SUMIFS(DATA_GOC!$H:$H,DATA_GOC!$A:$A,"BOM",DATA_GOC!$D:$D,$B149,DATA_GOC!$E:$E,"Téc 3",DATA_GOC!$F:$F,"Xuất nội bộ từ téc",DATA_GOC!$B:$B,DATE($D$2,$B$2,N$4)),0))</f>
        <v>0</v>
      </c>
      <c r="O149" s="251">
        <f>IF(O$4&gt;DAY(EOMONTH(DATE($D$2,$B$2,1),0)),"",IFERROR(SUMIFS(DATA_GOC!$H:$H,DATA_GOC!$A:$A,"BOM",DATA_GOC!$D:$D,$B149,DATA_GOC!$E:$E,"Téc 3",DATA_GOC!$F:$F,"Xuất nội bộ từ téc",DATA_GOC!$B:$B,DATE($D$2,$B$2,O$4)),0))</f>
        <v>0</v>
      </c>
      <c r="P149" s="251">
        <f>IF(P$4&gt;DAY(EOMONTH(DATE($D$2,$B$2,1),0)),"",IFERROR(SUMIFS(DATA_GOC!$H:$H,DATA_GOC!$A:$A,"BOM",DATA_GOC!$D:$D,$B149,DATA_GOC!$E:$E,"Téc 3",DATA_GOC!$F:$F,"Xuất nội bộ từ téc",DATA_GOC!$B:$B,DATE($D$2,$B$2,P$4)),0))</f>
        <v>0</v>
      </c>
      <c r="Q149" s="251">
        <f>IF(Q$4&gt;DAY(EOMONTH(DATE($D$2,$B$2,1),0)),"",IFERROR(SUMIFS(DATA_GOC!$H:$H,DATA_GOC!$A:$A,"BOM",DATA_GOC!$D:$D,$B149,DATA_GOC!$E:$E,"Téc 3",DATA_GOC!$F:$F,"Xuất nội bộ từ téc",DATA_GOC!$B:$B,DATE($D$2,$B$2,Q$4)),0))</f>
        <v>0</v>
      </c>
      <c r="R149" s="251">
        <f>IF(R$4&gt;DAY(EOMONTH(DATE($D$2,$B$2,1),0)),"",IFERROR(SUMIFS(DATA_GOC!$H:$H,DATA_GOC!$A:$A,"BOM",DATA_GOC!$D:$D,$B149,DATA_GOC!$E:$E,"Téc 3",DATA_GOC!$F:$F,"Xuất nội bộ từ téc",DATA_GOC!$B:$B,DATE($D$2,$B$2,R$4)),0))</f>
        <v>0</v>
      </c>
      <c r="S149" s="251">
        <f>IF(S$4&gt;DAY(EOMONTH(DATE($D$2,$B$2,1),0)),"",IFERROR(SUMIFS(DATA_GOC!$H:$H,DATA_GOC!$A:$A,"BOM",DATA_GOC!$D:$D,$B149,DATA_GOC!$E:$E,"Téc 3",DATA_GOC!$F:$F,"Xuất nội bộ từ téc",DATA_GOC!$B:$B,DATE($D$2,$B$2,S$4)),0))</f>
        <v>0</v>
      </c>
      <c r="T149" s="251">
        <f>IF(T$4&gt;DAY(EOMONTH(DATE($D$2,$B$2,1),0)),"",IFERROR(SUMIFS(DATA_GOC!$H:$H,DATA_GOC!$A:$A,"BOM",DATA_GOC!$D:$D,$B149,DATA_GOC!$E:$E,"Téc 3",DATA_GOC!$F:$F,"Xuất nội bộ từ téc",DATA_GOC!$B:$B,DATE($D$2,$B$2,T$4)),0))</f>
        <v>0</v>
      </c>
      <c r="U149" s="251">
        <f>IF(U$4&gt;DAY(EOMONTH(DATE($D$2,$B$2,1),0)),"",IFERROR(SUMIFS(DATA_GOC!$H:$H,DATA_GOC!$A:$A,"BOM",DATA_GOC!$D:$D,$B149,DATA_GOC!$E:$E,"Téc 3",DATA_GOC!$F:$F,"Xuất nội bộ từ téc",DATA_GOC!$B:$B,DATE($D$2,$B$2,U$4)),0))</f>
        <v>0</v>
      </c>
      <c r="V149" s="251">
        <f>IF(V$4&gt;DAY(EOMONTH(DATE($D$2,$B$2,1),0)),"",IFERROR(SUMIFS(DATA_GOC!$H:$H,DATA_GOC!$A:$A,"BOM",DATA_GOC!$D:$D,$B149,DATA_GOC!$E:$E,"Téc 3",DATA_GOC!$F:$F,"Xuất nội bộ từ téc",DATA_GOC!$B:$B,DATE($D$2,$B$2,V$4)),0))</f>
        <v>0</v>
      </c>
      <c r="W149" s="251">
        <f>IF(W$4&gt;DAY(EOMONTH(DATE($D$2,$B$2,1),0)),"",IFERROR(SUMIFS(DATA_GOC!$H:$H,DATA_GOC!$A:$A,"BOM",DATA_GOC!$D:$D,$B149,DATA_GOC!$E:$E,"Téc 3",DATA_GOC!$F:$F,"Xuất nội bộ từ téc",DATA_GOC!$B:$B,DATE($D$2,$B$2,W$4)),0))</f>
        <v>0</v>
      </c>
      <c r="X149" s="251">
        <f>IF(X$4&gt;DAY(EOMONTH(DATE($D$2,$B$2,1),0)),"",IFERROR(SUMIFS(DATA_GOC!$H:$H,DATA_GOC!$A:$A,"BOM",DATA_GOC!$D:$D,$B149,DATA_GOC!$E:$E,"Téc 3",DATA_GOC!$F:$F,"Xuất nội bộ từ téc",DATA_GOC!$B:$B,DATE($D$2,$B$2,X$4)),0))</f>
        <v>0</v>
      </c>
      <c r="Y149" s="251">
        <f>IF(Y$4&gt;DAY(EOMONTH(DATE($D$2,$B$2,1),0)),"",IFERROR(SUMIFS(DATA_GOC!$H:$H,DATA_GOC!$A:$A,"BOM",DATA_GOC!$D:$D,$B149,DATA_GOC!$E:$E,"Téc 3",DATA_GOC!$F:$F,"Xuất nội bộ từ téc",DATA_GOC!$B:$B,DATE($D$2,$B$2,Y$4)),0))</f>
        <v>0</v>
      </c>
      <c r="Z149" s="251">
        <f>IF(Z$4&gt;DAY(EOMONTH(DATE($D$2,$B$2,1),0)),"",IFERROR(SUMIFS(DATA_GOC!$H:$H,DATA_GOC!$A:$A,"BOM",DATA_GOC!$D:$D,$B149,DATA_GOC!$E:$E,"Téc 3",DATA_GOC!$F:$F,"Xuất nội bộ từ téc",DATA_GOC!$B:$B,DATE($D$2,$B$2,Z$4)),0))</f>
        <v>0</v>
      </c>
      <c r="AA149" s="251">
        <f>IF(AA$4&gt;DAY(EOMONTH(DATE($D$2,$B$2,1),0)),"",IFERROR(SUMIFS(DATA_GOC!$H:$H,DATA_GOC!$A:$A,"BOM",DATA_GOC!$D:$D,$B149,DATA_GOC!$E:$E,"Téc 3",DATA_GOC!$F:$F,"Xuất nội bộ từ téc",DATA_GOC!$B:$B,DATE($D$2,$B$2,AA$4)),0))</f>
        <v>0</v>
      </c>
      <c r="AB149" s="251">
        <f>IF(AB$4&gt;DAY(EOMONTH(DATE($D$2,$B$2,1),0)),"",IFERROR(SUMIFS(DATA_GOC!$H:$H,DATA_GOC!$A:$A,"BOM",DATA_GOC!$D:$D,$B149,DATA_GOC!$E:$E,"Téc 3",DATA_GOC!$F:$F,"Xuất nội bộ từ téc",DATA_GOC!$B:$B,DATE($D$2,$B$2,AB$4)),0))</f>
        <v>0</v>
      </c>
      <c r="AC149" s="251">
        <f>IF(AC$4&gt;DAY(EOMONTH(DATE($D$2,$B$2,1),0)),"",IFERROR(SUMIFS(DATA_GOC!$H:$H,DATA_GOC!$A:$A,"BOM",DATA_GOC!$D:$D,$B149,DATA_GOC!$E:$E,"Téc 3",DATA_GOC!$F:$F,"Xuất nội bộ từ téc",DATA_GOC!$B:$B,DATE($D$2,$B$2,AC$4)),0))</f>
        <v>0</v>
      </c>
      <c r="AD149" s="251">
        <f>IF(AD$4&gt;DAY(EOMONTH(DATE($D$2,$B$2,1),0)),"",IFERROR(SUMIFS(DATA_GOC!$H:$H,DATA_GOC!$A:$A,"BOM",DATA_GOC!$D:$D,$B149,DATA_GOC!$E:$E,"Téc 3",DATA_GOC!$F:$F,"Xuất nội bộ từ téc",DATA_GOC!$B:$B,DATE($D$2,$B$2,AD$4)),0))</f>
        <v>0</v>
      </c>
      <c r="AE149" s="251">
        <f>IF(AE$4&gt;DAY(EOMONTH(DATE($D$2,$B$2,1),0)),"",IFERROR(SUMIFS(DATA_GOC!$H:$H,DATA_GOC!$A:$A,"BOM",DATA_GOC!$D:$D,$B149,DATA_GOC!$E:$E,"Téc 3",DATA_GOC!$F:$F,"Xuất nội bộ từ téc",DATA_GOC!$B:$B,DATE($D$2,$B$2,AE$4)),0))</f>
        <v>0</v>
      </c>
      <c r="AF149" s="251">
        <f>IF(AF$4&gt;DAY(EOMONTH(DATE($D$2,$B$2,1),0)),"",IFERROR(SUMIFS(DATA_GOC!$H:$H,DATA_GOC!$A:$A,"BOM",DATA_GOC!$D:$D,$B149,DATA_GOC!$E:$E,"Téc 3",DATA_GOC!$F:$F,"Xuất nội bộ từ téc",DATA_GOC!$B:$B,DATE($D$2,$B$2,AF$4)),0))</f>
        <v>0</v>
      </c>
      <c r="AG149" s="251">
        <f>IF(AG$4&gt;DAY(EOMONTH(DATE($D$2,$B$2,1),0)),"",IFERROR(SUMIFS(DATA_GOC!$H:$H,DATA_GOC!$A:$A,"BOM",DATA_GOC!$D:$D,$B149,DATA_GOC!$E:$E,"Téc 3",DATA_GOC!$F:$F,"Xuất nội bộ từ téc",DATA_GOC!$B:$B,DATE($D$2,$B$2,AG$4)),0))</f>
        <v>0</v>
      </c>
      <c r="AH149" s="252">
        <f t="shared" si="7"/>
        <v>0</v>
      </c>
      <c r="AI149" s="241"/>
      <c r="AJ149" s="242">
        <f>IF($B149="","",SUMIFS(TINH_TEC!$K$233:$K$9232,TINH_TEC!$H$233:$H$9232,$B149,TINH_TEC!$C$233:$C$9232,"Téc 3",TINH_TEC!$F$233:$F$9232,$B$2,TINH_TEC!$G$233:$G$9232,$D$2,TINH_TEC!$B$233:$B$9232,"Đã chốt"))</f>
        <v>0</v>
      </c>
      <c r="AK149" s="242">
        <f>IF($B149="","",SUMIFS(TINH_TEC!$J$233:$J$9232,TINH_TEC!$H$233:$H$9232,$B149,TINH_TEC!$C$233:$C$9232,"Téc 3",TINH_TEC!$F$233:$F$9232,$B$2,TINH_TEC!$G$233:$G$9232,$D$2,TINH_TEC!$B$233:$B$9232,"Đã chốt"))</f>
        <v>0</v>
      </c>
      <c r="AL149" s="242">
        <f t="shared" si="8"/>
        <v>0</v>
      </c>
    </row>
    <row r="150" ht="15.75" customHeight="1">
      <c r="A150" s="237">
        <f>IF($B150&lt;&gt;"",23,"")</f>
        <v>23</v>
      </c>
      <c r="B150" s="250" t="str">
        <f t="array" ref="B150">IFERROR(INDEX(DANH_MUC!$E:$E,26),"")</f>
        <v>28C04509</v>
      </c>
      <c r="C150" s="251">
        <f>IF(C$4&gt;DAY(EOMONTH(DATE($D$2,$B$2,1),0)),"",IFERROR(SUMIFS(DATA_GOC!$H:$H,DATA_GOC!$A:$A,"BOM",DATA_GOC!$D:$D,$B150,DATA_GOC!$E:$E,"Téc 3",DATA_GOC!$F:$F,"Xuất nội bộ từ téc",DATA_GOC!$B:$B,DATE($D$2,$B$2,C$4)),0))</f>
        <v>0</v>
      </c>
      <c r="D150" s="251">
        <f>IF(D$4&gt;DAY(EOMONTH(DATE($D$2,$B$2,1),0)),"",IFERROR(SUMIFS(DATA_GOC!$H:$H,DATA_GOC!$A:$A,"BOM",DATA_GOC!$D:$D,$B150,DATA_GOC!$E:$E,"Téc 3",DATA_GOC!$F:$F,"Xuất nội bộ từ téc",DATA_GOC!$B:$B,DATE($D$2,$B$2,D$4)),0))</f>
        <v>0</v>
      </c>
      <c r="E150" s="251">
        <f>IF(E$4&gt;DAY(EOMONTH(DATE($D$2,$B$2,1),0)),"",IFERROR(SUMIFS(DATA_GOC!$H:$H,DATA_GOC!$A:$A,"BOM",DATA_GOC!$D:$D,$B150,DATA_GOC!$E:$E,"Téc 3",DATA_GOC!$F:$F,"Xuất nội bộ từ téc",DATA_GOC!$B:$B,DATE($D$2,$B$2,E$4)),0))</f>
        <v>0</v>
      </c>
      <c r="F150" s="251">
        <f>IF(F$4&gt;DAY(EOMONTH(DATE($D$2,$B$2,1),0)),"",IFERROR(SUMIFS(DATA_GOC!$H:$H,DATA_GOC!$A:$A,"BOM",DATA_GOC!$D:$D,$B150,DATA_GOC!$E:$E,"Téc 3",DATA_GOC!$F:$F,"Xuất nội bộ từ téc",DATA_GOC!$B:$B,DATE($D$2,$B$2,F$4)),0))</f>
        <v>0</v>
      </c>
      <c r="G150" s="251">
        <f>IF(G$4&gt;DAY(EOMONTH(DATE($D$2,$B$2,1),0)),"",IFERROR(SUMIFS(DATA_GOC!$H:$H,DATA_GOC!$A:$A,"BOM",DATA_GOC!$D:$D,$B150,DATA_GOC!$E:$E,"Téc 3",DATA_GOC!$F:$F,"Xuất nội bộ từ téc",DATA_GOC!$B:$B,DATE($D$2,$B$2,G$4)),0))</f>
        <v>0</v>
      </c>
      <c r="H150" s="251">
        <f>IF(H$4&gt;DAY(EOMONTH(DATE($D$2,$B$2,1),0)),"",IFERROR(SUMIFS(DATA_GOC!$H:$H,DATA_GOC!$A:$A,"BOM",DATA_GOC!$D:$D,$B150,DATA_GOC!$E:$E,"Téc 3",DATA_GOC!$F:$F,"Xuất nội bộ từ téc",DATA_GOC!$B:$B,DATE($D$2,$B$2,H$4)),0))</f>
        <v>0</v>
      </c>
      <c r="I150" s="251">
        <f>IF(I$4&gt;DAY(EOMONTH(DATE($D$2,$B$2,1),0)),"",IFERROR(SUMIFS(DATA_GOC!$H:$H,DATA_GOC!$A:$A,"BOM",DATA_GOC!$D:$D,$B150,DATA_GOC!$E:$E,"Téc 3",DATA_GOC!$F:$F,"Xuất nội bộ từ téc",DATA_GOC!$B:$B,DATE($D$2,$B$2,I$4)),0))</f>
        <v>0</v>
      </c>
      <c r="J150" s="251">
        <f>IF(J$4&gt;DAY(EOMONTH(DATE($D$2,$B$2,1),0)),"",IFERROR(SUMIFS(DATA_GOC!$H:$H,DATA_GOC!$A:$A,"BOM",DATA_GOC!$D:$D,$B150,DATA_GOC!$E:$E,"Téc 3",DATA_GOC!$F:$F,"Xuất nội bộ từ téc",DATA_GOC!$B:$B,DATE($D$2,$B$2,J$4)),0))</f>
        <v>0</v>
      </c>
      <c r="K150" s="251">
        <f>IF(K$4&gt;DAY(EOMONTH(DATE($D$2,$B$2,1),0)),"",IFERROR(SUMIFS(DATA_GOC!$H:$H,DATA_GOC!$A:$A,"BOM",DATA_GOC!$D:$D,$B150,DATA_GOC!$E:$E,"Téc 3",DATA_GOC!$F:$F,"Xuất nội bộ từ téc",DATA_GOC!$B:$B,DATE($D$2,$B$2,K$4)),0))</f>
        <v>0</v>
      </c>
      <c r="L150" s="251">
        <f>IF(L$4&gt;DAY(EOMONTH(DATE($D$2,$B$2,1),0)),"",IFERROR(SUMIFS(DATA_GOC!$H:$H,DATA_GOC!$A:$A,"BOM",DATA_GOC!$D:$D,$B150,DATA_GOC!$E:$E,"Téc 3",DATA_GOC!$F:$F,"Xuất nội bộ từ téc",DATA_GOC!$B:$B,DATE($D$2,$B$2,L$4)),0))</f>
        <v>0</v>
      </c>
      <c r="M150" s="251">
        <f>IF(M$4&gt;DAY(EOMONTH(DATE($D$2,$B$2,1),0)),"",IFERROR(SUMIFS(DATA_GOC!$H:$H,DATA_GOC!$A:$A,"BOM",DATA_GOC!$D:$D,$B150,DATA_GOC!$E:$E,"Téc 3",DATA_GOC!$F:$F,"Xuất nội bộ từ téc",DATA_GOC!$B:$B,DATE($D$2,$B$2,M$4)),0))</f>
        <v>0</v>
      </c>
      <c r="N150" s="251">
        <f>IF(N$4&gt;DAY(EOMONTH(DATE($D$2,$B$2,1),0)),"",IFERROR(SUMIFS(DATA_GOC!$H:$H,DATA_GOC!$A:$A,"BOM",DATA_GOC!$D:$D,$B150,DATA_GOC!$E:$E,"Téc 3",DATA_GOC!$F:$F,"Xuất nội bộ từ téc",DATA_GOC!$B:$B,DATE($D$2,$B$2,N$4)),0))</f>
        <v>0</v>
      </c>
      <c r="O150" s="251">
        <f>IF(O$4&gt;DAY(EOMONTH(DATE($D$2,$B$2,1),0)),"",IFERROR(SUMIFS(DATA_GOC!$H:$H,DATA_GOC!$A:$A,"BOM",DATA_GOC!$D:$D,$B150,DATA_GOC!$E:$E,"Téc 3",DATA_GOC!$F:$F,"Xuất nội bộ từ téc",DATA_GOC!$B:$B,DATE($D$2,$B$2,O$4)),0))</f>
        <v>0</v>
      </c>
      <c r="P150" s="251">
        <f>IF(P$4&gt;DAY(EOMONTH(DATE($D$2,$B$2,1),0)),"",IFERROR(SUMIFS(DATA_GOC!$H:$H,DATA_GOC!$A:$A,"BOM",DATA_GOC!$D:$D,$B150,DATA_GOC!$E:$E,"Téc 3",DATA_GOC!$F:$F,"Xuất nội bộ từ téc",DATA_GOC!$B:$B,DATE($D$2,$B$2,P$4)),0))</f>
        <v>0</v>
      </c>
      <c r="Q150" s="251">
        <f>IF(Q$4&gt;DAY(EOMONTH(DATE($D$2,$B$2,1),0)),"",IFERROR(SUMIFS(DATA_GOC!$H:$H,DATA_GOC!$A:$A,"BOM",DATA_GOC!$D:$D,$B150,DATA_GOC!$E:$E,"Téc 3",DATA_GOC!$F:$F,"Xuất nội bộ từ téc",DATA_GOC!$B:$B,DATE($D$2,$B$2,Q$4)),0))</f>
        <v>0</v>
      </c>
      <c r="R150" s="251">
        <f>IF(R$4&gt;DAY(EOMONTH(DATE($D$2,$B$2,1),0)),"",IFERROR(SUMIFS(DATA_GOC!$H:$H,DATA_GOC!$A:$A,"BOM",DATA_GOC!$D:$D,$B150,DATA_GOC!$E:$E,"Téc 3",DATA_GOC!$F:$F,"Xuất nội bộ từ téc",DATA_GOC!$B:$B,DATE($D$2,$B$2,R$4)),0))</f>
        <v>0</v>
      </c>
      <c r="S150" s="251">
        <f>IF(S$4&gt;DAY(EOMONTH(DATE($D$2,$B$2,1),0)),"",IFERROR(SUMIFS(DATA_GOC!$H:$H,DATA_GOC!$A:$A,"BOM",DATA_GOC!$D:$D,$B150,DATA_GOC!$E:$E,"Téc 3",DATA_GOC!$F:$F,"Xuất nội bộ từ téc",DATA_GOC!$B:$B,DATE($D$2,$B$2,S$4)),0))</f>
        <v>0</v>
      </c>
      <c r="T150" s="251">
        <f>IF(T$4&gt;DAY(EOMONTH(DATE($D$2,$B$2,1),0)),"",IFERROR(SUMIFS(DATA_GOC!$H:$H,DATA_GOC!$A:$A,"BOM",DATA_GOC!$D:$D,$B150,DATA_GOC!$E:$E,"Téc 3",DATA_GOC!$F:$F,"Xuất nội bộ từ téc",DATA_GOC!$B:$B,DATE($D$2,$B$2,T$4)),0))</f>
        <v>0</v>
      </c>
      <c r="U150" s="251">
        <f>IF(U$4&gt;DAY(EOMONTH(DATE($D$2,$B$2,1),0)),"",IFERROR(SUMIFS(DATA_GOC!$H:$H,DATA_GOC!$A:$A,"BOM",DATA_GOC!$D:$D,$B150,DATA_GOC!$E:$E,"Téc 3",DATA_GOC!$F:$F,"Xuất nội bộ từ téc",DATA_GOC!$B:$B,DATE($D$2,$B$2,U$4)),0))</f>
        <v>0</v>
      </c>
      <c r="V150" s="251">
        <f>IF(V$4&gt;DAY(EOMONTH(DATE($D$2,$B$2,1),0)),"",IFERROR(SUMIFS(DATA_GOC!$H:$H,DATA_GOC!$A:$A,"BOM",DATA_GOC!$D:$D,$B150,DATA_GOC!$E:$E,"Téc 3",DATA_GOC!$F:$F,"Xuất nội bộ từ téc",DATA_GOC!$B:$B,DATE($D$2,$B$2,V$4)),0))</f>
        <v>0</v>
      </c>
      <c r="W150" s="251">
        <f>IF(W$4&gt;DAY(EOMONTH(DATE($D$2,$B$2,1),0)),"",IFERROR(SUMIFS(DATA_GOC!$H:$H,DATA_GOC!$A:$A,"BOM",DATA_GOC!$D:$D,$B150,DATA_GOC!$E:$E,"Téc 3",DATA_GOC!$F:$F,"Xuất nội bộ từ téc",DATA_GOC!$B:$B,DATE($D$2,$B$2,W$4)),0))</f>
        <v>0</v>
      </c>
      <c r="X150" s="251">
        <f>IF(X$4&gt;DAY(EOMONTH(DATE($D$2,$B$2,1),0)),"",IFERROR(SUMIFS(DATA_GOC!$H:$H,DATA_GOC!$A:$A,"BOM",DATA_GOC!$D:$D,$B150,DATA_GOC!$E:$E,"Téc 3",DATA_GOC!$F:$F,"Xuất nội bộ từ téc",DATA_GOC!$B:$B,DATE($D$2,$B$2,X$4)),0))</f>
        <v>0</v>
      </c>
      <c r="Y150" s="251">
        <f>IF(Y$4&gt;DAY(EOMONTH(DATE($D$2,$B$2,1),0)),"",IFERROR(SUMIFS(DATA_GOC!$H:$H,DATA_GOC!$A:$A,"BOM",DATA_GOC!$D:$D,$B150,DATA_GOC!$E:$E,"Téc 3",DATA_GOC!$F:$F,"Xuất nội bộ từ téc",DATA_GOC!$B:$B,DATE($D$2,$B$2,Y$4)),0))</f>
        <v>0</v>
      </c>
      <c r="Z150" s="251">
        <f>IF(Z$4&gt;DAY(EOMONTH(DATE($D$2,$B$2,1),0)),"",IFERROR(SUMIFS(DATA_GOC!$H:$H,DATA_GOC!$A:$A,"BOM",DATA_GOC!$D:$D,$B150,DATA_GOC!$E:$E,"Téc 3",DATA_GOC!$F:$F,"Xuất nội bộ từ téc",DATA_GOC!$B:$B,DATE($D$2,$B$2,Z$4)),0))</f>
        <v>0</v>
      </c>
      <c r="AA150" s="251">
        <f>IF(AA$4&gt;DAY(EOMONTH(DATE($D$2,$B$2,1),0)),"",IFERROR(SUMIFS(DATA_GOC!$H:$H,DATA_GOC!$A:$A,"BOM",DATA_GOC!$D:$D,$B150,DATA_GOC!$E:$E,"Téc 3",DATA_GOC!$F:$F,"Xuất nội bộ từ téc",DATA_GOC!$B:$B,DATE($D$2,$B$2,AA$4)),0))</f>
        <v>0</v>
      </c>
      <c r="AB150" s="251">
        <f>IF(AB$4&gt;DAY(EOMONTH(DATE($D$2,$B$2,1),0)),"",IFERROR(SUMIFS(DATA_GOC!$H:$H,DATA_GOC!$A:$A,"BOM",DATA_GOC!$D:$D,$B150,DATA_GOC!$E:$E,"Téc 3",DATA_GOC!$F:$F,"Xuất nội bộ từ téc",DATA_GOC!$B:$B,DATE($D$2,$B$2,AB$4)),0))</f>
        <v>0</v>
      </c>
      <c r="AC150" s="251">
        <f>IF(AC$4&gt;DAY(EOMONTH(DATE($D$2,$B$2,1),0)),"",IFERROR(SUMIFS(DATA_GOC!$H:$H,DATA_GOC!$A:$A,"BOM",DATA_GOC!$D:$D,$B150,DATA_GOC!$E:$E,"Téc 3",DATA_GOC!$F:$F,"Xuất nội bộ từ téc",DATA_GOC!$B:$B,DATE($D$2,$B$2,AC$4)),0))</f>
        <v>0</v>
      </c>
      <c r="AD150" s="251">
        <f>IF(AD$4&gt;DAY(EOMONTH(DATE($D$2,$B$2,1),0)),"",IFERROR(SUMIFS(DATA_GOC!$H:$H,DATA_GOC!$A:$A,"BOM",DATA_GOC!$D:$D,$B150,DATA_GOC!$E:$E,"Téc 3",DATA_GOC!$F:$F,"Xuất nội bộ từ téc",DATA_GOC!$B:$B,DATE($D$2,$B$2,AD$4)),0))</f>
        <v>0</v>
      </c>
      <c r="AE150" s="251">
        <f>IF(AE$4&gt;DAY(EOMONTH(DATE($D$2,$B$2,1),0)),"",IFERROR(SUMIFS(DATA_GOC!$H:$H,DATA_GOC!$A:$A,"BOM",DATA_GOC!$D:$D,$B150,DATA_GOC!$E:$E,"Téc 3",DATA_GOC!$F:$F,"Xuất nội bộ từ téc",DATA_GOC!$B:$B,DATE($D$2,$B$2,AE$4)),0))</f>
        <v>0</v>
      </c>
      <c r="AF150" s="251">
        <f>IF(AF$4&gt;DAY(EOMONTH(DATE($D$2,$B$2,1),0)),"",IFERROR(SUMIFS(DATA_GOC!$H:$H,DATA_GOC!$A:$A,"BOM",DATA_GOC!$D:$D,$B150,DATA_GOC!$E:$E,"Téc 3",DATA_GOC!$F:$F,"Xuất nội bộ từ téc",DATA_GOC!$B:$B,DATE($D$2,$B$2,AF$4)),0))</f>
        <v>0</v>
      </c>
      <c r="AG150" s="251">
        <f>IF(AG$4&gt;DAY(EOMONTH(DATE($D$2,$B$2,1),0)),"",IFERROR(SUMIFS(DATA_GOC!$H:$H,DATA_GOC!$A:$A,"BOM",DATA_GOC!$D:$D,$B150,DATA_GOC!$E:$E,"Téc 3",DATA_GOC!$F:$F,"Xuất nội bộ từ téc",DATA_GOC!$B:$B,DATE($D$2,$B$2,AG$4)),0))</f>
        <v>0</v>
      </c>
      <c r="AH150" s="252">
        <f t="shared" si="7"/>
        <v>0</v>
      </c>
      <c r="AI150" s="241"/>
      <c r="AJ150" s="242">
        <f>IF($B150="","",SUMIFS(TINH_TEC!$K$233:$K$9232,TINH_TEC!$H$233:$H$9232,$B150,TINH_TEC!$C$233:$C$9232,"Téc 3",TINH_TEC!$F$233:$F$9232,$B$2,TINH_TEC!$G$233:$G$9232,$D$2,TINH_TEC!$B$233:$B$9232,"Đã chốt"))</f>
        <v>0</v>
      </c>
      <c r="AK150" s="242">
        <f>IF($B150="","",SUMIFS(TINH_TEC!$J$233:$J$9232,TINH_TEC!$H$233:$H$9232,$B150,TINH_TEC!$C$233:$C$9232,"Téc 3",TINH_TEC!$F$233:$F$9232,$B$2,TINH_TEC!$G$233:$G$9232,$D$2,TINH_TEC!$B$233:$B$9232,"Đã chốt"))</f>
        <v>0</v>
      </c>
      <c r="AL150" s="242">
        <f t="shared" si="8"/>
        <v>0</v>
      </c>
    </row>
    <row r="151" ht="15.75" customHeight="1">
      <c r="A151" s="237">
        <f>IF($B151&lt;&gt;"",24,"")</f>
        <v>24</v>
      </c>
      <c r="B151" s="250" t="str">
        <f t="array" ref="B151">IFERROR(INDEX(DANH_MUC!$E:$E,27),"")</f>
        <v>28C04536</v>
      </c>
      <c r="C151" s="251">
        <f>IF(C$4&gt;DAY(EOMONTH(DATE($D$2,$B$2,1),0)),"",IFERROR(SUMIFS(DATA_GOC!$H:$H,DATA_GOC!$A:$A,"BOM",DATA_GOC!$D:$D,$B151,DATA_GOC!$E:$E,"Téc 3",DATA_GOC!$F:$F,"Xuất nội bộ từ téc",DATA_GOC!$B:$B,DATE($D$2,$B$2,C$4)),0))</f>
        <v>0</v>
      </c>
      <c r="D151" s="251">
        <f>IF(D$4&gt;DAY(EOMONTH(DATE($D$2,$B$2,1),0)),"",IFERROR(SUMIFS(DATA_GOC!$H:$H,DATA_GOC!$A:$A,"BOM",DATA_GOC!$D:$D,$B151,DATA_GOC!$E:$E,"Téc 3",DATA_GOC!$F:$F,"Xuất nội bộ từ téc",DATA_GOC!$B:$B,DATE($D$2,$B$2,D$4)),0))</f>
        <v>0</v>
      </c>
      <c r="E151" s="251">
        <f>IF(E$4&gt;DAY(EOMONTH(DATE($D$2,$B$2,1),0)),"",IFERROR(SUMIFS(DATA_GOC!$H:$H,DATA_GOC!$A:$A,"BOM",DATA_GOC!$D:$D,$B151,DATA_GOC!$E:$E,"Téc 3",DATA_GOC!$F:$F,"Xuất nội bộ từ téc",DATA_GOC!$B:$B,DATE($D$2,$B$2,E$4)),0))</f>
        <v>0</v>
      </c>
      <c r="F151" s="251">
        <f>IF(F$4&gt;DAY(EOMONTH(DATE($D$2,$B$2,1),0)),"",IFERROR(SUMIFS(DATA_GOC!$H:$H,DATA_GOC!$A:$A,"BOM",DATA_GOC!$D:$D,$B151,DATA_GOC!$E:$E,"Téc 3",DATA_GOC!$F:$F,"Xuất nội bộ từ téc",DATA_GOC!$B:$B,DATE($D$2,$B$2,F$4)),0))</f>
        <v>0</v>
      </c>
      <c r="G151" s="251">
        <f>IF(G$4&gt;DAY(EOMONTH(DATE($D$2,$B$2,1),0)),"",IFERROR(SUMIFS(DATA_GOC!$H:$H,DATA_GOC!$A:$A,"BOM",DATA_GOC!$D:$D,$B151,DATA_GOC!$E:$E,"Téc 3",DATA_GOC!$F:$F,"Xuất nội bộ từ téc",DATA_GOC!$B:$B,DATE($D$2,$B$2,G$4)),0))</f>
        <v>0</v>
      </c>
      <c r="H151" s="251">
        <f>IF(H$4&gt;DAY(EOMONTH(DATE($D$2,$B$2,1),0)),"",IFERROR(SUMIFS(DATA_GOC!$H:$H,DATA_GOC!$A:$A,"BOM",DATA_GOC!$D:$D,$B151,DATA_GOC!$E:$E,"Téc 3",DATA_GOC!$F:$F,"Xuất nội bộ từ téc",DATA_GOC!$B:$B,DATE($D$2,$B$2,H$4)),0))</f>
        <v>0</v>
      </c>
      <c r="I151" s="251">
        <f>IF(I$4&gt;DAY(EOMONTH(DATE($D$2,$B$2,1),0)),"",IFERROR(SUMIFS(DATA_GOC!$H:$H,DATA_GOC!$A:$A,"BOM",DATA_GOC!$D:$D,$B151,DATA_GOC!$E:$E,"Téc 3",DATA_GOC!$F:$F,"Xuất nội bộ từ téc",DATA_GOC!$B:$B,DATE($D$2,$B$2,I$4)),0))</f>
        <v>0</v>
      </c>
      <c r="J151" s="251">
        <f>IF(J$4&gt;DAY(EOMONTH(DATE($D$2,$B$2,1),0)),"",IFERROR(SUMIFS(DATA_GOC!$H:$H,DATA_GOC!$A:$A,"BOM",DATA_GOC!$D:$D,$B151,DATA_GOC!$E:$E,"Téc 3",DATA_GOC!$F:$F,"Xuất nội bộ từ téc",DATA_GOC!$B:$B,DATE($D$2,$B$2,J$4)),0))</f>
        <v>0</v>
      </c>
      <c r="K151" s="251">
        <f>IF(K$4&gt;DAY(EOMONTH(DATE($D$2,$B$2,1),0)),"",IFERROR(SUMIFS(DATA_GOC!$H:$H,DATA_GOC!$A:$A,"BOM",DATA_GOC!$D:$D,$B151,DATA_GOC!$E:$E,"Téc 3",DATA_GOC!$F:$F,"Xuất nội bộ từ téc",DATA_GOC!$B:$B,DATE($D$2,$B$2,K$4)),0))</f>
        <v>0</v>
      </c>
      <c r="L151" s="251">
        <f>IF(L$4&gt;DAY(EOMONTH(DATE($D$2,$B$2,1),0)),"",IFERROR(SUMIFS(DATA_GOC!$H:$H,DATA_GOC!$A:$A,"BOM",DATA_GOC!$D:$D,$B151,DATA_GOC!$E:$E,"Téc 3",DATA_GOC!$F:$F,"Xuất nội bộ từ téc",DATA_GOC!$B:$B,DATE($D$2,$B$2,L$4)),0))</f>
        <v>0</v>
      </c>
      <c r="M151" s="251">
        <f>IF(M$4&gt;DAY(EOMONTH(DATE($D$2,$B$2,1),0)),"",IFERROR(SUMIFS(DATA_GOC!$H:$H,DATA_GOC!$A:$A,"BOM",DATA_GOC!$D:$D,$B151,DATA_GOC!$E:$E,"Téc 3",DATA_GOC!$F:$F,"Xuất nội bộ từ téc",DATA_GOC!$B:$B,DATE($D$2,$B$2,M$4)),0))</f>
        <v>0</v>
      </c>
      <c r="N151" s="251">
        <f>IF(N$4&gt;DAY(EOMONTH(DATE($D$2,$B$2,1),0)),"",IFERROR(SUMIFS(DATA_GOC!$H:$H,DATA_GOC!$A:$A,"BOM",DATA_GOC!$D:$D,$B151,DATA_GOC!$E:$E,"Téc 3",DATA_GOC!$F:$F,"Xuất nội bộ từ téc",DATA_GOC!$B:$B,DATE($D$2,$B$2,N$4)),0))</f>
        <v>0</v>
      </c>
      <c r="O151" s="251">
        <f>IF(O$4&gt;DAY(EOMONTH(DATE($D$2,$B$2,1),0)),"",IFERROR(SUMIFS(DATA_GOC!$H:$H,DATA_GOC!$A:$A,"BOM",DATA_GOC!$D:$D,$B151,DATA_GOC!$E:$E,"Téc 3",DATA_GOC!$F:$F,"Xuất nội bộ từ téc",DATA_GOC!$B:$B,DATE($D$2,$B$2,O$4)),0))</f>
        <v>0</v>
      </c>
      <c r="P151" s="251">
        <f>IF(P$4&gt;DAY(EOMONTH(DATE($D$2,$B$2,1),0)),"",IFERROR(SUMIFS(DATA_GOC!$H:$H,DATA_GOC!$A:$A,"BOM",DATA_GOC!$D:$D,$B151,DATA_GOC!$E:$E,"Téc 3",DATA_GOC!$F:$F,"Xuất nội bộ từ téc",DATA_GOC!$B:$B,DATE($D$2,$B$2,P$4)),0))</f>
        <v>0</v>
      </c>
      <c r="Q151" s="251">
        <f>IF(Q$4&gt;DAY(EOMONTH(DATE($D$2,$B$2,1),0)),"",IFERROR(SUMIFS(DATA_GOC!$H:$H,DATA_GOC!$A:$A,"BOM",DATA_GOC!$D:$D,$B151,DATA_GOC!$E:$E,"Téc 3",DATA_GOC!$F:$F,"Xuất nội bộ từ téc",DATA_GOC!$B:$B,DATE($D$2,$B$2,Q$4)),0))</f>
        <v>0</v>
      </c>
      <c r="R151" s="251">
        <f>IF(R$4&gt;DAY(EOMONTH(DATE($D$2,$B$2,1),0)),"",IFERROR(SUMIFS(DATA_GOC!$H:$H,DATA_GOC!$A:$A,"BOM",DATA_GOC!$D:$D,$B151,DATA_GOC!$E:$E,"Téc 3",DATA_GOC!$F:$F,"Xuất nội bộ từ téc",DATA_GOC!$B:$B,DATE($D$2,$B$2,R$4)),0))</f>
        <v>0</v>
      </c>
      <c r="S151" s="251">
        <f>IF(S$4&gt;DAY(EOMONTH(DATE($D$2,$B$2,1),0)),"",IFERROR(SUMIFS(DATA_GOC!$H:$H,DATA_GOC!$A:$A,"BOM",DATA_GOC!$D:$D,$B151,DATA_GOC!$E:$E,"Téc 3",DATA_GOC!$F:$F,"Xuất nội bộ từ téc",DATA_GOC!$B:$B,DATE($D$2,$B$2,S$4)),0))</f>
        <v>0</v>
      </c>
      <c r="T151" s="251">
        <f>IF(T$4&gt;DAY(EOMONTH(DATE($D$2,$B$2,1),0)),"",IFERROR(SUMIFS(DATA_GOC!$H:$H,DATA_GOC!$A:$A,"BOM",DATA_GOC!$D:$D,$B151,DATA_GOC!$E:$E,"Téc 3",DATA_GOC!$F:$F,"Xuất nội bộ từ téc",DATA_GOC!$B:$B,DATE($D$2,$B$2,T$4)),0))</f>
        <v>0</v>
      </c>
      <c r="U151" s="251">
        <f>IF(U$4&gt;DAY(EOMONTH(DATE($D$2,$B$2,1),0)),"",IFERROR(SUMIFS(DATA_GOC!$H:$H,DATA_GOC!$A:$A,"BOM",DATA_GOC!$D:$D,$B151,DATA_GOC!$E:$E,"Téc 3",DATA_GOC!$F:$F,"Xuất nội bộ từ téc",DATA_GOC!$B:$B,DATE($D$2,$B$2,U$4)),0))</f>
        <v>0</v>
      </c>
      <c r="V151" s="251">
        <f>IF(V$4&gt;DAY(EOMONTH(DATE($D$2,$B$2,1),0)),"",IFERROR(SUMIFS(DATA_GOC!$H:$H,DATA_GOC!$A:$A,"BOM",DATA_GOC!$D:$D,$B151,DATA_GOC!$E:$E,"Téc 3",DATA_GOC!$F:$F,"Xuất nội bộ từ téc",DATA_GOC!$B:$B,DATE($D$2,$B$2,V$4)),0))</f>
        <v>0</v>
      </c>
      <c r="W151" s="251">
        <f>IF(W$4&gt;DAY(EOMONTH(DATE($D$2,$B$2,1),0)),"",IFERROR(SUMIFS(DATA_GOC!$H:$H,DATA_GOC!$A:$A,"BOM",DATA_GOC!$D:$D,$B151,DATA_GOC!$E:$E,"Téc 3",DATA_GOC!$F:$F,"Xuất nội bộ từ téc",DATA_GOC!$B:$B,DATE($D$2,$B$2,W$4)),0))</f>
        <v>0</v>
      </c>
      <c r="X151" s="251">
        <f>IF(X$4&gt;DAY(EOMONTH(DATE($D$2,$B$2,1),0)),"",IFERROR(SUMIFS(DATA_GOC!$H:$H,DATA_GOC!$A:$A,"BOM",DATA_GOC!$D:$D,$B151,DATA_GOC!$E:$E,"Téc 3",DATA_GOC!$F:$F,"Xuất nội bộ từ téc",DATA_GOC!$B:$B,DATE($D$2,$B$2,X$4)),0))</f>
        <v>0</v>
      </c>
      <c r="Y151" s="251">
        <f>IF(Y$4&gt;DAY(EOMONTH(DATE($D$2,$B$2,1),0)),"",IFERROR(SUMIFS(DATA_GOC!$H:$H,DATA_GOC!$A:$A,"BOM",DATA_GOC!$D:$D,$B151,DATA_GOC!$E:$E,"Téc 3",DATA_GOC!$F:$F,"Xuất nội bộ từ téc",DATA_GOC!$B:$B,DATE($D$2,$B$2,Y$4)),0))</f>
        <v>0</v>
      </c>
      <c r="Z151" s="251">
        <f>IF(Z$4&gt;DAY(EOMONTH(DATE($D$2,$B$2,1),0)),"",IFERROR(SUMIFS(DATA_GOC!$H:$H,DATA_GOC!$A:$A,"BOM",DATA_GOC!$D:$D,$B151,DATA_GOC!$E:$E,"Téc 3",DATA_GOC!$F:$F,"Xuất nội bộ từ téc",DATA_GOC!$B:$B,DATE($D$2,$B$2,Z$4)),0))</f>
        <v>0</v>
      </c>
      <c r="AA151" s="251">
        <f>IF(AA$4&gt;DAY(EOMONTH(DATE($D$2,$B$2,1),0)),"",IFERROR(SUMIFS(DATA_GOC!$H:$H,DATA_GOC!$A:$A,"BOM",DATA_GOC!$D:$D,$B151,DATA_GOC!$E:$E,"Téc 3",DATA_GOC!$F:$F,"Xuất nội bộ từ téc",DATA_GOC!$B:$B,DATE($D$2,$B$2,AA$4)),0))</f>
        <v>0</v>
      </c>
      <c r="AB151" s="251">
        <f>IF(AB$4&gt;DAY(EOMONTH(DATE($D$2,$B$2,1),0)),"",IFERROR(SUMIFS(DATA_GOC!$H:$H,DATA_GOC!$A:$A,"BOM",DATA_GOC!$D:$D,$B151,DATA_GOC!$E:$E,"Téc 3",DATA_GOC!$F:$F,"Xuất nội bộ từ téc",DATA_GOC!$B:$B,DATE($D$2,$B$2,AB$4)),0))</f>
        <v>0</v>
      </c>
      <c r="AC151" s="251">
        <f>IF(AC$4&gt;DAY(EOMONTH(DATE($D$2,$B$2,1),0)),"",IFERROR(SUMIFS(DATA_GOC!$H:$H,DATA_GOC!$A:$A,"BOM",DATA_GOC!$D:$D,$B151,DATA_GOC!$E:$E,"Téc 3",DATA_GOC!$F:$F,"Xuất nội bộ từ téc",DATA_GOC!$B:$B,DATE($D$2,$B$2,AC$4)),0))</f>
        <v>0</v>
      </c>
      <c r="AD151" s="251">
        <f>IF(AD$4&gt;DAY(EOMONTH(DATE($D$2,$B$2,1),0)),"",IFERROR(SUMIFS(DATA_GOC!$H:$H,DATA_GOC!$A:$A,"BOM",DATA_GOC!$D:$D,$B151,DATA_GOC!$E:$E,"Téc 3",DATA_GOC!$F:$F,"Xuất nội bộ từ téc",DATA_GOC!$B:$B,DATE($D$2,$B$2,AD$4)),0))</f>
        <v>0</v>
      </c>
      <c r="AE151" s="251">
        <f>IF(AE$4&gt;DAY(EOMONTH(DATE($D$2,$B$2,1),0)),"",IFERROR(SUMIFS(DATA_GOC!$H:$H,DATA_GOC!$A:$A,"BOM",DATA_GOC!$D:$D,$B151,DATA_GOC!$E:$E,"Téc 3",DATA_GOC!$F:$F,"Xuất nội bộ từ téc",DATA_GOC!$B:$B,DATE($D$2,$B$2,AE$4)),0))</f>
        <v>0</v>
      </c>
      <c r="AF151" s="251">
        <f>IF(AF$4&gt;DAY(EOMONTH(DATE($D$2,$B$2,1),0)),"",IFERROR(SUMIFS(DATA_GOC!$H:$H,DATA_GOC!$A:$A,"BOM",DATA_GOC!$D:$D,$B151,DATA_GOC!$E:$E,"Téc 3",DATA_GOC!$F:$F,"Xuất nội bộ từ téc",DATA_GOC!$B:$B,DATE($D$2,$B$2,AF$4)),0))</f>
        <v>0</v>
      </c>
      <c r="AG151" s="251">
        <f>IF(AG$4&gt;DAY(EOMONTH(DATE($D$2,$B$2,1),0)),"",IFERROR(SUMIFS(DATA_GOC!$H:$H,DATA_GOC!$A:$A,"BOM",DATA_GOC!$D:$D,$B151,DATA_GOC!$E:$E,"Téc 3",DATA_GOC!$F:$F,"Xuất nội bộ từ téc",DATA_GOC!$B:$B,DATE($D$2,$B$2,AG$4)),0))</f>
        <v>0</v>
      </c>
      <c r="AH151" s="252">
        <f t="shared" si="7"/>
        <v>0</v>
      </c>
      <c r="AI151" s="241"/>
      <c r="AJ151" s="242">
        <f>IF($B151="","",SUMIFS(TINH_TEC!$K$233:$K$9232,TINH_TEC!$H$233:$H$9232,$B151,TINH_TEC!$C$233:$C$9232,"Téc 3",TINH_TEC!$F$233:$F$9232,$B$2,TINH_TEC!$G$233:$G$9232,$D$2,TINH_TEC!$B$233:$B$9232,"Đã chốt"))</f>
        <v>0</v>
      </c>
      <c r="AK151" s="242">
        <f>IF($B151="","",SUMIFS(TINH_TEC!$J$233:$J$9232,TINH_TEC!$H$233:$H$9232,$B151,TINH_TEC!$C$233:$C$9232,"Téc 3",TINH_TEC!$F$233:$F$9232,$B$2,TINH_TEC!$G$233:$G$9232,$D$2,TINH_TEC!$B$233:$B$9232,"Đã chốt"))</f>
        <v>0</v>
      </c>
      <c r="AL151" s="242">
        <f t="shared" si="8"/>
        <v>0</v>
      </c>
    </row>
    <row r="152" ht="15.75" customHeight="1">
      <c r="A152" s="237">
        <f>IF($B152&lt;&gt;"",25,"")</f>
        <v>25</v>
      </c>
      <c r="B152" s="250" t="str">
        <f t="array" ref="B152">IFERROR(INDEX(DANH_MUC!$E:$E,28),"")</f>
        <v>28C04576</v>
      </c>
      <c r="C152" s="251">
        <f>IF(C$4&gt;DAY(EOMONTH(DATE($D$2,$B$2,1),0)),"",IFERROR(SUMIFS(DATA_GOC!$H:$H,DATA_GOC!$A:$A,"BOM",DATA_GOC!$D:$D,$B152,DATA_GOC!$E:$E,"Téc 3",DATA_GOC!$F:$F,"Xuất nội bộ từ téc",DATA_GOC!$B:$B,DATE($D$2,$B$2,C$4)),0))</f>
        <v>0</v>
      </c>
      <c r="D152" s="251">
        <f>IF(D$4&gt;DAY(EOMONTH(DATE($D$2,$B$2,1),0)),"",IFERROR(SUMIFS(DATA_GOC!$H:$H,DATA_GOC!$A:$A,"BOM",DATA_GOC!$D:$D,$B152,DATA_GOC!$E:$E,"Téc 3",DATA_GOC!$F:$F,"Xuất nội bộ từ téc",DATA_GOC!$B:$B,DATE($D$2,$B$2,D$4)),0))</f>
        <v>0</v>
      </c>
      <c r="E152" s="251">
        <f>IF(E$4&gt;DAY(EOMONTH(DATE($D$2,$B$2,1),0)),"",IFERROR(SUMIFS(DATA_GOC!$H:$H,DATA_GOC!$A:$A,"BOM",DATA_GOC!$D:$D,$B152,DATA_GOC!$E:$E,"Téc 3",DATA_GOC!$F:$F,"Xuất nội bộ từ téc",DATA_GOC!$B:$B,DATE($D$2,$B$2,E$4)),0))</f>
        <v>0</v>
      </c>
      <c r="F152" s="251">
        <f>IF(F$4&gt;DAY(EOMONTH(DATE($D$2,$B$2,1),0)),"",IFERROR(SUMIFS(DATA_GOC!$H:$H,DATA_GOC!$A:$A,"BOM",DATA_GOC!$D:$D,$B152,DATA_GOC!$E:$E,"Téc 3",DATA_GOC!$F:$F,"Xuất nội bộ từ téc",DATA_GOC!$B:$B,DATE($D$2,$B$2,F$4)),0))</f>
        <v>0</v>
      </c>
      <c r="G152" s="251">
        <f>IF(G$4&gt;DAY(EOMONTH(DATE($D$2,$B$2,1),0)),"",IFERROR(SUMIFS(DATA_GOC!$H:$H,DATA_GOC!$A:$A,"BOM",DATA_GOC!$D:$D,$B152,DATA_GOC!$E:$E,"Téc 3",DATA_GOC!$F:$F,"Xuất nội bộ từ téc",DATA_GOC!$B:$B,DATE($D$2,$B$2,G$4)),0))</f>
        <v>0</v>
      </c>
      <c r="H152" s="251">
        <f>IF(H$4&gt;DAY(EOMONTH(DATE($D$2,$B$2,1),0)),"",IFERROR(SUMIFS(DATA_GOC!$H:$H,DATA_GOC!$A:$A,"BOM",DATA_GOC!$D:$D,$B152,DATA_GOC!$E:$E,"Téc 3",DATA_GOC!$F:$F,"Xuất nội bộ từ téc",DATA_GOC!$B:$B,DATE($D$2,$B$2,H$4)),0))</f>
        <v>0</v>
      </c>
      <c r="I152" s="251">
        <f>IF(I$4&gt;DAY(EOMONTH(DATE($D$2,$B$2,1),0)),"",IFERROR(SUMIFS(DATA_GOC!$H:$H,DATA_GOC!$A:$A,"BOM",DATA_GOC!$D:$D,$B152,DATA_GOC!$E:$E,"Téc 3",DATA_GOC!$F:$F,"Xuất nội bộ từ téc",DATA_GOC!$B:$B,DATE($D$2,$B$2,I$4)),0))</f>
        <v>0</v>
      </c>
      <c r="J152" s="251">
        <f>IF(J$4&gt;DAY(EOMONTH(DATE($D$2,$B$2,1),0)),"",IFERROR(SUMIFS(DATA_GOC!$H:$H,DATA_GOC!$A:$A,"BOM",DATA_GOC!$D:$D,$B152,DATA_GOC!$E:$E,"Téc 3",DATA_GOC!$F:$F,"Xuất nội bộ từ téc",DATA_GOC!$B:$B,DATE($D$2,$B$2,J$4)),0))</f>
        <v>0</v>
      </c>
      <c r="K152" s="251">
        <f>IF(K$4&gt;DAY(EOMONTH(DATE($D$2,$B$2,1),0)),"",IFERROR(SUMIFS(DATA_GOC!$H:$H,DATA_GOC!$A:$A,"BOM",DATA_GOC!$D:$D,$B152,DATA_GOC!$E:$E,"Téc 3",DATA_GOC!$F:$F,"Xuất nội bộ từ téc",DATA_GOC!$B:$B,DATE($D$2,$B$2,K$4)),0))</f>
        <v>0</v>
      </c>
      <c r="L152" s="251">
        <f>IF(L$4&gt;DAY(EOMONTH(DATE($D$2,$B$2,1),0)),"",IFERROR(SUMIFS(DATA_GOC!$H:$H,DATA_GOC!$A:$A,"BOM",DATA_GOC!$D:$D,$B152,DATA_GOC!$E:$E,"Téc 3",DATA_GOC!$F:$F,"Xuất nội bộ từ téc",DATA_GOC!$B:$B,DATE($D$2,$B$2,L$4)),0))</f>
        <v>0</v>
      </c>
      <c r="M152" s="251">
        <f>IF(M$4&gt;DAY(EOMONTH(DATE($D$2,$B$2,1),0)),"",IFERROR(SUMIFS(DATA_GOC!$H:$H,DATA_GOC!$A:$A,"BOM",DATA_GOC!$D:$D,$B152,DATA_GOC!$E:$E,"Téc 3",DATA_GOC!$F:$F,"Xuất nội bộ từ téc",DATA_GOC!$B:$B,DATE($D$2,$B$2,M$4)),0))</f>
        <v>0</v>
      </c>
      <c r="N152" s="251">
        <f>IF(N$4&gt;DAY(EOMONTH(DATE($D$2,$B$2,1),0)),"",IFERROR(SUMIFS(DATA_GOC!$H:$H,DATA_GOC!$A:$A,"BOM",DATA_GOC!$D:$D,$B152,DATA_GOC!$E:$E,"Téc 3",DATA_GOC!$F:$F,"Xuất nội bộ từ téc",DATA_GOC!$B:$B,DATE($D$2,$B$2,N$4)),0))</f>
        <v>0</v>
      </c>
      <c r="O152" s="251">
        <f>IF(O$4&gt;DAY(EOMONTH(DATE($D$2,$B$2,1),0)),"",IFERROR(SUMIFS(DATA_GOC!$H:$H,DATA_GOC!$A:$A,"BOM",DATA_GOC!$D:$D,$B152,DATA_GOC!$E:$E,"Téc 3",DATA_GOC!$F:$F,"Xuất nội bộ từ téc",DATA_GOC!$B:$B,DATE($D$2,$B$2,O$4)),0))</f>
        <v>0</v>
      </c>
      <c r="P152" s="251">
        <f>IF(P$4&gt;DAY(EOMONTH(DATE($D$2,$B$2,1),0)),"",IFERROR(SUMIFS(DATA_GOC!$H:$H,DATA_GOC!$A:$A,"BOM",DATA_GOC!$D:$D,$B152,DATA_GOC!$E:$E,"Téc 3",DATA_GOC!$F:$F,"Xuất nội bộ từ téc",DATA_GOC!$B:$B,DATE($D$2,$B$2,P$4)),0))</f>
        <v>0</v>
      </c>
      <c r="Q152" s="251">
        <f>IF(Q$4&gt;DAY(EOMONTH(DATE($D$2,$B$2,1),0)),"",IFERROR(SUMIFS(DATA_GOC!$H:$H,DATA_GOC!$A:$A,"BOM",DATA_GOC!$D:$D,$B152,DATA_GOC!$E:$E,"Téc 3",DATA_GOC!$F:$F,"Xuất nội bộ từ téc",DATA_GOC!$B:$B,DATE($D$2,$B$2,Q$4)),0))</f>
        <v>0</v>
      </c>
      <c r="R152" s="251">
        <f>IF(R$4&gt;DAY(EOMONTH(DATE($D$2,$B$2,1),0)),"",IFERROR(SUMIFS(DATA_GOC!$H:$H,DATA_GOC!$A:$A,"BOM",DATA_GOC!$D:$D,$B152,DATA_GOC!$E:$E,"Téc 3",DATA_GOC!$F:$F,"Xuất nội bộ từ téc",DATA_GOC!$B:$B,DATE($D$2,$B$2,R$4)),0))</f>
        <v>0</v>
      </c>
      <c r="S152" s="251">
        <f>IF(S$4&gt;DAY(EOMONTH(DATE($D$2,$B$2,1),0)),"",IFERROR(SUMIFS(DATA_GOC!$H:$H,DATA_GOC!$A:$A,"BOM",DATA_GOC!$D:$D,$B152,DATA_GOC!$E:$E,"Téc 3",DATA_GOC!$F:$F,"Xuất nội bộ từ téc",DATA_GOC!$B:$B,DATE($D$2,$B$2,S$4)),0))</f>
        <v>0</v>
      </c>
      <c r="T152" s="251">
        <f>IF(T$4&gt;DAY(EOMONTH(DATE($D$2,$B$2,1),0)),"",IFERROR(SUMIFS(DATA_GOC!$H:$H,DATA_GOC!$A:$A,"BOM",DATA_GOC!$D:$D,$B152,DATA_GOC!$E:$E,"Téc 3",DATA_GOC!$F:$F,"Xuất nội bộ từ téc",DATA_GOC!$B:$B,DATE($D$2,$B$2,T$4)),0))</f>
        <v>0</v>
      </c>
      <c r="U152" s="251">
        <f>IF(U$4&gt;DAY(EOMONTH(DATE($D$2,$B$2,1),0)),"",IFERROR(SUMIFS(DATA_GOC!$H:$H,DATA_GOC!$A:$A,"BOM",DATA_GOC!$D:$D,$B152,DATA_GOC!$E:$E,"Téc 3",DATA_GOC!$F:$F,"Xuất nội bộ từ téc",DATA_GOC!$B:$B,DATE($D$2,$B$2,U$4)),0))</f>
        <v>0</v>
      </c>
      <c r="V152" s="251">
        <f>IF(V$4&gt;DAY(EOMONTH(DATE($D$2,$B$2,1),0)),"",IFERROR(SUMIFS(DATA_GOC!$H:$H,DATA_GOC!$A:$A,"BOM",DATA_GOC!$D:$D,$B152,DATA_GOC!$E:$E,"Téc 3",DATA_GOC!$F:$F,"Xuất nội bộ từ téc",DATA_GOC!$B:$B,DATE($D$2,$B$2,V$4)),0))</f>
        <v>0</v>
      </c>
      <c r="W152" s="251">
        <f>IF(W$4&gt;DAY(EOMONTH(DATE($D$2,$B$2,1),0)),"",IFERROR(SUMIFS(DATA_GOC!$H:$H,DATA_GOC!$A:$A,"BOM",DATA_GOC!$D:$D,$B152,DATA_GOC!$E:$E,"Téc 3",DATA_GOC!$F:$F,"Xuất nội bộ từ téc",DATA_GOC!$B:$B,DATE($D$2,$B$2,W$4)),0))</f>
        <v>0</v>
      </c>
      <c r="X152" s="251">
        <f>IF(X$4&gt;DAY(EOMONTH(DATE($D$2,$B$2,1),0)),"",IFERROR(SUMIFS(DATA_GOC!$H:$H,DATA_GOC!$A:$A,"BOM",DATA_GOC!$D:$D,$B152,DATA_GOC!$E:$E,"Téc 3",DATA_GOC!$F:$F,"Xuất nội bộ từ téc",DATA_GOC!$B:$B,DATE($D$2,$B$2,X$4)),0))</f>
        <v>0</v>
      </c>
      <c r="Y152" s="251">
        <f>IF(Y$4&gt;DAY(EOMONTH(DATE($D$2,$B$2,1),0)),"",IFERROR(SUMIFS(DATA_GOC!$H:$H,DATA_GOC!$A:$A,"BOM",DATA_GOC!$D:$D,$B152,DATA_GOC!$E:$E,"Téc 3",DATA_GOC!$F:$F,"Xuất nội bộ từ téc",DATA_GOC!$B:$B,DATE($D$2,$B$2,Y$4)),0))</f>
        <v>0</v>
      </c>
      <c r="Z152" s="251">
        <f>IF(Z$4&gt;DAY(EOMONTH(DATE($D$2,$B$2,1),0)),"",IFERROR(SUMIFS(DATA_GOC!$H:$H,DATA_GOC!$A:$A,"BOM",DATA_GOC!$D:$D,$B152,DATA_GOC!$E:$E,"Téc 3",DATA_GOC!$F:$F,"Xuất nội bộ từ téc",DATA_GOC!$B:$B,DATE($D$2,$B$2,Z$4)),0))</f>
        <v>0</v>
      </c>
      <c r="AA152" s="251">
        <f>IF(AA$4&gt;DAY(EOMONTH(DATE($D$2,$B$2,1),0)),"",IFERROR(SUMIFS(DATA_GOC!$H:$H,DATA_GOC!$A:$A,"BOM",DATA_GOC!$D:$D,$B152,DATA_GOC!$E:$E,"Téc 3",DATA_GOC!$F:$F,"Xuất nội bộ từ téc",DATA_GOC!$B:$B,DATE($D$2,$B$2,AA$4)),0))</f>
        <v>0</v>
      </c>
      <c r="AB152" s="251">
        <f>IF(AB$4&gt;DAY(EOMONTH(DATE($D$2,$B$2,1),0)),"",IFERROR(SUMIFS(DATA_GOC!$H:$H,DATA_GOC!$A:$A,"BOM",DATA_GOC!$D:$D,$B152,DATA_GOC!$E:$E,"Téc 3",DATA_GOC!$F:$F,"Xuất nội bộ từ téc",DATA_GOC!$B:$B,DATE($D$2,$B$2,AB$4)),0))</f>
        <v>0</v>
      </c>
      <c r="AC152" s="251">
        <f>IF(AC$4&gt;DAY(EOMONTH(DATE($D$2,$B$2,1),0)),"",IFERROR(SUMIFS(DATA_GOC!$H:$H,DATA_GOC!$A:$A,"BOM",DATA_GOC!$D:$D,$B152,DATA_GOC!$E:$E,"Téc 3",DATA_GOC!$F:$F,"Xuất nội bộ từ téc",DATA_GOC!$B:$B,DATE($D$2,$B$2,AC$4)),0))</f>
        <v>0</v>
      </c>
      <c r="AD152" s="251">
        <f>IF(AD$4&gt;DAY(EOMONTH(DATE($D$2,$B$2,1),0)),"",IFERROR(SUMIFS(DATA_GOC!$H:$H,DATA_GOC!$A:$A,"BOM",DATA_GOC!$D:$D,$B152,DATA_GOC!$E:$E,"Téc 3",DATA_GOC!$F:$F,"Xuất nội bộ từ téc",DATA_GOC!$B:$B,DATE($D$2,$B$2,AD$4)),0))</f>
        <v>0</v>
      </c>
      <c r="AE152" s="251">
        <f>IF(AE$4&gt;DAY(EOMONTH(DATE($D$2,$B$2,1),0)),"",IFERROR(SUMIFS(DATA_GOC!$H:$H,DATA_GOC!$A:$A,"BOM",DATA_GOC!$D:$D,$B152,DATA_GOC!$E:$E,"Téc 3",DATA_GOC!$F:$F,"Xuất nội bộ từ téc",DATA_GOC!$B:$B,DATE($D$2,$B$2,AE$4)),0))</f>
        <v>0</v>
      </c>
      <c r="AF152" s="251">
        <f>IF(AF$4&gt;DAY(EOMONTH(DATE($D$2,$B$2,1),0)),"",IFERROR(SUMIFS(DATA_GOC!$H:$H,DATA_GOC!$A:$A,"BOM",DATA_GOC!$D:$D,$B152,DATA_GOC!$E:$E,"Téc 3",DATA_GOC!$F:$F,"Xuất nội bộ từ téc",DATA_GOC!$B:$B,DATE($D$2,$B$2,AF$4)),0))</f>
        <v>0</v>
      </c>
      <c r="AG152" s="251">
        <f>IF(AG$4&gt;DAY(EOMONTH(DATE($D$2,$B$2,1),0)),"",IFERROR(SUMIFS(DATA_GOC!$H:$H,DATA_GOC!$A:$A,"BOM",DATA_GOC!$D:$D,$B152,DATA_GOC!$E:$E,"Téc 3",DATA_GOC!$F:$F,"Xuất nội bộ từ téc",DATA_GOC!$B:$B,DATE($D$2,$B$2,AG$4)),0))</f>
        <v>0</v>
      </c>
      <c r="AH152" s="252">
        <f t="shared" si="7"/>
        <v>0</v>
      </c>
      <c r="AI152" s="241"/>
      <c r="AJ152" s="242">
        <f>IF($B152="","",SUMIFS(TINH_TEC!$K$233:$K$9232,TINH_TEC!$H$233:$H$9232,$B152,TINH_TEC!$C$233:$C$9232,"Téc 3",TINH_TEC!$F$233:$F$9232,$B$2,TINH_TEC!$G$233:$G$9232,$D$2,TINH_TEC!$B$233:$B$9232,"Đã chốt"))</f>
        <v>0</v>
      </c>
      <c r="AK152" s="242">
        <f>IF($B152="","",SUMIFS(TINH_TEC!$J$233:$J$9232,TINH_TEC!$H$233:$H$9232,$B152,TINH_TEC!$C$233:$C$9232,"Téc 3",TINH_TEC!$F$233:$F$9232,$B$2,TINH_TEC!$G$233:$G$9232,$D$2,TINH_TEC!$B$233:$B$9232,"Đã chốt"))</f>
        <v>0</v>
      </c>
      <c r="AL152" s="242">
        <f t="shared" si="8"/>
        <v>0</v>
      </c>
    </row>
    <row r="153" ht="15.75" customHeight="1">
      <c r="A153" s="237">
        <f>IF($B153&lt;&gt;"",26,"")</f>
        <v>26</v>
      </c>
      <c r="B153" s="250" t="str">
        <f t="array" ref="B153">IFERROR(INDEX(DANH_MUC!$E:$E,29),"")</f>
        <v>28C05090</v>
      </c>
      <c r="C153" s="251">
        <f>IF(C$4&gt;DAY(EOMONTH(DATE($D$2,$B$2,1),0)),"",IFERROR(SUMIFS(DATA_GOC!$H:$H,DATA_GOC!$A:$A,"BOM",DATA_GOC!$D:$D,$B153,DATA_GOC!$E:$E,"Téc 3",DATA_GOC!$F:$F,"Xuất nội bộ từ téc",DATA_GOC!$B:$B,DATE($D$2,$B$2,C$4)),0))</f>
        <v>0</v>
      </c>
      <c r="D153" s="251">
        <f>IF(D$4&gt;DAY(EOMONTH(DATE($D$2,$B$2,1),0)),"",IFERROR(SUMIFS(DATA_GOC!$H:$H,DATA_GOC!$A:$A,"BOM",DATA_GOC!$D:$D,$B153,DATA_GOC!$E:$E,"Téc 3",DATA_GOC!$F:$F,"Xuất nội bộ từ téc",DATA_GOC!$B:$B,DATE($D$2,$B$2,D$4)),0))</f>
        <v>0</v>
      </c>
      <c r="E153" s="251">
        <f>IF(E$4&gt;DAY(EOMONTH(DATE($D$2,$B$2,1),0)),"",IFERROR(SUMIFS(DATA_GOC!$H:$H,DATA_GOC!$A:$A,"BOM",DATA_GOC!$D:$D,$B153,DATA_GOC!$E:$E,"Téc 3",DATA_GOC!$F:$F,"Xuất nội bộ từ téc",DATA_GOC!$B:$B,DATE($D$2,$B$2,E$4)),0))</f>
        <v>0</v>
      </c>
      <c r="F153" s="251">
        <f>IF(F$4&gt;DAY(EOMONTH(DATE($D$2,$B$2,1),0)),"",IFERROR(SUMIFS(DATA_GOC!$H:$H,DATA_GOC!$A:$A,"BOM",DATA_GOC!$D:$D,$B153,DATA_GOC!$E:$E,"Téc 3",DATA_GOC!$F:$F,"Xuất nội bộ từ téc",DATA_GOC!$B:$B,DATE($D$2,$B$2,F$4)),0))</f>
        <v>0</v>
      </c>
      <c r="G153" s="251">
        <f>IF(G$4&gt;DAY(EOMONTH(DATE($D$2,$B$2,1),0)),"",IFERROR(SUMIFS(DATA_GOC!$H:$H,DATA_GOC!$A:$A,"BOM",DATA_GOC!$D:$D,$B153,DATA_GOC!$E:$E,"Téc 3",DATA_GOC!$F:$F,"Xuất nội bộ từ téc",DATA_GOC!$B:$B,DATE($D$2,$B$2,G$4)),0))</f>
        <v>0</v>
      </c>
      <c r="H153" s="251">
        <f>IF(H$4&gt;DAY(EOMONTH(DATE($D$2,$B$2,1),0)),"",IFERROR(SUMIFS(DATA_GOC!$H:$H,DATA_GOC!$A:$A,"BOM",DATA_GOC!$D:$D,$B153,DATA_GOC!$E:$E,"Téc 3",DATA_GOC!$F:$F,"Xuất nội bộ từ téc",DATA_GOC!$B:$B,DATE($D$2,$B$2,H$4)),0))</f>
        <v>0</v>
      </c>
      <c r="I153" s="251">
        <f>IF(I$4&gt;DAY(EOMONTH(DATE($D$2,$B$2,1),0)),"",IFERROR(SUMIFS(DATA_GOC!$H:$H,DATA_GOC!$A:$A,"BOM",DATA_GOC!$D:$D,$B153,DATA_GOC!$E:$E,"Téc 3",DATA_GOC!$F:$F,"Xuất nội bộ từ téc",DATA_GOC!$B:$B,DATE($D$2,$B$2,I$4)),0))</f>
        <v>0</v>
      </c>
      <c r="J153" s="251">
        <f>IF(J$4&gt;DAY(EOMONTH(DATE($D$2,$B$2,1),0)),"",IFERROR(SUMIFS(DATA_GOC!$H:$H,DATA_GOC!$A:$A,"BOM",DATA_GOC!$D:$D,$B153,DATA_GOC!$E:$E,"Téc 3",DATA_GOC!$F:$F,"Xuất nội bộ từ téc",DATA_GOC!$B:$B,DATE($D$2,$B$2,J$4)),0))</f>
        <v>0</v>
      </c>
      <c r="K153" s="251">
        <f>IF(K$4&gt;DAY(EOMONTH(DATE($D$2,$B$2,1),0)),"",IFERROR(SUMIFS(DATA_GOC!$H:$H,DATA_GOC!$A:$A,"BOM",DATA_GOC!$D:$D,$B153,DATA_GOC!$E:$E,"Téc 3",DATA_GOC!$F:$F,"Xuất nội bộ từ téc",DATA_GOC!$B:$B,DATE($D$2,$B$2,K$4)),0))</f>
        <v>0</v>
      </c>
      <c r="L153" s="251">
        <f>IF(L$4&gt;DAY(EOMONTH(DATE($D$2,$B$2,1),0)),"",IFERROR(SUMIFS(DATA_GOC!$H:$H,DATA_GOC!$A:$A,"BOM",DATA_GOC!$D:$D,$B153,DATA_GOC!$E:$E,"Téc 3",DATA_GOC!$F:$F,"Xuất nội bộ từ téc",DATA_GOC!$B:$B,DATE($D$2,$B$2,L$4)),0))</f>
        <v>0</v>
      </c>
      <c r="M153" s="251">
        <f>IF(M$4&gt;DAY(EOMONTH(DATE($D$2,$B$2,1),0)),"",IFERROR(SUMIFS(DATA_GOC!$H:$H,DATA_GOC!$A:$A,"BOM",DATA_GOC!$D:$D,$B153,DATA_GOC!$E:$E,"Téc 3",DATA_GOC!$F:$F,"Xuất nội bộ từ téc",DATA_GOC!$B:$B,DATE($D$2,$B$2,M$4)),0))</f>
        <v>0</v>
      </c>
      <c r="N153" s="251">
        <f>IF(N$4&gt;DAY(EOMONTH(DATE($D$2,$B$2,1),0)),"",IFERROR(SUMIFS(DATA_GOC!$H:$H,DATA_GOC!$A:$A,"BOM",DATA_GOC!$D:$D,$B153,DATA_GOC!$E:$E,"Téc 3",DATA_GOC!$F:$F,"Xuất nội bộ từ téc",DATA_GOC!$B:$B,DATE($D$2,$B$2,N$4)),0))</f>
        <v>0</v>
      </c>
      <c r="O153" s="251">
        <f>IF(O$4&gt;DAY(EOMONTH(DATE($D$2,$B$2,1),0)),"",IFERROR(SUMIFS(DATA_GOC!$H:$H,DATA_GOC!$A:$A,"BOM",DATA_GOC!$D:$D,$B153,DATA_GOC!$E:$E,"Téc 3",DATA_GOC!$F:$F,"Xuất nội bộ từ téc",DATA_GOC!$B:$B,DATE($D$2,$B$2,O$4)),0))</f>
        <v>0</v>
      </c>
      <c r="P153" s="251">
        <f>IF(P$4&gt;DAY(EOMONTH(DATE($D$2,$B$2,1),0)),"",IFERROR(SUMIFS(DATA_GOC!$H:$H,DATA_GOC!$A:$A,"BOM",DATA_GOC!$D:$D,$B153,DATA_GOC!$E:$E,"Téc 3",DATA_GOC!$F:$F,"Xuất nội bộ từ téc",DATA_GOC!$B:$B,DATE($D$2,$B$2,P$4)),0))</f>
        <v>0</v>
      </c>
      <c r="Q153" s="251">
        <f>IF(Q$4&gt;DAY(EOMONTH(DATE($D$2,$B$2,1),0)),"",IFERROR(SUMIFS(DATA_GOC!$H:$H,DATA_GOC!$A:$A,"BOM",DATA_GOC!$D:$D,$B153,DATA_GOC!$E:$E,"Téc 3",DATA_GOC!$F:$F,"Xuất nội bộ từ téc",DATA_GOC!$B:$B,DATE($D$2,$B$2,Q$4)),0))</f>
        <v>0</v>
      </c>
      <c r="R153" s="251">
        <f>IF(R$4&gt;DAY(EOMONTH(DATE($D$2,$B$2,1),0)),"",IFERROR(SUMIFS(DATA_GOC!$H:$H,DATA_GOC!$A:$A,"BOM",DATA_GOC!$D:$D,$B153,DATA_GOC!$E:$E,"Téc 3",DATA_GOC!$F:$F,"Xuất nội bộ từ téc",DATA_GOC!$B:$B,DATE($D$2,$B$2,R$4)),0))</f>
        <v>0</v>
      </c>
      <c r="S153" s="251">
        <f>IF(S$4&gt;DAY(EOMONTH(DATE($D$2,$B$2,1),0)),"",IFERROR(SUMIFS(DATA_GOC!$H:$H,DATA_GOC!$A:$A,"BOM",DATA_GOC!$D:$D,$B153,DATA_GOC!$E:$E,"Téc 3",DATA_GOC!$F:$F,"Xuất nội bộ từ téc",DATA_GOC!$B:$B,DATE($D$2,$B$2,S$4)),0))</f>
        <v>0</v>
      </c>
      <c r="T153" s="251">
        <f>IF(T$4&gt;DAY(EOMONTH(DATE($D$2,$B$2,1),0)),"",IFERROR(SUMIFS(DATA_GOC!$H:$H,DATA_GOC!$A:$A,"BOM",DATA_GOC!$D:$D,$B153,DATA_GOC!$E:$E,"Téc 3",DATA_GOC!$F:$F,"Xuất nội bộ từ téc",DATA_GOC!$B:$B,DATE($D$2,$B$2,T$4)),0))</f>
        <v>0</v>
      </c>
      <c r="U153" s="251">
        <f>IF(U$4&gt;DAY(EOMONTH(DATE($D$2,$B$2,1),0)),"",IFERROR(SUMIFS(DATA_GOC!$H:$H,DATA_GOC!$A:$A,"BOM",DATA_GOC!$D:$D,$B153,DATA_GOC!$E:$E,"Téc 3",DATA_GOC!$F:$F,"Xuất nội bộ từ téc",DATA_GOC!$B:$B,DATE($D$2,$B$2,U$4)),0))</f>
        <v>0</v>
      </c>
      <c r="V153" s="251">
        <f>IF(V$4&gt;DAY(EOMONTH(DATE($D$2,$B$2,1),0)),"",IFERROR(SUMIFS(DATA_GOC!$H:$H,DATA_GOC!$A:$A,"BOM",DATA_GOC!$D:$D,$B153,DATA_GOC!$E:$E,"Téc 3",DATA_GOC!$F:$F,"Xuất nội bộ từ téc",DATA_GOC!$B:$B,DATE($D$2,$B$2,V$4)),0))</f>
        <v>0</v>
      </c>
      <c r="W153" s="251">
        <f>IF(W$4&gt;DAY(EOMONTH(DATE($D$2,$B$2,1),0)),"",IFERROR(SUMIFS(DATA_GOC!$H:$H,DATA_GOC!$A:$A,"BOM",DATA_GOC!$D:$D,$B153,DATA_GOC!$E:$E,"Téc 3",DATA_GOC!$F:$F,"Xuất nội bộ từ téc",DATA_GOC!$B:$B,DATE($D$2,$B$2,W$4)),0))</f>
        <v>0</v>
      </c>
      <c r="X153" s="251">
        <f>IF(X$4&gt;DAY(EOMONTH(DATE($D$2,$B$2,1),0)),"",IFERROR(SUMIFS(DATA_GOC!$H:$H,DATA_GOC!$A:$A,"BOM",DATA_GOC!$D:$D,$B153,DATA_GOC!$E:$E,"Téc 3",DATA_GOC!$F:$F,"Xuất nội bộ từ téc",DATA_GOC!$B:$B,DATE($D$2,$B$2,X$4)),0))</f>
        <v>0</v>
      </c>
      <c r="Y153" s="251">
        <f>IF(Y$4&gt;DAY(EOMONTH(DATE($D$2,$B$2,1),0)),"",IFERROR(SUMIFS(DATA_GOC!$H:$H,DATA_GOC!$A:$A,"BOM",DATA_GOC!$D:$D,$B153,DATA_GOC!$E:$E,"Téc 3",DATA_GOC!$F:$F,"Xuất nội bộ từ téc",DATA_GOC!$B:$B,DATE($D$2,$B$2,Y$4)),0))</f>
        <v>0</v>
      </c>
      <c r="Z153" s="251">
        <f>IF(Z$4&gt;DAY(EOMONTH(DATE($D$2,$B$2,1),0)),"",IFERROR(SUMIFS(DATA_GOC!$H:$H,DATA_GOC!$A:$A,"BOM",DATA_GOC!$D:$D,$B153,DATA_GOC!$E:$E,"Téc 3",DATA_GOC!$F:$F,"Xuất nội bộ từ téc",DATA_GOC!$B:$B,DATE($D$2,$B$2,Z$4)),0))</f>
        <v>0</v>
      </c>
      <c r="AA153" s="251">
        <f>IF(AA$4&gt;DAY(EOMONTH(DATE($D$2,$B$2,1),0)),"",IFERROR(SUMIFS(DATA_GOC!$H:$H,DATA_GOC!$A:$A,"BOM",DATA_GOC!$D:$D,$B153,DATA_GOC!$E:$E,"Téc 3",DATA_GOC!$F:$F,"Xuất nội bộ từ téc",DATA_GOC!$B:$B,DATE($D$2,$B$2,AA$4)),0))</f>
        <v>0</v>
      </c>
      <c r="AB153" s="251">
        <f>IF(AB$4&gt;DAY(EOMONTH(DATE($D$2,$B$2,1),0)),"",IFERROR(SUMIFS(DATA_GOC!$H:$H,DATA_GOC!$A:$A,"BOM",DATA_GOC!$D:$D,$B153,DATA_GOC!$E:$E,"Téc 3",DATA_GOC!$F:$F,"Xuất nội bộ từ téc",DATA_GOC!$B:$B,DATE($D$2,$B$2,AB$4)),0))</f>
        <v>0</v>
      </c>
      <c r="AC153" s="251">
        <f>IF(AC$4&gt;DAY(EOMONTH(DATE($D$2,$B$2,1),0)),"",IFERROR(SUMIFS(DATA_GOC!$H:$H,DATA_GOC!$A:$A,"BOM",DATA_GOC!$D:$D,$B153,DATA_GOC!$E:$E,"Téc 3",DATA_GOC!$F:$F,"Xuất nội bộ từ téc",DATA_GOC!$B:$B,DATE($D$2,$B$2,AC$4)),0))</f>
        <v>0</v>
      </c>
      <c r="AD153" s="251">
        <f>IF(AD$4&gt;DAY(EOMONTH(DATE($D$2,$B$2,1),0)),"",IFERROR(SUMIFS(DATA_GOC!$H:$H,DATA_GOC!$A:$A,"BOM",DATA_GOC!$D:$D,$B153,DATA_GOC!$E:$E,"Téc 3",DATA_GOC!$F:$F,"Xuất nội bộ từ téc",DATA_GOC!$B:$B,DATE($D$2,$B$2,AD$4)),0))</f>
        <v>0</v>
      </c>
      <c r="AE153" s="251">
        <f>IF(AE$4&gt;DAY(EOMONTH(DATE($D$2,$B$2,1),0)),"",IFERROR(SUMIFS(DATA_GOC!$H:$H,DATA_GOC!$A:$A,"BOM",DATA_GOC!$D:$D,$B153,DATA_GOC!$E:$E,"Téc 3",DATA_GOC!$F:$F,"Xuất nội bộ từ téc",DATA_GOC!$B:$B,DATE($D$2,$B$2,AE$4)),0))</f>
        <v>0</v>
      </c>
      <c r="AF153" s="251">
        <f>IF(AF$4&gt;DAY(EOMONTH(DATE($D$2,$B$2,1),0)),"",IFERROR(SUMIFS(DATA_GOC!$H:$H,DATA_GOC!$A:$A,"BOM",DATA_GOC!$D:$D,$B153,DATA_GOC!$E:$E,"Téc 3",DATA_GOC!$F:$F,"Xuất nội bộ từ téc",DATA_GOC!$B:$B,DATE($D$2,$B$2,AF$4)),0))</f>
        <v>0</v>
      </c>
      <c r="AG153" s="251">
        <f>IF(AG$4&gt;DAY(EOMONTH(DATE($D$2,$B$2,1),0)),"",IFERROR(SUMIFS(DATA_GOC!$H:$H,DATA_GOC!$A:$A,"BOM",DATA_GOC!$D:$D,$B153,DATA_GOC!$E:$E,"Téc 3",DATA_GOC!$F:$F,"Xuất nội bộ từ téc",DATA_GOC!$B:$B,DATE($D$2,$B$2,AG$4)),0))</f>
        <v>0</v>
      </c>
      <c r="AH153" s="252">
        <f t="shared" si="7"/>
        <v>0</v>
      </c>
      <c r="AI153" s="241"/>
      <c r="AJ153" s="242">
        <f>IF($B153="","",SUMIFS(TINH_TEC!$K$233:$K$9232,TINH_TEC!$H$233:$H$9232,$B153,TINH_TEC!$C$233:$C$9232,"Téc 3",TINH_TEC!$F$233:$F$9232,$B$2,TINH_TEC!$G$233:$G$9232,$D$2,TINH_TEC!$B$233:$B$9232,"Đã chốt"))</f>
        <v>0</v>
      </c>
      <c r="AK153" s="242">
        <f>IF($B153="","",SUMIFS(TINH_TEC!$J$233:$J$9232,TINH_TEC!$H$233:$H$9232,$B153,TINH_TEC!$C$233:$C$9232,"Téc 3",TINH_TEC!$F$233:$F$9232,$B$2,TINH_TEC!$G$233:$G$9232,$D$2,TINH_TEC!$B$233:$B$9232,"Đã chốt"))</f>
        <v>0</v>
      </c>
      <c r="AL153" s="242">
        <f t="shared" si="8"/>
        <v>0</v>
      </c>
    </row>
    <row r="154" ht="15.75" customHeight="1">
      <c r="A154" s="237">
        <f>IF($B154&lt;&gt;"",27,"")</f>
        <v>27</v>
      </c>
      <c r="B154" s="250" t="str">
        <f t="array" ref="B154">IFERROR(INDEX(DANH_MUC!$E:$E,30),"")</f>
        <v>28C05345</v>
      </c>
      <c r="C154" s="251">
        <f>IF(C$4&gt;DAY(EOMONTH(DATE($D$2,$B$2,1),0)),"",IFERROR(SUMIFS(DATA_GOC!$H:$H,DATA_GOC!$A:$A,"BOM",DATA_GOC!$D:$D,$B154,DATA_GOC!$E:$E,"Téc 3",DATA_GOC!$F:$F,"Xuất nội bộ từ téc",DATA_GOC!$B:$B,DATE($D$2,$B$2,C$4)),0))</f>
        <v>0</v>
      </c>
      <c r="D154" s="251">
        <f>IF(D$4&gt;DAY(EOMONTH(DATE($D$2,$B$2,1),0)),"",IFERROR(SUMIFS(DATA_GOC!$H:$H,DATA_GOC!$A:$A,"BOM",DATA_GOC!$D:$D,$B154,DATA_GOC!$E:$E,"Téc 3",DATA_GOC!$F:$F,"Xuất nội bộ từ téc",DATA_GOC!$B:$B,DATE($D$2,$B$2,D$4)),0))</f>
        <v>0</v>
      </c>
      <c r="E154" s="251">
        <f>IF(E$4&gt;DAY(EOMONTH(DATE($D$2,$B$2,1),0)),"",IFERROR(SUMIFS(DATA_GOC!$H:$H,DATA_GOC!$A:$A,"BOM",DATA_GOC!$D:$D,$B154,DATA_GOC!$E:$E,"Téc 3",DATA_GOC!$F:$F,"Xuất nội bộ từ téc",DATA_GOC!$B:$B,DATE($D$2,$B$2,E$4)),0))</f>
        <v>0</v>
      </c>
      <c r="F154" s="251">
        <f>IF(F$4&gt;DAY(EOMONTH(DATE($D$2,$B$2,1),0)),"",IFERROR(SUMIFS(DATA_GOC!$H:$H,DATA_GOC!$A:$A,"BOM",DATA_GOC!$D:$D,$B154,DATA_GOC!$E:$E,"Téc 3",DATA_GOC!$F:$F,"Xuất nội bộ từ téc",DATA_GOC!$B:$B,DATE($D$2,$B$2,F$4)),0))</f>
        <v>0</v>
      </c>
      <c r="G154" s="251">
        <f>IF(G$4&gt;DAY(EOMONTH(DATE($D$2,$B$2,1),0)),"",IFERROR(SUMIFS(DATA_GOC!$H:$H,DATA_GOC!$A:$A,"BOM",DATA_GOC!$D:$D,$B154,DATA_GOC!$E:$E,"Téc 3",DATA_GOC!$F:$F,"Xuất nội bộ từ téc",DATA_GOC!$B:$B,DATE($D$2,$B$2,G$4)),0))</f>
        <v>0</v>
      </c>
      <c r="H154" s="251">
        <f>IF(H$4&gt;DAY(EOMONTH(DATE($D$2,$B$2,1),0)),"",IFERROR(SUMIFS(DATA_GOC!$H:$H,DATA_GOC!$A:$A,"BOM",DATA_GOC!$D:$D,$B154,DATA_GOC!$E:$E,"Téc 3",DATA_GOC!$F:$F,"Xuất nội bộ từ téc",DATA_GOC!$B:$B,DATE($D$2,$B$2,H$4)),0))</f>
        <v>0</v>
      </c>
      <c r="I154" s="251">
        <f>IF(I$4&gt;DAY(EOMONTH(DATE($D$2,$B$2,1),0)),"",IFERROR(SUMIFS(DATA_GOC!$H:$H,DATA_GOC!$A:$A,"BOM",DATA_GOC!$D:$D,$B154,DATA_GOC!$E:$E,"Téc 3",DATA_GOC!$F:$F,"Xuất nội bộ từ téc",DATA_GOC!$B:$B,DATE($D$2,$B$2,I$4)),0))</f>
        <v>0</v>
      </c>
      <c r="J154" s="251">
        <f>IF(J$4&gt;DAY(EOMONTH(DATE($D$2,$B$2,1),0)),"",IFERROR(SUMIFS(DATA_GOC!$H:$H,DATA_GOC!$A:$A,"BOM",DATA_GOC!$D:$D,$B154,DATA_GOC!$E:$E,"Téc 3",DATA_GOC!$F:$F,"Xuất nội bộ từ téc",DATA_GOC!$B:$B,DATE($D$2,$B$2,J$4)),0))</f>
        <v>0</v>
      </c>
      <c r="K154" s="251">
        <f>IF(K$4&gt;DAY(EOMONTH(DATE($D$2,$B$2,1),0)),"",IFERROR(SUMIFS(DATA_GOC!$H:$H,DATA_GOC!$A:$A,"BOM",DATA_GOC!$D:$D,$B154,DATA_GOC!$E:$E,"Téc 3",DATA_GOC!$F:$F,"Xuất nội bộ từ téc",DATA_GOC!$B:$B,DATE($D$2,$B$2,K$4)),0))</f>
        <v>0</v>
      </c>
      <c r="L154" s="251">
        <f>IF(L$4&gt;DAY(EOMONTH(DATE($D$2,$B$2,1),0)),"",IFERROR(SUMIFS(DATA_GOC!$H:$H,DATA_GOC!$A:$A,"BOM",DATA_GOC!$D:$D,$B154,DATA_GOC!$E:$E,"Téc 3",DATA_GOC!$F:$F,"Xuất nội bộ từ téc",DATA_GOC!$B:$B,DATE($D$2,$B$2,L$4)),0))</f>
        <v>0</v>
      </c>
      <c r="M154" s="251">
        <f>IF(M$4&gt;DAY(EOMONTH(DATE($D$2,$B$2,1),0)),"",IFERROR(SUMIFS(DATA_GOC!$H:$H,DATA_GOC!$A:$A,"BOM",DATA_GOC!$D:$D,$B154,DATA_GOC!$E:$E,"Téc 3",DATA_GOC!$F:$F,"Xuất nội bộ từ téc",DATA_GOC!$B:$B,DATE($D$2,$B$2,M$4)),0))</f>
        <v>0</v>
      </c>
      <c r="N154" s="251">
        <f>IF(N$4&gt;DAY(EOMONTH(DATE($D$2,$B$2,1),0)),"",IFERROR(SUMIFS(DATA_GOC!$H:$H,DATA_GOC!$A:$A,"BOM",DATA_GOC!$D:$D,$B154,DATA_GOC!$E:$E,"Téc 3",DATA_GOC!$F:$F,"Xuất nội bộ từ téc",DATA_GOC!$B:$B,DATE($D$2,$B$2,N$4)),0))</f>
        <v>0</v>
      </c>
      <c r="O154" s="251">
        <f>IF(O$4&gt;DAY(EOMONTH(DATE($D$2,$B$2,1),0)),"",IFERROR(SUMIFS(DATA_GOC!$H:$H,DATA_GOC!$A:$A,"BOM",DATA_GOC!$D:$D,$B154,DATA_GOC!$E:$E,"Téc 3",DATA_GOC!$F:$F,"Xuất nội bộ từ téc",DATA_GOC!$B:$B,DATE($D$2,$B$2,O$4)),0))</f>
        <v>0</v>
      </c>
      <c r="P154" s="251">
        <f>IF(P$4&gt;DAY(EOMONTH(DATE($D$2,$B$2,1),0)),"",IFERROR(SUMIFS(DATA_GOC!$H:$H,DATA_GOC!$A:$A,"BOM",DATA_GOC!$D:$D,$B154,DATA_GOC!$E:$E,"Téc 3",DATA_GOC!$F:$F,"Xuất nội bộ từ téc",DATA_GOC!$B:$B,DATE($D$2,$B$2,P$4)),0))</f>
        <v>0</v>
      </c>
      <c r="Q154" s="251">
        <f>IF(Q$4&gt;DAY(EOMONTH(DATE($D$2,$B$2,1),0)),"",IFERROR(SUMIFS(DATA_GOC!$H:$H,DATA_GOC!$A:$A,"BOM",DATA_GOC!$D:$D,$B154,DATA_GOC!$E:$E,"Téc 3",DATA_GOC!$F:$F,"Xuất nội bộ từ téc",DATA_GOC!$B:$B,DATE($D$2,$B$2,Q$4)),0))</f>
        <v>0</v>
      </c>
      <c r="R154" s="251">
        <f>IF(R$4&gt;DAY(EOMONTH(DATE($D$2,$B$2,1),0)),"",IFERROR(SUMIFS(DATA_GOC!$H:$H,DATA_GOC!$A:$A,"BOM",DATA_GOC!$D:$D,$B154,DATA_GOC!$E:$E,"Téc 3",DATA_GOC!$F:$F,"Xuất nội bộ từ téc",DATA_GOC!$B:$B,DATE($D$2,$B$2,R$4)),0))</f>
        <v>0</v>
      </c>
      <c r="S154" s="251">
        <f>IF(S$4&gt;DAY(EOMONTH(DATE($D$2,$B$2,1),0)),"",IFERROR(SUMIFS(DATA_GOC!$H:$H,DATA_GOC!$A:$A,"BOM",DATA_GOC!$D:$D,$B154,DATA_GOC!$E:$E,"Téc 3",DATA_GOC!$F:$F,"Xuất nội bộ từ téc",DATA_GOC!$B:$B,DATE($D$2,$B$2,S$4)),0))</f>
        <v>0</v>
      </c>
      <c r="T154" s="251">
        <f>IF(T$4&gt;DAY(EOMONTH(DATE($D$2,$B$2,1),0)),"",IFERROR(SUMIFS(DATA_GOC!$H:$H,DATA_GOC!$A:$A,"BOM",DATA_GOC!$D:$D,$B154,DATA_GOC!$E:$E,"Téc 3",DATA_GOC!$F:$F,"Xuất nội bộ từ téc",DATA_GOC!$B:$B,DATE($D$2,$B$2,T$4)),0))</f>
        <v>0</v>
      </c>
      <c r="U154" s="251">
        <f>IF(U$4&gt;DAY(EOMONTH(DATE($D$2,$B$2,1),0)),"",IFERROR(SUMIFS(DATA_GOC!$H:$H,DATA_GOC!$A:$A,"BOM",DATA_GOC!$D:$D,$B154,DATA_GOC!$E:$E,"Téc 3",DATA_GOC!$F:$F,"Xuất nội bộ từ téc",DATA_GOC!$B:$B,DATE($D$2,$B$2,U$4)),0))</f>
        <v>0</v>
      </c>
      <c r="V154" s="251">
        <f>IF(V$4&gt;DAY(EOMONTH(DATE($D$2,$B$2,1),0)),"",IFERROR(SUMIFS(DATA_GOC!$H:$H,DATA_GOC!$A:$A,"BOM",DATA_GOC!$D:$D,$B154,DATA_GOC!$E:$E,"Téc 3",DATA_GOC!$F:$F,"Xuất nội bộ từ téc",DATA_GOC!$B:$B,DATE($D$2,$B$2,V$4)),0))</f>
        <v>0</v>
      </c>
      <c r="W154" s="251">
        <f>IF(W$4&gt;DAY(EOMONTH(DATE($D$2,$B$2,1),0)),"",IFERROR(SUMIFS(DATA_GOC!$H:$H,DATA_GOC!$A:$A,"BOM",DATA_GOC!$D:$D,$B154,DATA_GOC!$E:$E,"Téc 3",DATA_GOC!$F:$F,"Xuất nội bộ từ téc",DATA_GOC!$B:$B,DATE($D$2,$B$2,W$4)),0))</f>
        <v>0</v>
      </c>
      <c r="X154" s="251">
        <f>IF(X$4&gt;DAY(EOMONTH(DATE($D$2,$B$2,1),0)),"",IFERROR(SUMIFS(DATA_GOC!$H:$H,DATA_GOC!$A:$A,"BOM",DATA_GOC!$D:$D,$B154,DATA_GOC!$E:$E,"Téc 3",DATA_GOC!$F:$F,"Xuất nội bộ từ téc",DATA_GOC!$B:$B,DATE($D$2,$B$2,X$4)),0))</f>
        <v>0</v>
      </c>
      <c r="Y154" s="251">
        <f>IF(Y$4&gt;DAY(EOMONTH(DATE($D$2,$B$2,1),0)),"",IFERROR(SUMIFS(DATA_GOC!$H:$H,DATA_GOC!$A:$A,"BOM",DATA_GOC!$D:$D,$B154,DATA_GOC!$E:$E,"Téc 3",DATA_GOC!$F:$F,"Xuất nội bộ từ téc",DATA_GOC!$B:$B,DATE($D$2,$B$2,Y$4)),0))</f>
        <v>0</v>
      </c>
      <c r="Z154" s="251">
        <f>IF(Z$4&gt;DAY(EOMONTH(DATE($D$2,$B$2,1),0)),"",IFERROR(SUMIFS(DATA_GOC!$H:$H,DATA_GOC!$A:$A,"BOM",DATA_GOC!$D:$D,$B154,DATA_GOC!$E:$E,"Téc 3",DATA_GOC!$F:$F,"Xuất nội bộ từ téc",DATA_GOC!$B:$B,DATE($D$2,$B$2,Z$4)),0))</f>
        <v>0</v>
      </c>
      <c r="AA154" s="251">
        <f>IF(AA$4&gt;DAY(EOMONTH(DATE($D$2,$B$2,1),0)),"",IFERROR(SUMIFS(DATA_GOC!$H:$H,DATA_GOC!$A:$A,"BOM",DATA_GOC!$D:$D,$B154,DATA_GOC!$E:$E,"Téc 3",DATA_GOC!$F:$F,"Xuất nội bộ từ téc",DATA_GOC!$B:$B,DATE($D$2,$B$2,AA$4)),0))</f>
        <v>0</v>
      </c>
      <c r="AB154" s="251">
        <f>IF(AB$4&gt;DAY(EOMONTH(DATE($D$2,$B$2,1),0)),"",IFERROR(SUMIFS(DATA_GOC!$H:$H,DATA_GOC!$A:$A,"BOM",DATA_GOC!$D:$D,$B154,DATA_GOC!$E:$E,"Téc 3",DATA_GOC!$F:$F,"Xuất nội bộ từ téc",DATA_GOC!$B:$B,DATE($D$2,$B$2,AB$4)),0))</f>
        <v>0</v>
      </c>
      <c r="AC154" s="251">
        <f>IF(AC$4&gt;DAY(EOMONTH(DATE($D$2,$B$2,1),0)),"",IFERROR(SUMIFS(DATA_GOC!$H:$H,DATA_GOC!$A:$A,"BOM",DATA_GOC!$D:$D,$B154,DATA_GOC!$E:$E,"Téc 3",DATA_GOC!$F:$F,"Xuất nội bộ từ téc",DATA_GOC!$B:$B,DATE($D$2,$B$2,AC$4)),0))</f>
        <v>0</v>
      </c>
      <c r="AD154" s="251">
        <f>IF(AD$4&gt;DAY(EOMONTH(DATE($D$2,$B$2,1),0)),"",IFERROR(SUMIFS(DATA_GOC!$H:$H,DATA_GOC!$A:$A,"BOM",DATA_GOC!$D:$D,$B154,DATA_GOC!$E:$E,"Téc 3",DATA_GOC!$F:$F,"Xuất nội bộ từ téc",DATA_GOC!$B:$B,DATE($D$2,$B$2,AD$4)),0))</f>
        <v>0</v>
      </c>
      <c r="AE154" s="251">
        <f>IF(AE$4&gt;DAY(EOMONTH(DATE($D$2,$B$2,1),0)),"",IFERROR(SUMIFS(DATA_GOC!$H:$H,DATA_GOC!$A:$A,"BOM",DATA_GOC!$D:$D,$B154,DATA_GOC!$E:$E,"Téc 3",DATA_GOC!$F:$F,"Xuất nội bộ từ téc",DATA_GOC!$B:$B,DATE($D$2,$B$2,AE$4)),0))</f>
        <v>0</v>
      </c>
      <c r="AF154" s="251">
        <f>IF(AF$4&gt;DAY(EOMONTH(DATE($D$2,$B$2,1),0)),"",IFERROR(SUMIFS(DATA_GOC!$H:$H,DATA_GOC!$A:$A,"BOM",DATA_GOC!$D:$D,$B154,DATA_GOC!$E:$E,"Téc 3",DATA_GOC!$F:$F,"Xuất nội bộ từ téc",DATA_GOC!$B:$B,DATE($D$2,$B$2,AF$4)),0))</f>
        <v>0</v>
      </c>
      <c r="AG154" s="251">
        <f>IF(AG$4&gt;DAY(EOMONTH(DATE($D$2,$B$2,1),0)),"",IFERROR(SUMIFS(DATA_GOC!$H:$H,DATA_GOC!$A:$A,"BOM",DATA_GOC!$D:$D,$B154,DATA_GOC!$E:$E,"Téc 3",DATA_GOC!$F:$F,"Xuất nội bộ từ téc",DATA_GOC!$B:$B,DATE($D$2,$B$2,AG$4)),0))</f>
        <v>0</v>
      </c>
      <c r="AH154" s="252">
        <f t="shared" si="7"/>
        <v>0</v>
      </c>
      <c r="AI154" s="241"/>
      <c r="AJ154" s="242">
        <f>IF($B154="","",SUMIFS(TINH_TEC!$K$233:$K$9232,TINH_TEC!$H$233:$H$9232,$B154,TINH_TEC!$C$233:$C$9232,"Téc 3",TINH_TEC!$F$233:$F$9232,$B$2,TINH_TEC!$G$233:$G$9232,$D$2,TINH_TEC!$B$233:$B$9232,"Đã chốt"))</f>
        <v>0</v>
      </c>
      <c r="AK154" s="242">
        <f>IF($B154="","",SUMIFS(TINH_TEC!$J$233:$J$9232,TINH_TEC!$H$233:$H$9232,$B154,TINH_TEC!$C$233:$C$9232,"Téc 3",TINH_TEC!$F$233:$F$9232,$B$2,TINH_TEC!$G$233:$G$9232,$D$2,TINH_TEC!$B$233:$B$9232,"Đã chốt"))</f>
        <v>0</v>
      </c>
      <c r="AL154" s="242">
        <f t="shared" si="8"/>
        <v>0</v>
      </c>
    </row>
    <row r="155" ht="15.75" customHeight="1">
      <c r="A155" s="237">
        <f>IF($B155&lt;&gt;"",28,"")</f>
        <v>28</v>
      </c>
      <c r="B155" s="250" t="str">
        <f t="array" ref="B155">IFERROR(INDEX(DANH_MUC!$E:$E,31),"")</f>
        <v>28C05661</v>
      </c>
      <c r="C155" s="251">
        <f>IF(C$4&gt;DAY(EOMONTH(DATE($D$2,$B$2,1),0)),"",IFERROR(SUMIFS(DATA_GOC!$H:$H,DATA_GOC!$A:$A,"BOM",DATA_GOC!$D:$D,$B155,DATA_GOC!$E:$E,"Téc 3",DATA_GOC!$F:$F,"Xuất nội bộ từ téc",DATA_GOC!$B:$B,DATE($D$2,$B$2,C$4)),0))</f>
        <v>0</v>
      </c>
      <c r="D155" s="251">
        <f>IF(D$4&gt;DAY(EOMONTH(DATE($D$2,$B$2,1),0)),"",IFERROR(SUMIFS(DATA_GOC!$H:$H,DATA_GOC!$A:$A,"BOM",DATA_GOC!$D:$D,$B155,DATA_GOC!$E:$E,"Téc 3",DATA_GOC!$F:$F,"Xuất nội bộ từ téc",DATA_GOC!$B:$B,DATE($D$2,$B$2,D$4)),0))</f>
        <v>0</v>
      </c>
      <c r="E155" s="251">
        <f>IF(E$4&gt;DAY(EOMONTH(DATE($D$2,$B$2,1),0)),"",IFERROR(SUMIFS(DATA_GOC!$H:$H,DATA_GOC!$A:$A,"BOM",DATA_GOC!$D:$D,$B155,DATA_GOC!$E:$E,"Téc 3",DATA_GOC!$F:$F,"Xuất nội bộ từ téc",DATA_GOC!$B:$B,DATE($D$2,$B$2,E$4)),0))</f>
        <v>0</v>
      </c>
      <c r="F155" s="251">
        <f>IF(F$4&gt;DAY(EOMONTH(DATE($D$2,$B$2,1),0)),"",IFERROR(SUMIFS(DATA_GOC!$H:$H,DATA_GOC!$A:$A,"BOM",DATA_GOC!$D:$D,$B155,DATA_GOC!$E:$E,"Téc 3",DATA_GOC!$F:$F,"Xuất nội bộ từ téc",DATA_GOC!$B:$B,DATE($D$2,$B$2,F$4)),0))</f>
        <v>0</v>
      </c>
      <c r="G155" s="251">
        <f>IF(G$4&gt;DAY(EOMONTH(DATE($D$2,$B$2,1),0)),"",IFERROR(SUMIFS(DATA_GOC!$H:$H,DATA_GOC!$A:$A,"BOM",DATA_GOC!$D:$D,$B155,DATA_GOC!$E:$E,"Téc 3",DATA_GOC!$F:$F,"Xuất nội bộ từ téc",DATA_GOC!$B:$B,DATE($D$2,$B$2,G$4)),0))</f>
        <v>0</v>
      </c>
      <c r="H155" s="251">
        <f>IF(H$4&gt;DAY(EOMONTH(DATE($D$2,$B$2,1),0)),"",IFERROR(SUMIFS(DATA_GOC!$H:$H,DATA_GOC!$A:$A,"BOM",DATA_GOC!$D:$D,$B155,DATA_GOC!$E:$E,"Téc 3",DATA_GOC!$F:$F,"Xuất nội bộ từ téc",DATA_GOC!$B:$B,DATE($D$2,$B$2,H$4)),0))</f>
        <v>0</v>
      </c>
      <c r="I155" s="251">
        <f>IF(I$4&gt;DAY(EOMONTH(DATE($D$2,$B$2,1),0)),"",IFERROR(SUMIFS(DATA_GOC!$H:$H,DATA_GOC!$A:$A,"BOM",DATA_GOC!$D:$D,$B155,DATA_GOC!$E:$E,"Téc 3",DATA_GOC!$F:$F,"Xuất nội bộ từ téc",DATA_GOC!$B:$B,DATE($D$2,$B$2,I$4)),0))</f>
        <v>0</v>
      </c>
      <c r="J155" s="251">
        <f>IF(J$4&gt;DAY(EOMONTH(DATE($D$2,$B$2,1),0)),"",IFERROR(SUMIFS(DATA_GOC!$H:$H,DATA_GOC!$A:$A,"BOM",DATA_GOC!$D:$D,$B155,DATA_GOC!$E:$E,"Téc 3",DATA_GOC!$F:$F,"Xuất nội bộ từ téc",DATA_GOC!$B:$B,DATE($D$2,$B$2,J$4)),0))</f>
        <v>0</v>
      </c>
      <c r="K155" s="251">
        <f>IF(K$4&gt;DAY(EOMONTH(DATE($D$2,$B$2,1),0)),"",IFERROR(SUMIFS(DATA_GOC!$H:$H,DATA_GOC!$A:$A,"BOM",DATA_GOC!$D:$D,$B155,DATA_GOC!$E:$E,"Téc 3",DATA_GOC!$F:$F,"Xuất nội bộ từ téc",DATA_GOC!$B:$B,DATE($D$2,$B$2,K$4)),0))</f>
        <v>0</v>
      </c>
      <c r="L155" s="251">
        <f>IF(L$4&gt;DAY(EOMONTH(DATE($D$2,$B$2,1),0)),"",IFERROR(SUMIFS(DATA_GOC!$H:$H,DATA_GOC!$A:$A,"BOM",DATA_GOC!$D:$D,$B155,DATA_GOC!$E:$E,"Téc 3",DATA_GOC!$F:$F,"Xuất nội bộ từ téc",DATA_GOC!$B:$B,DATE($D$2,$B$2,L$4)),0))</f>
        <v>0</v>
      </c>
      <c r="M155" s="251">
        <f>IF(M$4&gt;DAY(EOMONTH(DATE($D$2,$B$2,1),0)),"",IFERROR(SUMIFS(DATA_GOC!$H:$H,DATA_GOC!$A:$A,"BOM",DATA_GOC!$D:$D,$B155,DATA_GOC!$E:$E,"Téc 3",DATA_GOC!$F:$F,"Xuất nội bộ từ téc",DATA_GOC!$B:$B,DATE($D$2,$B$2,M$4)),0))</f>
        <v>0</v>
      </c>
      <c r="N155" s="251">
        <f>IF(N$4&gt;DAY(EOMONTH(DATE($D$2,$B$2,1),0)),"",IFERROR(SUMIFS(DATA_GOC!$H:$H,DATA_GOC!$A:$A,"BOM",DATA_GOC!$D:$D,$B155,DATA_GOC!$E:$E,"Téc 3",DATA_GOC!$F:$F,"Xuất nội bộ từ téc",DATA_GOC!$B:$B,DATE($D$2,$B$2,N$4)),0))</f>
        <v>0</v>
      </c>
      <c r="O155" s="251">
        <f>IF(O$4&gt;DAY(EOMONTH(DATE($D$2,$B$2,1),0)),"",IFERROR(SUMIFS(DATA_GOC!$H:$H,DATA_GOC!$A:$A,"BOM",DATA_GOC!$D:$D,$B155,DATA_GOC!$E:$E,"Téc 3",DATA_GOC!$F:$F,"Xuất nội bộ từ téc",DATA_GOC!$B:$B,DATE($D$2,$B$2,O$4)),0))</f>
        <v>0</v>
      </c>
      <c r="P155" s="251">
        <f>IF(P$4&gt;DAY(EOMONTH(DATE($D$2,$B$2,1),0)),"",IFERROR(SUMIFS(DATA_GOC!$H:$H,DATA_GOC!$A:$A,"BOM",DATA_GOC!$D:$D,$B155,DATA_GOC!$E:$E,"Téc 3",DATA_GOC!$F:$F,"Xuất nội bộ từ téc",DATA_GOC!$B:$B,DATE($D$2,$B$2,P$4)),0))</f>
        <v>0</v>
      </c>
      <c r="Q155" s="251">
        <f>IF(Q$4&gt;DAY(EOMONTH(DATE($D$2,$B$2,1),0)),"",IFERROR(SUMIFS(DATA_GOC!$H:$H,DATA_GOC!$A:$A,"BOM",DATA_GOC!$D:$D,$B155,DATA_GOC!$E:$E,"Téc 3",DATA_GOC!$F:$F,"Xuất nội bộ từ téc",DATA_GOC!$B:$B,DATE($D$2,$B$2,Q$4)),0))</f>
        <v>0</v>
      </c>
      <c r="R155" s="251">
        <f>IF(R$4&gt;DAY(EOMONTH(DATE($D$2,$B$2,1),0)),"",IFERROR(SUMIFS(DATA_GOC!$H:$H,DATA_GOC!$A:$A,"BOM",DATA_GOC!$D:$D,$B155,DATA_GOC!$E:$E,"Téc 3",DATA_GOC!$F:$F,"Xuất nội bộ từ téc",DATA_GOC!$B:$B,DATE($D$2,$B$2,R$4)),0))</f>
        <v>0</v>
      </c>
      <c r="S155" s="251">
        <f>IF(S$4&gt;DAY(EOMONTH(DATE($D$2,$B$2,1),0)),"",IFERROR(SUMIFS(DATA_GOC!$H:$H,DATA_GOC!$A:$A,"BOM",DATA_GOC!$D:$D,$B155,DATA_GOC!$E:$E,"Téc 3",DATA_GOC!$F:$F,"Xuất nội bộ từ téc",DATA_GOC!$B:$B,DATE($D$2,$B$2,S$4)),0))</f>
        <v>0</v>
      </c>
      <c r="T155" s="251">
        <f>IF(T$4&gt;DAY(EOMONTH(DATE($D$2,$B$2,1),0)),"",IFERROR(SUMIFS(DATA_GOC!$H:$H,DATA_GOC!$A:$A,"BOM",DATA_GOC!$D:$D,$B155,DATA_GOC!$E:$E,"Téc 3",DATA_GOC!$F:$F,"Xuất nội bộ từ téc",DATA_GOC!$B:$B,DATE($D$2,$B$2,T$4)),0))</f>
        <v>0</v>
      </c>
      <c r="U155" s="251">
        <f>IF(U$4&gt;DAY(EOMONTH(DATE($D$2,$B$2,1),0)),"",IFERROR(SUMIFS(DATA_GOC!$H:$H,DATA_GOC!$A:$A,"BOM",DATA_GOC!$D:$D,$B155,DATA_GOC!$E:$E,"Téc 3",DATA_GOC!$F:$F,"Xuất nội bộ từ téc",DATA_GOC!$B:$B,DATE($D$2,$B$2,U$4)),0))</f>
        <v>0</v>
      </c>
      <c r="V155" s="251">
        <f>IF(V$4&gt;DAY(EOMONTH(DATE($D$2,$B$2,1),0)),"",IFERROR(SUMIFS(DATA_GOC!$H:$H,DATA_GOC!$A:$A,"BOM",DATA_GOC!$D:$D,$B155,DATA_GOC!$E:$E,"Téc 3",DATA_GOC!$F:$F,"Xuất nội bộ từ téc",DATA_GOC!$B:$B,DATE($D$2,$B$2,V$4)),0))</f>
        <v>0</v>
      </c>
      <c r="W155" s="251">
        <f>IF(W$4&gt;DAY(EOMONTH(DATE($D$2,$B$2,1),0)),"",IFERROR(SUMIFS(DATA_GOC!$H:$H,DATA_GOC!$A:$A,"BOM",DATA_GOC!$D:$D,$B155,DATA_GOC!$E:$E,"Téc 3",DATA_GOC!$F:$F,"Xuất nội bộ từ téc",DATA_GOC!$B:$B,DATE($D$2,$B$2,W$4)),0))</f>
        <v>0</v>
      </c>
      <c r="X155" s="251">
        <f>IF(X$4&gt;DAY(EOMONTH(DATE($D$2,$B$2,1),0)),"",IFERROR(SUMIFS(DATA_GOC!$H:$H,DATA_GOC!$A:$A,"BOM",DATA_GOC!$D:$D,$B155,DATA_GOC!$E:$E,"Téc 3",DATA_GOC!$F:$F,"Xuất nội bộ từ téc",DATA_GOC!$B:$B,DATE($D$2,$B$2,X$4)),0))</f>
        <v>0</v>
      </c>
      <c r="Y155" s="251">
        <f>IF(Y$4&gt;DAY(EOMONTH(DATE($D$2,$B$2,1),0)),"",IFERROR(SUMIFS(DATA_GOC!$H:$H,DATA_GOC!$A:$A,"BOM",DATA_GOC!$D:$D,$B155,DATA_GOC!$E:$E,"Téc 3",DATA_GOC!$F:$F,"Xuất nội bộ từ téc",DATA_GOC!$B:$B,DATE($D$2,$B$2,Y$4)),0))</f>
        <v>0</v>
      </c>
      <c r="Z155" s="251">
        <f>IF(Z$4&gt;DAY(EOMONTH(DATE($D$2,$B$2,1),0)),"",IFERROR(SUMIFS(DATA_GOC!$H:$H,DATA_GOC!$A:$A,"BOM",DATA_GOC!$D:$D,$B155,DATA_GOC!$E:$E,"Téc 3",DATA_GOC!$F:$F,"Xuất nội bộ từ téc",DATA_GOC!$B:$B,DATE($D$2,$B$2,Z$4)),0))</f>
        <v>0</v>
      </c>
      <c r="AA155" s="251">
        <f>IF(AA$4&gt;DAY(EOMONTH(DATE($D$2,$B$2,1),0)),"",IFERROR(SUMIFS(DATA_GOC!$H:$H,DATA_GOC!$A:$A,"BOM",DATA_GOC!$D:$D,$B155,DATA_GOC!$E:$E,"Téc 3",DATA_GOC!$F:$F,"Xuất nội bộ từ téc",DATA_GOC!$B:$B,DATE($D$2,$B$2,AA$4)),0))</f>
        <v>0</v>
      </c>
      <c r="AB155" s="251">
        <f>IF(AB$4&gt;DAY(EOMONTH(DATE($D$2,$B$2,1),0)),"",IFERROR(SUMIFS(DATA_GOC!$H:$H,DATA_GOC!$A:$A,"BOM",DATA_GOC!$D:$D,$B155,DATA_GOC!$E:$E,"Téc 3",DATA_GOC!$F:$F,"Xuất nội bộ từ téc",DATA_GOC!$B:$B,DATE($D$2,$B$2,AB$4)),0))</f>
        <v>0</v>
      </c>
      <c r="AC155" s="251">
        <f>IF(AC$4&gt;DAY(EOMONTH(DATE($D$2,$B$2,1),0)),"",IFERROR(SUMIFS(DATA_GOC!$H:$H,DATA_GOC!$A:$A,"BOM",DATA_GOC!$D:$D,$B155,DATA_GOC!$E:$E,"Téc 3",DATA_GOC!$F:$F,"Xuất nội bộ từ téc",DATA_GOC!$B:$B,DATE($D$2,$B$2,AC$4)),0))</f>
        <v>0</v>
      </c>
      <c r="AD155" s="251">
        <f>IF(AD$4&gt;DAY(EOMONTH(DATE($D$2,$B$2,1),0)),"",IFERROR(SUMIFS(DATA_GOC!$H:$H,DATA_GOC!$A:$A,"BOM",DATA_GOC!$D:$D,$B155,DATA_GOC!$E:$E,"Téc 3",DATA_GOC!$F:$F,"Xuất nội bộ từ téc",DATA_GOC!$B:$B,DATE($D$2,$B$2,AD$4)),0))</f>
        <v>0</v>
      </c>
      <c r="AE155" s="251">
        <f>IF(AE$4&gt;DAY(EOMONTH(DATE($D$2,$B$2,1),0)),"",IFERROR(SUMIFS(DATA_GOC!$H:$H,DATA_GOC!$A:$A,"BOM",DATA_GOC!$D:$D,$B155,DATA_GOC!$E:$E,"Téc 3",DATA_GOC!$F:$F,"Xuất nội bộ từ téc",DATA_GOC!$B:$B,DATE($D$2,$B$2,AE$4)),0))</f>
        <v>0</v>
      </c>
      <c r="AF155" s="251">
        <f>IF(AF$4&gt;DAY(EOMONTH(DATE($D$2,$B$2,1),0)),"",IFERROR(SUMIFS(DATA_GOC!$H:$H,DATA_GOC!$A:$A,"BOM",DATA_GOC!$D:$D,$B155,DATA_GOC!$E:$E,"Téc 3",DATA_GOC!$F:$F,"Xuất nội bộ từ téc",DATA_GOC!$B:$B,DATE($D$2,$B$2,AF$4)),0))</f>
        <v>0</v>
      </c>
      <c r="AG155" s="251">
        <f>IF(AG$4&gt;DAY(EOMONTH(DATE($D$2,$B$2,1),0)),"",IFERROR(SUMIFS(DATA_GOC!$H:$H,DATA_GOC!$A:$A,"BOM",DATA_GOC!$D:$D,$B155,DATA_GOC!$E:$E,"Téc 3",DATA_GOC!$F:$F,"Xuất nội bộ từ téc",DATA_GOC!$B:$B,DATE($D$2,$B$2,AG$4)),0))</f>
        <v>0</v>
      </c>
      <c r="AH155" s="252">
        <f t="shared" si="7"/>
        <v>0</v>
      </c>
      <c r="AI155" s="241"/>
      <c r="AJ155" s="242">
        <f>IF($B155="","",SUMIFS(TINH_TEC!$K$233:$K$9232,TINH_TEC!$H$233:$H$9232,$B155,TINH_TEC!$C$233:$C$9232,"Téc 3",TINH_TEC!$F$233:$F$9232,$B$2,TINH_TEC!$G$233:$G$9232,$D$2,TINH_TEC!$B$233:$B$9232,"Đã chốt"))</f>
        <v>0</v>
      </c>
      <c r="AK155" s="242">
        <f>IF($B155="","",SUMIFS(TINH_TEC!$J$233:$J$9232,TINH_TEC!$H$233:$H$9232,$B155,TINH_TEC!$C$233:$C$9232,"Téc 3",TINH_TEC!$F$233:$F$9232,$B$2,TINH_TEC!$G$233:$G$9232,$D$2,TINH_TEC!$B$233:$B$9232,"Đã chốt"))</f>
        <v>0</v>
      </c>
      <c r="AL155" s="242">
        <f t="shared" si="8"/>
        <v>0</v>
      </c>
    </row>
    <row r="156" ht="15.75" customHeight="1">
      <c r="A156" s="237">
        <f>IF($B156&lt;&gt;"",29,"")</f>
        <v>29</v>
      </c>
      <c r="B156" s="250" t="str">
        <f t="array" ref="B156">IFERROR(INDEX(DANH_MUC!$E:$E,32),"")</f>
        <v>28C05739</v>
      </c>
      <c r="C156" s="251">
        <f>IF(C$4&gt;DAY(EOMONTH(DATE($D$2,$B$2,1),0)),"",IFERROR(SUMIFS(DATA_GOC!$H:$H,DATA_GOC!$A:$A,"BOM",DATA_GOC!$D:$D,$B156,DATA_GOC!$E:$E,"Téc 3",DATA_GOC!$F:$F,"Xuất nội bộ từ téc",DATA_GOC!$B:$B,DATE($D$2,$B$2,C$4)),0))</f>
        <v>0</v>
      </c>
      <c r="D156" s="251">
        <f>IF(D$4&gt;DAY(EOMONTH(DATE($D$2,$B$2,1),0)),"",IFERROR(SUMIFS(DATA_GOC!$H:$H,DATA_GOC!$A:$A,"BOM",DATA_GOC!$D:$D,$B156,DATA_GOC!$E:$E,"Téc 3",DATA_GOC!$F:$F,"Xuất nội bộ từ téc",DATA_GOC!$B:$B,DATE($D$2,$B$2,D$4)),0))</f>
        <v>0</v>
      </c>
      <c r="E156" s="251">
        <f>IF(E$4&gt;DAY(EOMONTH(DATE($D$2,$B$2,1),0)),"",IFERROR(SUMIFS(DATA_GOC!$H:$H,DATA_GOC!$A:$A,"BOM",DATA_GOC!$D:$D,$B156,DATA_GOC!$E:$E,"Téc 3",DATA_GOC!$F:$F,"Xuất nội bộ từ téc",DATA_GOC!$B:$B,DATE($D$2,$B$2,E$4)),0))</f>
        <v>0</v>
      </c>
      <c r="F156" s="251">
        <f>IF(F$4&gt;DAY(EOMONTH(DATE($D$2,$B$2,1),0)),"",IFERROR(SUMIFS(DATA_GOC!$H:$H,DATA_GOC!$A:$A,"BOM",DATA_GOC!$D:$D,$B156,DATA_GOC!$E:$E,"Téc 3",DATA_GOC!$F:$F,"Xuất nội bộ từ téc",DATA_GOC!$B:$B,DATE($D$2,$B$2,F$4)),0))</f>
        <v>0</v>
      </c>
      <c r="G156" s="251">
        <f>IF(G$4&gt;DAY(EOMONTH(DATE($D$2,$B$2,1),0)),"",IFERROR(SUMIFS(DATA_GOC!$H:$H,DATA_GOC!$A:$A,"BOM",DATA_GOC!$D:$D,$B156,DATA_GOC!$E:$E,"Téc 3",DATA_GOC!$F:$F,"Xuất nội bộ từ téc",DATA_GOC!$B:$B,DATE($D$2,$B$2,G$4)),0))</f>
        <v>0</v>
      </c>
      <c r="H156" s="251">
        <f>IF(H$4&gt;DAY(EOMONTH(DATE($D$2,$B$2,1),0)),"",IFERROR(SUMIFS(DATA_GOC!$H:$H,DATA_GOC!$A:$A,"BOM",DATA_GOC!$D:$D,$B156,DATA_GOC!$E:$E,"Téc 3",DATA_GOC!$F:$F,"Xuất nội bộ từ téc",DATA_GOC!$B:$B,DATE($D$2,$B$2,H$4)),0))</f>
        <v>0</v>
      </c>
      <c r="I156" s="251">
        <f>IF(I$4&gt;DAY(EOMONTH(DATE($D$2,$B$2,1),0)),"",IFERROR(SUMIFS(DATA_GOC!$H:$H,DATA_GOC!$A:$A,"BOM",DATA_GOC!$D:$D,$B156,DATA_GOC!$E:$E,"Téc 3",DATA_GOC!$F:$F,"Xuất nội bộ từ téc",DATA_GOC!$B:$B,DATE($D$2,$B$2,I$4)),0))</f>
        <v>0</v>
      </c>
      <c r="J156" s="251">
        <f>IF(J$4&gt;DAY(EOMONTH(DATE($D$2,$B$2,1),0)),"",IFERROR(SUMIFS(DATA_GOC!$H:$H,DATA_GOC!$A:$A,"BOM",DATA_GOC!$D:$D,$B156,DATA_GOC!$E:$E,"Téc 3",DATA_GOC!$F:$F,"Xuất nội bộ từ téc",DATA_GOC!$B:$B,DATE($D$2,$B$2,J$4)),0))</f>
        <v>0</v>
      </c>
      <c r="K156" s="251">
        <f>IF(K$4&gt;DAY(EOMONTH(DATE($D$2,$B$2,1),0)),"",IFERROR(SUMIFS(DATA_GOC!$H:$H,DATA_GOC!$A:$A,"BOM",DATA_GOC!$D:$D,$B156,DATA_GOC!$E:$E,"Téc 3",DATA_GOC!$F:$F,"Xuất nội bộ từ téc",DATA_GOC!$B:$B,DATE($D$2,$B$2,K$4)),0))</f>
        <v>0</v>
      </c>
      <c r="L156" s="251">
        <f>IF(L$4&gt;DAY(EOMONTH(DATE($D$2,$B$2,1),0)),"",IFERROR(SUMIFS(DATA_GOC!$H:$H,DATA_GOC!$A:$A,"BOM",DATA_GOC!$D:$D,$B156,DATA_GOC!$E:$E,"Téc 3",DATA_GOC!$F:$F,"Xuất nội bộ từ téc",DATA_GOC!$B:$B,DATE($D$2,$B$2,L$4)),0))</f>
        <v>0</v>
      </c>
      <c r="M156" s="251">
        <f>IF(M$4&gt;DAY(EOMONTH(DATE($D$2,$B$2,1),0)),"",IFERROR(SUMIFS(DATA_GOC!$H:$H,DATA_GOC!$A:$A,"BOM",DATA_GOC!$D:$D,$B156,DATA_GOC!$E:$E,"Téc 3",DATA_GOC!$F:$F,"Xuất nội bộ từ téc",DATA_GOC!$B:$B,DATE($D$2,$B$2,M$4)),0))</f>
        <v>0</v>
      </c>
      <c r="N156" s="251">
        <f>IF(N$4&gt;DAY(EOMONTH(DATE($D$2,$B$2,1),0)),"",IFERROR(SUMIFS(DATA_GOC!$H:$H,DATA_GOC!$A:$A,"BOM",DATA_GOC!$D:$D,$B156,DATA_GOC!$E:$E,"Téc 3",DATA_GOC!$F:$F,"Xuất nội bộ từ téc",DATA_GOC!$B:$B,DATE($D$2,$B$2,N$4)),0))</f>
        <v>0</v>
      </c>
      <c r="O156" s="251">
        <f>IF(O$4&gt;DAY(EOMONTH(DATE($D$2,$B$2,1),0)),"",IFERROR(SUMIFS(DATA_GOC!$H:$H,DATA_GOC!$A:$A,"BOM",DATA_GOC!$D:$D,$B156,DATA_GOC!$E:$E,"Téc 3",DATA_GOC!$F:$F,"Xuất nội bộ từ téc",DATA_GOC!$B:$B,DATE($D$2,$B$2,O$4)),0))</f>
        <v>0</v>
      </c>
      <c r="P156" s="251">
        <f>IF(P$4&gt;DAY(EOMONTH(DATE($D$2,$B$2,1),0)),"",IFERROR(SUMIFS(DATA_GOC!$H:$H,DATA_GOC!$A:$A,"BOM",DATA_GOC!$D:$D,$B156,DATA_GOC!$E:$E,"Téc 3",DATA_GOC!$F:$F,"Xuất nội bộ từ téc",DATA_GOC!$B:$B,DATE($D$2,$B$2,P$4)),0))</f>
        <v>0</v>
      </c>
      <c r="Q156" s="251">
        <f>IF(Q$4&gt;DAY(EOMONTH(DATE($D$2,$B$2,1),0)),"",IFERROR(SUMIFS(DATA_GOC!$H:$H,DATA_GOC!$A:$A,"BOM",DATA_GOC!$D:$D,$B156,DATA_GOC!$E:$E,"Téc 3",DATA_GOC!$F:$F,"Xuất nội bộ từ téc",DATA_GOC!$B:$B,DATE($D$2,$B$2,Q$4)),0))</f>
        <v>0</v>
      </c>
      <c r="R156" s="251">
        <f>IF(R$4&gt;DAY(EOMONTH(DATE($D$2,$B$2,1),0)),"",IFERROR(SUMIFS(DATA_GOC!$H:$H,DATA_GOC!$A:$A,"BOM",DATA_GOC!$D:$D,$B156,DATA_GOC!$E:$E,"Téc 3",DATA_GOC!$F:$F,"Xuất nội bộ từ téc",DATA_GOC!$B:$B,DATE($D$2,$B$2,R$4)),0))</f>
        <v>0</v>
      </c>
      <c r="S156" s="251">
        <f>IF(S$4&gt;DAY(EOMONTH(DATE($D$2,$B$2,1),0)),"",IFERROR(SUMIFS(DATA_GOC!$H:$H,DATA_GOC!$A:$A,"BOM",DATA_GOC!$D:$D,$B156,DATA_GOC!$E:$E,"Téc 3",DATA_GOC!$F:$F,"Xuất nội bộ từ téc",DATA_GOC!$B:$B,DATE($D$2,$B$2,S$4)),0))</f>
        <v>0</v>
      </c>
      <c r="T156" s="251">
        <f>IF(T$4&gt;DAY(EOMONTH(DATE($D$2,$B$2,1),0)),"",IFERROR(SUMIFS(DATA_GOC!$H:$H,DATA_GOC!$A:$A,"BOM",DATA_GOC!$D:$D,$B156,DATA_GOC!$E:$E,"Téc 3",DATA_GOC!$F:$F,"Xuất nội bộ từ téc",DATA_GOC!$B:$B,DATE($D$2,$B$2,T$4)),0))</f>
        <v>0</v>
      </c>
      <c r="U156" s="251">
        <f>IF(U$4&gt;DAY(EOMONTH(DATE($D$2,$B$2,1),0)),"",IFERROR(SUMIFS(DATA_GOC!$H:$H,DATA_GOC!$A:$A,"BOM",DATA_GOC!$D:$D,$B156,DATA_GOC!$E:$E,"Téc 3",DATA_GOC!$F:$F,"Xuất nội bộ từ téc",DATA_GOC!$B:$B,DATE($D$2,$B$2,U$4)),0))</f>
        <v>0</v>
      </c>
      <c r="V156" s="251">
        <f>IF(V$4&gt;DAY(EOMONTH(DATE($D$2,$B$2,1),0)),"",IFERROR(SUMIFS(DATA_GOC!$H:$H,DATA_GOC!$A:$A,"BOM",DATA_GOC!$D:$D,$B156,DATA_GOC!$E:$E,"Téc 3",DATA_GOC!$F:$F,"Xuất nội bộ từ téc",DATA_GOC!$B:$B,DATE($D$2,$B$2,V$4)),0))</f>
        <v>0</v>
      </c>
      <c r="W156" s="251">
        <f>IF(W$4&gt;DAY(EOMONTH(DATE($D$2,$B$2,1),0)),"",IFERROR(SUMIFS(DATA_GOC!$H:$H,DATA_GOC!$A:$A,"BOM",DATA_GOC!$D:$D,$B156,DATA_GOC!$E:$E,"Téc 3",DATA_GOC!$F:$F,"Xuất nội bộ từ téc",DATA_GOC!$B:$B,DATE($D$2,$B$2,W$4)),0))</f>
        <v>0</v>
      </c>
      <c r="X156" s="251">
        <f>IF(X$4&gt;DAY(EOMONTH(DATE($D$2,$B$2,1),0)),"",IFERROR(SUMIFS(DATA_GOC!$H:$H,DATA_GOC!$A:$A,"BOM",DATA_GOC!$D:$D,$B156,DATA_GOC!$E:$E,"Téc 3",DATA_GOC!$F:$F,"Xuất nội bộ từ téc",DATA_GOC!$B:$B,DATE($D$2,$B$2,X$4)),0))</f>
        <v>0</v>
      </c>
      <c r="Y156" s="251">
        <f>IF(Y$4&gt;DAY(EOMONTH(DATE($D$2,$B$2,1),0)),"",IFERROR(SUMIFS(DATA_GOC!$H:$H,DATA_GOC!$A:$A,"BOM",DATA_GOC!$D:$D,$B156,DATA_GOC!$E:$E,"Téc 3",DATA_GOC!$F:$F,"Xuất nội bộ từ téc",DATA_GOC!$B:$B,DATE($D$2,$B$2,Y$4)),0))</f>
        <v>0</v>
      </c>
      <c r="Z156" s="251">
        <f>IF(Z$4&gt;DAY(EOMONTH(DATE($D$2,$B$2,1),0)),"",IFERROR(SUMIFS(DATA_GOC!$H:$H,DATA_GOC!$A:$A,"BOM",DATA_GOC!$D:$D,$B156,DATA_GOC!$E:$E,"Téc 3",DATA_GOC!$F:$F,"Xuất nội bộ từ téc",DATA_GOC!$B:$B,DATE($D$2,$B$2,Z$4)),0))</f>
        <v>0</v>
      </c>
      <c r="AA156" s="251">
        <f>IF(AA$4&gt;DAY(EOMONTH(DATE($D$2,$B$2,1),0)),"",IFERROR(SUMIFS(DATA_GOC!$H:$H,DATA_GOC!$A:$A,"BOM",DATA_GOC!$D:$D,$B156,DATA_GOC!$E:$E,"Téc 3",DATA_GOC!$F:$F,"Xuất nội bộ từ téc",DATA_GOC!$B:$B,DATE($D$2,$B$2,AA$4)),0))</f>
        <v>0</v>
      </c>
      <c r="AB156" s="251">
        <f>IF(AB$4&gt;DAY(EOMONTH(DATE($D$2,$B$2,1),0)),"",IFERROR(SUMIFS(DATA_GOC!$H:$H,DATA_GOC!$A:$A,"BOM",DATA_GOC!$D:$D,$B156,DATA_GOC!$E:$E,"Téc 3",DATA_GOC!$F:$F,"Xuất nội bộ từ téc",DATA_GOC!$B:$B,DATE($D$2,$B$2,AB$4)),0))</f>
        <v>0</v>
      </c>
      <c r="AC156" s="251">
        <f>IF(AC$4&gt;DAY(EOMONTH(DATE($D$2,$B$2,1),0)),"",IFERROR(SUMIFS(DATA_GOC!$H:$H,DATA_GOC!$A:$A,"BOM",DATA_GOC!$D:$D,$B156,DATA_GOC!$E:$E,"Téc 3",DATA_GOC!$F:$F,"Xuất nội bộ từ téc",DATA_GOC!$B:$B,DATE($D$2,$B$2,AC$4)),0))</f>
        <v>0</v>
      </c>
      <c r="AD156" s="251">
        <f>IF(AD$4&gt;DAY(EOMONTH(DATE($D$2,$B$2,1),0)),"",IFERROR(SUMIFS(DATA_GOC!$H:$H,DATA_GOC!$A:$A,"BOM",DATA_GOC!$D:$D,$B156,DATA_GOC!$E:$E,"Téc 3",DATA_GOC!$F:$F,"Xuất nội bộ từ téc",DATA_GOC!$B:$B,DATE($D$2,$B$2,AD$4)),0))</f>
        <v>0</v>
      </c>
      <c r="AE156" s="251">
        <f>IF(AE$4&gt;DAY(EOMONTH(DATE($D$2,$B$2,1),0)),"",IFERROR(SUMIFS(DATA_GOC!$H:$H,DATA_GOC!$A:$A,"BOM",DATA_GOC!$D:$D,$B156,DATA_GOC!$E:$E,"Téc 3",DATA_GOC!$F:$F,"Xuất nội bộ từ téc",DATA_GOC!$B:$B,DATE($D$2,$B$2,AE$4)),0))</f>
        <v>0</v>
      </c>
      <c r="AF156" s="251">
        <f>IF(AF$4&gt;DAY(EOMONTH(DATE($D$2,$B$2,1),0)),"",IFERROR(SUMIFS(DATA_GOC!$H:$H,DATA_GOC!$A:$A,"BOM",DATA_GOC!$D:$D,$B156,DATA_GOC!$E:$E,"Téc 3",DATA_GOC!$F:$F,"Xuất nội bộ từ téc",DATA_GOC!$B:$B,DATE($D$2,$B$2,AF$4)),0))</f>
        <v>0</v>
      </c>
      <c r="AG156" s="251">
        <f>IF(AG$4&gt;DAY(EOMONTH(DATE($D$2,$B$2,1),0)),"",IFERROR(SUMIFS(DATA_GOC!$H:$H,DATA_GOC!$A:$A,"BOM",DATA_GOC!$D:$D,$B156,DATA_GOC!$E:$E,"Téc 3",DATA_GOC!$F:$F,"Xuất nội bộ từ téc",DATA_GOC!$B:$B,DATE($D$2,$B$2,AG$4)),0))</f>
        <v>0</v>
      </c>
      <c r="AH156" s="252">
        <f t="shared" si="7"/>
        <v>0</v>
      </c>
      <c r="AI156" s="241"/>
      <c r="AJ156" s="242">
        <f>IF($B156="","",SUMIFS(TINH_TEC!$K$233:$K$9232,TINH_TEC!$H$233:$H$9232,$B156,TINH_TEC!$C$233:$C$9232,"Téc 3",TINH_TEC!$F$233:$F$9232,$B$2,TINH_TEC!$G$233:$G$9232,$D$2,TINH_TEC!$B$233:$B$9232,"Đã chốt"))</f>
        <v>0</v>
      </c>
      <c r="AK156" s="242">
        <f>IF($B156="","",SUMIFS(TINH_TEC!$J$233:$J$9232,TINH_TEC!$H$233:$H$9232,$B156,TINH_TEC!$C$233:$C$9232,"Téc 3",TINH_TEC!$F$233:$F$9232,$B$2,TINH_TEC!$G$233:$G$9232,$D$2,TINH_TEC!$B$233:$B$9232,"Đã chốt"))</f>
        <v>0</v>
      </c>
      <c r="AL156" s="242">
        <f t="shared" si="8"/>
        <v>0</v>
      </c>
    </row>
    <row r="157" ht="15.75" customHeight="1">
      <c r="A157" s="237">
        <f>IF($B157&lt;&gt;"",30,"")</f>
        <v>30</v>
      </c>
      <c r="B157" s="250" t="str">
        <f t="array" ref="B157">IFERROR(INDEX(DANH_MUC!$E:$E,33),"")</f>
        <v>28C06369</v>
      </c>
      <c r="C157" s="251">
        <f>IF(C$4&gt;DAY(EOMONTH(DATE($D$2,$B$2,1),0)),"",IFERROR(SUMIFS(DATA_GOC!$H:$H,DATA_GOC!$A:$A,"BOM",DATA_GOC!$D:$D,$B157,DATA_GOC!$E:$E,"Téc 3",DATA_GOC!$F:$F,"Xuất nội bộ từ téc",DATA_GOC!$B:$B,DATE($D$2,$B$2,C$4)),0))</f>
        <v>0</v>
      </c>
      <c r="D157" s="251">
        <f>IF(D$4&gt;DAY(EOMONTH(DATE($D$2,$B$2,1),0)),"",IFERROR(SUMIFS(DATA_GOC!$H:$H,DATA_GOC!$A:$A,"BOM",DATA_GOC!$D:$D,$B157,DATA_GOC!$E:$E,"Téc 3",DATA_GOC!$F:$F,"Xuất nội bộ từ téc",DATA_GOC!$B:$B,DATE($D$2,$B$2,D$4)),0))</f>
        <v>0</v>
      </c>
      <c r="E157" s="251">
        <f>IF(E$4&gt;DAY(EOMONTH(DATE($D$2,$B$2,1),0)),"",IFERROR(SUMIFS(DATA_GOC!$H:$H,DATA_GOC!$A:$A,"BOM",DATA_GOC!$D:$D,$B157,DATA_GOC!$E:$E,"Téc 3",DATA_GOC!$F:$F,"Xuất nội bộ từ téc",DATA_GOC!$B:$B,DATE($D$2,$B$2,E$4)),0))</f>
        <v>0</v>
      </c>
      <c r="F157" s="251">
        <f>IF(F$4&gt;DAY(EOMONTH(DATE($D$2,$B$2,1),0)),"",IFERROR(SUMIFS(DATA_GOC!$H:$H,DATA_GOC!$A:$A,"BOM",DATA_GOC!$D:$D,$B157,DATA_GOC!$E:$E,"Téc 3",DATA_GOC!$F:$F,"Xuất nội bộ từ téc",DATA_GOC!$B:$B,DATE($D$2,$B$2,F$4)),0))</f>
        <v>0</v>
      </c>
      <c r="G157" s="251">
        <f>IF(G$4&gt;DAY(EOMONTH(DATE($D$2,$B$2,1),0)),"",IFERROR(SUMIFS(DATA_GOC!$H:$H,DATA_GOC!$A:$A,"BOM",DATA_GOC!$D:$D,$B157,DATA_GOC!$E:$E,"Téc 3",DATA_GOC!$F:$F,"Xuất nội bộ từ téc",DATA_GOC!$B:$B,DATE($D$2,$B$2,G$4)),0))</f>
        <v>0</v>
      </c>
      <c r="H157" s="251">
        <f>IF(H$4&gt;DAY(EOMONTH(DATE($D$2,$B$2,1),0)),"",IFERROR(SUMIFS(DATA_GOC!$H:$H,DATA_GOC!$A:$A,"BOM",DATA_GOC!$D:$D,$B157,DATA_GOC!$E:$E,"Téc 3",DATA_GOC!$F:$F,"Xuất nội bộ từ téc",DATA_GOC!$B:$B,DATE($D$2,$B$2,H$4)),0))</f>
        <v>0</v>
      </c>
      <c r="I157" s="251">
        <f>IF(I$4&gt;DAY(EOMONTH(DATE($D$2,$B$2,1),0)),"",IFERROR(SUMIFS(DATA_GOC!$H:$H,DATA_GOC!$A:$A,"BOM",DATA_GOC!$D:$D,$B157,DATA_GOC!$E:$E,"Téc 3",DATA_GOC!$F:$F,"Xuất nội bộ từ téc",DATA_GOC!$B:$B,DATE($D$2,$B$2,I$4)),0))</f>
        <v>0</v>
      </c>
      <c r="J157" s="251">
        <f>IF(J$4&gt;DAY(EOMONTH(DATE($D$2,$B$2,1),0)),"",IFERROR(SUMIFS(DATA_GOC!$H:$H,DATA_GOC!$A:$A,"BOM",DATA_GOC!$D:$D,$B157,DATA_GOC!$E:$E,"Téc 3",DATA_GOC!$F:$F,"Xuất nội bộ từ téc",DATA_GOC!$B:$B,DATE($D$2,$B$2,J$4)),0))</f>
        <v>0</v>
      </c>
      <c r="K157" s="251">
        <f>IF(K$4&gt;DAY(EOMONTH(DATE($D$2,$B$2,1),0)),"",IFERROR(SUMIFS(DATA_GOC!$H:$H,DATA_GOC!$A:$A,"BOM",DATA_GOC!$D:$D,$B157,DATA_GOC!$E:$E,"Téc 3",DATA_GOC!$F:$F,"Xuất nội bộ từ téc",DATA_GOC!$B:$B,DATE($D$2,$B$2,K$4)),0))</f>
        <v>0</v>
      </c>
      <c r="L157" s="251">
        <f>IF(L$4&gt;DAY(EOMONTH(DATE($D$2,$B$2,1),0)),"",IFERROR(SUMIFS(DATA_GOC!$H:$H,DATA_GOC!$A:$A,"BOM",DATA_GOC!$D:$D,$B157,DATA_GOC!$E:$E,"Téc 3",DATA_GOC!$F:$F,"Xuất nội bộ từ téc",DATA_GOC!$B:$B,DATE($D$2,$B$2,L$4)),0))</f>
        <v>0</v>
      </c>
      <c r="M157" s="251">
        <f>IF(M$4&gt;DAY(EOMONTH(DATE($D$2,$B$2,1),0)),"",IFERROR(SUMIFS(DATA_GOC!$H:$H,DATA_GOC!$A:$A,"BOM",DATA_GOC!$D:$D,$B157,DATA_GOC!$E:$E,"Téc 3",DATA_GOC!$F:$F,"Xuất nội bộ từ téc",DATA_GOC!$B:$B,DATE($D$2,$B$2,M$4)),0))</f>
        <v>0</v>
      </c>
      <c r="N157" s="251">
        <f>IF(N$4&gt;DAY(EOMONTH(DATE($D$2,$B$2,1),0)),"",IFERROR(SUMIFS(DATA_GOC!$H:$H,DATA_GOC!$A:$A,"BOM",DATA_GOC!$D:$D,$B157,DATA_GOC!$E:$E,"Téc 3",DATA_GOC!$F:$F,"Xuất nội bộ từ téc",DATA_GOC!$B:$B,DATE($D$2,$B$2,N$4)),0))</f>
        <v>0</v>
      </c>
      <c r="O157" s="251">
        <f>IF(O$4&gt;DAY(EOMONTH(DATE($D$2,$B$2,1),0)),"",IFERROR(SUMIFS(DATA_GOC!$H:$H,DATA_GOC!$A:$A,"BOM",DATA_GOC!$D:$D,$B157,DATA_GOC!$E:$E,"Téc 3",DATA_GOC!$F:$F,"Xuất nội bộ từ téc",DATA_GOC!$B:$B,DATE($D$2,$B$2,O$4)),0))</f>
        <v>0</v>
      </c>
      <c r="P157" s="251">
        <f>IF(P$4&gt;DAY(EOMONTH(DATE($D$2,$B$2,1),0)),"",IFERROR(SUMIFS(DATA_GOC!$H:$H,DATA_GOC!$A:$A,"BOM",DATA_GOC!$D:$D,$B157,DATA_GOC!$E:$E,"Téc 3",DATA_GOC!$F:$F,"Xuất nội bộ từ téc",DATA_GOC!$B:$B,DATE($D$2,$B$2,P$4)),0))</f>
        <v>0</v>
      </c>
      <c r="Q157" s="251">
        <f>IF(Q$4&gt;DAY(EOMONTH(DATE($D$2,$B$2,1),0)),"",IFERROR(SUMIFS(DATA_GOC!$H:$H,DATA_GOC!$A:$A,"BOM",DATA_GOC!$D:$D,$B157,DATA_GOC!$E:$E,"Téc 3",DATA_GOC!$F:$F,"Xuất nội bộ từ téc",DATA_GOC!$B:$B,DATE($D$2,$B$2,Q$4)),0))</f>
        <v>0</v>
      </c>
      <c r="R157" s="251">
        <f>IF(R$4&gt;DAY(EOMONTH(DATE($D$2,$B$2,1),0)),"",IFERROR(SUMIFS(DATA_GOC!$H:$H,DATA_GOC!$A:$A,"BOM",DATA_GOC!$D:$D,$B157,DATA_GOC!$E:$E,"Téc 3",DATA_GOC!$F:$F,"Xuất nội bộ từ téc",DATA_GOC!$B:$B,DATE($D$2,$B$2,R$4)),0))</f>
        <v>0</v>
      </c>
      <c r="S157" s="251">
        <f>IF(S$4&gt;DAY(EOMONTH(DATE($D$2,$B$2,1),0)),"",IFERROR(SUMIFS(DATA_GOC!$H:$H,DATA_GOC!$A:$A,"BOM",DATA_GOC!$D:$D,$B157,DATA_GOC!$E:$E,"Téc 3",DATA_GOC!$F:$F,"Xuất nội bộ từ téc",DATA_GOC!$B:$B,DATE($D$2,$B$2,S$4)),0))</f>
        <v>0</v>
      </c>
      <c r="T157" s="251">
        <f>IF(T$4&gt;DAY(EOMONTH(DATE($D$2,$B$2,1),0)),"",IFERROR(SUMIFS(DATA_GOC!$H:$H,DATA_GOC!$A:$A,"BOM",DATA_GOC!$D:$D,$B157,DATA_GOC!$E:$E,"Téc 3",DATA_GOC!$F:$F,"Xuất nội bộ từ téc",DATA_GOC!$B:$B,DATE($D$2,$B$2,T$4)),0))</f>
        <v>0</v>
      </c>
      <c r="U157" s="251">
        <f>IF(U$4&gt;DAY(EOMONTH(DATE($D$2,$B$2,1),0)),"",IFERROR(SUMIFS(DATA_GOC!$H:$H,DATA_GOC!$A:$A,"BOM",DATA_GOC!$D:$D,$B157,DATA_GOC!$E:$E,"Téc 3",DATA_GOC!$F:$F,"Xuất nội bộ từ téc",DATA_GOC!$B:$B,DATE($D$2,$B$2,U$4)),0))</f>
        <v>0</v>
      </c>
      <c r="V157" s="251">
        <f>IF(V$4&gt;DAY(EOMONTH(DATE($D$2,$B$2,1),0)),"",IFERROR(SUMIFS(DATA_GOC!$H:$H,DATA_GOC!$A:$A,"BOM",DATA_GOC!$D:$D,$B157,DATA_GOC!$E:$E,"Téc 3",DATA_GOC!$F:$F,"Xuất nội bộ từ téc",DATA_GOC!$B:$B,DATE($D$2,$B$2,V$4)),0))</f>
        <v>0</v>
      </c>
      <c r="W157" s="251">
        <f>IF(W$4&gt;DAY(EOMONTH(DATE($D$2,$B$2,1),0)),"",IFERROR(SUMIFS(DATA_GOC!$H:$H,DATA_GOC!$A:$A,"BOM",DATA_GOC!$D:$D,$B157,DATA_GOC!$E:$E,"Téc 3",DATA_GOC!$F:$F,"Xuất nội bộ từ téc",DATA_GOC!$B:$B,DATE($D$2,$B$2,W$4)),0))</f>
        <v>0</v>
      </c>
      <c r="X157" s="251">
        <f>IF(X$4&gt;DAY(EOMONTH(DATE($D$2,$B$2,1),0)),"",IFERROR(SUMIFS(DATA_GOC!$H:$H,DATA_GOC!$A:$A,"BOM",DATA_GOC!$D:$D,$B157,DATA_GOC!$E:$E,"Téc 3",DATA_GOC!$F:$F,"Xuất nội bộ từ téc",DATA_GOC!$B:$B,DATE($D$2,$B$2,X$4)),0))</f>
        <v>0</v>
      </c>
      <c r="Y157" s="251">
        <f>IF(Y$4&gt;DAY(EOMONTH(DATE($D$2,$B$2,1),0)),"",IFERROR(SUMIFS(DATA_GOC!$H:$H,DATA_GOC!$A:$A,"BOM",DATA_GOC!$D:$D,$B157,DATA_GOC!$E:$E,"Téc 3",DATA_GOC!$F:$F,"Xuất nội bộ từ téc",DATA_GOC!$B:$B,DATE($D$2,$B$2,Y$4)),0))</f>
        <v>0</v>
      </c>
      <c r="Z157" s="251">
        <f>IF(Z$4&gt;DAY(EOMONTH(DATE($D$2,$B$2,1),0)),"",IFERROR(SUMIFS(DATA_GOC!$H:$H,DATA_GOC!$A:$A,"BOM",DATA_GOC!$D:$D,$B157,DATA_GOC!$E:$E,"Téc 3",DATA_GOC!$F:$F,"Xuất nội bộ từ téc",DATA_GOC!$B:$B,DATE($D$2,$B$2,Z$4)),0))</f>
        <v>0</v>
      </c>
      <c r="AA157" s="251">
        <f>IF(AA$4&gt;DAY(EOMONTH(DATE($D$2,$B$2,1),0)),"",IFERROR(SUMIFS(DATA_GOC!$H:$H,DATA_GOC!$A:$A,"BOM",DATA_GOC!$D:$D,$B157,DATA_GOC!$E:$E,"Téc 3",DATA_GOC!$F:$F,"Xuất nội bộ từ téc",DATA_GOC!$B:$B,DATE($D$2,$B$2,AA$4)),0))</f>
        <v>0</v>
      </c>
      <c r="AB157" s="251">
        <f>IF(AB$4&gt;DAY(EOMONTH(DATE($D$2,$B$2,1),0)),"",IFERROR(SUMIFS(DATA_GOC!$H:$H,DATA_GOC!$A:$A,"BOM",DATA_GOC!$D:$D,$B157,DATA_GOC!$E:$E,"Téc 3",DATA_GOC!$F:$F,"Xuất nội bộ từ téc",DATA_GOC!$B:$B,DATE($D$2,$B$2,AB$4)),0))</f>
        <v>0</v>
      </c>
      <c r="AC157" s="251">
        <f>IF(AC$4&gt;DAY(EOMONTH(DATE($D$2,$B$2,1),0)),"",IFERROR(SUMIFS(DATA_GOC!$H:$H,DATA_GOC!$A:$A,"BOM",DATA_GOC!$D:$D,$B157,DATA_GOC!$E:$E,"Téc 3",DATA_GOC!$F:$F,"Xuất nội bộ từ téc",DATA_GOC!$B:$B,DATE($D$2,$B$2,AC$4)),0))</f>
        <v>0</v>
      </c>
      <c r="AD157" s="251">
        <f>IF(AD$4&gt;DAY(EOMONTH(DATE($D$2,$B$2,1),0)),"",IFERROR(SUMIFS(DATA_GOC!$H:$H,DATA_GOC!$A:$A,"BOM",DATA_GOC!$D:$D,$B157,DATA_GOC!$E:$E,"Téc 3",DATA_GOC!$F:$F,"Xuất nội bộ từ téc",DATA_GOC!$B:$B,DATE($D$2,$B$2,AD$4)),0))</f>
        <v>0</v>
      </c>
      <c r="AE157" s="251">
        <f>IF(AE$4&gt;DAY(EOMONTH(DATE($D$2,$B$2,1),0)),"",IFERROR(SUMIFS(DATA_GOC!$H:$H,DATA_GOC!$A:$A,"BOM",DATA_GOC!$D:$D,$B157,DATA_GOC!$E:$E,"Téc 3",DATA_GOC!$F:$F,"Xuất nội bộ từ téc",DATA_GOC!$B:$B,DATE($D$2,$B$2,AE$4)),0))</f>
        <v>0</v>
      </c>
      <c r="AF157" s="251">
        <f>IF(AF$4&gt;DAY(EOMONTH(DATE($D$2,$B$2,1),0)),"",IFERROR(SUMIFS(DATA_GOC!$H:$H,DATA_GOC!$A:$A,"BOM",DATA_GOC!$D:$D,$B157,DATA_GOC!$E:$E,"Téc 3",DATA_GOC!$F:$F,"Xuất nội bộ từ téc",DATA_GOC!$B:$B,DATE($D$2,$B$2,AF$4)),0))</f>
        <v>0</v>
      </c>
      <c r="AG157" s="251">
        <f>IF(AG$4&gt;DAY(EOMONTH(DATE($D$2,$B$2,1),0)),"",IFERROR(SUMIFS(DATA_GOC!$H:$H,DATA_GOC!$A:$A,"BOM",DATA_GOC!$D:$D,$B157,DATA_GOC!$E:$E,"Téc 3",DATA_GOC!$F:$F,"Xuất nội bộ từ téc",DATA_GOC!$B:$B,DATE($D$2,$B$2,AG$4)),0))</f>
        <v>0</v>
      </c>
      <c r="AH157" s="252">
        <f t="shared" si="7"/>
        <v>0</v>
      </c>
      <c r="AI157" s="241"/>
      <c r="AJ157" s="242">
        <f>IF($B157="","",SUMIFS(TINH_TEC!$K$233:$K$9232,TINH_TEC!$H$233:$H$9232,$B157,TINH_TEC!$C$233:$C$9232,"Téc 3",TINH_TEC!$F$233:$F$9232,$B$2,TINH_TEC!$G$233:$G$9232,$D$2,TINH_TEC!$B$233:$B$9232,"Đã chốt"))</f>
        <v>0</v>
      </c>
      <c r="AK157" s="242">
        <f>IF($B157="","",SUMIFS(TINH_TEC!$J$233:$J$9232,TINH_TEC!$H$233:$H$9232,$B157,TINH_TEC!$C$233:$C$9232,"Téc 3",TINH_TEC!$F$233:$F$9232,$B$2,TINH_TEC!$G$233:$G$9232,$D$2,TINH_TEC!$B$233:$B$9232,"Đã chốt"))</f>
        <v>0</v>
      </c>
      <c r="AL157" s="242">
        <f t="shared" si="8"/>
        <v>0</v>
      </c>
    </row>
    <row r="158" ht="15.75" customHeight="1">
      <c r="A158" s="237">
        <f>IF($B158&lt;&gt;"",31,"")</f>
        <v>31</v>
      </c>
      <c r="B158" s="250" t="str">
        <f t="array" ref="B158">IFERROR(INDEX(DANH_MUC!$E:$E,34),"")</f>
        <v>28C06447</v>
      </c>
      <c r="C158" s="251">
        <f>IF(C$4&gt;DAY(EOMONTH(DATE($D$2,$B$2,1),0)),"",IFERROR(SUMIFS(DATA_GOC!$H:$H,DATA_GOC!$A:$A,"BOM",DATA_GOC!$D:$D,$B158,DATA_GOC!$E:$E,"Téc 3",DATA_GOC!$F:$F,"Xuất nội bộ từ téc",DATA_GOC!$B:$B,DATE($D$2,$B$2,C$4)),0))</f>
        <v>0</v>
      </c>
      <c r="D158" s="251">
        <f>IF(D$4&gt;DAY(EOMONTH(DATE($D$2,$B$2,1),0)),"",IFERROR(SUMIFS(DATA_GOC!$H:$H,DATA_GOC!$A:$A,"BOM",DATA_GOC!$D:$D,$B158,DATA_GOC!$E:$E,"Téc 3",DATA_GOC!$F:$F,"Xuất nội bộ từ téc",DATA_GOC!$B:$B,DATE($D$2,$B$2,D$4)),0))</f>
        <v>0</v>
      </c>
      <c r="E158" s="251">
        <f>IF(E$4&gt;DAY(EOMONTH(DATE($D$2,$B$2,1),0)),"",IFERROR(SUMIFS(DATA_GOC!$H:$H,DATA_GOC!$A:$A,"BOM",DATA_GOC!$D:$D,$B158,DATA_GOC!$E:$E,"Téc 3",DATA_GOC!$F:$F,"Xuất nội bộ từ téc",DATA_GOC!$B:$B,DATE($D$2,$B$2,E$4)),0))</f>
        <v>0</v>
      </c>
      <c r="F158" s="251">
        <f>IF(F$4&gt;DAY(EOMONTH(DATE($D$2,$B$2,1),0)),"",IFERROR(SUMIFS(DATA_GOC!$H:$H,DATA_GOC!$A:$A,"BOM",DATA_GOC!$D:$D,$B158,DATA_GOC!$E:$E,"Téc 3",DATA_GOC!$F:$F,"Xuất nội bộ từ téc",DATA_GOC!$B:$B,DATE($D$2,$B$2,F$4)),0))</f>
        <v>0</v>
      </c>
      <c r="G158" s="251">
        <f>IF(G$4&gt;DAY(EOMONTH(DATE($D$2,$B$2,1),0)),"",IFERROR(SUMIFS(DATA_GOC!$H:$H,DATA_GOC!$A:$A,"BOM",DATA_GOC!$D:$D,$B158,DATA_GOC!$E:$E,"Téc 3",DATA_GOC!$F:$F,"Xuất nội bộ từ téc",DATA_GOC!$B:$B,DATE($D$2,$B$2,G$4)),0))</f>
        <v>0</v>
      </c>
      <c r="H158" s="251">
        <f>IF(H$4&gt;DAY(EOMONTH(DATE($D$2,$B$2,1),0)),"",IFERROR(SUMIFS(DATA_GOC!$H:$H,DATA_GOC!$A:$A,"BOM",DATA_GOC!$D:$D,$B158,DATA_GOC!$E:$E,"Téc 3",DATA_GOC!$F:$F,"Xuất nội bộ từ téc",DATA_GOC!$B:$B,DATE($D$2,$B$2,H$4)),0))</f>
        <v>0</v>
      </c>
      <c r="I158" s="251">
        <f>IF(I$4&gt;DAY(EOMONTH(DATE($D$2,$B$2,1),0)),"",IFERROR(SUMIFS(DATA_GOC!$H:$H,DATA_GOC!$A:$A,"BOM",DATA_GOC!$D:$D,$B158,DATA_GOC!$E:$E,"Téc 3",DATA_GOC!$F:$F,"Xuất nội bộ từ téc",DATA_GOC!$B:$B,DATE($D$2,$B$2,I$4)),0))</f>
        <v>0</v>
      </c>
      <c r="J158" s="251">
        <f>IF(J$4&gt;DAY(EOMONTH(DATE($D$2,$B$2,1),0)),"",IFERROR(SUMIFS(DATA_GOC!$H:$H,DATA_GOC!$A:$A,"BOM",DATA_GOC!$D:$D,$B158,DATA_GOC!$E:$E,"Téc 3",DATA_GOC!$F:$F,"Xuất nội bộ từ téc",DATA_GOC!$B:$B,DATE($D$2,$B$2,J$4)),0))</f>
        <v>0</v>
      </c>
      <c r="K158" s="251">
        <f>IF(K$4&gt;DAY(EOMONTH(DATE($D$2,$B$2,1),0)),"",IFERROR(SUMIFS(DATA_GOC!$H:$H,DATA_GOC!$A:$A,"BOM",DATA_GOC!$D:$D,$B158,DATA_GOC!$E:$E,"Téc 3",DATA_GOC!$F:$F,"Xuất nội bộ từ téc",DATA_GOC!$B:$B,DATE($D$2,$B$2,K$4)),0))</f>
        <v>0</v>
      </c>
      <c r="L158" s="251">
        <f>IF(L$4&gt;DAY(EOMONTH(DATE($D$2,$B$2,1),0)),"",IFERROR(SUMIFS(DATA_GOC!$H:$H,DATA_GOC!$A:$A,"BOM",DATA_GOC!$D:$D,$B158,DATA_GOC!$E:$E,"Téc 3",DATA_GOC!$F:$F,"Xuất nội bộ từ téc",DATA_GOC!$B:$B,DATE($D$2,$B$2,L$4)),0))</f>
        <v>0</v>
      </c>
      <c r="M158" s="251">
        <f>IF(M$4&gt;DAY(EOMONTH(DATE($D$2,$B$2,1),0)),"",IFERROR(SUMIFS(DATA_GOC!$H:$H,DATA_GOC!$A:$A,"BOM",DATA_GOC!$D:$D,$B158,DATA_GOC!$E:$E,"Téc 3",DATA_GOC!$F:$F,"Xuất nội bộ từ téc",DATA_GOC!$B:$B,DATE($D$2,$B$2,M$4)),0))</f>
        <v>0</v>
      </c>
      <c r="N158" s="251">
        <f>IF(N$4&gt;DAY(EOMONTH(DATE($D$2,$B$2,1),0)),"",IFERROR(SUMIFS(DATA_GOC!$H:$H,DATA_GOC!$A:$A,"BOM",DATA_GOC!$D:$D,$B158,DATA_GOC!$E:$E,"Téc 3",DATA_GOC!$F:$F,"Xuất nội bộ từ téc",DATA_GOC!$B:$B,DATE($D$2,$B$2,N$4)),0))</f>
        <v>0</v>
      </c>
      <c r="O158" s="251">
        <f>IF(O$4&gt;DAY(EOMONTH(DATE($D$2,$B$2,1),0)),"",IFERROR(SUMIFS(DATA_GOC!$H:$H,DATA_GOC!$A:$A,"BOM",DATA_GOC!$D:$D,$B158,DATA_GOC!$E:$E,"Téc 3",DATA_GOC!$F:$F,"Xuất nội bộ từ téc",DATA_GOC!$B:$B,DATE($D$2,$B$2,O$4)),0))</f>
        <v>0</v>
      </c>
      <c r="P158" s="251">
        <f>IF(P$4&gt;DAY(EOMONTH(DATE($D$2,$B$2,1),0)),"",IFERROR(SUMIFS(DATA_GOC!$H:$H,DATA_GOC!$A:$A,"BOM",DATA_GOC!$D:$D,$B158,DATA_GOC!$E:$E,"Téc 3",DATA_GOC!$F:$F,"Xuất nội bộ từ téc",DATA_GOC!$B:$B,DATE($D$2,$B$2,P$4)),0))</f>
        <v>0</v>
      </c>
      <c r="Q158" s="251">
        <f>IF(Q$4&gt;DAY(EOMONTH(DATE($D$2,$B$2,1),0)),"",IFERROR(SUMIFS(DATA_GOC!$H:$H,DATA_GOC!$A:$A,"BOM",DATA_GOC!$D:$D,$B158,DATA_GOC!$E:$E,"Téc 3",DATA_GOC!$F:$F,"Xuất nội bộ từ téc",DATA_GOC!$B:$B,DATE($D$2,$B$2,Q$4)),0))</f>
        <v>0</v>
      </c>
      <c r="R158" s="251">
        <f>IF(R$4&gt;DAY(EOMONTH(DATE($D$2,$B$2,1),0)),"",IFERROR(SUMIFS(DATA_GOC!$H:$H,DATA_GOC!$A:$A,"BOM",DATA_GOC!$D:$D,$B158,DATA_GOC!$E:$E,"Téc 3",DATA_GOC!$F:$F,"Xuất nội bộ từ téc",DATA_GOC!$B:$B,DATE($D$2,$B$2,R$4)),0))</f>
        <v>0</v>
      </c>
      <c r="S158" s="251">
        <f>IF(S$4&gt;DAY(EOMONTH(DATE($D$2,$B$2,1),0)),"",IFERROR(SUMIFS(DATA_GOC!$H:$H,DATA_GOC!$A:$A,"BOM",DATA_GOC!$D:$D,$B158,DATA_GOC!$E:$E,"Téc 3",DATA_GOC!$F:$F,"Xuất nội bộ từ téc",DATA_GOC!$B:$B,DATE($D$2,$B$2,S$4)),0))</f>
        <v>0</v>
      </c>
      <c r="T158" s="251">
        <f>IF(T$4&gt;DAY(EOMONTH(DATE($D$2,$B$2,1),0)),"",IFERROR(SUMIFS(DATA_GOC!$H:$H,DATA_GOC!$A:$A,"BOM",DATA_GOC!$D:$D,$B158,DATA_GOC!$E:$E,"Téc 3",DATA_GOC!$F:$F,"Xuất nội bộ từ téc",DATA_GOC!$B:$B,DATE($D$2,$B$2,T$4)),0))</f>
        <v>0</v>
      </c>
      <c r="U158" s="251">
        <f>IF(U$4&gt;DAY(EOMONTH(DATE($D$2,$B$2,1),0)),"",IFERROR(SUMIFS(DATA_GOC!$H:$H,DATA_GOC!$A:$A,"BOM",DATA_GOC!$D:$D,$B158,DATA_GOC!$E:$E,"Téc 3",DATA_GOC!$F:$F,"Xuất nội bộ từ téc",DATA_GOC!$B:$B,DATE($D$2,$B$2,U$4)),0))</f>
        <v>0</v>
      </c>
      <c r="V158" s="251">
        <f>IF(V$4&gt;DAY(EOMONTH(DATE($D$2,$B$2,1),0)),"",IFERROR(SUMIFS(DATA_GOC!$H:$H,DATA_GOC!$A:$A,"BOM",DATA_GOC!$D:$D,$B158,DATA_GOC!$E:$E,"Téc 3",DATA_GOC!$F:$F,"Xuất nội bộ từ téc",DATA_GOC!$B:$B,DATE($D$2,$B$2,V$4)),0))</f>
        <v>0</v>
      </c>
      <c r="W158" s="251">
        <f>IF(W$4&gt;DAY(EOMONTH(DATE($D$2,$B$2,1),0)),"",IFERROR(SUMIFS(DATA_GOC!$H:$H,DATA_GOC!$A:$A,"BOM",DATA_GOC!$D:$D,$B158,DATA_GOC!$E:$E,"Téc 3",DATA_GOC!$F:$F,"Xuất nội bộ từ téc",DATA_GOC!$B:$B,DATE($D$2,$B$2,W$4)),0))</f>
        <v>0</v>
      </c>
      <c r="X158" s="251">
        <f>IF(X$4&gt;DAY(EOMONTH(DATE($D$2,$B$2,1),0)),"",IFERROR(SUMIFS(DATA_GOC!$H:$H,DATA_GOC!$A:$A,"BOM",DATA_GOC!$D:$D,$B158,DATA_GOC!$E:$E,"Téc 3",DATA_GOC!$F:$F,"Xuất nội bộ từ téc",DATA_GOC!$B:$B,DATE($D$2,$B$2,X$4)),0))</f>
        <v>0</v>
      </c>
      <c r="Y158" s="251">
        <f>IF(Y$4&gt;DAY(EOMONTH(DATE($D$2,$B$2,1),0)),"",IFERROR(SUMIFS(DATA_GOC!$H:$H,DATA_GOC!$A:$A,"BOM",DATA_GOC!$D:$D,$B158,DATA_GOC!$E:$E,"Téc 3",DATA_GOC!$F:$F,"Xuất nội bộ từ téc",DATA_GOC!$B:$B,DATE($D$2,$B$2,Y$4)),0))</f>
        <v>0</v>
      </c>
      <c r="Z158" s="251">
        <f>IF(Z$4&gt;DAY(EOMONTH(DATE($D$2,$B$2,1),0)),"",IFERROR(SUMIFS(DATA_GOC!$H:$H,DATA_GOC!$A:$A,"BOM",DATA_GOC!$D:$D,$B158,DATA_GOC!$E:$E,"Téc 3",DATA_GOC!$F:$F,"Xuất nội bộ từ téc",DATA_GOC!$B:$B,DATE($D$2,$B$2,Z$4)),0))</f>
        <v>0</v>
      </c>
      <c r="AA158" s="251">
        <f>IF(AA$4&gt;DAY(EOMONTH(DATE($D$2,$B$2,1),0)),"",IFERROR(SUMIFS(DATA_GOC!$H:$H,DATA_GOC!$A:$A,"BOM",DATA_GOC!$D:$D,$B158,DATA_GOC!$E:$E,"Téc 3",DATA_GOC!$F:$F,"Xuất nội bộ từ téc",DATA_GOC!$B:$B,DATE($D$2,$B$2,AA$4)),0))</f>
        <v>0</v>
      </c>
      <c r="AB158" s="251">
        <f>IF(AB$4&gt;DAY(EOMONTH(DATE($D$2,$B$2,1),0)),"",IFERROR(SUMIFS(DATA_GOC!$H:$H,DATA_GOC!$A:$A,"BOM",DATA_GOC!$D:$D,$B158,DATA_GOC!$E:$E,"Téc 3",DATA_GOC!$F:$F,"Xuất nội bộ từ téc",DATA_GOC!$B:$B,DATE($D$2,$B$2,AB$4)),0))</f>
        <v>0</v>
      </c>
      <c r="AC158" s="251">
        <f>IF(AC$4&gt;DAY(EOMONTH(DATE($D$2,$B$2,1),0)),"",IFERROR(SUMIFS(DATA_GOC!$H:$H,DATA_GOC!$A:$A,"BOM",DATA_GOC!$D:$D,$B158,DATA_GOC!$E:$E,"Téc 3",DATA_GOC!$F:$F,"Xuất nội bộ từ téc",DATA_GOC!$B:$B,DATE($D$2,$B$2,AC$4)),0))</f>
        <v>0</v>
      </c>
      <c r="AD158" s="251">
        <f>IF(AD$4&gt;DAY(EOMONTH(DATE($D$2,$B$2,1),0)),"",IFERROR(SUMIFS(DATA_GOC!$H:$H,DATA_GOC!$A:$A,"BOM",DATA_GOC!$D:$D,$B158,DATA_GOC!$E:$E,"Téc 3",DATA_GOC!$F:$F,"Xuất nội bộ từ téc",DATA_GOC!$B:$B,DATE($D$2,$B$2,AD$4)),0))</f>
        <v>0</v>
      </c>
      <c r="AE158" s="251">
        <f>IF(AE$4&gt;DAY(EOMONTH(DATE($D$2,$B$2,1),0)),"",IFERROR(SUMIFS(DATA_GOC!$H:$H,DATA_GOC!$A:$A,"BOM",DATA_GOC!$D:$D,$B158,DATA_GOC!$E:$E,"Téc 3",DATA_GOC!$F:$F,"Xuất nội bộ từ téc",DATA_GOC!$B:$B,DATE($D$2,$B$2,AE$4)),0))</f>
        <v>0</v>
      </c>
      <c r="AF158" s="251">
        <f>IF(AF$4&gt;DAY(EOMONTH(DATE($D$2,$B$2,1),0)),"",IFERROR(SUMIFS(DATA_GOC!$H:$H,DATA_GOC!$A:$A,"BOM",DATA_GOC!$D:$D,$B158,DATA_GOC!$E:$E,"Téc 3",DATA_GOC!$F:$F,"Xuất nội bộ từ téc",DATA_GOC!$B:$B,DATE($D$2,$B$2,AF$4)),0))</f>
        <v>0</v>
      </c>
      <c r="AG158" s="251">
        <f>IF(AG$4&gt;DAY(EOMONTH(DATE($D$2,$B$2,1),0)),"",IFERROR(SUMIFS(DATA_GOC!$H:$H,DATA_GOC!$A:$A,"BOM",DATA_GOC!$D:$D,$B158,DATA_GOC!$E:$E,"Téc 3",DATA_GOC!$F:$F,"Xuất nội bộ từ téc",DATA_GOC!$B:$B,DATE($D$2,$B$2,AG$4)),0))</f>
        <v>0</v>
      </c>
      <c r="AH158" s="252">
        <f t="shared" si="7"/>
        <v>0</v>
      </c>
      <c r="AI158" s="241"/>
      <c r="AJ158" s="242">
        <f>IF($B158="","",SUMIFS(TINH_TEC!$K$233:$K$9232,TINH_TEC!$H$233:$H$9232,$B158,TINH_TEC!$C$233:$C$9232,"Téc 3",TINH_TEC!$F$233:$F$9232,$B$2,TINH_TEC!$G$233:$G$9232,$D$2,TINH_TEC!$B$233:$B$9232,"Đã chốt"))</f>
        <v>0</v>
      </c>
      <c r="AK158" s="242">
        <f>IF($B158="","",SUMIFS(TINH_TEC!$J$233:$J$9232,TINH_TEC!$H$233:$H$9232,$B158,TINH_TEC!$C$233:$C$9232,"Téc 3",TINH_TEC!$F$233:$F$9232,$B$2,TINH_TEC!$G$233:$G$9232,$D$2,TINH_TEC!$B$233:$B$9232,"Đã chốt"))</f>
        <v>0</v>
      </c>
      <c r="AL158" s="242">
        <f t="shared" si="8"/>
        <v>0</v>
      </c>
    </row>
    <row r="159" ht="15.75" customHeight="1">
      <c r="A159" s="237">
        <f>IF($B159&lt;&gt;"",32,"")</f>
        <v>32</v>
      </c>
      <c r="B159" s="250" t="str">
        <f t="array" ref="B159">IFERROR(INDEX(DANH_MUC!$E:$E,35),"")</f>
        <v>28H00003</v>
      </c>
      <c r="C159" s="251">
        <f>IF(C$4&gt;DAY(EOMONTH(DATE($D$2,$B$2,1),0)),"",IFERROR(SUMIFS(DATA_GOC!$H:$H,DATA_GOC!$A:$A,"BOM",DATA_GOC!$D:$D,$B159,DATA_GOC!$E:$E,"Téc 3",DATA_GOC!$F:$F,"Xuất nội bộ từ téc",DATA_GOC!$B:$B,DATE($D$2,$B$2,C$4)),0))</f>
        <v>0</v>
      </c>
      <c r="D159" s="251">
        <f>IF(D$4&gt;DAY(EOMONTH(DATE($D$2,$B$2,1),0)),"",IFERROR(SUMIFS(DATA_GOC!$H:$H,DATA_GOC!$A:$A,"BOM",DATA_GOC!$D:$D,$B159,DATA_GOC!$E:$E,"Téc 3",DATA_GOC!$F:$F,"Xuất nội bộ từ téc",DATA_GOC!$B:$B,DATE($D$2,$B$2,D$4)),0))</f>
        <v>0</v>
      </c>
      <c r="E159" s="251">
        <f>IF(E$4&gt;DAY(EOMONTH(DATE($D$2,$B$2,1),0)),"",IFERROR(SUMIFS(DATA_GOC!$H:$H,DATA_GOC!$A:$A,"BOM",DATA_GOC!$D:$D,$B159,DATA_GOC!$E:$E,"Téc 3",DATA_GOC!$F:$F,"Xuất nội bộ từ téc",DATA_GOC!$B:$B,DATE($D$2,$B$2,E$4)),0))</f>
        <v>0</v>
      </c>
      <c r="F159" s="251">
        <f>IF(F$4&gt;DAY(EOMONTH(DATE($D$2,$B$2,1),0)),"",IFERROR(SUMIFS(DATA_GOC!$H:$H,DATA_GOC!$A:$A,"BOM",DATA_GOC!$D:$D,$B159,DATA_GOC!$E:$E,"Téc 3",DATA_GOC!$F:$F,"Xuất nội bộ từ téc",DATA_GOC!$B:$B,DATE($D$2,$B$2,F$4)),0))</f>
        <v>0</v>
      </c>
      <c r="G159" s="251">
        <f>IF(G$4&gt;DAY(EOMONTH(DATE($D$2,$B$2,1),0)),"",IFERROR(SUMIFS(DATA_GOC!$H:$H,DATA_GOC!$A:$A,"BOM",DATA_GOC!$D:$D,$B159,DATA_GOC!$E:$E,"Téc 3",DATA_GOC!$F:$F,"Xuất nội bộ từ téc",DATA_GOC!$B:$B,DATE($D$2,$B$2,G$4)),0))</f>
        <v>0</v>
      </c>
      <c r="H159" s="251">
        <f>IF(H$4&gt;DAY(EOMONTH(DATE($D$2,$B$2,1),0)),"",IFERROR(SUMIFS(DATA_GOC!$H:$H,DATA_GOC!$A:$A,"BOM",DATA_GOC!$D:$D,$B159,DATA_GOC!$E:$E,"Téc 3",DATA_GOC!$F:$F,"Xuất nội bộ từ téc",DATA_GOC!$B:$B,DATE($D$2,$B$2,H$4)),0))</f>
        <v>0</v>
      </c>
      <c r="I159" s="251">
        <f>IF(I$4&gt;DAY(EOMONTH(DATE($D$2,$B$2,1),0)),"",IFERROR(SUMIFS(DATA_GOC!$H:$H,DATA_GOC!$A:$A,"BOM",DATA_GOC!$D:$D,$B159,DATA_GOC!$E:$E,"Téc 3",DATA_GOC!$F:$F,"Xuất nội bộ từ téc",DATA_GOC!$B:$B,DATE($D$2,$B$2,I$4)),0))</f>
        <v>0</v>
      </c>
      <c r="J159" s="251">
        <f>IF(J$4&gt;DAY(EOMONTH(DATE($D$2,$B$2,1),0)),"",IFERROR(SUMIFS(DATA_GOC!$H:$H,DATA_GOC!$A:$A,"BOM",DATA_GOC!$D:$D,$B159,DATA_GOC!$E:$E,"Téc 3",DATA_GOC!$F:$F,"Xuất nội bộ từ téc",DATA_GOC!$B:$B,DATE($D$2,$B$2,J$4)),0))</f>
        <v>0</v>
      </c>
      <c r="K159" s="251">
        <f>IF(K$4&gt;DAY(EOMONTH(DATE($D$2,$B$2,1),0)),"",IFERROR(SUMIFS(DATA_GOC!$H:$H,DATA_GOC!$A:$A,"BOM",DATA_GOC!$D:$D,$B159,DATA_GOC!$E:$E,"Téc 3",DATA_GOC!$F:$F,"Xuất nội bộ từ téc",DATA_GOC!$B:$B,DATE($D$2,$B$2,K$4)),0))</f>
        <v>0</v>
      </c>
      <c r="L159" s="251">
        <f>IF(L$4&gt;DAY(EOMONTH(DATE($D$2,$B$2,1),0)),"",IFERROR(SUMIFS(DATA_GOC!$H:$H,DATA_GOC!$A:$A,"BOM",DATA_GOC!$D:$D,$B159,DATA_GOC!$E:$E,"Téc 3",DATA_GOC!$F:$F,"Xuất nội bộ từ téc",DATA_GOC!$B:$B,DATE($D$2,$B$2,L$4)),0))</f>
        <v>0</v>
      </c>
      <c r="M159" s="251">
        <f>IF(M$4&gt;DAY(EOMONTH(DATE($D$2,$B$2,1),0)),"",IFERROR(SUMIFS(DATA_GOC!$H:$H,DATA_GOC!$A:$A,"BOM",DATA_GOC!$D:$D,$B159,DATA_GOC!$E:$E,"Téc 3",DATA_GOC!$F:$F,"Xuất nội bộ từ téc",DATA_GOC!$B:$B,DATE($D$2,$B$2,M$4)),0))</f>
        <v>0</v>
      </c>
      <c r="N159" s="251">
        <f>IF(N$4&gt;DAY(EOMONTH(DATE($D$2,$B$2,1),0)),"",IFERROR(SUMIFS(DATA_GOC!$H:$H,DATA_GOC!$A:$A,"BOM",DATA_GOC!$D:$D,$B159,DATA_GOC!$E:$E,"Téc 3",DATA_GOC!$F:$F,"Xuất nội bộ từ téc",DATA_GOC!$B:$B,DATE($D$2,$B$2,N$4)),0))</f>
        <v>0</v>
      </c>
      <c r="O159" s="251">
        <f>IF(O$4&gt;DAY(EOMONTH(DATE($D$2,$B$2,1),0)),"",IFERROR(SUMIFS(DATA_GOC!$H:$H,DATA_GOC!$A:$A,"BOM",DATA_GOC!$D:$D,$B159,DATA_GOC!$E:$E,"Téc 3",DATA_GOC!$F:$F,"Xuất nội bộ từ téc",DATA_GOC!$B:$B,DATE($D$2,$B$2,O$4)),0))</f>
        <v>0</v>
      </c>
      <c r="P159" s="251">
        <f>IF(P$4&gt;DAY(EOMONTH(DATE($D$2,$B$2,1),0)),"",IFERROR(SUMIFS(DATA_GOC!$H:$H,DATA_GOC!$A:$A,"BOM",DATA_GOC!$D:$D,$B159,DATA_GOC!$E:$E,"Téc 3",DATA_GOC!$F:$F,"Xuất nội bộ từ téc",DATA_GOC!$B:$B,DATE($D$2,$B$2,P$4)),0))</f>
        <v>0</v>
      </c>
      <c r="Q159" s="251">
        <f>IF(Q$4&gt;DAY(EOMONTH(DATE($D$2,$B$2,1),0)),"",IFERROR(SUMIFS(DATA_GOC!$H:$H,DATA_GOC!$A:$A,"BOM",DATA_GOC!$D:$D,$B159,DATA_GOC!$E:$E,"Téc 3",DATA_GOC!$F:$F,"Xuất nội bộ từ téc",DATA_GOC!$B:$B,DATE($D$2,$B$2,Q$4)),0))</f>
        <v>0</v>
      </c>
      <c r="R159" s="251">
        <f>IF(R$4&gt;DAY(EOMONTH(DATE($D$2,$B$2,1),0)),"",IFERROR(SUMIFS(DATA_GOC!$H:$H,DATA_GOC!$A:$A,"BOM",DATA_GOC!$D:$D,$B159,DATA_GOC!$E:$E,"Téc 3",DATA_GOC!$F:$F,"Xuất nội bộ từ téc",DATA_GOC!$B:$B,DATE($D$2,$B$2,R$4)),0))</f>
        <v>0</v>
      </c>
      <c r="S159" s="251">
        <f>IF(S$4&gt;DAY(EOMONTH(DATE($D$2,$B$2,1),0)),"",IFERROR(SUMIFS(DATA_GOC!$H:$H,DATA_GOC!$A:$A,"BOM",DATA_GOC!$D:$D,$B159,DATA_GOC!$E:$E,"Téc 3",DATA_GOC!$F:$F,"Xuất nội bộ từ téc",DATA_GOC!$B:$B,DATE($D$2,$B$2,S$4)),0))</f>
        <v>0</v>
      </c>
      <c r="T159" s="251">
        <f>IF(T$4&gt;DAY(EOMONTH(DATE($D$2,$B$2,1),0)),"",IFERROR(SUMIFS(DATA_GOC!$H:$H,DATA_GOC!$A:$A,"BOM",DATA_GOC!$D:$D,$B159,DATA_GOC!$E:$E,"Téc 3",DATA_GOC!$F:$F,"Xuất nội bộ từ téc",DATA_GOC!$B:$B,DATE($D$2,$B$2,T$4)),0))</f>
        <v>0</v>
      </c>
      <c r="U159" s="251">
        <f>IF(U$4&gt;DAY(EOMONTH(DATE($D$2,$B$2,1),0)),"",IFERROR(SUMIFS(DATA_GOC!$H:$H,DATA_GOC!$A:$A,"BOM",DATA_GOC!$D:$D,$B159,DATA_GOC!$E:$E,"Téc 3",DATA_GOC!$F:$F,"Xuất nội bộ từ téc",DATA_GOC!$B:$B,DATE($D$2,$B$2,U$4)),0))</f>
        <v>0</v>
      </c>
      <c r="V159" s="251">
        <f>IF(V$4&gt;DAY(EOMONTH(DATE($D$2,$B$2,1),0)),"",IFERROR(SUMIFS(DATA_GOC!$H:$H,DATA_GOC!$A:$A,"BOM",DATA_GOC!$D:$D,$B159,DATA_GOC!$E:$E,"Téc 3",DATA_GOC!$F:$F,"Xuất nội bộ từ téc",DATA_GOC!$B:$B,DATE($D$2,$B$2,V$4)),0))</f>
        <v>0</v>
      </c>
      <c r="W159" s="251">
        <f>IF(W$4&gt;DAY(EOMONTH(DATE($D$2,$B$2,1),0)),"",IFERROR(SUMIFS(DATA_GOC!$H:$H,DATA_GOC!$A:$A,"BOM",DATA_GOC!$D:$D,$B159,DATA_GOC!$E:$E,"Téc 3",DATA_GOC!$F:$F,"Xuất nội bộ từ téc",DATA_GOC!$B:$B,DATE($D$2,$B$2,W$4)),0))</f>
        <v>0</v>
      </c>
      <c r="X159" s="251">
        <f>IF(X$4&gt;DAY(EOMONTH(DATE($D$2,$B$2,1),0)),"",IFERROR(SUMIFS(DATA_GOC!$H:$H,DATA_GOC!$A:$A,"BOM",DATA_GOC!$D:$D,$B159,DATA_GOC!$E:$E,"Téc 3",DATA_GOC!$F:$F,"Xuất nội bộ từ téc",DATA_GOC!$B:$B,DATE($D$2,$B$2,X$4)),0))</f>
        <v>0</v>
      </c>
      <c r="Y159" s="251">
        <f>IF(Y$4&gt;DAY(EOMONTH(DATE($D$2,$B$2,1),0)),"",IFERROR(SUMIFS(DATA_GOC!$H:$H,DATA_GOC!$A:$A,"BOM",DATA_GOC!$D:$D,$B159,DATA_GOC!$E:$E,"Téc 3",DATA_GOC!$F:$F,"Xuất nội bộ từ téc",DATA_GOC!$B:$B,DATE($D$2,$B$2,Y$4)),0))</f>
        <v>0</v>
      </c>
      <c r="Z159" s="251">
        <f>IF(Z$4&gt;DAY(EOMONTH(DATE($D$2,$B$2,1),0)),"",IFERROR(SUMIFS(DATA_GOC!$H:$H,DATA_GOC!$A:$A,"BOM",DATA_GOC!$D:$D,$B159,DATA_GOC!$E:$E,"Téc 3",DATA_GOC!$F:$F,"Xuất nội bộ từ téc",DATA_GOC!$B:$B,DATE($D$2,$B$2,Z$4)),0))</f>
        <v>0</v>
      </c>
      <c r="AA159" s="251">
        <f>IF(AA$4&gt;DAY(EOMONTH(DATE($D$2,$B$2,1),0)),"",IFERROR(SUMIFS(DATA_GOC!$H:$H,DATA_GOC!$A:$A,"BOM",DATA_GOC!$D:$D,$B159,DATA_GOC!$E:$E,"Téc 3",DATA_GOC!$F:$F,"Xuất nội bộ từ téc",DATA_GOC!$B:$B,DATE($D$2,$B$2,AA$4)),0))</f>
        <v>0</v>
      </c>
      <c r="AB159" s="251">
        <f>IF(AB$4&gt;DAY(EOMONTH(DATE($D$2,$B$2,1),0)),"",IFERROR(SUMIFS(DATA_GOC!$H:$H,DATA_GOC!$A:$A,"BOM",DATA_GOC!$D:$D,$B159,DATA_GOC!$E:$E,"Téc 3",DATA_GOC!$F:$F,"Xuất nội bộ từ téc",DATA_GOC!$B:$B,DATE($D$2,$B$2,AB$4)),0))</f>
        <v>0</v>
      </c>
      <c r="AC159" s="251">
        <f>IF(AC$4&gt;DAY(EOMONTH(DATE($D$2,$B$2,1),0)),"",IFERROR(SUMIFS(DATA_GOC!$H:$H,DATA_GOC!$A:$A,"BOM",DATA_GOC!$D:$D,$B159,DATA_GOC!$E:$E,"Téc 3",DATA_GOC!$F:$F,"Xuất nội bộ từ téc",DATA_GOC!$B:$B,DATE($D$2,$B$2,AC$4)),0))</f>
        <v>0</v>
      </c>
      <c r="AD159" s="251">
        <f>IF(AD$4&gt;DAY(EOMONTH(DATE($D$2,$B$2,1),0)),"",IFERROR(SUMIFS(DATA_GOC!$H:$H,DATA_GOC!$A:$A,"BOM",DATA_GOC!$D:$D,$B159,DATA_GOC!$E:$E,"Téc 3",DATA_GOC!$F:$F,"Xuất nội bộ từ téc",DATA_GOC!$B:$B,DATE($D$2,$B$2,AD$4)),0))</f>
        <v>0</v>
      </c>
      <c r="AE159" s="251">
        <f>IF(AE$4&gt;DAY(EOMONTH(DATE($D$2,$B$2,1),0)),"",IFERROR(SUMIFS(DATA_GOC!$H:$H,DATA_GOC!$A:$A,"BOM",DATA_GOC!$D:$D,$B159,DATA_GOC!$E:$E,"Téc 3",DATA_GOC!$F:$F,"Xuất nội bộ từ téc",DATA_GOC!$B:$B,DATE($D$2,$B$2,AE$4)),0))</f>
        <v>0</v>
      </c>
      <c r="AF159" s="251">
        <f>IF(AF$4&gt;DAY(EOMONTH(DATE($D$2,$B$2,1),0)),"",IFERROR(SUMIFS(DATA_GOC!$H:$H,DATA_GOC!$A:$A,"BOM",DATA_GOC!$D:$D,$B159,DATA_GOC!$E:$E,"Téc 3",DATA_GOC!$F:$F,"Xuất nội bộ từ téc",DATA_GOC!$B:$B,DATE($D$2,$B$2,AF$4)),0))</f>
        <v>0</v>
      </c>
      <c r="AG159" s="251">
        <f>IF(AG$4&gt;DAY(EOMONTH(DATE($D$2,$B$2,1),0)),"",IFERROR(SUMIFS(DATA_GOC!$H:$H,DATA_GOC!$A:$A,"BOM",DATA_GOC!$D:$D,$B159,DATA_GOC!$E:$E,"Téc 3",DATA_GOC!$F:$F,"Xuất nội bộ từ téc",DATA_GOC!$B:$B,DATE($D$2,$B$2,AG$4)),0))</f>
        <v>0</v>
      </c>
      <c r="AH159" s="252">
        <f t="shared" si="7"/>
        <v>0</v>
      </c>
      <c r="AI159" s="241"/>
      <c r="AJ159" s="242">
        <f>IF($B159="","",SUMIFS(TINH_TEC!$K$233:$K$9232,TINH_TEC!$H$233:$H$9232,$B159,TINH_TEC!$C$233:$C$9232,"Téc 3",TINH_TEC!$F$233:$F$9232,$B$2,TINH_TEC!$G$233:$G$9232,$D$2,TINH_TEC!$B$233:$B$9232,"Đã chốt"))</f>
        <v>0</v>
      </c>
      <c r="AK159" s="242">
        <f>IF($B159="","",SUMIFS(TINH_TEC!$J$233:$J$9232,TINH_TEC!$H$233:$H$9232,$B159,TINH_TEC!$C$233:$C$9232,"Téc 3",TINH_TEC!$F$233:$F$9232,$B$2,TINH_TEC!$G$233:$G$9232,$D$2,TINH_TEC!$B$233:$B$9232,"Đã chốt"))</f>
        <v>0</v>
      </c>
      <c r="AL159" s="242">
        <f t="shared" si="8"/>
        <v>0</v>
      </c>
    </row>
    <row r="160" ht="15.75" customHeight="1">
      <c r="A160" s="237">
        <f>IF($B160&lt;&gt;"",33,"")</f>
        <v>33</v>
      </c>
      <c r="B160" s="250" t="str">
        <f t="array" ref="B160">IFERROR(INDEX(DANH_MUC!$E:$E,36),"")</f>
        <v>28H00061</v>
      </c>
      <c r="C160" s="251">
        <f>IF(C$4&gt;DAY(EOMONTH(DATE($D$2,$B$2,1),0)),"",IFERROR(SUMIFS(DATA_GOC!$H:$H,DATA_GOC!$A:$A,"BOM",DATA_GOC!$D:$D,$B160,DATA_GOC!$E:$E,"Téc 3",DATA_GOC!$F:$F,"Xuất nội bộ từ téc",DATA_GOC!$B:$B,DATE($D$2,$B$2,C$4)),0))</f>
        <v>0</v>
      </c>
      <c r="D160" s="251">
        <f>IF(D$4&gt;DAY(EOMONTH(DATE($D$2,$B$2,1),0)),"",IFERROR(SUMIFS(DATA_GOC!$H:$H,DATA_GOC!$A:$A,"BOM",DATA_GOC!$D:$D,$B160,DATA_GOC!$E:$E,"Téc 3",DATA_GOC!$F:$F,"Xuất nội bộ từ téc",DATA_GOC!$B:$B,DATE($D$2,$B$2,D$4)),0))</f>
        <v>0</v>
      </c>
      <c r="E160" s="251">
        <f>IF(E$4&gt;DAY(EOMONTH(DATE($D$2,$B$2,1),0)),"",IFERROR(SUMIFS(DATA_GOC!$H:$H,DATA_GOC!$A:$A,"BOM",DATA_GOC!$D:$D,$B160,DATA_GOC!$E:$E,"Téc 3",DATA_GOC!$F:$F,"Xuất nội bộ từ téc",DATA_GOC!$B:$B,DATE($D$2,$B$2,E$4)),0))</f>
        <v>0</v>
      </c>
      <c r="F160" s="251">
        <f>IF(F$4&gt;DAY(EOMONTH(DATE($D$2,$B$2,1),0)),"",IFERROR(SUMIFS(DATA_GOC!$H:$H,DATA_GOC!$A:$A,"BOM",DATA_GOC!$D:$D,$B160,DATA_GOC!$E:$E,"Téc 3",DATA_GOC!$F:$F,"Xuất nội bộ từ téc",DATA_GOC!$B:$B,DATE($D$2,$B$2,F$4)),0))</f>
        <v>0</v>
      </c>
      <c r="G160" s="251">
        <f>IF(G$4&gt;DAY(EOMONTH(DATE($D$2,$B$2,1),0)),"",IFERROR(SUMIFS(DATA_GOC!$H:$H,DATA_GOC!$A:$A,"BOM",DATA_GOC!$D:$D,$B160,DATA_GOC!$E:$E,"Téc 3",DATA_GOC!$F:$F,"Xuất nội bộ từ téc",DATA_GOC!$B:$B,DATE($D$2,$B$2,G$4)),0))</f>
        <v>0</v>
      </c>
      <c r="H160" s="251">
        <f>IF(H$4&gt;DAY(EOMONTH(DATE($D$2,$B$2,1),0)),"",IFERROR(SUMIFS(DATA_GOC!$H:$H,DATA_GOC!$A:$A,"BOM",DATA_GOC!$D:$D,$B160,DATA_GOC!$E:$E,"Téc 3",DATA_GOC!$F:$F,"Xuất nội bộ từ téc",DATA_GOC!$B:$B,DATE($D$2,$B$2,H$4)),0))</f>
        <v>0</v>
      </c>
      <c r="I160" s="251">
        <f>IF(I$4&gt;DAY(EOMONTH(DATE($D$2,$B$2,1),0)),"",IFERROR(SUMIFS(DATA_GOC!$H:$H,DATA_GOC!$A:$A,"BOM",DATA_GOC!$D:$D,$B160,DATA_GOC!$E:$E,"Téc 3",DATA_GOC!$F:$F,"Xuất nội bộ từ téc",DATA_GOC!$B:$B,DATE($D$2,$B$2,I$4)),0))</f>
        <v>0</v>
      </c>
      <c r="J160" s="251">
        <f>IF(J$4&gt;DAY(EOMONTH(DATE($D$2,$B$2,1),0)),"",IFERROR(SUMIFS(DATA_GOC!$H:$H,DATA_GOC!$A:$A,"BOM",DATA_GOC!$D:$D,$B160,DATA_GOC!$E:$E,"Téc 3",DATA_GOC!$F:$F,"Xuất nội bộ từ téc",DATA_GOC!$B:$B,DATE($D$2,$B$2,J$4)),0))</f>
        <v>0</v>
      </c>
      <c r="K160" s="251">
        <f>IF(K$4&gt;DAY(EOMONTH(DATE($D$2,$B$2,1),0)),"",IFERROR(SUMIFS(DATA_GOC!$H:$H,DATA_GOC!$A:$A,"BOM",DATA_GOC!$D:$D,$B160,DATA_GOC!$E:$E,"Téc 3",DATA_GOC!$F:$F,"Xuất nội bộ từ téc",DATA_GOC!$B:$B,DATE($D$2,$B$2,K$4)),0))</f>
        <v>0</v>
      </c>
      <c r="L160" s="251">
        <f>IF(L$4&gt;DAY(EOMONTH(DATE($D$2,$B$2,1),0)),"",IFERROR(SUMIFS(DATA_GOC!$H:$H,DATA_GOC!$A:$A,"BOM",DATA_GOC!$D:$D,$B160,DATA_GOC!$E:$E,"Téc 3",DATA_GOC!$F:$F,"Xuất nội bộ từ téc",DATA_GOC!$B:$B,DATE($D$2,$B$2,L$4)),0))</f>
        <v>0</v>
      </c>
      <c r="M160" s="251">
        <f>IF(M$4&gt;DAY(EOMONTH(DATE($D$2,$B$2,1),0)),"",IFERROR(SUMIFS(DATA_GOC!$H:$H,DATA_GOC!$A:$A,"BOM",DATA_GOC!$D:$D,$B160,DATA_GOC!$E:$E,"Téc 3",DATA_GOC!$F:$F,"Xuất nội bộ từ téc",DATA_GOC!$B:$B,DATE($D$2,$B$2,M$4)),0))</f>
        <v>0</v>
      </c>
      <c r="N160" s="251">
        <f>IF(N$4&gt;DAY(EOMONTH(DATE($D$2,$B$2,1),0)),"",IFERROR(SUMIFS(DATA_GOC!$H:$H,DATA_GOC!$A:$A,"BOM",DATA_GOC!$D:$D,$B160,DATA_GOC!$E:$E,"Téc 3",DATA_GOC!$F:$F,"Xuất nội bộ từ téc",DATA_GOC!$B:$B,DATE($D$2,$B$2,N$4)),0))</f>
        <v>0</v>
      </c>
      <c r="O160" s="251">
        <f>IF(O$4&gt;DAY(EOMONTH(DATE($D$2,$B$2,1),0)),"",IFERROR(SUMIFS(DATA_GOC!$H:$H,DATA_GOC!$A:$A,"BOM",DATA_GOC!$D:$D,$B160,DATA_GOC!$E:$E,"Téc 3",DATA_GOC!$F:$F,"Xuất nội bộ từ téc",DATA_GOC!$B:$B,DATE($D$2,$B$2,O$4)),0))</f>
        <v>0</v>
      </c>
      <c r="P160" s="251">
        <f>IF(P$4&gt;DAY(EOMONTH(DATE($D$2,$B$2,1),0)),"",IFERROR(SUMIFS(DATA_GOC!$H:$H,DATA_GOC!$A:$A,"BOM",DATA_GOC!$D:$D,$B160,DATA_GOC!$E:$E,"Téc 3",DATA_GOC!$F:$F,"Xuất nội bộ từ téc",DATA_GOC!$B:$B,DATE($D$2,$B$2,P$4)),0))</f>
        <v>0</v>
      </c>
      <c r="Q160" s="251">
        <f>IF(Q$4&gt;DAY(EOMONTH(DATE($D$2,$B$2,1),0)),"",IFERROR(SUMIFS(DATA_GOC!$H:$H,DATA_GOC!$A:$A,"BOM",DATA_GOC!$D:$D,$B160,DATA_GOC!$E:$E,"Téc 3",DATA_GOC!$F:$F,"Xuất nội bộ từ téc",DATA_GOC!$B:$B,DATE($D$2,$B$2,Q$4)),0))</f>
        <v>0</v>
      </c>
      <c r="R160" s="251">
        <f>IF(R$4&gt;DAY(EOMONTH(DATE($D$2,$B$2,1),0)),"",IFERROR(SUMIFS(DATA_GOC!$H:$H,DATA_GOC!$A:$A,"BOM",DATA_GOC!$D:$D,$B160,DATA_GOC!$E:$E,"Téc 3",DATA_GOC!$F:$F,"Xuất nội bộ từ téc",DATA_GOC!$B:$B,DATE($D$2,$B$2,R$4)),0))</f>
        <v>0</v>
      </c>
      <c r="S160" s="251">
        <f>IF(S$4&gt;DAY(EOMONTH(DATE($D$2,$B$2,1),0)),"",IFERROR(SUMIFS(DATA_GOC!$H:$H,DATA_GOC!$A:$A,"BOM",DATA_GOC!$D:$D,$B160,DATA_GOC!$E:$E,"Téc 3",DATA_GOC!$F:$F,"Xuất nội bộ từ téc",DATA_GOC!$B:$B,DATE($D$2,$B$2,S$4)),0))</f>
        <v>0</v>
      </c>
      <c r="T160" s="251">
        <f>IF(T$4&gt;DAY(EOMONTH(DATE($D$2,$B$2,1),0)),"",IFERROR(SUMIFS(DATA_GOC!$H:$H,DATA_GOC!$A:$A,"BOM",DATA_GOC!$D:$D,$B160,DATA_GOC!$E:$E,"Téc 3",DATA_GOC!$F:$F,"Xuất nội bộ từ téc",DATA_GOC!$B:$B,DATE($D$2,$B$2,T$4)),0))</f>
        <v>0</v>
      </c>
      <c r="U160" s="251">
        <f>IF(U$4&gt;DAY(EOMONTH(DATE($D$2,$B$2,1),0)),"",IFERROR(SUMIFS(DATA_GOC!$H:$H,DATA_GOC!$A:$A,"BOM",DATA_GOC!$D:$D,$B160,DATA_GOC!$E:$E,"Téc 3",DATA_GOC!$F:$F,"Xuất nội bộ từ téc",DATA_GOC!$B:$B,DATE($D$2,$B$2,U$4)),0))</f>
        <v>0</v>
      </c>
      <c r="V160" s="251">
        <f>IF(V$4&gt;DAY(EOMONTH(DATE($D$2,$B$2,1),0)),"",IFERROR(SUMIFS(DATA_GOC!$H:$H,DATA_GOC!$A:$A,"BOM",DATA_GOC!$D:$D,$B160,DATA_GOC!$E:$E,"Téc 3",DATA_GOC!$F:$F,"Xuất nội bộ từ téc",DATA_GOC!$B:$B,DATE($D$2,$B$2,V$4)),0))</f>
        <v>0</v>
      </c>
      <c r="W160" s="251">
        <f>IF(W$4&gt;DAY(EOMONTH(DATE($D$2,$B$2,1),0)),"",IFERROR(SUMIFS(DATA_GOC!$H:$H,DATA_GOC!$A:$A,"BOM",DATA_GOC!$D:$D,$B160,DATA_GOC!$E:$E,"Téc 3",DATA_GOC!$F:$F,"Xuất nội bộ từ téc",DATA_GOC!$B:$B,DATE($D$2,$B$2,W$4)),0))</f>
        <v>0</v>
      </c>
      <c r="X160" s="251">
        <f>IF(X$4&gt;DAY(EOMONTH(DATE($D$2,$B$2,1),0)),"",IFERROR(SUMIFS(DATA_GOC!$H:$H,DATA_GOC!$A:$A,"BOM",DATA_GOC!$D:$D,$B160,DATA_GOC!$E:$E,"Téc 3",DATA_GOC!$F:$F,"Xuất nội bộ từ téc",DATA_GOC!$B:$B,DATE($D$2,$B$2,X$4)),0))</f>
        <v>0</v>
      </c>
      <c r="Y160" s="251">
        <f>IF(Y$4&gt;DAY(EOMONTH(DATE($D$2,$B$2,1),0)),"",IFERROR(SUMIFS(DATA_GOC!$H:$H,DATA_GOC!$A:$A,"BOM",DATA_GOC!$D:$D,$B160,DATA_GOC!$E:$E,"Téc 3",DATA_GOC!$F:$F,"Xuất nội bộ từ téc",DATA_GOC!$B:$B,DATE($D$2,$B$2,Y$4)),0))</f>
        <v>0</v>
      </c>
      <c r="Z160" s="251">
        <f>IF(Z$4&gt;DAY(EOMONTH(DATE($D$2,$B$2,1),0)),"",IFERROR(SUMIFS(DATA_GOC!$H:$H,DATA_GOC!$A:$A,"BOM",DATA_GOC!$D:$D,$B160,DATA_GOC!$E:$E,"Téc 3",DATA_GOC!$F:$F,"Xuất nội bộ từ téc",DATA_GOC!$B:$B,DATE($D$2,$B$2,Z$4)),0))</f>
        <v>0</v>
      </c>
      <c r="AA160" s="251">
        <f>IF(AA$4&gt;DAY(EOMONTH(DATE($D$2,$B$2,1),0)),"",IFERROR(SUMIFS(DATA_GOC!$H:$H,DATA_GOC!$A:$A,"BOM",DATA_GOC!$D:$D,$B160,DATA_GOC!$E:$E,"Téc 3",DATA_GOC!$F:$F,"Xuất nội bộ từ téc",DATA_GOC!$B:$B,DATE($D$2,$B$2,AA$4)),0))</f>
        <v>0</v>
      </c>
      <c r="AB160" s="251">
        <f>IF(AB$4&gt;DAY(EOMONTH(DATE($D$2,$B$2,1),0)),"",IFERROR(SUMIFS(DATA_GOC!$H:$H,DATA_GOC!$A:$A,"BOM",DATA_GOC!$D:$D,$B160,DATA_GOC!$E:$E,"Téc 3",DATA_GOC!$F:$F,"Xuất nội bộ từ téc",DATA_GOC!$B:$B,DATE($D$2,$B$2,AB$4)),0))</f>
        <v>0</v>
      </c>
      <c r="AC160" s="251">
        <f>IF(AC$4&gt;DAY(EOMONTH(DATE($D$2,$B$2,1),0)),"",IFERROR(SUMIFS(DATA_GOC!$H:$H,DATA_GOC!$A:$A,"BOM",DATA_GOC!$D:$D,$B160,DATA_GOC!$E:$E,"Téc 3",DATA_GOC!$F:$F,"Xuất nội bộ từ téc",DATA_GOC!$B:$B,DATE($D$2,$B$2,AC$4)),0))</f>
        <v>0</v>
      </c>
      <c r="AD160" s="251">
        <f>IF(AD$4&gt;DAY(EOMONTH(DATE($D$2,$B$2,1),0)),"",IFERROR(SUMIFS(DATA_GOC!$H:$H,DATA_GOC!$A:$A,"BOM",DATA_GOC!$D:$D,$B160,DATA_GOC!$E:$E,"Téc 3",DATA_GOC!$F:$F,"Xuất nội bộ từ téc",DATA_GOC!$B:$B,DATE($D$2,$B$2,AD$4)),0))</f>
        <v>0</v>
      </c>
      <c r="AE160" s="251">
        <f>IF(AE$4&gt;DAY(EOMONTH(DATE($D$2,$B$2,1),0)),"",IFERROR(SUMIFS(DATA_GOC!$H:$H,DATA_GOC!$A:$A,"BOM",DATA_GOC!$D:$D,$B160,DATA_GOC!$E:$E,"Téc 3",DATA_GOC!$F:$F,"Xuất nội bộ từ téc",DATA_GOC!$B:$B,DATE($D$2,$B$2,AE$4)),0))</f>
        <v>0</v>
      </c>
      <c r="AF160" s="251">
        <f>IF(AF$4&gt;DAY(EOMONTH(DATE($D$2,$B$2,1),0)),"",IFERROR(SUMIFS(DATA_GOC!$H:$H,DATA_GOC!$A:$A,"BOM",DATA_GOC!$D:$D,$B160,DATA_GOC!$E:$E,"Téc 3",DATA_GOC!$F:$F,"Xuất nội bộ từ téc",DATA_GOC!$B:$B,DATE($D$2,$B$2,AF$4)),0))</f>
        <v>0</v>
      </c>
      <c r="AG160" s="251">
        <f>IF(AG$4&gt;DAY(EOMONTH(DATE($D$2,$B$2,1),0)),"",IFERROR(SUMIFS(DATA_GOC!$H:$H,DATA_GOC!$A:$A,"BOM",DATA_GOC!$D:$D,$B160,DATA_GOC!$E:$E,"Téc 3",DATA_GOC!$F:$F,"Xuất nội bộ từ téc",DATA_GOC!$B:$B,DATE($D$2,$B$2,AG$4)),0))</f>
        <v>0</v>
      </c>
      <c r="AH160" s="252">
        <f t="shared" si="7"/>
        <v>0</v>
      </c>
      <c r="AI160" s="241"/>
      <c r="AJ160" s="242">
        <f>IF($B160="","",SUMIFS(TINH_TEC!$K$233:$K$9232,TINH_TEC!$H$233:$H$9232,$B160,TINH_TEC!$C$233:$C$9232,"Téc 3",TINH_TEC!$F$233:$F$9232,$B$2,TINH_TEC!$G$233:$G$9232,$D$2,TINH_TEC!$B$233:$B$9232,"Đã chốt"))</f>
        <v>0</v>
      </c>
      <c r="AK160" s="242">
        <f>IF($B160="","",SUMIFS(TINH_TEC!$J$233:$J$9232,TINH_TEC!$H$233:$H$9232,$B160,TINH_TEC!$C$233:$C$9232,"Téc 3",TINH_TEC!$F$233:$F$9232,$B$2,TINH_TEC!$G$233:$G$9232,$D$2,TINH_TEC!$B$233:$B$9232,"Đã chốt"))</f>
        <v>0</v>
      </c>
      <c r="AL160" s="242">
        <f t="shared" si="8"/>
        <v>0</v>
      </c>
    </row>
    <row r="161" ht="15.75" customHeight="1">
      <c r="A161" s="237">
        <f>IF($B161&lt;&gt;"",34,"")</f>
        <v>34</v>
      </c>
      <c r="B161" s="250" t="str">
        <f t="array" ref="B161">IFERROR(INDEX(DANH_MUC!$E:$E,37),"")</f>
        <v>28H00354</v>
      </c>
      <c r="C161" s="251">
        <f>IF(C$4&gt;DAY(EOMONTH(DATE($D$2,$B$2,1),0)),"",IFERROR(SUMIFS(DATA_GOC!$H:$H,DATA_GOC!$A:$A,"BOM",DATA_GOC!$D:$D,$B161,DATA_GOC!$E:$E,"Téc 3",DATA_GOC!$F:$F,"Xuất nội bộ từ téc",DATA_GOC!$B:$B,DATE($D$2,$B$2,C$4)),0))</f>
        <v>0</v>
      </c>
      <c r="D161" s="251">
        <f>IF(D$4&gt;DAY(EOMONTH(DATE($D$2,$B$2,1),0)),"",IFERROR(SUMIFS(DATA_GOC!$H:$H,DATA_GOC!$A:$A,"BOM",DATA_GOC!$D:$D,$B161,DATA_GOC!$E:$E,"Téc 3",DATA_GOC!$F:$F,"Xuất nội bộ từ téc",DATA_GOC!$B:$B,DATE($D$2,$B$2,D$4)),0))</f>
        <v>0</v>
      </c>
      <c r="E161" s="251">
        <f>IF(E$4&gt;DAY(EOMONTH(DATE($D$2,$B$2,1),0)),"",IFERROR(SUMIFS(DATA_GOC!$H:$H,DATA_GOC!$A:$A,"BOM",DATA_GOC!$D:$D,$B161,DATA_GOC!$E:$E,"Téc 3",DATA_GOC!$F:$F,"Xuất nội bộ từ téc",DATA_GOC!$B:$B,DATE($D$2,$B$2,E$4)),0))</f>
        <v>0</v>
      </c>
      <c r="F161" s="251">
        <f>IF(F$4&gt;DAY(EOMONTH(DATE($D$2,$B$2,1),0)),"",IFERROR(SUMIFS(DATA_GOC!$H:$H,DATA_GOC!$A:$A,"BOM",DATA_GOC!$D:$D,$B161,DATA_GOC!$E:$E,"Téc 3",DATA_GOC!$F:$F,"Xuất nội bộ từ téc",DATA_GOC!$B:$B,DATE($D$2,$B$2,F$4)),0))</f>
        <v>0</v>
      </c>
      <c r="G161" s="251">
        <f>IF(G$4&gt;DAY(EOMONTH(DATE($D$2,$B$2,1),0)),"",IFERROR(SUMIFS(DATA_GOC!$H:$H,DATA_GOC!$A:$A,"BOM",DATA_GOC!$D:$D,$B161,DATA_GOC!$E:$E,"Téc 3",DATA_GOC!$F:$F,"Xuất nội bộ từ téc",DATA_GOC!$B:$B,DATE($D$2,$B$2,G$4)),0))</f>
        <v>0</v>
      </c>
      <c r="H161" s="251">
        <f>IF(H$4&gt;DAY(EOMONTH(DATE($D$2,$B$2,1),0)),"",IFERROR(SUMIFS(DATA_GOC!$H:$H,DATA_GOC!$A:$A,"BOM",DATA_GOC!$D:$D,$B161,DATA_GOC!$E:$E,"Téc 3",DATA_GOC!$F:$F,"Xuất nội bộ từ téc",DATA_GOC!$B:$B,DATE($D$2,$B$2,H$4)),0))</f>
        <v>0</v>
      </c>
      <c r="I161" s="251">
        <f>IF(I$4&gt;DAY(EOMONTH(DATE($D$2,$B$2,1),0)),"",IFERROR(SUMIFS(DATA_GOC!$H:$H,DATA_GOC!$A:$A,"BOM",DATA_GOC!$D:$D,$B161,DATA_GOC!$E:$E,"Téc 3",DATA_GOC!$F:$F,"Xuất nội bộ từ téc",DATA_GOC!$B:$B,DATE($D$2,$B$2,I$4)),0))</f>
        <v>0</v>
      </c>
      <c r="J161" s="251">
        <f>IF(J$4&gt;DAY(EOMONTH(DATE($D$2,$B$2,1),0)),"",IFERROR(SUMIFS(DATA_GOC!$H:$H,DATA_GOC!$A:$A,"BOM",DATA_GOC!$D:$D,$B161,DATA_GOC!$E:$E,"Téc 3",DATA_GOC!$F:$F,"Xuất nội bộ từ téc",DATA_GOC!$B:$B,DATE($D$2,$B$2,J$4)),0))</f>
        <v>0</v>
      </c>
      <c r="K161" s="251">
        <f>IF(K$4&gt;DAY(EOMONTH(DATE($D$2,$B$2,1),0)),"",IFERROR(SUMIFS(DATA_GOC!$H:$H,DATA_GOC!$A:$A,"BOM",DATA_GOC!$D:$D,$B161,DATA_GOC!$E:$E,"Téc 3",DATA_GOC!$F:$F,"Xuất nội bộ từ téc",DATA_GOC!$B:$B,DATE($D$2,$B$2,K$4)),0))</f>
        <v>0</v>
      </c>
      <c r="L161" s="251">
        <f>IF(L$4&gt;DAY(EOMONTH(DATE($D$2,$B$2,1),0)),"",IFERROR(SUMIFS(DATA_GOC!$H:$H,DATA_GOC!$A:$A,"BOM",DATA_GOC!$D:$D,$B161,DATA_GOC!$E:$E,"Téc 3",DATA_GOC!$F:$F,"Xuất nội bộ từ téc",DATA_GOC!$B:$B,DATE($D$2,$B$2,L$4)),0))</f>
        <v>0</v>
      </c>
      <c r="M161" s="251">
        <f>IF(M$4&gt;DAY(EOMONTH(DATE($D$2,$B$2,1),0)),"",IFERROR(SUMIFS(DATA_GOC!$H:$H,DATA_GOC!$A:$A,"BOM",DATA_GOC!$D:$D,$B161,DATA_GOC!$E:$E,"Téc 3",DATA_GOC!$F:$F,"Xuất nội bộ từ téc",DATA_GOC!$B:$B,DATE($D$2,$B$2,M$4)),0))</f>
        <v>0</v>
      </c>
      <c r="N161" s="251">
        <f>IF(N$4&gt;DAY(EOMONTH(DATE($D$2,$B$2,1),0)),"",IFERROR(SUMIFS(DATA_GOC!$H:$H,DATA_GOC!$A:$A,"BOM",DATA_GOC!$D:$D,$B161,DATA_GOC!$E:$E,"Téc 3",DATA_GOC!$F:$F,"Xuất nội bộ từ téc",DATA_GOC!$B:$B,DATE($D$2,$B$2,N$4)),0))</f>
        <v>0</v>
      </c>
      <c r="O161" s="251">
        <f>IF(O$4&gt;DAY(EOMONTH(DATE($D$2,$B$2,1),0)),"",IFERROR(SUMIFS(DATA_GOC!$H:$H,DATA_GOC!$A:$A,"BOM",DATA_GOC!$D:$D,$B161,DATA_GOC!$E:$E,"Téc 3",DATA_GOC!$F:$F,"Xuất nội bộ từ téc",DATA_GOC!$B:$B,DATE($D$2,$B$2,O$4)),0))</f>
        <v>0</v>
      </c>
      <c r="P161" s="251">
        <f>IF(P$4&gt;DAY(EOMONTH(DATE($D$2,$B$2,1),0)),"",IFERROR(SUMIFS(DATA_GOC!$H:$H,DATA_GOC!$A:$A,"BOM",DATA_GOC!$D:$D,$B161,DATA_GOC!$E:$E,"Téc 3",DATA_GOC!$F:$F,"Xuất nội bộ từ téc",DATA_GOC!$B:$B,DATE($D$2,$B$2,P$4)),0))</f>
        <v>0</v>
      </c>
      <c r="Q161" s="251">
        <f>IF(Q$4&gt;DAY(EOMONTH(DATE($D$2,$B$2,1),0)),"",IFERROR(SUMIFS(DATA_GOC!$H:$H,DATA_GOC!$A:$A,"BOM",DATA_GOC!$D:$D,$B161,DATA_GOC!$E:$E,"Téc 3",DATA_GOC!$F:$F,"Xuất nội bộ từ téc",DATA_GOC!$B:$B,DATE($D$2,$B$2,Q$4)),0))</f>
        <v>0</v>
      </c>
      <c r="R161" s="251">
        <f>IF(R$4&gt;DAY(EOMONTH(DATE($D$2,$B$2,1),0)),"",IFERROR(SUMIFS(DATA_GOC!$H:$H,DATA_GOC!$A:$A,"BOM",DATA_GOC!$D:$D,$B161,DATA_GOC!$E:$E,"Téc 3",DATA_GOC!$F:$F,"Xuất nội bộ từ téc",DATA_GOC!$B:$B,DATE($D$2,$B$2,R$4)),0))</f>
        <v>0</v>
      </c>
      <c r="S161" s="251">
        <f>IF(S$4&gt;DAY(EOMONTH(DATE($D$2,$B$2,1),0)),"",IFERROR(SUMIFS(DATA_GOC!$H:$H,DATA_GOC!$A:$A,"BOM",DATA_GOC!$D:$D,$B161,DATA_GOC!$E:$E,"Téc 3",DATA_GOC!$F:$F,"Xuất nội bộ từ téc",DATA_GOC!$B:$B,DATE($D$2,$B$2,S$4)),0))</f>
        <v>0</v>
      </c>
      <c r="T161" s="251">
        <f>IF(T$4&gt;DAY(EOMONTH(DATE($D$2,$B$2,1),0)),"",IFERROR(SUMIFS(DATA_GOC!$H:$H,DATA_GOC!$A:$A,"BOM",DATA_GOC!$D:$D,$B161,DATA_GOC!$E:$E,"Téc 3",DATA_GOC!$F:$F,"Xuất nội bộ từ téc",DATA_GOC!$B:$B,DATE($D$2,$B$2,T$4)),0))</f>
        <v>0</v>
      </c>
      <c r="U161" s="251">
        <f>IF(U$4&gt;DAY(EOMONTH(DATE($D$2,$B$2,1),0)),"",IFERROR(SUMIFS(DATA_GOC!$H:$H,DATA_GOC!$A:$A,"BOM",DATA_GOC!$D:$D,$B161,DATA_GOC!$E:$E,"Téc 3",DATA_GOC!$F:$F,"Xuất nội bộ từ téc",DATA_GOC!$B:$B,DATE($D$2,$B$2,U$4)),0))</f>
        <v>0</v>
      </c>
      <c r="V161" s="251">
        <f>IF(V$4&gt;DAY(EOMONTH(DATE($D$2,$B$2,1),0)),"",IFERROR(SUMIFS(DATA_GOC!$H:$H,DATA_GOC!$A:$A,"BOM",DATA_GOC!$D:$D,$B161,DATA_GOC!$E:$E,"Téc 3",DATA_GOC!$F:$F,"Xuất nội bộ từ téc",DATA_GOC!$B:$B,DATE($D$2,$B$2,V$4)),0))</f>
        <v>0</v>
      </c>
      <c r="W161" s="251">
        <f>IF(W$4&gt;DAY(EOMONTH(DATE($D$2,$B$2,1),0)),"",IFERROR(SUMIFS(DATA_GOC!$H:$H,DATA_GOC!$A:$A,"BOM",DATA_GOC!$D:$D,$B161,DATA_GOC!$E:$E,"Téc 3",DATA_GOC!$F:$F,"Xuất nội bộ từ téc",DATA_GOC!$B:$B,DATE($D$2,$B$2,W$4)),0))</f>
        <v>0</v>
      </c>
      <c r="X161" s="251">
        <f>IF(X$4&gt;DAY(EOMONTH(DATE($D$2,$B$2,1),0)),"",IFERROR(SUMIFS(DATA_GOC!$H:$H,DATA_GOC!$A:$A,"BOM",DATA_GOC!$D:$D,$B161,DATA_GOC!$E:$E,"Téc 3",DATA_GOC!$F:$F,"Xuất nội bộ từ téc",DATA_GOC!$B:$B,DATE($D$2,$B$2,X$4)),0))</f>
        <v>0</v>
      </c>
      <c r="Y161" s="251">
        <f>IF(Y$4&gt;DAY(EOMONTH(DATE($D$2,$B$2,1),0)),"",IFERROR(SUMIFS(DATA_GOC!$H:$H,DATA_GOC!$A:$A,"BOM",DATA_GOC!$D:$D,$B161,DATA_GOC!$E:$E,"Téc 3",DATA_GOC!$F:$F,"Xuất nội bộ từ téc",DATA_GOC!$B:$B,DATE($D$2,$B$2,Y$4)),0))</f>
        <v>0</v>
      </c>
      <c r="Z161" s="251">
        <f>IF(Z$4&gt;DAY(EOMONTH(DATE($D$2,$B$2,1),0)),"",IFERROR(SUMIFS(DATA_GOC!$H:$H,DATA_GOC!$A:$A,"BOM",DATA_GOC!$D:$D,$B161,DATA_GOC!$E:$E,"Téc 3",DATA_GOC!$F:$F,"Xuất nội bộ từ téc",DATA_GOC!$B:$B,DATE($D$2,$B$2,Z$4)),0))</f>
        <v>0</v>
      </c>
      <c r="AA161" s="251">
        <f>IF(AA$4&gt;DAY(EOMONTH(DATE($D$2,$B$2,1),0)),"",IFERROR(SUMIFS(DATA_GOC!$H:$H,DATA_GOC!$A:$A,"BOM",DATA_GOC!$D:$D,$B161,DATA_GOC!$E:$E,"Téc 3",DATA_GOC!$F:$F,"Xuất nội bộ từ téc",DATA_GOC!$B:$B,DATE($D$2,$B$2,AA$4)),0))</f>
        <v>0</v>
      </c>
      <c r="AB161" s="251">
        <f>IF(AB$4&gt;DAY(EOMONTH(DATE($D$2,$B$2,1),0)),"",IFERROR(SUMIFS(DATA_GOC!$H:$H,DATA_GOC!$A:$A,"BOM",DATA_GOC!$D:$D,$B161,DATA_GOC!$E:$E,"Téc 3",DATA_GOC!$F:$F,"Xuất nội bộ từ téc",DATA_GOC!$B:$B,DATE($D$2,$B$2,AB$4)),0))</f>
        <v>0</v>
      </c>
      <c r="AC161" s="251">
        <f>IF(AC$4&gt;DAY(EOMONTH(DATE($D$2,$B$2,1),0)),"",IFERROR(SUMIFS(DATA_GOC!$H:$H,DATA_GOC!$A:$A,"BOM",DATA_GOC!$D:$D,$B161,DATA_GOC!$E:$E,"Téc 3",DATA_GOC!$F:$F,"Xuất nội bộ từ téc",DATA_GOC!$B:$B,DATE($D$2,$B$2,AC$4)),0))</f>
        <v>0</v>
      </c>
      <c r="AD161" s="251">
        <f>IF(AD$4&gt;DAY(EOMONTH(DATE($D$2,$B$2,1),0)),"",IFERROR(SUMIFS(DATA_GOC!$H:$H,DATA_GOC!$A:$A,"BOM",DATA_GOC!$D:$D,$B161,DATA_GOC!$E:$E,"Téc 3",DATA_GOC!$F:$F,"Xuất nội bộ từ téc",DATA_GOC!$B:$B,DATE($D$2,$B$2,AD$4)),0))</f>
        <v>0</v>
      </c>
      <c r="AE161" s="251">
        <f>IF(AE$4&gt;DAY(EOMONTH(DATE($D$2,$B$2,1),0)),"",IFERROR(SUMIFS(DATA_GOC!$H:$H,DATA_GOC!$A:$A,"BOM",DATA_GOC!$D:$D,$B161,DATA_GOC!$E:$E,"Téc 3",DATA_GOC!$F:$F,"Xuất nội bộ từ téc",DATA_GOC!$B:$B,DATE($D$2,$B$2,AE$4)),0))</f>
        <v>0</v>
      </c>
      <c r="AF161" s="251">
        <f>IF(AF$4&gt;DAY(EOMONTH(DATE($D$2,$B$2,1),0)),"",IFERROR(SUMIFS(DATA_GOC!$H:$H,DATA_GOC!$A:$A,"BOM",DATA_GOC!$D:$D,$B161,DATA_GOC!$E:$E,"Téc 3",DATA_GOC!$F:$F,"Xuất nội bộ từ téc",DATA_GOC!$B:$B,DATE($D$2,$B$2,AF$4)),0))</f>
        <v>0</v>
      </c>
      <c r="AG161" s="251">
        <f>IF(AG$4&gt;DAY(EOMONTH(DATE($D$2,$B$2,1),0)),"",IFERROR(SUMIFS(DATA_GOC!$H:$H,DATA_GOC!$A:$A,"BOM",DATA_GOC!$D:$D,$B161,DATA_GOC!$E:$E,"Téc 3",DATA_GOC!$F:$F,"Xuất nội bộ từ téc",DATA_GOC!$B:$B,DATE($D$2,$B$2,AG$4)),0))</f>
        <v>0</v>
      </c>
      <c r="AH161" s="252">
        <f t="shared" si="7"/>
        <v>0</v>
      </c>
      <c r="AI161" s="241"/>
      <c r="AJ161" s="242">
        <f>IF($B161="","",SUMIFS(TINH_TEC!$K$233:$K$9232,TINH_TEC!$H$233:$H$9232,$B161,TINH_TEC!$C$233:$C$9232,"Téc 3",TINH_TEC!$F$233:$F$9232,$B$2,TINH_TEC!$G$233:$G$9232,$D$2,TINH_TEC!$B$233:$B$9232,"Đã chốt"))</f>
        <v>0</v>
      </c>
      <c r="AK161" s="242">
        <f>IF($B161="","",SUMIFS(TINH_TEC!$J$233:$J$9232,TINH_TEC!$H$233:$H$9232,$B161,TINH_TEC!$C$233:$C$9232,"Téc 3",TINH_TEC!$F$233:$F$9232,$B$2,TINH_TEC!$G$233:$G$9232,$D$2,TINH_TEC!$B$233:$B$9232,"Đã chốt"))</f>
        <v>0</v>
      </c>
      <c r="AL161" s="242">
        <f t="shared" si="8"/>
        <v>0</v>
      </c>
    </row>
    <row r="162" ht="15.75" customHeight="1">
      <c r="A162" s="237">
        <f>IF($B162&lt;&gt;"",35,"")</f>
        <v>35</v>
      </c>
      <c r="B162" s="250" t="str">
        <f t="array" ref="B162">IFERROR(INDEX(DANH_MUC!$E:$E,38),"")</f>
        <v>28H00603</v>
      </c>
      <c r="C162" s="251">
        <f>IF(C$4&gt;DAY(EOMONTH(DATE($D$2,$B$2,1),0)),"",IFERROR(SUMIFS(DATA_GOC!$H:$H,DATA_GOC!$A:$A,"BOM",DATA_GOC!$D:$D,$B162,DATA_GOC!$E:$E,"Téc 3",DATA_GOC!$F:$F,"Xuất nội bộ từ téc",DATA_GOC!$B:$B,DATE($D$2,$B$2,C$4)),0))</f>
        <v>0</v>
      </c>
      <c r="D162" s="251">
        <f>IF(D$4&gt;DAY(EOMONTH(DATE($D$2,$B$2,1),0)),"",IFERROR(SUMIFS(DATA_GOC!$H:$H,DATA_GOC!$A:$A,"BOM",DATA_GOC!$D:$D,$B162,DATA_GOC!$E:$E,"Téc 3",DATA_GOC!$F:$F,"Xuất nội bộ từ téc",DATA_GOC!$B:$B,DATE($D$2,$B$2,D$4)),0))</f>
        <v>0</v>
      </c>
      <c r="E162" s="251">
        <f>IF(E$4&gt;DAY(EOMONTH(DATE($D$2,$B$2,1),0)),"",IFERROR(SUMIFS(DATA_GOC!$H:$H,DATA_GOC!$A:$A,"BOM",DATA_GOC!$D:$D,$B162,DATA_GOC!$E:$E,"Téc 3",DATA_GOC!$F:$F,"Xuất nội bộ từ téc",DATA_GOC!$B:$B,DATE($D$2,$B$2,E$4)),0))</f>
        <v>0</v>
      </c>
      <c r="F162" s="251">
        <f>IF(F$4&gt;DAY(EOMONTH(DATE($D$2,$B$2,1),0)),"",IFERROR(SUMIFS(DATA_GOC!$H:$H,DATA_GOC!$A:$A,"BOM",DATA_GOC!$D:$D,$B162,DATA_GOC!$E:$E,"Téc 3",DATA_GOC!$F:$F,"Xuất nội bộ từ téc",DATA_GOC!$B:$B,DATE($D$2,$B$2,F$4)),0))</f>
        <v>0</v>
      </c>
      <c r="G162" s="251">
        <f>IF(G$4&gt;DAY(EOMONTH(DATE($D$2,$B$2,1),0)),"",IFERROR(SUMIFS(DATA_GOC!$H:$H,DATA_GOC!$A:$A,"BOM",DATA_GOC!$D:$D,$B162,DATA_GOC!$E:$E,"Téc 3",DATA_GOC!$F:$F,"Xuất nội bộ từ téc",DATA_GOC!$B:$B,DATE($D$2,$B$2,G$4)),0))</f>
        <v>0</v>
      </c>
      <c r="H162" s="251">
        <f>IF(H$4&gt;DAY(EOMONTH(DATE($D$2,$B$2,1),0)),"",IFERROR(SUMIFS(DATA_GOC!$H:$H,DATA_GOC!$A:$A,"BOM",DATA_GOC!$D:$D,$B162,DATA_GOC!$E:$E,"Téc 3",DATA_GOC!$F:$F,"Xuất nội bộ từ téc",DATA_GOC!$B:$B,DATE($D$2,$B$2,H$4)),0))</f>
        <v>0</v>
      </c>
      <c r="I162" s="251">
        <f>IF(I$4&gt;DAY(EOMONTH(DATE($D$2,$B$2,1),0)),"",IFERROR(SUMIFS(DATA_GOC!$H:$H,DATA_GOC!$A:$A,"BOM",DATA_GOC!$D:$D,$B162,DATA_GOC!$E:$E,"Téc 3",DATA_GOC!$F:$F,"Xuất nội bộ từ téc",DATA_GOC!$B:$B,DATE($D$2,$B$2,I$4)),0))</f>
        <v>0</v>
      </c>
      <c r="J162" s="251">
        <f>IF(J$4&gt;DAY(EOMONTH(DATE($D$2,$B$2,1),0)),"",IFERROR(SUMIFS(DATA_GOC!$H:$H,DATA_GOC!$A:$A,"BOM",DATA_GOC!$D:$D,$B162,DATA_GOC!$E:$E,"Téc 3",DATA_GOC!$F:$F,"Xuất nội bộ từ téc",DATA_GOC!$B:$B,DATE($D$2,$B$2,J$4)),0))</f>
        <v>0</v>
      </c>
      <c r="K162" s="251">
        <f>IF(K$4&gt;DAY(EOMONTH(DATE($D$2,$B$2,1),0)),"",IFERROR(SUMIFS(DATA_GOC!$H:$H,DATA_GOC!$A:$A,"BOM",DATA_GOC!$D:$D,$B162,DATA_GOC!$E:$E,"Téc 3",DATA_GOC!$F:$F,"Xuất nội bộ từ téc",DATA_GOC!$B:$B,DATE($D$2,$B$2,K$4)),0))</f>
        <v>0</v>
      </c>
      <c r="L162" s="251">
        <f>IF(L$4&gt;DAY(EOMONTH(DATE($D$2,$B$2,1),0)),"",IFERROR(SUMIFS(DATA_GOC!$H:$H,DATA_GOC!$A:$A,"BOM",DATA_GOC!$D:$D,$B162,DATA_GOC!$E:$E,"Téc 3",DATA_GOC!$F:$F,"Xuất nội bộ từ téc",DATA_GOC!$B:$B,DATE($D$2,$B$2,L$4)),0))</f>
        <v>0</v>
      </c>
      <c r="M162" s="251">
        <f>IF(M$4&gt;DAY(EOMONTH(DATE($D$2,$B$2,1),0)),"",IFERROR(SUMIFS(DATA_GOC!$H:$H,DATA_GOC!$A:$A,"BOM",DATA_GOC!$D:$D,$B162,DATA_GOC!$E:$E,"Téc 3",DATA_GOC!$F:$F,"Xuất nội bộ từ téc",DATA_GOC!$B:$B,DATE($D$2,$B$2,M$4)),0))</f>
        <v>0</v>
      </c>
      <c r="N162" s="251">
        <f>IF(N$4&gt;DAY(EOMONTH(DATE($D$2,$B$2,1),0)),"",IFERROR(SUMIFS(DATA_GOC!$H:$H,DATA_GOC!$A:$A,"BOM",DATA_GOC!$D:$D,$B162,DATA_GOC!$E:$E,"Téc 3",DATA_GOC!$F:$F,"Xuất nội bộ từ téc",DATA_GOC!$B:$B,DATE($D$2,$B$2,N$4)),0))</f>
        <v>0</v>
      </c>
      <c r="O162" s="251">
        <f>IF(O$4&gt;DAY(EOMONTH(DATE($D$2,$B$2,1),0)),"",IFERROR(SUMIFS(DATA_GOC!$H:$H,DATA_GOC!$A:$A,"BOM",DATA_GOC!$D:$D,$B162,DATA_GOC!$E:$E,"Téc 3",DATA_GOC!$F:$F,"Xuất nội bộ từ téc",DATA_GOC!$B:$B,DATE($D$2,$B$2,O$4)),0))</f>
        <v>0</v>
      </c>
      <c r="P162" s="251">
        <f>IF(P$4&gt;DAY(EOMONTH(DATE($D$2,$B$2,1),0)),"",IFERROR(SUMIFS(DATA_GOC!$H:$H,DATA_GOC!$A:$A,"BOM",DATA_GOC!$D:$D,$B162,DATA_GOC!$E:$E,"Téc 3",DATA_GOC!$F:$F,"Xuất nội bộ từ téc",DATA_GOC!$B:$B,DATE($D$2,$B$2,P$4)),0))</f>
        <v>0</v>
      </c>
      <c r="Q162" s="251">
        <f>IF(Q$4&gt;DAY(EOMONTH(DATE($D$2,$B$2,1),0)),"",IFERROR(SUMIFS(DATA_GOC!$H:$H,DATA_GOC!$A:$A,"BOM",DATA_GOC!$D:$D,$B162,DATA_GOC!$E:$E,"Téc 3",DATA_GOC!$F:$F,"Xuất nội bộ từ téc",DATA_GOC!$B:$B,DATE($D$2,$B$2,Q$4)),0))</f>
        <v>0</v>
      </c>
      <c r="R162" s="251">
        <f>IF(R$4&gt;DAY(EOMONTH(DATE($D$2,$B$2,1),0)),"",IFERROR(SUMIFS(DATA_GOC!$H:$H,DATA_GOC!$A:$A,"BOM",DATA_GOC!$D:$D,$B162,DATA_GOC!$E:$E,"Téc 3",DATA_GOC!$F:$F,"Xuất nội bộ từ téc",DATA_GOC!$B:$B,DATE($D$2,$B$2,R$4)),0))</f>
        <v>0</v>
      </c>
      <c r="S162" s="251">
        <f>IF(S$4&gt;DAY(EOMONTH(DATE($D$2,$B$2,1),0)),"",IFERROR(SUMIFS(DATA_GOC!$H:$H,DATA_GOC!$A:$A,"BOM",DATA_GOC!$D:$D,$B162,DATA_GOC!$E:$E,"Téc 3",DATA_GOC!$F:$F,"Xuất nội bộ từ téc",DATA_GOC!$B:$B,DATE($D$2,$B$2,S$4)),0))</f>
        <v>0</v>
      </c>
      <c r="T162" s="251">
        <f>IF(T$4&gt;DAY(EOMONTH(DATE($D$2,$B$2,1),0)),"",IFERROR(SUMIFS(DATA_GOC!$H:$H,DATA_GOC!$A:$A,"BOM",DATA_GOC!$D:$D,$B162,DATA_GOC!$E:$E,"Téc 3",DATA_GOC!$F:$F,"Xuất nội bộ từ téc",DATA_GOC!$B:$B,DATE($D$2,$B$2,T$4)),0))</f>
        <v>0</v>
      </c>
      <c r="U162" s="251">
        <f>IF(U$4&gt;DAY(EOMONTH(DATE($D$2,$B$2,1),0)),"",IFERROR(SUMIFS(DATA_GOC!$H:$H,DATA_GOC!$A:$A,"BOM",DATA_GOC!$D:$D,$B162,DATA_GOC!$E:$E,"Téc 3",DATA_GOC!$F:$F,"Xuất nội bộ từ téc",DATA_GOC!$B:$B,DATE($D$2,$B$2,U$4)),0))</f>
        <v>0</v>
      </c>
      <c r="V162" s="251">
        <f>IF(V$4&gt;DAY(EOMONTH(DATE($D$2,$B$2,1),0)),"",IFERROR(SUMIFS(DATA_GOC!$H:$H,DATA_GOC!$A:$A,"BOM",DATA_GOC!$D:$D,$B162,DATA_GOC!$E:$E,"Téc 3",DATA_GOC!$F:$F,"Xuất nội bộ từ téc",DATA_GOC!$B:$B,DATE($D$2,$B$2,V$4)),0))</f>
        <v>0</v>
      </c>
      <c r="W162" s="251">
        <f>IF(W$4&gt;DAY(EOMONTH(DATE($D$2,$B$2,1),0)),"",IFERROR(SUMIFS(DATA_GOC!$H:$H,DATA_GOC!$A:$A,"BOM",DATA_GOC!$D:$D,$B162,DATA_GOC!$E:$E,"Téc 3",DATA_GOC!$F:$F,"Xuất nội bộ từ téc",DATA_GOC!$B:$B,DATE($D$2,$B$2,W$4)),0))</f>
        <v>0</v>
      </c>
      <c r="X162" s="251">
        <f>IF(X$4&gt;DAY(EOMONTH(DATE($D$2,$B$2,1),0)),"",IFERROR(SUMIFS(DATA_GOC!$H:$H,DATA_GOC!$A:$A,"BOM",DATA_GOC!$D:$D,$B162,DATA_GOC!$E:$E,"Téc 3",DATA_GOC!$F:$F,"Xuất nội bộ từ téc",DATA_GOC!$B:$B,DATE($D$2,$B$2,X$4)),0))</f>
        <v>0</v>
      </c>
      <c r="Y162" s="251">
        <f>IF(Y$4&gt;DAY(EOMONTH(DATE($D$2,$B$2,1),0)),"",IFERROR(SUMIFS(DATA_GOC!$H:$H,DATA_GOC!$A:$A,"BOM",DATA_GOC!$D:$D,$B162,DATA_GOC!$E:$E,"Téc 3",DATA_GOC!$F:$F,"Xuất nội bộ từ téc",DATA_GOC!$B:$B,DATE($D$2,$B$2,Y$4)),0))</f>
        <v>0</v>
      </c>
      <c r="Z162" s="251">
        <f>IF(Z$4&gt;DAY(EOMONTH(DATE($D$2,$B$2,1),0)),"",IFERROR(SUMIFS(DATA_GOC!$H:$H,DATA_GOC!$A:$A,"BOM",DATA_GOC!$D:$D,$B162,DATA_GOC!$E:$E,"Téc 3",DATA_GOC!$F:$F,"Xuất nội bộ từ téc",DATA_GOC!$B:$B,DATE($D$2,$B$2,Z$4)),0))</f>
        <v>0</v>
      </c>
      <c r="AA162" s="251">
        <f>IF(AA$4&gt;DAY(EOMONTH(DATE($D$2,$B$2,1),0)),"",IFERROR(SUMIFS(DATA_GOC!$H:$H,DATA_GOC!$A:$A,"BOM",DATA_GOC!$D:$D,$B162,DATA_GOC!$E:$E,"Téc 3",DATA_GOC!$F:$F,"Xuất nội bộ từ téc",DATA_GOC!$B:$B,DATE($D$2,$B$2,AA$4)),0))</f>
        <v>0</v>
      </c>
      <c r="AB162" s="251">
        <f>IF(AB$4&gt;DAY(EOMONTH(DATE($D$2,$B$2,1),0)),"",IFERROR(SUMIFS(DATA_GOC!$H:$H,DATA_GOC!$A:$A,"BOM",DATA_GOC!$D:$D,$B162,DATA_GOC!$E:$E,"Téc 3",DATA_GOC!$F:$F,"Xuất nội bộ từ téc",DATA_GOC!$B:$B,DATE($D$2,$B$2,AB$4)),0))</f>
        <v>0</v>
      </c>
      <c r="AC162" s="251">
        <f>IF(AC$4&gt;DAY(EOMONTH(DATE($D$2,$B$2,1),0)),"",IFERROR(SUMIFS(DATA_GOC!$H:$H,DATA_GOC!$A:$A,"BOM",DATA_GOC!$D:$D,$B162,DATA_GOC!$E:$E,"Téc 3",DATA_GOC!$F:$F,"Xuất nội bộ từ téc",DATA_GOC!$B:$B,DATE($D$2,$B$2,AC$4)),0))</f>
        <v>0</v>
      </c>
      <c r="AD162" s="251">
        <f>IF(AD$4&gt;DAY(EOMONTH(DATE($D$2,$B$2,1),0)),"",IFERROR(SUMIFS(DATA_GOC!$H:$H,DATA_GOC!$A:$A,"BOM",DATA_GOC!$D:$D,$B162,DATA_GOC!$E:$E,"Téc 3",DATA_GOC!$F:$F,"Xuất nội bộ từ téc",DATA_GOC!$B:$B,DATE($D$2,$B$2,AD$4)),0))</f>
        <v>0</v>
      </c>
      <c r="AE162" s="251">
        <f>IF(AE$4&gt;DAY(EOMONTH(DATE($D$2,$B$2,1),0)),"",IFERROR(SUMIFS(DATA_GOC!$H:$H,DATA_GOC!$A:$A,"BOM",DATA_GOC!$D:$D,$B162,DATA_GOC!$E:$E,"Téc 3",DATA_GOC!$F:$F,"Xuất nội bộ từ téc",DATA_GOC!$B:$B,DATE($D$2,$B$2,AE$4)),0))</f>
        <v>0</v>
      </c>
      <c r="AF162" s="251">
        <f>IF(AF$4&gt;DAY(EOMONTH(DATE($D$2,$B$2,1),0)),"",IFERROR(SUMIFS(DATA_GOC!$H:$H,DATA_GOC!$A:$A,"BOM",DATA_GOC!$D:$D,$B162,DATA_GOC!$E:$E,"Téc 3",DATA_GOC!$F:$F,"Xuất nội bộ từ téc",DATA_GOC!$B:$B,DATE($D$2,$B$2,AF$4)),0))</f>
        <v>0</v>
      </c>
      <c r="AG162" s="251">
        <f>IF(AG$4&gt;DAY(EOMONTH(DATE($D$2,$B$2,1),0)),"",IFERROR(SUMIFS(DATA_GOC!$H:$H,DATA_GOC!$A:$A,"BOM",DATA_GOC!$D:$D,$B162,DATA_GOC!$E:$E,"Téc 3",DATA_GOC!$F:$F,"Xuất nội bộ từ téc",DATA_GOC!$B:$B,DATE($D$2,$B$2,AG$4)),0))</f>
        <v>0</v>
      </c>
      <c r="AH162" s="252">
        <f t="shared" si="7"/>
        <v>0</v>
      </c>
      <c r="AI162" s="241"/>
      <c r="AJ162" s="242">
        <f>IF($B162="","",SUMIFS(TINH_TEC!$K$233:$K$9232,TINH_TEC!$H$233:$H$9232,$B162,TINH_TEC!$C$233:$C$9232,"Téc 3",TINH_TEC!$F$233:$F$9232,$B$2,TINH_TEC!$G$233:$G$9232,$D$2,TINH_TEC!$B$233:$B$9232,"Đã chốt"))</f>
        <v>0</v>
      </c>
      <c r="AK162" s="242">
        <f>IF($B162="","",SUMIFS(TINH_TEC!$J$233:$J$9232,TINH_TEC!$H$233:$H$9232,$B162,TINH_TEC!$C$233:$C$9232,"Téc 3",TINH_TEC!$F$233:$F$9232,$B$2,TINH_TEC!$G$233:$G$9232,$D$2,TINH_TEC!$B$233:$B$9232,"Đã chốt"))</f>
        <v>0</v>
      </c>
      <c r="AL162" s="242">
        <f t="shared" si="8"/>
        <v>0</v>
      </c>
    </row>
    <row r="163" ht="15.75" customHeight="1">
      <c r="A163" s="237">
        <f>IF($B163&lt;&gt;"",36,"")</f>
        <v>36</v>
      </c>
      <c r="B163" s="250" t="str">
        <f t="array" ref="B163">IFERROR(INDEX(DANH_MUC!$E:$E,39),"")</f>
        <v>28H00609</v>
      </c>
      <c r="C163" s="251">
        <f>IF(C$4&gt;DAY(EOMONTH(DATE($D$2,$B$2,1),0)),"",IFERROR(SUMIFS(DATA_GOC!$H:$H,DATA_GOC!$A:$A,"BOM",DATA_GOC!$D:$D,$B163,DATA_GOC!$E:$E,"Téc 3",DATA_GOC!$F:$F,"Xuất nội bộ từ téc",DATA_GOC!$B:$B,DATE($D$2,$B$2,C$4)),0))</f>
        <v>0</v>
      </c>
      <c r="D163" s="251">
        <f>IF(D$4&gt;DAY(EOMONTH(DATE($D$2,$B$2,1),0)),"",IFERROR(SUMIFS(DATA_GOC!$H:$H,DATA_GOC!$A:$A,"BOM",DATA_GOC!$D:$D,$B163,DATA_GOC!$E:$E,"Téc 3",DATA_GOC!$F:$F,"Xuất nội bộ từ téc",DATA_GOC!$B:$B,DATE($D$2,$B$2,D$4)),0))</f>
        <v>0</v>
      </c>
      <c r="E163" s="251">
        <f>IF(E$4&gt;DAY(EOMONTH(DATE($D$2,$B$2,1),0)),"",IFERROR(SUMIFS(DATA_GOC!$H:$H,DATA_GOC!$A:$A,"BOM",DATA_GOC!$D:$D,$B163,DATA_GOC!$E:$E,"Téc 3",DATA_GOC!$F:$F,"Xuất nội bộ từ téc",DATA_GOC!$B:$B,DATE($D$2,$B$2,E$4)),0))</f>
        <v>0</v>
      </c>
      <c r="F163" s="251">
        <f>IF(F$4&gt;DAY(EOMONTH(DATE($D$2,$B$2,1),0)),"",IFERROR(SUMIFS(DATA_GOC!$H:$H,DATA_GOC!$A:$A,"BOM",DATA_GOC!$D:$D,$B163,DATA_GOC!$E:$E,"Téc 3",DATA_GOC!$F:$F,"Xuất nội bộ từ téc",DATA_GOC!$B:$B,DATE($D$2,$B$2,F$4)),0))</f>
        <v>0</v>
      </c>
      <c r="G163" s="251">
        <f>IF(G$4&gt;DAY(EOMONTH(DATE($D$2,$B$2,1),0)),"",IFERROR(SUMIFS(DATA_GOC!$H:$H,DATA_GOC!$A:$A,"BOM",DATA_GOC!$D:$D,$B163,DATA_GOC!$E:$E,"Téc 3",DATA_GOC!$F:$F,"Xuất nội bộ từ téc",DATA_GOC!$B:$B,DATE($D$2,$B$2,G$4)),0))</f>
        <v>0</v>
      </c>
      <c r="H163" s="251">
        <f>IF(H$4&gt;DAY(EOMONTH(DATE($D$2,$B$2,1),0)),"",IFERROR(SUMIFS(DATA_GOC!$H:$H,DATA_GOC!$A:$A,"BOM",DATA_GOC!$D:$D,$B163,DATA_GOC!$E:$E,"Téc 3",DATA_GOC!$F:$F,"Xuất nội bộ từ téc",DATA_GOC!$B:$B,DATE($D$2,$B$2,H$4)),0))</f>
        <v>0</v>
      </c>
      <c r="I163" s="251">
        <f>IF(I$4&gt;DAY(EOMONTH(DATE($D$2,$B$2,1),0)),"",IFERROR(SUMIFS(DATA_GOC!$H:$H,DATA_GOC!$A:$A,"BOM",DATA_GOC!$D:$D,$B163,DATA_GOC!$E:$E,"Téc 3",DATA_GOC!$F:$F,"Xuất nội bộ từ téc",DATA_GOC!$B:$B,DATE($D$2,$B$2,I$4)),0))</f>
        <v>0</v>
      </c>
      <c r="J163" s="251">
        <f>IF(J$4&gt;DAY(EOMONTH(DATE($D$2,$B$2,1),0)),"",IFERROR(SUMIFS(DATA_GOC!$H:$H,DATA_GOC!$A:$A,"BOM",DATA_GOC!$D:$D,$B163,DATA_GOC!$E:$E,"Téc 3",DATA_GOC!$F:$F,"Xuất nội bộ từ téc",DATA_GOC!$B:$B,DATE($D$2,$B$2,J$4)),0))</f>
        <v>0</v>
      </c>
      <c r="K163" s="251">
        <f>IF(K$4&gt;DAY(EOMONTH(DATE($D$2,$B$2,1),0)),"",IFERROR(SUMIFS(DATA_GOC!$H:$H,DATA_GOC!$A:$A,"BOM",DATA_GOC!$D:$D,$B163,DATA_GOC!$E:$E,"Téc 3",DATA_GOC!$F:$F,"Xuất nội bộ từ téc",DATA_GOC!$B:$B,DATE($D$2,$B$2,K$4)),0))</f>
        <v>0</v>
      </c>
      <c r="L163" s="251">
        <f>IF(L$4&gt;DAY(EOMONTH(DATE($D$2,$B$2,1),0)),"",IFERROR(SUMIFS(DATA_GOC!$H:$H,DATA_GOC!$A:$A,"BOM",DATA_GOC!$D:$D,$B163,DATA_GOC!$E:$E,"Téc 3",DATA_GOC!$F:$F,"Xuất nội bộ từ téc",DATA_GOC!$B:$B,DATE($D$2,$B$2,L$4)),0))</f>
        <v>0</v>
      </c>
      <c r="M163" s="251">
        <f>IF(M$4&gt;DAY(EOMONTH(DATE($D$2,$B$2,1),0)),"",IFERROR(SUMIFS(DATA_GOC!$H:$H,DATA_GOC!$A:$A,"BOM",DATA_GOC!$D:$D,$B163,DATA_GOC!$E:$E,"Téc 3",DATA_GOC!$F:$F,"Xuất nội bộ từ téc",DATA_GOC!$B:$B,DATE($D$2,$B$2,M$4)),0))</f>
        <v>0</v>
      </c>
      <c r="N163" s="251">
        <f>IF(N$4&gt;DAY(EOMONTH(DATE($D$2,$B$2,1),0)),"",IFERROR(SUMIFS(DATA_GOC!$H:$H,DATA_GOC!$A:$A,"BOM",DATA_GOC!$D:$D,$B163,DATA_GOC!$E:$E,"Téc 3",DATA_GOC!$F:$F,"Xuất nội bộ từ téc",DATA_GOC!$B:$B,DATE($D$2,$B$2,N$4)),0))</f>
        <v>0</v>
      </c>
      <c r="O163" s="251">
        <f>IF(O$4&gt;DAY(EOMONTH(DATE($D$2,$B$2,1),0)),"",IFERROR(SUMIFS(DATA_GOC!$H:$H,DATA_GOC!$A:$A,"BOM",DATA_GOC!$D:$D,$B163,DATA_GOC!$E:$E,"Téc 3",DATA_GOC!$F:$F,"Xuất nội bộ từ téc",DATA_GOC!$B:$B,DATE($D$2,$B$2,O$4)),0))</f>
        <v>0</v>
      </c>
      <c r="P163" s="251">
        <f>IF(P$4&gt;DAY(EOMONTH(DATE($D$2,$B$2,1),0)),"",IFERROR(SUMIFS(DATA_GOC!$H:$H,DATA_GOC!$A:$A,"BOM",DATA_GOC!$D:$D,$B163,DATA_GOC!$E:$E,"Téc 3",DATA_GOC!$F:$F,"Xuất nội bộ từ téc",DATA_GOC!$B:$B,DATE($D$2,$B$2,P$4)),0))</f>
        <v>0</v>
      </c>
      <c r="Q163" s="251">
        <f>IF(Q$4&gt;DAY(EOMONTH(DATE($D$2,$B$2,1),0)),"",IFERROR(SUMIFS(DATA_GOC!$H:$H,DATA_GOC!$A:$A,"BOM",DATA_GOC!$D:$D,$B163,DATA_GOC!$E:$E,"Téc 3",DATA_GOC!$F:$F,"Xuất nội bộ từ téc",DATA_GOC!$B:$B,DATE($D$2,$B$2,Q$4)),0))</f>
        <v>0</v>
      </c>
      <c r="R163" s="251">
        <f>IF(R$4&gt;DAY(EOMONTH(DATE($D$2,$B$2,1),0)),"",IFERROR(SUMIFS(DATA_GOC!$H:$H,DATA_GOC!$A:$A,"BOM",DATA_GOC!$D:$D,$B163,DATA_GOC!$E:$E,"Téc 3",DATA_GOC!$F:$F,"Xuất nội bộ từ téc",DATA_GOC!$B:$B,DATE($D$2,$B$2,R$4)),0))</f>
        <v>0</v>
      </c>
      <c r="S163" s="251">
        <f>IF(S$4&gt;DAY(EOMONTH(DATE($D$2,$B$2,1),0)),"",IFERROR(SUMIFS(DATA_GOC!$H:$H,DATA_GOC!$A:$A,"BOM",DATA_GOC!$D:$D,$B163,DATA_GOC!$E:$E,"Téc 3",DATA_GOC!$F:$F,"Xuất nội bộ từ téc",DATA_GOC!$B:$B,DATE($D$2,$B$2,S$4)),0))</f>
        <v>0</v>
      </c>
      <c r="T163" s="251">
        <f>IF(T$4&gt;DAY(EOMONTH(DATE($D$2,$B$2,1),0)),"",IFERROR(SUMIFS(DATA_GOC!$H:$H,DATA_GOC!$A:$A,"BOM",DATA_GOC!$D:$D,$B163,DATA_GOC!$E:$E,"Téc 3",DATA_GOC!$F:$F,"Xuất nội bộ từ téc",DATA_GOC!$B:$B,DATE($D$2,$B$2,T$4)),0))</f>
        <v>0</v>
      </c>
      <c r="U163" s="251">
        <f>IF(U$4&gt;DAY(EOMONTH(DATE($D$2,$B$2,1),0)),"",IFERROR(SUMIFS(DATA_GOC!$H:$H,DATA_GOC!$A:$A,"BOM",DATA_GOC!$D:$D,$B163,DATA_GOC!$E:$E,"Téc 3",DATA_GOC!$F:$F,"Xuất nội bộ từ téc",DATA_GOC!$B:$B,DATE($D$2,$B$2,U$4)),0))</f>
        <v>0</v>
      </c>
      <c r="V163" s="251">
        <f>IF(V$4&gt;DAY(EOMONTH(DATE($D$2,$B$2,1),0)),"",IFERROR(SUMIFS(DATA_GOC!$H:$H,DATA_GOC!$A:$A,"BOM",DATA_GOC!$D:$D,$B163,DATA_GOC!$E:$E,"Téc 3",DATA_GOC!$F:$F,"Xuất nội bộ từ téc",DATA_GOC!$B:$B,DATE($D$2,$B$2,V$4)),0))</f>
        <v>0</v>
      </c>
      <c r="W163" s="251">
        <f>IF(W$4&gt;DAY(EOMONTH(DATE($D$2,$B$2,1),0)),"",IFERROR(SUMIFS(DATA_GOC!$H:$H,DATA_GOC!$A:$A,"BOM",DATA_GOC!$D:$D,$B163,DATA_GOC!$E:$E,"Téc 3",DATA_GOC!$F:$F,"Xuất nội bộ từ téc",DATA_GOC!$B:$B,DATE($D$2,$B$2,W$4)),0))</f>
        <v>0</v>
      </c>
      <c r="X163" s="251">
        <f>IF(X$4&gt;DAY(EOMONTH(DATE($D$2,$B$2,1),0)),"",IFERROR(SUMIFS(DATA_GOC!$H:$H,DATA_GOC!$A:$A,"BOM",DATA_GOC!$D:$D,$B163,DATA_GOC!$E:$E,"Téc 3",DATA_GOC!$F:$F,"Xuất nội bộ từ téc",DATA_GOC!$B:$B,DATE($D$2,$B$2,X$4)),0))</f>
        <v>0</v>
      </c>
      <c r="Y163" s="251">
        <f>IF(Y$4&gt;DAY(EOMONTH(DATE($D$2,$B$2,1),0)),"",IFERROR(SUMIFS(DATA_GOC!$H:$H,DATA_GOC!$A:$A,"BOM",DATA_GOC!$D:$D,$B163,DATA_GOC!$E:$E,"Téc 3",DATA_GOC!$F:$F,"Xuất nội bộ từ téc",DATA_GOC!$B:$B,DATE($D$2,$B$2,Y$4)),0))</f>
        <v>0</v>
      </c>
      <c r="Z163" s="251">
        <f>IF(Z$4&gt;DAY(EOMONTH(DATE($D$2,$B$2,1),0)),"",IFERROR(SUMIFS(DATA_GOC!$H:$H,DATA_GOC!$A:$A,"BOM",DATA_GOC!$D:$D,$B163,DATA_GOC!$E:$E,"Téc 3",DATA_GOC!$F:$F,"Xuất nội bộ từ téc",DATA_GOC!$B:$B,DATE($D$2,$B$2,Z$4)),0))</f>
        <v>0</v>
      </c>
      <c r="AA163" s="251">
        <f>IF(AA$4&gt;DAY(EOMONTH(DATE($D$2,$B$2,1),0)),"",IFERROR(SUMIFS(DATA_GOC!$H:$H,DATA_GOC!$A:$A,"BOM",DATA_GOC!$D:$D,$B163,DATA_GOC!$E:$E,"Téc 3",DATA_GOC!$F:$F,"Xuất nội bộ từ téc",DATA_GOC!$B:$B,DATE($D$2,$B$2,AA$4)),0))</f>
        <v>0</v>
      </c>
      <c r="AB163" s="251">
        <f>IF(AB$4&gt;DAY(EOMONTH(DATE($D$2,$B$2,1),0)),"",IFERROR(SUMIFS(DATA_GOC!$H:$H,DATA_GOC!$A:$A,"BOM",DATA_GOC!$D:$D,$B163,DATA_GOC!$E:$E,"Téc 3",DATA_GOC!$F:$F,"Xuất nội bộ từ téc",DATA_GOC!$B:$B,DATE($D$2,$B$2,AB$4)),0))</f>
        <v>0</v>
      </c>
      <c r="AC163" s="251">
        <f>IF(AC$4&gt;DAY(EOMONTH(DATE($D$2,$B$2,1),0)),"",IFERROR(SUMIFS(DATA_GOC!$H:$H,DATA_GOC!$A:$A,"BOM",DATA_GOC!$D:$D,$B163,DATA_GOC!$E:$E,"Téc 3",DATA_GOC!$F:$F,"Xuất nội bộ từ téc",DATA_GOC!$B:$B,DATE($D$2,$B$2,AC$4)),0))</f>
        <v>0</v>
      </c>
      <c r="AD163" s="251">
        <f>IF(AD$4&gt;DAY(EOMONTH(DATE($D$2,$B$2,1),0)),"",IFERROR(SUMIFS(DATA_GOC!$H:$H,DATA_GOC!$A:$A,"BOM",DATA_GOC!$D:$D,$B163,DATA_GOC!$E:$E,"Téc 3",DATA_GOC!$F:$F,"Xuất nội bộ từ téc",DATA_GOC!$B:$B,DATE($D$2,$B$2,AD$4)),0))</f>
        <v>0</v>
      </c>
      <c r="AE163" s="251">
        <f>IF(AE$4&gt;DAY(EOMONTH(DATE($D$2,$B$2,1),0)),"",IFERROR(SUMIFS(DATA_GOC!$H:$H,DATA_GOC!$A:$A,"BOM",DATA_GOC!$D:$D,$B163,DATA_GOC!$E:$E,"Téc 3",DATA_GOC!$F:$F,"Xuất nội bộ từ téc",DATA_GOC!$B:$B,DATE($D$2,$B$2,AE$4)),0))</f>
        <v>0</v>
      </c>
      <c r="AF163" s="251">
        <f>IF(AF$4&gt;DAY(EOMONTH(DATE($D$2,$B$2,1),0)),"",IFERROR(SUMIFS(DATA_GOC!$H:$H,DATA_GOC!$A:$A,"BOM",DATA_GOC!$D:$D,$B163,DATA_GOC!$E:$E,"Téc 3",DATA_GOC!$F:$F,"Xuất nội bộ từ téc",DATA_GOC!$B:$B,DATE($D$2,$B$2,AF$4)),0))</f>
        <v>0</v>
      </c>
      <c r="AG163" s="251">
        <f>IF(AG$4&gt;DAY(EOMONTH(DATE($D$2,$B$2,1),0)),"",IFERROR(SUMIFS(DATA_GOC!$H:$H,DATA_GOC!$A:$A,"BOM",DATA_GOC!$D:$D,$B163,DATA_GOC!$E:$E,"Téc 3",DATA_GOC!$F:$F,"Xuất nội bộ từ téc",DATA_GOC!$B:$B,DATE($D$2,$B$2,AG$4)),0))</f>
        <v>0</v>
      </c>
      <c r="AH163" s="252">
        <f t="shared" si="7"/>
        <v>0</v>
      </c>
      <c r="AI163" s="241"/>
      <c r="AJ163" s="242">
        <f>IF($B163="","",SUMIFS(TINH_TEC!$K$233:$K$9232,TINH_TEC!$H$233:$H$9232,$B163,TINH_TEC!$C$233:$C$9232,"Téc 3",TINH_TEC!$F$233:$F$9232,$B$2,TINH_TEC!$G$233:$G$9232,$D$2,TINH_TEC!$B$233:$B$9232,"Đã chốt"))</f>
        <v>0</v>
      </c>
      <c r="AK163" s="242">
        <f>IF($B163="","",SUMIFS(TINH_TEC!$J$233:$J$9232,TINH_TEC!$H$233:$H$9232,$B163,TINH_TEC!$C$233:$C$9232,"Téc 3",TINH_TEC!$F$233:$F$9232,$B$2,TINH_TEC!$G$233:$G$9232,$D$2,TINH_TEC!$B$233:$B$9232,"Đã chốt"))</f>
        <v>0</v>
      </c>
      <c r="AL163" s="242">
        <f t="shared" si="8"/>
        <v>0</v>
      </c>
    </row>
    <row r="164" ht="15.75" customHeight="1">
      <c r="A164" s="237">
        <f>IF($B164&lt;&gt;"",37,"")</f>
        <v>37</v>
      </c>
      <c r="B164" s="250" t="str">
        <f t="array" ref="B164">IFERROR(INDEX(DANH_MUC!$E:$E,40),"")</f>
        <v>28H00669</v>
      </c>
      <c r="C164" s="251">
        <f>IF(C$4&gt;DAY(EOMONTH(DATE($D$2,$B$2,1),0)),"",IFERROR(SUMIFS(DATA_GOC!$H:$H,DATA_GOC!$A:$A,"BOM",DATA_GOC!$D:$D,$B164,DATA_GOC!$E:$E,"Téc 3",DATA_GOC!$F:$F,"Xuất nội bộ từ téc",DATA_GOC!$B:$B,DATE($D$2,$B$2,C$4)),0))</f>
        <v>0</v>
      </c>
      <c r="D164" s="251">
        <f>IF(D$4&gt;DAY(EOMONTH(DATE($D$2,$B$2,1),0)),"",IFERROR(SUMIFS(DATA_GOC!$H:$H,DATA_GOC!$A:$A,"BOM",DATA_GOC!$D:$D,$B164,DATA_GOC!$E:$E,"Téc 3",DATA_GOC!$F:$F,"Xuất nội bộ từ téc",DATA_GOC!$B:$B,DATE($D$2,$B$2,D$4)),0))</f>
        <v>0</v>
      </c>
      <c r="E164" s="251">
        <f>IF(E$4&gt;DAY(EOMONTH(DATE($D$2,$B$2,1),0)),"",IFERROR(SUMIFS(DATA_GOC!$H:$H,DATA_GOC!$A:$A,"BOM",DATA_GOC!$D:$D,$B164,DATA_GOC!$E:$E,"Téc 3",DATA_GOC!$F:$F,"Xuất nội bộ từ téc",DATA_GOC!$B:$B,DATE($D$2,$B$2,E$4)),0))</f>
        <v>0</v>
      </c>
      <c r="F164" s="251">
        <f>IF(F$4&gt;DAY(EOMONTH(DATE($D$2,$B$2,1),0)),"",IFERROR(SUMIFS(DATA_GOC!$H:$H,DATA_GOC!$A:$A,"BOM",DATA_GOC!$D:$D,$B164,DATA_GOC!$E:$E,"Téc 3",DATA_GOC!$F:$F,"Xuất nội bộ từ téc",DATA_GOC!$B:$B,DATE($D$2,$B$2,F$4)),0))</f>
        <v>0</v>
      </c>
      <c r="G164" s="251">
        <f>IF(G$4&gt;DAY(EOMONTH(DATE($D$2,$B$2,1),0)),"",IFERROR(SUMIFS(DATA_GOC!$H:$H,DATA_GOC!$A:$A,"BOM",DATA_GOC!$D:$D,$B164,DATA_GOC!$E:$E,"Téc 3",DATA_GOC!$F:$F,"Xuất nội bộ từ téc",DATA_GOC!$B:$B,DATE($D$2,$B$2,G$4)),0))</f>
        <v>0</v>
      </c>
      <c r="H164" s="251">
        <f>IF(H$4&gt;DAY(EOMONTH(DATE($D$2,$B$2,1),0)),"",IFERROR(SUMIFS(DATA_GOC!$H:$H,DATA_GOC!$A:$A,"BOM",DATA_GOC!$D:$D,$B164,DATA_GOC!$E:$E,"Téc 3",DATA_GOC!$F:$F,"Xuất nội bộ từ téc",DATA_GOC!$B:$B,DATE($D$2,$B$2,H$4)),0))</f>
        <v>0</v>
      </c>
      <c r="I164" s="251">
        <f>IF(I$4&gt;DAY(EOMONTH(DATE($D$2,$B$2,1),0)),"",IFERROR(SUMIFS(DATA_GOC!$H:$H,DATA_GOC!$A:$A,"BOM",DATA_GOC!$D:$D,$B164,DATA_GOC!$E:$E,"Téc 3",DATA_GOC!$F:$F,"Xuất nội bộ từ téc",DATA_GOC!$B:$B,DATE($D$2,$B$2,I$4)),0))</f>
        <v>0</v>
      </c>
      <c r="J164" s="251">
        <f>IF(J$4&gt;DAY(EOMONTH(DATE($D$2,$B$2,1),0)),"",IFERROR(SUMIFS(DATA_GOC!$H:$H,DATA_GOC!$A:$A,"BOM",DATA_GOC!$D:$D,$B164,DATA_GOC!$E:$E,"Téc 3",DATA_GOC!$F:$F,"Xuất nội bộ từ téc",DATA_GOC!$B:$B,DATE($D$2,$B$2,J$4)),0))</f>
        <v>0</v>
      </c>
      <c r="K164" s="251">
        <f>IF(K$4&gt;DAY(EOMONTH(DATE($D$2,$B$2,1),0)),"",IFERROR(SUMIFS(DATA_GOC!$H:$H,DATA_GOC!$A:$A,"BOM",DATA_GOC!$D:$D,$B164,DATA_GOC!$E:$E,"Téc 3",DATA_GOC!$F:$F,"Xuất nội bộ từ téc",DATA_GOC!$B:$B,DATE($D$2,$B$2,K$4)),0))</f>
        <v>0</v>
      </c>
      <c r="L164" s="251">
        <f>IF(L$4&gt;DAY(EOMONTH(DATE($D$2,$B$2,1),0)),"",IFERROR(SUMIFS(DATA_GOC!$H:$H,DATA_GOC!$A:$A,"BOM",DATA_GOC!$D:$D,$B164,DATA_GOC!$E:$E,"Téc 3",DATA_GOC!$F:$F,"Xuất nội bộ từ téc",DATA_GOC!$B:$B,DATE($D$2,$B$2,L$4)),0))</f>
        <v>0</v>
      </c>
      <c r="M164" s="251">
        <f>IF(M$4&gt;DAY(EOMONTH(DATE($D$2,$B$2,1),0)),"",IFERROR(SUMIFS(DATA_GOC!$H:$H,DATA_GOC!$A:$A,"BOM",DATA_GOC!$D:$D,$B164,DATA_GOC!$E:$E,"Téc 3",DATA_GOC!$F:$F,"Xuất nội bộ từ téc",DATA_GOC!$B:$B,DATE($D$2,$B$2,M$4)),0))</f>
        <v>0</v>
      </c>
      <c r="N164" s="251">
        <f>IF(N$4&gt;DAY(EOMONTH(DATE($D$2,$B$2,1),0)),"",IFERROR(SUMIFS(DATA_GOC!$H:$H,DATA_GOC!$A:$A,"BOM",DATA_GOC!$D:$D,$B164,DATA_GOC!$E:$E,"Téc 3",DATA_GOC!$F:$F,"Xuất nội bộ từ téc",DATA_GOC!$B:$B,DATE($D$2,$B$2,N$4)),0))</f>
        <v>0</v>
      </c>
      <c r="O164" s="251">
        <f>IF(O$4&gt;DAY(EOMONTH(DATE($D$2,$B$2,1),0)),"",IFERROR(SUMIFS(DATA_GOC!$H:$H,DATA_GOC!$A:$A,"BOM",DATA_GOC!$D:$D,$B164,DATA_GOC!$E:$E,"Téc 3",DATA_GOC!$F:$F,"Xuất nội bộ từ téc",DATA_GOC!$B:$B,DATE($D$2,$B$2,O$4)),0))</f>
        <v>0</v>
      </c>
      <c r="P164" s="251">
        <f>IF(P$4&gt;DAY(EOMONTH(DATE($D$2,$B$2,1),0)),"",IFERROR(SUMIFS(DATA_GOC!$H:$H,DATA_GOC!$A:$A,"BOM",DATA_GOC!$D:$D,$B164,DATA_GOC!$E:$E,"Téc 3",DATA_GOC!$F:$F,"Xuất nội bộ từ téc",DATA_GOC!$B:$B,DATE($D$2,$B$2,P$4)),0))</f>
        <v>0</v>
      </c>
      <c r="Q164" s="251">
        <f>IF(Q$4&gt;DAY(EOMONTH(DATE($D$2,$B$2,1),0)),"",IFERROR(SUMIFS(DATA_GOC!$H:$H,DATA_GOC!$A:$A,"BOM",DATA_GOC!$D:$D,$B164,DATA_GOC!$E:$E,"Téc 3",DATA_GOC!$F:$F,"Xuất nội bộ từ téc",DATA_GOC!$B:$B,DATE($D$2,$B$2,Q$4)),0))</f>
        <v>0</v>
      </c>
      <c r="R164" s="251">
        <f>IF(R$4&gt;DAY(EOMONTH(DATE($D$2,$B$2,1),0)),"",IFERROR(SUMIFS(DATA_GOC!$H:$H,DATA_GOC!$A:$A,"BOM",DATA_GOC!$D:$D,$B164,DATA_GOC!$E:$E,"Téc 3",DATA_GOC!$F:$F,"Xuất nội bộ từ téc",DATA_GOC!$B:$B,DATE($D$2,$B$2,R$4)),0))</f>
        <v>0</v>
      </c>
      <c r="S164" s="251">
        <f>IF(S$4&gt;DAY(EOMONTH(DATE($D$2,$B$2,1),0)),"",IFERROR(SUMIFS(DATA_GOC!$H:$H,DATA_GOC!$A:$A,"BOM",DATA_GOC!$D:$D,$B164,DATA_GOC!$E:$E,"Téc 3",DATA_GOC!$F:$F,"Xuất nội bộ từ téc",DATA_GOC!$B:$B,DATE($D$2,$B$2,S$4)),0))</f>
        <v>0</v>
      </c>
      <c r="T164" s="251">
        <f>IF(T$4&gt;DAY(EOMONTH(DATE($D$2,$B$2,1),0)),"",IFERROR(SUMIFS(DATA_GOC!$H:$H,DATA_GOC!$A:$A,"BOM",DATA_GOC!$D:$D,$B164,DATA_GOC!$E:$E,"Téc 3",DATA_GOC!$F:$F,"Xuất nội bộ từ téc",DATA_GOC!$B:$B,DATE($D$2,$B$2,T$4)),0))</f>
        <v>0</v>
      </c>
      <c r="U164" s="251">
        <f>IF(U$4&gt;DAY(EOMONTH(DATE($D$2,$B$2,1),0)),"",IFERROR(SUMIFS(DATA_GOC!$H:$H,DATA_GOC!$A:$A,"BOM",DATA_GOC!$D:$D,$B164,DATA_GOC!$E:$E,"Téc 3",DATA_GOC!$F:$F,"Xuất nội bộ từ téc",DATA_GOC!$B:$B,DATE($D$2,$B$2,U$4)),0))</f>
        <v>0</v>
      </c>
      <c r="V164" s="251">
        <f>IF(V$4&gt;DAY(EOMONTH(DATE($D$2,$B$2,1),0)),"",IFERROR(SUMIFS(DATA_GOC!$H:$H,DATA_GOC!$A:$A,"BOM",DATA_GOC!$D:$D,$B164,DATA_GOC!$E:$E,"Téc 3",DATA_GOC!$F:$F,"Xuất nội bộ từ téc",DATA_GOC!$B:$B,DATE($D$2,$B$2,V$4)),0))</f>
        <v>0</v>
      </c>
      <c r="W164" s="251">
        <f>IF(W$4&gt;DAY(EOMONTH(DATE($D$2,$B$2,1),0)),"",IFERROR(SUMIFS(DATA_GOC!$H:$H,DATA_GOC!$A:$A,"BOM",DATA_GOC!$D:$D,$B164,DATA_GOC!$E:$E,"Téc 3",DATA_GOC!$F:$F,"Xuất nội bộ từ téc",DATA_GOC!$B:$B,DATE($D$2,$B$2,W$4)),0))</f>
        <v>0</v>
      </c>
      <c r="X164" s="251">
        <f>IF(X$4&gt;DAY(EOMONTH(DATE($D$2,$B$2,1),0)),"",IFERROR(SUMIFS(DATA_GOC!$H:$H,DATA_GOC!$A:$A,"BOM",DATA_GOC!$D:$D,$B164,DATA_GOC!$E:$E,"Téc 3",DATA_GOC!$F:$F,"Xuất nội bộ từ téc",DATA_GOC!$B:$B,DATE($D$2,$B$2,X$4)),0))</f>
        <v>0</v>
      </c>
      <c r="Y164" s="251">
        <f>IF(Y$4&gt;DAY(EOMONTH(DATE($D$2,$B$2,1),0)),"",IFERROR(SUMIFS(DATA_GOC!$H:$H,DATA_GOC!$A:$A,"BOM",DATA_GOC!$D:$D,$B164,DATA_GOC!$E:$E,"Téc 3",DATA_GOC!$F:$F,"Xuất nội bộ từ téc",DATA_GOC!$B:$B,DATE($D$2,$B$2,Y$4)),0))</f>
        <v>0</v>
      </c>
      <c r="Z164" s="251">
        <f>IF(Z$4&gt;DAY(EOMONTH(DATE($D$2,$B$2,1),0)),"",IFERROR(SUMIFS(DATA_GOC!$H:$H,DATA_GOC!$A:$A,"BOM",DATA_GOC!$D:$D,$B164,DATA_GOC!$E:$E,"Téc 3",DATA_GOC!$F:$F,"Xuất nội bộ từ téc",DATA_GOC!$B:$B,DATE($D$2,$B$2,Z$4)),0))</f>
        <v>0</v>
      </c>
      <c r="AA164" s="251">
        <f>IF(AA$4&gt;DAY(EOMONTH(DATE($D$2,$B$2,1),0)),"",IFERROR(SUMIFS(DATA_GOC!$H:$H,DATA_GOC!$A:$A,"BOM",DATA_GOC!$D:$D,$B164,DATA_GOC!$E:$E,"Téc 3",DATA_GOC!$F:$F,"Xuất nội bộ từ téc",DATA_GOC!$B:$B,DATE($D$2,$B$2,AA$4)),0))</f>
        <v>0</v>
      </c>
      <c r="AB164" s="251">
        <f>IF(AB$4&gt;DAY(EOMONTH(DATE($D$2,$B$2,1),0)),"",IFERROR(SUMIFS(DATA_GOC!$H:$H,DATA_GOC!$A:$A,"BOM",DATA_GOC!$D:$D,$B164,DATA_GOC!$E:$E,"Téc 3",DATA_GOC!$F:$F,"Xuất nội bộ từ téc",DATA_GOC!$B:$B,DATE($D$2,$B$2,AB$4)),0))</f>
        <v>0</v>
      </c>
      <c r="AC164" s="251">
        <f>IF(AC$4&gt;DAY(EOMONTH(DATE($D$2,$B$2,1),0)),"",IFERROR(SUMIFS(DATA_GOC!$H:$H,DATA_GOC!$A:$A,"BOM",DATA_GOC!$D:$D,$B164,DATA_GOC!$E:$E,"Téc 3",DATA_GOC!$F:$F,"Xuất nội bộ từ téc",DATA_GOC!$B:$B,DATE($D$2,$B$2,AC$4)),0))</f>
        <v>0</v>
      </c>
      <c r="AD164" s="251">
        <f>IF(AD$4&gt;DAY(EOMONTH(DATE($D$2,$B$2,1),0)),"",IFERROR(SUMIFS(DATA_GOC!$H:$H,DATA_GOC!$A:$A,"BOM",DATA_GOC!$D:$D,$B164,DATA_GOC!$E:$E,"Téc 3",DATA_GOC!$F:$F,"Xuất nội bộ từ téc",DATA_GOC!$B:$B,DATE($D$2,$B$2,AD$4)),0))</f>
        <v>0</v>
      </c>
      <c r="AE164" s="251">
        <f>IF(AE$4&gt;DAY(EOMONTH(DATE($D$2,$B$2,1),0)),"",IFERROR(SUMIFS(DATA_GOC!$H:$H,DATA_GOC!$A:$A,"BOM",DATA_GOC!$D:$D,$B164,DATA_GOC!$E:$E,"Téc 3",DATA_GOC!$F:$F,"Xuất nội bộ từ téc",DATA_GOC!$B:$B,DATE($D$2,$B$2,AE$4)),0))</f>
        <v>0</v>
      </c>
      <c r="AF164" s="251">
        <f>IF(AF$4&gt;DAY(EOMONTH(DATE($D$2,$B$2,1),0)),"",IFERROR(SUMIFS(DATA_GOC!$H:$H,DATA_GOC!$A:$A,"BOM",DATA_GOC!$D:$D,$B164,DATA_GOC!$E:$E,"Téc 3",DATA_GOC!$F:$F,"Xuất nội bộ từ téc",DATA_GOC!$B:$B,DATE($D$2,$B$2,AF$4)),0))</f>
        <v>0</v>
      </c>
      <c r="AG164" s="251">
        <f>IF(AG$4&gt;DAY(EOMONTH(DATE($D$2,$B$2,1),0)),"",IFERROR(SUMIFS(DATA_GOC!$H:$H,DATA_GOC!$A:$A,"BOM",DATA_GOC!$D:$D,$B164,DATA_GOC!$E:$E,"Téc 3",DATA_GOC!$F:$F,"Xuất nội bộ từ téc",DATA_GOC!$B:$B,DATE($D$2,$B$2,AG$4)),0))</f>
        <v>0</v>
      </c>
      <c r="AH164" s="252">
        <f t="shared" si="7"/>
        <v>0</v>
      </c>
      <c r="AI164" s="241"/>
      <c r="AJ164" s="242">
        <f>IF($B164="","",SUMIFS(TINH_TEC!$K$233:$K$9232,TINH_TEC!$H$233:$H$9232,$B164,TINH_TEC!$C$233:$C$9232,"Téc 3",TINH_TEC!$F$233:$F$9232,$B$2,TINH_TEC!$G$233:$G$9232,$D$2,TINH_TEC!$B$233:$B$9232,"Đã chốt"))</f>
        <v>0</v>
      </c>
      <c r="AK164" s="242">
        <f>IF($B164="","",SUMIFS(TINH_TEC!$J$233:$J$9232,TINH_TEC!$H$233:$H$9232,$B164,TINH_TEC!$C$233:$C$9232,"Téc 3",TINH_TEC!$F$233:$F$9232,$B$2,TINH_TEC!$G$233:$G$9232,$D$2,TINH_TEC!$B$233:$B$9232,"Đã chốt"))</f>
        <v>0</v>
      </c>
      <c r="AL164" s="242">
        <f t="shared" si="8"/>
        <v>0</v>
      </c>
    </row>
    <row r="165" ht="15.75" customHeight="1">
      <c r="A165" s="237">
        <f>IF($B165&lt;&gt;"",38,"")</f>
        <v>38</v>
      </c>
      <c r="B165" s="250" t="str">
        <f t="array" ref="B165">IFERROR(INDEX(DANH_MUC!$E:$E,41),"")</f>
        <v>28H00680</v>
      </c>
      <c r="C165" s="251">
        <f>IF(C$4&gt;DAY(EOMONTH(DATE($D$2,$B$2,1),0)),"",IFERROR(SUMIFS(DATA_GOC!$H:$H,DATA_GOC!$A:$A,"BOM",DATA_GOC!$D:$D,$B165,DATA_GOC!$E:$E,"Téc 3",DATA_GOC!$F:$F,"Xuất nội bộ từ téc",DATA_GOC!$B:$B,DATE($D$2,$B$2,C$4)),0))</f>
        <v>0</v>
      </c>
      <c r="D165" s="251">
        <f>IF(D$4&gt;DAY(EOMONTH(DATE($D$2,$B$2,1),0)),"",IFERROR(SUMIFS(DATA_GOC!$H:$H,DATA_GOC!$A:$A,"BOM",DATA_GOC!$D:$D,$B165,DATA_GOC!$E:$E,"Téc 3",DATA_GOC!$F:$F,"Xuất nội bộ từ téc",DATA_GOC!$B:$B,DATE($D$2,$B$2,D$4)),0))</f>
        <v>0</v>
      </c>
      <c r="E165" s="251">
        <f>IF(E$4&gt;DAY(EOMONTH(DATE($D$2,$B$2,1),0)),"",IFERROR(SUMIFS(DATA_GOC!$H:$H,DATA_GOC!$A:$A,"BOM",DATA_GOC!$D:$D,$B165,DATA_GOC!$E:$E,"Téc 3",DATA_GOC!$F:$F,"Xuất nội bộ từ téc",DATA_GOC!$B:$B,DATE($D$2,$B$2,E$4)),0))</f>
        <v>0</v>
      </c>
      <c r="F165" s="251">
        <f>IF(F$4&gt;DAY(EOMONTH(DATE($D$2,$B$2,1),0)),"",IFERROR(SUMIFS(DATA_GOC!$H:$H,DATA_GOC!$A:$A,"BOM",DATA_GOC!$D:$D,$B165,DATA_GOC!$E:$E,"Téc 3",DATA_GOC!$F:$F,"Xuất nội bộ từ téc",DATA_GOC!$B:$B,DATE($D$2,$B$2,F$4)),0))</f>
        <v>0</v>
      </c>
      <c r="G165" s="251">
        <f>IF(G$4&gt;DAY(EOMONTH(DATE($D$2,$B$2,1),0)),"",IFERROR(SUMIFS(DATA_GOC!$H:$H,DATA_GOC!$A:$A,"BOM",DATA_GOC!$D:$D,$B165,DATA_GOC!$E:$E,"Téc 3",DATA_GOC!$F:$F,"Xuất nội bộ từ téc",DATA_GOC!$B:$B,DATE($D$2,$B$2,G$4)),0))</f>
        <v>0</v>
      </c>
      <c r="H165" s="251">
        <f>IF(H$4&gt;DAY(EOMONTH(DATE($D$2,$B$2,1),0)),"",IFERROR(SUMIFS(DATA_GOC!$H:$H,DATA_GOC!$A:$A,"BOM",DATA_GOC!$D:$D,$B165,DATA_GOC!$E:$E,"Téc 3",DATA_GOC!$F:$F,"Xuất nội bộ từ téc",DATA_GOC!$B:$B,DATE($D$2,$B$2,H$4)),0))</f>
        <v>0</v>
      </c>
      <c r="I165" s="251">
        <f>IF(I$4&gt;DAY(EOMONTH(DATE($D$2,$B$2,1),0)),"",IFERROR(SUMIFS(DATA_GOC!$H:$H,DATA_GOC!$A:$A,"BOM",DATA_GOC!$D:$D,$B165,DATA_GOC!$E:$E,"Téc 3",DATA_GOC!$F:$F,"Xuất nội bộ từ téc",DATA_GOC!$B:$B,DATE($D$2,$B$2,I$4)),0))</f>
        <v>0</v>
      </c>
      <c r="J165" s="251">
        <f>IF(J$4&gt;DAY(EOMONTH(DATE($D$2,$B$2,1),0)),"",IFERROR(SUMIFS(DATA_GOC!$H:$H,DATA_GOC!$A:$A,"BOM",DATA_GOC!$D:$D,$B165,DATA_GOC!$E:$E,"Téc 3",DATA_GOC!$F:$F,"Xuất nội bộ từ téc",DATA_GOC!$B:$B,DATE($D$2,$B$2,J$4)),0))</f>
        <v>0</v>
      </c>
      <c r="K165" s="251">
        <f>IF(K$4&gt;DAY(EOMONTH(DATE($D$2,$B$2,1),0)),"",IFERROR(SUMIFS(DATA_GOC!$H:$H,DATA_GOC!$A:$A,"BOM",DATA_GOC!$D:$D,$B165,DATA_GOC!$E:$E,"Téc 3",DATA_GOC!$F:$F,"Xuất nội bộ từ téc",DATA_GOC!$B:$B,DATE($D$2,$B$2,K$4)),0))</f>
        <v>0</v>
      </c>
      <c r="L165" s="251">
        <f>IF(L$4&gt;DAY(EOMONTH(DATE($D$2,$B$2,1),0)),"",IFERROR(SUMIFS(DATA_GOC!$H:$H,DATA_GOC!$A:$A,"BOM",DATA_GOC!$D:$D,$B165,DATA_GOC!$E:$E,"Téc 3",DATA_GOC!$F:$F,"Xuất nội bộ từ téc",DATA_GOC!$B:$B,DATE($D$2,$B$2,L$4)),0))</f>
        <v>0</v>
      </c>
      <c r="M165" s="251">
        <f>IF(M$4&gt;DAY(EOMONTH(DATE($D$2,$B$2,1),0)),"",IFERROR(SUMIFS(DATA_GOC!$H:$H,DATA_GOC!$A:$A,"BOM",DATA_GOC!$D:$D,$B165,DATA_GOC!$E:$E,"Téc 3",DATA_GOC!$F:$F,"Xuất nội bộ từ téc",DATA_GOC!$B:$B,DATE($D$2,$B$2,M$4)),0))</f>
        <v>0</v>
      </c>
      <c r="N165" s="251">
        <f>IF(N$4&gt;DAY(EOMONTH(DATE($D$2,$B$2,1),0)),"",IFERROR(SUMIFS(DATA_GOC!$H:$H,DATA_GOC!$A:$A,"BOM",DATA_GOC!$D:$D,$B165,DATA_GOC!$E:$E,"Téc 3",DATA_GOC!$F:$F,"Xuất nội bộ từ téc",DATA_GOC!$B:$B,DATE($D$2,$B$2,N$4)),0))</f>
        <v>0</v>
      </c>
      <c r="O165" s="251">
        <f>IF(O$4&gt;DAY(EOMONTH(DATE($D$2,$B$2,1),0)),"",IFERROR(SUMIFS(DATA_GOC!$H:$H,DATA_GOC!$A:$A,"BOM",DATA_GOC!$D:$D,$B165,DATA_GOC!$E:$E,"Téc 3",DATA_GOC!$F:$F,"Xuất nội bộ từ téc",DATA_GOC!$B:$B,DATE($D$2,$B$2,O$4)),0))</f>
        <v>0</v>
      </c>
      <c r="P165" s="251">
        <f>IF(P$4&gt;DAY(EOMONTH(DATE($D$2,$B$2,1),0)),"",IFERROR(SUMIFS(DATA_GOC!$H:$H,DATA_GOC!$A:$A,"BOM",DATA_GOC!$D:$D,$B165,DATA_GOC!$E:$E,"Téc 3",DATA_GOC!$F:$F,"Xuất nội bộ từ téc",DATA_GOC!$B:$B,DATE($D$2,$B$2,P$4)),0))</f>
        <v>0</v>
      </c>
      <c r="Q165" s="251">
        <f>IF(Q$4&gt;DAY(EOMONTH(DATE($D$2,$B$2,1),0)),"",IFERROR(SUMIFS(DATA_GOC!$H:$H,DATA_GOC!$A:$A,"BOM",DATA_GOC!$D:$D,$B165,DATA_GOC!$E:$E,"Téc 3",DATA_GOC!$F:$F,"Xuất nội bộ từ téc",DATA_GOC!$B:$B,DATE($D$2,$B$2,Q$4)),0))</f>
        <v>0</v>
      </c>
      <c r="R165" s="251">
        <f>IF(R$4&gt;DAY(EOMONTH(DATE($D$2,$B$2,1),0)),"",IFERROR(SUMIFS(DATA_GOC!$H:$H,DATA_GOC!$A:$A,"BOM",DATA_GOC!$D:$D,$B165,DATA_GOC!$E:$E,"Téc 3",DATA_GOC!$F:$F,"Xuất nội bộ từ téc",DATA_GOC!$B:$B,DATE($D$2,$B$2,R$4)),0))</f>
        <v>0</v>
      </c>
      <c r="S165" s="251">
        <f>IF(S$4&gt;DAY(EOMONTH(DATE($D$2,$B$2,1),0)),"",IFERROR(SUMIFS(DATA_GOC!$H:$H,DATA_GOC!$A:$A,"BOM",DATA_GOC!$D:$D,$B165,DATA_GOC!$E:$E,"Téc 3",DATA_GOC!$F:$F,"Xuất nội bộ từ téc",DATA_GOC!$B:$B,DATE($D$2,$B$2,S$4)),0))</f>
        <v>0</v>
      </c>
      <c r="T165" s="251">
        <f>IF(T$4&gt;DAY(EOMONTH(DATE($D$2,$B$2,1),0)),"",IFERROR(SUMIFS(DATA_GOC!$H:$H,DATA_GOC!$A:$A,"BOM",DATA_GOC!$D:$D,$B165,DATA_GOC!$E:$E,"Téc 3",DATA_GOC!$F:$F,"Xuất nội bộ từ téc",DATA_GOC!$B:$B,DATE($D$2,$B$2,T$4)),0))</f>
        <v>0</v>
      </c>
      <c r="U165" s="251">
        <f>IF(U$4&gt;DAY(EOMONTH(DATE($D$2,$B$2,1),0)),"",IFERROR(SUMIFS(DATA_GOC!$H:$H,DATA_GOC!$A:$A,"BOM",DATA_GOC!$D:$D,$B165,DATA_GOC!$E:$E,"Téc 3",DATA_GOC!$F:$F,"Xuất nội bộ từ téc",DATA_GOC!$B:$B,DATE($D$2,$B$2,U$4)),0))</f>
        <v>0</v>
      </c>
      <c r="V165" s="251">
        <f>IF(V$4&gt;DAY(EOMONTH(DATE($D$2,$B$2,1),0)),"",IFERROR(SUMIFS(DATA_GOC!$H:$H,DATA_GOC!$A:$A,"BOM",DATA_GOC!$D:$D,$B165,DATA_GOC!$E:$E,"Téc 3",DATA_GOC!$F:$F,"Xuất nội bộ từ téc",DATA_GOC!$B:$B,DATE($D$2,$B$2,V$4)),0))</f>
        <v>0</v>
      </c>
      <c r="W165" s="251">
        <f>IF(W$4&gt;DAY(EOMONTH(DATE($D$2,$B$2,1),0)),"",IFERROR(SUMIFS(DATA_GOC!$H:$H,DATA_GOC!$A:$A,"BOM",DATA_GOC!$D:$D,$B165,DATA_GOC!$E:$E,"Téc 3",DATA_GOC!$F:$F,"Xuất nội bộ từ téc",DATA_GOC!$B:$B,DATE($D$2,$B$2,W$4)),0))</f>
        <v>0</v>
      </c>
      <c r="X165" s="251">
        <f>IF(X$4&gt;DAY(EOMONTH(DATE($D$2,$B$2,1),0)),"",IFERROR(SUMIFS(DATA_GOC!$H:$H,DATA_GOC!$A:$A,"BOM",DATA_GOC!$D:$D,$B165,DATA_GOC!$E:$E,"Téc 3",DATA_GOC!$F:$F,"Xuất nội bộ từ téc",DATA_GOC!$B:$B,DATE($D$2,$B$2,X$4)),0))</f>
        <v>0</v>
      </c>
      <c r="Y165" s="251">
        <f>IF(Y$4&gt;DAY(EOMONTH(DATE($D$2,$B$2,1),0)),"",IFERROR(SUMIFS(DATA_GOC!$H:$H,DATA_GOC!$A:$A,"BOM",DATA_GOC!$D:$D,$B165,DATA_GOC!$E:$E,"Téc 3",DATA_GOC!$F:$F,"Xuất nội bộ từ téc",DATA_GOC!$B:$B,DATE($D$2,$B$2,Y$4)),0))</f>
        <v>0</v>
      </c>
      <c r="Z165" s="251">
        <f>IF(Z$4&gt;DAY(EOMONTH(DATE($D$2,$B$2,1),0)),"",IFERROR(SUMIFS(DATA_GOC!$H:$H,DATA_GOC!$A:$A,"BOM",DATA_GOC!$D:$D,$B165,DATA_GOC!$E:$E,"Téc 3",DATA_GOC!$F:$F,"Xuất nội bộ từ téc",DATA_GOC!$B:$B,DATE($D$2,$B$2,Z$4)),0))</f>
        <v>0</v>
      </c>
      <c r="AA165" s="251">
        <f>IF(AA$4&gt;DAY(EOMONTH(DATE($D$2,$B$2,1),0)),"",IFERROR(SUMIFS(DATA_GOC!$H:$H,DATA_GOC!$A:$A,"BOM",DATA_GOC!$D:$D,$B165,DATA_GOC!$E:$E,"Téc 3",DATA_GOC!$F:$F,"Xuất nội bộ từ téc",DATA_GOC!$B:$B,DATE($D$2,$B$2,AA$4)),0))</f>
        <v>0</v>
      </c>
      <c r="AB165" s="251">
        <f>IF(AB$4&gt;DAY(EOMONTH(DATE($D$2,$B$2,1),0)),"",IFERROR(SUMIFS(DATA_GOC!$H:$H,DATA_GOC!$A:$A,"BOM",DATA_GOC!$D:$D,$B165,DATA_GOC!$E:$E,"Téc 3",DATA_GOC!$F:$F,"Xuất nội bộ từ téc",DATA_GOC!$B:$B,DATE($D$2,$B$2,AB$4)),0))</f>
        <v>0</v>
      </c>
      <c r="AC165" s="251">
        <f>IF(AC$4&gt;DAY(EOMONTH(DATE($D$2,$B$2,1),0)),"",IFERROR(SUMIFS(DATA_GOC!$H:$H,DATA_GOC!$A:$A,"BOM",DATA_GOC!$D:$D,$B165,DATA_GOC!$E:$E,"Téc 3",DATA_GOC!$F:$F,"Xuất nội bộ từ téc",DATA_GOC!$B:$B,DATE($D$2,$B$2,AC$4)),0))</f>
        <v>0</v>
      </c>
      <c r="AD165" s="251">
        <f>IF(AD$4&gt;DAY(EOMONTH(DATE($D$2,$B$2,1),0)),"",IFERROR(SUMIFS(DATA_GOC!$H:$H,DATA_GOC!$A:$A,"BOM",DATA_GOC!$D:$D,$B165,DATA_GOC!$E:$E,"Téc 3",DATA_GOC!$F:$F,"Xuất nội bộ từ téc",DATA_GOC!$B:$B,DATE($D$2,$B$2,AD$4)),0))</f>
        <v>0</v>
      </c>
      <c r="AE165" s="251">
        <f>IF(AE$4&gt;DAY(EOMONTH(DATE($D$2,$B$2,1),0)),"",IFERROR(SUMIFS(DATA_GOC!$H:$H,DATA_GOC!$A:$A,"BOM",DATA_GOC!$D:$D,$B165,DATA_GOC!$E:$E,"Téc 3",DATA_GOC!$F:$F,"Xuất nội bộ từ téc",DATA_GOC!$B:$B,DATE($D$2,$B$2,AE$4)),0))</f>
        <v>0</v>
      </c>
      <c r="AF165" s="251">
        <f>IF(AF$4&gt;DAY(EOMONTH(DATE($D$2,$B$2,1),0)),"",IFERROR(SUMIFS(DATA_GOC!$H:$H,DATA_GOC!$A:$A,"BOM",DATA_GOC!$D:$D,$B165,DATA_GOC!$E:$E,"Téc 3",DATA_GOC!$F:$F,"Xuất nội bộ từ téc",DATA_GOC!$B:$B,DATE($D$2,$B$2,AF$4)),0))</f>
        <v>0</v>
      </c>
      <c r="AG165" s="251">
        <f>IF(AG$4&gt;DAY(EOMONTH(DATE($D$2,$B$2,1),0)),"",IFERROR(SUMIFS(DATA_GOC!$H:$H,DATA_GOC!$A:$A,"BOM",DATA_GOC!$D:$D,$B165,DATA_GOC!$E:$E,"Téc 3",DATA_GOC!$F:$F,"Xuất nội bộ từ téc",DATA_GOC!$B:$B,DATE($D$2,$B$2,AG$4)),0))</f>
        <v>0</v>
      </c>
      <c r="AH165" s="252">
        <f t="shared" si="7"/>
        <v>0</v>
      </c>
      <c r="AI165" s="241"/>
      <c r="AJ165" s="242">
        <f>IF($B165="","",SUMIFS(TINH_TEC!$K$233:$K$9232,TINH_TEC!$H$233:$H$9232,$B165,TINH_TEC!$C$233:$C$9232,"Téc 3",TINH_TEC!$F$233:$F$9232,$B$2,TINH_TEC!$G$233:$G$9232,$D$2,TINH_TEC!$B$233:$B$9232,"Đã chốt"))</f>
        <v>0</v>
      </c>
      <c r="AK165" s="242">
        <f>IF($B165="","",SUMIFS(TINH_TEC!$J$233:$J$9232,TINH_TEC!$H$233:$H$9232,$B165,TINH_TEC!$C$233:$C$9232,"Téc 3",TINH_TEC!$F$233:$F$9232,$B$2,TINH_TEC!$G$233:$G$9232,$D$2,TINH_TEC!$B$233:$B$9232,"Đã chốt"))</f>
        <v>0</v>
      </c>
      <c r="AL165" s="242">
        <f t="shared" si="8"/>
        <v>0</v>
      </c>
    </row>
    <row r="166" ht="15.75" customHeight="1">
      <c r="A166" s="237">
        <f>IF($B166&lt;&gt;"",39,"")</f>
        <v>39</v>
      </c>
      <c r="B166" s="250" t="str">
        <f t="array" ref="B166">IFERROR(INDEX(DANH_MUC!$E:$E,42),"")</f>
        <v>28H01070</v>
      </c>
      <c r="C166" s="251">
        <f>IF(C$4&gt;DAY(EOMONTH(DATE($D$2,$B$2,1),0)),"",IFERROR(SUMIFS(DATA_GOC!$H:$H,DATA_GOC!$A:$A,"BOM",DATA_GOC!$D:$D,$B166,DATA_GOC!$E:$E,"Téc 3",DATA_GOC!$F:$F,"Xuất nội bộ từ téc",DATA_GOC!$B:$B,DATE($D$2,$B$2,C$4)),0))</f>
        <v>0</v>
      </c>
      <c r="D166" s="251">
        <f>IF(D$4&gt;DAY(EOMONTH(DATE($D$2,$B$2,1),0)),"",IFERROR(SUMIFS(DATA_GOC!$H:$H,DATA_GOC!$A:$A,"BOM",DATA_GOC!$D:$D,$B166,DATA_GOC!$E:$E,"Téc 3",DATA_GOC!$F:$F,"Xuất nội bộ từ téc",DATA_GOC!$B:$B,DATE($D$2,$B$2,D$4)),0))</f>
        <v>0</v>
      </c>
      <c r="E166" s="251">
        <f>IF(E$4&gt;DAY(EOMONTH(DATE($D$2,$B$2,1),0)),"",IFERROR(SUMIFS(DATA_GOC!$H:$H,DATA_GOC!$A:$A,"BOM",DATA_GOC!$D:$D,$B166,DATA_GOC!$E:$E,"Téc 3",DATA_GOC!$F:$F,"Xuất nội bộ từ téc",DATA_GOC!$B:$B,DATE($D$2,$B$2,E$4)),0))</f>
        <v>0</v>
      </c>
      <c r="F166" s="251">
        <f>IF(F$4&gt;DAY(EOMONTH(DATE($D$2,$B$2,1),0)),"",IFERROR(SUMIFS(DATA_GOC!$H:$H,DATA_GOC!$A:$A,"BOM",DATA_GOC!$D:$D,$B166,DATA_GOC!$E:$E,"Téc 3",DATA_GOC!$F:$F,"Xuất nội bộ từ téc",DATA_GOC!$B:$B,DATE($D$2,$B$2,F$4)),0))</f>
        <v>0</v>
      </c>
      <c r="G166" s="251">
        <f>IF(G$4&gt;DAY(EOMONTH(DATE($D$2,$B$2,1),0)),"",IFERROR(SUMIFS(DATA_GOC!$H:$H,DATA_GOC!$A:$A,"BOM",DATA_GOC!$D:$D,$B166,DATA_GOC!$E:$E,"Téc 3",DATA_GOC!$F:$F,"Xuất nội bộ từ téc",DATA_GOC!$B:$B,DATE($D$2,$B$2,G$4)),0))</f>
        <v>0</v>
      </c>
      <c r="H166" s="251">
        <f>IF(H$4&gt;DAY(EOMONTH(DATE($D$2,$B$2,1),0)),"",IFERROR(SUMIFS(DATA_GOC!$H:$H,DATA_GOC!$A:$A,"BOM",DATA_GOC!$D:$D,$B166,DATA_GOC!$E:$E,"Téc 3",DATA_GOC!$F:$F,"Xuất nội bộ từ téc",DATA_GOC!$B:$B,DATE($D$2,$B$2,H$4)),0))</f>
        <v>0</v>
      </c>
      <c r="I166" s="251">
        <f>IF(I$4&gt;DAY(EOMONTH(DATE($D$2,$B$2,1),0)),"",IFERROR(SUMIFS(DATA_GOC!$H:$H,DATA_GOC!$A:$A,"BOM",DATA_GOC!$D:$D,$B166,DATA_GOC!$E:$E,"Téc 3",DATA_GOC!$F:$F,"Xuất nội bộ từ téc",DATA_GOC!$B:$B,DATE($D$2,$B$2,I$4)),0))</f>
        <v>0</v>
      </c>
      <c r="J166" s="251">
        <f>IF(J$4&gt;DAY(EOMONTH(DATE($D$2,$B$2,1),0)),"",IFERROR(SUMIFS(DATA_GOC!$H:$H,DATA_GOC!$A:$A,"BOM",DATA_GOC!$D:$D,$B166,DATA_GOC!$E:$E,"Téc 3",DATA_GOC!$F:$F,"Xuất nội bộ từ téc",DATA_GOC!$B:$B,DATE($D$2,$B$2,J$4)),0))</f>
        <v>0</v>
      </c>
      <c r="K166" s="251">
        <f>IF(K$4&gt;DAY(EOMONTH(DATE($D$2,$B$2,1),0)),"",IFERROR(SUMIFS(DATA_GOC!$H:$H,DATA_GOC!$A:$A,"BOM",DATA_GOC!$D:$D,$B166,DATA_GOC!$E:$E,"Téc 3",DATA_GOC!$F:$F,"Xuất nội bộ từ téc",DATA_GOC!$B:$B,DATE($D$2,$B$2,K$4)),0))</f>
        <v>0</v>
      </c>
      <c r="L166" s="251">
        <f>IF(L$4&gt;DAY(EOMONTH(DATE($D$2,$B$2,1),0)),"",IFERROR(SUMIFS(DATA_GOC!$H:$H,DATA_GOC!$A:$A,"BOM",DATA_GOC!$D:$D,$B166,DATA_GOC!$E:$E,"Téc 3",DATA_GOC!$F:$F,"Xuất nội bộ từ téc",DATA_GOC!$B:$B,DATE($D$2,$B$2,L$4)),0))</f>
        <v>0</v>
      </c>
      <c r="M166" s="251">
        <f>IF(M$4&gt;DAY(EOMONTH(DATE($D$2,$B$2,1),0)),"",IFERROR(SUMIFS(DATA_GOC!$H:$H,DATA_GOC!$A:$A,"BOM",DATA_GOC!$D:$D,$B166,DATA_GOC!$E:$E,"Téc 3",DATA_GOC!$F:$F,"Xuất nội bộ từ téc",DATA_GOC!$B:$B,DATE($D$2,$B$2,M$4)),0))</f>
        <v>0</v>
      </c>
      <c r="N166" s="251">
        <f>IF(N$4&gt;DAY(EOMONTH(DATE($D$2,$B$2,1),0)),"",IFERROR(SUMIFS(DATA_GOC!$H:$H,DATA_GOC!$A:$A,"BOM",DATA_GOC!$D:$D,$B166,DATA_GOC!$E:$E,"Téc 3",DATA_GOC!$F:$F,"Xuất nội bộ từ téc",DATA_GOC!$B:$B,DATE($D$2,$B$2,N$4)),0))</f>
        <v>0</v>
      </c>
      <c r="O166" s="251">
        <f>IF(O$4&gt;DAY(EOMONTH(DATE($D$2,$B$2,1),0)),"",IFERROR(SUMIFS(DATA_GOC!$H:$H,DATA_GOC!$A:$A,"BOM",DATA_GOC!$D:$D,$B166,DATA_GOC!$E:$E,"Téc 3",DATA_GOC!$F:$F,"Xuất nội bộ từ téc",DATA_GOC!$B:$B,DATE($D$2,$B$2,O$4)),0))</f>
        <v>0</v>
      </c>
      <c r="P166" s="251">
        <f>IF(P$4&gt;DAY(EOMONTH(DATE($D$2,$B$2,1),0)),"",IFERROR(SUMIFS(DATA_GOC!$H:$H,DATA_GOC!$A:$A,"BOM",DATA_GOC!$D:$D,$B166,DATA_GOC!$E:$E,"Téc 3",DATA_GOC!$F:$F,"Xuất nội bộ từ téc",DATA_GOC!$B:$B,DATE($D$2,$B$2,P$4)),0))</f>
        <v>0</v>
      </c>
      <c r="Q166" s="251">
        <f>IF(Q$4&gt;DAY(EOMONTH(DATE($D$2,$B$2,1),0)),"",IFERROR(SUMIFS(DATA_GOC!$H:$H,DATA_GOC!$A:$A,"BOM",DATA_GOC!$D:$D,$B166,DATA_GOC!$E:$E,"Téc 3",DATA_GOC!$F:$F,"Xuất nội bộ từ téc",DATA_GOC!$B:$B,DATE($D$2,$B$2,Q$4)),0))</f>
        <v>0</v>
      </c>
      <c r="R166" s="251">
        <f>IF(R$4&gt;DAY(EOMONTH(DATE($D$2,$B$2,1),0)),"",IFERROR(SUMIFS(DATA_GOC!$H:$H,DATA_GOC!$A:$A,"BOM",DATA_GOC!$D:$D,$B166,DATA_GOC!$E:$E,"Téc 3",DATA_GOC!$F:$F,"Xuất nội bộ từ téc",DATA_GOC!$B:$B,DATE($D$2,$B$2,R$4)),0))</f>
        <v>0</v>
      </c>
      <c r="S166" s="251">
        <f>IF(S$4&gt;DAY(EOMONTH(DATE($D$2,$B$2,1),0)),"",IFERROR(SUMIFS(DATA_GOC!$H:$H,DATA_GOC!$A:$A,"BOM",DATA_GOC!$D:$D,$B166,DATA_GOC!$E:$E,"Téc 3",DATA_GOC!$F:$F,"Xuất nội bộ từ téc",DATA_GOC!$B:$B,DATE($D$2,$B$2,S$4)),0))</f>
        <v>0</v>
      </c>
      <c r="T166" s="251">
        <f>IF(T$4&gt;DAY(EOMONTH(DATE($D$2,$B$2,1),0)),"",IFERROR(SUMIFS(DATA_GOC!$H:$H,DATA_GOC!$A:$A,"BOM",DATA_GOC!$D:$D,$B166,DATA_GOC!$E:$E,"Téc 3",DATA_GOC!$F:$F,"Xuất nội bộ từ téc",DATA_GOC!$B:$B,DATE($D$2,$B$2,T$4)),0))</f>
        <v>0</v>
      </c>
      <c r="U166" s="251">
        <f>IF(U$4&gt;DAY(EOMONTH(DATE($D$2,$B$2,1),0)),"",IFERROR(SUMIFS(DATA_GOC!$H:$H,DATA_GOC!$A:$A,"BOM",DATA_GOC!$D:$D,$B166,DATA_GOC!$E:$E,"Téc 3",DATA_GOC!$F:$F,"Xuất nội bộ từ téc",DATA_GOC!$B:$B,DATE($D$2,$B$2,U$4)),0))</f>
        <v>0</v>
      </c>
      <c r="V166" s="251">
        <f>IF(V$4&gt;DAY(EOMONTH(DATE($D$2,$B$2,1),0)),"",IFERROR(SUMIFS(DATA_GOC!$H:$H,DATA_GOC!$A:$A,"BOM",DATA_GOC!$D:$D,$B166,DATA_GOC!$E:$E,"Téc 3",DATA_GOC!$F:$F,"Xuất nội bộ từ téc",DATA_GOC!$B:$B,DATE($D$2,$B$2,V$4)),0))</f>
        <v>0</v>
      </c>
      <c r="W166" s="251">
        <f>IF(W$4&gt;DAY(EOMONTH(DATE($D$2,$B$2,1),0)),"",IFERROR(SUMIFS(DATA_GOC!$H:$H,DATA_GOC!$A:$A,"BOM",DATA_GOC!$D:$D,$B166,DATA_GOC!$E:$E,"Téc 3",DATA_GOC!$F:$F,"Xuất nội bộ từ téc",DATA_GOC!$B:$B,DATE($D$2,$B$2,W$4)),0))</f>
        <v>0</v>
      </c>
      <c r="X166" s="251">
        <f>IF(X$4&gt;DAY(EOMONTH(DATE($D$2,$B$2,1),0)),"",IFERROR(SUMIFS(DATA_GOC!$H:$H,DATA_GOC!$A:$A,"BOM",DATA_GOC!$D:$D,$B166,DATA_GOC!$E:$E,"Téc 3",DATA_GOC!$F:$F,"Xuất nội bộ từ téc",DATA_GOC!$B:$B,DATE($D$2,$B$2,X$4)),0))</f>
        <v>0</v>
      </c>
      <c r="Y166" s="251">
        <f>IF(Y$4&gt;DAY(EOMONTH(DATE($D$2,$B$2,1),0)),"",IFERROR(SUMIFS(DATA_GOC!$H:$H,DATA_GOC!$A:$A,"BOM",DATA_GOC!$D:$D,$B166,DATA_GOC!$E:$E,"Téc 3",DATA_GOC!$F:$F,"Xuất nội bộ từ téc",DATA_GOC!$B:$B,DATE($D$2,$B$2,Y$4)),0))</f>
        <v>0</v>
      </c>
      <c r="Z166" s="251">
        <f>IF(Z$4&gt;DAY(EOMONTH(DATE($D$2,$B$2,1),0)),"",IFERROR(SUMIFS(DATA_GOC!$H:$H,DATA_GOC!$A:$A,"BOM",DATA_GOC!$D:$D,$B166,DATA_GOC!$E:$E,"Téc 3",DATA_GOC!$F:$F,"Xuất nội bộ từ téc",DATA_GOC!$B:$B,DATE($D$2,$B$2,Z$4)),0))</f>
        <v>0</v>
      </c>
      <c r="AA166" s="251">
        <f>IF(AA$4&gt;DAY(EOMONTH(DATE($D$2,$B$2,1),0)),"",IFERROR(SUMIFS(DATA_GOC!$H:$H,DATA_GOC!$A:$A,"BOM",DATA_GOC!$D:$D,$B166,DATA_GOC!$E:$E,"Téc 3",DATA_GOC!$F:$F,"Xuất nội bộ từ téc",DATA_GOC!$B:$B,DATE($D$2,$B$2,AA$4)),0))</f>
        <v>0</v>
      </c>
      <c r="AB166" s="251">
        <f>IF(AB$4&gt;DAY(EOMONTH(DATE($D$2,$B$2,1),0)),"",IFERROR(SUMIFS(DATA_GOC!$H:$H,DATA_GOC!$A:$A,"BOM",DATA_GOC!$D:$D,$B166,DATA_GOC!$E:$E,"Téc 3",DATA_GOC!$F:$F,"Xuất nội bộ từ téc",DATA_GOC!$B:$B,DATE($D$2,$B$2,AB$4)),0))</f>
        <v>0</v>
      </c>
      <c r="AC166" s="251">
        <f>IF(AC$4&gt;DAY(EOMONTH(DATE($D$2,$B$2,1),0)),"",IFERROR(SUMIFS(DATA_GOC!$H:$H,DATA_GOC!$A:$A,"BOM",DATA_GOC!$D:$D,$B166,DATA_GOC!$E:$E,"Téc 3",DATA_GOC!$F:$F,"Xuất nội bộ từ téc",DATA_GOC!$B:$B,DATE($D$2,$B$2,AC$4)),0))</f>
        <v>0</v>
      </c>
      <c r="AD166" s="251">
        <f>IF(AD$4&gt;DAY(EOMONTH(DATE($D$2,$B$2,1),0)),"",IFERROR(SUMIFS(DATA_GOC!$H:$H,DATA_GOC!$A:$A,"BOM",DATA_GOC!$D:$D,$B166,DATA_GOC!$E:$E,"Téc 3",DATA_GOC!$F:$F,"Xuất nội bộ từ téc",DATA_GOC!$B:$B,DATE($D$2,$B$2,AD$4)),0))</f>
        <v>0</v>
      </c>
      <c r="AE166" s="251">
        <f>IF(AE$4&gt;DAY(EOMONTH(DATE($D$2,$B$2,1),0)),"",IFERROR(SUMIFS(DATA_GOC!$H:$H,DATA_GOC!$A:$A,"BOM",DATA_GOC!$D:$D,$B166,DATA_GOC!$E:$E,"Téc 3",DATA_GOC!$F:$F,"Xuất nội bộ từ téc",DATA_GOC!$B:$B,DATE($D$2,$B$2,AE$4)),0))</f>
        <v>0</v>
      </c>
      <c r="AF166" s="251">
        <f>IF(AF$4&gt;DAY(EOMONTH(DATE($D$2,$B$2,1),0)),"",IFERROR(SUMIFS(DATA_GOC!$H:$H,DATA_GOC!$A:$A,"BOM",DATA_GOC!$D:$D,$B166,DATA_GOC!$E:$E,"Téc 3",DATA_GOC!$F:$F,"Xuất nội bộ từ téc",DATA_GOC!$B:$B,DATE($D$2,$B$2,AF$4)),0))</f>
        <v>0</v>
      </c>
      <c r="AG166" s="251">
        <f>IF(AG$4&gt;DAY(EOMONTH(DATE($D$2,$B$2,1),0)),"",IFERROR(SUMIFS(DATA_GOC!$H:$H,DATA_GOC!$A:$A,"BOM",DATA_GOC!$D:$D,$B166,DATA_GOC!$E:$E,"Téc 3",DATA_GOC!$F:$F,"Xuất nội bộ từ téc",DATA_GOC!$B:$B,DATE($D$2,$B$2,AG$4)),0))</f>
        <v>0</v>
      </c>
      <c r="AH166" s="252">
        <f t="shared" si="7"/>
        <v>0</v>
      </c>
      <c r="AI166" s="241"/>
      <c r="AJ166" s="242">
        <f>IF($B166="","",SUMIFS(TINH_TEC!$K$233:$K$9232,TINH_TEC!$H$233:$H$9232,$B166,TINH_TEC!$C$233:$C$9232,"Téc 3",TINH_TEC!$F$233:$F$9232,$B$2,TINH_TEC!$G$233:$G$9232,$D$2,TINH_TEC!$B$233:$B$9232,"Đã chốt"))</f>
        <v>0</v>
      </c>
      <c r="AK166" s="242">
        <f>IF($B166="","",SUMIFS(TINH_TEC!$J$233:$J$9232,TINH_TEC!$H$233:$H$9232,$B166,TINH_TEC!$C$233:$C$9232,"Téc 3",TINH_TEC!$F$233:$F$9232,$B$2,TINH_TEC!$G$233:$G$9232,$D$2,TINH_TEC!$B$233:$B$9232,"Đã chốt"))</f>
        <v>0</v>
      </c>
      <c r="AL166" s="242">
        <f t="shared" si="8"/>
        <v>0</v>
      </c>
    </row>
    <row r="167" ht="15.75" customHeight="1">
      <c r="A167" s="237">
        <f>IF($B167&lt;&gt;"",40,"")</f>
        <v>40</v>
      </c>
      <c r="B167" s="250" t="str">
        <f t="array" ref="B167">IFERROR(INDEX(DANH_MUC!$E:$E,43),"")</f>
        <v>28H01364</v>
      </c>
      <c r="C167" s="251">
        <f>IF(C$4&gt;DAY(EOMONTH(DATE($D$2,$B$2,1),0)),"",IFERROR(SUMIFS(DATA_GOC!$H:$H,DATA_GOC!$A:$A,"BOM",DATA_GOC!$D:$D,$B167,DATA_GOC!$E:$E,"Téc 3",DATA_GOC!$F:$F,"Xuất nội bộ từ téc",DATA_GOC!$B:$B,DATE($D$2,$B$2,C$4)),0))</f>
        <v>0</v>
      </c>
      <c r="D167" s="251">
        <f>IF(D$4&gt;DAY(EOMONTH(DATE($D$2,$B$2,1),0)),"",IFERROR(SUMIFS(DATA_GOC!$H:$H,DATA_GOC!$A:$A,"BOM",DATA_GOC!$D:$D,$B167,DATA_GOC!$E:$E,"Téc 3",DATA_GOC!$F:$F,"Xuất nội bộ từ téc",DATA_GOC!$B:$B,DATE($D$2,$B$2,D$4)),0))</f>
        <v>0</v>
      </c>
      <c r="E167" s="251">
        <f>IF(E$4&gt;DAY(EOMONTH(DATE($D$2,$B$2,1),0)),"",IFERROR(SUMIFS(DATA_GOC!$H:$H,DATA_GOC!$A:$A,"BOM",DATA_GOC!$D:$D,$B167,DATA_GOC!$E:$E,"Téc 3",DATA_GOC!$F:$F,"Xuất nội bộ từ téc",DATA_GOC!$B:$B,DATE($D$2,$B$2,E$4)),0))</f>
        <v>0</v>
      </c>
      <c r="F167" s="251">
        <f>IF(F$4&gt;DAY(EOMONTH(DATE($D$2,$B$2,1),0)),"",IFERROR(SUMIFS(DATA_GOC!$H:$H,DATA_GOC!$A:$A,"BOM",DATA_GOC!$D:$D,$B167,DATA_GOC!$E:$E,"Téc 3",DATA_GOC!$F:$F,"Xuất nội bộ từ téc",DATA_GOC!$B:$B,DATE($D$2,$B$2,F$4)),0))</f>
        <v>0</v>
      </c>
      <c r="G167" s="251">
        <f>IF(G$4&gt;DAY(EOMONTH(DATE($D$2,$B$2,1),0)),"",IFERROR(SUMIFS(DATA_GOC!$H:$H,DATA_GOC!$A:$A,"BOM",DATA_GOC!$D:$D,$B167,DATA_GOC!$E:$E,"Téc 3",DATA_GOC!$F:$F,"Xuất nội bộ từ téc",DATA_GOC!$B:$B,DATE($D$2,$B$2,G$4)),0))</f>
        <v>0</v>
      </c>
      <c r="H167" s="251">
        <f>IF(H$4&gt;DAY(EOMONTH(DATE($D$2,$B$2,1),0)),"",IFERROR(SUMIFS(DATA_GOC!$H:$H,DATA_GOC!$A:$A,"BOM",DATA_GOC!$D:$D,$B167,DATA_GOC!$E:$E,"Téc 3",DATA_GOC!$F:$F,"Xuất nội bộ từ téc",DATA_GOC!$B:$B,DATE($D$2,$B$2,H$4)),0))</f>
        <v>0</v>
      </c>
      <c r="I167" s="251">
        <f>IF(I$4&gt;DAY(EOMONTH(DATE($D$2,$B$2,1),0)),"",IFERROR(SUMIFS(DATA_GOC!$H:$H,DATA_GOC!$A:$A,"BOM",DATA_GOC!$D:$D,$B167,DATA_GOC!$E:$E,"Téc 3",DATA_GOC!$F:$F,"Xuất nội bộ từ téc",DATA_GOC!$B:$B,DATE($D$2,$B$2,I$4)),0))</f>
        <v>0</v>
      </c>
      <c r="J167" s="251">
        <f>IF(J$4&gt;DAY(EOMONTH(DATE($D$2,$B$2,1),0)),"",IFERROR(SUMIFS(DATA_GOC!$H:$H,DATA_GOC!$A:$A,"BOM",DATA_GOC!$D:$D,$B167,DATA_GOC!$E:$E,"Téc 3",DATA_GOC!$F:$F,"Xuất nội bộ từ téc",DATA_GOC!$B:$B,DATE($D$2,$B$2,J$4)),0))</f>
        <v>0</v>
      </c>
      <c r="K167" s="251">
        <f>IF(K$4&gt;DAY(EOMONTH(DATE($D$2,$B$2,1),0)),"",IFERROR(SUMIFS(DATA_GOC!$H:$H,DATA_GOC!$A:$A,"BOM",DATA_GOC!$D:$D,$B167,DATA_GOC!$E:$E,"Téc 3",DATA_GOC!$F:$F,"Xuất nội bộ từ téc",DATA_GOC!$B:$B,DATE($D$2,$B$2,K$4)),0))</f>
        <v>0</v>
      </c>
      <c r="L167" s="251">
        <f>IF(L$4&gt;DAY(EOMONTH(DATE($D$2,$B$2,1),0)),"",IFERROR(SUMIFS(DATA_GOC!$H:$H,DATA_GOC!$A:$A,"BOM",DATA_GOC!$D:$D,$B167,DATA_GOC!$E:$E,"Téc 3",DATA_GOC!$F:$F,"Xuất nội bộ từ téc",DATA_GOC!$B:$B,DATE($D$2,$B$2,L$4)),0))</f>
        <v>0</v>
      </c>
      <c r="M167" s="251">
        <f>IF(M$4&gt;DAY(EOMONTH(DATE($D$2,$B$2,1),0)),"",IFERROR(SUMIFS(DATA_GOC!$H:$H,DATA_GOC!$A:$A,"BOM",DATA_GOC!$D:$D,$B167,DATA_GOC!$E:$E,"Téc 3",DATA_GOC!$F:$F,"Xuất nội bộ từ téc",DATA_GOC!$B:$B,DATE($D$2,$B$2,M$4)),0))</f>
        <v>0</v>
      </c>
      <c r="N167" s="251">
        <f>IF(N$4&gt;DAY(EOMONTH(DATE($D$2,$B$2,1),0)),"",IFERROR(SUMIFS(DATA_GOC!$H:$H,DATA_GOC!$A:$A,"BOM",DATA_GOC!$D:$D,$B167,DATA_GOC!$E:$E,"Téc 3",DATA_GOC!$F:$F,"Xuất nội bộ từ téc",DATA_GOC!$B:$B,DATE($D$2,$B$2,N$4)),0))</f>
        <v>0</v>
      </c>
      <c r="O167" s="251">
        <f>IF(O$4&gt;DAY(EOMONTH(DATE($D$2,$B$2,1),0)),"",IFERROR(SUMIFS(DATA_GOC!$H:$H,DATA_GOC!$A:$A,"BOM",DATA_GOC!$D:$D,$B167,DATA_GOC!$E:$E,"Téc 3",DATA_GOC!$F:$F,"Xuất nội bộ từ téc",DATA_GOC!$B:$B,DATE($D$2,$B$2,O$4)),0))</f>
        <v>0</v>
      </c>
      <c r="P167" s="251">
        <f>IF(P$4&gt;DAY(EOMONTH(DATE($D$2,$B$2,1),0)),"",IFERROR(SUMIFS(DATA_GOC!$H:$H,DATA_GOC!$A:$A,"BOM",DATA_GOC!$D:$D,$B167,DATA_GOC!$E:$E,"Téc 3",DATA_GOC!$F:$F,"Xuất nội bộ từ téc",DATA_GOC!$B:$B,DATE($D$2,$B$2,P$4)),0))</f>
        <v>0</v>
      </c>
      <c r="Q167" s="251">
        <f>IF(Q$4&gt;DAY(EOMONTH(DATE($D$2,$B$2,1),0)),"",IFERROR(SUMIFS(DATA_GOC!$H:$H,DATA_GOC!$A:$A,"BOM",DATA_GOC!$D:$D,$B167,DATA_GOC!$E:$E,"Téc 3",DATA_GOC!$F:$F,"Xuất nội bộ từ téc",DATA_GOC!$B:$B,DATE($D$2,$B$2,Q$4)),0))</f>
        <v>0</v>
      </c>
      <c r="R167" s="251">
        <f>IF(R$4&gt;DAY(EOMONTH(DATE($D$2,$B$2,1),0)),"",IFERROR(SUMIFS(DATA_GOC!$H:$H,DATA_GOC!$A:$A,"BOM",DATA_GOC!$D:$D,$B167,DATA_GOC!$E:$E,"Téc 3",DATA_GOC!$F:$F,"Xuất nội bộ từ téc",DATA_GOC!$B:$B,DATE($D$2,$B$2,R$4)),0))</f>
        <v>0</v>
      </c>
      <c r="S167" s="251">
        <f>IF(S$4&gt;DAY(EOMONTH(DATE($D$2,$B$2,1),0)),"",IFERROR(SUMIFS(DATA_GOC!$H:$H,DATA_GOC!$A:$A,"BOM",DATA_GOC!$D:$D,$B167,DATA_GOC!$E:$E,"Téc 3",DATA_GOC!$F:$F,"Xuất nội bộ từ téc",DATA_GOC!$B:$B,DATE($D$2,$B$2,S$4)),0))</f>
        <v>0</v>
      </c>
      <c r="T167" s="251">
        <f>IF(T$4&gt;DAY(EOMONTH(DATE($D$2,$B$2,1),0)),"",IFERROR(SUMIFS(DATA_GOC!$H:$H,DATA_GOC!$A:$A,"BOM",DATA_GOC!$D:$D,$B167,DATA_GOC!$E:$E,"Téc 3",DATA_GOC!$F:$F,"Xuất nội bộ từ téc",DATA_GOC!$B:$B,DATE($D$2,$B$2,T$4)),0))</f>
        <v>0</v>
      </c>
      <c r="U167" s="251">
        <f>IF(U$4&gt;DAY(EOMONTH(DATE($D$2,$B$2,1),0)),"",IFERROR(SUMIFS(DATA_GOC!$H:$H,DATA_GOC!$A:$A,"BOM",DATA_GOC!$D:$D,$B167,DATA_GOC!$E:$E,"Téc 3",DATA_GOC!$F:$F,"Xuất nội bộ từ téc",DATA_GOC!$B:$B,DATE($D$2,$B$2,U$4)),0))</f>
        <v>0</v>
      </c>
      <c r="V167" s="251">
        <f>IF(V$4&gt;DAY(EOMONTH(DATE($D$2,$B$2,1),0)),"",IFERROR(SUMIFS(DATA_GOC!$H:$H,DATA_GOC!$A:$A,"BOM",DATA_GOC!$D:$D,$B167,DATA_GOC!$E:$E,"Téc 3",DATA_GOC!$F:$F,"Xuất nội bộ từ téc",DATA_GOC!$B:$B,DATE($D$2,$B$2,V$4)),0))</f>
        <v>0</v>
      </c>
      <c r="W167" s="251">
        <f>IF(W$4&gt;DAY(EOMONTH(DATE($D$2,$B$2,1),0)),"",IFERROR(SUMIFS(DATA_GOC!$H:$H,DATA_GOC!$A:$A,"BOM",DATA_GOC!$D:$D,$B167,DATA_GOC!$E:$E,"Téc 3",DATA_GOC!$F:$F,"Xuất nội bộ từ téc",DATA_GOC!$B:$B,DATE($D$2,$B$2,W$4)),0))</f>
        <v>0</v>
      </c>
      <c r="X167" s="251">
        <f>IF(X$4&gt;DAY(EOMONTH(DATE($D$2,$B$2,1),0)),"",IFERROR(SUMIFS(DATA_GOC!$H:$H,DATA_GOC!$A:$A,"BOM",DATA_GOC!$D:$D,$B167,DATA_GOC!$E:$E,"Téc 3",DATA_GOC!$F:$F,"Xuất nội bộ từ téc",DATA_GOC!$B:$B,DATE($D$2,$B$2,X$4)),0))</f>
        <v>0</v>
      </c>
      <c r="Y167" s="251">
        <f>IF(Y$4&gt;DAY(EOMONTH(DATE($D$2,$B$2,1),0)),"",IFERROR(SUMIFS(DATA_GOC!$H:$H,DATA_GOC!$A:$A,"BOM",DATA_GOC!$D:$D,$B167,DATA_GOC!$E:$E,"Téc 3",DATA_GOC!$F:$F,"Xuất nội bộ từ téc",DATA_GOC!$B:$B,DATE($D$2,$B$2,Y$4)),0))</f>
        <v>0</v>
      </c>
      <c r="Z167" s="251">
        <f>IF(Z$4&gt;DAY(EOMONTH(DATE($D$2,$B$2,1),0)),"",IFERROR(SUMIFS(DATA_GOC!$H:$H,DATA_GOC!$A:$A,"BOM",DATA_GOC!$D:$D,$B167,DATA_GOC!$E:$E,"Téc 3",DATA_GOC!$F:$F,"Xuất nội bộ từ téc",DATA_GOC!$B:$B,DATE($D$2,$B$2,Z$4)),0))</f>
        <v>0</v>
      </c>
      <c r="AA167" s="251">
        <f>IF(AA$4&gt;DAY(EOMONTH(DATE($D$2,$B$2,1),0)),"",IFERROR(SUMIFS(DATA_GOC!$H:$H,DATA_GOC!$A:$A,"BOM",DATA_GOC!$D:$D,$B167,DATA_GOC!$E:$E,"Téc 3",DATA_GOC!$F:$F,"Xuất nội bộ từ téc",DATA_GOC!$B:$B,DATE($D$2,$B$2,AA$4)),0))</f>
        <v>0</v>
      </c>
      <c r="AB167" s="251">
        <f>IF(AB$4&gt;DAY(EOMONTH(DATE($D$2,$B$2,1),0)),"",IFERROR(SUMIFS(DATA_GOC!$H:$H,DATA_GOC!$A:$A,"BOM",DATA_GOC!$D:$D,$B167,DATA_GOC!$E:$E,"Téc 3",DATA_GOC!$F:$F,"Xuất nội bộ từ téc",DATA_GOC!$B:$B,DATE($D$2,$B$2,AB$4)),0))</f>
        <v>0</v>
      </c>
      <c r="AC167" s="251">
        <f>IF(AC$4&gt;DAY(EOMONTH(DATE($D$2,$B$2,1),0)),"",IFERROR(SUMIFS(DATA_GOC!$H:$H,DATA_GOC!$A:$A,"BOM",DATA_GOC!$D:$D,$B167,DATA_GOC!$E:$E,"Téc 3",DATA_GOC!$F:$F,"Xuất nội bộ từ téc",DATA_GOC!$B:$B,DATE($D$2,$B$2,AC$4)),0))</f>
        <v>0</v>
      </c>
      <c r="AD167" s="251">
        <f>IF(AD$4&gt;DAY(EOMONTH(DATE($D$2,$B$2,1),0)),"",IFERROR(SUMIFS(DATA_GOC!$H:$H,DATA_GOC!$A:$A,"BOM",DATA_GOC!$D:$D,$B167,DATA_GOC!$E:$E,"Téc 3",DATA_GOC!$F:$F,"Xuất nội bộ từ téc",DATA_GOC!$B:$B,DATE($D$2,$B$2,AD$4)),0))</f>
        <v>0</v>
      </c>
      <c r="AE167" s="251">
        <f>IF(AE$4&gt;DAY(EOMONTH(DATE($D$2,$B$2,1),0)),"",IFERROR(SUMIFS(DATA_GOC!$H:$H,DATA_GOC!$A:$A,"BOM",DATA_GOC!$D:$D,$B167,DATA_GOC!$E:$E,"Téc 3",DATA_GOC!$F:$F,"Xuất nội bộ từ téc",DATA_GOC!$B:$B,DATE($D$2,$B$2,AE$4)),0))</f>
        <v>0</v>
      </c>
      <c r="AF167" s="251">
        <f>IF(AF$4&gt;DAY(EOMONTH(DATE($D$2,$B$2,1),0)),"",IFERROR(SUMIFS(DATA_GOC!$H:$H,DATA_GOC!$A:$A,"BOM",DATA_GOC!$D:$D,$B167,DATA_GOC!$E:$E,"Téc 3",DATA_GOC!$F:$F,"Xuất nội bộ từ téc",DATA_GOC!$B:$B,DATE($D$2,$B$2,AF$4)),0))</f>
        <v>0</v>
      </c>
      <c r="AG167" s="251">
        <f>IF(AG$4&gt;DAY(EOMONTH(DATE($D$2,$B$2,1),0)),"",IFERROR(SUMIFS(DATA_GOC!$H:$H,DATA_GOC!$A:$A,"BOM",DATA_GOC!$D:$D,$B167,DATA_GOC!$E:$E,"Téc 3",DATA_GOC!$F:$F,"Xuất nội bộ từ téc",DATA_GOC!$B:$B,DATE($D$2,$B$2,AG$4)),0))</f>
        <v>0</v>
      </c>
      <c r="AH167" s="252">
        <f t="shared" si="7"/>
        <v>0</v>
      </c>
      <c r="AI167" s="241"/>
      <c r="AJ167" s="242">
        <f>IF($B167="","",SUMIFS(TINH_TEC!$K$233:$K$9232,TINH_TEC!$H$233:$H$9232,$B167,TINH_TEC!$C$233:$C$9232,"Téc 3",TINH_TEC!$F$233:$F$9232,$B$2,TINH_TEC!$G$233:$G$9232,$D$2,TINH_TEC!$B$233:$B$9232,"Đã chốt"))</f>
        <v>0</v>
      </c>
      <c r="AK167" s="242">
        <f>IF($B167="","",SUMIFS(TINH_TEC!$J$233:$J$9232,TINH_TEC!$H$233:$H$9232,$B167,TINH_TEC!$C$233:$C$9232,"Téc 3",TINH_TEC!$F$233:$F$9232,$B$2,TINH_TEC!$G$233:$G$9232,$D$2,TINH_TEC!$B$233:$B$9232,"Đã chốt"))</f>
        <v>0</v>
      </c>
      <c r="AL167" s="242">
        <f t="shared" si="8"/>
        <v>0</v>
      </c>
    </row>
    <row r="168" ht="15.75" customHeight="1">
      <c r="A168" s="237">
        <f>IF($B168&lt;&gt;"",41,"")</f>
        <v>41</v>
      </c>
      <c r="B168" s="250" t="str">
        <f t="array" ref="B168">IFERROR(INDEX(DANH_MUC!$E:$E,44),"")</f>
        <v>29E17269</v>
      </c>
      <c r="C168" s="251">
        <f>IF(C$4&gt;DAY(EOMONTH(DATE($D$2,$B$2,1),0)),"",IFERROR(SUMIFS(DATA_GOC!$H:$H,DATA_GOC!$A:$A,"BOM",DATA_GOC!$D:$D,$B168,DATA_GOC!$E:$E,"Téc 3",DATA_GOC!$F:$F,"Xuất nội bộ từ téc",DATA_GOC!$B:$B,DATE($D$2,$B$2,C$4)),0))</f>
        <v>0</v>
      </c>
      <c r="D168" s="251">
        <f>IF(D$4&gt;DAY(EOMONTH(DATE($D$2,$B$2,1),0)),"",IFERROR(SUMIFS(DATA_GOC!$H:$H,DATA_GOC!$A:$A,"BOM",DATA_GOC!$D:$D,$B168,DATA_GOC!$E:$E,"Téc 3",DATA_GOC!$F:$F,"Xuất nội bộ từ téc",DATA_GOC!$B:$B,DATE($D$2,$B$2,D$4)),0))</f>
        <v>0</v>
      </c>
      <c r="E168" s="251">
        <f>IF(E$4&gt;DAY(EOMONTH(DATE($D$2,$B$2,1),0)),"",IFERROR(SUMIFS(DATA_GOC!$H:$H,DATA_GOC!$A:$A,"BOM",DATA_GOC!$D:$D,$B168,DATA_GOC!$E:$E,"Téc 3",DATA_GOC!$F:$F,"Xuất nội bộ từ téc",DATA_GOC!$B:$B,DATE($D$2,$B$2,E$4)),0))</f>
        <v>0</v>
      </c>
      <c r="F168" s="251">
        <f>IF(F$4&gt;DAY(EOMONTH(DATE($D$2,$B$2,1),0)),"",IFERROR(SUMIFS(DATA_GOC!$H:$H,DATA_GOC!$A:$A,"BOM",DATA_GOC!$D:$D,$B168,DATA_GOC!$E:$E,"Téc 3",DATA_GOC!$F:$F,"Xuất nội bộ từ téc",DATA_GOC!$B:$B,DATE($D$2,$B$2,F$4)),0))</f>
        <v>0</v>
      </c>
      <c r="G168" s="251">
        <f>IF(G$4&gt;DAY(EOMONTH(DATE($D$2,$B$2,1),0)),"",IFERROR(SUMIFS(DATA_GOC!$H:$H,DATA_GOC!$A:$A,"BOM",DATA_GOC!$D:$D,$B168,DATA_GOC!$E:$E,"Téc 3",DATA_GOC!$F:$F,"Xuất nội bộ từ téc",DATA_GOC!$B:$B,DATE($D$2,$B$2,G$4)),0))</f>
        <v>0</v>
      </c>
      <c r="H168" s="251">
        <f>IF(H$4&gt;DAY(EOMONTH(DATE($D$2,$B$2,1),0)),"",IFERROR(SUMIFS(DATA_GOC!$H:$H,DATA_GOC!$A:$A,"BOM",DATA_GOC!$D:$D,$B168,DATA_GOC!$E:$E,"Téc 3",DATA_GOC!$F:$F,"Xuất nội bộ từ téc",DATA_GOC!$B:$B,DATE($D$2,$B$2,H$4)),0))</f>
        <v>0</v>
      </c>
      <c r="I168" s="251">
        <f>IF(I$4&gt;DAY(EOMONTH(DATE($D$2,$B$2,1),0)),"",IFERROR(SUMIFS(DATA_GOC!$H:$H,DATA_GOC!$A:$A,"BOM",DATA_GOC!$D:$D,$B168,DATA_GOC!$E:$E,"Téc 3",DATA_GOC!$F:$F,"Xuất nội bộ từ téc",DATA_GOC!$B:$B,DATE($D$2,$B$2,I$4)),0))</f>
        <v>0</v>
      </c>
      <c r="J168" s="251">
        <f>IF(J$4&gt;DAY(EOMONTH(DATE($D$2,$B$2,1),0)),"",IFERROR(SUMIFS(DATA_GOC!$H:$H,DATA_GOC!$A:$A,"BOM",DATA_GOC!$D:$D,$B168,DATA_GOC!$E:$E,"Téc 3",DATA_GOC!$F:$F,"Xuất nội bộ từ téc",DATA_GOC!$B:$B,DATE($D$2,$B$2,J$4)),0))</f>
        <v>0</v>
      </c>
      <c r="K168" s="251">
        <f>IF(K$4&gt;DAY(EOMONTH(DATE($D$2,$B$2,1),0)),"",IFERROR(SUMIFS(DATA_GOC!$H:$H,DATA_GOC!$A:$A,"BOM",DATA_GOC!$D:$D,$B168,DATA_GOC!$E:$E,"Téc 3",DATA_GOC!$F:$F,"Xuất nội bộ từ téc",DATA_GOC!$B:$B,DATE($D$2,$B$2,K$4)),0))</f>
        <v>0</v>
      </c>
      <c r="L168" s="251">
        <f>IF(L$4&gt;DAY(EOMONTH(DATE($D$2,$B$2,1),0)),"",IFERROR(SUMIFS(DATA_GOC!$H:$H,DATA_GOC!$A:$A,"BOM",DATA_GOC!$D:$D,$B168,DATA_GOC!$E:$E,"Téc 3",DATA_GOC!$F:$F,"Xuất nội bộ từ téc",DATA_GOC!$B:$B,DATE($D$2,$B$2,L$4)),0))</f>
        <v>0</v>
      </c>
      <c r="M168" s="251">
        <f>IF(M$4&gt;DAY(EOMONTH(DATE($D$2,$B$2,1),0)),"",IFERROR(SUMIFS(DATA_GOC!$H:$H,DATA_GOC!$A:$A,"BOM",DATA_GOC!$D:$D,$B168,DATA_GOC!$E:$E,"Téc 3",DATA_GOC!$F:$F,"Xuất nội bộ từ téc",DATA_GOC!$B:$B,DATE($D$2,$B$2,M$4)),0))</f>
        <v>0</v>
      </c>
      <c r="N168" s="251">
        <f>IF(N$4&gt;DAY(EOMONTH(DATE($D$2,$B$2,1),0)),"",IFERROR(SUMIFS(DATA_GOC!$H:$H,DATA_GOC!$A:$A,"BOM",DATA_GOC!$D:$D,$B168,DATA_GOC!$E:$E,"Téc 3",DATA_GOC!$F:$F,"Xuất nội bộ từ téc",DATA_GOC!$B:$B,DATE($D$2,$B$2,N$4)),0))</f>
        <v>0</v>
      </c>
      <c r="O168" s="251">
        <f>IF(O$4&gt;DAY(EOMONTH(DATE($D$2,$B$2,1),0)),"",IFERROR(SUMIFS(DATA_GOC!$H:$H,DATA_GOC!$A:$A,"BOM",DATA_GOC!$D:$D,$B168,DATA_GOC!$E:$E,"Téc 3",DATA_GOC!$F:$F,"Xuất nội bộ từ téc",DATA_GOC!$B:$B,DATE($D$2,$B$2,O$4)),0))</f>
        <v>0</v>
      </c>
      <c r="P168" s="251">
        <f>IF(P$4&gt;DAY(EOMONTH(DATE($D$2,$B$2,1),0)),"",IFERROR(SUMIFS(DATA_GOC!$H:$H,DATA_GOC!$A:$A,"BOM",DATA_GOC!$D:$D,$B168,DATA_GOC!$E:$E,"Téc 3",DATA_GOC!$F:$F,"Xuất nội bộ từ téc",DATA_GOC!$B:$B,DATE($D$2,$B$2,P$4)),0))</f>
        <v>0</v>
      </c>
      <c r="Q168" s="251">
        <f>IF(Q$4&gt;DAY(EOMONTH(DATE($D$2,$B$2,1),0)),"",IFERROR(SUMIFS(DATA_GOC!$H:$H,DATA_GOC!$A:$A,"BOM",DATA_GOC!$D:$D,$B168,DATA_GOC!$E:$E,"Téc 3",DATA_GOC!$F:$F,"Xuất nội bộ từ téc",DATA_GOC!$B:$B,DATE($D$2,$B$2,Q$4)),0))</f>
        <v>0</v>
      </c>
      <c r="R168" s="251">
        <f>IF(R$4&gt;DAY(EOMONTH(DATE($D$2,$B$2,1),0)),"",IFERROR(SUMIFS(DATA_GOC!$H:$H,DATA_GOC!$A:$A,"BOM",DATA_GOC!$D:$D,$B168,DATA_GOC!$E:$E,"Téc 3",DATA_GOC!$F:$F,"Xuất nội bộ từ téc",DATA_GOC!$B:$B,DATE($D$2,$B$2,R$4)),0))</f>
        <v>0</v>
      </c>
      <c r="S168" s="251">
        <f>IF(S$4&gt;DAY(EOMONTH(DATE($D$2,$B$2,1),0)),"",IFERROR(SUMIFS(DATA_GOC!$H:$H,DATA_GOC!$A:$A,"BOM",DATA_GOC!$D:$D,$B168,DATA_GOC!$E:$E,"Téc 3",DATA_GOC!$F:$F,"Xuất nội bộ từ téc",DATA_GOC!$B:$B,DATE($D$2,$B$2,S$4)),0))</f>
        <v>0</v>
      </c>
      <c r="T168" s="251">
        <f>IF(T$4&gt;DAY(EOMONTH(DATE($D$2,$B$2,1),0)),"",IFERROR(SUMIFS(DATA_GOC!$H:$H,DATA_GOC!$A:$A,"BOM",DATA_GOC!$D:$D,$B168,DATA_GOC!$E:$E,"Téc 3",DATA_GOC!$F:$F,"Xuất nội bộ từ téc",DATA_GOC!$B:$B,DATE($D$2,$B$2,T$4)),0))</f>
        <v>0</v>
      </c>
      <c r="U168" s="251">
        <f>IF(U$4&gt;DAY(EOMONTH(DATE($D$2,$B$2,1),0)),"",IFERROR(SUMIFS(DATA_GOC!$H:$H,DATA_GOC!$A:$A,"BOM",DATA_GOC!$D:$D,$B168,DATA_GOC!$E:$E,"Téc 3",DATA_GOC!$F:$F,"Xuất nội bộ từ téc",DATA_GOC!$B:$B,DATE($D$2,$B$2,U$4)),0))</f>
        <v>0</v>
      </c>
      <c r="V168" s="251">
        <f>IF(V$4&gt;DAY(EOMONTH(DATE($D$2,$B$2,1),0)),"",IFERROR(SUMIFS(DATA_GOC!$H:$H,DATA_GOC!$A:$A,"BOM",DATA_GOC!$D:$D,$B168,DATA_GOC!$E:$E,"Téc 3",DATA_GOC!$F:$F,"Xuất nội bộ từ téc",DATA_GOC!$B:$B,DATE($D$2,$B$2,V$4)),0))</f>
        <v>0</v>
      </c>
      <c r="W168" s="251">
        <f>IF(W$4&gt;DAY(EOMONTH(DATE($D$2,$B$2,1),0)),"",IFERROR(SUMIFS(DATA_GOC!$H:$H,DATA_GOC!$A:$A,"BOM",DATA_GOC!$D:$D,$B168,DATA_GOC!$E:$E,"Téc 3",DATA_GOC!$F:$F,"Xuất nội bộ từ téc",DATA_GOC!$B:$B,DATE($D$2,$B$2,W$4)),0))</f>
        <v>0</v>
      </c>
      <c r="X168" s="251">
        <f>IF(X$4&gt;DAY(EOMONTH(DATE($D$2,$B$2,1),0)),"",IFERROR(SUMIFS(DATA_GOC!$H:$H,DATA_GOC!$A:$A,"BOM",DATA_GOC!$D:$D,$B168,DATA_GOC!$E:$E,"Téc 3",DATA_GOC!$F:$F,"Xuất nội bộ từ téc",DATA_GOC!$B:$B,DATE($D$2,$B$2,X$4)),0))</f>
        <v>0</v>
      </c>
      <c r="Y168" s="251">
        <f>IF(Y$4&gt;DAY(EOMONTH(DATE($D$2,$B$2,1),0)),"",IFERROR(SUMIFS(DATA_GOC!$H:$H,DATA_GOC!$A:$A,"BOM",DATA_GOC!$D:$D,$B168,DATA_GOC!$E:$E,"Téc 3",DATA_GOC!$F:$F,"Xuất nội bộ từ téc",DATA_GOC!$B:$B,DATE($D$2,$B$2,Y$4)),0))</f>
        <v>0</v>
      </c>
      <c r="Z168" s="251">
        <f>IF(Z$4&gt;DAY(EOMONTH(DATE($D$2,$B$2,1),0)),"",IFERROR(SUMIFS(DATA_GOC!$H:$H,DATA_GOC!$A:$A,"BOM",DATA_GOC!$D:$D,$B168,DATA_GOC!$E:$E,"Téc 3",DATA_GOC!$F:$F,"Xuất nội bộ từ téc",DATA_GOC!$B:$B,DATE($D$2,$B$2,Z$4)),0))</f>
        <v>0</v>
      </c>
      <c r="AA168" s="251">
        <f>IF(AA$4&gt;DAY(EOMONTH(DATE($D$2,$B$2,1),0)),"",IFERROR(SUMIFS(DATA_GOC!$H:$H,DATA_GOC!$A:$A,"BOM",DATA_GOC!$D:$D,$B168,DATA_GOC!$E:$E,"Téc 3",DATA_GOC!$F:$F,"Xuất nội bộ từ téc",DATA_GOC!$B:$B,DATE($D$2,$B$2,AA$4)),0))</f>
        <v>0</v>
      </c>
      <c r="AB168" s="251">
        <f>IF(AB$4&gt;DAY(EOMONTH(DATE($D$2,$B$2,1),0)),"",IFERROR(SUMIFS(DATA_GOC!$H:$H,DATA_GOC!$A:$A,"BOM",DATA_GOC!$D:$D,$B168,DATA_GOC!$E:$E,"Téc 3",DATA_GOC!$F:$F,"Xuất nội bộ từ téc",DATA_GOC!$B:$B,DATE($D$2,$B$2,AB$4)),0))</f>
        <v>0</v>
      </c>
      <c r="AC168" s="251">
        <f>IF(AC$4&gt;DAY(EOMONTH(DATE($D$2,$B$2,1),0)),"",IFERROR(SUMIFS(DATA_GOC!$H:$H,DATA_GOC!$A:$A,"BOM",DATA_GOC!$D:$D,$B168,DATA_GOC!$E:$E,"Téc 3",DATA_GOC!$F:$F,"Xuất nội bộ từ téc",DATA_GOC!$B:$B,DATE($D$2,$B$2,AC$4)),0))</f>
        <v>0</v>
      </c>
      <c r="AD168" s="251">
        <f>IF(AD$4&gt;DAY(EOMONTH(DATE($D$2,$B$2,1),0)),"",IFERROR(SUMIFS(DATA_GOC!$H:$H,DATA_GOC!$A:$A,"BOM",DATA_GOC!$D:$D,$B168,DATA_GOC!$E:$E,"Téc 3",DATA_GOC!$F:$F,"Xuất nội bộ từ téc",DATA_GOC!$B:$B,DATE($D$2,$B$2,AD$4)),0))</f>
        <v>0</v>
      </c>
      <c r="AE168" s="251">
        <f>IF(AE$4&gt;DAY(EOMONTH(DATE($D$2,$B$2,1),0)),"",IFERROR(SUMIFS(DATA_GOC!$H:$H,DATA_GOC!$A:$A,"BOM",DATA_GOC!$D:$D,$B168,DATA_GOC!$E:$E,"Téc 3",DATA_GOC!$F:$F,"Xuất nội bộ từ téc",DATA_GOC!$B:$B,DATE($D$2,$B$2,AE$4)),0))</f>
        <v>0</v>
      </c>
      <c r="AF168" s="251">
        <f>IF(AF$4&gt;DAY(EOMONTH(DATE($D$2,$B$2,1),0)),"",IFERROR(SUMIFS(DATA_GOC!$H:$H,DATA_GOC!$A:$A,"BOM",DATA_GOC!$D:$D,$B168,DATA_GOC!$E:$E,"Téc 3",DATA_GOC!$F:$F,"Xuất nội bộ từ téc",DATA_GOC!$B:$B,DATE($D$2,$B$2,AF$4)),0))</f>
        <v>0</v>
      </c>
      <c r="AG168" s="251">
        <f>IF(AG$4&gt;DAY(EOMONTH(DATE($D$2,$B$2,1),0)),"",IFERROR(SUMIFS(DATA_GOC!$H:$H,DATA_GOC!$A:$A,"BOM",DATA_GOC!$D:$D,$B168,DATA_GOC!$E:$E,"Téc 3",DATA_GOC!$F:$F,"Xuất nội bộ từ téc",DATA_GOC!$B:$B,DATE($D$2,$B$2,AG$4)),0))</f>
        <v>0</v>
      </c>
      <c r="AH168" s="252">
        <f t="shared" si="7"/>
        <v>0</v>
      </c>
      <c r="AI168" s="241"/>
      <c r="AJ168" s="242">
        <f>IF($B168="","",SUMIFS(TINH_TEC!$K$233:$K$9232,TINH_TEC!$H$233:$H$9232,$B168,TINH_TEC!$C$233:$C$9232,"Téc 3",TINH_TEC!$F$233:$F$9232,$B$2,TINH_TEC!$G$233:$G$9232,$D$2,TINH_TEC!$B$233:$B$9232,"Đã chốt"))</f>
        <v>0</v>
      </c>
      <c r="AK168" s="242">
        <f>IF($B168="","",SUMIFS(TINH_TEC!$J$233:$J$9232,TINH_TEC!$H$233:$H$9232,$B168,TINH_TEC!$C$233:$C$9232,"Téc 3",TINH_TEC!$F$233:$F$9232,$B$2,TINH_TEC!$G$233:$G$9232,$D$2,TINH_TEC!$B$233:$B$9232,"Đã chốt"))</f>
        <v>0</v>
      </c>
      <c r="AL168" s="242">
        <f t="shared" si="8"/>
        <v>0</v>
      </c>
    </row>
    <row r="169" ht="15.75" customHeight="1">
      <c r="A169" s="237">
        <f>IF($B169&lt;&gt;"",42,"")</f>
        <v>42</v>
      </c>
      <c r="B169" s="250" t="str">
        <f t="array" ref="B169">IFERROR(INDEX(DANH_MUC!$E:$E,45),"")</f>
        <v>29E17273</v>
      </c>
      <c r="C169" s="251">
        <f>IF(C$4&gt;DAY(EOMONTH(DATE($D$2,$B$2,1),0)),"",IFERROR(SUMIFS(DATA_GOC!$H:$H,DATA_GOC!$A:$A,"BOM",DATA_GOC!$D:$D,$B169,DATA_GOC!$E:$E,"Téc 3",DATA_GOC!$F:$F,"Xuất nội bộ từ téc",DATA_GOC!$B:$B,DATE($D$2,$B$2,C$4)),0))</f>
        <v>0</v>
      </c>
      <c r="D169" s="251">
        <f>IF(D$4&gt;DAY(EOMONTH(DATE($D$2,$B$2,1),0)),"",IFERROR(SUMIFS(DATA_GOC!$H:$H,DATA_GOC!$A:$A,"BOM",DATA_GOC!$D:$D,$B169,DATA_GOC!$E:$E,"Téc 3",DATA_GOC!$F:$F,"Xuất nội bộ từ téc",DATA_GOC!$B:$B,DATE($D$2,$B$2,D$4)),0))</f>
        <v>0</v>
      </c>
      <c r="E169" s="251">
        <f>IF(E$4&gt;DAY(EOMONTH(DATE($D$2,$B$2,1),0)),"",IFERROR(SUMIFS(DATA_GOC!$H:$H,DATA_GOC!$A:$A,"BOM",DATA_GOC!$D:$D,$B169,DATA_GOC!$E:$E,"Téc 3",DATA_GOC!$F:$F,"Xuất nội bộ từ téc",DATA_GOC!$B:$B,DATE($D$2,$B$2,E$4)),0))</f>
        <v>0</v>
      </c>
      <c r="F169" s="251">
        <f>IF(F$4&gt;DAY(EOMONTH(DATE($D$2,$B$2,1),0)),"",IFERROR(SUMIFS(DATA_GOC!$H:$H,DATA_GOC!$A:$A,"BOM",DATA_GOC!$D:$D,$B169,DATA_GOC!$E:$E,"Téc 3",DATA_GOC!$F:$F,"Xuất nội bộ từ téc",DATA_GOC!$B:$B,DATE($D$2,$B$2,F$4)),0))</f>
        <v>0</v>
      </c>
      <c r="G169" s="251">
        <f>IF(G$4&gt;DAY(EOMONTH(DATE($D$2,$B$2,1),0)),"",IFERROR(SUMIFS(DATA_GOC!$H:$H,DATA_GOC!$A:$A,"BOM",DATA_GOC!$D:$D,$B169,DATA_GOC!$E:$E,"Téc 3",DATA_GOC!$F:$F,"Xuất nội bộ từ téc",DATA_GOC!$B:$B,DATE($D$2,$B$2,G$4)),0))</f>
        <v>0</v>
      </c>
      <c r="H169" s="251">
        <f>IF(H$4&gt;DAY(EOMONTH(DATE($D$2,$B$2,1),0)),"",IFERROR(SUMIFS(DATA_GOC!$H:$H,DATA_GOC!$A:$A,"BOM",DATA_GOC!$D:$D,$B169,DATA_GOC!$E:$E,"Téc 3",DATA_GOC!$F:$F,"Xuất nội bộ từ téc",DATA_GOC!$B:$B,DATE($D$2,$B$2,H$4)),0))</f>
        <v>0</v>
      </c>
      <c r="I169" s="251">
        <f>IF(I$4&gt;DAY(EOMONTH(DATE($D$2,$B$2,1),0)),"",IFERROR(SUMIFS(DATA_GOC!$H:$H,DATA_GOC!$A:$A,"BOM",DATA_GOC!$D:$D,$B169,DATA_GOC!$E:$E,"Téc 3",DATA_GOC!$F:$F,"Xuất nội bộ từ téc",DATA_GOC!$B:$B,DATE($D$2,$B$2,I$4)),0))</f>
        <v>0</v>
      </c>
      <c r="J169" s="251">
        <f>IF(J$4&gt;DAY(EOMONTH(DATE($D$2,$B$2,1),0)),"",IFERROR(SUMIFS(DATA_GOC!$H:$H,DATA_GOC!$A:$A,"BOM",DATA_GOC!$D:$D,$B169,DATA_GOC!$E:$E,"Téc 3",DATA_GOC!$F:$F,"Xuất nội bộ từ téc",DATA_GOC!$B:$B,DATE($D$2,$B$2,J$4)),0))</f>
        <v>0</v>
      </c>
      <c r="K169" s="251">
        <f>IF(K$4&gt;DAY(EOMONTH(DATE($D$2,$B$2,1),0)),"",IFERROR(SUMIFS(DATA_GOC!$H:$H,DATA_GOC!$A:$A,"BOM",DATA_GOC!$D:$D,$B169,DATA_GOC!$E:$E,"Téc 3",DATA_GOC!$F:$F,"Xuất nội bộ từ téc",DATA_GOC!$B:$B,DATE($D$2,$B$2,K$4)),0))</f>
        <v>0</v>
      </c>
      <c r="L169" s="251">
        <f>IF(L$4&gt;DAY(EOMONTH(DATE($D$2,$B$2,1),0)),"",IFERROR(SUMIFS(DATA_GOC!$H:$H,DATA_GOC!$A:$A,"BOM",DATA_GOC!$D:$D,$B169,DATA_GOC!$E:$E,"Téc 3",DATA_GOC!$F:$F,"Xuất nội bộ từ téc",DATA_GOC!$B:$B,DATE($D$2,$B$2,L$4)),0))</f>
        <v>0</v>
      </c>
      <c r="M169" s="251">
        <f>IF(M$4&gt;DAY(EOMONTH(DATE($D$2,$B$2,1),0)),"",IFERROR(SUMIFS(DATA_GOC!$H:$H,DATA_GOC!$A:$A,"BOM",DATA_GOC!$D:$D,$B169,DATA_GOC!$E:$E,"Téc 3",DATA_GOC!$F:$F,"Xuất nội bộ từ téc",DATA_GOC!$B:$B,DATE($D$2,$B$2,M$4)),0))</f>
        <v>0</v>
      </c>
      <c r="N169" s="251">
        <f>IF(N$4&gt;DAY(EOMONTH(DATE($D$2,$B$2,1),0)),"",IFERROR(SUMIFS(DATA_GOC!$H:$H,DATA_GOC!$A:$A,"BOM",DATA_GOC!$D:$D,$B169,DATA_GOC!$E:$E,"Téc 3",DATA_GOC!$F:$F,"Xuất nội bộ từ téc",DATA_GOC!$B:$B,DATE($D$2,$B$2,N$4)),0))</f>
        <v>0</v>
      </c>
      <c r="O169" s="251">
        <f>IF(O$4&gt;DAY(EOMONTH(DATE($D$2,$B$2,1),0)),"",IFERROR(SUMIFS(DATA_GOC!$H:$H,DATA_GOC!$A:$A,"BOM",DATA_GOC!$D:$D,$B169,DATA_GOC!$E:$E,"Téc 3",DATA_GOC!$F:$F,"Xuất nội bộ từ téc",DATA_GOC!$B:$B,DATE($D$2,$B$2,O$4)),0))</f>
        <v>0</v>
      </c>
      <c r="P169" s="251">
        <f>IF(P$4&gt;DAY(EOMONTH(DATE($D$2,$B$2,1),0)),"",IFERROR(SUMIFS(DATA_GOC!$H:$H,DATA_GOC!$A:$A,"BOM",DATA_GOC!$D:$D,$B169,DATA_GOC!$E:$E,"Téc 3",DATA_GOC!$F:$F,"Xuất nội bộ từ téc",DATA_GOC!$B:$B,DATE($D$2,$B$2,P$4)),0))</f>
        <v>0</v>
      </c>
      <c r="Q169" s="251">
        <f>IF(Q$4&gt;DAY(EOMONTH(DATE($D$2,$B$2,1),0)),"",IFERROR(SUMIFS(DATA_GOC!$H:$H,DATA_GOC!$A:$A,"BOM",DATA_GOC!$D:$D,$B169,DATA_GOC!$E:$E,"Téc 3",DATA_GOC!$F:$F,"Xuất nội bộ từ téc",DATA_GOC!$B:$B,DATE($D$2,$B$2,Q$4)),0))</f>
        <v>0</v>
      </c>
      <c r="R169" s="251">
        <f>IF(R$4&gt;DAY(EOMONTH(DATE($D$2,$B$2,1),0)),"",IFERROR(SUMIFS(DATA_GOC!$H:$H,DATA_GOC!$A:$A,"BOM",DATA_GOC!$D:$D,$B169,DATA_GOC!$E:$E,"Téc 3",DATA_GOC!$F:$F,"Xuất nội bộ từ téc",DATA_GOC!$B:$B,DATE($D$2,$B$2,R$4)),0))</f>
        <v>0</v>
      </c>
      <c r="S169" s="251">
        <f>IF(S$4&gt;DAY(EOMONTH(DATE($D$2,$B$2,1),0)),"",IFERROR(SUMIFS(DATA_GOC!$H:$H,DATA_GOC!$A:$A,"BOM",DATA_GOC!$D:$D,$B169,DATA_GOC!$E:$E,"Téc 3",DATA_GOC!$F:$F,"Xuất nội bộ từ téc",DATA_GOC!$B:$B,DATE($D$2,$B$2,S$4)),0))</f>
        <v>0</v>
      </c>
      <c r="T169" s="251">
        <f>IF(T$4&gt;DAY(EOMONTH(DATE($D$2,$B$2,1),0)),"",IFERROR(SUMIFS(DATA_GOC!$H:$H,DATA_GOC!$A:$A,"BOM",DATA_GOC!$D:$D,$B169,DATA_GOC!$E:$E,"Téc 3",DATA_GOC!$F:$F,"Xuất nội bộ từ téc",DATA_GOC!$B:$B,DATE($D$2,$B$2,T$4)),0))</f>
        <v>0</v>
      </c>
      <c r="U169" s="251">
        <f>IF(U$4&gt;DAY(EOMONTH(DATE($D$2,$B$2,1),0)),"",IFERROR(SUMIFS(DATA_GOC!$H:$H,DATA_GOC!$A:$A,"BOM",DATA_GOC!$D:$D,$B169,DATA_GOC!$E:$E,"Téc 3",DATA_GOC!$F:$F,"Xuất nội bộ từ téc",DATA_GOC!$B:$B,DATE($D$2,$B$2,U$4)),0))</f>
        <v>0</v>
      </c>
      <c r="V169" s="251">
        <f>IF(V$4&gt;DAY(EOMONTH(DATE($D$2,$B$2,1),0)),"",IFERROR(SUMIFS(DATA_GOC!$H:$H,DATA_GOC!$A:$A,"BOM",DATA_GOC!$D:$D,$B169,DATA_GOC!$E:$E,"Téc 3",DATA_GOC!$F:$F,"Xuất nội bộ từ téc",DATA_GOC!$B:$B,DATE($D$2,$B$2,V$4)),0))</f>
        <v>0</v>
      </c>
      <c r="W169" s="251">
        <f>IF(W$4&gt;DAY(EOMONTH(DATE($D$2,$B$2,1),0)),"",IFERROR(SUMIFS(DATA_GOC!$H:$H,DATA_GOC!$A:$A,"BOM",DATA_GOC!$D:$D,$B169,DATA_GOC!$E:$E,"Téc 3",DATA_GOC!$F:$F,"Xuất nội bộ từ téc",DATA_GOC!$B:$B,DATE($D$2,$B$2,W$4)),0))</f>
        <v>0</v>
      </c>
      <c r="X169" s="251">
        <f>IF(X$4&gt;DAY(EOMONTH(DATE($D$2,$B$2,1),0)),"",IFERROR(SUMIFS(DATA_GOC!$H:$H,DATA_GOC!$A:$A,"BOM",DATA_GOC!$D:$D,$B169,DATA_GOC!$E:$E,"Téc 3",DATA_GOC!$F:$F,"Xuất nội bộ từ téc",DATA_GOC!$B:$B,DATE($D$2,$B$2,X$4)),0))</f>
        <v>0</v>
      </c>
      <c r="Y169" s="251">
        <f>IF(Y$4&gt;DAY(EOMONTH(DATE($D$2,$B$2,1),0)),"",IFERROR(SUMIFS(DATA_GOC!$H:$H,DATA_GOC!$A:$A,"BOM",DATA_GOC!$D:$D,$B169,DATA_GOC!$E:$E,"Téc 3",DATA_GOC!$F:$F,"Xuất nội bộ từ téc",DATA_GOC!$B:$B,DATE($D$2,$B$2,Y$4)),0))</f>
        <v>0</v>
      </c>
      <c r="Z169" s="251">
        <f>IF(Z$4&gt;DAY(EOMONTH(DATE($D$2,$B$2,1),0)),"",IFERROR(SUMIFS(DATA_GOC!$H:$H,DATA_GOC!$A:$A,"BOM",DATA_GOC!$D:$D,$B169,DATA_GOC!$E:$E,"Téc 3",DATA_GOC!$F:$F,"Xuất nội bộ từ téc",DATA_GOC!$B:$B,DATE($D$2,$B$2,Z$4)),0))</f>
        <v>0</v>
      </c>
      <c r="AA169" s="251">
        <f>IF(AA$4&gt;DAY(EOMONTH(DATE($D$2,$B$2,1),0)),"",IFERROR(SUMIFS(DATA_GOC!$H:$H,DATA_GOC!$A:$A,"BOM",DATA_GOC!$D:$D,$B169,DATA_GOC!$E:$E,"Téc 3",DATA_GOC!$F:$F,"Xuất nội bộ từ téc",DATA_GOC!$B:$B,DATE($D$2,$B$2,AA$4)),0))</f>
        <v>0</v>
      </c>
      <c r="AB169" s="251">
        <f>IF(AB$4&gt;DAY(EOMONTH(DATE($D$2,$B$2,1),0)),"",IFERROR(SUMIFS(DATA_GOC!$H:$H,DATA_GOC!$A:$A,"BOM",DATA_GOC!$D:$D,$B169,DATA_GOC!$E:$E,"Téc 3",DATA_GOC!$F:$F,"Xuất nội bộ từ téc",DATA_GOC!$B:$B,DATE($D$2,$B$2,AB$4)),0))</f>
        <v>0</v>
      </c>
      <c r="AC169" s="251">
        <f>IF(AC$4&gt;DAY(EOMONTH(DATE($D$2,$B$2,1),0)),"",IFERROR(SUMIFS(DATA_GOC!$H:$H,DATA_GOC!$A:$A,"BOM",DATA_GOC!$D:$D,$B169,DATA_GOC!$E:$E,"Téc 3",DATA_GOC!$F:$F,"Xuất nội bộ từ téc",DATA_GOC!$B:$B,DATE($D$2,$B$2,AC$4)),0))</f>
        <v>0</v>
      </c>
      <c r="AD169" s="251">
        <f>IF(AD$4&gt;DAY(EOMONTH(DATE($D$2,$B$2,1),0)),"",IFERROR(SUMIFS(DATA_GOC!$H:$H,DATA_GOC!$A:$A,"BOM",DATA_GOC!$D:$D,$B169,DATA_GOC!$E:$E,"Téc 3",DATA_GOC!$F:$F,"Xuất nội bộ từ téc",DATA_GOC!$B:$B,DATE($D$2,$B$2,AD$4)),0))</f>
        <v>0</v>
      </c>
      <c r="AE169" s="251">
        <f>IF(AE$4&gt;DAY(EOMONTH(DATE($D$2,$B$2,1),0)),"",IFERROR(SUMIFS(DATA_GOC!$H:$H,DATA_GOC!$A:$A,"BOM",DATA_GOC!$D:$D,$B169,DATA_GOC!$E:$E,"Téc 3",DATA_GOC!$F:$F,"Xuất nội bộ từ téc",DATA_GOC!$B:$B,DATE($D$2,$B$2,AE$4)),0))</f>
        <v>0</v>
      </c>
      <c r="AF169" s="251">
        <f>IF(AF$4&gt;DAY(EOMONTH(DATE($D$2,$B$2,1),0)),"",IFERROR(SUMIFS(DATA_GOC!$H:$H,DATA_GOC!$A:$A,"BOM",DATA_GOC!$D:$D,$B169,DATA_GOC!$E:$E,"Téc 3",DATA_GOC!$F:$F,"Xuất nội bộ từ téc",DATA_GOC!$B:$B,DATE($D$2,$B$2,AF$4)),0))</f>
        <v>0</v>
      </c>
      <c r="AG169" s="251">
        <f>IF(AG$4&gt;DAY(EOMONTH(DATE($D$2,$B$2,1),0)),"",IFERROR(SUMIFS(DATA_GOC!$H:$H,DATA_GOC!$A:$A,"BOM",DATA_GOC!$D:$D,$B169,DATA_GOC!$E:$E,"Téc 3",DATA_GOC!$F:$F,"Xuất nội bộ từ téc",DATA_GOC!$B:$B,DATE($D$2,$B$2,AG$4)),0))</f>
        <v>0</v>
      </c>
      <c r="AH169" s="252">
        <f t="shared" si="7"/>
        <v>0</v>
      </c>
      <c r="AI169" s="241"/>
      <c r="AJ169" s="242">
        <f>IF($B169="","",SUMIFS(TINH_TEC!$K$233:$K$9232,TINH_TEC!$H$233:$H$9232,$B169,TINH_TEC!$C$233:$C$9232,"Téc 3",TINH_TEC!$F$233:$F$9232,$B$2,TINH_TEC!$G$233:$G$9232,$D$2,TINH_TEC!$B$233:$B$9232,"Đã chốt"))</f>
        <v>0</v>
      </c>
      <c r="AK169" s="242">
        <f>IF($B169="","",SUMIFS(TINH_TEC!$J$233:$J$9232,TINH_TEC!$H$233:$H$9232,$B169,TINH_TEC!$C$233:$C$9232,"Téc 3",TINH_TEC!$F$233:$F$9232,$B$2,TINH_TEC!$G$233:$G$9232,$D$2,TINH_TEC!$B$233:$B$9232,"Đã chốt"))</f>
        <v>0</v>
      </c>
      <c r="AL169" s="242">
        <f t="shared" si="8"/>
        <v>0</v>
      </c>
    </row>
    <row r="170" ht="15.75" customHeight="1">
      <c r="A170" s="237">
        <f>IF($B170&lt;&gt;"",43,"")</f>
        <v>43</v>
      </c>
      <c r="B170" s="250" t="str">
        <f t="array" ref="B170">IFERROR(INDEX(DANH_MUC!$E:$E,46),"")</f>
        <v>29E17410</v>
      </c>
      <c r="C170" s="251">
        <f>IF(C$4&gt;DAY(EOMONTH(DATE($D$2,$B$2,1),0)),"",IFERROR(SUMIFS(DATA_GOC!$H:$H,DATA_GOC!$A:$A,"BOM",DATA_GOC!$D:$D,$B170,DATA_GOC!$E:$E,"Téc 3",DATA_GOC!$F:$F,"Xuất nội bộ từ téc",DATA_GOC!$B:$B,DATE($D$2,$B$2,C$4)),0))</f>
        <v>0</v>
      </c>
      <c r="D170" s="251">
        <f>IF(D$4&gt;DAY(EOMONTH(DATE($D$2,$B$2,1),0)),"",IFERROR(SUMIFS(DATA_GOC!$H:$H,DATA_GOC!$A:$A,"BOM",DATA_GOC!$D:$D,$B170,DATA_GOC!$E:$E,"Téc 3",DATA_GOC!$F:$F,"Xuất nội bộ từ téc",DATA_GOC!$B:$B,DATE($D$2,$B$2,D$4)),0))</f>
        <v>0</v>
      </c>
      <c r="E170" s="251">
        <f>IF(E$4&gt;DAY(EOMONTH(DATE($D$2,$B$2,1),0)),"",IFERROR(SUMIFS(DATA_GOC!$H:$H,DATA_GOC!$A:$A,"BOM",DATA_GOC!$D:$D,$B170,DATA_GOC!$E:$E,"Téc 3",DATA_GOC!$F:$F,"Xuất nội bộ từ téc",DATA_GOC!$B:$B,DATE($D$2,$B$2,E$4)),0))</f>
        <v>0</v>
      </c>
      <c r="F170" s="251">
        <f>IF(F$4&gt;DAY(EOMONTH(DATE($D$2,$B$2,1),0)),"",IFERROR(SUMIFS(DATA_GOC!$H:$H,DATA_GOC!$A:$A,"BOM",DATA_GOC!$D:$D,$B170,DATA_GOC!$E:$E,"Téc 3",DATA_GOC!$F:$F,"Xuất nội bộ từ téc",DATA_GOC!$B:$B,DATE($D$2,$B$2,F$4)),0))</f>
        <v>0</v>
      </c>
      <c r="G170" s="251">
        <f>IF(G$4&gt;DAY(EOMONTH(DATE($D$2,$B$2,1),0)),"",IFERROR(SUMIFS(DATA_GOC!$H:$H,DATA_GOC!$A:$A,"BOM",DATA_GOC!$D:$D,$B170,DATA_GOC!$E:$E,"Téc 3",DATA_GOC!$F:$F,"Xuất nội bộ từ téc",DATA_GOC!$B:$B,DATE($D$2,$B$2,G$4)),0))</f>
        <v>0</v>
      </c>
      <c r="H170" s="251">
        <f>IF(H$4&gt;DAY(EOMONTH(DATE($D$2,$B$2,1),0)),"",IFERROR(SUMIFS(DATA_GOC!$H:$H,DATA_GOC!$A:$A,"BOM",DATA_GOC!$D:$D,$B170,DATA_GOC!$E:$E,"Téc 3",DATA_GOC!$F:$F,"Xuất nội bộ từ téc",DATA_GOC!$B:$B,DATE($D$2,$B$2,H$4)),0))</f>
        <v>0</v>
      </c>
      <c r="I170" s="251">
        <f>IF(I$4&gt;DAY(EOMONTH(DATE($D$2,$B$2,1),0)),"",IFERROR(SUMIFS(DATA_GOC!$H:$H,DATA_GOC!$A:$A,"BOM",DATA_GOC!$D:$D,$B170,DATA_GOC!$E:$E,"Téc 3",DATA_GOC!$F:$F,"Xuất nội bộ từ téc",DATA_GOC!$B:$B,DATE($D$2,$B$2,I$4)),0))</f>
        <v>0</v>
      </c>
      <c r="J170" s="251">
        <f>IF(J$4&gt;DAY(EOMONTH(DATE($D$2,$B$2,1),0)),"",IFERROR(SUMIFS(DATA_GOC!$H:$H,DATA_GOC!$A:$A,"BOM",DATA_GOC!$D:$D,$B170,DATA_GOC!$E:$E,"Téc 3",DATA_GOC!$F:$F,"Xuất nội bộ từ téc",DATA_GOC!$B:$B,DATE($D$2,$B$2,J$4)),0))</f>
        <v>0</v>
      </c>
      <c r="K170" s="251">
        <f>IF(K$4&gt;DAY(EOMONTH(DATE($D$2,$B$2,1),0)),"",IFERROR(SUMIFS(DATA_GOC!$H:$H,DATA_GOC!$A:$A,"BOM",DATA_GOC!$D:$D,$B170,DATA_GOC!$E:$E,"Téc 3",DATA_GOC!$F:$F,"Xuất nội bộ từ téc",DATA_GOC!$B:$B,DATE($D$2,$B$2,K$4)),0))</f>
        <v>0</v>
      </c>
      <c r="L170" s="251">
        <f>IF(L$4&gt;DAY(EOMONTH(DATE($D$2,$B$2,1),0)),"",IFERROR(SUMIFS(DATA_GOC!$H:$H,DATA_GOC!$A:$A,"BOM",DATA_GOC!$D:$D,$B170,DATA_GOC!$E:$E,"Téc 3",DATA_GOC!$F:$F,"Xuất nội bộ từ téc",DATA_GOC!$B:$B,DATE($D$2,$B$2,L$4)),0))</f>
        <v>0</v>
      </c>
      <c r="M170" s="251">
        <f>IF(M$4&gt;DAY(EOMONTH(DATE($D$2,$B$2,1),0)),"",IFERROR(SUMIFS(DATA_GOC!$H:$H,DATA_GOC!$A:$A,"BOM",DATA_GOC!$D:$D,$B170,DATA_GOC!$E:$E,"Téc 3",DATA_GOC!$F:$F,"Xuất nội bộ từ téc",DATA_GOC!$B:$B,DATE($D$2,$B$2,M$4)),0))</f>
        <v>0</v>
      </c>
      <c r="N170" s="251">
        <f>IF(N$4&gt;DAY(EOMONTH(DATE($D$2,$B$2,1),0)),"",IFERROR(SUMIFS(DATA_GOC!$H:$H,DATA_GOC!$A:$A,"BOM",DATA_GOC!$D:$D,$B170,DATA_GOC!$E:$E,"Téc 3",DATA_GOC!$F:$F,"Xuất nội bộ từ téc",DATA_GOC!$B:$B,DATE($D$2,$B$2,N$4)),0))</f>
        <v>0</v>
      </c>
      <c r="O170" s="251">
        <f>IF(O$4&gt;DAY(EOMONTH(DATE($D$2,$B$2,1),0)),"",IFERROR(SUMIFS(DATA_GOC!$H:$H,DATA_GOC!$A:$A,"BOM",DATA_GOC!$D:$D,$B170,DATA_GOC!$E:$E,"Téc 3",DATA_GOC!$F:$F,"Xuất nội bộ từ téc",DATA_GOC!$B:$B,DATE($D$2,$B$2,O$4)),0))</f>
        <v>0</v>
      </c>
      <c r="P170" s="251">
        <f>IF(P$4&gt;DAY(EOMONTH(DATE($D$2,$B$2,1),0)),"",IFERROR(SUMIFS(DATA_GOC!$H:$H,DATA_GOC!$A:$A,"BOM",DATA_GOC!$D:$D,$B170,DATA_GOC!$E:$E,"Téc 3",DATA_GOC!$F:$F,"Xuất nội bộ từ téc",DATA_GOC!$B:$B,DATE($D$2,$B$2,P$4)),0))</f>
        <v>0</v>
      </c>
      <c r="Q170" s="251">
        <f>IF(Q$4&gt;DAY(EOMONTH(DATE($D$2,$B$2,1),0)),"",IFERROR(SUMIFS(DATA_GOC!$H:$H,DATA_GOC!$A:$A,"BOM",DATA_GOC!$D:$D,$B170,DATA_GOC!$E:$E,"Téc 3",DATA_GOC!$F:$F,"Xuất nội bộ từ téc",DATA_GOC!$B:$B,DATE($D$2,$B$2,Q$4)),0))</f>
        <v>0</v>
      </c>
      <c r="R170" s="251">
        <f>IF(R$4&gt;DAY(EOMONTH(DATE($D$2,$B$2,1),0)),"",IFERROR(SUMIFS(DATA_GOC!$H:$H,DATA_GOC!$A:$A,"BOM",DATA_GOC!$D:$D,$B170,DATA_GOC!$E:$E,"Téc 3",DATA_GOC!$F:$F,"Xuất nội bộ từ téc",DATA_GOC!$B:$B,DATE($D$2,$B$2,R$4)),0))</f>
        <v>0</v>
      </c>
      <c r="S170" s="251">
        <f>IF(S$4&gt;DAY(EOMONTH(DATE($D$2,$B$2,1),0)),"",IFERROR(SUMIFS(DATA_GOC!$H:$H,DATA_GOC!$A:$A,"BOM",DATA_GOC!$D:$D,$B170,DATA_GOC!$E:$E,"Téc 3",DATA_GOC!$F:$F,"Xuất nội bộ từ téc",DATA_GOC!$B:$B,DATE($D$2,$B$2,S$4)),0))</f>
        <v>0</v>
      </c>
      <c r="T170" s="251">
        <f>IF(T$4&gt;DAY(EOMONTH(DATE($D$2,$B$2,1),0)),"",IFERROR(SUMIFS(DATA_GOC!$H:$H,DATA_GOC!$A:$A,"BOM",DATA_GOC!$D:$D,$B170,DATA_GOC!$E:$E,"Téc 3",DATA_GOC!$F:$F,"Xuất nội bộ từ téc",DATA_GOC!$B:$B,DATE($D$2,$B$2,T$4)),0))</f>
        <v>0</v>
      </c>
      <c r="U170" s="251">
        <f>IF(U$4&gt;DAY(EOMONTH(DATE($D$2,$B$2,1),0)),"",IFERROR(SUMIFS(DATA_GOC!$H:$H,DATA_GOC!$A:$A,"BOM",DATA_GOC!$D:$D,$B170,DATA_GOC!$E:$E,"Téc 3",DATA_GOC!$F:$F,"Xuất nội bộ từ téc",DATA_GOC!$B:$B,DATE($D$2,$B$2,U$4)),0))</f>
        <v>0</v>
      </c>
      <c r="V170" s="251">
        <f>IF(V$4&gt;DAY(EOMONTH(DATE($D$2,$B$2,1),0)),"",IFERROR(SUMIFS(DATA_GOC!$H:$H,DATA_GOC!$A:$A,"BOM",DATA_GOC!$D:$D,$B170,DATA_GOC!$E:$E,"Téc 3",DATA_GOC!$F:$F,"Xuất nội bộ từ téc",DATA_GOC!$B:$B,DATE($D$2,$B$2,V$4)),0))</f>
        <v>0</v>
      </c>
      <c r="W170" s="251">
        <f>IF(W$4&gt;DAY(EOMONTH(DATE($D$2,$B$2,1),0)),"",IFERROR(SUMIFS(DATA_GOC!$H:$H,DATA_GOC!$A:$A,"BOM",DATA_GOC!$D:$D,$B170,DATA_GOC!$E:$E,"Téc 3",DATA_GOC!$F:$F,"Xuất nội bộ từ téc",DATA_GOC!$B:$B,DATE($D$2,$B$2,W$4)),0))</f>
        <v>0</v>
      </c>
      <c r="X170" s="251">
        <f>IF(X$4&gt;DAY(EOMONTH(DATE($D$2,$B$2,1),0)),"",IFERROR(SUMIFS(DATA_GOC!$H:$H,DATA_GOC!$A:$A,"BOM",DATA_GOC!$D:$D,$B170,DATA_GOC!$E:$E,"Téc 3",DATA_GOC!$F:$F,"Xuất nội bộ từ téc",DATA_GOC!$B:$B,DATE($D$2,$B$2,X$4)),0))</f>
        <v>0</v>
      </c>
      <c r="Y170" s="251">
        <f>IF(Y$4&gt;DAY(EOMONTH(DATE($D$2,$B$2,1),0)),"",IFERROR(SUMIFS(DATA_GOC!$H:$H,DATA_GOC!$A:$A,"BOM",DATA_GOC!$D:$D,$B170,DATA_GOC!$E:$E,"Téc 3",DATA_GOC!$F:$F,"Xuất nội bộ từ téc",DATA_GOC!$B:$B,DATE($D$2,$B$2,Y$4)),0))</f>
        <v>0</v>
      </c>
      <c r="Z170" s="251">
        <f>IF(Z$4&gt;DAY(EOMONTH(DATE($D$2,$B$2,1),0)),"",IFERROR(SUMIFS(DATA_GOC!$H:$H,DATA_GOC!$A:$A,"BOM",DATA_GOC!$D:$D,$B170,DATA_GOC!$E:$E,"Téc 3",DATA_GOC!$F:$F,"Xuất nội bộ từ téc",DATA_GOC!$B:$B,DATE($D$2,$B$2,Z$4)),0))</f>
        <v>0</v>
      </c>
      <c r="AA170" s="251">
        <f>IF(AA$4&gt;DAY(EOMONTH(DATE($D$2,$B$2,1),0)),"",IFERROR(SUMIFS(DATA_GOC!$H:$H,DATA_GOC!$A:$A,"BOM",DATA_GOC!$D:$D,$B170,DATA_GOC!$E:$E,"Téc 3",DATA_GOC!$F:$F,"Xuất nội bộ từ téc",DATA_GOC!$B:$B,DATE($D$2,$B$2,AA$4)),0))</f>
        <v>0</v>
      </c>
      <c r="AB170" s="251">
        <f>IF(AB$4&gt;DAY(EOMONTH(DATE($D$2,$B$2,1),0)),"",IFERROR(SUMIFS(DATA_GOC!$H:$H,DATA_GOC!$A:$A,"BOM",DATA_GOC!$D:$D,$B170,DATA_GOC!$E:$E,"Téc 3",DATA_GOC!$F:$F,"Xuất nội bộ từ téc",DATA_GOC!$B:$B,DATE($D$2,$B$2,AB$4)),0))</f>
        <v>0</v>
      </c>
      <c r="AC170" s="251">
        <f>IF(AC$4&gt;DAY(EOMONTH(DATE($D$2,$B$2,1),0)),"",IFERROR(SUMIFS(DATA_GOC!$H:$H,DATA_GOC!$A:$A,"BOM",DATA_GOC!$D:$D,$B170,DATA_GOC!$E:$E,"Téc 3",DATA_GOC!$F:$F,"Xuất nội bộ từ téc",DATA_GOC!$B:$B,DATE($D$2,$B$2,AC$4)),0))</f>
        <v>0</v>
      </c>
      <c r="AD170" s="251">
        <f>IF(AD$4&gt;DAY(EOMONTH(DATE($D$2,$B$2,1),0)),"",IFERROR(SUMIFS(DATA_GOC!$H:$H,DATA_GOC!$A:$A,"BOM",DATA_GOC!$D:$D,$B170,DATA_GOC!$E:$E,"Téc 3",DATA_GOC!$F:$F,"Xuất nội bộ từ téc",DATA_GOC!$B:$B,DATE($D$2,$B$2,AD$4)),0))</f>
        <v>0</v>
      </c>
      <c r="AE170" s="251">
        <f>IF(AE$4&gt;DAY(EOMONTH(DATE($D$2,$B$2,1),0)),"",IFERROR(SUMIFS(DATA_GOC!$H:$H,DATA_GOC!$A:$A,"BOM",DATA_GOC!$D:$D,$B170,DATA_GOC!$E:$E,"Téc 3",DATA_GOC!$F:$F,"Xuất nội bộ từ téc",DATA_GOC!$B:$B,DATE($D$2,$B$2,AE$4)),0))</f>
        <v>0</v>
      </c>
      <c r="AF170" s="251">
        <f>IF(AF$4&gt;DAY(EOMONTH(DATE($D$2,$B$2,1),0)),"",IFERROR(SUMIFS(DATA_GOC!$H:$H,DATA_GOC!$A:$A,"BOM",DATA_GOC!$D:$D,$B170,DATA_GOC!$E:$E,"Téc 3",DATA_GOC!$F:$F,"Xuất nội bộ từ téc",DATA_GOC!$B:$B,DATE($D$2,$B$2,AF$4)),0))</f>
        <v>0</v>
      </c>
      <c r="AG170" s="251">
        <f>IF(AG$4&gt;DAY(EOMONTH(DATE($D$2,$B$2,1),0)),"",IFERROR(SUMIFS(DATA_GOC!$H:$H,DATA_GOC!$A:$A,"BOM",DATA_GOC!$D:$D,$B170,DATA_GOC!$E:$E,"Téc 3",DATA_GOC!$F:$F,"Xuất nội bộ từ téc",DATA_GOC!$B:$B,DATE($D$2,$B$2,AG$4)),0))</f>
        <v>0</v>
      </c>
      <c r="AH170" s="252">
        <f t="shared" si="7"/>
        <v>0</v>
      </c>
      <c r="AI170" s="241"/>
      <c r="AJ170" s="242">
        <f>IF($B170="","",SUMIFS(TINH_TEC!$K$233:$K$9232,TINH_TEC!$H$233:$H$9232,$B170,TINH_TEC!$C$233:$C$9232,"Téc 3",TINH_TEC!$F$233:$F$9232,$B$2,TINH_TEC!$G$233:$G$9232,$D$2,TINH_TEC!$B$233:$B$9232,"Đã chốt"))</f>
        <v>0</v>
      </c>
      <c r="AK170" s="242">
        <f>IF($B170="","",SUMIFS(TINH_TEC!$J$233:$J$9232,TINH_TEC!$H$233:$H$9232,$B170,TINH_TEC!$C$233:$C$9232,"Téc 3",TINH_TEC!$F$233:$F$9232,$B$2,TINH_TEC!$G$233:$G$9232,$D$2,TINH_TEC!$B$233:$B$9232,"Đã chốt"))</f>
        <v>0</v>
      </c>
      <c r="AL170" s="242">
        <f t="shared" si="8"/>
        <v>0</v>
      </c>
    </row>
    <row r="171" ht="15.75" customHeight="1">
      <c r="A171" s="237">
        <f>IF($B171&lt;&gt;"",44,"")</f>
        <v>44</v>
      </c>
      <c r="B171" s="250" t="str">
        <f t="array" ref="B171">IFERROR(INDEX(DANH_MUC!$E:$E,47),"")</f>
        <v>29E17417</v>
      </c>
      <c r="C171" s="251">
        <f>IF(C$4&gt;DAY(EOMONTH(DATE($D$2,$B$2,1),0)),"",IFERROR(SUMIFS(DATA_GOC!$H:$H,DATA_GOC!$A:$A,"BOM",DATA_GOC!$D:$D,$B171,DATA_GOC!$E:$E,"Téc 3",DATA_GOC!$F:$F,"Xuất nội bộ từ téc",DATA_GOC!$B:$B,DATE($D$2,$B$2,C$4)),0))</f>
        <v>0</v>
      </c>
      <c r="D171" s="251">
        <f>IF(D$4&gt;DAY(EOMONTH(DATE($D$2,$B$2,1),0)),"",IFERROR(SUMIFS(DATA_GOC!$H:$H,DATA_GOC!$A:$A,"BOM",DATA_GOC!$D:$D,$B171,DATA_GOC!$E:$E,"Téc 3",DATA_GOC!$F:$F,"Xuất nội bộ từ téc",DATA_GOC!$B:$B,DATE($D$2,$B$2,D$4)),0))</f>
        <v>0</v>
      </c>
      <c r="E171" s="251">
        <f>IF(E$4&gt;DAY(EOMONTH(DATE($D$2,$B$2,1),0)),"",IFERROR(SUMIFS(DATA_GOC!$H:$H,DATA_GOC!$A:$A,"BOM",DATA_GOC!$D:$D,$B171,DATA_GOC!$E:$E,"Téc 3",DATA_GOC!$F:$F,"Xuất nội bộ từ téc",DATA_GOC!$B:$B,DATE($D$2,$B$2,E$4)),0))</f>
        <v>0</v>
      </c>
      <c r="F171" s="251">
        <f>IF(F$4&gt;DAY(EOMONTH(DATE($D$2,$B$2,1),0)),"",IFERROR(SUMIFS(DATA_GOC!$H:$H,DATA_GOC!$A:$A,"BOM",DATA_GOC!$D:$D,$B171,DATA_GOC!$E:$E,"Téc 3",DATA_GOC!$F:$F,"Xuất nội bộ từ téc",DATA_GOC!$B:$B,DATE($D$2,$B$2,F$4)),0))</f>
        <v>0</v>
      </c>
      <c r="G171" s="251">
        <f>IF(G$4&gt;DAY(EOMONTH(DATE($D$2,$B$2,1),0)),"",IFERROR(SUMIFS(DATA_GOC!$H:$H,DATA_GOC!$A:$A,"BOM",DATA_GOC!$D:$D,$B171,DATA_GOC!$E:$E,"Téc 3",DATA_GOC!$F:$F,"Xuất nội bộ từ téc",DATA_GOC!$B:$B,DATE($D$2,$B$2,G$4)),0))</f>
        <v>0</v>
      </c>
      <c r="H171" s="251">
        <f>IF(H$4&gt;DAY(EOMONTH(DATE($D$2,$B$2,1),0)),"",IFERROR(SUMIFS(DATA_GOC!$H:$H,DATA_GOC!$A:$A,"BOM",DATA_GOC!$D:$D,$B171,DATA_GOC!$E:$E,"Téc 3",DATA_GOC!$F:$F,"Xuất nội bộ từ téc",DATA_GOC!$B:$B,DATE($D$2,$B$2,H$4)),0))</f>
        <v>0</v>
      </c>
      <c r="I171" s="251">
        <f>IF(I$4&gt;DAY(EOMONTH(DATE($D$2,$B$2,1),0)),"",IFERROR(SUMIFS(DATA_GOC!$H:$H,DATA_GOC!$A:$A,"BOM",DATA_GOC!$D:$D,$B171,DATA_GOC!$E:$E,"Téc 3",DATA_GOC!$F:$F,"Xuất nội bộ từ téc",DATA_GOC!$B:$B,DATE($D$2,$B$2,I$4)),0))</f>
        <v>0</v>
      </c>
      <c r="J171" s="251">
        <f>IF(J$4&gt;DAY(EOMONTH(DATE($D$2,$B$2,1),0)),"",IFERROR(SUMIFS(DATA_GOC!$H:$H,DATA_GOC!$A:$A,"BOM",DATA_GOC!$D:$D,$B171,DATA_GOC!$E:$E,"Téc 3",DATA_GOC!$F:$F,"Xuất nội bộ từ téc",DATA_GOC!$B:$B,DATE($D$2,$B$2,J$4)),0))</f>
        <v>0</v>
      </c>
      <c r="K171" s="251">
        <f>IF(K$4&gt;DAY(EOMONTH(DATE($D$2,$B$2,1),0)),"",IFERROR(SUMIFS(DATA_GOC!$H:$H,DATA_GOC!$A:$A,"BOM",DATA_GOC!$D:$D,$B171,DATA_GOC!$E:$E,"Téc 3",DATA_GOC!$F:$F,"Xuất nội bộ từ téc",DATA_GOC!$B:$B,DATE($D$2,$B$2,K$4)),0))</f>
        <v>0</v>
      </c>
      <c r="L171" s="251">
        <f>IF(L$4&gt;DAY(EOMONTH(DATE($D$2,$B$2,1),0)),"",IFERROR(SUMIFS(DATA_GOC!$H:$H,DATA_GOC!$A:$A,"BOM",DATA_GOC!$D:$D,$B171,DATA_GOC!$E:$E,"Téc 3",DATA_GOC!$F:$F,"Xuất nội bộ từ téc",DATA_GOC!$B:$B,DATE($D$2,$B$2,L$4)),0))</f>
        <v>0</v>
      </c>
      <c r="M171" s="251">
        <f>IF(M$4&gt;DAY(EOMONTH(DATE($D$2,$B$2,1),0)),"",IFERROR(SUMIFS(DATA_GOC!$H:$H,DATA_GOC!$A:$A,"BOM",DATA_GOC!$D:$D,$B171,DATA_GOC!$E:$E,"Téc 3",DATA_GOC!$F:$F,"Xuất nội bộ từ téc",DATA_GOC!$B:$B,DATE($D$2,$B$2,M$4)),0))</f>
        <v>0</v>
      </c>
      <c r="N171" s="251">
        <f>IF(N$4&gt;DAY(EOMONTH(DATE($D$2,$B$2,1),0)),"",IFERROR(SUMIFS(DATA_GOC!$H:$H,DATA_GOC!$A:$A,"BOM",DATA_GOC!$D:$D,$B171,DATA_GOC!$E:$E,"Téc 3",DATA_GOC!$F:$F,"Xuất nội bộ từ téc",DATA_GOC!$B:$B,DATE($D$2,$B$2,N$4)),0))</f>
        <v>0</v>
      </c>
      <c r="O171" s="251">
        <f>IF(O$4&gt;DAY(EOMONTH(DATE($D$2,$B$2,1),0)),"",IFERROR(SUMIFS(DATA_GOC!$H:$H,DATA_GOC!$A:$A,"BOM",DATA_GOC!$D:$D,$B171,DATA_GOC!$E:$E,"Téc 3",DATA_GOC!$F:$F,"Xuất nội bộ từ téc",DATA_GOC!$B:$B,DATE($D$2,$B$2,O$4)),0))</f>
        <v>0</v>
      </c>
      <c r="P171" s="251">
        <f>IF(P$4&gt;DAY(EOMONTH(DATE($D$2,$B$2,1),0)),"",IFERROR(SUMIFS(DATA_GOC!$H:$H,DATA_GOC!$A:$A,"BOM",DATA_GOC!$D:$D,$B171,DATA_GOC!$E:$E,"Téc 3",DATA_GOC!$F:$F,"Xuất nội bộ từ téc",DATA_GOC!$B:$B,DATE($D$2,$B$2,P$4)),0))</f>
        <v>0</v>
      </c>
      <c r="Q171" s="251">
        <f>IF(Q$4&gt;DAY(EOMONTH(DATE($D$2,$B$2,1),0)),"",IFERROR(SUMIFS(DATA_GOC!$H:$H,DATA_GOC!$A:$A,"BOM",DATA_GOC!$D:$D,$B171,DATA_GOC!$E:$E,"Téc 3",DATA_GOC!$F:$F,"Xuất nội bộ từ téc",DATA_GOC!$B:$B,DATE($D$2,$B$2,Q$4)),0))</f>
        <v>0</v>
      </c>
      <c r="R171" s="251">
        <f>IF(R$4&gt;DAY(EOMONTH(DATE($D$2,$B$2,1),0)),"",IFERROR(SUMIFS(DATA_GOC!$H:$H,DATA_GOC!$A:$A,"BOM",DATA_GOC!$D:$D,$B171,DATA_GOC!$E:$E,"Téc 3",DATA_GOC!$F:$F,"Xuất nội bộ từ téc",DATA_GOC!$B:$B,DATE($D$2,$B$2,R$4)),0))</f>
        <v>0</v>
      </c>
      <c r="S171" s="251">
        <f>IF(S$4&gt;DAY(EOMONTH(DATE($D$2,$B$2,1),0)),"",IFERROR(SUMIFS(DATA_GOC!$H:$H,DATA_GOC!$A:$A,"BOM",DATA_GOC!$D:$D,$B171,DATA_GOC!$E:$E,"Téc 3",DATA_GOC!$F:$F,"Xuất nội bộ từ téc",DATA_GOC!$B:$B,DATE($D$2,$B$2,S$4)),0))</f>
        <v>0</v>
      </c>
      <c r="T171" s="251">
        <f>IF(T$4&gt;DAY(EOMONTH(DATE($D$2,$B$2,1),0)),"",IFERROR(SUMIFS(DATA_GOC!$H:$H,DATA_GOC!$A:$A,"BOM",DATA_GOC!$D:$D,$B171,DATA_GOC!$E:$E,"Téc 3",DATA_GOC!$F:$F,"Xuất nội bộ từ téc",DATA_GOC!$B:$B,DATE($D$2,$B$2,T$4)),0))</f>
        <v>0</v>
      </c>
      <c r="U171" s="251">
        <f>IF(U$4&gt;DAY(EOMONTH(DATE($D$2,$B$2,1),0)),"",IFERROR(SUMIFS(DATA_GOC!$H:$H,DATA_GOC!$A:$A,"BOM",DATA_GOC!$D:$D,$B171,DATA_GOC!$E:$E,"Téc 3",DATA_GOC!$F:$F,"Xuất nội bộ từ téc",DATA_GOC!$B:$B,DATE($D$2,$B$2,U$4)),0))</f>
        <v>0</v>
      </c>
      <c r="V171" s="251">
        <f>IF(V$4&gt;DAY(EOMONTH(DATE($D$2,$B$2,1),0)),"",IFERROR(SUMIFS(DATA_GOC!$H:$H,DATA_GOC!$A:$A,"BOM",DATA_GOC!$D:$D,$B171,DATA_GOC!$E:$E,"Téc 3",DATA_GOC!$F:$F,"Xuất nội bộ từ téc",DATA_GOC!$B:$B,DATE($D$2,$B$2,V$4)),0))</f>
        <v>0</v>
      </c>
      <c r="W171" s="251">
        <f>IF(W$4&gt;DAY(EOMONTH(DATE($D$2,$B$2,1),0)),"",IFERROR(SUMIFS(DATA_GOC!$H:$H,DATA_GOC!$A:$A,"BOM",DATA_GOC!$D:$D,$B171,DATA_GOC!$E:$E,"Téc 3",DATA_GOC!$F:$F,"Xuất nội bộ từ téc",DATA_GOC!$B:$B,DATE($D$2,$B$2,W$4)),0))</f>
        <v>0</v>
      </c>
      <c r="X171" s="251">
        <f>IF(X$4&gt;DAY(EOMONTH(DATE($D$2,$B$2,1),0)),"",IFERROR(SUMIFS(DATA_GOC!$H:$H,DATA_GOC!$A:$A,"BOM",DATA_GOC!$D:$D,$B171,DATA_GOC!$E:$E,"Téc 3",DATA_GOC!$F:$F,"Xuất nội bộ từ téc",DATA_GOC!$B:$B,DATE($D$2,$B$2,X$4)),0))</f>
        <v>0</v>
      </c>
      <c r="Y171" s="251">
        <f>IF(Y$4&gt;DAY(EOMONTH(DATE($D$2,$B$2,1),0)),"",IFERROR(SUMIFS(DATA_GOC!$H:$H,DATA_GOC!$A:$A,"BOM",DATA_GOC!$D:$D,$B171,DATA_GOC!$E:$E,"Téc 3",DATA_GOC!$F:$F,"Xuất nội bộ từ téc",DATA_GOC!$B:$B,DATE($D$2,$B$2,Y$4)),0))</f>
        <v>0</v>
      </c>
      <c r="Z171" s="251">
        <f>IF(Z$4&gt;DAY(EOMONTH(DATE($D$2,$B$2,1),0)),"",IFERROR(SUMIFS(DATA_GOC!$H:$H,DATA_GOC!$A:$A,"BOM",DATA_GOC!$D:$D,$B171,DATA_GOC!$E:$E,"Téc 3",DATA_GOC!$F:$F,"Xuất nội bộ từ téc",DATA_GOC!$B:$B,DATE($D$2,$B$2,Z$4)),0))</f>
        <v>0</v>
      </c>
      <c r="AA171" s="251">
        <f>IF(AA$4&gt;DAY(EOMONTH(DATE($D$2,$B$2,1),0)),"",IFERROR(SUMIFS(DATA_GOC!$H:$H,DATA_GOC!$A:$A,"BOM",DATA_GOC!$D:$D,$B171,DATA_GOC!$E:$E,"Téc 3",DATA_GOC!$F:$F,"Xuất nội bộ từ téc",DATA_GOC!$B:$B,DATE($D$2,$B$2,AA$4)),0))</f>
        <v>0</v>
      </c>
      <c r="AB171" s="251">
        <f>IF(AB$4&gt;DAY(EOMONTH(DATE($D$2,$B$2,1),0)),"",IFERROR(SUMIFS(DATA_GOC!$H:$H,DATA_GOC!$A:$A,"BOM",DATA_GOC!$D:$D,$B171,DATA_GOC!$E:$E,"Téc 3",DATA_GOC!$F:$F,"Xuất nội bộ từ téc",DATA_GOC!$B:$B,DATE($D$2,$B$2,AB$4)),0))</f>
        <v>0</v>
      </c>
      <c r="AC171" s="251">
        <f>IF(AC$4&gt;DAY(EOMONTH(DATE($D$2,$B$2,1),0)),"",IFERROR(SUMIFS(DATA_GOC!$H:$H,DATA_GOC!$A:$A,"BOM",DATA_GOC!$D:$D,$B171,DATA_GOC!$E:$E,"Téc 3",DATA_GOC!$F:$F,"Xuất nội bộ từ téc",DATA_GOC!$B:$B,DATE($D$2,$B$2,AC$4)),0))</f>
        <v>0</v>
      </c>
      <c r="AD171" s="251">
        <f>IF(AD$4&gt;DAY(EOMONTH(DATE($D$2,$B$2,1),0)),"",IFERROR(SUMIFS(DATA_GOC!$H:$H,DATA_GOC!$A:$A,"BOM",DATA_GOC!$D:$D,$B171,DATA_GOC!$E:$E,"Téc 3",DATA_GOC!$F:$F,"Xuất nội bộ từ téc",DATA_GOC!$B:$B,DATE($D$2,$B$2,AD$4)),0))</f>
        <v>0</v>
      </c>
      <c r="AE171" s="251">
        <f>IF(AE$4&gt;DAY(EOMONTH(DATE($D$2,$B$2,1),0)),"",IFERROR(SUMIFS(DATA_GOC!$H:$H,DATA_GOC!$A:$A,"BOM",DATA_GOC!$D:$D,$B171,DATA_GOC!$E:$E,"Téc 3",DATA_GOC!$F:$F,"Xuất nội bộ từ téc",DATA_GOC!$B:$B,DATE($D$2,$B$2,AE$4)),0))</f>
        <v>0</v>
      </c>
      <c r="AF171" s="251">
        <f>IF(AF$4&gt;DAY(EOMONTH(DATE($D$2,$B$2,1),0)),"",IFERROR(SUMIFS(DATA_GOC!$H:$H,DATA_GOC!$A:$A,"BOM",DATA_GOC!$D:$D,$B171,DATA_GOC!$E:$E,"Téc 3",DATA_GOC!$F:$F,"Xuất nội bộ từ téc",DATA_GOC!$B:$B,DATE($D$2,$B$2,AF$4)),0))</f>
        <v>0</v>
      </c>
      <c r="AG171" s="251">
        <f>IF(AG$4&gt;DAY(EOMONTH(DATE($D$2,$B$2,1),0)),"",IFERROR(SUMIFS(DATA_GOC!$H:$H,DATA_GOC!$A:$A,"BOM",DATA_GOC!$D:$D,$B171,DATA_GOC!$E:$E,"Téc 3",DATA_GOC!$F:$F,"Xuất nội bộ từ téc",DATA_GOC!$B:$B,DATE($D$2,$B$2,AG$4)),0))</f>
        <v>0</v>
      </c>
      <c r="AH171" s="252">
        <f t="shared" si="7"/>
        <v>0</v>
      </c>
      <c r="AI171" s="241"/>
      <c r="AJ171" s="242">
        <f>IF($B171="","",SUMIFS(TINH_TEC!$K$233:$K$9232,TINH_TEC!$H$233:$H$9232,$B171,TINH_TEC!$C$233:$C$9232,"Téc 3",TINH_TEC!$F$233:$F$9232,$B$2,TINH_TEC!$G$233:$G$9232,$D$2,TINH_TEC!$B$233:$B$9232,"Đã chốt"))</f>
        <v>0</v>
      </c>
      <c r="AK171" s="242">
        <f>IF($B171="","",SUMIFS(TINH_TEC!$J$233:$J$9232,TINH_TEC!$H$233:$H$9232,$B171,TINH_TEC!$C$233:$C$9232,"Téc 3",TINH_TEC!$F$233:$F$9232,$B$2,TINH_TEC!$G$233:$G$9232,$D$2,TINH_TEC!$B$233:$B$9232,"Đã chốt"))</f>
        <v>0</v>
      </c>
      <c r="AL171" s="242">
        <f t="shared" si="8"/>
        <v>0</v>
      </c>
    </row>
    <row r="172" ht="15.75" customHeight="1">
      <c r="A172" s="237">
        <f>IF($B172&lt;&gt;"",45,"")</f>
        <v>45</v>
      </c>
      <c r="B172" s="250" t="str">
        <f t="array" ref="B172">IFERROR(INDEX(DANH_MUC!$E:$E,48),"")</f>
        <v>29E17539</v>
      </c>
      <c r="C172" s="251">
        <f>IF(C$4&gt;DAY(EOMONTH(DATE($D$2,$B$2,1),0)),"",IFERROR(SUMIFS(DATA_GOC!$H:$H,DATA_GOC!$A:$A,"BOM",DATA_GOC!$D:$D,$B172,DATA_GOC!$E:$E,"Téc 3",DATA_GOC!$F:$F,"Xuất nội bộ từ téc",DATA_GOC!$B:$B,DATE($D$2,$B$2,C$4)),0))</f>
        <v>0</v>
      </c>
      <c r="D172" s="251">
        <f>IF(D$4&gt;DAY(EOMONTH(DATE($D$2,$B$2,1),0)),"",IFERROR(SUMIFS(DATA_GOC!$H:$H,DATA_GOC!$A:$A,"BOM",DATA_GOC!$D:$D,$B172,DATA_GOC!$E:$E,"Téc 3",DATA_GOC!$F:$F,"Xuất nội bộ từ téc",DATA_GOC!$B:$B,DATE($D$2,$B$2,D$4)),0))</f>
        <v>0</v>
      </c>
      <c r="E172" s="251">
        <f>IF(E$4&gt;DAY(EOMONTH(DATE($D$2,$B$2,1),0)),"",IFERROR(SUMIFS(DATA_GOC!$H:$H,DATA_GOC!$A:$A,"BOM",DATA_GOC!$D:$D,$B172,DATA_GOC!$E:$E,"Téc 3",DATA_GOC!$F:$F,"Xuất nội bộ từ téc",DATA_GOC!$B:$B,DATE($D$2,$B$2,E$4)),0))</f>
        <v>0</v>
      </c>
      <c r="F172" s="251">
        <f>IF(F$4&gt;DAY(EOMONTH(DATE($D$2,$B$2,1),0)),"",IFERROR(SUMIFS(DATA_GOC!$H:$H,DATA_GOC!$A:$A,"BOM",DATA_GOC!$D:$D,$B172,DATA_GOC!$E:$E,"Téc 3",DATA_GOC!$F:$F,"Xuất nội bộ từ téc",DATA_GOC!$B:$B,DATE($D$2,$B$2,F$4)),0))</f>
        <v>0</v>
      </c>
      <c r="G172" s="251">
        <f>IF(G$4&gt;DAY(EOMONTH(DATE($D$2,$B$2,1),0)),"",IFERROR(SUMIFS(DATA_GOC!$H:$H,DATA_GOC!$A:$A,"BOM",DATA_GOC!$D:$D,$B172,DATA_GOC!$E:$E,"Téc 3",DATA_GOC!$F:$F,"Xuất nội bộ từ téc",DATA_GOC!$B:$B,DATE($D$2,$B$2,G$4)),0))</f>
        <v>0</v>
      </c>
      <c r="H172" s="251">
        <f>IF(H$4&gt;DAY(EOMONTH(DATE($D$2,$B$2,1),0)),"",IFERROR(SUMIFS(DATA_GOC!$H:$H,DATA_GOC!$A:$A,"BOM",DATA_GOC!$D:$D,$B172,DATA_GOC!$E:$E,"Téc 3",DATA_GOC!$F:$F,"Xuất nội bộ từ téc",DATA_GOC!$B:$B,DATE($D$2,$B$2,H$4)),0))</f>
        <v>0</v>
      </c>
      <c r="I172" s="251">
        <f>IF(I$4&gt;DAY(EOMONTH(DATE($D$2,$B$2,1),0)),"",IFERROR(SUMIFS(DATA_GOC!$H:$H,DATA_GOC!$A:$A,"BOM",DATA_GOC!$D:$D,$B172,DATA_GOC!$E:$E,"Téc 3",DATA_GOC!$F:$F,"Xuất nội bộ từ téc",DATA_GOC!$B:$B,DATE($D$2,$B$2,I$4)),0))</f>
        <v>0</v>
      </c>
      <c r="J172" s="251">
        <f>IF(J$4&gt;DAY(EOMONTH(DATE($D$2,$B$2,1),0)),"",IFERROR(SUMIFS(DATA_GOC!$H:$H,DATA_GOC!$A:$A,"BOM",DATA_GOC!$D:$D,$B172,DATA_GOC!$E:$E,"Téc 3",DATA_GOC!$F:$F,"Xuất nội bộ từ téc",DATA_GOC!$B:$B,DATE($D$2,$B$2,J$4)),0))</f>
        <v>0</v>
      </c>
      <c r="K172" s="251">
        <f>IF(K$4&gt;DAY(EOMONTH(DATE($D$2,$B$2,1),0)),"",IFERROR(SUMIFS(DATA_GOC!$H:$H,DATA_GOC!$A:$A,"BOM",DATA_GOC!$D:$D,$B172,DATA_GOC!$E:$E,"Téc 3",DATA_GOC!$F:$F,"Xuất nội bộ từ téc",DATA_GOC!$B:$B,DATE($D$2,$B$2,K$4)),0))</f>
        <v>0</v>
      </c>
      <c r="L172" s="251">
        <f>IF(L$4&gt;DAY(EOMONTH(DATE($D$2,$B$2,1),0)),"",IFERROR(SUMIFS(DATA_GOC!$H:$H,DATA_GOC!$A:$A,"BOM",DATA_GOC!$D:$D,$B172,DATA_GOC!$E:$E,"Téc 3",DATA_GOC!$F:$F,"Xuất nội bộ từ téc",DATA_GOC!$B:$B,DATE($D$2,$B$2,L$4)),0))</f>
        <v>0</v>
      </c>
      <c r="M172" s="251">
        <f>IF(M$4&gt;DAY(EOMONTH(DATE($D$2,$B$2,1),0)),"",IFERROR(SUMIFS(DATA_GOC!$H:$H,DATA_GOC!$A:$A,"BOM",DATA_GOC!$D:$D,$B172,DATA_GOC!$E:$E,"Téc 3",DATA_GOC!$F:$F,"Xuất nội bộ từ téc",DATA_GOC!$B:$B,DATE($D$2,$B$2,M$4)),0))</f>
        <v>0</v>
      </c>
      <c r="N172" s="251">
        <f>IF(N$4&gt;DAY(EOMONTH(DATE($D$2,$B$2,1),0)),"",IFERROR(SUMIFS(DATA_GOC!$H:$H,DATA_GOC!$A:$A,"BOM",DATA_GOC!$D:$D,$B172,DATA_GOC!$E:$E,"Téc 3",DATA_GOC!$F:$F,"Xuất nội bộ từ téc",DATA_GOC!$B:$B,DATE($D$2,$B$2,N$4)),0))</f>
        <v>0</v>
      </c>
      <c r="O172" s="251">
        <f>IF(O$4&gt;DAY(EOMONTH(DATE($D$2,$B$2,1),0)),"",IFERROR(SUMIFS(DATA_GOC!$H:$H,DATA_GOC!$A:$A,"BOM",DATA_GOC!$D:$D,$B172,DATA_GOC!$E:$E,"Téc 3",DATA_GOC!$F:$F,"Xuất nội bộ từ téc",DATA_GOC!$B:$B,DATE($D$2,$B$2,O$4)),0))</f>
        <v>0</v>
      </c>
      <c r="P172" s="251">
        <f>IF(P$4&gt;DAY(EOMONTH(DATE($D$2,$B$2,1),0)),"",IFERROR(SUMIFS(DATA_GOC!$H:$H,DATA_GOC!$A:$A,"BOM",DATA_GOC!$D:$D,$B172,DATA_GOC!$E:$E,"Téc 3",DATA_GOC!$F:$F,"Xuất nội bộ từ téc",DATA_GOC!$B:$B,DATE($D$2,$B$2,P$4)),0))</f>
        <v>0</v>
      </c>
      <c r="Q172" s="251">
        <f>IF(Q$4&gt;DAY(EOMONTH(DATE($D$2,$B$2,1),0)),"",IFERROR(SUMIFS(DATA_GOC!$H:$H,DATA_GOC!$A:$A,"BOM",DATA_GOC!$D:$D,$B172,DATA_GOC!$E:$E,"Téc 3",DATA_GOC!$F:$F,"Xuất nội bộ từ téc",DATA_GOC!$B:$B,DATE($D$2,$B$2,Q$4)),0))</f>
        <v>0</v>
      </c>
      <c r="R172" s="251">
        <f>IF(R$4&gt;DAY(EOMONTH(DATE($D$2,$B$2,1),0)),"",IFERROR(SUMIFS(DATA_GOC!$H:$H,DATA_GOC!$A:$A,"BOM",DATA_GOC!$D:$D,$B172,DATA_GOC!$E:$E,"Téc 3",DATA_GOC!$F:$F,"Xuất nội bộ từ téc",DATA_GOC!$B:$B,DATE($D$2,$B$2,R$4)),0))</f>
        <v>0</v>
      </c>
      <c r="S172" s="251">
        <f>IF(S$4&gt;DAY(EOMONTH(DATE($D$2,$B$2,1),0)),"",IFERROR(SUMIFS(DATA_GOC!$H:$H,DATA_GOC!$A:$A,"BOM",DATA_GOC!$D:$D,$B172,DATA_GOC!$E:$E,"Téc 3",DATA_GOC!$F:$F,"Xuất nội bộ từ téc",DATA_GOC!$B:$B,DATE($D$2,$B$2,S$4)),0))</f>
        <v>0</v>
      </c>
      <c r="T172" s="251">
        <f>IF(T$4&gt;DAY(EOMONTH(DATE($D$2,$B$2,1),0)),"",IFERROR(SUMIFS(DATA_GOC!$H:$H,DATA_GOC!$A:$A,"BOM",DATA_GOC!$D:$D,$B172,DATA_GOC!$E:$E,"Téc 3",DATA_GOC!$F:$F,"Xuất nội bộ từ téc",DATA_GOC!$B:$B,DATE($D$2,$B$2,T$4)),0))</f>
        <v>0</v>
      </c>
      <c r="U172" s="251">
        <f>IF(U$4&gt;DAY(EOMONTH(DATE($D$2,$B$2,1),0)),"",IFERROR(SUMIFS(DATA_GOC!$H:$H,DATA_GOC!$A:$A,"BOM",DATA_GOC!$D:$D,$B172,DATA_GOC!$E:$E,"Téc 3",DATA_GOC!$F:$F,"Xuất nội bộ từ téc",DATA_GOC!$B:$B,DATE($D$2,$B$2,U$4)),0))</f>
        <v>0</v>
      </c>
      <c r="V172" s="251">
        <f>IF(V$4&gt;DAY(EOMONTH(DATE($D$2,$B$2,1),0)),"",IFERROR(SUMIFS(DATA_GOC!$H:$H,DATA_GOC!$A:$A,"BOM",DATA_GOC!$D:$D,$B172,DATA_GOC!$E:$E,"Téc 3",DATA_GOC!$F:$F,"Xuất nội bộ từ téc",DATA_GOC!$B:$B,DATE($D$2,$B$2,V$4)),0))</f>
        <v>0</v>
      </c>
      <c r="W172" s="251">
        <f>IF(W$4&gt;DAY(EOMONTH(DATE($D$2,$B$2,1),0)),"",IFERROR(SUMIFS(DATA_GOC!$H:$H,DATA_GOC!$A:$A,"BOM",DATA_GOC!$D:$D,$B172,DATA_GOC!$E:$E,"Téc 3",DATA_GOC!$F:$F,"Xuất nội bộ từ téc",DATA_GOC!$B:$B,DATE($D$2,$B$2,W$4)),0))</f>
        <v>0</v>
      </c>
      <c r="X172" s="251">
        <f>IF(X$4&gt;DAY(EOMONTH(DATE($D$2,$B$2,1),0)),"",IFERROR(SUMIFS(DATA_GOC!$H:$H,DATA_GOC!$A:$A,"BOM",DATA_GOC!$D:$D,$B172,DATA_GOC!$E:$E,"Téc 3",DATA_GOC!$F:$F,"Xuất nội bộ từ téc",DATA_GOC!$B:$B,DATE($D$2,$B$2,X$4)),0))</f>
        <v>0</v>
      </c>
      <c r="Y172" s="251">
        <f>IF(Y$4&gt;DAY(EOMONTH(DATE($D$2,$B$2,1),0)),"",IFERROR(SUMIFS(DATA_GOC!$H:$H,DATA_GOC!$A:$A,"BOM",DATA_GOC!$D:$D,$B172,DATA_GOC!$E:$E,"Téc 3",DATA_GOC!$F:$F,"Xuất nội bộ từ téc",DATA_GOC!$B:$B,DATE($D$2,$B$2,Y$4)),0))</f>
        <v>0</v>
      </c>
      <c r="Z172" s="251">
        <f>IF(Z$4&gt;DAY(EOMONTH(DATE($D$2,$B$2,1),0)),"",IFERROR(SUMIFS(DATA_GOC!$H:$H,DATA_GOC!$A:$A,"BOM",DATA_GOC!$D:$D,$B172,DATA_GOC!$E:$E,"Téc 3",DATA_GOC!$F:$F,"Xuất nội bộ từ téc",DATA_GOC!$B:$B,DATE($D$2,$B$2,Z$4)),0))</f>
        <v>0</v>
      </c>
      <c r="AA172" s="251">
        <f>IF(AA$4&gt;DAY(EOMONTH(DATE($D$2,$B$2,1),0)),"",IFERROR(SUMIFS(DATA_GOC!$H:$H,DATA_GOC!$A:$A,"BOM",DATA_GOC!$D:$D,$B172,DATA_GOC!$E:$E,"Téc 3",DATA_GOC!$F:$F,"Xuất nội bộ từ téc",DATA_GOC!$B:$B,DATE($D$2,$B$2,AA$4)),0))</f>
        <v>0</v>
      </c>
      <c r="AB172" s="251">
        <f>IF(AB$4&gt;DAY(EOMONTH(DATE($D$2,$B$2,1),0)),"",IFERROR(SUMIFS(DATA_GOC!$H:$H,DATA_GOC!$A:$A,"BOM",DATA_GOC!$D:$D,$B172,DATA_GOC!$E:$E,"Téc 3",DATA_GOC!$F:$F,"Xuất nội bộ từ téc",DATA_GOC!$B:$B,DATE($D$2,$B$2,AB$4)),0))</f>
        <v>0</v>
      </c>
      <c r="AC172" s="251">
        <f>IF(AC$4&gt;DAY(EOMONTH(DATE($D$2,$B$2,1),0)),"",IFERROR(SUMIFS(DATA_GOC!$H:$H,DATA_GOC!$A:$A,"BOM",DATA_GOC!$D:$D,$B172,DATA_GOC!$E:$E,"Téc 3",DATA_GOC!$F:$F,"Xuất nội bộ từ téc",DATA_GOC!$B:$B,DATE($D$2,$B$2,AC$4)),0))</f>
        <v>0</v>
      </c>
      <c r="AD172" s="251">
        <f>IF(AD$4&gt;DAY(EOMONTH(DATE($D$2,$B$2,1),0)),"",IFERROR(SUMIFS(DATA_GOC!$H:$H,DATA_GOC!$A:$A,"BOM",DATA_GOC!$D:$D,$B172,DATA_GOC!$E:$E,"Téc 3",DATA_GOC!$F:$F,"Xuất nội bộ từ téc",DATA_GOC!$B:$B,DATE($D$2,$B$2,AD$4)),0))</f>
        <v>0</v>
      </c>
      <c r="AE172" s="251">
        <f>IF(AE$4&gt;DAY(EOMONTH(DATE($D$2,$B$2,1),0)),"",IFERROR(SUMIFS(DATA_GOC!$H:$H,DATA_GOC!$A:$A,"BOM",DATA_GOC!$D:$D,$B172,DATA_GOC!$E:$E,"Téc 3",DATA_GOC!$F:$F,"Xuất nội bộ từ téc",DATA_GOC!$B:$B,DATE($D$2,$B$2,AE$4)),0))</f>
        <v>0</v>
      </c>
      <c r="AF172" s="251">
        <f>IF(AF$4&gt;DAY(EOMONTH(DATE($D$2,$B$2,1),0)),"",IFERROR(SUMIFS(DATA_GOC!$H:$H,DATA_GOC!$A:$A,"BOM",DATA_GOC!$D:$D,$B172,DATA_GOC!$E:$E,"Téc 3",DATA_GOC!$F:$F,"Xuất nội bộ từ téc",DATA_GOC!$B:$B,DATE($D$2,$B$2,AF$4)),0))</f>
        <v>0</v>
      </c>
      <c r="AG172" s="251">
        <f>IF(AG$4&gt;DAY(EOMONTH(DATE($D$2,$B$2,1),0)),"",IFERROR(SUMIFS(DATA_GOC!$H:$H,DATA_GOC!$A:$A,"BOM",DATA_GOC!$D:$D,$B172,DATA_GOC!$E:$E,"Téc 3",DATA_GOC!$F:$F,"Xuất nội bộ từ téc",DATA_GOC!$B:$B,DATE($D$2,$B$2,AG$4)),0))</f>
        <v>0</v>
      </c>
      <c r="AH172" s="252">
        <f t="shared" si="7"/>
        <v>0</v>
      </c>
      <c r="AI172" s="241"/>
      <c r="AJ172" s="242">
        <f>IF($B172="","",SUMIFS(TINH_TEC!$K$233:$K$9232,TINH_TEC!$H$233:$H$9232,$B172,TINH_TEC!$C$233:$C$9232,"Téc 3",TINH_TEC!$F$233:$F$9232,$B$2,TINH_TEC!$G$233:$G$9232,$D$2,TINH_TEC!$B$233:$B$9232,"Đã chốt"))</f>
        <v>0</v>
      </c>
      <c r="AK172" s="242">
        <f>IF($B172="","",SUMIFS(TINH_TEC!$J$233:$J$9232,TINH_TEC!$H$233:$H$9232,$B172,TINH_TEC!$C$233:$C$9232,"Téc 3",TINH_TEC!$F$233:$F$9232,$B$2,TINH_TEC!$G$233:$G$9232,$D$2,TINH_TEC!$B$233:$B$9232,"Đã chốt"))</f>
        <v>0</v>
      </c>
      <c r="AL172" s="242">
        <f t="shared" si="8"/>
        <v>0</v>
      </c>
    </row>
    <row r="173" ht="15.75" customHeight="1">
      <c r="A173" s="237">
        <f>IF($B173&lt;&gt;"",46,"")</f>
        <v>46</v>
      </c>
      <c r="B173" s="250" t="str">
        <f t="array" ref="B173">IFERROR(INDEX(DANH_MUC!$E:$E,49),"")</f>
        <v>29E18160</v>
      </c>
      <c r="C173" s="251">
        <f>IF(C$4&gt;DAY(EOMONTH(DATE($D$2,$B$2,1),0)),"",IFERROR(SUMIFS(DATA_GOC!$H:$H,DATA_GOC!$A:$A,"BOM",DATA_GOC!$D:$D,$B173,DATA_GOC!$E:$E,"Téc 3",DATA_GOC!$F:$F,"Xuất nội bộ từ téc",DATA_GOC!$B:$B,DATE($D$2,$B$2,C$4)),0))</f>
        <v>0</v>
      </c>
      <c r="D173" s="251">
        <f>IF(D$4&gt;DAY(EOMONTH(DATE($D$2,$B$2,1),0)),"",IFERROR(SUMIFS(DATA_GOC!$H:$H,DATA_GOC!$A:$A,"BOM",DATA_GOC!$D:$D,$B173,DATA_GOC!$E:$E,"Téc 3",DATA_GOC!$F:$F,"Xuất nội bộ từ téc",DATA_GOC!$B:$B,DATE($D$2,$B$2,D$4)),0))</f>
        <v>0</v>
      </c>
      <c r="E173" s="251">
        <f>IF(E$4&gt;DAY(EOMONTH(DATE($D$2,$B$2,1),0)),"",IFERROR(SUMIFS(DATA_GOC!$H:$H,DATA_GOC!$A:$A,"BOM",DATA_GOC!$D:$D,$B173,DATA_GOC!$E:$E,"Téc 3",DATA_GOC!$F:$F,"Xuất nội bộ từ téc",DATA_GOC!$B:$B,DATE($D$2,$B$2,E$4)),0))</f>
        <v>0</v>
      </c>
      <c r="F173" s="251">
        <f>IF(F$4&gt;DAY(EOMONTH(DATE($D$2,$B$2,1),0)),"",IFERROR(SUMIFS(DATA_GOC!$H:$H,DATA_GOC!$A:$A,"BOM",DATA_GOC!$D:$D,$B173,DATA_GOC!$E:$E,"Téc 3",DATA_GOC!$F:$F,"Xuất nội bộ từ téc",DATA_GOC!$B:$B,DATE($D$2,$B$2,F$4)),0))</f>
        <v>0</v>
      </c>
      <c r="G173" s="251">
        <f>IF(G$4&gt;DAY(EOMONTH(DATE($D$2,$B$2,1),0)),"",IFERROR(SUMIFS(DATA_GOC!$H:$H,DATA_GOC!$A:$A,"BOM",DATA_GOC!$D:$D,$B173,DATA_GOC!$E:$E,"Téc 3",DATA_GOC!$F:$F,"Xuất nội bộ từ téc",DATA_GOC!$B:$B,DATE($D$2,$B$2,G$4)),0))</f>
        <v>0</v>
      </c>
      <c r="H173" s="251">
        <f>IF(H$4&gt;DAY(EOMONTH(DATE($D$2,$B$2,1),0)),"",IFERROR(SUMIFS(DATA_GOC!$H:$H,DATA_GOC!$A:$A,"BOM",DATA_GOC!$D:$D,$B173,DATA_GOC!$E:$E,"Téc 3",DATA_GOC!$F:$F,"Xuất nội bộ từ téc",DATA_GOC!$B:$B,DATE($D$2,$B$2,H$4)),0))</f>
        <v>0</v>
      </c>
      <c r="I173" s="251">
        <f>IF(I$4&gt;DAY(EOMONTH(DATE($D$2,$B$2,1),0)),"",IFERROR(SUMIFS(DATA_GOC!$H:$H,DATA_GOC!$A:$A,"BOM",DATA_GOC!$D:$D,$B173,DATA_GOC!$E:$E,"Téc 3",DATA_GOC!$F:$F,"Xuất nội bộ từ téc",DATA_GOC!$B:$B,DATE($D$2,$B$2,I$4)),0))</f>
        <v>0</v>
      </c>
      <c r="J173" s="251">
        <f>IF(J$4&gt;DAY(EOMONTH(DATE($D$2,$B$2,1),0)),"",IFERROR(SUMIFS(DATA_GOC!$H:$H,DATA_GOC!$A:$A,"BOM",DATA_GOC!$D:$D,$B173,DATA_GOC!$E:$E,"Téc 3",DATA_GOC!$F:$F,"Xuất nội bộ từ téc",DATA_GOC!$B:$B,DATE($D$2,$B$2,J$4)),0))</f>
        <v>0</v>
      </c>
      <c r="K173" s="251">
        <f>IF(K$4&gt;DAY(EOMONTH(DATE($D$2,$B$2,1),0)),"",IFERROR(SUMIFS(DATA_GOC!$H:$H,DATA_GOC!$A:$A,"BOM",DATA_GOC!$D:$D,$B173,DATA_GOC!$E:$E,"Téc 3",DATA_GOC!$F:$F,"Xuất nội bộ từ téc",DATA_GOC!$B:$B,DATE($D$2,$B$2,K$4)),0))</f>
        <v>0</v>
      </c>
      <c r="L173" s="251">
        <f>IF(L$4&gt;DAY(EOMONTH(DATE($D$2,$B$2,1),0)),"",IFERROR(SUMIFS(DATA_GOC!$H:$H,DATA_GOC!$A:$A,"BOM",DATA_GOC!$D:$D,$B173,DATA_GOC!$E:$E,"Téc 3",DATA_GOC!$F:$F,"Xuất nội bộ từ téc",DATA_GOC!$B:$B,DATE($D$2,$B$2,L$4)),0))</f>
        <v>0</v>
      </c>
      <c r="M173" s="251">
        <f>IF(M$4&gt;DAY(EOMONTH(DATE($D$2,$B$2,1),0)),"",IFERROR(SUMIFS(DATA_GOC!$H:$H,DATA_GOC!$A:$A,"BOM",DATA_GOC!$D:$D,$B173,DATA_GOC!$E:$E,"Téc 3",DATA_GOC!$F:$F,"Xuất nội bộ từ téc",DATA_GOC!$B:$B,DATE($D$2,$B$2,M$4)),0))</f>
        <v>0</v>
      </c>
      <c r="N173" s="251">
        <f>IF(N$4&gt;DAY(EOMONTH(DATE($D$2,$B$2,1),0)),"",IFERROR(SUMIFS(DATA_GOC!$H:$H,DATA_GOC!$A:$A,"BOM",DATA_GOC!$D:$D,$B173,DATA_GOC!$E:$E,"Téc 3",DATA_GOC!$F:$F,"Xuất nội bộ từ téc",DATA_GOC!$B:$B,DATE($D$2,$B$2,N$4)),0))</f>
        <v>0</v>
      </c>
      <c r="O173" s="251">
        <f>IF(O$4&gt;DAY(EOMONTH(DATE($D$2,$B$2,1),0)),"",IFERROR(SUMIFS(DATA_GOC!$H:$H,DATA_GOC!$A:$A,"BOM",DATA_GOC!$D:$D,$B173,DATA_GOC!$E:$E,"Téc 3",DATA_GOC!$F:$F,"Xuất nội bộ từ téc",DATA_GOC!$B:$B,DATE($D$2,$B$2,O$4)),0))</f>
        <v>0</v>
      </c>
      <c r="P173" s="251">
        <f>IF(P$4&gt;DAY(EOMONTH(DATE($D$2,$B$2,1),0)),"",IFERROR(SUMIFS(DATA_GOC!$H:$H,DATA_GOC!$A:$A,"BOM",DATA_GOC!$D:$D,$B173,DATA_GOC!$E:$E,"Téc 3",DATA_GOC!$F:$F,"Xuất nội bộ từ téc",DATA_GOC!$B:$B,DATE($D$2,$B$2,P$4)),0))</f>
        <v>0</v>
      </c>
      <c r="Q173" s="251">
        <f>IF(Q$4&gt;DAY(EOMONTH(DATE($D$2,$B$2,1),0)),"",IFERROR(SUMIFS(DATA_GOC!$H:$H,DATA_GOC!$A:$A,"BOM",DATA_GOC!$D:$D,$B173,DATA_GOC!$E:$E,"Téc 3",DATA_GOC!$F:$F,"Xuất nội bộ từ téc",DATA_GOC!$B:$B,DATE($D$2,$B$2,Q$4)),0))</f>
        <v>0</v>
      </c>
      <c r="R173" s="251">
        <f>IF(R$4&gt;DAY(EOMONTH(DATE($D$2,$B$2,1),0)),"",IFERROR(SUMIFS(DATA_GOC!$H:$H,DATA_GOC!$A:$A,"BOM",DATA_GOC!$D:$D,$B173,DATA_GOC!$E:$E,"Téc 3",DATA_GOC!$F:$F,"Xuất nội bộ từ téc",DATA_GOC!$B:$B,DATE($D$2,$B$2,R$4)),0))</f>
        <v>0</v>
      </c>
      <c r="S173" s="251">
        <f>IF(S$4&gt;DAY(EOMONTH(DATE($D$2,$B$2,1),0)),"",IFERROR(SUMIFS(DATA_GOC!$H:$H,DATA_GOC!$A:$A,"BOM",DATA_GOC!$D:$D,$B173,DATA_GOC!$E:$E,"Téc 3",DATA_GOC!$F:$F,"Xuất nội bộ từ téc",DATA_GOC!$B:$B,DATE($D$2,$B$2,S$4)),0))</f>
        <v>0</v>
      </c>
      <c r="T173" s="251">
        <f>IF(T$4&gt;DAY(EOMONTH(DATE($D$2,$B$2,1),0)),"",IFERROR(SUMIFS(DATA_GOC!$H:$H,DATA_GOC!$A:$A,"BOM",DATA_GOC!$D:$D,$B173,DATA_GOC!$E:$E,"Téc 3",DATA_GOC!$F:$F,"Xuất nội bộ từ téc",DATA_GOC!$B:$B,DATE($D$2,$B$2,T$4)),0))</f>
        <v>0</v>
      </c>
      <c r="U173" s="251">
        <f>IF(U$4&gt;DAY(EOMONTH(DATE($D$2,$B$2,1),0)),"",IFERROR(SUMIFS(DATA_GOC!$H:$H,DATA_GOC!$A:$A,"BOM",DATA_GOC!$D:$D,$B173,DATA_GOC!$E:$E,"Téc 3",DATA_GOC!$F:$F,"Xuất nội bộ từ téc",DATA_GOC!$B:$B,DATE($D$2,$B$2,U$4)),0))</f>
        <v>0</v>
      </c>
      <c r="V173" s="251">
        <f>IF(V$4&gt;DAY(EOMONTH(DATE($D$2,$B$2,1),0)),"",IFERROR(SUMIFS(DATA_GOC!$H:$H,DATA_GOC!$A:$A,"BOM",DATA_GOC!$D:$D,$B173,DATA_GOC!$E:$E,"Téc 3",DATA_GOC!$F:$F,"Xuất nội bộ từ téc",DATA_GOC!$B:$B,DATE($D$2,$B$2,V$4)),0))</f>
        <v>0</v>
      </c>
      <c r="W173" s="251">
        <f>IF(W$4&gt;DAY(EOMONTH(DATE($D$2,$B$2,1),0)),"",IFERROR(SUMIFS(DATA_GOC!$H:$H,DATA_GOC!$A:$A,"BOM",DATA_GOC!$D:$D,$B173,DATA_GOC!$E:$E,"Téc 3",DATA_GOC!$F:$F,"Xuất nội bộ từ téc",DATA_GOC!$B:$B,DATE($D$2,$B$2,W$4)),0))</f>
        <v>0</v>
      </c>
      <c r="X173" s="251">
        <f>IF(X$4&gt;DAY(EOMONTH(DATE($D$2,$B$2,1),0)),"",IFERROR(SUMIFS(DATA_GOC!$H:$H,DATA_GOC!$A:$A,"BOM",DATA_GOC!$D:$D,$B173,DATA_GOC!$E:$E,"Téc 3",DATA_GOC!$F:$F,"Xuất nội bộ từ téc",DATA_GOC!$B:$B,DATE($D$2,$B$2,X$4)),0))</f>
        <v>0</v>
      </c>
      <c r="Y173" s="251">
        <f>IF(Y$4&gt;DAY(EOMONTH(DATE($D$2,$B$2,1),0)),"",IFERROR(SUMIFS(DATA_GOC!$H:$H,DATA_GOC!$A:$A,"BOM",DATA_GOC!$D:$D,$B173,DATA_GOC!$E:$E,"Téc 3",DATA_GOC!$F:$F,"Xuất nội bộ từ téc",DATA_GOC!$B:$B,DATE($D$2,$B$2,Y$4)),0))</f>
        <v>0</v>
      </c>
      <c r="Z173" s="251">
        <f>IF(Z$4&gt;DAY(EOMONTH(DATE($D$2,$B$2,1),0)),"",IFERROR(SUMIFS(DATA_GOC!$H:$H,DATA_GOC!$A:$A,"BOM",DATA_GOC!$D:$D,$B173,DATA_GOC!$E:$E,"Téc 3",DATA_GOC!$F:$F,"Xuất nội bộ từ téc",DATA_GOC!$B:$B,DATE($D$2,$B$2,Z$4)),0))</f>
        <v>0</v>
      </c>
      <c r="AA173" s="251">
        <f>IF(AA$4&gt;DAY(EOMONTH(DATE($D$2,$B$2,1),0)),"",IFERROR(SUMIFS(DATA_GOC!$H:$H,DATA_GOC!$A:$A,"BOM",DATA_GOC!$D:$D,$B173,DATA_GOC!$E:$E,"Téc 3",DATA_GOC!$F:$F,"Xuất nội bộ từ téc",DATA_GOC!$B:$B,DATE($D$2,$B$2,AA$4)),0))</f>
        <v>0</v>
      </c>
      <c r="AB173" s="251">
        <f>IF(AB$4&gt;DAY(EOMONTH(DATE($D$2,$B$2,1),0)),"",IFERROR(SUMIFS(DATA_GOC!$H:$H,DATA_GOC!$A:$A,"BOM",DATA_GOC!$D:$D,$B173,DATA_GOC!$E:$E,"Téc 3",DATA_GOC!$F:$F,"Xuất nội bộ từ téc",DATA_GOC!$B:$B,DATE($D$2,$B$2,AB$4)),0))</f>
        <v>0</v>
      </c>
      <c r="AC173" s="251">
        <f>IF(AC$4&gt;DAY(EOMONTH(DATE($D$2,$B$2,1),0)),"",IFERROR(SUMIFS(DATA_GOC!$H:$H,DATA_GOC!$A:$A,"BOM",DATA_GOC!$D:$D,$B173,DATA_GOC!$E:$E,"Téc 3",DATA_GOC!$F:$F,"Xuất nội bộ từ téc",DATA_GOC!$B:$B,DATE($D$2,$B$2,AC$4)),0))</f>
        <v>0</v>
      </c>
      <c r="AD173" s="251">
        <f>IF(AD$4&gt;DAY(EOMONTH(DATE($D$2,$B$2,1),0)),"",IFERROR(SUMIFS(DATA_GOC!$H:$H,DATA_GOC!$A:$A,"BOM",DATA_GOC!$D:$D,$B173,DATA_GOC!$E:$E,"Téc 3",DATA_GOC!$F:$F,"Xuất nội bộ từ téc",DATA_GOC!$B:$B,DATE($D$2,$B$2,AD$4)),0))</f>
        <v>0</v>
      </c>
      <c r="AE173" s="251">
        <f>IF(AE$4&gt;DAY(EOMONTH(DATE($D$2,$B$2,1),0)),"",IFERROR(SUMIFS(DATA_GOC!$H:$H,DATA_GOC!$A:$A,"BOM",DATA_GOC!$D:$D,$B173,DATA_GOC!$E:$E,"Téc 3",DATA_GOC!$F:$F,"Xuất nội bộ từ téc",DATA_GOC!$B:$B,DATE($D$2,$B$2,AE$4)),0))</f>
        <v>0</v>
      </c>
      <c r="AF173" s="251">
        <f>IF(AF$4&gt;DAY(EOMONTH(DATE($D$2,$B$2,1),0)),"",IFERROR(SUMIFS(DATA_GOC!$H:$H,DATA_GOC!$A:$A,"BOM",DATA_GOC!$D:$D,$B173,DATA_GOC!$E:$E,"Téc 3",DATA_GOC!$F:$F,"Xuất nội bộ từ téc",DATA_GOC!$B:$B,DATE($D$2,$B$2,AF$4)),0))</f>
        <v>0</v>
      </c>
      <c r="AG173" s="251">
        <f>IF(AG$4&gt;DAY(EOMONTH(DATE($D$2,$B$2,1),0)),"",IFERROR(SUMIFS(DATA_GOC!$H:$H,DATA_GOC!$A:$A,"BOM",DATA_GOC!$D:$D,$B173,DATA_GOC!$E:$E,"Téc 3",DATA_GOC!$F:$F,"Xuất nội bộ từ téc",DATA_GOC!$B:$B,DATE($D$2,$B$2,AG$4)),0))</f>
        <v>0</v>
      </c>
      <c r="AH173" s="252">
        <f t="shared" si="7"/>
        <v>0</v>
      </c>
      <c r="AI173" s="241"/>
      <c r="AJ173" s="242">
        <f>IF($B173="","",SUMIFS(TINH_TEC!$K$233:$K$9232,TINH_TEC!$H$233:$H$9232,$B173,TINH_TEC!$C$233:$C$9232,"Téc 3",TINH_TEC!$F$233:$F$9232,$B$2,TINH_TEC!$G$233:$G$9232,$D$2,TINH_TEC!$B$233:$B$9232,"Đã chốt"))</f>
        <v>0</v>
      </c>
      <c r="AK173" s="242">
        <f>IF($B173="","",SUMIFS(TINH_TEC!$J$233:$J$9232,TINH_TEC!$H$233:$H$9232,$B173,TINH_TEC!$C$233:$C$9232,"Téc 3",TINH_TEC!$F$233:$F$9232,$B$2,TINH_TEC!$G$233:$G$9232,$D$2,TINH_TEC!$B$233:$B$9232,"Đã chốt"))</f>
        <v>0</v>
      </c>
      <c r="AL173" s="242">
        <f t="shared" si="8"/>
        <v>0</v>
      </c>
    </row>
    <row r="174" ht="15.75" customHeight="1">
      <c r="A174" s="237">
        <f>IF($B174&lt;&gt;"",47,"")</f>
        <v>47</v>
      </c>
      <c r="B174" s="250" t="str">
        <f t="array" ref="B174">IFERROR(INDEX(DANH_MUC!$E:$E,50),"")</f>
        <v>Công trình Asphalt</v>
      </c>
      <c r="C174" s="251">
        <f>IF(C$4&gt;DAY(EOMONTH(DATE($D$2,$B$2,1),0)),"",IFERROR(SUMIFS(DATA_GOC!$H:$H,DATA_GOC!$A:$A,"BOM",DATA_GOC!$D:$D,$B174,DATA_GOC!$E:$E,"Téc 3",DATA_GOC!$F:$F,"Xuất nội bộ từ téc",DATA_GOC!$B:$B,DATE($D$2,$B$2,C$4)),0))</f>
        <v>0</v>
      </c>
      <c r="D174" s="251">
        <f>IF(D$4&gt;DAY(EOMONTH(DATE($D$2,$B$2,1),0)),"",IFERROR(SUMIFS(DATA_GOC!$H:$H,DATA_GOC!$A:$A,"BOM",DATA_GOC!$D:$D,$B174,DATA_GOC!$E:$E,"Téc 3",DATA_GOC!$F:$F,"Xuất nội bộ từ téc",DATA_GOC!$B:$B,DATE($D$2,$B$2,D$4)),0))</f>
        <v>0</v>
      </c>
      <c r="E174" s="251">
        <f>IF(E$4&gt;DAY(EOMONTH(DATE($D$2,$B$2,1),0)),"",IFERROR(SUMIFS(DATA_GOC!$H:$H,DATA_GOC!$A:$A,"BOM",DATA_GOC!$D:$D,$B174,DATA_GOC!$E:$E,"Téc 3",DATA_GOC!$F:$F,"Xuất nội bộ từ téc",DATA_GOC!$B:$B,DATE($D$2,$B$2,E$4)),0))</f>
        <v>0</v>
      </c>
      <c r="F174" s="251">
        <f>IF(F$4&gt;DAY(EOMONTH(DATE($D$2,$B$2,1),0)),"",IFERROR(SUMIFS(DATA_GOC!$H:$H,DATA_GOC!$A:$A,"BOM",DATA_GOC!$D:$D,$B174,DATA_GOC!$E:$E,"Téc 3",DATA_GOC!$F:$F,"Xuất nội bộ từ téc",DATA_GOC!$B:$B,DATE($D$2,$B$2,F$4)),0))</f>
        <v>0</v>
      </c>
      <c r="G174" s="251">
        <f>IF(G$4&gt;DAY(EOMONTH(DATE($D$2,$B$2,1),0)),"",IFERROR(SUMIFS(DATA_GOC!$H:$H,DATA_GOC!$A:$A,"BOM",DATA_GOC!$D:$D,$B174,DATA_GOC!$E:$E,"Téc 3",DATA_GOC!$F:$F,"Xuất nội bộ từ téc",DATA_GOC!$B:$B,DATE($D$2,$B$2,G$4)),0))</f>
        <v>0</v>
      </c>
      <c r="H174" s="251">
        <f>IF(H$4&gt;DAY(EOMONTH(DATE($D$2,$B$2,1),0)),"",IFERROR(SUMIFS(DATA_GOC!$H:$H,DATA_GOC!$A:$A,"BOM",DATA_GOC!$D:$D,$B174,DATA_GOC!$E:$E,"Téc 3",DATA_GOC!$F:$F,"Xuất nội bộ từ téc",DATA_GOC!$B:$B,DATE($D$2,$B$2,H$4)),0))</f>
        <v>0</v>
      </c>
      <c r="I174" s="251">
        <f>IF(I$4&gt;DAY(EOMONTH(DATE($D$2,$B$2,1),0)),"",IFERROR(SUMIFS(DATA_GOC!$H:$H,DATA_GOC!$A:$A,"BOM",DATA_GOC!$D:$D,$B174,DATA_GOC!$E:$E,"Téc 3",DATA_GOC!$F:$F,"Xuất nội bộ từ téc",DATA_GOC!$B:$B,DATE($D$2,$B$2,I$4)),0))</f>
        <v>0</v>
      </c>
      <c r="J174" s="251">
        <f>IF(J$4&gt;DAY(EOMONTH(DATE($D$2,$B$2,1),0)),"",IFERROR(SUMIFS(DATA_GOC!$H:$H,DATA_GOC!$A:$A,"BOM",DATA_GOC!$D:$D,$B174,DATA_GOC!$E:$E,"Téc 3",DATA_GOC!$F:$F,"Xuất nội bộ từ téc",DATA_GOC!$B:$B,DATE($D$2,$B$2,J$4)),0))</f>
        <v>0</v>
      </c>
      <c r="K174" s="251">
        <f>IF(K$4&gt;DAY(EOMONTH(DATE($D$2,$B$2,1),0)),"",IFERROR(SUMIFS(DATA_GOC!$H:$H,DATA_GOC!$A:$A,"BOM",DATA_GOC!$D:$D,$B174,DATA_GOC!$E:$E,"Téc 3",DATA_GOC!$F:$F,"Xuất nội bộ từ téc",DATA_GOC!$B:$B,DATE($D$2,$B$2,K$4)),0))</f>
        <v>0</v>
      </c>
      <c r="L174" s="251">
        <f>IF(L$4&gt;DAY(EOMONTH(DATE($D$2,$B$2,1),0)),"",IFERROR(SUMIFS(DATA_GOC!$H:$H,DATA_GOC!$A:$A,"BOM",DATA_GOC!$D:$D,$B174,DATA_GOC!$E:$E,"Téc 3",DATA_GOC!$F:$F,"Xuất nội bộ từ téc",DATA_GOC!$B:$B,DATE($D$2,$B$2,L$4)),0))</f>
        <v>0</v>
      </c>
      <c r="M174" s="251">
        <f>IF(M$4&gt;DAY(EOMONTH(DATE($D$2,$B$2,1),0)),"",IFERROR(SUMIFS(DATA_GOC!$H:$H,DATA_GOC!$A:$A,"BOM",DATA_GOC!$D:$D,$B174,DATA_GOC!$E:$E,"Téc 3",DATA_GOC!$F:$F,"Xuất nội bộ từ téc",DATA_GOC!$B:$B,DATE($D$2,$B$2,M$4)),0))</f>
        <v>0</v>
      </c>
      <c r="N174" s="251">
        <f>IF(N$4&gt;DAY(EOMONTH(DATE($D$2,$B$2,1),0)),"",IFERROR(SUMIFS(DATA_GOC!$H:$H,DATA_GOC!$A:$A,"BOM",DATA_GOC!$D:$D,$B174,DATA_GOC!$E:$E,"Téc 3",DATA_GOC!$F:$F,"Xuất nội bộ từ téc",DATA_GOC!$B:$B,DATE($D$2,$B$2,N$4)),0))</f>
        <v>0</v>
      </c>
      <c r="O174" s="251">
        <f>IF(O$4&gt;DAY(EOMONTH(DATE($D$2,$B$2,1),0)),"",IFERROR(SUMIFS(DATA_GOC!$H:$H,DATA_GOC!$A:$A,"BOM",DATA_GOC!$D:$D,$B174,DATA_GOC!$E:$E,"Téc 3",DATA_GOC!$F:$F,"Xuất nội bộ từ téc",DATA_GOC!$B:$B,DATE($D$2,$B$2,O$4)),0))</f>
        <v>0</v>
      </c>
      <c r="P174" s="251">
        <f>IF(P$4&gt;DAY(EOMONTH(DATE($D$2,$B$2,1),0)),"",IFERROR(SUMIFS(DATA_GOC!$H:$H,DATA_GOC!$A:$A,"BOM",DATA_GOC!$D:$D,$B174,DATA_GOC!$E:$E,"Téc 3",DATA_GOC!$F:$F,"Xuất nội bộ từ téc",DATA_GOC!$B:$B,DATE($D$2,$B$2,P$4)),0))</f>
        <v>0</v>
      </c>
      <c r="Q174" s="251">
        <f>IF(Q$4&gt;DAY(EOMONTH(DATE($D$2,$B$2,1),0)),"",IFERROR(SUMIFS(DATA_GOC!$H:$H,DATA_GOC!$A:$A,"BOM",DATA_GOC!$D:$D,$B174,DATA_GOC!$E:$E,"Téc 3",DATA_GOC!$F:$F,"Xuất nội bộ từ téc",DATA_GOC!$B:$B,DATE($D$2,$B$2,Q$4)),0))</f>
        <v>0</v>
      </c>
      <c r="R174" s="251">
        <f>IF(R$4&gt;DAY(EOMONTH(DATE($D$2,$B$2,1),0)),"",IFERROR(SUMIFS(DATA_GOC!$H:$H,DATA_GOC!$A:$A,"BOM",DATA_GOC!$D:$D,$B174,DATA_GOC!$E:$E,"Téc 3",DATA_GOC!$F:$F,"Xuất nội bộ từ téc",DATA_GOC!$B:$B,DATE($D$2,$B$2,R$4)),0))</f>
        <v>0</v>
      </c>
      <c r="S174" s="251">
        <f>IF(S$4&gt;DAY(EOMONTH(DATE($D$2,$B$2,1),0)),"",IFERROR(SUMIFS(DATA_GOC!$H:$H,DATA_GOC!$A:$A,"BOM",DATA_GOC!$D:$D,$B174,DATA_GOC!$E:$E,"Téc 3",DATA_GOC!$F:$F,"Xuất nội bộ từ téc",DATA_GOC!$B:$B,DATE($D$2,$B$2,S$4)),0))</f>
        <v>0</v>
      </c>
      <c r="T174" s="251">
        <f>IF(T$4&gt;DAY(EOMONTH(DATE($D$2,$B$2,1),0)),"",IFERROR(SUMIFS(DATA_GOC!$H:$H,DATA_GOC!$A:$A,"BOM",DATA_GOC!$D:$D,$B174,DATA_GOC!$E:$E,"Téc 3",DATA_GOC!$F:$F,"Xuất nội bộ từ téc",DATA_GOC!$B:$B,DATE($D$2,$B$2,T$4)),0))</f>
        <v>0</v>
      </c>
      <c r="U174" s="251">
        <f>IF(U$4&gt;DAY(EOMONTH(DATE($D$2,$B$2,1),0)),"",IFERROR(SUMIFS(DATA_GOC!$H:$H,DATA_GOC!$A:$A,"BOM",DATA_GOC!$D:$D,$B174,DATA_GOC!$E:$E,"Téc 3",DATA_GOC!$F:$F,"Xuất nội bộ từ téc",DATA_GOC!$B:$B,DATE($D$2,$B$2,U$4)),0))</f>
        <v>0</v>
      </c>
      <c r="V174" s="251">
        <f>IF(V$4&gt;DAY(EOMONTH(DATE($D$2,$B$2,1),0)),"",IFERROR(SUMIFS(DATA_GOC!$H:$H,DATA_GOC!$A:$A,"BOM",DATA_GOC!$D:$D,$B174,DATA_GOC!$E:$E,"Téc 3",DATA_GOC!$F:$F,"Xuất nội bộ từ téc",DATA_GOC!$B:$B,DATE($D$2,$B$2,V$4)),0))</f>
        <v>0</v>
      </c>
      <c r="W174" s="251">
        <f>IF(W$4&gt;DAY(EOMONTH(DATE($D$2,$B$2,1),0)),"",IFERROR(SUMIFS(DATA_GOC!$H:$H,DATA_GOC!$A:$A,"BOM",DATA_GOC!$D:$D,$B174,DATA_GOC!$E:$E,"Téc 3",DATA_GOC!$F:$F,"Xuất nội bộ từ téc",DATA_GOC!$B:$B,DATE($D$2,$B$2,W$4)),0))</f>
        <v>0</v>
      </c>
      <c r="X174" s="251">
        <f>IF(X$4&gt;DAY(EOMONTH(DATE($D$2,$B$2,1),0)),"",IFERROR(SUMIFS(DATA_GOC!$H:$H,DATA_GOC!$A:$A,"BOM",DATA_GOC!$D:$D,$B174,DATA_GOC!$E:$E,"Téc 3",DATA_GOC!$F:$F,"Xuất nội bộ từ téc",DATA_GOC!$B:$B,DATE($D$2,$B$2,X$4)),0))</f>
        <v>0</v>
      </c>
      <c r="Y174" s="251">
        <f>IF(Y$4&gt;DAY(EOMONTH(DATE($D$2,$B$2,1),0)),"",IFERROR(SUMIFS(DATA_GOC!$H:$H,DATA_GOC!$A:$A,"BOM",DATA_GOC!$D:$D,$B174,DATA_GOC!$E:$E,"Téc 3",DATA_GOC!$F:$F,"Xuất nội bộ từ téc",DATA_GOC!$B:$B,DATE($D$2,$B$2,Y$4)),0))</f>
        <v>0</v>
      </c>
      <c r="Z174" s="251">
        <f>IF(Z$4&gt;DAY(EOMONTH(DATE($D$2,$B$2,1),0)),"",IFERROR(SUMIFS(DATA_GOC!$H:$H,DATA_GOC!$A:$A,"BOM",DATA_GOC!$D:$D,$B174,DATA_GOC!$E:$E,"Téc 3",DATA_GOC!$F:$F,"Xuất nội bộ từ téc",DATA_GOC!$B:$B,DATE($D$2,$B$2,Z$4)),0))</f>
        <v>0</v>
      </c>
      <c r="AA174" s="251">
        <f>IF(AA$4&gt;DAY(EOMONTH(DATE($D$2,$B$2,1),0)),"",IFERROR(SUMIFS(DATA_GOC!$H:$H,DATA_GOC!$A:$A,"BOM",DATA_GOC!$D:$D,$B174,DATA_GOC!$E:$E,"Téc 3",DATA_GOC!$F:$F,"Xuất nội bộ từ téc",DATA_GOC!$B:$B,DATE($D$2,$B$2,AA$4)),0))</f>
        <v>0</v>
      </c>
      <c r="AB174" s="251">
        <f>IF(AB$4&gt;DAY(EOMONTH(DATE($D$2,$B$2,1),0)),"",IFERROR(SUMIFS(DATA_GOC!$H:$H,DATA_GOC!$A:$A,"BOM",DATA_GOC!$D:$D,$B174,DATA_GOC!$E:$E,"Téc 3",DATA_GOC!$F:$F,"Xuất nội bộ từ téc",DATA_GOC!$B:$B,DATE($D$2,$B$2,AB$4)),0))</f>
        <v>0</v>
      </c>
      <c r="AC174" s="251">
        <f>IF(AC$4&gt;DAY(EOMONTH(DATE($D$2,$B$2,1),0)),"",IFERROR(SUMIFS(DATA_GOC!$H:$H,DATA_GOC!$A:$A,"BOM",DATA_GOC!$D:$D,$B174,DATA_GOC!$E:$E,"Téc 3",DATA_GOC!$F:$F,"Xuất nội bộ từ téc",DATA_GOC!$B:$B,DATE($D$2,$B$2,AC$4)),0))</f>
        <v>0</v>
      </c>
      <c r="AD174" s="251">
        <f>IF(AD$4&gt;DAY(EOMONTH(DATE($D$2,$B$2,1),0)),"",IFERROR(SUMIFS(DATA_GOC!$H:$H,DATA_GOC!$A:$A,"BOM",DATA_GOC!$D:$D,$B174,DATA_GOC!$E:$E,"Téc 3",DATA_GOC!$F:$F,"Xuất nội bộ từ téc",DATA_GOC!$B:$B,DATE($D$2,$B$2,AD$4)),0))</f>
        <v>0</v>
      </c>
      <c r="AE174" s="251">
        <f>IF(AE$4&gt;DAY(EOMONTH(DATE($D$2,$B$2,1),0)),"",IFERROR(SUMIFS(DATA_GOC!$H:$H,DATA_GOC!$A:$A,"BOM",DATA_GOC!$D:$D,$B174,DATA_GOC!$E:$E,"Téc 3",DATA_GOC!$F:$F,"Xuất nội bộ từ téc",DATA_GOC!$B:$B,DATE($D$2,$B$2,AE$4)),0))</f>
        <v>0</v>
      </c>
      <c r="AF174" s="251">
        <f>IF(AF$4&gt;DAY(EOMONTH(DATE($D$2,$B$2,1),0)),"",IFERROR(SUMIFS(DATA_GOC!$H:$H,DATA_GOC!$A:$A,"BOM",DATA_GOC!$D:$D,$B174,DATA_GOC!$E:$E,"Téc 3",DATA_GOC!$F:$F,"Xuất nội bộ từ téc",DATA_GOC!$B:$B,DATE($D$2,$B$2,AF$4)),0))</f>
        <v>0</v>
      </c>
      <c r="AG174" s="251">
        <f>IF(AG$4&gt;DAY(EOMONTH(DATE($D$2,$B$2,1),0)),"",IFERROR(SUMIFS(DATA_GOC!$H:$H,DATA_GOC!$A:$A,"BOM",DATA_GOC!$D:$D,$B174,DATA_GOC!$E:$E,"Téc 3",DATA_GOC!$F:$F,"Xuất nội bộ từ téc",DATA_GOC!$B:$B,DATE($D$2,$B$2,AG$4)),0))</f>
        <v>0</v>
      </c>
      <c r="AH174" s="252">
        <f t="shared" si="7"/>
        <v>0</v>
      </c>
      <c r="AI174" s="241"/>
      <c r="AJ174" s="242">
        <f>IF($B174="","",SUMIFS(TINH_TEC!$K$233:$K$9232,TINH_TEC!$H$233:$H$9232,$B174,TINH_TEC!$C$233:$C$9232,"Téc 3",TINH_TEC!$F$233:$F$9232,$B$2,TINH_TEC!$G$233:$G$9232,$D$2,TINH_TEC!$B$233:$B$9232,"Đã chốt"))</f>
        <v>0</v>
      </c>
      <c r="AK174" s="242">
        <f>IF($B174="","",SUMIFS(TINH_TEC!$J$233:$J$9232,TINH_TEC!$H$233:$H$9232,$B174,TINH_TEC!$C$233:$C$9232,"Téc 3",TINH_TEC!$F$233:$F$9232,$B$2,TINH_TEC!$G$233:$G$9232,$D$2,TINH_TEC!$B$233:$B$9232,"Đã chốt"))</f>
        <v>0</v>
      </c>
      <c r="AL174" s="242">
        <f t="shared" si="8"/>
        <v>0</v>
      </c>
    </row>
    <row r="175" ht="15.75" customHeight="1">
      <c r="A175" s="237">
        <f>IF($B175&lt;&gt;"",48,"")</f>
        <v>48</v>
      </c>
      <c r="B175" s="250" t="str">
        <f t="array" ref="B175">IFERROR(INDEX(DANH_MUC!$E:$E,51),"")</f>
        <v>LG53F</v>
      </c>
      <c r="C175" s="251">
        <f>IF(C$4&gt;DAY(EOMONTH(DATE($D$2,$B$2,1),0)),"",IFERROR(SUMIFS(DATA_GOC!$H:$H,DATA_GOC!$A:$A,"BOM",DATA_GOC!$D:$D,$B175,DATA_GOC!$E:$E,"Téc 3",DATA_GOC!$F:$F,"Xuất nội bộ từ téc",DATA_GOC!$B:$B,DATE($D$2,$B$2,C$4)),0))</f>
        <v>0</v>
      </c>
      <c r="D175" s="251">
        <f>IF(D$4&gt;DAY(EOMONTH(DATE($D$2,$B$2,1),0)),"",IFERROR(SUMIFS(DATA_GOC!$H:$H,DATA_GOC!$A:$A,"BOM",DATA_GOC!$D:$D,$B175,DATA_GOC!$E:$E,"Téc 3",DATA_GOC!$F:$F,"Xuất nội bộ từ téc",DATA_GOC!$B:$B,DATE($D$2,$B$2,D$4)),0))</f>
        <v>0</v>
      </c>
      <c r="E175" s="251">
        <f>IF(E$4&gt;DAY(EOMONTH(DATE($D$2,$B$2,1),0)),"",IFERROR(SUMIFS(DATA_GOC!$H:$H,DATA_GOC!$A:$A,"BOM",DATA_GOC!$D:$D,$B175,DATA_GOC!$E:$E,"Téc 3",DATA_GOC!$F:$F,"Xuất nội bộ từ téc",DATA_GOC!$B:$B,DATE($D$2,$B$2,E$4)),0))</f>
        <v>0</v>
      </c>
      <c r="F175" s="251">
        <f>IF(F$4&gt;DAY(EOMONTH(DATE($D$2,$B$2,1),0)),"",IFERROR(SUMIFS(DATA_GOC!$H:$H,DATA_GOC!$A:$A,"BOM",DATA_GOC!$D:$D,$B175,DATA_GOC!$E:$E,"Téc 3",DATA_GOC!$F:$F,"Xuất nội bộ từ téc",DATA_GOC!$B:$B,DATE($D$2,$B$2,F$4)),0))</f>
        <v>0</v>
      </c>
      <c r="G175" s="251">
        <f>IF(G$4&gt;DAY(EOMONTH(DATE($D$2,$B$2,1),0)),"",IFERROR(SUMIFS(DATA_GOC!$H:$H,DATA_GOC!$A:$A,"BOM",DATA_GOC!$D:$D,$B175,DATA_GOC!$E:$E,"Téc 3",DATA_GOC!$F:$F,"Xuất nội bộ từ téc",DATA_GOC!$B:$B,DATE($D$2,$B$2,G$4)),0))</f>
        <v>0</v>
      </c>
      <c r="H175" s="251">
        <f>IF(H$4&gt;DAY(EOMONTH(DATE($D$2,$B$2,1),0)),"",IFERROR(SUMIFS(DATA_GOC!$H:$H,DATA_GOC!$A:$A,"BOM",DATA_GOC!$D:$D,$B175,DATA_GOC!$E:$E,"Téc 3",DATA_GOC!$F:$F,"Xuất nội bộ từ téc",DATA_GOC!$B:$B,DATE($D$2,$B$2,H$4)),0))</f>
        <v>0</v>
      </c>
      <c r="I175" s="251">
        <f>IF(I$4&gt;DAY(EOMONTH(DATE($D$2,$B$2,1),0)),"",IFERROR(SUMIFS(DATA_GOC!$H:$H,DATA_GOC!$A:$A,"BOM",DATA_GOC!$D:$D,$B175,DATA_GOC!$E:$E,"Téc 3",DATA_GOC!$F:$F,"Xuất nội bộ từ téc",DATA_GOC!$B:$B,DATE($D$2,$B$2,I$4)),0))</f>
        <v>0</v>
      </c>
      <c r="J175" s="251">
        <f>IF(J$4&gt;DAY(EOMONTH(DATE($D$2,$B$2,1),0)),"",IFERROR(SUMIFS(DATA_GOC!$H:$H,DATA_GOC!$A:$A,"BOM",DATA_GOC!$D:$D,$B175,DATA_GOC!$E:$E,"Téc 3",DATA_GOC!$F:$F,"Xuất nội bộ từ téc",DATA_GOC!$B:$B,DATE($D$2,$B$2,J$4)),0))</f>
        <v>0</v>
      </c>
      <c r="K175" s="251">
        <f>IF(K$4&gt;DAY(EOMONTH(DATE($D$2,$B$2,1),0)),"",IFERROR(SUMIFS(DATA_GOC!$H:$H,DATA_GOC!$A:$A,"BOM",DATA_GOC!$D:$D,$B175,DATA_GOC!$E:$E,"Téc 3",DATA_GOC!$F:$F,"Xuất nội bộ từ téc",DATA_GOC!$B:$B,DATE($D$2,$B$2,K$4)),0))</f>
        <v>0</v>
      </c>
      <c r="L175" s="251">
        <f>IF(L$4&gt;DAY(EOMONTH(DATE($D$2,$B$2,1),0)),"",IFERROR(SUMIFS(DATA_GOC!$H:$H,DATA_GOC!$A:$A,"BOM",DATA_GOC!$D:$D,$B175,DATA_GOC!$E:$E,"Téc 3",DATA_GOC!$F:$F,"Xuất nội bộ từ téc",DATA_GOC!$B:$B,DATE($D$2,$B$2,L$4)),0))</f>
        <v>0</v>
      </c>
      <c r="M175" s="251">
        <f>IF(M$4&gt;DAY(EOMONTH(DATE($D$2,$B$2,1),0)),"",IFERROR(SUMIFS(DATA_GOC!$H:$H,DATA_GOC!$A:$A,"BOM",DATA_GOC!$D:$D,$B175,DATA_GOC!$E:$E,"Téc 3",DATA_GOC!$F:$F,"Xuất nội bộ từ téc",DATA_GOC!$B:$B,DATE($D$2,$B$2,M$4)),0))</f>
        <v>0</v>
      </c>
      <c r="N175" s="251">
        <f>IF(N$4&gt;DAY(EOMONTH(DATE($D$2,$B$2,1),0)),"",IFERROR(SUMIFS(DATA_GOC!$H:$H,DATA_GOC!$A:$A,"BOM",DATA_GOC!$D:$D,$B175,DATA_GOC!$E:$E,"Téc 3",DATA_GOC!$F:$F,"Xuất nội bộ từ téc",DATA_GOC!$B:$B,DATE($D$2,$B$2,N$4)),0))</f>
        <v>0</v>
      </c>
      <c r="O175" s="251">
        <f>IF(O$4&gt;DAY(EOMONTH(DATE($D$2,$B$2,1),0)),"",IFERROR(SUMIFS(DATA_GOC!$H:$H,DATA_GOC!$A:$A,"BOM",DATA_GOC!$D:$D,$B175,DATA_GOC!$E:$E,"Téc 3",DATA_GOC!$F:$F,"Xuất nội bộ từ téc",DATA_GOC!$B:$B,DATE($D$2,$B$2,O$4)),0))</f>
        <v>0</v>
      </c>
      <c r="P175" s="251">
        <f>IF(P$4&gt;DAY(EOMONTH(DATE($D$2,$B$2,1),0)),"",IFERROR(SUMIFS(DATA_GOC!$H:$H,DATA_GOC!$A:$A,"BOM",DATA_GOC!$D:$D,$B175,DATA_GOC!$E:$E,"Téc 3",DATA_GOC!$F:$F,"Xuất nội bộ từ téc",DATA_GOC!$B:$B,DATE($D$2,$B$2,P$4)),0))</f>
        <v>0</v>
      </c>
      <c r="Q175" s="251">
        <f>IF(Q$4&gt;DAY(EOMONTH(DATE($D$2,$B$2,1),0)),"",IFERROR(SUMIFS(DATA_GOC!$H:$H,DATA_GOC!$A:$A,"BOM",DATA_GOC!$D:$D,$B175,DATA_GOC!$E:$E,"Téc 3",DATA_GOC!$F:$F,"Xuất nội bộ từ téc",DATA_GOC!$B:$B,DATE($D$2,$B$2,Q$4)),0))</f>
        <v>0</v>
      </c>
      <c r="R175" s="251">
        <f>IF(R$4&gt;DAY(EOMONTH(DATE($D$2,$B$2,1),0)),"",IFERROR(SUMIFS(DATA_GOC!$H:$H,DATA_GOC!$A:$A,"BOM",DATA_GOC!$D:$D,$B175,DATA_GOC!$E:$E,"Téc 3",DATA_GOC!$F:$F,"Xuất nội bộ từ téc",DATA_GOC!$B:$B,DATE($D$2,$B$2,R$4)),0))</f>
        <v>0</v>
      </c>
      <c r="S175" s="251">
        <f>IF(S$4&gt;DAY(EOMONTH(DATE($D$2,$B$2,1),0)),"",IFERROR(SUMIFS(DATA_GOC!$H:$H,DATA_GOC!$A:$A,"BOM",DATA_GOC!$D:$D,$B175,DATA_GOC!$E:$E,"Téc 3",DATA_GOC!$F:$F,"Xuất nội bộ từ téc",DATA_GOC!$B:$B,DATE($D$2,$B$2,S$4)),0))</f>
        <v>0</v>
      </c>
      <c r="T175" s="251">
        <f>IF(T$4&gt;DAY(EOMONTH(DATE($D$2,$B$2,1),0)),"",IFERROR(SUMIFS(DATA_GOC!$H:$H,DATA_GOC!$A:$A,"BOM",DATA_GOC!$D:$D,$B175,DATA_GOC!$E:$E,"Téc 3",DATA_GOC!$F:$F,"Xuất nội bộ từ téc",DATA_GOC!$B:$B,DATE($D$2,$B$2,T$4)),0))</f>
        <v>0</v>
      </c>
      <c r="U175" s="251">
        <f>IF(U$4&gt;DAY(EOMONTH(DATE($D$2,$B$2,1),0)),"",IFERROR(SUMIFS(DATA_GOC!$H:$H,DATA_GOC!$A:$A,"BOM",DATA_GOC!$D:$D,$B175,DATA_GOC!$E:$E,"Téc 3",DATA_GOC!$F:$F,"Xuất nội bộ từ téc",DATA_GOC!$B:$B,DATE($D$2,$B$2,U$4)),0))</f>
        <v>0</v>
      </c>
      <c r="V175" s="251">
        <f>IF(V$4&gt;DAY(EOMONTH(DATE($D$2,$B$2,1),0)),"",IFERROR(SUMIFS(DATA_GOC!$H:$H,DATA_GOC!$A:$A,"BOM",DATA_GOC!$D:$D,$B175,DATA_GOC!$E:$E,"Téc 3",DATA_GOC!$F:$F,"Xuất nội bộ từ téc",DATA_GOC!$B:$B,DATE($D$2,$B$2,V$4)),0))</f>
        <v>0</v>
      </c>
      <c r="W175" s="251">
        <f>IF(W$4&gt;DAY(EOMONTH(DATE($D$2,$B$2,1),0)),"",IFERROR(SUMIFS(DATA_GOC!$H:$H,DATA_GOC!$A:$A,"BOM",DATA_GOC!$D:$D,$B175,DATA_GOC!$E:$E,"Téc 3",DATA_GOC!$F:$F,"Xuất nội bộ từ téc",DATA_GOC!$B:$B,DATE($D$2,$B$2,W$4)),0))</f>
        <v>0</v>
      </c>
      <c r="X175" s="251">
        <f>IF(X$4&gt;DAY(EOMONTH(DATE($D$2,$B$2,1),0)),"",IFERROR(SUMIFS(DATA_GOC!$H:$H,DATA_GOC!$A:$A,"BOM",DATA_GOC!$D:$D,$B175,DATA_GOC!$E:$E,"Téc 3",DATA_GOC!$F:$F,"Xuất nội bộ từ téc",DATA_GOC!$B:$B,DATE($D$2,$B$2,X$4)),0))</f>
        <v>0</v>
      </c>
      <c r="Y175" s="251">
        <f>IF(Y$4&gt;DAY(EOMONTH(DATE($D$2,$B$2,1),0)),"",IFERROR(SUMIFS(DATA_GOC!$H:$H,DATA_GOC!$A:$A,"BOM",DATA_GOC!$D:$D,$B175,DATA_GOC!$E:$E,"Téc 3",DATA_GOC!$F:$F,"Xuất nội bộ từ téc",DATA_GOC!$B:$B,DATE($D$2,$B$2,Y$4)),0))</f>
        <v>0</v>
      </c>
      <c r="Z175" s="251">
        <f>IF(Z$4&gt;DAY(EOMONTH(DATE($D$2,$B$2,1),0)),"",IFERROR(SUMIFS(DATA_GOC!$H:$H,DATA_GOC!$A:$A,"BOM",DATA_GOC!$D:$D,$B175,DATA_GOC!$E:$E,"Téc 3",DATA_GOC!$F:$F,"Xuất nội bộ từ téc",DATA_GOC!$B:$B,DATE($D$2,$B$2,Z$4)),0))</f>
        <v>0</v>
      </c>
      <c r="AA175" s="251">
        <f>IF(AA$4&gt;DAY(EOMONTH(DATE($D$2,$B$2,1),0)),"",IFERROR(SUMIFS(DATA_GOC!$H:$H,DATA_GOC!$A:$A,"BOM",DATA_GOC!$D:$D,$B175,DATA_GOC!$E:$E,"Téc 3",DATA_GOC!$F:$F,"Xuất nội bộ từ téc",DATA_GOC!$B:$B,DATE($D$2,$B$2,AA$4)),0))</f>
        <v>0</v>
      </c>
      <c r="AB175" s="251">
        <f>IF(AB$4&gt;DAY(EOMONTH(DATE($D$2,$B$2,1),0)),"",IFERROR(SUMIFS(DATA_GOC!$H:$H,DATA_GOC!$A:$A,"BOM",DATA_GOC!$D:$D,$B175,DATA_GOC!$E:$E,"Téc 3",DATA_GOC!$F:$F,"Xuất nội bộ từ téc",DATA_GOC!$B:$B,DATE($D$2,$B$2,AB$4)),0))</f>
        <v>0</v>
      </c>
      <c r="AC175" s="251">
        <f>IF(AC$4&gt;DAY(EOMONTH(DATE($D$2,$B$2,1),0)),"",IFERROR(SUMIFS(DATA_GOC!$H:$H,DATA_GOC!$A:$A,"BOM",DATA_GOC!$D:$D,$B175,DATA_GOC!$E:$E,"Téc 3",DATA_GOC!$F:$F,"Xuất nội bộ từ téc",DATA_GOC!$B:$B,DATE($D$2,$B$2,AC$4)),0))</f>
        <v>0</v>
      </c>
      <c r="AD175" s="251">
        <f>IF(AD$4&gt;DAY(EOMONTH(DATE($D$2,$B$2,1),0)),"",IFERROR(SUMIFS(DATA_GOC!$H:$H,DATA_GOC!$A:$A,"BOM",DATA_GOC!$D:$D,$B175,DATA_GOC!$E:$E,"Téc 3",DATA_GOC!$F:$F,"Xuất nội bộ từ téc",DATA_GOC!$B:$B,DATE($D$2,$B$2,AD$4)),0))</f>
        <v>0</v>
      </c>
      <c r="AE175" s="251">
        <f>IF(AE$4&gt;DAY(EOMONTH(DATE($D$2,$B$2,1),0)),"",IFERROR(SUMIFS(DATA_GOC!$H:$H,DATA_GOC!$A:$A,"BOM",DATA_GOC!$D:$D,$B175,DATA_GOC!$E:$E,"Téc 3",DATA_GOC!$F:$F,"Xuất nội bộ từ téc",DATA_GOC!$B:$B,DATE($D$2,$B$2,AE$4)),0))</f>
        <v>0</v>
      </c>
      <c r="AF175" s="251">
        <f>IF(AF$4&gt;DAY(EOMONTH(DATE($D$2,$B$2,1),0)),"",IFERROR(SUMIFS(DATA_GOC!$H:$H,DATA_GOC!$A:$A,"BOM",DATA_GOC!$D:$D,$B175,DATA_GOC!$E:$E,"Téc 3",DATA_GOC!$F:$F,"Xuất nội bộ từ téc",DATA_GOC!$B:$B,DATE($D$2,$B$2,AF$4)),0))</f>
        <v>0</v>
      </c>
      <c r="AG175" s="251">
        <f>IF(AG$4&gt;DAY(EOMONTH(DATE($D$2,$B$2,1),0)),"",IFERROR(SUMIFS(DATA_GOC!$H:$H,DATA_GOC!$A:$A,"BOM",DATA_GOC!$D:$D,$B175,DATA_GOC!$E:$E,"Téc 3",DATA_GOC!$F:$F,"Xuất nội bộ từ téc",DATA_GOC!$B:$B,DATE($D$2,$B$2,AG$4)),0))</f>
        <v>0</v>
      </c>
      <c r="AH175" s="252">
        <f t="shared" si="7"/>
        <v>0</v>
      </c>
      <c r="AI175" s="241"/>
      <c r="AJ175" s="242">
        <f>IF($B175="","",SUMIFS(TINH_TEC!$K$233:$K$9232,TINH_TEC!$H$233:$H$9232,$B175,TINH_TEC!$C$233:$C$9232,"Téc 3",TINH_TEC!$F$233:$F$9232,$B$2,TINH_TEC!$G$233:$G$9232,$D$2,TINH_TEC!$B$233:$B$9232,"Đã chốt"))</f>
        <v>0</v>
      </c>
      <c r="AK175" s="242">
        <f>IF($B175="","",SUMIFS(TINH_TEC!$J$233:$J$9232,TINH_TEC!$H$233:$H$9232,$B175,TINH_TEC!$C$233:$C$9232,"Téc 3",TINH_TEC!$F$233:$F$9232,$B$2,TINH_TEC!$G$233:$G$9232,$D$2,TINH_TEC!$B$233:$B$9232,"Đã chốt"))</f>
        <v>0</v>
      </c>
      <c r="AL175" s="242">
        <f t="shared" si="8"/>
        <v>0</v>
      </c>
    </row>
    <row r="176" ht="15.75" customHeight="1">
      <c r="A176" s="237">
        <f>IF($B176&lt;&gt;"",49,"")</f>
        <v>49</v>
      </c>
      <c r="B176" s="250" t="str">
        <f t="array" ref="B176">IFERROR(INDEX(DANH_MUC!$E:$E,52),"")</f>
        <v>Máy phát điện</v>
      </c>
      <c r="C176" s="251">
        <f>IF(C$4&gt;DAY(EOMONTH(DATE($D$2,$B$2,1),0)),"",IFERROR(SUMIFS(DATA_GOC!$H:$H,DATA_GOC!$A:$A,"BOM",DATA_GOC!$D:$D,$B176,DATA_GOC!$E:$E,"Téc 3",DATA_GOC!$F:$F,"Xuất nội bộ từ téc",DATA_GOC!$B:$B,DATE($D$2,$B$2,C$4)),0))</f>
        <v>0</v>
      </c>
      <c r="D176" s="251">
        <f>IF(D$4&gt;DAY(EOMONTH(DATE($D$2,$B$2,1),0)),"",IFERROR(SUMIFS(DATA_GOC!$H:$H,DATA_GOC!$A:$A,"BOM",DATA_GOC!$D:$D,$B176,DATA_GOC!$E:$E,"Téc 3",DATA_GOC!$F:$F,"Xuất nội bộ từ téc",DATA_GOC!$B:$B,DATE($D$2,$B$2,D$4)),0))</f>
        <v>0</v>
      </c>
      <c r="E176" s="251">
        <f>IF(E$4&gt;DAY(EOMONTH(DATE($D$2,$B$2,1),0)),"",IFERROR(SUMIFS(DATA_GOC!$H:$H,DATA_GOC!$A:$A,"BOM",DATA_GOC!$D:$D,$B176,DATA_GOC!$E:$E,"Téc 3",DATA_GOC!$F:$F,"Xuất nội bộ từ téc",DATA_GOC!$B:$B,DATE($D$2,$B$2,E$4)),0))</f>
        <v>0</v>
      </c>
      <c r="F176" s="251">
        <f>IF(F$4&gt;DAY(EOMONTH(DATE($D$2,$B$2,1),0)),"",IFERROR(SUMIFS(DATA_GOC!$H:$H,DATA_GOC!$A:$A,"BOM",DATA_GOC!$D:$D,$B176,DATA_GOC!$E:$E,"Téc 3",DATA_GOC!$F:$F,"Xuất nội bộ từ téc",DATA_GOC!$B:$B,DATE($D$2,$B$2,F$4)),0))</f>
        <v>0</v>
      </c>
      <c r="G176" s="251">
        <f>IF(G$4&gt;DAY(EOMONTH(DATE($D$2,$B$2,1),0)),"",IFERROR(SUMIFS(DATA_GOC!$H:$H,DATA_GOC!$A:$A,"BOM",DATA_GOC!$D:$D,$B176,DATA_GOC!$E:$E,"Téc 3",DATA_GOC!$F:$F,"Xuất nội bộ từ téc",DATA_GOC!$B:$B,DATE($D$2,$B$2,G$4)),0))</f>
        <v>0</v>
      </c>
      <c r="H176" s="251">
        <f>IF(H$4&gt;DAY(EOMONTH(DATE($D$2,$B$2,1),0)),"",IFERROR(SUMIFS(DATA_GOC!$H:$H,DATA_GOC!$A:$A,"BOM",DATA_GOC!$D:$D,$B176,DATA_GOC!$E:$E,"Téc 3",DATA_GOC!$F:$F,"Xuất nội bộ từ téc",DATA_GOC!$B:$B,DATE($D$2,$B$2,H$4)),0))</f>
        <v>0</v>
      </c>
      <c r="I176" s="251">
        <f>IF(I$4&gt;DAY(EOMONTH(DATE($D$2,$B$2,1),0)),"",IFERROR(SUMIFS(DATA_GOC!$H:$H,DATA_GOC!$A:$A,"BOM",DATA_GOC!$D:$D,$B176,DATA_GOC!$E:$E,"Téc 3",DATA_GOC!$F:$F,"Xuất nội bộ từ téc",DATA_GOC!$B:$B,DATE($D$2,$B$2,I$4)),0))</f>
        <v>0</v>
      </c>
      <c r="J176" s="251">
        <f>IF(J$4&gt;DAY(EOMONTH(DATE($D$2,$B$2,1),0)),"",IFERROR(SUMIFS(DATA_GOC!$H:$H,DATA_GOC!$A:$A,"BOM",DATA_GOC!$D:$D,$B176,DATA_GOC!$E:$E,"Téc 3",DATA_GOC!$F:$F,"Xuất nội bộ từ téc",DATA_GOC!$B:$B,DATE($D$2,$B$2,J$4)),0))</f>
        <v>0</v>
      </c>
      <c r="K176" s="251">
        <f>IF(K$4&gt;DAY(EOMONTH(DATE($D$2,$B$2,1),0)),"",IFERROR(SUMIFS(DATA_GOC!$H:$H,DATA_GOC!$A:$A,"BOM",DATA_GOC!$D:$D,$B176,DATA_GOC!$E:$E,"Téc 3",DATA_GOC!$F:$F,"Xuất nội bộ từ téc",DATA_GOC!$B:$B,DATE($D$2,$B$2,K$4)),0))</f>
        <v>0</v>
      </c>
      <c r="L176" s="251">
        <f>IF(L$4&gt;DAY(EOMONTH(DATE($D$2,$B$2,1),0)),"",IFERROR(SUMIFS(DATA_GOC!$H:$H,DATA_GOC!$A:$A,"BOM",DATA_GOC!$D:$D,$B176,DATA_GOC!$E:$E,"Téc 3",DATA_GOC!$F:$F,"Xuất nội bộ từ téc",DATA_GOC!$B:$B,DATE($D$2,$B$2,L$4)),0))</f>
        <v>0</v>
      </c>
      <c r="M176" s="251">
        <f>IF(M$4&gt;DAY(EOMONTH(DATE($D$2,$B$2,1),0)),"",IFERROR(SUMIFS(DATA_GOC!$H:$H,DATA_GOC!$A:$A,"BOM",DATA_GOC!$D:$D,$B176,DATA_GOC!$E:$E,"Téc 3",DATA_GOC!$F:$F,"Xuất nội bộ từ téc",DATA_GOC!$B:$B,DATE($D$2,$B$2,M$4)),0))</f>
        <v>0</v>
      </c>
      <c r="N176" s="251">
        <f>IF(N$4&gt;DAY(EOMONTH(DATE($D$2,$B$2,1),0)),"",IFERROR(SUMIFS(DATA_GOC!$H:$H,DATA_GOC!$A:$A,"BOM",DATA_GOC!$D:$D,$B176,DATA_GOC!$E:$E,"Téc 3",DATA_GOC!$F:$F,"Xuất nội bộ từ téc",DATA_GOC!$B:$B,DATE($D$2,$B$2,N$4)),0))</f>
        <v>0</v>
      </c>
      <c r="O176" s="251">
        <f>IF(O$4&gt;DAY(EOMONTH(DATE($D$2,$B$2,1),0)),"",IFERROR(SUMIFS(DATA_GOC!$H:$H,DATA_GOC!$A:$A,"BOM",DATA_GOC!$D:$D,$B176,DATA_GOC!$E:$E,"Téc 3",DATA_GOC!$F:$F,"Xuất nội bộ từ téc",DATA_GOC!$B:$B,DATE($D$2,$B$2,O$4)),0))</f>
        <v>0</v>
      </c>
      <c r="P176" s="251">
        <f>IF(P$4&gt;DAY(EOMONTH(DATE($D$2,$B$2,1),0)),"",IFERROR(SUMIFS(DATA_GOC!$H:$H,DATA_GOC!$A:$A,"BOM",DATA_GOC!$D:$D,$B176,DATA_GOC!$E:$E,"Téc 3",DATA_GOC!$F:$F,"Xuất nội bộ từ téc",DATA_GOC!$B:$B,DATE($D$2,$B$2,P$4)),0))</f>
        <v>0</v>
      </c>
      <c r="Q176" s="251">
        <f>IF(Q$4&gt;DAY(EOMONTH(DATE($D$2,$B$2,1),0)),"",IFERROR(SUMIFS(DATA_GOC!$H:$H,DATA_GOC!$A:$A,"BOM",DATA_GOC!$D:$D,$B176,DATA_GOC!$E:$E,"Téc 3",DATA_GOC!$F:$F,"Xuất nội bộ từ téc",DATA_GOC!$B:$B,DATE($D$2,$B$2,Q$4)),0))</f>
        <v>0</v>
      </c>
      <c r="R176" s="251">
        <f>IF(R$4&gt;DAY(EOMONTH(DATE($D$2,$B$2,1),0)),"",IFERROR(SUMIFS(DATA_GOC!$H:$H,DATA_GOC!$A:$A,"BOM",DATA_GOC!$D:$D,$B176,DATA_GOC!$E:$E,"Téc 3",DATA_GOC!$F:$F,"Xuất nội bộ từ téc",DATA_GOC!$B:$B,DATE($D$2,$B$2,R$4)),0))</f>
        <v>0</v>
      </c>
      <c r="S176" s="251">
        <f>IF(S$4&gt;DAY(EOMONTH(DATE($D$2,$B$2,1),0)),"",IFERROR(SUMIFS(DATA_GOC!$H:$H,DATA_GOC!$A:$A,"BOM",DATA_GOC!$D:$D,$B176,DATA_GOC!$E:$E,"Téc 3",DATA_GOC!$F:$F,"Xuất nội bộ từ téc",DATA_GOC!$B:$B,DATE($D$2,$B$2,S$4)),0))</f>
        <v>0</v>
      </c>
      <c r="T176" s="251">
        <f>IF(T$4&gt;DAY(EOMONTH(DATE($D$2,$B$2,1),0)),"",IFERROR(SUMIFS(DATA_GOC!$H:$H,DATA_GOC!$A:$A,"BOM",DATA_GOC!$D:$D,$B176,DATA_GOC!$E:$E,"Téc 3",DATA_GOC!$F:$F,"Xuất nội bộ từ téc",DATA_GOC!$B:$B,DATE($D$2,$B$2,T$4)),0))</f>
        <v>0</v>
      </c>
      <c r="U176" s="251">
        <f>IF(U$4&gt;DAY(EOMONTH(DATE($D$2,$B$2,1),0)),"",IFERROR(SUMIFS(DATA_GOC!$H:$H,DATA_GOC!$A:$A,"BOM",DATA_GOC!$D:$D,$B176,DATA_GOC!$E:$E,"Téc 3",DATA_GOC!$F:$F,"Xuất nội bộ từ téc",DATA_GOC!$B:$B,DATE($D$2,$B$2,U$4)),0))</f>
        <v>0</v>
      </c>
      <c r="V176" s="251">
        <f>IF(V$4&gt;DAY(EOMONTH(DATE($D$2,$B$2,1),0)),"",IFERROR(SUMIFS(DATA_GOC!$H:$H,DATA_GOC!$A:$A,"BOM",DATA_GOC!$D:$D,$B176,DATA_GOC!$E:$E,"Téc 3",DATA_GOC!$F:$F,"Xuất nội bộ từ téc",DATA_GOC!$B:$B,DATE($D$2,$B$2,V$4)),0))</f>
        <v>0</v>
      </c>
      <c r="W176" s="251">
        <f>IF(W$4&gt;DAY(EOMONTH(DATE($D$2,$B$2,1),0)),"",IFERROR(SUMIFS(DATA_GOC!$H:$H,DATA_GOC!$A:$A,"BOM",DATA_GOC!$D:$D,$B176,DATA_GOC!$E:$E,"Téc 3",DATA_GOC!$F:$F,"Xuất nội bộ từ téc",DATA_GOC!$B:$B,DATE($D$2,$B$2,W$4)),0))</f>
        <v>0</v>
      </c>
      <c r="X176" s="251">
        <f>IF(X$4&gt;DAY(EOMONTH(DATE($D$2,$B$2,1),0)),"",IFERROR(SUMIFS(DATA_GOC!$H:$H,DATA_GOC!$A:$A,"BOM",DATA_GOC!$D:$D,$B176,DATA_GOC!$E:$E,"Téc 3",DATA_GOC!$F:$F,"Xuất nội bộ từ téc",DATA_GOC!$B:$B,DATE($D$2,$B$2,X$4)),0))</f>
        <v>0</v>
      </c>
      <c r="Y176" s="251">
        <f>IF(Y$4&gt;DAY(EOMONTH(DATE($D$2,$B$2,1),0)),"",IFERROR(SUMIFS(DATA_GOC!$H:$H,DATA_GOC!$A:$A,"BOM",DATA_GOC!$D:$D,$B176,DATA_GOC!$E:$E,"Téc 3",DATA_GOC!$F:$F,"Xuất nội bộ từ téc",DATA_GOC!$B:$B,DATE($D$2,$B$2,Y$4)),0))</f>
        <v>0</v>
      </c>
      <c r="Z176" s="251">
        <f>IF(Z$4&gt;DAY(EOMONTH(DATE($D$2,$B$2,1),0)),"",IFERROR(SUMIFS(DATA_GOC!$H:$H,DATA_GOC!$A:$A,"BOM",DATA_GOC!$D:$D,$B176,DATA_GOC!$E:$E,"Téc 3",DATA_GOC!$F:$F,"Xuất nội bộ từ téc",DATA_GOC!$B:$B,DATE($D$2,$B$2,Z$4)),0))</f>
        <v>0</v>
      </c>
      <c r="AA176" s="251">
        <f>IF(AA$4&gt;DAY(EOMONTH(DATE($D$2,$B$2,1),0)),"",IFERROR(SUMIFS(DATA_GOC!$H:$H,DATA_GOC!$A:$A,"BOM",DATA_GOC!$D:$D,$B176,DATA_GOC!$E:$E,"Téc 3",DATA_GOC!$F:$F,"Xuất nội bộ từ téc",DATA_GOC!$B:$B,DATE($D$2,$B$2,AA$4)),0))</f>
        <v>0</v>
      </c>
      <c r="AB176" s="251">
        <f>IF(AB$4&gt;DAY(EOMONTH(DATE($D$2,$B$2,1),0)),"",IFERROR(SUMIFS(DATA_GOC!$H:$H,DATA_GOC!$A:$A,"BOM",DATA_GOC!$D:$D,$B176,DATA_GOC!$E:$E,"Téc 3",DATA_GOC!$F:$F,"Xuất nội bộ từ téc",DATA_GOC!$B:$B,DATE($D$2,$B$2,AB$4)),0))</f>
        <v>0</v>
      </c>
      <c r="AC176" s="251">
        <f>IF(AC$4&gt;DAY(EOMONTH(DATE($D$2,$B$2,1),0)),"",IFERROR(SUMIFS(DATA_GOC!$H:$H,DATA_GOC!$A:$A,"BOM",DATA_GOC!$D:$D,$B176,DATA_GOC!$E:$E,"Téc 3",DATA_GOC!$F:$F,"Xuất nội bộ từ téc",DATA_GOC!$B:$B,DATE($D$2,$B$2,AC$4)),0))</f>
        <v>0</v>
      </c>
      <c r="AD176" s="251">
        <f>IF(AD$4&gt;DAY(EOMONTH(DATE($D$2,$B$2,1),0)),"",IFERROR(SUMIFS(DATA_GOC!$H:$H,DATA_GOC!$A:$A,"BOM",DATA_GOC!$D:$D,$B176,DATA_GOC!$E:$E,"Téc 3",DATA_GOC!$F:$F,"Xuất nội bộ từ téc",DATA_GOC!$B:$B,DATE($D$2,$B$2,AD$4)),0))</f>
        <v>0</v>
      </c>
      <c r="AE176" s="251">
        <f>IF(AE$4&gt;DAY(EOMONTH(DATE($D$2,$B$2,1),0)),"",IFERROR(SUMIFS(DATA_GOC!$H:$H,DATA_GOC!$A:$A,"BOM",DATA_GOC!$D:$D,$B176,DATA_GOC!$E:$E,"Téc 3",DATA_GOC!$F:$F,"Xuất nội bộ từ téc",DATA_GOC!$B:$B,DATE($D$2,$B$2,AE$4)),0))</f>
        <v>0</v>
      </c>
      <c r="AF176" s="251">
        <f>IF(AF$4&gt;DAY(EOMONTH(DATE($D$2,$B$2,1),0)),"",IFERROR(SUMIFS(DATA_GOC!$H:$H,DATA_GOC!$A:$A,"BOM",DATA_GOC!$D:$D,$B176,DATA_GOC!$E:$E,"Téc 3",DATA_GOC!$F:$F,"Xuất nội bộ từ téc",DATA_GOC!$B:$B,DATE($D$2,$B$2,AF$4)),0))</f>
        <v>0</v>
      </c>
      <c r="AG176" s="251">
        <f>IF(AG$4&gt;DAY(EOMONTH(DATE($D$2,$B$2,1),0)),"",IFERROR(SUMIFS(DATA_GOC!$H:$H,DATA_GOC!$A:$A,"BOM",DATA_GOC!$D:$D,$B176,DATA_GOC!$E:$E,"Téc 3",DATA_GOC!$F:$F,"Xuất nội bộ từ téc",DATA_GOC!$B:$B,DATE($D$2,$B$2,AG$4)),0))</f>
        <v>0</v>
      </c>
      <c r="AH176" s="252">
        <f t="shared" si="7"/>
        <v>0</v>
      </c>
      <c r="AI176" s="241"/>
      <c r="AJ176" s="242">
        <f>IF($B176="","",SUMIFS(TINH_TEC!$K$233:$K$9232,TINH_TEC!$H$233:$H$9232,$B176,TINH_TEC!$C$233:$C$9232,"Téc 3",TINH_TEC!$F$233:$F$9232,$B$2,TINH_TEC!$G$233:$G$9232,$D$2,TINH_TEC!$B$233:$B$9232,"Đã chốt"))</f>
        <v>0</v>
      </c>
      <c r="AK176" s="242">
        <f>IF($B176="","",SUMIFS(TINH_TEC!$J$233:$J$9232,TINH_TEC!$H$233:$H$9232,$B176,TINH_TEC!$C$233:$C$9232,"Téc 3",TINH_TEC!$F$233:$F$9232,$B$2,TINH_TEC!$G$233:$G$9232,$D$2,TINH_TEC!$B$233:$B$9232,"Đã chốt"))</f>
        <v>0</v>
      </c>
      <c r="AL176" s="242">
        <f t="shared" si="8"/>
        <v>0</v>
      </c>
    </row>
    <row r="177" ht="15.75" customHeight="1">
      <c r="A177" s="237">
        <f>IF($B177&lt;&gt;"",50,"")</f>
        <v>50</v>
      </c>
      <c r="B177" s="250" t="str">
        <f t="array" ref="B177">IFERROR(INDEX(DANH_MUC!$E:$E,53),"")</f>
        <v>Máy rải thảm</v>
      </c>
      <c r="C177" s="251">
        <f>IF(C$4&gt;DAY(EOMONTH(DATE($D$2,$B$2,1),0)),"",IFERROR(SUMIFS(DATA_GOC!$H:$H,DATA_GOC!$A:$A,"BOM",DATA_GOC!$D:$D,$B177,DATA_GOC!$E:$E,"Téc 3",DATA_GOC!$F:$F,"Xuất nội bộ từ téc",DATA_GOC!$B:$B,DATE($D$2,$B$2,C$4)),0))</f>
        <v>0</v>
      </c>
      <c r="D177" s="251">
        <f>IF(D$4&gt;DAY(EOMONTH(DATE($D$2,$B$2,1),0)),"",IFERROR(SUMIFS(DATA_GOC!$H:$H,DATA_GOC!$A:$A,"BOM",DATA_GOC!$D:$D,$B177,DATA_GOC!$E:$E,"Téc 3",DATA_GOC!$F:$F,"Xuất nội bộ từ téc",DATA_GOC!$B:$B,DATE($D$2,$B$2,D$4)),0))</f>
        <v>0</v>
      </c>
      <c r="E177" s="251">
        <f>IF(E$4&gt;DAY(EOMONTH(DATE($D$2,$B$2,1),0)),"",IFERROR(SUMIFS(DATA_GOC!$H:$H,DATA_GOC!$A:$A,"BOM",DATA_GOC!$D:$D,$B177,DATA_GOC!$E:$E,"Téc 3",DATA_GOC!$F:$F,"Xuất nội bộ từ téc",DATA_GOC!$B:$B,DATE($D$2,$B$2,E$4)),0))</f>
        <v>0</v>
      </c>
      <c r="F177" s="251">
        <f>IF(F$4&gt;DAY(EOMONTH(DATE($D$2,$B$2,1),0)),"",IFERROR(SUMIFS(DATA_GOC!$H:$H,DATA_GOC!$A:$A,"BOM",DATA_GOC!$D:$D,$B177,DATA_GOC!$E:$E,"Téc 3",DATA_GOC!$F:$F,"Xuất nội bộ từ téc",DATA_GOC!$B:$B,DATE($D$2,$B$2,F$4)),0))</f>
        <v>0</v>
      </c>
      <c r="G177" s="251">
        <f>IF(G$4&gt;DAY(EOMONTH(DATE($D$2,$B$2,1),0)),"",IFERROR(SUMIFS(DATA_GOC!$H:$H,DATA_GOC!$A:$A,"BOM",DATA_GOC!$D:$D,$B177,DATA_GOC!$E:$E,"Téc 3",DATA_GOC!$F:$F,"Xuất nội bộ từ téc",DATA_GOC!$B:$B,DATE($D$2,$B$2,G$4)),0))</f>
        <v>0</v>
      </c>
      <c r="H177" s="251">
        <f>IF(H$4&gt;DAY(EOMONTH(DATE($D$2,$B$2,1),0)),"",IFERROR(SUMIFS(DATA_GOC!$H:$H,DATA_GOC!$A:$A,"BOM",DATA_GOC!$D:$D,$B177,DATA_GOC!$E:$E,"Téc 3",DATA_GOC!$F:$F,"Xuất nội bộ từ téc",DATA_GOC!$B:$B,DATE($D$2,$B$2,H$4)),0))</f>
        <v>0</v>
      </c>
      <c r="I177" s="251">
        <f>IF(I$4&gt;DAY(EOMONTH(DATE($D$2,$B$2,1),0)),"",IFERROR(SUMIFS(DATA_GOC!$H:$H,DATA_GOC!$A:$A,"BOM",DATA_GOC!$D:$D,$B177,DATA_GOC!$E:$E,"Téc 3",DATA_GOC!$F:$F,"Xuất nội bộ từ téc",DATA_GOC!$B:$B,DATE($D$2,$B$2,I$4)),0))</f>
        <v>0</v>
      </c>
      <c r="J177" s="251">
        <f>IF(J$4&gt;DAY(EOMONTH(DATE($D$2,$B$2,1),0)),"",IFERROR(SUMIFS(DATA_GOC!$H:$H,DATA_GOC!$A:$A,"BOM",DATA_GOC!$D:$D,$B177,DATA_GOC!$E:$E,"Téc 3",DATA_GOC!$F:$F,"Xuất nội bộ từ téc",DATA_GOC!$B:$B,DATE($D$2,$B$2,J$4)),0))</f>
        <v>0</v>
      </c>
      <c r="K177" s="251">
        <f>IF(K$4&gt;DAY(EOMONTH(DATE($D$2,$B$2,1),0)),"",IFERROR(SUMIFS(DATA_GOC!$H:$H,DATA_GOC!$A:$A,"BOM",DATA_GOC!$D:$D,$B177,DATA_GOC!$E:$E,"Téc 3",DATA_GOC!$F:$F,"Xuất nội bộ từ téc",DATA_GOC!$B:$B,DATE($D$2,$B$2,K$4)),0))</f>
        <v>0</v>
      </c>
      <c r="L177" s="251">
        <f>IF(L$4&gt;DAY(EOMONTH(DATE($D$2,$B$2,1),0)),"",IFERROR(SUMIFS(DATA_GOC!$H:$H,DATA_GOC!$A:$A,"BOM",DATA_GOC!$D:$D,$B177,DATA_GOC!$E:$E,"Téc 3",DATA_GOC!$F:$F,"Xuất nội bộ từ téc",DATA_GOC!$B:$B,DATE($D$2,$B$2,L$4)),0))</f>
        <v>0</v>
      </c>
      <c r="M177" s="251">
        <f>IF(M$4&gt;DAY(EOMONTH(DATE($D$2,$B$2,1),0)),"",IFERROR(SUMIFS(DATA_GOC!$H:$H,DATA_GOC!$A:$A,"BOM",DATA_GOC!$D:$D,$B177,DATA_GOC!$E:$E,"Téc 3",DATA_GOC!$F:$F,"Xuất nội bộ từ téc",DATA_GOC!$B:$B,DATE($D$2,$B$2,M$4)),0))</f>
        <v>0</v>
      </c>
      <c r="N177" s="251">
        <f>IF(N$4&gt;DAY(EOMONTH(DATE($D$2,$B$2,1),0)),"",IFERROR(SUMIFS(DATA_GOC!$H:$H,DATA_GOC!$A:$A,"BOM",DATA_GOC!$D:$D,$B177,DATA_GOC!$E:$E,"Téc 3",DATA_GOC!$F:$F,"Xuất nội bộ từ téc",DATA_GOC!$B:$B,DATE($D$2,$B$2,N$4)),0))</f>
        <v>0</v>
      </c>
      <c r="O177" s="251">
        <f>IF(O$4&gt;DAY(EOMONTH(DATE($D$2,$B$2,1),0)),"",IFERROR(SUMIFS(DATA_GOC!$H:$H,DATA_GOC!$A:$A,"BOM",DATA_GOC!$D:$D,$B177,DATA_GOC!$E:$E,"Téc 3",DATA_GOC!$F:$F,"Xuất nội bộ từ téc",DATA_GOC!$B:$B,DATE($D$2,$B$2,O$4)),0))</f>
        <v>0</v>
      </c>
      <c r="P177" s="251">
        <f>IF(P$4&gt;DAY(EOMONTH(DATE($D$2,$B$2,1),0)),"",IFERROR(SUMIFS(DATA_GOC!$H:$H,DATA_GOC!$A:$A,"BOM",DATA_GOC!$D:$D,$B177,DATA_GOC!$E:$E,"Téc 3",DATA_GOC!$F:$F,"Xuất nội bộ từ téc",DATA_GOC!$B:$B,DATE($D$2,$B$2,P$4)),0))</f>
        <v>0</v>
      </c>
      <c r="Q177" s="251">
        <f>IF(Q$4&gt;DAY(EOMONTH(DATE($D$2,$B$2,1),0)),"",IFERROR(SUMIFS(DATA_GOC!$H:$H,DATA_GOC!$A:$A,"BOM",DATA_GOC!$D:$D,$B177,DATA_GOC!$E:$E,"Téc 3",DATA_GOC!$F:$F,"Xuất nội bộ từ téc",DATA_GOC!$B:$B,DATE($D$2,$B$2,Q$4)),0))</f>
        <v>0</v>
      </c>
      <c r="R177" s="251">
        <f>IF(R$4&gt;DAY(EOMONTH(DATE($D$2,$B$2,1),0)),"",IFERROR(SUMIFS(DATA_GOC!$H:$H,DATA_GOC!$A:$A,"BOM",DATA_GOC!$D:$D,$B177,DATA_GOC!$E:$E,"Téc 3",DATA_GOC!$F:$F,"Xuất nội bộ từ téc",DATA_GOC!$B:$B,DATE($D$2,$B$2,R$4)),0))</f>
        <v>0</v>
      </c>
      <c r="S177" s="251">
        <f>IF(S$4&gt;DAY(EOMONTH(DATE($D$2,$B$2,1),0)),"",IFERROR(SUMIFS(DATA_GOC!$H:$H,DATA_GOC!$A:$A,"BOM",DATA_GOC!$D:$D,$B177,DATA_GOC!$E:$E,"Téc 3",DATA_GOC!$F:$F,"Xuất nội bộ từ téc",DATA_GOC!$B:$B,DATE($D$2,$B$2,S$4)),0))</f>
        <v>0</v>
      </c>
      <c r="T177" s="251">
        <f>IF(T$4&gt;DAY(EOMONTH(DATE($D$2,$B$2,1),0)),"",IFERROR(SUMIFS(DATA_GOC!$H:$H,DATA_GOC!$A:$A,"BOM",DATA_GOC!$D:$D,$B177,DATA_GOC!$E:$E,"Téc 3",DATA_GOC!$F:$F,"Xuất nội bộ từ téc",DATA_GOC!$B:$B,DATE($D$2,$B$2,T$4)),0))</f>
        <v>0</v>
      </c>
      <c r="U177" s="251">
        <f>IF(U$4&gt;DAY(EOMONTH(DATE($D$2,$B$2,1),0)),"",IFERROR(SUMIFS(DATA_GOC!$H:$H,DATA_GOC!$A:$A,"BOM",DATA_GOC!$D:$D,$B177,DATA_GOC!$E:$E,"Téc 3",DATA_GOC!$F:$F,"Xuất nội bộ từ téc",DATA_GOC!$B:$B,DATE($D$2,$B$2,U$4)),0))</f>
        <v>0</v>
      </c>
      <c r="V177" s="251">
        <f>IF(V$4&gt;DAY(EOMONTH(DATE($D$2,$B$2,1),0)),"",IFERROR(SUMIFS(DATA_GOC!$H:$H,DATA_GOC!$A:$A,"BOM",DATA_GOC!$D:$D,$B177,DATA_GOC!$E:$E,"Téc 3",DATA_GOC!$F:$F,"Xuất nội bộ từ téc",DATA_GOC!$B:$B,DATE($D$2,$B$2,V$4)),0))</f>
        <v>0</v>
      </c>
      <c r="W177" s="251">
        <f>IF(W$4&gt;DAY(EOMONTH(DATE($D$2,$B$2,1),0)),"",IFERROR(SUMIFS(DATA_GOC!$H:$H,DATA_GOC!$A:$A,"BOM",DATA_GOC!$D:$D,$B177,DATA_GOC!$E:$E,"Téc 3",DATA_GOC!$F:$F,"Xuất nội bộ từ téc",DATA_GOC!$B:$B,DATE($D$2,$B$2,W$4)),0))</f>
        <v>0</v>
      </c>
      <c r="X177" s="251">
        <f>IF(X$4&gt;DAY(EOMONTH(DATE($D$2,$B$2,1),0)),"",IFERROR(SUMIFS(DATA_GOC!$H:$H,DATA_GOC!$A:$A,"BOM",DATA_GOC!$D:$D,$B177,DATA_GOC!$E:$E,"Téc 3",DATA_GOC!$F:$F,"Xuất nội bộ từ téc",DATA_GOC!$B:$B,DATE($D$2,$B$2,X$4)),0))</f>
        <v>0</v>
      </c>
      <c r="Y177" s="251">
        <f>IF(Y$4&gt;DAY(EOMONTH(DATE($D$2,$B$2,1),0)),"",IFERROR(SUMIFS(DATA_GOC!$H:$H,DATA_GOC!$A:$A,"BOM",DATA_GOC!$D:$D,$B177,DATA_GOC!$E:$E,"Téc 3",DATA_GOC!$F:$F,"Xuất nội bộ từ téc",DATA_GOC!$B:$B,DATE($D$2,$B$2,Y$4)),0))</f>
        <v>0</v>
      </c>
      <c r="Z177" s="251">
        <f>IF(Z$4&gt;DAY(EOMONTH(DATE($D$2,$B$2,1),0)),"",IFERROR(SUMIFS(DATA_GOC!$H:$H,DATA_GOC!$A:$A,"BOM",DATA_GOC!$D:$D,$B177,DATA_GOC!$E:$E,"Téc 3",DATA_GOC!$F:$F,"Xuất nội bộ từ téc",DATA_GOC!$B:$B,DATE($D$2,$B$2,Z$4)),0))</f>
        <v>0</v>
      </c>
      <c r="AA177" s="251">
        <f>IF(AA$4&gt;DAY(EOMONTH(DATE($D$2,$B$2,1),0)),"",IFERROR(SUMIFS(DATA_GOC!$H:$H,DATA_GOC!$A:$A,"BOM",DATA_GOC!$D:$D,$B177,DATA_GOC!$E:$E,"Téc 3",DATA_GOC!$F:$F,"Xuất nội bộ từ téc",DATA_GOC!$B:$B,DATE($D$2,$B$2,AA$4)),0))</f>
        <v>0</v>
      </c>
      <c r="AB177" s="251">
        <f>IF(AB$4&gt;DAY(EOMONTH(DATE($D$2,$B$2,1),0)),"",IFERROR(SUMIFS(DATA_GOC!$H:$H,DATA_GOC!$A:$A,"BOM",DATA_GOC!$D:$D,$B177,DATA_GOC!$E:$E,"Téc 3",DATA_GOC!$F:$F,"Xuất nội bộ từ téc",DATA_GOC!$B:$B,DATE($D$2,$B$2,AB$4)),0))</f>
        <v>0</v>
      </c>
      <c r="AC177" s="251">
        <f>IF(AC$4&gt;DAY(EOMONTH(DATE($D$2,$B$2,1),0)),"",IFERROR(SUMIFS(DATA_GOC!$H:$H,DATA_GOC!$A:$A,"BOM",DATA_GOC!$D:$D,$B177,DATA_GOC!$E:$E,"Téc 3",DATA_GOC!$F:$F,"Xuất nội bộ từ téc",DATA_GOC!$B:$B,DATE($D$2,$B$2,AC$4)),0))</f>
        <v>0</v>
      </c>
      <c r="AD177" s="251">
        <f>IF(AD$4&gt;DAY(EOMONTH(DATE($D$2,$B$2,1),0)),"",IFERROR(SUMIFS(DATA_GOC!$H:$H,DATA_GOC!$A:$A,"BOM",DATA_GOC!$D:$D,$B177,DATA_GOC!$E:$E,"Téc 3",DATA_GOC!$F:$F,"Xuất nội bộ từ téc",DATA_GOC!$B:$B,DATE($D$2,$B$2,AD$4)),0))</f>
        <v>0</v>
      </c>
      <c r="AE177" s="251">
        <f>IF(AE$4&gt;DAY(EOMONTH(DATE($D$2,$B$2,1),0)),"",IFERROR(SUMIFS(DATA_GOC!$H:$H,DATA_GOC!$A:$A,"BOM",DATA_GOC!$D:$D,$B177,DATA_GOC!$E:$E,"Téc 3",DATA_GOC!$F:$F,"Xuất nội bộ từ téc",DATA_GOC!$B:$B,DATE($D$2,$B$2,AE$4)),0))</f>
        <v>0</v>
      </c>
      <c r="AF177" s="251">
        <f>IF(AF$4&gt;DAY(EOMONTH(DATE($D$2,$B$2,1),0)),"",IFERROR(SUMIFS(DATA_GOC!$H:$H,DATA_GOC!$A:$A,"BOM",DATA_GOC!$D:$D,$B177,DATA_GOC!$E:$E,"Téc 3",DATA_GOC!$F:$F,"Xuất nội bộ từ téc",DATA_GOC!$B:$B,DATE($D$2,$B$2,AF$4)),0))</f>
        <v>0</v>
      </c>
      <c r="AG177" s="251">
        <f>IF(AG$4&gt;DAY(EOMONTH(DATE($D$2,$B$2,1),0)),"",IFERROR(SUMIFS(DATA_GOC!$H:$H,DATA_GOC!$A:$A,"BOM",DATA_GOC!$D:$D,$B177,DATA_GOC!$E:$E,"Téc 3",DATA_GOC!$F:$F,"Xuất nội bộ từ téc",DATA_GOC!$B:$B,DATE($D$2,$B$2,AG$4)),0))</f>
        <v>0</v>
      </c>
      <c r="AH177" s="252">
        <f t="shared" si="7"/>
        <v>0</v>
      </c>
      <c r="AI177" s="241"/>
      <c r="AJ177" s="242">
        <f>IF($B177="","",SUMIFS(TINH_TEC!$K$233:$K$9232,TINH_TEC!$H$233:$H$9232,$B177,TINH_TEC!$C$233:$C$9232,"Téc 3",TINH_TEC!$F$233:$F$9232,$B$2,TINH_TEC!$G$233:$G$9232,$D$2,TINH_TEC!$B$233:$B$9232,"Đã chốt"))</f>
        <v>0</v>
      </c>
      <c r="AK177" s="242">
        <f>IF($B177="","",SUMIFS(TINH_TEC!$J$233:$J$9232,TINH_TEC!$H$233:$H$9232,$B177,TINH_TEC!$C$233:$C$9232,"Téc 3",TINH_TEC!$F$233:$F$9232,$B$2,TINH_TEC!$G$233:$G$9232,$D$2,TINH_TEC!$B$233:$B$9232,"Đã chốt"))</f>
        <v>0</v>
      </c>
      <c r="AL177" s="242">
        <f t="shared" si="8"/>
        <v>0</v>
      </c>
    </row>
    <row r="178" ht="15.75" customHeight="1">
      <c r="A178" s="237">
        <f>IF($B178&lt;&gt;"",51,"")</f>
        <v>51</v>
      </c>
      <c r="B178" s="250" t="str">
        <f t="array" ref="B178">IFERROR(INDEX(DANH_MUC!$E:$E,54),"")</f>
        <v>Xúc Đào</v>
      </c>
      <c r="C178" s="251">
        <f>IF(C$4&gt;DAY(EOMONTH(DATE($D$2,$B$2,1),0)),"",IFERROR(SUMIFS(DATA_GOC!$H:$H,DATA_GOC!$A:$A,"BOM",DATA_GOC!$D:$D,$B178,DATA_GOC!$E:$E,"Téc 3",DATA_GOC!$F:$F,"Xuất nội bộ từ téc",DATA_GOC!$B:$B,DATE($D$2,$B$2,C$4)),0))</f>
        <v>0</v>
      </c>
      <c r="D178" s="251">
        <f>IF(D$4&gt;DAY(EOMONTH(DATE($D$2,$B$2,1),0)),"",IFERROR(SUMIFS(DATA_GOC!$H:$H,DATA_GOC!$A:$A,"BOM",DATA_GOC!$D:$D,$B178,DATA_GOC!$E:$E,"Téc 3",DATA_GOC!$F:$F,"Xuất nội bộ từ téc",DATA_GOC!$B:$B,DATE($D$2,$B$2,D$4)),0))</f>
        <v>0</v>
      </c>
      <c r="E178" s="251">
        <f>IF(E$4&gt;DAY(EOMONTH(DATE($D$2,$B$2,1),0)),"",IFERROR(SUMIFS(DATA_GOC!$H:$H,DATA_GOC!$A:$A,"BOM",DATA_GOC!$D:$D,$B178,DATA_GOC!$E:$E,"Téc 3",DATA_GOC!$F:$F,"Xuất nội bộ từ téc",DATA_GOC!$B:$B,DATE($D$2,$B$2,E$4)),0))</f>
        <v>0</v>
      </c>
      <c r="F178" s="251">
        <f>IF(F$4&gt;DAY(EOMONTH(DATE($D$2,$B$2,1),0)),"",IFERROR(SUMIFS(DATA_GOC!$H:$H,DATA_GOC!$A:$A,"BOM",DATA_GOC!$D:$D,$B178,DATA_GOC!$E:$E,"Téc 3",DATA_GOC!$F:$F,"Xuất nội bộ từ téc",DATA_GOC!$B:$B,DATE($D$2,$B$2,F$4)),0))</f>
        <v>0</v>
      </c>
      <c r="G178" s="251">
        <f>IF(G$4&gt;DAY(EOMONTH(DATE($D$2,$B$2,1),0)),"",IFERROR(SUMIFS(DATA_GOC!$H:$H,DATA_GOC!$A:$A,"BOM",DATA_GOC!$D:$D,$B178,DATA_GOC!$E:$E,"Téc 3",DATA_GOC!$F:$F,"Xuất nội bộ từ téc",DATA_GOC!$B:$B,DATE($D$2,$B$2,G$4)),0))</f>
        <v>0</v>
      </c>
      <c r="H178" s="251">
        <f>IF(H$4&gt;DAY(EOMONTH(DATE($D$2,$B$2,1),0)),"",IFERROR(SUMIFS(DATA_GOC!$H:$H,DATA_GOC!$A:$A,"BOM",DATA_GOC!$D:$D,$B178,DATA_GOC!$E:$E,"Téc 3",DATA_GOC!$F:$F,"Xuất nội bộ từ téc",DATA_GOC!$B:$B,DATE($D$2,$B$2,H$4)),0))</f>
        <v>0</v>
      </c>
      <c r="I178" s="251">
        <f>IF(I$4&gt;DAY(EOMONTH(DATE($D$2,$B$2,1),0)),"",IFERROR(SUMIFS(DATA_GOC!$H:$H,DATA_GOC!$A:$A,"BOM",DATA_GOC!$D:$D,$B178,DATA_GOC!$E:$E,"Téc 3",DATA_GOC!$F:$F,"Xuất nội bộ từ téc",DATA_GOC!$B:$B,DATE($D$2,$B$2,I$4)),0))</f>
        <v>0</v>
      </c>
      <c r="J178" s="251">
        <f>IF(J$4&gt;DAY(EOMONTH(DATE($D$2,$B$2,1),0)),"",IFERROR(SUMIFS(DATA_GOC!$H:$H,DATA_GOC!$A:$A,"BOM",DATA_GOC!$D:$D,$B178,DATA_GOC!$E:$E,"Téc 3",DATA_GOC!$F:$F,"Xuất nội bộ từ téc",DATA_GOC!$B:$B,DATE($D$2,$B$2,J$4)),0))</f>
        <v>0</v>
      </c>
      <c r="K178" s="251">
        <f>IF(K$4&gt;DAY(EOMONTH(DATE($D$2,$B$2,1),0)),"",IFERROR(SUMIFS(DATA_GOC!$H:$H,DATA_GOC!$A:$A,"BOM",DATA_GOC!$D:$D,$B178,DATA_GOC!$E:$E,"Téc 3",DATA_GOC!$F:$F,"Xuất nội bộ từ téc",DATA_GOC!$B:$B,DATE($D$2,$B$2,K$4)),0))</f>
        <v>0</v>
      </c>
      <c r="L178" s="251">
        <f>IF(L$4&gt;DAY(EOMONTH(DATE($D$2,$B$2,1),0)),"",IFERROR(SUMIFS(DATA_GOC!$H:$H,DATA_GOC!$A:$A,"BOM",DATA_GOC!$D:$D,$B178,DATA_GOC!$E:$E,"Téc 3",DATA_GOC!$F:$F,"Xuất nội bộ từ téc",DATA_GOC!$B:$B,DATE($D$2,$B$2,L$4)),0))</f>
        <v>0</v>
      </c>
      <c r="M178" s="251">
        <f>IF(M$4&gt;DAY(EOMONTH(DATE($D$2,$B$2,1),0)),"",IFERROR(SUMIFS(DATA_GOC!$H:$H,DATA_GOC!$A:$A,"BOM",DATA_GOC!$D:$D,$B178,DATA_GOC!$E:$E,"Téc 3",DATA_GOC!$F:$F,"Xuất nội bộ từ téc",DATA_GOC!$B:$B,DATE($D$2,$B$2,M$4)),0))</f>
        <v>0</v>
      </c>
      <c r="N178" s="251">
        <f>IF(N$4&gt;DAY(EOMONTH(DATE($D$2,$B$2,1),0)),"",IFERROR(SUMIFS(DATA_GOC!$H:$H,DATA_GOC!$A:$A,"BOM",DATA_GOC!$D:$D,$B178,DATA_GOC!$E:$E,"Téc 3",DATA_GOC!$F:$F,"Xuất nội bộ từ téc",DATA_GOC!$B:$B,DATE($D$2,$B$2,N$4)),0))</f>
        <v>0</v>
      </c>
      <c r="O178" s="251">
        <f>IF(O$4&gt;DAY(EOMONTH(DATE($D$2,$B$2,1),0)),"",IFERROR(SUMIFS(DATA_GOC!$H:$H,DATA_GOC!$A:$A,"BOM",DATA_GOC!$D:$D,$B178,DATA_GOC!$E:$E,"Téc 3",DATA_GOC!$F:$F,"Xuất nội bộ từ téc",DATA_GOC!$B:$B,DATE($D$2,$B$2,O$4)),0))</f>
        <v>0</v>
      </c>
      <c r="P178" s="251">
        <f>IF(P$4&gt;DAY(EOMONTH(DATE($D$2,$B$2,1),0)),"",IFERROR(SUMIFS(DATA_GOC!$H:$H,DATA_GOC!$A:$A,"BOM",DATA_GOC!$D:$D,$B178,DATA_GOC!$E:$E,"Téc 3",DATA_GOC!$F:$F,"Xuất nội bộ từ téc",DATA_GOC!$B:$B,DATE($D$2,$B$2,P$4)),0))</f>
        <v>0</v>
      </c>
      <c r="Q178" s="251">
        <f>IF(Q$4&gt;DAY(EOMONTH(DATE($D$2,$B$2,1),0)),"",IFERROR(SUMIFS(DATA_GOC!$H:$H,DATA_GOC!$A:$A,"BOM",DATA_GOC!$D:$D,$B178,DATA_GOC!$E:$E,"Téc 3",DATA_GOC!$F:$F,"Xuất nội bộ từ téc",DATA_GOC!$B:$B,DATE($D$2,$B$2,Q$4)),0))</f>
        <v>0</v>
      </c>
      <c r="R178" s="251">
        <f>IF(R$4&gt;DAY(EOMONTH(DATE($D$2,$B$2,1),0)),"",IFERROR(SUMIFS(DATA_GOC!$H:$H,DATA_GOC!$A:$A,"BOM",DATA_GOC!$D:$D,$B178,DATA_GOC!$E:$E,"Téc 3",DATA_GOC!$F:$F,"Xuất nội bộ từ téc",DATA_GOC!$B:$B,DATE($D$2,$B$2,R$4)),0))</f>
        <v>0</v>
      </c>
      <c r="S178" s="251">
        <f>IF(S$4&gt;DAY(EOMONTH(DATE($D$2,$B$2,1),0)),"",IFERROR(SUMIFS(DATA_GOC!$H:$H,DATA_GOC!$A:$A,"BOM",DATA_GOC!$D:$D,$B178,DATA_GOC!$E:$E,"Téc 3",DATA_GOC!$F:$F,"Xuất nội bộ từ téc",DATA_GOC!$B:$B,DATE($D$2,$B$2,S$4)),0))</f>
        <v>0</v>
      </c>
      <c r="T178" s="251">
        <f>IF(T$4&gt;DAY(EOMONTH(DATE($D$2,$B$2,1),0)),"",IFERROR(SUMIFS(DATA_GOC!$H:$H,DATA_GOC!$A:$A,"BOM",DATA_GOC!$D:$D,$B178,DATA_GOC!$E:$E,"Téc 3",DATA_GOC!$F:$F,"Xuất nội bộ từ téc",DATA_GOC!$B:$B,DATE($D$2,$B$2,T$4)),0))</f>
        <v>0</v>
      </c>
      <c r="U178" s="251">
        <f>IF(U$4&gt;DAY(EOMONTH(DATE($D$2,$B$2,1),0)),"",IFERROR(SUMIFS(DATA_GOC!$H:$H,DATA_GOC!$A:$A,"BOM",DATA_GOC!$D:$D,$B178,DATA_GOC!$E:$E,"Téc 3",DATA_GOC!$F:$F,"Xuất nội bộ từ téc",DATA_GOC!$B:$B,DATE($D$2,$B$2,U$4)),0))</f>
        <v>0</v>
      </c>
      <c r="V178" s="251">
        <f>IF(V$4&gt;DAY(EOMONTH(DATE($D$2,$B$2,1),0)),"",IFERROR(SUMIFS(DATA_GOC!$H:$H,DATA_GOC!$A:$A,"BOM",DATA_GOC!$D:$D,$B178,DATA_GOC!$E:$E,"Téc 3",DATA_GOC!$F:$F,"Xuất nội bộ từ téc",DATA_GOC!$B:$B,DATE($D$2,$B$2,V$4)),0))</f>
        <v>0</v>
      </c>
      <c r="W178" s="251">
        <f>IF(W$4&gt;DAY(EOMONTH(DATE($D$2,$B$2,1),0)),"",IFERROR(SUMIFS(DATA_GOC!$H:$H,DATA_GOC!$A:$A,"BOM",DATA_GOC!$D:$D,$B178,DATA_GOC!$E:$E,"Téc 3",DATA_GOC!$F:$F,"Xuất nội bộ từ téc",DATA_GOC!$B:$B,DATE($D$2,$B$2,W$4)),0))</f>
        <v>0</v>
      </c>
      <c r="X178" s="251">
        <f>IF(X$4&gt;DAY(EOMONTH(DATE($D$2,$B$2,1),0)),"",IFERROR(SUMIFS(DATA_GOC!$H:$H,DATA_GOC!$A:$A,"BOM",DATA_GOC!$D:$D,$B178,DATA_GOC!$E:$E,"Téc 3",DATA_GOC!$F:$F,"Xuất nội bộ từ téc",DATA_GOC!$B:$B,DATE($D$2,$B$2,X$4)),0))</f>
        <v>0</v>
      </c>
      <c r="Y178" s="251">
        <f>IF(Y$4&gt;DAY(EOMONTH(DATE($D$2,$B$2,1),0)),"",IFERROR(SUMIFS(DATA_GOC!$H:$H,DATA_GOC!$A:$A,"BOM",DATA_GOC!$D:$D,$B178,DATA_GOC!$E:$E,"Téc 3",DATA_GOC!$F:$F,"Xuất nội bộ từ téc",DATA_GOC!$B:$B,DATE($D$2,$B$2,Y$4)),0))</f>
        <v>0</v>
      </c>
      <c r="Z178" s="251">
        <f>IF(Z$4&gt;DAY(EOMONTH(DATE($D$2,$B$2,1),0)),"",IFERROR(SUMIFS(DATA_GOC!$H:$H,DATA_GOC!$A:$A,"BOM",DATA_GOC!$D:$D,$B178,DATA_GOC!$E:$E,"Téc 3",DATA_GOC!$F:$F,"Xuất nội bộ từ téc",DATA_GOC!$B:$B,DATE($D$2,$B$2,Z$4)),0))</f>
        <v>0</v>
      </c>
      <c r="AA178" s="251">
        <f>IF(AA$4&gt;DAY(EOMONTH(DATE($D$2,$B$2,1),0)),"",IFERROR(SUMIFS(DATA_GOC!$H:$H,DATA_GOC!$A:$A,"BOM",DATA_GOC!$D:$D,$B178,DATA_GOC!$E:$E,"Téc 3",DATA_GOC!$F:$F,"Xuất nội bộ từ téc",DATA_GOC!$B:$B,DATE($D$2,$B$2,AA$4)),0))</f>
        <v>0</v>
      </c>
      <c r="AB178" s="251">
        <f>IF(AB$4&gt;DAY(EOMONTH(DATE($D$2,$B$2,1),0)),"",IFERROR(SUMIFS(DATA_GOC!$H:$H,DATA_GOC!$A:$A,"BOM",DATA_GOC!$D:$D,$B178,DATA_GOC!$E:$E,"Téc 3",DATA_GOC!$F:$F,"Xuất nội bộ từ téc",DATA_GOC!$B:$B,DATE($D$2,$B$2,AB$4)),0))</f>
        <v>0</v>
      </c>
      <c r="AC178" s="251">
        <f>IF(AC$4&gt;DAY(EOMONTH(DATE($D$2,$B$2,1),0)),"",IFERROR(SUMIFS(DATA_GOC!$H:$H,DATA_GOC!$A:$A,"BOM",DATA_GOC!$D:$D,$B178,DATA_GOC!$E:$E,"Téc 3",DATA_GOC!$F:$F,"Xuất nội bộ từ téc",DATA_GOC!$B:$B,DATE($D$2,$B$2,AC$4)),0))</f>
        <v>0</v>
      </c>
      <c r="AD178" s="251">
        <f>IF(AD$4&gt;DAY(EOMONTH(DATE($D$2,$B$2,1),0)),"",IFERROR(SUMIFS(DATA_GOC!$H:$H,DATA_GOC!$A:$A,"BOM",DATA_GOC!$D:$D,$B178,DATA_GOC!$E:$E,"Téc 3",DATA_GOC!$F:$F,"Xuất nội bộ từ téc",DATA_GOC!$B:$B,DATE($D$2,$B$2,AD$4)),0))</f>
        <v>0</v>
      </c>
      <c r="AE178" s="251">
        <f>IF(AE$4&gt;DAY(EOMONTH(DATE($D$2,$B$2,1),0)),"",IFERROR(SUMIFS(DATA_GOC!$H:$H,DATA_GOC!$A:$A,"BOM",DATA_GOC!$D:$D,$B178,DATA_GOC!$E:$E,"Téc 3",DATA_GOC!$F:$F,"Xuất nội bộ từ téc",DATA_GOC!$B:$B,DATE($D$2,$B$2,AE$4)),0))</f>
        <v>0</v>
      </c>
      <c r="AF178" s="251">
        <f>IF(AF$4&gt;DAY(EOMONTH(DATE($D$2,$B$2,1),0)),"",IFERROR(SUMIFS(DATA_GOC!$H:$H,DATA_GOC!$A:$A,"BOM",DATA_GOC!$D:$D,$B178,DATA_GOC!$E:$E,"Téc 3",DATA_GOC!$F:$F,"Xuất nội bộ từ téc",DATA_GOC!$B:$B,DATE($D$2,$B$2,AF$4)),0))</f>
        <v>0</v>
      </c>
      <c r="AG178" s="251">
        <f>IF(AG$4&gt;DAY(EOMONTH(DATE($D$2,$B$2,1),0)),"",IFERROR(SUMIFS(DATA_GOC!$H:$H,DATA_GOC!$A:$A,"BOM",DATA_GOC!$D:$D,$B178,DATA_GOC!$E:$E,"Téc 3",DATA_GOC!$F:$F,"Xuất nội bộ từ téc",DATA_GOC!$B:$B,DATE($D$2,$B$2,AG$4)),0))</f>
        <v>0</v>
      </c>
      <c r="AH178" s="252">
        <f t="shared" si="7"/>
        <v>0</v>
      </c>
      <c r="AI178" s="241"/>
      <c r="AJ178" s="242">
        <f>IF($B178="","",SUMIFS(TINH_TEC!$K$233:$K$9232,TINH_TEC!$H$233:$H$9232,$B178,TINH_TEC!$C$233:$C$9232,"Téc 3",TINH_TEC!$F$233:$F$9232,$B$2,TINH_TEC!$G$233:$G$9232,$D$2,TINH_TEC!$B$233:$B$9232,"Đã chốt"))</f>
        <v>0</v>
      </c>
      <c r="AK178" s="242">
        <f>IF($B178="","",SUMIFS(TINH_TEC!$J$233:$J$9232,TINH_TEC!$H$233:$H$9232,$B178,TINH_TEC!$C$233:$C$9232,"Téc 3",TINH_TEC!$F$233:$F$9232,$B$2,TINH_TEC!$G$233:$G$9232,$D$2,TINH_TEC!$B$233:$B$9232,"Đã chốt"))</f>
        <v>0</v>
      </c>
      <c r="AL178" s="242">
        <f t="shared" si="8"/>
        <v>0</v>
      </c>
    </row>
    <row r="179" ht="15.75" customHeight="1">
      <c r="A179" s="237">
        <f>IF($B179&lt;&gt;"",52,"")</f>
        <v>52</v>
      </c>
      <c r="B179" s="250" t="str">
        <f t="array" ref="B179">IFERROR(INDEX(DANH_MUC!$E:$E,55),"")</f>
        <v>Xúclật asphalt</v>
      </c>
      <c r="C179" s="251">
        <f>IF(C$4&gt;DAY(EOMONTH(DATE($D$2,$B$2,1),0)),"",IFERROR(SUMIFS(DATA_GOC!$H:$H,DATA_GOC!$A:$A,"BOM",DATA_GOC!$D:$D,$B179,DATA_GOC!$E:$E,"Téc 3",DATA_GOC!$F:$F,"Xuất nội bộ từ téc",DATA_GOC!$B:$B,DATE($D$2,$B$2,C$4)),0))</f>
        <v>0</v>
      </c>
      <c r="D179" s="251">
        <f>IF(D$4&gt;DAY(EOMONTH(DATE($D$2,$B$2,1),0)),"",IFERROR(SUMIFS(DATA_GOC!$H:$H,DATA_GOC!$A:$A,"BOM",DATA_GOC!$D:$D,$B179,DATA_GOC!$E:$E,"Téc 3",DATA_GOC!$F:$F,"Xuất nội bộ từ téc",DATA_GOC!$B:$B,DATE($D$2,$B$2,D$4)),0))</f>
        <v>0</v>
      </c>
      <c r="E179" s="251">
        <f>IF(E$4&gt;DAY(EOMONTH(DATE($D$2,$B$2,1),0)),"",IFERROR(SUMIFS(DATA_GOC!$H:$H,DATA_GOC!$A:$A,"BOM",DATA_GOC!$D:$D,$B179,DATA_GOC!$E:$E,"Téc 3",DATA_GOC!$F:$F,"Xuất nội bộ từ téc",DATA_GOC!$B:$B,DATE($D$2,$B$2,E$4)),0))</f>
        <v>0</v>
      </c>
      <c r="F179" s="251">
        <f>IF(F$4&gt;DAY(EOMONTH(DATE($D$2,$B$2,1),0)),"",IFERROR(SUMIFS(DATA_GOC!$H:$H,DATA_GOC!$A:$A,"BOM",DATA_GOC!$D:$D,$B179,DATA_GOC!$E:$E,"Téc 3",DATA_GOC!$F:$F,"Xuất nội bộ từ téc",DATA_GOC!$B:$B,DATE($D$2,$B$2,F$4)),0))</f>
        <v>0</v>
      </c>
      <c r="G179" s="251">
        <f>IF(G$4&gt;DAY(EOMONTH(DATE($D$2,$B$2,1),0)),"",IFERROR(SUMIFS(DATA_GOC!$H:$H,DATA_GOC!$A:$A,"BOM",DATA_GOC!$D:$D,$B179,DATA_GOC!$E:$E,"Téc 3",DATA_GOC!$F:$F,"Xuất nội bộ từ téc",DATA_GOC!$B:$B,DATE($D$2,$B$2,G$4)),0))</f>
        <v>0</v>
      </c>
      <c r="H179" s="251">
        <f>IF(H$4&gt;DAY(EOMONTH(DATE($D$2,$B$2,1),0)),"",IFERROR(SUMIFS(DATA_GOC!$H:$H,DATA_GOC!$A:$A,"BOM",DATA_GOC!$D:$D,$B179,DATA_GOC!$E:$E,"Téc 3",DATA_GOC!$F:$F,"Xuất nội bộ từ téc",DATA_GOC!$B:$B,DATE($D$2,$B$2,H$4)),0))</f>
        <v>0</v>
      </c>
      <c r="I179" s="251">
        <f>IF(I$4&gt;DAY(EOMONTH(DATE($D$2,$B$2,1),0)),"",IFERROR(SUMIFS(DATA_GOC!$H:$H,DATA_GOC!$A:$A,"BOM",DATA_GOC!$D:$D,$B179,DATA_GOC!$E:$E,"Téc 3",DATA_GOC!$F:$F,"Xuất nội bộ từ téc",DATA_GOC!$B:$B,DATE($D$2,$B$2,I$4)),0))</f>
        <v>0</v>
      </c>
      <c r="J179" s="251">
        <f>IF(J$4&gt;DAY(EOMONTH(DATE($D$2,$B$2,1),0)),"",IFERROR(SUMIFS(DATA_GOC!$H:$H,DATA_GOC!$A:$A,"BOM",DATA_GOC!$D:$D,$B179,DATA_GOC!$E:$E,"Téc 3",DATA_GOC!$F:$F,"Xuất nội bộ từ téc",DATA_GOC!$B:$B,DATE($D$2,$B$2,J$4)),0))</f>
        <v>0</v>
      </c>
      <c r="K179" s="251">
        <f>IF(K$4&gt;DAY(EOMONTH(DATE($D$2,$B$2,1),0)),"",IFERROR(SUMIFS(DATA_GOC!$H:$H,DATA_GOC!$A:$A,"BOM",DATA_GOC!$D:$D,$B179,DATA_GOC!$E:$E,"Téc 3",DATA_GOC!$F:$F,"Xuất nội bộ từ téc",DATA_GOC!$B:$B,DATE($D$2,$B$2,K$4)),0))</f>
        <v>0</v>
      </c>
      <c r="L179" s="251">
        <f>IF(L$4&gt;DAY(EOMONTH(DATE($D$2,$B$2,1),0)),"",IFERROR(SUMIFS(DATA_GOC!$H:$H,DATA_GOC!$A:$A,"BOM",DATA_GOC!$D:$D,$B179,DATA_GOC!$E:$E,"Téc 3",DATA_GOC!$F:$F,"Xuất nội bộ từ téc",DATA_GOC!$B:$B,DATE($D$2,$B$2,L$4)),0))</f>
        <v>0</v>
      </c>
      <c r="M179" s="251">
        <f>IF(M$4&gt;DAY(EOMONTH(DATE($D$2,$B$2,1),0)),"",IFERROR(SUMIFS(DATA_GOC!$H:$H,DATA_GOC!$A:$A,"BOM",DATA_GOC!$D:$D,$B179,DATA_GOC!$E:$E,"Téc 3",DATA_GOC!$F:$F,"Xuất nội bộ từ téc",DATA_GOC!$B:$B,DATE($D$2,$B$2,M$4)),0))</f>
        <v>0</v>
      </c>
      <c r="N179" s="251">
        <f>IF(N$4&gt;DAY(EOMONTH(DATE($D$2,$B$2,1),0)),"",IFERROR(SUMIFS(DATA_GOC!$H:$H,DATA_GOC!$A:$A,"BOM",DATA_GOC!$D:$D,$B179,DATA_GOC!$E:$E,"Téc 3",DATA_GOC!$F:$F,"Xuất nội bộ từ téc",DATA_GOC!$B:$B,DATE($D$2,$B$2,N$4)),0))</f>
        <v>0</v>
      </c>
      <c r="O179" s="251">
        <f>IF(O$4&gt;DAY(EOMONTH(DATE($D$2,$B$2,1),0)),"",IFERROR(SUMIFS(DATA_GOC!$H:$H,DATA_GOC!$A:$A,"BOM",DATA_GOC!$D:$D,$B179,DATA_GOC!$E:$E,"Téc 3",DATA_GOC!$F:$F,"Xuất nội bộ từ téc",DATA_GOC!$B:$B,DATE($D$2,$B$2,O$4)),0))</f>
        <v>0</v>
      </c>
      <c r="P179" s="251">
        <f>IF(P$4&gt;DAY(EOMONTH(DATE($D$2,$B$2,1),0)),"",IFERROR(SUMIFS(DATA_GOC!$H:$H,DATA_GOC!$A:$A,"BOM",DATA_GOC!$D:$D,$B179,DATA_GOC!$E:$E,"Téc 3",DATA_GOC!$F:$F,"Xuất nội bộ từ téc",DATA_GOC!$B:$B,DATE($D$2,$B$2,P$4)),0))</f>
        <v>0</v>
      </c>
      <c r="Q179" s="251">
        <f>IF(Q$4&gt;DAY(EOMONTH(DATE($D$2,$B$2,1),0)),"",IFERROR(SUMIFS(DATA_GOC!$H:$H,DATA_GOC!$A:$A,"BOM",DATA_GOC!$D:$D,$B179,DATA_GOC!$E:$E,"Téc 3",DATA_GOC!$F:$F,"Xuất nội bộ từ téc",DATA_GOC!$B:$B,DATE($D$2,$B$2,Q$4)),0))</f>
        <v>0</v>
      </c>
      <c r="R179" s="251">
        <f>IF(R$4&gt;DAY(EOMONTH(DATE($D$2,$B$2,1),0)),"",IFERROR(SUMIFS(DATA_GOC!$H:$H,DATA_GOC!$A:$A,"BOM",DATA_GOC!$D:$D,$B179,DATA_GOC!$E:$E,"Téc 3",DATA_GOC!$F:$F,"Xuất nội bộ từ téc",DATA_GOC!$B:$B,DATE($D$2,$B$2,R$4)),0))</f>
        <v>0</v>
      </c>
      <c r="S179" s="251">
        <f>IF(S$4&gt;DAY(EOMONTH(DATE($D$2,$B$2,1),0)),"",IFERROR(SUMIFS(DATA_GOC!$H:$H,DATA_GOC!$A:$A,"BOM",DATA_GOC!$D:$D,$B179,DATA_GOC!$E:$E,"Téc 3",DATA_GOC!$F:$F,"Xuất nội bộ từ téc",DATA_GOC!$B:$B,DATE($D$2,$B$2,S$4)),0))</f>
        <v>0</v>
      </c>
      <c r="T179" s="251">
        <f>IF(T$4&gt;DAY(EOMONTH(DATE($D$2,$B$2,1),0)),"",IFERROR(SUMIFS(DATA_GOC!$H:$H,DATA_GOC!$A:$A,"BOM",DATA_GOC!$D:$D,$B179,DATA_GOC!$E:$E,"Téc 3",DATA_GOC!$F:$F,"Xuất nội bộ từ téc",DATA_GOC!$B:$B,DATE($D$2,$B$2,T$4)),0))</f>
        <v>0</v>
      </c>
      <c r="U179" s="251">
        <f>IF(U$4&gt;DAY(EOMONTH(DATE($D$2,$B$2,1),0)),"",IFERROR(SUMIFS(DATA_GOC!$H:$H,DATA_GOC!$A:$A,"BOM",DATA_GOC!$D:$D,$B179,DATA_GOC!$E:$E,"Téc 3",DATA_GOC!$F:$F,"Xuất nội bộ từ téc",DATA_GOC!$B:$B,DATE($D$2,$B$2,U$4)),0))</f>
        <v>0</v>
      </c>
      <c r="V179" s="251">
        <f>IF(V$4&gt;DAY(EOMONTH(DATE($D$2,$B$2,1),0)),"",IFERROR(SUMIFS(DATA_GOC!$H:$H,DATA_GOC!$A:$A,"BOM",DATA_GOC!$D:$D,$B179,DATA_GOC!$E:$E,"Téc 3",DATA_GOC!$F:$F,"Xuất nội bộ từ téc",DATA_GOC!$B:$B,DATE($D$2,$B$2,V$4)),0))</f>
        <v>0</v>
      </c>
      <c r="W179" s="251">
        <f>IF(W$4&gt;DAY(EOMONTH(DATE($D$2,$B$2,1),0)),"",IFERROR(SUMIFS(DATA_GOC!$H:$H,DATA_GOC!$A:$A,"BOM",DATA_GOC!$D:$D,$B179,DATA_GOC!$E:$E,"Téc 3",DATA_GOC!$F:$F,"Xuất nội bộ từ téc",DATA_GOC!$B:$B,DATE($D$2,$B$2,W$4)),0))</f>
        <v>0</v>
      </c>
      <c r="X179" s="251">
        <f>IF(X$4&gt;DAY(EOMONTH(DATE($D$2,$B$2,1),0)),"",IFERROR(SUMIFS(DATA_GOC!$H:$H,DATA_GOC!$A:$A,"BOM",DATA_GOC!$D:$D,$B179,DATA_GOC!$E:$E,"Téc 3",DATA_GOC!$F:$F,"Xuất nội bộ từ téc",DATA_GOC!$B:$B,DATE($D$2,$B$2,X$4)),0))</f>
        <v>0</v>
      </c>
      <c r="Y179" s="251">
        <f>IF(Y$4&gt;DAY(EOMONTH(DATE($D$2,$B$2,1),0)),"",IFERROR(SUMIFS(DATA_GOC!$H:$H,DATA_GOC!$A:$A,"BOM",DATA_GOC!$D:$D,$B179,DATA_GOC!$E:$E,"Téc 3",DATA_GOC!$F:$F,"Xuất nội bộ từ téc",DATA_GOC!$B:$B,DATE($D$2,$B$2,Y$4)),0))</f>
        <v>0</v>
      </c>
      <c r="Z179" s="251">
        <f>IF(Z$4&gt;DAY(EOMONTH(DATE($D$2,$B$2,1),0)),"",IFERROR(SUMIFS(DATA_GOC!$H:$H,DATA_GOC!$A:$A,"BOM",DATA_GOC!$D:$D,$B179,DATA_GOC!$E:$E,"Téc 3",DATA_GOC!$F:$F,"Xuất nội bộ từ téc",DATA_GOC!$B:$B,DATE($D$2,$B$2,Z$4)),0))</f>
        <v>0</v>
      </c>
      <c r="AA179" s="251">
        <f>IF(AA$4&gt;DAY(EOMONTH(DATE($D$2,$B$2,1),0)),"",IFERROR(SUMIFS(DATA_GOC!$H:$H,DATA_GOC!$A:$A,"BOM",DATA_GOC!$D:$D,$B179,DATA_GOC!$E:$E,"Téc 3",DATA_GOC!$F:$F,"Xuất nội bộ từ téc",DATA_GOC!$B:$B,DATE($D$2,$B$2,AA$4)),0))</f>
        <v>0</v>
      </c>
      <c r="AB179" s="251">
        <f>IF(AB$4&gt;DAY(EOMONTH(DATE($D$2,$B$2,1),0)),"",IFERROR(SUMIFS(DATA_GOC!$H:$H,DATA_GOC!$A:$A,"BOM",DATA_GOC!$D:$D,$B179,DATA_GOC!$E:$E,"Téc 3",DATA_GOC!$F:$F,"Xuất nội bộ từ téc",DATA_GOC!$B:$B,DATE($D$2,$B$2,AB$4)),0))</f>
        <v>0</v>
      </c>
      <c r="AC179" s="251">
        <f>IF(AC$4&gt;DAY(EOMONTH(DATE($D$2,$B$2,1),0)),"",IFERROR(SUMIFS(DATA_GOC!$H:$H,DATA_GOC!$A:$A,"BOM",DATA_GOC!$D:$D,$B179,DATA_GOC!$E:$E,"Téc 3",DATA_GOC!$F:$F,"Xuất nội bộ từ téc",DATA_GOC!$B:$B,DATE($D$2,$B$2,AC$4)),0))</f>
        <v>0</v>
      </c>
      <c r="AD179" s="251">
        <f>IF(AD$4&gt;DAY(EOMONTH(DATE($D$2,$B$2,1),0)),"",IFERROR(SUMIFS(DATA_GOC!$H:$H,DATA_GOC!$A:$A,"BOM",DATA_GOC!$D:$D,$B179,DATA_GOC!$E:$E,"Téc 3",DATA_GOC!$F:$F,"Xuất nội bộ từ téc",DATA_GOC!$B:$B,DATE($D$2,$B$2,AD$4)),0))</f>
        <v>0</v>
      </c>
      <c r="AE179" s="251">
        <f>IF(AE$4&gt;DAY(EOMONTH(DATE($D$2,$B$2,1),0)),"",IFERROR(SUMIFS(DATA_GOC!$H:$H,DATA_GOC!$A:$A,"BOM",DATA_GOC!$D:$D,$B179,DATA_GOC!$E:$E,"Téc 3",DATA_GOC!$F:$F,"Xuất nội bộ từ téc",DATA_GOC!$B:$B,DATE($D$2,$B$2,AE$4)),0))</f>
        <v>0</v>
      </c>
      <c r="AF179" s="251">
        <f>IF(AF$4&gt;DAY(EOMONTH(DATE($D$2,$B$2,1),0)),"",IFERROR(SUMIFS(DATA_GOC!$H:$H,DATA_GOC!$A:$A,"BOM",DATA_GOC!$D:$D,$B179,DATA_GOC!$E:$E,"Téc 3",DATA_GOC!$F:$F,"Xuất nội bộ từ téc",DATA_GOC!$B:$B,DATE($D$2,$B$2,AF$4)),0))</f>
        <v>0</v>
      </c>
      <c r="AG179" s="251">
        <f>IF(AG$4&gt;DAY(EOMONTH(DATE($D$2,$B$2,1),0)),"",IFERROR(SUMIFS(DATA_GOC!$H:$H,DATA_GOC!$A:$A,"BOM",DATA_GOC!$D:$D,$B179,DATA_GOC!$E:$E,"Téc 3",DATA_GOC!$F:$F,"Xuất nội bộ từ téc",DATA_GOC!$B:$B,DATE($D$2,$B$2,AG$4)),0))</f>
        <v>0</v>
      </c>
      <c r="AH179" s="252">
        <f t="shared" si="7"/>
        <v>0</v>
      </c>
      <c r="AI179" s="241"/>
      <c r="AJ179" s="242">
        <f>IF($B179="","",SUMIFS(TINH_TEC!$K$233:$K$9232,TINH_TEC!$H$233:$H$9232,$B179,TINH_TEC!$C$233:$C$9232,"Téc 3",TINH_TEC!$F$233:$F$9232,$B$2,TINH_TEC!$G$233:$G$9232,$D$2,TINH_TEC!$B$233:$B$9232,"Đã chốt"))</f>
        <v>0</v>
      </c>
      <c r="AK179" s="242">
        <f>IF($B179="","",SUMIFS(TINH_TEC!$J$233:$J$9232,TINH_TEC!$H$233:$H$9232,$B179,TINH_TEC!$C$233:$C$9232,"Téc 3",TINH_TEC!$F$233:$F$9232,$B$2,TINH_TEC!$G$233:$G$9232,$D$2,TINH_TEC!$B$233:$B$9232,"Đã chốt"))</f>
        <v>0</v>
      </c>
      <c r="AL179" s="242">
        <f t="shared" si="8"/>
        <v>0</v>
      </c>
    </row>
    <row r="180" ht="15.75" customHeight="1">
      <c r="A180" s="237">
        <f>IF($B180&lt;&gt;"",53,"")</f>
        <v>53</v>
      </c>
      <c r="B180" s="250" t="str">
        <f t="array" ref="B180">IFERROR(INDEX(DANH_MUC!$E:$E,56),"")</f>
        <v>Xúclật855H</v>
      </c>
      <c r="C180" s="251">
        <f>IF(C$4&gt;DAY(EOMONTH(DATE($D$2,$B$2,1),0)),"",IFERROR(SUMIFS(DATA_GOC!$H:$H,DATA_GOC!$A:$A,"BOM",DATA_GOC!$D:$D,$B180,DATA_GOC!$E:$E,"Téc 3",DATA_GOC!$F:$F,"Xuất nội bộ từ téc",DATA_GOC!$B:$B,DATE($D$2,$B$2,C$4)),0))</f>
        <v>0</v>
      </c>
      <c r="D180" s="251">
        <f>IF(D$4&gt;DAY(EOMONTH(DATE($D$2,$B$2,1),0)),"",IFERROR(SUMIFS(DATA_GOC!$H:$H,DATA_GOC!$A:$A,"BOM",DATA_GOC!$D:$D,$B180,DATA_GOC!$E:$E,"Téc 3",DATA_GOC!$F:$F,"Xuất nội bộ từ téc",DATA_GOC!$B:$B,DATE($D$2,$B$2,D$4)),0))</f>
        <v>0</v>
      </c>
      <c r="E180" s="251">
        <f>IF(E$4&gt;DAY(EOMONTH(DATE($D$2,$B$2,1),0)),"",IFERROR(SUMIFS(DATA_GOC!$H:$H,DATA_GOC!$A:$A,"BOM",DATA_GOC!$D:$D,$B180,DATA_GOC!$E:$E,"Téc 3",DATA_GOC!$F:$F,"Xuất nội bộ từ téc",DATA_GOC!$B:$B,DATE($D$2,$B$2,E$4)),0))</f>
        <v>0</v>
      </c>
      <c r="F180" s="251">
        <f>IF(F$4&gt;DAY(EOMONTH(DATE($D$2,$B$2,1),0)),"",IFERROR(SUMIFS(DATA_GOC!$H:$H,DATA_GOC!$A:$A,"BOM",DATA_GOC!$D:$D,$B180,DATA_GOC!$E:$E,"Téc 3",DATA_GOC!$F:$F,"Xuất nội bộ từ téc",DATA_GOC!$B:$B,DATE($D$2,$B$2,F$4)),0))</f>
        <v>0</v>
      </c>
      <c r="G180" s="251">
        <f>IF(G$4&gt;DAY(EOMONTH(DATE($D$2,$B$2,1),0)),"",IFERROR(SUMIFS(DATA_GOC!$H:$H,DATA_GOC!$A:$A,"BOM",DATA_GOC!$D:$D,$B180,DATA_GOC!$E:$E,"Téc 3",DATA_GOC!$F:$F,"Xuất nội bộ từ téc",DATA_GOC!$B:$B,DATE($D$2,$B$2,G$4)),0))</f>
        <v>0</v>
      </c>
      <c r="H180" s="251">
        <f>IF(H$4&gt;DAY(EOMONTH(DATE($D$2,$B$2,1),0)),"",IFERROR(SUMIFS(DATA_GOC!$H:$H,DATA_GOC!$A:$A,"BOM",DATA_GOC!$D:$D,$B180,DATA_GOC!$E:$E,"Téc 3",DATA_GOC!$F:$F,"Xuất nội bộ từ téc",DATA_GOC!$B:$B,DATE($D$2,$B$2,H$4)),0))</f>
        <v>0</v>
      </c>
      <c r="I180" s="251">
        <f>IF(I$4&gt;DAY(EOMONTH(DATE($D$2,$B$2,1),0)),"",IFERROR(SUMIFS(DATA_GOC!$H:$H,DATA_GOC!$A:$A,"BOM",DATA_GOC!$D:$D,$B180,DATA_GOC!$E:$E,"Téc 3",DATA_GOC!$F:$F,"Xuất nội bộ từ téc",DATA_GOC!$B:$B,DATE($D$2,$B$2,I$4)),0))</f>
        <v>0</v>
      </c>
      <c r="J180" s="251">
        <f>IF(J$4&gt;DAY(EOMONTH(DATE($D$2,$B$2,1),0)),"",IFERROR(SUMIFS(DATA_GOC!$H:$H,DATA_GOC!$A:$A,"BOM",DATA_GOC!$D:$D,$B180,DATA_GOC!$E:$E,"Téc 3",DATA_GOC!$F:$F,"Xuất nội bộ từ téc",DATA_GOC!$B:$B,DATE($D$2,$B$2,J$4)),0))</f>
        <v>0</v>
      </c>
      <c r="K180" s="251">
        <f>IF(K$4&gt;DAY(EOMONTH(DATE($D$2,$B$2,1),0)),"",IFERROR(SUMIFS(DATA_GOC!$H:$H,DATA_GOC!$A:$A,"BOM",DATA_GOC!$D:$D,$B180,DATA_GOC!$E:$E,"Téc 3",DATA_GOC!$F:$F,"Xuất nội bộ từ téc",DATA_GOC!$B:$B,DATE($D$2,$B$2,K$4)),0))</f>
        <v>0</v>
      </c>
      <c r="L180" s="251">
        <f>IF(L$4&gt;DAY(EOMONTH(DATE($D$2,$B$2,1),0)),"",IFERROR(SUMIFS(DATA_GOC!$H:$H,DATA_GOC!$A:$A,"BOM",DATA_GOC!$D:$D,$B180,DATA_GOC!$E:$E,"Téc 3",DATA_GOC!$F:$F,"Xuất nội bộ từ téc",DATA_GOC!$B:$B,DATE($D$2,$B$2,L$4)),0))</f>
        <v>0</v>
      </c>
      <c r="M180" s="251">
        <f>IF(M$4&gt;DAY(EOMONTH(DATE($D$2,$B$2,1),0)),"",IFERROR(SUMIFS(DATA_GOC!$H:$H,DATA_GOC!$A:$A,"BOM",DATA_GOC!$D:$D,$B180,DATA_GOC!$E:$E,"Téc 3",DATA_GOC!$F:$F,"Xuất nội bộ từ téc",DATA_GOC!$B:$B,DATE($D$2,$B$2,M$4)),0))</f>
        <v>0</v>
      </c>
      <c r="N180" s="251">
        <f>IF(N$4&gt;DAY(EOMONTH(DATE($D$2,$B$2,1),0)),"",IFERROR(SUMIFS(DATA_GOC!$H:$H,DATA_GOC!$A:$A,"BOM",DATA_GOC!$D:$D,$B180,DATA_GOC!$E:$E,"Téc 3",DATA_GOC!$F:$F,"Xuất nội bộ từ téc",DATA_GOC!$B:$B,DATE($D$2,$B$2,N$4)),0))</f>
        <v>0</v>
      </c>
      <c r="O180" s="251">
        <f>IF(O$4&gt;DAY(EOMONTH(DATE($D$2,$B$2,1),0)),"",IFERROR(SUMIFS(DATA_GOC!$H:$H,DATA_GOC!$A:$A,"BOM",DATA_GOC!$D:$D,$B180,DATA_GOC!$E:$E,"Téc 3",DATA_GOC!$F:$F,"Xuất nội bộ từ téc",DATA_GOC!$B:$B,DATE($D$2,$B$2,O$4)),0))</f>
        <v>0</v>
      </c>
      <c r="P180" s="251">
        <f>IF(P$4&gt;DAY(EOMONTH(DATE($D$2,$B$2,1),0)),"",IFERROR(SUMIFS(DATA_GOC!$H:$H,DATA_GOC!$A:$A,"BOM",DATA_GOC!$D:$D,$B180,DATA_GOC!$E:$E,"Téc 3",DATA_GOC!$F:$F,"Xuất nội bộ từ téc",DATA_GOC!$B:$B,DATE($D$2,$B$2,P$4)),0))</f>
        <v>0</v>
      </c>
      <c r="Q180" s="251">
        <f>IF(Q$4&gt;DAY(EOMONTH(DATE($D$2,$B$2,1),0)),"",IFERROR(SUMIFS(DATA_GOC!$H:$H,DATA_GOC!$A:$A,"BOM",DATA_GOC!$D:$D,$B180,DATA_GOC!$E:$E,"Téc 3",DATA_GOC!$F:$F,"Xuất nội bộ từ téc",DATA_GOC!$B:$B,DATE($D$2,$B$2,Q$4)),0))</f>
        <v>0</v>
      </c>
      <c r="R180" s="251">
        <f>IF(R$4&gt;DAY(EOMONTH(DATE($D$2,$B$2,1),0)),"",IFERROR(SUMIFS(DATA_GOC!$H:$H,DATA_GOC!$A:$A,"BOM",DATA_GOC!$D:$D,$B180,DATA_GOC!$E:$E,"Téc 3",DATA_GOC!$F:$F,"Xuất nội bộ từ téc",DATA_GOC!$B:$B,DATE($D$2,$B$2,R$4)),0))</f>
        <v>0</v>
      </c>
      <c r="S180" s="251">
        <f>IF(S$4&gt;DAY(EOMONTH(DATE($D$2,$B$2,1),0)),"",IFERROR(SUMIFS(DATA_GOC!$H:$H,DATA_GOC!$A:$A,"BOM",DATA_GOC!$D:$D,$B180,DATA_GOC!$E:$E,"Téc 3",DATA_GOC!$F:$F,"Xuất nội bộ từ téc",DATA_GOC!$B:$B,DATE($D$2,$B$2,S$4)),0))</f>
        <v>0</v>
      </c>
      <c r="T180" s="251">
        <f>IF(T$4&gt;DAY(EOMONTH(DATE($D$2,$B$2,1),0)),"",IFERROR(SUMIFS(DATA_GOC!$H:$H,DATA_GOC!$A:$A,"BOM",DATA_GOC!$D:$D,$B180,DATA_GOC!$E:$E,"Téc 3",DATA_GOC!$F:$F,"Xuất nội bộ từ téc",DATA_GOC!$B:$B,DATE($D$2,$B$2,T$4)),0))</f>
        <v>0</v>
      </c>
      <c r="U180" s="251">
        <f>IF(U$4&gt;DAY(EOMONTH(DATE($D$2,$B$2,1),0)),"",IFERROR(SUMIFS(DATA_GOC!$H:$H,DATA_GOC!$A:$A,"BOM",DATA_GOC!$D:$D,$B180,DATA_GOC!$E:$E,"Téc 3",DATA_GOC!$F:$F,"Xuất nội bộ từ téc",DATA_GOC!$B:$B,DATE($D$2,$B$2,U$4)),0))</f>
        <v>0</v>
      </c>
      <c r="V180" s="251">
        <f>IF(V$4&gt;DAY(EOMONTH(DATE($D$2,$B$2,1),0)),"",IFERROR(SUMIFS(DATA_GOC!$H:$H,DATA_GOC!$A:$A,"BOM",DATA_GOC!$D:$D,$B180,DATA_GOC!$E:$E,"Téc 3",DATA_GOC!$F:$F,"Xuất nội bộ từ téc",DATA_GOC!$B:$B,DATE($D$2,$B$2,V$4)),0))</f>
        <v>0</v>
      </c>
      <c r="W180" s="251">
        <f>IF(W$4&gt;DAY(EOMONTH(DATE($D$2,$B$2,1),0)),"",IFERROR(SUMIFS(DATA_GOC!$H:$H,DATA_GOC!$A:$A,"BOM",DATA_GOC!$D:$D,$B180,DATA_GOC!$E:$E,"Téc 3",DATA_GOC!$F:$F,"Xuất nội bộ từ téc",DATA_GOC!$B:$B,DATE($D$2,$B$2,W$4)),0))</f>
        <v>0</v>
      </c>
      <c r="X180" s="251">
        <f>IF(X$4&gt;DAY(EOMONTH(DATE($D$2,$B$2,1),0)),"",IFERROR(SUMIFS(DATA_GOC!$H:$H,DATA_GOC!$A:$A,"BOM",DATA_GOC!$D:$D,$B180,DATA_GOC!$E:$E,"Téc 3",DATA_GOC!$F:$F,"Xuất nội bộ từ téc",DATA_GOC!$B:$B,DATE($D$2,$B$2,X$4)),0))</f>
        <v>0</v>
      </c>
      <c r="Y180" s="251">
        <f>IF(Y$4&gt;DAY(EOMONTH(DATE($D$2,$B$2,1),0)),"",IFERROR(SUMIFS(DATA_GOC!$H:$H,DATA_GOC!$A:$A,"BOM",DATA_GOC!$D:$D,$B180,DATA_GOC!$E:$E,"Téc 3",DATA_GOC!$F:$F,"Xuất nội bộ từ téc",DATA_GOC!$B:$B,DATE($D$2,$B$2,Y$4)),0))</f>
        <v>0</v>
      </c>
      <c r="Z180" s="251">
        <f>IF(Z$4&gt;DAY(EOMONTH(DATE($D$2,$B$2,1),0)),"",IFERROR(SUMIFS(DATA_GOC!$H:$H,DATA_GOC!$A:$A,"BOM",DATA_GOC!$D:$D,$B180,DATA_GOC!$E:$E,"Téc 3",DATA_GOC!$F:$F,"Xuất nội bộ từ téc",DATA_GOC!$B:$B,DATE($D$2,$B$2,Z$4)),0))</f>
        <v>0</v>
      </c>
      <c r="AA180" s="251">
        <f>IF(AA$4&gt;DAY(EOMONTH(DATE($D$2,$B$2,1),0)),"",IFERROR(SUMIFS(DATA_GOC!$H:$H,DATA_GOC!$A:$A,"BOM",DATA_GOC!$D:$D,$B180,DATA_GOC!$E:$E,"Téc 3",DATA_GOC!$F:$F,"Xuất nội bộ từ téc",DATA_GOC!$B:$B,DATE($D$2,$B$2,AA$4)),0))</f>
        <v>0</v>
      </c>
      <c r="AB180" s="251">
        <f>IF(AB$4&gt;DAY(EOMONTH(DATE($D$2,$B$2,1),0)),"",IFERROR(SUMIFS(DATA_GOC!$H:$H,DATA_GOC!$A:$A,"BOM",DATA_GOC!$D:$D,$B180,DATA_GOC!$E:$E,"Téc 3",DATA_GOC!$F:$F,"Xuất nội bộ từ téc",DATA_GOC!$B:$B,DATE($D$2,$B$2,AB$4)),0))</f>
        <v>0</v>
      </c>
      <c r="AC180" s="251">
        <f>IF(AC$4&gt;DAY(EOMONTH(DATE($D$2,$B$2,1),0)),"",IFERROR(SUMIFS(DATA_GOC!$H:$H,DATA_GOC!$A:$A,"BOM",DATA_GOC!$D:$D,$B180,DATA_GOC!$E:$E,"Téc 3",DATA_GOC!$F:$F,"Xuất nội bộ từ téc",DATA_GOC!$B:$B,DATE($D$2,$B$2,AC$4)),0))</f>
        <v>0</v>
      </c>
      <c r="AD180" s="251">
        <f>IF(AD$4&gt;DAY(EOMONTH(DATE($D$2,$B$2,1),0)),"",IFERROR(SUMIFS(DATA_GOC!$H:$H,DATA_GOC!$A:$A,"BOM",DATA_GOC!$D:$D,$B180,DATA_GOC!$E:$E,"Téc 3",DATA_GOC!$F:$F,"Xuất nội bộ từ téc",DATA_GOC!$B:$B,DATE($D$2,$B$2,AD$4)),0))</f>
        <v>0</v>
      </c>
      <c r="AE180" s="251">
        <f>IF(AE$4&gt;DAY(EOMONTH(DATE($D$2,$B$2,1),0)),"",IFERROR(SUMIFS(DATA_GOC!$H:$H,DATA_GOC!$A:$A,"BOM",DATA_GOC!$D:$D,$B180,DATA_GOC!$E:$E,"Téc 3",DATA_GOC!$F:$F,"Xuất nội bộ từ téc",DATA_GOC!$B:$B,DATE($D$2,$B$2,AE$4)),0))</f>
        <v>0</v>
      </c>
      <c r="AF180" s="251">
        <f>IF(AF$4&gt;DAY(EOMONTH(DATE($D$2,$B$2,1),0)),"",IFERROR(SUMIFS(DATA_GOC!$H:$H,DATA_GOC!$A:$A,"BOM",DATA_GOC!$D:$D,$B180,DATA_GOC!$E:$E,"Téc 3",DATA_GOC!$F:$F,"Xuất nội bộ từ téc",DATA_GOC!$B:$B,DATE($D$2,$B$2,AF$4)),0))</f>
        <v>0</v>
      </c>
      <c r="AG180" s="251">
        <f>IF(AG$4&gt;DAY(EOMONTH(DATE($D$2,$B$2,1),0)),"",IFERROR(SUMIFS(DATA_GOC!$H:$H,DATA_GOC!$A:$A,"BOM",DATA_GOC!$D:$D,$B180,DATA_GOC!$E:$E,"Téc 3",DATA_GOC!$F:$F,"Xuất nội bộ từ téc",DATA_GOC!$B:$B,DATE($D$2,$B$2,AG$4)),0))</f>
        <v>0</v>
      </c>
      <c r="AH180" s="252">
        <f t="shared" si="7"/>
        <v>0</v>
      </c>
      <c r="AI180" s="241"/>
      <c r="AJ180" s="242">
        <f>IF($B180="","",SUMIFS(TINH_TEC!$K$233:$K$9232,TINH_TEC!$H$233:$H$9232,$B180,TINH_TEC!$C$233:$C$9232,"Téc 3",TINH_TEC!$F$233:$F$9232,$B$2,TINH_TEC!$G$233:$G$9232,$D$2,TINH_TEC!$B$233:$B$9232,"Đã chốt"))</f>
        <v>0</v>
      </c>
      <c r="AK180" s="242">
        <f>IF($B180="","",SUMIFS(TINH_TEC!$J$233:$J$9232,TINH_TEC!$H$233:$H$9232,$B180,TINH_TEC!$C$233:$C$9232,"Téc 3",TINH_TEC!$F$233:$F$9232,$B$2,TINH_TEC!$G$233:$G$9232,$D$2,TINH_TEC!$B$233:$B$9232,"Đã chốt"))</f>
        <v>0</v>
      </c>
      <c r="AL180" s="242">
        <f t="shared" si="8"/>
        <v>0</v>
      </c>
    </row>
    <row r="181" ht="15.75" customHeight="1">
      <c r="A181" s="237">
        <f>IF($B181&lt;&gt;"",54,"")</f>
        <v>54</v>
      </c>
      <c r="B181" s="250" t="str">
        <f t="array" ref="B181">IFERROR(INDEX(DANH_MUC!$E:$E,57),"")</f>
        <v>Xúclật855N</v>
      </c>
      <c r="C181" s="251">
        <f>IF(C$4&gt;DAY(EOMONTH(DATE($D$2,$B$2,1),0)),"",IFERROR(SUMIFS(DATA_GOC!$H:$H,DATA_GOC!$A:$A,"BOM",DATA_GOC!$D:$D,$B181,DATA_GOC!$E:$E,"Téc 3",DATA_GOC!$F:$F,"Xuất nội bộ từ téc",DATA_GOC!$B:$B,DATE($D$2,$B$2,C$4)),0))</f>
        <v>0</v>
      </c>
      <c r="D181" s="251">
        <f>IF(D$4&gt;DAY(EOMONTH(DATE($D$2,$B$2,1),0)),"",IFERROR(SUMIFS(DATA_GOC!$H:$H,DATA_GOC!$A:$A,"BOM",DATA_GOC!$D:$D,$B181,DATA_GOC!$E:$E,"Téc 3",DATA_GOC!$F:$F,"Xuất nội bộ từ téc",DATA_GOC!$B:$B,DATE($D$2,$B$2,D$4)),0))</f>
        <v>0</v>
      </c>
      <c r="E181" s="251">
        <f>IF(E$4&gt;DAY(EOMONTH(DATE($D$2,$B$2,1),0)),"",IFERROR(SUMIFS(DATA_GOC!$H:$H,DATA_GOC!$A:$A,"BOM",DATA_GOC!$D:$D,$B181,DATA_GOC!$E:$E,"Téc 3",DATA_GOC!$F:$F,"Xuất nội bộ từ téc",DATA_GOC!$B:$B,DATE($D$2,$B$2,E$4)),0))</f>
        <v>0</v>
      </c>
      <c r="F181" s="251">
        <f>IF(F$4&gt;DAY(EOMONTH(DATE($D$2,$B$2,1),0)),"",IFERROR(SUMIFS(DATA_GOC!$H:$H,DATA_GOC!$A:$A,"BOM",DATA_GOC!$D:$D,$B181,DATA_GOC!$E:$E,"Téc 3",DATA_GOC!$F:$F,"Xuất nội bộ từ téc",DATA_GOC!$B:$B,DATE($D$2,$B$2,F$4)),0))</f>
        <v>0</v>
      </c>
      <c r="G181" s="251">
        <f>IF(G$4&gt;DAY(EOMONTH(DATE($D$2,$B$2,1),0)),"",IFERROR(SUMIFS(DATA_GOC!$H:$H,DATA_GOC!$A:$A,"BOM",DATA_GOC!$D:$D,$B181,DATA_GOC!$E:$E,"Téc 3",DATA_GOC!$F:$F,"Xuất nội bộ từ téc",DATA_GOC!$B:$B,DATE($D$2,$B$2,G$4)),0))</f>
        <v>0</v>
      </c>
      <c r="H181" s="251">
        <f>IF(H$4&gt;DAY(EOMONTH(DATE($D$2,$B$2,1),0)),"",IFERROR(SUMIFS(DATA_GOC!$H:$H,DATA_GOC!$A:$A,"BOM",DATA_GOC!$D:$D,$B181,DATA_GOC!$E:$E,"Téc 3",DATA_GOC!$F:$F,"Xuất nội bộ từ téc",DATA_GOC!$B:$B,DATE($D$2,$B$2,H$4)),0))</f>
        <v>0</v>
      </c>
      <c r="I181" s="251">
        <f>IF(I$4&gt;DAY(EOMONTH(DATE($D$2,$B$2,1),0)),"",IFERROR(SUMIFS(DATA_GOC!$H:$H,DATA_GOC!$A:$A,"BOM",DATA_GOC!$D:$D,$B181,DATA_GOC!$E:$E,"Téc 3",DATA_GOC!$F:$F,"Xuất nội bộ từ téc",DATA_GOC!$B:$B,DATE($D$2,$B$2,I$4)),0))</f>
        <v>0</v>
      </c>
      <c r="J181" s="251">
        <f>IF(J$4&gt;DAY(EOMONTH(DATE($D$2,$B$2,1),0)),"",IFERROR(SUMIFS(DATA_GOC!$H:$H,DATA_GOC!$A:$A,"BOM",DATA_GOC!$D:$D,$B181,DATA_GOC!$E:$E,"Téc 3",DATA_GOC!$F:$F,"Xuất nội bộ từ téc",DATA_GOC!$B:$B,DATE($D$2,$B$2,J$4)),0))</f>
        <v>0</v>
      </c>
      <c r="K181" s="251">
        <f>IF(K$4&gt;DAY(EOMONTH(DATE($D$2,$B$2,1),0)),"",IFERROR(SUMIFS(DATA_GOC!$H:$H,DATA_GOC!$A:$A,"BOM",DATA_GOC!$D:$D,$B181,DATA_GOC!$E:$E,"Téc 3",DATA_GOC!$F:$F,"Xuất nội bộ từ téc",DATA_GOC!$B:$B,DATE($D$2,$B$2,K$4)),0))</f>
        <v>0</v>
      </c>
      <c r="L181" s="251">
        <f>IF(L$4&gt;DAY(EOMONTH(DATE($D$2,$B$2,1),0)),"",IFERROR(SUMIFS(DATA_GOC!$H:$H,DATA_GOC!$A:$A,"BOM",DATA_GOC!$D:$D,$B181,DATA_GOC!$E:$E,"Téc 3",DATA_GOC!$F:$F,"Xuất nội bộ từ téc",DATA_GOC!$B:$B,DATE($D$2,$B$2,L$4)),0))</f>
        <v>0</v>
      </c>
      <c r="M181" s="251">
        <f>IF(M$4&gt;DAY(EOMONTH(DATE($D$2,$B$2,1),0)),"",IFERROR(SUMIFS(DATA_GOC!$H:$H,DATA_GOC!$A:$A,"BOM",DATA_GOC!$D:$D,$B181,DATA_GOC!$E:$E,"Téc 3",DATA_GOC!$F:$F,"Xuất nội bộ từ téc",DATA_GOC!$B:$B,DATE($D$2,$B$2,M$4)),0))</f>
        <v>0</v>
      </c>
      <c r="N181" s="251">
        <f>IF(N$4&gt;DAY(EOMONTH(DATE($D$2,$B$2,1),0)),"",IFERROR(SUMIFS(DATA_GOC!$H:$H,DATA_GOC!$A:$A,"BOM",DATA_GOC!$D:$D,$B181,DATA_GOC!$E:$E,"Téc 3",DATA_GOC!$F:$F,"Xuất nội bộ từ téc",DATA_GOC!$B:$B,DATE($D$2,$B$2,N$4)),0))</f>
        <v>0</v>
      </c>
      <c r="O181" s="251">
        <f>IF(O$4&gt;DAY(EOMONTH(DATE($D$2,$B$2,1),0)),"",IFERROR(SUMIFS(DATA_GOC!$H:$H,DATA_GOC!$A:$A,"BOM",DATA_GOC!$D:$D,$B181,DATA_GOC!$E:$E,"Téc 3",DATA_GOC!$F:$F,"Xuất nội bộ từ téc",DATA_GOC!$B:$B,DATE($D$2,$B$2,O$4)),0))</f>
        <v>0</v>
      </c>
      <c r="P181" s="251">
        <f>IF(P$4&gt;DAY(EOMONTH(DATE($D$2,$B$2,1),0)),"",IFERROR(SUMIFS(DATA_GOC!$H:$H,DATA_GOC!$A:$A,"BOM",DATA_GOC!$D:$D,$B181,DATA_GOC!$E:$E,"Téc 3",DATA_GOC!$F:$F,"Xuất nội bộ từ téc",DATA_GOC!$B:$B,DATE($D$2,$B$2,P$4)),0))</f>
        <v>0</v>
      </c>
      <c r="Q181" s="251">
        <f>IF(Q$4&gt;DAY(EOMONTH(DATE($D$2,$B$2,1),0)),"",IFERROR(SUMIFS(DATA_GOC!$H:$H,DATA_GOC!$A:$A,"BOM",DATA_GOC!$D:$D,$B181,DATA_GOC!$E:$E,"Téc 3",DATA_GOC!$F:$F,"Xuất nội bộ từ téc",DATA_GOC!$B:$B,DATE($D$2,$B$2,Q$4)),0))</f>
        <v>0</v>
      </c>
      <c r="R181" s="251">
        <f>IF(R$4&gt;DAY(EOMONTH(DATE($D$2,$B$2,1),0)),"",IFERROR(SUMIFS(DATA_GOC!$H:$H,DATA_GOC!$A:$A,"BOM",DATA_GOC!$D:$D,$B181,DATA_GOC!$E:$E,"Téc 3",DATA_GOC!$F:$F,"Xuất nội bộ từ téc",DATA_GOC!$B:$B,DATE($D$2,$B$2,R$4)),0))</f>
        <v>0</v>
      </c>
      <c r="S181" s="251">
        <f>IF(S$4&gt;DAY(EOMONTH(DATE($D$2,$B$2,1),0)),"",IFERROR(SUMIFS(DATA_GOC!$H:$H,DATA_GOC!$A:$A,"BOM",DATA_GOC!$D:$D,$B181,DATA_GOC!$E:$E,"Téc 3",DATA_GOC!$F:$F,"Xuất nội bộ từ téc",DATA_GOC!$B:$B,DATE($D$2,$B$2,S$4)),0))</f>
        <v>0</v>
      </c>
      <c r="T181" s="251">
        <f>IF(T$4&gt;DAY(EOMONTH(DATE($D$2,$B$2,1),0)),"",IFERROR(SUMIFS(DATA_GOC!$H:$H,DATA_GOC!$A:$A,"BOM",DATA_GOC!$D:$D,$B181,DATA_GOC!$E:$E,"Téc 3",DATA_GOC!$F:$F,"Xuất nội bộ từ téc",DATA_GOC!$B:$B,DATE($D$2,$B$2,T$4)),0))</f>
        <v>0</v>
      </c>
      <c r="U181" s="251">
        <f>IF(U$4&gt;DAY(EOMONTH(DATE($D$2,$B$2,1),0)),"",IFERROR(SUMIFS(DATA_GOC!$H:$H,DATA_GOC!$A:$A,"BOM",DATA_GOC!$D:$D,$B181,DATA_GOC!$E:$E,"Téc 3",DATA_GOC!$F:$F,"Xuất nội bộ từ téc",DATA_GOC!$B:$B,DATE($D$2,$B$2,U$4)),0))</f>
        <v>0</v>
      </c>
      <c r="V181" s="251">
        <f>IF(V$4&gt;DAY(EOMONTH(DATE($D$2,$B$2,1),0)),"",IFERROR(SUMIFS(DATA_GOC!$H:$H,DATA_GOC!$A:$A,"BOM",DATA_GOC!$D:$D,$B181,DATA_GOC!$E:$E,"Téc 3",DATA_GOC!$F:$F,"Xuất nội bộ từ téc",DATA_GOC!$B:$B,DATE($D$2,$B$2,V$4)),0))</f>
        <v>0</v>
      </c>
      <c r="W181" s="251">
        <f>IF(W$4&gt;DAY(EOMONTH(DATE($D$2,$B$2,1),0)),"",IFERROR(SUMIFS(DATA_GOC!$H:$H,DATA_GOC!$A:$A,"BOM",DATA_GOC!$D:$D,$B181,DATA_GOC!$E:$E,"Téc 3",DATA_GOC!$F:$F,"Xuất nội bộ từ téc",DATA_GOC!$B:$B,DATE($D$2,$B$2,W$4)),0))</f>
        <v>0</v>
      </c>
      <c r="X181" s="251">
        <f>IF(X$4&gt;DAY(EOMONTH(DATE($D$2,$B$2,1),0)),"",IFERROR(SUMIFS(DATA_GOC!$H:$H,DATA_GOC!$A:$A,"BOM",DATA_GOC!$D:$D,$B181,DATA_GOC!$E:$E,"Téc 3",DATA_GOC!$F:$F,"Xuất nội bộ từ téc",DATA_GOC!$B:$B,DATE($D$2,$B$2,X$4)),0))</f>
        <v>0</v>
      </c>
      <c r="Y181" s="251">
        <f>IF(Y$4&gt;DAY(EOMONTH(DATE($D$2,$B$2,1),0)),"",IFERROR(SUMIFS(DATA_GOC!$H:$H,DATA_GOC!$A:$A,"BOM",DATA_GOC!$D:$D,$B181,DATA_GOC!$E:$E,"Téc 3",DATA_GOC!$F:$F,"Xuất nội bộ từ téc",DATA_GOC!$B:$B,DATE($D$2,$B$2,Y$4)),0))</f>
        <v>0</v>
      </c>
      <c r="Z181" s="251">
        <f>IF(Z$4&gt;DAY(EOMONTH(DATE($D$2,$B$2,1),0)),"",IFERROR(SUMIFS(DATA_GOC!$H:$H,DATA_GOC!$A:$A,"BOM",DATA_GOC!$D:$D,$B181,DATA_GOC!$E:$E,"Téc 3",DATA_GOC!$F:$F,"Xuất nội bộ từ téc",DATA_GOC!$B:$B,DATE($D$2,$B$2,Z$4)),0))</f>
        <v>0</v>
      </c>
      <c r="AA181" s="251">
        <f>IF(AA$4&gt;DAY(EOMONTH(DATE($D$2,$B$2,1),0)),"",IFERROR(SUMIFS(DATA_GOC!$H:$H,DATA_GOC!$A:$A,"BOM",DATA_GOC!$D:$D,$B181,DATA_GOC!$E:$E,"Téc 3",DATA_GOC!$F:$F,"Xuất nội bộ từ téc",DATA_GOC!$B:$B,DATE($D$2,$B$2,AA$4)),0))</f>
        <v>0</v>
      </c>
      <c r="AB181" s="251">
        <f>IF(AB$4&gt;DAY(EOMONTH(DATE($D$2,$B$2,1),0)),"",IFERROR(SUMIFS(DATA_GOC!$H:$H,DATA_GOC!$A:$A,"BOM",DATA_GOC!$D:$D,$B181,DATA_GOC!$E:$E,"Téc 3",DATA_GOC!$F:$F,"Xuất nội bộ từ téc",DATA_GOC!$B:$B,DATE($D$2,$B$2,AB$4)),0))</f>
        <v>0</v>
      </c>
      <c r="AC181" s="251">
        <f>IF(AC$4&gt;DAY(EOMONTH(DATE($D$2,$B$2,1),0)),"",IFERROR(SUMIFS(DATA_GOC!$H:$H,DATA_GOC!$A:$A,"BOM",DATA_GOC!$D:$D,$B181,DATA_GOC!$E:$E,"Téc 3",DATA_GOC!$F:$F,"Xuất nội bộ từ téc",DATA_GOC!$B:$B,DATE($D$2,$B$2,AC$4)),0))</f>
        <v>0</v>
      </c>
      <c r="AD181" s="251">
        <f>IF(AD$4&gt;DAY(EOMONTH(DATE($D$2,$B$2,1),0)),"",IFERROR(SUMIFS(DATA_GOC!$H:$H,DATA_GOC!$A:$A,"BOM",DATA_GOC!$D:$D,$B181,DATA_GOC!$E:$E,"Téc 3",DATA_GOC!$F:$F,"Xuất nội bộ từ téc",DATA_GOC!$B:$B,DATE($D$2,$B$2,AD$4)),0))</f>
        <v>0</v>
      </c>
      <c r="AE181" s="251">
        <f>IF(AE$4&gt;DAY(EOMONTH(DATE($D$2,$B$2,1),0)),"",IFERROR(SUMIFS(DATA_GOC!$H:$H,DATA_GOC!$A:$A,"BOM",DATA_GOC!$D:$D,$B181,DATA_GOC!$E:$E,"Téc 3",DATA_GOC!$F:$F,"Xuất nội bộ từ téc",DATA_GOC!$B:$B,DATE($D$2,$B$2,AE$4)),0))</f>
        <v>0</v>
      </c>
      <c r="AF181" s="251">
        <f>IF(AF$4&gt;DAY(EOMONTH(DATE($D$2,$B$2,1),0)),"",IFERROR(SUMIFS(DATA_GOC!$H:$H,DATA_GOC!$A:$A,"BOM",DATA_GOC!$D:$D,$B181,DATA_GOC!$E:$E,"Téc 3",DATA_GOC!$F:$F,"Xuất nội bộ từ téc",DATA_GOC!$B:$B,DATE($D$2,$B$2,AF$4)),0))</f>
        <v>0</v>
      </c>
      <c r="AG181" s="251">
        <f>IF(AG$4&gt;DAY(EOMONTH(DATE($D$2,$B$2,1),0)),"",IFERROR(SUMIFS(DATA_GOC!$H:$H,DATA_GOC!$A:$A,"BOM",DATA_GOC!$D:$D,$B181,DATA_GOC!$E:$E,"Téc 3",DATA_GOC!$F:$F,"Xuất nội bộ từ téc",DATA_GOC!$B:$B,DATE($D$2,$B$2,AG$4)),0))</f>
        <v>0</v>
      </c>
      <c r="AH181" s="252">
        <f t="shared" si="7"/>
        <v>0</v>
      </c>
      <c r="AI181" s="241"/>
      <c r="AJ181" s="242">
        <f>IF($B181="","",SUMIFS(TINH_TEC!$K$233:$K$9232,TINH_TEC!$H$233:$H$9232,$B181,TINH_TEC!$C$233:$C$9232,"Téc 3",TINH_TEC!$F$233:$F$9232,$B$2,TINH_TEC!$G$233:$G$9232,$D$2,TINH_TEC!$B$233:$B$9232,"Đã chốt"))</f>
        <v>0</v>
      </c>
      <c r="AK181" s="242">
        <f>IF($B181="","",SUMIFS(TINH_TEC!$J$233:$J$9232,TINH_TEC!$H$233:$H$9232,$B181,TINH_TEC!$C$233:$C$9232,"Téc 3",TINH_TEC!$F$233:$F$9232,$B$2,TINH_TEC!$G$233:$G$9232,$D$2,TINH_TEC!$B$233:$B$9232,"Đã chốt"))</f>
        <v>0</v>
      </c>
      <c r="AL181" s="242">
        <f t="shared" si="8"/>
        <v>0</v>
      </c>
    </row>
    <row r="182" ht="15.75" customHeight="1">
      <c r="A182" s="237">
        <f>IF($B182&lt;&gt;"",55,"")</f>
        <v>55</v>
      </c>
      <c r="B182" s="250" t="str">
        <f t="array" ref="B182">IFERROR(INDEX(DANH_MUC!$E:$E,58),"")</f>
        <v>Cát nghiền</v>
      </c>
      <c r="C182" s="251">
        <f>IF(C$4&gt;DAY(EOMONTH(DATE($D$2,$B$2,1),0)),"",IFERROR(SUMIFS(DATA_GOC!$H:$H,DATA_GOC!$A:$A,"BOM",DATA_GOC!$D:$D,$B182,DATA_GOC!$E:$E,"Téc 3",DATA_GOC!$F:$F,"Xuất nội bộ từ téc",DATA_GOC!$B:$B,DATE($D$2,$B$2,C$4)),0))</f>
        <v>0</v>
      </c>
      <c r="D182" s="251">
        <f>IF(D$4&gt;DAY(EOMONTH(DATE($D$2,$B$2,1),0)),"",IFERROR(SUMIFS(DATA_GOC!$H:$H,DATA_GOC!$A:$A,"BOM",DATA_GOC!$D:$D,$B182,DATA_GOC!$E:$E,"Téc 3",DATA_GOC!$F:$F,"Xuất nội bộ từ téc",DATA_GOC!$B:$B,DATE($D$2,$B$2,D$4)),0))</f>
        <v>0</v>
      </c>
      <c r="E182" s="251">
        <f>IF(E$4&gt;DAY(EOMONTH(DATE($D$2,$B$2,1),0)),"",IFERROR(SUMIFS(DATA_GOC!$H:$H,DATA_GOC!$A:$A,"BOM",DATA_GOC!$D:$D,$B182,DATA_GOC!$E:$E,"Téc 3",DATA_GOC!$F:$F,"Xuất nội bộ từ téc",DATA_GOC!$B:$B,DATE($D$2,$B$2,E$4)),0))</f>
        <v>0</v>
      </c>
      <c r="F182" s="251">
        <f>IF(F$4&gt;DAY(EOMONTH(DATE($D$2,$B$2,1),0)),"",IFERROR(SUMIFS(DATA_GOC!$H:$H,DATA_GOC!$A:$A,"BOM",DATA_GOC!$D:$D,$B182,DATA_GOC!$E:$E,"Téc 3",DATA_GOC!$F:$F,"Xuất nội bộ từ téc",DATA_GOC!$B:$B,DATE($D$2,$B$2,F$4)),0))</f>
        <v>0</v>
      </c>
      <c r="G182" s="251">
        <f>IF(G$4&gt;DAY(EOMONTH(DATE($D$2,$B$2,1),0)),"",IFERROR(SUMIFS(DATA_GOC!$H:$H,DATA_GOC!$A:$A,"BOM",DATA_GOC!$D:$D,$B182,DATA_GOC!$E:$E,"Téc 3",DATA_GOC!$F:$F,"Xuất nội bộ từ téc",DATA_GOC!$B:$B,DATE($D$2,$B$2,G$4)),0))</f>
        <v>0</v>
      </c>
      <c r="H182" s="251">
        <f>IF(H$4&gt;DAY(EOMONTH(DATE($D$2,$B$2,1),0)),"",IFERROR(SUMIFS(DATA_GOC!$H:$H,DATA_GOC!$A:$A,"BOM",DATA_GOC!$D:$D,$B182,DATA_GOC!$E:$E,"Téc 3",DATA_GOC!$F:$F,"Xuất nội bộ từ téc",DATA_GOC!$B:$B,DATE($D$2,$B$2,H$4)),0))</f>
        <v>0</v>
      </c>
      <c r="I182" s="251">
        <f>IF(I$4&gt;DAY(EOMONTH(DATE($D$2,$B$2,1),0)),"",IFERROR(SUMIFS(DATA_GOC!$H:$H,DATA_GOC!$A:$A,"BOM",DATA_GOC!$D:$D,$B182,DATA_GOC!$E:$E,"Téc 3",DATA_GOC!$F:$F,"Xuất nội bộ từ téc",DATA_GOC!$B:$B,DATE($D$2,$B$2,I$4)),0))</f>
        <v>0</v>
      </c>
      <c r="J182" s="251">
        <f>IF(J$4&gt;DAY(EOMONTH(DATE($D$2,$B$2,1),0)),"",IFERROR(SUMIFS(DATA_GOC!$H:$H,DATA_GOC!$A:$A,"BOM",DATA_GOC!$D:$D,$B182,DATA_GOC!$E:$E,"Téc 3",DATA_GOC!$F:$F,"Xuất nội bộ từ téc",DATA_GOC!$B:$B,DATE($D$2,$B$2,J$4)),0))</f>
        <v>0</v>
      </c>
      <c r="K182" s="251">
        <f>IF(K$4&gt;DAY(EOMONTH(DATE($D$2,$B$2,1),0)),"",IFERROR(SUMIFS(DATA_GOC!$H:$H,DATA_GOC!$A:$A,"BOM",DATA_GOC!$D:$D,$B182,DATA_GOC!$E:$E,"Téc 3",DATA_GOC!$F:$F,"Xuất nội bộ từ téc",DATA_GOC!$B:$B,DATE($D$2,$B$2,K$4)),0))</f>
        <v>0</v>
      </c>
      <c r="L182" s="251">
        <f>IF(L$4&gt;DAY(EOMONTH(DATE($D$2,$B$2,1),0)),"",IFERROR(SUMIFS(DATA_GOC!$H:$H,DATA_GOC!$A:$A,"BOM",DATA_GOC!$D:$D,$B182,DATA_GOC!$E:$E,"Téc 3",DATA_GOC!$F:$F,"Xuất nội bộ từ téc",DATA_GOC!$B:$B,DATE($D$2,$B$2,L$4)),0))</f>
        <v>0</v>
      </c>
      <c r="M182" s="251">
        <f>IF(M$4&gt;DAY(EOMONTH(DATE($D$2,$B$2,1),0)),"",IFERROR(SUMIFS(DATA_GOC!$H:$H,DATA_GOC!$A:$A,"BOM",DATA_GOC!$D:$D,$B182,DATA_GOC!$E:$E,"Téc 3",DATA_GOC!$F:$F,"Xuất nội bộ từ téc",DATA_GOC!$B:$B,DATE($D$2,$B$2,M$4)),0))</f>
        <v>0</v>
      </c>
      <c r="N182" s="251">
        <f>IF(N$4&gt;DAY(EOMONTH(DATE($D$2,$B$2,1),0)),"",IFERROR(SUMIFS(DATA_GOC!$H:$H,DATA_GOC!$A:$A,"BOM",DATA_GOC!$D:$D,$B182,DATA_GOC!$E:$E,"Téc 3",DATA_GOC!$F:$F,"Xuất nội bộ từ téc",DATA_GOC!$B:$B,DATE($D$2,$B$2,N$4)),0))</f>
        <v>0</v>
      </c>
      <c r="O182" s="251">
        <f>IF(O$4&gt;DAY(EOMONTH(DATE($D$2,$B$2,1),0)),"",IFERROR(SUMIFS(DATA_GOC!$H:$H,DATA_GOC!$A:$A,"BOM",DATA_GOC!$D:$D,$B182,DATA_GOC!$E:$E,"Téc 3",DATA_GOC!$F:$F,"Xuất nội bộ từ téc",DATA_GOC!$B:$B,DATE($D$2,$B$2,O$4)),0))</f>
        <v>0</v>
      </c>
      <c r="P182" s="251">
        <f>IF(P$4&gt;DAY(EOMONTH(DATE($D$2,$B$2,1),0)),"",IFERROR(SUMIFS(DATA_GOC!$H:$H,DATA_GOC!$A:$A,"BOM",DATA_GOC!$D:$D,$B182,DATA_GOC!$E:$E,"Téc 3",DATA_GOC!$F:$F,"Xuất nội bộ từ téc",DATA_GOC!$B:$B,DATE($D$2,$B$2,P$4)),0))</f>
        <v>0</v>
      </c>
      <c r="Q182" s="251">
        <f>IF(Q$4&gt;DAY(EOMONTH(DATE($D$2,$B$2,1),0)),"",IFERROR(SUMIFS(DATA_GOC!$H:$H,DATA_GOC!$A:$A,"BOM",DATA_GOC!$D:$D,$B182,DATA_GOC!$E:$E,"Téc 3",DATA_GOC!$F:$F,"Xuất nội bộ từ téc",DATA_GOC!$B:$B,DATE($D$2,$B$2,Q$4)),0))</f>
        <v>0</v>
      </c>
      <c r="R182" s="251">
        <f>IF(R$4&gt;DAY(EOMONTH(DATE($D$2,$B$2,1),0)),"",IFERROR(SUMIFS(DATA_GOC!$H:$H,DATA_GOC!$A:$A,"BOM",DATA_GOC!$D:$D,$B182,DATA_GOC!$E:$E,"Téc 3",DATA_GOC!$F:$F,"Xuất nội bộ từ téc",DATA_GOC!$B:$B,DATE($D$2,$B$2,R$4)),0))</f>
        <v>0</v>
      </c>
      <c r="S182" s="251">
        <f>IF(S$4&gt;DAY(EOMONTH(DATE($D$2,$B$2,1),0)),"",IFERROR(SUMIFS(DATA_GOC!$H:$H,DATA_GOC!$A:$A,"BOM",DATA_GOC!$D:$D,$B182,DATA_GOC!$E:$E,"Téc 3",DATA_GOC!$F:$F,"Xuất nội bộ từ téc",DATA_GOC!$B:$B,DATE($D$2,$B$2,S$4)),0))</f>
        <v>0</v>
      </c>
      <c r="T182" s="251">
        <f>IF(T$4&gt;DAY(EOMONTH(DATE($D$2,$B$2,1),0)),"",IFERROR(SUMIFS(DATA_GOC!$H:$H,DATA_GOC!$A:$A,"BOM",DATA_GOC!$D:$D,$B182,DATA_GOC!$E:$E,"Téc 3",DATA_GOC!$F:$F,"Xuất nội bộ từ téc",DATA_GOC!$B:$B,DATE($D$2,$B$2,T$4)),0))</f>
        <v>0</v>
      </c>
      <c r="U182" s="251">
        <f>IF(U$4&gt;DAY(EOMONTH(DATE($D$2,$B$2,1),0)),"",IFERROR(SUMIFS(DATA_GOC!$H:$H,DATA_GOC!$A:$A,"BOM",DATA_GOC!$D:$D,$B182,DATA_GOC!$E:$E,"Téc 3",DATA_GOC!$F:$F,"Xuất nội bộ từ téc",DATA_GOC!$B:$B,DATE($D$2,$B$2,U$4)),0))</f>
        <v>0</v>
      </c>
      <c r="V182" s="251">
        <f>IF(V$4&gt;DAY(EOMONTH(DATE($D$2,$B$2,1),0)),"",IFERROR(SUMIFS(DATA_GOC!$H:$H,DATA_GOC!$A:$A,"BOM",DATA_GOC!$D:$D,$B182,DATA_GOC!$E:$E,"Téc 3",DATA_GOC!$F:$F,"Xuất nội bộ từ téc",DATA_GOC!$B:$B,DATE($D$2,$B$2,V$4)),0))</f>
        <v>0</v>
      </c>
      <c r="W182" s="251">
        <f>IF(W$4&gt;DAY(EOMONTH(DATE($D$2,$B$2,1),0)),"",IFERROR(SUMIFS(DATA_GOC!$H:$H,DATA_GOC!$A:$A,"BOM",DATA_GOC!$D:$D,$B182,DATA_GOC!$E:$E,"Téc 3",DATA_GOC!$F:$F,"Xuất nội bộ từ téc",DATA_GOC!$B:$B,DATE($D$2,$B$2,W$4)),0))</f>
        <v>0</v>
      </c>
      <c r="X182" s="251">
        <f>IF(X$4&gt;DAY(EOMONTH(DATE($D$2,$B$2,1),0)),"",IFERROR(SUMIFS(DATA_GOC!$H:$H,DATA_GOC!$A:$A,"BOM",DATA_GOC!$D:$D,$B182,DATA_GOC!$E:$E,"Téc 3",DATA_GOC!$F:$F,"Xuất nội bộ từ téc",DATA_GOC!$B:$B,DATE($D$2,$B$2,X$4)),0))</f>
        <v>0</v>
      </c>
      <c r="Y182" s="251">
        <f>IF(Y$4&gt;DAY(EOMONTH(DATE($D$2,$B$2,1),0)),"",IFERROR(SUMIFS(DATA_GOC!$H:$H,DATA_GOC!$A:$A,"BOM",DATA_GOC!$D:$D,$B182,DATA_GOC!$E:$E,"Téc 3",DATA_GOC!$F:$F,"Xuất nội bộ từ téc",DATA_GOC!$B:$B,DATE($D$2,$B$2,Y$4)),0))</f>
        <v>0</v>
      </c>
      <c r="Z182" s="251">
        <f>IF(Z$4&gt;DAY(EOMONTH(DATE($D$2,$B$2,1),0)),"",IFERROR(SUMIFS(DATA_GOC!$H:$H,DATA_GOC!$A:$A,"BOM",DATA_GOC!$D:$D,$B182,DATA_GOC!$E:$E,"Téc 3",DATA_GOC!$F:$F,"Xuất nội bộ từ téc",DATA_GOC!$B:$B,DATE($D$2,$B$2,Z$4)),0))</f>
        <v>0</v>
      </c>
      <c r="AA182" s="251">
        <f>IF(AA$4&gt;DAY(EOMONTH(DATE($D$2,$B$2,1),0)),"",IFERROR(SUMIFS(DATA_GOC!$H:$H,DATA_GOC!$A:$A,"BOM",DATA_GOC!$D:$D,$B182,DATA_GOC!$E:$E,"Téc 3",DATA_GOC!$F:$F,"Xuất nội bộ từ téc",DATA_GOC!$B:$B,DATE($D$2,$B$2,AA$4)),0))</f>
        <v>0</v>
      </c>
      <c r="AB182" s="251">
        <f>IF(AB$4&gt;DAY(EOMONTH(DATE($D$2,$B$2,1),0)),"",IFERROR(SUMIFS(DATA_GOC!$H:$H,DATA_GOC!$A:$A,"BOM",DATA_GOC!$D:$D,$B182,DATA_GOC!$E:$E,"Téc 3",DATA_GOC!$F:$F,"Xuất nội bộ từ téc",DATA_GOC!$B:$B,DATE($D$2,$B$2,AB$4)),0))</f>
        <v>0</v>
      </c>
      <c r="AC182" s="251">
        <f>IF(AC$4&gt;DAY(EOMONTH(DATE($D$2,$B$2,1),0)),"",IFERROR(SUMIFS(DATA_GOC!$H:$H,DATA_GOC!$A:$A,"BOM",DATA_GOC!$D:$D,$B182,DATA_GOC!$E:$E,"Téc 3",DATA_GOC!$F:$F,"Xuất nội bộ từ téc",DATA_GOC!$B:$B,DATE($D$2,$B$2,AC$4)),0))</f>
        <v>0</v>
      </c>
      <c r="AD182" s="251">
        <f>IF(AD$4&gt;DAY(EOMONTH(DATE($D$2,$B$2,1),0)),"",IFERROR(SUMIFS(DATA_GOC!$H:$H,DATA_GOC!$A:$A,"BOM",DATA_GOC!$D:$D,$B182,DATA_GOC!$E:$E,"Téc 3",DATA_GOC!$F:$F,"Xuất nội bộ từ téc",DATA_GOC!$B:$B,DATE($D$2,$B$2,AD$4)),0))</f>
        <v>0</v>
      </c>
      <c r="AE182" s="251">
        <f>IF(AE$4&gt;DAY(EOMONTH(DATE($D$2,$B$2,1),0)),"",IFERROR(SUMIFS(DATA_GOC!$H:$H,DATA_GOC!$A:$A,"BOM",DATA_GOC!$D:$D,$B182,DATA_GOC!$E:$E,"Téc 3",DATA_GOC!$F:$F,"Xuất nội bộ từ téc",DATA_GOC!$B:$B,DATE($D$2,$B$2,AE$4)),0))</f>
        <v>0</v>
      </c>
      <c r="AF182" s="251">
        <f>IF(AF$4&gt;DAY(EOMONTH(DATE($D$2,$B$2,1),0)),"",IFERROR(SUMIFS(DATA_GOC!$H:$H,DATA_GOC!$A:$A,"BOM",DATA_GOC!$D:$D,$B182,DATA_GOC!$E:$E,"Téc 3",DATA_GOC!$F:$F,"Xuất nội bộ từ téc",DATA_GOC!$B:$B,DATE($D$2,$B$2,AF$4)),0))</f>
        <v>0</v>
      </c>
      <c r="AG182" s="251">
        <f>IF(AG$4&gt;DAY(EOMONTH(DATE($D$2,$B$2,1),0)),"",IFERROR(SUMIFS(DATA_GOC!$H:$H,DATA_GOC!$A:$A,"BOM",DATA_GOC!$D:$D,$B182,DATA_GOC!$E:$E,"Téc 3",DATA_GOC!$F:$F,"Xuất nội bộ từ téc",DATA_GOC!$B:$B,DATE($D$2,$B$2,AG$4)),0))</f>
        <v>0</v>
      </c>
      <c r="AH182" s="252">
        <f t="shared" si="7"/>
        <v>0</v>
      </c>
      <c r="AI182" s="241"/>
      <c r="AJ182" s="242">
        <f>IF($B182="","",SUMIFS(TINH_TEC!$K$233:$K$9232,TINH_TEC!$H$233:$H$9232,$B182,TINH_TEC!$C$233:$C$9232,"Téc 3",TINH_TEC!$F$233:$F$9232,$B$2,TINH_TEC!$G$233:$G$9232,$D$2,TINH_TEC!$B$233:$B$9232,"Đã chốt"))</f>
        <v>0</v>
      </c>
      <c r="AK182" s="242">
        <f>IF($B182="","",SUMIFS(TINH_TEC!$J$233:$J$9232,TINH_TEC!$H$233:$H$9232,$B182,TINH_TEC!$C$233:$C$9232,"Téc 3",TINH_TEC!$F$233:$F$9232,$B$2,TINH_TEC!$G$233:$G$9232,$D$2,TINH_TEC!$B$233:$B$9232,"Đã chốt"))</f>
        <v>0</v>
      </c>
      <c r="AL182" s="242">
        <f t="shared" si="8"/>
        <v>0</v>
      </c>
    </row>
    <row r="183" ht="15.75" customHeight="1">
      <c r="A183" s="237">
        <f>IF($B183&lt;&gt;"",56,"")</f>
        <v>56</v>
      </c>
      <c r="B183" s="250" t="str">
        <f t="array" ref="B183">IFERROR(INDEX(DANH_MUC!$E:$E,59),"")</f>
        <v>28C02973</v>
      </c>
      <c r="C183" s="251">
        <f>IF(C$4&gt;DAY(EOMONTH(DATE($D$2,$B$2,1),0)),"",IFERROR(SUMIFS(DATA_GOC!$H:$H,DATA_GOC!$A:$A,"BOM",DATA_GOC!$D:$D,$B183,DATA_GOC!$E:$E,"Téc 3",DATA_GOC!$F:$F,"Xuất nội bộ từ téc",DATA_GOC!$B:$B,DATE($D$2,$B$2,C$4)),0))</f>
        <v>0</v>
      </c>
      <c r="D183" s="251">
        <f>IF(D$4&gt;DAY(EOMONTH(DATE($D$2,$B$2,1),0)),"",IFERROR(SUMIFS(DATA_GOC!$H:$H,DATA_GOC!$A:$A,"BOM",DATA_GOC!$D:$D,$B183,DATA_GOC!$E:$E,"Téc 3",DATA_GOC!$F:$F,"Xuất nội bộ từ téc",DATA_GOC!$B:$B,DATE($D$2,$B$2,D$4)),0))</f>
        <v>0</v>
      </c>
      <c r="E183" s="251">
        <f>IF(E$4&gt;DAY(EOMONTH(DATE($D$2,$B$2,1),0)),"",IFERROR(SUMIFS(DATA_GOC!$H:$H,DATA_GOC!$A:$A,"BOM",DATA_GOC!$D:$D,$B183,DATA_GOC!$E:$E,"Téc 3",DATA_GOC!$F:$F,"Xuất nội bộ từ téc",DATA_GOC!$B:$B,DATE($D$2,$B$2,E$4)),0))</f>
        <v>0</v>
      </c>
      <c r="F183" s="251">
        <f>IF(F$4&gt;DAY(EOMONTH(DATE($D$2,$B$2,1),0)),"",IFERROR(SUMIFS(DATA_GOC!$H:$H,DATA_GOC!$A:$A,"BOM",DATA_GOC!$D:$D,$B183,DATA_GOC!$E:$E,"Téc 3",DATA_GOC!$F:$F,"Xuất nội bộ từ téc",DATA_GOC!$B:$B,DATE($D$2,$B$2,F$4)),0))</f>
        <v>0</v>
      </c>
      <c r="G183" s="251">
        <f>IF(G$4&gt;DAY(EOMONTH(DATE($D$2,$B$2,1),0)),"",IFERROR(SUMIFS(DATA_GOC!$H:$H,DATA_GOC!$A:$A,"BOM",DATA_GOC!$D:$D,$B183,DATA_GOC!$E:$E,"Téc 3",DATA_GOC!$F:$F,"Xuất nội bộ từ téc",DATA_GOC!$B:$B,DATE($D$2,$B$2,G$4)),0))</f>
        <v>0</v>
      </c>
      <c r="H183" s="251">
        <f>IF(H$4&gt;DAY(EOMONTH(DATE($D$2,$B$2,1),0)),"",IFERROR(SUMIFS(DATA_GOC!$H:$H,DATA_GOC!$A:$A,"BOM",DATA_GOC!$D:$D,$B183,DATA_GOC!$E:$E,"Téc 3",DATA_GOC!$F:$F,"Xuất nội bộ từ téc",DATA_GOC!$B:$B,DATE($D$2,$B$2,H$4)),0))</f>
        <v>0</v>
      </c>
      <c r="I183" s="251">
        <f>IF(I$4&gt;DAY(EOMONTH(DATE($D$2,$B$2,1),0)),"",IFERROR(SUMIFS(DATA_GOC!$H:$H,DATA_GOC!$A:$A,"BOM",DATA_GOC!$D:$D,$B183,DATA_GOC!$E:$E,"Téc 3",DATA_GOC!$F:$F,"Xuất nội bộ từ téc",DATA_GOC!$B:$B,DATE($D$2,$B$2,I$4)),0))</f>
        <v>0</v>
      </c>
      <c r="J183" s="251">
        <f>IF(J$4&gt;DAY(EOMONTH(DATE($D$2,$B$2,1),0)),"",IFERROR(SUMIFS(DATA_GOC!$H:$H,DATA_GOC!$A:$A,"BOM",DATA_GOC!$D:$D,$B183,DATA_GOC!$E:$E,"Téc 3",DATA_GOC!$F:$F,"Xuất nội bộ từ téc",DATA_GOC!$B:$B,DATE($D$2,$B$2,J$4)),0))</f>
        <v>0</v>
      </c>
      <c r="K183" s="251">
        <f>IF(K$4&gt;DAY(EOMONTH(DATE($D$2,$B$2,1),0)),"",IFERROR(SUMIFS(DATA_GOC!$H:$H,DATA_GOC!$A:$A,"BOM",DATA_GOC!$D:$D,$B183,DATA_GOC!$E:$E,"Téc 3",DATA_GOC!$F:$F,"Xuất nội bộ từ téc",DATA_GOC!$B:$B,DATE($D$2,$B$2,K$4)),0))</f>
        <v>0</v>
      </c>
      <c r="L183" s="251">
        <f>IF(L$4&gt;DAY(EOMONTH(DATE($D$2,$B$2,1),0)),"",IFERROR(SUMIFS(DATA_GOC!$H:$H,DATA_GOC!$A:$A,"BOM",DATA_GOC!$D:$D,$B183,DATA_GOC!$E:$E,"Téc 3",DATA_GOC!$F:$F,"Xuất nội bộ từ téc",DATA_GOC!$B:$B,DATE($D$2,$B$2,L$4)),0))</f>
        <v>0</v>
      </c>
      <c r="M183" s="251">
        <f>IF(M$4&gt;DAY(EOMONTH(DATE($D$2,$B$2,1),0)),"",IFERROR(SUMIFS(DATA_GOC!$H:$H,DATA_GOC!$A:$A,"BOM",DATA_GOC!$D:$D,$B183,DATA_GOC!$E:$E,"Téc 3",DATA_GOC!$F:$F,"Xuất nội bộ từ téc",DATA_GOC!$B:$B,DATE($D$2,$B$2,M$4)),0))</f>
        <v>0</v>
      </c>
      <c r="N183" s="251">
        <f>IF(N$4&gt;DAY(EOMONTH(DATE($D$2,$B$2,1),0)),"",IFERROR(SUMIFS(DATA_GOC!$H:$H,DATA_GOC!$A:$A,"BOM",DATA_GOC!$D:$D,$B183,DATA_GOC!$E:$E,"Téc 3",DATA_GOC!$F:$F,"Xuất nội bộ từ téc",DATA_GOC!$B:$B,DATE($D$2,$B$2,N$4)),0))</f>
        <v>0</v>
      </c>
      <c r="O183" s="251">
        <f>IF(O$4&gt;DAY(EOMONTH(DATE($D$2,$B$2,1),0)),"",IFERROR(SUMIFS(DATA_GOC!$H:$H,DATA_GOC!$A:$A,"BOM",DATA_GOC!$D:$D,$B183,DATA_GOC!$E:$E,"Téc 3",DATA_GOC!$F:$F,"Xuất nội bộ từ téc",DATA_GOC!$B:$B,DATE($D$2,$B$2,O$4)),0))</f>
        <v>0</v>
      </c>
      <c r="P183" s="251">
        <f>IF(P$4&gt;DAY(EOMONTH(DATE($D$2,$B$2,1),0)),"",IFERROR(SUMIFS(DATA_GOC!$H:$H,DATA_GOC!$A:$A,"BOM",DATA_GOC!$D:$D,$B183,DATA_GOC!$E:$E,"Téc 3",DATA_GOC!$F:$F,"Xuất nội bộ từ téc",DATA_GOC!$B:$B,DATE($D$2,$B$2,P$4)),0))</f>
        <v>0</v>
      </c>
      <c r="Q183" s="251">
        <f>IF(Q$4&gt;DAY(EOMONTH(DATE($D$2,$B$2,1),0)),"",IFERROR(SUMIFS(DATA_GOC!$H:$H,DATA_GOC!$A:$A,"BOM",DATA_GOC!$D:$D,$B183,DATA_GOC!$E:$E,"Téc 3",DATA_GOC!$F:$F,"Xuất nội bộ từ téc",DATA_GOC!$B:$B,DATE($D$2,$B$2,Q$4)),0))</f>
        <v>0</v>
      </c>
      <c r="R183" s="251">
        <f>IF(R$4&gt;DAY(EOMONTH(DATE($D$2,$B$2,1),0)),"",IFERROR(SUMIFS(DATA_GOC!$H:$H,DATA_GOC!$A:$A,"BOM",DATA_GOC!$D:$D,$B183,DATA_GOC!$E:$E,"Téc 3",DATA_GOC!$F:$F,"Xuất nội bộ từ téc",DATA_GOC!$B:$B,DATE($D$2,$B$2,R$4)),0))</f>
        <v>0</v>
      </c>
      <c r="S183" s="251">
        <f>IF(S$4&gt;DAY(EOMONTH(DATE($D$2,$B$2,1),0)),"",IFERROR(SUMIFS(DATA_GOC!$H:$H,DATA_GOC!$A:$A,"BOM",DATA_GOC!$D:$D,$B183,DATA_GOC!$E:$E,"Téc 3",DATA_GOC!$F:$F,"Xuất nội bộ từ téc",DATA_GOC!$B:$B,DATE($D$2,$B$2,S$4)),0))</f>
        <v>0</v>
      </c>
      <c r="T183" s="251">
        <f>IF(T$4&gt;DAY(EOMONTH(DATE($D$2,$B$2,1),0)),"",IFERROR(SUMIFS(DATA_GOC!$H:$H,DATA_GOC!$A:$A,"BOM",DATA_GOC!$D:$D,$B183,DATA_GOC!$E:$E,"Téc 3",DATA_GOC!$F:$F,"Xuất nội bộ từ téc",DATA_GOC!$B:$B,DATE($D$2,$B$2,T$4)),0))</f>
        <v>0</v>
      </c>
      <c r="U183" s="251">
        <f>IF(U$4&gt;DAY(EOMONTH(DATE($D$2,$B$2,1),0)),"",IFERROR(SUMIFS(DATA_GOC!$H:$H,DATA_GOC!$A:$A,"BOM",DATA_GOC!$D:$D,$B183,DATA_GOC!$E:$E,"Téc 3",DATA_GOC!$F:$F,"Xuất nội bộ từ téc",DATA_GOC!$B:$B,DATE($D$2,$B$2,U$4)),0))</f>
        <v>0</v>
      </c>
      <c r="V183" s="251">
        <f>IF(V$4&gt;DAY(EOMONTH(DATE($D$2,$B$2,1),0)),"",IFERROR(SUMIFS(DATA_GOC!$H:$H,DATA_GOC!$A:$A,"BOM",DATA_GOC!$D:$D,$B183,DATA_GOC!$E:$E,"Téc 3",DATA_GOC!$F:$F,"Xuất nội bộ từ téc",DATA_GOC!$B:$B,DATE($D$2,$B$2,V$4)),0))</f>
        <v>0</v>
      </c>
      <c r="W183" s="251">
        <f>IF(W$4&gt;DAY(EOMONTH(DATE($D$2,$B$2,1),0)),"",IFERROR(SUMIFS(DATA_GOC!$H:$H,DATA_GOC!$A:$A,"BOM",DATA_GOC!$D:$D,$B183,DATA_GOC!$E:$E,"Téc 3",DATA_GOC!$F:$F,"Xuất nội bộ từ téc",DATA_GOC!$B:$B,DATE($D$2,$B$2,W$4)),0))</f>
        <v>0</v>
      </c>
      <c r="X183" s="251">
        <f>IF(X$4&gt;DAY(EOMONTH(DATE($D$2,$B$2,1),0)),"",IFERROR(SUMIFS(DATA_GOC!$H:$H,DATA_GOC!$A:$A,"BOM",DATA_GOC!$D:$D,$B183,DATA_GOC!$E:$E,"Téc 3",DATA_GOC!$F:$F,"Xuất nội bộ từ téc",DATA_GOC!$B:$B,DATE($D$2,$B$2,X$4)),0))</f>
        <v>0</v>
      </c>
      <c r="Y183" s="251">
        <f>IF(Y$4&gt;DAY(EOMONTH(DATE($D$2,$B$2,1),0)),"",IFERROR(SUMIFS(DATA_GOC!$H:$H,DATA_GOC!$A:$A,"BOM",DATA_GOC!$D:$D,$B183,DATA_GOC!$E:$E,"Téc 3",DATA_GOC!$F:$F,"Xuất nội bộ từ téc",DATA_GOC!$B:$B,DATE($D$2,$B$2,Y$4)),0))</f>
        <v>0</v>
      </c>
      <c r="Z183" s="251">
        <f>IF(Z$4&gt;DAY(EOMONTH(DATE($D$2,$B$2,1),0)),"",IFERROR(SUMIFS(DATA_GOC!$H:$H,DATA_GOC!$A:$A,"BOM",DATA_GOC!$D:$D,$B183,DATA_GOC!$E:$E,"Téc 3",DATA_GOC!$F:$F,"Xuất nội bộ từ téc",DATA_GOC!$B:$B,DATE($D$2,$B$2,Z$4)),0))</f>
        <v>0</v>
      </c>
      <c r="AA183" s="251">
        <f>IF(AA$4&gt;DAY(EOMONTH(DATE($D$2,$B$2,1),0)),"",IFERROR(SUMIFS(DATA_GOC!$H:$H,DATA_GOC!$A:$A,"BOM",DATA_GOC!$D:$D,$B183,DATA_GOC!$E:$E,"Téc 3",DATA_GOC!$F:$F,"Xuất nội bộ từ téc",DATA_GOC!$B:$B,DATE($D$2,$B$2,AA$4)),0))</f>
        <v>0</v>
      </c>
      <c r="AB183" s="251">
        <f>IF(AB$4&gt;DAY(EOMONTH(DATE($D$2,$B$2,1),0)),"",IFERROR(SUMIFS(DATA_GOC!$H:$H,DATA_GOC!$A:$A,"BOM",DATA_GOC!$D:$D,$B183,DATA_GOC!$E:$E,"Téc 3",DATA_GOC!$F:$F,"Xuất nội bộ từ téc",DATA_GOC!$B:$B,DATE($D$2,$B$2,AB$4)),0))</f>
        <v>0</v>
      </c>
      <c r="AC183" s="251">
        <f>IF(AC$4&gt;DAY(EOMONTH(DATE($D$2,$B$2,1),0)),"",IFERROR(SUMIFS(DATA_GOC!$H:$H,DATA_GOC!$A:$A,"BOM",DATA_GOC!$D:$D,$B183,DATA_GOC!$E:$E,"Téc 3",DATA_GOC!$F:$F,"Xuất nội bộ từ téc",DATA_GOC!$B:$B,DATE($D$2,$B$2,AC$4)),0))</f>
        <v>0</v>
      </c>
      <c r="AD183" s="251">
        <f>IF(AD$4&gt;DAY(EOMONTH(DATE($D$2,$B$2,1),0)),"",IFERROR(SUMIFS(DATA_GOC!$H:$H,DATA_GOC!$A:$A,"BOM",DATA_GOC!$D:$D,$B183,DATA_GOC!$E:$E,"Téc 3",DATA_GOC!$F:$F,"Xuất nội bộ từ téc",DATA_GOC!$B:$B,DATE($D$2,$B$2,AD$4)),0))</f>
        <v>0</v>
      </c>
      <c r="AE183" s="251">
        <f>IF(AE$4&gt;DAY(EOMONTH(DATE($D$2,$B$2,1),0)),"",IFERROR(SUMIFS(DATA_GOC!$H:$H,DATA_GOC!$A:$A,"BOM",DATA_GOC!$D:$D,$B183,DATA_GOC!$E:$E,"Téc 3",DATA_GOC!$F:$F,"Xuất nội bộ từ téc",DATA_GOC!$B:$B,DATE($D$2,$B$2,AE$4)),0))</f>
        <v>0</v>
      </c>
      <c r="AF183" s="251">
        <f>IF(AF$4&gt;DAY(EOMONTH(DATE($D$2,$B$2,1),0)),"",IFERROR(SUMIFS(DATA_GOC!$H:$H,DATA_GOC!$A:$A,"BOM",DATA_GOC!$D:$D,$B183,DATA_GOC!$E:$E,"Téc 3",DATA_GOC!$F:$F,"Xuất nội bộ từ téc",DATA_GOC!$B:$B,DATE($D$2,$B$2,AF$4)),0))</f>
        <v>0</v>
      </c>
      <c r="AG183" s="251">
        <f>IF(AG$4&gt;DAY(EOMONTH(DATE($D$2,$B$2,1),0)),"",IFERROR(SUMIFS(DATA_GOC!$H:$H,DATA_GOC!$A:$A,"BOM",DATA_GOC!$D:$D,$B183,DATA_GOC!$E:$E,"Téc 3",DATA_GOC!$F:$F,"Xuất nội bộ từ téc",DATA_GOC!$B:$B,DATE($D$2,$B$2,AG$4)),0))</f>
        <v>0</v>
      </c>
      <c r="AH183" s="252">
        <f t="shared" si="7"/>
        <v>0</v>
      </c>
      <c r="AI183" s="241"/>
      <c r="AJ183" s="242">
        <f>IF($B183="","",SUMIFS(TINH_TEC!$K$233:$K$9232,TINH_TEC!$H$233:$H$9232,$B183,TINH_TEC!$C$233:$C$9232,"Téc 3",TINH_TEC!$F$233:$F$9232,$B$2,TINH_TEC!$G$233:$G$9232,$D$2,TINH_TEC!$B$233:$B$9232,"Đã chốt"))</f>
        <v>0</v>
      </c>
      <c r="AK183" s="242">
        <f>IF($B183="","",SUMIFS(TINH_TEC!$J$233:$J$9232,TINH_TEC!$H$233:$H$9232,$B183,TINH_TEC!$C$233:$C$9232,"Téc 3",TINH_TEC!$F$233:$F$9232,$B$2,TINH_TEC!$G$233:$G$9232,$D$2,TINH_TEC!$B$233:$B$9232,"Đã chốt"))</f>
        <v>0</v>
      </c>
      <c r="AL183" s="242">
        <f t="shared" si="8"/>
        <v>0</v>
      </c>
    </row>
    <row r="184" ht="15.75" customHeight="1">
      <c r="A184" s="237">
        <f>IF($B184&lt;&gt;"",57,"")</f>
        <v>57</v>
      </c>
      <c r="B184" s="250" t="str">
        <f t="array" ref="B184">IFERROR(INDEX(DANH_MUC!$E:$E,60),"")</f>
        <v>28C03044</v>
      </c>
      <c r="C184" s="251">
        <f>IF(C$4&gt;DAY(EOMONTH(DATE($D$2,$B$2,1),0)),"",IFERROR(SUMIFS(DATA_GOC!$H:$H,DATA_GOC!$A:$A,"BOM",DATA_GOC!$D:$D,$B184,DATA_GOC!$E:$E,"Téc 3",DATA_GOC!$F:$F,"Xuất nội bộ từ téc",DATA_GOC!$B:$B,DATE($D$2,$B$2,C$4)),0))</f>
        <v>0</v>
      </c>
      <c r="D184" s="251">
        <f>IF(D$4&gt;DAY(EOMONTH(DATE($D$2,$B$2,1),0)),"",IFERROR(SUMIFS(DATA_GOC!$H:$H,DATA_GOC!$A:$A,"BOM",DATA_GOC!$D:$D,$B184,DATA_GOC!$E:$E,"Téc 3",DATA_GOC!$F:$F,"Xuất nội bộ từ téc",DATA_GOC!$B:$B,DATE($D$2,$B$2,D$4)),0))</f>
        <v>0</v>
      </c>
      <c r="E184" s="251">
        <f>IF(E$4&gt;DAY(EOMONTH(DATE($D$2,$B$2,1),0)),"",IFERROR(SUMIFS(DATA_GOC!$H:$H,DATA_GOC!$A:$A,"BOM",DATA_GOC!$D:$D,$B184,DATA_GOC!$E:$E,"Téc 3",DATA_GOC!$F:$F,"Xuất nội bộ từ téc",DATA_GOC!$B:$B,DATE($D$2,$B$2,E$4)),0))</f>
        <v>0</v>
      </c>
      <c r="F184" s="251">
        <f>IF(F$4&gt;DAY(EOMONTH(DATE($D$2,$B$2,1),0)),"",IFERROR(SUMIFS(DATA_GOC!$H:$H,DATA_GOC!$A:$A,"BOM",DATA_GOC!$D:$D,$B184,DATA_GOC!$E:$E,"Téc 3",DATA_GOC!$F:$F,"Xuất nội bộ từ téc",DATA_GOC!$B:$B,DATE($D$2,$B$2,F$4)),0))</f>
        <v>0</v>
      </c>
      <c r="G184" s="251">
        <f>IF(G$4&gt;DAY(EOMONTH(DATE($D$2,$B$2,1),0)),"",IFERROR(SUMIFS(DATA_GOC!$H:$H,DATA_GOC!$A:$A,"BOM",DATA_GOC!$D:$D,$B184,DATA_GOC!$E:$E,"Téc 3",DATA_GOC!$F:$F,"Xuất nội bộ từ téc",DATA_GOC!$B:$B,DATE($D$2,$B$2,G$4)),0))</f>
        <v>0</v>
      </c>
      <c r="H184" s="251">
        <f>IF(H$4&gt;DAY(EOMONTH(DATE($D$2,$B$2,1),0)),"",IFERROR(SUMIFS(DATA_GOC!$H:$H,DATA_GOC!$A:$A,"BOM",DATA_GOC!$D:$D,$B184,DATA_GOC!$E:$E,"Téc 3",DATA_GOC!$F:$F,"Xuất nội bộ từ téc",DATA_GOC!$B:$B,DATE($D$2,$B$2,H$4)),0))</f>
        <v>0</v>
      </c>
      <c r="I184" s="251">
        <f>IF(I$4&gt;DAY(EOMONTH(DATE($D$2,$B$2,1),0)),"",IFERROR(SUMIFS(DATA_GOC!$H:$H,DATA_GOC!$A:$A,"BOM",DATA_GOC!$D:$D,$B184,DATA_GOC!$E:$E,"Téc 3",DATA_GOC!$F:$F,"Xuất nội bộ từ téc",DATA_GOC!$B:$B,DATE($D$2,$B$2,I$4)),0))</f>
        <v>0</v>
      </c>
      <c r="J184" s="251">
        <f>IF(J$4&gt;DAY(EOMONTH(DATE($D$2,$B$2,1),0)),"",IFERROR(SUMIFS(DATA_GOC!$H:$H,DATA_GOC!$A:$A,"BOM",DATA_GOC!$D:$D,$B184,DATA_GOC!$E:$E,"Téc 3",DATA_GOC!$F:$F,"Xuất nội bộ từ téc",DATA_GOC!$B:$B,DATE($D$2,$B$2,J$4)),0))</f>
        <v>0</v>
      </c>
      <c r="K184" s="251">
        <f>IF(K$4&gt;DAY(EOMONTH(DATE($D$2,$B$2,1),0)),"",IFERROR(SUMIFS(DATA_GOC!$H:$H,DATA_GOC!$A:$A,"BOM",DATA_GOC!$D:$D,$B184,DATA_GOC!$E:$E,"Téc 3",DATA_GOC!$F:$F,"Xuất nội bộ từ téc",DATA_GOC!$B:$B,DATE($D$2,$B$2,K$4)),0))</f>
        <v>0</v>
      </c>
      <c r="L184" s="251">
        <f>IF(L$4&gt;DAY(EOMONTH(DATE($D$2,$B$2,1),0)),"",IFERROR(SUMIFS(DATA_GOC!$H:$H,DATA_GOC!$A:$A,"BOM",DATA_GOC!$D:$D,$B184,DATA_GOC!$E:$E,"Téc 3",DATA_GOC!$F:$F,"Xuất nội bộ từ téc",DATA_GOC!$B:$B,DATE($D$2,$B$2,L$4)),0))</f>
        <v>0</v>
      </c>
      <c r="M184" s="251">
        <f>IF(M$4&gt;DAY(EOMONTH(DATE($D$2,$B$2,1),0)),"",IFERROR(SUMIFS(DATA_GOC!$H:$H,DATA_GOC!$A:$A,"BOM",DATA_GOC!$D:$D,$B184,DATA_GOC!$E:$E,"Téc 3",DATA_GOC!$F:$F,"Xuất nội bộ từ téc",DATA_GOC!$B:$B,DATE($D$2,$B$2,M$4)),0))</f>
        <v>0</v>
      </c>
      <c r="N184" s="251">
        <f>IF(N$4&gt;DAY(EOMONTH(DATE($D$2,$B$2,1),0)),"",IFERROR(SUMIFS(DATA_GOC!$H:$H,DATA_GOC!$A:$A,"BOM",DATA_GOC!$D:$D,$B184,DATA_GOC!$E:$E,"Téc 3",DATA_GOC!$F:$F,"Xuất nội bộ từ téc",DATA_GOC!$B:$B,DATE($D$2,$B$2,N$4)),0))</f>
        <v>0</v>
      </c>
      <c r="O184" s="251">
        <f>IF(O$4&gt;DAY(EOMONTH(DATE($D$2,$B$2,1),0)),"",IFERROR(SUMIFS(DATA_GOC!$H:$H,DATA_GOC!$A:$A,"BOM",DATA_GOC!$D:$D,$B184,DATA_GOC!$E:$E,"Téc 3",DATA_GOC!$F:$F,"Xuất nội bộ từ téc",DATA_GOC!$B:$B,DATE($D$2,$B$2,O$4)),0))</f>
        <v>0</v>
      </c>
      <c r="P184" s="251">
        <f>IF(P$4&gt;DAY(EOMONTH(DATE($D$2,$B$2,1),0)),"",IFERROR(SUMIFS(DATA_GOC!$H:$H,DATA_GOC!$A:$A,"BOM",DATA_GOC!$D:$D,$B184,DATA_GOC!$E:$E,"Téc 3",DATA_GOC!$F:$F,"Xuất nội bộ từ téc",DATA_GOC!$B:$B,DATE($D$2,$B$2,P$4)),0))</f>
        <v>0</v>
      </c>
      <c r="Q184" s="251">
        <f>IF(Q$4&gt;DAY(EOMONTH(DATE($D$2,$B$2,1),0)),"",IFERROR(SUMIFS(DATA_GOC!$H:$H,DATA_GOC!$A:$A,"BOM",DATA_GOC!$D:$D,$B184,DATA_GOC!$E:$E,"Téc 3",DATA_GOC!$F:$F,"Xuất nội bộ từ téc",DATA_GOC!$B:$B,DATE($D$2,$B$2,Q$4)),0))</f>
        <v>0</v>
      </c>
      <c r="R184" s="251">
        <f>IF(R$4&gt;DAY(EOMONTH(DATE($D$2,$B$2,1),0)),"",IFERROR(SUMIFS(DATA_GOC!$H:$H,DATA_GOC!$A:$A,"BOM",DATA_GOC!$D:$D,$B184,DATA_GOC!$E:$E,"Téc 3",DATA_GOC!$F:$F,"Xuất nội bộ từ téc",DATA_GOC!$B:$B,DATE($D$2,$B$2,R$4)),0))</f>
        <v>0</v>
      </c>
      <c r="S184" s="251">
        <f>IF(S$4&gt;DAY(EOMONTH(DATE($D$2,$B$2,1),0)),"",IFERROR(SUMIFS(DATA_GOC!$H:$H,DATA_GOC!$A:$A,"BOM",DATA_GOC!$D:$D,$B184,DATA_GOC!$E:$E,"Téc 3",DATA_GOC!$F:$F,"Xuất nội bộ từ téc",DATA_GOC!$B:$B,DATE($D$2,$B$2,S$4)),0))</f>
        <v>0</v>
      </c>
      <c r="T184" s="251">
        <f>IF(T$4&gt;DAY(EOMONTH(DATE($D$2,$B$2,1),0)),"",IFERROR(SUMIFS(DATA_GOC!$H:$H,DATA_GOC!$A:$A,"BOM",DATA_GOC!$D:$D,$B184,DATA_GOC!$E:$E,"Téc 3",DATA_GOC!$F:$F,"Xuất nội bộ từ téc",DATA_GOC!$B:$B,DATE($D$2,$B$2,T$4)),0))</f>
        <v>0</v>
      </c>
      <c r="U184" s="251">
        <f>IF(U$4&gt;DAY(EOMONTH(DATE($D$2,$B$2,1),0)),"",IFERROR(SUMIFS(DATA_GOC!$H:$H,DATA_GOC!$A:$A,"BOM",DATA_GOC!$D:$D,$B184,DATA_GOC!$E:$E,"Téc 3",DATA_GOC!$F:$F,"Xuất nội bộ từ téc",DATA_GOC!$B:$B,DATE($D$2,$B$2,U$4)),0))</f>
        <v>0</v>
      </c>
      <c r="V184" s="251">
        <f>IF(V$4&gt;DAY(EOMONTH(DATE($D$2,$B$2,1),0)),"",IFERROR(SUMIFS(DATA_GOC!$H:$H,DATA_GOC!$A:$A,"BOM",DATA_GOC!$D:$D,$B184,DATA_GOC!$E:$E,"Téc 3",DATA_GOC!$F:$F,"Xuất nội bộ từ téc",DATA_GOC!$B:$B,DATE($D$2,$B$2,V$4)),0))</f>
        <v>0</v>
      </c>
      <c r="W184" s="251">
        <f>IF(W$4&gt;DAY(EOMONTH(DATE($D$2,$B$2,1),0)),"",IFERROR(SUMIFS(DATA_GOC!$H:$H,DATA_GOC!$A:$A,"BOM",DATA_GOC!$D:$D,$B184,DATA_GOC!$E:$E,"Téc 3",DATA_GOC!$F:$F,"Xuất nội bộ từ téc",DATA_GOC!$B:$B,DATE($D$2,$B$2,W$4)),0))</f>
        <v>0</v>
      </c>
      <c r="X184" s="251">
        <f>IF(X$4&gt;DAY(EOMONTH(DATE($D$2,$B$2,1),0)),"",IFERROR(SUMIFS(DATA_GOC!$H:$H,DATA_GOC!$A:$A,"BOM",DATA_GOC!$D:$D,$B184,DATA_GOC!$E:$E,"Téc 3",DATA_GOC!$F:$F,"Xuất nội bộ từ téc",DATA_GOC!$B:$B,DATE($D$2,$B$2,X$4)),0))</f>
        <v>0</v>
      </c>
      <c r="Y184" s="251">
        <f>IF(Y$4&gt;DAY(EOMONTH(DATE($D$2,$B$2,1),0)),"",IFERROR(SUMIFS(DATA_GOC!$H:$H,DATA_GOC!$A:$A,"BOM",DATA_GOC!$D:$D,$B184,DATA_GOC!$E:$E,"Téc 3",DATA_GOC!$F:$F,"Xuất nội bộ từ téc",DATA_GOC!$B:$B,DATE($D$2,$B$2,Y$4)),0))</f>
        <v>0</v>
      </c>
      <c r="Z184" s="251">
        <f>IF(Z$4&gt;DAY(EOMONTH(DATE($D$2,$B$2,1),0)),"",IFERROR(SUMIFS(DATA_GOC!$H:$H,DATA_GOC!$A:$A,"BOM",DATA_GOC!$D:$D,$B184,DATA_GOC!$E:$E,"Téc 3",DATA_GOC!$F:$F,"Xuất nội bộ từ téc",DATA_GOC!$B:$B,DATE($D$2,$B$2,Z$4)),0))</f>
        <v>0</v>
      </c>
      <c r="AA184" s="251">
        <f>IF(AA$4&gt;DAY(EOMONTH(DATE($D$2,$B$2,1),0)),"",IFERROR(SUMIFS(DATA_GOC!$H:$H,DATA_GOC!$A:$A,"BOM",DATA_GOC!$D:$D,$B184,DATA_GOC!$E:$E,"Téc 3",DATA_GOC!$F:$F,"Xuất nội bộ từ téc",DATA_GOC!$B:$B,DATE($D$2,$B$2,AA$4)),0))</f>
        <v>0</v>
      </c>
      <c r="AB184" s="251">
        <f>IF(AB$4&gt;DAY(EOMONTH(DATE($D$2,$B$2,1),0)),"",IFERROR(SUMIFS(DATA_GOC!$H:$H,DATA_GOC!$A:$A,"BOM",DATA_GOC!$D:$D,$B184,DATA_GOC!$E:$E,"Téc 3",DATA_GOC!$F:$F,"Xuất nội bộ từ téc",DATA_GOC!$B:$B,DATE($D$2,$B$2,AB$4)),0))</f>
        <v>0</v>
      </c>
      <c r="AC184" s="251">
        <f>IF(AC$4&gt;DAY(EOMONTH(DATE($D$2,$B$2,1),0)),"",IFERROR(SUMIFS(DATA_GOC!$H:$H,DATA_GOC!$A:$A,"BOM",DATA_GOC!$D:$D,$B184,DATA_GOC!$E:$E,"Téc 3",DATA_GOC!$F:$F,"Xuất nội bộ từ téc",DATA_GOC!$B:$B,DATE($D$2,$B$2,AC$4)),0))</f>
        <v>0</v>
      </c>
      <c r="AD184" s="251">
        <f>IF(AD$4&gt;DAY(EOMONTH(DATE($D$2,$B$2,1),0)),"",IFERROR(SUMIFS(DATA_GOC!$H:$H,DATA_GOC!$A:$A,"BOM",DATA_GOC!$D:$D,$B184,DATA_GOC!$E:$E,"Téc 3",DATA_GOC!$F:$F,"Xuất nội bộ từ téc",DATA_GOC!$B:$B,DATE($D$2,$B$2,AD$4)),0))</f>
        <v>0</v>
      </c>
      <c r="AE184" s="251">
        <f>IF(AE$4&gt;DAY(EOMONTH(DATE($D$2,$B$2,1),0)),"",IFERROR(SUMIFS(DATA_GOC!$H:$H,DATA_GOC!$A:$A,"BOM",DATA_GOC!$D:$D,$B184,DATA_GOC!$E:$E,"Téc 3",DATA_GOC!$F:$F,"Xuất nội bộ từ téc",DATA_GOC!$B:$B,DATE($D$2,$B$2,AE$4)),0))</f>
        <v>0</v>
      </c>
      <c r="AF184" s="251">
        <f>IF(AF$4&gt;DAY(EOMONTH(DATE($D$2,$B$2,1),0)),"",IFERROR(SUMIFS(DATA_GOC!$H:$H,DATA_GOC!$A:$A,"BOM",DATA_GOC!$D:$D,$B184,DATA_GOC!$E:$E,"Téc 3",DATA_GOC!$F:$F,"Xuất nội bộ từ téc",DATA_GOC!$B:$B,DATE($D$2,$B$2,AF$4)),0))</f>
        <v>0</v>
      </c>
      <c r="AG184" s="251">
        <f>IF(AG$4&gt;DAY(EOMONTH(DATE($D$2,$B$2,1),0)),"",IFERROR(SUMIFS(DATA_GOC!$H:$H,DATA_GOC!$A:$A,"BOM",DATA_GOC!$D:$D,$B184,DATA_GOC!$E:$E,"Téc 3",DATA_GOC!$F:$F,"Xuất nội bộ từ téc",DATA_GOC!$B:$B,DATE($D$2,$B$2,AG$4)),0))</f>
        <v>0</v>
      </c>
      <c r="AH184" s="252">
        <f t="shared" si="7"/>
        <v>0</v>
      </c>
      <c r="AI184" s="241"/>
      <c r="AJ184" s="242">
        <f>IF($B184="","",SUMIFS(TINH_TEC!$K$233:$K$9232,TINH_TEC!$H$233:$H$9232,$B184,TINH_TEC!$C$233:$C$9232,"Téc 3",TINH_TEC!$F$233:$F$9232,$B$2,TINH_TEC!$G$233:$G$9232,$D$2,TINH_TEC!$B$233:$B$9232,"Đã chốt"))</f>
        <v>0</v>
      </c>
      <c r="AK184" s="242">
        <f>IF($B184="","",SUMIFS(TINH_TEC!$J$233:$J$9232,TINH_TEC!$H$233:$H$9232,$B184,TINH_TEC!$C$233:$C$9232,"Téc 3",TINH_TEC!$F$233:$F$9232,$B$2,TINH_TEC!$G$233:$G$9232,$D$2,TINH_TEC!$B$233:$B$9232,"Đã chốt"))</f>
        <v>0</v>
      </c>
      <c r="AL184" s="242">
        <f t="shared" si="8"/>
        <v>0</v>
      </c>
    </row>
    <row r="185" ht="15.75" customHeight="1">
      <c r="A185" s="237">
        <f>IF($B185&lt;&gt;"",58,"")</f>
        <v>58</v>
      </c>
      <c r="B185" s="250" t="str">
        <f t="array" ref="B185">IFERROR(INDEX(DANH_MUC!$E:$E,61),"")</f>
        <v>Máy lu lốp</v>
      </c>
      <c r="C185" s="251">
        <f>IF(C$4&gt;DAY(EOMONTH(DATE($D$2,$B$2,1),0)),"",IFERROR(SUMIFS(DATA_GOC!$H:$H,DATA_GOC!$A:$A,"BOM",DATA_GOC!$D:$D,$B185,DATA_GOC!$E:$E,"Téc 3",DATA_GOC!$F:$F,"Xuất nội bộ từ téc",DATA_GOC!$B:$B,DATE($D$2,$B$2,C$4)),0))</f>
        <v>0</v>
      </c>
      <c r="D185" s="251">
        <f>IF(D$4&gt;DAY(EOMONTH(DATE($D$2,$B$2,1),0)),"",IFERROR(SUMIFS(DATA_GOC!$H:$H,DATA_GOC!$A:$A,"BOM",DATA_GOC!$D:$D,$B185,DATA_GOC!$E:$E,"Téc 3",DATA_GOC!$F:$F,"Xuất nội bộ từ téc",DATA_GOC!$B:$B,DATE($D$2,$B$2,D$4)),0))</f>
        <v>0</v>
      </c>
      <c r="E185" s="251">
        <f>IF(E$4&gt;DAY(EOMONTH(DATE($D$2,$B$2,1),0)),"",IFERROR(SUMIFS(DATA_GOC!$H:$H,DATA_GOC!$A:$A,"BOM",DATA_GOC!$D:$D,$B185,DATA_GOC!$E:$E,"Téc 3",DATA_GOC!$F:$F,"Xuất nội bộ từ téc",DATA_GOC!$B:$B,DATE($D$2,$B$2,E$4)),0))</f>
        <v>0</v>
      </c>
      <c r="F185" s="251">
        <f>IF(F$4&gt;DAY(EOMONTH(DATE($D$2,$B$2,1),0)),"",IFERROR(SUMIFS(DATA_GOC!$H:$H,DATA_GOC!$A:$A,"BOM",DATA_GOC!$D:$D,$B185,DATA_GOC!$E:$E,"Téc 3",DATA_GOC!$F:$F,"Xuất nội bộ từ téc",DATA_GOC!$B:$B,DATE($D$2,$B$2,F$4)),0))</f>
        <v>0</v>
      </c>
      <c r="G185" s="251">
        <f>IF(G$4&gt;DAY(EOMONTH(DATE($D$2,$B$2,1),0)),"",IFERROR(SUMIFS(DATA_GOC!$H:$H,DATA_GOC!$A:$A,"BOM",DATA_GOC!$D:$D,$B185,DATA_GOC!$E:$E,"Téc 3",DATA_GOC!$F:$F,"Xuất nội bộ từ téc",DATA_GOC!$B:$B,DATE($D$2,$B$2,G$4)),0))</f>
        <v>0</v>
      </c>
      <c r="H185" s="251">
        <f>IF(H$4&gt;DAY(EOMONTH(DATE($D$2,$B$2,1),0)),"",IFERROR(SUMIFS(DATA_GOC!$H:$H,DATA_GOC!$A:$A,"BOM",DATA_GOC!$D:$D,$B185,DATA_GOC!$E:$E,"Téc 3",DATA_GOC!$F:$F,"Xuất nội bộ từ téc",DATA_GOC!$B:$B,DATE($D$2,$B$2,H$4)),0))</f>
        <v>0</v>
      </c>
      <c r="I185" s="251">
        <f>IF(I$4&gt;DAY(EOMONTH(DATE($D$2,$B$2,1),0)),"",IFERROR(SUMIFS(DATA_GOC!$H:$H,DATA_GOC!$A:$A,"BOM",DATA_GOC!$D:$D,$B185,DATA_GOC!$E:$E,"Téc 3",DATA_GOC!$F:$F,"Xuất nội bộ từ téc",DATA_GOC!$B:$B,DATE($D$2,$B$2,I$4)),0))</f>
        <v>0</v>
      </c>
      <c r="J185" s="251">
        <f>IF(J$4&gt;DAY(EOMONTH(DATE($D$2,$B$2,1),0)),"",IFERROR(SUMIFS(DATA_GOC!$H:$H,DATA_GOC!$A:$A,"BOM",DATA_GOC!$D:$D,$B185,DATA_GOC!$E:$E,"Téc 3",DATA_GOC!$F:$F,"Xuất nội bộ từ téc",DATA_GOC!$B:$B,DATE($D$2,$B$2,J$4)),0))</f>
        <v>0</v>
      </c>
      <c r="K185" s="251">
        <f>IF(K$4&gt;DAY(EOMONTH(DATE($D$2,$B$2,1),0)),"",IFERROR(SUMIFS(DATA_GOC!$H:$H,DATA_GOC!$A:$A,"BOM",DATA_GOC!$D:$D,$B185,DATA_GOC!$E:$E,"Téc 3",DATA_GOC!$F:$F,"Xuất nội bộ từ téc",DATA_GOC!$B:$B,DATE($D$2,$B$2,K$4)),0))</f>
        <v>0</v>
      </c>
      <c r="L185" s="251">
        <f>IF(L$4&gt;DAY(EOMONTH(DATE($D$2,$B$2,1),0)),"",IFERROR(SUMIFS(DATA_GOC!$H:$H,DATA_GOC!$A:$A,"BOM",DATA_GOC!$D:$D,$B185,DATA_GOC!$E:$E,"Téc 3",DATA_GOC!$F:$F,"Xuất nội bộ từ téc",DATA_GOC!$B:$B,DATE($D$2,$B$2,L$4)),0))</f>
        <v>0</v>
      </c>
      <c r="M185" s="251">
        <f>IF(M$4&gt;DAY(EOMONTH(DATE($D$2,$B$2,1),0)),"",IFERROR(SUMIFS(DATA_GOC!$H:$H,DATA_GOC!$A:$A,"BOM",DATA_GOC!$D:$D,$B185,DATA_GOC!$E:$E,"Téc 3",DATA_GOC!$F:$F,"Xuất nội bộ từ téc",DATA_GOC!$B:$B,DATE($D$2,$B$2,M$4)),0))</f>
        <v>0</v>
      </c>
      <c r="N185" s="251">
        <f>IF(N$4&gt;DAY(EOMONTH(DATE($D$2,$B$2,1),0)),"",IFERROR(SUMIFS(DATA_GOC!$H:$H,DATA_GOC!$A:$A,"BOM",DATA_GOC!$D:$D,$B185,DATA_GOC!$E:$E,"Téc 3",DATA_GOC!$F:$F,"Xuất nội bộ từ téc",DATA_GOC!$B:$B,DATE($D$2,$B$2,N$4)),0))</f>
        <v>0</v>
      </c>
      <c r="O185" s="251">
        <f>IF(O$4&gt;DAY(EOMONTH(DATE($D$2,$B$2,1),0)),"",IFERROR(SUMIFS(DATA_GOC!$H:$H,DATA_GOC!$A:$A,"BOM",DATA_GOC!$D:$D,$B185,DATA_GOC!$E:$E,"Téc 3",DATA_GOC!$F:$F,"Xuất nội bộ từ téc",DATA_GOC!$B:$B,DATE($D$2,$B$2,O$4)),0))</f>
        <v>0</v>
      </c>
      <c r="P185" s="251">
        <f>IF(P$4&gt;DAY(EOMONTH(DATE($D$2,$B$2,1),0)),"",IFERROR(SUMIFS(DATA_GOC!$H:$H,DATA_GOC!$A:$A,"BOM",DATA_GOC!$D:$D,$B185,DATA_GOC!$E:$E,"Téc 3",DATA_GOC!$F:$F,"Xuất nội bộ từ téc",DATA_GOC!$B:$B,DATE($D$2,$B$2,P$4)),0))</f>
        <v>0</v>
      </c>
      <c r="Q185" s="251">
        <f>IF(Q$4&gt;DAY(EOMONTH(DATE($D$2,$B$2,1),0)),"",IFERROR(SUMIFS(DATA_GOC!$H:$H,DATA_GOC!$A:$A,"BOM",DATA_GOC!$D:$D,$B185,DATA_GOC!$E:$E,"Téc 3",DATA_GOC!$F:$F,"Xuất nội bộ từ téc",DATA_GOC!$B:$B,DATE($D$2,$B$2,Q$4)),0))</f>
        <v>0</v>
      </c>
      <c r="R185" s="251">
        <f>IF(R$4&gt;DAY(EOMONTH(DATE($D$2,$B$2,1),0)),"",IFERROR(SUMIFS(DATA_GOC!$H:$H,DATA_GOC!$A:$A,"BOM",DATA_GOC!$D:$D,$B185,DATA_GOC!$E:$E,"Téc 3",DATA_GOC!$F:$F,"Xuất nội bộ từ téc",DATA_GOC!$B:$B,DATE($D$2,$B$2,R$4)),0))</f>
        <v>0</v>
      </c>
      <c r="S185" s="251">
        <f>IF(S$4&gt;DAY(EOMONTH(DATE($D$2,$B$2,1),0)),"",IFERROR(SUMIFS(DATA_GOC!$H:$H,DATA_GOC!$A:$A,"BOM",DATA_GOC!$D:$D,$B185,DATA_GOC!$E:$E,"Téc 3",DATA_GOC!$F:$F,"Xuất nội bộ từ téc",DATA_GOC!$B:$B,DATE($D$2,$B$2,S$4)),0))</f>
        <v>0</v>
      </c>
      <c r="T185" s="251">
        <f>IF(T$4&gt;DAY(EOMONTH(DATE($D$2,$B$2,1),0)),"",IFERROR(SUMIFS(DATA_GOC!$H:$H,DATA_GOC!$A:$A,"BOM",DATA_GOC!$D:$D,$B185,DATA_GOC!$E:$E,"Téc 3",DATA_GOC!$F:$F,"Xuất nội bộ từ téc",DATA_GOC!$B:$B,DATE($D$2,$B$2,T$4)),0))</f>
        <v>0</v>
      </c>
      <c r="U185" s="251">
        <f>IF(U$4&gt;DAY(EOMONTH(DATE($D$2,$B$2,1),0)),"",IFERROR(SUMIFS(DATA_GOC!$H:$H,DATA_GOC!$A:$A,"BOM",DATA_GOC!$D:$D,$B185,DATA_GOC!$E:$E,"Téc 3",DATA_GOC!$F:$F,"Xuất nội bộ từ téc",DATA_GOC!$B:$B,DATE($D$2,$B$2,U$4)),0))</f>
        <v>0</v>
      </c>
      <c r="V185" s="251">
        <f>IF(V$4&gt;DAY(EOMONTH(DATE($D$2,$B$2,1),0)),"",IFERROR(SUMIFS(DATA_GOC!$H:$H,DATA_GOC!$A:$A,"BOM",DATA_GOC!$D:$D,$B185,DATA_GOC!$E:$E,"Téc 3",DATA_GOC!$F:$F,"Xuất nội bộ từ téc",DATA_GOC!$B:$B,DATE($D$2,$B$2,V$4)),0))</f>
        <v>0</v>
      </c>
      <c r="W185" s="251">
        <f>IF(W$4&gt;DAY(EOMONTH(DATE($D$2,$B$2,1),0)),"",IFERROR(SUMIFS(DATA_GOC!$H:$H,DATA_GOC!$A:$A,"BOM",DATA_GOC!$D:$D,$B185,DATA_GOC!$E:$E,"Téc 3",DATA_GOC!$F:$F,"Xuất nội bộ từ téc",DATA_GOC!$B:$B,DATE($D$2,$B$2,W$4)),0))</f>
        <v>0</v>
      </c>
      <c r="X185" s="251">
        <f>IF(X$4&gt;DAY(EOMONTH(DATE($D$2,$B$2,1),0)),"",IFERROR(SUMIFS(DATA_GOC!$H:$H,DATA_GOC!$A:$A,"BOM",DATA_GOC!$D:$D,$B185,DATA_GOC!$E:$E,"Téc 3",DATA_GOC!$F:$F,"Xuất nội bộ từ téc",DATA_GOC!$B:$B,DATE($D$2,$B$2,X$4)),0))</f>
        <v>0</v>
      </c>
      <c r="Y185" s="251">
        <f>IF(Y$4&gt;DAY(EOMONTH(DATE($D$2,$B$2,1),0)),"",IFERROR(SUMIFS(DATA_GOC!$H:$H,DATA_GOC!$A:$A,"BOM",DATA_GOC!$D:$D,$B185,DATA_GOC!$E:$E,"Téc 3",DATA_GOC!$F:$F,"Xuất nội bộ từ téc",DATA_GOC!$B:$B,DATE($D$2,$B$2,Y$4)),0))</f>
        <v>0</v>
      </c>
      <c r="Z185" s="251">
        <f>IF(Z$4&gt;DAY(EOMONTH(DATE($D$2,$B$2,1),0)),"",IFERROR(SUMIFS(DATA_GOC!$H:$H,DATA_GOC!$A:$A,"BOM",DATA_GOC!$D:$D,$B185,DATA_GOC!$E:$E,"Téc 3",DATA_GOC!$F:$F,"Xuất nội bộ từ téc",DATA_GOC!$B:$B,DATE($D$2,$B$2,Z$4)),0))</f>
        <v>0</v>
      </c>
      <c r="AA185" s="251">
        <f>IF(AA$4&gt;DAY(EOMONTH(DATE($D$2,$B$2,1),0)),"",IFERROR(SUMIFS(DATA_GOC!$H:$H,DATA_GOC!$A:$A,"BOM",DATA_GOC!$D:$D,$B185,DATA_GOC!$E:$E,"Téc 3",DATA_GOC!$F:$F,"Xuất nội bộ từ téc",DATA_GOC!$B:$B,DATE($D$2,$B$2,AA$4)),0))</f>
        <v>0</v>
      </c>
      <c r="AB185" s="251">
        <f>IF(AB$4&gt;DAY(EOMONTH(DATE($D$2,$B$2,1),0)),"",IFERROR(SUMIFS(DATA_GOC!$H:$H,DATA_GOC!$A:$A,"BOM",DATA_GOC!$D:$D,$B185,DATA_GOC!$E:$E,"Téc 3",DATA_GOC!$F:$F,"Xuất nội bộ từ téc",DATA_GOC!$B:$B,DATE($D$2,$B$2,AB$4)),0))</f>
        <v>0</v>
      </c>
      <c r="AC185" s="251">
        <f>IF(AC$4&gt;DAY(EOMONTH(DATE($D$2,$B$2,1),0)),"",IFERROR(SUMIFS(DATA_GOC!$H:$H,DATA_GOC!$A:$A,"BOM",DATA_GOC!$D:$D,$B185,DATA_GOC!$E:$E,"Téc 3",DATA_GOC!$F:$F,"Xuất nội bộ từ téc",DATA_GOC!$B:$B,DATE($D$2,$B$2,AC$4)),0))</f>
        <v>0</v>
      </c>
      <c r="AD185" s="251">
        <f>IF(AD$4&gt;DAY(EOMONTH(DATE($D$2,$B$2,1),0)),"",IFERROR(SUMIFS(DATA_GOC!$H:$H,DATA_GOC!$A:$A,"BOM",DATA_GOC!$D:$D,$B185,DATA_GOC!$E:$E,"Téc 3",DATA_GOC!$F:$F,"Xuất nội bộ từ téc",DATA_GOC!$B:$B,DATE($D$2,$B$2,AD$4)),0))</f>
        <v>0</v>
      </c>
      <c r="AE185" s="251">
        <f>IF(AE$4&gt;DAY(EOMONTH(DATE($D$2,$B$2,1),0)),"",IFERROR(SUMIFS(DATA_GOC!$H:$H,DATA_GOC!$A:$A,"BOM",DATA_GOC!$D:$D,$B185,DATA_GOC!$E:$E,"Téc 3",DATA_GOC!$F:$F,"Xuất nội bộ từ téc",DATA_GOC!$B:$B,DATE($D$2,$B$2,AE$4)),0))</f>
        <v>0</v>
      </c>
      <c r="AF185" s="251">
        <f>IF(AF$4&gt;DAY(EOMONTH(DATE($D$2,$B$2,1),0)),"",IFERROR(SUMIFS(DATA_GOC!$H:$H,DATA_GOC!$A:$A,"BOM",DATA_GOC!$D:$D,$B185,DATA_GOC!$E:$E,"Téc 3",DATA_GOC!$F:$F,"Xuất nội bộ từ téc",DATA_GOC!$B:$B,DATE($D$2,$B$2,AF$4)),0))</f>
        <v>0</v>
      </c>
      <c r="AG185" s="251">
        <f>IF(AG$4&gt;DAY(EOMONTH(DATE($D$2,$B$2,1),0)),"",IFERROR(SUMIFS(DATA_GOC!$H:$H,DATA_GOC!$A:$A,"BOM",DATA_GOC!$D:$D,$B185,DATA_GOC!$E:$E,"Téc 3",DATA_GOC!$F:$F,"Xuất nội bộ từ téc",DATA_GOC!$B:$B,DATE($D$2,$B$2,AG$4)),0))</f>
        <v>0</v>
      </c>
      <c r="AH185" s="252">
        <f t="shared" si="7"/>
        <v>0</v>
      </c>
      <c r="AI185" s="241"/>
      <c r="AJ185" s="242">
        <f>IF($B185="","",SUMIFS(TINH_TEC!$K$233:$K$9232,TINH_TEC!$H$233:$H$9232,$B185,TINH_TEC!$C$233:$C$9232,"Téc 3",TINH_TEC!$F$233:$F$9232,$B$2,TINH_TEC!$G$233:$G$9232,$D$2,TINH_TEC!$B$233:$B$9232,"Đã chốt"))</f>
        <v>0</v>
      </c>
      <c r="AK185" s="242">
        <f>IF($B185="","",SUMIFS(TINH_TEC!$J$233:$J$9232,TINH_TEC!$H$233:$H$9232,$B185,TINH_TEC!$C$233:$C$9232,"Téc 3",TINH_TEC!$F$233:$F$9232,$B$2,TINH_TEC!$G$233:$G$9232,$D$2,TINH_TEC!$B$233:$B$9232,"Đã chốt"))</f>
        <v>0</v>
      </c>
      <c r="AL185" s="242">
        <f t="shared" si="8"/>
        <v>0</v>
      </c>
    </row>
    <row r="186" ht="18.0" customHeight="1">
      <c r="A186" s="212"/>
      <c r="B186" s="253" t="s">
        <v>544</v>
      </c>
      <c r="C186" s="254">
        <f t="shared" ref="C186:AL186" si="9">SUM(C128:C185)</f>
        <v>0</v>
      </c>
      <c r="D186" s="254">
        <f t="shared" si="9"/>
        <v>0</v>
      </c>
      <c r="E186" s="254">
        <f t="shared" si="9"/>
        <v>0</v>
      </c>
      <c r="F186" s="254">
        <f t="shared" si="9"/>
        <v>0</v>
      </c>
      <c r="G186" s="254">
        <f t="shared" si="9"/>
        <v>0</v>
      </c>
      <c r="H186" s="254">
        <f t="shared" si="9"/>
        <v>0</v>
      </c>
      <c r="I186" s="254">
        <f t="shared" si="9"/>
        <v>0</v>
      </c>
      <c r="J186" s="254">
        <f t="shared" si="9"/>
        <v>0</v>
      </c>
      <c r="K186" s="254">
        <f t="shared" si="9"/>
        <v>0</v>
      </c>
      <c r="L186" s="254">
        <f t="shared" si="9"/>
        <v>0</v>
      </c>
      <c r="M186" s="254">
        <f t="shared" si="9"/>
        <v>0</v>
      </c>
      <c r="N186" s="254">
        <f t="shared" si="9"/>
        <v>0</v>
      </c>
      <c r="O186" s="254">
        <f t="shared" si="9"/>
        <v>0</v>
      </c>
      <c r="P186" s="254">
        <f t="shared" si="9"/>
        <v>0</v>
      </c>
      <c r="Q186" s="254">
        <f t="shared" si="9"/>
        <v>0</v>
      </c>
      <c r="R186" s="254">
        <f t="shared" si="9"/>
        <v>0</v>
      </c>
      <c r="S186" s="254">
        <f t="shared" si="9"/>
        <v>0</v>
      </c>
      <c r="T186" s="254">
        <f t="shared" si="9"/>
        <v>0</v>
      </c>
      <c r="U186" s="254">
        <f t="shared" si="9"/>
        <v>0</v>
      </c>
      <c r="V186" s="254">
        <f t="shared" si="9"/>
        <v>0</v>
      </c>
      <c r="W186" s="254">
        <f t="shared" si="9"/>
        <v>0</v>
      </c>
      <c r="X186" s="254">
        <f t="shared" si="9"/>
        <v>0</v>
      </c>
      <c r="Y186" s="254">
        <f t="shared" si="9"/>
        <v>0</v>
      </c>
      <c r="Z186" s="254">
        <f t="shared" si="9"/>
        <v>0</v>
      </c>
      <c r="AA186" s="254">
        <f t="shared" si="9"/>
        <v>0</v>
      </c>
      <c r="AB186" s="254">
        <f t="shared" si="9"/>
        <v>0</v>
      </c>
      <c r="AC186" s="254">
        <f t="shared" si="9"/>
        <v>0</v>
      </c>
      <c r="AD186" s="254">
        <f t="shared" si="9"/>
        <v>0</v>
      </c>
      <c r="AE186" s="254">
        <f t="shared" si="9"/>
        <v>0</v>
      </c>
      <c r="AF186" s="254">
        <f t="shared" si="9"/>
        <v>0</v>
      </c>
      <c r="AG186" s="254">
        <f t="shared" si="9"/>
        <v>0</v>
      </c>
      <c r="AH186" s="255">
        <f t="shared" si="9"/>
        <v>0</v>
      </c>
      <c r="AI186" s="256">
        <f t="shared" si="9"/>
        <v>0</v>
      </c>
      <c r="AJ186" s="257">
        <f t="shared" si="9"/>
        <v>0</v>
      </c>
      <c r="AK186" s="257">
        <f t="shared" si="9"/>
        <v>0</v>
      </c>
      <c r="AL186" s="257">
        <f t="shared" si="9"/>
        <v>0</v>
      </c>
    </row>
    <row r="187" ht="15.75" customHeight="1">
      <c r="A187" s="237"/>
      <c r="B187" s="258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2"/>
      <c r="AI187" s="260"/>
      <c r="AJ187" s="242"/>
      <c r="AK187" s="242"/>
      <c r="AL187" s="242"/>
    </row>
    <row r="188" ht="18.0" customHeight="1">
      <c r="A188" s="249" t="s">
        <v>545</v>
      </c>
    </row>
    <row r="189" ht="15.75" customHeight="1">
      <c r="A189" s="237">
        <f>IF($B189&lt;&gt;"",1,"")</f>
        <v>1</v>
      </c>
      <c r="B189" s="250" t="str">
        <f t="array" ref="B189">IFERROR(INDEX(DANH_MUC!$E:$E,4),"")</f>
        <v>19H09482</v>
      </c>
      <c r="C189" s="251">
        <f>IF(C$4&gt;DAY(EOMONTH(DATE($D$2,$B$2,1),0)),"",IFERROR(SUMIFS(DATA_GOC!$H:$H,DATA_GOC!$A:$A,"BOM",DATA_GOC!$D:$D,$B189,DATA_GOC!$E:$E,"Téc cát nghiền",DATA_GOC!$F:$F,"Xuất nội bộ từ téc",DATA_GOC!$B:$B,DATE($D$2,$B$2,C$4)),0))</f>
        <v>0</v>
      </c>
      <c r="D189" s="251">
        <f>IF(D$4&gt;DAY(EOMONTH(DATE($D$2,$B$2,1),0)),"",IFERROR(SUMIFS(DATA_GOC!$H:$H,DATA_GOC!$A:$A,"BOM",DATA_GOC!$D:$D,$B189,DATA_GOC!$E:$E,"Téc cát nghiền",DATA_GOC!$F:$F,"Xuất nội bộ từ téc",DATA_GOC!$B:$B,DATE($D$2,$B$2,D$4)),0))</f>
        <v>0</v>
      </c>
      <c r="E189" s="251">
        <f>IF(E$4&gt;DAY(EOMONTH(DATE($D$2,$B$2,1),0)),"",IFERROR(SUMIFS(DATA_GOC!$H:$H,DATA_GOC!$A:$A,"BOM",DATA_GOC!$D:$D,$B189,DATA_GOC!$E:$E,"Téc cát nghiền",DATA_GOC!$F:$F,"Xuất nội bộ từ téc",DATA_GOC!$B:$B,DATE($D$2,$B$2,E$4)),0))</f>
        <v>0</v>
      </c>
      <c r="F189" s="251">
        <f>IF(F$4&gt;DAY(EOMONTH(DATE($D$2,$B$2,1),0)),"",IFERROR(SUMIFS(DATA_GOC!$H:$H,DATA_GOC!$A:$A,"BOM",DATA_GOC!$D:$D,$B189,DATA_GOC!$E:$E,"Téc cát nghiền",DATA_GOC!$F:$F,"Xuất nội bộ từ téc",DATA_GOC!$B:$B,DATE($D$2,$B$2,F$4)),0))</f>
        <v>0</v>
      </c>
      <c r="G189" s="251">
        <f>IF(G$4&gt;DAY(EOMONTH(DATE($D$2,$B$2,1),0)),"",IFERROR(SUMIFS(DATA_GOC!$H:$H,DATA_GOC!$A:$A,"BOM",DATA_GOC!$D:$D,$B189,DATA_GOC!$E:$E,"Téc cát nghiền",DATA_GOC!$F:$F,"Xuất nội bộ từ téc",DATA_GOC!$B:$B,DATE($D$2,$B$2,G$4)),0))</f>
        <v>0</v>
      </c>
      <c r="H189" s="251">
        <f>IF(H$4&gt;DAY(EOMONTH(DATE($D$2,$B$2,1),0)),"",IFERROR(SUMIFS(DATA_GOC!$H:$H,DATA_GOC!$A:$A,"BOM",DATA_GOC!$D:$D,$B189,DATA_GOC!$E:$E,"Téc cát nghiền",DATA_GOC!$F:$F,"Xuất nội bộ từ téc",DATA_GOC!$B:$B,DATE($D$2,$B$2,H$4)),0))</f>
        <v>0</v>
      </c>
      <c r="I189" s="251">
        <f>IF(I$4&gt;DAY(EOMONTH(DATE($D$2,$B$2,1),0)),"",IFERROR(SUMIFS(DATA_GOC!$H:$H,DATA_GOC!$A:$A,"BOM",DATA_GOC!$D:$D,$B189,DATA_GOC!$E:$E,"Téc cát nghiền",DATA_GOC!$F:$F,"Xuất nội bộ từ téc",DATA_GOC!$B:$B,DATE($D$2,$B$2,I$4)),0))</f>
        <v>0</v>
      </c>
      <c r="J189" s="251">
        <f>IF(J$4&gt;DAY(EOMONTH(DATE($D$2,$B$2,1),0)),"",IFERROR(SUMIFS(DATA_GOC!$H:$H,DATA_GOC!$A:$A,"BOM",DATA_GOC!$D:$D,$B189,DATA_GOC!$E:$E,"Téc cát nghiền",DATA_GOC!$F:$F,"Xuất nội bộ từ téc",DATA_GOC!$B:$B,DATE($D$2,$B$2,J$4)),0))</f>
        <v>0</v>
      </c>
      <c r="K189" s="251">
        <f>IF(K$4&gt;DAY(EOMONTH(DATE($D$2,$B$2,1),0)),"",IFERROR(SUMIFS(DATA_GOC!$H:$H,DATA_GOC!$A:$A,"BOM",DATA_GOC!$D:$D,$B189,DATA_GOC!$E:$E,"Téc cát nghiền",DATA_GOC!$F:$F,"Xuất nội bộ từ téc",DATA_GOC!$B:$B,DATE($D$2,$B$2,K$4)),0))</f>
        <v>0</v>
      </c>
      <c r="L189" s="251">
        <f>IF(L$4&gt;DAY(EOMONTH(DATE($D$2,$B$2,1),0)),"",IFERROR(SUMIFS(DATA_GOC!$H:$H,DATA_GOC!$A:$A,"BOM",DATA_GOC!$D:$D,$B189,DATA_GOC!$E:$E,"Téc cát nghiền",DATA_GOC!$F:$F,"Xuất nội bộ từ téc",DATA_GOC!$B:$B,DATE($D$2,$B$2,L$4)),0))</f>
        <v>0</v>
      </c>
      <c r="M189" s="251">
        <f>IF(M$4&gt;DAY(EOMONTH(DATE($D$2,$B$2,1),0)),"",IFERROR(SUMIFS(DATA_GOC!$H:$H,DATA_GOC!$A:$A,"BOM",DATA_GOC!$D:$D,$B189,DATA_GOC!$E:$E,"Téc cát nghiền",DATA_GOC!$F:$F,"Xuất nội bộ từ téc",DATA_GOC!$B:$B,DATE($D$2,$B$2,M$4)),0))</f>
        <v>0</v>
      </c>
      <c r="N189" s="251">
        <f>IF(N$4&gt;DAY(EOMONTH(DATE($D$2,$B$2,1),0)),"",IFERROR(SUMIFS(DATA_GOC!$H:$H,DATA_GOC!$A:$A,"BOM",DATA_GOC!$D:$D,$B189,DATA_GOC!$E:$E,"Téc cát nghiền",DATA_GOC!$F:$F,"Xuất nội bộ từ téc",DATA_GOC!$B:$B,DATE($D$2,$B$2,N$4)),0))</f>
        <v>0</v>
      </c>
      <c r="O189" s="251">
        <f>IF(O$4&gt;DAY(EOMONTH(DATE($D$2,$B$2,1),0)),"",IFERROR(SUMIFS(DATA_GOC!$H:$H,DATA_GOC!$A:$A,"BOM",DATA_GOC!$D:$D,$B189,DATA_GOC!$E:$E,"Téc cát nghiền",DATA_GOC!$F:$F,"Xuất nội bộ từ téc",DATA_GOC!$B:$B,DATE($D$2,$B$2,O$4)),0))</f>
        <v>0</v>
      </c>
      <c r="P189" s="251">
        <f>IF(P$4&gt;DAY(EOMONTH(DATE($D$2,$B$2,1),0)),"",IFERROR(SUMIFS(DATA_GOC!$H:$H,DATA_GOC!$A:$A,"BOM",DATA_GOC!$D:$D,$B189,DATA_GOC!$E:$E,"Téc cát nghiền",DATA_GOC!$F:$F,"Xuất nội bộ từ téc",DATA_GOC!$B:$B,DATE($D$2,$B$2,P$4)),0))</f>
        <v>0</v>
      </c>
      <c r="Q189" s="251">
        <f>IF(Q$4&gt;DAY(EOMONTH(DATE($D$2,$B$2,1),0)),"",IFERROR(SUMIFS(DATA_GOC!$H:$H,DATA_GOC!$A:$A,"BOM",DATA_GOC!$D:$D,$B189,DATA_GOC!$E:$E,"Téc cát nghiền",DATA_GOC!$F:$F,"Xuất nội bộ từ téc",DATA_GOC!$B:$B,DATE($D$2,$B$2,Q$4)),0))</f>
        <v>0</v>
      </c>
      <c r="R189" s="251">
        <f>IF(R$4&gt;DAY(EOMONTH(DATE($D$2,$B$2,1),0)),"",IFERROR(SUMIFS(DATA_GOC!$H:$H,DATA_GOC!$A:$A,"BOM",DATA_GOC!$D:$D,$B189,DATA_GOC!$E:$E,"Téc cát nghiền",DATA_GOC!$F:$F,"Xuất nội bộ từ téc",DATA_GOC!$B:$B,DATE($D$2,$B$2,R$4)),0))</f>
        <v>0</v>
      </c>
      <c r="S189" s="251">
        <f>IF(S$4&gt;DAY(EOMONTH(DATE($D$2,$B$2,1),0)),"",IFERROR(SUMIFS(DATA_GOC!$H:$H,DATA_GOC!$A:$A,"BOM",DATA_GOC!$D:$D,$B189,DATA_GOC!$E:$E,"Téc cát nghiền",DATA_GOC!$F:$F,"Xuất nội bộ từ téc",DATA_GOC!$B:$B,DATE($D$2,$B$2,S$4)),0))</f>
        <v>0</v>
      </c>
      <c r="T189" s="251">
        <f>IF(T$4&gt;DAY(EOMONTH(DATE($D$2,$B$2,1),0)),"",IFERROR(SUMIFS(DATA_GOC!$H:$H,DATA_GOC!$A:$A,"BOM",DATA_GOC!$D:$D,$B189,DATA_GOC!$E:$E,"Téc cát nghiền",DATA_GOC!$F:$F,"Xuất nội bộ từ téc",DATA_GOC!$B:$B,DATE($D$2,$B$2,T$4)),0))</f>
        <v>0</v>
      </c>
      <c r="U189" s="251">
        <f>IF(U$4&gt;DAY(EOMONTH(DATE($D$2,$B$2,1),0)),"",IFERROR(SUMIFS(DATA_GOC!$H:$H,DATA_GOC!$A:$A,"BOM",DATA_GOC!$D:$D,$B189,DATA_GOC!$E:$E,"Téc cát nghiền",DATA_GOC!$F:$F,"Xuất nội bộ từ téc",DATA_GOC!$B:$B,DATE($D$2,$B$2,U$4)),0))</f>
        <v>0</v>
      </c>
      <c r="V189" s="251">
        <f>IF(V$4&gt;DAY(EOMONTH(DATE($D$2,$B$2,1),0)),"",IFERROR(SUMIFS(DATA_GOC!$H:$H,DATA_GOC!$A:$A,"BOM",DATA_GOC!$D:$D,$B189,DATA_GOC!$E:$E,"Téc cát nghiền",DATA_GOC!$F:$F,"Xuất nội bộ từ téc",DATA_GOC!$B:$B,DATE($D$2,$B$2,V$4)),0))</f>
        <v>0</v>
      </c>
      <c r="W189" s="251">
        <f>IF(W$4&gt;DAY(EOMONTH(DATE($D$2,$B$2,1),0)),"",IFERROR(SUMIFS(DATA_GOC!$H:$H,DATA_GOC!$A:$A,"BOM",DATA_GOC!$D:$D,$B189,DATA_GOC!$E:$E,"Téc cát nghiền",DATA_GOC!$F:$F,"Xuất nội bộ từ téc",DATA_GOC!$B:$B,DATE($D$2,$B$2,W$4)),0))</f>
        <v>0</v>
      </c>
      <c r="X189" s="251">
        <f>IF(X$4&gt;DAY(EOMONTH(DATE($D$2,$B$2,1),0)),"",IFERROR(SUMIFS(DATA_GOC!$H:$H,DATA_GOC!$A:$A,"BOM",DATA_GOC!$D:$D,$B189,DATA_GOC!$E:$E,"Téc cát nghiền",DATA_GOC!$F:$F,"Xuất nội bộ từ téc",DATA_GOC!$B:$B,DATE($D$2,$B$2,X$4)),0))</f>
        <v>0</v>
      </c>
      <c r="Y189" s="251">
        <f>IF(Y$4&gt;DAY(EOMONTH(DATE($D$2,$B$2,1),0)),"",IFERROR(SUMIFS(DATA_GOC!$H:$H,DATA_GOC!$A:$A,"BOM",DATA_GOC!$D:$D,$B189,DATA_GOC!$E:$E,"Téc cát nghiền",DATA_GOC!$F:$F,"Xuất nội bộ từ téc",DATA_GOC!$B:$B,DATE($D$2,$B$2,Y$4)),0))</f>
        <v>0</v>
      </c>
      <c r="Z189" s="251">
        <f>IF(Z$4&gt;DAY(EOMONTH(DATE($D$2,$B$2,1),0)),"",IFERROR(SUMIFS(DATA_GOC!$H:$H,DATA_GOC!$A:$A,"BOM",DATA_GOC!$D:$D,$B189,DATA_GOC!$E:$E,"Téc cát nghiền",DATA_GOC!$F:$F,"Xuất nội bộ từ téc",DATA_GOC!$B:$B,DATE($D$2,$B$2,Z$4)),0))</f>
        <v>0</v>
      </c>
      <c r="AA189" s="251">
        <f>IF(AA$4&gt;DAY(EOMONTH(DATE($D$2,$B$2,1),0)),"",IFERROR(SUMIFS(DATA_GOC!$H:$H,DATA_GOC!$A:$A,"BOM",DATA_GOC!$D:$D,$B189,DATA_GOC!$E:$E,"Téc cát nghiền",DATA_GOC!$F:$F,"Xuất nội bộ từ téc",DATA_GOC!$B:$B,DATE($D$2,$B$2,AA$4)),0))</f>
        <v>0</v>
      </c>
      <c r="AB189" s="251">
        <f>IF(AB$4&gt;DAY(EOMONTH(DATE($D$2,$B$2,1),0)),"",IFERROR(SUMIFS(DATA_GOC!$H:$H,DATA_GOC!$A:$A,"BOM",DATA_GOC!$D:$D,$B189,DATA_GOC!$E:$E,"Téc cát nghiền",DATA_GOC!$F:$F,"Xuất nội bộ từ téc",DATA_GOC!$B:$B,DATE($D$2,$B$2,AB$4)),0))</f>
        <v>0</v>
      </c>
      <c r="AC189" s="251">
        <f>IF(AC$4&gt;DAY(EOMONTH(DATE($D$2,$B$2,1),0)),"",IFERROR(SUMIFS(DATA_GOC!$H:$H,DATA_GOC!$A:$A,"BOM",DATA_GOC!$D:$D,$B189,DATA_GOC!$E:$E,"Téc cát nghiền",DATA_GOC!$F:$F,"Xuất nội bộ từ téc",DATA_GOC!$B:$B,DATE($D$2,$B$2,AC$4)),0))</f>
        <v>0</v>
      </c>
      <c r="AD189" s="251">
        <f>IF(AD$4&gt;DAY(EOMONTH(DATE($D$2,$B$2,1),0)),"",IFERROR(SUMIFS(DATA_GOC!$H:$H,DATA_GOC!$A:$A,"BOM",DATA_GOC!$D:$D,$B189,DATA_GOC!$E:$E,"Téc cát nghiền",DATA_GOC!$F:$F,"Xuất nội bộ từ téc",DATA_GOC!$B:$B,DATE($D$2,$B$2,AD$4)),0))</f>
        <v>0</v>
      </c>
      <c r="AE189" s="251">
        <f>IF(AE$4&gt;DAY(EOMONTH(DATE($D$2,$B$2,1),0)),"",IFERROR(SUMIFS(DATA_GOC!$H:$H,DATA_GOC!$A:$A,"BOM",DATA_GOC!$D:$D,$B189,DATA_GOC!$E:$E,"Téc cát nghiền",DATA_GOC!$F:$F,"Xuất nội bộ từ téc",DATA_GOC!$B:$B,DATE($D$2,$B$2,AE$4)),0))</f>
        <v>0</v>
      </c>
      <c r="AF189" s="251">
        <f>IF(AF$4&gt;DAY(EOMONTH(DATE($D$2,$B$2,1),0)),"",IFERROR(SUMIFS(DATA_GOC!$H:$H,DATA_GOC!$A:$A,"BOM",DATA_GOC!$D:$D,$B189,DATA_GOC!$E:$E,"Téc cát nghiền",DATA_GOC!$F:$F,"Xuất nội bộ từ téc",DATA_GOC!$B:$B,DATE($D$2,$B$2,AF$4)),0))</f>
        <v>0</v>
      </c>
      <c r="AG189" s="251">
        <f>IF(AG$4&gt;DAY(EOMONTH(DATE($D$2,$B$2,1),0)),"",IFERROR(SUMIFS(DATA_GOC!$H:$H,DATA_GOC!$A:$A,"BOM",DATA_GOC!$D:$D,$B189,DATA_GOC!$E:$E,"Téc cát nghiền",DATA_GOC!$F:$F,"Xuất nội bộ từ téc",DATA_GOC!$B:$B,DATE($D$2,$B$2,AG$4)),0))</f>
        <v>0</v>
      </c>
      <c r="AH189" s="252">
        <f t="shared" ref="AH189:AH246" si="10">SUM(C189:AG189)</f>
        <v>0</v>
      </c>
      <c r="AI189" s="241"/>
      <c r="AJ189" s="242">
        <f>IF($B189="","",SUMIFS(TINH_TEC!$K$233:$K$9232,TINH_TEC!$H$233:$H$9232,$B189,TINH_TEC!$C$233:$C$9232,"Téc cát nghiền",TINH_TEC!$F$233:$F$9232,$B$2,TINH_TEC!$G$233:$G$9232,$D$2,TINH_TEC!$B$233:$B$9232,"Đã chốt"))</f>
        <v>0</v>
      </c>
      <c r="AK189" s="242">
        <f>IF($B189="","",SUMIFS(TINH_TEC!$J$233:$J$9232,TINH_TEC!$H$233:$H$9232,$B189,TINH_TEC!$C$233:$C$9232,"Téc cát nghiền",TINH_TEC!$F$233:$F$9232,$B$2,TINH_TEC!$G$233:$G$9232,$D$2,TINH_TEC!$B$233:$B$9232,"Đã chốt"))</f>
        <v>0</v>
      </c>
      <c r="AL189" s="242">
        <f t="shared" ref="AL189:AL246" si="11">IF($B189="","",N(AH189)+N(AI189)+N(AK189)-N(AJ189))</f>
        <v>0</v>
      </c>
    </row>
    <row r="190" ht="15.75" customHeight="1">
      <c r="A190" s="237">
        <f>IF($B190&lt;&gt;"",2,"")</f>
        <v>2</v>
      </c>
      <c r="B190" s="250" t="str">
        <f t="array" ref="B190">IFERROR(INDEX(DANH_MUC!$E:$E,5),"")</f>
        <v>28A30696</v>
      </c>
      <c r="C190" s="251">
        <f>IF(C$4&gt;DAY(EOMONTH(DATE($D$2,$B$2,1),0)),"",IFERROR(SUMIFS(DATA_GOC!$H:$H,DATA_GOC!$A:$A,"BOM",DATA_GOC!$D:$D,$B190,DATA_GOC!$E:$E,"Téc cát nghiền",DATA_GOC!$F:$F,"Xuất nội bộ từ téc",DATA_GOC!$B:$B,DATE($D$2,$B$2,C$4)),0))</f>
        <v>0</v>
      </c>
      <c r="D190" s="251">
        <f>IF(D$4&gt;DAY(EOMONTH(DATE($D$2,$B$2,1),0)),"",IFERROR(SUMIFS(DATA_GOC!$H:$H,DATA_GOC!$A:$A,"BOM",DATA_GOC!$D:$D,$B190,DATA_GOC!$E:$E,"Téc cát nghiền",DATA_GOC!$F:$F,"Xuất nội bộ từ téc",DATA_GOC!$B:$B,DATE($D$2,$B$2,D$4)),0))</f>
        <v>0</v>
      </c>
      <c r="E190" s="251">
        <f>IF(E$4&gt;DAY(EOMONTH(DATE($D$2,$B$2,1),0)),"",IFERROR(SUMIFS(DATA_GOC!$H:$H,DATA_GOC!$A:$A,"BOM",DATA_GOC!$D:$D,$B190,DATA_GOC!$E:$E,"Téc cát nghiền",DATA_GOC!$F:$F,"Xuất nội bộ từ téc",DATA_GOC!$B:$B,DATE($D$2,$B$2,E$4)),0))</f>
        <v>0</v>
      </c>
      <c r="F190" s="251">
        <f>IF(F$4&gt;DAY(EOMONTH(DATE($D$2,$B$2,1),0)),"",IFERROR(SUMIFS(DATA_GOC!$H:$H,DATA_GOC!$A:$A,"BOM",DATA_GOC!$D:$D,$B190,DATA_GOC!$E:$E,"Téc cát nghiền",DATA_GOC!$F:$F,"Xuất nội bộ từ téc",DATA_GOC!$B:$B,DATE($D$2,$B$2,F$4)),0))</f>
        <v>0</v>
      </c>
      <c r="G190" s="251">
        <f>IF(G$4&gt;DAY(EOMONTH(DATE($D$2,$B$2,1),0)),"",IFERROR(SUMIFS(DATA_GOC!$H:$H,DATA_GOC!$A:$A,"BOM",DATA_GOC!$D:$D,$B190,DATA_GOC!$E:$E,"Téc cát nghiền",DATA_GOC!$F:$F,"Xuất nội bộ từ téc",DATA_GOC!$B:$B,DATE($D$2,$B$2,G$4)),0))</f>
        <v>0</v>
      </c>
      <c r="H190" s="251">
        <f>IF(H$4&gt;DAY(EOMONTH(DATE($D$2,$B$2,1),0)),"",IFERROR(SUMIFS(DATA_GOC!$H:$H,DATA_GOC!$A:$A,"BOM",DATA_GOC!$D:$D,$B190,DATA_GOC!$E:$E,"Téc cát nghiền",DATA_GOC!$F:$F,"Xuất nội bộ từ téc",DATA_GOC!$B:$B,DATE($D$2,$B$2,H$4)),0))</f>
        <v>0</v>
      </c>
      <c r="I190" s="251">
        <f>IF(I$4&gt;DAY(EOMONTH(DATE($D$2,$B$2,1),0)),"",IFERROR(SUMIFS(DATA_GOC!$H:$H,DATA_GOC!$A:$A,"BOM",DATA_GOC!$D:$D,$B190,DATA_GOC!$E:$E,"Téc cát nghiền",DATA_GOC!$F:$F,"Xuất nội bộ từ téc",DATA_GOC!$B:$B,DATE($D$2,$B$2,I$4)),0))</f>
        <v>0</v>
      </c>
      <c r="J190" s="251">
        <f>IF(J$4&gt;DAY(EOMONTH(DATE($D$2,$B$2,1),0)),"",IFERROR(SUMIFS(DATA_GOC!$H:$H,DATA_GOC!$A:$A,"BOM",DATA_GOC!$D:$D,$B190,DATA_GOC!$E:$E,"Téc cát nghiền",DATA_GOC!$F:$F,"Xuất nội bộ từ téc",DATA_GOC!$B:$B,DATE($D$2,$B$2,J$4)),0))</f>
        <v>0</v>
      </c>
      <c r="K190" s="251">
        <f>IF(K$4&gt;DAY(EOMONTH(DATE($D$2,$B$2,1),0)),"",IFERROR(SUMIFS(DATA_GOC!$H:$H,DATA_GOC!$A:$A,"BOM",DATA_GOC!$D:$D,$B190,DATA_GOC!$E:$E,"Téc cát nghiền",DATA_GOC!$F:$F,"Xuất nội bộ từ téc",DATA_GOC!$B:$B,DATE($D$2,$B$2,K$4)),0))</f>
        <v>0</v>
      </c>
      <c r="L190" s="251">
        <f>IF(L$4&gt;DAY(EOMONTH(DATE($D$2,$B$2,1),0)),"",IFERROR(SUMIFS(DATA_GOC!$H:$H,DATA_GOC!$A:$A,"BOM",DATA_GOC!$D:$D,$B190,DATA_GOC!$E:$E,"Téc cát nghiền",DATA_GOC!$F:$F,"Xuất nội bộ từ téc",DATA_GOC!$B:$B,DATE($D$2,$B$2,L$4)),0))</f>
        <v>0</v>
      </c>
      <c r="M190" s="251">
        <f>IF(M$4&gt;DAY(EOMONTH(DATE($D$2,$B$2,1),0)),"",IFERROR(SUMIFS(DATA_GOC!$H:$H,DATA_GOC!$A:$A,"BOM",DATA_GOC!$D:$D,$B190,DATA_GOC!$E:$E,"Téc cát nghiền",DATA_GOC!$F:$F,"Xuất nội bộ từ téc",DATA_GOC!$B:$B,DATE($D$2,$B$2,M$4)),0))</f>
        <v>0</v>
      </c>
      <c r="N190" s="251">
        <f>IF(N$4&gt;DAY(EOMONTH(DATE($D$2,$B$2,1),0)),"",IFERROR(SUMIFS(DATA_GOC!$H:$H,DATA_GOC!$A:$A,"BOM",DATA_GOC!$D:$D,$B190,DATA_GOC!$E:$E,"Téc cát nghiền",DATA_GOC!$F:$F,"Xuất nội bộ từ téc",DATA_GOC!$B:$B,DATE($D$2,$B$2,N$4)),0))</f>
        <v>0</v>
      </c>
      <c r="O190" s="251">
        <f>IF(O$4&gt;DAY(EOMONTH(DATE($D$2,$B$2,1),0)),"",IFERROR(SUMIFS(DATA_GOC!$H:$H,DATA_GOC!$A:$A,"BOM",DATA_GOC!$D:$D,$B190,DATA_GOC!$E:$E,"Téc cát nghiền",DATA_GOC!$F:$F,"Xuất nội bộ từ téc",DATA_GOC!$B:$B,DATE($D$2,$B$2,O$4)),0))</f>
        <v>0</v>
      </c>
      <c r="P190" s="251">
        <f>IF(P$4&gt;DAY(EOMONTH(DATE($D$2,$B$2,1),0)),"",IFERROR(SUMIFS(DATA_GOC!$H:$H,DATA_GOC!$A:$A,"BOM",DATA_GOC!$D:$D,$B190,DATA_GOC!$E:$E,"Téc cát nghiền",DATA_GOC!$F:$F,"Xuất nội bộ từ téc",DATA_GOC!$B:$B,DATE($D$2,$B$2,P$4)),0))</f>
        <v>0</v>
      </c>
      <c r="Q190" s="251">
        <f>IF(Q$4&gt;DAY(EOMONTH(DATE($D$2,$B$2,1),0)),"",IFERROR(SUMIFS(DATA_GOC!$H:$H,DATA_GOC!$A:$A,"BOM",DATA_GOC!$D:$D,$B190,DATA_GOC!$E:$E,"Téc cát nghiền",DATA_GOC!$F:$F,"Xuất nội bộ từ téc",DATA_GOC!$B:$B,DATE($D$2,$B$2,Q$4)),0))</f>
        <v>0</v>
      </c>
      <c r="R190" s="251">
        <f>IF(R$4&gt;DAY(EOMONTH(DATE($D$2,$B$2,1),0)),"",IFERROR(SUMIFS(DATA_GOC!$H:$H,DATA_GOC!$A:$A,"BOM",DATA_GOC!$D:$D,$B190,DATA_GOC!$E:$E,"Téc cát nghiền",DATA_GOC!$F:$F,"Xuất nội bộ từ téc",DATA_GOC!$B:$B,DATE($D$2,$B$2,R$4)),0))</f>
        <v>0</v>
      </c>
      <c r="S190" s="251">
        <f>IF(S$4&gt;DAY(EOMONTH(DATE($D$2,$B$2,1),0)),"",IFERROR(SUMIFS(DATA_GOC!$H:$H,DATA_GOC!$A:$A,"BOM",DATA_GOC!$D:$D,$B190,DATA_GOC!$E:$E,"Téc cát nghiền",DATA_GOC!$F:$F,"Xuất nội bộ từ téc",DATA_GOC!$B:$B,DATE($D$2,$B$2,S$4)),0))</f>
        <v>0</v>
      </c>
      <c r="T190" s="251">
        <f>IF(T$4&gt;DAY(EOMONTH(DATE($D$2,$B$2,1),0)),"",IFERROR(SUMIFS(DATA_GOC!$H:$H,DATA_GOC!$A:$A,"BOM",DATA_GOC!$D:$D,$B190,DATA_GOC!$E:$E,"Téc cát nghiền",DATA_GOC!$F:$F,"Xuất nội bộ từ téc",DATA_GOC!$B:$B,DATE($D$2,$B$2,T$4)),0))</f>
        <v>0</v>
      </c>
      <c r="U190" s="251">
        <f>IF(U$4&gt;DAY(EOMONTH(DATE($D$2,$B$2,1),0)),"",IFERROR(SUMIFS(DATA_GOC!$H:$H,DATA_GOC!$A:$A,"BOM",DATA_GOC!$D:$D,$B190,DATA_GOC!$E:$E,"Téc cát nghiền",DATA_GOC!$F:$F,"Xuất nội bộ từ téc",DATA_GOC!$B:$B,DATE($D$2,$B$2,U$4)),0))</f>
        <v>0</v>
      </c>
      <c r="V190" s="251">
        <f>IF(V$4&gt;DAY(EOMONTH(DATE($D$2,$B$2,1),0)),"",IFERROR(SUMIFS(DATA_GOC!$H:$H,DATA_GOC!$A:$A,"BOM",DATA_GOC!$D:$D,$B190,DATA_GOC!$E:$E,"Téc cát nghiền",DATA_GOC!$F:$F,"Xuất nội bộ từ téc",DATA_GOC!$B:$B,DATE($D$2,$B$2,V$4)),0))</f>
        <v>0</v>
      </c>
      <c r="W190" s="251">
        <f>IF(W$4&gt;DAY(EOMONTH(DATE($D$2,$B$2,1),0)),"",IFERROR(SUMIFS(DATA_GOC!$H:$H,DATA_GOC!$A:$A,"BOM",DATA_GOC!$D:$D,$B190,DATA_GOC!$E:$E,"Téc cát nghiền",DATA_GOC!$F:$F,"Xuất nội bộ từ téc",DATA_GOC!$B:$B,DATE($D$2,$B$2,W$4)),0))</f>
        <v>0</v>
      </c>
      <c r="X190" s="251">
        <f>IF(X$4&gt;DAY(EOMONTH(DATE($D$2,$B$2,1),0)),"",IFERROR(SUMIFS(DATA_GOC!$H:$H,DATA_GOC!$A:$A,"BOM",DATA_GOC!$D:$D,$B190,DATA_GOC!$E:$E,"Téc cát nghiền",DATA_GOC!$F:$F,"Xuất nội bộ từ téc",DATA_GOC!$B:$B,DATE($D$2,$B$2,X$4)),0))</f>
        <v>0</v>
      </c>
      <c r="Y190" s="251">
        <f>IF(Y$4&gt;DAY(EOMONTH(DATE($D$2,$B$2,1),0)),"",IFERROR(SUMIFS(DATA_GOC!$H:$H,DATA_GOC!$A:$A,"BOM",DATA_GOC!$D:$D,$B190,DATA_GOC!$E:$E,"Téc cát nghiền",DATA_GOC!$F:$F,"Xuất nội bộ từ téc",DATA_GOC!$B:$B,DATE($D$2,$B$2,Y$4)),0))</f>
        <v>0</v>
      </c>
      <c r="Z190" s="251">
        <f>IF(Z$4&gt;DAY(EOMONTH(DATE($D$2,$B$2,1),0)),"",IFERROR(SUMIFS(DATA_GOC!$H:$H,DATA_GOC!$A:$A,"BOM",DATA_GOC!$D:$D,$B190,DATA_GOC!$E:$E,"Téc cát nghiền",DATA_GOC!$F:$F,"Xuất nội bộ từ téc",DATA_GOC!$B:$B,DATE($D$2,$B$2,Z$4)),0))</f>
        <v>0</v>
      </c>
      <c r="AA190" s="251">
        <f>IF(AA$4&gt;DAY(EOMONTH(DATE($D$2,$B$2,1),0)),"",IFERROR(SUMIFS(DATA_GOC!$H:$H,DATA_GOC!$A:$A,"BOM",DATA_GOC!$D:$D,$B190,DATA_GOC!$E:$E,"Téc cát nghiền",DATA_GOC!$F:$F,"Xuất nội bộ từ téc",DATA_GOC!$B:$B,DATE($D$2,$B$2,AA$4)),0))</f>
        <v>0</v>
      </c>
      <c r="AB190" s="251">
        <f>IF(AB$4&gt;DAY(EOMONTH(DATE($D$2,$B$2,1),0)),"",IFERROR(SUMIFS(DATA_GOC!$H:$H,DATA_GOC!$A:$A,"BOM",DATA_GOC!$D:$D,$B190,DATA_GOC!$E:$E,"Téc cát nghiền",DATA_GOC!$F:$F,"Xuất nội bộ từ téc",DATA_GOC!$B:$B,DATE($D$2,$B$2,AB$4)),0))</f>
        <v>0</v>
      </c>
      <c r="AC190" s="251">
        <f>IF(AC$4&gt;DAY(EOMONTH(DATE($D$2,$B$2,1),0)),"",IFERROR(SUMIFS(DATA_GOC!$H:$H,DATA_GOC!$A:$A,"BOM",DATA_GOC!$D:$D,$B190,DATA_GOC!$E:$E,"Téc cát nghiền",DATA_GOC!$F:$F,"Xuất nội bộ từ téc",DATA_GOC!$B:$B,DATE($D$2,$B$2,AC$4)),0))</f>
        <v>0</v>
      </c>
      <c r="AD190" s="251">
        <f>IF(AD$4&gt;DAY(EOMONTH(DATE($D$2,$B$2,1),0)),"",IFERROR(SUMIFS(DATA_GOC!$H:$H,DATA_GOC!$A:$A,"BOM",DATA_GOC!$D:$D,$B190,DATA_GOC!$E:$E,"Téc cát nghiền",DATA_GOC!$F:$F,"Xuất nội bộ từ téc",DATA_GOC!$B:$B,DATE($D$2,$B$2,AD$4)),0))</f>
        <v>0</v>
      </c>
      <c r="AE190" s="251">
        <f>IF(AE$4&gt;DAY(EOMONTH(DATE($D$2,$B$2,1),0)),"",IFERROR(SUMIFS(DATA_GOC!$H:$H,DATA_GOC!$A:$A,"BOM",DATA_GOC!$D:$D,$B190,DATA_GOC!$E:$E,"Téc cát nghiền",DATA_GOC!$F:$F,"Xuất nội bộ từ téc",DATA_GOC!$B:$B,DATE($D$2,$B$2,AE$4)),0))</f>
        <v>0</v>
      </c>
      <c r="AF190" s="251">
        <f>IF(AF$4&gt;DAY(EOMONTH(DATE($D$2,$B$2,1),0)),"",IFERROR(SUMIFS(DATA_GOC!$H:$H,DATA_GOC!$A:$A,"BOM",DATA_GOC!$D:$D,$B190,DATA_GOC!$E:$E,"Téc cát nghiền",DATA_GOC!$F:$F,"Xuất nội bộ từ téc",DATA_GOC!$B:$B,DATE($D$2,$B$2,AF$4)),0))</f>
        <v>0</v>
      </c>
      <c r="AG190" s="251">
        <f>IF(AG$4&gt;DAY(EOMONTH(DATE($D$2,$B$2,1),0)),"",IFERROR(SUMIFS(DATA_GOC!$H:$H,DATA_GOC!$A:$A,"BOM",DATA_GOC!$D:$D,$B190,DATA_GOC!$E:$E,"Téc cát nghiền",DATA_GOC!$F:$F,"Xuất nội bộ từ téc",DATA_GOC!$B:$B,DATE($D$2,$B$2,AG$4)),0))</f>
        <v>0</v>
      </c>
      <c r="AH190" s="252">
        <f t="shared" si="10"/>
        <v>0</v>
      </c>
      <c r="AI190" s="241"/>
      <c r="AJ190" s="242">
        <f>IF($B190="","",SUMIFS(TINH_TEC!$K$233:$K$9232,TINH_TEC!$H$233:$H$9232,$B190,TINH_TEC!$C$233:$C$9232,"Téc cát nghiền",TINH_TEC!$F$233:$F$9232,$B$2,TINH_TEC!$G$233:$G$9232,$D$2,TINH_TEC!$B$233:$B$9232,"Đã chốt"))</f>
        <v>0</v>
      </c>
      <c r="AK190" s="242">
        <f>IF($B190="","",SUMIFS(TINH_TEC!$J$233:$J$9232,TINH_TEC!$H$233:$H$9232,$B190,TINH_TEC!$C$233:$C$9232,"Téc cát nghiền",TINH_TEC!$F$233:$F$9232,$B$2,TINH_TEC!$G$233:$G$9232,$D$2,TINH_TEC!$B$233:$B$9232,"Đã chốt"))</f>
        <v>0</v>
      </c>
      <c r="AL190" s="242">
        <f t="shared" si="11"/>
        <v>0</v>
      </c>
    </row>
    <row r="191" ht="15.75" customHeight="1">
      <c r="A191" s="237">
        <f>IF($B191&lt;&gt;"",3,"")</f>
        <v>3</v>
      </c>
      <c r="B191" s="250" t="str">
        <f t="array" ref="B191">IFERROR(INDEX(DANH_MUC!$E:$E,6),"")</f>
        <v>28C00462</v>
      </c>
      <c r="C191" s="251">
        <f>IF(C$4&gt;DAY(EOMONTH(DATE($D$2,$B$2,1),0)),"",IFERROR(SUMIFS(DATA_GOC!$H:$H,DATA_GOC!$A:$A,"BOM",DATA_GOC!$D:$D,$B191,DATA_GOC!$E:$E,"Téc cát nghiền",DATA_GOC!$F:$F,"Xuất nội bộ từ téc",DATA_GOC!$B:$B,DATE($D$2,$B$2,C$4)),0))</f>
        <v>0</v>
      </c>
      <c r="D191" s="251">
        <f>IF(D$4&gt;DAY(EOMONTH(DATE($D$2,$B$2,1),0)),"",IFERROR(SUMIFS(DATA_GOC!$H:$H,DATA_GOC!$A:$A,"BOM",DATA_GOC!$D:$D,$B191,DATA_GOC!$E:$E,"Téc cát nghiền",DATA_GOC!$F:$F,"Xuất nội bộ từ téc",DATA_GOC!$B:$B,DATE($D$2,$B$2,D$4)),0))</f>
        <v>0</v>
      </c>
      <c r="E191" s="251">
        <f>IF(E$4&gt;DAY(EOMONTH(DATE($D$2,$B$2,1),0)),"",IFERROR(SUMIFS(DATA_GOC!$H:$H,DATA_GOC!$A:$A,"BOM",DATA_GOC!$D:$D,$B191,DATA_GOC!$E:$E,"Téc cát nghiền",DATA_GOC!$F:$F,"Xuất nội bộ từ téc",DATA_GOC!$B:$B,DATE($D$2,$B$2,E$4)),0))</f>
        <v>0</v>
      </c>
      <c r="F191" s="251">
        <f>IF(F$4&gt;DAY(EOMONTH(DATE($D$2,$B$2,1),0)),"",IFERROR(SUMIFS(DATA_GOC!$H:$H,DATA_GOC!$A:$A,"BOM",DATA_GOC!$D:$D,$B191,DATA_GOC!$E:$E,"Téc cát nghiền",DATA_GOC!$F:$F,"Xuất nội bộ từ téc",DATA_GOC!$B:$B,DATE($D$2,$B$2,F$4)),0))</f>
        <v>0</v>
      </c>
      <c r="G191" s="251">
        <f>IF(G$4&gt;DAY(EOMONTH(DATE($D$2,$B$2,1),0)),"",IFERROR(SUMIFS(DATA_GOC!$H:$H,DATA_GOC!$A:$A,"BOM",DATA_GOC!$D:$D,$B191,DATA_GOC!$E:$E,"Téc cát nghiền",DATA_GOC!$F:$F,"Xuất nội bộ từ téc",DATA_GOC!$B:$B,DATE($D$2,$B$2,G$4)),0))</f>
        <v>0</v>
      </c>
      <c r="H191" s="251">
        <f>IF(H$4&gt;DAY(EOMONTH(DATE($D$2,$B$2,1),0)),"",IFERROR(SUMIFS(DATA_GOC!$H:$H,DATA_GOC!$A:$A,"BOM",DATA_GOC!$D:$D,$B191,DATA_GOC!$E:$E,"Téc cát nghiền",DATA_GOC!$F:$F,"Xuất nội bộ từ téc",DATA_GOC!$B:$B,DATE($D$2,$B$2,H$4)),0))</f>
        <v>0</v>
      </c>
      <c r="I191" s="251">
        <f>IF(I$4&gt;DAY(EOMONTH(DATE($D$2,$B$2,1),0)),"",IFERROR(SUMIFS(DATA_GOC!$H:$H,DATA_GOC!$A:$A,"BOM",DATA_GOC!$D:$D,$B191,DATA_GOC!$E:$E,"Téc cát nghiền",DATA_GOC!$F:$F,"Xuất nội bộ từ téc",DATA_GOC!$B:$B,DATE($D$2,$B$2,I$4)),0))</f>
        <v>0</v>
      </c>
      <c r="J191" s="251">
        <f>IF(J$4&gt;DAY(EOMONTH(DATE($D$2,$B$2,1),0)),"",IFERROR(SUMIFS(DATA_GOC!$H:$H,DATA_GOC!$A:$A,"BOM",DATA_GOC!$D:$D,$B191,DATA_GOC!$E:$E,"Téc cát nghiền",DATA_GOC!$F:$F,"Xuất nội bộ từ téc",DATA_GOC!$B:$B,DATE($D$2,$B$2,J$4)),0))</f>
        <v>0</v>
      </c>
      <c r="K191" s="251">
        <f>IF(K$4&gt;DAY(EOMONTH(DATE($D$2,$B$2,1),0)),"",IFERROR(SUMIFS(DATA_GOC!$H:$H,DATA_GOC!$A:$A,"BOM",DATA_GOC!$D:$D,$B191,DATA_GOC!$E:$E,"Téc cát nghiền",DATA_GOC!$F:$F,"Xuất nội bộ từ téc",DATA_GOC!$B:$B,DATE($D$2,$B$2,K$4)),0))</f>
        <v>0</v>
      </c>
      <c r="L191" s="251">
        <f>IF(L$4&gt;DAY(EOMONTH(DATE($D$2,$B$2,1),0)),"",IFERROR(SUMIFS(DATA_GOC!$H:$H,DATA_GOC!$A:$A,"BOM",DATA_GOC!$D:$D,$B191,DATA_GOC!$E:$E,"Téc cát nghiền",DATA_GOC!$F:$F,"Xuất nội bộ từ téc",DATA_GOC!$B:$B,DATE($D$2,$B$2,L$4)),0))</f>
        <v>0</v>
      </c>
      <c r="M191" s="251">
        <f>IF(M$4&gt;DAY(EOMONTH(DATE($D$2,$B$2,1),0)),"",IFERROR(SUMIFS(DATA_GOC!$H:$H,DATA_GOC!$A:$A,"BOM",DATA_GOC!$D:$D,$B191,DATA_GOC!$E:$E,"Téc cát nghiền",DATA_GOC!$F:$F,"Xuất nội bộ từ téc",DATA_GOC!$B:$B,DATE($D$2,$B$2,M$4)),0))</f>
        <v>0</v>
      </c>
      <c r="N191" s="251">
        <f>IF(N$4&gt;DAY(EOMONTH(DATE($D$2,$B$2,1),0)),"",IFERROR(SUMIFS(DATA_GOC!$H:$H,DATA_GOC!$A:$A,"BOM",DATA_GOC!$D:$D,$B191,DATA_GOC!$E:$E,"Téc cát nghiền",DATA_GOC!$F:$F,"Xuất nội bộ từ téc",DATA_GOC!$B:$B,DATE($D$2,$B$2,N$4)),0))</f>
        <v>0</v>
      </c>
      <c r="O191" s="251">
        <f>IF(O$4&gt;DAY(EOMONTH(DATE($D$2,$B$2,1),0)),"",IFERROR(SUMIFS(DATA_GOC!$H:$H,DATA_GOC!$A:$A,"BOM",DATA_GOC!$D:$D,$B191,DATA_GOC!$E:$E,"Téc cát nghiền",DATA_GOC!$F:$F,"Xuất nội bộ từ téc",DATA_GOC!$B:$B,DATE($D$2,$B$2,O$4)),0))</f>
        <v>0</v>
      </c>
      <c r="P191" s="251">
        <f>IF(P$4&gt;DAY(EOMONTH(DATE($D$2,$B$2,1),0)),"",IFERROR(SUMIFS(DATA_GOC!$H:$H,DATA_GOC!$A:$A,"BOM",DATA_GOC!$D:$D,$B191,DATA_GOC!$E:$E,"Téc cát nghiền",DATA_GOC!$F:$F,"Xuất nội bộ từ téc",DATA_GOC!$B:$B,DATE($D$2,$B$2,P$4)),0))</f>
        <v>0</v>
      </c>
      <c r="Q191" s="251">
        <f>IF(Q$4&gt;DAY(EOMONTH(DATE($D$2,$B$2,1),0)),"",IFERROR(SUMIFS(DATA_GOC!$H:$H,DATA_GOC!$A:$A,"BOM",DATA_GOC!$D:$D,$B191,DATA_GOC!$E:$E,"Téc cát nghiền",DATA_GOC!$F:$F,"Xuất nội bộ từ téc",DATA_GOC!$B:$B,DATE($D$2,$B$2,Q$4)),0))</f>
        <v>0</v>
      </c>
      <c r="R191" s="251">
        <f>IF(R$4&gt;DAY(EOMONTH(DATE($D$2,$B$2,1),0)),"",IFERROR(SUMIFS(DATA_GOC!$H:$H,DATA_GOC!$A:$A,"BOM",DATA_GOC!$D:$D,$B191,DATA_GOC!$E:$E,"Téc cát nghiền",DATA_GOC!$F:$F,"Xuất nội bộ từ téc",DATA_GOC!$B:$B,DATE($D$2,$B$2,R$4)),0))</f>
        <v>0</v>
      </c>
      <c r="S191" s="251">
        <f>IF(S$4&gt;DAY(EOMONTH(DATE($D$2,$B$2,1),0)),"",IFERROR(SUMIFS(DATA_GOC!$H:$H,DATA_GOC!$A:$A,"BOM",DATA_GOC!$D:$D,$B191,DATA_GOC!$E:$E,"Téc cát nghiền",DATA_GOC!$F:$F,"Xuất nội bộ từ téc",DATA_GOC!$B:$B,DATE($D$2,$B$2,S$4)),0))</f>
        <v>0</v>
      </c>
      <c r="T191" s="251">
        <f>IF(T$4&gt;DAY(EOMONTH(DATE($D$2,$B$2,1),0)),"",IFERROR(SUMIFS(DATA_GOC!$H:$H,DATA_GOC!$A:$A,"BOM",DATA_GOC!$D:$D,$B191,DATA_GOC!$E:$E,"Téc cát nghiền",DATA_GOC!$F:$F,"Xuất nội bộ từ téc",DATA_GOC!$B:$B,DATE($D$2,$B$2,T$4)),0))</f>
        <v>0</v>
      </c>
      <c r="U191" s="251">
        <f>IF(U$4&gt;DAY(EOMONTH(DATE($D$2,$B$2,1),0)),"",IFERROR(SUMIFS(DATA_GOC!$H:$H,DATA_GOC!$A:$A,"BOM",DATA_GOC!$D:$D,$B191,DATA_GOC!$E:$E,"Téc cát nghiền",DATA_GOC!$F:$F,"Xuất nội bộ từ téc",DATA_GOC!$B:$B,DATE($D$2,$B$2,U$4)),0))</f>
        <v>0</v>
      </c>
      <c r="V191" s="251">
        <f>IF(V$4&gt;DAY(EOMONTH(DATE($D$2,$B$2,1),0)),"",IFERROR(SUMIFS(DATA_GOC!$H:$H,DATA_GOC!$A:$A,"BOM",DATA_GOC!$D:$D,$B191,DATA_GOC!$E:$E,"Téc cát nghiền",DATA_GOC!$F:$F,"Xuất nội bộ từ téc",DATA_GOC!$B:$B,DATE($D$2,$B$2,V$4)),0))</f>
        <v>0</v>
      </c>
      <c r="W191" s="251">
        <f>IF(W$4&gt;DAY(EOMONTH(DATE($D$2,$B$2,1),0)),"",IFERROR(SUMIFS(DATA_GOC!$H:$H,DATA_GOC!$A:$A,"BOM",DATA_GOC!$D:$D,$B191,DATA_GOC!$E:$E,"Téc cát nghiền",DATA_GOC!$F:$F,"Xuất nội bộ từ téc",DATA_GOC!$B:$B,DATE($D$2,$B$2,W$4)),0))</f>
        <v>0</v>
      </c>
      <c r="X191" s="251">
        <f>IF(X$4&gt;DAY(EOMONTH(DATE($D$2,$B$2,1),0)),"",IFERROR(SUMIFS(DATA_GOC!$H:$H,DATA_GOC!$A:$A,"BOM",DATA_GOC!$D:$D,$B191,DATA_GOC!$E:$E,"Téc cát nghiền",DATA_GOC!$F:$F,"Xuất nội bộ từ téc",DATA_GOC!$B:$B,DATE($D$2,$B$2,X$4)),0))</f>
        <v>0</v>
      </c>
      <c r="Y191" s="251">
        <f>IF(Y$4&gt;DAY(EOMONTH(DATE($D$2,$B$2,1),0)),"",IFERROR(SUMIFS(DATA_GOC!$H:$H,DATA_GOC!$A:$A,"BOM",DATA_GOC!$D:$D,$B191,DATA_GOC!$E:$E,"Téc cát nghiền",DATA_GOC!$F:$F,"Xuất nội bộ từ téc",DATA_GOC!$B:$B,DATE($D$2,$B$2,Y$4)),0))</f>
        <v>0</v>
      </c>
      <c r="Z191" s="251">
        <f>IF(Z$4&gt;DAY(EOMONTH(DATE($D$2,$B$2,1),0)),"",IFERROR(SUMIFS(DATA_GOC!$H:$H,DATA_GOC!$A:$A,"BOM",DATA_GOC!$D:$D,$B191,DATA_GOC!$E:$E,"Téc cát nghiền",DATA_GOC!$F:$F,"Xuất nội bộ từ téc",DATA_GOC!$B:$B,DATE($D$2,$B$2,Z$4)),0))</f>
        <v>0</v>
      </c>
      <c r="AA191" s="251">
        <f>IF(AA$4&gt;DAY(EOMONTH(DATE($D$2,$B$2,1),0)),"",IFERROR(SUMIFS(DATA_GOC!$H:$H,DATA_GOC!$A:$A,"BOM",DATA_GOC!$D:$D,$B191,DATA_GOC!$E:$E,"Téc cát nghiền",DATA_GOC!$F:$F,"Xuất nội bộ từ téc",DATA_GOC!$B:$B,DATE($D$2,$B$2,AA$4)),0))</f>
        <v>0</v>
      </c>
      <c r="AB191" s="251">
        <f>IF(AB$4&gt;DAY(EOMONTH(DATE($D$2,$B$2,1),0)),"",IFERROR(SUMIFS(DATA_GOC!$H:$H,DATA_GOC!$A:$A,"BOM",DATA_GOC!$D:$D,$B191,DATA_GOC!$E:$E,"Téc cát nghiền",DATA_GOC!$F:$F,"Xuất nội bộ từ téc",DATA_GOC!$B:$B,DATE($D$2,$B$2,AB$4)),0))</f>
        <v>0</v>
      </c>
      <c r="AC191" s="251">
        <f>IF(AC$4&gt;DAY(EOMONTH(DATE($D$2,$B$2,1),0)),"",IFERROR(SUMIFS(DATA_GOC!$H:$H,DATA_GOC!$A:$A,"BOM",DATA_GOC!$D:$D,$B191,DATA_GOC!$E:$E,"Téc cát nghiền",DATA_GOC!$F:$F,"Xuất nội bộ từ téc",DATA_GOC!$B:$B,DATE($D$2,$B$2,AC$4)),0))</f>
        <v>0</v>
      </c>
      <c r="AD191" s="251">
        <f>IF(AD$4&gt;DAY(EOMONTH(DATE($D$2,$B$2,1),0)),"",IFERROR(SUMIFS(DATA_GOC!$H:$H,DATA_GOC!$A:$A,"BOM",DATA_GOC!$D:$D,$B191,DATA_GOC!$E:$E,"Téc cát nghiền",DATA_GOC!$F:$F,"Xuất nội bộ từ téc",DATA_GOC!$B:$B,DATE($D$2,$B$2,AD$4)),0))</f>
        <v>0</v>
      </c>
      <c r="AE191" s="251">
        <f>IF(AE$4&gt;DAY(EOMONTH(DATE($D$2,$B$2,1),0)),"",IFERROR(SUMIFS(DATA_GOC!$H:$H,DATA_GOC!$A:$A,"BOM",DATA_GOC!$D:$D,$B191,DATA_GOC!$E:$E,"Téc cát nghiền",DATA_GOC!$F:$F,"Xuất nội bộ từ téc",DATA_GOC!$B:$B,DATE($D$2,$B$2,AE$4)),0))</f>
        <v>0</v>
      </c>
      <c r="AF191" s="251">
        <f>IF(AF$4&gt;DAY(EOMONTH(DATE($D$2,$B$2,1),0)),"",IFERROR(SUMIFS(DATA_GOC!$H:$H,DATA_GOC!$A:$A,"BOM",DATA_GOC!$D:$D,$B191,DATA_GOC!$E:$E,"Téc cát nghiền",DATA_GOC!$F:$F,"Xuất nội bộ từ téc",DATA_GOC!$B:$B,DATE($D$2,$B$2,AF$4)),0))</f>
        <v>0</v>
      </c>
      <c r="AG191" s="251">
        <f>IF(AG$4&gt;DAY(EOMONTH(DATE($D$2,$B$2,1),0)),"",IFERROR(SUMIFS(DATA_GOC!$H:$H,DATA_GOC!$A:$A,"BOM",DATA_GOC!$D:$D,$B191,DATA_GOC!$E:$E,"Téc cát nghiền",DATA_GOC!$F:$F,"Xuất nội bộ từ téc",DATA_GOC!$B:$B,DATE($D$2,$B$2,AG$4)),0))</f>
        <v>0</v>
      </c>
      <c r="AH191" s="252">
        <f t="shared" si="10"/>
        <v>0</v>
      </c>
      <c r="AI191" s="241"/>
      <c r="AJ191" s="242">
        <f>IF($B191="","",SUMIFS(TINH_TEC!$K$233:$K$9232,TINH_TEC!$H$233:$H$9232,$B191,TINH_TEC!$C$233:$C$9232,"Téc cát nghiền",TINH_TEC!$F$233:$F$9232,$B$2,TINH_TEC!$G$233:$G$9232,$D$2,TINH_TEC!$B$233:$B$9232,"Đã chốt"))</f>
        <v>0</v>
      </c>
      <c r="AK191" s="242">
        <f>IF($B191="","",SUMIFS(TINH_TEC!$J$233:$J$9232,TINH_TEC!$H$233:$H$9232,$B191,TINH_TEC!$C$233:$C$9232,"Téc cát nghiền",TINH_TEC!$F$233:$F$9232,$B$2,TINH_TEC!$G$233:$G$9232,$D$2,TINH_TEC!$B$233:$B$9232,"Đã chốt"))</f>
        <v>0</v>
      </c>
      <c r="AL191" s="242">
        <f t="shared" si="11"/>
        <v>0</v>
      </c>
    </row>
    <row r="192" ht="15.75" customHeight="1">
      <c r="A192" s="237">
        <f>IF($B192&lt;&gt;"",4,"")</f>
        <v>4</v>
      </c>
      <c r="B192" s="250" t="str">
        <f t="array" ref="B192">IFERROR(INDEX(DANH_MUC!$E:$E,7),"")</f>
        <v>28C01165</v>
      </c>
      <c r="C192" s="251">
        <f>IF(C$4&gt;DAY(EOMONTH(DATE($D$2,$B$2,1),0)),"",IFERROR(SUMIFS(DATA_GOC!$H:$H,DATA_GOC!$A:$A,"BOM",DATA_GOC!$D:$D,$B192,DATA_GOC!$E:$E,"Téc cát nghiền",DATA_GOC!$F:$F,"Xuất nội bộ từ téc",DATA_GOC!$B:$B,DATE($D$2,$B$2,C$4)),0))</f>
        <v>0</v>
      </c>
      <c r="D192" s="251">
        <f>IF(D$4&gt;DAY(EOMONTH(DATE($D$2,$B$2,1),0)),"",IFERROR(SUMIFS(DATA_GOC!$H:$H,DATA_GOC!$A:$A,"BOM",DATA_GOC!$D:$D,$B192,DATA_GOC!$E:$E,"Téc cát nghiền",DATA_GOC!$F:$F,"Xuất nội bộ từ téc",DATA_GOC!$B:$B,DATE($D$2,$B$2,D$4)),0))</f>
        <v>0</v>
      </c>
      <c r="E192" s="251">
        <f>IF(E$4&gt;DAY(EOMONTH(DATE($D$2,$B$2,1),0)),"",IFERROR(SUMIFS(DATA_GOC!$H:$H,DATA_GOC!$A:$A,"BOM",DATA_GOC!$D:$D,$B192,DATA_GOC!$E:$E,"Téc cát nghiền",DATA_GOC!$F:$F,"Xuất nội bộ từ téc",DATA_GOC!$B:$B,DATE($D$2,$B$2,E$4)),0))</f>
        <v>0</v>
      </c>
      <c r="F192" s="251">
        <f>IF(F$4&gt;DAY(EOMONTH(DATE($D$2,$B$2,1),0)),"",IFERROR(SUMIFS(DATA_GOC!$H:$H,DATA_GOC!$A:$A,"BOM",DATA_GOC!$D:$D,$B192,DATA_GOC!$E:$E,"Téc cát nghiền",DATA_GOC!$F:$F,"Xuất nội bộ từ téc",DATA_GOC!$B:$B,DATE($D$2,$B$2,F$4)),0))</f>
        <v>0</v>
      </c>
      <c r="G192" s="251">
        <f>IF(G$4&gt;DAY(EOMONTH(DATE($D$2,$B$2,1),0)),"",IFERROR(SUMIFS(DATA_GOC!$H:$H,DATA_GOC!$A:$A,"BOM",DATA_GOC!$D:$D,$B192,DATA_GOC!$E:$E,"Téc cát nghiền",DATA_GOC!$F:$F,"Xuất nội bộ từ téc",DATA_GOC!$B:$B,DATE($D$2,$B$2,G$4)),0))</f>
        <v>0</v>
      </c>
      <c r="H192" s="251">
        <f>IF(H$4&gt;DAY(EOMONTH(DATE($D$2,$B$2,1),0)),"",IFERROR(SUMIFS(DATA_GOC!$H:$H,DATA_GOC!$A:$A,"BOM",DATA_GOC!$D:$D,$B192,DATA_GOC!$E:$E,"Téc cát nghiền",DATA_GOC!$F:$F,"Xuất nội bộ từ téc",DATA_GOC!$B:$B,DATE($D$2,$B$2,H$4)),0))</f>
        <v>0</v>
      </c>
      <c r="I192" s="251">
        <f>IF(I$4&gt;DAY(EOMONTH(DATE($D$2,$B$2,1),0)),"",IFERROR(SUMIFS(DATA_GOC!$H:$H,DATA_GOC!$A:$A,"BOM",DATA_GOC!$D:$D,$B192,DATA_GOC!$E:$E,"Téc cát nghiền",DATA_GOC!$F:$F,"Xuất nội bộ từ téc",DATA_GOC!$B:$B,DATE($D$2,$B$2,I$4)),0))</f>
        <v>0</v>
      </c>
      <c r="J192" s="251">
        <f>IF(J$4&gt;DAY(EOMONTH(DATE($D$2,$B$2,1),0)),"",IFERROR(SUMIFS(DATA_GOC!$H:$H,DATA_GOC!$A:$A,"BOM",DATA_GOC!$D:$D,$B192,DATA_GOC!$E:$E,"Téc cát nghiền",DATA_GOC!$F:$F,"Xuất nội bộ từ téc",DATA_GOC!$B:$B,DATE($D$2,$B$2,J$4)),0))</f>
        <v>0</v>
      </c>
      <c r="K192" s="251">
        <f>IF(K$4&gt;DAY(EOMONTH(DATE($D$2,$B$2,1),0)),"",IFERROR(SUMIFS(DATA_GOC!$H:$H,DATA_GOC!$A:$A,"BOM",DATA_GOC!$D:$D,$B192,DATA_GOC!$E:$E,"Téc cát nghiền",DATA_GOC!$F:$F,"Xuất nội bộ từ téc",DATA_GOC!$B:$B,DATE($D$2,$B$2,K$4)),0))</f>
        <v>0</v>
      </c>
      <c r="L192" s="251">
        <f>IF(L$4&gt;DAY(EOMONTH(DATE($D$2,$B$2,1),0)),"",IFERROR(SUMIFS(DATA_GOC!$H:$H,DATA_GOC!$A:$A,"BOM",DATA_GOC!$D:$D,$B192,DATA_GOC!$E:$E,"Téc cát nghiền",DATA_GOC!$F:$F,"Xuất nội bộ từ téc",DATA_GOC!$B:$B,DATE($D$2,$B$2,L$4)),0))</f>
        <v>0</v>
      </c>
      <c r="M192" s="251">
        <f>IF(M$4&gt;DAY(EOMONTH(DATE($D$2,$B$2,1),0)),"",IFERROR(SUMIFS(DATA_GOC!$H:$H,DATA_GOC!$A:$A,"BOM",DATA_GOC!$D:$D,$B192,DATA_GOC!$E:$E,"Téc cát nghiền",DATA_GOC!$F:$F,"Xuất nội bộ từ téc",DATA_GOC!$B:$B,DATE($D$2,$B$2,M$4)),0))</f>
        <v>0</v>
      </c>
      <c r="N192" s="251">
        <f>IF(N$4&gt;DAY(EOMONTH(DATE($D$2,$B$2,1),0)),"",IFERROR(SUMIFS(DATA_GOC!$H:$H,DATA_GOC!$A:$A,"BOM",DATA_GOC!$D:$D,$B192,DATA_GOC!$E:$E,"Téc cát nghiền",DATA_GOC!$F:$F,"Xuất nội bộ từ téc",DATA_GOC!$B:$B,DATE($D$2,$B$2,N$4)),0))</f>
        <v>0</v>
      </c>
      <c r="O192" s="251">
        <f>IF(O$4&gt;DAY(EOMONTH(DATE($D$2,$B$2,1),0)),"",IFERROR(SUMIFS(DATA_GOC!$H:$H,DATA_GOC!$A:$A,"BOM",DATA_GOC!$D:$D,$B192,DATA_GOC!$E:$E,"Téc cát nghiền",DATA_GOC!$F:$F,"Xuất nội bộ từ téc",DATA_GOC!$B:$B,DATE($D$2,$B$2,O$4)),0))</f>
        <v>0</v>
      </c>
      <c r="P192" s="251">
        <f>IF(P$4&gt;DAY(EOMONTH(DATE($D$2,$B$2,1),0)),"",IFERROR(SUMIFS(DATA_GOC!$H:$H,DATA_GOC!$A:$A,"BOM",DATA_GOC!$D:$D,$B192,DATA_GOC!$E:$E,"Téc cát nghiền",DATA_GOC!$F:$F,"Xuất nội bộ từ téc",DATA_GOC!$B:$B,DATE($D$2,$B$2,P$4)),0))</f>
        <v>0</v>
      </c>
      <c r="Q192" s="251">
        <f>IF(Q$4&gt;DAY(EOMONTH(DATE($D$2,$B$2,1),0)),"",IFERROR(SUMIFS(DATA_GOC!$H:$H,DATA_GOC!$A:$A,"BOM",DATA_GOC!$D:$D,$B192,DATA_GOC!$E:$E,"Téc cát nghiền",DATA_GOC!$F:$F,"Xuất nội bộ từ téc",DATA_GOC!$B:$B,DATE($D$2,$B$2,Q$4)),0))</f>
        <v>0</v>
      </c>
      <c r="R192" s="251">
        <f>IF(R$4&gt;DAY(EOMONTH(DATE($D$2,$B$2,1),0)),"",IFERROR(SUMIFS(DATA_GOC!$H:$H,DATA_GOC!$A:$A,"BOM",DATA_GOC!$D:$D,$B192,DATA_GOC!$E:$E,"Téc cát nghiền",DATA_GOC!$F:$F,"Xuất nội bộ từ téc",DATA_GOC!$B:$B,DATE($D$2,$B$2,R$4)),0))</f>
        <v>0</v>
      </c>
      <c r="S192" s="251">
        <f>IF(S$4&gt;DAY(EOMONTH(DATE($D$2,$B$2,1),0)),"",IFERROR(SUMIFS(DATA_GOC!$H:$H,DATA_GOC!$A:$A,"BOM",DATA_GOC!$D:$D,$B192,DATA_GOC!$E:$E,"Téc cát nghiền",DATA_GOC!$F:$F,"Xuất nội bộ từ téc",DATA_GOC!$B:$B,DATE($D$2,$B$2,S$4)),0))</f>
        <v>0</v>
      </c>
      <c r="T192" s="251">
        <f>IF(T$4&gt;DAY(EOMONTH(DATE($D$2,$B$2,1),0)),"",IFERROR(SUMIFS(DATA_GOC!$H:$H,DATA_GOC!$A:$A,"BOM",DATA_GOC!$D:$D,$B192,DATA_GOC!$E:$E,"Téc cát nghiền",DATA_GOC!$F:$F,"Xuất nội bộ từ téc",DATA_GOC!$B:$B,DATE($D$2,$B$2,T$4)),0))</f>
        <v>0</v>
      </c>
      <c r="U192" s="251">
        <f>IF(U$4&gt;DAY(EOMONTH(DATE($D$2,$B$2,1),0)),"",IFERROR(SUMIFS(DATA_GOC!$H:$H,DATA_GOC!$A:$A,"BOM",DATA_GOC!$D:$D,$B192,DATA_GOC!$E:$E,"Téc cát nghiền",DATA_GOC!$F:$F,"Xuất nội bộ từ téc",DATA_GOC!$B:$B,DATE($D$2,$B$2,U$4)),0))</f>
        <v>0</v>
      </c>
      <c r="V192" s="251">
        <f>IF(V$4&gt;DAY(EOMONTH(DATE($D$2,$B$2,1),0)),"",IFERROR(SUMIFS(DATA_GOC!$H:$H,DATA_GOC!$A:$A,"BOM",DATA_GOC!$D:$D,$B192,DATA_GOC!$E:$E,"Téc cát nghiền",DATA_GOC!$F:$F,"Xuất nội bộ từ téc",DATA_GOC!$B:$B,DATE($D$2,$B$2,V$4)),0))</f>
        <v>0</v>
      </c>
      <c r="W192" s="251">
        <f>IF(W$4&gt;DAY(EOMONTH(DATE($D$2,$B$2,1),0)),"",IFERROR(SUMIFS(DATA_GOC!$H:$H,DATA_GOC!$A:$A,"BOM",DATA_GOC!$D:$D,$B192,DATA_GOC!$E:$E,"Téc cát nghiền",DATA_GOC!$F:$F,"Xuất nội bộ từ téc",DATA_GOC!$B:$B,DATE($D$2,$B$2,W$4)),0))</f>
        <v>0</v>
      </c>
      <c r="X192" s="251">
        <f>IF(X$4&gt;DAY(EOMONTH(DATE($D$2,$B$2,1),0)),"",IFERROR(SUMIFS(DATA_GOC!$H:$H,DATA_GOC!$A:$A,"BOM",DATA_GOC!$D:$D,$B192,DATA_GOC!$E:$E,"Téc cát nghiền",DATA_GOC!$F:$F,"Xuất nội bộ từ téc",DATA_GOC!$B:$B,DATE($D$2,$B$2,X$4)),0))</f>
        <v>0</v>
      </c>
      <c r="Y192" s="251">
        <f>IF(Y$4&gt;DAY(EOMONTH(DATE($D$2,$B$2,1),0)),"",IFERROR(SUMIFS(DATA_GOC!$H:$H,DATA_GOC!$A:$A,"BOM",DATA_GOC!$D:$D,$B192,DATA_GOC!$E:$E,"Téc cát nghiền",DATA_GOC!$F:$F,"Xuất nội bộ từ téc",DATA_GOC!$B:$B,DATE($D$2,$B$2,Y$4)),0))</f>
        <v>0</v>
      </c>
      <c r="Z192" s="251">
        <f>IF(Z$4&gt;DAY(EOMONTH(DATE($D$2,$B$2,1),0)),"",IFERROR(SUMIFS(DATA_GOC!$H:$H,DATA_GOC!$A:$A,"BOM",DATA_GOC!$D:$D,$B192,DATA_GOC!$E:$E,"Téc cát nghiền",DATA_GOC!$F:$F,"Xuất nội bộ từ téc",DATA_GOC!$B:$B,DATE($D$2,$B$2,Z$4)),0))</f>
        <v>0</v>
      </c>
      <c r="AA192" s="251">
        <f>IF(AA$4&gt;DAY(EOMONTH(DATE($D$2,$B$2,1),0)),"",IFERROR(SUMIFS(DATA_GOC!$H:$H,DATA_GOC!$A:$A,"BOM",DATA_GOC!$D:$D,$B192,DATA_GOC!$E:$E,"Téc cát nghiền",DATA_GOC!$F:$F,"Xuất nội bộ từ téc",DATA_GOC!$B:$B,DATE($D$2,$B$2,AA$4)),0))</f>
        <v>0</v>
      </c>
      <c r="AB192" s="251">
        <f>IF(AB$4&gt;DAY(EOMONTH(DATE($D$2,$B$2,1),0)),"",IFERROR(SUMIFS(DATA_GOC!$H:$H,DATA_GOC!$A:$A,"BOM",DATA_GOC!$D:$D,$B192,DATA_GOC!$E:$E,"Téc cát nghiền",DATA_GOC!$F:$F,"Xuất nội bộ từ téc",DATA_GOC!$B:$B,DATE($D$2,$B$2,AB$4)),0))</f>
        <v>0</v>
      </c>
      <c r="AC192" s="251">
        <f>IF(AC$4&gt;DAY(EOMONTH(DATE($D$2,$B$2,1),0)),"",IFERROR(SUMIFS(DATA_GOC!$H:$H,DATA_GOC!$A:$A,"BOM",DATA_GOC!$D:$D,$B192,DATA_GOC!$E:$E,"Téc cát nghiền",DATA_GOC!$F:$F,"Xuất nội bộ từ téc",DATA_GOC!$B:$B,DATE($D$2,$B$2,AC$4)),0))</f>
        <v>0</v>
      </c>
      <c r="AD192" s="251">
        <f>IF(AD$4&gt;DAY(EOMONTH(DATE($D$2,$B$2,1),0)),"",IFERROR(SUMIFS(DATA_GOC!$H:$H,DATA_GOC!$A:$A,"BOM",DATA_GOC!$D:$D,$B192,DATA_GOC!$E:$E,"Téc cát nghiền",DATA_GOC!$F:$F,"Xuất nội bộ từ téc",DATA_GOC!$B:$B,DATE($D$2,$B$2,AD$4)),0))</f>
        <v>0</v>
      </c>
      <c r="AE192" s="251">
        <f>IF(AE$4&gt;DAY(EOMONTH(DATE($D$2,$B$2,1),0)),"",IFERROR(SUMIFS(DATA_GOC!$H:$H,DATA_GOC!$A:$A,"BOM",DATA_GOC!$D:$D,$B192,DATA_GOC!$E:$E,"Téc cát nghiền",DATA_GOC!$F:$F,"Xuất nội bộ từ téc",DATA_GOC!$B:$B,DATE($D$2,$B$2,AE$4)),0))</f>
        <v>0</v>
      </c>
      <c r="AF192" s="251">
        <f>IF(AF$4&gt;DAY(EOMONTH(DATE($D$2,$B$2,1),0)),"",IFERROR(SUMIFS(DATA_GOC!$H:$H,DATA_GOC!$A:$A,"BOM",DATA_GOC!$D:$D,$B192,DATA_GOC!$E:$E,"Téc cát nghiền",DATA_GOC!$F:$F,"Xuất nội bộ từ téc",DATA_GOC!$B:$B,DATE($D$2,$B$2,AF$4)),0))</f>
        <v>0</v>
      </c>
      <c r="AG192" s="251">
        <f>IF(AG$4&gt;DAY(EOMONTH(DATE($D$2,$B$2,1),0)),"",IFERROR(SUMIFS(DATA_GOC!$H:$H,DATA_GOC!$A:$A,"BOM",DATA_GOC!$D:$D,$B192,DATA_GOC!$E:$E,"Téc cát nghiền",DATA_GOC!$F:$F,"Xuất nội bộ từ téc",DATA_GOC!$B:$B,DATE($D$2,$B$2,AG$4)),0))</f>
        <v>0</v>
      </c>
      <c r="AH192" s="252">
        <f t="shared" si="10"/>
        <v>0</v>
      </c>
      <c r="AI192" s="241"/>
      <c r="AJ192" s="242">
        <f>IF($B192="","",SUMIFS(TINH_TEC!$K$233:$K$9232,TINH_TEC!$H$233:$H$9232,$B192,TINH_TEC!$C$233:$C$9232,"Téc cát nghiền",TINH_TEC!$F$233:$F$9232,$B$2,TINH_TEC!$G$233:$G$9232,$D$2,TINH_TEC!$B$233:$B$9232,"Đã chốt"))</f>
        <v>0</v>
      </c>
      <c r="AK192" s="242">
        <f>IF($B192="","",SUMIFS(TINH_TEC!$J$233:$J$9232,TINH_TEC!$H$233:$H$9232,$B192,TINH_TEC!$C$233:$C$9232,"Téc cát nghiền",TINH_TEC!$F$233:$F$9232,$B$2,TINH_TEC!$G$233:$G$9232,$D$2,TINH_TEC!$B$233:$B$9232,"Đã chốt"))</f>
        <v>0</v>
      </c>
      <c r="AL192" s="242">
        <f t="shared" si="11"/>
        <v>0</v>
      </c>
    </row>
    <row r="193" ht="15.75" customHeight="1">
      <c r="A193" s="237">
        <f>IF($B193&lt;&gt;"",5,"")</f>
        <v>5</v>
      </c>
      <c r="B193" s="250" t="str">
        <f t="array" ref="B193">IFERROR(INDEX(DANH_MUC!$E:$E,8),"")</f>
        <v>28C01406</v>
      </c>
      <c r="C193" s="251">
        <f>IF(C$4&gt;DAY(EOMONTH(DATE($D$2,$B$2,1),0)),"",IFERROR(SUMIFS(DATA_GOC!$H:$H,DATA_GOC!$A:$A,"BOM",DATA_GOC!$D:$D,$B193,DATA_GOC!$E:$E,"Téc cát nghiền",DATA_GOC!$F:$F,"Xuất nội bộ từ téc",DATA_GOC!$B:$B,DATE($D$2,$B$2,C$4)),0))</f>
        <v>0</v>
      </c>
      <c r="D193" s="251">
        <f>IF(D$4&gt;DAY(EOMONTH(DATE($D$2,$B$2,1),0)),"",IFERROR(SUMIFS(DATA_GOC!$H:$H,DATA_GOC!$A:$A,"BOM",DATA_GOC!$D:$D,$B193,DATA_GOC!$E:$E,"Téc cát nghiền",DATA_GOC!$F:$F,"Xuất nội bộ từ téc",DATA_GOC!$B:$B,DATE($D$2,$B$2,D$4)),0))</f>
        <v>0</v>
      </c>
      <c r="E193" s="251">
        <f>IF(E$4&gt;DAY(EOMONTH(DATE($D$2,$B$2,1),0)),"",IFERROR(SUMIFS(DATA_GOC!$H:$H,DATA_GOC!$A:$A,"BOM",DATA_GOC!$D:$D,$B193,DATA_GOC!$E:$E,"Téc cát nghiền",DATA_GOC!$F:$F,"Xuất nội bộ từ téc",DATA_GOC!$B:$B,DATE($D$2,$B$2,E$4)),0))</f>
        <v>0</v>
      </c>
      <c r="F193" s="251">
        <f>IF(F$4&gt;DAY(EOMONTH(DATE($D$2,$B$2,1),0)),"",IFERROR(SUMIFS(DATA_GOC!$H:$H,DATA_GOC!$A:$A,"BOM",DATA_GOC!$D:$D,$B193,DATA_GOC!$E:$E,"Téc cát nghiền",DATA_GOC!$F:$F,"Xuất nội bộ từ téc",DATA_GOC!$B:$B,DATE($D$2,$B$2,F$4)),0))</f>
        <v>0</v>
      </c>
      <c r="G193" s="251">
        <f>IF(G$4&gt;DAY(EOMONTH(DATE($D$2,$B$2,1),0)),"",IFERROR(SUMIFS(DATA_GOC!$H:$H,DATA_GOC!$A:$A,"BOM",DATA_GOC!$D:$D,$B193,DATA_GOC!$E:$E,"Téc cát nghiền",DATA_GOC!$F:$F,"Xuất nội bộ từ téc",DATA_GOC!$B:$B,DATE($D$2,$B$2,G$4)),0))</f>
        <v>0</v>
      </c>
      <c r="H193" s="251">
        <f>IF(H$4&gt;DAY(EOMONTH(DATE($D$2,$B$2,1),0)),"",IFERROR(SUMIFS(DATA_GOC!$H:$H,DATA_GOC!$A:$A,"BOM",DATA_GOC!$D:$D,$B193,DATA_GOC!$E:$E,"Téc cát nghiền",DATA_GOC!$F:$F,"Xuất nội bộ từ téc",DATA_GOC!$B:$B,DATE($D$2,$B$2,H$4)),0))</f>
        <v>0</v>
      </c>
      <c r="I193" s="251">
        <f>IF(I$4&gt;DAY(EOMONTH(DATE($D$2,$B$2,1),0)),"",IFERROR(SUMIFS(DATA_GOC!$H:$H,DATA_GOC!$A:$A,"BOM",DATA_GOC!$D:$D,$B193,DATA_GOC!$E:$E,"Téc cát nghiền",DATA_GOC!$F:$F,"Xuất nội bộ từ téc",DATA_GOC!$B:$B,DATE($D$2,$B$2,I$4)),0))</f>
        <v>0</v>
      </c>
      <c r="J193" s="251">
        <f>IF(J$4&gt;DAY(EOMONTH(DATE($D$2,$B$2,1),0)),"",IFERROR(SUMIFS(DATA_GOC!$H:$H,DATA_GOC!$A:$A,"BOM",DATA_GOC!$D:$D,$B193,DATA_GOC!$E:$E,"Téc cát nghiền",DATA_GOC!$F:$F,"Xuất nội bộ từ téc",DATA_GOC!$B:$B,DATE($D$2,$B$2,J$4)),0))</f>
        <v>0</v>
      </c>
      <c r="K193" s="251">
        <f>IF(K$4&gt;DAY(EOMONTH(DATE($D$2,$B$2,1),0)),"",IFERROR(SUMIFS(DATA_GOC!$H:$H,DATA_GOC!$A:$A,"BOM",DATA_GOC!$D:$D,$B193,DATA_GOC!$E:$E,"Téc cát nghiền",DATA_GOC!$F:$F,"Xuất nội bộ từ téc",DATA_GOC!$B:$B,DATE($D$2,$B$2,K$4)),0))</f>
        <v>0</v>
      </c>
      <c r="L193" s="251">
        <f>IF(L$4&gt;DAY(EOMONTH(DATE($D$2,$B$2,1),0)),"",IFERROR(SUMIFS(DATA_GOC!$H:$H,DATA_GOC!$A:$A,"BOM",DATA_GOC!$D:$D,$B193,DATA_GOC!$E:$E,"Téc cát nghiền",DATA_GOC!$F:$F,"Xuất nội bộ từ téc",DATA_GOC!$B:$B,DATE($D$2,$B$2,L$4)),0))</f>
        <v>0</v>
      </c>
      <c r="M193" s="251">
        <f>IF(M$4&gt;DAY(EOMONTH(DATE($D$2,$B$2,1),0)),"",IFERROR(SUMIFS(DATA_GOC!$H:$H,DATA_GOC!$A:$A,"BOM",DATA_GOC!$D:$D,$B193,DATA_GOC!$E:$E,"Téc cát nghiền",DATA_GOC!$F:$F,"Xuất nội bộ từ téc",DATA_GOC!$B:$B,DATE($D$2,$B$2,M$4)),0))</f>
        <v>0</v>
      </c>
      <c r="N193" s="251">
        <f>IF(N$4&gt;DAY(EOMONTH(DATE($D$2,$B$2,1),0)),"",IFERROR(SUMIFS(DATA_GOC!$H:$H,DATA_GOC!$A:$A,"BOM",DATA_GOC!$D:$D,$B193,DATA_GOC!$E:$E,"Téc cát nghiền",DATA_GOC!$F:$F,"Xuất nội bộ từ téc",DATA_GOC!$B:$B,DATE($D$2,$B$2,N$4)),0))</f>
        <v>0</v>
      </c>
      <c r="O193" s="251">
        <f>IF(O$4&gt;DAY(EOMONTH(DATE($D$2,$B$2,1),0)),"",IFERROR(SUMIFS(DATA_GOC!$H:$H,DATA_GOC!$A:$A,"BOM",DATA_GOC!$D:$D,$B193,DATA_GOC!$E:$E,"Téc cát nghiền",DATA_GOC!$F:$F,"Xuất nội bộ từ téc",DATA_GOC!$B:$B,DATE($D$2,$B$2,O$4)),0))</f>
        <v>0</v>
      </c>
      <c r="P193" s="251">
        <f>IF(P$4&gt;DAY(EOMONTH(DATE($D$2,$B$2,1),0)),"",IFERROR(SUMIFS(DATA_GOC!$H:$H,DATA_GOC!$A:$A,"BOM",DATA_GOC!$D:$D,$B193,DATA_GOC!$E:$E,"Téc cát nghiền",DATA_GOC!$F:$F,"Xuất nội bộ từ téc",DATA_GOC!$B:$B,DATE($D$2,$B$2,P$4)),0))</f>
        <v>0</v>
      </c>
      <c r="Q193" s="251">
        <f>IF(Q$4&gt;DAY(EOMONTH(DATE($D$2,$B$2,1),0)),"",IFERROR(SUMIFS(DATA_GOC!$H:$H,DATA_GOC!$A:$A,"BOM",DATA_GOC!$D:$D,$B193,DATA_GOC!$E:$E,"Téc cát nghiền",DATA_GOC!$F:$F,"Xuất nội bộ từ téc",DATA_GOC!$B:$B,DATE($D$2,$B$2,Q$4)),0))</f>
        <v>0</v>
      </c>
      <c r="R193" s="251">
        <f>IF(R$4&gt;DAY(EOMONTH(DATE($D$2,$B$2,1),0)),"",IFERROR(SUMIFS(DATA_GOC!$H:$H,DATA_GOC!$A:$A,"BOM",DATA_GOC!$D:$D,$B193,DATA_GOC!$E:$E,"Téc cát nghiền",DATA_GOC!$F:$F,"Xuất nội bộ từ téc",DATA_GOC!$B:$B,DATE($D$2,$B$2,R$4)),0))</f>
        <v>0</v>
      </c>
      <c r="S193" s="251">
        <f>IF(S$4&gt;DAY(EOMONTH(DATE($D$2,$B$2,1),0)),"",IFERROR(SUMIFS(DATA_GOC!$H:$H,DATA_GOC!$A:$A,"BOM",DATA_GOC!$D:$D,$B193,DATA_GOC!$E:$E,"Téc cát nghiền",DATA_GOC!$F:$F,"Xuất nội bộ từ téc",DATA_GOC!$B:$B,DATE($D$2,$B$2,S$4)),0))</f>
        <v>0</v>
      </c>
      <c r="T193" s="251">
        <f>IF(T$4&gt;DAY(EOMONTH(DATE($D$2,$B$2,1),0)),"",IFERROR(SUMIFS(DATA_GOC!$H:$H,DATA_GOC!$A:$A,"BOM",DATA_GOC!$D:$D,$B193,DATA_GOC!$E:$E,"Téc cát nghiền",DATA_GOC!$F:$F,"Xuất nội bộ từ téc",DATA_GOC!$B:$B,DATE($D$2,$B$2,T$4)),0))</f>
        <v>0</v>
      </c>
      <c r="U193" s="251">
        <f>IF(U$4&gt;DAY(EOMONTH(DATE($D$2,$B$2,1),0)),"",IFERROR(SUMIFS(DATA_GOC!$H:$H,DATA_GOC!$A:$A,"BOM",DATA_GOC!$D:$D,$B193,DATA_GOC!$E:$E,"Téc cát nghiền",DATA_GOC!$F:$F,"Xuất nội bộ từ téc",DATA_GOC!$B:$B,DATE($D$2,$B$2,U$4)),0))</f>
        <v>0</v>
      </c>
      <c r="V193" s="251">
        <f>IF(V$4&gt;DAY(EOMONTH(DATE($D$2,$B$2,1),0)),"",IFERROR(SUMIFS(DATA_GOC!$H:$H,DATA_GOC!$A:$A,"BOM",DATA_GOC!$D:$D,$B193,DATA_GOC!$E:$E,"Téc cát nghiền",DATA_GOC!$F:$F,"Xuất nội bộ từ téc",DATA_GOC!$B:$B,DATE($D$2,$B$2,V$4)),0))</f>
        <v>0</v>
      </c>
      <c r="W193" s="251">
        <f>IF(W$4&gt;DAY(EOMONTH(DATE($D$2,$B$2,1),0)),"",IFERROR(SUMIFS(DATA_GOC!$H:$H,DATA_GOC!$A:$A,"BOM",DATA_GOC!$D:$D,$B193,DATA_GOC!$E:$E,"Téc cát nghiền",DATA_GOC!$F:$F,"Xuất nội bộ từ téc",DATA_GOC!$B:$B,DATE($D$2,$B$2,W$4)),0))</f>
        <v>0</v>
      </c>
      <c r="X193" s="251">
        <f>IF(X$4&gt;DAY(EOMONTH(DATE($D$2,$B$2,1),0)),"",IFERROR(SUMIFS(DATA_GOC!$H:$H,DATA_GOC!$A:$A,"BOM",DATA_GOC!$D:$D,$B193,DATA_GOC!$E:$E,"Téc cát nghiền",DATA_GOC!$F:$F,"Xuất nội bộ từ téc",DATA_GOC!$B:$B,DATE($D$2,$B$2,X$4)),0))</f>
        <v>0</v>
      </c>
      <c r="Y193" s="251">
        <f>IF(Y$4&gt;DAY(EOMONTH(DATE($D$2,$B$2,1),0)),"",IFERROR(SUMIFS(DATA_GOC!$H:$H,DATA_GOC!$A:$A,"BOM",DATA_GOC!$D:$D,$B193,DATA_GOC!$E:$E,"Téc cát nghiền",DATA_GOC!$F:$F,"Xuất nội bộ từ téc",DATA_GOC!$B:$B,DATE($D$2,$B$2,Y$4)),0))</f>
        <v>0</v>
      </c>
      <c r="Z193" s="251">
        <f>IF(Z$4&gt;DAY(EOMONTH(DATE($D$2,$B$2,1),0)),"",IFERROR(SUMIFS(DATA_GOC!$H:$H,DATA_GOC!$A:$A,"BOM",DATA_GOC!$D:$D,$B193,DATA_GOC!$E:$E,"Téc cát nghiền",DATA_GOC!$F:$F,"Xuất nội bộ từ téc",DATA_GOC!$B:$B,DATE($D$2,$B$2,Z$4)),0))</f>
        <v>0</v>
      </c>
      <c r="AA193" s="251">
        <f>IF(AA$4&gt;DAY(EOMONTH(DATE($D$2,$B$2,1),0)),"",IFERROR(SUMIFS(DATA_GOC!$H:$H,DATA_GOC!$A:$A,"BOM",DATA_GOC!$D:$D,$B193,DATA_GOC!$E:$E,"Téc cát nghiền",DATA_GOC!$F:$F,"Xuất nội bộ từ téc",DATA_GOC!$B:$B,DATE($D$2,$B$2,AA$4)),0))</f>
        <v>0</v>
      </c>
      <c r="AB193" s="251">
        <f>IF(AB$4&gt;DAY(EOMONTH(DATE($D$2,$B$2,1),0)),"",IFERROR(SUMIFS(DATA_GOC!$H:$H,DATA_GOC!$A:$A,"BOM",DATA_GOC!$D:$D,$B193,DATA_GOC!$E:$E,"Téc cát nghiền",DATA_GOC!$F:$F,"Xuất nội bộ từ téc",DATA_GOC!$B:$B,DATE($D$2,$B$2,AB$4)),0))</f>
        <v>0</v>
      </c>
      <c r="AC193" s="251">
        <f>IF(AC$4&gt;DAY(EOMONTH(DATE($D$2,$B$2,1),0)),"",IFERROR(SUMIFS(DATA_GOC!$H:$H,DATA_GOC!$A:$A,"BOM",DATA_GOC!$D:$D,$B193,DATA_GOC!$E:$E,"Téc cát nghiền",DATA_GOC!$F:$F,"Xuất nội bộ từ téc",DATA_GOC!$B:$B,DATE($D$2,$B$2,AC$4)),0))</f>
        <v>0</v>
      </c>
      <c r="AD193" s="251">
        <f>IF(AD$4&gt;DAY(EOMONTH(DATE($D$2,$B$2,1),0)),"",IFERROR(SUMIFS(DATA_GOC!$H:$H,DATA_GOC!$A:$A,"BOM",DATA_GOC!$D:$D,$B193,DATA_GOC!$E:$E,"Téc cát nghiền",DATA_GOC!$F:$F,"Xuất nội bộ từ téc",DATA_GOC!$B:$B,DATE($D$2,$B$2,AD$4)),0))</f>
        <v>0</v>
      </c>
      <c r="AE193" s="251">
        <f>IF(AE$4&gt;DAY(EOMONTH(DATE($D$2,$B$2,1),0)),"",IFERROR(SUMIFS(DATA_GOC!$H:$H,DATA_GOC!$A:$A,"BOM",DATA_GOC!$D:$D,$B193,DATA_GOC!$E:$E,"Téc cát nghiền",DATA_GOC!$F:$F,"Xuất nội bộ từ téc",DATA_GOC!$B:$B,DATE($D$2,$B$2,AE$4)),0))</f>
        <v>0</v>
      </c>
      <c r="AF193" s="251">
        <f>IF(AF$4&gt;DAY(EOMONTH(DATE($D$2,$B$2,1),0)),"",IFERROR(SUMIFS(DATA_GOC!$H:$H,DATA_GOC!$A:$A,"BOM",DATA_GOC!$D:$D,$B193,DATA_GOC!$E:$E,"Téc cát nghiền",DATA_GOC!$F:$F,"Xuất nội bộ từ téc",DATA_GOC!$B:$B,DATE($D$2,$B$2,AF$4)),0))</f>
        <v>0</v>
      </c>
      <c r="AG193" s="251">
        <f>IF(AG$4&gt;DAY(EOMONTH(DATE($D$2,$B$2,1),0)),"",IFERROR(SUMIFS(DATA_GOC!$H:$H,DATA_GOC!$A:$A,"BOM",DATA_GOC!$D:$D,$B193,DATA_GOC!$E:$E,"Téc cát nghiền",DATA_GOC!$F:$F,"Xuất nội bộ từ téc",DATA_GOC!$B:$B,DATE($D$2,$B$2,AG$4)),0))</f>
        <v>0</v>
      </c>
      <c r="AH193" s="252">
        <f t="shared" si="10"/>
        <v>0</v>
      </c>
      <c r="AI193" s="241"/>
      <c r="AJ193" s="242">
        <f>IF($B193="","",SUMIFS(TINH_TEC!$K$233:$K$9232,TINH_TEC!$H$233:$H$9232,$B193,TINH_TEC!$C$233:$C$9232,"Téc cát nghiền",TINH_TEC!$F$233:$F$9232,$B$2,TINH_TEC!$G$233:$G$9232,$D$2,TINH_TEC!$B$233:$B$9232,"Đã chốt"))</f>
        <v>0</v>
      </c>
      <c r="AK193" s="242">
        <f>IF($B193="","",SUMIFS(TINH_TEC!$J$233:$J$9232,TINH_TEC!$H$233:$H$9232,$B193,TINH_TEC!$C$233:$C$9232,"Téc cát nghiền",TINH_TEC!$F$233:$F$9232,$B$2,TINH_TEC!$G$233:$G$9232,$D$2,TINH_TEC!$B$233:$B$9232,"Đã chốt"))</f>
        <v>0</v>
      </c>
      <c r="AL193" s="242">
        <f t="shared" si="11"/>
        <v>0</v>
      </c>
    </row>
    <row r="194" ht="15.75" customHeight="1">
      <c r="A194" s="237">
        <f>IF($B194&lt;&gt;"",6,"")</f>
        <v>6</v>
      </c>
      <c r="B194" s="250" t="str">
        <f t="array" ref="B194">IFERROR(INDEX(DANH_MUC!$E:$E,9),"")</f>
        <v>28C01544</v>
      </c>
      <c r="C194" s="251">
        <f>IF(C$4&gt;DAY(EOMONTH(DATE($D$2,$B$2,1),0)),"",IFERROR(SUMIFS(DATA_GOC!$H:$H,DATA_GOC!$A:$A,"BOM",DATA_GOC!$D:$D,$B194,DATA_GOC!$E:$E,"Téc cát nghiền",DATA_GOC!$F:$F,"Xuất nội bộ từ téc",DATA_GOC!$B:$B,DATE($D$2,$B$2,C$4)),0))</f>
        <v>0</v>
      </c>
      <c r="D194" s="251">
        <f>IF(D$4&gt;DAY(EOMONTH(DATE($D$2,$B$2,1),0)),"",IFERROR(SUMIFS(DATA_GOC!$H:$H,DATA_GOC!$A:$A,"BOM",DATA_GOC!$D:$D,$B194,DATA_GOC!$E:$E,"Téc cát nghiền",DATA_GOC!$F:$F,"Xuất nội bộ từ téc",DATA_GOC!$B:$B,DATE($D$2,$B$2,D$4)),0))</f>
        <v>0</v>
      </c>
      <c r="E194" s="251">
        <f>IF(E$4&gt;DAY(EOMONTH(DATE($D$2,$B$2,1),0)),"",IFERROR(SUMIFS(DATA_GOC!$H:$H,DATA_GOC!$A:$A,"BOM",DATA_GOC!$D:$D,$B194,DATA_GOC!$E:$E,"Téc cát nghiền",DATA_GOC!$F:$F,"Xuất nội bộ từ téc",DATA_GOC!$B:$B,DATE($D$2,$B$2,E$4)),0))</f>
        <v>0</v>
      </c>
      <c r="F194" s="251">
        <f>IF(F$4&gt;DAY(EOMONTH(DATE($D$2,$B$2,1),0)),"",IFERROR(SUMIFS(DATA_GOC!$H:$H,DATA_GOC!$A:$A,"BOM",DATA_GOC!$D:$D,$B194,DATA_GOC!$E:$E,"Téc cát nghiền",DATA_GOC!$F:$F,"Xuất nội bộ từ téc",DATA_GOC!$B:$B,DATE($D$2,$B$2,F$4)),0))</f>
        <v>0</v>
      </c>
      <c r="G194" s="251">
        <f>IF(G$4&gt;DAY(EOMONTH(DATE($D$2,$B$2,1),0)),"",IFERROR(SUMIFS(DATA_GOC!$H:$H,DATA_GOC!$A:$A,"BOM",DATA_GOC!$D:$D,$B194,DATA_GOC!$E:$E,"Téc cát nghiền",DATA_GOC!$F:$F,"Xuất nội bộ từ téc",DATA_GOC!$B:$B,DATE($D$2,$B$2,G$4)),0))</f>
        <v>0</v>
      </c>
      <c r="H194" s="251">
        <f>IF(H$4&gt;DAY(EOMONTH(DATE($D$2,$B$2,1),0)),"",IFERROR(SUMIFS(DATA_GOC!$H:$H,DATA_GOC!$A:$A,"BOM",DATA_GOC!$D:$D,$B194,DATA_GOC!$E:$E,"Téc cát nghiền",DATA_GOC!$F:$F,"Xuất nội bộ từ téc",DATA_GOC!$B:$B,DATE($D$2,$B$2,H$4)),0))</f>
        <v>0</v>
      </c>
      <c r="I194" s="251">
        <f>IF(I$4&gt;DAY(EOMONTH(DATE($D$2,$B$2,1),0)),"",IFERROR(SUMIFS(DATA_GOC!$H:$H,DATA_GOC!$A:$A,"BOM",DATA_GOC!$D:$D,$B194,DATA_GOC!$E:$E,"Téc cát nghiền",DATA_GOC!$F:$F,"Xuất nội bộ từ téc",DATA_GOC!$B:$B,DATE($D$2,$B$2,I$4)),0))</f>
        <v>0</v>
      </c>
      <c r="J194" s="251">
        <f>IF(J$4&gt;DAY(EOMONTH(DATE($D$2,$B$2,1),0)),"",IFERROR(SUMIFS(DATA_GOC!$H:$H,DATA_GOC!$A:$A,"BOM",DATA_GOC!$D:$D,$B194,DATA_GOC!$E:$E,"Téc cát nghiền",DATA_GOC!$F:$F,"Xuất nội bộ từ téc",DATA_GOC!$B:$B,DATE($D$2,$B$2,J$4)),0))</f>
        <v>0</v>
      </c>
      <c r="K194" s="251">
        <f>IF(K$4&gt;DAY(EOMONTH(DATE($D$2,$B$2,1),0)),"",IFERROR(SUMIFS(DATA_GOC!$H:$H,DATA_GOC!$A:$A,"BOM",DATA_GOC!$D:$D,$B194,DATA_GOC!$E:$E,"Téc cát nghiền",DATA_GOC!$F:$F,"Xuất nội bộ từ téc",DATA_GOC!$B:$B,DATE($D$2,$B$2,K$4)),0))</f>
        <v>0</v>
      </c>
      <c r="L194" s="251">
        <f>IF(L$4&gt;DAY(EOMONTH(DATE($D$2,$B$2,1),0)),"",IFERROR(SUMIFS(DATA_GOC!$H:$H,DATA_GOC!$A:$A,"BOM",DATA_GOC!$D:$D,$B194,DATA_GOC!$E:$E,"Téc cát nghiền",DATA_GOC!$F:$F,"Xuất nội bộ từ téc",DATA_GOC!$B:$B,DATE($D$2,$B$2,L$4)),0))</f>
        <v>0</v>
      </c>
      <c r="M194" s="251">
        <f>IF(M$4&gt;DAY(EOMONTH(DATE($D$2,$B$2,1),0)),"",IFERROR(SUMIFS(DATA_GOC!$H:$H,DATA_GOC!$A:$A,"BOM",DATA_GOC!$D:$D,$B194,DATA_GOC!$E:$E,"Téc cát nghiền",DATA_GOC!$F:$F,"Xuất nội bộ từ téc",DATA_GOC!$B:$B,DATE($D$2,$B$2,M$4)),0))</f>
        <v>0</v>
      </c>
      <c r="N194" s="251">
        <f>IF(N$4&gt;DAY(EOMONTH(DATE($D$2,$B$2,1),0)),"",IFERROR(SUMIFS(DATA_GOC!$H:$H,DATA_GOC!$A:$A,"BOM",DATA_GOC!$D:$D,$B194,DATA_GOC!$E:$E,"Téc cát nghiền",DATA_GOC!$F:$F,"Xuất nội bộ từ téc",DATA_GOC!$B:$B,DATE($D$2,$B$2,N$4)),0))</f>
        <v>0</v>
      </c>
      <c r="O194" s="251">
        <f>IF(O$4&gt;DAY(EOMONTH(DATE($D$2,$B$2,1),0)),"",IFERROR(SUMIFS(DATA_GOC!$H:$H,DATA_GOC!$A:$A,"BOM",DATA_GOC!$D:$D,$B194,DATA_GOC!$E:$E,"Téc cát nghiền",DATA_GOC!$F:$F,"Xuất nội bộ từ téc",DATA_GOC!$B:$B,DATE($D$2,$B$2,O$4)),0))</f>
        <v>0</v>
      </c>
      <c r="P194" s="251">
        <f>IF(P$4&gt;DAY(EOMONTH(DATE($D$2,$B$2,1),0)),"",IFERROR(SUMIFS(DATA_GOC!$H:$H,DATA_GOC!$A:$A,"BOM",DATA_GOC!$D:$D,$B194,DATA_GOC!$E:$E,"Téc cát nghiền",DATA_GOC!$F:$F,"Xuất nội bộ từ téc",DATA_GOC!$B:$B,DATE($D$2,$B$2,P$4)),0))</f>
        <v>0</v>
      </c>
      <c r="Q194" s="251">
        <f>IF(Q$4&gt;DAY(EOMONTH(DATE($D$2,$B$2,1),0)),"",IFERROR(SUMIFS(DATA_GOC!$H:$H,DATA_GOC!$A:$A,"BOM",DATA_GOC!$D:$D,$B194,DATA_GOC!$E:$E,"Téc cát nghiền",DATA_GOC!$F:$F,"Xuất nội bộ từ téc",DATA_GOC!$B:$B,DATE($D$2,$B$2,Q$4)),0))</f>
        <v>0</v>
      </c>
      <c r="R194" s="251">
        <f>IF(R$4&gt;DAY(EOMONTH(DATE($D$2,$B$2,1),0)),"",IFERROR(SUMIFS(DATA_GOC!$H:$H,DATA_GOC!$A:$A,"BOM",DATA_GOC!$D:$D,$B194,DATA_GOC!$E:$E,"Téc cát nghiền",DATA_GOC!$F:$F,"Xuất nội bộ từ téc",DATA_GOC!$B:$B,DATE($D$2,$B$2,R$4)),0))</f>
        <v>0</v>
      </c>
      <c r="S194" s="251">
        <f>IF(S$4&gt;DAY(EOMONTH(DATE($D$2,$B$2,1),0)),"",IFERROR(SUMIFS(DATA_GOC!$H:$H,DATA_GOC!$A:$A,"BOM",DATA_GOC!$D:$D,$B194,DATA_GOC!$E:$E,"Téc cát nghiền",DATA_GOC!$F:$F,"Xuất nội bộ từ téc",DATA_GOC!$B:$B,DATE($D$2,$B$2,S$4)),0))</f>
        <v>0</v>
      </c>
      <c r="T194" s="251">
        <f>IF(T$4&gt;DAY(EOMONTH(DATE($D$2,$B$2,1),0)),"",IFERROR(SUMIFS(DATA_GOC!$H:$H,DATA_GOC!$A:$A,"BOM",DATA_GOC!$D:$D,$B194,DATA_GOC!$E:$E,"Téc cát nghiền",DATA_GOC!$F:$F,"Xuất nội bộ từ téc",DATA_GOC!$B:$B,DATE($D$2,$B$2,T$4)),0))</f>
        <v>0</v>
      </c>
      <c r="U194" s="251">
        <f>IF(U$4&gt;DAY(EOMONTH(DATE($D$2,$B$2,1),0)),"",IFERROR(SUMIFS(DATA_GOC!$H:$H,DATA_GOC!$A:$A,"BOM",DATA_GOC!$D:$D,$B194,DATA_GOC!$E:$E,"Téc cát nghiền",DATA_GOC!$F:$F,"Xuất nội bộ từ téc",DATA_GOC!$B:$B,DATE($D$2,$B$2,U$4)),0))</f>
        <v>0</v>
      </c>
      <c r="V194" s="251">
        <f>IF(V$4&gt;DAY(EOMONTH(DATE($D$2,$B$2,1),0)),"",IFERROR(SUMIFS(DATA_GOC!$H:$H,DATA_GOC!$A:$A,"BOM",DATA_GOC!$D:$D,$B194,DATA_GOC!$E:$E,"Téc cát nghiền",DATA_GOC!$F:$F,"Xuất nội bộ từ téc",DATA_GOC!$B:$B,DATE($D$2,$B$2,V$4)),0))</f>
        <v>0</v>
      </c>
      <c r="W194" s="251">
        <f>IF(W$4&gt;DAY(EOMONTH(DATE($D$2,$B$2,1),0)),"",IFERROR(SUMIFS(DATA_GOC!$H:$H,DATA_GOC!$A:$A,"BOM",DATA_GOC!$D:$D,$B194,DATA_GOC!$E:$E,"Téc cát nghiền",DATA_GOC!$F:$F,"Xuất nội bộ từ téc",DATA_GOC!$B:$B,DATE($D$2,$B$2,W$4)),0))</f>
        <v>0</v>
      </c>
      <c r="X194" s="251">
        <f>IF(X$4&gt;DAY(EOMONTH(DATE($D$2,$B$2,1),0)),"",IFERROR(SUMIFS(DATA_GOC!$H:$H,DATA_GOC!$A:$A,"BOM",DATA_GOC!$D:$D,$B194,DATA_GOC!$E:$E,"Téc cát nghiền",DATA_GOC!$F:$F,"Xuất nội bộ từ téc",DATA_GOC!$B:$B,DATE($D$2,$B$2,X$4)),0))</f>
        <v>0</v>
      </c>
      <c r="Y194" s="251">
        <f>IF(Y$4&gt;DAY(EOMONTH(DATE($D$2,$B$2,1),0)),"",IFERROR(SUMIFS(DATA_GOC!$H:$H,DATA_GOC!$A:$A,"BOM",DATA_GOC!$D:$D,$B194,DATA_GOC!$E:$E,"Téc cát nghiền",DATA_GOC!$F:$F,"Xuất nội bộ từ téc",DATA_GOC!$B:$B,DATE($D$2,$B$2,Y$4)),0))</f>
        <v>0</v>
      </c>
      <c r="Z194" s="251">
        <f>IF(Z$4&gt;DAY(EOMONTH(DATE($D$2,$B$2,1),0)),"",IFERROR(SUMIFS(DATA_GOC!$H:$H,DATA_GOC!$A:$A,"BOM",DATA_GOC!$D:$D,$B194,DATA_GOC!$E:$E,"Téc cát nghiền",DATA_GOC!$F:$F,"Xuất nội bộ từ téc",DATA_GOC!$B:$B,DATE($D$2,$B$2,Z$4)),0))</f>
        <v>0</v>
      </c>
      <c r="AA194" s="251">
        <f>IF(AA$4&gt;DAY(EOMONTH(DATE($D$2,$B$2,1),0)),"",IFERROR(SUMIFS(DATA_GOC!$H:$H,DATA_GOC!$A:$A,"BOM",DATA_GOC!$D:$D,$B194,DATA_GOC!$E:$E,"Téc cát nghiền",DATA_GOC!$F:$F,"Xuất nội bộ từ téc",DATA_GOC!$B:$B,DATE($D$2,$B$2,AA$4)),0))</f>
        <v>0</v>
      </c>
      <c r="AB194" s="251">
        <f>IF(AB$4&gt;DAY(EOMONTH(DATE($D$2,$B$2,1),0)),"",IFERROR(SUMIFS(DATA_GOC!$H:$H,DATA_GOC!$A:$A,"BOM",DATA_GOC!$D:$D,$B194,DATA_GOC!$E:$E,"Téc cát nghiền",DATA_GOC!$F:$F,"Xuất nội bộ từ téc",DATA_GOC!$B:$B,DATE($D$2,$B$2,AB$4)),0))</f>
        <v>0</v>
      </c>
      <c r="AC194" s="251">
        <f>IF(AC$4&gt;DAY(EOMONTH(DATE($D$2,$B$2,1),0)),"",IFERROR(SUMIFS(DATA_GOC!$H:$H,DATA_GOC!$A:$A,"BOM",DATA_GOC!$D:$D,$B194,DATA_GOC!$E:$E,"Téc cát nghiền",DATA_GOC!$F:$F,"Xuất nội bộ từ téc",DATA_GOC!$B:$B,DATE($D$2,$B$2,AC$4)),0))</f>
        <v>0</v>
      </c>
      <c r="AD194" s="251">
        <f>IF(AD$4&gt;DAY(EOMONTH(DATE($D$2,$B$2,1),0)),"",IFERROR(SUMIFS(DATA_GOC!$H:$H,DATA_GOC!$A:$A,"BOM",DATA_GOC!$D:$D,$B194,DATA_GOC!$E:$E,"Téc cát nghiền",DATA_GOC!$F:$F,"Xuất nội bộ từ téc",DATA_GOC!$B:$B,DATE($D$2,$B$2,AD$4)),0))</f>
        <v>0</v>
      </c>
      <c r="AE194" s="251">
        <f>IF(AE$4&gt;DAY(EOMONTH(DATE($D$2,$B$2,1),0)),"",IFERROR(SUMIFS(DATA_GOC!$H:$H,DATA_GOC!$A:$A,"BOM",DATA_GOC!$D:$D,$B194,DATA_GOC!$E:$E,"Téc cát nghiền",DATA_GOC!$F:$F,"Xuất nội bộ từ téc",DATA_GOC!$B:$B,DATE($D$2,$B$2,AE$4)),0))</f>
        <v>0</v>
      </c>
      <c r="AF194" s="251">
        <f>IF(AF$4&gt;DAY(EOMONTH(DATE($D$2,$B$2,1),0)),"",IFERROR(SUMIFS(DATA_GOC!$H:$H,DATA_GOC!$A:$A,"BOM",DATA_GOC!$D:$D,$B194,DATA_GOC!$E:$E,"Téc cát nghiền",DATA_GOC!$F:$F,"Xuất nội bộ từ téc",DATA_GOC!$B:$B,DATE($D$2,$B$2,AF$4)),0))</f>
        <v>0</v>
      </c>
      <c r="AG194" s="251">
        <f>IF(AG$4&gt;DAY(EOMONTH(DATE($D$2,$B$2,1),0)),"",IFERROR(SUMIFS(DATA_GOC!$H:$H,DATA_GOC!$A:$A,"BOM",DATA_GOC!$D:$D,$B194,DATA_GOC!$E:$E,"Téc cát nghiền",DATA_GOC!$F:$F,"Xuất nội bộ từ téc",DATA_GOC!$B:$B,DATE($D$2,$B$2,AG$4)),0))</f>
        <v>0</v>
      </c>
      <c r="AH194" s="252">
        <f t="shared" si="10"/>
        <v>0</v>
      </c>
      <c r="AI194" s="241"/>
      <c r="AJ194" s="242">
        <f>IF($B194="","",SUMIFS(TINH_TEC!$K$233:$K$9232,TINH_TEC!$H$233:$H$9232,$B194,TINH_TEC!$C$233:$C$9232,"Téc cát nghiền",TINH_TEC!$F$233:$F$9232,$B$2,TINH_TEC!$G$233:$G$9232,$D$2,TINH_TEC!$B$233:$B$9232,"Đã chốt"))</f>
        <v>0</v>
      </c>
      <c r="AK194" s="242">
        <f>IF($B194="","",SUMIFS(TINH_TEC!$J$233:$J$9232,TINH_TEC!$H$233:$H$9232,$B194,TINH_TEC!$C$233:$C$9232,"Téc cát nghiền",TINH_TEC!$F$233:$F$9232,$B$2,TINH_TEC!$G$233:$G$9232,$D$2,TINH_TEC!$B$233:$B$9232,"Đã chốt"))</f>
        <v>0</v>
      </c>
      <c r="AL194" s="242">
        <f t="shared" si="11"/>
        <v>0</v>
      </c>
    </row>
    <row r="195" ht="15.75" customHeight="1">
      <c r="A195" s="237">
        <f>IF($B195&lt;&gt;"",7,"")</f>
        <v>7</v>
      </c>
      <c r="B195" s="250" t="str">
        <f t="array" ref="B195">IFERROR(INDEX(DANH_MUC!$E:$E,10),"")</f>
        <v>28C01622</v>
      </c>
      <c r="C195" s="251">
        <f>IF(C$4&gt;DAY(EOMONTH(DATE($D$2,$B$2,1),0)),"",IFERROR(SUMIFS(DATA_GOC!$H:$H,DATA_GOC!$A:$A,"BOM",DATA_GOC!$D:$D,$B195,DATA_GOC!$E:$E,"Téc cát nghiền",DATA_GOC!$F:$F,"Xuất nội bộ từ téc",DATA_GOC!$B:$B,DATE($D$2,$B$2,C$4)),0))</f>
        <v>0</v>
      </c>
      <c r="D195" s="251">
        <f>IF(D$4&gt;DAY(EOMONTH(DATE($D$2,$B$2,1),0)),"",IFERROR(SUMIFS(DATA_GOC!$H:$H,DATA_GOC!$A:$A,"BOM",DATA_GOC!$D:$D,$B195,DATA_GOC!$E:$E,"Téc cát nghiền",DATA_GOC!$F:$F,"Xuất nội bộ từ téc",DATA_GOC!$B:$B,DATE($D$2,$B$2,D$4)),0))</f>
        <v>0</v>
      </c>
      <c r="E195" s="251">
        <f>IF(E$4&gt;DAY(EOMONTH(DATE($D$2,$B$2,1),0)),"",IFERROR(SUMIFS(DATA_GOC!$H:$H,DATA_GOC!$A:$A,"BOM",DATA_GOC!$D:$D,$B195,DATA_GOC!$E:$E,"Téc cát nghiền",DATA_GOC!$F:$F,"Xuất nội bộ từ téc",DATA_GOC!$B:$B,DATE($D$2,$B$2,E$4)),0))</f>
        <v>0</v>
      </c>
      <c r="F195" s="251">
        <f>IF(F$4&gt;DAY(EOMONTH(DATE($D$2,$B$2,1),0)),"",IFERROR(SUMIFS(DATA_GOC!$H:$H,DATA_GOC!$A:$A,"BOM",DATA_GOC!$D:$D,$B195,DATA_GOC!$E:$E,"Téc cát nghiền",DATA_GOC!$F:$F,"Xuất nội bộ từ téc",DATA_GOC!$B:$B,DATE($D$2,$B$2,F$4)),0))</f>
        <v>0</v>
      </c>
      <c r="G195" s="251">
        <f>IF(G$4&gt;DAY(EOMONTH(DATE($D$2,$B$2,1),0)),"",IFERROR(SUMIFS(DATA_GOC!$H:$H,DATA_GOC!$A:$A,"BOM",DATA_GOC!$D:$D,$B195,DATA_GOC!$E:$E,"Téc cát nghiền",DATA_GOC!$F:$F,"Xuất nội bộ từ téc",DATA_GOC!$B:$B,DATE($D$2,$B$2,G$4)),0))</f>
        <v>0</v>
      </c>
      <c r="H195" s="251">
        <f>IF(H$4&gt;DAY(EOMONTH(DATE($D$2,$B$2,1),0)),"",IFERROR(SUMIFS(DATA_GOC!$H:$H,DATA_GOC!$A:$A,"BOM",DATA_GOC!$D:$D,$B195,DATA_GOC!$E:$E,"Téc cát nghiền",DATA_GOC!$F:$F,"Xuất nội bộ từ téc",DATA_GOC!$B:$B,DATE($D$2,$B$2,H$4)),0))</f>
        <v>0</v>
      </c>
      <c r="I195" s="251">
        <f>IF(I$4&gt;DAY(EOMONTH(DATE($D$2,$B$2,1),0)),"",IFERROR(SUMIFS(DATA_GOC!$H:$H,DATA_GOC!$A:$A,"BOM",DATA_GOC!$D:$D,$B195,DATA_GOC!$E:$E,"Téc cát nghiền",DATA_GOC!$F:$F,"Xuất nội bộ từ téc",DATA_GOC!$B:$B,DATE($D$2,$B$2,I$4)),0))</f>
        <v>0</v>
      </c>
      <c r="J195" s="251">
        <f>IF(J$4&gt;DAY(EOMONTH(DATE($D$2,$B$2,1),0)),"",IFERROR(SUMIFS(DATA_GOC!$H:$H,DATA_GOC!$A:$A,"BOM",DATA_GOC!$D:$D,$B195,DATA_GOC!$E:$E,"Téc cát nghiền",DATA_GOC!$F:$F,"Xuất nội bộ từ téc",DATA_GOC!$B:$B,DATE($D$2,$B$2,J$4)),0))</f>
        <v>0</v>
      </c>
      <c r="K195" s="251">
        <f>IF(K$4&gt;DAY(EOMONTH(DATE($D$2,$B$2,1),0)),"",IFERROR(SUMIFS(DATA_GOC!$H:$H,DATA_GOC!$A:$A,"BOM",DATA_GOC!$D:$D,$B195,DATA_GOC!$E:$E,"Téc cát nghiền",DATA_GOC!$F:$F,"Xuất nội bộ từ téc",DATA_GOC!$B:$B,DATE($D$2,$B$2,K$4)),0))</f>
        <v>0</v>
      </c>
      <c r="L195" s="251">
        <f>IF(L$4&gt;DAY(EOMONTH(DATE($D$2,$B$2,1),0)),"",IFERROR(SUMIFS(DATA_GOC!$H:$H,DATA_GOC!$A:$A,"BOM",DATA_GOC!$D:$D,$B195,DATA_GOC!$E:$E,"Téc cát nghiền",DATA_GOC!$F:$F,"Xuất nội bộ từ téc",DATA_GOC!$B:$B,DATE($D$2,$B$2,L$4)),0))</f>
        <v>0</v>
      </c>
      <c r="M195" s="251">
        <f>IF(M$4&gt;DAY(EOMONTH(DATE($D$2,$B$2,1),0)),"",IFERROR(SUMIFS(DATA_GOC!$H:$H,DATA_GOC!$A:$A,"BOM",DATA_GOC!$D:$D,$B195,DATA_GOC!$E:$E,"Téc cát nghiền",DATA_GOC!$F:$F,"Xuất nội bộ từ téc",DATA_GOC!$B:$B,DATE($D$2,$B$2,M$4)),0))</f>
        <v>0</v>
      </c>
      <c r="N195" s="251">
        <f>IF(N$4&gt;DAY(EOMONTH(DATE($D$2,$B$2,1),0)),"",IFERROR(SUMIFS(DATA_GOC!$H:$H,DATA_GOC!$A:$A,"BOM",DATA_GOC!$D:$D,$B195,DATA_GOC!$E:$E,"Téc cát nghiền",DATA_GOC!$F:$F,"Xuất nội bộ từ téc",DATA_GOC!$B:$B,DATE($D$2,$B$2,N$4)),0))</f>
        <v>0</v>
      </c>
      <c r="O195" s="251">
        <f>IF(O$4&gt;DAY(EOMONTH(DATE($D$2,$B$2,1),0)),"",IFERROR(SUMIFS(DATA_GOC!$H:$H,DATA_GOC!$A:$A,"BOM",DATA_GOC!$D:$D,$B195,DATA_GOC!$E:$E,"Téc cát nghiền",DATA_GOC!$F:$F,"Xuất nội bộ từ téc",DATA_GOC!$B:$B,DATE($D$2,$B$2,O$4)),0))</f>
        <v>0</v>
      </c>
      <c r="P195" s="251">
        <f>IF(P$4&gt;DAY(EOMONTH(DATE($D$2,$B$2,1),0)),"",IFERROR(SUMIFS(DATA_GOC!$H:$H,DATA_GOC!$A:$A,"BOM",DATA_GOC!$D:$D,$B195,DATA_GOC!$E:$E,"Téc cát nghiền",DATA_GOC!$F:$F,"Xuất nội bộ từ téc",DATA_GOC!$B:$B,DATE($D$2,$B$2,P$4)),0))</f>
        <v>0</v>
      </c>
      <c r="Q195" s="251">
        <f>IF(Q$4&gt;DAY(EOMONTH(DATE($D$2,$B$2,1),0)),"",IFERROR(SUMIFS(DATA_GOC!$H:$H,DATA_GOC!$A:$A,"BOM",DATA_GOC!$D:$D,$B195,DATA_GOC!$E:$E,"Téc cát nghiền",DATA_GOC!$F:$F,"Xuất nội bộ từ téc",DATA_GOC!$B:$B,DATE($D$2,$B$2,Q$4)),0))</f>
        <v>0</v>
      </c>
      <c r="R195" s="251">
        <f>IF(R$4&gt;DAY(EOMONTH(DATE($D$2,$B$2,1),0)),"",IFERROR(SUMIFS(DATA_GOC!$H:$H,DATA_GOC!$A:$A,"BOM",DATA_GOC!$D:$D,$B195,DATA_GOC!$E:$E,"Téc cát nghiền",DATA_GOC!$F:$F,"Xuất nội bộ từ téc",DATA_GOC!$B:$B,DATE($D$2,$B$2,R$4)),0))</f>
        <v>0</v>
      </c>
      <c r="S195" s="251">
        <f>IF(S$4&gt;DAY(EOMONTH(DATE($D$2,$B$2,1),0)),"",IFERROR(SUMIFS(DATA_GOC!$H:$H,DATA_GOC!$A:$A,"BOM",DATA_GOC!$D:$D,$B195,DATA_GOC!$E:$E,"Téc cát nghiền",DATA_GOC!$F:$F,"Xuất nội bộ từ téc",DATA_GOC!$B:$B,DATE($D$2,$B$2,S$4)),0))</f>
        <v>0</v>
      </c>
      <c r="T195" s="251">
        <f>IF(T$4&gt;DAY(EOMONTH(DATE($D$2,$B$2,1),0)),"",IFERROR(SUMIFS(DATA_GOC!$H:$H,DATA_GOC!$A:$A,"BOM",DATA_GOC!$D:$D,$B195,DATA_GOC!$E:$E,"Téc cát nghiền",DATA_GOC!$F:$F,"Xuất nội bộ từ téc",DATA_GOC!$B:$B,DATE($D$2,$B$2,T$4)),0))</f>
        <v>0</v>
      </c>
      <c r="U195" s="251">
        <f>IF(U$4&gt;DAY(EOMONTH(DATE($D$2,$B$2,1),0)),"",IFERROR(SUMIFS(DATA_GOC!$H:$H,DATA_GOC!$A:$A,"BOM",DATA_GOC!$D:$D,$B195,DATA_GOC!$E:$E,"Téc cát nghiền",DATA_GOC!$F:$F,"Xuất nội bộ từ téc",DATA_GOC!$B:$B,DATE($D$2,$B$2,U$4)),0))</f>
        <v>0</v>
      </c>
      <c r="V195" s="251">
        <f>IF(V$4&gt;DAY(EOMONTH(DATE($D$2,$B$2,1),0)),"",IFERROR(SUMIFS(DATA_GOC!$H:$H,DATA_GOC!$A:$A,"BOM",DATA_GOC!$D:$D,$B195,DATA_GOC!$E:$E,"Téc cát nghiền",DATA_GOC!$F:$F,"Xuất nội bộ từ téc",DATA_GOC!$B:$B,DATE($D$2,$B$2,V$4)),0))</f>
        <v>0</v>
      </c>
      <c r="W195" s="251">
        <f>IF(W$4&gt;DAY(EOMONTH(DATE($D$2,$B$2,1),0)),"",IFERROR(SUMIFS(DATA_GOC!$H:$H,DATA_GOC!$A:$A,"BOM",DATA_GOC!$D:$D,$B195,DATA_GOC!$E:$E,"Téc cát nghiền",DATA_GOC!$F:$F,"Xuất nội bộ từ téc",DATA_GOC!$B:$B,DATE($D$2,$B$2,W$4)),0))</f>
        <v>0</v>
      </c>
      <c r="X195" s="251">
        <f>IF(X$4&gt;DAY(EOMONTH(DATE($D$2,$B$2,1),0)),"",IFERROR(SUMIFS(DATA_GOC!$H:$H,DATA_GOC!$A:$A,"BOM",DATA_GOC!$D:$D,$B195,DATA_GOC!$E:$E,"Téc cát nghiền",DATA_GOC!$F:$F,"Xuất nội bộ từ téc",DATA_GOC!$B:$B,DATE($D$2,$B$2,X$4)),0))</f>
        <v>0</v>
      </c>
      <c r="Y195" s="251">
        <f>IF(Y$4&gt;DAY(EOMONTH(DATE($D$2,$B$2,1),0)),"",IFERROR(SUMIFS(DATA_GOC!$H:$H,DATA_GOC!$A:$A,"BOM",DATA_GOC!$D:$D,$B195,DATA_GOC!$E:$E,"Téc cát nghiền",DATA_GOC!$F:$F,"Xuất nội bộ từ téc",DATA_GOC!$B:$B,DATE($D$2,$B$2,Y$4)),0))</f>
        <v>0</v>
      </c>
      <c r="Z195" s="251">
        <f>IF(Z$4&gt;DAY(EOMONTH(DATE($D$2,$B$2,1),0)),"",IFERROR(SUMIFS(DATA_GOC!$H:$H,DATA_GOC!$A:$A,"BOM",DATA_GOC!$D:$D,$B195,DATA_GOC!$E:$E,"Téc cát nghiền",DATA_GOC!$F:$F,"Xuất nội bộ từ téc",DATA_GOC!$B:$B,DATE($D$2,$B$2,Z$4)),0))</f>
        <v>0</v>
      </c>
      <c r="AA195" s="251">
        <f>IF(AA$4&gt;DAY(EOMONTH(DATE($D$2,$B$2,1),0)),"",IFERROR(SUMIFS(DATA_GOC!$H:$H,DATA_GOC!$A:$A,"BOM",DATA_GOC!$D:$D,$B195,DATA_GOC!$E:$E,"Téc cát nghiền",DATA_GOC!$F:$F,"Xuất nội bộ từ téc",DATA_GOC!$B:$B,DATE($D$2,$B$2,AA$4)),0))</f>
        <v>0</v>
      </c>
      <c r="AB195" s="251">
        <f>IF(AB$4&gt;DAY(EOMONTH(DATE($D$2,$B$2,1),0)),"",IFERROR(SUMIFS(DATA_GOC!$H:$H,DATA_GOC!$A:$A,"BOM",DATA_GOC!$D:$D,$B195,DATA_GOC!$E:$E,"Téc cát nghiền",DATA_GOC!$F:$F,"Xuất nội bộ từ téc",DATA_GOC!$B:$B,DATE($D$2,$B$2,AB$4)),0))</f>
        <v>0</v>
      </c>
      <c r="AC195" s="251">
        <f>IF(AC$4&gt;DAY(EOMONTH(DATE($D$2,$B$2,1),0)),"",IFERROR(SUMIFS(DATA_GOC!$H:$H,DATA_GOC!$A:$A,"BOM",DATA_GOC!$D:$D,$B195,DATA_GOC!$E:$E,"Téc cát nghiền",DATA_GOC!$F:$F,"Xuất nội bộ từ téc",DATA_GOC!$B:$B,DATE($D$2,$B$2,AC$4)),0))</f>
        <v>0</v>
      </c>
      <c r="AD195" s="251">
        <f>IF(AD$4&gt;DAY(EOMONTH(DATE($D$2,$B$2,1),0)),"",IFERROR(SUMIFS(DATA_GOC!$H:$H,DATA_GOC!$A:$A,"BOM",DATA_GOC!$D:$D,$B195,DATA_GOC!$E:$E,"Téc cát nghiền",DATA_GOC!$F:$F,"Xuất nội bộ từ téc",DATA_GOC!$B:$B,DATE($D$2,$B$2,AD$4)),0))</f>
        <v>0</v>
      </c>
      <c r="AE195" s="251">
        <f>IF(AE$4&gt;DAY(EOMONTH(DATE($D$2,$B$2,1),0)),"",IFERROR(SUMIFS(DATA_GOC!$H:$H,DATA_GOC!$A:$A,"BOM",DATA_GOC!$D:$D,$B195,DATA_GOC!$E:$E,"Téc cát nghiền",DATA_GOC!$F:$F,"Xuất nội bộ từ téc",DATA_GOC!$B:$B,DATE($D$2,$B$2,AE$4)),0))</f>
        <v>0</v>
      </c>
      <c r="AF195" s="251">
        <f>IF(AF$4&gt;DAY(EOMONTH(DATE($D$2,$B$2,1),0)),"",IFERROR(SUMIFS(DATA_GOC!$H:$H,DATA_GOC!$A:$A,"BOM",DATA_GOC!$D:$D,$B195,DATA_GOC!$E:$E,"Téc cát nghiền",DATA_GOC!$F:$F,"Xuất nội bộ từ téc",DATA_GOC!$B:$B,DATE($D$2,$B$2,AF$4)),0))</f>
        <v>0</v>
      </c>
      <c r="AG195" s="251">
        <f>IF(AG$4&gt;DAY(EOMONTH(DATE($D$2,$B$2,1),0)),"",IFERROR(SUMIFS(DATA_GOC!$H:$H,DATA_GOC!$A:$A,"BOM",DATA_GOC!$D:$D,$B195,DATA_GOC!$E:$E,"Téc cát nghiền",DATA_GOC!$F:$F,"Xuất nội bộ từ téc",DATA_GOC!$B:$B,DATE($D$2,$B$2,AG$4)),0))</f>
        <v>0</v>
      </c>
      <c r="AH195" s="252">
        <f t="shared" si="10"/>
        <v>0</v>
      </c>
      <c r="AI195" s="241"/>
      <c r="AJ195" s="242">
        <f>IF($B195="","",SUMIFS(TINH_TEC!$K$233:$K$9232,TINH_TEC!$H$233:$H$9232,$B195,TINH_TEC!$C$233:$C$9232,"Téc cát nghiền",TINH_TEC!$F$233:$F$9232,$B$2,TINH_TEC!$G$233:$G$9232,$D$2,TINH_TEC!$B$233:$B$9232,"Đã chốt"))</f>
        <v>0</v>
      </c>
      <c r="AK195" s="242">
        <f>IF($B195="","",SUMIFS(TINH_TEC!$J$233:$J$9232,TINH_TEC!$H$233:$H$9232,$B195,TINH_TEC!$C$233:$C$9232,"Téc cát nghiền",TINH_TEC!$F$233:$F$9232,$B$2,TINH_TEC!$G$233:$G$9232,$D$2,TINH_TEC!$B$233:$B$9232,"Đã chốt"))</f>
        <v>0</v>
      </c>
      <c r="AL195" s="242">
        <f t="shared" si="11"/>
        <v>0</v>
      </c>
    </row>
    <row r="196" ht="15.75" customHeight="1">
      <c r="A196" s="237">
        <f>IF($B196&lt;&gt;"",8,"")</f>
        <v>8</v>
      </c>
      <c r="B196" s="250" t="str">
        <f t="array" ref="B196">IFERROR(INDEX(DANH_MUC!$E:$E,11),"")</f>
        <v>28C01647</v>
      </c>
      <c r="C196" s="251">
        <f>IF(C$4&gt;DAY(EOMONTH(DATE($D$2,$B$2,1),0)),"",IFERROR(SUMIFS(DATA_GOC!$H:$H,DATA_GOC!$A:$A,"BOM",DATA_GOC!$D:$D,$B196,DATA_GOC!$E:$E,"Téc cát nghiền",DATA_GOC!$F:$F,"Xuất nội bộ từ téc",DATA_GOC!$B:$B,DATE($D$2,$B$2,C$4)),0))</f>
        <v>0</v>
      </c>
      <c r="D196" s="251">
        <f>IF(D$4&gt;DAY(EOMONTH(DATE($D$2,$B$2,1),0)),"",IFERROR(SUMIFS(DATA_GOC!$H:$H,DATA_GOC!$A:$A,"BOM",DATA_GOC!$D:$D,$B196,DATA_GOC!$E:$E,"Téc cát nghiền",DATA_GOC!$F:$F,"Xuất nội bộ từ téc",DATA_GOC!$B:$B,DATE($D$2,$B$2,D$4)),0))</f>
        <v>0</v>
      </c>
      <c r="E196" s="251">
        <f>IF(E$4&gt;DAY(EOMONTH(DATE($D$2,$B$2,1),0)),"",IFERROR(SUMIFS(DATA_GOC!$H:$H,DATA_GOC!$A:$A,"BOM",DATA_GOC!$D:$D,$B196,DATA_GOC!$E:$E,"Téc cát nghiền",DATA_GOC!$F:$F,"Xuất nội bộ từ téc",DATA_GOC!$B:$B,DATE($D$2,$B$2,E$4)),0))</f>
        <v>0</v>
      </c>
      <c r="F196" s="251">
        <f>IF(F$4&gt;DAY(EOMONTH(DATE($D$2,$B$2,1),0)),"",IFERROR(SUMIFS(DATA_GOC!$H:$H,DATA_GOC!$A:$A,"BOM",DATA_GOC!$D:$D,$B196,DATA_GOC!$E:$E,"Téc cát nghiền",DATA_GOC!$F:$F,"Xuất nội bộ từ téc",DATA_GOC!$B:$B,DATE($D$2,$B$2,F$4)),0))</f>
        <v>0</v>
      </c>
      <c r="G196" s="251">
        <f>IF(G$4&gt;DAY(EOMONTH(DATE($D$2,$B$2,1),0)),"",IFERROR(SUMIFS(DATA_GOC!$H:$H,DATA_GOC!$A:$A,"BOM",DATA_GOC!$D:$D,$B196,DATA_GOC!$E:$E,"Téc cát nghiền",DATA_GOC!$F:$F,"Xuất nội bộ từ téc",DATA_GOC!$B:$B,DATE($D$2,$B$2,G$4)),0))</f>
        <v>0</v>
      </c>
      <c r="H196" s="251">
        <f>IF(H$4&gt;DAY(EOMONTH(DATE($D$2,$B$2,1),0)),"",IFERROR(SUMIFS(DATA_GOC!$H:$H,DATA_GOC!$A:$A,"BOM",DATA_GOC!$D:$D,$B196,DATA_GOC!$E:$E,"Téc cát nghiền",DATA_GOC!$F:$F,"Xuất nội bộ từ téc",DATA_GOC!$B:$B,DATE($D$2,$B$2,H$4)),0))</f>
        <v>0</v>
      </c>
      <c r="I196" s="251">
        <f>IF(I$4&gt;DAY(EOMONTH(DATE($D$2,$B$2,1),0)),"",IFERROR(SUMIFS(DATA_GOC!$H:$H,DATA_GOC!$A:$A,"BOM",DATA_GOC!$D:$D,$B196,DATA_GOC!$E:$E,"Téc cát nghiền",DATA_GOC!$F:$F,"Xuất nội bộ từ téc",DATA_GOC!$B:$B,DATE($D$2,$B$2,I$4)),0))</f>
        <v>0</v>
      </c>
      <c r="J196" s="251">
        <f>IF(J$4&gt;DAY(EOMONTH(DATE($D$2,$B$2,1),0)),"",IFERROR(SUMIFS(DATA_GOC!$H:$H,DATA_GOC!$A:$A,"BOM",DATA_GOC!$D:$D,$B196,DATA_GOC!$E:$E,"Téc cát nghiền",DATA_GOC!$F:$F,"Xuất nội bộ từ téc",DATA_GOC!$B:$B,DATE($D$2,$B$2,J$4)),0))</f>
        <v>0</v>
      </c>
      <c r="K196" s="251">
        <f>IF(K$4&gt;DAY(EOMONTH(DATE($D$2,$B$2,1),0)),"",IFERROR(SUMIFS(DATA_GOC!$H:$H,DATA_GOC!$A:$A,"BOM",DATA_GOC!$D:$D,$B196,DATA_GOC!$E:$E,"Téc cát nghiền",DATA_GOC!$F:$F,"Xuất nội bộ từ téc",DATA_GOC!$B:$B,DATE($D$2,$B$2,K$4)),0))</f>
        <v>0</v>
      </c>
      <c r="L196" s="251">
        <f>IF(L$4&gt;DAY(EOMONTH(DATE($D$2,$B$2,1),0)),"",IFERROR(SUMIFS(DATA_GOC!$H:$H,DATA_GOC!$A:$A,"BOM",DATA_GOC!$D:$D,$B196,DATA_GOC!$E:$E,"Téc cát nghiền",DATA_GOC!$F:$F,"Xuất nội bộ từ téc",DATA_GOC!$B:$B,DATE($D$2,$B$2,L$4)),0))</f>
        <v>0</v>
      </c>
      <c r="M196" s="251">
        <f>IF(M$4&gt;DAY(EOMONTH(DATE($D$2,$B$2,1),0)),"",IFERROR(SUMIFS(DATA_GOC!$H:$H,DATA_GOC!$A:$A,"BOM",DATA_GOC!$D:$D,$B196,DATA_GOC!$E:$E,"Téc cát nghiền",DATA_GOC!$F:$F,"Xuất nội bộ từ téc",DATA_GOC!$B:$B,DATE($D$2,$B$2,M$4)),0))</f>
        <v>0</v>
      </c>
      <c r="N196" s="251">
        <f>IF(N$4&gt;DAY(EOMONTH(DATE($D$2,$B$2,1),0)),"",IFERROR(SUMIFS(DATA_GOC!$H:$H,DATA_GOC!$A:$A,"BOM",DATA_GOC!$D:$D,$B196,DATA_GOC!$E:$E,"Téc cát nghiền",DATA_GOC!$F:$F,"Xuất nội bộ từ téc",DATA_GOC!$B:$B,DATE($D$2,$B$2,N$4)),0))</f>
        <v>0</v>
      </c>
      <c r="O196" s="251">
        <f>IF(O$4&gt;DAY(EOMONTH(DATE($D$2,$B$2,1),0)),"",IFERROR(SUMIFS(DATA_GOC!$H:$H,DATA_GOC!$A:$A,"BOM",DATA_GOC!$D:$D,$B196,DATA_GOC!$E:$E,"Téc cát nghiền",DATA_GOC!$F:$F,"Xuất nội bộ từ téc",DATA_GOC!$B:$B,DATE($D$2,$B$2,O$4)),0))</f>
        <v>0</v>
      </c>
      <c r="P196" s="251">
        <f>IF(P$4&gt;DAY(EOMONTH(DATE($D$2,$B$2,1),0)),"",IFERROR(SUMIFS(DATA_GOC!$H:$H,DATA_GOC!$A:$A,"BOM",DATA_GOC!$D:$D,$B196,DATA_GOC!$E:$E,"Téc cát nghiền",DATA_GOC!$F:$F,"Xuất nội bộ từ téc",DATA_GOC!$B:$B,DATE($D$2,$B$2,P$4)),0))</f>
        <v>0</v>
      </c>
      <c r="Q196" s="251">
        <f>IF(Q$4&gt;DAY(EOMONTH(DATE($D$2,$B$2,1),0)),"",IFERROR(SUMIFS(DATA_GOC!$H:$H,DATA_GOC!$A:$A,"BOM",DATA_GOC!$D:$D,$B196,DATA_GOC!$E:$E,"Téc cát nghiền",DATA_GOC!$F:$F,"Xuất nội bộ từ téc",DATA_GOC!$B:$B,DATE($D$2,$B$2,Q$4)),0))</f>
        <v>0</v>
      </c>
      <c r="R196" s="251">
        <f>IF(R$4&gt;DAY(EOMONTH(DATE($D$2,$B$2,1),0)),"",IFERROR(SUMIFS(DATA_GOC!$H:$H,DATA_GOC!$A:$A,"BOM",DATA_GOC!$D:$D,$B196,DATA_GOC!$E:$E,"Téc cát nghiền",DATA_GOC!$F:$F,"Xuất nội bộ từ téc",DATA_GOC!$B:$B,DATE($D$2,$B$2,R$4)),0))</f>
        <v>0</v>
      </c>
      <c r="S196" s="251">
        <f>IF(S$4&gt;DAY(EOMONTH(DATE($D$2,$B$2,1),0)),"",IFERROR(SUMIFS(DATA_GOC!$H:$H,DATA_GOC!$A:$A,"BOM",DATA_GOC!$D:$D,$B196,DATA_GOC!$E:$E,"Téc cát nghiền",DATA_GOC!$F:$F,"Xuất nội bộ từ téc",DATA_GOC!$B:$B,DATE($D$2,$B$2,S$4)),0))</f>
        <v>0</v>
      </c>
      <c r="T196" s="251">
        <f>IF(T$4&gt;DAY(EOMONTH(DATE($D$2,$B$2,1),0)),"",IFERROR(SUMIFS(DATA_GOC!$H:$H,DATA_GOC!$A:$A,"BOM",DATA_GOC!$D:$D,$B196,DATA_GOC!$E:$E,"Téc cát nghiền",DATA_GOC!$F:$F,"Xuất nội bộ từ téc",DATA_GOC!$B:$B,DATE($D$2,$B$2,T$4)),0))</f>
        <v>0</v>
      </c>
      <c r="U196" s="251">
        <f>IF(U$4&gt;DAY(EOMONTH(DATE($D$2,$B$2,1),0)),"",IFERROR(SUMIFS(DATA_GOC!$H:$H,DATA_GOC!$A:$A,"BOM",DATA_GOC!$D:$D,$B196,DATA_GOC!$E:$E,"Téc cát nghiền",DATA_GOC!$F:$F,"Xuất nội bộ từ téc",DATA_GOC!$B:$B,DATE($D$2,$B$2,U$4)),0))</f>
        <v>0</v>
      </c>
      <c r="V196" s="251">
        <f>IF(V$4&gt;DAY(EOMONTH(DATE($D$2,$B$2,1),0)),"",IFERROR(SUMIFS(DATA_GOC!$H:$H,DATA_GOC!$A:$A,"BOM",DATA_GOC!$D:$D,$B196,DATA_GOC!$E:$E,"Téc cát nghiền",DATA_GOC!$F:$F,"Xuất nội bộ từ téc",DATA_GOC!$B:$B,DATE($D$2,$B$2,V$4)),0))</f>
        <v>0</v>
      </c>
      <c r="W196" s="251">
        <f>IF(W$4&gt;DAY(EOMONTH(DATE($D$2,$B$2,1),0)),"",IFERROR(SUMIFS(DATA_GOC!$H:$H,DATA_GOC!$A:$A,"BOM",DATA_GOC!$D:$D,$B196,DATA_GOC!$E:$E,"Téc cát nghiền",DATA_GOC!$F:$F,"Xuất nội bộ từ téc",DATA_GOC!$B:$B,DATE($D$2,$B$2,W$4)),0))</f>
        <v>0</v>
      </c>
      <c r="X196" s="251">
        <f>IF(X$4&gt;DAY(EOMONTH(DATE($D$2,$B$2,1),0)),"",IFERROR(SUMIFS(DATA_GOC!$H:$H,DATA_GOC!$A:$A,"BOM",DATA_GOC!$D:$D,$B196,DATA_GOC!$E:$E,"Téc cát nghiền",DATA_GOC!$F:$F,"Xuất nội bộ từ téc",DATA_GOC!$B:$B,DATE($D$2,$B$2,X$4)),0))</f>
        <v>0</v>
      </c>
      <c r="Y196" s="251">
        <f>IF(Y$4&gt;DAY(EOMONTH(DATE($D$2,$B$2,1),0)),"",IFERROR(SUMIFS(DATA_GOC!$H:$H,DATA_GOC!$A:$A,"BOM",DATA_GOC!$D:$D,$B196,DATA_GOC!$E:$E,"Téc cát nghiền",DATA_GOC!$F:$F,"Xuất nội bộ từ téc",DATA_GOC!$B:$B,DATE($D$2,$B$2,Y$4)),0))</f>
        <v>0</v>
      </c>
      <c r="Z196" s="251">
        <f>IF(Z$4&gt;DAY(EOMONTH(DATE($D$2,$B$2,1),0)),"",IFERROR(SUMIFS(DATA_GOC!$H:$H,DATA_GOC!$A:$A,"BOM",DATA_GOC!$D:$D,$B196,DATA_GOC!$E:$E,"Téc cát nghiền",DATA_GOC!$F:$F,"Xuất nội bộ từ téc",DATA_GOC!$B:$B,DATE($D$2,$B$2,Z$4)),0))</f>
        <v>0</v>
      </c>
      <c r="AA196" s="251">
        <f>IF(AA$4&gt;DAY(EOMONTH(DATE($D$2,$B$2,1),0)),"",IFERROR(SUMIFS(DATA_GOC!$H:$H,DATA_GOC!$A:$A,"BOM",DATA_GOC!$D:$D,$B196,DATA_GOC!$E:$E,"Téc cát nghiền",DATA_GOC!$F:$F,"Xuất nội bộ từ téc",DATA_GOC!$B:$B,DATE($D$2,$B$2,AA$4)),0))</f>
        <v>0</v>
      </c>
      <c r="AB196" s="251">
        <f>IF(AB$4&gt;DAY(EOMONTH(DATE($D$2,$B$2,1),0)),"",IFERROR(SUMIFS(DATA_GOC!$H:$H,DATA_GOC!$A:$A,"BOM",DATA_GOC!$D:$D,$B196,DATA_GOC!$E:$E,"Téc cát nghiền",DATA_GOC!$F:$F,"Xuất nội bộ từ téc",DATA_GOC!$B:$B,DATE($D$2,$B$2,AB$4)),0))</f>
        <v>0</v>
      </c>
      <c r="AC196" s="251">
        <f>IF(AC$4&gt;DAY(EOMONTH(DATE($D$2,$B$2,1),0)),"",IFERROR(SUMIFS(DATA_GOC!$H:$H,DATA_GOC!$A:$A,"BOM",DATA_GOC!$D:$D,$B196,DATA_GOC!$E:$E,"Téc cát nghiền",DATA_GOC!$F:$F,"Xuất nội bộ từ téc",DATA_GOC!$B:$B,DATE($D$2,$B$2,AC$4)),0))</f>
        <v>0</v>
      </c>
      <c r="AD196" s="251">
        <f>IF(AD$4&gt;DAY(EOMONTH(DATE($D$2,$B$2,1),0)),"",IFERROR(SUMIFS(DATA_GOC!$H:$H,DATA_GOC!$A:$A,"BOM",DATA_GOC!$D:$D,$B196,DATA_GOC!$E:$E,"Téc cát nghiền",DATA_GOC!$F:$F,"Xuất nội bộ từ téc",DATA_GOC!$B:$B,DATE($D$2,$B$2,AD$4)),0))</f>
        <v>0</v>
      </c>
      <c r="AE196" s="251">
        <f>IF(AE$4&gt;DAY(EOMONTH(DATE($D$2,$B$2,1),0)),"",IFERROR(SUMIFS(DATA_GOC!$H:$H,DATA_GOC!$A:$A,"BOM",DATA_GOC!$D:$D,$B196,DATA_GOC!$E:$E,"Téc cát nghiền",DATA_GOC!$F:$F,"Xuất nội bộ từ téc",DATA_GOC!$B:$B,DATE($D$2,$B$2,AE$4)),0))</f>
        <v>0</v>
      </c>
      <c r="AF196" s="251">
        <f>IF(AF$4&gt;DAY(EOMONTH(DATE($D$2,$B$2,1),0)),"",IFERROR(SUMIFS(DATA_GOC!$H:$H,DATA_GOC!$A:$A,"BOM",DATA_GOC!$D:$D,$B196,DATA_GOC!$E:$E,"Téc cát nghiền",DATA_GOC!$F:$F,"Xuất nội bộ từ téc",DATA_GOC!$B:$B,DATE($D$2,$B$2,AF$4)),0))</f>
        <v>0</v>
      </c>
      <c r="AG196" s="251">
        <f>IF(AG$4&gt;DAY(EOMONTH(DATE($D$2,$B$2,1),0)),"",IFERROR(SUMIFS(DATA_GOC!$H:$H,DATA_GOC!$A:$A,"BOM",DATA_GOC!$D:$D,$B196,DATA_GOC!$E:$E,"Téc cát nghiền",DATA_GOC!$F:$F,"Xuất nội bộ từ téc",DATA_GOC!$B:$B,DATE($D$2,$B$2,AG$4)),0))</f>
        <v>0</v>
      </c>
      <c r="AH196" s="252">
        <f t="shared" si="10"/>
        <v>0</v>
      </c>
      <c r="AI196" s="241"/>
      <c r="AJ196" s="242">
        <f>IF($B196="","",SUMIFS(TINH_TEC!$K$233:$K$9232,TINH_TEC!$H$233:$H$9232,$B196,TINH_TEC!$C$233:$C$9232,"Téc cát nghiền",TINH_TEC!$F$233:$F$9232,$B$2,TINH_TEC!$G$233:$G$9232,$D$2,TINH_TEC!$B$233:$B$9232,"Đã chốt"))</f>
        <v>0</v>
      </c>
      <c r="AK196" s="242">
        <f>IF($B196="","",SUMIFS(TINH_TEC!$J$233:$J$9232,TINH_TEC!$H$233:$H$9232,$B196,TINH_TEC!$C$233:$C$9232,"Téc cát nghiền",TINH_TEC!$F$233:$F$9232,$B$2,TINH_TEC!$G$233:$G$9232,$D$2,TINH_TEC!$B$233:$B$9232,"Đã chốt"))</f>
        <v>0</v>
      </c>
      <c r="AL196" s="242">
        <f t="shared" si="11"/>
        <v>0</v>
      </c>
    </row>
    <row r="197" ht="15.75" customHeight="1">
      <c r="A197" s="237">
        <f>IF($B197&lt;&gt;"",9,"")</f>
        <v>9</v>
      </c>
      <c r="B197" s="250" t="str">
        <f t="array" ref="B197">IFERROR(INDEX(DANH_MUC!$E:$E,12),"")</f>
        <v>28C01731</v>
      </c>
      <c r="C197" s="251">
        <f>IF(C$4&gt;DAY(EOMONTH(DATE($D$2,$B$2,1),0)),"",IFERROR(SUMIFS(DATA_GOC!$H:$H,DATA_GOC!$A:$A,"BOM",DATA_GOC!$D:$D,$B197,DATA_GOC!$E:$E,"Téc cát nghiền",DATA_GOC!$F:$F,"Xuất nội bộ từ téc",DATA_GOC!$B:$B,DATE($D$2,$B$2,C$4)),0))</f>
        <v>0</v>
      </c>
      <c r="D197" s="251">
        <f>IF(D$4&gt;DAY(EOMONTH(DATE($D$2,$B$2,1),0)),"",IFERROR(SUMIFS(DATA_GOC!$H:$H,DATA_GOC!$A:$A,"BOM",DATA_GOC!$D:$D,$B197,DATA_GOC!$E:$E,"Téc cát nghiền",DATA_GOC!$F:$F,"Xuất nội bộ từ téc",DATA_GOC!$B:$B,DATE($D$2,$B$2,D$4)),0))</f>
        <v>0</v>
      </c>
      <c r="E197" s="251">
        <f>IF(E$4&gt;DAY(EOMONTH(DATE($D$2,$B$2,1),0)),"",IFERROR(SUMIFS(DATA_GOC!$H:$H,DATA_GOC!$A:$A,"BOM",DATA_GOC!$D:$D,$B197,DATA_GOC!$E:$E,"Téc cát nghiền",DATA_GOC!$F:$F,"Xuất nội bộ từ téc",DATA_GOC!$B:$B,DATE($D$2,$B$2,E$4)),0))</f>
        <v>0</v>
      </c>
      <c r="F197" s="251">
        <f>IF(F$4&gt;DAY(EOMONTH(DATE($D$2,$B$2,1),0)),"",IFERROR(SUMIFS(DATA_GOC!$H:$H,DATA_GOC!$A:$A,"BOM",DATA_GOC!$D:$D,$B197,DATA_GOC!$E:$E,"Téc cát nghiền",DATA_GOC!$F:$F,"Xuất nội bộ từ téc",DATA_GOC!$B:$B,DATE($D$2,$B$2,F$4)),0))</f>
        <v>0</v>
      </c>
      <c r="G197" s="251">
        <f>IF(G$4&gt;DAY(EOMONTH(DATE($D$2,$B$2,1),0)),"",IFERROR(SUMIFS(DATA_GOC!$H:$H,DATA_GOC!$A:$A,"BOM",DATA_GOC!$D:$D,$B197,DATA_GOC!$E:$E,"Téc cát nghiền",DATA_GOC!$F:$F,"Xuất nội bộ từ téc",DATA_GOC!$B:$B,DATE($D$2,$B$2,G$4)),0))</f>
        <v>0</v>
      </c>
      <c r="H197" s="251">
        <f>IF(H$4&gt;DAY(EOMONTH(DATE($D$2,$B$2,1),0)),"",IFERROR(SUMIFS(DATA_GOC!$H:$H,DATA_GOC!$A:$A,"BOM",DATA_GOC!$D:$D,$B197,DATA_GOC!$E:$E,"Téc cát nghiền",DATA_GOC!$F:$F,"Xuất nội bộ từ téc",DATA_GOC!$B:$B,DATE($D$2,$B$2,H$4)),0))</f>
        <v>0</v>
      </c>
      <c r="I197" s="251">
        <f>IF(I$4&gt;DAY(EOMONTH(DATE($D$2,$B$2,1),0)),"",IFERROR(SUMIFS(DATA_GOC!$H:$H,DATA_GOC!$A:$A,"BOM",DATA_GOC!$D:$D,$B197,DATA_GOC!$E:$E,"Téc cát nghiền",DATA_GOC!$F:$F,"Xuất nội bộ từ téc",DATA_GOC!$B:$B,DATE($D$2,$B$2,I$4)),0))</f>
        <v>0</v>
      </c>
      <c r="J197" s="251">
        <f>IF(J$4&gt;DAY(EOMONTH(DATE($D$2,$B$2,1),0)),"",IFERROR(SUMIFS(DATA_GOC!$H:$H,DATA_GOC!$A:$A,"BOM",DATA_GOC!$D:$D,$B197,DATA_GOC!$E:$E,"Téc cát nghiền",DATA_GOC!$F:$F,"Xuất nội bộ từ téc",DATA_GOC!$B:$B,DATE($D$2,$B$2,J$4)),0))</f>
        <v>0</v>
      </c>
      <c r="K197" s="251">
        <f>IF(K$4&gt;DAY(EOMONTH(DATE($D$2,$B$2,1),0)),"",IFERROR(SUMIFS(DATA_GOC!$H:$H,DATA_GOC!$A:$A,"BOM",DATA_GOC!$D:$D,$B197,DATA_GOC!$E:$E,"Téc cát nghiền",DATA_GOC!$F:$F,"Xuất nội bộ từ téc",DATA_GOC!$B:$B,DATE($D$2,$B$2,K$4)),0))</f>
        <v>0</v>
      </c>
      <c r="L197" s="251">
        <f>IF(L$4&gt;DAY(EOMONTH(DATE($D$2,$B$2,1),0)),"",IFERROR(SUMIFS(DATA_GOC!$H:$H,DATA_GOC!$A:$A,"BOM",DATA_GOC!$D:$D,$B197,DATA_GOC!$E:$E,"Téc cát nghiền",DATA_GOC!$F:$F,"Xuất nội bộ từ téc",DATA_GOC!$B:$B,DATE($D$2,$B$2,L$4)),0))</f>
        <v>0</v>
      </c>
      <c r="M197" s="251">
        <f>IF(M$4&gt;DAY(EOMONTH(DATE($D$2,$B$2,1),0)),"",IFERROR(SUMIFS(DATA_GOC!$H:$H,DATA_GOC!$A:$A,"BOM",DATA_GOC!$D:$D,$B197,DATA_GOC!$E:$E,"Téc cát nghiền",DATA_GOC!$F:$F,"Xuất nội bộ từ téc",DATA_GOC!$B:$B,DATE($D$2,$B$2,M$4)),0))</f>
        <v>0</v>
      </c>
      <c r="N197" s="251">
        <f>IF(N$4&gt;DAY(EOMONTH(DATE($D$2,$B$2,1),0)),"",IFERROR(SUMIFS(DATA_GOC!$H:$H,DATA_GOC!$A:$A,"BOM",DATA_GOC!$D:$D,$B197,DATA_GOC!$E:$E,"Téc cát nghiền",DATA_GOC!$F:$F,"Xuất nội bộ từ téc",DATA_GOC!$B:$B,DATE($D$2,$B$2,N$4)),0))</f>
        <v>0</v>
      </c>
      <c r="O197" s="251">
        <f>IF(O$4&gt;DAY(EOMONTH(DATE($D$2,$B$2,1),0)),"",IFERROR(SUMIFS(DATA_GOC!$H:$H,DATA_GOC!$A:$A,"BOM",DATA_GOC!$D:$D,$B197,DATA_GOC!$E:$E,"Téc cát nghiền",DATA_GOC!$F:$F,"Xuất nội bộ từ téc",DATA_GOC!$B:$B,DATE($D$2,$B$2,O$4)),0))</f>
        <v>0</v>
      </c>
      <c r="P197" s="251">
        <f>IF(P$4&gt;DAY(EOMONTH(DATE($D$2,$B$2,1),0)),"",IFERROR(SUMIFS(DATA_GOC!$H:$H,DATA_GOC!$A:$A,"BOM",DATA_GOC!$D:$D,$B197,DATA_GOC!$E:$E,"Téc cát nghiền",DATA_GOC!$F:$F,"Xuất nội bộ từ téc",DATA_GOC!$B:$B,DATE($D$2,$B$2,P$4)),0))</f>
        <v>0</v>
      </c>
      <c r="Q197" s="251">
        <f>IF(Q$4&gt;DAY(EOMONTH(DATE($D$2,$B$2,1),0)),"",IFERROR(SUMIFS(DATA_GOC!$H:$H,DATA_GOC!$A:$A,"BOM",DATA_GOC!$D:$D,$B197,DATA_GOC!$E:$E,"Téc cát nghiền",DATA_GOC!$F:$F,"Xuất nội bộ từ téc",DATA_GOC!$B:$B,DATE($D$2,$B$2,Q$4)),0))</f>
        <v>0</v>
      </c>
      <c r="R197" s="251">
        <f>IF(R$4&gt;DAY(EOMONTH(DATE($D$2,$B$2,1),0)),"",IFERROR(SUMIFS(DATA_GOC!$H:$H,DATA_GOC!$A:$A,"BOM",DATA_GOC!$D:$D,$B197,DATA_GOC!$E:$E,"Téc cát nghiền",DATA_GOC!$F:$F,"Xuất nội bộ từ téc",DATA_GOC!$B:$B,DATE($D$2,$B$2,R$4)),0))</f>
        <v>0</v>
      </c>
      <c r="S197" s="251">
        <f>IF(S$4&gt;DAY(EOMONTH(DATE($D$2,$B$2,1),0)),"",IFERROR(SUMIFS(DATA_GOC!$H:$H,DATA_GOC!$A:$A,"BOM",DATA_GOC!$D:$D,$B197,DATA_GOC!$E:$E,"Téc cát nghiền",DATA_GOC!$F:$F,"Xuất nội bộ từ téc",DATA_GOC!$B:$B,DATE($D$2,$B$2,S$4)),0))</f>
        <v>0</v>
      </c>
      <c r="T197" s="251">
        <f>IF(T$4&gt;DAY(EOMONTH(DATE($D$2,$B$2,1),0)),"",IFERROR(SUMIFS(DATA_GOC!$H:$H,DATA_GOC!$A:$A,"BOM",DATA_GOC!$D:$D,$B197,DATA_GOC!$E:$E,"Téc cát nghiền",DATA_GOC!$F:$F,"Xuất nội bộ từ téc",DATA_GOC!$B:$B,DATE($D$2,$B$2,T$4)),0))</f>
        <v>0</v>
      </c>
      <c r="U197" s="251">
        <f>IF(U$4&gt;DAY(EOMONTH(DATE($D$2,$B$2,1),0)),"",IFERROR(SUMIFS(DATA_GOC!$H:$H,DATA_GOC!$A:$A,"BOM",DATA_GOC!$D:$D,$B197,DATA_GOC!$E:$E,"Téc cát nghiền",DATA_GOC!$F:$F,"Xuất nội bộ từ téc",DATA_GOC!$B:$B,DATE($D$2,$B$2,U$4)),0))</f>
        <v>0</v>
      </c>
      <c r="V197" s="251">
        <f>IF(V$4&gt;DAY(EOMONTH(DATE($D$2,$B$2,1),0)),"",IFERROR(SUMIFS(DATA_GOC!$H:$H,DATA_GOC!$A:$A,"BOM",DATA_GOC!$D:$D,$B197,DATA_GOC!$E:$E,"Téc cát nghiền",DATA_GOC!$F:$F,"Xuất nội bộ từ téc",DATA_GOC!$B:$B,DATE($D$2,$B$2,V$4)),0))</f>
        <v>0</v>
      </c>
      <c r="W197" s="251">
        <f>IF(W$4&gt;DAY(EOMONTH(DATE($D$2,$B$2,1),0)),"",IFERROR(SUMIFS(DATA_GOC!$H:$H,DATA_GOC!$A:$A,"BOM",DATA_GOC!$D:$D,$B197,DATA_GOC!$E:$E,"Téc cát nghiền",DATA_GOC!$F:$F,"Xuất nội bộ từ téc",DATA_GOC!$B:$B,DATE($D$2,$B$2,W$4)),0))</f>
        <v>0</v>
      </c>
      <c r="X197" s="251">
        <f>IF(X$4&gt;DAY(EOMONTH(DATE($D$2,$B$2,1),0)),"",IFERROR(SUMIFS(DATA_GOC!$H:$H,DATA_GOC!$A:$A,"BOM",DATA_GOC!$D:$D,$B197,DATA_GOC!$E:$E,"Téc cát nghiền",DATA_GOC!$F:$F,"Xuất nội bộ từ téc",DATA_GOC!$B:$B,DATE($D$2,$B$2,X$4)),0))</f>
        <v>0</v>
      </c>
      <c r="Y197" s="251">
        <f>IF(Y$4&gt;DAY(EOMONTH(DATE($D$2,$B$2,1),0)),"",IFERROR(SUMIFS(DATA_GOC!$H:$H,DATA_GOC!$A:$A,"BOM",DATA_GOC!$D:$D,$B197,DATA_GOC!$E:$E,"Téc cát nghiền",DATA_GOC!$F:$F,"Xuất nội bộ từ téc",DATA_GOC!$B:$B,DATE($D$2,$B$2,Y$4)),0))</f>
        <v>0</v>
      </c>
      <c r="Z197" s="251">
        <f>IF(Z$4&gt;DAY(EOMONTH(DATE($D$2,$B$2,1),0)),"",IFERROR(SUMIFS(DATA_GOC!$H:$H,DATA_GOC!$A:$A,"BOM",DATA_GOC!$D:$D,$B197,DATA_GOC!$E:$E,"Téc cát nghiền",DATA_GOC!$F:$F,"Xuất nội bộ từ téc",DATA_GOC!$B:$B,DATE($D$2,$B$2,Z$4)),0))</f>
        <v>0</v>
      </c>
      <c r="AA197" s="251">
        <f>IF(AA$4&gt;DAY(EOMONTH(DATE($D$2,$B$2,1),0)),"",IFERROR(SUMIFS(DATA_GOC!$H:$H,DATA_GOC!$A:$A,"BOM",DATA_GOC!$D:$D,$B197,DATA_GOC!$E:$E,"Téc cát nghiền",DATA_GOC!$F:$F,"Xuất nội bộ từ téc",DATA_GOC!$B:$B,DATE($D$2,$B$2,AA$4)),0))</f>
        <v>0</v>
      </c>
      <c r="AB197" s="251">
        <f>IF(AB$4&gt;DAY(EOMONTH(DATE($D$2,$B$2,1),0)),"",IFERROR(SUMIFS(DATA_GOC!$H:$H,DATA_GOC!$A:$A,"BOM",DATA_GOC!$D:$D,$B197,DATA_GOC!$E:$E,"Téc cát nghiền",DATA_GOC!$F:$F,"Xuất nội bộ từ téc",DATA_GOC!$B:$B,DATE($D$2,$B$2,AB$4)),0))</f>
        <v>0</v>
      </c>
      <c r="AC197" s="251">
        <f>IF(AC$4&gt;DAY(EOMONTH(DATE($D$2,$B$2,1),0)),"",IFERROR(SUMIFS(DATA_GOC!$H:$H,DATA_GOC!$A:$A,"BOM",DATA_GOC!$D:$D,$B197,DATA_GOC!$E:$E,"Téc cát nghiền",DATA_GOC!$F:$F,"Xuất nội bộ từ téc",DATA_GOC!$B:$B,DATE($D$2,$B$2,AC$4)),0))</f>
        <v>0</v>
      </c>
      <c r="AD197" s="251">
        <f>IF(AD$4&gt;DAY(EOMONTH(DATE($D$2,$B$2,1),0)),"",IFERROR(SUMIFS(DATA_GOC!$H:$H,DATA_GOC!$A:$A,"BOM",DATA_GOC!$D:$D,$B197,DATA_GOC!$E:$E,"Téc cát nghiền",DATA_GOC!$F:$F,"Xuất nội bộ từ téc",DATA_GOC!$B:$B,DATE($D$2,$B$2,AD$4)),0))</f>
        <v>0</v>
      </c>
      <c r="AE197" s="251">
        <f>IF(AE$4&gt;DAY(EOMONTH(DATE($D$2,$B$2,1),0)),"",IFERROR(SUMIFS(DATA_GOC!$H:$H,DATA_GOC!$A:$A,"BOM",DATA_GOC!$D:$D,$B197,DATA_GOC!$E:$E,"Téc cát nghiền",DATA_GOC!$F:$F,"Xuất nội bộ từ téc",DATA_GOC!$B:$B,DATE($D$2,$B$2,AE$4)),0))</f>
        <v>0</v>
      </c>
      <c r="AF197" s="251">
        <f>IF(AF$4&gt;DAY(EOMONTH(DATE($D$2,$B$2,1),0)),"",IFERROR(SUMIFS(DATA_GOC!$H:$H,DATA_GOC!$A:$A,"BOM",DATA_GOC!$D:$D,$B197,DATA_GOC!$E:$E,"Téc cát nghiền",DATA_GOC!$F:$F,"Xuất nội bộ từ téc",DATA_GOC!$B:$B,DATE($D$2,$B$2,AF$4)),0))</f>
        <v>0</v>
      </c>
      <c r="AG197" s="251">
        <f>IF(AG$4&gt;DAY(EOMONTH(DATE($D$2,$B$2,1),0)),"",IFERROR(SUMIFS(DATA_GOC!$H:$H,DATA_GOC!$A:$A,"BOM",DATA_GOC!$D:$D,$B197,DATA_GOC!$E:$E,"Téc cát nghiền",DATA_GOC!$F:$F,"Xuất nội bộ từ téc",DATA_GOC!$B:$B,DATE($D$2,$B$2,AG$4)),0))</f>
        <v>0</v>
      </c>
      <c r="AH197" s="252">
        <f t="shared" si="10"/>
        <v>0</v>
      </c>
      <c r="AI197" s="241"/>
      <c r="AJ197" s="242">
        <f>IF($B197="","",SUMIFS(TINH_TEC!$K$233:$K$9232,TINH_TEC!$H$233:$H$9232,$B197,TINH_TEC!$C$233:$C$9232,"Téc cát nghiền",TINH_TEC!$F$233:$F$9232,$B$2,TINH_TEC!$G$233:$G$9232,$D$2,TINH_TEC!$B$233:$B$9232,"Đã chốt"))</f>
        <v>0</v>
      </c>
      <c r="AK197" s="242">
        <f>IF($B197="","",SUMIFS(TINH_TEC!$J$233:$J$9232,TINH_TEC!$H$233:$H$9232,$B197,TINH_TEC!$C$233:$C$9232,"Téc cát nghiền",TINH_TEC!$F$233:$F$9232,$B$2,TINH_TEC!$G$233:$G$9232,$D$2,TINH_TEC!$B$233:$B$9232,"Đã chốt"))</f>
        <v>0</v>
      </c>
      <c r="AL197" s="242">
        <f t="shared" si="11"/>
        <v>0</v>
      </c>
    </row>
    <row r="198" ht="15.75" customHeight="1">
      <c r="A198" s="237">
        <f>IF($B198&lt;&gt;"",10,"")</f>
        <v>10</v>
      </c>
      <c r="B198" s="250" t="str">
        <f t="array" ref="B198">IFERROR(INDEX(DANH_MUC!$E:$E,13),"")</f>
        <v>28C01743</v>
      </c>
      <c r="C198" s="251">
        <f>IF(C$4&gt;DAY(EOMONTH(DATE($D$2,$B$2,1),0)),"",IFERROR(SUMIFS(DATA_GOC!$H:$H,DATA_GOC!$A:$A,"BOM",DATA_GOC!$D:$D,$B198,DATA_GOC!$E:$E,"Téc cát nghiền",DATA_GOC!$F:$F,"Xuất nội bộ từ téc",DATA_GOC!$B:$B,DATE($D$2,$B$2,C$4)),0))</f>
        <v>0</v>
      </c>
      <c r="D198" s="251">
        <f>IF(D$4&gt;DAY(EOMONTH(DATE($D$2,$B$2,1),0)),"",IFERROR(SUMIFS(DATA_GOC!$H:$H,DATA_GOC!$A:$A,"BOM",DATA_GOC!$D:$D,$B198,DATA_GOC!$E:$E,"Téc cát nghiền",DATA_GOC!$F:$F,"Xuất nội bộ từ téc",DATA_GOC!$B:$B,DATE($D$2,$B$2,D$4)),0))</f>
        <v>0</v>
      </c>
      <c r="E198" s="251">
        <f>IF(E$4&gt;DAY(EOMONTH(DATE($D$2,$B$2,1),0)),"",IFERROR(SUMIFS(DATA_GOC!$H:$H,DATA_GOC!$A:$A,"BOM",DATA_GOC!$D:$D,$B198,DATA_GOC!$E:$E,"Téc cát nghiền",DATA_GOC!$F:$F,"Xuất nội bộ từ téc",DATA_GOC!$B:$B,DATE($D$2,$B$2,E$4)),0))</f>
        <v>0</v>
      </c>
      <c r="F198" s="251">
        <f>IF(F$4&gt;DAY(EOMONTH(DATE($D$2,$B$2,1),0)),"",IFERROR(SUMIFS(DATA_GOC!$H:$H,DATA_GOC!$A:$A,"BOM",DATA_GOC!$D:$D,$B198,DATA_GOC!$E:$E,"Téc cát nghiền",DATA_GOC!$F:$F,"Xuất nội bộ từ téc",DATA_GOC!$B:$B,DATE($D$2,$B$2,F$4)),0))</f>
        <v>0</v>
      </c>
      <c r="G198" s="251">
        <f>IF(G$4&gt;DAY(EOMONTH(DATE($D$2,$B$2,1),0)),"",IFERROR(SUMIFS(DATA_GOC!$H:$H,DATA_GOC!$A:$A,"BOM",DATA_GOC!$D:$D,$B198,DATA_GOC!$E:$E,"Téc cát nghiền",DATA_GOC!$F:$F,"Xuất nội bộ từ téc",DATA_GOC!$B:$B,DATE($D$2,$B$2,G$4)),0))</f>
        <v>0</v>
      </c>
      <c r="H198" s="251">
        <f>IF(H$4&gt;DAY(EOMONTH(DATE($D$2,$B$2,1),0)),"",IFERROR(SUMIFS(DATA_GOC!$H:$H,DATA_GOC!$A:$A,"BOM",DATA_GOC!$D:$D,$B198,DATA_GOC!$E:$E,"Téc cát nghiền",DATA_GOC!$F:$F,"Xuất nội bộ từ téc",DATA_GOC!$B:$B,DATE($D$2,$B$2,H$4)),0))</f>
        <v>0</v>
      </c>
      <c r="I198" s="251">
        <f>IF(I$4&gt;DAY(EOMONTH(DATE($D$2,$B$2,1),0)),"",IFERROR(SUMIFS(DATA_GOC!$H:$H,DATA_GOC!$A:$A,"BOM",DATA_GOC!$D:$D,$B198,DATA_GOC!$E:$E,"Téc cát nghiền",DATA_GOC!$F:$F,"Xuất nội bộ từ téc",DATA_GOC!$B:$B,DATE($D$2,$B$2,I$4)),0))</f>
        <v>0</v>
      </c>
      <c r="J198" s="251">
        <f>IF(J$4&gt;DAY(EOMONTH(DATE($D$2,$B$2,1),0)),"",IFERROR(SUMIFS(DATA_GOC!$H:$H,DATA_GOC!$A:$A,"BOM",DATA_GOC!$D:$D,$B198,DATA_GOC!$E:$E,"Téc cát nghiền",DATA_GOC!$F:$F,"Xuất nội bộ từ téc",DATA_GOC!$B:$B,DATE($D$2,$B$2,J$4)),0))</f>
        <v>0</v>
      </c>
      <c r="K198" s="251">
        <f>IF(K$4&gt;DAY(EOMONTH(DATE($D$2,$B$2,1),0)),"",IFERROR(SUMIFS(DATA_GOC!$H:$H,DATA_GOC!$A:$A,"BOM",DATA_GOC!$D:$D,$B198,DATA_GOC!$E:$E,"Téc cát nghiền",DATA_GOC!$F:$F,"Xuất nội bộ từ téc",DATA_GOC!$B:$B,DATE($D$2,$B$2,K$4)),0))</f>
        <v>0</v>
      </c>
      <c r="L198" s="251">
        <f>IF(L$4&gt;DAY(EOMONTH(DATE($D$2,$B$2,1),0)),"",IFERROR(SUMIFS(DATA_GOC!$H:$H,DATA_GOC!$A:$A,"BOM",DATA_GOC!$D:$D,$B198,DATA_GOC!$E:$E,"Téc cát nghiền",DATA_GOC!$F:$F,"Xuất nội bộ từ téc",DATA_GOC!$B:$B,DATE($D$2,$B$2,L$4)),0))</f>
        <v>0</v>
      </c>
      <c r="M198" s="251">
        <f>IF(M$4&gt;DAY(EOMONTH(DATE($D$2,$B$2,1),0)),"",IFERROR(SUMIFS(DATA_GOC!$H:$H,DATA_GOC!$A:$A,"BOM",DATA_GOC!$D:$D,$B198,DATA_GOC!$E:$E,"Téc cát nghiền",DATA_GOC!$F:$F,"Xuất nội bộ từ téc",DATA_GOC!$B:$B,DATE($D$2,$B$2,M$4)),0))</f>
        <v>0</v>
      </c>
      <c r="N198" s="251">
        <f>IF(N$4&gt;DAY(EOMONTH(DATE($D$2,$B$2,1),0)),"",IFERROR(SUMIFS(DATA_GOC!$H:$H,DATA_GOC!$A:$A,"BOM",DATA_GOC!$D:$D,$B198,DATA_GOC!$E:$E,"Téc cát nghiền",DATA_GOC!$F:$F,"Xuất nội bộ từ téc",DATA_GOC!$B:$B,DATE($D$2,$B$2,N$4)),0))</f>
        <v>0</v>
      </c>
      <c r="O198" s="251">
        <f>IF(O$4&gt;DAY(EOMONTH(DATE($D$2,$B$2,1),0)),"",IFERROR(SUMIFS(DATA_GOC!$H:$H,DATA_GOC!$A:$A,"BOM",DATA_GOC!$D:$D,$B198,DATA_GOC!$E:$E,"Téc cát nghiền",DATA_GOC!$F:$F,"Xuất nội bộ từ téc",DATA_GOC!$B:$B,DATE($D$2,$B$2,O$4)),0))</f>
        <v>0</v>
      </c>
      <c r="P198" s="251">
        <f>IF(P$4&gt;DAY(EOMONTH(DATE($D$2,$B$2,1),0)),"",IFERROR(SUMIFS(DATA_GOC!$H:$H,DATA_GOC!$A:$A,"BOM",DATA_GOC!$D:$D,$B198,DATA_GOC!$E:$E,"Téc cát nghiền",DATA_GOC!$F:$F,"Xuất nội bộ từ téc",DATA_GOC!$B:$B,DATE($D$2,$B$2,P$4)),0))</f>
        <v>0</v>
      </c>
      <c r="Q198" s="251">
        <f>IF(Q$4&gt;DAY(EOMONTH(DATE($D$2,$B$2,1),0)),"",IFERROR(SUMIFS(DATA_GOC!$H:$H,DATA_GOC!$A:$A,"BOM",DATA_GOC!$D:$D,$B198,DATA_GOC!$E:$E,"Téc cát nghiền",DATA_GOC!$F:$F,"Xuất nội bộ từ téc",DATA_GOC!$B:$B,DATE($D$2,$B$2,Q$4)),0))</f>
        <v>0</v>
      </c>
      <c r="R198" s="251">
        <f>IF(R$4&gt;DAY(EOMONTH(DATE($D$2,$B$2,1),0)),"",IFERROR(SUMIFS(DATA_GOC!$H:$H,DATA_GOC!$A:$A,"BOM",DATA_GOC!$D:$D,$B198,DATA_GOC!$E:$E,"Téc cát nghiền",DATA_GOC!$F:$F,"Xuất nội bộ từ téc",DATA_GOC!$B:$B,DATE($D$2,$B$2,R$4)),0))</f>
        <v>0</v>
      </c>
      <c r="S198" s="251">
        <f>IF(S$4&gt;DAY(EOMONTH(DATE($D$2,$B$2,1),0)),"",IFERROR(SUMIFS(DATA_GOC!$H:$H,DATA_GOC!$A:$A,"BOM",DATA_GOC!$D:$D,$B198,DATA_GOC!$E:$E,"Téc cát nghiền",DATA_GOC!$F:$F,"Xuất nội bộ từ téc",DATA_GOC!$B:$B,DATE($D$2,$B$2,S$4)),0))</f>
        <v>0</v>
      </c>
      <c r="T198" s="251">
        <f>IF(T$4&gt;DAY(EOMONTH(DATE($D$2,$B$2,1),0)),"",IFERROR(SUMIFS(DATA_GOC!$H:$H,DATA_GOC!$A:$A,"BOM",DATA_GOC!$D:$D,$B198,DATA_GOC!$E:$E,"Téc cát nghiền",DATA_GOC!$F:$F,"Xuất nội bộ từ téc",DATA_GOC!$B:$B,DATE($D$2,$B$2,T$4)),0))</f>
        <v>0</v>
      </c>
      <c r="U198" s="251">
        <f>IF(U$4&gt;DAY(EOMONTH(DATE($D$2,$B$2,1),0)),"",IFERROR(SUMIFS(DATA_GOC!$H:$H,DATA_GOC!$A:$A,"BOM",DATA_GOC!$D:$D,$B198,DATA_GOC!$E:$E,"Téc cát nghiền",DATA_GOC!$F:$F,"Xuất nội bộ từ téc",DATA_GOC!$B:$B,DATE($D$2,$B$2,U$4)),0))</f>
        <v>0</v>
      </c>
      <c r="V198" s="251">
        <f>IF(V$4&gt;DAY(EOMONTH(DATE($D$2,$B$2,1),0)),"",IFERROR(SUMIFS(DATA_GOC!$H:$H,DATA_GOC!$A:$A,"BOM",DATA_GOC!$D:$D,$B198,DATA_GOC!$E:$E,"Téc cát nghiền",DATA_GOC!$F:$F,"Xuất nội bộ từ téc",DATA_GOC!$B:$B,DATE($D$2,$B$2,V$4)),0))</f>
        <v>0</v>
      </c>
      <c r="W198" s="251">
        <f>IF(W$4&gt;DAY(EOMONTH(DATE($D$2,$B$2,1),0)),"",IFERROR(SUMIFS(DATA_GOC!$H:$H,DATA_GOC!$A:$A,"BOM",DATA_GOC!$D:$D,$B198,DATA_GOC!$E:$E,"Téc cát nghiền",DATA_GOC!$F:$F,"Xuất nội bộ từ téc",DATA_GOC!$B:$B,DATE($D$2,$B$2,W$4)),0))</f>
        <v>0</v>
      </c>
      <c r="X198" s="251">
        <f>IF(X$4&gt;DAY(EOMONTH(DATE($D$2,$B$2,1),0)),"",IFERROR(SUMIFS(DATA_GOC!$H:$H,DATA_GOC!$A:$A,"BOM",DATA_GOC!$D:$D,$B198,DATA_GOC!$E:$E,"Téc cát nghiền",DATA_GOC!$F:$F,"Xuất nội bộ từ téc",DATA_GOC!$B:$B,DATE($D$2,$B$2,X$4)),0))</f>
        <v>0</v>
      </c>
      <c r="Y198" s="251">
        <f>IF(Y$4&gt;DAY(EOMONTH(DATE($D$2,$B$2,1),0)),"",IFERROR(SUMIFS(DATA_GOC!$H:$H,DATA_GOC!$A:$A,"BOM",DATA_GOC!$D:$D,$B198,DATA_GOC!$E:$E,"Téc cát nghiền",DATA_GOC!$F:$F,"Xuất nội bộ từ téc",DATA_GOC!$B:$B,DATE($D$2,$B$2,Y$4)),0))</f>
        <v>0</v>
      </c>
      <c r="Z198" s="251">
        <f>IF(Z$4&gt;DAY(EOMONTH(DATE($D$2,$B$2,1),0)),"",IFERROR(SUMIFS(DATA_GOC!$H:$H,DATA_GOC!$A:$A,"BOM",DATA_GOC!$D:$D,$B198,DATA_GOC!$E:$E,"Téc cát nghiền",DATA_GOC!$F:$F,"Xuất nội bộ từ téc",DATA_GOC!$B:$B,DATE($D$2,$B$2,Z$4)),0))</f>
        <v>0</v>
      </c>
      <c r="AA198" s="251">
        <f>IF(AA$4&gt;DAY(EOMONTH(DATE($D$2,$B$2,1),0)),"",IFERROR(SUMIFS(DATA_GOC!$H:$H,DATA_GOC!$A:$A,"BOM",DATA_GOC!$D:$D,$B198,DATA_GOC!$E:$E,"Téc cát nghiền",DATA_GOC!$F:$F,"Xuất nội bộ từ téc",DATA_GOC!$B:$B,DATE($D$2,$B$2,AA$4)),0))</f>
        <v>0</v>
      </c>
      <c r="AB198" s="251">
        <f>IF(AB$4&gt;DAY(EOMONTH(DATE($D$2,$B$2,1),0)),"",IFERROR(SUMIFS(DATA_GOC!$H:$H,DATA_GOC!$A:$A,"BOM",DATA_GOC!$D:$D,$B198,DATA_GOC!$E:$E,"Téc cát nghiền",DATA_GOC!$F:$F,"Xuất nội bộ từ téc",DATA_GOC!$B:$B,DATE($D$2,$B$2,AB$4)),0))</f>
        <v>0</v>
      </c>
      <c r="AC198" s="251">
        <f>IF(AC$4&gt;DAY(EOMONTH(DATE($D$2,$B$2,1),0)),"",IFERROR(SUMIFS(DATA_GOC!$H:$H,DATA_GOC!$A:$A,"BOM",DATA_GOC!$D:$D,$B198,DATA_GOC!$E:$E,"Téc cát nghiền",DATA_GOC!$F:$F,"Xuất nội bộ từ téc",DATA_GOC!$B:$B,DATE($D$2,$B$2,AC$4)),0))</f>
        <v>0</v>
      </c>
      <c r="AD198" s="251">
        <f>IF(AD$4&gt;DAY(EOMONTH(DATE($D$2,$B$2,1),0)),"",IFERROR(SUMIFS(DATA_GOC!$H:$H,DATA_GOC!$A:$A,"BOM",DATA_GOC!$D:$D,$B198,DATA_GOC!$E:$E,"Téc cát nghiền",DATA_GOC!$F:$F,"Xuất nội bộ từ téc",DATA_GOC!$B:$B,DATE($D$2,$B$2,AD$4)),0))</f>
        <v>0</v>
      </c>
      <c r="AE198" s="251">
        <f>IF(AE$4&gt;DAY(EOMONTH(DATE($D$2,$B$2,1),0)),"",IFERROR(SUMIFS(DATA_GOC!$H:$H,DATA_GOC!$A:$A,"BOM",DATA_GOC!$D:$D,$B198,DATA_GOC!$E:$E,"Téc cát nghiền",DATA_GOC!$F:$F,"Xuất nội bộ từ téc",DATA_GOC!$B:$B,DATE($D$2,$B$2,AE$4)),0))</f>
        <v>0</v>
      </c>
      <c r="AF198" s="251">
        <f>IF(AF$4&gt;DAY(EOMONTH(DATE($D$2,$B$2,1),0)),"",IFERROR(SUMIFS(DATA_GOC!$H:$H,DATA_GOC!$A:$A,"BOM",DATA_GOC!$D:$D,$B198,DATA_GOC!$E:$E,"Téc cát nghiền",DATA_GOC!$F:$F,"Xuất nội bộ từ téc",DATA_GOC!$B:$B,DATE($D$2,$B$2,AF$4)),0))</f>
        <v>0</v>
      </c>
      <c r="AG198" s="251">
        <f>IF(AG$4&gt;DAY(EOMONTH(DATE($D$2,$B$2,1),0)),"",IFERROR(SUMIFS(DATA_GOC!$H:$H,DATA_GOC!$A:$A,"BOM",DATA_GOC!$D:$D,$B198,DATA_GOC!$E:$E,"Téc cát nghiền",DATA_GOC!$F:$F,"Xuất nội bộ từ téc",DATA_GOC!$B:$B,DATE($D$2,$B$2,AG$4)),0))</f>
        <v>0</v>
      </c>
      <c r="AH198" s="252">
        <f t="shared" si="10"/>
        <v>0</v>
      </c>
      <c r="AI198" s="241"/>
      <c r="AJ198" s="242">
        <f>IF($B198="","",SUMIFS(TINH_TEC!$K$233:$K$9232,TINH_TEC!$H$233:$H$9232,$B198,TINH_TEC!$C$233:$C$9232,"Téc cát nghiền",TINH_TEC!$F$233:$F$9232,$B$2,TINH_TEC!$G$233:$G$9232,$D$2,TINH_TEC!$B$233:$B$9232,"Đã chốt"))</f>
        <v>0</v>
      </c>
      <c r="AK198" s="242">
        <f>IF($B198="","",SUMIFS(TINH_TEC!$J$233:$J$9232,TINH_TEC!$H$233:$H$9232,$B198,TINH_TEC!$C$233:$C$9232,"Téc cát nghiền",TINH_TEC!$F$233:$F$9232,$B$2,TINH_TEC!$G$233:$G$9232,$D$2,TINH_TEC!$B$233:$B$9232,"Đã chốt"))</f>
        <v>0</v>
      </c>
      <c r="AL198" s="242">
        <f t="shared" si="11"/>
        <v>0</v>
      </c>
    </row>
    <row r="199" ht="15.75" customHeight="1">
      <c r="A199" s="237">
        <f>IF($B199&lt;&gt;"",11,"")</f>
        <v>11</v>
      </c>
      <c r="B199" s="250" t="str">
        <f t="array" ref="B199">IFERROR(INDEX(DANH_MUC!$E:$E,14),"")</f>
        <v>28C02106</v>
      </c>
      <c r="C199" s="251">
        <f>IF(C$4&gt;DAY(EOMONTH(DATE($D$2,$B$2,1),0)),"",IFERROR(SUMIFS(DATA_GOC!$H:$H,DATA_GOC!$A:$A,"BOM",DATA_GOC!$D:$D,$B199,DATA_GOC!$E:$E,"Téc cát nghiền",DATA_GOC!$F:$F,"Xuất nội bộ từ téc",DATA_GOC!$B:$B,DATE($D$2,$B$2,C$4)),0))</f>
        <v>0</v>
      </c>
      <c r="D199" s="251">
        <f>IF(D$4&gt;DAY(EOMONTH(DATE($D$2,$B$2,1),0)),"",IFERROR(SUMIFS(DATA_GOC!$H:$H,DATA_GOC!$A:$A,"BOM",DATA_GOC!$D:$D,$B199,DATA_GOC!$E:$E,"Téc cát nghiền",DATA_GOC!$F:$F,"Xuất nội bộ từ téc",DATA_GOC!$B:$B,DATE($D$2,$B$2,D$4)),0))</f>
        <v>0</v>
      </c>
      <c r="E199" s="251">
        <f>IF(E$4&gt;DAY(EOMONTH(DATE($D$2,$B$2,1),0)),"",IFERROR(SUMIFS(DATA_GOC!$H:$H,DATA_GOC!$A:$A,"BOM",DATA_GOC!$D:$D,$B199,DATA_GOC!$E:$E,"Téc cát nghiền",DATA_GOC!$F:$F,"Xuất nội bộ từ téc",DATA_GOC!$B:$B,DATE($D$2,$B$2,E$4)),0))</f>
        <v>0</v>
      </c>
      <c r="F199" s="251">
        <f>IF(F$4&gt;DAY(EOMONTH(DATE($D$2,$B$2,1),0)),"",IFERROR(SUMIFS(DATA_GOC!$H:$H,DATA_GOC!$A:$A,"BOM",DATA_GOC!$D:$D,$B199,DATA_GOC!$E:$E,"Téc cát nghiền",DATA_GOC!$F:$F,"Xuất nội bộ từ téc",DATA_GOC!$B:$B,DATE($D$2,$B$2,F$4)),0))</f>
        <v>0</v>
      </c>
      <c r="G199" s="251">
        <f>IF(G$4&gt;DAY(EOMONTH(DATE($D$2,$B$2,1),0)),"",IFERROR(SUMIFS(DATA_GOC!$H:$H,DATA_GOC!$A:$A,"BOM",DATA_GOC!$D:$D,$B199,DATA_GOC!$E:$E,"Téc cát nghiền",DATA_GOC!$F:$F,"Xuất nội bộ từ téc",DATA_GOC!$B:$B,DATE($D$2,$B$2,G$4)),0))</f>
        <v>0</v>
      </c>
      <c r="H199" s="251">
        <f>IF(H$4&gt;DAY(EOMONTH(DATE($D$2,$B$2,1),0)),"",IFERROR(SUMIFS(DATA_GOC!$H:$H,DATA_GOC!$A:$A,"BOM",DATA_GOC!$D:$D,$B199,DATA_GOC!$E:$E,"Téc cát nghiền",DATA_GOC!$F:$F,"Xuất nội bộ từ téc",DATA_GOC!$B:$B,DATE($D$2,$B$2,H$4)),0))</f>
        <v>0</v>
      </c>
      <c r="I199" s="251">
        <f>IF(I$4&gt;DAY(EOMONTH(DATE($D$2,$B$2,1),0)),"",IFERROR(SUMIFS(DATA_GOC!$H:$H,DATA_GOC!$A:$A,"BOM",DATA_GOC!$D:$D,$B199,DATA_GOC!$E:$E,"Téc cát nghiền",DATA_GOC!$F:$F,"Xuất nội bộ từ téc",DATA_GOC!$B:$B,DATE($D$2,$B$2,I$4)),0))</f>
        <v>0</v>
      </c>
      <c r="J199" s="251">
        <f>IF(J$4&gt;DAY(EOMONTH(DATE($D$2,$B$2,1),0)),"",IFERROR(SUMIFS(DATA_GOC!$H:$H,DATA_GOC!$A:$A,"BOM",DATA_GOC!$D:$D,$B199,DATA_GOC!$E:$E,"Téc cát nghiền",DATA_GOC!$F:$F,"Xuất nội bộ từ téc",DATA_GOC!$B:$B,DATE($D$2,$B$2,J$4)),0))</f>
        <v>0</v>
      </c>
      <c r="K199" s="251">
        <f>IF(K$4&gt;DAY(EOMONTH(DATE($D$2,$B$2,1),0)),"",IFERROR(SUMIFS(DATA_GOC!$H:$H,DATA_GOC!$A:$A,"BOM",DATA_GOC!$D:$D,$B199,DATA_GOC!$E:$E,"Téc cát nghiền",DATA_GOC!$F:$F,"Xuất nội bộ từ téc",DATA_GOC!$B:$B,DATE($D$2,$B$2,K$4)),0))</f>
        <v>0</v>
      </c>
      <c r="L199" s="251">
        <f>IF(L$4&gt;DAY(EOMONTH(DATE($D$2,$B$2,1),0)),"",IFERROR(SUMIFS(DATA_GOC!$H:$H,DATA_GOC!$A:$A,"BOM",DATA_GOC!$D:$D,$B199,DATA_GOC!$E:$E,"Téc cát nghiền",DATA_GOC!$F:$F,"Xuất nội bộ từ téc",DATA_GOC!$B:$B,DATE($D$2,$B$2,L$4)),0))</f>
        <v>0</v>
      </c>
      <c r="M199" s="251">
        <f>IF(M$4&gt;DAY(EOMONTH(DATE($D$2,$B$2,1),0)),"",IFERROR(SUMIFS(DATA_GOC!$H:$H,DATA_GOC!$A:$A,"BOM",DATA_GOC!$D:$D,$B199,DATA_GOC!$E:$E,"Téc cát nghiền",DATA_GOC!$F:$F,"Xuất nội bộ từ téc",DATA_GOC!$B:$B,DATE($D$2,$B$2,M$4)),0))</f>
        <v>0</v>
      </c>
      <c r="N199" s="251">
        <f>IF(N$4&gt;DAY(EOMONTH(DATE($D$2,$B$2,1),0)),"",IFERROR(SUMIFS(DATA_GOC!$H:$H,DATA_GOC!$A:$A,"BOM",DATA_GOC!$D:$D,$B199,DATA_GOC!$E:$E,"Téc cát nghiền",DATA_GOC!$F:$F,"Xuất nội bộ từ téc",DATA_GOC!$B:$B,DATE($D$2,$B$2,N$4)),0))</f>
        <v>0</v>
      </c>
      <c r="O199" s="251">
        <f>IF(O$4&gt;DAY(EOMONTH(DATE($D$2,$B$2,1),0)),"",IFERROR(SUMIFS(DATA_GOC!$H:$H,DATA_GOC!$A:$A,"BOM",DATA_GOC!$D:$D,$B199,DATA_GOC!$E:$E,"Téc cát nghiền",DATA_GOC!$F:$F,"Xuất nội bộ từ téc",DATA_GOC!$B:$B,DATE($D$2,$B$2,O$4)),0))</f>
        <v>0</v>
      </c>
      <c r="P199" s="251">
        <f>IF(P$4&gt;DAY(EOMONTH(DATE($D$2,$B$2,1),0)),"",IFERROR(SUMIFS(DATA_GOC!$H:$H,DATA_GOC!$A:$A,"BOM",DATA_GOC!$D:$D,$B199,DATA_GOC!$E:$E,"Téc cát nghiền",DATA_GOC!$F:$F,"Xuất nội bộ từ téc",DATA_GOC!$B:$B,DATE($D$2,$B$2,P$4)),0))</f>
        <v>0</v>
      </c>
      <c r="Q199" s="251">
        <f>IF(Q$4&gt;DAY(EOMONTH(DATE($D$2,$B$2,1),0)),"",IFERROR(SUMIFS(DATA_GOC!$H:$H,DATA_GOC!$A:$A,"BOM",DATA_GOC!$D:$D,$B199,DATA_GOC!$E:$E,"Téc cát nghiền",DATA_GOC!$F:$F,"Xuất nội bộ từ téc",DATA_GOC!$B:$B,DATE($D$2,$B$2,Q$4)),0))</f>
        <v>0</v>
      </c>
      <c r="R199" s="251">
        <f>IF(R$4&gt;DAY(EOMONTH(DATE($D$2,$B$2,1),0)),"",IFERROR(SUMIFS(DATA_GOC!$H:$H,DATA_GOC!$A:$A,"BOM",DATA_GOC!$D:$D,$B199,DATA_GOC!$E:$E,"Téc cát nghiền",DATA_GOC!$F:$F,"Xuất nội bộ từ téc",DATA_GOC!$B:$B,DATE($D$2,$B$2,R$4)),0))</f>
        <v>0</v>
      </c>
      <c r="S199" s="251">
        <f>IF(S$4&gt;DAY(EOMONTH(DATE($D$2,$B$2,1),0)),"",IFERROR(SUMIFS(DATA_GOC!$H:$H,DATA_GOC!$A:$A,"BOM",DATA_GOC!$D:$D,$B199,DATA_GOC!$E:$E,"Téc cát nghiền",DATA_GOC!$F:$F,"Xuất nội bộ từ téc",DATA_GOC!$B:$B,DATE($D$2,$B$2,S$4)),0))</f>
        <v>0</v>
      </c>
      <c r="T199" s="251">
        <f>IF(T$4&gt;DAY(EOMONTH(DATE($D$2,$B$2,1),0)),"",IFERROR(SUMIFS(DATA_GOC!$H:$H,DATA_GOC!$A:$A,"BOM",DATA_GOC!$D:$D,$B199,DATA_GOC!$E:$E,"Téc cát nghiền",DATA_GOC!$F:$F,"Xuất nội bộ từ téc",DATA_GOC!$B:$B,DATE($D$2,$B$2,T$4)),0))</f>
        <v>0</v>
      </c>
      <c r="U199" s="251">
        <f>IF(U$4&gt;DAY(EOMONTH(DATE($D$2,$B$2,1),0)),"",IFERROR(SUMIFS(DATA_GOC!$H:$H,DATA_GOC!$A:$A,"BOM",DATA_GOC!$D:$D,$B199,DATA_GOC!$E:$E,"Téc cát nghiền",DATA_GOC!$F:$F,"Xuất nội bộ từ téc",DATA_GOC!$B:$B,DATE($D$2,$B$2,U$4)),0))</f>
        <v>0</v>
      </c>
      <c r="V199" s="251">
        <f>IF(V$4&gt;DAY(EOMONTH(DATE($D$2,$B$2,1),0)),"",IFERROR(SUMIFS(DATA_GOC!$H:$H,DATA_GOC!$A:$A,"BOM",DATA_GOC!$D:$D,$B199,DATA_GOC!$E:$E,"Téc cát nghiền",DATA_GOC!$F:$F,"Xuất nội bộ từ téc",DATA_GOC!$B:$B,DATE($D$2,$B$2,V$4)),0))</f>
        <v>0</v>
      </c>
      <c r="W199" s="251">
        <f>IF(W$4&gt;DAY(EOMONTH(DATE($D$2,$B$2,1),0)),"",IFERROR(SUMIFS(DATA_GOC!$H:$H,DATA_GOC!$A:$A,"BOM",DATA_GOC!$D:$D,$B199,DATA_GOC!$E:$E,"Téc cát nghiền",DATA_GOC!$F:$F,"Xuất nội bộ từ téc",DATA_GOC!$B:$B,DATE($D$2,$B$2,W$4)),0))</f>
        <v>0</v>
      </c>
      <c r="X199" s="251">
        <f>IF(X$4&gt;DAY(EOMONTH(DATE($D$2,$B$2,1),0)),"",IFERROR(SUMIFS(DATA_GOC!$H:$H,DATA_GOC!$A:$A,"BOM",DATA_GOC!$D:$D,$B199,DATA_GOC!$E:$E,"Téc cát nghiền",DATA_GOC!$F:$F,"Xuất nội bộ từ téc",DATA_GOC!$B:$B,DATE($D$2,$B$2,X$4)),0))</f>
        <v>0</v>
      </c>
      <c r="Y199" s="251">
        <f>IF(Y$4&gt;DAY(EOMONTH(DATE($D$2,$B$2,1),0)),"",IFERROR(SUMIFS(DATA_GOC!$H:$H,DATA_GOC!$A:$A,"BOM",DATA_GOC!$D:$D,$B199,DATA_GOC!$E:$E,"Téc cát nghiền",DATA_GOC!$F:$F,"Xuất nội bộ từ téc",DATA_GOC!$B:$B,DATE($D$2,$B$2,Y$4)),0))</f>
        <v>0</v>
      </c>
      <c r="Z199" s="251">
        <f>IF(Z$4&gt;DAY(EOMONTH(DATE($D$2,$B$2,1),0)),"",IFERROR(SUMIFS(DATA_GOC!$H:$H,DATA_GOC!$A:$A,"BOM",DATA_GOC!$D:$D,$B199,DATA_GOC!$E:$E,"Téc cát nghiền",DATA_GOC!$F:$F,"Xuất nội bộ từ téc",DATA_GOC!$B:$B,DATE($D$2,$B$2,Z$4)),0))</f>
        <v>0</v>
      </c>
      <c r="AA199" s="251">
        <f>IF(AA$4&gt;DAY(EOMONTH(DATE($D$2,$B$2,1),0)),"",IFERROR(SUMIFS(DATA_GOC!$H:$H,DATA_GOC!$A:$A,"BOM",DATA_GOC!$D:$D,$B199,DATA_GOC!$E:$E,"Téc cát nghiền",DATA_GOC!$F:$F,"Xuất nội bộ từ téc",DATA_GOC!$B:$B,DATE($D$2,$B$2,AA$4)),0))</f>
        <v>0</v>
      </c>
      <c r="AB199" s="251">
        <f>IF(AB$4&gt;DAY(EOMONTH(DATE($D$2,$B$2,1),0)),"",IFERROR(SUMIFS(DATA_GOC!$H:$H,DATA_GOC!$A:$A,"BOM",DATA_GOC!$D:$D,$B199,DATA_GOC!$E:$E,"Téc cát nghiền",DATA_GOC!$F:$F,"Xuất nội bộ từ téc",DATA_GOC!$B:$B,DATE($D$2,$B$2,AB$4)),0))</f>
        <v>0</v>
      </c>
      <c r="AC199" s="251">
        <f>IF(AC$4&gt;DAY(EOMONTH(DATE($D$2,$B$2,1),0)),"",IFERROR(SUMIFS(DATA_GOC!$H:$H,DATA_GOC!$A:$A,"BOM",DATA_GOC!$D:$D,$B199,DATA_GOC!$E:$E,"Téc cát nghiền",DATA_GOC!$F:$F,"Xuất nội bộ từ téc",DATA_GOC!$B:$B,DATE($D$2,$B$2,AC$4)),0))</f>
        <v>0</v>
      </c>
      <c r="AD199" s="251">
        <f>IF(AD$4&gt;DAY(EOMONTH(DATE($D$2,$B$2,1),0)),"",IFERROR(SUMIFS(DATA_GOC!$H:$H,DATA_GOC!$A:$A,"BOM",DATA_GOC!$D:$D,$B199,DATA_GOC!$E:$E,"Téc cát nghiền",DATA_GOC!$F:$F,"Xuất nội bộ từ téc",DATA_GOC!$B:$B,DATE($D$2,$B$2,AD$4)),0))</f>
        <v>0</v>
      </c>
      <c r="AE199" s="251">
        <f>IF(AE$4&gt;DAY(EOMONTH(DATE($D$2,$B$2,1),0)),"",IFERROR(SUMIFS(DATA_GOC!$H:$H,DATA_GOC!$A:$A,"BOM",DATA_GOC!$D:$D,$B199,DATA_GOC!$E:$E,"Téc cát nghiền",DATA_GOC!$F:$F,"Xuất nội bộ từ téc",DATA_GOC!$B:$B,DATE($D$2,$B$2,AE$4)),0))</f>
        <v>0</v>
      </c>
      <c r="AF199" s="251">
        <f>IF(AF$4&gt;DAY(EOMONTH(DATE($D$2,$B$2,1),0)),"",IFERROR(SUMIFS(DATA_GOC!$H:$H,DATA_GOC!$A:$A,"BOM",DATA_GOC!$D:$D,$B199,DATA_GOC!$E:$E,"Téc cát nghiền",DATA_GOC!$F:$F,"Xuất nội bộ từ téc",DATA_GOC!$B:$B,DATE($D$2,$B$2,AF$4)),0))</f>
        <v>0</v>
      </c>
      <c r="AG199" s="251">
        <f>IF(AG$4&gt;DAY(EOMONTH(DATE($D$2,$B$2,1),0)),"",IFERROR(SUMIFS(DATA_GOC!$H:$H,DATA_GOC!$A:$A,"BOM",DATA_GOC!$D:$D,$B199,DATA_GOC!$E:$E,"Téc cát nghiền",DATA_GOC!$F:$F,"Xuất nội bộ từ téc",DATA_GOC!$B:$B,DATE($D$2,$B$2,AG$4)),0))</f>
        <v>0</v>
      </c>
      <c r="AH199" s="252">
        <f t="shared" si="10"/>
        <v>0</v>
      </c>
      <c r="AI199" s="241"/>
      <c r="AJ199" s="242">
        <f>IF($B199="","",SUMIFS(TINH_TEC!$K$233:$K$9232,TINH_TEC!$H$233:$H$9232,$B199,TINH_TEC!$C$233:$C$9232,"Téc cát nghiền",TINH_TEC!$F$233:$F$9232,$B$2,TINH_TEC!$G$233:$G$9232,$D$2,TINH_TEC!$B$233:$B$9232,"Đã chốt"))</f>
        <v>0</v>
      </c>
      <c r="AK199" s="242">
        <f>IF($B199="","",SUMIFS(TINH_TEC!$J$233:$J$9232,TINH_TEC!$H$233:$H$9232,$B199,TINH_TEC!$C$233:$C$9232,"Téc cát nghiền",TINH_TEC!$F$233:$F$9232,$B$2,TINH_TEC!$G$233:$G$9232,$D$2,TINH_TEC!$B$233:$B$9232,"Đã chốt"))</f>
        <v>0</v>
      </c>
      <c r="AL199" s="242">
        <f t="shared" si="11"/>
        <v>0</v>
      </c>
    </row>
    <row r="200" ht="15.75" customHeight="1">
      <c r="A200" s="237">
        <f>IF($B200&lt;&gt;"",12,"")</f>
        <v>12</v>
      </c>
      <c r="B200" s="250" t="str">
        <f t="array" ref="B200">IFERROR(INDEX(DANH_MUC!$E:$E,15),"")</f>
        <v>28C02410</v>
      </c>
      <c r="C200" s="251">
        <f>IF(C$4&gt;DAY(EOMONTH(DATE($D$2,$B$2,1),0)),"",IFERROR(SUMIFS(DATA_GOC!$H:$H,DATA_GOC!$A:$A,"BOM",DATA_GOC!$D:$D,$B200,DATA_GOC!$E:$E,"Téc cát nghiền",DATA_GOC!$F:$F,"Xuất nội bộ từ téc",DATA_GOC!$B:$B,DATE($D$2,$B$2,C$4)),0))</f>
        <v>0</v>
      </c>
      <c r="D200" s="251">
        <f>IF(D$4&gt;DAY(EOMONTH(DATE($D$2,$B$2,1),0)),"",IFERROR(SUMIFS(DATA_GOC!$H:$H,DATA_GOC!$A:$A,"BOM",DATA_GOC!$D:$D,$B200,DATA_GOC!$E:$E,"Téc cát nghiền",DATA_GOC!$F:$F,"Xuất nội bộ từ téc",DATA_GOC!$B:$B,DATE($D$2,$B$2,D$4)),0))</f>
        <v>0</v>
      </c>
      <c r="E200" s="251">
        <f>IF(E$4&gt;DAY(EOMONTH(DATE($D$2,$B$2,1),0)),"",IFERROR(SUMIFS(DATA_GOC!$H:$H,DATA_GOC!$A:$A,"BOM",DATA_GOC!$D:$D,$B200,DATA_GOC!$E:$E,"Téc cát nghiền",DATA_GOC!$F:$F,"Xuất nội bộ từ téc",DATA_GOC!$B:$B,DATE($D$2,$B$2,E$4)),0))</f>
        <v>0</v>
      </c>
      <c r="F200" s="251">
        <f>IF(F$4&gt;DAY(EOMONTH(DATE($D$2,$B$2,1),0)),"",IFERROR(SUMIFS(DATA_GOC!$H:$H,DATA_GOC!$A:$A,"BOM",DATA_GOC!$D:$D,$B200,DATA_GOC!$E:$E,"Téc cát nghiền",DATA_GOC!$F:$F,"Xuất nội bộ từ téc",DATA_GOC!$B:$B,DATE($D$2,$B$2,F$4)),0))</f>
        <v>0</v>
      </c>
      <c r="G200" s="251">
        <f>IF(G$4&gt;DAY(EOMONTH(DATE($D$2,$B$2,1),0)),"",IFERROR(SUMIFS(DATA_GOC!$H:$H,DATA_GOC!$A:$A,"BOM",DATA_GOC!$D:$D,$B200,DATA_GOC!$E:$E,"Téc cát nghiền",DATA_GOC!$F:$F,"Xuất nội bộ từ téc",DATA_GOC!$B:$B,DATE($D$2,$B$2,G$4)),0))</f>
        <v>0</v>
      </c>
      <c r="H200" s="251">
        <f>IF(H$4&gt;DAY(EOMONTH(DATE($D$2,$B$2,1),0)),"",IFERROR(SUMIFS(DATA_GOC!$H:$H,DATA_GOC!$A:$A,"BOM",DATA_GOC!$D:$D,$B200,DATA_GOC!$E:$E,"Téc cát nghiền",DATA_GOC!$F:$F,"Xuất nội bộ từ téc",DATA_GOC!$B:$B,DATE($D$2,$B$2,H$4)),0))</f>
        <v>0</v>
      </c>
      <c r="I200" s="251">
        <f>IF(I$4&gt;DAY(EOMONTH(DATE($D$2,$B$2,1),0)),"",IFERROR(SUMIFS(DATA_GOC!$H:$H,DATA_GOC!$A:$A,"BOM",DATA_GOC!$D:$D,$B200,DATA_GOC!$E:$E,"Téc cát nghiền",DATA_GOC!$F:$F,"Xuất nội bộ từ téc",DATA_GOC!$B:$B,DATE($D$2,$B$2,I$4)),0))</f>
        <v>0</v>
      </c>
      <c r="J200" s="251">
        <f>IF(J$4&gt;DAY(EOMONTH(DATE($D$2,$B$2,1),0)),"",IFERROR(SUMIFS(DATA_GOC!$H:$H,DATA_GOC!$A:$A,"BOM",DATA_GOC!$D:$D,$B200,DATA_GOC!$E:$E,"Téc cát nghiền",DATA_GOC!$F:$F,"Xuất nội bộ từ téc",DATA_GOC!$B:$B,DATE($D$2,$B$2,J$4)),0))</f>
        <v>0</v>
      </c>
      <c r="K200" s="251">
        <f>IF(K$4&gt;DAY(EOMONTH(DATE($D$2,$B$2,1),0)),"",IFERROR(SUMIFS(DATA_GOC!$H:$H,DATA_GOC!$A:$A,"BOM",DATA_GOC!$D:$D,$B200,DATA_GOC!$E:$E,"Téc cát nghiền",DATA_GOC!$F:$F,"Xuất nội bộ từ téc",DATA_GOC!$B:$B,DATE($D$2,$B$2,K$4)),0))</f>
        <v>0</v>
      </c>
      <c r="L200" s="251">
        <f>IF(L$4&gt;DAY(EOMONTH(DATE($D$2,$B$2,1),0)),"",IFERROR(SUMIFS(DATA_GOC!$H:$H,DATA_GOC!$A:$A,"BOM",DATA_GOC!$D:$D,$B200,DATA_GOC!$E:$E,"Téc cát nghiền",DATA_GOC!$F:$F,"Xuất nội bộ từ téc",DATA_GOC!$B:$B,DATE($D$2,$B$2,L$4)),0))</f>
        <v>0</v>
      </c>
      <c r="M200" s="251">
        <f>IF(M$4&gt;DAY(EOMONTH(DATE($D$2,$B$2,1),0)),"",IFERROR(SUMIFS(DATA_GOC!$H:$H,DATA_GOC!$A:$A,"BOM",DATA_GOC!$D:$D,$B200,DATA_GOC!$E:$E,"Téc cát nghiền",DATA_GOC!$F:$F,"Xuất nội bộ từ téc",DATA_GOC!$B:$B,DATE($D$2,$B$2,M$4)),0))</f>
        <v>0</v>
      </c>
      <c r="N200" s="251">
        <f>IF(N$4&gt;DAY(EOMONTH(DATE($D$2,$B$2,1),0)),"",IFERROR(SUMIFS(DATA_GOC!$H:$H,DATA_GOC!$A:$A,"BOM",DATA_GOC!$D:$D,$B200,DATA_GOC!$E:$E,"Téc cát nghiền",DATA_GOC!$F:$F,"Xuất nội bộ từ téc",DATA_GOC!$B:$B,DATE($D$2,$B$2,N$4)),0))</f>
        <v>0</v>
      </c>
      <c r="O200" s="251">
        <f>IF(O$4&gt;DAY(EOMONTH(DATE($D$2,$B$2,1),0)),"",IFERROR(SUMIFS(DATA_GOC!$H:$H,DATA_GOC!$A:$A,"BOM",DATA_GOC!$D:$D,$B200,DATA_GOC!$E:$E,"Téc cát nghiền",DATA_GOC!$F:$F,"Xuất nội bộ từ téc",DATA_GOC!$B:$B,DATE($D$2,$B$2,O$4)),0))</f>
        <v>0</v>
      </c>
      <c r="P200" s="251">
        <f>IF(P$4&gt;DAY(EOMONTH(DATE($D$2,$B$2,1),0)),"",IFERROR(SUMIFS(DATA_GOC!$H:$H,DATA_GOC!$A:$A,"BOM",DATA_GOC!$D:$D,$B200,DATA_GOC!$E:$E,"Téc cát nghiền",DATA_GOC!$F:$F,"Xuất nội bộ từ téc",DATA_GOC!$B:$B,DATE($D$2,$B$2,P$4)),0))</f>
        <v>0</v>
      </c>
      <c r="Q200" s="251">
        <f>IF(Q$4&gt;DAY(EOMONTH(DATE($D$2,$B$2,1),0)),"",IFERROR(SUMIFS(DATA_GOC!$H:$H,DATA_GOC!$A:$A,"BOM",DATA_GOC!$D:$D,$B200,DATA_GOC!$E:$E,"Téc cát nghiền",DATA_GOC!$F:$F,"Xuất nội bộ từ téc",DATA_GOC!$B:$B,DATE($D$2,$B$2,Q$4)),0))</f>
        <v>0</v>
      </c>
      <c r="R200" s="251">
        <f>IF(R$4&gt;DAY(EOMONTH(DATE($D$2,$B$2,1),0)),"",IFERROR(SUMIFS(DATA_GOC!$H:$H,DATA_GOC!$A:$A,"BOM",DATA_GOC!$D:$D,$B200,DATA_GOC!$E:$E,"Téc cát nghiền",DATA_GOC!$F:$F,"Xuất nội bộ từ téc",DATA_GOC!$B:$B,DATE($D$2,$B$2,R$4)),0))</f>
        <v>0</v>
      </c>
      <c r="S200" s="251">
        <f>IF(S$4&gt;DAY(EOMONTH(DATE($D$2,$B$2,1),0)),"",IFERROR(SUMIFS(DATA_GOC!$H:$H,DATA_GOC!$A:$A,"BOM",DATA_GOC!$D:$D,$B200,DATA_GOC!$E:$E,"Téc cát nghiền",DATA_GOC!$F:$F,"Xuất nội bộ từ téc",DATA_GOC!$B:$B,DATE($D$2,$B$2,S$4)),0))</f>
        <v>0</v>
      </c>
      <c r="T200" s="251">
        <f>IF(T$4&gt;DAY(EOMONTH(DATE($D$2,$B$2,1),0)),"",IFERROR(SUMIFS(DATA_GOC!$H:$H,DATA_GOC!$A:$A,"BOM",DATA_GOC!$D:$D,$B200,DATA_GOC!$E:$E,"Téc cát nghiền",DATA_GOC!$F:$F,"Xuất nội bộ từ téc",DATA_GOC!$B:$B,DATE($D$2,$B$2,T$4)),0))</f>
        <v>0</v>
      </c>
      <c r="U200" s="251">
        <f>IF(U$4&gt;DAY(EOMONTH(DATE($D$2,$B$2,1),0)),"",IFERROR(SUMIFS(DATA_GOC!$H:$H,DATA_GOC!$A:$A,"BOM",DATA_GOC!$D:$D,$B200,DATA_GOC!$E:$E,"Téc cát nghiền",DATA_GOC!$F:$F,"Xuất nội bộ từ téc",DATA_GOC!$B:$B,DATE($D$2,$B$2,U$4)),0))</f>
        <v>0</v>
      </c>
      <c r="V200" s="251">
        <f>IF(V$4&gt;DAY(EOMONTH(DATE($D$2,$B$2,1),0)),"",IFERROR(SUMIFS(DATA_GOC!$H:$H,DATA_GOC!$A:$A,"BOM",DATA_GOC!$D:$D,$B200,DATA_GOC!$E:$E,"Téc cát nghiền",DATA_GOC!$F:$F,"Xuất nội bộ từ téc",DATA_GOC!$B:$B,DATE($D$2,$B$2,V$4)),0))</f>
        <v>0</v>
      </c>
      <c r="W200" s="251">
        <f>IF(W$4&gt;DAY(EOMONTH(DATE($D$2,$B$2,1),0)),"",IFERROR(SUMIFS(DATA_GOC!$H:$H,DATA_GOC!$A:$A,"BOM",DATA_GOC!$D:$D,$B200,DATA_GOC!$E:$E,"Téc cát nghiền",DATA_GOC!$F:$F,"Xuất nội bộ từ téc",DATA_GOC!$B:$B,DATE($D$2,$B$2,W$4)),0))</f>
        <v>0</v>
      </c>
      <c r="X200" s="251">
        <f>IF(X$4&gt;DAY(EOMONTH(DATE($D$2,$B$2,1),0)),"",IFERROR(SUMIFS(DATA_GOC!$H:$H,DATA_GOC!$A:$A,"BOM",DATA_GOC!$D:$D,$B200,DATA_GOC!$E:$E,"Téc cát nghiền",DATA_GOC!$F:$F,"Xuất nội bộ từ téc",DATA_GOC!$B:$B,DATE($D$2,$B$2,X$4)),0))</f>
        <v>0</v>
      </c>
      <c r="Y200" s="251">
        <f>IF(Y$4&gt;DAY(EOMONTH(DATE($D$2,$B$2,1),0)),"",IFERROR(SUMIFS(DATA_GOC!$H:$H,DATA_GOC!$A:$A,"BOM",DATA_GOC!$D:$D,$B200,DATA_GOC!$E:$E,"Téc cát nghiền",DATA_GOC!$F:$F,"Xuất nội bộ từ téc",DATA_GOC!$B:$B,DATE($D$2,$B$2,Y$4)),0))</f>
        <v>0</v>
      </c>
      <c r="Z200" s="251">
        <f>IF(Z$4&gt;DAY(EOMONTH(DATE($D$2,$B$2,1),0)),"",IFERROR(SUMIFS(DATA_GOC!$H:$H,DATA_GOC!$A:$A,"BOM",DATA_GOC!$D:$D,$B200,DATA_GOC!$E:$E,"Téc cát nghiền",DATA_GOC!$F:$F,"Xuất nội bộ từ téc",DATA_GOC!$B:$B,DATE($D$2,$B$2,Z$4)),0))</f>
        <v>0</v>
      </c>
      <c r="AA200" s="251">
        <f>IF(AA$4&gt;DAY(EOMONTH(DATE($D$2,$B$2,1),0)),"",IFERROR(SUMIFS(DATA_GOC!$H:$H,DATA_GOC!$A:$A,"BOM",DATA_GOC!$D:$D,$B200,DATA_GOC!$E:$E,"Téc cát nghiền",DATA_GOC!$F:$F,"Xuất nội bộ từ téc",DATA_GOC!$B:$B,DATE($D$2,$B$2,AA$4)),0))</f>
        <v>0</v>
      </c>
      <c r="AB200" s="251">
        <f>IF(AB$4&gt;DAY(EOMONTH(DATE($D$2,$B$2,1),0)),"",IFERROR(SUMIFS(DATA_GOC!$H:$H,DATA_GOC!$A:$A,"BOM",DATA_GOC!$D:$D,$B200,DATA_GOC!$E:$E,"Téc cát nghiền",DATA_GOC!$F:$F,"Xuất nội bộ từ téc",DATA_GOC!$B:$B,DATE($D$2,$B$2,AB$4)),0))</f>
        <v>0</v>
      </c>
      <c r="AC200" s="251">
        <f>IF(AC$4&gt;DAY(EOMONTH(DATE($D$2,$B$2,1),0)),"",IFERROR(SUMIFS(DATA_GOC!$H:$H,DATA_GOC!$A:$A,"BOM",DATA_GOC!$D:$D,$B200,DATA_GOC!$E:$E,"Téc cát nghiền",DATA_GOC!$F:$F,"Xuất nội bộ từ téc",DATA_GOC!$B:$B,DATE($D$2,$B$2,AC$4)),0))</f>
        <v>0</v>
      </c>
      <c r="AD200" s="251">
        <f>IF(AD$4&gt;DAY(EOMONTH(DATE($D$2,$B$2,1),0)),"",IFERROR(SUMIFS(DATA_GOC!$H:$H,DATA_GOC!$A:$A,"BOM",DATA_GOC!$D:$D,$B200,DATA_GOC!$E:$E,"Téc cát nghiền",DATA_GOC!$F:$F,"Xuất nội bộ từ téc",DATA_GOC!$B:$B,DATE($D$2,$B$2,AD$4)),0))</f>
        <v>0</v>
      </c>
      <c r="AE200" s="251">
        <f>IF(AE$4&gt;DAY(EOMONTH(DATE($D$2,$B$2,1),0)),"",IFERROR(SUMIFS(DATA_GOC!$H:$H,DATA_GOC!$A:$A,"BOM",DATA_GOC!$D:$D,$B200,DATA_GOC!$E:$E,"Téc cát nghiền",DATA_GOC!$F:$F,"Xuất nội bộ từ téc",DATA_GOC!$B:$B,DATE($D$2,$B$2,AE$4)),0))</f>
        <v>0</v>
      </c>
      <c r="AF200" s="251">
        <f>IF(AF$4&gt;DAY(EOMONTH(DATE($D$2,$B$2,1),0)),"",IFERROR(SUMIFS(DATA_GOC!$H:$H,DATA_GOC!$A:$A,"BOM",DATA_GOC!$D:$D,$B200,DATA_GOC!$E:$E,"Téc cát nghiền",DATA_GOC!$F:$F,"Xuất nội bộ từ téc",DATA_GOC!$B:$B,DATE($D$2,$B$2,AF$4)),0))</f>
        <v>0</v>
      </c>
      <c r="AG200" s="251">
        <f>IF(AG$4&gt;DAY(EOMONTH(DATE($D$2,$B$2,1),0)),"",IFERROR(SUMIFS(DATA_GOC!$H:$H,DATA_GOC!$A:$A,"BOM",DATA_GOC!$D:$D,$B200,DATA_GOC!$E:$E,"Téc cát nghiền",DATA_GOC!$F:$F,"Xuất nội bộ từ téc",DATA_GOC!$B:$B,DATE($D$2,$B$2,AG$4)),0))</f>
        <v>0</v>
      </c>
      <c r="AH200" s="252">
        <f t="shared" si="10"/>
        <v>0</v>
      </c>
      <c r="AI200" s="241"/>
      <c r="AJ200" s="242">
        <f>IF($B200="","",SUMIFS(TINH_TEC!$K$233:$K$9232,TINH_TEC!$H$233:$H$9232,$B200,TINH_TEC!$C$233:$C$9232,"Téc cát nghiền",TINH_TEC!$F$233:$F$9232,$B$2,TINH_TEC!$G$233:$G$9232,$D$2,TINH_TEC!$B$233:$B$9232,"Đã chốt"))</f>
        <v>0</v>
      </c>
      <c r="AK200" s="242">
        <f>IF($B200="","",SUMIFS(TINH_TEC!$J$233:$J$9232,TINH_TEC!$H$233:$H$9232,$B200,TINH_TEC!$C$233:$C$9232,"Téc cát nghiền",TINH_TEC!$F$233:$F$9232,$B$2,TINH_TEC!$G$233:$G$9232,$D$2,TINH_TEC!$B$233:$B$9232,"Đã chốt"))</f>
        <v>0</v>
      </c>
      <c r="AL200" s="242">
        <f t="shared" si="11"/>
        <v>0</v>
      </c>
    </row>
    <row r="201" ht="15.75" customHeight="1">
      <c r="A201" s="237">
        <f>IF($B201&lt;&gt;"",13,"")</f>
        <v>13</v>
      </c>
      <c r="B201" s="250" t="str">
        <f t="array" ref="B201">IFERROR(INDEX(DANH_MUC!$E:$E,16),"")</f>
        <v>28C02545</v>
      </c>
      <c r="C201" s="251">
        <f>IF(C$4&gt;DAY(EOMONTH(DATE($D$2,$B$2,1),0)),"",IFERROR(SUMIFS(DATA_GOC!$H:$H,DATA_GOC!$A:$A,"BOM",DATA_GOC!$D:$D,$B201,DATA_GOC!$E:$E,"Téc cát nghiền",DATA_GOC!$F:$F,"Xuất nội bộ từ téc",DATA_GOC!$B:$B,DATE($D$2,$B$2,C$4)),0))</f>
        <v>0</v>
      </c>
      <c r="D201" s="251">
        <f>IF(D$4&gt;DAY(EOMONTH(DATE($D$2,$B$2,1),0)),"",IFERROR(SUMIFS(DATA_GOC!$H:$H,DATA_GOC!$A:$A,"BOM",DATA_GOC!$D:$D,$B201,DATA_GOC!$E:$E,"Téc cát nghiền",DATA_GOC!$F:$F,"Xuất nội bộ từ téc",DATA_GOC!$B:$B,DATE($D$2,$B$2,D$4)),0))</f>
        <v>0</v>
      </c>
      <c r="E201" s="251">
        <f>IF(E$4&gt;DAY(EOMONTH(DATE($D$2,$B$2,1),0)),"",IFERROR(SUMIFS(DATA_GOC!$H:$H,DATA_GOC!$A:$A,"BOM",DATA_GOC!$D:$D,$B201,DATA_GOC!$E:$E,"Téc cát nghiền",DATA_GOC!$F:$F,"Xuất nội bộ từ téc",DATA_GOC!$B:$B,DATE($D$2,$B$2,E$4)),0))</f>
        <v>0</v>
      </c>
      <c r="F201" s="251">
        <f>IF(F$4&gt;DAY(EOMONTH(DATE($D$2,$B$2,1),0)),"",IFERROR(SUMIFS(DATA_GOC!$H:$H,DATA_GOC!$A:$A,"BOM",DATA_GOC!$D:$D,$B201,DATA_GOC!$E:$E,"Téc cát nghiền",DATA_GOC!$F:$F,"Xuất nội bộ từ téc",DATA_GOC!$B:$B,DATE($D$2,$B$2,F$4)),0))</f>
        <v>0</v>
      </c>
      <c r="G201" s="251">
        <f>IF(G$4&gt;DAY(EOMONTH(DATE($D$2,$B$2,1),0)),"",IFERROR(SUMIFS(DATA_GOC!$H:$H,DATA_GOC!$A:$A,"BOM",DATA_GOC!$D:$D,$B201,DATA_GOC!$E:$E,"Téc cát nghiền",DATA_GOC!$F:$F,"Xuất nội bộ từ téc",DATA_GOC!$B:$B,DATE($D$2,$B$2,G$4)),0))</f>
        <v>0</v>
      </c>
      <c r="H201" s="251">
        <f>IF(H$4&gt;DAY(EOMONTH(DATE($D$2,$B$2,1),0)),"",IFERROR(SUMIFS(DATA_GOC!$H:$H,DATA_GOC!$A:$A,"BOM",DATA_GOC!$D:$D,$B201,DATA_GOC!$E:$E,"Téc cát nghiền",DATA_GOC!$F:$F,"Xuất nội bộ từ téc",DATA_GOC!$B:$B,DATE($D$2,$B$2,H$4)),0))</f>
        <v>0</v>
      </c>
      <c r="I201" s="251">
        <f>IF(I$4&gt;DAY(EOMONTH(DATE($D$2,$B$2,1),0)),"",IFERROR(SUMIFS(DATA_GOC!$H:$H,DATA_GOC!$A:$A,"BOM",DATA_GOC!$D:$D,$B201,DATA_GOC!$E:$E,"Téc cát nghiền",DATA_GOC!$F:$F,"Xuất nội bộ từ téc",DATA_GOC!$B:$B,DATE($D$2,$B$2,I$4)),0))</f>
        <v>0</v>
      </c>
      <c r="J201" s="251">
        <f>IF(J$4&gt;DAY(EOMONTH(DATE($D$2,$B$2,1),0)),"",IFERROR(SUMIFS(DATA_GOC!$H:$H,DATA_GOC!$A:$A,"BOM",DATA_GOC!$D:$D,$B201,DATA_GOC!$E:$E,"Téc cát nghiền",DATA_GOC!$F:$F,"Xuất nội bộ từ téc",DATA_GOC!$B:$B,DATE($D$2,$B$2,J$4)),0))</f>
        <v>0</v>
      </c>
      <c r="K201" s="251">
        <f>IF(K$4&gt;DAY(EOMONTH(DATE($D$2,$B$2,1),0)),"",IFERROR(SUMIFS(DATA_GOC!$H:$H,DATA_GOC!$A:$A,"BOM",DATA_GOC!$D:$D,$B201,DATA_GOC!$E:$E,"Téc cát nghiền",DATA_GOC!$F:$F,"Xuất nội bộ từ téc",DATA_GOC!$B:$B,DATE($D$2,$B$2,K$4)),0))</f>
        <v>0</v>
      </c>
      <c r="L201" s="251">
        <f>IF(L$4&gt;DAY(EOMONTH(DATE($D$2,$B$2,1),0)),"",IFERROR(SUMIFS(DATA_GOC!$H:$H,DATA_GOC!$A:$A,"BOM",DATA_GOC!$D:$D,$B201,DATA_GOC!$E:$E,"Téc cát nghiền",DATA_GOC!$F:$F,"Xuất nội bộ từ téc",DATA_GOC!$B:$B,DATE($D$2,$B$2,L$4)),0))</f>
        <v>0</v>
      </c>
      <c r="M201" s="251">
        <f>IF(M$4&gt;DAY(EOMONTH(DATE($D$2,$B$2,1),0)),"",IFERROR(SUMIFS(DATA_GOC!$H:$H,DATA_GOC!$A:$A,"BOM",DATA_GOC!$D:$D,$B201,DATA_GOC!$E:$E,"Téc cát nghiền",DATA_GOC!$F:$F,"Xuất nội bộ từ téc",DATA_GOC!$B:$B,DATE($D$2,$B$2,M$4)),0))</f>
        <v>0</v>
      </c>
      <c r="N201" s="251">
        <f>IF(N$4&gt;DAY(EOMONTH(DATE($D$2,$B$2,1),0)),"",IFERROR(SUMIFS(DATA_GOC!$H:$H,DATA_GOC!$A:$A,"BOM",DATA_GOC!$D:$D,$B201,DATA_GOC!$E:$E,"Téc cát nghiền",DATA_GOC!$F:$F,"Xuất nội bộ từ téc",DATA_GOC!$B:$B,DATE($D$2,$B$2,N$4)),0))</f>
        <v>0</v>
      </c>
      <c r="O201" s="251">
        <f>IF(O$4&gt;DAY(EOMONTH(DATE($D$2,$B$2,1),0)),"",IFERROR(SUMIFS(DATA_GOC!$H:$H,DATA_GOC!$A:$A,"BOM",DATA_GOC!$D:$D,$B201,DATA_GOC!$E:$E,"Téc cát nghiền",DATA_GOC!$F:$F,"Xuất nội bộ từ téc",DATA_GOC!$B:$B,DATE($D$2,$B$2,O$4)),0))</f>
        <v>0</v>
      </c>
      <c r="P201" s="251">
        <f>IF(P$4&gt;DAY(EOMONTH(DATE($D$2,$B$2,1),0)),"",IFERROR(SUMIFS(DATA_GOC!$H:$H,DATA_GOC!$A:$A,"BOM",DATA_GOC!$D:$D,$B201,DATA_GOC!$E:$E,"Téc cát nghiền",DATA_GOC!$F:$F,"Xuất nội bộ từ téc",DATA_GOC!$B:$B,DATE($D$2,$B$2,P$4)),0))</f>
        <v>0</v>
      </c>
      <c r="Q201" s="251">
        <f>IF(Q$4&gt;DAY(EOMONTH(DATE($D$2,$B$2,1),0)),"",IFERROR(SUMIFS(DATA_GOC!$H:$H,DATA_GOC!$A:$A,"BOM",DATA_GOC!$D:$D,$B201,DATA_GOC!$E:$E,"Téc cát nghiền",DATA_GOC!$F:$F,"Xuất nội bộ từ téc",DATA_GOC!$B:$B,DATE($D$2,$B$2,Q$4)),0))</f>
        <v>0</v>
      </c>
      <c r="R201" s="251">
        <f>IF(R$4&gt;DAY(EOMONTH(DATE($D$2,$B$2,1),0)),"",IFERROR(SUMIFS(DATA_GOC!$H:$H,DATA_GOC!$A:$A,"BOM",DATA_GOC!$D:$D,$B201,DATA_GOC!$E:$E,"Téc cát nghiền",DATA_GOC!$F:$F,"Xuất nội bộ từ téc",DATA_GOC!$B:$B,DATE($D$2,$B$2,R$4)),0))</f>
        <v>0</v>
      </c>
      <c r="S201" s="251">
        <f>IF(S$4&gt;DAY(EOMONTH(DATE($D$2,$B$2,1),0)),"",IFERROR(SUMIFS(DATA_GOC!$H:$H,DATA_GOC!$A:$A,"BOM",DATA_GOC!$D:$D,$B201,DATA_GOC!$E:$E,"Téc cát nghiền",DATA_GOC!$F:$F,"Xuất nội bộ từ téc",DATA_GOC!$B:$B,DATE($D$2,$B$2,S$4)),0))</f>
        <v>0</v>
      </c>
      <c r="T201" s="251">
        <f>IF(T$4&gt;DAY(EOMONTH(DATE($D$2,$B$2,1),0)),"",IFERROR(SUMIFS(DATA_GOC!$H:$H,DATA_GOC!$A:$A,"BOM",DATA_GOC!$D:$D,$B201,DATA_GOC!$E:$E,"Téc cát nghiền",DATA_GOC!$F:$F,"Xuất nội bộ từ téc",DATA_GOC!$B:$B,DATE($D$2,$B$2,T$4)),0))</f>
        <v>0</v>
      </c>
      <c r="U201" s="251">
        <f>IF(U$4&gt;DAY(EOMONTH(DATE($D$2,$B$2,1),0)),"",IFERROR(SUMIFS(DATA_GOC!$H:$H,DATA_GOC!$A:$A,"BOM",DATA_GOC!$D:$D,$B201,DATA_GOC!$E:$E,"Téc cát nghiền",DATA_GOC!$F:$F,"Xuất nội bộ từ téc",DATA_GOC!$B:$B,DATE($D$2,$B$2,U$4)),0))</f>
        <v>0</v>
      </c>
      <c r="V201" s="251">
        <f>IF(V$4&gt;DAY(EOMONTH(DATE($D$2,$B$2,1),0)),"",IFERROR(SUMIFS(DATA_GOC!$H:$H,DATA_GOC!$A:$A,"BOM",DATA_GOC!$D:$D,$B201,DATA_GOC!$E:$E,"Téc cát nghiền",DATA_GOC!$F:$F,"Xuất nội bộ từ téc",DATA_GOC!$B:$B,DATE($D$2,$B$2,V$4)),0))</f>
        <v>0</v>
      </c>
      <c r="W201" s="251">
        <f>IF(W$4&gt;DAY(EOMONTH(DATE($D$2,$B$2,1),0)),"",IFERROR(SUMIFS(DATA_GOC!$H:$H,DATA_GOC!$A:$A,"BOM",DATA_GOC!$D:$D,$B201,DATA_GOC!$E:$E,"Téc cát nghiền",DATA_GOC!$F:$F,"Xuất nội bộ từ téc",DATA_GOC!$B:$B,DATE($D$2,$B$2,W$4)),0))</f>
        <v>0</v>
      </c>
      <c r="X201" s="251">
        <f>IF(X$4&gt;DAY(EOMONTH(DATE($D$2,$B$2,1),0)),"",IFERROR(SUMIFS(DATA_GOC!$H:$H,DATA_GOC!$A:$A,"BOM",DATA_GOC!$D:$D,$B201,DATA_GOC!$E:$E,"Téc cát nghiền",DATA_GOC!$F:$F,"Xuất nội bộ từ téc",DATA_GOC!$B:$B,DATE($D$2,$B$2,X$4)),0))</f>
        <v>0</v>
      </c>
      <c r="Y201" s="251">
        <f>IF(Y$4&gt;DAY(EOMONTH(DATE($D$2,$B$2,1),0)),"",IFERROR(SUMIFS(DATA_GOC!$H:$H,DATA_GOC!$A:$A,"BOM",DATA_GOC!$D:$D,$B201,DATA_GOC!$E:$E,"Téc cát nghiền",DATA_GOC!$F:$F,"Xuất nội bộ từ téc",DATA_GOC!$B:$B,DATE($D$2,$B$2,Y$4)),0))</f>
        <v>0</v>
      </c>
      <c r="Z201" s="251">
        <f>IF(Z$4&gt;DAY(EOMONTH(DATE($D$2,$B$2,1),0)),"",IFERROR(SUMIFS(DATA_GOC!$H:$H,DATA_GOC!$A:$A,"BOM",DATA_GOC!$D:$D,$B201,DATA_GOC!$E:$E,"Téc cát nghiền",DATA_GOC!$F:$F,"Xuất nội bộ từ téc",DATA_GOC!$B:$B,DATE($D$2,$B$2,Z$4)),0))</f>
        <v>0</v>
      </c>
      <c r="AA201" s="251">
        <f>IF(AA$4&gt;DAY(EOMONTH(DATE($D$2,$B$2,1),0)),"",IFERROR(SUMIFS(DATA_GOC!$H:$H,DATA_GOC!$A:$A,"BOM",DATA_GOC!$D:$D,$B201,DATA_GOC!$E:$E,"Téc cát nghiền",DATA_GOC!$F:$F,"Xuất nội bộ từ téc",DATA_GOC!$B:$B,DATE($D$2,$B$2,AA$4)),0))</f>
        <v>0</v>
      </c>
      <c r="AB201" s="251">
        <f>IF(AB$4&gt;DAY(EOMONTH(DATE($D$2,$B$2,1),0)),"",IFERROR(SUMIFS(DATA_GOC!$H:$H,DATA_GOC!$A:$A,"BOM",DATA_GOC!$D:$D,$B201,DATA_GOC!$E:$E,"Téc cát nghiền",DATA_GOC!$F:$F,"Xuất nội bộ từ téc",DATA_GOC!$B:$B,DATE($D$2,$B$2,AB$4)),0))</f>
        <v>0</v>
      </c>
      <c r="AC201" s="251">
        <f>IF(AC$4&gt;DAY(EOMONTH(DATE($D$2,$B$2,1),0)),"",IFERROR(SUMIFS(DATA_GOC!$H:$H,DATA_GOC!$A:$A,"BOM",DATA_GOC!$D:$D,$B201,DATA_GOC!$E:$E,"Téc cát nghiền",DATA_GOC!$F:$F,"Xuất nội bộ từ téc",DATA_GOC!$B:$B,DATE($D$2,$B$2,AC$4)),0))</f>
        <v>0</v>
      </c>
      <c r="AD201" s="251">
        <f>IF(AD$4&gt;DAY(EOMONTH(DATE($D$2,$B$2,1),0)),"",IFERROR(SUMIFS(DATA_GOC!$H:$H,DATA_GOC!$A:$A,"BOM",DATA_GOC!$D:$D,$B201,DATA_GOC!$E:$E,"Téc cát nghiền",DATA_GOC!$F:$F,"Xuất nội bộ từ téc",DATA_GOC!$B:$B,DATE($D$2,$B$2,AD$4)),0))</f>
        <v>0</v>
      </c>
      <c r="AE201" s="251">
        <f>IF(AE$4&gt;DAY(EOMONTH(DATE($D$2,$B$2,1),0)),"",IFERROR(SUMIFS(DATA_GOC!$H:$H,DATA_GOC!$A:$A,"BOM",DATA_GOC!$D:$D,$B201,DATA_GOC!$E:$E,"Téc cát nghiền",DATA_GOC!$F:$F,"Xuất nội bộ từ téc",DATA_GOC!$B:$B,DATE($D$2,$B$2,AE$4)),0))</f>
        <v>0</v>
      </c>
      <c r="AF201" s="251">
        <f>IF(AF$4&gt;DAY(EOMONTH(DATE($D$2,$B$2,1),0)),"",IFERROR(SUMIFS(DATA_GOC!$H:$H,DATA_GOC!$A:$A,"BOM",DATA_GOC!$D:$D,$B201,DATA_GOC!$E:$E,"Téc cát nghiền",DATA_GOC!$F:$F,"Xuất nội bộ từ téc",DATA_GOC!$B:$B,DATE($D$2,$B$2,AF$4)),0))</f>
        <v>0</v>
      </c>
      <c r="AG201" s="251">
        <f>IF(AG$4&gt;DAY(EOMONTH(DATE($D$2,$B$2,1),0)),"",IFERROR(SUMIFS(DATA_GOC!$H:$H,DATA_GOC!$A:$A,"BOM",DATA_GOC!$D:$D,$B201,DATA_GOC!$E:$E,"Téc cát nghiền",DATA_GOC!$F:$F,"Xuất nội bộ từ téc",DATA_GOC!$B:$B,DATE($D$2,$B$2,AG$4)),0))</f>
        <v>0</v>
      </c>
      <c r="AH201" s="252">
        <f t="shared" si="10"/>
        <v>0</v>
      </c>
      <c r="AI201" s="241"/>
      <c r="AJ201" s="242">
        <f>IF($B201="","",SUMIFS(TINH_TEC!$K$233:$K$9232,TINH_TEC!$H$233:$H$9232,$B201,TINH_TEC!$C$233:$C$9232,"Téc cát nghiền",TINH_TEC!$F$233:$F$9232,$B$2,TINH_TEC!$G$233:$G$9232,$D$2,TINH_TEC!$B$233:$B$9232,"Đã chốt"))</f>
        <v>0</v>
      </c>
      <c r="AK201" s="242">
        <f>IF($B201="","",SUMIFS(TINH_TEC!$J$233:$J$9232,TINH_TEC!$H$233:$H$9232,$B201,TINH_TEC!$C$233:$C$9232,"Téc cát nghiền",TINH_TEC!$F$233:$F$9232,$B$2,TINH_TEC!$G$233:$G$9232,$D$2,TINH_TEC!$B$233:$B$9232,"Đã chốt"))</f>
        <v>0</v>
      </c>
      <c r="AL201" s="242">
        <f t="shared" si="11"/>
        <v>0</v>
      </c>
    </row>
    <row r="202" ht="15.75" customHeight="1">
      <c r="A202" s="237">
        <f>IF($B202&lt;&gt;"",14,"")</f>
        <v>14</v>
      </c>
      <c r="B202" s="250" t="str">
        <f t="array" ref="B202">IFERROR(INDEX(DANH_MUC!$E:$E,17),"")</f>
        <v>28C02574</v>
      </c>
      <c r="C202" s="251">
        <f>IF(C$4&gt;DAY(EOMONTH(DATE($D$2,$B$2,1),0)),"",IFERROR(SUMIFS(DATA_GOC!$H:$H,DATA_GOC!$A:$A,"BOM",DATA_GOC!$D:$D,$B202,DATA_GOC!$E:$E,"Téc cát nghiền",DATA_GOC!$F:$F,"Xuất nội bộ từ téc",DATA_GOC!$B:$B,DATE($D$2,$B$2,C$4)),0))</f>
        <v>0</v>
      </c>
      <c r="D202" s="251">
        <f>IF(D$4&gt;DAY(EOMONTH(DATE($D$2,$B$2,1),0)),"",IFERROR(SUMIFS(DATA_GOC!$H:$H,DATA_GOC!$A:$A,"BOM",DATA_GOC!$D:$D,$B202,DATA_GOC!$E:$E,"Téc cát nghiền",DATA_GOC!$F:$F,"Xuất nội bộ từ téc",DATA_GOC!$B:$B,DATE($D$2,$B$2,D$4)),0))</f>
        <v>0</v>
      </c>
      <c r="E202" s="251">
        <f>IF(E$4&gt;DAY(EOMONTH(DATE($D$2,$B$2,1),0)),"",IFERROR(SUMIFS(DATA_GOC!$H:$H,DATA_GOC!$A:$A,"BOM",DATA_GOC!$D:$D,$B202,DATA_GOC!$E:$E,"Téc cát nghiền",DATA_GOC!$F:$F,"Xuất nội bộ từ téc",DATA_GOC!$B:$B,DATE($D$2,$B$2,E$4)),0))</f>
        <v>0</v>
      </c>
      <c r="F202" s="251">
        <f>IF(F$4&gt;DAY(EOMONTH(DATE($D$2,$B$2,1),0)),"",IFERROR(SUMIFS(DATA_GOC!$H:$H,DATA_GOC!$A:$A,"BOM",DATA_GOC!$D:$D,$B202,DATA_GOC!$E:$E,"Téc cát nghiền",DATA_GOC!$F:$F,"Xuất nội bộ từ téc",DATA_GOC!$B:$B,DATE($D$2,$B$2,F$4)),0))</f>
        <v>0</v>
      </c>
      <c r="G202" s="251">
        <f>IF(G$4&gt;DAY(EOMONTH(DATE($D$2,$B$2,1),0)),"",IFERROR(SUMIFS(DATA_GOC!$H:$H,DATA_GOC!$A:$A,"BOM",DATA_GOC!$D:$D,$B202,DATA_GOC!$E:$E,"Téc cát nghiền",DATA_GOC!$F:$F,"Xuất nội bộ từ téc",DATA_GOC!$B:$B,DATE($D$2,$B$2,G$4)),0))</f>
        <v>0</v>
      </c>
      <c r="H202" s="251">
        <f>IF(H$4&gt;DAY(EOMONTH(DATE($D$2,$B$2,1),0)),"",IFERROR(SUMIFS(DATA_GOC!$H:$H,DATA_GOC!$A:$A,"BOM",DATA_GOC!$D:$D,$B202,DATA_GOC!$E:$E,"Téc cát nghiền",DATA_GOC!$F:$F,"Xuất nội bộ từ téc",DATA_GOC!$B:$B,DATE($D$2,$B$2,H$4)),0))</f>
        <v>0</v>
      </c>
      <c r="I202" s="251">
        <f>IF(I$4&gt;DAY(EOMONTH(DATE($D$2,$B$2,1),0)),"",IFERROR(SUMIFS(DATA_GOC!$H:$H,DATA_GOC!$A:$A,"BOM",DATA_GOC!$D:$D,$B202,DATA_GOC!$E:$E,"Téc cát nghiền",DATA_GOC!$F:$F,"Xuất nội bộ từ téc",DATA_GOC!$B:$B,DATE($D$2,$B$2,I$4)),0))</f>
        <v>0</v>
      </c>
      <c r="J202" s="251">
        <f>IF(J$4&gt;DAY(EOMONTH(DATE($D$2,$B$2,1),0)),"",IFERROR(SUMIFS(DATA_GOC!$H:$H,DATA_GOC!$A:$A,"BOM",DATA_GOC!$D:$D,$B202,DATA_GOC!$E:$E,"Téc cát nghiền",DATA_GOC!$F:$F,"Xuất nội bộ từ téc",DATA_GOC!$B:$B,DATE($D$2,$B$2,J$4)),0))</f>
        <v>0</v>
      </c>
      <c r="K202" s="251">
        <f>IF(K$4&gt;DAY(EOMONTH(DATE($D$2,$B$2,1),0)),"",IFERROR(SUMIFS(DATA_GOC!$H:$H,DATA_GOC!$A:$A,"BOM",DATA_GOC!$D:$D,$B202,DATA_GOC!$E:$E,"Téc cát nghiền",DATA_GOC!$F:$F,"Xuất nội bộ từ téc",DATA_GOC!$B:$B,DATE($D$2,$B$2,K$4)),0))</f>
        <v>0</v>
      </c>
      <c r="L202" s="251">
        <f>IF(L$4&gt;DAY(EOMONTH(DATE($D$2,$B$2,1),0)),"",IFERROR(SUMIFS(DATA_GOC!$H:$H,DATA_GOC!$A:$A,"BOM",DATA_GOC!$D:$D,$B202,DATA_GOC!$E:$E,"Téc cát nghiền",DATA_GOC!$F:$F,"Xuất nội bộ từ téc",DATA_GOC!$B:$B,DATE($D$2,$B$2,L$4)),0))</f>
        <v>0</v>
      </c>
      <c r="M202" s="251">
        <f>IF(M$4&gt;DAY(EOMONTH(DATE($D$2,$B$2,1),0)),"",IFERROR(SUMIFS(DATA_GOC!$H:$H,DATA_GOC!$A:$A,"BOM",DATA_GOC!$D:$D,$B202,DATA_GOC!$E:$E,"Téc cát nghiền",DATA_GOC!$F:$F,"Xuất nội bộ từ téc",DATA_GOC!$B:$B,DATE($D$2,$B$2,M$4)),0))</f>
        <v>0</v>
      </c>
      <c r="N202" s="251">
        <f>IF(N$4&gt;DAY(EOMONTH(DATE($D$2,$B$2,1),0)),"",IFERROR(SUMIFS(DATA_GOC!$H:$H,DATA_GOC!$A:$A,"BOM",DATA_GOC!$D:$D,$B202,DATA_GOC!$E:$E,"Téc cát nghiền",DATA_GOC!$F:$F,"Xuất nội bộ từ téc",DATA_GOC!$B:$B,DATE($D$2,$B$2,N$4)),0))</f>
        <v>0</v>
      </c>
      <c r="O202" s="251">
        <f>IF(O$4&gt;DAY(EOMONTH(DATE($D$2,$B$2,1),0)),"",IFERROR(SUMIFS(DATA_GOC!$H:$H,DATA_GOC!$A:$A,"BOM",DATA_GOC!$D:$D,$B202,DATA_GOC!$E:$E,"Téc cát nghiền",DATA_GOC!$F:$F,"Xuất nội bộ từ téc",DATA_GOC!$B:$B,DATE($D$2,$B$2,O$4)),0))</f>
        <v>0</v>
      </c>
      <c r="P202" s="251">
        <f>IF(P$4&gt;DAY(EOMONTH(DATE($D$2,$B$2,1),0)),"",IFERROR(SUMIFS(DATA_GOC!$H:$H,DATA_GOC!$A:$A,"BOM",DATA_GOC!$D:$D,$B202,DATA_GOC!$E:$E,"Téc cát nghiền",DATA_GOC!$F:$F,"Xuất nội bộ từ téc",DATA_GOC!$B:$B,DATE($D$2,$B$2,P$4)),0))</f>
        <v>0</v>
      </c>
      <c r="Q202" s="251">
        <f>IF(Q$4&gt;DAY(EOMONTH(DATE($D$2,$B$2,1),0)),"",IFERROR(SUMIFS(DATA_GOC!$H:$H,DATA_GOC!$A:$A,"BOM",DATA_GOC!$D:$D,$B202,DATA_GOC!$E:$E,"Téc cát nghiền",DATA_GOC!$F:$F,"Xuất nội bộ từ téc",DATA_GOC!$B:$B,DATE($D$2,$B$2,Q$4)),0))</f>
        <v>0</v>
      </c>
      <c r="R202" s="251">
        <f>IF(R$4&gt;DAY(EOMONTH(DATE($D$2,$B$2,1),0)),"",IFERROR(SUMIFS(DATA_GOC!$H:$H,DATA_GOC!$A:$A,"BOM",DATA_GOC!$D:$D,$B202,DATA_GOC!$E:$E,"Téc cát nghiền",DATA_GOC!$F:$F,"Xuất nội bộ từ téc",DATA_GOC!$B:$B,DATE($D$2,$B$2,R$4)),0))</f>
        <v>0</v>
      </c>
      <c r="S202" s="251">
        <f>IF(S$4&gt;DAY(EOMONTH(DATE($D$2,$B$2,1),0)),"",IFERROR(SUMIFS(DATA_GOC!$H:$H,DATA_GOC!$A:$A,"BOM",DATA_GOC!$D:$D,$B202,DATA_GOC!$E:$E,"Téc cát nghiền",DATA_GOC!$F:$F,"Xuất nội bộ từ téc",DATA_GOC!$B:$B,DATE($D$2,$B$2,S$4)),0))</f>
        <v>0</v>
      </c>
      <c r="T202" s="251">
        <f>IF(T$4&gt;DAY(EOMONTH(DATE($D$2,$B$2,1),0)),"",IFERROR(SUMIFS(DATA_GOC!$H:$H,DATA_GOC!$A:$A,"BOM",DATA_GOC!$D:$D,$B202,DATA_GOC!$E:$E,"Téc cát nghiền",DATA_GOC!$F:$F,"Xuất nội bộ từ téc",DATA_GOC!$B:$B,DATE($D$2,$B$2,T$4)),0))</f>
        <v>0</v>
      </c>
      <c r="U202" s="251">
        <f>IF(U$4&gt;DAY(EOMONTH(DATE($D$2,$B$2,1),0)),"",IFERROR(SUMIFS(DATA_GOC!$H:$H,DATA_GOC!$A:$A,"BOM",DATA_GOC!$D:$D,$B202,DATA_GOC!$E:$E,"Téc cát nghiền",DATA_GOC!$F:$F,"Xuất nội bộ từ téc",DATA_GOC!$B:$B,DATE($D$2,$B$2,U$4)),0))</f>
        <v>0</v>
      </c>
      <c r="V202" s="251">
        <f>IF(V$4&gt;DAY(EOMONTH(DATE($D$2,$B$2,1),0)),"",IFERROR(SUMIFS(DATA_GOC!$H:$H,DATA_GOC!$A:$A,"BOM",DATA_GOC!$D:$D,$B202,DATA_GOC!$E:$E,"Téc cát nghiền",DATA_GOC!$F:$F,"Xuất nội bộ từ téc",DATA_GOC!$B:$B,DATE($D$2,$B$2,V$4)),0))</f>
        <v>0</v>
      </c>
      <c r="W202" s="251">
        <f>IF(W$4&gt;DAY(EOMONTH(DATE($D$2,$B$2,1),0)),"",IFERROR(SUMIFS(DATA_GOC!$H:$H,DATA_GOC!$A:$A,"BOM",DATA_GOC!$D:$D,$B202,DATA_GOC!$E:$E,"Téc cát nghiền",DATA_GOC!$F:$F,"Xuất nội bộ từ téc",DATA_GOC!$B:$B,DATE($D$2,$B$2,W$4)),0))</f>
        <v>0</v>
      </c>
      <c r="X202" s="251">
        <f>IF(X$4&gt;DAY(EOMONTH(DATE($D$2,$B$2,1),0)),"",IFERROR(SUMIFS(DATA_GOC!$H:$H,DATA_GOC!$A:$A,"BOM",DATA_GOC!$D:$D,$B202,DATA_GOC!$E:$E,"Téc cát nghiền",DATA_GOC!$F:$F,"Xuất nội bộ từ téc",DATA_GOC!$B:$B,DATE($D$2,$B$2,X$4)),0))</f>
        <v>0</v>
      </c>
      <c r="Y202" s="251">
        <f>IF(Y$4&gt;DAY(EOMONTH(DATE($D$2,$B$2,1),0)),"",IFERROR(SUMIFS(DATA_GOC!$H:$H,DATA_GOC!$A:$A,"BOM",DATA_GOC!$D:$D,$B202,DATA_GOC!$E:$E,"Téc cát nghiền",DATA_GOC!$F:$F,"Xuất nội bộ từ téc",DATA_GOC!$B:$B,DATE($D$2,$B$2,Y$4)),0))</f>
        <v>0</v>
      </c>
      <c r="Z202" s="251">
        <f>IF(Z$4&gt;DAY(EOMONTH(DATE($D$2,$B$2,1),0)),"",IFERROR(SUMIFS(DATA_GOC!$H:$H,DATA_GOC!$A:$A,"BOM",DATA_GOC!$D:$D,$B202,DATA_GOC!$E:$E,"Téc cát nghiền",DATA_GOC!$F:$F,"Xuất nội bộ từ téc",DATA_GOC!$B:$B,DATE($D$2,$B$2,Z$4)),0))</f>
        <v>0</v>
      </c>
      <c r="AA202" s="251">
        <f>IF(AA$4&gt;DAY(EOMONTH(DATE($D$2,$B$2,1),0)),"",IFERROR(SUMIFS(DATA_GOC!$H:$H,DATA_GOC!$A:$A,"BOM",DATA_GOC!$D:$D,$B202,DATA_GOC!$E:$E,"Téc cát nghiền",DATA_GOC!$F:$F,"Xuất nội bộ từ téc",DATA_GOC!$B:$B,DATE($D$2,$B$2,AA$4)),0))</f>
        <v>0</v>
      </c>
      <c r="AB202" s="251">
        <f>IF(AB$4&gt;DAY(EOMONTH(DATE($D$2,$B$2,1),0)),"",IFERROR(SUMIFS(DATA_GOC!$H:$H,DATA_GOC!$A:$A,"BOM",DATA_GOC!$D:$D,$B202,DATA_GOC!$E:$E,"Téc cát nghiền",DATA_GOC!$F:$F,"Xuất nội bộ từ téc",DATA_GOC!$B:$B,DATE($D$2,$B$2,AB$4)),0))</f>
        <v>0</v>
      </c>
      <c r="AC202" s="251">
        <f>IF(AC$4&gt;DAY(EOMONTH(DATE($D$2,$B$2,1),0)),"",IFERROR(SUMIFS(DATA_GOC!$H:$H,DATA_GOC!$A:$A,"BOM",DATA_GOC!$D:$D,$B202,DATA_GOC!$E:$E,"Téc cát nghiền",DATA_GOC!$F:$F,"Xuất nội bộ từ téc",DATA_GOC!$B:$B,DATE($D$2,$B$2,AC$4)),0))</f>
        <v>0</v>
      </c>
      <c r="AD202" s="251">
        <f>IF(AD$4&gt;DAY(EOMONTH(DATE($D$2,$B$2,1),0)),"",IFERROR(SUMIFS(DATA_GOC!$H:$H,DATA_GOC!$A:$A,"BOM",DATA_GOC!$D:$D,$B202,DATA_GOC!$E:$E,"Téc cát nghiền",DATA_GOC!$F:$F,"Xuất nội bộ từ téc",DATA_GOC!$B:$B,DATE($D$2,$B$2,AD$4)),0))</f>
        <v>0</v>
      </c>
      <c r="AE202" s="251">
        <f>IF(AE$4&gt;DAY(EOMONTH(DATE($D$2,$B$2,1),0)),"",IFERROR(SUMIFS(DATA_GOC!$H:$H,DATA_GOC!$A:$A,"BOM",DATA_GOC!$D:$D,$B202,DATA_GOC!$E:$E,"Téc cát nghiền",DATA_GOC!$F:$F,"Xuất nội bộ từ téc",DATA_GOC!$B:$B,DATE($D$2,$B$2,AE$4)),0))</f>
        <v>0</v>
      </c>
      <c r="AF202" s="251">
        <f>IF(AF$4&gt;DAY(EOMONTH(DATE($D$2,$B$2,1),0)),"",IFERROR(SUMIFS(DATA_GOC!$H:$H,DATA_GOC!$A:$A,"BOM",DATA_GOC!$D:$D,$B202,DATA_GOC!$E:$E,"Téc cát nghiền",DATA_GOC!$F:$F,"Xuất nội bộ từ téc",DATA_GOC!$B:$B,DATE($D$2,$B$2,AF$4)),0))</f>
        <v>0</v>
      </c>
      <c r="AG202" s="251">
        <f>IF(AG$4&gt;DAY(EOMONTH(DATE($D$2,$B$2,1),0)),"",IFERROR(SUMIFS(DATA_GOC!$H:$H,DATA_GOC!$A:$A,"BOM",DATA_GOC!$D:$D,$B202,DATA_GOC!$E:$E,"Téc cát nghiền",DATA_GOC!$F:$F,"Xuất nội bộ từ téc",DATA_GOC!$B:$B,DATE($D$2,$B$2,AG$4)),0))</f>
        <v>0</v>
      </c>
      <c r="AH202" s="252">
        <f t="shared" si="10"/>
        <v>0</v>
      </c>
      <c r="AI202" s="241"/>
      <c r="AJ202" s="242">
        <f>IF($B202="","",SUMIFS(TINH_TEC!$K$233:$K$9232,TINH_TEC!$H$233:$H$9232,$B202,TINH_TEC!$C$233:$C$9232,"Téc cát nghiền",TINH_TEC!$F$233:$F$9232,$B$2,TINH_TEC!$G$233:$G$9232,$D$2,TINH_TEC!$B$233:$B$9232,"Đã chốt"))</f>
        <v>0</v>
      </c>
      <c r="AK202" s="242">
        <f>IF($B202="","",SUMIFS(TINH_TEC!$J$233:$J$9232,TINH_TEC!$H$233:$H$9232,$B202,TINH_TEC!$C$233:$C$9232,"Téc cát nghiền",TINH_TEC!$F$233:$F$9232,$B$2,TINH_TEC!$G$233:$G$9232,$D$2,TINH_TEC!$B$233:$B$9232,"Đã chốt"))</f>
        <v>0</v>
      </c>
      <c r="AL202" s="242">
        <f t="shared" si="11"/>
        <v>0</v>
      </c>
    </row>
    <row r="203" ht="15.75" customHeight="1">
      <c r="A203" s="237">
        <f>IF($B203&lt;&gt;"",15,"")</f>
        <v>15</v>
      </c>
      <c r="B203" s="250" t="str">
        <f t="array" ref="B203">IFERROR(INDEX(DANH_MUC!$E:$E,18),"")</f>
        <v>28C02770</v>
      </c>
      <c r="C203" s="251">
        <f>IF(C$4&gt;DAY(EOMONTH(DATE($D$2,$B$2,1),0)),"",IFERROR(SUMIFS(DATA_GOC!$H:$H,DATA_GOC!$A:$A,"BOM",DATA_GOC!$D:$D,$B203,DATA_GOC!$E:$E,"Téc cát nghiền",DATA_GOC!$F:$F,"Xuất nội bộ từ téc",DATA_GOC!$B:$B,DATE($D$2,$B$2,C$4)),0))</f>
        <v>0</v>
      </c>
      <c r="D203" s="251">
        <f>IF(D$4&gt;DAY(EOMONTH(DATE($D$2,$B$2,1),0)),"",IFERROR(SUMIFS(DATA_GOC!$H:$H,DATA_GOC!$A:$A,"BOM",DATA_GOC!$D:$D,$B203,DATA_GOC!$E:$E,"Téc cát nghiền",DATA_GOC!$F:$F,"Xuất nội bộ từ téc",DATA_GOC!$B:$B,DATE($D$2,$B$2,D$4)),0))</f>
        <v>0</v>
      </c>
      <c r="E203" s="251">
        <f>IF(E$4&gt;DAY(EOMONTH(DATE($D$2,$B$2,1),0)),"",IFERROR(SUMIFS(DATA_GOC!$H:$H,DATA_GOC!$A:$A,"BOM",DATA_GOC!$D:$D,$B203,DATA_GOC!$E:$E,"Téc cát nghiền",DATA_GOC!$F:$F,"Xuất nội bộ từ téc",DATA_GOC!$B:$B,DATE($D$2,$B$2,E$4)),0))</f>
        <v>0</v>
      </c>
      <c r="F203" s="251">
        <f>IF(F$4&gt;DAY(EOMONTH(DATE($D$2,$B$2,1),0)),"",IFERROR(SUMIFS(DATA_GOC!$H:$H,DATA_GOC!$A:$A,"BOM",DATA_GOC!$D:$D,$B203,DATA_GOC!$E:$E,"Téc cát nghiền",DATA_GOC!$F:$F,"Xuất nội bộ từ téc",DATA_GOC!$B:$B,DATE($D$2,$B$2,F$4)),0))</f>
        <v>0</v>
      </c>
      <c r="G203" s="251">
        <f>IF(G$4&gt;DAY(EOMONTH(DATE($D$2,$B$2,1),0)),"",IFERROR(SUMIFS(DATA_GOC!$H:$H,DATA_GOC!$A:$A,"BOM",DATA_GOC!$D:$D,$B203,DATA_GOC!$E:$E,"Téc cát nghiền",DATA_GOC!$F:$F,"Xuất nội bộ từ téc",DATA_GOC!$B:$B,DATE($D$2,$B$2,G$4)),0))</f>
        <v>0</v>
      </c>
      <c r="H203" s="251">
        <f>IF(H$4&gt;DAY(EOMONTH(DATE($D$2,$B$2,1),0)),"",IFERROR(SUMIFS(DATA_GOC!$H:$H,DATA_GOC!$A:$A,"BOM",DATA_GOC!$D:$D,$B203,DATA_GOC!$E:$E,"Téc cát nghiền",DATA_GOC!$F:$F,"Xuất nội bộ từ téc",DATA_GOC!$B:$B,DATE($D$2,$B$2,H$4)),0))</f>
        <v>0</v>
      </c>
      <c r="I203" s="251">
        <f>IF(I$4&gt;DAY(EOMONTH(DATE($D$2,$B$2,1),0)),"",IFERROR(SUMIFS(DATA_GOC!$H:$H,DATA_GOC!$A:$A,"BOM",DATA_GOC!$D:$D,$B203,DATA_GOC!$E:$E,"Téc cát nghiền",DATA_GOC!$F:$F,"Xuất nội bộ từ téc",DATA_GOC!$B:$B,DATE($D$2,$B$2,I$4)),0))</f>
        <v>0</v>
      </c>
      <c r="J203" s="251">
        <f>IF(J$4&gt;DAY(EOMONTH(DATE($D$2,$B$2,1),0)),"",IFERROR(SUMIFS(DATA_GOC!$H:$H,DATA_GOC!$A:$A,"BOM",DATA_GOC!$D:$D,$B203,DATA_GOC!$E:$E,"Téc cát nghiền",DATA_GOC!$F:$F,"Xuất nội bộ từ téc",DATA_GOC!$B:$B,DATE($D$2,$B$2,J$4)),0))</f>
        <v>0</v>
      </c>
      <c r="K203" s="251">
        <f>IF(K$4&gt;DAY(EOMONTH(DATE($D$2,$B$2,1),0)),"",IFERROR(SUMIFS(DATA_GOC!$H:$H,DATA_GOC!$A:$A,"BOM",DATA_GOC!$D:$D,$B203,DATA_GOC!$E:$E,"Téc cát nghiền",DATA_GOC!$F:$F,"Xuất nội bộ từ téc",DATA_GOC!$B:$B,DATE($D$2,$B$2,K$4)),0))</f>
        <v>0</v>
      </c>
      <c r="L203" s="251">
        <f>IF(L$4&gt;DAY(EOMONTH(DATE($D$2,$B$2,1),0)),"",IFERROR(SUMIFS(DATA_GOC!$H:$H,DATA_GOC!$A:$A,"BOM",DATA_GOC!$D:$D,$B203,DATA_GOC!$E:$E,"Téc cát nghiền",DATA_GOC!$F:$F,"Xuất nội bộ từ téc",DATA_GOC!$B:$B,DATE($D$2,$B$2,L$4)),0))</f>
        <v>0</v>
      </c>
      <c r="M203" s="251">
        <f>IF(M$4&gt;DAY(EOMONTH(DATE($D$2,$B$2,1),0)),"",IFERROR(SUMIFS(DATA_GOC!$H:$H,DATA_GOC!$A:$A,"BOM",DATA_GOC!$D:$D,$B203,DATA_GOC!$E:$E,"Téc cát nghiền",DATA_GOC!$F:$F,"Xuất nội bộ từ téc",DATA_GOC!$B:$B,DATE($D$2,$B$2,M$4)),0))</f>
        <v>0</v>
      </c>
      <c r="N203" s="251">
        <f>IF(N$4&gt;DAY(EOMONTH(DATE($D$2,$B$2,1),0)),"",IFERROR(SUMIFS(DATA_GOC!$H:$H,DATA_GOC!$A:$A,"BOM",DATA_GOC!$D:$D,$B203,DATA_GOC!$E:$E,"Téc cát nghiền",DATA_GOC!$F:$F,"Xuất nội bộ từ téc",DATA_GOC!$B:$B,DATE($D$2,$B$2,N$4)),0))</f>
        <v>0</v>
      </c>
      <c r="O203" s="251">
        <f>IF(O$4&gt;DAY(EOMONTH(DATE($D$2,$B$2,1),0)),"",IFERROR(SUMIFS(DATA_GOC!$H:$H,DATA_GOC!$A:$A,"BOM",DATA_GOC!$D:$D,$B203,DATA_GOC!$E:$E,"Téc cát nghiền",DATA_GOC!$F:$F,"Xuất nội bộ từ téc",DATA_GOC!$B:$B,DATE($D$2,$B$2,O$4)),0))</f>
        <v>0</v>
      </c>
      <c r="P203" s="251">
        <f>IF(P$4&gt;DAY(EOMONTH(DATE($D$2,$B$2,1),0)),"",IFERROR(SUMIFS(DATA_GOC!$H:$H,DATA_GOC!$A:$A,"BOM",DATA_GOC!$D:$D,$B203,DATA_GOC!$E:$E,"Téc cát nghiền",DATA_GOC!$F:$F,"Xuất nội bộ từ téc",DATA_GOC!$B:$B,DATE($D$2,$B$2,P$4)),0))</f>
        <v>0</v>
      </c>
      <c r="Q203" s="251">
        <f>IF(Q$4&gt;DAY(EOMONTH(DATE($D$2,$B$2,1),0)),"",IFERROR(SUMIFS(DATA_GOC!$H:$H,DATA_GOC!$A:$A,"BOM",DATA_GOC!$D:$D,$B203,DATA_GOC!$E:$E,"Téc cát nghiền",DATA_GOC!$F:$F,"Xuất nội bộ từ téc",DATA_GOC!$B:$B,DATE($D$2,$B$2,Q$4)),0))</f>
        <v>0</v>
      </c>
      <c r="R203" s="251">
        <f>IF(R$4&gt;DAY(EOMONTH(DATE($D$2,$B$2,1),0)),"",IFERROR(SUMIFS(DATA_GOC!$H:$H,DATA_GOC!$A:$A,"BOM",DATA_GOC!$D:$D,$B203,DATA_GOC!$E:$E,"Téc cát nghiền",DATA_GOC!$F:$F,"Xuất nội bộ từ téc",DATA_GOC!$B:$B,DATE($D$2,$B$2,R$4)),0))</f>
        <v>0</v>
      </c>
      <c r="S203" s="251">
        <f>IF(S$4&gt;DAY(EOMONTH(DATE($D$2,$B$2,1),0)),"",IFERROR(SUMIFS(DATA_GOC!$H:$H,DATA_GOC!$A:$A,"BOM",DATA_GOC!$D:$D,$B203,DATA_GOC!$E:$E,"Téc cát nghiền",DATA_GOC!$F:$F,"Xuất nội bộ từ téc",DATA_GOC!$B:$B,DATE($D$2,$B$2,S$4)),0))</f>
        <v>0</v>
      </c>
      <c r="T203" s="251">
        <f>IF(T$4&gt;DAY(EOMONTH(DATE($D$2,$B$2,1),0)),"",IFERROR(SUMIFS(DATA_GOC!$H:$H,DATA_GOC!$A:$A,"BOM",DATA_GOC!$D:$D,$B203,DATA_GOC!$E:$E,"Téc cát nghiền",DATA_GOC!$F:$F,"Xuất nội bộ từ téc",DATA_GOC!$B:$B,DATE($D$2,$B$2,T$4)),0))</f>
        <v>0</v>
      </c>
      <c r="U203" s="251">
        <f>IF(U$4&gt;DAY(EOMONTH(DATE($D$2,$B$2,1),0)),"",IFERROR(SUMIFS(DATA_GOC!$H:$H,DATA_GOC!$A:$A,"BOM",DATA_GOC!$D:$D,$B203,DATA_GOC!$E:$E,"Téc cát nghiền",DATA_GOC!$F:$F,"Xuất nội bộ từ téc",DATA_GOC!$B:$B,DATE($D$2,$B$2,U$4)),0))</f>
        <v>0</v>
      </c>
      <c r="V203" s="251">
        <f>IF(V$4&gt;DAY(EOMONTH(DATE($D$2,$B$2,1),0)),"",IFERROR(SUMIFS(DATA_GOC!$H:$H,DATA_GOC!$A:$A,"BOM",DATA_GOC!$D:$D,$B203,DATA_GOC!$E:$E,"Téc cát nghiền",DATA_GOC!$F:$F,"Xuất nội bộ từ téc",DATA_GOC!$B:$B,DATE($D$2,$B$2,V$4)),0))</f>
        <v>0</v>
      </c>
      <c r="W203" s="251">
        <f>IF(W$4&gt;DAY(EOMONTH(DATE($D$2,$B$2,1),0)),"",IFERROR(SUMIFS(DATA_GOC!$H:$H,DATA_GOC!$A:$A,"BOM",DATA_GOC!$D:$D,$B203,DATA_GOC!$E:$E,"Téc cát nghiền",DATA_GOC!$F:$F,"Xuất nội bộ từ téc",DATA_GOC!$B:$B,DATE($D$2,$B$2,W$4)),0))</f>
        <v>0</v>
      </c>
      <c r="X203" s="251">
        <f>IF(X$4&gt;DAY(EOMONTH(DATE($D$2,$B$2,1),0)),"",IFERROR(SUMIFS(DATA_GOC!$H:$H,DATA_GOC!$A:$A,"BOM",DATA_GOC!$D:$D,$B203,DATA_GOC!$E:$E,"Téc cát nghiền",DATA_GOC!$F:$F,"Xuất nội bộ từ téc",DATA_GOC!$B:$B,DATE($D$2,$B$2,X$4)),0))</f>
        <v>0</v>
      </c>
      <c r="Y203" s="251">
        <f>IF(Y$4&gt;DAY(EOMONTH(DATE($D$2,$B$2,1),0)),"",IFERROR(SUMIFS(DATA_GOC!$H:$H,DATA_GOC!$A:$A,"BOM",DATA_GOC!$D:$D,$B203,DATA_GOC!$E:$E,"Téc cát nghiền",DATA_GOC!$F:$F,"Xuất nội bộ từ téc",DATA_GOC!$B:$B,DATE($D$2,$B$2,Y$4)),0))</f>
        <v>0</v>
      </c>
      <c r="Z203" s="251">
        <f>IF(Z$4&gt;DAY(EOMONTH(DATE($D$2,$B$2,1),0)),"",IFERROR(SUMIFS(DATA_GOC!$H:$H,DATA_GOC!$A:$A,"BOM",DATA_GOC!$D:$D,$B203,DATA_GOC!$E:$E,"Téc cát nghiền",DATA_GOC!$F:$F,"Xuất nội bộ từ téc",DATA_GOC!$B:$B,DATE($D$2,$B$2,Z$4)),0))</f>
        <v>0</v>
      </c>
      <c r="AA203" s="251">
        <f>IF(AA$4&gt;DAY(EOMONTH(DATE($D$2,$B$2,1),0)),"",IFERROR(SUMIFS(DATA_GOC!$H:$H,DATA_GOC!$A:$A,"BOM",DATA_GOC!$D:$D,$B203,DATA_GOC!$E:$E,"Téc cát nghiền",DATA_GOC!$F:$F,"Xuất nội bộ từ téc",DATA_GOC!$B:$B,DATE($D$2,$B$2,AA$4)),0))</f>
        <v>0</v>
      </c>
      <c r="AB203" s="251">
        <f>IF(AB$4&gt;DAY(EOMONTH(DATE($D$2,$B$2,1),0)),"",IFERROR(SUMIFS(DATA_GOC!$H:$H,DATA_GOC!$A:$A,"BOM",DATA_GOC!$D:$D,$B203,DATA_GOC!$E:$E,"Téc cát nghiền",DATA_GOC!$F:$F,"Xuất nội bộ từ téc",DATA_GOC!$B:$B,DATE($D$2,$B$2,AB$4)),0))</f>
        <v>0</v>
      </c>
      <c r="AC203" s="251">
        <f>IF(AC$4&gt;DAY(EOMONTH(DATE($D$2,$B$2,1),0)),"",IFERROR(SUMIFS(DATA_GOC!$H:$H,DATA_GOC!$A:$A,"BOM",DATA_GOC!$D:$D,$B203,DATA_GOC!$E:$E,"Téc cát nghiền",DATA_GOC!$F:$F,"Xuất nội bộ từ téc",DATA_GOC!$B:$B,DATE($D$2,$B$2,AC$4)),0))</f>
        <v>0</v>
      </c>
      <c r="AD203" s="251">
        <f>IF(AD$4&gt;DAY(EOMONTH(DATE($D$2,$B$2,1),0)),"",IFERROR(SUMIFS(DATA_GOC!$H:$H,DATA_GOC!$A:$A,"BOM",DATA_GOC!$D:$D,$B203,DATA_GOC!$E:$E,"Téc cát nghiền",DATA_GOC!$F:$F,"Xuất nội bộ từ téc",DATA_GOC!$B:$B,DATE($D$2,$B$2,AD$4)),0))</f>
        <v>0</v>
      </c>
      <c r="AE203" s="251">
        <f>IF(AE$4&gt;DAY(EOMONTH(DATE($D$2,$B$2,1),0)),"",IFERROR(SUMIFS(DATA_GOC!$H:$H,DATA_GOC!$A:$A,"BOM",DATA_GOC!$D:$D,$B203,DATA_GOC!$E:$E,"Téc cát nghiền",DATA_GOC!$F:$F,"Xuất nội bộ từ téc",DATA_GOC!$B:$B,DATE($D$2,$B$2,AE$4)),0))</f>
        <v>0</v>
      </c>
      <c r="AF203" s="251">
        <f>IF(AF$4&gt;DAY(EOMONTH(DATE($D$2,$B$2,1),0)),"",IFERROR(SUMIFS(DATA_GOC!$H:$H,DATA_GOC!$A:$A,"BOM",DATA_GOC!$D:$D,$B203,DATA_GOC!$E:$E,"Téc cát nghiền",DATA_GOC!$F:$F,"Xuất nội bộ từ téc",DATA_GOC!$B:$B,DATE($D$2,$B$2,AF$4)),0))</f>
        <v>0</v>
      </c>
      <c r="AG203" s="251">
        <f>IF(AG$4&gt;DAY(EOMONTH(DATE($D$2,$B$2,1),0)),"",IFERROR(SUMIFS(DATA_GOC!$H:$H,DATA_GOC!$A:$A,"BOM",DATA_GOC!$D:$D,$B203,DATA_GOC!$E:$E,"Téc cát nghiền",DATA_GOC!$F:$F,"Xuất nội bộ từ téc",DATA_GOC!$B:$B,DATE($D$2,$B$2,AG$4)),0))</f>
        <v>0</v>
      </c>
      <c r="AH203" s="252">
        <f t="shared" si="10"/>
        <v>0</v>
      </c>
      <c r="AI203" s="241"/>
      <c r="AJ203" s="242">
        <f>IF($B203="","",SUMIFS(TINH_TEC!$K$233:$K$9232,TINH_TEC!$H$233:$H$9232,$B203,TINH_TEC!$C$233:$C$9232,"Téc cát nghiền",TINH_TEC!$F$233:$F$9232,$B$2,TINH_TEC!$G$233:$G$9232,$D$2,TINH_TEC!$B$233:$B$9232,"Đã chốt"))</f>
        <v>0</v>
      </c>
      <c r="AK203" s="242">
        <f>IF($B203="","",SUMIFS(TINH_TEC!$J$233:$J$9232,TINH_TEC!$H$233:$H$9232,$B203,TINH_TEC!$C$233:$C$9232,"Téc cát nghiền",TINH_TEC!$F$233:$F$9232,$B$2,TINH_TEC!$G$233:$G$9232,$D$2,TINH_TEC!$B$233:$B$9232,"Đã chốt"))</f>
        <v>0</v>
      </c>
      <c r="AL203" s="242">
        <f t="shared" si="11"/>
        <v>0</v>
      </c>
    </row>
    <row r="204" ht="15.75" customHeight="1">
      <c r="A204" s="237">
        <f>IF($B204&lt;&gt;"",16,"")</f>
        <v>16</v>
      </c>
      <c r="B204" s="250" t="str">
        <f t="array" ref="B204">IFERROR(INDEX(DANH_MUC!$E:$E,19),"")</f>
        <v>28C02986</v>
      </c>
      <c r="C204" s="251">
        <f>IF(C$4&gt;DAY(EOMONTH(DATE($D$2,$B$2,1),0)),"",IFERROR(SUMIFS(DATA_GOC!$H:$H,DATA_GOC!$A:$A,"BOM",DATA_GOC!$D:$D,$B204,DATA_GOC!$E:$E,"Téc cát nghiền",DATA_GOC!$F:$F,"Xuất nội bộ từ téc",DATA_GOC!$B:$B,DATE($D$2,$B$2,C$4)),0))</f>
        <v>0</v>
      </c>
      <c r="D204" s="251">
        <f>IF(D$4&gt;DAY(EOMONTH(DATE($D$2,$B$2,1),0)),"",IFERROR(SUMIFS(DATA_GOC!$H:$H,DATA_GOC!$A:$A,"BOM",DATA_GOC!$D:$D,$B204,DATA_GOC!$E:$E,"Téc cát nghiền",DATA_GOC!$F:$F,"Xuất nội bộ từ téc",DATA_GOC!$B:$B,DATE($D$2,$B$2,D$4)),0))</f>
        <v>0</v>
      </c>
      <c r="E204" s="251">
        <f>IF(E$4&gt;DAY(EOMONTH(DATE($D$2,$B$2,1),0)),"",IFERROR(SUMIFS(DATA_GOC!$H:$H,DATA_GOC!$A:$A,"BOM",DATA_GOC!$D:$D,$B204,DATA_GOC!$E:$E,"Téc cát nghiền",DATA_GOC!$F:$F,"Xuất nội bộ từ téc",DATA_GOC!$B:$B,DATE($D$2,$B$2,E$4)),0))</f>
        <v>0</v>
      </c>
      <c r="F204" s="251">
        <f>IF(F$4&gt;DAY(EOMONTH(DATE($D$2,$B$2,1),0)),"",IFERROR(SUMIFS(DATA_GOC!$H:$H,DATA_GOC!$A:$A,"BOM",DATA_GOC!$D:$D,$B204,DATA_GOC!$E:$E,"Téc cát nghiền",DATA_GOC!$F:$F,"Xuất nội bộ từ téc",DATA_GOC!$B:$B,DATE($D$2,$B$2,F$4)),0))</f>
        <v>0</v>
      </c>
      <c r="G204" s="251">
        <f>IF(G$4&gt;DAY(EOMONTH(DATE($D$2,$B$2,1),0)),"",IFERROR(SUMIFS(DATA_GOC!$H:$H,DATA_GOC!$A:$A,"BOM",DATA_GOC!$D:$D,$B204,DATA_GOC!$E:$E,"Téc cát nghiền",DATA_GOC!$F:$F,"Xuất nội bộ từ téc",DATA_GOC!$B:$B,DATE($D$2,$B$2,G$4)),0))</f>
        <v>0</v>
      </c>
      <c r="H204" s="251">
        <f>IF(H$4&gt;DAY(EOMONTH(DATE($D$2,$B$2,1),0)),"",IFERROR(SUMIFS(DATA_GOC!$H:$H,DATA_GOC!$A:$A,"BOM",DATA_GOC!$D:$D,$B204,DATA_GOC!$E:$E,"Téc cát nghiền",DATA_GOC!$F:$F,"Xuất nội bộ từ téc",DATA_GOC!$B:$B,DATE($D$2,$B$2,H$4)),0))</f>
        <v>0</v>
      </c>
      <c r="I204" s="251">
        <f>IF(I$4&gt;DAY(EOMONTH(DATE($D$2,$B$2,1),0)),"",IFERROR(SUMIFS(DATA_GOC!$H:$H,DATA_GOC!$A:$A,"BOM",DATA_GOC!$D:$D,$B204,DATA_GOC!$E:$E,"Téc cát nghiền",DATA_GOC!$F:$F,"Xuất nội bộ từ téc",DATA_GOC!$B:$B,DATE($D$2,$B$2,I$4)),0))</f>
        <v>0</v>
      </c>
      <c r="J204" s="251">
        <f>IF(J$4&gt;DAY(EOMONTH(DATE($D$2,$B$2,1),0)),"",IFERROR(SUMIFS(DATA_GOC!$H:$H,DATA_GOC!$A:$A,"BOM",DATA_GOC!$D:$D,$B204,DATA_GOC!$E:$E,"Téc cát nghiền",DATA_GOC!$F:$F,"Xuất nội bộ từ téc",DATA_GOC!$B:$B,DATE($D$2,$B$2,J$4)),0))</f>
        <v>0</v>
      </c>
      <c r="K204" s="251">
        <f>IF(K$4&gt;DAY(EOMONTH(DATE($D$2,$B$2,1),0)),"",IFERROR(SUMIFS(DATA_GOC!$H:$H,DATA_GOC!$A:$A,"BOM",DATA_GOC!$D:$D,$B204,DATA_GOC!$E:$E,"Téc cát nghiền",DATA_GOC!$F:$F,"Xuất nội bộ từ téc",DATA_GOC!$B:$B,DATE($D$2,$B$2,K$4)),0))</f>
        <v>0</v>
      </c>
      <c r="L204" s="251">
        <f>IF(L$4&gt;DAY(EOMONTH(DATE($D$2,$B$2,1),0)),"",IFERROR(SUMIFS(DATA_GOC!$H:$H,DATA_GOC!$A:$A,"BOM",DATA_GOC!$D:$D,$B204,DATA_GOC!$E:$E,"Téc cát nghiền",DATA_GOC!$F:$F,"Xuất nội bộ từ téc",DATA_GOC!$B:$B,DATE($D$2,$B$2,L$4)),0))</f>
        <v>0</v>
      </c>
      <c r="M204" s="251">
        <f>IF(M$4&gt;DAY(EOMONTH(DATE($D$2,$B$2,1),0)),"",IFERROR(SUMIFS(DATA_GOC!$H:$H,DATA_GOC!$A:$A,"BOM",DATA_GOC!$D:$D,$B204,DATA_GOC!$E:$E,"Téc cát nghiền",DATA_GOC!$F:$F,"Xuất nội bộ từ téc",DATA_GOC!$B:$B,DATE($D$2,$B$2,M$4)),0))</f>
        <v>0</v>
      </c>
      <c r="N204" s="251">
        <f>IF(N$4&gt;DAY(EOMONTH(DATE($D$2,$B$2,1),0)),"",IFERROR(SUMIFS(DATA_GOC!$H:$H,DATA_GOC!$A:$A,"BOM",DATA_GOC!$D:$D,$B204,DATA_GOC!$E:$E,"Téc cát nghiền",DATA_GOC!$F:$F,"Xuất nội bộ từ téc",DATA_GOC!$B:$B,DATE($D$2,$B$2,N$4)),0))</f>
        <v>0</v>
      </c>
      <c r="O204" s="251">
        <f>IF(O$4&gt;DAY(EOMONTH(DATE($D$2,$B$2,1),0)),"",IFERROR(SUMIFS(DATA_GOC!$H:$H,DATA_GOC!$A:$A,"BOM",DATA_GOC!$D:$D,$B204,DATA_GOC!$E:$E,"Téc cát nghiền",DATA_GOC!$F:$F,"Xuất nội bộ từ téc",DATA_GOC!$B:$B,DATE($D$2,$B$2,O$4)),0))</f>
        <v>0</v>
      </c>
      <c r="P204" s="251">
        <f>IF(P$4&gt;DAY(EOMONTH(DATE($D$2,$B$2,1),0)),"",IFERROR(SUMIFS(DATA_GOC!$H:$H,DATA_GOC!$A:$A,"BOM",DATA_GOC!$D:$D,$B204,DATA_GOC!$E:$E,"Téc cát nghiền",DATA_GOC!$F:$F,"Xuất nội bộ từ téc",DATA_GOC!$B:$B,DATE($D$2,$B$2,P$4)),0))</f>
        <v>0</v>
      </c>
      <c r="Q204" s="251">
        <f>IF(Q$4&gt;DAY(EOMONTH(DATE($D$2,$B$2,1),0)),"",IFERROR(SUMIFS(DATA_GOC!$H:$H,DATA_GOC!$A:$A,"BOM",DATA_GOC!$D:$D,$B204,DATA_GOC!$E:$E,"Téc cát nghiền",DATA_GOC!$F:$F,"Xuất nội bộ từ téc",DATA_GOC!$B:$B,DATE($D$2,$B$2,Q$4)),0))</f>
        <v>0</v>
      </c>
      <c r="R204" s="251">
        <f>IF(R$4&gt;DAY(EOMONTH(DATE($D$2,$B$2,1),0)),"",IFERROR(SUMIFS(DATA_GOC!$H:$H,DATA_GOC!$A:$A,"BOM",DATA_GOC!$D:$D,$B204,DATA_GOC!$E:$E,"Téc cát nghiền",DATA_GOC!$F:$F,"Xuất nội bộ từ téc",DATA_GOC!$B:$B,DATE($D$2,$B$2,R$4)),0))</f>
        <v>0</v>
      </c>
      <c r="S204" s="251">
        <f>IF(S$4&gt;DAY(EOMONTH(DATE($D$2,$B$2,1),0)),"",IFERROR(SUMIFS(DATA_GOC!$H:$H,DATA_GOC!$A:$A,"BOM",DATA_GOC!$D:$D,$B204,DATA_GOC!$E:$E,"Téc cát nghiền",DATA_GOC!$F:$F,"Xuất nội bộ từ téc",DATA_GOC!$B:$B,DATE($D$2,$B$2,S$4)),0))</f>
        <v>0</v>
      </c>
      <c r="T204" s="251">
        <f>IF(T$4&gt;DAY(EOMONTH(DATE($D$2,$B$2,1),0)),"",IFERROR(SUMIFS(DATA_GOC!$H:$H,DATA_GOC!$A:$A,"BOM",DATA_GOC!$D:$D,$B204,DATA_GOC!$E:$E,"Téc cát nghiền",DATA_GOC!$F:$F,"Xuất nội bộ từ téc",DATA_GOC!$B:$B,DATE($D$2,$B$2,T$4)),0))</f>
        <v>0</v>
      </c>
      <c r="U204" s="251">
        <f>IF(U$4&gt;DAY(EOMONTH(DATE($D$2,$B$2,1),0)),"",IFERROR(SUMIFS(DATA_GOC!$H:$H,DATA_GOC!$A:$A,"BOM",DATA_GOC!$D:$D,$B204,DATA_GOC!$E:$E,"Téc cát nghiền",DATA_GOC!$F:$F,"Xuất nội bộ từ téc",DATA_GOC!$B:$B,DATE($D$2,$B$2,U$4)),0))</f>
        <v>0</v>
      </c>
      <c r="V204" s="251">
        <f>IF(V$4&gt;DAY(EOMONTH(DATE($D$2,$B$2,1),0)),"",IFERROR(SUMIFS(DATA_GOC!$H:$H,DATA_GOC!$A:$A,"BOM",DATA_GOC!$D:$D,$B204,DATA_GOC!$E:$E,"Téc cát nghiền",DATA_GOC!$F:$F,"Xuất nội bộ từ téc",DATA_GOC!$B:$B,DATE($D$2,$B$2,V$4)),0))</f>
        <v>0</v>
      </c>
      <c r="W204" s="251">
        <f>IF(W$4&gt;DAY(EOMONTH(DATE($D$2,$B$2,1),0)),"",IFERROR(SUMIFS(DATA_GOC!$H:$H,DATA_GOC!$A:$A,"BOM",DATA_GOC!$D:$D,$B204,DATA_GOC!$E:$E,"Téc cát nghiền",DATA_GOC!$F:$F,"Xuất nội bộ từ téc",DATA_GOC!$B:$B,DATE($D$2,$B$2,W$4)),0))</f>
        <v>0</v>
      </c>
      <c r="X204" s="251">
        <f>IF(X$4&gt;DAY(EOMONTH(DATE($D$2,$B$2,1),0)),"",IFERROR(SUMIFS(DATA_GOC!$H:$H,DATA_GOC!$A:$A,"BOM",DATA_GOC!$D:$D,$B204,DATA_GOC!$E:$E,"Téc cát nghiền",DATA_GOC!$F:$F,"Xuất nội bộ từ téc",DATA_GOC!$B:$B,DATE($D$2,$B$2,X$4)),0))</f>
        <v>0</v>
      </c>
      <c r="Y204" s="251">
        <f>IF(Y$4&gt;DAY(EOMONTH(DATE($D$2,$B$2,1),0)),"",IFERROR(SUMIFS(DATA_GOC!$H:$H,DATA_GOC!$A:$A,"BOM",DATA_GOC!$D:$D,$B204,DATA_GOC!$E:$E,"Téc cát nghiền",DATA_GOC!$F:$F,"Xuất nội bộ từ téc",DATA_GOC!$B:$B,DATE($D$2,$B$2,Y$4)),0))</f>
        <v>0</v>
      </c>
      <c r="Z204" s="251">
        <f>IF(Z$4&gt;DAY(EOMONTH(DATE($D$2,$B$2,1),0)),"",IFERROR(SUMIFS(DATA_GOC!$H:$H,DATA_GOC!$A:$A,"BOM",DATA_GOC!$D:$D,$B204,DATA_GOC!$E:$E,"Téc cát nghiền",DATA_GOC!$F:$F,"Xuất nội bộ từ téc",DATA_GOC!$B:$B,DATE($D$2,$B$2,Z$4)),0))</f>
        <v>0</v>
      </c>
      <c r="AA204" s="251">
        <f>IF(AA$4&gt;DAY(EOMONTH(DATE($D$2,$B$2,1),0)),"",IFERROR(SUMIFS(DATA_GOC!$H:$H,DATA_GOC!$A:$A,"BOM",DATA_GOC!$D:$D,$B204,DATA_GOC!$E:$E,"Téc cát nghiền",DATA_GOC!$F:$F,"Xuất nội bộ từ téc",DATA_GOC!$B:$B,DATE($D$2,$B$2,AA$4)),0))</f>
        <v>0</v>
      </c>
      <c r="AB204" s="251">
        <f>IF(AB$4&gt;DAY(EOMONTH(DATE($D$2,$B$2,1),0)),"",IFERROR(SUMIFS(DATA_GOC!$H:$H,DATA_GOC!$A:$A,"BOM",DATA_GOC!$D:$D,$B204,DATA_GOC!$E:$E,"Téc cát nghiền",DATA_GOC!$F:$F,"Xuất nội bộ từ téc",DATA_GOC!$B:$B,DATE($D$2,$B$2,AB$4)),0))</f>
        <v>0</v>
      </c>
      <c r="AC204" s="251">
        <f>IF(AC$4&gt;DAY(EOMONTH(DATE($D$2,$B$2,1),0)),"",IFERROR(SUMIFS(DATA_GOC!$H:$H,DATA_GOC!$A:$A,"BOM",DATA_GOC!$D:$D,$B204,DATA_GOC!$E:$E,"Téc cát nghiền",DATA_GOC!$F:$F,"Xuất nội bộ từ téc",DATA_GOC!$B:$B,DATE($D$2,$B$2,AC$4)),0))</f>
        <v>0</v>
      </c>
      <c r="AD204" s="251">
        <f>IF(AD$4&gt;DAY(EOMONTH(DATE($D$2,$B$2,1),0)),"",IFERROR(SUMIFS(DATA_GOC!$H:$H,DATA_GOC!$A:$A,"BOM",DATA_GOC!$D:$D,$B204,DATA_GOC!$E:$E,"Téc cát nghiền",DATA_GOC!$F:$F,"Xuất nội bộ từ téc",DATA_GOC!$B:$B,DATE($D$2,$B$2,AD$4)),0))</f>
        <v>0</v>
      </c>
      <c r="AE204" s="251">
        <f>IF(AE$4&gt;DAY(EOMONTH(DATE($D$2,$B$2,1),0)),"",IFERROR(SUMIFS(DATA_GOC!$H:$H,DATA_GOC!$A:$A,"BOM",DATA_GOC!$D:$D,$B204,DATA_GOC!$E:$E,"Téc cát nghiền",DATA_GOC!$F:$F,"Xuất nội bộ từ téc",DATA_GOC!$B:$B,DATE($D$2,$B$2,AE$4)),0))</f>
        <v>0</v>
      </c>
      <c r="AF204" s="251">
        <f>IF(AF$4&gt;DAY(EOMONTH(DATE($D$2,$B$2,1),0)),"",IFERROR(SUMIFS(DATA_GOC!$H:$H,DATA_GOC!$A:$A,"BOM",DATA_GOC!$D:$D,$B204,DATA_GOC!$E:$E,"Téc cát nghiền",DATA_GOC!$F:$F,"Xuất nội bộ từ téc",DATA_GOC!$B:$B,DATE($D$2,$B$2,AF$4)),0))</f>
        <v>0</v>
      </c>
      <c r="AG204" s="251">
        <f>IF(AG$4&gt;DAY(EOMONTH(DATE($D$2,$B$2,1),0)),"",IFERROR(SUMIFS(DATA_GOC!$H:$H,DATA_GOC!$A:$A,"BOM",DATA_GOC!$D:$D,$B204,DATA_GOC!$E:$E,"Téc cát nghiền",DATA_GOC!$F:$F,"Xuất nội bộ từ téc",DATA_GOC!$B:$B,DATE($D$2,$B$2,AG$4)),0))</f>
        <v>0</v>
      </c>
      <c r="AH204" s="252">
        <f t="shared" si="10"/>
        <v>0</v>
      </c>
      <c r="AI204" s="241"/>
      <c r="AJ204" s="242">
        <f>IF($B204="","",SUMIFS(TINH_TEC!$K$233:$K$9232,TINH_TEC!$H$233:$H$9232,$B204,TINH_TEC!$C$233:$C$9232,"Téc cát nghiền",TINH_TEC!$F$233:$F$9232,$B$2,TINH_TEC!$G$233:$G$9232,$D$2,TINH_TEC!$B$233:$B$9232,"Đã chốt"))</f>
        <v>0</v>
      </c>
      <c r="AK204" s="242">
        <f>IF($B204="","",SUMIFS(TINH_TEC!$J$233:$J$9232,TINH_TEC!$H$233:$H$9232,$B204,TINH_TEC!$C$233:$C$9232,"Téc cát nghiền",TINH_TEC!$F$233:$F$9232,$B$2,TINH_TEC!$G$233:$G$9232,$D$2,TINH_TEC!$B$233:$B$9232,"Đã chốt"))</f>
        <v>0</v>
      </c>
      <c r="AL204" s="242">
        <f t="shared" si="11"/>
        <v>0</v>
      </c>
    </row>
    <row r="205" ht="15.75" customHeight="1">
      <c r="A205" s="237">
        <f>IF($B205&lt;&gt;"",17,"")</f>
        <v>17</v>
      </c>
      <c r="B205" s="250" t="str">
        <f t="array" ref="B205">IFERROR(INDEX(DANH_MUC!$E:$E,20),"")</f>
        <v>28C03261</v>
      </c>
      <c r="C205" s="251">
        <f>IF(C$4&gt;DAY(EOMONTH(DATE($D$2,$B$2,1),0)),"",IFERROR(SUMIFS(DATA_GOC!$H:$H,DATA_GOC!$A:$A,"BOM",DATA_GOC!$D:$D,$B205,DATA_GOC!$E:$E,"Téc cát nghiền",DATA_GOC!$F:$F,"Xuất nội bộ từ téc",DATA_GOC!$B:$B,DATE($D$2,$B$2,C$4)),0))</f>
        <v>0</v>
      </c>
      <c r="D205" s="251">
        <f>IF(D$4&gt;DAY(EOMONTH(DATE($D$2,$B$2,1),0)),"",IFERROR(SUMIFS(DATA_GOC!$H:$H,DATA_GOC!$A:$A,"BOM",DATA_GOC!$D:$D,$B205,DATA_GOC!$E:$E,"Téc cát nghiền",DATA_GOC!$F:$F,"Xuất nội bộ từ téc",DATA_GOC!$B:$B,DATE($D$2,$B$2,D$4)),0))</f>
        <v>0</v>
      </c>
      <c r="E205" s="251">
        <f>IF(E$4&gt;DAY(EOMONTH(DATE($D$2,$B$2,1),0)),"",IFERROR(SUMIFS(DATA_GOC!$H:$H,DATA_GOC!$A:$A,"BOM",DATA_GOC!$D:$D,$B205,DATA_GOC!$E:$E,"Téc cát nghiền",DATA_GOC!$F:$F,"Xuất nội bộ từ téc",DATA_GOC!$B:$B,DATE($D$2,$B$2,E$4)),0))</f>
        <v>0</v>
      </c>
      <c r="F205" s="251">
        <f>IF(F$4&gt;DAY(EOMONTH(DATE($D$2,$B$2,1),0)),"",IFERROR(SUMIFS(DATA_GOC!$H:$H,DATA_GOC!$A:$A,"BOM",DATA_GOC!$D:$D,$B205,DATA_GOC!$E:$E,"Téc cát nghiền",DATA_GOC!$F:$F,"Xuất nội bộ từ téc",DATA_GOC!$B:$B,DATE($D$2,$B$2,F$4)),0))</f>
        <v>0</v>
      </c>
      <c r="G205" s="251">
        <f>IF(G$4&gt;DAY(EOMONTH(DATE($D$2,$B$2,1),0)),"",IFERROR(SUMIFS(DATA_GOC!$H:$H,DATA_GOC!$A:$A,"BOM",DATA_GOC!$D:$D,$B205,DATA_GOC!$E:$E,"Téc cát nghiền",DATA_GOC!$F:$F,"Xuất nội bộ từ téc",DATA_GOC!$B:$B,DATE($D$2,$B$2,G$4)),0))</f>
        <v>0</v>
      </c>
      <c r="H205" s="251">
        <f>IF(H$4&gt;DAY(EOMONTH(DATE($D$2,$B$2,1),0)),"",IFERROR(SUMIFS(DATA_GOC!$H:$H,DATA_GOC!$A:$A,"BOM",DATA_GOC!$D:$D,$B205,DATA_GOC!$E:$E,"Téc cát nghiền",DATA_GOC!$F:$F,"Xuất nội bộ từ téc",DATA_GOC!$B:$B,DATE($D$2,$B$2,H$4)),0))</f>
        <v>0</v>
      </c>
      <c r="I205" s="251">
        <f>IF(I$4&gt;DAY(EOMONTH(DATE($D$2,$B$2,1),0)),"",IFERROR(SUMIFS(DATA_GOC!$H:$H,DATA_GOC!$A:$A,"BOM",DATA_GOC!$D:$D,$B205,DATA_GOC!$E:$E,"Téc cát nghiền",DATA_GOC!$F:$F,"Xuất nội bộ từ téc",DATA_GOC!$B:$B,DATE($D$2,$B$2,I$4)),0))</f>
        <v>0</v>
      </c>
      <c r="J205" s="251">
        <f>IF(J$4&gt;DAY(EOMONTH(DATE($D$2,$B$2,1),0)),"",IFERROR(SUMIFS(DATA_GOC!$H:$H,DATA_GOC!$A:$A,"BOM",DATA_GOC!$D:$D,$B205,DATA_GOC!$E:$E,"Téc cát nghiền",DATA_GOC!$F:$F,"Xuất nội bộ từ téc",DATA_GOC!$B:$B,DATE($D$2,$B$2,J$4)),0))</f>
        <v>0</v>
      </c>
      <c r="K205" s="251">
        <f>IF(K$4&gt;DAY(EOMONTH(DATE($D$2,$B$2,1),0)),"",IFERROR(SUMIFS(DATA_GOC!$H:$H,DATA_GOC!$A:$A,"BOM",DATA_GOC!$D:$D,$B205,DATA_GOC!$E:$E,"Téc cát nghiền",DATA_GOC!$F:$F,"Xuất nội bộ từ téc",DATA_GOC!$B:$B,DATE($D$2,$B$2,K$4)),0))</f>
        <v>0</v>
      </c>
      <c r="L205" s="251">
        <f>IF(L$4&gt;DAY(EOMONTH(DATE($D$2,$B$2,1),0)),"",IFERROR(SUMIFS(DATA_GOC!$H:$H,DATA_GOC!$A:$A,"BOM",DATA_GOC!$D:$D,$B205,DATA_GOC!$E:$E,"Téc cát nghiền",DATA_GOC!$F:$F,"Xuất nội bộ từ téc",DATA_GOC!$B:$B,DATE($D$2,$B$2,L$4)),0))</f>
        <v>0</v>
      </c>
      <c r="M205" s="251">
        <f>IF(M$4&gt;DAY(EOMONTH(DATE($D$2,$B$2,1),0)),"",IFERROR(SUMIFS(DATA_GOC!$H:$H,DATA_GOC!$A:$A,"BOM",DATA_GOC!$D:$D,$B205,DATA_GOC!$E:$E,"Téc cát nghiền",DATA_GOC!$F:$F,"Xuất nội bộ từ téc",DATA_GOC!$B:$B,DATE($D$2,$B$2,M$4)),0))</f>
        <v>0</v>
      </c>
      <c r="N205" s="251">
        <f>IF(N$4&gt;DAY(EOMONTH(DATE($D$2,$B$2,1),0)),"",IFERROR(SUMIFS(DATA_GOC!$H:$H,DATA_GOC!$A:$A,"BOM",DATA_GOC!$D:$D,$B205,DATA_GOC!$E:$E,"Téc cát nghiền",DATA_GOC!$F:$F,"Xuất nội bộ từ téc",DATA_GOC!$B:$B,DATE($D$2,$B$2,N$4)),0))</f>
        <v>0</v>
      </c>
      <c r="O205" s="251">
        <f>IF(O$4&gt;DAY(EOMONTH(DATE($D$2,$B$2,1),0)),"",IFERROR(SUMIFS(DATA_GOC!$H:$H,DATA_GOC!$A:$A,"BOM",DATA_GOC!$D:$D,$B205,DATA_GOC!$E:$E,"Téc cát nghiền",DATA_GOC!$F:$F,"Xuất nội bộ từ téc",DATA_GOC!$B:$B,DATE($D$2,$B$2,O$4)),0))</f>
        <v>0</v>
      </c>
      <c r="P205" s="251">
        <f>IF(P$4&gt;DAY(EOMONTH(DATE($D$2,$B$2,1),0)),"",IFERROR(SUMIFS(DATA_GOC!$H:$H,DATA_GOC!$A:$A,"BOM",DATA_GOC!$D:$D,$B205,DATA_GOC!$E:$E,"Téc cát nghiền",DATA_GOC!$F:$F,"Xuất nội bộ từ téc",DATA_GOC!$B:$B,DATE($D$2,$B$2,P$4)),0))</f>
        <v>0</v>
      </c>
      <c r="Q205" s="251">
        <f>IF(Q$4&gt;DAY(EOMONTH(DATE($D$2,$B$2,1),0)),"",IFERROR(SUMIFS(DATA_GOC!$H:$H,DATA_GOC!$A:$A,"BOM",DATA_GOC!$D:$D,$B205,DATA_GOC!$E:$E,"Téc cát nghiền",DATA_GOC!$F:$F,"Xuất nội bộ từ téc",DATA_GOC!$B:$B,DATE($D$2,$B$2,Q$4)),0))</f>
        <v>0</v>
      </c>
      <c r="R205" s="251">
        <f>IF(R$4&gt;DAY(EOMONTH(DATE($D$2,$B$2,1),0)),"",IFERROR(SUMIFS(DATA_GOC!$H:$H,DATA_GOC!$A:$A,"BOM",DATA_GOC!$D:$D,$B205,DATA_GOC!$E:$E,"Téc cát nghiền",DATA_GOC!$F:$F,"Xuất nội bộ từ téc",DATA_GOC!$B:$B,DATE($D$2,$B$2,R$4)),0))</f>
        <v>0</v>
      </c>
      <c r="S205" s="251">
        <f>IF(S$4&gt;DAY(EOMONTH(DATE($D$2,$B$2,1),0)),"",IFERROR(SUMIFS(DATA_GOC!$H:$H,DATA_GOC!$A:$A,"BOM",DATA_GOC!$D:$D,$B205,DATA_GOC!$E:$E,"Téc cát nghiền",DATA_GOC!$F:$F,"Xuất nội bộ từ téc",DATA_GOC!$B:$B,DATE($D$2,$B$2,S$4)),0))</f>
        <v>0</v>
      </c>
      <c r="T205" s="251">
        <f>IF(T$4&gt;DAY(EOMONTH(DATE($D$2,$B$2,1),0)),"",IFERROR(SUMIFS(DATA_GOC!$H:$H,DATA_GOC!$A:$A,"BOM",DATA_GOC!$D:$D,$B205,DATA_GOC!$E:$E,"Téc cát nghiền",DATA_GOC!$F:$F,"Xuất nội bộ từ téc",DATA_GOC!$B:$B,DATE($D$2,$B$2,T$4)),0))</f>
        <v>0</v>
      </c>
      <c r="U205" s="251">
        <f>IF(U$4&gt;DAY(EOMONTH(DATE($D$2,$B$2,1),0)),"",IFERROR(SUMIFS(DATA_GOC!$H:$H,DATA_GOC!$A:$A,"BOM",DATA_GOC!$D:$D,$B205,DATA_GOC!$E:$E,"Téc cát nghiền",DATA_GOC!$F:$F,"Xuất nội bộ từ téc",DATA_GOC!$B:$B,DATE($D$2,$B$2,U$4)),0))</f>
        <v>0</v>
      </c>
      <c r="V205" s="251">
        <f>IF(V$4&gt;DAY(EOMONTH(DATE($D$2,$B$2,1),0)),"",IFERROR(SUMIFS(DATA_GOC!$H:$H,DATA_GOC!$A:$A,"BOM",DATA_GOC!$D:$D,$B205,DATA_GOC!$E:$E,"Téc cát nghiền",DATA_GOC!$F:$F,"Xuất nội bộ từ téc",DATA_GOC!$B:$B,DATE($D$2,$B$2,V$4)),0))</f>
        <v>0</v>
      </c>
      <c r="W205" s="251">
        <f>IF(W$4&gt;DAY(EOMONTH(DATE($D$2,$B$2,1),0)),"",IFERROR(SUMIFS(DATA_GOC!$H:$H,DATA_GOC!$A:$A,"BOM",DATA_GOC!$D:$D,$B205,DATA_GOC!$E:$E,"Téc cát nghiền",DATA_GOC!$F:$F,"Xuất nội bộ từ téc",DATA_GOC!$B:$B,DATE($D$2,$B$2,W$4)),0))</f>
        <v>0</v>
      </c>
      <c r="X205" s="251">
        <f>IF(X$4&gt;DAY(EOMONTH(DATE($D$2,$B$2,1),0)),"",IFERROR(SUMIFS(DATA_GOC!$H:$H,DATA_GOC!$A:$A,"BOM",DATA_GOC!$D:$D,$B205,DATA_GOC!$E:$E,"Téc cát nghiền",DATA_GOC!$F:$F,"Xuất nội bộ từ téc",DATA_GOC!$B:$B,DATE($D$2,$B$2,X$4)),0))</f>
        <v>0</v>
      </c>
      <c r="Y205" s="251">
        <f>IF(Y$4&gt;DAY(EOMONTH(DATE($D$2,$B$2,1),0)),"",IFERROR(SUMIFS(DATA_GOC!$H:$H,DATA_GOC!$A:$A,"BOM",DATA_GOC!$D:$D,$B205,DATA_GOC!$E:$E,"Téc cát nghiền",DATA_GOC!$F:$F,"Xuất nội bộ từ téc",DATA_GOC!$B:$B,DATE($D$2,$B$2,Y$4)),0))</f>
        <v>0</v>
      </c>
      <c r="Z205" s="251">
        <f>IF(Z$4&gt;DAY(EOMONTH(DATE($D$2,$B$2,1),0)),"",IFERROR(SUMIFS(DATA_GOC!$H:$H,DATA_GOC!$A:$A,"BOM",DATA_GOC!$D:$D,$B205,DATA_GOC!$E:$E,"Téc cát nghiền",DATA_GOC!$F:$F,"Xuất nội bộ từ téc",DATA_GOC!$B:$B,DATE($D$2,$B$2,Z$4)),0))</f>
        <v>0</v>
      </c>
      <c r="AA205" s="251">
        <f>IF(AA$4&gt;DAY(EOMONTH(DATE($D$2,$B$2,1),0)),"",IFERROR(SUMIFS(DATA_GOC!$H:$H,DATA_GOC!$A:$A,"BOM",DATA_GOC!$D:$D,$B205,DATA_GOC!$E:$E,"Téc cát nghiền",DATA_GOC!$F:$F,"Xuất nội bộ từ téc",DATA_GOC!$B:$B,DATE($D$2,$B$2,AA$4)),0))</f>
        <v>0</v>
      </c>
      <c r="AB205" s="251">
        <f>IF(AB$4&gt;DAY(EOMONTH(DATE($D$2,$B$2,1),0)),"",IFERROR(SUMIFS(DATA_GOC!$H:$H,DATA_GOC!$A:$A,"BOM",DATA_GOC!$D:$D,$B205,DATA_GOC!$E:$E,"Téc cát nghiền",DATA_GOC!$F:$F,"Xuất nội bộ từ téc",DATA_GOC!$B:$B,DATE($D$2,$B$2,AB$4)),0))</f>
        <v>0</v>
      </c>
      <c r="AC205" s="251">
        <f>IF(AC$4&gt;DAY(EOMONTH(DATE($D$2,$B$2,1),0)),"",IFERROR(SUMIFS(DATA_GOC!$H:$H,DATA_GOC!$A:$A,"BOM",DATA_GOC!$D:$D,$B205,DATA_GOC!$E:$E,"Téc cát nghiền",DATA_GOC!$F:$F,"Xuất nội bộ từ téc",DATA_GOC!$B:$B,DATE($D$2,$B$2,AC$4)),0))</f>
        <v>0</v>
      </c>
      <c r="AD205" s="251">
        <f>IF(AD$4&gt;DAY(EOMONTH(DATE($D$2,$B$2,1),0)),"",IFERROR(SUMIFS(DATA_GOC!$H:$H,DATA_GOC!$A:$A,"BOM",DATA_GOC!$D:$D,$B205,DATA_GOC!$E:$E,"Téc cát nghiền",DATA_GOC!$F:$F,"Xuất nội bộ từ téc",DATA_GOC!$B:$B,DATE($D$2,$B$2,AD$4)),0))</f>
        <v>0</v>
      </c>
      <c r="AE205" s="251">
        <f>IF(AE$4&gt;DAY(EOMONTH(DATE($D$2,$B$2,1),0)),"",IFERROR(SUMIFS(DATA_GOC!$H:$H,DATA_GOC!$A:$A,"BOM",DATA_GOC!$D:$D,$B205,DATA_GOC!$E:$E,"Téc cát nghiền",DATA_GOC!$F:$F,"Xuất nội bộ từ téc",DATA_GOC!$B:$B,DATE($D$2,$B$2,AE$4)),0))</f>
        <v>0</v>
      </c>
      <c r="AF205" s="251">
        <f>IF(AF$4&gt;DAY(EOMONTH(DATE($D$2,$B$2,1),0)),"",IFERROR(SUMIFS(DATA_GOC!$H:$H,DATA_GOC!$A:$A,"BOM",DATA_GOC!$D:$D,$B205,DATA_GOC!$E:$E,"Téc cát nghiền",DATA_GOC!$F:$F,"Xuất nội bộ từ téc",DATA_GOC!$B:$B,DATE($D$2,$B$2,AF$4)),0))</f>
        <v>0</v>
      </c>
      <c r="AG205" s="251">
        <f>IF(AG$4&gt;DAY(EOMONTH(DATE($D$2,$B$2,1),0)),"",IFERROR(SUMIFS(DATA_GOC!$H:$H,DATA_GOC!$A:$A,"BOM",DATA_GOC!$D:$D,$B205,DATA_GOC!$E:$E,"Téc cát nghiền",DATA_GOC!$F:$F,"Xuất nội bộ từ téc",DATA_GOC!$B:$B,DATE($D$2,$B$2,AG$4)),0))</f>
        <v>0</v>
      </c>
      <c r="AH205" s="252">
        <f t="shared" si="10"/>
        <v>0</v>
      </c>
      <c r="AI205" s="241"/>
      <c r="AJ205" s="242">
        <f>IF($B205="","",SUMIFS(TINH_TEC!$K$233:$K$9232,TINH_TEC!$H$233:$H$9232,$B205,TINH_TEC!$C$233:$C$9232,"Téc cát nghiền",TINH_TEC!$F$233:$F$9232,$B$2,TINH_TEC!$G$233:$G$9232,$D$2,TINH_TEC!$B$233:$B$9232,"Đã chốt"))</f>
        <v>0</v>
      </c>
      <c r="AK205" s="242">
        <f>IF($B205="","",SUMIFS(TINH_TEC!$J$233:$J$9232,TINH_TEC!$H$233:$H$9232,$B205,TINH_TEC!$C$233:$C$9232,"Téc cát nghiền",TINH_TEC!$F$233:$F$9232,$B$2,TINH_TEC!$G$233:$G$9232,$D$2,TINH_TEC!$B$233:$B$9232,"Đã chốt"))</f>
        <v>0</v>
      </c>
      <c r="AL205" s="242">
        <f t="shared" si="11"/>
        <v>0</v>
      </c>
    </row>
    <row r="206" ht="15.75" customHeight="1">
      <c r="A206" s="237">
        <f>IF($B206&lt;&gt;"",18,"")</f>
        <v>18</v>
      </c>
      <c r="B206" s="250" t="str">
        <f t="array" ref="B206">IFERROR(INDEX(DANH_MUC!$E:$E,21),"")</f>
        <v>28C03323</v>
      </c>
      <c r="C206" s="251">
        <f>IF(C$4&gt;DAY(EOMONTH(DATE($D$2,$B$2,1),0)),"",IFERROR(SUMIFS(DATA_GOC!$H:$H,DATA_GOC!$A:$A,"BOM",DATA_GOC!$D:$D,$B206,DATA_GOC!$E:$E,"Téc cát nghiền",DATA_GOC!$F:$F,"Xuất nội bộ từ téc",DATA_GOC!$B:$B,DATE($D$2,$B$2,C$4)),0))</f>
        <v>0</v>
      </c>
      <c r="D206" s="251">
        <f>IF(D$4&gt;DAY(EOMONTH(DATE($D$2,$B$2,1),0)),"",IFERROR(SUMIFS(DATA_GOC!$H:$H,DATA_GOC!$A:$A,"BOM",DATA_GOC!$D:$D,$B206,DATA_GOC!$E:$E,"Téc cát nghiền",DATA_GOC!$F:$F,"Xuất nội bộ từ téc",DATA_GOC!$B:$B,DATE($D$2,$B$2,D$4)),0))</f>
        <v>0</v>
      </c>
      <c r="E206" s="251">
        <f>IF(E$4&gt;DAY(EOMONTH(DATE($D$2,$B$2,1),0)),"",IFERROR(SUMIFS(DATA_GOC!$H:$H,DATA_GOC!$A:$A,"BOM",DATA_GOC!$D:$D,$B206,DATA_GOC!$E:$E,"Téc cát nghiền",DATA_GOC!$F:$F,"Xuất nội bộ từ téc",DATA_GOC!$B:$B,DATE($D$2,$B$2,E$4)),0))</f>
        <v>0</v>
      </c>
      <c r="F206" s="251">
        <f>IF(F$4&gt;DAY(EOMONTH(DATE($D$2,$B$2,1),0)),"",IFERROR(SUMIFS(DATA_GOC!$H:$H,DATA_GOC!$A:$A,"BOM",DATA_GOC!$D:$D,$B206,DATA_GOC!$E:$E,"Téc cát nghiền",DATA_GOC!$F:$F,"Xuất nội bộ từ téc",DATA_GOC!$B:$B,DATE($D$2,$B$2,F$4)),0))</f>
        <v>0</v>
      </c>
      <c r="G206" s="251">
        <f>IF(G$4&gt;DAY(EOMONTH(DATE($D$2,$B$2,1),0)),"",IFERROR(SUMIFS(DATA_GOC!$H:$H,DATA_GOC!$A:$A,"BOM",DATA_GOC!$D:$D,$B206,DATA_GOC!$E:$E,"Téc cát nghiền",DATA_GOC!$F:$F,"Xuất nội bộ từ téc",DATA_GOC!$B:$B,DATE($D$2,$B$2,G$4)),0))</f>
        <v>0</v>
      </c>
      <c r="H206" s="251">
        <f>IF(H$4&gt;DAY(EOMONTH(DATE($D$2,$B$2,1),0)),"",IFERROR(SUMIFS(DATA_GOC!$H:$H,DATA_GOC!$A:$A,"BOM",DATA_GOC!$D:$D,$B206,DATA_GOC!$E:$E,"Téc cát nghiền",DATA_GOC!$F:$F,"Xuất nội bộ từ téc",DATA_GOC!$B:$B,DATE($D$2,$B$2,H$4)),0))</f>
        <v>0</v>
      </c>
      <c r="I206" s="251">
        <f>IF(I$4&gt;DAY(EOMONTH(DATE($D$2,$B$2,1),0)),"",IFERROR(SUMIFS(DATA_GOC!$H:$H,DATA_GOC!$A:$A,"BOM",DATA_GOC!$D:$D,$B206,DATA_GOC!$E:$E,"Téc cát nghiền",DATA_GOC!$F:$F,"Xuất nội bộ từ téc",DATA_GOC!$B:$B,DATE($D$2,$B$2,I$4)),0))</f>
        <v>0</v>
      </c>
      <c r="J206" s="251">
        <f>IF(J$4&gt;DAY(EOMONTH(DATE($D$2,$B$2,1),0)),"",IFERROR(SUMIFS(DATA_GOC!$H:$H,DATA_GOC!$A:$A,"BOM",DATA_GOC!$D:$D,$B206,DATA_GOC!$E:$E,"Téc cát nghiền",DATA_GOC!$F:$F,"Xuất nội bộ từ téc",DATA_GOC!$B:$B,DATE($D$2,$B$2,J$4)),0))</f>
        <v>0</v>
      </c>
      <c r="K206" s="251">
        <f>IF(K$4&gt;DAY(EOMONTH(DATE($D$2,$B$2,1),0)),"",IFERROR(SUMIFS(DATA_GOC!$H:$H,DATA_GOC!$A:$A,"BOM",DATA_GOC!$D:$D,$B206,DATA_GOC!$E:$E,"Téc cát nghiền",DATA_GOC!$F:$F,"Xuất nội bộ từ téc",DATA_GOC!$B:$B,DATE($D$2,$B$2,K$4)),0))</f>
        <v>0</v>
      </c>
      <c r="L206" s="251">
        <f>IF(L$4&gt;DAY(EOMONTH(DATE($D$2,$B$2,1),0)),"",IFERROR(SUMIFS(DATA_GOC!$H:$H,DATA_GOC!$A:$A,"BOM",DATA_GOC!$D:$D,$B206,DATA_GOC!$E:$E,"Téc cát nghiền",DATA_GOC!$F:$F,"Xuất nội bộ từ téc",DATA_GOC!$B:$B,DATE($D$2,$B$2,L$4)),0))</f>
        <v>0</v>
      </c>
      <c r="M206" s="251">
        <f>IF(M$4&gt;DAY(EOMONTH(DATE($D$2,$B$2,1),0)),"",IFERROR(SUMIFS(DATA_GOC!$H:$H,DATA_GOC!$A:$A,"BOM",DATA_GOC!$D:$D,$B206,DATA_GOC!$E:$E,"Téc cát nghiền",DATA_GOC!$F:$F,"Xuất nội bộ từ téc",DATA_GOC!$B:$B,DATE($D$2,$B$2,M$4)),0))</f>
        <v>0</v>
      </c>
      <c r="N206" s="251">
        <f>IF(N$4&gt;DAY(EOMONTH(DATE($D$2,$B$2,1),0)),"",IFERROR(SUMIFS(DATA_GOC!$H:$H,DATA_GOC!$A:$A,"BOM",DATA_GOC!$D:$D,$B206,DATA_GOC!$E:$E,"Téc cát nghiền",DATA_GOC!$F:$F,"Xuất nội bộ từ téc",DATA_GOC!$B:$B,DATE($D$2,$B$2,N$4)),0))</f>
        <v>0</v>
      </c>
      <c r="O206" s="251">
        <f>IF(O$4&gt;DAY(EOMONTH(DATE($D$2,$B$2,1),0)),"",IFERROR(SUMIFS(DATA_GOC!$H:$H,DATA_GOC!$A:$A,"BOM",DATA_GOC!$D:$D,$B206,DATA_GOC!$E:$E,"Téc cát nghiền",DATA_GOC!$F:$F,"Xuất nội bộ từ téc",DATA_GOC!$B:$B,DATE($D$2,$B$2,O$4)),0))</f>
        <v>0</v>
      </c>
      <c r="P206" s="251">
        <f>IF(P$4&gt;DAY(EOMONTH(DATE($D$2,$B$2,1),0)),"",IFERROR(SUMIFS(DATA_GOC!$H:$H,DATA_GOC!$A:$A,"BOM",DATA_GOC!$D:$D,$B206,DATA_GOC!$E:$E,"Téc cát nghiền",DATA_GOC!$F:$F,"Xuất nội bộ từ téc",DATA_GOC!$B:$B,DATE($D$2,$B$2,P$4)),0))</f>
        <v>0</v>
      </c>
      <c r="Q206" s="251">
        <f>IF(Q$4&gt;DAY(EOMONTH(DATE($D$2,$B$2,1),0)),"",IFERROR(SUMIFS(DATA_GOC!$H:$H,DATA_GOC!$A:$A,"BOM",DATA_GOC!$D:$D,$B206,DATA_GOC!$E:$E,"Téc cát nghiền",DATA_GOC!$F:$F,"Xuất nội bộ từ téc",DATA_GOC!$B:$B,DATE($D$2,$B$2,Q$4)),0))</f>
        <v>0</v>
      </c>
      <c r="R206" s="251">
        <f>IF(R$4&gt;DAY(EOMONTH(DATE($D$2,$B$2,1),0)),"",IFERROR(SUMIFS(DATA_GOC!$H:$H,DATA_GOC!$A:$A,"BOM",DATA_GOC!$D:$D,$B206,DATA_GOC!$E:$E,"Téc cát nghiền",DATA_GOC!$F:$F,"Xuất nội bộ từ téc",DATA_GOC!$B:$B,DATE($D$2,$B$2,R$4)),0))</f>
        <v>0</v>
      </c>
      <c r="S206" s="251">
        <f>IF(S$4&gt;DAY(EOMONTH(DATE($D$2,$B$2,1),0)),"",IFERROR(SUMIFS(DATA_GOC!$H:$H,DATA_GOC!$A:$A,"BOM",DATA_GOC!$D:$D,$B206,DATA_GOC!$E:$E,"Téc cát nghiền",DATA_GOC!$F:$F,"Xuất nội bộ từ téc",DATA_GOC!$B:$B,DATE($D$2,$B$2,S$4)),0))</f>
        <v>0</v>
      </c>
      <c r="T206" s="251">
        <f>IF(T$4&gt;DAY(EOMONTH(DATE($D$2,$B$2,1),0)),"",IFERROR(SUMIFS(DATA_GOC!$H:$H,DATA_GOC!$A:$A,"BOM",DATA_GOC!$D:$D,$B206,DATA_GOC!$E:$E,"Téc cát nghiền",DATA_GOC!$F:$F,"Xuất nội bộ từ téc",DATA_GOC!$B:$B,DATE($D$2,$B$2,T$4)),0))</f>
        <v>0</v>
      </c>
      <c r="U206" s="251">
        <f>IF(U$4&gt;DAY(EOMONTH(DATE($D$2,$B$2,1),0)),"",IFERROR(SUMIFS(DATA_GOC!$H:$H,DATA_GOC!$A:$A,"BOM",DATA_GOC!$D:$D,$B206,DATA_GOC!$E:$E,"Téc cát nghiền",DATA_GOC!$F:$F,"Xuất nội bộ từ téc",DATA_GOC!$B:$B,DATE($D$2,$B$2,U$4)),0))</f>
        <v>0</v>
      </c>
      <c r="V206" s="251">
        <f>IF(V$4&gt;DAY(EOMONTH(DATE($D$2,$B$2,1),0)),"",IFERROR(SUMIFS(DATA_GOC!$H:$H,DATA_GOC!$A:$A,"BOM",DATA_GOC!$D:$D,$B206,DATA_GOC!$E:$E,"Téc cát nghiền",DATA_GOC!$F:$F,"Xuất nội bộ từ téc",DATA_GOC!$B:$B,DATE($D$2,$B$2,V$4)),0))</f>
        <v>0</v>
      </c>
      <c r="W206" s="251">
        <f>IF(W$4&gt;DAY(EOMONTH(DATE($D$2,$B$2,1),0)),"",IFERROR(SUMIFS(DATA_GOC!$H:$H,DATA_GOC!$A:$A,"BOM",DATA_GOC!$D:$D,$B206,DATA_GOC!$E:$E,"Téc cát nghiền",DATA_GOC!$F:$F,"Xuất nội bộ từ téc",DATA_GOC!$B:$B,DATE($D$2,$B$2,W$4)),0))</f>
        <v>0</v>
      </c>
      <c r="X206" s="251">
        <f>IF(X$4&gt;DAY(EOMONTH(DATE($D$2,$B$2,1),0)),"",IFERROR(SUMIFS(DATA_GOC!$H:$H,DATA_GOC!$A:$A,"BOM",DATA_GOC!$D:$D,$B206,DATA_GOC!$E:$E,"Téc cát nghiền",DATA_GOC!$F:$F,"Xuất nội bộ từ téc",DATA_GOC!$B:$B,DATE($D$2,$B$2,X$4)),0))</f>
        <v>0</v>
      </c>
      <c r="Y206" s="251">
        <f>IF(Y$4&gt;DAY(EOMONTH(DATE($D$2,$B$2,1),0)),"",IFERROR(SUMIFS(DATA_GOC!$H:$H,DATA_GOC!$A:$A,"BOM",DATA_GOC!$D:$D,$B206,DATA_GOC!$E:$E,"Téc cát nghiền",DATA_GOC!$F:$F,"Xuất nội bộ từ téc",DATA_GOC!$B:$B,DATE($D$2,$B$2,Y$4)),0))</f>
        <v>0</v>
      </c>
      <c r="Z206" s="251">
        <f>IF(Z$4&gt;DAY(EOMONTH(DATE($D$2,$B$2,1),0)),"",IFERROR(SUMIFS(DATA_GOC!$H:$H,DATA_GOC!$A:$A,"BOM",DATA_GOC!$D:$D,$B206,DATA_GOC!$E:$E,"Téc cát nghiền",DATA_GOC!$F:$F,"Xuất nội bộ từ téc",DATA_GOC!$B:$B,DATE($D$2,$B$2,Z$4)),0))</f>
        <v>0</v>
      </c>
      <c r="AA206" s="251">
        <f>IF(AA$4&gt;DAY(EOMONTH(DATE($D$2,$B$2,1),0)),"",IFERROR(SUMIFS(DATA_GOC!$H:$H,DATA_GOC!$A:$A,"BOM",DATA_GOC!$D:$D,$B206,DATA_GOC!$E:$E,"Téc cát nghiền",DATA_GOC!$F:$F,"Xuất nội bộ từ téc",DATA_GOC!$B:$B,DATE($D$2,$B$2,AA$4)),0))</f>
        <v>0</v>
      </c>
      <c r="AB206" s="251">
        <f>IF(AB$4&gt;DAY(EOMONTH(DATE($D$2,$B$2,1),0)),"",IFERROR(SUMIFS(DATA_GOC!$H:$H,DATA_GOC!$A:$A,"BOM",DATA_GOC!$D:$D,$B206,DATA_GOC!$E:$E,"Téc cát nghiền",DATA_GOC!$F:$F,"Xuất nội bộ từ téc",DATA_GOC!$B:$B,DATE($D$2,$B$2,AB$4)),0))</f>
        <v>0</v>
      </c>
      <c r="AC206" s="251">
        <f>IF(AC$4&gt;DAY(EOMONTH(DATE($D$2,$B$2,1),0)),"",IFERROR(SUMIFS(DATA_GOC!$H:$H,DATA_GOC!$A:$A,"BOM",DATA_GOC!$D:$D,$B206,DATA_GOC!$E:$E,"Téc cát nghiền",DATA_GOC!$F:$F,"Xuất nội bộ từ téc",DATA_GOC!$B:$B,DATE($D$2,$B$2,AC$4)),0))</f>
        <v>0</v>
      </c>
      <c r="AD206" s="251">
        <f>IF(AD$4&gt;DAY(EOMONTH(DATE($D$2,$B$2,1),0)),"",IFERROR(SUMIFS(DATA_GOC!$H:$H,DATA_GOC!$A:$A,"BOM",DATA_GOC!$D:$D,$B206,DATA_GOC!$E:$E,"Téc cát nghiền",DATA_GOC!$F:$F,"Xuất nội bộ từ téc",DATA_GOC!$B:$B,DATE($D$2,$B$2,AD$4)),0))</f>
        <v>0</v>
      </c>
      <c r="AE206" s="251">
        <f>IF(AE$4&gt;DAY(EOMONTH(DATE($D$2,$B$2,1),0)),"",IFERROR(SUMIFS(DATA_GOC!$H:$H,DATA_GOC!$A:$A,"BOM",DATA_GOC!$D:$D,$B206,DATA_GOC!$E:$E,"Téc cát nghiền",DATA_GOC!$F:$F,"Xuất nội bộ từ téc",DATA_GOC!$B:$B,DATE($D$2,$B$2,AE$4)),0))</f>
        <v>0</v>
      </c>
      <c r="AF206" s="251">
        <f>IF(AF$4&gt;DAY(EOMONTH(DATE($D$2,$B$2,1),0)),"",IFERROR(SUMIFS(DATA_GOC!$H:$H,DATA_GOC!$A:$A,"BOM",DATA_GOC!$D:$D,$B206,DATA_GOC!$E:$E,"Téc cát nghiền",DATA_GOC!$F:$F,"Xuất nội bộ từ téc",DATA_GOC!$B:$B,DATE($D$2,$B$2,AF$4)),0))</f>
        <v>0</v>
      </c>
      <c r="AG206" s="251">
        <f>IF(AG$4&gt;DAY(EOMONTH(DATE($D$2,$B$2,1),0)),"",IFERROR(SUMIFS(DATA_GOC!$H:$H,DATA_GOC!$A:$A,"BOM",DATA_GOC!$D:$D,$B206,DATA_GOC!$E:$E,"Téc cát nghiền",DATA_GOC!$F:$F,"Xuất nội bộ từ téc",DATA_GOC!$B:$B,DATE($D$2,$B$2,AG$4)),0))</f>
        <v>0</v>
      </c>
      <c r="AH206" s="252">
        <f t="shared" si="10"/>
        <v>0</v>
      </c>
      <c r="AI206" s="241"/>
      <c r="AJ206" s="242">
        <f>IF($B206="","",SUMIFS(TINH_TEC!$K$233:$K$9232,TINH_TEC!$H$233:$H$9232,$B206,TINH_TEC!$C$233:$C$9232,"Téc cát nghiền",TINH_TEC!$F$233:$F$9232,$B$2,TINH_TEC!$G$233:$G$9232,$D$2,TINH_TEC!$B$233:$B$9232,"Đã chốt"))</f>
        <v>0</v>
      </c>
      <c r="AK206" s="242">
        <f>IF($B206="","",SUMIFS(TINH_TEC!$J$233:$J$9232,TINH_TEC!$H$233:$H$9232,$B206,TINH_TEC!$C$233:$C$9232,"Téc cát nghiền",TINH_TEC!$F$233:$F$9232,$B$2,TINH_TEC!$G$233:$G$9232,$D$2,TINH_TEC!$B$233:$B$9232,"Đã chốt"))</f>
        <v>0</v>
      </c>
      <c r="AL206" s="242">
        <f t="shared" si="11"/>
        <v>0</v>
      </c>
    </row>
    <row r="207" ht="15.75" customHeight="1">
      <c r="A207" s="237">
        <f>IF($B207&lt;&gt;"",19,"")</f>
        <v>19</v>
      </c>
      <c r="B207" s="250" t="str">
        <f t="array" ref="B207">IFERROR(INDEX(DANH_MUC!$E:$E,22),"")</f>
        <v>28C03385</v>
      </c>
      <c r="C207" s="251">
        <f>IF(C$4&gt;DAY(EOMONTH(DATE($D$2,$B$2,1),0)),"",IFERROR(SUMIFS(DATA_GOC!$H:$H,DATA_GOC!$A:$A,"BOM",DATA_GOC!$D:$D,$B207,DATA_GOC!$E:$E,"Téc cát nghiền",DATA_GOC!$F:$F,"Xuất nội bộ từ téc",DATA_GOC!$B:$B,DATE($D$2,$B$2,C$4)),0))</f>
        <v>0</v>
      </c>
      <c r="D207" s="251">
        <f>IF(D$4&gt;DAY(EOMONTH(DATE($D$2,$B$2,1),0)),"",IFERROR(SUMIFS(DATA_GOC!$H:$H,DATA_GOC!$A:$A,"BOM",DATA_GOC!$D:$D,$B207,DATA_GOC!$E:$E,"Téc cát nghiền",DATA_GOC!$F:$F,"Xuất nội bộ từ téc",DATA_GOC!$B:$B,DATE($D$2,$B$2,D$4)),0))</f>
        <v>0</v>
      </c>
      <c r="E207" s="251">
        <f>IF(E$4&gt;DAY(EOMONTH(DATE($D$2,$B$2,1),0)),"",IFERROR(SUMIFS(DATA_GOC!$H:$H,DATA_GOC!$A:$A,"BOM",DATA_GOC!$D:$D,$B207,DATA_GOC!$E:$E,"Téc cát nghiền",DATA_GOC!$F:$F,"Xuất nội bộ từ téc",DATA_GOC!$B:$B,DATE($D$2,$B$2,E$4)),0))</f>
        <v>0</v>
      </c>
      <c r="F207" s="251">
        <f>IF(F$4&gt;DAY(EOMONTH(DATE($D$2,$B$2,1),0)),"",IFERROR(SUMIFS(DATA_GOC!$H:$H,DATA_GOC!$A:$A,"BOM",DATA_GOC!$D:$D,$B207,DATA_GOC!$E:$E,"Téc cát nghiền",DATA_GOC!$F:$F,"Xuất nội bộ từ téc",DATA_GOC!$B:$B,DATE($D$2,$B$2,F$4)),0))</f>
        <v>0</v>
      </c>
      <c r="G207" s="251">
        <f>IF(G$4&gt;DAY(EOMONTH(DATE($D$2,$B$2,1),0)),"",IFERROR(SUMIFS(DATA_GOC!$H:$H,DATA_GOC!$A:$A,"BOM",DATA_GOC!$D:$D,$B207,DATA_GOC!$E:$E,"Téc cát nghiền",DATA_GOC!$F:$F,"Xuất nội bộ từ téc",DATA_GOC!$B:$B,DATE($D$2,$B$2,G$4)),0))</f>
        <v>0</v>
      </c>
      <c r="H207" s="251">
        <f>IF(H$4&gt;DAY(EOMONTH(DATE($D$2,$B$2,1),0)),"",IFERROR(SUMIFS(DATA_GOC!$H:$H,DATA_GOC!$A:$A,"BOM",DATA_GOC!$D:$D,$B207,DATA_GOC!$E:$E,"Téc cát nghiền",DATA_GOC!$F:$F,"Xuất nội bộ từ téc",DATA_GOC!$B:$B,DATE($D$2,$B$2,H$4)),0))</f>
        <v>0</v>
      </c>
      <c r="I207" s="251">
        <f>IF(I$4&gt;DAY(EOMONTH(DATE($D$2,$B$2,1),0)),"",IFERROR(SUMIFS(DATA_GOC!$H:$H,DATA_GOC!$A:$A,"BOM",DATA_GOC!$D:$D,$B207,DATA_GOC!$E:$E,"Téc cát nghiền",DATA_GOC!$F:$F,"Xuất nội bộ từ téc",DATA_GOC!$B:$B,DATE($D$2,$B$2,I$4)),0))</f>
        <v>0</v>
      </c>
      <c r="J207" s="251">
        <f>IF(J$4&gt;DAY(EOMONTH(DATE($D$2,$B$2,1),0)),"",IFERROR(SUMIFS(DATA_GOC!$H:$H,DATA_GOC!$A:$A,"BOM",DATA_GOC!$D:$D,$B207,DATA_GOC!$E:$E,"Téc cát nghiền",DATA_GOC!$F:$F,"Xuất nội bộ từ téc",DATA_GOC!$B:$B,DATE($D$2,$B$2,J$4)),0))</f>
        <v>0</v>
      </c>
      <c r="K207" s="251">
        <f>IF(K$4&gt;DAY(EOMONTH(DATE($D$2,$B$2,1),0)),"",IFERROR(SUMIFS(DATA_GOC!$H:$H,DATA_GOC!$A:$A,"BOM",DATA_GOC!$D:$D,$B207,DATA_GOC!$E:$E,"Téc cát nghiền",DATA_GOC!$F:$F,"Xuất nội bộ từ téc",DATA_GOC!$B:$B,DATE($D$2,$B$2,K$4)),0))</f>
        <v>0</v>
      </c>
      <c r="L207" s="251">
        <f>IF(L$4&gt;DAY(EOMONTH(DATE($D$2,$B$2,1),0)),"",IFERROR(SUMIFS(DATA_GOC!$H:$H,DATA_GOC!$A:$A,"BOM",DATA_GOC!$D:$D,$B207,DATA_GOC!$E:$E,"Téc cát nghiền",DATA_GOC!$F:$F,"Xuất nội bộ từ téc",DATA_GOC!$B:$B,DATE($D$2,$B$2,L$4)),0))</f>
        <v>0</v>
      </c>
      <c r="M207" s="251">
        <f>IF(M$4&gt;DAY(EOMONTH(DATE($D$2,$B$2,1),0)),"",IFERROR(SUMIFS(DATA_GOC!$H:$H,DATA_GOC!$A:$A,"BOM",DATA_GOC!$D:$D,$B207,DATA_GOC!$E:$E,"Téc cát nghiền",DATA_GOC!$F:$F,"Xuất nội bộ từ téc",DATA_GOC!$B:$B,DATE($D$2,$B$2,M$4)),0))</f>
        <v>0</v>
      </c>
      <c r="N207" s="251">
        <f>IF(N$4&gt;DAY(EOMONTH(DATE($D$2,$B$2,1),0)),"",IFERROR(SUMIFS(DATA_GOC!$H:$H,DATA_GOC!$A:$A,"BOM",DATA_GOC!$D:$D,$B207,DATA_GOC!$E:$E,"Téc cát nghiền",DATA_GOC!$F:$F,"Xuất nội bộ từ téc",DATA_GOC!$B:$B,DATE($D$2,$B$2,N$4)),0))</f>
        <v>0</v>
      </c>
      <c r="O207" s="251">
        <f>IF(O$4&gt;DAY(EOMONTH(DATE($D$2,$B$2,1),0)),"",IFERROR(SUMIFS(DATA_GOC!$H:$H,DATA_GOC!$A:$A,"BOM",DATA_GOC!$D:$D,$B207,DATA_GOC!$E:$E,"Téc cát nghiền",DATA_GOC!$F:$F,"Xuất nội bộ từ téc",DATA_GOC!$B:$B,DATE($D$2,$B$2,O$4)),0))</f>
        <v>0</v>
      </c>
      <c r="P207" s="251">
        <f>IF(P$4&gt;DAY(EOMONTH(DATE($D$2,$B$2,1),0)),"",IFERROR(SUMIFS(DATA_GOC!$H:$H,DATA_GOC!$A:$A,"BOM",DATA_GOC!$D:$D,$B207,DATA_GOC!$E:$E,"Téc cát nghiền",DATA_GOC!$F:$F,"Xuất nội bộ từ téc",DATA_GOC!$B:$B,DATE($D$2,$B$2,P$4)),0))</f>
        <v>0</v>
      </c>
      <c r="Q207" s="251">
        <f>IF(Q$4&gt;DAY(EOMONTH(DATE($D$2,$B$2,1),0)),"",IFERROR(SUMIFS(DATA_GOC!$H:$H,DATA_GOC!$A:$A,"BOM",DATA_GOC!$D:$D,$B207,DATA_GOC!$E:$E,"Téc cát nghiền",DATA_GOC!$F:$F,"Xuất nội bộ từ téc",DATA_GOC!$B:$B,DATE($D$2,$B$2,Q$4)),0))</f>
        <v>0</v>
      </c>
      <c r="R207" s="251">
        <f>IF(R$4&gt;DAY(EOMONTH(DATE($D$2,$B$2,1),0)),"",IFERROR(SUMIFS(DATA_GOC!$H:$H,DATA_GOC!$A:$A,"BOM",DATA_GOC!$D:$D,$B207,DATA_GOC!$E:$E,"Téc cát nghiền",DATA_GOC!$F:$F,"Xuất nội bộ từ téc",DATA_GOC!$B:$B,DATE($D$2,$B$2,R$4)),0))</f>
        <v>0</v>
      </c>
      <c r="S207" s="251">
        <f>IF(S$4&gt;DAY(EOMONTH(DATE($D$2,$B$2,1),0)),"",IFERROR(SUMIFS(DATA_GOC!$H:$H,DATA_GOC!$A:$A,"BOM",DATA_GOC!$D:$D,$B207,DATA_GOC!$E:$E,"Téc cát nghiền",DATA_GOC!$F:$F,"Xuất nội bộ từ téc",DATA_GOC!$B:$B,DATE($D$2,$B$2,S$4)),0))</f>
        <v>0</v>
      </c>
      <c r="T207" s="251">
        <f>IF(T$4&gt;DAY(EOMONTH(DATE($D$2,$B$2,1),0)),"",IFERROR(SUMIFS(DATA_GOC!$H:$H,DATA_GOC!$A:$A,"BOM",DATA_GOC!$D:$D,$B207,DATA_GOC!$E:$E,"Téc cát nghiền",DATA_GOC!$F:$F,"Xuất nội bộ từ téc",DATA_GOC!$B:$B,DATE($D$2,$B$2,T$4)),0))</f>
        <v>0</v>
      </c>
      <c r="U207" s="251">
        <f>IF(U$4&gt;DAY(EOMONTH(DATE($D$2,$B$2,1),0)),"",IFERROR(SUMIFS(DATA_GOC!$H:$H,DATA_GOC!$A:$A,"BOM",DATA_GOC!$D:$D,$B207,DATA_GOC!$E:$E,"Téc cát nghiền",DATA_GOC!$F:$F,"Xuất nội bộ từ téc",DATA_GOC!$B:$B,DATE($D$2,$B$2,U$4)),0))</f>
        <v>0</v>
      </c>
      <c r="V207" s="251">
        <f>IF(V$4&gt;DAY(EOMONTH(DATE($D$2,$B$2,1),0)),"",IFERROR(SUMIFS(DATA_GOC!$H:$H,DATA_GOC!$A:$A,"BOM",DATA_GOC!$D:$D,$B207,DATA_GOC!$E:$E,"Téc cát nghiền",DATA_GOC!$F:$F,"Xuất nội bộ từ téc",DATA_GOC!$B:$B,DATE($D$2,$B$2,V$4)),0))</f>
        <v>0</v>
      </c>
      <c r="W207" s="251">
        <f>IF(W$4&gt;DAY(EOMONTH(DATE($D$2,$B$2,1),0)),"",IFERROR(SUMIFS(DATA_GOC!$H:$H,DATA_GOC!$A:$A,"BOM",DATA_GOC!$D:$D,$B207,DATA_GOC!$E:$E,"Téc cát nghiền",DATA_GOC!$F:$F,"Xuất nội bộ từ téc",DATA_GOC!$B:$B,DATE($D$2,$B$2,W$4)),0))</f>
        <v>0</v>
      </c>
      <c r="X207" s="251">
        <f>IF(X$4&gt;DAY(EOMONTH(DATE($D$2,$B$2,1),0)),"",IFERROR(SUMIFS(DATA_GOC!$H:$H,DATA_GOC!$A:$A,"BOM",DATA_GOC!$D:$D,$B207,DATA_GOC!$E:$E,"Téc cát nghiền",DATA_GOC!$F:$F,"Xuất nội bộ từ téc",DATA_GOC!$B:$B,DATE($D$2,$B$2,X$4)),0))</f>
        <v>0</v>
      </c>
      <c r="Y207" s="251">
        <f>IF(Y$4&gt;DAY(EOMONTH(DATE($D$2,$B$2,1),0)),"",IFERROR(SUMIFS(DATA_GOC!$H:$H,DATA_GOC!$A:$A,"BOM",DATA_GOC!$D:$D,$B207,DATA_GOC!$E:$E,"Téc cát nghiền",DATA_GOC!$F:$F,"Xuất nội bộ từ téc",DATA_GOC!$B:$B,DATE($D$2,$B$2,Y$4)),0))</f>
        <v>0</v>
      </c>
      <c r="Z207" s="251">
        <f>IF(Z$4&gt;DAY(EOMONTH(DATE($D$2,$B$2,1),0)),"",IFERROR(SUMIFS(DATA_GOC!$H:$H,DATA_GOC!$A:$A,"BOM",DATA_GOC!$D:$D,$B207,DATA_GOC!$E:$E,"Téc cát nghiền",DATA_GOC!$F:$F,"Xuất nội bộ từ téc",DATA_GOC!$B:$B,DATE($D$2,$B$2,Z$4)),0))</f>
        <v>0</v>
      </c>
      <c r="AA207" s="251">
        <f>IF(AA$4&gt;DAY(EOMONTH(DATE($D$2,$B$2,1),0)),"",IFERROR(SUMIFS(DATA_GOC!$H:$H,DATA_GOC!$A:$A,"BOM",DATA_GOC!$D:$D,$B207,DATA_GOC!$E:$E,"Téc cát nghiền",DATA_GOC!$F:$F,"Xuất nội bộ từ téc",DATA_GOC!$B:$B,DATE($D$2,$B$2,AA$4)),0))</f>
        <v>0</v>
      </c>
      <c r="AB207" s="251">
        <f>IF(AB$4&gt;DAY(EOMONTH(DATE($D$2,$B$2,1),0)),"",IFERROR(SUMIFS(DATA_GOC!$H:$H,DATA_GOC!$A:$A,"BOM",DATA_GOC!$D:$D,$B207,DATA_GOC!$E:$E,"Téc cát nghiền",DATA_GOC!$F:$F,"Xuất nội bộ từ téc",DATA_GOC!$B:$B,DATE($D$2,$B$2,AB$4)),0))</f>
        <v>0</v>
      </c>
      <c r="AC207" s="251">
        <f>IF(AC$4&gt;DAY(EOMONTH(DATE($D$2,$B$2,1),0)),"",IFERROR(SUMIFS(DATA_GOC!$H:$H,DATA_GOC!$A:$A,"BOM",DATA_GOC!$D:$D,$B207,DATA_GOC!$E:$E,"Téc cát nghiền",DATA_GOC!$F:$F,"Xuất nội bộ từ téc",DATA_GOC!$B:$B,DATE($D$2,$B$2,AC$4)),0))</f>
        <v>0</v>
      </c>
      <c r="AD207" s="251">
        <f>IF(AD$4&gt;DAY(EOMONTH(DATE($D$2,$B$2,1),0)),"",IFERROR(SUMIFS(DATA_GOC!$H:$H,DATA_GOC!$A:$A,"BOM",DATA_GOC!$D:$D,$B207,DATA_GOC!$E:$E,"Téc cát nghiền",DATA_GOC!$F:$F,"Xuất nội bộ từ téc",DATA_GOC!$B:$B,DATE($D$2,$B$2,AD$4)),0))</f>
        <v>0</v>
      </c>
      <c r="AE207" s="251">
        <f>IF(AE$4&gt;DAY(EOMONTH(DATE($D$2,$B$2,1),0)),"",IFERROR(SUMIFS(DATA_GOC!$H:$H,DATA_GOC!$A:$A,"BOM",DATA_GOC!$D:$D,$B207,DATA_GOC!$E:$E,"Téc cát nghiền",DATA_GOC!$F:$F,"Xuất nội bộ từ téc",DATA_GOC!$B:$B,DATE($D$2,$B$2,AE$4)),0))</f>
        <v>0</v>
      </c>
      <c r="AF207" s="251">
        <f>IF(AF$4&gt;DAY(EOMONTH(DATE($D$2,$B$2,1),0)),"",IFERROR(SUMIFS(DATA_GOC!$H:$H,DATA_GOC!$A:$A,"BOM",DATA_GOC!$D:$D,$B207,DATA_GOC!$E:$E,"Téc cát nghiền",DATA_GOC!$F:$F,"Xuất nội bộ từ téc",DATA_GOC!$B:$B,DATE($D$2,$B$2,AF$4)),0))</f>
        <v>0</v>
      </c>
      <c r="AG207" s="251">
        <f>IF(AG$4&gt;DAY(EOMONTH(DATE($D$2,$B$2,1),0)),"",IFERROR(SUMIFS(DATA_GOC!$H:$H,DATA_GOC!$A:$A,"BOM",DATA_GOC!$D:$D,$B207,DATA_GOC!$E:$E,"Téc cát nghiền",DATA_GOC!$F:$F,"Xuất nội bộ từ téc",DATA_GOC!$B:$B,DATE($D$2,$B$2,AG$4)),0))</f>
        <v>0</v>
      </c>
      <c r="AH207" s="252">
        <f t="shared" si="10"/>
        <v>0</v>
      </c>
      <c r="AI207" s="241"/>
      <c r="AJ207" s="242">
        <f>IF($B207="","",SUMIFS(TINH_TEC!$K$233:$K$9232,TINH_TEC!$H$233:$H$9232,$B207,TINH_TEC!$C$233:$C$9232,"Téc cát nghiền",TINH_TEC!$F$233:$F$9232,$B$2,TINH_TEC!$G$233:$G$9232,$D$2,TINH_TEC!$B$233:$B$9232,"Đã chốt"))</f>
        <v>0</v>
      </c>
      <c r="AK207" s="242">
        <f>IF($B207="","",SUMIFS(TINH_TEC!$J$233:$J$9232,TINH_TEC!$H$233:$H$9232,$B207,TINH_TEC!$C$233:$C$9232,"Téc cát nghiền",TINH_TEC!$F$233:$F$9232,$B$2,TINH_TEC!$G$233:$G$9232,$D$2,TINH_TEC!$B$233:$B$9232,"Đã chốt"))</f>
        <v>0</v>
      </c>
      <c r="AL207" s="242">
        <f t="shared" si="11"/>
        <v>0</v>
      </c>
    </row>
    <row r="208" ht="15.75" customHeight="1">
      <c r="A208" s="237">
        <f>IF($B208&lt;&gt;"",20,"")</f>
        <v>20</v>
      </c>
      <c r="B208" s="250" t="str">
        <f t="array" ref="B208">IFERROR(INDEX(DANH_MUC!$E:$E,23),"")</f>
        <v>28C03652</v>
      </c>
      <c r="C208" s="251">
        <f>IF(C$4&gt;DAY(EOMONTH(DATE($D$2,$B$2,1),0)),"",IFERROR(SUMIFS(DATA_GOC!$H:$H,DATA_GOC!$A:$A,"BOM",DATA_GOC!$D:$D,$B208,DATA_GOC!$E:$E,"Téc cát nghiền",DATA_GOC!$F:$F,"Xuất nội bộ từ téc",DATA_GOC!$B:$B,DATE($D$2,$B$2,C$4)),0))</f>
        <v>0</v>
      </c>
      <c r="D208" s="251">
        <f>IF(D$4&gt;DAY(EOMONTH(DATE($D$2,$B$2,1),0)),"",IFERROR(SUMIFS(DATA_GOC!$H:$H,DATA_GOC!$A:$A,"BOM",DATA_GOC!$D:$D,$B208,DATA_GOC!$E:$E,"Téc cát nghiền",DATA_GOC!$F:$F,"Xuất nội bộ từ téc",DATA_GOC!$B:$B,DATE($D$2,$B$2,D$4)),0))</f>
        <v>0</v>
      </c>
      <c r="E208" s="251">
        <f>IF(E$4&gt;DAY(EOMONTH(DATE($D$2,$B$2,1),0)),"",IFERROR(SUMIFS(DATA_GOC!$H:$H,DATA_GOC!$A:$A,"BOM",DATA_GOC!$D:$D,$B208,DATA_GOC!$E:$E,"Téc cát nghiền",DATA_GOC!$F:$F,"Xuất nội bộ từ téc",DATA_GOC!$B:$B,DATE($D$2,$B$2,E$4)),0))</f>
        <v>0</v>
      </c>
      <c r="F208" s="251">
        <f>IF(F$4&gt;DAY(EOMONTH(DATE($D$2,$B$2,1),0)),"",IFERROR(SUMIFS(DATA_GOC!$H:$H,DATA_GOC!$A:$A,"BOM",DATA_GOC!$D:$D,$B208,DATA_GOC!$E:$E,"Téc cát nghiền",DATA_GOC!$F:$F,"Xuất nội bộ từ téc",DATA_GOC!$B:$B,DATE($D$2,$B$2,F$4)),0))</f>
        <v>0</v>
      </c>
      <c r="G208" s="251">
        <f>IF(G$4&gt;DAY(EOMONTH(DATE($D$2,$B$2,1),0)),"",IFERROR(SUMIFS(DATA_GOC!$H:$H,DATA_GOC!$A:$A,"BOM",DATA_GOC!$D:$D,$B208,DATA_GOC!$E:$E,"Téc cát nghiền",DATA_GOC!$F:$F,"Xuất nội bộ từ téc",DATA_GOC!$B:$B,DATE($D$2,$B$2,G$4)),0))</f>
        <v>0</v>
      </c>
      <c r="H208" s="251">
        <f>IF(H$4&gt;DAY(EOMONTH(DATE($D$2,$B$2,1),0)),"",IFERROR(SUMIFS(DATA_GOC!$H:$H,DATA_GOC!$A:$A,"BOM",DATA_GOC!$D:$D,$B208,DATA_GOC!$E:$E,"Téc cát nghiền",DATA_GOC!$F:$F,"Xuất nội bộ từ téc",DATA_GOC!$B:$B,DATE($D$2,$B$2,H$4)),0))</f>
        <v>0</v>
      </c>
      <c r="I208" s="251">
        <f>IF(I$4&gt;DAY(EOMONTH(DATE($D$2,$B$2,1),0)),"",IFERROR(SUMIFS(DATA_GOC!$H:$H,DATA_GOC!$A:$A,"BOM",DATA_GOC!$D:$D,$B208,DATA_GOC!$E:$E,"Téc cát nghiền",DATA_GOC!$F:$F,"Xuất nội bộ từ téc",DATA_GOC!$B:$B,DATE($D$2,$B$2,I$4)),0))</f>
        <v>0</v>
      </c>
      <c r="J208" s="251">
        <f>IF(J$4&gt;DAY(EOMONTH(DATE($D$2,$B$2,1),0)),"",IFERROR(SUMIFS(DATA_GOC!$H:$H,DATA_GOC!$A:$A,"BOM",DATA_GOC!$D:$D,$B208,DATA_GOC!$E:$E,"Téc cát nghiền",DATA_GOC!$F:$F,"Xuất nội bộ từ téc",DATA_GOC!$B:$B,DATE($D$2,$B$2,J$4)),0))</f>
        <v>0</v>
      </c>
      <c r="K208" s="251">
        <f>IF(K$4&gt;DAY(EOMONTH(DATE($D$2,$B$2,1),0)),"",IFERROR(SUMIFS(DATA_GOC!$H:$H,DATA_GOC!$A:$A,"BOM",DATA_GOC!$D:$D,$B208,DATA_GOC!$E:$E,"Téc cát nghiền",DATA_GOC!$F:$F,"Xuất nội bộ từ téc",DATA_GOC!$B:$B,DATE($D$2,$B$2,K$4)),0))</f>
        <v>0</v>
      </c>
      <c r="L208" s="251">
        <f>IF(L$4&gt;DAY(EOMONTH(DATE($D$2,$B$2,1),0)),"",IFERROR(SUMIFS(DATA_GOC!$H:$H,DATA_GOC!$A:$A,"BOM",DATA_GOC!$D:$D,$B208,DATA_GOC!$E:$E,"Téc cát nghiền",DATA_GOC!$F:$F,"Xuất nội bộ từ téc",DATA_GOC!$B:$B,DATE($D$2,$B$2,L$4)),0))</f>
        <v>0</v>
      </c>
      <c r="M208" s="251">
        <f>IF(M$4&gt;DAY(EOMONTH(DATE($D$2,$B$2,1),0)),"",IFERROR(SUMIFS(DATA_GOC!$H:$H,DATA_GOC!$A:$A,"BOM",DATA_GOC!$D:$D,$B208,DATA_GOC!$E:$E,"Téc cát nghiền",DATA_GOC!$F:$F,"Xuất nội bộ từ téc",DATA_GOC!$B:$B,DATE($D$2,$B$2,M$4)),0))</f>
        <v>0</v>
      </c>
      <c r="N208" s="251">
        <f>IF(N$4&gt;DAY(EOMONTH(DATE($D$2,$B$2,1),0)),"",IFERROR(SUMIFS(DATA_GOC!$H:$H,DATA_GOC!$A:$A,"BOM",DATA_GOC!$D:$D,$B208,DATA_GOC!$E:$E,"Téc cát nghiền",DATA_GOC!$F:$F,"Xuất nội bộ từ téc",DATA_GOC!$B:$B,DATE($D$2,$B$2,N$4)),0))</f>
        <v>0</v>
      </c>
      <c r="O208" s="251">
        <f>IF(O$4&gt;DAY(EOMONTH(DATE($D$2,$B$2,1),0)),"",IFERROR(SUMIFS(DATA_GOC!$H:$H,DATA_GOC!$A:$A,"BOM",DATA_GOC!$D:$D,$B208,DATA_GOC!$E:$E,"Téc cát nghiền",DATA_GOC!$F:$F,"Xuất nội bộ từ téc",DATA_GOC!$B:$B,DATE($D$2,$B$2,O$4)),0))</f>
        <v>0</v>
      </c>
      <c r="P208" s="251">
        <f>IF(P$4&gt;DAY(EOMONTH(DATE($D$2,$B$2,1),0)),"",IFERROR(SUMIFS(DATA_GOC!$H:$H,DATA_GOC!$A:$A,"BOM",DATA_GOC!$D:$D,$B208,DATA_GOC!$E:$E,"Téc cát nghiền",DATA_GOC!$F:$F,"Xuất nội bộ từ téc",DATA_GOC!$B:$B,DATE($D$2,$B$2,P$4)),0))</f>
        <v>0</v>
      </c>
      <c r="Q208" s="251">
        <f>IF(Q$4&gt;DAY(EOMONTH(DATE($D$2,$B$2,1),0)),"",IFERROR(SUMIFS(DATA_GOC!$H:$H,DATA_GOC!$A:$A,"BOM",DATA_GOC!$D:$D,$B208,DATA_GOC!$E:$E,"Téc cát nghiền",DATA_GOC!$F:$F,"Xuất nội bộ từ téc",DATA_GOC!$B:$B,DATE($D$2,$B$2,Q$4)),0))</f>
        <v>0</v>
      </c>
      <c r="R208" s="251">
        <f>IF(R$4&gt;DAY(EOMONTH(DATE($D$2,$B$2,1),0)),"",IFERROR(SUMIFS(DATA_GOC!$H:$H,DATA_GOC!$A:$A,"BOM",DATA_GOC!$D:$D,$B208,DATA_GOC!$E:$E,"Téc cát nghiền",DATA_GOC!$F:$F,"Xuất nội bộ từ téc",DATA_GOC!$B:$B,DATE($D$2,$B$2,R$4)),0))</f>
        <v>0</v>
      </c>
      <c r="S208" s="251">
        <f>IF(S$4&gt;DAY(EOMONTH(DATE($D$2,$B$2,1),0)),"",IFERROR(SUMIFS(DATA_GOC!$H:$H,DATA_GOC!$A:$A,"BOM",DATA_GOC!$D:$D,$B208,DATA_GOC!$E:$E,"Téc cát nghiền",DATA_GOC!$F:$F,"Xuất nội bộ từ téc",DATA_GOC!$B:$B,DATE($D$2,$B$2,S$4)),0))</f>
        <v>0</v>
      </c>
      <c r="T208" s="251">
        <f>IF(T$4&gt;DAY(EOMONTH(DATE($D$2,$B$2,1),0)),"",IFERROR(SUMIFS(DATA_GOC!$H:$H,DATA_GOC!$A:$A,"BOM",DATA_GOC!$D:$D,$B208,DATA_GOC!$E:$E,"Téc cát nghiền",DATA_GOC!$F:$F,"Xuất nội bộ từ téc",DATA_GOC!$B:$B,DATE($D$2,$B$2,T$4)),0))</f>
        <v>0</v>
      </c>
      <c r="U208" s="251">
        <f>IF(U$4&gt;DAY(EOMONTH(DATE($D$2,$B$2,1),0)),"",IFERROR(SUMIFS(DATA_GOC!$H:$H,DATA_GOC!$A:$A,"BOM",DATA_GOC!$D:$D,$B208,DATA_GOC!$E:$E,"Téc cát nghiền",DATA_GOC!$F:$F,"Xuất nội bộ từ téc",DATA_GOC!$B:$B,DATE($D$2,$B$2,U$4)),0))</f>
        <v>0</v>
      </c>
      <c r="V208" s="251">
        <f>IF(V$4&gt;DAY(EOMONTH(DATE($D$2,$B$2,1),0)),"",IFERROR(SUMIFS(DATA_GOC!$H:$H,DATA_GOC!$A:$A,"BOM",DATA_GOC!$D:$D,$B208,DATA_GOC!$E:$E,"Téc cát nghiền",DATA_GOC!$F:$F,"Xuất nội bộ từ téc",DATA_GOC!$B:$B,DATE($D$2,$B$2,V$4)),0))</f>
        <v>0</v>
      </c>
      <c r="W208" s="251">
        <f>IF(W$4&gt;DAY(EOMONTH(DATE($D$2,$B$2,1),0)),"",IFERROR(SUMIFS(DATA_GOC!$H:$H,DATA_GOC!$A:$A,"BOM",DATA_GOC!$D:$D,$B208,DATA_GOC!$E:$E,"Téc cát nghiền",DATA_GOC!$F:$F,"Xuất nội bộ từ téc",DATA_GOC!$B:$B,DATE($D$2,$B$2,W$4)),0))</f>
        <v>0</v>
      </c>
      <c r="X208" s="251">
        <f>IF(X$4&gt;DAY(EOMONTH(DATE($D$2,$B$2,1),0)),"",IFERROR(SUMIFS(DATA_GOC!$H:$H,DATA_GOC!$A:$A,"BOM",DATA_GOC!$D:$D,$B208,DATA_GOC!$E:$E,"Téc cát nghiền",DATA_GOC!$F:$F,"Xuất nội bộ từ téc",DATA_GOC!$B:$B,DATE($D$2,$B$2,X$4)),0))</f>
        <v>0</v>
      </c>
      <c r="Y208" s="251">
        <f>IF(Y$4&gt;DAY(EOMONTH(DATE($D$2,$B$2,1),0)),"",IFERROR(SUMIFS(DATA_GOC!$H:$H,DATA_GOC!$A:$A,"BOM",DATA_GOC!$D:$D,$B208,DATA_GOC!$E:$E,"Téc cát nghiền",DATA_GOC!$F:$F,"Xuất nội bộ từ téc",DATA_GOC!$B:$B,DATE($D$2,$B$2,Y$4)),0))</f>
        <v>0</v>
      </c>
      <c r="Z208" s="251">
        <f>IF(Z$4&gt;DAY(EOMONTH(DATE($D$2,$B$2,1),0)),"",IFERROR(SUMIFS(DATA_GOC!$H:$H,DATA_GOC!$A:$A,"BOM",DATA_GOC!$D:$D,$B208,DATA_GOC!$E:$E,"Téc cát nghiền",DATA_GOC!$F:$F,"Xuất nội bộ từ téc",DATA_GOC!$B:$B,DATE($D$2,$B$2,Z$4)),0))</f>
        <v>0</v>
      </c>
      <c r="AA208" s="251">
        <f>IF(AA$4&gt;DAY(EOMONTH(DATE($D$2,$B$2,1),0)),"",IFERROR(SUMIFS(DATA_GOC!$H:$H,DATA_GOC!$A:$A,"BOM",DATA_GOC!$D:$D,$B208,DATA_GOC!$E:$E,"Téc cát nghiền",DATA_GOC!$F:$F,"Xuất nội bộ từ téc",DATA_GOC!$B:$B,DATE($D$2,$B$2,AA$4)),0))</f>
        <v>0</v>
      </c>
      <c r="AB208" s="251">
        <f>IF(AB$4&gt;DAY(EOMONTH(DATE($D$2,$B$2,1),0)),"",IFERROR(SUMIFS(DATA_GOC!$H:$H,DATA_GOC!$A:$A,"BOM",DATA_GOC!$D:$D,$B208,DATA_GOC!$E:$E,"Téc cát nghiền",DATA_GOC!$F:$F,"Xuất nội bộ từ téc",DATA_GOC!$B:$B,DATE($D$2,$B$2,AB$4)),0))</f>
        <v>0</v>
      </c>
      <c r="AC208" s="251">
        <f>IF(AC$4&gt;DAY(EOMONTH(DATE($D$2,$B$2,1),0)),"",IFERROR(SUMIFS(DATA_GOC!$H:$H,DATA_GOC!$A:$A,"BOM",DATA_GOC!$D:$D,$B208,DATA_GOC!$E:$E,"Téc cát nghiền",DATA_GOC!$F:$F,"Xuất nội bộ từ téc",DATA_GOC!$B:$B,DATE($D$2,$B$2,AC$4)),0))</f>
        <v>0</v>
      </c>
      <c r="AD208" s="251">
        <f>IF(AD$4&gt;DAY(EOMONTH(DATE($D$2,$B$2,1),0)),"",IFERROR(SUMIFS(DATA_GOC!$H:$H,DATA_GOC!$A:$A,"BOM",DATA_GOC!$D:$D,$B208,DATA_GOC!$E:$E,"Téc cát nghiền",DATA_GOC!$F:$F,"Xuất nội bộ từ téc",DATA_GOC!$B:$B,DATE($D$2,$B$2,AD$4)),0))</f>
        <v>0</v>
      </c>
      <c r="AE208" s="251">
        <f>IF(AE$4&gt;DAY(EOMONTH(DATE($D$2,$B$2,1),0)),"",IFERROR(SUMIFS(DATA_GOC!$H:$H,DATA_GOC!$A:$A,"BOM",DATA_GOC!$D:$D,$B208,DATA_GOC!$E:$E,"Téc cát nghiền",DATA_GOC!$F:$F,"Xuất nội bộ từ téc",DATA_GOC!$B:$B,DATE($D$2,$B$2,AE$4)),0))</f>
        <v>0</v>
      </c>
      <c r="AF208" s="251">
        <f>IF(AF$4&gt;DAY(EOMONTH(DATE($D$2,$B$2,1),0)),"",IFERROR(SUMIFS(DATA_GOC!$H:$H,DATA_GOC!$A:$A,"BOM",DATA_GOC!$D:$D,$B208,DATA_GOC!$E:$E,"Téc cát nghiền",DATA_GOC!$F:$F,"Xuất nội bộ từ téc",DATA_GOC!$B:$B,DATE($D$2,$B$2,AF$4)),0))</f>
        <v>0</v>
      </c>
      <c r="AG208" s="251">
        <f>IF(AG$4&gt;DAY(EOMONTH(DATE($D$2,$B$2,1),0)),"",IFERROR(SUMIFS(DATA_GOC!$H:$H,DATA_GOC!$A:$A,"BOM",DATA_GOC!$D:$D,$B208,DATA_GOC!$E:$E,"Téc cát nghiền",DATA_GOC!$F:$F,"Xuất nội bộ từ téc",DATA_GOC!$B:$B,DATE($D$2,$B$2,AG$4)),0))</f>
        <v>0</v>
      </c>
      <c r="AH208" s="252">
        <f t="shared" si="10"/>
        <v>0</v>
      </c>
      <c r="AI208" s="241"/>
      <c r="AJ208" s="242">
        <f>IF($B208="","",SUMIFS(TINH_TEC!$K$233:$K$9232,TINH_TEC!$H$233:$H$9232,$B208,TINH_TEC!$C$233:$C$9232,"Téc cát nghiền",TINH_TEC!$F$233:$F$9232,$B$2,TINH_TEC!$G$233:$G$9232,$D$2,TINH_TEC!$B$233:$B$9232,"Đã chốt"))</f>
        <v>0</v>
      </c>
      <c r="AK208" s="242">
        <f>IF($B208="","",SUMIFS(TINH_TEC!$J$233:$J$9232,TINH_TEC!$H$233:$H$9232,$B208,TINH_TEC!$C$233:$C$9232,"Téc cát nghiền",TINH_TEC!$F$233:$F$9232,$B$2,TINH_TEC!$G$233:$G$9232,$D$2,TINH_TEC!$B$233:$B$9232,"Đã chốt"))</f>
        <v>0</v>
      </c>
      <c r="AL208" s="242">
        <f t="shared" si="11"/>
        <v>0</v>
      </c>
    </row>
    <row r="209" ht="15.75" customHeight="1">
      <c r="A209" s="237">
        <f>IF($B209&lt;&gt;"",21,"")</f>
        <v>21</v>
      </c>
      <c r="B209" s="250" t="str">
        <f t="array" ref="B209">IFERROR(INDEX(DANH_MUC!$E:$E,24),"")</f>
        <v>28C03695</v>
      </c>
      <c r="C209" s="251">
        <f>IF(C$4&gt;DAY(EOMONTH(DATE($D$2,$B$2,1),0)),"",IFERROR(SUMIFS(DATA_GOC!$H:$H,DATA_GOC!$A:$A,"BOM",DATA_GOC!$D:$D,$B209,DATA_GOC!$E:$E,"Téc cát nghiền",DATA_GOC!$F:$F,"Xuất nội bộ từ téc",DATA_GOC!$B:$B,DATE($D$2,$B$2,C$4)),0))</f>
        <v>0</v>
      </c>
      <c r="D209" s="251">
        <f>IF(D$4&gt;DAY(EOMONTH(DATE($D$2,$B$2,1),0)),"",IFERROR(SUMIFS(DATA_GOC!$H:$H,DATA_GOC!$A:$A,"BOM",DATA_GOC!$D:$D,$B209,DATA_GOC!$E:$E,"Téc cát nghiền",DATA_GOC!$F:$F,"Xuất nội bộ từ téc",DATA_GOC!$B:$B,DATE($D$2,$B$2,D$4)),0))</f>
        <v>0</v>
      </c>
      <c r="E209" s="251">
        <f>IF(E$4&gt;DAY(EOMONTH(DATE($D$2,$B$2,1),0)),"",IFERROR(SUMIFS(DATA_GOC!$H:$H,DATA_GOC!$A:$A,"BOM",DATA_GOC!$D:$D,$B209,DATA_GOC!$E:$E,"Téc cát nghiền",DATA_GOC!$F:$F,"Xuất nội bộ từ téc",DATA_GOC!$B:$B,DATE($D$2,$B$2,E$4)),0))</f>
        <v>0</v>
      </c>
      <c r="F209" s="251">
        <f>IF(F$4&gt;DAY(EOMONTH(DATE($D$2,$B$2,1),0)),"",IFERROR(SUMIFS(DATA_GOC!$H:$H,DATA_GOC!$A:$A,"BOM",DATA_GOC!$D:$D,$B209,DATA_GOC!$E:$E,"Téc cát nghiền",DATA_GOC!$F:$F,"Xuất nội bộ từ téc",DATA_GOC!$B:$B,DATE($D$2,$B$2,F$4)),0))</f>
        <v>0</v>
      </c>
      <c r="G209" s="251">
        <f>IF(G$4&gt;DAY(EOMONTH(DATE($D$2,$B$2,1),0)),"",IFERROR(SUMIFS(DATA_GOC!$H:$H,DATA_GOC!$A:$A,"BOM",DATA_GOC!$D:$D,$B209,DATA_GOC!$E:$E,"Téc cát nghiền",DATA_GOC!$F:$F,"Xuất nội bộ từ téc",DATA_GOC!$B:$B,DATE($D$2,$B$2,G$4)),0))</f>
        <v>0</v>
      </c>
      <c r="H209" s="251">
        <f>IF(H$4&gt;DAY(EOMONTH(DATE($D$2,$B$2,1),0)),"",IFERROR(SUMIFS(DATA_GOC!$H:$H,DATA_GOC!$A:$A,"BOM",DATA_GOC!$D:$D,$B209,DATA_GOC!$E:$E,"Téc cát nghiền",DATA_GOC!$F:$F,"Xuất nội bộ từ téc",DATA_GOC!$B:$B,DATE($D$2,$B$2,H$4)),0))</f>
        <v>0</v>
      </c>
      <c r="I209" s="251">
        <f>IF(I$4&gt;DAY(EOMONTH(DATE($D$2,$B$2,1),0)),"",IFERROR(SUMIFS(DATA_GOC!$H:$H,DATA_GOC!$A:$A,"BOM",DATA_GOC!$D:$D,$B209,DATA_GOC!$E:$E,"Téc cát nghiền",DATA_GOC!$F:$F,"Xuất nội bộ từ téc",DATA_GOC!$B:$B,DATE($D$2,$B$2,I$4)),0))</f>
        <v>0</v>
      </c>
      <c r="J209" s="251">
        <f>IF(J$4&gt;DAY(EOMONTH(DATE($D$2,$B$2,1),0)),"",IFERROR(SUMIFS(DATA_GOC!$H:$H,DATA_GOC!$A:$A,"BOM",DATA_GOC!$D:$D,$B209,DATA_GOC!$E:$E,"Téc cát nghiền",DATA_GOC!$F:$F,"Xuất nội bộ từ téc",DATA_GOC!$B:$B,DATE($D$2,$B$2,J$4)),0))</f>
        <v>0</v>
      </c>
      <c r="K209" s="251">
        <f>IF(K$4&gt;DAY(EOMONTH(DATE($D$2,$B$2,1),0)),"",IFERROR(SUMIFS(DATA_GOC!$H:$H,DATA_GOC!$A:$A,"BOM",DATA_GOC!$D:$D,$B209,DATA_GOC!$E:$E,"Téc cát nghiền",DATA_GOC!$F:$F,"Xuất nội bộ từ téc",DATA_GOC!$B:$B,DATE($D$2,$B$2,K$4)),0))</f>
        <v>0</v>
      </c>
      <c r="L209" s="251">
        <f>IF(L$4&gt;DAY(EOMONTH(DATE($D$2,$B$2,1),0)),"",IFERROR(SUMIFS(DATA_GOC!$H:$H,DATA_GOC!$A:$A,"BOM",DATA_GOC!$D:$D,$B209,DATA_GOC!$E:$E,"Téc cát nghiền",DATA_GOC!$F:$F,"Xuất nội bộ từ téc",DATA_GOC!$B:$B,DATE($D$2,$B$2,L$4)),0))</f>
        <v>0</v>
      </c>
      <c r="M209" s="251">
        <f>IF(M$4&gt;DAY(EOMONTH(DATE($D$2,$B$2,1),0)),"",IFERROR(SUMIFS(DATA_GOC!$H:$H,DATA_GOC!$A:$A,"BOM",DATA_GOC!$D:$D,$B209,DATA_GOC!$E:$E,"Téc cát nghiền",DATA_GOC!$F:$F,"Xuất nội bộ từ téc",DATA_GOC!$B:$B,DATE($D$2,$B$2,M$4)),0))</f>
        <v>0</v>
      </c>
      <c r="N209" s="251">
        <f>IF(N$4&gt;DAY(EOMONTH(DATE($D$2,$B$2,1),0)),"",IFERROR(SUMIFS(DATA_GOC!$H:$H,DATA_GOC!$A:$A,"BOM",DATA_GOC!$D:$D,$B209,DATA_GOC!$E:$E,"Téc cát nghiền",DATA_GOC!$F:$F,"Xuất nội bộ từ téc",DATA_GOC!$B:$B,DATE($D$2,$B$2,N$4)),0))</f>
        <v>0</v>
      </c>
      <c r="O209" s="251">
        <f>IF(O$4&gt;DAY(EOMONTH(DATE($D$2,$B$2,1),0)),"",IFERROR(SUMIFS(DATA_GOC!$H:$H,DATA_GOC!$A:$A,"BOM",DATA_GOC!$D:$D,$B209,DATA_GOC!$E:$E,"Téc cát nghiền",DATA_GOC!$F:$F,"Xuất nội bộ từ téc",DATA_GOC!$B:$B,DATE($D$2,$B$2,O$4)),0))</f>
        <v>0</v>
      </c>
      <c r="P209" s="251">
        <f>IF(P$4&gt;DAY(EOMONTH(DATE($D$2,$B$2,1),0)),"",IFERROR(SUMIFS(DATA_GOC!$H:$H,DATA_GOC!$A:$A,"BOM",DATA_GOC!$D:$D,$B209,DATA_GOC!$E:$E,"Téc cát nghiền",DATA_GOC!$F:$F,"Xuất nội bộ từ téc",DATA_GOC!$B:$B,DATE($D$2,$B$2,P$4)),0))</f>
        <v>0</v>
      </c>
      <c r="Q209" s="251">
        <f>IF(Q$4&gt;DAY(EOMONTH(DATE($D$2,$B$2,1),0)),"",IFERROR(SUMIFS(DATA_GOC!$H:$H,DATA_GOC!$A:$A,"BOM",DATA_GOC!$D:$D,$B209,DATA_GOC!$E:$E,"Téc cát nghiền",DATA_GOC!$F:$F,"Xuất nội bộ từ téc",DATA_GOC!$B:$B,DATE($D$2,$B$2,Q$4)),0))</f>
        <v>0</v>
      </c>
      <c r="R209" s="251">
        <f>IF(R$4&gt;DAY(EOMONTH(DATE($D$2,$B$2,1),0)),"",IFERROR(SUMIFS(DATA_GOC!$H:$H,DATA_GOC!$A:$A,"BOM",DATA_GOC!$D:$D,$B209,DATA_GOC!$E:$E,"Téc cát nghiền",DATA_GOC!$F:$F,"Xuất nội bộ từ téc",DATA_GOC!$B:$B,DATE($D$2,$B$2,R$4)),0))</f>
        <v>0</v>
      </c>
      <c r="S209" s="251">
        <f>IF(S$4&gt;DAY(EOMONTH(DATE($D$2,$B$2,1),0)),"",IFERROR(SUMIFS(DATA_GOC!$H:$H,DATA_GOC!$A:$A,"BOM",DATA_GOC!$D:$D,$B209,DATA_GOC!$E:$E,"Téc cát nghiền",DATA_GOC!$F:$F,"Xuất nội bộ từ téc",DATA_GOC!$B:$B,DATE($D$2,$B$2,S$4)),0))</f>
        <v>0</v>
      </c>
      <c r="T209" s="251">
        <f>IF(T$4&gt;DAY(EOMONTH(DATE($D$2,$B$2,1),0)),"",IFERROR(SUMIFS(DATA_GOC!$H:$H,DATA_GOC!$A:$A,"BOM",DATA_GOC!$D:$D,$B209,DATA_GOC!$E:$E,"Téc cát nghiền",DATA_GOC!$F:$F,"Xuất nội bộ từ téc",DATA_GOC!$B:$B,DATE($D$2,$B$2,T$4)),0))</f>
        <v>0</v>
      </c>
      <c r="U209" s="251">
        <f>IF(U$4&gt;DAY(EOMONTH(DATE($D$2,$B$2,1),0)),"",IFERROR(SUMIFS(DATA_GOC!$H:$H,DATA_GOC!$A:$A,"BOM",DATA_GOC!$D:$D,$B209,DATA_GOC!$E:$E,"Téc cát nghiền",DATA_GOC!$F:$F,"Xuất nội bộ từ téc",DATA_GOC!$B:$B,DATE($D$2,$B$2,U$4)),0))</f>
        <v>0</v>
      </c>
      <c r="V209" s="251">
        <f>IF(V$4&gt;DAY(EOMONTH(DATE($D$2,$B$2,1),0)),"",IFERROR(SUMIFS(DATA_GOC!$H:$H,DATA_GOC!$A:$A,"BOM",DATA_GOC!$D:$D,$B209,DATA_GOC!$E:$E,"Téc cát nghiền",DATA_GOC!$F:$F,"Xuất nội bộ từ téc",DATA_GOC!$B:$B,DATE($D$2,$B$2,V$4)),0))</f>
        <v>0</v>
      </c>
      <c r="W209" s="251">
        <f>IF(W$4&gt;DAY(EOMONTH(DATE($D$2,$B$2,1),0)),"",IFERROR(SUMIFS(DATA_GOC!$H:$H,DATA_GOC!$A:$A,"BOM",DATA_GOC!$D:$D,$B209,DATA_GOC!$E:$E,"Téc cát nghiền",DATA_GOC!$F:$F,"Xuất nội bộ từ téc",DATA_GOC!$B:$B,DATE($D$2,$B$2,W$4)),0))</f>
        <v>0</v>
      </c>
      <c r="X209" s="251">
        <f>IF(X$4&gt;DAY(EOMONTH(DATE($D$2,$B$2,1),0)),"",IFERROR(SUMIFS(DATA_GOC!$H:$H,DATA_GOC!$A:$A,"BOM",DATA_GOC!$D:$D,$B209,DATA_GOC!$E:$E,"Téc cát nghiền",DATA_GOC!$F:$F,"Xuất nội bộ từ téc",DATA_GOC!$B:$B,DATE($D$2,$B$2,X$4)),0))</f>
        <v>0</v>
      </c>
      <c r="Y209" s="251">
        <f>IF(Y$4&gt;DAY(EOMONTH(DATE($D$2,$B$2,1),0)),"",IFERROR(SUMIFS(DATA_GOC!$H:$H,DATA_GOC!$A:$A,"BOM",DATA_GOC!$D:$D,$B209,DATA_GOC!$E:$E,"Téc cát nghiền",DATA_GOC!$F:$F,"Xuất nội bộ từ téc",DATA_GOC!$B:$B,DATE($D$2,$B$2,Y$4)),0))</f>
        <v>0</v>
      </c>
      <c r="Z209" s="251">
        <f>IF(Z$4&gt;DAY(EOMONTH(DATE($D$2,$B$2,1),0)),"",IFERROR(SUMIFS(DATA_GOC!$H:$H,DATA_GOC!$A:$A,"BOM",DATA_GOC!$D:$D,$B209,DATA_GOC!$E:$E,"Téc cát nghiền",DATA_GOC!$F:$F,"Xuất nội bộ từ téc",DATA_GOC!$B:$B,DATE($D$2,$B$2,Z$4)),0))</f>
        <v>0</v>
      </c>
      <c r="AA209" s="251">
        <f>IF(AA$4&gt;DAY(EOMONTH(DATE($D$2,$B$2,1),0)),"",IFERROR(SUMIFS(DATA_GOC!$H:$H,DATA_GOC!$A:$A,"BOM",DATA_GOC!$D:$D,$B209,DATA_GOC!$E:$E,"Téc cát nghiền",DATA_GOC!$F:$F,"Xuất nội bộ từ téc",DATA_GOC!$B:$B,DATE($D$2,$B$2,AA$4)),0))</f>
        <v>0</v>
      </c>
      <c r="AB209" s="251">
        <f>IF(AB$4&gt;DAY(EOMONTH(DATE($D$2,$B$2,1),0)),"",IFERROR(SUMIFS(DATA_GOC!$H:$H,DATA_GOC!$A:$A,"BOM",DATA_GOC!$D:$D,$B209,DATA_GOC!$E:$E,"Téc cát nghiền",DATA_GOC!$F:$F,"Xuất nội bộ từ téc",DATA_GOC!$B:$B,DATE($D$2,$B$2,AB$4)),0))</f>
        <v>0</v>
      </c>
      <c r="AC209" s="251">
        <f>IF(AC$4&gt;DAY(EOMONTH(DATE($D$2,$B$2,1),0)),"",IFERROR(SUMIFS(DATA_GOC!$H:$H,DATA_GOC!$A:$A,"BOM",DATA_GOC!$D:$D,$B209,DATA_GOC!$E:$E,"Téc cát nghiền",DATA_GOC!$F:$F,"Xuất nội bộ từ téc",DATA_GOC!$B:$B,DATE($D$2,$B$2,AC$4)),0))</f>
        <v>0</v>
      </c>
      <c r="AD209" s="251">
        <f>IF(AD$4&gt;DAY(EOMONTH(DATE($D$2,$B$2,1),0)),"",IFERROR(SUMIFS(DATA_GOC!$H:$H,DATA_GOC!$A:$A,"BOM",DATA_GOC!$D:$D,$B209,DATA_GOC!$E:$E,"Téc cát nghiền",DATA_GOC!$F:$F,"Xuất nội bộ từ téc",DATA_GOC!$B:$B,DATE($D$2,$B$2,AD$4)),0))</f>
        <v>0</v>
      </c>
      <c r="AE209" s="251">
        <f>IF(AE$4&gt;DAY(EOMONTH(DATE($D$2,$B$2,1),0)),"",IFERROR(SUMIFS(DATA_GOC!$H:$H,DATA_GOC!$A:$A,"BOM",DATA_GOC!$D:$D,$B209,DATA_GOC!$E:$E,"Téc cát nghiền",DATA_GOC!$F:$F,"Xuất nội bộ từ téc",DATA_GOC!$B:$B,DATE($D$2,$B$2,AE$4)),0))</f>
        <v>0</v>
      </c>
      <c r="AF209" s="251">
        <f>IF(AF$4&gt;DAY(EOMONTH(DATE($D$2,$B$2,1),0)),"",IFERROR(SUMIFS(DATA_GOC!$H:$H,DATA_GOC!$A:$A,"BOM",DATA_GOC!$D:$D,$B209,DATA_GOC!$E:$E,"Téc cát nghiền",DATA_GOC!$F:$F,"Xuất nội bộ từ téc",DATA_GOC!$B:$B,DATE($D$2,$B$2,AF$4)),0))</f>
        <v>0</v>
      </c>
      <c r="AG209" s="251">
        <f>IF(AG$4&gt;DAY(EOMONTH(DATE($D$2,$B$2,1),0)),"",IFERROR(SUMIFS(DATA_GOC!$H:$H,DATA_GOC!$A:$A,"BOM",DATA_GOC!$D:$D,$B209,DATA_GOC!$E:$E,"Téc cát nghiền",DATA_GOC!$F:$F,"Xuất nội bộ từ téc",DATA_GOC!$B:$B,DATE($D$2,$B$2,AG$4)),0))</f>
        <v>0</v>
      </c>
      <c r="AH209" s="252">
        <f t="shared" si="10"/>
        <v>0</v>
      </c>
      <c r="AI209" s="241"/>
      <c r="AJ209" s="242">
        <f>IF($B209="","",SUMIFS(TINH_TEC!$K$233:$K$9232,TINH_TEC!$H$233:$H$9232,$B209,TINH_TEC!$C$233:$C$9232,"Téc cát nghiền",TINH_TEC!$F$233:$F$9232,$B$2,TINH_TEC!$G$233:$G$9232,$D$2,TINH_TEC!$B$233:$B$9232,"Đã chốt"))</f>
        <v>0</v>
      </c>
      <c r="AK209" s="242">
        <f>IF($B209="","",SUMIFS(TINH_TEC!$J$233:$J$9232,TINH_TEC!$H$233:$H$9232,$B209,TINH_TEC!$C$233:$C$9232,"Téc cát nghiền",TINH_TEC!$F$233:$F$9232,$B$2,TINH_TEC!$G$233:$G$9232,$D$2,TINH_TEC!$B$233:$B$9232,"Đã chốt"))</f>
        <v>0</v>
      </c>
      <c r="AL209" s="242">
        <f t="shared" si="11"/>
        <v>0</v>
      </c>
    </row>
    <row r="210" ht="15.75" customHeight="1">
      <c r="A210" s="237">
        <f>IF($B210&lt;&gt;"",22,"")</f>
        <v>22</v>
      </c>
      <c r="B210" s="250" t="str">
        <f t="array" ref="B210">IFERROR(INDEX(DANH_MUC!$E:$E,25),"")</f>
        <v>28C03927</v>
      </c>
      <c r="C210" s="251">
        <f>IF(C$4&gt;DAY(EOMONTH(DATE($D$2,$B$2,1),0)),"",IFERROR(SUMIFS(DATA_GOC!$H:$H,DATA_GOC!$A:$A,"BOM",DATA_GOC!$D:$D,$B210,DATA_GOC!$E:$E,"Téc cát nghiền",DATA_GOC!$F:$F,"Xuất nội bộ từ téc",DATA_GOC!$B:$B,DATE($D$2,$B$2,C$4)),0))</f>
        <v>0</v>
      </c>
      <c r="D210" s="251">
        <f>IF(D$4&gt;DAY(EOMONTH(DATE($D$2,$B$2,1),0)),"",IFERROR(SUMIFS(DATA_GOC!$H:$H,DATA_GOC!$A:$A,"BOM",DATA_GOC!$D:$D,$B210,DATA_GOC!$E:$E,"Téc cát nghiền",DATA_GOC!$F:$F,"Xuất nội bộ từ téc",DATA_GOC!$B:$B,DATE($D$2,$B$2,D$4)),0))</f>
        <v>0</v>
      </c>
      <c r="E210" s="251">
        <f>IF(E$4&gt;DAY(EOMONTH(DATE($D$2,$B$2,1),0)),"",IFERROR(SUMIFS(DATA_GOC!$H:$H,DATA_GOC!$A:$A,"BOM",DATA_GOC!$D:$D,$B210,DATA_GOC!$E:$E,"Téc cát nghiền",DATA_GOC!$F:$F,"Xuất nội bộ từ téc",DATA_GOC!$B:$B,DATE($D$2,$B$2,E$4)),0))</f>
        <v>0</v>
      </c>
      <c r="F210" s="251">
        <f>IF(F$4&gt;DAY(EOMONTH(DATE($D$2,$B$2,1),0)),"",IFERROR(SUMIFS(DATA_GOC!$H:$H,DATA_GOC!$A:$A,"BOM",DATA_GOC!$D:$D,$B210,DATA_GOC!$E:$E,"Téc cát nghiền",DATA_GOC!$F:$F,"Xuất nội bộ từ téc",DATA_GOC!$B:$B,DATE($D$2,$B$2,F$4)),0))</f>
        <v>0</v>
      </c>
      <c r="G210" s="251">
        <f>IF(G$4&gt;DAY(EOMONTH(DATE($D$2,$B$2,1),0)),"",IFERROR(SUMIFS(DATA_GOC!$H:$H,DATA_GOC!$A:$A,"BOM",DATA_GOC!$D:$D,$B210,DATA_GOC!$E:$E,"Téc cát nghiền",DATA_GOC!$F:$F,"Xuất nội bộ từ téc",DATA_GOC!$B:$B,DATE($D$2,$B$2,G$4)),0))</f>
        <v>0</v>
      </c>
      <c r="H210" s="251">
        <f>IF(H$4&gt;DAY(EOMONTH(DATE($D$2,$B$2,1),0)),"",IFERROR(SUMIFS(DATA_GOC!$H:$H,DATA_GOC!$A:$A,"BOM",DATA_GOC!$D:$D,$B210,DATA_GOC!$E:$E,"Téc cát nghiền",DATA_GOC!$F:$F,"Xuất nội bộ từ téc",DATA_GOC!$B:$B,DATE($D$2,$B$2,H$4)),0))</f>
        <v>0</v>
      </c>
      <c r="I210" s="251">
        <f>IF(I$4&gt;DAY(EOMONTH(DATE($D$2,$B$2,1),0)),"",IFERROR(SUMIFS(DATA_GOC!$H:$H,DATA_GOC!$A:$A,"BOM",DATA_GOC!$D:$D,$B210,DATA_GOC!$E:$E,"Téc cát nghiền",DATA_GOC!$F:$F,"Xuất nội bộ từ téc",DATA_GOC!$B:$B,DATE($D$2,$B$2,I$4)),0))</f>
        <v>0</v>
      </c>
      <c r="J210" s="251">
        <f>IF(J$4&gt;DAY(EOMONTH(DATE($D$2,$B$2,1),0)),"",IFERROR(SUMIFS(DATA_GOC!$H:$H,DATA_GOC!$A:$A,"BOM",DATA_GOC!$D:$D,$B210,DATA_GOC!$E:$E,"Téc cát nghiền",DATA_GOC!$F:$F,"Xuất nội bộ từ téc",DATA_GOC!$B:$B,DATE($D$2,$B$2,J$4)),0))</f>
        <v>0</v>
      </c>
      <c r="K210" s="251">
        <f>IF(K$4&gt;DAY(EOMONTH(DATE($D$2,$B$2,1),0)),"",IFERROR(SUMIFS(DATA_GOC!$H:$H,DATA_GOC!$A:$A,"BOM",DATA_GOC!$D:$D,$B210,DATA_GOC!$E:$E,"Téc cát nghiền",DATA_GOC!$F:$F,"Xuất nội bộ từ téc",DATA_GOC!$B:$B,DATE($D$2,$B$2,K$4)),0))</f>
        <v>0</v>
      </c>
      <c r="L210" s="251">
        <f>IF(L$4&gt;DAY(EOMONTH(DATE($D$2,$B$2,1),0)),"",IFERROR(SUMIFS(DATA_GOC!$H:$H,DATA_GOC!$A:$A,"BOM",DATA_GOC!$D:$D,$B210,DATA_GOC!$E:$E,"Téc cát nghiền",DATA_GOC!$F:$F,"Xuất nội bộ từ téc",DATA_GOC!$B:$B,DATE($D$2,$B$2,L$4)),0))</f>
        <v>0</v>
      </c>
      <c r="M210" s="251">
        <f>IF(M$4&gt;DAY(EOMONTH(DATE($D$2,$B$2,1),0)),"",IFERROR(SUMIFS(DATA_GOC!$H:$H,DATA_GOC!$A:$A,"BOM",DATA_GOC!$D:$D,$B210,DATA_GOC!$E:$E,"Téc cát nghiền",DATA_GOC!$F:$F,"Xuất nội bộ từ téc",DATA_GOC!$B:$B,DATE($D$2,$B$2,M$4)),0))</f>
        <v>0</v>
      </c>
      <c r="N210" s="251">
        <f>IF(N$4&gt;DAY(EOMONTH(DATE($D$2,$B$2,1),0)),"",IFERROR(SUMIFS(DATA_GOC!$H:$H,DATA_GOC!$A:$A,"BOM",DATA_GOC!$D:$D,$B210,DATA_GOC!$E:$E,"Téc cát nghiền",DATA_GOC!$F:$F,"Xuất nội bộ từ téc",DATA_GOC!$B:$B,DATE($D$2,$B$2,N$4)),0))</f>
        <v>0</v>
      </c>
      <c r="O210" s="251">
        <f>IF(O$4&gt;DAY(EOMONTH(DATE($D$2,$B$2,1),0)),"",IFERROR(SUMIFS(DATA_GOC!$H:$H,DATA_GOC!$A:$A,"BOM",DATA_GOC!$D:$D,$B210,DATA_GOC!$E:$E,"Téc cát nghiền",DATA_GOC!$F:$F,"Xuất nội bộ từ téc",DATA_GOC!$B:$B,DATE($D$2,$B$2,O$4)),0))</f>
        <v>0</v>
      </c>
      <c r="P210" s="251">
        <f>IF(P$4&gt;DAY(EOMONTH(DATE($D$2,$B$2,1),0)),"",IFERROR(SUMIFS(DATA_GOC!$H:$H,DATA_GOC!$A:$A,"BOM",DATA_GOC!$D:$D,$B210,DATA_GOC!$E:$E,"Téc cát nghiền",DATA_GOC!$F:$F,"Xuất nội bộ từ téc",DATA_GOC!$B:$B,DATE($D$2,$B$2,P$4)),0))</f>
        <v>0</v>
      </c>
      <c r="Q210" s="251">
        <f>IF(Q$4&gt;DAY(EOMONTH(DATE($D$2,$B$2,1),0)),"",IFERROR(SUMIFS(DATA_GOC!$H:$H,DATA_GOC!$A:$A,"BOM",DATA_GOC!$D:$D,$B210,DATA_GOC!$E:$E,"Téc cát nghiền",DATA_GOC!$F:$F,"Xuất nội bộ từ téc",DATA_GOC!$B:$B,DATE($D$2,$B$2,Q$4)),0))</f>
        <v>0</v>
      </c>
      <c r="R210" s="251">
        <f>IF(R$4&gt;DAY(EOMONTH(DATE($D$2,$B$2,1),0)),"",IFERROR(SUMIFS(DATA_GOC!$H:$H,DATA_GOC!$A:$A,"BOM",DATA_GOC!$D:$D,$B210,DATA_GOC!$E:$E,"Téc cát nghiền",DATA_GOC!$F:$F,"Xuất nội bộ từ téc",DATA_GOC!$B:$B,DATE($D$2,$B$2,R$4)),0))</f>
        <v>0</v>
      </c>
      <c r="S210" s="251">
        <f>IF(S$4&gt;DAY(EOMONTH(DATE($D$2,$B$2,1),0)),"",IFERROR(SUMIFS(DATA_GOC!$H:$H,DATA_GOC!$A:$A,"BOM",DATA_GOC!$D:$D,$B210,DATA_GOC!$E:$E,"Téc cát nghiền",DATA_GOC!$F:$F,"Xuất nội bộ từ téc",DATA_GOC!$B:$B,DATE($D$2,$B$2,S$4)),0))</f>
        <v>0</v>
      </c>
      <c r="T210" s="251">
        <f>IF(T$4&gt;DAY(EOMONTH(DATE($D$2,$B$2,1),0)),"",IFERROR(SUMIFS(DATA_GOC!$H:$H,DATA_GOC!$A:$A,"BOM",DATA_GOC!$D:$D,$B210,DATA_GOC!$E:$E,"Téc cát nghiền",DATA_GOC!$F:$F,"Xuất nội bộ từ téc",DATA_GOC!$B:$B,DATE($D$2,$B$2,T$4)),0))</f>
        <v>0</v>
      </c>
      <c r="U210" s="251">
        <f>IF(U$4&gt;DAY(EOMONTH(DATE($D$2,$B$2,1),0)),"",IFERROR(SUMIFS(DATA_GOC!$H:$H,DATA_GOC!$A:$A,"BOM",DATA_GOC!$D:$D,$B210,DATA_GOC!$E:$E,"Téc cát nghiền",DATA_GOC!$F:$F,"Xuất nội bộ từ téc",DATA_GOC!$B:$B,DATE($D$2,$B$2,U$4)),0))</f>
        <v>0</v>
      </c>
      <c r="V210" s="251">
        <f>IF(V$4&gt;DAY(EOMONTH(DATE($D$2,$B$2,1),0)),"",IFERROR(SUMIFS(DATA_GOC!$H:$H,DATA_GOC!$A:$A,"BOM",DATA_GOC!$D:$D,$B210,DATA_GOC!$E:$E,"Téc cát nghiền",DATA_GOC!$F:$F,"Xuất nội bộ từ téc",DATA_GOC!$B:$B,DATE($D$2,$B$2,V$4)),0))</f>
        <v>0</v>
      </c>
      <c r="W210" s="251">
        <f>IF(W$4&gt;DAY(EOMONTH(DATE($D$2,$B$2,1),0)),"",IFERROR(SUMIFS(DATA_GOC!$H:$H,DATA_GOC!$A:$A,"BOM",DATA_GOC!$D:$D,$B210,DATA_GOC!$E:$E,"Téc cát nghiền",DATA_GOC!$F:$F,"Xuất nội bộ từ téc",DATA_GOC!$B:$B,DATE($D$2,$B$2,W$4)),0))</f>
        <v>0</v>
      </c>
      <c r="X210" s="251">
        <f>IF(X$4&gt;DAY(EOMONTH(DATE($D$2,$B$2,1),0)),"",IFERROR(SUMIFS(DATA_GOC!$H:$H,DATA_GOC!$A:$A,"BOM",DATA_GOC!$D:$D,$B210,DATA_GOC!$E:$E,"Téc cát nghiền",DATA_GOC!$F:$F,"Xuất nội bộ từ téc",DATA_GOC!$B:$B,DATE($D$2,$B$2,X$4)),0))</f>
        <v>0</v>
      </c>
      <c r="Y210" s="251">
        <f>IF(Y$4&gt;DAY(EOMONTH(DATE($D$2,$B$2,1),0)),"",IFERROR(SUMIFS(DATA_GOC!$H:$H,DATA_GOC!$A:$A,"BOM",DATA_GOC!$D:$D,$B210,DATA_GOC!$E:$E,"Téc cát nghiền",DATA_GOC!$F:$F,"Xuất nội bộ từ téc",DATA_GOC!$B:$B,DATE($D$2,$B$2,Y$4)),0))</f>
        <v>0</v>
      </c>
      <c r="Z210" s="251">
        <f>IF(Z$4&gt;DAY(EOMONTH(DATE($D$2,$B$2,1),0)),"",IFERROR(SUMIFS(DATA_GOC!$H:$H,DATA_GOC!$A:$A,"BOM",DATA_GOC!$D:$D,$B210,DATA_GOC!$E:$E,"Téc cát nghiền",DATA_GOC!$F:$F,"Xuất nội bộ từ téc",DATA_GOC!$B:$B,DATE($D$2,$B$2,Z$4)),0))</f>
        <v>0</v>
      </c>
      <c r="AA210" s="251">
        <f>IF(AA$4&gt;DAY(EOMONTH(DATE($D$2,$B$2,1),0)),"",IFERROR(SUMIFS(DATA_GOC!$H:$H,DATA_GOC!$A:$A,"BOM",DATA_GOC!$D:$D,$B210,DATA_GOC!$E:$E,"Téc cát nghiền",DATA_GOC!$F:$F,"Xuất nội bộ từ téc",DATA_GOC!$B:$B,DATE($D$2,$B$2,AA$4)),0))</f>
        <v>0</v>
      </c>
      <c r="AB210" s="251">
        <f>IF(AB$4&gt;DAY(EOMONTH(DATE($D$2,$B$2,1),0)),"",IFERROR(SUMIFS(DATA_GOC!$H:$H,DATA_GOC!$A:$A,"BOM",DATA_GOC!$D:$D,$B210,DATA_GOC!$E:$E,"Téc cát nghiền",DATA_GOC!$F:$F,"Xuất nội bộ từ téc",DATA_GOC!$B:$B,DATE($D$2,$B$2,AB$4)),0))</f>
        <v>0</v>
      </c>
      <c r="AC210" s="251">
        <f>IF(AC$4&gt;DAY(EOMONTH(DATE($D$2,$B$2,1),0)),"",IFERROR(SUMIFS(DATA_GOC!$H:$H,DATA_GOC!$A:$A,"BOM",DATA_GOC!$D:$D,$B210,DATA_GOC!$E:$E,"Téc cát nghiền",DATA_GOC!$F:$F,"Xuất nội bộ từ téc",DATA_GOC!$B:$B,DATE($D$2,$B$2,AC$4)),0))</f>
        <v>0</v>
      </c>
      <c r="AD210" s="251">
        <f>IF(AD$4&gt;DAY(EOMONTH(DATE($D$2,$B$2,1),0)),"",IFERROR(SUMIFS(DATA_GOC!$H:$H,DATA_GOC!$A:$A,"BOM",DATA_GOC!$D:$D,$B210,DATA_GOC!$E:$E,"Téc cát nghiền",DATA_GOC!$F:$F,"Xuất nội bộ từ téc",DATA_GOC!$B:$B,DATE($D$2,$B$2,AD$4)),0))</f>
        <v>0</v>
      </c>
      <c r="AE210" s="251">
        <f>IF(AE$4&gt;DAY(EOMONTH(DATE($D$2,$B$2,1),0)),"",IFERROR(SUMIFS(DATA_GOC!$H:$H,DATA_GOC!$A:$A,"BOM",DATA_GOC!$D:$D,$B210,DATA_GOC!$E:$E,"Téc cát nghiền",DATA_GOC!$F:$F,"Xuất nội bộ từ téc",DATA_GOC!$B:$B,DATE($D$2,$B$2,AE$4)),0))</f>
        <v>0</v>
      </c>
      <c r="AF210" s="251">
        <f>IF(AF$4&gt;DAY(EOMONTH(DATE($D$2,$B$2,1),0)),"",IFERROR(SUMIFS(DATA_GOC!$H:$H,DATA_GOC!$A:$A,"BOM",DATA_GOC!$D:$D,$B210,DATA_GOC!$E:$E,"Téc cát nghiền",DATA_GOC!$F:$F,"Xuất nội bộ từ téc",DATA_GOC!$B:$B,DATE($D$2,$B$2,AF$4)),0))</f>
        <v>0</v>
      </c>
      <c r="AG210" s="251">
        <f>IF(AG$4&gt;DAY(EOMONTH(DATE($D$2,$B$2,1),0)),"",IFERROR(SUMIFS(DATA_GOC!$H:$H,DATA_GOC!$A:$A,"BOM",DATA_GOC!$D:$D,$B210,DATA_GOC!$E:$E,"Téc cát nghiền",DATA_GOC!$F:$F,"Xuất nội bộ từ téc",DATA_GOC!$B:$B,DATE($D$2,$B$2,AG$4)),0))</f>
        <v>0</v>
      </c>
      <c r="AH210" s="252">
        <f t="shared" si="10"/>
        <v>0</v>
      </c>
      <c r="AI210" s="241"/>
      <c r="AJ210" s="242">
        <f>IF($B210="","",SUMIFS(TINH_TEC!$K$233:$K$9232,TINH_TEC!$H$233:$H$9232,$B210,TINH_TEC!$C$233:$C$9232,"Téc cát nghiền",TINH_TEC!$F$233:$F$9232,$B$2,TINH_TEC!$G$233:$G$9232,$D$2,TINH_TEC!$B$233:$B$9232,"Đã chốt"))</f>
        <v>0</v>
      </c>
      <c r="AK210" s="242">
        <f>IF($B210="","",SUMIFS(TINH_TEC!$J$233:$J$9232,TINH_TEC!$H$233:$H$9232,$B210,TINH_TEC!$C$233:$C$9232,"Téc cát nghiền",TINH_TEC!$F$233:$F$9232,$B$2,TINH_TEC!$G$233:$G$9232,$D$2,TINH_TEC!$B$233:$B$9232,"Đã chốt"))</f>
        <v>0</v>
      </c>
      <c r="AL210" s="242">
        <f t="shared" si="11"/>
        <v>0</v>
      </c>
    </row>
    <row r="211" ht="15.75" customHeight="1">
      <c r="A211" s="237">
        <f>IF($B211&lt;&gt;"",23,"")</f>
        <v>23</v>
      </c>
      <c r="B211" s="250" t="str">
        <f t="array" ref="B211">IFERROR(INDEX(DANH_MUC!$E:$E,26),"")</f>
        <v>28C04509</v>
      </c>
      <c r="C211" s="251">
        <f>IF(C$4&gt;DAY(EOMONTH(DATE($D$2,$B$2,1),0)),"",IFERROR(SUMIFS(DATA_GOC!$H:$H,DATA_GOC!$A:$A,"BOM",DATA_GOC!$D:$D,$B211,DATA_GOC!$E:$E,"Téc cát nghiền",DATA_GOC!$F:$F,"Xuất nội bộ từ téc",DATA_GOC!$B:$B,DATE($D$2,$B$2,C$4)),0))</f>
        <v>0</v>
      </c>
      <c r="D211" s="251">
        <f>IF(D$4&gt;DAY(EOMONTH(DATE($D$2,$B$2,1),0)),"",IFERROR(SUMIFS(DATA_GOC!$H:$H,DATA_GOC!$A:$A,"BOM",DATA_GOC!$D:$D,$B211,DATA_GOC!$E:$E,"Téc cát nghiền",DATA_GOC!$F:$F,"Xuất nội bộ từ téc",DATA_GOC!$B:$B,DATE($D$2,$B$2,D$4)),0))</f>
        <v>0</v>
      </c>
      <c r="E211" s="251">
        <f>IF(E$4&gt;DAY(EOMONTH(DATE($D$2,$B$2,1),0)),"",IFERROR(SUMIFS(DATA_GOC!$H:$H,DATA_GOC!$A:$A,"BOM",DATA_GOC!$D:$D,$B211,DATA_GOC!$E:$E,"Téc cát nghiền",DATA_GOC!$F:$F,"Xuất nội bộ từ téc",DATA_GOC!$B:$B,DATE($D$2,$B$2,E$4)),0))</f>
        <v>0</v>
      </c>
      <c r="F211" s="251">
        <f>IF(F$4&gt;DAY(EOMONTH(DATE($D$2,$B$2,1),0)),"",IFERROR(SUMIFS(DATA_GOC!$H:$H,DATA_GOC!$A:$A,"BOM",DATA_GOC!$D:$D,$B211,DATA_GOC!$E:$E,"Téc cát nghiền",DATA_GOC!$F:$F,"Xuất nội bộ từ téc",DATA_GOC!$B:$B,DATE($D$2,$B$2,F$4)),0))</f>
        <v>0</v>
      </c>
      <c r="G211" s="251">
        <f>IF(G$4&gt;DAY(EOMONTH(DATE($D$2,$B$2,1),0)),"",IFERROR(SUMIFS(DATA_GOC!$H:$H,DATA_GOC!$A:$A,"BOM",DATA_GOC!$D:$D,$B211,DATA_GOC!$E:$E,"Téc cát nghiền",DATA_GOC!$F:$F,"Xuất nội bộ từ téc",DATA_GOC!$B:$B,DATE($D$2,$B$2,G$4)),0))</f>
        <v>0</v>
      </c>
      <c r="H211" s="251">
        <f>IF(H$4&gt;DAY(EOMONTH(DATE($D$2,$B$2,1),0)),"",IFERROR(SUMIFS(DATA_GOC!$H:$H,DATA_GOC!$A:$A,"BOM",DATA_GOC!$D:$D,$B211,DATA_GOC!$E:$E,"Téc cát nghiền",DATA_GOC!$F:$F,"Xuất nội bộ từ téc",DATA_GOC!$B:$B,DATE($D$2,$B$2,H$4)),0))</f>
        <v>0</v>
      </c>
      <c r="I211" s="251">
        <f>IF(I$4&gt;DAY(EOMONTH(DATE($D$2,$B$2,1),0)),"",IFERROR(SUMIFS(DATA_GOC!$H:$H,DATA_GOC!$A:$A,"BOM",DATA_GOC!$D:$D,$B211,DATA_GOC!$E:$E,"Téc cát nghiền",DATA_GOC!$F:$F,"Xuất nội bộ từ téc",DATA_GOC!$B:$B,DATE($D$2,$B$2,I$4)),0))</f>
        <v>0</v>
      </c>
      <c r="J211" s="251">
        <f>IF(J$4&gt;DAY(EOMONTH(DATE($D$2,$B$2,1),0)),"",IFERROR(SUMIFS(DATA_GOC!$H:$H,DATA_GOC!$A:$A,"BOM",DATA_GOC!$D:$D,$B211,DATA_GOC!$E:$E,"Téc cát nghiền",DATA_GOC!$F:$F,"Xuất nội bộ từ téc",DATA_GOC!$B:$B,DATE($D$2,$B$2,J$4)),0))</f>
        <v>0</v>
      </c>
      <c r="K211" s="251">
        <f>IF(K$4&gt;DAY(EOMONTH(DATE($D$2,$B$2,1),0)),"",IFERROR(SUMIFS(DATA_GOC!$H:$H,DATA_GOC!$A:$A,"BOM",DATA_GOC!$D:$D,$B211,DATA_GOC!$E:$E,"Téc cát nghiền",DATA_GOC!$F:$F,"Xuất nội bộ từ téc",DATA_GOC!$B:$B,DATE($D$2,$B$2,K$4)),0))</f>
        <v>0</v>
      </c>
      <c r="L211" s="251">
        <f>IF(L$4&gt;DAY(EOMONTH(DATE($D$2,$B$2,1),0)),"",IFERROR(SUMIFS(DATA_GOC!$H:$H,DATA_GOC!$A:$A,"BOM",DATA_GOC!$D:$D,$B211,DATA_GOC!$E:$E,"Téc cát nghiền",DATA_GOC!$F:$F,"Xuất nội bộ từ téc",DATA_GOC!$B:$B,DATE($D$2,$B$2,L$4)),0))</f>
        <v>0</v>
      </c>
      <c r="M211" s="251">
        <f>IF(M$4&gt;DAY(EOMONTH(DATE($D$2,$B$2,1),0)),"",IFERROR(SUMIFS(DATA_GOC!$H:$H,DATA_GOC!$A:$A,"BOM",DATA_GOC!$D:$D,$B211,DATA_GOC!$E:$E,"Téc cát nghiền",DATA_GOC!$F:$F,"Xuất nội bộ từ téc",DATA_GOC!$B:$B,DATE($D$2,$B$2,M$4)),0))</f>
        <v>0</v>
      </c>
      <c r="N211" s="251">
        <f>IF(N$4&gt;DAY(EOMONTH(DATE($D$2,$B$2,1),0)),"",IFERROR(SUMIFS(DATA_GOC!$H:$H,DATA_GOC!$A:$A,"BOM",DATA_GOC!$D:$D,$B211,DATA_GOC!$E:$E,"Téc cát nghiền",DATA_GOC!$F:$F,"Xuất nội bộ từ téc",DATA_GOC!$B:$B,DATE($D$2,$B$2,N$4)),0))</f>
        <v>0</v>
      </c>
      <c r="O211" s="251">
        <f>IF(O$4&gt;DAY(EOMONTH(DATE($D$2,$B$2,1),0)),"",IFERROR(SUMIFS(DATA_GOC!$H:$H,DATA_GOC!$A:$A,"BOM",DATA_GOC!$D:$D,$B211,DATA_GOC!$E:$E,"Téc cát nghiền",DATA_GOC!$F:$F,"Xuất nội bộ từ téc",DATA_GOC!$B:$B,DATE($D$2,$B$2,O$4)),0))</f>
        <v>0</v>
      </c>
      <c r="P211" s="251">
        <f>IF(P$4&gt;DAY(EOMONTH(DATE($D$2,$B$2,1),0)),"",IFERROR(SUMIFS(DATA_GOC!$H:$H,DATA_GOC!$A:$A,"BOM",DATA_GOC!$D:$D,$B211,DATA_GOC!$E:$E,"Téc cát nghiền",DATA_GOC!$F:$F,"Xuất nội bộ từ téc",DATA_GOC!$B:$B,DATE($D$2,$B$2,P$4)),0))</f>
        <v>0</v>
      </c>
      <c r="Q211" s="251">
        <f>IF(Q$4&gt;DAY(EOMONTH(DATE($D$2,$B$2,1),0)),"",IFERROR(SUMIFS(DATA_GOC!$H:$H,DATA_GOC!$A:$A,"BOM",DATA_GOC!$D:$D,$B211,DATA_GOC!$E:$E,"Téc cát nghiền",DATA_GOC!$F:$F,"Xuất nội bộ từ téc",DATA_GOC!$B:$B,DATE($D$2,$B$2,Q$4)),0))</f>
        <v>0</v>
      </c>
      <c r="R211" s="251">
        <f>IF(R$4&gt;DAY(EOMONTH(DATE($D$2,$B$2,1),0)),"",IFERROR(SUMIFS(DATA_GOC!$H:$H,DATA_GOC!$A:$A,"BOM",DATA_GOC!$D:$D,$B211,DATA_GOC!$E:$E,"Téc cát nghiền",DATA_GOC!$F:$F,"Xuất nội bộ từ téc",DATA_GOC!$B:$B,DATE($D$2,$B$2,R$4)),0))</f>
        <v>0</v>
      </c>
      <c r="S211" s="251">
        <f>IF(S$4&gt;DAY(EOMONTH(DATE($D$2,$B$2,1),0)),"",IFERROR(SUMIFS(DATA_GOC!$H:$H,DATA_GOC!$A:$A,"BOM",DATA_GOC!$D:$D,$B211,DATA_GOC!$E:$E,"Téc cát nghiền",DATA_GOC!$F:$F,"Xuất nội bộ từ téc",DATA_GOC!$B:$B,DATE($D$2,$B$2,S$4)),0))</f>
        <v>0</v>
      </c>
      <c r="T211" s="251">
        <f>IF(T$4&gt;DAY(EOMONTH(DATE($D$2,$B$2,1),0)),"",IFERROR(SUMIFS(DATA_GOC!$H:$H,DATA_GOC!$A:$A,"BOM",DATA_GOC!$D:$D,$B211,DATA_GOC!$E:$E,"Téc cát nghiền",DATA_GOC!$F:$F,"Xuất nội bộ từ téc",DATA_GOC!$B:$B,DATE($D$2,$B$2,T$4)),0))</f>
        <v>0</v>
      </c>
      <c r="U211" s="251">
        <f>IF(U$4&gt;DAY(EOMONTH(DATE($D$2,$B$2,1),0)),"",IFERROR(SUMIFS(DATA_GOC!$H:$H,DATA_GOC!$A:$A,"BOM",DATA_GOC!$D:$D,$B211,DATA_GOC!$E:$E,"Téc cát nghiền",DATA_GOC!$F:$F,"Xuất nội bộ từ téc",DATA_GOC!$B:$B,DATE($D$2,$B$2,U$4)),0))</f>
        <v>0</v>
      </c>
      <c r="V211" s="251">
        <f>IF(V$4&gt;DAY(EOMONTH(DATE($D$2,$B$2,1),0)),"",IFERROR(SUMIFS(DATA_GOC!$H:$H,DATA_GOC!$A:$A,"BOM",DATA_GOC!$D:$D,$B211,DATA_GOC!$E:$E,"Téc cát nghiền",DATA_GOC!$F:$F,"Xuất nội bộ từ téc",DATA_GOC!$B:$B,DATE($D$2,$B$2,V$4)),0))</f>
        <v>0</v>
      </c>
      <c r="W211" s="251">
        <f>IF(W$4&gt;DAY(EOMONTH(DATE($D$2,$B$2,1),0)),"",IFERROR(SUMIFS(DATA_GOC!$H:$H,DATA_GOC!$A:$A,"BOM",DATA_GOC!$D:$D,$B211,DATA_GOC!$E:$E,"Téc cát nghiền",DATA_GOC!$F:$F,"Xuất nội bộ từ téc",DATA_GOC!$B:$B,DATE($D$2,$B$2,W$4)),0))</f>
        <v>0</v>
      </c>
      <c r="X211" s="251">
        <f>IF(X$4&gt;DAY(EOMONTH(DATE($D$2,$B$2,1),0)),"",IFERROR(SUMIFS(DATA_GOC!$H:$H,DATA_GOC!$A:$A,"BOM",DATA_GOC!$D:$D,$B211,DATA_GOC!$E:$E,"Téc cát nghiền",DATA_GOC!$F:$F,"Xuất nội bộ từ téc",DATA_GOC!$B:$B,DATE($D$2,$B$2,X$4)),0))</f>
        <v>0</v>
      </c>
      <c r="Y211" s="251">
        <f>IF(Y$4&gt;DAY(EOMONTH(DATE($D$2,$B$2,1),0)),"",IFERROR(SUMIFS(DATA_GOC!$H:$H,DATA_GOC!$A:$A,"BOM",DATA_GOC!$D:$D,$B211,DATA_GOC!$E:$E,"Téc cát nghiền",DATA_GOC!$F:$F,"Xuất nội bộ từ téc",DATA_GOC!$B:$B,DATE($D$2,$B$2,Y$4)),0))</f>
        <v>0</v>
      </c>
      <c r="Z211" s="251">
        <f>IF(Z$4&gt;DAY(EOMONTH(DATE($D$2,$B$2,1),0)),"",IFERROR(SUMIFS(DATA_GOC!$H:$H,DATA_GOC!$A:$A,"BOM",DATA_GOC!$D:$D,$B211,DATA_GOC!$E:$E,"Téc cát nghiền",DATA_GOC!$F:$F,"Xuất nội bộ từ téc",DATA_GOC!$B:$B,DATE($D$2,$B$2,Z$4)),0))</f>
        <v>0</v>
      </c>
      <c r="AA211" s="251">
        <f>IF(AA$4&gt;DAY(EOMONTH(DATE($D$2,$B$2,1),0)),"",IFERROR(SUMIFS(DATA_GOC!$H:$H,DATA_GOC!$A:$A,"BOM",DATA_GOC!$D:$D,$B211,DATA_GOC!$E:$E,"Téc cát nghiền",DATA_GOC!$F:$F,"Xuất nội bộ từ téc",DATA_GOC!$B:$B,DATE($D$2,$B$2,AA$4)),0))</f>
        <v>0</v>
      </c>
      <c r="AB211" s="251">
        <f>IF(AB$4&gt;DAY(EOMONTH(DATE($D$2,$B$2,1),0)),"",IFERROR(SUMIFS(DATA_GOC!$H:$H,DATA_GOC!$A:$A,"BOM",DATA_GOC!$D:$D,$B211,DATA_GOC!$E:$E,"Téc cát nghiền",DATA_GOC!$F:$F,"Xuất nội bộ từ téc",DATA_GOC!$B:$B,DATE($D$2,$B$2,AB$4)),0))</f>
        <v>0</v>
      </c>
      <c r="AC211" s="251">
        <f>IF(AC$4&gt;DAY(EOMONTH(DATE($D$2,$B$2,1),0)),"",IFERROR(SUMIFS(DATA_GOC!$H:$H,DATA_GOC!$A:$A,"BOM",DATA_GOC!$D:$D,$B211,DATA_GOC!$E:$E,"Téc cát nghiền",DATA_GOC!$F:$F,"Xuất nội bộ từ téc",DATA_GOC!$B:$B,DATE($D$2,$B$2,AC$4)),0))</f>
        <v>0</v>
      </c>
      <c r="AD211" s="251">
        <f>IF(AD$4&gt;DAY(EOMONTH(DATE($D$2,$B$2,1),0)),"",IFERROR(SUMIFS(DATA_GOC!$H:$H,DATA_GOC!$A:$A,"BOM",DATA_GOC!$D:$D,$B211,DATA_GOC!$E:$E,"Téc cát nghiền",DATA_GOC!$F:$F,"Xuất nội bộ từ téc",DATA_GOC!$B:$B,DATE($D$2,$B$2,AD$4)),0))</f>
        <v>0</v>
      </c>
      <c r="AE211" s="251">
        <f>IF(AE$4&gt;DAY(EOMONTH(DATE($D$2,$B$2,1),0)),"",IFERROR(SUMIFS(DATA_GOC!$H:$H,DATA_GOC!$A:$A,"BOM",DATA_GOC!$D:$D,$B211,DATA_GOC!$E:$E,"Téc cát nghiền",DATA_GOC!$F:$F,"Xuất nội bộ từ téc",DATA_GOC!$B:$B,DATE($D$2,$B$2,AE$4)),0))</f>
        <v>0</v>
      </c>
      <c r="AF211" s="251">
        <f>IF(AF$4&gt;DAY(EOMONTH(DATE($D$2,$B$2,1),0)),"",IFERROR(SUMIFS(DATA_GOC!$H:$H,DATA_GOC!$A:$A,"BOM",DATA_GOC!$D:$D,$B211,DATA_GOC!$E:$E,"Téc cát nghiền",DATA_GOC!$F:$F,"Xuất nội bộ từ téc",DATA_GOC!$B:$B,DATE($D$2,$B$2,AF$4)),0))</f>
        <v>0</v>
      </c>
      <c r="AG211" s="251">
        <f>IF(AG$4&gt;DAY(EOMONTH(DATE($D$2,$B$2,1),0)),"",IFERROR(SUMIFS(DATA_GOC!$H:$H,DATA_GOC!$A:$A,"BOM",DATA_GOC!$D:$D,$B211,DATA_GOC!$E:$E,"Téc cát nghiền",DATA_GOC!$F:$F,"Xuất nội bộ từ téc",DATA_GOC!$B:$B,DATE($D$2,$B$2,AG$4)),0))</f>
        <v>0</v>
      </c>
      <c r="AH211" s="252">
        <f t="shared" si="10"/>
        <v>0</v>
      </c>
      <c r="AI211" s="241"/>
      <c r="AJ211" s="242">
        <f>IF($B211="","",SUMIFS(TINH_TEC!$K$233:$K$9232,TINH_TEC!$H$233:$H$9232,$B211,TINH_TEC!$C$233:$C$9232,"Téc cát nghiền",TINH_TEC!$F$233:$F$9232,$B$2,TINH_TEC!$G$233:$G$9232,$D$2,TINH_TEC!$B$233:$B$9232,"Đã chốt"))</f>
        <v>0</v>
      </c>
      <c r="AK211" s="242">
        <f>IF($B211="","",SUMIFS(TINH_TEC!$J$233:$J$9232,TINH_TEC!$H$233:$H$9232,$B211,TINH_TEC!$C$233:$C$9232,"Téc cát nghiền",TINH_TEC!$F$233:$F$9232,$B$2,TINH_TEC!$G$233:$G$9232,$D$2,TINH_TEC!$B$233:$B$9232,"Đã chốt"))</f>
        <v>0</v>
      </c>
      <c r="AL211" s="242">
        <f t="shared" si="11"/>
        <v>0</v>
      </c>
    </row>
    <row r="212" ht="15.75" customHeight="1">
      <c r="A212" s="237">
        <f>IF($B212&lt;&gt;"",24,"")</f>
        <v>24</v>
      </c>
      <c r="B212" s="250" t="str">
        <f t="array" ref="B212">IFERROR(INDEX(DANH_MUC!$E:$E,27),"")</f>
        <v>28C04536</v>
      </c>
      <c r="C212" s="251">
        <f>IF(C$4&gt;DAY(EOMONTH(DATE($D$2,$B$2,1),0)),"",IFERROR(SUMIFS(DATA_GOC!$H:$H,DATA_GOC!$A:$A,"BOM",DATA_GOC!$D:$D,$B212,DATA_GOC!$E:$E,"Téc cát nghiền",DATA_GOC!$F:$F,"Xuất nội bộ từ téc",DATA_GOC!$B:$B,DATE($D$2,$B$2,C$4)),0))</f>
        <v>0</v>
      </c>
      <c r="D212" s="251">
        <f>IF(D$4&gt;DAY(EOMONTH(DATE($D$2,$B$2,1),0)),"",IFERROR(SUMIFS(DATA_GOC!$H:$H,DATA_GOC!$A:$A,"BOM",DATA_GOC!$D:$D,$B212,DATA_GOC!$E:$E,"Téc cát nghiền",DATA_GOC!$F:$F,"Xuất nội bộ từ téc",DATA_GOC!$B:$B,DATE($D$2,$B$2,D$4)),0))</f>
        <v>0</v>
      </c>
      <c r="E212" s="251">
        <f>IF(E$4&gt;DAY(EOMONTH(DATE($D$2,$B$2,1),0)),"",IFERROR(SUMIFS(DATA_GOC!$H:$H,DATA_GOC!$A:$A,"BOM",DATA_GOC!$D:$D,$B212,DATA_GOC!$E:$E,"Téc cát nghiền",DATA_GOC!$F:$F,"Xuất nội bộ từ téc",DATA_GOC!$B:$B,DATE($D$2,$B$2,E$4)),0))</f>
        <v>0</v>
      </c>
      <c r="F212" s="251">
        <f>IF(F$4&gt;DAY(EOMONTH(DATE($D$2,$B$2,1),0)),"",IFERROR(SUMIFS(DATA_GOC!$H:$H,DATA_GOC!$A:$A,"BOM",DATA_GOC!$D:$D,$B212,DATA_GOC!$E:$E,"Téc cát nghiền",DATA_GOC!$F:$F,"Xuất nội bộ từ téc",DATA_GOC!$B:$B,DATE($D$2,$B$2,F$4)),0))</f>
        <v>0</v>
      </c>
      <c r="G212" s="251">
        <f>IF(G$4&gt;DAY(EOMONTH(DATE($D$2,$B$2,1),0)),"",IFERROR(SUMIFS(DATA_GOC!$H:$H,DATA_GOC!$A:$A,"BOM",DATA_GOC!$D:$D,$B212,DATA_GOC!$E:$E,"Téc cát nghiền",DATA_GOC!$F:$F,"Xuất nội bộ từ téc",DATA_GOC!$B:$B,DATE($D$2,$B$2,G$4)),0))</f>
        <v>0</v>
      </c>
      <c r="H212" s="251">
        <f>IF(H$4&gt;DAY(EOMONTH(DATE($D$2,$B$2,1),0)),"",IFERROR(SUMIFS(DATA_GOC!$H:$H,DATA_GOC!$A:$A,"BOM",DATA_GOC!$D:$D,$B212,DATA_GOC!$E:$E,"Téc cát nghiền",DATA_GOC!$F:$F,"Xuất nội bộ từ téc",DATA_GOC!$B:$B,DATE($D$2,$B$2,H$4)),0))</f>
        <v>0</v>
      </c>
      <c r="I212" s="251">
        <f>IF(I$4&gt;DAY(EOMONTH(DATE($D$2,$B$2,1),0)),"",IFERROR(SUMIFS(DATA_GOC!$H:$H,DATA_GOC!$A:$A,"BOM",DATA_GOC!$D:$D,$B212,DATA_GOC!$E:$E,"Téc cát nghiền",DATA_GOC!$F:$F,"Xuất nội bộ từ téc",DATA_GOC!$B:$B,DATE($D$2,$B$2,I$4)),0))</f>
        <v>0</v>
      </c>
      <c r="J212" s="251">
        <f>IF(J$4&gt;DAY(EOMONTH(DATE($D$2,$B$2,1),0)),"",IFERROR(SUMIFS(DATA_GOC!$H:$H,DATA_GOC!$A:$A,"BOM",DATA_GOC!$D:$D,$B212,DATA_GOC!$E:$E,"Téc cát nghiền",DATA_GOC!$F:$F,"Xuất nội bộ từ téc",DATA_GOC!$B:$B,DATE($D$2,$B$2,J$4)),0))</f>
        <v>0</v>
      </c>
      <c r="K212" s="251">
        <f>IF(K$4&gt;DAY(EOMONTH(DATE($D$2,$B$2,1),0)),"",IFERROR(SUMIFS(DATA_GOC!$H:$H,DATA_GOC!$A:$A,"BOM",DATA_GOC!$D:$D,$B212,DATA_GOC!$E:$E,"Téc cát nghiền",DATA_GOC!$F:$F,"Xuất nội bộ từ téc",DATA_GOC!$B:$B,DATE($D$2,$B$2,K$4)),0))</f>
        <v>0</v>
      </c>
      <c r="L212" s="251">
        <f>IF(L$4&gt;DAY(EOMONTH(DATE($D$2,$B$2,1),0)),"",IFERROR(SUMIFS(DATA_GOC!$H:$H,DATA_GOC!$A:$A,"BOM",DATA_GOC!$D:$D,$B212,DATA_GOC!$E:$E,"Téc cát nghiền",DATA_GOC!$F:$F,"Xuất nội bộ từ téc",DATA_GOC!$B:$B,DATE($D$2,$B$2,L$4)),0))</f>
        <v>0</v>
      </c>
      <c r="M212" s="251">
        <f>IF(M$4&gt;DAY(EOMONTH(DATE($D$2,$B$2,1),0)),"",IFERROR(SUMIFS(DATA_GOC!$H:$H,DATA_GOC!$A:$A,"BOM",DATA_GOC!$D:$D,$B212,DATA_GOC!$E:$E,"Téc cát nghiền",DATA_GOC!$F:$F,"Xuất nội bộ từ téc",DATA_GOC!$B:$B,DATE($D$2,$B$2,M$4)),0))</f>
        <v>0</v>
      </c>
      <c r="N212" s="251">
        <f>IF(N$4&gt;DAY(EOMONTH(DATE($D$2,$B$2,1),0)),"",IFERROR(SUMIFS(DATA_GOC!$H:$H,DATA_GOC!$A:$A,"BOM",DATA_GOC!$D:$D,$B212,DATA_GOC!$E:$E,"Téc cát nghiền",DATA_GOC!$F:$F,"Xuất nội bộ từ téc",DATA_GOC!$B:$B,DATE($D$2,$B$2,N$4)),0))</f>
        <v>0</v>
      </c>
      <c r="O212" s="251">
        <f>IF(O$4&gt;DAY(EOMONTH(DATE($D$2,$B$2,1),0)),"",IFERROR(SUMIFS(DATA_GOC!$H:$H,DATA_GOC!$A:$A,"BOM",DATA_GOC!$D:$D,$B212,DATA_GOC!$E:$E,"Téc cát nghiền",DATA_GOC!$F:$F,"Xuất nội bộ từ téc",DATA_GOC!$B:$B,DATE($D$2,$B$2,O$4)),0))</f>
        <v>0</v>
      </c>
      <c r="P212" s="251">
        <f>IF(P$4&gt;DAY(EOMONTH(DATE($D$2,$B$2,1),0)),"",IFERROR(SUMIFS(DATA_GOC!$H:$H,DATA_GOC!$A:$A,"BOM",DATA_GOC!$D:$D,$B212,DATA_GOC!$E:$E,"Téc cát nghiền",DATA_GOC!$F:$F,"Xuất nội bộ từ téc",DATA_GOC!$B:$B,DATE($D$2,$B$2,P$4)),0))</f>
        <v>0</v>
      </c>
      <c r="Q212" s="251">
        <f>IF(Q$4&gt;DAY(EOMONTH(DATE($D$2,$B$2,1),0)),"",IFERROR(SUMIFS(DATA_GOC!$H:$H,DATA_GOC!$A:$A,"BOM",DATA_GOC!$D:$D,$B212,DATA_GOC!$E:$E,"Téc cát nghiền",DATA_GOC!$F:$F,"Xuất nội bộ từ téc",DATA_GOC!$B:$B,DATE($D$2,$B$2,Q$4)),0))</f>
        <v>0</v>
      </c>
      <c r="R212" s="251">
        <f>IF(R$4&gt;DAY(EOMONTH(DATE($D$2,$B$2,1),0)),"",IFERROR(SUMIFS(DATA_GOC!$H:$H,DATA_GOC!$A:$A,"BOM",DATA_GOC!$D:$D,$B212,DATA_GOC!$E:$E,"Téc cát nghiền",DATA_GOC!$F:$F,"Xuất nội bộ từ téc",DATA_GOC!$B:$B,DATE($D$2,$B$2,R$4)),0))</f>
        <v>0</v>
      </c>
      <c r="S212" s="251">
        <f>IF(S$4&gt;DAY(EOMONTH(DATE($D$2,$B$2,1),0)),"",IFERROR(SUMIFS(DATA_GOC!$H:$H,DATA_GOC!$A:$A,"BOM",DATA_GOC!$D:$D,$B212,DATA_GOC!$E:$E,"Téc cát nghiền",DATA_GOC!$F:$F,"Xuất nội bộ từ téc",DATA_GOC!$B:$B,DATE($D$2,$B$2,S$4)),0))</f>
        <v>0</v>
      </c>
      <c r="T212" s="251">
        <f>IF(T$4&gt;DAY(EOMONTH(DATE($D$2,$B$2,1),0)),"",IFERROR(SUMIFS(DATA_GOC!$H:$H,DATA_GOC!$A:$A,"BOM",DATA_GOC!$D:$D,$B212,DATA_GOC!$E:$E,"Téc cát nghiền",DATA_GOC!$F:$F,"Xuất nội bộ từ téc",DATA_GOC!$B:$B,DATE($D$2,$B$2,T$4)),0))</f>
        <v>0</v>
      </c>
      <c r="U212" s="251">
        <f>IF(U$4&gt;DAY(EOMONTH(DATE($D$2,$B$2,1),0)),"",IFERROR(SUMIFS(DATA_GOC!$H:$H,DATA_GOC!$A:$A,"BOM",DATA_GOC!$D:$D,$B212,DATA_GOC!$E:$E,"Téc cát nghiền",DATA_GOC!$F:$F,"Xuất nội bộ từ téc",DATA_GOC!$B:$B,DATE($D$2,$B$2,U$4)),0))</f>
        <v>0</v>
      </c>
      <c r="V212" s="251">
        <f>IF(V$4&gt;DAY(EOMONTH(DATE($D$2,$B$2,1),0)),"",IFERROR(SUMIFS(DATA_GOC!$H:$H,DATA_GOC!$A:$A,"BOM",DATA_GOC!$D:$D,$B212,DATA_GOC!$E:$E,"Téc cát nghiền",DATA_GOC!$F:$F,"Xuất nội bộ từ téc",DATA_GOC!$B:$B,DATE($D$2,$B$2,V$4)),0))</f>
        <v>0</v>
      </c>
      <c r="W212" s="251">
        <f>IF(W$4&gt;DAY(EOMONTH(DATE($D$2,$B$2,1),0)),"",IFERROR(SUMIFS(DATA_GOC!$H:$H,DATA_GOC!$A:$A,"BOM",DATA_GOC!$D:$D,$B212,DATA_GOC!$E:$E,"Téc cát nghiền",DATA_GOC!$F:$F,"Xuất nội bộ từ téc",DATA_GOC!$B:$B,DATE($D$2,$B$2,W$4)),0))</f>
        <v>0</v>
      </c>
      <c r="X212" s="251">
        <f>IF(X$4&gt;DAY(EOMONTH(DATE($D$2,$B$2,1),0)),"",IFERROR(SUMIFS(DATA_GOC!$H:$H,DATA_GOC!$A:$A,"BOM",DATA_GOC!$D:$D,$B212,DATA_GOC!$E:$E,"Téc cát nghiền",DATA_GOC!$F:$F,"Xuất nội bộ từ téc",DATA_GOC!$B:$B,DATE($D$2,$B$2,X$4)),0))</f>
        <v>0</v>
      </c>
      <c r="Y212" s="251">
        <f>IF(Y$4&gt;DAY(EOMONTH(DATE($D$2,$B$2,1),0)),"",IFERROR(SUMIFS(DATA_GOC!$H:$H,DATA_GOC!$A:$A,"BOM",DATA_GOC!$D:$D,$B212,DATA_GOC!$E:$E,"Téc cát nghiền",DATA_GOC!$F:$F,"Xuất nội bộ từ téc",DATA_GOC!$B:$B,DATE($D$2,$B$2,Y$4)),0))</f>
        <v>0</v>
      </c>
      <c r="Z212" s="251">
        <f>IF(Z$4&gt;DAY(EOMONTH(DATE($D$2,$B$2,1),0)),"",IFERROR(SUMIFS(DATA_GOC!$H:$H,DATA_GOC!$A:$A,"BOM",DATA_GOC!$D:$D,$B212,DATA_GOC!$E:$E,"Téc cát nghiền",DATA_GOC!$F:$F,"Xuất nội bộ từ téc",DATA_GOC!$B:$B,DATE($D$2,$B$2,Z$4)),0))</f>
        <v>0</v>
      </c>
      <c r="AA212" s="251">
        <f>IF(AA$4&gt;DAY(EOMONTH(DATE($D$2,$B$2,1),0)),"",IFERROR(SUMIFS(DATA_GOC!$H:$H,DATA_GOC!$A:$A,"BOM",DATA_GOC!$D:$D,$B212,DATA_GOC!$E:$E,"Téc cát nghiền",DATA_GOC!$F:$F,"Xuất nội bộ từ téc",DATA_GOC!$B:$B,DATE($D$2,$B$2,AA$4)),0))</f>
        <v>0</v>
      </c>
      <c r="AB212" s="251">
        <f>IF(AB$4&gt;DAY(EOMONTH(DATE($D$2,$B$2,1),0)),"",IFERROR(SUMIFS(DATA_GOC!$H:$H,DATA_GOC!$A:$A,"BOM",DATA_GOC!$D:$D,$B212,DATA_GOC!$E:$E,"Téc cát nghiền",DATA_GOC!$F:$F,"Xuất nội bộ từ téc",DATA_GOC!$B:$B,DATE($D$2,$B$2,AB$4)),0))</f>
        <v>0</v>
      </c>
      <c r="AC212" s="251">
        <f>IF(AC$4&gt;DAY(EOMONTH(DATE($D$2,$B$2,1),0)),"",IFERROR(SUMIFS(DATA_GOC!$H:$H,DATA_GOC!$A:$A,"BOM",DATA_GOC!$D:$D,$B212,DATA_GOC!$E:$E,"Téc cát nghiền",DATA_GOC!$F:$F,"Xuất nội bộ từ téc",DATA_GOC!$B:$B,DATE($D$2,$B$2,AC$4)),0))</f>
        <v>0</v>
      </c>
      <c r="AD212" s="251">
        <f>IF(AD$4&gt;DAY(EOMONTH(DATE($D$2,$B$2,1),0)),"",IFERROR(SUMIFS(DATA_GOC!$H:$H,DATA_GOC!$A:$A,"BOM",DATA_GOC!$D:$D,$B212,DATA_GOC!$E:$E,"Téc cát nghiền",DATA_GOC!$F:$F,"Xuất nội bộ từ téc",DATA_GOC!$B:$B,DATE($D$2,$B$2,AD$4)),0))</f>
        <v>0</v>
      </c>
      <c r="AE212" s="251">
        <f>IF(AE$4&gt;DAY(EOMONTH(DATE($D$2,$B$2,1),0)),"",IFERROR(SUMIFS(DATA_GOC!$H:$H,DATA_GOC!$A:$A,"BOM",DATA_GOC!$D:$D,$B212,DATA_GOC!$E:$E,"Téc cát nghiền",DATA_GOC!$F:$F,"Xuất nội bộ từ téc",DATA_GOC!$B:$B,DATE($D$2,$B$2,AE$4)),0))</f>
        <v>0</v>
      </c>
      <c r="AF212" s="251">
        <f>IF(AF$4&gt;DAY(EOMONTH(DATE($D$2,$B$2,1),0)),"",IFERROR(SUMIFS(DATA_GOC!$H:$H,DATA_GOC!$A:$A,"BOM",DATA_GOC!$D:$D,$B212,DATA_GOC!$E:$E,"Téc cát nghiền",DATA_GOC!$F:$F,"Xuất nội bộ từ téc",DATA_GOC!$B:$B,DATE($D$2,$B$2,AF$4)),0))</f>
        <v>0</v>
      </c>
      <c r="AG212" s="251">
        <f>IF(AG$4&gt;DAY(EOMONTH(DATE($D$2,$B$2,1),0)),"",IFERROR(SUMIFS(DATA_GOC!$H:$H,DATA_GOC!$A:$A,"BOM",DATA_GOC!$D:$D,$B212,DATA_GOC!$E:$E,"Téc cát nghiền",DATA_GOC!$F:$F,"Xuất nội bộ từ téc",DATA_GOC!$B:$B,DATE($D$2,$B$2,AG$4)),0))</f>
        <v>0</v>
      </c>
      <c r="AH212" s="252">
        <f t="shared" si="10"/>
        <v>0</v>
      </c>
      <c r="AI212" s="241"/>
      <c r="AJ212" s="242">
        <f>IF($B212="","",SUMIFS(TINH_TEC!$K$233:$K$9232,TINH_TEC!$H$233:$H$9232,$B212,TINH_TEC!$C$233:$C$9232,"Téc cát nghiền",TINH_TEC!$F$233:$F$9232,$B$2,TINH_TEC!$G$233:$G$9232,$D$2,TINH_TEC!$B$233:$B$9232,"Đã chốt"))</f>
        <v>0</v>
      </c>
      <c r="AK212" s="242">
        <f>IF($B212="","",SUMIFS(TINH_TEC!$J$233:$J$9232,TINH_TEC!$H$233:$H$9232,$B212,TINH_TEC!$C$233:$C$9232,"Téc cát nghiền",TINH_TEC!$F$233:$F$9232,$B$2,TINH_TEC!$G$233:$G$9232,$D$2,TINH_TEC!$B$233:$B$9232,"Đã chốt"))</f>
        <v>0</v>
      </c>
      <c r="AL212" s="242">
        <f t="shared" si="11"/>
        <v>0</v>
      </c>
    </row>
    <row r="213" ht="15.75" customHeight="1">
      <c r="A213" s="237">
        <f>IF($B213&lt;&gt;"",25,"")</f>
        <v>25</v>
      </c>
      <c r="B213" s="250" t="str">
        <f t="array" ref="B213">IFERROR(INDEX(DANH_MUC!$E:$E,28),"")</f>
        <v>28C04576</v>
      </c>
      <c r="C213" s="251">
        <f>IF(C$4&gt;DAY(EOMONTH(DATE($D$2,$B$2,1),0)),"",IFERROR(SUMIFS(DATA_GOC!$H:$H,DATA_GOC!$A:$A,"BOM",DATA_GOC!$D:$D,$B213,DATA_GOC!$E:$E,"Téc cát nghiền",DATA_GOC!$F:$F,"Xuất nội bộ từ téc",DATA_GOC!$B:$B,DATE($D$2,$B$2,C$4)),0))</f>
        <v>0</v>
      </c>
      <c r="D213" s="251">
        <f>IF(D$4&gt;DAY(EOMONTH(DATE($D$2,$B$2,1),0)),"",IFERROR(SUMIFS(DATA_GOC!$H:$H,DATA_GOC!$A:$A,"BOM",DATA_GOC!$D:$D,$B213,DATA_GOC!$E:$E,"Téc cát nghiền",DATA_GOC!$F:$F,"Xuất nội bộ từ téc",DATA_GOC!$B:$B,DATE($D$2,$B$2,D$4)),0))</f>
        <v>0</v>
      </c>
      <c r="E213" s="251">
        <f>IF(E$4&gt;DAY(EOMONTH(DATE($D$2,$B$2,1),0)),"",IFERROR(SUMIFS(DATA_GOC!$H:$H,DATA_GOC!$A:$A,"BOM",DATA_GOC!$D:$D,$B213,DATA_GOC!$E:$E,"Téc cát nghiền",DATA_GOC!$F:$F,"Xuất nội bộ từ téc",DATA_GOC!$B:$B,DATE($D$2,$B$2,E$4)),0))</f>
        <v>0</v>
      </c>
      <c r="F213" s="251">
        <f>IF(F$4&gt;DAY(EOMONTH(DATE($D$2,$B$2,1),0)),"",IFERROR(SUMIFS(DATA_GOC!$H:$H,DATA_GOC!$A:$A,"BOM",DATA_GOC!$D:$D,$B213,DATA_GOC!$E:$E,"Téc cát nghiền",DATA_GOC!$F:$F,"Xuất nội bộ từ téc",DATA_GOC!$B:$B,DATE($D$2,$B$2,F$4)),0))</f>
        <v>0</v>
      </c>
      <c r="G213" s="251">
        <f>IF(G$4&gt;DAY(EOMONTH(DATE($D$2,$B$2,1),0)),"",IFERROR(SUMIFS(DATA_GOC!$H:$H,DATA_GOC!$A:$A,"BOM",DATA_GOC!$D:$D,$B213,DATA_GOC!$E:$E,"Téc cát nghiền",DATA_GOC!$F:$F,"Xuất nội bộ từ téc",DATA_GOC!$B:$B,DATE($D$2,$B$2,G$4)),0))</f>
        <v>0</v>
      </c>
      <c r="H213" s="251">
        <f>IF(H$4&gt;DAY(EOMONTH(DATE($D$2,$B$2,1),0)),"",IFERROR(SUMIFS(DATA_GOC!$H:$H,DATA_GOC!$A:$A,"BOM",DATA_GOC!$D:$D,$B213,DATA_GOC!$E:$E,"Téc cát nghiền",DATA_GOC!$F:$F,"Xuất nội bộ từ téc",DATA_GOC!$B:$B,DATE($D$2,$B$2,H$4)),0))</f>
        <v>0</v>
      </c>
      <c r="I213" s="251">
        <f>IF(I$4&gt;DAY(EOMONTH(DATE($D$2,$B$2,1),0)),"",IFERROR(SUMIFS(DATA_GOC!$H:$H,DATA_GOC!$A:$A,"BOM",DATA_GOC!$D:$D,$B213,DATA_GOC!$E:$E,"Téc cát nghiền",DATA_GOC!$F:$F,"Xuất nội bộ từ téc",DATA_GOC!$B:$B,DATE($D$2,$B$2,I$4)),0))</f>
        <v>0</v>
      </c>
      <c r="J213" s="251">
        <f>IF(J$4&gt;DAY(EOMONTH(DATE($D$2,$B$2,1),0)),"",IFERROR(SUMIFS(DATA_GOC!$H:$H,DATA_GOC!$A:$A,"BOM",DATA_GOC!$D:$D,$B213,DATA_GOC!$E:$E,"Téc cát nghiền",DATA_GOC!$F:$F,"Xuất nội bộ từ téc",DATA_GOC!$B:$B,DATE($D$2,$B$2,J$4)),0))</f>
        <v>0</v>
      </c>
      <c r="K213" s="251">
        <f>IF(K$4&gt;DAY(EOMONTH(DATE($D$2,$B$2,1),0)),"",IFERROR(SUMIFS(DATA_GOC!$H:$H,DATA_GOC!$A:$A,"BOM",DATA_GOC!$D:$D,$B213,DATA_GOC!$E:$E,"Téc cát nghiền",DATA_GOC!$F:$F,"Xuất nội bộ từ téc",DATA_GOC!$B:$B,DATE($D$2,$B$2,K$4)),0))</f>
        <v>0</v>
      </c>
      <c r="L213" s="251">
        <f>IF(L$4&gt;DAY(EOMONTH(DATE($D$2,$B$2,1),0)),"",IFERROR(SUMIFS(DATA_GOC!$H:$H,DATA_GOC!$A:$A,"BOM",DATA_GOC!$D:$D,$B213,DATA_GOC!$E:$E,"Téc cát nghiền",DATA_GOC!$F:$F,"Xuất nội bộ từ téc",DATA_GOC!$B:$B,DATE($D$2,$B$2,L$4)),0))</f>
        <v>0</v>
      </c>
      <c r="M213" s="251">
        <f>IF(M$4&gt;DAY(EOMONTH(DATE($D$2,$B$2,1),0)),"",IFERROR(SUMIFS(DATA_GOC!$H:$H,DATA_GOC!$A:$A,"BOM",DATA_GOC!$D:$D,$B213,DATA_GOC!$E:$E,"Téc cát nghiền",DATA_GOC!$F:$F,"Xuất nội bộ từ téc",DATA_GOC!$B:$B,DATE($D$2,$B$2,M$4)),0))</f>
        <v>0</v>
      </c>
      <c r="N213" s="251">
        <f>IF(N$4&gt;DAY(EOMONTH(DATE($D$2,$B$2,1),0)),"",IFERROR(SUMIFS(DATA_GOC!$H:$H,DATA_GOC!$A:$A,"BOM",DATA_GOC!$D:$D,$B213,DATA_GOC!$E:$E,"Téc cát nghiền",DATA_GOC!$F:$F,"Xuất nội bộ từ téc",DATA_GOC!$B:$B,DATE($D$2,$B$2,N$4)),0))</f>
        <v>0</v>
      </c>
      <c r="O213" s="251">
        <f>IF(O$4&gt;DAY(EOMONTH(DATE($D$2,$B$2,1),0)),"",IFERROR(SUMIFS(DATA_GOC!$H:$H,DATA_GOC!$A:$A,"BOM",DATA_GOC!$D:$D,$B213,DATA_GOC!$E:$E,"Téc cát nghiền",DATA_GOC!$F:$F,"Xuất nội bộ từ téc",DATA_GOC!$B:$B,DATE($D$2,$B$2,O$4)),0))</f>
        <v>0</v>
      </c>
      <c r="P213" s="251">
        <f>IF(P$4&gt;DAY(EOMONTH(DATE($D$2,$B$2,1),0)),"",IFERROR(SUMIFS(DATA_GOC!$H:$H,DATA_GOC!$A:$A,"BOM",DATA_GOC!$D:$D,$B213,DATA_GOC!$E:$E,"Téc cát nghiền",DATA_GOC!$F:$F,"Xuất nội bộ từ téc",DATA_GOC!$B:$B,DATE($D$2,$B$2,P$4)),0))</f>
        <v>0</v>
      </c>
      <c r="Q213" s="251">
        <f>IF(Q$4&gt;DAY(EOMONTH(DATE($D$2,$B$2,1),0)),"",IFERROR(SUMIFS(DATA_GOC!$H:$H,DATA_GOC!$A:$A,"BOM",DATA_GOC!$D:$D,$B213,DATA_GOC!$E:$E,"Téc cát nghiền",DATA_GOC!$F:$F,"Xuất nội bộ từ téc",DATA_GOC!$B:$B,DATE($D$2,$B$2,Q$4)),0))</f>
        <v>0</v>
      </c>
      <c r="R213" s="251">
        <f>IF(R$4&gt;DAY(EOMONTH(DATE($D$2,$B$2,1),0)),"",IFERROR(SUMIFS(DATA_GOC!$H:$H,DATA_GOC!$A:$A,"BOM",DATA_GOC!$D:$D,$B213,DATA_GOC!$E:$E,"Téc cát nghiền",DATA_GOC!$F:$F,"Xuất nội bộ từ téc",DATA_GOC!$B:$B,DATE($D$2,$B$2,R$4)),0))</f>
        <v>0</v>
      </c>
      <c r="S213" s="251">
        <f>IF(S$4&gt;DAY(EOMONTH(DATE($D$2,$B$2,1),0)),"",IFERROR(SUMIFS(DATA_GOC!$H:$H,DATA_GOC!$A:$A,"BOM",DATA_GOC!$D:$D,$B213,DATA_GOC!$E:$E,"Téc cát nghiền",DATA_GOC!$F:$F,"Xuất nội bộ từ téc",DATA_GOC!$B:$B,DATE($D$2,$B$2,S$4)),0))</f>
        <v>0</v>
      </c>
      <c r="T213" s="251">
        <f>IF(T$4&gt;DAY(EOMONTH(DATE($D$2,$B$2,1),0)),"",IFERROR(SUMIFS(DATA_GOC!$H:$H,DATA_GOC!$A:$A,"BOM",DATA_GOC!$D:$D,$B213,DATA_GOC!$E:$E,"Téc cát nghiền",DATA_GOC!$F:$F,"Xuất nội bộ từ téc",DATA_GOC!$B:$B,DATE($D$2,$B$2,T$4)),0))</f>
        <v>0</v>
      </c>
      <c r="U213" s="251">
        <f>IF(U$4&gt;DAY(EOMONTH(DATE($D$2,$B$2,1),0)),"",IFERROR(SUMIFS(DATA_GOC!$H:$H,DATA_GOC!$A:$A,"BOM",DATA_GOC!$D:$D,$B213,DATA_GOC!$E:$E,"Téc cát nghiền",DATA_GOC!$F:$F,"Xuất nội bộ từ téc",DATA_GOC!$B:$B,DATE($D$2,$B$2,U$4)),0))</f>
        <v>0</v>
      </c>
      <c r="V213" s="251">
        <f>IF(V$4&gt;DAY(EOMONTH(DATE($D$2,$B$2,1),0)),"",IFERROR(SUMIFS(DATA_GOC!$H:$H,DATA_GOC!$A:$A,"BOM",DATA_GOC!$D:$D,$B213,DATA_GOC!$E:$E,"Téc cát nghiền",DATA_GOC!$F:$F,"Xuất nội bộ từ téc",DATA_GOC!$B:$B,DATE($D$2,$B$2,V$4)),0))</f>
        <v>0</v>
      </c>
      <c r="W213" s="251">
        <f>IF(W$4&gt;DAY(EOMONTH(DATE($D$2,$B$2,1),0)),"",IFERROR(SUMIFS(DATA_GOC!$H:$H,DATA_GOC!$A:$A,"BOM",DATA_GOC!$D:$D,$B213,DATA_GOC!$E:$E,"Téc cát nghiền",DATA_GOC!$F:$F,"Xuất nội bộ từ téc",DATA_GOC!$B:$B,DATE($D$2,$B$2,W$4)),0))</f>
        <v>0</v>
      </c>
      <c r="X213" s="251">
        <f>IF(X$4&gt;DAY(EOMONTH(DATE($D$2,$B$2,1),0)),"",IFERROR(SUMIFS(DATA_GOC!$H:$H,DATA_GOC!$A:$A,"BOM",DATA_GOC!$D:$D,$B213,DATA_GOC!$E:$E,"Téc cát nghiền",DATA_GOC!$F:$F,"Xuất nội bộ từ téc",DATA_GOC!$B:$B,DATE($D$2,$B$2,X$4)),0))</f>
        <v>0</v>
      </c>
      <c r="Y213" s="251">
        <f>IF(Y$4&gt;DAY(EOMONTH(DATE($D$2,$B$2,1),0)),"",IFERROR(SUMIFS(DATA_GOC!$H:$H,DATA_GOC!$A:$A,"BOM",DATA_GOC!$D:$D,$B213,DATA_GOC!$E:$E,"Téc cát nghiền",DATA_GOC!$F:$F,"Xuất nội bộ từ téc",DATA_GOC!$B:$B,DATE($D$2,$B$2,Y$4)),0))</f>
        <v>0</v>
      </c>
      <c r="Z213" s="251">
        <f>IF(Z$4&gt;DAY(EOMONTH(DATE($D$2,$B$2,1),0)),"",IFERROR(SUMIFS(DATA_GOC!$H:$H,DATA_GOC!$A:$A,"BOM",DATA_GOC!$D:$D,$B213,DATA_GOC!$E:$E,"Téc cát nghiền",DATA_GOC!$F:$F,"Xuất nội bộ từ téc",DATA_GOC!$B:$B,DATE($D$2,$B$2,Z$4)),0))</f>
        <v>0</v>
      </c>
      <c r="AA213" s="251">
        <f>IF(AA$4&gt;DAY(EOMONTH(DATE($D$2,$B$2,1),0)),"",IFERROR(SUMIFS(DATA_GOC!$H:$H,DATA_GOC!$A:$A,"BOM",DATA_GOC!$D:$D,$B213,DATA_GOC!$E:$E,"Téc cát nghiền",DATA_GOC!$F:$F,"Xuất nội bộ từ téc",DATA_GOC!$B:$B,DATE($D$2,$B$2,AA$4)),0))</f>
        <v>0</v>
      </c>
      <c r="AB213" s="251">
        <f>IF(AB$4&gt;DAY(EOMONTH(DATE($D$2,$B$2,1),0)),"",IFERROR(SUMIFS(DATA_GOC!$H:$H,DATA_GOC!$A:$A,"BOM",DATA_GOC!$D:$D,$B213,DATA_GOC!$E:$E,"Téc cát nghiền",DATA_GOC!$F:$F,"Xuất nội bộ từ téc",DATA_GOC!$B:$B,DATE($D$2,$B$2,AB$4)),0))</f>
        <v>0</v>
      </c>
      <c r="AC213" s="251">
        <f>IF(AC$4&gt;DAY(EOMONTH(DATE($D$2,$B$2,1),0)),"",IFERROR(SUMIFS(DATA_GOC!$H:$H,DATA_GOC!$A:$A,"BOM",DATA_GOC!$D:$D,$B213,DATA_GOC!$E:$E,"Téc cát nghiền",DATA_GOC!$F:$F,"Xuất nội bộ từ téc",DATA_GOC!$B:$B,DATE($D$2,$B$2,AC$4)),0))</f>
        <v>0</v>
      </c>
      <c r="AD213" s="251">
        <f>IF(AD$4&gt;DAY(EOMONTH(DATE($D$2,$B$2,1),0)),"",IFERROR(SUMIFS(DATA_GOC!$H:$H,DATA_GOC!$A:$A,"BOM",DATA_GOC!$D:$D,$B213,DATA_GOC!$E:$E,"Téc cát nghiền",DATA_GOC!$F:$F,"Xuất nội bộ từ téc",DATA_GOC!$B:$B,DATE($D$2,$B$2,AD$4)),0))</f>
        <v>0</v>
      </c>
      <c r="AE213" s="251">
        <f>IF(AE$4&gt;DAY(EOMONTH(DATE($D$2,$B$2,1),0)),"",IFERROR(SUMIFS(DATA_GOC!$H:$H,DATA_GOC!$A:$A,"BOM",DATA_GOC!$D:$D,$B213,DATA_GOC!$E:$E,"Téc cát nghiền",DATA_GOC!$F:$F,"Xuất nội bộ từ téc",DATA_GOC!$B:$B,DATE($D$2,$B$2,AE$4)),0))</f>
        <v>0</v>
      </c>
      <c r="AF213" s="251">
        <f>IF(AF$4&gt;DAY(EOMONTH(DATE($D$2,$B$2,1),0)),"",IFERROR(SUMIFS(DATA_GOC!$H:$H,DATA_GOC!$A:$A,"BOM",DATA_GOC!$D:$D,$B213,DATA_GOC!$E:$E,"Téc cát nghiền",DATA_GOC!$F:$F,"Xuất nội bộ từ téc",DATA_GOC!$B:$B,DATE($D$2,$B$2,AF$4)),0))</f>
        <v>0</v>
      </c>
      <c r="AG213" s="251">
        <f>IF(AG$4&gt;DAY(EOMONTH(DATE($D$2,$B$2,1),0)),"",IFERROR(SUMIFS(DATA_GOC!$H:$H,DATA_GOC!$A:$A,"BOM",DATA_GOC!$D:$D,$B213,DATA_GOC!$E:$E,"Téc cát nghiền",DATA_GOC!$F:$F,"Xuất nội bộ từ téc",DATA_GOC!$B:$B,DATE($D$2,$B$2,AG$4)),0))</f>
        <v>0</v>
      </c>
      <c r="AH213" s="252">
        <f t="shared" si="10"/>
        <v>0</v>
      </c>
      <c r="AI213" s="241"/>
      <c r="AJ213" s="242">
        <f>IF($B213="","",SUMIFS(TINH_TEC!$K$233:$K$9232,TINH_TEC!$H$233:$H$9232,$B213,TINH_TEC!$C$233:$C$9232,"Téc cát nghiền",TINH_TEC!$F$233:$F$9232,$B$2,TINH_TEC!$G$233:$G$9232,$D$2,TINH_TEC!$B$233:$B$9232,"Đã chốt"))</f>
        <v>0</v>
      </c>
      <c r="AK213" s="242">
        <f>IF($B213="","",SUMIFS(TINH_TEC!$J$233:$J$9232,TINH_TEC!$H$233:$H$9232,$B213,TINH_TEC!$C$233:$C$9232,"Téc cát nghiền",TINH_TEC!$F$233:$F$9232,$B$2,TINH_TEC!$G$233:$G$9232,$D$2,TINH_TEC!$B$233:$B$9232,"Đã chốt"))</f>
        <v>0</v>
      </c>
      <c r="AL213" s="242">
        <f t="shared" si="11"/>
        <v>0</v>
      </c>
    </row>
    <row r="214" ht="15.75" customHeight="1">
      <c r="A214" s="237">
        <f>IF($B214&lt;&gt;"",26,"")</f>
        <v>26</v>
      </c>
      <c r="B214" s="250" t="str">
        <f t="array" ref="B214">IFERROR(INDEX(DANH_MUC!$E:$E,29),"")</f>
        <v>28C05090</v>
      </c>
      <c r="C214" s="251">
        <f>IF(C$4&gt;DAY(EOMONTH(DATE($D$2,$B$2,1),0)),"",IFERROR(SUMIFS(DATA_GOC!$H:$H,DATA_GOC!$A:$A,"BOM",DATA_GOC!$D:$D,$B214,DATA_GOC!$E:$E,"Téc cát nghiền",DATA_GOC!$F:$F,"Xuất nội bộ từ téc",DATA_GOC!$B:$B,DATE($D$2,$B$2,C$4)),0))</f>
        <v>0</v>
      </c>
      <c r="D214" s="251">
        <f>IF(D$4&gt;DAY(EOMONTH(DATE($D$2,$B$2,1),0)),"",IFERROR(SUMIFS(DATA_GOC!$H:$H,DATA_GOC!$A:$A,"BOM",DATA_GOC!$D:$D,$B214,DATA_GOC!$E:$E,"Téc cát nghiền",DATA_GOC!$F:$F,"Xuất nội bộ từ téc",DATA_GOC!$B:$B,DATE($D$2,$B$2,D$4)),0))</f>
        <v>0</v>
      </c>
      <c r="E214" s="251">
        <f>IF(E$4&gt;DAY(EOMONTH(DATE($D$2,$B$2,1),0)),"",IFERROR(SUMIFS(DATA_GOC!$H:$H,DATA_GOC!$A:$A,"BOM",DATA_GOC!$D:$D,$B214,DATA_GOC!$E:$E,"Téc cát nghiền",DATA_GOC!$F:$F,"Xuất nội bộ từ téc",DATA_GOC!$B:$B,DATE($D$2,$B$2,E$4)),0))</f>
        <v>0</v>
      </c>
      <c r="F214" s="251">
        <f>IF(F$4&gt;DAY(EOMONTH(DATE($D$2,$B$2,1),0)),"",IFERROR(SUMIFS(DATA_GOC!$H:$H,DATA_GOC!$A:$A,"BOM",DATA_GOC!$D:$D,$B214,DATA_GOC!$E:$E,"Téc cát nghiền",DATA_GOC!$F:$F,"Xuất nội bộ từ téc",DATA_GOC!$B:$B,DATE($D$2,$B$2,F$4)),0))</f>
        <v>0</v>
      </c>
      <c r="G214" s="251">
        <f>IF(G$4&gt;DAY(EOMONTH(DATE($D$2,$B$2,1),0)),"",IFERROR(SUMIFS(DATA_GOC!$H:$H,DATA_GOC!$A:$A,"BOM",DATA_GOC!$D:$D,$B214,DATA_GOC!$E:$E,"Téc cát nghiền",DATA_GOC!$F:$F,"Xuất nội bộ từ téc",DATA_GOC!$B:$B,DATE($D$2,$B$2,G$4)),0))</f>
        <v>0</v>
      </c>
      <c r="H214" s="251">
        <f>IF(H$4&gt;DAY(EOMONTH(DATE($D$2,$B$2,1),0)),"",IFERROR(SUMIFS(DATA_GOC!$H:$H,DATA_GOC!$A:$A,"BOM",DATA_GOC!$D:$D,$B214,DATA_GOC!$E:$E,"Téc cát nghiền",DATA_GOC!$F:$F,"Xuất nội bộ từ téc",DATA_GOC!$B:$B,DATE($D$2,$B$2,H$4)),0))</f>
        <v>0</v>
      </c>
      <c r="I214" s="251">
        <f>IF(I$4&gt;DAY(EOMONTH(DATE($D$2,$B$2,1),0)),"",IFERROR(SUMIFS(DATA_GOC!$H:$H,DATA_GOC!$A:$A,"BOM",DATA_GOC!$D:$D,$B214,DATA_GOC!$E:$E,"Téc cát nghiền",DATA_GOC!$F:$F,"Xuất nội bộ từ téc",DATA_GOC!$B:$B,DATE($D$2,$B$2,I$4)),0))</f>
        <v>0</v>
      </c>
      <c r="J214" s="251">
        <f>IF(J$4&gt;DAY(EOMONTH(DATE($D$2,$B$2,1),0)),"",IFERROR(SUMIFS(DATA_GOC!$H:$H,DATA_GOC!$A:$A,"BOM",DATA_GOC!$D:$D,$B214,DATA_GOC!$E:$E,"Téc cát nghiền",DATA_GOC!$F:$F,"Xuất nội bộ từ téc",DATA_GOC!$B:$B,DATE($D$2,$B$2,J$4)),0))</f>
        <v>0</v>
      </c>
      <c r="K214" s="251">
        <f>IF(K$4&gt;DAY(EOMONTH(DATE($D$2,$B$2,1),0)),"",IFERROR(SUMIFS(DATA_GOC!$H:$H,DATA_GOC!$A:$A,"BOM",DATA_GOC!$D:$D,$B214,DATA_GOC!$E:$E,"Téc cát nghiền",DATA_GOC!$F:$F,"Xuất nội bộ từ téc",DATA_GOC!$B:$B,DATE($D$2,$B$2,K$4)),0))</f>
        <v>0</v>
      </c>
      <c r="L214" s="251">
        <f>IF(L$4&gt;DAY(EOMONTH(DATE($D$2,$B$2,1),0)),"",IFERROR(SUMIFS(DATA_GOC!$H:$H,DATA_GOC!$A:$A,"BOM",DATA_GOC!$D:$D,$B214,DATA_GOC!$E:$E,"Téc cát nghiền",DATA_GOC!$F:$F,"Xuất nội bộ từ téc",DATA_GOC!$B:$B,DATE($D$2,$B$2,L$4)),0))</f>
        <v>0</v>
      </c>
      <c r="M214" s="251">
        <f>IF(M$4&gt;DAY(EOMONTH(DATE($D$2,$B$2,1),0)),"",IFERROR(SUMIFS(DATA_GOC!$H:$H,DATA_GOC!$A:$A,"BOM",DATA_GOC!$D:$D,$B214,DATA_GOC!$E:$E,"Téc cát nghiền",DATA_GOC!$F:$F,"Xuất nội bộ từ téc",DATA_GOC!$B:$B,DATE($D$2,$B$2,M$4)),0))</f>
        <v>0</v>
      </c>
      <c r="N214" s="251">
        <f>IF(N$4&gt;DAY(EOMONTH(DATE($D$2,$B$2,1),0)),"",IFERROR(SUMIFS(DATA_GOC!$H:$H,DATA_GOC!$A:$A,"BOM",DATA_GOC!$D:$D,$B214,DATA_GOC!$E:$E,"Téc cát nghiền",DATA_GOC!$F:$F,"Xuất nội bộ từ téc",DATA_GOC!$B:$B,DATE($D$2,$B$2,N$4)),0))</f>
        <v>0</v>
      </c>
      <c r="O214" s="251">
        <f>IF(O$4&gt;DAY(EOMONTH(DATE($D$2,$B$2,1),0)),"",IFERROR(SUMIFS(DATA_GOC!$H:$H,DATA_GOC!$A:$A,"BOM",DATA_GOC!$D:$D,$B214,DATA_GOC!$E:$E,"Téc cát nghiền",DATA_GOC!$F:$F,"Xuất nội bộ từ téc",DATA_GOC!$B:$B,DATE($D$2,$B$2,O$4)),0))</f>
        <v>0</v>
      </c>
      <c r="P214" s="251">
        <f>IF(P$4&gt;DAY(EOMONTH(DATE($D$2,$B$2,1),0)),"",IFERROR(SUMIFS(DATA_GOC!$H:$H,DATA_GOC!$A:$A,"BOM",DATA_GOC!$D:$D,$B214,DATA_GOC!$E:$E,"Téc cát nghiền",DATA_GOC!$F:$F,"Xuất nội bộ từ téc",DATA_GOC!$B:$B,DATE($D$2,$B$2,P$4)),0))</f>
        <v>0</v>
      </c>
      <c r="Q214" s="251">
        <f>IF(Q$4&gt;DAY(EOMONTH(DATE($D$2,$B$2,1),0)),"",IFERROR(SUMIFS(DATA_GOC!$H:$H,DATA_GOC!$A:$A,"BOM",DATA_GOC!$D:$D,$B214,DATA_GOC!$E:$E,"Téc cát nghiền",DATA_GOC!$F:$F,"Xuất nội bộ từ téc",DATA_GOC!$B:$B,DATE($D$2,$B$2,Q$4)),0))</f>
        <v>0</v>
      </c>
      <c r="R214" s="251">
        <f>IF(R$4&gt;DAY(EOMONTH(DATE($D$2,$B$2,1),0)),"",IFERROR(SUMIFS(DATA_GOC!$H:$H,DATA_GOC!$A:$A,"BOM",DATA_GOC!$D:$D,$B214,DATA_GOC!$E:$E,"Téc cát nghiền",DATA_GOC!$F:$F,"Xuất nội bộ từ téc",DATA_GOC!$B:$B,DATE($D$2,$B$2,R$4)),0))</f>
        <v>0</v>
      </c>
      <c r="S214" s="251">
        <f>IF(S$4&gt;DAY(EOMONTH(DATE($D$2,$B$2,1),0)),"",IFERROR(SUMIFS(DATA_GOC!$H:$H,DATA_GOC!$A:$A,"BOM",DATA_GOC!$D:$D,$B214,DATA_GOC!$E:$E,"Téc cát nghiền",DATA_GOC!$F:$F,"Xuất nội bộ từ téc",DATA_GOC!$B:$B,DATE($D$2,$B$2,S$4)),0))</f>
        <v>0</v>
      </c>
      <c r="T214" s="251">
        <f>IF(T$4&gt;DAY(EOMONTH(DATE($D$2,$B$2,1),0)),"",IFERROR(SUMIFS(DATA_GOC!$H:$H,DATA_GOC!$A:$A,"BOM",DATA_GOC!$D:$D,$B214,DATA_GOC!$E:$E,"Téc cát nghiền",DATA_GOC!$F:$F,"Xuất nội bộ từ téc",DATA_GOC!$B:$B,DATE($D$2,$B$2,T$4)),0))</f>
        <v>0</v>
      </c>
      <c r="U214" s="251">
        <f>IF(U$4&gt;DAY(EOMONTH(DATE($D$2,$B$2,1),0)),"",IFERROR(SUMIFS(DATA_GOC!$H:$H,DATA_GOC!$A:$A,"BOM",DATA_GOC!$D:$D,$B214,DATA_GOC!$E:$E,"Téc cát nghiền",DATA_GOC!$F:$F,"Xuất nội bộ từ téc",DATA_GOC!$B:$B,DATE($D$2,$B$2,U$4)),0))</f>
        <v>0</v>
      </c>
      <c r="V214" s="251">
        <f>IF(V$4&gt;DAY(EOMONTH(DATE($D$2,$B$2,1),0)),"",IFERROR(SUMIFS(DATA_GOC!$H:$H,DATA_GOC!$A:$A,"BOM",DATA_GOC!$D:$D,$B214,DATA_GOC!$E:$E,"Téc cát nghiền",DATA_GOC!$F:$F,"Xuất nội bộ từ téc",DATA_GOC!$B:$B,DATE($D$2,$B$2,V$4)),0))</f>
        <v>0</v>
      </c>
      <c r="W214" s="251">
        <f>IF(W$4&gt;DAY(EOMONTH(DATE($D$2,$B$2,1),0)),"",IFERROR(SUMIFS(DATA_GOC!$H:$H,DATA_GOC!$A:$A,"BOM",DATA_GOC!$D:$D,$B214,DATA_GOC!$E:$E,"Téc cát nghiền",DATA_GOC!$F:$F,"Xuất nội bộ từ téc",DATA_GOC!$B:$B,DATE($D$2,$B$2,W$4)),0))</f>
        <v>0</v>
      </c>
      <c r="X214" s="251">
        <f>IF(X$4&gt;DAY(EOMONTH(DATE($D$2,$B$2,1),0)),"",IFERROR(SUMIFS(DATA_GOC!$H:$H,DATA_GOC!$A:$A,"BOM",DATA_GOC!$D:$D,$B214,DATA_GOC!$E:$E,"Téc cát nghiền",DATA_GOC!$F:$F,"Xuất nội bộ từ téc",DATA_GOC!$B:$B,DATE($D$2,$B$2,X$4)),0))</f>
        <v>0</v>
      </c>
      <c r="Y214" s="251">
        <f>IF(Y$4&gt;DAY(EOMONTH(DATE($D$2,$B$2,1),0)),"",IFERROR(SUMIFS(DATA_GOC!$H:$H,DATA_GOC!$A:$A,"BOM",DATA_GOC!$D:$D,$B214,DATA_GOC!$E:$E,"Téc cát nghiền",DATA_GOC!$F:$F,"Xuất nội bộ từ téc",DATA_GOC!$B:$B,DATE($D$2,$B$2,Y$4)),0))</f>
        <v>0</v>
      </c>
      <c r="Z214" s="251">
        <f>IF(Z$4&gt;DAY(EOMONTH(DATE($D$2,$B$2,1),0)),"",IFERROR(SUMIFS(DATA_GOC!$H:$H,DATA_GOC!$A:$A,"BOM",DATA_GOC!$D:$D,$B214,DATA_GOC!$E:$E,"Téc cát nghiền",DATA_GOC!$F:$F,"Xuất nội bộ từ téc",DATA_GOC!$B:$B,DATE($D$2,$B$2,Z$4)),0))</f>
        <v>0</v>
      </c>
      <c r="AA214" s="251">
        <f>IF(AA$4&gt;DAY(EOMONTH(DATE($D$2,$B$2,1),0)),"",IFERROR(SUMIFS(DATA_GOC!$H:$H,DATA_GOC!$A:$A,"BOM",DATA_GOC!$D:$D,$B214,DATA_GOC!$E:$E,"Téc cát nghiền",DATA_GOC!$F:$F,"Xuất nội bộ từ téc",DATA_GOC!$B:$B,DATE($D$2,$B$2,AA$4)),0))</f>
        <v>0</v>
      </c>
      <c r="AB214" s="251">
        <f>IF(AB$4&gt;DAY(EOMONTH(DATE($D$2,$B$2,1),0)),"",IFERROR(SUMIFS(DATA_GOC!$H:$H,DATA_GOC!$A:$A,"BOM",DATA_GOC!$D:$D,$B214,DATA_GOC!$E:$E,"Téc cát nghiền",DATA_GOC!$F:$F,"Xuất nội bộ từ téc",DATA_GOC!$B:$B,DATE($D$2,$B$2,AB$4)),0))</f>
        <v>0</v>
      </c>
      <c r="AC214" s="251">
        <f>IF(AC$4&gt;DAY(EOMONTH(DATE($D$2,$B$2,1),0)),"",IFERROR(SUMIFS(DATA_GOC!$H:$H,DATA_GOC!$A:$A,"BOM",DATA_GOC!$D:$D,$B214,DATA_GOC!$E:$E,"Téc cát nghiền",DATA_GOC!$F:$F,"Xuất nội bộ từ téc",DATA_GOC!$B:$B,DATE($D$2,$B$2,AC$4)),0))</f>
        <v>0</v>
      </c>
      <c r="AD214" s="251">
        <f>IF(AD$4&gt;DAY(EOMONTH(DATE($D$2,$B$2,1),0)),"",IFERROR(SUMIFS(DATA_GOC!$H:$H,DATA_GOC!$A:$A,"BOM",DATA_GOC!$D:$D,$B214,DATA_GOC!$E:$E,"Téc cát nghiền",DATA_GOC!$F:$F,"Xuất nội bộ từ téc",DATA_GOC!$B:$B,DATE($D$2,$B$2,AD$4)),0))</f>
        <v>0</v>
      </c>
      <c r="AE214" s="251">
        <f>IF(AE$4&gt;DAY(EOMONTH(DATE($D$2,$B$2,1),0)),"",IFERROR(SUMIFS(DATA_GOC!$H:$H,DATA_GOC!$A:$A,"BOM",DATA_GOC!$D:$D,$B214,DATA_GOC!$E:$E,"Téc cát nghiền",DATA_GOC!$F:$F,"Xuất nội bộ từ téc",DATA_GOC!$B:$B,DATE($D$2,$B$2,AE$4)),0))</f>
        <v>0</v>
      </c>
      <c r="AF214" s="251">
        <f>IF(AF$4&gt;DAY(EOMONTH(DATE($D$2,$B$2,1),0)),"",IFERROR(SUMIFS(DATA_GOC!$H:$H,DATA_GOC!$A:$A,"BOM",DATA_GOC!$D:$D,$B214,DATA_GOC!$E:$E,"Téc cát nghiền",DATA_GOC!$F:$F,"Xuất nội bộ từ téc",DATA_GOC!$B:$B,DATE($D$2,$B$2,AF$4)),0))</f>
        <v>0</v>
      </c>
      <c r="AG214" s="251">
        <f>IF(AG$4&gt;DAY(EOMONTH(DATE($D$2,$B$2,1),0)),"",IFERROR(SUMIFS(DATA_GOC!$H:$H,DATA_GOC!$A:$A,"BOM",DATA_GOC!$D:$D,$B214,DATA_GOC!$E:$E,"Téc cát nghiền",DATA_GOC!$F:$F,"Xuất nội bộ từ téc",DATA_GOC!$B:$B,DATE($D$2,$B$2,AG$4)),0))</f>
        <v>0</v>
      </c>
      <c r="AH214" s="252">
        <f t="shared" si="10"/>
        <v>0</v>
      </c>
      <c r="AI214" s="241"/>
      <c r="AJ214" s="242">
        <f>IF($B214="","",SUMIFS(TINH_TEC!$K$233:$K$9232,TINH_TEC!$H$233:$H$9232,$B214,TINH_TEC!$C$233:$C$9232,"Téc cát nghiền",TINH_TEC!$F$233:$F$9232,$B$2,TINH_TEC!$G$233:$G$9232,$D$2,TINH_TEC!$B$233:$B$9232,"Đã chốt"))</f>
        <v>0</v>
      </c>
      <c r="AK214" s="242">
        <f>IF($B214="","",SUMIFS(TINH_TEC!$J$233:$J$9232,TINH_TEC!$H$233:$H$9232,$B214,TINH_TEC!$C$233:$C$9232,"Téc cát nghiền",TINH_TEC!$F$233:$F$9232,$B$2,TINH_TEC!$G$233:$G$9232,$D$2,TINH_TEC!$B$233:$B$9232,"Đã chốt"))</f>
        <v>0</v>
      </c>
      <c r="AL214" s="242">
        <f t="shared" si="11"/>
        <v>0</v>
      </c>
    </row>
    <row r="215" ht="15.75" customHeight="1">
      <c r="A215" s="237">
        <f>IF($B215&lt;&gt;"",27,"")</f>
        <v>27</v>
      </c>
      <c r="B215" s="250" t="str">
        <f t="array" ref="B215">IFERROR(INDEX(DANH_MUC!$E:$E,30),"")</f>
        <v>28C05345</v>
      </c>
      <c r="C215" s="251">
        <f>IF(C$4&gt;DAY(EOMONTH(DATE($D$2,$B$2,1),0)),"",IFERROR(SUMIFS(DATA_GOC!$H:$H,DATA_GOC!$A:$A,"BOM",DATA_GOC!$D:$D,$B215,DATA_GOC!$E:$E,"Téc cát nghiền",DATA_GOC!$F:$F,"Xuất nội bộ từ téc",DATA_GOC!$B:$B,DATE($D$2,$B$2,C$4)),0))</f>
        <v>0</v>
      </c>
      <c r="D215" s="251">
        <f>IF(D$4&gt;DAY(EOMONTH(DATE($D$2,$B$2,1),0)),"",IFERROR(SUMIFS(DATA_GOC!$H:$H,DATA_GOC!$A:$A,"BOM",DATA_GOC!$D:$D,$B215,DATA_GOC!$E:$E,"Téc cát nghiền",DATA_GOC!$F:$F,"Xuất nội bộ từ téc",DATA_GOC!$B:$B,DATE($D$2,$B$2,D$4)),0))</f>
        <v>0</v>
      </c>
      <c r="E215" s="251">
        <f>IF(E$4&gt;DAY(EOMONTH(DATE($D$2,$B$2,1),0)),"",IFERROR(SUMIFS(DATA_GOC!$H:$H,DATA_GOC!$A:$A,"BOM",DATA_GOC!$D:$D,$B215,DATA_GOC!$E:$E,"Téc cát nghiền",DATA_GOC!$F:$F,"Xuất nội bộ từ téc",DATA_GOC!$B:$B,DATE($D$2,$B$2,E$4)),0))</f>
        <v>0</v>
      </c>
      <c r="F215" s="251">
        <f>IF(F$4&gt;DAY(EOMONTH(DATE($D$2,$B$2,1),0)),"",IFERROR(SUMIFS(DATA_GOC!$H:$H,DATA_GOC!$A:$A,"BOM",DATA_GOC!$D:$D,$B215,DATA_GOC!$E:$E,"Téc cát nghiền",DATA_GOC!$F:$F,"Xuất nội bộ từ téc",DATA_GOC!$B:$B,DATE($D$2,$B$2,F$4)),0))</f>
        <v>0</v>
      </c>
      <c r="G215" s="251">
        <f>IF(G$4&gt;DAY(EOMONTH(DATE($D$2,$B$2,1),0)),"",IFERROR(SUMIFS(DATA_GOC!$H:$H,DATA_GOC!$A:$A,"BOM",DATA_GOC!$D:$D,$B215,DATA_GOC!$E:$E,"Téc cát nghiền",DATA_GOC!$F:$F,"Xuất nội bộ từ téc",DATA_GOC!$B:$B,DATE($D$2,$B$2,G$4)),0))</f>
        <v>0</v>
      </c>
      <c r="H215" s="251">
        <f>IF(H$4&gt;DAY(EOMONTH(DATE($D$2,$B$2,1),0)),"",IFERROR(SUMIFS(DATA_GOC!$H:$H,DATA_GOC!$A:$A,"BOM",DATA_GOC!$D:$D,$B215,DATA_GOC!$E:$E,"Téc cát nghiền",DATA_GOC!$F:$F,"Xuất nội bộ từ téc",DATA_GOC!$B:$B,DATE($D$2,$B$2,H$4)),0))</f>
        <v>0</v>
      </c>
      <c r="I215" s="251">
        <f>IF(I$4&gt;DAY(EOMONTH(DATE($D$2,$B$2,1),0)),"",IFERROR(SUMIFS(DATA_GOC!$H:$H,DATA_GOC!$A:$A,"BOM",DATA_GOC!$D:$D,$B215,DATA_GOC!$E:$E,"Téc cát nghiền",DATA_GOC!$F:$F,"Xuất nội bộ từ téc",DATA_GOC!$B:$B,DATE($D$2,$B$2,I$4)),0))</f>
        <v>0</v>
      </c>
      <c r="J215" s="251">
        <f>IF(J$4&gt;DAY(EOMONTH(DATE($D$2,$B$2,1),0)),"",IFERROR(SUMIFS(DATA_GOC!$H:$H,DATA_GOC!$A:$A,"BOM",DATA_GOC!$D:$D,$B215,DATA_GOC!$E:$E,"Téc cát nghiền",DATA_GOC!$F:$F,"Xuất nội bộ từ téc",DATA_GOC!$B:$B,DATE($D$2,$B$2,J$4)),0))</f>
        <v>0</v>
      </c>
      <c r="K215" s="251">
        <f>IF(K$4&gt;DAY(EOMONTH(DATE($D$2,$B$2,1),0)),"",IFERROR(SUMIFS(DATA_GOC!$H:$H,DATA_GOC!$A:$A,"BOM",DATA_GOC!$D:$D,$B215,DATA_GOC!$E:$E,"Téc cát nghiền",DATA_GOC!$F:$F,"Xuất nội bộ từ téc",DATA_GOC!$B:$B,DATE($D$2,$B$2,K$4)),0))</f>
        <v>0</v>
      </c>
      <c r="L215" s="251">
        <f>IF(L$4&gt;DAY(EOMONTH(DATE($D$2,$B$2,1),0)),"",IFERROR(SUMIFS(DATA_GOC!$H:$H,DATA_GOC!$A:$A,"BOM",DATA_GOC!$D:$D,$B215,DATA_GOC!$E:$E,"Téc cát nghiền",DATA_GOC!$F:$F,"Xuất nội bộ từ téc",DATA_GOC!$B:$B,DATE($D$2,$B$2,L$4)),0))</f>
        <v>0</v>
      </c>
      <c r="M215" s="251">
        <f>IF(M$4&gt;DAY(EOMONTH(DATE($D$2,$B$2,1),0)),"",IFERROR(SUMIFS(DATA_GOC!$H:$H,DATA_GOC!$A:$A,"BOM",DATA_GOC!$D:$D,$B215,DATA_GOC!$E:$E,"Téc cát nghiền",DATA_GOC!$F:$F,"Xuất nội bộ từ téc",DATA_GOC!$B:$B,DATE($D$2,$B$2,M$4)),0))</f>
        <v>0</v>
      </c>
      <c r="N215" s="251">
        <f>IF(N$4&gt;DAY(EOMONTH(DATE($D$2,$B$2,1),0)),"",IFERROR(SUMIFS(DATA_GOC!$H:$H,DATA_GOC!$A:$A,"BOM",DATA_GOC!$D:$D,$B215,DATA_GOC!$E:$E,"Téc cát nghiền",DATA_GOC!$F:$F,"Xuất nội bộ từ téc",DATA_GOC!$B:$B,DATE($D$2,$B$2,N$4)),0))</f>
        <v>0</v>
      </c>
      <c r="O215" s="251">
        <f>IF(O$4&gt;DAY(EOMONTH(DATE($D$2,$B$2,1),0)),"",IFERROR(SUMIFS(DATA_GOC!$H:$H,DATA_GOC!$A:$A,"BOM",DATA_GOC!$D:$D,$B215,DATA_GOC!$E:$E,"Téc cát nghiền",DATA_GOC!$F:$F,"Xuất nội bộ từ téc",DATA_GOC!$B:$B,DATE($D$2,$B$2,O$4)),0))</f>
        <v>0</v>
      </c>
      <c r="P215" s="251">
        <f>IF(P$4&gt;DAY(EOMONTH(DATE($D$2,$B$2,1),0)),"",IFERROR(SUMIFS(DATA_GOC!$H:$H,DATA_GOC!$A:$A,"BOM",DATA_GOC!$D:$D,$B215,DATA_GOC!$E:$E,"Téc cát nghiền",DATA_GOC!$F:$F,"Xuất nội bộ từ téc",DATA_GOC!$B:$B,DATE($D$2,$B$2,P$4)),0))</f>
        <v>0</v>
      </c>
      <c r="Q215" s="251">
        <f>IF(Q$4&gt;DAY(EOMONTH(DATE($D$2,$B$2,1),0)),"",IFERROR(SUMIFS(DATA_GOC!$H:$H,DATA_GOC!$A:$A,"BOM",DATA_GOC!$D:$D,$B215,DATA_GOC!$E:$E,"Téc cát nghiền",DATA_GOC!$F:$F,"Xuất nội bộ từ téc",DATA_GOC!$B:$B,DATE($D$2,$B$2,Q$4)),0))</f>
        <v>0</v>
      </c>
      <c r="R215" s="251">
        <f>IF(R$4&gt;DAY(EOMONTH(DATE($D$2,$B$2,1),0)),"",IFERROR(SUMIFS(DATA_GOC!$H:$H,DATA_GOC!$A:$A,"BOM",DATA_GOC!$D:$D,$B215,DATA_GOC!$E:$E,"Téc cát nghiền",DATA_GOC!$F:$F,"Xuất nội bộ từ téc",DATA_GOC!$B:$B,DATE($D$2,$B$2,R$4)),0))</f>
        <v>0</v>
      </c>
      <c r="S215" s="251">
        <f>IF(S$4&gt;DAY(EOMONTH(DATE($D$2,$B$2,1),0)),"",IFERROR(SUMIFS(DATA_GOC!$H:$H,DATA_GOC!$A:$A,"BOM",DATA_GOC!$D:$D,$B215,DATA_GOC!$E:$E,"Téc cát nghiền",DATA_GOC!$F:$F,"Xuất nội bộ từ téc",DATA_GOC!$B:$B,DATE($D$2,$B$2,S$4)),0))</f>
        <v>0</v>
      </c>
      <c r="T215" s="251">
        <f>IF(T$4&gt;DAY(EOMONTH(DATE($D$2,$B$2,1),0)),"",IFERROR(SUMIFS(DATA_GOC!$H:$H,DATA_GOC!$A:$A,"BOM",DATA_GOC!$D:$D,$B215,DATA_GOC!$E:$E,"Téc cát nghiền",DATA_GOC!$F:$F,"Xuất nội bộ từ téc",DATA_GOC!$B:$B,DATE($D$2,$B$2,T$4)),0))</f>
        <v>0</v>
      </c>
      <c r="U215" s="251">
        <f>IF(U$4&gt;DAY(EOMONTH(DATE($D$2,$B$2,1),0)),"",IFERROR(SUMIFS(DATA_GOC!$H:$H,DATA_GOC!$A:$A,"BOM",DATA_GOC!$D:$D,$B215,DATA_GOC!$E:$E,"Téc cát nghiền",DATA_GOC!$F:$F,"Xuất nội bộ từ téc",DATA_GOC!$B:$B,DATE($D$2,$B$2,U$4)),0))</f>
        <v>0</v>
      </c>
      <c r="V215" s="251">
        <f>IF(V$4&gt;DAY(EOMONTH(DATE($D$2,$B$2,1),0)),"",IFERROR(SUMIFS(DATA_GOC!$H:$H,DATA_GOC!$A:$A,"BOM",DATA_GOC!$D:$D,$B215,DATA_GOC!$E:$E,"Téc cát nghiền",DATA_GOC!$F:$F,"Xuất nội bộ từ téc",DATA_GOC!$B:$B,DATE($D$2,$B$2,V$4)),0))</f>
        <v>0</v>
      </c>
      <c r="W215" s="251">
        <f>IF(W$4&gt;DAY(EOMONTH(DATE($D$2,$B$2,1),0)),"",IFERROR(SUMIFS(DATA_GOC!$H:$H,DATA_GOC!$A:$A,"BOM",DATA_GOC!$D:$D,$B215,DATA_GOC!$E:$E,"Téc cát nghiền",DATA_GOC!$F:$F,"Xuất nội bộ từ téc",DATA_GOC!$B:$B,DATE($D$2,$B$2,W$4)),0))</f>
        <v>0</v>
      </c>
      <c r="X215" s="251">
        <f>IF(X$4&gt;DAY(EOMONTH(DATE($D$2,$B$2,1),0)),"",IFERROR(SUMIFS(DATA_GOC!$H:$H,DATA_GOC!$A:$A,"BOM",DATA_GOC!$D:$D,$B215,DATA_GOC!$E:$E,"Téc cát nghiền",DATA_GOC!$F:$F,"Xuất nội bộ từ téc",DATA_GOC!$B:$B,DATE($D$2,$B$2,X$4)),0))</f>
        <v>0</v>
      </c>
      <c r="Y215" s="251">
        <f>IF(Y$4&gt;DAY(EOMONTH(DATE($D$2,$B$2,1),0)),"",IFERROR(SUMIFS(DATA_GOC!$H:$H,DATA_GOC!$A:$A,"BOM",DATA_GOC!$D:$D,$B215,DATA_GOC!$E:$E,"Téc cát nghiền",DATA_GOC!$F:$F,"Xuất nội bộ từ téc",DATA_GOC!$B:$B,DATE($D$2,$B$2,Y$4)),0))</f>
        <v>0</v>
      </c>
      <c r="Z215" s="251">
        <f>IF(Z$4&gt;DAY(EOMONTH(DATE($D$2,$B$2,1),0)),"",IFERROR(SUMIFS(DATA_GOC!$H:$H,DATA_GOC!$A:$A,"BOM",DATA_GOC!$D:$D,$B215,DATA_GOC!$E:$E,"Téc cát nghiền",DATA_GOC!$F:$F,"Xuất nội bộ từ téc",DATA_GOC!$B:$B,DATE($D$2,$B$2,Z$4)),0))</f>
        <v>0</v>
      </c>
      <c r="AA215" s="251">
        <f>IF(AA$4&gt;DAY(EOMONTH(DATE($D$2,$B$2,1),0)),"",IFERROR(SUMIFS(DATA_GOC!$H:$H,DATA_GOC!$A:$A,"BOM",DATA_GOC!$D:$D,$B215,DATA_GOC!$E:$E,"Téc cát nghiền",DATA_GOC!$F:$F,"Xuất nội bộ từ téc",DATA_GOC!$B:$B,DATE($D$2,$B$2,AA$4)),0))</f>
        <v>0</v>
      </c>
      <c r="AB215" s="251">
        <f>IF(AB$4&gt;DAY(EOMONTH(DATE($D$2,$B$2,1),0)),"",IFERROR(SUMIFS(DATA_GOC!$H:$H,DATA_GOC!$A:$A,"BOM",DATA_GOC!$D:$D,$B215,DATA_GOC!$E:$E,"Téc cát nghiền",DATA_GOC!$F:$F,"Xuất nội bộ từ téc",DATA_GOC!$B:$B,DATE($D$2,$B$2,AB$4)),0))</f>
        <v>0</v>
      </c>
      <c r="AC215" s="251">
        <f>IF(AC$4&gt;DAY(EOMONTH(DATE($D$2,$B$2,1),0)),"",IFERROR(SUMIFS(DATA_GOC!$H:$H,DATA_GOC!$A:$A,"BOM",DATA_GOC!$D:$D,$B215,DATA_GOC!$E:$E,"Téc cát nghiền",DATA_GOC!$F:$F,"Xuất nội bộ từ téc",DATA_GOC!$B:$B,DATE($D$2,$B$2,AC$4)),0))</f>
        <v>0</v>
      </c>
      <c r="AD215" s="251">
        <f>IF(AD$4&gt;DAY(EOMONTH(DATE($D$2,$B$2,1),0)),"",IFERROR(SUMIFS(DATA_GOC!$H:$H,DATA_GOC!$A:$A,"BOM",DATA_GOC!$D:$D,$B215,DATA_GOC!$E:$E,"Téc cát nghiền",DATA_GOC!$F:$F,"Xuất nội bộ từ téc",DATA_GOC!$B:$B,DATE($D$2,$B$2,AD$4)),0))</f>
        <v>0</v>
      </c>
      <c r="AE215" s="251">
        <f>IF(AE$4&gt;DAY(EOMONTH(DATE($D$2,$B$2,1),0)),"",IFERROR(SUMIFS(DATA_GOC!$H:$H,DATA_GOC!$A:$A,"BOM",DATA_GOC!$D:$D,$B215,DATA_GOC!$E:$E,"Téc cát nghiền",DATA_GOC!$F:$F,"Xuất nội bộ từ téc",DATA_GOC!$B:$B,DATE($D$2,$B$2,AE$4)),0))</f>
        <v>0</v>
      </c>
      <c r="AF215" s="251">
        <f>IF(AF$4&gt;DAY(EOMONTH(DATE($D$2,$B$2,1),0)),"",IFERROR(SUMIFS(DATA_GOC!$H:$H,DATA_GOC!$A:$A,"BOM",DATA_GOC!$D:$D,$B215,DATA_GOC!$E:$E,"Téc cát nghiền",DATA_GOC!$F:$F,"Xuất nội bộ từ téc",DATA_GOC!$B:$B,DATE($D$2,$B$2,AF$4)),0))</f>
        <v>0</v>
      </c>
      <c r="AG215" s="251">
        <f>IF(AG$4&gt;DAY(EOMONTH(DATE($D$2,$B$2,1),0)),"",IFERROR(SUMIFS(DATA_GOC!$H:$H,DATA_GOC!$A:$A,"BOM",DATA_GOC!$D:$D,$B215,DATA_GOC!$E:$E,"Téc cát nghiền",DATA_GOC!$F:$F,"Xuất nội bộ từ téc",DATA_GOC!$B:$B,DATE($D$2,$B$2,AG$4)),0))</f>
        <v>0</v>
      </c>
      <c r="AH215" s="252">
        <f t="shared" si="10"/>
        <v>0</v>
      </c>
      <c r="AI215" s="241"/>
      <c r="AJ215" s="242">
        <f>IF($B215="","",SUMIFS(TINH_TEC!$K$233:$K$9232,TINH_TEC!$H$233:$H$9232,$B215,TINH_TEC!$C$233:$C$9232,"Téc cát nghiền",TINH_TEC!$F$233:$F$9232,$B$2,TINH_TEC!$G$233:$G$9232,$D$2,TINH_TEC!$B$233:$B$9232,"Đã chốt"))</f>
        <v>0</v>
      </c>
      <c r="AK215" s="242">
        <f>IF($B215="","",SUMIFS(TINH_TEC!$J$233:$J$9232,TINH_TEC!$H$233:$H$9232,$B215,TINH_TEC!$C$233:$C$9232,"Téc cát nghiền",TINH_TEC!$F$233:$F$9232,$B$2,TINH_TEC!$G$233:$G$9232,$D$2,TINH_TEC!$B$233:$B$9232,"Đã chốt"))</f>
        <v>0</v>
      </c>
      <c r="AL215" s="242">
        <f t="shared" si="11"/>
        <v>0</v>
      </c>
    </row>
    <row r="216" ht="15.75" customHeight="1">
      <c r="A216" s="237">
        <f>IF($B216&lt;&gt;"",28,"")</f>
        <v>28</v>
      </c>
      <c r="B216" s="250" t="str">
        <f t="array" ref="B216">IFERROR(INDEX(DANH_MUC!$E:$E,31),"")</f>
        <v>28C05661</v>
      </c>
      <c r="C216" s="251">
        <f>IF(C$4&gt;DAY(EOMONTH(DATE($D$2,$B$2,1),0)),"",IFERROR(SUMIFS(DATA_GOC!$H:$H,DATA_GOC!$A:$A,"BOM",DATA_GOC!$D:$D,$B216,DATA_GOC!$E:$E,"Téc cát nghiền",DATA_GOC!$F:$F,"Xuất nội bộ từ téc",DATA_GOC!$B:$B,DATE($D$2,$B$2,C$4)),0))</f>
        <v>0</v>
      </c>
      <c r="D216" s="251">
        <f>IF(D$4&gt;DAY(EOMONTH(DATE($D$2,$B$2,1),0)),"",IFERROR(SUMIFS(DATA_GOC!$H:$H,DATA_GOC!$A:$A,"BOM",DATA_GOC!$D:$D,$B216,DATA_GOC!$E:$E,"Téc cát nghiền",DATA_GOC!$F:$F,"Xuất nội bộ từ téc",DATA_GOC!$B:$B,DATE($D$2,$B$2,D$4)),0))</f>
        <v>0</v>
      </c>
      <c r="E216" s="251">
        <f>IF(E$4&gt;DAY(EOMONTH(DATE($D$2,$B$2,1),0)),"",IFERROR(SUMIFS(DATA_GOC!$H:$H,DATA_GOC!$A:$A,"BOM",DATA_GOC!$D:$D,$B216,DATA_GOC!$E:$E,"Téc cát nghiền",DATA_GOC!$F:$F,"Xuất nội bộ từ téc",DATA_GOC!$B:$B,DATE($D$2,$B$2,E$4)),0))</f>
        <v>0</v>
      </c>
      <c r="F216" s="251">
        <f>IF(F$4&gt;DAY(EOMONTH(DATE($D$2,$B$2,1),0)),"",IFERROR(SUMIFS(DATA_GOC!$H:$H,DATA_GOC!$A:$A,"BOM",DATA_GOC!$D:$D,$B216,DATA_GOC!$E:$E,"Téc cát nghiền",DATA_GOC!$F:$F,"Xuất nội bộ từ téc",DATA_GOC!$B:$B,DATE($D$2,$B$2,F$4)),0))</f>
        <v>0</v>
      </c>
      <c r="G216" s="251">
        <f>IF(G$4&gt;DAY(EOMONTH(DATE($D$2,$B$2,1),0)),"",IFERROR(SUMIFS(DATA_GOC!$H:$H,DATA_GOC!$A:$A,"BOM",DATA_GOC!$D:$D,$B216,DATA_GOC!$E:$E,"Téc cát nghiền",DATA_GOC!$F:$F,"Xuất nội bộ từ téc",DATA_GOC!$B:$B,DATE($D$2,$B$2,G$4)),0))</f>
        <v>0</v>
      </c>
      <c r="H216" s="251">
        <f>IF(H$4&gt;DAY(EOMONTH(DATE($D$2,$B$2,1),0)),"",IFERROR(SUMIFS(DATA_GOC!$H:$H,DATA_GOC!$A:$A,"BOM",DATA_GOC!$D:$D,$B216,DATA_GOC!$E:$E,"Téc cát nghiền",DATA_GOC!$F:$F,"Xuất nội bộ từ téc",DATA_GOC!$B:$B,DATE($D$2,$B$2,H$4)),0))</f>
        <v>0</v>
      </c>
      <c r="I216" s="251">
        <f>IF(I$4&gt;DAY(EOMONTH(DATE($D$2,$B$2,1),0)),"",IFERROR(SUMIFS(DATA_GOC!$H:$H,DATA_GOC!$A:$A,"BOM",DATA_GOC!$D:$D,$B216,DATA_GOC!$E:$E,"Téc cát nghiền",DATA_GOC!$F:$F,"Xuất nội bộ từ téc",DATA_GOC!$B:$B,DATE($D$2,$B$2,I$4)),0))</f>
        <v>0</v>
      </c>
      <c r="J216" s="251">
        <f>IF(J$4&gt;DAY(EOMONTH(DATE($D$2,$B$2,1),0)),"",IFERROR(SUMIFS(DATA_GOC!$H:$H,DATA_GOC!$A:$A,"BOM",DATA_GOC!$D:$D,$B216,DATA_GOC!$E:$E,"Téc cát nghiền",DATA_GOC!$F:$F,"Xuất nội bộ từ téc",DATA_GOC!$B:$B,DATE($D$2,$B$2,J$4)),0))</f>
        <v>0</v>
      </c>
      <c r="K216" s="251">
        <f>IF(K$4&gt;DAY(EOMONTH(DATE($D$2,$B$2,1),0)),"",IFERROR(SUMIFS(DATA_GOC!$H:$H,DATA_GOC!$A:$A,"BOM",DATA_GOC!$D:$D,$B216,DATA_GOC!$E:$E,"Téc cát nghiền",DATA_GOC!$F:$F,"Xuất nội bộ từ téc",DATA_GOC!$B:$B,DATE($D$2,$B$2,K$4)),0))</f>
        <v>0</v>
      </c>
      <c r="L216" s="251">
        <f>IF(L$4&gt;DAY(EOMONTH(DATE($D$2,$B$2,1),0)),"",IFERROR(SUMIFS(DATA_GOC!$H:$H,DATA_GOC!$A:$A,"BOM",DATA_GOC!$D:$D,$B216,DATA_GOC!$E:$E,"Téc cát nghiền",DATA_GOC!$F:$F,"Xuất nội bộ từ téc",DATA_GOC!$B:$B,DATE($D$2,$B$2,L$4)),0))</f>
        <v>0</v>
      </c>
      <c r="M216" s="251">
        <f>IF(M$4&gt;DAY(EOMONTH(DATE($D$2,$B$2,1),0)),"",IFERROR(SUMIFS(DATA_GOC!$H:$H,DATA_GOC!$A:$A,"BOM",DATA_GOC!$D:$D,$B216,DATA_GOC!$E:$E,"Téc cát nghiền",DATA_GOC!$F:$F,"Xuất nội bộ từ téc",DATA_GOC!$B:$B,DATE($D$2,$B$2,M$4)),0))</f>
        <v>0</v>
      </c>
      <c r="N216" s="251">
        <f>IF(N$4&gt;DAY(EOMONTH(DATE($D$2,$B$2,1),0)),"",IFERROR(SUMIFS(DATA_GOC!$H:$H,DATA_GOC!$A:$A,"BOM",DATA_GOC!$D:$D,$B216,DATA_GOC!$E:$E,"Téc cát nghiền",DATA_GOC!$F:$F,"Xuất nội bộ từ téc",DATA_GOC!$B:$B,DATE($D$2,$B$2,N$4)),0))</f>
        <v>0</v>
      </c>
      <c r="O216" s="251">
        <f>IF(O$4&gt;DAY(EOMONTH(DATE($D$2,$B$2,1),0)),"",IFERROR(SUMIFS(DATA_GOC!$H:$H,DATA_GOC!$A:$A,"BOM",DATA_GOC!$D:$D,$B216,DATA_GOC!$E:$E,"Téc cát nghiền",DATA_GOC!$F:$F,"Xuất nội bộ từ téc",DATA_GOC!$B:$B,DATE($D$2,$B$2,O$4)),0))</f>
        <v>0</v>
      </c>
      <c r="P216" s="251">
        <f>IF(P$4&gt;DAY(EOMONTH(DATE($D$2,$B$2,1),0)),"",IFERROR(SUMIFS(DATA_GOC!$H:$H,DATA_GOC!$A:$A,"BOM",DATA_GOC!$D:$D,$B216,DATA_GOC!$E:$E,"Téc cát nghiền",DATA_GOC!$F:$F,"Xuất nội bộ từ téc",DATA_GOC!$B:$B,DATE($D$2,$B$2,P$4)),0))</f>
        <v>0</v>
      </c>
      <c r="Q216" s="251">
        <f>IF(Q$4&gt;DAY(EOMONTH(DATE($D$2,$B$2,1),0)),"",IFERROR(SUMIFS(DATA_GOC!$H:$H,DATA_GOC!$A:$A,"BOM",DATA_GOC!$D:$D,$B216,DATA_GOC!$E:$E,"Téc cát nghiền",DATA_GOC!$F:$F,"Xuất nội bộ từ téc",DATA_GOC!$B:$B,DATE($D$2,$B$2,Q$4)),0))</f>
        <v>0</v>
      </c>
      <c r="R216" s="251">
        <f>IF(R$4&gt;DAY(EOMONTH(DATE($D$2,$B$2,1),0)),"",IFERROR(SUMIFS(DATA_GOC!$H:$H,DATA_GOC!$A:$A,"BOM",DATA_GOC!$D:$D,$B216,DATA_GOC!$E:$E,"Téc cát nghiền",DATA_GOC!$F:$F,"Xuất nội bộ từ téc",DATA_GOC!$B:$B,DATE($D$2,$B$2,R$4)),0))</f>
        <v>0</v>
      </c>
      <c r="S216" s="251">
        <f>IF(S$4&gt;DAY(EOMONTH(DATE($D$2,$B$2,1),0)),"",IFERROR(SUMIFS(DATA_GOC!$H:$H,DATA_GOC!$A:$A,"BOM",DATA_GOC!$D:$D,$B216,DATA_GOC!$E:$E,"Téc cát nghiền",DATA_GOC!$F:$F,"Xuất nội bộ từ téc",DATA_GOC!$B:$B,DATE($D$2,$B$2,S$4)),0))</f>
        <v>0</v>
      </c>
      <c r="T216" s="251">
        <f>IF(T$4&gt;DAY(EOMONTH(DATE($D$2,$B$2,1),0)),"",IFERROR(SUMIFS(DATA_GOC!$H:$H,DATA_GOC!$A:$A,"BOM",DATA_GOC!$D:$D,$B216,DATA_GOC!$E:$E,"Téc cát nghiền",DATA_GOC!$F:$F,"Xuất nội bộ từ téc",DATA_GOC!$B:$B,DATE($D$2,$B$2,T$4)),0))</f>
        <v>0</v>
      </c>
      <c r="U216" s="251">
        <f>IF(U$4&gt;DAY(EOMONTH(DATE($D$2,$B$2,1),0)),"",IFERROR(SUMIFS(DATA_GOC!$H:$H,DATA_GOC!$A:$A,"BOM",DATA_GOC!$D:$D,$B216,DATA_GOC!$E:$E,"Téc cát nghiền",DATA_GOC!$F:$F,"Xuất nội bộ từ téc",DATA_GOC!$B:$B,DATE($D$2,$B$2,U$4)),0))</f>
        <v>0</v>
      </c>
      <c r="V216" s="251">
        <f>IF(V$4&gt;DAY(EOMONTH(DATE($D$2,$B$2,1),0)),"",IFERROR(SUMIFS(DATA_GOC!$H:$H,DATA_GOC!$A:$A,"BOM",DATA_GOC!$D:$D,$B216,DATA_GOC!$E:$E,"Téc cát nghiền",DATA_GOC!$F:$F,"Xuất nội bộ từ téc",DATA_GOC!$B:$B,DATE($D$2,$B$2,V$4)),0))</f>
        <v>0</v>
      </c>
      <c r="W216" s="251">
        <f>IF(W$4&gt;DAY(EOMONTH(DATE($D$2,$B$2,1),0)),"",IFERROR(SUMIFS(DATA_GOC!$H:$H,DATA_GOC!$A:$A,"BOM",DATA_GOC!$D:$D,$B216,DATA_GOC!$E:$E,"Téc cát nghiền",DATA_GOC!$F:$F,"Xuất nội bộ từ téc",DATA_GOC!$B:$B,DATE($D$2,$B$2,W$4)),0))</f>
        <v>0</v>
      </c>
      <c r="X216" s="251">
        <f>IF(X$4&gt;DAY(EOMONTH(DATE($D$2,$B$2,1),0)),"",IFERROR(SUMIFS(DATA_GOC!$H:$H,DATA_GOC!$A:$A,"BOM",DATA_GOC!$D:$D,$B216,DATA_GOC!$E:$E,"Téc cát nghiền",DATA_GOC!$F:$F,"Xuất nội bộ từ téc",DATA_GOC!$B:$B,DATE($D$2,$B$2,X$4)),0))</f>
        <v>0</v>
      </c>
      <c r="Y216" s="251">
        <f>IF(Y$4&gt;DAY(EOMONTH(DATE($D$2,$B$2,1),0)),"",IFERROR(SUMIFS(DATA_GOC!$H:$H,DATA_GOC!$A:$A,"BOM",DATA_GOC!$D:$D,$B216,DATA_GOC!$E:$E,"Téc cát nghiền",DATA_GOC!$F:$F,"Xuất nội bộ từ téc",DATA_GOC!$B:$B,DATE($D$2,$B$2,Y$4)),0))</f>
        <v>0</v>
      </c>
      <c r="Z216" s="251">
        <f>IF(Z$4&gt;DAY(EOMONTH(DATE($D$2,$B$2,1),0)),"",IFERROR(SUMIFS(DATA_GOC!$H:$H,DATA_GOC!$A:$A,"BOM",DATA_GOC!$D:$D,$B216,DATA_GOC!$E:$E,"Téc cát nghiền",DATA_GOC!$F:$F,"Xuất nội bộ từ téc",DATA_GOC!$B:$B,DATE($D$2,$B$2,Z$4)),0))</f>
        <v>0</v>
      </c>
      <c r="AA216" s="251">
        <f>IF(AA$4&gt;DAY(EOMONTH(DATE($D$2,$B$2,1),0)),"",IFERROR(SUMIFS(DATA_GOC!$H:$H,DATA_GOC!$A:$A,"BOM",DATA_GOC!$D:$D,$B216,DATA_GOC!$E:$E,"Téc cát nghiền",DATA_GOC!$F:$F,"Xuất nội bộ từ téc",DATA_GOC!$B:$B,DATE($D$2,$B$2,AA$4)),0))</f>
        <v>0</v>
      </c>
      <c r="AB216" s="251">
        <f>IF(AB$4&gt;DAY(EOMONTH(DATE($D$2,$B$2,1),0)),"",IFERROR(SUMIFS(DATA_GOC!$H:$H,DATA_GOC!$A:$A,"BOM",DATA_GOC!$D:$D,$B216,DATA_GOC!$E:$E,"Téc cát nghiền",DATA_GOC!$F:$F,"Xuất nội bộ từ téc",DATA_GOC!$B:$B,DATE($D$2,$B$2,AB$4)),0))</f>
        <v>0</v>
      </c>
      <c r="AC216" s="251">
        <f>IF(AC$4&gt;DAY(EOMONTH(DATE($D$2,$B$2,1),0)),"",IFERROR(SUMIFS(DATA_GOC!$H:$H,DATA_GOC!$A:$A,"BOM",DATA_GOC!$D:$D,$B216,DATA_GOC!$E:$E,"Téc cát nghiền",DATA_GOC!$F:$F,"Xuất nội bộ từ téc",DATA_GOC!$B:$B,DATE($D$2,$B$2,AC$4)),0))</f>
        <v>0</v>
      </c>
      <c r="AD216" s="251">
        <f>IF(AD$4&gt;DAY(EOMONTH(DATE($D$2,$B$2,1),0)),"",IFERROR(SUMIFS(DATA_GOC!$H:$H,DATA_GOC!$A:$A,"BOM",DATA_GOC!$D:$D,$B216,DATA_GOC!$E:$E,"Téc cát nghiền",DATA_GOC!$F:$F,"Xuất nội bộ từ téc",DATA_GOC!$B:$B,DATE($D$2,$B$2,AD$4)),0))</f>
        <v>0</v>
      </c>
      <c r="AE216" s="251">
        <f>IF(AE$4&gt;DAY(EOMONTH(DATE($D$2,$B$2,1),0)),"",IFERROR(SUMIFS(DATA_GOC!$H:$H,DATA_GOC!$A:$A,"BOM",DATA_GOC!$D:$D,$B216,DATA_GOC!$E:$E,"Téc cát nghiền",DATA_GOC!$F:$F,"Xuất nội bộ từ téc",DATA_GOC!$B:$B,DATE($D$2,$B$2,AE$4)),0))</f>
        <v>0</v>
      </c>
      <c r="AF216" s="251">
        <f>IF(AF$4&gt;DAY(EOMONTH(DATE($D$2,$B$2,1),0)),"",IFERROR(SUMIFS(DATA_GOC!$H:$H,DATA_GOC!$A:$A,"BOM",DATA_GOC!$D:$D,$B216,DATA_GOC!$E:$E,"Téc cát nghiền",DATA_GOC!$F:$F,"Xuất nội bộ từ téc",DATA_GOC!$B:$B,DATE($D$2,$B$2,AF$4)),0))</f>
        <v>0</v>
      </c>
      <c r="AG216" s="251">
        <f>IF(AG$4&gt;DAY(EOMONTH(DATE($D$2,$B$2,1),0)),"",IFERROR(SUMIFS(DATA_GOC!$H:$H,DATA_GOC!$A:$A,"BOM",DATA_GOC!$D:$D,$B216,DATA_GOC!$E:$E,"Téc cát nghiền",DATA_GOC!$F:$F,"Xuất nội bộ từ téc",DATA_GOC!$B:$B,DATE($D$2,$B$2,AG$4)),0))</f>
        <v>0</v>
      </c>
      <c r="AH216" s="252">
        <f t="shared" si="10"/>
        <v>0</v>
      </c>
      <c r="AI216" s="241"/>
      <c r="AJ216" s="242">
        <f>IF($B216="","",SUMIFS(TINH_TEC!$K$233:$K$9232,TINH_TEC!$H$233:$H$9232,$B216,TINH_TEC!$C$233:$C$9232,"Téc cát nghiền",TINH_TEC!$F$233:$F$9232,$B$2,TINH_TEC!$G$233:$G$9232,$D$2,TINH_TEC!$B$233:$B$9232,"Đã chốt"))</f>
        <v>0</v>
      </c>
      <c r="AK216" s="242">
        <f>IF($B216="","",SUMIFS(TINH_TEC!$J$233:$J$9232,TINH_TEC!$H$233:$H$9232,$B216,TINH_TEC!$C$233:$C$9232,"Téc cát nghiền",TINH_TEC!$F$233:$F$9232,$B$2,TINH_TEC!$G$233:$G$9232,$D$2,TINH_TEC!$B$233:$B$9232,"Đã chốt"))</f>
        <v>0</v>
      </c>
      <c r="AL216" s="242">
        <f t="shared" si="11"/>
        <v>0</v>
      </c>
    </row>
    <row r="217" ht="15.75" customHeight="1">
      <c r="A217" s="237">
        <f>IF($B217&lt;&gt;"",29,"")</f>
        <v>29</v>
      </c>
      <c r="B217" s="250" t="str">
        <f t="array" ref="B217">IFERROR(INDEX(DANH_MUC!$E:$E,32),"")</f>
        <v>28C05739</v>
      </c>
      <c r="C217" s="251">
        <f>IF(C$4&gt;DAY(EOMONTH(DATE($D$2,$B$2,1),0)),"",IFERROR(SUMIFS(DATA_GOC!$H:$H,DATA_GOC!$A:$A,"BOM",DATA_GOC!$D:$D,$B217,DATA_GOC!$E:$E,"Téc cát nghiền",DATA_GOC!$F:$F,"Xuất nội bộ từ téc",DATA_GOC!$B:$B,DATE($D$2,$B$2,C$4)),0))</f>
        <v>0</v>
      </c>
      <c r="D217" s="251">
        <f>IF(D$4&gt;DAY(EOMONTH(DATE($D$2,$B$2,1),0)),"",IFERROR(SUMIFS(DATA_GOC!$H:$H,DATA_GOC!$A:$A,"BOM",DATA_GOC!$D:$D,$B217,DATA_GOC!$E:$E,"Téc cát nghiền",DATA_GOC!$F:$F,"Xuất nội bộ từ téc",DATA_GOC!$B:$B,DATE($D$2,$B$2,D$4)),0))</f>
        <v>0</v>
      </c>
      <c r="E217" s="251">
        <f>IF(E$4&gt;DAY(EOMONTH(DATE($D$2,$B$2,1),0)),"",IFERROR(SUMIFS(DATA_GOC!$H:$H,DATA_GOC!$A:$A,"BOM",DATA_GOC!$D:$D,$B217,DATA_GOC!$E:$E,"Téc cát nghiền",DATA_GOC!$F:$F,"Xuất nội bộ từ téc",DATA_GOC!$B:$B,DATE($D$2,$B$2,E$4)),0))</f>
        <v>0</v>
      </c>
      <c r="F217" s="251">
        <f>IF(F$4&gt;DAY(EOMONTH(DATE($D$2,$B$2,1),0)),"",IFERROR(SUMIFS(DATA_GOC!$H:$H,DATA_GOC!$A:$A,"BOM",DATA_GOC!$D:$D,$B217,DATA_GOC!$E:$E,"Téc cát nghiền",DATA_GOC!$F:$F,"Xuất nội bộ từ téc",DATA_GOC!$B:$B,DATE($D$2,$B$2,F$4)),0))</f>
        <v>0</v>
      </c>
      <c r="G217" s="251">
        <f>IF(G$4&gt;DAY(EOMONTH(DATE($D$2,$B$2,1),0)),"",IFERROR(SUMIFS(DATA_GOC!$H:$H,DATA_GOC!$A:$A,"BOM",DATA_GOC!$D:$D,$B217,DATA_GOC!$E:$E,"Téc cát nghiền",DATA_GOC!$F:$F,"Xuất nội bộ từ téc",DATA_GOC!$B:$B,DATE($D$2,$B$2,G$4)),0))</f>
        <v>0</v>
      </c>
      <c r="H217" s="251">
        <f>IF(H$4&gt;DAY(EOMONTH(DATE($D$2,$B$2,1),0)),"",IFERROR(SUMIFS(DATA_GOC!$H:$H,DATA_GOC!$A:$A,"BOM",DATA_GOC!$D:$D,$B217,DATA_GOC!$E:$E,"Téc cát nghiền",DATA_GOC!$F:$F,"Xuất nội bộ từ téc",DATA_GOC!$B:$B,DATE($D$2,$B$2,H$4)),0))</f>
        <v>0</v>
      </c>
      <c r="I217" s="251">
        <f>IF(I$4&gt;DAY(EOMONTH(DATE($D$2,$B$2,1),0)),"",IFERROR(SUMIFS(DATA_GOC!$H:$H,DATA_GOC!$A:$A,"BOM",DATA_GOC!$D:$D,$B217,DATA_GOC!$E:$E,"Téc cát nghiền",DATA_GOC!$F:$F,"Xuất nội bộ từ téc",DATA_GOC!$B:$B,DATE($D$2,$B$2,I$4)),0))</f>
        <v>0</v>
      </c>
      <c r="J217" s="251">
        <f>IF(J$4&gt;DAY(EOMONTH(DATE($D$2,$B$2,1),0)),"",IFERROR(SUMIFS(DATA_GOC!$H:$H,DATA_GOC!$A:$A,"BOM",DATA_GOC!$D:$D,$B217,DATA_GOC!$E:$E,"Téc cát nghiền",DATA_GOC!$F:$F,"Xuất nội bộ từ téc",DATA_GOC!$B:$B,DATE($D$2,$B$2,J$4)),0))</f>
        <v>0</v>
      </c>
      <c r="K217" s="251">
        <f>IF(K$4&gt;DAY(EOMONTH(DATE($D$2,$B$2,1),0)),"",IFERROR(SUMIFS(DATA_GOC!$H:$H,DATA_GOC!$A:$A,"BOM",DATA_GOC!$D:$D,$B217,DATA_GOC!$E:$E,"Téc cát nghiền",DATA_GOC!$F:$F,"Xuất nội bộ từ téc",DATA_GOC!$B:$B,DATE($D$2,$B$2,K$4)),0))</f>
        <v>0</v>
      </c>
      <c r="L217" s="251">
        <f>IF(L$4&gt;DAY(EOMONTH(DATE($D$2,$B$2,1),0)),"",IFERROR(SUMIFS(DATA_GOC!$H:$H,DATA_GOC!$A:$A,"BOM",DATA_GOC!$D:$D,$B217,DATA_GOC!$E:$E,"Téc cát nghiền",DATA_GOC!$F:$F,"Xuất nội bộ từ téc",DATA_GOC!$B:$B,DATE($D$2,$B$2,L$4)),0))</f>
        <v>0</v>
      </c>
      <c r="M217" s="251">
        <f>IF(M$4&gt;DAY(EOMONTH(DATE($D$2,$B$2,1),0)),"",IFERROR(SUMIFS(DATA_GOC!$H:$H,DATA_GOC!$A:$A,"BOM",DATA_GOC!$D:$D,$B217,DATA_GOC!$E:$E,"Téc cát nghiền",DATA_GOC!$F:$F,"Xuất nội bộ từ téc",DATA_GOC!$B:$B,DATE($D$2,$B$2,M$4)),0))</f>
        <v>0</v>
      </c>
      <c r="N217" s="251">
        <f>IF(N$4&gt;DAY(EOMONTH(DATE($D$2,$B$2,1),0)),"",IFERROR(SUMIFS(DATA_GOC!$H:$H,DATA_GOC!$A:$A,"BOM",DATA_GOC!$D:$D,$B217,DATA_GOC!$E:$E,"Téc cát nghiền",DATA_GOC!$F:$F,"Xuất nội bộ từ téc",DATA_GOC!$B:$B,DATE($D$2,$B$2,N$4)),0))</f>
        <v>0</v>
      </c>
      <c r="O217" s="251">
        <f>IF(O$4&gt;DAY(EOMONTH(DATE($D$2,$B$2,1),0)),"",IFERROR(SUMIFS(DATA_GOC!$H:$H,DATA_GOC!$A:$A,"BOM",DATA_GOC!$D:$D,$B217,DATA_GOC!$E:$E,"Téc cát nghiền",DATA_GOC!$F:$F,"Xuất nội bộ từ téc",DATA_GOC!$B:$B,DATE($D$2,$B$2,O$4)),0))</f>
        <v>0</v>
      </c>
      <c r="P217" s="251">
        <f>IF(P$4&gt;DAY(EOMONTH(DATE($D$2,$B$2,1),0)),"",IFERROR(SUMIFS(DATA_GOC!$H:$H,DATA_GOC!$A:$A,"BOM",DATA_GOC!$D:$D,$B217,DATA_GOC!$E:$E,"Téc cát nghiền",DATA_GOC!$F:$F,"Xuất nội bộ từ téc",DATA_GOC!$B:$B,DATE($D$2,$B$2,P$4)),0))</f>
        <v>0</v>
      </c>
      <c r="Q217" s="251">
        <f>IF(Q$4&gt;DAY(EOMONTH(DATE($D$2,$B$2,1),0)),"",IFERROR(SUMIFS(DATA_GOC!$H:$H,DATA_GOC!$A:$A,"BOM",DATA_GOC!$D:$D,$B217,DATA_GOC!$E:$E,"Téc cát nghiền",DATA_GOC!$F:$F,"Xuất nội bộ từ téc",DATA_GOC!$B:$B,DATE($D$2,$B$2,Q$4)),0))</f>
        <v>0</v>
      </c>
      <c r="R217" s="251">
        <f>IF(R$4&gt;DAY(EOMONTH(DATE($D$2,$B$2,1),0)),"",IFERROR(SUMIFS(DATA_GOC!$H:$H,DATA_GOC!$A:$A,"BOM",DATA_GOC!$D:$D,$B217,DATA_GOC!$E:$E,"Téc cát nghiền",DATA_GOC!$F:$F,"Xuất nội bộ từ téc",DATA_GOC!$B:$B,DATE($D$2,$B$2,R$4)),0))</f>
        <v>0</v>
      </c>
      <c r="S217" s="251">
        <f>IF(S$4&gt;DAY(EOMONTH(DATE($D$2,$B$2,1),0)),"",IFERROR(SUMIFS(DATA_GOC!$H:$H,DATA_GOC!$A:$A,"BOM",DATA_GOC!$D:$D,$B217,DATA_GOC!$E:$E,"Téc cát nghiền",DATA_GOC!$F:$F,"Xuất nội bộ từ téc",DATA_GOC!$B:$B,DATE($D$2,$B$2,S$4)),0))</f>
        <v>0</v>
      </c>
      <c r="T217" s="251">
        <f>IF(T$4&gt;DAY(EOMONTH(DATE($D$2,$B$2,1),0)),"",IFERROR(SUMIFS(DATA_GOC!$H:$H,DATA_GOC!$A:$A,"BOM",DATA_GOC!$D:$D,$B217,DATA_GOC!$E:$E,"Téc cát nghiền",DATA_GOC!$F:$F,"Xuất nội bộ từ téc",DATA_GOC!$B:$B,DATE($D$2,$B$2,T$4)),0))</f>
        <v>0</v>
      </c>
      <c r="U217" s="251">
        <f>IF(U$4&gt;DAY(EOMONTH(DATE($D$2,$B$2,1),0)),"",IFERROR(SUMIFS(DATA_GOC!$H:$H,DATA_GOC!$A:$A,"BOM",DATA_GOC!$D:$D,$B217,DATA_GOC!$E:$E,"Téc cát nghiền",DATA_GOC!$F:$F,"Xuất nội bộ từ téc",DATA_GOC!$B:$B,DATE($D$2,$B$2,U$4)),0))</f>
        <v>0</v>
      </c>
      <c r="V217" s="251">
        <f>IF(V$4&gt;DAY(EOMONTH(DATE($D$2,$B$2,1),0)),"",IFERROR(SUMIFS(DATA_GOC!$H:$H,DATA_GOC!$A:$A,"BOM",DATA_GOC!$D:$D,$B217,DATA_GOC!$E:$E,"Téc cát nghiền",DATA_GOC!$F:$F,"Xuất nội bộ từ téc",DATA_GOC!$B:$B,DATE($D$2,$B$2,V$4)),0))</f>
        <v>0</v>
      </c>
      <c r="W217" s="251">
        <f>IF(W$4&gt;DAY(EOMONTH(DATE($D$2,$B$2,1),0)),"",IFERROR(SUMIFS(DATA_GOC!$H:$H,DATA_GOC!$A:$A,"BOM",DATA_GOC!$D:$D,$B217,DATA_GOC!$E:$E,"Téc cát nghiền",DATA_GOC!$F:$F,"Xuất nội bộ từ téc",DATA_GOC!$B:$B,DATE($D$2,$B$2,W$4)),0))</f>
        <v>0</v>
      </c>
      <c r="X217" s="251">
        <f>IF(X$4&gt;DAY(EOMONTH(DATE($D$2,$B$2,1),0)),"",IFERROR(SUMIFS(DATA_GOC!$H:$H,DATA_GOC!$A:$A,"BOM",DATA_GOC!$D:$D,$B217,DATA_GOC!$E:$E,"Téc cát nghiền",DATA_GOC!$F:$F,"Xuất nội bộ từ téc",DATA_GOC!$B:$B,DATE($D$2,$B$2,X$4)),0))</f>
        <v>0</v>
      </c>
      <c r="Y217" s="251">
        <f>IF(Y$4&gt;DAY(EOMONTH(DATE($D$2,$B$2,1),0)),"",IFERROR(SUMIFS(DATA_GOC!$H:$H,DATA_GOC!$A:$A,"BOM",DATA_GOC!$D:$D,$B217,DATA_GOC!$E:$E,"Téc cát nghiền",DATA_GOC!$F:$F,"Xuất nội bộ từ téc",DATA_GOC!$B:$B,DATE($D$2,$B$2,Y$4)),0))</f>
        <v>0</v>
      </c>
      <c r="Z217" s="251">
        <f>IF(Z$4&gt;DAY(EOMONTH(DATE($D$2,$B$2,1),0)),"",IFERROR(SUMIFS(DATA_GOC!$H:$H,DATA_GOC!$A:$A,"BOM",DATA_GOC!$D:$D,$B217,DATA_GOC!$E:$E,"Téc cát nghiền",DATA_GOC!$F:$F,"Xuất nội bộ từ téc",DATA_GOC!$B:$B,DATE($D$2,$B$2,Z$4)),0))</f>
        <v>0</v>
      </c>
      <c r="AA217" s="251">
        <f>IF(AA$4&gt;DAY(EOMONTH(DATE($D$2,$B$2,1),0)),"",IFERROR(SUMIFS(DATA_GOC!$H:$H,DATA_GOC!$A:$A,"BOM",DATA_GOC!$D:$D,$B217,DATA_GOC!$E:$E,"Téc cát nghiền",DATA_GOC!$F:$F,"Xuất nội bộ từ téc",DATA_GOC!$B:$B,DATE($D$2,$B$2,AA$4)),0))</f>
        <v>0</v>
      </c>
      <c r="AB217" s="251">
        <f>IF(AB$4&gt;DAY(EOMONTH(DATE($D$2,$B$2,1),0)),"",IFERROR(SUMIFS(DATA_GOC!$H:$H,DATA_GOC!$A:$A,"BOM",DATA_GOC!$D:$D,$B217,DATA_GOC!$E:$E,"Téc cát nghiền",DATA_GOC!$F:$F,"Xuất nội bộ từ téc",DATA_GOC!$B:$B,DATE($D$2,$B$2,AB$4)),0))</f>
        <v>0</v>
      </c>
      <c r="AC217" s="251">
        <f>IF(AC$4&gt;DAY(EOMONTH(DATE($D$2,$B$2,1),0)),"",IFERROR(SUMIFS(DATA_GOC!$H:$H,DATA_GOC!$A:$A,"BOM",DATA_GOC!$D:$D,$B217,DATA_GOC!$E:$E,"Téc cát nghiền",DATA_GOC!$F:$F,"Xuất nội bộ từ téc",DATA_GOC!$B:$B,DATE($D$2,$B$2,AC$4)),0))</f>
        <v>0</v>
      </c>
      <c r="AD217" s="251">
        <f>IF(AD$4&gt;DAY(EOMONTH(DATE($D$2,$B$2,1),0)),"",IFERROR(SUMIFS(DATA_GOC!$H:$H,DATA_GOC!$A:$A,"BOM",DATA_GOC!$D:$D,$B217,DATA_GOC!$E:$E,"Téc cát nghiền",DATA_GOC!$F:$F,"Xuất nội bộ từ téc",DATA_GOC!$B:$B,DATE($D$2,$B$2,AD$4)),0))</f>
        <v>0</v>
      </c>
      <c r="AE217" s="251">
        <f>IF(AE$4&gt;DAY(EOMONTH(DATE($D$2,$B$2,1),0)),"",IFERROR(SUMIFS(DATA_GOC!$H:$H,DATA_GOC!$A:$A,"BOM",DATA_GOC!$D:$D,$B217,DATA_GOC!$E:$E,"Téc cát nghiền",DATA_GOC!$F:$F,"Xuất nội bộ từ téc",DATA_GOC!$B:$B,DATE($D$2,$B$2,AE$4)),0))</f>
        <v>0</v>
      </c>
      <c r="AF217" s="251">
        <f>IF(AF$4&gt;DAY(EOMONTH(DATE($D$2,$B$2,1),0)),"",IFERROR(SUMIFS(DATA_GOC!$H:$H,DATA_GOC!$A:$A,"BOM",DATA_GOC!$D:$D,$B217,DATA_GOC!$E:$E,"Téc cát nghiền",DATA_GOC!$F:$F,"Xuất nội bộ từ téc",DATA_GOC!$B:$B,DATE($D$2,$B$2,AF$4)),0))</f>
        <v>0</v>
      </c>
      <c r="AG217" s="251">
        <f>IF(AG$4&gt;DAY(EOMONTH(DATE($D$2,$B$2,1),0)),"",IFERROR(SUMIFS(DATA_GOC!$H:$H,DATA_GOC!$A:$A,"BOM",DATA_GOC!$D:$D,$B217,DATA_GOC!$E:$E,"Téc cát nghiền",DATA_GOC!$F:$F,"Xuất nội bộ từ téc",DATA_GOC!$B:$B,DATE($D$2,$B$2,AG$4)),0))</f>
        <v>0</v>
      </c>
      <c r="AH217" s="252">
        <f t="shared" si="10"/>
        <v>0</v>
      </c>
      <c r="AI217" s="241"/>
      <c r="AJ217" s="242">
        <f>IF($B217="","",SUMIFS(TINH_TEC!$K$233:$K$9232,TINH_TEC!$H$233:$H$9232,$B217,TINH_TEC!$C$233:$C$9232,"Téc cát nghiền",TINH_TEC!$F$233:$F$9232,$B$2,TINH_TEC!$G$233:$G$9232,$D$2,TINH_TEC!$B$233:$B$9232,"Đã chốt"))</f>
        <v>0</v>
      </c>
      <c r="AK217" s="242">
        <f>IF($B217="","",SUMIFS(TINH_TEC!$J$233:$J$9232,TINH_TEC!$H$233:$H$9232,$B217,TINH_TEC!$C$233:$C$9232,"Téc cát nghiền",TINH_TEC!$F$233:$F$9232,$B$2,TINH_TEC!$G$233:$G$9232,$D$2,TINH_TEC!$B$233:$B$9232,"Đã chốt"))</f>
        <v>0</v>
      </c>
      <c r="AL217" s="242">
        <f t="shared" si="11"/>
        <v>0</v>
      </c>
    </row>
    <row r="218" ht="15.75" customHeight="1">
      <c r="A218" s="237">
        <f>IF($B218&lt;&gt;"",30,"")</f>
        <v>30</v>
      </c>
      <c r="B218" s="250" t="str">
        <f t="array" ref="B218">IFERROR(INDEX(DANH_MUC!$E:$E,33),"")</f>
        <v>28C06369</v>
      </c>
      <c r="C218" s="251">
        <f>IF(C$4&gt;DAY(EOMONTH(DATE($D$2,$B$2,1),0)),"",IFERROR(SUMIFS(DATA_GOC!$H:$H,DATA_GOC!$A:$A,"BOM",DATA_GOC!$D:$D,$B218,DATA_GOC!$E:$E,"Téc cát nghiền",DATA_GOC!$F:$F,"Xuất nội bộ từ téc",DATA_GOC!$B:$B,DATE($D$2,$B$2,C$4)),0))</f>
        <v>0</v>
      </c>
      <c r="D218" s="251">
        <f>IF(D$4&gt;DAY(EOMONTH(DATE($D$2,$B$2,1),0)),"",IFERROR(SUMIFS(DATA_GOC!$H:$H,DATA_GOC!$A:$A,"BOM",DATA_GOC!$D:$D,$B218,DATA_GOC!$E:$E,"Téc cát nghiền",DATA_GOC!$F:$F,"Xuất nội bộ từ téc",DATA_GOC!$B:$B,DATE($D$2,$B$2,D$4)),0))</f>
        <v>0</v>
      </c>
      <c r="E218" s="251">
        <f>IF(E$4&gt;DAY(EOMONTH(DATE($D$2,$B$2,1),0)),"",IFERROR(SUMIFS(DATA_GOC!$H:$H,DATA_GOC!$A:$A,"BOM",DATA_GOC!$D:$D,$B218,DATA_GOC!$E:$E,"Téc cát nghiền",DATA_GOC!$F:$F,"Xuất nội bộ từ téc",DATA_GOC!$B:$B,DATE($D$2,$B$2,E$4)),0))</f>
        <v>0</v>
      </c>
      <c r="F218" s="251">
        <f>IF(F$4&gt;DAY(EOMONTH(DATE($D$2,$B$2,1),0)),"",IFERROR(SUMIFS(DATA_GOC!$H:$H,DATA_GOC!$A:$A,"BOM",DATA_GOC!$D:$D,$B218,DATA_GOC!$E:$E,"Téc cát nghiền",DATA_GOC!$F:$F,"Xuất nội bộ từ téc",DATA_GOC!$B:$B,DATE($D$2,$B$2,F$4)),0))</f>
        <v>0</v>
      </c>
      <c r="G218" s="251">
        <f>IF(G$4&gt;DAY(EOMONTH(DATE($D$2,$B$2,1),0)),"",IFERROR(SUMIFS(DATA_GOC!$H:$H,DATA_GOC!$A:$A,"BOM",DATA_GOC!$D:$D,$B218,DATA_GOC!$E:$E,"Téc cát nghiền",DATA_GOC!$F:$F,"Xuất nội bộ từ téc",DATA_GOC!$B:$B,DATE($D$2,$B$2,G$4)),0))</f>
        <v>0</v>
      </c>
      <c r="H218" s="251">
        <f>IF(H$4&gt;DAY(EOMONTH(DATE($D$2,$B$2,1),0)),"",IFERROR(SUMIFS(DATA_GOC!$H:$H,DATA_GOC!$A:$A,"BOM",DATA_GOC!$D:$D,$B218,DATA_GOC!$E:$E,"Téc cát nghiền",DATA_GOC!$F:$F,"Xuất nội bộ từ téc",DATA_GOC!$B:$B,DATE($D$2,$B$2,H$4)),0))</f>
        <v>0</v>
      </c>
      <c r="I218" s="251">
        <f>IF(I$4&gt;DAY(EOMONTH(DATE($D$2,$B$2,1),0)),"",IFERROR(SUMIFS(DATA_GOC!$H:$H,DATA_GOC!$A:$A,"BOM",DATA_GOC!$D:$D,$B218,DATA_GOC!$E:$E,"Téc cát nghiền",DATA_GOC!$F:$F,"Xuất nội bộ từ téc",DATA_GOC!$B:$B,DATE($D$2,$B$2,I$4)),0))</f>
        <v>0</v>
      </c>
      <c r="J218" s="251">
        <f>IF(J$4&gt;DAY(EOMONTH(DATE($D$2,$B$2,1),0)),"",IFERROR(SUMIFS(DATA_GOC!$H:$H,DATA_GOC!$A:$A,"BOM",DATA_GOC!$D:$D,$B218,DATA_GOC!$E:$E,"Téc cát nghiền",DATA_GOC!$F:$F,"Xuất nội bộ từ téc",DATA_GOC!$B:$B,DATE($D$2,$B$2,J$4)),0))</f>
        <v>0</v>
      </c>
      <c r="K218" s="251">
        <f>IF(K$4&gt;DAY(EOMONTH(DATE($D$2,$B$2,1),0)),"",IFERROR(SUMIFS(DATA_GOC!$H:$H,DATA_GOC!$A:$A,"BOM",DATA_GOC!$D:$D,$B218,DATA_GOC!$E:$E,"Téc cát nghiền",DATA_GOC!$F:$F,"Xuất nội bộ từ téc",DATA_GOC!$B:$B,DATE($D$2,$B$2,K$4)),0))</f>
        <v>0</v>
      </c>
      <c r="L218" s="251">
        <f>IF(L$4&gt;DAY(EOMONTH(DATE($D$2,$B$2,1),0)),"",IFERROR(SUMIFS(DATA_GOC!$H:$H,DATA_GOC!$A:$A,"BOM",DATA_GOC!$D:$D,$B218,DATA_GOC!$E:$E,"Téc cát nghiền",DATA_GOC!$F:$F,"Xuất nội bộ từ téc",DATA_GOC!$B:$B,DATE($D$2,$B$2,L$4)),0))</f>
        <v>0</v>
      </c>
      <c r="M218" s="251">
        <f>IF(M$4&gt;DAY(EOMONTH(DATE($D$2,$B$2,1),0)),"",IFERROR(SUMIFS(DATA_GOC!$H:$H,DATA_GOC!$A:$A,"BOM",DATA_GOC!$D:$D,$B218,DATA_GOC!$E:$E,"Téc cát nghiền",DATA_GOC!$F:$F,"Xuất nội bộ từ téc",DATA_GOC!$B:$B,DATE($D$2,$B$2,M$4)),0))</f>
        <v>0</v>
      </c>
      <c r="N218" s="251">
        <f>IF(N$4&gt;DAY(EOMONTH(DATE($D$2,$B$2,1),0)),"",IFERROR(SUMIFS(DATA_GOC!$H:$H,DATA_GOC!$A:$A,"BOM",DATA_GOC!$D:$D,$B218,DATA_GOC!$E:$E,"Téc cát nghiền",DATA_GOC!$F:$F,"Xuất nội bộ từ téc",DATA_GOC!$B:$B,DATE($D$2,$B$2,N$4)),0))</f>
        <v>0</v>
      </c>
      <c r="O218" s="251">
        <f>IF(O$4&gt;DAY(EOMONTH(DATE($D$2,$B$2,1),0)),"",IFERROR(SUMIFS(DATA_GOC!$H:$H,DATA_GOC!$A:$A,"BOM",DATA_GOC!$D:$D,$B218,DATA_GOC!$E:$E,"Téc cát nghiền",DATA_GOC!$F:$F,"Xuất nội bộ từ téc",DATA_GOC!$B:$B,DATE($D$2,$B$2,O$4)),0))</f>
        <v>0</v>
      </c>
      <c r="P218" s="251">
        <f>IF(P$4&gt;DAY(EOMONTH(DATE($D$2,$B$2,1),0)),"",IFERROR(SUMIFS(DATA_GOC!$H:$H,DATA_GOC!$A:$A,"BOM",DATA_GOC!$D:$D,$B218,DATA_GOC!$E:$E,"Téc cát nghiền",DATA_GOC!$F:$F,"Xuất nội bộ từ téc",DATA_GOC!$B:$B,DATE($D$2,$B$2,P$4)),0))</f>
        <v>0</v>
      </c>
      <c r="Q218" s="251">
        <f>IF(Q$4&gt;DAY(EOMONTH(DATE($D$2,$B$2,1),0)),"",IFERROR(SUMIFS(DATA_GOC!$H:$H,DATA_GOC!$A:$A,"BOM",DATA_GOC!$D:$D,$B218,DATA_GOC!$E:$E,"Téc cát nghiền",DATA_GOC!$F:$F,"Xuất nội bộ từ téc",DATA_GOC!$B:$B,DATE($D$2,$B$2,Q$4)),0))</f>
        <v>0</v>
      </c>
      <c r="R218" s="251">
        <f>IF(R$4&gt;DAY(EOMONTH(DATE($D$2,$B$2,1),0)),"",IFERROR(SUMIFS(DATA_GOC!$H:$H,DATA_GOC!$A:$A,"BOM",DATA_GOC!$D:$D,$B218,DATA_GOC!$E:$E,"Téc cát nghiền",DATA_GOC!$F:$F,"Xuất nội bộ từ téc",DATA_GOC!$B:$B,DATE($D$2,$B$2,R$4)),0))</f>
        <v>0</v>
      </c>
      <c r="S218" s="251">
        <f>IF(S$4&gt;DAY(EOMONTH(DATE($D$2,$B$2,1),0)),"",IFERROR(SUMIFS(DATA_GOC!$H:$H,DATA_GOC!$A:$A,"BOM",DATA_GOC!$D:$D,$B218,DATA_GOC!$E:$E,"Téc cát nghiền",DATA_GOC!$F:$F,"Xuất nội bộ từ téc",DATA_GOC!$B:$B,DATE($D$2,$B$2,S$4)),0))</f>
        <v>0</v>
      </c>
      <c r="T218" s="251">
        <f>IF(T$4&gt;DAY(EOMONTH(DATE($D$2,$B$2,1),0)),"",IFERROR(SUMIFS(DATA_GOC!$H:$H,DATA_GOC!$A:$A,"BOM",DATA_GOC!$D:$D,$B218,DATA_GOC!$E:$E,"Téc cát nghiền",DATA_GOC!$F:$F,"Xuất nội bộ từ téc",DATA_GOC!$B:$B,DATE($D$2,$B$2,T$4)),0))</f>
        <v>0</v>
      </c>
      <c r="U218" s="251">
        <f>IF(U$4&gt;DAY(EOMONTH(DATE($D$2,$B$2,1),0)),"",IFERROR(SUMIFS(DATA_GOC!$H:$H,DATA_GOC!$A:$A,"BOM",DATA_GOC!$D:$D,$B218,DATA_GOC!$E:$E,"Téc cát nghiền",DATA_GOC!$F:$F,"Xuất nội bộ từ téc",DATA_GOC!$B:$B,DATE($D$2,$B$2,U$4)),0))</f>
        <v>0</v>
      </c>
      <c r="V218" s="251">
        <f>IF(V$4&gt;DAY(EOMONTH(DATE($D$2,$B$2,1),0)),"",IFERROR(SUMIFS(DATA_GOC!$H:$H,DATA_GOC!$A:$A,"BOM",DATA_GOC!$D:$D,$B218,DATA_GOC!$E:$E,"Téc cát nghiền",DATA_GOC!$F:$F,"Xuất nội bộ từ téc",DATA_GOC!$B:$B,DATE($D$2,$B$2,V$4)),0))</f>
        <v>0</v>
      </c>
      <c r="W218" s="251">
        <f>IF(W$4&gt;DAY(EOMONTH(DATE($D$2,$B$2,1),0)),"",IFERROR(SUMIFS(DATA_GOC!$H:$H,DATA_GOC!$A:$A,"BOM",DATA_GOC!$D:$D,$B218,DATA_GOC!$E:$E,"Téc cát nghiền",DATA_GOC!$F:$F,"Xuất nội bộ từ téc",DATA_GOC!$B:$B,DATE($D$2,$B$2,W$4)),0))</f>
        <v>0</v>
      </c>
      <c r="X218" s="251">
        <f>IF(X$4&gt;DAY(EOMONTH(DATE($D$2,$B$2,1),0)),"",IFERROR(SUMIFS(DATA_GOC!$H:$H,DATA_GOC!$A:$A,"BOM",DATA_GOC!$D:$D,$B218,DATA_GOC!$E:$E,"Téc cát nghiền",DATA_GOC!$F:$F,"Xuất nội bộ từ téc",DATA_GOC!$B:$B,DATE($D$2,$B$2,X$4)),0))</f>
        <v>0</v>
      </c>
      <c r="Y218" s="251">
        <f>IF(Y$4&gt;DAY(EOMONTH(DATE($D$2,$B$2,1),0)),"",IFERROR(SUMIFS(DATA_GOC!$H:$H,DATA_GOC!$A:$A,"BOM",DATA_GOC!$D:$D,$B218,DATA_GOC!$E:$E,"Téc cát nghiền",DATA_GOC!$F:$F,"Xuất nội bộ từ téc",DATA_GOC!$B:$B,DATE($D$2,$B$2,Y$4)),0))</f>
        <v>0</v>
      </c>
      <c r="Z218" s="251">
        <f>IF(Z$4&gt;DAY(EOMONTH(DATE($D$2,$B$2,1),0)),"",IFERROR(SUMIFS(DATA_GOC!$H:$H,DATA_GOC!$A:$A,"BOM",DATA_GOC!$D:$D,$B218,DATA_GOC!$E:$E,"Téc cát nghiền",DATA_GOC!$F:$F,"Xuất nội bộ từ téc",DATA_GOC!$B:$B,DATE($D$2,$B$2,Z$4)),0))</f>
        <v>0</v>
      </c>
      <c r="AA218" s="251">
        <f>IF(AA$4&gt;DAY(EOMONTH(DATE($D$2,$B$2,1),0)),"",IFERROR(SUMIFS(DATA_GOC!$H:$H,DATA_GOC!$A:$A,"BOM",DATA_GOC!$D:$D,$B218,DATA_GOC!$E:$E,"Téc cát nghiền",DATA_GOC!$F:$F,"Xuất nội bộ từ téc",DATA_GOC!$B:$B,DATE($D$2,$B$2,AA$4)),0))</f>
        <v>0</v>
      </c>
      <c r="AB218" s="251">
        <f>IF(AB$4&gt;DAY(EOMONTH(DATE($D$2,$B$2,1),0)),"",IFERROR(SUMIFS(DATA_GOC!$H:$H,DATA_GOC!$A:$A,"BOM",DATA_GOC!$D:$D,$B218,DATA_GOC!$E:$E,"Téc cát nghiền",DATA_GOC!$F:$F,"Xuất nội bộ từ téc",DATA_GOC!$B:$B,DATE($D$2,$B$2,AB$4)),0))</f>
        <v>0</v>
      </c>
      <c r="AC218" s="251">
        <f>IF(AC$4&gt;DAY(EOMONTH(DATE($D$2,$B$2,1),0)),"",IFERROR(SUMIFS(DATA_GOC!$H:$H,DATA_GOC!$A:$A,"BOM",DATA_GOC!$D:$D,$B218,DATA_GOC!$E:$E,"Téc cát nghiền",DATA_GOC!$F:$F,"Xuất nội bộ từ téc",DATA_GOC!$B:$B,DATE($D$2,$B$2,AC$4)),0))</f>
        <v>0</v>
      </c>
      <c r="AD218" s="251">
        <f>IF(AD$4&gt;DAY(EOMONTH(DATE($D$2,$B$2,1),0)),"",IFERROR(SUMIFS(DATA_GOC!$H:$H,DATA_GOC!$A:$A,"BOM",DATA_GOC!$D:$D,$B218,DATA_GOC!$E:$E,"Téc cát nghiền",DATA_GOC!$F:$F,"Xuất nội bộ từ téc",DATA_GOC!$B:$B,DATE($D$2,$B$2,AD$4)),0))</f>
        <v>0</v>
      </c>
      <c r="AE218" s="251">
        <f>IF(AE$4&gt;DAY(EOMONTH(DATE($D$2,$B$2,1),0)),"",IFERROR(SUMIFS(DATA_GOC!$H:$H,DATA_GOC!$A:$A,"BOM",DATA_GOC!$D:$D,$B218,DATA_GOC!$E:$E,"Téc cát nghiền",DATA_GOC!$F:$F,"Xuất nội bộ từ téc",DATA_GOC!$B:$B,DATE($D$2,$B$2,AE$4)),0))</f>
        <v>0</v>
      </c>
      <c r="AF218" s="251">
        <f>IF(AF$4&gt;DAY(EOMONTH(DATE($D$2,$B$2,1),0)),"",IFERROR(SUMIFS(DATA_GOC!$H:$H,DATA_GOC!$A:$A,"BOM",DATA_GOC!$D:$D,$B218,DATA_GOC!$E:$E,"Téc cát nghiền",DATA_GOC!$F:$F,"Xuất nội bộ từ téc",DATA_GOC!$B:$B,DATE($D$2,$B$2,AF$4)),0))</f>
        <v>0</v>
      </c>
      <c r="AG218" s="251">
        <f>IF(AG$4&gt;DAY(EOMONTH(DATE($D$2,$B$2,1),0)),"",IFERROR(SUMIFS(DATA_GOC!$H:$H,DATA_GOC!$A:$A,"BOM",DATA_GOC!$D:$D,$B218,DATA_GOC!$E:$E,"Téc cát nghiền",DATA_GOC!$F:$F,"Xuất nội bộ từ téc",DATA_GOC!$B:$B,DATE($D$2,$B$2,AG$4)),0))</f>
        <v>0</v>
      </c>
      <c r="AH218" s="252">
        <f t="shared" si="10"/>
        <v>0</v>
      </c>
      <c r="AI218" s="241"/>
      <c r="AJ218" s="242">
        <f>IF($B218="","",SUMIFS(TINH_TEC!$K$233:$K$9232,TINH_TEC!$H$233:$H$9232,$B218,TINH_TEC!$C$233:$C$9232,"Téc cát nghiền",TINH_TEC!$F$233:$F$9232,$B$2,TINH_TEC!$G$233:$G$9232,$D$2,TINH_TEC!$B$233:$B$9232,"Đã chốt"))</f>
        <v>0</v>
      </c>
      <c r="AK218" s="242">
        <f>IF($B218="","",SUMIFS(TINH_TEC!$J$233:$J$9232,TINH_TEC!$H$233:$H$9232,$B218,TINH_TEC!$C$233:$C$9232,"Téc cát nghiền",TINH_TEC!$F$233:$F$9232,$B$2,TINH_TEC!$G$233:$G$9232,$D$2,TINH_TEC!$B$233:$B$9232,"Đã chốt"))</f>
        <v>0</v>
      </c>
      <c r="AL218" s="242">
        <f t="shared" si="11"/>
        <v>0</v>
      </c>
    </row>
    <row r="219" ht="15.75" customHeight="1">
      <c r="A219" s="237">
        <f>IF($B219&lt;&gt;"",31,"")</f>
        <v>31</v>
      </c>
      <c r="B219" s="250" t="str">
        <f t="array" ref="B219">IFERROR(INDEX(DANH_MUC!$E:$E,34),"")</f>
        <v>28C06447</v>
      </c>
      <c r="C219" s="251">
        <f>IF(C$4&gt;DAY(EOMONTH(DATE($D$2,$B$2,1),0)),"",IFERROR(SUMIFS(DATA_GOC!$H:$H,DATA_GOC!$A:$A,"BOM",DATA_GOC!$D:$D,$B219,DATA_GOC!$E:$E,"Téc cát nghiền",DATA_GOC!$F:$F,"Xuất nội bộ từ téc",DATA_GOC!$B:$B,DATE($D$2,$B$2,C$4)),0))</f>
        <v>0</v>
      </c>
      <c r="D219" s="251">
        <f>IF(D$4&gt;DAY(EOMONTH(DATE($D$2,$B$2,1),0)),"",IFERROR(SUMIFS(DATA_GOC!$H:$H,DATA_GOC!$A:$A,"BOM",DATA_GOC!$D:$D,$B219,DATA_GOC!$E:$E,"Téc cát nghiền",DATA_GOC!$F:$F,"Xuất nội bộ từ téc",DATA_GOC!$B:$B,DATE($D$2,$B$2,D$4)),0))</f>
        <v>0</v>
      </c>
      <c r="E219" s="251">
        <f>IF(E$4&gt;DAY(EOMONTH(DATE($D$2,$B$2,1),0)),"",IFERROR(SUMIFS(DATA_GOC!$H:$H,DATA_GOC!$A:$A,"BOM",DATA_GOC!$D:$D,$B219,DATA_GOC!$E:$E,"Téc cát nghiền",DATA_GOC!$F:$F,"Xuất nội bộ từ téc",DATA_GOC!$B:$B,DATE($D$2,$B$2,E$4)),0))</f>
        <v>0</v>
      </c>
      <c r="F219" s="251">
        <f>IF(F$4&gt;DAY(EOMONTH(DATE($D$2,$B$2,1),0)),"",IFERROR(SUMIFS(DATA_GOC!$H:$H,DATA_GOC!$A:$A,"BOM",DATA_GOC!$D:$D,$B219,DATA_GOC!$E:$E,"Téc cát nghiền",DATA_GOC!$F:$F,"Xuất nội bộ từ téc",DATA_GOC!$B:$B,DATE($D$2,$B$2,F$4)),0))</f>
        <v>0</v>
      </c>
      <c r="G219" s="251">
        <f>IF(G$4&gt;DAY(EOMONTH(DATE($D$2,$B$2,1),0)),"",IFERROR(SUMIFS(DATA_GOC!$H:$H,DATA_GOC!$A:$A,"BOM",DATA_GOC!$D:$D,$B219,DATA_GOC!$E:$E,"Téc cát nghiền",DATA_GOC!$F:$F,"Xuất nội bộ từ téc",DATA_GOC!$B:$B,DATE($D$2,$B$2,G$4)),0))</f>
        <v>0</v>
      </c>
      <c r="H219" s="251">
        <f>IF(H$4&gt;DAY(EOMONTH(DATE($D$2,$B$2,1),0)),"",IFERROR(SUMIFS(DATA_GOC!$H:$H,DATA_GOC!$A:$A,"BOM",DATA_GOC!$D:$D,$B219,DATA_GOC!$E:$E,"Téc cát nghiền",DATA_GOC!$F:$F,"Xuất nội bộ từ téc",DATA_GOC!$B:$B,DATE($D$2,$B$2,H$4)),0))</f>
        <v>0</v>
      </c>
      <c r="I219" s="251">
        <f>IF(I$4&gt;DAY(EOMONTH(DATE($D$2,$B$2,1),0)),"",IFERROR(SUMIFS(DATA_GOC!$H:$H,DATA_GOC!$A:$A,"BOM",DATA_GOC!$D:$D,$B219,DATA_GOC!$E:$E,"Téc cát nghiền",DATA_GOC!$F:$F,"Xuất nội bộ từ téc",DATA_GOC!$B:$B,DATE($D$2,$B$2,I$4)),0))</f>
        <v>0</v>
      </c>
      <c r="J219" s="251">
        <f>IF(J$4&gt;DAY(EOMONTH(DATE($D$2,$B$2,1),0)),"",IFERROR(SUMIFS(DATA_GOC!$H:$H,DATA_GOC!$A:$A,"BOM",DATA_GOC!$D:$D,$B219,DATA_GOC!$E:$E,"Téc cát nghiền",DATA_GOC!$F:$F,"Xuất nội bộ từ téc",DATA_GOC!$B:$B,DATE($D$2,$B$2,J$4)),0))</f>
        <v>0</v>
      </c>
      <c r="K219" s="251">
        <f>IF(K$4&gt;DAY(EOMONTH(DATE($D$2,$B$2,1),0)),"",IFERROR(SUMIFS(DATA_GOC!$H:$H,DATA_GOC!$A:$A,"BOM",DATA_GOC!$D:$D,$B219,DATA_GOC!$E:$E,"Téc cát nghiền",DATA_GOC!$F:$F,"Xuất nội bộ từ téc",DATA_GOC!$B:$B,DATE($D$2,$B$2,K$4)),0))</f>
        <v>0</v>
      </c>
      <c r="L219" s="251">
        <f>IF(L$4&gt;DAY(EOMONTH(DATE($D$2,$B$2,1),0)),"",IFERROR(SUMIFS(DATA_GOC!$H:$H,DATA_GOC!$A:$A,"BOM",DATA_GOC!$D:$D,$B219,DATA_GOC!$E:$E,"Téc cát nghiền",DATA_GOC!$F:$F,"Xuất nội bộ từ téc",DATA_GOC!$B:$B,DATE($D$2,$B$2,L$4)),0))</f>
        <v>0</v>
      </c>
      <c r="M219" s="251">
        <f>IF(M$4&gt;DAY(EOMONTH(DATE($D$2,$B$2,1),0)),"",IFERROR(SUMIFS(DATA_GOC!$H:$H,DATA_GOC!$A:$A,"BOM",DATA_GOC!$D:$D,$B219,DATA_GOC!$E:$E,"Téc cát nghiền",DATA_GOC!$F:$F,"Xuất nội bộ từ téc",DATA_GOC!$B:$B,DATE($D$2,$B$2,M$4)),0))</f>
        <v>0</v>
      </c>
      <c r="N219" s="251">
        <f>IF(N$4&gt;DAY(EOMONTH(DATE($D$2,$B$2,1),0)),"",IFERROR(SUMIFS(DATA_GOC!$H:$H,DATA_GOC!$A:$A,"BOM",DATA_GOC!$D:$D,$B219,DATA_GOC!$E:$E,"Téc cát nghiền",DATA_GOC!$F:$F,"Xuất nội bộ từ téc",DATA_GOC!$B:$B,DATE($D$2,$B$2,N$4)),0))</f>
        <v>0</v>
      </c>
      <c r="O219" s="251">
        <f>IF(O$4&gt;DAY(EOMONTH(DATE($D$2,$B$2,1),0)),"",IFERROR(SUMIFS(DATA_GOC!$H:$H,DATA_GOC!$A:$A,"BOM",DATA_GOC!$D:$D,$B219,DATA_GOC!$E:$E,"Téc cát nghiền",DATA_GOC!$F:$F,"Xuất nội bộ từ téc",DATA_GOC!$B:$B,DATE($D$2,$B$2,O$4)),0))</f>
        <v>0</v>
      </c>
      <c r="P219" s="251">
        <f>IF(P$4&gt;DAY(EOMONTH(DATE($D$2,$B$2,1),0)),"",IFERROR(SUMIFS(DATA_GOC!$H:$H,DATA_GOC!$A:$A,"BOM",DATA_GOC!$D:$D,$B219,DATA_GOC!$E:$E,"Téc cát nghiền",DATA_GOC!$F:$F,"Xuất nội bộ từ téc",DATA_GOC!$B:$B,DATE($D$2,$B$2,P$4)),0))</f>
        <v>0</v>
      </c>
      <c r="Q219" s="251">
        <f>IF(Q$4&gt;DAY(EOMONTH(DATE($D$2,$B$2,1),0)),"",IFERROR(SUMIFS(DATA_GOC!$H:$H,DATA_GOC!$A:$A,"BOM",DATA_GOC!$D:$D,$B219,DATA_GOC!$E:$E,"Téc cát nghiền",DATA_GOC!$F:$F,"Xuất nội bộ từ téc",DATA_GOC!$B:$B,DATE($D$2,$B$2,Q$4)),0))</f>
        <v>0</v>
      </c>
      <c r="R219" s="251">
        <f>IF(R$4&gt;DAY(EOMONTH(DATE($D$2,$B$2,1),0)),"",IFERROR(SUMIFS(DATA_GOC!$H:$H,DATA_GOC!$A:$A,"BOM",DATA_GOC!$D:$D,$B219,DATA_GOC!$E:$E,"Téc cát nghiền",DATA_GOC!$F:$F,"Xuất nội bộ từ téc",DATA_GOC!$B:$B,DATE($D$2,$B$2,R$4)),0))</f>
        <v>0</v>
      </c>
      <c r="S219" s="251">
        <f>IF(S$4&gt;DAY(EOMONTH(DATE($D$2,$B$2,1),0)),"",IFERROR(SUMIFS(DATA_GOC!$H:$H,DATA_GOC!$A:$A,"BOM",DATA_GOC!$D:$D,$B219,DATA_GOC!$E:$E,"Téc cát nghiền",DATA_GOC!$F:$F,"Xuất nội bộ từ téc",DATA_GOC!$B:$B,DATE($D$2,$B$2,S$4)),0))</f>
        <v>0</v>
      </c>
      <c r="T219" s="251">
        <f>IF(T$4&gt;DAY(EOMONTH(DATE($D$2,$B$2,1),0)),"",IFERROR(SUMIFS(DATA_GOC!$H:$H,DATA_GOC!$A:$A,"BOM",DATA_GOC!$D:$D,$B219,DATA_GOC!$E:$E,"Téc cát nghiền",DATA_GOC!$F:$F,"Xuất nội bộ từ téc",DATA_GOC!$B:$B,DATE($D$2,$B$2,T$4)),0))</f>
        <v>0</v>
      </c>
      <c r="U219" s="251">
        <f>IF(U$4&gt;DAY(EOMONTH(DATE($D$2,$B$2,1),0)),"",IFERROR(SUMIFS(DATA_GOC!$H:$H,DATA_GOC!$A:$A,"BOM",DATA_GOC!$D:$D,$B219,DATA_GOC!$E:$E,"Téc cát nghiền",DATA_GOC!$F:$F,"Xuất nội bộ từ téc",DATA_GOC!$B:$B,DATE($D$2,$B$2,U$4)),0))</f>
        <v>0</v>
      </c>
      <c r="V219" s="251">
        <f>IF(V$4&gt;DAY(EOMONTH(DATE($D$2,$B$2,1),0)),"",IFERROR(SUMIFS(DATA_GOC!$H:$H,DATA_GOC!$A:$A,"BOM",DATA_GOC!$D:$D,$B219,DATA_GOC!$E:$E,"Téc cát nghiền",DATA_GOC!$F:$F,"Xuất nội bộ từ téc",DATA_GOC!$B:$B,DATE($D$2,$B$2,V$4)),0))</f>
        <v>0</v>
      </c>
      <c r="W219" s="251">
        <f>IF(W$4&gt;DAY(EOMONTH(DATE($D$2,$B$2,1),0)),"",IFERROR(SUMIFS(DATA_GOC!$H:$H,DATA_GOC!$A:$A,"BOM",DATA_GOC!$D:$D,$B219,DATA_GOC!$E:$E,"Téc cát nghiền",DATA_GOC!$F:$F,"Xuất nội bộ từ téc",DATA_GOC!$B:$B,DATE($D$2,$B$2,W$4)),0))</f>
        <v>0</v>
      </c>
      <c r="X219" s="251">
        <f>IF(X$4&gt;DAY(EOMONTH(DATE($D$2,$B$2,1),0)),"",IFERROR(SUMIFS(DATA_GOC!$H:$H,DATA_GOC!$A:$A,"BOM",DATA_GOC!$D:$D,$B219,DATA_GOC!$E:$E,"Téc cát nghiền",DATA_GOC!$F:$F,"Xuất nội bộ từ téc",DATA_GOC!$B:$B,DATE($D$2,$B$2,X$4)),0))</f>
        <v>0</v>
      </c>
      <c r="Y219" s="251">
        <f>IF(Y$4&gt;DAY(EOMONTH(DATE($D$2,$B$2,1),0)),"",IFERROR(SUMIFS(DATA_GOC!$H:$H,DATA_GOC!$A:$A,"BOM",DATA_GOC!$D:$D,$B219,DATA_GOC!$E:$E,"Téc cát nghiền",DATA_GOC!$F:$F,"Xuất nội bộ từ téc",DATA_GOC!$B:$B,DATE($D$2,$B$2,Y$4)),0))</f>
        <v>0</v>
      </c>
      <c r="Z219" s="251">
        <f>IF(Z$4&gt;DAY(EOMONTH(DATE($D$2,$B$2,1),0)),"",IFERROR(SUMIFS(DATA_GOC!$H:$H,DATA_GOC!$A:$A,"BOM",DATA_GOC!$D:$D,$B219,DATA_GOC!$E:$E,"Téc cát nghiền",DATA_GOC!$F:$F,"Xuất nội bộ từ téc",DATA_GOC!$B:$B,DATE($D$2,$B$2,Z$4)),0))</f>
        <v>0</v>
      </c>
      <c r="AA219" s="251">
        <f>IF(AA$4&gt;DAY(EOMONTH(DATE($D$2,$B$2,1),0)),"",IFERROR(SUMIFS(DATA_GOC!$H:$H,DATA_GOC!$A:$A,"BOM",DATA_GOC!$D:$D,$B219,DATA_GOC!$E:$E,"Téc cát nghiền",DATA_GOC!$F:$F,"Xuất nội bộ từ téc",DATA_GOC!$B:$B,DATE($D$2,$B$2,AA$4)),0))</f>
        <v>0</v>
      </c>
      <c r="AB219" s="251">
        <f>IF(AB$4&gt;DAY(EOMONTH(DATE($D$2,$B$2,1),0)),"",IFERROR(SUMIFS(DATA_GOC!$H:$H,DATA_GOC!$A:$A,"BOM",DATA_GOC!$D:$D,$B219,DATA_GOC!$E:$E,"Téc cát nghiền",DATA_GOC!$F:$F,"Xuất nội bộ từ téc",DATA_GOC!$B:$B,DATE($D$2,$B$2,AB$4)),0))</f>
        <v>0</v>
      </c>
      <c r="AC219" s="251">
        <f>IF(AC$4&gt;DAY(EOMONTH(DATE($D$2,$B$2,1),0)),"",IFERROR(SUMIFS(DATA_GOC!$H:$H,DATA_GOC!$A:$A,"BOM",DATA_GOC!$D:$D,$B219,DATA_GOC!$E:$E,"Téc cát nghiền",DATA_GOC!$F:$F,"Xuất nội bộ từ téc",DATA_GOC!$B:$B,DATE($D$2,$B$2,AC$4)),0))</f>
        <v>0</v>
      </c>
      <c r="AD219" s="251">
        <f>IF(AD$4&gt;DAY(EOMONTH(DATE($D$2,$B$2,1),0)),"",IFERROR(SUMIFS(DATA_GOC!$H:$H,DATA_GOC!$A:$A,"BOM",DATA_GOC!$D:$D,$B219,DATA_GOC!$E:$E,"Téc cát nghiền",DATA_GOC!$F:$F,"Xuất nội bộ từ téc",DATA_GOC!$B:$B,DATE($D$2,$B$2,AD$4)),0))</f>
        <v>0</v>
      </c>
      <c r="AE219" s="251">
        <f>IF(AE$4&gt;DAY(EOMONTH(DATE($D$2,$B$2,1),0)),"",IFERROR(SUMIFS(DATA_GOC!$H:$H,DATA_GOC!$A:$A,"BOM",DATA_GOC!$D:$D,$B219,DATA_GOC!$E:$E,"Téc cát nghiền",DATA_GOC!$F:$F,"Xuất nội bộ từ téc",DATA_GOC!$B:$B,DATE($D$2,$B$2,AE$4)),0))</f>
        <v>0</v>
      </c>
      <c r="AF219" s="251">
        <f>IF(AF$4&gt;DAY(EOMONTH(DATE($D$2,$B$2,1),0)),"",IFERROR(SUMIFS(DATA_GOC!$H:$H,DATA_GOC!$A:$A,"BOM",DATA_GOC!$D:$D,$B219,DATA_GOC!$E:$E,"Téc cát nghiền",DATA_GOC!$F:$F,"Xuất nội bộ từ téc",DATA_GOC!$B:$B,DATE($D$2,$B$2,AF$4)),0))</f>
        <v>0</v>
      </c>
      <c r="AG219" s="251">
        <f>IF(AG$4&gt;DAY(EOMONTH(DATE($D$2,$B$2,1),0)),"",IFERROR(SUMIFS(DATA_GOC!$H:$H,DATA_GOC!$A:$A,"BOM",DATA_GOC!$D:$D,$B219,DATA_GOC!$E:$E,"Téc cát nghiền",DATA_GOC!$F:$F,"Xuất nội bộ từ téc",DATA_GOC!$B:$B,DATE($D$2,$B$2,AG$4)),0))</f>
        <v>0</v>
      </c>
      <c r="AH219" s="252">
        <f t="shared" si="10"/>
        <v>0</v>
      </c>
      <c r="AI219" s="241"/>
      <c r="AJ219" s="242">
        <f>IF($B219="","",SUMIFS(TINH_TEC!$K$233:$K$9232,TINH_TEC!$H$233:$H$9232,$B219,TINH_TEC!$C$233:$C$9232,"Téc cát nghiền",TINH_TEC!$F$233:$F$9232,$B$2,TINH_TEC!$G$233:$G$9232,$D$2,TINH_TEC!$B$233:$B$9232,"Đã chốt"))</f>
        <v>0</v>
      </c>
      <c r="AK219" s="242">
        <f>IF($B219="","",SUMIFS(TINH_TEC!$J$233:$J$9232,TINH_TEC!$H$233:$H$9232,$B219,TINH_TEC!$C$233:$C$9232,"Téc cát nghiền",TINH_TEC!$F$233:$F$9232,$B$2,TINH_TEC!$G$233:$G$9232,$D$2,TINH_TEC!$B$233:$B$9232,"Đã chốt"))</f>
        <v>0</v>
      </c>
      <c r="AL219" s="242">
        <f t="shared" si="11"/>
        <v>0</v>
      </c>
    </row>
    <row r="220" ht="15.75" customHeight="1">
      <c r="A220" s="237">
        <f>IF($B220&lt;&gt;"",32,"")</f>
        <v>32</v>
      </c>
      <c r="B220" s="250" t="str">
        <f t="array" ref="B220">IFERROR(INDEX(DANH_MUC!$E:$E,35),"")</f>
        <v>28H00003</v>
      </c>
      <c r="C220" s="251">
        <f>IF(C$4&gt;DAY(EOMONTH(DATE($D$2,$B$2,1),0)),"",IFERROR(SUMIFS(DATA_GOC!$H:$H,DATA_GOC!$A:$A,"BOM",DATA_GOC!$D:$D,$B220,DATA_GOC!$E:$E,"Téc cát nghiền",DATA_GOC!$F:$F,"Xuất nội bộ từ téc",DATA_GOC!$B:$B,DATE($D$2,$B$2,C$4)),0))</f>
        <v>0</v>
      </c>
      <c r="D220" s="251">
        <f>IF(D$4&gt;DAY(EOMONTH(DATE($D$2,$B$2,1),0)),"",IFERROR(SUMIFS(DATA_GOC!$H:$H,DATA_GOC!$A:$A,"BOM",DATA_GOC!$D:$D,$B220,DATA_GOC!$E:$E,"Téc cát nghiền",DATA_GOC!$F:$F,"Xuất nội bộ từ téc",DATA_GOC!$B:$B,DATE($D$2,$B$2,D$4)),0))</f>
        <v>0</v>
      </c>
      <c r="E220" s="251">
        <f>IF(E$4&gt;DAY(EOMONTH(DATE($D$2,$B$2,1),0)),"",IFERROR(SUMIFS(DATA_GOC!$H:$H,DATA_GOC!$A:$A,"BOM",DATA_GOC!$D:$D,$B220,DATA_GOC!$E:$E,"Téc cát nghiền",DATA_GOC!$F:$F,"Xuất nội bộ từ téc",DATA_GOC!$B:$B,DATE($D$2,$B$2,E$4)),0))</f>
        <v>0</v>
      </c>
      <c r="F220" s="251">
        <f>IF(F$4&gt;DAY(EOMONTH(DATE($D$2,$B$2,1),0)),"",IFERROR(SUMIFS(DATA_GOC!$H:$H,DATA_GOC!$A:$A,"BOM",DATA_GOC!$D:$D,$B220,DATA_GOC!$E:$E,"Téc cát nghiền",DATA_GOC!$F:$F,"Xuất nội bộ từ téc",DATA_GOC!$B:$B,DATE($D$2,$B$2,F$4)),0))</f>
        <v>0</v>
      </c>
      <c r="G220" s="251">
        <f>IF(G$4&gt;DAY(EOMONTH(DATE($D$2,$B$2,1),0)),"",IFERROR(SUMIFS(DATA_GOC!$H:$H,DATA_GOC!$A:$A,"BOM",DATA_GOC!$D:$D,$B220,DATA_GOC!$E:$E,"Téc cát nghiền",DATA_GOC!$F:$F,"Xuất nội bộ từ téc",DATA_GOC!$B:$B,DATE($D$2,$B$2,G$4)),0))</f>
        <v>0</v>
      </c>
      <c r="H220" s="251">
        <f>IF(H$4&gt;DAY(EOMONTH(DATE($D$2,$B$2,1),0)),"",IFERROR(SUMIFS(DATA_GOC!$H:$H,DATA_GOC!$A:$A,"BOM",DATA_GOC!$D:$D,$B220,DATA_GOC!$E:$E,"Téc cát nghiền",DATA_GOC!$F:$F,"Xuất nội bộ từ téc",DATA_GOC!$B:$B,DATE($D$2,$B$2,H$4)),0))</f>
        <v>0</v>
      </c>
      <c r="I220" s="251">
        <f>IF(I$4&gt;DAY(EOMONTH(DATE($D$2,$B$2,1),0)),"",IFERROR(SUMIFS(DATA_GOC!$H:$H,DATA_GOC!$A:$A,"BOM",DATA_GOC!$D:$D,$B220,DATA_GOC!$E:$E,"Téc cát nghiền",DATA_GOC!$F:$F,"Xuất nội bộ từ téc",DATA_GOC!$B:$B,DATE($D$2,$B$2,I$4)),0))</f>
        <v>0</v>
      </c>
      <c r="J220" s="251">
        <f>IF(J$4&gt;DAY(EOMONTH(DATE($D$2,$B$2,1),0)),"",IFERROR(SUMIFS(DATA_GOC!$H:$H,DATA_GOC!$A:$A,"BOM",DATA_GOC!$D:$D,$B220,DATA_GOC!$E:$E,"Téc cát nghiền",DATA_GOC!$F:$F,"Xuất nội bộ từ téc",DATA_GOC!$B:$B,DATE($D$2,$B$2,J$4)),0))</f>
        <v>0</v>
      </c>
      <c r="K220" s="251">
        <f>IF(K$4&gt;DAY(EOMONTH(DATE($D$2,$B$2,1),0)),"",IFERROR(SUMIFS(DATA_GOC!$H:$H,DATA_GOC!$A:$A,"BOM",DATA_GOC!$D:$D,$B220,DATA_GOC!$E:$E,"Téc cát nghiền",DATA_GOC!$F:$F,"Xuất nội bộ từ téc",DATA_GOC!$B:$B,DATE($D$2,$B$2,K$4)),0))</f>
        <v>0</v>
      </c>
      <c r="L220" s="251">
        <f>IF(L$4&gt;DAY(EOMONTH(DATE($D$2,$B$2,1),0)),"",IFERROR(SUMIFS(DATA_GOC!$H:$H,DATA_GOC!$A:$A,"BOM",DATA_GOC!$D:$D,$B220,DATA_GOC!$E:$E,"Téc cát nghiền",DATA_GOC!$F:$F,"Xuất nội bộ từ téc",DATA_GOC!$B:$B,DATE($D$2,$B$2,L$4)),0))</f>
        <v>0</v>
      </c>
      <c r="M220" s="251">
        <f>IF(M$4&gt;DAY(EOMONTH(DATE($D$2,$B$2,1),0)),"",IFERROR(SUMIFS(DATA_GOC!$H:$H,DATA_GOC!$A:$A,"BOM",DATA_GOC!$D:$D,$B220,DATA_GOC!$E:$E,"Téc cát nghiền",DATA_GOC!$F:$F,"Xuất nội bộ từ téc",DATA_GOC!$B:$B,DATE($D$2,$B$2,M$4)),0))</f>
        <v>0</v>
      </c>
      <c r="N220" s="251">
        <f>IF(N$4&gt;DAY(EOMONTH(DATE($D$2,$B$2,1),0)),"",IFERROR(SUMIFS(DATA_GOC!$H:$H,DATA_GOC!$A:$A,"BOM",DATA_GOC!$D:$D,$B220,DATA_GOC!$E:$E,"Téc cát nghiền",DATA_GOC!$F:$F,"Xuất nội bộ từ téc",DATA_GOC!$B:$B,DATE($D$2,$B$2,N$4)),0))</f>
        <v>0</v>
      </c>
      <c r="O220" s="251">
        <f>IF(O$4&gt;DAY(EOMONTH(DATE($D$2,$B$2,1),0)),"",IFERROR(SUMIFS(DATA_GOC!$H:$H,DATA_GOC!$A:$A,"BOM",DATA_GOC!$D:$D,$B220,DATA_GOC!$E:$E,"Téc cát nghiền",DATA_GOC!$F:$F,"Xuất nội bộ từ téc",DATA_GOC!$B:$B,DATE($D$2,$B$2,O$4)),0))</f>
        <v>0</v>
      </c>
      <c r="P220" s="251">
        <f>IF(P$4&gt;DAY(EOMONTH(DATE($D$2,$B$2,1),0)),"",IFERROR(SUMIFS(DATA_GOC!$H:$H,DATA_GOC!$A:$A,"BOM",DATA_GOC!$D:$D,$B220,DATA_GOC!$E:$E,"Téc cát nghiền",DATA_GOC!$F:$F,"Xuất nội bộ từ téc",DATA_GOC!$B:$B,DATE($D$2,$B$2,P$4)),0))</f>
        <v>0</v>
      </c>
      <c r="Q220" s="251">
        <f>IF(Q$4&gt;DAY(EOMONTH(DATE($D$2,$B$2,1),0)),"",IFERROR(SUMIFS(DATA_GOC!$H:$H,DATA_GOC!$A:$A,"BOM",DATA_GOC!$D:$D,$B220,DATA_GOC!$E:$E,"Téc cát nghiền",DATA_GOC!$F:$F,"Xuất nội bộ từ téc",DATA_GOC!$B:$B,DATE($D$2,$B$2,Q$4)),0))</f>
        <v>0</v>
      </c>
      <c r="R220" s="251">
        <f>IF(R$4&gt;DAY(EOMONTH(DATE($D$2,$B$2,1),0)),"",IFERROR(SUMIFS(DATA_GOC!$H:$H,DATA_GOC!$A:$A,"BOM",DATA_GOC!$D:$D,$B220,DATA_GOC!$E:$E,"Téc cát nghiền",DATA_GOC!$F:$F,"Xuất nội bộ từ téc",DATA_GOC!$B:$B,DATE($D$2,$B$2,R$4)),0))</f>
        <v>0</v>
      </c>
      <c r="S220" s="251">
        <f>IF(S$4&gt;DAY(EOMONTH(DATE($D$2,$B$2,1),0)),"",IFERROR(SUMIFS(DATA_GOC!$H:$H,DATA_GOC!$A:$A,"BOM",DATA_GOC!$D:$D,$B220,DATA_GOC!$E:$E,"Téc cát nghiền",DATA_GOC!$F:$F,"Xuất nội bộ từ téc",DATA_GOC!$B:$B,DATE($D$2,$B$2,S$4)),0))</f>
        <v>0</v>
      </c>
      <c r="T220" s="251">
        <f>IF(T$4&gt;DAY(EOMONTH(DATE($D$2,$B$2,1),0)),"",IFERROR(SUMIFS(DATA_GOC!$H:$H,DATA_GOC!$A:$A,"BOM",DATA_GOC!$D:$D,$B220,DATA_GOC!$E:$E,"Téc cát nghiền",DATA_GOC!$F:$F,"Xuất nội bộ từ téc",DATA_GOC!$B:$B,DATE($D$2,$B$2,T$4)),0))</f>
        <v>0</v>
      </c>
      <c r="U220" s="251">
        <f>IF(U$4&gt;DAY(EOMONTH(DATE($D$2,$B$2,1),0)),"",IFERROR(SUMIFS(DATA_GOC!$H:$H,DATA_GOC!$A:$A,"BOM",DATA_GOC!$D:$D,$B220,DATA_GOC!$E:$E,"Téc cát nghiền",DATA_GOC!$F:$F,"Xuất nội bộ từ téc",DATA_GOC!$B:$B,DATE($D$2,$B$2,U$4)),0))</f>
        <v>0</v>
      </c>
      <c r="V220" s="251">
        <f>IF(V$4&gt;DAY(EOMONTH(DATE($D$2,$B$2,1),0)),"",IFERROR(SUMIFS(DATA_GOC!$H:$H,DATA_GOC!$A:$A,"BOM",DATA_GOC!$D:$D,$B220,DATA_GOC!$E:$E,"Téc cát nghiền",DATA_GOC!$F:$F,"Xuất nội bộ từ téc",DATA_GOC!$B:$B,DATE($D$2,$B$2,V$4)),0))</f>
        <v>0</v>
      </c>
      <c r="W220" s="251">
        <f>IF(W$4&gt;DAY(EOMONTH(DATE($D$2,$B$2,1),0)),"",IFERROR(SUMIFS(DATA_GOC!$H:$H,DATA_GOC!$A:$A,"BOM",DATA_GOC!$D:$D,$B220,DATA_GOC!$E:$E,"Téc cát nghiền",DATA_GOC!$F:$F,"Xuất nội bộ từ téc",DATA_GOC!$B:$B,DATE($D$2,$B$2,W$4)),0))</f>
        <v>0</v>
      </c>
      <c r="X220" s="251">
        <f>IF(X$4&gt;DAY(EOMONTH(DATE($D$2,$B$2,1),0)),"",IFERROR(SUMIFS(DATA_GOC!$H:$H,DATA_GOC!$A:$A,"BOM",DATA_GOC!$D:$D,$B220,DATA_GOC!$E:$E,"Téc cát nghiền",DATA_GOC!$F:$F,"Xuất nội bộ từ téc",DATA_GOC!$B:$B,DATE($D$2,$B$2,X$4)),0))</f>
        <v>0</v>
      </c>
      <c r="Y220" s="251">
        <f>IF(Y$4&gt;DAY(EOMONTH(DATE($D$2,$B$2,1),0)),"",IFERROR(SUMIFS(DATA_GOC!$H:$H,DATA_GOC!$A:$A,"BOM",DATA_GOC!$D:$D,$B220,DATA_GOC!$E:$E,"Téc cát nghiền",DATA_GOC!$F:$F,"Xuất nội bộ từ téc",DATA_GOC!$B:$B,DATE($D$2,$B$2,Y$4)),0))</f>
        <v>0</v>
      </c>
      <c r="Z220" s="251">
        <f>IF(Z$4&gt;DAY(EOMONTH(DATE($D$2,$B$2,1),0)),"",IFERROR(SUMIFS(DATA_GOC!$H:$H,DATA_GOC!$A:$A,"BOM",DATA_GOC!$D:$D,$B220,DATA_GOC!$E:$E,"Téc cát nghiền",DATA_GOC!$F:$F,"Xuất nội bộ từ téc",DATA_GOC!$B:$B,DATE($D$2,$B$2,Z$4)),0))</f>
        <v>0</v>
      </c>
      <c r="AA220" s="251">
        <f>IF(AA$4&gt;DAY(EOMONTH(DATE($D$2,$B$2,1),0)),"",IFERROR(SUMIFS(DATA_GOC!$H:$H,DATA_GOC!$A:$A,"BOM",DATA_GOC!$D:$D,$B220,DATA_GOC!$E:$E,"Téc cát nghiền",DATA_GOC!$F:$F,"Xuất nội bộ từ téc",DATA_GOC!$B:$B,DATE($D$2,$B$2,AA$4)),0))</f>
        <v>0</v>
      </c>
      <c r="AB220" s="251">
        <f>IF(AB$4&gt;DAY(EOMONTH(DATE($D$2,$B$2,1),0)),"",IFERROR(SUMIFS(DATA_GOC!$H:$H,DATA_GOC!$A:$A,"BOM",DATA_GOC!$D:$D,$B220,DATA_GOC!$E:$E,"Téc cát nghiền",DATA_GOC!$F:$F,"Xuất nội bộ từ téc",DATA_GOC!$B:$B,DATE($D$2,$B$2,AB$4)),0))</f>
        <v>0</v>
      </c>
      <c r="AC220" s="251">
        <f>IF(AC$4&gt;DAY(EOMONTH(DATE($D$2,$B$2,1),0)),"",IFERROR(SUMIFS(DATA_GOC!$H:$H,DATA_GOC!$A:$A,"BOM",DATA_GOC!$D:$D,$B220,DATA_GOC!$E:$E,"Téc cát nghiền",DATA_GOC!$F:$F,"Xuất nội bộ từ téc",DATA_GOC!$B:$B,DATE($D$2,$B$2,AC$4)),0))</f>
        <v>0</v>
      </c>
      <c r="AD220" s="251">
        <f>IF(AD$4&gt;DAY(EOMONTH(DATE($D$2,$B$2,1),0)),"",IFERROR(SUMIFS(DATA_GOC!$H:$H,DATA_GOC!$A:$A,"BOM",DATA_GOC!$D:$D,$B220,DATA_GOC!$E:$E,"Téc cát nghiền",DATA_GOC!$F:$F,"Xuất nội bộ từ téc",DATA_GOC!$B:$B,DATE($D$2,$B$2,AD$4)),0))</f>
        <v>0</v>
      </c>
      <c r="AE220" s="251">
        <f>IF(AE$4&gt;DAY(EOMONTH(DATE($D$2,$B$2,1),0)),"",IFERROR(SUMIFS(DATA_GOC!$H:$H,DATA_GOC!$A:$A,"BOM",DATA_GOC!$D:$D,$B220,DATA_GOC!$E:$E,"Téc cát nghiền",DATA_GOC!$F:$F,"Xuất nội bộ từ téc",DATA_GOC!$B:$B,DATE($D$2,$B$2,AE$4)),0))</f>
        <v>0</v>
      </c>
      <c r="AF220" s="251">
        <f>IF(AF$4&gt;DAY(EOMONTH(DATE($D$2,$B$2,1),0)),"",IFERROR(SUMIFS(DATA_GOC!$H:$H,DATA_GOC!$A:$A,"BOM",DATA_GOC!$D:$D,$B220,DATA_GOC!$E:$E,"Téc cát nghiền",DATA_GOC!$F:$F,"Xuất nội bộ từ téc",DATA_GOC!$B:$B,DATE($D$2,$B$2,AF$4)),0))</f>
        <v>0</v>
      </c>
      <c r="AG220" s="251">
        <f>IF(AG$4&gt;DAY(EOMONTH(DATE($D$2,$B$2,1),0)),"",IFERROR(SUMIFS(DATA_GOC!$H:$H,DATA_GOC!$A:$A,"BOM",DATA_GOC!$D:$D,$B220,DATA_GOC!$E:$E,"Téc cát nghiền",DATA_GOC!$F:$F,"Xuất nội bộ từ téc",DATA_GOC!$B:$B,DATE($D$2,$B$2,AG$4)),0))</f>
        <v>0</v>
      </c>
      <c r="AH220" s="252">
        <f t="shared" si="10"/>
        <v>0</v>
      </c>
      <c r="AI220" s="241"/>
      <c r="AJ220" s="242">
        <f>IF($B220="","",SUMIFS(TINH_TEC!$K$233:$K$9232,TINH_TEC!$H$233:$H$9232,$B220,TINH_TEC!$C$233:$C$9232,"Téc cát nghiền",TINH_TEC!$F$233:$F$9232,$B$2,TINH_TEC!$G$233:$G$9232,$D$2,TINH_TEC!$B$233:$B$9232,"Đã chốt"))</f>
        <v>0</v>
      </c>
      <c r="AK220" s="242">
        <f>IF($B220="","",SUMIFS(TINH_TEC!$J$233:$J$9232,TINH_TEC!$H$233:$H$9232,$B220,TINH_TEC!$C$233:$C$9232,"Téc cát nghiền",TINH_TEC!$F$233:$F$9232,$B$2,TINH_TEC!$G$233:$G$9232,$D$2,TINH_TEC!$B$233:$B$9232,"Đã chốt"))</f>
        <v>0</v>
      </c>
      <c r="AL220" s="242">
        <f t="shared" si="11"/>
        <v>0</v>
      </c>
    </row>
    <row r="221" ht="15.75" customHeight="1">
      <c r="A221" s="237">
        <f>IF($B221&lt;&gt;"",33,"")</f>
        <v>33</v>
      </c>
      <c r="B221" s="250" t="str">
        <f t="array" ref="B221">IFERROR(INDEX(DANH_MUC!$E:$E,36),"")</f>
        <v>28H00061</v>
      </c>
      <c r="C221" s="251">
        <f>IF(C$4&gt;DAY(EOMONTH(DATE($D$2,$B$2,1),0)),"",IFERROR(SUMIFS(DATA_GOC!$H:$H,DATA_GOC!$A:$A,"BOM",DATA_GOC!$D:$D,$B221,DATA_GOC!$E:$E,"Téc cát nghiền",DATA_GOC!$F:$F,"Xuất nội bộ từ téc",DATA_GOC!$B:$B,DATE($D$2,$B$2,C$4)),0))</f>
        <v>0</v>
      </c>
      <c r="D221" s="251">
        <f>IF(D$4&gt;DAY(EOMONTH(DATE($D$2,$B$2,1),0)),"",IFERROR(SUMIFS(DATA_GOC!$H:$H,DATA_GOC!$A:$A,"BOM",DATA_GOC!$D:$D,$B221,DATA_GOC!$E:$E,"Téc cát nghiền",DATA_GOC!$F:$F,"Xuất nội bộ từ téc",DATA_GOC!$B:$B,DATE($D$2,$B$2,D$4)),0))</f>
        <v>0</v>
      </c>
      <c r="E221" s="251">
        <f>IF(E$4&gt;DAY(EOMONTH(DATE($D$2,$B$2,1),0)),"",IFERROR(SUMIFS(DATA_GOC!$H:$H,DATA_GOC!$A:$A,"BOM",DATA_GOC!$D:$D,$B221,DATA_GOC!$E:$E,"Téc cát nghiền",DATA_GOC!$F:$F,"Xuất nội bộ từ téc",DATA_GOC!$B:$B,DATE($D$2,$B$2,E$4)),0))</f>
        <v>0</v>
      </c>
      <c r="F221" s="251">
        <f>IF(F$4&gt;DAY(EOMONTH(DATE($D$2,$B$2,1),0)),"",IFERROR(SUMIFS(DATA_GOC!$H:$H,DATA_GOC!$A:$A,"BOM",DATA_GOC!$D:$D,$B221,DATA_GOC!$E:$E,"Téc cát nghiền",DATA_GOC!$F:$F,"Xuất nội bộ từ téc",DATA_GOC!$B:$B,DATE($D$2,$B$2,F$4)),0))</f>
        <v>0</v>
      </c>
      <c r="G221" s="251">
        <f>IF(G$4&gt;DAY(EOMONTH(DATE($D$2,$B$2,1),0)),"",IFERROR(SUMIFS(DATA_GOC!$H:$H,DATA_GOC!$A:$A,"BOM",DATA_GOC!$D:$D,$B221,DATA_GOC!$E:$E,"Téc cát nghiền",DATA_GOC!$F:$F,"Xuất nội bộ từ téc",DATA_GOC!$B:$B,DATE($D$2,$B$2,G$4)),0))</f>
        <v>0</v>
      </c>
      <c r="H221" s="251">
        <f>IF(H$4&gt;DAY(EOMONTH(DATE($D$2,$B$2,1),0)),"",IFERROR(SUMIFS(DATA_GOC!$H:$H,DATA_GOC!$A:$A,"BOM",DATA_GOC!$D:$D,$B221,DATA_GOC!$E:$E,"Téc cát nghiền",DATA_GOC!$F:$F,"Xuất nội bộ từ téc",DATA_GOC!$B:$B,DATE($D$2,$B$2,H$4)),0))</f>
        <v>0</v>
      </c>
      <c r="I221" s="251">
        <f>IF(I$4&gt;DAY(EOMONTH(DATE($D$2,$B$2,1),0)),"",IFERROR(SUMIFS(DATA_GOC!$H:$H,DATA_GOC!$A:$A,"BOM",DATA_GOC!$D:$D,$B221,DATA_GOC!$E:$E,"Téc cát nghiền",DATA_GOC!$F:$F,"Xuất nội bộ từ téc",DATA_GOC!$B:$B,DATE($D$2,$B$2,I$4)),0))</f>
        <v>0</v>
      </c>
      <c r="J221" s="251">
        <f>IF(J$4&gt;DAY(EOMONTH(DATE($D$2,$B$2,1),0)),"",IFERROR(SUMIFS(DATA_GOC!$H:$H,DATA_GOC!$A:$A,"BOM",DATA_GOC!$D:$D,$B221,DATA_GOC!$E:$E,"Téc cát nghiền",DATA_GOC!$F:$F,"Xuất nội bộ từ téc",DATA_GOC!$B:$B,DATE($D$2,$B$2,J$4)),0))</f>
        <v>0</v>
      </c>
      <c r="K221" s="251">
        <f>IF(K$4&gt;DAY(EOMONTH(DATE($D$2,$B$2,1),0)),"",IFERROR(SUMIFS(DATA_GOC!$H:$H,DATA_GOC!$A:$A,"BOM",DATA_GOC!$D:$D,$B221,DATA_GOC!$E:$E,"Téc cát nghiền",DATA_GOC!$F:$F,"Xuất nội bộ từ téc",DATA_GOC!$B:$B,DATE($D$2,$B$2,K$4)),0))</f>
        <v>0</v>
      </c>
      <c r="L221" s="251">
        <f>IF(L$4&gt;DAY(EOMONTH(DATE($D$2,$B$2,1),0)),"",IFERROR(SUMIFS(DATA_GOC!$H:$H,DATA_GOC!$A:$A,"BOM",DATA_GOC!$D:$D,$B221,DATA_GOC!$E:$E,"Téc cát nghiền",DATA_GOC!$F:$F,"Xuất nội bộ từ téc",DATA_GOC!$B:$B,DATE($D$2,$B$2,L$4)),0))</f>
        <v>0</v>
      </c>
      <c r="M221" s="251">
        <f>IF(M$4&gt;DAY(EOMONTH(DATE($D$2,$B$2,1),0)),"",IFERROR(SUMIFS(DATA_GOC!$H:$H,DATA_GOC!$A:$A,"BOM",DATA_GOC!$D:$D,$B221,DATA_GOC!$E:$E,"Téc cát nghiền",DATA_GOC!$F:$F,"Xuất nội bộ từ téc",DATA_GOC!$B:$B,DATE($D$2,$B$2,M$4)),0))</f>
        <v>0</v>
      </c>
      <c r="N221" s="251">
        <f>IF(N$4&gt;DAY(EOMONTH(DATE($D$2,$B$2,1),0)),"",IFERROR(SUMIFS(DATA_GOC!$H:$H,DATA_GOC!$A:$A,"BOM",DATA_GOC!$D:$D,$B221,DATA_GOC!$E:$E,"Téc cát nghiền",DATA_GOC!$F:$F,"Xuất nội bộ từ téc",DATA_GOC!$B:$B,DATE($D$2,$B$2,N$4)),0))</f>
        <v>0</v>
      </c>
      <c r="O221" s="251">
        <f>IF(O$4&gt;DAY(EOMONTH(DATE($D$2,$B$2,1),0)),"",IFERROR(SUMIFS(DATA_GOC!$H:$H,DATA_GOC!$A:$A,"BOM",DATA_GOC!$D:$D,$B221,DATA_GOC!$E:$E,"Téc cát nghiền",DATA_GOC!$F:$F,"Xuất nội bộ từ téc",DATA_GOC!$B:$B,DATE($D$2,$B$2,O$4)),0))</f>
        <v>0</v>
      </c>
      <c r="P221" s="251">
        <f>IF(P$4&gt;DAY(EOMONTH(DATE($D$2,$B$2,1),0)),"",IFERROR(SUMIFS(DATA_GOC!$H:$H,DATA_GOC!$A:$A,"BOM",DATA_GOC!$D:$D,$B221,DATA_GOC!$E:$E,"Téc cát nghiền",DATA_GOC!$F:$F,"Xuất nội bộ từ téc",DATA_GOC!$B:$B,DATE($D$2,$B$2,P$4)),0))</f>
        <v>0</v>
      </c>
      <c r="Q221" s="251">
        <f>IF(Q$4&gt;DAY(EOMONTH(DATE($D$2,$B$2,1),0)),"",IFERROR(SUMIFS(DATA_GOC!$H:$H,DATA_GOC!$A:$A,"BOM",DATA_GOC!$D:$D,$B221,DATA_GOC!$E:$E,"Téc cát nghiền",DATA_GOC!$F:$F,"Xuất nội bộ từ téc",DATA_GOC!$B:$B,DATE($D$2,$B$2,Q$4)),0))</f>
        <v>0</v>
      </c>
      <c r="R221" s="251">
        <f>IF(R$4&gt;DAY(EOMONTH(DATE($D$2,$B$2,1),0)),"",IFERROR(SUMIFS(DATA_GOC!$H:$H,DATA_GOC!$A:$A,"BOM",DATA_GOC!$D:$D,$B221,DATA_GOC!$E:$E,"Téc cát nghiền",DATA_GOC!$F:$F,"Xuất nội bộ từ téc",DATA_GOC!$B:$B,DATE($D$2,$B$2,R$4)),0))</f>
        <v>0</v>
      </c>
      <c r="S221" s="251">
        <f>IF(S$4&gt;DAY(EOMONTH(DATE($D$2,$B$2,1),0)),"",IFERROR(SUMIFS(DATA_GOC!$H:$H,DATA_GOC!$A:$A,"BOM",DATA_GOC!$D:$D,$B221,DATA_GOC!$E:$E,"Téc cát nghiền",DATA_GOC!$F:$F,"Xuất nội bộ từ téc",DATA_GOC!$B:$B,DATE($D$2,$B$2,S$4)),0))</f>
        <v>0</v>
      </c>
      <c r="T221" s="251">
        <f>IF(T$4&gt;DAY(EOMONTH(DATE($D$2,$B$2,1),0)),"",IFERROR(SUMIFS(DATA_GOC!$H:$H,DATA_GOC!$A:$A,"BOM",DATA_GOC!$D:$D,$B221,DATA_GOC!$E:$E,"Téc cát nghiền",DATA_GOC!$F:$F,"Xuất nội bộ từ téc",DATA_GOC!$B:$B,DATE($D$2,$B$2,T$4)),0))</f>
        <v>0</v>
      </c>
      <c r="U221" s="251">
        <f>IF(U$4&gt;DAY(EOMONTH(DATE($D$2,$B$2,1),0)),"",IFERROR(SUMIFS(DATA_GOC!$H:$H,DATA_GOC!$A:$A,"BOM",DATA_GOC!$D:$D,$B221,DATA_GOC!$E:$E,"Téc cát nghiền",DATA_GOC!$F:$F,"Xuất nội bộ từ téc",DATA_GOC!$B:$B,DATE($D$2,$B$2,U$4)),0))</f>
        <v>0</v>
      </c>
      <c r="V221" s="251">
        <f>IF(V$4&gt;DAY(EOMONTH(DATE($D$2,$B$2,1),0)),"",IFERROR(SUMIFS(DATA_GOC!$H:$H,DATA_GOC!$A:$A,"BOM",DATA_GOC!$D:$D,$B221,DATA_GOC!$E:$E,"Téc cát nghiền",DATA_GOC!$F:$F,"Xuất nội bộ từ téc",DATA_GOC!$B:$B,DATE($D$2,$B$2,V$4)),0))</f>
        <v>0</v>
      </c>
      <c r="W221" s="251">
        <f>IF(W$4&gt;DAY(EOMONTH(DATE($D$2,$B$2,1),0)),"",IFERROR(SUMIFS(DATA_GOC!$H:$H,DATA_GOC!$A:$A,"BOM",DATA_GOC!$D:$D,$B221,DATA_GOC!$E:$E,"Téc cát nghiền",DATA_GOC!$F:$F,"Xuất nội bộ từ téc",DATA_GOC!$B:$B,DATE($D$2,$B$2,W$4)),0))</f>
        <v>0</v>
      </c>
      <c r="X221" s="251">
        <f>IF(X$4&gt;DAY(EOMONTH(DATE($D$2,$B$2,1),0)),"",IFERROR(SUMIFS(DATA_GOC!$H:$H,DATA_GOC!$A:$A,"BOM",DATA_GOC!$D:$D,$B221,DATA_GOC!$E:$E,"Téc cát nghiền",DATA_GOC!$F:$F,"Xuất nội bộ từ téc",DATA_GOC!$B:$B,DATE($D$2,$B$2,X$4)),0))</f>
        <v>0</v>
      </c>
      <c r="Y221" s="251">
        <f>IF(Y$4&gt;DAY(EOMONTH(DATE($D$2,$B$2,1),0)),"",IFERROR(SUMIFS(DATA_GOC!$H:$H,DATA_GOC!$A:$A,"BOM",DATA_GOC!$D:$D,$B221,DATA_GOC!$E:$E,"Téc cát nghiền",DATA_GOC!$F:$F,"Xuất nội bộ từ téc",DATA_GOC!$B:$B,DATE($D$2,$B$2,Y$4)),0))</f>
        <v>0</v>
      </c>
      <c r="Z221" s="251">
        <f>IF(Z$4&gt;DAY(EOMONTH(DATE($D$2,$B$2,1),0)),"",IFERROR(SUMIFS(DATA_GOC!$H:$H,DATA_GOC!$A:$A,"BOM",DATA_GOC!$D:$D,$B221,DATA_GOC!$E:$E,"Téc cát nghiền",DATA_GOC!$F:$F,"Xuất nội bộ từ téc",DATA_GOC!$B:$B,DATE($D$2,$B$2,Z$4)),0))</f>
        <v>0</v>
      </c>
      <c r="AA221" s="251">
        <f>IF(AA$4&gt;DAY(EOMONTH(DATE($D$2,$B$2,1),0)),"",IFERROR(SUMIFS(DATA_GOC!$H:$H,DATA_GOC!$A:$A,"BOM",DATA_GOC!$D:$D,$B221,DATA_GOC!$E:$E,"Téc cát nghiền",DATA_GOC!$F:$F,"Xuất nội bộ từ téc",DATA_GOC!$B:$B,DATE($D$2,$B$2,AA$4)),0))</f>
        <v>0</v>
      </c>
      <c r="AB221" s="251">
        <f>IF(AB$4&gt;DAY(EOMONTH(DATE($D$2,$B$2,1),0)),"",IFERROR(SUMIFS(DATA_GOC!$H:$H,DATA_GOC!$A:$A,"BOM",DATA_GOC!$D:$D,$B221,DATA_GOC!$E:$E,"Téc cát nghiền",DATA_GOC!$F:$F,"Xuất nội bộ từ téc",DATA_GOC!$B:$B,DATE($D$2,$B$2,AB$4)),0))</f>
        <v>0</v>
      </c>
      <c r="AC221" s="251">
        <f>IF(AC$4&gt;DAY(EOMONTH(DATE($D$2,$B$2,1),0)),"",IFERROR(SUMIFS(DATA_GOC!$H:$H,DATA_GOC!$A:$A,"BOM",DATA_GOC!$D:$D,$B221,DATA_GOC!$E:$E,"Téc cát nghiền",DATA_GOC!$F:$F,"Xuất nội bộ từ téc",DATA_GOC!$B:$B,DATE($D$2,$B$2,AC$4)),0))</f>
        <v>0</v>
      </c>
      <c r="AD221" s="251">
        <f>IF(AD$4&gt;DAY(EOMONTH(DATE($D$2,$B$2,1),0)),"",IFERROR(SUMIFS(DATA_GOC!$H:$H,DATA_GOC!$A:$A,"BOM",DATA_GOC!$D:$D,$B221,DATA_GOC!$E:$E,"Téc cát nghiền",DATA_GOC!$F:$F,"Xuất nội bộ từ téc",DATA_GOC!$B:$B,DATE($D$2,$B$2,AD$4)),0))</f>
        <v>0</v>
      </c>
      <c r="AE221" s="251">
        <f>IF(AE$4&gt;DAY(EOMONTH(DATE($D$2,$B$2,1),0)),"",IFERROR(SUMIFS(DATA_GOC!$H:$H,DATA_GOC!$A:$A,"BOM",DATA_GOC!$D:$D,$B221,DATA_GOC!$E:$E,"Téc cát nghiền",DATA_GOC!$F:$F,"Xuất nội bộ từ téc",DATA_GOC!$B:$B,DATE($D$2,$B$2,AE$4)),0))</f>
        <v>0</v>
      </c>
      <c r="AF221" s="251">
        <f>IF(AF$4&gt;DAY(EOMONTH(DATE($D$2,$B$2,1),0)),"",IFERROR(SUMIFS(DATA_GOC!$H:$H,DATA_GOC!$A:$A,"BOM",DATA_GOC!$D:$D,$B221,DATA_GOC!$E:$E,"Téc cát nghiền",DATA_GOC!$F:$F,"Xuất nội bộ từ téc",DATA_GOC!$B:$B,DATE($D$2,$B$2,AF$4)),0))</f>
        <v>0</v>
      </c>
      <c r="AG221" s="251">
        <f>IF(AG$4&gt;DAY(EOMONTH(DATE($D$2,$B$2,1),0)),"",IFERROR(SUMIFS(DATA_GOC!$H:$H,DATA_GOC!$A:$A,"BOM",DATA_GOC!$D:$D,$B221,DATA_GOC!$E:$E,"Téc cát nghiền",DATA_GOC!$F:$F,"Xuất nội bộ từ téc",DATA_GOC!$B:$B,DATE($D$2,$B$2,AG$4)),0))</f>
        <v>0</v>
      </c>
      <c r="AH221" s="252">
        <f t="shared" si="10"/>
        <v>0</v>
      </c>
      <c r="AI221" s="241"/>
      <c r="AJ221" s="242">
        <f>IF($B221="","",SUMIFS(TINH_TEC!$K$233:$K$9232,TINH_TEC!$H$233:$H$9232,$B221,TINH_TEC!$C$233:$C$9232,"Téc cát nghiền",TINH_TEC!$F$233:$F$9232,$B$2,TINH_TEC!$G$233:$G$9232,$D$2,TINH_TEC!$B$233:$B$9232,"Đã chốt"))</f>
        <v>0</v>
      </c>
      <c r="AK221" s="242">
        <f>IF($B221="","",SUMIFS(TINH_TEC!$J$233:$J$9232,TINH_TEC!$H$233:$H$9232,$B221,TINH_TEC!$C$233:$C$9232,"Téc cát nghiền",TINH_TEC!$F$233:$F$9232,$B$2,TINH_TEC!$G$233:$G$9232,$D$2,TINH_TEC!$B$233:$B$9232,"Đã chốt"))</f>
        <v>0</v>
      </c>
      <c r="AL221" s="242">
        <f t="shared" si="11"/>
        <v>0</v>
      </c>
    </row>
    <row r="222" ht="15.75" customHeight="1">
      <c r="A222" s="237">
        <f>IF($B222&lt;&gt;"",34,"")</f>
        <v>34</v>
      </c>
      <c r="B222" s="250" t="str">
        <f t="array" ref="B222">IFERROR(INDEX(DANH_MUC!$E:$E,37),"")</f>
        <v>28H00354</v>
      </c>
      <c r="C222" s="251">
        <f>IF(C$4&gt;DAY(EOMONTH(DATE($D$2,$B$2,1),0)),"",IFERROR(SUMIFS(DATA_GOC!$H:$H,DATA_GOC!$A:$A,"BOM",DATA_GOC!$D:$D,$B222,DATA_GOC!$E:$E,"Téc cát nghiền",DATA_GOC!$F:$F,"Xuất nội bộ từ téc",DATA_GOC!$B:$B,DATE($D$2,$B$2,C$4)),0))</f>
        <v>0</v>
      </c>
      <c r="D222" s="251">
        <f>IF(D$4&gt;DAY(EOMONTH(DATE($D$2,$B$2,1),0)),"",IFERROR(SUMIFS(DATA_GOC!$H:$H,DATA_GOC!$A:$A,"BOM",DATA_GOC!$D:$D,$B222,DATA_GOC!$E:$E,"Téc cát nghiền",DATA_GOC!$F:$F,"Xuất nội bộ từ téc",DATA_GOC!$B:$B,DATE($D$2,$B$2,D$4)),0))</f>
        <v>0</v>
      </c>
      <c r="E222" s="251">
        <f>IF(E$4&gt;DAY(EOMONTH(DATE($D$2,$B$2,1),0)),"",IFERROR(SUMIFS(DATA_GOC!$H:$H,DATA_GOC!$A:$A,"BOM",DATA_GOC!$D:$D,$B222,DATA_GOC!$E:$E,"Téc cát nghiền",DATA_GOC!$F:$F,"Xuất nội bộ từ téc",DATA_GOC!$B:$B,DATE($D$2,$B$2,E$4)),0))</f>
        <v>0</v>
      </c>
      <c r="F222" s="251">
        <f>IF(F$4&gt;DAY(EOMONTH(DATE($D$2,$B$2,1),0)),"",IFERROR(SUMIFS(DATA_GOC!$H:$H,DATA_GOC!$A:$A,"BOM",DATA_GOC!$D:$D,$B222,DATA_GOC!$E:$E,"Téc cát nghiền",DATA_GOC!$F:$F,"Xuất nội bộ từ téc",DATA_GOC!$B:$B,DATE($D$2,$B$2,F$4)),0))</f>
        <v>0</v>
      </c>
      <c r="G222" s="251">
        <f>IF(G$4&gt;DAY(EOMONTH(DATE($D$2,$B$2,1),0)),"",IFERROR(SUMIFS(DATA_GOC!$H:$H,DATA_GOC!$A:$A,"BOM",DATA_GOC!$D:$D,$B222,DATA_GOC!$E:$E,"Téc cát nghiền",DATA_GOC!$F:$F,"Xuất nội bộ từ téc",DATA_GOC!$B:$B,DATE($D$2,$B$2,G$4)),0))</f>
        <v>0</v>
      </c>
      <c r="H222" s="251">
        <f>IF(H$4&gt;DAY(EOMONTH(DATE($D$2,$B$2,1),0)),"",IFERROR(SUMIFS(DATA_GOC!$H:$H,DATA_GOC!$A:$A,"BOM",DATA_GOC!$D:$D,$B222,DATA_GOC!$E:$E,"Téc cát nghiền",DATA_GOC!$F:$F,"Xuất nội bộ từ téc",DATA_GOC!$B:$B,DATE($D$2,$B$2,H$4)),0))</f>
        <v>0</v>
      </c>
      <c r="I222" s="251">
        <f>IF(I$4&gt;DAY(EOMONTH(DATE($D$2,$B$2,1),0)),"",IFERROR(SUMIFS(DATA_GOC!$H:$H,DATA_GOC!$A:$A,"BOM",DATA_GOC!$D:$D,$B222,DATA_GOC!$E:$E,"Téc cát nghiền",DATA_GOC!$F:$F,"Xuất nội bộ từ téc",DATA_GOC!$B:$B,DATE($D$2,$B$2,I$4)),0))</f>
        <v>0</v>
      </c>
      <c r="J222" s="251">
        <f>IF(J$4&gt;DAY(EOMONTH(DATE($D$2,$B$2,1),0)),"",IFERROR(SUMIFS(DATA_GOC!$H:$H,DATA_GOC!$A:$A,"BOM",DATA_GOC!$D:$D,$B222,DATA_GOC!$E:$E,"Téc cát nghiền",DATA_GOC!$F:$F,"Xuất nội bộ từ téc",DATA_GOC!$B:$B,DATE($D$2,$B$2,J$4)),0))</f>
        <v>0</v>
      </c>
      <c r="K222" s="251">
        <f>IF(K$4&gt;DAY(EOMONTH(DATE($D$2,$B$2,1),0)),"",IFERROR(SUMIFS(DATA_GOC!$H:$H,DATA_GOC!$A:$A,"BOM",DATA_GOC!$D:$D,$B222,DATA_GOC!$E:$E,"Téc cát nghiền",DATA_GOC!$F:$F,"Xuất nội bộ từ téc",DATA_GOC!$B:$B,DATE($D$2,$B$2,K$4)),0))</f>
        <v>0</v>
      </c>
      <c r="L222" s="251">
        <f>IF(L$4&gt;DAY(EOMONTH(DATE($D$2,$B$2,1),0)),"",IFERROR(SUMIFS(DATA_GOC!$H:$H,DATA_GOC!$A:$A,"BOM",DATA_GOC!$D:$D,$B222,DATA_GOC!$E:$E,"Téc cát nghiền",DATA_GOC!$F:$F,"Xuất nội bộ từ téc",DATA_GOC!$B:$B,DATE($D$2,$B$2,L$4)),0))</f>
        <v>0</v>
      </c>
      <c r="M222" s="251">
        <f>IF(M$4&gt;DAY(EOMONTH(DATE($D$2,$B$2,1),0)),"",IFERROR(SUMIFS(DATA_GOC!$H:$H,DATA_GOC!$A:$A,"BOM",DATA_GOC!$D:$D,$B222,DATA_GOC!$E:$E,"Téc cát nghiền",DATA_GOC!$F:$F,"Xuất nội bộ từ téc",DATA_GOC!$B:$B,DATE($D$2,$B$2,M$4)),0))</f>
        <v>0</v>
      </c>
      <c r="N222" s="251">
        <f>IF(N$4&gt;DAY(EOMONTH(DATE($D$2,$B$2,1),0)),"",IFERROR(SUMIFS(DATA_GOC!$H:$H,DATA_GOC!$A:$A,"BOM",DATA_GOC!$D:$D,$B222,DATA_GOC!$E:$E,"Téc cát nghiền",DATA_GOC!$F:$F,"Xuất nội bộ từ téc",DATA_GOC!$B:$B,DATE($D$2,$B$2,N$4)),0))</f>
        <v>0</v>
      </c>
      <c r="O222" s="251">
        <f>IF(O$4&gt;DAY(EOMONTH(DATE($D$2,$B$2,1),0)),"",IFERROR(SUMIFS(DATA_GOC!$H:$H,DATA_GOC!$A:$A,"BOM",DATA_GOC!$D:$D,$B222,DATA_GOC!$E:$E,"Téc cát nghiền",DATA_GOC!$F:$F,"Xuất nội bộ từ téc",DATA_GOC!$B:$B,DATE($D$2,$B$2,O$4)),0))</f>
        <v>0</v>
      </c>
      <c r="P222" s="251">
        <f>IF(P$4&gt;DAY(EOMONTH(DATE($D$2,$B$2,1),0)),"",IFERROR(SUMIFS(DATA_GOC!$H:$H,DATA_GOC!$A:$A,"BOM",DATA_GOC!$D:$D,$B222,DATA_GOC!$E:$E,"Téc cát nghiền",DATA_GOC!$F:$F,"Xuất nội bộ từ téc",DATA_GOC!$B:$B,DATE($D$2,$B$2,P$4)),0))</f>
        <v>0</v>
      </c>
      <c r="Q222" s="251">
        <f>IF(Q$4&gt;DAY(EOMONTH(DATE($D$2,$B$2,1),0)),"",IFERROR(SUMIFS(DATA_GOC!$H:$H,DATA_GOC!$A:$A,"BOM",DATA_GOC!$D:$D,$B222,DATA_GOC!$E:$E,"Téc cát nghiền",DATA_GOC!$F:$F,"Xuất nội bộ từ téc",DATA_GOC!$B:$B,DATE($D$2,$B$2,Q$4)),0))</f>
        <v>0</v>
      </c>
      <c r="R222" s="251">
        <f>IF(R$4&gt;DAY(EOMONTH(DATE($D$2,$B$2,1),0)),"",IFERROR(SUMIFS(DATA_GOC!$H:$H,DATA_GOC!$A:$A,"BOM",DATA_GOC!$D:$D,$B222,DATA_GOC!$E:$E,"Téc cát nghiền",DATA_GOC!$F:$F,"Xuất nội bộ từ téc",DATA_GOC!$B:$B,DATE($D$2,$B$2,R$4)),0))</f>
        <v>0</v>
      </c>
      <c r="S222" s="251">
        <f>IF(S$4&gt;DAY(EOMONTH(DATE($D$2,$B$2,1),0)),"",IFERROR(SUMIFS(DATA_GOC!$H:$H,DATA_GOC!$A:$A,"BOM",DATA_GOC!$D:$D,$B222,DATA_GOC!$E:$E,"Téc cát nghiền",DATA_GOC!$F:$F,"Xuất nội bộ từ téc",DATA_GOC!$B:$B,DATE($D$2,$B$2,S$4)),0))</f>
        <v>0</v>
      </c>
      <c r="T222" s="251">
        <f>IF(T$4&gt;DAY(EOMONTH(DATE($D$2,$B$2,1),0)),"",IFERROR(SUMIFS(DATA_GOC!$H:$H,DATA_GOC!$A:$A,"BOM",DATA_GOC!$D:$D,$B222,DATA_GOC!$E:$E,"Téc cát nghiền",DATA_GOC!$F:$F,"Xuất nội bộ từ téc",DATA_GOC!$B:$B,DATE($D$2,$B$2,T$4)),0))</f>
        <v>0</v>
      </c>
      <c r="U222" s="251">
        <f>IF(U$4&gt;DAY(EOMONTH(DATE($D$2,$B$2,1),0)),"",IFERROR(SUMIFS(DATA_GOC!$H:$H,DATA_GOC!$A:$A,"BOM",DATA_GOC!$D:$D,$B222,DATA_GOC!$E:$E,"Téc cát nghiền",DATA_GOC!$F:$F,"Xuất nội bộ từ téc",DATA_GOC!$B:$B,DATE($D$2,$B$2,U$4)),0))</f>
        <v>0</v>
      </c>
      <c r="V222" s="251">
        <f>IF(V$4&gt;DAY(EOMONTH(DATE($D$2,$B$2,1),0)),"",IFERROR(SUMIFS(DATA_GOC!$H:$H,DATA_GOC!$A:$A,"BOM",DATA_GOC!$D:$D,$B222,DATA_GOC!$E:$E,"Téc cát nghiền",DATA_GOC!$F:$F,"Xuất nội bộ từ téc",DATA_GOC!$B:$B,DATE($D$2,$B$2,V$4)),0))</f>
        <v>0</v>
      </c>
      <c r="W222" s="251">
        <f>IF(W$4&gt;DAY(EOMONTH(DATE($D$2,$B$2,1),0)),"",IFERROR(SUMIFS(DATA_GOC!$H:$H,DATA_GOC!$A:$A,"BOM",DATA_GOC!$D:$D,$B222,DATA_GOC!$E:$E,"Téc cát nghiền",DATA_GOC!$F:$F,"Xuất nội bộ từ téc",DATA_GOC!$B:$B,DATE($D$2,$B$2,W$4)),0))</f>
        <v>0</v>
      </c>
      <c r="X222" s="251">
        <f>IF(X$4&gt;DAY(EOMONTH(DATE($D$2,$B$2,1),0)),"",IFERROR(SUMIFS(DATA_GOC!$H:$H,DATA_GOC!$A:$A,"BOM",DATA_GOC!$D:$D,$B222,DATA_GOC!$E:$E,"Téc cát nghiền",DATA_GOC!$F:$F,"Xuất nội bộ từ téc",DATA_GOC!$B:$B,DATE($D$2,$B$2,X$4)),0))</f>
        <v>0</v>
      </c>
      <c r="Y222" s="251">
        <f>IF(Y$4&gt;DAY(EOMONTH(DATE($D$2,$B$2,1),0)),"",IFERROR(SUMIFS(DATA_GOC!$H:$H,DATA_GOC!$A:$A,"BOM",DATA_GOC!$D:$D,$B222,DATA_GOC!$E:$E,"Téc cát nghiền",DATA_GOC!$F:$F,"Xuất nội bộ từ téc",DATA_GOC!$B:$B,DATE($D$2,$B$2,Y$4)),0))</f>
        <v>0</v>
      </c>
      <c r="Z222" s="251">
        <f>IF(Z$4&gt;DAY(EOMONTH(DATE($D$2,$B$2,1),0)),"",IFERROR(SUMIFS(DATA_GOC!$H:$H,DATA_GOC!$A:$A,"BOM",DATA_GOC!$D:$D,$B222,DATA_GOC!$E:$E,"Téc cát nghiền",DATA_GOC!$F:$F,"Xuất nội bộ từ téc",DATA_GOC!$B:$B,DATE($D$2,$B$2,Z$4)),0))</f>
        <v>0</v>
      </c>
      <c r="AA222" s="251">
        <f>IF(AA$4&gt;DAY(EOMONTH(DATE($D$2,$B$2,1),0)),"",IFERROR(SUMIFS(DATA_GOC!$H:$H,DATA_GOC!$A:$A,"BOM",DATA_GOC!$D:$D,$B222,DATA_GOC!$E:$E,"Téc cát nghiền",DATA_GOC!$F:$F,"Xuất nội bộ từ téc",DATA_GOC!$B:$B,DATE($D$2,$B$2,AA$4)),0))</f>
        <v>0</v>
      </c>
      <c r="AB222" s="251">
        <f>IF(AB$4&gt;DAY(EOMONTH(DATE($D$2,$B$2,1),0)),"",IFERROR(SUMIFS(DATA_GOC!$H:$H,DATA_GOC!$A:$A,"BOM",DATA_GOC!$D:$D,$B222,DATA_GOC!$E:$E,"Téc cát nghiền",DATA_GOC!$F:$F,"Xuất nội bộ từ téc",DATA_GOC!$B:$B,DATE($D$2,$B$2,AB$4)),0))</f>
        <v>0</v>
      </c>
      <c r="AC222" s="251">
        <f>IF(AC$4&gt;DAY(EOMONTH(DATE($D$2,$B$2,1),0)),"",IFERROR(SUMIFS(DATA_GOC!$H:$H,DATA_GOC!$A:$A,"BOM",DATA_GOC!$D:$D,$B222,DATA_GOC!$E:$E,"Téc cát nghiền",DATA_GOC!$F:$F,"Xuất nội bộ từ téc",DATA_GOC!$B:$B,DATE($D$2,$B$2,AC$4)),0))</f>
        <v>0</v>
      </c>
      <c r="AD222" s="251">
        <f>IF(AD$4&gt;DAY(EOMONTH(DATE($D$2,$B$2,1),0)),"",IFERROR(SUMIFS(DATA_GOC!$H:$H,DATA_GOC!$A:$A,"BOM",DATA_GOC!$D:$D,$B222,DATA_GOC!$E:$E,"Téc cát nghiền",DATA_GOC!$F:$F,"Xuất nội bộ từ téc",DATA_GOC!$B:$B,DATE($D$2,$B$2,AD$4)),0))</f>
        <v>0</v>
      </c>
      <c r="AE222" s="251">
        <f>IF(AE$4&gt;DAY(EOMONTH(DATE($D$2,$B$2,1),0)),"",IFERROR(SUMIFS(DATA_GOC!$H:$H,DATA_GOC!$A:$A,"BOM",DATA_GOC!$D:$D,$B222,DATA_GOC!$E:$E,"Téc cát nghiền",DATA_GOC!$F:$F,"Xuất nội bộ từ téc",DATA_GOC!$B:$B,DATE($D$2,$B$2,AE$4)),0))</f>
        <v>0</v>
      </c>
      <c r="AF222" s="251">
        <f>IF(AF$4&gt;DAY(EOMONTH(DATE($D$2,$B$2,1),0)),"",IFERROR(SUMIFS(DATA_GOC!$H:$H,DATA_GOC!$A:$A,"BOM",DATA_GOC!$D:$D,$B222,DATA_GOC!$E:$E,"Téc cát nghiền",DATA_GOC!$F:$F,"Xuất nội bộ từ téc",DATA_GOC!$B:$B,DATE($D$2,$B$2,AF$4)),0))</f>
        <v>0</v>
      </c>
      <c r="AG222" s="251">
        <f>IF(AG$4&gt;DAY(EOMONTH(DATE($D$2,$B$2,1),0)),"",IFERROR(SUMIFS(DATA_GOC!$H:$H,DATA_GOC!$A:$A,"BOM",DATA_GOC!$D:$D,$B222,DATA_GOC!$E:$E,"Téc cát nghiền",DATA_GOC!$F:$F,"Xuất nội bộ từ téc",DATA_GOC!$B:$B,DATE($D$2,$B$2,AG$4)),0))</f>
        <v>0</v>
      </c>
      <c r="AH222" s="252">
        <f t="shared" si="10"/>
        <v>0</v>
      </c>
      <c r="AI222" s="241"/>
      <c r="AJ222" s="242">
        <f>IF($B222="","",SUMIFS(TINH_TEC!$K$233:$K$9232,TINH_TEC!$H$233:$H$9232,$B222,TINH_TEC!$C$233:$C$9232,"Téc cát nghiền",TINH_TEC!$F$233:$F$9232,$B$2,TINH_TEC!$G$233:$G$9232,$D$2,TINH_TEC!$B$233:$B$9232,"Đã chốt"))</f>
        <v>0</v>
      </c>
      <c r="AK222" s="242">
        <f>IF($B222="","",SUMIFS(TINH_TEC!$J$233:$J$9232,TINH_TEC!$H$233:$H$9232,$B222,TINH_TEC!$C$233:$C$9232,"Téc cát nghiền",TINH_TEC!$F$233:$F$9232,$B$2,TINH_TEC!$G$233:$G$9232,$D$2,TINH_TEC!$B$233:$B$9232,"Đã chốt"))</f>
        <v>0</v>
      </c>
      <c r="AL222" s="242">
        <f t="shared" si="11"/>
        <v>0</v>
      </c>
    </row>
    <row r="223" ht="15.75" customHeight="1">
      <c r="A223" s="237">
        <f>IF($B223&lt;&gt;"",35,"")</f>
        <v>35</v>
      </c>
      <c r="B223" s="250" t="str">
        <f t="array" ref="B223">IFERROR(INDEX(DANH_MUC!$E:$E,38),"")</f>
        <v>28H00603</v>
      </c>
      <c r="C223" s="251">
        <f>IF(C$4&gt;DAY(EOMONTH(DATE($D$2,$B$2,1),0)),"",IFERROR(SUMIFS(DATA_GOC!$H:$H,DATA_GOC!$A:$A,"BOM",DATA_GOC!$D:$D,$B223,DATA_GOC!$E:$E,"Téc cát nghiền",DATA_GOC!$F:$F,"Xuất nội bộ từ téc",DATA_GOC!$B:$B,DATE($D$2,$B$2,C$4)),0))</f>
        <v>0</v>
      </c>
      <c r="D223" s="251">
        <f>IF(D$4&gt;DAY(EOMONTH(DATE($D$2,$B$2,1),0)),"",IFERROR(SUMIFS(DATA_GOC!$H:$H,DATA_GOC!$A:$A,"BOM",DATA_GOC!$D:$D,$B223,DATA_GOC!$E:$E,"Téc cát nghiền",DATA_GOC!$F:$F,"Xuất nội bộ từ téc",DATA_GOC!$B:$B,DATE($D$2,$B$2,D$4)),0))</f>
        <v>0</v>
      </c>
      <c r="E223" s="251">
        <f>IF(E$4&gt;DAY(EOMONTH(DATE($D$2,$B$2,1),0)),"",IFERROR(SUMIFS(DATA_GOC!$H:$H,DATA_GOC!$A:$A,"BOM",DATA_GOC!$D:$D,$B223,DATA_GOC!$E:$E,"Téc cát nghiền",DATA_GOC!$F:$F,"Xuất nội bộ từ téc",DATA_GOC!$B:$B,DATE($D$2,$B$2,E$4)),0))</f>
        <v>0</v>
      </c>
      <c r="F223" s="251">
        <f>IF(F$4&gt;DAY(EOMONTH(DATE($D$2,$B$2,1),0)),"",IFERROR(SUMIFS(DATA_GOC!$H:$H,DATA_GOC!$A:$A,"BOM",DATA_GOC!$D:$D,$B223,DATA_GOC!$E:$E,"Téc cát nghiền",DATA_GOC!$F:$F,"Xuất nội bộ từ téc",DATA_GOC!$B:$B,DATE($D$2,$B$2,F$4)),0))</f>
        <v>0</v>
      </c>
      <c r="G223" s="251">
        <f>IF(G$4&gt;DAY(EOMONTH(DATE($D$2,$B$2,1),0)),"",IFERROR(SUMIFS(DATA_GOC!$H:$H,DATA_GOC!$A:$A,"BOM",DATA_GOC!$D:$D,$B223,DATA_GOC!$E:$E,"Téc cát nghiền",DATA_GOC!$F:$F,"Xuất nội bộ từ téc",DATA_GOC!$B:$B,DATE($D$2,$B$2,G$4)),0))</f>
        <v>0</v>
      </c>
      <c r="H223" s="251">
        <f>IF(H$4&gt;DAY(EOMONTH(DATE($D$2,$B$2,1),0)),"",IFERROR(SUMIFS(DATA_GOC!$H:$H,DATA_GOC!$A:$A,"BOM",DATA_GOC!$D:$D,$B223,DATA_GOC!$E:$E,"Téc cát nghiền",DATA_GOC!$F:$F,"Xuất nội bộ từ téc",DATA_GOC!$B:$B,DATE($D$2,$B$2,H$4)),0))</f>
        <v>0</v>
      </c>
      <c r="I223" s="251">
        <f>IF(I$4&gt;DAY(EOMONTH(DATE($D$2,$B$2,1),0)),"",IFERROR(SUMIFS(DATA_GOC!$H:$H,DATA_GOC!$A:$A,"BOM",DATA_GOC!$D:$D,$B223,DATA_GOC!$E:$E,"Téc cát nghiền",DATA_GOC!$F:$F,"Xuất nội bộ từ téc",DATA_GOC!$B:$B,DATE($D$2,$B$2,I$4)),0))</f>
        <v>0</v>
      </c>
      <c r="J223" s="251">
        <f>IF(J$4&gt;DAY(EOMONTH(DATE($D$2,$B$2,1),0)),"",IFERROR(SUMIFS(DATA_GOC!$H:$H,DATA_GOC!$A:$A,"BOM",DATA_GOC!$D:$D,$B223,DATA_GOC!$E:$E,"Téc cát nghiền",DATA_GOC!$F:$F,"Xuất nội bộ từ téc",DATA_GOC!$B:$B,DATE($D$2,$B$2,J$4)),0))</f>
        <v>0</v>
      </c>
      <c r="K223" s="251">
        <f>IF(K$4&gt;DAY(EOMONTH(DATE($D$2,$B$2,1),0)),"",IFERROR(SUMIFS(DATA_GOC!$H:$H,DATA_GOC!$A:$A,"BOM",DATA_GOC!$D:$D,$B223,DATA_GOC!$E:$E,"Téc cát nghiền",DATA_GOC!$F:$F,"Xuất nội bộ từ téc",DATA_GOC!$B:$B,DATE($D$2,$B$2,K$4)),0))</f>
        <v>0</v>
      </c>
      <c r="L223" s="251">
        <f>IF(L$4&gt;DAY(EOMONTH(DATE($D$2,$B$2,1),0)),"",IFERROR(SUMIFS(DATA_GOC!$H:$H,DATA_GOC!$A:$A,"BOM",DATA_GOC!$D:$D,$B223,DATA_GOC!$E:$E,"Téc cát nghiền",DATA_GOC!$F:$F,"Xuất nội bộ từ téc",DATA_GOC!$B:$B,DATE($D$2,$B$2,L$4)),0))</f>
        <v>0</v>
      </c>
      <c r="M223" s="251">
        <f>IF(M$4&gt;DAY(EOMONTH(DATE($D$2,$B$2,1),0)),"",IFERROR(SUMIFS(DATA_GOC!$H:$H,DATA_GOC!$A:$A,"BOM",DATA_GOC!$D:$D,$B223,DATA_GOC!$E:$E,"Téc cát nghiền",DATA_GOC!$F:$F,"Xuất nội bộ từ téc",DATA_GOC!$B:$B,DATE($D$2,$B$2,M$4)),0))</f>
        <v>0</v>
      </c>
      <c r="N223" s="251">
        <f>IF(N$4&gt;DAY(EOMONTH(DATE($D$2,$B$2,1),0)),"",IFERROR(SUMIFS(DATA_GOC!$H:$H,DATA_GOC!$A:$A,"BOM",DATA_GOC!$D:$D,$B223,DATA_GOC!$E:$E,"Téc cát nghiền",DATA_GOC!$F:$F,"Xuất nội bộ từ téc",DATA_GOC!$B:$B,DATE($D$2,$B$2,N$4)),0))</f>
        <v>0</v>
      </c>
      <c r="O223" s="251">
        <f>IF(O$4&gt;DAY(EOMONTH(DATE($D$2,$B$2,1),0)),"",IFERROR(SUMIFS(DATA_GOC!$H:$H,DATA_GOC!$A:$A,"BOM",DATA_GOC!$D:$D,$B223,DATA_GOC!$E:$E,"Téc cát nghiền",DATA_GOC!$F:$F,"Xuất nội bộ từ téc",DATA_GOC!$B:$B,DATE($D$2,$B$2,O$4)),0))</f>
        <v>0</v>
      </c>
      <c r="P223" s="251">
        <f>IF(P$4&gt;DAY(EOMONTH(DATE($D$2,$B$2,1),0)),"",IFERROR(SUMIFS(DATA_GOC!$H:$H,DATA_GOC!$A:$A,"BOM",DATA_GOC!$D:$D,$B223,DATA_GOC!$E:$E,"Téc cát nghiền",DATA_GOC!$F:$F,"Xuất nội bộ từ téc",DATA_GOC!$B:$B,DATE($D$2,$B$2,P$4)),0))</f>
        <v>0</v>
      </c>
      <c r="Q223" s="251">
        <f>IF(Q$4&gt;DAY(EOMONTH(DATE($D$2,$B$2,1),0)),"",IFERROR(SUMIFS(DATA_GOC!$H:$H,DATA_GOC!$A:$A,"BOM",DATA_GOC!$D:$D,$B223,DATA_GOC!$E:$E,"Téc cát nghiền",DATA_GOC!$F:$F,"Xuất nội bộ từ téc",DATA_GOC!$B:$B,DATE($D$2,$B$2,Q$4)),0))</f>
        <v>0</v>
      </c>
      <c r="R223" s="251">
        <f>IF(R$4&gt;DAY(EOMONTH(DATE($D$2,$B$2,1),0)),"",IFERROR(SUMIFS(DATA_GOC!$H:$H,DATA_GOC!$A:$A,"BOM",DATA_GOC!$D:$D,$B223,DATA_GOC!$E:$E,"Téc cát nghiền",DATA_GOC!$F:$F,"Xuất nội bộ từ téc",DATA_GOC!$B:$B,DATE($D$2,$B$2,R$4)),0))</f>
        <v>0</v>
      </c>
      <c r="S223" s="251">
        <f>IF(S$4&gt;DAY(EOMONTH(DATE($D$2,$B$2,1),0)),"",IFERROR(SUMIFS(DATA_GOC!$H:$H,DATA_GOC!$A:$A,"BOM",DATA_GOC!$D:$D,$B223,DATA_GOC!$E:$E,"Téc cát nghiền",DATA_GOC!$F:$F,"Xuất nội bộ từ téc",DATA_GOC!$B:$B,DATE($D$2,$B$2,S$4)),0))</f>
        <v>0</v>
      </c>
      <c r="T223" s="251">
        <f>IF(T$4&gt;DAY(EOMONTH(DATE($D$2,$B$2,1),0)),"",IFERROR(SUMIFS(DATA_GOC!$H:$H,DATA_GOC!$A:$A,"BOM",DATA_GOC!$D:$D,$B223,DATA_GOC!$E:$E,"Téc cát nghiền",DATA_GOC!$F:$F,"Xuất nội bộ từ téc",DATA_GOC!$B:$B,DATE($D$2,$B$2,T$4)),0))</f>
        <v>0</v>
      </c>
      <c r="U223" s="251">
        <f>IF(U$4&gt;DAY(EOMONTH(DATE($D$2,$B$2,1),0)),"",IFERROR(SUMIFS(DATA_GOC!$H:$H,DATA_GOC!$A:$A,"BOM",DATA_GOC!$D:$D,$B223,DATA_GOC!$E:$E,"Téc cát nghiền",DATA_GOC!$F:$F,"Xuất nội bộ từ téc",DATA_GOC!$B:$B,DATE($D$2,$B$2,U$4)),0))</f>
        <v>0</v>
      </c>
      <c r="V223" s="251">
        <f>IF(V$4&gt;DAY(EOMONTH(DATE($D$2,$B$2,1),0)),"",IFERROR(SUMIFS(DATA_GOC!$H:$H,DATA_GOC!$A:$A,"BOM",DATA_GOC!$D:$D,$B223,DATA_GOC!$E:$E,"Téc cát nghiền",DATA_GOC!$F:$F,"Xuất nội bộ từ téc",DATA_GOC!$B:$B,DATE($D$2,$B$2,V$4)),0))</f>
        <v>0</v>
      </c>
      <c r="W223" s="251">
        <f>IF(W$4&gt;DAY(EOMONTH(DATE($D$2,$B$2,1),0)),"",IFERROR(SUMIFS(DATA_GOC!$H:$H,DATA_GOC!$A:$A,"BOM",DATA_GOC!$D:$D,$B223,DATA_GOC!$E:$E,"Téc cát nghiền",DATA_GOC!$F:$F,"Xuất nội bộ từ téc",DATA_GOC!$B:$B,DATE($D$2,$B$2,W$4)),0))</f>
        <v>0</v>
      </c>
      <c r="X223" s="251">
        <f>IF(X$4&gt;DAY(EOMONTH(DATE($D$2,$B$2,1),0)),"",IFERROR(SUMIFS(DATA_GOC!$H:$H,DATA_GOC!$A:$A,"BOM",DATA_GOC!$D:$D,$B223,DATA_GOC!$E:$E,"Téc cát nghiền",DATA_GOC!$F:$F,"Xuất nội bộ từ téc",DATA_GOC!$B:$B,DATE($D$2,$B$2,X$4)),0))</f>
        <v>0</v>
      </c>
      <c r="Y223" s="251">
        <f>IF(Y$4&gt;DAY(EOMONTH(DATE($D$2,$B$2,1),0)),"",IFERROR(SUMIFS(DATA_GOC!$H:$H,DATA_GOC!$A:$A,"BOM",DATA_GOC!$D:$D,$B223,DATA_GOC!$E:$E,"Téc cát nghiền",DATA_GOC!$F:$F,"Xuất nội bộ từ téc",DATA_GOC!$B:$B,DATE($D$2,$B$2,Y$4)),0))</f>
        <v>0</v>
      </c>
      <c r="Z223" s="251">
        <f>IF(Z$4&gt;DAY(EOMONTH(DATE($D$2,$B$2,1),0)),"",IFERROR(SUMIFS(DATA_GOC!$H:$H,DATA_GOC!$A:$A,"BOM",DATA_GOC!$D:$D,$B223,DATA_GOC!$E:$E,"Téc cát nghiền",DATA_GOC!$F:$F,"Xuất nội bộ từ téc",DATA_GOC!$B:$B,DATE($D$2,$B$2,Z$4)),0))</f>
        <v>0</v>
      </c>
      <c r="AA223" s="251">
        <f>IF(AA$4&gt;DAY(EOMONTH(DATE($D$2,$B$2,1),0)),"",IFERROR(SUMIFS(DATA_GOC!$H:$H,DATA_GOC!$A:$A,"BOM",DATA_GOC!$D:$D,$B223,DATA_GOC!$E:$E,"Téc cát nghiền",DATA_GOC!$F:$F,"Xuất nội bộ từ téc",DATA_GOC!$B:$B,DATE($D$2,$B$2,AA$4)),0))</f>
        <v>0</v>
      </c>
      <c r="AB223" s="251">
        <f>IF(AB$4&gt;DAY(EOMONTH(DATE($D$2,$B$2,1),0)),"",IFERROR(SUMIFS(DATA_GOC!$H:$H,DATA_GOC!$A:$A,"BOM",DATA_GOC!$D:$D,$B223,DATA_GOC!$E:$E,"Téc cát nghiền",DATA_GOC!$F:$F,"Xuất nội bộ từ téc",DATA_GOC!$B:$B,DATE($D$2,$B$2,AB$4)),0))</f>
        <v>0</v>
      </c>
      <c r="AC223" s="251">
        <f>IF(AC$4&gt;DAY(EOMONTH(DATE($D$2,$B$2,1),0)),"",IFERROR(SUMIFS(DATA_GOC!$H:$H,DATA_GOC!$A:$A,"BOM",DATA_GOC!$D:$D,$B223,DATA_GOC!$E:$E,"Téc cát nghiền",DATA_GOC!$F:$F,"Xuất nội bộ từ téc",DATA_GOC!$B:$B,DATE($D$2,$B$2,AC$4)),0))</f>
        <v>0</v>
      </c>
      <c r="AD223" s="251">
        <f>IF(AD$4&gt;DAY(EOMONTH(DATE($D$2,$B$2,1),0)),"",IFERROR(SUMIFS(DATA_GOC!$H:$H,DATA_GOC!$A:$A,"BOM",DATA_GOC!$D:$D,$B223,DATA_GOC!$E:$E,"Téc cát nghiền",DATA_GOC!$F:$F,"Xuất nội bộ từ téc",DATA_GOC!$B:$B,DATE($D$2,$B$2,AD$4)),0))</f>
        <v>0</v>
      </c>
      <c r="AE223" s="251">
        <f>IF(AE$4&gt;DAY(EOMONTH(DATE($D$2,$B$2,1),0)),"",IFERROR(SUMIFS(DATA_GOC!$H:$H,DATA_GOC!$A:$A,"BOM",DATA_GOC!$D:$D,$B223,DATA_GOC!$E:$E,"Téc cát nghiền",DATA_GOC!$F:$F,"Xuất nội bộ từ téc",DATA_GOC!$B:$B,DATE($D$2,$B$2,AE$4)),0))</f>
        <v>0</v>
      </c>
      <c r="AF223" s="251">
        <f>IF(AF$4&gt;DAY(EOMONTH(DATE($D$2,$B$2,1),0)),"",IFERROR(SUMIFS(DATA_GOC!$H:$H,DATA_GOC!$A:$A,"BOM",DATA_GOC!$D:$D,$B223,DATA_GOC!$E:$E,"Téc cát nghiền",DATA_GOC!$F:$F,"Xuất nội bộ từ téc",DATA_GOC!$B:$B,DATE($D$2,$B$2,AF$4)),0))</f>
        <v>0</v>
      </c>
      <c r="AG223" s="251">
        <f>IF(AG$4&gt;DAY(EOMONTH(DATE($D$2,$B$2,1),0)),"",IFERROR(SUMIFS(DATA_GOC!$H:$H,DATA_GOC!$A:$A,"BOM",DATA_GOC!$D:$D,$B223,DATA_GOC!$E:$E,"Téc cát nghiền",DATA_GOC!$F:$F,"Xuất nội bộ từ téc",DATA_GOC!$B:$B,DATE($D$2,$B$2,AG$4)),0))</f>
        <v>0</v>
      </c>
      <c r="AH223" s="252">
        <f t="shared" si="10"/>
        <v>0</v>
      </c>
      <c r="AI223" s="241"/>
      <c r="AJ223" s="242">
        <f>IF($B223="","",SUMIFS(TINH_TEC!$K$233:$K$9232,TINH_TEC!$H$233:$H$9232,$B223,TINH_TEC!$C$233:$C$9232,"Téc cát nghiền",TINH_TEC!$F$233:$F$9232,$B$2,TINH_TEC!$G$233:$G$9232,$D$2,TINH_TEC!$B$233:$B$9232,"Đã chốt"))</f>
        <v>0</v>
      </c>
      <c r="AK223" s="242">
        <f>IF($B223="","",SUMIFS(TINH_TEC!$J$233:$J$9232,TINH_TEC!$H$233:$H$9232,$B223,TINH_TEC!$C$233:$C$9232,"Téc cát nghiền",TINH_TEC!$F$233:$F$9232,$B$2,TINH_TEC!$G$233:$G$9232,$D$2,TINH_TEC!$B$233:$B$9232,"Đã chốt"))</f>
        <v>0</v>
      </c>
      <c r="AL223" s="242">
        <f t="shared" si="11"/>
        <v>0</v>
      </c>
    </row>
    <row r="224" ht="15.75" customHeight="1">
      <c r="A224" s="237">
        <f>IF($B224&lt;&gt;"",36,"")</f>
        <v>36</v>
      </c>
      <c r="B224" s="250" t="str">
        <f t="array" ref="B224">IFERROR(INDEX(DANH_MUC!$E:$E,39),"")</f>
        <v>28H00609</v>
      </c>
      <c r="C224" s="251">
        <f>IF(C$4&gt;DAY(EOMONTH(DATE($D$2,$B$2,1),0)),"",IFERROR(SUMIFS(DATA_GOC!$H:$H,DATA_GOC!$A:$A,"BOM",DATA_GOC!$D:$D,$B224,DATA_GOC!$E:$E,"Téc cát nghiền",DATA_GOC!$F:$F,"Xuất nội bộ từ téc",DATA_GOC!$B:$B,DATE($D$2,$B$2,C$4)),0))</f>
        <v>0</v>
      </c>
      <c r="D224" s="251">
        <f>IF(D$4&gt;DAY(EOMONTH(DATE($D$2,$B$2,1),0)),"",IFERROR(SUMIFS(DATA_GOC!$H:$H,DATA_GOC!$A:$A,"BOM",DATA_GOC!$D:$D,$B224,DATA_GOC!$E:$E,"Téc cát nghiền",DATA_GOC!$F:$F,"Xuất nội bộ từ téc",DATA_GOC!$B:$B,DATE($D$2,$B$2,D$4)),0))</f>
        <v>0</v>
      </c>
      <c r="E224" s="251">
        <f>IF(E$4&gt;DAY(EOMONTH(DATE($D$2,$B$2,1),0)),"",IFERROR(SUMIFS(DATA_GOC!$H:$H,DATA_GOC!$A:$A,"BOM",DATA_GOC!$D:$D,$B224,DATA_GOC!$E:$E,"Téc cát nghiền",DATA_GOC!$F:$F,"Xuất nội bộ từ téc",DATA_GOC!$B:$B,DATE($D$2,$B$2,E$4)),0))</f>
        <v>0</v>
      </c>
      <c r="F224" s="251">
        <f>IF(F$4&gt;DAY(EOMONTH(DATE($D$2,$B$2,1),0)),"",IFERROR(SUMIFS(DATA_GOC!$H:$H,DATA_GOC!$A:$A,"BOM",DATA_GOC!$D:$D,$B224,DATA_GOC!$E:$E,"Téc cát nghiền",DATA_GOC!$F:$F,"Xuất nội bộ từ téc",DATA_GOC!$B:$B,DATE($D$2,$B$2,F$4)),0))</f>
        <v>0</v>
      </c>
      <c r="G224" s="251">
        <f>IF(G$4&gt;DAY(EOMONTH(DATE($D$2,$B$2,1),0)),"",IFERROR(SUMIFS(DATA_GOC!$H:$H,DATA_GOC!$A:$A,"BOM",DATA_GOC!$D:$D,$B224,DATA_GOC!$E:$E,"Téc cát nghiền",DATA_GOC!$F:$F,"Xuất nội bộ từ téc",DATA_GOC!$B:$B,DATE($D$2,$B$2,G$4)),0))</f>
        <v>0</v>
      </c>
      <c r="H224" s="251">
        <f>IF(H$4&gt;DAY(EOMONTH(DATE($D$2,$B$2,1),0)),"",IFERROR(SUMIFS(DATA_GOC!$H:$H,DATA_GOC!$A:$A,"BOM",DATA_GOC!$D:$D,$B224,DATA_GOC!$E:$E,"Téc cát nghiền",DATA_GOC!$F:$F,"Xuất nội bộ từ téc",DATA_GOC!$B:$B,DATE($D$2,$B$2,H$4)),0))</f>
        <v>0</v>
      </c>
      <c r="I224" s="251">
        <f>IF(I$4&gt;DAY(EOMONTH(DATE($D$2,$B$2,1),0)),"",IFERROR(SUMIFS(DATA_GOC!$H:$H,DATA_GOC!$A:$A,"BOM",DATA_GOC!$D:$D,$B224,DATA_GOC!$E:$E,"Téc cát nghiền",DATA_GOC!$F:$F,"Xuất nội bộ từ téc",DATA_GOC!$B:$B,DATE($D$2,$B$2,I$4)),0))</f>
        <v>0</v>
      </c>
      <c r="J224" s="251">
        <f>IF(J$4&gt;DAY(EOMONTH(DATE($D$2,$B$2,1),0)),"",IFERROR(SUMIFS(DATA_GOC!$H:$H,DATA_GOC!$A:$A,"BOM",DATA_GOC!$D:$D,$B224,DATA_GOC!$E:$E,"Téc cát nghiền",DATA_GOC!$F:$F,"Xuất nội bộ từ téc",DATA_GOC!$B:$B,DATE($D$2,$B$2,J$4)),0))</f>
        <v>0</v>
      </c>
      <c r="K224" s="251">
        <f>IF(K$4&gt;DAY(EOMONTH(DATE($D$2,$B$2,1),0)),"",IFERROR(SUMIFS(DATA_GOC!$H:$H,DATA_GOC!$A:$A,"BOM",DATA_GOC!$D:$D,$B224,DATA_GOC!$E:$E,"Téc cát nghiền",DATA_GOC!$F:$F,"Xuất nội bộ từ téc",DATA_GOC!$B:$B,DATE($D$2,$B$2,K$4)),0))</f>
        <v>0</v>
      </c>
      <c r="L224" s="251">
        <f>IF(L$4&gt;DAY(EOMONTH(DATE($D$2,$B$2,1),0)),"",IFERROR(SUMIFS(DATA_GOC!$H:$H,DATA_GOC!$A:$A,"BOM",DATA_GOC!$D:$D,$B224,DATA_GOC!$E:$E,"Téc cát nghiền",DATA_GOC!$F:$F,"Xuất nội bộ từ téc",DATA_GOC!$B:$B,DATE($D$2,$B$2,L$4)),0))</f>
        <v>0</v>
      </c>
      <c r="M224" s="251">
        <f>IF(M$4&gt;DAY(EOMONTH(DATE($D$2,$B$2,1),0)),"",IFERROR(SUMIFS(DATA_GOC!$H:$H,DATA_GOC!$A:$A,"BOM",DATA_GOC!$D:$D,$B224,DATA_GOC!$E:$E,"Téc cát nghiền",DATA_GOC!$F:$F,"Xuất nội bộ từ téc",DATA_GOC!$B:$B,DATE($D$2,$B$2,M$4)),0))</f>
        <v>0</v>
      </c>
      <c r="N224" s="251">
        <f>IF(N$4&gt;DAY(EOMONTH(DATE($D$2,$B$2,1),0)),"",IFERROR(SUMIFS(DATA_GOC!$H:$H,DATA_GOC!$A:$A,"BOM",DATA_GOC!$D:$D,$B224,DATA_GOC!$E:$E,"Téc cát nghiền",DATA_GOC!$F:$F,"Xuất nội bộ từ téc",DATA_GOC!$B:$B,DATE($D$2,$B$2,N$4)),0))</f>
        <v>0</v>
      </c>
      <c r="O224" s="251">
        <f>IF(O$4&gt;DAY(EOMONTH(DATE($D$2,$B$2,1),0)),"",IFERROR(SUMIFS(DATA_GOC!$H:$H,DATA_GOC!$A:$A,"BOM",DATA_GOC!$D:$D,$B224,DATA_GOC!$E:$E,"Téc cát nghiền",DATA_GOC!$F:$F,"Xuất nội bộ từ téc",DATA_GOC!$B:$B,DATE($D$2,$B$2,O$4)),0))</f>
        <v>0</v>
      </c>
      <c r="P224" s="251">
        <f>IF(P$4&gt;DAY(EOMONTH(DATE($D$2,$B$2,1),0)),"",IFERROR(SUMIFS(DATA_GOC!$H:$H,DATA_GOC!$A:$A,"BOM",DATA_GOC!$D:$D,$B224,DATA_GOC!$E:$E,"Téc cát nghiền",DATA_GOC!$F:$F,"Xuất nội bộ từ téc",DATA_GOC!$B:$B,DATE($D$2,$B$2,P$4)),0))</f>
        <v>0</v>
      </c>
      <c r="Q224" s="251">
        <f>IF(Q$4&gt;DAY(EOMONTH(DATE($D$2,$B$2,1),0)),"",IFERROR(SUMIFS(DATA_GOC!$H:$H,DATA_GOC!$A:$A,"BOM",DATA_GOC!$D:$D,$B224,DATA_GOC!$E:$E,"Téc cát nghiền",DATA_GOC!$F:$F,"Xuất nội bộ từ téc",DATA_GOC!$B:$B,DATE($D$2,$B$2,Q$4)),0))</f>
        <v>0</v>
      </c>
      <c r="R224" s="251">
        <f>IF(R$4&gt;DAY(EOMONTH(DATE($D$2,$B$2,1),0)),"",IFERROR(SUMIFS(DATA_GOC!$H:$H,DATA_GOC!$A:$A,"BOM",DATA_GOC!$D:$D,$B224,DATA_GOC!$E:$E,"Téc cát nghiền",DATA_GOC!$F:$F,"Xuất nội bộ từ téc",DATA_GOC!$B:$B,DATE($D$2,$B$2,R$4)),0))</f>
        <v>0</v>
      </c>
      <c r="S224" s="251">
        <f>IF(S$4&gt;DAY(EOMONTH(DATE($D$2,$B$2,1),0)),"",IFERROR(SUMIFS(DATA_GOC!$H:$H,DATA_GOC!$A:$A,"BOM",DATA_GOC!$D:$D,$B224,DATA_GOC!$E:$E,"Téc cát nghiền",DATA_GOC!$F:$F,"Xuất nội bộ từ téc",DATA_GOC!$B:$B,DATE($D$2,$B$2,S$4)),0))</f>
        <v>0</v>
      </c>
      <c r="T224" s="251">
        <f>IF(T$4&gt;DAY(EOMONTH(DATE($D$2,$B$2,1),0)),"",IFERROR(SUMIFS(DATA_GOC!$H:$H,DATA_GOC!$A:$A,"BOM",DATA_GOC!$D:$D,$B224,DATA_GOC!$E:$E,"Téc cát nghiền",DATA_GOC!$F:$F,"Xuất nội bộ từ téc",DATA_GOC!$B:$B,DATE($D$2,$B$2,T$4)),0))</f>
        <v>0</v>
      </c>
      <c r="U224" s="251">
        <f>IF(U$4&gt;DAY(EOMONTH(DATE($D$2,$B$2,1),0)),"",IFERROR(SUMIFS(DATA_GOC!$H:$H,DATA_GOC!$A:$A,"BOM",DATA_GOC!$D:$D,$B224,DATA_GOC!$E:$E,"Téc cát nghiền",DATA_GOC!$F:$F,"Xuất nội bộ từ téc",DATA_GOC!$B:$B,DATE($D$2,$B$2,U$4)),0))</f>
        <v>0</v>
      </c>
      <c r="V224" s="251">
        <f>IF(V$4&gt;DAY(EOMONTH(DATE($D$2,$B$2,1),0)),"",IFERROR(SUMIFS(DATA_GOC!$H:$H,DATA_GOC!$A:$A,"BOM",DATA_GOC!$D:$D,$B224,DATA_GOC!$E:$E,"Téc cát nghiền",DATA_GOC!$F:$F,"Xuất nội bộ từ téc",DATA_GOC!$B:$B,DATE($D$2,$B$2,V$4)),0))</f>
        <v>0</v>
      </c>
      <c r="W224" s="251">
        <f>IF(W$4&gt;DAY(EOMONTH(DATE($D$2,$B$2,1),0)),"",IFERROR(SUMIFS(DATA_GOC!$H:$H,DATA_GOC!$A:$A,"BOM",DATA_GOC!$D:$D,$B224,DATA_GOC!$E:$E,"Téc cát nghiền",DATA_GOC!$F:$F,"Xuất nội bộ từ téc",DATA_GOC!$B:$B,DATE($D$2,$B$2,W$4)),0))</f>
        <v>0</v>
      </c>
      <c r="X224" s="251">
        <f>IF(X$4&gt;DAY(EOMONTH(DATE($D$2,$B$2,1),0)),"",IFERROR(SUMIFS(DATA_GOC!$H:$H,DATA_GOC!$A:$A,"BOM",DATA_GOC!$D:$D,$B224,DATA_GOC!$E:$E,"Téc cát nghiền",DATA_GOC!$F:$F,"Xuất nội bộ từ téc",DATA_GOC!$B:$B,DATE($D$2,$B$2,X$4)),0))</f>
        <v>0</v>
      </c>
      <c r="Y224" s="251">
        <f>IF(Y$4&gt;DAY(EOMONTH(DATE($D$2,$B$2,1),0)),"",IFERROR(SUMIFS(DATA_GOC!$H:$H,DATA_GOC!$A:$A,"BOM",DATA_GOC!$D:$D,$B224,DATA_GOC!$E:$E,"Téc cát nghiền",DATA_GOC!$F:$F,"Xuất nội bộ từ téc",DATA_GOC!$B:$B,DATE($D$2,$B$2,Y$4)),0))</f>
        <v>0</v>
      </c>
      <c r="Z224" s="251">
        <f>IF(Z$4&gt;DAY(EOMONTH(DATE($D$2,$B$2,1),0)),"",IFERROR(SUMIFS(DATA_GOC!$H:$H,DATA_GOC!$A:$A,"BOM",DATA_GOC!$D:$D,$B224,DATA_GOC!$E:$E,"Téc cát nghiền",DATA_GOC!$F:$F,"Xuất nội bộ từ téc",DATA_GOC!$B:$B,DATE($D$2,$B$2,Z$4)),0))</f>
        <v>0</v>
      </c>
      <c r="AA224" s="251">
        <f>IF(AA$4&gt;DAY(EOMONTH(DATE($D$2,$B$2,1),0)),"",IFERROR(SUMIFS(DATA_GOC!$H:$H,DATA_GOC!$A:$A,"BOM",DATA_GOC!$D:$D,$B224,DATA_GOC!$E:$E,"Téc cát nghiền",DATA_GOC!$F:$F,"Xuất nội bộ từ téc",DATA_GOC!$B:$B,DATE($D$2,$B$2,AA$4)),0))</f>
        <v>0</v>
      </c>
      <c r="AB224" s="251">
        <f>IF(AB$4&gt;DAY(EOMONTH(DATE($D$2,$B$2,1),0)),"",IFERROR(SUMIFS(DATA_GOC!$H:$H,DATA_GOC!$A:$A,"BOM",DATA_GOC!$D:$D,$B224,DATA_GOC!$E:$E,"Téc cát nghiền",DATA_GOC!$F:$F,"Xuất nội bộ từ téc",DATA_GOC!$B:$B,DATE($D$2,$B$2,AB$4)),0))</f>
        <v>0</v>
      </c>
      <c r="AC224" s="251">
        <f>IF(AC$4&gt;DAY(EOMONTH(DATE($D$2,$B$2,1),0)),"",IFERROR(SUMIFS(DATA_GOC!$H:$H,DATA_GOC!$A:$A,"BOM",DATA_GOC!$D:$D,$B224,DATA_GOC!$E:$E,"Téc cát nghiền",DATA_GOC!$F:$F,"Xuất nội bộ từ téc",DATA_GOC!$B:$B,DATE($D$2,$B$2,AC$4)),0))</f>
        <v>0</v>
      </c>
      <c r="AD224" s="251">
        <f>IF(AD$4&gt;DAY(EOMONTH(DATE($D$2,$B$2,1),0)),"",IFERROR(SUMIFS(DATA_GOC!$H:$H,DATA_GOC!$A:$A,"BOM",DATA_GOC!$D:$D,$B224,DATA_GOC!$E:$E,"Téc cát nghiền",DATA_GOC!$F:$F,"Xuất nội bộ từ téc",DATA_GOC!$B:$B,DATE($D$2,$B$2,AD$4)),0))</f>
        <v>0</v>
      </c>
      <c r="AE224" s="251">
        <f>IF(AE$4&gt;DAY(EOMONTH(DATE($D$2,$B$2,1),0)),"",IFERROR(SUMIFS(DATA_GOC!$H:$H,DATA_GOC!$A:$A,"BOM",DATA_GOC!$D:$D,$B224,DATA_GOC!$E:$E,"Téc cát nghiền",DATA_GOC!$F:$F,"Xuất nội bộ từ téc",DATA_GOC!$B:$B,DATE($D$2,$B$2,AE$4)),0))</f>
        <v>0</v>
      </c>
      <c r="AF224" s="251">
        <f>IF(AF$4&gt;DAY(EOMONTH(DATE($D$2,$B$2,1),0)),"",IFERROR(SUMIFS(DATA_GOC!$H:$H,DATA_GOC!$A:$A,"BOM",DATA_GOC!$D:$D,$B224,DATA_GOC!$E:$E,"Téc cát nghiền",DATA_GOC!$F:$F,"Xuất nội bộ từ téc",DATA_GOC!$B:$B,DATE($D$2,$B$2,AF$4)),0))</f>
        <v>0</v>
      </c>
      <c r="AG224" s="251">
        <f>IF(AG$4&gt;DAY(EOMONTH(DATE($D$2,$B$2,1),0)),"",IFERROR(SUMIFS(DATA_GOC!$H:$H,DATA_GOC!$A:$A,"BOM",DATA_GOC!$D:$D,$B224,DATA_GOC!$E:$E,"Téc cát nghiền",DATA_GOC!$F:$F,"Xuất nội bộ từ téc",DATA_GOC!$B:$B,DATE($D$2,$B$2,AG$4)),0))</f>
        <v>0</v>
      </c>
      <c r="AH224" s="252">
        <f t="shared" si="10"/>
        <v>0</v>
      </c>
      <c r="AI224" s="241"/>
      <c r="AJ224" s="242">
        <f>IF($B224="","",SUMIFS(TINH_TEC!$K$233:$K$9232,TINH_TEC!$H$233:$H$9232,$B224,TINH_TEC!$C$233:$C$9232,"Téc cát nghiền",TINH_TEC!$F$233:$F$9232,$B$2,TINH_TEC!$G$233:$G$9232,$D$2,TINH_TEC!$B$233:$B$9232,"Đã chốt"))</f>
        <v>0</v>
      </c>
      <c r="AK224" s="242">
        <f>IF($B224="","",SUMIFS(TINH_TEC!$J$233:$J$9232,TINH_TEC!$H$233:$H$9232,$B224,TINH_TEC!$C$233:$C$9232,"Téc cát nghiền",TINH_TEC!$F$233:$F$9232,$B$2,TINH_TEC!$G$233:$G$9232,$D$2,TINH_TEC!$B$233:$B$9232,"Đã chốt"))</f>
        <v>0</v>
      </c>
      <c r="AL224" s="242">
        <f t="shared" si="11"/>
        <v>0</v>
      </c>
    </row>
    <row r="225" ht="15.75" customHeight="1">
      <c r="A225" s="237">
        <f>IF($B225&lt;&gt;"",37,"")</f>
        <v>37</v>
      </c>
      <c r="B225" s="250" t="str">
        <f t="array" ref="B225">IFERROR(INDEX(DANH_MUC!$E:$E,40),"")</f>
        <v>28H00669</v>
      </c>
      <c r="C225" s="251">
        <f>IF(C$4&gt;DAY(EOMONTH(DATE($D$2,$B$2,1),0)),"",IFERROR(SUMIFS(DATA_GOC!$H:$H,DATA_GOC!$A:$A,"BOM",DATA_GOC!$D:$D,$B225,DATA_GOC!$E:$E,"Téc cát nghiền",DATA_GOC!$F:$F,"Xuất nội bộ từ téc",DATA_GOC!$B:$B,DATE($D$2,$B$2,C$4)),0))</f>
        <v>0</v>
      </c>
      <c r="D225" s="251">
        <f>IF(D$4&gt;DAY(EOMONTH(DATE($D$2,$B$2,1),0)),"",IFERROR(SUMIFS(DATA_GOC!$H:$H,DATA_GOC!$A:$A,"BOM",DATA_GOC!$D:$D,$B225,DATA_GOC!$E:$E,"Téc cát nghiền",DATA_GOC!$F:$F,"Xuất nội bộ từ téc",DATA_GOC!$B:$B,DATE($D$2,$B$2,D$4)),0))</f>
        <v>0</v>
      </c>
      <c r="E225" s="251">
        <f>IF(E$4&gt;DAY(EOMONTH(DATE($D$2,$B$2,1),0)),"",IFERROR(SUMIFS(DATA_GOC!$H:$H,DATA_GOC!$A:$A,"BOM",DATA_GOC!$D:$D,$B225,DATA_GOC!$E:$E,"Téc cát nghiền",DATA_GOC!$F:$F,"Xuất nội bộ từ téc",DATA_GOC!$B:$B,DATE($D$2,$B$2,E$4)),0))</f>
        <v>0</v>
      </c>
      <c r="F225" s="251">
        <f>IF(F$4&gt;DAY(EOMONTH(DATE($D$2,$B$2,1),0)),"",IFERROR(SUMIFS(DATA_GOC!$H:$H,DATA_GOC!$A:$A,"BOM",DATA_GOC!$D:$D,$B225,DATA_GOC!$E:$E,"Téc cát nghiền",DATA_GOC!$F:$F,"Xuất nội bộ từ téc",DATA_GOC!$B:$B,DATE($D$2,$B$2,F$4)),0))</f>
        <v>0</v>
      </c>
      <c r="G225" s="251">
        <f>IF(G$4&gt;DAY(EOMONTH(DATE($D$2,$B$2,1),0)),"",IFERROR(SUMIFS(DATA_GOC!$H:$H,DATA_GOC!$A:$A,"BOM",DATA_GOC!$D:$D,$B225,DATA_GOC!$E:$E,"Téc cát nghiền",DATA_GOC!$F:$F,"Xuất nội bộ từ téc",DATA_GOC!$B:$B,DATE($D$2,$B$2,G$4)),0))</f>
        <v>0</v>
      </c>
      <c r="H225" s="251">
        <f>IF(H$4&gt;DAY(EOMONTH(DATE($D$2,$B$2,1),0)),"",IFERROR(SUMIFS(DATA_GOC!$H:$H,DATA_GOC!$A:$A,"BOM",DATA_GOC!$D:$D,$B225,DATA_GOC!$E:$E,"Téc cát nghiền",DATA_GOC!$F:$F,"Xuất nội bộ từ téc",DATA_GOC!$B:$B,DATE($D$2,$B$2,H$4)),0))</f>
        <v>0</v>
      </c>
      <c r="I225" s="251">
        <f>IF(I$4&gt;DAY(EOMONTH(DATE($D$2,$B$2,1),0)),"",IFERROR(SUMIFS(DATA_GOC!$H:$H,DATA_GOC!$A:$A,"BOM",DATA_GOC!$D:$D,$B225,DATA_GOC!$E:$E,"Téc cát nghiền",DATA_GOC!$F:$F,"Xuất nội bộ từ téc",DATA_GOC!$B:$B,DATE($D$2,$B$2,I$4)),0))</f>
        <v>0</v>
      </c>
      <c r="J225" s="251">
        <f>IF(J$4&gt;DAY(EOMONTH(DATE($D$2,$B$2,1),0)),"",IFERROR(SUMIFS(DATA_GOC!$H:$H,DATA_GOC!$A:$A,"BOM",DATA_GOC!$D:$D,$B225,DATA_GOC!$E:$E,"Téc cát nghiền",DATA_GOC!$F:$F,"Xuất nội bộ từ téc",DATA_GOC!$B:$B,DATE($D$2,$B$2,J$4)),0))</f>
        <v>0</v>
      </c>
      <c r="K225" s="251">
        <f>IF(K$4&gt;DAY(EOMONTH(DATE($D$2,$B$2,1),0)),"",IFERROR(SUMIFS(DATA_GOC!$H:$H,DATA_GOC!$A:$A,"BOM",DATA_GOC!$D:$D,$B225,DATA_GOC!$E:$E,"Téc cát nghiền",DATA_GOC!$F:$F,"Xuất nội bộ từ téc",DATA_GOC!$B:$B,DATE($D$2,$B$2,K$4)),0))</f>
        <v>0</v>
      </c>
      <c r="L225" s="251">
        <f>IF(L$4&gt;DAY(EOMONTH(DATE($D$2,$B$2,1),0)),"",IFERROR(SUMIFS(DATA_GOC!$H:$H,DATA_GOC!$A:$A,"BOM",DATA_GOC!$D:$D,$B225,DATA_GOC!$E:$E,"Téc cát nghiền",DATA_GOC!$F:$F,"Xuất nội bộ từ téc",DATA_GOC!$B:$B,DATE($D$2,$B$2,L$4)),0))</f>
        <v>0</v>
      </c>
      <c r="M225" s="251">
        <f>IF(M$4&gt;DAY(EOMONTH(DATE($D$2,$B$2,1),0)),"",IFERROR(SUMIFS(DATA_GOC!$H:$H,DATA_GOC!$A:$A,"BOM",DATA_GOC!$D:$D,$B225,DATA_GOC!$E:$E,"Téc cát nghiền",DATA_GOC!$F:$F,"Xuất nội bộ từ téc",DATA_GOC!$B:$B,DATE($D$2,$B$2,M$4)),0))</f>
        <v>0</v>
      </c>
      <c r="N225" s="251">
        <f>IF(N$4&gt;DAY(EOMONTH(DATE($D$2,$B$2,1),0)),"",IFERROR(SUMIFS(DATA_GOC!$H:$H,DATA_GOC!$A:$A,"BOM",DATA_GOC!$D:$D,$B225,DATA_GOC!$E:$E,"Téc cát nghiền",DATA_GOC!$F:$F,"Xuất nội bộ từ téc",DATA_GOC!$B:$B,DATE($D$2,$B$2,N$4)),0))</f>
        <v>0</v>
      </c>
      <c r="O225" s="251">
        <f>IF(O$4&gt;DAY(EOMONTH(DATE($D$2,$B$2,1),0)),"",IFERROR(SUMIFS(DATA_GOC!$H:$H,DATA_GOC!$A:$A,"BOM",DATA_GOC!$D:$D,$B225,DATA_GOC!$E:$E,"Téc cát nghiền",DATA_GOC!$F:$F,"Xuất nội bộ từ téc",DATA_GOC!$B:$B,DATE($D$2,$B$2,O$4)),0))</f>
        <v>0</v>
      </c>
      <c r="P225" s="251">
        <f>IF(P$4&gt;DAY(EOMONTH(DATE($D$2,$B$2,1),0)),"",IFERROR(SUMIFS(DATA_GOC!$H:$H,DATA_GOC!$A:$A,"BOM",DATA_GOC!$D:$D,$B225,DATA_GOC!$E:$E,"Téc cát nghiền",DATA_GOC!$F:$F,"Xuất nội bộ từ téc",DATA_GOC!$B:$B,DATE($D$2,$B$2,P$4)),0))</f>
        <v>0</v>
      </c>
      <c r="Q225" s="251">
        <f>IF(Q$4&gt;DAY(EOMONTH(DATE($D$2,$B$2,1),0)),"",IFERROR(SUMIFS(DATA_GOC!$H:$H,DATA_GOC!$A:$A,"BOM",DATA_GOC!$D:$D,$B225,DATA_GOC!$E:$E,"Téc cát nghiền",DATA_GOC!$F:$F,"Xuất nội bộ từ téc",DATA_GOC!$B:$B,DATE($D$2,$B$2,Q$4)),0))</f>
        <v>0</v>
      </c>
      <c r="R225" s="251">
        <f>IF(R$4&gt;DAY(EOMONTH(DATE($D$2,$B$2,1),0)),"",IFERROR(SUMIFS(DATA_GOC!$H:$H,DATA_GOC!$A:$A,"BOM",DATA_GOC!$D:$D,$B225,DATA_GOC!$E:$E,"Téc cát nghiền",DATA_GOC!$F:$F,"Xuất nội bộ từ téc",DATA_GOC!$B:$B,DATE($D$2,$B$2,R$4)),0))</f>
        <v>0</v>
      </c>
      <c r="S225" s="251">
        <f>IF(S$4&gt;DAY(EOMONTH(DATE($D$2,$B$2,1),0)),"",IFERROR(SUMIFS(DATA_GOC!$H:$H,DATA_GOC!$A:$A,"BOM",DATA_GOC!$D:$D,$B225,DATA_GOC!$E:$E,"Téc cát nghiền",DATA_GOC!$F:$F,"Xuất nội bộ từ téc",DATA_GOC!$B:$B,DATE($D$2,$B$2,S$4)),0))</f>
        <v>0</v>
      </c>
      <c r="T225" s="251">
        <f>IF(T$4&gt;DAY(EOMONTH(DATE($D$2,$B$2,1),0)),"",IFERROR(SUMIFS(DATA_GOC!$H:$H,DATA_GOC!$A:$A,"BOM",DATA_GOC!$D:$D,$B225,DATA_GOC!$E:$E,"Téc cát nghiền",DATA_GOC!$F:$F,"Xuất nội bộ từ téc",DATA_GOC!$B:$B,DATE($D$2,$B$2,T$4)),0))</f>
        <v>0</v>
      </c>
      <c r="U225" s="251">
        <f>IF(U$4&gt;DAY(EOMONTH(DATE($D$2,$B$2,1),0)),"",IFERROR(SUMIFS(DATA_GOC!$H:$H,DATA_GOC!$A:$A,"BOM",DATA_GOC!$D:$D,$B225,DATA_GOC!$E:$E,"Téc cát nghiền",DATA_GOC!$F:$F,"Xuất nội bộ từ téc",DATA_GOC!$B:$B,DATE($D$2,$B$2,U$4)),0))</f>
        <v>0</v>
      </c>
      <c r="V225" s="251">
        <f>IF(V$4&gt;DAY(EOMONTH(DATE($D$2,$B$2,1),0)),"",IFERROR(SUMIFS(DATA_GOC!$H:$H,DATA_GOC!$A:$A,"BOM",DATA_GOC!$D:$D,$B225,DATA_GOC!$E:$E,"Téc cát nghiền",DATA_GOC!$F:$F,"Xuất nội bộ từ téc",DATA_GOC!$B:$B,DATE($D$2,$B$2,V$4)),0))</f>
        <v>0</v>
      </c>
      <c r="W225" s="251">
        <f>IF(W$4&gt;DAY(EOMONTH(DATE($D$2,$B$2,1),0)),"",IFERROR(SUMIFS(DATA_GOC!$H:$H,DATA_GOC!$A:$A,"BOM",DATA_GOC!$D:$D,$B225,DATA_GOC!$E:$E,"Téc cát nghiền",DATA_GOC!$F:$F,"Xuất nội bộ từ téc",DATA_GOC!$B:$B,DATE($D$2,$B$2,W$4)),0))</f>
        <v>0</v>
      </c>
      <c r="X225" s="251">
        <f>IF(X$4&gt;DAY(EOMONTH(DATE($D$2,$B$2,1),0)),"",IFERROR(SUMIFS(DATA_GOC!$H:$H,DATA_GOC!$A:$A,"BOM",DATA_GOC!$D:$D,$B225,DATA_GOC!$E:$E,"Téc cát nghiền",DATA_GOC!$F:$F,"Xuất nội bộ từ téc",DATA_GOC!$B:$B,DATE($D$2,$B$2,X$4)),0))</f>
        <v>0</v>
      </c>
      <c r="Y225" s="251">
        <f>IF(Y$4&gt;DAY(EOMONTH(DATE($D$2,$B$2,1),0)),"",IFERROR(SUMIFS(DATA_GOC!$H:$H,DATA_GOC!$A:$A,"BOM",DATA_GOC!$D:$D,$B225,DATA_GOC!$E:$E,"Téc cát nghiền",DATA_GOC!$F:$F,"Xuất nội bộ từ téc",DATA_GOC!$B:$B,DATE($D$2,$B$2,Y$4)),0))</f>
        <v>0</v>
      </c>
      <c r="Z225" s="251">
        <f>IF(Z$4&gt;DAY(EOMONTH(DATE($D$2,$B$2,1),0)),"",IFERROR(SUMIFS(DATA_GOC!$H:$H,DATA_GOC!$A:$A,"BOM",DATA_GOC!$D:$D,$B225,DATA_GOC!$E:$E,"Téc cát nghiền",DATA_GOC!$F:$F,"Xuất nội bộ từ téc",DATA_GOC!$B:$B,DATE($D$2,$B$2,Z$4)),0))</f>
        <v>0</v>
      </c>
      <c r="AA225" s="251">
        <f>IF(AA$4&gt;DAY(EOMONTH(DATE($D$2,$B$2,1),0)),"",IFERROR(SUMIFS(DATA_GOC!$H:$H,DATA_GOC!$A:$A,"BOM",DATA_GOC!$D:$D,$B225,DATA_GOC!$E:$E,"Téc cát nghiền",DATA_GOC!$F:$F,"Xuất nội bộ từ téc",DATA_GOC!$B:$B,DATE($D$2,$B$2,AA$4)),0))</f>
        <v>0</v>
      </c>
      <c r="AB225" s="251">
        <f>IF(AB$4&gt;DAY(EOMONTH(DATE($D$2,$B$2,1),0)),"",IFERROR(SUMIFS(DATA_GOC!$H:$H,DATA_GOC!$A:$A,"BOM",DATA_GOC!$D:$D,$B225,DATA_GOC!$E:$E,"Téc cát nghiền",DATA_GOC!$F:$F,"Xuất nội bộ từ téc",DATA_GOC!$B:$B,DATE($D$2,$B$2,AB$4)),0))</f>
        <v>0</v>
      </c>
      <c r="AC225" s="251">
        <f>IF(AC$4&gt;DAY(EOMONTH(DATE($D$2,$B$2,1),0)),"",IFERROR(SUMIFS(DATA_GOC!$H:$H,DATA_GOC!$A:$A,"BOM",DATA_GOC!$D:$D,$B225,DATA_GOC!$E:$E,"Téc cát nghiền",DATA_GOC!$F:$F,"Xuất nội bộ từ téc",DATA_GOC!$B:$B,DATE($D$2,$B$2,AC$4)),0))</f>
        <v>0</v>
      </c>
      <c r="AD225" s="251">
        <f>IF(AD$4&gt;DAY(EOMONTH(DATE($D$2,$B$2,1),0)),"",IFERROR(SUMIFS(DATA_GOC!$H:$H,DATA_GOC!$A:$A,"BOM",DATA_GOC!$D:$D,$B225,DATA_GOC!$E:$E,"Téc cát nghiền",DATA_GOC!$F:$F,"Xuất nội bộ từ téc",DATA_GOC!$B:$B,DATE($D$2,$B$2,AD$4)),0))</f>
        <v>0</v>
      </c>
      <c r="AE225" s="251">
        <f>IF(AE$4&gt;DAY(EOMONTH(DATE($D$2,$B$2,1),0)),"",IFERROR(SUMIFS(DATA_GOC!$H:$H,DATA_GOC!$A:$A,"BOM",DATA_GOC!$D:$D,$B225,DATA_GOC!$E:$E,"Téc cát nghiền",DATA_GOC!$F:$F,"Xuất nội bộ từ téc",DATA_GOC!$B:$B,DATE($D$2,$B$2,AE$4)),0))</f>
        <v>0</v>
      </c>
      <c r="AF225" s="251">
        <f>IF(AF$4&gt;DAY(EOMONTH(DATE($D$2,$B$2,1),0)),"",IFERROR(SUMIFS(DATA_GOC!$H:$H,DATA_GOC!$A:$A,"BOM",DATA_GOC!$D:$D,$B225,DATA_GOC!$E:$E,"Téc cát nghiền",DATA_GOC!$F:$F,"Xuất nội bộ từ téc",DATA_GOC!$B:$B,DATE($D$2,$B$2,AF$4)),0))</f>
        <v>0</v>
      </c>
      <c r="AG225" s="251">
        <f>IF(AG$4&gt;DAY(EOMONTH(DATE($D$2,$B$2,1),0)),"",IFERROR(SUMIFS(DATA_GOC!$H:$H,DATA_GOC!$A:$A,"BOM",DATA_GOC!$D:$D,$B225,DATA_GOC!$E:$E,"Téc cát nghiền",DATA_GOC!$F:$F,"Xuất nội bộ từ téc",DATA_GOC!$B:$B,DATE($D$2,$B$2,AG$4)),0))</f>
        <v>0</v>
      </c>
      <c r="AH225" s="252">
        <f t="shared" si="10"/>
        <v>0</v>
      </c>
      <c r="AI225" s="241"/>
      <c r="AJ225" s="242">
        <f>IF($B225="","",SUMIFS(TINH_TEC!$K$233:$K$9232,TINH_TEC!$H$233:$H$9232,$B225,TINH_TEC!$C$233:$C$9232,"Téc cát nghiền",TINH_TEC!$F$233:$F$9232,$B$2,TINH_TEC!$G$233:$G$9232,$D$2,TINH_TEC!$B$233:$B$9232,"Đã chốt"))</f>
        <v>0</v>
      </c>
      <c r="AK225" s="242">
        <f>IF($B225="","",SUMIFS(TINH_TEC!$J$233:$J$9232,TINH_TEC!$H$233:$H$9232,$B225,TINH_TEC!$C$233:$C$9232,"Téc cát nghiền",TINH_TEC!$F$233:$F$9232,$B$2,TINH_TEC!$G$233:$G$9232,$D$2,TINH_TEC!$B$233:$B$9232,"Đã chốt"))</f>
        <v>0</v>
      </c>
      <c r="AL225" s="242">
        <f t="shared" si="11"/>
        <v>0</v>
      </c>
    </row>
    <row r="226" ht="15.75" customHeight="1">
      <c r="A226" s="237">
        <f>IF($B226&lt;&gt;"",38,"")</f>
        <v>38</v>
      </c>
      <c r="B226" s="250" t="str">
        <f t="array" ref="B226">IFERROR(INDEX(DANH_MUC!$E:$E,41),"")</f>
        <v>28H00680</v>
      </c>
      <c r="C226" s="251">
        <f>IF(C$4&gt;DAY(EOMONTH(DATE($D$2,$B$2,1),0)),"",IFERROR(SUMIFS(DATA_GOC!$H:$H,DATA_GOC!$A:$A,"BOM",DATA_GOC!$D:$D,$B226,DATA_GOC!$E:$E,"Téc cát nghiền",DATA_GOC!$F:$F,"Xuất nội bộ từ téc",DATA_GOC!$B:$B,DATE($D$2,$B$2,C$4)),0))</f>
        <v>0</v>
      </c>
      <c r="D226" s="251">
        <f>IF(D$4&gt;DAY(EOMONTH(DATE($D$2,$B$2,1),0)),"",IFERROR(SUMIFS(DATA_GOC!$H:$H,DATA_GOC!$A:$A,"BOM",DATA_GOC!$D:$D,$B226,DATA_GOC!$E:$E,"Téc cát nghiền",DATA_GOC!$F:$F,"Xuất nội bộ từ téc",DATA_GOC!$B:$B,DATE($D$2,$B$2,D$4)),0))</f>
        <v>0</v>
      </c>
      <c r="E226" s="251">
        <f>IF(E$4&gt;DAY(EOMONTH(DATE($D$2,$B$2,1),0)),"",IFERROR(SUMIFS(DATA_GOC!$H:$H,DATA_GOC!$A:$A,"BOM",DATA_GOC!$D:$D,$B226,DATA_GOC!$E:$E,"Téc cát nghiền",DATA_GOC!$F:$F,"Xuất nội bộ từ téc",DATA_GOC!$B:$B,DATE($D$2,$B$2,E$4)),0))</f>
        <v>0</v>
      </c>
      <c r="F226" s="251">
        <f>IF(F$4&gt;DAY(EOMONTH(DATE($D$2,$B$2,1),0)),"",IFERROR(SUMIFS(DATA_GOC!$H:$H,DATA_GOC!$A:$A,"BOM",DATA_GOC!$D:$D,$B226,DATA_GOC!$E:$E,"Téc cát nghiền",DATA_GOC!$F:$F,"Xuất nội bộ từ téc",DATA_GOC!$B:$B,DATE($D$2,$B$2,F$4)),0))</f>
        <v>0</v>
      </c>
      <c r="G226" s="251">
        <f>IF(G$4&gt;DAY(EOMONTH(DATE($D$2,$B$2,1),0)),"",IFERROR(SUMIFS(DATA_GOC!$H:$H,DATA_GOC!$A:$A,"BOM",DATA_GOC!$D:$D,$B226,DATA_GOC!$E:$E,"Téc cát nghiền",DATA_GOC!$F:$F,"Xuất nội bộ từ téc",DATA_GOC!$B:$B,DATE($D$2,$B$2,G$4)),0))</f>
        <v>0</v>
      </c>
      <c r="H226" s="251">
        <f>IF(H$4&gt;DAY(EOMONTH(DATE($D$2,$B$2,1),0)),"",IFERROR(SUMIFS(DATA_GOC!$H:$H,DATA_GOC!$A:$A,"BOM",DATA_GOC!$D:$D,$B226,DATA_GOC!$E:$E,"Téc cát nghiền",DATA_GOC!$F:$F,"Xuất nội bộ từ téc",DATA_GOC!$B:$B,DATE($D$2,$B$2,H$4)),0))</f>
        <v>0</v>
      </c>
      <c r="I226" s="251">
        <f>IF(I$4&gt;DAY(EOMONTH(DATE($D$2,$B$2,1),0)),"",IFERROR(SUMIFS(DATA_GOC!$H:$H,DATA_GOC!$A:$A,"BOM",DATA_GOC!$D:$D,$B226,DATA_GOC!$E:$E,"Téc cát nghiền",DATA_GOC!$F:$F,"Xuất nội bộ từ téc",DATA_GOC!$B:$B,DATE($D$2,$B$2,I$4)),0))</f>
        <v>0</v>
      </c>
      <c r="J226" s="251">
        <f>IF(J$4&gt;DAY(EOMONTH(DATE($D$2,$B$2,1),0)),"",IFERROR(SUMIFS(DATA_GOC!$H:$H,DATA_GOC!$A:$A,"BOM",DATA_GOC!$D:$D,$B226,DATA_GOC!$E:$E,"Téc cát nghiền",DATA_GOC!$F:$F,"Xuất nội bộ từ téc",DATA_GOC!$B:$B,DATE($D$2,$B$2,J$4)),0))</f>
        <v>0</v>
      </c>
      <c r="K226" s="251">
        <f>IF(K$4&gt;DAY(EOMONTH(DATE($D$2,$B$2,1),0)),"",IFERROR(SUMIFS(DATA_GOC!$H:$H,DATA_GOC!$A:$A,"BOM",DATA_GOC!$D:$D,$B226,DATA_GOC!$E:$E,"Téc cát nghiền",DATA_GOC!$F:$F,"Xuất nội bộ từ téc",DATA_GOC!$B:$B,DATE($D$2,$B$2,K$4)),0))</f>
        <v>0</v>
      </c>
      <c r="L226" s="251">
        <f>IF(L$4&gt;DAY(EOMONTH(DATE($D$2,$B$2,1),0)),"",IFERROR(SUMIFS(DATA_GOC!$H:$H,DATA_GOC!$A:$A,"BOM",DATA_GOC!$D:$D,$B226,DATA_GOC!$E:$E,"Téc cát nghiền",DATA_GOC!$F:$F,"Xuất nội bộ từ téc",DATA_GOC!$B:$B,DATE($D$2,$B$2,L$4)),0))</f>
        <v>0</v>
      </c>
      <c r="M226" s="251">
        <f>IF(M$4&gt;DAY(EOMONTH(DATE($D$2,$B$2,1),0)),"",IFERROR(SUMIFS(DATA_GOC!$H:$H,DATA_GOC!$A:$A,"BOM",DATA_GOC!$D:$D,$B226,DATA_GOC!$E:$E,"Téc cát nghiền",DATA_GOC!$F:$F,"Xuất nội bộ từ téc",DATA_GOC!$B:$B,DATE($D$2,$B$2,M$4)),0))</f>
        <v>0</v>
      </c>
      <c r="N226" s="251">
        <f>IF(N$4&gt;DAY(EOMONTH(DATE($D$2,$B$2,1),0)),"",IFERROR(SUMIFS(DATA_GOC!$H:$H,DATA_GOC!$A:$A,"BOM",DATA_GOC!$D:$D,$B226,DATA_GOC!$E:$E,"Téc cát nghiền",DATA_GOC!$F:$F,"Xuất nội bộ từ téc",DATA_GOC!$B:$B,DATE($D$2,$B$2,N$4)),0))</f>
        <v>0</v>
      </c>
      <c r="O226" s="251">
        <f>IF(O$4&gt;DAY(EOMONTH(DATE($D$2,$B$2,1),0)),"",IFERROR(SUMIFS(DATA_GOC!$H:$H,DATA_GOC!$A:$A,"BOM",DATA_GOC!$D:$D,$B226,DATA_GOC!$E:$E,"Téc cát nghiền",DATA_GOC!$F:$F,"Xuất nội bộ từ téc",DATA_GOC!$B:$B,DATE($D$2,$B$2,O$4)),0))</f>
        <v>0</v>
      </c>
      <c r="P226" s="251">
        <f>IF(P$4&gt;DAY(EOMONTH(DATE($D$2,$B$2,1),0)),"",IFERROR(SUMIFS(DATA_GOC!$H:$H,DATA_GOC!$A:$A,"BOM",DATA_GOC!$D:$D,$B226,DATA_GOC!$E:$E,"Téc cát nghiền",DATA_GOC!$F:$F,"Xuất nội bộ từ téc",DATA_GOC!$B:$B,DATE($D$2,$B$2,P$4)),0))</f>
        <v>0</v>
      </c>
      <c r="Q226" s="251">
        <f>IF(Q$4&gt;DAY(EOMONTH(DATE($D$2,$B$2,1),0)),"",IFERROR(SUMIFS(DATA_GOC!$H:$H,DATA_GOC!$A:$A,"BOM",DATA_GOC!$D:$D,$B226,DATA_GOC!$E:$E,"Téc cát nghiền",DATA_GOC!$F:$F,"Xuất nội bộ từ téc",DATA_GOC!$B:$B,DATE($D$2,$B$2,Q$4)),0))</f>
        <v>0</v>
      </c>
      <c r="R226" s="251">
        <f>IF(R$4&gt;DAY(EOMONTH(DATE($D$2,$B$2,1),0)),"",IFERROR(SUMIFS(DATA_GOC!$H:$H,DATA_GOC!$A:$A,"BOM",DATA_GOC!$D:$D,$B226,DATA_GOC!$E:$E,"Téc cát nghiền",DATA_GOC!$F:$F,"Xuất nội bộ từ téc",DATA_GOC!$B:$B,DATE($D$2,$B$2,R$4)),0))</f>
        <v>0</v>
      </c>
      <c r="S226" s="251">
        <f>IF(S$4&gt;DAY(EOMONTH(DATE($D$2,$B$2,1),0)),"",IFERROR(SUMIFS(DATA_GOC!$H:$H,DATA_GOC!$A:$A,"BOM",DATA_GOC!$D:$D,$B226,DATA_GOC!$E:$E,"Téc cát nghiền",DATA_GOC!$F:$F,"Xuất nội bộ từ téc",DATA_GOC!$B:$B,DATE($D$2,$B$2,S$4)),0))</f>
        <v>0</v>
      </c>
      <c r="T226" s="251">
        <f>IF(T$4&gt;DAY(EOMONTH(DATE($D$2,$B$2,1),0)),"",IFERROR(SUMIFS(DATA_GOC!$H:$H,DATA_GOC!$A:$A,"BOM",DATA_GOC!$D:$D,$B226,DATA_GOC!$E:$E,"Téc cát nghiền",DATA_GOC!$F:$F,"Xuất nội bộ từ téc",DATA_GOC!$B:$B,DATE($D$2,$B$2,T$4)),0))</f>
        <v>0</v>
      </c>
      <c r="U226" s="251">
        <f>IF(U$4&gt;DAY(EOMONTH(DATE($D$2,$B$2,1),0)),"",IFERROR(SUMIFS(DATA_GOC!$H:$H,DATA_GOC!$A:$A,"BOM",DATA_GOC!$D:$D,$B226,DATA_GOC!$E:$E,"Téc cát nghiền",DATA_GOC!$F:$F,"Xuất nội bộ từ téc",DATA_GOC!$B:$B,DATE($D$2,$B$2,U$4)),0))</f>
        <v>0</v>
      </c>
      <c r="V226" s="251">
        <f>IF(V$4&gt;DAY(EOMONTH(DATE($D$2,$B$2,1),0)),"",IFERROR(SUMIFS(DATA_GOC!$H:$H,DATA_GOC!$A:$A,"BOM",DATA_GOC!$D:$D,$B226,DATA_GOC!$E:$E,"Téc cát nghiền",DATA_GOC!$F:$F,"Xuất nội bộ từ téc",DATA_GOC!$B:$B,DATE($D$2,$B$2,V$4)),0))</f>
        <v>0</v>
      </c>
      <c r="W226" s="251">
        <f>IF(W$4&gt;DAY(EOMONTH(DATE($D$2,$B$2,1),0)),"",IFERROR(SUMIFS(DATA_GOC!$H:$H,DATA_GOC!$A:$A,"BOM",DATA_GOC!$D:$D,$B226,DATA_GOC!$E:$E,"Téc cát nghiền",DATA_GOC!$F:$F,"Xuất nội bộ từ téc",DATA_GOC!$B:$B,DATE($D$2,$B$2,W$4)),0))</f>
        <v>0</v>
      </c>
      <c r="X226" s="251">
        <f>IF(X$4&gt;DAY(EOMONTH(DATE($D$2,$B$2,1),0)),"",IFERROR(SUMIFS(DATA_GOC!$H:$H,DATA_GOC!$A:$A,"BOM",DATA_GOC!$D:$D,$B226,DATA_GOC!$E:$E,"Téc cát nghiền",DATA_GOC!$F:$F,"Xuất nội bộ từ téc",DATA_GOC!$B:$B,DATE($D$2,$B$2,X$4)),0))</f>
        <v>0</v>
      </c>
      <c r="Y226" s="251">
        <f>IF(Y$4&gt;DAY(EOMONTH(DATE($D$2,$B$2,1),0)),"",IFERROR(SUMIFS(DATA_GOC!$H:$H,DATA_GOC!$A:$A,"BOM",DATA_GOC!$D:$D,$B226,DATA_GOC!$E:$E,"Téc cát nghiền",DATA_GOC!$F:$F,"Xuất nội bộ từ téc",DATA_GOC!$B:$B,DATE($D$2,$B$2,Y$4)),0))</f>
        <v>0</v>
      </c>
      <c r="Z226" s="251">
        <f>IF(Z$4&gt;DAY(EOMONTH(DATE($D$2,$B$2,1),0)),"",IFERROR(SUMIFS(DATA_GOC!$H:$H,DATA_GOC!$A:$A,"BOM",DATA_GOC!$D:$D,$B226,DATA_GOC!$E:$E,"Téc cát nghiền",DATA_GOC!$F:$F,"Xuất nội bộ từ téc",DATA_GOC!$B:$B,DATE($D$2,$B$2,Z$4)),0))</f>
        <v>0</v>
      </c>
      <c r="AA226" s="251">
        <f>IF(AA$4&gt;DAY(EOMONTH(DATE($D$2,$B$2,1),0)),"",IFERROR(SUMIFS(DATA_GOC!$H:$H,DATA_GOC!$A:$A,"BOM",DATA_GOC!$D:$D,$B226,DATA_GOC!$E:$E,"Téc cát nghiền",DATA_GOC!$F:$F,"Xuất nội bộ từ téc",DATA_GOC!$B:$B,DATE($D$2,$B$2,AA$4)),0))</f>
        <v>0</v>
      </c>
      <c r="AB226" s="251">
        <f>IF(AB$4&gt;DAY(EOMONTH(DATE($D$2,$B$2,1),0)),"",IFERROR(SUMIFS(DATA_GOC!$H:$H,DATA_GOC!$A:$A,"BOM",DATA_GOC!$D:$D,$B226,DATA_GOC!$E:$E,"Téc cát nghiền",DATA_GOC!$F:$F,"Xuất nội bộ từ téc",DATA_GOC!$B:$B,DATE($D$2,$B$2,AB$4)),0))</f>
        <v>0</v>
      </c>
      <c r="AC226" s="251">
        <f>IF(AC$4&gt;DAY(EOMONTH(DATE($D$2,$B$2,1),0)),"",IFERROR(SUMIFS(DATA_GOC!$H:$H,DATA_GOC!$A:$A,"BOM",DATA_GOC!$D:$D,$B226,DATA_GOC!$E:$E,"Téc cát nghiền",DATA_GOC!$F:$F,"Xuất nội bộ từ téc",DATA_GOC!$B:$B,DATE($D$2,$B$2,AC$4)),0))</f>
        <v>0</v>
      </c>
      <c r="AD226" s="251">
        <f>IF(AD$4&gt;DAY(EOMONTH(DATE($D$2,$B$2,1),0)),"",IFERROR(SUMIFS(DATA_GOC!$H:$H,DATA_GOC!$A:$A,"BOM",DATA_GOC!$D:$D,$B226,DATA_GOC!$E:$E,"Téc cát nghiền",DATA_GOC!$F:$F,"Xuất nội bộ từ téc",DATA_GOC!$B:$B,DATE($D$2,$B$2,AD$4)),0))</f>
        <v>0</v>
      </c>
      <c r="AE226" s="251">
        <f>IF(AE$4&gt;DAY(EOMONTH(DATE($D$2,$B$2,1),0)),"",IFERROR(SUMIFS(DATA_GOC!$H:$H,DATA_GOC!$A:$A,"BOM",DATA_GOC!$D:$D,$B226,DATA_GOC!$E:$E,"Téc cát nghiền",DATA_GOC!$F:$F,"Xuất nội bộ từ téc",DATA_GOC!$B:$B,DATE($D$2,$B$2,AE$4)),0))</f>
        <v>0</v>
      </c>
      <c r="AF226" s="251">
        <f>IF(AF$4&gt;DAY(EOMONTH(DATE($D$2,$B$2,1),0)),"",IFERROR(SUMIFS(DATA_GOC!$H:$H,DATA_GOC!$A:$A,"BOM",DATA_GOC!$D:$D,$B226,DATA_GOC!$E:$E,"Téc cát nghiền",DATA_GOC!$F:$F,"Xuất nội bộ từ téc",DATA_GOC!$B:$B,DATE($D$2,$B$2,AF$4)),0))</f>
        <v>0</v>
      </c>
      <c r="AG226" s="251">
        <f>IF(AG$4&gt;DAY(EOMONTH(DATE($D$2,$B$2,1),0)),"",IFERROR(SUMIFS(DATA_GOC!$H:$H,DATA_GOC!$A:$A,"BOM",DATA_GOC!$D:$D,$B226,DATA_GOC!$E:$E,"Téc cát nghiền",DATA_GOC!$F:$F,"Xuất nội bộ từ téc",DATA_GOC!$B:$B,DATE($D$2,$B$2,AG$4)),0))</f>
        <v>0</v>
      </c>
      <c r="AH226" s="252">
        <f t="shared" si="10"/>
        <v>0</v>
      </c>
      <c r="AI226" s="241"/>
      <c r="AJ226" s="242">
        <f>IF($B226="","",SUMIFS(TINH_TEC!$K$233:$K$9232,TINH_TEC!$H$233:$H$9232,$B226,TINH_TEC!$C$233:$C$9232,"Téc cát nghiền",TINH_TEC!$F$233:$F$9232,$B$2,TINH_TEC!$G$233:$G$9232,$D$2,TINH_TEC!$B$233:$B$9232,"Đã chốt"))</f>
        <v>0</v>
      </c>
      <c r="AK226" s="242">
        <f>IF($B226="","",SUMIFS(TINH_TEC!$J$233:$J$9232,TINH_TEC!$H$233:$H$9232,$B226,TINH_TEC!$C$233:$C$9232,"Téc cát nghiền",TINH_TEC!$F$233:$F$9232,$B$2,TINH_TEC!$G$233:$G$9232,$D$2,TINH_TEC!$B$233:$B$9232,"Đã chốt"))</f>
        <v>0</v>
      </c>
      <c r="AL226" s="242">
        <f t="shared" si="11"/>
        <v>0</v>
      </c>
    </row>
    <row r="227" ht="15.75" customHeight="1">
      <c r="A227" s="237">
        <f>IF($B227&lt;&gt;"",39,"")</f>
        <v>39</v>
      </c>
      <c r="B227" s="250" t="str">
        <f t="array" ref="B227">IFERROR(INDEX(DANH_MUC!$E:$E,42),"")</f>
        <v>28H01070</v>
      </c>
      <c r="C227" s="251">
        <f>IF(C$4&gt;DAY(EOMONTH(DATE($D$2,$B$2,1),0)),"",IFERROR(SUMIFS(DATA_GOC!$H:$H,DATA_GOC!$A:$A,"BOM",DATA_GOC!$D:$D,$B227,DATA_GOC!$E:$E,"Téc cát nghiền",DATA_GOC!$F:$F,"Xuất nội bộ từ téc",DATA_GOC!$B:$B,DATE($D$2,$B$2,C$4)),0))</f>
        <v>0</v>
      </c>
      <c r="D227" s="251">
        <f>IF(D$4&gt;DAY(EOMONTH(DATE($D$2,$B$2,1),0)),"",IFERROR(SUMIFS(DATA_GOC!$H:$H,DATA_GOC!$A:$A,"BOM",DATA_GOC!$D:$D,$B227,DATA_GOC!$E:$E,"Téc cát nghiền",DATA_GOC!$F:$F,"Xuất nội bộ từ téc",DATA_GOC!$B:$B,DATE($D$2,$B$2,D$4)),0))</f>
        <v>0</v>
      </c>
      <c r="E227" s="251">
        <f>IF(E$4&gt;DAY(EOMONTH(DATE($D$2,$B$2,1),0)),"",IFERROR(SUMIFS(DATA_GOC!$H:$H,DATA_GOC!$A:$A,"BOM",DATA_GOC!$D:$D,$B227,DATA_GOC!$E:$E,"Téc cát nghiền",DATA_GOC!$F:$F,"Xuất nội bộ từ téc",DATA_GOC!$B:$B,DATE($D$2,$B$2,E$4)),0))</f>
        <v>0</v>
      </c>
      <c r="F227" s="251">
        <f>IF(F$4&gt;DAY(EOMONTH(DATE($D$2,$B$2,1),0)),"",IFERROR(SUMIFS(DATA_GOC!$H:$H,DATA_GOC!$A:$A,"BOM",DATA_GOC!$D:$D,$B227,DATA_GOC!$E:$E,"Téc cát nghiền",DATA_GOC!$F:$F,"Xuất nội bộ từ téc",DATA_GOC!$B:$B,DATE($D$2,$B$2,F$4)),0))</f>
        <v>0</v>
      </c>
      <c r="G227" s="251">
        <f>IF(G$4&gt;DAY(EOMONTH(DATE($D$2,$B$2,1),0)),"",IFERROR(SUMIFS(DATA_GOC!$H:$H,DATA_GOC!$A:$A,"BOM",DATA_GOC!$D:$D,$B227,DATA_GOC!$E:$E,"Téc cát nghiền",DATA_GOC!$F:$F,"Xuất nội bộ từ téc",DATA_GOC!$B:$B,DATE($D$2,$B$2,G$4)),0))</f>
        <v>0</v>
      </c>
      <c r="H227" s="251">
        <f>IF(H$4&gt;DAY(EOMONTH(DATE($D$2,$B$2,1),0)),"",IFERROR(SUMIFS(DATA_GOC!$H:$H,DATA_GOC!$A:$A,"BOM",DATA_GOC!$D:$D,$B227,DATA_GOC!$E:$E,"Téc cát nghiền",DATA_GOC!$F:$F,"Xuất nội bộ từ téc",DATA_GOC!$B:$B,DATE($D$2,$B$2,H$4)),0))</f>
        <v>0</v>
      </c>
      <c r="I227" s="251">
        <f>IF(I$4&gt;DAY(EOMONTH(DATE($D$2,$B$2,1),0)),"",IFERROR(SUMIFS(DATA_GOC!$H:$H,DATA_GOC!$A:$A,"BOM",DATA_GOC!$D:$D,$B227,DATA_GOC!$E:$E,"Téc cát nghiền",DATA_GOC!$F:$F,"Xuất nội bộ từ téc",DATA_GOC!$B:$B,DATE($D$2,$B$2,I$4)),0))</f>
        <v>0</v>
      </c>
      <c r="J227" s="251">
        <f>IF(J$4&gt;DAY(EOMONTH(DATE($D$2,$B$2,1),0)),"",IFERROR(SUMIFS(DATA_GOC!$H:$H,DATA_GOC!$A:$A,"BOM",DATA_GOC!$D:$D,$B227,DATA_GOC!$E:$E,"Téc cát nghiền",DATA_GOC!$F:$F,"Xuất nội bộ từ téc",DATA_GOC!$B:$B,DATE($D$2,$B$2,J$4)),0))</f>
        <v>0</v>
      </c>
      <c r="K227" s="251">
        <f>IF(K$4&gt;DAY(EOMONTH(DATE($D$2,$B$2,1),0)),"",IFERROR(SUMIFS(DATA_GOC!$H:$H,DATA_GOC!$A:$A,"BOM",DATA_GOC!$D:$D,$B227,DATA_GOC!$E:$E,"Téc cát nghiền",DATA_GOC!$F:$F,"Xuất nội bộ từ téc",DATA_GOC!$B:$B,DATE($D$2,$B$2,K$4)),0))</f>
        <v>0</v>
      </c>
      <c r="L227" s="251">
        <f>IF(L$4&gt;DAY(EOMONTH(DATE($D$2,$B$2,1),0)),"",IFERROR(SUMIFS(DATA_GOC!$H:$H,DATA_GOC!$A:$A,"BOM",DATA_GOC!$D:$D,$B227,DATA_GOC!$E:$E,"Téc cát nghiền",DATA_GOC!$F:$F,"Xuất nội bộ từ téc",DATA_GOC!$B:$B,DATE($D$2,$B$2,L$4)),0))</f>
        <v>0</v>
      </c>
      <c r="M227" s="251">
        <f>IF(M$4&gt;DAY(EOMONTH(DATE($D$2,$B$2,1),0)),"",IFERROR(SUMIFS(DATA_GOC!$H:$H,DATA_GOC!$A:$A,"BOM",DATA_GOC!$D:$D,$B227,DATA_GOC!$E:$E,"Téc cát nghiền",DATA_GOC!$F:$F,"Xuất nội bộ từ téc",DATA_GOC!$B:$B,DATE($D$2,$B$2,M$4)),0))</f>
        <v>0</v>
      </c>
      <c r="N227" s="251">
        <f>IF(N$4&gt;DAY(EOMONTH(DATE($D$2,$B$2,1),0)),"",IFERROR(SUMIFS(DATA_GOC!$H:$H,DATA_GOC!$A:$A,"BOM",DATA_GOC!$D:$D,$B227,DATA_GOC!$E:$E,"Téc cát nghiền",DATA_GOC!$F:$F,"Xuất nội bộ từ téc",DATA_GOC!$B:$B,DATE($D$2,$B$2,N$4)),0))</f>
        <v>0</v>
      </c>
      <c r="O227" s="251">
        <f>IF(O$4&gt;DAY(EOMONTH(DATE($D$2,$B$2,1),0)),"",IFERROR(SUMIFS(DATA_GOC!$H:$H,DATA_GOC!$A:$A,"BOM",DATA_GOC!$D:$D,$B227,DATA_GOC!$E:$E,"Téc cát nghiền",DATA_GOC!$F:$F,"Xuất nội bộ từ téc",DATA_GOC!$B:$B,DATE($D$2,$B$2,O$4)),0))</f>
        <v>0</v>
      </c>
      <c r="P227" s="251">
        <f>IF(P$4&gt;DAY(EOMONTH(DATE($D$2,$B$2,1),0)),"",IFERROR(SUMIFS(DATA_GOC!$H:$H,DATA_GOC!$A:$A,"BOM",DATA_GOC!$D:$D,$B227,DATA_GOC!$E:$E,"Téc cát nghiền",DATA_GOC!$F:$F,"Xuất nội bộ từ téc",DATA_GOC!$B:$B,DATE($D$2,$B$2,P$4)),0))</f>
        <v>0</v>
      </c>
      <c r="Q227" s="251">
        <f>IF(Q$4&gt;DAY(EOMONTH(DATE($D$2,$B$2,1),0)),"",IFERROR(SUMIFS(DATA_GOC!$H:$H,DATA_GOC!$A:$A,"BOM",DATA_GOC!$D:$D,$B227,DATA_GOC!$E:$E,"Téc cát nghiền",DATA_GOC!$F:$F,"Xuất nội bộ từ téc",DATA_GOC!$B:$B,DATE($D$2,$B$2,Q$4)),0))</f>
        <v>0</v>
      </c>
      <c r="R227" s="251">
        <f>IF(R$4&gt;DAY(EOMONTH(DATE($D$2,$B$2,1),0)),"",IFERROR(SUMIFS(DATA_GOC!$H:$H,DATA_GOC!$A:$A,"BOM",DATA_GOC!$D:$D,$B227,DATA_GOC!$E:$E,"Téc cát nghiền",DATA_GOC!$F:$F,"Xuất nội bộ từ téc",DATA_GOC!$B:$B,DATE($D$2,$B$2,R$4)),0))</f>
        <v>0</v>
      </c>
      <c r="S227" s="251">
        <f>IF(S$4&gt;DAY(EOMONTH(DATE($D$2,$B$2,1),0)),"",IFERROR(SUMIFS(DATA_GOC!$H:$H,DATA_GOC!$A:$A,"BOM",DATA_GOC!$D:$D,$B227,DATA_GOC!$E:$E,"Téc cát nghiền",DATA_GOC!$F:$F,"Xuất nội bộ từ téc",DATA_GOC!$B:$B,DATE($D$2,$B$2,S$4)),0))</f>
        <v>0</v>
      </c>
      <c r="T227" s="251">
        <f>IF(T$4&gt;DAY(EOMONTH(DATE($D$2,$B$2,1),0)),"",IFERROR(SUMIFS(DATA_GOC!$H:$H,DATA_GOC!$A:$A,"BOM",DATA_GOC!$D:$D,$B227,DATA_GOC!$E:$E,"Téc cát nghiền",DATA_GOC!$F:$F,"Xuất nội bộ từ téc",DATA_GOC!$B:$B,DATE($D$2,$B$2,T$4)),0))</f>
        <v>0</v>
      </c>
      <c r="U227" s="251">
        <f>IF(U$4&gt;DAY(EOMONTH(DATE($D$2,$B$2,1),0)),"",IFERROR(SUMIFS(DATA_GOC!$H:$H,DATA_GOC!$A:$A,"BOM",DATA_GOC!$D:$D,$B227,DATA_GOC!$E:$E,"Téc cát nghiền",DATA_GOC!$F:$F,"Xuất nội bộ từ téc",DATA_GOC!$B:$B,DATE($D$2,$B$2,U$4)),0))</f>
        <v>0</v>
      </c>
      <c r="V227" s="251">
        <f>IF(V$4&gt;DAY(EOMONTH(DATE($D$2,$B$2,1),0)),"",IFERROR(SUMIFS(DATA_GOC!$H:$H,DATA_GOC!$A:$A,"BOM",DATA_GOC!$D:$D,$B227,DATA_GOC!$E:$E,"Téc cát nghiền",DATA_GOC!$F:$F,"Xuất nội bộ từ téc",DATA_GOC!$B:$B,DATE($D$2,$B$2,V$4)),0))</f>
        <v>0</v>
      </c>
      <c r="W227" s="251">
        <f>IF(W$4&gt;DAY(EOMONTH(DATE($D$2,$B$2,1),0)),"",IFERROR(SUMIFS(DATA_GOC!$H:$H,DATA_GOC!$A:$A,"BOM",DATA_GOC!$D:$D,$B227,DATA_GOC!$E:$E,"Téc cát nghiền",DATA_GOC!$F:$F,"Xuất nội bộ từ téc",DATA_GOC!$B:$B,DATE($D$2,$B$2,W$4)),0))</f>
        <v>0</v>
      </c>
      <c r="X227" s="251">
        <f>IF(X$4&gt;DAY(EOMONTH(DATE($D$2,$B$2,1),0)),"",IFERROR(SUMIFS(DATA_GOC!$H:$H,DATA_GOC!$A:$A,"BOM",DATA_GOC!$D:$D,$B227,DATA_GOC!$E:$E,"Téc cát nghiền",DATA_GOC!$F:$F,"Xuất nội bộ từ téc",DATA_GOC!$B:$B,DATE($D$2,$B$2,X$4)),0))</f>
        <v>0</v>
      </c>
      <c r="Y227" s="251">
        <f>IF(Y$4&gt;DAY(EOMONTH(DATE($D$2,$B$2,1),0)),"",IFERROR(SUMIFS(DATA_GOC!$H:$H,DATA_GOC!$A:$A,"BOM",DATA_GOC!$D:$D,$B227,DATA_GOC!$E:$E,"Téc cát nghiền",DATA_GOC!$F:$F,"Xuất nội bộ từ téc",DATA_GOC!$B:$B,DATE($D$2,$B$2,Y$4)),0))</f>
        <v>0</v>
      </c>
      <c r="Z227" s="251">
        <f>IF(Z$4&gt;DAY(EOMONTH(DATE($D$2,$B$2,1),0)),"",IFERROR(SUMIFS(DATA_GOC!$H:$H,DATA_GOC!$A:$A,"BOM",DATA_GOC!$D:$D,$B227,DATA_GOC!$E:$E,"Téc cát nghiền",DATA_GOC!$F:$F,"Xuất nội bộ từ téc",DATA_GOC!$B:$B,DATE($D$2,$B$2,Z$4)),0))</f>
        <v>0</v>
      </c>
      <c r="AA227" s="251">
        <f>IF(AA$4&gt;DAY(EOMONTH(DATE($D$2,$B$2,1),0)),"",IFERROR(SUMIFS(DATA_GOC!$H:$H,DATA_GOC!$A:$A,"BOM",DATA_GOC!$D:$D,$B227,DATA_GOC!$E:$E,"Téc cát nghiền",DATA_GOC!$F:$F,"Xuất nội bộ từ téc",DATA_GOC!$B:$B,DATE($D$2,$B$2,AA$4)),0))</f>
        <v>0</v>
      </c>
      <c r="AB227" s="251">
        <f>IF(AB$4&gt;DAY(EOMONTH(DATE($D$2,$B$2,1),0)),"",IFERROR(SUMIFS(DATA_GOC!$H:$H,DATA_GOC!$A:$A,"BOM",DATA_GOC!$D:$D,$B227,DATA_GOC!$E:$E,"Téc cát nghiền",DATA_GOC!$F:$F,"Xuất nội bộ từ téc",DATA_GOC!$B:$B,DATE($D$2,$B$2,AB$4)),0))</f>
        <v>0</v>
      </c>
      <c r="AC227" s="251">
        <f>IF(AC$4&gt;DAY(EOMONTH(DATE($D$2,$B$2,1),0)),"",IFERROR(SUMIFS(DATA_GOC!$H:$H,DATA_GOC!$A:$A,"BOM",DATA_GOC!$D:$D,$B227,DATA_GOC!$E:$E,"Téc cát nghiền",DATA_GOC!$F:$F,"Xuất nội bộ từ téc",DATA_GOC!$B:$B,DATE($D$2,$B$2,AC$4)),0))</f>
        <v>0</v>
      </c>
      <c r="AD227" s="251">
        <f>IF(AD$4&gt;DAY(EOMONTH(DATE($D$2,$B$2,1),0)),"",IFERROR(SUMIFS(DATA_GOC!$H:$H,DATA_GOC!$A:$A,"BOM",DATA_GOC!$D:$D,$B227,DATA_GOC!$E:$E,"Téc cát nghiền",DATA_GOC!$F:$F,"Xuất nội bộ từ téc",DATA_GOC!$B:$B,DATE($D$2,$B$2,AD$4)),0))</f>
        <v>0</v>
      </c>
      <c r="AE227" s="251">
        <f>IF(AE$4&gt;DAY(EOMONTH(DATE($D$2,$B$2,1),0)),"",IFERROR(SUMIFS(DATA_GOC!$H:$H,DATA_GOC!$A:$A,"BOM",DATA_GOC!$D:$D,$B227,DATA_GOC!$E:$E,"Téc cát nghiền",DATA_GOC!$F:$F,"Xuất nội bộ từ téc",DATA_GOC!$B:$B,DATE($D$2,$B$2,AE$4)),0))</f>
        <v>0</v>
      </c>
      <c r="AF227" s="251">
        <f>IF(AF$4&gt;DAY(EOMONTH(DATE($D$2,$B$2,1),0)),"",IFERROR(SUMIFS(DATA_GOC!$H:$H,DATA_GOC!$A:$A,"BOM",DATA_GOC!$D:$D,$B227,DATA_GOC!$E:$E,"Téc cát nghiền",DATA_GOC!$F:$F,"Xuất nội bộ từ téc",DATA_GOC!$B:$B,DATE($D$2,$B$2,AF$4)),0))</f>
        <v>0</v>
      </c>
      <c r="AG227" s="251">
        <f>IF(AG$4&gt;DAY(EOMONTH(DATE($D$2,$B$2,1),0)),"",IFERROR(SUMIFS(DATA_GOC!$H:$H,DATA_GOC!$A:$A,"BOM",DATA_GOC!$D:$D,$B227,DATA_GOC!$E:$E,"Téc cát nghiền",DATA_GOC!$F:$F,"Xuất nội bộ từ téc",DATA_GOC!$B:$B,DATE($D$2,$B$2,AG$4)),0))</f>
        <v>0</v>
      </c>
      <c r="AH227" s="252">
        <f t="shared" si="10"/>
        <v>0</v>
      </c>
      <c r="AI227" s="241"/>
      <c r="AJ227" s="242">
        <f>IF($B227="","",SUMIFS(TINH_TEC!$K$233:$K$9232,TINH_TEC!$H$233:$H$9232,$B227,TINH_TEC!$C$233:$C$9232,"Téc cát nghiền",TINH_TEC!$F$233:$F$9232,$B$2,TINH_TEC!$G$233:$G$9232,$D$2,TINH_TEC!$B$233:$B$9232,"Đã chốt"))</f>
        <v>0</v>
      </c>
      <c r="AK227" s="242">
        <f>IF($B227="","",SUMIFS(TINH_TEC!$J$233:$J$9232,TINH_TEC!$H$233:$H$9232,$B227,TINH_TEC!$C$233:$C$9232,"Téc cát nghiền",TINH_TEC!$F$233:$F$9232,$B$2,TINH_TEC!$G$233:$G$9232,$D$2,TINH_TEC!$B$233:$B$9232,"Đã chốt"))</f>
        <v>0</v>
      </c>
      <c r="AL227" s="242">
        <f t="shared" si="11"/>
        <v>0</v>
      </c>
    </row>
    <row r="228" ht="15.75" customHeight="1">
      <c r="A228" s="237">
        <f>IF($B228&lt;&gt;"",40,"")</f>
        <v>40</v>
      </c>
      <c r="B228" s="250" t="str">
        <f t="array" ref="B228">IFERROR(INDEX(DANH_MUC!$E:$E,43),"")</f>
        <v>28H01364</v>
      </c>
      <c r="C228" s="251">
        <f>IF(C$4&gt;DAY(EOMONTH(DATE($D$2,$B$2,1),0)),"",IFERROR(SUMIFS(DATA_GOC!$H:$H,DATA_GOC!$A:$A,"BOM",DATA_GOC!$D:$D,$B228,DATA_GOC!$E:$E,"Téc cát nghiền",DATA_GOC!$F:$F,"Xuất nội bộ từ téc",DATA_GOC!$B:$B,DATE($D$2,$B$2,C$4)),0))</f>
        <v>0</v>
      </c>
      <c r="D228" s="251">
        <f>IF(D$4&gt;DAY(EOMONTH(DATE($D$2,$B$2,1),0)),"",IFERROR(SUMIFS(DATA_GOC!$H:$H,DATA_GOC!$A:$A,"BOM",DATA_GOC!$D:$D,$B228,DATA_GOC!$E:$E,"Téc cát nghiền",DATA_GOC!$F:$F,"Xuất nội bộ từ téc",DATA_GOC!$B:$B,DATE($D$2,$B$2,D$4)),0))</f>
        <v>0</v>
      </c>
      <c r="E228" s="251">
        <f>IF(E$4&gt;DAY(EOMONTH(DATE($D$2,$B$2,1),0)),"",IFERROR(SUMIFS(DATA_GOC!$H:$H,DATA_GOC!$A:$A,"BOM",DATA_GOC!$D:$D,$B228,DATA_GOC!$E:$E,"Téc cát nghiền",DATA_GOC!$F:$F,"Xuất nội bộ từ téc",DATA_GOC!$B:$B,DATE($D$2,$B$2,E$4)),0))</f>
        <v>0</v>
      </c>
      <c r="F228" s="251">
        <f>IF(F$4&gt;DAY(EOMONTH(DATE($D$2,$B$2,1),0)),"",IFERROR(SUMIFS(DATA_GOC!$H:$H,DATA_GOC!$A:$A,"BOM",DATA_GOC!$D:$D,$B228,DATA_GOC!$E:$E,"Téc cát nghiền",DATA_GOC!$F:$F,"Xuất nội bộ từ téc",DATA_GOC!$B:$B,DATE($D$2,$B$2,F$4)),0))</f>
        <v>0</v>
      </c>
      <c r="G228" s="251">
        <f>IF(G$4&gt;DAY(EOMONTH(DATE($D$2,$B$2,1),0)),"",IFERROR(SUMIFS(DATA_GOC!$H:$H,DATA_GOC!$A:$A,"BOM",DATA_GOC!$D:$D,$B228,DATA_GOC!$E:$E,"Téc cát nghiền",DATA_GOC!$F:$F,"Xuất nội bộ từ téc",DATA_GOC!$B:$B,DATE($D$2,$B$2,G$4)),0))</f>
        <v>0</v>
      </c>
      <c r="H228" s="251">
        <f>IF(H$4&gt;DAY(EOMONTH(DATE($D$2,$B$2,1),0)),"",IFERROR(SUMIFS(DATA_GOC!$H:$H,DATA_GOC!$A:$A,"BOM",DATA_GOC!$D:$D,$B228,DATA_GOC!$E:$E,"Téc cát nghiền",DATA_GOC!$F:$F,"Xuất nội bộ từ téc",DATA_GOC!$B:$B,DATE($D$2,$B$2,H$4)),0))</f>
        <v>0</v>
      </c>
      <c r="I228" s="251">
        <f>IF(I$4&gt;DAY(EOMONTH(DATE($D$2,$B$2,1),0)),"",IFERROR(SUMIFS(DATA_GOC!$H:$H,DATA_GOC!$A:$A,"BOM",DATA_GOC!$D:$D,$B228,DATA_GOC!$E:$E,"Téc cát nghiền",DATA_GOC!$F:$F,"Xuất nội bộ từ téc",DATA_GOC!$B:$B,DATE($D$2,$B$2,I$4)),0))</f>
        <v>0</v>
      </c>
      <c r="J228" s="251">
        <f>IF(J$4&gt;DAY(EOMONTH(DATE($D$2,$B$2,1),0)),"",IFERROR(SUMIFS(DATA_GOC!$H:$H,DATA_GOC!$A:$A,"BOM",DATA_GOC!$D:$D,$B228,DATA_GOC!$E:$E,"Téc cát nghiền",DATA_GOC!$F:$F,"Xuất nội bộ từ téc",DATA_GOC!$B:$B,DATE($D$2,$B$2,J$4)),0))</f>
        <v>0</v>
      </c>
      <c r="K228" s="251">
        <f>IF(K$4&gt;DAY(EOMONTH(DATE($D$2,$B$2,1),0)),"",IFERROR(SUMIFS(DATA_GOC!$H:$H,DATA_GOC!$A:$A,"BOM",DATA_GOC!$D:$D,$B228,DATA_GOC!$E:$E,"Téc cát nghiền",DATA_GOC!$F:$F,"Xuất nội bộ từ téc",DATA_GOC!$B:$B,DATE($D$2,$B$2,K$4)),0))</f>
        <v>0</v>
      </c>
      <c r="L228" s="251">
        <f>IF(L$4&gt;DAY(EOMONTH(DATE($D$2,$B$2,1),0)),"",IFERROR(SUMIFS(DATA_GOC!$H:$H,DATA_GOC!$A:$A,"BOM",DATA_GOC!$D:$D,$B228,DATA_GOC!$E:$E,"Téc cát nghiền",DATA_GOC!$F:$F,"Xuất nội bộ từ téc",DATA_GOC!$B:$B,DATE($D$2,$B$2,L$4)),0))</f>
        <v>0</v>
      </c>
      <c r="M228" s="251">
        <f>IF(M$4&gt;DAY(EOMONTH(DATE($D$2,$B$2,1),0)),"",IFERROR(SUMIFS(DATA_GOC!$H:$H,DATA_GOC!$A:$A,"BOM",DATA_GOC!$D:$D,$B228,DATA_GOC!$E:$E,"Téc cát nghiền",DATA_GOC!$F:$F,"Xuất nội bộ từ téc",DATA_GOC!$B:$B,DATE($D$2,$B$2,M$4)),0))</f>
        <v>0</v>
      </c>
      <c r="N228" s="251">
        <f>IF(N$4&gt;DAY(EOMONTH(DATE($D$2,$B$2,1),0)),"",IFERROR(SUMIFS(DATA_GOC!$H:$H,DATA_GOC!$A:$A,"BOM",DATA_GOC!$D:$D,$B228,DATA_GOC!$E:$E,"Téc cát nghiền",DATA_GOC!$F:$F,"Xuất nội bộ từ téc",DATA_GOC!$B:$B,DATE($D$2,$B$2,N$4)),0))</f>
        <v>0</v>
      </c>
      <c r="O228" s="251">
        <f>IF(O$4&gt;DAY(EOMONTH(DATE($D$2,$B$2,1),0)),"",IFERROR(SUMIFS(DATA_GOC!$H:$H,DATA_GOC!$A:$A,"BOM",DATA_GOC!$D:$D,$B228,DATA_GOC!$E:$E,"Téc cát nghiền",DATA_GOC!$F:$F,"Xuất nội bộ từ téc",DATA_GOC!$B:$B,DATE($D$2,$B$2,O$4)),0))</f>
        <v>0</v>
      </c>
      <c r="P228" s="251">
        <f>IF(P$4&gt;DAY(EOMONTH(DATE($D$2,$B$2,1),0)),"",IFERROR(SUMIFS(DATA_GOC!$H:$H,DATA_GOC!$A:$A,"BOM",DATA_GOC!$D:$D,$B228,DATA_GOC!$E:$E,"Téc cát nghiền",DATA_GOC!$F:$F,"Xuất nội bộ từ téc",DATA_GOC!$B:$B,DATE($D$2,$B$2,P$4)),0))</f>
        <v>0</v>
      </c>
      <c r="Q228" s="251">
        <f>IF(Q$4&gt;DAY(EOMONTH(DATE($D$2,$B$2,1),0)),"",IFERROR(SUMIFS(DATA_GOC!$H:$H,DATA_GOC!$A:$A,"BOM",DATA_GOC!$D:$D,$B228,DATA_GOC!$E:$E,"Téc cát nghiền",DATA_GOC!$F:$F,"Xuất nội bộ từ téc",DATA_GOC!$B:$B,DATE($D$2,$B$2,Q$4)),0))</f>
        <v>0</v>
      </c>
      <c r="R228" s="251">
        <f>IF(R$4&gt;DAY(EOMONTH(DATE($D$2,$B$2,1),0)),"",IFERROR(SUMIFS(DATA_GOC!$H:$H,DATA_GOC!$A:$A,"BOM",DATA_GOC!$D:$D,$B228,DATA_GOC!$E:$E,"Téc cát nghiền",DATA_GOC!$F:$F,"Xuất nội bộ từ téc",DATA_GOC!$B:$B,DATE($D$2,$B$2,R$4)),0))</f>
        <v>0</v>
      </c>
      <c r="S228" s="251">
        <f>IF(S$4&gt;DAY(EOMONTH(DATE($D$2,$B$2,1),0)),"",IFERROR(SUMIFS(DATA_GOC!$H:$H,DATA_GOC!$A:$A,"BOM",DATA_GOC!$D:$D,$B228,DATA_GOC!$E:$E,"Téc cát nghiền",DATA_GOC!$F:$F,"Xuất nội bộ từ téc",DATA_GOC!$B:$B,DATE($D$2,$B$2,S$4)),0))</f>
        <v>0</v>
      </c>
      <c r="T228" s="251">
        <f>IF(T$4&gt;DAY(EOMONTH(DATE($D$2,$B$2,1),0)),"",IFERROR(SUMIFS(DATA_GOC!$H:$H,DATA_GOC!$A:$A,"BOM",DATA_GOC!$D:$D,$B228,DATA_GOC!$E:$E,"Téc cát nghiền",DATA_GOC!$F:$F,"Xuất nội bộ từ téc",DATA_GOC!$B:$B,DATE($D$2,$B$2,T$4)),0))</f>
        <v>0</v>
      </c>
      <c r="U228" s="251">
        <f>IF(U$4&gt;DAY(EOMONTH(DATE($D$2,$B$2,1),0)),"",IFERROR(SUMIFS(DATA_GOC!$H:$H,DATA_GOC!$A:$A,"BOM",DATA_GOC!$D:$D,$B228,DATA_GOC!$E:$E,"Téc cát nghiền",DATA_GOC!$F:$F,"Xuất nội bộ từ téc",DATA_GOC!$B:$B,DATE($D$2,$B$2,U$4)),0))</f>
        <v>0</v>
      </c>
      <c r="V228" s="251">
        <f>IF(V$4&gt;DAY(EOMONTH(DATE($D$2,$B$2,1),0)),"",IFERROR(SUMIFS(DATA_GOC!$H:$H,DATA_GOC!$A:$A,"BOM",DATA_GOC!$D:$D,$B228,DATA_GOC!$E:$E,"Téc cát nghiền",DATA_GOC!$F:$F,"Xuất nội bộ từ téc",DATA_GOC!$B:$B,DATE($D$2,$B$2,V$4)),0))</f>
        <v>0</v>
      </c>
      <c r="W228" s="251">
        <f>IF(W$4&gt;DAY(EOMONTH(DATE($D$2,$B$2,1),0)),"",IFERROR(SUMIFS(DATA_GOC!$H:$H,DATA_GOC!$A:$A,"BOM",DATA_GOC!$D:$D,$B228,DATA_GOC!$E:$E,"Téc cát nghiền",DATA_GOC!$F:$F,"Xuất nội bộ từ téc",DATA_GOC!$B:$B,DATE($D$2,$B$2,W$4)),0))</f>
        <v>0</v>
      </c>
      <c r="X228" s="251">
        <f>IF(X$4&gt;DAY(EOMONTH(DATE($D$2,$B$2,1),0)),"",IFERROR(SUMIFS(DATA_GOC!$H:$H,DATA_GOC!$A:$A,"BOM",DATA_GOC!$D:$D,$B228,DATA_GOC!$E:$E,"Téc cát nghiền",DATA_GOC!$F:$F,"Xuất nội bộ từ téc",DATA_GOC!$B:$B,DATE($D$2,$B$2,X$4)),0))</f>
        <v>0</v>
      </c>
      <c r="Y228" s="251">
        <f>IF(Y$4&gt;DAY(EOMONTH(DATE($D$2,$B$2,1),0)),"",IFERROR(SUMIFS(DATA_GOC!$H:$H,DATA_GOC!$A:$A,"BOM",DATA_GOC!$D:$D,$B228,DATA_GOC!$E:$E,"Téc cát nghiền",DATA_GOC!$F:$F,"Xuất nội bộ từ téc",DATA_GOC!$B:$B,DATE($D$2,$B$2,Y$4)),0))</f>
        <v>0</v>
      </c>
      <c r="Z228" s="251">
        <f>IF(Z$4&gt;DAY(EOMONTH(DATE($D$2,$B$2,1),0)),"",IFERROR(SUMIFS(DATA_GOC!$H:$H,DATA_GOC!$A:$A,"BOM",DATA_GOC!$D:$D,$B228,DATA_GOC!$E:$E,"Téc cát nghiền",DATA_GOC!$F:$F,"Xuất nội bộ từ téc",DATA_GOC!$B:$B,DATE($D$2,$B$2,Z$4)),0))</f>
        <v>0</v>
      </c>
      <c r="AA228" s="251">
        <f>IF(AA$4&gt;DAY(EOMONTH(DATE($D$2,$B$2,1),0)),"",IFERROR(SUMIFS(DATA_GOC!$H:$H,DATA_GOC!$A:$A,"BOM",DATA_GOC!$D:$D,$B228,DATA_GOC!$E:$E,"Téc cát nghiền",DATA_GOC!$F:$F,"Xuất nội bộ từ téc",DATA_GOC!$B:$B,DATE($D$2,$B$2,AA$4)),0))</f>
        <v>0</v>
      </c>
      <c r="AB228" s="251">
        <f>IF(AB$4&gt;DAY(EOMONTH(DATE($D$2,$B$2,1),0)),"",IFERROR(SUMIFS(DATA_GOC!$H:$H,DATA_GOC!$A:$A,"BOM",DATA_GOC!$D:$D,$B228,DATA_GOC!$E:$E,"Téc cát nghiền",DATA_GOC!$F:$F,"Xuất nội bộ từ téc",DATA_GOC!$B:$B,DATE($D$2,$B$2,AB$4)),0))</f>
        <v>0</v>
      </c>
      <c r="AC228" s="251">
        <f>IF(AC$4&gt;DAY(EOMONTH(DATE($D$2,$B$2,1),0)),"",IFERROR(SUMIFS(DATA_GOC!$H:$H,DATA_GOC!$A:$A,"BOM",DATA_GOC!$D:$D,$B228,DATA_GOC!$E:$E,"Téc cát nghiền",DATA_GOC!$F:$F,"Xuất nội bộ từ téc",DATA_GOC!$B:$B,DATE($D$2,$B$2,AC$4)),0))</f>
        <v>0</v>
      </c>
      <c r="AD228" s="251">
        <f>IF(AD$4&gt;DAY(EOMONTH(DATE($D$2,$B$2,1),0)),"",IFERROR(SUMIFS(DATA_GOC!$H:$H,DATA_GOC!$A:$A,"BOM",DATA_GOC!$D:$D,$B228,DATA_GOC!$E:$E,"Téc cát nghiền",DATA_GOC!$F:$F,"Xuất nội bộ từ téc",DATA_GOC!$B:$B,DATE($D$2,$B$2,AD$4)),0))</f>
        <v>0</v>
      </c>
      <c r="AE228" s="251">
        <f>IF(AE$4&gt;DAY(EOMONTH(DATE($D$2,$B$2,1),0)),"",IFERROR(SUMIFS(DATA_GOC!$H:$H,DATA_GOC!$A:$A,"BOM",DATA_GOC!$D:$D,$B228,DATA_GOC!$E:$E,"Téc cát nghiền",DATA_GOC!$F:$F,"Xuất nội bộ từ téc",DATA_GOC!$B:$B,DATE($D$2,$B$2,AE$4)),0))</f>
        <v>0</v>
      </c>
      <c r="AF228" s="251">
        <f>IF(AF$4&gt;DAY(EOMONTH(DATE($D$2,$B$2,1),0)),"",IFERROR(SUMIFS(DATA_GOC!$H:$H,DATA_GOC!$A:$A,"BOM",DATA_GOC!$D:$D,$B228,DATA_GOC!$E:$E,"Téc cát nghiền",DATA_GOC!$F:$F,"Xuất nội bộ từ téc",DATA_GOC!$B:$B,DATE($D$2,$B$2,AF$4)),0))</f>
        <v>0</v>
      </c>
      <c r="AG228" s="251">
        <f>IF(AG$4&gt;DAY(EOMONTH(DATE($D$2,$B$2,1),0)),"",IFERROR(SUMIFS(DATA_GOC!$H:$H,DATA_GOC!$A:$A,"BOM",DATA_GOC!$D:$D,$B228,DATA_GOC!$E:$E,"Téc cát nghiền",DATA_GOC!$F:$F,"Xuất nội bộ từ téc",DATA_GOC!$B:$B,DATE($D$2,$B$2,AG$4)),0))</f>
        <v>0</v>
      </c>
      <c r="AH228" s="252">
        <f t="shared" si="10"/>
        <v>0</v>
      </c>
      <c r="AI228" s="241"/>
      <c r="AJ228" s="242">
        <f>IF($B228="","",SUMIFS(TINH_TEC!$K$233:$K$9232,TINH_TEC!$H$233:$H$9232,$B228,TINH_TEC!$C$233:$C$9232,"Téc cát nghiền",TINH_TEC!$F$233:$F$9232,$B$2,TINH_TEC!$G$233:$G$9232,$D$2,TINH_TEC!$B$233:$B$9232,"Đã chốt"))</f>
        <v>0</v>
      </c>
      <c r="AK228" s="242">
        <f>IF($B228="","",SUMIFS(TINH_TEC!$J$233:$J$9232,TINH_TEC!$H$233:$H$9232,$B228,TINH_TEC!$C$233:$C$9232,"Téc cát nghiền",TINH_TEC!$F$233:$F$9232,$B$2,TINH_TEC!$G$233:$G$9232,$D$2,TINH_TEC!$B$233:$B$9232,"Đã chốt"))</f>
        <v>0</v>
      </c>
      <c r="AL228" s="242">
        <f t="shared" si="11"/>
        <v>0</v>
      </c>
    </row>
    <row r="229" ht="15.75" customHeight="1">
      <c r="A229" s="237">
        <f>IF($B229&lt;&gt;"",41,"")</f>
        <v>41</v>
      </c>
      <c r="B229" s="250" t="str">
        <f t="array" ref="B229">IFERROR(INDEX(DANH_MUC!$E:$E,44),"")</f>
        <v>29E17269</v>
      </c>
      <c r="C229" s="251">
        <f>IF(C$4&gt;DAY(EOMONTH(DATE($D$2,$B$2,1),0)),"",IFERROR(SUMIFS(DATA_GOC!$H:$H,DATA_GOC!$A:$A,"BOM",DATA_GOC!$D:$D,$B229,DATA_GOC!$E:$E,"Téc cát nghiền",DATA_GOC!$F:$F,"Xuất nội bộ từ téc",DATA_GOC!$B:$B,DATE($D$2,$B$2,C$4)),0))</f>
        <v>0</v>
      </c>
      <c r="D229" s="251">
        <f>IF(D$4&gt;DAY(EOMONTH(DATE($D$2,$B$2,1),0)),"",IFERROR(SUMIFS(DATA_GOC!$H:$H,DATA_GOC!$A:$A,"BOM",DATA_GOC!$D:$D,$B229,DATA_GOC!$E:$E,"Téc cát nghiền",DATA_GOC!$F:$F,"Xuất nội bộ từ téc",DATA_GOC!$B:$B,DATE($D$2,$B$2,D$4)),0))</f>
        <v>0</v>
      </c>
      <c r="E229" s="251">
        <f>IF(E$4&gt;DAY(EOMONTH(DATE($D$2,$B$2,1),0)),"",IFERROR(SUMIFS(DATA_GOC!$H:$H,DATA_GOC!$A:$A,"BOM",DATA_GOC!$D:$D,$B229,DATA_GOC!$E:$E,"Téc cát nghiền",DATA_GOC!$F:$F,"Xuất nội bộ từ téc",DATA_GOC!$B:$B,DATE($D$2,$B$2,E$4)),0))</f>
        <v>0</v>
      </c>
      <c r="F229" s="251">
        <f>IF(F$4&gt;DAY(EOMONTH(DATE($D$2,$B$2,1),0)),"",IFERROR(SUMIFS(DATA_GOC!$H:$H,DATA_GOC!$A:$A,"BOM",DATA_GOC!$D:$D,$B229,DATA_GOC!$E:$E,"Téc cát nghiền",DATA_GOC!$F:$F,"Xuất nội bộ từ téc",DATA_GOC!$B:$B,DATE($D$2,$B$2,F$4)),0))</f>
        <v>0</v>
      </c>
      <c r="G229" s="251">
        <f>IF(G$4&gt;DAY(EOMONTH(DATE($D$2,$B$2,1),0)),"",IFERROR(SUMIFS(DATA_GOC!$H:$H,DATA_GOC!$A:$A,"BOM",DATA_GOC!$D:$D,$B229,DATA_GOC!$E:$E,"Téc cát nghiền",DATA_GOC!$F:$F,"Xuất nội bộ từ téc",DATA_GOC!$B:$B,DATE($D$2,$B$2,G$4)),0))</f>
        <v>0</v>
      </c>
      <c r="H229" s="251">
        <f>IF(H$4&gt;DAY(EOMONTH(DATE($D$2,$B$2,1),0)),"",IFERROR(SUMIFS(DATA_GOC!$H:$H,DATA_GOC!$A:$A,"BOM",DATA_GOC!$D:$D,$B229,DATA_GOC!$E:$E,"Téc cát nghiền",DATA_GOC!$F:$F,"Xuất nội bộ từ téc",DATA_GOC!$B:$B,DATE($D$2,$B$2,H$4)),0))</f>
        <v>0</v>
      </c>
      <c r="I229" s="251">
        <f>IF(I$4&gt;DAY(EOMONTH(DATE($D$2,$B$2,1),0)),"",IFERROR(SUMIFS(DATA_GOC!$H:$H,DATA_GOC!$A:$A,"BOM",DATA_GOC!$D:$D,$B229,DATA_GOC!$E:$E,"Téc cát nghiền",DATA_GOC!$F:$F,"Xuất nội bộ từ téc",DATA_GOC!$B:$B,DATE($D$2,$B$2,I$4)),0))</f>
        <v>0</v>
      </c>
      <c r="J229" s="251">
        <f>IF(J$4&gt;DAY(EOMONTH(DATE($D$2,$B$2,1),0)),"",IFERROR(SUMIFS(DATA_GOC!$H:$H,DATA_GOC!$A:$A,"BOM",DATA_GOC!$D:$D,$B229,DATA_GOC!$E:$E,"Téc cát nghiền",DATA_GOC!$F:$F,"Xuất nội bộ từ téc",DATA_GOC!$B:$B,DATE($D$2,$B$2,J$4)),0))</f>
        <v>0</v>
      </c>
      <c r="K229" s="251">
        <f>IF(K$4&gt;DAY(EOMONTH(DATE($D$2,$B$2,1),0)),"",IFERROR(SUMIFS(DATA_GOC!$H:$H,DATA_GOC!$A:$A,"BOM",DATA_GOC!$D:$D,$B229,DATA_GOC!$E:$E,"Téc cát nghiền",DATA_GOC!$F:$F,"Xuất nội bộ từ téc",DATA_GOC!$B:$B,DATE($D$2,$B$2,K$4)),0))</f>
        <v>0</v>
      </c>
      <c r="L229" s="251">
        <f>IF(L$4&gt;DAY(EOMONTH(DATE($D$2,$B$2,1),0)),"",IFERROR(SUMIFS(DATA_GOC!$H:$H,DATA_GOC!$A:$A,"BOM",DATA_GOC!$D:$D,$B229,DATA_GOC!$E:$E,"Téc cát nghiền",DATA_GOC!$F:$F,"Xuất nội bộ từ téc",DATA_GOC!$B:$B,DATE($D$2,$B$2,L$4)),0))</f>
        <v>0</v>
      </c>
      <c r="M229" s="251">
        <f>IF(M$4&gt;DAY(EOMONTH(DATE($D$2,$B$2,1),0)),"",IFERROR(SUMIFS(DATA_GOC!$H:$H,DATA_GOC!$A:$A,"BOM",DATA_GOC!$D:$D,$B229,DATA_GOC!$E:$E,"Téc cát nghiền",DATA_GOC!$F:$F,"Xuất nội bộ từ téc",DATA_GOC!$B:$B,DATE($D$2,$B$2,M$4)),0))</f>
        <v>0</v>
      </c>
      <c r="N229" s="251">
        <f>IF(N$4&gt;DAY(EOMONTH(DATE($D$2,$B$2,1),0)),"",IFERROR(SUMIFS(DATA_GOC!$H:$H,DATA_GOC!$A:$A,"BOM",DATA_GOC!$D:$D,$B229,DATA_GOC!$E:$E,"Téc cát nghiền",DATA_GOC!$F:$F,"Xuất nội bộ từ téc",DATA_GOC!$B:$B,DATE($D$2,$B$2,N$4)),0))</f>
        <v>0</v>
      </c>
      <c r="O229" s="251">
        <f>IF(O$4&gt;DAY(EOMONTH(DATE($D$2,$B$2,1),0)),"",IFERROR(SUMIFS(DATA_GOC!$H:$H,DATA_GOC!$A:$A,"BOM",DATA_GOC!$D:$D,$B229,DATA_GOC!$E:$E,"Téc cát nghiền",DATA_GOC!$F:$F,"Xuất nội bộ từ téc",DATA_GOC!$B:$B,DATE($D$2,$B$2,O$4)),0))</f>
        <v>0</v>
      </c>
      <c r="P229" s="251">
        <f>IF(P$4&gt;DAY(EOMONTH(DATE($D$2,$B$2,1),0)),"",IFERROR(SUMIFS(DATA_GOC!$H:$H,DATA_GOC!$A:$A,"BOM",DATA_GOC!$D:$D,$B229,DATA_GOC!$E:$E,"Téc cát nghiền",DATA_GOC!$F:$F,"Xuất nội bộ từ téc",DATA_GOC!$B:$B,DATE($D$2,$B$2,P$4)),0))</f>
        <v>0</v>
      </c>
      <c r="Q229" s="251">
        <f>IF(Q$4&gt;DAY(EOMONTH(DATE($D$2,$B$2,1),0)),"",IFERROR(SUMIFS(DATA_GOC!$H:$H,DATA_GOC!$A:$A,"BOM",DATA_GOC!$D:$D,$B229,DATA_GOC!$E:$E,"Téc cát nghiền",DATA_GOC!$F:$F,"Xuất nội bộ từ téc",DATA_GOC!$B:$B,DATE($D$2,$B$2,Q$4)),0))</f>
        <v>0</v>
      </c>
      <c r="R229" s="251">
        <f>IF(R$4&gt;DAY(EOMONTH(DATE($D$2,$B$2,1),0)),"",IFERROR(SUMIFS(DATA_GOC!$H:$H,DATA_GOC!$A:$A,"BOM",DATA_GOC!$D:$D,$B229,DATA_GOC!$E:$E,"Téc cát nghiền",DATA_GOC!$F:$F,"Xuất nội bộ từ téc",DATA_GOC!$B:$B,DATE($D$2,$B$2,R$4)),0))</f>
        <v>0</v>
      </c>
      <c r="S229" s="251">
        <f>IF(S$4&gt;DAY(EOMONTH(DATE($D$2,$B$2,1),0)),"",IFERROR(SUMIFS(DATA_GOC!$H:$H,DATA_GOC!$A:$A,"BOM",DATA_GOC!$D:$D,$B229,DATA_GOC!$E:$E,"Téc cát nghiền",DATA_GOC!$F:$F,"Xuất nội bộ từ téc",DATA_GOC!$B:$B,DATE($D$2,$B$2,S$4)),0))</f>
        <v>0</v>
      </c>
      <c r="T229" s="251">
        <f>IF(T$4&gt;DAY(EOMONTH(DATE($D$2,$B$2,1),0)),"",IFERROR(SUMIFS(DATA_GOC!$H:$H,DATA_GOC!$A:$A,"BOM",DATA_GOC!$D:$D,$B229,DATA_GOC!$E:$E,"Téc cát nghiền",DATA_GOC!$F:$F,"Xuất nội bộ từ téc",DATA_GOC!$B:$B,DATE($D$2,$B$2,T$4)),0))</f>
        <v>0</v>
      </c>
      <c r="U229" s="251">
        <f>IF(U$4&gt;DAY(EOMONTH(DATE($D$2,$B$2,1),0)),"",IFERROR(SUMIFS(DATA_GOC!$H:$H,DATA_GOC!$A:$A,"BOM",DATA_GOC!$D:$D,$B229,DATA_GOC!$E:$E,"Téc cát nghiền",DATA_GOC!$F:$F,"Xuất nội bộ từ téc",DATA_GOC!$B:$B,DATE($D$2,$B$2,U$4)),0))</f>
        <v>0</v>
      </c>
      <c r="V229" s="251">
        <f>IF(V$4&gt;DAY(EOMONTH(DATE($D$2,$B$2,1),0)),"",IFERROR(SUMIFS(DATA_GOC!$H:$H,DATA_GOC!$A:$A,"BOM",DATA_GOC!$D:$D,$B229,DATA_GOC!$E:$E,"Téc cát nghiền",DATA_GOC!$F:$F,"Xuất nội bộ từ téc",DATA_GOC!$B:$B,DATE($D$2,$B$2,V$4)),0))</f>
        <v>0</v>
      </c>
      <c r="W229" s="251">
        <f>IF(W$4&gt;DAY(EOMONTH(DATE($D$2,$B$2,1),0)),"",IFERROR(SUMIFS(DATA_GOC!$H:$H,DATA_GOC!$A:$A,"BOM",DATA_GOC!$D:$D,$B229,DATA_GOC!$E:$E,"Téc cát nghiền",DATA_GOC!$F:$F,"Xuất nội bộ từ téc",DATA_GOC!$B:$B,DATE($D$2,$B$2,W$4)),0))</f>
        <v>0</v>
      </c>
      <c r="X229" s="251">
        <f>IF(X$4&gt;DAY(EOMONTH(DATE($D$2,$B$2,1),0)),"",IFERROR(SUMIFS(DATA_GOC!$H:$H,DATA_GOC!$A:$A,"BOM",DATA_GOC!$D:$D,$B229,DATA_GOC!$E:$E,"Téc cát nghiền",DATA_GOC!$F:$F,"Xuất nội bộ từ téc",DATA_GOC!$B:$B,DATE($D$2,$B$2,X$4)),0))</f>
        <v>0</v>
      </c>
      <c r="Y229" s="251">
        <f>IF(Y$4&gt;DAY(EOMONTH(DATE($D$2,$B$2,1),0)),"",IFERROR(SUMIFS(DATA_GOC!$H:$H,DATA_GOC!$A:$A,"BOM",DATA_GOC!$D:$D,$B229,DATA_GOC!$E:$E,"Téc cát nghiền",DATA_GOC!$F:$F,"Xuất nội bộ từ téc",DATA_GOC!$B:$B,DATE($D$2,$B$2,Y$4)),0))</f>
        <v>0</v>
      </c>
      <c r="Z229" s="251">
        <f>IF(Z$4&gt;DAY(EOMONTH(DATE($D$2,$B$2,1),0)),"",IFERROR(SUMIFS(DATA_GOC!$H:$H,DATA_GOC!$A:$A,"BOM",DATA_GOC!$D:$D,$B229,DATA_GOC!$E:$E,"Téc cát nghiền",DATA_GOC!$F:$F,"Xuất nội bộ từ téc",DATA_GOC!$B:$B,DATE($D$2,$B$2,Z$4)),0))</f>
        <v>0</v>
      </c>
      <c r="AA229" s="251">
        <f>IF(AA$4&gt;DAY(EOMONTH(DATE($D$2,$B$2,1),0)),"",IFERROR(SUMIFS(DATA_GOC!$H:$H,DATA_GOC!$A:$A,"BOM",DATA_GOC!$D:$D,$B229,DATA_GOC!$E:$E,"Téc cát nghiền",DATA_GOC!$F:$F,"Xuất nội bộ từ téc",DATA_GOC!$B:$B,DATE($D$2,$B$2,AA$4)),0))</f>
        <v>0</v>
      </c>
      <c r="AB229" s="251">
        <f>IF(AB$4&gt;DAY(EOMONTH(DATE($D$2,$B$2,1),0)),"",IFERROR(SUMIFS(DATA_GOC!$H:$H,DATA_GOC!$A:$A,"BOM",DATA_GOC!$D:$D,$B229,DATA_GOC!$E:$E,"Téc cát nghiền",DATA_GOC!$F:$F,"Xuất nội bộ từ téc",DATA_GOC!$B:$B,DATE($D$2,$B$2,AB$4)),0))</f>
        <v>0</v>
      </c>
      <c r="AC229" s="251">
        <f>IF(AC$4&gt;DAY(EOMONTH(DATE($D$2,$B$2,1),0)),"",IFERROR(SUMIFS(DATA_GOC!$H:$H,DATA_GOC!$A:$A,"BOM",DATA_GOC!$D:$D,$B229,DATA_GOC!$E:$E,"Téc cát nghiền",DATA_GOC!$F:$F,"Xuất nội bộ từ téc",DATA_GOC!$B:$B,DATE($D$2,$B$2,AC$4)),0))</f>
        <v>0</v>
      </c>
      <c r="AD229" s="251">
        <f>IF(AD$4&gt;DAY(EOMONTH(DATE($D$2,$B$2,1),0)),"",IFERROR(SUMIFS(DATA_GOC!$H:$H,DATA_GOC!$A:$A,"BOM",DATA_GOC!$D:$D,$B229,DATA_GOC!$E:$E,"Téc cát nghiền",DATA_GOC!$F:$F,"Xuất nội bộ từ téc",DATA_GOC!$B:$B,DATE($D$2,$B$2,AD$4)),0))</f>
        <v>0</v>
      </c>
      <c r="AE229" s="251">
        <f>IF(AE$4&gt;DAY(EOMONTH(DATE($D$2,$B$2,1),0)),"",IFERROR(SUMIFS(DATA_GOC!$H:$H,DATA_GOC!$A:$A,"BOM",DATA_GOC!$D:$D,$B229,DATA_GOC!$E:$E,"Téc cát nghiền",DATA_GOC!$F:$F,"Xuất nội bộ từ téc",DATA_GOC!$B:$B,DATE($D$2,$B$2,AE$4)),0))</f>
        <v>0</v>
      </c>
      <c r="AF229" s="251">
        <f>IF(AF$4&gt;DAY(EOMONTH(DATE($D$2,$B$2,1),0)),"",IFERROR(SUMIFS(DATA_GOC!$H:$H,DATA_GOC!$A:$A,"BOM",DATA_GOC!$D:$D,$B229,DATA_GOC!$E:$E,"Téc cát nghiền",DATA_GOC!$F:$F,"Xuất nội bộ từ téc",DATA_GOC!$B:$B,DATE($D$2,$B$2,AF$4)),0))</f>
        <v>0</v>
      </c>
      <c r="AG229" s="251">
        <f>IF(AG$4&gt;DAY(EOMONTH(DATE($D$2,$B$2,1),0)),"",IFERROR(SUMIFS(DATA_GOC!$H:$H,DATA_GOC!$A:$A,"BOM",DATA_GOC!$D:$D,$B229,DATA_GOC!$E:$E,"Téc cát nghiền",DATA_GOC!$F:$F,"Xuất nội bộ từ téc",DATA_GOC!$B:$B,DATE($D$2,$B$2,AG$4)),0))</f>
        <v>0</v>
      </c>
      <c r="AH229" s="252">
        <f t="shared" si="10"/>
        <v>0</v>
      </c>
      <c r="AI229" s="241"/>
      <c r="AJ229" s="242">
        <f>IF($B229="","",SUMIFS(TINH_TEC!$K$233:$K$9232,TINH_TEC!$H$233:$H$9232,$B229,TINH_TEC!$C$233:$C$9232,"Téc cát nghiền",TINH_TEC!$F$233:$F$9232,$B$2,TINH_TEC!$G$233:$G$9232,$D$2,TINH_TEC!$B$233:$B$9232,"Đã chốt"))</f>
        <v>0</v>
      </c>
      <c r="AK229" s="242">
        <f>IF($B229="","",SUMIFS(TINH_TEC!$J$233:$J$9232,TINH_TEC!$H$233:$H$9232,$B229,TINH_TEC!$C$233:$C$9232,"Téc cát nghiền",TINH_TEC!$F$233:$F$9232,$B$2,TINH_TEC!$G$233:$G$9232,$D$2,TINH_TEC!$B$233:$B$9232,"Đã chốt"))</f>
        <v>0</v>
      </c>
      <c r="AL229" s="242">
        <f t="shared" si="11"/>
        <v>0</v>
      </c>
    </row>
    <row r="230" ht="15.75" customHeight="1">
      <c r="A230" s="237">
        <f>IF($B230&lt;&gt;"",42,"")</f>
        <v>42</v>
      </c>
      <c r="B230" s="250" t="str">
        <f t="array" ref="B230">IFERROR(INDEX(DANH_MUC!$E:$E,45),"")</f>
        <v>29E17273</v>
      </c>
      <c r="C230" s="251">
        <f>IF(C$4&gt;DAY(EOMONTH(DATE($D$2,$B$2,1),0)),"",IFERROR(SUMIFS(DATA_GOC!$H:$H,DATA_GOC!$A:$A,"BOM",DATA_GOC!$D:$D,$B230,DATA_GOC!$E:$E,"Téc cát nghiền",DATA_GOC!$F:$F,"Xuất nội bộ từ téc",DATA_GOC!$B:$B,DATE($D$2,$B$2,C$4)),0))</f>
        <v>0</v>
      </c>
      <c r="D230" s="251">
        <f>IF(D$4&gt;DAY(EOMONTH(DATE($D$2,$B$2,1),0)),"",IFERROR(SUMIFS(DATA_GOC!$H:$H,DATA_GOC!$A:$A,"BOM",DATA_GOC!$D:$D,$B230,DATA_GOC!$E:$E,"Téc cát nghiền",DATA_GOC!$F:$F,"Xuất nội bộ từ téc",DATA_GOC!$B:$B,DATE($D$2,$B$2,D$4)),0))</f>
        <v>0</v>
      </c>
      <c r="E230" s="251">
        <f>IF(E$4&gt;DAY(EOMONTH(DATE($D$2,$B$2,1),0)),"",IFERROR(SUMIFS(DATA_GOC!$H:$H,DATA_GOC!$A:$A,"BOM",DATA_GOC!$D:$D,$B230,DATA_GOC!$E:$E,"Téc cát nghiền",DATA_GOC!$F:$F,"Xuất nội bộ từ téc",DATA_GOC!$B:$B,DATE($D$2,$B$2,E$4)),0))</f>
        <v>0</v>
      </c>
      <c r="F230" s="251">
        <f>IF(F$4&gt;DAY(EOMONTH(DATE($D$2,$B$2,1),0)),"",IFERROR(SUMIFS(DATA_GOC!$H:$H,DATA_GOC!$A:$A,"BOM",DATA_GOC!$D:$D,$B230,DATA_GOC!$E:$E,"Téc cát nghiền",DATA_GOC!$F:$F,"Xuất nội bộ từ téc",DATA_GOC!$B:$B,DATE($D$2,$B$2,F$4)),0))</f>
        <v>0</v>
      </c>
      <c r="G230" s="251">
        <f>IF(G$4&gt;DAY(EOMONTH(DATE($D$2,$B$2,1),0)),"",IFERROR(SUMIFS(DATA_GOC!$H:$H,DATA_GOC!$A:$A,"BOM",DATA_GOC!$D:$D,$B230,DATA_GOC!$E:$E,"Téc cát nghiền",DATA_GOC!$F:$F,"Xuất nội bộ từ téc",DATA_GOC!$B:$B,DATE($D$2,$B$2,G$4)),0))</f>
        <v>0</v>
      </c>
      <c r="H230" s="251">
        <f>IF(H$4&gt;DAY(EOMONTH(DATE($D$2,$B$2,1),0)),"",IFERROR(SUMIFS(DATA_GOC!$H:$H,DATA_GOC!$A:$A,"BOM",DATA_GOC!$D:$D,$B230,DATA_GOC!$E:$E,"Téc cát nghiền",DATA_GOC!$F:$F,"Xuất nội bộ từ téc",DATA_GOC!$B:$B,DATE($D$2,$B$2,H$4)),0))</f>
        <v>0</v>
      </c>
      <c r="I230" s="251">
        <f>IF(I$4&gt;DAY(EOMONTH(DATE($D$2,$B$2,1),0)),"",IFERROR(SUMIFS(DATA_GOC!$H:$H,DATA_GOC!$A:$A,"BOM",DATA_GOC!$D:$D,$B230,DATA_GOC!$E:$E,"Téc cát nghiền",DATA_GOC!$F:$F,"Xuất nội bộ từ téc",DATA_GOC!$B:$B,DATE($D$2,$B$2,I$4)),0))</f>
        <v>0</v>
      </c>
      <c r="J230" s="251">
        <f>IF(J$4&gt;DAY(EOMONTH(DATE($D$2,$B$2,1),0)),"",IFERROR(SUMIFS(DATA_GOC!$H:$H,DATA_GOC!$A:$A,"BOM",DATA_GOC!$D:$D,$B230,DATA_GOC!$E:$E,"Téc cát nghiền",DATA_GOC!$F:$F,"Xuất nội bộ từ téc",DATA_GOC!$B:$B,DATE($D$2,$B$2,J$4)),0))</f>
        <v>0</v>
      </c>
      <c r="K230" s="251">
        <f>IF(K$4&gt;DAY(EOMONTH(DATE($D$2,$B$2,1),0)),"",IFERROR(SUMIFS(DATA_GOC!$H:$H,DATA_GOC!$A:$A,"BOM",DATA_GOC!$D:$D,$B230,DATA_GOC!$E:$E,"Téc cát nghiền",DATA_GOC!$F:$F,"Xuất nội bộ từ téc",DATA_GOC!$B:$B,DATE($D$2,$B$2,K$4)),0))</f>
        <v>0</v>
      </c>
      <c r="L230" s="251">
        <f>IF(L$4&gt;DAY(EOMONTH(DATE($D$2,$B$2,1),0)),"",IFERROR(SUMIFS(DATA_GOC!$H:$H,DATA_GOC!$A:$A,"BOM",DATA_GOC!$D:$D,$B230,DATA_GOC!$E:$E,"Téc cát nghiền",DATA_GOC!$F:$F,"Xuất nội bộ từ téc",DATA_GOC!$B:$B,DATE($D$2,$B$2,L$4)),0))</f>
        <v>0</v>
      </c>
      <c r="M230" s="251">
        <f>IF(M$4&gt;DAY(EOMONTH(DATE($D$2,$B$2,1),0)),"",IFERROR(SUMIFS(DATA_GOC!$H:$H,DATA_GOC!$A:$A,"BOM",DATA_GOC!$D:$D,$B230,DATA_GOC!$E:$E,"Téc cát nghiền",DATA_GOC!$F:$F,"Xuất nội bộ từ téc",DATA_GOC!$B:$B,DATE($D$2,$B$2,M$4)),0))</f>
        <v>0</v>
      </c>
      <c r="N230" s="251">
        <f>IF(N$4&gt;DAY(EOMONTH(DATE($D$2,$B$2,1),0)),"",IFERROR(SUMIFS(DATA_GOC!$H:$H,DATA_GOC!$A:$A,"BOM",DATA_GOC!$D:$D,$B230,DATA_GOC!$E:$E,"Téc cát nghiền",DATA_GOC!$F:$F,"Xuất nội bộ từ téc",DATA_GOC!$B:$B,DATE($D$2,$B$2,N$4)),0))</f>
        <v>0</v>
      </c>
      <c r="O230" s="251">
        <f>IF(O$4&gt;DAY(EOMONTH(DATE($D$2,$B$2,1),0)),"",IFERROR(SUMIFS(DATA_GOC!$H:$H,DATA_GOC!$A:$A,"BOM",DATA_GOC!$D:$D,$B230,DATA_GOC!$E:$E,"Téc cát nghiền",DATA_GOC!$F:$F,"Xuất nội bộ từ téc",DATA_GOC!$B:$B,DATE($D$2,$B$2,O$4)),0))</f>
        <v>0</v>
      </c>
      <c r="P230" s="251">
        <f>IF(P$4&gt;DAY(EOMONTH(DATE($D$2,$B$2,1),0)),"",IFERROR(SUMIFS(DATA_GOC!$H:$H,DATA_GOC!$A:$A,"BOM",DATA_GOC!$D:$D,$B230,DATA_GOC!$E:$E,"Téc cát nghiền",DATA_GOC!$F:$F,"Xuất nội bộ từ téc",DATA_GOC!$B:$B,DATE($D$2,$B$2,P$4)),0))</f>
        <v>0</v>
      </c>
      <c r="Q230" s="251">
        <f>IF(Q$4&gt;DAY(EOMONTH(DATE($D$2,$B$2,1),0)),"",IFERROR(SUMIFS(DATA_GOC!$H:$H,DATA_GOC!$A:$A,"BOM",DATA_GOC!$D:$D,$B230,DATA_GOC!$E:$E,"Téc cát nghiền",DATA_GOC!$F:$F,"Xuất nội bộ từ téc",DATA_GOC!$B:$B,DATE($D$2,$B$2,Q$4)),0))</f>
        <v>0</v>
      </c>
      <c r="R230" s="251">
        <f>IF(R$4&gt;DAY(EOMONTH(DATE($D$2,$B$2,1),0)),"",IFERROR(SUMIFS(DATA_GOC!$H:$H,DATA_GOC!$A:$A,"BOM",DATA_GOC!$D:$D,$B230,DATA_GOC!$E:$E,"Téc cát nghiền",DATA_GOC!$F:$F,"Xuất nội bộ từ téc",DATA_GOC!$B:$B,DATE($D$2,$B$2,R$4)),0))</f>
        <v>0</v>
      </c>
      <c r="S230" s="251">
        <f>IF(S$4&gt;DAY(EOMONTH(DATE($D$2,$B$2,1),0)),"",IFERROR(SUMIFS(DATA_GOC!$H:$H,DATA_GOC!$A:$A,"BOM",DATA_GOC!$D:$D,$B230,DATA_GOC!$E:$E,"Téc cát nghiền",DATA_GOC!$F:$F,"Xuất nội bộ từ téc",DATA_GOC!$B:$B,DATE($D$2,$B$2,S$4)),0))</f>
        <v>0</v>
      </c>
      <c r="T230" s="251">
        <f>IF(T$4&gt;DAY(EOMONTH(DATE($D$2,$B$2,1),0)),"",IFERROR(SUMIFS(DATA_GOC!$H:$H,DATA_GOC!$A:$A,"BOM",DATA_GOC!$D:$D,$B230,DATA_GOC!$E:$E,"Téc cát nghiền",DATA_GOC!$F:$F,"Xuất nội bộ từ téc",DATA_GOC!$B:$B,DATE($D$2,$B$2,T$4)),0))</f>
        <v>0</v>
      </c>
      <c r="U230" s="251">
        <f>IF(U$4&gt;DAY(EOMONTH(DATE($D$2,$B$2,1),0)),"",IFERROR(SUMIFS(DATA_GOC!$H:$H,DATA_GOC!$A:$A,"BOM",DATA_GOC!$D:$D,$B230,DATA_GOC!$E:$E,"Téc cát nghiền",DATA_GOC!$F:$F,"Xuất nội bộ từ téc",DATA_GOC!$B:$B,DATE($D$2,$B$2,U$4)),0))</f>
        <v>0</v>
      </c>
      <c r="V230" s="251">
        <f>IF(V$4&gt;DAY(EOMONTH(DATE($D$2,$B$2,1),0)),"",IFERROR(SUMIFS(DATA_GOC!$H:$H,DATA_GOC!$A:$A,"BOM",DATA_GOC!$D:$D,$B230,DATA_GOC!$E:$E,"Téc cát nghiền",DATA_GOC!$F:$F,"Xuất nội bộ từ téc",DATA_GOC!$B:$B,DATE($D$2,$B$2,V$4)),0))</f>
        <v>0</v>
      </c>
      <c r="W230" s="251">
        <f>IF(W$4&gt;DAY(EOMONTH(DATE($D$2,$B$2,1),0)),"",IFERROR(SUMIFS(DATA_GOC!$H:$H,DATA_GOC!$A:$A,"BOM",DATA_GOC!$D:$D,$B230,DATA_GOC!$E:$E,"Téc cát nghiền",DATA_GOC!$F:$F,"Xuất nội bộ từ téc",DATA_GOC!$B:$B,DATE($D$2,$B$2,W$4)),0))</f>
        <v>0</v>
      </c>
      <c r="X230" s="251">
        <f>IF(X$4&gt;DAY(EOMONTH(DATE($D$2,$B$2,1),0)),"",IFERROR(SUMIFS(DATA_GOC!$H:$H,DATA_GOC!$A:$A,"BOM",DATA_GOC!$D:$D,$B230,DATA_GOC!$E:$E,"Téc cát nghiền",DATA_GOC!$F:$F,"Xuất nội bộ từ téc",DATA_GOC!$B:$B,DATE($D$2,$B$2,X$4)),0))</f>
        <v>0</v>
      </c>
      <c r="Y230" s="251">
        <f>IF(Y$4&gt;DAY(EOMONTH(DATE($D$2,$B$2,1),0)),"",IFERROR(SUMIFS(DATA_GOC!$H:$H,DATA_GOC!$A:$A,"BOM",DATA_GOC!$D:$D,$B230,DATA_GOC!$E:$E,"Téc cát nghiền",DATA_GOC!$F:$F,"Xuất nội bộ từ téc",DATA_GOC!$B:$B,DATE($D$2,$B$2,Y$4)),0))</f>
        <v>0</v>
      </c>
      <c r="Z230" s="251">
        <f>IF(Z$4&gt;DAY(EOMONTH(DATE($D$2,$B$2,1),0)),"",IFERROR(SUMIFS(DATA_GOC!$H:$H,DATA_GOC!$A:$A,"BOM",DATA_GOC!$D:$D,$B230,DATA_GOC!$E:$E,"Téc cát nghiền",DATA_GOC!$F:$F,"Xuất nội bộ từ téc",DATA_GOC!$B:$B,DATE($D$2,$B$2,Z$4)),0))</f>
        <v>0</v>
      </c>
      <c r="AA230" s="251">
        <f>IF(AA$4&gt;DAY(EOMONTH(DATE($D$2,$B$2,1),0)),"",IFERROR(SUMIFS(DATA_GOC!$H:$H,DATA_GOC!$A:$A,"BOM",DATA_GOC!$D:$D,$B230,DATA_GOC!$E:$E,"Téc cát nghiền",DATA_GOC!$F:$F,"Xuất nội bộ từ téc",DATA_GOC!$B:$B,DATE($D$2,$B$2,AA$4)),0))</f>
        <v>0</v>
      </c>
      <c r="AB230" s="251">
        <f>IF(AB$4&gt;DAY(EOMONTH(DATE($D$2,$B$2,1),0)),"",IFERROR(SUMIFS(DATA_GOC!$H:$H,DATA_GOC!$A:$A,"BOM",DATA_GOC!$D:$D,$B230,DATA_GOC!$E:$E,"Téc cát nghiền",DATA_GOC!$F:$F,"Xuất nội bộ từ téc",DATA_GOC!$B:$B,DATE($D$2,$B$2,AB$4)),0))</f>
        <v>0</v>
      </c>
      <c r="AC230" s="251">
        <f>IF(AC$4&gt;DAY(EOMONTH(DATE($D$2,$B$2,1),0)),"",IFERROR(SUMIFS(DATA_GOC!$H:$H,DATA_GOC!$A:$A,"BOM",DATA_GOC!$D:$D,$B230,DATA_GOC!$E:$E,"Téc cát nghiền",DATA_GOC!$F:$F,"Xuất nội bộ từ téc",DATA_GOC!$B:$B,DATE($D$2,$B$2,AC$4)),0))</f>
        <v>0</v>
      </c>
      <c r="AD230" s="251">
        <f>IF(AD$4&gt;DAY(EOMONTH(DATE($D$2,$B$2,1),0)),"",IFERROR(SUMIFS(DATA_GOC!$H:$H,DATA_GOC!$A:$A,"BOM",DATA_GOC!$D:$D,$B230,DATA_GOC!$E:$E,"Téc cát nghiền",DATA_GOC!$F:$F,"Xuất nội bộ từ téc",DATA_GOC!$B:$B,DATE($D$2,$B$2,AD$4)),0))</f>
        <v>0</v>
      </c>
      <c r="AE230" s="251">
        <f>IF(AE$4&gt;DAY(EOMONTH(DATE($D$2,$B$2,1),0)),"",IFERROR(SUMIFS(DATA_GOC!$H:$H,DATA_GOC!$A:$A,"BOM",DATA_GOC!$D:$D,$B230,DATA_GOC!$E:$E,"Téc cát nghiền",DATA_GOC!$F:$F,"Xuất nội bộ từ téc",DATA_GOC!$B:$B,DATE($D$2,$B$2,AE$4)),0))</f>
        <v>0</v>
      </c>
      <c r="AF230" s="251">
        <f>IF(AF$4&gt;DAY(EOMONTH(DATE($D$2,$B$2,1),0)),"",IFERROR(SUMIFS(DATA_GOC!$H:$H,DATA_GOC!$A:$A,"BOM",DATA_GOC!$D:$D,$B230,DATA_GOC!$E:$E,"Téc cát nghiền",DATA_GOC!$F:$F,"Xuất nội bộ từ téc",DATA_GOC!$B:$B,DATE($D$2,$B$2,AF$4)),0))</f>
        <v>0</v>
      </c>
      <c r="AG230" s="251">
        <f>IF(AG$4&gt;DAY(EOMONTH(DATE($D$2,$B$2,1),0)),"",IFERROR(SUMIFS(DATA_GOC!$H:$H,DATA_GOC!$A:$A,"BOM",DATA_GOC!$D:$D,$B230,DATA_GOC!$E:$E,"Téc cát nghiền",DATA_GOC!$F:$F,"Xuất nội bộ từ téc",DATA_GOC!$B:$B,DATE($D$2,$B$2,AG$4)),0))</f>
        <v>0</v>
      </c>
      <c r="AH230" s="252">
        <f t="shared" si="10"/>
        <v>0</v>
      </c>
      <c r="AI230" s="241"/>
      <c r="AJ230" s="242">
        <f>IF($B230="","",SUMIFS(TINH_TEC!$K$233:$K$9232,TINH_TEC!$H$233:$H$9232,$B230,TINH_TEC!$C$233:$C$9232,"Téc cát nghiền",TINH_TEC!$F$233:$F$9232,$B$2,TINH_TEC!$G$233:$G$9232,$D$2,TINH_TEC!$B$233:$B$9232,"Đã chốt"))</f>
        <v>0</v>
      </c>
      <c r="AK230" s="242">
        <f>IF($B230="","",SUMIFS(TINH_TEC!$J$233:$J$9232,TINH_TEC!$H$233:$H$9232,$B230,TINH_TEC!$C$233:$C$9232,"Téc cát nghiền",TINH_TEC!$F$233:$F$9232,$B$2,TINH_TEC!$G$233:$G$9232,$D$2,TINH_TEC!$B$233:$B$9232,"Đã chốt"))</f>
        <v>0</v>
      </c>
      <c r="AL230" s="242">
        <f t="shared" si="11"/>
        <v>0</v>
      </c>
    </row>
    <row r="231" ht="15.75" customHeight="1">
      <c r="A231" s="237">
        <f>IF($B231&lt;&gt;"",43,"")</f>
        <v>43</v>
      </c>
      <c r="B231" s="250" t="str">
        <f t="array" ref="B231">IFERROR(INDEX(DANH_MUC!$E:$E,46),"")</f>
        <v>29E17410</v>
      </c>
      <c r="C231" s="251">
        <f>IF(C$4&gt;DAY(EOMONTH(DATE($D$2,$B$2,1),0)),"",IFERROR(SUMIFS(DATA_GOC!$H:$H,DATA_GOC!$A:$A,"BOM",DATA_GOC!$D:$D,$B231,DATA_GOC!$E:$E,"Téc cát nghiền",DATA_GOC!$F:$F,"Xuất nội bộ từ téc",DATA_GOC!$B:$B,DATE($D$2,$B$2,C$4)),0))</f>
        <v>0</v>
      </c>
      <c r="D231" s="251">
        <f>IF(D$4&gt;DAY(EOMONTH(DATE($D$2,$B$2,1),0)),"",IFERROR(SUMIFS(DATA_GOC!$H:$H,DATA_GOC!$A:$A,"BOM",DATA_GOC!$D:$D,$B231,DATA_GOC!$E:$E,"Téc cát nghiền",DATA_GOC!$F:$F,"Xuất nội bộ từ téc",DATA_GOC!$B:$B,DATE($D$2,$B$2,D$4)),0))</f>
        <v>0</v>
      </c>
      <c r="E231" s="251">
        <f>IF(E$4&gt;DAY(EOMONTH(DATE($D$2,$B$2,1),0)),"",IFERROR(SUMIFS(DATA_GOC!$H:$H,DATA_GOC!$A:$A,"BOM",DATA_GOC!$D:$D,$B231,DATA_GOC!$E:$E,"Téc cát nghiền",DATA_GOC!$F:$F,"Xuất nội bộ từ téc",DATA_GOC!$B:$B,DATE($D$2,$B$2,E$4)),0))</f>
        <v>0</v>
      </c>
      <c r="F231" s="251">
        <f>IF(F$4&gt;DAY(EOMONTH(DATE($D$2,$B$2,1),0)),"",IFERROR(SUMIFS(DATA_GOC!$H:$H,DATA_GOC!$A:$A,"BOM",DATA_GOC!$D:$D,$B231,DATA_GOC!$E:$E,"Téc cát nghiền",DATA_GOC!$F:$F,"Xuất nội bộ từ téc",DATA_GOC!$B:$B,DATE($D$2,$B$2,F$4)),0))</f>
        <v>0</v>
      </c>
      <c r="G231" s="251">
        <f>IF(G$4&gt;DAY(EOMONTH(DATE($D$2,$B$2,1),0)),"",IFERROR(SUMIFS(DATA_GOC!$H:$H,DATA_GOC!$A:$A,"BOM",DATA_GOC!$D:$D,$B231,DATA_GOC!$E:$E,"Téc cát nghiền",DATA_GOC!$F:$F,"Xuất nội bộ từ téc",DATA_GOC!$B:$B,DATE($D$2,$B$2,G$4)),0))</f>
        <v>0</v>
      </c>
      <c r="H231" s="251">
        <f>IF(H$4&gt;DAY(EOMONTH(DATE($D$2,$B$2,1),0)),"",IFERROR(SUMIFS(DATA_GOC!$H:$H,DATA_GOC!$A:$A,"BOM",DATA_GOC!$D:$D,$B231,DATA_GOC!$E:$E,"Téc cát nghiền",DATA_GOC!$F:$F,"Xuất nội bộ từ téc",DATA_GOC!$B:$B,DATE($D$2,$B$2,H$4)),0))</f>
        <v>0</v>
      </c>
      <c r="I231" s="251">
        <f>IF(I$4&gt;DAY(EOMONTH(DATE($D$2,$B$2,1),0)),"",IFERROR(SUMIFS(DATA_GOC!$H:$H,DATA_GOC!$A:$A,"BOM",DATA_GOC!$D:$D,$B231,DATA_GOC!$E:$E,"Téc cát nghiền",DATA_GOC!$F:$F,"Xuất nội bộ từ téc",DATA_GOC!$B:$B,DATE($D$2,$B$2,I$4)),0))</f>
        <v>0</v>
      </c>
      <c r="J231" s="251">
        <f>IF(J$4&gt;DAY(EOMONTH(DATE($D$2,$B$2,1),0)),"",IFERROR(SUMIFS(DATA_GOC!$H:$H,DATA_GOC!$A:$A,"BOM",DATA_GOC!$D:$D,$B231,DATA_GOC!$E:$E,"Téc cát nghiền",DATA_GOC!$F:$F,"Xuất nội bộ từ téc",DATA_GOC!$B:$B,DATE($D$2,$B$2,J$4)),0))</f>
        <v>0</v>
      </c>
      <c r="K231" s="251">
        <f>IF(K$4&gt;DAY(EOMONTH(DATE($D$2,$B$2,1),0)),"",IFERROR(SUMIFS(DATA_GOC!$H:$H,DATA_GOC!$A:$A,"BOM",DATA_GOC!$D:$D,$B231,DATA_GOC!$E:$E,"Téc cát nghiền",DATA_GOC!$F:$F,"Xuất nội bộ từ téc",DATA_GOC!$B:$B,DATE($D$2,$B$2,K$4)),0))</f>
        <v>0</v>
      </c>
      <c r="L231" s="251">
        <f>IF(L$4&gt;DAY(EOMONTH(DATE($D$2,$B$2,1),0)),"",IFERROR(SUMIFS(DATA_GOC!$H:$H,DATA_GOC!$A:$A,"BOM",DATA_GOC!$D:$D,$B231,DATA_GOC!$E:$E,"Téc cát nghiền",DATA_GOC!$F:$F,"Xuất nội bộ từ téc",DATA_GOC!$B:$B,DATE($D$2,$B$2,L$4)),0))</f>
        <v>0</v>
      </c>
      <c r="M231" s="251">
        <f>IF(M$4&gt;DAY(EOMONTH(DATE($D$2,$B$2,1),0)),"",IFERROR(SUMIFS(DATA_GOC!$H:$H,DATA_GOC!$A:$A,"BOM",DATA_GOC!$D:$D,$B231,DATA_GOC!$E:$E,"Téc cát nghiền",DATA_GOC!$F:$F,"Xuất nội bộ từ téc",DATA_GOC!$B:$B,DATE($D$2,$B$2,M$4)),0))</f>
        <v>0</v>
      </c>
      <c r="N231" s="251">
        <f>IF(N$4&gt;DAY(EOMONTH(DATE($D$2,$B$2,1),0)),"",IFERROR(SUMIFS(DATA_GOC!$H:$H,DATA_GOC!$A:$A,"BOM",DATA_GOC!$D:$D,$B231,DATA_GOC!$E:$E,"Téc cát nghiền",DATA_GOC!$F:$F,"Xuất nội bộ từ téc",DATA_GOC!$B:$B,DATE($D$2,$B$2,N$4)),0))</f>
        <v>0</v>
      </c>
      <c r="O231" s="251">
        <f>IF(O$4&gt;DAY(EOMONTH(DATE($D$2,$B$2,1),0)),"",IFERROR(SUMIFS(DATA_GOC!$H:$H,DATA_GOC!$A:$A,"BOM",DATA_GOC!$D:$D,$B231,DATA_GOC!$E:$E,"Téc cát nghiền",DATA_GOC!$F:$F,"Xuất nội bộ từ téc",DATA_GOC!$B:$B,DATE($D$2,$B$2,O$4)),0))</f>
        <v>0</v>
      </c>
      <c r="P231" s="251">
        <f>IF(P$4&gt;DAY(EOMONTH(DATE($D$2,$B$2,1),0)),"",IFERROR(SUMIFS(DATA_GOC!$H:$H,DATA_GOC!$A:$A,"BOM",DATA_GOC!$D:$D,$B231,DATA_GOC!$E:$E,"Téc cát nghiền",DATA_GOC!$F:$F,"Xuất nội bộ từ téc",DATA_GOC!$B:$B,DATE($D$2,$B$2,P$4)),0))</f>
        <v>0</v>
      </c>
      <c r="Q231" s="251">
        <f>IF(Q$4&gt;DAY(EOMONTH(DATE($D$2,$B$2,1),0)),"",IFERROR(SUMIFS(DATA_GOC!$H:$H,DATA_GOC!$A:$A,"BOM",DATA_GOC!$D:$D,$B231,DATA_GOC!$E:$E,"Téc cát nghiền",DATA_GOC!$F:$F,"Xuất nội bộ từ téc",DATA_GOC!$B:$B,DATE($D$2,$B$2,Q$4)),0))</f>
        <v>0</v>
      </c>
      <c r="R231" s="251">
        <f>IF(R$4&gt;DAY(EOMONTH(DATE($D$2,$B$2,1),0)),"",IFERROR(SUMIFS(DATA_GOC!$H:$H,DATA_GOC!$A:$A,"BOM",DATA_GOC!$D:$D,$B231,DATA_GOC!$E:$E,"Téc cát nghiền",DATA_GOC!$F:$F,"Xuất nội bộ từ téc",DATA_GOC!$B:$B,DATE($D$2,$B$2,R$4)),0))</f>
        <v>0</v>
      </c>
      <c r="S231" s="251">
        <f>IF(S$4&gt;DAY(EOMONTH(DATE($D$2,$B$2,1),0)),"",IFERROR(SUMIFS(DATA_GOC!$H:$H,DATA_GOC!$A:$A,"BOM",DATA_GOC!$D:$D,$B231,DATA_GOC!$E:$E,"Téc cát nghiền",DATA_GOC!$F:$F,"Xuất nội bộ từ téc",DATA_GOC!$B:$B,DATE($D$2,$B$2,S$4)),0))</f>
        <v>0</v>
      </c>
      <c r="T231" s="251">
        <f>IF(T$4&gt;DAY(EOMONTH(DATE($D$2,$B$2,1),0)),"",IFERROR(SUMIFS(DATA_GOC!$H:$H,DATA_GOC!$A:$A,"BOM",DATA_GOC!$D:$D,$B231,DATA_GOC!$E:$E,"Téc cát nghiền",DATA_GOC!$F:$F,"Xuất nội bộ từ téc",DATA_GOC!$B:$B,DATE($D$2,$B$2,T$4)),0))</f>
        <v>0</v>
      </c>
      <c r="U231" s="251">
        <f>IF(U$4&gt;DAY(EOMONTH(DATE($D$2,$B$2,1),0)),"",IFERROR(SUMIFS(DATA_GOC!$H:$H,DATA_GOC!$A:$A,"BOM",DATA_GOC!$D:$D,$B231,DATA_GOC!$E:$E,"Téc cát nghiền",DATA_GOC!$F:$F,"Xuất nội bộ từ téc",DATA_GOC!$B:$B,DATE($D$2,$B$2,U$4)),0))</f>
        <v>0</v>
      </c>
      <c r="V231" s="251">
        <f>IF(V$4&gt;DAY(EOMONTH(DATE($D$2,$B$2,1),0)),"",IFERROR(SUMIFS(DATA_GOC!$H:$H,DATA_GOC!$A:$A,"BOM",DATA_GOC!$D:$D,$B231,DATA_GOC!$E:$E,"Téc cát nghiền",DATA_GOC!$F:$F,"Xuất nội bộ từ téc",DATA_GOC!$B:$B,DATE($D$2,$B$2,V$4)),0))</f>
        <v>0</v>
      </c>
      <c r="W231" s="251">
        <f>IF(W$4&gt;DAY(EOMONTH(DATE($D$2,$B$2,1),0)),"",IFERROR(SUMIFS(DATA_GOC!$H:$H,DATA_GOC!$A:$A,"BOM",DATA_GOC!$D:$D,$B231,DATA_GOC!$E:$E,"Téc cát nghiền",DATA_GOC!$F:$F,"Xuất nội bộ từ téc",DATA_GOC!$B:$B,DATE($D$2,$B$2,W$4)),0))</f>
        <v>0</v>
      </c>
      <c r="X231" s="251">
        <f>IF(X$4&gt;DAY(EOMONTH(DATE($D$2,$B$2,1),0)),"",IFERROR(SUMIFS(DATA_GOC!$H:$H,DATA_GOC!$A:$A,"BOM",DATA_GOC!$D:$D,$B231,DATA_GOC!$E:$E,"Téc cát nghiền",DATA_GOC!$F:$F,"Xuất nội bộ từ téc",DATA_GOC!$B:$B,DATE($D$2,$B$2,X$4)),0))</f>
        <v>0</v>
      </c>
      <c r="Y231" s="251">
        <f>IF(Y$4&gt;DAY(EOMONTH(DATE($D$2,$B$2,1),0)),"",IFERROR(SUMIFS(DATA_GOC!$H:$H,DATA_GOC!$A:$A,"BOM",DATA_GOC!$D:$D,$B231,DATA_GOC!$E:$E,"Téc cát nghiền",DATA_GOC!$F:$F,"Xuất nội bộ từ téc",DATA_GOC!$B:$B,DATE($D$2,$B$2,Y$4)),0))</f>
        <v>0</v>
      </c>
      <c r="Z231" s="251">
        <f>IF(Z$4&gt;DAY(EOMONTH(DATE($D$2,$B$2,1),0)),"",IFERROR(SUMIFS(DATA_GOC!$H:$H,DATA_GOC!$A:$A,"BOM",DATA_GOC!$D:$D,$B231,DATA_GOC!$E:$E,"Téc cát nghiền",DATA_GOC!$F:$F,"Xuất nội bộ từ téc",DATA_GOC!$B:$B,DATE($D$2,$B$2,Z$4)),0))</f>
        <v>0</v>
      </c>
      <c r="AA231" s="251">
        <f>IF(AA$4&gt;DAY(EOMONTH(DATE($D$2,$B$2,1),0)),"",IFERROR(SUMIFS(DATA_GOC!$H:$H,DATA_GOC!$A:$A,"BOM",DATA_GOC!$D:$D,$B231,DATA_GOC!$E:$E,"Téc cát nghiền",DATA_GOC!$F:$F,"Xuất nội bộ từ téc",DATA_GOC!$B:$B,DATE($D$2,$B$2,AA$4)),0))</f>
        <v>0</v>
      </c>
      <c r="AB231" s="251">
        <f>IF(AB$4&gt;DAY(EOMONTH(DATE($D$2,$B$2,1),0)),"",IFERROR(SUMIFS(DATA_GOC!$H:$H,DATA_GOC!$A:$A,"BOM",DATA_GOC!$D:$D,$B231,DATA_GOC!$E:$E,"Téc cát nghiền",DATA_GOC!$F:$F,"Xuất nội bộ từ téc",DATA_GOC!$B:$B,DATE($D$2,$B$2,AB$4)),0))</f>
        <v>0</v>
      </c>
      <c r="AC231" s="251">
        <f>IF(AC$4&gt;DAY(EOMONTH(DATE($D$2,$B$2,1),0)),"",IFERROR(SUMIFS(DATA_GOC!$H:$H,DATA_GOC!$A:$A,"BOM",DATA_GOC!$D:$D,$B231,DATA_GOC!$E:$E,"Téc cát nghiền",DATA_GOC!$F:$F,"Xuất nội bộ từ téc",DATA_GOC!$B:$B,DATE($D$2,$B$2,AC$4)),0))</f>
        <v>0</v>
      </c>
      <c r="AD231" s="251">
        <f>IF(AD$4&gt;DAY(EOMONTH(DATE($D$2,$B$2,1),0)),"",IFERROR(SUMIFS(DATA_GOC!$H:$H,DATA_GOC!$A:$A,"BOM",DATA_GOC!$D:$D,$B231,DATA_GOC!$E:$E,"Téc cát nghiền",DATA_GOC!$F:$F,"Xuất nội bộ từ téc",DATA_GOC!$B:$B,DATE($D$2,$B$2,AD$4)),0))</f>
        <v>0</v>
      </c>
      <c r="AE231" s="251">
        <f>IF(AE$4&gt;DAY(EOMONTH(DATE($D$2,$B$2,1),0)),"",IFERROR(SUMIFS(DATA_GOC!$H:$H,DATA_GOC!$A:$A,"BOM",DATA_GOC!$D:$D,$B231,DATA_GOC!$E:$E,"Téc cát nghiền",DATA_GOC!$F:$F,"Xuất nội bộ từ téc",DATA_GOC!$B:$B,DATE($D$2,$B$2,AE$4)),0))</f>
        <v>0</v>
      </c>
      <c r="AF231" s="251">
        <f>IF(AF$4&gt;DAY(EOMONTH(DATE($D$2,$B$2,1),0)),"",IFERROR(SUMIFS(DATA_GOC!$H:$H,DATA_GOC!$A:$A,"BOM",DATA_GOC!$D:$D,$B231,DATA_GOC!$E:$E,"Téc cát nghiền",DATA_GOC!$F:$F,"Xuất nội bộ từ téc",DATA_GOC!$B:$B,DATE($D$2,$B$2,AF$4)),0))</f>
        <v>0</v>
      </c>
      <c r="AG231" s="251">
        <f>IF(AG$4&gt;DAY(EOMONTH(DATE($D$2,$B$2,1),0)),"",IFERROR(SUMIFS(DATA_GOC!$H:$H,DATA_GOC!$A:$A,"BOM",DATA_GOC!$D:$D,$B231,DATA_GOC!$E:$E,"Téc cát nghiền",DATA_GOC!$F:$F,"Xuất nội bộ từ téc",DATA_GOC!$B:$B,DATE($D$2,$B$2,AG$4)),0))</f>
        <v>0</v>
      </c>
      <c r="AH231" s="252">
        <f t="shared" si="10"/>
        <v>0</v>
      </c>
      <c r="AI231" s="241"/>
      <c r="AJ231" s="242">
        <f>IF($B231="","",SUMIFS(TINH_TEC!$K$233:$K$9232,TINH_TEC!$H$233:$H$9232,$B231,TINH_TEC!$C$233:$C$9232,"Téc cát nghiền",TINH_TEC!$F$233:$F$9232,$B$2,TINH_TEC!$G$233:$G$9232,$D$2,TINH_TEC!$B$233:$B$9232,"Đã chốt"))</f>
        <v>0</v>
      </c>
      <c r="AK231" s="242">
        <f>IF($B231="","",SUMIFS(TINH_TEC!$J$233:$J$9232,TINH_TEC!$H$233:$H$9232,$B231,TINH_TEC!$C$233:$C$9232,"Téc cát nghiền",TINH_TEC!$F$233:$F$9232,$B$2,TINH_TEC!$G$233:$G$9232,$D$2,TINH_TEC!$B$233:$B$9232,"Đã chốt"))</f>
        <v>0</v>
      </c>
      <c r="AL231" s="242">
        <f t="shared" si="11"/>
        <v>0</v>
      </c>
    </row>
    <row r="232" ht="15.75" customHeight="1">
      <c r="A232" s="237">
        <f>IF($B232&lt;&gt;"",44,"")</f>
        <v>44</v>
      </c>
      <c r="B232" s="250" t="str">
        <f t="array" ref="B232">IFERROR(INDEX(DANH_MUC!$E:$E,47),"")</f>
        <v>29E17417</v>
      </c>
      <c r="C232" s="251">
        <f>IF(C$4&gt;DAY(EOMONTH(DATE($D$2,$B$2,1),0)),"",IFERROR(SUMIFS(DATA_GOC!$H:$H,DATA_GOC!$A:$A,"BOM",DATA_GOC!$D:$D,$B232,DATA_GOC!$E:$E,"Téc cát nghiền",DATA_GOC!$F:$F,"Xuất nội bộ từ téc",DATA_GOC!$B:$B,DATE($D$2,$B$2,C$4)),0))</f>
        <v>0</v>
      </c>
      <c r="D232" s="251">
        <f>IF(D$4&gt;DAY(EOMONTH(DATE($D$2,$B$2,1),0)),"",IFERROR(SUMIFS(DATA_GOC!$H:$H,DATA_GOC!$A:$A,"BOM",DATA_GOC!$D:$D,$B232,DATA_GOC!$E:$E,"Téc cát nghiền",DATA_GOC!$F:$F,"Xuất nội bộ từ téc",DATA_GOC!$B:$B,DATE($D$2,$B$2,D$4)),0))</f>
        <v>0</v>
      </c>
      <c r="E232" s="251">
        <f>IF(E$4&gt;DAY(EOMONTH(DATE($D$2,$B$2,1),0)),"",IFERROR(SUMIFS(DATA_GOC!$H:$H,DATA_GOC!$A:$A,"BOM",DATA_GOC!$D:$D,$B232,DATA_GOC!$E:$E,"Téc cát nghiền",DATA_GOC!$F:$F,"Xuất nội bộ từ téc",DATA_GOC!$B:$B,DATE($D$2,$B$2,E$4)),0))</f>
        <v>0</v>
      </c>
      <c r="F232" s="251">
        <f>IF(F$4&gt;DAY(EOMONTH(DATE($D$2,$B$2,1),0)),"",IFERROR(SUMIFS(DATA_GOC!$H:$H,DATA_GOC!$A:$A,"BOM",DATA_GOC!$D:$D,$B232,DATA_GOC!$E:$E,"Téc cát nghiền",DATA_GOC!$F:$F,"Xuất nội bộ từ téc",DATA_GOC!$B:$B,DATE($D$2,$B$2,F$4)),0))</f>
        <v>0</v>
      </c>
      <c r="G232" s="251">
        <f>IF(G$4&gt;DAY(EOMONTH(DATE($D$2,$B$2,1),0)),"",IFERROR(SUMIFS(DATA_GOC!$H:$H,DATA_GOC!$A:$A,"BOM",DATA_GOC!$D:$D,$B232,DATA_GOC!$E:$E,"Téc cát nghiền",DATA_GOC!$F:$F,"Xuất nội bộ từ téc",DATA_GOC!$B:$B,DATE($D$2,$B$2,G$4)),0))</f>
        <v>0</v>
      </c>
      <c r="H232" s="251">
        <f>IF(H$4&gt;DAY(EOMONTH(DATE($D$2,$B$2,1),0)),"",IFERROR(SUMIFS(DATA_GOC!$H:$H,DATA_GOC!$A:$A,"BOM",DATA_GOC!$D:$D,$B232,DATA_GOC!$E:$E,"Téc cát nghiền",DATA_GOC!$F:$F,"Xuất nội bộ từ téc",DATA_GOC!$B:$B,DATE($D$2,$B$2,H$4)),0))</f>
        <v>0</v>
      </c>
      <c r="I232" s="251">
        <f>IF(I$4&gt;DAY(EOMONTH(DATE($D$2,$B$2,1),0)),"",IFERROR(SUMIFS(DATA_GOC!$H:$H,DATA_GOC!$A:$A,"BOM",DATA_GOC!$D:$D,$B232,DATA_GOC!$E:$E,"Téc cát nghiền",DATA_GOC!$F:$F,"Xuất nội bộ từ téc",DATA_GOC!$B:$B,DATE($D$2,$B$2,I$4)),0))</f>
        <v>0</v>
      </c>
      <c r="J232" s="251">
        <f>IF(J$4&gt;DAY(EOMONTH(DATE($D$2,$B$2,1),0)),"",IFERROR(SUMIFS(DATA_GOC!$H:$H,DATA_GOC!$A:$A,"BOM",DATA_GOC!$D:$D,$B232,DATA_GOC!$E:$E,"Téc cát nghiền",DATA_GOC!$F:$F,"Xuất nội bộ từ téc",DATA_GOC!$B:$B,DATE($D$2,$B$2,J$4)),0))</f>
        <v>0</v>
      </c>
      <c r="K232" s="251">
        <f>IF(K$4&gt;DAY(EOMONTH(DATE($D$2,$B$2,1),0)),"",IFERROR(SUMIFS(DATA_GOC!$H:$H,DATA_GOC!$A:$A,"BOM",DATA_GOC!$D:$D,$B232,DATA_GOC!$E:$E,"Téc cát nghiền",DATA_GOC!$F:$F,"Xuất nội bộ từ téc",DATA_GOC!$B:$B,DATE($D$2,$B$2,K$4)),0))</f>
        <v>0</v>
      </c>
      <c r="L232" s="251">
        <f>IF(L$4&gt;DAY(EOMONTH(DATE($D$2,$B$2,1),0)),"",IFERROR(SUMIFS(DATA_GOC!$H:$H,DATA_GOC!$A:$A,"BOM",DATA_GOC!$D:$D,$B232,DATA_GOC!$E:$E,"Téc cát nghiền",DATA_GOC!$F:$F,"Xuất nội bộ từ téc",DATA_GOC!$B:$B,DATE($D$2,$B$2,L$4)),0))</f>
        <v>0</v>
      </c>
      <c r="M232" s="251">
        <f>IF(M$4&gt;DAY(EOMONTH(DATE($D$2,$B$2,1),0)),"",IFERROR(SUMIFS(DATA_GOC!$H:$H,DATA_GOC!$A:$A,"BOM",DATA_GOC!$D:$D,$B232,DATA_GOC!$E:$E,"Téc cát nghiền",DATA_GOC!$F:$F,"Xuất nội bộ từ téc",DATA_GOC!$B:$B,DATE($D$2,$B$2,M$4)),0))</f>
        <v>0</v>
      </c>
      <c r="N232" s="251">
        <f>IF(N$4&gt;DAY(EOMONTH(DATE($D$2,$B$2,1),0)),"",IFERROR(SUMIFS(DATA_GOC!$H:$H,DATA_GOC!$A:$A,"BOM",DATA_GOC!$D:$D,$B232,DATA_GOC!$E:$E,"Téc cát nghiền",DATA_GOC!$F:$F,"Xuất nội bộ từ téc",DATA_GOC!$B:$B,DATE($D$2,$B$2,N$4)),0))</f>
        <v>0</v>
      </c>
      <c r="O232" s="251">
        <f>IF(O$4&gt;DAY(EOMONTH(DATE($D$2,$B$2,1),0)),"",IFERROR(SUMIFS(DATA_GOC!$H:$H,DATA_GOC!$A:$A,"BOM",DATA_GOC!$D:$D,$B232,DATA_GOC!$E:$E,"Téc cát nghiền",DATA_GOC!$F:$F,"Xuất nội bộ từ téc",DATA_GOC!$B:$B,DATE($D$2,$B$2,O$4)),0))</f>
        <v>0</v>
      </c>
      <c r="P232" s="251">
        <f>IF(P$4&gt;DAY(EOMONTH(DATE($D$2,$B$2,1),0)),"",IFERROR(SUMIFS(DATA_GOC!$H:$H,DATA_GOC!$A:$A,"BOM",DATA_GOC!$D:$D,$B232,DATA_GOC!$E:$E,"Téc cát nghiền",DATA_GOC!$F:$F,"Xuất nội bộ từ téc",DATA_GOC!$B:$B,DATE($D$2,$B$2,P$4)),0))</f>
        <v>0</v>
      </c>
      <c r="Q232" s="251">
        <f>IF(Q$4&gt;DAY(EOMONTH(DATE($D$2,$B$2,1),0)),"",IFERROR(SUMIFS(DATA_GOC!$H:$H,DATA_GOC!$A:$A,"BOM",DATA_GOC!$D:$D,$B232,DATA_GOC!$E:$E,"Téc cát nghiền",DATA_GOC!$F:$F,"Xuất nội bộ từ téc",DATA_GOC!$B:$B,DATE($D$2,$B$2,Q$4)),0))</f>
        <v>0</v>
      </c>
      <c r="R232" s="251">
        <f>IF(R$4&gt;DAY(EOMONTH(DATE($D$2,$B$2,1),0)),"",IFERROR(SUMIFS(DATA_GOC!$H:$H,DATA_GOC!$A:$A,"BOM",DATA_GOC!$D:$D,$B232,DATA_GOC!$E:$E,"Téc cát nghiền",DATA_GOC!$F:$F,"Xuất nội bộ từ téc",DATA_GOC!$B:$B,DATE($D$2,$B$2,R$4)),0))</f>
        <v>0</v>
      </c>
      <c r="S232" s="251">
        <f>IF(S$4&gt;DAY(EOMONTH(DATE($D$2,$B$2,1),0)),"",IFERROR(SUMIFS(DATA_GOC!$H:$H,DATA_GOC!$A:$A,"BOM",DATA_GOC!$D:$D,$B232,DATA_GOC!$E:$E,"Téc cát nghiền",DATA_GOC!$F:$F,"Xuất nội bộ từ téc",DATA_GOC!$B:$B,DATE($D$2,$B$2,S$4)),0))</f>
        <v>0</v>
      </c>
      <c r="T232" s="251">
        <f>IF(T$4&gt;DAY(EOMONTH(DATE($D$2,$B$2,1),0)),"",IFERROR(SUMIFS(DATA_GOC!$H:$H,DATA_GOC!$A:$A,"BOM",DATA_GOC!$D:$D,$B232,DATA_GOC!$E:$E,"Téc cát nghiền",DATA_GOC!$F:$F,"Xuất nội bộ từ téc",DATA_GOC!$B:$B,DATE($D$2,$B$2,T$4)),0))</f>
        <v>0</v>
      </c>
      <c r="U232" s="251">
        <f>IF(U$4&gt;DAY(EOMONTH(DATE($D$2,$B$2,1),0)),"",IFERROR(SUMIFS(DATA_GOC!$H:$H,DATA_GOC!$A:$A,"BOM",DATA_GOC!$D:$D,$B232,DATA_GOC!$E:$E,"Téc cát nghiền",DATA_GOC!$F:$F,"Xuất nội bộ từ téc",DATA_GOC!$B:$B,DATE($D$2,$B$2,U$4)),0))</f>
        <v>0</v>
      </c>
      <c r="V232" s="251">
        <f>IF(V$4&gt;DAY(EOMONTH(DATE($D$2,$B$2,1),0)),"",IFERROR(SUMIFS(DATA_GOC!$H:$H,DATA_GOC!$A:$A,"BOM",DATA_GOC!$D:$D,$B232,DATA_GOC!$E:$E,"Téc cát nghiền",DATA_GOC!$F:$F,"Xuất nội bộ từ téc",DATA_GOC!$B:$B,DATE($D$2,$B$2,V$4)),0))</f>
        <v>0</v>
      </c>
      <c r="W232" s="251">
        <f>IF(W$4&gt;DAY(EOMONTH(DATE($D$2,$B$2,1),0)),"",IFERROR(SUMIFS(DATA_GOC!$H:$H,DATA_GOC!$A:$A,"BOM",DATA_GOC!$D:$D,$B232,DATA_GOC!$E:$E,"Téc cát nghiền",DATA_GOC!$F:$F,"Xuất nội bộ từ téc",DATA_GOC!$B:$B,DATE($D$2,$B$2,W$4)),0))</f>
        <v>0</v>
      </c>
      <c r="X232" s="251">
        <f>IF(X$4&gt;DAY(EOMONTH(DATE($D$2,$B$2,1),0)),"",IFERROR(SUMIFS(DATA_GOC!$H:$H,DATA_GOC!$A:$A,"BOM",DATA_GOC!$D:$D,$B232,DATA_GOC!$E:$E,"Téc cát nghiền",DATA_GOC!$F:$F,"Xuất nội bộ từ téc",DATA_GOC!$B:$B,DATE($D$2,$B$2,X$4)),0))</f>
        <v>0</v>
      </c>
      <c r="Y232" s="251">
        <f>IF(Y$4&gt;DAY(EOMONTH(DATE($D$2,$B$2,1),0)),"",IFERROR(SUMIFS(DATA_GOC!$H:$H,DATA_GOC!$A:$A,"BOM",DATA_GOC!$D:$D,$B232,DATA_GOC!$E:$E,"Téc cát nghiền",DATA_GOC!$F:$F,"Xuất nội bộ từ téc",DATA_GOC!$B:$B,DATE($D$2,$B$2,Y$4)),0))</f>
        <v>0</v>
      </c>
      <c r="Z232" s="251">
        <f>IF(Z$4&gt;DAY(EOMONTH(DATE($D$2,$B$2,1),0)),"",IFERROR(SUMIFS(DATA_GOC!$H:$H,DATA_GOC!$A:$A,"BOM",DATA_GOC!$D:$D,$B232,DATA_GOC!$E:$E,"Téc cát nghiền",DATA_GOC!$F:$F,"Xuất nội bộ từ téc",DATA_GOC!$B:$B,DATE($D$2,$B$2,Z$4)),0))</f>
        <v>0</v>
      </c>
      <c r="AA232" s="251">
        <f>IF(AA$4&gt;DAY(EOMONTH(DATE($D$2,$B$2,1),0)),"",IFERROR(SUMIFS(DATA_GOC!$H:$H,DATA_GOC!$A:$A,"BOM",DATA_GOC!$D:$D,$B232,DATA_GOC!$E:$E,"Téc cát nghiền",DATA_GOC!$F:$F,"Xuất nội bộ từ téc",DATA_GOC!$B:$B,DATE($D$2,$B$2,AA$4)),0))</f>
        <v>0</v>
      </c>
      <c r="AB232" s="251">
        <f>IF(AB$4&gt;DAY(EOMONTH(DATE($D$2,$B$2,1),0)),"",IFERROR(SUMIFS(DATA_GOC!$H:$H,DATA_GOC!$A:$A,"BOM",DATA_GOC!$D:$D,$B232,DATA_GOC!$E:$E,"Téc cát nghiền",DATA_GOC!$F:$F,"Xuất nội bộ từ téc",DATA_GOC!$B:$B,DATE($D$2,$B$2,AB$4)),0))</f>
        <v>0</v>
      </c>
      <c r="AC232" s="251">
        <f>IF(AC$4&gt;DAY(EOMONTH(DATE($D$2,$B$2,1),0)),"",IFERROR(SUMIFS(DATA_GOC!$H:$H,DATA_GOC!$A:$A,"BOM",DATA_GOC!$D:$D,$B232,DATA_GOC!$E:$E,"Téc cát nghiền",DATA_GOC!$F:$F,"Xuất nội bộ từ téc",DATA_GOC!$B:$B,DATE($D$2,$B$2,AC$4)),0))</f>
        <v>0</v>
      </c>
      <c r="AD232" s="251">
        <f>IF(AD$4&gt;DAY(EOMONTH(DATE($D$2,$B$2,1),0)),"",IFERROR(SUMIFS(DATA_GOC!$H:$H,DATA_GOC!$A:$A,"BOM",DATA_GOC!$D:$D,$B232,DATA_GOC!$E:$E,"Téc cát nghiền",DATA_GOC!$F:$F,"Xuất nội bộ từ téc",DATA_GOC!$B:$B,DATE($D$2,$B$2,AD$4)),0))</f>
        <v>0</v>
      </c>
      <c r="AE232" s="251">
        <f>IF(AE$4&gt;DAY(EOMONTH(DATE($D$2,$B$2,1),0)),"",IFERROR(SUMIFS(DATA_GOC!$H:$H,DATA_GOC!$A:$A,"BOM",DATA_GOC!$D:$D,$B232,DATA_GOC!$E:$E,"Téc cát nghiền",DATA_GOC!$F:$F,"Xuất nội bộ từ téc",DATA_GOC!$B:$B,DATE($D$2,$B$2,AE$4)),0))</f>
        <v>0</v>
      </c>
      <c r="AF232" s="251">
        <f>IF(AF$4&gt;DAY(EOMONTH(DATE($D$2,$B$2,1),0)),"",IFERROR(SUMIFS(DATA_GOC!$H:$H,DATA_GOC!$A:$A,"BOM",DATA_GOC!$D:$D,$B232,DATA_GOC!$E:$E,"Téc cát nghiền",DATA_GOC!$F:$F,"Xuất nội bộ từ téc",DATA_GOC!$B:$B,DATE($D$2,$B$2,AF$4)),0))</f>
        <v>0</v>
      </c>
      <c r="AG232" s="251">
        <f>IF(AG$4&gt;DAY(EOMONTH(DATE($D$2,$B$2,1),0)),"",IFERROR(SUMIFS(DATA_GOC!$H:$H,DATA_GOC!$A:$A,"BOM",DATA_GOC!$D:$D,$B232,DATA_GOC!$E:$E,"Téc cát nghiền",DATA_GOC!$F:$F,"Xuất nội bộ từ téc",DATA_GOC!$B:$B,DATE($D$2,$B$2,AG$4)),0))</f>
        <v>0</v>
      </c>
      <c r="AH232" s="252">
        <f t="shared" si="10"/>
        <v>0</v>
      </c>
      <c r="AI232" s="241"/>
      <c r="AJ232" s="242">
        <f>IF($B232="","",SUMIFS(TINH_TEC!$K$233:$K$9232,TINH_TEC!$H$233:$H$9232,$B232,TINH_TEC!$C$233:$C$9232,"Téc cát nghiền",TINH_TEC!$F$233:$F$9232,$B$2,TINH_TEC!$G$233:$G$9232,$D$2,TINH_TEC!$B$233:$B$9232,"Đã chốt"))</f>
        <v>0</v>
      </c>
      <c r="AK232" s="242">
        <f>IF($B232="","",SUMIFS(TINH_TEC!$J$233:$J$9232,TINH_TEC!$H$233:$H$9232,$B232,TINH_TEC!$C$233:$C$9232,"Téc cát nghiền",TINH_TEC!$F$233:$F$9232,$B$2,TINH_TEC!$G$233:$G$9232,$D$2,TINH_TEC!$B$233:$B$9232,"Đã chốt"))</f>
        <v>0</v>
      </c>
      <c r="AL232" s="242">
        <f t="shared" si="11"/>
        <v>0</v>
      </c>
    </row>
    <row r="233" ht="15.75" customHeight="1">
      <c r="A233" s="237">
        <f>IF($B233&lt;&gt;"",45,"")</f>
        <v>45</v>
      </c>
      <c r="B233" s="250" t="str">
        <f t="array" ref="B233">IFERROR(INDEX(DANH_MUC!$E:$E,48),"")</f>
        <v>29E17539</v>
      </c>
      <c r="C233" s="251">
        <f>IF(C$4&gt;DAY(EOMONTH(DATE($D$2,$B$2,1),0)),"",IFERROR(SUMIFS(DATA_GOC!$H:$H,DATA_GOC!$A:$A,"BOM",DATA_GOC!$D:$D,$B233,DATA_GOC!$E:$E,"Téc cát nghiền",DATA_GOC!$F:$F,"Xuất nội bộ từ téc",DATA_GOC!$B:$B,DATE($D$2,$B$2,C$4)),0))</f>
        <v>0</v>
      </c>
      <c r="D233" s="251">
        <f>IF(D$4&gt;DAY(EOMONTH(DATE($D$2,$B$2,1),0)),"",IFERROR(SUMIFS(DATA_GOC!$H:$H,DATA_GOC!$A:$A,"BOM",DATA_GOC!$D:$D,$B233,DATA_GOC!$E:$E,"Téc cát nghiền",DATA_GOC!$F:$F,"Xuất nội bộ từ téc",DATA_GOC!$B:$B,DATE($D$2,$B$2,D$4)),0))</f>
        <v>0</v>
      </c>
      <c r="E233" s="251">
        <f>IF(E$4&gt;DAY(EOMONTH(DATE($D$2,$B$2,1),0)),"",IFERROR(SUMIFS(DATA_GOC!$H:$H,DATA_GOC!$A:$A,"BOM",DATA_GOC!$D:$D,$B233,DATA_GOC!$E:$E,"Téc cát nghiền",DATA_GOC!$F:$F,"Xuất nội bộ từ téc",DATA_GOC!$B:$B,DATE($D$2,$B$2,E$4)),0))</f>
        <v>0</v>
      </c>
      <c r="F233" s="251">
        <f>IF(F$4&gt;DAY(EOMONTH(DATE($D$2,$B$2,1),0)),"",IFERROR(SUMIFS(DATA_GOC!$H:$H,DATA_GOC!$A:$A,"BOM",DATA_GOC!$D:$D,$B233,DATA_GOC!$E:$E,"Téc cát nghiền",DATA_GOC!$F:$F,"Xuất nội bộ từ téc",DATA_GOC!$B:$B,DATE($D$2,$B$2,F$4)),0))</f>
        <v>0</v>
      </c>
      <c r="G233" s="251">
        <f>IF(G$4&gt;DAY(EOMONTH(DATE($D$2,$B$2,1),0)),"",IFERROR(SUMIFS(DATA_GOC!$H:$H,DATA_GOC!$A:$A,"BOM",DATA_GOC!$D:$D,$B233,DATA_GOC!$E:$E,"Téc cát nghiền",DATA_GOC!$F:$F,"Xuất nội bộ từ téc",DATA_GOC!$B:$B,DATE($D$2,$B$2,G$4)),0))</f>
        <v>0</v>
      </c>
      <c r="H233" s="251">
        <f>IF(H$4&gt;DAY(EOMONTH(DATE($D$2,$B$2,1),0)),"",IFERROR(SUMIFS(DATA_GOC!$H:$H,DATA_GOC!$A:$A,"BOM",DATA_GOC!$D:$D,$B233,DATA_GOC!$E:$E,"Téc cát nghiền",DATA_GOC!$F:$F,"Xuất nội bộ từ téc",DATA_GOC!$B:$B,DATE($D$2,$B$2,H$4)),0))</f>
        <v>0</v>
      </c>
      <c r="I233" s="251">
        <f>IF(I$4&gt;DAY(EOMONTH(DATE($D$2,$B$2,1),0)),"",IFERROR(SUMIFS(DATA_GOC!$H:$H,DATA_GOC!$A:$A,"BOM",DATA_GOC!$D:$D,$B233,DATA_GOC!$E:$E,"Téc cát nghiền",DATA_GOC!$F:$F,"Xuất nội bộ từ téc",DATA_GOC!$B:$B,DATE($D$2,$B$2,I$4)),0))</f>
        <v>0</v>
      </c>
      <c r="J233" s="251">
        <f>IF(J$4&gt;DAY(EOMONTH(DATE($D$2,$B$2,1),0)),"",IFERROR(SUMIFS(DATA_GOC!$H:$H,DATA_GOC!$A:$A,"BOM",DATA_GOC!$D:$D,$B233,DATA_GOC!$E:$E,"Téc cát nghiền",DATA_GOC!$F:$F,"Xuất nội bộ từ téc",DATA_GOC!$B:$B,DATE($D$2,$B$2,J$4)),0))</f>
        <v>0</v>
      </c>
      <c r="K233" s="251">
        <f>IF(K$4&gt;DAY(EOMONTH(DATE($D$2,$B$2,1),0)),"",IFERROR(SUMIFS(DATA_GOC!$H:$H,DATA_GOC!$A:$A,"BOM",DATA_GOC!$D:$D,$B233,DATA_GOC!$E:$E,"Téc cát nghiền",DATA_GOC!$F:$F,"Xuất nội bộ từ téc",DATA_GOC!$B:$B,DATE($D$2,$B$2,K$4)),0))</f>
        <v>0</v>
      </c>
      <c r="L233" s="251">
        <f>IF(L$4&gt;DAY(EOMONTH(DATE($D$2,$B$2,1),0)),"",IFERROR(SUMIFS(DATA_GOC!$H:$H,DATA_GOC!$A:$A,"BOM",DATA_GOC!$D:$D,$B233,DATA_GOC!$E:$E,"Téc cát nghiền",DATA_GOC!$F:$F,"Xuất nội bộ từ téc",DATA_GOC!$B:$B,DATE($D$2,$B$2,L$4)),0))</f>
        <v>0</v>
      </c>
      <c r="M233" s="251">
        <f>IF(M$4&gt;DAY(EOMONTH(DATE($D$2,$B$2,1),0)),"",IFERROR(SUMIFS(DATA_GOC!$H:$H,DATA_GOC!$A:$A,"BOM",DATA_GOC!$D:$D,$B233,DATA_GOC!$E:$E,"Téc cát nghiền",DATA_GOC!$F:$F,"Xuất nội bộ từ téc",DATA_GOC!$B:$B,DATE($D$2,$B$2,M$4)),0))</f>
        <v>0</v>
      </c>
      <c r="N233" s="251">
        <f>IF(N$4&gt;DAY(EOMONTH(DATE($D$2,$B$2,1),0)),"",IFERROR(SUMIFS(DATA_GOC!$H:$H,DATA_GOC!$A:$A,"BOM",DATA_GOC!$D:$D,$B233,DATA_GOC!$E:$E,"Téc cát nghiền",DATA_GOC!$F:$F,"Xuất nội bộ từ téc",DATA_GOC!$B:$B,DATE($D$2,$B$2,N$4)),0))</f>
        <v>0</v>
      </c>
      <c r="O233" s="251">
        <f>IF(O$4&gt;DAY(EOMONTH(DATE($D$2,$B$2,1),0)),"",IFERROR(SUMIFS(DATA_GOC!$H:$H,DATA_GOC!$A:$A,"BOM",DATA_GOC!$D:$D,$B233,DATA_GOC!$E:$E,"Téc cát nghiền",DATA_GOC!$F:$F,"Xuất nội bộ từ téc",DATA_GOC!$B:$B,DATE($D$2,$B$2,O$4)),0))</f>
        <v>0</v>
      </c>
      <c r="P233" s="251">
        <f>IF(P$4&gt;DAY(EOMONTH(DATE($D$2,$B$2,1),0)),"",IFERROR(SUMIFS(DATA_GOC!$H:$H,DATA_GOC!$A:$A,"BOM",DATA_GOC!$D:$D,$B233,DATA_GOC!$E:$E,"Téc cát nghiền",DATA_GOC!$F:$F,"Xuất nội bộ từ téc",DATA_GOC!$B:$B,DATE($D$2,$B$2,P$4)),0))</f>
        <v>0</v>
      </c>
      <c r="Q233" s="251">
        <f>IF(Q$4&gt;DAY(EOMONTH(DATE($D$2,$B$2,1),0)),"",IFERROR(SUMIFS(DATA_GOC!$H:$H,DATA_GOC!$A:$A,"BOM",DATA_GOC!$D:$D,$B233,DATA_GOC!$E:$E,"Téc cát nghiền",DATA_GOC!$F:$F,"Xuất nội bộ từ téc",DATA_GOC!$B:$B,DATE($D$2,$B$2,Q$4)),0))</f>
        <v>0</v>
      </c>
      <c r="R233" s="251">
        <f>IF(R$4&gt;DAY(EOMONTH(DATE($D$2,$B$2,1),0)),"",IFERROR(SUMIFS(DATA_GOC!$H:$H,DATA_GOC!$A:$A,"BOM",DATA_GOC!$D:$D,$B233,DATA_GOC!$E:$E,"Téc cát nghiền",DATA_GOC!$F:$F,"Xuất nội bộ từ téc",DATA_GOC!$B:$B,DATE($D$2,$B$2,R$4)),0))</f>
        <v>0</v>
      </c>
      <c r="S233" s="251">
        <f>IF(S$4&gt;DAY(EOMONTH(DATE($D$2,$B$2,1),0)),"",IFERROR(SUMIFS(DATA_GOC!$H:$H,DATA_GOC!$A:$A,"BOM",DATA_GOC!$D:$D,$B233,DATA_GOC!$E:$E,"Téc cát nghiền",DATA_GOC!$F:$F,"Xuất nội bộ từ téc",DATA_GOC!$B:$B,DATE($D$2,$B$2,S$4)),0))</f>
        <v>0</v>
      </c>
      <c r="T233" s="251">
        <f>IF(T$4&gt;DAY(EOMONTH(DATE($D$2,$B$2,1),0)),"",IFERROR(SUMIFS(DATA_GOC!$H:$H,DATA_GOC!$A:$A,"BOM",DATA_GOC!$D:$D,$B233,DATA_GOC!$E:$E,"Téc cát nghiền",DATA_GOC!$F:$F,"Xuất nội bộ từ téc",DATA_GOC!$B:$B,DATE($D$2,$B$2,T$4)),0))</f>
        <v>0</v>
      </c>
      <c r="U233" s="251">
        <f>IF(U$4&gt;DAY(EOMONTH(DATE($D$2,$B$2,1),0)),"",IFERROR(SUMIFS(DATA_GOC!$H:$H,DATA_GOC!$A:$A,"BOM",DATA_GOC!$D:$D,$B233,DATA_GOC!$E:$E,"Téc cát nghiền",DATA_GOC!$F:$F,"Xuất nội bộ từ téc",DATA_GOC!$B:$B,DATE($D$2,$B$2,U$4)),0))</f>
        <v>0</v>
      </c>
      <c r="V233" s="251">
        <f>IF(V$4&gt;DAY(EOMONTH(DATE($D$2,$B$2,1),0)),"",IFERROR(SUMIFS(DATA_GOC!$H:$H,DATA_GOC!$A:$A,"BOM",DATA_GOC!$D:$D,$B233,DATA_GOC!$E:$E,"Téc cát nghiền",DATA_GOC!$F:$F,"Xuất nội bộ từ téc",DATA_GOC!$B:$B,DATE($D$2,$B$2,V$4)),0))</f>
        <v>0</v>
      </c>
      <c r="W233" s="251">
        <f>IF(W$4&gt;DAY(EOMONTH(DATE($D$2,$B$2,1),0)),"",IFERROR(SUMIFS(DATA_GOC!$H:$H,DATA_GOC!$A:$A,"BOM",DATA_GOC!$D:$D,$B233,DATA_GOC!$E:$E,"Téc cát nghiền",DATA_GOC!$F:$F,"Xuất nội bộ từ téc",DATA_GOC!$B:$B,DATE($D$2,$B$2,W$4)),0))</f>
        <v>0</v>
      </c>
      <c r="X233" s="251">
        <f>IF(X$4&gt;DAY(EOMONTH(DATE($D$2,$B$2,1),0)),"",IFERROR(SUMIFS(DATA_GOC!$H:$H,DATA_GOC!$A:$A,"BOM",DATA_GOC!$D:$D,$B233,DATA_GOC!$E:$E,"Téc cát nghiền",DATA_GOC!$F:$F,"Xuất nội bộ từ téc",DATA_GOC!$B:$B,DATE($D$2,$B$2,X$4)),0))</f>
        <v>0</v>
      </c>
      <c r="Y233" s="251">
        <f>IF(Y$4&gt;DAY(EOMONTH(DATE($D$2,$B$2,1),0)),"",IFERROR(SUMIFS(DATA_GOC!$H:$H,DATA_GOC!$A:$A,"BOM",DATA_GOC!$D:$D,$B233,DATA_GOC!$E:$E,"Téc cát nghiền",DATA_GOC!$F:$F,"Xuất nội bộ từ téc",DATA_GOC!$B:$B,DATE($D$2,$B$2,Y$4)),0))</f>
        <v>0</v>
      </c>
      <c r="Z233" s="251">
        <f>IF(Z$4&gt;DAY(EOMONTH(DATE($D$2,$B$2,1),0)),"",IFERROR(SUMIFS(DATA_GOC!$H:$H,DATA_GOC!$A:$A,"BOM",DATA_GOC!$D:$D,$B233,DATA_GOC!$E:$E,"Téc cát nghiền",DATA_GOC!$F:$F,"Xuất nội bộ từ téc",DATA_GOC!$B:$B,DATE($D$2,$B$2,Z$4)),0))</f>
        <v>0</v>
      </c>
      <c r="AA233" s="251">
        <f>IF(AA$4&gt;DAY(EOMONTH(DATE($D$2,$B$2,1),0)),"",IFERROR(SUMIFS(DATA_GOC!$H:$H,DATA_GOC!$A:$A,"BOM",DATA_GOC!$D:$D,$B233,DATA_GOC!$E:$E,"Téc cát nghiền",DATA_GOC!$F:$F,"Xuất nội bộ từ téc",DATA_GOC!$B:$B,DATE($D$2,$B$2,AA$4)),0))</f>
        <v>0</v>
      </c>
      <c r="AB233" s="251">
        <f>IF(AB$4&gt;DAY(EOMONTH(DATE($D$2,$B$2,1),0)),"",IFERROR(SUMIFS(DATA_GOC!$H:$H,DATA_GOC!$A:$A,"BOM",DATA_GOC!$D:$D,$B233,DATA_GOC!$E:$E,"Téc cát nghiền",DATA_GOC!$F:$F,"Xuất nội bộ từ téc",DATA_GOC!$B:$B,DATE($D$2,$B$2,AB$4)),0))</f>
        <v>0</v>
      </c>
      <c r="AC233" s="251">
        <f>IF(AC$4&gt;DAY(EOMONTH(DATE($D$2,$B$2,1),0)),"",IFERROR(SUMIFS(DATA_GOC!$H:$H,DATA_GOC!$A:$A,"BOM",DATA_GOC!$D:$D,$B233,DATA_GOC!$E:$E,"Téc cát nghiền",DATA_GOC!$F:$F,"Xuất nội bộ từ téc",DATA_GOC!$B:$B,DATE($D$2,$B$2,AC$4)),0))</f>
        <v>0</v>
      </c>
      <c r="AD233" s="251">
        <f>IF(AD$4&gt;DAY(EOMONTH(DATE($D$2,$B$2,1),0)),"",IFERROR(SUMIFS(DATA_GOC!$H:$H,DATA_GOC!$A:$A,"BOM",DATA_GOC!$D:$D,$B233,DATA_GOC!$E:$E,"Téc cát nghiền",DATA_GOC!$F:$F,"Xuất nội bộ từ téc",DATA_GOC!$B:$B,DATE($D$2,$B$2,AD$4)),0))</f>
        <v>0</v>
      </c>
      <c r="AE233" s="251">
        <f>IF(AE$4&gt;DAY(EOMONTH(DATE($D$2,$B$2,1),0)),"",IFERROR(SUMIFS(DATA_GOC!$H:$H,DATA_GOC!$A:$A,"BOM",DATA_GOC!$D:$D,$B233,DATA_GOC!$E:$E,"Téc cát nghiền",DATA_GOC!$F:$F,"Xuất nội bộ từ téc",DATA_GOC!$B:$B,DATE($D$2,$B$2,AE$4)),0))</f>
        <v>0</v>
      </c>
      <c r="AF233" s="251">
        <f>IF(AF$4&gt;DAY(EOMONTH(DATE($D$2,$B$2,1),0)),"",IFERROR(SUMIFS(DATA_GOC!$H:$H,DATA_GOC!$A:$A,"BOM",DATA_GOC!$D:$D,$B233,DATA_GOC!$E:$E,"Téc cát nghiền",DATA_GOC!$F:$F,"Xuất nội bộ từ téc",DATA_GOC!$B:$B,DATE($D$2,$B$2,AF$4)),0))</f>
        <v>0</v>
      </c>
      <c r="AG233" s="251">
        <f>IF(AG$4&gt;DAY(EOMONTH(DATE($D$2,$B$2,1),0)),"",IFERROR(SUMIFS(DATA_GOC!$H:$H,DATA_GOC!$A:$A,"BOM",DATA_GOC!$D:$D,$B233,DATA_GOC!$E:$E,"Téc cát nghiền",DATA_GOC!$F:$F,"Xuất nội bộ từ téc",DATA_GOC!$B:$B,DATE($D$2,$B$2,AG$4)),0))</f>
        <v>0</v>
      </c>
      <c r="AH233" s="252">
        <f t="shared" si="10"/>
        <v>0</v>
      </c>
      <c r="AI233" s="241"/>
      <c r="AJ233" s="242">
        <f>IF($B233="","",SUMIFS(TINH_TEC!$K$233:$K$9232,TINH_TEC!$H$233:$H$9232,$B233,TINH_TEC!$C$233:$C$9232,"Téc cát nghiền",TINH_TEC!$F$233:$F$9232,$B$2,TINH_TEC!$G$233:$G$9232,$D$2,TINH_TEC!$B$233:$B$9232,"Đã chốt"))</f>
        <v>0</v>
      </c>
      <c r="AK233" s="242">
        <f>IF($B233="","",SUMIFS(TINH_TEC!$J$233:$J$9232,TINH_TEC!$H$233:$H$9232,$B233,TINH_TEC!$C$233:$C$9232,"Téc cát nghiền",TINH_TEC!$F$233:$F$9232,$B$2,TINH_TEC!$G$233:$G$9232,$D$2,TINH_TEC!$B$233:$B$9232,"Đã chốt"))</f>
        <v>0</v>
      </c>
      <c r="AL233" s="242">
        <f t="shared" si="11"/>
        <v>0</v>
      </c>
    </row>
    <row r="234" ht="15.75" customHeight="1">
      <c r="A234" s="237">
        <f>IF($B234&lt;&gt;"",46,"")</f>
        <v>46</v>
      </c>
      <c r="B234" s="250" t="str">
        <f t="array" ref="B234">IFERROR(INDEX(DANH_MUC!$E:$E,49),"")</f>
        <v>29E18160</v>
      </c>
      <c r="C234" s="251">
        <f>IF(C$4&gt;DAY(EOMONTH(DATE($D$2,$B$2,1),0)),"",IFERROR(SUMIFS(DATA_GOC!$H:$H,DATA_GOC!$A:$A,"BOM",DATA_GOC!$D:$D,$B234,DATA_GOC!$E:$E,"Téc cát nghiền",DATA_GOC!$F:$F,"Xuất nội bộ từ téc",DATA_GOC!$B:$B,DATE($D$2,$B$2,C$4)),0))</f>
        <v>0</v>
      </c>
      <c r="D234" s="251">
        <f>IF(D$4&gt;DAY(EOMONTH(DATE($D$2,$B$2,1),0)),"",IFERROR(SUMIFS(DATA_GOC!$H:$H,DATA_GOC!$A:$A,"BOM",DATA_GOC!$D:$D,$B234,DATA_GOC!$E:$E,"Téc cát nghiền",DATA_GOC!$F:$F,"Xuất nội bộ từ téc",DATA_GOC!$B:$B,DATE($D$2,$B$2,D$4)),0))</f>
        <v>0</v>
      </c>
      <c r="E234" s="251">
        <f>IF(E$4&gt;DAY(EOMONTH(DATE($D$2,$B$2,1),0)),"",IFERROR(SUMIFS(DATA_GOC!$H:$H,DATA_GOC!$A:$A,"BOM",DATA_GOC!$D:$D,$B234,DATA_GOC!$E:$E,"Téc cát nghiền",DATA_GOC!$F:$F,"Xuất nội bộ từ téc",DATA_GOC!$B:$B,DATE($D$2,$B$2,E$4)),0))</f>
        <v>0</v>
      </c>
      <c r="F234" s="251">
        <f>IF(F$4&gt;DAY(EOMONTH(DATE($D$2,$B$2,1),0)),"",IFERROR(SUMIFS(DATA_GOC!$H:$H,DATA_GOC!$A:$A,"BOM",DATA_GOC!$D:$D,$B234,DATA_GOC!$E:$E,"Téc cát nghiền",DATA_GOC!$F:$F,"Xuất nội bộ từ téc",DATA_GOC!$B:$B,DATE($D$2,$B$2,F$4)),0))</f>
        <v>0</v>
      </c>
      <c r="G234" s="251">
        <f>IF(G$4&gt;DAY(EOMONTH(DATE($D$2,$B$2,1),0)),"",IFERROR(SUMIFS(DATA_GOC!$H:$H,DATA_GOC!$A:$A,"BOM",DATA_GOC!$D:$D,$B234,DATA_GOC!$E:$E,"Téc cát nghiền",DATA_GOC!$F:$F,"Xuất nội bộ từ téc",DATA_GOC!$B:$B,DATE($D$2,$B$2,G$4)),0))</f>
        <v>0</v>
      </c>
      <c r="H234" s="251">
        <f>IF(H$4&gt;DAY(EOMONTH(DATE($D$2,$B$2,1),0)),"",IFERROR(SUMIFS(DATA_GOC!$H:$H,DATA_GOC!$A:$A,"BOM",DATA_GOC!$D:$D,$B234,DATA_GOC!$E:$E,"Téc cát nghiền",DATA_GOC!$F:$F,"Xuất nội bộ từ téc",DATA_GOC!$B:$B,DATE($D$2,$B$2,H$4)),0))</f>
        <v>0</v>
      </c>
      <c r="I234" s="251">
        <f>IF(I$4&gt;DAY(EOMONTH(DATE($D$2,$B$2,1),0)),"",IFERROR(SUMIFS(DATA_GOC!$H:$H,DATA_GOC!$A:$A,"BOM",DATA_GOC!$D:$D,$B234,DATA_GOC!$E:$E,"Téc cát nghiền",DATA_GOC!$F:$F,"Xuất nội bộ từ téc",DATA_GOC!$B:$B,DATE($D$2,$B$2,I$4)),0))</f>
        <v>0</v>
      </c>
      <c r="J234" s="251">
        <f>IF(J$4&gt;DAY(EOMONTH(DATE($D$2,$B$2,1),0)),"",IFERROR(SUMIFS(DATA_GOC!$H:$H,DATA_GOC!$A:$A,"BOM",DATA_GOC!$D:$D,$B234,DATA_GOC!$E:$E,"Téc cát nghiền",DATA_GOC!$F:$F,"Xuất nội bộ từ téc",DATA_GOC!$B:$B,DATE($D$2,$B$2,J$4)),0))</f>
        <v>0</v>
      </c>
      <c r="K234" s="251">
        <f>IF(K$4&gt;DAY(EOMONTH(DATE($D$2,$B$2,1),0)),"",IFERROR(SUMIFS(DATA_GOC!$H:$H,DATA_GOC!$A:$A,"BOM",DATA_GOC!$D:$D,$B234,DATA_GOC!$E:$E,"Téc cát nghiền",DATA_GOC!$F:$F,"Xuất nội bộ từ téc",DATA_GOC!$B:$B,DATE($D$2,$B$2,K$4)),0))</f>
        <v>0</v>
      </c>
      <c r="L234" s="251">
        <f>IF(L$4&gt;DAY(EOMONTH(DATE($D$2,$B$2,1),0)),"",IFERROR(SUMIFS(DATA_GOC!$H:$H,DATA_GOC!$A:$A,"BOM",DATA_GOC!$D:$D,$B234,DATA_GOC!$E:$E,"Téc cát nghiền",DATA_GOC!$F:$F,"Xuất nội bộ từ téc",DATA_GOC!$B:$B,DATE($D$2,$B$2,L$4)),0))</f>
        <v>0</v>
      </c>
      <c r="M234" s="251">
        <f>IF(M$4&gt;DAY(EOMONTH(DATE($D$2,$B$2,1),0)),"",IFERROR(SUMIFS(DATA_GOC!$H:$H,DATA_GOC!$A:$A,"BOM",DATA_GOC!$D:$D,$B234,DATA_GOC!$E:$E,"Téc cát nghiền",DATA_GOC!$F:$F,"Xuất nội bộ từ téc",DATA_GOC!$B:$B,DATE($D$2,$B$2,M$4)),0))</f>
        <v>0</v>
      </c>
      <c r="N234" s="251">
        <f>IF(N$4&gt;DAY(EOMONTH(DATE($D$2,$B$2,1),0)),"",IFERROR(SUMIFS(DATA_GOC!$H:$H,DATA_GOC!$A:$A,"BOM",DATA_GOC!$D:$D,$B234,DATA_GOC!$E:$E,"Téc cát nghiền",DATA_GOC!$F:$F,"Xuất nội bộ từ téc",DATA_GOC!$B:$B,DATE($D$2,$B$2,N$4)),0))</f>
        <v>0</v>
      </c>
      <c r="O234" s="251">
        <f>IF(O$4&gt;DAY(EOMONTH(DATE($D$2,$B$2,1),0)),"",IFERROR(SUMIFS(DATA_GOC!$H:$H,DATA_GOC!$A:$A,"BOM",DATA_GOC!$D:$D,$B234,DATA_GOC!$E:$E,"Téc cát nghiền",DATA_GOC!$F:$F,"Xuất nội bộ từ téc",DATA_GOC!$B:$B,DATE($D$2,$B$2,O$4)),0))</f>
        <v>0</v>
      </c>
      <c r="P234" s="251">
        <f>IF(P$4&gt;DAY(EOMONTH(DATE($D$2,$B$2,1),0)),"",IFERROR(SUMIFS(DATA_GOC!$H:$H,DATA_GOC!$A:$A,"BOM",DATA_GOC!$D:$D,$B234,DATA_GOC!$E:$E,"Téc cát nghiền",DATA_GOC!$F:$F,"Xuất nội bộ từ téc",DATA_GOC!$B:$B,DATE($D$2,$B$2,P$4)),0))</f>
        <v>0</v>
      </c>
      <c r="Q234" s="251">
        <f>IF(Q$4&gt;DAY(EOMONTH(DATE($D$2,$B$2,1),0)),"",IFERROR(SUMIFS(DATA_GOC!$H:$H,DATA_GOC!$A:$A,"BOM",DATA_GOC!$D:$D,$B234,DATA_GOC!$E:$E,"Téc cát nghiền",DATA_GOC!$F:$F,"Xuất nội bộ từ téc",DATA_GOC!$B:$B,DATE($D$2,$B$2,Q$4)),0))</f>
        <v>0</v>
      </c>
      <c r="R234" s="251">
        <f>IF(R$4&gt;DAY(EOMONTH(DATE($D$2,$B$2,1),0)),"",IFERROR(SUMIFS(DATA_GOC!$H:$H,DATA_GOC!$A:$A,"BOM",DATA_GOC!$D:$D,$B234,DATA_GOC!$E:$E,"Téc cát nghiền",DATA_GOC!$F:$F,"Xuất nội bộ từ téc",DATA_GOC!$B:$B,DATE($D$2,$B$2,R$4)),0))</f>
        <v>0</v>
      </c>
      <c r="S234" s="251">
        <f>IF(S$4&gt;DAY(EOMONTH(DATE($D$2,$B$2,1),0)),"",IFERROR(SUMIFS(DATA_GOC!$H:$H,DATA_GOC!$A:$A,"BOM",DATA_GOC!$D:$D,$B234,DATA_GOC!$E:$E,"Téc cát nghiền",DATA_GOC!$F:$F,"Xuất nội bộ từ téc",DATA_GOC!$B:$B,DATE($D$2,$B$2,S$4)),0))</f>
        <v>0</v>
      </c>
      <c r="T234" s="251">
        <f>IF(T$4&gt;DAY(EOMONTH(DATE($D$2,$B$2,1),0)),"",IFERROR(SUMIFS(DATA_GOC!$H:$H,DATA_GOC!$A:$A,"BOM",DATA_GOC!$D:$D,$B234,DATA_GOC!$E:$E,"Téc cát nghiền",DATA_GOC!$F:$F,"Xuất nội bộ từ téc",DATA_GOC!$B:$B,DATE($D$2,$B$2,T$4)),0))</f>
        <v>0</v>
      </c>
      <c r="U234" s="251">
        <f>IF(U$4&gt;DAY(EOMONTH(DATE($D$2,$B$2,1),0)),"",IFERROR(SUMIFS(DATA_GOC!$H:$H,DATA_GOC!$A:$A,"BOM",DATA_GOC!$D:$D,$B234,DATA_GOC!$E:$E,"Téc cát nghiền",DATA_GOC!$F:$F,"Xuất nội bộ từ téc",DATA_GOC!$B:$B,DATE($D$2,$B$2,U$4)),0))</f>
        <v>0</v>
      </c>
      <c r="V234" s="251">
        <f>IF(V$4&gt;DAY(EOMONTH(DATE($D$2,$B$2,1),0)),"",IFERROR(SUMIFS(DATA_GOC!$H:$H,DATA_GOC!$A:$A,"BOM",DATA_GOC!$D:$D,$B234,DATA_GOC!$E:$E,"Téc cát nghiền",DATA_GOC!$F:$F,"Xuất nội bộ từ téc",DATA_GOC!$B:$B,DATE($D$2,$B$2,V$4)),0))</f>
        <v>0</v>
      </c>
      <c r="W234" s="251">
        <f>IF(W$4&gt;DAY(EOMONTH(DATE($D$2,$B$2,1),0)),"",IFERROR(SUMIFS(DATA_GOC!$H:$H,DATA_GOC!$A:$A,"BOM",DATA_GOC!$D:$D,$B234,DATA_GOC!$E:$E,"Téc cát nghiền",DATA_GOC!$F:$F,"Xuất nội bộ từ téc",DATA_GOC!$B:$B,DATE($D$2,$B$2,W$4)),0))</f>
        <v>0</v>
      </c>
      <c r="X234" s="251">
        <f>IF(X$4&gt;DAY(EOMONTH(DATE($D$2,$B$2,1),0)),"",IFERROR(SUMIFS(DATA_GOC!$H:$H,DATA_GOC!$A:$A,"BOM",DATA_GOC!$D:$D,$B234,DATA_GOC!$E:$E,"Téc cát nghiền",DATA_GOC!$F:$F,"Xuất nội bộ từ téc",DATA_GOC!$B:$B,DATE($D$2,$B$2,X$4)),0))</f>
        <v>0</v>
      </c>
      <c r="Y234" s="251">
        <f>IF(Y$4&gt;DAY(EOMONTH(DATE($D$2,$B$2,1),0)),"",IFERROR(SUMIFS(DATA_GOC!$H:$H,DATA_GOC!$A:$A,"BOM",DATA_GOC!$D:$D,$B234,DATA_GOC!$E:$E,"Téc cát nghiền",DATA_GOC!$F:$F,"Xuất nội bộ từ téc",DATA_GOC!$B:$B,DATE($D$2,$B$2,Y$4)),0))</f>
        <v>0</v>
      </c>
      <c r="Z234" s="251">
        <f>IF(Z$4&gt;DAY(EOMONTH(DATE($D$2,$B$2,1),0)),"",IFERROR(SUMIFS(DATA_GOC!$H:$H,DATA_GOC!$A:$A,"BOM",DATA_GOC!$D:$D,$B234,DATA_GOC!$E:$E,"Téc cát nghiền",DATA_GOC!$F:$F,"Xuất nội bộ từ téc",DATA_GOC!$B:$B,DATE($D$2,$B$2,Z$4)),0))</f>
        <v>0</v>
      </c>
      <c r="AA234" s="251">
        <f>IF(AA$4&gt;DAY(EOMONTH(DATE($D$2,$B$2,1),0)),"",IFERROR(SUMIFS(DATA_GOC!$H:$H,DATA_GOC!$A:$A,"BOM",DATA_GOC!$D:$D,$B234,DATA_GOC!$E:$E,"Téc cát nghiền",DATA_GOC!$F:$F,"Xuất nội bộ từ téc",DATA_GOC!$B:$B,DATE($D$2,$B$2,AA$4)),0))</f>
        <v>0</v>
      </c>
      <c r="AB234" s="251">
        <f>IF(AB$4&gt;DAY(EOMONTH(DATE($D$2,$B$2,1),0)),"",IFERROR(SUMIFS(DATA_GOC!$H:$H,DATA_GOC!$A:$A,"BOM",DATA_GOC!$D:$D,$B234,DATA_GOC!$E:$E,"Téc cát nghiền",DATA_GOC!$F:$F,"Xuất nội bộ từ téc",DATA_GOC!$B:$B,DATE($D$2,$B$2,AB$4)),0))</f>
        <v>0</v>
      </c>
      <c r="AC234" s="251">
        <f>IF(AC$4&gt;DAY(EOMONTH(DATE($D$2,$B$2,1),0)),"",IFERROR(SUMIFS(DATA_GOC!$H:$H,DATA_GOC!$A:$A,"BOM",DATA_GOC!$D:$D,$B234,DATA_GOC!$E:$E,"Téc cát nghiền",DATA_GOC!$F:$F,"Xuất nội bộ từ téc",DATA_GOC!$B:$B,DATE($D$2,$B$2,AC$4)),0))</f>
        <v>0</v>
      </c>
      <c r="AD234" s="251">
        <f>IF(AD$4&gt;DAY(EOMONTH(DATE($D$2,$B$2,1),0)),"",IFERROR(SUMIFS(DATA_GOC!$H:$H,DATA_GOC!$A:$A,"BOM",DATA_GOC!$D:$D,$B234,DATA_GOC!$E:$E,"Téc cát nghiền",DATA_GOC!$F:$F,"Xuất nội bộ từ téc",DATA_GOC!$B:$B,DATE($D$2,$B$2,AD$4)),0))</f>
        <v>0</v>
      </c>
      <c r="AE234" s="251">
        <f>IF(AE$4&gt;DAY(EOMONTH(DATE($D$2,$B$2,1),0)),"",IFERROR(SUMIFS(DATA_GOC!$H:$H,DATA_GOC!$A:$A,"BOM",DATA_GOC!$D:$D,$B234,DATA_GOC!$E:$E,"Téc cát nghiền",DATA_GOC!$F:$F,"Xuất nội bộ từ téc",DATA_GOC!$B:$B,DATE($D$2,$B$2,AE$4)),0))</f>
        <v>0</v>
      </c>
      <c r="AF234" s="251">
        <f>IF(AF$4&gt;DAY(EOMONTH(DATE($D$2,$B$2,1),0)),"",IFERROR(SUMIFS(DATA_GOC!$H:$H,DATA_GOC!$A:$A,"BOM",DATA_GOC!$D:$D,$B234,DATA_GOC!$E:$E,"Téc cát nghiền",DATA_GOC!$F:$F,"Xuất nội bộ từ téc",DATA_GOC!$B:$B,DATE($D$2,$B$2,AF$4)),0))</f>
        <v>0</v>
      </c>
      <c r="AG234" s="251">
        <f>IF(AG$4&gt;DAY(EOMONTH(DATE($D$2,$B$2,1),0)),"",IFERROR(SUMIFS(DATA_GOC!$H:$H,DATA_GOC!$A:$A,"BOM",DATA_GOC!$D:$D,$B234,DATA_GOC!$E:$E,"Téc cát nghiền",DATA_GOC!$F:$F,"Xuất nội bộ từ téc",DATA_GOC!$B:$B,DATE($D$2,$B$2,AG$4)),0))</f>
        <v>0</v>
      </c>
      <c r="AH234" s="252">
        <f t="shared" si="10"/>
        <v>0</v>
      </c>
      <c r="AI234" s="241"/>
      <c r="AJ234" s="242">
        <f>IF($B234="","",SUMIFS(TINH_TEC!$K$233:$K$9232,TINH_TEC!$H$233:$H$9232,$B234,TINH_TEC!$C$233:$C$9232,"Téc cát nghiền",TINH_TEC!$F$233:$F$9232,$B$2,TINH_TEC!$G$233:$G$9232,$D$2,TINH_TEC!$B$233:$B$9232,"Đã chốt"))</f>
        <v>0</v>
      </c>
      <c r="AK234" s="242">
        <f>IF($B234="","",SUMIFS(TINH_TEC!$J$233:$J$9232,TINH_TEC!$H$233:$H$9232,$B234,TINH_TEC!$C$233:$C$9232,"Téc cát nghiền",TINH_TEC!$F$233:$F$9232,$B$2,TINH_TEC!$G$233:$G$9232,$D$2,TINH_TEC!$B$233:$B$9232,"Đã chốt"))</f>
        <v>0</v>
      </c>
      <c r="AL234" s="242">
        <f t="shared" si="11"/>
        <v>0</v>
      </c>
    </row>
    <row r="235" ht="15.75" customHeight="1">
      <c r="A235" s="237">
        <f>IF($B235&lt;&gt;"",47,"")</f>
        <v>47</v>
      </c>
      <c r="B235" s="250" t="str">
        <f t="array" ref="B235">IFERROR(INDEX(DANH_MUC!$E:$E,50),"")</f>
        <v>Công trình Asphalt</v>
      </c>
      <c r="C235" s="251">
        <f>IF(C$4&gt;DAY(EOMONTH(DATE($D$2,$B$2,1),0)),"",IFERROR(SUMIFS(DATA_GOC!$H:$H,DATA_GOC!$A:$A,"BOM",DATA_GOC!$D:$D,$B235,DATA_GOC!$E:$E,"Téc cát nghiền",DATA_GOC!$F:$F,"Xuất nội bộ từ téc",DATA_GOC!$B:$B,DATE($D$2,$B$2,C$4)),0))</f>
        <v>0</v>
      </c>
      <c r="D235" s="251">
        <f>IF(D$4&gt;DAY(EOMONTH(DATE($D$2,$B$2,1),0)),"",IFERROR(SUMIFS(DATA_GOC!$H:$H,DATA_GOC!$A:$A,"BOM",DATA_GOC!$D:$D,$B235,DATA_GOC!$E:$E,"Téc cát nghiền",DATA_GOC!$F:$F,"Xuất nội bộ từ téc",DATA_GOC!$B:$B,DATE($D$2,$B$2,D$4)),0))</f>
        <v>0</v>
      </c>
      <c r="E235" s="251">
        <f>IF(E$4&gt;DAY(EOMONTH(DATE($D$2,$B$2,1),0)),"",IFERROR(SUMIFS(DATA_GOC!$H:$H,DATA_GOC!$A:$A,"BOM",DATA_GOC!$D:$D,$B235,DATA_GOC!$E:$E,"Téc cát nghiền",DATA_GOC!$F:$F,"Xuất nội bộ từ téc",DATA_GOC!$B:$B,DATE($D$2,$B$2,E$4)),0))</f>
        <v>0</v>
      </c>
      <c r="F235" s="251">
        <f>IF(F$4&gt;DAY(EOMONTH(DATE($D$2,$B$2,1),0)),"",IFERROR(SUMIFS(DATA_GOC!$H:$H,DATA_GOC!$A:$A,"BOM",DATA_GOC!$D:$D,$B235,DATA_GOC!$E:$E,"Téc cát nghiền",DATA_GOC!$F:$F,"Xuất nội bộ từ téc",DATA_GOC!$B:$B,DATE($D$2,$B$2,F$4)),0))</f>
        <v>0</v>
      </c>
      <c r="G235" s="251">
        <f>IF(G$4&gt;DAY(EOMONTH(DATE($D$2,$B$2,1),0)),"",IFERROR(SUMIFS(DATA_GOC!$H:$H,DATA_GOC!$A:$A,"BOM",DATA_GOC!$D:$D,$B235,DATA_GOC!$E:$E,"Téc cát nghiền",DATA_GOC!$F:$F,"Xuất nội bộ từ téc",DATA_GOC!$B:$B,DATE($D$2,$B$2,G$4)),0))</f>
        <v>0</v>
      </c>
      <c r="H235" s="251">
        <f>IF(H$4&gt;DAY(EOMONTH(DATE($D$2,$B$2,1),0)),"",IFERROR(SUMIFS(DATA_GOC!$H:$H,DATA_GOC!$A:$A,"BOM",DATA_GOC!$D:$D,$B235,DATA_GOC!$E:$E,"Téc cát nghiền",DATA_GOC!$F:$F,"Xuất nội bộ từ téc",DATA_GOC!$B:$B,DATE($D$2,$B$2,H$4)),0))</f>
        <v>0</v>
      </c>
      <c r="I235" s="251">
        <f>IF(I$4&gt;DAY(EOMONTH(DATE($D$2,$B$2,1),0)),"",IFERROR(SUMIFS(DATA_GOC!$H:$H,DATA_GOC!$A:$A,"BOM",DATA_GOC!$D:$D,$B235,DATA_GOC!$E:$E,"Téc cát nghiền",DATA_GOC!$F:$F,"Xuất nội bộ từ téc",DATA_GOC!$B:$B,DATE($D$2,$B$2,I$4)),0))</f>
        <v>0</v>
      </c>
      <c r="J235" s="251">
        <f>IF(J$4&gt;DAY(EOMONTH(DATE($D$2,$B$2,1),0)),"",IFERROR(SUMIFS(DATA_GOC!$H:$H,DATA_GOC!$A:$A,"BOM",DATA_GOC!$D:$D,$B235,DATA_GOC!$E:$E,"Téc cát nghiền",DATA_GOC!$F:$F,"Xuất nội bộ từ téc",DATA_GOC!$B:$B,DATE($D$2,$B$2,J$4)),0))</f>
        <v>0</v>
      </c>
      <c r="K235" s="251">
        <f>IF(K$4&gt;DAY(EOMONTH(DATE($D$2,$B$2,1),0)),"",IFERROR(SUMIFS(DATA_GOC!$H:$H,DATA_GOC!$A:$A,"BOM",DATA_GOC!$D:$D,$B235,DATA_GOC!$E:$E,"Téc cát nghiền",DATA_GOC!$F:$F,"Xuất nội bộ từ téc",DATA_GOC!$B:$B,DATE($D$2,$B$2,K$4)),0))</f>
        <v>0</v>
      </c>
      <c r="L235" s="251">
        <f>IF(L$4&gt;DAY(EOMONTH(DATE($D$2,$B$2,1),0)),"",IFERROR(SUMIFS(DATA_GOC!$H:$H,DATA_GOC!$A:$A,"BOM",DATA_GOC!$D:$D,$B235,DATA_GOC!$E:$E,"Téc cát nghiền",DATA_GOC!$F:$F,"Xuất nội bộ từ téc",DATA_GOC!$B:$B,DATE($D$2,$B$2,L$4)),0))</f>
        <v>0</v>
      </c>
      <c r="M235" s="251">
        <f>IF(M$4&gt;DAY(EOMONTH(DATE($D$2,$B$2,1),0)),"",IFERROR(SUMIFS(DATA_GOC!$H:$H,DATA_GOC!$A:$A,"BOM",DATA_GOC!$D:$D,$B235,DATA_GOC!$E:$E,"Téc cát nghiền",DATA_GOC!$F:$F,"Xuất nội bộ từ téc",DATA_GOC!$B:$B,DATE($D$2,$B$2,M$4)),0))</f>
        <v>0</v>
      </c>
      <c r="N235" s="251">
        <f>IF(N$4&gt;DAY(EOMONTH(DATE($D$2,$B$2,1),0)),"",IFERROR(SUMIFS(DATA_GOC!$H:$H,DATA_GOC!$A:$A,"BOM",DATA_GOC!$D:$D,$B235,DATA_GOC!$E:$E,"Téc cát nghiền",DATA_GOC!$F:$F,"Xuất nội bộ từ téc",DATA_GOC!$B:$B,DATE($D$2,$B$2,N$4)),0))</f>
        <v>0</v>
      </c>
      <c r="O235" s="251">
        <f>IF(O$4&gt;DAY(EOMONTH(DATE($D$2,$B$2,1),0)),"",IFERROR(SUMIFS(DATA_GOC!$H:$H,DATA_GOC!$A:$A,"BOM",DATA_GOC!$D:$D,$B235,DATA_GOC!$E:$E,"Téc cát nghiền",DATA_GOC!$F:$F,"Xuất nội bộ từ téc",DATA_GOC!$B:$B,DATE($D$2,$B$2,O$4)),0))</f>
        <v>0</v>
      </c>
      <c r="P235" s="251">
        <f>IF(P$4&gt;DAY(EOMONTH(DATE($D$2,$B$2,1),0)),"",IFERROR(SUMIFS(DATA_GOC!$H:$H,DATA_GOC!$A:$A,"BOM",DATA_GOC!$D:$D,$B235,DATA_GOC!$E:$E,"Téc cát nghiền",DATA_GOC!$F:$F,"Xuất nội bộ từ téc",DATA_GOC!$B:$B,DATE($D$2,$B$2,P$4)),0))</f>
        <v>0</v>
      </c>
      <c r="Q235" s="251">
        <f>IF(Q$4&gt;DAY(EOMONTH(DATE($D$2,$B$2,1),0)),"",IFERROR(SUMIFS(DATA_GOC!$H:$H,DATA_GOC!$A:$A,"BOM",DATA_GOC!$D:$D,$B235,DATA_GOC!$E:$E,"Téc cát nghiền",DATA_GOC!$F:$F,"Xuất nội bộ từ téc",DATA_GOC!$B:$B,DATE($D$2,$B$2,Q$4)),0))</f>
        <v>0</v>
      </c>
      <c r="R235" s="251">
        <f>IF(R$4&gt;DAY(EOMONTH(DATE($D$2,$B$2,1),0)),"",IFERROR(SUMIFS(DATA_GOC!$H:$H,DATA_GOC!$A:$A,"BOM",DATA_GOC!$D:$D,$B235,DATA_GOC!$E:$E,"Téc cát nghiền",DATA_GOC!$F:$F,"Xuất nội bộ từ téc",DATA_GOC!$B:$B,DATE($D$2,$B$2,R$4)),0))</f>
        <v>0</v>
      </c>
      <c r="S235" s="251">
        <f>IF(S$4&gt;DAY(EOMONTH(DATE($D$2,$B$2,1),0)),"",IFERROR(SUMIFS(DATA_GOC!$H:$H,DATA_GOC!$A:$A,"BOM",DATA_GOC!$D:$D,$B235,DATA_GOC!$E:$E,"Téc cát nghiền",DATA_GOC!$F:$F,"Xuất nội bộ từ téc",DATA_GOC!$B:$B,DATE($D$2,$B$2,S$4)),0))</f>
        <v>0</v>
      </c>
      <c r="T235" s="251">
        <f>IF(T$4&gt;DAY(EOMONTH(DATE($D$2,$B$2,1),0)),"",IFERROR(SUMIFS(DATA_GOC!$H:$H,DATA_GOC!$A:$A,"BOM",DATA_GOC!$D:$D,$B235,DATA_GOC!$E:$E,"Téc cát nghiền",DATA_GOC!$F:$F,"Xuất nội bộ từ téc",DATA_GOC!$B:$B,DATE($D$2,$B$2,T$4)),0))</f>
        <v>0</v>
      </c>
      <c r="U235" s="251">
        <f>IF(U$4&gt;DAY(EOMONTH(DATE($D$2,$B$2,1),0)),"",IFERROR(SUMIFS(DATA_GOC!$H:$H,DATA_GOC!$A:$A,"BOM",DATA_GOC!$D:$D,$B235,DATA_GOC!$E:$E,"Téc cát nghiền",DATA_GOC!$F:$F,"Xuất nội bộ từ téc",DATA_GOC!$B:$B,DATE($D$2,$B$2,U$4)),0))</f>
        <v>0</v>
      </c>
      <c r="V235" s="251">
        <f>IF(V$4&gt;DAY(EOMONTH(DATE($D$2,$B$2,1),0)),"",IFERROR(SUMIFS(DATA_GOC!$H:$H,DATA_GOC!$A:$A,"BOM",DATA_GOC!$D:$D,$B235,DATA_GOC!$E:$E,"Téc cát nghiền",DATA_GOC!$F:$F,"Xuất nội bộ từ téc",DATA_GOC!$B:$B,DATE($D$2,$B$2,V$4)),0))</f>
        <v>0</v>
      </c>
      <c r="W235" s="251">
        <f>IF(W$4&gt;DAY(EOMONTH(DATE($D$2,$B$2,1),0)),"",IFERROR(SUMIFS(DATA_GOC!$H:$H,DATA_GOC!$A:$A,"BOM",DATA_GOC!$D:$D,$B235,DATA_GOC!$E:$E,"Téc cát nghiền",DATA_GOC!$F:$F,"Xuất nội bộ từ téc",DATA_GOC!$B:$B,DATE($D$2,$B$2,W$4)),0))</f>
        <v>0</v>
      </c>
      <c r="X235" s="251">
        <f>IF(X$4&gt;DAY(EOMONTH(DATE($D$2,$B$2,1),0)),"",IFERROR(SUMIFS(DATA_GOC!$H:$H,DATA_GOC!$A:$A,"BOM",DATA_GOC!$D:$D,$B235,DATA_GOC!$E:$E,"Téc cát nghiền",DATA_GOC!$F:$F,"Xuất nội bộ từ téc",DATA_GOC!$B:$B,DATE($D$2,$B$2,X$4)),0))</f>
        <v>0</v>
      </c>
      <c r="Y235" s="251">
        <f>IF(Y$4&gt;DAY(EOMONTH(DATE($D$2,$B$2,1),0)),"",IFERROR(SUMIFS(DATA_GOC!$H:$H,DATA_GOC!$A:$A,"BOM",DATA_GOC!$D:$D,$B235,DATA_GOC!$E:$E,"Téc cát nghiền",DATA_GOC!$F:$F,"Xuất nội bộ từ téc",DATA_GOC!$B:$B,DATE($D$2,$B$2,Y$4)),0))</f>
        <v>0</v>
      </c>
      <c r="Z235" s="251">
        <f>IF(Z$4&gt;DAY(EOMONTH(DATE($D$2,$B$2,1),0)),"",IFERROR(SUMIFS(DATA_GOC!$H:$H,DATA_GOC!$A:$A,"BOM",DATA_GOC!$D:$D,$B235,DATA_GOC!$E:$E,"Téc cát nghiền",DATA_GOC!$F:$F,"Xuất nội bộ từ téc",DATA_GOC!$B:$B,DATE($D$2,$B$2,Z$4)),0))</f>
        <v>0</v>
      </c>
      <c r="AA235" s="251">
        <f>IF(AA$4&gt;DAY(EOMONTH(DATE($D$2,$B$2,1),0)),"",IFERROR(SUMIFS(DATA_GOC!$H:$H,DATA_GOC!$A:$A,"BOM",DATA_GOC!$D:$D,$B235,DATA_GOC!$E:$E,"Téc cát nghiền",DATA_GOC!$F:$F,"Xuất nội bộ từ téc",DATA_GOC!$B:$B,DATE($D$2,$B$2,AA$4)),0))</f>
        <v>0</v>
      </c>
      <c r="AB235" s="251">
        <f>IF(AB$4&gt;DAY(EOMONTH(DATE($D$2,$B$2,1),0)),"",IFERROR(SUMIFS(DATA_GOC!$H:$H,DATA_GOC!$A:$A,"BOM",DATA_GOC!$D:$D,$B235,DATA_GOC!$E:$E,"Téc cát nghiền",DATA_GOC!$F:$F,"Xuất nội bộ từ téc",DATA_GOC!$B:$B,DATE($D$2,$B$2,AB$4)),0))</f>
        <v>0</v>
      </c>
      <c r="AC235" s="251">
        <f>IF(AC$4&gt;DAY(EOMONTH(DATE($D$2,$B$2,1),0)),"",IFERROR(SUMIFS(DATA_GOC!$H:$H,DATA_GOC!$A:$A,"BOM",DATA_GOC!$D:$D,$B235,DATA_GOC!$E:$E,"Téc cát nghiền",DATA_GOC!$F:$F,"Xuất nội bộ từ téc",DATA_GOC!$B:$B,DATE($D$2,$B$2,AC$4)),0))</f>
        <v>0</v>
      </c>
      <c r="AD235" s="251">
        <f>IF(AD$4&gt;DAY(EOMONTH(DATE($D$2,$B$2,1),0)),"",IFERROR(SUMIFS(DATA_GOC!$H:$H,DATA_GOC!$A:$A,"BOM",DATA_GOC!$D:$D,$B235,DATA_GOC!$E:$E,"Téc cát nghiền",DATA_GOC!$F:$F,"Xuất nội bộ từ téc",DATA_GOC!$B:$B,DATE($D$2,$B$2,AD$4)),0))</f>
        <v>0</v>
      </c>
      <c r="AE235" s="251">
        <f>IF(AE$4&gt;DAY(EOMONTH(DATE($D$2,$B$2,1),0)),"",IFERROR(SUMIFS(DATA_GOC!$H:$H,DATA_GOC!$A:$A,"BOM",DATA_GOC!$D:$D,$B235,DATA_GOC!$E:$E,"Téc cát nghiền",DATA_GOC!$F:$F,"Xuất nội bộ từ téc",DATA_GOC!$B:$B,DATE($D$2,$B$2,AE$4)),0))</f>
        <v>0</v>
      </c>
      <c r="AF235" s="251">
        <f>IF(AF$4&gt;DAY(EOMONTH(DATE($D$2,$B$2,1),0)),"",IFERROR(SUMIFS(DATA_GOC!$H:$H,DATA_GOC!$A:$A,"BOM",DATA_GOC!$D:$D,$B235,DATA_GOC!$E:$E,"Téc cát nghiền",DATA_GOC!$F:$F,"Xuất nội bộ từ téc",DATA_GOC!$B:$B,DATE($D$2,$B$2,AF$4)),0))</f>
        <v>0</v>
      </c>
      <c r="AG235" s="251">
        <f>IF(AG$4&gt;DAY(EOMONTH(DATE($D$2,$B$2,1),0)),"",IFERROR(SUMIFS(DATA_GOC!$H:$H,DATA_GOC!$A:$A,"BOM",DATA_GOC!$D:$D,$B235,DATA_GOC!$E:$E,"Téc cát nghiền",DATA_GOC!$F:$F,"Xuất nội bộ từ téc",DATA_GOC!$B:$B,DATE($D$2,$B$2,AG$4)),0))</f>
        <v>0</v>
      </c>
      <c r="AH235" s="252">
        <f t="shared" si="10"/>
        <v>0</v>
      </c>
      <c r="AI235" s="241"/>
      <c r="AJ235" s="242">
        <f>IF($B235="","",SUMIFS(TINH_TEC!$K$233:$K$9232,TINH_TEC!$H$233:$H$9232,$B235,TINH_TEC!$C$233:$C$9232,"Téc cát nghiền",TINH_TEC!$F$233:$F$9232,$B$2,TINH_TEC!$G$233:$G$9232,$D$2,TINH_TEC!$B$233:$B$9232,"Đã chốt"))</f>
        <v>0</v>
      </c>
      <c r="AK235" s="242">
        <f>IF($B235="","",SUMIFS(TINH_TEC!$J$233:$J$9232,TINH_TEC!$H$233:$H$9232,$B235,TINH_TEC!$C$233:$C$9232,"Téc cát nghiền",TINH_TEC!$F$233:$F$9232,$B$2,TINH_TEC!$G$233:$G$9232,$D$2,TINH_TEC!$B$233:$B$9232,"Đã chốt"))</f>
        <v>0</v>
      </c>
      <c r="AL235" s="242">
        <f t="shared" si="11"/>
        <v>0</v>
      </c>
    </row>
    <row r="236" ht="15.75" customHeight="1">
      <c r="A236" s="237">
        <f>IF($B236&lt;&gt;"",48,"")</f>
        <v>48</v>
      </c>
      <c r="B236" s="250" t="str">
        <f t="array" ref="B236">IFERROR(INDEX(DANH_MUC!$E:$E,51),"")</f>
        <v>LG53F</v>
      </c>
      <c r="C236" s="251">
        <f>IF(C$4&gt;DAY(EOMONTH(DATE($D$2,$B$2,1),0)),"",IFERROR(SUMIFS(DATA_GOC!$H:$H,DATA_GOC!$A:$A,"BOM",DATA_GOC!$D:$D,$B236,DATA_GOC!$E:$E,"Téc cát nghiền",DATA_GOC!$F:$F,"Xuất nội bộ từ téc",DATA_GOC!$B:$B,DATE($D$2,$B$2,C$4)),0))</f>
        <v>0</v>
      </c>
      <c r="D236" s="251">
        <f>IF(D$4&gt;DAY(EOMONTH(DATE($D$2,$B$2,1),0)),"",IFERROR(SUMIFS(DATA_GOC!$H:$H,DATA_GOC!$A:$A,"BOM",DATA_GOC!$D:$D,$B236,DATA_GOC!$E:$E,"Téc cát nghiền",DATA_GOC!$F:$F,"Xuất nội bộ từ téc",DATA_GOC!$B:$B,DATE($D$2,$B$2,D$4)),0))</f>
        <v>0</v>
      </c>
      <c r="E236" s="251">
        <f>IF(E$4&gt;DAY(EOMONTH(DATE($D$2,$B$2,1),0)),"",IFERROR(SUMIFS(DATA_GOC!$H:$H,DATA_GOC!$A:$A,"BOM",DATA_GOC!$D:$D,$B236,DATA_GOC!$E:$E,"Téc cát nghiền",DATA_GOC!$F:$F,"Xuất nội bộ từ téc",DATA_GOC!$B:$B,DATE($D$2,$B$2,E$4)),0))</f>
        <v>0</v>
      </c>
      <c r="F236" s="251">
        <f>IF(F$4&gt;DAY(EOMONTH(DATE($D$2,$B$2,1),0)),"",IFERROR(SUMIFS(DATA_GOC!$H:$H,DATA_GOC!$A:$A,"BOM",DATA_GOC!$D:$D,$B236,DATA_GOC!$E:$E,"Téc cát nghiền",DATA_GOC!$F:$F,"Xuất nội bộ từ téc",DATA_GOC!$B:$B,DATE($D$2,$B$2,F$4)),0))</f>
        <v>0</v>
      </c>
      <c r="G236" s="251">
        <f>IF(G$4&gt;DAY(EOMONTH(DATE($D$2,$B$2,1),0)),"",IFERROR(SUMIFS(DATA_GOC!$H:$H,DATA_GOC!$A:$A,"BOM",DATA_GOC!$D:$D,$B236,DATA_GOC!$E:$E,"Téc cát nghiền",DATA_GOC!$F:$F,"Xuất nội bộ từ téc",DATA_GOC!$B:$B,DATE($D$2,$B$2,G$4)),0))</f>
        <v>0</v>
      </c>
      <c r="H236" s="251">
        <f>IF(H$4&gt;DAY(EOMONTH(DATE($D$2,$B$2,1),0)),"",IFERROR(SUMIFS(DATA_GOC!$H:$H,DATA_GOC!$A:$A,"BOM",DATA_GOC!$D:$D,$B236,DATA_GOC!$E:$E,"Téc cát nghiền",DATA_GOC!$F:$F,"Xuất nội bộ từ téc",DATA_GOC!$B:$B,DATE($D$2,$B$2,H$4)),0))</f>
        <v>0</v>
      </c>
      <c r="I236" s="251">
        <f>IF(I$4&gt;DAY(EOMONTH(DATE($D$2,$B$2,1),0)),"",IFERROR(SUMIFS(DATA_GOC!$H:$H,DATA_GOC!$A:$A,"BOM",DATA_GOC!$D:$D,$B236,DATA_GOC!$E:$E,"Téc cát nghiền",DATA_GOC!$F:$F,"Xuất nội bộ từ téc",DATA_GOC!$B:$B,DATE($D$2,$B$2,I$4)),0))</f>
        <v>0</v>
      </c>
      <c r="J236" s="251">
        <f>IF(J$4&gt;DAY(EOMONTH(DATE($D$2,$B$2,1),0)),"",IFERROR(SUMIFS(DATA_GOC!$H:$H,DATA_GOC!$A:$A,"BOM",DATA_GOC!$D:$D,$B236,DATA_GOC!$E:$E,"Téc cát nghiền",DATA_GOC!$F:$F,"Xuất nội bộ từ téc",DATA_GOC!$B:$B,DATE($D$2,$B$2,J$4)),0))</f>
        <v>0</v>
      </c>
      <c r="K236" s="251">
        <f>IF(K$4&gt;DAY(EOMONTH(DATE($D$2,$B$2,1),0)),"",IFERROR(SUMIFS(DATA_GOC!$H:$H,DATA_GOC!$A:$A,"BOM",DATA_GOC!$D:$D,$B236,DATA_GOC!$E:$E,"Téc cát nghiền",DATA_GOC!$F:$F,"Xuất nội bộ từ téc",DATA_GOC!$B:$B,DATE($D$2,$B$2,K$4)),0))</f>
        <v>0</v>
      </c>
      <c r="L236" s="251">
        <f>IF(L$4&gt;DAY(EOMONTH(DATE($D$2,$B$2,1),0)),"",IFERROR(SUMIFS(DATA_GOC!$H:$H,DATA_GOC!$A:$A,"BOM",DATA_GOC!$D:$D,$B236,DATA_GOC!$E:$E,"Téc cát nghiền",DATA_GOC!$F:$F,"Xuất nội bộ từ téc",DATA_GOC!$B:$B,DATE($D$2,$B$2,L$4)),0))</f>
        <v>0</v>
      </c>
      <c r="M236" s="251">
        <f>IF(M$4&gt;DAY(EOMONTH(DATE($D$2,$B$2,1),0)),"",IFERROR(SUMIFS(DATA_GOC!$H:$H,DATA_GOC!$A:$A,"BOM",DATA_GOC!$D:$D,$B236,DATA_GOC!$E:$E,"Téc cát nghiền",DATA_GOC!$F:$F,"Xuất nội bộ từ téc",DATA_GOC!$B:$B,DATE($D$2,$B$2,M$4)),0))</f>
        <v>0</v>
      </c>
      <c r="N236" s="251">
        <f>IF(N$4&gt;DAY(EOMONTH(DATE($D$2,$B$2,1),0)),"",IFERROR(SUMIFS(DATA_GOC!$H:$H,DATA_GOC!$A:$A,"BOM",DATA_GOC!$D:$D,$B236,DATA_GOC!$E:$E,"Téc cát nghiền",DATA_GOC!$F:$F,"Xuất nội bộ từ téc",DATA_GOC!$B:$B,DATE($D$2,$B$2,N$4)),0))</f>
        <v>0</v>
      </c>
      <c r="O236" s="251">
        <f>IF(O$4&gt;DAY(EOMONTH(DATE($D$2,$B$2,1),0)),"",IFERROR(SUMIFS(DATA_GOC!$H:$H,DATA_GOC!$A:$A,"BOM",DATA_GOC!$D:$D,$B236,DATA_GOC!$E:$E,"Téc cát nghiền",DATA_GOC!$F:$F,"Xuất nội bộ từ téc",DATA_GOC!$B:$B,DATE($D$2,$B$2,O$4)),0))</f>
        <v>0</v>
      </c>
      <c r="P236" s="251">
        <f>IF(P$4&gt;DAY(EOMONTH(DATE($D$2,$B$2,1),0)),"",IFERROR(SUMIFS(DATA_GOC!$H:$H,DATA_GOC!$A:$A,"BOM",DATA_GOC!$D:$D,$B236,DATA_GOC!$E:$E,"Téc cát nghiền",DATA_GOC!$F:$F,"Xuất nội bộ từ téc",DATA_GOC!$B:$B,DATE($D$2,$B$2,P$4)),0))</f>
        <v>0</v>
      </c>
      <c r="Q236" s="251">
        <f>IF(Q$4&gt;DAY(EOMONTH(DATE($D$2,$B$2,1),0)),"",IFERROR(SUMIFS(DATA_GOC!$H:$H,DATA_GOC!$A:$A,"BOM",DATA_GOC!$D:$D,$B236,DATA_GOC!$E:$E,"Téc cát nghiền",DATA_GOC!$F:$F,"Xuất nội bộ từ téc",DATA_GOC!$B:$B,DATE($D$2,$B$2,Q$4)),0))</f>
        <v>0</v>
      </c>
      <c r="R236" s="251">
        <f>IF(R$4&gt;DAY(EOMONTH(DATE($D$2,$B$2,1),0)),"",IFERROR(SUMIFS(DATA_GOC!$H:$H,DATA_GOC!$A:$A,"BOM",DATA_GOC!$D:$D,$B236,DATA_GOC!$E:$E,"Téc cát nghiền",DATA_GOC!$F:$F,"Xuất nội bộ từ téc",DATA_GOC!$B:$B,DATE($D$2,$B$2,R$4)),0))</f>
        <v>0</v>
      </c>
      <c r="S236" s="251">
        <f>IF(S$4&gt;DAY(EOMONTH(DATE($D$2,$B$2,1),0)),"",IFERROR(SUMIFS(DATA_GOC!$H:$H,DATA_GOC!$A:$A,"BOM",DATA_GOC!$D:$D,$B236,DATA_GOC!$E:$E,"Téc cát nghiền",DATA_GOC!$F:$F,"Xuất nội bộ từ téc",DATA_GOC!$B:$B,DATE($D$2,$B$2,S$4)),0))</f>
        <v>0</v>
      </c>
      <c r="T236" s="251">
        <f>IF(T$4&gt;DAY(EOMONTH(DATE($D$2,$B$2,1),0)),"",IFERROR(SUMIFS(DATA_GOC!$H:$H,DATA_GOC!$A:$A,"BOM",DATA_GOC!$D:$D,$B236,DATA_GOC!$E:$E,"Téc cát nghiền",DATA_GOC!$F:$F,"Xuất nội bộ từ téc",DATA_GOC!$B:$B,DATE($D$2,$B$2,T$4)),0))</f>
        <v>0</v>
      </c>
      <c r="U236" s="251">
        <f>IF(U$4&gt;DAY(EOMONTH(DATE($D$2,$B$2,1),0)),"",IFERROR(SUMIFS(DATA_GOC!$H:$H,DATA_GOC!$A:$A,"BOM",DATA_GOC!$D:$D,$B236,DATA_GOC!$E:$E,"Téc cát nghiền",DATA_GOC!$F:$F,"Xuất nội bộ từ téc",DATA_GOC!$B:$B,DATE($D$2,$B$2,U$4)),0))</f>
        <v>0</v>
      </c>
      <c r="V236" s="251">
        <f>IF(V$4&gt;DAY(EOMONTH(DATE($D$2,$B$2,1),0)),"",IFERROR(SUMIFS(DATA_GOC!$H:$H,DATA_GOC!$A:$A,"BOM",DATA_GOC!$D:$D,$B236,DATA_GOC!$E:$E,"Téc cát nghiền",DATA_GOC!$F:$F,"Xuất nội bộ từ téc",DATA_GOC!$B:$B,DATE($D$2,$B$2,V$4)),0))</f>
        <v>0</v>
      </c>
      <c r="W236" s="251">
        <f>IF(W$4&gt;DAY(EOMONTH(DATE($D$2,$B$2,1),0)),"",IFERROR(SUMIFS(DATA_GOC!$H:$H,DATA_GOC!$A:$A,"BOM",DATA_GOC!$D:$D,$B236,DATA_GOC!$E:$E,"Téc cát nghiền",DATA_GOC!$F:$F,"Xuất nội bộ từ téc",DATA_GOC!$B:$B,DATE($D$2,$B$2,W$4)),0))</f>
        <v>0</v>
      </c>
      <c r="X236" s="251">
        <f>IF(X$4&gt;DAY(EOMONTH(DATE($D$2,$B$2,1),0)),"",IFERROR(SUMIFS(DATA_GOC!$H:$H,DATA_GOC!$A:$A,"BOM",DATA_GOC!$D:$D,$B236,DATA_GOC!$E:$E,"Téc cát nghiền",DATA_GOC!$F:$F,"Xuất nội bộ từ téc",DATA_GOC!$B:$B,DATE($D$2,$B$2,X$4)),0))</f>
        <v>0</v>
      </c>
      <c r="Y236" s="251">
        <f>IF(Y$4&gt;DAY(EOMONTH(DATE($D$2,$B$2,1),0)),"",IFERROR(SUMIFS(DATA_GOC!$H:$H,DATA_GOC!$A:$A,"BOM",DATA_GOC!$D:$D,$B236,DATA_GOC!$E:$E,"Téc cát nghiền",DATA_GOC!$F:$F,"Xuất nội bộ từ téc",DATA_GOC!$B:$B,DATE($D$2,$B$2,Y$4)),0))</f>
        <v>0</v>
      </c>
      <c r="Z236" s="251">
        <f>IF(Z$4&gt;DAY(EOMONTH(DATE($D$2,$B$2,1),0)),"",IFERROR(SUMIFS(DATA_GOC!$H:$H,DATA_GOC!$A:$A,"BOM",DATA_GOC!$D:$D,$B236,DATA_GOC!$E:$E,"Téc cát nghiền",DATA_GOC!$F:$F,"Xuất nội bộ từ téc",DATA_GOC!$B:$B,DATE($D$2,$B$2,Z$4)),0))</f>
        <v>0</v>
      </c>
      <c r="AA236" s="251">
        <f>IF(AA$4&gt;DAY(EOMONTH(DATE($D$2,$B$2,1),0)),"",IFERROR(SUMIFS(DATA_GOC!$H:$H,DATA_GOC!$A:$A,"BOM",DATA_GOC!$D:$D,$B236,DATA_GOC!$E:$E,"Téc cát nghiền",DATA_GOC!$F:$F,"Xuất nội bộ từ téc",DATA_GOC!$B:$B,DATE($D$2,$B$2,AA$4)),0))</f>
        <v>0</v>
      </c>
      <c r="AB236" s="251">
        <f>IF(AB$4&gt;DAY(EOMONTH(DATE($D$2,$B$2,1),0)),"",IFERROR(SUMIFS(DATA_GOC!$H:$H,DATA_GOC!$A:$A,"BOM",DATA_GOC!$D:$D,$B236,DATA_GOC!$E:$E,"Téc cát nghiền",DATA_GOC!$F:$F,"Xuất nội bộ từ téc",DATA_GOC!$B:$B,DATE($D$2,$B$2,AB$4)),0))</f>
        <v>0</v>
      </c>
      <c r="AC236" s="251">
        <f>IF(AC$4&gt;DAY(EOMONTH(DATE($D$2,$B$2,1),0)),"",IFERROR(SUMIFS(DATA_GOC!$H:$H,DATA_GOC!$A:$A,"BOM",DATA_GOC!$D:$D,$B236,DATA_GOC!$E:$E,"Téc cát nghiền",DATA_GOC!$F:$F,"Xuất nội bộ từ téc",DATA_GOC!$B:$B,DATE($D$2,$B$2,AC$4)),0))</f>
        <v>0</v>
      </c>
      <c r="AD236" s="251">
        <f>IF(AD$4&gt;DAY(EOMONTH(DATE($D$2,$B$2,1),0)),"",IFERROR(SUMIFS(DATA_GOC!$H:$H,DATA_GOC!$A:$A,"BOM",DATA_GOC!$D:$D,$B236,DATA_GOC!$E:$E,"Téc cát nghiền",DATA_GOC!$F:$F,"Xuất nội bộ từ téc",DATA_GOC!$B:$B,DATE($D$2,$B$2,AD$4)),0))</f>
        <v>0</v>
      </c>
      <c r="AE236" s="251">
        <f>IF(AE$4&gt;DAY(EOMONTH(DATE($D$2,$B$2,1),0)),"",IFERROR(SUMIFS(DATA_GOC!$H:$H,DATA_GOC!$A:$A,"BOM",DATA_GOC!$D:$D,$B236,DATA_GOC!$E:$E,"Téc cát nghiền",DATA_GOC!$F:$F,"Xuất nội bộ từ téc",DATA_GOC!$B:$B,DATE($D$2,$B$2,AE$4)),0))</f>
        <v>0</v>
      </c>
      <c r="AF236" s="251">
        <f>IF(AF$4&gt;DAY(EOMONTH(DATE($D$2,$B$2,1),0)),"",IFERROR(SUMIFS(DATA_GOC!$H:$H,DATA_GOC!$A:$A,"BOM",DATA_GOC!$D:$D,$B236,DATA_GOC!$E:$E,"Téc cát nghiền",DATA_GOC!$F:$F,"Xuất nội bộ từ téc",DATA_GOC!$B:$B,DATE($D$2,$B$2,AF$4)),0))</f>
        <v>0</v>
      </c>
      <c r="AG236" s="251">
        <f>IF(AG$4&gt;DAY(EOMONTH(DATE($D$2,$B$2,1),0)),"",IFERROR(SUMIFS(DATA_GOC!$H:$H,DATA_GOC!$A:$A,"BOM",DATA_GOC!$D:$D,$B236,DATA_GOC!$E:$E,"Téc cát nghiền",DATA_GOC!$F:$F,"Xuất nội bộ từ téc",DATA_GOC!$B:$B,DATE($D$2,$B$2,AG$4)),0))</f>
        <v>0</v>
      </c>
      <c r="AH236" s="252">
        <f t="shared" si="10"/>
        <v>0</v>
      </c>
      <c r="AI236" s="241"/>
      <c r="AJ236" s="242">
        <f>IF($B236="","",SUMIFS(TINH_TEC!$K$233:$K$9232,TINH_TEC!$H$233:$H$9232,$B236,TINH_TEC!$C$233:$C$9232,"Téc cát nghiền",TINH_TEC!$F$233:$F$9232,$B$2,TINH_TEC!$G$233:$G$9232,$D$2,TINH_TEC!$B$233:$B$9232,"Đã chốt"))</f>
        <v>0</v>
      </c>
      <c r="AK236" s="242">
        <f>IF($B236="","",SUMIFS(TINH_TEC!$J$233:$J$9232,TINH_TEC!$H$233:$H$9232,$B236,TINH_TEC!$C$233:$C$9232,"Téc cát nghiền",TINH_TEC!$F$233:$F$9232,$B$2,TINH_TEC!$G$233:$G$9232,$D$2,TINH_TEC!$B$233:$B$9232,"Đã chốt"))</f>
        <v>0</v>
      </c>
      <c r="AL236" s="242">
        <f t="shared" si="11"/>
        <v>0</v>
      </c>
    </row>
    <row r="237" ht="15.75" customHeight="1">
      <c r="A237" s="237">
        <f>IF($B237&lt;&gt;"",49,"")</f>
        <v>49</v>
      </c>
      <c r="B237" s="250" t="str">
        <f t="array" ref="B237">IFERROR(INDEX(DANH_MUC!$E:$E,52),"")</f>
        <v>Máy phát điện</v>
      </c>
      <c r="C237" s="251">
        <f>IF(C$4&gt;DAY(EOMONTH(DATE($D$2,$B$2,1),0)),"",IFERROR(SUMIFS(DATA_GOC!$H:$H,DATA_GOC!$A:$A,"BOM",DATA_GOC!$D:$D,$B237,DATA_GOC!$E:$E,"Téc cát nghiền",DATA_GOC!$F:$F,"Xuất nội bộ từ téc",DATA_GOC!$B:$B,DATE($D$2,$B$2,C$4)),0))</f>
        <v>0</v>
      </c>
      <c r="D237" s="251">
        <f>IF(D$4&gt;DAY(EOMONTH(DATE($D$2,$B$2,1),0)),"",IFERROR(SUMIFS(DATA_GOC!$H:$H,DATA_GOC!$A:$A,"BOM",DATA_GOC!$D:$D,$B237,DATA_GOC!$E:$E,"Téc cát nghiền",DATA_GOC!$F:$F,"Xuất nội bộ từ téc",DATA_GOC!$B:$B,DATE($D$2,$B$2,D$4)),0))</f>
        <v>0</v>
      </c>
      <c r="E237" s="251">
        <f>IF(E$4&gt;DAY(EOMONTH(DATE($D$2,$B$2,1),0)),"",IFERROR(SUMIFS(DATA_GOC!$H:$H,DATA_GOC!$A:$A,"BOM",DATA_GOC!$D:$D,$B237,DATA_GOC!$E:$E,"Téc cát nghiền",DATA_GOC!$F:$F,"Xuất nội bộ từ téc",DATA_GOC!$B:$B,DATE($D$2,$B$2,E$4)),0))</f>
        <v>0</v>
      </c>
      <c r="F237" s="251">
        <f>IF(F$4&gt;DAY(EOMONTH(DATE($D$2,$B$2,1),0)),"",IFERROR(SUMIFS(DATA_GOC!$H:$H,DATA_GOC!$A:$A,"BOM",DATA_GOC!$D:$D,$B237,DATA_GOC!$E:$E,"Téc cát nghiền",DATA_GOC!$F:$F,"Xuất nội bộ từ téc",DATA_GOC!$B:$B,DATE($D$2,$B$2,F$4)),0))</f>
        <v>0</v>
      </c>
      <c r="G237" s="251">
        <f>IF(G$4&gt;DAY(EOMONTH(DATE($D$2,$B$2,1),0)),"",IFERROR(SUMIFS(DATA_GOC!$H:$H,DATA_GOC!$A:$A,"BOM",DATA_GOC!$D:$D,$B237,DATA_GOC!$E:$E,"Téc cát nghiền",DATA_GOC!$F:$F,"Xuất nội bộ từ téc",DATA_GOC!$B:$B,DATE($D$2,$B$2,G$4)),0))</f>
        <v>0</v>
      </c>
      <c r="H237" s="251">
        <f>IF(H$4&gt;DAY(EOMONTH(DATE($D$2,$B$2,1),0)),"",IFERROR(SUMIFS(DATA_GOC!$H:$H,DATA_GOC!$A:$A,"BOM",DATA_GOC!$D:$D,$B237,DATA_GOC!$E:$E,"Téc cát nghiền",DATA_GOC!$F:$F,"Xuất nội bộ từ téc",DATA_GOC!$B:$B,DATE($D$2,$B$2,H$4)),0))</f>
        <v>0</v>
      </c>
      <c r="I237" s="251">
        <f>IF(I$4&gt;DAY(EOMONTH(DATE($D$2,$B$2,1),0)),"",IFERROR(SUMIFS(DATA_GOC!$H:$H,DATA_GOC!$A:$A,"BOM",DATA_GOC!$D:$D,$B237,DATA_GOC!$E:$E,"Téc cát nghiền",DATA_GOC!$F:$F,"Xuất nội bộ từ téc",DATA_GOC!$B:$B,DATE($D$2,$B$2,I$4)),0))</f>
        <v>0</v>
      </c>
      <c r="J237" s="251">
        <f>IF(J$4&gt;DAY(EOMONTH(DATE($D$2,$B$2,1),0)),"",IFERROR(SUMIFS(DATA_GOC!$H:$H,DATA_GOC!$A:$A,"BOM",DATA_GOC!$D:$D,$B237,DATA_GOC!$E:$E,"Téc cát nghiền",DATA_GOC!$F:$F,"Xuất nội bộ từ téc",DATA_GOC!$B:$B,DATE($D$2,$B$2,J$4)),0))</f>
        <v>0</v>
      </c>
      <c r="K237" s="251">
        <f>IF(K$4&gt;DAY(EOMONTH(DATE($D$2,$B$2,1),0)),"",IFERROR(SUMIFS(DATA_GOC!$H:$H,DATA_GOC!$A:$A,"BOM",DATA_GOC!$D:$D,$B237,DATA_GOC!$E:$E,"Téc cát nghiền",DATA_GOC!$F:$F,"Xuất nội bộ từ téc",DATA_GOC!$B:$B,DATE($D$2,$B$2,K$4)),0))</f>
        <v>0</v>
      </c>
      <c r="L237" s="251">
        <f>IF(L$4&gt;DAY(EOMONTH(DATE($D$2,$B$2,1),0)),"",IFERROR(SUMIFS(DATA_GOC!$H:$H,DATA_GOC!$A:$A,"BOM",DATA_GOC!$D:$D,$B237,DATA_GOC!$E:$E,"Téc cát nghiền",DATA_GOC!$F:$F,"Xuất nội bộ từ téc",DATA_GOC!$B:$B,DATE($D$2,$B$2,L$4)),0))</f>
        <v>0</v>
      </c>
      <c r="M237" s="251">
        <f>IF(M$4&gt;DAY(EOMONTH(DATE($D$2,$B$2,1),0)),"",IFERROR(SUMIFS(DATA_GOC!$H:$H,DATA_GOC!$A:$A,"BOM",DATA_GOC!$D:$D,$B237,DATA_GOC!$E:$E,"Téc cát nghiền",DATA_GOC!$F:$F,"Xuất nội bộ từ téc",DATA_GOC!$B:$B,DATE($D$2,$B$2,M$4)),0))</f>
        <v>0</v>
      </c>
      <c r="N237" s="251">
        <f>IF(N$4&gt;DAY(EOMONTH(DATE($D$2,$B$2,1),0)),"",IFERROR(SUMIFS(DATA_GOC!$H:$H,DATA_GOC!$A:$A,"BOM",DATA_GOC!$D:$D,$B237,DATA_GOC!$E:$E,"Téc cát nghiền",DATA_GOC!$F:$F,"Xuất nội bộ từ téc",DATA_GOC!$B:$B,DATE($D$2,$B$2,N$4)),0))</f>
        <v>0</v>
      </c>
      <c r="O237" s="251">
        <f>IF(O$4&gt;DAY(EOMONTH(DATE($D$2,$B$2,1),0)),"",IFERROR(SUMIFS(DATA_GOC!$H:$H,DATA_GOC!$A:$A,"BOM",DATA_GOC!$D:$D,$B237,DATA_GOC!$E:$E,"Téc cát nghiền",DATA_GOC!$F:$F,"Xuất nội bộ từ téc",DATA_GOC!$B:$B,DATE($D$2,$B$2,O$4)),0))</f>
        <v>0</v>
      </c>
      <c r="P237" s="251">
        <f>IF(P$4&gt;DAY(EOMONTH(DATE($D$2,$B$2,1),0)),"",IFERROR(SUMIFS(DATA_GOC!$H:$H,DATA_GOC!$A:$A,"BOM",DATA_GOC!$D:$D,$B237,DATA_GOC!$E:$E,"Téc cát nghiền",DATA_GOC!$F:$F,"Xuất nội bộ từ téc",DATA_GOC!$B:$B,DATE($D$2,$B$2,P$4)),0))</f>
        <v>0</v>
      </c>
      <c r="Q237" s="251">
        <f>IF(Q$4&gt;DAY(EOMONTH(DATE($D$2,$B$2,1),0)),"",IFERROR(SUMIFS(DATA_GOC!$H:$H,DATA_GOC!$A:$A,"BOM",DATA_GOC!$D:$D,$B237,DATA_GOC!$E:$E,"Téc cát nghiền",DATA_GOC!$F:$F,"Xuất nội bộ từ téc",DATA_GOC!$B:$B,DATE($D$2,$B$2,Q$4)),0))</f>
        <v>0</v>
      </c>
      <c r="R237" s="251">
        <f>IF(R$4&gt;DAY(EOMONTH(DATE($D$2,$B$2,1),0)),"",IFERROR(SUMIFS(DATA_GOC!$H:$H,DATA_GOC!$A:$A,"BOM",DATA_GOC!$D:$D,$B237,DATA_GOC!$E:$E,"Téc cát nghiền",DATA_GOC!$F:$F,"Xuất nội bộ từ téc",DATA_GOC!$B:$B,DATE($D$2,$B$2,R$4)),0))</f>
        <v>0</v>
      </c>
      <c r="S237" s="251">
        <f>IF(S$4&gt;DAY(EOMONTH(DATE($D$2,$B$2,1),0)),"",IFERROR(SUMIFS(DATA_GOC!$H:$H,DATA_GOC!$A:$A,"BOM",DATA_GOC!$D:$D,$B237,DATA_GOC!$E:$E,"Téc cát nghiền",DATA_GOC!$F:$F,"Xuất nội bộ từ téc",DATA_GOC!$B:$B,DATE($D$2,$B$2,S$4)),0))</f>
        <v>0</v>
      </c>
      <c r="T237" s="251">
        <f>IF(T$4&gt;DAY(EOMONTH(DATE($D$2,$B$2,1),0)),"",IFERROR(SUMIFS(DATA_GOC!$H:$H,DATA_GOC!$A:$A,"BOM",DATA_GOC!$D:$D,$B237,DATA_GOC!$E:$E,"Téc cát nghiền",DATA_GOC!$F:$F,"Xuất nội bộ từ téc",DATA_GOC!$B:$B,DATE($D$2,$B$2,T$4)),0))</f>
        <v>0</v>
      </c>
      <c r="U237" s="251">
        <f>IF(U$4&gt;DAY(EOMONTH(DATE($D$2,$B$2,1),0)),"",IFERROR(SUMIFS(DATA_GOC!$H:$H,DATA_GOC!$A:$A,"BOM",DATA_GOC!$D:$D,$B237,DATA_GOC!$E:$E,"Téc cát nghiền",DATA_GOC!$F:$F,"Xuất nội bộ từ téc",DATA_GOC!$B:$B,DATE($D$2,$B$2,U$4)),0))</f>
        <v>0</v>
      </c>
      <c r="V237" s="251">
        <f>IF(V$4&gt;DAY(EOMONTH(DATE($D$2,$B$2,1),0)),"",IFERROR(SUMIFS(DATA_GOC!$H:$H,DATA_GOC!$A:$A,"BOM",DATA_GOC!$D:$D,$B237,DATA_GOC!$E:$E,"Téc cát nghiền",DATA_GOC!$F:$F,"Xuất nội bộ từ téc",DATA_GOC!$B:$B,DATE($D$2,$B$2,V$4)),0))</f>
        <v>0</v>
      </c>
      <c r="W237" s="251">
        <f>IF(W$4&gt;DAY(EOMONTH(DATE($D$2,$B$2,1),0)),"",IFERROR(SUMIFS(DATA_GOC!$H:$H,DATA_GOC!$A:$A,"BOM",DATA_GOC!$D:$D,$B237,DATA_GOC!$E:$E,"Téc cát nghiền",DATA_GOC!$F:$F,"Xuất nội bộ từ téc",DATA_GOC!$B:$B,DATE($D$2,$B$2,W$4)),0))</f>
        <v>0</v>
      </c>
      <c r="X237" s="251">
        <f>IF(X$4&gt;DAY(EOMONTH(DATE($D$2,$B$2,1),0)),"",IFERROR(SUMIFS(DATA_GOC!$H:$H,DATA_GOC!$A:$A,"BOM",DATA_GOC!$D:$D,$B237,DATA_GOC!$E:$E,"Téc cát nghiền",DATA_GOC!$F:$F,"Xuất nội bộ từ téc",DATA_GOC!$B:$B,DATE($D$2,$B$2,X$4)),0))</f>
        <v>0</v>
      </c>
      <c r="Y237" s="251">
        <f>IF(Y$4&gt;DAY(EOMONTH(DATE($D$2,$B$2,1),0)),"",IFERROR(SUMIFS(DATA_GOC!$H:$H,DATA_GOC!$A:$A,"BOM",DATA_GOC!$D:$D,$B237,DATA_GOC!$E:$E,"Téc cát nghiền",DATA_GOC!$F:$F,"Xuất nội bộ từ téc",DATA_GOC!$B:$B,DATE($D$2,$B$2,Y$4)),0))</f>
        <v>0</v>
      </c>
      <c r="Z237" s="251">
        <f>IF(Z$4&gt;DAY(EOMONTH(DATE($D$2,$B$2,1),0)),"",IFERROR(SUMIFS(DATA_GOC!$H:$H,DATA_GOC!$A:$A,"BOM",DATA_GOC!$D:$D,$B237,DATA_GOC!$E:$E,"Téc cát nghiền",DATA_GOC!$F:$F,"Xuất nội bộ từ téc",DATA_GOC!$B:$B,DATE($D$2,$B$2,Z$4)),0))</f>
        <v>0</v>
      </c>
      <c r="AA237" s="251">
        <f>IF(AA$4&gt;DAY(EOMONTH(DATE($D$2,$B$2,1),0)),"",IFERROR(SUMIFS(DATA_GOC!$H:$H,DATA_GOC!$A:$A,"BOM",DATA_GOC!$D:$D,$B237,DATA_GOC!$E:$E,"Téc cát nghiền",DATA_GOC!$F:$F,"Xuất nội bộ từ téc",DATA_GOC!$B:$B,DATE($D$2,$B$2,AA$4)),0))</f>
        <v>0</v>
      </c>
      <c r="AB237" s="251">
        <f>IF(AB$4&gt;DAY(EOMONTH(DATE($D$2,$B$2,1),0)),"",IFERROR(SUMIFS(DATA_GOC!$H:$H,DATA_GOC!$A:$A,"BOM",DATA_GOC!$D:$D,$B237,DATA_GOC!$E:$E,"Téc cát nghiền",DATA_GOC!$F:$F,"Xuất nội bộ từ téc",DATA_GOC!$B:$B,DATE($D$2,$B$2,AB$4)),0))</f>
        <v>0</v>
      </c>
      <c r="AC237" s="251">
        <f>IF(AC$4&gt;DAY(EOMONTH(DATE($D$2,$B$2,1),0)),"",IFERROR(SUMIFS(DATA_GOC!$H:$H,DATA_GOC!$A:$A,"BOM",DATA_GOC!$D:$D,$B237,DATA_GOC!$E:$E,"Téc cát nghiền",DATA_GOC!$F:$F,"Xuất nội bộ từ téc",DATA_GOC!$B:$B,DATE($D$2,$B$2,AC$4)),0))</f>
        <v>0</v>
      </c>
      <c r="AD237" s="251">
        <f>IF(AD$4&gt;DAY(EOMONTH(DATE($D$2,$B$2,1),0)),"",IFERROR(SUMIFS(DATA_GOC!$H:$H,DATA_GOC!$A:$A,"BOM",DATA_GOC!$D:$D,$B237,DATA_GOC!$E:$E,"Téc cát nghiền",DATA_GOC!$F:$F,"Xuất nội bộ từ téc",DATA_GOC!$B:$B,DATE($D$2,$B$2,AD$4)),0))</f>
        <v>0</v>
      </c>
      <c r="AE237" s="251">
        <f>IF(AE$4&gt;DAY(EOMONTH(DATE($D$2,$B$2,1),0)),"",IFERROR(SUMIFS(DATA_GOC!$H:$H,DATA_GOC!$A:$A,"BOM",DATA_GOC!$D:$D,$B237,DATA_GOC!$E:$E,"Téc cát nghiền",DATA_GOC!$F:$F,"Xuất nội bộ từ téc",DATA_GOC!$B:$B,DATE($D$2,$B$2,AE$4)),0))</f>
        <v>0</v>
      </c>
      <c r="AF237" s="251">
        <f>IF(AF$4&gt;DAY(EOMONTH(DATE($D$2,$B$2,1),0)),"",IFERROR(SUMIFS(DATA_GOC!$H:$H,DATA_GOC!$A:$A,"BOM",DATA_GOC!$D:$D,$B237,DATA_GOC!$E:$E,"Téc cát nghiền",DATA_GOC!$F:$F,"Xuất nội bộ từ téc",DATA_GOC!$B:$B,DATE($D$2,$B$2,AF$4)),0))</f>
        <v>0</v>
      </c>
      <c r="AG237" s="251">
        <f>IF(AG$4&gt;DAY(EOMONTH(DATE($D$2,$B$2,1),0)),"",IFERROR(SUMIFS(DATA_GOC!$H:$H,DATA_GOC!$A:$A,"BOM",DATA_GOC!$D:$D,$B237,DATA_GOC!$E:$E,"Téc cát nghiền",DATA_GOC!$F:$F,"Xuất nội bộ từ téc",DATA_GOC!$B:$B,DATE($D$2,$B$2,AG$4)),0))</f>
        <v>0</v>
      </c>
      <c r="AH237" s="252">
        <f t="shared" si="10"/>
        <v>0</v>
      </c>
      <c r="AI237" s="241"/>
      <c r="AJ237" s="242">
        <f>IF($B237="","",SUMIFS(TINH_TEC!$K$233:$K$9232,TINH_TEC!$H$233:$H$9232,$B237,TINH_TEC!$C$233:$C$9232,"Téc cát nghiền",TINH_TEC!$F$233:$F$9232,$B$2,TINH_TEC!$G$233:$G$9232,$D$2,TINH_TEC!$B$233:$B$9232,"Đã chốt"))</f>
        <v>0</v>
      </c>
      <c r="AK237" s="242">
        <f>IF($B237="","",SUMIFS(TINH_TEC!$J$233:$J$9232,TINH_TEC!$H$233:$H$9232,$B237,TINH_TEC!$C$233:$C$9232,"Téc cát nghiền",TINH_TEC!$F$233:$F$9232,$B$2,TINH_TEC!$G$233:$G$9232,$D$2,TINH_TEC!$B$233:$B$9232,"Đã chốt"))</f>
        <v>0</v>
      </c>
      <c r="AL237" s="242">
        <f t="shared" si="11"/>
        <v>0</v>
      </c>
    </row>
    <row r="238" ht="15.75" customHeight="1">
      <c r="A238" s="237">
        <f>IF($B238&lt;&gt;"",50,"")</f>
        <v>50</v>
      </c>
      <c r="B238" s="250" t="str">
        <f t="array" ref="B238">IFERROR(INDEX(DANH_MUC!$E:$E,53),"")</f>
        <v>Máy rải thảm</v>
      </c>
      <c r="C238" s="251">
        <f>IF(C$4&gt;DAY(EOMONTH(DATE($D$2,$B$2,1),0)),"",IFERROR(SUMIFS(DATA_GOC!$H:$H,DATA_GOC!$A:$A,"BOM",DATA_GOC!$D:$D,$B238,DATA_GOC!$E:$E,"Téc cát nghiền",DATA_GOC!$F:$F,"Xuất nội bộ từ téc",DATA_GOC!$B:$B,DATE($D$2,$B$2,C$4)),0))</f>
        <v>0</v>
      </c>
      <c r="D238" s="251">
        <f>IF(D$4&gt;DAY(EOMONTH(DATE($D$2,$B$2,1),0)),"",IFERROR(SUMIFS(DATA_GOC!$H:$H,DATA_GOC!$A:$A,"BOM",DATA_GOC!$D:$D,$B238,DATA_GOC!$E:$E,"Téc cát nghiền",DATA_GOC!$F:$F,"Xuất nội bộ từ téc",DATA_GOC!$B:$B,DATE($D$2,$B$2,D$4)),0))</f>
        <v>0</v>
      </c>
      <c r="E238" s="251">
        <f>IF(E$4&gt;DAY(EOMONTH(DATE($D$2,$B$2,1),0)),"",IFERROR(SUMIFS(DATA_GOC!$H:$H,DATA_GOC!$A:$A,"BOM",DATA_GOC!$D:$D,$B238,DATA_GOC!$E:$E,"Téc cát nghiền",DATA_GOC!$F:$F,"Xuất nội bộ từ téc",DATA_GOC!$B:$B,DATE($D$2,$B$2,E$4)),0))</f>
        <v>0</v>
      </c>
      <c r="F238" s="251">
        <f>IF(F$4&gt;DAY(EOMONTH(DATE($D$2,$B$2,1),0)),"",IFERROR(SUMIFS(DATA_GOC!$H:$H,DATA_GOC!$A:$A,"BOM",DATA_GOC!$D:$D,$B238,DATA_GOC!$E:$E,"Téc cát nghiền",DATA_GOC!$F:$F,"Xuất nội bộ từ téc",DATA_GOC!$B:$B,DATE($D$2,$B$2,F$4)),0))</f>
        <v>0</v>
      </c>
      <c r="G238" s="251">
        <f>IF(G$4&gt;DAY(EOMONTH(DATE($D$2,$B$2,1),0)),"",IFERROR(SUMIFS(DATA_GOC!$H:$H,DATA_GOC!$A:$A,"BOM",DATA_GOC!$D:$D,$B238,DATA_GOC!$E:$E,"Téc cát nghiền",DATA_GOC!$F:$F,"Xuất nội bộ từ téc",DATA_GOC!$B:$B,DATE($D$2,$B$2,G$4)),0))</f>
        <v>0</v>
      </c>
      <c r="H238" s="251">
        <f>IF(H$4&gt;DAY(EOMONTH(DATE($D$2,$B$2,1),0)),"",IFERROR(SUMIFS(DATA_GOC!$H:$H,DATA_GOC!$A:$A,"BOM",DATA_GOC!$D:$D,$B238,DATA_GOC!$E:$E,"Téc cát nghiền",DATA_GOC!$F:$F,"Xuất nội bộ từ téc",DATA_GOC!$B:$B,DATE($D$2,$B$2,H$4)),0))</f>
        <v>0</v>
      </c>
      <c r="I238" s="251">
        <f>IF(I$4&gt;DAY(EOMONTH(DATE($D$2,$B$2,1),0)),"",IFERROR(SUMIFS(DATA_GOC!$H:$H,DATA_GOC!$A:$A,"BOM",DATA_GOC!$D:$D,$B238,DATA_GOC!$E:$E,"Téc cát nghiền",DATA_GOC!$F:$F,"Xuất nội bộ từ téc",DATA_GOC!$B:$B,DATE($D$2,$B$2,I$4)),0))</f>
        <v>0</v>
      </c>
      <c r="J238" s="251">
        <f>IF(J$4&gt;DAY(EOMONTH(DATE($D$2,$B$2,1),0)),"",IFERROR(SUMIFS(DATA_GOC!$H:$H,DATA_GOC!$A:$A,"BOM",DATA_GOC!$D:$D,$B238,DATA_GOC!$E:$E,"Téc cát nghiền",DATA_GOC!$F:$F,"Xuất nội bộ từ téc",DATA_GOC!$B:$B,DATE($D$2,$B$2,J$4)),0))</f>
        <v>0</v>
      </c>
      <c r="K238" s="251">
        <f>IF(K$4&gt;DAY(EOMONTH(DATE($D$2,$B$2,1),0)),"",IFERROR(SUMIFS(DATA_GOC!$H:$H,DATA_GOC!$A:$A,"BOM",DATA_GOC!$D:$D,$B238,DATA_GOC!$E:$E,"Téc cát nghiền",DATA_GOC!$F:$F,"Xuất nội bộ từ téc",DATA_GOC!$B:$B,DATE($D$2,$B$2,K$4)),0))</f>
        <v>0</v>
      </c>
      <c r="L238" s="251">
        <f>IF(L$4&gt;DAY(EOMONTH(DATE($D$2,$B$2,1),0)),"",IFERROR(SUMIFS(DATA_GOC!$H:$H,DATA_GOC!$A:$A,"BOM",DATA_GOC!$D:$D,$B238,DATA_GOC!$E:$E,"Téc cát nghiền",DATA_GOC!$F:$F,"Xuất nội bộ từ téc",DATA_GOC!$B:$B,DATE($D$2,$B$2,L$4)),0))</f>
        <v>0</v>
      </c>
      <c r="M238" s="251">
        <f>IF(M$4&gt;DAY(EOMONTH(DATE($D$2,$B$2,1),0)),"",IFERROR(SUMIFS(DATA_GOC!$H:$H,DATA_GOC!$A:$A,"BOM",DATA_GOC!$D:$D,$B238,DATA_GOC!$E:$E,"Téc cát nghiền",DATA_GOC!$F:$F,"Xuất nội bộ từ téc",DATA_GOC!$B:$B,DATE($D$2,$B$2,M$4)),0))</f>
        <v>0</v>
      </c>
      <c r="N238" s="251">
        <f>IF(N$4&gt;DAY(EOMONTH(DATE($D$2,$B$2,1),0)),"",IFERROR(SUMIFS(DATA_GOC!$H:$H,DATA_GOC!$A:$A,"BOM",DATA_GOC!$D:$D,$B238,DATA_GOC!$E:$E,"Téc cát nghiền",DATA_GOC!$F:$F,"Xuất nội bộ từ téc",DATA_GOC!$B:$B,DATE($D$2,$B$2,N$4)),0))</f>
        <v>0</v>
      </c>
      <c r="O238" s="251">
        <f>IF(O$4&gt;DAY(EOMONTH(DATE($D$2,$B$2,1),0)),"",IFERROR(SUMIFS(DATA_GOC!$H:$H,DATA_GOC!$A:$A,"BOM",DATA_GOC!$D:$D,$B238,DATA_GOC!$E:$E,"Téc cát nghiền",DATA_GOC!$F:$F,"Xuất nội bộ từ téc",DATA_GOC!$B:$B,DATE($D$2,$B$2,O$4)),0))</f>
        <v>0</v>
      </c>
      <c r="P238" s="251">
        <f>IF(P$4&gt;DAY(EOMONTH(DATE($D$2,$B$2,1),0)),"",IFERROR(SUMIFS(DATA_GOC!$H:$H,DATA_GOC!$A:$A,"BOM",DATA_GOC!$D:$D,$B238,DATA_GOC!$E:$E,"Téc cát nghiền",DATA_GOC!$F:$F,"Xuất nội bộ từ téc",DATA_GOC!$B:$B,DATE($D$2,$B$2,P$4)),0))</f>
        <v>0</v>
      </c>
      <c r="Q238" s="251">
        <f>IF(Q$4&gt;DAY(EOMONTH(DATE($D$2,$B$2,1),0)),"",IFERROR(SUMIFS(DATA_GOC!$H:$H,DATA_GOC!$A:$A,"BOM",DATA_GOC!$D:$D,$B238,DATA_GOC!$E:$E,"Téc cát nghiền",DATA_GOC!$F:$F,"Xuất nội bộ từ téc",DATA_GOC!$B:$B,DATE($D$2,$B$2,Q$4)),0))</f>
        <v>0</v>
      </c>
      <c r="R238" s="251">
        <f>IF(R$4&gt;DAY(EOMONTH(DATE($D$2,$B$2,1),0)),"",IFERROR(SUMIFS(DATA_GOC!$H:$H,DATA_GOC!$A:$A,"BOM",DATA_GOC!$D:$D,$B238,DATA_GOC!$E:$E,"Téc cát nghiền",DATA_GOC!$F:$F,"Xuất nội bộ từ téc",DATA_GOC!$B:$B,DATE($D$2,$B$2,R$4)),0))</f>
        <v>0</v>
      </c>
      <c r="S238" s="251">
        <f>IF(S$4&gt;DAY(EOMONTH(DATE($D$2,$B$2,1),0)),"",IFERROR(SUMIFS(DATA_GOC!$H:$H,DATA_GOC!$A:$A,"BOM",DATA_GOC!$D:$D,$B238,DATA_GOC!$E:$E,"Téc cát nghiền",DATA_GOC!$F:$F,"Xuất nội bộ từ téc",DATA_GOC!$B:$B,DATE($D$2,$B$2,S$4)),0))</f>
        <v>0</v>
      </c>
      <c r="T238" s="251">
        <f>IF(T$4&gt;DAY(EOMONTH(DATE($D$2,$B$2,1),0)),"",IFERROR(SUMIFS(DATA_GOC!$H:$H,DATA_GOC!$A:$A,"BOM",DATA_GOC!$D:$D,$B238,DATA_GOC!$E:$E,"Téc cát nghiền",DATA_GOC!$F:$F,"Xuất nội bộ từ téc",DATA_GOC!$B:$B,DATE($D$2,$B$2,T$4)),0))</f>
        <v>0</v>
      </c>
      <c r="U238" s="251">
        <f>IF(U$4&gt;DAY(EOMONTH(DATE($D$2,$B$2,1),0)),"",IFERROR(SUMIFS(DATA_GOC!$H:$H,DATA_GOC!$A:$A,"BOM",DATA_GOC!$D:$D,$B238,DATA_GOC!$E:$E,"Téc cát nghiền",DATA_GOC!$F:$F,"Xuất nội bộ từ téc",DATA_GOC!$B:$B,DATE($D$2,$B$2,U$4)),0))</f>
        <v>0</v>
      </c>
      <c r="V238" s="251">
        <f>IF(V$4&gt;DAY(EOMONTH(DATE($D$2,$B$2,1),0)),"",IFERROR(SUMIFS(DATA_GOC!$H:$H,DATA_GOC!$A:$A,"BOM",DATA_GOC!$D:$D,$B238,DATA_GOC!$E:$E,"Téc cát nghiền",DATA_GOC!$F:$F,"Xuất nội bộ từ téc",DATA_GOC!$B:$B,DATE($D$2,$B$2,V$4)),0))</f>
        <v>0</v>
      </c>
      <c r="W238" s="251">
        <f>IF(W$4&gt;DAY(EOMONTH(DATE($D$2,$B$2,1),0)),"",IFERROR(SUMIFS(DATA_GOC!$H:$H,DATA_GOC!$A:$A,"BOM",DATA_GOC!$D:$D,$B238,DATA_GOC!$E:$E,"Téc cát nghiền",DATA_GOC!$F:$F,"Xuất nội bộ từ téc",DATA_GOC!$B:$B,DATE($D$2,$B$2,W$4)),0))</f>
        <v>0</v>
      </c>
      <c r="X238" s="251">
        <f>IF(X$4&gt;DAY(EOMONTH(DATE($D$2,$B$2,1),0)),"",IFERROR(SUMIFS(DATA_GOC!$H:$H,DATA_GOC!$A:$A,"BOM",DATA_GOC!$D:$D,$B238,DATA_GOC!$E:$E,"Téc cát nghiền",DATA_GOC!$F:$F,"Xuất nội bộ từ téc",DATA_GOC!$B:$B,DATE($D$2,$B$2,X$4)),0))</f>
        <v>0</v>
      </c>
      <c r="Y238" s="251">
        <f>IF(Y$4&gt;DAY(EOMONTH(DATE($D$2,$B$2,1),0)),"",IFERROR(SUMIFS(DATA_GOC!$H:$H,DATA_GOC!$A:$A,"BOM",DATA_GOC!$D:$D,$B238,DATA_GOC!$E:$E,"Téc cát nghiền",DATA_GOC!$F:$F,"Xuất nội bộ từ téc",DATA_GOC!$B:$B,DATE($D$2,$B$2,Y$4)),0))</f>
        <v>0</v>
      </c>
      <c r="Z238" s="251">
        <f>IF(Z$4&gt;DAY(EOMONTH(DATE($D$2,$B$2,1),0)),"",IFERROR(SUMIFS(DATA_GOC!$H:$H,DATA_GOC!$A:$A,"BOM",DATA_GOC!$D:$D,$B238,DATA_GOC!$E:$E,"Téc cát nghiền",DATA_GOC!$F:$F,"Xuất nội bộ từ téc",DATA_GOC!$B:$B,DATE($D$2,$B$2,Z$4)),0))</f>
        <v>0</v>
      </c>
      <c r="AA238" s="251">
        <f>IF(AA$4&gt;DAY(EOMONTH(DATE($D$2,$B$2,1),0)),"",IFERROR(SUMIFS(DATA_GOC!$H:$H,DATA_GOC!$A:$A,"BOM",DATA_GOC!$D:$D,$B238,DATA_GOC!$E:$E,"Téc cát nghiền",DATA_GOC!$F:$F,"Xuất nội bộ từ téc",DATA_GOC!$B:$B,DATE($D$2,$B$2,AA$4)),0))</f>
        <v>0</v>
      </c>
      <c r="AB238" s="251">
        <f>IF(AB$4&gt;DAY(EOMONTH(DATE($D$2,$B$2,1),0)),"",IFERROR(SUMIFS(DATA_GOC!$H:$H,DATA_GOC!$A:$A,"BOM",DATA_GOC!$D:$D,$B238,DATA_GOC!$E:$E,"Téc cát nghiền",DATA_GOC!$F:$F,"Xuất nội bộ từ téc",DATA_GOC!$B:$B,DATE($D$2,$B$2,AB$4)),0))</f>
        <v>0</v>
      </c>
      <c r="AC238" s="251">
        <f>IF(AC$4&gt;DAY(EOMONTH(DATE($D$2,$B$2,1),0)),"",IFERROR(SUMIFS(DATA_GOC!$H:$H,DATA_GOC!$A:$A,"BOM",DATA_GOC!$D:$D,$B238,DATA_GOC!$E:$E,"Téc cát nghiền",DATA_GOC!$F:$F,"Xuất nội bộ từ téc",DATA_GOC!$B:$B,DATE($D$2,$B$2,AC$4)),0))</f>
        <v>0</v>
      </c>
      <c r="AD238" s="251">
        <f>IF(AD$4&gt;DAY(EOMONTH(DATE($D$2,$B$2,1),0)),"",IFERROR(SUMIFS(DATA_GOC!$H:$H,DATA_GOC!$A:$A,"BOM",DATA_GOC!$D:$D,$B238,DATA_GOC!$E:$E,"Téc cát nghiền",DATA_GOC!$F:$F,"Xuất nội bộ từ téc",DATA_GOC!$B:$B,DATE($D$2,$B$2,AD$4)),0))</f>
        <v>0</v>
      </c>
      <c r="AE238" s="251">
        <f>IF(AE$4&gt;DAY(EOMONTH(DATE($D$2,$B$2,1),0)),"",IFERROR(SUMIFS(DATA_GOC!$H:$H,DATA_GOC!$A:$A,"BOM",DATA_GOC!$D:$D,$B238,DATA_GOC!$E:$E,"Téc cát nghiền",DATA_GOC!$F:$F,"Xuất nội bộ từ téc",DATA_GOC!$B:$B,DATE($D$2,$B$2,AE$4)),0))</f>
        <v>0</v>
      </c>
      <c r="AF238" s="251">
        <f>IF(AF$4&gt;DAY(EOMONTH(DATE($D$2,$B$2,1),0)),"",IFERROR(SUMIFS(DATA_GOC!$H:$H,DATA_GOC!$A:$A,"BOM",DATA_GOC!$D:$D,$B238,DATA_GOC!$E:$E,"Téc cát nghiền",DATA_GOC!$F:$F,"Xuất nội bộ từ téc",DATA_GOC!$B:$B,DATE($D$2,$B$2,AF$4)),0))</f>
        <v>0</v>
      </c>
      <c r="AG238" s="251">
        <f>IF(AG$4&gt;DAY(EOMONTH(DATE($D$2,$B$2,1),0)),"",IFERROR(SUMIFS(DATA_GOC!$H:$H,DATA_GOC!$A:$A,"BOM",DATA_GOC!$D:$D,$B238,DATA_GOC!$E:$E,"Téc cát nghiền",DATA_GOC!$F:$F,"Xuất nội bộ từ téc",DATA_GOC!$B:$B,DATE($D$2,$B$2,AG$4)),0))</f>
        <v>0</v>
      </c>
      <c r="AH238" s="252">
        <f t="shared" si="10"/>
        <v>0</v>
      </c>
      <c r="AI238" s="241"/>
      <c r="AJ238" s="242">
        <f>IF($B238="","",SUMIFS(TINH_TEC!$K$233:$K$9232,TINH_TEC!$H$233:$H$9232,$B238,TINH_TEC!$C$233:$C$9232,"Téc cát nghiền",TINH_TEC!$F$233:$F$9232,$B$2,TINH_TEC!$G$233:$G$9232,$D$2,TINH_TEC!$B$233:$B$9232,"Đã chốt"))</f>
        <v>0</v>
      </c>
      <c r="AK238" s="242">
        <f>IF($B238="","",SUMIFS(TINH_TEC!$J$233:$J$9232,TINH_TEC!$H$233:$H$9232,$B238,TINH_TEC!$C$233:$C$9232,"Téc cát nghiền",TINH_TEC!$F$233:$F$9232,$B$2,TINH_TEC!$G$233:$G$9232,$D$2,TINH_TEC!$B$233:$B$9232,"Đã chốt"))</f>
        <v>0</v>
      </c>
      <c r="AL238" s="242">
        <f t="shared" si="11"/>
        <v>0</v>
      </c>
    </row>
    <row r="239" ht="15.75" customHeight="1">
      <c r="A239" s="237">
        <f>IF($B239&lt;&gt;"",51,"")</f>
        <v>51</v>
      </c>
      <c r="B239" s="250" t="str">
        <f t="array" ref="B239">IFERROR(INDEX(DANH_MUC!$E:$E,54),"")</f>
        <v>Xúc Đào</v>
      </c>
      <c r="C239" s="251">
        <f>IF(C$4&gt;DAY(EOMONTH(DATE($D$2,$B$2,1),0)),"",IFERROR(SUMIFS(DATA_GOC!$H:$H,DATA_GOC!$A:$A,"BOM",DATA_GOC!$D:$D,$B239,DATA_GOC!$E:$E,"Téc cát nghiền",DATA_GOC!$F:$F,"Xuất nội bộ từ téc",DATA_GOC!$B:$B,DATE($D$2,$B$2,C$4)),0))</f>
        <v>0</v>
      </c>
      <c r="D239" s="251">
        <f>IF(D$4&gt;DAY(EOMONTH(DATE($D$2,$B$2,1),0)),"",IFERROR(SUMIFS(DATA_GOC!$H:$H,DATA_GOC!$A:$A,"BOM",DATA_GOC!$D:$D,$B239,DATA_GOC!$E:$E,"Téc cát nghiền",DATA_GOC!$F:$F,"Xuất nội bộ từ téc",DATA_GOC!$B:$B,DATE($D$2,$B$2,D$4)),0))</f>
        <v>0</v>
      </c>
      <c r="E239" s="251">
        <f>IF(E$4&gt;DAY(EOMONTH(DATE($D$2,$B$2,1),0)),"",IFERROR(SUMIFS(DATA_GOC!$H:$H,DATA_GOC!$A:$A,"BOM",DATA_GOC!$D:$D,$B239,DATA_GOC!$E:$E,"Téc cát nghiền",DATA_GOC!$F:$F,"Xuất nội bộ từ téc",DATA_GOC!$B:$B,DATE($D$2,$B$2,E$4)),0))</f>
        <v>0</v>
      </c>
      <c r="F239" s="251">
        <f>IF(F$4&gt;DAY(EOMONTH(DATE($D$2,$B$2,1),0)),"",IFERROR(SUMIFS(DATA_GOC!$H:$H,DATA_GOC!$A:$A,"BOM",DATA_GOC!$D:$D,$B239,DATA_GOC!$E:$E,"Téc cát nghiền",DATA_GOC!$F:$F,"Xuất nội bộ từ téc",DATA_GOC!$B:$B,DATE($D$2,$B$2,F$4)),0))</f>
        <v>0</v>
      </c>
      <c r="G239" s="251">
        <f>IF(G$4&gt;DAY(EOMONTH(DATE($D$2,$B$2,1),0)),"",IFERROR(SUMIFS(DATA_GOC!$H:$H,DATA_GOC!$A:$A,"BOM",DATA_GOC!$D:$D,$B239,DATA_GOC!$E:$E,"Téc cát nghiền",DATA_GOC!$F:$F,"Xuất nội bộ từ téc",DATA_GOC!$B:$B,DATE($D$2,$B$2,G$4)),0))</f>
        <v>0</v>
      </c>
      <c r="H239" s="251">
        <f>IF(H$4&gt;DAY(EOMONTH(DATE($D$2,$B$2,1),0)),"",IFERROR(SUMIFS(DATA_GOC!$H:$H,DATA_GOC!$A:$A,"BOM",DATA_GOC!$D:$D,$B239,DATA_GOC!$E:$E,"Téc cát nghiền",DATA_GOC!$F:$F,"Xuất nội bộ từ téc",DATA_GOC!$B:$B,DATE($D$2,$B$2,H$4)),0))</f>
        <v>0</v>
      </c>
      <c r="I239" s="251">
        <f>IF(I$4&gt;DAY(EOMONTH(DATE($D$2,$B$2,1),0)),"",IFERROR(SUMIFS(DATA_GOC!$H:$H,DATA_GOC!$A:$A,"BOM",DATA_GOC!$D:$D,$B239,DATA_GOC!$E:$E,"Téc cát nghiền",DATA_GOC!$F:$F,"Xuất nội bộ từ téc",DATA_GOC!$B:$B,DATE($D$2,$B$2,I$4)),0))</f>
        <v>0</v>
      </c>
      <c r="J239" s="251">
        <f>IF(J$4&gt;DAY(EOMONTH(DATE($D$2,$B$2,1),0)),"",IFERROR(SUMIFS(DATA_GOC!$H:$H,DATA_GOC!$A:$A,"BOM",DATA_GOC!$D:$D,$B239,DATA_GOC!$E:$E,"Téc cát nghiền",DATA_GOC!$F:$F,"Xuất nội bộ từ téc",DATA_GOC!$B:$B,DATE($D$2,$B$2,J$4)),0))</f>
        <v>0</v>
      </c>
      <c r="K239" s="251">
        <f>IF(K$4&gt;DAY(EOMONTH(DATE($D$2,$B$2,1),0)),"",IFERROR(SUMIFS(DATA_GOC!$H:$H,DATA_GOC!$A:$A,"BOM",DATA_GOC!$D:$D,$B239,DATA_GOC!$E:$E,"Téc cát nghiền",DATA_GOC!$F:$F,"Xuất nội bộ từ téc",DATA_GOC!$B:$B,DATE($D$2,$B$2,K$4)),0))</f>
        <v>0</v>
      </c>
      <c r="L239" s="251">
        <f>IF(L$4&gt;DAY(EOMONTH(DATE($D$2,$B$2,1),0)),"",IFERROR(SUMIFS(DATA_GOC!$H:$H,DATA_GOC!$A:$A,"BOM",DATA_GOC!$D:$D,$B239,DATA_GOC!$E:$E,"Téc cát nghiền",DATA_GOC!$F:$F,"Xuất nội bộ từ téc",DATA_GOC!$B:$B,DATE($D$2,$B$2,L$4)),0))</f>
        <v>0</v>
      </c>
      <c r="M239" s="251">
        <f>IF(M$4&gt;DAY(EOMONTH(DATE($D$2,$B$2,1),0)),"",IFERROR(SUMIFS(DATA_GOC!$H:$H,DATA_GOC!$A:$A,"BOM",DATA_GOC!$D:$D,$B239,DATA_GOC!$E:$E,"Téc cát nghiền",DATA_GOC!$F:$F,"Xuất nội bộ từ téc",DATA_GOC!$B:$B,DATE($D$2,$B$2,M$4)),0))</f>
        <v>0</v>
      </c>
      <c r="N239" s="251">
        <f>IF(N$4&gt;DAY(EOMONTH(DATE($D$2,$B$2,1),0)),"",IFERROR(SUMIFS(DATA_GOC!$H:$H,DATA_GOC!$A:$A,"BOM",DATA_GOC!$D:$D,$B239,DATA_GOC!$E:$E,"Téc cát nghiền",DATA_GOC!$F:$F,"Xuất nội bộ từ téc",DATA_GOC!$B:$B,DATE($D$2,$B$2,N$4)),0))</f>
        <v>0</v>
      </c>
      <c r="O239" s="251">
        <f>IF(O$4&gt;DAY(EOMONTH(DATE($D$2,$B$2,1),0)),"",IFERROR(SUMIFS(DATA_GOC!$H:$H,DATA_GOC!$A:$A,"BOM",DATA_GOC!$D:$D,$B239,DATA_GOC!$E:$E,"Téc cát nghiền",DATA_GOC!$F:$F,"Xuất nội bộ từ téc",DATA_GOC!$B:$B,DATE($D$2,$B$2,O$4)),0))</f>
        <v>0</v>
      </c>
      <c r="P239" s="251">
        <f>IF(P$4&gt;DAY(EOMONTH(DATE($D$2,$B$2,1),0)),"",IFERROR(SUMIFS(DATA_GOC!$H:$H,DATA_GOC!$A:$A,"BOM",DATA_GOC!$D:$D,$B239,DATA_GOC!$E:$E,"Téc cát nghiền",DATA_GOC!$F:$F,"Xuất nội bộ từ téc",DATA_GOC!$B:$B,DATE($D$2,$B$2,P$4)),0))</f>
        <v>0</v>
      </c>
      <c r="Q239" s="251">
        <f>IF(Q$4&gt;DAY(EOMONTH(DATE($D$2,$B$2,1),0)),"",IFERROR(SUMIFS(DATA_GOC!$H:$H,DATA_GOC!$A:$A,"BOM",DATA_GOC!$D:$D,$B239,DATA_GOC!$E:$E,"Téc cát nghiền",DATA_GOC!$F:$F,"Xuất nội bộ từ téc",DATA_GOC!$B:$B,DATE($D$2,$B$2,Q$4)),0))</f>
        <v>0</v>
      </c>
      <c r="R239" s="251">
        <f>IF(R$4&gt;DAY(EOMONTH(DATE($D$2,$B$2,1),0)),"",IFERROR(SUMIFS(DATA_GOC!$H:$H,DATA_GOC!$A:$A,"BOM",DATA_GOC!$D:$D,$B239,DATA_GOC!$E:$E,"Téc cát nghiền",DATA_GOC!$F:$F,"Xuất nội bộ từ téc",DATA_GOC!$B:$B,DATE($D$2,$B$2,R$4)),0))</f>
        <v>0</v>
      </c>
      <c r="S239" s="251">
        <f>IF(S$4&gt;DAY(EOMONTH(DATE($D$2,$B$2,1),0)),"",IFERROR(SUMIFS(DATA_GOC!$H:$H,DATA_GOC!$A:$A,"BOM",DATA_GOC!$D:$D,$B239,DATA_GOC!$E:$E,"Téc cát nghiền",DATA_GOC!$F:$F,"Xuất nội bộ từ téc",DATA_GOC!$B:$B,DATE($D$2,$B$2,S$4)),0))</f>
        <v>0</v>
      </c>
      <c r="T239" s="251">
        <f>IF(T$4&gt;DAY(EOMONTH(DATE($D$2,$B$2,1),0)),"",IFERROR(SUMIFS(DATA_GOC!$H:$H,DATA_GOC!$A:$A,"BOM",DATA_GOC!$D:$D,$B239,DATA_GOC!$E:$E,"Téc cát nghiền",DATA_GOC!$F:$F,"Xuất nội bộ từ téc",DATA_GOC!$B:$B,DATE($D$2,$B$2,T$4)),0))</f>
        <v>0</v>
      </c>
      <c r="U239" s="251">
        <f>IF(U$4&gt;DAY(EOMONTH(DATE($D$2,$B$2,1),0)),"",IFERROR(SUMIFS(DATA_GOC!$H:$H,DATA_GOC!$A:$A,"BOM",DATA_GOC!$D:$D,$B239,DATA_GOC!$E:$E,"Téc cát nghiền",DATA_GOC!$F:$F,"Xuất nội bộ từ téc",DATA_GOC!$B:$B,DATE($D$2,$B$2,U$4)),0))</f>
        <v>0</v>
      </c>
      <c r="V239" s="251">
        <f>IF(V$4&gt;DAY(EOMONTH(DATE($D$2,$B$2,1),0)),"",IFERROR(SUMIFS(DATA_GOC!$H:$H,DATA_GOC!$A:$A,"BOM",DATA_GOC!$D:$D,$B239,DATA_GOC!$E:$E,"Téc cát nghiền",DATA_GOC!$F:$F,"Xuất nội bộ từ téc",DATA_GOC!$B:$B,DATE($D$2,$B$2,V$4)),0))</f>
        <v>0</v>
      </c>
      <c r="W239" s="251">
        <f>IF(W$4&gt;DAY(EOMONTH(DATE($D$2,$B$2,1),0)),"",IFERROR(SUMIFS(DATA_GOC!$H:$H,DATA_GOC!$A:$A,"BOM",DATA_GOC!$D:$D,$B239,DATA_GOC!$E:$E,"Téc cát nghiền",DATA_GOC!$F:$F,"Xuất nội bộ từ téc",DATA_GOC!$B:$B,DATE($D$2,$B$2,W$4)),0))</f>
        <v>0</v>
      </c>
      <c r="X239" s="251">
        <f>IF(X$4&gt;DAY(EOMONTH(DATE($D$2,$B$2,1),0)),"",IFERROR(SUMIFS(DATA_GOC!$H:$H,DATA_GOC!$A:$A,"BOM",DATA_GOC!$D:$D,$B239,DATA_GOC!$E:$E,"Téc cát nghiền",DATA_GOC!$F:$F,"Xuất nội bộ từ téc",DATA_GOC!$B:$B,DATE($D$2,$B$2,X$4)),0))</f>
        <v>0</v>
      </c>
      <c r="Y239" s="251">
        <f>IF(Y$4&gt;DAY(EOMONTH(DATE($D$2,$B$2,1),0)),"",IFERROR(SUMIFS(DATA_GOC!$H:$H,DATA_GOC!$A:$A,"BOM",DATA_GOC!$D:$D,$B239,DATA_GOC!$E:$E,"Téc cát nghiền",DATA_GOC!$F:$F,"Xuất nội bộ từ téc",DATA_GOC!$B:$B,DATE($D$2,$B$2,Y$4)),0))</f>
        <v>0</v>
      </c>
      <c r="Z239" s="251">
        <f>IF(Z$4&gt;DAY(EOMONTH(DATE($D$2,$B$2,1),0)),"",IFERROR(SUMIFS(DATA_GOC!$H:$H,DATA_GOC!$A:$A,"BOM",DATA_GOC!$D:$D,$B239,DATA_GOC!$E:$E,"Téc cát nghiền",DATA_GOC!$F:$F,"Xuất nội bộ từ téc",DATA_GOC!$B:$B,DATE($D$2,$B$2,Z$4)),0))</f>
        <v>0</v>
      </c>
      <c r="AA239" s="251">
        <f>IF(AA$4&gt;DAY(EOMONTH(DATE($D$2,$B$2,1),0)),"",IFERROR(SUMIFS(DATA_GOC!$H:$H,DATA_GOC!$A:$A,"BOM",DATA_GOC!$D:$D,$B239,DATA_GOC!$E:$E,"Téc cát nghiền",DATA_GOC!$F:$F,"Xuất nội bộ từ téc",DATA_GOC!$B:$B,DATE($D$2,$B$2,AA$4)),0))</f>
        <v>0</v>
      </c>
      <c r="AB239" s="251">
        <f>IF(AB$4&gt;DAY(EOMONTH(DATE($D$2,$B$2,1),0)),"",IFERROR(SUMIFS(DATA_GOC!$H:$H,DATA_GOC!$A:$A,"BOM",DATA_GOC!$D:$D,$B239,DATA_GOC!$E:$E,"Téc cát nghiền",DATA_GOC!$F:$F,"Xuất nội bộ từ téc",DATA_GOC!$B:$B,DATE($D$2,$B$2,AB$4)),0))</f>
        <v>0</v>
      </c>
      <c r="AC239" s="251">
        <f>IF(AC$4&gt;DAY(EOMONTH(DATE($D$2,$B$2,1),0)),"",IFERROR(SUMIFS(DATA_GOC!$H:$H,DATA_GOC!$A:$A,"BOM",DATA_GOC!$D:$D,$B239,DATA_GOC!$E:$E,"Téc cát nghiền",DATA_GOC!$F:$F,"Xuất nội bộ từ téc",DATA_GOC!$B:$B,DATE($D$2,$B$2,AC$4)),0))</f>
        <v>0</v>
      </c>
      <c r="AD239" s="251">
        <f>IF(AD$4&gt;DAY(EOMONTH(DATE($D$2,$B$2,1),0)),"",IFERROR(SUMIFS(DATA_GOC!$H:$H,DATA_GOC!$A:$A,"BOM",DATA_GOC!$D:$D,$B239,DATA_GOC!$E:$E,"Téc cát nghiền",DATA_GOC!$F:$F,"Xuất nội bộ từ téc",DATA_GOC!$B:$B,DATE($D$2,$B$2,AD$4)),0))</f>
        <v>0</v>
      </c>
      <c r="AE239" s="251">
        <f>IF(AE$4&gt;DAY(EOMONTH(DATE($D$2,$B$2,1),0)),"",IFERROR(SUMIFS(DATA_GOC!$H:$H,DATA_GOC!$A:$A,"BOM",DATA_GOC!$D:$D,$B239,DATA_GOC!$E:$E,"Téc cát nghiền",DATA_GOC!$F:$F,"Xuất nội bộ từ téc",DATA_GOC!$B:$B,DATE($D$2,$B$2,AE$4)),0))</f>
        <v>0</v>
      </c>
      <c r="AF239" s="251">
        <f>IF(AF$4&gt;DAY(EOMONTH(DATE($D$2,$B$2,1),0)),"",IFERROR(SUMIFS(DATA_GOC!$H:$H,DATA_GOC!$A:$A,"BOM",DATA_GOC!$D:$D,$B239,DATA_GOC!$E:$E,"Téc cát nghiền",DATA_GOC!$F:$F,"Xuất nội bộ từ téc",DATA_GOC!$B:$B,DATE($D$2,$B$2,AF$4)),0))</f>
        <v>0</v>
      </c>
      <c r="AG239" s="251">
        <f>IF(AG$4&gt;DAY(EOMONTH(DATE($D$2,$B$2,1),0)),"",IFERROR(SUMIFS(DATA_GOC!$H:$H,DATA_GOC!$A:$A,"BOM",DATA_GOC!$D:$D,$B239,DATA_GOC!$E:$E,"Téc cát nghiền",DATA_GOC!$F:$F,"Xuất nội bộ từ téc",DATA_GOC!$B:$B,DATE($D$2,$B$2,AG$4)),0))</f>
        <v>0</v>
      </c>
      <c r="AH239" s="252">
        <f t="shared" si="10"/>
        <v>0</v>
      </c>
      <c r="AI239" s="241"/>
      <c r="AJ239" s="242">
        <f>IF($B239="","",SUMIFS(TINH_TEC!$K$233:$K$9232,TINH_TEC!$H$233:$H$9232,$B239,TINH_TEC!$C$233:$C$9232,"Téc cát nghiền",TINH_TEC!$F$233:$F$9232,$B$2,TINH_TEC!$G$233:$G$9232,$D$2,TINH_TEC!$B$233:$B$9232,"Đã chốt"))</f>
        <v>0</v>
      </c>
      <c r="AK239" s="242">
        <f>IF($B239="","",SUMIFS(TINH_TEC!$J$233:$J$9232,TINH_TEC!$H$233:$H$9232,$B239,TINH_TEC!$C$233:$C$9232,"Téc cát nghiền",TINH_TEC!$F$233:$F$9232,$B$2,TINH_TEC!$G$233:$G$9232,$D$2,TINH_TEC!$B$233:$B$9232,"Đã chốt"))</f>
        <v>0</v>
      </c>
      <c r="AL239" s="242">
        <f t="shared" si="11"/>
        <v>0</v>
      </c>
    </row>
    <row r="240" ht="15.75" customHeight="1">
      <c r="A240" s="237">
        <f>IF($B240&lt;&gt;"",52,"")</f>
        <v>52</v>
      </c>
      <c r="B240" s="250" t="str">
        <f t="array" ref="B240">IFERROR(INDEX(DANH_MUC!$E:$E,55),"")</f>
        <v>Xúclật asphalt</v>
      </c>
      <c r="C240" s="251">
        <f>IF(C$4&gt;DAY(EOMONTH(DATE($D$2,$B$2,1),0)),"",IFERROR(SUMIFS(DATA_GOC!$H:$H,DATA_GOC!$A:$A,"BOM",DATA_GOC!$D:$D,$B240,DATA_GOC!$E:$E,"Téc cát nghiền",DATA_GOC!$F:$F,"Xuất nội bộ từ téc",DATA_GOC!$B:$B,DATE($D$2,$B$2,C$4)),0))</f>
        <v>0</v>
      </c>
      <c r="D240" s="251">
        <f>IF(D$4&gt;DAY(EOMONTH(DATE($D$2,$B$2,1),0)),"",IFERROR(SUMIFS(DATA_GOC!$H:$H,DATA_GOC!$A:$A,"BOM",DATA_GOC!$D:$D,$B240,DATA_GOC!$E:$E,"Téc cát nghiền",DATA_GOC!$F:$F,"Xuất nội bộ từ téc",DATA_GOC!$B:$B,DATE($D$2,$B$2,D$4)),0))</f>
        <v>0</v>
      </c>
      <c r="E240" s="251">
        <f>IF(E$4&gt;DAY(EOMONTH(DATE($D$2,$B$2,1),0)),"",IFERROR(SUMIFS(DATA_GOC!$H:$H,DATA_GOC!$A:$A,"BOM",DATA_GOC!$D:$D,$B240,DATA_GOC!$E:$E,"Téc cát nghiền",DATA_GOC!$F:$F,"Xuất nội bộ từ téc",DATA_GOC!$B:$B,DATE($D$2,$B$2,E$4)),0))</f>
        <v>0</v>
      </c>
      <c r="F240" s="251">
        <f>IF(F$4&gt;DAY(EOMONTH(DATE($D$2,$B$2,1),0)),"",IFERROR(SUMIFS(DATA_GOC!$H:$H,DATA_GOC!$A:$A,"BOM",DATA_GOC!$D:$D,$B240,DATA_GOC!$E:$E,"Téc cát nghiền",DATA_GOC!$F:$F,"Xuất nội bộ từ téc",DATA_GOC!$B:$B,DATE($D$2,$B$2,F$4)),0))</f>
        <v>0</v>
      </c>
      <c r="G240" s="251">
        <f>IF(G$4&gt;DAY(EOMONTH(DATE($D$2,$B$2,1),0)),"",IFERROR(SUMIFS(DATA_GOC!$H:$H,DATA_GOC!$A:$A,"BOM",DATA_GOC!$D:$D,$B240,DATA_GOC!$E:$E,"Téc cát nghiền",DATA_GOC!$F:$F,"Xuất nội bộ từ téc",DATA_GOC!$B:$B,DATE($D$2,$B$2,G$4)),0))</f>
        <v>0</v>
      </c>
      <c r="H240" s="251">
        <f>IF(H$4&gt;DAY(EOMONTH(DATE($D$2,$B$2,1),0)),"",IFERROR(SUMIFS(DATA_GOC!$H:$H,DATA_GOC!$A:$A,"BOM",DATA_GOC!$D:$D,$B240,DATA_GOC!$E:$E,"Téc cát nghiền",DATA_GOC!$F:$F,"Xuất nội bộ từ téc",DATA_GOC!$B:$B,DATE($D$2,$B$2,H$4)),0))</f>
        <v>0</v>
      </c>
      <c r="I240" s="251">
        <f>IF(I$4&gt;DAY(EOMONTH(DATE($D$2,$B$2,1),0)),"",IFERROR(SUMIFS(DATA_GOC!$H:$H,DATA_GOC!$A:$A,"BOM",DATA_GOC!$D:$D,$B240,DATA_GOC!$E:$E,"Téc cát nghiền",DATA_GOC!$F:$F,"Xuất nội bộ từ téc",DATA_GOC!$B:$B,DATE($D$2,$B$2,I$4)),0))</f>
        <v>0</v>
      </c>
      <c r="J240" s="251">
        <f>IF(J$4&gt;DAY(EOMONTH(DATE($D$2,$B$2,1),0)),"",IFERROR(SUMIFS(DATA_GOC!$H:$H,DATA_GOC!$A:$A,"BOM",DATA_GOC!$D:$D,$B240,DATA_GOC!$E:$E,"Téc cát nghiền",DATA_GOC!$F:$F,"Xuất nội bộ từ téc",DATA_GOC!$B:$B,DATE($D$2,$B$2,J$4)),0))</f>
        <v>0</v>
      </c>
      <c r="K240" s="251">
        <f>IF(K$4&gt;DAY(EOMONTH(DATE($D$2,$B$2,1),0)),"",IFERROR(SUMIFS(DATA_GOC!$H:$H,DATA_GOC!$A:$A,"BOM",DATA_GOC!$D:$D,$B240,DATA_GOC!$E:$E,"Téc cát nghiền",DATA_GOC!$F:$F,"Xuất nội bộ từ téc",DATA_GOC!$B:$B,DATE($D$2,$B$2,K$4)),0))</f>
        <v>0</v>
      </c>
      <c r="L240" s="251">
        <f>IF(L$4&gt;DAY(EOMONTH(DATE($D$2,$B$2,1),0)),"",IFERROR(SUMIFS(DATA_GOC!$H:$H,DATA_GOC!$A:$A,"BOM",DATA_GOC!$D:$D,$B240,DATA_GOC!$E:$E,"Téc cát nghiền",DATA_GOC!$F:$F,"Xuất nội bộ từ téc",DATA_GOC!$B:$B,DATE($D$2,$B$2,L$4)),0))</f>
        <v>0</v>
      </c>
      <c r="M240" s="251">
        <f>IF(M$4&gt;DAY(EOMONTH(DATE($D$2,$B$2,1),0)),"",IFERROR(SUMIFS(DATA_GOC!$H:$H,DATA_GOC!$A:$A,"BOM",DATA_GOC!$D:$D,$B240,DATA_GOC!$E:$E,"Téc cát nghiền",DATA_GOC!$F:$F,"Xuất nội bộ từ téc",DATA_GOC!$B:$B,DATE($D$2,$B$2,M$4)),0))</f>
        <v>0</v>
      </c>
      <c r="N240" s="251">
        <f>IF(N$4&gt;DAY(EOMONTH(DATE($D$2,$B$2,1),0)),"",IFERROR(SUMIFS(DATA_GOC!$H:$H,DATA_GOC!$A:$A,"BOM",DATA_GOC!$D:$D,$B240,DATA_GOC!$E:$E,"Téc cát nghiền",DATA_GOC!$F:$F,"Xuất nội bộ từ téc",DATA_GOC!$B:$B,DATE($D$2,$B$2,N$4)),0))</f>
        <v>0</v>
      </c>
      <c r="O240" s="251">
        <f>IF(O$4&gt;DAY(EOMONTH(DATE($D$2,$B$2,1),0)),"",IFERROR(SUMIFS(DATA_GOC!$H:$H,DATA_GOC!$A:$A,"BOM",DATA_GOC!$D:$D,$B240,DATA_GOC!$E:$E,"Téc cát nghiền",DATA_GOC!$F:$F,"Xuất nội bộ từ téc",DATA_GOC!$B:$B,DATE($D$2,$B$2,O$4)),0))</f>
        <v>0</v>
      </c>
      <c r="P240" s="251">
        <f>IF(P$4&gt;DAY(EOMONTH(DATE($D$2,$B$2,1),0)),"",IFERROR(SUMIFS(DATA_GOC!$H:$H,DATA_GOC!$A:$A,"BOM",DATA_GOC!$D:$D,$B240,DATA_GOC!$E:$E,"Téc cát nghiền",DATA_GOC!$F:$F,"Xuất nội bộ từ téc",DATA_GOC!$B:$B,DATE($D$2,$B$2,P$4)),0))</f>
        <v>0</v>
      </c>
      <c r="Q240" s="251">
        <f>IF(Q$4&gt;DAY(EOMONTH(DATE($D$2,$B$2,1),0)),"",IFERROR(SUMIFS(DATA_GOC!$H:$H,DATA_GOC!$A:$A,"BOM",DATA_GOC!$D:$D,$B240,DATA_GOC!$E:$E,"Téc cát nghiền",DATA_GOC!$F:$F,"Xuất nội bộ từ téc",DATA_GOC!$B:$B,DATE($D$2,$B$2,Q$4)),0))</f>
        <v>0</v>
      </c>
      <c r="R240" s="251">
        <f>IF(R$4&gt;DAY(EOMONTH(DATE($D$2,$B$2,1),0)),"",IFERROR(SUMIFS(DATA_GOC!$H:$H,DATA_GOC!$A:$A,"BOM",DATA_GOC!$D:$D,$B240,DATA_GOC!$E:$E,"Téc cát nghiền",DATA_GOC!$F:$F,"Xuất nội bộ từ téc",DATA_GOC!$B:$B,DATE($D$2,$B$2,R$4)),0))</f>
        <v>0</v>
      </c>
      <c r="S240" s="251">
        <f>IF(S$4&gt;DAY(EOMONTH(DATE($D$2,$B$2,1),0)),"",IFERROR(SUMIFS(DATA_GOC!$H:$H,DATA_GOC!$A:$A,"BOM",DATA_GOC!$D:$D,$B240,DATA_GOC!$E:$E,"Téc cát nghiền",DATA_GOC!$F:$F,"Xuất nội bộ từ téc",DATA_GOC!$B:$B,DATE($D$2,$B$2,S$4)),0))</f>
        <v>0</v>
      </c>
      <c r="T240" s="251">
        <f>IF(T$4&gt;DAY(EOMONTH(DATE($D$2,$B$2,1),0)),"",IFERROR(SUMIFS(DATA_GOC!$H:$H,DATA_GOC!$A:$A,"BOM",DATA_GOC!$D:$D,$B240,DATA_GOC!$E:$E,"Téc cát nghiền",DATA_GOC!$F:$F,"Xuất nội bộ từ téc",DATA_GOC!$B:$B,DATE($D$2,$B$2,T$4)),0))</f>
        <v>0</v>
      </c>
      <c r="U240" s="251">
        <f>IF(U$4&gt;DAY(EOMONTH(DATE($D$2,$B$2,1),0)),"",IFERROR(SUMIFS(DATA_GOC!$H:$H,DATA_GOC!$A:$A,"BOM",DATA_GOC!$D:$D,$B240,DATA_GOC!$E:$E,"Téc cát nghiền",DATA_GOC!$F:$F,"Xuất nội bộ từ téc",DATA_GOC!$B:$B,DATE($D$2,$B$2,U$4)),0))</f>
        <v>0</v>
      </c>
      <c r="V240" s="251">
        <f>IF(V$4&gt;DAY(EOMONTH(DATE($D$2,$B$2,1),0)),"",IFERROR(SUMIFS(DATA_GOC!$H:$H,DATA_GOC!$A:$A,"BOM",DATA_GOC!$D:$D,$B240,DATA_GOC!$E:$E,"Téc cát nghiền",DATA_GOC!$F:$F,"Xuất nội bộ từ téc",DATA_GOC!$B:$B,DATE($D$2,$B$2,V$4)),0))</f>
        <v>0</v>
      </c>
      <c r="W240" s="251">
        <f>IF(W$4&gt;DAY(EOMONTH(DATE($D$2,$B$2,1),0)),"",IFERROR(SUMIFS(DATA_GOC!$H:$H,DATA_GOC!$A:$A,"BOM",DATA_GOC!$D:$D,$B240,DATA_GOC!$E:$E,"Téc cát nghiền",DATA_GOC!$F:$F,"Xuất nội bộ từ téc",DATA_GOC!$B:$B,DATE($D$2,$B$2,W$4)),0))</f>
        <v>0</v>
      </c>
      <c r="X240" s="251">
        <f>IF(X$4&gt;DAY(EOMONTH(DATE($D$2,$B$2,1),0)),"",IFERROR(SUMIFS(DATA_GOC!$H:$H,DATA_GOC!$A:$A,"BOM",DATA_GOC!$D:$D,$B240,DATA_GOC!$E:$E,"Téc cát nghiền",DATA_GOC!$F:$F,"Xuất nội bộ từ téc",DATA_GOC!$B:$B,DATE($D$2,$B$2,X$4)),0))</f>
        <v>0</v>
      </c>
      <c r="Y240" s="251">
        <f>IF(Y$4&gt;DAY(EOMONTH(DATE($D$2,$B$2,1),0)),"",IFERROR(SUMIFS(DATA_GOC!$H:$H,DATA_GOC!$A:$A,"BOM",DATA_GOC!$D:$D,$B240,DATA_GOC!$E:$E,"Téc cát nghiền",DATA_GOC!$F:$F,"Xuất nội bộ từ téc",DATA_GOC!$B:$B,DATE($D$2,$B$2,Y$4)),0))</f>
        <v>0</v>
      </c>
      <c r="Z240" s="251">
        <f>IF(Z$4&gt;DAY(EOMONTH(DATE($D$2,$B$2,1),0)),"",IFERROR(SUMIFS(DATA_GOC!$H:$H,DATA_GOC!$A:$A,"BOM",DATA_GOC!$D:$D,$B240,DATA_GOC!$E:$E,"Téc cát nghiền",DATA_GOC!$F:$F,"Xuất nội bộ từ téc",DATA_GOC!$B:$B,DATE($D$2,$B$2,Z$4)),0))</f>
        <v>0</v>
      </c>
      <c r="AA240" s="251">
        <f>IF(AA$4&gt;DAY(EOMONTH(DATE($D$2,$B$2,1),0)),"",IFERROR(SUMIFS(DATA_GOC!$H:$H,DATA_GOC!$A:$A,"BOM",DATA_GOC!$D:$D,$B240,DATA_GOC!$E:$E,"Téc cát nghiền",DATA_GOC!$F:$F,"Xuất nội bộ từ téc",DATA_GOC!$B:$B,DATE($D$2,$B$2,AA$4)),0))</f>
        <v>0</v>
      </c>
      <c r="AB240" s="251">
        <f>IF(AB$4&gt;DAY(EOMONTH(DATE($D$2,$B$2,1),0)),"",IFERROR(SUMIFS(DATA_GOC!$H:$H,DATA_GOC!$A:$A,"BOM",DATA_GOC!$D:$D,$B240,DATA_GOC!$E:$E,"Téc cát nghiền",DATA_GOC!$F:$F,"Xuất nội bộ từ téc",DATA_GOC!$B:$B,DATE($D$2,$B$2,AB$4)),0))</f>
        <v>0</v>
      </c>
      <c r="AC240" s="251">
        <f>IF(AC$4&gt;DAY(EOMONTH(DATE($D$2,$B$2,1),0)),"",IFERROR(SUMIFS(DATA_GOC!$H:$H,DATA_GOC!$A:$A,"BOM",DATA_GOC!$D:$D,$B240,DATA_GOC!$E:$E,"Téc cát nghiền",DATA_GOC!$F:$F,"Xuất nội bộ từ téc",DATA_GOC!$B:$B,DATE($D$2,$B$2,AC$4)),0))</f>
        <v>0</v>
      </c>
      <c r="AD240" s="251">
        <f>IF(AD$4&gt;DAY(EOMONTH(DATE($D$2,$B$2,1),0)),"",IFERROR(SUMIFS(DATA_GOC!$H:$H,DATA_GOC!$A:$A,"BOM",DATA_GOC!$D:$D,$B240,DATA_GOC!$E:$E,"Téc cát nghiền",DATA_GOC!$F:$F,"Xuất nội bộ từ téc",DATA_GOC!$B:$B,DATE($D$2,$B$2,AD$4)),0))</f>
        <v>0</v>
      </c>
      <c r="AE240" s="251">
        <f>IF(AE$4&gt;DAY(EOMONTH(DATE($D$2,$B$2,1),0)),"",IFERROR(SUMIFS(DATA_GOC!$H:$H,DATA_GOC!$A:$A,"BOM",DATA_GOC!$D:$D,$B240,DATA_GOC!$E:$E,"Téc cát nghiền",DATA_GOC!$F:$F,"Xuất nội bộ từ téc",DATA_GOC!$B:$B,DATE($D$2,$B$2,AE$4)),0))</f>
        <v>0</v>
      </c>
      <c r="AF240" s="251">
        <f>IF(AF$4&gt;DAY(EOMONTH(DATE($D$2,$B$2,1),0)),"",IFERROR(SUMIFS(DATA_GOC!$H:$H,DATA_GOC!$A:$A,"BOM",DATA_GOC!$D:$D,$B240,DATA_GOC!$E:$E,"Téc cát nghiền",DATA_GOC!$F:$F,"Xuất nội bộ từ téc",DATA_GOC!$B:$B,DATE($D$2,$B$2,AF$4)),0))</f>
        <v>0</v>
      </c>
      <c r="AG240" s="251">
        <f>IF(AG$4&gt;DAY(EOMONTH(DATE($D$2,$B$2,1),0)),"",IFERROR(SUMIFS(DATA_GOC!$H:$H,DATA_GOC!$A:$A,"BOM",DATA_GOC!$D:$D,$B240,DATA_GOC!$E:$E,"Téc cát nghiền",DATA_GOC!$F:$F,"Xuất nội bộ từ téc",DATA_GOC!$B:$B,DATE($D$2,$B$2,AG$4)),0))</f>
        <v>0</v>
      </c>
      <c r="AH240" s="252">
        <f t="shared" si="10"/>
        <v>0</v>
      </c>
      <c r="AI240" s="241"/>
      <c r="AJ240" s="242">
        <f>IF($B240="","",SUMIFS(TINH_TEC!$K$233:$K$9232,TINH_TEC!$H$233:$H$9232,$B240,TINH_TEC!$C$233:$C$9232,"Téc cát nghiền",TINH_TEC!$F$233:$F$9232,$B$2,TINH_TEC!$G$233:$G$9232,$D$2,TINH_TEC!$B$233:$B$9232,"Đã chốt"))</f>
        <v>0</v>
      </c>
      <c r="AK240" s="242">
        <f>IF($B240="","",SUMIFS(TINH_TEC!$J$233:$J$9232,TINH_TEC!$H$233:$H$9232,$B240,TINH_TEC!$C$233:$C$9232,"Téc cát nghiền",TINH_TEC!$F$233:$F$9232,$B$2,TINH_TEC!$G$233:$G$9232,$D$2,TINH_TEC!$B$233:$B$9232,"Đã chốt"))</f>
        <v>0</v>
      </c>
      <c r="AL240" s="242">
        <f t="shared" si="11"/>
        <v>0</v>
      </c>
    </row>
    <row r="241" ht="15.75" customHeight="1">
      <c r="A241" s="237">
        <f>IF($B241&lt;&gt;"",53,"")</f>
        <v>53</v>
      </c>
      <c r="B241" s="250" t="str">
        <f t="array" ref="B241">IFERROR(INDEX(DANH_MUC!$E:$E,56),"")</f>
        <v>Xúclật855H</v>
      </c>
      <c r="C241" s="251">
        <f>IF(C$4&gt;DAY(EOMONTH(DATE($D$2,$B$2,1),0)),"",IFERROR(SUMIFS(DATA_GOC!$H:$H,DATA_GOC!$A:$A,"BOM",DATA_GOC!$D:$D,$B241,DATA_GOC!$E:$E,"Téc cát nghiền",DATA_GOC!$F:$F,"Xuất nội bộ từ téc",DATA_GOC!$B:$B,DATE($D$2,$B$2,C$4)),0))</f>
        <v>0</v>
      </c>
      <c r="D241" s="251">
        <f>IF(D$4&gt;DAY(EOMONTH(DATE($D$2,$B$2,1),0)),"",IFERROR(SUMIFS(DATA_GOC!$H:$H,DATA_GOC!$A:$A,"BOM",DATA_GOC!$D:$D,$B241,DATA_GOC!$E:$E,"Téc cát nghiền",DATA_GOC!$F:$F,"Xuất nội bộ từ téc",DATA_GOC!$B:$B,DATE($D$2,$B$2,D$4)),0))</f>
        <v>0</v>
      </c>
      <c r="E241" s="251">
        <f>IF(E$4&gt;DAY(EOMONTH(DATE($D$2,$B$2,1),0)),"",IFERROR(SUMIFS(DATA_GOC!$H:$H,DATA_GOC!$A:$A,"BOM",DATA_GOC!$D:$D,$B241,DATA_GOC!$E:$E,"Téc cát nghiền",DATA_GOC!$F:$F,"Xuất nội bộ từ téc",DATA_GOC!$B:$B,DATE($D$2,$B$2,E$4)),0))</f>
        <v>0</v>
      </c>
      <c r="F241" s="251">
        <f>IF(F$4&gt;DAY(EOMONTH(DATE($D$2,$B$2,1),0)),"",IFERROR(SUMIFS(DATA_GOC!$H:$H,DATA_GOC!$A:$A,"BOM",DATA_GOC!$D:$D,$B241,DATA_GOC!$E:$E,"Téc cát nghiền",DATA_GOC!$F:$F,"Xuất nội bộ từ téc",DATA_GOC!$B:$B,DATE($D$2,$B$2,F$4)),0))</f>
        <v>0</v>
      </c>
      <c r="G241" s="251">
        <f>IF(G$4&gt;DAY(EOMONTH(DATE($D$2,$B$2,1),0)),"",IFERROR(SUMIFS(DATA_GOC!$H:$H,DATA_GOC!$A:$A,"BOM",DATA_GOC!$D:$D,$B241,DATA_GOC!$E:$E,"Téc cát nghiền",DATA_GOC!$F:$F,"Xuất nội bộ từ téc",DATA_GOC!$B:$B,DATE($D$2,$B$2,G$4)),0))</f>
        <v>0</v>
      </c>
      <c r="H241" s="251">
        <f>IF(H$4&gt;DAY(EOMONTH(DATE($D$2,$B$2,1),0)),"",IFERROR(SUMIFS(DATA_GOC!$H:$H,DATA_GOC!$A:$A,"BOM",DATA_GOC!$D:$D,$B241,DATA_GOC!$E:$E,"Téc cát nghiền",DATA_GOC!$F:$F,"Xuất nội bộ từ téc",DATA_GOC!$B:$B,DATE($D$2,$B$2,H$4)),0))</f>
        <v>0</v>
      </c>
      <c r="I241" s="251">
        <f>IF(I$4&gt;DAY(EOMONTH(DATE($D$2,$B$2,1),0)),"",IFERROR(SUMIFS(DATA_GOC!$H:$H,DATA_GOC!$A:$A,"BOM",DATA_GOC!$D:$D,$B241,DATA_GOC!$E:$E,"Téc cát nghiền",DATA_GOC!$F:$F,"Xuất nội bộ từ téc",DATA_GOC!$B:$B,DATE($D$2,$B$2,I$4)),0))</f>
        <v>0</v>
      </c>
      <c r="J241" s="251">
        <f>IF(J$4&gt;DAY(EOMONTH(DATE($D$2,$B$2,1),0)),"",IFERROR(SUMIFS(DATA_GOC!$H:$H,DATA_GOC!$A:$A,"BOM",DATA_GOC!$D:$D,$B241,DATA_GOC!$E:$E,"Téc cát nghiền",DATA_GOC!$F:$F,"Xuất nội bộ từ téc",DATA_GOC!$B:$B,DATE($D$2,$B$2,J$4)),0))</f>
        <v>0</v>
      </c>
      <c r="K241" s="251">
        <f>IF(K$4&gt;DAY(EOMONTH(DATE($D$2,$B$2,1),0)),"",IFERROR(SUMIFS(DATA_GOC!$H:$H,DATA_GOC!$A:$A,"BOM",DATA_GOC!$D:$D,$B241,DATA_GOC!$E:$E,"Téc cát nghiền",DATA_GOC!$F:$F,"Xuất nội bộ từ téc",DATA_GOC!$B:$B,DATE($D$2,$B$2,K$4)),0))</f>
        <v>0</v>
      </c>
      <c r="L241" s="251">
        <f>IF(L$4&gt;DAY(EOMONTH(DATE($D$2,$B$2,1),0)),"",IFERROR(SUMIFS(DATA_GOC!$H:$H,DATA_GOC!$A:$A,"BOM",DATA_GOC!$D:$D,$B241,DATA_GOC!$E:$E,"Téc cát nghiền",DATA_GOC!$F:$F,"Xuất nội bộ từ téc",DATA_GOC!$B:$B,DATE($D$2,$B$2,L$4)),0))</f>
        <v>0</v>
      </c>
      <c r="M241" s="251">
        <f>IF(M$4&gt;DAY(EOMONTH(DATE($D$2,$B$2,1),0)),"",IFERROR(SUMIFS(DATA_GOC!$H:$H,DATA_GOC!$A:$A,"BOM",DATA_GOC!$D:$D,$B241,DATA_GOC!$E:$E,"Téc cát nghiền",DATA_GOC!$F:$F,"Xuất nội bộ từ téc",DATA_GOC!$B:$B,DATE($D$2,$B$2,M$4)),0))</f>
        <v>0</v>
      </c>
      <c r="N241" s="251">
        <f>IF(N$4&gt;DAY(EOMONTH(DATE($D$2,$B$2,1),0)),"",IFERROR(SUMIFS(DATA_GOC!$H:$H,DATA_GOC!$A:$A,"BOM",DATA_GOC!$D:$D,$B241,DATA_GOC!$E:$E,"Téc cát nghiền",DATA_GOC!$F:$F,"Xuất nội bộ từ téc",DATA_GOC!$B:$B,DATE($D$2,$B$2,N$4)),0))</f>
        <v>0</v>
      </c>
      <c r="O241" s="251">
        <f>IF(O$4&gt;DAY(EOMONTH(DATE($D$2,$B$2,1),0)),"",IFERROR(SUMIFS(DATA_GOC!$H:$H,DATA_GOC!$A:$A,"BOM",DATA_GOC!$D:$D,$B241,DATA_GOC!$E:$E,"Téc cát nghiền",DATA_GOC!$F:$F,"Xuất nội bộ từ téc",DATA_GOC!$B:$B,DATE($D$2,$B$2,O$4)),0))</f>
        <v>0</v>
      </c>
      <c r="P241" s="251">
        <f>IF(P$4&gt;DAY(EOMONTH(DATE($D$2,$B$2,1),0)),"",IFERROR(SUMIFS(DATA_GOC!$H:$H,DATA_GOC!$A:$A,"BOM",DATA_GOC!$D:$D,$B241,DATA_GOC!$E:$E,"Téc cát nghiền",DATA_GOC!$F:$F,"Xuất nội bộ từ téc",DATA_GOC!$B:$B,DATE($D$2,$B$2,P$4)),0))</f>
        <v>0</v>
      </c>
      <c r="Q241" s="251">
        <f>IF(Q$4&gt;DAY(EOMONTH(DATE($D$2,$B$2,1),0)),"",IFERROR(SUMIFS(DATA_GOC!$H:$H,DATA_GOC!$A:$A,"BOM",DATA_GOC!$D:$D,$B241,DATA_GOC!$E:$E,"Téc cát nghiền",DATA_GOC!$F:$F,"Xuất nội bộ từ téc",DATA_GOC!$B:$B,DATE($D$2,$B$2,Q$4)),0))</f>
        <v>0</v>
      </c>
      <c r="R241" s="251">
        <f>IF(R$4&gt;DAY(EOMONTH(DATE($D$2,$B$2,1),0)),"",IFERROR(SUMIFS(DATA_GOC!$H:$H,DATA_GOC!$A:$A,"BOM",DATA_GOC!$D:$D,$B241,DATA_GOC!$E:$E,"Téc cát nghiền",DATA_GOC!$F:$F,"Xuất nội bộ từ téc",DATA_GOC!$B:$B,DATE($D$2,$B$2,R$4)),0))</f>
        <v>0</v>
      </c>
      <c r="S241" s="251">
        <f>IF(S$4&gt;DAY(EOMONTH(DATE($D$2,$B$2,1),0)),"",IFERROR(SUMIFS(DATA_GOC!$H:$H,DATA_GOC!$A:$A,"BOM",DATA_GOC!$D:$D,$B241,DATA_GOC!$E:$E,"Téc cát nghiền",DATA_GOC!$F:$F,"Xuất nội bộ từ téc",DATA_GOC!$B:$B,DATE($D$2,$B$2,S$4)),0))</f>
        <v>0</v>
      </c>
      <c r="T241" s="251">
        <f>IF(T$4&gt;DAY(EOMONTH(DATE($D$2,$B$2,1),0)),"",IFERROR(SUMIFS(DATA_GOC!$H:$H,DATA_GOC!$A:$A,"BOM",DATA_GOC!$D:$D,$B241,DATA_GOC!$E:$E,"Téc cát nghiền",DATA_GOC!$F:$F,"Xuất nội bộ từ téc",DATA_GOC!$B:$B,DATE($D$2,$B$2,T$4)),0))</f>
        <v>0</v>
      </c>
      <c r="U241" s="251">
        <f>IF(U$4&gt;DAY(EOMONTH(DATE($D$2,$B$2,1),0)),"",IFERROR(SUMIFS(DATA_GOC!$H:$H,DATA_GOC!$A:$A,"BOM",DATA_GOC!$D:$D,$B241,DATA_GOC!$E:$E,"Téc cát nghiền",DATA_GOC!$F:$F,"Xuất nội bộ từ téc",DATA_GOC!$B:$B,DATE($D$2,$B$2,U$4)),0))</f>
        <v>0</v>
      </c>
      <c r="V241" s="251">
        <f>IF(V$4&gt;DAY(EOMONTH(DATE($D$2,$B$2,1),0)),"",IFERROR(SUMIFS(DATA_GOC!$H:$H,DATA_GOC!$A:$A,"BOM",DATA_GOC!$D:$D,$B241,DATA_GOC!$E:$E,"Téc cát nghiền",DATA_GOC!$F:$F,"Xuất nội bộ từ téc",DATA_GOC!$B:$B,DATE($D$2,$B$2,V$4)),0))</f>
        <v>0</v>
      </c>
      <c r="W241" s="251">
        <f>IF(W$4&gt;DAY(EOMONTH(DATE($D$2,$B$2,1),0)),"",IFERROR(SUMIFS(DATA_GOC!$H:$H,DATA_GOC!$A:$A,"BOM",DATA_GOC!$D:$D,$B241,DATA_GOC!$E:$E,"Téc cát nghiền",DATA_GOC!$F:$F,"Xuất nội bộ từ téc",DATA_GOC!$B:$B,DATE($D$2,$B$2,W$4)),0))</f>
        <v>0</v>
      </c>
      <c r="X241" s="251">
        <f>IF(X$4&gt;DAY(EOMONTH(DATE($D$2,$B$2,1),0)),"",IFERROR(SUMIFS(DATA_GOC!$H:$H,DATA_GOC!$A:$A,"BOM",DATA_GOC!$D:$D,$B241,DATA_GOC!$E:$E,"Téc cát nghiền",DATA_GOC!$F:$F,"Xuất nội bộ từ téc",DATA_GOC!$B:$B,DATE($D$2,$B$2,X$4)),0))</f>
        <v>0</v>
      </c>
      <c r="Y241" s="251">
        <f>IF(Y$4&gt;DAY(EOMONTH(DATE($D$2,$B$2,1),0)),"",IFERROR(SUMIFS(DATA_GOC!$H:$H,DATA_GOC!$A:$A,"BOM",DATA_GOC!$D:$D,$B241,DATA_GOC!$E:$E,"Téc cát nghiền",DATA_GOC!$F:$F,"Xuất nội bộ từ téc",DATA_GOC!$B:$B,DATE($D$2,$B$2,Y$4)),0))</f>
        <v>0</v>
      </c>
      <c r="Z241" s="251">
        <f>IF(Z$4&gt;DAY(EOMONTH(DATE($D$2,$B$2,1),0)),"",IFERROR(SUMIFS(DATA_GOC!$H:$H,DATA_GOC!$A:$A,"BOM",DATA_GOC!$D:$D,$B241,DATA_GOC!$E:$E,"Téc cát nghiền",DATA_GOC!$F:$F,"Xuất nội bộ từ téc",DATA_GOC!$B:$B,DATE($D$2,$B$2,Z$4)),0))</f>
        <v>0</v>
      </c>
      <c r="AA241" s="251">
        <f>IF(AA$4&gt;DAY(EOMONTH(DATE($D$2,$B$2,1),0)),"",IFERROR(SUMIFS(DATA_GOC!$H:$H,DATA_GOC!$A:$A,"BOM",DATA_GOC!$D:$D,$B241,DATA_GOC!$E:$E,"Téc cát nghiền",DATA_GOC!$F:$F,"Xuất nội bộ từ téc",DATA_GOC!$B:$B,DATE($D$2,$B$2,AA$4)),0))</f>
        <v>0</v>
      </c>
      <c r="AB241" s="251">
        <f>IF(AB$4&gt;DAY(EOMONTH(DATE($D$2,$B$2,1),0)),"",IFERROR(SUMIFS(DATA_GOC!$H:$H,DATA_GOC!$A:$A,"BOM",DATA_GOC!$D:$D,$B241,DATA_GOC!$E:$E,"Téc cát nghiền",DATA_GOC!$F:$F,"Xuất nội bộ từ téc",DATA_GOC!$B:$B,DATE($D$2,$B$2,AB$4)),0))</f>
        <v>0</v>
      </c>
      <c r="AC241" s="251">
        <f>IF(AC$4&gt;DAY(EOMONTH(DATE($D$2,$B$2,1),0)),"",IFERROR(SUMIFS(DATA_GOC!$H:$H,DATA_GOC!$A:$A,"BOM",DATA_GOC!$D:$D,$B241,DATA_GOC!$E:$E,"Téc cát nghiền",DATA_GOC!$F:$F,"Xuất nội bộ từ téc",DATA_GOC!$B:$B,DATE($D$2,$B$2,AC$4)),0))</f>
        <v>0</v>
      </c>
      <c r="AD241" s="251">
        <f>IF(AD$4&gt;DAY(EOMONTH(DATE($D$2,$B$2,1),0)),"",IFERROR(SUMIFS(DATA_GOC!$H:$H,DATA_GOC!$A:$A,"BOM",DATA_GOC!$D:$D,$B241,DATA_GOC!$E:$E,"Téc cát nghiền",DATA_GOC!$F:$F,"Xuất nội bộ từ téc",DATA_GOC!$B:$B,DATE($D$2,$B$2,AD$4)),0))</f>
        <v>0</v>
      </c>
      <c r="AE241" s="251">
        <f>IF(AE$4&gt;DAY(EOMONTH(DATE($D$2,$B$2,1),0)),"",IFERROR(SUMIFS(DATA_GOC!$H:$H,DATA_GOC!$A:$A,"BOM",DATA_GOC!$D:$D,$B241,DATA_GOC!$E:$E,"Téc cát nghiền",DATA_GOC!$F:$F,"Xuất nội bộ từ téc",DATA_GOC!$B:$B,DATE($D$2,$B$2,AE$4)),0))</f>
        <v>0</v>
      </c>
      <c r="AF241" s="251">
        <f>IF(AF$4&gt;DAY(EOMONTH(DATE($D$2,$B$2,1),0)),"",IFERROR(SUMIFS(DATA_GOC!$H:$H,DATA_GOC!$A:$A,"BOM",DATA_GOC!$D:$D,$B241,DATA_GOC!$E:$E,"Téc cát nghiền",DATA_GOC!$F:$F,"Xuất nội bộ từ téc",DATA_GOC!$B:$B,DATE($D$2,$B$2,AF$4)),0))</f>
        <v>0</v>
      </c>
      <c r="AG241" s="251">
        <f>IF(AG$4&gt;DAY(EOMONTH(DATE($D$2,$B$2,1),0)),"",IFERROR(SUMIFS(DATA_GOC!$H:$H,DATA_GOC!$A:$A,"BOM",DATA_GOC!$D:$D,$B241,DATA_GOC!$E:$E,"Téc cát nghiền",DATA_GOC!$F:$F,"Xuất nội bộ từ téc",DATA_GOC!$B:$B,DATE($D$2,$B$2,AG$4)),0))</f>
        <v>0</v>
      </c>
      <c r="AH241" s="252">
        <f t="shared" si="10"/>
        <v>0</v>
      </c>
      <c r="AI241" s="241"/>
      <c r="AJ241" s="242">
        <f>IF($B241="","",SUMIFS(TINH_TEC!$K$233:$K$9232,TINH_TEC!$H$233:$H$9232,$B241,TINH_TEC!$C$233:$C$9232,"Téc cát nghiền",TINH_TEC!$F$233:$F$9232,$B$2,TINH_TEC!$G$233:$G$9232,$D$2,TINH_TEC!$B$233:$B$9232,"Đã chốt"))</f>
        <v>0</v>
      </c>
      <c r="AK241" s="242">
        <f>IF($B241="","",SUMIFS(TINH_TEC!$J$233:$J$9232,TINH_TEC!$H$233:$H$9232,$B241,TINH_TEC!$C$233:$C$9232,"Téc cát nghiền",TINH_TEC!$F$233:$F$9232,$B$2,TINH_TEC!$G$233:$G$9232,$D$2,TINH_TEC!$B$233:$B$9232,"Đã chốt"))</f>
        <v>0</v>
      </c>
      <c r="AL241" s="242">
        <f t="shared" si="11"/>
        <v>0</v>
      </c>
    </row>
    <row r="242" ht="15.75" customHeight="1">
      <c r="A242" s="237">
        <f>IF($B242&lt;&gt;"",54,"")</f>
        <v>54</v>
      </c>
      <c r="B242" s="250" t="str">
        <f t="array" ref="B242">IFERROR(INDEX(DANH_MUC!$E:$E,57),"")</f>
        <v>Xúclật855N</v>
      </c>
      <c r="C242" s="251">
        <f>IF(C$4&gt;DAY(EOMONTH(DATE($D$2,$B$2,1),0)),"",IFERROR(SUMIFS(DATA_GOC!$H:$H,DATA_GOC!$A:$A,"BOM",DATA_GOC!$D:$D,$B242,DATA_GOC!$E:$E,"Téc cát nghiền",DATA_GOC!$F:$F,"Xuất nội bộ từ téc",DATA_GOC!$B:$B,DATE($D$2,$B$2,C$4)),0))</f>
        <v>0</v>
      </c>
      <c r="D242" s="251">
        <f>IF(D$4&gt;DAY(EOMONTH(DATE($D$2,$B$2,1),0)),"",IFERROR(SUMIFS(DATA_GOC!$H:$H,DATA_GOC!$A:$A,"BOM",DATA_GOC!$D:$D,$B242,DATA_GOC!$E:$E,"Téc cát nghiền",DATA_GOC!$F:$F,"Xuất nội bộ từ téc",DATA_GOC!$B:$B,DATE($D$2,$B$2,D$4)),0))</f>
        <v>0</v>
      </c>
      <c r="E242" s="251">
        <f>IF(E$4&gt;DAY(EOMONTH(DATE($D$2,$B$2,1),0)),"",IFERROR(SUMIFS(DATA_GOC!$H:$H,DATA_GOC!$A:$A,"BOM",DATA_GOC!$D:$D,$B242,DATA_GOC!$E:$E,"Téc cát nghiền",DATA_GOC!$F:$F,"Xuất nội bộ từ téc",DATA_GOC!$B:$B,DATE($D$2,$B$2,E$4)),0))</f>
        <v>0</v>
      </c>
      <c r="F242" s="251">
        <f>IF(F$4&gt;DAY(EOMONTH(DATE($D$2,$B$2,1),0)),"",IFERROR(SUMIFS(DATA_GOC!$H:$H,DATA_GOC!$A:$A,"BOM",DATA_GOC!$D:$D,$B242,DATA_GOC!$E:$E,"Téc cát nghiền",DATA_GOC!$F:$F,"Xuất nội bộ từ téc",DATA_GOC!$B:$B,DATE($D$2,$B$2,F$4)),0))</f>
        <v>0</v>
      </c>
      <c r="G242" s="251">
        <f>IF(G$4&gt;DAY(EOMONTH(DATE($D$2,$B$2,1),0)),"",IFERROR(SUMIFS(DATA_GOC!$H:$H,DATA_GOC!$A:$A,"BOM",DATA_GOC!$D:$D,$B242,DATA_GOC!$E:$E,"Téc cát nghiền",DATA_GOC!$F:$F,"Xuất nội bộ từ téc",DATA_GOC!$B:$B,DATE($D$2,$B$2,G$4)),0))</f>
        <v>0</v>
      </c>
      <c r="H242" s="251">
        <f>IF(H$4&gt;DAY(EOMONTH(DATE($D$2,$B$2,1),0)),"",IFERROR(SUMIFS(DATA_GOC!$H:$H,DATA_GOC!$A:$A,"BOM",DATA_GOC!$D:$D,$B242,DATA_GOC!$E:$E,"Téc cát nghiền",DATA_GOC!$F:$F,"Xuất nội bộ từ téc",DATA_GOC!$B:$B,DATE($D$2,$B$2,H$4)),0))</f>
        <v>0</v>
      </c>
      <c r="I242" s="251">
        <f>IF(I$4&gt;DAY(EOMONTH(DATE($D$2,$B$2,1),0)),"",IFERROR(SUMIFS(DATA_GOC!$H:$H,DATA_GOC!$A:$A,"BOM",DATA_GOC!$D:$D,$B242,DATA_GOC!$E:$E,"Téc cát nghiền",DATA_GOC!$F:$F,"Xuất nội bộ từ téc",DATA_GOC!$B:$B,DATE($D$2,$B$2,I$4)),0))</f>
        <v>0</v>
      </c>
      <c r="J242" s="251">
        <f>IF(J$4&gt;DAY(EOMONTH(DATE($D$2,$B$2,1),0)),"",IFERROR(SUMIFS(DATA_GOC!$H:$H,DATA_GOC!$A:$A,"BOM",DATA_GOC!$D:$D,$B242,DATA_GOC!$E:$E,"Téc cát nghiền",DATA_GOC!$F:$F,"Xuất nội bộ từ téc",DATA_GOC!$B:$B,DATE($D$2,$B$2,J$4)),0))</f>
        <v>0</v>
      </c>
      <c r="K242" s="251">
        <f>IF(K$4&gt;DAY(EOMONTH(DATE($D$2,$B$2,1),0)),"",IFERROR(SUMIFS(DATA_GOC!$H:$H,DATA_GOC!$A:$A,"BOM",DATA_GOC!$D:$D,$B242,DATA_GOC!$E:$E,"Téc cát nghiền",DATA_GOC!$F:$F,"Xuất nội bộ từ téc",DATA_GOC!$B:$B,DATE($D$2,$B$2,K$4)),0))</f>
        <v>0</v>
      </c>
      <c r="L242" s="251">
        <f>IF(L$4&gt;DAY(EOMONTH(DATE($D$2,$B$2,1),0)),"",IFERROR(SUMIFS(DATA_GOC!$H:$H,DATA_GOC!$A:$A,"BOM",DATA_GOC!$D:$D,$B242,DATA_GOC!$E:$E,"Téc cát nghiền",DATA_GOC!$F:$F,"Xuất nội bộ từ téc",DATA_GOC!$B:$B,DATE($D$2,$B$2,L$4)),0))</f>
        <v>0</v>
      </c>
      <c r="M242" s="251">
        <f>IF(M$4&gt;DAY(EOMONTH(DATE($D$2,$B$2,1),0)),"",IFERROR(SUMIFS(DATA_GOC!$H:$H,DATA_GOC!$A:$A,"BOM",DATA_GOC!$D:$D,$B242,DATA_GOC!$E:$E,"Téc cát nghiền",DATA_GOC!$F:$F,"Xuất nội bộ từ téc",DATA_GOC!$B:$B,DATE($D$2,$B$2,M$4)),0))</f>
        <v>0</v>
      </c>
      <c r="N242" s="251">
        <f>IF(N$4&gt;DAY(EOMONTH(DATE($D$2,$B$2,1),0)),"",IFERROR(SUMIFS(DATA_GOC!$H:$H,DATA_GOC!$A:$A,"BOM",DATA_GOC!$D:$D,$B242,DATA_GOC!$E:$E,"Téc cát nghiền",DATA_GOC!$F:$F,"Xuất nội bộ từ téc",DATA_GOC!$B:$B,DATE($D$2,$B$2,N$4)),0))</f>
        <v>0</v>
      </c>
      <c r="O242" s="251">
        <f>IF(O$4&gt;DAY(EOMONTH(DATE($D$2,$B$2,1),0)),"",IFERROR(SUMIFS(DATA_GOC!$H:$H,DATA_GOC!$A:$A,"BOM",DATA_GOC!$D:$D,$B242,DATA_GOC!$E:$E,"Téc cát nghiền",DATA_GOC!$F:$F,"Xuất nội bộ từ téc",DATA_GOC!$B:$B,DATE($D$2,$B$2,O$4)),0))</f>
        <v>0</v>
      </c>
      <c r="P242" s="251">
        <f>IF(P$4&gt;DAY(EOMONTH(DATE($D$2,$B$2,1),0)),"",IFERROR(SUMIFS(DATA_GOC!$H:$H,DATA_GOC!$A:$A,"BOM",DATA_GOC!$D:$D,$B242,DATA_GOC!$E:$E,"Téc cát nghiền",DATA_GOC!$F:$F,"Xuất nội bộ từ téc",DATA_GOC!$B:$B,DATE($D$2,$B$2,P$4)),0))</f>
        <v>0</v>
      </c>
      <c r="Q242" s="251">
        <f>IF(Q$4&gt;DAY(EOMONTH(DATE($D$2,$B$2,1),0)),"",IFERROR(SUMIFS(DATA_GOC!$H:$H,DATA_GOC!$A:$A,"BOM",DATA_GOC!$D:$D,$B242,DATA_GOC!$E:$E,"Téc cát nghiền",DATA_GOC!$F:$F,"Xuất nội bộ từ téc",DATA_GOC!$B:$B,DATE($D$2,$B$2,Q$4)),0))</f>
        <v>0</v>
      </c>
      <c r="R242" s="251">
        <f>IF(R$4&gt;DAY(EOMONTH(DATE($D$2,$B$2,1),0)),"",IFERROR(SUMIFS(DATA_GOC!$H:$H,DATA_GOC!$A:$A,"BOM",DATA_GOC!$D:$D,$B242,DATA_GOC!$E:$E,"Téc cát nghiền",DATA_GOC!$F:$F,"Xuất nội bộ từ téc",DATA_GOC!$B:$B,DATE($D$2,$B$2,R$4)),0))</f>
        <v>0</v>
      </c>
      <c r="S242" s="251">
        <f>IF(S$4&gt;DAY(EOMONTH(DATE($D$2,$B$2,1),0)),"",IFERROR(SUMIFS(DATA_GOC!$H:$H,DATA_GOC!$A:$A,"BOM",DATA_GOC!$D:$D,$B242,DATA_GOC!$E:$E,"Téc cát nghiền",DATA_GOC!$F:$F,"Xuất nội bộ từ téc",DATA_GOC!$B:$B,DATE($D$2,$B$2,S$4)),0))</f>
        <v>0</v>
      </c>
      <c r="T242" s="251">
        <f>IF(T$4&gt;DAY(EOMONTH(DATE($D$2,$B$2,1),0)),"",IFERROR(SUMIFS(DATA_GOC!$H:$H,DATA_GOC!$A:$A,"BOM",DATA_GOC!$D:$D,$B242,DATA_GOC!$E:$E,"Téc cát nghiền",DATA_GOC!$F:$F,"Xuất nội bộ từ téc",DATA_GOC!$B:$B,DATE($D$2,$B$2,T$4)),0))</f>
        <v>0</v>
      </c>
      <c r="U242" s="251">
        <f>IF(U$4&gt;DAY(EOMONTH(DATE($D$2,$B$2,1),0)),"",IFERROR(SUMIFS(DATA_GOC!$H:$H,DATA_GOC!$A:$A,"BOM",DATA_GOC!$D:$D,$B242,DATA_GOC!$E:$E,"Téc cát nghiền",DATA_GOC!$F:$F,"Xuất nội bộ từ téc",DATA_GOC!$B:$B,DATE($D$2,$B$2,U$4)),0))</f>
        <v>0</v>
      </c>
      <c r="V242" s="251">
        <f>IF(V$4&gt;DAY(EOMONTH(DATE($D$2,$B$2,1),0)),"",IFERROR(SUMIFS(DATA_GOC!$H:$H,DATA_GOC!$A:$A,"BOM",DATA_GOC!$D:$D,$B242,DATA_GOC!$E:$E,"Téc cát nghiền",DATA_GOC!$F:$F,"Xuất nội bộ từ téc",DATA_GOC!$B:$B,DATE($D$2,$B$2,V$4)),0))</f>
        <v>0</v>
      </c>
      <c r="W242" s="251">
        <f>IF(W$4&gt;DAY(EOMONTH(DATE($D$2,$B$2,1),0)),"",IFERROR(SUMIFS(DATA_GOC!$H:$H,DATA_GOC!$A:$A,"BOM",DATA_GOC!$D:$D,$B242,DATA_GOC!$E:$E,"Téc cát nghiền",DATA_GOC!$F:$F,"Xuất nội bộ từ téc",DATA_GOC!$B:$B,DATE($D$2,$B$2,W$4)),0))</f>
        <v>0</v>
      </c>
      <c r="X242" s="251">
        <f>IF(X$4&gt;DAY(EOMONTH(DATE($D$2,$B$2,1),0)),"",IFERROR(SUMIFS(DATA_GOC!$H:$H,DATA_GOC!$A:$A,"BOM",DATA_GOC!$D:$D,$B242,DATA_GOC!$E:$E,"Téc cát nghiền",DATA_GOC!$F:$F,"Xuất nội bộ từ téc",DATA_GOC!$B:$B,DATE($D$2,$B$2,X$4)),0))</f>
        <v>0</v>
      </c>
      <c r="Y242" s="251">
        <f>IF(Y$4&gt;DAY(EOMONTH(DATE($D$2,$B$2,1),0)),"",IFERROR(SUMIFS(DATA_GOC!$H:$H,DATA_GOC!$A:$A,"BOM",DATA_GOC!$D:$D,$B242,DATA_GOC!$E:$E,"Téc cát nghiền",DATA_GOC!$F:$F,"Xuất nội bộ từ téc",DATA_GOC!$B:$B,DATE($D$2,$B$2,Y$4)),0))</f>
        <v>0</v>
      </c>
      <c r="Z242" s="251">
        <f>IF(Z$4&gt;DAY(EOMONTH(DATE($D$2,$B$2,1),0)),"",IFERROR(SUMIFS(DATA_GOC!$H:$H,DATA_GOC!$A:$A,"BOM",DATA_GOC!$D:$D,$B242,DATA_GOC!$E:$E,"Téc cát nghiền",DATA_GOC!$F:$F,"Xuất nội bộ từ téc",DATA_GOC!$B:$B,DATE($D$2,$B$2,Z$4)),0))</f>
        <v>0</v>
      </c>
      <c r="AA242" s="251">
        <f>IF(AA$4&gt;DAY(EOMONTH(DATE($D$2,$B$2,1),0)),"",IFERROR(SUMIFS(DATA_GOC!$H:$H,DATA_GOC!$A:$A,"BOM",DATA_GOC!$D:$D,$B242,DATA_GOC!$E:$E,"Téc cát nghiền",DATA_GOC!$F:$F,"Xuất nội bộ từ téc",DATA_GOC!$B:$B,DATE($D$2,$B$2,AA$4)),0))</f>
        <v>0</v>
      </c>
      <c r="AB242" s="251">
        <f>IF(AB$4&gt;DAY(EOMONTH(DATE($D$2,$B$2,1),0)),"",IFERROR(SUMIFS(DATA_GOC!$H:$H,DATA_GOC!$A:$A,"BOM",DATA_GOC!$D:$D,$B242,DATA_GOC!$E:$E,"Téc cát nghiền",DATA_GOC!$F:$F,"Xuất nội bộ từ téc",DATA_GOC!$B:$B,DATE($D$2,$B$2,AB$4)),0))</f>
        <v>0</v>
      </c>
      <c r="AC242" s="251">
        <f>IF(AC$4&gt;DAY(EOMONTH(DATE($D$2,$B$2,1),0)),"",IFERROR(SUMIFS(DATA_GOC!$H:$H,DATA_GOC!$A:$A,"BOM",DATA_GOC!$D:$D,$B242,DATA_GOC!$E:$E,"Téc cát nghiền",DATA_GOC!$F:$F,"Xuất nội bộ từ téc",DATA_GOC!$B:$B,DATE($D$2,$B$2,AC$4)),0))</f>
        <v>0</v>
      </c>
      <c r="AD242" s="251">
        <f>IF(AD$4&gt;DAY(EOMONTH(DATE($D$2,$B$2,1),0)),"",IFERROR(SUMIFS(DATA_GOC!$H:$H,DATA_GOC!$A:$A,"BOM",DATA_GOC!$D:$D,$B242,DATA_GOC!$E:$E,"Téc cát nghiền",DATA_GOC!$F:$F,"Xuất nội bộ từ téc",DATA_GOC!$B:$B,DATE($D$2,$B$2,AD$4)),0))</f>
        <v>0</v>
      </c>
      <c r="AE242" s="251">
        <f>IF(AE$4&gt;DAY(EOMONTH(DATE($D$2,$B$2,1),0)),"",IFERROR(SUMIFS(DATA_GOC!$H:$H,DATA_GOC!$A:$A,"BOM",DATA_GOC!$D:$D,$B242,DATA_GOC!$E:$E,"Téc cát nghiền",DATA_GOC!$F:$F,"Xuất nội bộ từ téc",DATA_GOC!$B:$B,DATE($D$2,$B$2,AE$4)),0))</f>
        <v>0</v>
      </c>
      <c r="AF242" s="251">
        <f>IF(AF$4&gt;DAY(EOMONTH(DATE($D$2,$B$2,1),0)),"",IFERROR(SUMIFS(DATA_GOC!$H:$H,DATA_GOC!$A:$A,"BOM",DATA_GOC!$D:$D,$B242,DATA_GOC!$E:$E,"Téc cát nghiền",DATA_GOC!$F:$F,"Xuất nội bộ từ téc",DATA_GOC!$B:$B,DATE($D$2,$B$2,AF$4)),0))</f>
        <v>0</v>
      </c>
      <c r="AG242" s="251">
        <f>IF(AG$4&gt;DAY(EOMONTH(DATE($D$2,$B$2,1),0)),"",IFERROR(SUMIFS(DATA_GOC!$H:$H,DATA_GOC!$A:$A,"BOM",DATA_GOC!$D:$D,$B242,DATA_GOC!$E:$E,"Téc cát nghiền",DATA_GOC!$F:$F,"Xuất nội bộ từ téc",DATA_GOC!$B:$B,DATE($D$2,$B$2,AG$4)),0))</f>
        <v>0</v>
      </c>
      <c r="AH242" s="252">
        <f t="shared" si="10"/>
        <v>0</v>
      </c>
      <c r="AI242" s="241"/>
      <c r="AJ242" s="242">
        <f>IF($B242="","",SUMIFS(TINH_TEC!$K$233:$K$9232,TINH_TEC!$H$233:$H$9232,$B242,TINH_TEC!$C$233:$C$9232,"Téc cát nghiền",TINH_TEC!$F$233:$F$9232,$B$2,TINH_TEC!$G$233:$G$9232,$D$2,TINH_TEC!$B$233:$B$9232,"Đã chốt"))</f>
        <v>0</v>
      </c>
      <c r="AK242" s="242">
        <f>IF($B242="","",SUMIFS(TINH_TEC!$J$233:$J$9232,TINH_TEC!$H$233:$H$9232,$B242,TINH_TEC!$C$233:$C$9232,"Téc cát nghiền",TINH_TEC!$F$233:$F$9232,$B$2,TINH_TEC!$G$233:$G$9232,$D$2,TINH_TEC!$B$233:$B$9232,"Đã chốt"))</f>
        <v>0</v>
      </c>
      <c r="AL242" s="242">
        <f t="shared" si="11"/>
        <v>0</v>
      </c>
    </row>
    <row r="243" ht="15.75" customHeight="1">
      <c r="A243" s="237">
        <f>IF($B243&lt;&gt;"",55,"")</f>
        <v>55</v>
      </c>
      <c r="B243" s="250" t="str">
        <f t="array" ref="B243">IFERROR(INDEX(DANH_MUC!$E:$E,58),"")</f>
        <v>Cát nghiền</v>
      </c>
      <c r="C243" s="251">
        <f>IF(C$4&gt;DAY(EOMONTH(DATE($D$2,$B$2,1),0)),"",IFERROR(SUMIFS(DATA_GOC!$H:$H,DATA_GOC!$A:$A,"BOM",DATA_GOC!$D:$D,$B243,DATA_GOC!$E:$E,"Téc cát nghiền",DATA_GOC!$F:$F,"Xuất nội bộ từ téc",DATA_GOC!$B:$B,DATE($D$2,$B$2,C$4)),0))</f>
        <v>0</v>
      </c>
      <c r="D243" s="251">
        <f>IF(D$4&gt;DAY(EOMONTH(DATE($D$2,$B$2,1),0)),"",IFERROR(SUMIFS(DATA_GOC!$H:$H,DATA_GOC!$A:$A,"BOM",DATA_GOC!$D:$D,$B243,DATA_GOC!$E:$E,"Téc cát nghiền",DATA_GOC!$F:$F,"Xuất nội bộ từ téc",DATA_GOC!$B:$B,DATE($D$2,$B$2,D$4)),0))</f>
        <v>0</v>
      </c>
      <c r="E243" s="251">
        <f>IF(E$4&gt;DAY(EOMONTH(DATE($D$2,$B$2,1),0)),"",IFERROR(SUMIFS(DATA_GOC!$H:$H,DATA_GOC!$A:$A,"BOM",DATA_GOC!$D:$D,$B243,DATA_GOC!$E:$E,"Téc cát nghiền",DATA_GOC!$F:$F,"Xuất nội bộ từ téc",DATA_GOC!$B:$B,DATE($D$2,$B$2,E$4)),0))</f>
        <v>0</v>
      </c>
      <c r="F243" s="251">
        <f>IF(F$4&gt;DAY(EOMONTH(DATE($D$2,$B$2,1),0)),"",IFERROR(SUMIFS(DATA_GOC!$H:$H,DATA_GOC!$A:$A,"BOM",DATA_GOC!$D:$D,$B243,DATA_GOC!$E:$E,"Téc cát nghiền",DATA_GOC!$F:$F,"Xuất nội bộ từ téc",DATA_GOC!$B:$B,DATE($D$2,$B$2,F$4)),0))</f>
        <v>0</v>
      </c>
      <c r="G243" s="251">
        <f>IF(G$4&gt;DAY(EOMONTH(DATE($D$2,$B$2,1),0)),"",IFERROR(SUMIFS(DATA_GOC!$H:$H,DATA_GOC!$A:$A,"BOM",DATA_GOC!$D:$D,$B243,DATA_GOC!$E:$E,"Téc cát nghiền",DATA_GOC!$F:$F,"Xuất nội bộ từ téc",DATA_GOC!$B:$B,DATE($D$2,$B$2,G$4)),0))</f>
        <v>0</v>
      </c>
      <c r="H243" s="251">
        <f>IF(H$4&gt;DAY(EOMONTH(DATE($D$2,$B$2,1),0)),"",IFERROR(SUMIFS(DATA_GOC!$H:$H,DATA_GOC!$A:$A,"BOM",DATA_GOC!$D:$D,$B243,DATA_GOC!$E:$E,"Téc cát nghiền",DATA_GOC!$F:$F,"Xuất nội bộ từ téc",DATA_GOC!$B:$B,DATE($D$2,$B$2,H$4)),0))</f>
        <v>0</v>
      </c>
      <c r="I243" s="251">
        <f>IF(I$4&gt;DAY(EOMONTH(DATE($D$2,$B$2,1),0)),"",IFERROR(SUMIFS(DATA_GOC!$H:$H,DATA_GOC!$A:$A,"BOM",DATA_GOC!$D:$D,$B243,DATA_GOC!$E:$E,"Téc cát nghiền",DATA_GOC!$F:$F,"Xuất nội bộ từ téc",DATA_GOC!$B:$B,DATE($D$2,$B$2,I$4)),0))</f>
        <v>0</v>
      </c>
      <c r="J243" s="251">
        <f>IF(J$4&gt;DAY(EOMONTH(DATE($D$2,$B$2,1),0)),"",IFERROR(SUMIFS(DATA_GOC!$H:$H,DATA_GOC!$A:$A,"BOM",DATA_GOC!$D:$D,$B243,DATA_GOC!$E:$E,"Téc cát nghiền",DATA_GOC!$F:$F,"Xuất nội bộ từ téc",DATA_GOC!$B:$B,DATE($D$2,$B$2,J$4)),0))</f>
        <v>0</v>
      </c>
      <c r="K243" s="251">
        <f>IF(K$4&gt;DAY(EOMONTH(DATE($D$2,$B$2,1),0)),"",IFERROR(SUMIFS(DATA_GOC!$H:$H,DATA_GOC!$A:$A,"BOM",DATA_GOC!$D:$D,$B243,DATA_GOC!$E:$E,"Téc cát nghiền",DATA_GOC!$F:$F,"Xuất nội bộ từ téc",DATA_GOC!$B:$B,DATE($D$2,$B$2,K$4)),0))</f>
        <v>0</v>
      </c>
      <c r="L243" s="251">
        <f>IF(L$4&gt;DAY(EOMONTH(DATE($D$2,$B$2,1),0)),"",IFERROR(SUMIFS(DATA_GOC!$H:$H,DATA_GOC!$A:$A,"BOM",DATA_GOC!$D:$D,$B243,DATA_GOC!$E:$E,"Téc cát nghiền",DATA_GOC!$F:$F,"Xuất nội bộ từ téc",DATA_GOC!$B:$B,DATE($D$2,$B$2,L$4)),0))</f>
        <v>0</v>
      </c>
      <c r="M243" s="251">
        <f>IF(M$4&gt;DAY(EOMONTH(DATE($D$2,$B$2,1),0)),"",IFERROR(SUMIFS(DATA_GOC!$H:$H,DATA_GOC!$A:$A,"BOM",DATA_GOC!$D:$D,$B243,DATA_GOC!$E:$E,"Téc cát nghiền",DATA_GOC!$F:$F,"Xuất nội bộ từ téc",DATA_GOC!$B:$B,DATE($D$2,$B$2,M$4)),0))</f>
        <v>0</v>
      </c>
      <c r="N243" s="251">
        <f>IF(N$4&gt;DAY(EOMONTH(DATE($D$2,$B$2,1),0)),"",IFERROR(SUMIFS(DATA_GOC!$H:$H,DATA_GOC!$A:$A,"BOM",DATA_GOC!$D:$D,$B243,DATA_GOC!$E:$E,"Téc cát nghiền",DATA_GOC!$F:$F,"Xuất nội bộ từ téc",DATA_GOC!$B:$B,DATE($D$2,$B$2,N$4)),0))</f>
        <v>0</v>
      </c>
      <c r="O243" s="251">
        <f>IF(O$4&gt;DAY(EOMONTH(DATE($D$2,$B$2,1),0)),"",IFERROR(SUMIFS(DATA_GOC!$H:$H,DATA_GOC!$A:$A,"BOM",DATA_GOC!$D:$D,$B243,DATA_GOC!$E:$E,"Téc cát nghiền",DATA_GOC!$F:$F,"Xuất nội bộ từ téc",DATA_GOC!$B:$B,DATE($D$2,$B$2,O$4)),0))</f>
        <v>0</v>
      </c>
      <c r="P243" s="251">
        <f>IF(P$4&gt;DAY(EOMONTH(DATE($D$2,$B$2,1),0)),"",IFERROR(SUMIFS(DATA_GOC!$H:$H,DATA_GOC!$A:$A,"BOM",DATA_GOC!$D:$D,$B243,DATA_GOC!$E:$E,"Téc cát nghiền",DATA_GOC!$F:$F,"Xuất nội bộ từ téc",DATA_GOC!$B:$B,DATE($D$2,$B$2,P$4)),0))</f>
        <v>0</v>
      </c>
      <c r="Q243" s="251">
        <f>IF(Q$4&gt;DAY(EOMONTH(DATE($D$2,$B$2,1),0)),"",IFERROR(SUMIFS(DATA_GOC!$H:$H,DATA_GOC!$A:$A,"BOM",DATA_GOC!$D:$D,$B243,DATA_GOC!$E:$E,"Téc cát nghiền",DATA_GOC!$F:$F,"Xuất nội bộ từ téc",DATA_GOC!$B:$B,DATE($D$2,$B$2,Q$4)),0))</f>
        <v>0</v>
      </c>
      <c r="R243" s="251">
        <f>IF(R$4&gt;DAY(EOMONTH(DATE($D$2,$B$2,1),0)),"",IFERROR(SUMIFS(DATA_GOC!$H:$H,DATA_GOC!$A:$A,"BOM",DATA_GOC!$D:$D,$B243,DATA_GOC!$E:$E,"Téc cát nghiền",DATA_GOC!$F:$F,"Xuất nội bộ từ téc",DATA_GOC!$B:$B,DATE($D$2,$B$2,R$4)),0))</f>
        <v>0</v>
      </c>
      <c r="S243" s="251">
        <f>IF(S$4&gt;DAY(EOMONTH(DATE($D$2,$B$2,1),0)),"",IFERROR(SUMIFS(DATA_GOC!$H:$H,DATA_GOC!$A:$A,"BOM",DATA_GOC!$D:$D,$B243,DATA_GOC!$E:$E,"Téc cát nghiền",DATA_GOC!$F:$F,"Xuất nội bộ từ téc",DATA_GOC!$B:$B,DATE($D$2,$B$2,S$4)),0))</f>
        <v>0</v>
      </c>
      <c r="T243" s="251">
        <f>IF(T$4&gt;DAY(EOMONTH(DATE($D$2,$B$2,1),0)),"",IFERROR(SUMIFS(DATA_GOC!$H:$H,DATA_GOC!$A:$A,"BOM",DATA_GOC!$D:$D,$B243,DATA_GOC!$E:$E,"Téc cát nghiền",DATA_GOC!$F:$F,"Xuất nội bộ từ téc",DATA_GOC!$B:$B,DATE($D$2,$B$2,T$4)),0))</f>
        <v>0</v>
      </c>
      <c r="U243" s="251">
        <f>IF(U$4&gt;DAY(EOMONTH(DATE($D$2,$B$2,1),0)),"",IFERROR(SUMIFS(DATA_GOC!$H:$H,DATA_GOC!$A:$A,"BOM",DATA_GOC!$D:$D,$B243,DATA_GOC!$E:$E,"Téc cát nghiền",DATA_GOC!$F:$F,"Xuất nội bộ từ téc",DATA_GOC!$B:$B,DATE($D$2,$B$2,U$4)),0))</f>
        <v>0</v>
      </c>
      <c r="V243" s="251">
        <f>IF(V$4&gt;DAY(EOMONTH(DATE($D$2,$B$2,1),0)),"",IFERROR(SUMIFS(DATA_GOC!$H:$H,DATA_GOC!$A:$A,"BOM",DATA_GOC!$D:$D,$B243,DATA_GOC!$E:$E,"Téc cát nghiền",DATA_GOC!$F:$F,"Xuất nội bộ từ téc",DATA_GOC!$B:$B,DATE($D$2,$B$2,V$4)),0))</f>
        <v>0</v>
      </c>
      <c r="W243" s="251">
        <f>IF(W$4&gt;DAY(EOMONTH(DATE($D$2,$B$2,1),0)),"",IFERROR(SUMIFS(DATA_GOC!$H:$H,DATA_GOC!$A:$A,"BOM",DATA_GOC!$D:$D,$B243,DATA_GOC!$E:$E,"Téc cát nghiền",DATA_GOC!$F:$F,"Xuất nội bộ từ téc",DATA_GOC!$B:$B,DATE($D$2,$B$2,W$4)),0))</f>
        <v>0</v>
      </c>
      <c r="X243" s="251">
        <f>IF(X$4&gt;DAY(EOMONTH(DATE($D$2,$B$2,1),0)),"",IFERROR(SUMIFS(DATA_GOC!$H:$H,DATA_GOC!$A:$A,"BOM",DATA_GOC!$D:$D,$B243,DATA_GOC!$E:$E,"Téc cát nghiền",DATA_GOC!$F:$F,"Xuất nội bộ từ téc",DATA_GOC!$B:$B,DATE($D$2,$B$2,X$4)),0))</f>
        <v>0</v>
      </c>
      <c r="Y243" s="251">
        <f>IF(Y$4&gt;DAY(EOMONTH(DATE($D$2,$B$2,1),0)),"",IFERROR(SUMIFS(DATA_GOC!$H:$H,DATA_GOC!$A:$A,"BOM",DATA_GOC!$D:$D,$B243,DATA_GOC!$E:$E,"Téc cát nghiền",DATA_GOC!$F:$F,"Xuất nội bộ từ téc",DATA_GOC!$B:$B,DATE($D$2,$B$2,Y$4)),0))</f>
        <v>0</v>
      </c>
      <c r="Z243" s="251">
        <f>IF(Z$4&gt;DAY(EOMONTH(DATE($D$2,$B$2,1),0)),"",IFERROR(SUMIFS(DATA_GOC!$H:$H,DATA_GOC!$A:$A,"BOM",DATA_GOC!$D:$D,$B243,DATA_GOC!$E:$E,"Téc cát nghiền",DATA_GOC!$F:$F,"Xuất nội bộ từ téc",DATA_GOC!$B:$B,DATE($D$2,$B$2,Z$4)),0))</f>
        <v>0</v>
      </c>
      <c r="AA243" s="251">
        <f>IF(AA$4&gt;DAY(EOMONTH(DATE($D$2,$B$2,1),0)),"",IFERROR(SUMIFS(DATA_GOC!$H:$H,DATA_GOC!$A:$A,"BOM",DATA_GOC!$D:$D,$B243,DATA_GOC!$E:$E,"Téc cát nghiền",DATA_GOC!$F:$F,"Xuất nội bộ từ téc",DATA_GOC!$B:$B,DATE($D$2,$B$2,AA$4)),0))</f>
        <v>0</v>
      </c>
      <c r="AB243" s="251">
        <f>IF(AB$4&gt;DAY(EOMONTH(DATE($D$2,$B$2,1),0)),"",IFERROR(SUMIFS(DATA_GOC!$H:$H,DATA_GOC!$A:$A,"BOM",DATA_GOC!$D:$D,$B243,DATA_GOC!$E:$E,"Téc cát nghiền",DATA_GOC!$F:$F,"Xuất nội bộ từ téc",DATA_GOC!$B:$B,DATE($D$2,$B$2,AB$4)),0))</f>
        <v>0</v>
      </c>
      <c r="AC243" s="251">
        <f>IF(AC$4&gt;DAY(EOMONTH(DATE($D$2,$B$2,1),0)),"",IFERROR(SUMIFS(DATA_GOC!$H:$H,DATA_GOC!$A:$A,"BOM",DATA_GOC!$D:$D,$B243,DATA_GOC!$E:$E,"Téc cát nghiền",DATA_GOC!$F:$F,"Xuất nội bộ từ téc",DATA_GOC!$B:$B,DATE($D$2,$B$2,AC$4)),0))</f>
        <v>0</v>
      </c>
      <c r="AD243" s="251">
        <f>IF(AD$4&gt;DAY(EOMONTH(DATE($D$2,$B$2,1),0)),"",IFERROR(SUMIFS(DATA_GOC!$H:$H,DATA_GOC!$A:$A,"BOM",DATA_GOC!$D:$D,$B243,DATA_GOC!$E:$E,"Téc cát nghiền",DATA_GOC!$F:$F,"Xuất nội bộ từ téc",DATA_GOC!$B:$B,DATE($D$2,$B$2,AD$4)),0))</f>
        <v>0</v>
      </c>
      <c r="AE243" s="251">
        <f>IF(AE$4&gt;DAY(EOMONTH(DATE($D$2,$B$2,1),0)),"",IFERROR(SUMIFS(DATA_GOC!$H:$H,DATA_GOC!$A:$A,"BOM",DATA_GOC!$D:$D,$B243,DATA_GOC!$E:$E,"Téc cát nghiền",DATA_GOC!$F:$F,"Xuất nội bộ từ téc",DATA_GOC!$B:$B,DATE($D$2,$B$2,AE$4)),0))</f>
        <v>0</v>
      </c>
      <c r="AF243" s="251">
        <f>IF(AF$4&gt;DAY(EOMONTH(DATE($D$2,$B$2,1),0)),"",IFERROR(SUMIFS(DATA_GOC!$H:$H,DATA_GOC!$A:$A,"BOM",DATA_GOC!$D:$D,$B243,DATA_GOC!$E:$E,"Téc cát nghiền",DATA_GOC!$F:$F,"Xuất nội bộ từ téc",DATA_GOC!$B:$B,DATE($D$2,$B$2,AF$4)),0))</f>
        <v>0</v>
      </c>
      <c r="AG243" s="251">
        <f>IF(AG$4&gt;DAY(EOMONTH(DATE($D$2,$B$2,1),0)),"",IFERROR(SUMIFS(DATA_GOC!$H:$H,DATA_GOC!$A:$A,"BOM",DATA_GOC!$D:$D,$B243,DATA_GOC!$E:$E,"Téc cát nghiền",DATA_GOC!$F:$F,"Xuất nội bộ từ téc",DATA_GOC!$B:$B,DATE($D$2,$B$2,AG$4)),0))</f>
        <v>0</v>
      </c>
      <c r="AH243" s="252">
        <f t="shared" si="10"/>
        <v>0</v>
      </c>
      <c r="AI243" s="241"/>
      <c r="AJ243" s="242">
        <f>IF($B243="","",SUMIFS(TINH_TEC!$K$233:$K$9232,TINH_TEC!$H$233:$H$9232,$B243,TINH_TEC!$C$233:$C$9232,"Téc cát nghiền",TINH_TEC!$F$233:$F$9232,$B$2,TINH_TEC!$G$233:$G$9232,$D$2,TINH_TEC!$B$233:$B$9232,"Đã chốt"))</f>
        <v>0</v>
      </c>
      <c r="AK243" s="242">
        <f>IF($B243="","",SUMIFS(TINH_TEC!$J$233:$J$9232,TINH_TEC!$H$233:$H$9232,$B243,TINH_TEC!$C$233:$C$9232,"Téc cát nghiền",TINH_TEC!$F$233:$F$9232,$B$2,TINH_TEC!$G$233:$G$9232,$D$2,TINH_TEC!$B$233:$B$9232,"Đã chốt"))</f>
        <v>0</v>
      </c>
      <c r="AL243" s="242">
        <f t="shared" si="11"/>
        <v>0</v>
      </c>
    </row>
    <row r="244" ht="15.75" customHeight="1">
      <c r="A244" s="237">
        <f>IF($B244&lt;&gt;"",56,"")</f>
        <v>56</v>
      </c>
      <c r="B244" s="250" t="str">
        <f t="array" ref="B244">IFERROR(INDEX(DANH_MUC!$E:$E,59),"")</f>
        <v>28C02973</v>
      </c>
      <c r="C244" s="251">
        <f>IF(C$4&gt;DAY(EOMONTH(DATE($D$2,$B$2,1),0)),"",IFERROR(SUMIFS(DATA_GOC!$H:$H,DATA_GOC!$A:$A,"BOM",DATA_GOC!$D:$D,$B244,DATA_GOC!$E:$E,"Téc cát nghiền",DATA_GOC!$F:$F,"Xuất nội bộ từ téc",DATA_GOC!$B:$B,DATE($D$2,$B$2,C$4)),0))</f>
        <v>0</v>
      </c>
      <c r="D244" s="251">
        <f>IF(D$4&gt;DAY(EOMONTH(DATE($D$2,$B$2,1),0)),"",IFERROR(SUMIFS(DATA_GOC!$H:$H,DATA_GOC!$A:$A,"BOM",DATA_GOC!$D:$D,$B244,DATA_GOC!$E:$E,"Téc cát nghiền",DATA_GOC!$F:$F,"Xuất nội bộ từ téc",DATA_GOC!$B:$B,DATE($D$2,$B$2,D$4)),0))</f>
        <v>0</v>
      </c>
      <c r="E244" s="251">
        <f>IF(E$4&gt;DAY(EOMONTH(DATE($D$2,$B$2,1),0)),"",IFERROR(SUMIFS(DATA_GOC!$H:$H,DATA_GOC!$A:$A,"BOM",DATA_GOC!$D:$D,$B244,DATA_GOC!$E:$E,"Téc cát nghiền",DATA_GOC!$F:$F,"Xuất nội bộ từ téc",DATA_GOC!$B:$B,DATE($D$2,$B$2,E$4)),0))</f>
        <v>0</v>
      </c>
      <c r="F244" s="251">
        <f>IF(F$4&gt;DAY(EOMONTH(DATE($D$2,$B$2,1),0)),"",IFERROR(SUMIFS(DATA_GOC!$H:$H,DATA_GOC!$A:$A,"BOM",DATA_GOC!$D:$D,$B244,DATA_GOC!$E:$E,"Téc cát nghiền",DATA_GOC!$F:$F,"Xuất nội bộ từ téc",DATA_GOC!$B:$B,DATE($D$2,$B$2,F$4)),0))</f>
        <v>0</v>
      </c>
      <c r="G244" s="251">
        <f>IF(G$4&gt;DAY(EOMONTH(DATE($D$2,$B$2,1),0)),"",IFERROR(SUMIFS(DATA_GOC!$H:$H,DATA_GOC!$A:$A,"BOM",DATA_GOC!$D:$D,$B244,DATA_GOC!$E:$E,"Téc cát nghiền",DATA_GOC!$F:$F,"Xuất nội bộ từ téc",DATA_GOC!$B:$B,DATE($D$2,$B$2,G$4)),0))</f>
        <v>0</v>
      </c>
      <c r="H244" s="251">
        <f>IF(H$4&gt;DAY(EOMONTH(DATE($D$2,$B$2,1),0)),"",IFERROR(SUMIFS(DATA_GOC!$H:$H,DATA_GOC!$A:$A,"BOM",DATA_GOC!$D:$D,$B244,DATA_GOC!$E:$E,"Téc cát nghiền",DATA_GOC!$F:$F,"Xuất nội bộ từ téc",DATA_GOC!$B:$B,DATE($D$2,$B$2,H$4)),0))</f>
        <v>0</v>
      </c>
      <c r="I244" s="251">
        <f>IF(I$4&gt;DAY(EOMONTH(DATE($D$2,$B$2,1),0)),"",IFERROR(SUMIFS(DATA_GOC!$H:$H,DATA_GOC!$A:$A,"BOM",DATA_GOC!$D:$D,$B244,DATA_GOC!$E:$E,"Téc cát nghiền",DATA_GOC!$F:$F,"Xuất nội bộ từ téc",DATA_GOC!$B:$B,DATE($D$2,$B$2,I$4)),0))</f>
        <v>0</v>
      </c>
      <c r="J244" s="251">
        <f>IF(J$4&gt;DAY(EOMONTH(DATE($D$2,$B$2,1),0)),"",IFERROR(SUMIFS(DATA_GOC!$H:$H,DATA_GOC!$A:$A,"BOM",DATA_GOC!$D:$D,$B244,DATA_GOC!$E:$E,"Téc cát nghiền",DATA_GOC!$F:$F,"Xuất nội bộ từ téc",DATA_GOC!$B:$B,DATE($D$2,$B$2,J$4)),0))</f>
        <v>0</v>
      </c>
      <c r="K244" s="251">
        <f>IF(K$4&gt;DAY(EOMONTH(DATE($D$2,$B$2,1),0)),"",IFERROR(SUMIFS(DATA_GOC!$H:$H,DATA_GOC!$A:$A,"BOM",DATA_GOC!$D:$D,$B244,DATA_GOC!$E:$E,"Téc cát nghiền",DATA_GOC!$F:$F,"Xuất nội bộ từ téc",DATA_GOC!$B:$B,DATE($D$2,$B$2,K$4)),0))</f>
        <v>0</v>
      </c>
      <c r="L244" s="251">
        <f>IF(L$4&gt;DAY(EOMONTH(DATE($D$2,$B$2,1),0)),"",IFERROR(SUMIFS(DATA_GOC!$H:$H,DATA_GOC!$A:$A,"BOM",DATA_GOC!$D:$D,$B244,DATA_GOC!$E:$E,"Téc cát nghiền",DATA_GOC!$F:$F,"Xuất nội bộ từ téc",DATA_GOC!$B:$B,DATE($D$2,$B$2,L$4)),0))</f>
        <v>0</v>
      </c>
      <c r="M244" s="251">
        <f>IF(M$4&gt;DAY(EOMONTH(DATE($D$2,$B$2,1),0)),"",IFERROR(SUMIFS(DATA_GOC!$H:$H,DATA_GOC!$A:$A,"BOM",DATA_GOC!$D:$D,$B244,DATA_GOC!$E:$E,"Téc cát nghiền",DATA_GOC!$F:$F,"Xuất nội bộ từ téc",DATA_GOC!$B:$B,DATE($D$2,$B$2,M$4)),0))</f>
        <v>0</v>
      </c>
      <c r="N244" s="251">
        <f>IF(N$4&gt;DAY(EOMONTH(DATE($D$2,$B$2,1),0)),"",IFERROR(SUMIFS(DATA_GOC!$H:$H,DATA_GOC!$A:$A,"BOM",DATA_GOC!$D:$D,$B244,DATA_GOC!$E:$E,"Téc cát nghiền",DATA_GOC!$F:$F,"Xuất nội bộ từ téc",DATA_GOC!$B:$B,DATE($D$2,$B$2,N$4)),0))</f>
        <v>0</v>
      </c>
      <c r="O244" s="251">
        <f>IF(O$4&gt;DAY(EOMONTH(DATE($D$2,$B$2,1),0)),"",IFERROR(SUMIFS(DATA_GOC!$H:$H,DATA_GOC!$A:$A,"BOM",DATA_GOC!$D:$D,$B244,DATA_GOC!$E:$E,"Téc cát nghiền",DATA_GOC!$F:$F,"Xuất nội bộ từ téc",DATA_GOC!$B:$B,DATE($D$2,$B$2,O$4)),0))</f>
        <v>0</v>
      </c>
      <c r="P244" s="251">
        <f>IF(P$4&gt;DAY(EOMONTH(DATE($D$2,$B$2,1),0)),"",IFERROR(SUMIFS(DATA_GOC!$H:$H,DATA_GOC!$A:$A,"BOM",DATA_GOC!$D:$D,$B244,DATA_GOC!$E:$E,"Téc cát nghiền",DATA_GOC!$F:$F,"Xuất nội bộ từ téc",DATA_GOC!$B:$B,DATE($D$2,$B$2,P$4)),0))</f>
        <v>0</v>
      </c>
      <c r="Q244" s="251">
        <f>IF(Q$4&gt;DAY(EOMONTH(DATE($D$2,$B$2,1),0)),"",IFERROR(SUMIFS(DATA_GOC!$H:$H,DATA_GOC!$A:$A,"BOM",DATA_GOC!$D:$D,$B244,DATA_GOC!$E:$E,"Téc cát nghiền",DATA_GOC!$F:$F,"Xuất nội bộ từ téc",DATA_GOC!$B:$B,DATE($D$2,$B$2,Q$4)),0))</f>
        <v>0</v>
      </c>
      <c r="R244" s="251">
        <f>IF(R$4&gt;DAY(EOMONTH(DATE($D$2,$B$2,1),0)),"",IFERROR(SUMIFS(DATA_GOC!$H:$H,DATA_GOC!$A:$A,"BOM",DATA_GOC!$D:$D,$B244,DATA_GOC!$E:$E,"Téc cát nghiền",DATA_GOC!$F:$F,"Xuất nội bộ từ téc",DATA_GOC!$B:$B,DATE($D$2,$B$2,R$4)),0))</f>
        <v>0</v>
      </c>
      <c r="S244" s="251">
        <f>IF(S$4&gt;DAY(EOMONTH(DATE($D$2,$B$2,1),0)),"",IFERROR(SUMIFS(DATA_GOC!$H:$H,DATA_GOC!$A:$A,"BOM",DATA_GOC!$D:$D,$B244,DATA_GOC!$E:$E,"Téc cát nghiền",DATA_GOC!$F:$F,"Xuất nội bộ từ téc",DATA_GOC!$B:$B,DATE($D$2,$B$2,S$4)),0))</f>
        <v>0</v>
      </c>
      <c r="T244" s="251">
        <f>IF(T$4&gt;DAY(EOMONTH(DATE($D$2,$B$2,1),0)),"",IFERROR(SUMIFS(DATA_GOC!$H:$H,DATA_GOC!$A:$A,"BOM",DATA_GOC!$D:$D,$B244,DATA_GOC!$E:$E,"Téc cát nghiền",DATA_GOC!$F:$F,"Xuất nội bộ từ téc",DATA_GOC!$B:$B,DATE($D$2,$B$2,T$4)),0))</f>
        <v>0</v>
      </c>
      <c r="U244" s="251">
        <f>IF(U$4&gt;DAY(EOMONTH(DATE($D$2,$B$2,1),0)),"",IFERROR(SUMIFS(DATA_GOC!$H:$H,DATA_GOC!$A:$A,"BOM",DATA_GOC!$D:$D,$B244,DATA_GOC!$E:$E,"Téc cát nghiền",DATA_GOC!$F:$F,"Xuất nội bộ từ téc",DATA_GOC!$B:$B,DATE($D$2,$B$2,U$4)),0))</f>
        <v>0</v>
      </c>
      <c r="V244" s="251">
        <f>IF(V$4&gt;DAY(EOMONTH(DATE($D$2,$B$2,1),0)),"",IFERROR(SUMIFS(DATA_GOC!$H:$H,DATA_GOC!$A:$A,"BOM",DATA_GOC!$D:$D,$B244,DATA_GOC!$E:$E,"Téc cát nghiền",DATA_GOC!$F:$F,"Xuất nội bộ từ téc",DATA_GOC!$B:$B,DATE($D$2,$B$2,V$4)),0))</f>
        <v>0</v>
      </c>
      <c r="W244" s="251">
        <f>IF(W$4&gt;DAY(EOMONTH(DATE($D$2,$B$2,1),0)),"",IFERROR(SUMIFS(DATA_GOC!$H:$H,DATA_GOC!$A:$A,"BOM",DATA_GOC!$D:$D,$B244,DATA_GOC!$E:$E,"Téc cát nghiền",DATA_GOC!$F:$F,"Xuất nội bộ từ téc",DATA_GOC!$B:$B,DATE($D$2,$B$2,W$4)),0))</f>
        <v>0</v>
      </c>
      <c r="X244" s="251">
        <f>IF(X$4&gt;DAY(EOMONTH(DATE($D$2,$B$2,1),0)),"",IFERROR(SUMIFS(DATA_GOC!$H:$H,DATA_GOC!$A:$A,"BOM",DATA_GOC!$D:$D,$B244,DATA_GOC!$E:$E,"Téc cát nghiền",DATA_GOC!$F:$F,"Xuất nội bộ từ téc",DATA_GOC!$B:$B,DATE($D$2,$B$2,X$4)),0))</f>
        <v>0</v>
      </c>
      <c r="Y244" s="251">
        <f>IF(Y$4&gt;DAY(EOMONTH(DATE($D$2,$B$2,1),0)),"",IFERROR(SUMIFS(DATA_GOC!$H:$H,DATA_GOC!$A:$A,"BOM",DATA_GOC!$D:$D,$B244,DATA_GOC!$E:$E,"Téc cát nghiền",DATA_GOC!$F:$F,"Xuất nội bộ từ téc",DATA_GOC!$B:$B,DATE($D$2,$B$2,Y$4)),0))</f>
        <v>0</v>
      </c>
      <c r="Z244" s="251">
        <f>IF(Z$4&gt;DAY(EOMONTH(DATE($D$2,$B$2,1),0)),"",IFERROR(SUMIFS(DATA_GOC!$H:$H,DATA_GOC!$A:$A,"BOM",DATA_GOC!$D:$D,$B244,DATA_GOC!$E:$E,"Téc cát nghiền",DATA_GOC!$F:$F,"Xuất nội bộ từ téc",DATA_GOC!$B:$B,DATE($D$2,$B$2,Z$4)),0))</f>
        <v>0</v>
      </c>
      <c r="AA244" s="251">
        <f>IF(AA$4&gt;DAY(EOMONTH(DATE($D$2,$B$2,1),0)),"",IFERROR(SUMIFS(DATA_GOC!$H:$H,DATA_GOC!$A:$A,"BOM",DATA_GOC!$D:$D,$B244,DATA_GOC!$E:$E,"Téc cát nghiền",DATA_GOC!$F:$F,"Xuất nội bộ từ téc",DATA_GOC!$B:$B,DATE($D$2,$B$2,AA$4)),0))</f>
        <v>0</v>
      </c>
      <c r="AB244" s="251">
        <f>IF(AB$4&gt;DAY(EOMONTH(DATE($D$2,$B$2,1),0)),"",IFERROR(SUMIFS(DATA_GOC!$H:$H,DATA_GOC!$A:$A,"BOM",DATA_GOC!$D:$D,$B244,DATA_GOC!$E:$E,"Téc cát nghiền",DATA_GOC!$F:$F,"Xuất nội bộ từ téc",DATA_GOC!$B:$B,DATE($D$2,$B$2,AB$4)),0))</f>
        <v>0</v>
      </c>
      <c r="AC244" s="251">
        <f>IF(AC$4&gt;DAY(EOMONTH(DATE($D$2,$B$2,1),0)),"",IFERROR(SUMIFS(DATA_GOC!$H:$H,DATA_GOC!$A:$A,"BOM",DATA_GOC!$D:$D,$B244,DATA_GOC!$E:$E,"Téc cát nghiền",DATA_GOC!$F:$F,"Xuất nội bộ từ téc",DATA_GOC!$B:$B,DATE($D$2,$B$2,AC$4)),0))</f>
        <v>0</v>
      </c>
      <c r="AD244" s="251">
        <f>IF(AD$4&gt;DAY(EOMONTH(DATE($D$2,$B$2,1),0)),"",IFERROR(SUMIFS(DATA_GOC!$H:$H,DATA_GOC!$A:$A,"BOM",DATA_GOC!$D:$D,$B244,DATA_GOC!$E:$E,"Téc cát nghiền",DATA_GOC!$F:$F,"Xuất nội bộ từ téc",DATA_GOC!$B:$B,DATE($D$2,$B$2,AD$4)),0))</f>
        <v>0</v>
      </c>
      <c r="AE244" s="251">
        <f>IF(AE$4&gt;DAY(EOMONTH(DATE($D$2,$B$2,1),0)),"",IFERROR(SUMIFS(DATA_GOC!$H:$H,DATA_GOC!$A:$A,"BOM",DATA_GOC!$D:$D,$B244,DATA_GOC!$E:$E,"Téc cát nghiền",DATA_GOC!$F:$F,"Xuất nội bộ từ téc",DATA_GOC!$B:$B,DATE($D$2,$B$2,AE$4)),0))</f>
        <v>0</v>
      </c>
      <c r="AF244" s="251">
        <f>IF(AF$4&gt;DAY(EOMONTH(DATE($D$2,$B$2,1),0)),"",IFERROR(SUMIFS(DATA_GOC!$H:$H,DATA_GOC!$A:$A,"BOM",DATA_GOC!$D:$D,$B244,DATA_GOC!$E:$E,"Téc cát nghiền",DATA_GOC!$F:$F,"Xuất nội bộ từ téc",DATA_GOC!$B:$B,DATE($D$2,$B$2,AF$4)),0))</f>
        <v>0</v>
      </c>
      <c r="AG244" s="251">
        <f>IF(AG$4&gt;DAY(EOMONTH(DATE($D$2,$B$2,1),0)),"",IFERROR(SUMIFS(DATA_GOC!$H:$H,DATA_GOC!$A:$A,"BOM",DATA_GOC!$D:$D,$B244,DATA_GOC!$E:$E,"Téc cát nghiền",DATA_GOC!$F:$F,"Xuất nội bộ từ téc",DATA_GOC!$B:$B,DATE($D$2,$B$2,AG$4)),0))</f>
        <v>0</v>
      </c>
      <c r="AH244" s="252">
        <f t="shared" si="10"/>
        <v>0</v>
      </c>
      <c r="AI244" s="241"/>
      <c r="AJ244" s="242">
        <f>IF($B244="","",SUMIFS(TINH_TEC!$K$233:$K$9232,TINH_TEC!$H$233:$H$9232,$B244,TINH_TEC!$C$233:$C$9232,"Téc cát nghiền",TINH_TEC!$F$233:$F$9232,$B$2,TINH_TEC!$G$233:$G$9232,$D$2,TINH_TEC!$B$233:$B$9232,"Đã chốt"))</f>
        <v>0</v>
      </c>
      <c r="AK244" s="242">
        <f>IF($B244="","",SUMIFS(TINH_TEC!$J$233:$J$9232,TINH_TEC!$H$233:$H$9232,$B244,TINH_TEC!$C$233:$C$9232,"Téc cát nghiền",TINH_TEC!$F$233:$F$9232,$B$2,TINH_TEC!$G$233:$G$9232,$D$2,TINH_TEC!$B$233:$B$9232,"Đã chốt"))</f>
        <v>0</v>
      </c>
      <c r="AL244" s="242">
        <f t="shared" si="11"/>
        <v>0</v>
      </c>
    </row>
    <row r="245" ht="15.75" customHeight="1">
      <c r="A245" s="237">
        <f>IF($B245&lt;&gt;"",57,"")</f>
        <v>57</v>
      </c>
      <c r="B245" s="250" t="str">
        <f t="array" ref="B245">IFERROR(INDEX(DANH_MUC!$E:$E,60),"")</f>
        <v>28C03044</v>
      </c>
      <c r="C245" s="251">
        <f>IF(C$4&gt;DAY(EOMONTH(DATE($D$2,$B$2,1),0)),"",IFERROR(SUMIFS(DATA_GOC!$H:$H,DATA_GOC!$A:$A,"BOM",DATA_GOC!$D:$D,$B245,DATA_GOC!$E:$E,"Téc cát nghiền",DATA_GOC!$F:$F,"Xuất nội bộ từ téc",DATA_GOC!$B:$B,DATE($D$2,$B$2,C$4)),0))</f>
        <v>0</v>
      </c>
      <c r="D245" s="251">
        <f>IF(D$4&gt;DAY(EOMONTH(DATE($D$2,$B$2,1),0)),"",IFERROR(SUMIFS(DATA_GOC!$H:$H,DATA_GOC!$A:$A,"BOM",DATA_GOC!$D:$D,$B245,DATA_GOC!$E:$E,"Téc cát nghiền",DATA_GOC!$F:$F,"Xuất nội bộ từ téc",DATA_GOC!$B:$B,DATE($D$2,$B$2,D$4)),0))</f>
        <v>0</v>
      </c>
      <c r="E245" s="251">
        <f>IF(E$4&gt;DAY(EOMONTH(DATE($D$2,$B$2,1),0)),"",IFERROR(SUMIFS(DATA_GOC!$H:$H,DATA_GOC!$A:$A,"BOM",DATA_GOC!$D:$D,$B245,DATA_GOC!$E:$E,"Téc cát nghiền",DATA_GOC!$F:$F,"Xuất nội bộ từ téc",DATA_GOC!$B:$B,DATE($D$2,$B$2,E$4)),0))</f>
        <v>0</v>
      </c>
      <c r="F245" s="251">
        <f>IF(F$4&gt;DAY(EOMONTH(DATE($D$2,$B$2,1),0)),"",IFERROR(SUMIFS(DATA_GOC!$H:$H,DATA_GOC!$A:$A,"BOM",DATA_GOC!$D:$D,$B245,DATA_GOC!$E:$E,"Téc cát nghiền",DATA_GOC!$F:$F,"Xuất nội bộ từ téc",DATA_GOC!$B:$B,DATE($D$2,$B$2,F$4)),0))</f>
        <v>0</v>
      </c>
      <c r="G245" s="251">
        <f>IF(G$4&gt;DAY(EOMONTH(DATE($D$2,$B$2,1),0)),"",IFERROR(SUMIFS(DATA_GOC!$H:$H,DATA_GOC!$A:$A,"BOM",DATA_GOC!$D:$D,$B245,DATA_GOC!$E:$E,"Téc cát nghiền",DATA_GOC!$F:$F,"Xuất nội bộ từ téc",DATA_GOC!$B:$B,DATE($D$2,$B$2,G$4)),0))</f>
        <v>0</v>
      </c>
      <c r="H245" s="251">
        <f>IF(H$4&gt;DAY(EOMONTH(DATE($D$2,$B$2,1),0)),"",IFERROR(SUMIFS(DATA_GOC!$H:$H,DATA_GOC!$A:$A,"BOM",DATA_GOC!$D:$D,$B245,DATA_GOC!$E:$E,"Téc cát nghiền",DATA_GOC!$F:$F,"Xuất nội bộ từ téc",DATA_GOC!$B:$B,DATE($D$2,$B$2,H$4)),0))</f>
        <v>0</v>
      </c>
      <c r="I245" s="251">
        <f>IF(I$4&gt;DAY(EOMONTH(DATE($D$2,$B$2,1),0)),"",IFERROR(SUMIFS(DATA_GOC!$H:$H,DATA_GOC!$A:$A,"BOM",DATA_GOC!$D:$D,$B245,DATA_GOC!$E:$E,"Téc cát nghiền",DATA_GOC!$F:$F,"Xuất nội bộ từ téc",DATA_GOC!$B:$B,DATE($D$2,$B$2,I$4)),0))</f>
        <v>0</v>
      </c>
      <c r="J245" s="251">
        <f>IF(J$4&gt;DAY(EOMONTH(DATE($D$2,$B$2,1),0)),"",IFERROR(SUMIFS(DATA_GOC!$H:$H,DATA_GOC!$A:$A,"BOM",DATA_GOC!$D:$D,$B245,DATA_GOC!$E:$E,"Téc cát nghiền",DATA_GOC!$F:$F,"Xuất nội bộ từ téc",DATA_GOC!$B:$B,DATE($D$2,$B$2,J$4)),0))</f>
        <v>0</v>
      </c>
      <c r="K245" s="251">
        <f>IF(K$4&gt;DAY(EOMONTH(DATE($D$2,$B$2,1),0)),"",IFERROR(SUMIFS(DATA_GOC!$H:$H,DATA_GOC!$A:$A,"BOM",DATA_GOC!$D:$D,$B245,DATA_GOC!$E:$E,"Téc cát nghiền",DATA_GOC!$F:$F,"Xuất nội bộ từ téc",DATA_GOC!$B:$B,DATE($D$2,$B$2,K$4)),0))</f>
        <v>0</v>
      </c>
      <c r="L245" s="251">
        <f>IF(L$4&gt;DAY(EOMONTH(DATE($D$2,$B$2,1),0)),"",IFERROR(SUMIFS(DATA_GOC!$H:$H,DATA_GOC!$A:$A,"BOM",DATA_GOC!$D:$D,$B245,DATA_GOC!$E:$E,"Téc cát nghiền",DATA_GOC!$F:$F,"Xuất nội bộ từ téc",DATA_GOC!$B:$B,DATE($D$2,$B$2,L$4)),0))</f>
        <v>0</v>
      </c>
      <c r="M245" s="251">
        <f>IF(M$4&gt;DAY(EOMONTH(DATE($D$2,$B$2,1),0)),"",IFERROR(SUMIFS(DATA_GOC!$H:$H,DATA_GOC!$A:$A,"BOM",DATA_GOC!$D:$D,$B245,DATA_GOC!$E:$E,"Téc cát nghiền",DATA_GOC!$F:$F,"Xuất nội bộ từ téc",DATA_GOC!$B:$B,DATE($D$2,$B$2,M$4)),0))</f>
        <v>0</v>
      </c>
      <c r="N245" s="251">
        <f>IF(N$4&gt;DAY(EOMONTH(DATE($D$2,$B$2,1),0)),"",IFERROR(SUMIFS(DATA_GOC!$H:$H,DATA_GOC!$A:$A,"BOM",DATA_GOC!$D:$D,$B245,DATA_GOC!$E:$E,"Téc cát nghiền",DATA_GOC!$F:$F,"Xuất nội bộ từ téc",DATA_GOC!$B:$B,DATE($D$2,$B$2,N$4)),0))</f>
        <v>0</v>
      </c>
      <c r="O245" s="251">
        <f>IF(O$4&gt;DAY(EOMONTH(DATE($D$2,$B$2,1),0)),"",IFERROR(SUMIFS(DATA_GOC!$H:$H,DATA_GOC!$A:$A,"BOM",DATA_GOC!$D:$D,$B245,DATA_GOC!$E:$E,"Téc cát nghiền",DATA_GOC!$F:$F,"Xuất nội bộ từ téc",DATA_GOC!$B:$B,DATE($D$2,$B$2,O$4)),0))</f>
        <v>0</v>
      </c>
      <c r="P245" s="251">
        <f>IF(P$4&gt;DAY(EOMONTH(DATE($D$2,$B$2,1),0)),"",IFERROR(SUMIFS(DATA_GOC!$H:$H,DATA_GOC!$A:$A,"BOM",DATA_GOC!$D:$D,$B245,DATA_GOC!$E:$E,"Téc cát nghiền",DATA_GOC!$F:$F,"Xuất nội bộ từ téc",DATA_GOC!$B:$B,DATE($D$2,$B$2,P$4)),0))</f>
        <v>0</v>
      </c>
      <c r="Q245" s="251">
        <f>IF(Q$4&gt;DAY(EOMONTH(DATE($D$2,$B$2,1),0)),"",IFERROR(SUMIFS(DATA_GOC!$H:$H,DATA_GOC!$A:$A,"BOM",DATA_GOC!$D:$D,$B245,DATA_GOC!$E:$E,"Téc cát nghiền",DATA_GOC!$F:$F,"Xuất nội bộ từ téc",DATA_GOC!$B:$B,DATE($D$2,$B$2,Q$4)),0))</f>
        <v>0</v>
      </c>
      <c r="R245" s="251">
        <f>IF(R$4&gt;DAY(EOMONTH(DATE($D$2,$B$2,1),0)),"",IFERROR(SUMIFS(DATA_GOC!$H:$H,DATA_GOC!$A:$A,"BOM",DATA_GOC!$D:$D,$B245,DATA_GOC!$E:$E,"Téc cát nghiền",DATA_GOC!$F:$F,"Xuất nội bộ từ téc",DATA_GOC!$B:$B,DATE($D$2,$B$2,R$4)),0))</f>
        <v>0</v>
      </c>
      <c r="S245" s="251">
        <f>IF(S$4&gt;DAY(EOMONTH(DATE($D$2,$B$2,1),0)),"",IFERROR(SUMIFS(DATA_GOC!$H:$H,DATA_GOC!$A:$A,"BOM",DATA_GOC!$D:$D,$B245,DATA_GOC!$E:$E,"Téc cát nghiền",DATA_GOC!$F:$F,"Xuất nội bộ từ téc",DATA_GOC!$B:$B,DATE($D$2,$B$2,S$4)),0))</f>
        <v>0</v>
      </c>
      <c r="T245" s="251">
        <f>IF(T$4&gt;DAY(EOMONTH(DATE($D$2,$B$2,1),0)),"",IFERROR(SUMIFS(DATA_GOC!$H:$H,DATA_GOC!$A:$A,"BOM",DATA_GOC!$D:$D,$B245,DATA_GOC!$E:$E,"Téc cát nghiền",DATA_GOC!$F:$F,"Xuất nội bộ từ téc",DATA_GOC!$B:$B,DATE($D$2,$B$2,T$4)),0))</f>
        <v>0</v>
      </c>
      <c r="U245" s="251">
        <f>IF(U$4&gt;DAY(EOMONTH(DATE($D$2,$B$2,1),0)),"",IFERROR(SUMIFS(DATA_GOC!$H:$H,DATA_GOC!$A:$A,"BOM",DATA_GOC!$D:$D,$B245,DATA_GOC!$E:$E,"Téc cát nghiền",DATA_GOC!$F:$F,"Xuất nội bộ từ téc",DATA_GOC!$B:$B,DATE($D$2,$B$2,U$4)),0))</f>
        <v>0</v>
      </c>
      <c r="V245" s="251">
        <f>IF(V$4&gt;DAY(EOMONTH(DATE($D$2,$B$2,1),0)),"",IFERROR(SUMIFS(DATA_GOC!$H:$H,DATA_GOC!$A:$A,"BOM",DATA_GOC!$D:$D,$B245,DATA_GOC!$E:$E,"Téc cát nghiền",DATA_GOC!$F:$F,"Xuất nội bộ từ téc",DATA_GOC!$B:$B,DATE($D$2,$B$2,V$4)),0))</f>
        <v>0</v>
      </c>
      <c r="W245" s="251">
        <f>IF(W$4&gt;DAY(EOMONTH(DATE($D$2,$B$2,1),0)),"",IFERROR(SUMIFS(DATA_GOC!$H:$H,DATA_GOC!$A:$A,"BOM",DATA_GOC!$D:$D,$B245,DATA_GOC!$E:$E,"Téc cát nghiền",DATA_GOC!$F:$F,"Xuất nội bộ từ téc",DATA_GOC!$B:$B,DATE($D$2,$B$2,W$4)),0))</f>
        <v>0</v>
      </c>
      <c r="X245" s="251">
        <f>IF(X$4&gt;DAY(EOMONTH(DATE($D$2,$B$2,1),0)),"",IFERROR(SUMIFS(DATA_GOC!$H:$H,DATA_GOC!$A:$A,"BOM",DATA_GOC!$D:$D,$B245,DATA_GOC!$E:$E,"Téc cát nghiền",DATA_GOC!$F:$F,"Xuất nội bộ từ téc",DATA_GOC!$B:$B,DATE($D$2,$B$2,X$4)),0))</f>
        <v>0</v>
      </c>
      <c r="Y245" s="251">
        <f>IF(Y$4&gt;DAY(EOMONTH(DATE($D$2,$B$2,1),0)),"",IFERROR(SUMIFS(DATA_GOC!$H:$H,DATA_GOC!$A:$A,"BOM",DATA_GOC!$D:$D,$B245,DATA_GOC!$E:$E,"Téc cát nghiền",DATA_GOC!$F:$F,"Xuất nội bộ từ téc",DATA_GOC!$B:$B,DATE($D$2,$B$2,Y$4)),0))</f>
        <v>0</v>
      </c>
      <c r="Z245" s="251">
        <f>IF(Z$4&gt;DAY(EOMONTH(DATE($D$2,$B$2,1),0)),"",IFERROR(SUMIFS(DATA_GOC!$H:$H,DATA_GOC!$A:$A,"BOM",DATA_GOC!$D:$D,$B245,DATA_GOC!$E:$E,"Téc cát nghiền",DATA_GOC!$F:$F,"Xuất nội bộ từ téc",DATA_GOC!$B:$B,DATE($D$2,$B$2,Z$4)),0))</f>
        <v>0</v>
      </c>
      <c r="AA245" s="251">
        <f>IF(AA$4&gt;DAY(EOMONTH(DATE($D$2,$B$2,1),0)),"",IFERROR(SUMIFS(DATA_GOC!$H:$H,DATA_GOC!$A:$A,"BOM",DATA_GOC!$D:$D,$B245,DATA_GOC!$E:$E,"Téc cát nghiền",DATA_GOC!$F:$F,"Xuất nội bộ từ téc",DATA_GOC!$B:$B,DATE($D$2,$B$2,AA$4)),0))</f>
        <v>0</v>
      </c>
      <c r="AB245" s="251">
        <f>IF(AB$4&gt;DAY(EOMONTH(DATE($D$2,$B$2,1),0)),"",IFERROR(SUMIFS(DATA_GOC!$H:$H,DATA_GOC!$A:$A,"BOM",DATA_GOC!$D:$D,$B245,DATA_GOC!$E:$E,"Téc cát nghiền",DATA_GOC!$F:$F,"Xuất nội bộ từ téc",DATA_GOC!$B:$B,DATE($D$2,$B$2,AB$4)),0))</f>
        <v>0</v>
      </c>
      <c r="AC245" s="251">
        <f>IF(AC$4&gt;DAY(EOMONTH(DATE($D$2,$B$2,1),0)),"",IFERROR(SUMIFS(DATA_GOC!$H:$H,DATA_GOC!$A:$A,"BOM",DATA_GOC!$D:$D,$B245,DATA_GOC!$E:$E,"Téc cát nghiền",DATA_GOC!$F:$F,"Xuất nội bộ từ téc",DATA_GOC!$B:$B,DATE($D$2,$B$2,AC$4)),0))</f>
        <v>0</v>
      </c>
      <c r="AD245" s="251">
        <f>IF(AD$4&gt;DAY(EOMONTH(DATE($D$2,$B$2,1),0)),"",IFERROR(SUMIFS(DATA_GOC!$H:$H,DATA_GOC!$A:$A,"BOM",DATA_GOC!$D:$D,$B245,DATA_GOC!$E:$E,"Téc cát nghiền",DATA_GOC!$F:$F,"Xuất nội bộ từ téc",DATA_GOC!$B:$B,DATE($D$2,$B$2,AD$4)),0))</f>
        <v>0</v>
      </c>
      <c r="AE245" s="251">
        <f>IF(AE$4&gt;DAY(EOMONTH(DATE($D$2,$B$2,1),0)),"",IFERROR(SUMIFS(DATA_GOC!$H:$H,DATA_GOC!$A:$A,"BOM",DATA_GOC!$D:$D,$B245,DATA_GOC!$E:$E,"Téc cát nghiền",DATA_GOC!$F:$F,"Xuất nội bộ từ téc",DATA_GOC!$B:$B,DATE($D$2,$B$2,AE$4)),0))</f>
        <v>0</v>
      </c>
      <c r="AF245" s="251">
        <f>IF(AF$4&gt;DAY(EOMONTH(DATE($D$2,$B$2,1),0)),"",IFERROR(SUMIFS(DATA_GOC!$H:$H,DATA_GOC!$A:$A,"BOM",DATA_GOC!$D:$D,$B245,DATA_GOC!$E:$E,"Téc cát nghiền",DATA_GOC!$F:$F,"Xuất nội bộ từ téc",DATA_GOC!$B:$B,DATE($D$2,$B$2,AF$4)),0))</f>
        <v>0</v>
      </c>
      <c r="AG245" s="251">
        <f>IF(AG$4&gt;DAY(EOMONTH(DATE($D$2,$B$2,1),0)),"",IFERROR(SUMIFS(DATA_GOC!$H:$H,DATA_GOC!$A:$A,"BOM",DATA_GOC!$D:$D,$B245,DATA_GOC!$E:$E,"Téc cát nghiền",DATA_GOC!$F:$F,"Xuất nội bộ từ téc",DATA_GOC!$B:$B,DATE($D$2,$B$2,AG$4)),0))</f>
        <v>0</v>
      </c>
      <c r="AH245" s="252">
        <f t="shared" si="10"/>
        <v>0</v>
      </c>
      <c r="AI245" s="241"/>
      <c r="AJ245" s="242">
        <f>IF($B245="","",SUMIFS(TINH_TEC!$K$233:$K$9232,TINH_TEC!$H$233:$H$9232,$B245,TINH_TEC!$C$233:$C$9232,"Téc cát nghiền",TINH_TEC!$F$233:$F$9232,$B$2,TINH_TEC!$G$233:$G$9232,$D$2,TINH_TEC!$B$233:$B$9232,"Đã chốt"))</f>
        <v>0</v>
      </c>
      <c r="AK245" s="242">
        <f>IF($B245="","",SUMIFS(TINH_TEC!$J$233:$J$9232,TINH_TEC!$H$233:$H$9232,$B245,TINH_TEC!$C$233:$C$9232,"Téc cát nghiền",TINH_TEC!$F$233:$F$9232,$B$2,TINH_TEC!$G$233:$G$9232,$D$2,TINH_TEC!$B$233:$B$9232,"Đã chốt"))</f>
        <v>0</v>
      </c>
      <c r="AL245" s="242">
        <f t="shared" si="11"/>
        <v>0</v>
      </c>
    </row>
    <row r="246" ht="15.75" customHeight="1">
      <c r="A246" s="237">
        <f>IF($B246&lt;&gt;"",58,"")</f>
        <v>58</v>
      </c>
      <c r="B246" s="250" t="str">
        <f t="array" ref="B246">IFERROR(INDEX(DANH_MUC!$E:$E,61),"")</f>
        <v>Máy lu lốp</v>
      </c>
      <c r="C246" s="251">
        <f>IF(C$4&gt;DAY(EOMONTH(DATE($D$2,$B$2,1),0)),"",IFERROR(SUMIFS(DATA_GOC!$H:$H,DATA_GOC!$A:$A,"BOM",DATA_GOC!$D:$D,$B246,DATA_GOC!$E:$E,"Téc cát nghiền",DATA_GOC!$F:$F,"Xuất nội bộ từ téc",DATA_GOC!$B:$B,DATE($D$2,$B$2,C$4)),0))</f>
        <v>0</v>
      </c>
      <c r="D246" s="251">
        <f>IF(D$4&gt;DAY(EOMONTH(DATE($D$2,$B$2,1),0)),"",IFERROR(SUMIFS(DATA_GOC!$H:$H,DATA_GOC!$A:$A,"BOM",DATA_GOC!$D:$D,$B246,DATA_GOC!$E:$E,"Téc cát nghiền",DATA_GOC!$F:$F,"Xuất nội bộ từ téc",DATA_GOC!$B:$B,DATE($D$2,$B$2,D$4)),0))</f>
        <v>0</v>
      </c>
      <c r="E246" s="251">
        <f>IF(E$4&gt;DAY(EOMONTH(DATE($D$2,$B$2,1),0)),"",IFERROR(SUMIFS(DATA_GOC!$H:$H,DATA_GOC!$A:$A,"BOM",DATA_GOC!$D:$D,$B246,DATA_GOC!$E:$E,"Téc cát nghiền",DATA_GOC!$F:$F,"Xuất nội bộ từ téc",DATA_GOC!$B:$B,DATE($D$2,$B$2,E$4)),0))</f>
        <v>0</v>
      </c>
      <c r="F246" s="251">
        <f>IF(F$4&gt;DAY(EOMONTH(DATE($D$2,$B$2,1),0)),"",IFERROR(SUMIFS(DATA_GOC!$H:$H,DATA_GOC!$A:$A,"BOM",DATA_GOC!$D:$D,$B246,DATA_GOC!$E:$E,"Téc cát nghiền",DATA_GOC!$F:$F,"Xuất nội bộ từ téc",DATA_GOC!$B:$B,DATE($D$2,$B$2,F$4)),0))</f>
        <v>0</v>
      </c>
      <c r="G246" s="251">
        <f>IF(G$4&gt;DAY(EOMONTH(DATE($D$2,$B$2,1),0)),"",IFERROR(SUMIFS(DATA_GOC!$H:$H,DATA_GOC!$A:$A,"BOM",DATA_GOC!$D:$D,$B246,DATA_GOC!$E:$E,"Téc cát nghiền",DATA_GOC!$F:$F,"Xuất nội bộ từ téc",DATA_GOC!$B:$B,DATE($D$2,$B$2,G$4)),0))</f>
        <v>0</v>
      </c>
      <c r="H246" s="251">
        <f>IF(H$4&gt;DAY(EOMONTH(DATE($D$2,$B$2,1),0)),"",IFERROR(SUMIFS(DATA_GOC!$H:$H,DATA_GOC!$A:$A,"BOM",DATA_GOC!$D:$D,$B246,DATA_GOC!$E:$E,"Téc cát nghiền",DATA_GOC!$F:$F,"Xuất nội bộ từ téc",DATA_GOC!$B:$B,DATE($D$2,$B$2,H$4)),0))</f>
        <v>0</v>
      </c>
      <c r="I246" s="251">
        <f>IF(I$4&gt;DAY(EOMONTH(DATE($D$2,$B$2,1),0)),"",IFERROR(SUMIFS(DATA_GOC!$H:$H,DATA_GOC!$A:$A,"BOM",DATA_GOC!$D:$D,$B246,DATA_GOC!$E:$E,"Téc cát nghiền",DATA_GOC!$F:$F,"Xuất nội bộ từ téc",DATA_GOC!$B:$B,DATE($D$2,$B$2,I$4)),0))</f>
        <v>0</v>
      </c>
      <c r="J246" s="251">
        <f>IF(J$4&gt;DAY(EOMONTH(DATE($D$2,$B$2,1),0)),"",IFERROR(SUMIFS(DATA_GOC!$H:$H,DATA_GOC!$A:$A,"BOM",DATA_GOC!$D:$D,$B246,DATA_GOC!$E:$E,"Téc cát nghiền",DATA_GOC!$F:$F,"Xuất nội bộ từ téc",DATA_GOC!$B:$B,DATE($D$2,$B$2,J$4)),0))</f>
        <v>0</v>
      </c>
      <c r="K246" s="251">
        <f>IF(K$4&gt;DAY(EOMONTH(DATE($D$2,$B$2,1),0)),"",IFERROR(SUMIFS(DATA_GOC!$H:$H,DATA_GOC!$A:$A,"BOM",DATA_GOC!$D:$D,$B246,DATA_GOC!$E:$E,"Téc cát nghiền",DATA_GOC!$F:$F,"Xuất nội bộ từ téc",DATA_GOC!$B:$B,DATE($D$2,$B$2,K$4)),0))</f>
        <v>0</v>
      </c>
      <c r="L246" s="251">
        <f>IF(L$4&gt;DAY(EOMONTH(DATE($D$2,$B$2,1),0)),"",IFERROR(SUMIFS(DATA_GOC!$H:$H,DATA_GOC!$A:$A,"BOM",DATA_GOC!$D:$D,$B246,DATA_GOC!$E:$E,"Téc cát nghiền",DATA_GOC!$F:$F,"Xuất nội bộ từ téc",DATA_GOC!$B:$B,DATE($D$2,$B$2,L$4)),0))</f>
        <v>0</v>
      </c>
      <c r="M246" s="251">
        <f>IF(M$4&gt;DAY(EOMONTH(DATE($D$2,$B$2,1),0)),"",IFERROR(SUMIFS(DATA_GOC!$H:$H,DATA_GOC!$A:$A,"BOM",DATA_GOC!$D:$D,$B246,DATA_GOC!$E:$E,"Téc cát nghiền",DATA_GOC!$F:$F,"Xuất nội bộ từ téc",DATA_GOC!$B:$B,DATE($D$2,$B$2,M$4)),0))</f>
        <v>0</v>
      </c>
      <c r="N246" s="251">
        <f>IF(N$4&gt;DAY(EOMONTH(DATE($D$2,$B$2,1),0)),"",IFERROR(SUMIFS(DATA_GOC!$H:$H,DATA_GOC!$A:$A,"BOM",DATA_GOC!$D:$D,$B246,DATA_GOC!$E:$E,"Téc cát nghiền",DATA_GOC!$F:$F,"Xuất nội bộ từ téc",DATA_GOC!$B:$B,DATE($D$2,$B$2,N$4)),0))</f>
        <v>0</v>
      </c>
      <c r="O246" s="251">
        <f>IF(O$4&gt;DAY(EOMONTH(DATE($D$2,$B$2,1),0)),"",IFERROR(SUMIFS(DATA_GOC!$H:$H,DATA_GOC!$A:$A,"BOM",DATA_GOC!$D:$D,$B246,DATA_GOC!$E:$E,"Téc cát nghiền",DATA_GOC!$F:$F,"Xuất nội bộ từ téc",DATA_GOC!$B:$B,DATE($D$2,$B$2,O$4)),0))</f>
        <v>0</v>
      </c>
      <c r="P246" s="251">
        <f>IF(P$4&gt;DAY(EOMONTH(DATE($D$2,$B$2,1),0)),"",IFERROR(SUMIFS(DATA_GOC!$H:$H,DATA_GOC!$A:$A,"BOM",DATA_GOC!$D:$D,$B246,DATA_GOC!$E:$E,"Téc cát nghiền",DATA_GOC!$F:$F,"Xuất nội bộ từ téc",DATA_GOC!$B:$B,DATE($D$2,$B$2,P$4)),0))</f>
        <v>0</v>
      </c>
      <c r="Q246" s="251">
        <f>IF(Q$4&gt;DAY(EOMONTH(DATE($D$2,$B$2,1),0)),"",IFERROR(SUMIFS(DATA_GOC!$H:$H,DATA_GOC!$A:$A,"BOM",DATA_GOC!$D:$D,$B246,DATA_GOC!$E:$E,"Téc cát nghiền",DATA_GOC!$F:$F,"Xuất nội bộ từ téc",DATA_GOC!$B:$B,DATE($D$2,$B$2,Q$4)),0))</f>
        <v>0</v>
      </c>
      <c r="R246" s="251">
        <f>IF(R$4&gt;DAY(EOMONTH(DATE($D$2,$B$2,1),0)),"",IFERROR(SUMIFS(DATA_GOC!$H:$H,DATA_GOC!$A:$A,"BOM",DATA_GOC!$D:$D,$B246,DATA_GOC!$E:$E,"Téc cát nghiền",DATA_GOC!$F:$F,"Xuất nội bộ từ téc",DATA_GOC!$B:$B,DATE($D$2,$B$2,R$4)),0))</f>
        <v>0</v>
      </c>
      <c r="S246" s="251">
        <f>IF(S$4&gt;DAY(EOMONTH(DATE($D$2,$B$2,1),0)),"",IFERROR(SUMIFS(DATA_GOC!$H:$H,DATA_GOC!$A:$A,"BOM",DATA_GOC!$D:$D,$B246,DATA_GOC!$E:$E,"Téc cát nghiền",DATA_GOC!$F:$F,"Xuất nội bộ từ téc",DATA_GOC!$B:$B,DATE($D$2,$B$2,S$4)),0))</f>
        <v>0</v>
      </c>
      <c r="T246" s="251">
        <f>IF(T$4&gt;DAY(EOMONTH(DATE($D$2,$B$2,1),0)),"",IFERROR(SUMIFS(DATA_GOC!$H:$H,DATA_GOC!$A:$A,"BOM",DATA_GOC!$D:$D,$B246,DATA_GOC!$E:$E,"Téc cát nghiền",DATA_GOC!$F:$F,"Xuất nội bộ từ téc",DATA_GOC!$B:$B,DATE($D$2,$B$2,T$4)),0))</f>
        <v>0</v>
      </c>
      <c r="U246" s="251">
        <f>IF(U$4&gt;DAY(EOMONTH(DATE($D$2,$B$2,1),0)),"",IFERROR(SUMIFS(DATA_GOC!$H:$H,DATA_GOC!$A:$A,"BOM",DATA_GOC!$D:$D,$B246,DATA_GOC!$E:$E,"Téc cát nghiền",DATA_GOC!$F:$F,"Xuất nội bộ từ téc",DATA_GOC!$B:$B,DATE($D$2,$B$2,U$4)),0))</f>
        <v>0</v>
      </c>
      <c r="V246" s="251">
        <f>IF(V$4&gt;DAY(EOMONTH(DATE($D$2,$B$2,1),0)),"",IFERROR(SUMIFS(DATA_GOC!$H:$H,DATA_GOC!$A:$A,"BOM",DATA_GOC!$D:$D,$B246,DATA_GOC!$E:$E,"Téc cát nghiền",DATA_GOC!$F:$F,"Xuất nội bộ từ téc",DATA_GOC!$B:$B,DATE($D$2,$B$2,V$4)),0))</f>
        <v>0</v>
      </c>
      <c r="W246" s="251">
        <f>IF(W$4&gt;DAY(EOMONTH(DATE($D$2,$B$2,1),0)),"",IFERROR(SUMIFS(DATA_GOC!$H:$H,DATA_GOC!$A:$A,"BOM",DATA_GOC!$D:$D,$B246,DATA_GOC!$E:$E,"Téc cát nghiền",DATA_GOC!$F:$F,"Xuất nội bộ từ téc",DATA_GOC!$B:$B,DATE($D$2,$B$2,W$4)),0))</f>
        <v>0</v>
      </c>
      <c r="X246" s="251">
        <f>IF(X$4&gt;DAY(EOMONTH(DATE($D$2,$B$2,1),0)),"",IFERROR(SUMIFS(DATA_GOC!$H:$H,DATA_GOC!$A:$A,"BOM",DATA_GOC!$D:$D,$B246,DATA_GOC!$E:$E,"Téc cát nghiền",DATA_GOC!$F:$F,"Xuất nội bộ từ téc",DATA_GOC!$B:$B,DATE($D$2,$B$2,X$4)),0))</f>
        <v>0</v>
      </c>
      <c r="Y246" s="251">
        <f>IF(Y$4&gt;DAY(EOMONTH(DATE($D$2,$B$2,1),0)),"",IFERROR(SUMIFS(DATA_GOC!$H:$H,DATA_GOC!$A:$A,"BOM",DATA_GOC!$D:$D,$B246,DATA_GOC!$E:$E,"Téc cát nghiền",DATA_GOC!$F:$F,"Xuất nội bộ từ téc",DATA_GOC!$B:$B,DATE($D$2,$B$2,Y$4)),0))</f>
        <v>0</v>
      </c>
      <c r="Z246" s="251">
        <f>IF(Z$4&gt;DAY(EOMONTH(DATE($D$2,$B$2,1),0)),"",IFERROR(SUMIFS(DATA_GOC!$H:$H,DATA_GOC!$A:$A,"BOM",DATA_GOC!$D:$D,$B246,DATA_GOC!$E:$E,"Téc cát nghiền",DATA_GOC!$F:$F,"Xuất nội bộ từ téc",DATA_GOC!$B:$B,DATE($D$2,$B$2,Z$4)),0))</f>
        <v>0</v>
      </c>
      <c r="AA246" s="251">
        <f>IF(AA$4&gt;DAY(EOMONTH(DATE($D$2,$B$2,1),0)),"",IFERROR(SUMIFS(DATA_GOC!$H:$H,DATA_GOC!$A:$A,"BOM",DATA_GOC!$D:$D,$B246,DATA_GOC!$E:$E,"Téc cát nghiền",DATA_GOC!$F:$F,"Xuất nội bộ từ téc",DATA_GOC!$B:$B,DATE($D$2,$B$2,AA$4)),0))</f>
        <v>0</v>
      </c>
      <c r="AB246" s="251">
        <f>IF(AB$4&gt;DAY(EOMONTH(DATE($D$2,$B$2,1),0)),"",IFERROR(SUMIFS(DATA_GOC!$H:$H,DATA_GOC!$A:$A,"BOM",DATA_GOC!$D:$D,$B246,DATA_GOC!$E:$E,"Téc cát nghiền",DATA_GOC!$F:$F,"Xuất nội bộ từ téc",DATA_GOC!$B:$B,DATE($D$2,$B$2,AB$4)),0))</f>
        <v>0</v>
      </c>
      <c r="AC246" s="251">
        <f>IF(AC$4&gt;DAY(EOMONTH(DATE($D$2,$B$2,1),0)),"",IFERROR(SUMIFS(DATA_GOC!$H:$H,DATA_GOC!$A:$A,"BOM",DATA_GOC!$D:$D,$B246,DATA_GOC!$E:$E,"Téc cát nghiền",DATA_GOC!$F:$F,"Xuất nội bộ từ téc",DATA_GOC!$B:$B,DATE($D$2,$B$2,AC$4)),0))</f>
        <v>0</v>
      </c>
      <c r="AD246" s="251">
        <f>IF(AD$4&gt;DAY(EOMONTH(DATE($D$2,$B$2,1),0)),"",IFERROR(SUMIFS(DATA_GOC!$H:$H,DATA_GOC!$A:$A,"BOM",DATA_GOC!$D:$D,$B246,DATA_GOC!$E:$E,"Téc cát nghiền",DATA_GOC!$F:$F,"Xuất nội bộ từ téc",DATA_GOC!$B:$B,DATE($D$2,$B$2,AD$4)),0))</f>
        <v>0</v>
      </c>
      <c r="AE246" s="251">
        <f>IF(AE$4&gt;DAY(EOMONTH(DATE($D$2,$B$2,1),0)),"",IFERROR(SUMIFS(DATA_GOC!$H:$H,DATA_GOC!$A:$A,"BOM",DATA_GOC!$D:$D,$B246,DATA_GOC!$E:$E,"Téc cát nghiền",DATA_GOC!$F:$F,"Xuất nội bộ từ téc",DATA_GOC!$B:$B,DATE($D$2,$B$2,AE$4)),0))</f>
        <v>0</v>
      </c>
      <c r="AF246" s="251">
        <f>IF(AF$4&gt;DAY(EOMONTH(DATE($D$2,$B$2,1),0)),"",IFERROR(SUMIFS(DATA_GOC!$H:$H,DATA_GOC!$A:$A,"BOM",DATA_GOC!$D:$D,$B246,DATA_GOC!$E:$E,"Téc cát nghiền",DATA_GOC!$F:$F,"Xuất nội bộ từ téc",DATA_GOC!$B:$B,DATE($D$2,$B$2,AF$4)),0))</f>
        <v>0</v>
      </c>
      <c r="AG246" s="251">
        <f>IF(AG$4&gt;DAY(EOMONTH(DATE($D$2,$B$2,1),0)),"",IFERROR(SUMIFS(DATA_GOC!$H:$H,DATA_GOC!$A:$A,"BOM",DATA_GOC!$D:$D,$B246,DATA_GOC!$E:$E,"Téc cát nghiền",DATA_GOC!$F:$F,"Xuất nội bộ từ téc",DATA_GOC!$B:$B,DATE($D$2,$B$2,AG$4)),0))</f>
        <v>0</v>
      </c>
      <c r="AH246" s="252">
        <f t="shared" si="10"/>
        <v>0</v>
      </c>
      <c r="AI246" s="241"/>
      <c r="AJ246" s="242">
        <f>IF($B246="","",SUMIFS(TINH_TEC!$K$233:$K$9232,TINH_TEC!$H$233:$H$9232,$B246,TINH_TEC!$C$233:$C$9232,"Téc cát nghiền",TINH_TEC!$F$233:$F$9232,$B$2,TINH_TEC!$G$233:$G$9232,$D$2,TINH_TEC!$B$233:$B$9232,"Đã chốt"))</f>
        <v>0</v>
      </c>
      <c r="AK246" s="242">
        <f>IF($B246="","",SUMIFS(TINH_TEC!$J$233:$J$9232,TINH_TEC!$H$233:$H$9232,$B246,TINH_TEC!$C$233:$C$9232,"Téc cát nghiền",TINH_TEC!$F$233:$F$9232,$B$2,TINH_TEC!$G$233:$G$9232,$D$2,TINH_TEC!$B$233:$B$9232,"Đã chốt"))</f>
        <v>0</v>
      </c>
      <c r="AL246" s="242">
        <f t="shared" si="11"/>
        <v>0</v>
      </c>
    </row>
    <row r="247" ht="18.0" customHeight="1">
      <c r="A247" s="212"/>
      <c r="B247" s="253" t="s">
        <v>546</v>
      </c>
      <c r="C247" s="254">
        <f t="shared" ref="C247:AL247" si="12">SUM(C189:C246)</f>
        <v>0</v>
      </c>
      <c r="D247" s="254">
        <f t="shared" si="12"/>
        <v>0</v>
      </c>
      <c r="E247" s="254">
        <f t="shared" si="12"/>
        <v>0</v>
      </c>
      <c r="F247" s="254">
        <f t="shared" si="12"/>
        <v>0</v>
      </c>
      <c r="G247" s="254">
        <f t="shared" si="12"/>
        <v>0</v>
      </c>
      <c r="H247" s="254">
        <f t="shared" si="12"/>
        <v>0</v>
      </c>
      <c r="I247" s="254">
        <f t="shared" si="12"/>
        <v>0</v>
      </c>
      <c r="J247" s="254">
        <f t="shared" si="12"/>
        <v>0</v>
      </c>
      <c r="K247" s="254">
        <f t="shared" si="12"/>
        <v>0</v>
      </c>
      <c r="L247" s="254">
        <f t="shared" si="12"/>
        <v>0</v>
      </c>
      <c r="M247" s="254">
        <f t="shared" si="12"/>
        <v>0</v>
      </c>
      <c r="N247" s="254">
        <f t="shared" si="12"/>
        <v>0</v>
      </c>
      <c r="O247" s="254">
        <f t="shared" si="12"/>
        <v>0</v>
      </c>
      <c r="P247" s="254">
        <f t="shared" si="12"/>
        <v>0</v>
      </c>
      <c r="Q247" s="254">
        <f t="shared" si="12"/>
        <v>0</v>
      </c>
      <c r="R247" s="254">
        <f t="shared" si="12"/>
        <v>0</v>
      </c>
      <c r="S247" s="254">
        <f t="shared" si="12"/>
        <v>0</v>
      </c>
      <c r="T247" s="254">
        <f t="shared" si="12"/>
        <v>0</v>
      </c>
      <c r="U247" s="254">
        <f t="shared" si="12"/>
        <v>0</v>
      </c>
      <c r="V247" s="254">
        <f t="shared" si="12"/>
        <v>0</v>
      </c>
      <c r="W247" s="254">
        <f t="shared" si="12"/>
        <v>0</v>
      </c>
      <c r="X247" s="254">
        <f t="shared" si="12"/>
        <v>0</v>
      </c>
      <c r="Y247" s="254">
        <f t="shared" si="12"/>
        <v>0</v>
      </c>
      <c r="Z247" s="254">
        <f t="shared" si="12"/>
        <v>0</v>
      </c>
      <c r="AA247" s="254">
        <f t="shared" si="12"/>
        <v>0</v>
      </c>
      <c r="AB247" s="254">
        <f t="shared" si="12"/>
        <v>0</v>
      </c>
      <c r="AC247" s="254">
        <f t="shared" si="12"/>
        <v>0</v>
      </c>
      <c r="AD247" s="254">
        <f t="shared" si="12"/>
        <v>0</v>
      </c>
      <c r="AE247" s="254">
        <f t="shared" si="12"/>
        <v>0</v>
      </c>
      <c r="AF247" s="254">
        <f t="shared" si="12"/>
        <v>0</v>
      </c>
      <c r="AG247" s="254">
        <f t="shared" si="12"/>
        <v>0</v>
      </c>
      <c r="AH247" s="255">
        <f t="shared" si="12"/>
        <v>0</v>
      </c>
      <c r="AI247" s="256">
        <f t="shared" si="12"/>
        <v>0</v>
      </c>
      <c r="AJ247" s="257">
        <f t="shared" si="12"/>
        <v>0</v>
      </c>
      <c r="AK247" s="257">
        <f t="shared" si="12"/>
        <v>0</v>
      </c>
      <c r="AL247" s="257">
        <f t="shared" si="12"/>
        <v>0</v>
      </c>
    </row>
    <row r="248" ht="15.75" customHeight="1">
      <c r="A248" s="237"/>
      <c r="B248" s="250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2"/>
      <c r="AI248" s="241"/>
      <c r="AJ248" s="242"/>
      <c r="AK248" s="242"/>
      <c r="AL248" s="242"/>
    </row>
    <row r="249" ht="18.0" customHeight="1">
      <c r="A249" s="249" t="s">
        <v>547</v>
      </c>
    </row>
    <row r="250" ht="15.75" customHeight="1">
      <c r="A250" s="237">
        <f>IF($B250&lt;&gt;"",1,"")</f>
        <v>1</v>
      </c>
      <c r="B250" s="250" t="str">
        <f t="array" ref="B250">IFERROR(INDEX(DANH_MUC!$E:$E,4),"")</f>
        <v>19H09482</v>
      </c>
      <c r="C250" s="251">
        <f>IF(C$4&gt;DAY(EOMONTH(DATE($D$2,$B$2,1),0)),"",IFERROR(SUMIFS(DATA_GOC!$H:$H,DATA_GOC!$A:$A,"BOM",DATA_GOC!$D:$D,$B250,DATA_GOC!$E:$E,"Dầu động cơ",DATA_GOC!$F:$F,"Xuất nội bộ từ téc",DATA_GOC!$B:$B,DATE($D$2,$B$2,C$4)),0))</f>
        <v>0</v>
      </c>
      <c r="D250" s="251">
        <f>IF(D$4&gt;DAY(EOMONTH(DATE($D$2,$B$2,1),0)),"",IFERROR(SUMIFS(DATA_GOC!$H:$H,DATA_GOC!$A:$A,"BOM",DATA_GOC!$D:$D,$B250,DATA_GOC!$E:$E,"Dầu động cơ",DATA_GOC!$F:$F,"Xuất nội bộ từ téc",DATA_GOC!$B:$B,DATE($D$2,$B$2,D$4)),0))</f>
        <v>0</v>
      </c>
      <c r="E250" s="251">
        <f>IF(E$4&gt;DAY(EOMONTH(DATE($D$2,$B$2,1),0)),"",IFERROR(SUMIFS(DATA_GOC!$H:$H,DATA_GOC!$A:$A,"BOM",DATA_GOC!$D:$D,$B250,DATA_GOC!$E:$E,"Dầu động cơ",DATA_GOC!$F:$F,"Xuất nội bộ từ téc",DATA_GOC!$B:$B,DATE($D$2,$B$2,E$4)),0))</f>
        <v>0</v>
      </c>
      <c r="F250" s="251">
        <f>IF(F$4&gt;DAY(EOMONTH(DATE($D$2,$B$2,1),0)),"",IFERROR(SUMIFS(DATA_GOC!$H:$H,DATA_GOC!$A:$A,"BOM",DATA_GOC!$D:$D,$B250,DATA_GOC!$E:$E,"Dầu động cơ",DATA_GOC!$F:$F,"Xuất nội bộ từ téc",DATA_GOC!$B:$B,DATE($D$2,$B$2,F$4)),0))</f>
        <v>0</v>
      </c>
      <c r="G250" s="251">
        <f>IF(G$4&gt;DAY(EOMONTH(DATE($D$2,$B$2,1),0)),"",IFERROR(SUMIFS(DATA_GOC!$H:$H,DATA_GOC!$A:$A,"BOM",DATA_GOC!$D:$D,$B250,DATA_GOC!$E:$E,"Dầu động cơ",DATA_GOC!$F:$F,"Xuất nội bộ từ téc",DATA_GOC!$B:$B,DATE($D$2,$B$2,G$4)),0))</f>
        <v>0</v>
      </c>
      <c r="H250" s="251">
        <f>IF(H$4&gt;DAY(EOMONTH(DATE($D$2,$B$2,1),0)),"",IFERROR(SUMIFS(DATA_GOC!$H:$H,DATA_GOC!$A:$A,"BOM",DATA_GOC!$D:$D,$B250,DATA_GOC!$E:$E,"Dầu động cơ",DATA_GOC!$F:$F,"Xuất nội bộ từ téc",DATA_GOC!$B:$B,DATE($D$2,$B$2,H$4)),0))</f>
        <v>0</v>
      </c>
      <c r="I250" s="251">
        <f>IF(I$4&gt;DAY(EOMONTH(DATE($D$2,$B$2,1),0)),"",IFERROR(SUMIFS(DATA_GOC!$H:$H,DATA_GOC!$A:$A,"BOM",DATA_GOC!$D:$D,$B250,DATA_GOC!$E:$E,"Dầu động cơ",DATA_GOC!$F:$F,"Xuất nội bộ từ téc",DATA_GOC!$B:$B,DATE($D$2,$B$2,I$4)),0))</f>
        <v>0</v>
      </c>
      <c r="J250" s="251">
        <f>IF(J$4&gt;DAY(EOMONTH(DATE($D$2,$B$2,1),0)),"",IFERROR(SUMIFS(DATA_GOC!$H:$H,DATA_GOC!$A:$A,"BOM",DATA_GOC!$D:$D,$B250,DATA_GOC!$E:$E,"Dầu động cơ",DATA_GOC!$F:$F,"Xuất nội bộ từ téc",DATA_GOC!$B:$B,DATE($D$2,$B$2,J$4)),0))</f>
        <v>0</v>
      </c>
      <c r="K250" s="251">
        <f>IF(K$4&gt;DAY(EOMONTH(DATE($D$2,$B$2,1),0)),"",IFERROR(SUMIFS(DATA_GOC!$H:$H,DATA_GOC!$A:$A,"BOM",DATA_GOC!$D:$D,$B250,DATA_GOC!$E:$E,"Dầu động cơ",DATA_GOC!$F:$F,"Xuất nội bộ từ téc",DATA_GOC!$B:$B,DATE($D$2,$B$2,K$4)),0))</f>
        <v>0</v>
      </c>
      <c r="L250" s="251">
        <f>IF(L$4&gt;DAY(EOMONTH(DATE($D$2,$B$2,1),0)),"",IFERROR(SUMIFS(DATA_GOC!$H:$H,DATA_GOC!$A:$A,"BOM",DATA_GOC!$D:$D,$B250,DATA_GOC!$E:$E,"Dầu động cơ",DATA_GOC!$F:$F,"Xuất nội bộ từ téc",DATA_GOC!$B:$B,DATE($D$2,$B$2,L$4)),0))</f>
        <v>0</v>
      </c>
      <c r="M250" s="251">
        <f>IF(M$4&gt;DAY(EOMONTH(DATE($D$2,$B$2,1),0)),"",IFERROR(SUMIFS(DATA_GOC!$H:$H,DATA_GOC!$A:$A,"BOM",DATA_GOC!$D:$D,$B250,DATA_GOC!$E:$E,"Dầu động cơ",DATA_GOC!$F:$F,"Xuất nội bộ từ téc",DATA_GOC!$B:$B,DATE($D$2,$B$2,M$4)),0))</f>
        <v>0</v>
      </c>
      <c r="N250" s="251">
        <f>IF(N$4&gt;DAY(EOMONTH(DATE($D$2,$B$2,1),0)),"",IFERROR(SUMIFS(DATA_GOC!$H:$H,DATA_GOC!$A:$A,"BOM",DATA_GOC!$D:$D,$B250,DATA_GOC!$E:$E,"Dầu động cơ",DATA_GOC!$F:$F,"Xuất nội bộ từ téc",DATA_GOC!$B:$B,DATE($D$2,$B$2,N$4)),0))</f>
        <v>0</v>
      </c>
      <c r="O250" s="251">
        <f>IF(O$4&gt;DAY(EOMONTH(DATE($D$2,$B$2,1),0)),"",IFERROR(SUMIFS(DATA_GOC!$H:$H,DATA_GOC!$A:$A,"BOM",DATA_GOC!$D:$D,$B250,DATA_GOC!$E:$E,"Dầu động cơ",DATA_GOC!$F:$F,"Xuất nội bộ từ téc",DATA_GOC!$B:$B,DATE($D$2,$B$2,O$4)),0))</f>
        <v>0</v>
      </c>
      <c r="P250" s="251">
        <f>IF(P$4&gt;DAY(EOMONTH(DATE($D$2,$B$2,1),0)),"",IFERROR(SUMIFS(DATA_GOC!$H:$H,DATA_GOC!$A:$A,"BOM",DATA_GOC!$D:$D,$B250,DATA_GOC!$E:$E,"Dầu động cơ",DATA_GOC!$F:$F,"Xuất nội bộ từ téc",DATA_GOC!$B:$B,DATE($D$2,$B$2,P$4)),0))</f>
        <v>0</v>
      </c>
      <c r="Q250" s="251">
        <f>IF(Q$4&gt;DAY(EOMONTH(DATE($D$2,$B$2,1),0)),"",IFERROR(SUMIFS(DATA_GOC!$H:$H,DATA_GOC!$A:$A,"BOM",DATA_GOC!$D:$D,$B250,DATA_GOC!$E:$E,"Dầu động cơ",DATA_GOC!$F:$F,"Xuất nội bộ từ téc",DATA_GOC!$B:$B,DATE($D$2,$B$2,Q$4)),0))</f>
        <v>0</v>
      </c>
      <c r="R250" s="251">
        <f>IF(R$4&gt;DAY(EOMONTH(DATE($D$2,$B$2,1),0)),"",IFERROR(SUMIFS(DATA_GOC!$H:$H,DATA_GOC!$A:$A,"BOM",DATA_GOC!$D:$D,$B250,DATA_GOC!$E:$E,"Dầu động cơ",DATA_GOC!$F:$F,"Xuất nội bộ từ téc",DATA_GOC!$B:$B,DATE($D$2,$B$2,R$4)),0))</f>
        <v>0</v>
      </c>
      <c r="S250" s="251">
        <f>IF(S$4&gt;DAY(EOMONTH(DATE($D$2,$B$2,1),0)),"",IFERROR(SUMIFS(DATA_GOC!$H:$H,DATA_GOC!$A:$A,"BOM",DATA_GOC!$D:$D,$B250,DATA_GOC!$E:$E,"Dầu động cơ",DATA_GOC!$F:$F,"Xuất nội bộ từ téc",DATA_GOC!$B:$B,DATE($D$2,$B$2,S$4)),0))</f>
        <v>0</v>
      </c>
      <c r="T250" s="251">
        <f>IF(T$4&gt;DAY(EOMONTH(DATE($D$2,$B$2,1),0)),"",IFERROR(SUMIFS(DATA_GOC!$H:$H,DATA_GOC!$A:$A,"BOM",DATA_GOC!$D:$D,$B250,DATA_GOC!$E:$E,"Dầu động cơ",DATA_GOC!$F:$F,"Xuất nội bộ từ téc",DATA_GOC!$B:$B,DATE($D$2,$B$2,T$4)),0))</f>
        <v>0</v>
      </c>
      <c r="U250" s="251">
        <f>IF(U$4&gt;DAY(EOMONTH(DATE($D$2,$B$2,1),0)),"",IFERROR(SUMIFS(DATA_GOC!$H:$H,DATA_GOC!$A:$A,"BOM",DATA_GOC!$D:$D,$B250,DATA_GOC!$E:$E,"Dầu động cơ",DATA_GOC!$F:$F,"Xuất nội bộ từ téc",DATA_GOC!$B:$B,DATE($D$2,$B$2,U$4)),0))</f>
        <v>0</v>
      </c>
      <c r="V250" s="251">
        <f>IF(V$4&gt;DAY(EOMONTH(DATE($D$2,$B$2,1),0)),"",IFERROR(SUMIFS(DATA_GOC!$H:$H,DATA_GOC!$A:$A,"BOM",DATA_GOC!$D:$D,$B250,DATA_GOC!$E:$E,"Dầu động cơ",DATA_GOC!$F:$F,"Xuất nội bộ từ téc",DATA_GOC!$B:$B,DATE($D$2,$B$2,V$4)),0))</f>
        <v>0</v>
      </c>
      <c r="W250" s="251">
        <f>IF(W$4&gt;DAY(EOMONTH(DATE($D$2,$B$2,1),0)),"",IFERROR(SUMIFS(DATA_GOC!$H:$H,DATA_GOC!$A:$A,"BOM",DATA_GOC!$D:$D,$B250,DATA_GOC!$E:$E,"Dầu động cơ",DATA_GOC!$F:$F,"Xuất nội bộ từ téc",DATA_GOC!$B:$B,DATE($D$2,$B$2,W$4)),0))</f>
        <v>0</v>
      </c>
      <c r="X250" s="251">
        <f>IF(X$4&gt;DAY(EOMONTH(DATE($D$2,$B$2,1),0)),"",IFERROR(SUMIFS(DATA_GOC!$H:$H,DATA_GOC!$A:$A,"BOM",DATA_GOC!$D:$D,$B250,DATA_GOC!$E:$E,"Dầu động cơ",DATA_GOC!$F:$F,"Xuất nội bộ từ téc",DATA_GOC!$B:$B,DATE($D$2,$B$2,X$4)),0))</f>
        <v>0</v>
      </c>
      <c r="Y250" s="251">
        <f>IF(Y$4&gt;DAY(EOMONTH(DATE($D$2,$B$2,1),0)),"",IFERROR(SUMIFS(DATA_GOC!$H:$H,DATA_GOC!$A:$A,"BOM",DATA_GOC!$D:$D,$B250,DATA_GOC!$E:$E,"Dầu động cơ",DATA_GOC!$F:$F,"Xuất nội bộ từ téc",DATA_GOC!$B:$B,DATE($D$2,$B$2,Y$4)),0))</f>
        <v>0</v>
      </c>
      <c r="Z250" s="251">
        <f>IF(Z$4&gt;DAY(EOMONTH(DATE($D$2,$B$2,1),0)),"",IFERROR(SUMIFS(DATA_GOC!$H:$H,DATA_GOC!$A:$A,"BOM",DATA_GOC!$D:$D,$B250,DATA_GOC!$E:$E,"Dầu động cơ",DATA_GOC!$F:$F,"Xuất nội bộ từ téc",DATA_GOC!$B:$B,DATE($D$2,$B$2,Z$4)),0))</f>
        <v>0</v>
      </c>
      <c r="AA250" s="251">
        <f>IF(AA$4&gt;DAY(EOMONTH(DATE($D$2,$B$2,1),0)),"",IFERROR(SUMIFS(DATA_GOC!$H:$H,DATA_GOC!$A:$A,"BOM",DATA_GOC!$D:$D,$B250,DATA_GOC!$E:$E,"Dầu động cơ",DATA_GOC!$F:$F,"Xuất nội bộ từ téc",DATA_GOC!$B:$B,DATE($D$2,$B$2,AA$4)),0))</f>
        <v>0</v>
      </c>
      <c r="AB250" s="251">
        <f>IF(AB$4&gt;DAY(EOMONTH(DATE($D$2,$B$2,1),0)),"",IFERROR(SUMIFS(DATA_GOC!$H:$H,DATA_GOC!$A:$A,"BOM",DATA_GOC!$D:$D,$B250,DATA_GOC!$E:$E,"Dầu động cơ",DATA_GOC!$F:$F,"Xuất nội bộ từ téc",DATA_GOC!$B:$B,DATE($D$2,$B$2,AB$4)),0))</f>
        <v>0</v>
      </c>
      <c r="AC250" s="251">
        <f>IF(AC$4&gt;DAY(EOMONTH(DATE($D$2,$B$2,1),0)),"",IFERROR(SUMIFS(DATA_GOC!$H:$H,DATA_GOC!$A:$A,"BOM",DATA_GOC!$D:$D,$B250,DATA_GOC!$E:$E,"Dầu động cơ",DATA_GOC!$F:$F,"Xuất nội bộ từ téc",DATA_GOC!$B:$B,DATE($D$2,$B$2,AC$4)),0))</f>
        <v>0</v>
      </c>
      <c r="AD250" s="251">
        <f>IF(AD$4&gt;DAY(EOMONTH(DATE($D$2,$B$2,1),0)),"",IFERROR(SUMIFS(DATA_GOC!$H:$H,DATA_GOC!$A:$A,"BOM",DATA_GOC!$D:$D,$B250,DATA_GOC!$E:$E,"Dầu động cơ",DATA_GOC!$F:$F,"Xuất nội bộ từ téc",DATA_GOC!$B:$B,DATE($D$2,$B$2,AD$4)),0))</f>
        <v>0</v>
      </c>
      <c r="AE250" s="251">
        <f>IF(AE$4&gt;DAY(EOMONTH(DATE($D$2,$B$2,1),0)),"",IFERROR(SUMIFS(DATA_GOC!$H:$H,DATA_GOC!$A:$A,"BOM",DATA_GOC!$D:$D,$B250,DATA_GOC!$E:$E,"Dầu động cơ",DATA_GOC!$F:$F,"Xuất nội bộ từ téc",DATA_GOC!$B:$B,DATE($D$2,$B$2,AE$4)),0))</f>
        <v>0</v>
      </c>
      <c r="AF250" s="251">
        <f>IF(AF$4&gt;DAY(EOMONTH(DATE($D$2,$B$2,1),0)),"",IFERROR(SUMIFS(DATA_GOC!$H:$H,DATA_GOC!$A:$A,"BOM",DATA_GOC!$D:$D,$B250,DATA_GOC!$E:$E,"Dầu động cơ",DATA_GOC!$F:$F,"Xuất nội bộ từ téc",DATA_GOC!$B:$B,DATE($D$2,$B$2,AF$4)),0))</f>
        <v>0</v>
      </c>
      <c r="AG250" s="251">
        <f>IF(AG$4&gt;DAY(EOMONTH(DATE($D$2,$B$2,1),0)),"",IFERROR(SUMIFS(DATA_GOC!$H:$H,DATA_GOC!$A:$A,"BOM",DATA_GOC!$D:$D,$B250,DATA_GOC!$E:$E,"Dầu động cơ",DATA_GOC!$F:$F,"Xuất nội bộ từ téc",DATA_GOC!$B:$B,DATE($D$2,$B$2,AG$4)),0))</f>
        <v>0</v>
      </c>
      <c r="AH250" s="252">
        <f t="shared" ref="AH250:AH307" si="13">SUM(C250:AG250)</f>
        <v>0</v>
      </c>
      <c r="AI250" s="241"/>
      <c r="AJ250" s="242">
        <f>IF($B250="","",SUMIFS(TINH_TEC!$K$233:$K$9232,TINH_TEC!$H$233:$H$9232,$B250,TINH_TEC!$C$233:$C$9232,"Dầu động cơ",TINH_TEC!$F$233:$F$9232,$B$2,TINH_TEC!$G$233:$G$9232,$D$2,TINH_TEC!$B$233:$B$9232,"Đã chốt"))</f>
        <v>0</v>
      </c>
      <c r="AK250" s="242">
        <f>IF($B250="","",SUMIFS(TINH_TEC!$J$233:$J$9232,TINH_TEC!$H$233:$H$9232,$B250,TINH_TEC!$C$233:$C$9232,"Dầu động cơ",TINH_TEC!$F$233:$F$9232,$B$2,TINH_TEC!$G$233:$G$9232,$D$2,TINH_TEC!$B$233:$B$9232,"Đã chốt"))</f>
        <v>0</v>
      </c>
      <c r="AL250" s="242">
        <f t="shared" ref="AL250:AL307" si="14">IF($B250="","",N(AH250)+N(AI250)+N(AK250)-N(AJ250))</f>
        <v>0</v>
      </c>
    </row>
    <row r="251" ht="15.75" customHeight="1">
      <c r="A251" s="237">
        <f>IF($B251&lt;&gt;"",2,"")</f>
        <v>2</v>
      </c>
      <c r="B251" s="250" t="str">
        <f t="array" ref="B251">IFERROR(INDEX(DANH_MUC!$E:$E,5),"")</f>
        <v>28A30696</v>
      </c>
      <c r="C251" s="251">
        <f>IF(C$4&gt;DAY(EOMONTH(DATE($D$2,$B$2,1),0)),"",IFERROR(SUMIFS(DATA_GOC!$H:$H,DATA_GOC!$A:$A,"BOM",DATA_GOC!$D:$D,$B251,DATA_GOC!$E:$E,"Dầu động cơ",DATA_GOC!$F:$F,"Xuất nội bộ từ téc",DATA_GOC!$B:$B,DATE($D$2,$B$2,C$4)),0))</f>
        <v>0</v>
      </c>
      <c r="D251" s="251">
        <f>IF(D$4&gt;DAY(EOMONTH(DATE($D$2,$B$2,1),0)),"",IFERROR(SUMIFS(DATA_GOC!$H:$H,DATA_GOC!$A:$A,"BOM",DATA_GOC!$D:$D,$B251,DATA_GOC!$E:$E,"Dầu động cơ",DATA_GOC!$F:$F,"Xuất nội bộ từ téc",DATA_GOC!$B:$B,DATE($D$2,$B$2,D$4)),0))</f>
        <v>0</v>
      </c>
      <c r="E251" s="251">
        <f>IF(E$4&gt;DAY(EOMONTH(DATE($D$2,$B$2,1),0)),"",IFERROR(SUMIFS(DATA_GOC!$H:$H,DATA_GOC!$A:$A,"BOM",DATA_GOC!$D:$D,$B251,DATA_GOC!$E:$E,"Dầu động cơ",DATA_GOC!$F:$F,"Xuất nội bộ từ téc",DATA_GOC!$B:$B,DATE($D$2,$B$2,E$4)),0))</f>
        <v>0</v>
      </c>
      <c r="F251" s="251">
        <f>IF(F$4&gt;DAY(EOMONTH(DATE($D$2,$B$2,1),0)),"",IFERROR(SUMIFS(DATA_GOC!$H:$H,DATA_GOC!$A:$A,"BOM",DATA_GOC!$D:$D,$B251,DATA_GOC!$E:$E,"Dầu động cơ",DATA_GOC!$F:$F,"Xuất nội bộ từ téc",DATA_GOC!$B:$B,DATE($D$2,$B$2,F$4)),0))</f>
        <v>0</v>
      </c>
      <c r="G251" s="251">
        <f>IF(G$4&gt;DAY(EOMONTH(DATE($D$2,$B$2,1),0)),"",IFERROR(SUMIFS(DATA_GOC!$H:$H,DATA_GOC!$A:$A,"BOM",DATA_GOC!$D:$D,$B251,DATA_GOC!$E:$E,"Dầu động cơ",DATA_GOC!$F:$F,"Xuất nội bộ từ téc",DATA_GOC!$B:$B,DATE($D$2,$B$2,G$4)),0))</f>
        <v>0</v>
      </c>
      <c r="H251" s="251">
        <f>IF(H$4&gt;DAY(EOMONTH(DATE($D$2,$B$2,1),0)),"",IFERROR(SUMIFS(DATA_GOC!$H:$H,DATA_GOC!$A:$A,"BOM",DATA_GOC!$D:$D,$B251,DATA_GOC!$E:$E,"Dầu động cơ",DATA_GOC!$F:$F,"Xuất nội bộ từ téc",DATA_GOC!$B:$B,DATE($D$2,$B$2,H$4)),0))</f>
        <v>0</v>
      </c>
      <c r="I251" s="251">
        <f>IF(I$4&gt;DAY(EOMONTH(DATE($D$2,$B$2,1),0)),"",IFERROR(SUMIFS(DATA_GOC!$H:$H,DATA_GOC!$A:$A,"BOM",DATA_GOC!$D:$D,$B251,DATA_GOC!$E:$E,"Dầu động cơ",DATA_GOC!$F:$F,"Xuất nội bộ từ téc",DATA_GOC!$B:$B,DATE($D$2,$B$2,I$4)),0))</f>
        <v>0</v>
      </c>
      <c r="J251" s="251">
        <f>IF(J$4&gt;DAY(EOMONTH(DATE($D$2,$B$2,1),0)),"",IFERROR(SUMIFS(DATA_GOC!$H:$H,DATA_GOC!$A:$A,"BOM",DATA_GOC!$D:$D,$B251,DATA_GOC!$E:$E,"Dầu động cơ",DATA_GOC!$F:$F,"Xuất nội bộ từ téc",DATA_GOC!$B:$B,DATE($D$2,$B$2,J$4)),0))</f>
        <v>0</v>
      </c>
      <c r="K251" s="251">
        <f>IF(K$4&gt;DAY(EOMONTH(DATE($D$2,$B$2,1),0)),"",IFERROR(SUMIFS(DATA_GOC!$H:$H,DATA_GOC!$A:$A,"BOM",DATA_GOC!$D:$D,$B251,DATA_GOC!$E:$E,"Dầu động cơ",DATA_GOC!$F:$F,"Xuất nội bộ từ téc",DATA_GOC!$B:$B,DATE($D$2,$B$2,K$4)),0))</f>
        <v>0</v>
      </c>
      <c r="L251" s="251">
        <f>IF(L$4&gt;DAY(EOMONTH(DATE($D$2,$B$2,1),0)),"",IFERROR(SUMIFS(DATA_GOC!$H:$H,DATA_GOC!$A:$A,"BOM",DATA_GOC!$D:$D,$B251,DATA_GOC!$E:$E,"Dầu động cơ",DATA_GOC!$F:$F,"Xuất nội bộ từ téc",DATA_GOC!$B:$B,DATE($D$2,$B$2,L$4)),0))</f>
        <v>0</v>
      </c>
      <c r="M251" s="251">
        <f>IF(M$4&gt;DAY(EOMONTH(DATE($D$2,$B$2,1),0)),"",IFERROR(SUMIFS(DATA_GOC!$H:$H,DATA_GOC!$A:$A,"BOM",DATA_GOC!$D:$D,$B251,DATA_GOC!$E:$E,"Dầu động cơ",DATA_GOC!$F:$F,"Xuất nội bộ từ téc",DATA_GOC!$B:$B,DATE($D$2,$B$2,M$4)),0))</f>
        <v>0</v>
      </c>
      <c r="N251" s="251">
        <f>IF(N$4&gt;DAY(EOMONTH(DATE($D$2,$B$2,1),0)),"",IFERROR(SUMIFS(DATA_GOC!$H:$H,DATA_GOC!$A:$A,"BOM",DATA_GOC!$D:$D,$B251,DATA_GOC!$E:$E,"Dầu động cơ",DATA_GOC!$F:$F,"Xuất nội bộ từ téc",DATA_GOC!$B:$B,DATE($D$2,$B$2,N$4)),0))</f>
        <v>0</v>
      </c>
      <c r="O251" s="251">
        <f>IF(O$4&gt;DAY(EOMONTH(DATE($D$2,$B$2,1),0)),"",IFERROR(SUMIFS(DATA_GOC!$H:$H,DATA_GOC!$A:$A,"BOM",DATA_GOC!$D:$D,$B251,DATA_GOC!$E:$E,"Dầu động cơ",DATA_GOC!$F:$F,"Xuất nội bộ từ téc",DATA_GOC!$B:$B,DATE($D$2,$B$2,O$4)),0))</f>
        <v>0</v>
      </c>
      <c r="P251" s="251">
        <f>IF(P$4&gt;DAY(EOMONTH(DATE($D$2,$B$2,1),0)),"",IFERROR(SUMIFS(DATA_GOC!$H:$H,DATA_GOC!$A:$A,"BOM",DATA_GOC!$D:$D,$B251,DATA_GOC!$E:$E,"Dầu động cơ",DATA_GOC!$F:$F,"Xuất nội bộ từ téc",DATA_GOC!$B:$B,DATE($D$2,$B$2,P$4)),0))</f>
        <v>0</v>
      </c>
      <c r="Q251" s="251">
        <f>IF(Q$4&gt;DAY(EOMONTH(DATE($D$2,$B$2,1),0)),"",IFERROR(SUMIFS(DATA_GOC!$H:$H,DATA_GOC!$A:$A,"BOM",DATA_GOC!$D:$D,$B251,DATA_GOC!$E:$E,"Dầu động cơ",DATA_GOC!$F:$F,"Xuất nội bộ từ téc",DATA_GOC!$B:$B,DATE($D$2,$B$2,Q$4)),0))</f>
        <v>0</v>
      </c>
      <c r="R251" s="251">
        <f>IF(R$4&gt;DAY(EOMONTH(DATE($D$2,$B$2,1),0)),"",IFERROR(SUMIFS(DATA_GOC!$H:$H,DATA_GOC!$A:$A,"BOM",DATA_GOC!$D:$D,$B251,DATA_GOC!$E:$E,"Dầu động cơ",DATA_GOC!$F:$F,"Xuất nội bộ từ téc",DATA_GOC!$B:$B,DATE($D$2,$B$2,R$4)),0))</f>
        <v>0</v>
      </c>
      <c r="S251" s="251">
        <f>IF(S$4&gt;DAY(EOMONTH(DATE($D$2,$B$2,1),0)),"",IFERROR(SUMIFS(DATA_GOC!$H:$H,DATA_GOC!$A:$A,"BOM",DATA_GOC!$D:$D,$B251,DATA_GOC!$E:$E,"Dầu động cơ",DATA_GOC!$F:$F,"Xuất nội bộ từ téc",DATA_GOC!$B:$B,DATE($D$2,$B$2,S$4)),0))</f>
        <v>0</v>
      </c>
      <c r="T251" s="251">
        <f>IF(T$4&gt;DAY(EOMONTH(DATE($D$2,$B$2,1),0)),"",IFERROR(SUMIFS(DATA_GOC!$H:$H,DATA_GOC!$A:$A,"BOM",DATA_GOC!$D:$D,$B251,DATA_GOC!$E:$E,"Dầu động cơ",DATA_GOC!$F:$F,"Xuất nội bộ từ téc",DATA_GOC!$B:$B,DATE($D$2,$B$2,T$4)),0))</f>
        <v>0</v>
      </c>
      <c r="U251" s="251">
        <f>IF(U$4&gt;DAY(EOMONTH(DATE($D$2,$B$2,1),0)),"",IFERROR(SUMIFS(DATA_GOC!$H:$H,DATA_GOC!$A:$A,"BOM",DATA_GOC!$D:$D,$B251,DATA_GOC!$E:$E,"Dầu động cơ",DATA_GOC!$F:$F,"Xuất nội bộ từ téc",DATA_GOC!$B:$B,DATE($D$2,$B$2,U$4)),0))</f>
        <v>0</v>
      </c>
      <c r="V251" s="251">
        <f>IF(V$4&gt;DAY(EOMONTH(DATE($D$2,$B$2,1),0)),"",IFERROR(SUMIFS(DATA_GOC!$H:$H,DATA_GOC!$A:$A,"BOM",DATA_GOC!$D:$D,$B251,DATA_GOC!$E:$E,"Dầu động cơ",DATA_GOC!$F:$F,"Xuất nội bộ từ téc",DATA_GOC!$B:$B,DATE($D$2,$B$2,V$4)),0))</f>
        <v>0</v>
      </c>
      <c r="W251" s="251">
        <f>IF(W$4&gt;DAY(EOMONTH(DATE($D$2,$B$2,1),0)),"",IFERROR(SUMIFS(DATA_GOC!$H:$H,DATA_GOC!$A:$A,"BOM",DATA_GOC!$D:$D,$B251,DATA_GOC!$E:$E,"Dầu động cơ",DATA_GOC!$F:$F,"Xuất nội bộ từ téc",DATA_GOC!$B:$B,DATE($D$2,$B$2,W$4)),0))</f>
        <v>0</v>
      </c>
      <c r="X251" s="251">
        <f>IF(X$4&gt;DAY(EOMONTH(DATE($D$2,$B$2,1),0)),"",IFERROR(SUMIFS(DATA_GOC!$H:$H,DATA_GOC!$A:$A,"BOM",DATA_GOC!$D:$D,$B251,DATA_GOC!$E:$E,"Dầu động cơ",DATA_GOC!$F:$F,"Xuất nội bộ từ téc",DATA_GOC!$B:$B,DATE($D$2,$B$2,X$4)),0))</f>
        <v>0</v>
      </c>
      <c r="Y251" s="251">
        <f>IF(Y$4&gt;DAY(EOMONTH(DATE($D$2,$B$2,1),0)),"",IFERROR(SUMIFS(DATA_GOC!$H:$H,DATA_GOC!$A:$A,"BOM",DATA_GOC!$D:$D,$B251,DATA_GOC!$E:$E,"Dầu động cơ",DATA_GOC!$F:$F,"Xuất nội bộ từ téc",DATA_GOC!$B:$B,DATE($D$2,$B$2,Y$4)),0))</f>
        <v>0</v>
      </c>
      <c r="Z251" s="251">
        <f>IF(Z$4&gt;DAY(EOMONTH(DATE($D$2,$B$2,1),0)),"",IFERROR(SUMIFS(DATA_GOC!$H:$H,DATA_GOC!$A:$A,"BOM",DATA_GOC!$D:$D,$B251,DATA_GOC!$E:$E,"Dầu động cơ",DATA_GOC!$F:$F,"Xuất nội bộ từ téc",DATA_GOC!$B:$B,DATE($D$2,$B$2,Z$4)),0))</f>
        <v>0</v>
      </c>
      <c r="AA251" s="251">
        <f>IF(AA$4&gt;DAY(EOMONTH(DATE($D$2,$B$2,1),0)),"",IFERROR(SUMIFS(DATA_GOC!$H:$H,DATA_GOC!$A:$A,"BOM",DATA_GOC!$D:$D,$B251,DATA_GOC!$E:$E,"Dầu động cơ",DATA_GOC!$F:$F,"Xuất nội bộ từ téc",DATA_GOC!$B:$B,DATE($D$2,$B$2,AA$4)),0))</f>
        <v>0</v>
      </c>
      <c r="AB251" s="251">
        <f>IF(AB$4&gt;DAY(EOMONTH(DATE($D$2,$B$2,1),0)),"",IFERROR(SUMIFS(DATA_GOC!$H:$H,DATA_GOC!$A:$A,"BOM",DATA_GOC!$D:$D,$B251,DATA_GOC!$E:$E,"Dầu động cơ",DATA_GOC!$F:$F,"Xuất nội bộ từ téc",DATA_GOC!$B:$B,DATE($D$2,$B$2,AB$4)),0))</f>
        <v>0</v>
      </c>
      <c r="AC251" s="251">
        <f>IF(AC$4&gt;DAY(EOMONTH(DATE($D$2,$B$2,1),0)),"",IFERROR(SUMIFS(DATA_GOC!$H:$H,DATA_GOC!$A:$A,"BOM",DATA_GOC!$D:$D,$B251,DATA_GOC!$E:$E,"Dầu động cơ",DATA_GOC!$F:$F,"Xuất nội bộ từ téc",DATA_GOC!$B:$B,DATE($D$2,$B$2,AC$4)),0))</f>
        <v>0</v>
      </c>
      <c r="AD251" s="251">
        <f>IF(AD$4&gt;DAY(EOMONTH(DATE($D$2,$B$2,1),0)),"",IFERROR(SUMIFS(DATA_GOC!$H:$H,DATA_GOC!$A:$A,"BOM",DATA_GOC!$D:$D,$B251,DATA_GOC!$E:$E,"Dầu động cơ",DATA_GOC!$F:$F,"Xuất nội bộ từ téc",DATA_GOC!$B:$B,DATE($D$2,$B$2,AD$4)),0))</f>
        <v>0</v>
      </c>
      <c r="AE251" s="251">
        <f>IF(AE$4&gt;DAY(EOMONTH(DATE($D$2,$B$2,1),0)),"",IFERROR(SUMIFS(DATA_GOC!$H:$H,DATA_GOC!$A:$A,"BOM",DATA_GOC!$D:$D,$B251,DATA_GOC!$E:$E,"Dầu động cơ",DATA_GOC!$F:$F,"Xuất nội bộ từ téc",DATA_GOC!$B:$B,DATE($D$2,$B$2,AE$4)),0))</f>
        <v>0</v>
      </c>
      <c r="AF251" s="251">
        <f>IF(AF$4&gt;DAY(EOMONTH(DATE($D$2,$B$2,1),0)),"",IFERROR(SUMIFS(DATA_GOC!$H:$H,DATA_GOC!$A:$A,"BOM",DATA_GOC!$D:$D,$B251,DATA_GOC!$E:$E,"Dầu động cơ",DATA_GOC!$F:$F,"Xuất nội bộ từ téc",DATA_GOC!$B:$B,DATE($D$2,$B$2,AF$4)),0))</f>
        <v>0</v>
      </c>
      <c r="AG251" s="251">
        <f>IF(AG$4&gt;DAY(EOMONTH(DATE($D$2,$B$2,1),0)),"",IFERROR(SUMIFS(DATA_GOC!$H:$H,DATA_GOC!$A:$A,"BOM",DATA_GOC!$D:$D,$B251,DATA_GOC!$E:$E,"Dầu động cơ",DATA_GOC!$F:$F,"Xuất nội bộ từ téc",DATA_GOC!$B:$B,DATE($D$2,$B$2,AG$4)),0))</f>
        <v>0</v>
      </c>
      <c r="AH251" s="252">
        <f t="shared" si="13"/>
        <v>0</v>
      </c>
      <c r="AI251" s="241"/>
      <c r="AJ251" s="242">
        <f>IF($B251="","",SUMIFS(TINH_TEC!$K$233:$K$9232,TINH_TEC!$H$233:$H$9232,$B251,TINH_TEC!$C$233:$C$9232,"Dầu động cơ",TINH_TEC!$F$233:$F$9232,$B$2,TINH_TEC!$G$233:$G$9232,$D$2,TINH_TEC!$B$233:$B$9232,"Đã chốt"))</f>
        <v>0</v>
      </c>
      <c r="AK251" s="242">
        <f>IF($B251="","",SUMIFS(TINH_TEC!$J$233:$J$9232,TINH_TEC!$H$233:$H$9232,$B251,TINH_TEC!$C$233:$C$9232,"Dầu động cơ",TINH_TEC!$F$233:$F$9232,$B$2,TINH_TEC!$G$233:$G$9232,$D$2,TINH_TEC!$B$233:$B$9232,"Đã chốt"))</f>
        <v>0</v>
      </c>
      <c r="AL251" s="242">
        <f t="shared" si="14"/>
        <v>0</v>
      </c>
    </row>
    <row r="252" ht="15.75" customHeight="1">
      <c r="A252" s="237">
        <f>IF($B252&lt;&gt;"",3,"")</f>
        <v>3</v>
      </c>
      <c r="B252" s="250" t="str">
        <f t="array" ref="B252">IFERROR(INDEX(DANH_MUC!$E:$E,6),"")</f>
        <v>28C00462</v>
      </c>
      <c r="C252" s="251">
        <f>IF(C$4&gt;DAY(EOMONTH(DATE($D$2,$B$2,1),0)),"",IFERROR(SUMIFS(DATA_GOC!$H:$H,DATA_GOC!$A:$A,"BOM",DATA_GOC!$D:$D,$B252,DATA_GOC!$E:$E,"Dầu động cơ",DATA_GOC!$F:$F,"Xuất nội bộ từ téc",DATA_GOC!$B:$B,DATE($D$2,$B$2,C$4)),0))</f>
        <v>0</v>
      </c>
      <c r="D252" s="251">
        <f>IF(D$4&gt;DAY(EOMONTH(DATE($D$2,$B$2,1),0)),"",IFERROR(SUMIFS(DATA_GOC!$H:$H,DATA_GOC!$A:$A,"BOM",DATA_GOC!$D:$D,$B252,DATA_GOC!$E:$E,"Dầu động cơ",DATA_GOC!$F:$F,"Xuất nội bộ từ téc",DATA_GOC!$B:$B,DATE($D$2,$B$2,D$4)),0))</f>
        <v>0</v>
      </c>
      <c r="E252" s="251">
        <f>IF(E$4&gt;DAY(EOMONTH(DATE($D$2,$B$2,1),0)),"",IFERROR(SUMIFS(DATA_GOC!$H:$H,DATA_GOC!$A:$A,"BOM",DATA_GOC!$D:$D,$B252,DATA_GOC!$E:$E,"Dầu động cơ",DATA_GOC!$F:$F,"Xuất nội bộ từ téc",DATA_GOC!$B:$B,DATE($D$2,$B$2,E$4)),0))</f>
        <v>0</v>
      </c>
      <c r="F252" s="251">
        <f>IF(F$4&gt;DAY(EOMONTH(DATE($D$2,$B$2,1),0)),"",IFERROR(SUMIFS(DATA_GOC!$H:$H,DATA_GOC!$A:$A,"BOM",DATA_GOC!$D:$D,$B252,DATA_GOC!$E:$E,"Dầu động cơ",DATA_GOC!$F:$F,"Xuất nội bộ từ téc",DATA_GOC!$B:$B,DATE($D$2,$B$2,F$4)),0))</f>
        <v>0</v>
      </c>
      <c r="G252" s="251">
        <f>IF(G$4&gt;DAY(EOMONTH(DATE($D$2,$B$2,1),0)),"",IFERROR(SUMIFS(DATA_GOC!$H:$H,DATA_GOC!$A:$A,"BOM",DATA_GOC!$D:$D,$B252,DATA_GOC!$E:$E,"Dầu động cơ",DATA_GOC!$F:$F,"Xuất nội bộ từ téc",DATA_GOC!$B:$B,DATE($D$2,$B$2,G$4)),0))</f>
        <v>0</v>
      </c>
      <c r="H252" s="251">
        <f>IF(H$4&gt;DAY(EOMONTH(DATE($D$2,$B$2,1),0)),"",IFERROR(SUMIFS(DATA_GOC!$H:$H,DATA_GOC!$A:$A,"BOM",DATA_GOC!$D:$D,$B252,DATA_GOC!$E:$E,"Dầu động cơ",DATA_GOC!$F:$F,"Xuất nội bộ từ téc",DATA_GOC!$B:$B,DATE($D$2,$B$2,H$4)),0))</f>
        <v>0</v>
      </c>
      <c r="I252" s="251">
        <f>IF(I$4&gt;DAY(EOMONTH(DATE($D$2,$B$2,1),0)),"",IFERROR(SUMIFS(DATA_GOC!$H:$H,DATA_GOC!$A:$A,"BOM",DATA_GOC!$D:$D,$B252,DATA_GOC!$E:$E,"Dầu động cơ",DATA_GOC!$F:$F,"Xuất nội bộ từ téc",DATA_GOC!$B:$B,DATE($D$2,$B$2,I$4)),0))</f>
        <v>0</v>
      </c>
      <c r="J252" s="251">
        <f>IF(J$4&gt;DAY(EOMONTH(DATE($D$2,$B$2,1),0)),"",IFERROR(SUMIFS(DATA_GOC!$H:$H,DATA_GOC!$A:$A,"BOM",DATA_GOC!$D:$D,$B252,DATA_GOC!$E:$E,"Dầu động cơ",DATA_GOC!$F:$F,"Xuất nội bộ từ téc",DATA_GOC!$B:$B,DATE($D$2,$B$2,J$4)),0))</f>
        <v>0</v>
      </c>
      <c r="K252" s="251">
        <f>IF(K$4&gt;DAY(EOMONTH(DATE($D$2,$B$2,1),0)),"",IFERROR(SUMIFS(DATA_GOC!$H:$H,DATA_GOC!$A:$A,"BOM",DATA_GOC!$D:$D,$B252,DATA_GOC!$E:$E,"Dầu động cơ",DATA_GOC!$F:$F,"Xuất nội bộ từ téc",DATA_GOC!$B:$B,DATE($D$2,$B$2,K$4)),0))</f>
        <v>0</v>
      </c>
      <c r="L252" s="251">
        <f>IF(L$4&gt;DAY(EOMONTH(DATE($D$2,$B$2,1),0)),"",IFERROR(SUMIFS(DATA_GOC!$H:$H,DATA_GOC!$A:$A,"BOM",DATA_GOC!$D:$D,$B252,DATA_GOC!$E:$E,"Dầu động cơ",DATA_GOC!$F:$F,"Xuất nội bộ từ téc",DATA_GOC!$B:$B,DATE($D$2,$B$2,L$4)),0))</f>
        <v>0</v>
      </c>
      <c r="M252" s="251">
        <f>IF(M$4&gt;DAY(EOMONTH(DATE($D$2,$B$2,1),0)),"",IFERROR(SUMIFS(DATA_GOC!$H:$H,DATA_GOC!$A:$A,"BOM",DATA_GOC!$D:$D,$B252,DATA_GOC!$E:$E,"Dầu động cơ",DATA_GOC!$F:$F,"Xuất nội bộ từ téc",DATA_GOC!$B:$B,DATE($D$2,$B$2,M$4)),0))</f>
        <v>0</v>
      </c>
      <c r="N252" s="251">
        <f>IF(N$4&gt;DAY(EOMONTH(DATE($D$2,$B$2,1),0)),"",IFERROR(SUMIFS(DATA_GOC!$H:$H,DATA_GOC!$A:$A,"BOM",DATA_GOC!$D:$D,$B252,DATA_GOC!$E:$E,"Dầu động cơ",DATA_GOC!$F:$F,"Xuất nội bộ từ téc",DATA_GOC!$B:$B,DATE($D$2,$B$2,N$4)),0))</f>
        <v>0</v>
      </c>
      <c r="O252" s="251">
        <f>IF(O$4&gt;DAY(EOMONTH(DATE($D$2,$B$2,1),0)),"",IFERROR(SUMIFS(DATA_GOC!$H:$H,DATA_GOC!$A:$A,"BOM",DATA_GOC!$D:$D,$B252,DATA_GOC!$E:$E,"Dầu động cơ",DATA_GOC!$F:$F,"Xuất nội bộ từ téc",DATA_GOC!$B:$B,DATE($D$2,$B$2,O$4)),0))</f>
        <v>0</v>
      </c>
      <c r="P252" s="251">
        <f>IF(P$4&gt;DAY(EOMONTH(DATE($D$2,$B$2,1),0)),"",IFERROR(SUMIFS(DATA_GOC!$H:$H,DATA_GOC!$A:$A,"BOM",DATA_GOC!$D:$D,$B252,DATA_GOC!$E:$E,"Dầu động cơ",DATA_GOC!$F:$F,"Xuất nội bộ từ téc",DATA_GOC!$B:$B,DATE($D$2,$B$2,P$4)),0))</f>
        <v>0</v>
      </c>
      <c r="Q252" s="251">
        <f>IF(Q$4&gt;DAY(EOMONTH(DATE($D$2,$B$2,1),0)),"",IFERROR(SUMIFS(DATA_GOC!$H:$H,DATA_GOC!$A:$A,"BOM",DATA_GOC!$D:$D,$B252,DATA_GOC!$E:$E,"Dầu động cơ",DATA_GOC!$F:$F,"Xuất nội bộ từ téc",DATA_GOC!$B:$B,DATE($D$2,$B$2,Q$4)),0))</f>
        <v>0</v>
      </c>
      <c r="R252" s="251">
        <f>IF(R$4&gt;DAY(EOMONTH(DATE($D$2,$B$2,1),0)),"",IFERROR(SUMIFS(DATA_GOC!$H:$H,DATA_GOC!$A:$A,"BOM",DATA_GOC!$D:$D,$B252,DATA_GOC!$E:$E,"Dầu động cơ",DATA_GOC!$F:$F,"Xuất nội bộ từ téc",DATA_GOC!$B:$B,DATE($D$2,$B$2,R$4)),0))</f>
        <v>0</v>
      </c>
      <c r="S252" s="251">
        <f>IF(S$4&gt;DAY(EOMONTH(DATE($D$2,$B$2,1),0)),"",IFERROR(SUMIFS(DATA_GOC!$H:$H,DATA_GOC!$A:$A,"BOM",DATA_GOC!$D:$D,$B252,DATA_GOC!$E:$E,"Dầu động cơ",DATA_GOC!$F:$F,"Xuất nội bộ từ téc",DATA_GOC!$B:$B,DATE($D$2,$B$2,S$4)),0))</f>
        <v>0</v>
      </c>
      <c r="T252" s="251">
        <f>IF(T$4&gt;DAY(EOMONTH(DATE($D$2,$B$2,1),0)),"",IFERROR(SUMIFS(DATA_GOC!$H:$H,DATA_GOC!$A:$A,"BOM",DATA_GOC!$D:$D,$B252,DATA_GOC!$E:$E,"Dầu động cơ",DATA_GOC!$F:$F,"Xuất nội bộ từ téc",DATA_GOC!$B:$B,DATE($D$2,$B$2,T$4)),0))</f>
        <v>0</v>
      </c>
      <c r="U252" s="251">
        <f>IF(U$4&gt;DAY(EOMONTH(DATE($D$2,$B$2,1),0)),"",IFERROR(SUMIFS(DATA_GOC!$H:$H,DATA_GOC!$A:$A,"BOM",DATA_GOC!$D:$D,$B252,DATA_GOC!$E:$E,"Dầu động cơ",DATA_GOC!$F:$F,"Xuất nội bộ từ téc",DATA_GOC!$B:$B,DATE($D$2,$B$2,U$4)),0))</f>
        <v>0</v>
      </c>
      <c r="V252" s="251">
        <f>IF(V$4&gt;DAY(EOMONTH(DATE($D$2,$B$2,1),0)),"",IFERROR(SUMIFS(DATA_GOC!$H:$H,DATA_GOC!$A:$A,"BOM",DATA_GOC!$D:$D,$B252,DATA_GOC!$E:$E,"Dầu động cơ",DATA_GOC!$F:$F,"Xuất nội bộ từ téc",DATA_GOC!$B:$B,DATE($D$2,$B$2,V$4)),0))</f>
        <v>0</v>
      </c>
      <c r="W252" s="251">
        <f>IF(W$4&gt;DAY(EOMONTH(DATE($D$2,$B$2,1),0)),"",IFERROR(SUMIFS(DATA_GOC!$H:$H,DATA_GOC!$A:$A,"BOM",DATA_GOC!$D:$D,$B252,DATA_GOC!$E:$E,"Dầu động cơ",DATA_GOC!$F:$F,"Xuất nội bộ từ téc",DATA_GOC!$B:$B,DATE($D$2,$B$2,W$4)),0))</f>
        <v>0</v>
      </c>
      <c r="X252" s="251">
        <f>IF(X$4&gt;DAY(EOMONTH(DATE($D$2,$B$2,1),0)),"",IFERROR(SUMIFS(DATA_GOC!$H:$H,DATA_GOC!$A:$A,"BOM",DATA_GOC!$D:$D,$B252,DATA_GOC!$E:$E,"Dầu động cơ",DATA_GOC!$F:$F,"Xuất nội bộ từ téc",DATA_GOC!$B:$B,DATE($D$2,$B$2,X$4)),0))</f>
        <v>0</v>
      </c>
      <c r="Y252" s="251">
        <f>IF(Y$4&gt;DAY(EOMONTH(DATE($D$2,$B$2,1),0)),"",IFERROR(SUMIFS(DATA_GOC!$H:$H,DATA_GOC!$A:$A,"BOM",DATA_GOC!$D:$D,$B252,DATA_GOC!$E:$E,"Dầu động cơ",DATA_GOC!$F:$F,"Xuất nội bộ từ téc",DATA_GOC!$B:$B,DATE($D$2,$B$2,Y$4)),0))</f>
        <v>0</v>
      </c>
      <c r="Z252" s="251">
        <f>IF(Z$4&gt;DAY(EOMONTH(DATE($D$2,$B$2,1),0)),"",IFERROR(SUMIFS(DATA_GOC!$H:$H,DATA_GOC!$A:$A,"BOM",DATA_GOC!$D:$D,$B252,DATA_GOC!$E:$E,"Dầu động cơ",DATA_GOC!$F:$F,"Xuất nội bộ từ téc",DATA_GOC!$B:$B,DATE($D$2,$B$2,Z$4)),0))</f>
        <v>0</v>
      </c>
      <c r="AA252" s="251">
        <f>IF(AA$4&gt;DAY(EOMONTH(DATE($D$2,$B$2,1),0)),"",IFERROR(SUMIFS(DATA_GOC!$H:$H,DATA_GOC!$A:$A,"BOM",DATA_GOC!$D:$D,$B252,DATA_GOC!$E:$E,"Dầu động cơ",DATA_GOC!$F:$F,"Xuất nội bộ từ téc",DATA_GOC!$B:$B,DATE($D$2,$B$2,AA$4)),0))</f>
        <v>0</v>
      </c>
      <c r="AB252" s="251">
        <f>IF(AB$4&gt;DAY(EOMONTH(DATE($D$2,$B$2,1),0)),"",IFERROR(SUMIFS(DATA_GOC!$H:$H,DATA_GOC!$A:$A,"BOM",DATA_GOC!$D:$D,$B252,DATA_GOC!$E:$E,"Dầu động cơ",DATA_GOC!$F:$F,"Xuất nội bộ từ téc",DATA_GOC!$B:$B,DATE($D$2,$B$2,AB$4)),0))</f>
        <v>0</v>
      </c>
      <c r="AC252" s="251">
        <f>IF(AC$4&gt;DAY(EOMONTH(DATE($D$2,$B$2,1),0)),"",IFERROR(SUMIFS(DATA_GOC!$H:$H,DATA_GOC!$A:$A,"BOM",DATA_GOC!$D:$D,$B252,DATA_GOC!$E:$E,"Dầu động cơ",DATA_GOC!$F:$F,"Xuất nội bộ từ téc",DATA_GOC!$B:$B,DATE($D$2,$B$2,AC$4)),0))</f>
        <v>0</v>
      </c>
      <c r="AD252" s="251">
        <f>IF(AD$4&gt;DAY(EOMONTH(DATE($D$2,$B$2,1),0)),"",IFERROR(SUMIFS(DATA_GOC!$H:$H,DATA_GOC!$A:$A,"BOM",DATA_GOC!$D:$D,$B252,DATA_GOC!$E:$E,"Dầu động cơ",DATA_GOC!$F:$F,"Xuất nội bộ từ téc",DATA_GOC!$B:$B,DATE($D$2,$B$2,AD$4)),0))</f>
        <v>0</v>
      </c>
      <c r="AE252" s="251">
        <f>IF(AE$4&gt;DAY(EOMONTH(DATE($D$2,$B$2,1),0)),"",IFERROR(SUMIFS(DATA_GOC!$H:$H,DATA_GOC!$A:$A,"BOM",DATA_GOC!$D:$D,$B252,DATA_GOC!$E:$E,"Dầu động cơ",DATA_GOC!$F:$F,"Xuất nội bộ từ téc",DATA_GOC!$B:$B,DATE($D$2,$B$2,AE$4)),0))</f>
        <v>0</v>
      </c>
      <c r="AF252" s="251">
        <f>IF(AF$4&gt;DAY(EOMONTH(DATE($D$2,$B$2,1),0)),"",IFERROR(SUMIFS(DATA_GOC!$H:$H,DATA_GOC!$A:$A,"BOM",DATA_GOC!$D:$D,$B252,DATA_GOC!$E:$E,"Dầu động cơ",DATA_GOC!$F:$F,"Xuất nội bộ từ téc",DATA_GOC!$B:$B,DATE($D$2,$B$2,AF$4)),0))</f>
        <v>0</v>
      </c>
      <c r="AG252" s="251">
        <f>IF(AG$4&gt;DAY(EOMONTH(DATE($D$2,$B$2,1),0)),"",IFERROR(SUMIFS(DATA_GOC!$H:$H,DATA_GOC!$A:$A,"BOM",DATA_GOC!$D:$D,$B252,DATA_GOC!$E:$E,"Dầu động cơ",DATA_GOC!$F:$F,"Xuất nội bộ từ téc",DATA_GOC!$B:$B,DATE($D$2,$B$2,AG$4)),0))</f>
        <v>0</v>
      </c>
      <c r="AH252" s="252">
        <f t="shared" si="13"/>
        <v>0</v>
      </c>
      <c r="AI252" s="241"/>
      <c r="AJ252" s="242">
        <f>IF($B252="","",SUMIFS(TINH_TEC!$K$233:$K$9232,TINH_TEC!$H$233:$H$9232,$B252,TINH_TEC!$C$233:$C$9232,"Dầu động cơ",TINH_TEC!$F$233:$F$9232,$B$2,TINH_TEC!$G$233:$G$9232,$D$2,TINH_TEC!$B$233:$B$9232,"Đã chốt"))</f>
        <v>0</v>
      </c>
      <c r="AK252" s="242">
        <f>IF($B252="","",SUMIFS(TINH_TEC!$J$233:$J$9232,TINH_TEC!$H$233:$H$9232,$B252,TINH_TEC!$C$233:$C$9232,"Dầu động cơ",TINH_TEC!$F$233:$F$9232,$B$2,TINH_TEC!$G$233:$G$9232,$D$2,TINH_TEC!$B$233:$B$9232,"Đã chốt"))</f>
        <v>0</v>
      </c>
      <c r="AL252" s="242">
        <f t="shared" si="14"/>
        <v>0</v>
      </c>
    </row>
    <row r="253" ht="15.75" customHeight="1">
      <c r="A253" s="237">
        <f>IF($B253&lt;&gt;"",4,"")</f>
        <v>4</v>
      </c>
      <c r="B253" s="250" t="str">
        <f t="array" ref="B253">IFERROR(INDEX(DANH_MUC!$E:$E,7),"")</f>
        <v>28C01165</v>
      </c>
      <c r="C253" s="251">
        <f>IF(C$4&gt;DAY(EOMONTH(DATE($D$2,$B$2,1),0)),"",IFERROR(SUMIFS(DATA_GOC!$H:$H,DATA_GOC!$A:$A,"BOM",DATA_GOC!$D:$D,$B253,DATA_GOC!$E:$E,"Dầu động cơ",DATA_GOC!$F:$F,"Xuất nội bộ từ téc",DATA_GOC!$B:$B,DATE($D$2,$B$2,C$4)),0))</f>
        <v>0</v>
      </c>
      <c r="D253" s="251">
        <f>IF(D$4&gt;DAY(EOMONTH(DATE($D$2,$B$2,1),0)),"",IFERROR(SUMIFS(DATA_GOC!$H:$H,DATA_GOC!$A:$A,"BOM",DATA_GOC!$D:$D,$B253,DATA_GOC!$E:$E,"Dầu động cơ",DATA_GOC!$F:$F,"Xuất nội bộ từ téc",DATA_GOC!$B:$B,DATE($D$2,$B$2,D$4)),0))</f>
        <v>0</v>
      </c>
      <c r="E253" s="251">
        <f>IF(E$4&gt;DAY(EOMONTH(DATE($D$2,$B$2,1),0)),"",IFERROR(SUMIFS(DATA_GOC!$H:$H,DATA_GOC!$A:$A,"BOM",DATA_GOC!$D:$D,$B253,DATA_GOC!$E:$E,"Dầu động cơ",DATA_GOC!$F:$F,"Xuất nội bộ từ téc",DATA_GOC!$B:$B,DATE($D$2,$B$2,E$4)),0))</f>
        <v>0</v>
      </c>
      <c r="F253" s="251">
        <f>IF(F$4&gt;DAY(EOMONTH(DATE($D$2,$B$2,1),0)),"",IFERROR(SUMIFS(DATA_GOC!$H:$H,DATA_GOC!$A:$A,"BOM",DATA_GOC!$D:$D,$B253,DATA_GOC!$E:$E,"Dầu động cơ",DATA_GOC!$F:$F,"Xuất nội bộ từ téc",DATA_GOC!$B:$B,DATE($D$2,$B$2,F$4)),0))</f>
        <v>0</v>
      </c>
      <c r="G253" s="251">
        <f>IF(G$4&gt;DAY(EOMONTH(DATE($D$2,$B$2,1),0)),"",IFERROR(SUMIFS(DATA_GOC!$H:$H,DATA_GOC!$A:$A,"BOM",DATA_GOC!$D:$D,$B253,DATA_GOC!$E:$E,"Dầu động cơ",DATA_GOC!$F:$F,"Xuất nội bộ từ téc",DATA_GOC!$B:$B,DATE($D$2,$B$2,G$4)),0))</f>
        <v>0</v>
      </c>
      <c r="H253" s="251">
        <f>IF(H$4&gt;DAY(EOMONTH(DATE($D$2,$B$2,1),0)),"",IFERROR(SUMIFS(DATA_GOC!$H:$H,DATA_GOC!$A:$A,"BOM",DATA_GOC!$D:$D,$B253,DATA_GOC!$E:$E,"Dầu động cơ",DATA_GOC!$F:$F,"Xuất nội bộ từ téc",DATA_GOC!$B:$B,DATE($D$2,$B$2,H$4)),0))</f>
        <v>0</v>
      </c>
      <c r="I253" s="251">
        <f>IF(I$4&gt;DAY(EOMONTH(DATE($D$2,$B$2,1),0)),"",IFERROR(SUMIFS(DATA_GOC!$H:$H,DATA_GOC!$A:$A,"BOM",DATA_GOC!$D:$D,$B253,DATA_GOC!$E:$E,"Dầu động cơ",DATA_GOC!$F:$F,"Xuất nội bộ từ téc",DATA_GOC!$B:$B,DATE($D$2,$B$2,I$4)),0))</f>
        <v>0</v>
      </c>
      <c r="J253" s="251">
        <f>IF(J$4&gt;DAY(EOMONTH(DATE($D$2,$B$2,1),0)),"",IFERROR(SUMIFS(DATA_GOC!$H:$H,DATA_GOC!$A:$A,"BOM",DATA_GOC!$D:$D,$B253,DATA_GOC!$E:$E,"Dầu động cơ",DATA_GOC!$F:$F,"Xuất nội bộ từ téc",DATA_GOC!$B:$B,DATE($D$2,$B$2,J$4)),0))</f>
        <v>0</v>
      </c>
      <c r="K253" s="251">
        <f>IF(K$4&gt;DAY(EOMONTH(DATE($D$2,$B$2,1),0)),"",IFERROR(SUMIFS(DATA_GOC!$H:$H,DATA_GOC!$A:$A,"BOM",DATA_GOC!$D:$D,$B253,DATA_GOC!$E:$E,"Dầu động cơ",DATA_GOC!$F:$F,"Xuất nội bộ từ téc",DATA_GOC!$B:$B,DATE($D$2,$B$2,K$4)),0))</f>
        <v>0</v>
      </c>
      <c r="L253" s="251">
        <f>IF(L$4&gt;DAY(EOMONTH(DATE($D$2,$B$2,1),0)),"",IFERROR(SUMIFS(DATA_GOC!$H:$H,DATA_GOC!$A:$A,"BOM",DATA_GOC!$D:$D,$B253,DATA_GOC!$E:$E,"Dầu động cơ",DATA_GOC!$F:$F,"Xuất nội bộ từ téc",DATA_GOC!$B:$B,DATE($D$2,$B$2,L$4)),0))</f>
        <v>0</v>
      </c>
      <c r="M253" s="251">
        <f>IF(M$4&gt;DAY(EOMONTH(DATE($D$2,$B$2,1),0)),"",IFERROR(SUMIFS(DATA_GOC!$H:$H,DATA_GOC!$A:$A,"BOM",DATA_GOC!$D:$D,$B253,DATA_GOC!$E:$E,"Dầu động cơ",DATA_GOC!$F:$F,"Xuất nội bộ từ téc",DATA_GOC!$B:$B,DATE($D$2,$B$2,M$4)),0))</f>
        <v>0</v>
      </c>
      <c r="N253" s="251">
        <f>IF(N$4&gt;DAY(EOMONTH(DATE($D$2,$B$2,1),0)),"",IFERROR(SUMIFS(DATA_GOC!$H:$H,DATA_GOC!$A:$A,"BOM",DATA_GOC!$D:$D,$B253,DATA_GOC!$E:$E,"Dầu động cơ",DATA_GOC!$F:$F,"Xuất nội bộ từ téc",DATA_GOC!$B:$B,DATE($D$2,$B$2,N$4)),0))</f>
        <v>0</v>
      </c>
      <c r="O253" s="251">
        <f>IF(O$4&gt;DAY(EOMONTH(DATE($D$2,$B$2,1),0)),"",IFERROR(SUMIFS(DATA_GOC!$H:$H,DATA_GOC!$A:$A,"BOM",DATA_GOC!$D:$D,$B253,DATA_GOC!$E:$E,"Dầu động cơ",DATA_GOC!$F:$F,"Xuất nội bộ từ téc",DATA_GOC!$B:$B,DATE($D$2,$B$2,O$4)),0))</f>
        <v>0</v>
      </c>
      <c r="P253" s="251">
        <f>IF(P$4&gt;DAY(EOMONTH(DATE($D$2,$B$2,1),0)),"",IFERROR(SUMIFS(DATA_GOC!$H:$H,DATA_GOC!$A:$A,"BOM",DATA_GOC!$D:$D,$B253,DATA_GOC!$E:$E,"Dầu động cơ",DATA_GOC!$F:$F,"Xuất nội bộ từ téc",DATA_GOC!$B:$B,DATE($D$2,$B$2,P$4)),0))</f>
        <v>0</v>
      </c>
      <c r="Q253" s="251">
        <f>IF(Q$4&gt;DAY(EOMONTH(DATE($D$2,$B$2,1),0)),"",IFERROR(SUMIFS(DATA_GOC!$H:$H,DATA_GOC!$A:$A,"BOM",DATA_GOC!$D:$D,$B253,DATA_GOC!$E:$E,"Dầu động cơ",DATA_GOC!$F:$F,"Xuất nội bộ từ téc",DATA_GOC!$B:$B,DATE($D$2,$B$2,Q$4)),0))</f>
        <v>0</v>
      </c>
      <c r="R253" s="251">
        <f>IF(R$4&gt;DAY(EOMONTH(DATE($D$2,$B$2,1),0)),"",IFERROR(SUMIFS(DATA_GOC!$H:$H,DATA_GOC!$A:$A,"BOM",DATA_GOC!$D:$D,$B253,DATA_GOC!$E:$E,"Dầu động cơ",DATA_GOC!$F:$F,"Xuất nội bộ từ téc",DATA_GOC!$B:$B,DATE($D$2,$B$2,R$4)),0))</f>
        <v>0</v>
      </c>
      <c r="S253" s="251">
        <f>IF(S$4&gt;DAY(EOMONTH(DATE($D$2,$B$2,1),0)),"",IFERROR(SUMIFS(DATA_GOC!$H:$H,DATA_GOC!$A:$A,"BOM",DATA_GOC!$D:$D,$B253,DATA_GOC!$E:$E,"Dầu động cơ",DATA_GOC!$F:$F,"Xuất nội bộ từ téc",DATA_GOC!$B:$B,DATE($D$2,$B$2,S$4)),0))</f>
        <v>0</v>
      </c>
      <c r="T253" s="251">
        <f>IF(T$4&gt;DAY(EOMONTH(DATE($D$2,$B$2,1),0)),"",IFERROR(SUMIFS(DATA_GOC!$H:$H,DATA_GOC!$A:$A,"BOM",DATA_GOC!$D:$D,$B253,DATA_GOC!$E:$E,"Dầu động cơ",DATA_GOC!$F:$F,"Xuất nội bộ từ téc",DATA_GOC!$B:$B,DATE($D$2,$B$2,T$4)),0))</f>
        <v>0</v>
      </c>
      <c r="U253" s="251">
        <f>IF(U$4&gt;DAY(EOMONTH(DATE($D$2,$B$2,1),0)),"",IFERROR(SUMIFS(DATA_GOC!$H:$H,DATA_GOC!$A:$A,"BOM",DATA_GOC!$D:$D,$B253,DATA_GOC!$E:$E,"Dầu động cơ",DATA_GOC!$F:$F,"Xuất nội bộ từ téc",DATA_GOC!$B:$B,DATE($D$2,$B$2,U$4)),0))</f>
        <v>0</v>
      </c>
      <c r="V253" s="251">
        <f>IF(V$4&gt;DAY(EOMONTH(DATE($D$2,$B$2,1),0)),"",IFERROR(SUMIFS(DATA_GOC!$H:$H,DATA_GOC!$A:$A,"BOM",DATA_GOC!$D:$D,$B253,DATA_GOC!$E:$E,"Dầu động cơ",DATA_GOC!$F:$F,"Xuất nội bộ từ téc",DATA_GOC!$B:$B,DATE($D$2,$B$2,V$4)),0))</f>
        <v>0</v>
      </c>
      <c r="W253" s="251">
        <f>IF(W$4&gt;DAY(EOMONTH(DATE($D$2,$B$2,1),0)),"",IFERROR(SUMIFS(DATA_GOC!$H:$H,DATA_GOC!$A:$A,"BOM",DATA_GOC!$D:$D,$B253,DATA_GOC!$E:$E,"Dầu động cơ",DATA_GOC!$F:$F,"Xuất nội bộ từ téc",DATA_GOC!$B:$B,DATE($D$2,$B$2,W$4)),0))</f>
        <v>0</v>
      </c>
      <c r="X253" s="251">
        <f>IF(X$4&gt;DAY(EOMONTH(DATE($D$2,$B$2,1),0)),"",IFERROR(SUMIFS(DATA_GOC!$H:$H,DATA_GOC!$A:$A,"BOM",DATA_GOC!$D:$D,$B253,DATA_GOC!$E:$E,"Dầu động cơ",DATA_GOC!$F:$F,"Xuất nội bộ từ téc",DATA_GOC!$B:$B,DATE($D$2,$B$2,X$4)),0))</f>
        <v>0</v>
      </c>
      <c r="Y253" s="251">
        <f>IF(Y$4&gt;DAY(EOMONTH(DATE($D$2,$B$2,1),0)),"",IFERROR(SUMIFS(DATA_GOC!$H:$H,DATA_GOC!$A:$A,"BOM",DATA_GOC!$D:$D,$B253,DATA_GOC!$E:$E,"Dầu động cơ",DATA_GOC!$F:$F,"Xuất nội bộ từ téc",DATA_GOC!$B:$B,DATE($D$2,$B$2,Y$4)),0))</f>
        <v>0</v>
      </c>
      <c r="Z253" s="251">
        <f>IF(Z$4&gt;DAY(EOMONTH(DATE($D$2,$B$2,1),0)),"",IFERROR(SUMIFS(DATA_GOC!$H:$H,DATA_GOC!$A:$A,"BOM",DATA_GOC!$D:$D,$B253,DATA_GOC!$E:$E,"Dầu động cơ",DATA_GOC!$F:$F,"Xuất nội bộ từ téc",DATA_GOC!$B:$B,DATE($D$2,$B$2,Z$4)),0))</f>
        <v>0</v>
      </c>
      <c r="AA253" s="251">
        <f>IF(AA$4&gt;DAY(EOMONTH(DATE($D$2,$B$2,1),0)),"",IFERROR(SUMIFS(DATA_GOC!$H:$H,DATA_GOC!$A:$A,"BOM",DATA_GOC!$D:$D,$B253,DATA_GOC!$E:$E,"Dầu động cơ",DATA_GOC!$F:$F,"Xuất nội bộ từ téc",DATA_GOC!$B:$B,DATE($D$2,$B$2,AA$4)),0))</f>
        <v>0</v>
      </c>
      <c r="AB253" s="251">
        <f>IF(AB$4&gt;DAY(EOMONTH(DATE($D$2,$B$2,1),0)),"",IFERROR(SUMIFS(DATA_GOC!$H:$H,DATA_GOC!$A:$A,"BOM",DATA_GOC!$D:$D,$B253,DATA_GOC!$E:$E,"Dầu động cơ",DATA_GOC!$F:$F,"Xuất nội bộ từ téc",DATA_GOC!$B:$B,DATE($D$2,$B$2,AB$4)),0))</f>
        <v>0</v>
      </c>
      <c r="AC253" s="251">
        <f>IF(AC$4&gt;DAY(EOMONTH(DATE($D$2,$B$2,1),0)),"",IFERROR(SUMIFS(DATA_GOC!$H:$H,DATA_GOC!$A:$A,"BOM",DATA_GOC!$D:$D,$B253,DATA_GOC!$E:$E,"Dầu động cơ",DATA_GOC!$F:$F,"Xuất nội bộ từ téc",DATA_GOC!$B:$B,DATE($D$2,$B$2,AC$4)),0))</f>
        <v>0</v>
      </c>
      <c r="AD253" s="251">
        <f>IF(AD$4&gt;DAY(EOMONTH(DATE($D$2,$B$2,1),0)),"",IFERROR(SUMIFS(DATA_GOC!$H:$H,DATA_GOC!$A:$A,"BOM",DATA_GOC!$D:$D,$B253,DATA_GOC!$E:$E,"Dầu động cơ",DATA_GOC!$F:$F,"Xuất nội bộ từ téc",DATA_GOC!$B:$B,DATE($D$2,$B$2,AD$4)),0))</f>
        <v>0</v>
      </c>
      <c r="AE253" s="251">
        <f>IF(AE$4&gt;DAY(EOMONTH(DATE($D$2,$B$2,1),0)),"",IFERROR(SUMIFS(DATA_GOC!$H:$H,DATA_GOC!$A:$A,"BOM",DATA_GOC!$D:$D,$B253,DATA_GOC!$E:$E,"Dầu động cơ",DATA_GOC!$F:$F,"Xuất nội bộ từ téc",DATA_GOC!$B:$B,DATE($D$2,$B$2,AE$4)),0))</f>
        <v>0</v>
      </c>
      <c r="AF253" s="251">
        <f>IF(AF$4&gt;DAY(EOMONTH(DATE($D$2,$B$2,1),0)),"",IFERROR(SUMIFS(DATA_GOC!$H:$H,DATA_GOC!$A:$A,"BOM",DATA_GOC!$D:$D,$B253,DATA_GOC!$E:$E,"Dầu động cơ",DATA_GOC!$F:$F,"Xuất nội bộ từ téc",DATA_GOC!$B:$B,DATE($D$2,$B$2,AF$4)),0))</f>
        <v>0</v>
      </c>
      <c r="AG253" s="251">
        <f>IF(AG$4&gt;DAY(EOMONTH(DATE($D$2,$B$2,1),0)),"",IFERROR(SUMIFS(DATA_GOC!$H:$H,DATA_GOC!$A:$A,"BOM",DATA_GOC!$D:$D,$B253,DATA_GOC!$E:$E,"Dầu động cơ",DATA_GOC!$F:$F,"Xuất nội bộ từ téc",DATA_GOC!$B:$B,DATE($D$2,$B$2,AG$4)),0))</f>
        <v>0</v>
      </c>
      <c r="AH253" s="252">
        <f t="shared" si="13"/>
        <v>0</v>
      </c>
      <c r="AI253" s="241"/>
      <c r="AJ253" s="242">
        <f>IF($B253="","",SUMIFS(TINH_TEC!$K$233:$K$9232,TINH_TEC!$H$233:$H$9232,$B253,TINH_TEC!$C$233:$C$9232,"Dầu động cơ",TINH_TEC!$F$233:$F$9232,$B$2,TINH_TEC!$G$233:$G$9232,$D$2,TINH_TEC!$B$233:$B$9232,"Đã chốt"))</f>
        <v>0</v>
      </c>
      <c r="AK253" s="242">
        <f>IF($B253="","",SUMIFS(TINH_TEC!$J$233:$J$9232,TINH_TEC!$H$233:$H$9232,$B253,TINH_TEC!$C$233:$C$9232,"Dầu động cơ",TINH_TEC!$F$233:$F$9232,$B$2,TINH_TEC!$G$233:$G$9232,$D$2,TINH_TEC!$B$233:$B$9232,"Đã chốt"))</f>
        <v>0</v>
      </c>
      <c r="AL253" s="242">
        <f t="shared" si="14"/>
        <v>0</v>
      </c>
    </row>
    <row r="254" ht="15.75" customHeight="1">
      <c r="A254" s="237">
        <f>IF($B254&lt;&gt;"",5,"")</f>
        <v>5</v>
      </c>
      <c r="B254" s="250" t="str">
        <f t="array" ref="B254">IFERROR(INDEX(DANH_MUC!$E:$E,8),"")</f>
        <v>28C01406</v>
      </c>
      <c r="C254" s="251">
        <f>IF(C$4&gt;DAY(EOMONTH(DATE($D$2,$B$2,1),0)),"",IFERROR(SUMIFS(DATA_GOC!$H:$H,DATA_GOC!$A:$A,"BOM",DATA_GOC!$D:$D,$B254,DATA_GOC!$E:$E,"Dầu động cơ",DATA_GOC!$F:$F,"Xuất nội bộ từ téc",DATA_GOC!$B:$B,DATE($D$2,$B$2,C$4)),0))</f>
        <v>0</v>
      </c>
      <c r="D254" s="251">
        <f>IF(D$4&gt;DAY(EOMONTH(DATE($D$2,$B$2,1),0)),"",IFERROR(SUMIFS(DATA_GOC!$H:$H,DATA_GOC!$A:$A,"BOM",DATA_GOC!$D:$D,$B254,DATA_GOC!$E:$E,"Dầu động cơ",DATA_GOC!$F:$F,"Xuất nội bộ từ téc",DATA_GOC!$B:$B,DATE($D$2,$B$2,D$4)),0))</f>
        <v>30</v>
      </c>
      <c r="E254" s="251">
        <f>IF(E$4&gt;DAY(EOMONTH(DATE($D$2,$B$2,1),0)),"",IFERROR(SUMIFS(DATA_GOC!$H:$H,DATA_GOC!$A:$A,"BOM",DATA_GOC!$D:$D,$B254,DATA_GOC!$E:$E,"Dầu động cơ",DATA_GOC!$F:$F,"Xuất nội bộ từ téc",DATA_GOC!$B:$B,DATE($D$2,$B$2,E$4)),0))</f>
        <v>0</v>
      </c>
      <c r="F254" s="251">
        <f>IF(F$4&gt;DAY(EOMONTH(DATE($D$2,$B$2,1),0)),"",IFERROR(SUMIFS(DATA_GOC!$H:$H,DATA_GOC!$A:$A,"BOM",DATA_GOC!$D:$D,$B254,DATA_GOC!$E:$E,"Dầu động cơ",DATA_GOC!$F:$F,"Xuất nội bộ từ téc",DATA_GOC!$B:$B,DATE($D$2,$B$2,F$4)),0))</f>
        <v>0</v>
      </c>
      <c r="G254" s="251">
        <f>IF(G$4&gt;DAY(EOMONTH(DATE($D$2,$B$2,1),0)),"",IFERROR(SUMIFS(DATA_GOC!$H:$H,DATA_GOC!$A:$A,"BOM",DATA_GOC!$D:$D,$B254,DATA_GOC!$E:$E,"Dầu động cơ",DATA_GOC!$F:$F,"Xuất nội bộ từ téc",DATA_GOC!$B:$B,DATE($D$2,$B$2,G$4)),0))</f>
        <v>0</v>
      </c>
      <c r="H254" s="251">
        <f>IF(H$4&gt;DAY(EOMONTH(DATE($D$2,$B$2,1),0)),"",IFERROR(SUMIFS(DATA_GOC!$H:$H,DATA_GOC!$A:$A,"BOM",DATA_GOC!$D:$D,$B254,DATA_GOC!$E:$E,"Dầu động cơ",DATA_GOC!$F:$F,"Xuất nội bộ từ téc",DATA_GOC!$B:$B,DATE($D$2,$B$2,H$4)),0))</f>
        <v>0</v>
      </c>
      <c r="I254" s="251">
        <f>IF(I$4&gt;DAY(EOMONTH(DATE($D$2,$B$2,1),0)),"",IFERROR(SUMIFS(DATA_GOC!$H:$H,DATA_GOC!$A:$A,"BOM",DATA_GOC!$D:$D,$B254,DATA_GOC!$E:$E,"Dầu động cơ",DATA_GOC!$F:$F,"Xuất nội bộ từ téc",DATA_GOC!$B:$B,DATE($D$2,$B$2,I$4)),0))</f>
        <v>0</v>
      </c>
      <c r="J254" s="251">
        <f>IF(J$4&gt;DAY(EOMONTH(DATE($D$2,$B$2,1),0)),"",IFERROR(SUMIFS(DATA_GOC!$H:$H,DATA_GOC!$A:$A,"BOM",DATA_GOC!$D:$D,$B254,DATA_GOC!$E:$E,"Dầu động cơ",DATA_GOC!$F:$F,"Xuất nội bộ từ téc",DATA_GOC!$B:$B,DATE($D$2,$B$2,J$4)),0))</f>
        <v>0</v>
      </c>
      <c r="K254" s="251">
        <f>IF(K$4&gt;DAY(EOMONTH(DATE($D$2,$B$2,1),0)),"",IFERROR(SUMIFS(DATA_GOC!$H:$H,DATA_GOC!$A:$A,"BOM",DATA_GOC!$D:$D,$B254,DATA_GOC!$E:$E,"Dầu động cơ",DATA_GOC!$F:$F,"Xuất nội bộ từ téc",DATA_GOC!$B:$B,DATE($D$2,$B$2,K$4)),0))</f>
        <v>0</v>
      </c>
      <c r="L254" s="251">
        <f>IF(L$4&gt;DAY(EOMONTH(DATE($D$2,$B$2,1),0)),"",IFERROR(SUMIFS(DATA_GOC!$H:$H,DATA_GOC!$A:$A,"BOM",DATA_GOC!$D:$D,$B254,DATA_GOC!$E:$E,"Dầu động cơ",DATA_GOC!$F:$F,"Xuất nội bộ từ téc",DATA_GOC!$B:$B,DATE($D$2,$B$2,L$4)),0))</f>
        <v>0</v>
      </c>
      <c r="M254" s="251">
        <f>IF(M$4&gt;DAY(EOMONTH(DATE($D$2,$B$2,1),0)),"",IFERROR(SUMIFS(DATA_GOC!$H:$H,DATA_GOC!$A:$A,"BOM",DATA_GOC!$D:$D,$B254,DATA_GOC!$E:$E,"Dầu động cơ",DATA_GOC!$F:$F,"Xuất nội bộ từ téc",DATA_GOC!$B:$B,DATE($D$2,$B$2,M$4)),0))</f>
        <v>0</v>
      </c>
      <c r="N254" s="251">
        <f>IF(N$4&gt;DAY(EOMONTH(DATE($D$2,$B$2,1),0)),"",IFERROR(SUMIFS(DATA_GOC!$H:$H,DATA_GOC!$A:$A,"BOM",DATA_GOC!$D:$D,$B254,DATA_GOC!$E:$E,"Dầu động cơ",DATA_GOC!$F:$F,"Xuất nội bộ từ téc",DATA_GOC!$B:$B,DATE($D$2,$B$2,N$4)),0))</f>
        <v>0</v>
      </c>
      <c r="O254" s="251">
        <f>IF(O$4&gt;DAY(EOMONTH(DATE($D$2,$B$2,1),0)),"",IFERROR(SUMIFS(DATA_GOC!$H:$H,DATA_GOC!$A:$A,"BOM",DATA_GOC!$D:$D,$B254,DATA_GOC!$E:$E,"Dầu động cơ",DATA_GOC!$F:$F,"Xuất nội bộ từ téc",DATA_GOC!$B:$B,DATE($D$2,$B$2,O$4)),0))</f>
        <v>0</v>
      </c>
      <c r="P254" s="251">
        <f>IF(P$4&gt;DAY(EOMONTH(DATE($D$2,$B$2,1),0)),"",IFERROR(SUMIFS(DATA_GOC!$H:$H,DATA_GOC!$A:$A,"BOM",DATA_GOC!$D:$D,$B254,DATA_GOC!$E:$E,"Dầu động cơ",DATA_GOC!$F:$F,"Xuất nội bộ từ téc",DATA_GOC!$B:$B,DATE($D$2,$B$2,P$4)),0))</f>
        <v>0</v>
      </c>
      <c r="Q254" s="251">
        <f>IF(Q$4&gt;DAY(EOMONTH(DATE($D$2,$B$2,1),0)),"",IFERROR(SUMIFS(DATA_GOC!$H:$H,DATA_GOC!$A:$A,"BOM",DATA_GOC!$D:$D,$B254,DATA_GOC!$E:$E,"Dầu động cơ",DATA_GOC!$F:$F,"Xuất nội bộ từ téc",DATA_GOC!$B:$B,DATE($D$2,$B$2,Q$4)),0))</f>
        <v>0</v>
      </c>
      <c r="R254" s="251">
        <f>IF(R$4&gt;DAY(EOMONTH(DATE($D$2,$B$2,1),0)),"",IFERROR(SUMIFS(DATA_GOC!$H:$H,DATA_GOC!$A:$A,"BOM",DATA_GOC!$D:$D,$B254,DATA_GOC!$E:$E,"Dầu động cơ",DATA_GOC!$F:$F,"Xuất nội bộ từ téc",DATA_GOC!$B:$B,DATE($D$2,$B$2,R$4)),0))</f>
        <v>0</v>
      </c>
      <c r="S254" s="251">
        <f>IF(S$4&gt;DAY(EOMONTH(DATE($D$2,$B$2,1),0)),"",IFERROR(SUMIFS(DATA_GOC!$H:$H,DATA_GOC!$A:$A,"BOM",DATA_GOC!$D:$D,$B254,DATA_GOC!$E:$E,"Dầu động cơ",DATA_GOC!$F:$F,"Xuất nội bộ từ téc",DATA_GOC!$B:$B,DATE($D$2,$B$2,S$4)),0))</f>
        <v>0</v>
      </c>
      <c r="T254" s="251">
        <f>IF(T$4&gt;DAY(EOMONTH(DATE($D$2,$B$2,1),0)),"",IFERROR(SUMIFS(DATA_GOC!$H:$H,DATA_GOC!$A:$A,"BOM",DATA_GOC!$D:$D,$B254,DATA_GOC!$E:$E,"Dầu động cơ",DATA_GOC!$F:$F,"Xuất nội bộ từ téc",DATA_GOC!$B:$B,DATE($D$2,$B$2,T$4)),0))</f>
        <v>0</v>
      </c>
      <c r="U254" s="251">
        <f>IF(U$4&gt;DAY(EOMONTH(DATE($D$2,$B$2,1),0)),"",IFERROR(SUMIFS(DATA_GOC!$H:$H,DATA_GOC!$A:$A,"BOM",DATA_GOC!$D:$D,$B254,DATA_GOC!$E:$E,"Dầu động cơ",DATA_GOC!$F:$F,"Xuất nội bộ từ téc",DATA_GOC!$B:$B,DATE($D$2,$B$2,U$4)),0))</f>
        <v>0</v>
      </c>
      <c r="V254" s="251">
        <f>IF(V$4&gt;DAY(EOMONTH(DATE($D$2,$B$2,1),0)),"",IFERROR(SUMIFS(DATA_GOC!$H:$H,DATA_GOC!$A:$A,"BOM",DATA_GOC!$D:$D,$B254,DATA_GOC!$E:$E,"Dầu động cơ",DATA_GOC!$F:$F,"Xuất nội bộ từ téc",DATA_GOC!$B:$B,DATE($D$2,$B$2,V$4)),0))</f>
        <v>0</v>
      </c>
      <c r="W254" s="251">
        <f>IF(W$4&gt;DAY(EOMONTH(DATE($D$2,$B$2,1),0)),"",IFERROR(SUMIFS(DATA_GOC!$H:$H,DATA_GOC!$A:$A,"BOM",DATA_GOC!$D:$D,$B254,DATA_GOC!$E:$E,"Dầu động cơ",DATA_GOC!$F:$F,"Xuất nội bộ từ téc",DATA_GOC!$B:$B,DATE($D$2,$B$2,W$4)),0))</f>
        <v>0</v>
      </c>
      <c r="X254" s="251">
        <f>IF(X$4&gt;DAY(EOMONTH(DATE($D$2,$B$2,1),0)),"",IFERROR(SUMIFS(DATA_GOC!$H:$H,DATA_GOC!$A:$A,"BOM",DATA_GOC!$D:$D,$B254,DATA_GOC!$E:$E,"Dầu động cơ",DATA_GOC!$F:$F,"Xuất nội bộ từ téc",DATA_GOC!$B:$B,DATE($D$2,$B$2,X$4)),0))</f>
        <v>0</v>
      </c>
      <c r="Y254" s="251">
        <f>IF(Y$4&gt;DAY(EOMONTH(DATE($D$2,$B$2,1),0)),"",IFERROR(SUMIFS(DATA_GOC!$H:$H,DATA_GOC!$A:$A,"BOM",DATA_GOC!$D:$D,$B254,DATA_GOC!$E:$E,"Dầu động cơ",DATA_GOC!$F:$F,"Xuất nội bộ từ téc",DATA_GOC!$B:$B,DATE($D$2,$B$2,Y$4)),0))</f>
        <v>0</v>
      </c>
      <c r="Z254" s="251">
        <f>IF(Z$4&gt;DAY(EOMONTH(DATE($D$2,$B$2,1),0)),"",IFERROR(SUMIFS(DATA_GOC!$H:$H,DATA_GOC!$A:$A,"BOM",DATA_GOC!$D:$D,$B254,DATA_GOC!$E:$E,"Dầu động cơ",DATA_GOC!$F:$F,"Xuất nội bộ từ téc",DATA_GOC!$B:$B,DATE($D$2,$B$2,Z$4)),0))</f>
        <v>0</v>
      </c>
      <c r="AA254" s="251">
        <f>IF(AA$4&gt;DAY(EOMONTH(DATE($D$2,$B$2,1),0)),"",IFERROR(SUMIFS(DATA_GOC!$H:$H,DATA_GOC!$A:$A,"BOM",DATA_GOC!$D:$D,$B254,DATA_GOC!$E:$E,"Dầu động cơ",DATA_GOC!$F:$F,"Xuất nội bộ từ téc",DATA_GOC!$B:$B,DATE($D$2,$B$2,AA$4)),0))</f>
        <v>0</v>
      </c>
      <c r="AB254" s="251">
        <f>IF(AB$4&gt;DAY(EOMONTH(DATE($D$2,$B$2,1),0)),"",IFERROR(SUMIFS(DATA_GOC!$H:$H,DATA_GOC!$A:$A,"BOM",DATA_GOC!$D:$D,$B254,DATA_GOC!$E:$E,"Dầu động cơ",DATA_GOC!$F:$F,"Xuất nội bộ từ téc",DATA_GOC!$B:$B,DATE($D$2,$B$2,AB$4)),0))</f>
        <v>0</v>
      </c>
      <c r="AC254" s="251">
        <f>IF(AC$4&gt;DAY(EOMONTH(DATE($D$2,$B$2,1),0)),"",IFERROR(SUMIFS(DATA_GOC!$H:$H,DATA_GOC!$A:$A,"BOM",DATA_GOC!$D:$D,$B254,DATA_GOC!$E:$E,"Dầu động cơ",DATA_GOC!$F:$F,"Xuất nội bộ từ téc",DATA_GOC!$B:$B,DATE($D$2,$B$2,AC$4)),0))</f>
        <v>0</v>
      </c>
      <c r="AD254" s="251">
        <f>IF(AD$4&gt;DAY(EOMONTH(DATE($D$2,$B$2,1),0)),"",IFERROR(SUMIFS(DATA_GOC!$H:$H,DATA_GOC!$A:$A,"BOM",DATA_GOC!$D:$D,$B254,DATA_GOC!$E:$E,"Dầu động cơ",DATA_GOC!$F:$F,"Xuất nội bộ từ téc",DATA_GOC!$B:$B,DATE($D$2,$B$2,AD$4)),0))</f>
        <v>0</v>
      </c>
      <c r="AE254" s="251">
        <f>IF(AE$4&gt;DAY(EOMONTH(DATE($D$2,$B$2,1),0)),"",IFERROR(SUMIFS(DATA_GOC!$H:$H,DATA_GOC!$A:$A,"BOM",DATA_GOC!$D:$D,$B254,DATA_GOC!$E:$E,"Dầu động cơ",DATA_GOC!$F:$F,"Xuất nội bộ từ téc",DATA_GOC!$B:$B,DATE($D$2,$B$2,AE$4)),0))</f>
        <v>0</v>
      </c>
      <c r="AF254" s="251">
        <f>IF(AF$4&gt;DAY(EOMONTH(DATE($D$2,$B$2,1),0)),"",IFERROR(SUMIFS(DATA_GOC!$H:$H,DATA_GOC!$A:$A,"BOM",DATA_GOC!$D:$D,$B254,DATA_GOC!$E:$E,"Dầu động cơ",DATA_GOC!$F:$F,"Xuất nội bộ từ téc",DATA_GOC!$B:$B,DATE($D$2,$B$2,AF$4)),0))</f>
        <v>0</v>
      </c>
      <c r="AG254" s="251">
        <f>IF(AG$4&gt;DAY(EOMONTH(DATE($D$2,$B$2,1),0)),"",IFERROR(SUMIFS(DATA_GOC!$H:$H,DATA_GOC!$A:$A,"BOM",DATA_GOC!$D:$D,$B254,DATA_GOC!$E:$E,"Dầu động cơ",DATA_GOC!$F:$F,"Xuất nội bộ từ téc",DATA_GOC!$B:$B,DATE($D$2,$B$2,AG$4)),0))</f>
        <v>0</v>
      </c>
      <c r="AH254" s="252">
        <f t="shared" si="13"/>
        <v>30</v>
      </c>
      <c r="AI254" s="241"/>
      <c r="AJ254" s="242">
        <f>IF($B254="","",SUMIFS(TINH_TEC!$K$233:$K$9232,TINH_TEC!$H$233:$H$9232,$B254,TINH_TEC!$C$233:$C$9232,"Dầu động cơ",TINH_TEC!$F$233:$F$9232,$B$2,TINH_TEC!$G$233:$G$9232,$D$2,TINH_TEC!$B$233:$B$9232,"Đã chốt"))</f>
        <v>0</v>
      </c>
      <c r="AK254" s="242">
        <f>IF($B254="","",SUMIFS(TINH_TEC!$J$233:$J$9232,TINH_TEC!$H$233:$H$9232,$B254,TINH_TEC!$C$233:$C$9232,"Dầu động cơ",TINH_TEC!$F$233:$F$9232,$B$2,TINH_TEC!$G$233:$G$9232,$D$2,TINH_TEC!$B$233:$B$9232,"Đã chốt"))</f>
        <v>0</v>
      </c>
      <c r="AL254" s="242">
        <f t="shared" si="14"/>
        <v>30</v>
      </c>
    </row>
    <row r="255" ht="15.75" customHeight="1">
      <c r="A255" s="237">
        <f>IF($B255&lt;&gt;"",6,"")</f>
        <v>6</v>
      </c>
      <c r="B255" s="250" t="str">
        <f t="array" ref="B255">IFERROR(INDEX(DANH_MUC!$E:$E,9),"")</f>
        <v>28C01544</v>
      </c>
      <c r="C255" s="251">
        <f>IF(C$4&gt;DAY(EOMONTH(DATE($D$2,$B$2,1),0)),"",IFERROR(SUMIFS(DATA_GOC!$H:$H,DATA_GOC!$A:$A,"BOM",DATA_GOC!$D:$D,$B255,DATA_GOC!$E:$E,"Dầu động cơ",DATA_GOC!$F:$F,"Xuất nội bộ từ téc",DATA_GOC!$B:$B,DATE($D$2,$B$2,C$4)),0))</f>
        <v>0</v>
      </c>
      <c r="D255" s="251">
        <f>IF(D$4&gt;DAY(EOMONTH(DATE($D$2,$B$2,1),0)),"",IFERROR(SUMIFS(DATA_GOC!$H:$H,DATA_GOC!$A:$A,"BOM",DATA_GOC!$D:$D,$B255,DATA_GOC!$E:$E,"Dầu động cơ",DATA_GOC!$F:$F,"Xuất nội bộ từ téc",DATA_GOC!$B:$B,DATE($D$2,$B$2,D$4)),0))</f>
        <v>0</v>
      </c>
      <c r="E255" s="251">
        <f>IF(E$4&gt;DAY(EOMONTH(DATE($D$2,$B$2,1),0)),"",IFERROR(SUMIFS(DATA_GOC!$H:$H,DATA_GOC!$A:$A,"BOM",DATA_GOC!$D:$D,$B255,DATA_GOC!$E:$E,"Dầu động cơ",DATA_GOC!$F:$F,"Xuất nội bộ từ téc",DATA_GOC!$B:$B,DATE($D$2,$B$2,E$4)),0))</f>
        <v>0</v>
      </c>
      <c r="F255" s="251">
        <f>IF(F$4&gt;DAY(EOMONTH(DATE($D$2,$B$2,1),0)),"",IFERROR(SUMIFS(DATA_GOC!$H:$H,DATA_GOC!$A:$A,"BOM",DATA_GOC!$D:$D,$B255,DATA_GOC!$E:$E,"Dầu động cơ",DATA_GOC!$F:$F,"Xuất nội bộ từ téc",DATA_GOC!$B:$B,DATE($D$2,$B$2,F$4)),0))</f>
        <v>0</v>
      </c>
      <c r="G255" s="251">
        <f>IF(G$4&gt;DAY(EOMONTH(DATE($D$2,$B$2,1),0)),"",IFERROR(SUMIFS(DATA_GOC!$H:$H,DATA_GOC!$A:$A,"BOM",DATA_GOC!$D:$D,$B255,DATA_GOC!$E:$E,"Dầu động cơ",DATA_GOC!$F:$F,"Xuất nội bộ từ téc",DATA_GOC!$B:$B,DATE($D$2,$B$2,G$4)),0))</f>
        <v>0</v>
      </c>
      <c r="H255" s="251">
        <f>IF(H$4&gt;DAY(EOMONTH(DATE($D$2,$B$2,1),0)),"",IFERROR(SUMIFS(DATA_GOC!$H:$H,DATA_GOC!$A:$A,"BOM",DATA_GOC!$D:$D,$B255,DATA_GOC!$E:$E,"Dầu động cơ",DATA_GOC!$F:$F,"Xuất nội bộ từ téc",DATA_GOC!$B:$B,DATE($D$2,$B$2,H$4)),0))</f>
        <v>0</v>
      </c>
      <c r="I255" s="251">
        <f>IF(I$4&gt;DAY(EOMONTH(DATE($D$2,$B$2,1),0)),"",IFERROR(SUMIFS(DATA_GOC!$H:$H,DATA_GOC!$A:$A,"BOM",DATA_GOC!$D:$D,$B255,DATA_GOC!$E:$E,"Dầu động cơ",DATA_GOC!$F:$F,"Xuất nội bộ từ téc",DATA_GOC!$B:$B,DATE($D$2,$B$2,I$4)),0))</f>
        <v>0</v>
      </c>
      <c r="J255" s="251">
        <f>IF(J$4&gt;DAY(EOMONTH(DATE($D$2,$B$2,1),0)),"",IFERROR(SUMIFS(DATA_GOC!$H:$H,DATA_GOC!$A:$A,"BOM",DATA_GOC!$D:$D,$B255,DATA_GOC!$E:$E,"Dầu động cơ",DATA_GOC!$F:$F,"Xuất nội bộ từ téc",DATA_GOC!$B:$B,DATE($D$2,$B$2,J$4)),0))</f>
        <v>0</v>
      </c>
      <c r="K255" s="251">
        <f>IF(K$4&gt;DAY(EOMONTH(DATE($D$2,$B$2,1),0)),"",IFERROR(SUMIFS(DATA_GOC!$H:$H,DATA_GOC!$A:$A,"BOM",DATA_GOC!$D:$D,$B255,DATA_GOC!$E:$E,"Dầu động cơ",DATA_GOC!$F:$F,"Xuất nội bộ từ téc",DATA_GOC!$B:$B,DATE($D$2,$B$2,K$4)),0))</f>
        <v>0</v>
      </c>
      <c r="L255" s="251">
        <f>IF(L$4&gt;DAY(EOMONTH(DATE($D$2,$B$2,1),0)),"",IFERROR(SUMIFS(DATA_GOC!$H:$H,DATA_GOC!$A:$A,"BOM",DATA_GOC!$D:$D,$B255,DATA_GOC!$E:$E,"Dầu động cơ",DATA_GOC!$F:$F,"Xuất nội bộ từ téc",DATA_GOC!$B:$B,DATE($D$2,$B$2,L$4)),0))</f>
        <v>0</v>
      </c>
      <c r="M255" s="251">
        <f>IF(M$4&gt;DAY(EOMONTH(DATE($D$2,$B$2,1),0)),"",IFERROR(SUMIFS(DATA_GOC!$H:$H,DATA_GOC!$A:$A,"BOM",DATA_GOC!$D:$D,$B255,DATA_GOC!$E:$E,"Dầu động cơ",DATA_GOC!$F:$F,"Xuất nội bộ từ téc",DATA_GOC!$B:$B,DATE($D$2,$B$2,M$4)),0))</f>
        <v>0</v>
      </c>
      <c r="N255" s="251">
        <f>IF(N$4&gt;DAY(EOMONTH(DATE($D$2,$B$2,1),0)),"",IFERROR(SUMIFS(DATA_GOC!$H:$H,DATA_GOC!$A:$A,"BOM",DATA_GOC!$D:$D,$B255,DATA_GOC!$E:$E,"Dầu động cơ",DATA_GOC!$F:$F,"Xuất nội bộ từ téc",DATA_GOC!$B:$B,DATE($D$2,$B$2,N$4)),0))</f>
        <v>0</v>
      </c>
      <c r="O255" s="251">
        <f>IF(O$4&gt;DAY(EOMONTH(DATE($D$2,$B$2,1),0)),"",IFERROR(SUMIFS(DATA_GOC!$H:$H,DATA_GOC!$A:$A,"BOM",DATA_GOC!$D:$D,$B255,DATA_GOC!$E:$E,"Dầu động cơ",DATA_GOC!$F:$F,"Xuất nội bộ từ téc",DATA_GOC!$B:$B,DATE($D$2,$B$2,O$4)),0))</f>
        <v>0</v>
      </c>
      <c r="P255" s="251">
        <f>IF(P$4&gt;DAY(EOMONTH(DATE($D$2,$B$2,1),0)),"",IFERROR(SUMIFS(DATA_GOC!$H:$H,DATA_GOC!$A:$A,"BOM",DATA_GOC!$D:$D,$B255,DATA_GOC!$E:$E,"Dầu động cơ",DATA_GOC!$F:$F,"Xuất nội bộ từ téc",DATA_GOC!$B:$B,DATE($D$2,$B$2,P$4)),0))</f>
        <v>0</v>
      </c>
      <c r="Q255" s="251">
        <f>IF(Q$4&gt;DAY(EOMONTH(DATE($D$2,$B$2,1),0)),"",IFERROR(SUMIFS(DATA_GOC!$H:$H,DATA_GOC!$A:$A,"BOM",DATA_GOC!$D:$D,$B255,DATA_GOC!$E:$E,"Dầu động cơ",DATA_GOC!$F:$F,"Xuất nội bộ từ téc",DATA_GOC!$B:$B,DATE($D$2,$B$2,Q$4)),0))</f>
        <v>0</v>
      </c>
      <c r="R255" s="251">
        <f>IF(R$4&gt;DAY(EOMONTH(DATE($D$2,$B$2,1),0)),"",IFERROR(SUMIFS(DATA_GOC!$H:$H,DATA_GOC!$A:$A,"BOM",DATA_GOC!$D:$D,$B255,DATA_GOC!$E:$E,"Dầu động cơ",DATA_GOC!$F:$F,"Xuất nội bộ từ téc",DATA_GOC!$B:$B,DATE($D$2,$B$2,R$4)),0))</f>
        <v>0</v>
      </c>
      <c r="S255" s="251">
        <f>IF(S$4&gt;DAY(EOMONTH(DATE($D$2,$B$2,1),0)),"",IFERROR(SUMIFS(DATA_GOC!$H:$H,DATA_GOC!$A:$A,"BOM",DATA_GOC!$D:$D,$B255,DATA_GOC!$E:$E,"Dầu động cơ",DATA_GOC!$F:$F,"Xuất nội bộ từ téc",DATA_GOC!$B:$B,DATE($D$2,$B$2,S$4)),0))</f>
        <v>0</v>
      </c>
      <c r="T255" s="251">
        <f>IF(T$4&gt;DAY(EOMONTH(DATE($D$2,$B$2,1),0)),"",IFERROR(SUMIFS(DATA_GOC!$H:$H,DATA_GOC!$A:$A,"BOM",DATA_GOC!$D:$D,$B255,DATA_GOC!$E:$E,"Dầu động cơ",DATA_GOC!$F:$F,"Xuất nội bộ từ téc",DATA_GOC!$B:$B,DATE($D$2,$B$2,T$4)),0))</f>
        <v>0</v>
      </c>
      <c r="U255" s="251">
        <f>IF(U$4&gt;DAY(EOMONTH(DATE($D$2,$B$2,1),0)),"",IFERROR(SUMIFS(DATA_GOC!$H:$H,DATA_GOC!$A:$A,"BOM",DATA_GOC!$D:$D,$B255,DATA_GOC!$E:$E,"Dầu động cơ",DATA_GOC!$F:$F,"Xuất nội bộ từ téc",DATA_GOC!$B:$B,DATE($D$2,$B$2,U$4)),0))</f>
        <v>0</v>
      </c>
      <c r="V255" s="251">
        <f>IF(V$4&gt;DAY(EOMONTH(DATE($D$2,$B$2,1),0)),"",IFERROR(SUMIFS(DATA_GOC!$H:$H,DATA_GOC!$A:$A,"BOM",DATA_GOC!$D:$D,$B255,DATA_GOC!$E:$E,"Dầu động cơ",DATA_GOC!$F:$F,"Xuất nội bộ từ téc",DATA_GOC!$B:$B,DATE($D$2,$B$2,V$4)),0))</f>
        <v>0</v>
      </c>
      <c r="W255" s="251">
        <f>IF(W$4&gt;DAY(EOMONTH(DATE($D$2,$B$2,1),0)),"",IFERROR(SUMIFS(DATA_GOC!$H:$H,DATA_GOC!$A:$A,"BOM",DATA_GOC!$D:$D,$B255,DATA_GOC!$E:$E,"Dầu động cơ",DATA_GOC!$F:$F,"Xuất nội bộ từ téc",DATA_GOC!$B:$B,DATE($D$2,$B$2,W$4)),0))</f>
        <v>0</v>
      </c>
      <c r="X255" s="251">
        <f>IF(X$4&gt;DAY(EOMONTH(DATE($D$2,$B$2,1),0)),"",IFERROR(SUMIFS(DATA_GOC!$H:$H,DATA_GOC!$A:$A,"BOM",DATA_GOC!$D:$D,$B255,DATA_GOC!$E:$E,"Dầu động cơ",DATA_GOC!$F:$F,"Xuất nội bộ từ téc",DATA_GOC!$B:$B,DATE($D$2,$B$2,X$4)),0))</f>
        <v>0</v>
      </c>
      <c r="Y255" s="251">
        <f>IF(Y$4&gt;DAY(EOMONTH(DATE($D$2,$B$2,1),0)),"",IFERROR(SUMIFS(DATA_GOC!$H:$H,DATA_GOC!$A:$A,"BOM",DATA_GOC!$D:$D,$B255,DATA_GOC!$E:$E,"Dầu động cơ",DATA_GOC!$F:$F,"Xuất nội bộ từ téc",DATA_GOC!$B:$B,DATE($D$2,$B$2,Y$4)),0))</f>
        <v>0</v>
      </c>
      <c r="Z255" s="251">
        <f>IF(Z$4&gt;DAY(EOMONTH(DATE($D$2,$B$2,1),0)),"",IFERROR(SUMIFS(DATA_GOC!$H:$H,DATA_GOC!$A:$A,"BOM",DATA_GOC!$D:$D,$B255,DATA_GOC!$E:$E,"Dầu động cơ",DATA_GOC!$F:$F,"Xuất nội bộ từ téc",DATA_GOC!$B:$B,DATE($D$2,$B$2,Z$4)),0))</f>
        <v>0</v>
      </c>
      <c r="AA255" s="251">
        <f>IF(AA$4&gt;DAY(EOMONTH(DATE($D$2,$B$2,1),0)),"",IFERROR(SUMIFS(DATA_GOC!$H:$H,DATA_GOC!$A:$A,"BOM",DATA_GOC!$D:$D,$B255,DATA_GOC!$E:$E,"Dầu động cơ",DATA_GOC!$F:$F,"Xuất nội bộ từ téc",DATA_GOC!$B:$B,DATE($D$2,$B$2,AA$4)),0))</f>
        <v>0</v>
      </c>
      <c r="AB255" s="251">
        <f>IF(AB$4&gt;DAY(EOMONTH(DATE($D$2,$B$2,1),0)),"",IFERROR(SUMIFS(DATA_GOC!$H:$H,DATA_GOC!$A:$A,"BOM",DATA_GOC!$D:$D,$B255,DATA_GOC!$E:$E,"Dầu động cơ",DATA_GOC!$F:$F,"Xuất nội bộ từ téc",DATA_GOC!$B:$B,DATE($D$2,$B$2,AB$4)),0))</f>
        <v>0</v>
      </c>
      <c r="AC255" s="251">
        <f>IF(AC$4&gt;DAY(EOMONTH(DATE($D$2,$B$2,1),0)),"",IFERROR(SUMIFS(DATA_GOC!$H:$H,DATA_GOC!$A:$A,"BOM",DATA_GOC!$D:$D,$B255,DATA_GOC!$E:$E,"Dầu động cơ",DATA_GOC!$F:$F,"Xuất nội bộ từ téc",DATA_GOC!$B:$B,DATE($D$2,$B$2,AC$4)),0))</f>
        <v>0</v>
      </c>
      <c r="AD255" s="251">
        <f>IF(AD$4&gt;DAY(EOMONTH(DATE($D$2,$B$2,1),0)),"",IFERROR(SUMIFS(DATA_GOC!$H:$H,DATA_GOC!$A:$A,"BOM",DATA_GOC!$D:$D,$B255,DATA_GOC!$E:$E,"Dầu động cơ",DATA_GOC!$F:$F,"Xuất nội bộ từ téc",DATA_GOC!$B:$B,DATE($D$2,$B$2,AD$4)),0))</f>
        <v>0</v>
      </c>
      <c r="AE255" s="251">
        <f>IF(AE$4&gt;DAY(EOMONTH(DATE($D$2,$B$2,1),0)),"",IFERROR(SUMIFS(DATA_GOC!$H:$H,DATA_GOC!$A:$A,"BOM",DATA_GOC!$D:$D,$B255,DATA_GOC!$E:$E,"Dầu động cơ",DATA_GOC!$F:$F,"Xuất nội bộ từ téc",DATA_GOC!$B:$B,DATE($D$2,$B$2,AE$4)),0))</f>
        <v>0</v>
      </c>
      <c r="AF255" s="251">
        <f>IF(AF$4&gt;DAY(EOMONTH(DATE($D$2,$B$2,1),0)),"",IFERROR(SUMIFS(DATA_GOC!$H:$H,DATA_GOC!$A:$A,"BOM",DATA_GOC!$D:$D,$B255,DATA_GOC!$E:$E,"Dầu động cơ",DATA_GOC!$F:$F,"Xuất nội bộ từ téc",DATA_GOC!$B:$B,DATE($D$2,$B$2,AF$4)),0))</f>
        <v>0</v>
      </c>
      <c r="AG255" s="251">
        <f>IF(AG$4&gt;DAY(EOMONTH(DATE($D$2,$B$2,1),0)),"",IFERROR(SUMIFS(DATA_GOC!$H:$H,DATA_GOC!$A:$A,"BOM",DATA_GOC!$D:$D,$B255,DATA_GOC!$E:$E,"Dầu động cơ",DATA_GOC!$F:$F,"Xuất nội bộ từ téc",DATA_GOC!$B:$B,DATE($D$2,$B$2,AG$4)),0))</f>
        <v>0</v>
      </c>
      <c r="AH255" s="252">
        <f t="shared" si="13"/>
        <v>0</v>
      </c>
      <c r="AI255" s="241"/>
      <c r="AJ255" s="242">
        <f>IF($B255="","",SUMIFS(TINH_TEC!$K$233:$K$9232,TINH_TEC!$H$233:$H$9232,$B255,TINH_TEC!$C$233:$C$9232,"Dầu động cơ",TINH_TEC!$F$233:$F$9232,$B$2,TINH_TEC!$G$233:$G$9232,$D$2,TINH_TEC!$B$233:$B$9232,"Đã chốt"))</f>
        <v>0</v>
      </c>
      <c r="AK255" s="242">
        <f>IF($B255="","",SUMIFS(TINH_TEC!$J$233:$J$9232,TINH_TEC!$H$233:$H$9232,$B255,TINH_TEC!$C$233:$C$9232,"Dầu động cơ",TINH_TEC!$F$233:$F$9232,$B$2,TINH_TEC!$G$233:$G$9232,$D$2,TINH_TEC!$B$233:$B$9232,"Đã chốt"))</f>
        <v>0</v>
      </c>
      <c r="AL255" s="242">
        <f t="shared" si="14"/>
        <v>0</v>
      </c>
    </row>
    <row r="256" ht="15.75" customHeight="1">
      <c r="A256" s="237">
        <f>IF($B256&lt;&gt;"",7,"")</f>
        <v>7</v>
      </c>
      <c r="B256" s="250" t="str">
        <f t="array" ref="B256">IFERROR(INDEX(DANH_MUC!$E:$E,10),"")</f>
        <v>28C01622</v>
      </c>
      <c r="C256" s="251">
        <f>IF(C$4&gt;DAY(EOMONTH(DATE($D$2,$B$2,1),0)),"",IFERROR(SUMIFS(DATA_GOC!$H:$H,DATA_GOC!$A:$A,"BOM",DATA_GOC!$D:$D,$B256,DATA_GOC!$E:$E,"Dầu động cơ",DATA_GOC!$F:$F,"Xuất nội bộ từ téc",DATA_GOC!$B:$B,DATE($D$2,$B$2,C$4)),0))</f>
        <v>0</v>
      </c>
      <c r="D256" s="251">
        <f>IF(D$4&gt;DAY(EOMONTH(DATE($D$2,$B$2,1),0)),"",IFERROR(SUMIFS(DATA_GOC!$H:$H,DATA_GOC!$A:$A,"BOM",DATA_GOC!$D:$D,$B256,DATA_GOC!$E:$E,"Dầu động cơ",DATA_GOC!$F:$F,"Xuất nội bộ từ téc",DATA_GOC!$B:$B,DATE($D$2,$B$2,D$4)),0))</f>
        <v>0</v>
      </c>
      <c r="E256" s="251">
        <f>IF(E$4&gt;DAY(EOMONTH(DATE($D$2,$B$2,1),0)),"",IFERROR(SUMIFS(DATA_GOC!$H:$H,DATA_GOC!$A:$A,"BOM",DATA_GOC!$D:$D,$B256,DATA_GOC!$E:$E,"Dầu động cơ",DATA_GOC!$F:$F,"Xuất nội bộ từ téc",DATA_GOC!$B:$B,DATE($D$2,$B$2,E$4)),0))</f>
        <v>0</v>
      </c>
      <c r="F256" s="251">
        <f>IF(F$4&gt;DAY(EOMONTH(DATE($D$2,$B$2,1),0)),"",IFERROR(SUMIFS(DATA_GOC!$H:$H,DATA_GOC!$A:$A,"BOM",DATA_GOC!$D:$D,$B256,DATA_GOC!$E:$E,"Dầu động cơ",DATA_GOC!$F:$F,"Xuất nội bộ từ téc",DATA_GOC!$B:$B,DATE($D$2,$B$2,F$4)),0))</f>
        <v>0</v>
      </c>
      <c r="G256" s="251">
        <f>IF(G$4&gt;DAY(EOMONTH(DATE($D$2,$B$2,1),0)),"",IFERROR(SUMIFS(DATA_GOC!$H:$H,DATA_GOC!$A:$A,"BOM",DATA_GOC!$D:$D,$B256,DATA_GOC!$E:$E,"Dầu động cơ",DATA_GOC!$F:$F,"Xuất nội bộ từ téc",DATA_GOC!$B:$B,DATE($D$2,$B$2,G$4)),0))</f>
        <v>0</v>
      </c>
      <c r="H256" s="251">
        <f>IF(H$4&gt;DAY(EOMONTH(DATE($D$2,$B$2,1),0)),"",IFERROR(SUMIFS(DATA_GOC!$H:$H,DATA_GOC!$A:$A,"BOM",DATA_GOC!$D:$D,$B256,DATA_GOC!$E:$E,"Dầu động cơ",DATA_GOC!$F:$F,"Xuất nội bộ từ téc",DATA_GOC!$B:$B,DATE($D$2,$B$2,H$4)),0))</f>
        <v>0</v>
      </c>
      <c r="I256" s="251">
        <f>IF(I$4&gt;DAY(EOMONTH(DATE($D$2,$B$2,1),0)),"",IFERROR(SUMIFS(DATA_GOC!$H:$H,DATA_GOC!$A:$A,"BOM",DATA_GOC!$D:$D,$B256,DATA_GOC!$E:$E,"Dầu động cơ",DATA_GOC!$F:$F,"Xuất nội bộ từ téc",DATA_GOC!$B:$B,DATE($D$2,$B$2,I$4)),0))</f>
        <v>0</v>
      </c>
      <c r="J256" s="251">
        <f>IF(J$4&gt;DAY(EOMONTH(DATE($D$2,$B$2,1),0)),"",IFERROR(SUMIFS(DATA_GOC!$H:$H,DATA_GOC!$A:$A,"BOM",DATA_GOC!$D:$D,$B256,DATA_GOC!$E:$E,"Dầu động cơ",DATA_GOC!$F:$F,"Xuất nội bộ từ téc",DATA_GOC!$B:$B,DATE($D$2,$B$2,J$4)),0))</f>
        <v>0</v>
      </c>
      <c r="K256" s="251">
        <f>IF(K$4&gt;DAY(EOMONTH(DATE($D$2,$B$2,1),0)),"",IFERROR(SUMIFS(DATA_GOC!$H:$H,DATA_GOC!$A:$A,"BOM",DATA_GOC!$D:$D,$B256,DATA_GOC!$E:$E,"Dầu động cơ",DATA_GOC!$F:$F,"Xuất nội bộ từ téc",DATA_GOC!$B:$B,DATE($D$2,$B$2,K$4)),0))</f>
        <v>0</v>
      </c>
      <c r="L256" s="251">
        <f>IF(L$4&gt;DAY(EOMONTH(DATE($D$2,$B$2,1),0)),"",IFERROR(SUMIFS(DATA_GOC!$H:$H,DATA_GOC!$A:$A,"BOM",DATA_GOC!$D:$D,$B256,DATA_GOC!$E:$E,"Dầu động cơ",DATA_GOC!$F:$F,"Xuất nội bộ từ téc",DATA_GOC!$B:$B,DATE($D$2,$B$2,L$4)),0))</f>
        <v>0</v>
      </c>
      <c r="M256" s="251">
        <f>IF(M$4&gt;DAY(EOMONTH(DATE($D$2,$B$2,1),0)),"",IFERROR(SUMIFS(DATA_GOC!$H:$H,DATA_GOC!$A:$A,"BOM",DATA_GOC!$D:$D,$B256,DATA_GOC!$E:$E,"Dầu động cơ",DATA_GOC!$F:$F,"Xuất nội bộ từ téc",DATA_GOC!$B:$B,DATE($D$2,$B$2,M$4)),0))</f>
        <v>0</v>
      </c>
      <c r="N256" s="251">
        <f>IF(N$4&gt;DAY(EOMONTH(DATE($D$2,$B$2,1),0)),"",IFERROR(SUMIFS(DATA_GOC!$H:$H,DATA_GOC!$A:$A,"BOM",DATA_GOC!$D:$D,$B256,DATA_GOC!$E:$E,"Dầu động cơ",DATA_GOC!$F:$F,"Xuất nội bộ từ téc",DATA_GOC!$B:$B,DATE($D$2,$B$2,N$4)),0))</f>
        <v>0</v>
      </c>
      <c r="O256" s="251">
        <f>IF(O$4&gt;DAY(EOMONTH(DATE($D$2,$B$2,1),0)),"",IFERROR(SUMIFS(DATA_GOC!$H:$H,DATA_GOC!$A:$A,"BOM",DATA_GOC!$D:$D,$B256,DATA_GOC!$E:$E,"Dầu động cơ",DATA_GOC!$F:$F,"Xuất nội bộ từ téc",DATA_GOC!$B:$B,DATE($D$2,$B$2,O$4)),0))</f>
        <v>0</v>
      </c>
      <c r="P256" s="251">
        <f>IF(P$4&gt;DAY(EOMONTH(DATE($D$2,$B$2,1),0)),"",IFERROR(SUMIFS(DATA_GOC!$H:$H,DATA_GOC!$A:$A,"BOM",DATA_GOC!$D:$D,$B256,DATA_GOC!$E:$E,"Dầu động cơ",DATA_GOC!$F:$F,"Xuất nội bộ từ téc",DATA_GOC!$B:$B,DATE($D$2,$B$2,P$4)),0))</f>
        <v>0</v>
      </c>
      <c r="Q256" s="251">
        <f>IF(Q$4&gt;DAY(EOMONTH(DATE($D$2,$B$2,1),0)),"",IFERROR(SUMIFS(DATA_GOC!$H:$H,DATA_GOC!$A:$A,"BOM",DATA_GOC!$D:$D,$B256,DATA_GOC!$E:$E,"Dầu động cơ",DATA_GOC!$F:$F,"Xuất nội bộ từ téc",DATA_GOC!$B:$B,DATE($D$2,$B$2,Q$4)),0))</f>
        <v>0</v>
      </c>
      <c r="R256" s="251">
        <f>IF(R$4&gt;DAY(EOMONTH(DATE($D$2,$B$2,1),0)),"",IFERROR(SUMIFS(DATA_GOC!$H:$H,DATA_GOC!$A:$A,"BOM",DATA_GOC!$D:$D,$B256,DATA_GOC!$E:$E,"Dầu động cơ",DATA_GOC!$F:$F,"Xuất nội bộ từ téc",DATA_GOC!$B:$B,DATE($D$2,$B$2,R$4)),0))</f>
        <v>0</v>
      </c>
      <c r="S256" s="251">
        <f>IF(S$4&gt;DAY(EOMONTH(DATE($D$2,$B$2,1),0)),"",IFERROR(SUMIFS(DATA_GOC!$H:$H,DATA_GOC!$A:$A,"BOM",DATA_GOC!$D:$D,$B256,DATA_GOC!$E:$E,"Dầu động cơ",DATA_GOC!$F:$F,"Xuất nội bộ từ téc",DATA_GOC!$B:$B,DATE($D$2,$B$2,S$4)),0))</f>
        <v>0</v>
      </c>
      <c r="T256" s="251">
        <f>IF(T$4&gt;DAY(EOMONTH(DATE($D$2,$B$2,1),0)),"",IFERROR(SUMIFS(DATA_GOC!$H:$H,DATA_GOC!$A:$A,"BOM",DATA_GOC!$D:$D,$B256,DATA_GOC!$E:$E,"Dầu động cơ",DATA_GOC!$F:$F,"Xuất nội bộ từ téc",DATA_GOC!$B:$B,DATE($D$2,$B$2,T$4)),0))</f>
        <v>0</v>
      </c>
      <c r="U256" s="251">
        <f>IF(U$4&gt;DAY(EOMONTH(DATE($D$2,$B$2,1),0)),"",IFERROR(SUMIFS(DATA_GOC!$H:$H,DATA_GOC!$A:$A,"BOM",DATA_GOC!$D:$D,$B256,DATA_GOC!$E:$E,"Dầu động cơ",DATA_GOC!$F:$F,"Xuất nội bộ từ téc",DATA_GOC!$B:$B,DATE($D$2,$B$2,U$4)),0))</f>
        <v>0</v>
      </c>
      <c r="V256" s="251">
        <f>IF(V$4&gt;DAY(EOMONTH(DATE($D$2,$B$2,1),0)),"",IFERROR(SUMIFS(DATA_GOC!$H:$H,DATA_GOC!$A:$A,"BOM",DATA_GOC!$D:$D,$B256,DATA_GOC!$E:$E,"Dầu động cơ",DATA_GOC!$F:$F,"Xuất nội bộ từ téc",DATA_GOC!$B:$B,DATE($D$2,$B$2,V$4)),0))</f>
        <v>0</v>
      </c>
      <c r="W256" s="251">
        <f>IF(W$4&gt;DAY(EOMONTH(DATE($D$2,$B$2,1),0)),"",IFERROR(SUMIFS(DATA_GOC!$H:$H,DATA_GOC!$A:$A,"BOM",DATA_GOC!$D:$D,$B256,DATA_GOC!$E:$E,"Dầu động cơ",DATA_GOC!$F:$F,"Xuất nội bộ từ téc",DATA_GOC!$B:$B,DATE($D$2,$B$2,W$4)),0))</f>
        <v>0</v>
      </c>
      <c r="X256" s="251">
        <f>IF(X$4&gt;DAY(EOMONTH(DATE($D$2,$B$2,1),0)),"",IFERROR(SUMIFS(DATA_GOC!$H:$H,DATA_GOC!$A:$A,"BOM",DATA_GOC!$D:$D,$B256,DATA_GOC!$E:$E,"Dầu động cơ",DATA_GOC!$F:$F,"Xuất nội bộ từ téc",DATA_GOC!$B:$B,DATE($D$2,$B$2,X$4)),0))</f>
        <v>0</v>
      </c>
      <c r="Y256" s="251">
        <f>IF(Y$4&gt;DAY(EOMONTH(DATE($D$2,$B$2,1),0)),"",IFERROR(SUMIFS(DATA_GOC!$H:$H,DATA_GOC!$A:$A,"BOM",DATA_GOC!$D:$D,$B256,DATA_GOC!$E:$E,"Dầu động cơ",DATA_GOC!$F:$F,"Xuất nội bộ từ téc",DATA_GOC!$B:$B,DATE($D$2,$B$2,Y$4)),0))</f>
        <v>0</v>
      </c>
      <c r="Z256" s="251">
        <f>IF(Z$4&gt;DAY(EOMONTH(DATE($D$2,$B$2,1),0)),"",IFERROR(SUMIFS(DATA_GOC!$H:$H,DATA_GOC!$A:$A,"BOM",DATA_GOC!$D:$D,$B256,DATA_GOC!$E:$E,"Dầu động cơ",DATA_GOC!$F:$F,"Xuất nội bộ từ téc",DATA_GOC!$B:$B,DATE($D$2,$B$2,Z$4)),0))</f>
        <v>0</v>
      </c>
      <c r="AA256" s="251">
        <f>IF(AA$4&gt;DAY(EOMONTH(DATE($D$2,$B$2,1),0)),"",IFERROR(SUMIFS(DATA_GOC!$H:$H,DATA_GOC!$A:$A,"BOM",DATA_GOC!$D:$D,$B256,DATA_GOC!$E:$E,"Dầu động cơ",DATA_GOC!$F:$F,"Xuất nội bộ từ téc",DATA_GOC!$B:$B,DATE($D$2,$B$2,AA$4)),0))</f>
        <v>0</v>
      </c>
      <c r="AB256" s="251">
        <f>IF(AB$4&gt;DAY(EOMONTH(DATE($D$2,$B$2,1),0)),"",IFERROR(SUMIFS(DATA_GOC!$H:$H,DATA_GOC!$A:$A,"BOM",DATA_GOC!$D:$D,$B256,DATA_GOC!$E:$E,"Dầu động cơ",DATA_GOC!$F:$F,"Xuất nội bộ từ téc",DATA_GOC!$B:$B,DATE($D$2,$B$2,AB$4)),0))</f>
        <v>0</v>
      </c>
      <c r="AC256" s="251">
        <f>IF(AC$4&gt;DAY(EOMONTH(DATE($D$2,$B$2,1),0)),"",IFERROR(SUMIFS(DATA_GOC!$H:$H,DATA_GOC!$A:$A,"BOM",DATA_GOC!$D:$D,$B256,DATA_GOC!$E:$E,"Dầu động cơ",DATA_GOC!$F:$F,"Xuất nội bộ từ téc",DATA_GOC!$B:$B,DATE($D$2,$B$2,AC$4)),0))</f>
        <v>0</v>
      </c>
      <c r="AD256" s="251">
        <f>IF(AD$4&gt;DAY(EOMONTH(DATE($D$2,$B$2,1),0)),"",IFERROR(SUMIFS(DATA_GOC!$H:$H,DATA_GOC!$A:$A,"BOM",DATA_GOC!$D:$D,$B256,DATA_GOC!$E:$E,"Dầu động cơ",DATA_GOC!$F:$F,"Xuất nội bộ từ téc",DATA_GOC!$B:$B,DATE($D$2,$B$2,AD$4)),0))</f>
        <v>0</v>
      </c>
      <c r="AE256" s="251">
        <f>IF(AE$4&gt;DAY(EOMONTH(DATE($D$2,$B$2,1),0)),"",IFERROR(SUMIFS(DATA_GOC!$H:$H,DATA_GOC!$A:$A,"BOM",DATA_GOC!$D:$D,$B256,DATA_GOC!$E:$E,"Dầu động cơ",DATA_GOC!$F:$F,"Xuất nội bộ từ téc",DATA_GOC!$B:$B,DATE($D$2,$B$2,AE$4)),0))</f>
        <v>0</v>
      </c>
      <c r="AF256" s="251">
        <f>IF(AF$4&gt;DAY(EOMONTH(DATE($D$2,$B$2,1),0)),"",IFERROR(SUMIFS(DATA_GOC!$H:$H,DATA_GOC!$A:$A,"BOM",DATA_GOC!$D:$D,$B256,DATA_GOC!$E:$E,"Dầu động cơ",DATA_GOC!$F:$F,"Xuất nội bộ từ téc",DATA_GOC!$B:$B,DATE($D$2,$B$2,AF$4)),0))</f>
        <v>0</v>
      </c>
      <c r="AG256" s="251">
        <f>IF(AG$4&gt;DAY(EOMONTH(DATE($D$2,$B$2,1),0)),"",IFERROR(SUMIFS(DATA_GOC!$H:$H,DATA_GOC!$A:$A,"BOM",DATA_GOC!$D:$D,$B256,DATA_GOC!$E:$E,"Dầu động cơ",DATA_GOC!$F:$F,"Xuất nội bộ từ téc",DATA_GOC!$B:$B,DATE($D$2,$B$2,AG$4)),0))</f>
        <v>0</v>
      </c>
      <c r="AH256" s="252">
        <f t="shared" si="13"/>
        <v>0</v>
      </c>
      <c r="AI256" s="241"/>
      <c r="AJ256" s="242">
        <f>IF($B256="","",SUMIFS(TINH_TEC!$K$233:$K$9232,TINH_TEC!$H$233:$H$9232,$B256,TINH_TEC!$C$233:$C$9232,"Dầu động cơ",TINH_TEC!$F$233:$F$9232,$B$2,TINH_TEC!$G$233:$G$9232,$D$2,TINH_TEC!$B$233:$B$9232,"Đã chốt"))</f>
        <v>0</v>
      </c>
      <c r="AK256" s="242">
        <f>IF($B256="","",SUMIFS(TINH_TEC!$J$233:$J$9232,TINH_TEC!$H$233:$H$9232,$B256,TINH_TEC!$C$233:$C$9232,"Dầu động cơ",TINH_TEC!$F$233:$F$9232,$B$2,TINH_TEC!$G$233:$G$9232,$D$2,TINH_TEC!$B$233:$B$9232,"Đã chốt"))</f>
        <v>0</v>
      </c>
      <c r="AL256" s="242">
        <f t="shared" si="14"/>
        <v>0</v>
      </c>
    </row>
    <row r="257" ht="15.75" customHeight="1">
      <c r="A257" s="237">
        <f>IF($B257&lt;&gt;"",8,"")</f>
        <v>8</v>
      </c>
      <c r="B257" s="250" t="str">
        <f t="array" ref="B257">IFERROR(INDEX(DANH_MUC!$E:$E,11),"")</f>
        <v>28C01647</v>
      </c>
      <c r="C257" s="251">
        <f>IF(C$4&gt;DAY(EOMONTH(DATE($D$2,$B$2,1),0)),"",IFERROR(SUMIFS(DATA_GOC!$H:$H,DATA_GOC!$A:$A,"BOM",DATA_GOC!$D:$D,$B257,DATA_GOC!$E:$E,"Dầu động cơ",DATA_GOC!$F:$F,"Xuất nội bộ từ téc",DATA_GOC!$B:$B,DATE($D$2,$B$2,C$4)),0))</f>
        <v>0</v>
      </c>
      <c r="D257" s="251">
        <f>IF(D$4&gt;DAY(EOMONTH(DATE($D$2,$B$2,1),0)),"",IFERROR(SUMIFS(DATA_GOC!$H:$H,DATA_GOC!$A:$A,"BOM",DATA_GOC!$D:$D,$B257,DATA_GOC!$E:$E,"Dầu động cơ",DATA_GOC!$F:$F,"Xuất nội bộ từ téc",DATA_GOC!$B:$B,DATE($D$2,$B$2,D$4)),0))</f>
        <v>0</v>
      </c>
      <c r="E257" s="251">
        <f>IF(E$4&gt;DAY(EOMONTH(DATE($D$2,$B$2,1),0)),"",IFERROR(SUMIFS(DATA_GOC!$H:$H,DATA_GOC!$A:$A,"BOM",DATA_GOC!$D:$D,$B257,DATA_GOC!$E:$E,"Dầu động cơ",DATA_GOC!$F:$F,"Xuất nội bộ từ téc",DATA_GOC!$B:$B,DATE($D$2,$B$2,E$4)),0))</f>
        <v>0</v>
      </c>
      <c r="F257" s="251">
        <f>IF(F$4&gt;DAY(EOMONTH(DATE($D$2,$B$2,1),0)),"",IFERROR(SUMIFS(DATA_GOC!$H:$H,DATA_GOC!$A:$A,"BOM",DATA_GOC!$D:$D,$B257,DATA_GOC!$E:$E,"Dầu động cơ",DATA_GOC!$F:$F,"Xuất nội bộ từ téc",DATA_GOC!$B:$B,DATE($D$2,$B$2,F$4)),0))</f>
        <v>0</v>
      </c>
      <c r="G257" s="251">
        <f>IF(G$4&gt;DAY(EOMONTH(DATE($D$2,$B$2,1),0)),"",IFERROR(SUMIFS(DATA_GOC!$H:$H,DATA_GOC!$A:$A,"BOM",DATA_GOC!$D:$D,$B257,DATA_GOC!$E:$E,"Dầu động cơ",DATA_GOC!$F:$F,"Xuất nội bộ từ téc",DATA_GOC!$B:$B,DATE($D$2,$B$2,G$4)),0))</f>
        <v>0</v>
      </c>
      <c r="H257" s="251">
        <f>IF(H$4&gt;DAY(EOMONTH(DATE($D$2,$B$2,1),0)),"",IFERROR(SUMIFS(DATA_GOC!$H:$H,DATA_GOC!$A:$A,"BOM",DATA_GOC!$D:$D,$B257,DATA_GOC!$E:$E,"Dầu động cơ",DATA_GOC!$F:$F,"Xuất nội bộ từ téc",DATA_GOC!$B:$B,DATE($D$2,$B$2,H$4)),0))</f>
        <v>0</v>
      </c>
      <c r="I257" s="251">
        <f>IF(I$4&gt;DAY(EOMONTH(DATE($D$2,$B$2,1),0)),"",IFERROR(SUMIFS(DATA_GOC!$H:$H,DATA_GOC!$A:$A,"BOM",DATA_GOC!$D:$D,$B257,DATA_GOC!$E:$E,"Dầu động cơ",DATA_GOC!$F:$F,"Xuất nội bộ từ téc",DATA_GOC!$B:$B,DATE($D$2,$B$2,I$4)),0))</f>
        <v>0</v>
      </c>
      <c r="J257" s="251">
        <f>IF(J$4&gt;DAY(EOMONTH(DATE($D$2,$B$2,1),0)),"",IFERROR(SUMIFS(DATA_GOC!$H:$H,DATA_GOC!$A:$A,"BOM",DATA_GOC!$D:$D,$B257,DATA_GOC!$E:$E,"Dầu động cơ",DATA_GOC!$F:$F,"Xuất nội bộ từ téc",DATA_GOC!$B:$B,DATE($D$2,$B$2,J$4)),0))</f>
        <v>0</v>
      </c>
      <c r="K257" s="251">
        <f>IF(K$4&gt;DAY(EOMONTH(DATE($D$2,$B$2,1),0)),"",IFERROR(SUMIFS(DATA_GOC!$H:$H,DATA_GOC!$A:$A,"BOM",DATA_GOC!$D:$D,$B257,DATA_GOC!$E:$E,"Dầu động cơ",DATA_GOC!$F:$F,"Xuất nội bộ từ téc",DATA_GOC!$B:$B,DATE($D$2,$B$2,K$4)),0))</f>
        <v>0</v>
      </c>
      <c r="L257" s="251">
        <f>IF(L$4&gt;DAY(EOMONTH(DATE($D$2,$B$2,1),0)),"",IFERROR(SUMIFS(DATA_GOC!$H:$H,DATA_GOC!$A:$A,"BOM",DATA_GOC!$D:$D,$B257,DATA_GOC!$E:$E,"Dầu động cơ",DATA_GOC!$F:$F,"Xuất nội bộ từ téc",DATA_GOC!$B:$B,DATE($D$2,$B$2,L$4)),0))</f>
        <v>0</v>
      </c>
      <c r="M257" s="251">
        <f>IF(M$4&gt;DAY(EOMONTH(DATE($D$2,$B$2,1),0)),"",IFERROR(SUMIFS(DATA_GOC!$H:$H,DATA_GOC!$A:$A,"BOM",DATA_GOC!$D:$D,$B257,DATA_GOC!$E:$E,"Dầu động cơ",DATA_GOC!$F:$F,"Xuất nội bộ từ téc",DATA_GOC!$B:$B,DATE($D$2,$B$2,M$4)),0))</f>
        <v>0</v>
      </c>
      <c r="N257" s="251">
        <f>IF(N$4&gt;DAY(EOMONTH(DATE($D$2,$B$2,1),0)),"",IFERROR(SUMIFS(DATA_GOC!$H:$H,DATA_GOC!$A:$A,"BOM",DATA_GOC!$D:$D,$B257,DATA_GOC!$E:$E,"Dầu động cơ",DATA_GOC!$F:$F,"Xuất nội bộ từ téc",DATA_GOC!$B:$B,DATE($D$2,$B$2,N$4)),0))</f>
        <v>0</v>
      </c>
      <c r="O257" s="251">
        <f>IF(O$4&gt;DAY(EOMONTH(DATE($D$2,$B$2,1),0)),"",IFERROR(SUMIFS(DATA_GOC!$H:$H,DATA_GOC!$A:$A,"BOM",DATA_GOC!$D:$D,$B257,DATA_GOC!$E:$E,"Dầu động cơ",DATA_GOC!$F:$F,"Xuất nội bộ từ téc",DATA_GOC!$B:$B,DATE($D$2,$B$2,O$4)),0))</f>
        <v>0</v>
      </c>
      <c r="P257" s="251">
        <f>IF(P$4&gt;DAY(EOMONTH(DATE($D$2,$B$2,1),0)),"",IFERROR(SUMIFS(DATA_GOC!$H:$H,DATA_GOC!$A:$A,"BOM",DATA_GOC!$D:$D,$B257,DATA_GOC!$E:$E,"Dầu động cơ",DATA_GOC!$F:$F,"Xuất nội bộ từ téc",DATA_GOC!$B:$B,DATE($D$2,$B$2,P$4)),0))</f>
        <v>0</v>
      </c>
      <c r="Q257" s="251">
        <f>IF(Q$4&gt;DAY(EOMONTH(DATE($D$2,$B$2,1),0)),"",IFERROR(SUMIFS(DATA_GOC!$H:$H,DATA_GOC!$A:$A,"BOM",DATA_GOC!$D:$D,$B257,DATA_GOC!$E:$E,"Dầu động cơ",DATA_GOC!$F:$F,"Xuất nội bộ từ téc",DATA_GOC!$B:$B,DATE($D$2,$B$2,Q$4)),0))</f>
        <v>0</v>
      </c>
      <c r="R257" s="251">
        <f>IF(R$4&gt;DAY(EOMONTH(DATE($D$2,$B$2,1),0)),"",IFERROR(SUMIFS(DATA_GOC!$H:$H,DATA_GOC!$A:$A,"BOM",DATA_GOC!$D:$D,$B257,DATA_GOC!$E:$E,"Dầu động cơ",DATA_GOC!$F:$F,"Xuất nội bộ từ téc",DATA_GOC!$B:$B,DATE($D$2,$B$2,R$4)),0))</f>
        <v>0</v>
      </c>
      <c r="S257" s="251">
        <f>IF(S$4&gt;DAY(EOMONTH(DATE($D$2,$B$2,1),0)),"",IFERROR(SUMIFS(DATA_GOC!$H:$H,DATA_GOC!$A:$A,"BOM",DATA_GOC!$D:$D,$B257,DATA_GOC!$E:$E,"Dầu động cơ",DATA_GOC!$F:$F,"Xuất nội bộ từ téc",DATA_GOC!$B:$B,DATE($D$2,$B$2,S$4)),0))</f>
        <v>0</v>
      </c>
      <c r="T257" s="251">
        <f>IF(T$4&gt;DAY(EOMONTH(DATE($D$2,$B$2,1),0)),"",IFERROR(SUMIFS(DATA_GOC!$H:$H,DATA_GOC!$A:$A,"BOM",DATA_GOC!$D:$D,$B257,DATA_GOC!$E:$E,"Dầu động cơ",DATA_GOC!$F:$F,"Xuất nội bộ từ téc",DATA_GOC!$B:$B,DATE($D$2,$B$2,T$4)),0))</f>
        <v>0</v>
      </c>
      <c r="U257" s="251">
        <f>IF(U$4&gt;DAY(EOMONTH(DATE($D$2,$B$2,1),0)),"",IFERROR(SUMIFS(DATA_GOC!$H:$H,DATA_GOC!$A:$A,"BOM",DATA_GOC!$D:$D,$B257,DATA_GOC!$E:$E,"Dầu động cơ",DATA_GOC!$F:$F,"Xuất nội bộ từ téc",DATA_GOC!$B:$B,DATE($D$2,$B$2,U$4)),0))</f>
        <v>0</v>
      </c>
      <c r="V257" s="251">
        <f>IF(V$4&gt;DAY(EOMONTH(DATE($D$2,$B$2,1),0)),"",IFERROR(SUMIFS(DATA_GOC!$H:$H,DATA_GOC!$A:$A,"BOM",DATA_GOC!$D:$D,$B257,DATA_GOC!$E:$E,"Dầu động cơ",DATA_GOC!$F:$F,"Xuất nội bộ từ téc",DATA_GOC!$B:$B,DATE($D$2,$B$2,V$4)),0))</f>
        <v>0</v>
      </c>
      <c r="W257" s="251">
        <f>IF(W$4&gt;DAY(EOMONTH(DATE($D$2,$B$2,1),0)),"",IFERROR(SUMIFS(DATA_GOC!$H:$H,DATA_GOC!$A:$A,"BOM",DATA_GOC!$D:$D,$B257,DATA_GOC!$E:$E,"Dầu động cơ",DATA_GOC!$F:$F,"Xuất nội bộ từ téc",DATA_GOC!$B:$B,DATE($D$2,$B$2,W$4)),0))</f>
        <v>0</v>
      </c>
      <c r="X257" s="251">
        <f>IF(X$4&gt;DAY(EOMONTH(DATE($D$2,$B$2,1),0)),"",IFERROR(SUMIFS(DATA_GOC!$H:$H,DATA_GOC!$A:$A,"BOM",DATA_GOC!$D:$D,$B257,DATA_GOC!$E:$E,"Dầu động cơ",DATA_GOC!$F:$F,"Xuất nội bộ từ téc",DATA_GOC!$B:$B,DATE($D$2,$B$2,X$4)),0))</f>
        <v>0</v>
      </c>
      <c r="Y257" s="251">
        <f>IF(Y$4&gt;DAY(EOMONTH(DATE($D$2,$B$2,1),0)),"",IFERROR(SUMIFS(DATA_GOC!$H:$H,DATA_GOC!$A:$A,"BOM",DATA_GOC!$D:$D,$B257,DATA_GOC!$E:$E,"Dầu động cơ",DATA_GOC!$F:$F,"Xuất nội bộ từ téc",DATA_GOC!$B:$B,DATE($D$2,$B$2,Y$4)),0))</f>
        <v>0</v>
      </c>
      <c r="Z257" s="251">
        <f>IF(Z$4&gt;DAY(EOMONTH(DATE($D$2,$B$2,1),0)),"",IFERROR(SUMIFS(DATA_GOC!$H:$H,DATA_GOC!$A:$A,"BOM",DATA_GOC!$D:$D,$B257,DATA_GOC!$E:$E,"Dầu động cơ",DATA_GOC!$F:$F,"Xuất nội bộ từ téc",DATA_GOC!$B:$B,DATE($D$2,$B$2,Z$4)),0))</f>
        <v>0</v>
      </c>
      <c r="AA257" s="251">
        <f>IF(AA$4&gt;DAY(EOMONTH(DATE($D$2,$B$2,1),0)),"",IFERROR(SUMIFS(DATA_GOC!$H:$H,DATA_GOC!$A:$A,"BOM",DATA_GOC!$D:$D,$B257,DATA_GOC!$E:$E,"Dầu động cơ",DATA_GOC!$F:$F,"Xuất nội bộ từ téc",DATA_GOC!$B:$B,DATE($D$2,$B$2,AA$4)),0))</f>
        <v>0</v>
      </c>
      <c r="AB257" s="251">
        <f>IF(AB$4&gt;DAY(EOMONTH(DATE($D$2,$B$2,1),0)),"",IFERROR(SUMIFS(DATA_GOC!$H:$H,DATA_GOC!$A:$A,"BOM",DATA_GOC!$D:$D,$B257,DATA_GOC!$E:$E,"Dầu động cơ",DATA_GOC!$F:$F,"Xuất nội bộ từ téc",DATA_GOC!$B:$B,DATE($D$2,$B$2,AB$4)),0))</f>
        <v>0</v>
      </c>
      <c r="AC257" s="251">
        <f>IF(AC$4&gt;DAY(EOMONTH(DATE($D$2,$B$2,1),0)),"",IFERROR(SUMIFS(DATA_GOC!$H:$H,DATA_GOC!$A:$A,"BOM",DATA_GOC!$D:$D,$B257,DATA_GOC!$E:$E,"Dầu động cơ",DATA_GOC!$F:$F,"Xuất nội bộ từ téc",DATA_GOC!$B:$B,DATE($D$2,$B$2,AC$4)),0))</f>
        <v>0</v>
      </c>
      <c r="AD257" s="251">
        <f>IF(AD$4&gt;DAY(EOMONTH(DATE($D$2,$B$2,1),0)),"",IFERROR(SUMIFS(DATA_GOC!$H:$H,DATA_GOC!$A:$A,"BOM",DATA_GOC!$D:$D,$B257,DATA_GOC!$E:$E,"Dầu động cơ",DATA_GOC!$F:$F,"Xuất nội bộ từ téc",DATA_GOC!$B:$B,DATE($D$2,$B$2,AD$4)),0))</f>
        <v>0</v>
      </c>
      <c r="AE257" s="251">
        <f>IF(AE$4&gt;DAY(EOMONTH(DATE($D$2,$B$2,1),0)),"",IFERROR(SUMIFS(DATA_GOC!$H:$H,DATA_GOC!$A:$A,"BOM",DATA_GOC!$D:$D,$B257,DATA_GOC!$E:$E,"Dầu động cơ",DATA_GOC!$F:$F,"Xuất nội bộ từ téc",DATA_GOC!$B:$B,DATE($D$2,$B$2,AE$4)),0))</f>
        <v>0</v>
      </c>
      <c r="AF257" s="251">
        <f>IF(AF$4&gt;DAY(EOMONTH(DATE($D$2,$B$2,1),0)),"",IFERROR(SUMIFS(DATA_GOC!$H:$H,DATA_GOC!$A:$A,"BOM",DATA_GOC!$D:$D,$B257,DATA_GOC!$E:$E,"Dầu động cơ",DATA_GOC!$F:$F,"Xuất nội bộ từ téc",DATA_GOC!$B:$B,DATE($D$2,$B$2,AF$4)),0))</f>
        <v>0</v>
      </c>
      <c r="AG257" s="251">
        <f>IF(AG$4&gt;DAY(EOMONTH(DATE($D$2,$B$2,1),0)),"",IFERROR(SUMIFS(DATA_GOC!$H:$H,DATA_GOC!$A:$A,"BOM",DATA_GOC!$D:$D,$B257,DATA_GOC!$E:$E,"Dầu động cơ",DATA_GOC!$F:$F,"Xuất nội bộ từ téc",DATA_GOC!$B:$B,DATE($D$2,$B$2,AG$4)),0))</f>
        <v>0</v>
      </c>
      <c r="AH257" s="252">
        <f t="shared" si="13"/>
        <v>0</v>
      </c>
      <c r="AI257" s="241"/>
      <c r="AJ257" s="242">
        <f>IF($B257="","",SUMIFS(TINH_TEC!$K$233:$K$9232,TINH_TEC!$H$233:$H$9232,$B257,TINH_TEC!$C$233:$C$9232,"Dầu động cơ",TINH_TEC!$F$233:$F$9232,$B$2,TINH_TEC!$G$233:$G$9232,$D$2,TINH_TEC!$B$233:$B$9232,"Đã chốt"))</f>
        <v>0</v>
      </c>
      <c r="AK257" s="242">
        <f>IF($B257="","",SUMIFS(TINH_TEC!$J$233:$J$9232,TINH_TEC!$H$233:$H$9232,$B257,TINH_TEC!$C$233:$C$9232,"Dầu động cơ",TINH_TEC!$F$233:$F$9232,$B$2,TINH_TEC!$G$233:$G$9232,$D$2,TINH_TEC!$B$233:$B$9232,"Đã chốt"))</f>
        <v>0</v>
      </c>
      <c r="AL257" s="242">
        <f t="shared" si="14"/>
        <v>0</v>
      </c>
    </row>
    <row r="258" ht="15.75" customHeight="1">
      <c r="A258" s="237">
        <f>IF($B258&lt;&gt;"",9,"")</f>
        <v>9</v>
      </c>
      <c r="B258" s="250" t="str">
        <f t="array" ref="B258">IFERROR(INDEX(DANH_MUC!$E:$E,12),"")</f>
        <v>28C01731</v>
      </c>
      <c r="C258" s="251">
        <f>IF(C$4&gt;DAY(EOMONTH(DATE($D$2,$B$2,1),0)),"",IFERROR(SUMIFS(DATA_GOC!$H:$H,DATA_GOC!$A:$A,"BOM",DATA_GOC!$D:$D,$B258,DATA_GOC!$E:$E,"Dầu động cơ",DATA_GOC!$F:$F,"Xuất nội bộ từ téc",DATA_GOC!$B:$B,DATE($D$2,$B$2,C$4)),0))</f>
        <v>0</v>
      </c>
      <c r="D258" s="251">
        <f>IF(D$4&gt;DAY(EOMONTH(DATE($D$2,$B$2,1),0)),"",IFERROR(SUMIFS(DATA_GOC!$H:$H,DATA_GOC!$A:$A,"BOM",DATA_GOC!$D:$D,$B258,DATA_GOC!$E:$E,"Dầu động cơ",DATA_GOC!$F:$F,"Xuất nội bộ từ téc",DATA_GOC!$B:$B,DATE($D$2,$B$2,D$4)),0))</f>
        <v>0</v>
      </c>
      <c r="E258" s="251">
        <f>IF(E$4&gt;DAY(EOMONTH(DATE($D$2,$B$2,1),0)),"",IFERROR(SUMIFS(DATA_GOC!$H:$H,DATA_GOC!$A:$A,"BOM",DATA_GOC!$D:$D,$B258,DATA_GOC!$E:$E,"Dầu động cơ",DATA_GOC!$F:$F,"Xuất nội bộ từ téc",DATA_GOC!$B:$B,DATE($D$2,$B$2,E$4)),0))</f>
        <v>0</v>
      </c>
      <c r="F258" s="251">
        <f>IF(F$4&gt;DAY(EOMONTH(DATE($D$2,$B$2,1),0)),"",IFERROR(SUMIFS(DATA_GOC!$H:$H,DATA_GOC!$A:$A,"BOM",DATA_GOC!$D:$D,$B258,DATA_GOC!$E:$E,"Dầu động cơ",DATA_GOC!$F:$F,"Xuất nội bộ từ téc",DATA_GOC!$B:$B,DATE($D$2,$B$2,F$4)),0))</f>
        <v>0</v>
      </c>
      <c r="G258" s="251">
        <f>IF(G$4&gt;DAY(EOMONTH(DATE($D$2,$B$2,1),0)),"",IFERROR(SUMIFS(DATA_GOC!$H:$H,DATA_GOC!$A:$A,"BOM",DATA_GOC!$D:$D,$B258,DATA_GOC!$E:$E,"Dầu động cơ",DATA_GOC!$F:$F,"Xuất nội bộ từ téc",DATA_GOC!$B:$B,DATE($D$2,$B$2,G$4)),0))</f>
        <v>0</v>
      </c>
      <c r="H258" s="251">
        <f>IF(H$4&gt;DAY(EOMONTH(DATE($D$2,$B$2,1),0)),"",IFERROR(SUMIFS(DATA_GOC!$H:$H,DATA_GOC!$A:$A,"BOM",DATA_GOC!$D:$D,$B258,DATA_GOC!$E:$E,"Dầu động cơ",DATA_GOC!$F:$F,"Xuất nội bộ từ téc",DATA_GOC!$B:$B,DATE($D$2,$B$2,H$4)),0))</f>
        <v>0</v>
      </c>
      <c r="I258" s="251">
        <f>IF(I$4&gt;DAY(EOMONTH(DATE($D$2,$B$2,1),0)),"",IFERROR(SUMIFS(DATA_GOC!$H:$H,DATA_GOC!$A:$A,"BOM",DATA_GOC!$D:$D,$B258,DATA_GOC!$E:$E,"Dầu động cơ",DATA_GOC!$F:$F,"Xuất nội bộ từ téc",DATA_GOC!$B:$B,DATE($D$2,$B$2,I$4)),0))</f>
        <v>0</v>
      </c>
      <c r="J258" s="251">
        <f>IF(J$4&gt;DAY(EOMONTH(DATE($D$2,$B$2,1),0)),"",IFERROR(SUMIFS(DATA_GOC!$H:$H,DATA_GOC!$A:$A,"BOM",DATA_GOC!$D:$D,$B258,DATA_GOC!$E:$E,"Dầu động cơ",DATA_GOC!$F:$F,"Xuất nội bộ từ téc",DATA_GOC!$B:$B,DATE($D$2,$B$2,J$4)),0))</f>
        <v>0</v>
      </c>
      <c r="K258" s="251">
        <f>IF(K$4&gt;DAY(EOMONTH(DATE($D$2,$B$2,1),0)),"",IFERROR(SUMIFS(DATA_GOC!$H:$H,DATA_GOC!$A:$A,"BOM",DATA_GOC!$D:$D,$B258,DATA_GOC!$E:$E,"Dầu động cơ",DATA_GOC!$F:$F,"Xuất nội bộ từ téc",DATA_GOC!$B:$B,DATE($D$2,$B$2,K$4)),0))</f>
        <v>0</v>
      </c>
      <c r="L258" s="251">
        <f>IF(L$4&gt;DAY(EOMONTH(DATE($D$2,$B$2,1),0)),"",IFERROR(SUMIFS(DATA_GOC!$H:$H,DATA_GOC!$A:$A,"BOM",DATA_GOC!$D:$D,$B258,DATA_GOC!$E:$E,"Dầu động cơ",DATA_GOC!$F:$F,"Xuất nội bộ từ téc",DATA_GOC!$B:$B,DATE($D$2,$B$2,L$4)),0))</f>
        <v>0</v>
      </c>
      <c r="M258" s="251">
        <f>IF(M$4&gt;DAY(EOMONTH(DATE($D$2,$B$2,1),0)),"",IFERROR(SUMIFS(DATA_GOC!$H:$H,DATA_GOC!$A:$A,"BOM",DATA_GOC!$D:$D,$B258,DATA_GOC!$E:$E,"Dầu động cơ",DATA_GOC!$F:$F,"Xuất nội bộ từ téc",DATA_GOC!$B:$B,DATE($D$2,$B$2,M$4)),0))</f>
        <v>0</v>
      </c>
      <c r="N258" s="251">
        <f>IF(N$4&gt;DAY(EOMONTH(DATE($D$2,$B$2,1),0)),"",IFERROR(SUMIFS(DATA_GOC!$H:$H,DATA_GOC!$A:$A,"BOM",DATA_GOC!$D:$D,$B258,DATA_GOC!$E:$E,"Dầu động cơ",DATA_GOC!$F:$F,"Xuất nội bộ từ téc",DATA_GOC!$B:$B,DATE($D$2,$B$2,N$4)),0))</f>
        <v>0</v>
      </c>
      <c r="O258" s="251">
        <f>IF(O$4&gt;DAY(EOMONTH(DATE($D$2,$B$2,1),0)),"",IFERROR(SUMIFS(DATA_GOC!$H:$H,DATA_GOC!$A:$A,"BOM",DATA_GOC!$D:$D,$B258,DATA_GOC!$E:$E,"Dầu động cơ",DATA_GOC!$F:$F,"Xuất nội bộ từ téc",DATA_GOC!$B:$B,DATE($D$2,$B$2,O$4)),0))</f>
        <v>0</v>
      </c>
      <c r="P258" s="251">
        <f>IF(P$4&gt;DAY(EOMONTH(DATE($D$2,$B$2,1),0)),"",IFERROR(SUMIFS(DATA_GOC!$H:$H,DATA_GOC!$A:$A,"BOM",DATA_GOC!$D:$D,$B258,DATA_GOC!$E:$E,"Dầu động cơ",DATA_GOC!$F:$F,"Xuất nội bộ từ téc",DATA_GOC!$B:$B,DATE($D$2,$B$2,P$4)),0))</f>
        <v>0</v>
      </c>
      <c r="Q258" s="251">
        <f>IF(Q$4&gt;DAY(EOMONTH(DATE($D$2,$B$2,1),0)),"",IFERROR(SUMIFS(DATA_GOC!$H:$H,DATA_GOC!$A:$A,"BOM",DATA_GOC!$D:$D,$B258,DATA_GOC!$E:$E,"Dầu động cơ",DATA_GOC!$F:$F,"Xuất nội bộ từ téc",DATA_GOC!$B:$B,DATE($D$2,$B$2,Q$4)),0))</f>
        <v>0</v>
      </c>
      <c r="R258" s="251">
        <f>IF(R$4&gt;DAY(EOMONTH(DATE($D$2,$B$2,1),0)),"",IFERROR(SUMIFS(DATA_GOC!$H:$H,DATA_GOC!$A:$A,"BOM",DATA_GOC!$D:$D,$B258,DATA_GOC!$E:$E,"Dầu động cơ",DATA_GOC!$F:$F,"Xuất nội bộ từ téc",DATA_GOC!$B:$B,DATE($D$2,$B$2,R$4)),0))</f>
        <v>0</v>
      </c>
      <c r="S258" s="251">
        <f>IF(S$4&gt;DAY(EOMONTH(DATE($D$2,$B$2,1),0)),"",IFERROR(SUMIFS(DATA_GOC!$H:$H,DATA_GOC!$A:$A,"BOM",DATA_GOC!$D:$D,$B258,DATA_GOC!$E:$E,"Dầu động cơ",DATA_GOC!$F:$F,"Xuất nội bộ từ téc",DATA_GOC!$B:$B,DATE($D$2,$B$2,S$4)),0))</f>
        <v>0</v>
      </c>
      <c r="T258" s="251">
        <f>IF(T$4&gt;DAY(EOMONTH(DATE($D$2,$B$2,1),0)),"",IFERROR(SUMIFS(DATA_GOC!$H:$H,DATA_GOC!$A:$A,"BOM",DATA_GOC!$D:$D,$B258,DATA_GOC!$E:$E,"Dầu động cơ",DATA_GOC!$F:$F,"Xuất nội bộ từ téc",DATA_GOC!$B:$B,DATE($D$2,$B$2,T$4)),0))</f>
        <v>0</v>
      </c>
      <c r="U258" s="251">
        <f>IF(U$4&gt;DAY(EOMONTH(DATE($D$2,$B$2,1),0)),"",IFERROR(SUMIFS(DATA_GOC!$H:$H,DATA_GOC!$A:$A,"BOM",DATA_GOC!$D:$D,$B258,DATA_GOC!$E:$E,"Dầu động cơ",DATA_GOC!$F:$F,"Xuất nội bộ từ téc",DATA_GOC!$B:$B,DATE($D$2,$B$2,U$4)),0))</f>
        <v>0</v>
      </c>
      <c r="V258" s="251">
        <f>IF(V$4&gt;DAY(EOMONTH(DATE($D$2,$B$2,1),0)),"",IFERROR(SUMIFS(DATA_GOC!$H:$H,DATA_GOC!$A:$A,"BOM",DATA_GOC!$D:$D,$B258,DATA_GOC!$E:$E,"Dầu động cơ",DATA_GOC!$F:$F,"Xuất nội bộ từ téc",DATA_GOC!$B:$B,DATE($D$2,$B$2,V$4)),0))</f>
        <v>0</v>
      </c>
      <c r="W258" s="251">
        <f>IF(W$4&gt;DAY(EOMONTH(DATE($D$2,$B$2,1),0)),"",IFERROR(SUMIFS(DATA_GOC!$H:$H,DATA_GOC!$A:$A,"BOM",DATA_GOC!$D:$D,$B258,DATA_GOC!$E:$E,"Dầu động cơ",DATA_GOC!$F:$F,"Xuất nội bộ từ téc",DATA_GOC!$B:$B,DATE($D$2,$B$2,W$4)),0))</f>
        <v>0</v>
      </c>
      <c r="X258" s="251">
        <f>IF(X$4&gt;DAY(EOMONTH(DATE($D$2,$B$2,1),0)),"",IFERROR(SUMIFS(DATA_GOC!$H:$H,DATA_GOC!$A:$A,"BOM",DATA_GOC!$D:$D,$B258,DATA_GOC!$E:$E,"Dầu động cơ",DATA_GOC!$F:$F,"Xuất nội bộ từ téc",DATA_GOC!$B:$B,DATE($D$2,$B$2,X$4)),0))</f>
        <v>0</v>
      </c>
      <c r="Y258" s="251">
        <f>IF(Y$4&gt;DAY(EOMONTH(DATE($D$2,$B$2,1),0)),"",IFERROR(SUMIFS(DATA_GOC!$H:$H,DATA_GOC!$A:$A,"BOM",DATA_GOC!$D:$D,$B258,DATA_GOC!$E:$E,"Dầu động cơ",DATA_GOC!$F:$F,"Xuất nội bộ từ téc",DATA_GOC!$B:$B,DATE($D$2,$B$2,Y$4)),0))</f>
        <v>0</v>
      </c>
      <c r="Z258" s="251">
        <f>IF(Z$4&gt;DAY(EOMONTH(DATE($D$2,$B$2,1),0)),"",IFERROR(SUMIFS(DATA_GOC!$H:$H,DATA_GOC!$A:$A,"BOM",DATA_GOC!$D:$D,$B258,DATA_GOC!$E:$E,"Dầu động cơ",DATA_GOC!$F:$F,"Xuất nội bộ từ téc",DATA_GOC!$B:$B,DATE($D$2,$B$2,Z$4)),0))</f>
        <v>0</v>
      </c>
      <c r="AA258" s="251">
        <f>IF(AA$4&gt;DAY(EOMONTH(DATE($D$2,$B$2,1),0)),"",IFERROR(SUMIFS(DATA_GOC!$H:$H,DATA_GOC!$A:$A,"BOM",DATA_GOC!$D:$D,$B258,DATA_GOC!$E:$E,"Dầu động cơ",DATA_GOC!$F:$F,"Xuất nội bộ từ téc",DATA_GOC!$B:$B,DATE($D$2,$B$2,AA$4)),0))</f>
        <v>0</v>
      </c>
      <c r="AB258" s="251">
        <f>IF(AB$4&gt;DAY(EOMONTH(DATE($D$2,$B$2,1),0)),"",IFERROR(SUMIFS(DATA_GOC!$H:$H,DATA_GOC!$A:$A,"BOM",DATA_GOC!$D:$D,$B258,DATA_GOC!$E:$E,"Dầu động cơ",DATA_GOC!$F:$F,"Xuất nội bộ từ téc",DATA_GOC!$B:$B,DATE($D$2,$B$2,AB$4)),0))</f>
        <v>0</v>
      </c>
      <c r="AC258" s="251">
        <f>IF(AC$4&gt;DAY(EOMONTH(DATE($D$2,$B$2,1),0)),"",IFERROR(SUMIFS(DATA_GOC!$H:$H,DATA_GOC!$A:$A,"BOM",DATA_GOC!$D:$D,$B258,DATA_GOC!$E:$E,"Dầu động cơ",DATA_GOC!$F:$F,"Xuất nội bộ từ téc",DATA_GOC!$B:$B,DATE($D$2,$B$2,AC$4)),0))</f>
        <v>0</v>
      </c>
      <c r="AD258" s="251">
        <f>IF(AD$4&gt;DAY(EOMONTH(DATE($D$2,$B$2,1),0)),"",IFERROR(SUMIFS(DATA_GOC!$H:$H,DATA_GOC!$A:$A,"BOM",DATA_GOC!$D:$D,$B258,DATA_GOC!$E:$E,"Dầu động cơ",DATA_GOC!$F:$F,"Xuất nội bộ từ téc",DATA_GOC!$B:$B,DATE($D$2,$B$2,AD$4)),0))</f>
        <v>0</v>
      </c>
      <c r="AE258" s="251">
        <f>IF(AE$4&gt;DAY(EOMONTH(DATE($D$2,$B$2,1),0)),"",IFERROR(SUMIFS(DATA_GOC!$H:$H,DATA_GOC!$A:$A,"BOM",DATA_GOC!$D:$D,$B258,DATA_GOC!$E:$E,"Dầu động cơ",DATA_GOC!$F:$F,"Xuất nội bộ từ téc",DATA_GOC!$B:$B,DATE($D$2,$B$2,AE$4)),0))</f>
        <v>0</v>
      </c>
      <c r="AF258" s="251">
        <f>IF(AF$4&gt;DAY(EOMONTH(DATE($D$2,$B$2,1),0)),"",IFERROR(SUMIFS(DATA_GOC!$H:$H,DATA_GOC!$A:$A,"BOM",DATA_GOC!$D:$D,$B258,DATA_GOC!$E:$E,"Dầu động cơ",DATA_GOC!$F:$F,"Xuất nội bộ từ téc",DATA_GOC!$B:$B,DATE($D$2,$B$2,AF$4)),0))</f>
        <v>0</v>
      </c>
      <c r="AG258" s="251">
        <f>IF(AG$4&gt;DAY(EOMONTH(DATE($D$2,$B$2,1),0)),"",IFERROR(SUMIFS(DATA_GOC!$H:$H,DATA_GOC!$A:$A,"BOM",DATA_GOC!$D:$D,$B258,DATA_GOC!$E:$E,"Dầu động cơ",DATA_GOC!$F:$F,"Xuất nội bộ từ téc",DATA_GOC!$B:$B,DATE($D$2,$B$2,AG$4)),0))</f>
        <v>0</v>
      </c>
      <c r="AH258" s="252">
        <f t="shared" si="13"/>
        <v>0</v>
      </c>
      <c r="AI258" s="241"/>
      <c r="AJ258" s="242">
        <f>IF($B258="","",SUMIFS(TINH_TEC!$K$233:$K$9232,TINH_TEC!$H$233:$H$9232,$B258,TINH_TEC!$C$233:$C$9232,"Dầu động cơ",TINH_TEC!$F$233:$F$9232,$B$2,TINH_TEC!$G$233:$G$9232,$D$2,TINH_TEC!$B$233:$B$9232,"Đã chốt"))</f>
        <v>0</v>
      </c>
      <c r="AK258" s="242">
        <f>IF($B258="","",SUMIFS(TINH_TEC!$J$233:$J$9232,TINH_TEC!$H$233:$H$9232,$B258,TINH_TEC!$C$233:$C$9232,"Dầu động cơ",TINH_TEC!$F$233:$F$9232,$B$2,TINH_TEC!$G$233:$G$9232,$D$2,TINH_TEC!$B$233:$B$9232,"Đã chốt"))</f>
        <v>0</v>
      </c>
      <c r="AL258" s="242">
        <f t="shared" si="14"/>
        <v>0</v>
      </c>
    </row>
    <row r="259" ht="15.75" customHeight="1">
      <c r="A259" s="237">
        <f>IF($B259&lt;&gt;"",10,"")</f>
        <v>10</v>
      </c>
      <c r="B259" s="250" t="str">
        <f t="array" ref="B259">IFERROR(INDEX(DANH_MUC!$E:$E,13),"")</f>
        <v>28C01743</v>
      </c>
      <c r="C259" s="251">
        <f>IF(C$4&gt;DAY(EOMONTH(DATE($D$2,$B$2,1),0)),"",IFERROR(SUMIFS(DATA_GOC!$H:$H,DATA_GOC!$A:$A,"BOM",DATA_GOC!$D:$D,$B259,DATA_GOC!$E:$E,"Dầu động cơ",DATA_GOC!$F:$F,"Xuất nội bộ từ téc",DATA_GOC!$B:$B,DATE($D$2,$B$2,C$4)),0))</f>
        <v>0</v>
      </c>
      <c r="D259" s="251">
        <f>IF(D$4&gt;DAY(EOMONTH(DATE($D$2,$B$2,1),0)),"",IFERROR(SUMIFS(DATA_GOC!$H:$H,DATA_GOC!$A:$A,"BOM",DATA_GOC!$D:$D,$B259,DATA_GOC!$E:$E,"Dầu động cơ",DATA_GOC!$F:$F,"Xuất nội bộ từ téc",DATA_GOC!$B:$B,DATE($D$2,$B$2,D$4)),0))</f>
        <v>0</v>
      </c>
      <c r="E259" s="251">
        <f>IF(E$4&gt;DAY(EOMONTH(DATE($D$2,$B$2,1),0)),"",IFERROR(SUMIFS(DATA_GOC!$H:$H,DATA_GOC!$A:$A,"BOM",DATA_GOC!$D:$D,$B259,DATA_GOC!$E:$E,"Dầu động cơ",DATA_GOC!$F:$F,"Xuất nội bộ từ téc",DATA_GOC!$B:$B,DATE($D$2,$B$2,E$4)),0))</f>
        <v>0</v>
      </c>
      <c r="F259" s="251">
        <f>IF(F$4&gt;DAY(EOMONTH(DATE($D$2,$B$2,1),0)),"",IFERROR(SUMIFS(DATA_GOC!$H:$H,DATA_GOC!$A:$A,"BOM",DATA_GOC!$D:$D,$B259,DATA_GOC!$E:$E,"Dầu động cơ",DATA_GOC!$F:$F,"Xuất nội bộ từ téc",DATA_GOC!$B:$B,DATE($D$2,$B$2,F$4)),0))</f>
        <v>0</v>
      </c>
      <c r="G259" s="251">
        <f>IF(G$4&gt;DAY(EOMONTH(DATE($D$2,$B$2,1),0)),"",IFERROR(SUMIFS(DATA_GOC!$H:$H,DATA_GOC!$A:$A,"BOM",DATA_GOC!$D:$D,$B259,DATA_GOC!$E:$E,"Dầu động cơ",DATA_GOC!$F:$F,"Xuất nội bộ từ téc",DATA_GOC!$B:$B,DATE($D$2,$B$2,G$4)),0))</f>
        <v>0</v>
      </c>
      <c r="H259" s="251">
        <f>IF(H$4&gt;DAY(EOMONTH(DATE($D$2,$B$2,1),0)),"",IFERROR(SUMIFS(DATA_GOC!$H:$H,DATA_GOC!$A:$A,"BOM",DATA_GOC!$D:$D,$B259,DATA_GOC!$E:$E,"Dầu động cơ",DATA_GOC!$F:$F,"Xuất nội bộ từ téc",DATA_GOC!$B:$B,DATE($D$2,$B$2,H$4)),0))</f>
        <v>0</v>
      </c>
      <c r="I259" s="251">
        <f>IF(I$4&gt;DAY(EOMONTH(DATE($D$2,$B$2,1),0)),"",IFERROR(SUMIFS(DATA_GOC!$H:$H,DATA_GOC!$A:$A,"BOM",DATA_GOC!$D:$D,$B259,DATA_GOC!$E:$E,"Dầu động cơ",DATA_GOC!$F:$F,"Xuất nội bộ từ téc",DATA_GOC!$B:$B,DATE($D$2,$B$2,I$4)),0))</f>
        <v>0</v>
      </c>
      <c r="J259" s="251">
        <f>IF(J$4&gt;DAY(EOMONTH(DATE($D$2,$B$2,1),0)),"",IFERROR(SUMIFS(DATA_GOC!$H:$H,DATA_GOC!$A:$A,"BOM",DATA_GOC!$D:$D,$B259,DATA_GOC!$E:$E,"Dầu động cơ",DATA_GOC!$F:$F,"Xuất nội bộ từ téc",DATA_GOC!$B:$B,DATE($D$2,$B$2,J$4)),0))</f>
        <v>0</v>
      </c>
      <c r="K259" s="251">
        <f>IF(K$4&gt;DAY(EOMONTH(DATE($D$2,$B$2,1),0)),"",IFERROR(SUMIFS(DATA_GOC!$H:$H,DATA_GOC!$A:$A,"BOM",DATA_GOC!$D:$D,$B259,DATA_GOC!$E:$E,"Dầu động cơ",DATA_GOC!$F:$F,"Xuất nội bộ từ téc",DATA_GOC!$B:$B,DATE($D$2,$B$2,K$4)),0))</f>
        <v>0</v>
      </c>
      <c r="L259" s="251">
        <f>IF(L$4&gt;DAY(EOMONTH(DATE($D$2,$B$2,1),0)),"",IFERROR(SUMIFS(DATA_GOC!$H:$H,DATA_GOC!$A:$A,"BOM",DATA_GOC!$D:$D,$B259,DATA_GOC!$E:$E,"Dầu động cơ",DATA_GOC!$F:$F,"Xuất nội bộ từ téc",DATA_GOC!$B:$B,DATE($D$2,$B$2,L$4)),0))</f>
        <v>0</v>
      </c>
      <c r="M259" s="251">
        <f>IF(M$4&gt;DAY(EOMONTH(DATE($D$2,$B$2,1),0)),"",IFERROR(SUMIFS(DATA_GOC!$H:$H,DATA_GOC!$A:$A,"BOM",DATA_GOC!$D:$D,$B259,DATA_GOC!$E:$E,"Dầu động cơ",DATA_GOC!$F:$F,"Xuất nội bộ từ téc",DATA_GOC!$B:$B,DATE($D$2,$B$2,M$4)),0))</f>
        <v>0</v>
      </c>
      <c r="N259" s="251">
        <f>IF(N$4&gt;DAY(EOMONTH(DATE($D$2,$B$2,1),0)),"",IFERROR(SUMIFS(DATA_GOC!$H:$H,DATA_GOC!$A:$A,"BOM",DATA_GOC!$D:$D,$B259,DATA_GOC!$E:$E,"Dầu động cơ",DATA_GOC!$F:$F,"Xuất nội bộ từ téc",DATA_GOC!$B:$B,DATE($D$2,$B$2,N$4)),0))</f>
        <v>0</v>
      </c>
      <c r="O259" s="251">
        <f>IF(O$4&gt;DAY(EOMONTH(DATE($D$2,$B$2,1),0)),"",IFERROR(SUMIFS(DATA_GOC!$H:$H,DATA_GOC!$A:$A,"BOM",DATA_GOC!$D:$D,$B259,DATA_GOC!$E:$E,"Dầu động cơ",DATA_GOC!$F:$F,"Xuất nội bộ từ téc",DATA_GOC!$B:$B,DATE($D$2,$B$2,O$4)),0))</f>
        <v>0</v>
      </c>
      <c r="P259" s="251">
        <f>IF(P$4&gt;DAY(EOMONTH(DATE($D$2,$B$2,1),0)),"",IFERROR(SUMIFS(DATA_GOC!$H:$H,DATA_GOC!$A:$A,"BOM",DATA_GOC!$D:$D,$B259,DATA_GOC!$E:$E,"Dầu động cơ",DATA_GOC!$F:$F,"Xuất nội bộ từ téc",DATA_GOC!$B:$B,DATE($D$2,$B$2,P$4)),0))</f>
        <v>0</v>
      </c>
      <c r="Q259" s="251">
        <f>IF(Q$4&gt;DAY(EOMONTH(DATE($D$2,$B$2,1),0)),"",IFERROR(SUMIFS(DATA_GOC!$H:$H,DATA_GOC!$A:$A,"BOM",DATA_GOC!$D:$D,$B259,DATA_GOC!$E:$E,"Dầu động cơ",DATA_GOC!$F:$F,"Xuất nội bộ từ téc",DATA_GOC!$B:$B,DATE($D$2,$B$2,Q$4)),0))</f>
        <v>0</v>
      </c>
      <c r="R259" s="251">
        <f>IF(R$4&gt;DAY(EOMONTH(DATE($D$2,$B$2,1),0)),"",IFERROR(SUMIFS(DATA_GOC!$H:$H,DATA_GOC!$A:$A,"BOM",DATA_GOC!$D:$D,$B259,DATA_GOC!$E:$E,"Dầu động cơ",DATA_GOC!$F:$F,"Xuất nội bộ từ téc",DATA_GOC!$B:$B,DATE($D$2,$B$2,R$4)),0))</f>
        <v>0</v>
      </c>
      <c r="S259" s="251">
        <f>IF(S$4&gt;DAY(EOMONTH(DATE($D$2,$B$2,1),0)),"",IFERROR(SUMIFS(DATA_GOC!$H:$H,DATA_GOC!$A:$A,"BOM",DATA_GOC!$D:$D,$B259,DATA_GOC!$E:$E,"Dầu động cơ",DATA_GOC!$F:$F,"Xuất nội bộ từ téc",DATA_GOC!$B:$B,DATE($D$2,$B$2,S$4)),0))</f>
        <v>0</v>
      </c>
      <c r="T259" s="251">
        <f>IF(T$4&gt;DAY(EOMONTH(DATE($D$2,$B$2,1),0)),"",IFERROR(SUMIFS(DATA_GOC!$H:$H,DATA_GOC!$A:$A,"BOM",DATA_GOC!$D:$D,$B259,DATA_GOC!$E:$E,"Dầu động cơ",DATA_GOC!$F:$F,"Xuất nội bộ từ téc",DATA_GOC!$B:$B,DATE($D$2,$B$2,T$4)),0))</f>
        <v>0</v>
      </c>
      <c r="U259" s="251">
        <f>IF(U$4&gt;DAY(EOMONTH(DATE($D$2,$B$2,1),0)),"",IFERROR(SUMIFS(DATA_GOC!$H:$H,DATA_GOC!$A:$A,"BOM",DATA_GOC!$D:$D,$B259,DATA_GOC!$E:$E,"Dầu động cơ",DATA_GOC!$F:$F,"Xuất nội bộ từ téc",DATA_GOC!$B:$B,DATE($D$2,$B$2,U$4)),0))</f>
        <v>0</v>
      </c>
      <c r="V259" s="251">
        <f>IF(V$4&gt;DAY(EOMONTH(DATE($D$2,$B$2,1),0)),"",IFERROR(SUMIFS(DATA_GOC!$H:$H,DATA_GOC!$A:$A,"BOM",DATA_GOC!$D:$D,$B259,DATA_GOC!$E:$E,"Dầu động cơ",DATA_GOC!$F:$F,"Xuất nội bộ từ téc",DATA_GOC!$B:$B,DATE($D$2,$B$2,V$4)),0))</f>
        <v>0</v>
      </c>
      <c r="W259" s="251">
        <f>IF(W$4&gt;DAY(EOMONTH(DATE($D$2,$B$2,1),0)),"",IFERROR(SUMIFS(DATA_GOC!$H:$H,DATA_GOC!$A:$A,"BOM",DATA_GOC!$D:$D,$B259,DATA_GOC!$E:$E,"Dầu động cơ",DATA_GOC!$F:$F,"Xuất nội bộ từ téc",DATA_GOC!$B:$B,DATE($D$2,$B$2,W$4)),0))</f>
        <v>0</v>
      </c>
      <c r="X259" s="251">
        <f>IF(X$4&gt;DAY(EOMONTH(DATE($D$2,$B$2,1),0)),"",IFERROR(SUMIFS(DATA_GOC!$H:$H,DATA_GOC!$A:$A,"BOM",DATA_GOC!$D:$D,$B259,DATA_GOC!$E:$E,"Dầu động cơ",DATA_GOC!$F:$F,"Xuất nội bộ từ téc",DATA_GOC!$B:$B,DATE($D$2,$B$2,X$4)),0))</f>
        <v>0</v>
      </c>
      <c r="Y259" s="251">
        <f>IF(Y$4&gt;DAY(EOMONTH(DATE($D$2,$B$2,1),0)),"",IFERROR(SUMIFS(DATA_GOC!$H:$H,DATA_GOC!$A:$A,"BOM",DATA_GOC!$D:$D,$B259,DATA_GOC!$E:$E,"Dầu động cơ",DATA_GOC!$F:$F,"Xuất nội bộ từ téc",DATA_GOC!$B:$B,DATE($D$2,$B$2,Y$4)),0))</f>
        <v>0</v>
      </c>
      <c r="Z259" s="251">
        <f>IF(Z$4&gt;DAY(EOMONTH(DATE($D$2,$B$2,1),0)),"",IFERROR(SUMIFS(DATA_GOC!$H:$H,DATA_GOC!$A:$A,"BOM",DATA_GOC!$D:$D,$B259,DATA_GOC!$E:$E,"Dầu động cơ",DATA_GOC!$F:$F,"Xuất nội bộ từ téc",DATA_GOC!$B:$B,DATE($D$2,$B$2,Z$4)),0))</f>
        <v>0</v>
      </c>
      <c r="AA259" s="251">
        <f>IF(AA$4&gt;DAY(EOMONTH(DATE($D$2,$B$2,1),0)),"",IFERROR(SUMIFS(DATA_GOC!$H:$H,DATA_GOC!$A:$A,"BOM",DATA_GOC!$D:$D,$B259,DATA_GOC!$E:$E,"Dầu động cơ",DATA_GOC!$F:$F,"Xuất nội bộ từ téc",DATA_GOC!$B:$B,DATE($D$2,$B$2,AA$4)),0))</f>
        <v>0</v>
      </c>
      <c r="AB259" s="251">
        <f>IF(AB$4&gt;DAY(EOMONTH(DATE($D$2,$B$2,1),0)),"",IFERROR(SUMIFS(DATA_GOC!$H:$H,DATA_GOC!$A:$A,"BOM",DATA_GOC!$D:$D,$B259,DATA_GOC!$E:$E,"Dầu động cơ",DATA_GOC!$F:$F,"Xuất nội bộ từ téc",DATA_GOC!$B:$B,DATE($D$2,$B$2,AB$4)),0))</f>
        <v>0</v>
      </c>
      <c r="AC259" s="251">
        <f>IF(AC$4&gt;DAY(EOMONTH(DATE($D$2,$B$2,1),0)),"",IFERROR(SUMIFS(DATA_GOC!$H:$H,DATA_GOC!$A:$A,"BOM",DATA_GOC!$D:$D,$B259,DATA_GOC!$E:$E,"Dầu động cơ",DATA_GOC!$F:$F,"Xuất nội bộ từ téc",DATA_GOC!$B:$B,DATE($D$2,$B$2,AC$4)),0))</f>
        <v>0</v>
      </c>
      <c r="AD259" s="251">
        <f>IF(AD$4&gt;DAY(EOMONTH(DATE($D$2,$B$2,1),0)),"",IFERROR(SUMIFS(DATA_GOC!$H:$H,DATA_GOC!$A:$A,"BOM",DATA_GOC!$D:$D,$B259,DATA_GOC!$E:$E,"Dầu động cơ",DATA_GOC!$F:$F,"Xuất nội bộ từ téc",DATA_GOC!$B:$B,DATE($D$2,$B$2,AD$4)),0))</f>
        <v>0</v>
      </c>
      <c r="AE259" s="251">
        <f>IF(AE$4&gt;DAY(EOMONTH(DATE($D$2,$B$2,1),0)),"",IFERROR(SUMIFS(DATA_GOC!$H:$H,DATA_GOC!$A:$A,"BOM",DATA_GOC!$D:$D,$B259,DATA_GOC!$E:$E,"Dầu động cơ",DATA_GOC!$F:$F,"Xuất nội bộ từ téc",DATA_GOC!$B:$B,DATE($D$2,$B$2,AE$4)),0))</f>
        <v>0</v>
      </c>
      <c r="AF259" s="251">
        <f>IF(AF$4&gt;DAY(EOMONTH(DATE($D$2,$B$2,1),0)),"",IFERROR(SUMIFS(DATA_GOC!$H:$H,DATA_GOC!$A:$A,"BOM",DATA_GOC!$D:$D,$B259,DATA_GOC!$E:$E,"Dầu động cơ",DATA_GOC!$F:$F,"Xuất nội bộ từ téc",DATA_GOC!$B:$B,DATE($D$2,$B$2,AF$4)),0))</f>
        <v>0</v>
      </c>
      <c r="AG259" s="251">
        <f>IF(AG$4&gt;DAY(EOMONTH(DATE($D$2,$B$2,1),0)),"",IFERROR(SUMIFS(DATA_GOC!$H:$H,DATA_GOC!$A:$A,"BOM",DATA_GOC!$D:$D,$B259,DATA_GOC!$E:$E,"Dầu động cơ",DATA_GOC!$F:$F,"Xuất nội bộ từ téc",DATA_GOC!$B:$B,DATE($D$2,$B$2,AG$4)),0))</f>
        <v>0</v>
      </c>
      <c r="AH259" s="252">
        <f t="shared" si="13"/>
        <v>0</v>
      </c>
      <c r="AI259" s="241"/>
      <c r="AJ259" s="242">
        <f>IF($B259="","",SUMIFS(TINH_TEC!$K$233:$K$9232,TINH_TEC!$H$233:$H$9232,$B259,TINH_TEC!$C$233:$C$9232,"Dầu động cơ",TINH_TEC!$F$233:$F$9232,$B$2,TINH_TEC!$G$233:$G$9232,$D$2,TINH_TEC!$B$233:$B$9232,"Đã chốt"))</f>
        <v>0</v>
      </c>
      <c r="AK259" s="242">
        <f>IF($B259="","",SUMIFS(TINH_TEC!$J$233:$J$9232,TINH_TEC!$H$233:$H$9232,$B259,TINH_TEC!$C$233:$C$9232,"Dầu động cơ",TINH_TEC!$F$233:$F$9232,$B$2,TINH_TEC!$G$233:$G$9232,$D$2,TINH_TEC!$B$233:$B$9232,"Đã chốt"))</f>
        <v>0</v>
      </c>
      <c r="AL259" s="242">
        <f t="shared" si="14"/>
        <v>0</v>
      </c>
    </row>
    <row r="260" ht="15.75" customHeight="1">
      <c r="A260" s="237">
        <f>IF($B260&lt;&gt;"",11,"")</f>
        <v>11</v>
      </c>
      <c r="B260" s="250" t="str">
        <f t="array" ref="B260">IFERROR(INDEX(DANH_MUC!$E:$E,14),"")</f>
        <v>28C02106</v>
      </c>
      <c r="C260" s="251">
        <f>IF(C$4&gt;DAY(EOMONTH(DATE($D$2,$B$2,1),0)),"",IFERROR(SUMIFS(DATA_GOC!$H:$H,DATA_GOC!$A:$A,"BOM",DATA_GOC!$D:$D,$B260,DATA_GOC!$E:$E,"Dầu động cơ",DATA_GOC!$F:$F,"Xuất nội bộ từ téc",DATA_GOC!$B:$B,DATE($D$2,$B$2,C$4)),0))</f>
        <v>0</v>
      </c>
      <c r="D260" s="251">
        <f>IF(D$4&gt;DAY(EOMONTH(DATE($D$2,$B$2,1),0)),"",IFERROR(SUMIFS(DATA_GOC!$H:$H,DATA_GOC!$A:$A,"BOM",DATA_GOC!$D:$D,$B260,DATA_GOC!$E:$E,"Dầu động cơ",DATA_GOC!$F:$F,"Xuất nội bộ từ téc",DATA_GOC!$B:$B,DATE($D$2,$B$2,D$4)),0))</f>
        <v>0</v>
      </c>
      <c r="E260" s="251">
        <f>IF(E$4&gt;DAY(EOMONTH(DATE($D$2,$B$2,1),0)),"",IFERROR(SUMIFS(DATA_GOC!$H:$H,DATA_GOC!$A:$A,"BOM",DATA_GOC!$D:$D,$B260,DATA_GOC!$E:$E,"Dầu động cơ",DATA_GOC!$F:$F,"Xuất nội bộ từ téc",DATA_GOC!$B:$B,DATE($D$2,$B$2,E$4)),0))</f>
        <v>0</v>
      </c>
      <c r="F260" s="251">
        <f>IF(F$4&gt;DAY(EOMONTH(DATE($D$2,$B$2,1),0)),"",IFERROR(SUMIFS(DATA_GOC!$H:$H,DATA_GOC!$A:$A,"BOM",DATA_GOC!$D:$D,$B260,DATA_GOC!$E:$E,"Dầu động cơ",DATA_GOC!$F:$F,"Xuất nội bộ từ téc",DATA_GOC!$B:$B,DATE($D$2,$B$2,F$4)),0))</f>
        <v>0</v>
      </c>
      <c r="G260" s="251">
        <f>IF(G$4&gt;DAY(EOMONTH(DATE($D$2,$B$2,1),0)),"",IFERROR(SUMIFS(DATA_GOC!$H:$H,DATA_GOC!$A:$A,"BOM",DATA_GOC!$D:$D,$B260,DATA_GOC!$E:$E,"Dầu động cơ",DATA_GOC!$F:$F,"Xuất nội bộ từ téc",DATA_GOC!$B:$B,DATE($D$2,$B$2,G$4)),0))</f>
        <v>0</v>
      </c>
      <c r="H260" s="251">
        <f>IF(H$4&gt;DAY(EOMONTH(DATE($D$2,$B$2,1),0)),"",IFERROR(SUMIFS(DATA_GOC!$H:$H,DATA_GOC!$A:$A,"BOM",DATA_GOC!$D:$D,$B260,DATA_GOC!$E:$E,"Dầu động cơ",DATA_GOC!$F:$F,"Xuất nội bộ từ téc",DATA_GOC!$B:$B,DATE($D$2,$B$2,H$4)),0))</f>
        <v>0</v>
      </c>
      <c r="I260" s="251">
        <f>IF(I$4&gt;DAY(EOMONTH(DATE($D$2,$B$2,1),0)),"",IFERROR(SUMIFS(DATA_GOC!$H:$H,DATA_GOC!$A:$A,"BOM",DATA_GOC!$D:$D,$B260,DATA_GOC!$E:$E,"Dầu động cơ",DATA_GOC!$F:$F,"Xuất nội bộ từ téc",DATA_GOC!$B:$B,DATE($D$2,$B$2,I$4)),0))</f>
        <v>0</v>
      </c>
      <c r="J260" s="251">
        <f>IF(J$4&gt;DAY(EOMONTH(DATE($D$2,$B$2,1),0)),"",IFERROR(SUMIFS(DATA_GOC!$H:$H,DATA_GOC!$A:$A,"BOM",DATA_GOC!$D:$D,$B260,DATA_GOC!$E:$E,"Dầu động cơ",DATA_GOC!$F:$F,"Xuất nội bộ từ téc",DATA_GOC!$B:$B,DATE($D$2,$B$2,J$4)),0))</f>
        <v>0</v>
      </c>
      <c r="K260" s="251">
        <f>IF(K$4&gt;DAY(EOMONTH(DATE($D$2,$B$2,1),0)),"",IFERROR(SUMIFS(DATA_GOC!$H:$H,DATA_GOC!$A:$A,"BOM",DATA_GOC!$D:$D,$B260,DATA_GOC!$E:$E,"Dầu động cơ",DATA_GOC!$F:$F,"Xuất nội bộ từ téc",DATA_GOC!$B:$B,DATE($D$2,$B$2,K$4)),0))</f>
        <v>0</v>
      </c>
      <c r="L260" s="251">
        <f>IF(L$4&gt;DAY(EOMONTH(DATE($D$2,$B$2,1),0)),"",IFERROR(SUMIFS(DATA_GOC!$H:$H,DATA_GOC!$A:$A,"BOM",DATA_GOC!$D:$D,$B260,DATA_GOC!$E:$E,"Dầu động cơ",DATA_GOC!$F:$F,"Xuất nội bộ từ téc",DATA_GOC!$B:$B,DATE($D$2,$B$2,L$4)),0))</f>
        <v>0</v>
      </c>
      <c r="M260" s="251">
        <f>IF(M$4&gt;DAY(EOMONTH(DATE($D$2,$B$2,1),0)),"",IFERROR(SUMIFS(DATA_GOC!$H:$H,DATA_GOC!$A:$A,"BOM",DATA_GOC!$D:$D,$B260,DATA_GOC!$E:$E,"Dầu động cơ",DATA_GOC!$F:$F,"Xuất nội bộ từ téc",DATA_GOC!$B:$B,DATE($D$2,$B$2,M$4)),0))</f>
        <v>0</v>
      </c>
      <c r="N260" s="251">
        <f>IF(N$4&gt;DAY(EOMONTH(DATE($D$2,$B$2,1),0)),"",IFERROR(SUMIFS(DATA_GOC!$H:$H,DATA_GOC!$A:$A,"BOM",DATA_GOC!$D:$D,$B260,DATA_GOC!$E:$E,"Dầu động cơ",DATA_GOC!$F:$F,"Xuất nội bộ từ téc",DATA_GOC!$B:$B,DATE($D$2,$B$2,N$4)),0))</f>
        <v>0</v>
      </c>
      <c r="O260" s="251">
        <f>IF(O$4&gt;DAY(EOMONTH(DATE($D$2,$B$2,1),0)),"",IFERROR(SUMIFS(DATA_GOC!$H:$H,DATA_GOC!$A:$A,"BOM",DATA_GOC!$D:$D,$B260,DATA_GOC!$E:$E,"Dầu động cơ",DATA_GOC!$F:$F,"Xuất nội bộ từ téc",DATA_GOC!$B:$B,DATE($D$2,$B$2,O$4)),0))</f>
        <v>0</v>
      </c>
      <c r="P260" s="251">
        <f>IF(P$4&gt;DAY(EOMONTH(DATE($D$2,$B$2,1),0)),"",IFERROR(SUMIFS(DATA_GOC!$H:$H,DATA_GOC!$A:$A,"BOM",DATA_GOC!$D:$D,$B260,DATA_GOC!$E:$E,"Dầu động cơ",DATA_GOC!$F:$F,"Xuất nội bộ từ téc",DATA_GOC!$B:$B,DATE($D$2,$B$2,P$4)),0))</f>
        <v>0</v>
      </c>
      <c r="Q260" s="251">
        <f>IF(Q$4&gt;DAY(EOMONTH(DATE($D$2,$B$2,1),0)),"",IFERROR(SUMIFS(DATA_GOC!$H:$H,DATA_GOC!$A:$A,"BOM",DATA_GOC!$D:$D,$B260,DATA_GOC!$E:$E,"Dầu động cơ",DATA_GOC!$F:$F,"Xuất nội bộ từ téc",DATA_GOC!$B:$B,DATE($D$2,$B$2,Q$4)),0))</f>
        <v>0</v>
      </c>
      <c r="R260" s="251">
        <f>IF(R$4&gt;DAY(EOMONTH(DATE($D$2,$B$2,1),0)),"",IFERROR(SUMIFS(DATA_GOC!$H:$H,DATA_GOC!$A:$A,"BOM",DATA_GOC!$D:$D,$B260,DATA_GOC!$E:$E,"Dầu động cơ",DATA_GOC!$F:$F,"Xuất nội bộ từ téc",DATA_GOC!$B:$B,DATE($D$2,$B$2,R$4)),0))</f>
        <v>0</v>
      </c>
      <c r="S260" s="251">
        <f>IF(S$4&gt;DAY(EOMONTH(DATE($D$2,$B$2,1),0)),"",IFERROR(SUMIFS(DATA_GOC!$H:$H,DATA_GOC!$A:$A,"BOM",DATA_GOC!$D:$D,$B260,DATA_GOC!$E:$E,"Dầu động cơ",DATA_GOC!$F:$F,"Xuất nội bộ từ téc",DATA_GOC!$B:$B,DATE($D$2,$B$2,S$4)),0))</f>
        <v>0</v>
      </c>
      <c r="T260" s="251">
        <f>IF(T$4&gt;DAY(EOMONTH(DATE($D$2,$B$2,1),0)),"",IFERROR(SUMIFS(DATA_GOC!$H:$H,DATA_GOC!$A:$A,"BOM",DATA_GOC!$D:$D,$B260,DATA_GOC!$E:$E,"Dầu động cơ",DATA_GOC!$F:$F,"Xuất nội bộ từ téc",DATA_GOC!$B:$B,DATE($D$2,$B$2,T$4)),0))</f>
        <v>0</v>
      </c>
      <c r="U260" s="251">
        <f>IF(U$4&gt;DAY(EOMONTH(DATE($D$2,$B$2,1),0)),"",IFERROR(SUMIFS(DATA_GOC!$H:$H,DATA_GOC!$A:$A,"BOM",DATA_GOC!$D:$D,$B260,DATA_GOC!$E:$E,"Dầu động cơ",DATA_GOC!$F:$F,"Xuất nội bộ từ téc",DATA_GOC!$B:$B,DATE($D$2,$B$2,U$4)),0))</f>
        <v>0</v>
      </c>
      <c r="V260" s="251">
        <f>IF(V$4&gt;DAY(EOMONTH(DATE($D$2,$B$2,1),0)),"",IFERROR(SUMIFS(DATA_GOC!$H:$H,DATA_GOC!$A:$A,"BOM",DATA_GOC!$D:$D,$B260,DATA_GOC!$E:$E,"Dầu động cơ",DATA_GOC!$F:$F,"Xuất nội bộ từ téc",DATA_GOC!$B:$B,DATE($D$2,$B$2,V$4)),0))</f>
        <v>0</v>
      </c>
      <c r="W260" s="251">
        <f>IF(W$4&gt;DAY(EOMONTH(DATE($D$2,$B$2,1),0)),"",IFERROR(SUMIFS(DATA_GOC!$H:$H,DATA_GOC!$A:$A,"BOM",DATA_GOC!$D:$D,$B260,DATA_GOC!$E:$E,"Dầu động cơ",DATA_GOC!$F:$F,"Xuất nội bộ từ téc",DATA_GOC!$B:$B,DATE($D$2,$B$2,W$4)),0))</f>
        <v>0</v>
      </c>
      <c r="X260" s="251">
        <f>IF(X$4&gt;DAY(EOMONTH(DATE($D$2,$B$2,1),0)),"",IFERROR(SUMIFS(DATA_GOC!$H:$H,DATA_GOC!$A:$A,"BOM",DATA_GOC!$D:$D,$B260,DATA_GOC!$E:$E,"Dầu động cơ",DATA_GOC!$F:$F,"Xuất nội bộ từ téc",DATA_GOC!$B:$B,DATE($D$2,$B$2,X$4)),0))</f>
        <v>0</v>
      </c>
      <c r="Y260" s="251">
        <f>IF(Y$4&gt;DAY(EOMONTH(DATE($D$2,$B$2,1),0)),"",IFERROR(SUMIFS(DATA_GOC!$H:$H,DATA_GOC!$A:$A,"BOM",DATA_GOC!$D:$D,$B260,DATA_GOC!$E:$E,"Dầu động cơ",DATA_GOC!$F:$F,"Xuất nội bộ từ téc",DATA_GOC!$B:$B,DATE($D$2,$B$2,Y$4)),0))</f>
        <v>0</v>
      </c>
      <c r="Z260" s="251">
        <f>IF(Z$4&gt;DAY(EOMONTH(DATE($D$2,$B$2,1),0)),"",IFERROR(SUMIFS(DATA_GOC!$H:$H,DATA_GOC!$A:$A,"BOM",DATA_GOC!$D:$D,$B260,DATA_GOC!$E:$E,"Dầu động cơ",DATA_GOC!$F:$F,"Xuất nội bộ từ téc",DATA_GOC!$B:$B,DATE($D$2,$B$2,Z$4)),0))</f>
        <v>0</v>
      </c>
      <c r="AA260" s="251">
        <f>IF(AA$4&gt;DAY(EOMONTH(DATE($D$2,$B$2,1),0)),"",IFERROR(SUMIFS(DATA_GOC!$H:$H,DATA_GOC!$A:$A,"BOM",DATA_GOC!$D:$D,$B260,DATA_GOC!$E:$E,"Dầu động cơ",DATA_GOC!$F:$F,"Xuất nội bộ từ téc",DATA_GOC!$B:$B,DATE($D$2,$B$2,AA$4)),0))</f>
        <v>0</v>
      </c>
      <c r="AB260" s="251">
        <f>IF(AB$4&gt;DAY(EOMONTH(DATE($D$2,$B$2,1),0)),"",IFERROR(SUMIFS(DATA_GOC!$H:$H,DATA_GOC!$A:$A,"BOM",DATA_GOC!$D:$D,$B260,DATA_GOC!$E:$E,"Dầu động cơ",DATA_GOC!$F:$F,"Xuất nội bộ từ téc",DATA_GOC!$B:$B,DATE($D$2,$B$2,AB$4)),0))</f>
        <v>0</v>
      </c>
      <c r="AC260" s="251">
        <f>IF(AC$4&gt;DAY(EOMONTH(DATE($D$2,$B$2,1),0)),"",IFERROR(SUMIFS(DATA_GOC!$H:$H,DATA_GOC!$A:$A,"BOM",DATA_GOC!$D:$D,$B260,DATA_GOC!$E:$E,"Dầu động cơ",DATA_GOC!$F:$F,"Xuất nội bộ từ téc",DATA_GOC!$B:$B,DATE($D$2,$B$2,AC$4)),0))</f>
        <v>0</v>
      </c>
      <c r="AD260" s="251">
        <f>IF(AD$4&gt;DAY(EOMONTH(DATE($D$2,$B$2,1),0)),"",IFERROR(SUMIFS(DATA_GOC!$H:$H,DATA_GOC!$A:$A,"BOM",DATA_GOC!$D:$D,$B260,DATA_GOC!$E:$E,"Dầu động cơ",DATA_GOC!$F:$F,"Xuất nội bộ từ téc",DATA_GOC!$B:$B,DATE($D$2,$B$2,AD$4)),0))</f>
        <v>0</v>
      </c>
      <c r="AE260" s="251">
        <f>IF(AE$4&gt;DAY(EOMONTH(DATE($D$2,$B$2,1),0)),"",IFERROR(SUMIFS(DATA_GOC!$H:$H,DATA_GOC!$A:$A,"BOM",DATA_GOC!$D:$D,$B260,DATA_GOC!$E:$E,"Dầu động cơ",DATA_GOC!$F:$F,"Xuất nội bộ từ téc",DATA_GOC!$B:$B,DATE($D$2,$B$2,AE$4)),0))</f>
        <v>0</v>
      </c>
      <c r="AF260" s="251">
        <f>IF(AF$4&gt;DAY(EOMONTH(DATE($D$2,$B$2,1),0)),"",IFERROR(SUMIFS(DATA_GOC!$H:$H,DATA_GOC!$A:$A,"BOM",DATA_GOC!$D:$D,$B260,DATA_GOC!$E:$E,"Dầu động cơ",DATA_GOC!$F:$F,"Xuất nội bộ từ téc",DATA_GOC!$B:$B,DATE($D$2,$B$2,AF$4)),0))</f>
        <v>0</v>
      </c>
      <c r="AG260" s="251">
        <f>IF(AG$4&gt;DAY(EOMONTH(DATE($D$2,$B$2,1),0)),"",IFERROR(SUMIFS(DATA_GOC!$H:$H,DATA_GOC!$A:$A,"BOM",DATA_GOC!$D:$D,$B260,DATA_GOC!$E:$E,"Dầu động cơ",DATA_GOC!$F:$F,"Xuất nội bộ từ téc",DATA_GOC!$B:$B,DATE($D$2,$B$2,AG$4)),0))</f>
        <v>0</v>
      </c>
      <c r="AH260" s="252">
        <f t="shared" si="13"/>
        <v>0</v>
      </c>
      <c r="AI260" s="241"/>
      <c r="AJ260" s="242">
        <f>IF($B260="","",SUMIFS(TINH_TEC!$K$233:$K$9232,TINH_TEC!$H$233:$H$9232,$B260,TINH_TEC!$C$233:$C$9232,"Dầu động cơ",TINH_TEC!$F$233:$F$9232,$B$2,TINH_TEC!$G$233:$G$9232,$D$2,TINH_TEC!$B$233:$B$9232,"Đã chốt"))</f>
        <v>0</v>
      </c>
      <c r="AK260" s="242">
        <f>IF($B260="","",SUMIFS(TINH_TEC!$J$233:$J$9232,TINH_TEC!$H$233:$H$9232,$B260,TINH_TEC!$C$233:$C$9232,"Dầu động cơ",TINH_TEC!$F$233:$F$9232,$B$2,TINH_TEC!$G$233:$G$9232,$D$2,TINH_TEC!$B$233:$B$9232,"Đã chốt"))</f>
        <v>0</v>
      </c>
      <c r="AL260" s="242">
        <f t="shared" si="14"/>
        <v>0</v>
      </c>
    </row>
    <row r="261" ht="15.75" customHeight="1">
      <c r="A261" s="237">
        <f>IF($B261&lt;&gt;"",12,"")</f>
        <v>12</v>
      </c>
      <c r="B261" s="250" t="str">
        <f t="array" ref="B261">IFERROR(INDEX(DANH_MUC!$E:$E,15),"")</f>
        <v>28C02410</v>
      </c>
      <c r="C261" s="251">
        <f>IF(C$4&gt;DAY(EOMONTH(DATE($D$2,$B$2,1),0)),"",IFERROR(SUMIFS(DATA_GOC!$H:$H,DATA_GOC!$A:$A,"BOM",DATA_GOC!$D:$D,$B261,DATA_GOC!$E:$E,"Dầu động cơ",DATA_GOC!$F:$F,"Xuất nội bộ từ téc",DATA_GOC!$B:$B,DATE($D$2,$B$2,C$4)),0))</f>
        <v>0</v>
      </c>
      <c r="D261" s="251">
        <f>IF(D$4&gt;DAY(EOMONTH(DATE($D$2,$B$2,1),0)),"",IFERROR(SUMIFS(DATA_GOC!$H:$H,DATA_GOC!$A:$A,"BOM",DATA_GOC!$D:$D,$B261,DATA_GOC!$E:$E,"Dầu động cơ",DATA_GOC!$F:$F,"Xuất nội bộ từ téc",DATA_GOC!$B:$B,DATE($D$2,$B$2,D$4)),0))</f>
        <v>0</v>
      </c>
      <c r="E261" s="251">
        <f>IF(E$4&gt;DAY(EOMONTH(DATE($D$2,$B$2,1),0)),"",IFERROR(SUMIFS(DATA_GOC!$H:$H,DATA_GOC!$A:$A,"BOM",DATA_GOC!$D:$D,$B261,DATA_GOC!$E:$E,"Dầu động cơ",DATA_GOC!$F:$F,"Xuất nội bộ từ téc",DATA_GOC!$B:$B,DATE($D$2,$B$2,E$4)),0))</f>
        <v>0</v>
      </c>
      <c r="F261" s="251">
        <f>IF(F$4&gt;DAY(EOMONTH(DATE($D$2,$B$2,1),0)),"",IFERROR(SUMIFS(DATA_GOC!$H:$H,DATA_GOC!$A:$A,"BOM",DATA_GOC!$D:$D,$B261,DATA_GOC!$E:$E,"Dầu động cơ",DATA_GOC!$F:$F,"Xuất nội bộ từ téc",DATA_GOC!$B:$B,DATE($D$2,$B$2,F$4)),0))</f>
        <v>0</v>
      </c>
      <c r="G261" s="251">
        <f>IF(G$4&gt;DAY(EOMONTH(DATE($D$2,$B$2,1),0)),"",IFERROR(SUMIFS(DATA_GOC!$H:$H,DATA_GOC!$A:$A,"BOM",DATA_GOC!$D:$D,$B261,DATA_GOC!$E:$E,"Dầu động cơ",DATA_GOC!$F:$F,"Xuất nội bộ từ téc",DATA_GOC!$B:$B,DATE($D$2,$B$2,G$4)),0))</f>
        <v>0</v>
      </c>
      <c r="H261" s="251">
        <f>IF(H$4&gt;DAY(EOMONTH(DATE($D$2,$B$2,1),0)),"",IFERROR(SUMIFS(DATA_GOC!$H:$H,DATA_GOC!$A:$A,"BOM",DATA_GOC!$D:$D,$B261,DATA_GOC!$E:$E,"Dầu động cơ",DATA_GOC!$F:$F,"Xuất nội bộ từ téc",DATA_GOC!$B:$B,DATE($D$2,$B$2,H$4)),0))</f>
        <v>0</v>
      </c>
      <c r="I261" s="251">
        <f>IF(I$4&gt;DAY(EOMONTH(DATE($D$2,$B$2,1),0)),"",IFERROR(SUMIFS(DATA_GOC!$H:$H,DATA_GOC!$A:$A,"BOM",DATA_GOC!$D:$D,$B261,DATA_GOC!$E:$E,"Dầu động cơ",DATA_GOC!$F:$F,"Xuất nội bộ từ téc",DATA_GOC!$B:$B,DATE($D$2,$B$2,I$4)),0))</f>
        <v>0</v>
      </c>
      <c r="J261" s="251">
        <f>IF(J$4&gt;DAY(EOMONTH(DATE($D$2,$B$2,1),0)),"",IFERROR(SUMIFS(DATA_GOC!$H:$H,DATA_GOC!$A:$A,"BOM",DATA_GOC!$D:$D,$B261,DATA_GOC!$E:$E,"Dầu động cơ",DATA_GOC!$F:$F,"Xuất nội bộ từ téc",DATA_GOC!$B:$B,DATE($D$2,$B$2,J$4)),0))</f>
        <v>0</v>
      </c>
      <c r="K261" s="251">
        <f>IF(K$4&gt;DAY(EOMONTH(DATE($D$2,$B$2,1),0)),"",IFERROR(SUMIFS(DATA_GOC!$H:$H,DATA_GOC!$A:$A,"BOM",DATA_GOC!$D:$D,$B261,DATA_GOC!$E:$E,"Dầu động cơ",DATA_GOC!$F:$F,"Xuất nội bộ từ téc",DATA_GOC!$B:$B,DATE($D$2,$B$2,K$4)),0))</f>
        <v>0</v>
      </c>
      <c r="L261" s="251">
        <f>IF(L$4&gt;DAY(EOMONTH(DATE($D$2,$B$2,1),0)),"",IFERROR(SUMIFS(DATA_GOC!$H:$H,DATA_GOC!$A:$A,"BOM",DATA_GOC!$D:$D,$B261,DATA_GOC!$E:$E,"Dầu động cơ",DATA_GOC!$F:$F,"Xuất nội bộ từ téc",DATA_GOC!$B:$B,DATE($D$2,$B$2,L$4)),0))</f>
        <v>0</v>
      </c>
      <c r="M261" s="251">
        <f>IF(M$4&gt;DAY(EOMONTH(DATE($D$2,$B$2,1),0)),"",IFERROR(SUMIFS(DATA_GOC!$H:$H,DATA_GOC!$A:$A,"BOM",DATA_GOC!$D:$D,$B261,DATA_GOC!$E:$E,"Dầu động cơ",DATA_GOC!$F:$F,"Xuất nội bộ từ téc",DATA_GOC!$B:$B,DATE($D$2,$B$2,M$4)),0))</f>
        <v>0</v>
      </c>
      <c r="N261" s="251">
        <f>IF(N$4&gt;DAY(EOMONTH(DATE($D$2,$B$2,1),0)),"",IFERROR(SUMIFS(DATA_GOC!$H:$H,DATA_GOC!$A:$A,"BOM",DATA_GOC!$D:$D,$B261,DATA_GOC!$E:$E,"Dầu động cơ",DATA_GOC!$F:$F,"Xuất nội bộ từ téc",DATA_GOC!$B:$B,DATE($D$2,$B$2,N$4)),0))</f>
        <v>0</v>
      </c>
      <c r="O261" s="251">
        <f>IF(O$4&gt;DAY(EOMONTH(DATE($D$2,$B$2,1),0)),"",IFERROR(SUMIFS(DATA_GOC!$H:$H,DATA_GOC!$A:$A,"BOM",DATA_GOC!$D:$D,$B261,DATA_GOC!$E:$E,"Dầu động cơ",DATA_GOC!$F:$F,"Xuất nội bộ từ téc",DATA_GOC!$B:$B,DATE($D$2,$B$2,O$4)),0))</f>
        <v>0</v>
      </c>
      <c r="P261" s="251">
        <f>IF(P$4&gt;DAY(EOMONTH(DATE($D$2,$B$2,1),0)),"",IFERROR(SUMIFS(DATA_GOC!$H:$H,DATA_GOC!$A:$A,"BOM",DATA_GOC!$D:$D,$B261,DATA_GOC!$E:$E,"Dầu động cơ",DATA_GOC!$F:$F,"Xuất nội bộ từ téc",DATA_GOC!$B:$B,DATE($D$2,$B$2,P$4)),0))</f>
        <v>0</v>
      </c>
      <c r="Q261" s="251">
        <f>IF(Q$4&gt;DAY(EOMONTH(DATE($D$2,$B$2,1),0)),"",IFERROR(SUMIFS(DATA_GOC!$H:$H,DATA_GOC!$A:$A,"BOM",DATA_GOC!$D:$D,$B261,DATA_GOC!$E:$E,"Dầu động cơ",DATA_GOC!$F:$F,"Xuất nội bộ từ téc",DATA_GOC!$B:$B,DATE($D$2,$B$2,Q$4)),0))</f>
        <v>0</v>
      </c>
      <c r="R261" s="251">
        <f>IF(R$4&gt;DAY(EOMONTH(DATE($D$2,$B$2,1),0)),"",IFERROR(SUMIFS(DATA_GOC!$H:$H,DATA_GOC!$A:$A,"BOM",DATA_GOC!$D:$D,$B261,DATA_GOC!$E:$E,"Dầu động cơ",DATA_GOC!$F:$F,"Xuất nội bộ từ téc",DATA_GOC!$B:$B,DATE($D$2,$B$2,R$4)),0))</f>
        <v>0</v>
      </c>
      <c r="S261" s="251">
        <f>IF(S$4&gt;DAY(EOMONTH(DATE($D$2,$B$2,1),0)),"",IFERROR(SUMIFS(DATA_GOC!$H:$H,DATA_GOC!$A:$A,"BOM",DATA_GOC!$D:$D,$B261,DATA_GOC!$E:$E,"Dầu động cơ",DATA_GOC!$F:$F,"Xuất nội bộ từ téc",DATA_GOC!$B:$B,DATE($D$2,$B$2,S$4)),0))</f>
        <v>0</v>
      </c>
      <c r="T261" s="251">
        <f>IF(T$4&gt;DAY(EOMONTH(DATE($D$2,$B$2,1),0)),"",IFERROR(SUMIFS(DATA_GOC!$H:$H,DATA_GOC!$A:$A,"BOM",DATA_GOC!$D:$D,$B261,DATA_GOC!$E:$E,"Dầu động cơ",DATA_GOC!$F:$F,"Xuất nội bộ từ téc",DATA_GOC!$B:$B,DATE($D$2,$B$2,T$4)),0))</f>
        <v>0</v>
      </c>
      <c r="U261" s="251">
        <f>IF(U$4&gt;DAY(EOMONTH(DATE($D$2,$B$2,1),0)),"",IFERROR(SUMIFS(DATA_GOC!$H:$H,DATA_GOC!$A:$A,"BOM",DATA_GOC!$D:$D,$B261,DATA_GOC!$E:$E,"Dầu động cơ",DATA_GOC!$F:$F,"Xuất nội bộ từ téc",DATA_GOC!$B:$B,DATE($D$2,$B$2,U$4)),0))</f>
        <v>0</v>
      </c>
      <c r="V261" s="251">
        <f>IF(V$4&gt;DAY(EOMONTH(DATE($D$2,$B$2,1),0)),"",IFERROR(SUMIFS(DATA_GOC!$H:$H,DATA_GOC!$A:$A,"BOM",DATA_GOC!$D:$D,$B261,DATA_GOC!$E:$E,"Dầu động cơ",DATA_GOC!$F:$F,"Xuất nội bộ từ téc",DATA_GOC!$B:$B,DATE($D$2,$B$2,V$4)),0))</f>
        <v>0</v>
      </c>
      <c r="W261" s="251">
        <f>IF(W$4&gt;DAY(EOMONTH(DATE($D$2,$B$2,1),0)),"",IFERROR(SUMIFS(DATA_GOC!$H:$H,DATA_GOC!$A:$A,"BOM",DATA_GOC!$D:$D,$B261,DATA_GOC!$E:$E,"Dầu động cơ",DATA_GOC!$F:$F,"Xuất nội bộ từ téc",DATA_GOC!$B:$B,DATE($D$2,$B$2,W$4)),0))</f>
        <v>0</v>
      </c>
      <c r="X261" s="251">
        <f>IF(X$4&gt;DAY(EOMONTH(DATE($D$2,$B$2,1),0)),"",IFERROR(SUMIFS(DATA_GOC!$H:$H,DATA_GOC!$A:$A,"BOM",DATA_GOC!$D:$D,$B261,DATA_GOC!$E:$E,"Dầu động cơ",DATA_GOC!$F:$F,"Xuất nội bộ từ téc",DATA_GOC!$B:$B,DATE($D$2,$B$2,X$4)),0))</f>
        <v>0</v>
      </c>
      <c r="Y261" s="251">
        <f>IF(Y$4&gt;DAY(EOMONTH(DATE($D$2,$B$2,1),0)),"",IFERROR(SUMIFS(DATA_GOC!$H:$H,DATA_GOC!$A:$A,"BOM",DATA_GOC!$D:$D,$B261,DATA_GOC!$E:$E,"Dầu động cơ",DATA_GOC!$F:$F,"Xuất nội bộ từ téc",DATA_GOC!$B:$B,DATE($D$2,$B$2,Y$4)),0))</f>
        <v>0</v>
      </c>
      <c r="Z261" s="251">
        <f>IF(Z$4&gt;DAY(EOMONTH(DATE($D$2,$B$2,1),0)),"",IFERROR(SUMIFS(DATA_GOC!$H:$H,DATA_GOC!$A:$A,"BOM",DATA_GOC!$D:$D,$B261,DATA_GOC!$E:$E,"Dầu động cơ",DATA_GOC!$F:$F,"Xuất nội bộ từ téc",DATA_GOC!$B:$B,DATE($D$2,$B$2,Z$4)),0))</f>
        <v>0</v>
      </c>
      <c r="AA261" s="251">
        <f>IF(AA$4&gt;DAY(EOMONTH(DATE($D$2,$B$2,1),0)),"",IFERROR(SUMIFS(DATA_GOC!$H:$H,DATA_GOC!$A:$A,"BOM",DATA_GOC!$D:$D,$B261,DATA_GOC!$E:$E,"Dầu động cơ",DATA_GOC!$F:$F,"Xuất nội bộ từ téc",DATA_GOC!$B:$B,DATE($D$2,$B$2,AA$4)),0))</f>
        <v>0</v>
      </c>
      <c r="AB261" s="251">
        <f>IF(AB$4&gt;DAY(EOMONTH(DATE($D$2,$B$2,1),0)),"",IFERROR(SUMIFS(DATA_GOC!$H:$H,DATA_GOC!$A:$A,"BOM",DATA_GOC!$D:$D,$B261,DATA_GOC!$E:$E,"Dầu động cơ",DATA_GOC!$F:$F,"Xuất nội bộ từ téc",DATA_GOC!$B:$B,DATE($D$2,$B$2,AB$4)),0))</f>
        <v>0</v>
      </c>
      <c r="AC261" s="251">
        <f>IF(AC$4&gt;DAY(EOMONTH(DATE($D$2,$B$2,1),0)),"",IFERROR(SUMIFS(DATA_GOC!$H:$H,DATA_GOC!$A:$A,"BOM",DATA_GOC!$D:$D,$B261,DATA_GOC!$E:$E,"Dầu động cơ",DATA_GOC!$F:$F,"Xuất nội bộ từ téc",DATA_GOC!$B:$B,DATE($D$2,$B$2,AC$4)),0))</f>
        <v>0</v>
      </c>
      <c r="AD261" s="251">
        <f>IF(AD$4&gt;DAY(EOMONTH(DATE($D$2,$B$2,1),0)),"",IFERROR(SUMIFS(DATA_GOC!$H:$H,DATA_GOC!$A:$A,"BOM",DATA_GOC!$D:$D,$B261,DATA_GOC!$E:$E,"Dầu động cơ",DATA_GOC!$F:$F,"Xuất nội bộ từ téc",DATA_GOC!$B:$B,DATE($D$2,$B$2,AD$4)),0))</f>
        <v>0</v>
      </c>
      <c r="AE261" s="251">
        <f>IF(AE$4&gt;DAY(EOMONTH(DATE($D$2,$B$2,1),0)),"",IFERROR(SUMIFS(DATA_GOC!$H:$H,DATA_GOC!$A:$A,"BOM",DATA_GOC!$D:$D,$B261,DATA_GOC!$E:$E,"Dầu động cơ",DATA_GOC!$F:$F,"Xuất nội bộ từ téc",DATA_GOC!$B:$B,DATE($D$2,$B$2,AE$4)),0))</f>
        <v>0</v>
      </c>
      <c r="AF261" s="251">
        <f>IF(AF$4&gt;DAY(EOMONTH(DATE($D$2,$B$2,1),0)),"",IFERROR(SUMIFS(DATA_GOC!$H:$H,DATA_GOC!$A:$A,"BOM",DATA_GOC!$D:$D,$B261,DATA_GOC!$E:$E,"Dầu động cơ",DATA_GOC!$F:$F,"Xuất nội bộ từ téc",DATA_GOC!$B:$B,DATE($D$2,$B$2,AF$4)),0))</f>
        <v>0</v>
      </c>
      <c r="AG261" s="251">
        <f>IF(AG$4&gt;DAY(EOMONTH(DATE($D$2,$B$2,1),0)),"",IFERROR(SUMIFS(DATA_GOC!$H:$H,DATA_GOC!$A:$A,"BOM",DATA_GOC!$D:$D,$B261,DATA_GOC!$E:$E,"Dầu động cơ",DATA_GOC!$F:$F,"Xuất nội bộ từ téc",DATA_GOC!$B:$B,DATE($D$2,$B$2,AG$4)),0))</f>
        <v>0</v>
      </c>
      <c r="AH261" s="252">
        <f t="shared" si="13"/>
        <v>0</v>
      </c>
      <c r="AI261" s="241"/>
      <c r="AJ261" s="242">
        <f>IF($B261="","",SUMIFS(TINH_TEC!$K$233:$K$9232,TINH_TEC!$H$233:$H$9232,$B261,TINH_TEC!$C$233:$C$9232,"Dầu động cơ",TINH_TEC!$F$233:$F$9232,$B$2,TINH_TEC!$G$233:$G$9232,$D$2,TINH_TEC!$B$233:$B$9232,"Đã chốt"))</f>
        <v>0</v>
      </c>
      <c r="AK261" s="242">
        <f>IF($B261="","",SUMIFS(TINH_TEC!$J$233:$J$9232,TINH_TEC!$H$233:$H$9232,$B261,TINH_TEC!$C$233:$C$9232,"Dầu động cơ",TINH_TEC!$F$233:$F$9232,$B$2,TINH_TEC!$G$233:$G$9232,$D$2,TINH_TEC!$B$233:$B$9232,"Đã chốt"))</f>
        <v>0</v>
      </c>
      <c r="AL261" s="242">
        <f t="shared" si="14"/>
        <v>0</v>
      </c>
    </row>
    <row r="262" ht="15.75" customHeight="1">
      <c r="A262" s="237">
        <f>IF($B262&lt;&gt;"",13,"")</f>
        <v>13</v>
      </c>
      <c r="B262" s="250" t="str">
        <f t="array" ref="B262">IFERROR(INDEX(DANH_MUC!$E:$E,16),"")</f>
        <v>28C02545</v>
      </c>
      <c r="C262" s="251">
        <f>IF(C$4&gt;DAY(EOMONTH(DATE($D$2,$B$2,1),0)),"",IFERROR(SUMIFS(DATA_GOC!$H:$H,DATA_GOC!$A:$A,"BOM",DATA_GOC!$D:$D,$B262,DATA_GOC!$E:$E,"Dầu động cơ",DATA_GOC!$F:$F,"Xuất nội bộ từ téc",DATA_GOC!$B:$B,DATE($D$2,$B$2,C$4)),0))</f>
        <v>0</v>
      </c>
      <c r="D262" s="251">
        <f>IF(D$4&gt;DAY(EOMONTH(DATE($D$2,$B$2,1),0)),"",IFERROR(SUMIFS(DATA_GOC!$H:$H,DATA_GOC!$A:$A,"BOM",DATA_GOC!$D:$D,$B262,DATA_GOC!$E:$E,"Dầu động cơ",DATA_GOC!$F:$F,"Xuất nội bộ từ téc",DATA_GOC!$B:$B,DATE($D$2,$B$2,D$4)),0))</f>
        <v>0</v>
      </c>
      <c r="E262" s="251">
        <f>IF(E$4&gt;DAY(EOMONTH(DATE($D$2,$B$2,1),0)),"",IFERROR(SUMIFS(DATA_GOC!$H:$H,DATA_GOC!$A:$A,"BOM",DATA_GOC!$D:$D,$B262,DATA_GOC!$E:$E,"Dầu động cơ",DATA_GOC!$F:$F,"Xuất nội bộ từ téc",DATA_GOC!$B:$B,DATE($D$2,$B$2,E$4)),0))</f>
        <v>0</v>
      </c>
      <c r="F262" s="251">
        <f>IF(F$4&gt;DAY(EOMONTH(DATE($D$2,$B$2,1),0)),"",IFERROR(SUMIFS(DATA_GOC!$H:$H,DATA_GOC!$A:$A,"BOM",DATA_GOC!$D:$D,$B262,DATA_GOC!$E:$E,"Dầu động cơ",DATA_GOC!$F:$F,"Xuất nội bộ từ téc",DATA_GOC!$B:$B,DATE($D$2,$B$2,F$4)),0))</f>
        <v>0</v>
      </c>
      <c r="G262" s="251">
        <f>IF(G$4&gt;DAY(EOMONTH(DATE($D$2,$B$2,1),0)),"",IFERROR(SUMIFS(DATA_GOC!$H:$H,DATA_GOC!$A:$A,"BOM",DATA_GOC!$D:$D,$B262,DATA_GOC!$E:$E,"Dầu động cơ",DATA_GOC!$F:$F,"Xuất nội bộ từ téc",DATA_GOC!$B:$B,DATE($D$2,$B$2,G$4)),0))</f>
        <v>0</v>
      </c>
      <c r="H262" s="251">
        <f>IF(H$4&gt;DAY(EOMONTH(DATE($D$2,$B$2,1),0)),"",IFERROR(SUMIFS(DATA_GOC!$H:$H,DATA_GOC!$A:$A,"BOM",DATA_GOC!$D:$D,$B262,DATA_GOC!$E:$E,"Dầu động cơ",DATA_GOC!$F:$F,"Xuất nội bộ từ téc",DATA_GOC!$B:$B,DATE($D$2,$B$2,H$4)),0))</f>
        <v>0</v>
      </c>
      <c r="I262" s="251">
        <f>IF(I$4&gt;DAY(EOMONTH(DATE($D$2,$B$2,1),0)),"",IFERROR(SUMIFS(DATA_GOC!$H:$H,DATA_GOC!$A:$A,"BOM",DATA_GOC!$D:$D,$B262,DATA_GOC!$E:$E,"Dầu động cơ",DATA_GOC!$F:$F,"Xuất nội bộ từ téc",DATA_GOC!$B:$B,DATE($D$2,$B$2,I$4)),0))</f>
        <v>0</v>
      </c>
      <c r="J262" s="251">
        <f>IF(J$4&gt;DAY(EOMONTH(DATE($D$2,$B$2,1),0)),"",IFERROR(SUMIFS(DATA_GOC!$H:$H,DATA_GOC!$A:$A,"BOM",DATA_GOC!$D:$D,$B262,DATA_GOC!$E:$E,"Dầu động cơ",DATA_GOC!$F:$F,"Xuất nội bộ từ téc",DATA_GOC!$B:$B,DATE($D$2,$B$2,J$4)),0))</f>
        <v>0</v>
      </c>
      <c r="K262" s="251">
        <f>IF(K$4&gt;DAY(EOMONTH(DATE($D$2,$B$2,1),0)),"",IFERROR(SUMIFS(DATA_GOC!$H:$H,DATA_GOC!$A:$A,"BOM",DATA_GOC!$D:$D,$B262,DATA_GOC!$E:$E,"Dầu động cơ",DATA_GOC!$F:$F,"Xuất nội bộ từ téc",DATA_GOC!$B:$B,DATE($D$2,$B$2,K$4)),0))</f>
        <v>0</v>
      </c>
      <c r="L262" s="251">
        <f>IF(L$4&gt;DAY(EOMONTH(DATE($D$2,$B$2,1),0)),"",IFERROR(SUMIFS(DATA_GOC!$H:$H,DATA_GOC!$A:$A,"BOM",DATA_GOC!$D:$D,$B262,DATA_GOC!$E:$E,"Dầu động cơ",DATA_GOC!$F:$F,"Xuất nội bộ từ téc",DATA_GOC!$B:$B,DATE($D$2,$B$2,L$4)),0))</f>
        <v>0</v>
      </c>
      <c r="M262" s="251">
        <f>IF(M$4&gt;DAY(EOMONTH(DATE($D$2,$B$2,1),0)),"",IFERROR(SUMIFS(DATA_GOC!$H:$H,DATA_GOC!$A:$A,"BOM",DATA_GOC!$D:$D,$B262,DATA_GOC!$E:$E,"Dầu động cơ",DATA_GOC!$F:$F,"Xuất nội bộ từ téc",DATA_GOC!$B:$B,DATE($D$2,$B$2,M$4)),0))</f>
        <v>0</v>
      </c>
      <c r="N262" s="251">
        <f>IF(N$4&gt;DAY(EOMONTH(DATE($D$2,$B$2,1),0)),"",IFERROR(SUMIFS(DATA_GOC!$H:$H,DATA_GOC!$A:$A,"BOM",DATA_GOC!$D:$D,$B262,DATA_GOC!$E:$E,"Dầu động cơ",DATA_GOC!$F:$F,"Xuất nội bộ từ téc",DATA_GOC!$B:$B,DATE($D$2,$B$2,N$4)),0))</f>
        <v>0</v>
      </c>
      <c r="O262" s="251">
        <f>IF(O$4&gt;DAY(EOMONTH(DATE($D$2,$B$2,1),0)),"",IFERROR(SUMIFS(DATA_GOC!$H:$H,DATA_GOC!$A:$A,"BOM",DATA_GOC!$D:$D,$B262,DATA_GOC!$E:$E,"Dầu động cơ",DATA_GOC!$F:$F,"Xuất nội bộ từ téc",DATA_GOC!$B:$B,DATE($D$2,$B$2,O$4)),0))</f>
        <v>0</v>
      </c>
      <c r="P262" s="251">
        <f>IF(P$4&gt;DAY(EOMONTH(DATE($D$2,$B$2,1),0)),"",IFERROR(SUMIFS(DATA_GOC!$H:$H,DATA_GOC!$A:$A,"BOM",DATA_GOC!$D:$D,$B262,DATA_GOC!$E:$E,"Dầu động cơ",DATA_GOC!$F:$F,"Xuất nội bộ từ téc",DATA_GOC!$B:$B,DATE($D$2,$B$2,P$4)),0))</f>
        <v>0</v>
      </c>
      <c r="Q262" s="251">
        <f>IF(Q$4&gt;DAY(EOMONTH(DATE($D$2,$B$2,1),0)),"",IFERROR(SUMIFS(DATA_GOC!$H:$H,DATA_GOC!$A:$A,"BOM",DATA_GOC!$D:$D,$B262,DATA_GOC!$E:$E,"Dầu động cơ",DATA_GOC!$F:$F,"Xuất nội bộ từ téc",DATA_GOC!$B:$B,DATE($D$2,$B$2,Q$4)),0))</f>
        <v>0</v>
      </c>
      <c r="R262" s="251">
        <f>IF(R$4&gt;DAY(EOMONTH(DATE($D$2,$B$2,1),0)),"",IFERROR(SUMIFS(DATA_GOC!$H:$H,DATA_GOC!$A:$A,"BOM",DATA_GOC!$D:$D,$B262,DATA_GOC!$E:$E,"Dầu động cơ",DATA_GOC!$F:$F,"Xuất nội bộ từ téc",DATA_GOC!$B:$B,DATE($D$2,$B$2,R$4)),0))</f>
        <v>0</v>
      </c>
      <c r="S262" s="251">
        <f>IF(S$4&gt;DAY(EOMONTH(DATE($D$2,$B$2,1),0)),"",IFERROR(SUMIFS(DATA_GOC!$H:$H,DATA_GOC!$A:$A,"BOM",DATA_GOC!$D:$D,$B262,DATA_GOC!$E:$E,"Dầu động cơ",DATA_GOC!$F:$F,"Xuất nội bộ từ téc",DATA_GOC!$B:$B,DATE($D$2,$B$2,S$4)),0))</f>
        <v>0</v>
      </c>
      <c r="T262" s="251">
        <f>IF(T$4&gt;DAY(EOMONTH(DATE($D$2,$B$2,1),0)),"",IFERROR(SUMIFS(DATA_GOC!$H:$H,DATA_GOC!$A:$A,"BOM",DATA_GOC!$D:$D,$B262,DATA_GOC!$E:$E,"Dầu động cơ",DATA_GOC!$F:$F,"Xuất nội bộ từ téc",DATA_GOC!$B:$B,DATE($D$2,$B$2,T$4)),0))</f>
        <v>0</v>
      </c>
      <c r="U262" s="251">
        <f>IF(U$4&gt;DAY(EOMONTH(DATE($D$2,$B$2,1),0)),"",IFERROR(SUMIFS(DATA_GOC!$H:$H,DATA_GOC!$A:$A,"BOM",DATA_GOC!$D:$D,$B262,DATA_GOC!$E:$E,"Dầu động cơ",DATA_GOC!$F:$F,"Xuất nội bộ từ téc",DATA_GOC!$B:$B,DATE($D$2,$B$2,U$4)),0))</f>
        <v>0</v>
      </c>
      <c r="V262" s="251">
        <f>IF(V$4&gt;DAY(EOMONTH(DATE($D$2,$B$2,1),0)),"",IFERROR(SUMIFS(DATA_GOC!$H:$H,DATA_GOC!$A:$A,"BOM",DATA_GOC!$D:$D,$B262,DATA_GOC!$E:$E,"Dầu động cơ",DATA_GOC!$F:$F,"Xuất nội bộ từ téc",DATA_GOC!$B:$B,DATE($D$2,$B$2,V$4)),0))</f>
        <v>0</v>
      </c>
      <c r="W262" s="251">
        <f>IF(W$4&gt;DAY(EOMONTH(DATE($D$2,$B$2,1),0)),"",IFERROR(SUMIFS(DATA_GOC!$H:$H,DATA_GOC!$A:$A,"BOM",DATA_GOC!$D:$D,$B262,DATA_GOC!$E:$E,"Dầu động cơ",DATA_GOC!$F:$F,"Xuất nội bộ từ téc",DATA_GOC!$B:$B,DATE($D$2,$B$2,W$4)),0))</f>
        <v>0</v>
      </c>
      <c r="X262" s="251">
        <f>IF(X$4&gt;DAY(EOMONTH(DATE($D$2,$B$2,1),0)),"",IFERROR(SUMIFS(DATA_GOC!$H:$H,DATA_GOC!$A:$A,"BOM",DATA_GOC!$D:$D,$B262,DATA_GOC!$E:$E,"Dầu động cơ",DATA_GOC!$F:$F,"Xuất nội bộ từ téc",DATA_GOC!$B:$B,DATE($D$2,$B$2,X$4)),0))</f>
        <v>0</v>
      </c>
      <c r="Y262" s="251">
        <f>IF(Y$4&gt;DAY(EOMONTH(DATE($D$2,$B$2,1),0)),"",IFERROR(SUMIFS(DATA_GOC!$H:$H,DATA_GOC!$A:$A,"BOM",DATA_GOC!$D:$D,$B262,DATA_GOC!$E:$E,"Dầu động cơ",DATA_GOC!$F:$F,"Xuất nội bộ từ téc",DATA_GOC!$B:$B,DATE($D$2,$B$2,Y$4)),0))</f>
        <v>0</v>
      </c>
      <c r="Z262" s="251">
        <f>IF(Z$4&gt;DAY(EOMONTH(DATE($D$2,$B$2,1),0)),"",IFERROR(SUMIFS(DATA_GOC!$H:$H,DATA_GOC!$A:$A,"BOM",DATA_GOC!$D:$D,$B262,DATA_GOC!$E:$E,"Dầu động cơ",DATA_GOC!$F:$F,"Xuất nội bộ từ téc",DATA_GOC!$B:$B,DATE($D$2,$B$2,Z$4)),0))</f>
        <v>0</v>
      </c>
      <c r="AA262" s="251">
        <f>IF(AA$4&gt;DAY(EOMONTH(DATE($D$2,$B$2,1),0)),"",IFERROR(SUMIFS(DATA_GOC!$H:$H,DATA_GOC!$A:$A,"BOM",DATA_GOC!$D:$D,$B262,DATA_GOC!$E:$E,"Dầu động cơ",DATA_GOC!$F:$F,"Xuất nội bộ từ téc",DATA_GOC!$B:$B,DATE($D$2,$B$2,AA$4)),0))</f>
        <v>0</v>
      </c>
      <c r="AB262" s="251">
        <f>IF(AB$4&gt;DAY(EOMONTH(DATE($D$2,$B$2,1),0)),"",IFERROR(SUMIFS(DATA_GOC!$H:$H,DATA_GOC!$A:$A,"BOM",DATA_GOC!$D:$D,$B262,DATA_GOC!$E:$E,"Dầu động cơ",DATA_GOC!$F:$F,"Xuất nội bộ từ téc",DATA_GOC!$B:$B,DATE($D$2,$B$2,AB$4)),0))</f>
        <v>0</v>
      </c>
      <c r="AC262" s="251">
        <f>IF(AC$4&gt;DAY(EOMONTH(DATE($D$2,$B$2,1),0)),"",IFERROR(SUMIFS(DATA_GOC!$H:$H,DATA_GOC!$A:$A,"BOM",DATA_GOC!$D:$D,$B262,DATA_GOC!$E:$E,"Dầu động cơ",DATA_GOC!$F:$F,"Xuất nội bộ từ téc",DATA_GOC!$B:$B,DATE($D$2,$B$2,AC$4)),0))</f>
        <v>0</v>
      </c>
      <c r="AD262" s="251">
        <f>IF(AD$4&gt;DAY(EOMONTH(DATE($D$2,$B$2,1),0)),"",IFERROR(SUMIFS(DATA_GOC!$H:$H,DATA_GOC!$A:$A,"BOM",DATA_GOC!$D:$D,$B262,DATA_GOC!$E:$E,"Dầu động cơ",DATA_GOC!$F:$F,"Xuất nội bộ từ téc",DATA_GOC!$B:$B,DATE($D$2,$B$2,AD$4)),0))</f>
        <v>0</v>
      </c>
      <c r="AE262" s="251">
        <f>IF(AE$4&gt;DAY(EOMONTH(DATE($D$2,$B$2,1),0)),"",IFERROR(SUMIFS(DATA_GOC!$H:$H,DATA_GOC!$A:$A,"BOM",DATA_GOC!$D:$D,$B262,DATA_GOC!$E:$E,"Dầu động cơ",DATA_GOC!$F:$F,"Xuất nội bộ từ téc",DATA_GOC!$B:$B,DATE($D$2,$B$2,AE$4)),0))</f>
        <v>0</v>
      </c>
      <c r="AF262" s="251">
        <f>IF(AF$4&gt;DAY(EOMONTH(DATE($D$2,$B$2,1),0)),"",IFERROR(SUMIFS(DATA_GOC!$H:$H,DATA_GOC!$A:$A,"BOM",DATA_GOC!$D:$D,$B262,DATA_GOC!$E:$E,"Dầu động cơ",DATA_GOC!$F:$F,"Xuất nội bộ từ téc",DATA_GOC!$B:$B,DATE($D$2,$B$2,AF$4)),0))</f>
        <v>0</v>
      </c>
      <c r="AG262" s="251">
        <f>IF(AG$4&gt;DAY(EOMONTH(DATE($D$2,$B$2,1),0)),"",IFERROR(SUMIFS(DATA_GOC!$H:$H,DATA_GOC!$A:$A,"BOM",DATA_GOC!$D:$D,$B262,DATA_GOC!$E:$E,"Dầu động cơ",DATA_GOC!$F:$F,"Xuất nội bộ từ téc",DATA_GOC!$B:$B,DATE($D$2,$B$2,AG$4)),0))</f>
        <v>0</v>
      </c>
      <c r="AH262" s="252">
        <f t="shared" si="13"/>
        <v>0</v>
      </c>
      <c r="AI262" s="241"/>
      <c r="AJ262" s="242">
        <f>IF($B262="","",SUMIFS(TINH_TEC!$K$233:$K$9232,TINH_TEC!$H$233:$H$9232,$B262,TINH_TEC!$C$233:$C$9232,"Dầu động cơ",TINH_TEC!$F$233:$F$9232,$B$2,TINH_TEC!$G$233:$G$9232,$D$2,TINH_TEC!$B$233:$B$9232,"Đã chốt"))</f>
        <v>0</v>
      </c>
      <c r="AK262" s="242">
        <f>IF($B262="","",SUMIFS(TINH_TEC!$J$233:$J$9232,TINH_TEC!$H$233:$H$9232,$B262,TINH_TEC!$C$233:$C$9232,"Dầu động cơ",TINH_TEC!$F$233:$F$9232,$B$2,TINH_TEC!$G$233:$G$9232,$D$2,TINH_TEC!$B$233:$B$9232,"Đã chốt"))</f>
        <v>0</v>
      </c>
      <c r="AL262" s="242">
        <f t="shared" si="14"/>
        <v>0</v>
      </c>
    </row>
    <row r="263" ht="15.75" customHeight="1">
      <c r="A263" s="237">
        <f>IF($B263&lt;&gt;"",14,"")</f>
        <v>14</v>
      </c>
      <c r="B263" s="250" t="str">
        <f t="array" ref="B263">IFERROR(INDEX(DANH_MUC!$E:$E,17),"")</f>
        <v>28C02574</v>
      </c>
      <c r="C263" s="251">
        <f>IF(C$4&gt;DAY(EOMONTH(DATE($D$2,$B$2,1),0)),"",IFERROR(SUMIFS(DATA_GOC!$H:$H,DATA_GOC!$A:$A,"BOM",DATA_GOC!$D:$D,$B263,DATA_GOC!$E:$E,"Dầu động cơ",DATA_GOC!$F:$F,"Xuất nội bộ từ téc",DATA_GOC!$B:$B,DATE($D$2,$B$2,C$4)),0))</f>
        <v>0</v>
      </c>
      <c r="D263" s="251">
        <f>IF(D$4&gt;DAY(EOMONTH(DATE($D$2,$B$2,1),0)),"",IFERROR(SUMIFS(DATA_GOC!$H:$H,DATA_GOC!$A:$A,"BOM",DATA_GOC!$D:$D,$B263,DATA_GOC!$E:$E,"Dầu động cơ",DATA_GOC!$F:$F,"Xuất nội bộ từ téc",DATA_GOC!$B:$B,DATE($D$2,$B$2,D$4)),0))</f>
        <v>0</v>
      </c>
      <c r="E263" s="251">
        <f>IF(E$4&gt;DAY(EOMONTH(DATE($D$2,$B$2,1),0)),"",IFERROR(SUMIFS(DATA_GOC!$H:$H,DATA_GOC!$A:$A,"BOM",DATA_GOC!$D:$D,$B263,DATA_GOC!$E:$E,"Dầu động cơ",DATA_GOC!$F:$F,"Xuất nội bộ từ téc",DATA_GOC!$B:$B,DATE($D$2,$B$2,E$4)),0))</f>
        <v>0</v>
      </c>
      <c r="F263" s="251">
        <f>IF(F$4&gt;DAY(EOMONTH(DATE($D$2,$B$2,1),0)),"",IFERROR(SUMIFS(DATA_GOC!$H:$H,DATA_GOC!$A:$A,"BOM",DATA_GOC!$D:$D,$B263,DATA_GOC!$E:$E,"Dầu động cơ",DATA_GOC!$F:$F,"Xuất nội bộ từ téc",DATA_GOC!$B:$B,DATE($D$2,$B$2,F$4)),0))</f>
        <v>0</v>
      </c>
      <c r="G263" s="251">
        <f>IF(G$4&gt;DAY(EOMONTH(DATE($D$2,$B$2,1),0)),"",IFERROR(SUMIFS(DATA_GOC!$H:$H,DATA_GOC!$A:$A,"BOM",DATA_GOC!$D:$D,$B263,DATA_GOC!$E:$E,"Dầu động cơ",DATA_GOC!$F:$F,"Xuất nội bộ từ téc",DATA_GOC!$B:$B,DATE($D$2,$B$2,G$4)),0))</f>
        <v>0</v>
      </c>
      <c r="H263" s="251">
        <f>IF(H$4&gt;DAY(EOMONTH(DATE($D$2,$B$2,1),0)),"",IFERROR(SUMIFS(DATA_GOC!$H:$H,DATA_GOC!$A:$A,"BOM",DATA_GOC!$D:$D,$B263,DATA_GOC!$E:$E,"Dầu động cơ",DATA_GOC!$F:$F,"Xuất nội bộ từ téc",DATA_GOC!$B:$B,DATE($D$2,$B$2,H$4)),0))</f>
        <v>0</v>
      </c>
      <c r="I263" s="251">
        <f>IF(I$4&gt;DAY(EOMONTH(DATE($D$2,$B$2,1),0)),"",IFERROR(SUMIFS(DATA_GOC!$H:$H,DATA_GOC!$A:$A,"BOM",DATA_GOC!$D:$D,$B263,DATA_GOC!$E:$E,"Dầu động cơ",DATA_GOC!$F:$F,"Xuất nội bộ từ téc",DATA_GOC!$B:$B,DATE($D$2,$B$2,I$4)),0))</f>
        <v>0</v>
      </c>
      <c r="J263" s="251">
        <f>IF(J$4&gt;DAY(EOMONTH(DATE($D$2,$B$2,1),0)),"",IFERROR(SUMIFS(DATA_GOC!$H:$H,DATA_GOC!$A:$A,"BOM",DATA_GOC!$D:$D,$B263,DATA_GOC!$E:$E,"Dầu động cơ",DATA_GOC!$F:$F,"Xuất nội bộ từ téc",DATA_GOC!$B:$B,DATE($D$2,$B$2,J$4)),0))</f>
        <v>0</v>
      </c>
      <c r="K263" s="251">
        <f>IF(K$4&gt;DAY(EOMONTH(DATE($D$2,$B$2,1),0)),"",IFERROR(SUMIFS(DATA_GOC!$H:$H,DATA_GOC!$A:$A,"BOM",DATA_GOC!$D:$D,$B263,DATA_GOC!$E:$E,"Dầu động cơ",DATA_GOC!$F:$F,"Xuất nội bộ từ téc",DATA_GOC!$B:$B,DATE($D$2,$B$2,K$4)),0))</f>
        <v>0</v>
      </c>
      <c r="L263" s="251">
        <f>IF(L$4&gt;DAY(EOMONTH(DATE($D$2,$B$2,1),0)),"",IFERROR(SUMIFS(DATA_GOC!$H:$H,DATA_GOC!$A:$A,"BOM",DATA_GOC!$D:$D,$B263,DATA_GOC!$E:$E,"Dầu động cơ",DATA_GOC!$F:$F,"Xuất nội bộ từ téc",DATA_GOC!$B:$B,DATE($D$2,$B$2,L$4)),0))</f>
        <v>0</v>
      </c>
      <c r="M263" s="251">
        <f>IF(M$4&gt;DAY(EOMONTH(DATE($D$2,$B$2,1),0)),"",IFERROR(SUMIFS(DATA_GOC!$H:$H,DATA_GOC!$A:$A,"BOM",DATA_GOC!$D:$D,$B263,DATA_GOC!$E:$E,"Dầu động cơ",DATA_GOC!$F:$F,"Xuất nội bộ từ téc",DATA_GOC!$B:$B,DATE($D$2,$B$2,M$4)),0))</f>
        <v>0</v>
      </c>
      <c r="N263" s="251">
        <f>IF(N$4&gt;DAY(EOMONTH(DATE($D$2,$B$2,1),0)),"",IFERROR(SUMIFS(DATA_GOC!$H:$H,DATA_GOC!$A:$A,"BOM",DATA_GOC!$D:$D,$B263,DATA_GOC!$E:$E,"Dầu động cơ",DATA_GOC!$F:$F,"Xuất nội bộ từ téc",DATA_GOC!$B:$B,DATE($D$2,$B$2,N$4)),0))</f>
        <v>0</v>
      </c>
      <c r="O263" s="251">
        <f>IF(O$4&gt;DAY(EOMONTH(DATE($D$2,$B$2,1),0)),"",IFERROR(SUMIFS(DATA_GOC!$H:$H,DATA_GOC!$A:$A,"BOM",DATA_GOC!$D:$D,$B263,DATA_GOC!$E:$E,"Dầu động cơ",DATA_GOC!$F:$F,"Xuất nội bộ từ téc",DATA_GOC!$B:$B,DATE($D$2,$B$2,O$4)),0))</f>
        <v>0</v>
      </c>
      <c r="P263" s="251">
        <f>IF(P$4&gt;DAY(EOMONTH(DATE($D$2,$B$2,1),0)),"",IFERROR(SUMIFS(DATA_GOC!$H:$H,DATA_GOC!$A:$A,"BOM",DATA_GOC!$D:$D,$B263,DATA_GOC!$E:$E,"Dầu động cơ",DATA_GOC!$F:$F,"Xuất nội bộ từ téc",DATA_GOC!$B:$B,DATE($D$2,$B$2,P$4)),0))</f>
        <v>0</v>
      </c>
      <c r="Q263" s="251">
        <f>IF(Q$4&gt;DAY(EOMONTH(DATE($D$2,$B$2,1),0)),"",IFERROR(SUMIFS(DATA_GOC!$H:$H,DATA_GOC!$A:$A,"BOM",DATA_GOC!$D:$D,$B263,DATA_GOC!$E:$E,"Dầu động cơ",DATA_GOC!$F:$F,"Xuất nội bộ từ téc",DATA_GOC!$B:$B,DATE($D$2,$B$2,Q$4)),0))</f>
        <v>0</v>
      </c>
      <c r="R263" s="251">
        <f>IF(R$4&gt;DAY(EOMONTH(DATE($D$2,$B$2,1),0)),"",IFERROR(SUMIFS(DATA_GOC!$H:$H,DATA_GOC!$A:$A,"BOM",DATA_GOC!$D:$D,$B263,DATA_GOC!$E:$E,"Dầu động cơ",DATA_GOC!$F:$F,"Xuất nội bộ từ téc",DATA_GOC!$B:$B,DATE($D$2,$B$2,R$4)),0))</f>
        <v>0</v>
      </c>
      <c r="S263" s="251">
        <f>IF(S$4&gt;DAY(EOMONTH(DATE($D$2,$B$2,1),0)),"",IFERROR(SUMIFS(DATA_GOC!$H:$H,DATA_GOC!$A:$A,"BOM",DATA_GOC!$D:$D,$B263,DATA_GOC!$E:$E,"Dầu động cơ",DATA_GOC!$F:$F,"Xuất nội bộ từ téc",DATA_GOC!$B:$B,DATE($D$2,$B$2,S$4)),0))</f>
        <v>0</v>
      </c>
      <c r="T263" s="251">
        <f>IF(T$4&gt;DAY(EOMONTH(DATE($D$2,$B$2,1),0)),"",IFERROR(SUMIFS(DATA_GOC!$H:$H,DATA_GOC!$A:$A,"BOM",DATA_GOC!$D:$D,$B263,DATA_GOC!$E:$E,"Dầu động cơ",DATA_GOC!$F:$F,"Xuất nội bộ từ téc",DATA_GOC!$B:$B,DATE($D$2,$B$2,T$4)),0))</f>
        <v>0</v>
      </c>
      <c r="U263" s="251">
        <f>IF(U$4&gt;DAY(EOMONTH(DATE($D$2,$B$2,1),0)),"",IFERROR(SUMIFS(DATA_GOC!$H:$H,DATA_GOC!$A:$A,"BOM",DATA_GOC!$D:$D,$B263,DATA_GOC!$E:$E,"Dầu động cơ",DATA_GOC!$F:$F,"Xuất nội bộ từ téc",DATA_GOC!$B:$B,DATE($D$2,$B$2,U$4)),0))</f>
        <v>0</v>
      </c>
      <c r="V263" s="251">
        <f>IF(V$4&gt;DAY(EOMONTH(DATE($D$2,$B$2,1),0)),"",IFERROR(SUMIFS(DATA_GOC!$H:$H,DATA_GOC!$A:$A,"BOM",DATA_GOC!$D:$D,$B263,DATA_GOC!$E:$E,"Dầu động cơ",DATA_GOC!$F:$F,"Xuất nội bộ từ téc",DATA_GOC!$B:$B,DATE($D$2,$B$2,V$4)),0))</f>
        <v>0</v>
      </c>
      <c r="W263" s="251">
        <f>IF(W$4&gt;DAY(EOMONTH(DATE($D$2,$B$2,1),0)),"",IFERROR(SUMIFS(DATA_GOC!$H:$H,DATA_GOC!$A:$A,"BOM",DATA_GOC!$D:$D,$B263,DATA_GOC!$E:$E,"Dầu động cơ",DATA_GOC!$F:$F,"Xuất nội bộ từ téc",DATA_GOC!$B:$B,DATE($D$2,$B$2,W$4)),0))</f>
        <v>0</v>
      </c>
      <c r="X263" s="251">
        <f>IF(X$4&gt;DAY(EOMONTH(DATE($D$2,$B$2,1),0)),"",IFERROR(SUMIFS(DATA_GOC!$H:$H,DATA_GOC!$A:$A,"BOM",DATA_GOC!$D:$D,$B263,DATA_GOC!$E:$E,"Dầu động cơ",DATA_GOC!$F:$F,"Xuất nội bộ từ téc",DATA_GOC!$B:$B,DATE($D$2,$B$2,X$4)),0))</f>
        <v>0</v>
      </c>
      <c r="Y263" s="251">
        <f>IF(Y$4&gt;DAY(EOMONTH(DATE($D$2,$B$2,1),0)),"",IFERROR(SUMIFS(DATA_GOC!$H:$H,DATA_GOC!$A:$A,"BOM",DATA_GOC!$D:$D,$B263,DATA_GOC!$E:$E,"Dầu động cơ",DATA_GOC!$F:$F,"Xuất nội bộ từ téc",DATA_GOC!$B:$B,DATE($D$2,$B$2,Y$4)),0))</f>
        <v>0</v>
      </c>
      <c r="Z263" s="251">
        <f>IF(Z$4&gt;DAY(EOMONTH(DATE($D$2,$B$2,1),0)),"",IFERROR(SUMIFS(DATA_GOC!$H:$H,DATA_GOC!$A:$A,"BOM",DATA_GOC!$D:$D,$B263,DATA_GOC!$E:$E,"Dầu động cơ",DATA_GOC!$F:$F,"Xuất nội bộ từ téc",DATA_GOC!$B:$B,DATE($D$2,$B$2,Z$4)),0))</f>
        <v>0</v>
      </c>
      <c r="AA263" s="251">
        <f>IF(AA$4&gt;DAY(EOMONTH(DATE($D$2,$B$2,1),0)),"",IFERROR(SUMIFS(DATA_GOC!$H:$H,DATA_GOC!$A:$A,"BOM",DATA_GOC!$D:$D,$B263,DATA_GOC!$E:$E,"Dầu động cơ",DATA_GOC!$F:$F,"Xuất nội bộ từ téc",DATA_GOC!$B:$B,DATE($D$2,$B$2,AA$4)),0))</f>
        <v>0</v>
      </c>
      <c r="AB263" s="251">
        <f>IF(AB$4&gt;DAY(EOMONTH(DATE($D$2,$B$2,1),0)),"",IFERROR(SUMIFS(DATA_GOC!$H:$H,DATA_GOC!$A:$A,"BOM",DATA_GOC!$D:$D,$B263,DATA_GOC!$E:$E,"Dầu động cơ",DATA_GOC!$F:$F,"Xuất nội bộ từ téc",DATA_GOC!$B:$B,DATE($D$2,$B$2,AB$4)),0))</f>
        <v>0</v>
      </c>
      <c r="AC263" s="251">
        <f>IF(AC$4&gt;DAY(EOMONTH(DATE($D$2,$B$2,1),0)),"",IFERROR(SUMIFS(DATA_GOC!$H:$H,DATA_GOC!$A:$A,"BOM",DATA_GOC!$D:$D,$B263,DATA_GOC!$E:$E,"Dầu động cơ",DATA_GOC!$F:$F,"Xuất nội bộ từ téc",DATA_GOC!$B:$B,DATE($D$2,$B$2,AC$4)),0))</f>
        <v>0</v>
      </c>
      <c r="AD263" s="251">
        <f>IF(AD$4&gt;DAY(EOMONTH(DATE($D$2,$B$2,1),0)),"",IFERROR(SUMIFS(DATA_GOC!$H:$H,DATA_GOC!$A:$A,"BOM",DATA_GOC!$D:$D,$B263,DATA_GOC!$E:$E,"Dầu động cơ",DATA_GOC!$F:$F,"Xuất nội bộ từ téc",DATA_GOC!$B:$B,DATE($D$2,$B$2,AD$4)),0))</f>
        <v>0</v>
      </c>
      <c r="AE263" s="251">
        <f>IF(AE$4&gt;DAY(EOMONTH(DATE($D$2,$B$2,1),0)),"",IFERROR(SUMIFS(DATA_GOC!$H:$H,DATA_GOC!$A:$A,"BOM",DATA_GOC!$D:$D,$B263,DATA_GOC!$E:$E,"Dầu động cơ",DATA_GOC!$F:$F,"Xuất nội bộ từ téc",DATA_GOC!$B:$B,DATE($D$2,$B$2,AE$4)),0))</f>
        <v>0</v>
      </c>
      <c r="AF263" s="251">
        <f>IF(AF$4&gt;DAY(EOMONTH(DATE($D$2,$B$2,1),0)),"",IFERROR(SUMIFS(DATA_GOC!$H:$H,DATA_GOC!$A:$A,"BOM",DATA_GOC!$D:$D,$B263,DATA_GOC!$E:$E,"Dầu động cơ",DATA_GOC!$F:$F,"Xuất nội bộ từ téc",DATA_GOC!$B:$B,DATE($D$2,$B$2,AF$4)),0))</f>
        <v>0</v>
      </c>
      <c r="AG263" s="251">
        <f>IF(AG$4&gt;DAY(EOMONTH(DATE($D$2,$B$2,1),0)),"",IFERROR(SUMIFS(DATA_GOC!$H:$H,DATA_GOC!$A:$A,"BOM",DATA_GOC!$D:$D,$B263,DATA_GOC!$E:$E,"Dầu động cơ",DATA_GOC!$F:$F,"Xuất nội bộ từ téc",DATA_GOC!$B:$B,DATE($D$2,$B$2,AG$4)),0))</f>
        <v>0</v>
      </c>
      <c r="AH263" s="252">
        <f t="shared" si="13"/>
        <v>0</v>
      </c>
      <c r="AI263" s="241"/>
      <c r="AJ263" s="242">
        <f>IF($B263="","",SUMIFS(TINH_TEC!$K$233:$K$9232,TINH_TEC!$H$233:$H$9232,$B263,TINH_TEC!$C$233:$C$9232,"Dầu động cơ",TINH_TEC!$F$233:$F$9232,$B$2,TINH_TEC!$G$233:$G$9232,$D$2,TINH_TEC!$B$233:$B$9232,"Đã chốt"))</f>
        <v>0</v>
      </c>
      <c r="AK263" s="242">
        <f>IF($B263="","",SUMIFS(TINH_TEC!$J$233:$J$9232,TINH_TEC!$H$233:$H$9232,$B263,TINH_TEC!$C$233:$C$9232,"Dầu động cơ",TINH_TEC!$F$233:$F$9232,$B$2,TINH_TEC!$G$233:$G$9232,$D$2,TINH_TEC!$B$233:$B$9232,"Đã chốt"))</f>
        <v>0</v>
      </c>
      <c r="AL263" s="242">
        <f t="shared" si="14"/>
        <v>0</v>
      </c>
    </row>
    <row r="264" ht="15.75" customHeight="1">
      <c r="A264" s="237">
        <f>IF($B264&lt;&gt;"",15,"")</f>
        <v>15</v>
      </c>
      <c r="B264" s="250" t="str">
        <f t="array" ref="B264">IFERROR(INDEX(DANH_MUC!$E:$E,18),"")</f>
        <v>28C02770</v>
      </c>
      <c r="C264" s="251">
        <f>IF(C$4&gt;DAY(EOMONTH(DATE($D$2,$B$2,1),0)),"",IFERROR(SUMIFS(DATA_GOC!$H:$H,DATA_GOC!$A:$A,"BOM",DATA_GOC!$D:$D,$B264,DATA_GOC!$E:$E,"Dầu động cơ",DATA_GOC!$F:$F,"Xuất nội bộ từ téc",DATA_GOC!$B:$B,DATE($D$2,$B$2,C$4)),0))</f>
        <v>0</v>
      </c>
      <c r="D264" s="251">
        <f>IF(D$4&gt;DAY(EOMONTH(DATE($D$2,$B$2,1),0)),"",IFERROR(SUMIFS(DATA_GOC!$H:$H,DATA_GOC!$A:$A,"BOM",DATA_GOC!$D:$D,$B264,DATA_GOC!$E:$E,"Dầu động cơ",DATA_GOC!$F:$F,"Xuất nội bộ từ téc",DATA_GOC!$B:$B,DATE($D$2,$B$2,D$4)),0))</f>
        <v>0</v>
      </c>
      <c r="E264" s="251">
        <f>IF(E$4&gt;DAY(EOMONTH(DATE($D$2,$B$2,1),0)),"",IFERROR(SUMIFS(DATA_GOC!$H:$H,DATA_GOC!$A:$A,"BOM",DATA_GOC!$D:$D,$B264,DATA_GOC!$E:$E,"Dầu động cơ",DATA_GOC!$F:$F,"Xuất nội bộ từ téc",DATA_GOC!$B:$B,DATE($D$2,$B$2,E$4)),0))</f>
        <v>0</v>
      </c>
      <c r="F264" s="251">
        <f>IF(F$4&gt;DAY(EOMONTH(DATE($D$2,$B$2,1),0)),"",IFERROR(SUMIFS(DATA_GOC!$H:$H,DATA_GOC!$A:$A,"BOM",DATA_GOC!$D:$D,$B264,DATA_GOC!$E:$E,"Dầu động cơ",DATA_GOC!$F:$F,"Xuất nội bộ từ téc",DATA_GOC!$B:$B,DATE($D$2,$B$2,F$4)),0))</f>
        <v>0</v>
      </c>
      <c r="G264" s="251">
        <f>IF(G$4&gt;DAY(EOMONTH(DATE($D$2,$B$2,1),0)),"",IFERROR(SUMIFS(DATA_GOC!$H:$H,DATA_GOC!$A:$A,"BOM",DATA_GOC!$D:$D,$B264,DATA_GOC!$E:$E,"Dầu động cơ",DATA_GOC!$F:$F,"Xuất nội bộ từ téc",DATA_GOC!$B:$B,DATE($D$2,$B$2,G$4)),0))</f>
        <v>0</v>
      </c>
      <c r="H264" s="251">
        <f>IF(H$4&gt;DAY(EOMONTH(DATE($D$2,$B$2,1),0)),"",IFERROR(SUMIFS(DATA_GOC!$H:$H,DATA_GOC!$A:$A,"BOM",DATA_GOC!$D:$D,$B264,DATA_GOC!$E:$E,"Dầu động cơ",DATA_GOC!$F:$F,"Xuất nội bộ từ téc",DATA_GOC!$B:$B,DATE($D$2,$B$2,H$4)),0))</f>
        <v>0</v>
      </c>
      <c r="I264" s="251">
        <f>IF(I$4&gt;DAY(EOMONTH(DATE($D$2,$B$2,1),0)),"",IFERROR(SUMIFS(DATA_GOC!$H:$H,DATA_GOC!$A:$A,"BOM",DATA_GOC!$D:$D,$B264,DATA_GOC!$E:$E,"Dầu động cơ",DATA_GOC!$F:$F,"Xuất nội bộ từ téc",DATA_GOC!$B:$B,DATE($D$2,$B$2,I$4)),0))</f>
        <v>0</v>
      </c>
      <c r="J264" s="251">
        <f>IF(J$4&gt;DAY(EOMONTH(DATE($D$2,$B$2,1),0)),"",IFERROR(SUMIFS(DATA_GOC!$H:$H,DATA_GOC!$A:$A,"BOM",DATA_GOC!$D:$D,$B264,DATA_GOC!$E:$E,"Dầu động cơ",DATA_GOC!$F:$F,"Xuất nội bộ từ téc",DATA_GOC!$B:$B,DATE($D$2,$B$2,J$4)),0))</f>
        <v>0</v>
      </c>
      <c r="K264" s="251">
        <f>IF(K$4&gt;DAY(EOMONTH(DATE($D$2,$B$2,1),0)),"",IFERROR(SUMIFS(DATA_GOC!$H:$H,DATA_GOC!$A:$A,"BOM",DATA_GOC!$D:$D,$B264,DATA_GOC!$E:$E,"Dầu động cơ",DATA_GOC!$F:$F,"Xuất nội bộ từ téc",DATA_GOC!$B:$B,DATE($D$2,$B$2,K$4)),0))</f>
        <v>0</v>
      </c>
      <c r="L264" s="251">
        <f>IF(L$4&gt;DAY(EOMONTH(DATE($D$2,$B$2,1),0)),"",IFERROR(SUMIFS(DATA_GOC!$H:$H,DATA_GOC!$A:$A,"BOM",DATA_GOC!$D:$D,$B264,DATA_GOC!$E:$E,"Dầu động cơ",DATA_GOC!$F:$F,"Xuất nội bộ từ téc",DATA_GOC!$B:$B,DATE($D$2,$B$2,L$4)),0))</f>
        <v>0</v>
      </c>
      <c r="M264" s="251">
        <f>IF(M$4&gt;DAY(EOMONTH(DATE($D$2,$B$2,1),0)),"",IFERROR(SUMIFS(DATA_GOC!$H:$H,DATA_GOC!$A:$A,"BOM",DATA_GOC!$D:$D,$B264,DATA_GOC!$E:$E,"Dầu động cơ",DATA_GOC!$F:$F,"Xuất nội bộ từ téc",DATA_GOC!$B:$B,DATE($D$2,$B$2,M$4)),0))</f>
        <v>0</v>
      </c>
      <c r="N264" s="251">
        <f>IF(N$4&gt;DAY(EOMONTH(DATE($D$2,$B$2,1),0)),"",IFERROR(SUMIFS(DATA_GOC!$H:$H,DATA_GOC!$A:$A,"BOM",DATA_GOC!$D:$D,$B264,DATA_GOC!$E:$E,"Dầu động cơ",DATA_GOC!$F:$F,"Xuất nội bộ từ téc",DATA_GOC!$B:$B,DATE($D$2,$B$2,N$4)),0))</f>
        <v>0</v>
      </c>
      <c r="O264" s="251">
        <f>IF(O$4&gt;DAY(EOMONTH(DATE($D$2,$B$2,1),0)),"",IFERROR(SUMIFS(DATA_GOC!$H:$H,DATA_GOC!$A:$A,"BOM",DATA_GOC!$D:$D,$B264,DATA_GOC!$E:$E,"Dầu động cơ",DATA_GOC!$F:$F,"Xuất nội bộ từ téc",DATA_GOC!$B:$B,DATE($D$2,$B$2,O$4)),0))</f>
        <v>0</v>
      </c>
      <c r="P264" s="251">
        <f>IF(P$4&gt;DAY(EOMONTH(DATE($D$2,$B$2,1),0)),"",IFERROR(SUMIFS(DATA_GOC!$H:$H,DATA_GOC!$A:$A,"BOM",DATA_GOC!$D:$D,$B264,DATA_GOC!$E:$E,"Dầu động cơ",DATA_GOC!$F:$F,"Xuất nội bộ từ téc",DATA_GOC!$B:$B,DATE($D$2,$B$2,P$4)),0))</f>
        <v>0</v>
      </c>
      <c r="Q264" s="251">
        <f>IF(Q$4&gt;DAY(EOMONTH(DATE($D$2,$B$2,1),0)),"",IFERROR(SUMIFS(DATA_GOC!$H:$H,DATA_GOC!$A:$A,"BOM",DATA_GOC!$D:$D,$B264,DATA_GOC!$E:$E,"Dầu động cơ",DATA_GOC!$F:$F,"Xuất nội bộ từ téc",DATA_GOC!$B:$B,DATE($D$2,$B$2,Q$4)),0))</f>
        <v>0</v>
      </c>
      <c r="R264" s="251">
        <f>IF(R$4&gt;DAY(EOMONTH(DATE($D$2,$B$2,1),0)),"",IFERROR(SUMIFS(DATA_GOC!$H:$H,DATA_GOC!$A:$A,"BOM",DATA_GOC!$D:$D,$B264,DATA_GOC!$E:$E,"Dầu động cơ",DATA_GOC!$F:$F,"Xuất nội bộ từ téc",DATA_GOC!$B:$B,DATE($D$2,$B$2,R$4)),0))</f>
        <v>0</v>
      </c>
      <c r="S264" s="251">
        <f>IF(S$4&gt;DAY(EOMONTH(DATE($D$2,$B$2,1),0)),"",IFERROR(SUMIFS(DATA_GOC!$H:$H,DATA_GOC!$A:$A,"BOM",DATA_GOC!$D:$D,$B264,DATA_GOC!$E:$E,"Dầu động cơ",DATA_GOC!$F:$F,"Xuất nội bộ từ téc",DATA_GOC!$B:$B,DATE($D$2,$B$2,S$4)),0))</f>
        <v>0</v>
      </c>
      <c r="T264" s="251">
        <f>IF(T$4&gt;DAY(EOMONTH(DATE($D$2,$B$2,1),0)),"",IFERROR(SUMIFS(DATA_GOC!$H:$H,DATA_GOC!$A:$A,"BOM",DATA_GOC!$D:$D,$B264,DATA_GOC!$E:$E,"Dầu động cơ",DATA_GOC!$F:$F,"Xuất nội bộ từ téc",DATA_GOC!$B:$B,DATE($D$2,$B$2,T$4)),0))</f>
        <v>0</v>
      </c>
      <c r="U264" s="251">
        <f>IF(U$4&gt;DAY(EOMONTH(DATE($D$2,$B$2,1),0)),"",IFERROR(SUMIFS(DATA_GOC!$H:$H,DATA_GOC!$A:$A,"BOM",DATA_GOC!$D:$D,$B264,DATA_GOC!$E:$E,"Dầu động cơ",DATA_GOC!$F:$F,"Xuất nội bộ từ téc",DATA_GOC!$B:$B,DATE($D$2,$B$2,U$4)),0))</f>
        <v>0</v>
      </c>
      <c r="V264" s="251">
        <f>IF(V$4&gt;DAY(EOMONTH(DATE($D$2,$B$2,1),0)),"",IFERROR(SUMIFS(DATA_GOC!$H:$H,DATA_GOC!$A:$A,"BOM",DATA_GOC!$D:$D,$B264,DATA_GOC!$E:$E,"Dầu động cơ",DATA_GOC!$F:$F,"Xuất nội bộ từ téc",DATA_GOC!$B:$B,DATE($D$2,$B$2,V$4)),0))</f>
        <v>0</v>
      </c>
      <c r="W264" s="251">
        <f>IF(W$4&gt;DAY(EOMONTH(DATE($D$2,$B$2,1),0)),"",IFERROR(SUMIFS(DATA_GOC!$H:$H,DATA_GOC!$A:$A,"BOM",DATA_GOC!$D:$D,$B264,DATA_GOC!$E:$E,"Dầu động cơ",DATA_GOC!$F:$F,"Xuất nội bộ từ téc",DATA_GOC!$B:$B,DATE($D$2,$B$2,W$4)),0))</f>
        <v>0</v>
      </c>
      <c r="X264" s="251">
        <f>IF(X$4&gt;DAY(EOMONTH(DATE($D$2,$B$2,1),0)),"",IFERROR(SUMIFS(DATA_GOC!$H:$H,DATA_GOC!$A:$A,"BOM",DATA_GOC!$D:$D,$B264,DATA_GOC!$E:$E,"Dầu động cơ",DATA_GOC!$F:$F,"Xuất nội bộ từ téc",DATA_GOC!$B:$B,DATE($D$2,$B$2,X$4)),0))</f>
        <v>0</v>
      </c>
      <c r="Y264" s="251">
        <f>IF(Y$4&gt;DAY(EOMONTH(DATE($D$2,$B$2,1),0)),"",IFERROR(SUMIFS(DATA_GOC!$H:$H,DATA_GOC!$A:$A,"BOM",DATA_GOC!$D:$D,$B264,DATA_GOC!$E:$E,"Dầu động cơ",DATA_GOC!$F:$F,"Xuất nội bộ từ téc",DATA_GOC!$B:$B,DATE($D$2,$B$2,Y$4)),0))</f>
        <v>0</v>
      </c>
      <c r="Z264" s="251">
        <f>IF(Z$4&gt;DAY(EOMONTH(DATE($D$2,$B$2,1),0)),"",IFERROR(SUMIFS(DATA_GOC!$H:$H,DATA_GOC!$A:$A,"BOM",DATA_GOC!$D:$D,$B264,DATA_GOC!$E:$E,"Dầu động cơ",DATA_GOC!$F:$F,"Xuất nội bộ từ téc",DATA_GOC!$B:$B,DATE($D$2,$B$2,Z$4)),0))</f>
        <v>0</v>
      </c>
      <c r="AA264" s="251">
        <f>IF(AA$4&gt;DAY(EOMONTH(DATE($D$2,$B$2,1),0)),"",IFERROR(SUMIFS(DATA_GOC!$H:$H,DATA_GOC!$A:$A,"BOM",DATA_GOC!$D:$D,$B264,DATA_GOC!$E:$E,"Dầu động cơ",DATA_GOC!$F:$F,"Xuất nội bộ từ téc",DATA_GOC!$B:$B,DATE($D$2,$B$2,AA$4)),0))</f>
        <v>0</v>
      </c>
      <c r="AB264" s="251">
        <f>IF(AB$4&gt;DAY(EOMONTH(DATE($D$2,$B$2,1),0)),"",IFERROR(SUMIFS(DATA_GOC!$H:$H,DATA_GOC!$A:$A,"BOM",DATA_GOC!$D:$D,$B264,DATA_GOC!$E:$E,"Dầu động cơ",DATA_GOC!$F:$F,"Xuất nội bộ từ téc",DATA_GOC!$B:$B,DATE($D$2,$B$2,AB$4)),0))</f>
        <v>0</v>
      </c>
      <c r="AC264" s="251">
        <f>IF(AC$4&gt;DAY(EOMONTH(DATE($D$2,$B$2,1),0)),"",IFERROR(SUMIFS(DATA_GOC!$H:$H,DATA_GOC!$A:$A,"BOM",DATA_GOC!$D:$D,$B264,DATA_GOC!$E:$E,"Dầu động cơ",DATA_GOC!$F:$F,"Xuất nội bộ từ téc",DATA_GOC!$B:$B,DATE($D$2,$B$2,AC$4)),0))</f>
        <v>0</v>
      </c>
      <c r="AD264" s="251">
        <f>IF(AD$4&gt;DAY(EOMONTH(DATE($D$2,$B$2,1),0)),"",IFERROR(SUMIFS(DATA_GOC!$H:$H,DATA_GOC!$A:$A,"BOM",DATA_GOC!$D:$D,$B264,DATA_GOC!$E:$E,"Dầu động cơ",DATA_GOC!$F:$F,"Xuất nội bộ từ téc",DATA_GOC!$B:$B,DATE($D$2,$B$2,AD$4)),0))</f>
        <v>0</v>
      </c>
      <c r="AE264" s="251">
        <f>IF(AE$4&gt;DAY(EOMONTH(DATE($D$2,$B$2,1),0)),"",IFERROR(SUMIFS(DATA_GOC!$H:$H,DATA_GOC!$A:$A,"BOM",DATA_GOC!$D:$D,$B264,DATA_GOC!$E:$E,"Dầu động cơ",DATA_GOC!$F:$F,"Xuất nội bộ từ téc",DATA_GOC!$B:$B,DATE($D$2,$B$2,AE$4)),0))</f>
        <v>0</v>
      </c>
      <c r="AF264" s="251">
        <f>IF(AF$4&gt;DAY(EOMONTH(DATE($D$2,$B$2,1),0)),"",IFERROR(SUMIFS(DATA_GOC!$H:$H,DATA_GOC!$A:$A,"BOM",DATA_GOC!$D:$D,$B264,DATA_GOC!$E:$E,"Dầu động cơ",DATA_GOC!$F:$F,"Xuất nội bộ từ téc",DATA_GOC!$B:$B,DATE($D$2,$B$2,AF$4)),0))</f>
        <v>0</v>
      </c>
      <c r="AG264" s="251">
        <f>IF(AG$4&gt;DAY(EOMONTH(DATE($D$2,$B$2,1),0)),"",IFERROR(SUMIFS(DATA_GOC!$H:$H,DATA_GOC!$A:$A,"BOM",DATA_GOC!$D:$D,$B264,DATA_GOC!$E:$E,"Dầu động cơ",DATA_GOC!$F:$F,"Xuất nội bộ từ téc",DATA_GOC!$B:$B,DATE($D$2,$B$2,AG$4)),0))</f>
        <v>0</v>
      </c>
      <c r="AH264" s="252">
        <f t="shared" si="13"/>
        <v>0</v>
      </c>
      <c r="AI264" s="241"/>
      <c r="AJ264" s="242">
        <f>IF($B264="","",SUMIFS(TINH_TEC!$K$233:$K$9232,TINH_TEC!$H$233:$H$9232,$B264,TINH_TEC!$C$233:$C$9232,"Dầu động cơ",TINH_TEC!$F$233:$F$9232,$B$2,TINH_TEC!$G$233:$G$9232,$D$2,TINH_TEC!$B$233:$B$9232,"Đã chốt"))</f>
        <v>0</v>
      </c>
      <c r="AK264" s="242">
        <f>IF($B264="","",SUMIFS(TINH_TEC!$J$233:$J$9232,TINH_TEC!$H$233:$H$9232,$B264,TINH_TEC!$C$233:$C$9232,"Dầu động cơ",TINH_TEC!$F$233:$F$9232,$B$2,TINH_TEC!$G$233:$G$9232,$D$2,TINH_TEC!$B$233:$B$9232,"Đã chốt"))</f>
        <v>0</v>
      </c>
      <c r="AL264" s="242">
        <f t="shared" si="14"/>
        <v>0</v>
      </c>
    </row>
    <row r="265" ht="15.75" customHeight="1">
      <c r="A265" s="237">
        <f>IF($B265&lt;&gt;"",16,"")</f>
        <v>16</v>
      </c>
      <c r="B265" s="250" t="str">
        <f t="array" ref="B265">IFERROR(INDEX(DANH_MUC!$E:$E,19),"")</f>
        <v>28C02986</v>
      </c>
      <c r="C265" s="251">
        <f>IF(C$4&gt;DAY(EOMONTH(DATE($D$2,$B$2,1),0)),"",IFERROR(SUMIFS(DATA_GOC!$H:$H,DATA_GOC!$A:$A,"BOM",DATA_GOC!$D:$D,$B265,DATA_GOC!$E:$E,"Dầu động cơ",DATA_GOC!$F:$F,"Xuất nội bộ từ téc",DATA_GOC!$B:$B,DATE($D$2,$B$2,C$4)),0))</f>
        <v>0</v>
      </c>
      <c r="D265" s="251">
        <f>IF(D$4&gt;DAY(EOMONTH(DATE($D$2,$B$2,1),0)),"",IFERROR(SUMIFS(DATA_GOC!$H:$H,DATA_GOC!$A:$A,"BOM",DATA_GOC!$D:$D,$B265,DATA_GOC!$E:$E,"Dầu động cơ",DATA_GOC!$F:$F,"Xuất nội bộ từ téc",DATA_GOC!$B:$B,DATE($D$2,$B$2,D$4)),0))</f>
        <v>0</v>
      </c>
      <c r="E265" s="251">
        <f>IF(E$4&gt;DAY(EOMONTH(DATE($D$2,$B$2,1),0)),"",IFERROR(SUMIFS(DATA_GOC!$H:$H,DATA_GOC!$A:$A,"BOM",DATA_GOC!$D:$D,$B265,DATA_GOC!$E:$E,"Dầu động cơ",DATA_GOC!$F:$F,"Xuất nội bộ từ téc",DATA_GOC!$B:$B,DATE($D$2,$B$2,E$4)),0))</f>
        <v>0</v>
      </c>
      <c r="F265" s="251">
        <f>IF(F$4&gt;DAY(EOMONTH(DATE($D$2,$B$2,1),0)),"",IFERROR(SUMIFS(DATA_GOC!$H:$H,DATA_GOC!$A:$A,"BOM",DATA_GOC!$D:$D,$B265,DATA_GOC!$E:$E,"Dầu động cơ",DATA_GOC!$F:$F,"Xuất nội bộ từ téc",DATA_GOC!$B:$B,DATE($D$2,$B$2,F$4)),0))</f>
        <v>28</v>
      </c>
      <c r="G265" s="251">
        <f>IF(G$4&gt;DAY(EOMONTH(DATE($D$2,$B$2,1),0)),"",IFERROR(SUMIFS(DATA_GOC!$H:$H,DATA_GOC!$A:$A,"BOM",DATA_GOC!$D:$D,$B265,DATA_GOC!$E:$E,"Dầu động cơ",DATA_GOC!$F:$F,"Xuất nội bộ từ téc",DATA_GOC!$B:$B,DATE($D$2,$B$2,G$4)),0))</f>
        <v>0</v>
      </c>
      <c r="H265" s="251">
        <f>IF(H$4&gt;DAY(EOMONTH(DATE($D$2,$B$2,1),0)),"",IFERROR(SUMIFS(DATA_GOC!$H:$H,DATA_GOC!$A:$A,"BOM",DATA_GOC!$D:$D,$B265,DATA_GOC!$E:$E,"Dầu động cơ",DATA_GOC!$F:$F,"Xuất nội bộ từ téc",DATA_GOC!$B:$B,DATE($D$2,$B$2,H$4)),0))</f>
        <v>0</v>
      </c>
      <c r="I265" s="251">
        <f>IF(I$4&gt;DAY(EOMONTH(DATE($D$2,$B$2,1),0)),"",IFERROR(SUMIFS(DATA_GOC!$H:$H,DATA_GOC!$A:$A,"BOM",DATA_GOC!$D:$D,$B265,DATA_GOC!$E:$E,"Dầu động cơ",DATA_GOC!$F:$F,"Xuất nội bộ từ téc",DATA_GOC!$B:$B,DATE($D$2,$B$2,I$4)),0))</f>
        <v>0</v>
      </c>
      <c r="J265" s="251">
        <f>IF(J$4&gt;DAY(EOMONTH(DATE($D$2,$B$2,1),0)),"",IFERROR(SUMIFS(DATA_GOC!$H:$H,DATA_GOC!$A:$A,"BOM",DATA_GOC!$D:$D,$B265,DATA_GOC!$E:$E,"Dầu động cơ",DATA_GOC!$F:$F,"Xuất nội bộ từ téc",DATA_GOC!$B:$B,DATE($D$2,$B$2,J$4)),0))</f>
        <v>0</v>
      </c>
      <c r="K265" s="251">
        <f>IF(K$4&gt;DAY(EOMONTH(DATE($D$2,$B$2,1),0)),"",IFERROR(SUMIFS(DATA_GOC!$H:$H,DATA_GOC!$A:$A,"BOM",DATA_GOC!$D:$D,$B265,DATA_GOC!$E:$E,"Dầu động cơ",DATA_GOC!$F:$F,"Xuất nội bộ từ téc",DATA_GOC!$B:$B,DATE($D$2,$B$2,K$4)),0))</f>
        <v>0</v>
      </c>
      <c r="L265" s="251">
        <f>IF(L$4&gt;DAY(EOMONTH(DATE($D$2,$B$2,1),0)),"",IFERROR(SUMIFS(DATA_GOC!$H:$H,DATA_GOC!$A:$A,"BOM",DATA_GOC!$D:$D,$B265,DATA_GOC!$E:$E,"Dầu động cơ",DATA_GOC!$F:$F,"Xuất nội bộ từ téc",DATA_GOC!$B:$B,DATE($D$2,$B$2,L$4)),0))</f>
        <v>0</v>
      </c>
      <c r="M265" s="251">
        <f>IF(M$4&gt;DAY(EOMONTH(DATE($D$2,$B$2,1),0)),"",IFERROR(SUMIFS(DATA_GOC!$H:$H,DATA_GOC!$A:$A,"BOM",DATA_GOC!$D:$D,$B265,DATA_GOC!$E:$E,"Dầu động cơ",DATA_GOC!$F:$F,"Xuất nội bộ từ téc",DATA_GOC!$B:$B,DATE($D$2,$B$2,M$4)),0))</f>
        <v>0</v>
      </c>
      <c r="N265" s="251">
        <f>IF(N$4&gt;DAY(EOMONTH(DATE($D$2,$B$2,1),0)),"",IFERROR(SUMIFS(DATA_GOC!$H:$H,DATA_GOC!$A:$A,"BOM",DATA_GOC!$D:$D,$B265,DATA_GOC!$E:$E,"Dầu động cơ",DATA_GOC!$F:$F,"Xuất nội bộ từ téc",DATA_GOC!$B:$B,DATE($D$2,$B$2,N$4)),0))</f>
        <v>0</v>
      </c>
      <c r="O265" s="251">
        <f>IF(O$4&gt;DAY(EOMONTH(DATE($D$2,$B$2,1),0)),"",IFERROR(SUMIFS(DATA_GOC!$H:$H,DATA_GOC!$A:$A,"BOM",DATA_GOC!$D:$D,$B265,DATA_GOC!$E:$E,"Dầu động cơ",DATA_GOC!$F:$F,"Xuất nội bộ từ téc",DATA_GOC!$B:$B,DATE($D$2,$B$2,O$4)),0))</f>
        <v>0</v>
      </c>
      <c r="P265" s="251">
        <f>IF(P$4&gt;DAY(EOMONTH(DATE($D$2,$B$2,1),0)),"",IFERROR(SUMIFS(DATA_GOC!$H:$H,DATA_GOC!$A:$A,"BOM",DATA_GOC!$D:$D,$B265,DATA_GOC!$E:$E,"Dầu động cơ",DATA_GOC!$F:$F,"Xuất nội bộ từ téc",DATA_GOC!$B:$B,DATE($D$2,$B$2,P$4)),0))</f>
        <v>0</v>
      </c>
      <c r="Q265" s="251">
        <f>IF(Q$4&gt;DAY(EOMONTH(DATE($D$2,$B$2,1),0)),"",IFERROR(SUMIFS(DATA_GOC!$H:$H,DATA_GOC!$A:$A,"BOM",DATA_GOC!$D:$D,$B265,DATA_GOC!$E:$E,"Dầu động cơ",DATA_GOC!$F:$F,"Xuất nội bộ từ téc",DATA_GOC!$B:$B,DATE($D$2,$B$2,Q$4)),0))</f>
        <v>0</v>
      </c>
      <c r="R265" s="251">
        <f>IF(R$4&gt;DAY(EOMONTH(DATE($D$2,$B$2,1),0)),"",IFERROR(SUMIFS(DATA_GOC!$H:$H,DATA_GOC!$A:$A,"BOM",DATA_GOC!$D:$D,$B265,DATA_GOC!$E:$E,"Dầu động cơ",DATA_GOC!$F:$F,"Xuất nội bộ từ téc",DATA_GOC!$B:$B,DATE($D$2,$B$2,R$4)),0))</f>
        <v>0</v>
      </c>
      <c r="S265" s="251">
        <f>IF(S$4&gt;DAY(EOMONTH(DATE($D$2,$B$2,1),0)),"",IFERROR(SUMIFS(DATA_GOC!$H:$H,DATA_GOC!$A:$A,"BOM",DATA_GOC!$D:$D,$B265,DATA_GOC!$E:$E,"Dầu động cơ",DATA_GOC!$F:$F,"Xuất nội bộ từ téc",DATA_GOC!$B:$B,DATE($D$2,$B$2,S$4)),0))</f>
        <v>0</v>
      </c>
      <c r="T265" s="251">
        <f>IF(T$4&gt;DAY(EOMONTH(DATE($D$2,$B$2,1),0)),"",IFERROR(SUMIFS(DATA_GOC!$H:$H,DATA_GOC!$A:$A,"BOM",DATA_GOC!$D:$D,$B265,DATA_GOC!$E:$E,"Dầu động cơ",DATA_GOC!$F:$F,"Xuất nội bộ từ téc",DATA_GOC!$B:$B,DATE($D$2,$B$2,T$4)),0))</f>
        <v>0</v>
      </c>
      <c r="U265" s="251">
        <f>IF(U$4&gt;DAY(EOMONTH(DATE($D$2,$B$2,1),0)),"",IFERROR(SUMIFS(DATA_GOC!$H:$H,DATA_GOC!$A:$A,"BOM",DATA_GOC!$D:$D,$B265,DATA_GOC!$E:$E,"Dầu động cơ",DATA_GOC!$F:$F,"Xuất nội bộ từ téc",DATA_GOC!$B:$B,DATE($D$2,$B$2,U$4)),0))</f>
        <v>0</v>
      </c>
      <c r="V265" s="251">
        <f>IF(V$4&gt;DAY(EOMONTH(DATE($D$2,$B$2,1),0)),"",IFERROR(SUMIFS(DATA_GOC!$H:$H,DATA_GOC!$A:$A,"BOM",DATA_GOC!$D:$D,$B265,DATA_GOC!$E:$E,"Dầu động cơ",DATA_GOC!$F:$F,"Xuất nội bộ từ téc",DATA_GOC!$B:$B,DATE($D$2,$B$2,V$4)),0))</f>
        <v>0</v>
      </c>
      <c r="W265" s="251">
        <f>IF(W$4&gt;DAY(EOMONTH(DATE($D$2,$B$2,1),0)),"",IFERROR(SUMIFS(DATA_GOC!$H:$H,DATA_GOC!$A:$A,"BOM",DATA_GOC!$D:$D,$B265,DATA_GOC!$E:$E,"Dầu động cơ",DATA_GOC!$F:$F,"Xuất nội bộ từ téc",DATA_GOC!$B:$B,DATE($D$2,$B$2,W$4)),0))</f>
        <v>0</v>
      </c>
      <c r="X265" s="251">
        <f>IF(X$4&gt;DAY(EOMONTH(DATE($D$2,$B$2,1),0)),"",IFERROR(SUMIFS(DATA_GOC!$H:$H,DATA_GOC!$A:$A,"BOM",DATA_GOC!$D:$D,$B265,DATA_GOC!$E:$E,"Dầu động cơ",DATA_GOC!$F:$F,"Xuất nội bộ từ téc",DATA_GOC!$B:$B,DATE($D$2,$B$2,X$4)),0))</f>
        <v>0</v>
      </c>
      <c r="Y265" s="251">
        <f>IF(Y$4&gt;DAY(EOMONTH(DATE($D$2,$B$2,1),0)),"",IFERROR(SUMIFS(DATA_GOC!$H:$H,DATA_GOC!$A:$A,"BOM",DATA_GOC!$D:$D,$B265,DATA_GOC!$E:$E,"Dầu động cơ",DATA_GOC!$F:$F,"Xuất nội bộ từ téc",DATA_GOC!$B:$B,DATE($D$2,$B$2,Y$4)),0))</f>
        <v>0</v>
      </c>
      <c r="Z265" s="251">
        <f>IF(Z$4&gt;DAY(EOMONTH(DATE($D$2,$B$2,1),0)),"",IFERROR(SUMIFS(DATA_GOC!$H:$H,DATA_GOC!$A:$A,"BOM",DATA_GOC!$D:$D,$B265,DATA_GOC!$E:$E,"Dầu động cơ",DATA_GOC!$F:$F,"Xuất nội bộ từ téc",DATA_GOC!$B:$B,DATE($D$2,$B$2,Z$4)),0))</f>
        <v>0</v>
      </c>
      <c r="AA265" s="251">
        <f>IF(AA$4&gt;DAY(EOMONTH(DATE($D$2,$B$2,1),0)),"",IFERROR(SUMIFS(DATA_GOC!$H:$H,DATA_GOC!$A:$A,"BOM",DATA_GOC!$D:$D,$B265,DATA_GOC!$E:$E,"Dầu động cơ",DATA_GOC!$F:$F,"Xuất nội bộ từ téc",DATA_GOC!$B:$B,DATE($D$2,$B$2,AA$4)),0))</f>
        <v>0</v>
      </c>
      <c r="AB265" s="251">
        <f>IF(AB$4&gt;DAY(EOMONTH(DATE($D$2,$B$2,1),0)),"",IFERROR(SUMIFS(DATA_GOC!$H:$H,DATA_GOC!$A:$A,"BOM",DATA_GOC!$D:$D,$B265,DATA_GOC!$E:$E,"Dầu động cơ",DATA_GOC!$F:$F,"Xuất nội bộ từ téc",DATA_GOC!$B:$B,DATE($D$2,$B$2,AB$4)),0))</f>
        <v>0</v>
      </c>
      <c r="AC265" s="251">
        <f>IF(AC$4&gt;DAY(EOMONTH(DATE($D$2,$B$2,1),0)),"",IFERROR(SUMIFS(DATA_GOC!$H:$H,DATA_GOC!$A:$A,"BOM",DATA_GOC!$D:$D,$B265,DATA_GOC!$E:$E,"Dầu động cơ",DATA_GOC!$F:$F,"Xuất nội bộ từ téc",DATA_GOC!$B:$B,DATE($D$2,$B$2,AC$4)),0))</f>
        <v>0</v>
      </c>
      <c r="AD265" s="251">
        <f>IF(AD$4&gt;DAY(EOMONTH(DATE($D$2,$B$2,1),0)),"",IFERROR(SUMIFS(DATA_GOC!$H:$H,DATA_GOC!$A:$A,"BOM",DATA_GOC!$D:$D,$B265,DATA_GOC!$E:$E,"Dầu động cơ",DATA_GOC!$F:$F,"Xuất nội bộ từ téc",DATA_GOC!$B:$B,DATE($D$2,$B$2,AD$4)),0))</f>
        <v>0</v>
      </c>
      <c r="AE265" s="251">
        <f>IF(AE$4&gt;DAY(EOMONTH(DATE($D$2,$B$2,1),0)),"",IFERROR(SUMIFS(DATA_GOC!$H:$H,DATA_GOC!$A:$A,"BOM",DATA_GOC!$D:$D,$B265,DATA_GOC!$E:$E,"Dầu động cơ",DATA_GOC!$F:$F,"Xuất nội bộ từ téc",DATA_GOC!$B:$B,DATE($D$2,$B$2,AE$4)),0))</f>
        <v>0</v>
      </c>
      <c r="AF265" s="251">
        <f>IF(AF$4&gt;DAY(EOMONTH(DATE($D$2,$B$2,1),0)),"",IFERROR(SUMIFS(DATA_GOC!$H:$H,DATA_GOC!$A:$A,"BOM",DATA_GOC!$D:$D,$B265,DATA_GOC!$E:$E,"Dầu động cơ",DATA_GOC!$F:$F,"Xuất nội bộ từ téc",DATA_GOC!$B:$B,DATE($D$2,$B$2,AF$4)),0))</f>
        <v>0</v>
      </c>
      <c r="AG265" s="251">
        <f>IF(AG$4&gt;DAY(EOMONTH(DATE($D$2,$B$2,1),0)),"",IFERROR(SUMIFS(DATA_GOC!$H:$H,DATA_GOC!$A:$A,"BOM",DATA_GOC!$D:$D,$B265,DATA_GOC!$E:$E,"Dầu động cơ",DATA_GOC!$F:$F,"Xuất nội bộ từ téc",DATA_GOC!$B:$B,DATE($D$2,$B$2,AG$4)),0))</f>
        <v>0</v>
      </c>
      <c r="AH265" s="252">
        <f t="shared" si="13"/>
        <v>28</v>
      </c>
      <c r="AI265" s="241"/>
      <c r="AJ265" s="242">
        <f>IF($B265="","",SUMIFS(TINH_TEC!$K$233:$K$9232,TINH_TEC!$H$233:$H$9232,$B265,TINH_TEC!$C$233:$C$9232,"Dầu động cơ",TINH_TEC!$F$233:$F$9232,$B$2,TINH_TEC!$G$233:$G$9232,$D$2,TINH_TEC!$B$233:$B$9232,"Đã chốt"))</f>
        <v>0</v>
      </c>
      <c r="AK265" s="242">
        <f>IF($B265="","",SUMIFS(TINH_TEC!$J$233:$J$9232,TINH_TEC!$H$233:$H$9232,$B265,TINH_TEC!$C$233:$C$9232,"Dầu động cơ",TINH_TEC!$F$233:$F$9232,$B$2,TINH_TEC!$G$233:$G$9232,$D$2,TINH_TEC!$B$233:$B$9232,"Đã chốt"))</f>
        <v>0</v>
      </c>
      <c r="AL265" s="242">
        <f t="shared" si="14"/>
        <v>28</v>
      </c>
    </row>
    <row r="266" ht="15.75" customHeight="1">
      <c r="A266" s="237">
        <f>IF($B266&lt;&gt;"",17,"")</f>
        <v>17</v>
      </c>
      <c r="B266" s="250" t="str">
        <f t="array" ref="B266">IFERROR(INDEX(DANH_MUC!$E:$E,20),"")</f>
        <v>28C03261</v>
      </c>
      <c r="C266" s="251">
        <f>IF(C$4&gt;DAY(EOMONTH(DATE($D$2,$B$2,1),0)),"",IFERROR(SUMIFS(DATA_GOC!$H:$H,DATA_GOC!$A:$A,"BOM",DATA_GOC!$D:$D,$B266,DATA_GOC!$E:$E,"Dầu động cơ",DATA_GOC!$F:$F,"Xuất nội bộ từ téc",DATA_GOC!$B:$B,DATE($D$2,$B$2,C$4)),0))</f>
        <v>0</v>
      </c>
      <c r="D266" s="251">
        <f>IF(D$4&gt;DAY(EOMONTH(DATE($D$2,$B$2,1),0)),"",IFERROR(SUMIFS(DATA_GOC!$H:$H,DATA_GOC!$A:$A,"BOM",DATA_GOC!$D:$D,$B266,DATA_GOC!$E:$E,"Dầu động cơ",DATA_GOC!$F:$F,"Xuất nội bộ từ téc",DATA_GOC!$B:$B,DATE($D$2,$B$2,D$4)),0))</f>
        <v>0</v>
      </c>
      <c r="E266" s="251">
        <f>IF(E$4&gt;DAY(EOMONTH(DATE($D$2,$B$2,1),0)),"",IFERROR(SUMIFS(DATA_GOC!$H:$H,DATA_GOC!$A:$A,"BOM",DATA_GOC!$D:$D,$B266,DATA_GOC!$E:$E,"Dầu động cơ",DATA_GOC!$F:$F,"Xuất nội bộ từ téc",DATA_GOC!$B:$B,DATE($D$2,$B$2,E$4)),0))</f>
        <v>0</v>
      </c>
      <c r="F266" s="251">
        <f>IF(F$4&gt;DAY(EOMONTH(DATE($D$2,$B$2,1),0)),"",IFERROR(SUMIFS(DATA_GOC!$H:$H,DATA_GOC!$A:$A,"BOM",DATA_GOC!$D:$D,$B266,DATA_GOC!$E:$E,"Dầu động cơ",DATA_GOC!$F:$F,"Xuất nội bộ từ téc",DATA_GOC!$B:$B,DATE($D$2,$B$2,F$4)),0))</f>
        <v>0</v>
      </c>
      <c r="G266" s="251">
        <f>IF(G$4&gt;DAY(EOMONTH(DATE($D$2,$B$2,1),0)),"",IFERROR(SUMIFS(DATA_GOC!$H:$H,DATA_GOC!$A:$A,"BOM",DATA_GOC!$D:$D,$B266,DATA_GOC!$E:$E,"Dầu động cơ",DATA_GOC!$F:$F,"Xuất nội bộ từ téc",DATA_GOC!$B:$B,DATE($D$2,$B$2,G$4)),0))</f>
        <v>0</v>
      </c>
      <c r="H266" s="251">
        <f>IF(H$4&gt;DAY(EOMONTH(DATE($D$2,$B$2,1),0)),"",IFERROR(SUMIFS(DATA_GOC!$H:$H,DATA_GOC!$A:$A,"BOM",DATA_GOC!$D:$D,$B266,DATA_GOC!$E:$E,"Dầu động cơ",DATA_GOC!$F:$F,"Xuất nội bộ từ téc",DATA_GOC!$B:$B,DATE($D$2,$B$2,H$4)),0))</f>
        <v>0</v>
      </c>
      <c r="I266" s="251">
        <f>IF(I$4&gt;DAY(EOMONTH(DATE($D$2,$B$2,1),0)),"",IFERROR(SUMIFS(DATA_GOC!$H:$H,DATA_GOC!$A:$A,"BOM",DATA_GOC!$D:$D,$B266,DATA_GOC!$E:$E,"Dầu động cơ",DATA_GOC!$F:$F,"Xuất nội bộ từ téc",DATA_GOC!$B:$B,DATE($D$2,$B$2,I$4)),0))</f>
        <v>0</v>
      </c>
      <c r="J266" s="251">
        <f>IF(J$4&gt;DAY(EOMONTH(DATE($D$2,$B$2,1),0)),"",IFERROR(SUMIFS(DATA_GOC!$H:$H,DATA_GOC!$A:$A,"BOM",DATA_GOC!$D:$D,$B266,DATA_GOC!$E:$E,"Dầu động cơ",DATA_GOC!$F:$F,"Xuất nội bộ từ téc",DATA_GOC!$B:$B,DATE($D$2,$B$2,J$4)),0))</f>
        <v>0</v>
      </c>
      <c r="K266" s="251">
        <f>IF(K$4&gt;DAY(EOMONTH(DATE($D$2,$B$2,1),0)),"",IFERROR(SUMIFS(DATA_GOC!$H:$H,DATA_GOC!$A:$A,"BOM",DATA_GOC!$D:$D,$B266,DATA_GOC!$E:$E,"Dầu động cơ",DATA_GOC!$F:$F,"Xuất nội bộ từ téc",DATA_GOC!$B:$B,DATE($D$2,$B$2,K$4)),0))</f>
        <v>0</v>
      </c>
      <c r="L266" s="251">
        <f>IF(L$4&gt;DAY(EOMONTH(DATE($D$2,$B$2,1),0)),"",IFERROR(SUMIFS(DATA_GOC!$H:$H,DATA_GOC!$A:$A,"BOM",DATA_GOC!$D:$D,$B266,DATA_GOC!$E:$E,"Dầu động cơ",DATA_GOC!$F:$F,"Xuất nội bộ từ téc",DATA_GOC!$B:$B,DATE($D$2,$B$2,L$4)),0))</f>
        <v>0</v>
      </c>
      <c r="M266" s="251">
        <f>IF(M$4&gt;DAY(EOMONTH(DATE($D$2,$B$2,1),0)),"",IFERROR(SUMIFS(DATA_GOC!$H:$H,DATA_GOC!$A:$A,"BOM",DATA_GOC!$D:$D,$B266,DATA_GOC!$E:$E,"Dầu động cơ",DATA_GOC!$F:$F,"Xuất nội bộ từ téc",DATA_GOC!$B:$B,DATE($D$2,$B$2,M$4)),0))</f>
        <v>0</v>
      </c>
      <c r="N266" s="251">
        <f>IF(N$4&gt;DAY(EOMONTH(DATE($D$2,$B$2,1),0)),"",IFERROR(SUMIFS(DATA_GOC!$H:$H,DATA_GOC!$A:$A,"BOM",DATA_GOC!$D:$D,$B266,DATA_GOC!$E:$E,"Dầu động cơ",DATA_GOC!$F:$F,"Xuất nội bộ từ téc",DATA_GOC!$B:$B,DATE($D$2,$B$2,N$4)),0))</f>
        <v>0</v>
      </c>
      <c r="O266" s="251">
        <f>IF(O$4&gt;DAY(EOMONTH(DATE($D$2,$B$2,1),0)),"",IFERROR(SUMIFS(DATA_GOC!$H:$H,DATA_GOC!$A:$A,"BOM",DATA_GOC!$D:$D,$B266,DATA_GOC!$E:$E,"Dầu động cơ",DATA_GOC!$F:$F,"Xuất nội bộ từ téc",DATA_GOC!$B:$B,DATE($D$2,$B$2,O$4)),0))</f>
        <v>0</v>
      </c>
      <c r="P266" s="251">
        <f>IF(P$4&gt;DAY(EOMONTH(DATE($D$2,$B$2,1),0)),"",IFERROR(SUMIFS(DATA_GOC!$H:$H,DATA_GOC!$A:$A,"BOM",DATA_GOC!$D:$D,$B266,DATA_GOC!$E:$E,"Dầu động cơ",DATA_GOC!$F:$F,"Xuất nội bộ từ téc",DATA_GOC!$B:$B,DATE($D$2,$B$2,P$4)),0))</f>
        <v>0</v>
      </c>
      <c r="Q266" s="251">
        <f>IF(Q$4&gt;DAY(EOMONTH(DATE($D$2,$B$2,1),0)),"",IFERROR(SUMIFS(DATA_GOC!$H:$H,DATA_GOC!$A:$A,"BOM",DATA_GOC!$D:$D,$B266,DATA_GOC!$E:$E,"Dầu động cơ",DATA_GOC!$F:$F,"Xuất nội bộ từ téc",DATA_GOC!$B:$B,DATE($D$2,$B$2,Q$4)),0))</f>
        <v>0</v>
      </c>
      <c r="R266" s="251">
        <f>IF(R$4&gt;DAY(EOMONTH(DATE($D$2,$B$2,1),0)),"",IFERROR(SUMIFS(DATA_GOC!$H:$H,DATA_GOC!$A:$A,"BOM",DATA_GOC!$D:$D,$B266,DATA_GOC!$E:$E,"Dầu động cơ",DATA_GOC!$F:$F,"Xuất nội bộ từ téc",DATA_GOC!$B:$B,DATE($D$2,$B$2,R$4)),0))</f>
        <v>0</v>
      </c>
      <c r="S266" s="251">
        <f>IF(S$4&gt;DAY(EOMONTH(DATE($D$2,$B$2,1),0)),"",IFERROR(SUMIFS(DATA_GOC!$H:$H,DATA_GOC!$A:$A,"BOM",DATA_GOC!$D:$D,$B266,DATA_GOC!$E:$E,"Dầu động cơ",DATA_GOC!$F:$F,"Xuất nội bộ từ téc",DATA_GOC!$B:$B,DATE($D$2,$B$2,S$4)),0))</f>
        <v>0</v>
      </c>
      <c r="T266" s="251">
        <f>IF(T$4&gt;DAY(EOMONTH(DATE($D$2,$B$2,1),0)),"",IFERROR(SUMIFS(DATA_GOC!$H:$H,DATA_GOC!$A:$A,"BOM",DATA_GOC!$D:$D,$B266,DATA_GOC!$E:$E,"Dầu động cơ",DATA_GOC!$F:$F,"Xuất nội bộ từ téc",DATA_GOC!$B:$B,DATE($D$2,$B$2,T$4)),0))</f>
        <v>0</v>
      </c>
      <c r="U266" s="251">
        <f>IF(U$4&gt;DAY(EOMONTH(DATE($D$2,$B$2,1),0)),"",IFERROR(SUMIFS(DATA_GOC!$H:$H,DATA_GOC!$A:$A,"BOM",DATA_GOC!$D:$D,$B266,DATA_GOC!$E:$E,"Dầu động cơ",DATA_GOC!$F:$F,"Xuất nội bộ từ téc",DATA_GOC!$B:$B,DATE($D$2,$B$2,U$4)),0))</f>
        <v>0</v>
      </c>
      <c r="V266" s="251">
        <f>IF(V$4&gt;DAY(EOMONTH(DATE($D$2,$B$2,1),0)),"",IFERROR(SUMIFS(DATA_GOC!$H:$H,DATA_GOC!$A:$A,"BOM",DATA_GOC!$D:$D,$B266,DATA_GOC!$E:$E,"Dầu động cơ",DATA_GOC!$F:$F,"Xuất nội bộ từ téc",DATA_GOC!$B:$B,DATE($D$2,$B$2,V$4)),0))</f>
        <v>0</v>
      </c>
      <c r="W266" s="251">
        <f>IF(W$4&gt;DAY(EOMONTH(DATE($D$2,$B$2,1),0)),"",IFERROR(SUMIFS(DATA_GOC!$H:$H,DATA_GOC!$A:$A,"BOM",DATA_GOC!$D:$D,$B266,DATA_GOC!$E:$E,"Dầu động cơ",DATA_GOC!$F:$F,"Xuất nội bộ từ téc",DATA_GOC!$B:$B,DATE($D$2,$B$2,W$4)),0))</f>
        <v>0</v>
      </c>
      <c r="X266" s="251">
        <f>IF(X$4&gt;DAY(EOMONTH(DATE($D$2,$B$2,1),0)),"",IFERROR(SUMIFS(DATA_GOC!$H:$H,DATA_GOC!$A:$A,"BOM",DATA_GOC!$D:$D,$B266,DATA_GOC!$E:$E,"Dầu động cơ",DATA_GOC!$F:$F,"Xuất nội bộ từ téc",DATA_GOC!$B:$B,DATE($D$2,$B$2,X$4)),0))</f>
        <v>0</v>
      </c>
      <c r="Y266" s="251">
        <f>IF(Y$4&gt;DAY(EOMONTH(DATE($D$2,$B$2,1),0)),"",IFERROR(SUMIFS(DATA_GOC!$H:$H,DATA_GOC!$A:$A,"BOM",DATA_GOC!$D:$D,$B266,DATA_GOC!$E:$E,"Dầu động cơ",DATA_GOC!$F:$F,"Xuất nội bộ từ téc",DATA_GOC!$B:$B,DATE($D$2,$B$2,Y$4)),0))</f>
        <v>0</v>
      </c>
      <c r="Z266" s="251">
        <f>IF(Z$4&gt;DAY(EOMONTH(DATE($D$2,$B$2,1),0)),"",IFERROR(SUMIFS(DATA_GOC!$H:$H,DATA_GOC!$A:$A,"BOM",DATA_GOC!$D:$D,$B266,DATA_GOC!$E:$E,"Dầu động cơ",DATA_GOC!$F:$F,"Xuất nội bộ từ téc",DATA_GOC!$B:$B,DATE($D$2,$B$2,Z$4)),0))</f>
        <v>0</v>
      </c>
      <c r="AA266" s="251">
        <f>IF(AA$4&gt;DAY(EOMONTH(DATE($D$2,$B$2,1),0)),"",IFERROR(SUMIFS(DATA_GOC!$H:$H,DATA_GOC!$A:$A,"BOM",DATA_GOC!$D:$D,$B266,DATA_GOC!$E:$E,"Dầu động cơ",DATA_GOC!$F:$F,"Xuất nội bộ từ téc",DATA_GOC!$B:$B,DATE($D$2,$B$2,AA$4)),0))</f>
        <v>0</v>
      </c>
      <c r="AB266" s="251">
        <f>IF(AB$4&gt;DAY(EOMONTH(DATE($D$2,$B$2,1),0)),"",IFERROR(SUMIFS(DATA_GOC!$H:$H,DATA_GOC!$A:$A,"BOM",DATA_GOC!$D:$D,$B266,DATA_GOC!$E:$E,"Dầu động cơ",DATA_GOC!$F:$F,"Xuất nội bộ từ téc",DATA_GOC!$B:$B,DATE($D$2,$B$2,AB$4)),0))</f>
        <v>0</v>
      </c>
      <c r="AC266" s="251">
        <f>IF(AC$4&gt;DAY(EOMONTH(DATE($D$2,$B$2,1),0)),"",IFERROR(SUMIFS(DATA_GOC!$H:$H,DATA_GOC!$A:$A,"BOM",DATA_GOC!$D:$D,$B266,DATA_GOC!$E:$E,"Dầu động cơ",DATA_GOC!$F:$F,"Xuất nội bộ từ téc",DATA_GOC!$B:$B,DATE($D$2,$B$2,AC$4)),0))</f>
        <v>0</v>
      </c>
      <c r="AD266" s="251">
        <f>IF(AD$4&gt;DAY(EOMONTH(DATE($D$2,$B$2,1),0)),"",IFERROR(SUMIFS(DATA_GOC!$H:$H,DATA_GOC!$A:$A,"BOM",DATA_GOC!$D:$D,$B266,DATA_GOC!$E:$E,"Dầu động cơ",DATA_GOC!$F:$F,"Xuất nội bộ từ téc",DATA_GOC!$B:$B,DATE($D$2,$B$2,AD$4)),0))</f>
        <v>0</v>
      </c>
      <c r="AE266" s="251">
        <f>IF(AE$4&gt;DAY(EOMONTH(DATE($D$2,$B$2,1),0)),"",IFERROR(SUMIFS(DATA_GOC!$H:$H,DATA_GOC!$A:$A,"BOM",DATA_GOC!$D:$D,$B266,DATA_GOC!$E:$E,"Dầu động cơ",DATA_GOC!$F:$F,"Xuất nội bộ từ téc",DATA_GOC!$B:$B,DATE($D$2,$B$2,AE$4)),0))</f>
        <v>0</v>
      </c>
      <c r="AF266" s="251">
        <f>IF(AF$4&gt;DAY(EOMONTH(DATE($D$2,$B$2,1),0)),"",IFERROR(SUMIFS(DATA_GOC!$H:$H,DATA_GOC!$A:$A,"BOM",DATA_GOC!$D:$D,$B266,DATA_GOC!$E:$E,"Dầu động cơ",DATA_GOC!$F:$F,"Xuất nội bộ từ téc",DATA_GOC!$B:$B,DATE($D$2,$B$2,AF$4)),0))</f>
        <v>0</v>
      </c>
      <c r="AG266" s="251">
        <f>IF(AG$4&gt;DAY(EOMONTH(DATE($D$2,$B$2,1),0)),"",IFERROR(SUMIFS(DATA_GOC!$H:$H,DATA_GOC!$A:$A,"BOM",DATA_GOC!$D:$D,$B266,DATA_GOC!$E:$E,"Dầu động cơ",DATA_GOC!$F:$F,"Xuất nội bộ từ téc",DATA_GOC!$B:$B,DATE($D$2,$B$2,AG$4)),0))</f>
        <v>0</v>
      </c>
      <c r="AH266" s="252">
        <f t="shared" si="13"/>
        <v>0</v>
      </c>
      <c r="AI266" s="241"/>
      <c r="AJ266" s="242">
        <f>IF($B266="","",SUMIFS(TINH_TEC!$K$233:$K$9232,TINH_TEC!$H$233:$H$9232,$B266,TINH_TEC!$C$233:$C$9232,"Dầu động cơ",TINH_TEC!$F$233:$F$9232,$B$2,TINH_TEC!$G$233:$G$9232,$D$2,TINH_TEC!$B$233:$B$9232,"Đã chốt"))</f>
        <v>0</v>
      </c>
      <c r="AK266" s="242">
        <f>IF($B266="","",SUMIFS(TINH_TEC!$J$233:$J$9232,TINH_TEC!$H$233:$H$9232,$B266,TINH_TEC!$C$233:$C$9232,"Dầu động cơ",TINH_TEC!$F$233:$F$9232,$B$2,TINH_TEC!$G$233:$G$9232,$D$2,TINH_TEC!$B$233:$B$9232,"Đã chốt"))</f>
        <v>0</v>
      </c>
      <c r="AL266" s="242">
        <f t="shared" si="14"/>
        <v>0</v>
      </c>
    </row>
    <row r="267" ht="15.75" customHeight="1">
      <c r="A267" s="237">
        <f>IF($B267&lt;&gt;"",18,"")</f>
        <v>18</v>
      </c>
      <c r="B267" s="250" t="str">
        <f t="array" ref="B267">IFERROR(INDEX(DANH_MUC!$E:$E,21),"")</f>
        <v>28C03323</v>
      </c>
      <c r="C267" s="251">
        <f>IF(C$4&gt;DAY(EOMONTH(DATE($D$2,$B$2,1),0)),"",IFERROR(SUMIFS(DATA_GOC!$H:$H,DATA_GOC!$A:$A,"BOM",DATA_GOC!$D:$D,$B267,DATA_GOC!$E:$E,"Dầu động cơ",DATA_GOC!$F:$F,"Xuất nội bộ từ téc",DATA_GOC!$B:$B,DATE($D$2,$B$2,C$4)),0))</f>
        <v>0</v>
      </c>
      <c r="D267" s="251">
        <f>IF(D$4&gt;DAY(EOMONTH(DATE($D$2,$B$2,1),0)),"",IFERROR(SUMIFS(DATA_GOC!$H:$H,DATA_GOC!$A:$A,"BOM",DATA_GOC!$D:$D,$B267,DATA_GOC!$E:$E,"Dầu động cơ",DATA_GOC!$F:$F,"Xuất nội bộ từ téc",DATA_GOC!$B:$B,DATE($D$2,$B$2,D$4)),0))</f>
        <v>0</v>
      </c>
      <c r="E267" s="251">
        <f>IF(E$4&gt;DAY(EOMONTH(DATE($D$2,$B$2,1),0)),"",IFERROR(SUMIFS(DATA_GOC!$H:$H,DATA_GOC!$A:$A,"BOM",DATA_GOC!$D:$D,$B267,DATA_GOC!$E:$E,"Dầu động cơ",DATA_GOC!$F:$F,"Xuất nội bộ từ téc",DATA_GOC!$B:$B,DATE($D$2,$B$2,E$4)),0))</f>
        <v>0</v>
      </c>
      <c r="F267" s="251">
        <f>IF(F$4&gt;DAY(EOMONTH(DATE($D$2,$B$2,1),0)),"",IFERROR(SUMIFS(DATA_GOC!$H:$H,DATA_GOC!$A:$A,"BOM",DATA_GOC!$D:$D,$B267,DATA_GOC!$E:$E,"Dầu động cơ",DATA_GOC!$F:$F,"Xuất nội bộ từ téc",DATA_GOC!$B:$B,DATE($D$2,$B$2,F$4)),0))</f>
        <v>0</v>
      </c>
      <c r="G267" s="251">
        <f>IF(G$4&gt;DAY(EOMONTH(DATE($D$2,$B$2,1),0)),"",IFERROR(SUMIFS(DATA_GOC!$H:$H,DATA_GOC!$A:$A,"BOM",DATA_GOC!$D:$D,$B267,DATA_GOC!$E:$E,"Dầu động cơ",DATA_GOC!$F:$F,"Xuất nội bộ từ téc",DATA_GOC!$B:$B,DATE($D$2,$B$2,G$4)),0))</f>
        <v>0</v>
      </c>
      <c r="H267" s="251">
        <f>IF(H$4&gt;DAY(EOMONTH(DATE($D$2,$B$2,1),0)),"",IFERROR(SUMIFS(DATA_GOC!$H:$H,DATA_GOC!$A:$A,"BOM",DATA_GOC!$D:$D,$B267,DATA_GOC!$E:$E,"Dầu động cơ",DATA_GOC!$F:$F,"Xuất nội bộ từ téc",DATA_GOC!$B:$B,DATE($D$2,$B$2,H$4)),0))</f>
        <v>0</v>
      </c>
      <c r="I267" s="251">
        <f>IF(I$4&gt;DAY(EOMONTH(DATE($D$2,$B$2,1),0)),"",IFERROR(SUMIFS(DATA_GOC!$H:$H,DATA_GOC!$A:$A,"BOM",DATA_GOC!$D:$D,$B267,DATA_GOC!$E:$E,"Dầu động cơ",DATA_GOC!$F:$F,"Xuất nội bộ từ téc",DATA_GOC!$B:$B,DATE($D$2,$B$2,I$4)),0))</f>
        <v>0</v>
      </c>
      <c r="J267" s="251">
        <f>IF(J$4&gt;DAY(EOMONTH(DATE($D$2,$B$2,1),0)),"",IFERROR(SUMIFS(DATA_GOC!$H:$H,DATA_GOC!$A:$A,"BOM",DATA_GOC!$D:$D,$B267,DATA_GOC!$E:$E,"Dầu động cơ",DATA_GOC!$F:$F,"Xuất nội bộ từ téc",DATA_GOC!$B:$B,DATE($D$2,$B$2,J$4)),0))</f>
        <v>0</v>
      </c>
      <c r="K267" s="251">
        <f>IF(K$4&gt;DAY(EOMONTH(DATE($D$2,$B$2,1),0)),"",IFERROR(SUMIFS(DATA_GOC!$H:$H,DATA_GOC!$A:$A,"BOM",DATA_GOC!$D:$D,$B267,DATA_GOC!$E:$E,"Dầu động cơ",DATA_GOC!$F:$F,"Xuất nội bộ từ téc",DATA_GOC!$B:$B,DATE($D$2,$B$2,K$4)),0))</f>
        <v>0</v>
      </c>
      <c r="L267" s="251">
        <f>IF(L$4&gt;DAY(EOMONTH(DATE($D$2,$B$2,1),0)),"",IFERROR(SUMIFS(DATA_GOC!$H:$H,DATA_GOC!$A:$A,"BOM",DATA_GOC!$D:$D,$B267,DATA_GOC!$E:$E,"Dầu động cơ",DATA_GOC!$F:$F,"Xuất nội bộ từ téc",DATA_GOC!$B:$B,DATE($D$2,$B$2,L$4)),0))</f>
        <v>0</v>
      </c>
      <c r="M267" s="251">
        <f>IF(M$4&gt;DAY(EOMONTH(DATE($D$2,$B$2,1),0)),"",IFERROR(SUMIFS(DATA_GOC!$H:$H,DATA_GOC!$A:$A,"BOM",DATA_GOC!$D:$D,$B267,DATA_GOC!$E:$E,"Dầu động cơ",DATA_GOC!$F:$F,"Xuất nội bộ từ téc",DATA_GOC!$B:$B,DATE($D$2,$B$2,M$4)),0))</f>
        <v>0</v>
      </c>
      <c r="N267" s="251">
        <f>IF(N$4&gt;DAY(EOMONTH(DATE($D$2,$B$2,1),0)),"",IFERROR(SUMIFS(DATA_GOC!$H:$H,DATA_GOC!$A:$A,"BOM",DATA_GOC!$D:$D,$B267,DATA_GOC!$E:$E,"Dầu động cơ",DATA_GOC!$F:$F,"Xuất nội bộ từ téc",DATA_GOC!$B:$B,DATE($D$2,$B$2,N$4)),0))</f>
        <v>0</v>
      </c>
      <c r="O267" s="251">
        <f>IF(O$4&gt;DAY(EOMONTH(DATE($D$2,$B$2,1),0)),"",IFERROR(SUMIFS(DATA_GOC!$H:$H,DATA_GOC!$A:$A,"BOM",DATA_GOC!$D:$D,$B267,DATA_GOC!$E:$E,"Dầu động cơ",DATA_GOC!$F:$F,"Xuất nội bộ từ téc",DATA_GOC!$B:$B,DATE($D$2,$B$2,O$4)),0))</f>
        <v>0</v>
      </c>
      <c r="P267" s="251">
        <f>IF(P$4&gt;DAY(EOMONTH(DATE($D$2,$B$2,1),0)),"",IFERROR(SUMIFS(DATA_GOC!$H:$H,DATA_GOC!$A:$A,"BOM",DATA_GOC!$D:$D,$B267,DATA_GOC!$E:$E,"Dầu động cơ",DATA_GOC!$F:$F,"Xuất nội bộ từ téc",DATA_GOC!$B:$B,DATE($D$2,$B$2,P$4)),0))</f>
        <v>0</v>
      </c>
      <c r="Q267" s="251">
        <f>IF(Q$4&gt;DAY(EOMONTH(DATE($D$2,$B$2,1),0)),"",IFERROR(SUMIFS(DATA_GOC!$H:$H,DATA_GOC!$A:$A,"BOM",DATA_GOC!$D:$D,$B267,DATA_GOC!$E:$E,"Dầu động cơ",DATA_GOC!$F:$F,"Xuất nội bộ từ téc",DATA_GOC!$B:$B,DATE($D$2,$B$2,Q$4)),0))</f>
        <v>0</v>
      </c>
      <c r="R267" s="251">
        <f>IF(R$4&gt;DAY(EOMONTH(DATE($D$2,$B$2,1),0)),"",IFERROR(SUMIFS(DATA_GOC!$H:$H,DATA_GOC!$A:$A,"BOM",DATA_GOC!$D:$D,$B267,DATA_GOC!$E:$E,"Dầu động cơ",DATA_GOC!$F:$F,"Xuất nội bộ từ téc",DATA_GOC!$B:$B,DATE($D$2,$B$2,R$4)),0))</f>
        <v>0</v>
      </c>
      <c r="S267" s="251">
        <f>IF(S$4&gt;DAY(EOMONTH(DATE($D$2,$B$2,1),0)),"",IFERROR(SUMIFS(DATA_GOC!$H:$H,DATA_GOC!$A:$A,"BOM",DATA_GOC!$D:$D,$B267,DATA_GOC!$E:$E,"Dầu động cơ",DATA_GOC!$F:$F,"Xuất nội bộ từ téc",DATA_GOC!$B:$B,DATE($D$2,$B$2,S$4)),0))</f>
        <v>0</v>
      </c>
      <c r="T267" s="251">
        <f>IF(T$4&gt;DAY(EOMONTH(DATE($D$2,$B$2,1),0)),"",IFERROR(SUMIFS(DATA_GOC!$H:$H,DATA_GOC!$A:$A,"BOM",DATA_GOC!$D:$D,$B267,DATA_GOC!$E:$E,"Dầu động cơ",DATA_GOC!$F:$F,"Xuất nội bộ từ téc",DATA_GOC!$B:$B,DATE($D$2,$B$2,T$4)),0))</f>
        <v>0</v>
      </c>
      <c r="U267" s="251">
        <f>IF(U$4&gt;DAY(EOMONTH(DATE($D$2,$B$2,1),0)),"",IFERROR(SUMIFS(DATA_GOC!$H:$H,DATA_GOC!$A:$A,"BOM",DATA_GOC!$D:$D,$B267,DATA_GOC!$E:$E,"Dầu động cơ",DATA_GOC!$F:$F,"Xuất nội bộ từ téc",DATA_GOC!$B:$B,DATE($D$2,$B$2,U$4)),0))</f>
        <v>0</v>
      </c>
      <c r="V267" s="251">
        <f>IF(V$4&gt;DAY(EOMONTH(DATE($D$2,$B$2,1),0)),"",IFERROR(SUMIFS(DATA_GOC!$H:$H,DATA_GOC!$A:$A,"BOM",DATA_GOC!$D:$D,$B267,DATA_GOC!$E:$E,"Dầu động cơ",DATA_GOC!$F:$F,"Xuất nội bộ từ téc",DATA_GOC!$B:$B,DATE($D$2,$B$2,V$4)),0))</f>
        <v>0</v>
      </c>
      <c r="W267" s="251">
        <f>IF(W$4&gt;DAY(EOMONTH(DATE($D$2,$B$2,1),0)),"",IFERROR(SUMIFS(DATA_GOC!$H:$H,DATA_GOC!$A:$A,"BOM",DATA_GOC!$D:$D,$B267,DATA_GOC!$E:$E,"Dầu động cơ",DATA_GOC!$F:$F,"Xuất nội bộ từ téc",DATA_GOC!$B:$B,DATE($D$2,$B$2,W$4)),0))</f>
        <v>0</v>
      </c>
      <c r="X267" s="251">
        <f>IF(X$4&gt;DAY(EOMONTH(DATE($D$2,$B$2,1),0)),"",IFERROR(SUMIFS(DATA_GOC!$H:$H,DATA_GOC!$A:$A,"BOM",DATA_GOC!$D:$D,$B267,DATA_GOC!$E:$E,"Dầu động cơ",DATA_GOC!$F:$F,"Xuất nội bộ từ téc",DATA_GOC!$B:$B,DATE($D$2,$B$2,X$4)),0))</f>
        <v>0</v>
      </c>
      <c r="Y267" s="251">
        <f>IF(Y$4&gt;DAY(EOMONTH(DATE($D$2,$B$2,1),0)),"",IFERROR(SUMIFS(DATA_GOC!$H:$H,DATA_GOC!$A:$A,"BOM",DATA_GOC!$D:$D,$B267,DATA_GOC!$E:$E,"Dầu động cơ",DATA_GOC!$F:$F,"Xuất nội bộ từ téc",DATA_GOC!$B:$B,DATE($D$2,$B$2,Y$4)),0))</f>
        <v>0</v>
      </c>
      <c r="Z267" s="251">
        <f>IF(Z$4&gt;DAY(EOMONTH(DATE($D$2,$B$2,1),0)),"",IFERROR(SUMIFS(DATA_GOC!$H:$H,DATA_GOC!$A:$A,"BOM",DATA_GOC!$D:$D,$B267,DATA_GOC!$E:$E,"Dầu động cơ",DATA_GOC!$F:$F,"Xuất nội bộ từ téc",DATA_GOC!$B:$B,DATE($D$2,$B$2,Z$4)),0))</f>
        <v>0</v>
      </c>
      <c r="AA267" s="251">
        <f>IF(AA$4&gt;DAY(EOMONTH(DATE($D$2,$B$2,1),0)),"",IFERROR(SUMIFS(DATA_GOC!$H:$H,DATA_GOC!$A:$A,"BOM",DATA_GOC!$D:$D,$B267,DATA_GOC!$E:$E,"Dầu động cơ",DATA_GOC!$F:$F,"Xuất nội bộ từ téc",DATA_GOC!$B:$B,DATE($D$2,$B$2,AA$4)),0))</f>
        <v>0</v>
      </c>
      <c r="AB267" s="251">
        <f>IF(AB$4&gt;DAY(EOMONTH(DATE($D$2,$B$2,1),0)),"",IFERROR(SUMIFS(DATA_GOC!$H:$H,DATA_GOC!$A:$A,"BOM",DATA_GOC!$D:$D,$B267,DATA_GOC!$E:$E,"Dầu động cơ",DATA_GOC!$F:$F,"Xuất nội bộ từ téc",DATA_GOC!$B:$B,DATE($D$2,$B$2,AB$4)),0))</f>
        <v>0</v>
      </c>
      <c r="AC267" s="251">
        <f>IF(AC$4&gt;DAY(EOMONTH(DATE($D$2,$B$2,1),0)),"",IFERROR(SUMIFS(DATA_GOC!$H:$H,DATA_GOC!$A:$A,"BOM",DATA_GOC!$D:$D,$B267,DATA_GOC!$E:$E,"Dầu động cơ",DATA_GOC!$F:$F,"Xuất nội bộ từ téc",DATA_GOC!$B:$B,DATE($D$2,$B$2,AC$4)),0))</f>
        <v>0</v>
      </c>
      <c r="AD267" s="251">
        <f>IF(AD$4&gt;DAY(EOMONTH(DATE($D$2,$B$2,1),0)),"",IFERROR(SUMIFS(DATA_GOC!$H:$H,DATA_GOC!$A:$A,"BOM",DATA_GOC!$D:$D,$B267,DATA_GOC!$E:$E,"Dầu động cơ",DATA_GOC!$F:$F,"Xuất nội bộ từ téc",DATA_GOC!$B:$B,DATE($D$2,$B$2,AD$4)),0))</f>
        <v>0</v>
      </c>
      <c r="AE267" s="251">
        <f>IF(AE$4&gt;DAY(EOMONTH(DATE($D$2,$B$2,1),0)),"",IFERROR(SUMIFS(DATA_GOC!$H:$H,DATA_GOC!$A:$A,"BOM",DATA_GOC!$D:$D,$B267,DATA_GOC!$E:$E,"Dầu động cơ",DATA_GOC!$F:$F,"Xuất nội bộ từ téc",DATA_GOC!$B:$B,DATE($D$2,$B$2,AE$4)),0))</f>
        <v>0</v>
      </c>
      <c r="AF267" s="251">
        <f>IF(AF$4&gt;DAY(EOMONTH(DATE($D$2,$B$2,1),0)),"",IFERROR(SUMIFS(DATA_GOC!$H:$H,DATA_GOC!$A:$A,"BOM",DATA_GOC!$D:$D,$B267,DATA_GOC!$E:$E,"Dầu động cơ",DATA_GOC!$F:$F,"Xuất nội bộ từ téc",DATA_GOC!$B:$B,DATE($D$2,$B$2,AF$4)),0))</f>
        <v>0</v>
      </c>
      <c r="AG267" s="251">
        <f>IF(AG$4&gt;DAY(EOMONTH(DATE($D$2,$B$2,1),0)),"",IFERROR(SUMIFS(DATA_GOC!$H:$H,DATA_GOC!$A:$A,"BOM",DATA_GOC!$D:$D,$B267,DATA_GOC!$E:$E,"Dầu động cơ",DATA_GOC!$F:$F,"Xuất nội bộ từ téc",DATA_GOC!$B:$B,DATE($D$2,$B$2,AG$4)),0))</f>
        <v>0</v>
      </c>
      <c r="AH267" s="252">
        <f t="shared" si="13"/>
        <v>0</v>
      </c>
      <c r="AI267" s="241"/>
      <c r="AJ267" s="242">
        <f>IF($B267="","",SUMIFS(TINH_TEC!$K$233:$K$9232,TINH_TEC!$H$233:$H$9232,$B267,TINH_TEC!$C$233:$C$9232,"Dầu động cơ",TINH_TEC!$F$233:$F$9232,$B$2,TINH_TEC!$G$233:$G$9232,$D$2,TINH_TEC!$B$233:$B$9232,"Đã chốt"))</f>
        <v>0</v>
      </c>
      <c r="AK267" s="242">
        <f>IF($B267="","",SUMIFS(TINH_TEC!$J$233:$J$9232,TINH_TEC!$H$233:$H$9232,$B267,TINH_TEC!$C$233:$C$9232,"Dầu động cơ",TINH_TEC!$F$233:$F$9232,$B$2,TINH_TEC!$G$233:$G$9232,$D$2,TINH_TEC!$B$233:$B$9232,"Đã chốt"))</f>
        <v>0</v>
      </c>
      <c r="AL267" s="242">
        <f t="shared" si="14"/>
        <v>0</v>
      </c>
    </row>
    <row r="268" ht="15.75" customHeight="1">
      <c r="A268" s="237">
        <f>IF($B268&lt;&gt;"",19,"")</f>
        <v>19</v>
      </c>
      <c r="B268" s="250" t="str">
        <f t="array" ref="B268">IFERROR(INDEX(DANH_MUC!$E:$E,22),"")</f>
        <v>28C03385</v>
      </c>
      <c r="C268" s="251">
        <f>IF(C$4&gt;DAY(EOMONTH(DATE($D$2,$B$2,1),0)),"",IFERROR(SUMIFS(DATA_GOC!$H:$H,DATA_GOC!$A:$A,"BOM",DATA_GOC!$D:$D,$B268,DATA_GOC!$E:$E,"Dầu động cơ",DATA_GOC!$F:$F,"Xuất nội bộ từ téc",DATA_GOC!$B:$B,DATE($D$2,$B$2,C$4)),0))</f>
        <v>0</v>
      </c>
      <c r="D268" s="251">
        <f>IF(D$4&gt;DAY(EOMONTH(DATE($D$2,$B$2,1),0)),"",IFERROR(SUMIFS(DATA_GOC!$H:$H,DATA_GOC!$A:$A,"BOM",DATA_GOC!$D:$D,$B268,DATA_GOC!$E:$E,"Dầu động cơ",DATA_GOC!$F:$F,"Xuất nội bộ từ téc",DATA_GOC!$B:$B,DATE($D$2,$B$2,D$4)),0))</f>
        <v>0</v>
      </c>
      <c r="E268" s="251">
        <f>IF(E$4&gt;DAY(EOMONTH(DATE($D$2,$B$2,1),0)),"",IFERROR(SUMIFS(DATA_GOC!$H:$H,DATA_GOC!$A:$A,"BOM",DATA_GOC!$D:$D,$B268,DATA_GOC!$E:$E,"Dầu động cơ",DATA_GOC!$F:$F,"Xuất nội bộ từ téc",DATA_GOC!$B:$B,DATE($D$2,$B$2,E$4)),0))</f>
        <v>0</v>
      </c>
      <c r="F268" s="251">
        <f>IF(F$4&gt;DAY(EOMONTH(DATE($D$2,$B$2,1),0)),"",IFERROR(SUMIFS(DATA_GOC!$H:$H,DATA_GOC!$A:$A,"BOM",DATA_GOC!$D:$D,$B268,DATA_GOC!$E:$E,"Dầu động cơ",DATA_GOC!$F:$F,"Xuất nội bộ từ téc",DATA_GOC!$B:$B,DATE($D$2,$B$2,F$4)),0))</f>
        <v>0</v>
      </c>
      <c r="G268" s="251">
        <f>IF(G$4&gt;DAY(EOMONTH(DATE($D$2,$B$2,1),0)),"",IFERROR(SUMIFS(DATA_GOC!$H:$H,DATA_GOC!$A:$A,"BOM",DATA_GOC!$D:$D,$B268,DATA_GOC!$E:$E,"Dầu động cơ",DATA_GOC!$F:$F,"Xuất nội bộ từ téc",DATA_GOC!$B:$B,DATE($D$2,$B$2,G$4)),0))</f>
        <v>0</v>
      </c>
      <c r="H268" s="251">
        <f>IF(H$4&gt;DAY(EOMONTH(DATE($D$2,$B$2,1),0)),"",IFERROR(SUMIFS(DATA_GOC!$H:$H,DATA_GOC!$A:$A,"BOM",DATA_GOC!$D:$D,$B268,DATA_GOC!$E:$E,"Dầu động cơ",DATA_GOC!$F:$F,"Xuất nội bộ từ téc",DATA_GOC!$B:$B,DATE($D$2,$B$2,H$4)),0))</f>
        <v>0</v>
      </c>
      <c r="I268" s="251">
        <f>IF(I$4&gt;DAY(EOMONTH(DATE($D$2,$B$2,1),0)),"",IFERROR(SUMIFS(DATA_GOC!$H:$H,DATA_GOC!$A:$A,"BOM",DATA_GOC!$D:$D,$B268,DATA_GOC!$E:$E,"Dầu động cơ",DATA_GOC!$F:$F,"Xuất nội bộ từ téc",DATA_GOC!$B:$B,DATE($D$2,$B$2,I$4)),0))</f>
        <v>0</v>
      </c>
      <c r="J268" s="251">
        <f>IF(J$4&gt;DAY(EOMONTH(DATE($D$2,$B$2,1),0)),"",IFERROR(SUMIFS(DATA_GOC!$H:$H,DATA_GOC!$A:$A,"BOM",DATA_GOC!$D:$D,$B268,DATA_GOC!$E:$E,"Dầu động cơ",DATA_GOC!$F:$F,"Xuất nội bộ từ téc",DATA_GOC!$B:$B,DATE($D$2,$B$2,J$4)),0))</f>
        <v>0</v>
      </c>
      <c r="K268" s="251">
        <f>IF(K$4&gt;DAY(EOMONTH(DATE($D$2,$B$2,1),0)),"",IFERROR(SUMIFS(DATA_GOC!$H:$H,DATA_GOC!$A:$A,"BOM",DATA_GOC!$D:$D,$B268,DATA_GOC!$E:$E,"Dầu động cơ",DATA_GOC!$F:$F,"Xuất nội bộ từ téc",DATA_GOC!$B:$B,DATE($D$2,$B$2,K$4)),0))</f>
        <v>0</v>
      </c>
      <c r="L268" s="251">
        <f>IF(L$4&gt;DAY(EOMONTH(DATE($D$2,$B$2,1),0)),"",IFERROR(SUMIFS(DATA_GOC!$H:$H,DATA_GOC!$A:$A,"BOM",DATA_GOC!$D:$D,$B268,DATA_GOC!$E:$E,"Dầu động cơ",DATA_GOC!$F:$F,"Xuất nội bộ từ téc",DATA_GOC!$B:$B,DATE($D$2,$B$2,L$4)),0))</f>
        <v>0</v>
      </c>
      <c r="M268" s="251">
        <f>IF(M$4&gt;DAY(EOMONTH(DATE($D$2,$B$2,1),0)),"",IFERROR(SUMIFS(DATA_GOC!$H:$H,DATA_GOC!$A:$A,"BOM",DATA_GOC!$D:$D,$B268,DATA_GOC!$E:$E,"Dầu động cơ",DATA_GOC!$F:$F,"Xuất nội bộ từ téc",DATA_GOC!$B:$B,DATE($D$2,$B$2,M$4)),0))</f>
        <v>0</v>
      </c>
      <c r="N268" s="251">
        <f>IF(N$4&gt;DAY(EOMONTH(DATE($D$2,$B$2,1),0)),"",IFERROR(SUMIFS(DATA_GOC!$H:$H,DATA_GOC!$A:$A,"BOM",DATA_GOC!$D:$D,$B268,DATA_GOC!$E:$E,"Dầu động cơ",DATA_GOC!$F:$F,"Xuất nội bộ từ téc",DATA_GOC!$B:$B,DATE($D$2,$B$2,N$4)),0))</f>
        <v>0</v>
      </c>
      <c r="O268" s="251">
        <f>IF(O$4&gt;DAY(EOMONTH(DATE($D$2,$B$2,1),0)),"",IFERROR(SUMIFS(DATA_GOC!$H:$H,DATA_GOC!$A:$A,"BOM",DATA_GOC!$D:$D,$B268,DATA_GOC!$E:$E,"Dầu động cơ",DATA_GOC!$F:$F,"Xuất nội bộ từ téc",DATA_GOC!$B:$B,DATE($D$2,$B$2,O$4)),0))</f>
        <v>0</v>
      </c>
      <c r="P268" s="251">
        <f>IF(P$4&gt;DAY(EOMONTH(DATE($D$2,$B$2,1),0)),"",IFERROR(SUMIFS(DATA_GOC!$H:$H,DATA_GOC!$A:$A,"BOM",DATA_GOC!$D:$D,$B268,DATA_GOC!$E:$E,"Dầu động cơ",DATA_GOC!$F:$F,"Xuất nội bộ từ téc",DATA_GOC!$B:$B,DATE($D$2,$B$2,P$4)),0))</f>
        <v>0</v>
      </c>
      <c r="Q268" s="251">
        <f>IF(Q$4&gt;DAY(EOMONTH(DATE($D$2,$B$2,1),0)),"",IFERROR(SUMIFS(DATA_GOC!$H:$H,DATA_GOC!$A:$A,"BOM",DATA_GOC!$D:$D,$B268,DATA_GOC!$E:$E,"Dầu động cơ",DATA_GOC!$F:$F,"Xuất nội bộ từ téc",DATA_GOC!$B:$B,DATE($D$2,$B$2,Q$4)),0))</f>
        <v>0</v>
      </c>
      <c r="R268" s="251">
        <f>IF(R$4&gt;DAY(EOMONTH(DATE($D$2,$B$2,1),0)),"",IFERROR(SUMIFS(DATA_GOC!$H:$H,DATA_GOC!$A:$A,"BOM",DATA_GOC!$D:$D,$B268,DATA_GOC!$E:$E,"Dầu động cơ",DATA_GOC!$F:$F,"Xuất nội bộ từ téc",DATA_GOC!$B:$B,DATE($D$2,$B$2,R$4)),0))</f>
        <v>0</v>
      </c>
      <c r="S268" s="251">
        <f>IF(S$4&gt;DAY(EOMONTH(DATE($D$2,$B$2,1),0)),"",IFERROR(SUMIFS(DATA_GOC!$H:$H,DATA_GOC!$A:$A,"BOM",DATA_GOC!$D:$D,$B268,DATA_GOC!$E:$E,"Dầu động cơ",DATA_GOC!$F:$F,"Xuất nội bộ từ téc",DATA_GOC!$B:$B,DATE($D$2,$B$2,S$4)),0))</f>
        <v>0</v>
      </c>
      <c r="T268" s="251">
        <f>IF(T$4&gt;DAY(EOMONTH(DATE($D$2,$B$2,1),0)),"",IFERROR(SUMIFS(DATA_GOC!$H:$H,DATA_GOC!$A:$A,"BOM",DATA_GOC!$D:$D,$B268,DATA_GOC!$E:$E,"Dầu động cơ",DATA_GOC!$F:$F,"Xuất nội bộ từ téc",DATA_GOC!$B:$B,DATE($D$2,$B$2,T$4)),0))</f>
        <v>0</v>
      </c>
      <c r="U268" s="251">
        <f>IF(U$4&gt;DAY(EOMONTH(DATE($D$2,$B$2,1),0)),"",IFERROR(SUMIFS(DATA_GOC!$H:$H,DATA_GOC!$A:$A,"BOM",DATA_GOC!$D:$D,$B268,DATA_GOC!$E:$E,"Dầu động cơ",DATA_GOC!$F:$F,"Xuất nội bộ từ téc",DATA_GOC!$B:$B,DATE($D$2,$B$2,U$4)),0))</f>
        <v>0</v>
      </c>
      <c r="V268" s="251">
        <f>IF(V$4&gt;DAY(EOMONTH(DATE($D$2,$B$2,1),0)),"",IFERROR(SUMIFS(DATA_GOC!$H:$H,DATA_GOC!$A:$A,"BOM",DATA_GOC!$D:$D,$B268,DATA_GOC!$E:$E,"Dầu động cơ",DATA_GOC!$F:$F,"Xuất nội bộ từ téc",DATA_GOC!$B:$B,DATE($D$2,$B$2,V$4)),0))</f>
        <v>0</v>
      </c>
      <c r="W268" s="251">
        <f>IF(W$4&gt;DAY(EOMONTH(DATE($D$2,$B$2,1),0)),"",IFERROR(SUMIFS(DATA_GOC!$H:$H,DATA_GOC!$A:$A,"BOM",DATA_GOC!$D:$D,$B268,DATA_GOC!$E:$E,"Dầu động cơ",DATA_GOC!$F:$F,"Xuất nội bộ từ téc",DATA_GOC!$B:$B,DATE($D$2,$B$2,W$4)),0))</f>
        <v>0</v>
      </c>
      <c r="X268" s="251">
        <f>IF(X$4&gt;DAY(EOMONTH(DATE($D$2,$B$2,1),0)),"",IFERROR(SUMIFS(DATA_GOC!$H:$H,DATA_GOC!$A:$A,"BOM",DATA_GOC!$D:$D,$B268,DATA_GOC!$E:$E,"Dầu động cơ",DATA_GOC!$F:$F,"Xuất nội bộ từ téc",DATA_GOC!$B:$B,DATE($D$2,$B$2,X$4)),0))</f>
        <v>0</v>
      </c>
      <c r="Y268" s="251">
        <f>IF(Y$4&gt;DAY(EOMONTH(DATE($D$2,$B$2,1),0)),"",IFERROR(SUMIFS(DATA_GOC!$H:$H,DATA_GOC!$A:$A,"BOM",DATA_GOC!$D:$D,$B268,DATA_GOC!$E:$E,"Dầu động cơ",DATA_GOC!$F:$F,"Xuất nội bộ từ téc",DATA_GOC!$B:$B,DATE($D$2,$B$2,Y$4)),0))</f>
        <v>0</v>
      </c>
      <c r="Z268" s="251">
        <f>IF(Z$4&gt;DAY(EOMONTH(DATE($D$2,$B$2,1),0)),"",IFERROR(SUMIFS(DATA_GOC!$H:$H,DATA_GOC!$A:$A,"BOM",DATA_GOC!$D:$D,$B268,DATA_GOC!$E:$E,"Dầu động cơ",DATA_GOC!$F:$F,"Xuất nội bộ từ téc",DATA_GOC!$B:$B,DATE($D$2,$B$2,Z$4)),0))</f>
        <v>0</v>
      </c>
      <c r="AA268" s="251">
        <f>IF(AA$4&gt;DAY(EOMONTH(DATE($D$2,$B$2,1),0)),"",IFERROR(SUMIFS(DATA_GOC!$H:$H,DATA_GOC!$A:$A,"BOM",DATA_GOC!$D:$D,$B268,DATA_GOC!$E:$E,"Dầu động cơ",DATA_GOC!$F:$F,"Xuất nội bộ từ téc",DATA_GOC!$B:$B,DATE($D$2,$B$2,AA$4)),0))</f>
        <v>0</v>
      </c>
      <c r="AB268" s="251">
        <f>IF(AB$4&gt;DAY(EOMONTH(DATE($D$2,$B$2,1),0)),"",IFERROR(SUMIFS(DATA_GOC!$H:$H,DATA_GOC!$A:$A,"BOM",DATA_GOC!$D:$D,$B268,DATA_GOC!$E:$E,"Dầu động cơ",DATA_GOC!$F:$F,"Xuất nội bộ từ téc",DATA_GOC!$B:$B,DATE($D$2,$B$2,AB$4)),0))</f>
        <v>0</v>
      </c>
      <c r="AC268" s="251">
        <f>IF(AC$4&gt;DAY(EOMONTH(DATE($D$2,$B$2,1),0)),"",IFERROR(SUMIFS(DATA_GOC!$H:$H,DATA_GOC!$A:$A,"BOM",DATA_GOC!$D:$D,$B268,DATA_GOC!$E:$E,"Dầu động cơ",DATA_GOC!$F:$F,"Xuất nội bộ từ téc",DATA_GOC!$B:$B,DATE($D$2,$B$2,AC$4)),0))</f>
        <v>0</v>
      </c>
      <c r="AD268" s="251">
        <f>IF(AD$4&gt;DAY(EOMONTH(DATE($D$2,$B$2,1),0)),"",IFERROR(SUMIFS(DATA_GOC!$H:$H,DATA_GOC!$A:$A,"BOM",DATA_GOC!$D:$D,$B268,DATA_GOC!$E:$E,"Dầu động cơ",DATA_GOC!$F:$F,"Xuất nội bộ từ téc",DATA_GOC!$B:$B,DATE($D$2,$B$2,AD$4)),0))</f>
        <v>0</v>
      </c>
      <c r="AE268" s="251">
        <f>IF(AE$4&gt;DAY(EOMONTH(DATE($D$2,$B$2,1),0)),"",IFERROR(SUMIFS(DATA_GOC!$H:$H,DATA_GOC!$A:$A,"BOM",DATA_GOC!$D:$D,$B268,DATA_GOC!$E:$E,"Dầu động cơ",DATA_GOC!$F:$F,"Xuất nội bộ từ téc",DATA_GOC!$B:$B,DATE($D$2,$B$2,AE$4)),0))</f>
        <v>0</v>
      </c>
      <c r="AF268" s="251">
        <f>IF(AF$4&gt;DAY(EOMONTH(DATE($D$2,$B$2,1),0)),"",IFERROR(SUMIFS(DATA_GOC!$H:$H,DATA_GOC!$A:$A,"BOM",DATA_GOC!$D:$D,$B268,DATA_GOC!$E:$E,"Dầu động cơ",DATA_GOC!$F:$F,"Xuất nội bộ từ téc",DATA_GOC!$B:$B,DATE($D$2,$B$2,AF$4)),0))</f>
        <v>0</v>
      </c>
      <c r="AG268" s="251">
        <f>IF(AG$4&gt;DAY(EOMONTH(DATE($D$2,$B$2,1),0)),"",IFERROR(SUMIFS(DATA_GOC!$H:$H,DATA_GOC!$A:$A,"BOM",DATA_GOC!$D:$D,$B268,DATA_GOC!$E:$E,"Dầu động cơ",DATA_GOC!$F:$F,"Xuất nội bộ từ téc",DATA_GOC!$B:$B,DATE($D$2,$B$2,AG$4)),0))</f>
        <v>0</v>
      </c>
      <c r="AH268" s="252">
        <f t="shared" si="13"/>
        <v>0</v>
      </c>
      <c r="AI268" s="241"/>
      <c r="AJ268" s="242">
        <f>IF($B268="","",SUMIFS(TINH_TEC!$K$233:$K$9232,TINH_TEC!$H$233:$H$9232,$B268,TINH_TEC!$C$233:$C$9232,"Dầu động cơ",TINH_TEC!$F$233:$F$9232,$B$2,TINH_TEC!$G$233:$G$9232,$D$2,TINH_TEC!$B$233:$B$9232,"Đã chốt"))</f>
        <v>0</v>
      </c>
      <c r="AK268" s="242">
        <f>IF($B268="","",SUMIFS(TINH_TEC!$J$233:$J$9232,TINH_TEC!$H$233:$H$9232,$B268,TINH_TEC!$C$233:$C$9232,"Dầu động cơ",TINH_TEC!$F$233:$F$9232,$B$2,TINH_TEC!$G$233:$G$9232,$D$2,TINH_TEC!$B$233:$B$9232,"Đã chốt"))</f>
        <v>0</v>
      </c>
      <c r="AL268" s="242">
        <f t="shared" si="14"/>
        <v>0</v>
      </c>
    </row>
    <row r="269" ht="15.75" customHeight="1">
      <c r="A269" s="237">
        <f>IF($B269&lt;&gt;"",20,"")</f>
        <v>20</v>
      </c>
      <c r="B269" s="250" t="str">
        <f t="array" ref="B269">IFERROR(INDEX(DANH_MUC!$E:$E,23),"")</f>
        <v>28C03652</v>
      </c>
      <c r="C269" s="251">
        <f>IF(C$4&gt;DAY(EOMONTH(DATE($D$2,$B$2,1),0)),"",IFERROR(SUMIFS(DATA_GOC!$H:$H,DATA_GOC!$A:$A,"BOM",DATA_GOC!$D:$D,$B269,DATA_GOC!$E:$E,"Dầu động cơ",DATA_GOC!$F:$F,"Xuất nội bộ từ téc",DATA_GOC!$B:$B,DATE($D$2,$B$2,C$4)),0))</f>
        <v>0</v>
      </c>
      <c r="D269" s="251">
        <f>IF(D$4&gt;DAY(EOMONTH(DATE($D$2,$B$2,1),0)),"",IFERROR(SUMIFS(DATA_GOC!$H:$H,DATA_GOC!$A:$A,"BOM",DATA_GOC!$D:$D,$B269,DATA_GOC!$E:$E,"Dầu động cơ",DATA_GOC!$F:$F,"Xuất nội bộ từ téc",DATA_GOC!$B:$B,DATE($D$2,$B$2,D$4)),0))</f>
        <v>0</v>
      </c>
      <c r="E269" s="251">
        <f>IF(E$4&gt;DAY(EOMONTH(DATE($D$2,$B$2,1),0)),"",IFERROR(SUMIFS(DATA_GOC!$H:$H,DATA_GOC!$A:$A,"BOM",DATA_GOC!$D:$D,$B269,DATA_GOC!$E:$E,"Dầu động cơ",DATA_GOC!$F:$F,"Xuất nội bộ từ téc",DATA_GOC!$B:$B,DATE($D$2,$B$2,E$4)),0))</f>
        <v>0</v>
      </c>
      <c r="F269" s="251">
        <f>IF(F$4&gt;DAY(EOMONTH(DATE($D$2,$B$2,1),0)),"",IFERROR(SUMIFS(DATA_GOC!$H:$H,DATA_GOC!$A:$A,"BOM",DATA_GOC!$D:$D,$B269,DATA_GOC!$E:$E,"Dầu động cơ",DATA_GOC!$F:$F,"Xuất nội bộ từ téc",DATA_GOC!$B:$B,DATE($D$2,$B$2,F$4)),0))</f>
        <v>0</v>
      </c>
      <c r="G269" s="251">
        <f>IF(G$4&gt;DAY(EOMONTH(DATE($D$2,$B$2,1),0)),"",IFERROR(SUMIFS(DATA_GOC!$H:$H,DATA_GOC!$A:$A,"BOM",DATA_GOC!$D:$D,$B269,DATA_GOC!$E:$E,"Dầu động cơ",DATA_GOC!$F:$F,"Xuất nội bộ từ téc",DATA_GOC!$B:$B,DATE($D$2,$B$2,G$4)),0))</f>
        <v>0</v>
      </c>
      <c r="H269" s="251">
        <f>IF(H$4&gt;DAY(EOMONTH(DATE($D$2,$B$2,1),0)),"",IFERROR(SUMIFS(DATA_GOC!$H:$H,DATA_GOC!$A:$A,"BOM",DATA_GOC!$D:$D,$B269,DATA_GOC!$E:$E,"Dầu động cơ",DATA_GOC!$F:$F,"Xuất nội bộ từ téc",DATA_GOC!$B:$B,DATE($D$2,$B$2,H$4)),0))</f>
        <v>0</v>
      </c>
      <c r="I269" s="251">
        <f>IF(I$4&gt;DAY(EOMONTH(DATE($D$2,$B$2,1),0)),"",IFERROR(SUMIFS(DATA_GOC!$H:$H,DATA_GOC!$A:$A,"BOM",DATA_GOC!$D:$D,$B269,DATA_GOC!$E:$E,"Dầu động cơ",DATA_GOC!$F:$F,"Xuất nội bộ từ téc",DATA_GOC!$B:$B,DATE($D$2,$B$2,I$4)),0))</f>
        <v>0</v>
      </c>
      <c r="J269" s="251">
        <f>IF(J$4&gt;DAY(EOMONTH(DATE($D$2,$B$2,1),0)),"",IFERROR(SUMIFS(DATA_GOC!$H:$H,DATA_GOC!$A:$A,"BOM",DATA_GOC!$D:$D,$B269,DATA_GOC!$E:$E,"Dầu động cơ",DATA_GOC!$F:$F,"Xuất nội bộ từ téc",DATA_GOC!$B:$B,DATE($D$2,$B$2,J$4)),0))</f>
        <v>0</v>
      </c>
      <c r="K269" s="251">
        <f>IF(K$4&gt;DAY(EOMONTH(DATE($D$2,$B$2,1),0)),"",IFERROR(SUMIFS(DATA_GOC!$H:$H,DATA_GOC!$A:$A,"BOM",DATA_GOC!$D:$D,$B269,DATA_GOC!$E:$E,"Dầu động cơ",DATA_GOC!$F:$F,"Xuất nội bộ từ téc",DATA_GOC!$B:$B,DATE($D$2,$B$2,K$4)),0))</f>
        <v>0</v>
      </c>
      <c r="L269" s="251">
        <f>IF(L$4&gt;DAY(EOMONTH(DATE($D$2,$B$2,1),0)),"",IFERROR(SUMIFS(DATA_GOC!$H:$H,DATA_GOC!$A:$A,"BOM",DATA_GOC!$D:$D,$B269,DATA_GOC!$E:$E,"Dầu động cơ",DATA_GOC!$F:$F,"Xuất nội bộ từ téc",DATA_GOC!$B:$B,DATE($D$2,$B$2,L$4)),0))</f>
        <v>0</v>
      </c>
      <c r="M269" s="251">
        <f>IF(M$4&gt;DAY(EOMONTH(DATE($D$2,$B$2,1),0)),"",IFERROR(SUMIFS(DATA_GOC!$H:$H,DATA_GOC!$A:$A,"BOM",DATA_GOC!$D:$D,$B269,DATA_GOC!$E:$E,"Dầu động cơ",DATA_GOC!$F:$F,"Xuất nội bộ từ téc",DATA_GOC!$B:$B,DATE($D$2,$B$2,M$4)),0))</f>
        <v>0</v>
      </c>
      <c r="N269" s="251">
        <f>IF(N$4&gt;DAY(EOMONTH(DATE($D$2,$B$2,1),0)),"",IFERROR(SUMIFS(DATA_GOC!$H:$H,DATA_GOC!$A:$A,"BOM",DATA_GOC!$D:$D,$B269,DATA_GOC!$E:$E,"Dầu động cơ",DATA_GOC!$F:$F,"Xuất nội bộ từ téc",DATA_GOC!$B:$B,DATE($D$2,$B$2,N$4)),0))</f>
        <v>0</v>
      </c>
      <c r="O269" s="251">
        <f>IF(O$4&gt;DAY(EOMONTH(DATE($D$2,$B$2,1),0)),"",IFERROR(SUMIFS(DATA_GOC!$H:$H,DATA_GOC!$A:$A,"BOM",DATA_GOC!$D:$D,$B269,DATA_GOC!$E:$E,"Dầu động cơ",DATA_GOC!$F:$F,"Xuất nội bộ từ téc",DATA_GOC!$B:$B,DATE($D$2,$B$2,O$4)),0))</f>
        <v>0</v>
      </c>
      <c r="P269" s="251">
        <f>IF(P$4&gt;DAY(EOMONTH(DATE($D$2,$B$2,1),0)),"",IFERROR(SUMIFS(DATA_GOC!$H:$H,DATA_GOC!$A:$A,"BOM",DATA_GOC!$D:$D,$B269,DATA_GOC!$E:$E,"Dầu động cơ",DATA_GOC!$F:$F,"Xuất nội bộ từ téc",DATA_GOC!$B:$B,DATE($D$2,$B$2,P$4)),0))</f>
        <v>0</v>
      </c>
      <c r="Q269" s="251">
        <f>IF(Q$4&gt;DAY(EOMONTH(DATE($D$2,$B$2,1),0)),"",IFERROR(SUMIFS(DATA_GOC!$H:$H,DATA_GOC!$A:$A,"BOM",DATA_GOC!$D:$D,$B269,DATA_GOC!$E:$E,"Dầu động cơ",DATA_GOC!$F:$F,"Xuất nội bộ từ téc",DATA_GOC!$B:$B,DATE($D$2,$B$2,Q$4)),0))</f>
        <v>0</v>
      </c>
      <c r="R269" s="251">
        <f>IF(R$4&gt;DAY(EOMONTH(DATE($D$2,$B$2,1),0)),"",IFERROR(SUMIFS(DATA_GOC!$H:$H,DATA_GOC!$A:$A,"BOM",DATA_GOC!$D:$D,$B269,DATA_GOC!$E:$E,"Dầu động cơ",DATA_GOC!$F:$F,"Xuất nội bộ từ téc",DATA_GOC!$B:$B,DATE($D$2,$B$2,R$4)),0))</f>
        <v>0</v>
      </c>
      <c r="S269" s="251">
        <f>IF(S$4&gt;DAY(EOMONTH(DATE($D$2,$B$2,1),0)),"",IFERROR(SUMIFS(DATA_GOC!$H:$H,DATA_GOC!$A:$A,"BOM",DATA_GOC!$D:$D,$B269,DATA_GOC!$E:$E,"Dầu động cơ",DATA_GOC!$F:$F,"Xuất nội bộ từ téc",DATA_GOC!$B:$B,DATE($D$2,$B$2,S$4)),0))</f>
        <v>0</v>
      </c>
      <c r="T269" s="251">
        <f>IF(T$4&gt;DAY(EOMONTH(DATE($D$2,$B$2,1),0)),"",IFERROR(SUMIFS(DATA_GOC!$H:$H,DATA_GOC!$A:$A,"BOM",DATA_GOC!$D:$D,$B269,DATA_GOC!$E:$E,"Dầu động cơ",DATA_GOC!$F:$F,"Xuất nội bộ từ téc",DATA_GOC!$B:$B,DATE($D$2,$B$2,T$4)),0))</f>
        <v>0</v>
      </c>
      <c r="U269" s="251">
        <f>IF(U$4&gt;DAY(EOMONTH(DATE($D$2,$B$2,1),0)),"",IFERROR(SUMIFS(DATA_GOC!$H:$H,DATA_GOC!$A:$A,"BOM",DATA_GOC!$D:$D,$B269,DATA_GOC!$E:$E,"Dầu động cơ",DATA_GOC!$F:$F,"Xuất nội bộ từ téc",DATA_GOC!$B:$B,DATE($D$2,$B$2,U$4)),0))</f>
        <v>0</v>
      </c>
      <c r="V269" s="251">
        <f>IF(V$4&gt;DAY(EOMONTH(DATE($D$2,$B$2,1),0)),"",IFERROR(SUMIFS(DATA_GOC!$H:$H,DATA_GOC!$A:$A,"BOM",DATA_GOC!$D:$D,$B269,DATA_GOC!$E:$E,"Dầu động cơ",DATA_GOC!$F:$F,"Xuất nội bộ từ téc",DATA_GOC!$B:$B,DATE($D$2,$B$2,V$4)),0))</f>
        <v>0</v>
      </c>
      <c r="W269" s="251">
        <f>IF(W$4&gt;DAY(EOMONTH(DATE($D$2,$B$2,1),0)),"",IFERROR(SUMIFS(DATA_GOC!$H:$H,DATA_GOC!$A:$A,"BOM",DATA_GOC!$D:$D,$B269,DATA_GOC!$E:$E,"Dầu động cơ",DATA_GOC!$F:$F,"Xuất nội bộ từ téc",DATA_GOC!$B:$B,DATE($D$2,$B$2,W$4)),0))</f>
        <v>0</v>
      </c>
      <c r="X269" s="251">
        <f>IF(X$4&gt;DAY(EOMONTH(DATE($D$2,$B$2,1),0)),"",IFERROR(SUMIFS(DATA_GOC!$H:$H,DATA_GOC!$A:$A,"BOM",DATA_GOC!$D:$D,$B269,DATA_GOC!$E:$E,"Dầu động cơ",DATA_GOC!$F:$F,"Xuất nội bộ từ téc",DATA_GOC!$B:$B,DATE($D$2,$B$2,X$4)),0))</f>
        <v>0</v>
      </c>
      <c r="Y269" s="251">
        <f>IF(Y$4&gt;DAY(EOMONTH(DATE($D$2,$B$2,1),0)),"",IFERROR(SUMIFS(DATA_GOC!$H:$H,DATA_GOC!$A:$A,"BOM",DATA_GOC!$D:$D,$B269,DATA_GOC!$E:$E,"Dầu động cơ",DATA_GOC!$F:$F,"Xuất nội bộ từ téc",DATA_GOC!$B:$B,DATE($D$2,$B$2,Y$4)),0))</f>
        <v>0</v>
      </c>
      <c r="Z269" s="251">
        <f>IF(Z$4&gt;DAY(EOMONTH(DATE($D$2,$B$2,1),0)),"",IFERROR(SUMIFS(DATA_GOC!$H:$H,DATA_GOC!$A:$A,"BOM",DATA_GOC!$D:$D,$B269,DATA_GOC!$E:$E,"Dầu động cơ",DATA_GOC!$F:$F,"Xuất nội bộ từ téc",DATA_GOC!$B:$B,DATE($D$2,$B$2,Z$4)),0))</f>
        <v>0</v>
      </c>
      <c r="AA269" s="251">
        <f>IF(AA$4&gt;DAY(EOMONTH(DATE($D$2,$B$2,1),0)),"",IFERROR(SUMIFS(DATA_GOC!$H:$H,DATA_GOC!$A:$A,"BOM",DATA_GOC!$D:$D,$B269,DATA_GOC!$E:$E,"Dầu động cơ",DATA_GOC!$F:$F,"Xuất nội bộ từ téc",DATA_GOC!$B:$B,DATE($D$2,$B$2,AA$4)),0))</f>
        <v>0</v>
      </c>
      <c r="AB269" s="251">
        <f>IF(AB$4&gt;DAY(EOMONTH(DATE($D$2,$B$2,1),0)),"",IFERROR(SUMIFS(DATA_GOC!$H:$H,DATA_GOC!$A:$A,"BOM",DATA_GOC!$D:$D,$B269,DATA_GOC!$E:$E,"Dầu động cơ",DATA_GOC!$F:$F,"Xuất nội bộ từ téc",DATA_GOC!$B:$B,DATE($D$2,$B$2,AB$4)),0))</f>
        <v>0</v>
      </c>
      <c r="AC269" s="251">
        <f>IF(AC$4&gt;DAY(EOMONTH(DATE($D$2,$B$2,1),0)),"",IFERROR(SUMIFS(DATA_GOC!$H:$H,DATA_GOC!$A:$A,"BOM",DATA_GOC!$D:$D,$B269,DATA_GOC!$E:$E,"Dầu động cơ",DATA_GOC!$F:$F,"Xuất nội bộ từ téc",DATA_GOC!$B:$B,DATE($D$2,$B$2,AC$4)),0))</f>
        <v>0</v>
      </c>
      <c r="AD269" s="251">
        <f>IF(AD$4&gt;DAY(EOMONTH(DATE($D$2,$B$2,1),0)),"",IFERROR(SUMIFS(DATA_GOC!$H:$H,DATA_GOC!$A:$A,"BOM",DATA_GOC!$D:$D,$B269,DATA_GOC!$E:$E,"Dầu động cơ",DATA_GOC!$F:$F,"Xuất nội bộ từ téc",DATA_GOC!$B:$B,DATE($D$2,$B$2,AD$4)),0))</f>
        <v>0</v>
      </c>
      <c r="AE269" s="251">
        <f>IF(AE$4&gt;DAY(EOMONTH(DATE($D$2,$B$2,1),0)),"",IFERROR(SUMIFS(DATA_GOC!$H:$H,DATA_GOC!$A:$A,"BOM",DATA_GOC!$D:$D,$B269,DATA_GOC!$E:$E,"Dầu động cơ",DATA_GOC!$F:$F,"Xuất nội bộ từ téc",DATA_GOC!$B:$B,DATE($D$2,$B$2,AE$4)),0))</f>
        <v>0</v>
      </c>
      <c r="AF269" s="251">
        <f>IF(AF$4&gt;DAY(EOMONTH(DATE($D$2,$B$2,1),0)),"",IFERROR(SUMIFS(DATA_GOC!$H:$H,DATA_GOC!$A:$A,"BOM",DATA_GOC!$D:$D,$B269,DATA_GOC!$E:$E,"Dầu động cơ",DATA_GOC!$F:$F,"Xuất nội bộ từ téc",DATA_GOC!$B:$B,DATE($D$2,$B$2,AF$4)),0))</f>
        <v>0</v>
      </c>
      <c r="AG269" s="251">
        <f>IF(AG$4&gt;DAY(EOMONTH(DATE($D$2,$B$2,1),0)),"",IFERROR(SUMIFS(DATA_GOC!$H:$H,DATA_GOC!$A:$A,"BOM",DATA_GOC!$D:$D,$B269,DATA_GOC!$E:$E,"Dầu động cơ",DATA_GOC!$F:$F,"Xuất nội bộ từ téc",DATA_GOC!$B:$B,DATE($D$2,$B$2,AG$4)),0))</f>
        <v>0</v>
      </c>
      <c r="AH269" s="252">
        <f t="shared" si="13"/>
        <v>0</v>
      </c>
      <c r="AI269" s="241"/>
      <c r="AJ269" s="242">
        <f>IF($B269="","",SUMIFS(TINH_TEC!$K$233:$K$9232,TINH_TEC!$H$233:$H$9232,$B269,TINH_TEC!$C$233:$C$9232,"Dầu động cơ",TINH_TEC!$F$233:$F$9232,$B$2,TINH_TEC!$G$233:$G$9232,$D$2,TINH_TEC!$B$233:$B$9232,"Đã chốt"))</f>
        <v>0</v>
      </c>
      <c r="AK269" s="242">
        <f>IF($B269="","",SUMIFS(TINH_TEC!$J$233:$J$9232,TINH_TEC!$H$233:$H$9232,$B269,TINH_TEC!$C$233:$C$9232,"Dầu động cơ",TINH_TEC!$F$233:$F$9232,$B$2,TINH_TEC!$G$233:$G$9232,$D$2,TINH_TEC!$B$233:$B$9232,"Đã chốt"))</f>
        <v>0</v>
      </c>
      <c r="AL269" s="242">
        <f t="shared" si="14"/>
        <v>0</v>
      </c>
    </row>
    <row r="270" ht="15.75" customHeight="1">
      <c r="A270" s="237">
        <f>IF($B270&lt;&gt;"",21,"")</f>
        <v>21</v>
      </c>
      <c r="B270" s="250" t="str">
        <f t="array" ref="B270">IFERROR(INDEX(DANH_MUC!$E:$E,24),"")</f>
        <v>28C03695</v>
      </c>
      <c r="C270" s="251">
        <f>IF(C$4&gt;DAY(EOMONTH(DATE($D$2,$B$2,1),0)),"",IFERROR(SUMIFS(DATA_GOC!$H:$H,DATA_GOC!$A:$A,"BOM",DATA_GOC!$D:$D,$B270,DATA_GOC!$E:$E,"Dầu động cơ",DATA_GOC!$F:$F,"Xuất nội bộ từ téc",DATA_GOC!$B:$B,DATE($D$2,$B$2,C$4)),0))</f>
        <v>0</v>
      </c>
      <c r="D270" s="251">
        <f>IF(D$4&gt;DAY(EOMONTH(DATE($D$2,$B$2,1),0)),"",IFERROR(SUMIFS(DATA_GOC!$H:$H,DATA_GOC!$A:$A,"BOM",DATA_GOC!$D:$D,$B270,DATA_GOC!$E:$E,"Dầu động cơ",DATA_GOC!$F:$F,"Xuất nội bộ từ téc",DATA_GOC!$B:$B,DATE($D$2,$B$2,D$4)),0))</f>
        <v>0</v>
      </c>
      <c r="E270" s="251">
        <f>IF(E$4&gt;DAY(EOMONTH(DATE($D$2,$B$2,1),0)),"",IFERROR(SUMIFS(DATA_GOC!$H:$H,DATA_GOC!$A:$A,"BOM",DATA_GOC!$D:$D,$B270,DATA_GOC!$E:$E,"Dầu động cơ",DATA_GOC!$F:$F,"Xuất nội bộ từ téc",DATA_GOC!$B:$B,DATE($D$2,$B$2,E$4)),0))</f>
        <v>0</v>
      </c>
      <c r="F270" s="251">
        <f>IF(F$4&gt;DAY(EOMONTH(DATE($D$2,$B$2,1),0)),"",IFERROR(SUMIFS(DATA_GOC!$H:$H,DATA_GOC!$A:$A,"BOM",DATA_GOC!$D:$D,$B270,DATA_GOC!$E:$E,"Dầu động cơ",DATA_GOC!$F:$F,"Xuất nội bộ từ téc",DATA_GOC!$B:$B,DATE($D$2,$B$2,F$4)),0))</f>
        <v>0</v>
      </c>
      <c r="G270" s="251">
        <f>IF(G$4&gt;DAY(EOMONTH(DATE($D$2,$B$2,1),0)),"",IFERROR(SUMIFS(DATA_GOC!$H:$H,DATA_GOC!$A:$A,"BOM",DATA_GOC!$D:$D,$B270,DATA_GOC!$E:$E,"Dầu động cơ",DATA_GOC!$F:$F,"Xuất nội bộ từ téc",DATA_GOC!$B:$B,DATE($D$2,$B$2,G$4)),0))</f>
        <v>0</v>
      </c>
      <c r="H270" s="251">
        <f>IF(H$4&gt;DAY(EOMONTH(DATE($D$2,$B$2,1),0)),"",IFERROR(SUMIFS(DATA_GOC!$H:$H,DATA_GOC!$A:$A,"BOM",DATA_GOC!$D:$D,$B270,DATA_GOC!$E:$E,"Dầu động cơ",DATA_GOC!$F:$F,"Xuất nội bộ từ téc",DATA_GOC!$B:$B,DATE($D$2,$B$2,H$4)),0))</f>
        <v>0</v>
      </c>
      <c r="I270" s="251">
        <f>IF(I$4&gt;DAY(EOMONTH(DATE($D$2,$B$2,1),0)),"",IFERROR(SUMIFS(DATA_GOC!$H:$H,DATA_GOC!$A:$A,"BOM",DATA_GOC!$D:$D,$B270,DATA_GOC!$E:$E,"Dầu động cơ",DATA_GOC!$F:$F,"Xuất nội bộ từ téc",DATA_GOC!$B:$B,DATE($D$2,$B$2,I$4)),0))</f>
        <v>0</v>
      </c>
      <c r="J270" s="251">
        <f>IF(J$4&gt;DAY(EOMONTH(DATE($D$2,$B$2,1),0)),"",IFERROR(SUMIFS(DATA_GOC!$H:$H,DATA_GOC!$A:$A,"BOM",DATA_GOC!$D:$D,$B270,DATA_GOC!$E:$E,"Dầu động cơ",DATA_GOC!$F:$F,"Xuất nội bộ từ téc",DATA_GOC!$B:$B,DATE($D$2,$B$2,J$4)),0))</f>
        <v>0</v>
      </c>
      <c r="K270" s="251">
        <f>IF(K$4&gt;DAY(EOMONTH(DATE($D$2,$B$2,1),0)),"",IFERROR(SUMIFS(DATA_GOC!$H:$H,DATA_GOC!$A:$A,"BOM",DATA_GOC!$D:$D,$B270,DATA_GOC!$E:$E,"Dầu động cơ",DATA_GOC!$F:$F,"Xuất nội bộ từ téc",DATA_GOC!$B:$B,DATE($D$2,$B$2,K$4)),0))</f>
        <v>0</v>
      </c>
      <c r="L270" s="251">
        <f>IF(L$4&gt;DAY(EOMONTH(DATE($D$2,$B$2,1),0)),"",IFERROR(SUMIFS(DATA_GOC!$H:$H,DATA_GOC!$A:$A,"BOM",DATA_GOC!$D:$D,$B270,DATA_GOC!$E:$E,"Dầu động cơ",DATA_GOC!$F:$F,"Xuất nội bộ từ téc",DATA_GOC!$B:$B,DATE($D$2,$B$2,L$4)),0))</f>
        <v>0</v>
      </c>
      <c r="M270" s="251">
        <f>IF(M$4&gt;DAY(EOMONTH(DATE($D$2,$B$2,1),0)),"",IFERROR(SUMIFS(DATA_GOC!$H:$H,DATA_GOC!$A:$A,"BOM",DATA_GOC!$D:$D,$B270,DATA_GOC!$E:$E,"Dầu động cơ",DATA_GOC!$F:$F,"Xuất nội bộ từ téc",DATA_GOC!$B:$B,DATE($D$2,$B$2,M$4)),0))</f>
        <v>0</v>
      </c>
      <c r="N270" s="251">
        <f>IF(N$4&gt;DAY(EOMONTH(DATE($D$2,$B$2,1),0)),"",IFERROR(SUMIFS(DATA_GOC!$H:$H,DATA_GOC!$A:$A,"BOM",DATA_GOC!$D:$D,$B270,DATA_GOC!$E:$E,"Dầu động cơ",DATA_GOC!$F:$F,"Xuất nội bộ từ téc",DATA_GOC!$B:$B,DATE($D$2,$B$2,N$4)),0))</f>
        <v>0</v>
      </c>
      <c r="O270" s="251">
        <f>IF(O$4&gt;DAY(EOMONTH(DATE($D$2,$B$2,1),0)),"",IFERROR(SUMIFS(DATA_GOC!$H:$H,DATA_GOC!$A:$A,"BOM",DATA_GOC!$D:$D,$B270,DATA_GOC!$E:$E,"Dầu động cơ",DATA_GOC!$F:$F,"Xuất nội bộ từ téc",DATA_GOC!$B:$B,DATE($D$2,$B$2,O$4)),0))</f>
        <v>0</v>
      </c>
      <c r="P270" s="251">
        <f>IF(P$4&gt;DAY(EOMONTH(DATE($D$2,$B$2,1),0)),"",IFERROR(SUMIFS(DATA_GOC!$H:$H,DATA_GOC!$A:$A,"BOM",DATA_GOC!$D:$D,$B270,DATA_GOC!$E:$E,"Dầu động cơ",DATA_GOC!$F:$F,"Xuất nội bộ từ téc",DATA_GOC!$B:$B,DATE($D$2,$B$2,P$4)),0))</f>
        <v>0</v>
      </c>
      <c r="Q270" s="251">
        <f>IF(Q$4&gt;DAY(EOMONTH(DATE($D$2,$B$2,1),0)),"",IFERROR(SUMIFS(DATA_GOC!$H:$H,DATA_GOC!$A:$A,"BOM",DATA_GOC!$D:$D,$B270,DATA_GOC!$E:$E,"Dầu động cơ",DATA_GOC!$F:$F,"Xuất nội bộ từ téc",DATA_GOC!$B:$B,DATE($D$2,$B$2,Q$4)),0))</f>
        <v>0</v>
      </c>
      <c r="R270" s="251">
        <f>IF(R$4&gt;DAY(EOMONTH(DATE($D$2,$B$2,1),0)),"",IFERROR(SUMIFS(DATA_GOC!$H:$H,DATA_GOC!$A:$A,"BOM",DATA_GOC!$D:$D,$B270,DATA_GOC!$E:$E,"Dầu động cơ",DATA_GOC!$F:$F,"Xuất nội bộ từ téc",DATA_GOC!$B:$B,DATE($D$2,$B$2,R$4)),0))</f>
        <v>0</v>
      </c>
      <c r="S270" s="251">
        <f>IF(S$4&gt;DAY(EOMONTH(DATE($D$2,$B$2,1),0)),"",IFERROR(SUMIFS(DATA_GOC!$H:$H,DATA_GOC!$A:$A,"BOM",DATA_GOC!$D:$D,$B270,DATA_GOC!$E:$E,"Dầu động cơ",DATA_GOC!$F:$F,"Xuất nội bộ từ téc",DATA_GOC!$B:$B,DATE($D$2,$B$2,S$4)),0))</f>
        <v>0</v>
      </c>
      <c r="T270" s="251">
        <f>IF(T$4&gt;DAY(EOMONTH(DATE($D$2,$B$2,1),0)),"",IFERROR(SUMIFS(DATA_GOC!$H:$H,DATA_GOC!$A:$A,"BOM",DATA_GOC!$D:$D,$B270,DATA_GOC!$E:$E,"Dầu động cơ",DATA_GOC!$F:$F,"Xuất nội bộ từ téc",DATA_GOC!$B:$B,DATE($D$2,$B$2,T$4)),0))</f>
        <v>0</v>
      </c>
      <c r="U270" s="251">
        <f>IF(U$4&gt;DAY(EOMONTH(DATE($D$2,$B$2,1),0)),"",IFERROR(SUMIFS(DATA_GOC!$H:$H,DATA_GOC!$A:$A,"BOM",DATA_GOC!$D:$D,$B270,DATA_GOC!$E:$E,"Dầu động cơ",DATA_GOC!$F:$F,"Xuất nội bộ từ téc",DATA_GOC!$B:$B,DATE($D$2,$B$2,U$4)),0))</f>
        <v>0</v>
      </c>
      <c r="V270" s="251">
        <f>IF(V$4&gt;DAY(EOMONTH(DATE($D$2,$B$2,1),0)),"",IFERROR(SUMIFS(DATA_GOC!$H:$H,DATA_GOC!$A:$A,"BOM",DATA_GOC!$D:$D,$B270,DATA_GOC!$E:$E,"Dầu động cơ",DATA_GOC!$F:$F,"Xuất nội bộ từ téc",DATA_GOC!$B:$B,DATE($D$2,$B$2,V$4)),0))</f>
        <v>0</v>
      </c>
      <c r="W270" s="251">
        <f>IF(W$4&gt;DAY(EOMONTH(DATE($D$2,$B$2,1),0)),"",IFERROR(SUMIFS(DATA_GOC!$H:$H,DATA_GOC!$A:$A,"BOM",DATA_GOC!$D:$D,$B270,DATA_GOC!$E:$E,"Dầu động cơ",DATA_GOC!$F:$F,"Xuất nội bộ từ téc",DATA_GOC!$B:$B,DATE($D$2,$B$2,W$4)),0))</f>
        <v>0</v>
      </c>
      <c r="X270" s="251">
        <f>IF(X$4&gt;DAY(EOMONTH(DATE($D$2,$B$2,1),0)),"",IFERROR(SUMIFS(DATA_GOC!$H:$H,DATA_GOC!$A:$A,"BOM",DATA_GOC!$D:$D,$B270,DATA_GOC!$E:$E,"Dầu động cơ",DATA_GOC!$F:$F,"Xuất nội bộ từ téc",DATA_GOC!$B:$B,DATE($D$2,$B$2,X$4)),0))</f>
        <v>0</v>
      </c>
      <c r="Y270" s="251">
        <f>IF(Y$4&gt;DAY(EOMONTH(DATE($D$2,$B$2,1),0)),"",IFERROR(SUMIFS(DATA_GOC!$H:$H,DATA_GOC!$A:$A,"BOM",DATA_GOC!$D:$D,$B270,DATA_GOC!$E:$E,"Dầu động cơ",DATA_GOC!$F:$F,"Xuất nội bộ từ téc",DATA_GOC!$B:$B,DATE($D$2,$B$2,Y$4)),0))</f>
        <v>0</v>
      </c>
      <c r="Z270" s="251">
        <f>IF(Z$4&gt;DAY(EOMONTH(DATE($D$2,$B$2,1),0)),"",IFERROR(SUMIFS(DATA_GOC!$H:$H,DATA_GOC!$A:$A,"BOM",DATA_GOC!$D:$D,$B270,DATA_GOC!$E:$E,"Dầu động cơ",DATA_GOC!$F:$F,"Xuất nội bộ từ téc",DATA_GOC!$B:$B,DATE($D$2,$B$2,Z$4)),0))</f>
        <v>0</v>
      </c>
      <c r="AA270" s="251">
        <f>IF(AA$4&gt;DAY(EOMONTH(DATE($D$2,$B$2,1),0)),"",IFERROR(SUMIFS(DATA_GOC!$H:$H,DATA_GOC!$A:$A,"BOM",DATA_GOC!$D:$D,$B270,DATA_GOC!$E:$E,"Dầu động cơ",DATA_GOC!$F:$F,"Xuất nội bộ từ téc",DATA_GOC!$B:$B,DATE($D$2,$B$2,AA$4)),0))</f>
        <v>0</v>
      </c>
      <c r="AB270" s="251">
        <f>IF(AB$4&gt;DAY(EOMONTH(DATE($D$2,$B$2,1),0)),"",IFERROR(SUMIFS(DATA_GOC!$H:$H,DATA_GOC!$A:$A,"BOM",DATA_GOC!$D:$D,$B270,DATA_GOC!$E:$E,"Dầu động cơ",DATA_GOC!$F:$F,"Xuất nội bộ từ téc",DATA_GOC!$B:$B,DATE($D$2,$B$2,AB$4)),0))</f>
        <v>0</v>
      </c>
      <c r="AC270" s="251">
        <f>IF(AC$4&gt;DAY(EOMONTH(DATE($D$2,$B$2,1),0)),"",IFERROR(SUMIFS(DATA_GOC!$H:$H,DATA_GOC!$A:$A,"BOM",DATA_GOC!$D:$D,$B270,DATA_GOC!$E:$E,"Dầu động cơ",DATA_GOC!$F:$F,"Xuất nội bộ từ téc",DATA_GOC!$B:$B,DATE($D$2,$B$2,AC$4)),0))</f>
        <v>0</v>
      </c>
      <c r="AD270" s="251">
        <f>IF(AD$4&gt;DAY(EOMONTH(DATE($D$2,$B$2,1),0)),"",IFERROR(SUMIFS(DATA_GOC!$H:$H,DATA_GOC!$A:$A,"BOM",DATA_GOC!$D:$D,$B270,DATA_GOC!$E:$E,"Dầu động cơ",DATA_GOC!$F:$F,"Xuất nội bộ từ téc",DATA_GOC!$B:$B,DATE($D$2,$B$2,AD$4)),0))</f>
        <v>0</v>
      </c>
      <c r="AE270" s="251">
        <f>IF(AE$4&gt;DAY(EOMONTH(DATE($D$2,$B$2,1),0)),"",IFERROR(SUMIFS(DATA_GOC!$H:$H,DATA_GOC!$A:$A,"BOM",DATA_GOC!$D:$D,$B270,DATA_GOC!$E:$E,"Dầu động cơ",DATA_GOC!$F:$F,"Xuất nội bộ từ téc",DATA_GOC!$B:$B,DATE($D$2,$B$2,AE$4)),0))</f>
        <v>0</v>
      </c>
      <c r="AF270" s="251">
        <f>IF(AF$4&gt;DAY(EOMONTH(DATE($D$2,$B$2,1),0)),"",IFERROR(SUMIFS(DATA_GOC!$H:$H,DATA_GOC!$A:$A,"BOM",DATA_GOC!$D:$D,$B270,DATA_GOC!$E:$E,"Dầu động cơ",DATA_GOC!$F:$F,"Xuất nội bộ từ téc",DATA_GOC!$B:$B,DATE($D$2,$B$2,AF$4)),0))</f>
        <v>0</v>
      </c>
      <c r="AG270" s="251">
        <f>IF(AG$4&gt;DAY(EOMONTH(DATE($D$2,$B$2,1),0)),"",IFERROR(SUMIFS(DATA_GOC!$H:$H,DATA_GOC!$A:$A,"BOM",DATA_GOC!$D:$D,$B270,DATA_GOC!$E:$E,"Dầu động cơ",DATA_GOC!$F:$F,"Xuất nội bộ từ téc",DATA_GOC!$B:$B,DATE($D$2,$B$2,AG$4)),0))</f>
        <v>0</v>
      </c>
      <c r="AH270" s="252">
        <f t="shared" si="13"/>
        <v>0</v>
      </c>
      <c r="AI270" s="241"/>
      <c r="AJ270" s="242">
        <f>IF($B270="","",SUMIFS(TINH_TEC!$K$233:$K$9232,TINH_TEC!$H$233:$H$9232,$B270,TINH_TEC!$C$233:$C$9232,"Dầu động cơ",TINH_TEC!$F$233:$F$9232,$B$2,TINH_TEC!$G$233:$G$9232,$D$2,TINH_TEC!$B$233:$B$9232,"Đã chốt"))</f>
        <v>0</v>
      </c>
      <c r="AK270" s="242">
        <f>IF($B270="","",SUMIFS(TINH_TEC!$J$233:$J$9232,TINH_TEC!$H$233:$H$9232,$B270,TINH_TEC!$C$233:$C$9232,"Dầu động cơ",TINH_TEC!$F$233:$F$9232,$B$2,TINH_TEC!$G$233:$G$9232,$D$2,TINH_TEC!$B$233:$B$9232,"Đã chốt"))</f>
        <v>0</v>
      </c>
      <c r="AL270" s="242">
        <f t="shared" si="14"/>
        <v>0</v>
      </c>
    </row>
    <row r="271" ht="15.75" customHeight="1">
      <c r="A271" s="237">
        <f>IF($B271&lt;&gt;"",22,"")</f>
        <v>22</v>
      </c>
      <c r="B271" s="250" t="str">
        <f t="array" ref="B271">IFERROR(INDEX(DANH_MUC!$E:$E,25),"")</f>
        <v>28C03927</v>
      </c>
      <c r="C271" s="251">
        <f>IF(C$4&gt;DAY(EOMONTH(DATE($D$2,$B$2,1),0)),"",IFERROR(SUMIFS(DATA_GOC!$H:$H,DATA_GOC!$A:$A,"BOM",DATA_GOC!$D:$D,$B271,DATA_GOC!$E:$E,"Dầu động cơ",DATA_GOC!$F:$F,"Xuất nội bộ từ téc",DATA_GOC!$B:$B,DATE($D$2,$B$2,C$4)),0))</f>
        <v>0</v>
      </c>
      <c r="D271" s="251">
        <f>IF(D$4&gt;DAY(EOMONTH(DATE($D$2,$B$2,1),0)),"",IFERROR(SUMIFS(DATA_GOC!$H:$H,DATA_GOC!$A:$A,"BOM",DATA_GOC!$D:$D,$B271,DATA_GOC!$E:$E,"Dầu động cơ",DATA_GOC!$F:$F,"Xuất nội bộ từ téc",DATA_GOC!$B:$B,DATE($D$2,$B$2,D$4)),0))</f>
        <v>0</v>
      </c>
      <c r="E271" s="251">
        <f>IF(E$4&gt;DAY(EOMONTH(DATE($D$2,$B$2,1),0)),"",IFERROR(SUMIFS(DATA_GOC!$H:$H,DATA_GOC!$A:$A,"BOM",DATA_GOC!$D:$D,$B271,DATA_GOC!$E:$E,"Dầu động cơ",DATA_GOC!$F:$F,"Xuất nội bộ từ téc",DATA_GOC!$B:$B,DATE($D$2,$B$2,E$4)),0))</f>
        <v>0</v>
      </c>
      <c r="F271" s="251">
        <f>IF(F$4&gt;DAY(EOMONTH(DATE($D$2,$B$2,1),0)),"",IFERROR(SUMIFS(DATA_GOC!$H:$H,DATA_GOC!$A:$A,"BOM",DATA_GOC!$D:$D,$B271,DATA_GOC!$E:$E,"Dầu động cơ",DATA_GOC!$F:$F,"Xuất nội bộ từ téc",DATA_GOC!$B:$B,DATE($D$2,$B$2,F$4)),0))</f>
        <v>0</v>
      </c>
      <c r="G271" s="251">
        <f>IF(G$4&gt;DAY(EOMONTH(DATE($D$2,$B$2,1),0)),"",IFERROR(SUMIFS(DATA_GOC!$H:$H,DATA_GOC!$A:$A,"BOM",DATA_GOC!$D:$D,$B271,DATA_GOC!$E:$E,"Dầu động cơ",DATA_GOC!$F:$F,"Xuất nội bộ từ téc",DATA_GOC!$B:$B,DATE($D$2,$B$2,G$4)),0))</f>
        <v>0</v>
      </c>
      <c r="H271" s="251">
        <f>IF(H$4&gt;DAY(EOMONTH(DATE($D$2,$B$2,1),0)),"",IFERROR(SUMIFS(DATA_GOC!$H:$H,DATA_GOC!$A:$A,"BOM",DATA_GOC!$D:$D,$B271,DATA_GOC!$E:$E,"Dầu động cơ",DATA_GOC!$F:$F,"Xuất nội bộ từ téc",DATA_GOC!$B:$B,DATE($D$2,$B$2,H$4)),0))</f>
        <v>0</v>
      </c>
      <c r="I271" s="251">
        <f>IF(I$4&gt;DAY(EOMONTH(DATE($D$2,$B$2,1),0)),"",IFERROR(SUMIFS(DATA_GOC!$H:$H,DATA_GOC!$A:$A,"BOM",DATA_GOC!$D:$D,$B271,DATA_GOC!$E:$E,"Dầu động cơ",DATA_GOC!$F:$F,"Xuất nội bộ từ téc",DATA_GOC!$B:$B,DATE($D$2,$B$2,I$4)),0))</f>
        <v>0</v>
      </c>
      <c r="J271" s="251">
        <f>IF(J$4&gt;DAY(EOMONTH(DATE($D$2,$B$2,1),0)),"",IFERROR(SUMIFS(DATA_GOC!$H:$H,DATA_GOC!$A:$A,"BOM",DATA_GOC!$D:$D,$B271,DATA_GOC!$E:$E,"Dầu động cơ",DATA_GOC!$F:$F,"Xuất nội bộ từ téc",DATA_GOC!$B:$B,DATE($D$2,$B$2,J$4)),0))</f>
        <v>0</v>
      </c>
      <c r="K271" s="251">
        <f>IF(K$4&gt;DAY(EOMONTH(DATE($D$2,$B$2,1),0)),"",IFERROR(SUMIFS(DATA_GOC!$H:$H,DATA_GOC!$A:$A,"BOM",DATA_GOC!$D:$D,$B271,DATA_GOC!$E:$E,"Dầu động cơ",DATA_GOC!$F:$F,"Xuất nội bộ từ téc",DATA_GOC!$B:$B,DATE($D$2,$B$2,K$4)),0))</f>
        <v>0</v>
      </c>
      <c r="L271" s="251">
        <f>IF(L$4&gt;DAY(EOMONTH(DATE($D$2,$B$2,1),0)),"",IFERROR(SUMIFS(DATA_GOC!$H:$H,DATA_GOC!$A:$A,"BOM",DATA_GOC!$D:$D,$B271,DATA_GOC!$E:$E,"Dầu động cơ",DATA_GOC!$F:$F,"Xuất nội bộ từ téc",DATA_GOC!$B:$B,DATE($D$2,$B$2,L$4)),0))</f>
        <v>0</v>
      </c>
      <c r="M271" s="251">
        <f>IF(M$4&gt;DAY(EOMONTH(DATE($D$2,$B$2,1),0)),"",IFERROR(SUMIFS(DATA_GOC!$H:$H,DATA_GOC!$A:$A,"BOM",DATA_GOC!$D:$D,$B271,DATA_GOC!$E:$E,"Dầu động cơ",DATA_GOC!$F:$F,"Xuất nội bộ từ téc",DATA_GOC!$B:$B,DATE($D$2,$B$2,M$4)),0))</f>
        <v>0</v>
      </c>
      <c r="N271" s="251">
        <f>IF(N$4&gt;DAY(EOMONTH(DATE($D$2,$B$2,1),0)),"",IFERROR(SUMIFS(DATA_GOC!$H:$H,DATA_GOC!$A:$A,"BOM",DATA_GOC!$D:$D,$B271,DATA_GOC!$E:$E,"Dầu động cơ",DATA_GOC!$F:$F,"Xuất nội bộ từ téc",DATA_GOC!$B:$B,DATE($D$2,$B$2,N$4)),0))</f>
        <v>0</v>
      </c>
      <c r="O271" s="251">
        <f>IF(O$4&gt;DAY(EOMONTH(DATE($D$2,$B$2,1),0)),"",IFERROR(SUMIFS(DATA_GOC!$H:$H,DATA_GOC!$A:$A,"BOM",DATA_GOC!$D:$D,$B271,DATA_GOC!$E:$E,"Dầu động cơ",DATA_GOC!$F:$F,"Xuất nội bộ từ téc",DATA_GOC!$B:$B,DATE($D$2,$B$2,O$4)),0))</f>
        <v>0</v>
      </c>
      <c r="P271" s="251">
        <f>IF(P$4&gt;DAY(EOMONTH(DATE($D$2,$B$2,1),0)),"",IFERROR(SUMIFS(DATA_GOC!$H:$H,DATA_GOC!$A:$A,"BOM",DATA_GOC!$D:$D,$B271,DATA_GOC!$E:$E,"Dầu động cơ",DATA_GOC!$F:$F,"Xuất nội bộ từ téc",DATA_GOC!$B:$B,DATE($D$2,$B$2,P$4)),0))</f>
        <v>0</v>
      </c>
      <c r="Q271" s="251">
        <f>IF(Q$4&gt;DAY(EOMONTH(DATE($D$2,$B$2,1),0)),"",IFERROR(SUMIFS(DATA_GOC!$H:$H,DATA_GOC!$A:$A,"BOM",DATA_GOC!$D:$D,$B271,DATA_GOC!$E:$E,"Dầu động cơ",DATA_GOC!$F:$F,"Xuất nội bộ từ téc",DATA_GOC!$B:$B,DATE($D$2,$B$2,Q$4)),0))</f>
        <v>0</v>
      </c>
      <c r="R271" s="251">
        <f>IF(R$4&gt;DAY(EOMONTH(DATE($D$2,$B$2,1),0)),"",IFERROR(SUMIFS(DATA_GOC!$H:$H,DATA_GOC!$A:$A,"BOM",DATA_GOC!$D:$D,$B271,DATA_GOC!$E:$E,"Dầu động cơ",DATA_GOC!$F:$F,"Xuất nội bộ từ téc",DATA_GOC!$B:$B,DATE($D$2,$B$2,R$4)),0))</f>
        <v>0</v>
      </c>
      <c r="S271" s="251">
        <f>IF(S$4&gt;DAY(EOMONTH(DATE($D$2,$B$2,1),0)),"",IFERROR(SUMIFS(DATA_GOC!$H:$H,DATA_GOC!$A:$A,"BOM",DATA_GOC!$D:$D,$B271,DATA_GOC!$E:$E,"Dầu động cơ",DATA_GOC!$F:$F,"Xuất nội bộ từ téc",DATA_GOC!$B:$B,DATE($D$2,$B$2,S$4)),0))</f>
        <v>0</v>
      </c>
      <c r="T271" s="251">
        <f>IF(T$4&gt;DAY(EOMONTH(DATE($D$2,$B$2,1),0)),"",IFERROR(SUMIFS(DATA_GOC!$H:$H,DATA_GOC!$A:$A,"BOM",DATA_GOC!$D:$D,$B271,DATA_GOC!$E:$E,"Dầu động cơ",DATA_GOC!$F:$F,"Xuất nội bộ từ téc",DATA_GOC!$B:$B,DATE($D$2,$B$2,T$4)),0))</f>
        <v>0</v>
      </c>
      <c r="U271" s="251">
        <f>IF(U$4&gt;DAY(EOMONTH(DATE($D$2,$B$2,1),0)),"",IFERROR(SUMIFS(DATA_GOC!$H:$H,DATA_GOC!$A:$A,"BOM",DATA_GOC!$D:$D,$B271,DATA_GOC!$E:$E,"Dầu động cơ",DATA_GOC!$F:$F,"Xuất nội bộ từ téc",DATA_GOC!$B:$B,DATE($D$2,$B$2,U$4)),0))</f>
        <v>0</v>
      </c>
      <c r="V271" s="251">
        <f>IF(V$4&gt;DAY(EOMONTH(DATE($D$2,$B$2,1),0)),"",IFERROR(SUMIFS(DATA_GOC!$H:$H,DATA_GOC!$A:$A,"BOM",DATA_GOC!$D:$D,$B271,DATA_GOC!$E:$E,"Dầu động cơ",DATA_GOC!$F:$F,"Xuất nội bộ từ téc",DATA_GOC!$B:$B,DATE($D$2,$B$2,V$4)),0))</f>
        <v>0</v>
      </c>
      <c r="W271" s="251">
        <f>IF(W$4&gt;DAY(EOMONTH(DATE($D$2,$B$2,1),0)),"",IFERROR(SUMIFS(DATA_GOC!$H:$H,DATA_GOC!$A:$A,"BOM",DATA_GOC!$D:$D,$B271,DATA_GOC!$E:$E,"Dầu động cơ",DATA_GOC!$F:$F,"Xuất nội bộ từ téc",DATA_GOC!$B:$B,DATE($D$2,$B$2,W$4)),0))</f>
        <v>0</v>
      </c>
      <c r="X271" s="251">
        <f>IF(X$4&gt;DAY(EOMONTH(DATE($D$2,$B$2,1),0)),"",IFERROR(SUMIFS(DATA_GOC!$H:$H,DATA_GOC!$A:$A,"BOM",DATA_GOC!$D:$D,$B271,DATA_GOC!$E:$E,"Dầu động cơ",DATA_GOC!$F:$F,"Xuất nội bộ từ téc",DATA_GOC!$B:$B,DATE($D$2,$B$2,X$4)),0))</f>
        <v>0</v>
      </c>
      <c r="Y271" s="251">
        <f>IF(Y$4&gt;DAY(EOMONTH(DATE($D$2,$B$2,1),0)),"",IFERROR(SUMIFS(DATA_GOC!$H:$H,DATA_GOC!$A:$A,"BOM",DATA_GOC!$D:$D,$B271,DATA_GOC!$E:$E,"Dầu động cơ",DATA_GOC!$F:$F,"Xuất nội bộ từ téc",DATA_GOC!$B:$B,DATE($D$2,$B$2,Y$4)),0))</f>
        <v>0</v>
      </c>
      <c r="Z271" s="251">
        <f>IF(Z$4&gt;DAY(EOMONTH(DATE($D$2,$B$2,1),0)),"",IFERROR(SUMIFS(DATA_GOC!$H:$H,DATA_GOC!$A:$A,"BOM",DATA_GOC!$D:$D,$B271,DATA_GOC!$E:$E,"Dầu động cơ",DATA_GOC!$F:$F,"Xuất nội bộ từ téc",DATA_GOC!$B:$B,DATE($D$2,$B$2,Z$4)),0))</f>
        <v>0</v>
      </c>
      <c r="AA271" s="251">
        <f>IF(AA$4&gt;DAY(EOMONTH(DATE($D$2,$B$2,1),0)),"",IFERROR(SUMIFS(DATA_GOC!$H:$H,DATA_GOC!$A:$A,"BOM",DATA_GOC!$D:$D,$B271,DATA_GOC!$E:$E,"Dầu động cơ",DATA_GOC!$F:$F,"Xuất nội bộ từ téc",DATA_GOC!$B:$B,DATE($D$2,$B$2,AA$4)),0))</f>
        <v>0</v>
      </c>
      <c r="AB271" s="251">
        <f>IF(AB$4&gt;DAY(EOMONTH(DATE($D$2,$B$2,1),0)),"",IFERROR(SUMIFS(DATA_GOC!$H:$H,DATA_GOC!$A:$A,"BOM",DATA_GOC!$D:$D,$B271,DATA_GOC!$E:$E,"Dầu động cơ",DATA_GOC!$F:$F,"Xuất nội bộ từ téc",DATA_GOC!$B:$B,DATE($D$2,$B$2,AB$4)),0))</f>
        <v>0</v>
      </c>
      <c r="AC271" s="251">
        <f>IF(AC$4&gt;DAY(EOMONTH(DATE($D$2,$B$2,1),0)),"",IFERROR(SUMIFS(DATA_GOC!$H:$H,DATA_GOC!$A:$A,"BOM",DATA_GOC!$D:$D,$B271,DATA_GOC!$E:$E,"Dầu động cơ",DATA_GOC!$F:$F,"Xuất nội bộ từ téc",DATA_GOC!$B:$B,DATE($D$2,$B$2,AC$4)),0))</f>
        <v>0</v>
      </c>
      <c r="AD271" s="251">
        <f>IF(AD$4&gt;DAY(EOMONTH(DATE($D$2,$B$2,1),0)),"",IFERROR(SUMIFS(DATA_GOC!$H:$H,DATA_GOC!$A:$A,"BOM",DATA_GOC!$D:$D,$B271,DATA_GOC!$E:$E,"Dầu động cơ",DATA_GOC!$F:$F,"Xuất nội bộ từ téc",DATA_GOC!$B:$B,DATE($D$2,$B$2,AD$4)),0))</f>
        <v>0</v>
      </c>
      <c r="AE271" s="251">
        <f>IF(AE$4&gt;DAY(EOMONTH(DATE($D$2,$B$2,1),0)),"",IFERROR(SUMIFS(DATA_GOC!$H:$H,DATA_GOC!$A:$A,"BOM",DATA_GOC!$D:$D,$B271,DATA_GOC!$E:$E,"Dầu động cơ",DATA_GOC!$F:$F,"Xuất nội bộ từ téc",DATA_GOC!$B:$B,DATE($D$2,$B$2,AE$4)),0))</f>
        <v>0</v>
      </c>
      <c r="AF271" s="251">
        <f>IF(AF$4&gt;DAY(EOMONTH(DATE($D$2,$B$2,1),0)),"",IFERROR(SUMIFS(DATA_GOC!$H:$H,DATA_GOC!$A:$A,"BOM",DATA_GOC!$D:$D,$B271,DATA_GOC!$E:$E,"Dầu động cơ",DATA_GOC!$F:$F,"Xuất nội bộ từ téc",DATA_GOC!$B:$B,DATE($D$2,$B$2,AF$4)),0))</f>
        <v>0</v>
      </c>
      <c r="AG271" s="251">
        <f>IF(AG$4&gt;DAY(EOMONTH(DATE($D$2,$B$2,1),0)),"",IFERROR(SUMIFS(DATA_GOC!$H:$H,DATA_GOC!$A:$A,"BOM",DATA_GOC!$D:$D,$B271,DATA_GOC!$E:$E,"Dầu động cơ",DATA_GOC!$F:$F,"Xuất nội bộ từ téc",DATA_GOC!$B:$B,DATE($D$2,$B$2,AG$4)),0))</f>
        <v>0</v>
      </c>
      <c r="AH271" s="252">
        <f t="shared" si="13"/>
        <v>0</v>
      </c>
      <c r="AI271" s="241"/>
      <c r="AJ271" s="242">
        <f>IF($B271="","",SUMIFS(TINH_TEC!$K$233:$K$9232,TINH_TEC!$H$233:$H$9232,$B271,TINH_TEC!$C$233:$C$9232,"Dầu động cơ",TINH_TEC!$F$233:$F$9232,$B$2,TINH_TEC!$G$233:$G$9232,$D$2,TINH_TEC!$B$233:$B$9232,"Đã chốt"))</f>
        <v>0</v>
      </c>
      <c r="AK271" s="242">
        <f>IF($B271="","",SUMIFS(TINH_TEC!$J$233:$J$9232,TINH_TEC!$H$233:$H$9232,$B271,TINH_TEC!$C$233:$C$9232,"Dầu động cơ",TINH_TEC!$F$233:$F$9232,$B$2,TINH_TEC!$G$233:$G$9232,$D$2,TINH_TEC!$B$233:$B$9232,"Đã chốt"))</f>
        <v>0</v>
      </c>
      <c r="AL271" s="242">
        <f t="shared" si="14"/>
        <v>0</v>
      </c>
    </row>
    <row r="272" ht="15.75" customHeight="1">
      <c r="A272" s="237">
        <f>IF($B272&lt;&gt;"",23,"")</f>
        <v>23</v>
      </c>
      <c r="B272" s="250" t="str">
        <f t="array" ref="B272">IFERROR(INDEX(DANH_MUC!$E:$E,26),"")</f>
        <v>28C04509</v>
      </c>
      <c r="C272" s="251">
        <f>IF(C$4&gt;DAY(EOMONTH(DATE($D$2,$B$2,1),0)),"",IFERROR(SUMIFS(DATA_GOC!$H:$H,DATA_GOC!$A:$A,"BOM",DATA_GOC!$D:$D,$B272,DATA_GOC!$E:$E,"Dầu động cơ",DATA_GOC!$F:$F,"Xuất nội bộ từ téc",DATA_GOC!$B:$B,DATE($D$2,$B$2,C$4)),0))</f>
        <v>0</v>
      </c>
      <c r="D272" s="251">
        <f>IF(D$4&gt;DAY(EOMONTH(DATE($D$2,$B$2,1),0)),"",IFERROR(SUMIFS(DATA_GOC!$H:$H,DATA_GOC!$A:$A,"BOM",DATA_GOC!$D:$D,$B272,DATA_GOC!$E:$E,"Dầu động cơ",DATA_GOC!$F:$F,"Xuất nội bộ từ téc",DATA_GOC!$B:$B,DATE($D$2,$B$2,D$4)),0))</f>
        <v>0</v>
      </c>
      <c r="E272" s="251">
        <f>IF(E$4&gt;DAY(EOMONTH(DATE($D$2,$B$2,1),0)),"",IFERROR(SUMIFS(DATA_GOC!$H:$H,DATA_GOC!$A:$A,"BOM",DATA_GOC!$D:$D,$B272,DATA_GOC!$E:$E,"Dầu động cơ",DATA_GOC!$F:$F,"Xuất nội bộ từ téc",DATA_GOC!$B:$B,DATE($D$2,$B$2,E$4)),0))</f>
        <v>0</v>
      </c>
      <c r="F272" s="251">
        <f>IF(F$4&gt;DAY(EOMONTH(DATE($D$2,$B$2,1),0)),"",IFERROR(SUMIFS(DATA_GOC!$H:$H,DATA_GOC!$A:$A,"BOM",DATA_GOC!$D:$D,$B272,DATA_GOC!$E:$E,"Dầu động cơ",DATA_GOC!$F:$F,"Xuất nội bộ từ téc",DATA_GOC!$B:$B,DATE($D$2,$B$2,F$4)),0))</f>
        <v>0</v>
      </c>
      <c r="G272" s="251">
        <f>IF(G$4&gt;DAY(EOMONTH(DATE($D$2,$B$2,1),0)),"",IFERROR(SUMIFS(DATA_GOC!$H:$H,DATA_GOC!$A:$A,"BOM",DATA_GOC!$D:$D,$B272,DATA_GOC!$E:$E,"Dầu động cơ",DATA_GOC!$F:$F,"Xuất nội bộ từ téc",DATA_GOC!$B:$B,DATE($D$2,$B$2,G$4)),0))</f>
        <v>0</v>
      </c>
      <c r="H272" s="251">
        <f>IF(H$4&gt;DAY(EOMONTH(DATE($D$2,$B$2,1),0)),"",IFERROR(SUMIFS(DATA_GOC!$H:$H,DATA_GOC!$A:$A,"BOM",DATA_GOC!$D:$D,$B272,DATA_GOC!$E:$E,"Dầu động cơ",DATA_GOC!$F:$F,"Xuất nội bộ từ téc",DATA_GOC!$B:$B,DATE($D$2,$B$2,H$4)),0))</f>
        <v>0</v>
      </c>
      <c r="I272" s="251">
        <f>IF(I$4&gt;DAY(EOMONTH(DATE($D$2,$B$2,1),0)),"",IFERROR(SUMIFS(DATA_GOC!$H:$H,DATA_GOC!$A:$A,"BOM",DATA_GOC!$D:$D,$B272,DATA_GOC!$E:$E,"Dầu động cơ",DATA_GOC!$F:$F,"Xuất nội bộ từ téc",DATA_GOC!$B:$B,DATE($D$2,$B$2,I$4)),0))</f>
        <v>0</v>
      </c>
      <c r="J272" s="251">
        <f>IF(J$4&gt;DAY(EOMONTH(DATE($D$2,$B$2,1),0)),"",IFERROR(SUMIFS(DATA_GOC!$H:$H,DATA_GOC!$A:$A,"BOM",DATA_GOC!$D:$D,$B272,DATA_GOC!$E:$E,"Dầu động cơ",DATA_GOC!$F:$F,"Xuất nội bộ từ téc",DATA_GOC!$B:$B,DATE($D$2,$B$2,J$4)),0))</f>
        <v>0</v>
      </c>
      <c r="K272" s="251">
        <f>IF(K$4&gt;DAY(EOMONTH(DATE($D$2,$B$2,1),0)),"",IFERROR(SUMIFS(DATA_GOC!$H:$H,DATA_GOC!$A:$A,"BOM",DATA_GOC!$D:$D,$B272,DATA_GOC!$E:$E,"Dầu động cơ",DATA_GOC!$F:$F,"Xuất nội bộ từ téc",DATA_GOC!$B:$B,DATE($D$2,$B$2,K$4)),0))</f>
        <v>0</v>
      </c>
      <c r="L272" s="251">
        <f>IF(L$4&gt;DAY(EOMONTH(DATE($D$2,$B$2,1),0)),"",IFERROR(SUMIFS(DATA_GOC!$H:$H,DATA_GOC!$A:$A,"BOM",DATA_GOC!$D:$D,$B272,DATA_GOC!$E:$E,"Dầu động cơ",DATA_GOC!$F:$F,"Xuất nội bộ từ téc",DATA_GOC!$B:$B,DATE($D$2,$B$2,L$4)),0))</f>
        <v>0</v>
      </c>
      <c r="M272" s="251">
        <f>IF(M$4&gt;DAY(EOMONTH(DATE($D$2,$B$2,1),0)),"",IFERROR(SUMIFS(DATA_GOC!$H:$H,DATA_GOC!$A:$A,"BOM",DATA_GOC!$D:$D,$B272,DATA_GOC!$E:$E,"Dầu động cơ",DATA_GOC!$F:$F,"Xuất nội bộ từ téc",DATA_GOC!$B:$B,DATE($D$2,$B$2,M$4)),0))</f>
        <v>0</v>
      </c>
      <c r="N272" s="251">
        <f>IF(N$4&gt;DAY(EOMONTH(DATE($D$2,$B$2,1),0)),"",IFERROR(SUMIFS(DATA_GOC!$H:$H,DATA_GOC!$A:$A,"BOM",DATA_GOC!$D:$D,$B272,DATA_GOC!$E:$E,"Dầu động cơ",DATA_GOC!$F:$F,"Xuất nội bộ từ téc",DATA_GOC!$B:$B,DATE($D$2,$B$2,N$4)),0))</f>
        <v>0</v>
      </c>
      <c r="O272" s="251">
        <f>IF(O$4&gt;DAY(EOMONTH(DATE($D$2,$B$2,1),0)),"",IFERROR(SUMIFS(DATA_GOC!$H:$H,DATA_GOC!$A:$A,"BOM",DATA_GOC!$D:$D,$B272,DATA_GOC!$E:$E,"Dầu động cơ",DATA_GOC!$F:$F,"Xuất nội bộ từ téc",DATA_GOC!$B:$B,DATE($D$2,$B$2,O$4)),0))</f>
        <v>0</v>
      </c>
      <c r="P272" s="251">
        <f>IF(P$4&gt;DAY(EOMONTH(DATE($D$2,$B$2,1),0)),"",IFERROR(SUMIFS(DATA_GOC!$H:$H,DATA_GOC!$A:$A,"BOM",DATA_GOC!$D:$D,$B272,DATA_GOC!$E:$E,"Dầu động cơ",DATA_GOC!$F:$F,"Xuất nội bộ từ téc",DATA_GOC!$B:$B,DATE($D$2,$B$2,P$4)),0))</f>
        <v>0</v>
      </c>
      <c r="Q272" s="251">
        <f>IF(Q$4&gt;DAY(EOMONTH(DATE($D$2,$B$2,1),0)),"",IFERROR(SUMIFS(DATA_GOC!$H:$H,DATA_GOC!$A:$A,"BOM",DATA_GOC!$D:$D,$B272,DATA_GOC!$E:$E,"Dầu động cơ",DATA_GOC!$F:$F,"Xuất nội bộ từ téc",DATA_GOC!$B:$B,DATE($D$2,$B$2,Q$4)),0))</f>
        <v>0</v>
      </c>
      <c r="R272" s="251">
        <f>IF(R$4&gt;DAY(EOMONTH(DATE($D$2,$B$2,1),0)),"",IFERROR(SUMIFS(DATA_GOC!$H:$H,DATA_GOC!$A:$A,"BOM",DATA_GOC!$D:$D,$B272,DATA_GOC!$E:$E,"Dầu động cơ",DATA_GOC!$F:$F,"Xuất nội bộ từ téc",DATA_GOC!$B:$B,DATE($D$2,$B$2,R$4)),0))</f>
        <v>0</v>
      </c>
      <c r="S272" s="251">
        <f>IF(S$4&gt;DAY(EOMONTH(DATE($D$2,$B$2,1),0)),"",IFERROR(SUMIFS(DATA_GOC!$H:$H,DATA_GOC!$A:$A,"BOM",DATA_GOC!$D:$D,$B272,DATA_GOC!$E:$E,"Dầu động cơ",DATA_GOC!$F:$F,"Xuất nội bộ từ téc",DATA_GOC!$B:$B,DATE($D$2,$B$2,S$4)),0))</f>
        <v>0</v>
      </c>
      <c r="T272" s="251">
        <f>IF(T$4&gt;DAY(EOMONTH(DATE($D$2,$B$2,1),0)),"",IFERROR(SUMIFS(DATA_GOC!$H:$H,DATA_GOC!$A:$A,"BOM",DATA_GOC!$D:$D,$B272,DATA_GOC!$E:$E,"Dầu động cơ",DATA_GOC!$F:$F,"Xuất nội bộ từ téc",DATA_GOC!$B:$B,DATE($D$2,$B$2,T$4)),0))</f>
        <v>0</v>
      </c>
      <c r="U272" s="251">
        <f>IF(U$4&gt;DAY(EOMONTH(DATE($D$2,$B$2,1),0)),"",IFERROR(SUMIFS(DATA_GOC!$H:$H,DATA_GOC!$A:$A,"BOM",DATA_GOC!$D:$D,$B272,DATA_GOC!$E:$E,"Dầu động cơ",DATA_GOC!$F:$F,"Xuất nội bộ từ téc",DATA_GOC!$B:$B,DATE($D$2,$B$2,U$4)),0))</f>
        <v>0</v>
      </c>
      <c r="V272" s="251">
        <f>IF(V$4&gt;DAY(EOMONTH(DATE($D$2,$B$2,1),0)),"",IFERROR(SUMIFS(DATA_GOC!$H:$H,DATA_GOC!$A:$A,"BOM",DATA_GOC!$D:$D,$B272,DATA_GOC!$E:$E,"Dầu động cơ",DATA_GOC!$F:$F,"Xuất nội bộ từ téc",DATA_GOC!$B:$B,DATE($D$2,$B$2,V$4)),0))</f>
        <v>0</v>
      </c>
      <c r="W272" s="251">
        <f>IF(W$4&gt;DAY(EOMONTH(DATE($D$2,$B$2,1),0)),"",IFERROR(SUMIFS(DATA_GOC!$H:$H,DATA_GOC!$A:$A,"BOM",DATA_GOC!$D:$D,$B272,DATA_GOC!$E:$E,"Dầu động cơ",DATA_GOC!$F:$F,"Xuất nội bộ từ téc",DATA_GOC!$B:$B,DATE($D$2,$B$2,W$4)),0))</f>
        <v>0</v>
      </c>
      <c r="X272" s="251">
        <f>IF(X$4&gt;DAY(EOMONTH(DATE($D$2,$B$2,1),0)),"",IFERROR(SUMIFS(DATA_GOC!$H:$H,DATA_GOC!$A:$A,"BOM",DATA_GOC!$D:$D,$B272,DATA_GOC!$E:$E,"Dầu động cơ",DATA_GOC!$F:$F,"Xuất nội bộ từ téc",DATA_GOC!$B:$B,DATE($D$2,$B$2,X$4)),0))</f>
        <v>0</v>
      </c>
      <c r="Y272" s="251">
        <f>IF(Y$4&gt;DAY(EOMONTH(DATE($D$2,$B$2,1),0)),"",IFERROR(SUMIFS(DATA_GOC!$H:$H,DATA_GOC!$A:$A,"BOM",DATA_GOC!$D:$D,$B272,DATA_GOC!$E:$E,"Dầu động cơ",DATA_GOC!$F:$F,"Xuất nội bộ từ téc",DATA_GOC!$B:$B,DATE($D$2,$B$2,Y$4)),0))</f>
        <v>0</v>
      </c>
      <c r="Z272" s="251">
        <f>IF(Z$4&gt;DAY(EOMONTH(DATE($D$2,$B$2,1),0)),"",IFERROR(SUMIFS(DATA_GOC!$H:$H,DATA_GOC!$A:$A,"BOM",DATA_GOC!$D:$D,$B272,DATA_GOC!$E:$E,"Dầu động cơ",DATA_GOC!$F:$F,"Xuất nội bộ từ téc",DATA_GOC!$B:$B,DATE($D$2,$B$2,Z$4)),0))</f>
        <v>0</v>
      </c>
      <c r="AA272" s="251">
        <f>IF(AA$4&gt;DAY(EOMONTH(DATE($D$2,$B$2,1),0)),"",IFERROR(SUMIFS(DATA_GOC!$H:$H,DATA_GOC!$A:$A,"BOM",DATA_GOC!$D:$D,$B272,DATA_GOC!$E:$E,"Dầu động cơ",DATA_GOC!$F:$F,"Xuất nội bộ từ téc",DATA_GOC!$B:$B,DATE($D$2,$B$2,AA$4)),0))</f>
        <v>0</v>
      </c>
      <c r="AB272" s="251">
        <f>IF(AB$4&gt;DAY(EOMONTH(DATE($D$2,$B$2,1),0)),"",IFERROR(SUMIFS(DATA_GOC!$H:$H,DATA_GOC!$A:$A,"BOM",DATA_GOC!$D:$D,$B272,DATA_GOC!$E:$E,"Dầu động cơ",DATA_GOC!$F:$F,"Xuất nội bộ từ téc",DATA_GOC!$B:$B,DATE($D$2,$B$2,AB$4)),0))</f>
        <v>0</v>
      </c>
      <c r="AC272" s="251">
        <f>IF(AC$4&gt;DAY(EOMONTH(DATE($D$2,$B$2,1),0)),"",IFERROR(SUMIFS(DATA_GOC!$H:$H,DATA_GOC!$A:$A,"BOM",DATA_GOC!$D:$D,$B272,DATA_GOC!$E:$E,"Dầu động cơ",DATA_GOC!$F:$F,"Xuất nội bộ từ téc",DATA_GOC!$B:$B,DATE($D$2,$B$2,AC$4)),0))</f>
        <v>0</v>
      </c>
      <c r="AD272" s="251">
        <f>IF(AD$4&gt;DAY(EOMONTH(DATE($D$2,$B$2,1),0)),"",IFERROR(SUMIFS(DATA_GOC!$H:$H,DATA_GOC!$A:$A,"BOM",DATA_GOC!$D:$D,$B272,DATA_GOC!$E:$E,"Dầu động cơ",DATA_GOC!$F:$F,"Xuất nội bộ từ téc",DATA_GOC!$B:$B,DATE($D$2,$B$2,AD$4)),0))</f>
        <v>0</v>
      </c>
      <c r="AE272" s="251">
        <f>IF(AE$4&gt;DAY(EOMONTH(DATE($D$2,$B$2,1),0)),"",IFERROR(SUMIFS(DATA_GOC!$H:$H,DATA_GOC!$A:$A,"BOM",DATA_GOC!$D:$D,$B272,DATA_GOC!$E:$E,"Dầu động cơ",DATA_GOC!$F:$F,"Xuất nội bộ từ téc",DATA_GOC!$B:$B,DATE($D$2,$B$2,AE$4)),0))</f>
        <v>0</v>
      </c>
      <c r="AF272" s="251">
        <f>IF(AF$4&gt;DAY(EOMONTH(DATE($D$2,$B$2,1),0)),"",IFERROR(SUMIFS(DATA_GOC!$H:$H,DATA_GOC!$A:$A,"BOM",DATA_GOC!$D:$D,$B272,DATA_GOC!$E:$E,"Dầu động cơ",DATA_GOC!$F:$F,"Xuất nội bộ từ téc",DATA_GOC!$B:$B,DATE($D$2,$B$2,AF$4)),0))</f>
        <v>0</v>
      </c>
      <c r="AG272" s="251">
        <f>IF(AG$4&gt;DAY(EOMONTH(DATE($D$2,$B$2,1),0)),"",IFERROR(SUMIFS(DATA_GOC!$H:$H,DATA_GOC!$A:$A,"BOM",DATA_GOC!$D:$D,$B272,DATA_GOC!$E:$E,"Dầu động cơ",DATA_GOC!$F:$F,"Xuất nội bộ từ téc",DATA_GOC!$B:$B,DATE($D$2,$B$2,AG$4)),0))</f>
        <v>0</v>
      </c>
      <c r="AH272" s="252">
        <f t="shared" si="13"/>
        <v>0</v>
      </c>
      <c r="AI272" s="241"/>
      <c r="AJ272" s="242">
        <f>IF($B272="","",SUMIFS(TINH_TEC!$K$233:$K$9232,TINH_TEC!$H$233:$H$9232,$B272,TINH_TEC!$C$233:$C$9232,"Dầu động cơ",TINH_TEC!$F$233:$F$9232,$B$2,TINH_TEC!$G$233:$G$9232,$D$2,TINH_TEC!$B$233:$B$9232,"Đã chốt"))</f>
        <v>0</v>
      </c>
      <c r="AK272" s="242">
        <f>IF($B272="","",SUMIFS(TINH_TEC!$J$233:$J$9232,TINH_TEC!$H$233:$H$9232,$B272,TINH_TEC!$C$233:$C$9232,"Dầu động cơ",TINH_TEC!$F$233:$F$9232,$B$2,TINH_TEC!$G$233:$G$9232,$D$2,TINH_TEC!$B$233:$B$9232,"Đã chốt"))</f>
        <v>0</v>
      </c>
      <c r="AL272" s="242">
        <f t="shared" si="14"/>
        <v>0</v>
      </c>
    </row>
    <row r="273" ht="15.75" customHeight="1">
      <c r="A273" s="237">
        <f>IF($B273&lt;&gt;"",24,"")</f>
        <v>24</v>
      </c>
      <c r="B273" s="250" t="str">
        <f t="array" ref="B273">IFERROR(INDEX(DANH_MUC!$E:$E,27),"")</f>
        <v>28C04536</v>
      </c>
      <c r="C273" s="251">
        <f>IF(C$4&gt;DAY(EOMONTH(DATE($D$2,$B$2,1),0)),"",IFERROR(SUMIFS(DATA_GOC!$H:$H,DATA_GOC!$A:$A,"BOM",DATA_GOC!$D:$D,$B273,DATA_GOC!$E:$E,"Dầu động cơ",DATA_GOC!$F:$F,"Xuất nội bộ từ téc",DATA_GOC!$B:$B,DATE($D$2,$B$2,C$4)),0))</f>
        <v>0</v>
      </c>
      <c r="D273" s="251">
        <f>IF(D$4&gt;DAY(EOMONTH(DATE($D$2,$B$2,1),0)),"",IFERROR(SUMIFS(DATA_GOC!$H:$H,DATA_GOC!$A:$A,"BOM",DATA_GOC!$D:$D,$B273,DATA_GOC!$E:$E,"Dầu động cơ",DATA_GOC!$F:$F,"Xuất nội bộ từ téc",DATA_GOC!$B:$B,DATE($D$2,$B$2,D$4)),0))</f>
        <v>0</v>
      </c>
      <c r="E273" s="251">
        <f>IF(E$4&gt;DAY(EOMONTH(DATE($D$2,$B$2,1),0)),"",IFERROR(SUMIFS(DATA_GOC!$H:$H,DATA_GOC!$A:$A,"BOM",DATA_GOC!$D:$D,$B273,DATA_GOC!$E:$E,"Dầu động cơ",DATA_GOC!$F:$F,"Xuất nội bộ từ téc",DATA_GOC!$B:$B,DATE($D$2,$B$2,E$4)),0))</f>
        <v>0</v>
      </c>
      <c r="F273" s="251">
        <f>IF(F$4&gt;DAY(EOMONTH(DATE($D$2,$B$2,1),0)),"",IFERROR(SUMIFS(DATA_GOC!$H:$H,DATA_GOC!$A:$A,"BOM",DATA_GOC!$D:$D,$B273,DATA_GOC!$E:$E,"Dầu động cơ",DATA_GOC!$F:$F,"Xuất nội bộ từ téc",DATA_GOC!$B:$B,DATE($D$2,$B$2,F$4)),0))</f>
        <v>0</v>
      </c>
      <c r="G273" s="251">
        <f>IF(G$4&gt;DAY(EOMONTH(DATE($D$2,$B$2,1),0)),"",IFERROR(SUMIFS(DATA_GOC!$H:$H,DATA_GOC!$A:$A,"BOM",DATA_GOC!$D:$D,$B273,DATA_GOC!$E:$E,"Dầu động cơ",DATA_GOC!$F:$F,"Xuất nội bộ từ téc",DATA_GOC!$B:$B,DATE($D$2,$B$2,G$4)),0))</f>
        <v>0</v>
      </c>
      <c r="H273" s="251">
        <f>IF(H$4&gt;DAY(EOMONTH(DATE($D$2,$B$2,1),0)),"",IFERROR(SUMIFS(DATA_GOC!$H:$H,DATA_GOC!$A:$A,"BOM",DATA_GOC!$D:$D,$B273,DATA_GOC!$E:$E,"Dầu động cơ",DATA_GOC!$F:$F,"Xuất nội bộ từ téc",DATA_GOC!$B:$B,DATE($D$2,$B$2,H$4)),0))</f>
        <v>0</v>
      </c>
      <c r="I273" s="251">
        <f>IF(I$4&gt;DAY(EOMONTH(DATE($D$2,$B$2,1),0)),"",IFERROR(SUMIFS(DATA_GOC!$H:$H,DATA_GOC!$A:$A,"BOM",DATA_GOC!$D:$D,$B273,DATA_GOC!$E:$E,"Dầu động cơ",DATA_GOC!$F:$F,"Xuất nội bộ từ téc",DATA_GOC!$B:$B,DATE($D$2,$B$2,I$4)),0))</f>
        <v>0</v>
      </c>
      <c r="J273" s="251">
        <f>IF(J$4&gt;DAY(EOMONTH(DATE($D$2,$B$2,1),0)),"",IFERROR(SUMIFS(DATA_GOC!$H:$H,DATA_GOC!$A:$A,"BOM",DATA_GOC!$D:$D,$B273,DATA_GOC!$E:$E,"Dầu động cơ",DATA_GOC!$F:$F,"Xuất nội bộ từ téc",DATA_GOC!$B:$B,DATE($D$2,$B$2,J$4)),0))</f>
        <v>0</v>
      </c>
      <c r="K273" s="251">
        <f>IF(K$4&gt;DAY(EOMONTH(DATE($D$2,$B$2,1),0)),"",IFERROR(SUMIFS(DATA_GOC!$H:$H,DATA_GOC!$A:$A,"BOM",DATA_GOC!$D:$D,$B273,DATA_GOC!$E:$E,"Dầu động cơ",DATA_GOC!$F:$F,"Xuất nội bộ từ téc",DATA_GOC!$B:$B,DATE($D$2,$B$2,K$4)),0))</f>
        <v>0</v>
      </c>
      <c r="L273" s="251">
        <f>IF(L$4&gt;DAY(EOMONTH(DATE($D$2,$B$2,1),0)),"",IFERROR(SUMIFS(DATA_GOC!$H:$H,DATA_GOC!$A:$A,"BOM",DATA_GOC!$D:$D,$B273,DATA_GOC!$E:$E,"Dầu động cơ",DATA_GOC!$F:$F,"Xuất nội bộ từ téc",DATA_GOC!$B:$B,DATE($D$2,$B$2,L$4)),0))</f>
        <v>0</v>
      </c>
      <c r="M273" s="251">
        <f>IF(M$4&gt;DAY(EOMONTH(DATE($D$2,$B$2,1),0)),"",IFERROR(SUMIFS(DATA_GOC!$H:$H,DATA_GOC!$A:$A,"BOM",DATA_GOC!$D:$D,$B273,DATA_GOC!$E:$E,"Dầu động cơ",DATA_GOC!$F:$F,"Xuất nội bộ từ téc",DATA_GOC!$B:$B,DATE($D$2,$B$2,M$4)),0))</f>
        <v>0</v>
      </c>
      <c r="N273" s="251">
        <f>IF(N$4&gt;DAY(EOMONTH(DATE($D$2,$B$2,1),0)),"",IFERROR(SUMIFS(DATA_GOC!$H:$H,DATA_GOC!$A:$A,"BOM",DATA_GOC!$D:$D,$B273,DATA_GOC!$E:$E,"Dầu động cơ",DATA_GOC!$F:$F,"Xuất nội bộ từ téc",DATA_GOC!$B:$B,DATE($D$2,$B$2,N$4)),0))</f>
        <v>0</v>
      </c>
      <c r="O273" s="251">
        <f>IF(O$4&gt;DAY(EOMONTH(DATE($D$2,$B$2,1),0)),"",IFERROR(SUMIFS(DATA_GOC!$H:$H,DATA_GOC!$A:$A,"BOM",DATA_GOC!$D:$D,$B273,DATA_GOC!$E:$E,"Dầu động cơ",DATA_GOC!$F:$F,"Xuất nội bộ từ téc",DATA_GOC!$B:$B,DATE($D$2,$B$2,O$4)),0))</f>
        <v>0</v>
      </c>
      <c r="P273" s="251">
        <f>IF(P$4&gt;DAY(EOMONTH(DATE($D$2,$B$2,1),0)),"",IFERROR(SUMIFS(DATA_GOC!$H:$H,DATA_GOC!$A:$A,"BOM",DATA_GOC!$D:$D,$B273,DATA_GOC!$E:$E,"Dầu động cơ",DATA_GOC!$F:$F,"Xuất nội bộ từ téc",DATA_GOC!$B:$B,DATE($D$2,$B$2,P$4)),0))</f>
        <v>0</v>
      </c>
      <c r="Q273" s="251">
        <f>IF(Q$4&gt;DAY(EOMONTH(DATE($D$2,$B$2,1),0)),"",IFERROR(SUMIFS(DATA_GOC!$H:$H,DATA_GOC!$A:$A,"BOM",DATA_GOC!$D:$D,$B273,DATA_GOC!$E:$E,"Dầu động cơ",DATA_GOC!$F:$F,"Xuất nội bộ từ téc",DATA_GOC!$B:$B,DATE($D$2,$B$2,Q$4)),0))</f>
        <v>0</v>
      </c>
      <c r="R273" s="251">
        <f>IF(R$4&gt;DAY(EOMONTH(DATE($D$2,$B$2,1),0)),"",IFERROR(SUMIFS(DATA_GOC!$H:$H,DATA_GOC!$A:$A,"BOM",DATA_GOC!$D:$D,$B273,DATA_GOC!$E:$E,"Dầu động cơ",DATA_GOC!$F:$F,"Xuất nội bộ từ téc",DATA_GOC!$B:$B,DATE($D$2,$B$2,R$4)),0))</f>
        <v>0</v>
      </c>
      <c r="S273" s="251">
        <f>IF(S$4&gt;DAY(EOMONTH(DATE($D$2,$B$2,1),0)),"",IFERROR(SUMIFS(DATA_GOC!$H:$H,DATA_GOC!$A:$A,"BOM",DATA_GOC!$D:$D,$B273,DATA_GOC!$E:$E,"Dầu động cơ",DATA_GOC!$F:$F,"Xuất nội bộ từ téc",DATA_GOC!$B:$B,DATE($D$2,$B$2,S$4)),0))</f>
        <v>0</v>
      </c>
      <c r="T273" s="251">
        <f>IF(T$4&gt;DAY(EOMONTH(DATE($D$2,$B$2,1),0)),"",IFERROR(SUMIFS(DATA_GOC!$H:$H,DATA_GOC!$A:$A,"BOM",DATA_GOC!$D:$D,$B273,DATA_GOC!$E:$E,"Dầu động cơ",DATA_GOC!$F:$F,"Xuất nội bộ từ téc",DATA_GOC!$B:$B,DATE($D$2,$B$2,T$4)),0))</f>
        <v>0</v>
      </c>
      <c r="U273" s="251">
        <f>IF(U$4&gt;DAY(EOMONTH(DATE($D$2,$B$2,1),0)),"",IFERROR(SUMIFS(DATA_GOC!$H:$H,DATA_GOC!$A:$A,"BOM",DATA_GOC!$D:$D,$B273,DATA_GOC!$E:$E,"Dầu động cơ",DATA_GOC!$F:$F,"Xuất nội bộ từ téc",DATA_GOC!$B:$B,DATE($D$2,$B$2,U$4)),0))</f>
        <v>0</v>
      </c>
      <c r="V273" s="251">
        <f>IF(V$4&gt;DAY(EOMONTH(DATE($D$2,$B$2,1),0)),"",IFERROR(SUMIFS(DATA_GOC!$H:$H,DATA_GOC!$A:$A,"BOM",DATA_GOC!$D:$D,$B273,DATA_GOC!$E:$E,"Dầu động cơ",DATA_GOC!$F:$F,"Xuất nội bộ từ téc",DATA_GOC!$B:$B,DATE($D$2,$B$2,V$4)),0))</f>
        <v>0</v>
      </c>
      <c r="W273" s="251">
        <f>IF(W$4&gt;DAY(EOMONTH(DATE($D$2,$B$2,1),0)),"",IFERROR(SUMIFS(DATA_GOC!$H:$H,DATA_GOC!$A:$A,"BOM",DATA_GOC!$D:$D,$B273,DATA_GOC!$E:$E,"Dầu động cơ",DATA_GOC!$F:$F,"Xuất nội bộ từ téc",DATA_GOC!$B:$B,DATE($D$2,$B$2,W$4)),0))</f>
        <v>0</v>
      </c>
      <c r="X273" s="251">
        <f>IF(X$4&gt;DAY(EOMONTH(DATE($D$2,$B$2,1),0)),"",IFERROR(SUMIFS(DATA_GOC!$H:$H,DATA_GOC!$A:$A,"BOM",DATA_GOC!$D:$D,$B273,DATA_GOC!$E:$E,"Dầu động cơ",DATA_GOC!$F:$F,"Xuất nội bộ từ téc",DATA_GOC!$B:$B,DATE($D$2,$B$2,X$4)),0))</f>
        <v>0</v>
      </c>
      <c r="Y273" s="251">
        <f>IF(Y$4&gt;DAY(EOMONTH(DATE($D$2,$B$2,1),0)),"",IFERROR(SUMIFS(DATA_GOC!$H:$H,DATA_GOC!$A:$A,"BOM",DATA_GOC!$D:$D,$B273,DATA_GOC!$E:$E,"Dầu động cơ",DATA_GOC!$F:$F,"Xuất nội bộ từ téc",DATA_GOC!$B:$B,DATE($D$2,$B$2,Y$4)),0))</f>
        <v>0</v>
      </c>
      <c r="Z273" s="251">
        <f>IF(Z$4&gt;DAY(EOMONTH(DATE($D$2,$B$2,1),0)),"",IFERROR(SUMIFS(DATA_GOC!$H:$H,DATA_GOC!$A:$A,"BOM",DATA_GOC!$D:$D,$B273,DATA_GOC!$E:$E,"Dầu động cơ",DATA_GOC!$F:$F,"Xuất nội bộ từ téc",DATA_GOC!$B:$B,DATE($D$2,$B$2,Z$4)),0))</f>
        <v>0</v>
      </c>
      <c r="AA273" s="251">
        <f>IF(AA$4&gt;DAY(EOMONTH(DATE($D$2,$B$2,1),0)),"",IFERROR(SUMIFS(DATA_GOC!$H:$H,DATA_GOC!$A:$A,"BOM",DATA_GOC!$D:$D,$B273,DATA_GOC!$E:$E,"Dầu động cơ",DATA_GOC!$F:$F,"Xuất nội bộ từ téc",DATA_GOC!$B:$B,DATE($D$2,$B$2,AA$4)),0))</f>
        <v>0</v>
      </c>
      <c r="AB273" s="251">
        <f>IF(AB$4&gt;DAY(EOMONTH(DATE($D$2,$B$2,1),0)),"",IFERROR(SUMIFS(DATA_GOC!$H:$H,DATA_GOC!$A:$A,"BOM",DATA_GOC!$D:$D,$B273,DATA_GOC!$E:$E,"Dầu động cơ",DATA_GOC!$F:$F,"Xuất nội bộ từ téc",DATA_GOC!$B:$B,DATE($D$2,$B$2,AB$4)),0))</f>
        <v>0</v>
      </c>
      <c r="AC273" s="251">
        <f>IF(AC$4&gt;DAY(EOMONTH(DATE($D$2,$B$2,1),0)),"",IFERROR(SUMIFS(DATA_GOC!$H:$H,DATA_GOC!$A:$A,"BOM",DATA_GOC!$D:$D,$B273,DATA_GOC!$E:$E,"Dầu động cơ",DATA_GOC!$F:$F,"Xuất nội bộ từ téc",DATA_GOC!$B:$B,DATE($D$2,$B$2,AC$4)),0))</f>
        <v>0</v>
      </c>
      <c r="AD273" s="251">
        <f>IF(AD$4&gt;DAY(EOMONTH(DATE($D$2,$B$2,1),0)),"",IFERROR(SUMIFS(DATA_GOC!$H:$H,DATA_GOC!$A:$A,"BOM",DATA_GOC!$D:$D,$B273,DATA_GOC!$E:$E,"Dầu động cơ",DATA_GOC!$F:$F,"Xuất nội bộ từ téc",DATA_GOC!$B:$B,DATE($D$2,$B$2,AD$4)),0))</f>
        <v>0</v>
      </c>
      <c r="AE273" s="251">
        <f>IF(AE$4&gt;DAY(EOMONTH(DATE($D$2,$B$2,1),0)),"",IFERROR(SUMIFS(DATA_GOC!$H:$H,DATA_GOC!$A:$A,"BOM",DATA_GOC!$D:$D,$B273,DATA_GOC!$E:$E,"Dầu động cơ",DATA_GOC!$F:$F,"Xuất nội bộ từ téc",DATA_GOC!$B:$B,DATE($D$2,$B$2,AE$4)),0))</f>
        <v>0</v>
      </c>
      <c r="AF273" s="251">
        <f>IF(AF$4&gt;DAY(EOMONTH(DATE($D$2,$B$2,1),0)),"",IFERROR(SUMIFS(DATA_GOC!$H:$H,DATA_GOC!$A:$A,"BOM",DATA_GOC!$D:$D,$B273,DATA_GOC!$E:$E,"Dầu động cơ",DATA_GOC!$F:$F,"Xuất nội bộ từ téc",DATA_GOC!$B:$B,DATE($D$2,$B$2,AF$4)),0))</f>
        <v>0</v>
      </c>
      <c r="AG273" s="251">
        <f>IF(AG$4&gt;DAY(EOMONTH(DATE($D$2,$B$2,1),0)),"",IFERROR(SUMIFS(DATA_GOC!$H:$H,DATA_GOC!$A:$A,"BOM",DATA_GOC!$D:$D,$B273,DATA_GOC!$E:$E,"Dầu động cơ",DATA_GOC!$F:$F,"Xuất nội bộ từ téc",DATA_GOC!$B:$B,DATE($D$2,$B$2,AG$4)),0))</f>
        <v>0</v>
      </c>
      <c r="AH273" s="252">
        <f t="shared" si="13"/>
        <v>0</v>
      </c>
      <c r="AI273" s="241"/>
      <c r="AJ273" s="242">
        <f>IF($B273="","",SUMIFS(TINH_TEC!$K$233:$K$9232,TINH_TEC!$H$233:$H$9232,$B273,TINH_TEC!$C$233:$C$9232,"Dầu động cơ",TINH_TEC!$F$233:$F$9232,$B$2,TINH_TEC!$G$233:$G$9232,$D$2,TINH_TEC!$B$233:$B$9232,"Đã chốt"))</f>
        <v>0</v>
      </c>
      <c r="AK273" s="242">
        <f>IF($B273="","",SUMIFS(TINH_TEC!$J$233:$J$9232,TINH_TEC!$H$233:$H$9232,$B273,TINH_TEC!$C$233:$C$9232,"Dầu động cơ",TINH_TEC!$F$233:$F$9232,$B$2,TINH_TEC!$G$233:$G$9232,$D$2,TINH_TEC!$B$233:$B$9232,"Đã chốt"))</f>
        <v>0</v>
      </c>
      <c r="AL273" s="242">
        <f t="shared" si="14"/>
        <v>0</v>
      </c>
    </row>
    <row r="274" ht="15.75" customHeight="1">
      <c r="A274" s="237">
        <f>IF($B274&lt;&gt;"",25,"")</f>
        <v>25</v>
      </c>
      <c r="B274" s="250" t="str">
        <f t="array" ref="B274">IFERROR(INDEX(DANH_MUC!$E:$E,28),"")</f>
        <v>28C04576</v>
      </c>
      <c r="C274" s="251">
        <f>IF(C$4&gt;DAY(EOMONTH(DATE($D$2,$B$2,1),0)),"",IFERROR(SUMIFS(DATA_GOC!$H:$H,DATA_GOC!$A:$A,"BOM",DATA_GOC!$D:$D,$B274,DATA_GOC!$E:$E,"Dầu động cơ",DATA_GOC!$F:$F,"Xuất nội bộ từ téc",DATA_GOC!$B:$B,DATE($D$2,$B$2,C$4)),0))</f>
        <v>0</v>
      </c>
      <c r="D274" s="251">
        <f>IF(D$4&gt;DAY(EOMONTH(DATE($D$2,$B$2,1),0)),"",IFERROR(SUMIFS(DATA_GOC!$H:$H,DATA_GOC!$A:$A,"BOM",DATA_GOC!$D:$D,$B274,DATA_GOC!$E:$E,"Dầu động cơ",DATA_GOC!$F:$F,"Xuất nội bộ từ téc",DATA_GOC!$B:$B,DATE($D$2,$B$2,D$4)),0))</f>
        <v>0</v>
      </c>
      <c r="E274" s="251">
        <f>IF(E$4&gt;DAY(EOMONTH(DATE($D$2,$B$2,1),0)),"",IFERROR(SUMIFS(DATA_GOC!$H:$H,DATA_GOC!$A:$A,"BOM",DATA_GOC!$D:$D,$B274,DATA_GOC!$E:$E,"Dầu động cơ",DATA_GOC!$F:$F,"Xuất nội bộ từ téc",DATA_GOC!$B:$B,DATE($D$2,$B$2,E$4)),0))</f>
        <v>0</v>
      </c>
      <c r="F274" s="251">
        <f>IF(F$4&gt;DAY(EOMONTH(DATE($D$2,$B$2,1),0)),"",IFERROR(SUMIFS(DATA_GOC!$H:$H,DATA_GOC!$A:$A,"BOM",DATA_GOC!$D:$D,$B274,DATA_GOC!$E:$E,"Dầu động cơ",DATA_GOC!$F:$F,"Xuất nội bộ từ téc",DATA_GOC!$B:$B,DATE($D$2,$B$2,F$4)),0))</f>
        <v>0</v>
      </c>
      <c r="G274" s="251">
        <f>IF(G$4&gt;DAY(EOMONTH(DATE($D$2,$B$2,1),0)),"",IFERROR(SUMIFS(DATA_GOC!$H:$H,DATA_GOC!$A:$A,"BOM",DATA_GOC!$D:$D,$B274,DATA_GOC!$E:$E,"Dầu động cơ",DATA_GOC!$F:$F,"Xuất nội bộ từ téc",DATA_GOC!$B:$B,DATE($D$2,$B$2,G$4)),0))</f>
        <v>0</v>
      </c>
      <c r="H274" s="251">
        <f>IF(H$4&gt;DAY(EOMONTH(DATE($D$2,$B$2,1),0)),"",IFERROR(SUMIFS(DATA_GOC!$H:$H,DATA_GOC!$A:$A,"BOM",DATA_GOC!$D:$D,$B274,DATA_GOC!$E:$E,"Dầu động cơ",DATA_GOC!$F:$F,"Xuất nội bộ từ téc",DATA_GOC!$B:$B,DATE($D$2,$B$2,H$4)),0))</f>
        <v>0</v>
      </c>
      <c r="I274" s="251">
        <f>IF(I$4&gt;DAY(EOMONTH(DATE($D$2,$B$2,1),0)),"",IFERROR(SUMIFS(DATA_GOC!$H:$H,DATA_GOC!$A:$A,"BOM",DATA_GOC!$D:$D,$B274,DATA_GOC!$E:$E,"Dầu động cơ",DATA_GOC!$F:$F,"Xuất nội bộ từ téc",DATA_GOC!$B:$B,DATE($D$2,$B$2,I$4)),0))</f>
        <v>0</v>
      </c>
      <c r="J274" s="251">
        <f>IF(J$4&gt;DAY(EOMONTH(DATE($D$2,$B$2,1),0)),"",IFERROR(SUMIFS(DATA_GOC!$H:$H,DATA_GOC!$A:$A,"BOM",DATA_GOC!$D:$D,$B274,DATA_GOC!$E:$E,"Dầu động cơ",DATA_GOC!$F:$F,"Xuất nội bộ từ téc",DATA_GOC!$B:$B,DATE($D$2,$B$2,J$4)),0))</f>
        <v>0</v>
      </c>
      <c r="K274" s="251">
        <f>IF(K$4&gt;DAY(EOMONTH(DATE($D$2,$B$2,1),0)),"",IFERROR(SUMIFS(DATA_GOC!$H:$H,DATA_GOC!$A:$A,"BOM",DATA_GOC!$D:$D,$B274,DATA_GOC!$E:$E,"Dầu động cơ",DATA_GOC!$F:$F,"Xuất nội bộ từ téc",DATA_GOC!$B:$B,DATE($D$2,$B$2,K$4)),0))</f>
        <v>0</v>
      </c>
      <c r="L274" s="251">
        <f>IF(L$4&gt;DAY(EOMONTH(DATE($D$2,$B$2,1),0)),"",IFERROR(SUMIFS(DATA_GOC!$H:$H,DATA_GOC!$A:$A,"BOM",DATA_GOC!$D:$D,$B274,DATA_GOC!$E:$E,"Dầu động cơ",DATA_GOC!$F:$F,"Xuất nội bộ từ téc",DATA_GOC!$B:$B,DATE($D$2,$B$2,L$4)),0))</f>
        <v>0</v>
      </c>
      <c r="M274" s="251">
        <f>IF(M$4&gt;DAY(EOMONTH(DATE($D$2,$B$2,1),0)),"",IFERROR(SUMIFS(DATA_GOC!$H:$H,DATA_GOC!$A:$A,"BOM",DATA_GOC!$D:$D,$B274,DATA_GOC!$E:$E,"Dầu động cơ",DATA_GOC!$F:$F,"Xuất nội bộ từ téc",DATA_GOC!$B:$B,DATE($D$2,$B$2,M$4)),0))</f>
        <v>0</v>
      </c>
      <c r="N274" s="251">
        <f>IF(N$4&gt;DAY(EOMONTH(DATE($D$2,$B$2,1),0)),"",IFERROR(SUMIFS(DATA_GOC!$H:$H,DATA_GOC!$A:$A,"BOM",DATA_GOC!$D:$D,$B274,DATA_GOC!$E:$E,"Dầu động cơ",DATA_GOC!$F:$F,"Xuất nội bộ từ téc",DATA_GOC!$B:$B,DATE($D$2,$B$2,N$4)),0))</f>
        <v>0</v>
      </c>
      <c r="O274" s="251">
        <f>IF(O$4&gt;DAY(EOMONTH(DATE($D$2,$B$2,1),0)),"",IFERROR(SUMIFS(DATA_GOC!$H:$H,DATA_GOC!$A:$A,"BOM",DATA_GOC!$D:$D,$B274,DATA_GOC!$E:$E,"Dầu động cơ",DATA_GOC!$F:$F,"Xuất nội bộ từ téc",DATA_GOC!$B:$B,DATE($D$2,$B$2,O$4)),0))</f>
        <v>0</v>
      </c>
      <c r="P274" s="251">
        <f>IF(P$4&gt;DAY(EOMONTH(DATE($D$2,$B$2,1),0)),"",IFERROR(SUMIFS(DATA_GOC!$H:$H,DATA_GOC!$A:$A,"BOM",DATA_GOC!$D:$D,$B274,DATA_GOC!$E:$E,"Dầu động cơ",DATA_GOC!$F:$F,"Xuất nội bộ từ téc",DATA_GOC!$B:$B,DATE($D$2,$B$2,P$4)),0))</f>
        <v>0</v>
      </c>
      <c r="Q274" s="251">
        <f>IF(Q$4&gt;DAY(EOMONTH(DATE($D$2,$B$2,1),0)),"",IFERROR(SUMIFS(DATA_GOC!$H:$H,DATA_GOC!$A:$A,"BOM",DATA_GOC!$D:$D,$B274,DATA_GOC!$E:$E,"Dầu động cơ",DATA_GOC!$F:$F,"Xuất nội bộ từ téc",DATA_GOC!$B:$B,DATE($D$2,$B$2,Q$4)),0))</f>
        <v>0</v>
      </c>
      <c r="R274" s="251">
        <f>IF(R$4&gt;DAY(EOMONTH(DATE($D$2,$B$2,1),0)),"",IFERROR(SUMIFS(DATA_GOC!$H:$H,DATA_GOC!$A:$A,"BOM",DATA_GOC!$D:$D,$B274,DATA_GOC!$E:$E,"Dầu động cơ",DATA_GOC!$F:$F,"Xuất nội bộ từ téc",DATA_GOC!$B:$B,DATE($D$2,$B$2,R$4)),0))</f>
        <v>0</v>
      </c>
      <c r="S274" s="251">
        <f>IF(S$4&gt;DAY(EOMONTH(DATE($D$2,$B$2,1),0)),"",IFERROR(SUMIFS(DATA_GOC!$H:$H,DATA_GOC!$A:$A,"BOM",DATA_GOC!$D:$D,$B274,DATA_GOC!$E:$E,"Dầu động cơ",DATA_GOC!$F:$F,"Xuất nội bộ từ téc",DATA_GOC!$B:$B,DATE($D$2,$B$2,S$4)),0))</f>
        <v>0</v>
      </c>
      <c r="T274" s="251">
        <f>IF(T$4&gt;DAY(EOMONTH(DATE($D$2,$B$2,1),0)),"",IFERROR(SUMIFS(DATA_GOC!$H:$H,DATA_GOC!$A:$A,"BOM",DATA_GOC!$D:$D,$B274,DATA_GOC!$E:$E,"Dầu động cơ",DATA_GOC!$F:$F,"Xuất nội bộ từ téc",DATA_GOC!$B:$B,DATE($D$2,$B$2,T$4)),0))</f>
        <v>0</v>
      </c>
      <c r="U274" s="251">
        <f>IF(U$4&gt;DAY(EOMONTH(DATE($D$2,$B$2,1),0)),"",IFERROR(SUMIFS(DATA_GOC!$H:$H,DATA_GOC!$A:$A,"BOM",DATA_GOC!$D:$D,$B274,DATA_GOC!$E:$E,"Dầu động cơ",DATA_GOC!$F:$F,"Xuất nội bộ từ téc",DATA_GOC!$B:$B,DATE($D$2,$B$2,U$4)),0))</f>
        <v>0</v>
      </c>
      <c r="V274" s="251">
        <f>IF(V$4&gt;DAY(EOMONTH(DATE($D$2,$B$2,1),0)),"",IFERROR(SUMIFS(DATA_GOC!$H:$H,DATA_GOC!$A:$A,"BOM",DATA_GOC!$D:$D,$B274,DATA_GOC!$E:$E,"Dầu động cơ",DATA_GOC!$F:$F,"Xuất nội bộ từ téc",DATA_GOC!$B:$B,DATE($D$2,$B$2,V$4)),0))</f>
        <v>0</v>
      </c>
      <c r="W274" s="251">
        <f>IF(W$4&gt;DAY(EOMONTH(DATE($D$2,$B$2,1),0)),"",IFERROR(SUMIFS(DATA_GOC!$H:$H,DATA_GOC!$A:$A,"BOM",DATA_GOC!$D:$D,$B274,DATA_GOC!$E:$E,"Dầu động cơ",DATA_GOC!$F:$F,"Xuất nội bộ từ téc",DATA_GOC!$B:$B,DATE($D$2,$B$2,W$4)),0))</f>
        <v>0</v>
      </c>
      <c r="X274" s="251">
        <f>IF(X$4&gt;DAY(EOMONTH(DATE($D$2,$B$2,1),0)),"",IFERROR(SUMIFS(DATA_GOC!$H:$H,DATA_GOC!$A:$A,"BOM",DATA_GOC!$D:$D,$B274,DATA_GOC!$E:$E,"Dầu động cơ",DATA_GOC!$F:$F,"Xuất nội bộ từ téc",DATA_GOC!$B:$B,DATE($D$2,$B$2,X$4)),0))</f>
        <v>0</v>
      </c>
      <c r="Y274" s="251">
        <f>IF(Y$4&gt;DAY(EOMONTH(DATE($D$2,$B$2,1),0)),"",IFERROR(SUMIFS(DATA_GOC!$H:$H,DATA_GOC!$A:$A,"BOM",DATA_GOC!$D:$D,$B274,DATA_GOC!$E:$E,"Dầu động cơ",DATA_GOC!$F:$F,"Xuất nội bộ từ téc",DATA_GOC!$B:$B,DATE($D$2,$B$2,Y$4)),0))</f>
        <v>0</v>
      </c>
      <c r="Z274" s="251">
        <f>IF(Z$4&gt;DAY(EOMONTH(DATE($D$2,$B$2,1),0)),"",IFERROR(SUMIFS(DATA_GOC!$H:$H,DATA_GOC!$A:$A,"BOM",DATA_GOC!$D:$D,$B274,DATA_GOC!$E:$E,"Dầu động cơ",DATA_GOC!$F:$F,"Xuất nội bộ từ téc",DATA_GOC!$B:$B,DATE($D$2,$B$2,Z$4)),0))</f>
        <v>0</v>
      </c>
      <c r="AA274" s="251">
        <f>IF(AA$4&gt;DAY(EOMONTH(DATE($D$2,$B$2,1),0)),"",IFERROR(SUMIFS(DATA_GOC!$H:$H,DATA_GOC!$A:$A,"BOM",DATA_GOC!$D:$D,$B274,DATA_GOC!$E:$E,"Dầu động cơ",DATA_GOC!$F:$F,"Xuất nội bộ từ téc",DATA_GOC!$B:$B,DATE($D$2,$B$2,AA$4)),0))</f>
        <v>0</v>
      </c>
      <c r="AB274" s="251">
        <f>IF(AB$4&gt;DAY(EOMONTH(DATE($D$2,$B$2,1),0)),"",IFERROR(SUMIFS(DATA_GOC!$H:$H,DATA_GOC!$A:$A,"BOM",DATA_GOC!$D:$D,$B274,DATA_GOC!$E:$E,"Dầu động cơ",DATA_GOC!$F:$F,"Xuất nội bộ từ téc",DATA_GOC!$B:$B,DATE($D$2,$B$2,AB$4)),0))</f>
        <v>0</v>
      </c>
      <c r="AC274" s="251">
        <f>IF(AC$4&gt;DAY(EOMONTH(DATE($D$2,$B$2,1),0)),"",IFERROR(SUMIFS(DATA_GOC!$H:$H,DATA_GOC!$A:$A,"BOM",DATA_GOC!$D:$D,$B274,DATA_GOC!$E:$E,"Dầu động cơ",DATA_GOC!$F:$F,"Xuất nội bộ từ téc",DATA_GOC!$B:$B,DATE($D$2,$B$2,AC$4)),0))</f>
        <v>0</v>
      </c>
      <c r="AD274" s="251">
        <f>IF(AD$4&gt;DAY(EOMONTH(DATE($D$2,$B$2,1),0)),"",IFERROR(SUMIFS(DATA_GOC!$H:$H,DATA_GOC!$A:$A,"BOM",DATA_GOC!$D:$D,$B274,DATA_GOC!$E:$E,"Dầu động cơ",DATA_GOC!$F:$F,"Xuất nội bộ từ téc",DATA_GOC!$B:$B,DATE($D$2,$B$2,AD$4)),0))</f>
        <v>0</v>
      </c>
      <c r="AE274" s="251">
        <f>IF(AE$4&gt;DAY(EOMONTH(DATE($D$2,$B$2,1),0)),"",IFERROR(SUMIFS(DATA_GOC!$H:$H,DATA_GOC!$A:$A,"BOM",DATA_GOC!$D:$D,$B274,DATA_GOC!$E:$E,"Dầu động cơ",DATA_GOC!$F:$F,"Xuất nội bộ từ téc",DATA_GOC!$B:$B,DATE($D$2,$B$2,AE$4)),0))</f>
        <v>0</v>
      </c>
      <c r="AF274" s="251">
        <f>IF(AF$4&gt;DAY(EOMONTH(DATE($D$2,$B$2,1),0)),"",IFERROR(SUMIFS(DATA_GOC!$H:$H,DATA_GOC!$A:$A,"BOM",DATA_GOC!$D:$D,$B274,DATA_GOC!$E:$E,"Dầu động cơ",DATA_GOC!$F:$F,"Xuất nội bộ từ téc",DATA_GOC!$B:$B,DATE($D$2,$B$2,AF$4)),0))</f>
        <v>0</v>
      </c>
      <c r="AG274" s="251">
        <f>IF(AG$4&gt;DAY(EOMONTH(DATE($D$2,$B$2,1),0)),"",IFERROR(SUMIFS(DATA_GOC!$H:$H,DATA_GOC!$A:$A,"BOM",DATA_GOC!$D:$D,$B274,DATA_GOC!$E:$E,"Dầu động cơ",DATA_GOC!$F:$F,"Xuất nội bộ từ téc",DATA_GOC!$B:$B,DATE($D$2,$B$2,AG$4)),0))</f>
        <v>0</v>
      </c>
      <c r="AH274" s="252">
        <f t="shared" si="13"/>
        <v>0</v>
      </c>
      <c r="AI274" s="241"/>
      <c r="AJ274" s="242">
        <f>IF($B274="","",SUMIFS(TINH_TEC!$K$233:$K$9232,TINH_TEC!$H$233:$H$9232,$B274,TINH_TEC!$C$233:$C$9232,"Dầu động cơ",TINH_TEC!$F$233:$F$9232,$B$2,TINH_TEC!$G$233:$G$9232,$D$2,TINH_TEC!$B$233:$B$9232,"Đã chốt"))</f>
        <v>0</v>
      </c>
      <c r="AK274" s="242">
        <f>IF($B274="","",SUMIFS(TINH_TEC!$J$233:$J$9232,TINH_TEC!$H$233:$H$9232,$B274,TINH_TEC!$C$233:$C$9232,"Dầu động cơ",TINH_TEC!$F$233:$F$9232,$B$2,TINH_TEC!$G$233:$G$9232,$D$2,TINH_TEC!$B$233:$B$9232,"Đã chốt"))</f>
        <v>0</v>
      </c>
      <c r="AL274" s="242">
        <f t="shared" si="14"/>
        <v>0</v>
      </c>
    </row>
    <row r="275" ht="15.75" customHeight="1">
      <c r="A275" s="237">
        <f>IF($B275&lt;&gt;"",26,"")</f>
        <v>26</v>
      </c>
      <c r="B275" s="250" t="str">
        <f t="array" ref="B275">IFERROR(INDEX(DANH_MUC!$E:$E,29),"")</f>
        <v>28C05090</v>
      </c>
      <c r="C275" s="251">
        <f>IF(C$4&gt;DAY(EOMONTH(DATE($D$2,$B$2,1),0)),"",IFERROR(SUMIFS(DATA_GOC!$H:$H,DATA_GOC!$A:$A,"BOM",DATA_GOC!$D:$D,$B275,DATA_GOC!$E:$E,"Dầu động cơ",DATA_GOC!$F:$F,"Xuất nội bộ từ téc",DATA_GOC!$B:$B,DATE($D$2,$B$2,C$4)),0))</f>
        <v>0</v>
      </c>
      <c r="D275" s="251">
        <f>IF(D$4&gt;DAY(EOMONTH(DATE($D$2,$B$2,1),0)),"",IFERROR(SUMIFS(DATA_GOC!$H:$H,DATA_GOC!$A:$A,"BOM",DATA_GOC!$D:$D,$B275,DATA_GOC!$E:$E,"Dầu động cơ",DATA_GOC!$F:$F,"Xuất nội bộ từ téc",DATA_GOC!$B:$B,DATE($D$2,$B$2,D$4)),0))</f>
        <v>0</v>
      </c>
      <c r="E275" s="251">
        <f>IF(E$4&gt;DAY(EOMONTH(DATE($D$2,$B$2,1),0)),"",IFERROR(SUMIFS(DATA_GOC!$H:$H,DATA_GOC!$A:$A,"BOM",DATA_GOC!$D:$D,$B275,DATA_GOC!$E:$E,"Dầu động cơ",DATA_GOC!$F:$F,"Xuất nội bộ từ téc",DATA_GOC!$B:$B,DATE($D$2,$B$2,E$4)),0))</f>
        <v>0</v>
      </c>
      <c r="F275" s="251">
        <f>IF(F$4&gt;DAY(EOMONTH(DATE($D$2,$B$2,1),0)),"",IFERROR(SUMIFS(DATA_GOC!$H:$H,DATA_GOC!$A:$A,"BOM",DATA_GOC!$D:$D,$B275,DATA_GOC!$E:$E,"Dầu động cơ",DATA_GOC!$F:$F,"Xuất nội bộ từ téc",DATA_GOC!$B:$B,DATE($D$2,$B$2,F$4)),0))</f>
        <v>0</v>
      </c>
      <c r="G275" s="251">
        <f>IF(G$4&gt;DAY(EOMONTH(DATE($D$2,$B$2,1),0)),"",IFERROR(SUMIFS(DATA_GOC!$H:$H,DATA_GOC!$A:$A,"BOM",DATA_GOC!$D:$D,$B275,DATA_GOC!$E:$E,"Dầu động cơ",DATA_GOC!$F:$F,"Xuất nội bộ từ téc",DATA_GOC!$B:$B,DATE($D$2,$B$2,G$4)),0))</f>
        <v>0</v>
      </c>
      <c r="H275" s="251">
        <f>IF(H$4&gt;DAY(EOMONTH(DATE($D$2,$B$2,1),0)),"",IFERROR(SUMIFS(DATA_GOC!$H:$H,DATA_GOC!$A:$A,"BOM",DATA_GOC!$D:$D,$B275,DATA_GOC!$E:$E,"Dầu động cơ",DATA_GOC!$F:$F,"Xuất nội bộ từ téc",DATA_GOC!$B:$B,DATE($D$2,$B$2,H$4)),0))</f>
        <v>0</v>
      </c>
      <c r="I275" s="251">
        <f>IF(I$4&gt;DAY(EOMONTH(DATE($D$2,$B$2,1),0)),"",IFERROR(SUMIFS(DATA_GOC!$H:$H,DATA_GOC!$A:$A,"BOM",DATA_GOC!$D:$D,$B275,DATA_GOC!$E:$E,"Dầu động cơ",DATA_GOC!$F:$F,"Xuất nội bộ từ téc",DATA_GOC!$B:$B,DATE($D$2,$B$2,I$4)),0))</f>
        <v>0</v>
      </c>
      <c r="J275" s="251">
        <f>IF(J$4&gt;DAY(EOMONTH(DATE($D$2,$B$2,1),0)),"",IFERROR(SUMIFS(DATA_GOC!$H:$H,DATA_GOC!$A:$A,"BOM",DATA_GOC!$D:$D,$B275,DATA_GOC!$E:$E,"Dầu động cơ",DATA_GOC!$F:$F,"Xuất nội bộ từ téc",DATA_GOC!$B:$B,DATE($D$2,$B$2,J$4)),0))</f>
        <v>0</v>
      </c>
      <c r="K275" s="251">
        <f>IF(K$4&gt;DAY(EOMONTH(DATE($D$2,$B$2,1),0)),"",IFERROR(SUMIFS(DATA_GOC!$H:$H,DATA_GOC!$A:$A,"BOM",DATA_GOC!$D:$D,$B275,DATA_GOC!$E:$E,"Dầu động cơ",DATA_GOC!$F:$F,"Xuất nội bộ từ téc",DATA_GOC!$B:$B,DATE($D$2,$B$2,K$4)),0))</f>
        <v>0</v>
      </c>
      <c r="L275" s="251">
        <f>IF(L$4&gt;DAY(EOMONTH(DATE($D$2,$B$2,1),0)),"",IFERROR(SUMIFS(DATA_GOC!$H:$H,DATA_GOC!$A:$A,"BOM",DATA_GOC!$D:$D,$B275,DATA_GOC!$E:$E,"Dầu động cơ",DATA_GOC!$F:$F,"Xuất nội bộ từ téc",DATA_GOC!$B:$B,DATE($D$2,$B$2,L$4)),0))</f>
        <v>0</v>
      </c>
      <c r="M275" s="251">
        <f>IF(M$4&gt;DAY(EOMONTH(DATE($D$2,$B$2,1),0)),"",IFERROR(SUMIFS(DATA_GOC!$H:$H,DATA_GOC!$A:$A,"BOM",DATA_GOC!$D:$D,$B275,DATA_GOC!$E:$E,"Dầu động cơ",DATA_GOC!$F:$F,"Xuất nội bộ từ téc",DATA_GOC!$B:$B,DATE($D$2,$B$2,M$4)),0))</f>
        <v>0</v>
      </c>
      <c r="N275" s="251">
        <f>IF(N$4&gt;DAY(EOMONTH(DATE($D$2,$B$2,1),0)),"",IFERROR(SUMIFS(DATA_GOC!$H:$H,DATA_GOC!$A:$A,"BOM",DATA_GOC!$D:$D,$B275,DATA_GOC!$E:$E,"Dầu động cơ",DATA_GOC!$F:$F,"Xuất nội bộ từ téc",DATA_GOC!$B:$B,DATE($D$2,$B$2,N$4)),0))</f>
        <v>0</v>
      </c>
      <c r="O275" s="251">
        <f>IF(O$4&gt;DAY(EOMONTH(DATE($D$2,$B$2,1),0)),"",IFERROR(SUMIFS(DATA_GOC!$H:$H,DATA_GOC!$A:$A,"BOM",DATA_GOC!$D:$D,$B275,DATA_GOC!$E:$E,"Dầu động cơ",DATA_GOC!$F:$F,"Xuất nội bộ từ téc",DATA_GOC!$B:$B,DATE($D$2,$B$2,O$4)),0))</f>
        <v>0</v>
      </c>
      <c r="P275" s="251">
        <f>IF(P$4&gt;DAY(EOMONTH(DATE($D$2,$B$2,1),0)),"",IFERROR(SUMIFS(DATA_GOC!$H:$H,DATA_GOC!$A:$A,"BOM",DATA_GOC!$D:$D,$B275,DATA_GOC!$E:$E,"Dầu động cơ",DATA_GOC!$F:$F,"Xuất nội bộ từ téc",DATA_GOC!$B:$B,DATE($D$2,$B$2,P$4)),0))</f>
        <v>0</v>
      </c>
      <c r="Q275" s="251">
        <f>IF(Q$4&gt;DAY(EOMONTH(DATE($D$2,$B$2,1),0)),"",IFERROR(SUMIFS(DATA_GOC!$H:$H,DATA_GOC!$A:$A,"BOM",DATA_GOC!$D:$D,$B275,DATA_GOC!$E:$E,"Dầu động cơ",DATA_GOC!$F:$F,"Xuất nội bộ từ téc",DATA_GOC!$B:$B,DATE($D$2,$B$2,Q$4)),0))</f>
        <v>0</v>
      </c>
      <c r="R275" s="251">
        <f>IF(R$4&gt;DAY(EOMONTH(DATE($D$2,$B$2,1),0)),"",IFERROR(SUMIFS(DATA_GOC!$H:$H,DATA_GOC!$A:$A,"BOM",DATA_GOC!$D:$D,$B275,DATA_GOC!$E:$E,"Dầu động cơ",DATA_GOC!$F:$F,"Xuất nội bộ từ téc",DATA_GOC!$B:$B,DATE($D$2,$B$2,R$4)),0))</f>
        <v>0</v>
      </c>
      <c r="S275" s="251">
        <f>IF(S$4&gt;DAY(EOMONTH(DATE($D$2,$B$2,1),0)),"",IFERROR(SUMIFS(DATA_GOC!$H:$H,DATA_GOC!$A:$A,"BOM",DATA_GOC!$D:$D,$B275,DATA_GOC!$E:$E,"Dầu động cơ",DATA_GOC!$F:$F,"Xuất nội bộ từ téc",DATA_GOC!$B:$B,DATE($D$2,$B$2,S$4)),0))</f>
        <v>0</v>
      </c>
      <c r="T275" s="251">
        <f>IF(T$4&gt;DAY(EOMONTH(DATE($D$2,$B$2,1),0)),"",IFERROR(SUMIFS(DATA_GOC!$H:$H,DATA_GOC!$A:$A,"BOM",DATA_GOC!$D:$D,$B275,DATA_GOC!$E:$E,"Dầu động cơ",DATA_GOC!$F:$F,"Xuất nội bộ từ téc",DATA_GOC!$B:$B,DATE($D$2,$B$2,T$4)),0))</f>
        <v>0</v>
      </c>
      <c r="U275" s="251">
        <f>IF(U$4&gt;DAY(EOMONTH(DATE($D$2,$B$2,1),0)),"",IFERROR(SUMIFS(DATA_GOC!$H:$H,DATA_GOC!$A:$A,"BOM",DATA_GOC!$D:$D,$B275,DATA_GOC!$E:$E,"Dầu động cơ",DATA_GOC!$F:$F,"Xuất nội bộ từ téc",DATA_GOC!$B:$B,DATE($D$2,$B$2,U$4)),0))</f>
        <v>0</v>
      </c>
      <c r="V275" s="251">
        <f>IF(V$4&gt;DAY(EOMONTH(DATE($D$2,$B$2,1),0)),"",IFERROR(SUMIFS(DATA_GOC!$H:$H,DATA_GOC!$A:$A,"BOM",DATA_GOC!$D:$D,$B275,DATA_GOC!$E:$E,"Dầu động cơ",DATA_GOC!$F:$F,"Xuất nội bộ từ téc",DATA_GOC!$B:$B,DATE($D$2,$B$2,V$4)),0))</f>
        <v>0</v>
      </c>
      <c r="W275" s="251">
        <f>IF(W$4&gt;DAY(EOMONTH(DATE($D$2,$B$2,1),0)),"",IFERROR(SUMIFS(DATA_GOC!$H:$H,DATA_GOC!$A:$A,"BOM",DATA_GOC!$D:$D,$B275,DATA_GOC!$E:$E,"Dầu động cơ",DATA_GOC!$F:$F,"Xuất nội bộ từ téc",DATA_GOC!$B:$B,DATE($D$2,$B$2,W$4)),0))</f>
        <v>0</v>
      </c>
      <c r="X275" s="251">
        <f>IF(X$4&gt;DAY(EOMONTH(DATE($D$2,$B$2,1),0)),"",IFERROR(SUMIFS(DATA_GOC!$H:$H,DATA_GOC!$A:$A,"BOM",DATA_GOC!$D:$D,$B275,DATA_GOC!$E:$E,"Dầu động cơ",DATA_GOC!$F:$F,"Xuất nội bộ từ téc",DATA_GOC!$B:$B,DATE($D$2,$B$2,X$4)),0))</f>
        <v>0</v>
      </c>
      <c r="Y275" s="251">
        <f>IF(Y$4&gt;DAY(EOMONTH(DATE($D$2,$B$2,1),0)),"",IFERROR(SUMIFS(DATA_GOC!$H:$H,DATA_GOC!$A:$A,"BOM",DATA_GOC!$D:$D,$B275,DATA_GOC!$E:$E,"Dầu động cơ",DATA_GOC!$F:$F,"Xuất nội bộ từ téc",DATA_GOC!$B:$B,DATE($D$2,$B$2,Y$4)),0))</f>
        <v>0</v>
      </c>
      <c r="Z275" s="251">
        <f>IF(Z$4&gt;DAY(EOMONTH(DATE($D$2,$B$2,1),0)),"",IFERROR(SUMIFS(DATA_GOC!$H:$H,DATA_GOC!$A:$A,"BOM",DATA_GOC!$D:$D,$B275,DATA_GOC!$E:$E,"Dầu động cơ",DATA_GOC!$F:$F,"Xuất nội bộ từ téc",DATA_GOC!$B:$B,DATE($D$2,$B$2,Z$4)),0))</f>
        <v>0</v>
      </c>
      <c r="AA275" s="251">
        <f>IF(AA$4&gt;DAY(EOMONTH(DATE($D$2,$B$2,1),0)),"",IFERROR(SUMIFS(DATA_GOC!$H:$H,DATA_GOC!$A:$A,"BOM",DATA_GOC!$D:$D,$B275,DATA_GOC!$E:$E,"Dầu động cơ",DATA_GOC!$F:$F,"Xuất nội bộ từ téc",DATA_GOC!$B:$B,DATE($D$2,$B$2,AA$4)),0))</f>
        <v>0</v>
      </c>
      <c r="AB275" s="251">
        <f>IF(AB$4&gt;DAY(EOMONTH(DATE($D$2,$B$2,1),0)),"",IFERROR(SUMIFS(DATA_GOC!$H:$H,DATA_GOC!$A:$A,"BOM",DATA_GOC!$D:$D,$B275,DATA_GOC!$E:$E,"Dầu động cơ",DATA_GOC!$F:$F,"Xuất nội bộ từ téc",DATA_GOC!$B:$B,DATE($D$2,$B$2,AB$4)),0))</f>
        <v>0</v>
      </c>
      <c r="AC275" s="251">
        <f>IF(AC$4&gt;DAY(EOMONTH(DATE($D$2,$B$2,1),0)),"",IFERROR(SUMIFS(DATA_GOC!$H:$H,DATA_GOC!$A:$A,"BOM",DATA_GOC!$D:$D,$B275,DATA_GOC!$E:$E,"Dầu động cơ",DATA_GOC!$F:$F,"Xuất nội bộ từ téc",DATA_GOC!$B:$B,DATE($D$2,$B$2,AC$4)),0))</f>
        <v>0</v>
      </c>
      <c r="AD275" s="251">
        <f>IF(AD$4&gt;DAY(EOMONTH(DATE($D$2,$B$2,1),0)),"",IFERROR(SUMIFS(DATA_GOC!$H:$H,DATA_GOC!$A:$A,"BOM",DATA_GOC!$D:$D,$B275,DATA_GOC!$E:$E,"Dầu động cơ",DATA_GOC!$F:$F,"Xuất nội bộ từ téc",DATA_GOC!$B:$B,DATE($D$2,$B$2,AD$4)),0))</f>
        <v>0</v>
      </c>
      <c r="AE275" s="251">
        <f>IF(AE$4&gt;DAY(EOMONTH(DATE($D$2,$B$2,1),0)),"",IFERROR(SUMIFS(DATA_GOC!$H:$H,DATA_GOC!$A:$A,"BOM",DATA_GOC!$D:$D,$B275,DATA_GOC!$E:$E,"Dầu động cơ",DATA_GOC!$F:$F,"Xuất nội bộ từ téc",DATA_GOC!$B:$B,DATE($D$2,$B$2,AE$4)),0))</f>
        <v>0</v>
      </c>
      <c r="AF275" s="251">
        <f>IF(AF$4&gt;DAY(EOMONTH(DATE($D$2,$B$2,1),0)),"",IFERROR(SUMIFS(DATA_GOC!$H:$H,DATA_GOC!$A:$A,"BOM",DATA_GOC!$D:$D,$B275,DATA_GOC!$E:$E,"Dầu động cơ",DATA_GOC!$F:$F,"Xuất nội bộ từ téc",DATA_GOC!$B:$B,DATE($D$2,$B$2,AF$4)),0))</f>
        <v>0</v>
      </c>
      <c r="AG275" s="251">
        <f>IF(AG$4&gt;DAY(EOMONTH(DATE($D$2,$B$2,1),0)),"",IFERROR(SUMIFS(DATA_GOC!$H:$H,DATA_GOC!$A:$A,"BOM",DATA_GOC!$D:$D,$B275,DATA_GOC!$E:$E,"Dầu động cơ",DATA_GOC!$F:$F,"Xuất nội bộ từ téc",DATA_GOC!$B:$B,DATE($D$2,$B$2,AG$4)),0))</f>
        <v>0</v>
      </c>
      <c r="AH275" s="252">
        <f t="shared" si="13"/>
        <v>0</v>
      </c>
      <c r="AI275" s="241"/>
      <c r="AJ275" s="242">
        <f>IF($B275="","",SUMIFS(TINH_TEC!$K$233:$K$9232,TINH_TEC!$H$233:$H$9232,$B275,TINH_TEC!$C$233:$C$9232,"Dầu động cơ",TINH_TEC!$F$233:$F$9232,$B$2,TINH_TEC!$G$233:$G$9232,$D$2,TINH_TEC!$B$233:$B$9232,"Đã chốt"))</f>
        <v>0</v>
      </c>
      <c r="AK275" s="242">
        <f>IF($B275="","",SUMIFS(TINH_TEC!$J$233:$J$9232,TINH_TEC!$H$233:$H$9232,$B275,TINH_TEC!$C$233:$C$9232,"Dầu động cơ",TINH_TEC!$F$233:$F$9232,$B$2,TINH_TEC!$G$233:$G$9232,$D$2,TINH_TEC!$B$233:$B$9232,"Đã chốt"))</f>
        <v>0</v>
      </c>
      <c r="AL275" s="242">
        <f t="shared" si="14"/>
        <v>0</v>
      </c>
    </row>
    <row r="276" ht="15.75" customHeight="1">
      <c r="A276" s="237">
        <f>IF($B276&lt;&gt;"",27,"")</f>
        <v>27</v>
      </c>
      <c r="B276" s="250" t="str">
        <f t="array" ref="B276">IFERROR(INDEX(DANH_MUC!$E:$E,30),"")</f>
        <v>28C05345</v>
      </c>
      <c r="C276" s="251">
        <f>IF(C$4&gt;DAY(EOMONTH(DATE($D$2,$B$2,1),0)),"",IFERROR(SUMIFS(DATA_GOC!$H:$H,DATA_GOC!$A:$A,"BOM",DATA_GOC!$D:$D,$B276,DATA_GOC!$E:$E,"Dầu động cơ",DATA_GOC!$F:$F,"Xuất nội bộ từ téc",DATA_GOC!$B:$B,DATE($D$2,$B$2,C$4)),0))</f>
        <v>0</v>
      </c>
      <c r="D276" s="251">
        <f>IF(D$4&gt;DAY(EOMONTH(DATE($D$2,$B$2,1),0)),"",IFERROR(SUMIFS(DATA_GOC!$H:$H,DATA_GOC!$A:$A,"BOM",DATA_GOC!$D:$D,$B276,DATA_GOC!$E:$E,"Dầu động cơ",DATA_GOC!$F:$F,"Xuất nội bộ từ téc",DATA_GOC!$B:$B,DATE($D$2,$B$2,D$4)),0))</f>
        <v>0</v>
      </c>
      <c r="E276" s="251">
        <f>IF(E$4&gt;DAY(EOMONTH(DATE($D$2,$B$2,1),0)),"",IFERROR(SUMIFS(DATA_GOC!$H:$H,DATA_GOC!$A:$A,"BOM",DATA_GOC!$D:$D,$B276,DATA_GOC!$E:$E,"Dầu động cơ",DATA_GOC!$F:$F,"Xuất nội bộ từ téc",DATA_GOC!$B:$B,DATE($D$2,$B$2,E$4)),0))</f>
        <v>0</v>
      </c>
      <c r="F276" s="251">
        <f>IF(F$4&gt;DAY(EOMONTH(DATE($D$2,$B$2,1),0)),"",IFERROR(SUMIFS(DATA_GOC!$H:$H,DATA_GOC!$A:$A,"BOM",DATA_GOC!$D:$D,$B276,DATA_GOC!$E:$E,"Dầu động cơ",DATA_GOC!$F:$F,"Xuất nội bộ từ téc",DATA_GOC!$B:$B,DATE($D$2,$B$2,F$4)),0))</f>
        <v>0</v>
      </c>
      <c r="G276" s="251">
        <f>IF(G$4&gt;DAY(EOMONTH(DATE($D$2,$B$2,1),0)),"",IFERROR(SUMIFS(DATA_GOC!$H:$H,DATA_GOC!$A:$A,"BOM",DATA_GOC!$D:$D,$B276,DATA_GOC!$E:$E,"Dầu động cơ",DATA_GOC!$F:$F,"Xuất nội bộ từ téc",DATA_GOC!$B:$B,DATE($D$2,$B$2,G$4)),0))</f>
        <v>0</v>
      </c>
      <c r="H276" s="251">
        <f>IF(H$4&gt;DAY(EOMONTH(DATE($D$2,$B$2,1),0)),"",IFERROR(SUMIFS(DATA_GOC!$H:$H,DATA_GOC!$A:$A,"BOM",DATA_GOC!$D:$D,$B276,DATA_GOC!$E:$E,"Dầu động cơ",DATA_GOC!$F:$F,"Xuất nội bộ từ téc",DATA_GOC!$B:$B,DATE($D$2,$B$2,H$4)),0))</f>
        <v>0</v>
      </c>
      <c r="I276" s="251">
        <f>IF(I$4&gt;DAY(EOMONTH(DATE($D$2,$B$2,1),0)),"",IFERROR(SUMIFS(DATA_GOC!$H:$H,DATA_GOC!$A:$A,"BOM",DATA_GOC!$D:$D,$B276,DATA_GOC!$E:$E,"Dầu động cơ",DATA_GOC!$F:$F,"Xuất nội bộ từ téc",DATA_GOC!$B:$B,DATE($D$2,$B$2,I$4)),0))</f>
        <v>0</v>
      </c>
      <c r="J276" s="251">
        <f>IF(J$4&gt;DAY(EOMONTH(DATE($D$2,$B$2,1),0)),"",IFERROR(SUMIFS(DATA_GOC!$H:$H,DATA_GOC!$A:$A,"BOM",DATA_GOC!$D:$D,$B276,DATA_GOC!$E:$E,"Dầu động cơ",DATA_GOC!$F:$F,"Xuất nội bộ từ téc",DATA_GOC!$B:$B,DATE($D$2,$B$2,J$4)),0))</f>
        <v>0</v>
      </c>
      <c r="K276" s="251">
        <f>IF(K$4&gt;DAY(EOMONTH(DATE($D$2,$B$2,1),0)),"",IFERROR(SUMIFS(DATA_GOC!$H:$H,DATA_GOC!$A:$A,"BOM",DATA_GOC!$D:$D,$B276,DATA_GOC!$E:$E,"Dầu động cơ",DATA_GOC!$F:$F,"Xuất nội bộ từ téc",DATA_GOC!$B:$B,DATE($D$2,$B$2,K$4)),0))</f>
        <v>0</v>
      </c>
      <c r="L276" s="251">
        <f>IF(L$4&gt;DAY(EOMONTH(DATE($D$2,$B$2,1),0)),"",IFERROR(SUMIFS(DATA_GOC!$H:$H,DATA_GOC!$A:$A,"BOM",DATA_GOC!$D:$D,$B276,DATA_GOC!$E:$E,"Dầu động cơ",DATA_GOC!$F:$F,"Xuất nội bộ từ téc",DATA_GOC!$B:$B,DATE($D$2,$B$2,L$4)),0))</f>
        <v>0</v>
      </c>
      <c r="M276" s="251">
        <f>IF(M$4&gt;DAY(EOMONTH(DATE($D$2,$B$2,1),0)),"",IFERROR(SUMIFS(DATA_GOC!$H:$H,DATA_GOC!$A:$A,"BOM",DATA_GOC!$D:$D,$B276,DATA_GOC!$E:$E,"Dầu động cơ",DATA_GOC!$F:$F,"Xuất nội bộ từ téc",DATA_GOC!$B:$B,DATE($D$2,$B$2,M$4)),0))</f>
        <v>0</v>
      </c>
      <c r="N276" s="251">
        <f>IF(N$4&gt;DAY(EOMONTH(DATE($D$2,$B$2,1),0)),"",IFERROR(SUMIFS(DATA_GOC!$H:$H,DATA_GOC!$A:$A,"BOM",DATA_GOC!$D:$D,$B276,DATA_GOC!$E:$E,"Dầu động cơ",DATA_GOC!$F:$F,"Xuất nội bộ từ téc",DATA_GOC!$B:$B,DATE($D$2,$B$2,N$4)),0))</f>
        <v>0</v>
      </c>
      <c r="O276" s="251">
        <f>IF(O$4&gt;DAY(EOMONTH(DATE($D$2,$B$2,1),0)),"",IFERROR(SUMIFS(DATA_GOC!$H:$H,DATA_GOC!$A:$A,"BOM",DATA_GOC!$D:$D,$B276,DATA_GOC!$E:$E,"Dầu động cơ",DATA_GOC!$F:$F,"Xuất nội bộ từ téc",DATA_GOC!$B:$B,DATE($D$2,$B$2,O$4)),0))</f>
        <v>0</v>
      </c>
      <c r="P276" s="251">
        <f>IF(P$4&gt;DAY(EOMONTH(DATE($D$2,$B$2,1),0)),"",IFERROR(SUMIFS(DATA_GOC!$H:$H,DATA_GOC!$A:$A,"BOM",DATA_GOC!$D:$D,$B276,DATA_GOC!$E:$E,"Dầu động cơ",DATA_GOC!$F:$F,"Xuất nội bộ từ téc",DATA_GOC!$B:$B,DATE($D$2,$B$2,P$4)),0))</f>
        <v>0</v>
      </c>
      <c r="Q276" s="251">
        <f>IF(Q$4&gt;DAY(EOMONTH(DATE($D$2,$B$2,1),0)),"",IFERROR(SUMIFS(DATA_GOC!$H:$H,DATA_GOC!$A:$A,"BOM",DATA_GOC!$D:$D,$B276,DATA_GOC!$E:$E,"Dầu động cơ",DATA_GOC!$F:$F,"Xuất nội bộ từ téc",DATA_GOC!$B:$B,DATE($D$2,$B$2,Q$4)),0))</f>
        <v>0</v>
      </c>
      <c r="R276" s="251">
        <f>IF(R$4&gt;DAY(EOMONTH(DATE($D$2,$B$2,1),0)),"",IFERROR(SUMIFS(DATA_GOC!$H:$H,DATA_GOC!$A:$A,"BOM",DATA_GOC!$D:$D,$B276,DATA_GOC!$E:$E,"Dầu động cơ",DATA_GOC!$F:$F,"Xuất nội bộ từ téc",DATA_GOC!$B:$B,DATE($D$2,$B$2,R$4)),0))</f>
        <v>0</v>
      </c>
      <c r="S276" s="251">
        <f>IF(S$4&gt;DAY(EOMONTH(DATE($D$2,$B$2,1),0)),"",IFERROR(SUMIFS(DATA_GOC!$H:$H,DATA_GOC!$A:$A,"BOM",DATA_GOC!$D:$D,$B276,DATA_GOC!$E:$E,"Dầu động cơ",DATA_GOC!$F:$F,"Xuất nội bộ từ téc",DATA_GOC!$B:$B,DATE($D$2,$B$2,S$4)),0))</f>
        <v>0</v>
      </c>
      <c r="T276" s="251">
        <f>IF(T$4&gt;DAY(EOMONTH(DATE($D$2,$B$2,1),0)),"",IFERROR(SUMIFS(DATA_GOC!$H:$H,DATA_GOC!$A:$A,"BOM",DATA_GOC!$D:$D,$B276,DATA_GOC!$E:$E,"Dầu động cơ",DATA_GOC!$F:$F,"Xuất nội bộ từ téc",DATA_GOC!$B:$B,DATE($D$2,$B$2,T$4)),0))</f>
        <v>0</v>
      </c>
      <c r="U276" s="251">
        <f>IF(U$4&gt;DAY(EOMONTH(DATE($D$2,$B$2,1),0)),"",IFERROR(SUMIFS(DATA_GOC!$H:$H,DATA_GOC!$A:$A,"BOM",DATA_GOC!$D:$D,$B276,DATA_GOC!$E:$E,"Dầu động cơ",DATA_GOC!$F:$F,"Xuất nội bộ từ téc",DATA_GOC!$B:$B,DATE($D$2,$B$2,U$4)),0))</f>
        <v>0</v>
      </c>
      <c r="V276" s="251">
        <f>IF(V$4&gt;DAY(EOMONTH(DATE($D$2,$B$2,1),0)),"",IFERROR(SUMIFS(DATA_GOC!$H:$H,DATA_GOC!$A:$A,"BOM",DATA_GOC!$D:$D,$B276,DATA_GOC!$E:$E,"Dầu động cơ",DATA_GOC!$F:$F,"Xuất nội bộ từ téc",DATA_GOC!$B:$B,DATE($D$2,$B$2,V$4)),0))</f>
        <v>0</v>
      </c>
      <c r="W276" s="251">
        <f>IF(W$4&gt;DAY(EOMONTH(DATE($D$2,$B$2,1),0)),"",IFERROR(SUMIFS(DATA_GOC!$H:$H,DATA_GOC!$A:$A,"BOM",DATA_GOC!$D:$D,$B276,DATA_GOC!$E:$E,"Dầu động cơ",DATA_GOC!$F:$F,"Xuất nội bộ từ téc",DATA_GOC!$B:$B,DATE($D$2,$B$2,W$4)),0))</f>
        <v>0</v>
      </c>
      <c r="X276" s="251">
        <f>IF(X$4&gt;DAY(EOMONTH(DATE($D$2,$B$2,1),0)),"",IFERROR(SUMIFS(DATA_GOC!$H:$H,DATA_GOC!$A:$A,"BOM",DATA_GOC!$D:$D,$B276,DATA_GOC!$E:$E,"Dầu động cơ",DATA_GOC!$F:$F,"Xuất nội bộ từ téc",DATA_GOC!$B:$B,DATE($D$2,$B$2,X$4)),0))</f>
        <v>0</v>
      </c>
      <c r="Y276" s="251">
        <f>IF(Y$4&gt;DAY(EOMONTH(DATE($D$2,$B$2,1),0)),"",IFERROR(SUMIFS(DATA_GOC!$H:$H,DATA_GOC!$A:$A,"BOM",DATA_GOC!$D:$D,$B276,DATA_GOC!$E:$E,"Dầu động cơ",DATA_GOC!$F:$F,"Xuất nội bộ từ téc",DATA_GOC!$B:$B,DATE($D$2,$B$2,Y$4)),0))</f>
        <v>0</v>
      </c>
      <c r="Z276" s="251">
        <f>IF(Z$4&gt;DAY(EOMONTH(DATE($D$2,$B$2,1),0)),"",IFERROR(SUMIFS(DATA_GOC!$H:$H,DATA_GOC!$A:$A,"BOM",DATA_GOC!$D:$D,$B276,DATA_GOC!$E:$E,"Dầu động cơ",DATA_GOC!$F:$F,"Xuất nội bộ từ téc",DATA_GOC!$B:$B,DATE($D$2,$B$2,Z$4)),0))</f>
        <v>0</v>
      </c>
      <c r="AA276" s="251">
        <f>IF(AA$4&gt;DAY(EOMONTH(DATE($D$2,$B$2,1),0)),"",IFERROR(SUMIFS(DATA_GOC!$H:$H,DATA_GOC!$A:$A,"BOM",DATA_GOC!$D:$D,$B276,DATA_GOC!$E:$E,"Dầu động cơ",DATA_GOC!$F:$F,"Xuất nội bộ từ téc",DATA_GOC!$B:$B,DATE($D$2,$B$2,AA$4)),0))</f>
        <v>0</v>
      </c>
      <c r="AB276" s="251">
        <f>IF(AB$4&gt;DAY(EOMONTH(DATE($D$2,$B$2,1),0)),"",IFERROR(SUMIFS(DATA_GOC!$H:$H,DATA_GOC!$A:$A,"BOM",DATA_GOC!$D:$D,$B276,DATA_GOC!$E:$E,"Dầu động cơ",DATA_GOC!$F:$F,"Xuất nội bộ từ téc",DATA_GOC!$B:$B,DATE($D$2,$B$2,AB$4)),0))</f>
        <v>0</v>
      </c>
      <c r="AC276" s="251">
        <f>IF(AC$4&gt;DAY(EOMONTH(DATE($D$2,$B$2,1),0)),"",IFERROR(SUMIFS(DATA_GOC!$H:$H,DATA_GOC!$A:$A,"BOM",DATA_GOC!$D:$D,$B276,DATA_GOC!$E:$E,"Dầu động cơ",DATA_GOC!$F:$F,"Xuất nội bộ từ téc",DATA_GOC!$B:$B,DATE($D$2,$B$2,AC$4)),0))</f>
        <v>0</v>
      </c>
      <c r="AD276" s="251">
        <f>IF(AD$4&gt;DAY(EOMONTH(DATE($D$2,$B$2,1),0)),"",IFERROR(SUMIFS(DATA_GOC!$H:$H,DATA_GOC!$A:$A,"BOM",DATA_GOC!$D:$D,$B276,DATA_GOC!$E:$E,"Dầu động cơ",DATA_GOC!$F:$F,"Xuất nội bộ từ téc",DATA_GOC!$B:$B,DATE($D$2,$B$2,AD$4)),0))</f>
        <v>0</v>
      </c>
      <c r="AE276" s="251">
        <f>IF(AE$4&gt;DAY(EOMONTH(DATE($D$2,$B$2,1),0)),"",IFERROR(SUMIFS(DATA_GOC!$H:$H,DATA_GOC!$A:$A,"BOM",DATA_GOC!$D:$D,$B276,DATA_GOC!$E:$E,"Dầu động cơ",DATA_GOC!$F:$F,"Xuất nội bộ từ téc",DATA_GOC!$B:$B,DATE($D$2,$B$2,AE$4)),0))</f>
        <v>0</v>
      </c>
      <c r="AF276" s="251">
        <f>IF(AF$4&gt;DAY(EOMONTH(DATE($D$2,$B$2,1),0)),"",IFERROR(SUMIFS(DATA_GOC!$H:$H,DATA_GOC!$A:$A,"BOM",DATA_GOC!$D:$D,$B276,DATA_GOC!$E:$E,"Dầu động cơ",DATA_GOC!$F:$F,"Xuất nội bộ từ téc",DATA_GOC!$B:$B,DATE($D$2,$B$2,AF$4)),0))</f>
        <v>0</v>
      </c>
      <c r="AG276" s="251">
        <f>IF(AG$4&gt;DAY(EOMONTH(DATE($D$2,$B$2,1),0)),"",IFERROR(SUMIFS(DATA_GOC!$H:$H,DATA_GOC!$A:$A,"BOM",DATA_GOC!$D:$D,$B276,DATA_GOC!$E:$E,"Dầu động cơ",DATA_GOC!$F:$F,"Xuất nội bộ từ téc",DATA_GOC!$B:$B,DATE($D$2,$B$2,AG$4)),0))</f>
        <v>0</v>
      </c>
      <c r="AH276" s="252">
        <f t="shared" si="13"/>
        <v>0</v>
      </c>
      <c r="AI276" s="241"/>
      <c r="AJ276" s="242">
        <f>IF($B276="","",SUMIFS(TINH_TEC!$K$233:$K$9232,TINH_TEC!$H$233:$H$9232,$B276,TINH_TEC!$C$233:$C$9232,"Dầu động cơ",TINH_TEC!$F$233:$F$9232,$B$2,TINH_TEC!$G$233:$G$9232,$D$2,TINH_TEC!$B$233:$B$9232,"Đã chốt"))</f>
        <v>0</v>
      </c>
      <c r="AK276" s="242">
        <f>IF($B276="","",SUMIFS(TINH_TEC!$J$233:$J$9232,TINH_TEC!$H$233:$H$9232,$B276,TINH_TEC!$C$233:$C$9232,"Dầu động cơ",TINH_TEC!$F$233:$F$9232,$B$2,TINH_TEC!$G$233:$G$9232,$D$2,TINH_TEC!$B$233:$B$9232,"Đã chốt"))</f>
        <v>0</v>
      </c>
      <c r="AL276" s="242">
        <f t="shared" si="14"/>
        <v>0</v>
      </c>
    </row>
    <row r="277" ht="15.75" customHeight="1">
      <c r="A277" s="237">
        <f>IF($B277&lt;&gt;"",28,"")</f>
        <v>28</v>
      </c>
      <c r="B277" s="250" t="str">
        <f t="array" ref="B277">IFERROR(INDEX(DANH_MUC!$E:$E,31),"")</f>
        <v>28C05661</v>
      </c>
      <c r="C277" s="251">
        <f>IF(C$4&gt;DAY(EOMONTH(DATE($D$2,$B$2,1),0)),"",IFERROR(SUMIFS(DATA_GOC!$H:$H,DATA_GOC!$A:$A,"BOM",DATA_GOC!$D:$D,$B277,DATA_GOC!$E:$E,"Dầu động cơ",DATA_GOC!$F:$F,"Xuất nội bộ từ téc",DATA_GOC!$B:$B,DATE($D$2,$B$2,C$4)),0))</f>
        <v>0</v>
      </c>
      <c r="D277" s="251">
        <f>IF(D$4&gt;DAY(EOMONTH(DATE($D$2,$B$2,1),0)),"",IFERROR(SUMIFS(DATA_GOC!$H:$H,DATA_GOC!$A:$A,"BOM",DATA_GOC!$D:$D,$B277,DATA_GOC!$E:$E,"Dầu động cơ",DATA_GOC!$F:$F,"Xuất nội bộ từ téc",DATA_GOC!$B:$B,DATE($D$2,$B$2,D$4)),0))</f>
        <v>0</v>
      </c>
      <c r="E277" s="251">
        <f>IF(E$4&gt;DAY(EOMONTH(DATE($D$2,$B$2,1),0)),"",IFERROR(SUMIFS(DATA_GOC!$H:$H,DATA_GOC!$A:$A,"BOM",DATA_GOC!$D:$D,$B277,DATA_GOC!$E:$E,"Dầu động cơ",DATA_GOC!$F:$F,"Xuất nội bộ từ téc",DATA_GOC!$B:$B,DATE($D$2,$B$2,E$4)),0))</f>
        <v>0</v>
      </c>
      <c r="F277" s="251">
        <f>IF(F$4&gt;DAY(EOMONTH(DATE($D$2,$B$2,1),0)),"",IFERROR(SUMIFS(DATA_GOC!$H:$H,DATA_GOC!$A:$A,"BOM",DATA_GOC!$D:$D,$B277,DATA_GOC!$E:$E,"Dầu động cơ",DATA_GOC!$F:$F,"Xuất nội bộ từ téc",DATA_GOC!$B:$B,DATE($D$2,$B$2,F$4)),0))</f>
        <v>0</v>
      </c>
      <c r="G277" s="251">
        <f>IF(G$4&gt;DAY(EOMONTH(DATE($D$2,$B$2,1),0)),"",IFERROR(SUMIFS(DATA_GOC!$H:$H,DATA_GOC!$A:$A,"BOM",DATA_GOC!$D:$D,$B277,DATA_GOC!$E:$E,"Dầu động cơ",DATA_GOC!$F:$F,"Xuất nội bộ từ téc",DATA_GOC!$B:$B,DATE($D$2,$B$2,G$4)),0))</f>
        <v>0</v>
      </c>
      <c r="H277" s="251">
        <f>IF(H$4&gt;DAY(EOMONTH(DATE($D$2,$B$2,1),0)),"",IFERROR(SUMIFS(DATA_GOC!$H:$H,DATA_GOC!$A:$A,"BOM",DATA_GOC!$D:$D,$B277,DATA_GOC!$E:$E,"Dầu động cơ",DATA_GOC!$F:$F,"Xuất nội bộ từ téc",DATA_GOC!$B:$B,DATE($D$2,$B$2,H$4)),0))</f>
        <v>0</v>
      </c>
      <c r="I277" s="251">
        <f>IF(I$4&gt;DAY(EOMONTH(DATE($D$2,$B$2,1),0)),"",IFERROR(SUMIFS(DATA_GOC!$H:$H,DATA_GOC!$A:$A,"BOM",DATA_GOC!$D:$D,$B277,DATA_GOC!$E:$E,"Dầu động cơ",DATA_GOC!$F:$F,"Xuất nội bộ từ téc",DATA_GOC!$B:$B,DATE($D$2,$B$2,I$4)),0))</f>
        <v>0</v>
      </c>
      <c r="J277" s="251">
        <f>IF(J$4&gt;DAY(EOMONTH(DATE($D$2,$B$2,1),0)),"",IFERROR(SUMIFS(DATA_GOC!$H:$H,DATA_GOC!$A:$A,"BOM",DATA_GOC!$D:$D,$B277,DATA_GOC!$E:$E,"Dầu động cơ",DATA_GOC!$F:$F,"Xuất nội bộ từ téc",DATA_GOC!$B:$B,DATE($D$2,$B$2,J$4)),0))</f>
        <v>0</v>
      </c>
      <c r="K277" s="251">
        <f>IF(K$4&gt;DAY(EOMONTH(DATE($D$2,$B$2,1),0)),"",IFERROR(SUMIFS(DATA_GOC!$H:$H,DATA_GOC!$A:$A,"BOM",DATA_GOC!$D:$D,$B277,DATA_GOC!$E:$E,"Dầu động cơ",DATA_GOC!$F:$F,"Xuất nội bộ từ téc",DATA_GOC!$B:$B,DATE($D$2,$B$2,K$4)),0))</f>
        <v>0</v>
      </c>
      <c r="L277" s="251">
        <f>IF(L$4&gt;DAY(EOMONTH(DATE($D$2,$B$2,1),0)),"",IFERROR(SUMIFS(DATA_GOC!$H:$H,DATA_GOC!$A:$A,"BOM",DATA_GOC!$D:$D,$B277,DATA_GOC!$E:$E,"Dầu động cơ",DATA_GOC!$F:$F,"Xuất nội bộ từ téc",DATA_GOC!$B:$B,DATE($D$2,$B$2,L$4)),0))</f>
        <v>0</v>
      </c>
      <c r="M277" s="251">
        <f>IF(M$4&gt;DAY(EOMONTH(DATE($D$2,$B$2,1),0)),"",IFERROR(SUMIFS(DATA_GOC!$H:$H,DATA_GOC!$A:$A,"BOM",DATA_GOC!$D:$D,$B277,DATA_GOC!$E:$E,"Dầu động cơ",DATA_GOC!$F:$F,"Xuất nội bộ từ téc",DATA_GOC!$B:$B,DATE($D$2,$B$2,M$4)),0))</f>
        <v>0</v>
      </c>
      <c r="N277" s="251">
        <f>IF(N$4&gt;DAY(EOMONTH(DATE($D$2,$B$2,1),0)),"",IFERROR(SUMIFS(DATA_GOC!$H:$H,DATA_GOC!$A:$A,"BOM",DATA_GOC!$D:$D,$B277,DATA_GOC!$E:$E,"Dầu động cơ",DATA_GOC!$F:$F,"Xuất nội bộ từ téc",DATA_GOC!$B:$B,DATE($D$2,$B$2,N$4)),0))</f>
        <v>0</v>
      </c>
      <c r="O277" s="251">
        <f>IF(O$4&gt;DAY(EOMONTH(DATE($D$2,$B$2,1),0)),"",IFERROR(SUMIFS(DATA_GOC!$H:$H,DATA_GOC!$A:$A,"BOM",DATA_GOC!$D:$D,$B277,DATA_GOC!$E:$E,"Dầu động cơ",DATA_GOC!$F:$F,"Xuất nội bộ từ téc",DATA_GOC!$B:$B,DATE($D$2,$B$2,O$4)),0))</f>
        <v>0</v>
      </c>
      <c r="P277" s="251">
        <f>IF(P$4&gt;DAY(EOMONTH(DATE($D$2,$B$2,1),0)),"",IFERROR(SUMIFS(DATA_GOC!$H:$H,DATA_GOC!$A:$A,"BOM",DATA_GOC!$D:$D,$B277,DATA_GOC!$E:$E,"Dầu động cơ",DATA_GOC!$F:$F,"Xuất nội bộ từ téc",DATA_GOC!$B:$B,DATE($D$2,$B$2,P$4)),0))</f>
        <v>0</v>
      </c>
      <c r="Q277" s="251">
        <f>IF(Q$4&gt;DAY(EOMONTH(DATE($D$2,$B$2,1),0)),"",IFERROR(SUMIFS(DATA_GOC!$H:$H,DATA_GOC!$A:$A,"BOM",DATA_GOC!$D:$D,$B277,DATA_GOC!$E:$E,"Dầu động cơ",DATA_GOC!$F:$F,"Xuất nội bộ từ téc",DATA_GOC!$B:$B,DATE($D$2,$B$2,Q$4)),0))</f>
        <v>0</v>
      </c>
      <c r="R277" s="251">
        <f>IF(R$4&gt;DAY(EOMONTH(DATE($D$2,$B$2,1),0)),"",IFERROR(SUMIFS(DATA_GOC!$H:$H,DATA_GOC!$A:$A,"BOM",DATA_GOC!$D:$D,$B277,DATA_GOC!$E:$E,"Dầu động cơ",DATA_GOC!$F:$F,"Xuất nội bộ từ téc",DATA_GOC!$B:$B,DATE($D$2,$B$2,R$4)),0))</f>
        <v>0</v>
      </c>
      <c r="S277" s="251">
        <f>IF(S$4&gt;DAY(EOMONTH(DATE($D$2,$B$2,1),0)),"",IFERROR(SUMIFS(DATA_GOC!$H:$H,DATA_GOC!$A:$A,"BOM",DATA_GOC!$D:$D,$B277,DATA_GOC!$E:$E,"Dầu động cơ",DATA_GOC!$F:$F,"Xuất nội bộ từ téc",DATA_GOC!$B:$B,DATE($D$2,$B$2,S$4)),0))</f>
        <v>0</v>
      </c>
      <c r="T277" s="251">
        <f>IF(T$4&gt;DAY(EOMONTH(DATE($D$2,$B$2,1),0)),"",IFERROR(SUMIFS(DATA_GOC!$H:$H,DATA_GOC!$A:$A,"BOM",DATA_GOC!$D:$D,$B277,DATA_GOC!$E:$E,"Dầu động cơ",DATA_GOC!$F:$F,"Xuất nội bộ từ téc",DATA_GOC!$B:$B,DATE($D$2,$B$2,T$4)),0))</f>
        <v>0</v>
      </c>
      <c r="U277" s="251">
        <f>IF(U$4&gt;DAY(EOMONTH(DATE($D$2,$B$2,1),0)),"",IFERROR(SUMIFS(DATA_GOC!$H:$H,DATA_GOC!$A:$A,"BOM",DATA_GOC!$D:$D,$B277,DATA_GOC!$E:$E,"Dầu động cơ",DATA_GOC!$F:$F,"Xuất nội bộ từ téc",DATA_GOC!$B:$B,DATE($D$2,$B$2,U$4)),0))</f>
        <v>0</v>
      </c>
      <c r="V277" s="251">
        <f>IF(V$4&gt;DAY(EOMONTH(DATE($D$2,$B$2,1),0)),"",IFERROR(SUMIFS(DATA_GOC!$H:$H,DATA_GOC!$A:$A,"BOM",DATA_GOC!$D:$D,$B277,DATA_GOC!$E:$E,"Dầu động cơ",DATA_GOC!$F:$F,"Xuất nội bộ từ téc",DATA_GOC!$B:$B,DATE($D$2,$B$2,V$4)),0))</f>
        <v>0</v>
      </c>
      <c r="W277" s="251">
        <f>IF(W$4&gt;DAY(EOMONTH(DATE($D$2,$B$2,1),0)),"",IFERROR(SUMIFS(DATA_GOC!$H:$H,DATA_GOC!$A:$A,"BOM",DATA_GOC!$D:$D,$B277,DATA_GOC!$E:$E,"Dầu động cơ",DATA_GOC!$F:$F,"Xuất nội bộ từ téc",DATA_GOC!$B:$B,DATE($D$2,$B$2,W$4)),0))</f>
        <v>0</v>
      </c>
      <c r="X277" s="251">
        <f>IF(X$4&gt;DAY(EOMONTH(DATE($D$2,$B$2,1),0)),"",IFERROR(SUMIFS(DATA_GOC!$H:$H,DATA_GOC!$A:$A,"BOM",DATA_GOC!$D:$D,$B277,DATA_GOC!$E:$E,"Dầu động cơ",DATA_GOC!$F:$F,"Xuất nội bộ từ téc",DATA_GOC!$B:$B,DATE($D$2,$B$2,X$4)),0))</f>
        <v>0</v>
      </c>
      <c r="Y277" s="251">
        <f>IF(Y$4&gt;DAY(EOMONTH(DATE($D$2,$B$2,1),0)),"",IFERROR(SUMIFS(DATA_GOC!$H:$H,DATA_GOC!$A:$A,"BOM",DATA_GOC!$D:$D,$B277,DATA_GOC!$E:$E,"Dầu động cơ",DATA_GOC!$F:$F,"Xuất nội bộ từ téc",DATA_GOC!$B:$B,DATE($D$2,$B$2,Y$4)),0))</f>
        <v>0</v>
      </c>
      <c r="Z277" s="251">
        <f>IF(Z$4&gt;DAY(EOMONTH(DATE($D$2,$B$2,1),0)),"",IFERROR(SUMIFS(DATA_GOC!$H:$H,DATA_GOC!$A:$A,"BOM",DATA_GOC!$D:$D,$B277,DATA_GOC!$E:$E,"Dầu động cơ",DATA_GOC!$F:$F,"Xuất nội bộ từ téc",DATA_GOC!$B:$B,DATE($D$2,$B$2,Z$4)),0))</f>
        <v>0</v>
      </c>
      <c r="AA277" s="251">
        <f>IF(AA$4&gt;DAY(EOMONTH(DATE($D$2,$B$2,1),0)),"",IFERROR(SUMIFS(DATA_GOC!$H:$H,DATA_GOC!$A:$A,"BOM",DATA_GOC!$D:$D,$B277,DATA_GOC!$E:$E,"Dầu động cơ",DATA_GOC!$F:$F,"Xuất nội bộ từ téc",DATA_GOC!$B:$B,DATE($D$2,$B$2,AA$4)),0))</f>
        <v>0</v>
      </c>
      <c r="AB277" s="251">
        <f>IF(AB$4&gt;DAY(EOMONTH(DATE($D$2,$B$2,1),0)),"",IFERROR(SUMIFS(DATA_GOC!$H:$H,DATA_GOC!$A:$A,"BOM",DATA_GOC!$D:$D,$B277,DATA_GOC!$E:$E,"Dầu động cơ",DATA_GOC!$F:$F,"Xuất nội bộ từ téc",DATA_GOC!$B:$B,DATE($D$2,$B$2,AB$4)),0))</f>
        <v>0</v>
      </c>
      <c r="AC277" s="251">
        <f>IF(AC$4&gt;DAY(EOMONTH(DATE($D$2,$B$2,1),0)),"",IFERROR(SUMIFS(DATA_GOC!$H:$H,DATA_GOC!$A:$A,"BOM",DATA_GOC!$D:$D,$B277,DATA_GOC!$E:$E,"Dầu động cơ",DATA_GOC!$F:$F,"Xuất nội bộ từ téc",DATA_GOC!$B:$B,DATE($D$2,$B$2,AC$4)),0))</f>
        <v>0</v>
      </c>
      <c r="AD277" s="251">
        <f>IF(AD$4&gt;DAY(EOMONTH(DATE($D$2,$B$2,1),0)),"",IFERROR(SUMIFS(DATA_GOC!$H:$H,DATA_GOC!$A:$A,"BOM",DATA_GOC!$D:$D,$B277,DATA_GOC!$E:$E,"Dầu động cơ",DATA_GOC!$F:$F,"Xuất nội bộ từ téc",DATA_GOC!$B:$B,DATE($D$2,$B$2,AD$4)),0))</f>
        <v>0</v>
      </c>
      <c r="AE277" s="251">
        <f>IF(AE$4&gt;DAY(EOMONTH(DATE($D$2,$B$2,1),0)),"",IFERROR(SUMIFS(DATA_GOC!$H:$H,DATA_GOC!$A:$A,"BOM",DATA_GOC!$D:$D,$B277,DATA_GOC!$E:$E,"Dầu động cơ",DATA_GOC!$F:$F,"Xuất nội bộ từ téc",DATA_GOC!$B:$B,DATE($D$2,$B$2,AE$4)),0))</f>
        <v>0</v>
      </c>
      <c r="AF277" s="251">
        <f>IF(AF$4&gt;DAY(EOMONTH(DATE($D$2,$B$2,1),0)),"",IFERROR(SUMIFS(DATA_GOC!$H:$H,DATA_GOC!$A:$A,"BOM",DATA_GOC!$D:$D,$B277,DATA_GOC!$E:$E,"Dầu động cơ",DATA_GOC!$F:$F,"Xuất nội bộ từ téc",DATA_GOC!$B:$B,DATE($D$2,$B$2,AF$4)),0))</f>
        <v>0</v>
      </c>
      <c r="AG277" s="251">
        <f>IF(AG$4&gt;DAY(EOMONTH(DATE($D$2,$B$2,1),0)),"",IFERROR(SUMIFS(DATA_GOC!$H:$H,DATA_GOC!$A:$A,"BOM",DATA_GOC!$D:$D,$B277,DATA_GOC!$E:$E,"Dầu động cơ",DATA_GOC!$F:$F,"Xuất nội bộ từ téc",DATA_GOC!$B:$B,DATE($D$2,$B$2,AG$4)),0))</f>
        <v>0</v>
      </c>
      <c r="AH277" s="252">
        <f t="shared" si="13"/>
        <v>0</v>
      </c>
      <c r="AI277" s="241"/>
      <c r="AJ277" s="242">
        <f>IF($B277="","",SUMIFS(TINH_TEC!$K$233:$K$9232,TINH_TEC!$H$233:$H$9232,$B277,TINH_TEC!$C$233:$C$9232,"Dầu động cơ",TINH_TEC!$F$233:$F$9232,$B$2,TINH_TEC!$G$233:$G$9232,$D$2,TINH_TEC!$B$233:$B$9232,"Đã chốt"))</f>
        <v>0</v>
      </c>
      <c r="AK277" s="242">
        <f>IF($B277="","",SUMIFS(TINH_TEC!$J$233:$J$9232,TINH_TEC!$H$233:$H$9232,$B277,TINH_TEC!$C$233:$C$9232,"Dầu động cơ",TINH_TEC!$F$233:$F$9232,$B$2,TINH_TEC!$G$233:$G$9232,$D$2,TINH_TEC!$B$233:$B$9232,"Đã chốt"))</f>
        <v>0</v>
      </c>
      <c r="AL277" s="242">
        <f t="shared" si="14"/>
        <v>0</v>
      </c>
    </row>
    <row r="278" ht="15.75" customHeight="1">
      <c r="A278" s="237">
        <f>IF($B278&lt;&gt;"",29,"")</f>
        <v>29</v>
      </c>
      <c r="B278" s="250" t="str">
        <f t="array" ref="B278">IFERROR(INDEX(DANH_MUC!$E:$E,32),"")</f>
        <v>28C05739</v>
      </c>
      <c r="C278" s="251">
        <f>IF(C$4&gt;DAY(EOMONTH(DATE($D$2,$B$2,1),0)),"",IFERROR(SUMIFS(DATA_GOC!$H:$H,DATA_GOC!$A:$A,"BOM",DATA_GOC!$D:$D,$B278,DATA_GOC!$E:$E,"Dầu động cơ",DATA_GOC!$F:$F,"Xuất nội bộ từ téc",DATA_GOC!$B:$B,DATE($D$2,$B$2,C$4)),0))</f>
        <v>0</v>
      </c>
      <c r="D278" s="251">
        <f>IF(D$4&gt;DAY(EOMONTH(DATE($D$2,$B$2,1),0)),"",IFERROR(SUMIFS(DATA_GOC!$H:$H,DATA_GOC!$A:$A,"BOM",DATA_GOC!$D:$D,$B278,DATA_GOC!$E:$E,"Dầu động cơ",DATA_GOC!$F:$F,"Xuất nội bộ từ téc",DATA_GOC!$B:$B,DATE($D$2,$B$2,D$4)),0))</f>
        <v>0</v>
      </c>
      <c r="E278" s="251">
        <f>IF(E$4&gt;DAY(EOMONTH(DATE($D$2,$B$2,1),0)),"",IFERROR(SUMIFS(DATA_GOC!$H:$H,DATA_GOC!$A:$A,"BOM",DATA_GOC!$D:$D,$B278,DATA_GOC!$E:$E,"Dầu động cơ",DATA_GOC!$F:$F,"Xuất nội bộ từ téc",DATA_GOC!$B:$B,DATE($D$2,$B$2,E$4)),0))</f>
        <v>0</v>
      </c>
      <c r="F278" s="251">
        <f>IF(F$4&gt;DAY(EOMONTH(DATE($D$2,$B$2,1),0)),"",IFERROR(SUMIFS(DATA_GOC!$H:$H,DATA_GOC!$A:$A,"BOM",DATA_GOC!$D:$D,$B278,DATA_GOC!$E:$E,"Dầu động cơ",DATA_GOC!$F:$F,"Xuất nội bộ từ téc",DATA_GOC!$B:$B,DATE($D$2,$B$2,F$4)),0))</f>
        <v>0</v>
      </c>
      <c r="G278" s="251">
        <f>IF(G$4&gt;DAY(EOMONTH(DATE($D$2,$B$2,1),0)),"",IFERROR(SUMIFS(DATA_GOC!$H:$H,DATA_GOC!$A:$A,"BOM",DATA_GOC!$D:$D,$B278,DATA_GOC!$E:$E,"Dầu động cơ",DATA_GOC!$F:$F,"Xuất nội bộ từ téc",DATA_GOC!$B:$B,DATE($D$2,$B$2,G$4)),0))</f>
        <v>0</v>
      </c>
      <c r="H278" s="251">
        <f>IF(H$4&gt;DAY(EOMONTH(DATE($D$2,$B$2,1),0)),"",IFERROR(SUMIFS(DATA_GOC!$H:$H,DATA_GOC!$A:$A,"BOM",DATA_GOC!$D:$D,$B278,DATA_GOC!$E:$E,"Dầu động cơ",DATA_GOC!$F:$F,"Xuất nội bộ từ téc",DATA_GOC!$B:$B,DATE($D$2,$B$2,H$4)),0))</f>
        <v>0</v>
      </c>
      <c r="I278" s="251">
        <f>IF(I$4&gt;DAY(EOMONTH(DATE($D$2,$B$2,1),0)),"",IFERROR(SUMIFS(DATA_GOC!$H:$H,DATA_GOC!$A:$A,"BOM",DATA_GOC!$D:$D,$B278,DATA_GOC!$E:$E,"Dầu động cơ",DATA_GOC!$F:$F,"Xuất nội bộ từ téc",DATA_GOC!$B:$B,DATE($D$2,$B$2,I$4)),0))</f>
        <v>0</v>
      </c>
      <c r="J278" s="251">
        <f>IF(J$4&gt;DAY(EOMONTH(DATE($D$2,$B$2,1),0)),"",IFERROR(SUMIFS(DATA_GOC!$H:$H,DATA_GOC!$A:$A,"BOM",DATA_GOC!$D:$D,$B278,DATA_GOC!$E:$E,"Dầu động cơ",DATA_GOC!$F:$F,"Xuất nội bộ từ téc",DATA_GOC!$B:$B,DATE($D$2,$B$2,J$4)),0))</f>
        <v>0</v>
      </c>
      <c r="K278" s="251">
        <f>IF(K$4&gt;DAY(EOMONTH(DATE($D$2,$B$2,1),0)),"",IFERROR(SUMIFS(DATA_GOC!$H:$H,DATA_GOC!$A:$A,"BOM",DATA_GOC!$D:$D,$B278,DATA_GOC!$E:$E,"Dầu động cơ",DATA_GOC!$F:$F,"Xuất nội bộ từ téc",DATA_GOC!$B:$B,DATE($D$2,$B$2,K$4)),0))</f>
        <v>0</v>
      </c>
      <c r="L278" s="251">
        <f>IF(L$4&gt;DAY(EOMONTH(DATE($D$2,$B$2,1),0)),"",IFERROR(SUMIFS(DATA_GOC!$H:$H,DATA_GOC!$A:$A,"BOM",DATA_GOC!$D:$D,$B278,DATA_GOC!$E:$E,"Dầu động cơ",DATA_GOC!$F:$F,"Xuất nội bộ từ téc",DATA_GOC!$B:$B,DATE($D$2,$B$2,L$4)),0))</f>
        <v>0</v>
      </c>
      <c r="M278" s="251">
        <f>IF(M$4&gt;DAY(EOMONTH(DATE($D$2,$B$2,1),0)),"",IFERROR(SUMIFS(DATA_GOC!$H:$H,DATA_GOC!$A:$A,"BOM",DATA_GOC!$D:$D,$B278,DATA_GOC!$E:$E,"Dầu động cơ",DATA_GOC!$F:$F,"Xuất nội bộ từ téc",DATA_GOC!$B:$B,DATE($D$2,$B$2,M$4)),0))</f>
        <v>0</v>
      </c>
      <c r="N278" s="251">
        <f>IF(N$4&gt;DAY(EOMONTH(DATE($D$2,$B$2,1),0)),"",IFERROR(SUMIFS(DATA_GOC!$H:$H,DATA_GOC!$A:$A,"BOM",DATA_GOC!$D:$D,$B278,DATA_GOC!$E:$E,"Dầu động cơ",DATA_GOC!$F:$F,"Xuất nội bộ từ téc",DATA_GOC!$B:$B,DATE($D$2,$B$2,N$4)),0))</f>
        <v>0</v>
      </c>
      <c r="O278" s="251">
        <f>IF(O$4&gt;DAY(EOMONTH(DATE($D$2,$B$2,1),0)),"",IFERROR(SUMIFS(DATA_GOC!$H:$H,DATA_GOC!$A:$A,"BOM",DATA_GOC!$D:$D,$B278,DATA_GOC!$E:$E,"Dầu động cơ",DATA_GOC!$F:$F,"Xuất nội bộ từ téc",DATA_GOC!$B:$B,DATE($D$2,$B$2,O$4)),0))</f>
        <v>0</v>
      </c>
      <c r="P278" s="251">
        <f>IF(P$4&gt;DAY(EOMONTH(DATE($D$2,$B$2,1),0)),"",IFERROR(SUMIFS(DATA_GOC!$H:$H,DATA_GOC!$A:$A,"BOM",DATA_GOC!$D:$D,$B278,DATA_GOC!$E:$E,"Dầu động cơ",DATA_GOC!$F:$F,"Xuất nội bộ từ téc",DATA_GOC!$B:$B,DATE($D$2,$B$2,P$4)),0))</f>
        <v>0</v>
      </c>
      <c r="Q278" s="251">
        <f>IF(Q$4&gt;DAY(EOMONTH(DATE($D$2,$B$2,1),0)),"",IFERROR(SUMIFS(DATA_GOC!$H:$H,DATA_GOC!$A:$A,"BOM",DATA_GOC!$D:$D,$B278,DATA_GOC!$E:$E,"Dầu động cơ",DATA_GOC!$F:$F,"Xuất nội bộ từ téc",DATA_GOC!$B:$B,DATE($D$2,$B$2,Q$4)),0))</f>
        <v>0</v>
      </c>
      <c r="R278" s="251">
        <f>IF(R$4&gt;DAY(EOMONTH(DATE($D$2,$B$2,1),0)),"",IFERROR(SUMIFS(DATA_GOC!$H:$H,DATA_GOC!$A:$A,"BOM",DATA_GOC!$D:$D,$B278,DATA_GOC!$E:$E,"Dầu động cơ",DATA_GOC!$F:$F,"Xuất nội bộ từ téc",DATA_GOC!$B:$B,DATE($D$2,$B$2,R$4)),0))</f>
        <v>0</v>
      </c>
      <c r="S278" s="251">
        <f>IF(S$4&gt;DAY(EOMONTH(DATE($D$2,$B$2,1),0)),"",IFERROR(SUMIFS(DATA_GOC!$H:$H,DATA_GOC!$A:$A,"BOM",DATA_GOC!$D:$D,$B278,DATA_GOC!$E:$E,"Dầu động cơ",DATA_GOC!$F:$F,"Xuất nội bộ từ téc",DATA_GOC!$B:$B,DATE($D$2,$B$2,S$4)),0))</f>
        <v>0</v>
      </c>
      <c r="T278" s="251">
        <f>IF(T$4&gt;DAY(EOMONTH(DATE($D$2,$B$2,1),0)),"",IFERROR(SUMIFS(DATA_GOC!$H:$H,DATA_GOC!$A:$A,"BOM",DATA_GOC!$D:$D,$B278,DATA_GOC!$E:$E,"Dầu động cơ",DATA_GOC!$F:$F,"Xuất nội bộ từ téc",DATA_GOC!$B:$B,DATE($D$2,$B$2,T$4)),0))</f>
        <v>0</v>
      </c>
      <c r="U278" s="251">
        <f>IF(U$4&gt;DAY(EOMONTH(DATE($D$2,$B$2,1),0)),"",IFERROR(SUMIFS(DATA_GOC!$H:$H,DATA_GOC!$A:$A,"BOM",DATA_GOC!$D:$D,$B278,DATA_GOC!$E:$E,"Dầu động cơ",DATA_GOC!$F:$F,"Xuất nội bộ từ téc",DATA_GOC!$B:$B,DATE($D$2,$B$2,U$4)),0))</f>
        <v>0</v>
      </c>
      <c r="V278" s="251">
        <f>IF(V$4&gt;DAY(EOMONTH(DATE($D$2,$B$2,1),0)),"",IFERROR(SUMIFS(DATA_GOC!$H:$H,DATA_GOC!$A:$A,"BOM",DATA_GOC!$D:$D,$B278,DATA_GOC!$E:$E,"Dầu động cơ",DATA_GOC!$F:$F,"Xuất nội bộ từ téc",DATA_GOC!$B:$B,DATE($D$2,$B$2,V$4)),0))</f>
        <v>0</v>
      </c>
      <c r="W278" s="251">
        <f>IF(W$4&gt;DAY(EOMONTH(DATE($D$2,$B$2,1),0)),"",IFERROR(SUMIFS(DATA_GOC!$H:$H,DATA_GOC!$A:$A,"BOM",DATA_GOC!$D:$D,$B278,DATA_GOC!$E:$E,"Dầu động cơ",DATA_GOC!$F:$F,"Xuất nội bộ từ téc",DATA_GOC!$B:$B,DATE($D$2,$B$2,W$4)),0))</f>
        <v>0</v>
      </c>
      <c r="X278" s="251">
        <f>IF(X$4&gt;DAY(EOMONTH(DATE($D$2,$B$2,1),0)),"",IFERROR(SUMIFS(DATA_GOC!$H:$H,DATA_GOC!$A:$A,"BOM",DATA_GOC!$D:$D,$B278,DATA_GOC!$E:$E,"Dầu động cơ",DATA_GOC!$F:$F,"Xuất nội bộ từ téc",DATA_GOC!$B:$B,DATE($D$2,$B$2,X$4)),0))</f>
        <v>0</v>
      </c>
      <c r="Y278" s="251">
        <f>IF(Y$4&gt;DAY(EOMONTH(DATE($D$2,$B$2,1),0)),"",IFERROR(SUMIFS(DATA_GOC!$H:$H,DATA_GOC!$A:$A,"BOM",DATA_GOC!$D:$D,$B278,DATA_GOC!$E:$E,"Dầu động cơ",DATA_GOC!$F:$F,"Xuất nội bộ từ téc",DATA_GOC!$B:$B,DATE($D$2,$B$2,Y$4)),0))</f>
        <v>0</v>
      </c>
      <c r="Z278" s="251">
        <f>IF(Z$4&gt;DAY(EOMONTH(DATE($D$2,$B$2,1),0)),"",IFERROR(SUMIFS(DATA_GOC!$H:$H,DATA_GOC!$A:$A,"BOM",DATA_GOC!$D:$D,$B278,DATA_GOC!$E:$E,"Dầu động cơ",DATA_GOC!$F:$F,"Xuất nội bộ từ téc",DATA_GOC!$B:$B,DATE($D$2,$B$2,Z$4)),0))</f>
        <v>0</v>
      </c>
      <c r="AA278" s="251">
        <f>IF(AA$4&gt;DAY(EOMONTH(DATE($D$2,$B$2,1),0)),"",IFERROR(SUMIFS(DATA_GOC!$H:$H,DATA_GOC!$A:$A,"BOM",DATA_GOC!$D:$D,$B278,DATA_GOC!$E:$E,"Dầu động cơ",DATA_GOC!$F:$F,"Xuất nội bộ từ téc",DATA_GOC!$B:$B,DATE($D$2,$B$2,AA$4)),0))</f>
        <v>0</v>
      </c>
      <c r="AB278" s="251">
        <f>IF(AB$4&gt;DAY(EOMONTH(DATE($D$2,$B$2,1),0)),"",IFERROR(SUMIFS(DATA_GOC!$H:$H,DATA_GOC!$A:$A,"BOM",DATA_GOC!$D:$D,$B278,DATA_GOC!$E:$E,"Dầu động cơ",DATA_GOC!$F:$F,"Xuất nội bộ từ téc",DATA_GOC!$B:$B,DATE($D$2,$B$2,AB$4)),0))</f>
        <v>0</v>
      </c>
      <c r="AC278" s="251">
        <f>IF(AC$4&gt;DAY(EOMONTH(DATE($D$2,$B$2,1),0)),"",IFERROR(SUMIFS(DATA_GOC!$H:$H,DATA_GOC!$A:$A,"BOM",DATA_GOC!$D:$D,$B278,DATA_GOC!$E:$E,"Dầu động cơ",DATA_GOC!$F:$F,"Xuất nội bộ từ téc",DATA_GOC!$B:$B,DATE($D$2,$B$2,AC$4)),0))</f>
        <v>0</v>
      </c>
      <c r="AD278" s="251">
        <f>IF(AD$4&gt;DAY(EOMONTH(DATE($D$2,$B$2,1),0)),"",IFERROR(SUMIFS(DATA_GOC!$H:$H,DATA_GOC!$A:$A,"BOM",DATA_GOC!$D:$D,$B278,DATA_GOC!$E:$E,"Dầu động cơ",DATA_GOC!$F:$F,"Xuất nội bộ từ téc",DATA_GOC!$B:$B,DATE($D$2,$B$2,AD$4)),0))</f>
        <v>0</v>
      </c>
      <c r="AE278" s="251">
        <f>IF(AE$4&gt;DAY(EOMONTH(DATE($D$2,$B$2,1),0)),"",IFERROR(SUMIFS(DATA_GOC!$H:$H,DATA_GOC!$A:$A,"BOM",DATA_GOC!$D:$D,$B278,DATA_GOC!$E:$E,"Dầu động cơ",DATA_GOC!$F:$F,"Xuất nội bộ từ téc",DATA_GOC!$B:$B,DATE($D$2,$B$2,AE$4)),0))</f>
        <v>0</v>
      </c>
      <c r="AF278" s="251">
        <f>IF(AF$4&gt;DAY(EOMONTH(DATE($D$2,$B$2,1),0)),"",IFERROR(SUMIFS(DATA_GOC!$H:$H,DATA_GOC!$A:$A,"BOM",DATA_GOC!$D:$D,$B278,DATA_GOC!$E:$E,"Dầu động cơ",DATA_GOC!$F:$F,"Xuất nội bộ từ téc",DATA_GOC!$B:$B,DATE($D$2,$B$2,AF$4)),0))</f>
        <v>0</v>
      </c>
      <c r="AG278" s="251">
        <f>IF(AG$4&gt;DAY(EOMONTH(DATE($D$2,$B$2,1),0)),"",IFERROR(SUMIFS(DATA_GOC!$H:$H,DATA_GOC!$A:$A,"BOM",DATA_GOC!$D:$D,$B278,DATA_GOC!$E:$E,"Dầu động cơ",DATA_GOC!$F:$F,"Xuất nội bộ từ téc",DATA_GOC!$B:$B,DATE($D$2,$B$2,AG$4)),0))</f>
        <v>0</v>
      </c>
      <c r="AH278" s="252">
        <f t="shared" si="13"/>
        <v>0</v>
      </c>
      <c r="AI278" s="241"/>
      <c r="AJ278" s="242">
        <f>IF($B278="","",SUMIFS(TINH_TEC!$K$233:$K$9232,TINH_TEC!$H$233:$H$9232,$B278,TINH_TEC!$C$233:$C$9232,"Dầu động cơ",TINH_TEC!$F$233:$F$9232,$B$2,TINH_TEC!$G$233:$G$9232,$D$2,TINH_TEC!$B$233:$B$9232,"Đã chốt"))</f>
        <v>0</v>
      </c>
      <c r="AK278" s="242">
        <f>IF($B278="","",SUMIFS(TINH_TEC!$J$233:$J$9232,TINH_TEC!$H$233:$H$9232,$B278,TINH_TEC!$C$233:$C$9232,"Dầu động cơ",TINH_TEC!$F$233:$F$9232,$B$2,TINH_TEC!$G$233:$G$9232,$D$2,TINH_TEC!$B$233:$B$9232,"Đã chốt"))</f>
        <v>0</v>
      </c>
      <c r="AL278" s="242">
        <f t="shared" si="14"/>
        <v>0</v>
      </c>
    </row>
    <row r="279" ht="15.75" customHeight="1">
      <c r="A279" s="237">
        <f>IF($B279&lt;&gt;"",30,"")</f>
        <v>30</v>
      </c>
      <c r="B279" s="250" t="str">
        <f t="array" ref="B279">IFERROR(INDEX(DANH_MUC!$E:$E,33),"")</f>
        <v>28C06369</v>
      </c>
      <c r="C279" s="251">
        <f>IF(C$4&gt;DAY(EOMONTH(DATE($D$2,$B$2,1),0)),"",IFERROR(SUMIFS(DATA_GOC!$H:$H,DATA_GOC!$A:$A,"BOM",DATA_GOC!$D:$D,$B279,DATA_GOC!$E:$E,"Dầu động cơ",DATA_GOC!$F:$F,"Xuất nội bộ từ téc",DATA_GOC!$B:$B,DATE($D$2,$B$2,C$4)),0))</f>
        <v>0</v>
      </c>
      <c r="D279" s="251">
        <f>IF(D$4&gt;DAY(EOMONTH(DATE($D$2,$B$2,1),0)),"",IFERROR(SUMIFS(DATA_GOC!$H:$H,DATA_GOC!$A:$A,"BOM",DATA_GOC!$D:$D,$B279,DATA_GOC!$E:$E,"Dầu động cơ",DATA_GOC!$F:$F,"Xuất nội bộ từ téc",DATA_GOC!$B:$B,DATE($D$2,$B$2,D$4)),0))</f>
        <v>0</v>
      </c>
      <c r="E279" s="251">
        <f>IF(E$4&gt;DAY(EOMONTH(DATE($D$2,$B$2,1),0)),"",IFERROR(SUMIFS(DATA_GOC!$H:$H,DATA_GOC!$A:$A,"BOM",DATA_GOC!$D:$D,$B279,DATA_GOC!$E:$E,"Dầu động cơ",DATA_GOC!$F:$F,"Xuất nội bộ từ téc",DATA_GOC!$B:$B,DATE($D$2,$B$2,E$4)),0))</f>
        <v>0</v>
      </c>
      <c r="F279" s="251">
        <f>IF(F$4&gt;DAY(EOMONTH(DATE($D$2,$B$2,1),0)),"",IFERROR(SUMIFS(DATA_GOC!$H:$H,DATA_GOC!$A:$A,"BOM",DATA_GOC!$D:$D,$B279,DATA_GOC!$E:$E,"Dầu động cơ",DATA_GOC!$F:$F,"Xuất nội bộ từ téc",DATA_GOC!$B:$B,DATE($D$2,$B$2,F$4)),0))</f>
        <v>0</v>
      </c>
      <c r="G279" s="251">
        <f>IF(G$4&gt;DAY(EOMONTH(DATE($D$2,$B$2,1),0)),"",IFERROR(SUMIFS(DATA_GOC!$H:$H,DATA_GOC!$A:$A,"BOM",DATA_GOC!$D:$D,$B279,DATA_GOC!$E:$E,"Dầu động cơ",DATA_GOC!$F:$F,"Xuất nội bộ từ téc",DATA_GOC!$B:$B,DATE($D$2,$B$2,G$4)),0))</f>
        <v>0</v>
      </c>
      <c r="H279" s="251">
        <f>IF(H$4&gt;DAY(EOMONTH(DATE($D$2,$B$2,1),0)),"",IFERROR(SUMIFS(DATA_GOC!$H:$H,DATA_GOC!$A:$A,"BOM",DATA_GOC!$D:$D,$B279,DATA_GOC!$E:$E,"Dầu động cơ",DATA_GOC!$F:$F,"Xuất nội bộ từ téc",DATA_GOC!$B:$B,DATE($D$2,$B$2,H$4)),0))</f>
        <v>0</v>
      </c>
      <c r="I279" s="251">
        <f>IF(I$4&gt;DAY(EOMONTH(DATE($D$2,$B$2,1),0)),"",IFERROR(SUMIFS(DATA_GOC!$H:$H,DATA_GOC!$A:$A,"BOM",DATA_GOC!$D:$D,$B279,DATA_GOC!$E:$E,"Dầu động cơ",DATA_GOC!$F:$F,"Xuất nội bộ từ téc",DATA_GOC!$B:$B,DATE($D$2,$B$2,I$4)),0))</f>
        <v>0</v>
      </c>
      <c r="J279" s="251">
        <f>IF(J$4&gt;DAY(EOMONTH(DATE($D$2,$B$2,1),0)),"",IFERROR(SUMIFS(DATA_GOC!$H:$H,DATA_GOC!$A:$A,"BOM",DATA_GOC!$D:$D,$B279,DATA_GOC!$E:$E,"Dầu động cơ",DATA_GOC!$F:$F,"Xuất nội bộ từ téc",DATA_GOC!$B:$B,DATE($D$2,$B$2,J$4)),0))</f>
        <v>0</v>
      </c>
      <c r="K279" s="251">
        <f>IF(K$4&gt;DAY(EOMONTH(DATE($D$2,$B$2,1),0)),"",IFERROR(SUMIFS(DATA_GOC!$H:$H,DATA_GOC!$A:$A,"BOM",DATA_GOC!$D:$D,$B279,DATA_GOC!$E:$E,"Dầu động cơ",DATA_GOC!$F:$F,"Xuất nội bộ từ téc",DATA_GOC!$B:$B,DATE($D$2,$B$2,K$4)),0))</f>
        <v>0</v>
      </c>
      <c r="L279" s="251">
        <f>IF(L$4&gt;DAY(EOMONTH(DATE($D$2,$B$2,1),0)),"",IFERROR(SUMIFS(DATA_GOC!$H:$H,DATA_GOC!$A:$A,"BOM",DATA_GOC!$D:$D,$B279,DATA_GOC!$E:$E,"Dầu động cơ",DATA_GOC!$F:$F,"Xuất nội bộ từ téc",DATA_GOC!$B:$B,DATE($D$2,$B$2,L$4)),0))</f>
        <v>0</v>
      </c>
      <c r="M279" s="251">
        <f>IF(M$4&gt;DAY(EOMONTH(DATE($D$2,$B$2,1),0)),"",IFERROR(SUMIFS(DATA_GOC!$H:$H,DATA_GOC!$A:$A,"BOM",DATA_GOC!$D:$D,$B279,DATA_GOC!$E:$E,"Dầu động cơ",DATA_GOC!$F:$F,"Xuất nội bộ từ téc",DATA_GOC!$B:$B,DATE($D$2,$B$2,M$4)),0))</f>
        <v>0</v>
      </c>
      <c r="N279" s="251">
        <f>IF(N$4&gt;DAY(EOMONTH(DATE($D$2,$B$2,1),0)),"",IFERROR(SUMIFS(DATA_GOC!$H:$H,DATA_GOC!$A:$A,"BOM",DATA_GOC!$D:$D,$B279,DATA_GOC!$E:$E,"Dầu động cơ",DATA_GOC!$F:$F,"Xuất nội bộ từ téc",DATA_GOC!$B:$B,DATE($D$2,$B$2,N$4)),0))</f>
        <v>0</v>
      </c>
      <c r="O279" s="251">
        <f>IF(O$4&gt;DAY(EOMONTH(DATE($D$2,$B$2,1),0)),"",IFERROR(SUMIFS(DATA_GOC!$H:$H,DATA_GOC!$A:$A,"BOM",DATA_GOC!$D:$D,$B279,DATA_GOC!$E:$E,"Dầu động cơ",DATA_GOC!$F:$F,"Xuất nội bộ từ téc",DATA_GOC!$B:$B,DATE($D$2,$B$2,O$4)),0))</f>
        <v>0</v>
      </c>
      <c r="P279" s="251">
        <f>IF(P$4&gt;DAY(EOMONTH(DATE($D$2,$B$2,1),0)),"",IFERROR(SUMIFS(DATA_GOC!$H:$H,DATA_GOC!$A:$A,"BOM",DATA_GOC!$D:$D,$B279,DATA_GOC!$E:$E,"Dầu động cơ",DATA_GOC!$F:$F,"Xuất nội bộ từ téc",DATA_GOC!$B:$B,DATE($D$2,$B$2,P$4)),0))</f>
        <v>0</v>
      </c>
      <c r="Q279" s="251">
        <f>IF(Q$4&gt;DAY(EOMONTH(DATE($D$2,$B$2,1),0)),"",IFERROR(SUMIFS(DATA_GOC!$H:$H,DATA_GOC!$A:$A,"BOM",DATA_GOC!$D:$D,$B279,DATA_GOC!$E:$E,"Dầu động cơ",DATA_GOC!$F:$F,"Xuất nội bộ từ téc",DATA_GOC!$B:$B,DATE($D$2,$B$2,Q$4)),0))</f>
        <v>0</v>
      </c>
      <c r="R279" s="251">
        <f>IF(R$4&gt;DAY(EOMONTH(DATE($D$2,$B$2,1),0)),"",IFERROR(SUMIFS(DATA_GOC!$H:$H,DATA_GOC!$A:$A,"BOM",DATA_GOC!$D:$D,$B279,DATA_GOC!$E:$E,"Dầu động cơ",DATA_GOC!$F:$F,"Xuất nội bộ từ téc",DATA_GOC!$B:$B,DATE($D$2,$B$2,R$4)),0))</f>
        <v>0</v>
      </c>
      <c r="S279" s="251">
        <f>IF(S$4&gt;DAY(EOMONTH(DATE($D$2,$B$2,1),0)),"",IFERROR(SUMIFS(DATA_GOC!$H:$H,DATA_GOC!$A:$A,"BOM",DATA_GOC!$D:$D,$B279,DATA_GOC!$E:$E,"Dầu động cơ",DATA_GOC!$F:$F,"Xuất nội bộ từ téc",DATA_GOC!$B:$B,DATE($D$2,$B$2,S$4)),0))</f>
        <v>0</v>
      </c>
      <c r="T279" s="251">
        <f>IF(T$4&gt;DAY(EOMONTH(DATE($D$2,$B$2,1),0)),"",IFERROR(SUMIFS(DATA_GOC!$H:$H,DATA_GOC!$A:$A,"BOM",DATA_GOC!$D:$D,$B279,DATA_GOC!$E:$E,"Dầu động cơ",DATA_GOC!$F:$F,"Xuất nội bộ từ téc",DATA_GOC!$B:$B,DATE($D$2,$B$2,T$4)),0))</f>
        <v>0</v>
      </c>
      <c r="U279" s="251">
        <f>IF(U$4&gt;DAY(EOMONTH(DATE($D$2,$B$2,1),0)),"",IFERROR(SUMIFS(DATA_GOC!$H:$H,DATA_GOC!$A:$A,"BOM",DATA_GOC!$D:$D,$B279,DATA_GOC!$E:$E,"Dầu động cơ",DATA_GOC!$F:$F,"Xuất nội bộ từ téc",DATA_GOC!$B:$B,DATE($D$2,$B$2,U$4)),0))</f>
        <v>0</v>
      </c>
      <c r="V279" s="251">
        <f>IF(V$4&gt;DAY(EOMONTH(DATE($D$2,$B$2,1),0)),"",IFERROR(SUMIFS(DATA_GOC!$H:$H,DATA_GOC!$A:$A,"BOM",DATA_GOC!$D:$D,$B279,DATA_GOC!$E:$E,"Dầu động cơ",DATA_GOC!$F:$F,"Xuất nội bộ từ téc",DATA_GOC!$B:$B,DATE($D$2,$B$2,V$4)),0))</f>
        <v>0</v>
      </c>
      <c r="W279" s="251">
        <f>IF(W$4&gt;DAY(EOMONTH(DATE($D$2,$B$2,1),0)),"",IFERROR(SUMIFS(DATA_GOC!$H:$H,DATA_GOC!$A:$A,"BOM",DATA_GOC!$D:$D,$B279,DATA_GOC!$E:$E,"Dầu động cơ",DATA_GOC!$F:$F,"Xuất nội bộ từ téc",DATA_GOC!$B:$B,DATE($D$2,$B$2,W$4)),0))</f>
        <v>0</v>
      </c>
      <c r="X279" s="251">
        <f>IF(X$4&gt;DAY(EOMONTH(DATE($D$2,$B$2,1),0)),"",IFERROR(SUMIFS(DATA_GOC!$H:$H,DATA_GOC!$A:$A,"BOM",DATA_GOC!$D:$D,$B279,DATA_GOC!$E:$E,"Dầu động cơ",DATA_GOC!$F:$F,"Xuất nội bộ từ téc",DATA_GOC!$B:$B,DATE($D$2,$B$2,X$4)),0))</f>
        <v>0</v>
      </c>
      <c r="Y279" s="251">
        <f>IF(Y$4&gt;DAY(EOMONTH(DATE($D$2,$B$2,1),0)),"",IFERROR(SUMIFS(DATA_GOC!$H:$H,DATA_GOC!$A:$A,"BOM",DATA_GOC!$D:$D,$B279,DATA_GOC!$E:$E,"Dầu động cơ",DATA_GOC!$F:$F,"Xuất nội bộ từ téc",DATA_GOC!$B:$B,DATE($D$2,$B$2,Y$4)),0))</f>
        <v>0</v>
      </c>
      <c r="Z279" s="251">
        <f>IF(Z$4&gt;DAY(EOMONTH(DATE($D$2,$B$2,1),0)),"",IFERROR(SUMIFS(DATA_GOC!$H:$H,DATA_GOC!$A:$A,"BOM",DATA_GOC!$D:$D,$B279,DATA_GOC!$E:$E,"Dầu động cơ",DATA_GOC!$F:$F,"Xuất nội bộ từ téc",DATA_GOC!$B:$B,DATE($D$2,$B$2,Z$4)),0))</f>
        <v>0</v>
      </c>
      <c r="AA279" s="251">
        <f>IF(AA$4&gt;DAY(EOMONTH(DATE($D$2,$B$2,1),0)),"",IFERROR(SUMIFS(DATA_GOC!$H:$H,DATA_GOC!$A:$A,"BOM",DATA_GOC!$D:$D,$B279,DATA_GOC!$E:$E,"Dầu động cơ",DATA_GOC!$F:$F,"Xuất nội bộ từ téc",DATA_GOC!$B:$B,DATE($D$2,$B$2,AA$4)),0))</f>
        <v>0</v>
      </c>
      <c r="AB279" s="251">
        <f>IF(AB$4&gt;DAY(EOMONTH(DATE($D$2,$B$2,1),0)),"",IFERROR(SUMIFS(DATA_GOC!$H:$H,DATA_GOC!$A:$A,"BOM",DATA_GOC!$D:$D,$B279,DATA_GOC!$E:$E,"Dầu động cơ",DATA_GOC!$F:$F,"Xuất nội bộ từ téc",DATA_GOC!$B:$B,DATE($D$2,$B$2,AB$4)),0))</f>
        <v>0</v>
      </c>
      <c r="AC279" s="251">
        <f>IF(AC$4&gt;DAY(EOMONTH(DATE($D$2,$B$2,1),0)),"",IFERROR(SUMIFS(DATA_GOC!$H:$H,DATA_GOC!$A:$A,"BOM",DATA_GOC!$D:$D,$B279,DATA_GOC!$E:$E,"Dầu động cơ",DATA_GOC!$F:$F,"Xuất nội bộ từ téc",DATA_GOC!$B:$B,DATE($D$2,$B$2,AC$4)),0))</f>
        <v>0</v>
      </c>
      <c r="AD279" s="251">
        <f>IF(AD$4&gt;DAY(EOMONTH(DATE($D$2,$B$2,1),0)),"",IFERROR(SUMIFS(DATA_GOC!$H:$H,DATA_GOC!$A:$A,"BOM",DATA_GOC!$D:$D,$B279,DATA_GOC!$E:$E,"Dầu động cơ",DATA_GOC!$F:$F,"Xuất nội bộ từ téc",DATA_GOC!$B:$B,DATE($D$2,$B$2,AD$4)),0))</f>
        <v>0</v>
      </c>
      <c r="AE279" s="251">
        <f>IF(AE$4&gt;DAY(EOMONTH(DATE($D$2,$B$2,1),0)),"",IFERROR(SUMIFS(DATA_GOC!$H:$H,DATA_GOC!$A:$A,"BOM",DATA_GOC!$D:$D,$B279,DATA_GOC!$E:$E,"Dầu động cơ",DATA_GOC!$F:$F,"Xuất nội bộ từ téc",DATA_GOC!$B:$B,DATE($D$2,$B$2,AE$4)),0))</f>
        <v>0</v>
      </c>
      <c r="AF279" s="251">
        <f>IF(AF$4&gt;DAY(EOMONTH(DATE($D$2,$B$2,1),0)),"",IFERROR(SUMIFS(DATA_GOC!$H:$H,DATA_GOC!$A:$A,"BOM",DATA_GOC!$D:$D,$B279,DATA_GOC!$E:$E,"Dầu động cơ",DATA_GOC!$F:$F,"Xuất nội bộ từ téc",DATA_GOC!$B:$B,DATE($D$2,$B$2,AF$4)),0))</f>
        <v>0</v>
      </c>
      <c r="AG279" s="251">
        <f>IF(AG$4&gt;DAY(EOMONTH(DATE($D$2,$B$2,1),0)),"",IFERROR(SUMIFS(DATA_GOC!$H:$H,DATA_GOC!$A:$A,"BOM",DATA_GOC!$D:$D,$B279,DATA_GOC!$E:$E,"Dầu động cơ",DATA_GOC!$F:$F,"Xuất nội bộ từ téc",DATA_GOC!$B:$B,DATE($D$2,$B$2,AG$4)),0))</f>
        <v>0</v>
      </c>
      <c r="AH279" s="252">
        <f t="shared" si="13"/>
        <v>0</v>
      </c>
      <c r="AI279" s="241"/>
      <c r="AJ279" s="242">
        <f>IF($B279="","",SUMIFS(TINH_TEC!$K$233:$K$9232,TINH_TEC!$H$233:$H$9232,$B279,TINH_TEC!$C$233:$C$9232,"Dầu động cơ",TINH_TEC!$F$233:$F$9232,$B$2,TINH_TEC!$G$233:$G$9232,$D$2,TINH_TEC!$B$233:$B$9232,"Đã chốt"))</f>
        <v>0</v>
      </c>
      <c r="AK279" s="242">
        <f>IF($B279="","",SUMIFS(TINH_TEC!$J$233:$J$9232,TINH_TEC!$H$233:$H$9232,$B279,TINH_TEC!$C$233:$C$9232,"Dầu động cơ",TINH_TEC!$F$233:$F$9232,$B$2,TINH_TEC!$G$233:$G$9232,$D$2,TINH_TEC!$B$233:$B$9232,"Đã chốt"))</f>
        <v>0</v>
      </c>
      <c r="AL279" s="242">
        <f t="shared" si="14"/>
        <v>0</v>
      </c>
    </row>
    <row r="280" ht="15.75" customHeight="1">
      <c r="A280" s="237">
        <f>IF($B280&lt;&gt;"",31,"")</f>
        <v>31</v>
      </c>
      <c r="B280" s="250" t="str">
        <f t="array" ref="B280">IFERROR(INDEX(DANH_MUC!$E:$E,34),"")</f>
        <v>28C06447</v>
      </c>
      <c r="C280" s="251">
        <f>IF(C$4&gt;DAY(EOMONTH(DATE($D$2,$B$2,1),0)),"",IFERROR(SUMIFS(DATA_GOC!$H:$H,DATA_GOC!$A:$A,"BOM",DATA_GOC!$D:$D,$B280,DATA_GOC!$E:$E,"Dầu động cơ",DATA_GOC!$F:$F,"Xuất nội bộ từ téc",DATA_GOC!$B:$B,DATE($D$2,$B$2,C$4)),0))</f>
        <v>0</v>
      </c>
      <c r="D280" s="251">
        <f>IF(D$4&gt;DAY(EOMONTH(DATE($D$2,$B$2,1),0)),"",IFERROR(SUMIFS(DATA_GOC!$H:$H,DATA_GOC!$A:$A,"BOM",DATA_GOC!$D:$D,$B280,DATA_GOC!$E:$E,"Dầu động cơ",DATA_GOC!$F:$F,"Xuất nội bộ từ téc",DATA_GOC!$B:$B,DATE($D$2,$B$2,D$4)),0))</f>
        <v>0</v>
      </c>
      <c r="E280" s="251">
        <f>IF(E$4&gt;DAY(EOMONTH(DATE($D$2,$B$2,1),0)),"",IFERROR(SUMIFS(DATA_GOC!$H:$H,DATA_GOC!$A:$A,"BOM",DATA_GOC!$D:$D,$B280,DATA_GOC!$E:$E,"Dầu động cơ",DATA_GOC!$F:$F,"Xuất nội bộ từ téc",DATA_GOC!$B:$B,DATE($D$2,$B$2,E$4)),0))</f>
        <v>0</v>
      </c>
      <c r="F280" s="251">
        <f>IF(F$4&gt;DAY(EOMONTH(DATE($D$2,$B$2,1),0)),"",IFERROR(SUMIFS(DATA_GOC!$H:$H,DATA_GOC!$A:$A,"BOM",DATA_GOC!$D:$D,$B280,DATA_GOC!$E:$E,"Dầu động cơ",DATA_GOC!$F:$F,"Xuất nội bộ từ téc",DATA_GOC!$B:$B,DATE($D$2,$B$2,F$4)),0))</f>
        <v>0</v>
      </c>
      <c r="G280" s="251">
        <f>IF(G$4&gt;DAY(EOMONTH(DATE($D$2,$B$2,1),0)),"",IFERROR(SUMIFS(DATA_GOC!$H:$H,DATA_GOC!$A:$A,"BOM",DATA_GOC!$D:$D,$B280,DATA_GOC!$E:$E,"Dầu động cơ",DATA_GOC!$F:$F,"Xuất nội bộ từ téc",DATA_GOC!$B:$B,DATE($D$2,$B$2,G$4)),0))</f>
        <v>0</v>
      </c>
      <c r="H280" s="251">
        <f>IF(H$4&gt;DAY(EOMONTH(DATE($D$2,$B$2,1),0)),"",IFERROR(SUMIFS(DATA_GOC!$H:$H,DATA_GOC!$A:$A,"BOM",DATA_GOC!$D:$D,$B280,DATA_GOC!$E:$E,"Dầu động cơ",DATA_GOC!$F:$F,"Xuất nội bộ từ téc",DATA_GOC!$B:$B,DATE($D$2,$B$2,H$4)),0))</f>
        <v>0</v>
      </c>
      <c r="I280" s="251">
        <f>IF(I$4&gt;DAY(EOMONTH(DATE($D$2,$B$2,1),0)),"",IFERROR(SUMIFS(DATA_GOC!$H:$H,DATA_GOC!$A:$A,"BOM",DATA_GOC!$D:$D,$B280,DATA_GOC!$E:$E,"Dầu động cơ",DATA_GOC!$F:$F,"Xuất nội bộ từ téc",DATA_GOC!$B:$B,DATE($D$2,$B$2,I$4)),0))</f>
        <v>0</v>
      </c>
      <c r="J280" s="251">
        <f>IF(J$4&gt;DAY(EOMONTH(DATE($D$2,$B$2,1),0)),"",IFERROR(SUMIFS(DATA_GOC!$H:$H,DATA_GOC!$A:$A,"BOM",DATA_GOC!$D:$D,$B280,DATA_GOC!$E:$E,"Dầu động cơ",DATA_GOC!$F:$F,"Xuất nội bộ từ téc",DATA_GOC!$B:$B,DATE($D$2,$B$2,J$4)),0))</f>
        <v>0</v>
      </c>
      <c r="K280" s="251">
        <f>IF(K$4&gt;DAY(EOMONTH(DATE($D$2,$B$2,1),0)),"",IFERROR(SUMIFS(DATA_GOC!$H:$H,DATA_GOC!$A:$A,"BOM",DATA_GOC!$D:$D,$B280,DATA_GOC!$E:$E,"Dầu động cơ",DATA_GOC!$F:$F,"Xuất nội bộ từ téc",DATA_GOC!$B:$B,DATE($D$2,$B$2,K$4)),0))</f>
        <v>0</v>
      </c>
      <c r="L280" s="251">
        <f>IF(L$4&gt;DAY(EOMONTH(DATE($D$2,$B$2,1),0)),"",IFERROR(SUMIFS(DATA_GOC!$H:$H,DATA_GOC!$A:$A,"BOM",DATA_GOC!$D:$D,$B280,DATA_GOC!$E:$E,"Dầu động cơ",DATA_GOC!$F:$F,"Xuất nội bộ từ téc",DATA_GOC!$B:$B,DATE($D$2,$B$2,L$4)),0))</f>
        <v>0</v>
      </c>
      <c r="M280" s="251">
        <f>IF(M$4&gt;DAY(EOMONTH(DATE($D$2,$B$2,1),0)),"",IFERROR(SUMIFS(DATA_GOC!$H:$H,DATA_GOC!$A:$A,"BOM",DATA_GOC!$D:$D,$B280,DATA_GOC!$E:$E,"Dầu động cơ",DATA_GOC!$F:$F,"Xuất nội bộ từ téc",DATA_GOC!$B:$B,DATE($D$2,$B$2,M$4)),0))</f>
        <v>0</v>
      </c>
      <c r="N280" s="251">
        <f>IF(N$4&gt;DAY(EOMONTH(DATE($D$2,$B$2,1),0)),"",IFERROR(SUMIFS(DATA_GOC!$H:$H,DATA_GOC!$A:$A,"BOM",DATA_GOC!$D:$D,$B280,DATA_GOC!$E:$E,"Dầu động cơ",DATA_GOC!$F:$F,"Xuất nội bộ từ téc",DATA_GOC!$B:$B,DATE($D$2,$B$2,N$4)),0))</f>
        <v>0</v>
      </c>
      <c r="O280" s="251">
        <f>IF(O$4&gt;DAY(EOMONTH(DATE($D$2,$B$2,1),0)),"",IFERROR(SUMIFS(DATA_GOC!$H:$H,DATA_GOC!$A:$A,"BOM",DATA_GOC!$D:$D,$B280,DATA_GOC!$E:$E,"Dầu động cơ",DATA_GOC!$F:$F,"Xuất nội bộ từ téc",DATA_GOC!$B:$B,DATE($D$2,$B$2,O$4)),0))</f>
        <v>0</v>
      </c>
      <c r="P280" s="251">
        <f>IF(P$4&gt;DAY(EOMONTH(DATE($D$2,$B$2,1),0)),"",IFERROR(SUMIFS(DATA_GOC!$H:$H,DATA_GOC!$A:$A,"BOM",DATA_GOC!$D:$D,$B280,DATA_GOC!$E:$E,"Dầu động cơ",DATA_GOC!$F:$F,"Xuất nội bộ từ téc",DATA_GOC!$B:$B,DATE($D$2,$B$2,P$4)),0))</f>
        <v>0</v>
      </c>
      <c r="Q280" s="251">
        <f>IF(Q$4&gt;DAY(EOMONTH(DATE($D$2,$B$2,1),0)),"",IFERROR(SUMIFS(DATA_GOC!$H:$H,DATA_GOC!$A:$A,"BOM",DATA_GOC!$D:$D,$B280,DATA_GOC!$E:$E,"Dầu động cơ",DATA_GOC!$F:$F,"Xuất nội bộ từ téc",DATA_GOC!$B:$B,DATE($D$2,$B$2,Q$4)),0))</f>
        <v>0</v>
      </c>
      <c r="R280" s="251">
        <f>IF(R$4&gt;DAY(EOMONTH(DATE($D$2,$B$2,1),0)),"",IFERROR(SUMIFS(DATA_GOC!$H:$H,DATA_GOC!$A:$A,"BOM",DATA_GOC!$D:$D,$B280,DATA_GOC!$E:$E,"Dầu động cơ",DATA_GOC!$F:$F,"Xuất nội bộ từ téc",DATA_GOC!$B:$B,DATE($D$2,$B$2,R$4)),0))</f>
        <v>0</v>
      </c>
      <c r="S280" s="251">
        <f>IF(S$4&gt;DAY(EOMONTH(DATE($D$2,$B$2,1),0)),"",IFERROR(SUMIFS(DATA_GOC!$H:$H,DATA_GOC!$A:$A,"BOM",DATA_GOC!$D:$D,$B280,DATA_GOC!$E:$E,"Dầu động cơ",DATA_GOC!$F:$F,"Xuất nội bộ từ téc",DATA_GOC!$B:$B,DATE($D$2,$B$2,S$4)),0))</f>
        <v>0</v>
      </c>
      <c r="T280" s="251">
        <f>IF(T$4&gt;DAY(EOMONTH(DATE($D$2,$B$2,1),0)),"",IFERROR(SUMIFS(DATA_GOC!$H:$H,DATA_GOC!$A:$A,"BOM",DATA_GOC!$D:$D,$B280,DATA_GOC!$E:$E,"Dầu động cơ",DATA_GOC!$F:$F,"Xuất nội bộ từ téc",DATA_GOC!$B:$B,DATE($D$2,$B$2,T$4)),0))</f>
        <v>0</v>
      </c>
      <c r="U280" s="251">
        <f>IF(U$4&gt;DAY(EOMONTH(DATE($D$2,$B$2,1),0)),"",IFERROR(SUMIFS(DATA_GOC!$H:$H,DATA_GOC!$A:$A,"BOM",DATA_GOC!$D:$D,$B280,DATA_GOC!$E:$E,"Dầu động cơ",DATA_GOC!$F:$F,"Xuất nội bộ từ téc",DATA_GOC!$B:$B,DATE($D$2,$B$2,U$4)),0))</f>
        <v>0</v>
      </c>
      <c r="V280" s="251">
        <f>IF(V$4&gt;DAY(EOMONTH(DATE($D$2,$B$2,1),0)),"",IFERROR(SUMIFS(DATA_GOC!$H:$H,DATA_GOC!$A:$A,"BOM",DATA_GOC!$D:$D,$B280,DATA_GOC!$E:$E,"Dầu động cơ",DATA_GOC!$F:$F,"Xuất nội bộ từ téc",DATA_GOC!$B:$B,DATE($D$2,$B$2,V$4)),0))</f>
        <v>0</v>
      </c>
      <c r="W280" s="251">
        <f>IF(W$4&gt;DAY(EOMONTH(DATE($D$2,$B$2,1),0)),"",IFERROR(SUMIFS(DATA_GOC!$H:$H,DATA_GOC!$A:$A,"BOM",DATA_GOC!$D:$D,$B280,DATA_GOC!$E:$E,"Dầu động cơ",DATA_GOC!$F:$F,"Xuất nội bộ từ téc",DATA_GOC!$B:$B,DATE($D$2,$B$2,W$4)),0))</f>
        <v>0</v>
      </c>
      <c r="X280" s="251">
        <f>IF(X$4&gt;DAY(EOMONTH(DATE($D$2,$B$2,1),0)),"",IFERROR(SUMIFS(DATA_GOC!$H:$H,DATA_GOC!$A:$A,"BOM",DATA_GOC!$D:$D,$B280,DATA_GOC!$E:$E,"Dầu động cơ",DATA_GOC!$F:$F,"Xuất nội bộ từ téc",DATA_GOC!$B:$B,DATE($D$2,$B$2,X$4)),0))</f>
        <v>0</v>
      </c>
      <c r="Y280" s="251">
        <f>IF(Y$4&gt;DAY(EOMONTH(DATE($D$2,$B$2,1),0)),"",IFERROR(SUMIFS(DATA_GOC!$H:$H,DATA_GOC!$A:$A,"BOM",DATA_GOC!$D:$D,$B280,DATA_GOC!$E:$E,"Dầu động cơ",DATA_GOC!$F:$F,"Xuất nội bộ từ téc",DATA_GOC!$B:$B,DATE($D$2,$B$2,Y$4)),0))</f>
        <v>0</v>
      </c>
      <c r="Z280" s="251">
        <f>IF(Z$4&gt;DAY(EOMONTH(DATE($D$2,$B$2,1),0)),"",IFERROR(SUMIFS(DATA_GOC!$H:$H,DATA_GOC!$A:$A,"BOM",DATA_GOC!$D:$D,$B280,DATA_GOC!$E:$E,"Dầu động cơ",DATA_GOC!$F:$F,"Xuất nội bộ từ téc",DATA_GOC!$B:$B,DATE($D$2,$B$2,Z$4)),0))</f>
        <v>0</v>
      </c>
      <c r="AA280" s="251">
        <f>IF(AA$4&gt;DAY(EOMONTH(DATE($D$2,$B$2,1),0)),"",IFERROR(SUMIFS(DATA_GOC!$H:$H,DATA_GOC!$A:$A,"BOM",DATA_GOC!$D:$D,$B280,DATA_GOC!$E:$E,"Dầu động cơ",DATA_GOC!$F:$F,"Xuất nội bộ từ téc",DATA_GOC!$B:$B,DATE($D$2,$B$2,AA$4)),0))</f>
        <v>0</v>
      </c>
      <c r="AB280" s="251">
        <f>IF(AB$4&gt;DAY(EOMONTH(DATE($D$2,$B$2,1),0)),"",IFERROR(SUMIFS(DATA_GOC!$H:$H,DATA_GOC!$A:$A,"BOM",DATA_GOC!$D:$D,$B280,DATA_GOC!$E:$E,"Dầu động cơ",DATA_GOC!$F:$F,"Xuất nội bộ từ téc",DATA_GOC!$B:$B,DATE($D$2,$B$2,AB$4)),0))</f>
        <v>0</v>
      </c>
      <c r="AC280" s="251">
        <f>IF(AC$4&gt;DAY(EOMONTH(DATE($D$2,$B$2,1),0)),"",IFERROR(SUMIFS(DATA_GOC!$H:$H,DATA_GOC!$A:$A,"BOM",DATA_GOC!$D:$D,$B280,DATA_GOC!$E:$E,"Dầu động cơ",DATA_GOC!$F:$F,"Xuất nội bộ từ téc",DATA_GOC!$B:$B,DATE($D$2,$B$2,AC$4)),0))</f>
        <v>0</v>
      </c>
      <c r="AD280" s="251">
        <f>IF(AD$4&gt;DAY(EOMONTH(DATE($D$2,$B$2,1),0)),"",IFERROR(SUMIFS(DATA_GOC!$H:$H,DATA_GOC!$A:$A,"BOM",DATA_GOC!$D:$D,$B280,DATA_GOC!$E:$E,"Dầu động cơ",DATA_GOC!$F:$F,"Xuất nội bộ từ téc",DATA_GOC!$B:$B,DATE($D$2,$B$2,AD$4)),0))</f>
        <v>0</v>
      </c>
      <c r="AE280" s="251">
        <f>IF(AE$4&gt;DAY(EOMONTH(DATE($D$2,$B$2,1),0)),"",IFERROR(SUMIFS(DATA_GOC!$H:$H,DATA_GOC!$A:$A,"BOM",DATA_GOC!$D:$D,$B280,DATA_GOC!$E:$E,"Dầu động cơ",DATA_GOC!$F:$F,"Xuất nội bộ từ téc",DATA_GOC!$B:$B,DATE($D$2,$B$2,AE$4)),0))</f>
        <v>0</v>
      </c>
      <c r="AF280" s="251">
        <f>IF(AF$4&gt;DAY(EOMONTH(DATE($D$2,$B$2,1),0)),"",IFERROR(SUMIFS(DATA_GOC!$H:$H,DATA_GOC!$A:$A,"BOM",DATA_GOC!$D:$D,$B280,DATA_GOC!$E:$E,"Dầu động cơ",DATA_GOC!$F:$F,"Xuất nội bộ từ téc",DATA_GOC!$B:$B,DATE($D$2,$B$2,AF$4)),0))</f>
        <v>0</v>
      </c>
      <c r="AG280" s="251">
        <f>IF(AG$4&gt;DAY(EOMONTH(DATE($D$2,$B$2,1),0)),"",IFERROR(SUMIFS(DATA_GOC!$H:$H,DATA_GOC!$A:$A,"BOM",DATA_GOC!$D:$D,$B280,DATA_GOC!$E:$E,"Dầu động cơ",DATA_GOC!$F:$F,"Xuất nội bộ từ téc",DATA_GOC!$B:$B,DATE($D$2,$B$2,AG$4)),0))</f>
        <v>0</v>
      </c>
      <c r="AH280" s="252">
        <f t="shared" si="13"/>
        <v>0</v>
      </c>
      <c r="AI280" s="241"/>
      <c r="AJ280" s="242">
        <f>IF($B280="","",SUMIFS(TINH_TEC!$K$233:$K$9232,TINH_TEC!$H$233:$H$9232,$B280,TINH_TEC!$C$233:$C$9232,"Dầu động cơ",TINH_TEC!$F$233:$F$9232,$B$2,TINH_TEC!$G$233:$G$9232,$D$2,TINH_TEC!$B$233:$B$9232,"Đã chốt"))</f>
        <v>0</v>
      </c>
      <c r="AK280" s="242">
        <f>IF($B280="","",SUMIFS(TINH_TEC!$J$233:$J$9232,TINH_TEC!$H$233:$H$9232,$B280,TINH_TEC!$C$233:$C$9232,"Dầu động cơ",TINH_TEC!$F$233:$F$9232,$B$2,TINH_TEC!$G$233:$G$9232,$D$2,TINH_TEC!$B$233:$B$9232,"Đã chốt"))</f>
        <v>0</v>
      </c>
      <c r="AL280" s="242">
        <f t="shared" si="14"/>
        <v>0</v>
      </c>
    </row>
    <row r="281" ht="15.75" customHeight="1">
      <c r="A281" s="237">
        <f>IF($B281&lt;&gt;"",32,"")</f>
        <v>32</v>
      </c>
      <c r="B281" s="250" t="str">
        <f t="array" ref="B281">IFERROR(INDEX(DANH_MUC!$E:$E,35),"")</f>
        <v>28H00003</v>
      </c>
      <c r="C281" s="251">
        <f>IF(C$4&gt;DAY(EOMONTH(DATE($D$2,$B$2,1),0)),"",IFERROR(SUMIFS(DATA_GOC!$H:$H,DATA_GOC!$A:$A,"BOM",DATA_GOC!$D:$D,$B281,DATA_GOC!$E:$E,"Dầu động cơ",DATA_GOC!$F:$F,"Xuất nội bộ từ téc",DATA_GOC!$B:$B,DATE($D$2,$B$2,C$4)),0))</f>
        <v>0</v>
      </c>
      <c r="D281" s="251">
        <f>IF(D$4&gt;DAY(EOMONTH(DATE($D$2,$B$2,1),0)),"",IFERROR(SUMIFS(DATA_GOC!$H:$H,DATA_GOC!$A:$A,"BOM",DATA_GOC!$D:$D,$B281,DATA_GOC!$E:$E,"Dầu động cơ",DATA_GOC!$F:$F,"Xuất nội bộ từ téc",DATA_GOC!$B:$B,DATE($D$2,$B$2,D$4)),0))</f>
        <v>0</v>
      </c>
      <c r="E281" s="251">
        <f>IF(E$4&gt;DAY(EOMONTH(DATE($D$2,$B$2,1),0)),"",IFERROR(SUMIFS(DATA_GOC!$H:$H,DATA_GOC!$A:$A,"BOM",DATA_GOC!$D:$D,$B281,DATA_GOC!$E:$E,"Dầu động cơ",DATA_GOC!$F:$F,"Xuất nội bộ từ téc",DATA_GOC!$B:$B,DATE($D$2,$B$2,E$4)),0))</f>
        <v>0</v>
      </c>
      <c r="F281" s="251">
        <f>IF(F$4&gt;DAY(EOMONTH(DATE($D$2,$B$2,1),0)),"",IFERROR(SUMIFS(DATA_GOC!$H:$H,DATA_GOC!$A:$A,"BOM",DATA_GOC!$D:$D,$B281,DATA_GOC!$E:$E,"Dầu động cơ",DATA_GOC!$F:$F,"Xuất nội bộ từ téc",DATA_GOC!$B:$B,DATE($D$2,$B$2,F$4)),0))</f>
        <v>0</v>
      </c>
      <c r="G281" s="251">
        <f>IF(G$4&gt;DAY(EOMONTH(DATE($D$2,$B$2,1),0)),"",IFERROR(SUMIFS(DATA_GOC!$H:$H,DATA_GOC!$A:$A,"BOM",DATA_GOC!$D:$D,$B281,DATA_GOC!$E:$E,"Dầu động cơ",DATA_GOC!$F:$F,"Xuất nội bộ từ téc",DATA_GOC!$B:$B,DATE($D$2,$B$2,G$4)),0))</f>
        <v>0</v>
      </c>
      <c r="H281" s="251">
        <f>IF(H$4&gt;DAY(EOMONTH(DATE($D$2,$B$2,1),0)),"",IFERROR(SUMIFS(DATA_GOC!$H:$H,DATA_GOC!$A:$A,"BOM",DATA_GOC!$D:$D,$B281,DATA_GOC!$E:$E,"Dầu động cơ",DATA_GOC!$F:$F,"Xuất nội bộ từ téc",DATA_GOC!$B:$B,DATE($D$2,$B$2,H$4)),0))</f>
        <v>0</v>
      </c>
      <c r="I281" s="251">
        <f>IF(I$4&gt;DAY(EOMONTH(DATE($D$2,$B$2,1),0)),"",IFERROR(SUMIFS(DATA_GOC!$H:$H,DATA_GOC!$A:$A,"BOM",DATA_GOC!$D:$D,$B281,DATA_GOC!$E:$E,"Dầu động cơ",DATA_GOC!$F:$F,"Xuất nội bộ từ téc",DATA_GOC!$B:$B,DATE($D$2,$B$2,I$4)),0))</f>
        <v>0</v>
      </c>
      <c r="J281" s="251">
        <f>IF(J$4&gt;DAY(EOMONTH(DATE($D$2,$B$2,1),0)),"",IFERROR(SUMIFS(DATA_GOC!$H:$H,DATA_GOC!$A:$A,"BOM",DATA_GOC!$D:$D,$B281,DATA_GOC!$E:$E,"Dầu động cơ",DATA_GOC!$F:$F,"Xuất nội bộ từ téc",DATA_GOC!$B:$B,DATE($D$2,$B$2,J$4)),0))</f>
        <v>0</v>
      </c>
      <c r="K281" s="251">
        <f>IF(K$4&gt;DAY(EOMONTH(DATE($D$2,$B$2,1),0)),"",IFERROR(SUMIFS(DATA_GOC!$H:$H,DATA_GOC!$A:$A,"BOM",DATA_GOC!$D:$D,$B281,DATA_GOC!$E:$E,"Dầu động cơ",DATA_GOC!$F:$F,"Xuất nội bộ từ téc",DATA_GOC!$B:$B,DATE($D$2,$B$2,K$4)),0))</f>
        <v>0</v>
      </c>
      <c r="L281" s="251">
        <f>IF(L$4&gt;DAY(EOMONTH(DATE($D$2,$B$2,1),0)),"",IFERROR(SUMIFS(DATA_GOC!$H:$H,DATA_GOC!$A:$A,"BOM",DATA_GOC!$D:$D,$B281,DATA_GOC!$E:$E,"Dầu động cơ",DATA_GOC!$F:$F,"Xuất nội bộ từ téc",DATA_GOC!$B:$B,DATE($D$2,$B$2,L$4)),0))</f>
        <v>0</v>
      </c>
      <c r="M281" s="251">
        <f>IF(M$4&gt;DAY(EOMONTH(DATE($D$2,$B$2,1),0)),"",IFERROR(SUMIFS(DATA_GOC!$H:$H,DATA_GOC!$A:$A,"BOM",DATA_GOC!$D:$D,$B281,DATA_GOC!$E:$E,"Dầu động cơ",DATA_GOC!$F:$F,"Xuất nội bộ từ téc",DATA_GOC!$B:$B,DATE($D$2,$B$2,M$4)),0))</f>
        <v>0</v>
      </c>
      <c r="N281" s="251">
        <f>IF(N$4&gt;DAY(EOMONTH(DATE($D$2,$B$2,1),0)),"",IFERROR(SUMIFS(DATA_GOC!$H:$H,DATA_GOC!$A:$A,"BOM",DATA_GOC!$D:$D,$B281,DATA_GOC!$E:$E,"Dầu động cơ",DATA_GOC!$F:$F,"Xuất nội bộ từ téc",DATA_GOC!$B:$B,DATE($D$2,$B$2,N$4)),0))</f>
        <v>0</v>
      </c>
      <c r="O281" s="251">
        <f>IF(O$4&gt;DAY(EOMONTH(DATE($D$2,$B$2,1),0)),"",IFERROR(SUMIFS(DATA_GOC!$H:$H,DATA_GOC!$A:$A,"BOM",DATA_GOC!$D:$D,$B281,DATA_GOC!$E:$E,"Dầu động cơ",DATA_GOC!$F:$F,"Xuất nội bộ từ téc",DATA_GOC!$B:$B,DATE($D$2,$B$2,O$4)),0))</f>
        <v>0</v>
      </c>
      <c r="P281" s="251">
        <f>IF(P$4&gt;DAY(EOMONTH(DATE($D$2,$B$2,1),0)),"",IFERROR(SUMIFS(DATA_GOC!$H:$H,DATA_GOC!$A:$A,"BOM",DATA_GOC!$D:$D,$B281,DATA_GOC!$E:$E,"Dầu động cơ",DATA_GOC!$F:$F,"Xuất nội bộ từ téc",DATA_GOC!$B:$B,DATE($D$2,$B$2,P$4)),0))</f>
        <v>0</v>
      </c>
      <c r="Q281" s="251">
        <f>IF(Q$4&gt;DAY(EOMONTH(DATE($D$2,$B$2,1),0)),"",IFERROR(SUMIFS(DATA_GOC!$H:$H,DATA_GOC!$A:$A,"BOM",DATA_GOC!$D:$D,$B281,DATA_GOC!$E:$E,"Dầu động cơ",DATA_GOC!$F:$F,"Xuất nội bộ từ téc",DATA_GOC!$B:$B,DATE($D$2,$B$2,Q$4)),0))</f>
        <v>0</v>
      </c>
      <c r="R281" s="251">
        <f>IF(R$4&gt;DAY(EOMONTH(DATE($D$2,$B$2,1),0)),"",IFERROR(SUMIFS(DATA_GOC!$H:$H,DATA_GOC!$A:$A,"BOM",DATA_GOC!$D:$D,$B281,DATA_GOC!$E:$E,"Dầu động cơ",DATA_GOC!$F:$F,"Xuất nội bộ từ téc",DATA_GOC!$B:$B,DATE($D$2,$B$2,R$4)),0))</f>
        <v>0</v>
      </c>
      <c r="S281" s="251">
        <f>IF(S$4&gt;DAY(EOMONTH(DATE($D$2,$B$2,1),0)),"",IFERROR(SUMIFS(DATA_GOC!$H:$H,DATA_GOC!$A:$A,"BOM",DATA_GOC!$D:$D,$B281,DATA_GOC!$E:$E,"Dầu động cơ",DATA_GOC!$F:$F,"Xuất nội bộ từ téc",DATA_GOC!$B:$B,DATE($D$2,$B$2,S$4)),0))</f>
        <v>0</v>
      </c>
      <c r="T281" s="251">
        <f>IF(T$4&gt;DAY(EOMONTH(DATE($D$2,$B$2,1),0)),"",IFERROR(SUMIFS(DATA_GOC!$H:$H,DATA_GOC!$A:$A,"BOM",DATA_GOC!$D:$D,$B281,DATA_GOC!$E:$E,"Dầu động cơ",DATA_GOC!$F:$F,"Xuất nội bộ từ téc",DATA_GOC!$B:$B,DATE($D$2,$B$2,T$4)),0))</f>
        <v>0</v>
      </c>
      <c r="U281" s="251">
        <f>IF(U$4&gt;DAY(EOMONTH(DATE($D$2,$B$2,1),0)),"",IFERROR(SUMIFS(DATA_GOC!$H:$H,DATA_GOC!$A:$A,"BOM",DATA_GOC!$D:$D,$B281,DATA_GOC!$E:$E,"Dầu động cơ",DATA_GOC!$F:$F,"Xuất nội bộ từ téc",DATA_GOC!$B:$B,DATE($D$2,$B$2,U$4)),0))</f>
        <v>0</v>
      </c>
      <c r="V281" s="251">
        <f>IF(V$4&gt;DAY(EOMONTH(DATE($D$2,$B$2,1),0)),"",IFERROR(SUMIFS(DATA_GOC!$H:$H,DATA_GOC!$A:$A,"BOM",DATA_GOC!$D:$D,$B281,DATA_GOC!$E:$E,"Dầu động cơ",DATA_GOC!$F:$F,"Xuất nội bộ từ téc",DATA_GOC!$B:$B,DATE($D$2,$B$2,V$4)),0))</f>
        <v>0</v>
      </c>
      <c r="W281" s="251">
        <f>IF(W$4&gt;DAY(EOMONTH(DATE($D$2,$B$2,1),0)),"",IFERROR(SUMIFS(DATA_GOC!$H:$H,DATA_GOC!$A:$A,"BOM",DATA_GOC!$D:$D,$B281,DATA_GOC!$E:$E,"Dầu động cơ",DATA_GOC!$F:$F,"Xuất nội bộ từ téc",DATA_GOC!$B:$B,DATE($D$2,$B$2,W$4)),0))</f>
        <v>0</v>
      </c>
      <c r="X281" s="251">
        <f>IF(X$4&gt;DAY(EOMONTH(DATE($D$2,$B$2,1),0)),"",IFERROR(SUMIFS(DATA_GOC!$H:$H,DATA_GOC!$A:$A,"BOM",DATA_GOC!$D:$D,$B281,DATA_GOC!$E:$E,"Dầu động cơ",DATA_GOC!$F:$F,"Xuất nội bộ từ téc",DATA_GOC!$B:$B,DATE($D$2,$B$2,X$4)),0))</f>
        <v>0</v>
      </c>
      <c r="Y281" s="251">
        <f>IF(Y$4&gt;DAY(EOMONTH(DATE($D$2,$B$2,1),0)),"",IFERROR(SUMIFS(DATA_GOC!$H:$H,DATA_GOC!$A:$A,"BOM",DATA_GOC!$D:$D,$B281,DATA_GOC!$E:$E,"Dầu động cơ",DATA_GOC!$F:$F,"Xuất nội bộ từ téc",DATA_GOC!$B:$B,DATE($D$2,$B$2,Y$4)),0))</f>
        <v>0</v>
      </c>
      <c r="Z281" s="251">
        <f>IF(Z$4&gt;DAY(EOMONTH(DATE($D$2,$B$2,1),0)),"",IFERROR(SUMIFS(DATA_GOC!$H:$H,DATA_GOC!$A:$A,"BOM",DATA_GOC!$D:$D,$B281,DATA_GOC!$E:$E,"Dầu động cơ",DATA_GOC!$F:$F,"Xuất nội bộ từ téc",DATA_GOC!$B:$B,DATE($D$2,$B$2,Z$4)),0))</f>
        <v>0</v>
      </c>
      <c r="AA281" s="251">
        <f>IF(AA$4&gt;DAY(EOMONTH(DATE($D$2,$B$2,1),0)),"",IFERROR(SUMIFS(DATA_GOC!$H:$H,DATA_GOC!$A:$A,"BOM",DATA_GOC!$D:$D,$B281,DATA_GOC!$E:$E,"Dầu động cơ",DATA_GOC!$F:$F,"Xuất nội bộ từ téc",DATA_GOC!$B:$B,DATE($D$2,$B$2,AA$4)),0))</f>
        <v>0</v>
      </c>
      <c r="AB281" s="251">
        <f>IF(AB$4&gt;DAY(EOMONTH(DATE($D$2,$B$2,1),0)),"",IFERROR(SUMIFS(DATA_GOC!$H:$H,DATA_GOC!$A:$A,"BOM",DATA_GOC!$D:$D,$B281,DATA_GOC!$E:$E,"Dầu động cơ",DATA_GOC!$F:$F,"Xuất nội bộ từ téc",DATA_GOC!$B:$B,DATE($D$2,$B$2,AB$4)),0))</f>
        <v>0</v>
      </c>
      <c r="AC281" s="251">
        <f>IF(AC$4&gt;DAY(EOMONTH(DATE($D$2,$B$2,1),0)),"",IFERROR(SUMIFS(DATA_GOC!$H:$H,DATA_GOC!$A:$A,"BOM",DATA_GOC!$D:$D,$B281,DATA_GOC!$E:$E,"Dầu động cơ",DATA_GOC!$F:$F,"Xuất nội bộ từ téc",DATA_GOC!$B:$B,DATE($D$2,$B$2,AC$4)),0))</f>
        <v>0</v>
      </c>
      <c r="AD281" s="251">
        <f>IF(AD$4&gt;DAY(EOMONTH(DATE($D$2,$B$2,1),0)),"",IFERROR(SUMIFS(DATA_GOC!$H:$H,DATA_GOC!$A:$A,"BOM",DATA_GOC!$D:$D,$B281,DATA_GOC!$E:$E,"Dầu động cơ",DATA_GOC!$F:$F,"Xuất nội bộ từ téc",DATA_GOC!$B:$B,DATE($D$2,$B$2,AD$4)),0))</f>
        <v>0</v>
      </c>
      <c r="AE281" s="251">
        <f>IF(AE$4&gt;DAY(EOMONTH(DATE($D$2,$B$2,1),0)),"",IFERROR(SUMIFS(DATA_GOC!$H:$H,DATA_GOC!$A:$A,"BOM",DATA_GOC!$D:$D,$B281,DATA_GOC!$E:$E,"Dầu động cơ",DATA_GOC!$F:$F,"Xuất nội bộ từ téc",DATA_GOC!$B:$B,DATE($D$2,$B$2,AE$4)),0))</f>
        <v>0</v>
      </c>
      <c r="AF281" s="251">
        <f>IF(AF$4&gt;DAY(EOMONTH(DATE($D$2,$B$2,1),0)),"",IFERROR(SUMIFS(DATA_GOC!$H:$H,DATA_GOC!$A:$A,"BOM",DATA_GOC!$D:$D,$B281,DATA_GOC!$E:$E,"Dầu động cơ",DATA_GOC!$F:$F,"Xuất nội bộ từ téc",DATA_GOC!$B:$B,DATE($D$2,$B$2,AF$4)),0))</f>
        <v>0</v>
      </c>
      <c r="AG281" s="251">
        <f>IF(AG$4&gt;DAY(EOMONTH(DATE($D$2,$B$2,1),0)),"",IFERROR(SUMIFS(DATA_GOC!$H:$H,DATA_GOC!$A:$A,"BOM",DATA_GOC!$D:$D,$B281,DATA_GOC!$E:$E,"Dầu động cơ",DATA_GOC!$F:$F,"Xuất nội bộ từ téc",DATA_GOC!$B:$B,DATE($D$2,$B$2,AG$4)),0))</f>
        <v>0</v>
      </c>
      <c r="AH281" s="252">
        <f t="shared" si="13"/>
        <v>0</v>
      </c>
      <c r="AI281" s="241"/>
      <c r="AJ281" s="242">
        <f>IF($B281="","",SUMIFS(TINH_TEC!$K$233:$K$9232,TINH_TEC!$H$233:$H$9232,$B281,TINH_TEC!$C$233:$C$9232,"Dầu động cơ",TINH_TEC!$F$233:$F$9232,$B$2,TINH_TEC!$G$233:$G$9232,$D$2,TINH_TEC!$B$233:$B$9232,"Đã chốt"))</f>
        <v>0</v>
      </c>
      <c r="AK281" s="242">
        <f>IF($B281="","",SUMIFS(TINH_TEC!$J$233:$J$9232,TINH_TEC!$H$233:$H$9232,$B281,TINH_TEC!$C$233:$C$9232,"Dầu động cơ",TINH_TEC!$F$233:$F$9232,$B$2,TINH_TEC!$G$233:$G$9232,$D$2,TINH_TEC!$B$233:$B$9232,"Đã chốt"))</f>
        <v>0</v>
      </c>
      <c r="AL281" s="242">
        <f t="shared" si="14"/>
        <v>0</v>
      </c>
    </row>
    <row r="282" ht="15.75" customHeight="1">
      <c r="A282" s="237">
        <f>IF($B282&lt;&gt;"",33,"")</f>
        <v>33</v>
      </c>
      <c r="B282" s="250" t="str">
        <f t="array" ref="B282">IFERROR(INDEX(DANH_MUC!$E:$E,36),"")</f>
        <v>28H00061</v>
      </c>
      <c r="C282" s="251">
        <f>IF(C$4&gt;DAY(EOMONTH(DATE($D$2,$B$2,1),0)),"",IFERROR(SUMIFS(DATA_GOC!$H:$H,DATA_GOC!$A:$A,"BOM",DATA_GOC!$D:$D,$B282,DATA_GOC!$E:$E,"Dầu động cơ",DATA_GOC!$F:$F,"Xuất nội bộ từ téc",DATA_GOC!$B:$B,DATE($D$2,$B$2,C$4)),0))</f>
        <v>0</v>
      </c>
      <c r="D282" s="251">
        <f>IF(D$4&gt;DAY(EOMONTH(DATE($D$2,$B$2,1),0)),"",IFERROR(SUMIFS(DATA_GOC!$H:$H,DATA_GOC!$A:$A,"BOM",DATA_GOC!$D:$D,$B282,DATA_GOC!$E:$E,"Dầu động cơ",DATA_GOC!$F:$F,"Xuất nội bộ từ téc",DATA_GOC!$B:$B,DATE($D$2,$B$2,D$4)),0))</f>
        <v>22</v>
      </c>
      <c r="E282" s="251">
        <f>IF(E$4&gt;DAY(EOMONTH(DATE($D$2,$B$2,1),0)),"",IFERROR(SUMIFS(DATA_GOC!$H:$H,DATA_GOC!$A:$A,"BOM",DATA_GOC!$D:$D,$B282,DATA_GOC!$E:$E,"Dầu động cơ",DATA_GOC!$F:$F,"Xuất nội bộ từ téc",DATA_GOC!$B:$B,DATE($D$2,$B$2,E$4)),0))</f>
        <v>0</v>
      </c>
      <c r="F282" s="251">
        <f>IF(F$4&gt;DAY(EOMONTH(DATE($D$2,$B$2,1),0)),"",IFERROR(SUMIFS(DATA_GOC!$H:$H,DATA_GOC!$A:$A,"BOM",DATA_GOC!$D:$D,$B282,DATA_GOC!$E:$E,"Dầu động cơ",DATA_GOC!$F:$F,"Xuất nội bộ từ téc",DATA_GOC!$B:$B,DATE($D$2,$B$2,F$4)),0))</f>
        <v>0</v>
      </c>
      <c r="G282" s="251">
        <f>IF(G$4&gt;DAY(EOMONTH(DATE($D$2,$B$2,1),0)),"",IFERROR(SUMIFS(DATA_GOC!$H:$H,DATA_GOC!$A:$A,"BOM",DATA_GOC!$D:$D,$B282,DATA_GOC!$E:$E,"Dầu động cơ",DATA_GOC!$F:$F,"Xuất nội bộ từ téc",DATA_GOC!$B:$B,DATE($D$2,$B$2,G$4)),0))</f>
        <v>0</v>
      </c>
      <c r="H282" s="251">
        <f>IF(H$4&gt;DAY(EOMONTH(DATE($D$2,$B$2,1),0)),"",IFERROR(SUMIFS(DATA_GOC!$H:$H,DATA_GOC!$A:$A,"BOM",DATA_GOC!$D:$D,$B282,DATA_GOC!$E:$E,"Dầu động cơ",DATA_GOC!$F:$F,"Xuất nội bộ từ téc",DATA_GOC!$B:$B,DATE($D$2,$B$2,H$4)),0))</f>
        <v>0</v>
      </c>
      <c r="I282" s="251">
        <f>IF(I$4&gt;DAY(EOMONTH(DATE($D$2,$B$2,1),0)),"",IFERROR(SUMIFS(DATA_GOC!$H:$H,DATA_GOC!$A:$A,"BOM",DATA_GOC!$D:$D,$B282,DATA_GOC!$E:$E,"Dầu động cơ",DATA_GOC!$F:$F,"Xuất nội bộ từ téc",DATA_GOC!$B:$B,DATE($D$2,$B$2,I$4)),0))</f>
        <v>0</v>
      </c>
      <c r="J282" s="251">
        <f>IF(J$4&gt;DAY(EOMONTH(DATE($D$2,$B$2,1),0)),"",IFERROR(SUMIFS(DATA_GOC!$H:$H,DATA_GOC!$A:$A,"BOM",DATA_GOC!$D:$D,$B282,DATA_GOC!$E:$E,"Dầu động cơ",DATA_GOC!$F:$F,"Xuất nội bộ từ téc",DATA_GOC!$B:$B,DATE($D$2,$B$2,J$4)),0))</f>
        <v>0</v>
      </c>
      <c r="K282" s="251">
        <f>IF(K$4&gt;DAY(EOMONTH(DATE($D$2,$B$2,1),0)),"",IFERROR(SUMIFS(DATA_GOC!$H:$H,DATA_GOC!$A:$A,"BOM",DATA_GOC!$D:$D,$B282,DATA_GOC!$E:$E,"Dầu động cơ",DATA_GOC!$F:$F,"Xuất nội bộ từ téc",DATA_GOC!$B:$B,DATE($D$2,$B$2,K$4)),0))</f>
        <v>0</v>
      </c>
      <c r="L282" s="251">
        <f>IF(L$4&gt;DAY(EOMONTH(DATE($D$2,$B$2,1),0)),"",IFERROR(SUMIFS(DATA_GOC!$H:$H,DATA_GOC!$A:$A,"BOM",DATA_GOC!$D:$D,$B282,DATA_GOC!$E:$E,"Dầu động cơ",DATA_GOC!$F:$F,"Xuất nội bộ từ téc",DATA_GOC!$B:$B,DATE($D$2,$B$2,L$4)),0))</f>
        <v>0</v>
      </c>
      <c r="M282" s="251">
        <f>IF(M$4&gt;DAY(EOMONTH(DATE($D$2,$B$2,1),0)),"",IFERROR(SUMIFS(DATA_GOC!$H:$H,DATA_GOC!$A:$A,"BOM",DATA_GOC!$D:$D,$B282,DATA_GOC!$E:$E,"Dầu động cơ",DATA_GOC!$F:$F,"Xuất nội bộ từ téc",DATA_GOC!$B:$B,DATE($D$2,$B$2,M$4)),0))</f>
        <v>0</v>
      </c>
      <c r="N282" s="251">
        <f>IF(N$4&gt;DAY(EOMONTH(DATE($D$2,$B$2,1),0)),"",IFERROR(SUMIFS(DATA_GOC!$H:$H,DATA_GOC!$A:$A,"BOM",DATA_GOC!$D:$D,$B282,DATA_GOC!$E:$E,"Dầu động cơ",DATA_GOC!$F:$F,"Xuất nội bộ từ téc",DATA_GOC!$B:$B,DATE($D$2,$B$2,N$4)),0))</f>
        <v>0</v>
      </c>
      <c r="O282" s="251">
        <f>IF(O$4&gt;DAY(EOMONTH(DATE($D$2,$B$2,1),0)),"",IFERROR(SUMIFS(DATA_GOC!$H:$H,DATA_GOC!$A:$A,"BOM",DATA_GOC!$D:$D,$B282,DATA_GOC!$E:$E,"Dầu động cơ",DATA_GOC!$F:$F,"Xuất nội bộ từ téc",DATA_GOC!$B:$B,DATE($D$2,$B$2,O$4)),0))</f>
        <v>0</v>
      </c>
      <c r="P282" s="251">
        <f>IF(P$4&gt;DAY(EOMONTH(DATE($D$2,$B$2,1),0)),"",IFERROR(SUMIFS(DATA_GOC!$H:$H,DATA_GOC!$A:$A,"BOM",DATA_GOC!$D:$D,$B282,DATA_GOC!$E:$E,"Dầu động cơ",DATA_GOC!$F:$F,"Xuất nội bộ từ téc",DATA_GOC!$B:$B,DATE($D$2,$B$2,P$4)),0))</f>
        <v>0</v>
      </c>
      <c r="Q282" s="251">
        <f>IF(Q$4&gt;DAY(EOMONTH(DATE($D$2,$B$2,1),0)),"",IFERROR(SUMIFS(DATA_GOC!$H:$H,DATA_GOC!$A:$A,"BOM",DATA_GOC!$D:$D,$B282,DATA_GOC!$E:$E,"Dầu động cơ",DATA_GOC!$F:$F,"Xuất nội bộ từ téc",DATA_GOC!$B:$B,DATE($D$2,$B$2,Q$4)),0))</f>
        <v>0</v>
      </c>
      <c r="R282" s="251">
        <f>IF(R$4&gt;DAY(EOMONTH(DATE($D$2,$B$2,1),0)),"",IFERROR(SUMIFS(DATA_GOC!$H:$H,DATA_GOC!$A:$A,"BOM",DATA_GOC!$D:$D,$B282,DATA_GOC!$E:$E,"Dầu động cơ",DATA_GOC!$F:$F,"Xuất nội bộ từ téc",DATA_GOC!$B:$B,DATE($D$2,$B$2,R$4)),0))</f>
        <v>0</v>
      </c>
      <c r="S282" s="251">
        <f>IF(S$4&gt;DAY(EOMONTH(DATE($D$2,$B$2,1),0)),"",IFERROR(SUMIFS(DATA_GOC!$H:$H,DATA_GOC!$A:$A,"BOM",DATA_GOC!$D:$D,$B282,DATA_GOC!$E:$E,"Dầu động cơ",DATA_GOC!$F:$F,"Xuất nội bộ từ téc",DATA_GOC!$B:$B,DATE($D$2,$B$2,S$4)),0))</f>
        <v>0</v>
      </c>
      <c r="T282" s="251">
        <f>IF(T$4&gt;DAY(EOMONTH(DATE($D$2,$B$2,1),0)),"",IFERROR(SUMIFS(DATA_GOC!$H:$H,DATA_GOC!$A:$A,"BOM",DATA_GOC!$D:$D,$B282,DATA_GOC!$E:$E,"Dầu động cơ",DATA_GOC!$F:$F,"Xuất nội bộ từ téc",DATA_GOC!$B:$B,DATE($D$2,$B$2,T$4)),0))</f>
        <v>0</v>
      </c>
      <c r="U282" s="251">
        <f>IF(U$4&gt;DAY(EOMONTH(DATE($D$2,$B$2,1),0)),"",IFERROR(SUMIFS(DATA_GOC!$H:$H,DATA_GOC!$A:$A,"BOM",DATA_GOC!$D:$D,$B282,DATA_GOC!$E:$E,"Dầu động cơ",DATA_GOC!$F:$F,"Xuất nội bộ từ téc",DATA_GOC!$B:$B,DATE($D$2,$B$2,U$4)),0))</f>
        <v>0</v>
      </c>
      <c r="V282" s="251">
        <f>IF(V$4&gt;DAY(EOMONTH(DATE($D$2,$B$2,1),0)),"",IFERROR(SUMIFS(DATA_GOC!$H:$H,DATA_GOC!$A:$A,"BOM",DATA_GOC!$D:$D,$B282,DATA_GOC!$E:$E,"Dầu động cơ",DATA_GOC!$F:$F,"Xuất nội bộ từ téc",DATA_GOC!$B:$B,DATE($D$2,$B$2,V$4)),0))</f>
        <v>0</v>
      </c>
      <c r="W282" s="251">
        <f>IF(W$4&gt;DAY(EOMONTH(DATE($D$2,$B$2,1),0)),"",IFERROR(SUMIFS(DATA_GOC!$H:$H,DATA_GOC!$A:$A,"BOM",DATA_GOC!$D:$D,$B282,DATA_GOC!$E:$E,"Dầu động cơ",DATA_GOC!$F:$F,"Xuất nội bộ từ téc",DATA_GOC!$B:$B,DATE($D$2,$B$2,W$4)),0))</f>
        <v>0</v>
      </c>
      <c r="X282" s="251">
        <f>IF(X$4&gt;DAY(EOMONTH(DATE($D$2,$B$2,1),0)),"",IFERROR(SUMIFS(DATA_GOC!$H:$H,DATA_GOC!$A:$A,"BOM",DATA_GOC!$D:$D,$B282,DATA_GOC!$E:$E,"Dầu động cơ",DATA_GOC!$F:$F,"Xuất nội bộ từ téc",DATA_GOC!$B:$B,DATE($D$2,$B$2,X$4)),0))</f>
        <v>0</v>
      </c>
      <c r="Y282" s="251">
        <f>IF(Y$4&gt;DAY(EOMONTH(DATE($D$2,$B$2,1),0)),"",IFERROR(SUMIFS(DATA_GOC!$H:$H,DATA_GOC!$A:$A,"BOM",DATA_GOC!$D:$D,$B282,DATA_GOC!$E:$E,"Dầu động cơ",DATA_GOC!$F:$F,"Xuất nội bộ từ téc",DATA_GOC!$B:$B,DATE($D$2,$B$2,Y$4)),0))</f>
        <v>0</v>
      </c>
      <c r="Z282" s="251">
        <f>IF(Z$4&gt;DAY(EOMONTH(DATE($D$2,$B$2,1),0)),"",IFERROR(SUMIFS(DATA_GOC!$H:$H,DATA_GOC!$A:$A,"BOM",DATA_GOC!$D:$D,$B282,DATA_GOC!$E:$E,"Dầu động cơ",DATA_GOC!$F:$F,"Xuất nội bộ từ téc",DATA_GOC!$B:$B,DATE($D$2,$B$2,Z$4)),0))</f>
        <v>0</v>
      </c>
      <c r="AA282" s="251">
        <f>IF(AA$4&gt;DAY(EOMONTH(DATE($D$2,$B$2,1),0)),"",IFERROR(SUMIFS(DATA_GOC!$H:$H,DATA_GOC!$A:$A,"BOM",DATA_GOC!$D:$D,$B282,DATA_GOC!$E:$E,"Dầu động cơ",DATA_GOC!$F:$F,"Xuất nội bộ từ téc",DATA_GOC!$B:$B,DATE($D$2,$B$2,AA$4)),0))</f>
        <v>0</v>
      </c>
      <c r="AB282" s="251">
        <f>IF(AB$4&gt;DAY(EOMONTH(DATE($D$2,$B$2,1),0)),"",IFERROR(SUMIFS(DATA_GOC!$H:$H,DATA_GOC!$A:$A,"BOM",DATA_GOC!$D:$D,$B282,DATA_GOC!$E:$E,"Dầu động cơ",DATA_GOC!$F:$F,"Xuất nội bộ từ téc",DATA_GOC!$B:$B,DATE($D$2,$B$2,AB$4)),0))</f>
        <v>0</v>
      </c>
      <c r="AC282" s="251">
        <f>IF(AC$4&gt;DAY(EOMONTH(DATE($D$2,$B$2,1),0)),"",IFERROR(SUMIFS(DATA_GOC!$H:$H,DATA_GOC!$A:$A,"BOM",DATA_GOC!$D:$D,$B282,DATA_GOC!$E:$E,"Dầu động cơ",DATA_GOC!$F:$F,"Xuất nội bộ từ téc",DATA_GOC!$B:$B,DATE($D$2,$B$2,AC$4)),0))</f>
        <v>0</v>
      </c>
      <c r="AD282" s="251">
        <f>IF(AD$4&gt;DAY(EOMONTH(DATE($D$2,$B$2,1),0)),"",IFERROR(SUMIFS(DATA_GOC!$H:$H,DATA_GOC!$A:$A,"BOM",DATA_GOC!$D:$D,$B282,DATA_GOC!$E:$E,"Dầu động cơ",DATA_GOC!$F:$F,"Xuất nội bộ từ téc",DATA_GOC!$B:$B,DATE($D$2,$B$2,AD$4)),0))</f>
        <v>0</v>
      </c>
      <c r="AE282" s="251">
        <f>IF(AE$4&gt;DAY(EOMONTH(DATE($D$2,$B$2,1),0)),"",IFERROR(SUMIFS(DATA_GOC!$H:$H,DATA_GOC!$A:$A,"BOM",DATA_GOC!$D:$D,$B282,DATA_GOC!$E:$E,"Dầu động cơ",DATA_GOC!$F:$F,"Xuất nội bộ từ téc",DATA_GOC!$B:$B,DATE($D$2,$B$2,AE$4)),0))</f>
        <v>0</v>
      </c>
      <c r="AF282" s="251">
        <f>IF(AF$4&gt;DAY(EOMONTH(DATE($D$2,$B$2,1),0)),"",IFERROR(SUMIFS(DATA_GOC!$H:$H,DATA_GOC!$A:$A,"BOM",DATA_GOC!$D:$D,$B282,DATA_GOC!$E:$E,"Dầu động cơ",DATA_GOC!$F:$F,"Xuất nội bộ từ téc",DATA_GOC!$B:$B,DATE($D$2,$B$2,AF$4)),0))</f>
        <v>0</v>
      </c>
      <c r="AG282" s="251">
        <f>IF(AG$4&gt;DAY(EOMONTH(DATE($D$2,$B$2,1),0)),"",IFERROR(SUMIFS(DATA_GOC!$H:$H,DATA_GOC!$A:$A,"BOM",DATA_GOC!$D:$D,$B282,DATA_GOC!$E:$E,"Dầu động cơ",DATA_GOC!$F:$F,"Xuất nội bộ từ téc",DATA_GOC!$B:$B,DATE($D$2,$B$2,AG$4)),0))</f>
        <v>0</v>
      </c>
      <c r="AH282" s="252">
        <f t="shared" si="13"/>
        <v>22</v>
      </c>
      <c r="AI282" s="241"/>
      <c r="AJ282" s="242">
        <f>IF($B282="","",SUMIFS(TINH_TEC!$K$233:$K$9232,TINH_TEC!$H$233:$H$9232,$B282,TINH_TEC!$C$233:$C$9232,"Dầu động cơ",TINH_TEC!$F$233:$F$9232,$B$2,TINH_TEC!$G$233:$G$9232,$D$2,TINH_TEC!$B$233:$B$9232,"Đã chốt"))</f>
        <v>0</v>
      </c>
      <c r="AK282" s="242">
        <f>IF($B282="","",SUMIFS(TINH_TEC!$J$233:$J$9232,TINH_TEC!$H$233:$H$9232,$B282,TINH_TEC!$C$233:$C$9232,"Dầu động cơ",TINH_TEC!$F$233:$F$9232,$B$2,TINH_TEC!$G$233:$G$9232,$D$2,TINH_TEC!$B$233:$B$9232,"Đã chốt"))</f>
        <v>0</v>
      </c>
      <c r="AL282" s="242">
        <f t="shared" si="14"/>
        <v>22</v>
      </c>
    </row>
    <row r="283" ht="15.75" customHeight="1">
      <c r="A283" s="237">
        <f>IF($B283&lt;&gt;"",34,"")</f>
        <v>34</v>
      </c>
      <c r="B283" s="250" t="str">
        <f t="array" ref="B283">IFERROR(INDEX(DANH_MUC!$E:$E,37),"")</f>
        <v>28H00354</v>
      </c>
      <c r="C283" s="251">
        <f>IF(C$4&gt;DAY(EOMONTH(DATE($D$2,$B$2,1),0)),"",IFERROR(SUMIFS(DATA_GOC!$H:$H,DATA_GOC!$A:$A,"BOM",DATA_GOC!$D:$D,$B283,DATA_GOC!$E:$E,"Dầu động cơ",DATA_GOC!$F:$F,"Xuất nội bộ từ téc",DATA_GOC!$B:$B,DATE($D$2,$B$2,C$4)),0))</f>
        <v>0</v>
      </c>
      <c r="D283" s="251">
        <f>IF(D$4&gt;DAY(EOMONTH(DATE($D$2,$B$2,1),0)),"",IFERROR(SUMIFS(DATA_GOC!$H:$H,DATA_GOC!$A:$A,"BOM",DATA_GOC!$D:$D,$B283,DATA_GOC!$E:$E,"Dầu động cơ",DATA_GOC!$F:$F,"Xuất nội bộ từ téc",DATA_GOC!$B:$B,DATE($D$2,$B$2,D$4)),0))</f>
        <v>0</v>
      </c>
      <c r="E283" s="251">
        <f>IF(E$4&gt;DAY(EOMONTH(DATE($D$2,$B$2,1),0)),"",IFERROR(SUMIFS(DATA_GOC!$H:$H,DATA_GOC!$A:$A,"BOM",DATA_GOC!$D:$D,$B283,DATA_GOC!$E:$E,"Dầu động cơ",DATA_GOC!$F:$F,"Xuất nội bộ từ téc",DATA_GOC!$B:$B,DATE($D$2,$B$2,E$4)),0))</f>
        <v>0</v>
      </c>
      <c r="F283" s="251">
        <f>IF(F$4&gt;DAY(EOMONTH(DATE($D$2,$B$2,1),0)),"",IFERROR(SUMIFS(DATA_GOC!$H:$H,DATA_GOC!$A:$A,"BOM",DATA_GOC!$D:$D,$B283,DATA_GOC!$E:$E,"Dầu động cơ",DATA_GOC!$F:$F,"Xuất nội bộ từ téc",DATA_GOC!$B:$B,DATE($D$2,$B$2,F$4)),0))</f>
        <v>0</v>
      </c>
      <c r="G283" s="251">
        <f>IF(G$4&gt;DAY(EOMONTH(DATE($D$2,$B$2,1),0)),"",IFERROR(SUMIFS(DATA_GOC!$H:$H,DATA_GOC!$A:$A,"BOM",DATA_GOC!$D:$D,$B283,DATA_GOC!$E:$E,"Dầu động cơ",DATA_GOC!$F:$F,"Xuất nội bộ từ téc",DATA_GOC!$B:$B,DATE($D$2,$B$2,G$4)),0))</f>
        <v>0</v>
      </c>
      <c r="H283" s="251">
        <f>IF(H$4&gt;DAY(EOMONTH(DATE($D$2,$B$2,1),0)),"",IFERROR(SUMIFS(DATA_GOC!$H:$H,DATA_GOC!$A:$A,"BOM",DATA_GOC!$D:$D,$B283,DATA_GOC!$E:$E,"Dầu động cơ",DATA_GOC!$F:$F,"Xuất nội bộ từ téc",DATA_GOC!$B:$B,DATE($D$2,$B$2,H$4)),0))</f>
        <v>0</v>
      </c>
      <c r="I283" s="251">
        <f>IF(I$4&gt;DAY(EOMONTH(DATE($D$2,$B$2,1),0)),"",IFERROR(SUMIFS(DATA_GOC!$H:$H,DATA_GOC!$A:$A,"BOM",DATA_GOC!$D:$D,$B283,DATA_GOC!$E:$E,"Dầu động cơ",DATA_GOC!$F:$F,"Xuất nội bộ từ téc",DATA_GOC!$B:$B,DATE($D$2,$B$2,I$4)),0))</f>
        <v>0</v>
      </c>
      <c r="J283" s="251">
        <f>IF(J$4&gt;DAY(EOMONTH(DATE($D$2,$B$2,1),0)),"",IFERROR(SUMIFS(DATA_GOC!$H:$H,DATA_GOC!$A:$A,"BOM",DATA_GOC!$D:$D,$B283,DATA_GOC!$E:$E,"Dầu động cơ",DATA_GOC!$F:$F,"Xuất nội bộ từ téc",DATA_GOC!$B:$B,DATE($D$2,$B$2,J$4)),0))</f>
        <v>0</v>
      </c>
      <c r="K283" s="251">
        <f>IF(K$4&gt;DAY(EOMONTH(DATE($D$2,$B$2,1),0)),"",IFERROR(SUMIFS(DATA_GOC!$H:$H,DATA_GOC!$A:$A,"BOM",DATA_GOC!$D:$D,$B283,DATA_GOC!$E:$E,"Dầu động cơ",DATA_GOC!$F:$F,"Xuất nội bộ từ téc",DATA_GOC!$B:$B,DATE($D$2,$B$2,K$4)),0))</f>
        <v>0</v>
      </c>
      <c r="L283" s="251">
        <f>IF(L$4&gt;DAY(EOMONTH(DATE($D$2,$B$2,1),0)),"",IFERROR(SUMIFS(DATA_GOC!$H:$H,DATA_GOC!$A:$A,"BOM",DATA_GOC!$D:$D,$B283,DATA_GOC!$E:$E,"Dầu động cơ",DATA_GOC!$F:$F,"Xuất nội bộ từ téc",DATA_GOC!$B:$B,DATE($D$2,$B$2,L$4)),0))</f>
        <v>0</v>
      </c>
      <c r="M283" s="251">
        <f>IF(M$4&gt;DAY(EOMONTH(DATE($D$2,$B$2,1),0)),"",IFERROR(SUMIFS(DATA_GOC!$H:$H,DATA_GOC!$A:$A,"BOM",DATA_GOC!$D:$D,$B283,DATA_GOC!$E:$E,"Dầu động cơ",DATA_GOC!$F:$F,"Xuất nội bộ từ téc",DATA_GOC!$B:$B,DATE($D$2,$B$2,M$4)),0))</f>
        <v>0</v>
      </c>
      <c r="N283" s="251">
        <f>IF(N$4&gt;DAY(EOMONTH(DATE($D$2,$B$2,1),0)),"",IFERROR(SUMIFS(DATA_GOC!$H:$H,DATA_GOC!$A:$A,"BOM",DATA_GOC!$D:$D,$B283,DATA_GOC!$E:$E,"Dầu động cơ",DATA_GOC!$F:$F,"Xuất nội bộ từ téc",DATA_GOC!$B:$B,DATE($D$2,$B$2,N$4)),0))</f>
        <v>0</v>
      </c>
      <c r="O283" s="251">
        <f>IF(O$4&gt;DAY(EOMONTH(DATE($D$2,$B$2,1),0)),"",IFERROR(SUMIFS(DATA_GOC!$H:$H,DATA_GOC!$A:$A,"BOM",DATA_GOC!$D:$D,$B283,DATA_GOC!$E:$E,"Dầu động cơ",DATA_GOC!$F:$F,"Xuất nội bộ từ téc",DATA_GOC!$B:$B,DATE($D$2,$B$2,O$4)),0))</f>
        <v>0</v>
      </c>
      <c r="P283" s="251">
        <f>IF(P$4&gt;DAY(EOMONTH(DATE($D$2,$B$2,1),0)),"",IFERROR(SUMIFS(DATA_GOC!$H:$H,DATA_GOC!$A:$A,"BOM",DATA_GOC!$D:$D,$B283,DATA_GOC!$E:$E,"Dầu động cơ",DATA_GOC!$F:$F,"Xuất nội bộ từ téc",DATA_GOC!$B:$B,DATE($D$2,$B$2,P$4)),0))</f>
        <v>0</v>
      </c>
      <c r="Q283" s="251">
        <f>IF(Q$4&gt;DAY(EOMONTH(DATE($D$2,$B$2,1),0)),"",IFERROR(SUMIFS(DATA_GOC!$H:$H,DATA_GOC!$A:$A,"BOM",DATA_GOC!$D:$D,$B283,DATA_GOC!$E:$E,"Dầu động cơ",DATA_GOC!$F:$F,"Xuất nội bộ từ téc",DATA_GOC!$B:$B,DATE($D$2,$B$2,Q$4)),0))</f>
        <v>0</v>
      </c>
      <c r="R283" s="251">
        <f>IF(R$4&gt;DAY(EOMONTH(DATE($D$2,$B$2,1),0)),"",IFERROR(SUMIFS(DATA_GOC!$H:$H,DATA_GOC!$A:$A,"BOM",DATA_GOC!$D:$D,$B283,DATA_GOC!$E:$E,"Dầu động cơ",DATA_GOC!$F:$F,"Xuất nội bộ từ téc",DATA_GOC!$B:$B,DATE($D$2,$B$2,R$4)),0))</f>
        <v>0</v>
      </c>
      <c r="S283" s="251">
        <f>IF(S$4&gt;DAY(EOMONTH(DATE($D$2,$B$2,1),0)),"",IFERROR(SUMIFS(DATA_GOC!$H:$H,DATA_GOC!$A:$A,"BOM",DATA_GOC!$D:$D,$B283,DATA_GOC!$E:$E,"Dầu động cơ",DATA_GOC!$F:$F,"Xuất nội bộ từ téc",DATA_GOC!$B:$B,DATE($D$2,$B$2,S$4)),0))</f>
        <v>0</v>
      </c>
      <c r="T283" s="251">
        <f>IF(T$4&gt;DAY(EOMONTH(DATE($D$2,$B$2,1),0)),"",IFERROR(SUMIFS(DATA_GOC!$H:$H,DATA_GOC!$A:$A,"BOM",DATA_GOC!$D:$D,$B283,DATA_GOC!$E:$E,"Dầu động cơ",DATA_GOC!$F:$F,"Xuất nội bộ từ téc",DATA_GOC!$B:$B,DATE($D$2,$B$2,T$4)),0))</f>
        <v>0</v>
      </c>
      <c r="U283" s="251">
        <f>IF(U$4&gt;DAY(EOMONTH(DATE($D$2,$B$2,1),0)),"",IFERROR(SUMIFS(DATA_GOC!$H:$H,DATA_GOC!$A:$A,"BOM",DATA_GOC!$D:$D,$B283,DATA_GOC!$E:$E,"Dầu động cơ",DATA_GOC!$F:$F,"Xuất nội bộ từ téc",DATA_GOC!$B:$B,DATE($D$2,$B$2,U$4)),0))</f>
        <v>0</v>
      </c>
      <c r="V283" s="251">
        <f>IF(V$4&gt;DAY(EOMONTH(DATE($D$2,$B$2,1),0)),"",IFERROR(SUMIFS(DATA_GOC!$H:$H,DATA_GOC!$A:$A,"BOM",DATA_GOC!$D:$D,$B283,DATA_GOC!$E:$E,"Dầu động cơ",DATA_GOC!$F:$F,"Xuất nội bộ từ téc",DATA_GOC!$B:$B,DATE($D$2,$B$2,V$4)),0))</f>
        <v>0</v>
      </c>
      <c r="W283" s="251">
        <f>IF(W$4&gt;DAY(EOMONTH(DATE($D$2,$B$2,1),0)),"",IFERROR(SUMIFS(DATA_GOC!$H:$H,DATA_GOC!$A:$A,"BOM",DATA_GOC!$D:$D,$B283,DATA_GOC!$E:$E,"Dầu động cơ",DATA_GOC!$F:$F,"Xuất nội bộ từ téc",DATA_GOC!$B:$B,DATE($D$2,$B$2,W$4)),0))</f>
        <v>0</v>
      </c>
      <c r="X283" s="251">
        <f>IF(X$4&gt;DAY(EOMONTH(DATE($D$2,$B$2,1),0)),"",IFERROR(SUMIFS(DATA_GOC!$H:$H,DATA_GOC!$A:$A,"BOM",DATA_GOC!$D:$D,$B283,DATA_GOC!$E:$E,"Dầu động cơ",DATA_GOC!$F:$F,"Xuất nội bộ từ téc",DATA_GOC!$B:$B,DATE($D$2,$B$2,X$4)),0))</f>
        <v>0</v>
      </c>
      <c r="Y283" s="251">
        <f>IF(Y$4&gt;DAY(EOMONTH(DATE($D$2,$B$2,1),0)),"",IFERROR(SUMIFS(DATA_GOC!$H:$H,DATA_GOC!$A:$A,"BOM",DATA_GOC!$D:$D,$B283,DATA_GOC!$E:$E,"Dầu động cơ",DATA_GOC!$F:$F,"Xuất nội bộ từ téc",DATA_GOC!$B:$B,DATE($D$2,$B$2,Y$4)),0))</f>
        <v>0</v>
      </c>
      <c r="Z283" s="251">
        <f>IF(Z$4&gt;DAY(EOMONTH(DATE($D$2,$B$2,1),0)),"",IFERROR(SUMIFS(DATA_GOC!$H:$H,DATA_GOC!$A:$A,"BOM",DATA_GOC!$D:$D,$B283,DATA_GOC!$E:$E,"Dầu động cơ",DATA_GOC!$F:$F,"Xuất nội bộ từ téc",DATA_GOC!$B:$B,DATE($D$2,$B$2,Z$4)),0))</f>
        <v>0</v>
      </c>
      <c r="AA283" s="251">
        <f>IF(AA$4&gt;DAY(EOMONTH(DATE($D$2,$B$2,1),0)),"",IFERROR(SUMIFS(DATA_GOC!$H:$H,DATA_GOC!$A:$A,"BOM",DATA_GOC!$D:$D,$B283,DATA_GOC!$E:$E,"Dầu động cơ",DATA_GOC!$F:$F,"Xuất nội bộ từ téc",DATA_GOC!$B:$B,DATE($D$2,$B$2,AA$4)),0))</f>
        <v>0</v>
      </c>
      <c r="AB283" s="251">
        <f>IF(AB$4&gt;DAY(EOMONTH(DATE($D$2,$B$2,1),0)),"",IFERROR(SUMIFS(DATA_GOC!$H:$H,DATA_GOC!$A:$A,"BOM",DATA_GOC!$D:$D,$B283,DATA_GOC!$E:$E,"Dầu động cơ",DATA_GOC!$F:$F,"Xuất nội bộ từ téc",DATA_GOC!$B:$B,DATE($D$2,$B$2,AB$4)),0))</f>
        <v>0</v>
      </c>
      <c r="AC283" s="251">
        <f>IF(AC$4&gt;DAY(EOMONTH(DATE($D$2,$B$2,1),0)),"",IFERROR(SUMIFS(DATA_GOC!$H:$H,DATA_GOC!$A:$A,"BOM",DATA_GOC!$D:$D,$B283,DATA_GOC!$E:$E,"Dầu động cơ",DATA_GOC!$F:$F,"Xuất nội bộ từ téc",DATA_GOC!$B:$B,DATE($D$2,$B$2,AC$4)),0))</f>
        <v>0</v>
      </c>
      <c r="AD283" s="251">
        <f>IF(AD$4&gt;DAY(EOMONTH(DATE($D$2,$B$2,1),0)),"",IFERROR(SUMIFS(DATA_GOC!$H:$H,DATA_GOC!$A:$A,"BOM",DATA_GOC!$D:$D,$B283,DATA_GOC!$E:$E,"Dầu động cơ",DATA_GOC!$F:$F,"Xuất nội bộ từ téc",DATA_GOC!$B:$B,DATE($D$2,$B$2,AD$4)),0))</f>
        <v>0</v>
      </c>
      <c r="AE283" s="251">
        <f>IF(AE$4&gt;DAY(EOMONTH(DATE($D$2,$B$2,1),0)),"",IFERROR(SUMIFS(DATA_GOC!$H:$H,DATA_GOC!$A:$A,"BOM",DATA_GOC!$D:$D,$B283,DATA_GOC!$E:$E,"Dầu động cơ",DATA_GOC!$F:$F,"Xuất nội bộ từ téc",DATA_GOC!$B:$B,DATE($D$2,$B$2,AE$4)),0))</f>
        <v>0</v>
      </c>
      <c r="AF283" s="251">
        <f>IF(AF$4&gt;DAY(EOMONTH(DATE($D$2,$B$2,1),0)),"",IFERROR(SUMIFS(DATA_GOC!$H:$H,DATA_GOC!$A:$A,"BOM",DATA_GOC!$D:$D,$B283,DATA_GOC!$E:$E,"Dầu động cơ",DATA_GOC!$F:$F,"Xuất nội bộ từ téc",DATA_GOC!$B:$B,DATE($D$2,$B$2,AF$4)),0))</f>
        <v>0</v>
      </c>
      <c r="AG283" s="251">
        <f>IF(AG$4&gt;DAY(EOMONTH(DATE($D$2,$B$2,1),0)),"",IFERROR(SUMIFS(DATA_GOC!$H:$H,DATA_GOC!$A:$A,"BOM",DATA_GOC!$D:$D,$B283,DATA_GOC!$E:$E,"Dầu động cơ",DATA_GOC!$F:$F,"Xuất nội bộ từ téc",DATA_GOC!$B:$B,DATE($D$2,$B$2,AG$4)),0))</f>
        <v>0</v>
      </c>
      <c r="AH283" s="252">
        <f t="shared" si="13"/>
        <v>0</v>
      </c>
      <c r="AI283" s="241"/>
      <c r="AJ283" s="242">
        <f>IF($B283="","",SUMIFS(TINH_TEC!$K$233:$K$9232,TINH_TEC!$H$233:$H$9232,$B283,TINH_TEC!$C$233:$C$9232,"Dầu động cơ",TINH_TEC!$F$233:$F$9232,$B$2,TINH_TEC!$G$233:$G$9232,$D$2,TINH_TEC!$B$233:$B$9232,"Đã chốt"))</f>
        <v>0</v>
      </c>
      <c r="AK283" s="242">
        <f>IF($B283="","",SUMIFS(TINH_TEC!$J$233:$J$9232,TINH_TEC!$H$233:$H$9232,$B283,TINH_TEC!$C$233:$C$9232,"Dầu động cơ",TINH_TEC!$F$233:$F$9232,$B$2,TINH_TEC!$G$233:$G$9232,$D$2,TINH_TEC!$B$233:$B$9232,"Đã chốt"))</f>
        <v>0</v>
      </c>
      <c r="AL283" s="242">
        <f t="shared" si="14"/>
        <v>0</v>
      </c>
    </row>
    <row r="284" ht="15.75" customHeight="1">
      <c r="A284" s="237">
        <f>IF($B284&lt;&gt;"",35,"")</f>
        <v>35</v>
      </c>
      <c r="B284" s="250" t="str">
        <f t="array" ref="B284">IFERROR(INDEX(DANH_MUC!$E:$E,38),"")</f>
        <v>28H00603</v>
      </c>
      <c r="C284" s="251">
        <f>IF(C$4&gt;DAY(EOMONTH(DATE($D$2,$B$2,1),0)),"",IFERROR(SUMIFS(DATA_GOC!$H:$H,DATA_GOC!$A:$A,"BOM",DATA_GOC!$D:$D,$B284,DATA_GOC!$E:$E,"Dầu động cơ",DATA_GOC!$F:$F,"Xuất nội bộ từ téc",DATA_GOC!$B:$B,DATE($D$2,$B$2,C$4)),0))</f>
        <v>0</v>
      </c>
      <c r="D284" s="251">
        <f>IF(D$4&gt;DAY(EOMONTH(DATE($D$2,$B$2,1),0)),"",IFERROR(SUMIFS(DATA_GOC!$H:$H,DATA_GOC!$A:$A,"BOM",DATA_GOC!$D:$D,$B284,DATA_GOC!$E:$E,"Dầu động cơ",DATA_GOC!$F:$F,"Xuất nội bộ từ téc",DATA_GOC!$B:$B,DATE($D$2,$B$2,D$4)),0))</f>
        <v>0</v>
      </c>
      <c r="E284" s="251">
        <f>IF(E$4&gt;DAY(EOMONTH(DATE($D$2,$B$2,1),0)),"",IFERROR(SUMIFS(DATA_GOC!$H:$H,DATA_GOC!$A:$A,"BOM",DATA_GOC!$D:$D,$B284,DATA_GOC!$E:$E,"Dầu động cơ",DATA_GOC!$F:$F,"Xuất nội bộ từ téc",DATA_GOC!$B:$B,DATE($D$2,$B$2,E$4)),0))</f>
        <v>0</v>
      </c>
      <c r="F284" s="251">
        <f>IF(F$4&gt;DAY(EOMONTH(DATE($D$2,$B$2,1),0)),"",IFERROR(SUMIFS(DATA_GOC!$H:$H,DATA_GOC!$A:$A,"BOM",DATA_GOC!$D:$D,$B284,DATA_GOC!$E:$E,"Dầu động cơ",DATA_GOC!$F:$F,"Xuất nội bộ từ téc",DATA_GOC!$B:$B,DATE($D$2,$B$2,F$4)),0))</f>
        <v>0</v>
      </c>
      <c r="G284" s="251">
        <f>IF(G$4&gt;DAY(EOMONTH(DATE($D$2,$B$2,1),0)),"",IFERROR(SUMIFS(DATA_GOC!$H:$H,DATA_GOC!$A:$A,"BOM",DATA_GOC!$D:$D,$B284,DATA_GOC!$E:$E,"Dầu động cơ",DATA_GOC!$F:$F,"Xuất nội bộ từ téc",DATA_GOC!$B:$B,DATE($D$2,$B$2,G$4)),0))</f>
        <v>0</v>
      </c>
      <c r="H284" s="251">
        <f>IF(H$4&gt;DAY(EOMONTH(DATE($D$2,$B$2,1),0)),"",IFERROR(SUMIFS(DATA_GOC!$H:$H,DATA_GOC!$A:$A,"BOM",DATA_GOC!$D:$D,$B284,DATA_GOC!$E:$E,"Dầu động cơ",DATA_GOC!$F:$F,"Xuất nội bộ từ téc",DATA_GOC!$B:$B,DATE($D$2,$B$2,H$4)),0))</f>
        <v>0</v>
      </c>
      <c r="I284" s="251">
        <f>IF(I$4&gt;DAY(EOMONTH(DATE($D$2,$B$2,1),0)),"",IFERROR(SUMIFS(DATA_GOC!$H:$H,DATA_GOC!$A:$A,"BOM",DATA_GOC!$D:$D,$B284,DATA_GOC!$E:$E,"Dầu động cơ",DATA_GOC!$F:$F,"Xuất nội bộ từ téc",DATA_GOC!$B:$B,DATE($D$2,$B$2,I$4)),0))</f>
        <v>0</v>
      </c>
      <c r="J284" s="251">
        <f>IF(J$4&gt;DAY(EOMONTH(DATE($D$2,$B$2,1),0)),"",IFERROR(SUMIFS(DATA_GOC!$H:$H,DATA_GOC!$A:$A,"BOM",DATA_GOC!$D:$D,$B284,DATA_GOC!$E:$E,"Dầu động cơ",DATA_GOC!$F:$F,"Xuất nội bộ từ téc",DATA_GOC!$B:$B,DATE($D$2,$B$2,J$4)),0))</f>
        <v>0</v>
      </c>
      <c r="K284" s="251">
        <f>IF(K$4&gt;DAY(EOMONTH(DATE($D$2,$B$2,1),0)),"",IFERROR(SUMIFS(DATA_GOC!$H:$H,DATA_GOC!$A:$A,"BOM",DATA_GOC!$D:$D,$B284,DATA_GOC!$E:$E,"Dầu động cơ",DATA_GOC!$F:$F,"Xuất nội bộ từ téc",DATA_GOC!$B:$B,DATE($D$2,$B$2,K$4)),0))</f>
        <v>0</v>
      </c>
      <c r="L284" s="251">
        <f>IF(L$4&gt;DAY(EOMONTH(DATE($D$2,$B$2,1),0)),"",IFERROR(SUMIFS(DATA_GOC!$H:$H,DATA_GOC!$A:$A,"BOM",DATA_GOC!$D:$D,$B284,DATA_GOC!$E:$E,"Dầu động cơ",DATA_GOC!$F:$F,"Xuất nội bộ từ téc",DATA_GOC!$B:$B,DATE($D$2,$B$2,L$4)),0))</f>
        <v>0</v>
      </c>
      <c r="M284" s="251">
        <f>IF(M$4&gt;DAY(EOMONTH(DATE($D$2,$B$2,1),0)),"",IFERROR(SUMIFS(DATA_GOC!$H:$H,DATA_GOC!$A:$A,"BOM",DATA_GOC!$D:$D,$B284,DATA_GOC!$E:$E,"Dầu động cơ",DATA_GOC!$F:$F,"Xuất nội bộ từ téc",DATA_GOC!$B:$B,DATE($D$2,$B$2,M$4)),0))</f>
        <v>0</v>
      </c>
      <c r="N284" s="251">
        <f>IF(N$4&gt;DAY(EOMONTH(DATE($D$2,$B$2,1),0)),"",IFERROR(SUMIFS(DATA_GOC!$H:$H,DATA_GOC!$A:$A,"BOM",DATA_GOC!$D:$D,$B284,DATA_GOC!$E:$E,"Dầu động cơ",DATA_GOC!$F:$F,"Xuất nội bộ từ téc",DATA_GOC!$B:$B,DATE($D$2,$B$2,N$4)),0))</f>
        <v>0</v>
      </c>
      <c r="O284" s="251">
        <f>IF(O$4&gt;DAY(EOMONTH(DATE($D$2,$B$2,1),0)),"",IFERROR(SUMIFS(DATA_GOC!$H:$H,DATA_GOC!$A:$A,"BOM",DATA_GOC!$D:$D,$B284,DATA_GOC!$E:$E,"Dầu động cơ",DATA_GOC!$F:$F,"Xuất nội bộ từ téc",DATA_GOC!$B:$B,DATE($D$2,$B$2,O$4)),0))</f>
        <v>0</v>
      </c>
      <c r="P284" s="251">
        <f>IF(P$4&gt;DAY(EOMONTH(DATE($D$2,$B$2,1),0)),"",IFERROR(SUMIFS(DATA_GOC!$H:$H,DATA_GOC!$A:$A,"BOM",DATA_GOC!$D:$D,$B284,DATA_GOC!$E:$E,"Dầu động cơ",DATA_GOC!$F:$F,"Xuất nội bộ từ téc",DATA_GOC!$B:$B,DATE($D$2,$B$2,P$4)),0))</f>
        <v>0</v>
      </c>
      <c r="Q284" s="251">
        <f>IF(Q$4&gt;DAY(EOMONTH(DATE($D$2,$B$2,1),0)),"",IFERROR(SUMIFS(DATA_GOC!$H:$H,DATA_GOC!$A:$A,"BOM",DATA_GOC!$D:$D,$B284,DATA_GOC!$E:$E,"Dầu động cơ",DATA_GOC!$F:$F,"Xuất nội bộ từ téc",DATA_GOC!$B:$B,DATE($D$2,$B$2,Q$4)),0))</f>
        <v>0</v>
      </c>
      <c r="R284" s="251">
        <f>IF(R$4&gt;DAY(EOMONTH(DATE($D$2,$B$2,1),0)),"",IFERROR(SUMIFS(DATA_GOC!$H:$H,DATA_GOC!$A:$A,"BOM",DATA_GOC!$D:$D,$B284,DATA_GOC!$E:$E,"Dầu động cơ",DATA_GOC!$F:$F,"Xuất nội bộ từ téc",DATA_GOC!$B:$B,DATE($D$2,$B$2,R$4)),0))</f>
        <v>0</v>
      </c>
      <c r="S284" s="251">
        <f>IF(S$4&gt;DAY(EOMONTH(DATE($D$2,$B$2,1),0)),"",IFERROR(SUMIFS(DATA_GOC!$H:$H,DATA_GOC!$A:$A,"BOM",DATA_GOC!$D:$D,$B284,DATA_GOC!$E:$E,"Dầu động cơ",DATA_GOC!$F:$F,"Xuất nội bộ từ téc",DATA_GOC!$B:$B,DATE($D$2,$B$2,S$4)),0))</f>
        <v>0</v>
      </c>
      <c r="T284" s="251">
        <f>IF(T$4&gt;DAY(EOMONTH(DATE($D$2,$B$2,1),0)),"",IFERROR(SUMIFS(DATA_GOC!$H:$H,DATA_GOC!$A:$A,"BOM",DATA_GOC!$D:$D,$B284,DATA_GOC!$E:$E,"Dầu động cơ",DATA_GOC!$F:$F,"Xuất nội bộ từ téc",DATA_GOC!$B:$B,DATE($D$2,$B$2,T$4)),0))</f>
        <v>0</v>
      </c>
      <c r="U284" s="251">
        <f>IF(U$4&gt;DAY(EOMONTH(DATE($D$2,$B$2,1),0)),"",IFERROR(SUMIFS(DATA_GOC!$H:$H,DATA_GOC!$A:$A,"BOM",DATA_GOC!$D:$D,$B284,DATA_GOC!$E:$E,"Dầu động cơ",DATA_GOC!$F:$F,"Xuất nội bộ từ téc",DATA_GOC!$B:$B,DATE($D$2,$B$2,U$4)),0))</f>
        <v>0</v>
      </c>
      <c r="V284" s="251">
        <f>IF(V$4&gt;DAY(EOMONTH(DATE($D$2,$B$2,1),0)),"",IFERROR(SUMIFS(DATA_GOC!$H:$H,DATA_GOC!$A:$A,"BOM",DATA_GOC!$D:$D,$B284,DATA_GOC!$E:$E,"Dầu động cơ",DATA_GOC!$F:$F,"Xuất nội bộ từ téc",DATA_GOC!$B:$B,DATE($D$2,$B$2,V$4)),0))</f>
        <v>0</v>
      </c>
      <c r="W284" s="251">
        <f>IF(W$4&gt;DAY(EOMONTH(DATE($D$2,$B$2,1),0)),"",IFERROR(SUMIFS(DATA_GOC!$H:$H,DATA_GOC!$A:$A,"BOM",DATA_GOC!$D:$D,$B284,DATA_GOC!$E:$E,"Dầu động cơ",DATA_GOC!$F:$F,"Xuất nội bộ từ téc",DATA_GOC!$B:$B,DATE($D$2,$B$2,W$4)),0))</f>
        <v>0</v>
      </c>
      <c r="X284" s="251">
        <f>IF(X$4&gt;DAY(EOMONTH(DATE($D$2,$B$2,1),0)),"",IFERROR(SUMIFS(DATA_GOC!$H:$H,DATA_GOC!$A:$A,"BOM",DATA_GOC!$D:$D,$B284,DATA_GOC!$E:$E,"Dầu động cơ",DATA_GOC!$F:$F,"Xuất nội bộ từ téc",DATA_GOC!$B:$B,DATE($D$2,$B$2,X$4)),0))</f>
        <v>0</v>
      </c>
      <c r="Y284" s="251">
        <f>IF(Y$4&gt;DAY(EOMONTH(DATE($D$2,$B$2,1),0)),"",IFERROR(SUMIFS(DATA_GOC!$H:$H,DATA_GOC!$A:$A,"BOM",DATA_GOC!$D:$D,$B284,DATA_GOC!$E:$E,"Dầu động cơ",DATA_GOC!$F:$F,"Xuất nội bộ từ téc",DATA_GOC!$B:$B,DATE($D$2,$B$2,Y$4)),0))</f>
        <v>0</v>
      </c>
      <c r="Z284" s="251">
        <f>IF(Z$4&gt;DAY(EOMONTH(DATE($D$2,$B$2,1),0)),"",IFERROR(SUMIFS(DATA_GOC!$H:$H,DATA_GOC!$A:$A,"BOM",DATA_GOC!$D:$D,$B284,DATA_GOC!$E:$E,"Dầu động cơ",DATA_GOC!$F:$F,"Xuất nội bộ từ téc",DATA_GOC!$B:$B,DATE($D$2,$B$2,Z$4)),0))</f>
        <v>0</v>
      </c>
      <c r="AA284" s="251">
        <f>IF(AA$4&gt;DAY(EOMONTH(DATE($D$2,$B$2,1),0)),"",IFERROR(SUMIFS(DATA_GOC!$H:$H,DATA_GOC!$A:$A,"BOM",DATA_GOC!$D:$D,$B284,DATA_GOC!$E:$E,"Dầu động cơ",DATA_GOC!$F:$F,"Xuất nội bộ từ téc",DATA_GOC!$B:$B,DATE($D$2,$B$2,AA$4)),0))</f>
        <v>0</v>
      </c>
      <c r="AB284" s="251">
        <f>IF(AB$4&gt;DAY(EOMONTH(DATE($D$2,$B$2,1),0)),"",IFERROR(SUMIFS(DATA_GOC!$H:$H,DATA_GOC!$A:$A,"BOM",DATA_GOC!$D:$D,$B284,DATA_GOC!$E:$E,"Dầu động cơ",DATA_GOC!$F:$F,"Xuất nội bộ từ téc",DATA_GOC!$B:$B,DATE($D$2,$B$2,AB$4)),0))</f>
        <v>0</v>
      </c>
      <c r="AC284" s="251">
        <f>IF(AC$4&gt;DAY(EOMONTH(DATE($D$2,$B$2,1),0)),"",IFERROR(SUMIFS(DATA_GOC!$H:$H,DATA_GOC!$A:$A,"BOM",DATA_GOC!$D:$D,$B284,DATA_GOC!$E:$E,"Dầu động cơ",DATA_GOC!$F:$F,"Xuất nội bộ từ téc",DATA_GOC!$B:$B,DATE($D$2,$B$2,AC$4)),0))</f>
        <v>0</v>
      </c>
      <c r="AD284" s="251">
        <f>IF(AD$4&gt;DAY(EOMONTH(DATE($D$2,$B$2,1),0)),"",IFERROR(SUMIFS(DATA_GOC!$H:$H,DATA_GOC!$A:$A,"BOM",DATA_GOC!$D:$D,$B284,DATA_GOC!$E:$E,"Dầu động cơ",DATA_GOC!$F:$F,"Xuất nội bộ từ téc",DATA_GOC!$B:$B,DATE($D$2,$B$2,AD$4)),0))</f>
        <v>0</v>
      </c>
      <c r="AE284" s="251">
        <f>IF(AE$4&gt;DAY(EOMONTH(DATE($D$2,$B$2,1),0)),"",IFERROR(SUMIFS(DATA_GOC!$H:$H,DATA_GOC!$A:$A,"BOM",DATA_GOC!$D:$D,$B284,DATA_GOC!$E:$E,"Dầu động cơ",DATA_GOC!$F:$F,"Xuất nội bộ từ téc",DATA_GOC!$B:$B,DATE($D$2,$B$2,AE$4)),0))</f>
        <v>0</v>
      </c>
      <c r="AF284" s="251">
        <f>IF(AF$4&gt;DAY(EOMONTH(DATE($D$2,$B$2,1),0)),"",IFERROR(SUMIFS(DATA_GOC!$H:$H,DATA_GOC!$A:$A,"BOM",DATA_GOC!$D:$D,$B284,DATA_GOC!$E:$E,"Dầu động cơ",DATA_GOC!$F:$F,"Xuất nội bộ từ téc",DATA_GOC!$B:$B,DATE($D$2,$B$2,AF$4)),0))</f>
        <v>0</v>
      </c>
      <c r="AG284" s="251">
        <f>IF(AG$4&gt;DAY(EOMONTH(DATE($D$2,$B$2,1),0)),"",IFERROR(SUMIFS(DATA_GOC!$H:$H,DATA_GOC!$A:$A,"BOM",DATA_GOC!$D:$D,$B284,DATA_GOC!$E:$E,"Dầu động cơ",DATA_GOC!$F:$F,"Xuất nội bộ từ téc",DATA_GOC!$B:$B,DATE($D$2,$B$2,AG$4)),0))</f>
        <v>0</v>
      </c>
      <c r="AH284" s="252">
        <f t="shared" si="13"/>
        <v>0</v>
      </c>
      <c r="AI284" s="241"/>
      <c r="AJ284" s="242">
        <f>IF($B284="","",SUMIFS(TINH_TEC!$K$233:$K$9232,TINH_TEC!$H$233:$H$9232,$B284,TINH_TEC!$C$233:$C$9232,"Dầu động cơ",TINH_TEC!$F$233:$F$9232,$B$2,TINH_TEC!$G$233:$G$9232,$D$2,TINH_TEC!$B$233:$B$9232,"Đã chốt"))</f>
        <v>0</v>
      </c>
      <c r="AK284" s="242">
        <f>IF($B284="","",SUMIFS(TINH_TEC!$J$233:$J$9232,TINH_TEC!$H$233:$H$9232,$B284,TINH_TEC!$C$233:$C$9232,"Dầu động cơ",TINH_TEC!$F$233:$F$9232,$B$2,TINH_TEC!$G$233:$G$9232,$D$2,TINH_TEC!$B$233:$B$9232,"Đã chốt"))</f>
        <v>0</v>
      </c>
      <c r="AL284" s="242">
        <f t="shared" si="14"/>
        <v>0</v>
      </c>
    </row>
    <row r="285" ht="15.75" customHeight="1">
      <c r="A285" s="237">
        <f>IF($B285&lt;&gt;"",36,"")</f>
        <v>36</v>
      </c>
      <c r="B285" s="250" t="str">
        <f t="array" ref="B285">IFERROR(INDEX(DANH_MUC!$E:$E,39),"")</f>
        <v>28H00609</v>
      </c>
      <c r="C285" s="251">
        <f>IF(C$4&gt;DAY(EOMONTH(DATE($D$2,$B$2,1),0)),"",IFERROR(SUMIFS(DATA_GOC!$H:$H,DATA_GOC!$A:$A,"BOM",DATA_GOC!$D:$D,$B285,DATA_GOC!$E:$E,"Dầu động cơ",DATA_GOC!$F:$F,"Xuất nội bộ từ téc",DATA_GOC!$B:$B,DATE($D$2,$B$2,C$4)),0))</f>
        <v>0</v>
      </c>
      <c r="D285" s="251">
        <f>IF(D$4&gt;DAY(EOMONTH(DATE($D$2,$B$2,1),0)),"",IFERROR(SUMIFS(DATA_GOC!$H:$H,DATA_GOC!$A:$A,"BOM",DATA_GOC!$D:$D,$B285,DATA_GOC!$E:$E,"Dầu động cơ",DATA_GOC!$F:$F,"Xuất nội bộ từ téc",DATA_GOC!$B:$B,DATE($D$2,$B$2,D$4)),0))</f>
        <v>0</v>
      </c>
      <c r="E285" s="251">
        <f>IF(E$4&gt;DAY(EOMONTH(DATE($D$2,$B$2,1),0)),"",IFERROR(SUMIFS(DATA_GOC!$H:$H,DATA_GOC!$A:$A,"BOM",DATA_GOC!$D:$D,$B285,DATA_GOC!$E:$E,"Dầu động cơ",DATA_GOC!$F:$F,"Xuất nội bộ từ téc",DATA_GOC!$B:$B,DATE($D$2,$B$2,E$4)),0))</f>
        <v>0</v>
      </c>
      <c r="F285" s="251">
        <f>IF(F$4&gt;DAY(EOMONTH(DATE($D$2,$B$2,1),0)),"",IFERROR(SUMIFS(DATA_GOC!$H:$H,DATA_GOC!$A:$A,"BOM",DATA_GOC!$D:$D,$B285,DATA_GOC!$E:$E,"Dầu động cơ",DATA_GOC!$F:$F,"Xuất nội bộ từ téc",DATA_GOC!$B:$B,DATE($D$2,$B$2,F$4)),0))</f>
        <v>0</v>
      </c>
      <c r="G285" s="251">
        <f>IF(G$4&gt;DAY(EOMONTH(DATE($D$2,$B$2,1),0)),"",IFERROR(SUMIFS(DATA_GOC!$H:$H,DATA_GOC!$A:$A,"BOM",DATA_GOC!$D:$D,$B285,DATA_GOC!$E:$E,"Dầu động cơ",DATA_GOC!$F:$F,"Xuất nội bộ từ téc",DATA_GOC!$B:$B,DATE($D$2,$B$2,G$4)),0))</f>
        <v>0</v>
      </c>
      <c r="H285" s="251">
        <f>IF(H$4&gt;DAY(EOMONTH(DATE($D$2,$B$2,1),0)),"",IFERROR(SUMIFS(DATA_GOC!$H:$H,DATA_GOC!$A:$A,"BOM",DATA_GOC!$D:$D,$B285,DATA_GOC!$E:$E,"Dầu động cơ",DATA_GOC!$F:$F,"Xuất nội bộ từ téc",DATA_GOC!$B:$B,DATE($D$2,$B$2,H$4)),0))</f>
        <v>0</v>
      </c>
      <c r="I285" s="251">
        <f>IF(I$4&gt;DAY(EOMONTH(DATE($D$2,$B$2,1),0)),"",IFERROR(SUMIFS(DATA_GOC!$H:$H,DATA_GOC!$A:$A,"BOM",DATA_GOC!$D:$D,$B285,DATA_GOC!$E:$E,"Dầu động cơ",DATA_GOC!$F:$F,"Xuất nội bộ từ téc",DATA_GOC!$B:$B,DATE($D$2,$B$2,I$4)),0))</f>
        <v>0</v>
      </c>
      <c r="J285" s="251">
        <f>IF(J$4&gt;DAY(EOMONTH(DATE($D$2,$B$2,1),0)),"",IFERROR(SUMIFS(DATA_GOC!$H:$H,DATA_GOC!$A:$A,"BOM",DATA_GOC!$D:$D,$B285,DATA_GOC!$E:$E,"Dầu động cơ",DATA_GOC!$F:$F,"Xuất nội bộ từ téc",DATA_GOC!$B:$B,DATE($D$2,$B$2,J$4)),0))</f>
        <v>0</v>
      </c>
      <c r="K285" s="251">
        <f>IF(K$4&gt;DAY(EOMONTH(DATE($D$2,$B$2,1),0)),"",IFERROR(SUMIFS(DATA_GOC!$H:$H,DATA_GOC!$A:$A,"BOM",DATA_GOC!$D:$D,$B285,DATA_GOC!$E:$E,"Dầu động cơ",DATA_GOC!$F:$F,"Xuất nội bộ từ téc",DATA_GOC!$B:$B,DATE($D$2,$B$2,K$4)),0))</f>
        <v>0</v>
      </c>
      <c r="L285" s="251">
        <f>IF(L$4&gt;DAY(EOMONTH(DATE($D$2,$B$2,1),0)),"",IFERROR(SUMIFS(DATA_GOC!$H:$H,DATA_GOC!$A:$A,"BOM",DATA_GOC!$D:$D,$B285,DATA_GOC!$E:$E,"Dầu động cơ",DATA_GOC!$F:$F,"Xuất nội bộ từ téc",DATA_GOC!$B:$B,DATE($D$2,$B$2,L$4)),0))</f>
        <v>0</v>
      </c>
      <c r="M285" s="251">
        <f>IF(M$4&gt;DAY(EOMONTH(DATE($D$2,$B$2,1),0)),"",IFERROR(SUMIFS(DATA_GOC!$H:$H,DATA_GOC!$A:$A,"BOM",DATA_GOC!$D:$D,$B285,DATA_GOC!$E:$E,"Dầu động cơ",DATA_GOC!$F:$F,"Xuất nội bộ từ téc",DATA_GOC!$B:$B,DATE($D$2,$B$2,M$4)),0))</f>
        <v>0</v>
      </c>
      <c r="N285" s="251">
        <f>IF(N$4&gt;DAY(EOMONTH(DATE($D$2,$B$2,1),0)),"",IFERROR(SUMIFS(DATA_GOC!$H:$H,DATA_GOC!$A:$A,"BOM",DATA_GOC!$D:$D,$B285,DATA_GOC!$E:$E,"Dầu động cơ",DATA_GOC!$F:$F,"Xuất nội bộ từ téc",DATA_GOC!$B:$B,DATE($D$2,$B$2,N$4)),0))</f>
        <v>0</v>
      </c>
      <c r="O285" s="251">
        <f>IF(O$4&gt;DAY(EOMONTH(DATE($D$2,$B$2,1),0)),"",IFERROR(SUMIFS(DATA_GOC!$H:$H,DATA_GOC!$A:$A,"BOM",DATA_GOC!$D:$D,$B285,DATA_GOC!$E:$E,"Dầu động cơ",DATA_GOC!$F:$F,"Xuất nội bộ từ téc",DATA_GOC!$B:$B,DATE($D$2,$B$2,O$4)),0))</f>
        <v>0</v>
      </c>
      <c r="P285" s="251">
        <f>IF(P$4&gt;DAY(EOMONTH(DATE($D$2,$B$2,1),0)),"",IFERROR(SUMIFS(DATA_GOC!$H:$H,DATA_GOC!$A:$A,"BOM",DATA_GOC!$D:$D,$B285,DATA_GOC!$E:$E,"Dầu động cơ",DATA_GOC!$F:$F,"Xuất nội bộ từ téc",DATA_GOC!$B:$B,DATE($D$2,$B$2,P$4)),0))</f>
        <v>0</v>
      </c>
      <c r="Q285" s="251">
        <f>IF(Q$4&gt;DAY(EOMONTH(DATE($D$2,$B$2,1),0)),"",IFERROR(SUMIFS(DATA_GOC!$H:$H,DATA_GOC!$A:$A,"BOM",DATA_GOC!$D:$D,$B285,DATA_GOC!$E:$E,"Dầu động cơ",DATA_GOC!$F:$F,"Xuất nội bộ từ téc",DATA_GOC!$B:$B,DATE($D$2,$B$2,Q$4)),0))</f>
        <v>0</v>
      </c>
      <c r="R285" s="251">
        <f>IF(R$4&gt;DAY(EOMONTH(DATE($D$2,$B$2,1),0)),"",IFERROR(SUMIFS(DATA_GOC!$H:$H,DATA_GOC!$A:$A,"BOM",DATA_GOC!$D:$D,$B285,DATA_GOC!$E:$E,"Dầu động cơ",DATA_GOC!$F:$F,"Xuất nội bộ từ téc",DATA_GOC!$B:$B,DATE($D$2,$B$2,R$4)),0))</f>
        <v>0</v>
      </c>
      <c r="S285" s="251">
        <f>IF(S$4&gt;DAY(EOMONTH(DATE($D$2,$B$2,1),0)),"",IFERROR(SUMIFS(DATA_GOC!$H:$H,DATA_GOC!$A:$A,"BOM",DATA_GOC!$D:$D,$B285,DATA_GOC!$E:$E,"Dầu động cơ",DATA_GOC!$F:$F,"Xuất nội bộ từ téc",DATA_GOC!$B:$B,DATE($D$2,$B$2,S$4)),0))</f>
        <v>0</v>
      </c>
      <c r="T285" s="251">
        <f>IF(T$4&gt;DAY(EOMONTH(DATE($D$2,$B$2,1),0)),"",IFERROR(SUMIFS(DATA_GOC!$H:$H,DATA_GOC!$A:$A,"BOM",DATA_GOC!$D:$D,$B285,DATA_GOC!$E:$E,"Dầu động cơ",DATA_GOC!$F:$F,"Xuất nội bộ từ téc",DATA_GOC!$B:$B,DATE($D$2,$B$2,T$4)),0))</f>
        <v>0</v>
      </c>
      <c r="U285" s="251">
        <f>IF(U$4&gt;DAY(EOMONTH(DATE($D$2,$B$2,1),0)),"",IFERROR(SUMIFS(DATA_GOC!$H:$H,DATA_GOC!$A:$A,"BOM",DATA_GOC!$D:$D,$B285,DATA_GOC!$E:$E,"Dầu động cơ",DATA_GOC!$F:$F,"Xuất nội bộ từ téc",DATA_GOC!$B:$B,DATE($D$2,$B$2,U$4)),0))</f>
        <v>0</v>
      </c>
      <c r="V285" s="251">
        <f>IF(V$4&gt;DAY(EOMONTH(DATE($D$2,$B$2,1),0)),"",IFERROR(SUMIFS(DATA_GOC!$H:$H,DATA_GOC!$A:$A,"BOM",DATA_GOC!$D:$D,$B285,DATA_GOC!$E:$E,"Dầu động cơ",DATA_GOC!$F:$F,"Xuất nội bộ từ téc",DATA_GOC!$B:$B,DATE($D$2,$B$2,V$4)),0))</f>
        <v>0</v>
      </c>
      <c r="W285" s="251">
        <f>IF(W$4&gt;DAY(EOMONTH(DATE($D$2,$B$2,1),0)),"",IFERROR(SUMIFS(DATA_GOC!$H:$H,DATA_GOC!$A:$A,"BOM",DATA_GOC!$D:$D,$B285,DATA_GOC!$E:$E,"Dầu động cơ",DATA_GOC!$F:$F,"Xuất nội bộ từ téc",DATA_GOC!$B:$B,DATE($D$2,$B$2,W$4)),0))</f>
        <v>0</v>
      </c>
      <c r="X285" s="251">
        <f>IF(X$4&gt;DAY(EOMONTH(DATE($D$2,$B$2,1),0)),"",IFERROR(SUMIFS(DATA_GOC!$H:$H,DATA_GOC!$A:$A,"BOM",DATA_GOC!$D:$D,$B285,DATA_GOC!$E:$E,"Dầu động cơ",DATA_GOC!$F:$F,"Xuất nội bộ từ téc",DATA_GOC!$B:$B,DATE($D$2,$B$2,X$4)),0))</f>
        <v>0</v>
      </c>
      <c r="Y285" s="251">
        <f>IF(Y$4&gt;DAY(EOMONTH(DATE($D$2,$B$2,1),0)),"",IFERROR(SUMIFS(DATA_GOC!$H:$H,DATA_GOC!$A:$A,"BOM",DATA_GOC!$D:$D,$B285,DATA_GOC!$E:$E,"Dầu động cơ",DATA_GOC!$F:$F,"Xuất nội bộ từ téc",DATA_GOC!$B:$B,DATE($D$2,$B$2,Y$4)),0))</f>
        <v>0</v>
      </c>
      <c r="Z285" s="251">
        <f>IF(Z$4&gt;DAY(EOMONTH(DATE($D$2,$B$2,1),0)),"",IFERROR(SUMIFS(DATA_GOC!$H:$H,DATA_GOC!$A:$A,"BOM",DATA_GOC!$D:$D,$B285,DATA_GOC!$E:$E,"Dầu động cơ",DATA_GOC!$F:$F,"Xuất nội bộ từ téc",DATA_GOC!$B:$B,DATE($D$2,$B$2,Z$4)),0))</f>
        <v>0</v>
      </c>
      <c r="AA285" s="251">
        <f>IF(AA$4&gt;DAY(EOMONTH(DATE($D$2,$B$2,1),0)),"",IFERROR(SUMIFS(DATA_GOC!$H:$H,DATA_GOC!$A:$A,"BOM",DATA_GOC!$D:$D,$B285,DATA_GOC!$E:$E,"Dầu động cơ",DATA_GOC!$F:$F,"Xuất nội bộ từ téc",DATA_GOC!$B:$B,DATE($D$2,$B$2,AA$4)),0))</f>
        <v>0</v>
      </c>
      <c r="AB285" s="251">
        <f>IF(AB$4&gt;DAY(EOMONTH(DATE($D$2,$B$2,1),0)),"",IFERROR(SUMIFS(DATA_GOC!$H:$H,DATA_GOC!$A:$A,"BOM",DATA_GOC!$D:$D,$B285,DATA_GOC!$E:$E,"Dầu động cơ",DATA_GOC!$F:$F,"Xuất nội bộ từ téc",DATA_GOC!$B:$B,DATE($D$2,$B$2,AB$4)),0))</f>
        <v>0</v>
      </c>
      <c r="AC285" s="251">
        <f>IF(AC$4&gt;DAY(EOMONTH(DATE($D$2,$B$2,1),0)),"",IFERROR(SUMIFS(DATA_GOC!$H:$H,DATA_GOC!$A:$A,"BOM",DATA_GOC!$D:$D,$B285,DATA_GOC!$E:$E,"Dầu động cơ",DATA_GOC!$F:$F,"Xuất nội bộ từ téc",DATA_GOC!$B:$B,DATE($D$2,$B$2,AC$4)),0))</f>
        <v>0</v>
      </c>
      <c r="AD285" s="251">
        <f>IF(AD$4&gt;DAY(EOMONTH(DATE($D$2,$B$2,1),0)),"",IFERROR(SUMIFS(DATA_GOC!$H:$H,DATA_GOC!$A:$A,"BOM",DATA_GOC!$D:$D,$B285,DATA_GOC!$E:$E,"Dầu động cơ",DATA_GOC!$F:$F,"Xuất nội bộ từ téc",DATA_GOC!$B:$B,DATE($D$2,$B$2,AD$4)),0))</f>
        <v>0</v>
      </c>
      <c r="AE285" s="251">
        <f>IF(AE$4&gt;DAY(EOMONTH(DATE($D$2,$B$2,1),0)),"",IFERROR(SUMIFS(DATA_GOC!$H:$H,DATA_GOC!$A:$A,"BOM",DATA_GOC!$D:$D,$B285,DATA_GOC!$E:$E,"Dầu động cơ",DATA_GOC!$F:$F,"Xuất nội bộ từ téc",DATA_GOC!$B:$B,DATE($D$2,$B$2,AE$4)),0))</f>
        <v>0</v>
      </c>
      <c r="AF285" s="251">
        <f>IF(AF$4&gt;DAY(EOMONTH(DATE($D$2,$B$2,1),0)),"",IFERROR(SUMIFS(DATA_GOC!$H:$H,DATA_GOC!$A:$A,"BOM",DATA_GOC!$D:$D,$B285,DATA_GOC!$E:$E,"Dầu động cơ",DATA_GOC!$F:$F,"Xuất nội bộ từ téc",DATA_GOC!$B:$B,DATE($D$2,$B$2,AF$4)),0))</f>
        <v>0</v>
      </c>
      <c r="AG285" s="251">
        <f>IF(AG$4&gt;DAY(EOMONTH(DATE($D$2,$B$2,1),0)),"",IFERROR(SUMIFS(DATA_GOC!$H:$H,DATA_GOC!$A:$A,"BOM",DATA_GOC!$D:$D,$B285,DATA_GOC!$E:$E,"Dầu động cơ",DATA_GOC!$F:$F,"Xuất nội bộ từ téc",DATA_GOC!$B:$B,DATE($D$2,$B$2,AG$4)),0))</f>
        <v>0</v>
      </c>
      <c r="AH285" s="252">
        <f t="shared" si="13"/>
        <v>0</v>
      </c>
      <c r="AI285" s="241"/>
      <c r="AJ285" s="242">
        <f>IF($B285="","",SUMIFS(TINH_TEC!$K$233:$K$9232,TINH_TEC!$H$233:$H$9232,$B285,TINH_TEC!$C$233:$C$9232,"Dầu động cơ",TINH_TEC!$F$233:$F$9232,$B$2,TINH_TEC!$G$233:$G$9232,$D$2,TINH_TEC!$B$233:$B$9232,"Đã chốt"))</f>
        <v>0</v>
      </c>
      <c r="AK285" s="242">
        <f>IF($B285="","",SUMIFS(TINH_TEC!$J$233:$J$9232,TINH_TEC!$H$233:$H$9232,$B285,TINH_TEC!$C$233:$C$9232,"Dầu động cơ",TINH_TEC!$F$233:$F$9232,$B$2,TINH_TEC!$G$233:$G$9232,$D$2,TINH_TEC!$B$233:$B$9232,"Đã chốt"))</f>
        <v>0</v>
      </c>
      <c r="AL285" s="242">
        <f t="shared" si="14"/>
        <v>0</v>
      </c>
    </row>
    <row r="286" ht="15.75" customHeight="1">
      <c r="A286" s="237">
        <f>IF($B286&lt;&gt;"",37,"")</f>
        <v>37</v>
      </c>
      <c r="B286" s="250" t="str">
        <f t="array" ref="B286">IFERROR(INDEX(DANH_MUC!$E:$E,40),"")</f>
        <v>28H00669</v>
      </c>
      <c r="C286" s="251">
        <f>IF(C$4&gt;DAY(EOMONTH(DATE($D$2,$B$2,1),0)),"",IFERROR(SUMIFS(DATA_GOC!$H:$H,DATA_GOC!$A:$A,"BOM",DATA_GOC!$D:$D,$B286,DATA_GOC!$E:$E,"Dầu động cơ",DATA_GOC!$F:$F,"Xuất nội bộ từ téc",DATA_GOC!$B:$B,DATE($D$2,$B$2,C$4)),0))</f>
        <v>0</v>
      </c>
      <c r="D286" s="251">
        <f>IF(D$4&gt;DAY(EOMONTH(DATE($D$2,$B$2,1),0)),"",IFERROR(SUMIFS(DATA_GOC!$H:$H,DATA_GOC!$A:$A,"BOM",DATA_GOC!$D:$D,$B286,DATA_GOC!$E:$E,"Dầu động cơ",DATA_GOC!$F:$F,"Xuất nội bộ từ téc",DATA_GOC!$B:$B,DATE($D$2,$B$2,D$4)),0))</f>
        <v>0</v>
      </c>
      <c r="E286" s="251">
        <f>IF(E$4&gt;DAY(EOMONTH(DATE($D$2,$B$2,1),0)),"",IFERROR(SUMIFS(DATA_GOC!$H:$H,DATA_GOC!$A:$A,"BOM",DATA_GOC!$D:$D,$B286,DATA_GOC!$E:$E,"Dầu động cơ",DATA_GOC!$F:$F,"Xuất nội bộ từ téc",DATA_GOC!$B:$B,DATE($D$2,$B$2,E$4)),0))</f>
        <v>0</v>
      </c>
      <c r="F286" s="251">
        <f>IF(F$4&gt;DAY(EOMONTH(DATE($D$2,$B$2,1),0)),"",IFERROR(SUMIFS(DATA_GOC!$H:$H,DATA_GOC!$A:$A,"BOM",DATA_GOC!$D:$D,$B286,DATA_GOC!$E:$E,"Dầu động cơ",DATA_GOC!$F:$F,"Xuất nội bộ từ téc",DATA_GOC!$B:$B,DATE($D$2,$B$2,F$4)),0))</f>
        <v>0</v>
      </c>
      <c r="G286" s="251">
        <f>IF(G$4&gt;DAY(EOMONTH(DATE($D$2,$B$2,1),0)),"",IFERROR(SUMIFS(DATA_GOC!$H:$H,DATA_GOC!$A:$A,"BOM",DATA_GOC!$D:$D,$B286,DATA_GOC!$E:$E,"Dầu động cơ",DATA_GOC!$F:$F,"Xuất nội bộ từ téc",DATA_GOC!$B:$B,DATE($D$2,$B$2,G$4)),0))</f>
        <v>0</v>
      </c>
      <c r="H286" s="251">
        <f>IF(H$4&gt;DAY(EOMONTH(DATE($D$2,$B$2,1),0)),"",IFERROR(SUMIFS(DATA_GOC!$H:$H,DATA_GOC!$A:$A,"BOM",DATA_GOC!$D:$D,$B286,DATA_GOC!$E:$E,"Dầu động cơ",DATA_GOC!$F:$F,"Xuất nội bộ từ téc",DATA_GOC!$B:$B,DATE($D$2,$B$2,H$4)),0))</f>
        <v>0</v>
      </c>
      <c r="I286" s="251">
        <f>IF(I$4&gt;DAY(EOMONTH(DATE($D$2,$B$2,1),0)),"",IFERROR(SUMIFS(DATA_GOC!$H:$H,DATA_GOC!$A:$A,"BOM",DATA_GOC!$D:$D,$B286,DATA_GOC!$E:$E,"Dầu động cơ",DATA_GOC!$F:$F,"Xuất nội bộ từ téc",DATA_GOC!$B:$B,DATE($D$2,$B$2,I$4)),0))</f>
        <v>0</v>
      </c>
      <c r="J286" s="251">
        <f>IF(J$4&gt;DAY(EOMONTH(DATE($D$2,$B$2,1),0)),"",IFERROR(SUMIFS(DATA_GOC!$H:$H,DATA_GOC!$A:$A,"BOM",DATA_GOC!$D:$D,$B286,DATA_GOC!$E:$E,"Dầu động cơ",DATA_GOC!$F:$F,"Xuất nội bộ từ téc",DATA_GOC!$B:$B,DATE($D$2,$B$2,J$4)),0))</f>
        <v>0</v>
      </c>
      <c r="K286" s="251">
        <f>IF(K$4&gt;DAY(EOMONTH(DATE($D$2,$B$2,1),0)),"",IFERROR(SUMIFS(DATA_GOC!$H:$H,DATA_GOC!$A:$A,"BOM",DATA_GOC!$D:$D,$B286,DATA_GOC!$E:$E,"Dầu động cơ",DATA_GOC!$F:$F,"Xuất nội bộ từ téc",DATA_GOC!$B:$B,DATE($D$2,$B$2,K$4)),0))</f>
        <v>0</v>
      </c>
      <c r="L286" s="251">
        <f>IF(L$4&gt;DAY(EOMONTH(DATE($D$2,$B$2,1),0)),"",IFERROR(SUMIFS(DATA_GOC!$H:$H,DATA_GOC!$A:$A,"BOM",DATA_GOC!$D:$D,$B286,DATA_GOC!$E:$E,"Dầu động cơ",DATA_GOC!$F:$F,"Xuất nội bộ từ téc",DATA_GOC!$B:$B,DATE($D$2,$B$2,L$4)),0))</f>
        <v>0</v>
      </c>
      <c r="M286" s="251">
        <f>IF(M$4&gt;DAY(EOMONTH(DATE($D$2,$B$2,1),0)),"",IFERROR(SUMIFS(DATA_GOC!$H:$H,DATA_GOC!$A:$A,"BOM",DATA_GOC!$D:$D,$B286,DATA_GOC!$E:$E,"Dầu động cơ",DATA_GOC!$F:$F,"Xuất nội bộ từ téc",DATA_GOC!$B:$B,DATE($D$2,$B$2,M$4)),0))</f>
        <v>0</v>
      </c>
      <c r="N286" s="251">
        <f>IF(N$4&gt;DAY(EOMONTH(DATE($D$2,$B$2,1),0)),"",IFERROR(SUMIFS(DATA_GOC!$H:$H,DATA_GOC!$A:$A,"BOM",DATA_GOC!$D:$D,$B286,DATA_GOC!$E:$E,"Dầu động cơ",DATA_GOC!$F:$F,"Xuất nội bộ từ téc",DATA_GOC!$B:$B,DATE($D$2,$B$2,N$4)),0))</f>
        <v>0</v>
      </c>
      <c r="O286" s="251">
        <f>IF(O$4&gt;DAY(EOMONTH(DATE($D$2,$B$2,1),0)),"",IFERROR(SUMIFS(DATA_GOC!$H:$H,DATA_GOC!$A:$A,"BOM",DATA_GOC!$D:$D,$B286,DATA_GOC!$E:$E,"Dầu động cơ",DATA_GOC!$F:$F,"Xuất nội bộ từ téc",DATA_GOC!$B:$B,DATE($D$2,$B$2,O$4)),0))</f>
        <v>0</v>
      </c>
      <c r="P286" s="251">
        <f>IF(P$4&gt;DAY(EOMONTH(DATE($D$2,$B$2,1),0)),"",IFERROR(SUMIFS(DATA_GOC!$H:$H,DATA_GOC!$A:$A,"BOM",DATA_GOC!$D:$D,$B286,DATA_GOC!$E:$E,"Dầu động cơ",DATA_GOC!$F:$F,"Xuất nội bộ từ téc",DATA_GOC!$B:$B,DATE($D$2,$B$2,P$4)),0))</f>
        <v>0</v>
      </c>
      <c r="Q286" s="251">
        <f>IF(Q$4&gt;DAY(EOMONTH(DATE($D$2,$B$2,1),0)),"",IFERROR(SUMIFS(DATA_GOC!$H:$H,DATA_GOC!$A:$A,"BOM",DATA_GOC!$D:$D,$B286,DATA_GOC!$E:$E,"Dầu động cơ",DATA_GOC!$F:$F,"Xuất nội bộ từ téc",DATA_GOC!$B:$B,DATE($D$2,$B$2,Q$4)),0))</f>
        <v>0</v>
      </c>
      <c r="R286" s="251">
        <f>IF(R$4&gt;DAY(EOMONTH(DATE($D$2,$B$2,1),0)),"",IFERROR(SUMIFS(DATA_GOC!$H:$H,DATA_GOC!$A:$A,"BOM",DATA_GOC!$D:$D,$B286,DATA_GOC!$E:$E,"Dầu động cơ",DATA_GOC!$F:$F,"Xuất nội bộ từ téc",DATA_GOC!$B:$B,DATE($D$2,$B$2,R$4)),0))</f>
        <v>0</v>
      </c>
      <c r="S286" s="251">
        <f>IF(S$4&gt;DAY(EOMONTH(DATE($D$2,$B$2,1),0)),"",IFERROR(SUMIFS(DATA_GOC!$H:$H,DATA_GOC!$A:$A,"BOM",DATA_GOC!$D:$D,$B286,DATA_GOC!$E:$E,"Dầu động cơ",DATA_GOC!$F:$F,"Xuất nội bộ từ téc",DATA_GOC!$B:$B,DATE($D$2,$B$2,S$4)),0))</f>
        <v>0</v>
      </c>
      <c r="T286" s="251">
        <f>IF(T$4&gt;DAY(EOMONTH(DATE($D$2,$B$2,1),0)),"",IFERROR(SUMIFS(DATA_GOC!$H:$H,DATA_GOC!$A:$A,"BOM",DATA_GOC!$D:$D,$B286,DATA_GOC!$E:$E,"Dầu động cơ",DATA_GOC!$F:$F,"Xuất nội bộ từ téc",DATA_GOC!$B:$B,DATE($D$2,$B$2,T$4)),0))</f>
        <v>0</v>
      </c>
      <c r="U286" s="251">
        <f>IF(U$4&gt;DAY(EOMONTH(DATE($D$2,$B$2,1),0)),"",IFERROR(SUMIFS(DATA_GOC!$H:$H,DATA_GOC!$A:$A,"BOM",DATA_GOC!$D:$D,$B286,DATA_GOC!$E:$E,"Dầu động cơ",DATA_GOC!$F:$F,"Xuất nội bộ từ téc",DATA_GOC!$B:$B,DATE($D$2,$B$2,U$4)),0))</f>
        <v>0</v>
      </c>
      <c r="V286" s="251">
        <f>IF(V$4&gt;DAY(EOMONTH(DATE($D$2,$B$2,1),0)),"",IFERROR(SUMIFS(DATA_GOC!$H:$H,DATA_GOC!$A:$A,"BOM",DATA_GOC!$D:$D,$B286,DATA_GOC!$E:$E,"Dầu động cơ",DATA_GOC!$F:$F,"Xuất nội bộ từ téc",DATA_GOC!$B:$B,DATE($D$2,$B$2,V$4)),0))</f>
        <v>0</v>
      </c>
      <c r="W286" s="251">
        <f>IF(W$4&gt;DAY(EOMONTH(DATE($D$2,$B$2,1),0)),"",IFERROR(SUMIFS(DATA_GOC!$H:$H,DATA_GOC!$A:$A,"BOM",DATA_GOC!$D:$D,$B286,DATA_GOC!$E:$E,"Dầu động cơ",DATA_GOC!$F:$F,"Xuất nội bộ từ téc",DATA_GOC!$B:$B,DATE($D$2,$B$2,W$4)),0))</f>
        <v>0</v>
      </c>
      <c r="X286" s="251">
        <f>IF(X$4&gt;DAY(EOMONTH(DATE($D$2,$B$2,1),0)),"",IFERROR(SUMIFS(DATA_GOC!$H:$H,DATA_GOC!$A:$A,"BOM",DATA_GOC!$D:$D,$B286,DATA_GOC!$E:$E,"Dầu động cơ",DATA_GOC!$F:$F,"Xuất nội bộ từ téc",DATA_GOC!$B:$B,DATE($D$2,$B$2,X$4)),0))</f>
        <v>0</v>
      </c>
      <c r="Y286" s="251">
        <f>IF(Y$4&gt;DAY(EOMONTH(DATE($D$2,$B$2,1),0)),"",IFERROR(SUMIFS(DATA_GOC!$H:$H,DATA_GOC!$A:$A,"BOM",DATA_GOC!$D:$D,$B286,DATA_GOC!$E:$E,"Dầu động cơ",DATA_GOC!$F:$F,"Xuất nội bộ từ téc",DATA_GOC!$B:$B,DATE($D$2,$B$2,Y$4)),0))</f>
        <v>0</v>
      </c>
      <c r="Z286" s="251">
        <f>IF(Z$4&gt;DAY(EOMONTH(DATE($D$2,$B$2,1),0)),"",IFERROR(SUMIFS(DATA_GOC!$H:$H,DATA_GOC!$A:$A,"BOM",DATA_GOC!$D:$D,$B286,DATA_GOC!$E:$E,"Dầu động cơ",DATA_GOC!$F:$F,"Xuất nội bộ từ téc",DATA_GOC!$B:$B,DATE($D$2,$B$2,Z$4)),0))</f>
        <v>0</v>
      </c>
      <c r="AA286" s="251">
        <f>IF(AA$4&gt;DAY(EOMONTH(DATE($D$2,$B$2,1),0)),"",IFERROR(SUMIFS(DATA_GOC!$H:$H,DATA_GOC!$A:$A,"BOM",DATA_GOC!$D:$D,$B286,DATA_GOC!$E:$E,"Dầu động cơ",DATA_GOC!$F:$F,"Xuất nội bộ từ téc",DATA_GOC!$B:$B,DATE($D$2,$B$2,AA$4)),0))</f>
        <v>0</v>
      </c>
      <c r="AB286" s="251">
        <f>IF(AB$4&gt;DAY(EOMONTH(DATE($D$2,$B$2,1),0)),"",IFERROR(SUMIFS(DATA_GOC!$H:$H,DATA_GOC!$A:$A,"BOM",DATA_GOC!$D:$D,$B286,DATA_GOC!$E:$E,"Dầu động cơ",DATA_GOC!$F:$F,"Xuất nội bộ từ téc",DATA_GOC!$B:$B,DATE($D$2,$B$2,AB$4)),0))</f>
        <v>0</v>
      </c>
      <c r="AC286" s="251">
        <f>IF(AC$4&gt;DAY(EOMONTH(DATE($D$2,$B$2,1),0)),"",IFERROR(SUMIFS(DATA_GOC!$H:$H,DATA_GOC!$A:$A,"BOM",DATA_GOC!$D:$D,$B286,DATA_GOC!$E:$E,"Dầu động cơ",DATA_GOC!$F:$F,"Xuất nội bộ từ téc",DATA_GOC!$B:$B,DATE($D$2,$B$2,AC$4)),0))</f>
        <v>0</v>
      </c>
      <c r="AD286" s="251">
        <f>IF(AD$4&gt;DAY(EOMONTH(DATE($D$2,$B$2,1),0)),"",IFERROR(SUMIFS(DATA_GOC!$H:$H,DATA_GOC!$A:$A,"BOM",DATA_GOC!$D:$D,$B286,DATA_GOC!$E:$E,"Dầu động cơ",DATA_GOC!$F:$F,"Xuất nội bộ từ téc",DATA_GOC!$B:$B,DATE($D$2,$B$2,AD$4)),0))</f>
        <v>0</v>
      </c>
      <c r="AE286" s="251">
        <f>IF(AE$4&gt;DAY(EOMONTH(DATE($D$2,$B$2,1),0)),"",IFERROR(SUMIFS(DATA_GOC!$H:$H,DATA_GOC!$A:$A,"BOM",DATA_GOC!$D:$D,$B286,DATA_GOC!$E:$E,"Dầu động cơ",DATA_GOC!$F:$F,"Xuất nội bộ từ téc",DATA_GOC!$B:$B,DATE($D$2,$B$2,AE$4)),0))</f>
        <v>0</v>
      </c>
      <c r="AF286" s="251">
        <f>IF(AF$4&gt;DAY(EOMONTH(DATE($D$2,$B$2,1),0)),"",IFERROR(SUMIFS(DATA_GOC!$H:$H,DATA_GOC!$A:$A,"BOM",DATA_GOC!$D:$D,$B286,DATA_GOC!$E:$E,"Dầu động cơ",DATA_GOC!$F:$F,"Xuất nội bộ từ téc",DATA_GOC!$B:$B,DATE($D$2,$B$2,AF$4)),0))</f>
        <v>0</v>
      </c>
      <c r="AG286" s="251">
        <f>IF(AG$4&gt;DAY(EOMONTH(DATE($D$2,$B$2,1),0)),"",IFERROR(SUMIFS(DATA_GOC!$H:$H,DATA_GOC!$A:$A,"BOM",DATA_GOC!$D:$D,$B286,DATA_GOC!$E:$E,"Dầu động cơ",DATA_GOC!$F:$F,"Xuất nội bộ từ téc",DATA_GOC!$B:$B,DATE($D$2,$B$2,AG$4)),0))</f>
        <v>0</v>
      </c>
      <c r="AH286" s="252">
        <f t="shared" si="13"/>
        <v>0</v>
      </c>
      <c r="AI286" s="241"/>
      <c r="AJ286" s="242">
        <f>IF($B286="","",SUMIFS(TINH_TEC!$K$233:$K$9232,TINH_TEC!$H$233:$H$9232,$B286,TINH_TEC!$C$233:$C$9232,"Dầu động cơ",TINH_TEC!$F$233:$F$9232,$B$2,TINH_TEC!$G$233:$G$9232,$D$2,TINH_TEC!$B$233:$B$9232,"Đã chốt"))</f>
        <v>0</v>
      </c>
      <c r="AK286" s="242">
        <f>IF($B286="","",SUMIFS(TINH_TEC!$J$233:$J$9232,TINH_TEC!$H$233:$H$9232,$B286,TINH_TEC!$C$233:$C$9232,"Dầu động cơ",TINH_TEC!$F$233:$F$9232,$B$2,TINH_TEC!$G$233:$G$9232,$D$2,TINH_TEC!$B$233:$B$9232,"Đã chốt"))</f>
        <v>0</v>
      </c>
      <c r="AL286" s="242">
        <f t="shared" si="14"/>
        <v>0</v>
      </c>
    </row>
    <row r="287" ht="15.75" customHeight="1">
      <c r="A287" s="237">
        <f>IF($B287&lt;&gt;"",38,"")</f>
        <v>38</v>
      </c>
      <c r="B287" s="250" t="str">
        <f t="array" ref="B287">IFERROR(INDEX(DANH_MUC!$E:$E,41),"")</f>
        <v>28H00680</v>
      </c>
      <c r="C287" s="251">
        <f>IF(C$4&gt;DAY(EOMONTH(DATE($D$2,$B$2,1),0)),"",IFERROR(SUMIFS(DATA_GOC!$H:$H,DATA_GOC!$A:$A,"BOM",DATA_GOC!$D:$D,$B287,DATA_GOC!$E:$E,"Dầu động cơ",DATA_GOC!$F:$F,"Xuất nội bộ từ téc",DATA_GOC!$B:$B,DATE($D$2,$B$2,C$4)),0))</f>
        <v>0</v>
      </c>
      <c r="D287" s="251">
        <f>IF(D$4&gt;DAY(EOMONTH(DATE($D$2,$B$2,1),0)),"",IFERROR(SUMIFS(DATA_GOC!$H:$H,DATA_GOC!$A:$A,"BOM",DATA_GOC!$D:$D,$B287,DATA_GOC!$E:$E,"Dầu động cơ",DATA_GOC!$F:$F,"Xuất nội bộ từ téc",DATA_GOC!$B:$B,DATE($D$2,$B$2,D$4)),0))</f>
        <v>0</v>
      </c>
      <c r="E287" s="251">
        <f>IF(E$4&gt;DAY(EOMONTH(DATE($D$2,$B$2,1),0)),"",IFERROR(SUMIFS(DATA_GOC!$H:$H,DATA_GOC!$A:$A,"BOM",DATA_GOC!$D:$D,$B287,DATA_GOC!$E:$E,"Dầu động cơ",DATA_GOC!$F:$F,"Xuất nội bộ từ téc",DATA_GOC!$B:$B,DATE($D$2,$B$2,E$4)),0))</f>
        <v>0</v>
      </c>
      <c r="F287" s="251">
        <f>IF(F$4&gt;DAY(EOMONTH(DATE($D$2,$B$2,1),0)),"",IFERROR(SUMIFS(DATA_GOC!$H:$H,DATA_GOC!$A:$A,"BOM",DATA_GOC!$D:$D,$B287,DATA_GOC!$E:$E,"Dầu động cơ",DATA_GOC!$F:$F,"Xuất nội bộ từ téc",DATA_GOC!$B:$B,DATE($D$2,$B$2,F$4)),0))</f>
        <v>0</v>
      </c>
      <c r="G287" s="251">
        <f>IF(G$4&gt;DAY(EOMONTH(DATE($D$2,$B$2,1),0)),"",IFERROR(SUMIFS(DATA_GOC!$H:$H,DATA_GOC!$A:$A,"BOM",DATA_GOC!$D:$D,$B287,DATA_GOC!$E:$E,"Dầu động cơ",DATA_GOC!$F:$F,"Xuất nội bộ từ téc",DATA_GOC!$B:$B,DATE($D$2,$B$2,G$4)),0))</f>
        <v>0</v>
      </c>
      <c r="H287" s="251">
        <f>IF(H$4&gt;DAY(EOMONTH(DATE($D$2,$B$2,1),0)),"",IFERROR(SUMIFS(DATA_GOC!$H:$H,DATA_GOC!$A:$A,"BOM",DATA_GOC!$D:$D,$B287,DATA_GOC!$E:$E,"Dầu động cơ",DATA_GOC!$F:$F,"Xuất nội bộ từ téc",DATA_GOC!$B:$B,DATE($D$2,$B$2,H$4)),0))</f>
        <v>0</v>
      </c>
      <c r="I287" s="251">
        <f>IF(I$4&gt;DAY(EOMONTH(DATE($D$2,$B$2,1),0)),"",IFERROR(SUMIFS(DATA_GOC!$H:$H,DATA_GOC!$A:$A,"BOM",DATA_GOC!$D:$D,$B287,DATA_GOC!$E:$E,"Dầu động cơ",DATA_GOC!$F:$F,"Xuất nội bộ từ téc",DATA_GOC!$B:$B,DATE($D$2,$B$2,I$4)),0))</f>
        <v>0</v>
      </c>
      <c r="J287" s="251">
        <f>IF(J$4&gt;DAY(EOMONTH(DATE($D$2,$B$2,1),0)),"",IFERROR(SUMIFS(DATA_GOC!$H:$H,DATA_GOC!$A:$A,"BOM",DATA_GOC!$D:$D,$B287,DATA_GOC!$E:$E,"Dầu động cơ",DATA_GOC!$F:$F,"Xuất nội bộ từ téc",DATA_GOC!$B:$B,DATE($D$2,$B$2,J$4)),0))</f>
        <v>0</v>
      </c>
      <c r="K287" s="251">
        <f>IF(K$4&gt;DAY(EOMONTH(DATE($D$2,$B$2,1),0)),"",IFERROR(SUMIFS(DATA_GOC!$H:$H,DATA_GOC!$A:$A,"BOM",DATA_GOC!$D:$D,$B287,DATA_GOC!$E:$E,"Dầu động cơ",DATA_GOC!$F:$F,"Xuất nội bộ từ téc",DATA_GOC!$B:$B,DATE($D$2,$B$2,K$4)),0))</f>
        <v>0</v>
      </c>
      <c r="L287" s="251">
        <f>IF(L$4&gt;DAY(EOMONTH(DATE($D$2,$B$2,1),0)),"",IFERROR(SUMIFS(DATA_GOC!$H:$H,DATA_GOC!$A:$A,"BOM",DATA_GOC!$D:$D,$B287,DATA_GOC!$E:$E,"Dầu động cơ",DATA_GOC!$F:$F,"Xuất nội bộ từ téc",DATA_GOC!$B:$B,DATE($D$2,$B$2,L$4)),0))</f>
        <v>0</v>
      </c>
      <c r="M287" s="251">
        <f>IF(M$4&gt;DAY(EOMONTH(DATE($D$2,$B$2,1),0)),"",IFERROR(SUMIFS(DATA_GOC!$H:$H,DATA_GOC!$A:$A,"BOM",DATA_GOC!$D:$D,$B287,DATA_GOC!$E:$E,"Dầu động cơ",DATA_GOC!$F:$F,"Xuất nội bộ từ téc",DATA_GOC!$B:$B,DATE($D$2,$B$2,M$4)),0))</f>
        <v>0</v>
      </c>
      <c r="N287" s="251">
        <f>IF(N$4&gt;DAY(EOMONTH(DATE($D$2,$B$2,1),0)),"",IFERROR(SUMIFS(DATA_GOC!$H:$H,DATA_GOC!$A:$A,"BOM",DATA_GOC!$D:$D,$B287,DATA_GOC!$E:$E,"Dầu động cơ",DATA_GOC!$F:$F,"Xuất nội bộ từ téc",DATA_GOC!$B:$B,DATE($D$2,$B$2,N$4)),0))</f>
        <v>0</v>
      </c>
      <c r="O287" s="251">
        <f>IF(O$4&gt;DAY(EOMONTH(DATE($D$2,$B$2,1),0)),"",IFERROR(SUMIFS(DATA_GOC!$H:$H,DATA_GOC!$A:$A,"BOM",DATA_GOC!$D:$D,$B287,DATA_GOC!$E:$E,"Dầu động cơ",DATA_GOC!$F:$F,"Xuất nội bộ từ téc",DATA_GOC!$B:$B,DATE($D$2,$B$2,O$4)),0))</f>
        <v>0</v>
      </c>
      <c r="P287" s="251">
        <f>IF(P$4&gt;DAY(EOMONTH(DATE($D$2,$B$2,1),0)),"",IFERROR(SUMIFS(DATA_GOC!$H:$H,DATA_GOC!$A:$A,"BOM",DATA_GOC!$D:$D,$B287,DATA_GOC!$E:$E,"Dầu động cơ",DATA_GOC!$F:$F,"Xuất nội bộ từ téc",DATA_GOC!$B:$B,DATE($D$2,$B$2,P$4)),0))</f>
        <v>0</v>
      </c>
      <c r="Q287" s="251">
        <f>IF(Q$4&gt;DAY(EOMONTH(DATE($D$2,$B$2,1),0)),"",IFERROR(SUMIFS(DATA_GOC!$H:$H,DATA_GOC!$A:$A,"BOM",DATA_GOC!$D:$D,$B287,DATA_GOC!$E:$E,"Dầu động cơ",DATA_GOC!$F:$F,"Xuất nội bộ từ téc",DATA_GOC!$B:$B,DATE($D$2,$B$2,Q$4)),0))</f>
        <v>0</v>
      </c>
      <c r="R287" s="251">
        <f>IF(R$4&gt;DAY(EOMONTH(DATE($D$2,$B$2,1),0)),"",IFERROR(SUMIFS(DATA_GOC!$H:$H,DATA_GOC!$A:$A,"BOM",DATA_GOC!$D:$D,$B287,DATA_GOC!$E:$E,"Dầu động cơ",DATA_GOC!$F:$F,"Xuất nội bộ từ téc",DATA_GOC!$B:$B,DATE($D$2,$B$2,R$4)),0))</f>
        <v>0</v>
      </c>
      <c r="S287" s="251">
        <f>IF(S$4&gt;DAY(EOMONTH(DATE($D$2,$B$2,1),0)),"",IFERROR(SUMIFS(DATA_GOC!$H:$H,DATA_GOC!$A:$A,"BOM",DATA_GOC!$D:$D,$B287,DATA_GOC!$E:$E,"Dầu động cơ",DATA_GOC!$F:$F,"Xuất nội bộ từ téc",DATA_GOC!$B:$B,DATE($D$2,$B$2,S$4)),0))</f>
        <v>0</v>
      </c>
      <c r="T287" s="251">
        <f>IF(T$4&gt;DAY(EOMONTH(DATE($D$2,$B$2,1),0)),"",IFERROR(SUMIFS(DATA_GOC!$H:$H,DATA_GOC!$A:$A,"BOM",DATA_GOC!$D:$D,$B287,DATA_GOC!$E:$E,"Dầu động cơ",DATA_GOC!$F:$F,"Xuất nội bộ từ téc",DATA_GOC!$B:$B,DATE($D$2,$B$2,T$4)),0))</f>
        <v>0</v>
      </c>
      <c r="U287" s="251">
        <f>IF(U$4&gt;DAY(EOMONTH(DATE($D$2,$B$2,1),0)),"",IFERROR(SUMIFS(DATA_GOC!$H:$H,DATA_GOC!$A:$A,"BOM",DATA_GOC!$D:$D,$B287,DATA_GOC!$E:$E,"Dầu động cơ",DATA_GOC!$F:$F,"Xuất nội bộ từ téc",DATA_GOC!$B:$B,DATE($D$2,$B$2,U$4)),0))</f>
        <v>0</v>
      </c>
      <c r="V287" s="251">
        <f>IF(V$4&gt;DAY(EOMONTH(DATE($D$2,$B$2,1),0)),"",IFERROR(SUMIFS(DATA_GOC!$H:$H,DATA_GOC!$A:$A,"BOM",DATA_GOC!$D:$D,$B287,DATA_GOC!$E:$E,"Dầu động cơ",DATA_GOC!$F:$F,"Xuất nội bộ từ téc",DATA_GOC!$B:$B,DATE($D$2,$B$2,V$4)),0))</f>
        <v>0</v>
      </c>
      <c r="W287" s="251">
        <f>IF(W$4&gt;DAY(EOMONTH(DATE($D$2,$B$2,1),0)),"",IFERROR(SUMIFS(DATA_GOC!$H:$H,DATA_GOC!$A:$A,"BOM",DATA_GOC!$D:$D,$B287,DATA_GOC!$E:$E,"Dầu động cơ",DATA_GOC!$F:$F,"Xuất nội bộ từ téc",DATA_GOC!$B:$B,DATE($D$2,$B$2,W$4)),0))</f>
        <v>0</v>
      </c>
      <c r="X287" s="251">
        <f>IF(X$4&gt;DAY(EOMONTH(DATE($D$2,$B$2,1),0)),"",IFERROR(SUMIFS(DATA_GOC!$H:$H,DATA_GOC!$A:$A,"BOM",DATA_GOC!$D:$D,$B287,DATA_GOC!$E:$E,"Dầu động cơ",DATA_GOC!$F:$F,"Xuất nội bộ từ téc",DATA_GOC!$B:$B,DATE($D$2,$B$2,X$4)),0))</f>
        <v>0</v>
      </c>
      <c r="Y287" s="251">
        <f>IF(Y$4&gt;DAY(EOMONTH(DATE($D$2,$B$2,1),0)),"",IFERROR(SUMIFS(DATA_GOC!$H:$H,DATA_GOC!$A:$A,"BOM",DATA_GOC!$D:$D,$B287,DATA_GOC!$E:$E,"Dầu động cơ",DATA_GOC!$F:$F,"Xuất nội bộ từ téc",DATA_GOC!$B:$B,DATE($D$2,$B$2,Y$4)),0))</f>
        <v>0</v>
      </c>
      <c r="Z287" s="251">
        <f>IF(Z$4&gt;DAY(EOMONTH(DATE($D$2,$B$2,1),0)),"",IFERROR(SUMIFS(DATA_GOC!$H:$H,DATA_GOC!$A:$A,"BOM",DATA_GOC!$D:$D,$B287,DATA_GOC!$E:$E,"Dầu động cơ",DATA_GOC!$F:$F,"Xuất nội bộ từ téc",DATA_GOC!$B:$B,DATE($D$2,$B$2,Z$4)),0))</f>
        <v>0</v>
      </c>
      <c r="AA287" s="251">
        <f>IF(AA$4&gt;DAY(EOMONTH(DATE($D$2,$B$2,1),0)),"",IFERROR(SUMIFS(DATA_GOC!$H:$H,DATA_GOC!$A:$A,"BOM",DATA_GOC!$D:$D,$B287,DATA_GOC!$E:$E,"Dầu động cơ",DATA_GOC!$F:$F,"Xuất nội bộ từ téc",DATA_GOC!$B:$B,DATE($D$2,$B$2,AA$4)),0))</f>
        <v>0</v>
      </c>
      <c r="AB287" s="251">
        <f>IF(AB$4&gt;DAY(EOMONTH(DATE($D$2,$B$2,1),0)),"",IFERROR(SUMIFS(DATA_GOC!$H:$H,DATA_GOC!$A:$A,"BOM",DATA_GOC!$D:$D,$B287,DATA_GOC!$E:$E,"Dầu động cơ",DATA_GOC!$F:$F,"Xuất nội bộ từ téc",DATA_GOC!$B:$B,DATE($D$2,$B$2,AB$4)),0))</f>
        <v>0</v>
      </c>
      <c r="AC287" s="251">
        <f>IF(AC$4&gt;DAY(EOMONTH(DATE($D$2,$B$2,1),0)),"",IFERROR(SUMIFS(DATA_GOC!$H:$H,DATA_GOC!$A:$A,"BOM",DATA_GOC!$D:$D,$B287,DATA_GOC!$E:$E,"Dầu động cơ",DATA_GOC!$F:$F,"Xuất nội bộ từ téc",DATA_GOC!$B:$B,DATE($D$2,$B$2,AC$4)),0))</f>
        <v>0</v>
      </c>
      <c r="AD287" s="251">
        <f>IF(AD$4&gt;DAY(EOMONTH(DATE($D$2,$B$2,1),0)),"",IFERROR(SUMIFS(DATA_GOC!$H:$H,DATA_GOC!$A:$A,"BOM",DATA_GOC!$D:$D,$B287,DATA_GOC!$E:$E,"Dầu động cơ",DATA_GOC!$F:$F,"Xuất nội bộ từ téc",DATA_GOC!$B:$B,DATE($D$2,$B$2,AD$4)),0))</f>
        <v>0</v>
      </c>
      <c r="AE287" s="251">
        <f>IF(AE$4&gt;DAY(EOMONTH(DATE($D$2,$B$2,1),0)),"",IFERROR(SUMIFS(DATA_GOC!$H:$H,DATA_GOC!$A:$A,"BOM",DATA_GOC!$D:$D,$B287,DATA_GOC!$E:$E,"Dầu động cơ",DATA_GOC!$F:$F,"Xuất nội bộ từ téc",DATA_GOC!$B:$B,DATE($D$2,$B$2,AE$4)),0))</f>
        <v>0</v>
      </c>
      <c r="AF287" s="251">
        <f>IF(AF$4&gt;DAY(EOMONTH(DATE($D$2,$B$2,1),0)),"",IFERROR(SUMIFS(DATA_GOC!$H:$H,DATA_GOC!$A:$A,"BOM",DATA_GOC!$D:$D,$B287,DATA_GOC!$E:$E,"Dầu động cơ",DATA_GOC!$F:$F,"Xuất nội bộ từ téc",DATA_GOC!$B:$B,DATE($D$2,$B$2,AF$4)),0))</f>
        <v>0</v>
      </c>
      <c r="AG287" s="251">
        <f>IF(AG$4&gt;DAY(EOMONTH(DATE($D$2,$B$2,1),0)),"",IFERROR(SUMIFS(DATA_GOC!$H:$H,DATA_GOC!$A:$A,"BOM",DATA_GOC!$D:$D,$B287,DATA_GOC!$E:$E,"Dầu động cơ",DATA_GOC!$F:$F,"Xuất nội bộ từ téc",DATA_GOC!$B:$B,DATE($D$2,$B$2,AG$4)),0))</f>
        <v>0</v>
      </c>
      <c r="AH287" s="252">
        <f t="shared" si="13"/>
        <v>0</v>
      </c>
      <c r="AI287" s="241"/>
      <c r="AJ287" s="242">
        <f>IF($B287="","",SUMIFS(TINH_TEC!$K$233:$K$9232,TINH_TEC!$H$233:$H$9232,$B287,TINH_TEC!$C$233:$C$9232,"Dầu động cơ",TINH_TEC!$F$233:$F$9232,$B$2,TINH_TEC!$G$233:$G$9232,$D$2,TINH_TEC!$B$233:$B$9232,"Đã chốt"))</f>
        <v>0</v>
      </c>
      <c r="AK287" s="242">
        <f>IF($B287="","",SUMIFS(TINH_TEC!$J$233:$J$9232,TINH_TEC!$H$233:$H$9232,$B287,TINH_TEC!$C$233:$C$9232,"Dầu động cơ",TINH_TEC!$F$233:$F$9232,$B$2,TINH_TEC!$G$233:$G$9232,$D$2,TINH_TEC!$B$233:$B$9232,"Đã chốt"))</f>
        <v>0</v>
      </c>
      <c r="AL287" s="242">
        <f t="shared" si="14"/>
        <v>0</v>
      </c>
    </row>
    <row r="288" ht="15.75" customHeight="1">
      <c r="A288" s="237">
        <f>IF($B288&lt;&gt;"",39,"")</f>
        <v>39</v>
      </c>
      <c r="B288" s="250" t="str">
        <f t="array" ref="B288">IFERROR(INDEX(DANH_MUC!$E:$E,42),"")</f>
        <v>28H01070</v>
      </c>
      <c r="C288" s="251">
        <f>IF(C$4&gt;DAY(EOMONTH(DATE($D$2,$B$2,1),0)),"",IFERROR(SUMIFS(DATA_GOC!$H:$H,DATA_GOC!$A:$A,"BOM",DATA_GOC!$D:$D,$B288,DATA_GOC!$E:$E,"Dầu động cơ",DATA_GOC!$F:$F,"Xuất nội bộ từ téc",DATA_GOC!$B:$B,DATE($D$2,$B$2,C$4)),0))</f>
        <v>0</v>
      </c>
      <c r="D288" s="251">
        <f>IF(D$4&gt;DAY(EOMONTH(DATE($D$2,$B$2,1),0)),"",IFERROR(SUMIFS(DATA_GOC!$H:$H,DATA_GOC!$A:$A,"BOM",DATA_GOC!$D:$D,$B288,DATA_GOC!$E:$E,"Dầu động cơ",DATA_GOC!$F:$F,"Xuất nội bộ từ téc",DATA_GOC!$B:$B,DATE($D$2,$B$2,D$4)),0))</f>
        <v>0</v>
      </c>
      <c r="E288" s="251">
        <f>IF(E$4&gt;DAY(EOMONTH(DATE($D$2,$B$2,1),0)),"",IFERROR(SUMIFS(DATA_GOC!$H:$H,DATA_GOC!$A:$A,"BOM",DATA_GOC!$D:$D,$B288,DATA_GOC!$E:$E,"Dầu động cơ",DATA_GOC!$F:$F,"Xuất nội bộ từ téc",DATA_GOC!$B:$B,DATE($D$2,$B$2,E$4)),0))</f>
        <v>0</v>
      </c>
      <c r="F288" s="251">
        <f>IF(F$4&gt;DAY(EOMONTH(DATE($D$2,$B$2,1),0)),"",IFERROR(SUMIFS(DATA_GOC!$H:$H,DATA_GOC!$A:$A,"BOM",DATA_GOC!$D:$D,$B288,DATA_GOC!$E:$E,"Dầu động cơ",DATA_GOC!$F:$F,"Xuất nội bộ từ téc",DATA_GOC!$B:$B,DATE($D$2,$B$2,F$4)),0))</f>
        <v>0</v>
      </c>
      <c r="G288" s="251">
        <f>IF(G$4&gt;DAY(EOMONTH(DATE($D$2,$B$2,1),0)),"",IFERROR(SUMIFS(DATA_GOC!$H:$H,DATA_GOC!$A:$A,"BOM",DATA_GOC!$D:$D,$B288,DATA_GOC!$E:$E,"Dầu động cơ",DATA_GOC!$F:$F,"Xuất nội bộ từ téc",DATA_GOC!$B:$B,DATE($D$2,$B$2,G$4)),0))</f>
        <v>0</v>
      </c>
      <c r="H288" s="251">
        <f>IF(H$4&gt;DAY(EOMONTH(DATE($D$2,$B$2,1),0)),"",IFERROR(SUMIFS(DATA_GOC!$H:$H,DATA_GOC!$A:$A,"BOM",DATA_GOC!$D:$D,$B288,DATA_GOC!$E:$E,"Dầu động cơ",DATA_GOC!$F:$F,"Xuất nội bộ từ téc",DATA_GOC!$B:$B,DATE($D$2,$B$2,H$4)),0))</f>
        <v>0</v>
      </c>
      <c r="I288" s="251">
        <f>IF(I$4&gt;DAY(EOMONTH(DATE($D$2,$B$2,1),0)),"",IFERROR(SUMIFS(DATA_GOC!$H:$H,DATA_GOC!$A:$A,"BOM",DATA_GOC!$D:$D,$B288,DATA_GOC!$E:$E,"Dầu động cơ",DATA_GOC!$F:$F,"Xuất nội bộ từ téc",DATA_GOC!$B:$B,DATE($D$2,$B$2,I$4)),0))</f>
        <v>0</v>
      </c>
      <c r="J288" s="251">
        <f>IF(J$4&gt;DAY(EOMONTH(DATE($D$2,$B$2,1),0)),"",IFERROR(SUMIFS(DATA_GOC!$H:$H,DATA_GOC!$A:$A,"BOM",DATA_GOC!$D:$D,$B288,DATA_GOC!$E:$E,"Dầu động cơ",DATA_GOC!$F:$F,"Xuất nội bộ từ téc",DATA_GOC!$B:$B,DATE($D$2,$B$2,J$4)),0))</f>
        <v>0</v>
      </c>
      <c r="K288" s="251">
        <f>IF(K$4&gt;DAY(EOMONTH(DATE($D$2,$B$2,1),0)),"",IFERROR(SUMIFS(DATA_GOC!$H:$H,DATA_GOC!$A:$A,"BOM",DATA_GOC!$D:$D,$B288,DATA_GOC!$E:$E,"Dầu động cơ",DATA_GOC!$F:$F,"Xuất nội bộ từ téc",DATA_GOC!$B:$B,DATE($D$2,$B$2,K$4)),0))</f>
        <v>0</v>
      </c>
      <c r="L288" s="251">
        <f>IF(L$4&gt;DAY(EOMONTH(DATE($D$2,$B$2,1),0)),"",IFERROR(SUMIFS(DATA_GOC!$H:$H,DATA_GOC!$A:$A,"BOM",DATA_GOC!$D:$D,$B288,DATA_GOC!$E:$E,"Dầu động cơ",DATA_GOC!$F:$F,"Xuất nội bộ từ téc",DATA_GOC!$B:$B,DATE($D$2,$B$2,L$4)),0))</f>
        <v>0</v>
      </c>
      <c r="M288" s="251">
        <f>IF(M$4&gt;DAY(EOMONTH(DATE($D$2,$B$2,1),0)),"",IFERROR(SUMIFS(DATA_GOC!$H:$H,DATA_GOC!$A:$A,"BOM",DATA_GOC!$D:$D,$B288,DATA_GOC!$E:$E,"Dầu động cơ",DATA_GOC!$F:$F,"Xuất nội bộ từ téc",DATA_GOC!$B:$B,DATE($D$2,$B$2,M$4)),0))</f>
        <v>0</v>
      </c>
      <c r="N288" s="251">
        <f>IF(N$4&gt;DAY(EOMONTH(DATE($D$2,$B$2,1),0)),"",IFERROR(SUMIFS(DATA_GOC!$H:$H,DATA_GOC!$A:$A,"BOM",DATA_GOC!$D:$D,$B288,DATA_GOC!$E:$E,"Dầu động cơ",DATA_GOC!$F:$F,"Xuất nội bộ từ téc",DATA_GOC!$B:$B,DATE($D$2,$B$2,N$4)),0))</f>
        <v>0</v>
      </c>
      <c r="O288" s="251">
        <f>IF(O$4&gt;DAY(EOMONTH(DATE($D$2,$B$2,1),0)),"",IFERROR(SUMIFS(DATA_GOC!$H:$H,DATA_GOC!$A:$A,"BOM",DATA_GOC!$D:$D,$B288,DATA_GOC!$E:$E,"Dầu động cơ",DATA_GOC!$F:$F,"Xuất nội bộ từ téc",DATA_GOC!$B:$B,DATE($D$2,$B$2,O$4)),0))</f>
        <v>0</v>
      </c>
      <c r="P288" s="251">
        <f>IF(P$4&gt;DAY(EOMONTH(DATE($D$2,$B$2,1),0)),"",IFERROR(SUMIFS(DATA_GOC!$H:$H,DATA_GOC!$A:$A,"BOM",DATA_GOC!$D:$D,$B288,DATA_GOC!$E:$E,"Dầu động cơ",DATA_GOC!$F:$F,"Xuất nội bộ từ téc",DATA_GOC!$B:$B,DATE($D$2,$B$2,P$4)),0))</f>
        <v>0</v>
      </c>
      <c r="Q288" s="251">
        <f>IF(Q$4&gt;DAY(EOMONTH(DATE($D$2,$B$2,1),0)),"",IFERROR(SUMIFS(DATA_GOC!$H:$H,DATA_GOC!$A:$A,"BOM",DATA_GOC!$D:$D,$B288,DATA_GOC!$E:$E,"Dầu động cơ",DATA_GOC!$F:$F,"Xuất nội bộ từ téc",DATA_GOC!$B:$B,DATE($D$2,$B$2,Q$4)),0))</f>
        <v>0</v>
      </c>
      <c r="R288" s="251">
        <f>IF(R$4&gt;DAY(EOMONTH(DATE($D$2,$B$2,1),0)),"",IFERROR(SUMIFS(DATA_GOC!$H:$H,DATA_GOC!$A:$A,"BOM",DATA_GOC!$D:$D,$B288,DATA_GOC!$E:$E,"Dầu động cơ",DATA_GOC!$F:$F,"Xuất nội bộ từ téc",DATA_GOC!$B:$B,DATE($D$2,$B$2,R$4)),0))</f>
        <v>0</v>
      </c>
      <c r="S288" s="251">
        <f>IF(S$4&gt;DAY(EOMONTH(DATE($D$2,$B$2,1),0)),"",IFERROR(SUMIFS(DATA_GOC!$H:$H,DATA_GOC!$A:$A,"BOM",DATA_GOC!$D:$D,$B288,DATA_GOC!$E:$E,"Dầu động cơ",DATA_GOC!$F:$F,"Xuất nội bộ từ téc",DATA_GOC!$B:$B,DATE($D$2,$B$2,S$4)),0))</f>
        <v>0</v>
      </c>
      <c r="T288" s="251">
        <f>IF(T$4&gt;DAY(EOMONTH(DATE($D$2,$B$2,1),0)),"",IFERROR(SUMIFS(DATA_GOC!$H:$H,DATA_GOC!$A:$A,"BOM",DATA_GOC!$D:$D,$B288,DATA_GOC!$E:$E,"Dầu động cơ",DATA_GOC!$F:$F,"Xuất nội bộ từ téc",DATA_GOC!$B:$B,DATE($D$2,$B$2,T$4)),0))</f>
        <v>0</v>
      </c>
      <c r="U288" s="251">
        <f>IF(U$4&gt;DAY(EOMONTH(DATE($D$2,$B$2,1),0)),"",IFERROR(SUMIFS(DATA_GOC!$H:$H,DATA_GOC!$A:$A,"BOM",DATA_GOC!$D:$D,$B288,DATA_GOC!$E:$E,"Dầu động cơ",DATA_GOC!$F:$F,"Xuất nội bộ từ téc",DATA_GOC!$B:$B,DATE($D$2,$B$2,U$4)),0))</f>
        <v>0</v>
      </c>
      <c r="V288" s="251">
        <f>IF(V$4&gt;DAY(EOMONTH(DATE($D$2,$B$2,1),0)),"",IFERROR(SUMIFS(DATA_GOC!$H:$H,DATA_GOC!$A:$A,"BOM",DATA_GOC!$D:$D,$B288,DATA_GOC!$E:$E,"Dầu động cơ",DATA_GOC!$F:$F,"Xuất nội bộ từ téc",DATA_GOC!$B:$B,DATE($D$2,$B$2,V$4)),0))</f>
        <v>0</v>
      </c>
      <c r="W288" s="251">
        <f>IF(W$4&gt;DAY(EOMONTH(DATE($D$2,$B$2,1),0)),"",IFERROR(SUMIFS(DATA_GOC!$H:$H,DATA_GOC!$A:$A,"BOM",DATA_GOC!$D:$D,$B288,DATA_GOC!$E:$E,"Dầu động cơ",DATA_GOC!$F:$F,"Xuất nội bộ từ téc",DATA_GOC!$B:$B,DATE($D$2,$B$2,W$4)),0))</f>
        <v>0</v>
      </c>
      <c r="X288" s="251">
        <f>IF(X$4&gt;DAY(EOMONTH(DATE($D$2,$B$2,1),0)),"",IFERROR(SUMIFS(DATA_GOC!$H:$H,DATA_GOC!$A:$A,"BOM",DATA_GOC!$D:$D,$B288,DATA_GOC!$E:$E,"Dầu động cơ",DATA_GOC!$F:$F,"Xuất nội bộ từ téc",DATA_GOC!$B:$B,DATE($D$2,$B$2,X$4)),0))</f>
        <v>0</v>
      </c>
      <c r="Y288" s="251">
        <f>IF(Y$4&gt;DAY(EOMONTH(DATE($D$2,$B$2,1),0)),"",IFERROR(SUMIFS(DATA_GOC!$H:$H,DATA_GOC!$A:$A,"BOM",DATA_GOC!$D:$D,$B288,DATA_GOC!$E:$E,"Dầu động cơ",DATA_GOC!$F:$F,"Xuất nội bộ từ téc",DATA_GOC!$B:$B,DATE($D$2,$B$2,Y$4)),0))</f>
        <v>0</v>
      </c>
      <c r="Z288" s="251">
        <f>IF(Z$4&gt;DAY(EOMONTH(DATE($D$2,$B$2,1),0)),"",IFERROR(SUMIFS(DATA_GOC!$H:$H,DATA_GOC!$A:$A,"BOM",DATA_GOC!$D:$D,$B288,DATA_GOC!$E:$E,"Dầu động cơ",DATA_GOC!$F:$F,"Xuất nội bộ từ téc",DATA_GOC!$B:$B,DATE($D$2,$B$2,Z$4)),0))</f>
        <v>0</v>
      </c>
      <c r="AA288" s="251">
        <f>IF(AA$4&gt;DAY(EOMONTH(DATE($D$2,$B$2,1),0)),"",IFERROR(SUMIFS(DATA_GOC!$H:$H,DATA_GOC!$A:$A,"BOM",DATA_GOC!$D:$D,$B288,DATA_GOC!$E:$E,"Dầu động cơ",DATA_GOC!$F:$F,"Xuất nội bộ từ téc",DATA_GOC!$B:$B,DATE($D$2,$B$2,AA$4)),0))</f>
        <v>0</v>
      </c>
      <c r="AB288" s="251">
        <f>IF(AB$4&gt;DAY(EOMONTH(DATE($D$2,$B$2,1),0)),"",IFERROR(SUMIFS(DATA_GOC!$H:$H,DATA_GOC!$A:$A,"BOM",DATA_GOC!$D:$D,$B288,DATA_GOC!$E:$E,"Dầu động cơ",DATA_GOC!$F:$F,"Xuất nội bộ từ téc",DATA_GOC!$B:$B,DATE($D$2,$B$2,AB$4)),0))</f>
        <v>0</v>
      </c>
      <c r="AC288" s="251">
        <f>IF(AC$4&gt;DAY(EOMONTH(DATE($D$2,$B$2,1),0)),"",IFERROR(SUMIFS(DATA_GOC!$H:$H,DATA_GOC!$A:$A,"BOM",DATA_GOC!$D:$D,$B288,DATA_GOC!$E:$E,"Dầu động cơ",DATA_GOC!$F:$F,"Xuất nội bộ từ téc",DATA_GOC!$B:$B,DATE($D$2,$B$2,AC$4)),0))</f>
        <v>0</v>
      </c>
      <c r="AD288" s="251">
        <f>IF(AD$4&gt;DAY(EOMONTH(DATE($D$2,$B$2,1),0)),"",IFERROR(SUMIFS(DATA_GOC!$H:$H,DATA_GOC!$A:$A,"BOM",DATA_GOC!$D:$D,$B288,DATA_GOC!$E:$E,"Dầu động cơ",DATA_GOC!$F:$F,"Xuất nội bộ từ téc",DATA_GOC!$B:$B,DATE($D$2,$B$2,AD$4)),0))</f>
        <v>0</v>
      </c>
      <c r="AE288" s="251">
        <f>IF(AE$4&gt;DAY(EOMONTH(DATE($D$2,$B$2,1),0)),"",IFERROR(SUMIFS(DATA_GOC!$H:$H,DATA_GOC!$A:$A,"BOM",DATA_GOC!$D:$D,$B288,DATA_GOC!$E:$E,"Dầu động cơ",DATA_GOC!$F:$F,"Xuất nội bộ từ téc",DATA_GOC!$B:$B,DATE($D$2,$B$2,AE$4)),0))</f>
        <v>0</v>
      </c>
      <c r="AF288" s="251">
        <f>IF(AF$4&gt;DAY(EOMONTH(DATE($D$2,$B$2,1),0)),"",IFERROR(SUMIFS(DATA_GOC!$H:$H,DATA_GOC!$A:$A,"BOM",DATA_GOC!$D:$D,$B288,DATA_GOC!$E:$E,"Dầu động cơ",DATA_GOC!$F:$F,"Xuất nội bộ từ téc",DATA_GOC!$B:$B,DATE($D$2,$B$2,AF$4)),0))</f>
        <v>0</v>
      </c>
      <c r="AG288" s="251">
        <f>IF(AG$4&gt;DAY(EOMONTH(DATE($D$2,$B$2,1),0)),"",IFERROR(SUMIFS(DATA_GOC!$H:$H,DATA_GOC!$A:$A,"BOM",DATA_GOC!$D:$D,$B288,DATA_GOC!$E:$E,"Dầu động cơ",DATA_GOC!$F:$F,"Xuất nội bộ từ téc",DATA_GOC!$B:$B,DATE($D$2,$B$2,AG$4)),0))</f>
        <v>0</v>
      </c>
      <c r="AH288" s="252">
        <f t="shared" si="13"/>
        <v>0</v>
      </c>
      <c r="AI288" s="241"/>
      <c r="AJ288" s="242">
        <f>IF($B288="","",SUMIFS(TINH_TEC!$K$233:$K$9232,TINH_TEC!$H$233:$H$9232,$B288,TINH_TEC!$C$233:$C$9232,"Dầu động cơ",TINH_TEC!$F$233:$F$9232,$B$2,TINH_TEC!$G$233:$G$9232,$D$2,TINH_TEC!$B$233:$B$9232,"Đã chốt"))</f>
        <v>0</v>
      </c>
      <c r="AK288" s="242">
        <f>IF($B288="","",SUMIFS(TINH_TEC!$J$233:$J$9232,TINH_TEC!$H$233:$H$9232,$B288,TINH_TEC!$C$233:$C$9232,"Dầu động cơ",TINH_TEC!$F$233:$F$9232,$B$2,TINH_TEC!$G$233:$G$9232,$D$2,TINH_TEC!$B$233:$B$9232,"Đã chốt"))</f>
        <v>0</v>
      </c>
      <c r="AL288" s="242">
        <f t="shared" si="14"/>
        <v>0</v>
      </c>
    </row>
    <row r="289" ht="15.75" customHeight="1">
      <c r="A289" s="237">
        <f>IF($B289&lt;&gt;"",40,"")</f>
        <v>40</v>
      </c>
      <c r="B289" s="250" t="str">
        <f t="array" ref="B289">IFERROR(INDEX(DANH_MUC!$E:$E,43),"")</f>
        <v>28H01364</v>
      </c>
      <c r="C289" s="251">
        <f>IF(C$4&gt;DAY(EOMONTH(DATE($D$2,$B$2,1),0)),"",IFERROR(SUMIFS(DATA_GOC!$H:$H,DATA_GOC!$A:$A,"BOM",DATA_GOC!$D:$D,$B289,DATA_GOC!$E:$E,"Dầu động cơ",DATA_GOC!$F:$F,"Xuất nội bộ từ téc",DATA_GOC!$B:$B,DATE($D$2,$B$2,C$4)),0))</f>
        <v>0</v>
      </c>
      <c r="D289" s="251">
        <f>IF(D$4&gt;DAY(EOMONTH(DATE($D$2,$B$2,1),0)),"",IFERROR(SUMIFS(DATA_GOC!$H:$H,DATA_GOC!$A:$A,"BOM",DATA_GOC!$D:$D,$B289,DATA_GOC!$E:$E,"Dầu động cơ",DATA_GOC!$F:$F,"Xuất nội bộ từ téc",DATA_GOC!$B:$B,DATE($D$2,$B$2,D$4)),0))</f>
        <v>0</v>
      </c>
      <c r="E289" s="251">
        <f>IF(E$4&gt;DAY(EOMONTH(DATE($D$2,$B$2,1),0)),"",IFERROR(SUMIFS(DATA_GOC!$H:$H,DATA_GOC!$A:$A,"BOM",DATA_GOC!$D:$D,$B289,DATA_GOC!$E:$E,"Dầu động cơ",DATA_GOC!$F:$F,"Xuất nội bộ từ téc",DATA_GOC!$B:$B,DATE($D$2,$B$2,E$4)),0))</f>
        <v>0</v>
      </c>
      <c r="F289" s="251">
        <f>IF(F$4&gt;DAY(EOMONTH(DATE($D$2,$B$2,1),0)),"",IFERROR(SUMIFS(DATA_GOC!$H:$H,DATA_GOC!$A:$A,"BOM",DATA_GOC!$D:$D,$B289,DATA_GOC!$E:$E,"Dầu động cơ",DATA_GOC!$F:$F,"Xuất nội bộ từ téc",DATA_GOC!$B:$B,DATE($D$2,$B$2,F$4)),0))</f>
        <v>0</v>
      </c>
      <c r="G289" s="251">
        <f>IF(G$4&gt;DAY(EOMONTH(DATE($D$2,$B$2,1),0)),"",IFERROR(SUMIFS(DATA_GOC!$H:$H,DATA_GOC!$A:$A,"BOM",DATA_GOC!$D:$D,$B289,DATA_GOC!$E:$E,"Dầu động cơ",DATA_GOC!$F:$F,"Xuất nội bộ từ téc",DATA_GOC!$B:$B,DATE($D$2,$B$2,G$4)),0))</f>
        <v>0</v>
      </c>
      <c r="H289" s="251">
        <f>IF(H$4&gt;DAY(EOMONTH(DATE($D$2,$B$2,1),0)),"",IFERROR(SUMIFS(DATA_GOC!$H:$H,DATA_GOC!$A:$A,"BOM",DATA_GOC!$D:$D,$B289,DATA_GOC!$E:$E,"Dầu động cơ",DATA_GOC!$F:$F,"Xuất nội bộ từ téc",DATA_GOC!$B:$B,DATE($D$2,$B$2,H$4)),0))</f>
        <v>0</v>
      </c>
      <c r="I289" s="251">
        <f>IF(I$4&gt;DAY(EOMONTH(DATE($D$2,$B$2,1),0)),"",IFERROR(SUMIFS(DATA_GOC!$H:$H,DATA_GOC!$A:$A,"BOM",DATA_GOC!$D:$D,$B289,DATA_GOC!$E:$E,"Dầu động cơ",DATA_GOC!$F:$F,"Xuất nội bộ từ téc",DATA_GOC!$B:$B,DATE($D$2,$B$2,I$4)),0))</f>
        <v>0</v>
      </c>
      <c r="J289" s="251">
        <f>IF(J$4&gt;DAY(EOMONTH(DATE($D$2,$B$2,1),0)),"",IFERROR(SUMIFS(DATA_GOC!$H:$H,DATA_GOC!$A:$A,"BOM",DATA_GOC!$D:$D,$B289,DATA_GOC!$E:$E,"Dầu động cơ",DATA_GOC!$F:$F,"Xuất nội bộ từ téc",DATA_GOC!$B:$B,DATE($D$2,$B$2,J$4)),0))</f>
        <v>0</v>
      </c>
      <c r="K289" s="251">
        <f>IF(K$4&gt;DAY(EOMONTH(DATE($D$2,$B$2,1),0)),"",IFERROR(SUMIFS(DATA_GOC!$H:$H,DATA_GOC!$A:$A,"BOM",DATA_GOC!$D:$D,$B289,DATA_GOC!$E:$E,"Dầu động cơ",DATA_GOC!$F:$F,"Xuất nội bộ từ téc",DATA_GOC!$B:$B,DATE($D$2,$B$2,K$4)),0))</f>
        <v>0</v>
      </c>
      <c r="L289" s="251">
        <f>IF(L$4&gt;DAY(EOMONTH(DATE($D$2,$B$2,1),0)),"",IFERROR(SUMIFS(DATA_GOC!$H:$H,DATA_GOC!$A:$A,"BOM",DATA_GOC!$D:$D,$B289,DATA_GOC!$E:$E,"Dầu động cơ",DATA_GOC!$F:$F,"Xuất nội bộ từ téc",DATA_GOC!$B:$B,DATE($D$2,$B$2,L$4)),0))</f>
        <v>0</v>
      </c>
      <c r="M289" s="251">
        <f>IF(M$4&gt;DAY(EOMONTH(DATE($D$2,$B$2,1),0)),"",IFERROR(SUMIFS(DATA_GOC!$H:$H,DATA_GOC!$A:$A,"BOM",DATA_GOC!$D:$D,$B289,DATA_GOC!$E:$E,"Dầu động cơ",DATA_GOC!$F:$F,"Xuất nội bộ từ téc",DATA_GOC!$B:$B,DATE($D$2,$B$2,M$4)),0))</f>
        <v>0</v>
      </c>
      <c r="N289" s="251">
        <f>IF(N$4&gt;DAY(EOMONTH(DATE($D$2,$B$2,1),0)),"",IFERROR(SUMIFS(DATA_GOC!$H:$H,DATA_GOC!$A:$A,"BOM",DATA_GOC!$D:$D,$B289,DATA_GOC!$E:$E,"Dầu động cơ",DATA_GOC!$F:$F,"Xuất nội bộ từ téc",DATA_GOC!$B:$B,DATE($D$2,$B$2,N$4)),0))</f>
        <v>0</v>
      </c>
      <c r="O289" s="251">
        <f>IF(O$4&gt;DAY(EOMONTH(DATE($D$2,$B$2,1),0)),"",IFERROR(SUMIFS(DATA_GOC!$H:$H,DATA_GOC!$A:$A,"BOM",DATA_GOC!$D:$D,$B289,DATA_GOC!$E:$E,"Dầu động cơ",DATA_GOC!$F:$F,"Xuất nội bộ từ téc",DATA_GOC!$B:$B,DATE($D$2,$B$2,O$4)),0))</f>
        <v>0</v>
      </c>
      <c r="P289" s="251">
        <f>IF(P$4&gt;DAY(EOMONTH(DATE($D$2,$B$2,1),0)),"",IFERROR(SUMIFS(DATA_GOC!$H:$H,DATA_GOC!$A:$A,"BOM",DATA_GOC!$D:$D,$B289,DATA_GOC!$E:$E,"Dầu động cơ",DATA_GOC!$F:$F,"Xuất nội bộ từ téc",DATA_GOC!$B:$B,DATE($D$2,$B$2,P$4)),0))</f>
        <v>0</v>
      </c>
      <c r="Q289" s="251">
        <f>IF(Q$4&gt;DAY(EOMONTH(DATE($D$2,$B$2,1),0)),"",IFERROR(SUMIFS(DATA_GOC!$H:$H,DATA_GOC!$A:$A,"BOM",DATA_GOC!$D:$D,$B289,DATA_GOC!$E:$E,"Dầu động cơ",DATA_GOC!$F:$F,"Xuất nội bộ từ téc",DATA_GOC!$B:$B,DATE($D$2,$B$2,Q$4)),0))</f>
        <v>0</v>
      </c>
      <c r="R289" s="251">
        <f>IF(R$4&gt;DAY(EOMONTH(DATE($D$2,$B$2,1),0)),"",IFERROR(SUMIFS(DATA_GOC!$H:$H,DATA_GOC!$A:$A,"BOM",DATA_GOC!$D:$D,$B289,DATA_GOC!$E:$E,"Dầu động cơ",DATA_GOC!$F:$F,"Xuất nội bộ từ téc",DATA_GOC!$B:$B,DATE($D$2,$B$2,R$4)),0))</f>
        <v>0</v>
      </c>
      <c r="S289" s="251">
        <f>IF(S$4&gt;DAY(EOMONTH(DATE($D$2,$B$2,1),0)),"",IFERROR(SUMIFS(DATA_GOC!$H:$H,DATA_GOC!$A:$A,"BOM",DATA_GOC!$D:$D,$B289,DATA_GOC!$E:$E,"Dầu động cơ",DATA_GOC!$F:$F,"Xuất nội bộ từ téc",DATA_GOC!$B:$B,DATE($D$2,$B$2,S$4)),0))</f>
        <v>0</v>
      </c>
      <c r="T289" s="251">
        <f>IF(T$4&gt;DAY(EOMONTH(DATE($D$2,$B$2,1),0)),"",IFERROR(SUMIFS(DATA_GOC!$H:$H,DATA_GOC!$A:$A,"BOM",DATA_GOC!$D:$D,$B289,DATA_GOC!$E:$E,"Dầu động cơ",DATA_GOC!$F:$F,"Xuất nội bộ từ téc",DATA_GOC!$B:$B,DATE($D$2,$B$2,T$4)),0))</f>
        <v>0</v>
      </c>
      <c r="U289" s="251">
        <f>IF(U$4&gt;DAY(EOMONTH(DATE($D$2,$B$2,1),0)),"",IFERROR(SUMIFS(DATA_GOC!$H:$H,DATA_GOC!$A:$A,"BOM",DATA_GOC!$D:$D,$B289,DATA_GOC!$E:$E,"Dầu động cơ",DATA_GOC!$F:$F,"Xuất nội bộ từ téc",DATA_GOC!$B:$B,DATE($D$2,$B$2,U$4)),0))</f>
        <v>0</v>
      </c>
      <c r="V289" s="251">
        <f>IF(V$4&gt;DAY(EOMONTH(DATE($D$2,$B$2,1),0)),"",IFERROR(SUMIFS(DATA_GOC!$H:$H,DATA_GOC!$A:$A,"BOM",DATA_GOC!$D:$D,$B289,DATA_GOC!$E:$E,"Dầu động cơ",DATA_GOC!$F:$F,"Xuất nội bộ từ téc",DATA_GOC!$B:$B,DATE($D$2,$B$2,V$4)),0))</f>
        <v>0</v>
      </c>
      <c r="W289" s="251">
        <f>IF(W$4&gt;DAY(EOMONTH(DATE($D$2,$B$2,1),0)),"",IFERROR(SUMIFS(DATA_GOC!$H:$H,DATA_GOC!$A:$A,"BOM",DATA_GOC!$D:$D,$B289,DATA_GOC!$E:$E,"Dầu động cơ",DATA_GOC!$F:$F,"Xuất nội bộ từ téc",DATA_GOC!$B:$B,DATE($D$2,$B$2,W$4)),0))</f>
        <v>0</v>
      </c>
      <c r="X289" s="251">
        <f>IF(X$4&gt;DAY(EOMONTH(DATE($D$2,$B$2,1),0)),"",IFERROR(SUMIFS(DATA_GOC!$H:$H,DATA_GOC!$A:$A,"BOM",DATA_GOC!$D:$D,$B289,DATA_GOC!$E:$E,"Dầu động cơ",DATA_GOC!$F:$F,"Xuất nội bộ từ téc",DATA_GOC!$B:$B,DATE($D$2,$B$2,X$4)),0))</f>
        <v>0</v>
      </c>
      <c r="Y289" s="251">
        <f>IF(Y$4&gt;DAY(EOMONTH(DATE($D$2,$B$2,1),0)),"",IFERROR(SUMIFS(DATA_GOC!$H:$H,DATA_GOC!$A:$A,"BOM",DATA_GOC!$D:$D,$B289,DATA_GOC!$E:$E,"Dầu động cơ",DATA_GOC!$F:$F,"Xuất nội bộ từ téc",DATA_GOC!$B:$B,DATE($D$2,$B$2,Y$4)),0))</f>
        <v>0</v>
      </c>
      <c r="Z289" s="251">
        <f>IF(Z$4&gt;DAY(EOMONTH(DATE($D$2,$B$2,1),0)),"",IFERROR(SUMIFS(DATA_GOC!$H:$H,DATA_GOC!$A:$A,"BOM",DATA_GOC!$D:$D,$B289,DATA_GOC!$E:$E,"Dầu động cơ",DATA_GOC!$F:$F,"Xuất nội bộ từ téc",DATA_GOC!$B:$B,DATE($D$2,$B$2,Z$4)),0))</f>
        <v>0</v>
      </c>
      <c r="AA289" s="251">
        <f>IF(AA$4&gt;DAY(EOMONTH(DATE($D$2,$B$2,1),0)),"",IFERROR(SUMIFS(DATA_GOC!$H:$H,DATA_GOC!$A:$A,"BOM",DATA_GOC!$D:$D,$B289,DATA_GOC!$E:$E,"Dầu động cơ",DATA_GOC!$F:$F,"Xuất nội bộ từ téc",DATA_GOC!$B:$B,DATE($D$2,$B$2,AA$4)),0))</f>
        <v>0</v>
      </c>
      <c r="AB289" s="251">
        <f>IF(AB$4&gt;DAY(EOMONTH(DATE($D$2,$B$2,1),0)),"",IFERROR(SUMIFS(DATA_GOC!$H:$H,DATA_GOC!$A:$A,"BOM",DATA_GOC!$D:$D,$B289,DATA_GOC!$E:$E,"Dầu động cơ",DATA_GOC!$F:$F,"Xuất nội bộ từ téc",DATA_GOC!$B:$B,DATE($D$2,$B$2,AB$4)),0))</f>
        <v>0</v>
      </c>
      <c r="AC289" s="251">
        <f>IF(AC$4&gt;DAY(EOMONTH(DATE($D$2,$B$2,1),0)),"",IFERROR(SUMIFS(DATA_GOC!$H:$H,DATA_GOC!$A:$A,"BOM",DATA_GOC!$D:$D,$B289,DATA_GOC!$E:$E,"Dầu động cơ",DATA_GOC!$F:$F,"Xuất nội bộ từ téc",DATA_GOC!$B:$B,DATE($D$2,$B$2,AC$4)),0))</f>
        <v>0</v>
      </c>
      <c r="AD289" s="251">
        <f>IF(AD$4&gt;DAY(EOMONTH(DATE($D$2,$B$2,1),0)),"",IFERROR(SUMIFS(DATA_GOC!$H:$H,DATA_GOC!$A:$A,"BOM",DATA_GOC!$D:$D,$B289,DATA_GOC!$E:$E,"Dầu động cơ",DATA_GOC!$F:$F,"Xuất nội bộ từ téc",DATA_GOC!$B:$B,DATE($D$2,$B$2,AD$4)),0))</f>
        <v>0</v>
      </c>
      <c r="AE289" s="251">
        <f>IF(AE$4&gt;DAY(EOMONTH(DATE($D$2,$B$2,1),0)),"",IFERROR(SUMIFS(DATA_GOC!$H:$H,DATA_GOC!$A:$A,"BOM",DATA_GOC!$D:$D,$B289,DATA_GOC!$E:$E,"Dầu động cơ",DATA_GOC!$F:$F,"Xuất nội bộ từ téc",DATA_GOC!$B:$B,DATE($D$2,$B$2,AE$4)),0))</f>
        <v>0</v>
      </c>
      <c r="AF289" s="251">
        <f>IF(AF$4&gt;DAY(EOMONTH(DATE($D$2,$B$2,1),0)),"",IFERROR(SUMIFS(DATA_GOC!$H:$H,DATA_GOC!$A:$A,"BOM",DATA_GOC!$D:$D,$B289,DATA_GOC!$E:$E,"Dầu động cơ",DATA_GOC!$F:$F,"Xuất nội bộ từ téc",DATA_GOC!$B:$B,DATE($D$2,$B$2,AF$4)),0))</f>
        <v>0</v>
      </c>
      <c r="AG289" s="251">
        <f>IF(AG$4&gt;DAY(EOMONTH(DATE($D$2,$B$2,1),0)),"",IFERROR(SUMIFS(DATA_GOC!$H:$H,DATA_GOC!$A:$A,"BOM",DATA_GOC!$D:$D,$B289,DATA_GOC!$E:$E,"Dầu động cơ",DATA_GOC!$F:$F,"Xuất nội bộ từ téc",DATA_GOC!$B:$B,DATE($D$2,$B$2,AG$4)),0))</f>
        <v>0</v>
      </c>
      <c r="AH289" s="252">
        <f t="shared" si="13"/>
        <v>0</v>
      </c>
      <c r="AI289" s="241"/>
      <c r="AJ289" s="242">
        <f>IF($B289="","",SUMIFS(TINH_TEC!$K$233:$K$9232,TINH_TEC!$H$233:$H$9232,$B289,TINH_TEC!$C$233:$C$9232,"Dầu động cơ",TINH_TEC!$F$233:$F$9232,$B$2,TINH_TEC!$G$233:$G$9232,$D$2,TINH_TEC!$B$233:$B$9232,"Đã chốt"))</f>
        <v>0</v>
      </c>
      <c r="AK289" s="242">
        <f>IF($B289="","",SUMIFS(TINH_TEC!$J$233:$J$9232,TINH_TEC!$H$233:$H$9232,$B289,TINH_TEC!$C$233:$C$9232,"Dầu động cơ",TINH_TEC!$F$233:$F$9232,$B$2,TINH_TEC!$G$233:$G$9232,$D$2,TINH_TEC!$B$233:$B$9232,"Đã chốt"))</f>
        <v>0</v>
      </c>
      <c r="AL289" s="242">
        <f t="shared" si="14"/>
        <v>0</v>
      </c>
    </row>
    <row r="290" ht="15.75" customHeight="1">
      <c r="A290" s="237">
        <f>IF($B290&lt;&gt;"",41,"")</f>
        <v>41</v>
      </c>
      <c r="B290" s="250" t="str">
        <f t="array" ref="B290">IFERROR(INDEX(DANH_MUC!$E:$E,44),"")</f>
        <v>29E17269</v>
      </c>
      <c r="C290" s="251">
        <f>IF(C$4&gt;DAY(EOMONTH(DATE($D$2,$B$2,1),0)),"",IFERROR(SUMIFS(DATA_GOC!$H:$H,DATA_GOC!$A:$A,"BOM",DATA_GOC!$D:$D,$B290,DATA_GOC!$E:$E,"Dầu động cơ",DATA_GOC!$F:$F,"Xuất nội bộ từ téc",DATA_GOC!$B:$B,DATE($D$2,$B$2,C$4)),0))</f>
        <v>0</v>
      </c>
      <c r="D290" s="251">
        <f>IF(D$4&gt;DAY(EOMONTH(DATE($D$2,$B$2,1),0)),"",IFERROR(SUMIFS(DATA_GOC!$H:$H,DATA_GOC!$A:$A,"BOM",DATA_GOC!$D:$D,$B290,DATA_GOC!$E:$E,"Dầu động cơ",DATA_GOC!$F:$F,"Xuất nội bộ từ téc",DATA_GOC!$B:$B,DATE($D$2,$B$2,D$4)),0))</f>
        <v>0</v>
      </c>
      <c r="E290" s="251">
        <f>IF(E$4&gt;DAY(EOMONTH(DATE($D$2,$B$2,1),0)),"",IFERROR(SUMIFS(DATA_GOC!$H:$H,DATA_GOC!$A:$A,"BOM",DATA_GOC!$D:$D,$B290,DATA_GOC!$E:$E,"Dầu động cơ",DATA_GOC!$F:$F,"Xuất nội bộ từ téc",DATA_GOC!$B:$B,DATE($D$2,$B$2,E$4)),0))</f>
        <v>0</v>
      </c>
      <c r="F290" s="251">
        <f>IF(F$4&gt;DAY(EOMONTH(DATE($D$2,$B$2,1),0)),"",IFERROR(SUMIFS(DATA_GOC!$H:$H,DATA_GOC!$A:$A,"BOM",DATA_GOC!$D:$D,$B290,DATA_GOC!$E:$E,"Dầu động cơ",DATA_GOC!$F:$F,"Xuất nội bộ từ téc",DATA_GOC!$B:$B,DATE($D$2,$B$2,F$4)),0))</f>
        <v>0</v>
      </c>
      <c r="G290" s="251">
        <f>IF(G$4&gt;DAY(EOMONTH(DATE($D$2,$B$2,1),0)),"",IFERROR(SUMIFS(DATA_GOC!$H:$H,DATA_GOC!$A:$A,"BOM",DATA_GOC!$D:$D,$B290,DATA_GOC!$E:$E,"Dầu động cơ",DATA_GOC!$F:$F,"Xuất nội bộ từ téc",DATA_GOC!$B:$B,DATE($D$2,$B$2,G$4)),0))</f>
        <v>0</v>
      </c>
      <c r="H290" s="251">
        <f>IF(H$4&gt;DAY(EOMONTH(DATE($D$2,$B$2,1),0)),"",IFERROR(SUMIFS(DATA_GOC!$H:$H,DATA_GOC!$A:$A,"BOM",DATA_GOC!$D:$D,$B290,DATA_GOC!$E:$E,"Dầu động cơ",DATA_GOC!$F:$F,"Xuất nội bộ từ téc",DATA_GOC!$B:$B,DATE($D$2,$B$2,H$4)),0))</f>
        <v>0</v>
      </c>
      <c r="I290" s="251">
        <f>IF(I$4&gt;DAY(EOMONTH(DATE($D$2,$B$2,1),0)),"",IFERROR(SUMIFS(DATA_GOC!$H:$H,DATA_GOC!$A:$A,"BOM",DATA_GOC!$D:$D,$B290,DATA_GOC!$E:$E,"Dầu động cơ",DATA_GOC!$F:$F,"Xuất nội bộ từ téc",DATA_GOC!$B:$B,DATE($D$2,$B$2,I$4)),0))</f>
        <v>0</v>
      </c>
      <c r="J290" s="251">
        <f>IF(J$4&gt;DAY(EOMONTH(DATE($D$2,$B$2,1),0)),"",IFERROR(SUMIFS(DATA_GOC!$H:$H,DATA_GOC!$A:$A,"BOM",DATA_GOC!$D:$D,$B290,DATA_GOC!$E:$E,"Dầu động cơ",DATA_GOC!$F:$F,"Xuất nội bộ từ téc",DATA_GOC!$B:$B,DATE($D$2,$B$2,J$4)),0))</f>
        <v>0</v>
      </c>
      <c r="K290" s="251">
        <f>IF(K$4&gt;DAY(EOMONTH(DATE($D$2,$B$2,1),0)),"",IFERROR(SUMIFS(DATA_GOC!$H:$H,DATA_GOC!$A:$A,"BOM",DATA_GOC!$D:$D,$B290,DATA_GOC!$E:$E,"Dầu động cơ",DATA_GOC!$F:$F,"Xuất nội bộ từ téc",DATA_GOC!$B:$B,DATE($D$2,$B$2,K$4)),0))</f>
        <v>0</v>
      </c>
      <c r="L290" s="251">
        <f>IF(L$4&gt;DAY(EOMONTH(DATE($D$2,$B$2,1),0)),"",IFERROR(SUMIFS(DATA_GOC!$H:$H,DATA_GOC!$A:$A,"BOM",DATA_GOC!$D:$D,$B290,DATA_GOC!$E:$E,"Dầu động cơ",DATA_GOC!$F:$F,"Xuất nội bộ từ téc",DATA_GOC!$B:$B,DATE($D$2,$B$2,L$4)),0))</f>
        <v>0</v>
      </c>
      <c r="M290" s="251">
        <f>IF(M$4&gt;DAY(EOMONTH(DATE($D$2,$B$2,1),0)),"",IFERROR(SUMIFS(DATA_GOC!$H:$H,DATA_GOC!$A:$A,"BOM",DATA_GOC!$D:$D,$B290,DATA_GOC!$E:$E,"Dầu động cơ",DATA_GOC!$F:$F,"Xuất nội bộ từ téc",DATA_GOC!$B:$B,DATE($D$2,$B$2,M$4)),0))</f>
        <v>0</v>
      </c>
      <c r="N290" s="251">
        <f>IF(N$4&gt;DAY(EOMONTH(DATE($D$2,$B$2,1),0)),"",IFERROR(SUMIFS(DATA_GOC!$H:$H,DATA_GOC!$A:$A,"BOM",DATA_GOC!$D:$D,$B290,DATA_GOC!$E:$E,"Dầu động cơ",DATA_GOC!$F:$F,"Xuất nội bộ từ téc",DATA_GOC!$B:$B,DATE($D$2,$B$2,N$4)),0))</f>
        <v>0</v>
      </c>
      <c r="O290" s="251">
        <f>IF(O$4&gt;DAY(EOMONTH(DATE($D$2,$B$2,1),0)),"",IFERROR(SUMIFS(DATA_GOC!$H:$H,DATA_GOC!$A:$A,"BOM",DATA_GOC!$D:$D,$B290,DATA_GOC!$E:$E,"Dầu động cơ",DATA_GOC!$F:$F,"Xuất nội bộ từ téc",DATA_GOC!$B:$B,DATE($D$2,$B$2,O$4)),0))</f>
        <v>0</v>
      </c>
      <c r="P290" s="251">
        <f>IF(P$4&gt;DAY(EOMONTH(DATE($D$2,$B$2,1),0)),"",IFERROR(SUMIFS(DATA_GOC!$H:$H,DATA_GOC!$A:$A,"BOM",DATA_GOC!$D:$D,$B290,DATA_GOC!$E:$E,"Dầu động cơ",DATA_GOC!$F:$F,"Xuất nội bộ từ téc",DATA_GOC!$B:$B,DATE($D$2,$B$2,P$4)),0))</f>
        <v>0</v>
      </c>
      <c r="Q290" s="251">
        <f>IF(Q$4&gt;DAY(EOMONTH(DATE($D$2,$B$2,1),0)),"",IFERROR(SUMIFS(DATA_GOC!$H:$H,DATA_GOC!$A:$A,"BOM",DATA_GOC!$D:$D,$B290,DATA_GOC!$E:$E,"Dầu động cơ",DATA_GOC!$F:$F,"Xuất nội bộ từ téc",DATA_GOC!$B:$B,DATE($D$2,$B$2,Q$4)),0))</f>
        <v>0</v>
      </c>
      <c r="R290" s="251">
        <f>IF(R$4&gt;DAY(EOMONTH(DATE($D$2,$B$2,1),0)),"",IFERROR(SUMIFS(DATA_GOC!$H:$H,DATA_GOC!$A:$A,"BOM",DATA_GOC!$D:$D,$B290,DATA_GOC!$E:$E,"Dầu động cơ",DATA_GOC!$F:$F,"Xuất nội bộ từ téc",DATA_GOC!$B:$B,DATE($D$2,$B$2,R$4)),0))</f>
        <v>0</v>
      </c>
      <c r="S290" s="251">
        <f>IF(S$4&gt;DAY(EOMONTH(DATE($D$2,$B$2,1),0)),"",IFERROR(SUMIFS(DATA_GOC!$H:$H,DATA_GOC!$A:$A,"BOM",DATA_GOC!$D:$D,$B290,DATA_GOC!$E:$E,"Dầu động cơ",DATA_GOC!$F:$F,"Xuất nội bộ từ téc",DATA_GOC!$B:$B,DATE($D$2,$B$2,S$4)),0))</f>
        <v>0</v>
      </c>
      <c r="T290" s="251">
        <f>IF(T$4&gt;DAY(EOMONTH(DATE($D$2,$B$2,1),0)),"",IFERROR(SUMIFS(DATA_GOC!$H:$H,DATA_GOC!$A:$A,"BOM",DATA_GOC!$D:$D,$B290,DATA_GOC!$E:$E,"Dầu động cơ",DATA_GOC!$F:$F,"Xuất nội bộ từ téc",DATA_GOC!$B:$B,DATE($D$2,$B$2,T$4)),0))</f>
        <v>0</v>
      </c>
      <c r="U290" s="251">
        <f>IF(U$4&gt;DAY(EOMONTH(DATE($D$2,$B$2,1),0)),"",IFERROR(SUMIFS(DATA_GOC!$H:$H,DATA_GOC!$A:$A,"BOM",DATA_GOC!$D:$D,$B290,DATA_GOC!$E:$E,"Dầu động cơ",DATA_GOC!$F:$F,"Xuất nội bộ từ téc",DATA_GOC!$B:$B,DATE($D$2,$B$2,U$4)),0))</f>
        <v>0</v>
      </c>
      <c r="V290" s="251">
        <f>IF(V$4&gt;DAY(EOMONTH(DATE($D$2,$B$2,1),0)),"",IFERROR(SUMIFS(DATA_GOC!$H:$H,DATA_GOC!$A:$A,"BOM",DATA_GOC!$D:$D,$B290,DATA_GOC!$E:$E,"Dầu động cơ",DATA_GOC!$F:$F,"Xuất nội bộ từ téc",DATA_GOC!$B:$B,DATE($D$2,$B$2,V$4)),0))</f>
        <v>0</v>
      </c>
      <c r="W290" s="251">
        <f>IF(W$4&gt;DAY(EOMONTH(DATE($D$2,$B$2,1),0)),"",IFERROR(SUMIFS(DATA_GOC!$H:$H,DATA_GOC!$A:$A,"BOM",DATA_GOC!$D:$D,$B290,DATA_GOC!$E:$E,"Dầu động cơ",DATA_GOC!$F:$F,"Xuất nội bộ từ téc",DATA_GOC!$B:$B,DATE($D$2,$B$2,W$4)),0))</f>
        <v>0</v>
      </c>
      <c r="X290" s="251">
        <f>IF(X$4&gt;DAY(EOMONTH(DATE($D$2,$B$2,1),0)),"",IFERROR(SUMIFS(DATA_GOC!$H:$H,DATA_GOC!$A:$A,"BOM",DATA_GOC!$D:$D,$B290,DATA_GOC!$E:$E,"Dầu động cơ",DATA_GOC!$F:$F,"Xuất nội bộ từ téc",DATA_GOC!$B:$B,DATE($D$2,$B$2,X$4)),0))</f>
        <v>0</v>
      </c>
      <c r="Y290" s="251">
        <f>IF(Y$4&gt;DAY(EOMONTH(DATE($D$2,$B$2,1),0)),"",IFERROR(SUMIFS(DATA_GOC!$H:$H,DATA_GOC!$A:$A,"BOM",DATA_GOC!$D:$D,$B290,DATA_GOC!$E:$E,"Dầu động cơ",DATA_GOC!$F:$F,"Xuất nội bộ từ téc",DATA_GOC!$B:$B,DATE($D$2,$B$2,Y$4)),0))</f>
        <v>0</v>
      </c>
      <c r="Z290" s="251">
        <f>IF(Z$4&gt;DAY(EOMONTH(DATE($D$2,$B$2,1),0)),"",IFERROR(SUMIFS(DATA_GOC!$H:$H,DATA_GOC!$A:$A,"BOM",DATA_GOC!$D:$D,$B290,DATA_GOC!$E:$E,"Dầu động cơ",DATA_GOC!$F:$F,"Xuất nội bộ từ téc",DATA_GOC!$B:$B,DATE($D$2,$B$2,Z$4)),0))</f>
        <v>0</v>
      </c>
      <c r="AA290" s="251">
        <f>IF(AA$4&gt;DAY(EOMONTH(DATE($D$2,$B$2,1),0)),"",IFERROR(SUMIFS(DATA_GOC!$H:$H,DATA_GOC!$A:$A,"BOM",DATA_GOC!$D:$D,$B290,DATA_GOC!$E:$E,"Dầu động cơ",DATA_GOC!$F:$F,"Xuất nội bộ từ téc",DATA_GOC!$B:$B,DATE($D$2,$B$2,AA$4)),0))</f>
        <v>0</v>
      </c>
      <c r="AB290" s="251">
        <f>IF(AB$4&gt;DAY(EOMONTH(DATE($D$2,$B$2,1),0)),"",IFERROR(SUMIFS(DATA_GOC!$H:$H,DATA_GOC!$A:$A,"BOM",DATA_GOC!$D:$D,$B290,DATA_GOC!$E:$E,"Dầu động cơ",DATA_GOC!$F:$F,"Xuất nội bộ từ téc",DATA_GOC!$B:$B,DATE($D$2,$B$2,AB$4)),0))</f>
        <v>0</v>
      </c>
      <c r="AC290" s="251">
        <f>IF(AC$4&gt;DAY(EOMONTH(DATE($D$2,$B$2,1),0)),"",IFERROR(SUMIFS(DATA_GOC!$H:$H,DATA_GOC!$A:$A,"BOM",DATA_GOC!$D:$D,$B290,DATA_GOC!$E:$E,"Dầu động cơ",DATA_GOC!$F:$F,"Xuất nội bộ từ téc",DATA_GOC!$B:$B,DATE($D$2,$B$2,AC$4)),0))</f>
        <v>0</v>
      </c>
      <c r="AD290" s="251">
        <f>IF(AD$4&gt;DAY(EOMONTH(DATE($D$2,$B$2,1),0)),"",IFERROR(SUMIFS(DATA_GOC!$H:$H,DATA_GOC!$A:$A,"BOM",DATA_GOC!$D:$D,$B290,DATA_GOC!$E:$E,"Dầu động cơ",DATA_GOC!$F:$F,"Xuất nội bộ từ téc",DATA_GOC!$B:$B,DATE($D$2,$B$2,AD$4)),0))</f>
        <v>0</v>
      </c>
      <c r="AE290" s="251">
        <f>IF(AE$4&gt;DAY(EOMONTH(DATE($D$2,$B$2,1),0)),"",IFERROR(SUMIFS(DATA_GOC!$H:$H,DATA_GOC!$A:$A,"BOM",DATA_GOC!$D:$D,$B290,DATA_GOC!$E:$E,"Dầu động cơ",DATA_GOC!$F:$F,"Xuất nội bộ từ téc",DATA_GOC!$B:$B,DATE($D$2,$B$2,AE$4)),0))</f>
        <v>0</v>
      </c>
      <c r="AF290" s="251">
        <f>IF(AF$4&gt;DAY(EOMONTH(DATE($D$2,$B$2,1),0)),"",IFERROR(SUMIFS(DATA_GOC!$H:$H,DATA_GOC!$A:$A,"BOM",DATA_GOC!$D:$D,$B290,DATA_GOC!$E:$E,"Dầu động cơ",DATA_GOC!$F:$F,"Xuất nội bộ từ téc",DATA_GOC!$B:$B,DATE($D$2,$B$2,AF$4)),0))</f>
        <v>0</v>
      </c>
      <c r="AG290" s="251">
        <f>IF(AG$4&gt;DAY(EOMONTH(DATE($D$2,$B$2,1),0)),"",IFERROR(SUMIFS(DATA_GOC!$H:$H,DATA_GOC!$A:$A,"BOM",DATA_GOC!$D:$D,$B290,DATA_GOC!$E:$E,"Dầu động cơ",DATA_GOC!$F:$F,"Xuất nội bộ từ téc",DATA_GOC!$B:$B,DATE($D$2,$B$2,AG$4)),0))</f>
        <v>0</v>
      </c>
      <c r="AH290" s="252">
        <f t="shared" si="13"/>
        <v>0</v>
      </c>
      <c r="AI290" s="241"/>
      <c r="AJ290" s="242">
        <f>IF($B290="","",SUMIFS(TINH_TEC!$K$233:$K$9232,TINH_TEC!$H$233:$H$9232,$B290,TINH_TEC!$C$233:$C$9232,"Dầu động cơ",TINH_TEC!$F$233:$F$9232,$B$2,TINH_TEC!$G$233:$G$9232,$D$2,TINH_TEC!$B$233:$B$9232,"Đã chốt"))</f>
        <v>0</v>
      </c>
      <c r="AK290" s="242">
        <f>IF($B290="","",SUMIFS(TINH_TEC!$J$233:$J$9232,TINH_TEC!$H$233:$H$9232,$B290,TINH_TEC!$C$233:$C$9232,"Dầu động cơ",TINH_TEC!$F$233:$F$9232,$B$2,TINH_TEC!$G$233:$G$9232,$D$2,TINH_TEC!$B$233:$B$9232,"Đã chốt"))</f>
        <v>0</v>
      </c>
      <c r="AL290" s="242">
        <f t="shared" si="14"/>
        <v>0</v>
      </c>
    </row>
    <row r="291" ht="15.75" customHeight="1">
      <c r="A291" s="237">
        <f>IF($B291&lt;&gt;"",42,"")</f>
        <v>42</v>
      </c>
      <c r="B291" s="250" t="str">
        <f t="array" ref="B291">IFERROR(INDEX(DANH_MUC!$E:$E,45),"")</f>
        <v>29E17273</v>
      </c>
      <c r="C291" s="251">
        <f>IF(C$4&gt;DAY(EOMONTH(DATE($D$2,$B$2,1),0)),"",IFERROR(SUMIFS(DATA_GOC!$H:$H,DATA_GOC!$A:$A,"BOM",DATA_GOC!$D:$D,$B291,DATA_GOC!$E:$E,"Dầu động cơ",DATA_GOC!$F:$F,"Xuất nội bộ từ téc",DATA_GOC!$B:$B,DATE($D$2,$B$2,C$4)),0))</f>
        <v>0</v>
      </c>
      <c r="D291" s="251">
        <f>IF(D$4&gt;DAY(EOMONTH(DATE($D$2,$B$2,1),0)),"",IFERROR(SUMIFS(DATA_GOC!$H:$H,DATA_GOC!$A:$A,"BOM",DATA_GOC!$D:$D,$B291,DATA_GOC!$E:$E,"Dầu động cơ",DATA_GOC!$F:$F,"Xuất nội bộ từ téc",DATA_GOC!$B:$B,DATE($D$2,$B$2,D$4)),0))</f>
        <v>0</v>
      </c>
      <c r="E291" s="251">
        <f>IF(E$4&gt;DAY(EOMONTH(DATE($D$2,$B$2,1),0)),"",IFERROR(SUMIFS(DATA_GOC!$H:$H,DATA_GOC!$A:$A,"BOM",DATA_GOC!$D:$D,$B291,DATA_GOC!$E:$E,"Dầu động cơ",DATA_GOC!$F:$F,"Xuất nội bộ từ téc",DATA_GOC!$B:$B,DATE($D$2,$B$2,E$4)),0))</f>
        <v>0</v>
      </c>
      <c r="F291" s="251">
        <f>IF(F$4&gt;DAY(EOMONTH(DATE($D$2,$B$2,1),0)),"",IFERROR(SUMIFS(DATA_GOC!$H:$H,DATA_GOC!$A:$A,"BOM",DATA_GOC!$D:$D,$B291,DATA_GOC!$E:$E,"Dầu động cơ",DATA_GOC!$F:$F,"Xuất nội bộ từ téc",DATA_GOC!$B:$B,DATE($D$2,$B$2,F$4)),0))</f>
        <v>0</v>
      </c>
      <c r="G291" s="251">
        <f>IF(G$4&gt;DAY(EOMONTH(DATE($D$2,$B$2,1),0)),"",IFERROR(SUMIFS(DATA_GOC!$H:$H,DATA_GOC!$A:$A,"BOM",DATA_GOC!$D:$D,$B291,DATA_GOC!$E:$E,"Dầu động cơ",DATA_GOC!$F:$F,"Xuất nội bộ từ téc",DATA_GOC!$B:$B,DATE($D$2,$B$2,G$4)),0))</f>
        <v>0</v>
      </c>
      <c r="H291" s="251">
        <f>IF(H$4&gt;DAY(EOMONTH(DATE($D$2,$B$2,1),0)),"",IFERROR(SUMIFS(DATA_GOC!$H:$H,DATA_GOC!$A:$A,"BOM",DATA_GOC!$D:$D,$B291,DATA_GOC!$E:$E,"Dầu động cơ",DATA_GOC!$F:$F,"Xuất nội bộ từ téc",DATA_GOC!$B:$B,DATE($D$2,$B$2,H$4)),0))</f>
        <v>0</v>
      </c>
      <c r="I291" s="251">
        <f>IF(I$4&gt;DAY(EOMONTH(DATE($D$2,$B$2,1),0)),"",IFERROR(SUMIFS(DATA_GOC!$H:$H,DATA_GOC!$A:$A,"BOM",DATA_GOC!$D:$D,$B291,DATA_GOC!$E:$E,"Dầu động cơ",DATA_GOC!$F:$F,"Xuất nội bộ từ téc",DATA_GOC!$B:$B,DATE($D$2,$B$2,I$4)),0))</f>
        <v>0</v>
      </c>
      <c r="J291" s="251">
        <f>IF(J$4&gt;DAY(EOMONTH(DATE($D$2,$B$2,1),0)),"",IFERROR(SUMIFS(DATA_GOC!$H:$H,DATA_GOC!$A:$A,"BOM",DATA_GOC!$D:$D,$B291,DATA_GOC!$E:$E,"Dầu động cơ",DATA_GOC!$F:$F,"Xuất nội bộ từ téc",DATA_GOC!$B:$B,DATE($D$2,$B$2,J$4)),0))</f>
        <v>0</v>
      </c>
      <c r="K291" s="251">
        <f>IF(K$4&gt;DAY(EOMONTH(DATE($D$2,$B$2,1),0)),"",IFERROR(SUMIFS(DATA_GOC!$H:$H,DATA_GOC!$A:$A,"BOM",DATA_GOC!$D:$D,$B291,DATA_GOC!$E:$E,"Dầu động cơ",DATA_GOC!$F:$F,"Xuất nội bộ từ téc",DATA_GOC!$B:$B,DATE($D$2,$B$2,K$4)),0))</f>
        <v>0</v>
      </c>
      <c r="L291" s="251">
        <f>IF(L$4&gt;DAY(EOMONTH(DATE($D$2,$B$2,1),0)),"",IFERROR(SUMIFS(DATA_GOC!$H:$H,DATA_GOC!$A:$A,"BOM",DATA_GOC!$D:$D,$B291,DATA_GOC!$E:$E,"Dầu động cơ",DATA_GOC!$F:$F,"Xuất nội bộ từ téc",DATA_GOC!$B:$B,DATE($D$2,$B$2,L$4)),0))</f>
        <v>0</v>
      </c>
      <c r="M291" s="251">
        <f>IF(M$4&gt;DAY(EOMONTH(DATE($D$2,$B$2,1),0)),"",IFERROR(SUMIFS(DATA_GOC!$H:$H,DATA_GOC!$A:$A,"BOM",DATA_GOC!$D:$D,$B291,DATA_GOC!$E:$E,"Dầu động cơ",DATA_GOC!$F:$F,"Xuất nội bộ từ téc",DATA_GOC!$B:$B,DATE($D$2,$B$2,M$4)),0))</f>
        <v>0</v>
      </c>
      <c r="N291" s="251">
        <f>IF(N$4&gt;DAY(EOMONTH(DATE($D$2,$B$2,1),0)),"",IFERROR(SUMIFS(DATA_GOC!$H:$H,DATA_GOC!$A:$A,"BOM",DATA_GOC!$D:$D,$B291,DATA_GOC!$E:$E,"Dầu động cơ",DATA_GOC!$F:$F,"Xuất nội bộ từ téc",DATA_GOC!$B:$B,DATE($D$2,$B$2,N$4)),0))</f>
        <v>0</v>
      </c>
      <c r="O291" s="251">
        <f>IF(O$4&gt;DAY(EOMONTH(DATE($D$2,$B$2,1),0)),"",IFERROR(SUMIFS(DATA_GOC!$H:$H,DATA_GOC!$A:$A,"BOM",DATA_GOC!$D:$D,$B291,DATA_GOC!$E:$E,"Dầu động cơ",DATA_GOC!$F:$F,"Xuất nội bộ từ téc",DATA_GOC!$B:$B,DATE($D$2,$B$2,O$4)),0))</f>
        <v>0</v>
      </c>
      <c r="P291" s="251">
        <f>IF(P$4&gt;DAY(EOMONTH(DATE($D$2,$B$2,1),0)),"",IFERROR(SUMIFS(DATA_GOC!$H:$H,DATA_GOC!$A:$A,"BOM",DATA_GOC!$D:$D,$B291,DATA_GOC!$E:$E,"Dầu động cơ",DATA_GOC!$F:$F,"Xuất nội bộ từ téc",DATA_GOC!$B:$B,DATE($D$2,$B$2,P$4)),0))</f>
        <v>0</v>
      </c>
      <c r="Q291" s="251">
        <f>IF(Q$4&gt;DAY(EOMONTH(DATE($D$2,$B$2,1),0)),"",IFERROR(SUMIFS(DATA_GOC!$H:$H,DATA_GOC!$A:$A,"BOM",DATA_GOC!$D:$D,$B291,DATA_GOC!$E:$E,"Dầu động cơ",DATA_GOC!$F:$F,"Xuất nội bộ từ téc",DATA_GOC!$B:$B,DATE($D$2,$B$2,Q$4)),0))</f>
        <v>0</v>
      </c>
      <c r="R291" s="251">
        <f>IF(R$4&gt;DAY(EOMONTH(DATE($D$2,$B$2,1),0)),"",IFERROR(SUMIFS(DATA_GOC!$H:$H,DATA_GOC!$A:$A,"BOM",DATA_GOC!$D:$D,$B291,DATA_GOC!$E:$E,"Dầu động cơ",DATA_GOC!$F:$F,"Xuất nội bộ từ téc",DATA_GOC!$B:$B,DATE($D$2,$B$2,R$4)),0))</f>
        <v>0</v>
      </c>
      <c r="S291" s="251">
        <f>IF(S$4&gt;DAY(EOMONTH(DATE($D$2,$B$2,1),0)),"",IFERROR(SUMIFS(DATA_GOC!$H:$H,DATA_GOC!$A:$A,"BOM",DATA_GOC!$D:$D,$B291,DATA_GOC!$E:$E,"Dầu động cơ",DATA_GOC!$F:$F,"Xuất nội bộ từ téc",DATA_GOC!$B:$B,DATE($D$2,$B$2,S$4)),0))</f>
        <v>0</v>
      </c>
      <c r="T291" s="251">
        <f>IF(T$4&gt;DAY(EOMONTH(DATE($D$2,$B$2,1),0)),"",IFERROR(SUMIFS(DATA_GOC!$H:$H,DATA_GOC!$A:$A,"BOM",DATA_GOC!$D:$D,$B291,DATA_GOC!$E:$E,"Dầu động cơ",DATA_GOC!$F:$F,"Xuất nội bộ từ téc",DATA_GOC!$B:$B,DATE($D$2,$B$2,T$4)),0))</f>
        <v>0</v>
      </c>
      <c r="U291" s="251">
        <f>IF(U$4&gt;DAY(EOMONTH(DATE($D$2,$B$2,1),0)),"",IFERROR(SUMIFS(DATA_GOC!$H:$H,DATA_GOC!$A:$A,"BOM",DATA_GOC!$D:$D,$B291,DATA_GOC!$E:$E,"Dầu động cơ",DATA_GOC!$F:$F,"Xuất nội bộ từ téc",DATA_GOC!$B:$B,DATE($D$2,$B$2,U$4)),0))</f>
        <v>0</v>
      </c>
      <c r="V291" s="251">
        <f>IF(V$4&gt;DAY(EOMONTH(DATE($D$2,$B$2,1),0)),"",IFERROR(SUMIFS(DATA_GOC!$H:$H,DATA_GOC!$A:$A,"BOM",DATA_GOC!$D:$D,$B291,DATA_GOC!$E:$E,"Dầu động cơ",DATA_GOC!$F:$F,"Xuất nội bộ từ téc",DATA_GOC!$B:$B,DATE($D$2,$B$2,V$4)),0))</f>
        <v>0</v>
      </c>
      <c r="W291" s="251">
        <f>IF(W$4&gt;DAY(EOMONTH(DATE($D$2,$B$2,1),0)),"",IFERROR(SUMIFS(DATA_GOC!$H:$H,DATA_GOC!$A:$A,"BOM",DATA_GOC!$D:$D,$B291,DATA_GOC!$E:$E,"Dầu động cơ",DATA_GOC!$F:$F,"Xuất nội bộ từ téc",DATA_GOC!$B:$B,DATE($D$2,$B$2,W$4)),0))</f>
        <v>0</v>
      </c>
      <c r="X291" s="251">
        <f>IF(X$4&gt;DAY(EOMONTH(DATE($D$2,$B$2,1),0)),"",IFERROR(SUMIFS(DATA_GOC!$H:$H,DATA_GOC!$A:$A,"BOM",DATA_GOC!$D:$D,$B291,DATA_GOC!$E:$E,"Dầu động cơ",DATA_GOC!$F:$F,"Xuất nội bộ từ téc",DATA_GOC!$B:$B,DATE($D$2,$B$2,X$4)),0))</f>
        <v>0</v>
      </c>
      <c r="Y291" s="251">
        <f>IF(Y$4&gt;DAY(EOMONTH(DATE($D$2,$B$2,1),0)),"",IFERROR(SUMIFS(DATA_GOC!$H:$H,DATA_GOC!$A:$A,"BOM",DATA_GOC!$D:$D,$B291,DATA_GOC!$E:$E,"Dầu động cơ",DATA_GOC!$F:$F,"Xuất nội bộ từ téc",DATA_GOC!$B:$B,DATE($D$2,$B$2,Y$4)),0))</f>
        <v>0</v>
      </c>
      <c r="Z291" s="251">
        <f>IF(Z$4&gt;DAY(EOMONTH(DATE($D$2,$B$2,1),0)),"",IFERROR(SUMIFS(DATA_GOC!$H:$H,DATA_GOC!$A:$A,"BOM",DATA_GOC!$D:$D,$B291,DATA_GOC!$E:$E,"Dầu động cơ",DATA_GOC!$F:$F,"Xuất nội bộ từ téc",DATA_GOC!$B:$B,DATE($D$2,$B$2,Z$4)),0))</f>
        <v>0</v>
      </c>
      <c r="AA291" s="251">
        <f>IF(AA$4&gt;DAY(EOMONTH(DATE($D$2,$B$2,1),0)),"",IFERROR(SUMIFS(DATA_GOC!$H:$H,DATA_GOC!$A:$A,"BOM",DATA_GOC!$D:$D,$B291,DATA_GOC!$E:$E,"Dầu động cơ",DATA_GOC!$F:$F,"Xuất nội bộ từ téc",DATA_GOC!$B:$B,DATE($D$2,$B$2,AA$4)),0))</f>
        <v>0</v>
      </c>
      <c r="AB291" s="251">
        <f>IF(AB$4&gt;DAY(EOMONTH(DATE($D$2,$B$2,1),0)),"",IFERROR(SUMIFS(DATA_GOC!$H:$H,DATA_GOC!$A:$A,"BOM",DATA_GOC!$D:$D,$B291,DATA_GOC!$E:$E,"Dầu động cơ",DATA_GOC!$F:$F,"Xuất nội bộ từ téc",DATA_GOC!$B:$B,DATE($D$2,$B$2,AB$4)),0))</f>
        <v>0</v>
      </c>
      <c r="AC291" s="251">
        <f>IF(AC$4&gt;DAY(EOMONTH(DATE($D$2,$B$2,1),0)),"",IFERROR(SUMIFS(DATA_GOC!$H:$H,DATA_GOC!$A:$A,"BOM",DATA_GOC!$D:$D,$B291,DATA_GOC!$E:$E,"Dầu động cơ",DATA_GOC!$F:$F,"Xuất nội bộ từ téc",DATA_GOC!$B:$B,DATE($D$2,$B$2,AC$4)),0))</f>
        <v>0</v>
      </c>
      <c r="AD291" s="251">
        <f>IF(AD$4&gt;DAY(EOMONTH(DATE($D$2,$B$2,1),0)),"",IFERROR(SUMIFS(DATA_GOC!$H:$H,DATA_GOC!$A:$A,"BOM",DATA_GOC!$D:$D,$B291,DATA_GOC!$E:$E,"Dầu động cơ",DATA_GOC!$F:$F,"Xuất nội bộ từ téc",DATA_GOC!$B:$B,DATE($D$2,$B$2,AD$4)),0))</f>
        <v>0</v>
      </c>
      <c r="AE291" s="251">
        <f>IF(AE$4&gt;DAY(EOMONTH(DATE($D$2,$B$2,1),0)),"",IFERROR(SUMIFS(DATA_GOC!$H:$H,DATA_GOC!$A:$A,"BOM",DATA_GOC!$D:$D,$B291,DATA_GOC!$E:$E,"Dầu động cơ",DATA_GOC!$F:$F,"Xuất nội bộ từ téc",DATA_GOC!$B:$B,DATE($D$2,$B$2,AE$4)),0))</f>
        <v>0</v>
      </c>
      <c r="AF291" s="251">
        <f>IF(AF$4&gt;DAY(EOMONTH(DATE($D$2,$B$2,1),0)),"",IFERROR(SUMIFS(DATA_GOC!$H:$H,DATA_GOC!$A:$A,"BOM",DATA_GOC!$D:$D,$B291,DATA_GOC!$E:$E,"Dầu động cơ",DATA_GOC!$F:$F,"Xuất nội bộ từ téc",DATA_GOC!$B:$B,DATE($D$2,$B$2,AF$4)),0))</f>
        <v>0</v>
      </c>
      <c r="AG291" s="251">
        <f>IF(AG$4&gt;DAY(EOMONTH(DATE($D$2,$B$2,1),0)),"",IFERROR(SUMIFS(DATA_GOC!$H:$H,DATA_GOC!$A:$A,"BOM",DATA_GOC!$D:$D,$B291,DATA_GOC!$E:$E,"Dầu động cơ",DATA_GOC!$F:$F,"Xuất nội bộ từ téc",DATA_GOC!$B:$B,DATE($D$2,$B$2,AG$4)),0))</f>
        <v>0</v>
      </c>
      <c r="AH291" s="252">
        <f t="shared" si="13"/>
        <v>0</v>
      </c>
      <c r="AI291" s="241"/>
      <c r="AJ291" s="242">
        <f>IF($B291="","",SUMIFS(TINH_TEC!$K$233:$K$9232,TINH_TEC!$H$233:$H$9232,$B291,TINH_TEC!$C$233:$C$9232,"Dầu động cơ",TINH_TEC!$F$233:$F$9232,$B$2,TINH_TEC!$G$233:$G$9232,$D$2,TINH_TEC!$B$233:$B$9232,"Đã chốt"))</f>
        <v>0</v>
      </c>
      <c r="AK291" s="242">
        <f>IF($B291="","",SUMIFS(TINH_TEC!$J$233:$J$9232,TINH_TEC!$H$233:$H$9232,$B291,TINH_TEC!$C$233:$C$9232,"Dầu động cơ",TINH_TEC!$F$233:$F$9232,$B$2,TINH_TEC!$G$233:$G$9232,$D$2,TINH_TEC!$B$233:$B$9232,"Đã chốt"))</f>
        <v>0</v>
      </c>
      <c r="AL291" s="242">
        <f t="shared" si="14"/>
        <v>0</v>
      </c>
    </row>
    <row r="292" ht="15.75" customHeight="1">
      <c r="A292" s="237">
        <f>IF($B292&lt;&gt;"",43,"")</f>
        <v>43</v>
      </c>
      <c r="B292" s="250" t="str">
        <f t="array" ref="B292">IFERROR(INDEX(DANH_MUC!$E:$E,46),"")</f>
        <v>29E17410</v>
      </c>
      <c r="C292" s="251">
        <f>IF(C$4&gt;DAY(EOMONTH(DATE($D$2,$B$2,1),0)),"",IFERROR(SUMIFS(DATA_GOC!$H:$H,DATA_GOC!$A:$A,"BOM",DATA_GOC!$D:$D,$B292,DATA_GOC!$E:$E,"Dầu động cơ",DATA_GOC!$F:$F,"Xuất nội bộ từ téc",DATA_GOC!$B:$B,DATE($D$2,$B$2,C$4)),0))</f>
        <v>0</v>
      </c>
      <c r="D292" s="251">
        <f>IF(D$4&gt;DAY(EOMONTH(DATE($D$2,$B$2,1),0)),"",IFERROR(SUMIFS(DATA_GOC!$H:$H,DATA_GOC!$A:$A,"BOM",DATA_GOC!$D:$D,$B292,DATA_GOC!$E:$E,"Dầu động cơ",DATA_GOC!$F:$F,"Xuất nội bộ từ téc",DATA_GOC!$B:$B,DATE($D$2,$B$2,D$4)),0))</f>
        <v>0</v>
      </c>
      <c r="E292" s="251">
        <f>IF(E$4&gt;DAY(EOMONTH(DATE($D$2,$B$2,1),0)),"",IFERROR(SUMIFS(DATA_GOC!$H:$H,DATA_GOC!$A:$A,"BOM",DATA_GOC!$D:$D,$B292,DATA_GOC!$E:$E,"Dầu động cơ",DATA_GOC!$F:$F,"Xuất nội bộ từ téc",DATA_GOC!$B:$B,DATE($D$2,$B$2,E$4)),0))</f>
        <v>0</v>
      </c>
      <c r="F292" s="251">
        <f>IF(F$4&gt;DAY(EOMONTH(DATE($D$2,$B$2,1),0)),"",IFERROR(SUMIFS(DATA_GOC!$H:$H,DATA_GOC!$A:$A,"BOM",DATA_GOC!$D:$D,$B292,DATA_GOC!$E:$E,"Dầu động cơ",DATA_GOC!$F:$F,"Xuất nội bộ từ téc",DATA_GOC!$B:$B,DATE($D$2,$B$2,F$4)),0))</f>
        <v>0</v>
      </c>
      <c r="G292" s="251">
        <f>IF(G$4&gt;DAY(EOMONTH(DATE($D$2,$B$2,1),0)),"",IFERROR(SUMIFS(DATA_GOC!$H:$H,DATA_GOC!$A:$A,"BOM",DATA_GOC!$D:$D,$B292,DATA_GOC!$E:$E,"Dầu động cơ",DATA_GOC!$F:$F,"Xuất nội bộ từ téc",DATA_GOC!$B:$B,DATE($D$2,$B$2,G$4)),0))</f>
        <v>0</v>
      </c>
      <c r="H292" s="251">
        <f>IF(H$4&gt;DAY(EOMONTH(DATE($D$2,$B$2,1),0)),"",IFERROR(SUMIFS(DATA_GOC!$H:$H,DATA_GOC!$A:$A,"BOM",DATA_GOC!$D:$D,$B292,DATA_GOC!$E:$E,"Dầu động cơ",DATA_GOC!$F:$F,"Xuất nội bộ từ téc",DATA_GOC!$B:$B,DATE($D$2,$B$2,H$4)),0))</f>
        <v>0</v>
      </c>
      <c r="I292" s="251">
        <f>IF(I$4&gt;DAY(EOMONTH(DATE($D$2,$B$2,1),0)),"",IFERROR(SUMIFS(DATA_GOC!$H:$H,DATA_GOC!$A:$A,"BOM",DATA_GOC!$D:$D,$B292,DATA_GOC!$E:$E,"Dầu động cơ",DATA_GOC!$F:$F,"Xuất nội bộ từ téc",DATA_GOC!$B:$B,DATE($D$2,$B$2,I$4)),0))</f>
        <v>0</v>
      </c>
      <c r="J292" s="251">
        <f>IF(J$4&gt;DAY(EOMONTH(DATE($D$2,$B$2,1),0)),"",IFERROR(SUMIFS(DATA_GOC!$H:$H,DATA_GOC!$A:$A,"BOM",DATA_GOC!$D:$D,$B292,DATA_GOC!$E:$E,"Dầu động cơ",DATA_GOC!$F:$F,"Xuất nội bộ từ téc",DATA_GOC!$B:$B,DATE($D$2,$B$2,J$4)),0))</f>
        <v>0</v>
      </c>
      <c r="K292" s="251">
        <f>IF(K$4&gt;DAY(EOMONTH(DATE($D$2,$B$2,1),0)),"",IFERROR(SUMIFS(DATA_GOC!$H:$H,DATA_GOC!$A:$A,"BOM",DATA_GOC!$D:$D,$B292,DATA_GOC!$E:$E,"Dầu động cơ",DATA_GOC!$F:$F,"Xuất nội bộ từ téc",DATA_GOC!$B:$B,DATE($D$2,$B$2,K$4)),0))</f>
        <v>0</v>
      </c>
      <c r="L292" s="251">
        <f>IF(L$4&gt;DAY(EOMONTH(DATE($D$2,$B$2,1),0)),"",IFERROR(SUMIFS(DATA_GOC!$H:$H,DATA_GOC!$A:$A,"BOM",DATA_GOC!$D:$D,$B292,DATA_GOC!$E:$E,"Dầu động cơ",DATA_GOC!$F:$F,"Xuất nội bộ từ téc",DATA_GOC!$B:$B,DATE($D$2,$B$2,L$4)),0))</f>
        <v>0</v>
      </c>
      <c r="M292" s="251">
        <f>IF(M$4&gt;DAY(EOMONTH(DATE($D$2,$B$2,1),0)),"",IFERROR(SUMIFS(DATA_GOC!$H:$H,DATA_GOC!$A:$A,"BOM",DATA_GOC!$D:$D,$B292,DATA_GOC!$E:$E,"Dầu động cơ",DATA_GOC!$F:$F,"Xuất nội bộ từ téc",DATA_GOC!$B:$B,DATE($D$2,$B$2,M$4)),0))</f>
        <v>0</v>
      </c>
      <c r="N292" s="251">
        <f>IF(N$4&gt;DAY(EOMONTH(DATE($D$2,$B$2,1),0)),"",IFERROR(SUMIFS(DATA_GOC!$H:$H,DATA_GOC!$A:$A,"BOM",DATA_GOC!$D:$D,$B292,DATA_GOC!$E:$E,"Dầu động cơ",DATA_GOC!$F:$F,"Xuất nội bộ từ téc",DATA_GOC!$B:$B,DATE($D$2,$B$2,N$4)),0))</f>
        <v>0</v>
      </c>
      <c r="O292" s="251">
        <f>IF(O$4&gt;DAY(EOMONTH(DATE($D$2,$B$2,1),0)),"",IFERROR(SUMIFS(DATA_GOC!$H:$H,DATA_GOC!$A:$A,"BOM",DATA_GOC!$D:$D,$B292,DATA_GOC!$E:$E,"Dầu động cơ",DATA_GOC!$F:$F,"Xuất nội bộ từ téc",DATA_GOC!$B:$B,DATE($D$2,$B$2,O$4)),0))</f>
        <v>0</v>
      </c>
      <c r="P292" s="251">
        <f>IF(P$4&gt;DAY(EOMONTH(DATE($D$2,$B$2,1),0)),"",IFERROR(SUMIFS(DATA_GOC!$H:$H,DATA_GOC!$A:$A,"BOM",DATA_GOC!$D:$D,$B292,DATA_GOC!$E:$E,"Dầu động cơ",DATA_GOC!$F:$F,"Xuất nội bộ từ téc",DATA_GOC!$B:$B,DATE($D$2,$B$2,P$4)),0))</f>
        <v>0</v>
      </c>
      <c r="Q292" s="251">
        <f>IF(Q$4&gt;DAY(EOMONTH(DATE($D$2,$B$2,1),0)),"",IFERROR(SUMIFS(DATA_GOC!$H:$H,DATA_GOC!$A:$A,"BOM",DATA_GOC!$D:$D,$B292,DATA_GOC!$E:$E,"Dầu động cơ",DATA_GOC!$F:$F,"Xuất nội bộ từ téc",DATA_GOC!$B:$B,DATE($D$2,$B$2,Q$4)),0))</f>
        <v>0</v>
      </c>
      <c r="R292" s="251">
        <f>IF(R$4&gt;DAY(EOMONTH(DATE($D$2,$B$2,1),0)),"",IFERROR(SUMIFS(DATA_GOC!$H:$H,DATA_GOC!$A:$A,"BOM",DATA_GOC!$D:$D,$B292,DATA_GOC!$E:$E,"Dầu động cơ",DATA_GOC!$F:$F,"Xuất nội bộ từ téc",DATA_GOC!$B:$B,DATE($D$2,$B$2,R$4)),0))</f>
        <v>0</v>
      </c>
      <c r="S292" s="251">
        <f>IF(S$4&gt;DAY(EOMONTH(DATE($D$2,$B$2,1),0)),"",IFERROR(SUMIFS(DATA_GOC!$H:$H,DATA_GOC!$A:$A,"BOM",DATA_GOC!$D:$D,$B292,DATA_GOC!$E:$E,"Dầu động cơ",DATA_GOC!$F:$F,"Xuất nội bộ từ téc",DATA_GOC!$B:$B,DATE($D$2,$B$2,S$4)),0))</f>
        <v>0</v>
      </c>
      <c r="T292" s="251">
        <f>IF(T$4&gt;DAY(EOMONTH(DATE($D$2,$B$2,1),0)),"",IFERROR(SUMIFS(DATA_GOC!$H:$H,DATA_GOC!$A:$A,"BOM",DATA_GOC!$D:$D,$B292,DATA_GOC!$E:$E,"Dầu động cơ",DATA_GOC!$F:$F,"Xuất nội bộ từ téc",DATA_GOC!$B:$B,DATE($D$2,$B$2,T$4)),0))</f>
        <v>0</v>
      </c>
      <c r="U292" s="251">
        <f>IF(U$4&gt;DAY(EOMONTH(DATE($D$2,$B$2,1),0)),"",IFERROR(SUMIFS(DATA_GOC!$H:$H,DATA_GOC!$A:$A,"BOM",DATA_GOC!$D:$D,$B292,DATA_GOC!$E:$E,"Dầu động cơ",DATA_GOC!$F:$F,"Xuất nội bộ từ téc",DATA_GOC!$B:$B,DATE($D$2,$B$2,U$4)),0))</f>
        <v>0</v>
      </c>
      <c r="V292" s="251">
        <f>IF(V$4&gt;DAY(EOMONTH(DATE($D$2,$B$2,1),0)),"",IFERROR(SUMIFS(DATA_GOC!$H:$H,DATA_GOC!$A:$A,"BOM",DATA_GOC!$D:$D,$B292,DATA_GOC!$E:$E,"Dầu động cơ",DATA_GOC!$F:$F,"Xuất nội bộ từ téc",DATA_GOC!$B:$B,DATE($D$2,$B$2,V$4)),0))</f>
        <v>0</v>
      </c>
      <c r="W292" s="251">
        <f>IF(W$4&gt;DAY(EOMONTH(DATE($D$2,$B$2,1),0)),"",IFERROR(SUMIFS(DATA_GOC!$H:$H,DATA_GOC!$A:$A,"BOM",DATA_GOC!$D:$D,$B292,DATA_GOC!$E:$E,"Dầu động cơ",DATA_GOC!$F:$F,"Xuất nội bộ từ téc",DATA_GOC!$B:$B,DATE($D$2,$B$2,W$4)),0))</f>
        <v>0</v>
      </c>
      <c r="X292" s="251">
        <f>IF(X$4&gt;DAY(EOMONTH(DATE($D$2,$B$2,1),0)),"",IFERROR(SUMIFS(DATA_GOC!$H:$H,DATA_GOC!$A:$A,"BOM",DATA_GOC!$D:$D,$B292,DATA_GOC!$E:$E,"Dầu động cơ",DATA_GOC!$F:$F,"Xuất nội bộ từ téc",DATA_GOC!$B:$B,DATE($D$2,$B$2,X$4)),0))</f>
        <v>0</v>
      </c>
      <c r="Y292" s="251">
        <f>IF(Y$4&gt;DAY(EOMONTH(DATE($D$2,$B$2,1),0)),"",IFERROR(SUMIFS(DATA_GOC!$H:$H,DATA_GOC!$A:$A,"BOM",DATA_GOC!$D:$D,$B292,DATA_GOC!$E:$E,"Dầu động cơ",DATA_GOC!$F:$F,"Xuất nội bộ từ téc",DATA_GOC!$B:$B,DATE($D$2,$B$2,Y$4)),0))</f>
        <v>0</v>
      </c>
      <c r="Z292" s="251">
        <f>IF(Z$4&gt;DAY(EOMONTH(DATE($D$2,$B$2,1),0)),"",IFERROR(SUMIFS(DATA_GOC!$H:$H,DATA_GOC!$A:$A,"BOM",DATA_GOC!$D:$D,$B292,DATA_GOC!$E:$E,"Dầu động cơ",DATA_GOC!$F:$F,"Xuất nội bộ từ téc",DATA_GOC!$B:$B,DATE($D$2,$B$2,Z$4)),0))</f>
        <v>0</v>
      </c>
      <c r="AA292" s="251">
        <f>IF(AA$4&gt;DAY(EOMONTH(DATE($D$2,$B$2,1),0)),"",IFERROR(SUMIFS(DATA_GOC!$H:$H,DATA_GOC!$A:$A,"BOM",DATA_GOC!$D:$D,$B292,DATA_GOC!$E:$E,"Dầu động cơ",DATA_GOC!$F:$F,"Xuất nội bộ từ téc",DATA_GOC!$B:$B,DATE($D$2,$B$2,AA$4)),0))</f>
        <v>0</v>
      </c>
      <c r="AB292" s="251">
        <f>IF(AB$4&gt;DAY(EOMONTH(DATE($D$2,$B$2,1),0)),"",IFERROR(SUMIFS(DATA_GOC!$H:$H,DATA_GOC!$A:$A,"BOM",DATA_GOC!$D:$D,$B292,DATA_GOC!$E:$E,"Dầu động cơ",DATA_GOC!$F:$F,"Xuất nội bộ từ téc",DATA_GOC!$B:$B,DATE($D$2,$B$2,AB$4)),0))</f>
        <v>0</v>
      </c>
      <c r="AC292" s="251">
        <f>IF(AC$4&gt;DAY(EOMONTH(DATE($D$2,$B$2,1),0)),"",IFERROR(SUMIFS(DATA_GOC!$H:$H,DATA_GOC!$A:$A,"BOM",DATA_GOC!$D:$D,$B292,DATA_GOC!$E:$E,"Dầu động cơ",DATA_GOC!$F:$F,"Xuất nội bộ từ téc",DATA_GOC!$B:$B,DATE($D$2,$B$2,AC$4)),0))</f>
        <v>0</v>
      </c>
      <c r="AD292" s="251">
        <f>IF(AD$4&gt;DAY(EOMONTH(DATE($D$2,$B$2,1),0)),"",IFERROR(SUMIFS(DATA_GOC!$H:$H,DATA_GOC!$A:$A,"BOM",DATA_GOC!$D:$D,$B292,DATA_GOC!$E:$E,"Dầu động cơ",DATA_GOC!$F:$F,"Xuất nội bộ từ téc",DATA_GOC!$B:$B,DATE($D$2,$B$2,AD$4)),0))</f>
        <v>0</v>
      </c>
      <c r="AE292" s="251">
        <f>IF(AE$4&gt;DAY(EOMONTH(DATE($D$2,$B$2,1),0)),"",IFERROR(SUMIFS(DATA_GOC!$H:$H,DATA_GOC!$A:$A,"BOM",DATA_GOC!$D:$D,$B292,DATA_GOC!$E:$E,"Dầu động cơ",DATA_GOC!$F:$F,"Xuất nội bộ từ téc",DATA_GOC!$B:$B,DATE($D$2,$B$2,AE$4)),0))</f>
        <v>0</v>
      </c>
      <c r="AF292" s="251">
        <f>IF(AF$4&gt;DAY(EOMONTH(DATE($D$2,$B$2,1),0)),"",IFERROR(SUMIFS(DATA_GOC!$H:$H,DATA_GOC!$A:$A,"BOM",DATA_GOC!$D:$D,$B292,DATA_GOC!$E:$E,"Dầu động cơ",DATA_GOC!$F:$F,"Xuất nội bộ từ téc",DATA_GOC!$B:$B,DATE($D$2,$B$2,AF$4)),0))</f>
        <v>0</v>
      </c>
      <c r="AG292" s="251">
        <f>IF(AG$4&gt;DAY(EOMONTH(DATE($D$2,$B$2,1),0)),"",IFERROR(SUMIFS(DATA_GOC!$H:$H,DATA_GOC!$A:$A,"BOM",DATA_GOC!$D:$D,$B292,DATA_GOC!$E:$E,"Dầu động cơ",DATA_GOC!$F:$F,"Xuất nội bộ từ téc",DATA_GOC!$B:$B,DATE($D$2,$B$2,AG$4)),0))</f>
        <v>0</v>
      </c>
      <c r="AH292" s="252">
        <f t="shared" si="13"/>
        <v>0</v>
      </c>
      <c r="AI292" s="241"/>
      <c r="AJ292" s="242">
        <f>IF($B292="","",SUMIFS(TINH_TEC!$K$233:$K$9232,TINH_TEC!$H$233:$H$9232,$B292,TINH_TEC!$C$233:$C$9232,"Dầu động cơ",TINH_TEC!$F$233:$F$9232,$B$2,TINH_TEC!$G$233:$G$9232,$D$2,TINH_TEC!$B$233:$B$9232,"Đã chốt"))</f>
        <v>0</v>
      </c>
      <c r="AK292" s="242">
        <f>IF($B292="","",SUMIFS(TINH_TEC!$J$233:$J$9232,TINH_TEC!$H$233:$H$9232,$B292,TINH_TEC!$C$233:$C$9232,"Dầu động cơ",TINH_TEC!$F$233:$F$9232,$B$2,TINH_TEC!$G$233:$G$9232,$D$2,TINH_TEC!$B$233:$B$9232,"Đã chốt"))</f>
        <v>0</v>
      </c>
      <c r="AL292" s="242">
        <f t="shared" si="14"/>
        <v>0</v>
      </c>
    </row>
    <row r="293" ht="15.75" customHeight="1">
      <c r="A293" s="237">
        <f>IF($B293&lt;&gt;"",44,"")</f>
        <v>44</v>
      </c>
      <c r="B293" s="250" t="str">
        <f t="array" ref="B293">IFERROR(INDEX(DANH_MUC!$E:$E,47),"")</f>
        <v>29E17417</v>
      </c>
      <c r="C293" s="251">
        <f>IF(C$4&gt;DAY(EOMONTH(DATE($D$2,$B$2,1),0)),"",IFERROR(SUMIFS(DATA_GOC!$H:$H,DATA_GOC!$A:$A,"BOM",DATA_GOC!$D:$D,$B293,DATA_GOC!$E:$E,"Dầu động cơ",DATA_GOC!$F:$F,"Xuất nội bộ từ téc",DATA_GOC!$B:$B,DATE($D$2,$B$2,C$4)),0))</f>
        <v>0</v>
      </c>
      <c r="D293" s="251">
        <f>IF(D$4&gt;DAY(EOMONTH(DATE($D$2,$B$2,1),0)),"",IFERROR(SUMIFS(DATA_GOC!$H:$H,DATA_GOC!$A:$A,"BOM",DATA_GOC!$D:$D,$B293,DATA_GOC!$E:$E,"Dầu động cơ",DATA_GOC!$F:$F,"Xuất nội bộ từ téc",DATA_GOC!$B:$B,DATE($D$2,$B$2,D$4)),0))</f>
        <v>0</v>
      </c>
      <c r="E293" s="251">
        <f>IF(E$4&gt;DAY(EOMONTH(DATE($D$2,$B$2,1),0)),"",IFERROR(SUMIFS(DATA_GOC!$H:$H,DATA_GOC!$A:$A,"BOM",DATA_GOC!$D:$D,$B293,DATA_GOC!$E:$E,"Dầu động cơ",DATA_GOC!$F:$F,"Xuất nội bộ từ téc",DATA_GOC!$B:$B,DATE($D$2,$B$2,E$4)),0))</f>
        <v>0</v>
      </c>
      <c r="F293" s="251">
        <f>IF(F$4&gt;DAY(EOMONTH(DATE($D$2,$B$2,1),0)),"",IFERROR(SUMIFS(DATA_GOC!$H:$H,DATA_GOC!$A:$A,"BOM",DATA_GOC!$D:$D,$B293,DATA_GOC!$E:$E,"Dầu động cơ",DATA_GOC!$F:$F,"Xuất nội bộ từ téc",DATA_GOC!$B:$B,DATE($D$2,$B$2,F$4)),0))</f>
        <v>0</v>
      </c>
      <c r="G293" s="251">
        <f>IF(G$4&gt;DAY(EOMONTH(DATE($D$2,$B$2,1),0)),"",IFERROR(SUMIFS(DATA_GOC!$H:$H,DATA_GOC!$A:$A,"BOM",DATA_GOC!$D:$D,$B293,DATA_GOC!$E:$E,"Dầu động cơ",DATA_GOC!$F:$F,"Xuất nội bộ từ téc",DATA_GOC!$B:$B,DATE($D$2,$B$2,G$4)),0))</f>
        <v>0</v>
      </c>
      <c r="H293" s="251">
        <f>IF(H$4&gt;DAY(EOMONTH(DATE($D$2,$B$2,1),0)),"",IFERROR(SUMIFS(DATA_GOC!$H:$H,DATA_GOC!$A:$A,"BOM",DATA_GOC!$D:$D,$B293,DATA_GOC!$E:$E,"Dầu động cơ",DATA_GOC!$F:$F,"Xuất nội bộ từ téc",DATA_GOC!$B:$B,DATE($D$2,$B$2,H$4)),0))</f>
        <v>0</v>
      </c>
      <c r="I293" s="251">
        <f>IF(I$4&gt;DAY(EOMONTH(DATE($D$2,$B$2,1),0)),"",IFERROR(SUMIFS(DATA_GOC!$H:$H,DATA_GOC!$A:$A,"BOM",DATA_GOC!$D:$D,$B293,DATA_GOC!$E:$E,"Dầu động cơ",DATA_GOC!$F:$F,"Xuất nội bộ từ téc",DATA_GOC!$B:$B,DATE($D$2,$B$2,I$4)),0))</f>
        <v>0</v>
      </c>
      <c r="J293" s="251">
        <f>IF(J$4&gt;DAY(EOMONTH(DATE($D$2,$B$2,1),0)),"",IFERROR(SUMIFS(DATA_GOC!$H:$H,DATA_GOC!$A:$A,"BOM",DATA_GOC!$D:$D,$B293,DATA_GOC!$E:$E,"Dầu động cơ",DATA_GOC!$F:$F,"Xuất nội bộ từ téc",DATA_GOC!$B:$B,DATE($D$2,$B$2,J$4)),0))</f>
        <v>0</v>
      </c>
      <c r="K293" s="251">
        <f>IF(K$4&gt;DAY(EOMONTH(DATE($D$2,$B$2,1),0)),"",IFERROR(SUMIFS(DATA_GOC!$H:$H,DATA_GOC!$A:$A,"BOM",DATA_GOC!$D:$D,$B293,DATA_GOC!$E:$E,"Dầu động cơ",DATA_GOC!$F:$F,"Xuất nội bộ từ téc",DATA_GOC!$B:$B,DATE($D$2,$B$2,K$4)),0))</f>
        <v>0</v>
      </c>
      <c r="L293" s="251">
        <f>IF(L$4&gt;DAY(EOMONTH(DATE($D$2,$B$2,1),0)),"",IFERROR(SUMIFS(DATA_GOC!$H:$H,DATA_GOC!$A:$A,"BOM",DATA_GOC!$D:$D,$B293,DATA_GOC!$E:$E,"Dầu động cơ",DATA_GOC!$F:$F,"Xuất nội bộ từ téc",DATA_GOC!$B:$B,DATE($D$2,$B$2,L$4)),0))</f>
        <v>0</v>
      </c>
      <c r="M293" s="251">
        <f>IF(M$4&gt;DAY(EOMONTH(DATE($D$2,$B$2,1),0)),"",IFERROR(SUMIFS(DATA_GOC!$H:$H,DATA_GOC!$A:$A,"BOM",DATA_GOC!$D:$D,$B293,DATA_GOC!$E:$E,"Dầu động cơ",DATA_GOC!$F:$F,"Xuất nội bộ từ téc",DATA_GOC!$B:$B,DATE($D$2,$B$2,M$4)),0))</f>
        <v>0</v>
      </c>
      <c r="N293" s="251">
        <f>IF(N$4&gt;DAY(EOMONTH(DATE($D$2,$B$2,1),0)),"",IFERROR(SUMIFS(DATA_GOC!$H:$H,DATA_GOC!$A:$A,"BOM",DATA_GOC!$D:$D,$B293,DATA_GOC!$E:$E,"Dầu động cơ",DATA_GOC!$F:$F,"Xuất nội bộ từ téc",DATA_GOC!$B:$B,DATE($D$2,$B$2,N$4)),0))</f>
        <v>0</v>
      </c>
      <c r="O293" s="251">
        <f>IF(O$4&gt;DAY(EOMONTH(DATE($D$2,$B$2,1),0)),"",IFERROR(SUMIFS(DATA_GOC!$H:$H,DATA_GOC!$A:$A,"BOM",DATA_GOC!$D:$D,$B293,DATA_GOC!$E:$E,"Dầu động cơ",DATA_GOC!$F:$F,"Xuất nội bộ từ téc",DATA_GOC!$B:$B,DATE($D$2,$B$2,O$4)),0))</f>
        <v>0</v>
      </c>
      <c r="P293" s="251">
        <f>IF(P$4&gt;DAY(EOMONTH(DATE($D$2,$B$2,1),0)),"",IFERROR(SUMIFS(DATA_GOC!$H:$H,DATA_GOC!$A:$A,"BOM",DATA_GOC!$D:$D,$B293,DATA_GOC!$E:$E,"Dầu động cơ",DATA_GOC!$F:$F,"Xuất nội bộ từ téc",DATA_GOC!$B:$B,DATE($D$2,$B$2,P$4)),0))</f>
        <v>0</v>
      </c>
      <c r="Q293" s="251">
        <f>IF(Q$4&gt;DAY(EOMONTH(DATE($D$2,$B$2,1),0)),"",IFERROR(SUMIFS(DATA_GOC!$H:$H,DATA_GOC!$A:$A,"BOM",DATA_GOC!$D:$D,$B293,DATA_GOC!$E:$E,"Dầu động cơ",DATA_GOC!$F:$F,"Xuất nội bộ từ téc",DATA_GOC!$B:$B,DATE($D$2,$B$2,Q$4)),0))</f>
        <v>0</v>
      </c>
      <c r="R293" s="251">
        <f>IF(R$4&gt;DAY(EOMONTH(DATE($D$2,$B$2,1),0)),"",IFERROR(SUMIFS(DATA_GOC!$H:$H,DATA_GOC!$A:$A,"BOM",DATA_GOC!$D:$D,$B293,DATA_GOC!$E:$E,"Dầu động cơ",DATA_GOC!$F:$F,"Xuất nội bộ từ téc",DATA_GOC!$B:$B,DATE($D$2,$B$2,R$4)),0))</f>
        <v>0</v>
      </c>
      <c r="S293" s="251">
        <f>IF(S$4&gt;DAY(EOMONTH(DATE($D$2,$B$2,1),0)),"",IFERROR(SUMIFS(DATA_GOC!$H:$H,DATA_GOC!$A:$A,"BOM",DATA_GOC!$D:$D,$B293,DATA_GOC!$E:$E,"Dầu động cơ",DATA_GOC!$F:$F,"Xuất nội bộ từ téc",DATA_GOC!$B:$B,DATE($D$2,$B$2,S$4)),0))</f>
        <v>0</v>
      </c>
      <c r="T293" s="251">
        <f>IF(T$4&gt;DAY(EOMONTH(DATE($D$2,$B$2,1),0)),"",IFERROR(SUMIFS(DATA_GOC!$H:$H,DATA_GOC!$A:$A,"BOM",DATA_GOC!$D:$D,$B293,DATA_GOC!$E:$E,"Dầu động cơ",DATA_GOC!$F:$F,"Xuất nội bộ từ téc",DATA_GOC!$B:$B,DATE($D$2,$B$2,T$4)),0))</f>
        <v>0</v>
      </c>
      <c r="U293" s="251">
        <f>IF(U$4&gt;DAY(EOMONTH(DATE($D$2,$B$2,1),0)),"",IFERROR(SUMIFS(DATA_GOC!$H:$H,DATA_GOC!$A:$A,"BOM",DATA_GOC!$D:$D,$B293,DATA_GOC!$E:$E,"Dầu động cơ",DATA_GOC!$F:$F,"Xuất nội bộ từ téc",DATA_GOC!$B:$B,DATE($D$2,$B$2,U$4)),0))</f>
        <v>0</v>
      </c>
      <c r="V293" s="251">
        <f>IF(V$4&gt;DAY(EOMONTH(DATE($D$2,$B$2,1),0)),"",IFERROR(SUMIFS(DATA_GOC!$H:$H,DATA_GOC!$A:$A,"BOM",DATA_GOC!$D:$D,$B293,DATA_GOC!$E:$E,"Dầu động cơ",DATA_GOC!$F:$F,"Xuất nội bộ từ téc",DATA_GOC!$B:$B,DATE($D$2,$B$2,V$4)),0))</f>
        <v>0</v>
      </c>
      <c r="W293" s="251">
        <f>IF(W$4&gt;DAY(EOMONTH(DATE($D$2,$B$2,1),0)),"",IFERROR(SUMIFS(DATA_GOC!$H:$H,DATA_GOC!$A:$A,"BOM",DATA_GOC!$D:$D,$B293,DATA_GOC!$E:$E,"Dầu động cơ",DATA_GOC!$F:$F,"Xuất nội bộ từ téc",DATA_GOC!$B:$B,DATE($D$2,$B$2,W$4)),0))</f>
        <v>0</v>
      </c>
      <c r="X293" s="251">
        <f>IF(X$4&gt;DAY(EOMONTH(DATE($D$2,$B$2,1),0)),"",IFERROR(SUMIFS(DATA_GOC!$H:$H,DATA_GOC!$A:$A,"BOM",DATA_GOC!$D:$D,$B293,DATA_GOC!$E:$E,"Dầu động cơ",DATA_GOC!$F:$F,"Xuất nội bộ từ téc",DATA_GOC!$B:$B,DATE($D$2,$B$2,X$4)),0))</f>
        <v>0</v>
      </c>
      <c r="Y293" s="251">
        <f>IF(Y$4&gt;DAY(EOMONTH(DATE($D$2,$B$2,1),0)),"",IFERROR(SUMIFS(DATA_GOC!$H:$H,DATA_GOC!$A:$A,"BOM",DATA_GOC!$D:$D,$B293,DATA_GOC!$E:$E,"Dầu động cơ",DATA_GOC!$F:$F,"Xuất nội bộ từ téc",DATA_GOC!$B:$B,DATE($D$2,$B$2,Y$4)),0))</f>
        <v>0</v>
      </c>
      <c r="Z293" s="251">
        <f>IF(Z$4&gt;DAY(EOMONTH(DATE($D$2,$B$2,1),0)),"",IFERROR(SUMIFS(DATA_GOC!$H:$H,DATA_GOC!$A:$A,"BOM",DATA_GOC!$D:$D,$B293,DATA_GOC!$E:$E,"Dầu động cơ",DATA_GOC!$F:$F,"Xuất nội bộ từ téc",DATA_GOC!$B:$B,DATE($D$2,$B$2,Z$4)),0))</f>
        <v>0</v>
      </c>
      <c r="AA293" s="251">
        <f>IF(AA$4&gt;DAY(EOMONTH(DATE($D$2,$B$2,1),0)),"",IFERROR(SUMIFS(DATA_GOC!$H:$H,DATA_GOC!$A:$A,"BOM",DATA_GOC!$D:$D,$B293,DATA_GOC!$E:$E,"Dầu động cơ",DATA_GOC!$F:$F,"Xuất nội bộ từ téc",DATA_GOC!$B:$B,DATE($D$2,$B$2,AA$4)),0))</f>
        <v>0</v>
      </c>
      <c r="AB293" s="251">
        <f>IF(AB$4&gt;DAY(EOMONTH(DATE($D$2,$B$2,1),0)),"",IFERROR(SUMIFS(DATA_GOC!$H:$H,DATA_GOC!$A:$A,"BOM",DATA_GOC!$D:$D,$B293,DATA_GOC!$E:$E,"Dầu động cơ",DATA_GOC!$F:$F,"Xuất nội bộ từ téc",DATA_GOC!$B:$B,DATE($D$2,$B$2,AB$4)),0))</f>
        <v>0</v>
      </c>
      <c r="AC293" s="251">
        <f>IF(AC$4&gt;DAY(EOMONTH(DATE($D$2,$B$2,1),0)),"",IFERROR(SUMIFS(DATA_GOC!$H:$H,DATA_GOC!$A:$A,"BOM",DATA_GOC!$D:$D,$B293,DATA_GOC!$E:$E,"Dầu động cơ",DATA_GOC!$F:$F,"Xuất nội bộ từ téc",DATA_GOC!$B:$B,DATE($D$2,$B$2,AC$4)),0))</f>
        <v>0</v>
      </c>
      <c r="AD293" s="251">
        <f>IF(AD$4&gt;DAY(EOMONTH(DATE($D$2,$B$2,1),0)),"",IFERROR(SUMIFS(DATA_GOC!$H:$H,DATA_GOC!$A:$A,"BOM",DATA_GOC!$D:$D,$B293,DATA_GOC!$E:$E,"Dầu động cơ",DATA_GOC!$F:$F,"Xuất nội bộ từ téc",DATA_GOC!$B:$B,DATE($D$2,$B$2,AD$4)),0))</f>
        <v>0</v>
      </c>
      <c r="AE293" s="251">
        <f>IF(AE$4&gt;DAY(EOMONTH(DATE($D$2,$B$2,1),0)),"",IFERROR(SUMIFS(DATA_GOC!$H:$H,DATA_GOC!$A:$A,"BOM",DATA_GOC!$D:$D,$B293,DATA_GOC!$E:$E,"Dầu động cơ",DATA_GOC!$F:$F,"Xuất nội bộ từ téc",DATA_GOC!$B:$B,DATE($D$2,$B$2,AE$4)),0))</f>
        <v>0</v>
      </c>
      <c r="AF293" s="251">
        <f>IF(AF$4&gt;DAY(EOMONTH(DATE($D$2,$B$2,1),0)),"",IFERROR(SUMIFS(DATA_GOC!$H:$H,DATA_GOC!$A:$A,"BOM",DATA_GOC!$D:$D,$B293,DATA_GOC!$E:$E,"Dầu động cơ",DATA_GOC!$F:$F,"Xuất nội bộ từ téc",DATA_GOC!$B:$B,DATE($D$2,$B$2,AF$4)),0))</f>
        <v>0</v>
      </c>
      <c r="AG293" s="251">
        <f>IF(AG$4&gt;DAY(EOMONTH(DATE($D$2,$B$2,1),0)),"",IFERROR(SUMIFS(DATA_GOC!$H:$H,DATA_GOC!$A:$A,"BOM",DATA_GOC!$D:$D,$B293,DATA_GOC!$E:$E,"Dầu động cơ",DATA_GOC!$F:$F,"Xuất nội bộ từ téc",DATA_GOC!$B:$B,DATE($D$2,$B$2,AG$4)),0))</f>
        <v>0</v>
      </c>
      <c r="AH293" s="252">
        <f t="shared" si="13"/>
        <v>0</v>
      </c>
      <c r="AI293" s="241"/>
      <c r="AJ293" s="242">
        <f>IF($B293="","",SUMIFS(TINH_TEC!$K$233:$K$9232,TINH_TEC!$H$233:$H$9232,$B293,TINH_TEC!$C$233:$C$9232,"Dầu động cơ",TINH_TEC!$F$233:$F$9232,$B$2,TINH_TEC!$G$233:$G$9232,$D$2,TINH_TEC!$B$233:$B$9232,"Đã chốt"))</f>
        <v>0</v>
      </c>
      <c r="AK293" s="242">
        <f>IF($B293="","",SUMIFS(TINH_TEC!$J$233:$J$9232,TINH_TEC!$H$233:$H$9232,$B293,TINH_TEC!$C$233:$C$9232,"Dầu động cơ",TINH_TEC!$F$233:$F$9232,$B$2,TINH_TEC!$G$233:$G$9232,$D$2,TINH_TEC!$B$233:$B$9232,"Đã chốt"))</f>
        <v>0</v>
      </c>
      <c r="AL293" s="242">
        <f t="shared" si="14"/>
        <v>0</v>
      </c>
    </row>
    <row r="294" ht="15.75" customHeight="1">
      <c r="A294" s="237">
        <f>IF($B294&lt;&gt;"",45,"")</f>
        <v>45</v>
      </c>
      <c r="B294" s="250" t="str">
        <f t="array" ref="B294">IFERROR(INDEX(DANH_MUC!$E:$E,48),"")</f>
        <v>29E17539</v>
      </c>
      <c r="C294" s="251">
        <f>IF(C$4&gt;DAY(EOMONTH(DATE($D$2,$B$2,1),0)),"",IFERROR(SUMIFS(DATA_GOC!$H:$H,DATA_GOC!$A:$A,"BOM",DATA_GOC!$D:$D,$B294,DATA_GOC!$E:$E,"Dầu động cơ",DATA_GOC!$F:$F,"Xuất nội bộ từ téc",DATA_GOC!$B:$B,DATE($D$2,$B$2,C$4)),0))</f>
        <v>0</v>
      </c>
      <c r="D294" s="251">
        <f>IF(D$4&gt;DAY(EOMONTH(DATE($D$2,$B$2,1),0)),"",IFERROR(SUMIFS(DATA_GOC!$H:$H,DATA_GOC!$A:$A,"BOM",DATA_GOC!$D:$D,$B294,DATA_GOC!$E:$E,"Dầu động cơ",DATA_GOC!$F:$F,"Xuất nội bộ từ téc",DATA_GOC!$B:$B,DATE($D$2,$B$2,D$4)),0))</f>
        <v>0</v>
      </c>
      <c r="E294" s="251">
        <f>IF(E$4&gt;DAY(EOMONTH(DATE($D$2,$B$2,1),0)),"",IFERROR(SUMIFS(DATA_GOC!$H:$H,DATA_GOC!$A:$A,"BOM",DATA_GOC!$D:$D,$B294,DATA_GOC!$E:$E,"Dầu động cơ",DATA_GOC!$F:$F,"Xuất nội bộ từ téc",DATA_GOC!$B:$B,DATE($D$2,$B$2,E$4)),0))</f>
        <v>0</v>
      </c>
      <c r="F294" s="251">
        <f>IF(F$4&gt;DAY(EOMONTH(DATE($D$2,$B$2,1),0)),"",IFERROR(SUMIFS(DATA_GOC!$H:$H,DATA_GOC!$A:$A,"BOM",DATA_GOC!$D:$D,$B294,DATA_GOC!$E:$E,"Dầu động cơ",DATA_GOC!$F:$F,"Xuất nội bộ từ téc",DATA_GOC!$B:$B,DATE($D$2,$B$2,F$4)),0))</f>
        <v>0</v>
      </c>
      <c r="G294" s="251">
        <f>IF(G$4&gt;DAY(EOMONTH(DATE($D$2,$B$2,1),0)),"",IFERROR(SUMIFS(DATA_GOC!$H:$H,DATA_GOC!$A:$A,"BOM",DATA_GOC!$D:$D,$B294,DATA_GOC!$E:$E,"Dầu động cơ",DATA_GOC!$F:$F,"Xuất nội bộ từ téc",DATA_GOC!$B:$B,DATE($D$2,$B$2,G$4)),0))</f>
        <v>0</v>
      </c>
      <c r="H294" s="251">
        <f>IF(H$4&gt;DAY(EOMONTH(DATE($D$2,$B$2,1),0)),"",IFERROR(SUMIFS(DATA_GOC!$H:$H,DATA_GOC!$A:$A,"BOM",DATA_GOC!$D:$D,$B294,DATA_GOC!$E:$E,"Dầu động cơ",DATA_GOC!$F:$F,"Xuất nội bộ từ téc",DATA_GOC!$B:$B,DATE($D$2,$B$2,H$4)),0))</f>
        <v>0</v>
      </c>
      <c r="I294" s="251">
        <f>IF(I$4&gt;DAY(EOMONTH(DATE($D$2,$B$2,1),0)),"",IFERROR(SUMIFS(DATA_GOC!$H:$H,DATA_GOC!$A:$A,"BOM",DATA_GOC!$D:$D,$B294,DATA_GOC!$E:$E,"Dầu động cơ",DATA_GOC!$F:$F,"Xuất nội bộ từ téc",DATA_GOC!$B:$B,DATE($D$2,$B$2,I$4)),0))</f>
        <v>0</v>
      </c>
      <c r="J294" s="251">
        <f>IF(J$4&gt;DAY(EOMONTH(DATE($D$2,$B$2,1),0)),"",IFERROR(SUMIFS(DATA_GOC!$H:$H,DATA_GOC!$A:$A,"BOM",DATA_GOC!$D:$D,$B294,DATA_GOC!$E:$E,"Dầu động cơ",DATA_GOC!$F:$F,"Xuất nội bộ từ téc",DATA_GOC!$B:$B,DATE($D$2,$B$2,J$4)),0))</f>
        <v>0</v>
      </c>
      <c r="K294" s="251">
        <f>IF(K$4&gt;DAY(EOMONTH(DATE($D$2,$B$2,1),0)),"",IFERROR(SUMIFS(DATA_GOC!$H:$H,DATA_GOC!$A:$A,"BOM",DATA_GOC!$D:$D,$B294,DATA_GOC!$E:$E,"Dầu động cơ",DATA_GOC!$F:$F,"Xuất nội bộ từ téc",DATA_GOC!$B:$B,DATE($D$2,$B$2,K$4)),0))</f>
        <v>0</v>
      </c>
      <c r="L294" s="251">
        <f>IF(L$4&gt;DAY(EOMONTH(DATE($D$2,$B$2,1),0)),"",IFERROR(SUMIFS(DATA_GOC!$H:$H,DATA_GOC!$A:$A,"BOM",DATA_GOC!$D:$D,$B294,DATA_GOC!$E:$E,"Dầu động cơ",DATA_GOC!$F:$F,"Xuất nội bộ từ téc",DATA_GOC!$B:$B,DATE($D$2,$B$2,L$4)),0))</f>
        <v>0</v>
      </c>
      <c r="M294" s="251">
        <f>IF(M$4&gt;DAY(EOMONTH(DATE($D$2,$B$2,1),0)),"",IFERROR(SUMIFS(DATA_GOC!$H:$H,DATA_GOC!$A:$A,"BOM",DATA_GOC!$D:$D,$B294,DATA_GOC!$E:$E,"Dầu động cơ",DATA_GOC!$F:$F,"Xuất nội bộ từ téc",DATA_GOC!$B:$B,DATE($D$2,$B$2,M$4)),0))</f>
        <v>0</v>
      </c>
      <c r="N294" s="251">
        <f>IF(N$4&gt;DAY(EOMONTH(DATE($D$2,$B$2,1),0)),"",IFERROR(SUMIFS(DATA_GOC!$H:$H,DATA_GOC!$A:$A,"BOM",DATA_GOC!$D:$D,$B294,DATA_GOC!$E:$E,"Dầu động cơ",DATA_GOC!$F:$F,"Xuất nội bộ từ téc",DATA_GOC!$B:$B,DATE($D$2,$B$2,N$4)),0))</f>
        <v>0</v>
      </c>
      <c r="O294" s="251">
        <f>IF(O$4&gt;DAY(EOMONTH(DATE($D$2,$B$2,1),0)),"",IFERROR(SUMIFS(DATA_GOC!$H:$H,DATA_GOC!$A:$A,"BOM",DATA_GOC!$D:$D,$B294,DATA_GOC!$E:$E,"Dầu động cơ",DATA_GOC!$F:$F,"Xuất nội bộ từ téc",DATA_GOC!$B:$B,DATE($D$2,$B$2,O$4)),0))</f>
        <v>0</v>
      </c>
      <c r="P294" s="251">
        <f>IF(P$4&gt;DAY(EOMONTH(DATE($D$2,$B$2,1),0)),"",IFERROR(SUMIFS(DATA_GOC!$H:$H,DATA_GOC!$A:$A,"BOM",DATA_GOC!$D:$D,$B294,DATA_GOC!$E:$E,"Dầu động cơ",DATA_GOC!$F:$F,"Xuất nội bộ từ téc",DATA_GOC!$B:$B,DATE($D$2,$B$2,P$4)),0))</f>
        <v>0</v>
      </c>
      <c r="Q294" s="251">
        <f>IF(Q$4&gt;DAY(EOMONTH(DATE($D$2,$B$2,1),0)),"",IFERROR(SUMIFS(DATA_GOC!$H:$H,DATA_GOC!$A:$A,"BOM",DATA_GOC!$D:$D,$B294,DATA_GOC!$E:$E,"Dầu động cơ",DATA_GOC!$F:$F,"Xuất nội bộ từ téc",DATA_GOC!$B:$B,DATE($D$2,$B$2,Q$4)),0))</f>
        <v>0</v>
      </c>
      <c r="R294" s="251">
        <f>IF(R$4&gt;DAY(EOMONTH(DATE($D$2,$B$2,1),0)),"",IFERROR(SUMIFS(DATA_GOC!$H:$H,DATA_GOC!$A:$A,"BOM",DATA_GOC!$D:$D,$B294,DATA_GOC!$E:$E,"Dầu động cơ",DATA_GOC!$F:$F,"Xuất nội bộ từ téc",DATA_GOC!$B:$B,DATE($D$2,$B$2,R$4)),0))</f>
        <v>0</v>
      </c>
      <c r="S294" s="251">
        <f>IF(S$4&gt;DAY(EOMONTH(DATE($D$2,$B$2,1),0)),"",IFERROR(SUMIFS(DATA_GOC!$H:$H,DATA_GOC!$A:$A,"BOM",DATA_GOC!$D:$D,$B294,DATA_GOC!$E:$E,"Dầu động cơ",DATA_GOC!$F:$F,"Xuất nội bộ từ téc",DATA_GOC!$B:$B,DATE($D$2,$B$2,S$4)),0))</f>
        <v>0</v>
      </c>
      <c r="T294" s="251">
        <f>IF(T$4&gt;DAY(EOMONTH(DATE($D$2,$B$2,1),0)),"",IFERROR(SUMIFS(DATA_GOC!$H:$H,DATA_GOC!$A:$A,"BOM",DATA_GOC!$D:$D,$B294,DATA_GOC!$E:$E,"Dầu động cơ",DATA_GOC!$F:$F,"Xuất nội bộ từ téc",DATA_GOC!$B:$B,DATE($D$2,$B$2,T$4)),0))</f>
        <v>0</v>
      </c>
      <c r="U294" s="251">
        <f>IF(U$4&gt;DAY(EOMONTH(DATE($D$2,$B$2,1),0)),"",IFERROR(SUMIFS(DATA_GOC!$H:$H,DATA_GOC!$A:$A,"BOM",DATA_GOC!$D:$D,$B294,DATA_GOC!$E:$E,"Dầu động cơ",DATA_GOC!$F:$F,"Xuất nội bộ từ téc",DATA_GOC!$B:$B,DATE($D$2,$B$2,U$4)),0))</f>
        <v>0</v>
      </c>
      <c r="V294" s="251">
        <f>IF(V$4&gt;DAY(EOMONTH(DATE($D$2,$B$2,1),0)),"",IFERROR(SUMIFS(DATA_GOC!$H:$H,DATA_GOC!$A:$A,"BOM",DATA_GOC!$D:$D,$B294,DATA_GOC!$E:$E,"Dầu động cơ",DATA_GOC!$F:$F,"Xuất nội bộ từ téc",DATA_GOC!$B:$B,DATE($D$2,$B$2,V$4)),0))</f>
        <v>0</v>
      </c>
      <c r="W294" s="251">
        <f>IF(W$4&gt;DAY(EOMONTH(DATE($D$2,$B$2,1),0)),"",IFERROR(SUMIFS(DATA_GOC!$H:$H,DATA_GOC!$A:$A,"BOM",DATA_GOC!$D:$D,$B294,DATA_GOC!$E:$E,"Dầu động cơ",DATA_GOC!$F:$F,"Xuất nội bộ từ téc",DATA_GOC!$B:$B,DATE($D$2,$B$2,W$4)),0))</f>
        <v>0</v>
      </c>
      <c r="X294" s="251">
        <f>IF(X$4&gt;DAY(EOMONTH(DATE($D$2,$B$2,1),0)),"",IFERROR(SUMIFS(DATA_GOC!$H:$H,DATA_GOC!$A:$A,"BOM",DATA_GOC!$D:$D,$B294,DATA_GOC!$E:$E,"Dầu động cơ",DATA_GOC!$F:$F,"Xuất nội bộ từ téc",DATA_GOC!$B:$B,DATE($D$2,$B$2,X$4)),0))</f>
        <v>0</v>
      </c>
      <c r="Y294" s="251">
        <f>IF(Y$4&gt;DAY(EOMONTH(DATE($D$2,$B$2,1),0)),"",IFERROR(SUMIFS(DATA_GOC!$H:$H,DATA_GOC!$A:$A,"BOM",DATA_GOC!$D:$D,$B294,DATA_GOC!$E:$E,"Dầu động cơ",DATA_GOC!$F:$F,"Xuất nội bộ từ téc",DATA_GOC!$B:$B,DATE($D$2,$B$2,Y$4)),0))</f>
        <v>0</v>
      </c>
      <c r="Z294" s="251">
        <f>IF(Z$4&gt;DAY(EOMONTH(DATE($D$2,$B$2,1),0)),"",IFERROR(SUMIFS(DATA_GOC!$H:$H,DATA_GOC!$A:$A,"BOM",DATA_GOC!$D:$D,$B294,DATA_GOC!$E:$E,"Dầu động cơ",DATA_GOC!$F:$F,"Xuất nội bộ từ téc",DATA_GOC!$B:$B,DATE($D$2,$B$2,Z$4)),0))</f>
        <v>0</v>
      </c>
      <c r="AA294" s="251">
        <f>IF(AA$4&gt;DAY(EOMONTH(DATE($D$2,$B$2,1),0)),"",IFERROR(SUMIFS(DATA_GOC!$H:$H,DATA_GOC!$A:$A,"BOM",DATA_GOC!$D:$D,$B294,DATA_GOC!$E:$E,"Dầu động cơ",DATA_GOC!$F:$F,"Xuất nội bộ từ téc",DATA_GOC!$B:$B,DATE($D$2,$B$2,AA$4)),0))</f>
        <v>0</v>
      </c>
      <c r="AB294" s="251">
        <f>IF(AB$4&gt;DAY(EOMONTH(DATE($D$2,$B$2,1),0)),"",IFERROR(SUMIFS(DATA_GOC!$H:$H,DATA_GOC!$A:$A,"BOM",DATA_GOC!$D:$D,$B294,DATA_GOC!$E:$E,"Dầu động cơ",DATA_GOC!$F:$F,"Xuất nội bộ từ téc",DATA_GOC!$B:$B,DATE($D$2,$B$2,AB$4)),0))</f>
        <v>0</v>
      </c>
      <c r="AC294" s="251">
        <f>IF(AC$4&gt;DAY(EOMONTH(DATE($D$2,$B$2,1),0)),"",IFERROR(SUMIFS(DATA_GOC!$H:$H,DATA_GOC!$A:$A,"BOM",DATA_GOC!$D:$D,$B294,DATA_GOC!$E:$E,"Dầu động cơ",DATA_GOC!$F:$F,"Xuất nội bộ từ téc",DATA_GOC!$B:$B,DATE($D$2,$B$2,AC$4)),0))</f>
        <v>0</v>
      </c>
      <c r="AD294" s="251">
        <f>IF(AD$4&gt;DAY(EOMONTH(DATE($D$2,$B$2,1),0)),"",IFERROR(SUMIFS(DATA_GOC!$H:$H,DATA_GOC!$A:$A,"BOM",DATA_GOC!$D:$D,$B294,DATA_GOC!$E:$E,"Dầu động cơ",DATA_GOC!$F:$F,"Xuất nội bộ từ téc",DATA_GOC!$B:$B,DATE($D$2,$B$2,AD$4)),0))</f>
        <v>0</v>
      </c>
      <c r="AE294" s="251">
        <f>IF(AE$4&gt;DAY(EOMONTH(DATE($D$2,$B$2,1),0)),"",IFERROR(SUMIFS(DATA_GOC!$H:$H,DATA_GOC!$A:$A,"BOM",DATA_GOC!$D:$D,$B294,DATA_GOC!$E:$E,"Dầu động cơ",DATA_GOC!$F:$F,"Xuất nội bộ từ téc",DATA_GOC!$B:$B,DATE($D$2,$B$2,AE$4)),0))</f>
        <v>0</v>
      </c>
      <c r="AF294" s="251">
        <f>IF(AF$4&gt;DAY(EOMONTH(DATE($D$2,$B$2,1),0)),"",IFERROR(SUMIFS(DATA_GOC!$H:$H,DATA_GOC!$A:$A,"BOM",DATA_GOC!$D:$D,$B294,DATA_GOC!$E:$E,"Dầu động cơ",DATA_GOC!$F:$F,"Xuất nội bộ từ téc",DATA_GOC!$B:$B,DATE($D$2,$B$2,AF$4)),0))</f>
        <v>0</v>
      </c>
      <c r="AG294" s="251">
        <f>IF(AG$4&gt;DAY(EOMONTH(DATE($D$2,$B$2,1),0)),"",IFERROR(SUMIFS(DATA_GOC!$H:$H,DATA_GOC!$A:$A,"BOM",DATA_GOC!$D:$D,$B294,DATA_GOC!$E:$E,"Dầu động cơ",DATA_GOC!$F:$F,"Xuất nội bộ từ téc",DATA_GOC!$B:$B,DATE($D$2,$B$2,AG$4)),0))</f>
        <v>0</v>
      </c>
      <c r="AH294" s="252">
        <f t="shared" si="13"/>
        <v>0</v>
      </c>
      <c r="AI294" s="241"/>
      <c r="AJ294" s="242">
        <f>IF($B294="","",SUMIFS(TINH_TEC!$K$233:$K$9232,TINH_TEC!$H$233:$H$9232,$B294,TINH_TEC!$C$233:$C$9232,"Dầu động cơ",TINH_TEC!$F$233:$F$9232,$B$2,TINH_TEC!$G$233:$G$9232,$D$2,TINH_TEC!$B$233:$B$9232,"Đã chốt"))</f>
        <v>0</v>
      </c>
      <c r="AK294" s="242">
        <f>IF($B294="","",SUMIFS(TINH_TEC!$J$233:$J$9232,TINH_TEC!$H$233:$H$9232,$B294,TINH_TEC!$C$233:$C$9232,"Dầu động cơ",TINH_TEC!$F$233:$F$9232,$B$2,TINH_TEC!$G$233:$G$9232,$D$2,TINH_TEC!$B$233:$B$9232,"Đã chốt"))</f>
        <v>0</v>
      </c>
      <c r="AL294" s="242">
        <f t="shared" si="14"/>
        <v>0</v>
      </c>
    </row>
    <row r="295" ht="15.75" customHeight="1">
      <c r="A295" s="237">
        <f>IF($B295&lt;&gt;"",46,"")</f>
        <v>46</v>
      </c>
      <c r="B295" s="250" t="str">
        <f t="array" ref="B295">IFERROR(INDEX(DANH_MUC!$E:$E,49),"")</f>
        <v>29E18160</v>
      </c>
      <c r="C295" s="251">
        <f>IF(C$4&gt;DAY(EOMONTH(DATE($D$2,$B$2,1),0)),"",IFERROR(SUMIFS(DATA_GOC!$H:$H,DATA_GOC!$A:$A,"BOM",DATA_GOC!$D:$D,$B295,DATA_GOC!$E:$E,"Dầu động cơ",DATA_GOC!$F:$F,"Xuất nội bộ từ téc",DATA_GOC!$B:$B,DATE($D$2,$B$2,C$4)),0))</f>
        <v>0</v>
      </c>
      <c r="D295" s="251">
        <f>IF(D$4&gt;DAY(EOMONTH(DATE($D$2,$B$2,1),0)),"",IFERROR(SUMIFS(DATA_GOC!$H:$H,DATA_GOC!$A:$A,"BOM",DATA_GOC!$D:$D,$B295,DATA_GOC!$E:$E,"Dầu động cơ",DATA_GOC!$F:$F,"Xuất nội bộ từ téc",DATA_GOC!$B:$B,DATE($D$2,$B$2,D$4)),0))</f>
        <v>0</v>
      </c>
      <c r="E295" s="251">
        <f>IF(E$4&gt;DAY(EOMONTH(DATE($D$2,$B$2,1),0)),"",IFERROR(SUMIFS(DATA_GOC!$H:$H,DATA_GOC!$A:$A,"BOM",DATA_GOC!$D:$D,$B295,DATA_GOC!$E:$E,"Dầu động cơ",DATA_GOC!$F:$F,"Xuất nội bộ từ téc",DATA_GOC!$B:$B,DATE($D$2,$B$2,E$4)),0))</f>
        <v>0</v>
      </c>
      <c r="F295" s="251">
        <f>IF(F$4&gt;DAY(EOMONTH(DATE($D$2,$B$2,1),0)),"",IFERROR(SUMIFS(DATA_GOC!$H:$H,DATA_GOC!$A:$A,"BOM",DATA_GOC!$D:$D,$B295,DATA_GOC!$E:$E,"Dầu động cơ",DATA_GOC!$F:$F,"Xuất nội bộ từ téc",DATA_GOC!$B:$B,DATE($D$2,$B$2,F$4)),0))</f>
        <v>0</v>
      </c>
      <c r="G295" s="251">
        <f>IF(G$4&gt;DAY(EOMONTH(DATE($D$2,$B$2,1),0)),"",IFERROR(SUMIFS(DATA_GOC!$H:$H,DATA_GOC!$A:$A,"BOM",DATA_GOC!$D:$D,$B295,DATA_GOC!$E:$E,"Dầu động cơ",DATA_GOC!$F:$F,"Xuất nội bộ từ téc",DATA_GOC!$B:$B,DATE($D$2,$B$2,G$4)),0))</f>
        <v>0</v>
      </c>
      <c r="H295" s="251">
        <f>IF(H$4&gt;DAY(EOMONTH(DATE($D$2,$B$2,1),0)),"",IFERROR(SUMIFS(DATA_GOC!$H:$H,DATA_GOC!$A:$A,"BOM",DATA_GOC!$D:$D,$B295,DATA_GOC!$E:$E,"Dầu động cơ",DATA_GOC!$F:$F,"Xuất nội bộ từ téc",DATA_GOC!$B:$B,DATE($D$2,$B$2,H$4)),0))</f>
        <v>0</v>
      </c>
      <c r="I295" s="251">
        <f>IF(I$4&gt;DAY(EOMONTH(DATE($D$2,$B$2,1),0)),"",IFERROR(SUMIFS(DATA_GOC!$H:$H,DATA_GOC!$A:$A,"BOM",DATA_GOC!$D:$D,$B295,DATA_GOC!$E:$E,"Dầu động cơ",DATA_GOC!$F:$F,"Xuất nội bộ từ téc",DATA_GOC!$B:$B,DATE($D$2,$B$2,I$4)),0))</f>
        <v>0</v>
      </c>
      <c r="J295" s="251">
        <f>IF(J$4&gt;DAY(EOMONTH(DATE($D$2,$B$2,1),0)),"",IFERROR(SUMIFS(DATA_GOC!$H:$H,DATA_GOC!$A:$A,"BOM",DATA_GOC!$D:$D,$B295,DATA_GOC!$E:$E,"Dầu động cơ",DATA_GOC!$F:$F,"Xuất nội bộ từ téc",DATA_GOC!$B:$B,DATE($D$2,$B$2,J$4)),0))</f>
        <v>0</v>
      </c>
      <c r="K295" s="251">
        <f>IF(K$4&gt;DAY(EOMONTH(DATE($D$2,$B$2,1),0)),"",IFERROR(SUMIFS(DATA_GOC!$H:$H,DATA_GOC!$A:$A,"BOM",DATA_GOC!$D:$D,$B295,DATA_GOC!$E:$E,"Dầu động cơ",DATA_GOC!$F:$F,"Xuất nội bộ từ téc",DATA_GOC!$B:$B,DATE($D$2,$B$2,K$4)),0))</f>
        <v>0</v>
      </c>
      <c r="L295" s="251">
        <f>IF(L$4&gt;DAY(EOMONTH(DATE($D$2,$B$2,1),0)),"",IFERROR(SUMIFS(DATA_GOC!$H:$H,DATA_GOC!$A:$A,"BOM",DATA_GOC!$D:$D,$B295,DATA_GOC!$E:$E,"Dầu động cơ",DATA_GOC!$F:$F,"Xuất nội bộ từ téc",DATA_GOC!$B:$B,DATE($D$2,$B$2,L$4)),0))</f>
        <v>0</v>
      </c>
      <c r="M295" s="251">
        <f>IF(M$4&gt;DAY(EOMONTH(DATE($D$2,$B$2,1),0)),"",IFERROR(SUMIFS(DATA_GOC!$H:$H,DATA_GOC!$A:$A,"BOM",DATA_GOC!$D:$D,$B295,DATA_GOC!$E:$E,"Dầu động cơ",DATA_GOC!$F:$F,"Xuất nội bộ từ téc",DATA_GOC!$B:$B,DATE($D$2,$B$2,M$4)),0))</f>
        <v>0</v>
      </c>
      <c r="N295" s="251">
        <f>IF(N$4&gt;DAY(EOMONTH(DATE($D$2,$B$2,1),0)),"",IFERROR(SUMIFS(DATA_GOC!$H:$H,DATA_GOC!$A:$A,"BOM",DATA_GOC!$D:$D,$B295,DATA_GOC!$E:$E,"Dầu động cơ",DATA_GOC!$F:$F,"Xuất nội bộ từ téc",DATA_GOC!$B:$B,DATE($D$2,$B$2,N$4)),0))</f>
        <v>0</v>
      </c>
      <c r="O295" s="251">
        <f>IF(O$4&gt;DAY(EOMONTH(DATE($D$2,$B$2,1),0)),"",IFERROR(SUMIFS(DATA_GOC!$H:$H,DATA_GOC!$A:$A,"BOM",DATA_GOC!$D:$D,$B295,DATA_GOC!$E:$E,"Dầu động cơ",DATA_GOC!$F:$F,"Xuất nội bộ từ téc",DATA_GOC!$B:$B,DATE($D$2,$B$2,O$4)),0))</f>
        <v>0</v>
      </c>
      <c r="P295" s="251">
        <f>IF(P$4&gt;DAY(EOMONTH(DATE($D$2,$B$2,1),0)),"",IFERROR(SUMIFS(DATA_GOC!$H:$H,DATA_GOC!$A:$A,"BOM",DATA_GOC!$D:$D,$B295,DATA_GOC!$E:$E,"Dầu động cơ",DATA_GOC!$F:$F,"Xuất nội bộ từ téc",DATA_GOC!$B:$B,DATE($D$2,$B$2,P$4)),0))</f>
        <v>0</v>
      </c>
      <c r="Q295" s="251">
        <f>IF(Q$4&gt;DAY(EOMONTH(DATE($D$2,$B$2,1),0)),"",IFERROR(SUMIFS(DATA_GOC!$H:$H,DATA_GOC!$A:$A,"BOM",DATA_GOC!$D:$D,$B295,DATA_GOC!$E:$E,"Dầu động cơ",DATA_GOC!$F:$F,"Xuất nội bộ từ téc",DATA_GOC!$B:$B,DATE($D$2,$B$2,Q$4)),0))</f>
        <v>0</v>
      </c>
      <c r="R295" s="251">
        <f>IF(R$4&gt;DAY(EOMONTH(DATE($D$2,$B$2,1),0)),"",IFERROR(SUMIFS(DATA_GOC!$H:$H,DATA_GOC!$A:$A,"BOM",DATA_GOC!$D:$D,$B295,DATA_GOC!$E:$E,"Dầu động cơ",DATA_GOC!$F:$F,"Xuất nội bộ từ téc",DATA_GOC!$B:$B,DATE($D$2,$B$2,R$4)),0))</f>
        <v>0</v>
      </c>
      <c r="S295" s="251">
        <f>IF(S$4&gt;DAY(EOMONTH(DATE($D$2,$B$2,1),0)),"",IFERROR(SUMIFS(DATA_GOC!$H:$H,DATA_GOC!$A:$A,"BOM",DATA_GOC!$D:$D,$B295,DATA_GOC!$E:$E,"Dầu động cơ",DATA_GOC!$F:$F,"Xuất nội bộ từ téc",DATA_GOC!$B:$B,DATE($D$2,$B$2,S$4)),0))</f>
        <v>0</v>
      </c>
      <c r="T295" s="251">
        <f>IF(T$4&gt;DAY(EOMONTH(DATE($D$2,$B$2,1),0)),"",IFERROR(SUMIFS(DATA_GOC!$H:$H,DATA_GOC!$A:$A,"BOM",DATA_GOC!$D:$D,$B295,DATA_GOC!$E:$E,"Dầu động cơ",DATA_GOC!$F:$F,"Xuất nội bộ từ téc",DATA_GOC!$B:$B,DATE($D$2,$B$2,T$4)),0))</f>
        <v>0</v>
      </c>
      <c r="U295" s="251">
        <f>IF(U$4&gt;DAY(EOMONTH(DATE($D$2,$B$2,1),0)),"",IFERROR(SUMIFS(DATA_GOC!$H:$H,DATA_GOC!$A:$A,"BOM",DATA_GOC!$D:$D,$B295,DATA_GOC!$E:$E,"Dầu động cơ",DATA_GOC!$F:$F,"Xuất nội bộ từ téc",DATA_GOC!$B:$B,DATE($D$2,$B$2,U$4)),0))</f>
        <v>0</v>
      </c>
      <c r="V295" s="251">
        <f>IF(V$4&gt;DAY(EOMONTH(DATE($D$2,$B$2,1),0)),"",IFERROR(SUMIFS(DATA_GOC!$H:$H,DATA_GOC!$A:$A,"BOM",DATA_GOC!$D:$D,$B295,DATA_GOC!$E:$E,"Dầu động cơ",DATA_GOC!$F:$F,"Xuất nội bộ từ téc",DATA_GOC!$B:$B,DATE($D$2,$B$2,V$4)),0))</f>
        <v>0</v>
      </c>
      <c r="W295" s="251">
        <f>IF(W$4&gt;DAY(EOMONTH(DATE($D$2,$B$2,1),0)),"",IFERROR(SUMIFS(DATA_GOC!$H:$H,DATA_GOC!$A:$A,"BOM",DATA_GOC!$D:$D,$B295,DATA_GOC!$E:$E,"Dầu động cơ",DATA_GOC!$F:$F,"Xuất nội bộ từ téc",DATA_GOC!$B:$B,DATE($D$2,$B$2,W$4)),0))</f>
        <v>0</v>
      </c>
      <c r="X295" s="251">
        <f>IF(X$4&gt;DAY(EOMONTH(DATE($D$2,$B$2,1),0)),"",IFERROR(SUMIFS(DATA_GOC!$H:$H,DATA_GOC!$A:$A,"BOM",DATA_GOC!$D:$D,$B295,DATA_GOC!$E:$E,"Dầu động cơ",DATA_GOC!$F:$F,"Xuất nội bộ từ téc",DATA_GOC!$B:$B,DATE($D$2,$B$2,X$4)),0))</f>
        <v>0</v>
      </c>
      <c r="Y295" s="251">
        <f>IF(Y$4&gt;DAY(EOMONTH(DATE($D$2,$B$2,1),0)),"",IFERROR(SUMIFS(DATA_GOC!$H:$H,DATA_GOC!$A:$A,"BOM",DATA_GOC!$D:$D,$B295,DATA_GOC!$E:$E,"Dầu động cơ",DATA_GOC!$F:$F,"Xuất nội bộ từ téc",DATA_GOC!$B:$B,DATE($D$2,$B$2,Y$4)),0))</f>
        <v>0</v>
      </c>
      <c r="Z295" s="251">
        <f>IF(Z$4&gt;DAY(EOMONTH(DATE($D$2,$B$2,1),0)),"",IFERROR(SUMIFS(DATA_GOC!$H:$H,DATA_GOC!$A:$A,"BOM",DATA_GOC!$D:$D,$B295,DATA_GOC!$E:$E,"Dầu động cơ",DATA_GOC!$F:$F,"Xuất nội bộ từ téc",DATA_GOC!$B:$B,DATE($D$2,$B$2,Z$4)),0))</f>
        <v>0</v>
      </c>
      <c r="AA295" s="251">
        <f>IF(AA$4&gt;DAY(EOMONTH(DATE($D$2,$B$2,1),0)),"",IFERROR(SUMIFS(DATA_GOC!$H:$H,DATA_GOC!$A:$A,"BOM",DATA_GOC!$D:$D,$B295,DATA_GOC!$E:$E,"Dầu động cơ",DATA_GOC!$F:$F,"Xuất nội bộ từ téc",DATA_GOC!$B:$B,DATE($D$2,$B$2,AA$4)),0))</f>
        <v>0</v>
      </c>
      <c r="AB295" s="251">
        <f>IF(AB$4&gt;DAY(EOMONTH(DATE($D$2,$B$2,1),0)),"",IFERROR(SUMIFS(DATA_GOC!$H:$H,DATA_GOC!$A:$A,"BOM",DATA_GOC!$D:$D,$B295,DATA_GOC!$E:$E,"Dầu động cơ",DATA_GOC!$F:$F,"Xuất nội bộ từ téc",DATA_GOC!$B:$B,DATE($D$2,$B$2,AB$4)),0))</f>
        <v>0</v>
      </c>
      <c r="AC295" s="251">
        <f>IF(AC$4&gt;DAY(EOMONTH(DATE($D$2,$B$2,1),0)),"",IFERROR(SUMIFS(DATA_GOC!$H:$H,DATA_GOC!$A:$A,"BOM",DATA_GOC!$D:$D,$B295,DATA_GOC!$E:$E,"Dầu động cơ",DATA_GOC!$F:$F,"Xuất nội bộ từ téc",DATA_GOC!$B:$B,DATE($D$2,$B$2,AC$4)),0))</f>
        <v>0</v>
      </c>
      <c r="AD295" s="251">
        <f>IF(AD$4&gt;DAY(EOMONTH(DATE($D$2,$B$2,1),0)),"",IFERROR(SUMIFS(DATA_GOC!$H:$H,DATA_GOC!$A:$A,"BOM",DATA_GOC!$D:$D,$B295,DATA_GOC!$E:$E,"Dầu động cơ",DATA_GOC!$F:$F,"Xuất nội bộ từ téc",DATA_GOC!$B:$B,DATE($D$2,$B$2,AD$4)),0))</f>
        <v>0</v>
      </c>
      <c r="AE295" s="251">
        <f>IF(AE$4&gt;DAY(EOMONTH(DATE($D$2,$B$2,1),0)),"",IFERROR(SUMIFS(DATA_GOC!$H:$H,DATA_GOC!$A:$A,"BOM",DATA_GOC!$D:$D,$B295,DATA_GOC!$E:$E,"Dầu động cơ",DATA_GOC!$F:$F,"Xuất nội bộ từ téc",DATA_GOC!$B:$B,DATE($D$2,$B$2,AE$4)),0))</f>
        <v>0</v>
      </c>
      <c r="AF295" s="251">
        <f>IF(AF$4&gt;DAY(EOMONTH(DATE($D$2,$B$2,1),0)),"",IFERROR(SUMIFS(DATA_GOC!$H:$H,DATA_GOC!$A:$A,"BOM",DATA_GOC!$D:$D,$B295,DATA_GOC!$E:$E,"Dầu động cơ",DATA_GOC!$F:$F,"Xuất nội bộ từ téc",DATA_GOC!$B:$B,DATE($D$2,$B$2,AF$4)),0))</f>
        <v>0</v>
      </c>
      <c r="AG295" s="251">
        <f>IF(AG$4&gt;DAY(EOMONTH(DATE($D$2,$B$2,1),0)),"",IFERROR(SUMIFS(DATA_GOC!$H:$H,DATA_GOC!$A:$A,"BOM",DATA_GOC!$D:$D,$B295,DATA_GOC!$E:$E,"Dầu động cơ",DATA_GOC!$F:$F,"Xuất nội bộ từ téc",DATA_GOC!$B:$B,DATE($D$2,$B$2,AG$4)),0))</f>
        <v>0</v>
      </c>
      <c r="AH295" s="252">
        <f t="shared" si="13"/>
        <v>0</v>
      </c>
      <c r="AI295" s="241"/>
      <c r="AJ295" s="242">
        <f>IF($B295="","",SUMIFS(TINH_TEC!$K$233:$K$9232,TINH_TEC!$H$233:$H$9232,$B295,TINH_TEC!$C$233:$C$9232,"Dầu động cơ",TINH_TEC!$F$233:$F$9232,$B$2,TINH_TEC!$G$233:$G$9232,$D$2,TINH_TEC!$B$233:$B$9232,"Đã chốt"))</f>
        <v>0</v>
      </c>
      <c r="AK295" s="242">
        <f>IF($B295="","",SUMIFS(TINH_TEC!$J$233:$J$9232,TINH_TEC!$H$233:$H$9232,$B295,TINH_TEC!$C$233:$C$9232,"Dầu động cơ",TINH_TEC!$F$233:$F$9232,$B$2,TINH_TEC!$G$233:$G$9232,$D$2,TINH_TEC!$B$233:$B$9232,"Đã chốt"))</f>
        <v>0</v>
      </c>
      <c r="AL295" s="242">
        <f t="shared" si="14"/>
        <v>0</v>
      </c>
    </row>
    <row r="296" ht="15.75" customHeight="1">
      <c r="A296" s="237">
        <f>IF($B296&lt;&gt;"",47,"")</f>
        <v>47</v>
      </c>
      <c r="B296" s="250" t="str">
        <f t="array" ref="B296">IFERROR(INDEX(DANH_MUC!$E:$E,50),"")</f>
        <v>Công trình Asphalt</v>
      </c>
      <c r="C296" s="251">
        <f>IF(C$4&gt;DAY(EOMONTH(DATE($D$2,$B$2,1),0)),"",IFERROR(SUMIFS(DATA_GOC!$H:$H,DATA_GOC!$A:$A,"BOM",DATA_GOC!$D:$D,$B296,DATA_GOC!$E:$E,"Dầu động cơ",DATA_GOC!$F:$F,"Xuất nội bộ từ téc",DATA_GOC!$B:$B,DATE($D$2,$B$2,C$4)),0))</f>
        <v>0</v>
      </c>
      <c r="D296" s="251">
        <f>IF(D$4&gt;DAY(EOMONTH(DATE($D$2,$B$2,1),0)),"",IFERROR(SUMIFS(DATA_GOC!$H:$H,DATA_GOC!$A:$A,"BOM",DATA_GOC!$D:$D,$B296,DATA_GOC!$E:$E,"Dầu động cơ",DATA_GOC!$F:$F,"Xuất nội bộ từ téc",DATA_GOC!$B:$B,DATE($D$2,$B$2,D$4)),0))</f>
        <v>0</v>
      </c>
      <c r="E296" s="251">
        <f>IF(E$4&gt;DAY(EOMONTH(DATE($D$2,$B$2,1),0)),"",IFERROR(SUMIFS(DATA_GOC!$H:$H,DATA_GOC!$A:$A,"BOM",DATA_GOC!$D:$D,$B296,DATA_GOC!$E:$E,"Dầu động cơ",DATA_GOC!$F:$F,"Xuất nội bộ từ téc",DATA_GOC!$B:$B,DATE($D$2,$B$2,E$4)),0))</f>
        <v>0</v>
      </c>
      <c r="F296" s="251">
        <f>IF(F$4&gt;DAY(EOMONTH(DATE($D$2,$B$2,1),0)),"",IFERROR(SUMIFS(DATA_GOC!$H:$H,DATA_GOC!$A:$A,"BOM",DATA_GOC!$D:$D,$B296,DATA_GOC!$E:$E,"Dầu động cơ",DATA_GOC!$F:$F,"Xuất nội bộ từ téc",DATA_GOC!$B:$B,DATE($D$2,$B$2,F$4)),0))</f>
        <v>0</v>
      </c>
      <c r="G296" s="251">
        <f>IF(G$4&gt;DAY(EOMONTH(DATE($D$2,$B$2,1),0)),"",IFERROR(SUMIFS(DATA_GOC!$H:$H,DATA_GOC!$A:$A,"BOM",DATA_GOC!$D:$D,$B296,DATA_GOC!$E:$E,"Dầu động cơ",DATA_GOC!$F:$F,"Xuất nội bộ từ téc",DATA_GOC!$B:$B,DATE($D$2,$B$2,G$4)),0))</f>
        <v>0</v>
      </c>
      <c r="H296" s="251">
        <f>IF(H$4&gt;DAY(EOMONTH(DATE($D$2,$B$2,1),0)),"",IFERROR(SUMIFS(DATA_GOC!$H:$H,DATA_GOC!$A:$A,"BOM",DATA_GOC!$D:$D,$B296,DATA_GOC!$E:$E,"Dầu động cơ",DATA_GOC!$F:$F,"Xuất nội bộ từ téc",DATA_GOC!$B:$B,DATE($D$2,$B$2,H$4)),0))</f>
        <v>0</v>
      </c>
      <c r="I296" s="251">
        <f>IF(I$4&gt;DAY(EOMONTH(DATE($D$2,$B$2,1),0)),"",IFERROR(SUMIFS(DATA_GOC!$H:$H,DATA_GOC!$A:$A,"BOM",DATA_GOC!$D:$D,$B296,DATA_GOC!$E:$E,"Dầu động cơ",DATA_GOC!$F:$F,"Xuất nội bộ từ téc",DATA_GOC!$B:$B,DATE($D$2,$B$2,I$4)),0))</f>
        <v>0</v>
      </c>
      <c r="J296" s="251">
        <f>IF(J$4&gt;DAY(EOMONTH(DATE($D$2,$B$2,1),0)),"",IFERROR(SUMIFS(DATA_GOC!$H:$H,DATA_GOC!$A:$A,"BOM",DATA_GOC!$D:$D,$B296,DATA_GOC!$E:$E,"Dầu động cơ",DATA_GOC!$F:$F,"Xuất nội bộ từ téc",DATA_GOC!$B:$B,DATE($D$2,$B$2,J$4)),0))</f>
        <v>0</v>
      </c>
      <c r="K296" s="251">
        <f>IF(K$4&gt;DAY(EOMONTH(DATE($D$2,$B$2,1),0)),"",IFERROR(SUMIFS(DATA_GOC!$H:$H,DATA_GOC!$A:$A,"BOM",DATA_GOC!$D:$D,$B296,DATA_GOC!$E:$E,"Dầu động cơ",DATA_GOC!$F:$F,"Xuất nội bộ từ téc",DATA_GOC!$B:$B,DATE($D$2,$B$2,K$4)),0))</f>
        <v>0</v>
      </c>
      <c r="L296" s="251">
        <f>IF(L$4&gt;DAY(EOMONTH(DATE($D$2,$B$2,1),0)),"",IFERROR(SUMIFS(DATA_GOC!$H:$H,DATA_GOC!$A:$A,"BOM",DATA_GOC!$D:$D,$B296,DATA_GOC!$E:$E,"Dầu động cơ",DATA_GOC!$F:$F,"Xuất nội bộ từ téc",DATA_GOC!$B:$B,DATE($D$2,$B$2,L$4)),0))</f>
        <v>0</v>
      </c>
      <c r="M296" s="251">
        <f>IF(M$4&gt;DAY(EOMONTH(DATE($D$2,$B$2,1),0)),"",IFERROR(SUMIFS(DATA_GOC!$H:$H,DATA_GOC!$A:$A,"BOM",DATA_GOC!$D:$D,$B296,DATA_GOC!$E:$E,"Dầu động cơ",DATA_GOC!$F:$F,"Xuất nội bộ từ téc",DATA_GOC!$B:$B,DATE($D$2,$B$2,M$4)),0))</f>
        <v>0</v>
      </c>
      <c r="N296" s="251">
        <f>IF(N$4&gt;DAY(EOMONTH(DATE($D$2,$B$2,1),0)),"",IFERROR(SUMIFS(DATA_GOC!$H:$H,DATA_GOC!$A:$A,"BOM",DATA_GOC!$D:$D,$B296,DATA_GOC!$E:$E,"Dầu động cơ",DATA_GOC!$F:$F,"Xuất nội bộ từ téc",DATA_GOC!$B:$B,DATE($D$2,$B$2,N$4)),0))</f>
        <v>0</v>
      </c>
      <c r="O296" s="251">
        <f>IF(O$4&gt;DAY(EOMONTH(DATE($D$2,$B$2,1),0)),"",IFERROR(SUMIFS(DATA_GOC!$H:$H,DATA_GOC!$A:$A,"BOM",DATA_GOC!$D:$D,$B296,DATA_GOC!$E:$E,"Dầu động cơ",DATA_GOC!$F:$F,"Xuất nội bộ từ téc",DATA_GOC!$B:$B,DATE($D$2,$B$2,O$4)),0))</f>
        <v>0</v>
      </c>
      <c r="P296" s="251">
        <f>IF(P$4&gt;DAY(EOMONTH(DATE($D$2,$B$2,1),0)),"",IFERROR(SUMIFS(DATA_GOC!$H:$H,DATA_GOC!$A:$A,"BOM",DATA_GOC!$D:$D,$B296,DATA_GOC!$E:$E,"Dầu động cơ",DATA_GOC!$F:$F,"Xuất nội bộ từ téc",DATA_GOC!$B:$B,DATE($D$2,$B$2,P$4)),0))</f>
        <v>0</v>
      </c>
      <c r="Q296" s="251">
        <f>IF(Q$4&gt;DAY(EOMONTH(DATE($D$2,$B$2,1),0)),"",IFERROR(SUMIFS(DATA_GOC!$H:$H,DATA_GOC!$A:$A,"BOM",DATA_GOC!$D:$D,$B296,DATA_GOC!$E:$E,"Dầu động cơ",DATA_GOC!$F:$F,"Xuất nội bộ từ téc",DATA_GOC!$B:$B,DATE($D$2,$B$2,Q$4)),0))</f>
        <v>0</v>
      </c>
      <c r="R296" s="251">
        <f>IF(R$4&gt;DAY(EOMONTH(DATE($D$2,$B$2,1),0)),"",IFERROR(SUMIFS(DATA_GOC!$H:$H,DATA_GOC!$A:$A,"BOM",DATA_GOC!$D:$D,$B296,DATA_GOC!$E:$E,"Dầu động cơ",DATA_GOC!$F:$F,"Xuất nội bộ từ téc",DATA_GOC!$B:$B,DATE($D$2,$B$2,R$4)),0))</f>
        <v>0</v>
      </c>
      <c r="S296" s="251">
        <f>IF(S$4&gt;DAY(EOMONTH(DATE($D$2,$B$2,1),0)),"",IFERROR(SUMIFS(DATA_GOC!$H:$H,DATA_GOC!$A:$A,"BOM",DATA_GOC!$D:$D,$B296,DATA_GOC!$E:$E,"Dầu động cơ",DATA_GOC!$F:$F,"Xuất nội bộ từ téc",DATA_GOC!$B:$B,DATE($D$2,$B$2,S$4)),0))</f>
        <v>0</v>
      </c>
      <c r="T296" s="251">
        <f>IF(T$4&gt;DAY(EOMONTH(DATE($D$2,$B$2,1),0)),"",IFERROR(SUMIFS(DATA_GOC!$H:$H,DATA_GOC!$A:$A,"BOM",DATA_GOC!$D:$D,$B296,DATA_GOC!$E:$E,"Dầu động cơ",DATA_GOC!$F:$F,"Xuất nội bộ từ téc",DATA_GOC!$B:$B,DATE($D$2,$B$2,T$4)),0))</f>
        <v>0</v>
      </c>
      <c r="U296" s="251">
        <f>IF(U$4&gt;DAY(EOMONTH(DATE($D$2,$B$2,1),0)),"",IFERROR(SUMIFS(DATA_GOC!$H:$H,DATA_GOC!$A:$A,"BOM",DATA_GOC!$D:$D,$B296,DATA_GOC!$E:$E,"Dầu động cơ",DATA_GOC!$F:$F,"Xuất nội bộ từ téc",DATA_GOC!$B:$B,DATE($D$2,$B$2,U$4)),0))</f>
        <v>0</v>
      </c>
      <c r="V296" s="251">
        <f>IF(V$4&gt;DAY(EOMONTH(DATE($D$2,$B$2,1),0)),"",IFERROR(SUMIFS(DATA_GOC!$H:$H,DATA_GOC!$A:$A,"BOM",DATA_GOC!$D:$D,$B296,DATA_GOC!$E:$E,"Dầu động cơ",DATA_GOC!$F:$F,"Xuất nội bộ từ téc",DATA_GOC!$B:$B,DATE($D$2,$B$2,V$4)),0))</f>
        <v>0</v>
      </c>
      <c r="W296" s="251">
        <f>IF(W$4&gt;DAY(EOMONTH(DATE($D$2,$B$2,1),0)),"",IFERROR(SUMIFS(DATA_GOC!$H:$H,DATA_GOC!$A:$A,"BOM",DATA_GOC!$D:$D,$B296,DATA_GOC!$E:$E,"Dầu động cơ",DATA_GOC!$F:$F,"Xuất nội bộ từ téc",DATA_GOC!$B:$B,DATE($D$2,$B$2,W$4)),0))</f>
        <v>0</v>
      </c>
      <c r="X296" s="251">
        <f>IF(X$4&gt;DAY(EOMONTH(DATE($D$2,$B$2,1),0)),"",IFERROR(SUMIFS(DATA_GOC!$H:$H,DATA_GOC!$A:$A,"BOM",DATA_GOC!$D:$D,$B296,DATA_GOC!$E:$E,"Dầu động cơ",DATA_GOC!$F:$F,"Xuất nội bộ từ téc",DATA_GOC!$B:$B,DATE($D$2,$B$2,X$4)),0))</f>
        <v>0</v>
      </c>
      <c r="Y296" s="251">
        <f>IF(Y$4&gt;DAY(EOMONTH(DATE($D$2,$B$2,1),0)),"",IFERROR(SUMIFS(DATA_GOC!$H:$H,DATA_GOC!$A:$A,"BOM",DATA_GOC!$D:$D,$B296,DATA_GOC!$E:$E,"Dầu động cơ",DATA_GOC!$F:$F,"Xuất nội bộ từ téc",DATA_GOC!$B:$B,DATE($D$2,$B$2,Y$4)),0))</f>
        <v>0</v>
      </c>
      <c r="Z296" s="251">
        <f>IF(Z$4&gt;DAY(EOMONTH(DATE($D$2,$B$2,1),0)),"",IFERROR(SUMIFS(DATA_GOC!$H:$H,DATA_GOC!$A:$A,"BOM",DATA_GOC!$D:$D,$B296,DATA_GOC!$E:$E,"Dầu động cơ",DATA_GOC!$F:$F,"Xuất nội bộ từ téc",DATA_GOC!$B:$B,DATE($D$2,$B$2,Z$4)),0))</f>
        <v>0</v>
      </c>
      <c r="AA296" s="251">
        <f>IF(AA$4&gt;DAY(EOMONTH(DATE($D$2,$B$2,1),0)),"",IFERROR(SUMIFS(DATA_GOC!$H:$H,DATA_GOC!$A:$A,"BOM",DATA_GOC!$D:$D,$B296,DATA_GOC!$E:$E,"Dầu động cơ",DATA_GOC!$F:$F,"Xuất nội bộ từ téc",DATA_GOC!$B:$B,DATE($D$2,$B$2,AA$4)),0))</f>
        <v>0</v>
      </c>
      <c r="AB296" s="251">
        <f>IF(AB$4&gt;DAY(EOMONTH(DATE($D$2,$B$2,1),0)),"",IFERROR(SUMIFS(DATA_GOC!$H:$H,DATA_GOC!$A:$A,"BOM",DATA_GOC!$D:$D,$B296,DATA_GOC!$E:$E,"Dầu động cơ",DATA_GOC!$F:$F,"Xuất nội bộ từ téc",DATA_GOC!$B:$B,DATE($D$2,$B$2,AB$4)),0))</f>
        <v>0</v>
      </c>
      <c r="AC296" s="251">
        <f>IF(AC$4&gt;DAY(EOMONTH(DATE($D$2,$B$2,1),0)),"",IFERROR(SUMIFS(DATA_GOC!$H:$H,DATA_GOC!$A:$A,"BOM",DATA_GOC!$D:$D,$B296,DATA_GOC!$E:$E,"Dầu động cơ",DATA_GOC!$F:$F,"Xuất nội bộ từ téc",DATA_GOC!$B:$B,DATE($D$2,$B$2,AC$4)),0))</f>
        <v>0</v>
      </c>
      <c r="AD296" s="251">
        <f>IF(AD$4&gt;DAY(EOMONTH(DATE($D$2,$B$2,1),0)),"",IFERROR(SUMIFS(DATA_GOC!$H:$H,DATA_GOC!$A:$A,"BOM",DATA_GOC!$D:$D,$B296,DATA_GOC!$E:$E,"Dầu động cơ",DATA_GOC!$F:$F,"Xuất nội bộ từ téc",DATA_GOC!$B:$B,DATE($D$2,$B$2,AD$4)),0))</f>
        <v>0</v>
      </c>
      <c r="AE296" s="251">
        <f>IF(AE$4&gt;DAY(EOMONTH(DATE($D$2,$B$2,1),0)),"",IFERROR(SUMIFS(DATA_GOC!$H:$H,DATA_GOC!$A:$A,"BOM",DATA_GOC!$D:$D,$B296,DATA_GOC!$E:$E,"Dầu động cơ",DATA_GOC!$F:$F,"Xuất nội bộ từ téc",DATA_GOC!$B:$B,DATE($D$2,$B$2,AE$4)),0))</f>
        <v>0</v>
      </c>
      <c r="AF296" s="251">
        <f>IF(AF$4&gt;DAY(EOMONTH(DATE($D$2,$B$2,1),0)),"",IFERROR(SUMIFS(DATA_GOC!$H:$H,DATA_GOC!$A:$A,"BOM",DATA_GOC!$D:$D,$B296,DATA_GOC!$E:$E,"Dầu động cơ",DATA_GOC!$F:$F,"Xuất nội bộ từ téc",DATA_GOC!$B:$B,DATE($D$2,$B$2,AF$4)),0))</f>
        <v>0</v>
      </c>
      <c r="AG296" s="251">
        <f>IF(AG$4&gt;DAY(EOMONTH(DATE($D$2,$B$2,1),0)),"",IFERROR(SUMIFS(DATA_GOC!$H:$H,DATA_GOC!$A:$A,"BOM",DATA_GOC!$D:$D,$B296,DATA_GOC!$E:$E,"Dầu động cơ",DATA_GOC!$F:$F,"Xuất nội bộ từ téc",DATA_GOC!$B:$B,DATE($D$2,$B$2,AG$4)),0))</f>
        <v>0</v>
      </c>
      <c r="AH296" s="252">
        <f t="shared" si="13"/>
        <v>0</v>
      </c>
      <c r="AI296" s="241"/>
      <c r="AJ296" s="242">
        <f>IF($B296="","",SUMIFS(TINH_TEC!$K$233:$K$9232,TINH_TEC!$H$233:$H$9232,$B296,TINH_TEC!$C$233:$C$9232,"Dầu động cơ",TINH_TEC!$F$233:$F$9232,$B$2,TINH_TEC!$G$233:$G$9232,$D$2,TINH_TEC!$B$233:$B$9232,"Đã chốt"))</f>
        <v>0</v>
      </c>
      <c r="AK296" s="242">
        <f>IF($B296="","",SUMIFS(TINH_TEC!$J$233:$J$9232,TINH_TEC!$H$233:$H$9232,$B296,TINH_TEC!$C$233:$C$9232,"Dầu động cơ",TINH_TEC!$F$233:$F$9232,$B$2,TINH_TEC!$G$233:$G$9232,$D$2,TINH_TEC!$B$233:$B$9232,"Đã chốt"))</f>
        <v>0</v>
      </c>
      <c r="AL296" s="242">
        <f t="shared" si="14"/>
        <v>0</v>
      </c>
    </row>
    <row r="297" ht="15.75" customHeight="1">
      <c r="A297" s="237">
        <f>IF($B297&lt;&gt;"",48,"")</f>
        <v>48</v>
      </c>
      <c r="B297" s="250" t="str">
        <f t="array" ref="B297">IFERROR(INDEX(DANH_MUC!$E:$E,51),"")</f>
        <v>LG53F</v>
      </c>
      <c r="C297" s="251">
        <f>IF(C$4&gt;DAY(EOMONTH(DATE($D$2,$B$2,1),0)),"",IFERROR(SUMIFS(DATA_GOC!$H:$H,DATA_GOC!$A:$A,"BOM",DATA_GOC!$D:$D,$B297,DATA_GOC!$E:$E,"Dầu động cơ",DATA_GOC!$F:$F,"Xuất nội bộ từ téc",DATA_GOC!$B:$B,DATE($D$2,$B$2,C$4)),0))</f>
        <v>0</v>
      </c>
      <c r="D297" s="251">
        <f>IF(D$4&gt;DAY(EOMONTH(DATE($D$2,$B$2,1),0)),"",IFERROR(SUMIFS(DATA_GOC!$H:$H,DATA_GOC!$A:$A,"BOM",DATA_GOC!$D:$D,$B297,DATA_GOC!$E:$E,"Dầu động cơ",DATA_GOC!$F:$F,"Xuất nội bộ từ téc",DATA_GOC!$B:$B,DATE($D$2,$B$2,D$4)),0))</f>
        <v>0</v>
      </c>
      <c r="E297" s="251">
        <f>IF(E$4&gt;DAY(EOMONTH(DATE($D$2,$B$2,1),0)),"",IFERROR(SUMIFS(DATA_GOC!$H:$H,DATA_GOC!$A:$A,"BOM",DATA_GOC!$D:$D,$B297,DATA_GOC!$E:$E,"Dầu động cơ",DATA_GOC!$F:$F,"Xuất nội bộ từ téc",DATA_GOC!$B:$B,DATE($D$2,$B$2,E$4)),0))</f>
        <v>0</v>
      </c>
      <c r="F297" s="251">
        <f>IF(F$4&gt;DAY(EOMONTH(DATE($D$2,$B$2,1),0)),"",IFERROR(SUMIFS(DATA_GOC!$H:$H,DATA_GOC!$A:$A,"BOM",DATA_GOC!$D:$D,$B297,DATA_GOC!$E:$E,"Dầu động cơ",DATA_GOC!$F:$F,"Xuất nội bộ từ téc",DATA_GOC!$B:$B,DATE($D$2,$B$2,F$4)),0))</f>
        <v>0</v>
      </c>
      <c r="G297" s="251">
        <f>IF(G$4&gt;DAY(EOMONTH(DATE($D$2,$B$2,1),0)),"",IFERROR(SUMIFS(DATA_GOC!$H:$H,DATA_GOC!$A:$A,"BOM",DATA_GOC!$D:$D,$B297,DATA_GOC!$E:$E,"Dầu động cơ",DATA_GOC!$F:$F,"Xuất nội bộ từ téc",DATA_GOC!$B:$B,DATE($D$2,$B$2,G$4)),0))</f>
        <v>0</v>
      </c>
      <c r="H297" s="251">
        <f>IF(H$4&gt;DAY(EOMONTH(DATE($D$2,$B$2,1),0)),"",IFERROR(SUMIFS(DATA_GOC!$H:$H,DATA_GOC!$A:$A,"BOM",DATA_GOC!$D:$D,$B297,DATA_GOC!$E:$E,"Dầu động cơ",DATA_GOC!$F:$F,"Xuất nội bộ từ téc",DATA_GOC!$B:$B,DATE($D$2,$B$2,H$4)),0))</f>
        <v>0</v>
      </c>
      <c r="I297" s="251">
        <f>IF(I$4&gt;DAY(EOMONTH(DATE($D$2,$B$2,1),0)),"",IFERROR(SUMIFS(DATA_GOC!$H:$H,DATA_GOC!$A:$A,"BOM",DATA_GOC!$D:$D,$B297,DATA_GOC!$E:$E,"Dầu động cơ",DATA_GOC!$F:$F,"Xuất nội bộ từ téc",DATA_GOC!$B:$B,DATE($D$2,$B$2,I$4)),0))</f>
        <v>0</v>
      </c>
      <c r="J297" s="251">
        <f>IF(J$4&gt;DAY(EOMONTH(DATE($D$2,$B$2,1),0)),"",IFERROR(SUMIFS(DATA_GOC!$H:$H,DATA_GOC!$A:$A,"BOM",DATA_GOC!$D:$D,$B297,DATA_GOC!$E:$E,"Dầu động cơ",DATA_GOC!$F:$F,"Xuất nội bộ từ téc",DATA_GOC!$B:$B,DATE($D$2,$B$2,J$4)),0))</f>
        <v>0</v>
      </c>
      <c r="K297" s="251">
        <f>IF(K$4&gt;DAY(EOMONTH(DATE($D$2,$B$2,1),0)),"",IFERROR(SUMIFS(DATA_GOC!$H:$H,DATA_GOC!$A:$A,"BOM",DATA_GOC!$D:$D,$B297,DATA_GOC!$E:$E,"Dầu động cơ",DATA_GOC!$F:$F,"Xuất nội bộ từ téc",DATA_GOC!$B:$B,DATE($D$2,$B$2,K$4)),0))</f>
        <v>0</v>
      </c>
      <c r="L297" s="251">
        <f>IF(L$4&gt;DAY(EOMONTH(DATE($D$2,$B$2,1),0)),"",IFERROR(SUMIFS(DATA_GOC!$H:$H,DATA_GOC!$A:$A,"BOM",DATA_GOC!$D:$D,$B297,DATA_GOC!$E:$E,"Dầu động cơ",DATA_GOC!$F:$F,"Xuất nội bộ từ téc",DATA_GOC!$B:$B,DATE($D$2,$B$2,L$4)),0))</f>
        <v>0</v>
      </c>
      <c r="M297" s="251">
        <f>IF(M$4&gt;DAY(EOMONTH(DATE($D$2,$B$2,1),0)),"",IFERROR(SUMIFS(DATA_GOC!$H:$H,DATA_GOC!$A:$A,"BOM",DATA_GOC!$D:$D,$B297,DATA_GOC!$E:$E,"Dầu động cơ",DATA_GOC!$F:$F,"Xuất nội bộ từ téc",DATA_GOC!$B:$B,DATE($D$2,$B$2,M$4)),0))</f>
        <v>0</v>
      </c>
      <c r="N297" s="251">
        <f>IF(N$4&gt;DAY(EOMONTH(DATE($D$2,$B$2,1),0)),"",IFERROR(SUMIFS(DATA_GOC!$H:$H,DATA_GOC!$A:$A,"BOM",DATA_GOC!$D:$D,$B297,DATA_GOC!$E:$E,"Dầu động cơ",DATA_GOC!$F:$F,"Xuất nội bộ từ téc",DATA_GOC!$B:$B,DATE($D$2,$B$2,N$4)),0))</f>
        <v>0</v>
      </c>
      <c r="O297" s="251">
        <f>IF(O$4&gt;DAY(EOMONTH(DATE($D$2,$B$2,1),0)),"",IFERROR(SUMIFS(DATA_GOC!$H:$H,DATA_GOC!$A:$A,"BOM",DATA_GOC!$D:$D,$B297,DATA_GOC!$E:$E,"Dầu động cơ",DATA_GOC!$F:$F,"Xuất nội bộ từ téc",DATA_GOC!$B:$B,DATE($D$2,$B$2,O$4)),0))</f>
        <v>0</v>
      </c>
      <c r="P297" s="251">
        <f>IF(P$4&gt;DAY(EOMONTH(DATE($D$2,$B$2,1),0)),"",IFERROR(SUMIFS(DATA_GOC!$H:$H,DATA_GOC!$A:$A,"BOM",DATA_GOC!$D:$D,$B297,DATA_GOC!$E:$E,"Dầu động cơ",DATA_GOC!$F:$F,"Xuất nội bộ từ téc",DATA_GOC!$B:$B,DATE($D$2,$B$2,P$4)),0))</f>
        <v>0</v>
      </c>
      <c r="Q297" s="251">
        <f>IF(Q$4&gt;DAY(EOMONTH(DATE($D$2,$B$2,1),0)),"",IFERROR(SUMIFS(DATA_GOC!$H:$H,DATA_GOC!$A:$A,"BOM",DATA_GOC!$D:$D,$B297,DATA_GOC!$E:$E,"Dầu động cơ",DATA_GOC!$F:$F,"Xuất nội bộ từ téc",DATA_GOC!$B:$B,DATE($D$2,$B$2,Q$4)),0))</f>
        <v>0</v>
      </c>
      <c r="R297" s="251">
        <f>IF(R$4&gt;DAY(EOMONTH(DATE($D$2,$B$2,1),0)),"",IFERROR(SUMIFS(DATA_GOC!$H:$H,DATA_GOC!$A:$A,"BOM",DATA_GOC!$D:$D,$B297,DATA_GOC!$E:$E,"Dầu động cơ",DATA_GOC!$F:$F,"Xuất nội bộ từ téc",DATA_GOC!$B:$B,DATE($D$2,$B$2,R$4)),0))</f>
        <v>0</v>
      </c>
      <c r="S297" s="251">
        <f>IF(S$4&gt;DAY(EOMONTH(DATE($D$2,$B$2,1),0)),"",IFERROR(SUMIFS(DATA_GOC!$H:$H,DATA_GOC!$A:$A,"BOM",DATA_GOC!$D:$D,$B297,DATA_GOC!$E:$E,"Dầu động cơ",DATA_GOC!$F:$F,"Xuất nội bộ từ téc",DATA_GOC!$B:$B,DATE($D$2,$B$2,S$4)),0))</f>
        <v>0</v>
      </c>
      <c r="T297" s="251">
        <f>IF(T$4&gt;DAY(EOMONTH(DATE($D$2,$B$2,1),0)),"",IFERROR(SUMIFS(DATA_GOC!$H:$H,DATA_GOC!$A:$A,"BOM",DATA_GOC!$D:$D,$B297,DATA_GOC!$E:$E,"Dầu động cơ",DATA_GOC!$F:$F,"Xuất nội bộ từ téc",DATA_GOC!$B:$B,DATE($D$2,$B$2,T$4)),0))</f>
        <v>0</v>
      </c>
      <c r="U297" s="251">
        <f>IF(U$4&gt;DAY(EOMONTH(DATE($D$2,$B$2,1),0)),"",IFERROR(SUMIFS(DATA_GOC!$H:$H,DATA_GOC!$A:$A,"BOM",DATA_GOC!$D:$D,$B297,DATA_GOC!$E:$E,"Dầu động cơ",DATA_GOC!$F:$F,"Xuất nội bộ từ téc",DATA_GOC!$B:$B,DATE($D$2,$B$2,U$4)),0))</f>
        <v>0</v>
      </c>
      <c r="V297" s="251">
        <f>IF(V$4&gt;DAY(EOMONTH(DATE($D$2,$B$2,1),0)),"",IFERROR(SUMIFS(DATA_GOC!$H:$H,DATA_GOC!$A:$A,"BOM",DATA_GOC!$D:$D,$B297,DATA_GOC!$E:$E,"Dầu động cơ",DATA_GOC!$F:$F,"Xuất nội bộ từ téc",DATA_GOC!$B:$B,DATE($D$2,$B$2,V$4)),0))</f>
        <v>0</v>
      </c>
      <c r="W297" s="251">
        <f>IF(W$4&gt;DAY(EOMONTH(DATE($D$2,$B$2,1),0)),"",IFERROR(SUMIFS(DATA_GOC!$H:$H,DATA_GOC!$A:$A,"BOM",DATA_GOC!$D:$D,$B297,DATA_GOC!$E:$E,"Dầu động cơ",DATA_GOC!$F:$F,"Xuất nội bộ từ téc",DATA_GOC!$B:$B,DATE($D$2,$B$2,W$4)),0))</f>
        <v>0</v>
      </c>
      <c r="X297" s="251">
        <f>IF(X$4&gt;DAY(EOMONTH(DATE($D$2,$B$2,1),0)),"",IFERROR(SUMIFS(DATA_GOC!$H:$H,DATA_GOC!$A:$A,"BOM",DATA_GOC!$D:$D,$B297,DATA_GOC!$E:$E,"Dầu động cơ",DATA_GOC!$F:$F,"Xuất nội bộ từ téc",DATA_GOC!$B:$B,DATE($D$2,$B$2,X$4)),0))</f>
        <v>0</v>
      </c>
      <c r="Y297" s="251">
        <f>IF(Y$4&gt;DAY(EOMONTH(DATE($D$2,$B$2,1),0)),"",IFERROR(SUMIFS(DATA_GOC!$H:$H,DATA_GOC!$A:$A,"BOM",DATA_GOC!$D:$D,$B297,DATA_GOC!$E:$E,"Dầu động cơ",DATA_GOC!$F:$F,"Xuất nội bộ từ téc",DATA_GOC!$B:$B,DATE($D$2,$B$2,Y$4)),0))</f>
        <v>0</v>
      </c>
      <c r="Z297" s="251">
        <f>IF(Z$4&gt;DAY(EOMONTH(DATE($D$2,$B$2,1),0)),"",IFERROR(SUMIFS(DATA_GOC!$H:$H,DATA_GOC!$A:$A,"BOM",DATA_GOC!$D:$D,$B297,DATA_GOC!$E:$E,"Dầu động cơ",DATA_GOC!$F:$F,"Xuất nội bộ từ téc",DATA_GOC!$B:$B,DATE($D$2,$B$2,Z$4)),0))</f>
        <v>0</v>
      </c>
      <c r="AA297" s="251">
        <f>IF(AA$4&gt;DAY(EOMONTH(DATE($D$2,$B$2,1),0)),"",IFERROR(SUMIFS(DATA_GOC!$H:$H,DATA_GOC!$A:$A,"BOM",DATA_GOC!$D:$D,$B297,DATA_GOC!$E:$E,"Dầu động cơ",DATA_GOC!$F:$F,"Xuất nội bộ từ téc",DATA_GOC!$B:$B,DATE($D$2,$B$2,AA$4)),0))</f>
        <v>0</v>
      </c>
      <c r="AB297" s="251">
        <f>IF(AB$4&gt;DAY(EOMONTH(DATE($D$2,$B$2,1),0)),"",IFERROR(SUMIFS(DATA_GOC!$H:$H,DATA_GOC!$A:$A,"BOM",DATA_GOC!$D:$D,$B297,DATA_GOC!$E:$E,"Dầu động cơ",DATA_GOC!$F:$F,"Xuất nội bộ từ téc",DATA_GOC!$B:$B,DATE($D$2,$B$2,AB$4)),0))</f>
        <v>0</v>
      </c>
      <c r="AC297" s="251">
        <f>IF(AC$4&gt;DAY(EOMONTH(DATE($D$2,$B$2,1),0)),"",IFERROR(SUMIFS(DATA_GOC!$H:$H,DATA_GOC!$A:$A,"BOM",DATA_GOC!$D:$D,$B297,DATA_GOC!$E:$E,"Dầu động cơ",DATA_GOC!$F:$F,"Xuất nội bộ từ téc",DATA_GOC!$B:$B,DATE($D$2,$B$2,AC$4)),0))</f>
        <v>0</v>
      </c>
      <c r="AD297" s="251">
        <f>IF(AD$4&gt;DAY(EOMONTH(DATE($D$2,$B$2,1),0)),"",IFERROR(SUMIFS(DATA_GOC!$H:$H,DATA_GOC!$A:$A,"BOM",DATA_GOC!$D:$D,$B297,DATA_GOC!$E:$E,"Dầu động cơ",DATA_GOC!$F:$F,"Xuất nội bộ từ téc",DATA_GOC!$B:$B,DATE($D$2,$B$2,AD$4)),0))</f>
        <v>0</v>
      </c>
      <c r="AE297" s="251">
        <f>IF(AE$4&gt;DAY(EOMONTH(DATE($D$2,$B$2,1),0)),"",IFERROR(SUMIFS(DATA_GOC!$H:$H,DATA_GOC!$A:$A,"BOM",DATA_GOC!$D:$D,$B297,DATA_GOC!$E:$E,"Dầu động cơ",DATA_GOC!$F:$F,"Xuất nội bộ từ téc",DATA_GOC!$B:$B,DATE($D$2,$B$2,AE$4)),0))</f>
        <v>0</v>
      </c>
      <c r="AF297" s="251">
        <f>IF(AF$4&gt;DAY(EOMONTH(DATE($D$2,$B$2,1),0)),"",IFERROR(SUMIFS(DATA_GOC!$H:$H,DATA_GOC!$A:$A,"BOM",DATA_GOC!$D:$D,$B297,DATA_GOC!$E:$E,"Dầu động cơ",DATA_GOC!$F:$F,"Xuất nội bộ từ téc",DATA_GOC!$B:$B,DATE($D$2,$B$2,AF$4)),0))</f>
        <v>0</v>
      </c>
      <c r="AG297" s="251">
        <f>IF(AG$4&gt;DAY(EOMONTH(DATE($D$2,$B$2,1),0)),"",IFERROR(SUMIFS(DATA_GOC!$H:$H,DATA_GOC!$A:$A,"BOM",DATA_GOC!$D:$D,$B297,DATA_GOC!$E:$E,"Dầu động cơ",DATA_GOC!$F:$F,"Xuất nội bộ từ téc",DATA_GOC!$B:$B,DATE($D$2,$B$2,AG$4)),0))</f>
        <v>0</v>
      </c>
      <c r="AH297" s="252">
        <f t="shared" si="13"/>
        <v>0</v>
      </c>
      <c r="AI297" s="241"/>
      <c r="AJ297" s="242">
        <f>IF($B297="","",SUMIFS(TINH_TEC!$K$233:$K$9232,TINH_TEC!$H$233:$H$9232,$B297,TINH_TEC!$C$233:$C$9232,"Dầu động cơ",TINH_TEC!$F$233:$F$9232,$B$2,TINH_TEC!$G$233:$G$9232,$D$2,TINH_TEC!$B$233:$B$9232,"Đã chốt"))</f>
        <v>0</v>
      </c>
      <c r="AK297" s="242">
        <f>IF($B297="","",SUMIFS(TINH_TEC!$J$233:$J$9232,TINH_TEC!$H$233:$H$9232,$B297,TINH_TEC!$C$233:$C$9232,"Dầu động cơ",TINH_TEC!$F$233:$F$9232,$B$2,TINH_TEC!$G$233:$G$9232,$D$2,TINH_TEC!$B$233:$B$9232,"Đã chốt"))</f>
        <v>0</v>
      </c>
      <c r="AL297" s="242">
        <f t="shared" si="14"/>
        <v>0</v>
      </c>
    </row>
    <row r="298" ht="15.75" customHeight="1">
      <c r="A298" s="237">
        <f>IF($B298&lt;&gt;"",49,"")</f>
        <v>49</v>
      </c>
      <c r="B298" s="250" t="str">
        <f t="array" ref="B298">IFERROR(INDEX(DANH_MUC!$E:$E,52),"")</f>
        <v>Máy phát điện</v>
      </c>
      <c r="C298" s="251">
        <f>IF(C$4&gt;DAY(EOMONTH(DATE($D$2,$B$2,1),0)),"",IFERROR(SUMIFS(DATA_GOC!$H:$H,DATA_GOC!$A:$A,"BOM",DATA_GOC!$D:$D,$B298,DATA_GOC!$E:$E,"Dầu động cơ",DATA_GOC!$F:$F,"Xuất nội bộ từ téc",DATA_GOC!$B:$B,DATE($D$2,$B$2,C$4)),0))</f>
        <v>0</v>
      </c>
      <c r="D298" s="251">
        <f>IF(D$4&gt;DAY(EOMONTH(DATE($D$2,$B$2,1),0)),"",IFERROR(SUMIFS(DATA_GOC!$H:$H,DATA_GOC!$A:$A,"BOM",DATA_GOC!$D:$D,$B298,DATA_GOC!$E:$E,"Dầu động cơ",DATA_GOC!$F:$F,"Xuất nội bộ từ téc",DATA_GOC!$B:$B,DATE($D$2,$B$2,D$4)),0))</f>
        <v>0</v>
      </c>
      <c r="E298" s="251">
        <f>IF(E$4&gt;DAY(EOMONTH(DATE($D$2,$B$2,1),0)),"",IFERROR(SUMIFS(DATA_GOC!$H:$H,DATA_GOC!$A:$A,"BOM",DATA_GOC!$D:$D,$B298,DATA_GOC!$E:$E,"Dầu động cơ",DATA_GOC!$F:$F,"Xuất nội bộ từ téc",DATA_GOC!$B:$B,DATE($D$2,$B$2,E$4)),0))</f>
        <v>0</v>
      </c>
      <c r="F298" s="251">
        <f>IF(F$4&gt;DAY(EOMONTH(DATE($D$2,$B$2,1),0)),"",IFERROR(SUMIFS(DATA_GOC!$H:$H,DATA_GOC!$A:$A,"BOM",DATA_GOC!$D:$D,$B298,DATA_GOC!$E:$E,"Dầu động cơ",DATA_GOC!$F:$F,"Xuất nội bộ từ téc",DATA_GOC!$B:$B,DATE($D$2,$B$2,F$4)),0))</f>
        <v>0</v>
      </c>
      <c r="G298" s="251">
        <f>IF(G$4&gt;DAY(EOMONTH(DATE($D$2,$B$2,1),0)),"",IFERROR(SUMIFS(DATA_GOC!$H:$H,DATA_GOC!$A:$A,"BOM",DATA_GOC!$D:$D,$B298,DATA_GOC!$E:$E,"Dầu động cơ",DATA_GOC!$F:$F,"Xuất nội bộ từ téc",DATA_GOC!$B:$B,DATE($D$2,$B$2,G$4)),0))</f>
        <v>0</v>
      </c>
      <c r="H298" s="251">
        <f>IF(H$4&gt;DAY(EOMONTH(DATE($D$2,$B$2,1),0)),"",IFERROR(SUMIFS(DATA_GOC!$H:$H,DATA_GOC!$A:$A,"BOM",DATA_GOC!$D:$D,$B298,DATA_GOC!$E:$E,"Dầu động cơ",DATA_GOC!$F:$F,"Xuất nội bộ từ téc",DATA_GOC!$B:$B,DATE($D$2,$B$2,H$4)),0))</f>
        <v>0</v>
      </c>
      <c r="I298" s="251">
        <f>IF(I$4&gt;DAY(EOMONTH(DATE($D$2,$B$2,1),0)),"",IFERROR(SUMIFS(DATA_GOC!$H:$H,DATA_GOC!$A:$A,"BOM",DATA_GOC!$D:$D,$B298,DATA_GOC!$E:$E,"Dầu động cơ",DATA_GOC!$F:$F,"Xuất nội bộ từ téc",DATA_GOC!$B:$B,DATE($D$2,$B$2,I$4)),0))</f>
        <v>0</v>
      </c>
      <c r="J298" s="251">
        <f>IF(J$4&gt;DAY(EOMONTH(DATE($D$2,$B$2,1),0)),"",IFERROR(SUMIFS(DATA_GOC!$H:$H,DATA_GOC!$A:$A,"BOM",DATA_GOC!$D:$D,$B298,DATA_GOC!$E:$E,"Dầu động cơ",DATA_GOC!$F:$F,"Xuất nội bộ từ téc",DATA_GOC!$B:$B,DATE($D$2,$B$2,J$4)),0))</f>
        <v>0</v>
      </c>
      <c r="K298" s="251">
        <f>IF(K$4&gt;DAY(EOMONTH(DATE($D$2,$B$2,1),0)),"",IFERROR(SUMIFS(DATA_GOC!$H:$H,DATA_GOC!$A:$A,"BOM",DATA_GOC!$D:$D,$B298,DATA_GOC!$E:$E,"Dầu động cơ",DATA_GOC!$F:$F,"Xuất nội bộ từ téc",DATA_GOC!$B:$B,DATE($D$2,$B$2,K$4)),0))</f>
        <v>0</v>
      </c>
      <c r="L298" s="251">
        <f>IF(L$4&gt;DAY(EOMONTH(DATE($D$2,$B$2,1),0)),"",IFERROR(SUMIFS(DATA_GOC!$H:$H,DATA_GOC!$A:$A,"BOM",DATA_GOC!$D:$D,$B298,DATA_GOC!$E:$E,"Dầu động cơ",DATA_GOC!$F:$F,"Xuất nội bộ từ téc",DATA_GOC!$B:$B,DATE($D$2,$B$2,L$4)),0))</f>
        <v>0</v>
      </c>
      <c r="M298" s="251">
        <f>IF(M$4&gt;DAY(EOMONTH(DATE($D$2,$B$2,1),0)),"",IFERROR(SUMIFS(DATA_GOC!$H:$H,DATA_GOC!$A:$A,"BOM",DATA_GOC!$D:$D,$B298,DATA_GOC!$E:$E,"Dầu động cơ",DATA_GOC!$F:$F,"Xuất nội bộ từ téc",DATA_GOC!$B:$B,DATE($D$2,$B$2,M$4)),0))</f>
        <v>0</v>
      </c>
      <c r="N298" s="251">
        <f>IF(N$4&gt;DAY(EOMONTH(DATE($D$2,$B$2,1),0)),"",IFERROR(SUMIFS(DATA_GOC!$H:$H,DATA_GOC!$A:$A,"BOM",DATA_GOC!$D:$D,$B298,DATA_GOC!$E:$E,"Dầu động cơ",DATA_GOC!$F:$F,"Xuất nội bộ từ téc",DATA_GOC!$B:$B,DATE($D$2,$B$2,N$4)),0))</f>
        <v>0</v>
      </c>
      <c r="O298" s="251">
        <f>IF(O$4&gt;DAY(EOMONTH(DATE($D$2,$B$2,1),0)),"",IFERROR(SUMIFS(DATA_GOC!$H:$H,DATA_GOC!$A:$A,"BOM",DATA_GOC!$D:$D,$B298,DATA_GOC!$E:$E,"Dầu động cơ",DATA_GOC!$F:$F,"Xuất nội bộ từ téc",DATA_GOC!$B:$B,DATE($D$2,$B$2,O$4)),0))</f>
        <v>0</v>
      </c>
      <c r="P298" s="251">
        <f>IF(P$4&gt;DAY(EOMONTH(DATE($D$2,$B$2,1),0)),"",IFERROR(SUMIFS(DATA_GOC!$H:$H,DATA_GOC!$A:$A,"BOM",DATA_GOC!$D:$D,$B298,DATA_GOC!$E:$E,"Dầu động cơ",DATA_GOC!$F:$F,"Xuất nội bộ từ téc",DATA_GOC!$B:$B,DATE($D$2,$B$2,P$4)),0))</f>
        <v>0</v>
      </c>
      <c r="Q298" s="251">
        <f>IF(Q$4&gt;DAY(EOMONTH(DATE($D$2,$B$2,1),0)),"",IFERROR(SUMIFS(DATA_GOC!$H:$H,DATA_GOC!$A:$A,"BOM",DATA_GOC!$D:$D,$B298,DATA_GOC!$E:$E,"Dầu động cơ",DATA_GOC!$F:$F,"Xuất nội bộ từ téc",DATA_GOC!$B:$B,DATE($D$2,$B$2,Q$4)),0))</f>
        <v>0</v>
      </c>
      <c r="R298" s="251">
        <f>IF(R$4&gt;DAY(EOMONTH(DATE($D$2,$B$2,1),0)),"",IFERROR(SUMIFS(DATA_GOC!$H:$H,DATA_GOC!$A:$A,"BOM",DATA_GOC!$D:$D,$B298,DATA_GOC!$E:$E,"Dầu động cơ",DATA_GOC!$F:$F,"Xuất nội bộ từ téc",DATA_GOC!$B:$B,DATE($D$2,$B$2,R$4)),0))</f>
        <v>0</v>
      </c>
      <c r="S298" s="251">
        <f>IF(S$4&gt;DAY(EOMONTH(DATE($D$2,$B$2,1),0)),"",IFERROR(SUMIFS(DATA_GOC!$H:$H,DATA_GOC!$A:$A,"BOM",DATA_GOC!$D:$D,$B298,DATA_GOC!$E:$E,"Dầu động cơ",DATA_GOC!$F:$F,"Xuất nội bộ từ téc",DATA_GOC!$B:$B,DATE($D$2,$B$2,S$4)),0))</f>
        <v>0</v>
      </c>
      <c r="T298" s="251">
        <f>IF(T$4&gt;DAY(EOMONTH(DATE($D$2,$B$2,1),0)),"",IFERROR(SUMIFS(DATA_GOC!$H:$H,DATA_GOC!$A:$A,"BOM",DATA_GOC!$D:$D,$B298,DATA_GOC!$E:$E,"Dầu động cơ",DATA_GOC!$F:$F,"Xuất nội bộ từ téc",DATA_GOC!$B:$B,DATE($D$2,$B$2,T$4)),0))</f>
        <v>0</v>
      </c>
      <c r="U298" s="251">
        <f>IF(U$4&gt;DAY(EOMONTH(DATE($D$2,$B$2,1),0)),"",IFERROR(SUMIFS(DATA_GOC!$H:$H,DATA_GOC!$A:$A,"BOM",DATA_GOC!$D:$D,$B298,DATA_GOC!$E:$E,"Dầu động cơ",DATA_GOC!$F:$F,"Xuất nội bộ từ téc",DATA_GOC!$B:$B,DATE($D$2,$B$2,U$4)),0))</f>
        <v>0</v>
      </c>
      <c r="V298" s="251">
        <f>IF(V$4&gt;DAY(EOMONTH(DATE($D$2,$B$2,1),0)),"",IFERROR(SUMIFS(DATA_GOC!$H:$H,DATA_GOC!$A:$A,"BOM",DATA_GOC!$D:$D,$B298,DATA_GOC!$E:$E,"Dầu động cơ",DATA_GOC!$F:$F,"Xuất nội bộ từ téc",DATA_GOC!$B:$B,DATE($D$2,$B$2,V$4)),0))</f>
        <v>0</v>
      </c>
      <c r="W298" s="251">
        <f>IF(W$4&gt;DAY(EOMONTH(DATE($D$2,$B$2,1),0)),"",IFERROR(SUMIFS(DATA_GOC!$H:$H,DATA_GOC!$A:$A,"BOM",DATA_GOC!$D:$D,$B298,DATA_GOC!$E:$E,"Dầu động cơ",DATA_GOC!$F:$F,"Xuất nội bộ từ téc",DATA_GOC!$B:$B,DATE($D$2,$B$2,W$4)),0))</f>
        <v>0</v>
      </c>
      <c r="X298" s="251">
        <f>IF(X$4&gt;DAY(EOMONTH(DATE($D$2,$B$2,1),0)),"",IFERROR(SUMIFS(DATA_GOC!$H:$H,DATA_GOC!$A:$A,"BOM",DATA_GOC!$D:$D,$B298,DATA_GOC!$E:$E,"Dầu động cơ",DATA_GOC!$F:$F,"Xuất nội bộ từ téc",DATA_GOC!$B:$B,DATE($D$2,$B$2,X$4)),0))</f>
        <v>0</v>
      </c>
      <c r="Y298" s="251">
        <f>IF(Y$4&gt;DAY(EOMONTH(DATE($D$2,$B$2,1),0)),"",IFERROR(SUMIFS(DATA_GOC!$H:$H,DATA_GOC!$A:$A,"BOM",DATA_GOC!$D:$D,$B298,DATA_GOC!$E:$E,"Dầu động cơ",DATA_GOC!$F:$F,"Xuất nội bộ từ téc",DATA_GOC!$B:$B,DATE($D$2,$B$2,Y$4)),0))</f>
        <v>0</v>
      </c>
      <c r="Z298" s="251">
        <f>IF(Z$4&gt;DAY(EOMONTH(DATE($D$2,$B$2,1),0)),"",IFERROR(SUMIFS(DATA_GOC!$H:$H,DATA_GOC!$A:$A,"BOM",DATA_GOC!$D:$D,$B298,DATA_GOC!$E:$E,"Dầu động cơ",DATA_GOC!$F:$F,"Xuất nội bộ từ téc",DATA_GOC!$B:$B,DATE($D$2,$B$2,Z$4)),0))</f>
        <v>0</v>
      </c>
      <c r="AA298" s="251">
        <f>IF(AA$4&gt;DAY(EOMONTH(DATE($D$2,$B$2,1),0)),"",IFERROR(SUMIFS(DATA_GOC!$H:$H,DATA_GOC!$A:$A,"BOM",DATA_GOC!$D:$D,$B298,DATA_GOC!$E:$E,"Dầu động cơ",DATA_GOC!$F:$F,"Xuất nội bộ từ téc",DATA_GOC!$B:$B,DATE($D$2,$B$2,AA$4)),0))</f>
        <v>0</v>
      </c>
      <c r="AB298" s="251">
        <f>IF(AB$4&gt;DAY(EOMONTH(DATE($D$2,$B$2,1),0)),"",IFERROR(SUMIFS(DATA_GOC!$H:$H,DATA_GOC!$A:$A,"BOM",DATA_GOC!$D:$D,$B298,DATA_GOC!$E:$E,"Dầu động cơ",DATA_GOC!$F:$F,"Xuất nội bộ từ téc",DATA_GOC!$B:$B,DATE($D$2,$B$2,AB$4)),0))</f>
        <v>0</v>
      </c>
      <c r="AC298" s="251">
        <f>IF(AC$4&gt;DAY(EOMONTH(DATE($D$2,$B$2,1),0)),"",IFERROR(SUMIFS(DATA_GOC!$H:$H,DATA_GOC!$A:$A,"BOM",DATA_GOC!$D:$D,$B298,DATA_GOC!$E:$E,"Dầu động cơ",DATA_GOC!$F:$F,"Xuất nội bộ từ téc",DATA_GOC!$B:$B,DATE($D$2,$B$2,AC$4)),0))</f>
        <v>0</v>
      </c>
      <c r="AD298" s="251">
        <f>IF(AD$4&gt;DAY(EOMONTH(DATE($D$2,$B$2,1),0)),"",IFERROR(SUMIFS(DATA_GOC!$H:$H,DATA_GOC!$A:$A,"BOM",DATA_GOC!$D:$D,$B298,DATA_GOC!$E:$E,"Dầu động cơ",DATA_GOC!$F:$F,"Xuất nội bộ từ téc",DATA_GOC!$B:$B,DATE($D$2,$B$2,AD$4)),0))</f>
        <v>0</v>
      </c>
      <c r="AE298" s="251">
        <f>IF(AE$4&gt;DAY(EOMONTH(DATE($D$2,$B$2,1),0)),"",IFERROR(SUMIFS(DATA_GOC!$H:$H,DATA_GOC!$A:$A,"BOM",DATA_GOC!$D:$D,$B298,DATA_GOC!$E:$E,"Dầu động cơ",DATA_GOC!$F:$F,"Xuất nội bộ từ téc",DATA_GOC!$B:$B,DATE($D$2,$B$2,AE$4)),0))</f>
        <v>0</v>
      </c>
      <c r="AF298" s="251">
        <f>IF(AF$4&gt;DAY(EOMONTH(DATE($D$2,$B$2,1),0)),"",IFERROR(SUMIFS(DATA_GOC!$H:$H,DATA_GOC!$A:$A,"BOM",DATA_GOC!$D:$D,$B298,DATA_GOC!$E:$E,"Dầu động cơ",DATA_GOC!$F:$F,"Xuất nội bộ từ téc",DATA_GOC!$B:$B,DATE($D$2,$B$2,AF$4)),0))</f>
        <v>0</v>
      </c>
      <c r="AG298" s="251">
        <f>IF(AG$4&gt;DAY(EOMONTH(DATE($D$2,$B$2,1),0)),"",IFERROR(SUMIFS(DATA_GOC!$H:$H,DATA_GOC!$A:$A,"BOM",DATA_GOC!$D:$D,$B298,DATA_GOC!$E:$E,"Dầu động cơ",DATA_GOC!$F:$F,"Xuất nội bộ từ téc",DATA_GOC!$B:$B,DATE($D$2,$B$2,AG$4)),0))</f>
        <v>0</v>
      </c>
      <c r="AH298" s="252">
        <f t="shared" si="13"/>
        <v>0</v>
      </c>
      <c r="AI298" s="241"/>
      <c r="AJ298" s="242">
        <f>IF($B298="","",SUMIFS(TINH_TEC!$K$233:$K$9232,TINH_TEC!$H$233:$H$9232,$B298,TINH_TEC!$C$233:$C$9232,"Dầu động cơ",TINH_TEC!$F$233:$F$9232,$B$2,TINH_TEC!$G$233:$G$9232,$D$2,TINH_TEC!$B$233:$B$9232,"Đã chốt"))</f>
        <v>0</v>
      </c>
      <c r="AK298" s="242">
        <f>IF($B298="","",SUMIFS(TINH_TEC!$J$233:$J$9232,TINH_TEC!$H$233:$H$9232,$B298,TINH_TEC!$C$233:$C$9232,"Dầu động cơ",TINH_TEC!$F$233:$F$9232,$B$2,TINH_TEC!$G$233:$G$9232,$D$2,TINH_TEC!$B$233:$B$9232,"Đã chốt"))</f>
        <v>0</v>
      </c>
      <c r="AL298" s="242">
        <f t="shared" si="14"/>
        <v>0</v>
      </c>
    </row>
    <row r="299" ht="15.75" customHeight="1">
      <c r="A299" s="237">
        <f>IF($B299&lt;&gt;"",50,"")</f>
        <v>50</v>
      </c>
      <c r="B299" s="250" t="str">
        <f t="array" ref="B299">IFERROR(INDEX(DANH_MUC!$E:$E,53),"")</f>
        <v>Máy rải thảm</v>
      </c>
      <c r="C299" s="251">
        <f>IF(C$4&gt;DAY(EOMONTH(DATE($D$2,$B$2,1),0)),"",IFERROR(SUMIFS(DATA_GOC!$H:$H,DATA_GOC!$A:$A,"BOM",DATA_GOC!$D:$D,$B299,DATA_GOC!$E:$E,"Dầu động cơ",DATA_GOC!$F:$F,"Xuất nội bộ từ téc",DATA_GOC!$B:$B,DATE($D$2,$B$2,C$4)),0))</f>
        <v>0</v>
      </c>
      <c r="D299" s="251">
        <f>IF(D$4&gt;DAY(EOMONTH(DATE($D$2,$B$2,1),0)),"",IFERROR(SUMIFS(DATA_GOC!$H:$H,DATA_GOC!$A:$A,"BOM",DATA_GOC!$D:$D,$B299,DATA_GOC!$E:$E,"Dầu động cơ",DATA_GOC!$F:$F,"Xuất nội bộ từ téc",DATA_GOC!$B:$B,DATE($D$2,$B$2,D$4)),0))</f>
        <v>0</v>
      </c>
      <c r="E299" s="251">
        <f>IF(E$4&gt;DAY(EOMONTH(DATE($D$2,$B$2,1),0)),"",IFERROR(SUMIFS(DATA_GOC!$H:$H,DATA_GOC!$A:$A,"BOM",DATA_GOC!$D:$D,$B299,DATA_GOC!$E:$E,"Dầu động cơ",DATA_GOC!$F:$F,"Xuất nội bộ từ téc",DATA_GOC!$B:$B,DATE($D$2,$B$2,E$4)),0))</f>
        <v>0</v>
      </c>
      <c r="F299" s="251">
        <f>IF(F$4&gt;DAY(EOMONTH(DATE($D$2,$B$2,1),0)),"",IFERROR(SUMIFS(DATA_GOC!$H:$H,DATA_GOC!$A:$A,"BOM",DATA_GOC!$D:$D,$B299,DATA_GOC!$E:$E,"Dầu động cơ",DATA_GOC!$F:$F,"Xuất nội bộ từ téc",DATA_GOC!$B:$B,DATE($D$2,$B$2,F$4)),0))</f>
        <v>0</v>
      </c>
      <c r="G299" s="251">
        <f>IF(G$4&gt;DAY(EOMONTH(DATE($D$2,$B$2,1),0)),"",IFERROR(SUMIFS(DATA_GOC!$H:$H,DATA_GOC!$A:$A,"BOM",DATA_GOC!$D:$D,$B299,DATA_GOC!$E:$E,"Dầu động cơ",DATA_GOC!$F:$F,"Xuất nội bộ từ téc",DATA_GOC!$B:$B,DATE($D$2,$B$2,G$4)),0))</f>
        <v>0</v>
      </c>
      <c r="H299" s="251">
        <f>IF(H$4&gt;DAY(EOMONTH(DATE($D$2,$B$2,1),0)),"",IFERROR(SUMIFS(DATA_GOC!$H:$H,DATA_GOC!$A:$A,"BOM",DATA_GOC!$D:$D,$B299,DATA_GOC!$E:$E,"Dầu động cơ",DATA_GOC!$F:$F,"Xuất nội bộ từ téc",DATA_GOC!$B:$B,DATE($D$2,$B$2,H$4)),0))</f>
        <v>0</v>
      </c>
      <c r="I299" s="251">
        <f>IF(I$4&gt;DAY(EOMONTH(DATE($D$2,$B$2,1),0)),"",IFERROR(SUMIFS(DATA_GOC!$H:$H,DATA_GOC!$A:$A,"BOM",DATA_GOC!$D:$D,$B299,DATA_GOC!$E:$E,"Dầu động cơ",DATA_GOC!$F:$F,"Xuất nội bộ từ téc",DATA_GOC!$B:$B,DATE($D$2,$B$2,I$4)),0))</f>
        <v>0</v>
      </c>
      <c r="J299" s="251">
        <f>IF(J$4&gt;DAY(EOMONTH(DATE($D$2,$B$2,1),0)),"",IFERROR(SUMIFS(DATA_GOC!$H:$H,DATA_GOC!$A:$A,"BOM",DATA_GOC!$D:$D,$B299,DATA_GOC!$E:$E,"Dầu động cơ",DATA_GOC!$F:$F,"Xuất nội bộ từ téc",DATA_GOC!$B:$B,DATE($D$2,$B$2,J$4)),0))</f>
        <v>0</v>
      </c>
      <c r="K299" s="251">
        <f>IF(K$4&gt;DAY(EOMONTH(DATE($D$2,$B$2,1),0)),"",IFERROR(SUMIFS(DATA_GOC!$H:$H,DATA_GOC!$A:$A,"BOM",DATA_GOC!$D:$D,$B299,DATA_GOC!$E:$E,"Dầu động cơ",DATA_GOC!$F:$F,"Xuất nội bộ từ téc",DATA_GOC!$B:$B,DATE($D$2,$B$2,K$4)),0))</f>
        <v>0</v>
      </c>
      <c r="L299" s="251">
        <f>IF(L$4&gt;DAY(EOMONTH(DATE($D$2,$B$2,1),0)),"",IFERROR(SUMIFS(DATA_GOC!$H:$H,DATA_GOC!$A:$A,"BOM",DATA_GOC!$D:$D,$B299,DATA_GOC!$E:$E,"Dầu động cơ",DATA_GOC!$F:$F,"Xuất nội bộ từ téc",DATA_GOC!$B:$B,DATE($D$2,$B$2,L$4)),0))</f>
        <v>0</v>
      </c>
      <c r="M299" s="251">
        <f>IF(M$4&gt;DAY(EOMONTH(DATE($D$2,$B$2,1),0)),"",IFERROR(SUMIFS(DATA_GOC!$H:$H,DATA_GOC!$A:$A,"BOM",DATA_GOC!$D:$D,$B299,DATA_GOC!$E:$E,"Dầu động cơ",DATA_GOC!$F:$F,"Xuất nội bộ từ téc",DATA_GOC!$B:$B,DATE($D$2,$B$2,M$4)),0))</f>
        <v>0</v>
      </c>
      <c r="N299" s="251">
        <f>IF(N$4&gt;DAY(EOMONTH(DATE($D$2,$B$2,1),0)),"",IFERROR(SUMIFS(DATA_GOC!$H:$H,DATA_GOC!$A:$A,"BOM",DATA_GOC!$D:$D,$B299,DATA_GOC!$E:$E,"Dầu động cơ",DATA_GOC!$F:$F,"Xuất nội bộ từ téc",DATA_GOC!$B:$B,DATE($D$2,$B$2,N$4)),0))</f>
        <v>0</v>
      </c>
      <c r="O299" s="251">
        <f>IF(O$4&gt;DAY(EOMONTH(DATE($D$2,$B$2,1),0)),"",IFERROR(SUMIFS(DATA_GOC!$H:$H,DATA_GOC!$A:$A,"BOM",DATA_GOC!$D:$D,$B299,DATA_GOC!$E:$E,"Dầu động cơ",DATA_GOC!$F:$F,"Xuất nội bộ từ téc",DATA_GOC!$B:$B,DATE($D$2,$B$2,O$4)),0))</f>
        <v>0</v>
      </c>
      <c r="P299" s="251">
        <f>IF(P$4&gt;DAY(EOMONTH(DATE($D$2,$B$2,1),0)),"",IFERROR(SUMIFS(DATA_GOC!$H:$H,DATA_GOC!$A:$A,"BOM",DATA_GOC!$D:$D,$B299,DATA_GOC!$E:$E,"Dầu động cơ",DATA_GOC!$F:$F,"Xuất nội bộ từ téc",DATA_GOC!$B:$B,DATE($D$2,$B$2,P$4)),0))</f>
        <v>0</v>
      </c>
      <c r="Q299" s="251">
        <f>IF(Q$4&gt;DAY(EOMONTH(DATE($D$2,$B$2,1),0)),"",IFERROR(SUMIFS(DATA_GOC!$H:$H,DATA_GOC!$A:$A,"BOM",DATA_GOC!$D:$D,$B299,DATA_GOC!$E:$E,"Dầu động cơ",DATA_GOC!$F:$F,"Xuất nội bộ từ téc",DATA_GOC!$B:$B,DATE($D$2,$B$2,Q$4)),0))</f>
        <v>0</v>
      </c>
      <c r="R299" s="251">
        <f>IF(R$4&gt;DAY(EOMONTH(DATE($D$2,$B$2,1),0)),"",IFERROR(SUMIFS(DATA_GOC!$H:$H,DATA_GOC!$A:$A,"BOM",DATA_GOC!$D:$D,$B299,DATA_GOC!$E:$E,"Dầu động cơ",DATA_GOC!$F:$F,"Xuất nội bộ từ téc",DATA_GOC!$B:$B,DATE($D$2,$B$2,R$4)),0))</f>
        <v>0</v>
      </c>
      <c r="S299" s="251">
        <f>IF(S$4&gt;DAY(EOMONTH(DATE($D$2,$B$2,1),0)),"",IFERROR(SUMIFS(DATA_GOC!$H:$H,DATA_GOC!$A:$A,"BOM",DATA_GOC!$D:$D,$B299,DATA_GOC!$E:$E,"Dầu động cơ",DATA_GOC!$F:$F,"Xuất nội bộ từ téc",DATA_GOC!$B:$B,DATE($D$2,$B$2,S$4)),0))</f>
        <v>0</v>
      </c>
      <c r="T299" s="251">
        <f>IF(T$4&gt;DAY(EOMONTH(DATE($D$2,$B$2,1),0)),"",IFERROR(SUMIFS(DATA_GOC!$H:$H,DATA_GOC!$A:$A,"BOM",DATA_GOC!$D:$D,$B299,DATA_GOC!$E:$E,"Dầu động cơ",DATA_GOC!$F:$F,"Xuất nội bộ từ téc",DATA_GOC!$B:$B,DATE($D$2,$B$2,T$4)),0))</f>
        <v>0</v>
      </c>
      <c r="U299" s="251">
        <f>IF(U$4&gt;DAY(EOMONTH(DATE($D$2,$B$2,1),0)),"",IFERROR(SUMIFS(DATA_GOC!$H:$H,DATA_GOC!$A:$A,"BOM",DATA_GOC!$D:$D,$B299,DATA_GOC!$E:$E,"Dầu động cơ",DATA_GOC!$F:$F,"Xuất nội bộ từ téc",DATA_GOC!$B:$B,DATE($D$2,$B$2,U$4)),0))</f>
        <v>0</v>
      </c>
      <c r="V299" s="251">
        <f>IF(V$4&gt;DAY(EOMONTH(DATE($D$2,$B$2,1),0)),"",IFERROR(SUMIFS(DATA_GOC!$H:$H,DATA_GOC!$A:$A,"BOM",DATA_GOC!$D:$D,$B299,DATA_GOC!$E:$E,"Dầu động cơ",DATA_GOC!$F:$F,"Xuất nội bộ từ téc",DATA_GOC!$B:$B,DATE($D$2,$B$2,V$4)),0))</f>
        <v>0</v>
      </c>
      <c r="W299" s="251">
        <f>IF(W$4&gt;DAY(EOMONTH(DATE($D$2,$B$2,1),0)),"",IFERROR(SUMIFS(DATA_GOC!$H:$H,DATA_GOC!$A:$A,"BOM",DATA_GOC!$D:$D,$B299,DATA_GOC!$E:$E,"Dầu động cơ",DATA_GOC!$F:$F,"Xuất nội bộ từ téc",DATA_GOC!$B:$B,DATE($D$2,$B$2,W$4)),0))</f>
        <v>0</v>
      </c>
      <c r="X299" s="251">
        <f>IF(X$4&gt;DAY(EOMONTH(DATE($D$2,$B$2,1),0)),"",IFERROR(SUMIFS(DATA_GOC!$H:$H,DATA_GOC!$A:$A,"BOM",DATA_GOC!$D:$D,$B299,DATA_GOC!$E:$E,"Dầu động cơ",DATA_GOC!$F:$F,"Xuất nội bộ từ téc",DATA_GOC!$B:$B,DATE($D$2,$B$2,X$4)),0))</f>
        <v>0</v>
      </c>
      <c r="Y299" s="251">
        <f>IF(Y$4&gt;DAY(EOMONTH(DATE($D$2,$B$2,1),0)),"",IFERROR(SUMIFS(DATA_GOC!$H:$H,DATA_GOC!$A:$A,"BOM",DATA_GOC!$D:$D,$B299,DATA_GOC!$E:$E,"Dầu động cơ",DATA_GOC!$F:$F,"Xuất nội bộ từ téc",DATA_GOC!$B:$B,DATE($D$2,$B$2,Y$4)),0))</f>
        <v>0</v>
      </c>
      <c r="Z299" s="251">
        <f>IF(Z$4&gt;DAY(EOMONTH(DATE($D$2,$B$2,1),0)),"",IFERROR(SUMIFS(DATA_GOC!$H:$H,DATA_GOC!$A:$A,"BOM",DATA_GOC!$D:$D,$B299,DATA_GOC!$E:$E,"Dầu động cơ",DATA_GOC!$F:$F,"Xuất nội bộ từ téc",DATA_GOC!$B:$B,DATE($D$2,$B$2,Z$4)),0))</f>
        <v>0</v>
      </c>
      <c r="AA299" s="251">
        <f>IF(AA$4&gt;DAY(EOMONTH(DATE($D$2,$B$2,1),0)),"",IFERROR(SUMIFS(DATA_GOC!$H:$H,DATA_GOC!$A:$A,"BOM",DATA_GOC!$D:$D,$B299,DATA_GOC!$E:$E,"Dầu động cơ",DATA_GOC!$F:$F,"Xuất nội bộ từ téc",DATA_GOC!$B:$B,DATE($D$2,$B$2,AA$4)),0))</f>
        <v>0</v>
      </c>
      <c r="AB299" s="251">
        <f>IF(AB$4&gt;DAY(EOMONTH(DATE($D$2,$B$2,1),0)),"",IFERROR(SUMIFS(DATA_GOC!$H:$H,DATA_GOC!$A:$A,"BOM",DATA_GOC!$D:$D,$B299,DATA_GOC!$E:$E,"Dầu động cơ",DATA_GOC!$F:$F,"Xuất nội bộ từ téc",DATA_GOC!$B:$B,DATE($D$2,$B$2,AB$4)),0))</f>
        <v>0</v>
      </c>
      <c r="AC299" s="251">
        <f>IF(AC$4&gt;DAY(EOMONTH(DATE($D$2,$B$2,1),0)),"",IFERROR(SUMIFS(DATA_GOC!$H:$H,DATA_GOC!$A:$A,"BOM",DATA_GOC!$D:$D,$B299,DATA_GOC!$E:$E,"Dầu động cơ",DATA_GOC!$F:$F,"Xuất nội bộ từ téc",DATA_GOC!$B:$B,DATE($D$2,$B$2,AC$4)),0))</f>
        <v>0</v>
      </c>
      <c r="AD299" s="251">
        <f>IF(AD$4&gt;DAY(EOMONTH(DATE($D$2,$B$2,1),0)),"",IFERROR(SUMIFS(DATA_GOC!$H:$H,DATA_GOC!$A:$A,"BOM",DATA_GOC!$D:$D,$B299,DATA_GOC!$E:$E,"Dầu động cơ",DATA_GOC!$F:$F,"Xuất nội bộ từ téc",DATA_GOC!$B:$B,DATE($D$2,$B$2,AD$4)),0))</f>
        <v>0</v>
      </c>
      <c r="AE299" s="251">
        <f>IF(AE$4&gt;DAY(EOMONTH(DATE($D$2,$B$2,1),0)),"",IFERROR(SUMIFS(DATA_GOC!$H:$H,DATA_GOC!$A:$A,"BOM",DATA_GOC!$D:$D,$B299,DATA_GOC!$E:$E,"Dầu động cơ",DATA_GOC!$F:$F,"Xuất nội bộ từ téc",DATA_GOC!$B:$B,DATE($D$2,$B$2,AE$4)),0))</f>
        <v>0</v>
      </c>
      <c r="AF299" s="251">
        <f>IF(AF$4&gt;DAY(EOMONTH(DATE($D$2,$B$2,1),0)),"",IFERROR(SUMIFS(DATA_GOC!$H:$H,DATA_GOC!$A:$A,"BOM",DATA_GOC!$D:$D,$B299,DATA_GOC!$E:$E,"Dầu động cơ",DATA_GOC!$F:$F,"Xuất nội bộ từ téc",DATA_GOC!$B:$B,DATE($D$2,$B$2,AF$4)),0))</f>
        <v>0</v>
      </c>
      <c r="AG299" s="251">
        <f>IF(AG$4&gt;DAY(EOMONTH(DATE($D$2,$B$2,1),0)),"",IFERROR(SUMIFS(DATA_GOC!$H:$H,DATA_GOC!$A:$A,"BOM",DATA_GOC!$D:$D,$B299,DATA_GOC!$E:$E,"Dầu động cơ",DATA_GOC!$F:$F,"Xuất nội bộ từ téc",DATA_GOC!$B:$B,DATE($D$2,$B$2,AG$4)),0))</f>
        <v>0</v>
      </c>
      <c r="AH299" s="252">
        <f t="shared" si="13"/>
        <v>0</v>
      </c>
      <c r="AI299" s="241"/>
      <c r="AJ299" s="242">
        <f>IF($B299="","",SUMIFS(TINH_TEC!$K$233:$K$9232,TINH_TEC!$H$233:$H$9232,$B299,TINH_TEC!$C$233:$C$9232,"Dầu động cơ",TINH_TEC!$F$233:$F$9232,$B$2,TINH_TEC!$G$233:$G$9232,$D$2,TINH_TEC!$B$233:$B$9232,"Đã chốt"))</f>
        <v>0</v>
      </c>
      <c r="AK299" s="242">
        <f>IF($B299="","",SUMIFS(TINH_TEC!$J$233:$J$9232,TINH_TEC!$H$233:$H$9232,$B299,TINH_TEC!$C$233:$C$9232,"Dầu động cơ",TINH_TEC!$F$233:$F$9232,$B$2,TINH_TEC!$G$233:$G$9232,$D$2,TINH_TEC!$B$233:$B$9232,"Đã chốt"))</f>
        <v>0</v>
      </c>
      <c r="AL299" s="242">
        <f t="shared" si="14"/>
        <v>0</v>
      </c>
    </row>
    <row r="300" ht="15.75" customHeight="1">
      <c r="A300" s="237">
        <f>IF($B300&lt;&gt;"",51,"")</f>
        <v>51</v>
      </c>
      <c r="B300" s="250" t="str">
        <f t="array" ref="B300">IFERROR(INDEX(DANH_MUC!$E:$E,54),"")</f>
        <v>Xúc Đào</v>
      </c>
      <c r="C300" s="251">
        <f>IF(C$4&gt;DAY(EOMONTH(DATE($D$2,$B$2,1),0)),"",IFERROR(SUMIFS(DATA_GOC!$H:$H,DATA_GOC!$A:$A,"BOM",DATA_GOC!$D:$D,$B300,DATA_GOC!$E:$E,"Dầu động cơ",DATA_GOC!$F:$F,"Xuất nội bộ từ téc",DATA_GOC!$B:$B,DATE($D$2,$B$2,C$4)),0))</f>
        <v>0</v>
      </c>
      <c r="D300" s="251">
        <f>IF(D$4&gt;DAY(EOMONTH(DATE($D$2,$B$2,1),0)),"",IFERROR(SUMIFS(DATA_GOC!$H:$H,DATA_GOC!$A:$A,"BOM",DATA_GOC!$D:$D,$B300,DATA_GOC!$E:$E,"Dầu động cơ",DATA_GOC!$F:$F,"Xuất nội bộ từ téc",DATA_GOC!$B:$B,DATE($D$2,$B$2,D$4)),0))</f>
        <v>0</v>
      </c>
      <c r="E300" s="251">
        <f>IF(E$4&gt;DAY(EOMONTH(DATE($D$2,$B$2,1),0)),"",IFERROR(SUMIFS(DATA_GOC!$H:$H,DATA_GOC!$A:$A,"BOM",DATA_GOC!$D:$D,$B300,DATA_GOC!$E:$E,"Dầu động cơ",DATA_GOC!$F:$F,"Xuất nội bộ từ téc",DATA_GOC!$B:$B,DATE($D$2,$B$2,E$4)),0))</f>
        <v>0</v>
      </c>
      <c r="F300" s="251">
        <f>IF(F$4&gt;DAY(EOMONTH(DATE($D$2,$B$2,1),0)),"",IFERROR(SUMIFS(DATA_GOC!$H:$H,DATA_GOC!$A:$A,"BOM",DATA_GOC!$D:$D,$B300,DATA_GOC!$E:$E,"Dầu động cơ",DATA_GOC!$F:$F,"Xuất nội bộ từ téc",DATA_GOC!$B:$B,DATE($D$2,$B$2,F$4)),0))</f>
        <v>0</v>
      </c>
      <c r="G300" s="251">
        <f>IF(G$4&gt;DAY(EOMONTH(DATE($D$2,$B$2,1),0)),"",IFERROR(SUMIFS(DATA_GOC!$H:$H,DATA_GOC!$A:$A,"BOM",DATA_GOC!$D:$D,$B300,DATA_GOC!$E:$E,"Dầu động cơ",DATA_GOC!$F:$F,"Xuất nội bộ từ téc",DATA_GOC!$B:$B,DATE($D$2,$B$2,G$4)),0))</f>
        <v>0</v>
      </c>
      <c r="H300" s="251">
        <f>IF(H$4&gt;DAY(EOMONTH(DATE($D$2,$B$2,1),0)),"",IFERROR(SUMIFS(DATA_GOC!$H:$H,DATA_GOC!$A:$A,"BOM",DATA_GOC!$D:$D,$B300,DATA_GOC!$E:$E,"Dầu động cơ",DATA_GOC!$F:$F,"Xuất nội bộ từ téc",DATA_GOC!$B:$B,DATE($D$2,$B$2,H$4)),0))</f>
        <v>0</v>
      </c>
      <c r="I300" s="251">
        <f>IF(I$4&gt;DAY(EOMONTH(DATE($D$2,$B$2,1),0)),"",IFERROR(SUMIFS(DATA_GOC!$H:$H,DATA_GOC!$A:$A,"BOM",DATA_GOC!$D:$D,$B300,DATA_GOC!$E:$E,"Dầu động cơ",DATA_GOC!$F:$F,"Xuất nội bộ từ téc",DATA_GOC!$B:$B,DATE($D$2,$B$2,I$4)),0))</f>
        <v>0</v>
      </c>
      <c r="J300" s="251">
        <f>IF(J$4&gt;DAY(EOMONTH(DATE($D$2,$B$2,1),0)),"",IFERROR(SUMIFS(DATA_GOC!$H:$H,DATA_GOC!$A:$A,"BOM",DATA_GOC!$D:$D,$B300,DATA_GOC!$E:$E,"Dầu động cơ",DATA_GOC!$F:$F,"Xuất nội bộ từ téc",DATA_GOC!$B:$B,DATE($D$2,$B$2,J$4)),0))</f>
        <v>0</v>
      </c>
      <c r="K300" s="251">
        <f>IF(K$4&gt;DAY(EOMONTH(DATE($D$2,$B$2,1),0)),"",IFERROR(SUMIFS(DATA_GOC!$H:$H,DATA_GOC!$A:$A,"BOM",DATA_GOC!$D:$D,$B300,DATA_GOC!$E:$E,"Dầu động cơ",DATA_GOC!$F:$F,"Xuất nội bộ từ téc",DATA_GOC!$B:$B,DATE($D$2,$B$2,K$4)),0))</f>
        <v>0</v>
      </c>
      <c r="L300" s="251">
        <f>IF(L$4&gt;DAY(EOMONTH(DATE($D$2,$B$2,1),0)),"",IFERROR(SUMIFS(DATA_GOC!$H:$H,DATA_GOC!$A:$A,"BOM",DATA_GOC!$D:$D,$B300,DATA_GOC!$E:$E,"Dầu động cơ",DATA_GOC!$F:$F,"Xuất nội bộ từ téc",DATA_GOC!$B:$B,DATE($D$2,$B$2,L$4)),0))</f>
        <v>0</v>
      </c>
      <c r="M300" s="251">
        <f>IF(M$4&gt;DAY(EOMONTH(DATE($D$2,$B$2,1),0)),"",IFERROR(SUMIFS(DATA_GOC!$H:$H,DATA_GOC!$A:$A,"BOM",DATA_GOC!$D:$D,$B300,DATA_GOC!$E:$E,"Dầu động cơ",DATA_GOC!$F:$F,"Xuất nội bộ từ téc",DATA_GOC!$B:$B,DATE($D$2,$B$2,M$4)),0))</f>
        <v>0</v>
      </c>
      <c r="N300" s="251">
        <f>IF(N$4&gt;DAY(EOMONTH(DATE($D$2,$B$2,1),0)),"",IFERROR(SUMIFS(DATA_GOC!$H:$H,DATA_GOC!$A:$A,"BOM",DATA_GOC!$D:$D,$B300,DATA_GOC!$E:$E,"Dầu động cơ",DATA_GOC!$F:$F,"Xuất nội bộ từ téc",DATA_GOC!$B:$B,DATE($D$2,$B$2,N$4)),0))</f>
        <v>0</v>
      </c>
      <c r="O300" s="251">
        <f>IF(O$4&gt;DAY(EOMONTH(DATE($D$2,$B$2,1),0)),"",IFERROR(SUMIFS(DATA_GOC!$H:$H,DATA_GOC!$A:$A,"BOM",DATA_GOC!$D:$D,$B300,DATA_GOC!$E:$E,"Dầu động cơ",DATA_GOC!$F:$F,"Xuất nội bộ từ téc",DATA_GOC!$B:$B,DATE($D$2,$B$2,O$4)),0))</f>
        <v>0</v>
      </c>
      <c r="P300" s="251">
        <f>IF(P$4&gt;DAY(EOMONTH(DATE($D$2,$B$2,1),0)),"",IFERROR(SUMIFS(DATA_GOC!$H:$H,DATA_GOC!$A:$A,"BOM",DATA_GOC!$D:$D,$B300,DATA_GOC!$E:$E,"Dầu động cơ",DATA_GOC!$F:$F,"Xuất nội bộ từ téc",DATA_GOC!$B:$B,DATE($D$2,$B$2,P$4)),0))</f>
        <v>0</v>
      </c>
      <c r="Q300" s="251">
        <f>IF(Q$4&gt;DAY(EOMONTH(DATE($D$2,$B$2,1),0)),"",IFERROR(SUMIFS(DATA_GOC!$H:$H,DATA_GOC!$A:$A,"BOM",DATA_GOC!$D:$D,$B300,DATA_GOC!$E:$E,"Dầu động cơ",DATA_GOC!$F:$F,"Xuất nội bộ từ téc",DATA_GOC!$B:$B,DATE($D$2,$B$2,Q$4)),0))</f>
        <v>0</v>
      </c>
      <c r="R300" s="251">
        <f>IF(R$4&gt;DAY(EOMONTH(DATE($D$2,$B$2,1),0)),"",IFERROR(SUMIFS(DATA_GOC!$H:$H,DATA_GOC!$A:$A,"BOM",DATA_GOC!$D:$D,$B300,DATA_GOC!$E:$E,"Dầu động cơ",DATA_GOC!$F:$F,"Xuất nội bộ từ téc",DATA_GOC!$B:$B,DATE($D$2,$B$2,R$4)),0))</f>
        <v>0</v>
      </c>
      <c r="S300" s="251">
        <f>IF(S$4&gt;DAY(EOMONTH(DATE($D$2,$B$2,1),0)),"",IFERROR(SUMIFS(DATA_GOC!$H:$H,DATA_GOC!$A:$A,"BOM",DATA_GOC!$D:$D,$B300,DATA_GOC!$E:$E,"Dầu động cơ",DATA_GOC!$F:$F,"Xuất nội bộ từ téc",DATA_GOC!$B:$B,DATE($D$2,$B$2,S$4)),0))</f>
        <v>0</v>
      </c>
      <c r="T300" s="251">
        <f>IF(T$4&gt;DAY(EOMONTH(DATE($D$2,$B$2,1),0)),"",IFERROR(SUMIFS(DATA_GOC!$H:$H,DATA_GOC!$A:$A,"BOM",DATA_GOC!$D:$D,$B300,DATA_GOC!$E:$E,"Dầu động cơ",DATA_GOC!$F:$F,"Xuất nội bộ từ téc",DATA_GOC!$B:$B,DATE($D$2,$B$2,T$4)),0))</f>
        <v>0</v>
      </c>
      <c r="U300" s="251">
        <f>IF(U$4&gt;DAY(EOMONTH(DATE($D$2,$B$2,1),0)),"",IFERROR(SUMIFS(DATA_GOC!$H:$H,DATA_GOC!$A:$A,"BOM",DATA_GOC!$D:$D,$B300,DATA_GOC!$E:$E,"Dầu động cơ",DATA_GOC!$F:$F,"Xuất nội bộ từ téc",DATA_GOC!$B:$B,DATE($D$2,$B$2,U$4)),0))</f>
        <v>0</v>
      </c>
      <c r="V300" s="251">
        <f>IF(V$4&gt;DAY(EOMONTH(DATE($D$2,$B$2,1),0)),"",IFERROR(SUMIFS(DATA_GOC!$H:$H,DATA_GOC!$A:$A,"BOM",DATA_GOC!$D:$D,$B300,DATA_GOC!$E:$E,"Dầu động cơ",DATA_GOC!$F:$F,"Xuất nội bộ từ téc",DATA_GOC!$B:$B,DATE($D$2,$B$2,V$4)),0))</f>
        <v>0</v>
      </c>
      <c r="W300" s="251">
        <f>IF(W$4&gt;DAY(EOMONTH(DATE($D$2,$B$2,1),0)),"",IFERROR(SUMIFS(DATA_GOC!$H:$H,DATA_GOC!$A:$A,"BOM",DATA_GOC!$D:$D,$B300,DATA_GOC!$E:$E,"Dầu động cơ",DATA_GOC!$F:$F,"Xuất nội bộ từ téc",DATA_GOC!$B:$B,DATE($D$2,$B$2,W$4)),0))</f>
        <v>0</v>
      </c>
      <c r="X300" s="251">
        <f>IF(X$4&gt;DAY(EOMONTH(DATE($D$2,$B$2,1),0)),"",IFERROR(SUMIFS(DATA_GOC!$H:$H,DATA_GOC!$A:$A,"BOM",DATA_GOC!$D:$D,$B300,DATA_GOC!$E:$E,"Dầu động cơ",DATA_GOC!$F:$F,"Xuất nội bộ từ téc",DATA_GOC!$B:$B,DATE($D$2,$B$2,X$4)),0))</f>
        <v>0</v>
      </c>
      <c r="Y300" s="251">
        <f>IF(Y$4&gt;DAY(EOMONTH(DATE($D$2,$B$2,1),0)),"",IFERROR(SUMIFS(DATA_GOC!$H:$H,DATA_GOC!$A:$A,"BOM",DATA_GOC!$D:$D,$B300,DATA_GOC!$E:$E,"Dầu động cơ",DATA_GOC!$F:$F,"Xuất nội bộ từ téc",DATA_GOC!$B:$B,DATE($D$2,$B$2,Y$4)),0))</f>
        <v>0</v>
      </c>
      <c r="Z300" s="251">
        <f>IF(Z$4&gt;DAY(EOMONTH(DATE($D$2,$B$2,1),0)),"",IFERROR(SUMIFS(DATA_GOC!$H:$H,DATA_GOC!$A:$A,"BOM",DATA_GOC!$D:$D,$B300,DATA_GOC!$E:$E,"Dầu động cơ",DATA_GOC!$F:$F,"Xuất nội bộ từ téc",DATA_GOC!$B:$B,DATE($D$2,$B$2,Z$4)),0))</f>
        <v>0</v>
      </c>
      <c r="AA300" s="251">
        <f>IF(AA$4&gt;DAY(EOMONTH(DATE($D$2,$B$2,1),0)),"",IFERROR(SUMIFS(DATA_GOC!$H:$H,DATA_GOC!$A:$A,"BOM",DATA_GOC!$D:$D,$B300,DATA_GOC!$E:$E,"Dầu động cơ",DATA_GOC!$F:$F,"Xuất nội bộ từ téc",DATA_GOC!$B:$B,DATE($D$2,$B$2,AA$4)),0))</f>
        <v>0</v>
      </c>
      <c r="AB300" s="251">
        <f>IF(AB$4&gt;DAY(EOMONTH(DATE($D$2,$B$2,1),0)),"",IFERROR(SUMIFS(DATA_GOC!$H:$H,DATA_GOC!$A:$A,"BOM",DATA_GOC!$D:$D,$B300,DATA_GOC!$E:$E,"Dầu động cơ",DATA_GOC!$F:$F,"Xuất nội bộ từ téc",DATA_GOC!$B:$B,DATE($D$2,$B$2,AB$4)),0))</f>
        <v>0</v>
      </c>
      <c r="AC300" s="251">
        <f>IF(AC$4&gt;DAY(EOMONTH(DATE($D$2,$B$2,1),0)),"",IFERROR(SUMIFS(DATA_GOC!$H:$H,DATA_GOC!$A:$A,"BOM",DATA_GOC!$D:$D,$B300,DATA_GOC!$E:$E,"Dầu động cơ",DATA_GOC!$F:$F,"Xuất nội bộ từ téc",DATA_GOC!$B:$B,DATE($D$2,$B$2,AC$4)),0))</f>
        <v>0</v>
      </c>
      <c r="AD300" s="251">
        <f>IF(AD$4&gt;DAY(EOMONTH(DATE($D$2,$B$2,1),0)),"",IFERROR(SUMIFS(DATA_GOC!$H:$H,DATA_GOC!$A:$A,"BOM",DATA_GOC!$D:$D,$B300,DATA_GOC!$E:$E,"Dầu động cơ",DATA_GOC!$F:$F,"Xuất nội bộ từ téc",DATA_GOC!$B:$B,DATE($D$2,$B$2,AD$4)),0))</f>
        <v>0</v>
      </c>
      <c r="AE300" s="251">
        <f>IF(AE$4&gt;DAY(EOMONTH(DATE($D$2,$B$2,1),0)),"",IFERROR(SUMIFS(DATA_GOC!$H:$H,DATA_GOC!$A:$A,"BOM",DATA_GOC!$D:$D,$B300,DATA_GOC!$E:$E,"Dầu động cơ",DATA_GOC!$F:$F,"Xuất nội bộ từ téc",DATA_GOC!$B:$B,DATE($D$2,$B$2,AE$4)),0))</f>
        <v>0</v>
      </c>
      <c r="AF300" s="251">
        <f>IF(AF$4&gt;DAY(EOMONTH(DATE($D$2,$B$2,1),0)),"",IFERROR(SUMIFS(DATA_GOC!$H:$H,DATA_GOC!$A:$A,"BOM",DATA_GOC!$D:$D,$B300,DATA_GOC!$E:$E,"Dầu động cơ",DATA_GOC!$F:$F,"Xuất nội bộ từ téc",DATA_GOC!$B:$B,DATE($D$2,$B$2,AF$4)),0))</f>
        <v>0</v>
      </c>
      <c r="AG300" s="251">
        <f>IF(AG$4&gt;DAY(EOMONTH(DATE($D$2,$B$2,1),0)),"",IFERROR(SUMIFS(DATA_GOC!$H:$H,DATA_GOC!$A:$A,"BOM",DATA_GOC!$D:$D,$B300,DATA_GOC!$E:$E,"Dầu động cơ",DATA_GOC!$F:$F,"Xuất nội bộ từ téc",DATA_GOC!$B:$B,DATE($D$2,$B$2,AG$4)),0))</f>
        <v>0</v>
      </c>
      <c r="AH300" s="252">
        <f t="shared" si="13"/>
        <v>0</v>
      </c>
      <c r="AI300" s="241"/>
      <c r="AJ300" s="242">
        <f>IF($B300="","",SUMIFS(TINH_TEC!$K$233:$K$9232,TINH_TEC!$H$233:$H$9232,$B300,TINH_TEC!$C$233:$C$9232,"Dầu động cơ",TINH_TEC!$F$233:$F$9232,$B$2,TINH_TEC!$G$233:$G$9232,$D$2,TINH_TEC!$B$233:$B$9232,"Đã chốt"))</f>
        <v>0</v>
      </c>
      <c r="AK300" s="242">
        <f>IF($B300="","",SUMIFS(TINH_TEC!$J$233:$J$9232,TINH_TEC!$H$233:$H$9232,$B300,TINH_TEC!$C$233:$C$9232,"Dầu động cơ",TINH_TEC!$F$233:$F$9232,$B$2,TINH_TEC!$G$233:$G$9232,$D$2,TINH_TEC!$B$233:$B$9232,"Đã chốt"))</f>
        <v>0</v>
      </c>
      <c r="AL300" s="242">
        <f t="shared" si="14"/>
        <v>0</v>
      </c>
    </row>
    <row r="301" ht="15.75" customHeight="1">
      <c r="A301" s="237">
        <f>IF($B301&lt;&gt;"",52,"")</f>
        <v>52</v>
      </c>
      <c r="B301" s="250" t="str">
        <f t="array" ref="B301">IFERROR(INDEX(DANH_MUC!$E:$E,55),"")</f>
        <v>Xúclật asphalt</v>
      </c>
      <c r="C301" s="251">
        <f>IF(C$4&gt;DAY(EOMONTH(DATE($D$2,$B$2,1),0)),"",IFERROR(SUMIFS(DATA_GOC!$H:$H,DATA_GOC!$A:$A,"BOM",DATA_GOC!$D:$D,$B301,DATA_GOC!$E:$E,"Dầu động cơ",DATA_GOC!$F:$F,"Xuất nội bộ từ téc",DATA_GOC!$B:$B,DATE($D$2,$B$2,C$4)),0))</f>
        <v>0</v>
      </c>
      <c r="D301" s="251">
        <f>IF(D$4&gt;DAY(EOMONTH(DATE($D$2,$B$2,1),0)),"",IFERROR(SUMIFS(DATA_GOC!$H:$H,DATA_GOC!$A:$A,"BOM",DATA_GOC!$D:$D,$B301,DATA_GOC!$E:$E,"Dầu động cơ",DATA_GOC!$F:$F,"Xuất nội bộ từ téc",DATA_GOC!$B:$B,DATE($D$2,$B$2,D$4)),0))</f>
        <v>0</v>
      </c>
      <c r="E301" s="251">
        <f>IF(E$4&gt;DAY(EOMONTH(DATE($D$2,$B$2,1),0)),"",IFERROR(SUMIFS(DATA_GOC!$H:$H,DATA_GOC!$A:$A,"BOM",DATA_GOC!$D:$D,$B301,DATA_GOC!$E:$E,"Dầu động cơ",DATA_GOC!$F:$F,"Xuất nội bộ từ téc",DATA_GOC!$B:$B,DATE($D$2,$B$2,E$4)),0))</f>
        <v>0</v>
      </c>
      <c r="F301" s="251">
        <f>IF(F$4&gt;DAY(EOMONTH(DATE($D$2,$B$2,1),0)),"",IFERROR(SUMIFS(DATA_GOC!$H:$H,DATA_GOC!$A:$A,"BOM",DATA_GOC!$D:$D,$B301,DATA_GOC!$E:$E,"Dầu động cơ",DATA_GOC!$F:$F,"Xuất nội bộ từ téc",DATA_GOC!$B:$B,DATE($D$2,$B$2,F$4)),0))</f>
        <v>0</v>
      </c>
      <c r="G301" s="251">
        <f>IF(G$4&gt;DAY(EOMONTH(DATE($D$2,$B$2,1),0)),"",IFERROR(SUMIFS(DATA_GOC!$H:$H,DATA_GOC!$A:$A,"BOM",DATA_GOC!$D:$D,$B301,DATA_GOC!$E:$E,"Dầu động cơ",DATA_GOC!$F:$F,"Xuất nội bộ từ téc",DATA_GOC!$B:$B,DATE($D$2,$B$2,G$4)),0))</f>
        <v>0</v>
      </c>
      <c r="H301" s="251">
        <f>IF(H$4&gt;DAY(EOMONTH(DATE($D$2,$B$2,1),0)),"",IFERROR(SUMIFS(DATA_GOC!$H:$H,DATA_GOC!$A:$A,"BOM",DATA_GOC!$D:$D,$B301,DATA_GOC!$E:$E,"Dầu động cơ",DATA_GOC!$F:$F,"Xuất nội bộ từ téc",DATA_GOC!$B:$B,DATE($D$2,$B$2,H$4)),0))</f>
        <v>0</v>
      </c>
      <c r="I301" s="251">
        <f>IF(I$4&gt;DAY(EOMONTH(DATE($D$2,$B$2,1),0)),"",IFERROR(SUMIFS(DATA_GOC!$H:$H,DATA_GOC!$A:$A,"BOM",DATA_GOC!$D:$D,$B301,DATA_GOC!$E:$E,"Dầu động cơ",DATA_GOC!$F:$F,"Xuất nội bộ từ téc",DATA_GOC!$B:$B,DATE($D$2,$B$2,I$4)),0))</f>
        <v>0</v>
      </c>
      <c r="J301" s="251">
        <f>IF(J$4&gt;DAY(EOMONTH(DATE($D$2,$B$2,1),0)),"",IFERROR(SUMIFS(DATA_GOC!$H:$H,DATA_GOC!$A:$A,"BOM",DATA_GOC!$D:$D,$B301,DATA_GOC!$E:$E,"Dầu động cơ",DATA_GOC!$F:$F,"Xuất nội bộ từ téc",DATA_GOC!$B:$B,DATE($D$2,$B$2,J$4)),0))</f>
        <v>0</v>
      </c>
      <c r="K301" s="251">
        <f>IF(K$4&gt;DAY(EOMONTH(DATE($D$2,$B$2,1),0)),"",IFERROR(SUMIFS(DATA_GOC!$H:$H,DATA_GOC!$A:$A,"BOM",DATA_GOC!$D:$D,$B301,DATA_GOC!$E:$E,"Dầu động cơ",DATA_GOC!$F:$F,"Xuất nội bộ từ téc",DATA_GOC!$B:$B,DATE($D$2,$B$2,K$4)),0))</f>
        <v>0</v>
      </c>
      <c r="L301" s="251">
        <f>IF(L$4&gt;DAY(EOMONTH(DATE($D$2,$B$2,1),0)),"",IFERROR(SUMIFS(DATA_GOC!$H:$H,DATA_GOC!$A:$A,"BOM",DATA_GOC!$D:$D,$B301,DATA_GOC!$E:$E,"Dầu động cơ",DATA_GOC!$F:$F,"Xuất nội bộ từ téc",DATA_GOC!$B:$B,DATE($D$2,$B$2,L$4)),0))</f>
        <v>0</v>
      </c>
      <c r="M301" s="251">
        <f>IF(M$4&gt;DAY(EOMONTH(DATE($D$2,$B$2,1),0)),"",IFERROR(SUMIFS(DATA_GOC!$H:$H,DATA_GOC!$A:$A,"BOM",DATA_GOC!$D:$D,$B301,DATA_GOC!$E:$E,"Dầu động cơ",DATA_GOC!$F:$F,"Xuất nội bộ từ téc",DATA_GOC!$B:$B,DATE($D$2,$B$2,M$4)),0))</f>
        <v>0</v>
      </c>
      <c r="N301" s="251">
        <f>IF(N$4&gt;DAY(EOMONTH(DATE($D$2,$B$2,1),0)),"",IFERROR(SUMIFS(DATA_GOC!$H:$H,DATA_GOC!$A:$A,"BOM",DATA_GOC!$D:$D,$B301,DATA_GOC!$E:$E,"Dầu động cơ",DATA_GOC!$F:$F,"Xuất nội bộ từ téc",DATA_GOC!$B:$B,DATE($D$2,$B$2,N$4)),0))</f>
        <v>0</v>
      </c>
      <c r="O301" s="251">
        <f>IF(O$4&gt;DAY(EOMONTH(DATE($D$2,$B$2,1),0)),"",IFERROR(SUMIFS(DATA_GOC!$H:$H,DATA_GOC!$A:$A,"BOM",DATA_GOC!$D:$D,$B301,DATA_GOC!$E:$E,"Dầu động cơ",DATA_GOC!$F:$F,"Xuất nội bộ từ téc",DATA_GOC!$B:$B,DATE($D$2,$B$2,O$4)),0))</f>
        <v>0</v>
      </c>
      <c r="P301" s="251">
        <f>IF(P$4&gt;DAY(EOMONTH(DATE($D$2,$B$2,1),0)),"",IFERROR(SUMIFS(DATA_GOC!$H:$H,DATA_GOC!$A:$A,"BOM",DATA_GOC!$D:$D,$B301,DATA_GOC!$E:$E,"Dầu động cơ",DATA_GOC!$F:$F,"Xuất nội bộ từ téc",DATA_GOC!$B:$B,DATE($D$2,$B$2,P$4)),0))</f>
        <v>0</v>
      </c>
      <c r="Q301" s="251">
        <f>IF(Q$4&gt;DAY(EOMONTH(DATE($D$2,$B$2,1),0)),"",IFERROR(SUMIFS(DATA_GOC!$H:$H,DATA_GOC!$A:$A,"BOM",DATA_GOC!$D:$D,$B301,DATA_GOC!$E:$E,"Dầu động cơ",DATA_GOC!$F:$F,"Xuất nội bộ từ téc",DATA_GOC!$B:$B,DATE($D$2,$B$2,Q$4)),0))</f>
        <v>0</v>
      </c>
      <c r="R301" s="251">
        <f>IF(R$4&gt;DAY(EOMONTH(DATE($D$2,$B$2,1),0)),"",IFERROR(SUMIFS(DATA_GOC!$H:$H,DATA_GOC!$A:$A,"BOM",DATA_GOC!$D:$D,$B301,DATA_GOC!$E:$E,"Dầu động cơ",DATA_GOC!$F:$F,"Xuất nội bộ từ téc",DATA_GOC!$B:$B,DATE($D$2,$B$2,R$4)),0))</f>
        <v>0</v>
      </c>
      <c r="S301" s="251">
        <f>IF(S$4&gt;DAY(EOMONTH(DATE($D$2,$B$2,1),0)),"",IFERROR(SUMIFS(DATA_GOC!$H:$H,DATA_GOC!$A:$A,"BOM",DATA_GOC!$D:$D,$B301,DATA_GOC!$E:$E,"Dầu động cơ",DATA_GOC!$F:$F,"Xuất nội bộ từ téc",DATA_GOC!$B:$B,DATE($D$2,$B$2,S$4)),0))</f>
        <v>0</v>
      </c>
      <c r="T301" s="251">
        <f>IF(T$4&gt;DAY(EOMONTH(DATE($D$2,$B$2,1),0)),"",IFERROR(SUMIFS(DATA_GOC!$H:$H,DATA_GOC!$A:$A,"BOM",DATA_GOC!$D:$D,$B301,DATA_GOC!$E:$E,"Dầu động cơ",DATA_GOC!$F:$F,"Xuất nội bộ từ téc",DATA_GOC!$B:$B,DATE($D$2,$B$2,T$4)),0))</f>
        <v>0</v>
      </c>
      <c r="U301" s="251">
        <f>IF(U$4&gt;DAY(EOMONTH(DATE($D$2,$B$2,1),0)),"",IFERROR(SUMIFS(DATA_GOC!$H:$H,DATA_GOC!$A:$A,"BOM",DATA_GOC!$D:$D,$B301,DATA_GOC!$E:$E,"Dầu động cơ",DATA_GOC!$F:$F,"Xuất nội bộ từ téc",DATA_GOC!$B:$B,DATE($D$2,$B$2,U$4)),0))</f>
        <v>0</v>
      </c>
      <c r="V301" s="251">
        <f>IF(V$4&gt;DAY(EOMONTH(DATE($D$2,$B$2,1),0)),"",IFERROR(SUMIFS(DATA_GOC!$H:$H,DATA_GOC!$A:$A,"BOM",DATA_GOC!$D:$D,$B301,DATA_GOC!$E:$E,"Dầu động cơ",DATA_GOC!$F:$F,"Xuất nội bộ từ téc",DATA_GOC!$B:$B,DATE($D$2,$B$2,V$4)),0))</f>
        <v>0</v>
      </c>
      <c r="W301" s="251">
        <f>IF(W$4&gt;DAY(EOMONTH(DATE($D$2,$B$2,1),0)),"",IFERROR(SUMIFS(DATA_GOC!$H:$H,DATA_GOC!$A:$A,"BOM",DATA_GOC!$D:$D,$B301,DATA_GOC!$E:$E,"Dầu động cơ",DATA_GOC!$F:$F,"Xuất nội bộ từ téc",DATA_GOC!$B:$B,DATE($D$2,$B$2,W$4)),0))</f>
        <v>0</v>
      </c>
      <c r="X301" s="251">
        <f>IF(X$4&gt;DAY(EOMONTH(DATE($D$2,$B$2,1),0)),"",IFERROR(SUMIFS(DATA_GOC!$H:$H,DATA_GOC!$A:$A,"BOM",DATA_GOC!$D:$D,$B301,DATA_GOC!$E:$E,"Dầu động cơ",DATA_GOC!$F:$F,"Xuất nội bộ từ téc",DATA_GOC!$B:$B,DATE($D$2,$B$2,X$4)),0))</f>
        <v>0</v>
      </c>
      <c r="Y301" s="251">
        <f>IF(Y$4&gt;DAY(EOMONTH(DATE($D$2,$B$2,1),0)),"",IFERROR(SUMIFS(DATA_GOC!$H:$H,DATA_GOC!$A:$A,"BOM",DATA_GOC!$D:$D,$B301,DATA_GOC!$E:$E,"Dầu động cơ",DATA_GOC!$F:$F,"Xuất nội bộ từ téc",DATA_GOC!$B:$B,DATE($D$2,$B$2,Y$4)),0))</f>
        <v>0</v>
      </c>
      <c r="Z301" s="251">
        <f>IF(Z$4&gt;DAY(EOMONTH(DATE($D$2,$B$2,1),0)),"",IFERROR(SUMIFS(DATA_GOC!$H:$H,DATA_GOC!$A:$A,"BOM",DATA_GOC!$D:$D,$B301,DATA_GOC!$E:$E,"Dầu động cơ",DATA_GOC!$F:$F,"Xuất nội bộ từ téc",DATA_GOC!$B:$B,DATE($D$2,$B$2,Z$4)),0))</f>
        <v>0</v>
      </c>
      <c r="AA301" s="251">
        <f>IF(AA$4&gt;DAY(EOMONTH(DATE($D$2,$B$2,1),0)),"",IFERROR(SUMIFS(DATA_GOC!$H:$H,DATA_GOC!$A:$A,"BOM",DATA_GOC!$D:$D,$B301,DATA_GOC!$E:$E,"Dầu động cơ",DATA_GOC!$F:$F,"Xuất nội bộ từ téc",DATA_GOC!$B:$B,DATE($D$2,$B$2,AA$4)),0))</f>
        <v>0</v>
      </c>
      <c r="AB301" s="251">
        <f>IF(AB$4&gt;DAY(EOMONTH(DATE($D$2,$B$2,1),0)),"",IFERROR(SUMIFS(DATA_GOC!$H:$H,DATA_GOC!$A:$A,"BOM",DATA_GOC!$D:$D,$B301,DATA_GOC!$E:$E,"Dầu động cơ",DATA_GOC!$F:$F,"Xuất nội bộ từ téc",DATA_GOC!$B:$B,DATE($D$2,$B$2,AB$4)),0))</f>
        <v>0</v>
      </c>
      <c r="AC301" s="251">
        <f>IF(AC$4&gt;DAY(EOMONTH(DATE($D$2,$B$2,1),0)),"",IFERROR(SUMIFS(DATA_GOC!$H:$H,DATA_GOC!$A:$A,"BOM",DATA_GOC!$D:$D,$B301,DATA_GOC!$E:$E,"Dầu động cơ",DATA_GOC!$F:$F,"Xuất nội bộ từ téc",DATA_GOC!$B:$B,DATE($D$2,$B$2,AC$4)),0))</f>
        <v>0</v>
      </c>
      <c r="AD301" s="251">
        <f>IF(AD$4&gt;DAY(EOMONTH(DATE($D$2,$B$2,1),0)),"",IFERROR(SUMIFS(DATA_GOC!$H:$H,DATA_GOC!$A:$A,"BOM",DATA_GOC!$D:$D,$B301,DATA_GOC!$E:$E,"Dầu động cơ",DATA_GOC!$F:$F,"Xuất nội bộ từ téc",DATA_GOC!$B:$B,DATE($D$2,$B$2,AD$4)),0))</f>
        <v>0</v>
      </c>
      <c r="AE301" s="251">
        <f>IF(AE$4&gt;DAY(EOMONTH(DATE($D$2,$B$2,1),0)),"",IFERROR(SUMIFS(DATA_GOC!$H:$H,DATA_GOC!$A:$A,"BOM",DATA_GOC!$D:$D,$B301,DATA_GOC!$E:$E,"Dầu động cơ",DATA_GOC!$F:$F,"Xuất nội bộ từ téc",DATA_GOC!$B:$B,DATE($D$2,$B$2,AE$4)),0))</f>
        <v>0</v>
      </c>
      <c r="AF301" s="251">
        <f>IF(AF$4&gt;DAY(EOMONTH(DATE($D$2,$B$2,1),0)),"",IFERROR(SUMIFS(DATA_GOC!$H:$H,DATA_GOC!$A:$A,"BOM",DATA_GOC!$D:$D,$B301,DATA_GOC!$E:$E,"Dầu động cơ",DATA_GOC!$F:$F,"Xuất nội bộ từ téc",DATA_GOC!$B:$B,DATE($D$2,$B$2,AF$4)),0))</f>
        <v>0</v>
      </c>
      <c r="AG301" s="251">
        <f>IF(AG$4&gt;DAY(EOMONTH(DATE($D$2,$B$2,1),0)),"",IFERROR(SUMIFS(DATA_GOC!$H:$H,DATA_GOC!$A:$A,"BOM",DATA_GOC!$D:$D,$B301,DATA_GOC!$E:$E,"Dầu động cơ",DATA_GOC!$F:$F,"Xuất nội bộ từ téc",DATA_GOC!$B:$B,DATE($D$2,$B$2,AG$4)),0))</f>
        <v>0</v>
      </c>
      <c r="AH301" s="252">
        <f t="shared" si="13"/>
        <v>0</v>
      </c>
      <c r="AI301" s="241"/>
      <c r="AJ301" s="242">
        <f>IF($B301="","",SUMIFS(TINH_TEC!$K$233:$K$9232,TINH_TEC!$H$233:$H$9232,$B301,TINH_TEC!$C$233:$C$9232,"Dầu động cơ",TINH_TEC!$F$233:$F$9232,$B$2,TINH_TEC!$G$233:$G$9232,$D$2,TINH_TEC!$B$233:$B$9232,"Đã chốt"))</f>
        <v>0</v>
      </c>
      <c r="AK301" s="242">
        <f>IF($B301="","",SUMIFS(TINH_TEC!$J$233:$J$9232,TINH_TEC!$H$233:$H$9232,$B301,TINH_TEC!$C$233:$C$9232,"Dầu động cơ",TINH_TEC!$F$233:$F$9232,$B$2,TINH_TEC!$G$233:$G$9232,$D$2,TINH_TEC!$B$233:$B$9232,"Đã chốt"))</f>
        <v>0</v>
      </c>
      <c r="AL301" s="242">
        <f t="shared" si="14"/>
        <v>0</v>
      </c>
    </row>
    <row r="302" ht="15.75" customHeight="1">
      <c r="A302" s="237">
        <f>IF($B302&lt;&gt;"",53,"")</f>
        <v>53</v>
      </c>
      <c r="B302" s="250" t="str">
        <f t="array" ref="B302">IFERROR(INDEX(DANH_MUC!$E:$E,56),"")</f>
        <v>Xúclật855H</v>
      </c>
      <c r="C302" s="251">
        <f>IF(C$4&gt;DAY(EOMONTH(DATE($D$2,$B$2,1),0)),"",IFERROR(SUMIFS(DATA_GOC!$H:$H,DATA_GOC!$A:$A,"BOM",DATA_GOC!$D:$D,$B302,DATA_GOC!$E:$E,"Dầu động cơ",DATA_GOC!$F:$F,"Xuất nội bộ từ téc",DATA_GOC!$B:$B,DATE($D$2,$B$2,C$4)),0))</f>
        <v>0</v>
      </c>
      <c r="D302" s="251">
        <f>IF(D$4&gt;DAY(EOMONTH(DATE($D$2,$B$2,1),0)),"",IFERROR(SUMIFS(DATA_GOC!$H:$H,DATA_GOC!$A:$A,"BOM",DATA_GOC!$D:$D,$B302,DATA_GOC!$E:$E,"Dầu động cơ",DATA_GOC!$F:$F,"Xuất nội bộ từ téc",DATA_GOC!$B:$B,DATE($D$2,$B$2,D$4)),0))</f>
        <v>0</v>
      </c>
      <c r="E302" s="251">
        <f>IF(E$4&gt;DAY(EOMONTH(DATE($D$2,$B$2,1),0)),"",IFERROR(SUMIFS(DATA_GOC!$H:$H,DATA_GOC!$A:$A,"BOM",DATA_GOC!$D:$D,$B302,DATA_GOC!$E:$E,"Dầu động cơ",DATA_GOC!$F:$F,"Xuất nội bộ từ téc",DATA_GOC!$B:$B,DATE($D$2,$B$2,E$4)),0))</f>
        <v>0</v>
      </c>
      <c r="F302" s="251">
        <f>IF(F$4&gt;DAY(EOMONTH(DATE($D$2,$B$2,1),0)),"",IFERROR(SUMIFS(DATA_GOC!$H:$H,DATA_GOC!$A:$A,"BOM",DATA_GOC!$D:$D,$B302,DATA_GOC!$E:$E,"Dầu động cơ",DATA_GOC!$F:$F,"Xuất nội bộ từ téc",DATA_GOC!$B:$B,DATE($D$2,$B$2,F$4)),0))</f>
        <v>0</v>
      </c>
      <c r="G302" s="251">
        <f>IF(G$4&gt;DAY(EOMONTH(DATE($D$2,$B$2,1),0)),"",IFERROR(SUMIFS(DATA_GOC!$H:$H,DATA_GOC!$A:$A,"BOM",DATA_GOC!$D:$D,$B302,DATA_GOC!$E:$E,"Dầu động cơ",DATA_GOC!$F:$F,"Xuất nội bộ từ téc",DATA_GOC!$B:$B,DATE($D$2,$B$2,G$4)),0))</f>
        <v>0</v>
      </c>
      <c r="H302" s="251">
        <f>IF(H$4&gt;DAY(EOMONTH(DATE($D$2,$B$2,1),0)),"",IFERROR(SUMIFS(DATA_GOC!$H:$H,DATA_GOC!$A:$A,"BOM",DATA_GOC!$D:$D,$B302,DATA_GOC!$E:$E,"Dầu động cơ",DATA_GOC!$F:$F,"Xuất nội bộ từ téc",DATA_GOC!$B:$B,DATE($D$2,$B$2,H$4)),0))</f>
        <v>0</v>
      </c>
      <c r="I302" s="251">
        <f>IF(I$4&gt;DAY(EOMONTH(DATE($D$2,$B$2,1),0)),"",IFERROR(SUMIFS(DATA_GOC!$H:$H,DATA_GOC!$A:$A,"BOM",DATA_GOC!$D:$D,$B302,DATA_GOC!$E:$E,"Dầu động cơ",DATA_GOC!$F:$F,"Xuất nội bộ từ téc",DATA_GOC!$B:$B,DATE($D$2,$B$2,I$4)),0))</f>
        <v>0</v>
      </c>
      <c r="J302" s="251">
        <f>IF(J$4&gt;DAY(EOMONTH(DATE($D$2,$B$2,1),0)),"",IFERROR(SUMIFS(DATA_GOC!$H:$H,DATA_GOC!$A:$A,"BOM",DATA_GOC!$D:$D,$B302,DATA_GOC!$E:$E,"Dầu động cơ",DATA_GOC!$F:$F,"Xuất nội bộ từ téc",DATA_GOC!$B:$B,DATE($D$2,$B$2,J$4)),0))</f>
        <v>0</v>
      </c>
      <c r="K302" s="251">
        <f>IF(K$4&gt;DAY(EOMONTH(DATE($D$2,$B$2,1),0)),"",IFERROR(SUMIFS(DATA_GOC!$H:$H,DATA_GOC!$A:$A,"BOM",DATA_GOC!$D:$D,$B302,DATA_GOC!$E:$E,"Dầu động cơ",DATA_GOC!$F:$F,"Xuất nội bộ từ téc",DATA_GOC!$B:$B,DATE($D$2,$B$2,K$4)),0))</f>
        <v>0</v>
      </c>
      <c r="L302" s="251">
        <f>IF(L$4&gt;DAY(EOMONTH(DATE($D$2,$B$2,1),0)),"",IFERROR(SUMIFS(DATA_GOC!$H:$H,DATA_GOC!$A:$A,"BOM",DATA_GOC!$D:$D,$B302,DATA_GOC!$E:$E,"Dầu động cơ",DATA_GOC!$F:$F,"Xuất nội bộ từ téc",DATA_GOC!$B:$B,DATE($D$2,$B$2,L$4)),0))</f>
        <v>0</v>
      </c>
      <c r="M302" s="251">
        <f>IF(M$4&gt;DAY(EOMONTH(DATE($D$2,$B$2,1),0)),"",IFERROR(SUMIFS(DATA_GOC!$H:$H,DATA_GOC!$A:$A,"BOM",DATA_GOC!$D:$D,$B302,DATA_GOC!$E:$E,"Dầu động cơ",DATA_GOC!$F:$F,"Xuất nội bộ từ téc",DATA_GOC!$B:$B,DATE($D$2,$B$2,M$4)),0))</f>
        <v>0</v>
      </c>
      <c r="N302" s="251">
        <f>IF(N$4&gt;DAY(EOMONTH(DATE($D$2,$B$2,1),0)),"",IFERROR(SUMIFS(DATA_GOC!$H:$H,DATA_GOC!$A:$A,"BOM",DATA_GOC!$D:$D,$B302,DATA_GOC!$E:$E,"Dầu động cơ",DATA_GOC!$F:$F,"Xuất nội bộ từ téc",DATA_GOC!$B:$B,DATE($D$2,$B$2,N$4)),0))</f>
        <v>0</v>
      </c>
      <c r="O302" s="251">
        <f>IF(O$4&gt;DAY(EOMONTH(DATE($D$2,$B$2,1),0)),"",IFERROR(SUMIFS(DATA_GOC!$H:$H,DATA_GOC!$A:$A,"BOM",DATA_GOC!$D:$D,$B302,DATA_GOC!$E:$E,"Dầu động cơ",DATA_GOC!$F:$F,"Xuất nội bộ từ téc",DATA_GOC!$B:$B,DATE($D$2,$B$2,O$4)),0))</f>
        <v>0</v>
      </c>
      <c r="P302" s="251">
        <f>IF(P$4&gt;DAY(EOMONTH(DATE($D$2,$B$2,1),0)),"",IFERROR(SUMIFS(DATA_GOC!$H:$H,DATA_GOC!$A:$A,"BOM",DATA_GOC!$D:$D,$B302,DATA_GOC!$E:$E,"Dầu động cơ",DATA_GOC!$F:$F,"Xuất nội bộ từ téc",DATA_GOC!$B:$B,DATE($D$2,$B$2,P$4)),0))</f>
        <v>0</v>
      </c>
      <c r="Q302" s="251">
        <f>IF(Q$4&gt;DAY(EOMONTH(DATE($D$2,$B$2,1),0)),"",IFERROR(SUMIFS(DATA_GOC!$H:$H,DATA_GOC!$A:$A,"BOM",DATA_GOC!$D:$D,$B302,DATA_GOC!$E:$E,"Dầu động cơ",DATA_GOC!$F:$F,"Xuất nội bộ từ téc",DATA_GOC!$B:$B,DATE($D$2,$B$2,Q$4)),0))</f>
        <v>0</v>
      </c>
      <c r="R302" s="251">
        <f>IF(R$4&gt;DAY(EOMONTH(DATE($D$2,$B$2,1),0)),"",IFERROR(SUMIFS(DATA_GOC!$H:$H,DATA_GOC!$A:$A,"BOM",DATA_GOC!$D:$D,$B302,DATA_GOC!$E:$E,"Dầu động cơ",DATA_GOC!$F:$F,"Xuất nội bộ từ téc",DATA_GOC!$B:$B,DATE($D$2,$B$2,R$4)),0))</f>
        <v>0</v>
      </c>
      <c r="S302" s="251">
        <f>IF(S$4&gt;DAY(EOMONTH(DATE($D$2,$B$2,1),0)),"",IFERROR(SUMIFS(DATA_GOC!$H:$H,DATA_GOC!$A:$A,"BOM",DATA_GOC!$D:$D,$B302,DATA_GOC!$E:$E,"Dầu động cơ",DATA_GOC!$F:$F,"Xuất nội bộ từ téc",DATA_GOC!$B:$B,DATE($D$2,$B$2,S$4)),0))</f>
        <v>0</v>
      </c>
      <c r="T302" s="251">
        <f>IF(T$4&gt;DAY(EOMONTH(DATE($D$2,$B$2,1),0)),"",IFERROR(SUMIFS(DATA_GOC!$H:$H,DATA_GOC!$A:$A,"BOM",DATA_GOC!$D:$D,$B302,DATA_GOC!$E:$E,"Dầu động cơ",DATA_GOC!$F:$F,"Xuất nội bộ từ téc",DATA_GOC!$B:$B,DATE($D$2,$B$2,T$4)),0))</f>
        <v>0</v>
      </c>
      <c r="U302" s="251">
        <f>IF(U$4&gt;DAY(EOMONTH(DATE($D$2,$B$2,1),0)),"",IFERROR(SUMIFS(DATA_GOC!$H:$H,DATA_GOC!$A:$A,"BOM",DATA_GOC!$D:$D,$B302,DATA_GOC!$E:$E,"Dầu động cơ",DATA_GOC!$F:$F,"Xuất nội bộ từ téc",DATA_GOC!$B:$B,DATE($D$2,$B$2,U$4)),0))</f>
        <v>0</v>
      </c>
      <c r="V302" s="251">
        <f>IF(V$4&gt;DAY(EOMONTH(DATE($D$2,$B$2,1),0)),"",IFERROR(SUMIFS(DATA_GOC!$H:$H,DATA_GOC!$A:$A,"BOM",DATA_GOC!$D:$D,$B302,DATA_GOC!$E:$E,"Dầu động cơ",DATA_GOC!$F:$F,"Xuất nội bộ từ téc",DATA_GOC!$B:$B,DATE($D$2,$B$2,V$4)),0))</f>
        <v>0</v>
      </c>
      <c r="W302" s="251">
        <f>IF(W$4&gt;DAY(EOMONTH(DATE($D$2,$B$2,1),0)),"",IFERROR(SUMIFS(DATA_GOC!$H:$H,DATA_GOC!$A:$A,"BOM",DATA_GOC!$D:$D,$B302,DATA_GOC!$E:$E,"Dầu động cơ",DATA_GOC!$F:$F,"Xuất nội bộ từ téc",DATA_GOC!$B:$B,DATE($D$2,$B$2,W$4)),0))</f>
        <v>0</v>
      </c>
      <c r="X302" s="251">
        <f>IF(X$4&gt;DAY(EOMONTH(DATE($D$2,$B$2,1),0)),"",IFERROR(SUMIFS(DATA_GOC!$H:$H,DATA_GOC!$A:$A,"BOM",DATA_GOC!$D:$D,$B302,DATA_GOC!$E:$E,"Dầu động cơ",DATA_GOC!$F:$F,"Xuất nội bộ từ téc",DATA_GOC!$B:$B,DATE($D$2,$B$2,X$4)),0))</f>
        <v>0</v>
      </c>
      <c r="Y302" s="251">
        <f>IF(Y$4&gt;DAY(EOMONTH(DATE($D$2,$B$2,1),0)),"",IFERROR(SUMIFS(DATA_GOC!$H:$H,DATA_GOC!$A:$A,"BOM",DATA_GOC!$D:$D,$B302,DATA_GOC!$E:$E,"Dầu động cơ",DATA_GOC!$F:$F,"Xuất nội bộ từ téc",DATA_GOC!$B:$B,DATE($D$2,$B$2,Y$4)),0))</f>
        <v>0</v>
      </c>
      <c r="Z302" s="251">
        <f>IF(Z$4&gt;DAY(EOMONTH(DATE($D$2,$B$2,1),0)),"",IFERROR(SUMIFS(DATA_GOC!$H:$H,DATA_GOC!$A:$A,"BOM",DATA_GOC!$D:$D,$B302,DATA_GOC!$E:$E,"Dầu động cơ",DATA_GOC!$F:$F,"Xuất nội bộ từ téc",DATA_GOC!$B:$B,DATE($D$2,$B$2,Z$4)),0))</f>
        <v>0</v>
      </c>
      <c r="AA302" s="251">
        <f>IF(AA$4&gt;DAY(EOMONTH(DATE($D$2,$B$2,1),0)),"",IFERROR(SUMIFS(DATA_GOC!$H:$H,DATA_GOC!$A:$A,"BOM",DATA_GOC!$D:$D,$B302,DATA_GOC!$E:$E,"Dầu động cơ",DATA_GOC!$F:$F,"Xuất nội bộ từ téc",DATA_GOC!$B:$B,DATE($D$2,$B$2,AA$4)),0))</f>
        <v>0</v>
      </c>
      <c r="AB302" s="251">
        <f>IF(AB$4&gt;DAY(EOMONTH(DATE($D$2,$B$2,1),0)),"",IFERROR(SUMIFS(DATA_GOC!$H:$H,DATA_GOC!$A:$A,"BOM",DATA_GOC!$D:$D,$B302,DATA_GOC!$E:$E,"Dầu động cơ",DATA_GOC!$F:$F,"Xuất nội bộ từ téc",DATA_GOC!$B:$B,DATE($D$2,$B$2,AB$4)),0))</f>
        <v>0</v>
      </c>
      <c r="AC302" s="251">
        <f>IF(AC$4&gt;DAY(EOMONTH(DATE($D$2,$B$2,1),0)),"",IFERROR(SUMIFS(DATA_GOC!$H:$H,DATA_GOC!$A:$A,"BOM",DATA_GOC!$D:$D,$B302,DATA_GOC!$E:$E,"Dầu động cơ",DATA_GOC!$F:$F,"Xuất nội bộ từ téc",DATA_GOC!$B:$B,DATE($D$2,$B$2,AC$4)),0))</f>
        <v>0</v>
      </c>
      <c r="AD302" s="251">
        <f>IF(AD$4&gt;DAY(EOMONTH(DATE($D$2,$B$2,1),0)),"",IFERROR(SUMIFS(DATA_GOC!$H:$H,DATA_GOC!$A:$A,"BOM",DATA_GOC!$D:$D,$B302,DATA_GOC!$E:$E,"Dầu động cơ",DATA_GOC!$F:$F,"Xuất nội bộ từ téc",DATA_GOC!$B:$B,DATE($D$2,$B$2,AD$4)),0))</f>
        <v>0</v>
      </c>
      <c r="AE302" s="251">
        <f>IF(AE$4&gt;DAY(EOMONTH(DATE($D$2,$B$2,1),0)),"",IFERROR(SUMIFS(DATA_GOC!$H:$H,DATA_GOC!$A:$A,"BOM",DATA_GOC!$D:$D,$B302,DATA_GOC!$E:$E,"Dầu động cơ",DATA_GOC!$F:$F,"Xuất nội bộ từ téc",DATA_GOC!$B:$B,DATE($D$2,$B$2,AE$4)),0))</f>
        <v>0</v>
      </c>
      <c r="AF302" s="251">
        <f>IF(AF$4&gt;DAY(EOMONTH(DATE($D$2,$B$2,1),0)),"",IFERROR(SUMIFS(DATA_GOC!$H:$H,DATA_GOC!$A:$A,"BOM",DATA_GOC!$D:$D,$B302,DATA_GOC!$E:$E,"Dầu động cơ",DATA_GOC!$F:$F,"Xuất nội bộ từ téc",DATA_GOC!$B:$B,DATE($D$2,$B$2,AF$4)),0))</f>
        <v>0</v>
      </c>
      <c r="AG302" s="251">
        <f>IF(AG$4&gt;DAY(EOMONTH(DATE($D$2,$B$2,1),0)),"",IFERROR(SUMIFS(DATA_GOC!$H:$H,DATA_GOC!$A:$A,"BOM",DATA_GOC!$D:$D,$B302,DATA_GOC!$E:$E,"Dầu động cơ",DATA_GOC!$F:$F,"Xuất nội bộ từ téc",DATA_GOC!$B:$B,DATE($D$2,$B$2,AG$4)),0))</f>
        <v>0</v>
      </c>
      <c r="AH302" s="252">
        <f t="shared" si="13"/>
        <v>0</v>
      </c>
      <c r="AI302" s="241"/>
      <c r="AJ302" s="242">
        <f>IF($B302="","",SUMIFS(TINH_TEC!$K$233:$K$9232,TINH_TEC!$H$233:$H$9232,$B302,TINH_TEC!$C$233:$C$9232,"Dầu động cơ",TINH_TEC!$F$233:$F$9232,$B$2,TINH_TEC!$G$233:$G$9232,$D$2,TINH_TEC!$B$233:$B$9232,"Đã chốt"))</f>
        <v>0</v>
      </c>
      <c r="AK302" s="242">
        <f>IF($B302="","",SUMIFS(TINH_TEC!$J$233:$J$9232,TINH_TEC!$H$233:$H$9232,$B302,TINH_TEC!$C$233:$C$9232,"Dầu động cơ",TINH_TEC!$F$233:$F$9232,$B$2,TINH_TEC!$G$233:$G$9232,$D$2,TINH_TEC!$B$233:$B$9232,"Đã chốt"))</f>
        <v>0</v>
      </c>
      <c r="AL302" s="242">
        <f t="shared" si="14"/>
        <v>0</v>
      </c>
    </row>
    <row r="303" ht="15.75" customHeight="1">
      <c r="A303" s="237">
        <f>IF($B303&lt;&gt;"",54,"")</f>
        <v>54</v>
      </c>
      <c r="B303" s="250" t="str">
        <f t="array" ref="B303">IFERROR(INDEX(DANH_MUC!$E:$E,57),"")</f>
        <v>Xúclật855N</v>
      </c>
      <c r="C303" s="251">
        <f>IF(C$4&gt;DAY(EOMONTH(DATE($D$2,$B$2,1),0)),"",IFERROR(SUMIFS(DATA_GOC!$H:$H,DATA_GOC!$A:$A,"BOM",DATA_GOC!$D:$D,$B303,DATA_GOC!$E:$E,"Dầu động cơ",DATA_GOC!$F:$F,"Xuất nội bộ từ téc",DATA_GOC!$B:$B,DATE($D$2,$B$2,C$4)),0))</f>
        <v>0</v>
      </c>
      <c r="D303" s="251">
        <f>IF(D$4&gt;DAY(EOMONTH(DATE($D$2,$B$2,1),0)),"",IFERROR(SUMIFS(DATA_GOC!$H:$H,DATA_GOC!$A:$A,"BOM",DATA_GOC!$D:$D,$B303,DATA_GOC!$E:$E,"Dầu động cơ",DATA_GOC!$F:$F,"Xuất nội bộ từ téc",DATA_GOC!$B:$B,DATE($D$2,$B$2,D$4)),0))</f>
        <v>0</v>
      </c>
      <c r="E303" s="251">
        <f>IF(E$4&gt;DAY(EOMONTH(DATE($D$2,$B$2,1),0)),"",IFERROR(SUMIFS(DATA_GOC!$H:$H,DATA_GOC!$A:$A,"BOM",DATA_GOC!$D:$D,$B303,DATA_GOC!$E:$E,"Dầu động cơ",DATA_GOC!$F:$F,"Xuất nội bộ từ téc",DATA_GOC!$B:$B,DATE($D$2,$B$2,E$4)),0))</f>
        <v>0</v>
      </c>
      <c r="F303" s="251">
        <f>IF(F$4&gt;DAY(EOMONTH(DATE($D$2,$B$2,1),0)),"",IFERROR(SUMIFS(DATA_GOC!$H:$H,DATA_GOC!$A:$A,"BOM",DATA_GOC!$D:$D,$B303,DATA_GOC!$E:$E,"Dầu động cơ",DATA_GOC!$F:$F,"Xuất nội bộ từ téc",DATA_GOC!$B:$B,DATE($D$2,$B$2,F$4)),0))</f>
        <v>0</v>
      </c>
      <c r="G303" s="251">
        <f>IF(G$4&gt;DAY(EOMONTH(DATE($D$2,$B$2,1),0)),"",IFERROR(SUMIFS(DATA_GOC!$H:$H,DATA_GOC!$A:$A,"BOM",DATA_GOC!$D:$D,$B303,DATA_GOC!$E:$E,"Dầu động cơ",DATA_GOC!$F:$F,"Xuất nội bộ từ téc",DATA_GOC!$B:$B,DATE($D$2,$B$2,G$4)),0))</f>
        <v>0</v>
      </c>
      <c r="H303" s="251">
        <f>IF(H$4&gt;DAY(EOMONTH(DATE($D$2,$B$2,1),0)),"",IFERROR(SUMIFS(DATA_GOC!$H:$H,DATA_GOC!$A:$A,"BOM",DATA_GOC!$D:$D,$B303,DATA_GOC!$E:$E,"Dầu động cơ",DATA_GOC!$F:$F,"Xuất nội bộ từ téc",DATA_GOC!$B:$B,DATE($D$2,$B$2,H$4)),0))</f>
        <v>0</v>
      </c>
      <c r="I303" s="251">
        <f>IF(I$4&gt;DAY(EOMONTH(DATE($D$2,$B$2,1),0)),"",IFERROR(SUMIFS(DATA_GOC!$H:$H,DATA_GOC!$A:$A,"BOM",DATA_GOC!$D:$D,$B303,DATA_GOC!$E:$E,"Dầu động cơ",DATA_GOC!$F:$F,"Xuất nội bộ từ téc",DATA_GOC!$B:$B,DATE($D$2,$B$2,I$4)),0))</f>
        <v>0</v>
      </c>
      <c r="J303" s="251">
        <f>IF(J$4&gt;DAY(EOMONTH(DATE($D$2,$B$2,1),0)),"",IFERROR(SUMIFS(DATA_GOC!$H:$H,DATA_GOC!$A:$A,"BOM",DATA_GOC!$D:$D,$B303,DATA_GOC!$E:$E,"Dầu động cơ",DATA_GOC!$F:$F,"Xuất nội bộ từ téc",DATA_GOC!$B:$B,DATE($D$2,$B$2,J$4)),0))</f>
        <v>0</v>
      </c>
      <c r="K303" s="251">
        <f>IF(K$4&gt;DAY(EOMONTH(DATE($D$2,$B$2,1),0)),"",IFERROR(SUMIFS(DATA_GOC!$H:$H,DATA_GOC!$A:$A,"BOM",DATA_GOC!$D:$D,$B303,DATA_GOC!$E:$E,"Dầu động cơ",DATA_GOC!$F:$F,"Xuất nội bộ từ téc",DATA_GOC!$B:$B,DATE($D$2,$B$2,K$4)),0))</f>
        <v>0</v>
      </c>
      <c r="L303" s="251">
        <f>IF(L$4&gt;DAY(EOMONTH(DATE($D$2,$B$2,1),0)),"",IFERROR(SUMIFS(DATA_GOC!$H:$H,DATA_GOC!$A:$A,"BOM",DATA_GOC!$D:$D,$B303,DATA_GOC!$E:$E,"Dầu động cơ",DATA_GOC!$F:$F,"Xuất nội bộ từ téc",DATA_GOC!$B:$B,DATE($D$2,$B$2,L$4)),0))</f>
        <v>0</v>
      </c>
      <c r="M303" s="251">
        <f>IF(M$4&gt;DAY(EOMONTH(DATE($D$2,$B$2,1),0)),"",IFERROR(SUMIFS(DATA_GOC!$H:$H,DATA_GOC!$A:$A,"BOM",DATA_GOC!$D:$D,$B303,DATA_GOC!$E:$E,"Dầu động cơ",DATA_GOC!$F:$F,"Xuất nội bộ từ téc",DATA_GOC!$B:$B,DATE($D$2,$B$2,M$4)),0))</f>
        <v>0</v>
      </c>
      <c r="N303" s="251">
        <f>IF(N$4&gt;DAY(EOMONTH(DATE($D$2,$B$2,1),0)),"",IFERROR(SUMIFS(DATA_GOC!$H:$H,DATA_GOC!$A:$A,"BOM",DATA_GOC!$D:$D,$B303,DATA_GOC!$E:$E,"Dầu động cơ",DATA_GOC!$F:$F,"Xuất nội bộ từ téc",DATA_GOC!$B:$B,DATE($D$2,$B$2,N$4)),0))</f>
        <v>0</v>
      </c>
      <c r="O303" s="251">
        <f>IF(O$4&gt;DAY(EOMONTH(DATE($D$2,$B$2,1),0)),"",IFERROR(SUMIFS(DATA_GOC!$H:$H,DATA_GOC!$A:$A,"BOM",DATA_GOC!$D:$D,$B303,DATA_GOC!$E:$E,"Dầu động cơ",DATA_GOC!$F:$F,"Xuất nội bộ từ téc",DATA_GOC!$B:$B,DATE($D$2,$B$2,O$4)),0))</f>
        <v>0</v>
      </c>
      <c r="P303" s="251">
        <f>IF(P$4&gt;DAY(EOMONTH(DATE($D$2,$B$2,1),0)),"",IFERROR(SUMIFS(DATA_GOC!$H:$H,DATA_GOC!$A:$A,"BOM",DATA_GOC!$D:$D,$B303,DATA_GOC!$E:$E,"Dầu động cơ",DATA_GOC!$F:$F,"Xuất nội bộ từ téc",DATA_GOC!$B:$B,DATE($D$2,$B$2,P$4)),0))</f>
        <v>0</v>
      </c>
      <c r="Q303" s="251">
        <f>IF(Q$4&gt;DAY(EOMONTH(DATE($D$2,$B$2,1),0)),"",IFERROR(SUMIFS(DATA_GOC!$H:$H,DATA_GOC!$A:$A,"BOM",DATA_GOC!$D:$D,$B303,DATA_GOC!$E:$E,"Dầu động cơ",DATA_GOC!$F:$F,"Xuất nội bộ từ téc",DATA_GOC!$B:$B,DATE($D$2,$B$2,Q$4)),0))</f>
        <v>0</v>
      </c>
      <c r="R303" s="251">
        <f>IF(R$4&gt;DAY(EOMONTH(DATE($D$2,$B$2,1),0)),"",IFERROR(SUMIFS(DATA_GOC!$H:$H,DATA_GOC!$A:$A,"BOM",DATA_GOC!$D:$D,$B303,DATA_GOC!$E:$E,"Dầu động cơ",DATA_GOC!$F:$F,"Xuất nội bộ từ téc",DATA_GOC!$B:$B,DATE($D$2,$B$2,R$4)),0))</f>
        <v>0</v>
      </c>
      <c r="S303" s="251">
        <f>IF(S$4&gt;DAY(EOMONTH(DATE($D$2,$B$2,1),0)),"",IFERROR(SUMIFS(DATA_GOC!$H:$H,DATA_GOC!$A:$A,"BOM",DATA_GOC!$D:$D,$B303,DATA_GOC!$E:$E,"Dầu động cơ",DATA_GOC!$F:$F,"Xuất nội bộ từ téc",DATA_GOC!$B:$B,DATE($D$2,$B$2,S$4)),0))</f>
        <v>0</v>
      </c>
      <c r="T303" s="251">
        <f>IF(T$4&gt;DAY(EOMONTH(DATE($D$2,$B$2,1),0)),"",IFERROR(SUMIFS(DATA_GOC!$H:$H,DATA_GOC!$A:$A,"BOM",DATA_GOC!$D:$D,$B303,DATA_GOC!$E:$E,"Dầu động cơ",DATA_GOC!$F:$F,"Xuất nội bộ từ téc",DATA_GOC!$B:$B,DATE($D$2,$B$2,T$4)),0))</f>
        <v>0</v>
      </c>
      <c r="U303" s="251">
        <f>IF(U$4&gt;DAY(EOMONTH(DATE($D$2,$B$2,1),0)),"",IFERROR(SUMIFS(DATA_GOC!$H:$H,DATA_GOC!$A:$A,"BOM",DATA_GOC!$D:$D,$B303,DATA_GOC!$E:$E,"Dầu động cơ",DATA_GOC!$F:$F,"Xuất nội bộ từ téc",DATA_GOC!$B:$B,DATE($D$2,$B$2,U$4)),0))</f>
        <v>0</v>
      </c>
      <c r="V303" s="251">
        <f>IF(V$4&gt;DAY(EOMONTH(DATE($D$2,$B$2,1),0)),"",IFERROR(SUMIFS(DATA_GOC!$H:$H,DATA_GOC!$A:$A,"BOM",DATA_GOC!$D:$D,$B303,DATA_GOC!$E:$E,"Dầu động cơ",DATA_GOC!$F:$F,"Xuất nội bộ từ téc",DATA_GOC!$B:$B,DATE($D$2,$B$2,V$4)),0))</f>
        <v>0</v>
      </c>
      <c r="W303" s="251">
        <f>IF(W$4&gt;DAY(EOMONTH(DATE($D$2,$B$2,1),0)),"",IFERROR(SUMIFS(DATA_GOC!$H:$H,DATA_GOC!$A:$A,"BOM",DATA_GOC!$D:$D,$B303,DATA_GOC!$E:$E,"Dầu động cơ",DATA_GOC!$F:$F,"Xuất nội bộ từ téc",DATA_GOC!$B:$B,DATE($D$2,$B$2,W$4)),0))</f>
        <v>0</v>
      </c>
      <c r="X303" s="251">
        <f>IF(X$4&gt;DAY(EOMONTH(DATE($D$2,$B$2,1),0)),"",IFERROR(SUMIFS(DATA_GOC!$H:$H,DATA_GOC!$A:$A,"BOM",DATA_GOC!$D:$D,$B303,DATA_GOC!$E:$E,"Dầu động cơ",DATA_GOC!$F:$F,"Xuất nội bộ từ téc",DATA_GOC!$B:$B,DATE($D$2,$B$2,X$4)),0))</f>
        <v>0</v>
      </c>
      <c r="Y303" s="251">
        <f>IF(Y$4&gt;DAY(EOMONTH(DATE($D$2,$B$2,1),0)),"",IFERROR(SUMIFS(DATA_GOC!$H:$H,DATA_GOC!$A:$A,"BOM",DATA_GOC!$D:$D,$B303,DATA_GOC!$E:$E,"Dầu động cơ",DATA_GOC!$F:$F,"Xuất nội bộ từ téc",DATA_GOC!$B:$B,DATE($D$2,$B$2,Y$4)),0))</f>
        <v>0</v>
      </c>
      <c r="Z303" s="251">
        <f>IF(Z$4&gt;DAY(EOMONTH(DATE($D$2,$B$2,1),0)),"",IFERROR(SUMIFS(DATA_GOC!$H:$H,DATA_GOC!$A:$A,"BOM",DATA_GOC!$D:$D,$B303,DATA_GOC!$E:$E,"Dầu động cơ",DATA_GOC!$F:$F,"Xuất nội bộ từ téc",DATA_GOC!$B:$B,DATE($D$2,$B$2,Z$4)),0))</f>
        <v>0</v>
      </c>
      <c r="AA303" s="251">
        <f>IF(AA$4&gt;DAY(EOMONTH(DATE($D$2,$B$2,1),0)),"",IFERROR(SUMIFS(DATA_GOC!$H:$H,DATA_GOC!$A:$A,"BOM",DATA_GOC!$D:$D,$B303,DATA_GOC!$E:$E,"Dầu động cơ",DATA_GOC!$F:$F,"Xuất nội bộ từ téc",DATA_GOC!$B:$B,DATE($D$2,$B$2,AA$4)),0))</f>
        <v>0</v>
      </c>
      <c r="AB303" s="251">
        <f>IF(AB$4&gt;DAY(EOMONTH(DATE($D$2,$B$2,1),0)),"",IFERROR(SUMIFS(DATA_GOC!$H:$H,DATA_GOC!$A:$A,"BOM",DATA_GOC!$D:$D,$B303,DATA_GOC!$E:$E,"Dầu động cơ",DATA_GOC!$F:$F,"Xuất nội bộ từ téc",DATA_GOC!$B:$B,DATE($D$2,$B$2,AB$4)),0))</f>
        <v>0</v>
      </c>
      <c r="AC303" s="251">
        <f>IF(AC$4&gt;DAY(EOMONTH(DATE($D$2,$B$2,1),0)),"",IFERROR(SUMIFS(DATA_GOC!$H:$H,DATA_GOC!$A:$A,"BOM",DATA_GOC!$D:$D,$B303,DATA_GOC!$E:$E,"Dầu động cơ",DATA_GOC!$F:$F,"Xuất nội bộ từ téc",DATA_GOC!$B:$B,DATE($D$2,$B$2,AC$4)),0))</f>
        <v>0</v>
      </c>
      <c r="AD303" s="251">
        <f>IF(AD$4&gt;DAY(EOMONTH(DATE($D$2,$B$2,1),0)),"",IFERROR(SUMIFS(DATA_GOC!$H:$H,DATA_GOC!$A:$A,"BOM",DATA_GOC!$D:$D,$B303,DATA_GOC!$E:$E,"Dầu động cơ",DATA_GOC!$F:$F,"Xuất nội bộ từ téc",DATA_GOC!$B:$B,DATE($D$2,$B$2,AD$4)),0))</f>
        <v>0</v>
      </c>
      <c r="AE303" s="251">
        <f>IF(AE$4&gt;DAY(EOMONTH(DATE($D$2,$B$2,1),0)),"",IFERROR(SUMIFS(DATA_GOC!$H:$H,DATA_GOC!$A:$A,"BOM",DATA_GOC!$D:$D,$B303,DATA_GOC!$E:$E,"Dầu động cơ",DATA_GOC!$F:$F,"Xuất nội bộ từ téc",DATA_GOC!$B:$B,DATE($D$2,$B$2,AE$4)),0))</f>
        <v>0</v>
      </c>
      <c r="AF303" s="251">
        <f>IF(AF$4&gt;DAY(EOMONTH(DATE($D$2,$B$2,1),0)),"",IFERROR(SUMIFS(DATA_GOC!$H:$H,DATA_GOC!$A:$A,"BOM",DATA_GOC!$D:$D,$B303,DATA_GOC!$E:$E,"Dầu động cơ",DATA_GOC!$F:$F,"Xuất nội bộ từ téc",DATA_GOC!$B:$B,DATE($D$2,$B$2,AF$4)),0))</f>
        <v>0</v>
      </c>
      <c r="AG303" s="251">
        <f>IF(AG$4&gt;DAY(EOMONTH(DATE($D$2,$B$2,1),0)),"",IFERROR(SUMIFS(DATA_GOC!$H:$H,DATA_GOC!$A:$A,"BOM",DATA_GOC!$D:$D,$B303,DATA_GOC!$E:$E,"Dầu động cơ",DATA_GOC!$F:$F,"Xuất nội bộ từ téc",DATA_GOC!$B:$B,DATE($D$2,$B$2,AG$4)),0))</f>
        <v>0</v>
      </c>
      <c r="AH303" s="252">
        <f t="shared" si="13"/>
        <v>0</v>
      </c>
      <c r="AI303" s="241"/>
      <c r="AJ303" s="242">
        <f>IF($B303="","",SUMIFS(TINH_TEC!$K$233:$K$9232,TINH_TEC!$H$233:$H$9232,$B303,TINH_TEC!$C$233:$C$9232,"Dầu động cơ",TINH_TEC!$F$233:$F$9232,$B$2,TINH_TEC!$G$233:$G$9232,$D$2,TINH_TEC!$B$233:$B$9232,"Đã chốt"))</f>
        <v>0</v>
      </c>
      <c r="AK303" s="242">
        <f>IF($B303="","",SUMIFS(TINH_TEC!$J$233:$J$9232,TINH_TEC!$H$233:$H$9232,$B303,TINH_TEC!$C$233:$C$9232,"Dầu động cơ",TINH_TEC!$F$233:$F$9232,$B$2,TINH_TEC!$G$233:$G$9232,$D$2,TINH_TEC!$B$233:$B$9232,"Đã chốt"))</f>
        <v>0</v>
      </c>
      <c r="AL303" s="242">
        <f t="shared" si="14"/>
        <v>0</v>
      </c>
    </row>
    <row r="304" ht="15.75" customHeight="1">
      <c r="A304" s="237">
        <f>IF($B304&lt;&gt;"",55,"")</f>
        <v>55</v>
      </c>
      <c r="B304" s="250" t="str">
        <f t="array" ref="B304">IFERROR(INDEX(DANH_MUC!$E:$E,58),"")</f>
        <v>Cát nghiền</v>
      </c>
      <c r="C304" s="251">
        <f>IF(C$4&gt;DAY(EOMONTH(DATE($D$2,$B$2,1),0)),"",IFERROR(SUMIFS(DATA_GOC!$H:$H,DATA_GOC!$A:$A,"BOM",DATA_GOC!$D:$D,$B304,DATA_GOC!$E:$E,"Dầu động cơ",DATA_GOC!$F:$F,"Xuất nội bộ từ téc",DATA_GOC!$B:$B,DATE($D$2,$B$2,C$4)),0))</f>
        <v>0</v>
      </c>
      <c r="D304" s="251">
        <f>IF(D$4&gt;DAY(EOMONTH(DATE($D$2,$B$2,1),0)),"",IFERROR(SUMIFS(DATA_GOC!$H:$H,DATA_GOC!$A:$A,"BOM",DATA_GOC!$D:$D,$B304,DATA_GOC!$E:$E,"Dầu động cơ",DATA_GOC!$F:$F,"Xuất nội bộ từ téc",DATA_GOC!$B:$B,DATE($D$2,$B$2,D$4)),0))</f>
        <v>0</v>
      </c>
      <c r="E304" s="251">
        <f>IF(E$4&gt;DAY(EOMONTH(DATE($D$2,$B$2,1),0)),"",IFERROR(SUMIFS(DATA_GOC!$H:$H,DATA_GOC!$A:$A,"BOM",DATA_GOC!$D:$D,$B304,DATA_GOC!$E:$E,"Dầu động cơ",DATA_GOC!$F:$F,"Xuất nội bộ từ téc",DATA_GOC!$B:$B,DATE($D$2,$B$2,E$4)),0))</f>
        <v>0</v>
      </c>
      <c r="F304" s="251">
        <f>IF(F$4&gt;DAY(EOMONTH(DATE($D$2,$B$2,1),0)),"",IFERROR(SUMIFS(DATA_GOC!$H:$H,DATA_GOC!$A:$A,"BOM",DATA_GOC!$D:$D,$B304,DATA_GOC!$E:$E,"Dầu động cơ",DATA_GOC!$F:$F,"Xuất nội bộ từ téc",DATA_GOC!$B:$B,DATE($D$2,$B$2,F$4)),0))</f>
        <v>0</v>
      </c>
      <c r="G304" s="251">
        <f>IF(G$4&gt;DAY(EOMONTH(DATE($D$2,$B$2,1),0)),"",IFERROR(SUMIFS(DATA_GOC!$H:$H,DATA_GOC!$A:$A,"BOM",DATA_GOC!$D:$D,$B304,DATA_GOC!$E:$E,"Dầu động cơ",DATA_GOC!$F:$F,"Xuất nội bộ từ téc",DATA_GOC!$B:$B,DATE($D$2,$B$2,G$4)),0))</f>
        <v>0</v>
      </c>
      <c r="H304" s="251">
        <f>IF(H$4&gt;DAY(EOMONTH(DATE($D$2,$B$2,1),0)),"",IFERROR(SUMIFS(DATA_GOC!$H:$H,DATA_GOC!$A:$A,"BOM",DATA_GOC!$D:$D,$B304,DATA_GOC!$E:$E,"Dầu động cơ",DATA_GOC!$F:$F,"Xuất nội bộ từ téc",DATA_GOC!$B:$B,DATE($D$2,$B$2,H$4)),0))</f>
        <v>0</v>
      </c>
      <c r="I304" s="251">
        <f>IF(I$4&gt;DAY(EOMONTH(DATE($D$2,$B$2,1),0)),"",IFERROR(SUMIFS(DATA_GOC!$H:$H,DATA_GOC!$A:$A,"BOM",DATA_GOC!$D:$D,$B304,DATA_GOC!$E:$E,"Dầu động cơ",DATA_GOC!$F:$F,"Xuất nội bộ từ téc",DATA_GOC!$B:$B,DATE($D$2,$B$2,I$4)),0))</f>
        <v>0</v>
      </c>
      <c r="J304" s="251">
        <f>IF(J$4&gt;DAY(EOMONTH(DATE($D$2,$B$2,1),0)),"",IFERROR(SUMIFS(DATA_GOC!$H:$H,DATA_GOC!$A:$A,"BOM",DATA_GOC!$D:$D,$B304,DATA_GOC!$E:$E,"Dầu động cơ",DATA_GOC!$F:$F,"Xuất nội bộ từ téc",DATA_GOC!$B:$B,DATE($D$2,$B$2,J$4)),0))</f>
        <v>0</v>
      </c>
      <c r="K304" s="251">
        <f>IF(K$4&gt;DAY(EOMONTH(DATE($D$2,$B$2,1),0)),"",IFERROR(SUMIFS(DATA_GOC!$H:$H,DATA_GOC!$A:$A,"BOM",DATA_GOC!$D:$D,$B304,DATA_GOC!$E:$E,"Dầu động cơ",DATA_GOC!$F:$F,"Xuất nội bộ từ téc",DATA_GOC!$B:$B,DATE($D$2,$B$2,K$4)),0))</f>
        <v>0</v>
      </c>
      <c r="L304" s="251">
        <f>IF(L$4&gt;DAY(EOMONTH(DATE($D$2,$B$2,1),0)),"",IFERROR(SUMIFS(DATA_GOC!$H:$H,DATA_GOC!$A:$A,"BOM",DATA_GOC!$D:$D,$B304,DATA_GOC!$E:$E,"Dầu động cơ",DATA_GOC!$F:$F,"Xuất nội bộ từ téc",DATA_GOC!$B:$B,DATE($D$2,$B$2,L$4)),0))</f>
        <v>0</v>
      </c>
      <c r="M304" s="251">
        <f>IF(M$4&gt;DAY(EOMONTH(DATE($D$2,$B$2,1),0)),"",IFERROR(SUMIFS(DATA_GOC!$H:$H,DATA_GOC!$A:$A,"BOM",DATA_GOC!$D:$D,$B304,DATA_GOC!$E:$E,"Dầu động cơ",DATA_GOC!$F:$F,"Xuất nội bộ từ téc",DATA_GOC!$B:$B,DATE($D$2,$B$2,M$4)),0))</f>
        <v>0</v>
      </c>
      <c r="N304" s="251">
        <f>IF(N$4&gt;DAY(EOMONTH(DATE($D$2,$B$2,1),0)),"",IFERROR(SUMIFS(DATA_GOC!$H:$H,DATA_GOC!$A:$A,"BOM",DATA_GOC!$D:$D,$B304,DATA_GOC!$E:$E,"Dầu động cơ",DATA_GOC!$F:$F,"Xuất nội bộ từ téc",DATA_GOC!$B:$B,DATE($D$2,$B$2,N$4)),0))</f>
        <v>0</v>
      </c>
      <c r="O304" s="251">
        <f>IF(O$4&gt;DAY(EOMONTH(DATE($D$2,$B$2,1),0)),"",IFERROR(SUMIFS(DATA_GOC!$H:$H,DATA_GOC!$A:$A,"BOM",DATA_GOC!$D:$D,$B304,DATA_GOC!$E:$E,"Dầu động cơ",DATA_GOC!$F:$F,"Xuất nội bộ từ téc",DATA_GOC!$B:$B,DATE($D$2,$B$2,O$4)),0))</f>
        <v>0</v>
      </c>
      <c r="P304" s="251">
        <f>IF(P$4&gt;DAY(EOMONTH(DATE($D$2,$B$2,1),0)),"",IFERROR(SUMIFS(DATA_GOC!$H:$H,DATA_GOC!$A:$A,"BOM",DATA_GOC!$D:$D,$B304,DATA_GOC!$E:$E,"Dầu động cơ",DATA_GOC!$F:$F,"Xuất nội bộ từ téc",DATA_GOC!$B:$B,DATE($D$2,$B$2,P$4)),0))</f>
        <v>0</v>
      </c>
      <c r="Q304" s="251">
        <f>IF(Q$4&gt;DAY(EOMONTH(DATE($D$2,$B$2,1),0)),"",IFERROR(SUMIFS(DATA_GOC!$H:$H,DATA_GOC!$A:$A,"BOM",DATA_GOC!$D:$D,$B304,DATA_GOC!$E:$E,"Dầu động cơ",DATA_GOC!$F:$F,"Xuất nội bộ từ téc",DATA_GOC!$B:$B,DATE($D$2,$B$2,Q$4)),0))</f>
        <v>0</v>
      </c>
      <c r="R304" s="251">
        <f>IF(R$4&gt;DAY(EOMONTH(DATE($D$2,$B$2,1),0)),"",IFERROR(SUMIFS(DATA_GOC!$H:$H,DATA_GOC!$A:$A,"BOM",DATA_GOC!$D:$D,$B304,DATA_GOC!$E:$E,"Dầu động cơ",DATA_GOC!$F:$F,"Xuất nội bộ từ téc",DATA_GOC!$B:$B,DATE($D$2,$B$2,R$4)),0))</f>
        <v>0</v>
      </c>
      <c r="S304" s="251">
        <f>IF(S$4&gt;DAY(EOMONTH(DATE($D$2,$B$2,1),0)),"",IFERROR(SUMIFS(DATA_GOC!$H:$H,DATA_GOC!$A:$A,"BOM",DATA_GOC!$D:$D,$B304,DATA_GOC!$E:$E,"Dầu động cơ",DATA_GOC!$F:$F,"Xuất nội bộ từ téc",DATA_GOC!$B:$B,DATE($D$2,$B$2,S$4)),0))</f>
        <v>0</v>
      </c>
      <c r="T304" s="251">
        <f>IF(T$4&gt;DAY(EOMONTH(DATE($D$2,$B$2,1),0)),"",IFERROR(SUMIFS(DATA_GOC!$H:$H,DATA_GOC!$A:$A,"BOM",DATA_GOC!$D:$D,$B304,DATA_GOC!$E:$E,"Dầu động cơ",DATA_GOC!$F:$F,"Xuất nội bộ từ téc",DATA_GOC!$B:$B,DATE($D$2,$B$2,T$4)),0))</f>
        <v>0</v>
      </c>
      <c r="U304" s="251">
        <f>IF(U$4&gt;DAY(EOMONTH(DATE($D$2,$B$2,1),0)),"",IFERROR(SUMIFS(DATA_GOC!$H:$H,DATA_GOC!$A:$A,"BOM",DATA_GOC!$D:$D,$B304,DATA_GOC!$E:$E,"Dầu động cơ",DATA_GOC!$F:$F,"Xuất nội bộ từ téc",DATA_GOC!$B:$B,DATE($D$2,$B$2,U$4)),0))</f>
        <v>0</v>
      </c>
      <c r="V304" s="251">
        <f>IF(V$4&gt;DAY(EOMONTH(DATE($D$2,$B$2,1),0)),"",IFERROR(SUMIFS(DATA_GOC!$H:$H,DATA_GOC!$A:$A,"BOM",DATA_GOC!$D:$D,$B304,DATA_GOC!$E:$E,"Dầu động cơ",DATA_GOC!$F:$F,"Xuất nội bộ từ téc",DATA_GOC!$B:$B,DATE($D$2,$B$2,V$4)),0))</f>
        <v>0</v>
      </c>
      <c r="W304" s="251">
        <f>IF(W$4&gt;DAY(EOMONTH(DATE($D$2,$B$2,1),0)),"",IFERROR(SUMIFS(DATA_GOC!$H:$H,DATA_GOC!$A:$A,"BOM",DATA_GOC!$D:$D,$B304,DATA_GOC!$E:$E,"Dầu động cơ",DATA_GOC!$F:$F,"Xuất nội bộ từ téc",DATA_GOC!$B:$B,DATE($D$2,$B$2,W$4)),0))</f>
        <v>0</v>
      </c>
      <c r="X304" s="251">
        <f>IF(X$4&gt;DAY(EOMONTH(DATE($D$2,$B$2,1),0)),"",IFERROR(SUMIFS(DATA_GOC!$H:$H,DATA_GOC!$A:$A,"BOM",DATA_GOC!$D:$D,$B304,DATA_GOC!$E:$E,"Dầu động cơ",DATA_GOC!$F:$F,"Xuất nội bộ từ téc",DATA_GOC!$B:$B,DATE($D$2,$B$2,X$4)),0))</f>
        <v>0</v>
      </c>
      <c r="Y304" s="251">
        <f>IF(Y$4&gt;DAY(EOMONTH(DATE($D$2,$B$2,1),0)),"",IFERROR(SUMIFS(DATA_GOC!$H:$H,DATA_GOC!$A:$A,"BOM",DATA_GOC!$D:$D,$B304,DATA_GOC!$E:$E,"Dầu động cơ",DATA_GOC!$F:$F,"Xuất nội bộ từ téc",DATA_GOC!$B:$B,DATE($D$2,$B$2,Y$4)),0))</f>
        <v>0</v>
      </c>
      <c r="Z304" s="251">
        <f>IF(Z$4&gt;DAY(EOMONTH(DATE($D$2,$B$2,1),0)),"",IFERROR(SUMIFS(DATA_GOC!$H:$H,DATA_GOC!$A:$A,"BOM",DATA_GOC!$D:$D,$B304,DATA_GOC!$E:$E,"Dầu động cơ",DATA_GOC!$F:$F,"Xuất nội bộ từ téc",DATA_GOC!$B:$B,DATE($D$2,$B$2,Z$4)),0))</f>
        <v>0</v>
      </c>
      <c r="AA304" s="251">
        <f>IF(AA$4&gt;DAY(EOMONTH(DATE($D$2,$B$2,1),0)),"",IFERROR(SUMIFS(DATA_GOC!$H:$H,DATA_GOC!$A:$A,"BOM",DATA_GOC!$D:$D,$B304,DATA_GOC!$E:$E,"Dầu động cơ",DATA_GOC!$F:$F,"Xuất nội bộ từ téc",DATA_GOC!$B:$B,DATE($D$2,$B$2,AA$4)),0))</f>
        <v>0</v>
      </c>
      <c r="AB304" s="251">
        <f>IF(AB$4&gt;DAY(EOMONTH(DATE($D$2,$B$2,1),0)),"",IFERROR(SUMIFS(DATA_GOC!$H:$H,DATA_GOC!$A:$A,"BOM",DATA_GOC!$D:$D,$B304,DATA_GOC!$E:$E,"Dầu động cơ",DATA_GOC!$F:$F,"Xuất nội bộ từ téc",DATA_GOC!$B:$B,DATE($D$2,$B$2,AB$4)),0))</f>
        <v>0</v>
      </c>
      <c r="AC304" s="251">
        <f>IF(AC$4&gt;DAY(EOMONTH(DATE($D$2,$B$2,1),0)),"",IFERROR(SUMIFS(DATA_GOC!$H:$H,DATA_GOC!$A:$A,"BOM",DATA_GOC!$D:$D,$B304,DATA_GOC!$E:$E,"Dầu động cơ",DATA_GOC!$F:$F,"Xuất nội bộ từ téc",DATA_GOC!$B:$B,DATE($D$2,$B$2,AC$4)),0))</f>
        <v>0</v>
      </c>
      <c r="AD304" s="251">
        <f>IF(AD$4&gt;DAY(EOMONTH(DATE($D$2,$B$2,1),0)),"",IFERROR(SUMIFS(DATA_GOC!$H:$H,DATA_GOC!$A:$A,"BOM",DATA_GOC!$D:$D,$B304,DATA_GOC!$E:$E,"Dầu động cơ",DATA_GOC!$F:$F,"Xuất nội bộ từ téc",DATA_GOC!$B:$B,DATE($D$2,$B$2,AD$4)),0))</f>
        <v>0</v>
      </c>
      <c r="AE304" s="251">
        <f>IF(AE$4&gt;DAY(EOMONTH(DATE($D$2,$B$2,1),0)),"",IFERROR(SUMIFS(DATA_GOC!$H:$H,DATA_GOC!$A:$A,"BOM",DATA_GOC!$D:$D,$B304,DATA_GOC!$E:$E,"Dầu động cơ",DATA_GOC!$F:$F,"Xuất nội bộ từ téc",DATA_GOC!$B:$B,DATE($D$2,$B$2,AE$4)),0))</f>
        <v>0</v>
      </c>
      <c r="AF304" s="251">
        <f>IF(AF$4&gt;DAY(EOMONTH(DATE($D$2,$B$2,1),0)),"",IFERROR(SUMIFS(DATA_GOC!$H:$H,DATA_GOC!$A:$A,"BOM",DATA_GOC!$D:$D,$B304,DATA_GOC!$E:$E,"Dầu động cơ",DATA_GOC!$F:$F,"Xuất nội bộ từ téc",DATA_GOC!$B:$B,DATE($D$2,$B$2,AF$4)),0))</f>
        <v>0</v>
      </c>
      <c r="AG304" s="251">
        <f>IF(AG$4&gt;DAY(EOMONTH(DATE($D$2,$B$2,1),0)),"",IFERROR(SUMIFS(DATA_GOC!$H:$H,DATA_GOC!$A:$A,"BOM",DATA_GOC!$D:$D,$B304,DATA_GOC!$E:$E,"Dầu động cơ",DATA_GOC!$F:$F,"Xuất nội bộ từ téc",DATA_GOC!$B:$B,DATE($D$2,$B$2,AG$4)),0))</f>
        <v>0</v>
      </c>
      <c r="AH304" s="252">
        <f t="shared" si="13"/>
        <v>0</v>
      </c>
      <c r="AI304" s="241"/>
      <c r="AJ304" s="242">
        <f>IF($B304="","",SUMIFS(TINH_TEC!$K$233:$K$9232,TINH_TEC!$H$233:$H$9232,$B304,TINH_TEC!$C$233:$C$9232,"Dầu động cơ",TINH_TEC!$F$233:$F$9232,$B$2,TINH_TEC!$G$233:$G$9232,$D$2,TINH_TEC!$B$233:$B$9232,"Đã chốt"))</f>
        <v>0</v>
      </c>
      <c r="AK304" s="242">
        <f>IF($B304="","",SUMIFS(TINH_TEC!$J$233:$J$9232,TINH_TEC!$H$233:$H$9232,$B304,TINH_TEC!$C$233:$C$9232,"Dầu động cơ",TINH_TEC!$F$233:$F$9232,$B$2,TINH_TEC!$G$233:$G$9232,$D$2,TINH_TEC!$B$233:$B$9232,"Đã chốt"))</f>
        <v>0</v>
      </c>
      <c r="AL304" s="242">
        <f t="shared" si="14"/>
        <v>0</v>
      </c>
    </row>
    <row r="305" ht="15.75" customHeight="1">
      <c r="A305" s="237">
        <f>IF($B305&lt;&gt;"",56,"")</f>
        <v>56</v>
      </c>
      <c r="B305" s="250" t="str">
        <f t="array" ref="B305">IFERROR(INDEX(DANH_MUC!$E:$E,59),"")</f>
        <v>28C02973</v>
      </c>
      <c r="C305" s="251">
        <f>IF(C$4&gt;DAY(EOMONTH(DATE($D$2,$B$2,1),0)),"",IFERROR(SUMIFS(DATA_GOC!$H:$H,DATA_GOC!$A:$A,"BOM",DATA_GOC!$D:$D,$B305,DATA_GOC!$E:$E,"Dầu động cơ",DATA_GOC!$F:$F,"Xuất nội bộ từ téc",DATA_GOC!$B:$B,DATE($D$2,$B$2,C$4)),0))</f>
        <v>0</v>
      </c>
      <c r="D305" s="251">
        <f>IF(D$4&gt;DAY(EOMONTH(DATE($D$2,$B$2,1),0)),"",IFERROR(SUMIFS(DATA_GOC!$H:$H,DATA_GOC!$A:$A,"BOM",DATA_GOC!$D:$D,$B305,DATA_GOC!$E:$E,"Dầu động cơ",DATA_GOC!$F:$F,"Xuất nội bộ từ téc",DATA_GOC!$B:$B,DATE($D$2,$B$2,D$4)),0))</f>
        <v>0</v>
      </c>
      <c r="E305" s="251">
        <f>IF(E$4&gt;DAY(EOMONTH(DATE($D$2,$B$2,1),0)),"",IFERROR(SUMIFS(DATA_GOC!$H:$H,DATA_GOC!$A:$A,"BOM",DATA_GOC!$D:$D,$B305,DATA_GOC!$E:$E,"Dầu động cơ",DATA_GOC!$F:$F,"Xuất nội bộ từ téc",DATA_GOC!$B:$B,DATE($D$2,$B$2,E$4)),0))</f>
        <v>0</v>
      </c>
      <c r="F305" s="251">
        <f>IF(F$4&gt;DAY(EOMONTH(DATE($D$2,$B$2,1),0)),"",IFERROR(SUMIFS(DATA_GOC!$H:$H,DATA_GOC!$A:$A,"BOM",DATA_GOC!$D:$D,$B305,DATA_GOC!$E:$E,"Dầu động cơ",DATA_GOC!$F:$F,"Xuất nội bộ từ téc",DATA_GOC!$B:$B,DATE($D$2,$B$2,F$4)),0))</f>
        <v>0</v>
      </c>
      <c r="G305" s="251">
        <f>IF(G$4&gt;DAY(EOMONTH(DATE($D$2,$B$2,1),0)),"",IFERROR(SUMIFS(DATA_GOC!$H:$H,DATA_GOC!$A:$A,"BOM",DATA_GOC!$D:$D,$B305,DATA_GOC!$E:$E,"Dầu động cơ",DATA_GOC!$F:$F,"Xuất nội bộ từ téc",DATA_GOC!$B:$B,DATE($D$2,$B$2,G$4)),0))</f>
        <v>0</v>
      </c>
      <c r="H305" s="251">
        <f>IF(H$4&gt;DAY(EOMONTH(DATE($D$2,$B$2,1),0)),"",IFERROR(SUMIFS(DATA_GOC!$H:$H,DATA_GOC!$A:$A,"BOM",DATA_GOC!$D:$D,$B305,DATA_GOC!$E:$E,"Dầu động cơ",DATA_GOC!$F:$F,"Xuất nội bộ từ téc",DATA_GOC!$B:$B,DATE($D$2,$B$2,H$4)),0))</f>
        <v>0</v>
      </c>
      <c r="I305" s="251">
        <f>IF(I$4&gt;DAY(EOMONTH(DATE($D$2,$B$2,1),0)),"",IFERROR(SUMIFS(DATA_GOC!$H:$H,DATA_GOC!$A:$A,"BOM",DATA_GOC!$D:$D,$B305,DATA_GOC!$E:$E,"Dầu động cơ",DATA_GOC!$F:$F,"Xuất nội bộ từ téc",DATA_GOC!$B:$B,DATE($D$2,$B$2,I$4)),0))</f>
        <v>0</v>
      </c>
      <c r="J305" s="251">
        <f>IF(J$4&gt;DAY(EOMONTH(DATE($D$2,$B$2,1),0)),"",IFERROR(SUMIFS(DATA_GOC!$H:$H,DATA_GOC!$A:$A,"BOM",DATA_GOC!$D:$D,$B305,DATA_GOC!$E:$E,"Dầu động cơ",DATA_GOC!$F:$F,"Xuất nội bộ từ téc",DATA_GOC!$B:$B,DATE($D$2,$B$2,J$4)),0))</f>
        <v>0</v>
      </c>
      <c r="K305" s="251">
        <f>IF(K$4&gt;DAY(EOMONTH(DATE($D$2,$B$2,1),0)),"",IFERROR(SUMIFS(DATA_GOC!$H:$H,DATA_GOC!$A:$A,"BOM",DATA_GOC!$D:$D,$B305,DATA_GOC!$E:$E,"Dầu động cơ",DATA_GOC!$F:$F,"Xuất nội bộ từ téc",DATA_GOC!$B:$B,DATE($D$2,$B$2,K$4)),0))</f>
        <v>0</v>
      </c>
      <c r="L305" s="251">
        <f>IF(L$4&gt;DAY(EOMONTH(DATE($D$2,$B$2,1),0)),"",IFERROR(SUMIFS(DATA_GOC!$H:$H,DATA_GOC!$A:$A,"BOM",DATA_GOC!$D:$D,$B305,DATA_GOC!$E:$E,"Dầu động cơ",DATA_GOC!$F:$F,"Xuất nội bộ từ téc",DATA_GOC!$B:$B,DATE($D$2,$B$2,L$4)),0))</f>
        <v>0</v>
      </c>
      <c r="M305" s="251">
        <f>IF(M$4&gt;DAY(EOMONTH(DATE($D$2,$B$2,1),0)),"",IFERROR(SUMIFS(DATA_GOC!$H:$H,DATA_GOC!$A:$A,"BOM",DATA_GOC!$D:$D,$B305,DATA_GOC!$E:$E,"Dầu động cơ",DATA_GOC!$F:$F,"Xuất nội bộ từ téc",DATA_GOC!$B:$B,DATE($D$2,$B$2,M$4)),0))</f>
        <v>0</v>
      </c>
      <c r="N305" s="251">
        <f>IF(N$4&gt;DAY(EOMONTH(DATE($D$2,$B$2,1),0)),"",IFERROR(SUMIFS(DATA_GOC!$H:$H,DATA_GOC!$A:$A,"BOM",DATA_GOC!$D:$D,$B305,DATA_GOC!$E:$E,"Dầu động cơ",DATA_GOC!$F:$F,"Xuất nội bộ từ téc",DATA_GOC!$B:$B,DATE($D$2,$B$2,N$4)),0))</f>
        <v>0</v>
      </c>
      <c r="O305" s="251">
        <f>IF(O$4&gt;DAY(EOMONTH(DATE($D$2,$B$2,1),0)),"",IFERROR(SUMIFS(DATA_GOC!$H:$H,DATA_GOC!$A:$A,"BOM",DATA_GOC!$D:$D,$B305,DATA_GOC!$E:$E,"Dầu động cơ",DATA_GOC!$F:$F,"Xuất nội bộ từ téc",DATA_GOC!$B:$B,DATE($D$2,$B$2,O$4)),0))</f>
        <v>0</v>
      </c>
      <c r="P305" s="251">
        <f>IF(P$4&gt;DAY(EOMONTH(DATE($D$2,$B$2,1),0)),"",IFERROR(SUMIFS(DATA_GOC!$H:$H,DATA_GOC!$A:$A,"BOM",DATA_GOC!$D:$D,$B305,DATA_GOC!$E:$E,"Dầu động cơ",DATA_GOC!$F:$F,"Xuất nội bộ từ téc",DATA_GOC!$B:$B,DATE($D$2,$B$2,P$4)),0))</f>
        <v>0</v>
      </c>
      <c r="Q305" s="251">
        <f>IF(Q$4&gt;DAY(EOMONTH(DATE($D$2,$B$2,1),0)),"",IFERROR(SUMIFS(DATA_GOC!$H:$H,DATA_GOC!$A:$A,"BOM",DATA_GOC!$D:$D,$B305,DATA_GOC!$E:$E,"Dầu động cơ",DATA_GOC!$F:$F,"Xuất nội bộ từ téc",DATA_GOC!$B:$B,DATE($D$2,$B$2,Q$4)),0))</f>
        <v>0</v>
      </c>
      <c r="R305" s="251">
        <f>IF(R$4&gt;DAY(EOMONTH(DATE($D$2,$B$2,1),0)),"",IFERROR(SUMIFS(DATA_GOC!$H:$H,DATA_GOC!$A:$A,"BOM",DATA_GOC!$D:$D,$B305,DATA_GOC!$E:$E,"Dầu động cơ",DATA_GOC!$F:$F,"Xuất nội bộ từ téc",DATA_GOC!$B:$B,DATE($D$2,$B$2,R$4)),0))</f>
        <v>0</v>
      </c>
      <c r="S305" s="251">
        <f>IF(S$4&gt;DAY(EOMONTH(DATE($D$2,$B$2,1),0)),"",IFERROR(SUMIFS(DATA_GOC!$H:$H,DATA_GOC!$A:$A,"BOM",DATA_GOC!$D:$D,$B305,DATA_GOC!$E:$E,"Dầu động cơ",DATA_GOC!$F:$F,"Xuất nội bộ từ téc",DATA_GOC!$B:$B,DATE($D$2,$B$2,S$4)),0))</f>
        <v>0</v>
      </c>
      <c r="T305" s="251">
        <f>IF(T$4&gt;DAY(EOMONTH(DATE($D$2,$B$2,1),0)),"",IFERROR(SUMIFS(DATA_GOC!$H:$H,DATA_GOC!$A:$A,"BOM",DATA_GOC!$D:$D,$B305,DATA_GOC!$E:$E,"Dầu động cơ",DATA_GOC!$F:$F,"Xuất nội bộ từ téc",DATA_GOC!$B:$B,DATE($D$2,$B$2,T$4)),0))</f>
        <v>0</v>
      </c>
      <c r="U305" s="251">
        <f>IF(U$4&gt;DAY(EOMONTH(DATE($D$2,$B$2,1),0)),"",IFERROR(SUMIFS(DATA_GOC!$H:$H,DATA_GOC!$A:$A,"BOM",DATA_GOC!$D:$D,$B305,DATA_GOC!$E:$E,"Dầu động cơ",DATA_GOC!$F:$F,"Xuất nội bộ từ téc",DATA_GOC!$B:$B,DATE($D$2,$B$2,U$4)),0))</f>
        <v>0</v>
      </c>
      <c r="V305" s="251">
        <f>IF(V$4&gt;DAY(EOMONTH(DATE($D$2,$B$2,1),0)),"",IFERROR(SUMIFS(DATA_GOC!$H:$H,DATA_GOC!$A:$A,"BOM",DATA_GOC!$D:$D,$B305,DATA_GOC!$E:$E,"Dầu động cơ",DATA_GOC!$F:$F,"Xuất nội bộ từ téc",DATA_GOC!$B:$B,DATE($D$2,$B$2,V$4)),0))</f>
        <v>0</v>
      </c>
      <c r="W305" s="251">
        <f>IF(W$4&gt;DAY(EOMONTH(DATE($D$2,$B$2,1),0)),"",IFERROR(SUMIFS(DATA_GOC!$H:$H,DATA_GOC!$A:$A,"BOM",DATA_GOC!$D:$D,$B305,DATA_GOC!$E:$E,"Dầu động cơ",DATA_GOC!$F:$F,"Xuất nội bộ từ téc",DATA_GOC!$B:$B,DATE($D$2,$B$2,W$4)),0))</f>
        <v>0</v>
      </c>
      <c r="X305" s="251">
        <f>IF(X$4&gt;DAY(EOMONTH(DATE($D$2,$B$2,1),0)),"",IFERROR(SUMIFS(DATA_GOC!$H:$H,DATA_GOC!$A:$A,"BOM",DATA_GOC!$D:$D,$B305,DATA_GOC!$E:$E,"Dầu động cơ",DATA_GOC!$F:$F,"Xuất nội bộ từ téc",DATA_GOC!$B:$B,DATE($D$2,$B$2,X$4)),0))</f>
        <v>0</v>
      </c>
      <c r="Y305" s="251">
        <f>IF(Y$4&gt;DAY(EOMONTH(DATE($D$2,$B$2,1),0)),"",IFERROR(SUMIFS(DATA_GOC!$H:$H,DATA_GOC!$A:$A,"BOM",DATA_GOC!$D:$D,$B305,DATA_GOC!$E:$E,"Dầu động cơ",DATA_GOC!$F:$F,"Xuất nội bộ từ téc",DATA_GOC!$B:$B,DATE($D$2,$B$2,Y$4)),0))</f>
        <v>0</v>
      </c>
      <c r="Z305" s="251">
        <f>IF(Z$4&gt;DAY(EOMONTH(DATE($D$2,$B$2,1),0)),"",IFERROR(SUMIFS(DATA_GOC!$H:$H,DATA_GOC!$A:$A,"BOM",DATA_GOC!$D:$D,$B305,DATA_GOC!$E:$E,"Dầu động cơ",DATA_GOC!$F:$F,"Xuất nội bộ từ téc",DATA_GOC!$B:$B,DATE($D$2,$B$2,Z$4)),0))</f>
        <v>0</v>
      </c>
      <c r="AA305" s="251">
        <f>IF(AA$4&gt;DAY(EOMONTH(DATE($D$2,$B$2,1),0)),"",IFERROR(SUMIFS(DATA_GOC!$H:$H,DATA_GOC!$A:$A,"BOM",DATA_GOC!$D:$D,$B305,DATA_GOC!$E:$E,"Dầu động cơ",DATA_GOC!$F:$F,"Xuất nội bộ từ téc",DATA_GOC!$B:$B,DATE($D$2,$B$2,AA$4)),0))</f>
        <v>0</v>
      </c>
      <c r="AB305" s="251">
        <f>IF(AB$4&gt;DAY(EOMONTH(DATE($D$2,$B$2,1),0)),"",IFERROR(SUMIFS(DATA_GOC!$H:$H,DATA_GOC!$A:$A,"BOM",DATA_GOC!$D:$D,$B305,DATA_GOC!$E:$E,"Dầu động cơ",DATA_GOC!$F:$F,"Xuất nội bộ từ téc",DATA_GOC!$B:$B,DATE($D$2,$B$2,AB$4)),0))</f>
        <v>0</v>
      </c>
      <c r="AC305" s="251">
        <f>IF(AC$4&gt;DAY(EOMONTH(DATE($D$2,$B$2,1),0)),"",IFERROR(SUMIFS(DATA_GOC!$H:$H,DATA_GOC!$A:$A,"BOM",DATA_GOC!$D:$D,$B305,DATA_GOC!$E:$E,"Dầu động cơ",DATA_GOC!$F:$F,"Xuất nội bộ từ téc",DATA_GOC!$B:$B,DATE($D$2,$B$2,AC$4)),0))</f>
        <v>0</v>
      </c>
      <c r="AD305" s="251">
        <f>IF(AD$4&gt;DAY(EOMONTH(DATE($D$2,$B$2,1),0)),"",IFERROR(SUMIFS(DATA_GOC!$H:$H,DATA_GOC!$A:$A,"BOM",DATA_GOC!$D:$D,$B305,DATA_GOC!$E:$E,"Dầu động cơ",DATA_GOC!$F:$F,"Xuất nội bộ từ téc",DATA_GOC!$B:$B,DATE($D$2,$B$2,AD$4)),0))</f>
        <v>0</v>
      </c>
      <c r="AE305" s="251">
        <f>IF(AE$4&gt;DAY(EOMONTH(DATE($D$2,$B$2,1),0)),"",IFERROR(SUMIFS(DATA_GOC!$H:$H,DATA_GOC!$A:$A,"BOM",DATA_GOC!$D:$D,$B305,DATA_GOC!$E:$E,"Dầu động cơ",DATA_GOC!$F:$F,"Xuất nội bộ từ téc",DATA_GOC!$B:$B,DATE($D$2,$B$2,AE$4)),0))</f>
        <v>0</v>
      </c>
      <c r="AF305" s="251">
        <f>IF(AF$4&gt;DAY(EOMONTH(DATE($D$2,$B$2,1),0)),"",IFERROR(SUMIFS(DATA_GOC!$H:$H,DATA_GOC!$A:$A,"BOM",DATA_GOC!$D:$D,$B305,DATA_GOC!$E:$E,"Dầu động cơ",DATA_GOC!$F:$F,"Xuất nội bộ từ téc",DATA_GOC!$B:$B,DATE($D$2,$B$2,AF$4)),0))</f>
        <v>0</v>
      </c>
      <c r="AG305" s="251">
        <f>IF(AG$4&gt;DAY(EOMONTH(DATE($D$2,$B$2,1),0)),"",IFERROR(SUMIFS(DATA_GOC!$H:$H,DATA_GOC!$A:$A,"BOM",DATA_GOC!$D:$D,$B305,DATA_GOC!$E:$E,"Dầu động cơ",DATA_GOC!$F:$F,"Xuất nội bộ từ téc",DATA_GOC!$B:$B,DATE($D$2,$B$2,AG$4)),0))</f>
        <v>0</v>
      </c>
      <c r="AH305" s="252">
        <f t="shared" si="13"/>
        <v>0</v>
      </c>
      <c r="AI305" s="241"/>
      <c r="AJ305" s="242">
        <f>IF($B305="","",SUMIFS(TINH_TEC!$K$233:$K$9232,TINH_TEC!$H$233:$H$9232,$B305,TINH_TEC!$C$233:$C$9232,"Dầu động cơ",TINH_TEC!$F$233:$F$9232,$B$2,TINH_TEC!$G$233:$G$9232,$D$2,TINH_TEC!$B$233:$B$9232,"Đã chốt"))</f>
        <v>0</v>
      </c>
      <c r="AK305" s="242">
        <f>IF($B305="","",SUMIFS(TINH_TEC!$J$233:$J$9232,TINH_TEC!$H$233:$H$9232,$B305,TINH_TEC!$C$233:$C$9232,"Dầu động cơ",TINH_TEC!$F$233:$F$9232,$B$2,TINH_TEC!$G$233:$G$9232,$D$2,TINH_TEC!$B$233:$B$9232,"Đã chốt"))</f>
        <v>0</v>
      </c>
      <c r="AL305" s="242">
        <f t="shared" si="14"/>
        <v>0</v>
      </c>
    </row>
    <row r="306" ht="15.75" customHeight="1">
      <c r="A306" s="237">
        <f>IF($B306&lt;&gt;"",57,"")</f>
        <v>57</v>
      </c>
      <c r="B306" s="250" t="str">
        <f t="array" ref="B306">IFERROR(INDEX(DANH_MUC!$E:$E,60),"")</f>
        <v>28C03044</v>
      </c>
      <c r="C306" s="251">
        <f>IF(C$4&gt;DAY(EOMONTH(DATE($D$2,$B$2,1),0)),"",IFERROR(SUMIFS(DATA_GOC!$H:$H,DATA_GOC!$A:$A,"BOM",DATA_GOC!$D:$D,$B306,DATA_GOC!$E:$E,"Dầu động cơ",DATA_GOC!$F:$F,"Xuất nội bộ từ téc",DATA_GOC!$B:$B,DATE($D$2,$B$2,C$4)),0))</f>
        <v>0</v>
      </c>
      <c r="D306" s="251">
        <f>IF(D$4&gt;DAY(EOMONTH(DATE($D$2,$B$2,1),0)),"",IFERROR(SUMIFS(DATA_GOC!$H:$H,DATA_GOC!$A:$A,"BOM",DATA_GOC!$D:$D,$B306,DATA_GOC!$E:$E,"Dầu động cơ",DATA_GOC!$F:$F,"Xuất nội bộ từ téc",DATA_GOC!$B:$B,DATE($D$2,$B$2,D$4)),0))</f>
        <v>0</v>
      </c>
      <c r="E306" s="251">
        <f>IF(E$4&gt;DAY(EOMONTH(DATE($D$2,$B$2,1),0)),"",IFERROR(SUMIFS(DATA_GOC!$H:$H,DATA_GOC!$A:$A,"BOM",DATA_GOC!$D:$D,$B306,DATA_GOC!$E:$E,"Dầu động cơ",DATA_GOC!$F:$F,"Xuất nội bộ từ téc",DATA_GOC!$B:$B,DATE($D$2,$B$2,E$4)),0))</f>
        <v>0</v>
      </c>
      <c r="F306" s="251">
        <f>IF(F$4&gt;DAY(EOMONTH(DATE($D$2,$B$2,1),0)),"",IFERROR(SUMIFS(DATA_GOC!$H:$H,DATA_GOC!$A:$A,"BOM",DATA_GOC!$D:$D,$B306,DATA_GOC!$E:$E,"Dầu động cơ",DATA_GOC!$F:$F,"Xuất nội bộ từ téc",DATA_GOC!$B:$B,DATE($D$2,$B$2,F$4)),0))</f>
        <v>0</v>
      </c>
      <c r="G306" s="251">
        <f>IF(G$4&gt;DAY(EOMONTH(DATE($D$2,$B$2,1),0)),"",IFERROR(SUMIFS(DATA_GOC!$H:$H,DATA_GOC!$A:$A,"BOM",DATA_GOC!$D:$D,$B306,DATA_GOC!$E:$E,"Dầu động cơ",DATA_GOC!$F:$F,"Xuất nội bộ từ téc",DATA_GOC!$B:$B,DATE($D$2,$B$2,G$4)),0))</f>
        <v>0</v>
      </c>
      <c r="H306" s="251">
        <f>IF(H$4&gt;DAY(EOMONTH(DATE($D$2,$B$2,1),0)),"",IFERROR(SUMIFS(DATA_GOC!$H:$H,DATA_GOC!$A:$A,"BOM",DATA_GOC!$D:$D,$B306,DATA_GOC!$E:$E,"Dầu động cơ",DATA_GOC!$F:$F,"Xuất nội bộ từ téc",DATA_GOC!$B:$B,DATE($D$2,$B$2,H$4)),0))</f>
        <v>0</v>
      </c>
      <c r="I306" s="251">
        <f>IF(I$4&gt;DAY(EOMONTH(DATE($D$2,$B$2,1),0)),"",IFERROR(SUMIFS(DATA_GOC!$H:$H,DATA_GOC!$A:$A,"BOM",DATA_GOC!$D:$D,$B306,DATA_GOC!$E:$E,"Dầu động cơ",DATA_GOC!$F:$F,"Xuất nội bộ từ téc",DATA_GOC!$B:$B,DATE($D$2,$B$2,I$4)),0))</f>
        <v>0</v>
      </c>
      <c r="J306" s="251">
        <f>IF(J$4&gt;DAY(EOMONTH(DATE($D$2,$B$2,1),0)),"",IFERROR(SUMIFS(DATA_GOC!$H:$H,DATA_GOC!$A:$A,"BOM",DATA_GOC!$D:$D,$B306,DATA_GOC!$E:$E,"Dầu động cơ",DATA_GOC!$F:$F,"Xuất nội bộ từ téc",DATA_GOC!$B:$B,DATE($D$2,$B$2,J$4)),0))</f>
        <v>0</v>
      </c>
      <c r="K306" s="251">
        <f>IF(K$4&gt;DAY(EOMONTH(DATE($D$2,$B$2,1),0)),"",IFERROR(SUMIFS(DATA_GOC!$H:$H,DATA_GOC!$A:$A,"BOM",DATA_GOC!$D:$D,$B306,DATA_GOC!$E:$E,"Dầu động cơ",DATA_GOC!$F:$F,"Xuất nội bộ từ téc",DATA_GOC!$B:$B,DATE($D$2,$B$2,K$4)),0))</f>
        <v>0</v>
      </c>
      <c r="L306" s="251">
        <f>IF(L$4&gt;DAY(EOMONTH(DATE($D$2,$B$2,1),0)),"",IFERROR(SUMIFS(DATA_GOC!$H:$H,DATA_GOC!$A:$A,"BOM",DATA_GOC!$D:$D,$B306,DATA_GOC!$E:$E,"Dầu động cơ",DATA_GOC!$F:$F,"Xuất nội bộ từ téc",DATA_GOC!$B:$B,DATE($D$2,$B$2,L$4)),0))</f>
        <v>0</v>
      </c>
      <c r="M306" s="251">
        <f>IF(M$4&gt;DAY(EOMONTH(DATE($D$2,$B$2,1),0)),"",IFERROR(SUMIFS(DATA_GOC!$H:$H,DATA_GOC!$A:$A,"BOM",DATA_GOC!$D:$D,$B306,DATA_GOC!$E:$E,"Dầu động cơ",DATA_GOC!$F:$F,"Xuất nội bộ từ téc",DATA_GOC!$B:$B,DATE($D$2,$B$2,M$4)),0))</f>
        <v>0</v>
      </c>
      <c r="N306" s="251">
        <f>IF(N$4&gt;DAY(EOMONTH(DATE($D$2,$B$2,1),0)),"",IFERROR(SUMIFS(DATA_GOC!$H:$H,DATA_GOC!$A:$A,"BOM",DATA_GOC!$D:$D,$B306,DATA_GOC!$E:$E,"Dầu động cơ",DATA_GOC!$F:$F,"Xuất nội bộ từ téc",DATA_GOC!$B:$B,DATE($D$2,$B$2,N$4)),0))</f>
        <v>0</v>
      </c>
      <c r="O306" s="251">
        <f>IF(O$4&gt;DAY(EOMONTH(DATE($D$2,$B$2,1),0)),"",IFERROR(SUMIFS(DATA_GOC!$H:$H,DATA_GOC!$A:$A,"BOM",DATA_GOC!$D:$D,$B306,DATA_GOC!$E:$E,"Dầu động cơ",DATA_GOC!$F:$F,"Xuất nội bộ từ téc",DATA_GOC!$B:$B,DATE($D$2,$B$2,O$4)),0))</f>
        <v>0</v>
      </c>
      <c r="P306" s="251">
        <f>IF(P$4&gt;DAY(EOMONTH(DATE($D$2,$B$2,1),0)),"",IFERROR(SUMIFS(DATA_GOC!$H:$H,DATA_GOC!$A:$A,"BOM",DATA_GOC!$D:$D,$B306,DATA_GOC!$E:$E,"Dầu động cơ",DATA_GOC!$F:$F,"Xuất nội bộ từ téc",DATA_GOC!$B:$B,DATE($D$2,$B$2,P$4)),0))</f>
        <v>0</v>
      </c>
      <c r="Q306" s="251">
        <f>IF(Q$4&gt;DAY(EOMONTH(DATE($D$2,$B$2,1),0)),"",IFERROR(SUMIFS(DATA_GOC!$H:$H,DATA_GOC!$A:$A,"BOM",DATA_GOC!$D:$D,$B306,DATA_GOC!$E:$E,"Dầu động cơ",DATA_GOC!$F:$F,"Xuất nội bộ từ téc",DATA_GOC!$B:$B,DATE($D$2,$B$2,Q$4)),0))</f>
        <v>0</v>
      </c>
      <c r="R306" s="251">
        <f>IF(R$4&gt;DAY(EOMONTH(DATE($D$2,$B$2,1),0)),"",IFERROR(SUMIFS(DATA_GOC!$H:$H,DATA_GOC!$A:$A,"BOM",DATA_GOC!$D:$D,$B306,DATA_GOC!$E:$E,"Dầu động cơ",DATA_GOC!$F:$F,"Xuất nội bộ từ téc",DATA_GOC!$B:$B,DATE($D$2,$B$2,R$4)),0))</f>
        <v>0</v>
      </c>
      <c r="S306" s="251">
        <f>IF(S$4&gt;DAY(EOMONTH(DATE($D$2,$B$2,1),0)),"",IFERROR(SUMIFS(DATA_GOC!$H:$H,DATA_GOC!$A:$A,"BOM",DATA_GOC!$D:$D,$B306,DATA_GOC!$E:$E,"Dầu động cơ",DATA_GOC!$F:$F,"Xuất nội bộ từ téc",DATA_GOC!$B:$B,DATE($D$2,$B$2,S$4)),0))</f>
        <v>0</v>
      </c>
      <c r="T306" s="251">
        <f>IF(T$4&gt;DAY(EOMONTH(DATE($D$2,$B$2,1),0)),"",IFERROR(SUMIFS(DATA_GOC!$H:$H,DATA_GOC!$A:$A,"BOM",DATA_GOC!$D:$D,$B306,DATA_GOC!$E:$E,"Dầu động cơ",DATA_GOC!$F:$F,"Xuất nội bộ từ téc",DATA_GOC!$B:$B,DATE($D$2,$B$2,T$4)),0))</f>
        <v>0</v>
      </c>
      <c r="U306" s="251">
        <f>IF(U$4&gt;DAY(EOMONTH(DATE($D$2,$B$2,1),0)),"",IFERROR(SUMIFS(DATA_GOC!$H:$H,DATA_GOC!$A:$A,"BOM",DATA_GOC!$D:$D,$B306,DATA_GOC!$E:$E,"Dầu động cơ",DATA_GOC!$F:$F,"Xuất nội bộ từ téc",DATA_GOC!$B:$B,DATE($D$2,$B$2,U$4)),0))</f>
        <v>0</v>
      </c>
      <c r="V306" s="251">
        <f>IF(V$4&gt;DAY(EOMONTH(DATE($D$2,$B$2,1),0)),"",IFERROR(SUMIFS(DATA_GOC!$H:$H,DATA_GOC!$A:$A,"BOM",DATA_GOC!$D:$D,$B306,DATA_GOC!$E:$E,"Dầu động cơ",DATA_GOC!$F:$F,"Xuất nội bộ từ téc",DATA_GOC!$B:$B,DATE($D$2,$B$2,V$4)),0))</f>
        <v>0</v>
      </c>
      <c r="W306" s="251">
        <f>IF(W$4&gt;DAY(EOMONTH(DATE($D$2,$B$2,1),0)),"",IFERROR(SUMIFS(DATA_GOC!$H:$H,DATA_GOC!$A:$A,"BOM",DATA_GOC!$D:$D,$B306,DATA_GOC!$E:$E,"Dầu động cơ",DATA_GOC!$F:$F,"Xuất nội bộ từ téc",DATA_GOC!$B:$B,DATE($D$2,$B$2,W$4)),0))</f>
        <v>0</v>
      </c>
      <c r="X306" s="251">
        <f>IF(X$4&gt;DAY(EOMONTH(DATE($D$2,$B$2,1),0)),"",IFERROR(SUMIFS(DATA_GOC!$H:$H,DATA_GOC!$A:$A,"BOM",DATA_GOC!$D:$D,$B306,DATA_GOC!$E:$E,"Dầu động cơ",DATA_GOC!$F:$F,"Xuất nội bộ từ téc",DATA_GOC!$B:$B,DATE($D$2,$B$2,X$4)),0))</f>
        <v>0</v>
      </c>
      <c r="Y306" s="251">
        <f>IF(Y$4&gt;DAY(EOMONTH(DATE($D$2,$B$2,1),0)),"",IFERROR(SUMIFS(DATA_GOC!$H:$H,DATA_GOC!$A:$A,"BOM",DATA_GOC!$D:$D,$B306,DATA_GOC!$E:$E,"Dầu động cơ",DATA_GOC!$F:$F,"Xuất nội bộ từ téc",DATA_GOC!$B:$B,DATE($D$2,$B$2,Y$4)),0))</f>
        <v>0</v>
      </c>
      <c r="Z306" s="251">
        <f>IF(Z$4&gt;DAY(EOMONTH(DATE($D$2,$B$2,1),0)),"",IFERROR(SUMIFS(DATA_GOC!$H:$H,DATA_GOC!$A:$A,"BOM",DATA_GOC!$D:$D,$B306,DATA_GOC!$E:$E,"Dầu động cơ",DATA_GOC!$F:$F,"Xuất nội bộ từ téc",DATA_GOC!$B:$B,DATE($D$2,$B$2,Z$4)),0))</f>
        <v>0</v>
      </c>
      <c r="AA306" s="251">
        <f>IF(AA$4&gt;DAY(EOMONTH(DATE($D$2,$B$2,1),0)),"",IFERROR(SUMIFS(DATA_GOC!$H:$H,DATA_GOC!$A:$A,"BOM",DATA_GOC!$D:$D,$B306,DATA_GOC!$E:$E,"Dầu động cơ",DATA_GOC!$F:$F,"Xuất nội bộ từ téc",DATA_GOC!$B:$B,DATE($D$2,$B$2,AA$4)),0))</f>
        <v>0</v>
      </c>
      <c r="AB306" s="251">
        <f>IF(AB$4&gt;DAY(EOMONTH(DATE($D$2,$B$2,1),0)),"",IFERROR(SUMIFS(DATA_GOC!$H:$H,DATA_GOC!$A:$A,"BOM",DATA_GOC!$D:$D,$B306,DATA_GOC!$E:$E,"Dầu động cơ",DATA_GOC!$F:$F,"Xuất nội bộ từ téc",DATA_GOC!$B:$B,DATE($D$2,$B$2,AB$4)),0))</f>
        <v>0</v>
      </c>
      <c r="AC306" s="251">
        <f>IF(AC$4&gt;DAY(EOMONTH(DATE($D$2,$B$2,1),0)),"",IFERROR(SUMIFS(DATA_GOC!$H:$H,DATA_GOC!$A:$A,"BOM",DATA_GOC!$D:$D,$B306,DATA_GOC!$E:$E,"Dầu động cơ",DATA_GOC!$F:$F,"Xuất nội bộ từ téc",DATA_GOC!$B:$B,DATE($D$2,$B$2,AC$4)),0))</f>
        <v>0</v>
      </c>
      <c r="AD306" s="251">
        <f>IF(AD$4&gt;DAY(EOMONTH(DATE($D$2,$B$2,1),0)),"",IFERROR(SUMIFS(DATA_GOC!$H:$H,DATA_GOC!$A:$A,"BOM",DATA_GOC!$D:$D,$B306,DATA_GOC!$E:$E,"Dầu động cơ",DATA_GOC!$F:$F,"Xuất nội bộ từ téc",DATA_GOC!$B:$B,DATE($D$2,$B$2,AD$4)),0))</f>
        <v>0</v>
      </c>
      <c r="AE306" s="251">
        <f>IF(AE$4&gt;DAY(EOMONTH(DATE($D$2,$B$2,1),0)),"",IFERROR(SUMIFS(DATA_GOC!$H:$H,DATA_GOC!$A:$A,"BOM",DATA_GOC!$D:$D,$B306,DATA_GOC!$E:$E,"Dầu động cơ",DATA_GOC!$F:$F,"Xuất nội bộ từ téc",DATA_GOC!$B:$B,DATE($D$2,$B$2,AE$4)),0))</f>
        <v>0</v>
      </c>
      <c r="AF306" s="251">
        <f>IF(AF$4&gt;DAY(EOMONTH(DATE($D$2,$B$2,1),0)),"",IFERROR(SUMIFS(DATA_GOC!$H:$H,DATA_GOC!$A:$A,"BOM",DATA_GOC!$D:$D,$B306,DATA_GOC!$E:$E,"Dầu động cơ",DATA_GOC!$F:$F,"Xuất nội bộ từ téc",DATA_GOC!$B:$B,DATE($D$2,$B$2,AF$4)),0))</f>
        <v>0</v>
      </c>
      <c r="AG306" s="251">
        <f>IF(AG$4&gt;DAY(EOMONTH(DATE($D$2,$B$2,1),0)),"",IFERROR(SUMIFS(DATA_GOC!$H:$H,DATA_GOC!$A:$A,"BOM",DATA_GOC!$D:$D,$B306,DATA_GOC!$E:$E,"Dầu động cơ",DATA_GOC!$F:$F,"Xuất nội bộ từ téc",DATA_GOC!$B:$B,DATE($D$2,$B$2,AG$4)),0))</f>
        <v>0</v>
      </c>
      <c r="AH306" s="252">
        <f t="shared" si="13"/>
        <v>0</v>
      </c>
      <c r="AI306" s="241"/>
      <c r="AJ306" s="242">
        <f>IF($B306="","",SUMIFS(TINH_TEC!$K$233:$K$9232,TINH_TEC!$H$233:$H$9232,$B306,TINH_TEC!$C$233:$C$9232,"Dầu động cơ",TINH_TEC!$F$233:$F$9232,$B$2,TINH_TEC!$G$233:$G$9232,$D$2,TINH_TEC!$B$233:$B$9232,"Đã chốt"))</f>
        <v>0</v>
      </c>
      <c r="AK306" s="242">
        <f>IF($B306="","",SUMIFS(TINH_TEC!$J$233:$J$9232,TINH_TEC!$H$233:$H$9232,$B306,TINH_TEC!$C$233:$C$9232,"Dầu động cơ",TINH_TEC!$F$233:$F$9232,$B$2,TINH_TEC!$G$233:$G$9232,$D$2,TINH_TEC!$B$233:$B$9232,"Đã chốt"))</f>
        <v>0</v>
      </c>
      <c r="AL306" s="242">
        <f t="shared" si="14"/>
        <v>0</v>
      </c>
    </row>
    <row r="307" ht="15.75" customHeight="1">
      <c r="A307" s="237">
        <f>IF($B307&lt;&gt;"",58,"")</f>
        <v>58</v>
      </c>
      <c r="B307" s="250" t="str">
        <f t="array" ref="B307">IFERROR(INDEX(DANH_MUC!$E:$E,61),"")</f>
        <v>Máy lu lốp</v>
      </c>
      <c r="C307" s="251">
        <f>IF(C$4&gt;DAY(EOMONTH(DATE($D$2,$B$2,1),0)),"",IFERROR(SUMIFS(DATA_GOC!$H:$H,DATA_GOC!$A:$A,"BOM",DATA_GOC!$D:$D,$B307,DATA_GOC!$E:$E,"Dầu động cơ",DATA_GOC!$F:$F,"Xuất nội bộ từ téc",DATA_GOC!$B:$B,DATE($D$2,$B$2,C$4)),0))</f>
        <v>0</v>
      </c>
      <c r="D307" s="251">
        <f>IF(D$4&gt;DAY(EOMONTH(DATE($D$2,$B$2,1),0)),"",IFERROR(SUMIFS(DATA_GOC!$H:$H,DATA_GOC!$A:$A,"BOM",DATA_GOC!$D:$D,$B307,DATA_GOC!$E:$E,"Dầu động cơ",DATA_GOC!$F:$F,"Xuất nội bộ từ téc",DATA_GOC!$B:$B,DATE($D$2,$B$2,D$4)),0))</f>
        <v>0</v>
      </c>
      <c r="E307" s="251">
        <f>IF(E$4&gt;DAY(EOMONTH(DATE($D$2,$B$2,1),0)),"",IFERROR(SUMIFS(DATA_GOC!$H:$H,DATA_GOC!$A:$A,"BOM",DATA_GOC!$D:$D,$B307,DATA_GOC!$E:$E,"Dầu động cơ",DATA_GOC!$F:$F,"Xuất nội bộ từ téc",DATA_GOC!$B:$B,DATE($D$2,$B$2,E$4)),0))</f>
        <v>0</v>
      </c>
      <c r="F307" s="251">
        <f>IF(F$4&gt;DAY(EOMONTH(DATE($D$2,$B$2,1),0)),"",IFERROR(SUMIFS(DATA_GOC!$H:$H,DATA_GOC!$A:$A,"BOM",DATA_GOC!$D:$D,$B307,DATA_GOC!$E:$E,"Dầu động cơ",DATA_GOC!$F:$F,"Xuất nội bộ từ téc",DATA_GOC!$B:$B,DATE($D$2,$B$2,F$4)),0))</f>
        <v>0</v>
      </c>
      <c r="G307" s="251">
        <f>IF(G$4&gt;DAY(EOMONTH(DATE($D$2,$B$2,1),0)),"",IFERROR(SUMIFS(DATA_GOC!$H:$H,DATA_GOC!$A:$A,"BOM",DATA_GOC!$D:$D,$B307,DATA_GOC!$E:$E,"Dầu động cơ",DATA_GOC!$F:$F,"Xuất nội bộ từ téc",DATA_GOC!$B:$B,DATE($D$2,$B$2,G$4)),0))</f>
        <v>0</v>
      </c>
      <c r="H307" s="251">
        <f>IF(H$4&gt;DAY(EOMONTH(DATE($D$2,$B$2,1),0)),"",IFERROR(SUMIFS(DATA_GOC!$H:$H,DATA_GOC!$A:$A,"BOM",DATA_GOC!$D:$D,$B307,DATA_GOC!$E:$E,"Dầu động cơ",DATA_GOC!$F:$F,"Xuất nội bộ từ téc",DATA_GOC!$B:$B,DATE($D$2,$B$2,H$4)),0))</f>
        <v>0</v>
      </c>
      <c r="I307" s="251">
        <f>IF(I$4&gt;DAY(EOMONTH(DATE($D$2,$B$2,1),0)),"",IFERROR(SUMIFS(DATA_GOC!$H:$H,DATA_GOC!$A:$A,"BOM",DATA_GOC!$D:$D,$B307,DATA_GOC!$E:$E,"Dầu động cơ",DATA_GOC!$F:$F,"Xuất nội bộ từ téc",DATA_GOC!$B:$B,DATE($D$2,$B$2,I$4)),0))</f>
        <v>0</v>
      </c>
      <c r="J307" s="251">
        <f>IF(J$4&gt;DAY(EOMONTH(DATE($D$2,$B$2,1),0)),"",IFERROR(SUMIFS(DATA_GOC!$H:$H,DATA_GOC!$A:$A,"BOM",DATA_GOC!$D:$D,$B307,DATA_GOC!$E:$E,"Dầu động cơ",DATA_GOC!$F:$F,"Xuất nội bộ từ téc",DATA_GOC!$B:$B,DATE($D$2,$B$2,J$4)),0))</f>
        <v>0</v>
      </c>
      <c r="K307" s="251">
        <f>IF(K$4&gt;DAY(EOMONTH(DATE($D$2,$B$2,1),0)),"",IFERROR(SUMIFS(DATA_GOC!$H:$H,DATA_GOC!$A:$A,"BOM",DATA_GOC!$D:$D,$B307,DATA_GOC!$E:$E,"Dầu động cơ",DATA_GOC!$F:$F,"Xuất nội bộ từ téc",DATA_GOC!$B:$B,DATE($D$2,$B$2,K$4)),0))</f>
        <v>0</v>
      </c>
      <c r="L307" s="251">
        <f>IF(L$4&gt;DAY(EOMONTH(DATE($D$2,$B$2,1),0)),"",IFERROR(SUMIFS(DATA_GOC!$H:$H,DATA_GOC!$A:$A,"BOM",DATA_GOC!$D:$D,$B307,DATA_GOC!$E:$E,"Dầu động cơ",DATA_GOC!$F:$F,"Xuất nội bộ từ téc",DATA_GOC!$B:$B,DATE($D$2,$B$2,L$4)),0))</f>
        <v>0</v>
      </c>
      <c r="M307" s="251">
        <f>IF(M$4&gt;DAY(EOMONTH(DATE($D$2,$B$2,1),0)),"",IFERROR(SUMIFS(DATA_GOC!$H:$H,DATA_GOC!$A:$A,"BOM",DATA_GOC!$D:$D,$B307,DATA_GOC!$E:$E,"Dầu động cơ",DATA_GOC!$F:$F,"Xuất nội bộ từ téc",DATA_GOC!$B:$B,DATE($D$2,$B$2,M$4)),0))</f>
        <v>0</v>
      </c>
      <c r="N307" s="251">
        <f>IF(N$4&gt;DAY(EOMONTH(DATE($D$2,$B$2,1),0)),"",IFERROR(SUMIFS(DATA_GOC!$H:$H,DATA_GOC!$A:$A,"BOM",DATA_GOC!$D:$D,$B307,DATA_GOC!$E:$E,"Dầu động cơ",DATA_GOC!$F:$F,"Xuất nội bộ từ téc",DATA_GOC!$B:$B,DATE($D$2,$B$2,N$4)),0))</f>
        <v>0</v>
      </c>
      <c r="O307" s="251">
        <f>IF(O$4&gt;DAY(EOMONTH(DATE($D$2,$B$2,1),0)),"",IFERROR(SUMIFS(DATA_GOC!$H:$H,DATA_GOC!$A:$A,"BOM",DATA_GOC!$D:$D,$B307,DATA_GOC!$E:$E,"Dầu động cơ",DATA_GOC!$F:$F,"Xuất nội bộ từ téc",DATA_GOC!$B:$B,DATE($D$2,$B$2,O$4)),0))</f>
        <v>0</v>
      </c>
      <c r="P307" s="251">
        <f>IF(P$4&gt;DAY(EOMONTH(DATE($D$2,$B$2,1),0)),"",IFERROR(SUMIFS(DATA_GOC!$H:$H,DATA_GOC!$A:$A,"BOM",DATA_GOC!$D:$D,$B307,DATA_GOC!$E:$E,"Dầu động cơ",DATA_GOC!$F:$F,"Xuất nội bộ từ téc",DATA_GOC!$B:$B,DATE($D$2,$B$2,P$4)),0))</f>
        <v>0</v>
      </c>
      <c r="Q307" s="251">
        <f>IF(Q$4&gt;DAY(EOMONTH(DATE($D$2,$B$2,1),0)),"",IFERROR(SUMIFS(DATA_GOC!$H:$H,DATA_GOC!$A:$A,"BOM",DATA_GOC!$D:$D,$B307,DATA_GOC!$E:$E,"Dầu động cơ",DATA_GOC!$F:$F,"Xuất nội bộ từ téc",DATA_GOC!$B:$B,DATE($D$2,$B$2,Q$4)),0))</f>
        <v>0</v>
      </c>
      <c r="R307" s="251">
        <f>IF(R$4&gt;DAY(EOMONTH(DATE($D$2,$B$2,1),0)),"",IFERROR(SUMIFS(DATA_GOC!$H:$H,DATA_GOC!$A:$A,"BOM",DATA_GOC!$D:$D,$B307,DATA_GOC!$E:$E,"Dầu động cơ",DATA_GOC!$F:$F,"Xuất nội bộ từ téc",DATA_GOC!$B:$B,DATE($D$2,$B$2,R$4)),0))</f>
        <v>0</v>
      </c>
      <c r="S307" s="251">
        <f>IF(S$4&gt;DAY(EOMONTH(DATE($D$2,$B$2,1),0)),"",IFERROR(SUMIFS(DATA_GOC!$H:$H,DATA_GOC!$A:$A,"BOM",DATA_GOC!$D:$D,$B307,DATA_GOC!$E:$E,"Dầu động cơ",DATA_GOC!$F:$F,"Xuất nội bộ từ téc",DATA_GOC!$B:$B,DATE($D$2,$B$2,S$4)),0))</f>
        <v>0</v>
      </c>
      <c r="T307" s="251">
        <f>IF(T$4&gt;DAY(EOMONTH(DATE($D$2,$B$2,1),0)),"",IFERROR(SUMIFS(DATA_GOC!$H:$H,DATA_GOC!$A:$A,"BOM",DATA_GOC!$D:$D,$B307,DATA_GOC!$E:$E,"Dầu động cơ",DATA_GOC!$F:$F,"Xuất nội bộ từ téc",DATA_GOC!$B:$B,DATE($D$2,$B$2,T$4)),0))</f>
        <v>0</v>
      </c>
      <c r="U307" s="251">
        <f>IF(U$4&gt;DAY(EOMONTH(DATE($D$2,$B$2,1),0)),"",IFERROR(SUMIFS(DATA_GOC!$H:$H,DATA_GOC!$A:$A,"BOM",DATA_GOC!$D:$D,$B307,DATA_GOC!$E:$E,"Dầu động cơ",DATA_GOC!$F:$F,"Xuất nội bộ từ téc",DATA_GOC!$B:$B,DATE($D$2,$B$2,U$4)),0))</f>
        <v>0</v>
      </c>
      <c r="V307" s="251">
        <f>IF(V$4&gt;DAY(EOMONTH(DATE($D$2,$B$2,1),0)),"",IFERROR(SUMIFS(DATA_GOC!$H:$H,DATA_GOC!$A:$A,"BOM",DATA_GOC!$D:$D,$B307,DATA_GOC!$E:$E,"Dầu động cơ",DATA_GOC!$F:$F,"Xuất nội bộ từ téc",DATA_GOC!$B:$B,DATE($D$2,$B$2,V$4)),0))</f>
        <v>0</v>
      </c>
      <c r="W307" s="251">
        <f>IF(W$4&gt;DAY(EOMONTH(DATE($D$2,$B$2,1),0)),"",IFERROR(SUMIFS(DATA_GOC!$H:$H,DATA_GOC!$A:$A,"BOM",DATA_GOC!$D:$D,$B307,DATA_GOC!$E:$E,"Dầu động cơ",DATA_GOC!$F:$F,"Xuất nội bộ từ téc",DATA_GOC!$B:$B,DATE($D$2,$B$2,W$4)),0))</f>
        <v>0</v>
      </c>
      <c r="X307" s="251">
        <f>IF(X$4&gt;DAY(EOMONTH(DATE($D$2,$B$2,1),0)),"",IFERROR(SUMIFS(DATA_GOC!$H:$H,DATA_GOC!$A:$A,"BOM",DATA_GOC!$D:$D,$B307,DATA_GOC!$E:$E,"Dầu động cơ",DATA_GOC!$F:$F,"Xuất nội bộ từ téc",DATA_GOC!$B:$B,DATE($D$2,$B$2,X$4)),0))</f>
        <v>0</v>
      </c>
      <c r="Y307" s="251">
        <f>IF(Y$4&gt;DAY(EOMONTH(DATE($D$2,$B$2,1),0)),"",IFERROR(SUMIFS(DATA_GOC!$H:$H,DATA_GOC!$A:$A,"BOM",DATA_GOC!$D:$D,$B307,DATA_GOC!$E:$E,"Dầu động cơ",DATA_GOC!$F:$F,"Xuất nội bộ từ téc",DATA_GOC!$B:$B,DATE($D$2,$B$2,Y$4)),0))</f>
        <v>0</v>
      </c>
      <c r="Z307" s="251">
        <f>IF(Z$4&gt;DAY(EOMONTH(DATE($D$2,$B$2,1),0)),"",IFERROR(SUMIFS(DATA_GOC!$H:$H,DATA_GOC!$A:$A,"BOM",DATA_GOC!$D:$D,$B307,DATA_GOC!$E:$E,"Dầu động cơ",DATA_GOC!$F:$F,"Xuất nội bộ từ téc",DATA_GOC!$B:$B,DATE($D$2,$B$2,Z$4)),0))</f>
        <v>0</v>
      </c>
      <c r="AA307" s="251">
        <f>IF(AA$4&gt;DAY(EOMONTH(DATE($D$2,$B$2,1),0)),"",IFERROR(SUMIFS(DATA_GOC!$H:$H,DATA_GOC!$A:$A,"BOM",DATA_GOC!$D:$D,$B307,DATA_GOC!$E:$E,"Dầu động cơ",DATA_GOC!$F:$F,"Xuất nội bộ từ téc",DATA_GOC!$B:$B,DATE($D$2,$B$2,AA$4)),0))</f>
        <v>0</v>
      </c>
      <c r="AB307" s="251">
        <f>IF(AB$4&gt;DAY(EOMONTH(DATE($D$2,$B$2,1),0)),"",IFERROR(SUMIFS(DATA_GOC!$H:$H,DATA_GOC!$A:$A,"BOM",DATA_GOC!$D:$D,$B307,DATA_GOC!$E:$E,"Dầu động cơ",DATA_GOC!$F:$F,"Xuất nội bộ từ téc",DATA_GOC!$B:$B,DATE($D$2,$B$2,AB$4)),0))</f>
        <v>0</v>
      </c>
      <c r="AC307" s="251">
        <f>IF(AC$4&gt;DAY(EOMONTH(DATE($D$2,$B$2,1),0)),"",IFERROR(SUMIFS(DATA_GOC!$H:$H,DATA_GOC!$A:$A,"BOM",DATA_GOC!$D:$D,$B307,DATA_GOC!$E:$E,"Dầu động cơ",DATA_GOC!$F:$F,"Xuất nội bộ từ téc",DATA_GOC!$B:$B,DATE($D$2,$B$2,AC$4)),0))</f>
        <v>0</v>
      </c>
      <c r="AD307" s="251">
        <f>IF(AD$4&gt;DAY(EOMONTH(DATE($D$2,$B$2,1),0)),"",IFERROR(SUMIFS(DATA_GOC!$H:$H,DATA_GOC!$A:$A,"BOM",DATA_GOC!$D:$D,$B307,DATA_GOC!$E:$E,"Dầu động cơ",DATA_GOC!$F:$F,"Xuất nội bộ từ téc",DATA_GOC!$B:$B,DATE($D$2,$B$2,AD$4)),0))</f>
        <v>0</v>
      </c>
      <c r="AE307" s="251">
        <f>IF(AE$4&gt;DAY(EOMONTH(DATE($D$2,$B$2,1),0)),"",IFERROR(SUMIFS(DATA_GOC!$H:$H,DATA_GOC!$A:$A,"BOM",DATA_GOC!$D:$D,$B307,DATA_GOC!$E:$E,"Dầu động cơ",DATA_GOC!$F:$F,"Xuất nội bộ từ téc",DATA_GOC!$B:$B,DATE($D$2,$B$2,AE$4)),0))</f>
        <v>0</v>
      </c>
      <c r="AF307" s="251">
        <f>IF(AF$4&gt;DAY(EOMONTH(DATE($D$2,$B$2,1),0)),"",IFERROR(SUMIFS(DATA_GOC!$H:$H,DATA_GOC!$A:$A,"BOM",DATA_GOC!$D:$D,$B307,DATA_GOC!$E:$E,"Dầu động cơ",DATA_GOC!$F:$F,"Xuất nội bộ từ téc",DATA_GOC!$B:$B,DATE($D$2,$B$2,AF$4)),0))</f>
        <v>0</v>
      </c>
      <c r="AG307" s="251">
        <f>IF(AG$4&gt;DAY(EOMONTH(DATE($D$2,$B$2,1),0)),"",IFERROR(SUMIFS(DATA_GOC!$H:$H,DATA_GOC!$A:$A,"BOM",DATA_GOC!$D:$D,$B307,DATA_GOC!$E:$E,"Dầu động cơ",DATA_GOC!$F:$F,"Xuất nội bộ từ téc",DATA_GOC!$B:$B,DATE($D$2,$B$2,AG$4)),0))</f>
        <v>0</v>
      </c>
      <c r="AH307" s="252">
        <f t="shared" si="13"/>
        <v>0</v>
      </c>
      <c r="AI307" s="241"/>
      <c r="AJ307" s="242">
        <f>IF($B307="","",SUMIFS(TINH_TEC!$K$233:$K$9232,TINH_TEC!$H$233:$H$9232,$B307,TINH_TEC!$C$233:$C$9232,"Dầu động cơ",TINH_TEC!$F$233:$F$9232,$B$2,TINH_TEC!$G$233:$G$9232,$D$2,TINH_TEC!$B$233:$B$9232,"Đã chốt"))</f>
        <v>0</v>
      </c>
      <c r="AK307" s="242">
        <f>IF($B307="","",SUMIFS(TINH_TEC!$J$233:$J$9232,TINH_TEC!$H$233:$H$9232,$B307,TINH_TEC!$C$233:$C$9232,"Dầu động cơ",TINH_TEC!$F$233:$F$9232,$B$2,TINH_TEC!$G$233:$G$9232,$D$2,TINH_TEC!$B$233:$B$9232,"Đã chốt"))</f>
        <v>0</v>
      </c>
      <c r="AL307" s="242">
        <f t="shared" si="14"/>
        <v>0</v>
      </c>
    </row>
    <row r="308" ht="18.0" customHeight="1">
      <c r="A308" s="212"/>
      <c r="B308" s="253" t="s">
        <v>548</v>
      </c>
      <c r="C308" s="254">
        <f t="shared" ref="C308:AL308" si="15">SUM(C250:C307)</f>
        <v>0</v>
      </c>
      <c r="D308" s="254">
        <f t="shared" si="15"/>
        <v>52</v>
      </c>
      <c r="E308" s="254">
        <f t="shared" si="15"/>
        <v>0</v>
      </c>
      <c r="F308" s="254">
        <f t="shared" si="15"/>
        <v>28</v>
      </c>
      <c r="G308" s="254">
        <f t="shared" si="15"/>
        <v>0</v>
      </c>
      <c r="H308" s="254">
        <f t="shared" si="15"/>
        <v>0</v>
      </c>
      <c r="I308" s="254">
        <f t="shared" si="15"/>
        <v>0</v>
      </c>
      <c r="J308" s="254">
        <f t="shared" si="15"/>
        <v>0</v>
      </c>
      <c r="K308" s="254">
        <f t="shared" si="15"/>
        <v>0</v>
      </c>
      <c r="L308" s="254">
        <f t="shared" si="15"/>
        <v>0</v>
      </c>
      <c r="M308" s="254">
        <f t="shared" si="15"/>
        <v>0</v>
      </c>
      <c r="N308" s="254">
        <f t="shared" si="15"/>
        <v>0</v>
      </c>
      <c r="O308" s="254">
        <f t="shared" si="15"/>
        <v>0</v>
      </c>
      <c r="P308" s="254">
        <f t="shared" si="15"/>
        <v>0</v>
      </c>
      <c r="Q308" s="254">
        <f t="shared" si="15"/>
        <v>0</v>
      </c>
      <c r="R308" s="254">
        <f t="shared" si="15"/>
        <v>0</v>
      </c>
      <c r="S308" s="254">
        <f t="shared" si="15"/>
        <v>0</v>
      </c>
      <c r="T308" s="254">
        <f t="shared" si="15"/>
        <v>0</v>
      </c>
      <c r="U308" s="254">
        <f t="shared" si="15"/>
        <v>0</v>
      </c>
      <c r="V308" s="254">
        <f t="shared" si="15"/>
        <v>0</v>
      </c>
      <c r="W308" s="254">
        <f t="shared" si="15"/>
        <v>0</v>
      </c>
      <c r="X308" s="254">
        <f t="shared" si="15"/>
        <v>0</v>
      </c>
      <c r="Y308" s="254">
        <f t="shared" si="15"/>
        <v>0</v>
      </c>
      <c r="Z308" s="254">
        <f t="shared" si="15"/>
        <v>0</v>
      </c>
      <c r="AA308" s="254">
        <f t="shared" si="15"/>
        <v>0</v>
      </c>
      <c r="AB308" s="254">
        <f t="shared" si="15"/>
        <v>0</v>
      </c>
      <c r="AC308" s="254">
        <f t="shared" si="15"/>
        <v>0</v>
      </c>
      <c r="AD308" s="254">
        <f t="shared" si="15"/>
        <v>0</v>
      </c>
      <c r="AE308" s="254">
        <f t="shared" si="15"/>
        <v>0</v>
      </c>
      <c r="AF308" s="254">
        <f t="shared" si="15"/>
        <v>0</v>
      </c>
      <c r="AG308" s="254">
        <f t="shared" si="15"/>
        <v>0</v>
      </c>
      <c r="AH308" s="255">
        <f t="shared" si="15"/>
        <v>80</v>
      </c>
      <c r="AI308" s="256">
        <f t="shared" si="15"/>
        <v>0</v>
      </c>
      <c r="AJ308" s="257">
        <f t="shared" si="15"/>
        <v>0</v>
      </c>
      <c r="AK308" s="257">
        <f t="shared" si="15"/>
        <v>0</v>
      </c>
      <c r="AL308" s="257">
        <f t="shared" si="15"/>
        <v>80</v>
      </c>
    </row>
    <row r="309" ht="15.75" customHeight="1">
      <c r="A309" s="237"/>
      <c r="B309" s="258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2"/>
      <c r="AI309" s="260"/>
      <c r="AJ309" s="242"/>
      <c r="AK309" s="242"/>
      <c r="AL309" s="242"/>
    </row>
    <row r="310" ht="18.0" customHeight="1">
      <c r="A310" s="249" t="s">
        <v>549</v>
      </c>
    </row>
    <row r="311" ht="15.75" customHeight="1">
      <c r="A311" s="237">
        <f>IF($B311&lt;&gt;"",1,"")</f>
        <v>1</v>
      </c>
      <c r="B311" s="250" t="str">
        <f t="array" ref="B311">IFERROR(INDEX(DANH_MUC!$E:$E,4),"")</f>
        <v>19H09482</v>
      </c>
      <c r="C311" s="251">
        <f>IF(C$4&gt;DAY(EOMONTH(DATE($D$2,$B$2,1),0)),"",IFERROR(SUMIFS(DATA_GOC!$H:$H,DATA_GOC!$A:$A,"BOM",DATA_GOC!$D:$D,$B311,DATA_GOC!$E:$E,"Dầu thủy lực",DATA_GOC!$F:$F,"Xuất nội bộ từ téc",DATA_GOC!$B:$B,DATE($D$2,$B$2,C$4)),0))</f>
        <v>0</v>
      </c>
      <c r="D311" s="251">
        <f>IF(D$4&gt;DAY(EOMONTH(DATE($D$2,$B$2,1),0)),"",IFERROR(SUMIFS(DATA_GOC!$H:$H,DATA_GOC!$A:$A,"BOM",DATA_GOC!$D:$D,$B311,DATA_GOC!$E:$E,"Dầu thủy lực",DATA_GOC!$F:$F,"Xuất nội bộ từ téc",DATA_GOC!$B:$B,DATE($D$2,$B$2,D$4)),0))</f>
        <v>0</v>
      </c>
      <c r="E311" s="251">
        <f>IF(E$4&gt;DAY(EOMONTH(DATE($D$2,$B$2,1),0)),"",IFERROR(SUMIFS(DATA_GOC!$H:$H,DATA_GOC!$A:$A,"BOM",DATA_GOC!$D:$D,$B311,DATA_GOC!$E:$E,"Dầu thủy lực",DATA_GOC!$F:$F,"Xuất nội bộ từ téc",DATA_GOC!$B:$B,DATE($D$2,$B$2,E$4)),0))</f>
        <v>0</v>
      </c>
      <c r="F311" s="251">
        <f>IF(F$4&gt;DAY(EOMONTH(DATE($D$2,$B$2,1),0)),"",IFERROR(SUMIFS(DATA_GOC!$H:$H,DATA_GOC!$A:$A,"BOM",DATA_GOC!$D:$D,$B311,DATA_GOC!$E:$E,"Dầu thủy lực",DATA_GOC!$F:$F,"Xuất nội bộ từ téc",DATA_GOC!$B:$B,DATE($D$2,$B$2,F$4)),0))</f>
        <v>0</v>
      </c>
      <c r="G311" s="251">
        <f>IF(G$4&gt;DAY(EOMONTH(DATE($D$2,$B$2,1),0)),"",IFERROR(SUMIFS(DATA_GOC!$H:$H,DATA_GOC!$A:$A,"BOM",DATA_GOC!$D:$D,$B311,DATA_GOC!$E:$E,"Dầu thủy lực",DATA_GOC!$F:$F,"Xuất nội bộ từ téc",DATA_GOC!$B:$B,DATE($D$2,$B$2,G$4)),0))</f>
        <v>0</v>
      </c>
      <c r="H311" s="251">
        <f>IF(H$4&gt;DAY(EOMONTH(DATE($D$2,$B$2,1),0)),"",IFERROR(SUMIFS(DATA_GOC!$H:$H,DATA_GOC!$A:$A,"BOM",DATA_GOC!$D:$D,$B311,DATA_GOC!$E:$E,"Dầu thủy lực",DATA_GOC!$F:$F,"Xuất nội bộ từ téc",DATA_GOC!$B:$B,DATE($D$2,$B$2,H$4)),0))</f>
        <v>0</v>
      </c>
      <c r="I311" s="251">
        <f>IF(I$4&gt;DAY(EOMONTH(DATE($D$2,$B$2,1),0)),"",IFERROR(SUMIFS(DATA_GOC!$H:$H,DATA_GOC!$A:$A,"BOM",DATA_GOC!$D:$D,$B311,DATA_GOC!$E:$E,"Dầu thủy lực",DATA_GOC!$F:$F,"Xuất nội bộ từ téc",DATA_GOC!$B:$B,DATE($D$2,$B$2,I$4)),0))</f>
        <v>0</v>
      </c>
      <c r="J311" s="251">
        <f>IF(J$4&gt;DAY(EOMONTH(DATE($D$2,$B$2,1),0)),"",IFERROR(SUMIFS(DATA_GOC!$H:$H,DATA_GOC!$A:$A,"BOM",DATA_GOC!$D:$D,$B311,DATA_GOC!$E:$E,"Dầu thủy lực",DATA_GOC!$F:$F,"Xuất nội bộ từ téc",DATA_GOC!$B:$B,DATE($D$2,$B$2,J$4)),0))</f>
        <v>0</v>
      </c>
      <c r="K311" s="251">
        <f>IF(K$4&gt;DAY(EOMONTH(DATE($D$2,$B$2,1),0)),"",IFERROR(SUMIFS(DATA_GOC!$H:$H,DATA_GOC!$A:$A,"BOM",DATA_GOC!$D:$D,$B311,DATA_GOC!$E:$E,"Dầu thủy lực",DATA_GOC!$F:$F,"Xuất nội bộ từ téc",DATA_GOC!$B:$B,DATE($D$2,$B$2,K$4)),0))</f>
        <v>0</v>
      </c>
      <c r="L311" s="251">
        <f>IF(L$4&gt;DAY(EOMONTH(DATE($D$2,$B$2,1),0)),"",IFERROR(SUMIFS(DATA_GOC!$H:$H,DATA_GOC!$A:$A,"BOM",DATA_GOC!$D:$D,$B311,DATA_GOC!$E:$E,"Dầu thủy lực",DATA_GOC!$F:$F,"Xuất nội bộ từ téc",DATA_GOC!$B:$B,DATE($D$2,$B$2,L$4)),0))</f>
        <v>0</v>
      </c>
      <c r="M311" s="251">
        <f>IF(M$4&gt;DAY(EOMONTH(DATE($D$2,$B$2,1),0)),"",IFERROR(SUMIFS(DATA_GOC!$H:$H,DATA_GOC!$A:$A,"BOM",DATA_GOC!$D:$D,$B311,DATA_GOC!$E:$E,"Dầu thủy lực",DATA_GOC!$F:$F,"Xuất nội bộ từ téc",DATA_GOC!$B:$B,DATE($D$2,$B$2,M$4)),0))</f>
        <v>0</v>
      </c>
      <c r="N311" s="251">
        <f>IF(N$4&gt;DAY(EOMONTH(DATE($D$2,$B$2,1),0)),"",IFERROR(SUMIFS(DATA_GOC!$H:$H,DATA_GOC!$A:$A,"BOM",DATA_GOC!$D:$D,$B311,DATA_GOC!$E:$E,"Dầu thủy lực",DATA_GOC!$F:$F,"Xuất nội bộ từ téc",DATA_GOC!$B:$B,DATE($D$2,$B$2,N$4)),0))</f>
        <v>0</v>
      </c>
      <c r="O311" s="251">
        <f>IF(O$4&gt;DAY(EOMONTH(DATE($D$2,$B$2,1),0)),"",IFERROR(SUMIFS(DATA_GOC!$H:$H,DATA_GOC!$A:$A,"BOM",DATA_GOC!$D:$D,$B311,DATA_GOC!$E:$E,"Dầu thủy lực",DATA_GOC!$F:$F,"Xuất nội bộ từ téc",DATA_GOC!$B:$B,DATE($D$2,$B$2,O$4)),0))</f>
        <v>0</v>
      </c>
      <c r="P311" s="251">
        <f>IF(P$4&gt;DAY(EOMONTH(DATE($D$2,$B$2,1),0)),"",IFERROR(SUMIFS(DATA_GOC!$H:$H,DATA_GOC!$A:$A,"BOM",DATA_GOC!$D:$D,$B311,DATA_GOC!$E:$E,"Dầu thủy lực",DATA_GOC!$F:$F,"Xuất nội bộ từ téc",DATA_GOC!$B:$B,DATE($D$2,$B$2,P$4)),0))</f>
        <v>0</v>
      </c>
      <c r="Q311" s="251">
        <f>IF(Q$4&gt;DAY(EOMONTH(DATE($D$2,$B$2,1),0)),"",IFERROR(SUMIFS(DATA_GOC!$H:$H,DATA_GOC!$A:$A,"BOM",DATA_GOC!$D:$D,$B311,DATA_GOC!$E:$E,"Dầu thủy lực",DATA_GOC!$F:$F,"Xuất nội bộ từ téc",DATA_GOC!$B:$B,DATE($D$2,$B$2,Q$4)),0))</f>
        <v>0</v>
      </c>
      <c r="R311" s="251">
        <f>IF(R$4&gt;DAY(EOMONTH(DATE($D$2,$B$2,1),0)),"",IFERROR(SUMIFS(DATA_GOC!$H:$H,DATA_GOC!$A:$A,"BOM",DATA_GOC!$D:$D,$B311,DATA_GOC!$E:$E,"Dầu thủy lực",DATA_GOC!$F:$F,"Xuất nội bộ từ téc",DATA_GOC!$B:$B,DATE($D$2,$B$2,R$4)),0))</f>
        <v>0</v>
      </c>
      <c r="S311" s="251">
        <f>IF(S$4&gt;DAY(EOMONTH(DATE($D$2,$B$2,1),0)),"",IFERROR(SUMIFS(DATA_GOC!$H:$H,DATA_GOC!$A:$A,"BOM",DATA_GOC!$D:$D,$B311,DATA_GOC!$E:$E,"Dầu thủy lực",DATA_GOC!$F:$F,"Xuất nội bộ từ téc",DATA_GOC!$B:$B,DATE($D$2,$B$2,S$4)),0))</f>
        <v>0</v>
      </c>
      <c r="T311" s="251">
        <f>IF(T$4&gt;DAY(EOMONTH(DATE($D$2,$B$2,1),0)),"",IFERROR(SUMIFS(DATA_GOC!$H:$H,DATA_GOC!$A:$A,"BOM",DATA_GOC!$D:$D,$B311,DATA_GOC!$E:$E,"Dầu thủy lực",DATA_GOC!$F:$F,"Xuất nội bộ từ téc",DATA_GOC!$B:$B,DATE($D$2,$B$2,T$4)),0))</f>
        <v>0</v>
      </c>
      <c r="U311" s="251">
        <f>IF(U$4&gt;DAY(EOMONTH(DATE($D$2,$B$2,1),0)),"",IFERROR(SUMIFS(DATA_GOC!$H:$H,DATA_GOC!$A:$A,"BOM",DATA_GOC!$D:$D,$B311,DATA_GOC!$E:$E,"Dầu thủy lực",DATA_GOC!$F:$F,"Xuất nội bộ từ téc",DATA_GOC!$B:$B,DATE($D$2,$B$2,U$4)),0))</f>
        <v>0</v>
      </c>
      <c r="V311" s="251">
        <f>IF(V$4&gt;DAY(EOMONTH(DATE($D$2,$B$2,1),0)),"",IFERROR(SUMIFS(DATA_GOC!$H:$H,DATA_GOC!$A:$A,"BOM",DATA_GOC!$D:$D,$B311,DATA_GOC!$E:$E,"Dầu thủy lực",DATA_GOC!$F:$F,"Xuất nội bộ từ téc",DATA_GOC!$B:$B,DATE($D$2,$B$2,V$4)),0))</f>
        <v>0</v>
      </c>
      <c r="W311" s="251">
        <f>IF(W$4&gt;DAY(EOMONTH(DATE($D$2,$B$2,1),0)),"",IFERROR(SUMIFS(DATA_GOC!$H:$H,DATA_GOC!$A:$A,"BOM",DATA_GOC!$D:$D,$B311,DATA_GOC!$E:$E,"Dầu thủy lực",DATA_GOC!$F:$F,"Xuất nội bộ từ téc",DATA_GOC!$B:$B,DATE($D$2,$B$2,W$4)),0))</f>
        <v>0</v>
      </c>
      <c r="X311" s="251">
        <f>IF(X$4&gt;DAY(EOMONTH(DATE($D$2,$B$2,1),0)),"",IFERROR(SUMIFS(DATA_GOC!$H:$H,DATA_GOC!$A:$A,"BOM",DATA_GOC!$D:$D,$B311,DATA_GOC!$E:$E,"Dầu thủy lực",DATA_GOC!$F:$F,"Xuất nội bộ từ téc",DATA_GOC!$B:$B,DATE($D$2,$B$2,X$4)),0))</f>
        <v>0</v>
      </c>
      <c r="Y311" s="251">
        <f>IF(Y$4&gt;DAY(EOMONTH(DATE($D$2,$B$2,1),0)),"",IFERROR(SUMIFS(DATA_GOC!$H:$H,DATA_GOC!$A:$A,"BOM",DATA_GOC!$D:$D,$B311,DATA_GOC!$E:$E,"Dầu thủy lực",DATA_GOC!$F:$F,"Xuất nội bộ từ téc",DATA_GOC!$B:$B,DATE($D$2,$B$2,Y$4)),0))</f>
        <v>0</v>
      </c>
      <c r="Z311" s="251">
        <f>IF(Z$4&gt;DAY(EOMONTH(DATE($D$2,$B$2,1),0)),"",IFERROR(SUMIFS(DATA_GOC!$H:$H,DATA_GOC!$A:$A,"BOM",DATA_GOC!$D:$D,$B311,DATA_GOC!$E:$E,"Dầu thủy lực",DATA_GOC!$F:$F,"Xuất nội bộ từ téc",DATA_GOC!$B:$B,DATE($D$2,$B$2,Z$4)),0))</f>
        <v>0</v>
      </c>
      <c r="AA311" s="251">
        <f>IF(AA$4&gt;DAY(EOMONTH(DATE($D$2,$B$2,1),0)),"",IFERROR(SUMIFS(DATA_GOC!$H:$H,DATA_GOC!$A:$A,"BOM",DATA_GOC!$D:$D,$B311,DATA_GOC!$E:$E,"Dầu thủy lực",DATA_GOC!$F:$F,"Xuất nội bộ từ téc",DATA_GOC!$B:$B,DATE($D$2,$B$2,AA$4)),0))</f>
        <v>0</v>
      </c>
      <c r="AB311" s="251">
        <f>IF(AB$4&gt;DAY(EOMONTH(DATE($D$2,$B$2,1),0)),"",IFERROR(SUMIFS(DATA_GOC!$H:$H,DATA_GOC!$A:$A,"BOM",DATA_GOC!$D:$D,$B311,DATA_GOC!$E:$E,"Dầu thủy lực",DATA_GOC!$F:$F,"Xuất nội bộ từ téc",DATA_GOC!$B:$B,DATE($D$2,$B$2,AB$4)),0))</f>
        <v>0</v>
      </c>
      <c r="AC311" s="251">
        <f>IF(AC$4&gt;DAY(EOMONTH(DATE($D$2,$B$2,1),0)),"",IFERROR(SUMIFS(DATA_GOC!$H:$H,DATA_GOC!$A:$A,"BOM",DATA_GOC!$D:$D,$B311,DATA_GOC!$E:$E,"Dầu thủy lực",DATA_GOC!$F:$F,"Xuất nội bộ từ téc",DATA_GOC!$B:$B,DATE($D$2,$B$2,AC$4)),0))</f>
        <v>0</v>
      </c>
      <c r="AD311" s="251">
        <f>IF(AD$4&gt;DAY(EOMONTH(DATE($D$2,$B$2,1),0)),"",IFERROR(SUMIFS(DATA_GOC!$H:$H,DATA_GOC!$A:$A,"BOM",DATA_GOC!$D:$D,$B311,DATA_GOC!$E:$E,"Dầu thủy lực",DATA_GOC!$F:$F,"Xuất nội bộ từ téc",DATA_GOC!$B:$B,DATE($D$2,$B$2,AD$4)),0))</f>
        <v>0</v>
      </c>
      <c r="AE311" s="251">
        <f>IF(AE$4&gt;DAY(EOMONTH(DATE($D$2,$B$2,1),0)),"",IFERROR(SUMIFS(DATA_GOC!$H:$H,DATA_GOC!$A:$A,"BOM",DATA_GOC!$D:$D,$B311,DATA_GOC!$E:$E,"Dầu thủy lực",DATA_GOC!$F:$F,"Xuất nội bộ từ téc",DATA_GOC!$B:$B,DATE($D$2,$B$2,AE$4)),0))</f>
        <v>0</v>
      </c>
      <c r="AF311" s="251">
        <f>IF(AF$4&gt;DAY(EOMONTH(DATE($D$2,$B$2,1),0)),"",IFERROR(SUMIFS(DATA_GOC!$H:$H,DATA_GOC!$A:$A,"BOM",DATA_GOC!$D:$D,$B311,DATA_GOC!$E:$E,"Dầu thủy lực",DATA_GOC!$F:$F,"Xuất nội bộ từ téc",DATA_GOC!$B:$B,DATE($D$2,$B$2,AF$4)),0))</f>
        <v>0</v>
      </c>
      <c r="AG311" s="251">
        <f>IF(AG$4&gt;DAY(EOMONTH(DATE($D$2,$B$2,1),0)),"",IFERROR(SUMIFS(DATA_GOC!$H:$H,DATA_GOC!$A:$A,"BOM",DATA_GOC!$D:$D,$B311,DATA_GOC!$E:$E,"Dầu thủy lực",DATA_GOC!$F:$F,"Xuất nội bộ từ téc",DATA_GOC!$B:$B,DATE($D$2,$B$2,AG$4)),0))</f>
        <v>0</v>
      </c>
      <c r="AH311" s="252">
        <f t="shared" ref="AH311:AH368" si="16">SUM(C311:AG311)</f>
        <v>0</v>
      </c>
      <c r="AI311" s="241"/>
      <c r="AJ311" s="242">
        <f>IF($B311="","",SUMIFS(TINH_TEC!$K$233:$K$9232,TINH_TEC!$H$233:$H$9232,$B311,TINH_TEC!$C$233:$C$9232,"Dầu thủy lực",TINH_TEC!$F$233:$F$9232,$B$2,TINH_TEC!$G$233:$G$9232,$D$2,TINH_TEC!$B$233:$B$9232,"Đã chốt"))</f>
        <v>0</v>
      </c>
      <c r="AK311" s="242">
        <f>IF($B311="","",SUMIFS(TINH_TEC!$J$233:$J$9232,TINH_TEC!$H$233:$H$9232,$B311,TINH_TEC!$C$233:$C$9232,"Dầu thủy lực",TINH_TEC!$F$233:$F$9232,$B$2,TINH_TEC!$G$233:$G$9232,$D$2,TINH_TEC!$B$233:$B$9232,"Đã chốt"))</f>
        <v>0</v>
      </c>
      <c r="AL311" s="242">
        <f t="shared" ref="AL311:AL368" si="17">IF($B311="","",N(AH311)+N(AI311)+N(AK311)-N(AJ311))</f>
        <v>0</v>
      </c>
    </row>
    <row r="312" ht="15.75" customHeight="1">
      <c r="A312" s="237">
        <f>IF($B312&lt;&gt;"",2,"")</f>
        <v>2</v>
      </c>
      <c r="B312" s="250" t="str">
        <f t="array" ref="B312">IFERROR(INDEX(DANH_MUC!$E:$E,5),"")</f>
        <v>28A30696</v>
      </c>
      <c r="C312" s="251">
        <f>IF(C$4&gt;DAY(EOMONTH(DATE($D$2,$B$2,1),0)),"",IFERROR(SUMIFS(DATA_GOC!$H:$H,DATA_GOC!$A:$A,"BOM",DATA_GOC!$D:$D,$B312,DATA_GOC!$E:$E,"Dầu thủy lực",DATA_GOC!$F:$F,"Xuất nội bộ từ téc",DATA_GOC!$B:$B,DATE($D$2,$B$2,C$4)),0))</f>
        <v>0</v>
      </c>
      <c r="D312" s="251">
        <f>IF(D$4&gt;DAY(EOMONTH(DATE($D$2,$B$2,1),0)),"",IFERROR(SUMIFS(DATA_GOC!$H:$H,DATA_GOC!$A:$A,"BOM",DATA_GOC!$D:$D,$B312,DATA_GOC!$E:$E,"Dầu thủy lực",DATA_GOC!$F:$F,"Xuất nội bộ từ téc",DATA_GOC!$B:$B,DATE($D$2,$B$2,D$4)),0))</f>
        <v>0</v>
      </c>
      <c r="E312" s="251">
        <f>IF(E$4&gt;DAY(EOMONTH(DATE($D$2,$B$2,1),0)),"",IFERROR(SUMIFS(DATA_GOC!$H:$H,DATA_GOC!$A:$A,"BOM",DATA_GOC!$D:$D,$B312,DATA_GOC!$E:$E,"Dầu thủy lực",DATA_GOC!$F:$F,"Xuất nội bộ từ téc",DATA_GOC!$B:$B,DATE($D$2,$B$2,E$4)),0))</f>
        <v>0</v>
      </c>
      <c r="F312" s="251">
        <f>IF(F$4&gt;DAY(EOMONTH(DATE($D$2,$B$2,1),0)),"",IFERROR(SUMIFS(DATA_GOC!$H:$H,DATA_GOC!$A:$A,"BOM",DATA_GOC!$D:$D,$B312,DATA_GOC!$E:$E,"Dầu thủy lực",DATA_GOC!$F:$F,"Xuất nội bộ từ téc",DATA_GOC!$B:$B,DATE($D$2,$B$2,F$4)),0))</f>
        <v>0</v>
      </c>
      <c r="G312" s="251">
        <f>IF(G$4&gt;DAY(EOMONTH(DATE($D$2,$B$2,1),0)),"",IFERROR(SUMIFS(DATA_GOC!$H:$H,DATA_GOC!$A:$A,"BOM",DATA_GOC!$D:$D,$B312,DATA_GOC!$E:$E,"Dầu thủy lực",DATA_GOC!$F:$F,"Xuất nội bộ từ téc",DATA_GOC!$B:$B,DATE($D$2,$B$2,G$4)),0))</f>
        <v>0</v>
      </c>
      <c r="H312" s="251">
        <f>IF(H$4&gt;DAY(EOMONTH(DATE($D$2,$B$2,1),0)),"",IFERROR(SUMIFS(DATA_GOC!$H:$H,DATA_GOC!$A:$A,"BOM",DATA_GOC!$D:$D,$B312,DATA_GOC!$E:$E,"Dầu thủy lực",DATA_GOC!$F:$F,"Xuất nội bộ từ téc",DATA_GOC!$B:$B,DATE($D$2,$B$2,H$4)),0))</f>
        <v>0</v>
      </c>
      <c r="I312" s="251">
        <f>IF(I$4&gt;DAY(EOMONTH(DATE($D$2,$B$2,1),0)),"",IFERROR(SUMIFS(DATA_GOC!$H:$H,DATA_GOC!$A:$A,"BOM",DATA_GOC!$D:$D,$B312,DATA_GOC!$E:$E,"Dầu thủy lực",DATA_GOC!$F:$F,"Xuất nội bộ từ téc",DATA_GOC!$B:$B,DATE($D$2,$B$2,I$4)),0))</f>
        <v>0</v>
      </c>
      <c r="J312" s="251">
        <f>IF(J$4&gt;DAY(EOMONTH(DATE($D$2,$B$2,1),0)),"",IFERROR(SUMIFS(DATA_GOC!$H:$H,DATA_GOC!$A:$A,"BOM",DATA_GOC!$D:$D,$B312,DATA_GOC!$E:$E,"Dầu thủy lực",DATA_GOC!$F:$F,"Xuất nội bộ từ téc",DATA_GOC!$B:$B,DATE($D$2,$B$2,J$4)),0))</f>
        <v>0</v>
      </c>
      <c r="K312" s="251">
        <f>IF(K$4&gt;DAY(EOMONTH(DATE($D$2,$B$2,1),0)),"",IFERROR(SUMIFS(DATA_GOC!$H:$H,DATA_GOC!$A:$A,"BOM",DATA_GOC!$D:$D,$B312,DATA_GOC!$E:$E,"Dầu thủy lực",DATA_GOC!$F:$F,"Xuất nội bộ từ téc",DATA_GOC!$B:$B,DATE($D$2,$B$2,K$4)),0))</f>
        <v>0</v>
      </c>
      <c r="L312" s="251">
        <f>IF(L$4&gt;DAY(EOMONTH(DATE($D$2,$B$2,1),0)),"",IFERROR(SUMIFS(DATA_GOC!$H:$H,DATA_GOC!$A:$A,"BOM",DATA_GOC!$D:$D,$B312,DATA_GOC!$E:$E,"Dầu thủy lực",DATA_GOC!$F:$F,"Xuất nội bộ từ téc",DATA_GOC!$B:$B,DATE($D$2,$B$2,L$4)),0))</f>
        <v>0</v>
      </c>
      <c r="M312" s="251">
        <f>IF(M$4&gt;DAY(EOMONTH(DATE($D$2,$B$2,1),0)),"",IFERROR(SUMIFS(DATA_GOC!$H:$H,DATA_GOC!$A:$A,"BOM",DATA_GOC!$D:$D,$B312,DATA_GOC!$E:$E,"Dầu thủy lực",DATA_GOC!$F:$F,"Xuất nội bộ từ téc",DATA_GOC!$B:$B,DATE($D$2,$B$2,M$4)),0))</f>
        <v>0</v>
      </c>
      <c r="N312" s="251">
        <f>IF(N$4&gt;DAY(EOMONTH(DATE($D$2,$B$2,1),0)),"",IFERROR(SUMIFS(DATA_GOC!$H:$H,DATA_GOC!$A:$A,"BOM",DATA_GOC!$D:$D,$B312,DATA_GOC!$E:$E,"Dầu thủy lực",DATA_GOC!$F:$F,"Xuất nội bộ từ téc",DATA_GOC!$B:$B,DATE($D$2,$B$2,N$4)),0))</f>
        <v>0</v>
      </c>
      <c r="O312" s="251">
        <f>IF(O$4&gt;DAY(EOMONTH(DATE($D$2,$B$2,1),0)),"",IFERROR(SUMIFS(DATA_GOC!$H:$H,DATA_GOC!$A:$A,"BOM",DATA_GOC!$D:$D,$B312,DATA_GOC!$E:$E,"Dầu thủy lực",DATA_GOC!$F:$F,"Xuất nội bộ từ téc",DATA_GOC!$B:$B,DATE($D$2,$B$2,O$4)),0))</f>
        <v>0</v>
      </c>
      <c r="P312" s="251">
        <f>IF(P$4&gt;DAY(EOMONTH(DATE($D$2,$B$2,1),0)),"",IFERROR(SUMIFS(DATA_GOC!$H:$H,DATA_GOC!$A:$A,"BOM",DATA_GOC!$D:$D,$B312,DATA_GOC!$E:$E,"Dầu thủy lực",DATA_GOC!$F:$F,"Xuất nội bộ từ téc",DATA_GOC!$B:$B,DATE($D$2,$B$2,P$4)),0))</f>
        <v>0</v>
      </c>
      <c r="Q312" s="251">
        <f>IF(Q$4&gt;DAY(EOMONTH(DATE($D$2,$B$2,1),0)),"",IFERROR(SUMIFS(DATA_GOC!$H:$H,DATA_GOC!$A:$A,"BOM",DATA_GOC!$D:$D,$B312,DATA_GOC!$E:$E,"Dầu thủy lực",DATA_GOC!$F:$F,"Xuất nội bộ từ téc",DATA_GOC!$B:$B,DATE($D$2,$B$2,Q$4)),0))</f>
        <v>0</v>
      </c>
      <c r="R312" s="251">
        <f>IF(R$4&gt;DAY(EOMONTH(DATE($D$2,$B$2,1),0)),"",IFERROR(SUMIFS(DATA_GOC!$H:$H,DATA_GOC!$A:$A,"BOM",DATA_GOC!$D:$D,$B312,DATA_GOC!$E:$E,"Dầu thủy lực",DATA_GOC!$F:$F,"Xuất nội bộ từ téc",DATA_GOC!$B:$B,DATE($D$2,$B$2,R$4)),0))</f>
        <v>0</v>
      </c>
      <c r="S312" s="251">
        <f>IF(S$4&gt;DAY(EOMONTH(DATE($D$2,$B$2,1),0)),"",IFERROR(SUMIFS(DATA_GOC!$H:$H,DATA_GOC!$A:$A,"BOM",DATA_GOC!$D:$D,$B312,DATA_GOC!$E:$E,"Dầu thủy lực",DATA_GOC!$F:$F,"Xuất nội bộ từ téc",DATA_GOC!$B:$B,DATE($D$2,$B$2,S$4)),0))</f>
        <v>0</v>
      </c>
      <c r="T312" s="251">
        <f>IF(T$4&gt;DAY(EOMONTH(DATE($D$2,$B$2,1),0)),"",IFERROR(SUMIFS(DATA_GOC!$H:$H,DATA_GOC!$A:$A,"BOM",DATA_GOC!$D:$D,$B312,DATA_GOC!$E:$E,"Dầu thủy lực",DATA_GOC!$F:$F,"Xuất nội bộ từ téc",DATA_GOC!$B:$B,DATE($D$2,$B$2,T$4)),0))</f>
        <v>0</v>
      </c>
      <c r="U312" s="251">
        <f>IF(U$4&gt;DAY(EOMONTH(DATE($D$2,$B$2,1),0)),"",IFERROR(SUMIFS(DATA_GOC!$H:$H,DATA_GOC!$A:$A,"BOM",DATA_GOC!$D:$D,$B312,DATA_GOC!$E:$E,"Dầu thủy lực",DATA_GOC!$F:$F,"Xuất nội bộ từ téc",DATA_GOC!$B:$B,DATE($D$2,$B$2,U$4)),0))</f>
        <v>0</v>
      </c>
      <c r="V312" s="251">
        <f>IF(V$4&gt;DAY(EOMONTH(DATE($D$2,$B$2,1),0)),"",IFERROR(SUMIFS(DATA_GOC!$H:$H,DATA_GOC!$A:$A,"BOM",DATA_GOC!$D:$D,$B312,DATA_GOC!$E:$E,"Dầu thủy lực",DATA_GOC!$F:$F,"Xuất nội bộ từ téc",DATA_GOC!$B:$B,DATE($D$2,$B$2,V$4)),0))</f>
        <v>0</v>
      </c>
      <c r="W312" s="251">
        <f>IF(W$4&gt;DAY(EOMONTH(DATE($D$2,$B$2,1),0)),"",IFERROR(SUMIFS(DATA_GOC!$H:$H,DATA_GOC!$A:$A,"BOM",DATA_GOC!$D:$D,$B312,DATA_GOC!$E:$E,"Dầu thủy lực",DATA_GOC!$F:$F,"Xuất nội bộ từ téc",DATA_GOC!$B:$B,DATE($D$2,$B$2,W$4)),0))</f>
        <v>0</v>
      </c>
      <c r="X312" s="251">
        <f>IF(X$4&gt;DAY(EOMONTH(DATE($D$2,$B$2,1),0)),"",IFERROR(SUMIFS(DATA_GOC!$H:$H,DATA_GOC!$A:$A,"BOM",DATA_GOC!$D:$D,$B312,DATA_GOC!$E:$E,"Dầu thủy lực",DATA_GOC!$F:$F,"Xuất nội bộ từ téc",DATA_GOC!$B:$B,DATE($D$2,$B$2,X$4)),0))</f>
        <v>0</v>
      </c>
      <c r="Y312" s="251">
        <f>IF(Y$4&gt;DAY(EOMONTH(DATE($D$2,$B$2,1),0)),"",IFERROR(SUMIFS(DATA_GOC!$H:$H,DATA_GOC!$A:$A,"BOM",DATA_GOC!$D:$D,$B312,DATA_GOC!$E:$E,"Dầu thủy lực",DATA_GOC!$F:$F,"Xuất nội bộ từ téc",DATA_GOC!$B:$B,DATE($D$2,$B$2,Y$4)),0))</f>
        <v>0</v>
      </c>
      <c r="Z312" s="251">
        <f>IF(Z$4&gt;DAY(EOMONTH(DATE($D$2,$B$2,1),0)),"",IFERROR(SUMIFS(DATA_GOC!$H:$H,DATA_GOC!$A:$A,"BOM",DATA_GOC!$D:$D,$B312,DATA_GOC!$E:$E,"Dầu thủy lực",DATA_GOC!$F:$F,"Xuất nội bộ từ téc",DATA_GOC!$B:$B,DATE($D$2,$B$2,Z$4)),0))</f>
        <v>0</v>
      </c>
      <c r="AA312" s="251">
        <f>IF(AA$4&gt;DAY(EOMONTH(DATE($D$2,$B$2,1),0)),"",IFERROR(SUMIFS(DATA_GOC!$H:$H,DATA_GOC!$A:$A,"BOM",DATA_GOC!$D:$D,$B312,DATA_GOC!$E:$E,"Dầu thủy lực",DATA_GOC!$F:$F,"Xuất nội bộ từ téc",DATA_GOC!$B:$B,DATE($D$2,$B$2,AA$4)),0))</f>
        <v>0</v>
      </c>
      <c r="AB312" s="251">
        <f>IF(AB$4&gt;DAY(EOMONTH(DATE($D$2,$B$2,1),0)),"",IFERROR(SUMIFS(DATA_GOC!$H:$H,DATA_GOC!$A:$A,"BOM",DATA_GOC!$D:$D,$B312,DATA_GOC!$E:$E,"Dầu thủy lực",DATA_GOC!$F:$F,"Xuất nội bộ từ téc",DATA_GOC!$B:$B,DATE($D$2,$B$2,AB$4)),0))</f>
        <v>0</v>
      </c>
      <c r="AC312" s="251">
        <f>IF(AC$4&gt;DAY(EOMONTH(DATE($D$2,$B$2,1),0)),"",IFERROR(SUMIFS(DATA_GOC!$H:$H,DATA_GOC!$A:$A,"BOM",DATA_GOC!$D:$D,$B312,DATA_GOC!$E:$E,"Dầu thủy lực",DATA_GOC!$F:$F,"Xuất nội bộ từ téc",DATA_GOC!$B:$B,DATE($D$2,$B$2,AC$4)),0))</f>
        <v>0</v>
      </c>
      <c r="AD312" s="251">
        <f>IF(AD$4&gt;DAY(EOMONTH(DATE($D$2,$B$2,1),0)),"",IFERROR(SUMIFS(DATA_GOC!$H:$H,DATA_GOC!$A:$A,"BOM",DATA_GOC!$D:$D,$B312,DATA_GOC!$E:$E,"Dầu thủy lực",DATA_GOC!$F:$F,"Xuất nội bộ từ téc",DATA_GOC!$B:$B,DATE($D$2,$B$2,AD$4)),0))</f>
        <v>0</v>
      </c>
      <c r="AE312" s="251">
        <f>IF(AE$4&gt;DAY(EOMONTH(DATE($D$2,$B$2,1),0)),"",IFERROR(SUMIFS(DATA_GOC!$H:$H,DATA_GOC!$A:$A,"BOM",DATA_GOC!$D:$D,$B312,DATA_GOC!$E:$E,"Dầu thủy lực",DATA_GOC!$F:$F,"Xuất nội bộ từ téc",DATA_GOC!$B:$B,DATE($D$2,$B$2,AE$4)),0))</f>
        <v>0</v>
      </c>
      <c r="AF312" s="251">
        <f>IF(AF$4&gt;DAY(EOMONTH(DATE($D$2,$B$2,1),0)),"",IFERROR(SUMIFS(DATA_GOC!$H:$H,DATA_GOC!$A:$A,"BOM",DATA_GOC!$D:$D,$B312,DATA_GOC!$E:$E,"Dầu thủy lực",DATA_GOC!$F:$F,"Xuất nội bộ từ téc",DATA_GOC!$B:$B,DATE($D$2,$B$2,AF$4)),0))</f>
        <v>0</v>
      </c>
      <c r="AG312" s="251">
        <f>IF(AG$4&gt;DAY(EOMONTH(DATE($D$2,$B$2,1),0)),"",IFERROR(SUMIFS(DATA_GOC!$H:$H,DATA_GOC!$A:$A,"BOM",DATA_GOC!$D:$D,$B312,DATA_GOC!$E:$E,"Dầu thủy lực",DATA_GOC!$F:$F,"Xuất nội bộ từ téc",DATA_GOC!$B:$B,DATE($D$2,$B$2,AG$4)),0))</f>
        <v>0</v>
      </c>
      <c r="AH312" s="252">
        <f t="shared" si="16"/>
        <v>0</v>
      </c>
      <c r="AI312" s="241"/>
      <c r="AJ312" s="242">
        <f>IF($B312="","",SUMIFS(TINH_TEC!$K$233:$K$9232,TINH_TEC!$H$233:$H$9232,$B312,TINH_TEC!$C$233:$C$9232,"Dầu thủy lực",TINH_TEC!$F$233:$F$9232,$B$2,TINH_TEC!$G$233:$G$9232,$D$2,TINH_TEC!$B$233:$B$9232,"Đã chốt"))</f>
        <v>0</v>
      </c>
      <c r="AK312" s="242">
        <f>IF($B312="","",SUMIFS(TINH_TEC!$J$233:$J$9232,TINH_TEC!$H$233:$H$9232,$B312,TINH_TEC!$C$233:$C$9232,"Dầu thủy lực",TINH_TEC!$F$233:$F$9232,$B$2,TINH_TEC!$G$233:$G$9232,$D$2,TINH_TEC!$B$233:$B$9232,"Đã chốt"))</f>
        <v>0</v>
      </c>
      <c r="AL312" s="242">
        <f t="shared" si="17"/>
        <v>0</v>
      </c>
    </row>
    <row r="313" ht="15.75" customHeight="1">
      <c r="A313" s="237">
        <f>IF($B313&lt;&gt;"",3,"")</f>
        <v>3</v>
      </c>
      <c r="B313" s="250" t="str">
        <f t="array" ref="B313">IFERROR(INDEX(DANH_MUC!$E:$E,6),"")</f>
        <v>28C00462</v>
      </c>
      <c r="C313" s="251">
        <f>IF(C$4&gt;DAY(EOMONTH(DATE($D$2,$B$2,1),0)),"",IFERROR(SUMIFS(DATA_GOC!$H:$H,DATA_GOC!$A:$A,"BOM",DATA_GOC!$D:$D,$B313,DATA_GOC!$E:$E,"Dầu thủy lực",DATA_GOC!$F:$F,"Xuất nội bộ từ téc",DATA_GOC!$B:$B,DATE($D$2,$B$2,C$4)),0))</f>
        <v>0</v>
      </c>
      <c r="D313" s="251">
        <f>IF(D$4&gt;DAY(EOMONTH(DATE($D$2,$B$2,1),0)),"",IFERROR(SUMIFS(DATA_GOC!$H:$H,DATA_GOC!$A:$A,"BOM",DATA_GOC!$D:$D,$B313,DATA_GOC!$E:$E,"Dầu thủy lực",DATA_GOC!$F:$F,"Xuất nội bộ từ téc",DATA_GOC!$B:$B,DATE($D$2,$B$2,D$4)),0))</f>
        <v>0</v>
      </c>
      <c r="E313" s="251">
        <f>IF(E$4&gt;DAY(EOMONTH(DATE($D$2,$B$2,1),0)),"",IFERROR(SUMIFS(DATA_GOC!$H:$H,DATA_GOC!$A:$A,"BOM",DATA_GOC!$D:$D,$B313,DATA_GOC!$E:$E,"Dầu thủy lực",DATA_GOC!$F:$F,"Xuất nội bộ từ téc",DATA_GOC!$B:$B,DATE($D$2,$B$2,E$4)),0))</f>
        <v>0</v>
      </c>
      <c r="F313" s="251">
        <f>IF(F$4&gt;DAY(EOMONTH(DATE($D$2,$B$2,1),0)),"",IFERROR(SUMIFS(DATA_GOC!$H:$H,DATA_GOC!$A:$A,"BOM",DATA_GOC!$D:$D,$B313,DATA_GOC!$E:$E,"Dầu thủy lực",DATA_GOC!$F:$F,"Xuất nội bộ từ téc",DATA_GOC!$B:$B,DATE($D$2,$B$2,F$4)),0))</f>
        <v>0</v>
      </c>
      <c r="G313" s="251">
        <f>IF(G$4&gt;DAY(EOMONTH(DATE($D$2,$B$2,1),0)),"",IFERROR(SUMIFS(DATA_GOC!$H:$H,DATA_GOC!$A:$A,"BOM",DATA_GOC!$D:$D,$B313,DATA_GOC!$E:$E,"Dầu thủy lực",DATA_GOC!$F:$F,"Xuất nội bộ từ téc",DATA_GOC!$B:$B,DATE($D$2,$B$2,G$4)),0))</f>
        <v>0</v>
      </c>
      <c r="H313" s="251">
        <f>IF(H$4&gt;DAY(EOMONTH(DATE($D$2,$B$2,1),0)),"",IFERROR(SUMIFS(DATA_GOC!$H:$H,DATA_GOC!$A:$A,"BOM",DATA_GOC!$D:$D,$B313,DATA_GOC!$E:$E,"Dầu thủy lực",DATA_GOC!$F:$F,"Xuất nội bộ từ téc",DATA_GOC!$B:$B,DATE($D$2,$B$2,H$4)),0))</f>
        <v>0</v>
      </c>
      <c r="I313" s="251">
        <f>IF(I$4&gt;DAY(EOMONTH(DATE($D$2,$B$2,1),0)),"",IFERROR(SUMIFS(DATA_GOC!$H:$H,DATA_GOC!$A:$A,"BOM",DATA_GOC!$D:$D,$B313,DATA_GOC!$E:$E,"Dầu thủy lực",DATA_GOC!$F:$F,"Xuất nội bộ từ téc",DATA_GOC!$B:$B,DATE($D$2,$B$2,I$4)),0))</f>
        <v>0</v>
      </c>
      <c r="J313" s="251">
        <f>IF(J$4&gt;DAY(EOMONTH(DATE($D$2,$B$2,1),0)),"",IFERROR(SUMIFS(DATA_GOC!$H:$H,DATA_GOC!$A:$A,"BOM",DATA_GOC!$D:$D,$B313,DATA_GOC!$E:$E,"Dầu thủy lực",DATA_GOC!$F:$F,"Xuất nội bộ từ téc",DATA_GOC!$B:$B,DATE($D$2,$B$2,J$4)),0))</f>
        <v>0</v>
      </c>
      <c r="K313" s="251">
        <f>IF(K$4&gt;DAY(EOMONTH(DATE($D$2,$B$2,1),0)),"",IFERROR(SUMIFS(DATA_GOC!$H:$H,DATA_GOC!$A:$A,"BOM",DATA_GOC!$D:$D,$B313,DATA_GOC!$E:$E,"Dầu thủy lực",DATA_GOC!$F:$F,"Xuất nội bộ từ téc",DATA_GOC!$B:$B,DATE($D$2,$B$2,K$4)),0))</f>
        <v>0</v>
      </c>
      <c r="L313" s="251">
        <f>IF(L$4&gt;DAY(EOMONTH(DATE($D$2,$B$2,1),0)),"",IFERROR(SUMIFS(DATA_GOC!$H:$H,DATA_GOC!$A:$A,"BOM",DATA_GOC!$D:$D,$B313,DATA_GOC!$E:$E,"Dầu thủy lực",DATA_GOC!$F:$F,"Xuất nội bộ từ téc",DATA_GOC!$B:$B,DATE($D$2,$B$2,L$4)),0))</f>
        <v>0</v>
      </c>
      <c r="M313" s="251">
        <f>IF(M$4&gt;DAY(EOMONTH(DATE($D$2,$B$2,1),0)),"",IFERROR(SUMIFS(DATA_GOC!$H:$H,DATA_GOC!$A:$A,"BOM",DATA_GOC!$D:$D,$B313,DATA_GOC!$E:$E,"Dầu thủy lực",DATA_GOC!$F:$F,"Xuất nội bộ từ téc",DATA_GOC!$B:$B,DATE($D$2,$B$2,M$4)),0))</f>
        <v>0</v>
      </c>
      <c r="N313" s="251">
        <f>IF(N$4&gt;DAY(EOMONTH(DATE($D$2,$B$2,1),0)),"",IFERROR(SUMIFS(DATA_GOC!$H:$H,DATA_GOC!$A:$A,"BOM",DATA_GOC!$D:$D,$B313,DATA_GOC!$E:$E,"Dầu thủy lực",DATA_GOC!$F:$F,"Xuất nội bộ từ téc",DATA_GOC!$B:$B,DATE($D$2,$B$2,N$4)),0))</f>
        <v>0</v>
      </c>
      <c r="O313" s="251">
        <f>IF(O$4&gt;DAY(EOMONTH(DATE($D$2,$B$2,1),0)),"",IFERROR(SUMIFS(DATA_GOC!$H:$H,DATA_GOC!$A:$A,"BOM",DATA_GOC!$D:$D,$B313,DATA_GOC!$E:$E,"Dầu thủy lực",DATA_GOC!$F:$F,"Xuất nội bộ từ téc",DATA_GOC!$B:$B,DATE($D$2,$B$2,O$4)),0))</f>
        <v>0</v>
      </c>
      <c r="P313" s="251">
        <f>IF(P$4&gt;DAY(EOMONTH(DATE($D$2,$B$2,1),0)),"",IFERROR(SUMIFS(DATA_GOC!$H:$H,DATA_GOC!$A:$A,"BOM",DATA_GOC!$D:$D,$B313,DATA_GOC!$E:$E,"Dầu thủy lực",DATA_GOC!$F:$F,"Xuất nội bộ từ téc",DATA_GOC!$B:$B,DATE($D$2,$B$2,P$4)),0))</f>
        <v>0</v>
      </c>
      <c r="Q313" s="251">
        <f>IF(Q$4&gt;DAY(EOMONTH(DATE($D$2,$B$2,1),0)),"",IFERROR(SUMIFS(DATA_GOC!$H:$H,DATA_GOC!$A:$A,"BOM",DATA_GOC!$D:$D,$B313,DATA_GOC!$E:$E,"Dầu thủy lực",DATA_GOC!$F:$F,"Xuất nội bộ từ téc",DATA_GOC!$B:$B,DATE($D$2,$B$2,Q$4)),0))</f>
        <v>0</v>
      </c>
      <c r="R313" s="251">
        <f>IF(R$4&gt;DAY(EOMONTH(DATE($D$2,$B$2,1),0)),"",IFERROR(SUMIFS(DATA_GOC!$H:$H,DATA_GOC!$A:$A,"BOM",DATA_GOC!$D:$D,$B313,DATA_GOC!$E:$E,"Dầu thủy lực",DATA_GOC!$F:$F,"Xuất nội bộ từ téc",DATA_GOC!$B:$B,DATE($D$2,$B$2,R$4)),0))</f>
        <v>0</v>
      </c>
      <c r="S313" s="251">
        <f>IF(S$4&gt;DAY(EOMONTH(DATE($D$2,$B$2,1),0)),"",IFERROR(SUMIFS(DATA_GOC!$H:$H,DATA_GOC!$A:$A,"BOM",DATA_GOC!$D:$D,$B313,DATA_GOC!$E:$E,"Dầu thủy lực",DATA_GOC!$F:$F,"Xuất nội bộ từ téc",DATA_GOC!$B:$B,DATE($D$2,$B$2,S$4)),0))</f>
        <v>0</v>
      </c>
      <c r="T313" s="251">
        <f>IF(T$4&gt;DAY(EOMONTH(DATE($D$2,$B$2,1),0)),"",IFERROR(SUMIFS(DATA_GOC!$H:$H,DATA_GOC!$A:$A,"BOM",DATA_GOC!$D:$D,$B313,DATA_GOC!$E:$E,"Dầu thủy lực",DATA_GOC!$F:$F,"Xuất nội bộ từ téc",DATA_GOC!$B:$B,DATE($D$2,$B$2,T$4)),0))</f>
        <v>0</v>
      </c>
      <c r="U313" s="251">
        <f>IF(U$4&gt;DAY(EOMONTH(DATE($D$2,$B$2,1),0)),"",IFERROR(SUMIFS(DATA_GOC!$H:$H,DATA_GOC!$A:$A,"BOM",DATA_GOC!$D:$D,$B313,DATA_GOC!$E:$E,"Dầu thủy lực",DATA_GOC!$F:$F,"Xuất nội bộ từ téc",DATA_GOC!$B:$B,DATE($D$2,$B$2,U$4)),0))</f>
        <v>0</v>
      </c>
      <c r="V313" s="251">
        <f>IF(V$4&gt;DAY(EOMONTH(DATE($D$2,$B$2,1),0)),"",IFERROR(SUMIFS(DATA_GOC!$H:$H,DATA_GOC!$A:$A,"BOM",DATA_GOC!$D:$D,$B313,DATA_GOC!$E:$E,"Dầu thủy lực",DATA_GOC!$F:$F,"Xuất nội bộ từ téc",DATA_GOC!$B:$B,DATE($D$2,$B$2,V$4)),0))</f>
        <v>0</v>
      </c>
      <c r="W313" s="251">
        <f>IF(W$4&gt;DAY(EOMONTH(DATE($D$2,$B$2,1),0)),"",IFERROR(SUMIFS(DATA_GOC!$H:$H,DATA_GOC!$A:$A,"BOM",DATA_GOC!$D:$D,$B313,DATA_GOC!$E:$E,"Dầu thủy lực",DATA_GOC!$F:$F,"Xuất nội bộ từ téc",DATA_GOC!$B:$B,DATE($D$2,$B$2,W$4)),0))</f>
        <v>0</v>
      </c>
      <c r="X313" s="251">
        <f>IF(X$4&gt;DAY(EOMONTH(DATE($D$2,$B$2,1),0)),"",IFERROR(SUMIFS(DATA_GOC!$H:$H,DATA_GOC!$A:$A,"BOM",DATA_GOC!$D:$D,$B313,DATA_GOC!$E:$E,"Dầu thủy lực",DATA_GOC!$F:$F,"Xuất nội bộ từ téc",DATA_GOC!$B:$B,DATE($D$2,$B$2,X$4)),0))</f>
        <v>0</v>
      </c>
      <c r="Y313" s="251">
        <f>IF(Y$4&gt;DAY(EOMONTH(DATE($D$2,$B$2,1),0)),"",IFERROR(SUMIFS(DATA_GOC!$H:$H,DATA_GOC!$A:$A,"BOM",DATA_GOC!$D:$D,$B313,DATA_GOC!$E:$E,"Dầu thủy lực",DATA_GOC!$F:$F,"Xuất nội bộ từ téc",DATA_GOC!$B:$B,DATE($D$2,$B$2,Y$4)),0))</f>
        <v>0</v>
      </c>
      <c r="Z313" s="251">
        <f>IF(Z$4&gt;DAY(EOMONTH(DATE($D$2,$B$2,1),0)),"",IFERROR(SUMIFS(DATA_GOC!$H:$H,DATA_GOC!$A:$A,"BOM",DATA_GOC!$D:$D,$B313,DATA_GOC!$E:$E,"Dầu thủy lực",DATA_GOC!$F:$F,"Xuất nội bộ từ téc",DATA_GOC!$B:$B,DATE($D$2,$B$2,Z$4)),0))</f>
        <v>0</v>
      </c>
      <c r="AA313" s="251">
        <f>IF(AA$4&gt;DAY(EOMONTH(DATE($D$2,$B$2,1),0)),"",IFERROR(SUMIFS(DATA_GOC!$H:$H,DATA_GOC!$A:$A,"BOM",DATA_GOC!$D:$D,$B313,DATA_GOC!$E:$E,"Dầu thủy lực",DATA_GOC!$F:$F,"Xuất nội bộ từ téc",DATA_GOC!$B:$B,DATE($D$2,$B$2,AA$4)),0))</f>
        <v>0</v>
      </c>
      <c r="AB313" s="251">
        <f>IF(AB$4&gt;DAY(EOMONTH(DATE($D$2,$B$2,1),0)),"",IFERROR(SUMIFS(DATA_GOC!$H:$H,DATA_GOC!$A:$A,"BOM",DATA_GOC!$D:$D,$B313,DATA_GOC!$E:$E,"Dầu thủy lực",DATA_GOC!$F:$F,"Xuất nội bộ từ téc",DATA_GOC!$B:$B,DATE($D$2,$B$2,AB$4)),0))</f>
        <v>0</v>
      </c>
      <c r="AC313" s="251">
        <f>IF(AC$4&gt;DAY(EOMONTH(DATE($D$2,$B$2,1),0)),"",IFERROR(SUMIFS(DATA_GOC!$H:$H,DATA_GOC!$A:$A,"BOM",DATA_GOC!$D:$D,$B313,DATA_GOC!$E:$E,"Dầu thủy lực",DATA_GOC!$F:$F,"Xuất nội bộ từ téc",DATA_GOC!$B:$B,DATE($D$2,$B$2,AC$4)),0))</f>
        <v>0</v>
      </c>
      <c r="AD313" s="251">
        <f>IF(AD$4&gt;DAY(EOMONTH(DATE($D$2,$B$2,1),0)),"",IFERROR(SUMIFS(DATA_GOC!$H:$H,DATA_GOC!$A:$A,"BOM",DATA_GOC!$D:$D,$B313,DATA_GOC!$E:$E,"Dầu thủy lực",DATA_GOC!$F:$F,"Xuất nội bộ từ téc",DATA_GOC!$B:$B,DATE($D$2,$B$2,AD$4)),0))</f>
        <v>0</v>
      </c>
      <c r="AE313" s="251">
        <f>IF(AE$4&gt;DAY(EOMONTH(DATE($D$2,$B$2,1),0)),"",IFERROR(SUMIFS(DATA_GOC!$H:$H,DATA_GOC!$A:$A,"BOM",DATA_GOC!$D:$D,$B313,DATA_GOC!$E:$E,"Dầu thủy lực",DATA_GOC!$F:$F,"Xuất nội bộ từ téc",DATA_GOC!$B:$B,DATE($D$2,$B$2,AE$4)),0))</f>
        <v>0</v>
      </c>
      <c r="AF313" s="251">
        <f>IF(AF$4&gt;DAY(EOMONTH(DATE($D$2,$B$2,1),0)),"",IFERROR(SUMIFS(DATA_GOC!$H:$H,DATA_GOC!$A:$A,"BOM",DATA_GOC!$D:$D,$B313,DATA_GOC!$E:$E,"Dầu thủy lực",DATA_GOC!$F:$F,"Xuất nội bộ từ téc",DATA_GOC!$B:$B,DATE($D$2,$B$2,AF$4)),0))</f>
        <v>0</v>
      </c>
      <c r="AG313" s="251">
        <f>IF(AG$4&gt;DAY(EOMONTH(DATE($D$2,$B$2,1),0)),"",IFERROR(SUMIFS(DATA_GOC!$H:$H,DATA_GOC!$A:$A,"BOM",DATA_GOC!$D:$D,$B313,DATA_GOC!$E:$E,"Dầu thủy lực",DATA_GOC!$F:$F,"Xuất nội bộ từ téc",DATA_GOC!$B:$B,DATE($D$2,$B$2,AG$4)),0))</f>
        <v>0</v>
      </c>
      <c r="AH313" s="252">
        <f t="shared" si="16"/>
        <v>0</v>
      </c>
      <c r="AI313" s="241"/>
      <c r="AJ313" s="242">
        <f>IF($B313="","",SUMIFS(TINH_TEC!$K$233:$K$9232,TINH_TEC!$H$233:$H$9232,$B313,TINH_TEC!$C$233:$C$9232,"Dầu thủy lực",TINH_TEC!$F$233:$F$9232,$B$2,TINH_TEC!$G$233:$G$9232,$D$2,TINH_TEC!$B$233:$B$9232,"Đã chốt"))</f>
        <v>0</v>
      </c>
      <c r="AK313" s="242">
        <f>IF($B313="","",SUMIFS(TINH_TEC!$J$233:$J$9232,TINH_TEC!$H$233:$H$9232,$B313,TINH_TEC!$C$233:$C$9232,"Dầu thủy lực",TINH_TEC!$F$233:$F$9232,$B$2,TINH_TEC!$G$233:$G$9232,$D$2,TINH_TEC!$B$233:$B$9232,"Đã chốt"))</f>
        <v>0</v>
      </c>
      <c r="AL313" s="242">
        <f t="shared" si="17"/>
        <v>0</v>
      </c>
    </row>
    <row r="314" ht="15.75" customHeight="1">
      <c r="A314" s="237">
        <f>IF($B314&lt;&gt;"",4,"")</f>
        <v>4</v>
      </c>
      <c r="B314" s="250" t="str">
        <f t="array" ref="B314">IFERROR(INDEX(DANH_MUC!$E:$E,7),"")</f>
        <v>28C01165</v>
      </c>
      <c r="C314" s="251">
        <f>IF(C$4&gt;DAY(EOMONTH(DATE($D$2,$B$2,1),0)),"",IFERROR(SUMIFS(DATA_GOC!$H:$H,DATA_GOC!$A:$A,"BOM",DATA_GOC!$D:$D,$B314,DATA_GOC!$E:$E,"Dầu thủy lực",DATA_GOC!$F:$F,"Xuất nội bộ từ téc",DATA_GOC!$B:$B,DATE($D$2,$B$2,C$4)),0))</f>
        <v>0</v>
      </c>
      <c r="D314" s="251">
        <f>IF(D$4&gt;DAY(EOMONTH(DATE($D$2,$B$2,1),0)),"",IFERROR(SUMIFS(DATA_GOC!$H:$H,DATA_GOC!$A:$A,"BOM",DATA_GOC!$D:$D,$B314,DATA_GOC!$E:$E,"Dầu thủy lực",DATA_GOC!$F:$F,"Xuất nội bộ từ téc",DATA_GOC!$B:$B,DATE($D$2,$B$2,D$4)),0))</f>
        <v>0</v>
      </c>
      <c r="E314" s="251">
        <f>IF(E$4&gt;DAY(EOMONTH(DATE($D$2,$B$2,1),0)),"",IFERROR(SUMIFS(DATA_GOC!$H:$H,DATA_GOC!$A:$A,"BOM",DATA_GOC!$D:$D,$B314,DATA_GOC!$E:$E,"Dầu thủy lực",DATA_GOC!$F:$F,"Xuất nội bộ từ téc",DATA_GOC!$B:$B,DATE($D$2,$B$2,E$4)),0))</f>
        <v>0</v>
      </c>
      <c r="F314" s="251">
        <f>IF(F$4&gt;DAY(EOMONTH(DATE($D$2,$B$2,1),0)),"",IFERROR(SUMIFS(DATA_GOC!$H:$H,DATA_GOC!$A:$A,"BOM",DATA_GOC!$D:$D,$B314,DATA_GOC!$E:$E,"Dầu thủy lực",DATA_GOC!$F:$F,"Xuất nội bộ từ téc",DATA_GOC!$B:$B,DATE($D$2,$B$2,F$4)),0))</f>
        <v>0</v>
      </c>
      <c r="G314" s="251">
        <f>IF(G$4&gt;DAY(EOMONTH(DATE($D$2,$B$2,1),0)),"",IFERROR(SUMIFS(DATA_GOC!$H:$H,DATA_GOC!$A:$A,"BOM",DATA_GOC!$D:$D,$B314,DATA_GOC!$E:$E,"Dầu thủy lực",DATA_GOC!$F:$F,"Xuất nội bộ từ téc",DATA_GOC!$B:$B,DATE($D$2,$B$2,G$4)),0))</f>
        <v>0</v>
      </c>
      <c r="H314" s="251">
        <f>IF(H$4&gt;DAY(EOMONTH(DATE($D$2,$B$2,1),0)),"",IFERROR(SUMIFS(DATA_GOC!$H:$H,DATA_GOC!$A:$A,"BOM",DATA_GOC!$D:$D,$B314,DATA_GOC!$E:$E,"Dầu thủy lực",DATA_GOC!$F:$F,"Xuất nội bộ từ téc",DATA_GOC!$B:$B,DATE($D$2,$B$2,H$4)),0))</f>
        <v>0</v>
      </c>
      <c r="I314" s="251">
        <f>IF(I$4&gt;DAY(EOMONTH(DATE($D$2,$B$2,1),0)),"",IFERROR(SUMIFS(DATA_GOC!$H:$H,DATA_GOC!$A:$A,"BOM",DATA_GOC!$D:$D,$B314,DATA_GOC!$E:$E,"Dầu thủy lực",DATA_GOC!$F:$F,"Xuất nội bộ từ téc",DATA_GOC!$B:$B,DATE($D$2,$B$2,I$4)),0))</f>
        <v>0</v>
      </c>
      <c r="J314" s="251">
        <f>IF(J$4&gt;DAY(EOMONTH(DATE($D$2,$B$2,1),0)),"",IFERROR(SUMIFS(DATA_GOC!$H:$H,DATA_GOC!$A:$A,"BOM",DATA_GOC!$D:$D,$B314,DATA_GOC!$E:$E,"Dầu thủy lực",DATA_GOC!$F:$F,"Xuất nội bộ từ téc",DATA_GOC!$B:$B,DATE($D$2,$B$2,J$4)),0))</f>
        <v>0</v>
      </c>
      <c r="K314" s="251">
        <f>IF(K$4&gt;DAY(EOMONTH(DATE($D$2,$B$2,1),0)),"",IFERROR(SUMIFS(DATA_GOC!$H:$H,DATA_GOC!$A:$A,"BOM",DATA_GOC!$D:$D,$B314,DATA_GOC!$E:$E,"Dầu thủy lực",DATA_GOC!$F:$F,"Xuất nội bộ từ téc",DATA_GOC!$B:$B,DATE($D$2,$B$2,K$4)),0))</f>
        <v>0</v>
      </c>
      <c r="L314" s="251">
        <f>IF(L$4&gt;DAY(EOMONTH(DATE($D$2,$B$2,1),0)),"",IFERROR(SUMIFS(DATA_GOC!$H:$H,DATA_GOC!$A:$A,"BOM",DATA_GOC!$D:$D,$B314,DATA_GOC!$E:$E,"Dầu thủy lực",DATA_GOC!$F:$F,"Xuất nội bộ từ téc",DATA_GOC!$B:$B,DATE($D$2,$B$2,L$4)),0))</f>
        <v>0</v>
      </c>
      <c r="M314" s="251">
        <f>IF(M$4&gt;DAY(EOMONTH(DATE($D$2,$B$2,1),0)),"",IFERROR(SUMIFS(DATA_GOC!$H:$H,DATA_GOC!$A:$A,"BOM",DATA_GOC!$D:$D,$B314,DATA_GOC!$E:$E,"Dầu thủy lực",DATA_GOC!$F:$F,"Xuất nội bộ từ téc",DATA_GOC!$B:$B,DATE($D$2,$B$2,M$4)),0))</f>
        <v>0</v>
      </c>
      <c r="N314" s="251">
        <f>IF(N$4&gt;DAY(EOMONTH(DATE($D$2,$B$2,1),0)),"",IFERROR(SUMIFS(DATA_GOC!$H:$H,DATA_GOC!$A:$A,"BOM",DATA_GOC!$D:$D,$B314,DATA_GOC!$E:$E,"Dầu thủy lực",DATA_GOC!$F:$F,"Xuất nội bộ từ téc",DATA_GOC!$B:$B,DATE($D$2,$B$2,N$4)),0))</f>
        <v>0</v>
      </c>
      <c r="O314" s="251">
        <f>IF(O$4&gt;DAY(EOMONTH(DATE($D$2,$B$2,1),0)),"",IFERROR(SUMIFS(DATA_GOC!$H:$H,DATA_GOC!$A:$A,"BOM",DATA_GOC!$D:$D,$B314,DATA_GOC!$E:$E,"Dầu thủy lực",DATA_GOC!$F:$F,"Xuất nội bộ từ téc",DATA_GOC!$B:$B,DATE($D$2,$B$2,O$4)),0))</f>
        <v>0</v>
      </c>
      <c r="P314" s="251">
        <f>IF(P$4&gt;DAY(EOMONTH(DATE($D$2,$B$2,1),0)),"",IFERROR(SUMIFS(DATA_GOC!$H:$H,DATA_GOC!$A:$A,"BOM",DATA_GOC!$D:$D,$B314,DATA_GOC!$E:$E,"Dầu thủy lực",DATA_GOC!$F:$F,"Xuất nội bộ từ téc",DATA_GOC!$B:$B,DATE($D$2,$B$2,P$4)),0))</f>
        <v>0</v>
      </c>
      <c r="Q314" s="251">
        <f>IF(Q$4&gt;DAY(EOMONTH(DATE($D$2,$B$2,1),0)),"",IFERROR(SUMIFS(DATA_GOC!$H:$H,DATA_GOC!$A:$A,"BOM",DATA_GOC!$D:$D,$B314,DATA_GOC!$E:$E,"Dầu thủy lực",DATA_GOC!$F:$F,"Xuất nội bộ từ téc",DATA_GOC!$B:$B,DATE($D$2,$B$2,Q$4)),0))</f>
        <v>0</v>
      </c>
      <c r="R314" s="251">
        <f>IF(R$4&gt;DAY(EOMONTH(DATE($D$2,$B$2,1),0)),"",IFERROR(SUMIFS(DATA_GOC!$H:$H,DATA_GOC!$A:$A,"BOM",DATA_GOC!$D:$D,$B314,DATA_GOC!$E:$E,"Dầu thủy lực",DATA_GOC!$F:$F,"Xuất nội bộ từ téc",DATA_GOC!$B:$B,DATE($D$2,$B$2,R$4)),0))</f>
        <v>0</v>
      </c>
      <c r="S314" s="251">
        <f>IF(S$4&gt;DAY(EOMONTH(DATE($D$2,$B$2,1),0)),"",IFERROR(SUMIFS(DATA_GOC!$H:$H,DATA_GOC!$A:$A,"BOM",DATA_GOC!$D:$D,$B314,DATA_GOC!$E:$E,"Dầu thủy lực",DATA_GOC!$F:$F,"Xuất nội bộ từ téc",DATA_GOC!$B:$B,DATE($D$2,$B$2,S$4)),0))</f>
        <v>0</v>
      </c>
      <c r="T314" s="251">
        <f>IF(T$4&gt;DAY(EOMONTH(DATE($D$2,$B$2,1),0)),"",IFERROR(SUMIFS(DATA_GOC!$H:$H,DATA_GOC!$A:$A,"BOM",DATA_GOC!$D:$D,$B314,DATA_GOC!$E:$E,"Dầu thủy lực",DATA_GOC!$F:$F,"Xuất nội bộ từ téc",DATA_GOC!$B:$B,DATE($D$2,$B$2,T$4)),0))</f>
        <v>0</v>
      </c>
      <c r="U314" s="251">
        <f>IF(U$4&gt;DAY(EOMONTH(DATE($D$2,$B$2,1),0)),"",IFERROR(SUMIFS(DATA_GOC!$H:$H,DATA_GOC!$A:$A,"BOM",DATA_GOC!$D:$D,$B314,DATA_GOC!$E:$E,"Dầu thủy lực",DATA_GOC!$F:$F,"Xuất nội bộ từ téc",DATA_GOC!$B:$B,DATE($D$2,$B$2,U$4)),0))</f>
        <v>0</v>
      </c>
      <c r="V314" s="251">
        <f>IF(V$4&gt;DAY(EOMONTH(DATE($D$2,$B$2,1),0)),"",IFERROR(SUMIFS(DATA_GOC!$H:$H,DATA_GOC!$A:$A,"BOM",DATA_GOC!$D:$D,$B314,DATA_GOC!$E:$E,"Dầu thủy lực",DATA_GOC!$F:$F,"Xuất nội bộ từ téc",DATA_GOC!$B:$B,DATE($D$2,$B$2,V$4)),0))</f>
        <v>0</v>
      </c>
      <c r="W314" s="251">
        <f>IF(W$4&gt;DAY(EOMONTH(DATE($D$2,$B$2,1),0)),"",IFERROR(SUMIFS(DATA_GOC!$H:$H,DATA_GOC!$A:$A,"BOM",DATA_GOC!$D:$D,$B314,DATA_GOC!$E:$E,"Dầu thủy lực",DATA_GOC!$F:$F,"Xuất nội bộ từ téc",DATA_GOC!$B:$B,DATE($D$2,$B$2,W$4)),0))</f>
        <v>0</v>
      </c>
      <c r="X314" s="251">
        <f>IF(X$4&gt;DAY(EOMONTH(DATE($D$2,$B$2,1),0)),"",IFERROR(SUMIFS(DATA_GOC!$H:$H,DATA_GOC!$A:$A,"BOM",DATA_GOC!$D:$D,$B314,DATA_GOC!$E:$E,"Dầu thủy lực",DATA_GOC!$F:$F,"Xuất nội bộ từ téc",DATA_GOC!$B:$B,DATE($D$2,$B$2,X$4)),0))</f>
        <v>0</v>
      </c>
      <c r="Y314" s="251">
        <f>IF(Y$4&gt;DAY(EOMONTH(DATE($D$2,$B$2,1),0)),"",IFERROR(SUMIFS(DATA_GOC!$H:$H,DATA_GOC!$A:$A,"BOM",DATA_GOC!$D:$D,$B314,DATA_GOC!$E:$E,"Dầu thủy lực",DATA_GOC!$F:$F,"Xuất nội bộ từ téc",DATA_GOC!$B:$B,DATE($D$2,$B$2,Y$4)),0))</f>
        <v>0</v>
      </c>
      <c r="Z314" s="251">
        <f>IF(Z$4&gt;DAY(EOMONTH(DATE($D$2,$B$2,1),0)),"",IFERROR(SUMIFS(DATA_GOC!$H:$H,DATA_GOC!$A:$A,"BOM",DATA_GOC!$D:$D,$B314,DATA_GOC!$E:$E,"Dầu thủy lực",DATA_GOC!$F:$F,"Xuất nội bộ từ téc",DATA_GOC!$B:$B,DATE($D$2,$B$2,Z$4)),0))</f>
        <v>0</v>
      </c>
      <c r="AA314" s="251">
        <f>IF(AA$4&gt;DAY(EOMONTH(DATE($D$2,$B$2,1),0)),"",IFERROR(SUMIFS(DATA_GOC!$H:$H,DATA_GOC!$A:$A,"BOM",DATA_GOC!$D:$D,$B314,DATA_GOC!$E:$E,"Dầu thủy lực",DATA_GOC!$F:$F,"Xuất nội bộ từ téc",DATA_GOC!$B:$B,DATE($D$2,$B$2,AA$4)),0))</f>
        <v>0</v>
      </c>
      <c r="AB314" s="251">
        <f>IF(AB$4&gt;DAY(EOMONTH(DATE($D$2,$B$2,1),0)),"",IFERROR(SUMIFS(DATA_GOC!$H:$H,DATA_GOC!$A:$A,"BOM",DATA_GOC!$D:$D,$B314,DATA_GOC!$E:$E,"Dầu thủy lực",DATA_GOC!$F:$F,"Xuất nội bộ từ téc",DATA_GOC!$B:$B,DATE($D$2,$B$2,AB$4)),0))</f>
        <v>0</v>
      </c>
      <c r="AC314" s="251">
        <f>IF(AC$4&gt;DAY(EOMONTH(DATE($D$2,$B$2,1),0)),"",IFERROR(SUMIFS(DATA_GOC!$H:$H,DATA_GOC!$A:$A,"BOM",DATA_GOC!$D:$D,$B314,DATA_GOC!$E:$E,"Dầu thủy lực",DATA_GOC!$F:$F,"Xuất nội bộ từ téc",DATA_GOC!$B:$B,DATE($D$2,$B$2,AC$4)),0))</f>
        <v>0</v>
      </c>
      <c r="AD314" s="251">
        <f>IF(AD$4&gt;DAY(EOMONTH(DATE($D$2,$B$2,1),0)),"",IFERROR(SUMIFS(DATA_GOC!$H:$H,DATA_GOC!$A:$A,"BOM",DATA_GOC!$D:$D,$B314,DATA_GOC!$E:$E,"Dầu thủy lực",DATA_GOC!$F:$F,"Xuất nội bộ từ téc",DATA_GOC!$B:$B,DATE($D$2,$B$2,AD$4)),0))</f>
        <v>0</v>
      </c>
      <c r="AE314" s="251">
        <f>IF(AE$4&gt;DAY(EOMONTH(DATE($D$2,$B$2,1),0)),"",IFERROR(SUMIFS(DATA_GOC!$H:$H,DATA_GOC!$A:$A,"BOM",DATA_GOC!$D:$D,$B314,DATA_GOC!$E:$E,"Dầu thủy lực",DATA_GOC!$F:$F,"Xuất nội bộ từ téc",DATA_GOC!$B:$B,DATE($D$2,$B$2,AE$4)),0))</f>
        <v>0</v>
      </c>
      <c r="AF314" s="251">
        <f>IF(AF$4&gt;DAY(EOMONTH(DATE($D$2,$B$2,1),0)),"",IFERROR(SUMIFS(DATA_GOC!$H:$H,DATA_GOC!$A:$A,"BOM",DATA_GOC!$D:$D,$B314,DATA_GOC!$E:$E,"Dầu thủy lực",DATA_GOC!$F:$F,"Xuất nội bộ từ téc",DATA_GOC!$B:$B,DATE($D$2,$B$2,AF$4)),0))</f>
        <v>0</v>
      </c>
      <c r="AG314" s="251">
        <f>IF(AG$4&gt;DAY(EOMONTH(DATE($D$2,$B$2,1),0)),"",IFERROR(SUMIFS(DATA_GOC!$H:$H,DATA_GOC!$A:$A,"BOM",DATA_GOC!$D:$D,$B314,DATA_GOC!$E:$E,"Dầu thủy lực",DATA_GOC!$F:$F,"Xuất nội bộ từ téc",DATA_GOC!$B:$B,DATE($D$2,$B$2,AG$4)),0))</f>
        <v>0</v>
      </c>
      <c r="AH314" s="252">
        <f t="shared" si="16"/>
        <v>0</v>
      </c>
      <c r="AI314" s="241"/>
      <c r="AJ314" s="242">
        <f>IF($B314="","",SUMIFS(TINH_TEC!$K$233:$K$9232,TINH_TEC!$H$233:$H$9232,$B314,TINH_TEC!$C$233:$C$9232,"Dầu thủy lực",TINH_TEC!$F$233:$F$9232,$B$2,TINH_TEC!$G$233:$G$9232,$D$2,TINH_TEC!$B$233:$B$9232,"Đã chốt"))</f>
        <v>0</v>
      </c>
      <c r="AK314" s="242">
        <f>IF($B314="","",SUMIFS(TINH_TEC!$J$233:$J$9232,TINH_TEC!$H$233:$H$9232,$B314,TINH_TEC!$C$233:$C$9232,"Dầu thủy lực",TINH_TEC!$F$233:$F$9232,$B$2,TINH_TEC!$G$233:$G$9232,$D$2,TINH_TEC!$B$233:$B$9232,"Đã chốt"))</f>
        <v>0</v>
      </c>
      <c r="AL314" s="242">
        <f t="shared" si="17"/>
        <v>0</v>
      </c>
    </row>
    <row r="315" ht="15.75" customHeight="1">
      <c r="A315" s="237">
        <f>IF($B315&lt;&gt;"",5,"")</f>
        <v>5</v>
      </c>
      <c r="B315" s="250" t="str">
        <f t="array" ref="B315">IFERROR(INDEX(DANH_MUC!$E:$E,8),"")</f>
        <v>28C01406</v>
      </c>
      <c r="C315" s="251">
        <f>IF(C$4&gt;DAY(EOMONTH(DATE($D$2,$B$2,1),0)),"",IFERROR(SUMIFS(DATA_GOC!$H:$H,DATA_GOC!$A:$A,"BOM",DATA_GOC!$D:$D,$B315,DATA_GOC!$E:$E,"Dầu thủy lực",DATA_GOC!$F:$F,"Xuất nội bộ từ téc",DATA_GOC!$B:$B,DATE($D$2,$B$2,C$4)),0))</f>
        <v>0</v>
      </c>
      <c r="D315" s="251">
        <f>IF(D$4&gt;DAY(EOMONTH(DATE($D$2,$B$2,1),0)),"",IFERROR(SUMIFS(DATA_GOC!$H:$H,DATA_GOC!$A:$A,"BOM",DATA_GOC!$D:$D,$B315,DATA_GOC!$E:$E,"Dầu thủy lực",DATA_GOC!$F:$F,"Xuất nội bộ từ téc",DATA_GOC!$B:$B,DATE($D$2,$B$2,D$4)),0))</f>
        <v>0</v>
      </c>
      <c r="E315" s="251">
        <f>IF(E$4&gt;DAY(EOMONTH(DATE($D$2,$B$2,1),0)),"",IFERROR(SUMIFS(DATA_GOC!$H:$H,DATA_GOC!$A:$A,"BOM",DATA_GOC!$D:$D,$B315,DATA_GOC!$E:$E,"Dầu thủy lực",DATA_GOC!$F:$F,"Xuất nội bộ từ téc",DATA_GOC!$B:$B,DATE($D$2,$B$2,E$4)),0))</f>
        <v>0</v>
      </c>
      <c r="F315" s="251">
        <f>IF(F$4&gt;DAY(EOMONTH(DATE($D$2,$B$2,1),0)),"",IFERROR(SUMIFS(DATA_GOC!$H:$H,DATA_GOC!$A:$A,"BOM",DATA_GOC!$D:$D,$B315,DATA_GOC!$E:$E,"Dầu thủy lực",DATA_GOC!$F:$F,"Xuất nội bộ từ téc",DATA_GOC!$B:$B,DATE($D$2,$B$2,F$4)),0))</f>
        <v>0</v>
      </c>
      <c r="G315" s="251">
        <f>IF(G$4&gt;DAY(EOMONTH(DATE($D$2,$B$2,1),0)),"",IFERROR(SUMIFS(DATA_GOC!$H:$H,DATA_GOC!$A:$A,"BOM",DATA_GOC!$D:$D,$B315,DATA_GOC!$E:$E,"Dầu thủy lực",DATA_GOC!$F:$F,"Xuất nội bộ từ téc",DATA_GOC!$B:$B,DATE($D$2,$B$2,G$4)),0))</f>
        <v>0</v>
      </c>
      <c r="H315" s="251">
        <f>IF(H$4&gt;DAY(EOMONTH(DATE($D$2,$B$2,1),0)),"",IFERROR(SUMIFS(DATA_GOC!$H:$H,DATA_GOC!$A:$A,"BOM",DATA_GOC!$D:$D,$B315,DATA_GOC!$E:$E,"Dầu thủy lực",DATA_GOC!$F:$F,"Xuất nội bộ từ téc",DATA_GOC!$B:$B,DATE($D$2,$B$2,H$4)),0))</f>
        <v>0</v>
      </c>
      <c r="I315" s="251">
        <f>IF(I$4&gt;DAY(EOMONTH(DATE($D$2,$B$2,1),0)),"",IFERROR(SUMIFS(DATA_GOC!$H:$H,DATA_GOC!$A:$A,"BOM",DATA_GOC!$D:$D,$B315,DATA_GOC!$E:$E,"Dầu thủy lực",DATA_GOC!$F:$F,"Xuất nội bộ từ téc",DATA_GOC!$B:$B,DATE($D$2,$B$2,I$4)),0))</f>
        <v>0</v>
      </c>
      <c r="J315" s="251">
        <f>IF(J$4&gt;DAY(EOMONTH(DATE($D$2,$B$2,1),0)),"",IFERROR(SUMIFS(DATA_GOC!$H:$H,DATA_GOC!$A:$A,"BOM",DATA_GOC!$D:$D,$B315,DATA_GOC!$E:$E,"Dầu thủy lực",DATA_GOC!$F:$F,"Xuất nội bộ từ téc",DATA_GOC!$B:$B,DATE($D$2,$B$2,J$4)),0))</f>
        <v>0</v>
      </c>
      <c r="K315" s="251">
        <f>IF(K$4&gt;DAY(EOMONTH(DATE($D$2,$B$2,1),0)),"",IFERROR(SUMIFS(DATA_GOC!$H:$H,DATA_GOC!$A:$A,"BOM",DATA_GOC!$D:$D,$B315,DATA_GOC!$E:$E,"Dầu thủy lực",DATA_GOC!$F:$F,"Xuất nội bộ từ téc",DATA_GOC!$B:$B,DATE($D$2,$B$2,K$4)),0))</f>
        <v>0</v>
      </c>
      <c r="L315" s="251">
        <f>IF(L$4&gt;DAY(EOMONTH(DATE($D$2,$B$2,1),0)),"",IFERROR(SUMIFS(DATA_GOC!$H:$H,DATA_GOC!$A:$A,"BOM",DATA_GOC!$D:$D,$B315,DATA_GOC!$E:$E,"Dầu thủy lực",DATA_GOC!$F:$F,"Xuất nội bộ từ téc",DATA_GOC!$B:$B,DATE($D$2,$B$2,L$4)),0))</f>
        <v>0</v>
      </c>
      <c r="M315" s="251">
        <f>IF(M$4&gt;DAY(EOMONTH(DATE($D$2,$B$2,1),0)),"",IFERROR(SUMIFS(DATA_GOC!$H:$H,DATA_GOC!$A:$A,"BOM",DATA_GOC!$D:$D,$B315,DATA_GOC!$E:$E,"Dầu thủy lực",DATA_GOC!$F:$F,"Xuất nội bộ từ téc",DATA_GOC!$B:$B,DATE($D$2,$B$2,M$4)),0))</f>
        <v>0</v>
      </c>
      <c r="N315" s="251">
        <f>IF(N$4&gt;DAY(EOMONTH(DATE($D$2,$B$2,1),0)),"",IFERROR(SUMIFS(DATA_GOC!$H:$H,DATA_GOC!$A:$A,"BOM",DATA_GOC!$D:$D,$B315,DATA_GOC!$E:$E,"Dầu thủy lực",DATA_GOC!$F:$F,"Xuất nội bộ từ téc",DATA_GOC!$B:$B,DATE($D$2,$B$2,N$4)),0))</f>
        <v>0</v>
      </c>
      <c r="O315" s="251">
        <f>IF(O$4&gt;DAY(EOMONTH(DATE($D$2,$B$2,1),0)),"",IFERROR(SUMIFS(DATA_GOC!$H:$H,DATA_GOC!$A:$A,"BOM",DATA_GOC!$D:$D,$B315,DATA_GOC!$E:$E,"Dầu thủy lực",DATA_GOC!$F:$F,"Xuất nội bộ từ téc",DATA_GOC!$B:$B,DATE($D$2,$B$2,O$4)),0))</f>
        <v>0</v>
      </c>
      <c r="P315" s="251">
        <f>IF(P$4&gt;DAY(EOMONTH(DATE($D$2,$B$2,1),0)),"",IFERROR(SUMIFS(DATA_GOC!$H:$H,DATA_GOC!$A:$A,"BOM",DATA_GOC!$D:$D,$B315,DATA_GOC!$E:$E,"Dầu thủy lực",DATA_GOC!$F:$F,"Xuất nội bộ từ téc",DATA_GOC!$B:$B,DATE($D$2,$B$2,P$4)),0))</f>
        <v>0</v>
      </c>
      <c r="Q315" s="251">
        <f>IF(Q$4&gt;DAY(EOMONTH(DATE($D$2,$B$2,1),0)),"",IFERROR(SUMIFS(DATA_GOC!$H:$H,DATA_GOC!$A:$A,"BOM",DATA_GOC!$D:$D,$B315,DATA_GOC!$E:$E,"Dầu thủy lực",DATA_GOC!$F:$F,"Xuất nội bộ từ téc",DATA_GOC!$B:$B,DATE($D$2,$B$2,Q$4)),0))</f>
        <v>0</v>
      </c>
      <c r="R315" s="251">
        <f>IF(R$4&gt;DAY(EOMONTH(DATE($D$2,$B$2,1),0)),"",IFERROR(SUMIFS(DATA_GOC!$H:$H,DATA_GOC!$A:$A,"BOM",DATA_GOC!$D:$D,$B315,DATA_GOC!$E:$E,"Dầu thủy lực",DATA_GOC!$F:$F,"Xuất nội bộ từ téc",DATA_GOC!$B:$B,DATE($D$2,$B$2,R$4)),0))</f>
        <v>0</v>
      </c>
      <c r="S315" s="251">
        <f>IF(S$4&gt;DAY(EOMONTH(DATE($D$2,$B$2,1),0)),"",IFERROR(SUMIFS(DATA_GOC!$H:$H,DATA_GOC!$A:$A,"BOM",DATA_GOC!$D:$D,$B315,DATA_GOC!$E:$E,"Dầu thủy lực",DATA_GOC!$F:$F,"Xuất nội bộ từ téc",DATA_GOC!$B:$B,DATE($D$2,$B$2,S$4)),0))</f>
        <v>0</v>
      </c>
      <c r="T315" s="251">
        <f>IF(T$4&gt;DAY(EOMONTH(DATE($D$2,$B$2,1),0)),"",IFERROR(SUMIFS(DATA_GOC!$H:$H,DATA_GOC!$A:$A,"BOM",DATA_GOC!$D:$D,$B315,DATA_GOC!$E:$E,"Dầu thủy lực",DATA_GOC!$F:$F,"Xuất nội bộ từ téc",DATA_GOC!$B:$B,DATE($D$2,$B$2,T$4)),0))</f>
        <v>0</v>
      </c>
      <c r="U315" s="251">
        <f>IF(U$4&gt;DAY(EOMONTH(DATE($D$2,$B$2,1),0)),"",IFERROR(SUMIFS(DATA_GOC!$H:$H,DATA_GOC!$A:$A,"BOM",DATA_GOC!$D:$D,$B315,DATA_GOC!$E:$E,"Dầu thủy lực",DATA_GOC!$F:$F,"Xuất nội bộ từ téc",DATA_GOC!$B:$B,DATE($D$2,$B$2,U$4)),0))</f>
        <v>0</v>
      </c>
      <c r="V315" s="251">
        <f>IF(V$4&gt;DAY(EOMONTH(DATE($D$2,$B$2,1),0)),"",IFERROR(SUMIFS(DATA_GOC!$H:$H,DATA_GOC!$A:$A,"BOM",DATA_GOC!$D:$D,$B315,DATA_GOC!$E:$E,"Dầu thủy lực",DATA_GOC!$F:$F,"Xuất nội bộ từ téc",DATA_GOC!$B:$B,DATE($D$2,$B$2,V$4)),0))</f>
        <v>0</v>
      </c>
      <c r="W315" s="251">
        <f>IF(W$4&gt;DAY(EOMONTH(DATE($D$2,$B$2,1),0)),"",IFERROR(SUMIFS(DATA_GOC!$H:$H,DATA_GOC!$A:$A,"BOM",DATA_GOC!$D:$D,$B315,DATA_GOC!$E:$E,"Dầu thủy lực",DATA_GOC!$F:$F,"Xuất nội bộ từ téc",DATA_GOC!$B:$B,DATE($D$2,$B$2,W$4)),0))</f>
        <v>0</v>
      </c>
      <c r="X315" s="251">
        <f>IF(X$4&gt;DAY(EOMONTH(DATE($D$2,$B$2,1),0)),"",IFERROR(SUMIFS(DATA_GOC!$H:$H,DATA_GOC!$A:$A,"BOM",DATA_GOC!$D:$D,$B315,DATA_GOC!$E:$E,"Dầu thủy lực",DATA_GOC!$F:$F,"Xuất nội bộ từ téc",DATA_GOC!$B:$B,DATE($D$2,$B$2,X$4)),0))</f>
        <v>0</v>
      </c>
      <c r="Y315" s="251">
        <f>IF(Y$4&gt;DAY(EOMONTH(DATE($D$2,$B$2,1),0)),"",IFERROR(SUMIFS(DATA_GOC!$H:$H,DATA_GOC!$A:$A,"BOM",DATA_GOC!$D:$D,$B315,DATA_GOC!$E:$E,"Dầu thủy lực",DATA_GOC!$F:$F,"Xuất nội bộ từ téc",DATA_GOC!$B:$B,DATE($D$2,$B$2,Y$4)),0))</f>
        <v>0</v>
      </c>
      <c r="Z315" s="251">
        <f>IF(Z$4&gt;DAY(EOMONTH(DATE($D$2,$B$2,1),0)),"",IFERROR(SUMIFS(DATA_GOC!$H:$H,DATA_GOC!$A:$A,"BOM",DATA_GOC!$D:$D,$B315,DATA_GOC!$E:$E,"Dầu thủy lực",DATA_GOC!$F:$F,"Xuất nội bộ từ téc",DATA_GOC!$B:$B,DATE($D$2,$B$2,Z$4)),0))</f>
        <v>0</v>
      </c>
      <c r="AA315" s="251">
        <f>IF(AA$4&gt;DAY(EOMONTH(DATE($D$2,$B$2,1),0)),"",IFERROR(SUMIFS(DATA_GOC!$H:$H,DATA_GOC!$A:$A,"BOM",DATA_GOC!$D:$D,$B315,DATA_GOC!$E:$E,"Dầu thủy lực",DATA_GOC!$F:$F,"Xuất nội bộ từ téc",DATA_GOC!$B:$B,DATE($D$2,$B$2,AA$4)),0))</f>
        <v>0</v>
      </c>
      <c r="AB315" s="251">
        <f>IF(AB$4&gt;DAY(EOMONTH(DATE($D$2,$B$2,1),0)),"",IFERROR(SUMIFS(DATA_GOC!$H:$H,DATA_GOC!$A:$A,"BOM",DATA_GOC!$D:$D,$B315,DATA_GOC!$E:$E,"Dầu thủy lực",DATA_GOC!$F:$F,"Xuất nội bộ từ téc",DATA_GOC!$B:$B,DATE($D$2,$B$2,AB$4)),0))</f>
        <v>0</v>
      </c>
      <c r="AC315" s="251">
        <f>IF(AC$4&gt;DAY(EOMONTH(DATE($D$2,$B$2,1),0)),"",IFERROR(SUMIFS(DATA_GOC!$H:$H,DATA_GOC!$A:$A,"BOM",DATA_GOC!$D:$D,$B315,DATA_GOC!$E:$E,"Dầu thủy lực",DATA_GOC!$F:$F,"Xuất nội bộ từ téc",DATA_GOC!$B:$B,DATE($D$2,$B$2,AC$4)),0))</f>
        <v>0</v>
      </c>
      <c r="AD315" s="251">
        <f>IF(AD$4&gt;DAY(EOMONTH(DATE($D$2,$B$2,1),0)),"",IFERROR(SUMIFS(DATA_GOC!$H:$H,DATA_GOC!$A:$A,"BOM",DATA_GOC!$D:$D,$B315,DATA_GOC!$E:$E,"Dầu thủy lực",DATA_GOC!$F:$F,"Xuất nội bộ từ téc",DATA_GOC!$B:$B,DATE($D$2,$B$2,AD$4)),0))</f>
        <v>0</v>
      </c>
      <c r="AE315" s="251">
        <f>IF(AE$4&gt;DAY(EOMONTH(DATE($D$2,$B$2,1),0)),"",IFERROR(SUMIFS(DATA_GOC!$H:$H,DATA_GOC!$A:$A,"BOM",DATA_GOC!$D:$D,$B315,DATA_GOC!$E:$E,"Dầu thủy lực",DATA_GOC!$F:$F,"Xuất nội bộ từ téc",DATA_GOC!$B:$B,DATE($D$2,$B$2,AE$4)),0))</f>
        <v>0</v>
      </c>
      <c r="AF315" s="251">
        <f>IF(AF$4&gt;DAY(EOMONTH(DATE($D$2,$B$2,1),0)),"",IFERROR(SUMIFS(DATA_GOC!$H:$H,DATA_GOC!$A:$A,"BOM",DATA_GOC!$D:$D,$B315,DATA_GOC!$E:$E,"Dầu thủy lực",DATA_GOC!$F:$F,"Xuất nội bộ từ téc",DATA_GOC!$B:$B,DATE($D$2,$B$2,AF$4)),0))</f>
        <v>0</v>
      </c>
      <c r="AG315" s="251">
        <f>IF(AG$4&gt;DAY(EOMONTH(DATE($D$2,$B$2,1),0)),"",IFERROR(SUMIFS(DATA_GOC!$H:$H,DATA_GOC!$A:$A,"BOM",DATA_GOC!$D:$D,$B315,DATA_GOC!$E:$E,"Dầu thủy lực",DATA_GOC!$F:$F,"Xuất nội bộ từ téc",DATA_GOC!$B:$B,DATE($D$2,$B$2,AG$4)),0))</f>
        <v>0</v>
      </c>
      <c r="AH315" s="252">
        <f t="shared" si="16"/>
        <v>0</v>
      </c>
      <c r="AI315" s="241"/>
      <c r="AJ315" s="242">
        <f>IF($B315="","",SUMIFS(TINH_TEC!$K$233:$K$9232,TINH_TEC!$H$233:$H$9232,$B315,TINH_TEC!$C$233:$C$9232,"Dầu thủy lực",TINH_TEC!$F$233:$F$9232,$B$2,TINH_TEC!$G$233:$G$9232,$D$2,TINH_TEC!$B$233:$B$9232,"Đã chốt"))</f>
        <v>0</v>
      </c>
      <c r="AK315" s="242">
        <f>IF($B315="","",SUMIFS(TINH_TEC!$J$233:$J$9232,TINH_TEC!$H$233:$H$9232,$B315,TINH_TEC!$C$233:$C$9232,"Dầu thủy lực",TINH_TEC!$F$233:$F$9232,$B$2,TINH_TEC!$G$233:$G$9232,$D$2,TINH_TEC!$B$233:$B$9232,"Đã chốt"))</f>
        <v>0</v>
      </c>
      <c r="AL315" s="242">
        <f t="shared" si="17"/>
        <v>0</v>
      </c>
    </row>
    <row r="316" ht="15.75" customHeight="1">
      <c r="A316" s="237">
        <f>IF($B316&lt;&gt;"",6,"")</f>
        <v>6</v>
      </c>
      <c r="B316" s="250" t="str">
        <f t="array" ref="B316">IFERROR(INDEX(DANH_MUC!$E:$E,9),"")</f>
        <v>28C01544</v>
      </c>
      <c r="C316" s="251">
        <f>IF(C$4&gt;DAY(EOMONTH(DATE($D$2,$B$2,1),0)),"",IFERROR(SUMIFS(DATA_GOC!$H:$H,DATA_GOC!$A:$A,"BOM",DATA_GOC!$D:$D,$B316,DATA_GOC!$E:$E,"Dầu thủy lực",DATA_GOC!$F:$F,"Xuất nội bộ từ téc",DATA_GOC!$B:$B,DATE($D$2,$B$2,C$4)),0))</f>
        <v>0</v>
      </c>
      <c r="D316" s="251">
        <f>IF(D$4&gt;DAY(EOMONTH(DATE($D$2,$B$2,1),0)),"",IFERROR(SUMIFS(DATA_GOC!$H:$H,DATA_GOC!$A:$A,"BOM",DATA_GOC!$D:$D,$B316,DATA_GOC!$E:$E,"Dầu thủy lực",DATA_GOC!$F:$F,"Xuất nội bộ từ téc",DATA_GOC!$B:$B,DATE($D$2,$B$2,D$4)),0))</f>
        <v>0</v>
      </c>
      <c r="E316" s="251">
        <f>IF(E$4&gt;DAY(EOMONTH(DATE($D$2,$B$2,1),0)),"",IFERROR(SUMIFS(DATA_GOC!$H:$H,DATA_GOC!$A:$A,"BOM",DATA_GOC!$D:$D,$B316,DATA_GOC!$E:$E,"Dầu thủy lực",DATA_GOC!$F:$F,"Xuất nội bộ từ téc",DATA_GOC!$B:$B,DATE($D$2,$B$2,E$4)),0))</f>
        <v>0</v>
      </c>
      <c r="F316" s="251">
        <f>IF(F$4&gt;DAY(EOMONTH(DATE($D$2,$B$2,1),0)),"",IFERROR(SUMIFS(DATA_GOC!$H:$H,DATA_GOC!$A:$A,"BOM",DATA_GOC!$D:$D,$B316,DATA_GOC!$E:$E,"Dầu thủy lực",DATA_GOC!$F:$F,"Xuất nội bộ từ téc",DATA_GOC!$B:$B,DATE($D$2,$B$2,F$4)),0))</f>
        <v>0</v>
      </c>
      <c r="G316" s="251">
        <f>IF(G$4&gt;DAY(EOMONTH(DATE($D$2,$B$2,1),0)),"",IFERROR(SUMIFS(DATA_GOC!$H:$H,DATA_GOC!$A:$A,"BOM",DATA_GOC!$D:$D,$B316,DATA_GOC!$E:$E,"Dầu thủy lực",DATA_GOC!$F:$F,"Xuất nội bộ từ téc",DATA_GOC!$B:$B,DATE($D$2,$B$2,G$4)),0))</f>
        <v>0</v>
      </c>
      <c r="H316" s="251">
        <f>IF(H$4&gt;DAY(EOMONTH(DATE($D$2,$B$2,1),0)),"",IFERROR(SUMIFS(DATA_GOC!$H:$H,DATA_GOC!$A:$A,"BOM",DATA_GOC!$D:$D,$B316,DATA_GOC!$E:$E,"Dầu thủy lực",DATA_GOC!$F:$F,"Xuất nội bộ từ téc",DATA_GOC!$B:$B,DATE($D$2,$B$2,H$4)),0))</f>
        <v>0</v>
      </c>
      <c r="I316" s="251">
        <f>IF(I$4&gt;DAY(EOMONTH(DATE($D$2,$B$2,1),0)),"",IFERROR(SUMIFS(DATA_GOC!$H:$H,DATA_GOC!$A:$A,"BOM",DATA_GOC!$D:$D,$B316,DATA_GOC!$E:$E,"Dầu thủy lực",DATA_GOC!$F:$F,"Xuất nội bộ từ téc",DATA_GOC!$B:$B,DATE($D$2,$B$2,I$4)),0))</f>
        <v>0</v>
      </c>
      <c r="J316" s="251">
        <f>IF(J$4&gt;DAY(EOMONTH(DATE($D$2,$B$2,1),0)),"",IFERROR(SUMIFS(DATA_GOC!$H:$H,DATA_GOC!$A:$A,"BOM",DATA_GOC!$D:$D,$B316,DATA_GOC!$E:$E,"Dầu thủy lực",DATA_GOC!$F:$F,"Xuất nội bộ từ téc",DATA_GOC!$B:$B,DATE($D$2,$B$2,J$4)),0))</f>
        <v>0</v>
      </c>
      <c r="K316" s="251">
        <f>IF(K$4&gt;DAY(EOMONTH(DATE($D$2,$B$2,1),0)),"",IFERROR(SUMIFS(DATA_GOC!$H:$H,DATA_GOC!$A:$A,"BOM",DATA_GOC!$D:$D,$B316,DATA_GOC!$E:$E,"Dầu thủy lực",DATA_GOC!$F:$F,"Xuất nội bộ từ téc",DATA_GOC!$B:$B,DATE($D$2,$B$2,K$4)),0))</f>
        <v>0</v>
      </c>
      <c r="L316" s="251">
        <f>IF(L$4&gt;DAY(EOMONTH(DATE($D$2,$B$2,1),0)),"",IFERROR(SUMIFS(DATA_GOC!$H:$H,DATA_GOC!$A:$A,"BOM",DATA_GOC!$D:$D,$B316,DATA_GOC!$E:$E,"Dầu thủy lực",DATA_GOC!$F:$F,"Xuất nội bộ từ téc",DATA_GOC!$B:$B,DATE($D$2,$B$2,L$4)),0))</f>
        <v>0</v>
      </c>
      <c r="M316" s="251">
        <f>IF(M$4&gt;DAY(EOMONTH(DATE($D$2,$B$2,1),0)),"",IFERROR(SUMIFS(DATA_GOC!$H:$H,DATA_GOC!$A:$A,"BOM",DATA_GOC!$D:$D,$B316,DATA_GOC!$E:$E,"Dầu thủy lực",DATA_GOC!$F:$F,"Xuất nội bộ từ téc",DATA_GOC!$B:$B,DATE($D$2,$B$2,M$4)),0))</f>
        <v>0</v>
      </c>
      <c r="N316" s="251">
        <f>IF(N$4&gt;DAY(EOMONTH(DATE($D$2,$B$2,1),0)),"",IFERROR(SUMIFS(DATA_GOC!$H:$H,DATA_GOC!$A:$A,"BOM",DATA_GOC!$D:$D,$B316,DATA_GOC!$E:$E,"Dầu thủy lực",DATA_GOC!$F:$F,"Xuất nội bộ từ téc",DATA_GOC!$B:$B,DATE($D$2,$B$2,N$4)),0))</f>
        <v>0</v>
      </c>
      <c r="O316" s="251">
        <f>IF(O$4&gt;DAY(EOMONTH(DATE($D$2,$B$2,1),0)),"",IFERROR(SUMIFS(DATA_GOC!$H:$H,DATA_GOC!$A:$A,"BOM",DATA_GOC!$D:$D,$B316,DATA_GOC!$E:$E,"Dầu thủy lực",DATA_GOC!$F:$F,"Xuất nội bộ từ téc",DATA_GOC!$B:$B,DATE($D$2,$B$2,O$4)),0))</f>
        <v>0</v>
      </c>
      <c r="P316" s="251">
        <f>IF(P$4&gt;DAY(EOMONTH(DATE($D$2,$B$2,1),0)),"",IFERROR(SUMIFS(DATA_GOC!$H:$H,DATA_GOC!$A:$A,"BOM",DATA_GOC!$D:$D,$B316,DATA_GOC!$E:$E,"Dầu thủy lực",DATA_GOC!$F:$F,"Xuất nội bộ từ téc",DATA_GOC!$B:$B,DATE($D$2,$B$2,P$4)),0))</f>
        <v>0</v>
      </c>
      <c r="Q316" s="251">
        <f>IF(Q$4&gt;DAY(EOMONTH(DATE($D$2,$B$2,1),0)),"",IFERROR(SUMIFS(DATA_GOC!$H:$H,DATA_GOC!$A:$A,"BOM",DATA_GOC!$D:$D,$B316,DATA_GOC!$E:$E,"Dầu thủy lực",DATA_GOC!$F:$F,"Xuất nội bộ từ téc",DATA_GOC!$B:$B,DATE($D$2,$B$2,Q$4)),0))</f>
        <v>0</v>
      </c>
      <c r="R316" s="251">
        <f>IF(R$4&gt;DAY(EOMONTH(DATE($D$2,$B$2,1),0)),"",IFERROR(SUMIFS(DATA_GOC!$H:$H,DATA_GOC!$A:$A,"BOM",DATA_GOC!$D:$D,$B316,DATA_GOC!$E:$E,"Dầu thủy lực",DATA_GOC!$F:$F,"Xuất nội bộ từ téc",DATA_GOC!$B:$B,DATE($D$2,$B$2,R$4)),0))</f>
        <v>0</v>
      </c>
      <c r="S316" s="251">
        <f>IF(S$4&gt;DAY(EOMONTH(DATE($D$2,$B$2,1),0)),"",IFERROR(SUMIFS(DATA_GOC!$H:$H,DATA_GOC!$A:$A,"BOM",DATA_GOC!$D:$D,$B316,DATA_GOC!$E:$E,"Dầu thủy lực",DATA_GOC!$F:$F,"Xuất nội bộ từ téc",DATA_GOC!$B:$B,DATE($D$2,$B$2,S$4)),0))</f>
        <v>0</v>
      </c>
      <c r="T316" s="251">
        <f>IF(T$4&gt;DAY(EOMONTH(DATE($D$2,$B$2,1),0)),"",IFERROR(SUMIFS(DATA_GOC!$H:$H,DATA_GOC!$A:$A,"BOM",DATA_GOC!$D:$D,$B316,DATA_GOC!$E:$E,"Dầu thủy lực",DATA_GOC!$F:$F,"Xuất nội bộ từ téc",DATA_GOC!$B:$B,DATE($D$2,$B$2,T$4)),0))</f>
        <v>0</v>
      </c>
      <c r="U316" s="251">
        <f>IF(U$4&gt;DAY(EOMONTH(DATE($D$2,$B$2,1),0)),"",IFERROR(SUMIFS(DATA_GOC!$H:$H,DATA_GOC!$A:$A,"BOM",DATA_GOC!$D:$D,$B316,DATA_GOC!$E:$E,"Dầu thủy lực",DATA_GOC!$F:$F,"Xuất nội bộ từ téc",DATA_GOC!$B:$B,DATE($D$2,$B$2,U$4)),0))</f>
        <v>0</v>
      </c>
      <c r="V316" s="251">
        <f>IF(V$4&gt;DAY(EOMONTH(DATE($D$2,$B$2,1),0)),"",IFERROR(SUMIFS(DATA_GOC!$H:$H,DATA_GOC!$A:$A,"BOM",DATA_GOC!$D:$D,$B316,DATA_GOC!$E:$E,"Dầu thủy lực",DATA_GOC!$F:$F,"Xuất nội bộ từ téc",DATA_GOC!$B:$B,DATE($D$2,$B$2,V$4)),0))</f>
        <v>0</v>
      </c>
      <c r="W316" s="251">
        <f>IF(W$4&gt;DAY(EOMONTH(DATE($D$2,$B$2,1),0)),"",IFERROR(SUMIFS(DATA_GOC!$H:$H,DATA_GOC!$A:$A,"BOM",DATA_GOC!$D:$D,$B316,DATA_GOC!$E:$E,"Dầu thủy lực",DATA_GOC!$F:$F,"Xuất nội bộ từ téc",DATA_GOC!$B:$B,DATE($D$2,$B$2,W$4)),0))</f>
        <v>0</v>
      </c>
      <c r="X316" s="251">
        <f>IF(X$4&gt;DAY(EOMONTH(DATE($D$2,$B$2,1),0)),"",IFERROR(SUMIFS(DATA_GOC!$H:$H,DATA_GOC!$A:$A,"BOM",DATA_GOC!$D:$D,$B316,DATA_GOC!$E:$E,"Dầu thủy lực",DATA_GOC!$F:$F,"Xuất nội bộ từ téc",DATA_GOC!$B:$B,DATE($D$2,$B$2,X$4)),0))</f>
        <v>0</v>
      </c>
      <c r="Y316" s="251">
        <f>IF(Y$4&gt;DAY(EOMONTH(DATE($D$2,$B$2,1),0)),"",IFERROR(SUMIFS(DATA_GOC!$H:$H,DATA_GOC!$A:$A,"BOM",DATA_GOC!$D:$D,$B316,DATA_GOC!$E:$E,"Dầu thủy lực",DATA_GOC!$F:$F,"Xuất nội bộ từ téc",DATA_GOC!$B:$B,DATE($D$2,$B$2,Y$4)),0))</f>
        <v>0</v>
      </c>
      <c r="Z316" s="251">
        <f>IF(Z$4&gt;DAY(EOMONTH(DATE($D$2,$B$2,1),0)),"",IFERROR(SUMIFS(DATA_GOC!$H:$H,DATA_GOC!$A:$A,"BOM",DATA_GOC!$D:$D,$B316,DATA_GOC!$E:$E,"Dầu thủy lực",DATA_GOC!$F:$F,"Xuất nội bộ từ téc",DATA_GOC!$B:$B,DATE($D$2,$B$2,Z$4)),0))</f>
        <v>0</v>
      </c>
      <c r="AA316" s="251">
        <f>IF(AA$4&gt;DAY(EOMONTH(DATE($D$2,$B$2,1),0)),"",IFERROR(SUMIFS(DATA_GOC!$H:$H,DATA_GOC!$A:$A,"BOM",DATA_GOC!$D:$D,$B316,DATA_GOC!$E:$E,"Dầu thủy lực",DATA_GOC!$F:$F,"Xuất nội bộ từ téc",DATA_GOC!$B:$B,DATE($D$2,$B$2,AA$4)),0))</f>
        <v>0</v>
      </c>
      <c r="AB316" s="251">
        <f>IF(AB$4&gt;DAY(EOMONTH(DATE($D$2,$B$2,1),0)),"",IFERROR(SUMIFS(DATA_GOC!$H:$H,DATA_GOC!$A:$A,"BOM",DATA_GOC!$D:$D,$B316,DATA_GOC!$E:$E,"Dầu thủy lực",DATA_GOC!$F:$F,"Xuất nội bộ từ téc",DATA_GOC!$B:$B,DATE($D$2,$B$2,AB$4)),0))</f>
        <v>0</v>
      </c>
      <c r="AC316" s="251">
        <f>IF(AC$4&gt;DAY(EOMONTH(DATE($D$2,$B$2,1),0)),"",IFERROR(SUMIFS(DATA_GOC!$H:$H,DATA_GOC!$A:$A,"BOM",DATA_GOC!$D:$D,$B316,DATA_GOC!$E:$E,"Dầu thủy lực",DATA_GOC!$F:$F,"Xuất nội bộ từ téc",DATA_GOC!$B:$B,DATE($D$2,$B$2,AC$4)),0))</f>
        <v>0</v>
      </c>
      <c r="AD316" s="251">
        <f>IF(AD$4&gt;DAY(EOMONTH(DATE($D$2,$B$2,1),0)),"",IFERROR(SUMIFS(DATA_GOC!$H:$H,DATA_GOC!$A:$A,"BOM",DATA_GOC!$D:$D,$B316,DATA_GOC!$E:$E,"Dầu thủy lực",DATA_GOC!$F:$F,"Xuất nội bộ từ téc",DATA_GOC!$B:$B,DATE($D$2,$B$2,AD$4)),0))</f>
        <v>0</v>
      </c>
      <c r="AE316" s="251">
        <f>IF(AE$4&gt;DAY(EOMONTH(DATE($D$2,$B$2,1),0)),"",IFERROR(SUMIFS(DATA_GOC!$H:$H,DATA_GOC!$A:$A,"BOM",DATA_GOC!$D:$D,$B316,DATA_GOC!$E:$E,"Dầu thủy lực",DATA_GOC!$F:$F,"Xuất nội bộ từ téc",DATA_GOC!$B:$B,DATE($D$2,$B$2,AE$4)),0))</f>
        <v>0</v>
      </c>
      <c r="AF316" s="251">
        <f>IF(AF$4&gt;DAY(EOMONTH(DATE($D$2,$B$2,1),0)),"",IFERROR(SUMIFS(DATA_GOC!$H:$H,DATA_GOC!$A:$A,"BOM",DATA_GOC!$D:$D,$B316,DATA_GOC!$E:$E,"Dầu thủy lực",DATA_GOC!$F:$F,"Xuất nội bộ từ téc",DATA_GOC!$B:$B,DATE($D$2,$B$2,AF$4)),0))</f>
        <v>0</v>
      </c>
      <c r="AG316" s="251">
        <f>IF(AG$4&gt;DAY(EOMONTH(DATE($D$2,$B$2,1),0)),"",IFERROR(SUMIFS(DATA_GOC!$H:$H,DATA_GOC!$A:$A,"BOM",DATA_GOC!$D:$D,$B316,DATA_GOC!$E:$E,"Dầu thủy lực",DATA_GOC!$F:$F,"Xuất nội bộ từ téc",DATA_GOC!$B:$B,DATE($D$2,$B$2,AG$4)),0))</f>
        <v>0</v>
      </c>
      <c r="AH316" s="252">
        <f t="shared" si="16"/>
        <v>0</v>
      </c>
      <c r="AI316" s="241"/>
      <c r="AJ316" s="242">
        <f>IF($B316="","",SUMIFS(TINH_TEC!$K$233:$K$9232,TINH_TEC!$H$233:$H$9232,$B316,TINH_TEC!$C$233:$C$9232,"Dầu thủy lực",TINH_TEC!$F$233:$F$9232,$B$2,TINH_TEC!$G$233:$G$9232,$D$2,TINH_TEC!$B$233:$B$9232,"Đã chốt"))</f>
        <v>0</v>
      </c>
      <c r="AK316" s="242">
        <f>IF($B316="","",SUMIFS(TINH_TEC!$J$233:$J$9232,TINH_TEC!$H$233:$H$9232,$B316,TINH_TEC!$C$233:$C$9232,"Dầu thủy lực",TINH_TEC!$F$233:$F$9232,$B$2,TINH_TEC!$G$233:$G$9232,$D$2,TINH_TEC!$B$233:$B$9232,"Đã chốt"))</f>
        <v>0</v>
      </c>
      <c r="AL316" s="242">
        <f t="shared" si="17"/>
        <v>0</v>
      </c>
    </row>
    <row r="317" ht="15.75" customHeight="1">
      <c r="A317" s="237">
        <f>IF($B317&lt;&gt;"",7,"")</f>
        <v>7</v>
      </c>
      <c r="B317" s="250" t="str">
        <f t="array" ref="B317">IFERROR(INDEX(DANH_MUC!$E:$E,10),"")</f>
        <v>28C01622</v>
      </c>
      <c r="C317" s="251">
        <f>IF(C$4&gt;DAY(EOMONTH(DATE($D$2,$B$2,1),0)),"",IFERROR(SUMIFS(DATA_GOC!$H:$H,DATA_GOC!$A:$A,"BOM",DATA_GOC!$D:$D,$B317,DATA_GOC!$E:$E,"Dầu thủy lực",DATA_GOC!$F:$F,"Xuất nội bộ từ téc",DATA_GOC!$B:$B,DATE($D$2,$B$2,C$4)),0))</f>
        <v>0</v>
      </c>
      <c r="D317" s="251">
        <f>IF(D$4&gt;DAY(EOMONTH(DATE($D$2,$B$2,1),0)),"",IFERROR(SUMIFS(DATA_GOC!$H:$H,DATA_GOC!$A:$A,"BOM",DATA_GOC!$D:$D,$B317,DATA_GOC!$E:$E,"Dầu thủy lực",DATA_GOC!$F:$F,"Xuất nội bộ từ téc",DATA_GOC!$B:$B,DATE($D$2,$B$2,D$4)),0))</f>
        <v>0</v>
      </c>
      <c r="E317" s="251">
        <f>IF(E$4&gt;DAY(EOMONTH(DATE($D$2,$B$2,1),0)),"",IFERROR(SUMIFS(DATA_GOC!$H:$H,DATA_GOC!$A:$A,"BOM",DATA_GOC!$D:$D,$B317,DATA_GOC!$E:$E,"Dầu thủy lực",DATA_GOC!$F:$F,"Xuất nội bộ từ téc",DATA_GOC!$B:$B,DATE($D$2,$B$2,E$4)),0))</f>
        <v>0</v>
      </c>
      <c r="F317" s="251">
        <f>IF(F$4&gt;DAY(EOMONTH(DATE($D$2,$B$2,1),0)),"",IFERROR(SUMIFS(DATA_GOC!$H:$H,DATA_GOC!$A:$A,"BOM",DATA_GOC!$D:$D,$B317,DATA_GOC!$E:$E,"Dầu thủy lực",DATA_GOC!$F:$F,"Xuất nội bộ từ téc",DATA_GOC!$B:$B,DATE($D$2,$B$2,F$4)),0))</f>
        <v>0</v>
      </c>
      <c r="G317" s="251">
        <f>IF(G$4&gt;DAY(EOMONTH(DATE($D$2,$B$2,1),0)),"",IFERROR(SUMIFS(DATA_GOC!$H:$H,DATA_GOC!$A:$A,"BOM",DATA_GOC!$D:$D,$B317,DATA_GOC!$E:$E,"Dầu thủy lực",DATA_GOC!$F:$F,"Xuất nội bộ từ téc",DATA_GOC!$B:$B,DATE($D$2,$B$2,G$4)),0))</f>
        <v>0</v>
      </c>
      <c r="H317" s="251">
        <f>IF(H$4&gt;DAY(EOMONTH(DATE($D$2,$B$2,1),0)),"",IFERROR(SUMIFS(DATA_GOC!$H:$H,DATA_GOC!$A:$A,"BOM",DATA_GOC!$D:$D,$B317,DATA_GOC!$E:$E,"Dầu thủy lực",DATA_GOC!$F:$F,"Xuất nội bộ từ téc",DATA_GOC!$B:$B,DATE($D$2,$B$2,H$4)),0))</f>
        <v>0</v>
      </c>
      <c r="I317" s="251">
        <f>IF(I$4&gt;DAY(EOMONTH(DATE($D$2,$B$2,1),0)),"",IFERROR(SUMIFS(DATA_GOC!$H:$H,DATA_GOC!$A:$A,"BOM",DATA_GOC!$D:$D,$B317,DATA_GOC!$E:$E,"Dầu thủy lực",DATA_GOC!$F:$F,"Xuất nội bộ từ téc",DATA_GOC!$B:$B,DATE($D$2,$B$2,I$4)),0))</f>
        <v>0</v>
      </c>
      <c r="J317" s="251">
        <f>IF(J$4&gt;DAY(EOMONTH(DATE($D$2,$B$2,1),0)),"",IFERROR(SUMIFS(DATA_GOC!$H:$H,DATA_GOC!$A:$A,"BOM",DATA_GOC!$D:$D,$B317,DATA_GOC!$E:$E,"Dầu thủy lực",DATA_GOC!$F:$F,"Xuất nội bộ từ téc",DATA_GOC!$B:$B,DATE($D$2,$B$2,J$4)),0))</f>
        <v>0</v>
      </c>
      <c r="K317" s="251">
        <f>IF(K$4&gt;DAY(EOMONTH(DATE($D$2,$B$2,1),0)),"",IFERROR(SUMIFS(DATA_GOC!$H:$H,DATA_GOC!$A:$A,"BOM",DATA_GOC!$D:$D,$B317,DATA_GOC!$E:$E,"Dầu thủy lực",DATA_GOC!$F:$F,"Xuất nội bộ từ téc",DATA_GOC!$B:$B,DATE($D$2,$B$2,K$4)),0))</f>
        <v>0</v>
      </c>
      <c r="L317" s="251">
        <f>IF(L$4&gt;DAY(EOMONTH(DATE($D$2,$B$2,1),0)),"",IFERROR(SUMIFS(DATA_GOC!$H:$H,DATA_GOC!$A:$A,"BOM",DATA_GOC!$D:$D,$B317,DATA_GOC!$E:$E,"Dầu thủy lực",DATA_GOC!$F:$F,"Xuất nội bộ từ téc",DATA_GOC!$B:$B,DATE($D$2,$B$2,L$4)),0))</f>
        <v>0</v>
      </c>
      <c r="M317" s="251">
        <f>IF(M$4&gt;DAY(EOMONTH(DATE($D$2,$B$2,1),0)),"",IFERROR(SUMIFS(DATA_GOC!$H:$H,DATA_GOC!$A:$A,"BOM",DATA_GOC!$D:$D,$B317,DATA_GOC!$E:$E,"Dầu thủy lực",DATA_GOC!$F:$F,"Xuất nội bộ từ téc",DATA_GOC!$B:$B,DATE($D$2,$B$2,M$4)),0))</f>
        <v>0</v>
      </c>
      <c r="N317" s="251">
        <f>IF(N$4&gt;DAY(EOMONTH(DATE($D$2,$B$2,1),0)),"",IFERROR(SUMIFS(DATA_GOC!$H:$H,DATA_GOC!$A:$A,"BOM",DATA_GOC!$D:$D,$B317,DATA_GOC!$E:$E,"Dầu thủy lực",DATA_GOC!$F:$F,"Xuất nội bộ từ téc",DATA_GOC!$B:$B,DATE($D$2,$B$2,N$4)),0))</f>
        <v>0</v>
      </c>
      <c r="O317" s="251">
        <f>IF(O$4&gt;DAY(EOMONTH(DATE($D$2,$B$2,1),0)),"",IFERROR(SUMIFS(DATA_GOC!$H:$H,DATA_GOC!$A:$A,"BOM",DATA_GOC!$D:$D,$B317,DATA_GOC!$E:$E,"Dầu thủy lực",DATA_GOC!$F:$F,"Xuất nội bộ từ téc",DATA_GOC!$B:$B,DATE($D$2,$B$2,O$4)),0))</f>
        <v>0</v>
      </c>
      <c r="P317" s="251">
        <f>IF(P$4&gt;DAY(EOMONTH(DATE($D$2,$B$2,1),0)),"",IFERROR(SUMIFS(DATA_GOC!$H:$H,DATA_GOC!$A:$A,"BOM",DATA_GOC!$D:$D,$B317,DATA_GOC!$E:$E,"Dầu thủy lực",DATA_GOC!$F:$F,"Xuất nội bộ từ téc",DATA_GOC!$B:$B,DATE($D$2,$B$2,P$4)),0))</f>
        <v>0</v>
      </c>
      <c r="Q317" s="251">
        <f>IF(Q$4&gt;DAY(EOMONTH(DATE($D$2,$B$2,1),0)),"",IFERROR(SUMIFS(DATA_GOC!$H:$H,DATA_GOC!$A:$A,"BOM",DATA_GOC!$D:$D,$B317,DATA_GOC!$E:$E,"Dầu thủy lực",DATA_GOC!$F:$F,"Xuất nội bộ từ téc",DATA_GOC!$B:$B,DATE($D$2,$B$2,Q$4)),0))</f>
        <v>0</v>
      </c>
      <c r="R317" s="251">
        <f>IF(R$4&gt;DAY(EOMONTH(DATE($D$2,$B$2,1),0)),"",IFERROR(SUMIFS(DATA_GOC!$H:$H,DATA_GOC!$A:$A,"BOM",DATA_GOC!$D:$D,$B317,DATA_GOC!$E:$E,"Dầu thủy lực",DATA_GOC!$F:$F,"Xuất nội bộ từ téc",DATA_GOC!$B:$B,DATE($D$2,$B$2,R$4)),0))</f>
        <v>0</v>
      </c>
      <c r="S317" s="251">
        <f>IF(S$4&gt;DAY(EOMONTH(DATE($D$2,$B$2,1),0)),"",IFERROR(SUMIFS(DATA_GOC!$H:$H,DATA_GOC!$A:$A,"BOM",DATA_GOC!$D:$D,$B317,DATA_GOC!$E:$E,"Dầu thủy lực",DATA_GOC!$F:$F,"Xuất nội bộ từ téc",DATA_GOC!$B:$B,DATE($D$2,$B$2,S$4)),0))</f>
        <v>0</v>
      </c>
      <c r="T317" s="251">
        <f>IF(T$4&gt;DAY(EOMONTH(DATE($D$2,$B$2,1),0)),"",IFERROR(SUMIFS(DATA_GOC!$H:$H,DATA_GOC!$A:$A,"BOM",DATA_GOC!$D:$D,$B317,DATA_GOC!$E:$E,"Dầu thủy lực",DATA_GOC!$F:$F,"Xuất nội bộ từ téc",DATA_GOC!$B:$B,DATE($D$2,$B$2,T$4)),0))</f>
        <v>0</v>
      </c>
      <c r="U317" s="251">
        <f>IF(U$4&gt;DAY(EOMONTH(DATE($D$2,$B$2,1),0)),"",IFERROR(SUMIFS(DATA_GOC!$H:$H,DATA_GOC!$A:$A,"BOM",DATA_GOC!$D:$D,$B317,DATA_GOC!$E:$E,"Dầu thủy lực",DATA_GOC!$F:$F,"Xuất nội bộ từ téc",DATA_GOC!$B:$B,DATE($D$2,$B$2,U$4)),0))</f>
        <v>0</v>
      </c>
      <c r="V317" s="251">
        <f>IF(V$4&gt;DAY(EOMONTH(DATE($D$2,$B$2,1),0)),"",IFERROR(SUMIFS(DATA_GOC!$H:$H,DATA_GOC!$A:$A,"BOM",DATA_GOC!$D:$D,$B317,DATA_GOC!$E:$E,"Dầu thủy lực",DATA_GOC!$F:$F,"Xuất nội bộ từ téc",DATA_GOC!$B:$B,DATE($D$2,$B$2,V$4)),0))</f>
        <v>0</v>
      </c>
      <c r="W317" s="251">
        <f>IF(W$4&gt;DAY(EOMONTH(DATE($D$2,$B$2,1),0)),"",IFERROR(SUMIFS(DATA_GOC!$H:$H,DATA_GOC!$A:$A,"BOM",DATA_GOC!$D:$D,$B317,DATA_GOC!$E:$E,"Dầu thủy lực",DATA_GOC!$F:$F,"Xuất nội bộ từ téc",DATA_GOC!$B:$B,DATE($D$2,$B$2,W$4)),0))</f>
        <v>0</v>
      </c>
      <c r="X317" s="251">
        <f>IF(X$4&gt;DAY(EOMONTH(DATE($D$2,$B$2,1),0)),"",IFERROR(SUMIFS(DATA_GOC!$H:$H,DATA_GOC!$A:$A,"BOM",DATA_GOC!$D:$D,$B317,DATA_GOC!$E:$E,"Dầu thủy lực",DATA_GOC!$F:$F,"Xuất nội bộ từ téc",DATA_GOC!$B:$B,DATE($D$2,$B$2,X$4)),0))</f>
        <v>0</v>
      </c>
      <c r="Y317" s="251">
        <f>IF(Y$4&gt;DAY(EOMONTH(DATE($D$2,$B$2,1),0)),"",IFERROR(SUMIFS(DATA_GOC!$H:$H,DATA_GOC!$A:$A,"BOM",DATA_GOC!$D:$D,$B317,DATA_GOC!$E:$E,"Dầu thủy lực",DATA_GOC!$F:$F,"Xuất nội bộ từ téc",DATA_GOC!$B:$B,DATE($D$2,$B$2,Y$4)),0))</f>
        <v>0</v>
      </c>
      <c r="Z317" s="251">
        <f>IF(Z$4&gt;DAY(EOMONTH(DATE($D$2,$B$2,1),0)),"",IFERROR(SUMIFS(DATA_GOC!$H:$H,DATA_GOC!$A:$A,"BOM",DATA_GOC!$D:$D,$B317,DATA_GOC!$E:$E,"Dầu thủy lực",DATA_GOC!$F:$F,"Xuất nội bộ từ téc",DATA_GOC!$B:$B,DATE($D$2,$B$2,Z$4)),0))</f>
        <v>0</v>
      </c>
      <c r="AA317" s="251">
        <f>IF(AA$4&gt;DAY(EOMONTH(DATE($D$2,$B$2,1),0)),"",IFERROR(SUMIFS(DATA_GOC!$H:$H,DATA_GOC!$A:$A,"BOM",DATA_GOC!$D:$D,$B317,DATA_GOC!$E:$E,"Dầu thủy lực",DATA_GOC!$F:$F,"Xuất nội bộ từ téc",DATA_GOC!$B:$B,DATE($D$2,$B$2,AA$4)),0))</f>
        <v>0</v>
      </c>
      <c r="AB317" s="251">
        <f>IF(AB$4&gt;DAY(EOMONTH(DATE($D$2,$B$2,1),0)),"",IFERROR(SUMIFS(DATA_GOC!$H:$H,DATA_GOC!$A:$A,"BOM",DATA_GOC!$D:$D,$B317,DATA_GOC!$E:$E,"Dầu thủy lực",DATA_GOC!$F:$F,"Xuất nội bộ từ téc",DATA_GOC!$B:$B,DATE($D$2,$B$2,AB$4)),0))</f>
        <v>0</v>
      </c>
      <c r="AC317" s="251">
        <f>IF(AC$4&gt;DAY(EOMONTH(DATE($D$2,$B$2,1),0)),"",IFERROR(SUMIFS(DATA_GOC!$H:$H,DATA_GOC!$A:$A,"BOM",DATA_GOC!$D:$D,$B317,DATA_GOC!$E:$E,"Dầu thủy lực",DATA_GOC!$F:$F,"Xuất nội bộ từ téc",DATA_GOC!$B:$B,DATE($D$2,$B$2,AC$4)),0))</f>
        <v>0</v>
      </c>
      <c r="AD317" s="251">
        <f>IF(AD$4&gt;DAY(EOMONTH(DATE($D$2,$B$2,1),0)),"",IFERROR(SUMIFS(DATA_GOC!$H:$H,DATA_GOC!$A:$A,"BOM",DATA_GOC!$D:$D,$B317,DATA_GOC!$E:$E,"Dầu thủy lực",DATA_GOC!$F:$F,"Xuất nội bộ từ téc",DATA_GOC!$B:$B,DATE($D$2,$B$2,AD$4)),0))</f>
        <v>0</v>
      </c>
      <c r="AE317" s="251">
        <f>IF(AE$4&gt;DAY(EOMONTH(DATE($D$2,$B$2,1),0)),"",IFERROR(SUMIFS(DATA_GOC!$H:$H,DATA_GOC!$A:$A,"BOM",DATA_GOC!$D:$D,$B317,DATA_GOC!$E:$E,"Dầu thủy lực",DATA_GOC!$F:$F,"Xuất nội bộ từ téc",DATA_GOC!$B:$B,DATE($D$2,$B$2,AE$4)),0))</f>
        <v>0</v>
      </c>
      <c r="AF317" s="251">
        <f>IF(AF$4&gt;DAY(EOMONTH(DATE($D$2,$B$2,1),0)),"",IFERROR(SUMIFS(DATA_GOC!$H:$H,DATA_GOC!$A:$A,"BOM",DATA_GOC!$D:$D,$B317,DATA_GOC!$E:$E,"Dầu thủy lực",DATA_GOC!$F:$F,"Xuất nội bộ từ téc",DATA_GOC!$B:$B,DATE($D$2,$B$2,AF$4)),0))</f>
        <v>0</v>
      </c>
      <c r="AG317" s="251">
        <f>IF(AG$4&gt;DAY(EOMONTH(DATE($D$2,$B$2,1),0)),"",IFERROR(SUMIFS(DATA_GOC!$H:$H,DATA_GOC!$A:$A,"BOM",DATA_GOC!$D:$D,$B317,DATA_GOC!$E:$E,"Dầu thủy lực",DATA_GOC!$F:$F,"Xuất nội bộ từ téc",DATA_GOC!$B:$B,DATE($D$2,$B$2,AG$4)),0))</f>
        <v>0</v>
      </c>
      <c r="AH317" s="252">
        <f t="shared" si="16"/>
        <v>0</v>
      </c>
      <c r="AI317" s="241"/>
      <c r="AJ317" s="242">
        <f>IF($B317="","",SUMIFS(TINH_TEC!$K$233:$K$9232,TINH_TEC!$H$233:$H$9232,$B317,TINH_TEC!$C$233:$C$9232,"Dầu thủy lực",TINH_TEC!$F$233:$F$9232,$B$2,TINH_TEC!$G$233:$G$9232,$D$2,TINH_TEC!$B$233:$B$9232,"Đã chốt"))</f>
        <v>0</v>
      </c>
      <c r="AK317" s="242">
        <f>IF($B317="","",SUMIFS(TINH_TEC!$J$233:$J$9232,TINH_TEC!$H$233:$H$9232,$B317,TINH_TEC!$C$233:$C$9232,"Dầu thủy lực",TINH_TEC!$F$233:$F$9232,$B$2,TINH_TEC!$G$233:$G$9232,$D$2,TINH_TEC!$B$233:$B$9232,"Đã chốt"))</f>
        <v>0</v>
      </c>
      <c r="AL317" s="242">
        <f t="shared" si="17"/>
        <v>0</v>
      </c>
    </row>
    <row r="318" ht="15.75" customHeight="1">
      <c r="A318" s="237">
        <f>IF($B318&lt;&gt;"",8,"")</f>
        <v>8</v>
      </c>
      <c r="B318" s="250" t="str">
        <f t="array" ref="B318">IFERROR(INDEX(DANH_MUC!$E:$E,11),"")</f>
        <v>28C01647</v>
      </c>
      <c r="C318" s="251">
        <f>IF(C$4&gt;DAY(EOMONTH(DATE($D$2,$B$2,1),0)),"",IFERROR(SUMIFS(DATA_GOC!$H:$H,DATA_GOC!$A:$A,"BOM",DATA_GOC!$D:$D,$B318,DATA_GOC!$E:$E,"Dầu thủy lực",DATA_GOC!$F:$F,"Xuất nội bộ từ téc",DATA_GOC!$B:$B,DATE($D$2,$B$2,C$4)),0))</f>
        <v>0</v>
      </c>
      <c r="D318" s="251">
        <f>IF(D$4&gt;DAY(EOMONTH(DATE($D$2,$B$2,1),0)),"",IFERROR(SUMIFS(DATA_GOC!$H:$H,DATA_GOC!$A:$A,"BOM",DATA_GOC!$D:$D,$B318,DATA_GOC!$E:$E,"Dầu thủy lực",DATA_GOC!$F:$F,"Xuất nội bộ từ téc",DATA_GOC!$B:$B,DATE($D$2,$B$2,D$4)),0))</f>
        <v>0</v>
      </c>
      <c r="E318" s="251">
        <f>IF(E$4&gt;DAY(EOMONTH(DATE($D$2,$B$2,1),0)),"",IFERROR(SUMIFS(DATA_GOC!$H:$H,DATA_GOC!$A:$A,"BOM",DATA_GOC!$D:$D,$B318,DATA_GOC!$E:$E,"Dầu thủy lực",DATA_GOC!$F:$F,"Xuất nội bộ từ téc",DATA_GOC!$B:$B,DATE($D$2,$B$2,E$4)),0))</f>
        <v>0</v>
      </c>
      <c r="F318" s="251">
        <f>IF(F$4&gt;DAY(EOMONTH(DATE($D$2,$B$2,1),0)),"",IFERROR(SUMIFS(DATA_GOC!$H:$H,DATA_GOC!$A:$A,"BOM",DATA_GOC!$D:$D,$B318,DATA_GOC!$E:$E,"Dầu thủy lực",DATA_GOC!$F:$F,"Xuất nội bộ từ téc",DATA_GOC!$B:$B,DATE($D$2,$B$2,F$4)),0))</f>
        <v>0</v>
      </c>
      <c r="G318" s="251">
        <f>IF(G$4&gt;DAY(EOMONTH(DATE($D$2,$B$2,1),0)),"",IFERROR(SUMIFS(DATA_GOC!$H:$H,DATA_GOC!$A:$A,"BOM",DATA_GOC!$D:$D,$B318,DATA_GOC!$E:$E,"Dầu thủy lực",DATA_GOC!$F:$F,"Xuất nội bộ từ téc",DATA_GOC!$B:$B,DATE($D$2,$B$2,G$4)),0))</f>
        <v>0</v>
      </c>
      <c r="H318" s="251">
        <f>IF(H$4&gt;DAY(EOMONTH(DATE($D$2,$B$2,1),0)),"",IFERROR(SUMIFS(DATA_GOC!$H:$H,DATA_GOC!$A:$A,"BOM",DATA_GOC!$D:$D,$B318,DATA_GOC!$E:$E,"Dầu thủy lực",DATA_GOC!$F:$F,"Xuất nội bộ từ téc",DATA_GOC!$B:$B,DATE($D$2,$B$2,H$4)),0))</f>
        <v>0</v>
      </c>
      <c r="I318" s="251">
        <f>IF(I$4&gt;DAY(EOMONTH(DATE($D$2,$B$2,1),0)),"",IFERROR(SUMIFS(DATA_GOC!$H:$H,DATA_GOC!$A:$A,"BOM",DATA_GOC!$D:$D,$B318,DATA_GOC!$E:$E,"Dầu thủy lực",DATA_GOC!$F:$F,"Xuất nội bộ từ téc",DATA_GOC!$B:$B,DATE($D$2,$B$2,I$4)),0))</f>
        <v>0</v>
      </c>
      <c r="J318" s="251">
        <f>IF(J$4&gt;DAY(EOMONTH(DATE($D$2,$B$2,1),0)),"",IFERROR(SUMIFS(DATA_GOC!$H:$H,DATA_GOC!$A:$A,"BOM",DATA_GOC!$D:$D,$B318,DATA_GOC!$E:$E,"Dầu thủy lực",DATA_GOC!$F:$F,"Xuất nội bộ từ téc",DATA_GOC!$B:$B,DATE($D$2,$B$2,J$4)),0))</f>
        <v>0</v>
      </c>
      <c r="K318" s="251">
        <f>IF(K$4&gt;DAY(EOMONTH(DATE($D$2,$B$2,1),0)),"",IFERROR(SUMIFS(DATA_GOC!$H:$H,DATA_GOC!$A:$A,"BOM",DATA_GOC!$D:$D,$B318,DATA_GOC!$E:$E,"Dầu thủy lực",DATA_GOC!$F:$F,"Xuất nội bộ từ téc",DATA_GOC!$B:$B,DATE($D$2,$B$2,K$4)),0))</f>
        <v>0</v>
      </c>
      <c r="L318" s="251">
        <f>IF(L$4&gt;DAY(EOMONTH(DATE($D$2,$B$2,1),0)),"",IFERROR(SUMIFS(DATA_GOC!$H:$H,DATA_GOC!$A:$A,"BOM",DATA_GOC!$D:$D,$B318,DATA_GOC!$E:$E,"Dầu thủy lực",DATA_GOC!$F:$F,"Xuất nội bộ từ téc",DATA_GOC!$B:$B,DATE($D$2,$B$2,L$4)),0))</f>
        <v>0</v>
      </c>
      <c r="M318" s="251">
        <f>IF(M$4&gt;DAY(EOMONTH(DATE($D$2,$B$2,1),0)),"",IFERROR(SUMIFS(DATA_GOC!$H:$H,DATA_GOC!$A:$A,"BOM",DATA_GOC!$D:$D,$B318,DATA_GOC!$E:$E,"Dầu thủy lực",DATA_GOC!$F:$F,"Xuất nội bộ từ téc",DATA_GOC!$B:$B,DATE($D$2,$B$2,M$4)),0))</f>
        <v>0</v>
      </c>
      <c r="N318" s="251">
        <f>IF(N$4&gt;DAY(EOMONTH(DATE($D$2,$B$2,1),0)),"",IFERROR(SUMIFS(DATA_GOC!$H:$H,DATA_GOC!$A:$A,"BOM",DATA_GOC!$D:$D,$B318,DATA_GOC!$E:$E,"Dầu thủy lực",DATA_GOC!$F:$F,"Xuất nội bộ từ téc",DATA_GOC!$B:$B,DATE($D$2,$B$2,N$4)),0))</f>
        <v>0</v>
      </c>
      <c r="O318" s="251">
        <f>IF(O$4&gt;DAY(EOMONTH(DATE($D$2,$B$2,1),0)),"",IFERROR(SUMIFS(DATA_GOC!$H:$H,DATA_GOC!$A:$A,"BOM",DATA_GOC!$D:$D,$B318,DATA_GOC!$E:$E,"Dầu thủy lực",DATA_GOC!$F:$F,"Xuất nội bộ từ téc",DATA_GOC!$B:$B,DATE($D$2,$B$2,O$4)),0))</f>
        <v>0</v>
      </c>
      <c r="P318" s="251">
        <f>IF(P$4&gt;DAY(EOMONTH(DATE($D$2,$B$2,1),0)),"",IFERROR(SUMIFS(DATA_GOC!$H:$H,DATA_GOC!$A:$A,"BOM",DATA_GOC!$D:$D,$B318,DATA_GOC!$E:$E,"Dầu thủy lực",DATA_GOC!$F:$F,"Xuất nội bộ từ téc",DATA_GOC!$B:$B,DATE($D$2,$B$2,P$4)),0))</f>
        <v>0</v>
      </c>
      <c r="Q318" s="251">
        <f>IF(Q$4&gt;DAY(EOMONTH(DATE($D$2,$B$2,1),0)),"",IFERROR(SUMIFS(DATA_GOC!$H:$H,DATA_GOC!$A:$A,"BOM",DATA_GOC!$D:$D,$B318,DATA_GOC!$E:$E,"Dầu thủy lực",DATA_GOC!$F:$F,"Xuất nội bộ từ téc",DATA_GOC!$B:$B,DATE($D$2,$B$2,Q$4)),0))</f>
        <v>0</v>
      </c>
      <c r="R318" s="251">
        <f>IF(R$4&gt;DAY(EOMONTH(DATE($D$2,$B$2,1),0)),"",IFERROR(SUMIFS(DATA_GOC!$H:$H,DATA_GOC!$A:$A,"BOM",DATA_GOC!$D:$D,$B318,DATA_GOC!$E:$E,"Dầu thủy lực",DATA_GOC!$F:$F,"Xuất nội bộ từ téc",DATA_GOC!$B:$B,DATE($D$2,$B$2,R$4)),0))</f>
        <v>0</v>
      </c>
      <c r="S318" s="251">
        <f>IF(S$4&gt;DAY(EOMONTH(DATE($D$2,$B$2,1),0)),"",IFERROR(SUMIFS(DATA_GOC!$H:$H,DATA_GOC!$A:$A,"BOM",DATA_GOC!$D:$D,$B318,DATA_GOC!$E:$E,"Dầu thủy lực",DATA_GOC!$F:$F,"Xuất nội bộ từ téc",DATA_GOC!$B:$B,DATE($D$2,$B$2,S$4)),0))</f>
        <v>0</v>
      </c>
      <c r="T318" s="251">
        <f>IF(T$4&gt;DAY(EOMONTH(DATE($D$2,$B$2,1),0)),"",IFERROR(SUMIFS(DATA_GOC!$H:$H,DATA_GOC!$A:$A,"BOM",DATA_GOC!$D:$D,$B318,DATA_GOC!$E:$E,"Dầu thủy lực",DATA_GOC!$F:$F,"Xuất nội bộ từ téc",DATA_GOC!$B:$B,DATE($D$2,$B$2,T$4)),0))</f>
        <v>0</v>
      </c>
      <c r="U318" s="251">
        <f>IF(U$4&gt;DAY(EOMONTH(DATE($D$2,$B$2,1),0)),"",IFERROR(SUMIFS(DATA_GOC!$H:$H,DATA_GOC!$A:$A,"BOM",DATA_GOC!$D:$D,$B318,DATA_GOC!$E:$E,"Dầu thủy lực",DATA_GOC!$F:$F,"Xuất nội bộ từ téc",DATA_GOC!$B:$B,DATE($D$2,$B$2,U$4)),0))</f>
        <v>0</v>
      </c>
      <c r="V318" s="251">
        <f>IF(V$4&gt;DAY(EOMONTH(DATE($D$2,$B$2,1),0)),"",IFERROR(SUMIFS(DATA_GOC!$H:$H,DATA_GOC!$A:$A,"BOM",DATA_GOC!$D:$D,$B318,DATA_GOC!$E:$E,"Dầu thủy lực",DATA_GOC!$F:$F,"Xuất nội bộ từ téc",DATA_GOC!$B:$B,DATE($D$2,$B$2,V$4)),0))</f>
        <v>0</v>
      </c>
      <c r="W318" s="251">
        <f>IF(W$4&gt;DAY(EOMONTH(DATE($D$2,$B$2,1),0)),"",IFERROR(SUMIFS(DATA_GOC!$H:$H,DATA_GOC!$A:$A,"BOM",DATA_GOC!$D:$D,$B318,DATA_GOC!$E:$E,"Dầu thủy lực",DATA_GOC!$F:$F,"Xuất nội bộ từ téc",DATA_GOC!$B:$B,DATE($D$2,$B$2,W$4)),0))</f>
        <v>0</v>
      </c>
      <c r="X318" s="251">
        <f>IF(X$4&gt;DAY(EOMONTH(DATE($D$2,$B$2,1),0)),"",IFERROR(SUMIFS(DATA_GOC!$H:$H,DATA_GOC!$A:$A,"BOM",DATA_GOC!$D:$D,$B318,DATA_GOC!$E:$E,"Dầu thủy lực",DATA_GOC!$F:$F,"Xuất nội bộ từ téc",DATA_GOC!$B:$B,DATE($D$2,$B$2,X$4)),0))</f>
        <v>0</v>
      </c>
      <c r="Y318" s="251">
        <f>IF(Y$4&gt;DAY(EOMONTH(DATE($D$2,$B$2,1),0)),"",IFERROR(SUMIFS(DATA_GOC!$H:$H,DATA_GOC!$A:$A,"BOM",DATA_GOC!$D:$D,$B318,DATA_GOC!$E:$E,"Dầu thủy lực",DATA_GOC!$F:$F,"Xuất nội bộ từ téc",DATA_GOC!$B:$B,DATE($D$2,$B$2,Y$4)),0))</f>
        <v>0</v>
      </c>
      <c r="Z318" s="251">
        <f>IF(Z$4&gt;DAY(EOMONTH(DATE($D$2,$B$2,1),0)),"",IFERROR(SUMIFS(DATA_GOC!$H:$H,DATA_GOC!$A:$A,"BOM",DATA_GOC!$D:$D,$B318,DATA_GOC!$E:$E,"Dầu thủy lực",DATA_GOC!$F:$F,"Xuất nội bộ từ téc",DATA_GOC!$B:$B,DATE($D$2,$B$2,Z$4)),0))</f>
        <v>0</v>
      </c>
      <c r="AA318" s="251">
        <f>IF(AA$4&gt;DAY(EOMONTH(DATE($D$2,$B$2,1),0)),"",IFERROR(SUMIFS(DATA_GOC!$H:$H,DATA_GOC!$A:$A,"BOM",DATA_GOC!$D:$D,$B318,DATA_GOC!$E:$E,"Dầu thủy lực",DATA_GOC!$F:$F,"Xuất nội bộ từ téc",DATA_GOC!$B:$B,DATE($D$2,$B$2,AA$4)),0))</f>
        <v>0</v>
      </c>
      <c r="AB318" s="251">
        <f>IF(AB$4&gt;DAY(EOMONTH(DATE($D$2,$B$2,1),0)),"",IFERROR(SUMIFS(DATA_GOC!$H:$H,DATA_GOC!$A:$A,"BOM",DATA_GOC!$D:$D,$B318,DATA_GOC!$E:$E,"Dầu thủy lực",DATA_GOC!$F:$F,"Xuất nội bộ từ téc",DATA_GOC!$B:$B,DATE($D$2,$B$2,AB$4)),0))</f>
        <v>0</v>
      </c>
      <c r="AC318" s="251">
        <f>IF(AC$4&gt;DAY(EOMONTH(DATE($D$2,$B$2,1),0)),"",IFERROR(SUMIFS(DATA_GOC!$H:$H,DATA_GOC!$A:$A,"BOM",DATA_GOC!$D:$D,$B318,DATA_GOC!$E:$E,"Dầu thủy lực",DATA_GOC!$F:$F,"Xuất nội bộ từ téc",DATA_GOC!$B:$B,DATE($D$2,$B$2,AC$4)),0))</f>
        <v>0</v>
      </c>
      <c r="AD318" s="251">
        <f>IF(AD$4&gt;DAY(EOMONTH(DATE($D$2,$B$2,1),0)),"",IFERROR(SUMIFS(DATA_GOC!$H:$H,DATA_GOC!$A:$A,"BOM",DATA_GOC!$D:$D,$B318,DATA_GOC!$E:$E,"Dầu thủy lực",DATA_GOC!$F:$F,"Xuất nội bộ từ téc",DATA_GOC!$B:$B,DATE($D$2,$B$2,AD$4)),0))</f>
        <v>0</v>
      </c>
      <c r="AE318" s="251">
        <f>IF(AE$4&gt;DAY(EOMONTH(DATE($D$2,$B$2,1),0)),"",IFERROR(SUMIFS(DATA_GOC!$H:$H,DATA_GOC!$A:$A,"BOM",DATA_GOC!$D:$D,$B318,DATA_GOC!$E:$E,"Dầu thủy lực",DATA_GOC!$F:$F,"Xuất nội bộ từ téc",DATA_GOC!$B:$B,DATE($D$2,$B$2,AE$4)),0))</f>
        <v>0</v>
      </c>
      <c r="AF318" s="251">
        <f>IF(AF$4&gt;DAY(EOMONTH(DATE($D$2,$B$2,1),0)),"",IFERROR(SUMIFS(DATA_GOC!$H:$H,DATA_GOC!$A:$A,"BOM",DATA_GOC!$D:$D,$B318,DATA_GOC!$E:$E,"Dầu thủy lực",DATA_GOC!$F:$F,"Xuất nội bộ từ téc",DATA_GOC!$B:$B,DATE($D$2,$B$2,AF$4)),0))</f>
        <v>0</v>
      </c>
      <c r="AG318" s="251">
        <f>IF(AG$4&gt;DAY(EOMONTH(DATE($D$2,$B$2,1),0)),"",IFERROR(SUMIFS(DATA_GOC!$H:$H,DATA_GOC!$A:$A,"BOM",DATA_GOC!$D:$D,$B318,DATA_GOC!$E:$E,"Dầu thủy lực",DATA_GOC!$F:$F,"Xuất nội bộ từ téc",DATA_GOC!$B:$B,DATE($D$2,$B$2,AG$4)),0))</f>
        <v>0</v>
      </c>
      <c r="AH318" s="252">
        <f t="shared" si="16"/>
        <v>0</v>
      </c>
      <c r="AI318" s="241"/>
      <c r="AJ318" s="242">
        <f>IF($B318="","",SUMIFS(TINH_TEC!$K$233:$K$9232,TINH_TEC!$H$233:$H$9232,$B318,TINH_TEC!$C$233:$C$9232,"Dầu thủy lực",TINH_TEC!$F$233:$F$9232,$B$2,TINH_TEC!$G$233:$G$9232,$D$2,TINH_TEC!$B$233:$B$9232,"Đã chốt"))</f>
        <v>0</v>
      </c>
      <c r="AK318" s="242">
        <f>IF($B318="","",SUMIFS(TINH_TEC!$J$233:$J$9232,TINH_TEC!$H$233:$H$9232,$B318,TINH_TEC!$C$233:$C$9232,"Dầu thủy lực",TINH_TEC!$F$233:$F$9232,$B$2,TINH_TEC!$G$233:$G$9232,$D$2,TINH_TEC!$B$233:$B$9232,"Đã chốt"))</f>
        <v>0</v>
      </c>
      <c r="AL318" s="242">
        <f t="shared" si="17"/>
        <v>0</v>
      </c>
    </row>
    <row r="319" ht="15.75" customHeight="1">
      <c r="A319" s="237">
        <f>IF($B319&lt;&gt;"",9,"")</f>
        <v>9</v>
      </c>
      <c r="B319" s="250" t="str">
        <f t="array" ref="B319">IFERROR(INDEX(DANH_MUC!$E:$E,12),"")</f>
        <v>28C01731</v>
      </c>
      <c r="C319" s="251">
        <f>IF(C$4&gt;DAY(EOMONTH(DATE($D$2,$B$2,1),0)),"",IFERROR(SUMIFS(DATA_GOC!$H:$H,DATA_GOC!$A:$A,"BOM",DATA_GOC!$D:$D,$B319,DATA_GOC!$E:$E,"Dầu thủy lực",DATA_GOC!$F:$F,"Xuất nội bộ từ téc",DATA_GOC!$B:$B,DATE($D$2,$B$2,C$4)),0))</f>
        <v>0</v>
      </c>
      <c r="D319" s="251">
        <f>IF(D$4&gt;DAY(EOMONTH(DATE($D$2,$B$2,1),0)),"",IFERROR(SUMIFS(DATA_GOC!$H:$H,DATA_GOC!$A:$A,"BOM",DATA_GOC!$D:$D,$B319,DATA_GOC!$E:$E,"Dầu thủy lực",DATA_GOC!$F:$F,"Xuất nội bộ từ téc",DATA_GOC!$B:$B,DATE($D$2,$B$2,D$4)),0))</f>
        <v>0</v>
      </c>
      <c r="E319" s="251">
        <f>IF(E$4&gt;DAY(EOMONTH(DATE($D$2,$B$2,1),0)),"",IFERROR(SUMIFS(DATA_GOC!$H:$H,DATA_GOC!$A:$A,"BOM",DATA_GOC!$D:$D,$B319,DATA_GOC!$E:$E,"Dầu thủy lực",DATA_GOC!$F:$F,"Xuất nội bộ từ téc",DATA_GOC!$B:$B,DATE($D$2,$B$2,E$4)),0))</f>
        <v>0</v>
      </c>
      <c r="F319" s="251">
        <f>IF(F$4&gt;DAY(EOMONTH(DATE($D$2,$B$2,1),0)),"",IFERROR(SUMIFS(DATA_GOC!$H:$H,DATA_GOC!$A:$A,"BOM",DATA_GOC!$D:$D,$B319,DATA_GOC!$E:$E,"Dầu thủy lực",DATA_GOC!$F:$F,"Xuất nội bộ từ téc",DATA_GOC!$B:$B,DATE($D$2,$B$2,F$4)),0))</f>
        <v>0</v>
      </c>
      <c r="G319" s="251">
        <f>IF(G$4&gt;DAY(EOMONTH(DATE($D$2,$B$2,1),0)),"",IFERROR(SUMIFS(DATA_GOC!$H:$H,DATA_GOC!$A:$A,"BOM",DATA_GOC!$D:$D,$B319,DATA_GOC!$E:$E,"Dầu thủy lực",DATA_GOC!$F:$F,"Xuất nội bộ từ téc",DATA_GOC!$B:$B,DATE($D$2,$B$2,G$4)),0))</f>
        <v>0</v>
      </c>
      <c r="H319" s="251">
        <f>IF(H$4&gt;DAY(EOMONTH(DATE($D$2,$B$2,1),0)),"",IFERROR(SUMIFS(DATA_GOC!$H:$H,DATA_GOC!$A:$A,"BOM",DATA_GOC!$D:$D,$B319,DATA_GOC!$E:$E,"Dầu thủy lực",DATA_GOC!$F:$F,"Xuất nội bộ từ téc",DATA_GOC!$B:$B,DATE($D$2,$B$2,H$4)),0))</f>
        <v>0</v>
      </c>
      <c r="I319" s="251">
        <f>IF(I$4&gt;DAY(EOMONTH(DATE($D$2,$B$2,1),0)),"",IFERROR(SUMIFS(DATA_GOC!$H:$H,DATA_GOC!$A:$A,"BOM",DATA_GOC!$D:$D,$B319,DATA_GOC!$E:$E,"Dầu thủy lực",DATA_GOC!$F:$F,"Xuất nội bộ từ téc",DATA_GOC!$B:$B,DATE($D$2,$B$2,I$4)),0))</f>
        <v>0</v>
      </c>
      <c r="J319" s="251">
        <f>IF(J$4&gt;DAY(EOMONTH(DATE($D$2,$B$2,1),0)),"",IFERROR(SUMIFS(DATA_GOC!$H:$H,DATA_GOC!$A:$A,"BOM",DATA_GOC!$D:$D,$B319,DATA_GOC!$E:$E,"Dầu thủy lực",DATA_GOC!$F:$F,"Xuất nội bộ từ téc",DATA_GOC!$B:$B,DATE($D$2,$B$2,J$4)),0))</f>
        <v>0</v>
      </c>
      <c r="K319" s="251">
        <f>IF(K$4&gt;DAY(EOMONTH(DATE($D$2,$B$2,1),0)),"",IFERROR(SUMIFS(DATA_GOC!$H:$H,DATA_GOC!$A:$A,"BOM",DATA_GOC!$D:$D,$B319,DATA_GOC!$E:$E,"Dầu thủy lực",DATA_GOC!$F:$F,"Xuất nội bộ từ téc",DATA_GOC!$B:$B,DATE($D$2,$B$2,K$4)),0))</f>
        <v>0</v>
      </c>
      <c r="L319" s="251">
        <f>IF(L$4&gt;DAY(EOMONTH(DATE($D$2,$B$2,1),0)),"",IFERROR(SUMIFS(DATA_GOC!$H:$H,DATA_GOC!$A:$A,"BOM",DATA_GOC!$D:$D,$B319,DATA_GOC!$E:$E,"Dầu thủy lực",DATA_GOC!$F:$F,"Xuất nội bộ từ téc",DATA_GOC!$B:$B,DATE($D$2,$B$2,L$4)),0))</f>
        <v>0</v>
      </c>
      <c r="M319" s="251">
        <f>IF(M$4&gt;DAY(EOMONTH(DATE($D$2,$B$2,1),0)),"",IFERROR(SUMIFS(DATA_GOC!$H:$H,DATA_GOC!$A:$A,"BOM",DATA_GOC!$D:$D,$B319,DATA_GOC!$E:$E,"Dầu thủy lực",DATA_GOC!$F:$F,"Xuất nội bộ từ téc",DATA_GOC!$B:$B,DATE($D$2,$B$2,M$4)),0))</f>
        <v>0</v>
      </c>
      <c r="N319" s="251">
        <f>IF(N$4&gt;DAY(EOMONTH(DATE($D$2,$B$2,1),0)),"",IFERROR(SUMIFS(DATA_GOC!$H:$H,DATA_GOC!$A:$A,"BOM",DATA_GOC!$D:$D,$B319,DATA_GOC!$E:$E,"Dầu thủy lực",DATA_GOC!$F:$F,"Xuất nội bộ từ téc",DATA_GOC!$B:$B,DATE($D$2,$B$2,N$4)),0))</f>
        <v>0</v>
      </c>
      <c r="O319" s="251">
        <f>IF(O$4&gt;DAY(EOMONTH(DATE($D$2,$B$2,1),0)),"",IFERROR(SUMIFS(DATA_GOC!$H:$H,DATA_GOC!$A:$A,"BOM",DATA_GOC!$D:$D,$B319,DATA_GOC!$E:$E,"Dầu thủy lực",DATA_GOC!$F:$F,"Xuất nội bộ từ téc",DATA_GOC!$B:$B,DATE($D$2,$B$2,O$4)),0))</f>
        <v>0</v>
      </c>
      <c r="P319" s="251">
        <f>IF(P$4&gt;DAY(EOMONTH(DATE($D$2,$B$2,1),0)),"",IFERROR(SUMIFS(DATA_GOC!$H:$H,DATA_GOC!$A:$A,"BOM",DATA_GOC!$D:$D,$B319,DATA_GOC!$E:$E,"Dầu thủy lực",DATA_GOC!$F:$F,"Xuất nội bộ từ téc",DATA_GOC!$B:$B,DATE($D$2,$B$2,P$4)),0))</f>
        <v>0</v>
      </c>
      <c r="Q319" s="251">
        <f>IF(Q$4&gt;DAY(EOMONTH(DATE($D$2,$B$2,1),0)),"",IFERROR(SUMIFS(DATA_GOC!$H:$H,DATA_GOC!$A:$A,"BOM",DATA_GOC!$D:$D,$B319,DATA_GOC!$E:$E,"Dầu thủy lực",DATA_GOC!$F:$F,"Xuất nội bộ từ téc",DATA_GOC!$B:$B,DATE($D$2,$B$2,Q$4)),0))</f>
        <v>0</v>
      </c>
      <c r="R319" s="251">
        <f>IF(R$4&gt;DAY(EOMONTH(DATE($D$2,$B$2,1),0)),"",IFERROR(SUMIFS(DATA_GOC!$H:$H,DATA_GOC!$A:$A,"BOM",DATA_GOC!$D:$D,$B319,DATA_GOC!$E:$E,"Dầu thủy lực",DATA_GOC!$F:$F,"Xuất nội bộ từ téc",DATA_GOC!$B:$B,DATE($D$2,$B$2,R$4)),0))</f>
        <v>0</v>
      </c>
      <c r="S319" s="251">
        <f>IF(S$4&gt;DAY(EOMONTH(DATE($D$2,$B$2,1),0)),"",IFERROR(SUMIFS(DATA_GOC!$H:$H,DATA_GOC!$A:$A,"BOM",DATA_GOC!$D:$D,$B319,DATA_GOC!$E:$E,"Dầu thủy lực",DATA_GOC!$F:$F,"Xuất nội bộ từ téc",DATA_GOC!$B:$B,DATE($D$2,$B$2,S$4)),0))</f>
        <v>0</v>
      </c>
      <c r="T319" s="251">
        <f>IF(T$4&gt;DAY(EOMONTH(DATE($D$2,$B$2,1),0)),"",IFERROR(SUMIFS(DATA_GOC!$H:$H,DATA_GOC!$A:$A,"BOM",DATA_GOC!$D:$D,$B319,DATA_GOC!$E:$E,"Dầu thủy lực",DATA_GOC!$F:$F,"Xuất nội bộ từ téc",DATA_GOC!$B:$B,DATE($D$2,$B$2,T$4)),0))</f>
        <v>0</v>
      </c>
      <c r="U319" s="251">
        <f>IF(U$4&gt;DAY(EOMONTH(DATE($D$2,$B$2,1),0)),"",IFERROR(SUMIFS(DATA_GOC!$H:$H,DATA_GOC!$A:$A,"BOM",DATA_GOC!$D:$D,$B319,DATA_GOC!$E:$E,"Dầu thủy lực",DATA_GOC!$F:$F,"Xuất nội bộ từ téc",DATA_GOC!$B:$B,DATE($D$2,$B$2,U$4)),0))</f>
        <v>0</v>
      </c>
      <c r="V319" s="251">
        <f>IF(V$4&gt;DAY(EOMONTH(DATE($D$2,$B$2,1),0)),"",IFERROR(SUMIFS(DATA_GOC!$H:$H,DATA_GOC!$A:$A,"BOM",DATA_GOC!$D:$D,$B319,DATA_GOC!$E:$E,"Dầu thủy lực",DATA_GOC!$F:$F,"Xuất nội bộ từ téc",DATA_GOC!$B:$B,DATE($D$2,$B$2,V$4)),0))</f>
        <v>0</v>
      </c>
      <c r="W319" s="251">
        <f>IF(W$4&gt;DAY(EOMONTH(DATE($D$2,$B$2,1),0)),"",IFERROR(SUMIFS(DATA_GOC!$H:$H,DATA_GOC!$A:$A,"BOM",DATA_GOC!$D:$D,$B319,DATA_GOC!$E:$E,"Dầu thủy lực",DATA_GOC!$F:$F,"Xuất nội bộ từ téc",DATA_GOC!$B:$B,DATE($D$2,$B$2,W$4)),0))</f>
        <v>0</v>
      </c>
      <c r="X319" s="251">
        <f>IF(X$4&gt;DAY(EOMONTH(DATE($D$2,$B$2,1),0)),"",IFERROR(SUMIFS(DATA_GOC!$H:$H,DATA_GOC!$A:$A,"BOM",DATA_GOC!$D:$D,$B319,DATA_GOC!$E:$E,"Dầu thủy lực",DATA_GOC!$F:$F,"Xuất nội bộ từ téc",DATA_GOC!$B:$B,DATE($D$2,$B$2,X$4)),0))</f>
        <v>0</v>
      </c>
      <c r="Y319" s="251">
        <f>IF(Y$4&gt;DAY(EOMONTH(DATE($D$2,$B$2,1),0)),"",IFERROR(SUMIFS(DATA_GOC!$H:$H,DATA_GOC!$A:$A,"BOM",DATA_GOC!$D:$D,$B319,DATA_GOC!$E:$E,"Dầu thủy lực",DATA_GOC!$F:$F,"Xuất nội bộ từ téc",DATA_GOC!$B:$B,DATE($D$2,$B$2,Y$4)),0))</f>
        <v>0</v>
      </c>
      <c r="Z319" s="251">
        <f>IF(Z$4&gt;DAY(EOMONTH(DATE($D$2,$B$2,1),0)),"",IFERROR(SUMIFS(DATA_GOC!$H:$H,DATA_GOC!$A:$A,"BOM",DATA_GOC!$D:$D,$B319,DATA_GOC!$E:$E,"Dầu thủy lực",DATA_GOC!$F:$F,"Xuất nội bộ từ téc",DATA_GOC!$B:$B,DATE($D$2,$B$2,Z$4)),0))</f>
        <v>0</v>
      </c>
      <c r="AA319" s="251">
        <f>IF(AA$4&gt;DAY(EOMONTH(DATE($D$2,$B$2,1),0)),"",IFERROR(SUMIFS(DATA_GOC!$H:$H,DATA_GOC!$A:$A,"BOM",DATA_GOC!$D:$D,$B319,DATA_GOC!$E:$E,"Dầu thủy lực",DATA_GOC!$F:$F,"Xuất nội bộ từ téc",DATA_GOC!$B:$B,DATE($D$2,$B$2,AA$4)),0))</f>
        <v>0</v>
      </c>
      <c r="AB319" s="251">
        <f>IF(AB$4&gt;DAY(EOMONTH(DATE($D$2,$B$2,1),0)),"",IFERROR(SUMIFS(DATA_GOC!$H:$H,DATA_GOC!$A:$A,"BOM",DATA_GOC!$D:$D,$B319,DATA_GOC!$E:$E,"Dầu thủy lực",DATA_GOC!$F:$F,"Xuất nội bộ từ téc",DATA_GOC!$B:$B,DATE($D$2,$B$2,AB$4)),0))</f>
        <v>0</v>
      </c>
      <c r="AC319" s="251">
        <f>IF(AC$4&gt;DAY(EOMONTH(DATE($D$2,$B$2,1),0)),"",IFERROR(SUMIFS(DATA_GOC!$H:$H,DATA_GOC!$A:$A,"BOM",DATA_GOC!$D:$D,$B319,DATA_GOC!$E:$E,"Dầu thủy lực",DATA_GOC!$F:$F,"Xuất nội bộ từ téc",DATA_GOC!$B:$B,DATE($D$2,$B$2,AC$4)),0))</f>
        <v>0</v>
      </c>
      <c r="AD319" s="251">
        <f>IF(AD$4&gt;DAY(EOMONTH(DATE($D$2,$B$2,1),0)),"",IFERROR(SUMIFS(DATA_GOC!$H:$H,DATA_GOC!$A:$A,"BOM",DATA_GOC!$D:$D,$B319,DATA_GOC!$E:$E,"Dầu thủy lực",DATA_GOC!$F:$F,"Xuất nội bộ từ téc",DATA_GOC!$B:$B,DATE($D$2,$B$2,AD$4)),0))</f>
        <v>0</v>
      </c>
      <c r="AE319" s="251">
        <f>IF(AE$4&gt;DAY(EOMONTH(DATE($D$2,$B$2,1),0)),"",IFERROR(SUMIFS(DATA_GOC!$H:$H,DATA_GOC!$A:$A,"BOM",DATA_GOC!$D:$D,$B319,DATA_GOC!$E:$E,"Dầu thủy lực",DATA_GOC!$F:$F,"Xuất nội bộ từ téc",DATA_GOC!$B:$B,DATE($D$2,$B$2,AE$4)),0))</f>
        <v>0</v>
      </c>
      <c r="AF319" s="251">
        <f>IF(AF$4&gt;DAY(EOMONTH(DATE($D$2,$B$2,1),0)),"",IFERROR(SUMIFS(DATA_GOC!$H:$H,DATA_GOC!$A:$A,"BOM",DATA_GOC!$D:$D,$B319,DATA_GOC!$E:$E,"Dầu thủy lực",DATA_GOC!$F:$F,"Xuất nội bộ từ téc",DATA_GOC!$B:$B,DATE($D$2,$B$2,AF$4)),0))</f>
        <v>0</v>
      </c>
      <c r="AG319" s="251">
        <f>IF(AG$4&gt;DAY(EOMONTH(DATE($D$2,$B$2,1),0)),"",IFERROR(SUMIFS(DATA_GOC!$H:$H,DATA_GOC!$A:$A,"BOM",DATA_GOC!$D:$D,$B319,DATA_GOC!$E:$E,"Dầu thủy lực",DATA_GOC!$F:$F,"Xuất nội bộ từ téc",DATA_GOC!$B:$B,DATE($D$2,$B$2,AG$4)),0))</f>
        <v>0</v>
      </c>
      <c r="AH319" s="252">
        <f t="shared" si="16"/>
        <v>0</v>
      </c>
      <c r="AI319" s="241"/>
      <c r="AJ319" s="242">
        <f>IF($B319="","",SUMIFS(TINH_TEC!$K$233:$K$9232,TINH_TEC!$H$233:$H$9232,$B319,TINH_TEC!$C$233:$C$9232,"Dầu thủy lực",TINH_TEC!$F$233:$F$9232,$B$2,TINH_TEC!$G$233:$G$9232,$D$2,TINH_TEC!$B$233:$B$9232,"Đã chốt"))</f>
        <v>0</v>
      </c>
      <c r="AK319" s="242">
        <f>IF($B319="","",SUMIFS(TINH_TEC!$J$233:$J$9232,TINH_TEC!$H$233:$H$9232,$B319,TINH_TEC!$C$233:$C$9232,"Dầu thủy lực",TINH_TEC!$F$233:$F$9232,$B$2,TINH_TEC!$G$233:$G$9232,$D$2,TINH_TEC!$B$233:$B$9232,"Đã chốt"))</f>
        <v>0</v>
      </c>
      <c r="AL319" s="242">
        <f t="shared" si="17"/>
        <v>0</v>
      </c>
    </row>
    <row r="320" ht="15.75" customHeight="1">
      <c r="A320" s="237">
        <f>IF($B320&lt;&gt;"",10,"")</f>
        <v>10</v>
      </c>
      <c r="B320" s="250" t="str">
        <f t="array" ref="B320">IFERROR(INDEX(DANH_MUC!$E:$E,13),"")</f>
        <v>28C01743</v>
      </c>
      <c r="C320" s="251">
        <f>IF(C$4&gt;DAY(EOMONTH(DATE($D$2,$B$2,1),0)),"",IFERROR(SUMIFS(DATA_GOC!$H:$H,DATA_GOC!$A:$A,"BOM",DATA_GOC!$D:$D,$B320,DATA_GOC!$E:$E,"Dầu thủy lực",DATA_GOC!$F:$F,"Xuất nội bộ từ téc",DATA_GOC!$B:$B,DATE($D$2,$B$2,C$4)),0))</f>
        <v>0</v>
      </c>
      <c r="D320" s="251">
        <f>IF(D$4&gt;DAY(EOMONTH(DATE($D$2,$B$2,1),0)),"",IFERROR(SUMIFS(DATA_GOC!$H:$H,DATA_GOC!$A:$A,"BOM",DATA_GOC!$D:$D,$B320,DATA_GOC!$E:$E,"Dầu thủy lực",DATA_GOC!$F:$F,"Xuất nội bộ từ téc",DATA_GOC!$B:$B,DATE($D$2,$B$2,D$4)),0))</f>
        <v>0</v>
      </c>
      <c r="E320" s="251">
        <f>IF(E$4&gt;DAY(EOMONTH(DATE($D$2,$B$2,1),0)),"",IFERROR(SUMIFS(DATA_GOC!$H:$H,DATA_GOC!$A:$A,"BOM",DATA_GOC!$D:$D,$B320,DATA_GOC!$E:$E,"Dầu thủy lực",DATA_GOC!$F:$F,"Xuất nội bộ từ téc",DATA_GOC!$B:$B,DATE($D$2,$B$2,E$4)),0))</f>
        <v>0</v>
      </c>
      <c r="F320" s="251">
        <f>IF(F$4&gt;DAY(EOMONTH(DATE($D$2,$B$2,1),0)),"",IFERROR(SUMIFS(DATA_GOC!$H:$H,DATA_GOC!$A:$A,"BOM",DATA_GOC!$D:$D,$B320,DATA_GOC!$E:$E,"Dầu thủy lực",DATA_GOC!$F:$F,"Xuất nội bộ từ téc",DATA_GOC!$B:$B,DATE($D$2,$B$2,F$4)),0))</f>
        <v>0</v>
      </c>
      <c r="G320" s="251">
        <f>IF(G$4&gt;DAY(EOMONTH(DATE($D$2,$B$2,1),0)),"",IFERROR(SUMIFS(DATA_GOC!$H:$H,DATA_GOC!$A:$A,"BOM",DATA_GOC!$D:$D,$B320,DATA_GOC!$E:$E,"Dầu thủy lực",DATA_GOC!$F:$F,"Xuất nội bộ từ téc",DATA_GOC!$B:$B,DATE($D$2,$B$2,G$4)),0))</f>
        <v>0</v>
      </c>
      <c r="H320" s="251">
        <f>IF(H$4&gt;DAY(EOMONTH(DATE($D$2,$B$2,1),0)),"",IFERROR(SUMIFS(DATA_GOC!$H:$H,DATA_GOC!$A:$A,"BOM",DATA_GOC!$D:$D,$B320,DATA_GOC!$E:$E,"Dầu thủy lực",DATA_GOC!$F:$F,"Xuất nội bộ từ téc",DATA_GOC!$B:$B,DATE($D$2,$B$2,H$4)),0))</f>
        <v>0</v>
      </c>
      <c r="I320" s="251">
        <f>IF(I$4&gt;DAY(EOMONTH(DATE($D$2,$B$2,1),0)),"",IFERROR(SUMIFS(DATA_GOC!$H:$H,DATA_GOC!$A:$A,"BOM",DATA_GOC!$D:$D,$B320,DATA_GOC!$E:$E,"Dầu thủy lực",DATA_GOC!$F:$F,"Xuất nội bộ từ téc",DATA_GOC!$B:$B,DATE($D$2,$B$2,I$4)),0))</f>
        <v>0</v>
      </c>
      <c r="J320" s="251">
        <f>IF(J$4&gt;DAY(EOMONTH(DATE($D$2,$B$2,1),0)),"",IFERROR(SUMIFS(DATA_GOC!$H:$H,DATA_GOC!$A:$A,"BOM",DATA_GOC!$D:$D,$B320,DATA_GOC!$E:$E,"Dầu thủy lực",DATA_GOC!$F:$F,"Xuất nội bộ từ téc",DATA_GOC!$B:$B,DATE($D$2,$B$2,J$4)),0))</f>
        <v>0</v>
      </c>
      <c r="K320" s="251">
        <f>IF(K$4&gt;DAY(EOMONTH(DATE($D$2,$B$2,1),0)),"",IFERROR(SUMIFS(DATA_GOC!$H:$H,DATA_GOC!$A:$A,"BOM",DATA_GOC!$D:$D,$B320,DATA_GOC!$E:$E,"Dầu thủy lực",DATA_GOC!$F:$F,"Xuất nội bộ từ téc",DATA_GOC!$B:$B,DATE($D$2,$B$2,K$4)),0))</f>
        <v>0</v>
      </c>
      <c r="L320" s="251">
        <f>IF(L$4&gt;DAY(EOMONTH(DATE($D$2,$B$2,1),0)),"",IFERROR(SUMIFS(DATA_GOC!$H:$H,DATA_GOC!$A:$A,"BOM",DATA_GOC!$D:$D,$B320,DATA_GOC!$E:$E,"Dầu thủy lực",DATA_GOC!$F:$F,"Xuất nội bộ từ téc",DATA_GOC!$B:$B,DATE($D$2,$B$2,L$4)),0))</f>
        <v>0</v>
      </c>
      <c r="M320" s="251">
        <f>IF(M$4&gt;DAY(EOMONTH(DATE($D$2,$B$2,1),0)),"",IFERROR(SUMIFS(DATA_GOC!$H:$H,DATA_GOC!$A:$A,"BOM",DATA_GOC!$D:$D,$B320,DATA_GOC!$E:$E,"Dầu thủy lực",DATA_GOC!$F:$F,"Xuất nội bộ từ téc",DATA_GOC!$B:$B,DATE($D$2,$B$2,M$4)),0))</f>
        <v>0</v>
      </c>
      <c r="N320" s="251">
        <f>IF(N$4&gt;DAY(EOMONTH(DATE($D$2,$B$2,1),0)),"",IFERROR(SUMIFS(DATA_GOC!$H:$H,DATA_GOC!$A:$A,"BOM",DATA_GOC!$D:$D,$B320,DATA_GOC!$E:$E,"Dầu thủy lực",DATA_GOC!$F:$F,"Xuất nội bộ từ téc",DATA_GOC!$B:$B,DATE($D$2,$B$2,N$4)),0))</f>
        <v>0</v>
      </c>
      <c r="O320" s="251">
        <f>IF(O$4&gt;DAY(EOMONTH(DATE($D$2,$B$2,1),0)),"",IFERROR(SUMIFS(DATA_GOC!$H:$H,DATA_GOC!$A:$A,"BOM",DATA_GOC!$D:$D,$B320,DATA_GOC!$E:$E,"Dầu thủy lực",DATA_GOC!$F:$F,"Xuất nội bộ từ téc",DATA_GOC!$B:$B,DATE($D$2,$B$2,O$4)),0))</f>
        <v>0</v>
      </c>
      <c r="P320" s="251">
        <f>IF(P$4&gt;DAY(EOMONTH(DATE($D$2,$B$2,1),0)),"",IFERROR(SUMIFS(DATA_GOC!$H:$H,DATA_GOC!$A:$A,"BOM",DATA_GOC!$D:$D,$B320,DATA_GOC!$E:$E,"Dầu thủy lực",DATA_GOC!$F:$F,"Xuất nội bộ từ téc",DATA_GOC!$B:$B,DATE($D$2,$B$2,P$4)),0))</f>
        <v>0</v>
      </c>
      <c r="Q320" s="251">
        <f>IF(Q$4&gt;DAY(EOMONTH(DATE($D$2,$B$2,1),0)),"",IFERROR(SUMIFS(DATA_GOC!$H:$H,DATA_GOC!$A:$A,"BOM",DATA_GOC!$D:$D,$B320,DATA_GOC!$E:$E,"Dầu thủy lực",DATA_GOC!$F:$F,"Xuất nội bộ từ téc",DATA_GOC!$B:$B,DATE($D$2,$B$2,Q$4)),0))</f>
        <v>0</v>
      </c>
      <c r="R320" s="251">
        <f>IF(R$4&gt;DAY(EOMONTH(DATE($D$2,$B$2,1),0)),"",IFERROR(SUMIFS(DATA_GOC!$H:$H,DATA_GOC!$A:$A,"BOM",DATA_GOC!$D:$D,$B320,DATA_GOC!$E:$E,"Dầu thủy lực",DATA_GOC!$F:$F,"Xuất nội bộ từ téc",DATA_GOC!$B:$B,DATE($D$2,$B$2,R$4)),0))</f>
        <v>0</v>
      </c>
      <c r="S320" s="251">
        <f>IF(S$4&gt;DAY(EOMONTH(DATE($D$2,$B$2,1),0)),"",IFERROR(SUMIFS(DATA_GOC!$H:$H,DATA_GOC!$A:$A,"BOM",DATA_GOC!$D:$D,$B320,DATA_GOC!$E:$E,"Dầu thủy lực",DATA_GOC!$F:$F,"Xuất nội bộ từ téc",DATA_GOC!$B:$B,DATE($D$2,$B$2,S$4)),0))</f>
        <v>0</v>
      </c>
      <c r="T320" s="251">
        <f>IF(T$4&gt;DAY(EOMONTH(DATE($D$2,$B$2,1),0)),"",IFERROR(SUMIFS(DATA_GOC!$H:$H,DATA_GOC!$A:$A,"BOM",DATA_GOC!$D:$D,$B320,DATA_GOC!$E:$E,"Dầu thủy lực",DATA_GOC!$F:$F,"Xuất nội bộ từ téc",DATA_GOC!$B:$B,DATE($D$2,$B$2,T$4)),0))</f>
        <v>0</v>
      </c>
      <c r="U320" s="251">
        <f>IF(U$4&gt;DAY(EOMONTH(DATE($D$2,$B$2,1),0)),"",IFERROR(SUMIFS(DATA_GOC!$H:$H,DATA_GOC!$A:$A,"BOM",DATA_GOC!$D:$D,$B320,DATA_GOC!$E:$E,"Dầu thủy lực",DATA_GOC!$F:$F,"Xuất nội bộ từ téc",DATA_GOC!$B:$B,DATE($D$2,$B$2,U$4)),0))</f>
        <v>0</v>
      </c>
      <c r="V320" s="251">
        <f>IF(V$4&gt;DAY(EOMONTH(DATE($D$2,$B$2,1),0)),"",IFERROR(SUMIFS(DATA_GOC!$H:$H,DATA_GOC!$A:$A,"BOM",DATA_GOC!$D:$D,$B320,DATA_GOC!$E:$E,"Dầu thủy lực",DATA_GOC!$F:$F,"Xuất nội bộ từ téc",DATA_GOC!$B:$B,DATE($D$2,$B$2,V$4)),0))</f>
        <v>0</v>
      </c>
      <c r="W320" s="251">
        <f>IF(W$4&gt;DAY(EOMONTH(DATE($D$2,$B$2,1),0)),"",IFERROR(SUMIFS(DATA_GOC!$H:$H,DATA_GOC!$A:$A,"BOM",DATA_GOC!$D:$D,$B320,DATA_GOC!$E:$E,"Dầu thủy lực",DATA_GOC!$F:$F,"Xuất nội bộ từ téc",DATA_GOC!$B:$B,DATE($D$2,$B$2,W$4)),0))</f>
        <v>0</v>
      </c>
      <c r="X320" s="251">
        <f>IF(X$4&gt;DAY(EOMONTH(DATE($D$2,$B$2,1),0)),"",IFERROR(SUMIFS(DATA_GOC!$H:$H,DATA_GOC!$A:$A,"BOM",DATA_GOC!$D:$D,$B320,DATA_GOC!$E:$E,"Dầu thủy lực",DATA_GOC!$F:$F,"Xuất nội bộ từ téc",DATA_GOC!$B:$B,DATE($D$2,$B$2,X$4)),0))</f>
        <v>0</v>
      </c>
      <c r="Y320" s="251">
        <f>IF(Y$4&gt;DAY(EOMONTH(DATE($D$2,$B$2,1),0)),"",IFERROR(SUMIFS(DATA_GOC!$H:$H,DATA_GOC!$A:$A,"BOM",DATA_GOC!$D:$D,$B320,DATA_GOC!$E:$E,"Dầu thủy lực",DATA_GOC!$F:$F,"Xuất nội bộ từ téc",DATA_GOC!$B:$B,DATE($D$2,$B$2,Y$4)),0))</f>
        <v>0</v>
      </c>
      <c r="Z320" s="251">
        <f>IF(Z$4&gt;DAY(EOMONTH(DATE($D$2,$B$2,1),0)),"",IFERROR(SUMIFS(DATA_GOC!$H:$H,DATA_GOC!$A:$A,"BOM",DATA_GOC!$D:$D,$B320,DATA_GOC!$E:$E,"Dầu thủy lực",DATA_GOC!$F:$F,"Xuất nội bộ từ téc",DATA_GOC!$B:$B,DATE($D$2,$B$2,Z$4)),0))</f>
        <v>0</v>
      </c>
      <c r="AA320" s="251">
        <f>IF(AA$4&gt;DAY(EOMONTH(DATE($D$2,$B$2,1),0)),"",IFERROR(SUMIFS(DATA_GOC!$H:$H,DATA_GOC!$A:$A,"BOM",DATA_GOC!$D:$D,$B320,DATA_GOC!$E:$E,"Dầu thủy lực",DATA_GOC!$F:$F,"Xuất nội bộ từ téc",DATA_GOC!$B:$B,DATE($D$2,$B$2,AA$4)),0))</f>
        <v>0</v>
      </c>
      <c r="AB320" s="251">
        <f>IF(AB$4&gt;DAY(EOMONTH(DATE($D$2,$B$2,1),0)),"",IFERROR(SUMIFS(DATA_GOC!$H:$H,DATA_GOC!$A:$A,"BOM",DATA_GOC!$D:$D,$B320,DATA_GOC!$E:$E,"Dầu thủy lực",DATA_GOC!$F:$F,"Xuất nội bộ từ téc",DATA_GOC!$B:$B,DATE($D$2,$B$2,AB$4)),0))</f>
        <v>0</v>
      </c>
      <c r="AC320" s="251">
        <f>IF(AC$4&gt;DAY(EOMONTH(DATE($D$2,$B$2,1),0)),"",IFERROR(SUMIFS(DATA_GOC!$H:$H,DATA_GOC!$A:$A,"BOM",DATA_GOC!$D:$D,$B320,DATA_GOC!$E:$E,"Dầu thủy lực",DATA_GOC!$F:$F,"Xuất nội bộ từ téc",DATA_GOC!$B:$B,DATE($D$2,$B$2,AC$4)),0))</f>
        <v>0</v>
      </c>
      <c r="AD320" s="251">
        <f>IF(AD$4&gt;DAY(EOMONTH(DATE($D$2,$B$2,1),0)),"",IFERROR(SUMIFS(DATA_GOC!$H:$H,DATA_GOC!$A:$A,"BOM",DATA_GOC!$D:$D,$B320,DATA_GOC!$E:$E,"Dầu thủy lực",DATA_GOC!$F:$F,"Xuất nội bộ từ téc",DATA_GOC!$B:$B,DATE($D$2,$B$2,AD$4)),0))</f>
        <v>0</v>
      </c>
      <c r="AE320" s="251">
        <f>IF(AE$4&gt;DAY(EOMONTH(DATE($D$2,$B$2,1),0)),"",IFERROR(SUMIFS(DATA_GOC!$H:$H,DATA_GOC!$A:$A,"BOM",DATA_GOC!$D:$D,$B320,DATA_GOC!$E:$E,"Dầu thủy lực",DATA_GOC!$F:$F,"Xuất nội bộ từ téc",DATA_GOC!$B:$B,DATE($D$2,$B$2,AE$4)),0))</f>
        <v>0</v>
      </c>
      <c r="AF320" s="251">
        <f>IF(AF$4&gt;DAY(EOMONTH(DATE($D$2,$B$2,1),0)),"",IFERROR(SUMIFS(DATA_GOC!$H:$H,DATA_GOC!$A:$A,"BOM",DATA_GOC!$D:$D,$B320,DATA_GOC!$E:$E,"Dầu thủy lực",DATA_GOC!$F:$F,"Xuất nội bộ từ téc",DATA_GOC!$B:$B,DATE($D$2,$B$2,AF$4)),0))</f>
        <v>0</v>
      </c>
      <c r="AG320" s="251">
        <f>IF(AG$4&gt;DAY(EOMONTH(DATE($D$2,$B$2,1),0)),"",IFERROR(SUMIFS(DATA_GOC!$H:$H,DATA_GOC!$A:$A,"BOM",DATA_GOC!$D:$D,$B320,DATA_GOC!$E:$E,"Dầu thủy lực",DATA_GOC!$F:$F,"Xuất nội bộ từ téc",DATA_GOC!$B:$B,DATE($D$2,$B$2,AG$4)),0))</f>
        <v>0</v>
      </c>
      <c r="AH320" s="252">
        <f t="shared" si="16"/>
        <v>0</v>
      </c>
      <c r="AI320" s="241"/>
      <c r="AJ320" s="242">
        <f>IF($B320="","",SUMIFS(TINH_TEC!$K$233:$K$9232,TINH_TEC!$H$233:$H$9232,$B320,TINH_TEC!$C$233:$C$9232,"Dầu thủy lực",TINH_TEC!$F$233:$F$9232,$B$2,TINH_TEC!$G$233:$G$9232,$D$2,TINH_TEC!$B$233:$B$9232,"Đã chốt"))</f>
        <v>0</v>
      </c>
      <c r="AK320" s="242">
        <f>IF($B320="","",SUMIFS(TINH_TEC!$J$233:$J$9232,TINH_TEC!$H$233:$H$9232,$B320,TINH_TEC!$C$233:$C$9232,"Dầu thủy lực",TINH_TEC!$F$233:$F$9232,$B$2,TINH_TEC!$G$233:$G$9232,$D$2,TINH_TEC!$B$233:$B$9232,"Đã chốt"))</f>
        <v>0</v>
      </c>
      <c r="AL320" s="242">
        <f t="shared" si="17"/>
        <v>0</v>
      </c>
    </row>
    <row r="321" ht="15.75" customHeight="1">
      <c r="A321" s="237">
        <f>IF($B321&lt;&gt;"",11,"")</f>
        <v>11</v>
      </c>
      <c r="B321" s="250" t="str">
        <f t="array" ref="B321">IFERROR(INDEX(DANH_MUC!$E:$E,14),"")</f>
        <v>28C02106</v>
      </c>
      <c r="C321" s="251">
        <f>IF(C$4&gt;DAY(EOMONTH(DATE($D$2,$B$2,1),0)),"",IFERROR(SUMIFS(DATA_GOC!$H:$H,DATA_GOC!$A:$A,"BOM",DATA_GOC!$D:$D,$B321,DATA_GOC!$E:$E,"Dầu thủy lực",DATA_GOC!$F:$F,"Xuất nội bộ từ téc",DATA_GOC!$B:$B,DATE($D$2,$B$2,C$4)),0))</f>
        <v>0</v>
      </c>
      <c r="D321" s="251">
        <f>IF(D$4&gt;DAY(EOMONTH(DATE($D$2,$B$2,1),0)),"",IFERROR(SUMIFS(DATA_GOC!$H:$H,DATA_GOC!$A:$A,"BOM",DATA_GOC!$D:$D,$B321,DATA_GOC!$E:$E,"Dầu thủy lực",DATA_GOC!$F:$F,"Xuất nội bộ từ téc",DATA_GOC!$B:$B,DATE($D$2,$B$2,D$4)),0))</f>
        <v>0</v>
      </c>
      <c r="E321" s="251">
        <f>IF(E$4&gt;DAY(EOMONTH(DATE($D$2,$B$2,1),0)),"",IFERROR(SUMIFS(DATA_GOC!$H:$H,DATA_GOC!$A:$A,"BOM",DATA_GOC!$D:$D,$B321,DATA_GOC!$E:$E,"Dầu thủy lực",DATA_GOC!$F:$F,"Xuất nội bộ từ téc",DATA_GOC!$B:$B,DATE($D$2,$B$2,E$4)),0))</f>
        <v>0</v>
      </c>
      <c r="F321" s="251">
        <f>IF(F$4&gt;DAY(EOMONTH(DATE($D$2,$B$2,1),0)),"",IFERROR(SUMIFS(DATA_GOC!$H:$H,DATA_GOC!$A:$A,"BOM",DATA_GOC!$D:$D,$B321,DATA_GOC!$E:$E,"Dầu thủy lực",DATA_GOC!$F:$F,"Xuất nội bộ từ téc",DATA_GOC!$B:$B,DATE($D$2,$B$2,F$4)),0))</f>
        <v>0</v>
      </c>
      <c r="G321" s="251">
        <f>IF(G$4&gt;DAY(EOMONTH(DATE($D$2,$B$2,1),0)),"",IFERROR(SUMIFS(DATA_GOC!$H:$H,DATA_GOC!$A:$A,"BOM",DATA_GOC!$D:$D,$B321,DATA_GOC!$E:$E,"Dầu thủy lực",DATA_GOC!$F:$F,"Xuất nội bộ từ téc",DATA_GOC!$B:$B,DATE($D$2,$B$2,G$4)),0))</f>
        <v>0</v>
      </c>
      <c r="H321" s="251">
        <f>IF(H$4&gt;DAY(EOMONTH(DATE($D$2,$B$2,1),0)),"",IFERROR(SUMIFS(DATA_GOC!$H:$H,DATA_GOC!$A:$A,"BOM",DATA_GOC!$D:$D,$B321,DATA_GOC!$E:$E,"Dầu thủy lực",DATA_GOC!$F:$F,"Xuất nội bộ từ téc",DATA_GOC!$B:$B,DATE($D$2,$B$2,H$4)),0))</f>
        <v>0</v>
      </c>
      <c r="I321" s="251">
        <f>IF(I$4&gt;DAY(EOMONTH(DATE($D$2,$B$2,1),0)),"",IFERROR(SUMIFS(DATA_GOC!$H:$H,DATA_GOC!$A:$A,"BOM",DATA_GOC!$D:$D,$B321,DATA_GOC!$E:$E,"Dầu thủy lực",DATA_GOC!$F:$F,"Xuất nội bộ từ téc",DATA_GOC!$B:$B,DATE($D$2,$B$2,I$4)),0))</f>
        <v>0</v>
      </c>
      <c r="J321" s="251">
        <f>IF(J$4&gt;DAY(EOMONTH(DATE($D$2,$B$2,1),0)),"",IFERROR(SUMIFS(DATA_GOC!$H:$H,DATA_GOC!$A:$A,"BOM",DATA_GOC!$D:$D,$B321,DATA_GOC!$E:$E,"Dầu thủy lực",DATA_GOC!$F:$F,"Xuất nội bộ từ téc",DATA_GOC!$B:$B,DATE($D$2,$B$2,J$4)),0))</f>
        <v>0</v>
      </c>
      <c r="K321" s="251">
        <f>IF(K$4&gt;DAY(EOMONTH(DATE($D$2,$B$2,1),0)),"",IFERROR(SUMIFS(DATA_GOC!$H:$H,DATA_GOC!$A:$A,"BOM",DATA_GOC!$D:$D,$B321,DATA_GOC!$E:$E,"Dầu thủy lực",DATA_GOC!$F:$F,"Xuất nội bộ từ téc",DATA_GOC!$B:$B,DATE($D$2,$B$2,K$4)),0))</f>
        <v>0</v>
      </c>
      <c r="L321" s="251">
        <f>IF(L$4&gt;DAY(EOMONTH(DATE($D$2,$B$2,1),0)),"",IFERROR(SUMIFS(DATA_GOC!$H:$H,DATA_GOC!$A:$A,"BOM",DATA_GOC!$D:$D,$B321,DATA_GOC!$E:$E,"Dầu thủy lực",DATA_GOC!$F:$F,"Xuất nội bộ từ téc",DATA_GOC!$B:$B,DATE($D$2,$B$2,L$4)),0))</f>
        <v>0</v>
      </c>
      <c r="M321" s="251">
        <f>IF(M$4&gt;DAY(EOMONTH(DATE($D$2,$B$2,1),0)),"",IFERROR(SUMIFS(DATA_GOC!$H:$H,DATA_GOC!$A:$A,"BOM",DATA_GOC!$D:$D,$B321,DATA_GOC!$E:$E,"Dầu thủy lực",DATA_GOC!$F:$F,"Xuất nội bộ từ téc",DATA_GOC!$B:$B,DATE($D$2,$B$2,M$4)),0))</f>
        <v>0</v>
      </c>
      <c r="N321" s="251">
        <f>IF(N$4&gt;DAY(EOMONTH(DATE($D$2,$B$2,1),0)),"",IFERROR(SUMIFS(DATA_GOC!$H:$H,DATA_GOC!$A:$A,"BOM",DATA_GOC!$D:$D,$B321,DATA_GOC!$E:$E,"Dầu thủy lực",DATA_GOC!$F:$F,"Xuất nội bộ từ téc",DATA_GOC!$B:$B,DATE($D$2,$B$2,N$4)),0))</f>
        <v>0</v>
      </c>
      <c r="O321" s="251">
        <f>IF(O$4&gt;DAY(EOMONTH(DATE($D$2,$B$2,1),0)),"",IFERROR(SUMIFS(DATA_GOC!$H:$H,DATA_GOC!$A:$A,"BOM",DATA_GOC!$D:$D,$B321,DATA_GOC!$E:$E,"Dầu thủy lực",DATA_GOC!$F:$F,"Xuất nội bộ từ téc",DATA_GOC!$B:$B,DATE($D$2,$B$2,O$4)),0))</f>
        <v>0</v>
      </c>
      <c r="P321" s="251">
        <f>IF(P$4&gt;DAY(EOMONTH(DATE($D$2,$B$2,1),0)),"",IFERROR(SUMIFS(DATA_GOC!$H:$H,DATA_GOC!$A:$A,"BOM",DATA_GOC!$D:$D,$B321,DATA_GOC!$E:$E,"Dầu thủy lực",DATA_GOC!$F:$F,"Xuất nội bộ từ téc",DATA_GOC!$B:$B,DATE($D$2,$B$2,P$4)),0))</f>
        <v>0</v>
      </c>
      <c r="Q321" s="251">
        <f>IF(Q$4&gt;DAY(EOMONTH(DATE($D$2,$B$2,1),0)),"",IFERROR(SUMIFS(DATA_GOC!$H:$H,DATA_GOC!$A:$A,"BOM",DATA_GOC!$D:$D,$B321,DATA_GOC!$E:$E,"Dầu thủy lực",DATA_GOC!$F:$F,"Xuất nội bộ từ téc",DATA_GOC!$B:$B,DATE($D$2,$B$2,Q$4)),0))</f>
        <v>0</v>
      </c>
      <c r="R321" s="251">
        <f>IF(R$4&gt;DAY(EOMONTH(DATE($D$2,$B$2,1),0)),"",IFERROR(SUMIFS(DATA_GOC!$H:$H,DATA_GOC!$A:$A,"BOM",DATA_GOC!$D:$D,$B321,DATA_GOC!$E:$E,"Dầu thủy lực",DATA_GOC!$F:$F,"Xuất nội bộ từ téc",DATA_GOC!$B:$B,DATE($D$2,$B$2,R$4)),0))</f>
        <v>0</v>
      </c>
      <c r="S321" s="251">
        <f>IF(S$4&gt;DAY(EOMONTH(DATE($D$2,$B$2,1),0)),"",IFERROR(SUMIFS(DATA_GOC!$H:$H,DATA_GOC!$A:$A,"BOM",DATA_GOC!$D:$D,$B321,DATA_GOC!$E:$E,"Dầu thủy lực",DATA_GOC!$F:$F,"Xuất nội bộ từ téc",DATA_GOC!$B:$B,DATE($D$2,$B$2,S$4)),0))</f>
        <v>0</v>
      </c>
      <c r="T321" s="251">
        <f>IF(T$4&gt;DAY(EOMONTH(DATE($D$2,$B$2,1),0)),"",IFERROR(SUMIFS(DATA_GOC!$H:$H,DATA_GOC!$A:$A,"BOM",DATA_GOC!$D:$D,$B321,DATA_GOC!$E:$E,"Dầu thủy lực",DATA_GOC!$F:$F,"Xuất nội bộ từ téc",DATA_GOC!$B:$B,DATE($D$2,$B$2,T$4)),0))</f>
        <v>0</v>
      </c>
      <c r="U321" s="251">
        <f>IF(U$4&gt;DAY(EOMONTH(DATE($D$2,$B$2,1),0)),"",IFERROR(SUMIFS(DATA_GOC!$H:$H,DATA_GOC!$A:$A,"BOM",DATA_GOC!$D:$D,$B321,DATA_GOC!$E:$E,"Dầu thủy lực",DATA_GOC!$F:$F,"Xuất nội bộ từ téc",DATA_GOC!$B:$B,DATE($D$2,$B$2,U$4)),0))</f>
        <v>0</v>
      </c>
      <c r="V321" s="251">
        <f>IF(V$4&gt;DAY(EOMONTH(DATE($D$2,$B$2,1),0)),"",IFERROR(SUMIFS(DATA_GOC!$H:$H,DATA_GOC!$A:$A,"BOM",DATA_GOC!$D:$D,$B321,DATA_GOC!$E:$E,"Dầu thủy lực",DATA_GOC!$F:$F,"Xuất nội bộ từ téc",DATA_GOC!$B:$B,DATE($D$2,$B$2,V$4)),0))</f>
        <v>0</v>
      </c>
      <c r="W321" s="251">
        <f>IF(W$4&gt;DAY(EOMONTH(DATE($D$2,$B$2,1),0)),"",IFERROR(SUMIFS(DATA_GOC!$H:$H,DATA_GOC!$A:$A,"BOM",DATA_GOC!$D:$D,$B321,DATA_GOC!$E:$E,"Dầu thủy lực",DATA_GOC!$F:$F,"Xuất nội bộ từ téc",DATA_GOC!$B:$B,DATE($D$2,$B$2,W$4)),0))</f>
        <v>0</v>
      </c>
      <c r="X321" s="251">
        <f>IF(X$4&gt;DAY(EOMONTH(DATE($D$2,$B$2,1),0)),"",IFERROR(SUMIFS(DATA_GOC!$H:$H,DATA_GOC!$A:$A,"BOM",DATA_GOC!$D:$D,$B321,DATA_GOC!$E:$E,"Dầu thủy lực",DATA_GOC!$F:$F,"Xuất nội bộ từ téc",DATA_GOC!$B:$B,DATE($D$2,$B$2,X$4)),0))</f>
        <v>0</v>
      </c>
      <c r="Y321" s="251">
        <f>IF(Y$4&gt;DAY(EOMONTH(DATE($D$2,$B$2,1),0)),"",IFERROR(SUMIFS(DATA_GOC!$H:$H,DATA_GOC!$A:$A,"BOM",DATA_GOC!$D:$D,$B321,DATA_GOC!$E:$E,"Dầu thủy lực",DATA_GOC!$F:$F,"Xuất nội bộ từ téc",DATA_GOC!$B:$B,DATE($D$2,$B$2,Y$4)),0))</f>
        <v>0</v>
      </c>
      <c r="Z321" s="251">
        <f>IF(Z$4&gt;DAY(EOMONTH(DATE($D$2,$B$2,1),0)),"",IFERROR(SUMIFS(DATA_GOC!$H:$H,DATA_GOC!$A:$A,"BOM",DATA_GOC!$D:$D,$B321,DATA_GOC!$E:$E,"Dầu thủy lực",DATA_GOC!$F:$F,"Xuất nội bộ từ téc",DATA_GOC!$B:$B,DATE($D$2,$B$2,Z$4)),0))</f>
        <v>0</v>
      </c>
      <c r="AA321" s="251">
        <f>IF(AA$4&gt;DAY(EOMONTH(DATE($D$2,$B$2,1),0)),"",IFERROR(SUMIFS(DATA_GOC!$H:$H,DATA_GOC!$A:$A,"BOM",DATA_GOC!$D:$D,$B321,DATA_GOC!$E:$E,"Dầu thủy lực",DATA_GOC!$F:$F,"Xuất nội bộ từ téc",DATA_GOC!$B:$B,DATE($D$2,$B$2,AA$4)),0))</f>
        <v>0</v>
      </c>
      <c r="AB321" s="251">
        <f>IF(AB$4&gt;DAY(EOMONTH(DATE($D$2,$B$2,1),0)),"",IFERROR(SUMIFS(DATA_GOC!$H:$H,DATA_GOC!$A:$A,"BOM",DATA_GOC!$D:$D,$B321,DATA_GOC!$E:$E,"Dầu thủy lực",DATA_GOC!$F:$F,"Xuất nội bộ từ téc",DATA_GOC!$B:$B,DATE($D$2,$B$2,AB$4)),0))</f>
        <v>0</v>
      </c>
      <c r="AC321" s="251">
        <f>IF(AC$4&gt;DAY(EOMONTH(DATE($D$2,$B$2,1),0)),"",IFERROR(SUMIFS(DATA_GOC!$H:$H,DATA_GOC!$A:$A,"BOM",DATA_GOC!$D:$D,$B321,DATA_GOC!$E:$E,"Dầu thủy lực",DATA_GOC!$F:$F,"Xuất nội bộ từ téc",DATA_GOC!$B:$B,DATE($D$2,$B$2,AC$4)),0))</f>
        <v>0</v>
      </c>
      <c r="AD321" s="251">
        <f>IF(AD$4&gt;DAY(EOMONTH(DATE($D$2,$B$2,1),0)),"",IFERROR(SUMIFS(DATA_GOC!$H:$H,DATA_GOC!$A:$A,"BOM",DATA_GOC!$D:$D,$B321,DATA_GOC!$E:$E,"Dầu thủy lực",DATA_GOC!$F:$F,"Xuất nội bộ từ téc",DATA_GOC!$B:$B,DATE($D$2,$B$2,AD$4)),0))</f>
        <v>0</v>
      </c>
      <c r="AE321" s="251">
        <f>IF(AE$4&gt;DAY(EOMONTH(DATE($D$2,$B$2,1),0)),"",IFERROR(SUMIFS(DATA_GOC!$H:$H,DATA_GOC!$A:$A,"BOM",DATA_GOC!$D:$D,$B321,DATA_GOC!$E:$E,"Dầu thủy lực",DATA_GOC!$F:$F,"Xuất nội bộ từ téc",DATA_GOC!$B:$B,DATE($D$2,$B$2,AE$4)),0))</f>
        <v>0</v>
      </c>
      <c r="AF321" s="251">
        <f>IF(AF$4&gt;DAY(EOMONTH(DATE($D$2,$B$2,1),0)),"",IFERROR(SUMIFS(DATA_GOC!$H:$H,DATA_GOC!$A:$A,"BOM",DATA_GOC!$D:$D,$B321,DATA_GOC!$E:$E,"Dầu thủy lực",DATA_GOC!$F:$F,"Xuất nội bộ từ téc",DATA_GOC!$B:$B,DATE($D$2,$B$2,AF$4)),0))</f>
        <v>0</v>
      </c>
      <c r="AG321" s="251">
        <f>IF(AG$4&gt;DAY(EOMONTH(DATE($D$2,$B$2,1),0)),"",IFERROR(SUMIFS(DATA_GOC!$H:$H,DATA_GOC!$A:$A,"BOM",DATA_GOC!$D:$D,$B321,DATA_GOC!$E:$E,"Dầu thủy lực",DATA_GOC!$F:$F,"Xuất nội bộ từ téc",DATA_GOC!$B:$B,DATE($D$2,$B$2,AG$4)),0))</f>
        <v>0</v>
      </c>
      <c r="AH321" s="252">
        <f t="shared" si="16"/>
        <v>0</v>
      </c>
      <c r="AI321" s="241"/>
      <c r="AJ321" s="242">
        <f>IF($B321="","",SUMIFS(TINH_TEC!$K$233:$K$9232,TINH_TEC!$H$233:$H$9232,$B321,TINH_TEC!$C$233:$C$9232,"Dầu thủy lực",TINH_TEC!$F$233:$F$9232,$B$2,TINH_TEC!$G$233:$G$9232,$D$2,TINH_TEC!$B$233:$B$9232,"Đã chốt"))</f>
        <v>0</v>
      </c>
      <c r="AK321" s="242">
        <f>IF($B321="","",SUMIFS(TINH_TEC!$J$233:$J$9232,TINH_TEC!$H$233:$H$9232,$B321,TINH_TEC!$C$233:$C$9232,"Dầu thủy lực",TINH_TEC!$F$233:$F$9232,$B$2,TINH_TEC!$G$233:$G$9232,$D$2,TINH_TEC!$B$233:$B$9232,"Đã chốt"))</f>
        <v>0</v>
      </c>
      <c r="AL321" s="242">
        <f t="shared" si="17"/>
        <v>0</v>
      </c>
    </row>
    <row r="322" ht="15.75" customHeight="1">
      <c r="A322" s="237">
        <f>IF($B322&lt;&gt;"",12,"")</f>
        <v>12</v>
      </c>
      <c r="B322" s="250" t="str">
        <f t="array" ref="B322">IFERROR(INDEX(DANH_MUC!$E:$E,15),"")</f>
        <v>28C02410</v>
      </c>
      <c r="C322" s="251">
        <f>IF(C$4&gt;DAY(EOMONTH(DATE($D$2,$B$2,1),0)),"",IFERROR(SUMIFS(DATA_GOC!$H:$H,DATA_GOC!$A:$A,"BOM",DATA_GOC!$D:$D,$B322,DATA_GOC!$E:$E,"Dầu thủy lực",DATA_GOC!$F:$F,"Xuất nội bộ từ téc",DATA_GOC!$B:$B,DATE($D$2,$B$2,C$4)),0))</f>
        <v>0</v>
      </c>
      <c r="D322" s="251">
        <f>IF(D$4&gt;DAY(EOMONTH(DATE($D$2,$B$2,1),0)),"",IFERROR(SUMIFS(DATA_GOC!$H:$H,DATA_GOC!$A:$A,"BOM",DATA_GOC!$D:$D,$B322,DATA_GOC!$E:$E,"Dầu thủy lực",DATA_GOC!$F:$F,"Xuất nội bộ từ téc",DATA_GOC!$B:$B,DATE($D$2,$B$2,D$4)),0))</f>
        <v>0</v>
      </c>
      <c r="E322" s="251">
        <f>IF(E$4&gt;DAY(EOMONTH(DATE($D$2,$B$2,1),0)),"",IFERROR(SUMIFS(DATA_GOC!$H:$H,DATA_GOC!$A:$A,"BOM",DATA_GOC!$D:$D,$B322,DATA_GOC!$E:$E,"Dầu thủy lực",DATA_GOC!$F:$F,"Xuất nội bộ từ téc",DATA_GOC!$B:$B,DATE($D$2,$B$2,E$4)),0))</f>
        <v>0</v>
      </c>
      <c r="F322" s="251">
        <f>IF(F$4&gt;DAY(EOMONTH(DATE($D$2,$B$2,1),0)),"",IFERROR(SUMIFS(DATA_GOC!$H:$H,DATA_GOC!$A:$A,"BOM",DATA_GOC!$D:$D,$B322,DATA_GOC!$E:$E,"Dầu thủy lực",DATA_GOC!$F:$F,"Xuất nội bộ từ téc",DATA_GOC!$B:$B,DATE($D$2,$B$2,F$4)),0))</f>
        <v>0</v>
      </c>
      <c r="G322" s="251">
        <f>IF(G$4&gt;DAY(EOMONTH(DATE($D$2,$B$2,1),0)),"",IFERROR(SUMIFS(DATA_GOC!$H:$H,DATA_GOC!$A:$A,"BOM",DATA_GOC!$D:$D,$B322,DATA_GOC!$E:$E,"Dầu thủy lực",DATA_GOC!$F:$F,"Xuất nội bộ từ téc",DATA_GOC!$B:$B,DATE($D$2,$B$2,G$4)),0))</f>
        <v>0</v>
      </c>
      <c r="H322" s="251">
        <f>IF(H$4&gt;DAY(EOMONTH(DATE($D$2,$B$2,1),0)),"",IFERROR(SUMIFS(DATA_GOC!$H:$H,DATA_GOC!$A:$A,"BOM",DATA_GOC!$D:$D,$B322,DATA_GOC!$E:$E,"Dầu thủy lực",DATA_GOC!$F:$F,"Xuất nội bộ từ téc",DATA_GOC!$B:$B,DATE($D$2,$B$2,H$4)),0))</f>
        <v>0</v>
      </c>
      <c r="I322" s="251">
        <f>IF(I$4&gt;DAY(EOMONTH(DATE($D$2,$B$2,1),0)),"",IFERROR(SUMIFS(DATA_GOC!$H:$H,DATA_GOC!$A:$A,"BOM",DATA_GOC!$D:$D,$B322,DATA_GOC!$E:$E,"Dầu thủy lực",DATA_GOC!$F:$F,"Xuất nội bộ từ téc",DATA_GOC!$B:$B,DATE($D$2,$B$2,I$4)),0))</f>
        <v>0</v>
      </c>
      <c r="J322" s="251">
        <f>IF(J$4&gt;DAY(EOMONTH(DATE($D$2,$B$2,1),0)),"",IFERROR(SUMIFS(DATA_GOC!$H:$H,DATA_GOC!$A:$A,"BOM",DATA_GOC!$D:$D,$B322,DATA_GOC!$E:$E,"Dầu thủy lực",DATA_GOC!$F:$F,"Xuất nội bộ từ téc",DATA_GOC!$B:$B,DATE($D$2,$B$2,J$4)),0))</f>
        <v>0</v>
      </c>
      <c r="K322" s="251">
        <f>IF(K$4&gt;DAY(EOMONTH(DATE($D$2,$B$2,1),0)),"",IFERROR(SUMIFS(DATA_GOC!$H:$H,DATA_GOC!$A:$A,"BOM",DATA_GOC!$D:$D,$B322,DATA_GOC!$E:$E,"Dầu thủy lực",DATA_GOC!$F:$F,"Xuất nội bộ từ téc",DATA_GOC!$B:$B,DATE($D$2,$B$2,K$4)),0))</f>
        <v>0</v>
      </c>
      <c r="L322" s="251">
        <f>IF(L$4&gt;DAY(EOMONTH(DATE($D$2,$B$2,1),0)),"",IFERROR(SUMIFS(DATA_GOC!$H:$H,DATA_GOC!$A:$A,"BOM",DATA_GOC!$D:$D,$B322,DATA_GOC!$E:$E,"Dầu thủy lực",DATA_GOC!$F:$F,"Xuất nội bộ từ téc",DATA_GOC!$B:$B,DATE($D$2,$B$2,L$4)),0))</f>
        <v>0</v>
      </c>
      <c r="M322" s="251">
        <f>IF(M$4&gt;DAY(EOMONTH(DATE($D$2,$B$2,1),0)),"",IFERROR(SUMIFS(DATA_GOC!$H:$H,DATA_GOC!$A:$A,"BOM",DATA_GOC!$D:$D,$B322,DATA_GOC!$E:$E,"Dầu thủy lực",DATA_GOC!$F:$F,"Xuất nội bộ từ téc",DATA_GOC!$B:$B,DATE($D$2,$B$2,M$4)),0))</f>
        <v>0</v>
      </c>
      <c r="N322" s="251">
        <f>IF(N$4&gt;DAY(EOMONTH(DATE($D$2,$B$2,1),0)),"",IFERROR(SUMIFS(DATA_GOC!$H:$H,DATA_GOC!$A:$A,"BOM",DATA_GOC!$D:$D,$B322,DATA_GOC!$E:$E,"Dầu thủy lực",DATA_GOC!$F:$F,"Xuất nội bộ từ téc",DATA_GOC!$B:$B,DATE($D$2,$B$2,N$4)),0))</f>
        <v>0</v>
      </c>
      <c r="O322" s="251">
        <f>IF(O$4&gt;DAY(EOMONTH(DATE($D$2,$B$2,1),0)),"",IFERROR(SUMIFS(DATA_GOC!$H:$H,DATA_GOC!$A:$A,"BOM",DATA_GOC!$D:$D,$B322,DATA_GOC!$E:$E,"Dầu thủy lực",DATA_GOC!$F:$F,"Xuất nội bộ từ téc",DATA_GOC!$B:$B,DATE($D$2,$B$2,O$4)),0))</f>
        <v>0</v>
      </c>
      <c r="P322" s="251">
        <f>IF(P$4&gt;DAY(EOMONTH(DATE($D$2,$B$2,1),0)),"",IFERROR(SUMIFS(DATA_GOC!$H:$H,DATA_GOC!$A:$A,"BOM",DATA_GOC!$D:$D,$B322,DATA_GOC!$E:$E,"Dầu thủy lực",DATA_GOC!$F:$F,"Xuất nội bộ từ téc",DATA_GOC!$B:$B,DATE($D$2,$B$2,P$4)),0))</f>
        <v>0</v>
      </c>
      <c r="Q322" s="251">
        <f>IF(Q$4&gt;DAY(EOMONTH(DATE($D$2,$B$2,1),0)),"",IFERROR(SUMIFS(DATA_GOC!$H:$H,DATA_GOC!$A:$A,"BOM",DATA_GOC!$D:$D,$B322,DATA_GOC!$E:$E,"Dầu thủy lực",DATA_GOC!$F:$F,"Xuất nội bộ từ téc",DATA_GOC!$B:$B,DATE($D$2,$B$2,Q$4)),0))</f>
        <v>0</v>
      </c>
      <c r="R322" s="251">
        <f>IF(R$4&gt;DAY(EOMONTH(DATE($D$2,$B$2,1),0)),"",IFERROR(SUMIFS(DATA_GOC!$H:$H,DATA_GOC!$A:$A,"BOM",DATA_GOC!$D:$D,$B322,DATA_GOC!$E:$E,"Dầu thủy lực",DATA_GOC!$F:$F,"Xuất nội bộ từ téc",DATA_GOC!$B:$B,DATE($D$2,$B$2,R$4)),0))</f>
        <v>0</v>
      </c>
      <c r="S322" s="251">
        <f>IF(S$4&gt;DAY(EOMONTH(DATE($D$2,$B$2,1),0)),"",IFERROR(SUMIFS(DATA_GOC!$H:$H,DATA_GOC!$A:$A,"BOM",DATA_GOC!$D:$D,$B322,DATA_GOC!$E:$E,"Dầu thủy lực",DATA_GOC!$F:$F,"Xuất nội bộ từ téc",DATA_GOC!$B:$B,DATE($D$2,$B$2,S$4)),0))</f>
        <v>0</v>
      </c>
      <c r="T322" s="251">
        <f>IF(T$4&gt;DAY(EOMONTH(DATE($D$2,$B$2,1),0)),"",IFERROR(SUMIFS(DATA_GOC!$H:$H,DATA_GOC!$A:$A,"BOM",DATA_GOC!$D:$D,$B322,DATA_GOC!$E:$E,"Dầu thủy lực",DATA_GOC!$F:$F,"Xuất nội bộ từ téc",DATA_GOC!$B:$B,DATE($D$2,$B$2,T$4)),0))</f>
        <v>0</v>
      </c>
      <c r="U322" s="251">
        <f>IF(U$4&gt;DAY(EOMONTH(DATE($D$2,$B$2,1),0)),"",IFERROR(SUMIFS(DATA_GOC!$H:$H,DATA_GOC!$A:$A,"BOM",DATA_GOC!$D:$D,$B322,DATA_GOC!$E:$E,"Dầu thủy lực",DATA_GOC!$F:$F,"Xuất nội bộ từ téc",DATA_GOC!$B:$B,DATE($D$2,$B$2,U$4)),0))</f>
        <v>0</v>
      </c>
      <c r="V322" s="251">
        <f>IF(V$4&gt;DAY(EOMONTH(DATE($D$2,$B$2,1),0)),"",IFERROR(SUMIFS(DATA_GOC!$H:$H,DATA_GOC!$A:$A,"BOM",DATA_GOC!$D:$D,$B322,DATA_GOC!$E:$E,"Dầu thủy lực",DATA_GOC!$F:$F,"Xuất nội bộ từ téc",DATA_GOC!$B:$B,DATE($D$2,$B$2,V$4)),0))</f>
        <v>0</v>
      </c>
      <c r="W322" s="251">
        <f>IF(W$4&gt;DAY(EOMONTH(DATE($D$2,$B$2,1),0)),"",IFERROR(SUMIFS(DATA_GOC!$H:$H,DATA_GOC!$A:$A,"BOM",DATA_GOC!$D:$D,$B322,DATA_GOC!$E:$E,"Dầu thủy lực",DATA_GOC!$F:$F,"Xuất nội bộ từ téc",DATA_GOC!$B:$B,DATE($D$2,$B$2,W$4)),0))</f>
        <v>0</v>
      </c>
      <c r="X322" s="251">
        <f>IF(X$4&gt;DAY(EOMONTH(DATE($D$2,$B$2,1),0)),"",IFERROR(SUMIFS(DATA_GOC!$H:$H,DATA_GOC!$A:$A,"BOM",DATA_GOC!$D:$D,$B322,DATA_GOC!$E:$E,"Dầu thủy lực",DATA_GOC!$F:$F,"Xuất nội bộ từ téc",DATA_GOC!$B:$B,DATE($D$2,$B$2,X$4)),0))</f>
        <v>0</v>
      </c>
      <c r="Y322" s="251">
        <f>IF(Y$4&gt;DAY(EOMONTH(DATE($D$2,$B$2,1),0)),"",IFERROR(SUMIFS(DATA_GOC!$H:$H,DATA_GOC!$A:$A,"BOM",DATA_GOC!$D:$D,$B322,DATA_GOC!$E:$E,"Dầu thủy lực",DATA_GOC!$F:$F,"Xuất nội bộ từ téc",DATA_GOC!$B:$B,DATE($D$2,$B$2,Y$4)),0))</f>
        <v>0</v>
      </c>
      <c r="Z322" s="251">
        <f>IF(Z$4&gt;DAY(EOMONTH(DATE($D$2,$B$2,1),0)),"",IFERROR(SUMIFS(DATA_GOC!$H:$H,DATA_GOC!$A:$A,"BOM",DATA_GOC!$D:$D,$B322,DATA_GOC!$E:$E,"Dầu thủy lực",DATA_GOC!$F:$F,"Xuất nội bộ từ téc",DATA_GOC!$B:$B,DATE($D$2,$B$2,Z$4)),0))</f>
        <v>0</v>
      </c>
      <c r="AA322" s="251">
        <f>IF(AA$4&gt;DAY(EOMONTH(DATE($D$2,$B$2,1),0)),"",IFERROR(SUMIFS(DATA_GOC!$H:$H,DATA_GOC!$A:$A,"BOM",DATA_GOC!$D:$D,$B322,DATA_GOC!$E:$E,"Dầu thủy lực",DATA_GOC!$F:$F,"Xuất nội bộ từ téc",DATA_GOC!$B:$B,DATE($D$2,$B$2,AA$4)),0))</f>
        <v>0</v>
      </c>
      <c r="AB322" s="251">
        <f>IF(AB$4&gt;DAY(EOMONTH(DATE($D$2,$B$2,1),0)),"",IFERROR(SUMIFS(DATA_GOC!$H:$H,DATA_GOC!$A:$A,"BOM",DATA_GOC!$D:$D,$B322,DATA_GOC!$E:$E,"Dầu thủy lực",DATA_GOC!$F:$F,"Xuất nội bộ từ téc",DATA_GOC!$B:$B,DATE($D$2,$B$2,AB$4)),0))</f>
        <v>0</v>
      </c>
      <c r="AC322" s="251">
        <f>IF(AC$4&gt;DAY(EOMONTH(DATE($D$2,$B$2,1),0)),"",IFERROR(SUMIFS(DATA_GOC!$H:$H,DATA_GOC!$A:$A,"BOM",DATA_GOC!$D:$D,$B322,DATA_GOC!$E:$E,"Dầu thủy lực",DATA_GOC!$F:$F,"Xuất nội bộ từ téc",DATA_GOC!$B:$B,DATE($D$2,$B$2,AC$4)),0))</f>
        <v>0</v>
      </c>
      <c r="AD322" s="251">
        <f>IF(AD$4&gt;DAY(EOMONTH(DATE($D$2,$B$2,1),0)),"",IFERROR(SUMIFS(DATA_GOC!$H:$H,DATA_GOC!$A:$A,"BOM",DATA_GOC!$D:$D,$B322,DATA_GOC!$E:$E,"Dầu thủy lực",DATA_GOC!$F:$F,"Xuất nội bộ từ téc",DATA_GOC!$B:$B,DATE($D$2,$B$2,AD$4)),0))</f>
        <v>0</v>
      </c>
      <c r="AE322" s="251">
        <f>IF(AE$4&gt;DAY(EOMONTH(DATE($D$2,$B$2,1),0)),"",IFERROR(SUMIFS(DATA_GOC!$H:$H,DATA_GOC!$A:$A,"BOM",DATA_GOC!$D:$D,$B322,DATA_GOC!$E:$E,"Dầu thủy lực",DATA_GOC!$F:$F,"Xuất nội bộ từ téc",DATA_GOC!$B:$B,DATE($D$2,$B$2,AE$4)),0))</f>
        <v>0</v>
      </c>
      <c r="AF322" s="251">
        <f>IF(AF$4&gt;DAY(EOMONTH(DATE($D$2,$B$2,1),0)),"",IFERROR(SUMIFS(DATA_GOC!$H:$H,DATA_GOC!$A:$A,"BOM",DATA_GOC!$D:$D,$B322,DATA_GOC!$E:$E,"Dầu thủy lực",DATA_GOC!$F:$F,"Xuất nội bộ từ téc",DATA_GOC!$B:$B,DATE($D$2,$B$2,AF$4)),0))</f>
        <v>0</v>
      </c>
      <c r="AG322" s="251">
        <f>IF(AG$4&gt;DAY(EOMONTH(DATE($D$2,$B$2,1),0)),"",IFERROR(SUMIFS(DATA_GOC!$H:$H,DATA_GOC!$A:$A,"BOM",DATA_GOC!$D:$D,$B322,DATA_GOC!$E:$E,"Dầu thủy lực",DATA_GOC!$F:$F,"Xuất nội bộ từ téc",DATA_GOC!$B:$B,DATE($D$2,$B$2,AG$4)),0))</f>
        <v>0</v>
      </c>
      <c r="AH322" s="252">
        <f t="shared" si="16"/>
        <v>0</v>
      </c>
      <c r="AI322" s="241"/>
      <c r="AJ322" s="242">
        <f>IF($B322="","",SUMIFS(TINH_TEC!$K$233:$K$9232,TINH_TEC!$H$233:$H$9232,$B322,TINH_TEC!$C$233:$C$9232,"Dầu thủy lực",TINH_TEC!$F$233:$F$9232,$B$2,TINH_TEC!$G$233:$G$9232,$D$2,TINH_TEC!$B$233:$B$9232,"Đã chốt"))</f>
        <v>0</v>
      </c>
      <c r="AK322" s="242">
        <f>IF($B322="","",SUMIFS(TINH_TEC!$J$233:$J$9232,TINH_TEC!$H$233:$H$9232,$B322,TINH_TEC!$C$233:$C$9232,"Dầu thủy lực",TINH_TEC!$F$233:$F$9232,$B$2,TINH_TEC!$G$233:$G$9232,$D$2,TINH_TEC!$B$233:$B$9232,"Đã chốt"))</f>
        <v>0</v>
      </c>
      <c r="AL322" s="242">
        <f t="shared" si="17"/>
        <v>0</v>
      </c>
    </row>
    <row r="323" ht="15.75" customHeight="1">
      <c r="A323" s="237">
        <f>IF($B323&lt;&gt;"",13,"")</f>
        <v>13</v>
      </c>
      <c r="B323" s="250" t="str">
        <f t="array" ref="B323">IFERROR(INDEX(DANH_MUC!$E:$E,16),"")</f>
        <v>28C02545</v>
      </c>
      <c r="C323" s="251">
        <f>IF(C$4&gt;DAY(EOMONTH(DATE($D$2,$B$2,1),0)),"",IFERROR(SUMIFS(DATA_GOC!$H:$H,DATA_GOC!$A:$A,"BOM",DATA_GOC!$D:$D,$B323,DATA_GOC!$E:$E,"Dầu thủy lực",DATA_GOC!$F:$F,"Xuất nội bộ từ téc",DATA_GOC!$B:$B,DATE($D$2,$B$2,C$4)),0))</f>
        <v>0</v>
      </c>
      <c r="D323" s="251">
        <f>IF(D$4&gt;DAY(EOMONTH(DATE($D$2,$B$2,1),0)),"",IFERROR(SUMIFS(DATA_GOC!$H:$H,DATA_GOC!$A:$A,"BOM",DATA_GOC!$D:$D,$B323,DATA_GOC!$E:$E,"Dầu thủy lực",DATA_GOC!$F:$F,"Xuất nội bộ từ téc",DATA_GOC!$B:$B,DATE($D$2,$B$2,D$4)),0))</f>
        <v>0</v>
      </c>
      <c r="E323" s="251">
        <f>IF(E$4&gt;DAY(EOMONTH(DATE($D$2,$B$2,1),0)),"",IFERROR(SUMIFS(DATA_GOC!$H:$H,DATA_GOC!$A:$A,"BOM",DATA_GOC!$D:$D,$B323,DATA_GOC!$E:$E,"Dầu thủy lực",DATA_GOC!$F:$F,"Xuất nội bộ từ téc",DATA_GOC!$B:$B,DATE($D$2,$B$2,E$4)),0))</f>
        <v>0</v>
      </c>
      <c r="F323" s="251">
        <f>IF(F$4&gt;DAY(EOMONTH(DATE($D$2,$B$2,1),0)),"",IFERROR(SUMIFS(DATA_GOC!$H:$H,DATA_GOC!$A:$A,"BOM",DATA_GOC!$D:$D,$B323,DATA_GOC!$E:$E,"Dầu thủy lực",DATA_GOC!$F:$F,"Xuất nội bộ từ téc",DATA_GOC!$B:$B,DATE($D$2,$B$2,F$4)),0))</f>
        <v>0</v>
      </c>
      <c r="G323" s="251">
        <f>IF(G$4&gt;DAY(EOMONTH(DATE($D$2,$B$2,1),0)),"",IFERROR(SUMIFS(DATA_GOC!$H:$H,DATA_GOC!$A:$A,"BOM",DATA_GOC!$D:$D,$B323,DATA_GOC!$E:$E,"Dầu thủy lực",DATA_GOC!$F:$F,"Xuất nội bộ từ téc",DATA_GOC!$B:$B,DATE($D$2,$B$2,G$4)),0))</f>
        <v>0</v>
      </c>
      <c r="H323" s="251">
        <f>IF(H$4&gt;DAY(EOMONTH(DATE($D$2,$B$2,1),0)),"",IFERROR(SUMIFS(DATA_GOC!$H:$H,DATA_GOC!$A:$A,"BOM",DATA_GOC!$D:$D,$B323,DATA_GOC!$E:$E,"Dầu thủy lực",DATA_GOC!$F:$F,"Xuất nội bộ từ téc",DATA_GOC!$B:$B,DATE($D$2,$B$2,H$4)),0))</f>
        <v>0</v>
      </c>
      <c r="I323" s="251">
        <f>IF(I$4&gt;DAY(EOMONTH(DATE($D$2,$B$2,1),0)),"",IFERROR(SUMIFS(DATA_GOC!$H:$H,DATA_GOC!$A:$A,"BOM",DATA_GOC!$D:$D,$B323,DATA_GOC!$E:$E,"Dầu thủy lực",DATA_GOC!$F:$F,"Xuất nội bộ từ téc",DATA_GOC!$B:$B,DATE($D$2,$B$2,I$4)),0))</f>
        <v>0</v>
      </c>
      <c r="J323" s="251">
        <f>IF(J$4&gt;DAY(EOMONTH(DATE($D$2,$B$2,1),0)),"",IFERROR(SUMIFS(DATA_GOC!$H:$H,DATA_GOC!$A:$A,"BOM",DATA_GOC!$D:$D,$B323,DATA_GOC!$E:$E,"Dầu thủy lực",DATA_GOC!$F:$F,"Xuất nội bộ từ téc",DATA_GOC!$B:$B,DATE($D$2,$B$2,J$4)),0))</f>
        <v>0</v>
      </c>
      <c r="K323" s="251">
        <f>IF(K$4&gt;DAY(EOMONTH(DATE($D$2,$B$2,1),0)),"",IFERROR(SUMIFS(DATA_GOC!$H:$H,DATA_GOC!$A:$A,"BOM",DATA_GOC!$D:$D,$B323,DATA_GOC!$E:$E,"Dầu thủy lực",DATA_GOC!$F:$F,"Xuất nội bộ từ téc",DATA_GOC!$B:$B,DATE($D$2,$B$2,K$4)),0))</f>
        <v>0</v>
      </c>
      <c r="L323" s="251">
        <f>IF(L$4&gt;DAY(EOMONTH(DATE($D$2,$B$2,1),0)),"",IFERROR(SUMIFS(DATA_GOC!$H:$H,DATA_GOC!$A:$A,"BOM",DATA_GOC!$D:$D,$B323,DATA_GOC!$E:$E,"Dầu thủy lực",DATA_GOC!$F:$F,"Xuất nội bộ từ téc",DATA_GOC!$B:$B,DATE($D$2,$B$2,L$4)),0))</f>
        <v>0</v>
      </c>
      <c r="M323" s="251">
        <f>IF(M$4&gt;DAY(EOMONTH(DATE($D$2,$B$2,1),0)),"",IFERROR(SUMIFS(DATA_GOC!$H:$H,DATA_GOC!$A:$A,"BOM",DATA_GOC!$D:$D,$B323,DATA_GOC!$E:$E,"Dầu thủy lực",DATA_GOC!$F:$F,"Xuất nội bộ từ téc",DATA_GOC!$B:$B,DATE($D$2,$B$2,M$4)),0))</f>
        <v>0</v>
      </c>
      <c r="N323" s="251">
        <f>IF(N$4&gt;DAY(EOMONTH(DATE($D$2,$B$2,1),0)),"",IFERROR(SUMIFS(DATA_GOC!$H:$H,DATA_GOC!$A:$A,"BOM",DATA_GOC!$D:$D,$B323,DATA_GOC!$E:$E,"Dầu thủy lực",DATA_GOC!$F:$F,"Xuất nội bộ từ téc",DATA_GOC!$B:$B,DATE($D$2,$B$2,N$4)),0))</f>
        <v>0</v>
      </c>
      <c r="O323" s="251">
        <f>IF(O$4&gt;DAY(EOMONTH(DATE($D$2,$B$2,1),0)),"",IFERROR(SUMIFS(DATA_GOC!$H:$H,DATA_GOC!$A:$A,"BOM",DATA_GOC!$D:$D,$B323,DATA_GOC!$E:$E,"Dầu thủy lực",DATA_GOC!$F:$F,"Xuất nội bộ từ téc",DATA_GOC!$B:$B,DATE($D$2,$B$2,O$4)),0))</f>
        <v>0</v>
      </c>
      <c r="P323" s="251">
        <f>IF(P$4&gt;DAY(EOMONTH(DATE($D$2,$B$2,1),0)),"",IFERROR(SUMIFS(DATA_GOC!$H:$H,DATA_GOC!$A:$A,"BOM",DATA_GOC!$D:$D,$B323,DATA_GOC!$E:$E,"Dầu thủy lực",DATA_GOC!$F:$F,"Xuất nội bộ từ téc",DATA_GOC!$B:$B,DATE($D$2,$B$2,P$4)),0))</f>
        <v>0</v>
      </c>
      <c r="Q323" s="251">
        <f>IF(Q$4&gt;DAY(EOMONTH(DATE($D$2,$B$2,1),0)),"",IFERROR(SUMIFS(DATA_GOC!$H:$H,DATA_GOC!$A:$A,"BOM",DATA_GOC!$D:$D,$B323,DATA_GOC!$E:$E,"Dầu thủy lực",DATA_GOC!$F:$F,"Xuất nội bộ từ téc",DATA_GOC!$B:$B,DATE($D$2,$B$2,Q$4)),0))</f>
        <v>0</v>
      </c>
      <c r="R323" s="251">
        <f>IF(R$4&gt;DAY(EOMONTH(DATE($D$2,$B$2,1),0)),"",IFERROR(SUMIFS(DATA_GOC!$H:$H,DATA_GOC!$A:$A,"BOM",DATA_GOC!$D:$D,$B323,DATA_GOC!$E:$E,"Dầu thủy lực",DATA_GOC!$F:$F,"Xuất nội bộ từ téc",DATA_GOC!$B:$B,DATE($D$2,$B$2,R$4)),0))</f>
        <v>0</v>
      </c>
      <c r="S323" s="251">
        <f>IF(S$4&gt;DAY(EOMONTH(DATE($D$2,$B$2,1),0)),"",IFERROR(SUMIFS(DATA_GOC!$H:$H,DATA_GOC!$A:$A,"BOM",DATA_GOC!$D:$D,$B323,DATA_GOC!$E:$E,"Dầu thủy lực",DATA_GOC!$F:$F,"Xuất nội bộ từ téc",DATA_GOC!$B:$B,DATE($D$2,$B$2,S$4)),0))</f>
        <v>0</v>
      </c>
      <c r="T323" s="251">
        <f>IF(T$4&gt;DAY(EOMONTH(DATE($D$2,$B$2,1),0)),"",IFERROR(SUMIFS(DATA_GOC!$H:$H,DATA_GOC!$A:$A,"BOM",DATA_GOC!$D:$D,$B323,DATA_GOC!$E:$E,"Dầu thủy lực",DATA_GOC!$F:$F,"Xuất nội bộ từ téc",DATA_GOC!$B:$B,DATE($D$2,$B$2,T$4)),0))</f>
        <v>0</v>
      </c>
      <c r="U323" s="251">
        <f>IF(U$4&gt;DAY(EOMONTH(DATE($D$2,$B$2,1),0)),"",IFERROR(SUMIFS(DATA_GOC!$H:$H,DATA_GOC!$A:$A,"BOM",DATA_GOC!$D:$D,$B323,DATA_GOC!$E:$E,"Dầu thủy lực",DATA_GOC!$F:$F,"Xuất nội bộ từ téc",DATA_GOC!$B:$B,DATE($D$2,$B$2,U$4)),0))</f>
        <v>0</v>
      </c>
      <c r="V323" s="251">
        <f>IF(V$4&gt;DAY(EOMONTH(DATE($D$2,$B$2,1),0)),"",IFERROR(SUMIFS(DATA_GOC!$H:$H,DATA_GOC!$A:$A,"BOM",DATA_GOC!$D:$D,$B323,DATA_GOC!$E:$E,"Dầu thủy lực",DATA_GOC!$F:$F,"Xuất nội bộ từ téc",DATA_GOC!$B:$B,DATE($D$2,$B$2,V$4)),0))</f>
        <v>0</v>
      </c>
      <c r="W323" s="251">
        <f>IF(W$4&gt;DAY(EOMONTH(DATE($D$2,$B$2,1),0)),"",IFERROR(SUMIFS(DATA_GOC!$H:$H,DATA_GOC!$A:$A,"BOM",DATA_GOC!$D:$D,$B323,DATA_GOC!$E:$E,"Dầu thủy lực",DATA_GOC!$F:$F,"Xuất nội bộ từ téc",DATA_GOC!$B:$B,DATE($D$2,$B$2,W$4)),0))</f>
        <v>0</v>
      </c>
      <c r="X323" s="251">
        <f>IF(X$4&gt;DAY(EOMONTH(DATE($D$2,$B$2,1),0)),"",IFERROR(SUMIFS(DATA_GOC!$H:$H,DATA_GOC!$A:$A,"BOM",DATA_GOC!$D:$D,$B323,DATA_GOC!$E:$E,"Dầu thủy lực",DATA_GOC!$F:$F,"Xuất nội bộ từ téc",DATA_GOC!$B:$B,DATE($D$2,$B$2,X$4)),0))</f>
        <v>0</v>
      </c>
      <c r="Y323" s="251">
        <f>IF(Y$4&gt;DAY(EOMONTH(DATE($D$2,$B$2,1),0)),"",IFERROR(SUMIFS(DATA_GOC!$H:$H,DATA_GOC!$A:$A,"BOM",DATA_GOC!$D:$D,$B323,DATA_GOC!$E:$E,"Dầu thủy lực",DATA_GOC!$F:$F,"Xuất nội bộ từ téc",DATA_GOC!$B:$B,DATE($D$2,$B$2,Y$4)),0))</f>
        <v>0</v>
      </c>
      <c r="Z323" s="251">
        <f>IF(Z$4&gt;DAY(EOMONTH(DATE($D$2,$B$2,1),0)),"",IFERROR(SUMIFS(DATA_GOC!$H:$H,DATA_GOC!$A:$A,"BOM",DATA_GOC!$D:$D,$B323,DATA_GOC!$E:$E,"Dầu thủy lực",DATA_GOC!$F:$F,"Xuất nội bộ từ téc",DATA_GOC!$B:$B,DATE($D$2,$B$2,Z$4)),0))</f>
        <v>0</v>
      </c>
      <c r="AA323" s="251">
        <f>IF(AA$4&gt;DAY(EOMONTH(DATE($D$2,$B$2,1),0)),"",IFERROR(SUMIFS(DATA_GOC!$H:$H,DATA_GOC!$A:$A,"BOM",DATA_GOC!$D:$D,$B323,DATA_GOC!$E:$E,"Dầu thủy lực",DATA_GOC!$F:$F,"Xuất nội bộ từ téc",DATA_GOC!$B:$B,DATE($D$2,$B$2,AA$4)),0))</f>
        <v>0</v>
      </c>
      <c r="AB323" s="251">
        <f>IF(AB$4&gt;DAY(EOMONTH(DATE($D$2,$B$2,1),0)),"",IFERROR(SUMIFS(DATA_GOC!$H:$H,DATA_GOC!$A:$A,"BOM",DATA_GOC!$D:$D,$B323,DATA_GOC!$E:$E,"Dầu thủy lực",DATA_GOC!$F:$F,"Xuất nội bộ từ téc",DATA_GOC!$B:$B,DATE($D$2,$B$2,AB$4)),0))</f>
        <v>0</v>
      </c>
      <c r="AC323" s="251">
        <f>IF(AC$4&gt;DAY(EOMONTH(DATE($D$2,$B$2,1),0)),"",IFERROR(SUMIFS(DATA_GOC!$H:$H,DATA_GOC!$A:$A,"BOM",DATA_GOC!$D:$D,$B323,DATA_GOC!$E:$E,"Dầu thủy lực",DATA_GOC!$F:$F,"Xuất nội bộ từ téc",DATA_GOC!$B:$B,DATE($D$2,$B$2,AC$4)),0))</f>
        <v>0</v>
      </c>
      <c r="AD323" s="251">
        <f>IF(AD$4&gt;DAY(EOMONTH(DATE($D$2,$B$2,1),0)),"",IFERROR(SUMIFS(DATA_GOC!$H:$H,DATA_GOC!$A:$A,"BOM",DATA_GOC!$D:$D,$B323,DATA_GOC!$E:$E,"Dầu thủy lực",DATA_GOC!$F:$F,"Xuất nội bộ từ téc",DATA_GOC!$B:$B,DATE($D$2,$B$2,AD$4)),0))</f>
        <v>0</v>
      </c>
      <c r="AE323" s="251">
        <f>IF(AE$4&gt;DAY(EOMONTH(DATE($D$2,$B$2,1),0)),"",IFERROR(SUMIFS(DATA_GOC!$H:$H,DATA_GOC!$A:$A,"BOM",DATA_GOC!$D:$D,$B323,DATA_GOC!$E:$E,"Dầu thủy lực",DATA_GOC!$F:$F,"Xuất nội bộ từ téc",DATA_GOC!$B:$B,DATE($D$2,$B$2,AE$4)),0))</f>
        <v>0</v>
      </c>
      <c r="AF323" s="251">
        <f>IF(AF$4&gt;DAY(EOMONTH(DATE($D$2,$B$2,1),0)),"",IFERROR(SUMIFS(DATA_GOC!$H:$H,DATA_GOC!$A:$A,"BOM",DATA_GOC!$D:$D,$B323,DATA_GOC!$E:$E,"Dầu thủy lực",DATA_GOC!$F:$F,"Xuất nội bộ từ téc",DATA_GOC!$B:$B,DATE($D$2,$B$2,AF$4)),0))</f>
        <v>0</v>
      </c>
      <c r="AG323" s="251">
        <f>IF(AG$4&gt;DAY(EOMONTH(DATE($D$2,$B$2,1),0)),"",IFERROR(SUMIFS(DATA_GOC!$H:$H,DATA_GOC!$A:$A,"BOM",DATA_GOC!$D:$D,$B323,DATA_GOC!$E:$E,"Dầu thủy lực",DATA_GOC!$F:$F,"Xuất nội bộ từ téc",DATA_GOC!$B:$B,DATE($D$2,$B$2,AG$4)),0))</f>
        <v>0</v>
      </c>
      <c r="AH323" s="252">
        <f t="shared" si="16"/>
        <v>0</v>
      </c>
      <c r="AI323" s="241"/>
      <c r="AJ323" s="242">
        <f>IF($B323="","",SUMIFS(TINH_TEC!$K$233:$K$9232,TINH_TEC!$H$233:$H$9232,$B323,TINH_TEC!$C$233:$C$9232,"Dầu thủy lực",TINH_TEC!$F$233:$F$9232,$B$2,TINH_TEC!$G$233:$G$9232,$D$2,TINH_TEC!$B$233:$B$9232,"Đã chốt"))</f>
        <v>0</v>
      </c>
      <c r="AK323" s="242">
        <f>IF($B323="","",SUMIFS(TINH_TEC!$J$233:$J$9232,TINH_TEC!$H$233:$H$9232,$B323,TINH_TEC!$C$233:$C$9232,"Dầu thủy lực",TINH_TEC!$F$233:$F$9232,$B$2,TINH_TEC!$G$233:$G$9232,$D$2,TINH_TEC!$B$233:$B$9232,"Đã chốt"))</f>
        <v>0</v>
      </c>
      <c r="AL323" s="242">
        <f t="shared" si="17"/>
        <v>0</v>
      </c>
    </row>
    <row r="324" ht="15.75" customHeight="1">
      <c r="A324" s="237">
        <f>IF($B324&lt;&gt;"",14,"")</f>
        <v>14</v>
      </c>
      <c r="B324" s="250" t="str">
        <f t="array" ref="B324">IFERROR(INDEX(DANH_MUC!$E:$E,17),"")</f>
        <v>28C02574</v>
      </c>
      <c r="C324" s="251">
        <f>IF(C$4&gt;DAY(EOMONTH(DATE($D$2,$B$2,1),0)),"",IFERROR(SUMIFS(DATA_GOC!$H:$H,DATA_GOC!$A:$A,"BOM",DATA_GOC!$D:$D,$B324,DATA_GOC!$E:$E,"Dầu thủy lực",DATA_GOC!$F:$F,"Xuất nội bộ từ téc",DATA_GOC!$B:$B,DATE($D$2,$B$2,C$4)),0))</f>
        <v>0</v>
      </c>
      <c r="D324" s="251">
        <f>IF(D$4&gt;DAY(EOMONTH(DATE($D$2,$B$2,1),0)),"",IFERROR(SUMIFS(DATA_GOC!$H:$H,DATA_GOC!$A:$A,"BOM",DATA_GOC!$D:$D,$B324,DATA_GOC!$E:$E,"Dầu thủy lực",DATA_GOC!$F:$F,"Xuất nội bộ từ téc",DATA_GOC!$B:$B,DATE($D$2,$B$2,D$4)),0))</f>
        <v>0</v>
      </c>
      <c r="E324" s="251">
        <f>IF(E$4&gt;DAY(EOMONTH(DATE($D$2,$B$2,1),0)),"",IFERROR(SUMIFS(DATA_GOC!$H:$H,DATA_GOC!$A:$A,"BOM",DATA_GOC!$D:$D,$B324,DATA_GOC!$E:$E,"Dầu thủy lực",DATA_GOC!$F:$F,"Xuất nội bộ từ téc",DATA_GOC!$B:$B,DATE($D$2,$B$2,E$4)),0))</f>
        <v>0</v>
      </c>
      <c r="F324" s="251">
        <f>IF(F$4&gt;DAY(EOMONTH(DATE($D$2,$B$2,1),0)),"",IFERROR(SUMIFS(DATA_GOC!$H:$H,DATA_GOC!$A:$A,"BOM",DATA_GOC!$D:$D,$B324,DATA_GOC!$E:$E,"Dầu thủy lực",DATA_GOC!$F:$F,"Xuất nội bộ từ téc",DATA_GOC!$B:$B,DATE($D$2,$B$2,F$4)),0))</f>
        <v>0</v>
      </c>
      <c r="G324" s="251">
        <f>IF(G$4&gt;DAY(EOMONTH(DATE($D$2,$B$2,1),0)),"",IFERROR(SUMIFS(DATA_GOC!$H:$H,DATA_GOC!$A:$A,"BOM",DATA_GOC!$D:$D,$B324,DATA_GOC!$E:$E,"Dầu thủy lực",DATA_GOC!$F:$F,"Xuất nội bộ từ téc",DATA_GOC!$B:$B,DATE($D$2,$B$2,G$4)),0))</f>
        <v>0</v>
      </c>
      <c r="H324" s="251">
        <f>IF(H$4&gt;DAY(EOMONTH(DATE($D$2,$B$2,1),0)),"",IFERROR(SUMIFS(DATA_GOC!$H:$H,DATA_GOC!$A:$A,"BOM",DATA_GOC!$D:$D,$B324,DATA_GOC!$E:$E,"Dầu thủy lực",DATA_GOC!$F:$F,"Xuất nội bộ từ téc",DATA_GOC!$B:$B,DATE($D$2,$B$2,H$4)),0))</f>
        <v>0</v>
      </c>
      <c r="I324" s="251">
        <f>IF(I$4&gt;DAY(EOMONTH(DATE($D$2,$B$2,1),0)),"",IFERROR(SUMIFS(DATA_GOC!$H:$H,DATA_GOC!$A:$A,"BOM",DATA_GOC!$D:$D,$B324,DATA_GOC!$E:$E,"Dầu thủy lực",DATA_GOC!$F:$F,"Xuất nội bộ từ téc",DATA_GOC!$B:$B,DATE($D$2,$B$2,I$4)),0))</f>
        <v>0</v>
      </c>
      <c r="J324" s="251">
        <f>IF(J$4&gt;DAY(EOMONTH(DATE($D$2,$B$2,1),0)),"",IFERROR(SUMIFS(DATA_GOC!$H:$H,DATA_GOC!$A:$A,"BOM",DATA_GOC!$D:$D,$B324,DATA_GOC!$E:$E,"Dầu thủy lực",DATA_GOC!$F:$F,"Xuất nội bộ từ téc",DATA_GOC!$B:$B,DATE($D$2,$B$2,J$4)),0))</f>
        <v>0</v>
      </c>
      <c r="K324" s="251">
        <f>IF(K$4&gt;DAY(EOMONTH(DATE($D$2,$B$2,1),0)),"",IFERROR(SUMIFS(DATA_GOC!$H:$H,DATA_GOC!$A:$A,"BOM",DATA_GOC!$D:$D,$B324,DATA_GOC!$E:$E,"Dầu thủy lực",DATA_GOC!$F:$F,"Xuất nội bộ từ téc",DATA_GOC!$B:$B,DATE($D$2,$B$2,K$4)),0))</f>
        <v>0</v>
      </c>
      <c r="L324" s="251">
        <f>IF(L$4&gt;DAY(EOMONTH(DATE($D$2,$B$2,1),0)),"",IFERROR(SUMIFS(DATA_GOC!$H:$H,DATA_GOC!$A:$A,"BOM",DATA_GOC!$D:$D,$B324,DATA_GOC!$E:$E,"Dầu thủy lực",DATA_GOC!$F:$F,"Xuất nội bộ từ téc",DATA_GOC!$B:$B,DATE($D$2,$B$2,L$4)),0))</f>
        <v>0</v>
      </c>
      <c r="M324" s="251">
        <f>IF(M$4&gt;DAY(EOMONTH(DATE($D$2,$B$2,1),0)),"",IFERROR(SUMIFS(DATA_GOC!$H:$H,DATA_GOC!$A:$A,"BOM",DATA_GOC!$D:$D,$B324,DATA_GOC!$E:$E,"Dầu thủy lực",DATA_GOC!$F:$F,"Xuất nội bộ từ téc",DATA_GOC!$B:$B,DATE($D$2,$B$2,M$4)),0))</f>
        <v>0</v>
      </c>
      <c r="N324" s="251">
        <f>IF(N$4&gt;DAY(EOMONTH(DATE($D$2,$B$2,1),0)),"",IFERROR(SUMIFS(DATA_GOC!$H:$H,DATA_GOC!$A:$A,"BOM",DATA_GOC!$D:$D,$B324,DATA_GOC!$E:$E,"Dầu thủy lực",DATA_GOC!$F:$F,"Xuất nội bộ từ téc",DATA_GOC!$B:$B,DATE($D$2,$B$2,N$4)),0))</f>
        <v>0</v>
      </c>
      <c r="O324" s="251">
        <f>IF(O$4&gt;DAY(EOMONTH(DATE($D$2,$B$2,1),0)),"",IFERROR(SUMIFS(DATA_GOC!$H:$H,DATA_GOC!$A:$A,"BOM",DATA_GOC!$D:$D,$B324,DATA_GOC!$E:$E,"Dầu thủy lực",DATA_GOC!$F:$F,"Xuất nội bộ từ téc",DATA_GOC!$B:$B,DATE($D$2,$B$2,O$4)),0))</f>
        <v>0</v>
      </c>
      <c r="P324" s="251">
        <f>IF(P$4&gt;DAY(EOMONTH(DATE($D$2,$B$2,1),0)),"",IFERROR(SUMIFS(DATA_GOC!$H:$H,DATA_GOC!$A:$A,"BOM",DATA_GOC!$D:$D,$B324,DATA_GOC!$E:$E,"Dầu thủy lực",DATA_GOC!$F:$F,"Xuất nội bộ từ téc",DATA_GOC!$B:$B,DATE($D$2,$B$2,P$4)),0))</f>
        <v>0</v>
      </c>
      <c r="Q324" s="251">
        <f>IF(Q$4&gt;DAY(EOMONTH(DATE($D$2,$B$2,1),0)),"",IFERROR(SUMIFS(DATA_GOC!$H:$H,DATA_GOC!$A:$A,"BOM",DATA_GOC!$D:$D,$B324,DATA_GOC!$E:$E,"Dầu thủy lực",DATA_GOC!$F:$F,"Xuất nội bộ từ téc",DATA_GOC!$B:$B,DATE($D$2,$B$2,Q$4)),0))</f>
        <v>0</v>
      </c>
      <c r="R324" s="251">
        <f>IF(R$4&gt;DAY(EOMONTH(DATE($D$2,$B$2,1),0)),"",IFERROR(SUMIFS(DATA_GOC!$H:$H,DATA_GOC!$A:$A,"BOM",DATA_GOC!$D:$D,$B324,DATA_GOC!$E:$E,"Dầu thủy lực",DATA_GOC!$F:$F,"Xuất nội bộ từ téc",DATA_GOC!$B:$B,DATE($D$2,$B$2,R$4)),0))</f>
        <v>0</v>
      </c>
      <c r="S324" s="251">
        <f>IF(S$4&gt;DAY(EOMONTH(DATE($D$2,$B$2,1),0)),"",IFERROR(SUMIFS(DATA_GOC!$H:$H,DATA_GOC!$A:$A,"BOM",DATA_GOC!$D:$D,$B324,DATA_GOC!$E:$E,"Dầu thủy lực",DATA_GOC!$F:$F,"Xuất nội bộ từ téc",DATA_GOC!$B:$B,DATE($D$2,$B$2,S$4)),0))</f>
        <v>0</v>
      </c>
      <c r="T324" s="251">
        <f>IF(T$4&gt;DAY(EOMONTH(DATE($D$2,$B$2,1),0)),"",IFERROR(SUMIFS(DATA_GOC!$H:$H,DATA_GOC!$A:$A,"BOM",DATA_GOC!$D:$D,$B324,DATA_GOC!$E:$E,"Dầu thủy lực",DATA_GOC!$F:$F,"Xuất nội bộ từ téc",DATA_GOC!$B:$B,DATE($D$2,$B$2,T$4)),0))</f>
        <v>0</v>
      </c>
      <c r="U324" s="251">
        <f>IF(U$4&gt;DAY(EOMONTH(DATE($D$2,$B$2,1),0)),"",IFERROR(SUMIFS(DATA_GOC!$H:$H,DATA_GOC!$A:$A,"BOM",DATA_GOC!$D:$D,$B324,DATA_GOC!$E:$E,"Dầu thủy lực",DATA_GOC!$F:$F,"Xuất nội bộ từ téc",DATA_GOC!$B:$B,DATE($D$2,$B$2,U$4)),0))</f>
        <v>0</v>
      </c>
      <c r="V324" s="251">
        <f>IF(V$4&gt;DAY(EOMONTH(DATE($D$2,$B$2,1),0)),"",IFERROR(SUMIFS(DATA_GOC!$H:$H,DATA_GOC!$A:$A,"BOM",DATA_GOC!$D:$D,$B324,DATA_GOC!$E:$E,"Dầu thủy lực",DATA_GOC!$F:$F,"Xuất nội bộ từ téc",DATA_GOC!$B:$B,DATE($D$2,$B$2,V$4)),0))</f>
        <v>0</v>
      </c>
      <c r="W324" s="251">
        <f>IF(W$4&gt;DAY(EOMONTH(DATE($D$2,$B$2,1),0)),"",IFERROR(SUMIFS(DATA_GOC!$H:$H,DATA_GOC!$A:$A,"BOM",DATA_GOC!$D:$D,$B324,DATA_GOC!$E:$E,"Dầu thủy lực",DATA_GOC!$F:$F,"Xuất nội bộ từ téc",DATA_GOC!$B:$B,DATE($D$2,$B$2,W$4)),0))</f>
        <v>0</v>
      </c>
      <c r="X324" s="251">
        <f>IF(X$4&gt;DAY(EOMONTH(DATE($D$2,$B$2,1),0)),"",IFERROR(SUMIFS(DATA_GOC!$H:$H,DATA_GOC!$A:$A,"BOM",DATA_GOC!$D:$D,$B324,DATA_GOC!$E:$E,"Dầu thủy lực",DATA_GOC!$F:$F,"Xuất nội bộ từ téc",DATA_GOC!$B:$B,DATE($D$2,$B$2,X$4)),0))</f>
        <v>0</v>
      </c>
      <c r="Y324" s="251">
        <f>IF(Y$4&gt;DAY(EOMONTH(DATE($D$2,$B$2,1),0)),"",IFERROR(SUMIFS(DATA_GOC!$H:$H,DATA_GOC!$A:$A,"BOM",DATA_GOC!$D:$D,$B324,DATA_GOC!$E:$E,"Dầu thủy lực",DATA_GOC!$F:$F,"Xuất nội bộ từ téc",DATA_GOC!$B:$B,DATE($D$2,$B$2,Y$4)),0))</f>
        <v>0</v>
      </c>
      <c r="Z324" s="251">
        <f>IF(Z$4&gt;DAY(EOMONTH(DATE($D$2,$B$2,1),0)),"",IFERROR(SUMIFS(DATA_GOC!$H:$H,DATA_GOC!$A:$A,"BOM",DATA_GOC!$D:$D,$B324,DATA_GOC!$E:$E,"Dầu thủy lực",DATA_GOC!$F:$F,"Xuất nội bộ từ téc",DATA_GOC!$B:$B,DATE($D$2,$B$2,Z$4)),0))</f>
        <v>0</v>
      </c>
      <c r="AA324" s="251">
        <f>IF(AA$4&gt;DAY(EOMONTH(DATE($D$2,$B$2,1),0)),"",IFERROR(SUMIFS(DATA_GOC!$H:$H,DATA_GOC!$A:$A,"BOM",DATA_GOC!$D:$D,$B324,DATA_GOC!$E:$E,"Dầu thủy lực",DATA_GOC!$F:$F,"Xuất nội bộ từ téc",DATA_GOC!$B:$B,DATE($D$2,$B$2,AA$4)),0))</f>
        <v>0</v>
      </c>
      <c r="AB324" s="251">
        <f>IF(AB$4&gt;DAY(EOMONTH(DATE($D$2,$B$2,1),0)),"",IFERROR(SUMIFS(DATA_GOC!$H:$H,DATA_GOC!$A:$A,"BOM",DATA_GOC!$D:$D,$B324,DATA_GOC!$E:$E,"Dầu thủy lực",DATA_GOC!$F:$F,"Xuất nội bộ từ téc",DATA_GOC!$B:$B,DATE($D$2,$B$2,AB$4)),0))</f>
        <v>0</v>
      </c>
      <c r="AC324" s="251">
        <f>IF(AC$4&gt;DAY(EOMONTH(DATE($D$2,$B$2,1),0)),"",IFERROR(SUMIFS(DATA_GOC!$H:$H,DATA_GOC!$A:$A,"BOM",DATA_GOC!$D:$D,$B324,DATA_GOC!$E:$E,"Dầu thủy lực",DATA_GOC!$F:$F,"Xuất nội bộ từ téc",DATA_GOC!$B:$B,DATE($D$2,$B$2,AC$4)),0))</f>
        <v>0</v>
      </c>
      <c r="AD324" s="251">
        <f>IF(AD$4&gt;DAY(EOMONTH(DATE($D$2,$B$2,1),0)),"",IFERROR(SUMIFS(DATA_GOC!$H:$H,DATA_GOC!$A:$A,"BOM",DATA_GOC!$D:$D,$B324,DATA_GOC!$E:$E,"Dầu thủy lực",DATA_GOC!$F:$F,"Xuất nội bộ từ téc",DATA_GOC!$B:$B,DATE($D$2,$B$2,AD$4)),0))</f>
        <v>0</v>
      </c>
      <c r="AE324" s="251">
        <f>IF(AE$4&gt;DAY(EOMONTH(DATE($D$2,$B$2,1),0)),"",IFERROR(SUMIFS(DATA_GOC!$H:$H,DATA_GOC!$A:$A,"BOM",DATA_GOC!$D:$D,$B324,DATA_GOC!$E:$E,"Dầu thủy lực",DATA_GOC!$F:$F,"Xuất nội bộ từ téc",DATA_GOC!$B:$B,DATE($D$2,$B$2,AE$4)),0))</f>
        <v>0</v>
      </c>
      <c r="AF324" s="251">
        <f>IF(AF$4&gt;DAY(EOMONTH(DATE($D$2,$B$2,1),0)),"",IFERROR(SUMIFS(DATA_GOC!$H:$H,DATA_GOC!$A:$A,"BOM",DATA_GOC!$D:$D,$B324,DATA_GOC!$E:$E,"Dầu thủy lực",DATA_GOC!$F:$F,"Xuất nội bộ từ téc",DATA_GOC!$B:$B,DATE($D$2,$B$2,AF$4)),0))</f>
        <v>0</v>
      </c>
      <c r="AG324" s="251">
        <f>IF(AG$4&gt;DAY(EOMONTH(DATE($D$2,$B$2,1),0)),"",IFERROR(SUMIFS(DATA_GOC!$H:$H,DATA_GOC!$A:$A,"BOM",DATA_GOC!$D:$D,$B324,DATA_GOC!$E:$E,"Dầu thủy lực",DATA_GOC!$F:$F,"Xuất nội bộ từ téc",DATA_GOC!$B:$B,DATE($D$2,$B$2,AG$4)),0))</f>
        <v>0</v>
      </c>
      <c r="AH324" s="252">
        <f t="shared" si="16"/>
        <v>0</v>
      </c>
      <c r="AI324" s="241"/>
      <c r="AJ324" s="242">
        <f>IF($B324="","",SUMIFS(TINH_TEC!$K$233:$K$9232,TINH_TEC!$H$233:$H$9232,$B324,TINH_TEC!$C$233:$C$9232,"Dầu thủy lực",TINH_TEC!$F$233:$F$9232,$B$2,TINH_TEC!$G$233:$G$9232,$D$2,TINH_TEC!$B$233:$B$9232,"Đã chốt"))</f>
        <v>0</v>
      </c>
      <c r="AK324" s="242">
        <f>IF($B324="","",SUMIFS(TINH_TEC!$J$233:$J$9232,TINH_TEC!$H$233:$H$9232,$B324,TINH_TEC!$C$233:$C$9232,"Dầu thủy lực",TINH_TEC!$F$233:$F$9232,$B$2,TINH_TEC!$G$233:$G$9232,$D$2,TINH_TEC!$B$233:$B$9232,"Đã chốt"))</f>
        <v>0</v>
      </c>
      <c r="AL324" s="242">
        <f t="shared" si="17"/>
        <v>0</v>
      </c>
    </row>
    <row r="325" ht="15.75" customHeight="1">
      <c r="A325" s="237">
        <f>IF($B325&lt;&gt;"",15,"")</f>
        <v>15</v>
      </c>
      <c r="B325" s="250" t="str">
        <f t="array" ref="B325">IFERROR(INDEX(DANH_MUC!$E:$E,18),"")</f>
        <v>28C02770</v>
      </c>
      <c r="C325" s="251">
        <f>IF(C$4&gt;DAY(EOMONTH(DATE($D$2,$B$2,1),0)),"",IFERROR(SUMIFS(DATA_GOC!$H:$H,DATA_GOC!$A:$A,"BOM",DATA_GOC!$D:$D,$B325,DATA_GOC!$E:$E,"Dầu thủy lực",DATA_GOC!$F:$F,"Xuất nội bộ từ téc",DATA_GOC!$B:$B,DATE($D$2,$B$2,C$4)),0))</f>
        <v>0</v>
      </c>
      <c r="D325" s="251">
        <f>IF(D$4&gt;DAY(EOMONTH(DATE($D$2,$B$2,1),0)),"",IFERROR(SUMIFS(DATA_GOC!$H:$H,DATA_GOC!$A:$A,"BOM",DATA_GOC!$D:$D,$B325,DATA_GOC!$E:$E,"Dầu thủy lực",DATA_GOC!$F:$F,"Xuất nội bộ từ téc",DATA_GOC!$B:$B,DATE($D$2,$B$2,D$4)),0))</f>
        <v>0</v>
      </c>
      <c r="E325" s="251">
        <f>IF(E$4&gt;DAY(EOMONTH(DATE($D$2,$B$2,1),0)),"",IFERROR(SUMIFS(DATA_GOC!$H:$H,DATA_GOC!$A:$A,"BOM",DATA_GOC!$D:$D,$B325,DATA_GOC!$E:$E,"Dầu thủy lực",DATA_GOC!$F:$F,"Xuất nội bộ từ téc",DATA_GOC!$B:$B,DATE($D$2,$B$2,E$4)),0))</f>
        <v>0</v>
      </c>
      <c r="F325" s="251">
        <f>IF(F$4&gt;DAY(EOMONTH(DATE($D$2,$B$2,1),0)),"",IFERROR(SUMIFS(DATA_GOC!$H:$H,DATA_GOC!$A:$A,"BOM",DATA_GOC!$D:$D,$B325,DATA_GOC!$E:$E,"Dầu thủy lực",DATA_GOC!$F:$F,"Xuất nội bộ từ téc",DATA_GOC!$B:$B,DATE($D$2,$B$2,F$4)),0))</f>
        <v>0</v>
      </c>
      <c r="G325" s="251">
        <f>IF(G$4&gt;DAY(EOMONTH(DATE($D$2,$B$2,1),0)),"",IFERROR(SUMIFS(DATA_GOC!$H:$H,DATA_GOC!$A:$A,"BOM",DATA_GOC!$D:$D,$B325,DATA_GOC!$E:$E,"Dầu thủy lực",DATA_GOC!$F:$F,"Xuất nội bộ từ téc",DATA_GOC!$B:$B,DATE($D$2,$B$2,G$4)),0))</f>
        <v>0</v>
      </c>
      <c r="H325" s="251">
        <f>IF(H$4&gt;DAY(EOMONTH(DATE($D$2,$B$2,1),0)),"",IFERROR(SUMIFS(DATA_GOC!$H:$H,DATA_GOC!$A:$A,"BOM",DATA_GOC!$D:$D,$B325,DATA_GOC!$E:$E,"Dầu thủy lực",DATA_GOC!$F:$F,"Xuất nội bộ từ téc",DATA_GOC!$B:$B,DATE($D$2,$B$2,H$4)),0))</f>
        <v>0</v>
      </c>
      <c r="I325" s="251">
        <f>IF(I$4&gt;DAY(EOMONTH(DATE($D$2,$B$2,1),0)),"",IFERROR(SUMIFS(DATA_GOC!$H:$H,DATA_GOC!$A:$A,"BOM",DATA_GOC!$D:$D,$B325,DATA_GOC!$E:$E,"Dầu thủy lực",DATA_GOC!$F:$F,"Xuất nội bộ từ téc",DATA_GOC!$B:$B,DATE($D$2,$B$2,I$4)),0))</f>
        <v>0</v>
      </c>
      <c r="J325" s="251">
        <f>IF(J$4&gt;DAY(EOMONTH(DATE($D$2,$B$2,1),0)),"",IFERROR(SUMIFS(DATA_GOC!$H:$H,DATA_GOC!$A:$A,"BOM",DATA_GOC!$D:$D,$B325,DATA_GOC!$E:$E,"Dầu thủy lực",DATA_GOC!$F:$F,"Xuất nội bộ từ téc",DATA_GOC!$B:$B,DATE($D$2,$B$2,J$4)),0))</f>
        <v>0</v>
      </c>
      <c r="K325" s="251">
        <f>IF(K$4&gt;DAY(EOMONTH(DATE($D$2,$B$2,1),0)),"",IFERROR(SUMIFS(DATA_GOC!$H:$H,DATA_GOC!$A:$A,"BOM",DATA_GOC!$D:$D,$B325,DATA_GOC!$E:$E,"Dầu thủy lực",DATA_GOC!$F:$F,"Xuất nội bộ từ téc",DATA_GOC!$B:$B,DATE($D$2,$B$2,K$4)),0))</f>
        <v>0</v>
      </c>
      <c r="L325" s="251">
        <f>IF(L$4&gt;DAY(EOMONTH(DATE($D$2,$B$2,1),0)),"",IFERROR(SUMIFS(DATA_GOC!$H:$H,DATA_GOC!$A:$A,"BOM",DATA_GOC!$D:$D,$B325,DATA_GOC!$E:$E,"Dầu thủy lực",DATA_GOC!$F:$F,"Xuất nội bộ từ téc",DATA_GOC!$B:$B,DATE($D$2,$B$2,L$4)),0))</f>
        <v>0</v>
      </c>
      <c r="M325" s="251">
        <f>IF(M$4&gt;DAY(EOMONTH(DATE($D$2,$B$2,1),0)),"",IFERROR(SUMIFS(DATA_GOC!$H:$H,DATA_GOC!$A:$A,"BOM",DATA_GOC!$D:$D,$B325,DATA_GOC!$E:$E,"Dầu thủy lực",DATA_GOC!$F:$F,"Xuất nội bộ từ téc",DATA_GOC!$B:$B,DATE($D$2,$B$2,M$4)),0))</f>
        <v>0</v>
      </c>
      <c r="N325" s="251">
        <f>IF(N$4&gt;DAY(EOMONTH(DATE($D$2,$B$2,1),0)),"",IFERROR(SUMIFS(DATA_GOC!$H:$H,DATA_GOC!$A:$A,"BOM",DATA_GOC!$D:$D,$B325,DATA_GOC!$E:$E,"Dầu thủy lực",DATA_GOC!$F:$F,"Xuất nội bộ từ téc",DATA_GOC!$B:$B,DATE($D$2,$B$2,N$4)),0))</f>
        <v>0</v>
      </c>
      <c r="O325" s="251">
        <f>IF(O$4&gt;DAY(EOMONTH(DATE($D$2,$B$2,1),0)),"",IFERROR(SUMIFS(DATA_GOC!$H:$H,DATA_GOC!$A:$A,"BOM",DATA_GOC!$D:$D,$B325,DATA_GOC!$E:$E,"Dầu thủy lực",DATA_GOC!$F:$F,"Xuất nội bộ từ téc",DATA_GOC!$B:$B,DATE($D$2,$B$2,O$4)),0))</f>
        <v>0</v>
      </c>
      <c r="P325" s="251">
        <f>IF(P$4&gt;DAY(EOMONTH(DATE($D$2,$B$2,1),0)),"",IFERROR(SUMIFS(DATA_GOC!$H:$H,DATA_GOC!$A:$A,"BOM",DATA_GOC!$D:$D,$B325,DATA_GOC!$E:$E,"Dầu thủy lực",DATA_GOC!$F:$F,"Xuất nội bộ từ téc",DATA_GOC!$B:$B,DATE($D$2,$B$2,P$4)),0))</f>
        <v>0</v>
      </c>
      <c r="Q325" s="251">
        <f>IF(Q$4&gt;DAY(EOMONTH(DATE($D$2,$B$2,1),0)),"",IFERROR(SUMIFS(DATA_GOC!$H:$H,DATA_GOC!$A:$A,"BOM",DATA_GOC!$D:$D,$B325,DATA_GOC!$E:$E,"Dầu thủy lực",DATA_GOC!$F:$F,"Xuất nội bộ từ téc",DATA_GOC!$B:$B,DATE($D$2,$B$2,Q$4)),0))</f>
        <v>0</v>
      </c>
      <c r="R325" s="251">
        <f>IF(R$4&gt;DAY(EOMONTH(DATE($D$2,$B$2,1),0)),"",IFERROR(SUMIFS(DATA_GOC!$H:$H,DATA_GOC!$A:$A,"BOM",DATA_GOC!$D:$D,$B325,DATA_GOC!$E:$E,"Dầu thủy lực",DATA_GOC!$F:$F,"Xuất nội bộ từ téc",DATA_GOC!$B:$B,DATE($D$2,$B$2,R$4)),0))</f>
        <v>0</v>
      </c>
      <c r="S325" s="251">
        <f>IF(S$4&gt;DAY(EOMONTH(DATE($D$2,$B$2,1),0)),"",IFERROR(SUMIFS(DATA_GOC!$H:$H,DATA_GOC!$A:$A,"BOM",DATA_GOC!$D:$D,$B325,DATA_GOC!$E:$E,"Dầu thủy lực",DATA_GOC!$F:$F,"Xuất nội bộ từ téc",DATA_GOC!$B:$B,DATE($D$2,$B$2,S$4)),0))</f>
        <v>0</v>
      </c>
      <c r="T325" s="251">
        <f>IF(T$4&gt;DAY(EOMONTH(DATE($D$2,$B$2,1),0)),"",IFERROR(SUMIFS(DATA_GOC!$H:$H,DATA_GOC!$A:$A,"BOM",DATA_GOC!$D:$D,$B325,DATA_GOC!$E:$E,"Dầu thủy lực",DATA_GOC!$F:$F,"Xuất nội bộ từ téc",DATA_GOC!$B:$B,DATE($D$2,$B$2,T$4)),0))</f>
        <v>0</v>
      </c>
      <c r="U325" s="251">
        <f>IF(U$4&gt;DAY(EOMONTH(DATE($D$2,$B$2,1),0)),"",IFERROR(SUMIFS(DATA_GOC!$H:$H,DATA_GOC!$A:$A,"BOM",DATA_GOC!$D:$D,$B325,DATA_GOC!$E:$E,"Dầu thủy lực",DATA_GOC!$F:$F,"Xuất nội bộ từ téc",DATA_GOC!$B:$B,DATE($D$2,$B$2,U$4)),0))</f>
        <v>0</v>
      </c>
      <c r="V325" s="251">
        <f>IF(V$4&gt;DAY(EOMONTH(DATE($D$2,$B$2,1),0)),"",IFERROR(SUMIFS(DATA_GOC!$H:$H,DATA_GOC!$A:$A,"BOM",DATA_GOC!$D:$D,$B325,DATA_GOC!$E:$E,"Dầu thủy lực",DATA_GOC!$F:$F,"Xuất nội bộ từ téc",DATA_GOC!$B:$B,DATE($D$2,$B$2,V$4)),0))</f>
        <v>0</v>
      </c>
      <c r="W325" s="251">
        <f>IF(W$4&gt;DAY(EOMONTH(DATE($D$2,$B$2,1),0)),"",IFERROR(SUMIFS(DATA_GOC!$H:$H,DATA_GOC!$A:$A,"BOM",DATA_GOC!$D:$D,$B325,DATA_GOC!$E:$E,"Dầu thủy lực",DATA_GOC!$F:$F,"Xuất nội bộ từ téc",DATA_GOC!$B:$B,DATE($D$2,$B$2,W$4)),0))</f>
        <v>0</v>
      </c>
      <c r="X325" s="251">
        <f>IF(X$4&gt;DAY(EOMONTH(DATE($D$2,$B$2,1),0)),"",IFERROR(SUMIFS(DATA_GOC!$H:$H,DATA_GOC!$A:$A,"BOM",DATA_GOC!$D:$D,$B325,DATA_GOC!$E:$E,"Dầu thủy lực",DATA_GOC!$F:$F,"Xuất nội bộ từ téc",DATA_GOC!$B:$B,DATE($D$2,$B$2,X$4)),0))</f>
        <v>0</v>
      </c>
      <c r="Y325" s="251">
        <f>IF(Y$4&gt;DAY(EOMONTH(DATE($D$2,$B$2,1),0)),"",IFERROR(SUMIFS(DATA_GOC!$H:$H,DATA_GOC!$A:$A,"BOM",DATA_GOC!$D:$D,$B325,DATA_GOC!$E:$E,"Dầu thủy lực",DATA_GOC!$F:$F,"Xuất nội bộ từ téc",DATA_GOC!$B:$B,DATE($D$2,$B$2,Y$4)),0))</f>
        <v>0</v>
      </c>
      <c r="Z325" s="251">
        <f>IF(Z$4&gt;DAY(EOMONTH(DATE($D$2,$B$2,1),0)),"",IFERROR(SUMIFS(DATA_GOC!$H:$H,DATA_GOC!$A:$A,"BOM",DATA_GOC!$D:$D,$B325,DATA_GOC!$E:$E,"Dầu thủy lực",DATA_GOC!$F:$F,"Xuất nội bộ từ téc",DATA_GOC!$B:$B,DATE($D$2,$B$2,Z$4)),0))</f>
        <v>0</v>
      </c>
      <c r="AA325" s="251">
        <f>IF(AA$4&gt;DAY(EOMONTH(DATE($D$2,$B$2,1),0)),"",IFERROR(SUMIFS(DATA_GOC!$H:$H,DATA_GOC!$A:$A,"BOM",DATA_GOC!$D:$D,$B325,DATA_GOC!$E:$E,"Dầu thủy lực",DATA_GOC!$F:$F,"Xuất nội bộ từ téc",DATA_GOC!$B:$B,DATE($D$2,$B$2,AA$4)),0))</f>
        <v>0</v>
      </c>
      <c r="AB325" s="251">
        <f>IF(AB$4&gt;DAY(EOMONTH(DATE($D$2,$B$2,1),0)),"",IFERROR(SUMIFS(DATA_GOC!$H:$H,DATA_GOC!$A:$A,"BOM",DATA_GOC!$D:$D,$B325,DATA_GOC!$E:$E,"Dầu thủy lực",DATA_GOC!$F:$F,"Xuất nội bộ từ téc",DATA_GOC!$B:$B,DATE($D$2,$B$2,AB$4)),0))</f>
        <v>0</v>
      </c>
      <c r="AC325" s="251">
        <f>IF(AC$4&gt;DAY(EOMONTH(DATE($D$2,$B$2,1),0)),"",IFERROR(SUMIFS(DATA_GOC!$H:$H,DATA_GOC!$A:$A,"BOM",DATA_GOC!$D:$D,$B325,DATA_GOC!$E:$E,"Dầu thủy lực",DATA_GOC!$F:$F,"Xuất nội bộ từ téc",DATA_GOC!$B:$B,DATE($D$2,$B$2,AC$4)),0))</f>
        <v>0</v>
      </c>
      <c r="AD325" s="251">
        <f>IF(AD$4&gt;DAY(EOMONTH(DATE($D$2,$B$2,1),0)),"",IFERROR(SUMIFS(DATA_GOC!$H:$H,DATA_GOC!$A:$A,"BOM",DATA_GOC!$D:$D,$B325,DATA_GOC!$E:$E,"Dầu thủy lực",DATA_GOC!$F:$F,"Xuất nội bộ từ téc",DATA_GOC!$B:$B,DATE($D$2,$B$2,AD$4)),0))</f>
        <v>0</v>
      </c>
      <c r="AE325" s="251">
        <f>IF(AE$4&gt;DAY(EOMONTH(DATE($D$2,$B$2,1),0)),"",IFERROR(SUMIFS(DATA_GOC!$H:$H,DATA_GOC!$A:$A,"BOM",DATA_GOC!$D:$D,$B325,DATA_GOC!$E:$E,"Dầu thủy lực",DATA_GOC!$F:$F,"Xuất nội bộ từ téc",DATA_GOC!$B:$B,DATE($D$2,$B$2,AE$4)),0))</f>
        <v>0</v>
      </c>
      <c r="AF325" s="251">
        <f>IF(AF$4&gt;DAY(EOMONTH(DATE($D$2,$B$2,1),0)),"",IFERROR(SUMIFS(DATA_GOC!$H:$H,DATA_GOC!$A:$A,"BOM",DATA_GOC!$D:$D,$B325,DATA_GOC!$E:$E,"Dầu thủy lực",DATA_GOC!$F:$F,"Xuất nội bộ từ téc",DATA_GOC!$B:$B,DATE($D$2,$B$2,AF$4)),0))</f>
        <v>0</v>
      </c>
      <c r="AG325" s="251">
        <f>IF(AG$4&gt;DAY(EOMONTH(DATE($D$2,$B$2,1),0)),"",IFERROR(SUMIFS(DATA_GOC!$H:$H,DATA_GOC!$A:$A,"BOM",DATA_GOC!$D:$D,$B325,DATA_GOC!$E:$E,"Dầu thủy lực",DATA_GOC!$F:$F,"Xuất nội bộ từ téc",DATA_GOC!$B:$B,DATE($D$2,$B$2,AG$4)),0))</f>
        <v>0</v>
      </c>
      <c r="AH325" s="252">
        <f t="shared" si="16"/>
        <v>0</v>
      </c>
      <c r="AI325" s="241"/>
      <c r="AJ325" s="242">
        <f>IF($B325="","",SUMIFS(TINH_TEC!$K$233:$K$9232,TINH_TEC!$H$233:$H$9232,$B325,TINH_TEC!$C$233:$C$9232,"Dầu thủy lực",TINH_TEC!$F$233:$F$9232,$B$2,TINH_TEC!$G$233:$G$9232,$D$2,TINH_TEC!$B$233:$B$9232,"Đã chốt"))</f>
        <v>0</v>
      </c>
      <c r="AK325" s="242">
        <f>IF($B325="","",SUMIFS(TINH_TEC!$J$233:$J$9232,TINH_TEC!$H$233:$H$9232,$B325,TINH_TEC!$C$233:$C$9232,"Dầu thủy lực",TINH_TEC!$F$233:$F$9232,$B$2,TINH_TEC!$G$233:$G$9232,$D$2,TINH_TEC!$B$233:$B$9232,"Đã chốt"))</f>
        <v>0</v>
      </c>
      <c r="AL325" s="242">
        <f t="shared" si="17"/>
        <v>0</v>
      </c>
    </row>
    <row r="326" ht="15.75" customHeight="1">
      <c r="A326" s="237">
        <f>IF($B326&lt;&gt;"",16,"")</f>
        <v>16</v>
      </c>
      <c r="B326" s="250" t="str">
        <f t="array" ref="B326">IFERROR(INDEX(DANH_MUC!$E:$E,19),"")</f>
        <v>28C02986</v>
      </c>
      <c r="C326" s="251">
        <f>IF(C$4&gt;DAY(EOMONTH(DATE($D$2,$B$2,1),0)),"",IFERROR(SUMIFS(DATA_GOC!$H:$H,DATA_GOC!$A:$A,"BOM",DATA_GOC!$D:$D,$B326,DATA_GOC!$E:$E,"Dầu thủy lực",DATA_GOC!$F:$F,"Xuất nội bộ từ téc",DATA_GOC!$B:$B,DATE($D$2,$B$2,C$4)),0))</f>
        <v>0</v>
      </c>
      <c r="D326" s="251">
        <f>IF(D$4&gt;DAY(EOMONTH(DATE($D$2,$B$2,1),0)),"",IFERROR(SUMIFS(DATA_GOC!$H:$H,DATA_GOC!$A:$A,"BOM",DATA_GOC!$D:$D,$B326,DATA_GOC!$E:$E,"Dầu thủy lực",DATA_GOC!$F:$F,"Xuất nội bộ từ téc",DATA_GOC!$B:$B,DATE($D$2,$B$2,D$4)),0))</f>
        <v>0</v>
      </c>
      <c r="E326" s="251">
        <f>IF(E$4&gt;DAY(EOMONTH(DATE($D$2,$B$2,1),0)),"",IFERROR(SUMIFS(DATA_GOC!$H:$H,DATA_GOC!$A:$A,"BOM",DATA_GOC!$D:$D,$B326,DATA_GOC!$E:$E,"Dầu thủy lực",DATA_GOC!$F:$F,"Xuất nội bộ từ téc",DATA_GOC!$B:$B,DATE($D$2,$B$2,E$4)),0))</f>
        <v>0</v>
      </c>
      <c r="F326" s="251">
        <f>IF(F$4&gt;DAY(EOMONTH(DATE($D$2,$B$2,1),0)),"",IFERROR(SUMIFS(DATA_GOC!$H:$H,DATA_GOC!$A:$A,"BOM",DATA_GOC!$D:$D,$B326,DATA_GOC!$E:$E,"Dầu thủy lực",DATA_GOC!$F:$F,"Xuất nội bộ từ téc",DATA_GOC!$B:$B,DATE($D$2,$B$2,F$4)),0))</f>
        <v>0</v>
      </c>
      <c r="G326" s="251">
        <f>IF(G$4&gt;DAY(EOMONTH(DATE($D$2,$B$2,1),0)),"",IFERROR(SUMIFS(DATA_GOC!$H:$H,DATA_GOC!$A:$A,"BOM",DATA_GOC!$D:$D,$B326,DATA_GOC!$E:$E,"Dầu thủy lực",DATA_GOC!$F:$F,"Xuất nội bộ từ téc",DATA_GOC!$B:$B,DATE($D$2,$B$2,G$4)),0))</f>
        <v>0</v>
      </c>
      <c r="H326" s="251">
        <f>IF(H$4&gt;DAY(EOMONTH(DATE($D$2,$B$2,1),0)),"",IFERROR(SUMIFS(DATA_GOC!$H:$H,DATA_GOC!$A:$A,"BOM",DATA_GOC!$D:$D,$B326,DATA_GOC!$E:$E,"Dầu thủy lực",DATA_GOC!$F:$F,"Xuất nội bộ từ téc",DATA_GOC!$B:$B,DATE($D$2,$B$2,H$4)),0))</f>
        <v>0</v>
      </c>
      <c r="I326" s="251">
        <f>IF(I$4&gt;DAY(EOMONTH(DATE($D$2,$B$2,1),0)),"",IFERROR(SUMIFS(DATA_GOC!$H:$H,DATA_GOC!$A:$A,"BOM",DATA_GOC!$D:$D,$B326,DATA_GOC!$E:$E,"Dầu thủy lực",DATA_GOC!$F:$F,"Xuất nội bộ từ téc",DATA_GOC!$B:$B,DATE($D$2,$B$2,I$4)),0))</f>
        <v>0</v>
      </c>
      <c r="J326" s="251">
        <f>IF(J$4&gt;DAY(EOMONTH(DATE($D$2,$B$2,1),0)),"",IFERROR(SUMIFS(DATA_GOC!$H:$H,DATA_GOC!$A:$A,"BOM",DATA_GOC!$D:$D,$B326,DATA_GOC!$E:$E,"Dầu thủy lực",DATA_GOC!$F:$F,"Xuất nội bộ từ téc",DATA_GOC!$B:$B,DATE($D$2,$B$2,J$4)),0))</f>
        <v>0</v>
      </c>
      <c r="K326" s="251">
        <f>IF(K$4&gt;DAY(EOMONTH(DATE($D$2,$B$2,1),0)),"",IFERROR(SUMIFS(DATA_GOC!$H:$H,DATA_GOC!$A:$A,"BOM",DATA_GOC!$D:$D,$B326,DATA_GOC!$E:$E,"Dầu thủy lực",DATA_GOC!$F:$F,"Xuất nội bộ từ téc",DATA_GOC!$B:$B,DATE($D$2,$B$2,K$4)),0))</f>
        <v>0</v>
      </c>
      <c r="L326" s="251">
        <f>IF(L$4&gt;DAY(EOMONTH(DATE($D$2,$B$2,1),0)),"",IFERROR(SUMIFS(DATA_GOC!$H:$H,DATA_GOC!$A:$A,"BOM",DATA_GOC!$D:$D,$B326,DATA_GOC!$E:$E,"Dầu thủy lực",DATA_GOC!$F:$F,"Xuất nội bộ từ téc",DATA_GOC!$B:$B,DATE($D$2,$B$2,L$4)),0))</f>
        <v>0</v>
      </c>
      <c r="M326" s="251">
        <f>IF(M$4&gt;DAY(EOMONTH(DATE($D$2,$B$2,1),0)),"",IFERROR(SUMIFS(DATA_GOC!$H:$H,DATA_GOC!$A:$A,"BOM",DATA_GOC!$D:$D,$B326,DATA_GOC!$E:$E,"Dầu thủy lực",DATA_GOC!$F:$F,"Xuất nội bộ từ téc",DATA_GOC!$B:$B,DATE($D$2,$B$2,M$4)),0))</f>
        <v>0</v>
      </c>
      <c r="N326" s="251">
        <f>IF(N$4&gt;DAY(EOMONTH(DATE($D$2,$B$2,1),0)),"",IFERROR(SUMIFS(DATA_GOC!$H:$H,DATA_GOC!$A:$A,"BOM",DATA_GOC!$D:$D,$B326,DATA_GOC!$E:$E,"Dầu thủy lực",DATA_GOC!$F:$F,"Xuất nội bộ từ téc",DATA_GOC!$B:$B,DATE($D$2,$B$2,N$4)),0))</f>
        <v>0</v>
      </c>
      <c r="O326" s="251">
        <f>IF(O$4&gt;DAY(EOMONTH(DATE($D$2,$B$2,1),0)),"",IFERROR(SUMIFS(DATA_GOC!$H:$H,DATA_GOC!$A:$A,"BOM",DATA_GOC!$D:$D,$B326,DATA_GOC!$E:$E,"Dầu thủy lực",DATA_GOC!$F:$F,"Xuất nội bộ từ téc",DATA_GOC!$B:$B,DATE($D$2,$B$2,O$4)),0))</f>
        <v>0</v>
      </c>
      <c r="P326" s="251">
        <f>IF(P$4&gt;DAY(EOMONTH(DATE($D$2,$B$2,1),0)),"",IFERROR(SUMIFS(DATA_GOC!$H:$H,DATA_GOC!$A:$A,"BOM",DATA_GOC!$D:$D,$B326,DATA_GOC!$E:$E,"Dầu thủy lực",DATA_GOC!$F:$F,"Xuất nội bộ từ téc",DATA_GOC!$B:$B,DATE($D$2,$B$2,P$4)),0))</f>
        <v>0</v>
      </c>
      <c r="Q326" s="251">
        <f>IF(Q$4&gt;DAY(EOMONTH(DATE($D$2,$B$2,1),0)),"",IFERROR(SUMIFS(DATA_GOC!$H:$H,DATA_GOC!$A:$A,"BOM",DATA_GOC!$D:$D,$B326,DATA_GOC!$E:$E,"Dầu thủy lực",DATA_GOC!$F:$F,"Xuất nội bộ từ téc",DATA_GOC!$B:$B,DATE($D$2,$B$2,Q$4)),0))</f>
        <v>0</v>
      </c>
      <c r="R326" s="251">
        <f>IF(R$4&gt;DAY(EOMONTH(DATE($D$2,$B$2,1),0)),"",IFERROR(SUMIFS(DATA_GOC!$H:$H,DATA_GOC!$A:$A,"BOM",DATA_GOC!$D:$D,$B326,DATA_GOC!$E:$E,"Dầu thủy lực",DATA_GOC!$F:$F,"Xuất nội bộ từ téc",DATA_GOC!$B:$B,DATE($D$2,$B$2,R$4)),0))</f>
        <v>0</v>
      </c>
      <c r="S326" s="251">
        <f>IF(S$4&gt;DAY(EOMONTH(DATE($D$2,$B$2,1),0)),"",IFERROR(SUMIFS(DATA_GOC!$H:$H,DATA_GOC!$A:$A,"BOM",DATA_GOC!$D:$D,$B326,DATA_GOC!$E:$E,"Dầu thủy lực",DATA_GOC!$F:$F,"Xuất nội bộ từ téc",DATA_GOC!$B:$B,DATE($D$2,$B$2,S$4)),0))</f>
        <v>0</v>
      </c>
      <c r="T326" s="251">
        <f>IF(T$4&gt;DAY(EOMONTH(DATE($D$2,$B$2,1),0)),"",IFERROR(SUMIFS(DATA_GOC!$H:$H,DATA_GOC!$A:$A,"BOM",DATA_GOC!$D:$D,$B326,DATA_GOC!$E:$E,"Dầu thủy lực",DATA_GOC!$F:$F,"Xuất nội bộ từ téc",DATA_GOC!$B:$B,DATE($D$2,$B$2,T$4)),0))</f>
        <v>0</v>
      </c>
      <c r="U326" s="251">
        <f>IF(U$4&gt;DAY(EOMONTH(DATE($D$2,$B$2,1),0)),"",IFERROR(SUMIFS(DATA_GOC!$H:$H,DATA_GOC!$A:$A,"BOM",DATA_GOC!$D:$D,$B326,DATA_GOC!$E:$E,"Dầu thủy lực",DATA_GOC!$F:$F,"Xuất nội bộ từ téc",DATA_GOC!$B:$B,DATE($D$2,$B$2,U$4)),0))</f>
        <v>0</v>
      </c>
      <c r="V326" s="251">
        <f>IF(V$4&gt;DAY(EOMONTH(DATE($D$2,$B$2,1),0)),"",IFERROR(SUMIFS(DATA_GOC!$H:$H,DATA_GOC!$A:$A,"BOM",DATA_GOC!$D:$D,$B326,DATA_GOC!$E:$E,"Dầu thủy lực",DATA_GOC!$F:$F,"Xuất nội bộ từ téc",DATA_GOC!$B:$B,DATE($D$2,$B$2,V$4)),0))</f>
        <v>0</v>
      </c>
      <c r="W326" s="251">
        <f>IF(W$4&gt;DAY(EOMONTH(DATE($D$2,$B$2,1),0)),"",IFERROR(SUMIFS(DATA_GOC!$H:$H,DATA_GOC!$A:$A,"BOM",DATA_GOC!$D:$D,$B326,DATA_GOC!$E:$E,"Dầu thủy lực",DATA_GOC!$F:$F,"Xuất nội bộ từ téc",DATA_GOC!$B:$B,DATE($D$2,$B$2,W$4)),0))</f>
        <v>0</v>
      </c>
      <c r="X326" s="251">
        <f>IF(X$4&gt;DAY(EOMONTH(DATE($D$2,$B$2,1),0)),"",IFERROR(SUMIFS(DATA_GOC!$H:$H,DATA_GOC!$A:$A,"BOM",DATA_GOC!$D:$D,$B326,DATA_GOC!$E:$E,"Dầu thủy lực",DATA_GOC!$F:$F,"Xuất nội bộ từ téc",DATA_GOC!$B:$B,DATE($D$2,$B$2,X$4)),0))</f>
        <v>0</v>
      </c>
      <c r="Y326" s="251">
        <f>IF(Y$4&gt;DAY(EOMONTH(DATE($D$2,$B$2,1),0)),"",IFERROR(SUMIFS(DATA_GOC!$H:$H,DATA_GOC!$A:$A,"BOM",DATA_GOC!$D:$D,$B326,DATA_GOC!$E:$E,"Dầu thủy lực",DATA_GOC!$F:$F,"Xuất nội bộ từ téc",DATA_GOC!$B:$B,DATE($D$2,$B$2,Y$4)),0))</f>
        <v>0</v>
      </c>
      <c r="Z326" s="251">
        <f>IF(Z$4&gt;DAY(EOMONTH(DATE($D$2,$B$2,1),0)),"",IFERROR(SUMIFS(DATA_GOC!$H:$H,DATA_GOC!$A:$A,"BOM",DATA_GOC!$D:$D,$B326,DATA_GOC!$E:$E,"Dầu thủy lực",DATA_GOC!$F:$F,"Xuất nội bộ từ téc",DATA_GOC!$B:$B,DATE($D$2,$B$2,Z$4)),0))</f>
        <v>0</v>
      </c>
      <c r="AA326" s="251">
        <f>IF(AA$4&gt;DAY(EOMONTH(DATE($D$2,$B$2,1),0)),"",IFERROR(SUMIFS(DATA_GOC!$H:$H,DATA_GOC!$A:$A,"BOM",DATA_GOC!$D:$D,$B326,DATA_GOC!$E:$E,"Dầu thủy lực",DATA_GOC!$F:$F,"Xuất nội bộ từ téc",DATA_GOC!$B:$B,DATE($D$2,$B$2,AA$4)),0))</f>
        <v>0</v>
      </c>
      <c r="AB326" s="251">
        <f>IF(AB$4&gt;DAY(EOMONTH(DATE($D$2,$B$2,1),0)),"",IFERROR(SUMIFS(DATA_GOC!$H:$H,DATA_GOC!$A:$A,"BOM",DATA_GOC!$D:$D,$B326,DATA_GOC!$E:$E,"Dầu thủy lực",DATA_GOC!$F:$F,"Xuất nội bộ từ téc",DATA_GOC!$B:$B,DATE($D$2,$B$2,AB$4)),0))</f>
        <v>0</v>
      </c>
      <c r="AC326" s="251">
        <f>IF(AC$4&gt;DAY(EOMONTH(DATE($D$2,$B$2,1),0)),"",IFERROR(SUMIFS(DATA_GOC!$H:$H,DATA_GOC!$A:$A,"BOM",DATA_GOC!$D:$D,$B326,DATA_GOC!$E:$E,"Dầu thủy lực",DATA_GOC!$F:$F,"Xuất nội bộ từ téc",DATA_GOC!$B:$B,DATE($D$2,$B$2,AC$4)),0))</f>
        <v>0</v>
      </c>
      <c r="AD326" s="251">
        <f>IF(AD$4&gt;DAY(EOMONTH(DATE($D$2,$B$2,1),0)),"",IFERROR(SUMIFS(DATA_GOC!$H:$H,DATA_GOC!$A:$A,"BOM",DATA_GOC!$D:$D,$B326,DATA_GOC!$E:$E,"Dầu thủy lực",DATA_GOC!$F:$F,"Xuất nội bộ từ téc",DATA_GOC!$B:$B,DATE($D$2,$B$2,AD$4)),0))</f>
        <v>0</v>
      </c>
      <c r="AE326" s="251">
        <f>IF(AE$4&gt;DAY(EOMONTH(DATE($D$2,$B$2,1),0)),"",IFERROR(SUMIFS(DATA_GOC!$H:$H,DATA_GOC!$A:$A,"BOM",DATA_GOC!$D:$D,$B326,DATA_GOC!$E:$E,"Dầu thủy lực",DATA_GOC!$F:$F,"Xuất nội bộ từ téc",DATA_GOC!$B:$B,DATE($D$2,$B$2,AE$4)),0))</f>
        <v>0</v>
      </c>
      <c r="AF326" s="251">
        <f>IF(AF$4&gt;DAY(EOMONTH(DATE($D$2,$B$2,1),0)),"",IFERROR(SUMIFS(DATA_GOC!$H:$H,DATA_GOC!$A:$A,"BOM",DATA_GOC!$D:$D,$B326,DATA_GOC!$E:$E,"Dầu thủy lực",DATA_GOC!$F:$F,"Xuất nội bộ từ téc",DATA_GOC!$B:$B,DATE($D$2,$B$2,AF$4)),0))</f>
        <v>0</v>
      </c>
      <c r="AG326" s="251">
        <f>IF(AG$4&gt;DAY(EOMONTH(DATE($D$2,$B$2,1),0)),"",IFERROR(SUMIFS(DATA_GOC!$H:$H,DATA_GOC!$A:$A,"BOM",DATA_GOC!$D:$D,$B326,DATA_GOC!$E:$E,"Dầu thủy lực",DATA_GOC!$F:$F,"Xuất nội bộ từ téc",DATA_GOC!$B:$B,DATE($D$2,$B$2,AG$4)),0))</f>
        <v>0</v>
      </c>
      <c r="AH326" s="252">
        <f t="shared" si="16"/>
        <v>0</v>
      </c>
      <c r="AI326" s="241"/>
      <c r="AJ326" s="242">
        <f>IF($B326="","",SUMIFS(TINH_TEC!$K$233:$K$9232,TINH_TEC!$H$233:$H$9232,$B326,TINH_TEC!$C$233:$C$9232,"Dầu thủy lực",TINH_TEC!$F$233:$F$9232,$B$2,TINH_TEC!$G$233:$G$9232,$D$2,TINH_TEC!$B$233:$B$9232,"Đã chốt"))</f>
        <v>0</v>
      </c>
      <c r="AK326" s="242">
        <f>IF($B326="","",SUMIFS(TINH_TEC!$J$233:$J$9232,TINH_TEC!$H$233:$H$9232,$B326,TINH_TEC!$C$233:$C$9232,"Dầu thủy lực",TINH_TEC!$F$233:$F$9232,$B$2,TINH_TEC!$G$233:$G$9232,$D$2,TINH_TEC!$B$233:$B$9232,"Đã chốt"))</f>
        <v>0</v>
      </c>
      <c r="AL326" s="242">
        <f t="shared" si="17"/>
        <v>0</v>
      </c>
    </row>
    <row r="327" ht="15.75" customHeight="1">
      <c r="A327" s="237">
        <f>IF($B327&lt;&gt;"",17,"")</f>
        <v>17</v>
      </c>
      <c r="B327" s="250" t="str">
        <f t="array" ref="B327">IFERROR(INDEX(DANH_MUC!$E:$E,20),"")</f>
        <v>28C03261</v>
      </c>
      <c r="C327" s="251">
        <f>IF(C$4&gt;DAY(EOMONTH(DATE($D$2,$B$2,1),0)),"",IFERROR(SUMIFS(DATA_GOC!$H:$H,DATA_GOC!$A:$A,"BOM",DATA_GOC!$D:$D,$B327,DATA_GOC!$E:$E,"Dầu thủy lực",DATA_GOC!$F:$F,"Xuất nội bộ từ téc",DATA_GOC!$B:$B,DATE($D$2,$B$2,C$4)),0))</f>
        <v>0</v>
      </c>
      <c r="D327" s="251">
        <f>IF(D$4&gt;DAY(EOMONTH(DATE($D$2,$B$2,1),0)),"",IFERROR(SUMIFS(DATA_GOC!$H:$H,DATA_GOC!$A:$A,"BOM",DATA_GOC!$D:$D,$B327,DATA_GOC!$E:$E,"Dầu thủy lực",DATA_GOC!$F:$F,"Xuất nội bộ từ téc",DATA_GOC!$B:$B,DATE($D$2,$B$2,D$4)),0))</f>
        <v>0</v>
      </c>
      <c r="E327" s="251">
        <f>IF(E$4&gt;DAY(EOMONTH(DATE($D$2,$B$2,1),0)),"",IFERROR(SUMIFS(DATA_GOC!$H:$H,DATA_GOC!$A:$A,"BOM",DATA_GOC!$D:$D,$B327,DATA_GOC!$E:$E,"Dầu thủy lực",DATA_GOC!$F:$F,"Xuất nội bộ từ téc",DATA_GOC!$B:$B,DATE($D$2,$B$2,E$4)),0))</f>
        <v>0</v>
      </c>
      <c r="F327" s="251">
        <f>IF(F$4&gt;DAY(EOMONTH(DATE($D$2,$B$2,1),0)),"",IFERROR(SUMIFS(DATA_GOC!$H:$H,DATA_GOC!$A:$A,"BOM",DATA_GOC!$D:$D,$B327,DATA_GOC!$E:$E,"Dầu thủy lực",DATA_GOC!$F:$F,"Xuất nội bộ từ téc",DATA_GOC!$B:$B,DATE($D$2,$B$2,F$4)),0))</f>
        <v>0</v>
      </c>
      <c r="G327" s="251">
        <f>IF(G$4&gt;DAY(EOMONTH(DATE($D$2,$B$2,1),0)),"",IFERROR(SUMIFS(DATA_GOC!$H:$H,DATA_GOC!$A:$A,"BOM",DATA_GOC!$D:$D,$B327,DATA_GOC!$E:$E,"Dầu thủy lực",DATA_GOC!$F:$F,"Xuất nội bộ từ téc",DATA_GOC!$B:$B,DATE($D$2,$B$2,G$4)),0))</f>
        <v>0</v>
      </c>
      <c r="H327" s="251">
        <f>IF(H$4&gt;DAY(EOMONTH(DATE($D$2,$B$2,1),0)),"",IFERROR(SUMIFS(DATA_GOC!$H:$H,DATA_GOC!$A:$A,"BOM",DATA_GOC!$D:$D,$B327,DATA_GOC!$E:$E,"Dầu thủy lực",DATA_GOC!$F:$F,"Xuất nội bộ từ téc",DATA_GOC!$B:$B,DATE($D$2,$B$2,H$4)),0))</f>
        <v>0</v>
      </c>
      <c r="I327" s="251">
        <f>IF(I$4&gt;DAY(EOMONTH(DATE($D$2,$B$2,1),0)),"",IFERROR(SUMIFS(DATA_GOC!$H:$H,DATA_GOC!$A:$A,"BOM",DATA_GOC!$D:$D,$B327,DATA_GOC!$E:$E,"Dầu thủy lực",DATA_GOC!$F:$F,"Xuất nội bộ từ téc",DATA_GOC!$B:$B,DATE($D$2,$B$2,I$4)),0))</f>
        <v>0</v>
      </c>
      <c r="J327" s="251">
        <f>IF(J$4&gt;DAY(EOMONTH(DATE($D$2,$B$2,1),0)),"",IFERROR(SUMIFS(DATA_GOC!$H:$H,DATA_GOC!$A:$A,"BOM",DATA_GOC!$D:$D,$B327,DATA_GOC!$E:$E,"Dầu thủy lực",DATA_GOC!$F:$F,"Xuất nội bộ từ téc",DATA_GOC!$B:$B,DATE($D$2,$B$2,J$4)),0))</f>
        <v>0</v>
      </c>
      <c r="K327" s="251">
        <f>IF(K$4&gt;DAY(EOMONTH(DATE($D$2,$B$2,1),0)),"",IFERROR(SUMIFS(DATA_GOC!$H:$H,DATA_GOC!$A:$A,"BOM",DATA_GOC!$D:$D,$B327,DATA_GOC!$E:$E,"Dầu thủy lực",DATA_GOC!$F:$F,"Xuất nội bộ từ téc",DATA_GOC!$B:$B,DATE($D$2,$B$2,K$4)),0))</f>
        <v>0</v>
      </c>
      <c r="L327" s="251">
        <f>IF(L$4&gt;DAY(EOMONTH(DATE($D$2,$B$2,1),0)),"",IFERROR(SUMIFS(DATA_GOC!$H:$H,DATA_GOC!$A:$A,"BOM",DATA_GOC!$D:$D,$B327,DATA_GOC!$E:$E,"Dầu thủy lực",DATA_GOC!$F:$F,"Xuất nội bộ từ téc",DATA_GOC!$B:$B,DATE($D$2,$B$2,L$4)),0))</f>
        <v>0</v>
      </c>
      <c r="M327" s="251">
        <f>IF(M$4&gt;DAY(EOMONTH(DATE($D$2,$B$2,1),0)),"",IFERROR(SUMIFS(DATA_GOC!$H:$H,DATA_GOC!$A:$A,"BOM",DATA_GOC!$D:$D,$B327,DATA_GOC!$E:$E,"Dầu thủy lực",DATA_GOC!$F:$F,"Xuất nội bộ từ téc",DATA_GOC!$B:$B,DATE($D$2,$B$2,M$4)),0))</f>
        <v>0</v>
      </c>
      <c r="N327" s="251">
        <f>IF(N$4&gt;DAY(EOMONTH(DATE($D$2,$B$2,1),0)),"",IFERROR(SUMIFS(DATA_GOC!$H:$H,DATA_GOC!$A:$A,"BOM",DATA_GOC!$D:$D,$B327,DATA_GOC!$E:$E,"Dầu thủy lực",DATA_GOC!$F:$F,"Xuất nội bộ từ téc",DATA_GOC!$B:$B,DATE($D$2,$B$2,N$4)),0))</f>
        <v>0</v>
      </c>
      <c r="O327" s="251">
        <f>IF(O$4&gt;DAY(EOMONTH(DATE($D$2,$B$2,1),0)),"",IFERROR(SUMIFS(DATA_GOC!$H:$H,DATA_GOC!$A:$A,"BOM",DATA_GOC!$D:$D,$B327,DATA_GOC!$E:$E,"Dầu thủy lực",DATA_GOC!$F:$F,"Xuất nội bộ từ téc",DATA_GOC!$B:$B,DATE($D$2,$B$2,O$4)),0))</f>
        <v>0</v>
      </c>
      <c r="P327" s="251">
        <f>IF(P$4&gt;DAY(EOMONTH(DATE($D$2,$B$2,1),0)),"",IFERROR(SUMIFS(DATA_GOC!$H:$H,DATA_GOC!$A:$A,"BOM",DATA_GOC!$D:$D,$B327,DATA_GOC!$E:$E,"Dầu thủy lực",DATA_GOC!$F:$F,"Xuất nội bộ từ téc",DATA_GOC!$B:$B,DATE($D$2,$B$2,P$4)),0))</f>
        <v>0</v>
      </c>
      <c r="Q327" s="251">
        <f>IF(Q$4&gt;DAY(EOMONTH(DATE($D$2,$B$2,1),0)),"",IFERROR(SUMIFS(DATA_GOC!$H:$H,DATA_GOC!$A:$A,"BOM",DATA_GOC!$D:$D,$B327,DATA_GOC!$E:$E,"Dầu thủy lực",DATA_GOC!$F:$F,"Xuất nội bộ từ téc",DATA_GOC!$B:$B,DATE($D$2,$B$2,Q$4)),0))</f>
        <v>0</v>
      </c>
      <c r="R327" s="251">
        <f>IF(R$4&gt;DAY(EOMONTH(DATE($D$2,$B$2,1),0)),"",IFERROR(SUMIFS(DATA_GOC!$H:$H,DATA_GOC!$A:$A,"BOM",DATA_GOC!$D:$D,$B327,DATA_GOC!$E:$E,"Dầu thủy lực",DATA_GOC!$F:$F,"Xuất nội bộ từ téc",DATA_GOC!$B:$B,DATE($D$2,$B$2,R$4)),0))</f>
        <v>0</v>
      </c>
      <c r="S327" s="251">
        <f>IF(S$4&gt;DAY(EOMONTH(DATE($D$2,$B$2,1),0)),"",IFERROR(SUMIFS(DATA_GOC!$H:$H,DATA_GOC!$A:$A,"BOM",DATA_GOC!$D:$D,$B327,DATA_GOC!$E:$E,"Dầu thủy lực",DATA_GOC!$F:$F,"Xuất nội bộ từ téc",DATA_GOC!$B:$B,DATE($D$2,$B$2,S$4)),0))</f>
        <v>0</v>
      </c>
      <c r="T327" s="251">
        <f>IF(T$4&gt;DAY(EOMONTH(DATE($D$2,$B$2,1),0)),"",IFERROR(SUMIFS(DATA_GOC!$H:$H,DATA_GOC!$A:$A,"BOM",DATA_GOC!$D:$D,$B327,DATA_GOC!$E:$E,"Dầu thủy lực",DATA_GOC!$F:$F,"Xuất nội bộ từ téc",DATA_GOC!$B:$B,DATE($D$2,$B$2,T$4)),0))</f>
        <v>0</v>
      </c>
      <c r="U327" s="251">
        <f>IF(U$4&gt;DAY(EOMONTH(DATE($D$2,$B$2,1),0)),"",IFERROR(SUMIFS(DATA_GOC!$H:$H,DATA_GOC!$A:$A,"BOM",DATA_GOC!$D:$D,$B327,DATA_GOC!$E:$E,"Dầu thủy lực",DATA_GOC!$F:$F,"Xuất nội bộ từ téc",DATA_GOC!$B:$B,DATE($D$2,$B$2,U$4)),0))</f>
        <v>0</v>
      </c>
      <c r="V327" s="251">
        <f>IF(V$4&gt;DAY(EOMONTH(DATE($D$2,$B$2,1),0)),"",IFERROR(SUMIFS(DATA_GOC!$H:$H,DATA_GOC!$A:$A,"BOM",DATA_GOC!$D:$D,$B327,DATA_GOC!$E:$E,"Dầu thủy lực",DATA_GOC!$F:$F,"Xuất nội bộ từ téc",DATA_GOC!$B:$B,DATE($D$2,$B$2,V$4)),0))</f>
        <v>0</v>
      </c>
      <c r="W327" s="251">
        <f>IF(W$4&gt;DAY(EOMONTH(DATE($D$2,$B$2,1),0)),"",IFERROR(SUMIFS(DATA_GOC!$H:$H,DATA_GOC!$A:$A,"BOM",DATA_GOC!$D:$D,$B327,DATA_GOC!$E:$E,"Dầu thủy lực",DATA_GOC!$F:$F,"Xuất nội bộ từ téc",DATA_GOC!$B:$B,DATE($D$2,$B$2,W$4)),0))</f>
        <v>0</v>
      </c>
      <c r="X327" s="251">
        <f>IF(X$4&gt;DAY(EOMONTH(DATE($D$2,$B$2,1),0)),"",IFERROR(SUMIFS(DATA_GOC!$H:$H,DATA_GOC!$A:$A,"BOM",DATA_GOC!$D:$D,$B327,DATA_GOC!$E:$E,"Dầu thủy lực",DATA_GOC!$F:$F,"Xuất nội bộ từ téc",DATA_GOC!$B:$B,DATE($D$2,$B$2,X$4)),0))</f>
        <v>0</v>
      </c>
      <c r="Y327" s="251">
        <f>IF(Y$4&gt;DAY(EOMONTH(DATE($D$2,$B$2,1),0)),"",IFERROR(SUMIFS(DATA_GOC!$H:$H,DATA_GOC!$A:$A,"BOM",DATA_GOC!$D:$D,$B327,DATA_GOC!$E:$E,"Dầu thủy lực",DATA_GOC!$F:$F,"Xuất nội bộ từ téc",DATA_GOC!$B:$B,DATE($D$2,$B$2,Y$4)),0))</f>
        <v>0</v>
      </c>
      <c r="Z327" s="251">
        <f>IF(Z$4&gt;DAY(EOMONTH(DATE($D$2,$B$2,1),0)),"",IFERROR(SUMIFS(DATA_GOC!$H:$H,DATA_GOC!$A:$A,"BOM",DATA_GOC!$D:$D,$B327,DATA_GOC!$E:$E,"Dầu thủy lực",DATA_GOC!$F:$F,"Xuất nội bộ từ téc",DATA_GOC!$B:$B,DATE($D$2,$B$2,Z$4)),0))</f>
        <v>0</v>
      </c>
      <c r="AA327" s="251">
        <f>IF(AA$4&gt;DAY(EOMONTH(DATE($D$2,$B$2,1),0)),"",IFERROR(SUMIFS(DATA_GOC!$H:$H,DATA_GOC!$A:$A,"BOM",DATA_GOC!$D:$D,$B327,DATA_GOC!$E:$E,"Dầu thủy lực",DATA_GOC!$F:$F,"Xuất nội bộ từ téc",DATA_GOC!$B:$B,DATE($D$2,$B$2,AA$4)),0))</f>
        <v>0</v>
      </c>
      <c r="AB327" s="251">
        <f>IF(AB$4&gt;DAY(EOMONTH(DATE($D$2,$B$2,1),0)),"",IFERROR(SUMIFS(DATA_GOC!$H:$H,DATA_GOC!$A:$A,"BOM",DATA_GOC!$D:$D,$B327,DATA_GOC!$E:$E,"Dầu thủy lực",DATA_GOC!$F:$F,"Xuất nội bộ từ téc",DATA_GOC!$B:$B,DATE($D$2,$B$2,AB$4)),0))</f>
        <v>0</v>
      </c>
      <c r="AC327" s="251">
        <f>IF(AC$4&gt;DAY(EOMONTH(DATE($D$2,$B$2,1),0)),"",IFERROR(SUMIFS(DATA_GOC!$H:$H,DATA_GOC!$A:$A,"BOM",DATA_GOC!$D:$D,$B327,DATA_GOC!$E:$E,"Dầu thủy lực",DATA_GOC!$F:$F,"Xuất nội bộ từ téc",DATA_GOC!$B:$B,DATE($D$2,$B$2,AC$4)),0))</f>
        <v>0</v>
      </c>
      <c r="AD327" s="251">
        <f>IF(AD$4&gt;DAY(EOMONTH(DATE($D$2,$B$2,1),0)),"",IFERROR(SUMIFS(DATA_GOC!$H:$H,DATA_GOC!$A:$A,"BOM",DATA_GOC!$D:$D,$B327,DATA_GOC!$E:$E,"Dầu thủy lực",DATA_GOC!$F:$F,"Xuất nội bộ từ téc",DATA_GOC!$B:$B,DATE($D$2,$B$2,AD$4)),0))</f>
        <v>0</v>
      </c>
      <c r="AE327" s="251">
        <f>IF(AE$4&gt;DAY(EOMONTH(DATE($D$2,$B$2,1),0)),"",IFERROR(SUMIFS(DATA_GOC!$H:$H,DATA_GOC!$A:$A,"BOM",DATA_GOC!$D:$D,$B327,DATA_GOC!$E:$E,"Dầu thủy lực",DATA_GOC!$F:$F,"Xuất nội bộ từ téc",DATA_GOC!$B:$B,DATE($D$2,$B$2,AE$4)),0))</f>
        <v>0</v>
      </c>
      <c r="AF327" s="251">
        <f>IF(AF$4&gt;DAY(EOMONTH(DATE($D$2,$B$2,1),0)),"",IFERROR(SUMIFS(DATA_GOC!$H:$H,DATA_GOC!$A:$A,"BOM",DATA_GOC!$D:$D,$B327,DATA_GOC!$E:$E,"Dầu thủy lực",DATA_GOC!$F:$F,"Xuất nội bộ từ téc",DATA_GOC!$B:$B,DATE($D$2,$B$2,AF$4)),0))</f>
        <v>0</v>
      </c>
      <c r="AG327" s="251">
        <f>IF(AG$4&gt;DAY(EOMONTH(DATE($D$2,$B$2,1),0)),"",IFERROR(SUMIFS(DATA_GOC!$H:$H,DATA_GOC!$A:$A,"BOM",DATA_GOC!$D:$D,$B327,DATA_GOC!$E:$E,"Dầu thủy lực",DATA_GOC!$F:$F,"Xuất nội bộ từ téc",DATA_GOC!$B:$B,DATE($D$2,$B$2,AG$4)),0))</f>
        <v>0</v>
      </c>
      <c r="AH327" s="252">
        <f t="shared" si="16"/>
        <v>0</v>
      </c>
      <c r="AI327" s="241"/>
      <c r="AJ327" s="242">
        <f>IF($B327="","",SUMIFS(TINH_TEC!$K$233:$K$9232,TINH_TEC!$H$233:$H$9232,$B327,TINH_TEC!$C$233:$C$9232,"Dầu thủy lực",TINH_TEC!$F$233:$F$9232,$B$2,TINH_TEC!$G$233:$G$9232,$D$2,TINH_TEC!$B$233:$B$9232,"Đã chốt"))</f>
        <v>0</v>
      </c>
      <c r="AK327" s="242">
        <f>IF($B327="","",SUMIFS(TINH_TEC!$J$233:$J$9232,TINH_TEC!$H$233:$H$9232,$B327,TINH_TEC!$C$233:$C$9232,"Dầu thủy lực",TINH_TEC!$F$233:$F$9232,$B$2,TINH_TEC!$G$233:$G$9232,$D$2,TINH_TEC!$B$233:$B$9232,"Đã chốt"))</f>
        <v>0</v>
      </c>
      <c r="AL327" s="242">
        <f t="shared" si="17"/>
        <v>0</v>
      </c>
    </row>
    <row r="328" ht="15.75" customHeight="1">
      <c r="A328" s="237">
        <f>IF($B328&lt;&gt;"",18,"")</f>
        <v>18</v>
      </c>
      <c r="B328" s="250" t="str">
        <f t="array" ref="B328">IFERROR(INDEX(DANH_MUC!$E:$E,21),"")</f>
        <v>28C03323</v>
      </c>
      <c r="C328" s="251">
        <f>IF(C$4&gt;DAY(EOMONTH(DATE($D$2,$B$2,1),0)),"",IFERROR(SUMIFS(DATA_GOC!$H:$H,DATA_GOC!$A:$A,"BOM",DATA_GOC!$D:$D,$B328,DATA_GOC!$E:$E,"Dầu thủy lực",DATA_GOC!$F:$F,"Xuất nội bộ từ téc",DATA_GOC!$B:$B,DATE($D$2,$B$2,C$4)),0))</f>
        <v>0</v>
      </c>
      <c r="D328" s="251">
        <f>IF(D$4&gt;DAY(EOMONTH(DATE($D$2,$B$2,1),0)),"",IFERROR(SUMIFS(DATA_GOC!$H:$H,DATA_GOC!$A:$A,"BOM",DATA_GOC!$D:$D,$B328,DATA_GOC!$E:$E,"Dầu thủy lực",DATA_GOC!$F:$F,"Xuất nội bộ từ téc",DATA_GOC!$B:$B,DATE($D$2,$B$2,D$4)),0))</f>
        <v>0</v>
      </c>
      <c r="E328" s="251">
        <f>IF(E$4&gt;DAY(EOMONTH(DATE($D$2,$B$2,1),0)),"",IFERROR(SUMIFS(DATA_GOC!$H:$H,DATA_GOC!$A:$A,"BOM",DATA_GOC!$D:$D,$B328,DATA_GOC!$E:$E,"Dầu thủy lực",DATA_GOC!$F:$F,"Xuất nội bộ từ téc",DATA_GOC!$B:$B,DATE($D$2,$B$2,E$4)),0))</f>
        <v>0</v>
      </c>
      <c r="F328" s="251">
        <f>IF(F$4&gt;DAY(EOMONTH(DATE($D$2,$B$2,1),0)),"",IFERROR(SUMIFS(DATA_GOC!$H:$H,DATA_GOC!$A:$A,"BOM",DATA_GOC!$D:$D,$B328,DATA_GOC!$E:$E,"Dầu thủy lực",DATA_GOC!$F:$F,"Xuất nội bộ từ téc",DATA_GOC!$B:$B,DATE($D$2,$B$2,F$4)),0))</f>
        <v>0</v>
      </c>
      <c r="G328" s="251">
        <f>IF(G$4&gt;DAY(EOMONTH(DATE($D$2,$B$2,1),0)),"",IFERROR(SUMIFS(DATA_GOC!$H:$H,DATA_GOC!$A:$A,"BOM",DATA_GOC!$D:$D,$B328,DATA_GOC!$E:$E,"Dầu thủy lực",DATA_GOC!$F:$F,"Xuất nội bộ từ téc",DATA_GOC!$B:$B,DATE($D$2,$B$2,G$4)),0))</f>
        <v>0</v>
      </c>
      <c r="H328" s="251">
        <f>IF(H$4&gt;DAY(EOMONTH(DATE($D$2,$B$2,1),0)),"",IFERROR(SUMIFS(DATA_GOC!$H:$H,DATA_GOC!$A:$A,"BOM",DATA_GOC!$D:$D,$B328,DATA_GOC!$E:$E,"Dầu thủy lực",DATA_GOC!$F:$F,"Xuất nội bộ từ téc",DATA_GOC!$B:$B,DATE($D$2,$B$2,H$4)),0))</f>
        <v>0</v>
      </c>
      <c r="I328" s="251">
        <f>IF(I$4&gt;DAY(EOMONTH(DATE($D$2,$B$2,1),0)),"",IFERROR(SUMIFS(DATA_GOC!$H:$H,DATA_GOC!$A:$A,"BOM",DATA_GOC!$D:$D,$B328,DATA_GOC!$E:$E,"Dầu thủy lực",DATA_GOC!$F:$F,"Xuất nội bộ từ téc",DATA_GOC!$B:$B,DATE($D$2,$B$2,I$4)),0))</f>
        <v>0</v>
      </c>
      <c r="J328" s="251">
        <f>IF(J$4&gt;DAY(EOMONTH(DATE($D$2,$B$2,1),0)),"",IFERROR(SUMIFS(DATA_GOC!$H:$H,DATA_GOC!$A:$A,"BOM",DATA_GOC!$D:$D,$B328,DATA_GOC!$E:$E,"Dầu thủy lực",DATA_GOC!$F:$F,"Xuất nội bộ từ téc",DATA_GOC!$B:$B,DATE($D$2,$B$2,J$4)),0))</f>
        <v>0</v>
      </c>
      <c r="K328" s="251">
        <f>IF(K$4&gt;DAY(EOMONTH(DATE($D$2,$B$2,1),0)),"",IFERROR(SUMIFS(DATA_GOC!$H:$H,DATA_GOC!$A:$A,"BOM",DATA_GOC!$D:$D,$B328,DATA_GOC!$E:$E,"Dầu thủy lực",DATA_GOC!$F:$F,"Xuất nội bộ từ téc",DATA_GOC!$B:$B,DATE($D$2,$B$2,K$4)),0))</f>
        <v>0</v>
      </c>
      <c r="L328" s="251">
        <f>IF(L$4&gt;DAY(EOMONTH(DATE($D$2,$B$2,1),0)),"",IFERROR(SUMIFS(DATA_GOC!$H:$H,DATA_GOC!$A:$A,"BOM",DATA_GOC!$D:$D,$B328,DATA_GOC!$E:$E,"Dầu thủy lực",DATA_GOC!$F:$F,"Xuất nội bộ từ téc",DATA_GOC!$B:$B,DATE($D$2,$B$2,L$4)),0))</f>
        <v>0</v>
      </c>
      <c r="M328" s="251">
        <f>IF(M$4&gt;DAY(EOMONTH(DATE($D$2,$B$2,1),0)),"",IFERROR(SUMIFS(DATA_GOC!$H:$H,DATA_GOC!$A:$A,"BOM",DATA_GOC!$D:$D,$B328,DATA_GOC!$E:$E,"Dầu thủy lực",DATA_GOC!$F:$F,"Xuất nội bộ từ téc",DATA_GOC!$B:$B,DATE($D$2,$B$2,M$4)),0))</f>
        <v>0</v>
      </c>
      <c r="N328" s="251">
        <f>IF(N$4&gt;DAY(EOMONTH(DATE($D$2,$B$2,1),0)),"",IFERROR(SUMIFS(DATA_GOC!$H:$H,DATA_GOC!$A:$A,"BOM",DATA_GOC!$D:$D,$B328,DATA_GOC!$E:$E,"Dầu thủy lực",DATA_GOC!$F:$F,"Xuất nội bộ từ téc",DATA_GOC!$B:$B,DATE($D$2,$B$2,N$4)),0))</f>
        <v>0</v>
      </c>
      <c r="O328" s="251">
        <f>IF(O$4&gt;DAY(EOMONTH(DATE($D$2,$B$2,1),0)),"",IFERROR(SUMIFS(DATA_GOC!$H:$H,DATA_GOC!$A:$A,"BOM",DATA_GOC!$D:$D,$B328,DATA_GOC!$E:$E,"Dầu thủy lực",DATA_GOC!$F:$F,"Xuất nội bộ từ téc",DATA_GOC!$B:$B,DATE($D$2,$B$2,O$4)),0))</f>
        <v>0</v>
      </c>
      <c r="P328" s="251">
        <f>IF(P$4&gt;DAY(EOMONTH(DATE($D$2,$B$2,1),0)),"",IFERROR(SUMIFS(DATA_GOC!$H:$H,DATA_GOC!$A:$A,"BOM",DATA_GOC!$D:$D,$B328,DATA_GOC!$E:$E,"Dầu thủy lực",DATA_GOC!$F:$F,"Xuất nội bộ từ téc",DATA_GOC!$B:$B,DATE($D$2,$B$2,P$4)),0))</f>
        <v>0</v>
      </c>
      <c r="Q328" s="251">
        <f>IF(Q$4&gt;DAY(EOMONTH(DATE($D$2,$B$2,1),0)),"",IFERROR(SUMIFS(DATA_GOC!$H:$H,DATA_GOC!$A:$A,"BOM",DATA_GOC!$D:$D,$B328,DATA_GOC!$E:$E,"Dầu thủy lực",DATA_GOC!$F:$F,"Xuất nội bộ từ téc",DATA_GOC!$B:$B,DATE($D$2,$B$2,Q$4)),0))</f>
        <v>0</v>
      </c>
      <c r="R328" s="251">
        <f>IF(R$4&gt;DAY(EOMONTH(DATE($D$2,$B$2,1),0)),"",IFERROR(SUMIFS(DATA_GOC!$H:$H,DATA_GOC!$A:$A,"BOM",DATA_GOC!$D:$D,$B328,DATA_GOC!$E:$E,"Dầu thủy lực",DATA_GOC!$F:$F,"Xuất nội bộ từ téc",DATA_GOC!$B:$B,DATE($D$2,$B$2,R$4)),0))</f>
        <v>0</v>
      </c>
      <c r="S328" s="251">
        <f>IF(S$4&gt;DAY(EOMONTH(DATE($D$2,$B$2,1),0)),"",IFERROR(SUMIFS(DATA_GOC!$H:$H,DATA_GOC!$A:$A,"BOM",DATA_GOC!$D:$D,$B328,DATA_GOC!$E:$E,"Dầu thủy lực",DATA_GOC!$F:$F,"Xuất nội bộ từ téc",DATA_GOC!$B:$B,DATE($D$2,$B$2,S$4)),0))</f>
        <v>0</v>
      </c>
      <c r="T328" s="251">
        <f>IF(T$4&gt;DAY(EOMONTH(DATE($D$2,$B$2,1),0)),"",IFERROR(SUMIFS(DATA_GOC!$H:$H,DATA_GOC!$A:$A,"BOM",DATA_GOC!$D:$D,$B328,DATA_GOC!$E:$E,"Dầu thủy lực",DATA_GOC!$F:$F,"Xuất nội bộ từ téc",DATA_GOC!$B:$B,DATE($D$2,$B$2,T$4)),0))</f>
        <v>0</v>
      </c>
      <c r="U328" s="251">
        <f>IF(U$4&gt;DAY(EOMONTH(DATE($D$2,$B$2,1),0)),"",IFERROR(SUMIFS(DATA_GOC!$H:$H,DATA_GOC!$A:$A,"BOM",DATA_GOC!$D:$D,$B328,DATA_GOC!$E:$E,"Dầu thủy lực",DATA_GOC!$F:$F,"Xuất nội bộ từ téc",DATA_GOC!$B:$B,DATE($D$2,$B$2,U$4)),0))</f>
        <v>0</v>
      </c>
      <c r="V328" s="251">
        <f>IF(V$4&gt;DAY(EOMONTH(DATE($D$2,$B$2,1),0)),"",IFERROR(SUMIFS(DATA_GOC!$H:$H,DATA_GOC!$A:$A,"BOM",DATA_GOC!$D:$D,$B328,DATA_GOC!$E:$E,"Dầu thủy lực",DATA_GOC!$F:$F,"Xuất nội bộ từ téc",DATA_GOC!$B:$B,DATE($D$2,$B$2,V$4)),0))</f>
        <v>0</v>
      </c>
      <c r="W328" s="251">
        <f>IF(W$4&gt;DAY(EOMONTH(DATE($D$2,$B$2,1),0)),"",IFERROR(SUMIFS(DATA_GOC!$H:$H,DATA_GOC!$A:$A,"BOM",DATA_GOC!$D:$D,$B328,DATA_GOC!$E:$E,"Dầu thủy lực",DATA_GOC!$F:$F,"Xuất nội bộ từ téc",DATA_GOC!$B:$B,DATE($D$2,$B$2,W$4)),0))</f>
        <v>0</v>
      </c>
      <c r="X328" s="251">
        <f>IF(X$4&gt;DAY(EOMONTH(DATE($D$2,$B$2,1),0)),"",IFERROR(SUMIFS(DATA_GOC!$H:$H,DATA_GOC!$A:$A,"BOM",DATA_GOC!$D:$D,$B328,DATA_GOC!$E:$E,"Dầu thủy lực",DATA_GOC!$F:$F,"Xuất nội bộ từ téc",DATA_GOC!$B:$B,DATE($D$2,$B$2,X$4)),0))</f>
        <v>0</v>
      </c>
      <c r="Y328" s="251">
        <f>IF(Y$4&gt;DAY(EOMONTH(DATE($D$2,$B$2,1),0)),"",IFERROR(SUMIFS(DATA_GOC!$H:$H,DATA_GOC!$A:$A,"BOM",DATA_GOC!$D:$D,$B328,DATA_GOC!$E:$E,"Dầu thủy lực",DATA_GOC!$F:$F,"Xuất nội bộ từ téc",DATA_GOC!$B:$B,DATE($D$2,$B$2,Y$4)),0))</f>
        <v>0</v>
      </c>
      <c r="Z328" s="251">
        <f>IF(Z$4&gt;DAY(EOMONTH(DATE($D$2,$B$2,1),0)),"",IFERROR(SUMIFS(DATA_GOC!$H:$H,DATA_GOC!$A:$A,"BOM",DATA_GOC!$D:$D,$B328,DATA_GOC!$E:$E,"Dầu thủy lực",DATA_GOC!$F:$F,"Xuất nội bộ từ téc",DATA_GOC!$B:$B,DATE($D$2,$B$2,Z$4)),0))</f>
        <v>0</v>
      </c>
      <c r="AA328" s="251">
        <f>IF(AA$4&gt;DAY(EOMONTH(DATE($D$2,$B$2,1),0)),"",IFERROR(SUMIFS(DATA_GOC!$H:$H,DATA_GOC!$A:$A,"BOM",DATA_GOC!$D:$D,$B328,DATA_GOC!$E:$E,"Dầu thủy lực",DATA_GOC!$F:$F,"Xuất nội bộ từ téc",DATA_GOC!$B:$B,DATE($D$2,$B$2,AA$4)),0))</f>
        <v>0</v>
      </c>
      <c r="AB328" s="251">
        <f>IF(AB$4&gt;DAY(EOMONTH(DATE($D$2,$B$2,1),0)),"",IFERROR(SUMIFS(DATA_GOC!$H:$H,DATA_GOC!$A:$A,"BOM",DATA_GOC!$D:$D,$B328,DATA_GOC!$E:$E,"Dầu thủy lực",DATA_GOC!$F:$F,"Xuất nội bộ từ téc",DATA_GOC!$B:$B,DATE($D$2,$B$2,AB$4)),0))</f>
        <v>0</v>
      </c>
      <c r="AC328" s="251">
        <f>IF(AC$4&gt;DAY(EOMONTH(DATE($D$2,$B$2,1),0)),"",IFERROR(SUMIFS(DATA_GOC!$H:$H,DATA_GOC!$A:$A,"BOM",DATA_GOC!$D:$D,$B328,DATA_GOC!$E:$E,"Dầu thủy lực",DATA_GOC!$F:$F,"Xuất nội bộ từ téc",DATA_GOC!$B:$B,DATE($D$2,$B$2,AC$4)),0))</f>
        <v>0</v>
      </c>
      <c r="AD328" s="251">
        <f>IF(AD$4&gt;DAY(EOMONTH(DATE($D$2,$B$2,1),0)),"",IFERROR(SUMIFS(DATA_GOC!$H:$H,DATA_GOC!$A:$A,"BOM",DATA_GOC!$D:$D,$B328,DATA_GOC!$E:$E,"Dầu thủy lực",DATA_GOC!$F:$F,"Xuất nội bộ từ téc",DATA_GOC!$B:$B,DATE($D$2,$B$2,AD$4)),0))</f>
        <v>0</v>
      </c>
      <c r="AE328" s="251">
        <f>IF(AE$4&gt;DAY(EOMONTH(DATE($D$2,$B$2,1),0)),"",IFERROR(SUMIFS(DATA_GOC!$H:$H,DATA_GOC!$A:$A,"BOM",DATA_GOC!$D:$D,$B328,DATA_GOC!$E:$E,"Dầu thủy lực",DATA_GOC!$F:$F,"Xuất nội bộ từ téc",DATA_GOC!$B:$B,DATE($D$2,$B$2,AE$4)),0))</f>
        <v>0</v>
      </c>
      <c r="AF328" s="251">
        <f>IF(AF$4&gt;DAY(EOMONTH(DATE($D$2,$B$2,1),0)),"",IFERROR(SUMIFS(DATA_GOC!$H:$H,DATA_GOC!$A:$A,"BOM",DATA_GOC!$D:$D,$B328,DATA_GOC!$E:$E,"Dầu thủy lực",DATA_GOC!$F:$F,"Xuất nội bộ từ téc",DATA_GOC!$B:$B,DATE($D$2,$B$2,AF$4)),0))</f>
        <v>0</v>
      </c>
      <c r="AG328" s="251">
        <f>IF(AG$4&gt;DAY(EOMONTH(DATE($D$2,$B$2,1),0)),"",IFERROR(SUMIFS(DATA_GOC!$H:$H,DATA_GOC!$A:$A,"BOM",DATA_GOC!$D:$D,$B328,DATA_GOC!$E:$E,"Dầu thủy lực",DATA_GOC!$F:$F,"Xuất nội bộ từ téc",DATA_GOC!$B:$B,DATE($D$2,$B$2,AG$4)),0))</f>
        <v>0</v>
      </c>
      <c r="AH328" s="252">
        <f t="shared" si="16"/>
        <v>0</v>
      </c>
      <c r="AI328" s="241"/>
      <c r="AJ328" s="242">
        <f>IF($B328="","",SUMIFS(TINH_TEC!$K$233:$K$9232,TINH_TEC!$H$233:$H$9232,$B328,TINH_TEC!$C$233:$C$9232,"Dầu thủy lực",TINH_TEC!$F$233:$F$9232,$B$2,TINH_TEC!$G$233:$G$9232,$D$2,TINH_TEC!$B$233:$B$9232,"Đã chốt"))</f>
        <v>0</v>
      </c>
      <c r="AK328" s="242">
        <f>IF($B328="","",SUMIFS(TINH_TEC!$J$233:$J$9232,TINH_TEC!$H$233:$H$9232,$B328,TINH_TEC!$C$233:$C$9232,"Dầu thủy lực",TINH_TEC!$F$233:$F$9232,$B$2,TINH_TEC!$G$233:$G$9232,$D$2,TINH_TEC!$B$233:$B$9232,"Đã chốt"))</f>
        <v>0</v>
      </c>
      <c r="AL328" s="242">
        <f t="shared" si="17"/>
        <v>0</v>
      </c>
    </row>
    <row r="329" ht="15.75" customHeight="1">
      <c r="A329" s="237">
        <f>IF($B329&lt;&gt;"",19,"")</f>
        <v>19</v>
      </c>
      <c r="B329" s="250" t="str">
        <f t="array" ref="B329">IFERROR(INDEX(DANH_MUC!$E:$E,22),"")</f>
        <v>28C03385</v>
      </c>
      <c r="C329" s="251">
        <f>IF(C$4&gt;DAY(EOMONTH(DATE($D$2,$B$2,1),0)),"",IFERROR(SUMIFS(DATA_GOC!$H:$H,DATA_GOC!$A:$A,"BOM",DATA_GOC!$D:$D,$B329,DATA_GOC!$E:$E,"Dầu thủy lực",DATA_GOC!$F:$F,"Xuất nội bộ từ téc",DATA_GOC!$B:$B,DATE($D$2,$B$2,C$4)),0))</f>
        <v>0</v>
      </c>
      <c r="D329" s="251">
        <f>IF(D$4&gt;DAY(EOMONTH(DATE($D$2,$B$2,1),0)),"",IFERROR(SUMIFS(DATA_GOC!$H:$H,DATA_GOC!$A:$A,"BOM",DATA_GOC!$D:$D,$B329,DATA_GOC!$E:$E,"Dầu thủy lực",DATA_GOC!$F:$F,"Xuất nội bộ từ téc",DATA_GOC!$B:$B,DATE($D$2,$B$2,D$4)),0))</f>
        <v>0</v>
      </c>
      <c r="E329" s="251">
        <f>IF(E$4&gt;DAY(EOMONTH(DATE($D$2,$B$2,1),0)),"",IFERROR(SUMIFS(DATA_GOC!$H:$H,DATA_GOC!$A:$A,"BOM",DATA_GOC!$D:$D,$B329,DATA_GOC!$E:$E,"Dầu thủy lực",DATA_GOC!$F:$F,"Xuất nội bộ từ téc",DATA_GOC!$B:$B,DATE($D$2,$B$2,E$4)),0))</f>
        <v>0</v>
      </c>
      <c r="F329" s="251">
        <f>IF(F$4&gt;DAY(EOMONTH(DATE($D$2,$B$2,1),0)),"",IFERROR(SUMIFS(DATA_GOC!$H:$H,DATA_GOC!$A:$A,"BOM",DATA_GOC!$D:$D,$B329,DATA_GOC!$E:$E,"Dầu thủy lực",DATA_GOC!$F:$F,"Xuất nội bộ từ téc",DATA_GOC!$B:$B,DATE($D$2,$B$2,F$4)),0))</f>
        <v>0</v>
      </c>
      <c r="G329" s="251">
        <f>IF(G$4&gt;DAY(EOMONTH(DATE($D$2,$B$2,1),0)),"",IFERROR(SUMIFS(DATA_GOC!$H:$H,DATA_GOC!$A:$A,"BOM",DATA_GOC!$D:$D,$B329,DATA_GOC!$E:$E,"Dầu thủy lực",DATA_GOC!$F:$F,"Xuất nội bộ từ téc",DATA_GOC!$B:$B,DATE($D$2,$B$2,G$4)),0))</f>
        <v>0</v>
      </c>
      <c r="H329" s="251">
        <f>IF(H$4&gt;DAY(EOMONTH(DATE($D$2,$B$2,1),0)),"",IFERROR(SUMIFS(DATA_GOC!$H:$H,DATA_GOC!$A:$A,"BOM",DATA_GOC!$D:$D,$B329,DATA_GOC!$E:$E,"Dầu thủy lực",DATA_GOC!$F:$F,"Xuất nội bộ từ téc",DATA_GOC!$B:$B,DATE($D$2,$B$2,H$4)),0))</f>
        <v>0</v>
      </c>
      <c r="I329" s="251">
        <f>IF(I$4&gt;DAY(EOMONTH(DATE($D$2,$B$2,1),0)),"",IFERROR(SUMIFS(DATA_GOC!$H:$H,DATA_GOC!$A:$A,"BOM",DATA_GOC!$D:$D,$B329,DATA_GOC!$E:$E,"Dầu thủy lực",DATA_GOC!$F:$F,"Xuất nội bộ từ téc",DATA_GOC!$B:$B,DATE($D$2,$B$2,I$4)),0))</f>
        <v>0</v>
      </c>
      <c r="J329" s="251">
        <f>IF(J$4&gt;DAY(EOMONTH(DATE($D$2,$B$2,1),0)),"",IFERROR(SUMIFS(DATA_GOC!$H:$H,DATA_GOC!$A:$A,"BOM",DATA_GOC!$D:$D,$B329,DATA_GOC!$E:$E,"Dầu thủy lực",DATA_GOC!$F:$F,"Xuất nội bộ từ téc",DATA_GOC!$B:$B,DATE($D$2,$B$2,J$4)),0))</f>
        <v>0</v>
      </c>
      <c r="K329" s="251">
        <f>IF(K$4&gt;DAY(EOMONTH(DATE($D$2,$B$2,1),0)),"",IFERROR(SUMIFS(DATA_GOC!$H:$H,DATA_GOC!$A:$A,"BOM",DATA_GOC!$D:$D,$B329,DATA_GOC!$E:$E,"Dầu thủy lực",DATA_GOC!$F:$F,"Xuất nội bộ từ téc",DATA_GOC!$B:$B,DATE($D$2,$B$2,K$4)),0))</f>
        <v>0</v>
      </c>
      <c r="L329" s="251">
        <f>IF(L$4&gt;DAY(EOMONTH(DATE($D$2,$B$2,1),0)),"",IFERROR(SUMIFS(DATA_GOC!$H:$H,DATA_GOC!$A:$A,"BOM",DATA_GOC!$D:$D,$B329,DATA_GOC!$E:$E,"Dầu thủy lực",DATA_GOC!$F:$F,"Xuất nội bộ từ téc",DATA_GOC!$B:$B,DATE($D$2,$B$2,L$4)),0))</f>
        <v>0</v>
      </c>
      <c r="M329" s="251">
        <f>IF(M$4&gt;DAY(EOMONTH(DATE($D$2,$B$2,1),0)),"",IFERROR(SUMIFS(DATA_GOC!$H:$H,DATA_GOC!$A:$A,"BOM",DATA_GOC!$D:$D,$B329,DATA_GOC!$E:$E,"Dầu thủy lực",DATA_GOC!$F:$F,"Xuất nội bộ từ téc",DATA_GOC!$B:$B,DATE($D$2,$B$2,M$4)),0))</f>
        <v>0</v>
      </c>
      <c r="N329" s="251">
        <f>IF(N$4&gt;DAY(EOMONTH(DATE($D$2,$B$2,1),0)),"",IFERROR(SUMIFS(DATA_GOC!$H:$H,DATA_GOC!$A:$A,"BOM",DATA_GOC!$D:$D,$B329,DATA_GOC!$E:$E,"Dầu thủy lực",DATA_GOC!$F:$F,"Xuất nội bộ từ téc",DATA_GOC!$B:$B,DATE($D$2,$B$2,N$4)),0))</f>
        <v>0</v>
      </c>
      <c r="O329" s="251">
        <f>IF(O$4&gt;DAY(EOMONTH(DATE($D$2,$B$2,1),0)),"",IFERROR(SUMIFS(DATA_GOC!$H:$H,DATA_GOC!$A:$A,"BOM",DATA_GOC!$D:$D,$B329,DATA_GOC!$E:$E,"Dầu thủy lực",DATA_GOC!$F:$F,"Xuất nội bộ từ téc",DATA_GOC!$B:$B,DATE($D$2,$B$2,O$4)),0))</f>
        <v>0</v>
      </c>
      <c r="P329" s="251">
        <f>IF(P$4&gt;DAY(EOMONTH(DATE($D$2,$B$2,1),0)),"",IFERROR(SUMIFS(DATA_GOC!$H:$H,DATA_GOC!$A:$A,"BOM",DATA_GOC!$D:$D,$B329,DATA_GOC!$E:$E,"Dầu thủy lực",DATA_GOC!$F:$F,"Xuất nội bộ từ téc",DATA_GOC!$B:$B,DATE($D$2,$B$2,P$4)),0))</f>
        <v>0</v>
      </c>
      <c r="Q329" s="251">
        <f>IF(Q$4&gt;DAY(EOMONTH(DATE($D$2,$B$2,1),0)),"",IFERROR(SUMIFS(DATA_GOC!$H:$H,DATA_GOC!$A:$A,"BOM",DATA_GOC!$D:$D,$B329,DATA_GOC!$E:$E,"Dầu thủy lực",DATA_GOC!$F:$F,"Xuất nội bộ từ téc",DATA_GOC!$B:$B,DATE($D$2,$B$2,Q$4)),0))</f>
        <v>0</v>
      </c>
      <c r="R329" s="251">
        <f>IF(R$4&gt;DAY(EOMONTH(DATE($D$2,$B$2,1),0)),"",IFERROR(SUMIFS(DATA_GOC!$H:$H,DATA_GOC!$A:$A,"BOM",DATA_GOC!$D:$D,$B329,DATA_GOC!$E:$E,"Dầu thủy lực",DATA_GOC!$F:$F,"Xuất nội bộ từ téc",DATA_GOC!$B:$B,DATE($D$2,$B$2,R$4)),0))</f>
        <v>0</v>
      </c>
      <c r="S329" s="251">
        <f>IF(S$4&gt;DAY(EOMONTH(DATE($D$2,$B$2,1),0)),"",IFERROR(SUMIFS(DATA_GOC!$H:$H,DATA_GOC!$A:$A,"BOM",DATA_GOC!$D:$D,$B329,DATA_GOC!$E:$E,"Dầu thủy lực",DATA_GOC!$F:$F,"Xuất nội bộ từ téc",DATA_GOC!$B:$B,DATE($D$2,$B$2,S$4)),0))</f>
        <v>0</v>
      </c>
      <c r="T329" s="251">
        <f>IF(T$4&gt;DAY(EOMONTH(DATE($D$2,$B$2,1),0)),"",IFERROR(SUMIFS(DATA_GOC!$H:$H,DATA_GOC!$A:$A,"BOM",DATA_GOC!$D:$D,$B329,DATA_GOC!$E:$E,"Dầu thủy lực",DATA_GOC!$F:$F,"Xuất nội bộ từ téc",DATA_GOC!$B:$B,DATE($D$2,$B$2,T$4)),0))</f>
        <v>0</v>
      </c>
      <c r="U329" s="251">
        <f>IF(U$4&gt;DAY(EOMONTH(DATE($D$2,$B$2,1),0)),"",IFERROR(SUMIFS(DATA_GOC!$H:$H,DATA_GOC!$A:$A,"BOM",DATA_GOC!$D:$D,$B329,DATA_GOC!$E:$E,"Dầu thủy lực",DATA_GOC!$F:$F,"Xuất nội bộ từ téc",DATA_GOC!$B:$B,DATE($D$2,$B$2,U$4)),0))</f>
        <v>0</v>
      </c>
      <c r="V329" s="251">
        <f>IF(V$4&gt;DAY(EOMONTH(DATE($D$2,$B$2,1),0)),"",IFERROR(SUMIFS(DATA_GOC!$H:$H,DATA_GOC!$A:$A,"BOM",DATA_GOC!$D:$D,$B329,DATA_GOC!$E:$E,"Dầu thủy lực",DATA_GOC!$F:$F,"Xuất nội bộ từ téc",DATA_GOC!$B:$B,DATE($D$2,$B$2,V$4)),0))</f>
        <v>0</v>
      </c>
      <c r="W329" s="251">
        <f>IF(W$4&gt;DAY(EOMONTH(DATE($D$2,$B$2,1),0)),"",IFERROR(SUMIFS(DATA_GOC!$H:$H,DATA_GOC!$A:$A,"BOM",DATA_GOC!$D:$D,$B329,DATA_GOC!$E:$E,"Dầu thủy lực",DATA_GOC!$F:$F,"Xuất nội bộ từ téc",DATA_GOC!$B:$B,DATE($D$2,$B$2,W$4)),0))</f>
        <v>0</v>
      </c>
      <c r="X329" s="251">
        <f>IF(X$4&gt;DAY(EOMONTH(DATE($D$2,$B$2,1),0)),"",IFERROR(SUMIFS(DATA_GOC!$H:$H,DATA_GOC!$A:$A,"BOM",DATA_GOC!$D:$D,$B329,DATA_GOC!$E:$E,"Dầu thủy lực",DATA_GOC!$F:$F,"Xuất nội bộ từ téc",DATA_GOC!$B:$B,DATE($D$2,$B$2,X$4)),0))</f>
        <v>0</v>
      </c>
      <c r="Y329" s="251">
        <f>IF(Y$4&gt;DAY(EOMONTH(DATE($D$2,$B$2,1),0)),"",IFERROR(SUMIFS(DATA_GOC!$H:$H,DATA_GOC!$A:$A,"BOM",DATA_GOC!$D:$D,$B329,DATA_GOC!$E:$E,"Dầu thủy lực",DATA_GOC!$F:$F,"Xuất nội bộ từ téc",DATA_GOC!$B:$B,DATE($D$2,$B$2,Y$4)),0))</f>
        <v>0</v>
      </c>
      <c r="Z329" s="251">
        <f>IF(Z$4&gt;DAY(EOMONTH(DATE($D$2,$B$2,1),0)),"",IFERROR(SUMIFS(DATA_GOC!$H:$H,DATA_GOC!$A:$A,"BOM",DATA_GOC!$D:$D,$B329,DATA_GOC!$E:$E,"Dầu thủy lực",DATA_GOC!$F:$F,"Xuất nội bộ từ téc",DATA_GOC!$B:$B,DATE($D$2,$B$2,Z$4)),0))</f>
        <v>0</v>
      </c>
      <c r="AA329" s="251">
        <f>IF(AA$4&gt;DAY(EOMONTH(DATE($D$2,$B$2,1),0)),"",IFERROR(SUMIFS(DATA_GOC!$H:$H,DATA_GOC!$A:$A,"BOM",DATA_GOC!$D:$D,$B329,DATA_GOC!$E:$E,"Dầu thủy lực",DATA_GOC!$F:$F,"Xuất nội bộ từ téc",DATA_GOC!$B:$B,DATE($D$2,$B$2,AA$4)),0))</f>
        <v>0</v>
      </c>
      <c r="AB329" s="251">
        <f>IF(AB$4&gt;DAY(EOMONTH(DATE($D$2,$B$2,1),0)),"",IFERROR(SUMIFS(DATA_GOC!$H:$H,DATA_GOC!$A:$A,"BOM",DATA_GOC!$D:$D,$B329,DATA_GOC!$E:$E,"Dầu thủy lực",DATA_GOC!$F:$F,"Xuất nội bộ từ téc",DATA_GOC!$B:$B,DATE($D$2,$B$2,AB$4)),0))</f>
        <v>0</v>
      </c>
      <c r="AC329" s="251">
        <f>IF(AC$4&gt;DAY(EOMONTH(DATE($D$2,$B$2,1),0)),"",IFERROR(SUMIFS(DATA_GOC!$H:$H,DATA_GOC!$A:$A,"BOM",DATA_GOC!$D:$D,$B329,DATA_GOC!$E:$E,"Dầu thủy lực",DATA_GOC!$F:$F,"Xuất nội bộ từ téc",DATA_GOC!$B:$B,DATE($D$2,$B$2,AC$4)),0))</f>
        <v>0</v>
      </c>
      <c r="AD329" s="251">
        <f>IF(AD$4&gt;DAY(EOMONTH(DATE($D$2,$B$2,1),0)),"",IFERROR(SUMIFS(DATA_GOC!$H:$H,DATA_GOC!$A:$A,"BOM",DATA_GOC!$D:$D,$B329,DATA_GOC!$E:$E,"Dầu thủy lực",DATA_GOC!$F:$F,"Xuất nội bộ từ téc",DATA_GOC!$B:$B,DATE($D$2,$B$2,AD$4)),0))</f>
        <v>0</v>
      </c>
      <c r="AE329" s="251">
        <f>IF(AE$4&gt;DAY(EOMONTH(DATE($D$2,$B$2,1),0)),"",IFERROR(SUMIFS(DATA_GOC!$H:$H,DATA_GOC!$A:$A,"BOM",DATA_GOC!$D:$D,$B329,DATA_GOC!$E:$E,"Dầu thủy lực",DATA_GOC!$F:$F,"Xuất nội bộ từ téc",DATA_GOC!$B:$B,DATE($D$2,$B$2,AE$4)),0))</f>
        <v>0</v>
      </c>
      <c r="AF329" s="251">
        <f>IF(AF$4&gt;DAY(EOMONTH(DATE($D$2,$B$2,1),0)),"",IFERROR(SUMIFS(DATA_GOC!$H:$H,DATA_GOC!$A:$A,"BOM",DATA_GOC!$D:$D,$B329,DATA_GOC!$E:$E,"Dầu thủy lực",DATA_GOC!$F:$F,"Xuất nội bộ từ téc",DATA_GOC!$B:$B,DATE($D$2,$B$2,AF$4)),0))</f>
        <v>0</v>
      </c>
      <c r="AG329" s="251">
        <f>IF(AG$4&gt;DAY(EOMONTH(DATE($D$2,$B$2,1),0)),"",IFERROR(SUMIFS(DATA_GOC!$H:$H,DATA_GOC!$A:$A,"BOM",DATA_GOC!$D:$D,$B329,DATA_GOC!$E:$E,"Dầu thủy lực",DATA_GOC!$F:$F,"Xuất nội bộ từ téc",DATA_GOC!$B:$B,DATE($D$2,$B$2,AG$4)),0))</f>
        <v>0</v>
      </c>
      <c r="AH329" s="252">
        <f t="shared" si="16"/>
        <v>0</v>
      </c>
      <c r="AI329" s="241"/>
      <c r="AJ329" s="242">
        <f>IF($B329="","",SUMIFS(TINH_TEC!$K$233:$K$9232,TINH_TEC!$H$233:$H$9232,$B329,TINH_TEC!$C$233:$C$9232,"Dầu thủy lực",TINH_TEC!$F$233:$F$9232,$B$2,TINH_TEC!$G$233:$G$9232,$D$2,TINH_TEC!$B$233:$B$9232,"Đã chốt"))</f>
        <v>0</v>
      </c>
      <c r="AK329" s="242">
        <f>IF($B329="","",SUMIFS(TINH_TEC!$J$233:$J$9232,TINH_TEC!$H$233:$H$9232,$B329,TINH_TEC!$C$233:$C$9232,"Dầu thủy lực",TINH_TEC!$F$233:$F$9232,$B$2,TINH_TEC!$G$233:$G$9232,$D$2,TINH_TEC!$B$233:$B$9232,"Đã chốt"))</f>
        <v>0</v>
      </c>
      <c r="AL329" s="242">
        <f t="shared" si="17"/>
        <v>0</v>
      </c>
    </row>
    <row r="330" ht="15.75" customHeight="1">
      <c r="A330" s="237">
        <f>IF($B330&lt;&gt;"",20,"")</f>
        <v>20</v>
      </c>
      <c r="B330" s="250" t="str">
        <f t="array" ref="B330">IFERROR(INDEX(DANH_MUC!$E:$E,23),"")</f>
        <v>28C03652</v>
      </c>
      <c r="C330" s="251">
        <f>IF(C$4&gt;DAY(EOMONTH(DATE($D$2,$B$2,1),0)),"",IFERROR(SUMIFS(DATA_GOC!$H:$H,DATA_GOC!$A:$A,"BOM",DATA_GOC!$D:$D,$B330,DATA_GOC!$E:$E,"Dầu thủy lực",DATA_GOC!$F:$F,"Xuất nội bộ từ téc",DATA_GOC!$B:$B,DATE($D$2,$B$2,C$4)),0))</f>
        <v>0</v>
      </c>
      <c r="D330" s="251">
        <f>IF(D$4&gt;DAY(EOMONTH(DATE($D$2,$B$2,1),0)),"",IFERROR(SUMIFS(DATA_GOC!$H:$H,DATA_GOC!$A:$A,"BOM",DATA_GOC!$D:$D,$B330,DATA_GOC!$E:$E,"Dầu thủy lực",DATA_GOC!$F:$F,"Xuất nội bộ từ téc",DATA_GOC!$B:$B,DATE($D$2,$B$2,D$4)),0))</f>
        <v>0</v>
      </c>
      <c r="E330" s="251">
        <f>IF(E$4&gt;DAY(EOMONTH(DATE($D$2,$B$2,1),0)),"",IFERROR(SUMIFS(DATA_GOC!$H:$H,DATA_GOC!$A:$A,"BOM",DATA_GOC!$D:$D,$B330,DATA_GOC!$E:$E,"Dầu thủy lực",DATA_GOC!$F:$F,"Xuất nội bộ từ téc",DATA_GOC!$B:$B,DATE($D$2,$B$2,E$4)),0))</f>
        <v>0</v>
      </c>
      <c r="F330" s="251">
        <f>IF(F$4&gt;DAY(EOMONTH(DATE($D$2,$B$2,1),0)),"",IFERROR(SUMIFS(DATA_GOC!$H:$H,DATA_GOC!$A:$A,"BOM",DATA_GOC!$D:$D,$B330,DATA_GOC!$E:$E,"Dầu thủy lực",DATA_GOC!$F:$F,"Xuất nội bộ từ téc",DATA_GOC!$B:$B,DATE($D$2,$B$2,F$4)),0))</f>
        <v>0</v>
      </c>
      <c r="G330" s="251">
        <f>IF(G$4&gt;DAY(EOMONTH(DATE($D$2,$B$2,1),0)),"",IFERROR(SUMIFS(DATA_GOC!$H:$H,DATA_GOC!$A:$A,"BOM",DATA_GOC!$D:$D,$B330,DATA_GOC!$E:$E,"Dầu thủy lực",DATA_GOC!$F:$F,"Xuất nội bộ từ téc",DATA_GOC!$B:$B,DATE($D$2,$B$2,G$4)),0))</f>
        <v>0</v>
      </c>
      <c r="H330" s="251">
        <f>IF(H$4&gt;DAY(EOMONTH(DATE($D$2,$B$2,1),0)),"",IFERROR(SUMIFS(DATA_GOC!$H:$H,DATA_GOC!$A:$A,"BOM",DATA_GOC!$D:$D,$B330,DATA_GOC!$E:$E,"Dầu thủy lực",DATA_GOC!$F:$F,"Xuất nội bộ từ téc",DATA_GOC!$B:$B,DATE($D$2,$B$2,H$4)),0))</f>
        <v>0</v>
      </c>
      <c r="I330" s="251">
        <f>IF(I$4&gt;DAY(EOMONTH(DATE($D$2,$B$2,1),0)),"",IFERROR(SUMIFS(DATA_GOC!$H:$H,DATA_GOC!$A:$A,"BOM",DATA_GOC!$D:$D,$B330,DATA_GOC!$E:$E,"Dầu thủy lực",DATA_GOC!$F:$F,"Xuất nội bộ từ téc",DATA_GOC!$B:$B,DATE($D$2,$B$2,I$4)),0))</f>
        <v>0</v>
      </c>
      <c r="J330" s="251">
        <f>IF(J$4&gt;DAY(EOMONTH(DATE($D$2,$B$2,1),0)),"",IFERROR(SUMIFS(DATA_GOC!$H:$H,DATA_GOC!$A:$A,"BOM",DATA_GOC!$D:$D,$B330,DATA_GOC!$E:$E,"Dầu thủy lực",DATA_GOC!$F:$F,"Xuất nội bộ từ téc",DATA_GOC!$B:$B,DATE($D$2,$B$2,J$4)),0))</f>
        <v>0</v>
      </c>
      <c r="K330" s="251">
        <f>IF(K$4&gt;DAY(EOMONTH(DATE($D$2,$B$2,1),0)),"",IFERROR(SUMIFS(DATA_GOC!$H:$H,DATA_GOC!$A:$A,"BOM",DATA_GOC!$D:$D,$B330,DATA_GOC!$E:$E,"Dầu thủy lực",DATA_GOC!$F:$F,"Xuất nội bộ từ téc",DATA_GOC!$B:$B,DATE($D$2,$B$2,K$4)),0))</f>
        <v>0</v>
      </c>
      <c r="L330" s="251">
        <f>IF(L$4&gt;DAY(EOMONTH(DATE($D$2,$B$2,1),0)),"",IFERROR(SUMIFS(DATA_GOC!$H:$H,DATA_GOC!$A:$A,"BOM",DATA_GOC!$D:$D,$B330,DATA_GOC!$E:$E,"Dầu thủy lực",DATA_GOC!$F:$F,"Xuất nội bộ từ téc",DATA_GOC!$B:$B,DATE($D$2,$B$2,L$4)),0))</f>
        <v>0</v>
      </c>
      <c r="M330" s="251">
        <f>IF(M$4&gt;DAY(EOMONTH(DATE($D$2,$B$2,1),0)),"",IFERROR(SUMIFS(DATA_GOC!$H:$H,DATA_GOC!$A:$A,"BOM",DATA_GOC!$D:$D,$B330,DATA_GOC!$E:$E,"Dầu thủy lực",DATA_GOC!$F:$F,"Xuất nội bộ từ téc",DATA_GOC!$B:$B,DATE($D$2,$B$2,M$4)),0))</f>
        <v>0</v>
      </c>
      <c r="N330" s="251">
        <f>IF(N$4&gt;DAY(EOMONTH(DATE($D$2,$B$2,1),0)),"",IFERROR(SUMIFS(DATA_GOC!$H:$H,DATA_GOC!$A:$A,"BOM",DATA_GOC!$D:$D,$B330,DATA_GOC!$E:$E,"Dầu thủy lực",DATA_GOC!$F:$F,"Xuất nội bộ từ téc",DATA_GOC!$B:$B,DATE($D$2,$B$2,N$4)),0))</f>
        <v>0</v>
      </c>
      <c r="O330" s="251">
        <f>IF(O$4&gt;DAY(EOMONTH(DATE($D$2,$B$2,1),0)),"",IFERROR(SUMIFS(DATA_GOC!$H:$H,DATA_GOC!$A:$A,"BOM",DATA_GOC!$D:$D,$B330,DATA_GOC!$E:$E,"Dầu thủy lực",DATA_GOC!$F:$F,"Xuất nội bộ từ téc",DATA_GOC!$B:$B,DATE($D$2,$B$2,O$4)),0))</f>
        <v>0</v>
      </c>
      <c r="P330" s="251">
        <f>IF(P$4&gt;DAY(EOMONTH(DATE($D$2,$B$2,1),0)),"",IFERROR(SUMIFS(DATA_GOC!$H:$H,DATA_GOC!$A:$A,"BOM",DATA_GOC!$D:$D,$B330,DATA_GOC!$E:$E,"Dầu thủy lực",DATA_GOC!$F:$F,"Xuất nội bộ từ téc",DATA_GOC!$B:$B,DATE($D$2,$B$2,P$4)),0))</f>
        <v>0</v>
      </c>
      <c r="Q330" s="251">
        <f>IF(Q$4&gt;DAY(EOMONTH(DATE($D$2,$B$2,1),0)),"",IFERROR(SUMIFS(DATA_GOC!$H:$H,DATA_GOC!$A:$A,"BOM",DATA_GOC!$D:$D,$B330,DATA_GOC!$E:$E,"Dầu thủy lực",DATA_GOC!$F:$F,"Xuất nội bộ từ téc",DATA_GOC!$B:$B,DATE($D$2,$B$2,Q$4)),0))</f>
        <v>0</v>
      </c>
      <c r="R330" s="251">
        <f>IF(R$4&gt;DAY(EOMONTH(DATE($D$2,$B$2,1),0)),"",IFERROR(SUMIFS(DATA_GOC!$H:$H,DATA_GOC!$A:$A,"BOM",DATA_GOC!$D:$D,$B330,DATA_GOC!$E:$E,"Dầu thủy lực",DATA_GOC!$F:$F,"Xuất nội bộ từ téc",DATA_GOC!$B:$B,DATE($D$2,$B$2,R$4)),0))</f>
        <v>0</v>
      </c>
      <c r="S330" s="251">
        <f>IF(S$4&gt;DAY(EOMONTH(DATE($D$2,$B$2,1),0)),"",IFERROR(SUMIFS(DATA_GOC!$H:$H,DATA_GOC!$A:$A,"BOM",DATA_GOC!$D:$D,$B330,DATA_GOC!$E:$E,"Dầu thủy lực",DATA_GOC!$F:$F,"Xuất nội bộ từ téc",DATA_GOC!$B:$B,DATE($D$2,$B$2,S$4)),0))</f>
        <v>0</v>
      </c>
      <c r="T330" s="251">
        <f>IF(T$4&gt;DAY(EOMONTH(DATE($D$2,$B$2,1),0)),"",IFERROR(SUMIFS(DATA_GOC!$H:$H,DATA_GOC!$A:$A,"BOM",DATA_GOC!$D:$D,$B330,DATA_GOC!$E:$E,"Dầu thủy lực",DATA_GOC!$F:$F,"Xuất nội bộ từ téc",DATA_GOC!$B:$B,DATE($D$2,$B$2,T$4)),0))</f>
        <v>0</v>
      </c>
      <c r="U330" s="251">
        <f>IF(U$4&gt;DAY(EOMONTH(DATE($D$2,$B$2,1),0)),"",IFERROR(SUMIFS(DATA_GOC!$H:$H,DATA_GOC!$A:$A,"BOM",DATA_GOC!$D:$D,$B330,DATA_GOC!$E:$E,"Dầu thủy lực",DATA_GOC!$F:$F,"Xuất nội bộ từ téc",DATA_GOC!$B:$B,DATE($D$2,$B$2,U$4)),0))</f>
        <v>0</v>
      </c>
      <c r="V330" s="251">
        <f>IF(V$4&gt;DAY(EOMONTH(DATE($D$2,$B$2,1),0)),"",IFERROR(SUMIFS(DATA_GOC!$H:$H,DATA_GOC!$A:$A,"BOM",DATA_GOC!$D:$D,$B330,DATA_GOC!$E:$E,"Dầu thủy lực",DATA_GOC!$F:$F,"Xuất nội bộ từ téc",DATA_GOC!$B:$B,DATE($D$2,$B$2,V$4)),0))</f>
        <v>0</v>
      </c>
      <c r="W330" s="251">
        <f>IF(W$4&gt;DAY(EOMONTH(DATE($D$2,$B$2,1),0)),"",IFERROR(SUMIFS(DATA_GOC!$H:$H,DATA_GOC!$A:$A,"BOM",DATA_GOC!$D:$D,$B330,DATA_GOC!$E:$E,"Dầu thủy lực",DATA_GOC!$F:$F,"Xuất nội bộ từ téc",DATA_GOC!$B:$B,DATE($D$2,$B$2,W$4)),0))</f>
        <v>0</v>
      </c>
      <c r="X330" s="251">
        <f>IF(X$4&gt;DAY(EOMONTH(DATE($D$2,$B$2,1),0)),"",IFERROR(SUMIFS(DATA_GOC!$H:$H,DATA_GOC!$A:$A,"BOM",DATA_GOC!$D:$D,$B330,DATA_GOC!$E:$E,"Dầu thủy lực",DATA_GOC!$F:$F,"Xuất nội bộ từ téc",DATA_GOC!$B:$B,DATE($D$2,$B$2,X$4)),0))</f>
        <v>0</v>
      </c>
      <c r="Y330" s="251">
        <f>IF(Y$4&gt;DAY(EOMONTH(DATE($D$2,$B$2,1),0)),"",IFERROR(SUMIFS(DATA_GOC!$H:$H,DATA_GOC!$A:$A,"BOM",DATA_GOC!$D:$D,$B330,DATA_GOC!$E:$E,"Dầu thủy lực",DATA_GOC!$F:$F,"Xuất nội bộ từ téc",DATA_GOC!$B:$B,DATE($D$2,$B$2,Y$4)),0))</f>
        <v>0</v>
      </c>
      <c r="Z330" s="251">
        <f>IF(Z$4&gt;DAY(EOMONTH(DATE($D$2,$B$2,1),0)),"",IFERROR(SUMIFS(DATA_GOC!$H:$H,DATA_GOC!$A:$A,"BOM",DATA_GOC!$D:$D,$B330,DATA_GOC!$E:$E,"Dầu thủy lực",DATA_GOC!$F:$F,"Xuất nội bộ từ téc",DATA_GOC!$B:$B,DATE($D$2,$B$2,Z$4)),0))</f>
        <v>0</v>
      </c>
      <c r="AA330" s="251">
        <f>IF(AA$4&gt;DAY(EOMONTH(DATE($D$2,$B$2,1),0)),"",IFERROR(SUMIFS(DATA_GOC!$H:$H,DATA_GOC!$A:$A,"BOM",DATA_GOC!$D:$D,$B330,DATA_GOC!$E:$E,"Dầu thủy lực",DATA_GOC!$F:$F,"Xuất nội bộ từ téc",DATA_GOC!$B:$B,DATE($D$2,$B$2,AA$4)),0))</f>
        <v>0</v>
      </c>
      <c r="AB330" s="251">
        <f>IF(AB$4&gt;DAY(EOMONTH(DATE($D$2,$B$2,1),0)),"",IFERROR(SUMIFS(DATA_GOC!$H:$H,DATA_GOC!$A:$A,"BOM",DATA_GOC!$D:$D,$B330,DATA_GOC!$E:$E,"Dầu thủy lực",DATA_GOC!$F:$F,"Xuất nội bộ từ téc",DATA_GOC!$B:$B,DATE($D$2,$B$2,AB$4)),0))</f>
        <v>0</v>
      </c>
      <c r="AC330" s="251">
        <f>IF(AC$4&gt;DAY(EOMONTH(DATE($D$2,$B$2,1),0)),"",IFERROR(SUMIFS(DATA_GOC!$H:$H,DATA_GOC!$A:$A,"BOM",DATA_GOC!$D:$D,$B330,DATA_GOC!$E:$E,"Dầu thủy lực",DATA_GOC!$F:$F,"Xuất nội bộ từ téc",DATA_GOC!$B:$B,DATE($D$2,$B$2,AC$4)),0))</f>
        <v>0</v>
      </c>
      <c r="AD330" s="251">
        <f>IF(AD$4&gt;DAY(EOMONTH(DATE($D$2,$B$2,1),0)),"",IFERROR(SUMIFS(DATA_GOC!$H:$H,DATA_GOC!$A:$A,"BOM",DATA_GOC!$D:$D,$B330,DATA_GOC!$E:$E,"Dầu thủy lực",DATA_GOC!$F:$F,"Xuất nội bộ từ téc",DATA_GOC!$B:$B,DATE($D$2,$B$2,AD$4)),0))</f>
        <v>0</v>
      </c>
      <c r="AE330" s="251">
        <f>IF(AE$4&gt;DAY(EOMONTH(DATE($D$2,$B$2,1),0)),"",IFERROR(SUMIFS(DATA_GOC!$H:$H,DATA_GOC!$A:$A,"BOM",DATA_GOC!$D:$D,$B330,DATA_GOC!$E:$E,"Dầu thủy lực",DATA_GOC!$F:$F,"Xuất nội bộ từ téc",DATA_GOC!$B:$B,DATE($D$2,$B$2,AE$4)),0))</f>
        <v>0</v>
      </c>
      <c r="AF330" s="251">
        <f>IF(AF$4&gt;DAY(EOMONTH(DATE($D$2,$B$2,1),0)),"",IFERROR(SUMIFS(DATA_GOC!$H:$H,DATA_GOC!$A:$A,"BOM",DATA_GOC!$D:$D,$B330,DATA_GOC!$E:$E,"Dầu thủy lực",DATA_GOC!$F:$F,"Xuất nội bộ từ téc",DATA_GOC!$B:$B,DATE($D$2,$B$2,AF$4)),0))</f>
        <v>0</v>
      </c>
      <c r="AG330" s="251">
        <f>IF(AG$4&gt;DAY(EOMONTH(DATE($D$2,$B$2,1),0)),"",IFERROR(SUMIFS(DATA_GOC!$H:$H,DATA_GOC!$A:$A,"BOM",DATA_GOC!$D:$D,$B330,DATA_GOC!$E:$E,"Dầu thủy lực",DATA_GOC!$F:$F,"Xuất nội bộ từ téc",DATA_GOC!$B:$B,DATE($D$2,$B$2,AG$4)),0))</f>
        <v>0</v>
      </c>
      <c r="AH330" s="252">
        <f t="shared" si="16"/>
        <v>0</v>
      </c>
      <c r="AI330" s="241"/>
      <c r="AJ330" s="242">
        <f>IF($B330="","",SUMIFS(TINH_TEC!$K$233:$K$9232,TINH_TEC!$H$233:$H$9232,$B330,TINH_TEC!$C$233:$C$9232,"Dầu thủy lực",TINH_TEC!$F$233:$F$9232,$B$2,TINH_TEC!$G$233:$G$9232,$D$2,TINH_TEC!$B$233:$B$9232,"Đã chốt"))</f>
        <v>0</v>
      </c>
      <c r="AK330" s="242">
        <f>IF($B330="","",SUMIFS(TINH_TEC!$J$233:$J$9232,TINH_TEC!$H$233:$H$9232,$B330,TINH_TEC!$C$233:$C$9232,"Dầu thủy lực",TINH_TEC!$F$233:$F$9232,$B$2,TINH_TEC!$G$233:$G$9232,$D$2,TINH_TEC!$B$233:$B$9232,"Đã chốt"))</f>
        <v>0</v>
      </c>
      <c r="AL330" s="242">
        <f t="shared" si="17"/>
        <v>0</v>
      </c>
    </row>
    <row r="331" ht="15.75" customHeight="1">
      <c r="A331" s="237">
        <f>IF($B331&lt;&gt;"",21,"")</f>
        <v>21</v>
      </c>
      <c r="B331" s="250" t="str">
        <f t="array" ref="B331">IFERROR(INDEX(DANH_MUC!$E:$E,24),"")</f>
        <v>28C03695</v>
      </c>
      <c r="C331" s="251">
        <f>IF(C$4&gt;DAY(EOMONTH(DATE($D$2,$B$2,1),0)),"",IFERROR(SUMIFS(DATA_GOC!$H:$H,DATA_GOC!$A:$A,"BOM",DATA_GOC!$D:$D,$B331,DATA_GOC!$E:$E,"Dầu thủy lực",DATA_GOC!$F:$F,"Xuất nội bộ từ téc",DATA_GOC!$B:$B,DATE($D$2,$B$2,C$4)),0))</f>
        <v>0</v>
      </c>
      <c r="D331" s="251">
        <f>IF(D$4&gt;DAY(EOMONTH(DATE($D$2,$B$2,1),0)),"",IFERROR(SUMIFS(DATA_GOC!$H:$H,DATA_GOC!$A:$A,"BOM",DATA_GOC!$D:$D,$B331,DATA_GOC!$E:$E,"Dầu thủy lực",DATA_GOC!$F:$F,"Xuất nội bộ từ téc",DATA_GOC!$B:$B,DATE($D$2,$B$2,D$4)),0))</f>
        <v>0</v>
      </c>
      <c r="E331" s="251">
        <f>IF(E$4&gt;DAY(EOMONTH(DATE($D$2,$B$2,1),0)),"",IFERROR(SUMIFS(DATA_GOC!$H:$H,DATA_GOC!$A:$A,"BOM",DATA_GOC!$D:$D,$B331,DATA_GOC!$E:$E,"Dầu thủy lực",DATA_GOC!$F:$F,"Xuất nội bộ từ téc",DATA_GOC!$B:$B,DATE($D$2,$B$2,E$4)),0))</f>
        <v>0</v>
      </c>
      <c r="F331" s="251">
        <f>IF(F$4&gt;DAY(EOMONTH(DATE($D$2,$B$2,1),0)),"",IFERROR(SUMIFS(DATA_GOC!$H:$H,DATA_GOC!$A:$A,"BOM",DATA_GOC!$D:$D,$B331,DATA_GOC!$E:$E,"Dầu thủy lực",DATA_GOC!$F:$F,"Xuất nội bộ từ téc",DATA_GOC!$B:$B,DATE($D$2,$B$2,F$4)),0))</f>
        <v>0</v>
      </c>
      <c r="G331" s="251">
        <f>IF(G$4&gt;DAY(EOMONTH(DATE($D$2,$B$2,1),0)),"",IFERROR(SUMIFS(DATA_GOC!$H:$H,DATA_GOC!$A:$A,"BOM",DATA_GOC!$D:$D,$B331,DATA_GOC!$E:$E,"Dầu thủy lực",DATA_GOC!$F:$F,"Xuất nội bộ từ téc",DATA_GOC!$B:$B,DATE($D$2,$B$2,G$4)),0))</f>
        <v>0</v>
      </c>
      <c r="H331" s="251">
        <f>IF(H$4&gt;DAY(EOMONTH(DATE($D$2,$B$2,1),0)),"",IFERROR(SUMIFS(DATA_GOC!$H:$H,DATA_GOC!$A:$A,"BOM",DATA_GOC!$D:$D,$B331,DATA_GOC!$E:$E,"Dầu thủy lực",DATA_GOC!$F:$F,"Xuất nội bộ từ téc",DATA_GOC!$B:$B,DATE($D$2,$B$2,H$4)),0))</f>
        <v>0</v>
      </c>
      <c r="I331" s="251">
        <f>IF(I$4&gt;DAY(EOMONTH(DATE($D$2,$B$2,1),0)),"",IFERROR(SUMIFS(DATA_GOC!$H:$H,DATA_GOC!$A:$A,"BOM",DATA_GOC!$D:$D,$B331,DATA_GOC!$E:$E,"Dầu thủy lực",DATA_GOC!$F:$F,"Xuất nội bộ từ téc",DATA_GOC!$B:$B,DATE($D$2,$B$2,I$4)),0))</f>
        <v>0</v>
      </c>
      <c r="J331" s="251">
        <f>IF(J$4&gt;DAY(EOMONTH(DATE($D$2,$B$2,1),0)),"",IFERROR(SUMIFS(DATA_GOC!$H:$H,DATA_GOC!$A:$A,"BOM",DATA_GOC!$D:$D,$B331,DATA_GOC!$E:$E,"Dầu thủy lực",DATA_GOC!$F:$F,"Xuất nội bộ từ téc",DATA_GOC!$B:$B,DATE($D$2,$B$2,J$4)),0))</f>
        <v>0</v>
      </c>
      <c r="K331" s="251">
        <f>IF(K$4&gt;DAY(EOMONTH(DATE($D$2,$B$2,1),0)),"",IFERROR(SUMIFS(DATA_GOC!$H:$H,DATA_GOC!$A:$A,"BOM",DATA_GOC!$D:$D,$B331,DATA_GOC!$E:$E,"Dầu thủy lực",DATA_GOC!$F:$F,"Xuất nội bộ từ téc",DATA_GOC!$B:$B,DATE($D$2,$B$2,K$4)),0))</f>
        <v>0</v>
      </c>
      <c r="L331" s="251">
        <f>IF(L$4&gt;DAY(EOMONTH(DATE($D$2,$B$2,1),0)),"",IFERROR(SUMIFS(DATA_GOC!$H:$H,DATA_GOC!$A:$A,"BOM",DATA_GOC!$D:$D,$B331,DATA_GOC!$E:$E,"Dầu thủy lực",DATA_GOC!$F:$F,"Xuất nội bộ từ téc",DATA_GOC!$B:$B,DATE($D$2,$B$2,L$4)),0))</f>
        <v>0</v>
      </c>
      <c r="M331" s="251">
        <f>IF(M$4&gt;DAY(EOMONTH(DATE($D$2,$B$2,1),0)),"",IFERROR(SUMIFS(DATA_GOC!$H:$H,DATA_GOC!$A:$A,"BOM",DATA_GOC!$D:$D,$B331,DATA_GOC!$E:$E,"Dầu thủy lực",DATA_GOC!$F:$F,"Xuất nội bộ từ téc",DATA_GOC!$B:$B,DATE($D$2,$B$2,M$4)),0))</f>
        <v>0</v>
      </c>
      <c r="N331" s="251">
        <f>IF(N$4&gt;DAY(EOMONTH(DATE($D$2,$B$2,1),0)),"",IFERROR(SUMIFS(DATA_GOC!$H:$H,DATA_GOC!$A:$A,"BOM",DATA_GOC!$D:$D,$B331,DATA_GOC!$E:$E,"Dầu thủy lực",DATA_GOC!$F:$F,"Xuất nội bộ từ téc",DATA_GOC!$B:$B,DATE($D$2,$B$2,N$4)),0))</f>
        <v>0</v>
      </c>
      <c r="O331" s="251">
        <f>IF(O$4&gt;DAY(EOMONTH(DATE($D$2,$B$2,1),0)),"",IFERROR(SUMIFS(DATA_GOC!$H:$H,DATA_GOC!$A:$A,"BOM",DATA_GOC!$D:$D,$B331,DATA_GOC!$E:$E,"Dầu thủy lực",DATA_GOC!$F:$F,"Xuất nội bộ từ téc",DATA_GOC!$B:$B,DATE($D$2,$B$2,O$4)),0))</f>
        <v>0</v>
      </c>
      <c r="P331" s="251">
        <f>IF(P$4&gt;DAY(EOMONTH(DATE($D$2,$B$2,1),0)),"",IFERROR(SUMIFS(DATA_GOC!$H:$H,DATA_GOC!$A:$A,"BOM",DATA_GOC!$D:$D,$B331,DATA_GOC!$E:$E,"Dầu thủy lực",DATA_GOC!$F:$F,"Xuất nội bộ từ téc",DATA_GOC!$B:$B,DATE($D$2,$B$2,P$4)),0))</f>
        <v>0</v>
      </c>
      <c r="Q331" s="251">
        <f>IF(Q$4&gt;DAY(EOMONTH(DATE($D$2,$B$2,1),0)),"",IFERROR(SUMIFS(DATA_GOC!$H:$H,DATA_GOC!$A:$A,"BOM",DATA_GOC!$D:$D,$B331,DATA_GOC!$E:$E,"Dầu thủy lực",DATA_GOC!$F:$F,"Xuất nội bộ từ téc",DATA_GOC!$B:$B,DATE($D$2,$B$2,Q$4)),0))</f>
        <v>0</v>
      </c>
      <c r="R331" s="251">
        <f>IF(R$4&gt;DAY(EOMONTH(DATE($D$2,$B$2,1),0)),"",IFERROR(SUMIFS(DATA_GOC!$H:$H,DATA_GOC!$A:$A,"BOM",DATA_GOC!$D:$D,$B331,DATA_GOC!$E:$E,"Dầu thủy lực",DATA_GOC!$F:$F,"Xuất nội bộ từ téc",DATA_GOC!$B:$B,DATE($D$2,$B$2,R$4)),0))</f>
        <v>0</v>
      </c>
      <c r="S331" s="251">
        <f>IF(S$4&gt;DAY(EOMONTH(DATE($D$2,$B$2,1),0)),"",IFERROR(SUMIFS(DATA_GOC!$H:$H,DATA_GOC!$A:$A,"BOM",DATA_GOC!$D:$D,$B331,DATA_GOC!$E:$E,"Dầu thủy lực",DATA_GOC!$F:$F,"Xuất nội bộ từ téc",DATA_GOC!$B:$B,DATE($D$2,$B$2,S$4)),0))</f>
        <v>0</v>
      </c>
      <c r="T331" s="251">
        <f>IF(T$4&gt;DAY(EOMONTH(DATE($D$2,$B$2,1),0)),"",IFERROR(SUMIFS(DATA_GOC!$H:$H,DATA_GOC!$A:$A,"BOM",DATA_GOC!$D:$D,$B331,DATA_GOC!$E:$E,"Dầu thủy lực",DATA_GOC!$F:$F,"Xuất nội bộ từ téc",DATA_GOC!$B:$B,DATE($D$2,$B$2,T$4)),0))</f>
        <v>0</v>
      </c>
      <c r="U331" s="251">
        <f>IF(U$4&gt;DAY(EOMONTH(DATE($D$2,$B$2,1),0)),"",IFERROR(SUMIFS(DATA_GOC!$H:$H,DATA_GOC!$A:$A,"BOM",DATA_GOC!$D:$D,$B331,DATA_GOC!$E:$E,"Dầu thủy lực",DATA_GOC!$F:$F,"Xuất nội bộ từ téc",DATA_GOC!$B:$B,DATE($D$2,$B$2,U$4)),0))</f>
        <v>0</v>
      </c>
      <c r="V331" s="251">
        <f>IF(V$4&gt;DAY(EOMONTH(DATE($D$2,$B$2,1),0)),"",IFERROR(SUMIFS(DATA_GOC!$H:$H,DATA_GOC!$A:$A,"BOM",DATA_GOC!$D:$D,$B331,DATA_GOC!$E:$E,"Dầu thủy lực",DATA_GOC!$F:$F,"Xuất nội bộ từ téc",DATA_GOC!$B:$B,DATE($D$2,$B$2,V$4)),0))</f>
        <v>0</v>
      </c>
      <c r="W331" s="251">
        <f>IF(W$4&gt;DAY(EOMONTH(DATE($D$2,$B$2,1),0)),"",IFERROR(SUMIFS(DATA_GOC!$H:$H,DATA_GOC!$A:$A,"BOM",DATA_GOC!$D:$D,$B331,DATA_GOC!$E:$E,"Dầu thủy lực",DATA_GOC!$F:$F,"Xuất nội bộ từ téc",DATA_GOC!$B:$B,DATE($D$2,$B$2,W$4)),0))</f>
        <v>0</v>
      </c>
      <c r="X331" s="251">
        <f>IF(X$4&gt;DAY(EOMONTH(DATE($D$2,$B$2,1),0)),"",IFERROR(SUMIFS(DATA_GOC!$H:$H,DATA_GOC!$A:$A,"BOM",DATA_GOC!$D:$D,$B331,DATA_GOC!$E:$E,"Dầu thủy lực",DATA_GOC!$F:$F,"Xuất nội bộ từ téc",DATA_GOC!$B:$B,DATE($D$2,$B$2,X$4)),0))</f>
        <v>0</v>
      </c>
      <c r="Y331" s="251">
        <f>IF(Y$4&gt;DAY(EOMONTH(DATE($D$2,$B$2,1),0)),"",IFERROR(SUMIFS(DATA_GOC!$H:$H,DATA_GOC!$A:$A,"BOM",DATA_GOC!$D:$D,$B331,DATA_GOC!$E:$E,"Dầu thủy lực",DATA_GOC!$F:$F,"Xuất nội bộ từ téc",DATA_GOC!$B:$B,DATE($D$2,$B$2,Y$4)),0))</f>
        <v>0</v>
      </c>
      <c r="Z331" s="251">
        <f>IF(Z$4&gt;DAY(EOMONTH(DATE($D$2,$B$2,1),0)),"",IFERROR(SUMIFS(DATA_GOC!$H:$H,DATA_GOC!$A:$A,"BOM",DATA_GOC!$D:$D,$B331,DATA_GOC!$E:$E,"Dầu thủy lực",DATA_GOC!$F:$F,"Xuất nội bộ từ téc",DATA_GOC!$B:$B,DATE($D$2,$B$2,Z$4)),0))</f>
        <v>0</v>
      </c>
      <c r="AA331" s="251">
        <f>IF(AA$4&gt;DAY(EOMONTH(DATE($D$2,$B$2,1),0)),"",IFERROR(SUMIFS(DATA_GOC!$H:$H,DATA_GOC!$A:$A,"BOM",DATA_GOC!$D:$D,$B331,DATA_GOC!$E:$E,"Dầu thủy lực",DATA_GOC!$F:$F,"Xuất nội bộ từ téc",DATA_GOC!$B:$B,DATE($D$2,$B$2,AA$4)),0))</f>
        <v>0</v>
      </c>
      <c r="AB331" s="251">
        <f>IF(AB$4&gt;DAY(EOMONTH(DATE($D$2,$B$2,1),0)),"",IFERROR(SUMIFS(DATA_GOC!$H:$H,DATA_GOC!$A:$A,"BOM",DATA_GOC!$D:$D,$B331,DATA_GOC!$E:$E,"Dầu thủy lực",DATA_GOC!$F:$F,"Xuất nội bộ từ téc",DATA_GOC!$B:$B,DATE($D$2,$B$2,AB$4)),0))</f>
        <v>0</v>
      </c>
      <c r="AC331" s="251">
        <f>IF(AC$4&gt;DAY(EOMONTH(DATE($D$2,$B$2,1),0)),"",IFERROR(SUMIFS(DATA_GOC!$H:$H,DATA_GOC!$A:$A,"BOM",DATA_GOC!$D:$D,$B331,DATA_GOC!$E:$E,"Dầu thủy lực",DATA_GOC!$F:$F,"Xuất nội bộ từ téc",DATA_GOC!$B:$B,DATE($D$2,$B$2,AC$4)),0))</f>
        <v>0</v>
      </c>
      <c r="AD331" s="251">
        <f>IF(AD$4&gt;DAY(EOMONTH(DATE($D$2,$B$2,1),0)),"",IFERROR(SUMIFS(DATA_GOC!$H:$H,DATA_GOC!$A:$A,"BOM",DATA_GOC!$D:$D,$B331,DATA_GOC!$E:$E,"Dầu thủy lực",DATA_GOC!$F:$F,"Xuất nội bộ từ téc",DATA_GOC!$B:$B,DATE($D$2,$B$2,AD$4)),0))</f>
        <v>0</v>
      </c>
      <c r="AE331" s="251">
        <f>IF(AE$4&gt;DAY(EOMONTH(DATE($D$2,$B$2,1),0)),"",IFERROR(SUMIFS(DATA_GOC!$H:$H,DATA_GOC!$A:$A,"BOM",DATA_GOC!$D:$D,$B331,DATA_GOC!$E:$E,"Dầu thủy lực",DATA_GOC!$F:$F,"Xuất nội bộ từ téc",DATA_GOC!$B:$B,DATE($D$2,$B$2,AE$4)),0))</f>
        <v>0</v>
      </c>
      <c r="AF331" s="251">
        <f>IF(AF$4&gt;DAY(EOMONTH(DATE($D$2,$B$2,1),0)),"",IFERROR(SUMIFS(DATA_GOC!$H:$H,DATA_GOC!$A:$A,"BOM",DATA_GOC!$D:$D,$B331,DATA_GOC!$E:$E,"Dầu thủy lực",DATA_GOC!$F:$F,"Xuất nội bộ từ téc",DATA_GOC!$B:$B,DATE($D$2,$B$2,AF$4)),0))</f>
        <v>0</v>
      </c>
      <c r="AG331" s="251">
        <f>IF(AG$4&gt;DAY(EOMONTH(DATE($D$2,$B$2,1),0)),"",IFERROR(SUMIFS(DATA_GOC!$H:$H,DATA_GOC!$A:$A,"BOM",DATA_GOC!$D:$D,$B331,DATA_GOC!$E:$E,"Dầu thủy lực",DATA_GOC!$F:$F,"Xuất nội bộ từ téc",DATA_GOC!$B:$B,DATE($D$2,$B$2,AG$4)),0))</f>
        <v>0</v>
      </c>
      <c r="AH331" s="252">
        <f t="shared" si="16"/>
        <v>0</v>
      </c>
      <c r="AI331" s="241"/>
      <c r="AJ331" s="242">
        <f>IF($B331="","",SUMIFS(TINH_TEC!$K$233:$K$9232,TINH_TEC!$H$233:$H$9232,$B331,TINH_TEC!$C$233:$C$9232,"Dầu thủy lực",TINH_TEC!$F$233:$F$9232,$B$2,TINH_TEC!$G$233:$G$9232,$D$2,TINH_TEC!$B$233:$B$9232,"Đã chốt"))</f>
        <v>0</v>
      </c>
      <c r="AK331" s="242">
        <f>IF($B331="","",SUMIFS(TINH_TEC!$J$233:$J$9232,TINH_TEC!$H$233:$H$9232,$B331,TINH_TEC!$C$233:$C$9232,"Dầu thủy lực",TINH_TEC!$F$233:$F$9232,$B$2,TINH_TEC!$G$233:$G$9232,$D$2,TINH_TEC!$B$233:$B$9232,"Đã chốt"))</f>
        <v>0</v>
      </c>
      <c r="AL331" s="242">
        <f t="shared" si="17"/>
        <v>0</v>
      </c>
    </row>
    <row r="332" ht="15.75" customHeight="1">
      <c r="A332" s="237">
        <f>IF($B332&lt;&gt;"",22,"")</f>
        <v>22</v>
      </c>
      <c r="B332" s="250" t="str">
        <f t="array" ref="B332">IFERROR(INDEX(DANH_MUC!$E:$E,25),"")</f>
        <v>28C03927</v>
      </c>
      <c r="C332" s="251">
        <f>IF(C$4&gt;DAY(EOMONTH(DATE($D$2,$B$2,1),0)),"",IFERROR(SUMIFS(DATA_GOC!$H:$H,DATA_GOC!$A:$A,"BOM",DATA_GOC!$D:$D,$B332,DATA_GOC!$E:$E,"Dầu thủy lực",DATA_GOC!$F:$F,"Xuất nội bộ từ téc",DATA_GOC!$B:$B,DATE($D$2,$B$2,C$4)),0))</f>
        <v>0</v>
      </c>
      <c r="D332" s="251">
        <f>IF(D$4&gt;DAY(EOMONTH(DATE($D$2,$B$2,1),0)),"",IFERROR(SUMIFS(DATA_GOC!$H:$H,DATA_GOC!$A:$A,"BOM",DATA_GOC!$D:$D,$B332,DATA_GOC!$E:$E,"Dầu thủy lực",DATA_GOC!$F:$F,"Xuất nội bộ từ téc",DATA_GOC!$B:$B,DATE($D$2,$B$2,D$4)),0))</f>
        <v>0</v>
      </c>
      <c r="E332" s="251">
        <f>IF(E$4&gt;DAY(EOMONTH(DATE($D$2,$B$2,1),0)),"",IFERROR(SUMIFS(DATA_GOC!$H:$H,DATA_GOC!$A:$A,"BOM",DATA_GOC!$D:$D,$B332,DATA_GOC!$E:$E,"Dầu thủy lực",DATA_GOC!$F:$F,"Xuất nội bộ từ téc",DATA_GOC!$B:$B,DATE($D$2,$B$2,E$4)),0))</f>
        <v>0</v>
      </c>
      <c r="F332" s="251">
        <f>IF(F$4&gt;DAY(EOMONTH(DATE($D$2,$B$2,1),0)),"",IFERROR(SUMIFS(DATA_GOC!$H:$H,DATA_GOC!$A:$A,"BOM",DATA_GOC!$D:$D,$B332,DATA_GOC!$E:$E,"Dầu thủy lực",DATA_GOC!$F:$F,"Xuất nội bộ từ téc",DATA_GOC!$B:$B,DATE($D$2,$B$2,F$4)),0))</f>
        <v>0</v>
      </c>
      <c r="G332" s="251">
        <f>IF(G$4&gt;DAY(EOMONTH(DATE($D$2,$B$2,1),0)),"",IFERROR(SUMIFS(DATA_GOC!$H:$H,DATA_GOC!$A:$A,"BOM",DATA_GOC!$D:$D,$B332,DATA_GOC!$E:$E,"Dầu thủy lực",DATA_GOC!$F:$F,"Xuất nội bộ từ téc",DATA_GOC!$B:$B,DATE($D$2,$B$2,G$4)),0))</f>
        <v>0</v>
      </c>
      <c r="H332" s="251">
        <f>IF(H$4&gt;DAY(EOMONTH(DATE($D$2,$B$2,1),0)),"",IFERROR(SUMIFS(DATA_GOC!$H:$H,DATA_GOC!$A:$A,"BOM",DATA_GOC!$D:$D,$B332,DATA_GOC!$E:$E,"Dầu thủy lực",DATA_GOC!$F:$F,"Xuất nội bộ từ téc",DATA_GOC!$B:$B,DATE($D$2,$B$2,H$4)),0))</f>
        <v>0</v>
      </c>
      <c r="I332" s="251">
        <f>IF(I$4&gt;DAY(EOMONTH(DATE($D$2,$B$2,1),0)),"",IFERROR(SUMIFS(DATA_GOC!$H:$H,DATA_GOC!$A:$A,"BOM",DATA_GOC!$D:$D,$B332,DATA_GOC!$E:$E,"Dầu thủy lực",DATA_GOC!$F:$F,"Xuất nội bộ từ téc",DATA_GOC!$B:$B,DATE($D$2,$B$2,I$4)),0))</f>
        <v>0</v>
      </c>
      <c r="J332" s="251">
        <f>IF(J$4&gt;DAY(EOMONTH(DATE($D$2,$B$2,1),0)),"",IFERROR(SUMIFS(DATA_GOC!$H:$H,DATA_GOC!$A:$A,"BOM",DATA_GOC!$D:$D,$B332,DATA_GOC!$E:$E,"Dầu thủy lực",DATA_GOC!$F:$F,"Xuất nội bộ từ téc",DATA_GOC!$B:$B,DATE($D$2,$B$2,J$4)),0))</f>
        <v>0</v>
      </c>
      <c r="K332" s="251">
        <f>IF(K$4&gt;DAY(EOMONTH(DATE($D$2,$B$2,1),0)),"",IFERROR(SUMIFS(DATA_GOC!$H:$H,DATA_GOC!$A:$A,"BOM",DATA_GOC!$D:$D,$B332,DATA_GOC!$E:$E,"Dầu thủy lực",DATA_GOC!$F:$F,"Xuất nội bộ từ téc",DATA_GOC!$B:$B,DATE($D$2,$B$2,K$4)),0))</f>
        <v>0</v>
      </c>
      <c r="L332" s="251">
        <f>IF(L$4&gt;DAY(EOMONTH(DATE($D$2,$B$2,1),0)),"",IFERROR(SUMIFS(DATA_GOC!$H:$H,DATA_GOC!$A:$A,"BOM",DATA_GOC!$D:$D,$B332,DATA_GOC!$E:$E,"Dầu thủy lực",DATA_GOC!$F:$F,"Xuất nội bộ từ téc",DATA_GOC!$B:$B,DATE($D$2,$B$2,L$4)),0))</f>
        <v>0</v>
      </c>
      <c r="M332" s="251">
        <f>IF(M$4&gt;DAY(EOMONTH(DATE($D$2,$B$2,1),0)),"",IFERROR(SUMIFS(DATA_GOC!$H:$H,DATA_GOC!$A:$A,"BOM",DATA_GOC!$D:$D,$B332,DATA_GOC!$E:$E,"Dầu thủy lực",DATA_GOC!$F:$F,"Xuất nội bộ từ téc",DATA_GOC!$B:$B,DATE($D$2,$B$2,M$4)),0))</f>
        <v>0</v>
      </c>
      <c r="N332" s="251">
        <f>IF(N$4&gt;DAY(EOMONTH(DATE($D$2,$B$2,1),0)),"",IFERROR(SUMIFS(DATA_GOC!$H:$H,DATA_GOC!$A:$A,"BOM",DATA_GOC!$D:$D,$B332,DATA_GOC!$E:$E,"Dầu thủy lực",DATA_GOC!$F:$F,"Xuất nội bộ từ téc",DATA_GOC!$B:$B,DATE($D$2,$B$2,N$4)),0))</f>
        <v>0</v>
      </c>
      <c r="O332" s="251">
        <f>IF(O$4&gt;DAY(EOMONTH(DATE($D$2,$B$2,1),0)),"",IFERROR(SUMIFS(DATA_GOC!$H:$H,DATA_GOC!$A:$A,"BOM",DATA_GOC!$D:$D,$B332,DATA_GOC!$E:$E,"Dầu thủy lực",DATA_GOC!$F:$F,"Xuất nội bộ từ téc",DATA_GOC!$B:$B,DATE($D$2,$B$2,O$4)),0))</f>
        <v>0</v>
      </c>
      <c r="P332" s="251">
        <f>IF(P$4&gt;DAY(EOMONTH(DATE($D$2,$B$2,1),0)),"",IFERROR(SUMIFS(DATA_GOC!$H:$H,DATA_GOC!$A:$A,"BOM",DATA_GOC!$D:$D,$B332,DATA_GOC!$E:$E,"Dầu thủy lực",DATA_GOC!$F:$F,"Xuất nội bộ từ téc",DATA_GOC!$B:$B,DATE($D$2,$B$2,P$4)),0))</f>
        <v>0</v>
      </c>
      <c r="Q332" s="251">
        <f>IF(Q$4&gt;DAY(EOMONTH(DATE($D$2,$B$2,1),0)),"",IFERROR(SUMIFS(DATA_GOC!$H:$H,DATA_GOC!$A:$A,"BOM",DATA_GOC!$D:$D,$B332,DATA_GOC!$E:$E,"Dầu thủy lực",DATA_GOC!$F:$F,"Xuất nội bộ từ téc",DATA_GOC!$B:$B,DATE($D$2,$B$2,Q$4)),0))</f>
        <v>0</v>
      </c>
      <c r="R332" s="251">
        <f>IF(R$4&gt;DAY(EOMONTH(DATE($D$2,$B$2,1),0)),"",IFERROR(SUMIFS(DATA_GOC!$H:$H,DATA_GOC!$A:$A,"BOM",DATA_GOC!$D:$D,$B332,DATA_GOC!$E:$E,"Dầu thủy lực",DATA_GOC!$F:$F,"Xuất nội bộ từ téc",DATA_GOC!$B:$B,DATE($D$2,$B$2,R$4)),0))</f>
        <v>0</v>
      </c>
      <c r="S332" s="251">
        <f>IF(S$4&gt;DAY(EOMONTH(DATE($D$2,$B$2,1),0)),"",IFERROR(SUMIFS(DATA_GOC!$H:$H,DATA_GOC!$A:$A,"BOM",DATA_GOC!$D:$D,$B332,DATA_GOC!$E:$E,"Dầu thủy lực",DATA_GOC!$F:$F,"Xuất nội bộ từ téc",DATA_GOC!$B:$B,DATE($D$2,$B$2,S$4)),0))</f>
        <v>0</v>
      </c>
      <c r="T332" s="251">
        <f>IF(T$4&gt;DAY(EOMONTH(DATE($D$2,$B$2,1),0)),"",IFERROR(SUMIFS(DATA_GOC!$H:$H,DATA_GOC!$A:$A,"BOM",DATA_GOC!$D:$D,$B332,DATA_GOC!$E:$E,"Dầu thủy lực",DATA_GOC!$F:$F,"Xuất nội bộ từ téc",DATA_GOC!$B:$B,DATE($D$2,$B$2,T$4)),0))</f>
        <v>0</v>
      </c>
      <c r="U332" s="251">
        <f>IF(U$4&gt;DAY(EOMONTH(DATE($D$2,$B$2,1),0)),"",IFERROR(SUMIFS(DATA_GOC!$H:$H,DATA_GOC!$A:$A,"BOM",DATA_GOC!$D:$D,$B332,DATA_GOC!$E:$E,"Dầu thủy lực",DATA_GOC!$F:$F,"Xuất nội bộ từ téc",DATA_GOC!$B:$B,DATE($D$2,$B$2,U$4)),0))</f>
        <v>0</v>
      </c>
      <c r="V332" s="251">
        <f>IF(V$4&gt;DAY(EOMONTH(DATE($D$2,$B$2,1),0)),"",IFERROR(SUMIFS(DATA_GOC!$H:$H,DATA_GOC!$A:$A,"BOM",DATA_GOC!$D:$D,$B332,DATA_GOC!$E:$E,"Dầu thủy lực",DATA_GOC!$F:$F,"Xuất nội bộ từ téc",DATA_GOC!$B:$B,DATE($D$2,$B$2,V$4)),0))</f>
        <v>0</v>
      </c>
      <c r="W332" s="251">
        <f>IF(W$4&gt;DAY(EOMONTH(DATE($D$2,$B$2,1),0)),"",IFERROR(SUMIFS(DATA_GOC!$H:$H,DATA_GOC!$A:$A,"BOM",DATA_GOC!$D:$D,$B332,DATA_GOC!$E:$E,"Dầu thủy lực",DATA_GOC!$F:$F,"Xuất nội bộ từ téc",DATA_GOC!$B:$B,DATE($D$2,$B$2,W$4)),0))</f>
        <v>0</v>
      </c>
      <c r="X332" s="251">
        <f>IF(X$4&gt;DAY(EOMONTH(DATE($D$2,$B$2,1),0)),"",IFERROR(SUMIFS(DATA_GOC!$H:$H,DATA_GOC!$A:$A,"BOM",DATA_GOC!$D:$D,$B332,DATA_GOC!$E:$E,"Dầu thủy lực",DATA_GOC!$F:$F,"Xuất nội bộ từ téc",DATA_GOC!$B:$B,DATE($D$2,$B$2,X$4)),0))</f>
        <v>0</v>
      </c>
      <c r="Y332" s="251">
        <f>IF(Y$4&gt;DAY(EOMONTH(DATE($D$2,$B$2,1),0)),"",IFERROR(SUMIFS(DATA_GOC!$H:$H,DATA_GOC!$A:$A,"BOM",DATA_GOC!$D:$D,$B332,DATA_GOC!$E:$E,"Dầu thủy lực",DATA_GOC!$F:$F,"Xuất nội bộ từ téc",DATA_GOC!$B:$B,DATE($D$2,$B$2,Y$4)),0))</f>
        <v>0</v>
      </c>
      <c r="Z332" s="251">
        <f>IF(Z$4&gt;DAY(EOMONTH(DATE($D$2,$B$2,1),0)),"",IFERROR(SUMIFS(DATA_GOC!$H:$H,DATA_GOC!$A:$A,"BOM",DATA_GOC!$D:$D,$B332,DATA_GOC!$E:$E,"Dầu thủy lực",DATA_GOC!$F:$F,"Xuất nội bộ từ téc",DATA_GOC!$B:$B,DATE($D$2,$B$2,Z$4)),0))</f>
        <v>0</v>
      </c>
      <c r="AA332" s="251">
        <f>IF(AA$4&gt;DAY(EOMONTH(DATE($D$2,$B$2,1),0)),"",IFERROR(SUMIFS(DATA_GOC!$H:$H,DATA_GOC!$A:$A,"BOM",DATA_GOC!$D:$D,$B332,DATA_GOC!$E:$E,"Dầu thủy lực",DATA_GOC!$F:$F,"Xuất nội bộ từ téc",DATA_GOC!$B:$B,DATE($D$2,$B$2,AA$4)),0))</f>
        <v>0</v>
      </c>
      <c r="AB332" s="251">
        <f>IF(AB$4&gt;DAY(EOMONTH(DATE($D$2,$B$2,1),0)),"",IFERROR(SUMIFS(DATA_GOC!$H:$H,DATA_GOC!$A:$A,"BOM",DATA_GOC!$D:$D,$B332,DATA_GOC!$E:$E,"Dầu thủy lực",DATA_GOC!$F:$F,"Xuất nội bộ từ téc",DATA_GOC!$B:$B,DATE($D$2,$B$2,AB$4)),0))</f>
        <v>0</v>
      </c>
      <c r="AC332" s="251">
        <f>IF(AC$4&gt;DAY(EOMONTH(DATE($D$2,$B$2,1),0)),"",IFERROR(SUMIFS(DATA_GOC!$H:$H,DATA_GOC!$A:$A,"BOM",DATA_GOC!$D:$D,$B332,DATA_GOC!$E:$E,"Dầu thủy lực",DATA_GOC!$F:$F,"Xuất nội bộ từ téc",DATA_GOC!$B:$B,DATE($D$2,$B$2,AC$4)),0))</f>
        <v>0</v>
      </c>
      <c r="AD332" s="251">
        <f>IF(AD$4&gt;DAY(EOMONTH(DATE($D$2,$B$2,1),0)),"",IFERROR(SUMIFS(DATA_GOC!$H:$H,DATA_GOC!$A:$A,"BOM",DATA_GOC!$D:$D,$B332,DATA_GOC!$E:$E,"Dầu thủy lực",DATA_GOC!$F:$F,"Xuất nội bộ từ téc",DATA_GOC!$B:$B,DATE($D$2,$B$2,AD$4)),0))</f>
        <v>0</v>
      </c>
      <c r="AE332" s="251">
        <f>IF(AE$4&gt;DAY(EOMONTH(DATE($D$2,$B$2,1),0)),"",IFERROR(SUMIFS(DATA_GOC!$H:$H,DATA_GOC!$A:$A,"BOM",DATA_GOC!$D:$D,$B332,DATA_GOC!$E:$E,"Dầu thủy lực",DATA_GOC!$F:$F,"Xuất nội bộ từ téc",DATA_GOC!$B:$B,DATE($D$2,$B$2,AE$4)),0))</f>
        <v>0</v>
      </c>
      <c r="AF332" s="251">
        <f>IF(AF$4&gt;DAY(EOMONTH(DATE($D$2,$B$2,1),0)),"",IFERROR(SUMIFS(DATA_GOC!$H:$H,DATA_GOC!$A:$A,"BOM",DATA_GOC!$D:$D,$B332,DATA_GOC!$E:$E,"Dầu thủy lực",DATA_GOC!$F:$F,"Xuất nội bộ từ téc",DATA_GOC!$B:$B,DATE($D$2,$B$2,AF$4)),0))</f>
        <v>0</v>
      </c>
      <c r="AG332" s="251">
        <f>IF(AG$4&gt;DAY(EOMONTH(DATE($D$2,$B$2,1),0)),"",IFERROR(SUMIFS(DATA_GOC!$H:$H,DATA_GOC!$A:$A,"BOM",DATA_GOC!$D:$D,$B332,DATA_GOC!$E:$E,"Dầu thủy lực",DATA_GOC!$F:$F,"Xuất nội bộ từ téc",DATA_GOC!$B:$B,DATE($D$2,$B$2,AG$4)),0))</f>
        <v>0</v>
      </c>
      <c r="AH332" s="252">
        <f t="shared" si="16"/>
        <v>0</v>
      </c>
      <c r="AI332" s="241"/>
      <c r="AJ332" s="242">
        <f>IF($B332="","",SUMIFS(TINH_TEC!$K$233:$K$9232,TINH_TEC!$H$233:$H$9232,$B332,TINH_TEC!$C$233:$C$9232,"Dầu thủy lực",TINH_TEC!$F$233:$F$9232,$B$2,TINH_TEC!$G$233:$G$9232,$D$2,TINH_TEC!$B$233:$B$9232,"Đã chốt"))</f>
        <v>0</v>
      </c>
      <c r="AK332" s="242">
        <f>IF($B332="","",SUMIFS(TINH_TEC!$J$233:$J$9232,TINH_TEC!$H$233:$H$9232,$B332,TINH_TEC!$C$233:$C$9232,"Dầu thủy lực",TINH_TEC!$F$233:$F$9232,$B$2,TINH_TEC!$G$233:$G$9232,$D$2,TINH_TEC!$B$233:$B$9232,"Đã chốt"))</f>
        <v>0</v>
      </c>
      <c r="AL332" s="242">
        <f t="shared" si="17"/>
        <v>0</v>
      </c>
    </row>
    <row r="333" ht="15.75" customHeight="1">
      <c r="A333" s="237">
        <f>IF($B333&lt;&gt;"",23,"")</f>
        <v>23</v>
      </c>
      <c r="B333" s="250" t="str">
        <f t="array" ref="B333">IFERROR(INDEX(DANH_MUC!$E:$E,26),"")</f>
        <v>28C04509</v>
      </c>
      <c r="C333" s="251">
        <f>IF(C$4&gt;DAY(EOMONTH(DATE($D$2,$B$2,1),0)),"",IFERROR(SUMIFS(DATA_GOC!$H:$H,DATA_GOC!$A:$A,"BOM",DATA_GOC!$D:$D,$B333,DATA_GOC!$E:$E,"Dầu thủy lực",DATA_GOC!$F:$F,"Xuất nội bộ từ téc",DATA_GOC!$B:$B,DATE($D$2,$B$2,C$4)),0))</f>
        <v>0</v>
      </c>
      <c r="D333" s="251">
        <f>IF(D$4&gt;DAY(EOMONTH(DATE($D$2,$B$2,1),0)),"",IFERROR(SUMIFS(DATA_GOC!$H:$H,DATA_GOC!$A:$A,"BOM",DATA_GOC!$D:$D,$B333,DATA_GOC!$E:$E,"Dầu thủy lực",DATA_GOC!$F:$F,"Xuất nội bộ từ téc",DATA_GOC!$B:$B,DATE($D$2,$B$2,D$4)),0))</f>
        <v>0</v>
      </c>
      <c r="E333" s="251">
        <f>IF(E$4&gt;DAY(EOMONTH(DATE($D$2,$B$2,1),0)),"",IFERROR(SUMIFS(DATA_GOC!$H:$H,DATA_GOC!$A:$A,"BOM",DATA_GOC!$D:$D,$B333,DATA_GOC!$E:$E,"Dầu thủy lực",DATA_GOC!$F:$F,"Xuất nội bộ từ téc",DATA_GOC!$B:$B,DATE($D$2,$B$2,E$4)),0))</f>
        <v>0</v>
      </c>
      <c r="F333" s="251">
        <f>IF(F$4&gt;DAY(EOMONTH(DATE($D$2,$B$2,1),0)),"",IFERROR(SUMIFS(DATA_GOC!$H:$H,DATA_GOC!$A:$A,"BOM",DATA_GOC!$D:$D,$B333,DATA_GOC!$E:$E,"Dầu thủy lực",DATA_GOC!$F:$F,"Xuất nội bộ từ téc",DATA_GOC!$B:$B,DATE($D$2,$B$2,F$4)),0))</f>
        <v>0</v>
      </c>
      <c r="G333" s="251">
        <f>IF(G$4&gt;DAY(EOMONTH(DATE($D$2,$B$2,1),0)),"",IFERROR(SUMIFS(DATA_GOC!$H:$H,DATA_GOC!$A:$A,"BOM",DATA_GOC!$D:$D,$B333,DATA_GOC!$E:$E,"Dầu thủy lực",DATA_GOC!$F:$F,"Xuất nội bộ từ téc",DATA_GOC!$B:$B,DATE($D$2,$B$2,G$4)),0))</f>
        <v>0</v>
      </c>
      <c r="H333" s="251">
        <f>IF(H$4&gt;DAY(EOMONTH(DATE($D$2,$B$2,1),0)),"",IFERROR(SUMIFS(DATA_GOC!$H:$H,DATA_GOC!$A:$A,"BOM",DATA_GOC!$D:$D,$B333,DATA_GOC!$E:$E,"Dầu thủy lực",DATA_GOC!$F:$F,"Xuất nội bộ từ téc",DATA_GOC!$B:$B,DATE($D$2,$B$2,H$4)),0))</f>
        <v>0</v>
      </c>
      <c r="I333" s="251">
        <f>IF(I$4&gt;DAY(EOMONTH(DATE($D$2,$B$2,1),0)),"",IFERROR(SUMIFS(DATA_GOC!$H:$H,DATA_GOC!$A:$A,"BOM",DATA_GOC!$D:$D,$B333,DATA_GOC!$E:$E,"Dầu thủy lực",DATA_GOC!$F:$F,"Xuất nội bộ từ téc",DATA_GOC!$B:$B,DATE($D$2,$B$2,I$4)),0))</f>
        <v>0</v>
      </c>
      <c r="J333" s="251">
        <f>IF(J$4&gt;DAY(EOMONTH(DATE($D$2,$B$2,1),0)),"",IFERROR(SUMIFS(DATA_GOC!$H:$H,DATA_GOC!$A:$A,"BOM",DATA_GOC!$D:$D,$B333,DATA_GOC!$E:$E,"Dầu thủy lực",DATA_GOC!$F:$F,"Xuất nội bộ từ téc",DATA_GOC!$B:$B,DATE($D$2,$B$2,J$4)),0))</f>
        <v>0</v>
      </c>
      <c r="K333" s="251">
        <f>IF(K$4&gt;DAY(EOMONTH(DATE($D$2,$B$2,1),0)),"",IFERROR(SUMIFS(DATA_GOC!$H:$H,DATA_GOC!$A:$A,"BOM",DATA_GOC!$D:$D,$B333,DATA_GOC!$E:$E,"Dầu thủy lực",DATA_GOC!$F:$F,"Xuất nội bộ từ téc",DATA_GOC!$B:$B,DATE($D$2,$B$2,K$4)),0))</f>
        <v>0</v>
      </c>
      <c r="L333" s="251">
        <f>IF(L$4&gt;DAY(EOMONTH(DATE($D$2,$B$2,1),0)),"",IFERROR(SUMIFS(DATA_GOC!$H:$H,DATA_GOC!$A:$A,"BOM",DATA_GOC!$D:$D,$B333,DATA_GOC!$E:$E,"Dầu thủy lực",DATA_GOC!$F:$F,"Xuất nội bộ từ téc",DATA_GOC!$B:$B,DATE($D$2,$B$2,L$4)),0))</f>
        <v>0</v>
      </c>
      <c r="M333" s="251">
        <f>IF(M$4&gt;DAY(EOMONTH(DATE($D$2,$B$2,1),0)),"",IFERROR(SUMIFS(DATA_GOC!$H:$H,DATA_GOC!$A:$A,"BOM",DATA_GOC!$D:$D,$B333,DATA_GOC!$E:$E,"Dầu thủy lực",DATA_GOC!$F:$F,"Xuất nội bộ từ téc",DATA_GOC!$B:$B,DATE($D$2,$B$2,M$4)),0))</f>
        <v>0</v>
      </c>
      <c r="N333" s="251">
        <f>IF(N$4&gt;DAY(EOMONTH(DATE($D$2,$B$2,1),0)),"",IFERROR(SUMIFS(DATA_GOC!$H:$H,DATA_GOC!$A:$A,"BOM",DATA_GOC!$D:$D,$B333,DATA_GOC!$E:$E,"Dầu thủy lực",DATA_GOC!$F:$F,"Xuất nội bộ từ téc",DATA_GOC!$B:$B,DATE($D$2,$B$2,N$4)),0))</f>
        <v>0</v>
      </c>
      <c r="O333" s="251">
        <f>IF(O$4&gt;DAY(EOMONTH(DATE($D$2,$B$2,1),0)),"",IFERROR(SUMIFS(DATA_GOC!$H:$H,DATA_GOC!$A:$A,"BOM",DATA_GOC!$D:$D,$B333,DATA_GOC!$E:$E,"Dầu thủy lực",DATA_GOC!$F:$F,"Xuất nội bộ từ téc",DATA_GOC!$B:$B,DATE($D$2,$B$2,O$4)),0))</f>
        <v>0</v>
      </c>
      <c r="P333" s="251">
        <f>IF(P$4&gt;DAY(EOMONTH(DATE($D$2,$B$2,1),0)),"",IFERROR(SUMIFS(DATA_GOC!$H:$H,DATA_GOC!$A:$A,"BOM",DATA_GOC!$D:$D,$B333,DATA_GOC!$E:$E,"Dầu thủy lực",DATA_GOC!$F:$F,"Xuất nội bộ từ téc",DATA_GOC!$B:$B,DATE($D$2,$B$2,P$4)),0))</f>
        <v>0</v>
      </c>
      <c r="Q333" s="251">
        <f>IF(Q$4&gt;DAY(EOMONTH(DATE($D$2,$B$2,1),0)),"",IFERROR(SUMIFS(DATA_GOC!$H:$H,DATA_GOC!$A:$A,"BOM",DATA_GOC!$D:$D,$B333,DATA_GOC!$E:$E,"Dầu thủy lực",DATA_GOC!$F:$F,"Xuất nội bộ từ téc",DATA_GOC!$B:$B,DATE($D$2,$B$2,Q$4)),0))</f>
        <v>0</v>
      </c>
      <c r="R333" s="251">
        <f>IF(R$4&gt;DAY(EOMONTH(DATE($D$2,$B$2,1),0)),"",IFERROR(SUMIFS(DATA_GOC!$H:$H,DATA_GOC!$A:$A,"BOM",DATA_GOC!$D:$D,$B333,DATA_GOC!$E:$E,"Dầu thủy lực",DATA_GOC!$F:$F,"Xuất nội bộ từ téc",DATA_GOC!$B:$B,DATE($D$2,$B$2,R$4)),0))</f>
        <v>0</v>
      </c>
      <c r="S333" s="251">
        <f>IF(S$4&gt;DAY(EOMONTH(DATE($D$2,$B$2,1),0)),"",IFERROR(SUMIFS(DATA_GOC!$H:$H,DATA_GOC!$A:$A,"BOM",DATA_GOC!$D:$D,$B333,DATA_GOC!$E:$E,"Dầu thủy lực",DATA_GOC!$F:$F,"Xuất nội bộ từ téc",DATA_GOC!$B:$B,DATE($D$2,$B$2,S$4)),0))</f>
        <v>0</v>
      </c>
      <c r="T333" s="251">
        <f>IF(T$4&gt;DAY(EOMONTH(DATE($D$2,$B$2,1),0)),"",IFERROR(SUMIFS(DATA_GOC!$H:$H,DATA_GOC!$A:$A,"BOM",DATA_GOC!$D:$D,$B333,DATA_GOC!$E:$E,"Dầu thủy lực",DATA_GOC!$F:$F,"Xuất nội bộ từ téc",DATA_GOC!$B:$B,DATE($D$2,$B$2,T$4)),0))</f>
        <v>0</v>
      </c>
      <c r="U333" s="251">
        <f>IF(U$4&gt;DAY(EOMONTH(DATE($D$2,$B$2,1),0)),"",IFERROR(SUMIFS(DATA_GOC!$H:$H,DATA_GOC!$A:$A,"BOM",DATA_GOC!$D:$D,$B333,DATA_GOC!$E:$E,"Dầu thủy lực",DATA_GOC!$F:$F,"Xuất nội bộ từ téc",DATA_GOC!$B:$B,DATE($D$2,$B$2,U$4)),0))</f>
        <v>0</v>
      </c>
      <c r="V333" s="251">
        <f>IF(V$4&gt;DAY(EOMONTH(DATE($D$2,$B$2,1),0)),"",IFERROR(SUMIFS(DATA_GOC!$H:$H,DATA_GOC!$A:$A,"BOM",DATA_GOC!$D:$D,$B333,DATA_GOC!$E:$E,"Dầu thủy lực",DATA_GOC!$F:$F,"Xuất nội bộ từ téc",DATA_GOC!$B:$B,DATE($D$2,$B$2,V$4)),0))</f>
        <v>0</v>
      </c>
      <c r="W333" s="251">
        <f>IF(W$4&gt;DAY(EOMONTH(DATE($D$2,$B$2,1),0)),"",IFERROR(SUMIFS(DATA_GOC!$H:$H,DATA_GOC!$A:$A,"BOM",DATA_GOC!$D:$D,$B333,DATA_GOC!$E:$E,"Dầu thủy lực",DATA_GOC!$F:$F,"Xuất nội bộ từ téc",DATA_GOC!$B:$B,DATE($D$2,$B$2,W$4)),0))</f>
        <v>0</v>
      </c>
      <c r="X333" s="251">
        <f>IF(X$4&gt;DAY(EOMONTH(DATE($D$2,$B$2,1),0)),"",IFERROR(SUMIFS(DATA_GOC!$H:$H,DATA_GOC!$A:$A,"BOM",DATA_GOC!$D:$D,$B333,DATA_GOC!$E:$E,"Dầu thủy lực",DATA_GOC!$F:$F,"Xuất nội bộ từ téc",DATA_GOC!$B:$B,DATE($D$2,$B$2,X$4)),0))</f>
        <v>0</v>
      </c>
      <c r="Y333" s="251">
        <f>IF(Y$4&gt;DAY(EOMONTH(DATE($D$2,$B$2,1),0)),"",IFERROR(SUMIFS(DATA_GOC!$H:$H,DATA_GOC!$A:$A,"BOM",DATA_GOC!$D:$D,$B333,DATA_GOC!$E:$E,"Dầu thủy lực",DATA_GOC!$F:$F,"Xuất nội bộ từ téc",DATA_GOC!$B:$B,DATE($D$2,$B$2,Y$4)),0))</f>
        <v>0</v>
      </c>
      <c r="Z333" s="251">
        <f>IF(Z$4&gt;DAY(EOMONTH(DATE($D$2,$B$2,1),0)),"",IFERROR(SUMIFS(DATA_GOC!$H:$H,DATA_GOC!$A:$A,"BOM",DATA_GOC!$D:$D,$B333,DATA_GOC!$E:$E,"Dầu thủy lực",DATA_GOC!$F:$F,"Xuất nội bộ từ téc",DATA_GOC!$B:$B,DATE($D$2,$B$2,Z$4)),0))</f>
        <v>0</v>
      </c>
      <c r="AA333" s="251">
        <f>IF(AA$4&gt;DAY(EOMONTH(DATE($D$2,$B$2,1),0)),"",IFERROR(SUMIFS(DATA_GOC!$H:$H,DATA_GOC!$A:$A,"BOM",DATA_GOC!$D:$D,$B333,DATA_GOC!$E:$E,"Dầu thủy lực",DATA_GOC!$F:$F,"Xuất nội bộ từ téc",DATA_GOC!$B:$B,DATE($D$2,$B$2,AA$4)),0))</f>
        <v>0</v>
      </c>
      <c r="AB333" s="251">
        <f>IF(AB$4&gt;DAY(EOMONTH(DATE($D$2,$B$2,1),0)),"",IFERROR(SUMIFS(DATA_GOC!$H:$H,DATA_GOC!$A:$A,"BOM",DATA_GOC!$D:$D,$B333,DATA_GOC!$E:$E,"Dầu thủy lực",DATA_GOC!$F:$F,"Xuất nội bộ từ téc",DATA_GOC!$B:$B,DATE($D$2,$B$2,AB$4)),0))</f>
        <v>0</v>
      </c>
      <c r="AC333" s="251">
        <f>IF(AC$4&gt;DAY(EOMONTH(DATE($D$2,$B$2,1),0)),"",IFERROR(SUMIFS(DATA_GOC!$H:$H,DATA_GOC!$A:$A,"BOM",DATA_GOC!$D:$D,$B333,DATA_GOC!$E:$E,"Dầu thủy lực",DATA_GOC!$F:$F,"Xuất nội bộ từ téc",DATA_GOC!$B:$B,DATE($D$2,$B$2,AC$4)),0))</f>
        <v>0</v>
      </c>
      <c r="AD333" s="251">
        <f>IF(AD$4&gt;DAY(EOMONTH(DATE($D$2,$B$2,1),0)),"",IFERROR(SUMIFS(DATA_GOC!$H:$H,DATA_GOC!$A:$A,"BOM",DATA_GOC!$D:$D,$B333,DATA_GOC!$E:$E,"Dầu thủy lực",DATA_GOC!$F:$F,"Xuất nội bộ từ téc",DATA_GOC!$B:$B,DATE($D$2,$B$2,AD$4)),0))</f>
        <v>0</v>
      </c>
      <c r="AE333" s="251">
        <f>IF(AE$4&gt;DAY(EOMONTH(DATE($D$2,$B$2,1),0)),"",IFERROR(SUMIFS(DATA_GOC!$H:$H,DATA_GOC!$A:$A,"BOM",DATA_GOC!$D:$D,$B333,DATA_GOC!$E:$E,"Dầu thủy lực",DATA_GOC!$F:$F,"Xuất nội bộ từ téc",DATA_GOC!$B:$B,DATE($D$2,$B$2,AE$4)),0))</f>
        <v>0</v>
      </c>
      <c r="AF333" s="251">
        <f>IF(AF$4&gt;DAY(EOMONTH(DATE($D$2,$B$2,1),0)),"",IFERROR(SUMIFS(DATA_GOC!$H:$H,DATA_GOC!$A:$A,"BOM",DATA_GOC!$D:$D,$B333,DATA_GOC!$E:$E,"Dầu thủy lực",DATA_GOC!$F:$F,"Xuất nội bộ từ téc",DATA_GOC!$B:$B,DATE($D$2,$B$2,AF$4)),0))</f>
        <v>0</v>
      </c>
      <c r="AG333" s="251">
        <f>IF(AG$4&gt;DAY(EOMONTH(DATE($D$2,$B$2,1),0)),"",IFERROR(SUMIFS(DATA_GOC!$H:$H,DATA_GOC!$A:$A,"BOM",DATA_GOC!$D:$D,$B333,DATA_GOC!$E:$E,"Dầu thủy lực",DATA_GOC!$F:$F,"Xuất nội bộ từ téc",DATA_GOC!$B:$B,DATE($D$2,$B$2,AG$4)),0))</f>
        <v>0</v>
      </c>
      <c r="AH333" s="252">
        <f t="shared" si="16"/>
        <v>0</v>
      </c>
      <c r="AI333" s="241"/>
      <c r="AJ333" s="242">
        <f>IF($B333="","",SUMIFS(TINH_TEC!$K$233:$K$9232,TINH_TEC!$H$233:$H$9232,$B333,TINH_TEC!$C$233:$C$9232,"Dầu thủy lực",TINH_TEC!$F$233:$F$9232,$B$2,TINH_TEC!$G$233:$G$9232,$D$2,TINH_TEC!$B$233:$B$9232,"Đã chốt"))</f>
        <v>0</v>
      </c>
      <c r="AK333" s="242">
        <f>IF($B333="","",SUMIFS(TINH_TEC!$J$233:$J$9232,TINH_TEC!$H$233:$H$9232,$B333,TINH_TEC!$C$233:$C$9232,"Dầu thủy lực",TINH_TEC!$F$233:$F$9232,$B$2,TINH_TEC!$G$233:$G$9232,$D$2,TINH_TEC!$B$233:$B$9232,"Đã chốt"))</f>
        <v>0</v>
      </c>
      <c r="AL333" s="242">
        <f t="shared" si="17"/>
        <v>0</v>
      </c>
    </row>
    <row r="334" ht="15.75" customHeight="1">
      <c r="A334" s="237">
        <f>IF($B334&lt;&gt;"",24,"")</f>
        <v>24</v>
      </c>
      <c r="B334" s="250" t="str">
        <f t="array" ref="B334">IFERROR(INDEX(DANH_MUC!$E:$E,27),"")</f>
        <v>28C04536</v>
      </c>
      <c r="C334" s="251">
        <f>IF(C$4&gt;DAY(EOMONTH(DATE($D$2,$B$2,1),0)),"",IFERROR(SUMIFS(DATA_GOC!$H:$H,DATA_GOC!$A:$A,"BOM",DATA_GOC!$D:$D,$B334,DATA_GOC!$E:$E,"Dầu thủy lực",DATA_GOC!$F:$F,"Xuất nội bộ từ téc",DATA_GOC!$B:$B,DATE($D$2,$B$2,C$4)),0))</f>
        <v>0</v>
      </c>
      <c r="D334" s="251">
        <f>IF(D$4&gt;DAY(EOMONTH(DATE($D$2,$B$2,1),0)),"",IFERROR(SUMIFS(DATA_GOC!$H:$H,DATA_GOC!$A:$A,"BOM",DATA_GOC!$D:$D,$B334,DATA_GOC!$E:$E,"Dầu thủy lực",DATA_GOC!$F:$F,"Xuất nội bộ từ téc",DATA_GOC!$B:$B,DATE($D$2,$B$2,D$4)),0))</f>
        <v>0</v>
      </c>
      <c r="E334" s="251">
        <f>IF(E$4&gt;DAY(EOMONTH(DATE($D$2,$B$2,1),0)),"",IFERROR(SUMIFS(DATA_GOC!$H:$H,DATA_GOC!$A:$A,"BOM",DATA_GOC!$D:$D,$B334,DATA_GOC!$E:$E,"Dầu thủy lực",DATA_GOC!$F:$F,"Xuất nội bộ từ téc",DATA_GOC!$B:$B,DATE($D$2,$B$2,E$4)),0))</f>
        <v>0</v>
      </c>
      <c r="F334" s="251">
        <f>IF(F$4&gt;DAY(EOMONTH(DATE($D$2,$B$2,1),0)),"",IFERROR(SUMIFS(DATA_GOC!$H:$H,DATA_GOC!$A:$A,"BOM",DATA_GOC!$D:$D,$B334,DATA_GOC!$E:$E,"Dầu thủy lực",DATA_GOC!$F:$F,"Xuất nội bộ từ téc",DATA_GOC!$B:$B,DATE($D$2,$B$2,F$4)),0))</f>
        <v>0</v>
      </c>
      <c r="G334" s="251">
        <f>IF(G$4&gt;DAY(EOMONTH(DATE($D$2,$B$2,1),0)),"",IFERROR(SUMIFS(DATA_GOC!$H:$H,DATA_GOC!$A:$A,"BOM",DATA_GOC!$D:$D,$B334,DATA_GOC!$E:$E,"Dầu thủy lực",DATA_GOC!$F:$F,"Xuất nội bộ từ téc",DATA_GOC!$B:$B,DATE($D$2,$B$2,G$4)),0))</f>
        <v>0</v>
      </c>
      <c r="H334" s="251">
        <f>IF(H$4&gt;DAY(EOMONTH(DATE($D$2,$B$2,1),0)),"",IFERROR(SUMIFS(DATA_GOC!$H:$H,DATA_GOC!$A:$A,"BOM",DATA_GOC!$D:$D,$B334,DATA_GOC!$E:$E,"Dầu thủy lực",DATA_GOC!$F:$F,"Xuất nội bộ từ téc",DATA_GOC!$B:$B,DATE($D$2,$B$2,H$4)),0))</f>
        <v>0</v>
      </c>
      <c r="I334" s="251">
        <f>IF(I$4&gt;DAY(EOMONTH(DATE($D$2,$B$2,1),0)),"",IFERROR(SUMIFS(DATA_GOC!$H:$H,DATA_GOC!$A:$A,"BOM",DATA_GOC!$D:$D,$B334,DATA_GOC!$E:$E,"Dầu thủy lực",DATA_GOC!$F:$F,"Xuất nội bộ từ téc",DATA_GOC!$B:$B,DATE($D$2,$B$2,I$4)),0))</f>
        <v>0</v>
      </c>
      <c r="J334" s="251">
        <f>IF(J$4&gt;DAY(EOMONTH(DATE($D$2,$B$2,1),0)),"",IFERROR(SUMIFS(DATA_GOC!$H:$H,DATA_GOC!$A:$A,"BOM",DATA_GOC!$D:$D,$B334,DATA_GOC!$E:$E,"Dầu thủy lực",DATA_GOC!$F:$F,"Xuất nội bộ từ téc",DATA_GOC!$B:$B,DATE($D$2,$B$2,J$4)),0))</f>
        <v>0</v>
      </c>
      <c r="K334" s="251">
        <f>IF(K$4&gt;DAY(EOMONTH(DATE($D$2,$B$2,1),0)),"",IFERROR(SUMIFS(DATA_GOC!$H:$H,DATA_GOC!$A:$A,"BOM",DATA_GOC!$D:$D,$B334,DATA_GOC!$E:$E,"Dầu thủy lực",DATA_GOC!$F:$F,"Xuất nội bộ từ téc",DATA_GOC!$B:$B,DATE($D$2,$B$2,K$4)),0))</f>
        <v>0</v>
      </c>
      <c r="L334" s="251">
        <f>IF(L$4&gt;DAY(EOMONTH(DATE($D$2,$B$2,1),0)),"",IFERROR(SUMIFS(DATA_GOC!$H:$H,DATA_GOC!$A:$A,"BOM",DATA_GOC!$D:$D,$B334,DATA_GOC!$E:$E,"Dầu thủy lực",DATA_GOC!$F:$F,"Xuất nội bộ từ téc",DATA_GOC!$B:$B,DATE($D$2,$B$2,L$4)),0))</f>
        <v>0</v>
      </c>
      <c r="M334" s="251">
        <f>IF(M$4&gt;DAY(EOMONTH(DATE($D$2,$B$2,1),0)),"",IFERROR(SUMIFS(DATA_GOC!$H:$H,DATA_GOC!$A:$A,"BOM",DATA_GOC!$D:$D,$B334,DATA_GOC!$E:$E,"Dầu thủy lực",DATA_GOC!$F:$F,"Xuất nội bộ từ téc",DATA_GOC!$B:$B,DATE($D$2,$B$2,M$4)),0))</f>
        <v>0</v>
      </c>
      <c r="N334" s="251">
        <f>IF(N$4&gt;DAY(EOMONTH(DATE($D$2,$B$2,1),0)),"",IFERROR(SUMIFS(DATA_GOC!$H:$H,DATA_GOC!$A:$A,"BOM",DATA_GOC!$D:$D,$B334,DATA_GOC!$E:$E,"Dầu thủy lực",DATA_GOC!$F:$F,"Xuất nội bộ từ téc",DATA_GOC!$B:$B,DATE($D$2,$B$2,N$4)),0))</f>
        <v>0</v>
      </c>
      <c r="O334" s="251">
        <f>IF(O$4&gt;DAY(EOMONTH(DATE($D$2,$B$2,1),0)),"",IFERROR(SUMIFS(DATA_GOC!$H:$H,DATA_GOC!$A:$A,"BOM",DATA_GOC!$D:$D,$B334,DATA_GOC!$E:$E,"Dầu thủy lực",DATA_GOC!$F:$F,"Xuất nội bộ từ téc",DATA_GOC!$B:$B,DATE($D$2,$B$2,O$4)),0))</f>
        <v>0</v>
      </c>
      <c r="P334" s="251">
        <f>IF(P$4&gt;DAY(EOMONTH(DATE($D$2,$B$2,1),0)),"",IFERROR(SUMIFS(DATA_GOC!$H:$H,DATA_GOC!$A:$A,"BOM",DATA_GOC!$D:$D,$B334,DATA_GOC!$E:$E,"Dầu thủy lực",DATA_GOC!$F:$F,"Xuất nội bộ từ téc",DATA_GOC!$B:$B,DATE($D$2,$B$2,P$4)),0))</f>
        <v>0</v>
      </c>
      <c r="Q334" s="251">
        <f>IF(Q$4&gt;DAY(EOMONTH(DATE($D$2,$B$2,1),0)),"",IFERROR(SUMIFS(DATA_GOC!$H:$H,DATA_GOC!$A:$A,"BOM",DATA_GOC!$D:$D,$B334,DATA_GOC!$E:$E,"Dầu thủy lực",DATA_GOC!$F:$F,"Xuất nội bộ từ téc",DATA_GOC!$B:$B,DATE($D$2,$B$2,Q$4)),0))</f>
        <v>0</v>
      </c>
      <c r="R334" s="251">
        <f>IF(R$4&gt;DAY(EOMONTH(DATE($D$2,$B$2,1),0)),"",IFERROR(SUMIFS(DATA_GOC!$H:$H,DATA_GOC!$A:$A,"BOM",DATA_GOC!$D:$D,$B334,DATA_GOC!$E:$E,"Dầu thủy lực",DATA_GOC!$F:$F,"Xuất nội bộ từ téc",DATA_GOC!$B:$B,DATE($D$2,$B$2,R$4)),0))</f>
        <v>0</v>
      </c>
      <c r="S334" s="251">
        <f>IF(S$4&gt;DAY(EOMONTH(DATE($D$2,$B$2,1),0)),"",IFERROR(SUMIFS(DATA_GOC!$H:$H,DATA_GOC!$A:$A,"BOM",DATA_GOC!$D:$D,$B334,DATA_GOC!$E:$E,"Dầu thủy lực",DATA_GOC!$F:$F,"Xuất nội bộ từ téc",DATA_GOC!$B:$B,DATE($D$2,$B$2,S$4)),0))</f>
        <v>0</v>
      </c>
      <c r="T334" s="251">
        <f>IF(T$4&gt;DAY(EOMONTH(DATE($D$2,$B$2,1),0)),"",IFERROR(SUMIFS(DATA_GOC!$H:$H,DATA_GOC!$A:$A,"BOM",DATA_GOC!$D:$D,$B334,DATA_GOC!$E:$E,"Dầu thủy lực",DATA_GOC!$F:$F,"Xuất nội bộ từ téc",DATA_GOC!$B:$B,DATE($D$2,$B$2,T$4)),0))</f>
        <v>0</v>
      </c>
      <c r="U334" s="251">
        <f>IF(U$4&gt;DAY(EOMONTH(DATE($D$2,$B$2,1),0)),"",IFERROR(SUMIFS(DATA_GOC!$H:$H,DATA_GOC!$A:$A,"BOM",DATA_GOC!$D:$D,$B334,DATA_GOC!$E:$E,"Dầu thủy lực",DATA_GOC!$F:$F,"Xuất nội bộ từ téc",DATA_GOC!$B:$B,DATE($D$2,$B$2,U$4)),0))</f>
        <v>0</v>
      </c>
      <c r="V334" s="251">
        <f>IF(V$4&gt;DAY(EOMONTH(DATE($D$2,$B$2,1),0)),"",IFERROR(SUMIFS(DATA_GOC!$H:$H,DATA_GOC!$A:$A,"BOM",DATA_GOC!$D:$D,$B334,DATA_GOC!$E:$E,"Dầu thủy lực",DATA_GOC!$F:$F,"Xuất nội bộ từ téc",DATA_GOC!$B:$B,DATE($D$2,$B$2,V$4)),0))</f>
        <v>0</v>
      </c>
      <c r="W334" s="251">
        <f>IF(W$4&gt;DAY(EOMONTH(DATE($D$2,$B$2,1),0)),"",IFERROR(SUMIFS(DATA_GOC!$H:$H,DATA_GOC!$A:$A,"BOM",DATA_GOC!$D:$D,$B334,DATA_GOC!$E:$E,"Dầu thủy lực",DATA_GOC!$F:$F,"Xuất nội bộ từ téc",DATA_GOC!$B:$B,DATE($D$2,$B$2,W$4)),0))</f>
        <v>0</v>
      </c>
      <c r="X334" s="251">
        <f>IF(X$4&gt;DAY(EOMONTH(DATE($D$2,$B$2,1),0)),"",IFERROR(SUMIFS(DATA_GOC!$H:$H,DATA_GOC!$A:$A,"BOM",DATA_GOC!$D:$D,$B334,DATA_GOC!$E:$E,"Dầu thủy lực",DATA_GOC!$F:$F,"Xuất nội bộ từ téc",DATA_GOC!$B:$B,DATE($D$2,$B$2,X$4)),0))</f>
        <v>0</v>
      </c>
      <c r="Y334" s="251">
        <f>IF(Y$4&gt;DAY(EOMONTH(DATE($D$2,$B$2,1),0)),"",IFERROR(SUMIFS(DATA_GOC!$H:$H,DATA_GOC!$A:$A,"BOM",DATA_GOC!$D:$D,$B334,DATA_GOC!$E:$E,"Dầu thủy lực",DATA_GOC!$F:$F,"Xuất nội bộ từ téc",DATA_GOC!$B:$B,DATE($D$2,$B$2,Y$4)),0))</f>
        <v>0</v>
      </c>
      <c r="Z334" s="251">
        <f>IF(Z$4&gt;DAY(EOMONTH(DATE($D$2,$B$2,1),0)),"",IFERROR(SUMIFS(DATA_GOC!$H:$H,DATA_GOC!$A:$A,"BOM",DATA_GOC!$D:$D,$B334,DATA_GOC!$E:$E,"Dầu thủy lực",DATA_GOC!$F:$F,"Xuất nội bộ từ téc",DATA_GOC!$B:$B,DATE($D$2,$B$2,Z$4)),0))</f>
        <v>0</v>
      </c>
      <c r="AA334" s="251">
        <f>IF(AA$4&gt;DAY(EOMONTH(DATE($D$2,$B$2,1),0)),"",IFERROR(SUMIFS(DATA_GOC!$H:$H,DATA_GOC!$A:$A,"BOM",DATA_GOC!$D:$D,$B334,DATA_GOC!$E:$E,"Dầu thủy lực",DATA_GOC!$F:$F,"Xuất nội bộ từ téc",DATA_GOC!$B:$B,DATE($D$2,$B$2,AA$4)),0))</f>
        <v>0</v>
      </c>
      <c r="AB334" s="251">
        <f>IF(AB$4&gt;DAY(EOMONTH(DATE($D$2,$B$2,1),0)),"",IFERROR(SUMIFS(DATA_GOC!$H:$H,DATA_GOC!$A:$A,"BOM",DATA_GOC!$D:$D,$B334,DATA_GOC!$E:$E,"Dầu thủy lực",DATA_GOC!$F:$F,"Xuất nội bộ từ téc",DATA_GOC!$B:$B,DATE($D$2,$B$2,AB$4)),0))</f>
        <v>0</v>
      </c>
      <c r="AC334" s="251">
        <f>IF(AC$4&gt;DAY(EOMONTH(DATE($D$2,$B$2,1),0)),"",IFERROR(SUMIFS(DATA_GOC!$H:$H,DATA_GOC!$A:$A,"BOM",DATA_GOC!$D:$D,$B334,DATA_GOC!$E:$E,"Dầu thủy lực",DATA_GOC!$F:$F,"Xuất nội bộ từ téc",DATA_GOC!$B:$B,DATE($D$2,$B$2,AC$4)),0))</f>
        <v>0</v>
      </c>
      <c r="AD334" s="251">
        <f>IF(AD$4&gt;DAY(EOMONTH(DATE($D$2,$B$2,1),0)),"",IFERROR(SUMIFS(DATA_GOC!$H:$H,DATA_GOC!$A:$A,"BOM",DATA_GOC!$D:$D,$B334,DATA_GOC!$E:$E,"Dầu thủy lực",DATA_GOC!$F:$F,"Xuất nội bộ từ téc",DATA_GOC!$B:$B,DATE($D$2,$B$2,AD$4)),0))</f>
        <v>0</v>
      </c>
      <c r="AE334" s="251">
        <f>IF(AE$4&gt;DAY(EOMONTH(DATE($D$2,$B$2,1),0)),"",IFERROR(SUMIFS(DATA_GOC!$H:$H,DATA_GOC!$A:$A,"BOM",DATA_GOC!$D:$D,$B334,DATA_GOC!$E:$E,"Dầu thủy lực",DATA_GOC!$F:$F,"Xuất nội bộ từ téc",DATA_GOC!$B:$B,DATE($D$2,$B$2,AE$4)),0))</f>
        <v>0</v>
      </c>
      <c r="AF334" s="251">
        <f>IF(AF$4&gt;DAY(EOMONTH(DATE($D$2,$B$2,1),0)),"",IFERROR(SUMIFS(DATA_GOC!$H:$H,DATA_GOC!$A:$A,"BOM",DATA_GOC!$D:$D,$B334,DATA_GOC!$E:$E,"Dầu thủy lực",DATA_GOC!$F:$F,"Xuất nội bộ từ téc",DATA_GOC!$B:$B,DATE($D$2,$B$2,AF$4)),0))</f>
        <v>0</v>
      </c>
      <c r="AG334" s="251">
        <f>IF(AG$4&gt;DAY(EOMONTH(DATE($D$2,$B$2,1),0)),"",IFERROR(SUMIFS(DATA_GOC!$H:$H,DATA_GOC!$A:$A,"BOM",DATA_GOC!$D:$D,$B334,DATA_GOC!$E:$E,"Dầu thủy lực",DATA_GOC!$F:$F,"Xuất nội bộ từ téc",DATA_GOC!$B:$B,DATE($D$2,$B$2,AG$4)),0))</f>
        <v>0</v>
      </c>
      <c r="AH334" s="252">
        <f t="shared" si="16"/>
        <v>0</v>
      </c>
      <c r="AI334" s="241"/>
      <c r="AJ334" s="242">
        <f>IF($B334="","",SUMIFS(TINH_TEC!$K$233:$K$9232,TINH_TEC!$H$233:$H$9232,$B334,TINH_TEC!$C$233:$C$9232,"Dầu thủy lực",TINH_TEC!$F$233:$F$9232,$B$2,TINH_TEC!$G$233:$G$9232,$D$2,TINH_TEC!$B$233:$B$9232,"Đã chốt"))</f>
        <v>0</v>
      </c>
      <c r="AK334" s="242">
        <f>IF($B334="","",SUMIFS(TINH_TEC!$J$233:$J$9232,TINH_TEC!$H$233:$H$9232,$B334,TINH_TEC!$C$233:$C$9232,"Dầu thủy lực",TINH_TEC!$F$233:$F$9232,$B$2,TINH_TEC!$G$233:$G$9232,$D$2,TINH_TEC!$B$233:$B$9232,"Đã chốt"))</f>
        <v>0</v>
      </c>
      <c r="AL334" s="242">
        <f t="shared" si="17"/>
        <v>0</v>
      </c>
    </row>
    <row r="335" ht="15.75" customHeight="1">
      <c r="A335" s="237">
        <f>IF($B335&lt;&gt;"",25,"")</f>
        <v>25</v>
      </c>
      <c r="B335" s="250" t="str">
        <f t="array" ref="B335">IFERROR(INDEX(DANH_MUC!$E:$E,28),"")</f>
        <v>28C04576</v>
      </c>
      <c r="C335" s="251">
        <f>IF(C$4&gt;DAY(EOMONTH(DATE($D$2,$B$2,1),0)),"",IFERROR(SUMIFS(DATA_GOC!$H:$H,DATA_GOC!$A:$A,"BOM",DATA_GOC!$D:$D,$B335,DATA_GOC!$E:$E,"Dầu thủy lực",DATA_GOC!$F:$F,"Xuất nội bộ từ téc",DATA_GOC!$B:$B,DATE($D$2,$B$2,C$4)),0))</f>
        <v>0</v>
      </c>
      <c r="D335" s="251">
        <f>IF(D$4&gt;DAY(EOMONTH(DATE($D$2,$B$2,1),0)),"",IFERROR(SUMIFS(DATA_GOC!$H:$H,DATA_GOC!$A:$A,"BOM",DATA_GOC!$D:$D,$B335,DATA_GOC!$E:$E,"Dầu thủy lực",DATA_GOC!$F:$F,"Xuất nội bộ từ téc",DATA_GOC!$B:$B,DATE($D$2,$B$2,D$4)),0))</f>
        <v>0</v>
      </c>
      <c r="E335" s="251">
        <f>IF(E$4&gt;DAY(EOMONTH(DATE($D$2,$B$2,1),0)),"",IFERROR(SUMIFS(DATA_GOC!$H:$H,DATA_GOC!$A:$A,"BOM",DATA_GOC!$D:$D,$B335,DATA_GOC!$E:$E,"Dầu thủy lực",DATA_GOC!$F:$F,"Xuất nội bộ từ téc",DATA_GOC!$B:$B,DATE($D$2,$B$2,E$4)),0))</f>
        <v>0</v>
      </c>
      <c r="F335" s="251">
        <f>IF(F$4&gt;DAY(EOMONTH(DATE($D$2,$B$2,1),0)),"",IFERROR(SUMIFS(DATA_GOC!$H:$H,DATA_GOC!$A:$A,"BOM",DATA_GOC!$D:$D,$B335,DATA_GOC!$E:$E,"Dầu thủy lực",DATA_GOC!$F:$F,"Xuất nội bộ từ téc",DATA_GOC!$B:$B,DATE($D$2,$B$2,F$4)),0))</f>
        <v>0</v>
      </c>
      <c r="G335" s="251">
        <f>IF(G$4&gt;DAY(EOMONTH(DATE($D$2,$B$2,1),0)),"",IFERROR(SUMIFS(DATA_GOC!$H:$H,DATA_GOC!$A:$A,"BOM",DATA_GOC!$D:$D,$B335,DATA_GOC!$E:$E,"Dầu thủy lực",DATA_GOC!$F:$F,"Xuất nội bộ từ téc",DATA_GOC!$B:$B,DATE($D$2,$B$2,G$4)),0))</f>
        <v>0</v>
      </c>
      <c r="H335" s="251">
        <f>IF(H$4&gt;DAY(EOMONTH(DATE($D$2,$B$2,1),0)),"",IFERROR(SUMIFS(DATA_GOC!$H:$H,DATA_GOC!$A:$A,"BOM",DATA_GOC!$D:$D,$B335,DATA_GOC!$E:$E,"Dầu thủy lực",DATA_GOC!$F:$F,"Xuất nội bộ từ téc",DATA_GOC!$B:$B,DATE($D$2,$B$2,H$4)),0))</f>
        <v>0</v>
      </c>
      <c r="I335" s="251">
        <f>IF(I$4&gt;DAY(EOMONTH(DATE($D$2,$B$2,1),0)),"",IFERROR(SUMIFS(DATA_GOC!$H:$H,DATA_GOC!$A:$A,"BOM",DATA_GOC!$D:$D,$B335,DATA_GOC!$E:$E,"Dầu thủy lực",DATA_GOC!$F:$F,"Xuất nội bộ từ téc",DATA_GOC!$B:$B,DATE($D$2,$B$2,I$4)),0))</f>
        <v>0</v>
      </c>
      <c r="J335" s="251">
        <f>IF(J$4&gt;DAY(EOMONTH(DATE($D$2,$B$2,1),0)),"",IFERROR(SUMIFS(DATA_GOC!$H:$H,DATA_GOC!$A:$A,"BOM",DATA_GOC!$D:$D,$B335,DATA_GOC!$E:$E,"Dầu thủy lực",DATA_GOC!$F:$F,"Xuất nội bộ từ téc",DATA_GOC!$B:$B,DATE($D$2,$B$2,J$4)),0))</f>
        <v>0</v>
      </c>
      <c r="K335" s="251">
        <f>IF(K$4&gt;DAY(EOMONTH(DATE($D$2,$B$2,1),0)),"",IFERROR(SUMIFS(DATA_GOC!$H:$H,DATA_GOC!$A:$A,"BOM",DATA_GOC!$D:$D,$B335,DATA_GOC!$E:$E,"Dầu thủy lực",DATA_GOC!$F:$F,"Xuất nội bộ từ téc",DATA_GOC!$B:$B,DATE($D$2,$B$2,K$4)),0))</f>
        <v>0</v>
      </c>
      <c r="L335" s="251">
        <f>IF(L$4&gt;DAY(EOMONTH(DATE($D$2,$B$2,1),0)),"",IFERROR(SUMIFS(DATA_GOC!$H:$H,DATA_GOC!$A:$A,"BOM",DATA_GOC!$D:$D,$B335,DATA_GOC!$E:$E,"Dầu thủy lực",DATA_GOC!$F:$F,"Xuất nội bộ từ téc",DATA_GOC!$B:$B,DATE($D$2,$B$2,L$4)),0))</f>
        <v>0</v>
      </c>
      <c r="M335" s="251">
        <f>IF(M$4&gt;DAY(EOMONTH(DATE($D$2,$B$2,1),0)),"",IFERROR(SUMIFS(DATA_GOC!$H:$H,DATA_GOC!$A:$A,"BOM",DATA_GOC!$D:$D,$B335,DATA_GOC!$E:$E,"Dầu thủy lực",DATA_GOC!$F:$F,"Xuất nội bộ từ téc",DATA_GOC!$B:$B,DATE($D$2,$B$2,M$4)),0))</f>
        <v>0</v>
      </c>
      <c r="N335" s="251">
        <f>IF(N$4&gt;DAY(EOMONTH(DATE($D$2,$B$2,1),0)),"",IFERROR(SUMIFS(DATA_GOC!$H:$H,DATA_GOC!$A:$A,"BOM",DATA_GOC!$D:$D,$B335,DATA_GOC!$E:$E,"Dầu thủy lực",DATA_GOC!$F:$F,"Xuất nội bộ từ téc",DATA_GOC!$B:$B,DATE($D$2,$B$2,N$4)),0))</f>
        <v>0</v>
      </c>
      <c r="O335" s="251">
        <f>IF(O$4&gt;DAY(EOMONTH(DATE($D$2,$B$2,1),0)),"",IFERROR(SUMIFS(DATA_GOC!$H:$H,DATA_GOC!$A:$A,"BOM",DATA_GOC!$D:$D,$B335,DATA_GOC!$E:$E,"Dầu thủy lực",DATA_GOC!$F:$F,"Xuất nội bộ từ téc",DATA_GOC!$B:$B,DATE($D$2,$B$2,O$4)),0))</f>
        <v>0</v>
      </c>
      <c r="P335" s="251">
        <f>IF(P$4&gt;DAY(EOMONTH(DATE($D$2,$B$2,1),0)),"",IFERROR(SUMIFS(DATA_GOC!$H:$H,DATA_GOC!$A:$A,"BOM",DATA_GOC!$D:$D,$B335,DATA_GOC!$E:$E,"Dầu thủy lực",DATA_GOC!$F:$F,"Xuất nội bộ từ téc",DATA_GOC!$B:$B,DATE($D$2,$B$2,P$4)),0))</f>
        <v>0</v>
      </c>
      <c r="Q335" s="251">
        <f>IF(Q$4&gt;DAY(EOMONTH(DATE($D$2,$B$2,1),0)),"",IFERROR(SUMIFS(DATA_GOC!$H:$H,DATA_GOC!$A:$A,"BOM",DATA_GOC!$D:$D,$B335,DATA_GOC!$E:$E,"Dầu thủy lực",DATA_GOC!$F:$F,"Xuất nội bộ từ téc",DATA_GOC!$B:$B,DATE($D$2,$B$2,Q$4)),0))</f>
        <v>0</v>
      </c>
      <c r="R335" s="251">
        <f>IF(R$4&gt;DAY(EOMONTH(DATE($D$2,$B$2,1),0)),"",IFERROR(SUMIFS(DATA_GOC!$H:$H,DATA_GOC!$A:$A,"BOM",DATA_GOC!$D:$D,$B335,DATA_GOC!$E:$E,"Dầu thủy lực",DATA_GOC!$F:$F,"Xuất nội bộ từ téc",DATA_GOC!$B:$B,DATE($D$2,$B$2,R$4)),0))</f>
        <v>0</v>
      </c>
      <c r="S335" s="251">
        <f>IF(S$4&gt;DAY(EOMONTH(DATE($D$2,$B$2,1),0)),"",IFERROR(SUMIFS(DATA_GOC!$H:$H,DATA_GOC!$A:$A,"BOM",DATA_GOC!$D:$D,$B335,DATA_GOC!$E:$E,"Dầu thủy lực",DATA_GOC!$F:$F,"Xuất nội bộ từ téc",DATA_GOC!$B:$B,DATE($D$2,$B$2,S$4)),0))</f>
        <v>0</v>
      </c>
      <c r="T335" s="251">
        <f>IF(T$4&gt;DAY(EOMONTH(DATE($D$2,$B$2,1),0)),"",IFERROR(SUMIFS(DATA_GOC!$H:$H,DATA_GOC!$A:$A,"BOM",DATA_GOC!$D:$D,$B335,DATA_GOC!$E:$E,"Dầu thủy lực",DATA_GOC!$F:$F,"Xuất nội bộ từ téc",DATA_GOC!$B:$B,DATE($D$2,$B$2,T$4)),0))</f>
        <v>0</v>
      </c>
      <c r="U335" s="251">
        <f>IF(U$4&gt;DAY(EOMONTH(DATE($D$2,$B$2,1),0)),"",IFERROR(SUMIFS(DATA_GOC!$H:$H,DATA_GOC!$A:$A,"BOM",DATA_GOC!$D:$D,$B335,DATA_GOC!$E:$E,"Dầu thủy lực",DATA_GOC!$F:$F,"Xuất nội bộ từ téc",DATA_GOC!$B:$B,DATE($D$2,$B$2,U$4)),0))</f>
        <v>0</v>
      </c>
      <c r="V335" s="251">
        <f>IF(V$4&gt;DAY(EOMONTH(DATE($D$2,$B$2,1),0)),"",IFERROR(SUMIFS(DATA_GOC!$H:$H,DATA_GOC!$A:$A,"BOM",DATA_GOC!$D:$D,$B335,DATA_GOC!$E:$E,"Dầu thủy lực",DATA_GOC!$F:$F,"Xuất nội bộ từ téc",DATA_GOC!$B:$B,DATE($D$2,$B$2,V$4)),0))</f>
        <v>0</v>
      </c>
      <c r="W335" s="251">
        <f>IF(W$4&gt;DAY(EOMONTH(DATE($D$2,$B$2,1),0)),"",IFERROR(SUMIFS(DATA_GOC!$H:$H,DATA_GOC!$A:$A,"BOM",DATA_GOC!$D:$D,$B335,DATA_GOC!$E:$E,"Dầu thủy lực",DATA_GOC!$F:$F,"Xuất nội bộ từ téc",DATA_GOC!$B:$B,DATE($D$2,$B$2,W$4)),0))</f>
        <v>0</v>
      </c>
      <c r="X335" s="251">
        <f>IF(X$4&gt;DAY(EOMONTH(DATE($D$2,$B$2,1),0)),"",IFERROR(SUMIFS(DATA_GOC!$H:$H,DATA_GOC!$A:$A,"BOM",DATA_GOC!$D:$D,$B335,DATA_GOC!$E:$E,"Dầu thủy lực",DATA_GOC!$F:$F,"Xuất nội bộ từ téc",DATA_GOC!$B:$B,DATE($D$2,$B$2,X$4)),0))</f>
        <v>0</v>
      </c>
      <c r="Y335" s="251">
        <f>IF(Y$4&gt;DAY(EOMONTH(DATE($D$2,$B$2,1),0)),"",IFERROR(SUMIFS(DATA_GOC!$H:$H,DATA_GOC!$A:$A,"BOM",DATA_GOC!$D:$D,$B335,DATA_GOC!$E:$E,"Dầu thủy lực",DATA_GOC!$F:$F,"Xuất nội bộ từ téc",DATA_GOC!$B:$B,DATE($D$2,$B$2,Y$4)),0))</f>
        <v>0</v>
      </c>
      <c r="Z335" s="251">
        <f>IF(Z$4&gt;DAY(EOMONTH(DATE($D$2,$B$2,1),0)),"",IFERROR(SUMIFS(DATA_GOC!$H:$H,DATA_GOC!$A:$A,"BOM",DATA_GOC!$D:$D,$B335,DATA_GOC!$E:$E,"Dầu thủy lực",DATA_GOC!$F:$F,"Xuất nội bộ từ téc",DATA_GOC!$B:$B,DATE($D$2,$B$2,Z$4)),0))</f>
        <v>0</v>
      </c>
      <c r="AA335" s="251">
        <f>IF(AA$4&gt;DAY(EOMONTH(DATE($D$2,$B$2,1),0)),"",IFERROR(SUMIFS(DATA_GOC!$H:$H,DATA_GOC!$A:$A,"BOM",DATA_GOC!$D:$D,$B335,DATA_GOC!$E:$E,"Dầu thủy lực",DATA_GOC!$F:$F,"Xuất nội bộ từ téc",DATA_GOC!$B:$B,DATE($D$2,$B$2,AA$4)),0))</f>
        <v>0</v>
      </c>
      <c r="AB335" s="251">
        <f>IF(AB$4&gt;DAY(EOMONTH(DATE($D$2,$B$2,1),0)),"",IFERROR(SUMIFS(DATA_GOC!$H:$H,DATA_GOC!$A:$A,"BOM",DATA_GOC!$D:$D,$B335,DATA_GOC!$E:$E,"Dầu thủy lực",DATA_GOC!$F:$F,"Xuất nội bộ từ téc",DATA_GOC!$B:$B,DATE($D$2,$B$2,AB$4)),0))</f>
        <v>0</v>
      </c>
      <c r="AC335" s="251">
        <f>IF(AC$4&gt;DAY(EOMONTH(DATE($D$2,$B$2,1),0)),"",IFERROR(SUMIFS(DATA_GOC!$H:$H,DATA_GOC!$A:$A,"BOM",DATA_GOC!$D:$D,$B335,DATA_GOC!$E:$E,"Dầu thủy lực",DATA_GOC!$F:$F,"Xuất nội bộ từ téc",DATA_GOC!$B:$B,DATE($D$2,$B$2,AC$4)),0))</f>
        <v>0</v>
      </c>
      <c r="AD335" s="251">
        <f>IF(AD$4&gt;DAY(EOMONTH(DATE($D$2,$B$2,1),0)),"",IFERROR(SUMIFS(DATA_GOC!$H:$H,DATA_GOC!$A:$A,"BOM",DATA_GOC!$D:$D,$B335,DATA_GOC!$E:$E,"Dầu thủy lực",DATA_GOC!$F:$F,"Xuất nội bộ từ téc",DATA_GOC!$B:$B,DATE($D$2,$B$2,AD$4)),0))</f>
        <v>0</v>
      </c>
      <c r="AE335" s="251">
        <f>IF(AE$4&gt;DAY(EOMONTH(DATE($D$2,$B$2,1),0)),"",IFERROR(SUMIFS(DATA_GOC!$H:$H,DATA_GOC!$A:$A,"BOM",DATA_GOC!$D:$D,$B335,DATA_GOC!$E:$E,"Dầu thủy lực",DATA_GOC!$F:$F,"Xuất nội bộ từ téc",DATA_GOC!$B:$B,DATE($D$2,$B$2,AE$4)),0))</f>
        <v>0</v>
      </c>
      <c r="AF335" s="251">
        <f>IF(AF$4&gt;DAY(EOMONTH(DATE($D$2,$B$2,1),0)),"",IFERROR(SUMIFS(DATA_GOC!$H:$H,DATA_GOC!$A:$A,"BOM",DATA_GOC!$D:$D,$B335,DATA_GOC!$E:$E,"Dầu thủy lực",DATA_GOC!$F:$F,"Xuất nội bộ từ téc",DATA_GOC!$B:$B,DATE($D$2,$B$2,AF$4)),0))</f>
        <v>0</v>
      </c>
      <c r="AG335" s="251">
        <f>IF(AG$4&gt;DAY(EOMONTH(DATE($D$2,$B$2,1),0)),"",IFERROR(SUMIFS(DATA_GOC!$H:$H,DATA_GOC!$A:$A,"BOM",DATA_GOC!$D:$D,$B335,DATA_GOC!$E:$E,"Dầu thủy lực",DATA_GOC!$F:$F,"Xuất nội bộ từ téc",DATA_GOC!$B:$B,DATE($D$2,$B$2,AG$4)),0))</f>
        <v>0</v>
      </c>
      <c r="AH335" s="252">
        <f t="shared" si="16"/>
        <v>0</v>
      </c>
      <c r="AI335" s="241"/>
      <c r="AJ335" s="242">
        <f>IF($B335="","",SUMIFS(TINH_TEC!$K$233:$K$9232,TINH_TEC!$H$233:$H$9232,$B335,TINH_TEC!$C$233:$C$9232,"Dầu thủy lực",TINH_TEC!$F$233:$F$9232,$B$2,TINH_TEC!$G$233:$G$9232,$D$2,TINH_TEC!$B$233:$B$9232,"Đã chốt"))</f>
        <v>0</v>
      </c>
      <c r="AK335" s="242">
        <f>IF($B335="","",SUMIFS(TINH_TEC!$J$233:$J$9232,TINH_TEC!$H$233:$H$9232,$B335,TINH_TEC!$C$233:$C$9232,"Dầu thủy lực",TINH_TEC!$F$233:$F$9232,$B$2,TINH_TEC!$G$233:$G$9232,$D$2,TINH_TEC!$B$233:$B$9232,"Đã chốt"))</f>
        <v>0</v>
      </c>
      <c r="AL335" s="242">
        <f t="shared" si="17"/>
        <v>0</v>
      </c>
    </row>
    <row r="336" ht="15.75" customHeight="1">
      <c r="A336" s="237">
        <f>IF($B336&lt;&gt;"",26,"")</f>
        <v>26</v>
      </c>
      <c r="B336" s="250" t="str">
        <f t="array" ref="B336">IFERROR(INDEX(DANH_MUC!$E:$E,29),"")</f>
        <v>28C05090</v>
      </c>
      <c r="C336" s="251">
        <f>IF(C$4&gt;DAY(EOMONTH(DATE($D$2,$B$2,1),0)),"",IFERROR(SUMIFS(DATA_GOC!$H:$H,DATA_GOC!$A:$A,"BOM",DATA_GOC!$D:$D,$B336,DATA_GOC!$E:$E,"Dầu thủy lực",DATA_GOC!$F:$F,"Xuất nội bộ từ téc",DATA_GOC!$B:$B,DATE($D$2,$B$2,C$4)),0))</f>
        <v>0</v>
      </c>
      <c r="D336" s="251">
        <f>IF(D$4&gt;DAY(EOMONTH(DATE($D$2,$B$2,1),0)),"",IFERROR(SUMIFS(DATA_GOC!$H:$H,DATA_GOC!$A:$A,"BOM",DATA_GOC!$D:$D,$B336,DATA_GOC!$E:$E,"Dầu thủy lực",DATA_GOC!$F:$F,"Xuất nội bộ từ téc",DATA_GOC!$B:$B,DATE($D$2,$B$2,D$4)),0))</f>
        <v>0</v>
      </c>
      <c r="E336" s="251">
        <f>IF(E$4&gt;DAY(EOMONTH(DATE($D$2,$B$2,1),0)),"",IFERROR(SUMIFS(DATA_GOC!$H:$H,DATA_GOC!$A:$A,"BOM",DATA_GOC!$D:$D,$B336,DATA_GOC!$E:$E,"Dầu thủy lực",DATA_GOC!$F:$F,"Xuất nội bộ từ téc",DATA_GOC!$B:$B,DATE($D$2,$B$2,E$4)),0))</f>
        <v>0</v>
      </c>
      <c r="F336" s="251">
        <f>IF(F$4&gt;DAY(EOMONTH(DATE($D$2,$B$2,1),0)),"",IFERROR(SUMIFS(DATA_GOC!$H:$H,DATA_GOC!$A:$A,"BOM",DATA_GOC!$D:$D,$B336,DATA_GOC!$E:$E,"Dầu thủy lực",DATA_GOC!$F:$F,"Xuất nội bộ từ téc",DATA_GOC!$B:$B,DATE($D$2,$B$2,F$4)),0))</f>
        <v>0</v>
      </c>
      <c r="G336" s="251">
        <f>IF(G$4&gt;DAY(EOMONTH(DATE($D$2,$B$2,1),0)),"",IFERROR(SUMIFS(DATA_GOC!$H:$H,DATA_GOC!$A:$A,"BOM",DATA_GOC!$D:$D,$B336,DATA_GOC!$E:$E,"Dầu thủy lực",DATA_GOC!$F:$F,"Xuất nội bộ từ téc",DATA_GOC!$B:$B,DATE($D$2,$B$2,G$4)),0))</f>
        <v>0</v>
      </c>
      <c r="H336" s="251">
        <f>IF(H$4&gt;DAY(EOMONTH(DATE($D$2,$B$2,1),0)),"",IFERROR(SUMIFS(DATA_GOC!$H:$H,DATA_GOC!$A:$A,"BOM",DATA_GOC!$D:$D,$B336,DATA_GOC!$E:$E,"Dầu thủy lực",DATA_GOC!$F:$F,"Xuất nội bộ từ téc",DATA_GOC!$B:$B,DATE($D$2,$B$2,H$4)),0))</f>
        <v>0</v>
      </c>
      <c r="I336" s="251">
        <f>IF(I$4&gt;DAY(EOMONTH(DATE($D$2,$B$2,1),0)),"",IFERROR(SUMIFS(DATA_GOC!$H:$H,DATA_GOC!$A:$A,"BOM",DATA_GOC!$D:$D,$B336,DATA_GOC!$E:$E,"Dầu thủy lực",DATA_GOC!$F:$F,"Xuất nội bộ từ téc",DATA_GOC!$B:$B,DATE($D$2,$B$2,I$4)),0))</f>
        <v>0</v>
      </c>
      <c r="J336" s="251">
        <f>IF(J$4&gt;DAY(EOMONTH(DATE($D$2,$B$2,1),0)),"",IFERROR(SUMIFS(DATA_GOC!$H:$H,DATA_GOC!$A:$A,"BOM",DATA_GOC!$D:$D,$B336,DATA_GOC!$E:$E,"Dầu thủy lực",DATA_GOC!$F:$F,"Xuất nội bộ từ téc",DATA_GOC!$B:$B,DATE($D$2,$B$2,J$4)),0))</f>
        <v>0</v>
      </c>
      <c r="K336" s="251">
        <f>IF(K$4&gt;DAY(EOMONTH(DATE($D$2,$B$2,1),0)),"",IFERROR(SUMIFS(DATA_GOC!$H:$H,DATA_GOC!$A:$A,"BOM",DATA_GOC!$D:$D,$B336,DATA_GOC!$E:$E,"Dầu thủy lực",DATA_GOC!$F:$F,"Xuất nội bộ từ téc",DATA_GOC!$B:$B,DATE($D$2,$B$2,K$4)),0))</f>
        <v>0</v>
      </c>
      <c r="L336" s="251">
        <f>IF(L$4&gt;DAY(EOMONTH(DATE($D$2,$B$2,1),0)),"",IFERROR(SUMIFS(DATA_GOC!$H:$H,DATA_GOC!$A:$A,"BOM",DATA_GOC!$D:$D,$B336,DATA_GOC!$E:$E,"Dầu thủy lực",DATA_GOC!$F:$F,"Xuất nội bộ từ téc",DATA_GOC!$B:$B,DATE($D$2,$B$2,L$4)),0))</f>
        <v>0</v>
      </c>
      <c r="M336" s="251">
        <f>IF(M$4&gt;DAY(EOMONTH(DATE($D$2,$B$2,1),0)),"",IFERROR(SUMIFS(DATA_GOC!$H:$H,DATA_GOC!$A:$A,"BOM",DATA_GOC!$D:$D,$B336,DATA_GOC!$E:$E,"Dầu thủy lực",DATA_GOC!$F:$F,"Xuất nội bộ từ téc",DATA_GOC!$B:$B,DATE($D$2,$B$2,M$4)),0))</f>
        <v>0</v>
      </c>
      <c r="N336" s="251">
        <f>IF(N$4&gt;DAY(EOMONTH(DATE($D$2,$B$2,1),0)),"",IFERROR(SUMIFS(DATA_GOC!$H:$H,DATA_GOC!$A:$A,"BOM",DATA_GOC!$D:$D,$B336,DATA_GOC!$E:$E,"Dầu thủy lực",DATA_GOC!$F:$F,"Xuất nội bộ từ téc",DATA_GOC!$B:$B,DATE($D$2,$B$2,N$4)),0))</f>
        <v>0</v>
      </c>
      <c r="O336" s="251">
        <f>IF(O$4&gt;DAY(EOMONTH(DATE($D$2,$B$2,1),0)),"",IFERROR(SUMIFS(DATA_GOC!$H:$H,DATA_GOC!$A:$A,"BOM",DATA_GOC!$D:$D,$B336,DATA_GOC!$E:$E,"Dầu thủy lực",DATA_GOC!$F:$F,"Xuất nội bộ từ téc",DATA_GOC!$B:$B,DATE($D$2,$B$2,O$4)),0))</f>
        <v>0</v>
      </c>
      <c r="P336" s="251">
        <f>IF(P$4&gt;DAY(EOMONTH(DATE($D$2,$B$2,1),0)),"",IFERROR(SUMIFS(DATA_GOC!$H:$H,DATA_GOC!$A:$A,"BOM",DATA_GOC!$D:$D,$B336,DATA_GOC!$E:$E,"Dầu thủy lực",DATA_GOC!$F:$F,"Xuất nội bộ từ téc",DATA_GOC!$B:$B,DATE($D$2,$B$2,P$4)),0))</f>
        <v>0</v>
      </c>
      <c r="Q336" s="251">
        <f>IF(Q$4&gt;DAY(EOMONTH(DATE($D$2,$B$2,1),0)),"",IFERROR(SUMIFS(DATA_GOC!$H:$H,DATA_GOC!$A:$A,"BOM",DATA_GOC!$D:$D,$B336,DATA_GOC!$E:$E,"Dầu thủy lực",DATA_GOC!$F:$F,"Xuất nội bộ từ téc",DATA_GOC!$B:$B,DATE($D$2,$B$2,Q$4)),0))</f>
        <v>0</v>
      </c>
      <c r="R336" s="251">
        <f>IF(R$4&gt;DAY(EOMONTH(DATE($D$2,$B$2,1),0)),"",IFERROR(SUMIFS(DATA_GOC!$H:$H,DATA_GOC!$A:$A,"BOM",DATA_GOC!$D:$D,$B336,DATA_GOC!$E:$E,"Dầu thủy lực",DATA_GOC!$F:$F,"Xuất nội bộ từ téc",DATA_GOC!$B:$B,DATE($D$2,$B$2,R$4)),0))</f>
        <v>0</v>
      </c>
      <c r="S336" s="251">
        <f>IF(S$4&gt;DAY(EOMONTH(DATE($D$2,$B$2,1),0)),"",IFERROR(SUMIFS(DATA_GOC!$H:$H,DATA_GOC!$A:$A,"BOM",DATA_GOC!$D:$D,$B336,DATA_GOC!$E:$E,"Dầu thủy lực",DATA_GOC!$F:$F,"Xuất nội bộ từ téc",DATA_GOC!$B:$B,DATE($D$2,$B$2,S$4)),0))</f>
        <v>0</v>
      </c>
      <c r="T336" s="251">
        <f>IF(T$4&gt;DAY(EOMONTH(DATE($D$2,$B$2,1),0)),"",IFERROR(SUMIFS(DATA_GOC!$H:$H,DATA_GOC!$A:$A,"BOM",DATA_GOC!$D:$D,$B336,DATA_GOC!$E:$E,"Dầu thủy lực",DATA_GOC!$F:$F,"Xuất nội bộ từ téc",DATA_GOC!$B:$B,DATE($D$2,$B$2,T$4)),0))</f>
        <v>0</v>
      </c>
      <c r="U336" s="251">
        <f>IF(U$4&gt;DAY(EOMONTH(DATE($D$2,$B$2,1),0)),"",IFERROR(SUMIFS(DATA_GOC!$H:$H,DATA_GOC!$A:$A,"BOM",DATA_GOC!$D:$D,$B336,DATA_GOC!$E:$E,"Dầu thủy lực",DATA_GOC!$F:$F,"Xuất nội bộ từ téc",DATA_GOC!$B:$B,DATE($D$2,$B$2,U$4)),0))</f>
        <v>0</v>
      </c>
      <c r="V336" s="251">
        <f>IF(V$4&gt;DAY(EOMONTH(DATE($D$2,$B$2,1),0)),"",IFERROR(SUMIFS(DATA_GOC!$H:$H,DATA_GOC!$A:$A,"BOM",DATA_GOC!$D:$D,$B336,DATA_GOC!$E:$E,"Dầu thủy lực",DATA_GOC!$F:$F,"Xuất nội bộ từ téc",DATA_GOC!$B:$B,DATE($D$2,$B$2,V$4)),0))</f>
        <v>0</v>
      </c>
      <c r="W336" s="251">
        <f>IF(W$4&gt;DAY(EOMONTH(DATE($D$2,$B$2,1),0)),"",IFERROR(SUMIFS(DATA_GOC!$H:$H,DATA_GOC!$A:$A,"BOM",DATA_GOC!$D:$D,$B336,DATA_GOC!$E:$E,"Dầu thủy lực",DATA_GOC!$F:$F,"Xuất nội bộ từ téc",DATA_GOC!$B:$B,DATE($D$2,$B$2,W$4)),0))</f>
        <v>0</v>
      </c>
      <c r="X336" s="251">
        <f>IF(X$4&gt;DAY(EOMONTH(DATE($D$2,$B$2,1),0)),"",IFERROR(SUMIFS(DATA_GOC!$H:$H,DATA_GOC!$A:$A,"BOM",DATA_GOC!$D:$D,$B336,DATA_GOC!$E:$E,"Dầu thủy lực",DATA_GOC!$F:$F,"Xuất nội bộ từ téc",DATA_GOC!$B:$B,DATE($D$2,$B$2,X$4)),0))</f>
        <v>0</v>
      </c>
      <c r="Y336" s="251">
        <f>IF(Y$4&gt;DAY(EOMONTH(DATE($D$2,$B$2,1),0)),"",IFERROR(SUMIFS(DATA_GOC!$H:$H,DATA_GOC!$A:$A,"BOM",DATA_GOC!$D:$D,$B336,DATA_GOC!$E:$E,"Dầu thủy lực",DATA_GOC!$F:$F,"Xuất nội bộ từ téc",DATA_GOC!$B:$B,DATE($D$2,$B$2,Y$4)),0))</f>
        <v>0</v>
      </c>
      <c r="Z336" s="251">
        <f>IF(Z$4&gt;DAY(EOMONTH(DATE($D$2,$B$2,1),0)),"",IFERROR(SUMIFS(DATA_GOC!$H:$H,DATA_GOC!$A:$A,"BOM",DATA_GOC!$D:$D,$B336,DATA_GOC!$E:$E,"Dầu thủy lực",DATA_GOC!$F:$F,"Xuất nội bộ từ téc",DATA_GOC!$B:$B,DATE($D$2,$B$2,Z$4)),0))</f>
        <v>0</v>
      </c>
      <c r="AA336" s="251">
        <f>IF(AA$4&gt;DAY(EOMONTH(DATE($D$2,$B$2,1),0)),"",IFERROR(SUMIFS(DATA_GOC!$H:$H,DATA_GOC!$A:$A,"BOM",DATA_GOC!$D:$D,$B336,DATA_GOC!$E:$E,"Dầu thủy lực",DATA_GOC!$F:$F,"Xuất nội bộ từ téc",DATA_GOC!$B:$B,DATE($D$2,$B$2,AA$4)),0))</f>
        <v>0</v>
      </c>
      <c r="AB336" s="251">
        <f>IF(AB$4&gt;DAY(EOMONTH(DATE($D$2,$B$2,1),0)),"",IFERROR(SUMIFS(DATA_GOC!$H:$H,DATA_GOC!$A:$A,"BOM",DATA_GOC!$D:$D,$B336,DATA_GOC!$E:$E,"Dầu thủy lực",DATA_GOC!$F:$F,"Xuất nội bộ từ téc",DATA_GOC!$B:$B,DATE($D$2,$B$2,AB$4)),0))</f>
        <v>0</v>
      </c>
      <c r="AC336" s="251">
        <f>IF(AC$4&gt;DAY(EOMONTH(DATE($D$2,$B$2,1),0)),"",IFERROR(SUMIFS(DATA_GOC!$H:$H,DATA_GOC!$A:$A,"BOM",DATA_GOC!$D:$D,$B336,DATA_GOC!$E:$E,"Dầu thủy lực",DATA_GOC!$F:$F,"Xuất nội bộ từ téc",DATA_GOC!$B:$B,DATE($D$2,$B$2,AC$4)),0))</f>
        <v>0</v>
      </c>
      <c r="AD336" s="251">
        <f>IF(AD$4&gt;DAY(EOMONTH(DATE($D$2,$B$2,1),0)),"",IFERROR(SUMIFS(DATA_GOC!$H:$H,DATA_GOC!$A:$A,"BOM",DATA_GOC!$D:$D,$B336,DATA_GOC!$E:$E,"Dầu thủy lực",DATA_GOC!$F:$F,"Xuất nội bộ từ téc",DATA_GOC!$B:$B,DATE($D$2,$B$2,AD$4)),0))</f>
        <v>0</v>
      </c>
      <c r="AE336" s="251">
        <f>IF(AE$4&gt;DAY(EOMONTH(DATE($D$2,$B$2,1),0)),"",IFERROR(SUMIFS(DATA_GOC!$H:$H,DATA_GOC!$A:$A,"BOM",DATA_GOC!$D:$D,$B336,DATA_GOC!$E:$E,"Dầu thủy lực",DATA_GOC!$F:$F,"Xuất nội bộ từ téc",DATA_GOC!$B:$B,DATE($D$2,$B$2,AE$4)),0))</f>
        <v>0</v>
      </c>
      <c r="AF336" s="251">
        <f>IF(AF$4&gt;DAY(EOMONTH(DATE($D$2,$B$2,1),0)),"",IFERROR(SUMIFS(DATA_GOC!$H:$H,DATA_GOC!$A:$A,"BOM",DATA_GOC!$D:$D,$B336,DATA_GOC!$E:$E,"Dầu thủy lực",DATA_GOC!$F:$F,"Xuất nội bộ từ téc",DATA_GOC!$B:$B,DATE($D$2,$B$2,AF$4)),0))</f>
        <v>0</v>
      </c>
      <c r="AG336" s="251">
        <f>IF(AG$4&gt;DAY(EOMONTH(DATE($D$2,$B$2,1),0)),"",IFERROR(SUMIFS(DATA_GOC!$H:$H,DATA_GOC!$A:$A,"BOM",DATA_GOC!$D:$D,$B336,DATA_GOC!$E:$E,"Dầu thủy lực",DATA_GOC!$F:$F,"Xuất nội bộ từ téc",DATA_GOC!$B:$B,DATE($D$2,$B$2,AG$4)),0))</f>
        <v>0</v>
      </c>
      <c r="AH336" s="252">
        <f t="shared" si="16"/>
        <v>0</v>
      </c>
      <c r="AI336" s="241"/>
      <c r="AJ336" s="242">
        <f>IF($B336="","",SUMIFS(TINH_TEC!$K$233:$K$9232,TINH_TEC!$H$233:$H$9232,$B336,TINH_TEC!$C$233:$C$9232,"Dầu thủy lực",TINH_TEC!$F$233:$F$9232,$B$2,TINH_TEC!$G$233:$G$9232,$D$2,TINH_TEC!$B$233:$B$9232,"Đã chốt"))</f>
        <v>0</v>
      </c>
      <c r="AK336" s="242">
        <f>IF($B336="","",SUMIFS(TINH_TEC!$J$233:$J$9232,TINH_TEC!$H$233:$H$9232,$B336,TINH_TEC!$C$233:$C$9232,"Dầu thủy lực",TINH_TEC!$F$233:$F$9232,$B$2,TINH_TEC!$G$233:$G$9232,$D$2,TINH_TEC!$B$233:$B$9232,"Đã chốt"))</f>
        <v>0</v>
      </c>
      <c r="AL336" s="242">
        <f t="shared" si="17"/>
        <v>0</v>
      </c>
    </row>
    <row r="337" ht="15.75" customHeight="1">
      <c r="A337" s="237">
        <f>IF($B337&lt;&gt;"",27,"")</f>
        <v>27</v>
      </c>
      <c r="B337" s="250" t="str">
        <f t="array" ref="B337">IFERROR(INDEX(DANH_MUC!$E:$E,30),"")</f>
        <v>28C05345</v>
      </c>
      <c r="C337" s="251">
        <f>IF(C$4&gt;DAY(EOMONTH(DATE($D$2,$B$2,1),0)),"",IFERROR(SUMIFS(DATA_GOC!$H:$H,DATA_GOC!$A:$A,"BOM",DATA_GOC!$D:$D,$B337,DATA_GOC!$E:$E,"Dầu thủy lực",DATA_GOC!$F:$F,"Xuất nội bộ từ téc",DATA_GOC!$B:$B,DATE($D$2,$B$2,C$4)),0))</f>
        <v>0</v>
      </c>
      <c r="D337" s="251">
        <f>IF(D$4&gt;DAY(EOMONTH(DATE($D$2,$B$2,1),0)),"",IFERROR(SUMIFS(DATA_GOC!$H:$H,DATA_GOC!$A:$A,"BOM",DATA_GOC!$D:$D,$B337,DATA_GOC!$E:$E,"Dầu thủy lực",DATA_GOC!$F:$F,"Xuất nội bộ từ téc",DATA_GOC!$B:$B,DATE($D$2,$B$2,D$4)),0))</f>
        <v>0</v>
      </c>
      <c r="E337" s="251">
        <f>IF(E$4&gt;DAY(EOMONTH(DATE($D$2,$B$2,1),0)),"",IFERROR(SUMIFS(DATA_GOC!$H:$H,DATA_GOC!$A:$A,"BOM",DATA_GOC!$D:$D,$B337,DATA_GOC!$E:$E,"Dầu thủy lực",DATA_GOC!$F:$F,"Xuất nội bộ từ téc",DATA_GOC!$B:$B,DATE($D$2,$B$2,E$4)),0))</f>
        <v>0</v>
      </c>
      <c r="F337" s="251">
        <f>IF(F$4&gt;DAY(EOMONTH(DATE($D$2,$B$2,1),0)),"",IFERROR(SUMIFS(DATA_GOC!$H:$H,DATA_GOC!$A:$A,"BOM",DATA_GOC!$D:$D,$B337,DATA_GOC!$E:$E,"Dầu thủy lực",DATA_GOC!$F:$F,"Xuất nội bộ từ téc",DATA_GOC!$B:$B,DATE($D$2,$B$2,F$4)),0))</f>
        <v>0</v>
      </c>
      <c r="G337" s="251">
        <f>IF(G$4&gt;DAY(EOMONTH(DATE($D$2,$B$2,1),0)),"",IFERROR(SUMIFS(DATA_GOC!$H:$H,DATA_GOC!$A:$A,"BOM",DATA_GOC!$D:$D,$B337,DATA_GOC!$E:$E,"Dầu thủy lực",DATA_GOC!$F:$F,"Xuất nội bộ từ téc",DATA_GOC!$B:$B,DATE($D$2,$B$2,G$4)),0))</f>
        <v>0</v>
      </c>
      <c r="H337" s="251">
        <f>IF(H$4&gt;DAY(EOMONTH(DATE($D$2,$B$2,1),0)),"",IFERROR(SUMIFS(DATA_GOC!$H:$H,DATA_GOC!$A:$A,"BOM",DATA_GOC!$D:$D,$B337,DATA_GOC!$E:$E,"Dầu thủy lực",DATA_GOC!$F:$F,"Xuất nội bộ từ téc",DATA_GOC!$B:$B,DATE($D$2,$B$2,H$4)),0))</f>
        <v>0</v>
      </c>
      <c r="I337" s="251">
        <f>IF(I$4&gt;DAY(EOMONTH(DATE($D$2,$B$2,1),0)),"",IFERROR(SUMIFS(DATA_GOC!$H:$H,DATA_GOC!$A:$A,"BOM",DATA_GOC!$D:$D,$B337,DATA_GOC!$E:$E,"Dầu thủy lực",DATA_GOC!$F:$F,"Xuất nội bộ từ téc",DATA_GOC!$B:$B,DATE($D$2,$B$2,I$4)),0))</f>
        <v>0</v>
      </c>
      <c r="J337" s="251">
        <f>IF(J$4&gt;DAY(EOMONTH(DATE($D$2,$B$2,1),0)),"",IFERROR(SUMIFS(DATA_GOC!$H:$H,DATA_GOC!$A:$A,"BOM",DATA_GOC!$D:$D,$B337,DATA_GOC!$E:$E,"Dầu thủy lực",DATA_GOC!$F:$F,"Xuất nội bộ từ téc",DATA_GOC!$B:$B,DATE($D$2,$B$2,J$4)),0))</f>
        <v>0</v>
      </c>
      <c r="K337" s="251">
        <f>IF(K$4&gt;DAY(EOMONTH(DATE($D$2,$B$2,1),0)),"",IFERROR(SUMIFS(DATA_GOC!$H:$H,DATA_GOC!$A:$A,"BOM",DATA_GOC!$D:$D,$B337,DATA_GOC!$E:$E,"Dầu thủy lực",DATA_GOC!$F:$F,"Xuất nội bộ từ téc",DATA_GOC!$B:$B,DATE($D$2,$B$2,K$4)),0))</f>
        <v>0</v>
      </c>
      <c r="L337" s="251">
        <f>IF(L$4&gt;DAY(EOMONTH(DATE($D$2,$B$2,1),0)),"",IFERROR(SUMIFS(DATA_GOC!$H:$H,DATA_GOC!$A:$A,"BOM",DATA_GOC!$D:$D,$B337,DATA_GOC!$E:$E,"Dầu thủy lực",DATA_GOC!$F:$F,"Xuất nội bộ từ téc",DATA_GOC!$B:$B,DATE($D$2,$B$2,L$4)),0))</f>
        <v>0</v>
      </c>
      <c r="M337" s="251">
        <f>IF(M$4&gt;DAY(EOMONTH(DATE($D$2,$B$2,1),0)),"",IFERROR(SUMIFS(DATA_GOC!$H:$H,DATA_GOC!$A:$A,"BOM",DATA_GOC!$D:$D,$B337,DATA_GOC!$E:$E,"Dầu thủy lực",DATA_GOC!$F:$F,"Xuất nội bộ từ téc",DATA_GOC!$B:$B,DATE($D$2,$B$2,M$4)),0))</f>
        <v>0</v>
      </c>
      <c r="N337" s="251">
        <f>IF(N$4&gt;DAY(EOMONTH(DATE($D$2,$B$2,1),0)),"",IFERROR(SUMIFS(DATA_GOC!$H:$H,DATA_GOC!$A:$A,"BOM",DATA_GOC!$D:$D,$B337,DATA_GOC!$E:$E,"Dầu thủy lực",DATA_GOC!$F:$F,"Xuất nội bộ từ téc",DATA_GOC!$B:$B,DATE($D$2,$B$2,N$4)),0))</f>
        <v>0</v>
      </c>
      <c r="O337" s="251">
        <f>IF(O$4&gt;DAY(EOMONTH(DATE($D$2,$B$2,1),0)),"",IFERROR(SUMIFS(DATA_GOC!$H:$H,DATA_GOC!$A:$A,"BOM",DATA_GOC!$D:$D,$B337,DATA_GOC!$E:$E,"Dầu thủy lực",DATA_GOC!$F:$F,"Xuất nội bộ từ téc",DATA_GOC!$B:$B,DATE($D$2,$B$2,O$4)),0))</f>
        <v>0</v>
      </c>
      <c r="P337" s="251">
        <f>IF(P$4&gt;DAY(EOMONTH(DATE($D$2,$B$2,1),0)),"",IFERROR(SUMIFS(DATA_GOC!$H:$H,DATA_GOC!$A:$A,"BOM",DATA_GOC!$D:$D,$B337,DATA_GOC!$E:$E,"Dầu thủy lực",DATA_GOC!$F:$F,"Xuất nội bộ từ téc",DATA_GOC!$B:$B,DATE($D$2,$B$2,P$4)),0))</f>
        <v>0</v>
      </c>
      <c r="Q337" s="251">
        <f>IF(Q$4&gt;DAY(EOMONTH(DATE($D$2,$B$2,1),0)),"",IFERROR(SUMIFS(DATA_GOC!$H:$H,DATA_GOC!$A:$A,"BOM",DATA_GOC!$D:$D,$B337,DATA_GOC!$E:$E,"Dầu thủy lực",DATA_GOC!$F:$F,"Xuất nội bộ từ téc",DATA_GOC!$B:$B,DATE($D$2,$B$2,Q$4)),0))</f>
        <v>0</v>
      </c>
      <c r="R337" s="251">
        <f>IF(R$4&gt;DAY(EOMONTH(DATE($D$2,$B$2,1),0)),"",IFERROR(SUMIFS(DATA_GOC!$H:$H,DATA_GOC!$A:$A,"BOM",DATA_GOC!$D:$D,$B337,DATA_GOC!$E:$E,"Dầu thủy lực",DATA_GOC!$F:$F,"Xuất nội bộ từ téc",DATA_GOC!$B:$B,DATE($D$2,$B$2,R$4)),0))</f>
        <v>0</v>
      </c>
      <c r="S337" s="251">
        <f>IF(S$4&gt;DAY(EOMONTH(DATE($D$2,$B$2,1),0)),"",IFERROR(SUMIFS(DATA_GOC!$H:$H,DATA_GOC!$A:$A,"BOM",DATA_GOC!$D:$D,$B337,DATA_GOC!$E:$E,"Dầu thủy lực",DATA_GOC!$F:$F,"Xuất nội bộ từ téc",DATA_GOC!$B:$B,DATE($D$2,$B$2,S$4)),0))</f>
        <v>0</v>
      </c>
      <c r="T337" s="251">
        <f>IF(T$4&gt;DAY(EOMONTH(DATE($D$2,$B$2,1),0)),"",IFERROR(SUMIFS(DATA_GOC!$H:$H,DATA_GOC!$A:$A,"BOM",DATA_GOC!$D:$D,$B337,DATA_GOC!$E:$E,"Dầu thủy lực",DATA_GOC!$F:$F,"Xuất nội bộ từ téc",DATA_GOC!$B:$B,DATE($D$2,$B$2,T$4)),0))</f>
        <v>0</v>
      </c>
      <c r="U337" s="251">
        <f>IF(U$4&gt;DAY(EOMONTH(DATE($D$2,$B$2,1),0)),"",IFERROR(SUMIFS(DATA_GOC!$H:$H,DATA_GOC!$A:$A,"BOM",DATA_GOC!$D:$D,$B337,DATA_GOC!$E:$E,"Dầu thủy lực",DATA_GOC!$F:$F,"Xuất nội bộ từ téc",DATA_GOC!$B:$B,DATE($D$2,$B$2,U$4)),0))</f>
        <v>0</v>
      </c>
      <c r="V337" s="251">
        <f>IF(V$4&gt;DAY(EOMONTH(DATE($D$2,$B$2,1),0)),"",IFERROR(SUMIFS(DATA_GOC!$H:$H,DATA_GOC!$A:$A,"BOM",DATA_GOC!$D:$D,$B337,DATA_GOC!$E:$E,"Dầu thủy lực",DATA_GOC!$F:$F,"Xuất nội bộ từ téc",DATA_GOC!$B:$B,DATE($D$2,$B$2,V$4)),0))</f>
        <v>0</v>
      </c>
      <c r="W337" s="251">
        <f>IF(W$4&gt;DAY(EOMONTH(DATE($D$2,$B$2,1),0)),"",IFERROR(SUMIFS(DATA_GOC!$H:$H,DATA_GOC!$A:$A,"BOM",DATA_GOC!$D:$D,$B337,DATA_GOC!$E:$E,"Dầu thủy lực",DATA_GOC!$F:$F,"Xuất nội bộ từ téc",DATA_GOC!$B:$B,DATE($D$2,$B$2,W$4)),0))</f>
        <v>0</v>
      </c>
      <c r="X337" s="251">
        <f>IF(X$4&gt;DAY(EOMONTH(DATE($D$2,$B$2,1),0)),"",IFERROR(SUMIFS(DATA_GOC!$H:$H,DATA_GOC!$A:$A,"BOM",DATA_GOC!$D:$D,$B337,DATA_GOC!$E:$E,"Dầu thủy lực",DATA_GOC!$F:$F,"Xuất nội bộ từ téc",DATA_GOC!$B:$B,DATE($D$2,$B$2,X$4)),0))</f>
        <v>0</v>
      </c>
      <c r="Y337" s="251">
        <f>IF(Y$4&gt;DAY(EOMONTH(DATE($D$2,$B$2,1),0)),"",IFERROR(SUMIFS(DATA_GOC!$H:$H,DATA_GOC!$A:$A,"BOM",DATA_GOC!$D:$D,$B337,DATA_GOC!$E:$E,"Dầu thủy lực",DATA_GOC!$F:$F,"Xuất nội bộ từ téc",DATA_GOC!$B:$B,DATE($D$2,$B$2,Y$4)),0))</f>
        <v>0</v>
      </c>
      <c r="Z337" s="251">
        <f>IF(Z$4&gt;DAY(EOMONTH(DATE($D$2,$B$2,1),0)),"",IFERROR(SUMIFS(DATA_GOC!$H:$H,DATA_GOC!$A:$A,"BOM",DATA_GOC!$D:$D,$B337,DATA_GOC!$E:$E,"Dầu thủy lực",DATA_GOC!$F:$F,"Xuất nội bộ từ téc",DATA_GOC!$B:$B,DATE($D$2,$B$2,Z$4)),0))</f>
        <v>0</v>
      </c>
      <c r="AA337" s="251">
        <f>IF(AA$4&gt;DAY(EOMONTH(DATE($D$2,$B$2,1),0)),"",IFERROR(SUMIFS(DATA_GOC!$H:$H,DATA_GOC!$A:$A,"BOM",DATA_GOC!$D:$D,$B337,DATA_GOC!$E:$E,"Dầu thủy lực",DATA_GOC!$F:$F,"Xuất nội bộ từ téc",DATA_GOC!$B:$B,DATE($D$2,$B$2,AA$4)),0))</f>
        <v>0</v>
      </c>
      <c r="AB337" s="251">
        <f>IF(AB$4&gt;DAY(EOMONTH(DATE($D$2,$B$2,1),0)),"",IFERROR(SUMIFS(DATA_GOC!$H:$H,DATA_GOC!$A:$A,"BOM",DATA_GOC!$D:$D,$B337,DATA_GOC!$E:$E,"Dầu thủy lực",DATA_GOC!$F:$F,"Xuất nội bộ từ téc",DATA_GOC!$B:$B,DATE($D$2,$B$2,AB$4)),0))</f>
        <v>0</v>
      </c>
      <c r="AC337" s="251">
        <f>IF(AC$4&gt;DAY(EOMONTH(DATE($D$2,$B$2,1),0)),"",IFERROR(SUMIFS(DATA_GOC!$H:$H,DATA_GOC!$A:$A,"BOM",DATA_GOC!$D:$D,$B337,DATA_GOC!$E:$E,"Dầu thủy lực",DATA_GOC!$F:$F,"Xuất nội bộ từ téc",DATA_GOC!$B:$B,DATE($D$2,$B$2,AC$4)),0))</f>
        <v>0</v>
      </c>
      <c r="AD337" s="251">
        <f>IF(AD$4&gt;DAY(EOMONTH(DATE($D$2,$B$2,1),0)),"",IFERROR(SUMIFS(DATA_GOC!$H:$H,DATA_GOC!$A:$A,"BOM",DATA_GOC!$D:$D,$B337,DATA_GOC!$E:$E,"Dầu thủy lực",DATA_GOC!$F:$F,"Xuất nội bộ từ téc",DATA_GOC!$B:$B,DATE($D$2,$B$2,AD$4)),0))</f>
        <v>0</v>
      </c>
      <c r="AE337" s="251">
        <f>IF(AE$4&gt;DAY(EOMONTH(DATE($D$2,$B$2,1),0)),"",IFERROR(SUMIFS(DATA_GOC!$H:$H,DATA_GOC!$A:$A,"BOM",DATA_GOC!$D:$D,$B337,DATA_GOC!$E:$E,"Dầu thủy lực",DATA_GOC!$F:$F,"Xuất nội bộ từ téc",DATA_GOC!$B:$B,DATE($D$2,$B$2,AE$4)),0))</f>
        <v>0</v>
      </c>
      <c r="AF337" s="251">
        <f>IF(AF$4&gt;DAY(EOMONTH(DATE($D$2,$B$2,1),0)),"",IFERROR(SUMIFS(DATA_GOC!$H:$H,DATA_GOC!$A:$A,"BOM",DATA_GOC!$D:$D,$B337,DATA_GOC!$E:$E,"Dầu thủy lực",DATA_GOC!$F:$F,"Xuất nội bộ từ téc",DATA_GOC!$B:$B,DATE($D$2,$B$2,AF$4)),0))</f>
        <v>0</v>
      </c>
      <c r="AG337" s="251">
        <f>IF(AG$4&gt;DAY(EOMONTH(DATE($D$2,$B$2,1),0)),"",IFERROR(SUMIFS(DATA_GOC!$H:$H,DATA_GOC!$A:$A,"BOM",DATA_GOC!$D:$D,$B337,DATA_GOC!$E:$E,"Dầu thủy lực",DATA_GOC!$F:$F,"Xuất nội bộ từ téc",DATA_GOC!$B:$B,DATE($D$2,$B$2,AG$4)),0))</f>
        <v>0</v>
      </c>
      <c r="AH337" s="252">
        <f t="shared" si="16"/>
        <v>0</v>
      </c>
      <c r="AI337" s="241"/>
      <c r="AJ337" s="242">
        <f>IF($B337="","",SUMIFS(TINH_TEC!$K$233:$K$9232,TINH_TEC!$H$233:$H$9232,$B337,TINH_TEC!$C$233:$C$9232,"Dầu thủy lực",TINH_TEC!$F$233:$F$9232,$B$2,TINH_TEC!$G$233:$G$9232,$D$2,TINH_TEC!$B$233:$B$9232,"Đã chốt"))</f>
        <v>0</v>
      </c>
      <c r="AK337" s="242">
        <f>IF($B337="","",SUMIFS(TINH_TEC!$J$233:$J$9232,TINH_TEC!$H$233:$H$9232,$B337,TINH_TEC!$C$233:$C$9232,"Dầu thủy lực",TINH_TEC!$F$233:$F$9232,$B$2,TINH_TEC!$G$233:$G$9232,$D$2,TINH_TEC!$B$233:$B$9232,"Đã chốt"))</f>
        <v>0</v>
      </c>
      <c r="AL337" s="242">
        <f t="shared" si="17"/>
        <v>0</v>
      </c>
    </row>
    <row r="338" ht="15.75" customHeight="1">
      <c r="A338" s="237">
        <f>IF($B338&lt;&gt;"",28,"")</f>
        <v>28</v>
      </c>
      <c r="B338" s="250" t="str">
        <f t="array" ref="B338">IFERROR(INDEX(DANH_MUC!$E:$E,31),"")</f>
        <v>28C05661</v>
      </c>
      <c r="C338" s="251">
        <f>IF(C$4&gt;DAY(EOMONTH(DATE($D$2,$B$2,1),0)),"",IFERROR(SUMIFS(DATA_GOC!$H:$H,DATA_GOC!$A:$A,"BOM",DATA_GOC!$D:$D,$B338,DATA_GOC!$E:$E,"Dầu thủy lực",DATA_GOC!$F:$F,"Xuất nội bộ từ téc",DATA_GOC!$B:$B,DATE($D$2,$B$2,C$4)),0))</f>
        <v>0</v>
      </c>
      <c r="D338" s="251">
        <f>IF(D$4&gt;DAY(EOMONTH(DATE($D$2,$B$2,1),0)),"",IFERROR(SUMIFS(DATA_GOC!$H:$H,DATA_GOC!$A:$A,"BOM",DATA_GOC!$D:$D,$B338,DATA_GOC!$E:$E,"Dầu thủy lực",DATA_GOC!$F:$F,"Xuất nội bộ từ téc",DATA_GOC!$B:$B,DATE($D$2,$B$2,D$4)),0))</f>
        <v>0</v>
      </c>
      <c r="E338" s="251">
        <f>IF(E$4&gt;DAY(EOMONTH(DATE($D$2,$B$2,1),0)),"",IFERROR(SUMIFS(DATA_GOC!$H:$H,DATA_GOC!$A:$A,"BOM",DATA_GOC!$D:$D,$B338,DATA_GOC!$E:$E,"Dầu thủy lực",DATA_GOC!$F:$F,"Xuất nội bộ từ téc",DATA_GOC!$B:$B,DATE($D$2,$B$2,E$4)),0))</f>
        <v>0</v>
      </c>
      <c r="F338" s="251">
        <f>IF(F$4&gt;DAY(EOMONTH(DATE($D$2,$B$2,1),0)),"",IFERROR(SUMIFS(DATA_GOC!$H:$H,DATA_GOC!$A:$A,"BOM",DATA_GOC!$D:$D,$B338,DATA_GOC!$E:$E,"Dầu thủy lực",DATA_GOC!$F:$F,"Xuất nội bộ từ téc",DATA_GOC!$B:$B,DATE($D$2,$B$2,F$4)),0))</f>
        <v>0</v>
      </c>
      <c r="G338" s="251">
        <f>IF(G$4&gt;DAY(EOMONTH(DATE($D$2,$B$2,1),0)),"",IFERROR(SUMIFS(DATA_GOC!$H:$H,DATA_GOC!$A:$A,"BOM",DATA_GOC!$D:$D,$B338,DATA_GOC!$E:$E,"Dầu thủy lực",DATA_GOC!$F:$F,"Xuất nội bộ từ téc",DATA_GOC!$B:$B,DATE($D$2,$B$2,G$4)),0))</f>
        <v>0</v>
      </c>
      <c r="H338" s="251">
        <f>IF(H$4&gt;DAY(EOMONTH(DATE($D$2,$B$2,1),0)),"",IFERROR(SUMIFS(DATA_GOC!$H:$H,DATA_GOC!$A:$A,"BOM",DATA_GOC!$D:$D,$B338,DATA_GOC!$E:$E,"Dầu thủy lực",DATA_GOC!$F:$F,"Xuất nội bộ từ téc",DATA_GOC!$B:$B,DATE($D$2,$B$2,H$4)),0))</f>
        <v>0</v>
      </c>
      <c r="I338" s="251">
        <f>IF(I$4&gt;DAY(EOMONTH(DATE($D$2,$B$2,1),0)),"",IFERROR(SUMIFS(DATA_GOC!$H:$H,DATA_GOC!$A:$A,"BOM",DATA_GOC!$D:$D,$B338,DATA_GOC!$E:$E,"Dầu thủy lực",DATA_GOC!$F:$F,"Xuất nội bộ từ téc",DATA_GOC!$B:$B,DATE($D$2,$B$2,I$4)),0))</f>
        <v>0</v>
      </c>
      <c r="J338" s="251">
        <f>IF(J$4&gt;DAY(EOMONTH(DATE($D$2,$B$2,1),0)),"",IFERROR(SUMIFS(DATA_GOC!$H:$H,DATA_GOC!$A:$A,"BOM",DATA_GOC!$D:$D,$B338,DATA_GOC!$E:$E,"Dầu thủy lực",DATA_GOC!$F:$F,"Xuất nội bộ từ téc",DATA_GOC!$B:$B,DATE($D$2,$B$2,J$4)),0))</f>
        <v>0</v>
      </c>
      <c r="K338" s="251">
        <f>IF(K$4&gt;DAY(EOMONTH(DATE($D$2,$B$2,1),0)),"",IFERROR(SUMIFS(DATA_GOC!$H:$H,DATA_GOC!$A:$A,"BOM",DATA_GOC!$D:$D,$B338,DATA_GOC!$E:$E,"Dầu thủy lực",DATA_GOC!$F:$F,"Xuất nội bộ từ téc",DATA_GOC!$B:$B,DATE($D$2,$B$2,K$4)),0))</f>
        <v>0</v>
      </c>
      <c r="L338" s="251">
        <f>IF(L$4&gt;DAY(EOMONTH(DATE($D$2,$B$2,1),0)),"",IFERROR(SUMIFS(DATA_GOC!$H:$H,DATA_GOC!$A:$A,"BOM",DATA_GOC!$D:$D,$B338,DATA_GOC!$E:$E,"Dầu thủy lực",DATA_GOC!$F:$F,"Xuất nội bộ từ téc",DATA_GOC!$B:$B,DATE($D$2,$B$2,L$4)),0))</f>
        <v>0</v>
      </c>
      <c r="M338" s="251">
        <f>IF(M$4&gt;DAY(EOMONTH(DATE($D$2,$B$2,1),0)),"",IFERROR(SUMIFS(DATA_GOC!$H:$H,DATA_GOC!$A:$A,"BOM",DATA_GOC!$D:$D,$B338,DATA_GOC!$E:$E,"Dầu thủy lực",DATA_GOC!$F:$F,"Xuất nội bộ từ téc",DATA_GOC!$B:$B,DATE($D$2,$B$2,M$4)),0))</f>
        <v>0</v>
      </c>
      <c r="N338" s="251">
        <f>IF(N$4&gt;DAY(EOMONTH(DATE($D$2,$B$2,1),0)),"",IFERROR(SUMIFS(DATA_GOC!$H:$H,DATA_GOC!$A:$A,"BOM",DATA_GOC!$D:$D,$B338,DATA_GOC!$E:$E,"Dầu thủy lực",DATA_GOC!$F:$F,"Xuất nội bộ từ téc",DATA_GOC!$B:$B,DATE($D$2,$B$2,N$4)),0))</f>
        <v>0</v>
      </c>
      <c r="O338" s="251">
        <f>IF(O$4&gt;DAY(EOMONTH(DATE($D$2,$B$2,1),0)),"",IFERROR(SUMIFS(DATA_GOC!$H:$H,DATA_GOC!$A:$A,"BOM",DATA_GOC!$D:$D,$B338,DATA_GOC!$E:$E,"Dầu thủy lực",DATA_GOC!$F:$F,"Xuất nội bộ từ téc",DATA_GOC!$B:$B,DATE($D$2,$B$2,O$4)),0))</f>
        <v>0</v>
      </c>
      <c r="P338" s="251">
        <f>IF(P$4&gt;DAY(EOMONTH(DATE($D$2,$B$2,1),0)),"",IFERROR(SUMIFS(DATA_GOC!$H:$H,DATA_GOC!$A:$A,"BOM",DATA_GOC!$D:$D,$B338,DATA_GOC!$E:$E,"Dầu thủy lực",DATA_GOC!$F:$F,"Xuất nội bộ từ téc",DATA_GOC!$B:$B,DATE($D$2,$B$2,P$4)),0))</f>
        <v>0</v>
      </c>
      <c r="Q338" s="251">
        <f>IF(Q$4&gt;DAY(EOMONTH(DATE($D$2,$B$2,1),0)),"",IFERROR(SUMIFS(DATA_GOC!$H:$H,DATA_GOC!$A:$A,"BOM",DATA_GOC!$D:$D,$B338,DATA_GOC!$E:$E,"Dầu thủy lực",DATA_GOC!$F:$F,"Xuất nội bộ từ téc",DATA_GOC!$B:$B,DATE($D$2,$B$2,Q$4)),0))</f>
        <v>0</v>
      </c>
      <c r="R338" s="251">
        <f>IF(R$4&gt;DAY(EOMONTH(DATE($D$2,$B$2,1),0)),"",IFERROR(SUMIFS(DATA_GOC!$H:$H,DATA_GOC!$A:$A,"BOM",DATA_GOC!$D:$D,$B338,DATA_GOC!$E:$E,"Dầu thủy lực",DATA_GOC!$F:$F,"Xuất nội bộ từ téc",DATA_GOC!$B:$B,DATE($D$2,$B$2,R$4)),0))</f>
        <v>0</v>
      </c>
      <c r="S338" s="251">
        <f>IF(S$4&gt;DAY(EOMONTH(DATE($D$2,$B$2,1),0)),"",IFERROR(SUMIFS(DATA_GOC!$H:$H,DATA_GOC!$A:$A,"BOM",DATA_GOC!$D:$D,$B338,DATA_GOC!$E:$E,"Dầu thủy lực",DATA_GOC!$F:$F,"Xuất nội bộ từ téc",DATA_GOC!$B:$B,DATE($D$2,$B$2,S$4)),0))</f>
        <v>0</v>
      </c>
      <c r="T338" s="251">
        <f>IF(T$4&gt;DAY(EOMONTH(DATE($D$2,$B$2,1),0)),"",IFERROR(SUMIFS(DATA_GOC!$H:$H,DATA_GOC!$A:$A,"BOM",DATA_GOC!$D:$D,$B338,DATA_GOC!$E:$E,"Dầu thủy lực",DATA_GOC!$F:$F,"Xuất nội bộ từ téc",DATA_GOC!$B:$B,DATE($D$2,$B$2,T$4)),0))</f>
        <v>0</v>
      </c>
      <c r="U338" s="251">
        <f>IF(U$4&gt;DAY(EOMONTH(DATE($D$2,$B$2,1),0)),"",IFERROR(SUMIFS(DATA_GOC!$H:$H,DATA_GOC!$A:$A,"BOM",DATA_GOC!$D:$D,$B338,DATA_GOC!$E:$E,"Dầu thủy lực",DATA_GOC!$F:$F,"Xuất nội bộ từ téc",DATA_GOC!$B:$B,DATE($D$2,$B$2,U$4)),0))</f>
        <v>0</v>
      </c>
      <c r="V338" s="251">
        <f>IF(V$4&gt;DAY(EOMONTH(DATE($D$2,$B$2,1),0)),"",IFERROR(SUMIFS(DATA_GOC!$H:$H,DATA_GOC!$A:$A,"BOM",DATA_GOC!$D:$D,$B338,DATA_GOC!$E:$E,"Dầu thủy lực",DATA_GOC!$F:$F,"Xuất nội bộ từ téc",DATA_GOC!$B:$B,DATE($D$2,$B$2,V$4)),0))</f>
        <v>0</v>
      </c>
      <c r="W338" s="251">
        <f>IF(W$4&gt;DAY(EOMONTH(DATE($D$2,$B$2,1),0)),"",IFERROR(SUMIFS(DATA_GOC!$H:$H,DATA_GOC!$A:$A,"BOM",DATA_GOC!$D:$D,$B338,DATA_GOC!$E:$E,"Dầu thủy lực",DATA_GOC!$F:$F,"Xuất nội bộ từ téc",DATA_GOC!$B:$B,DATE($D$2,$B$2,W$4)),0))</f>
        <v>0</v>
      </c>
      <c r="X338" s="251">
        <f>IF(X$4&gt;DAY(EOMONTH(DATE($D$2,$B$2,1),0)),"",IFERROR(SUMIFS(DATA_GOC!$H:$H,DATA_GOC!$A:$A,"BOM",DATA_GOC!$D:$D,$B338,DATA_GOC!$E:$E,"Dầu thủy lực",DATA_GOC!$F:$F,"Xuất nội bộ từ téc",DATA_GOC!$B:$B,DATE($D$2,$B$2,X$4)),0))</f>
        <v>0</v>
      </c>
      <c r="Y338" s="251">
        <f>IF(Y$4&gt;DAY(EOMONTH(DATE($D$2,$B$2,1),0)),"",IFERROR(SUMIFS(DATA_GOC!$H:$H,DATA_GOC!$A:$A,"BOM",DATA_GOC!$D:$D,$B338,DATA_GOC!$E:$E,"Dầu thủy lực",DATA_GOC!$F:$F,"Xuất nội bộ từ téc",DATA_GOC!$B:$B,DATE($D$2,$B$2,Y$4)),0))</f>
        <v>0</v>
      </c>
      <c r="Z338" s="251">
        <f>IF(Z$4&gt;DAY(EOMONTH(DATE($D$2,$B$2,1),0)),"",IFERROR(SUMIFS(DATA_GOC!$H:$H,DATA_GOC!$A:$A,"BOM",DATA_GOC!$D:$D,$B338,DATA_GOC!$E:$E,"Dầu thủy lực",DATA_GOC!$F:$F,"Xuất nội bộ từ téc",DATA_GOC!$B:$B,DATE($D$2,$B$2,Z$4)),0))</f>
        <v>0</v>
      </c>
      <c r="AA338" s="251">
        <f>IF(AA$4&gt;DAY(EOMONTH(DATE($D$2,$B$2,1),0)),"",IFERROR(SUMIFS(DATA_GOC!$H:$H,DATA_GOC!$A:$A,"BOM",DATA_GOC!$D:$D,$B338,DATA_GOC!$E:$E,"Dầu thủy lực",DATA_GOC!$F:$F,"Xuất nội bộ từ téc",DATA_GOC!$B:$B,DATE($D$2,$B$2,AA$4)),0))</f>
        <v>0</v>
      </c>
      <c r="AB338" s="251">
        <f>IF(AB$4&gt;DAY(EOMONTH(DATE($D$2,$B$2,1),0)),"",IFERROR(SUMIFS(DATA_GOC!$H:$H,DATA_GOC!$A:$A,"BOM",DATA_GOC!$D:$D,$B338,DATA_GOC!$E:$E,"Dầu thủy lực",DATA_GOC!$F:$F,"Xuất nội bộ từ téc",DATA_GOC!$B:$B,DATE($D$2,$B$2,AB$4)),0))</f>
        <v>0</v>
      </c>
      <c r="AC338" s="251">
        <f>IF(AC$4&gt;DAY(EOMONTH(DATE($D$2,$B$2,1),0)),"",IFERROR(SUMIFS(DATA_GOC!$H:$H,DATA_GOC!$A:$A,"BOM",DATA_GOC!$D:$D,$B338,DATA_GOC!$E:$E,"Dầu thủy lực",DATA_GOC!$F:$F,"Xuất nội bộ từ téc",DATA_GOC!$B:$B,DATE($D$2,$B$2,AC$4)),0))</f>
        <v>0</v>
      </c>
      <c r="AD338" s="251">
        <f>IF(AD$4&gt;DAY(EOMONTH(DATE($D$2,$B$2,1),0)),"",IFERROR(SUMIFS(DATA_GOC!$H:$H,DATA_GOC!$A:$A,"BOM",DATA_GOC!$D:$D,$B338,DATA_GOC!$E:$E,"Dầu thủy lực",DATA_GOC!$F:$F,"Xuất nội bộ từ téc",DATA_GOC!$B:$B,DATE($D$2,$B$2,AD$4)),0))</f>
        <v>0</v>
      </c>
      <c r="AE338" s="251">
        <f>IF(AE$4&gt;DAY(EOMONTH(DATE($D$2,$B$2,1),0)),"",IFERROR(SUMIFS(DATA_GOC!$H:$H,DATA_GOC!$A:$A,"BOM",DATA_GOC!$D:$D,$B338,DATA_GOC!$E:$E,"Dầu thủy lực",DATA_GOC!$F:$F,"Xuất nội bộ từ téc",DATA_GOC!$B:$B,DATE($D$2,$B$2,AE$4)),0))</f>
        <v>0</v>
      </c>
      <c r="AF338" s="251">
        <f>IF(AF$4&gt;DAY(EOMONTH(DATE($D$2,$B$2,1),0)),"",IFERROR(SUMIFS(DATA_GOC!$H:$H,DATA_GOC!$A:$A,"BOM",DATA_GOC!$D:$D,$B338,DATA_GOC!$E:$E,"Dầu thủy lực",DATA_GOC!$F:$F,"Xuất nội bộ từ téc",DATA_GOC!$B:$B,DATE($D$2,$B$2,AF$4)),0))</f>
        <v>0</v>
      </c>
      <c r="AG338" s="251">
        <f>IF(AG$4&gt;DAY(EOMONTH(DATE($D$2,$B$2,1),0)),"",IFERROR(SUMIFS(DATA_GOC!$H:$H,DATA_GOC!$A:$A,"BOM",DATA_GOC!$D:$D,$B338,DATA_GOC!$E:$E,"Dầu thủy lực",DATA_GOC!$F:$F,"Xuất nội bộ từ téc",DATA_GOC!$B:$B,DATE($D$2,$B$2,AG$4)),0))</f>
        <v>0</v>
      </c>
      <c r="AH338" s="252">
        <f t="shared" si="16"/>
        <v>0</v>
      </c>
      <c r="AI338" s="241"/>
      <c r="AJ338" s="242">
        <f>IF($B338="","",SUMIFS(TINH_TEC!$K$233:$K$9232,TINH_TEC!$H$233:$H$9232,$B338,TINH_TEC!$C$233:$C$9232,"Dầu thủy lực",TINH_TEC!$F$233:$F$9232,$B$2,TINH_TEC!$G$233:$G$9232,$D$2,TINH_TEC!$B$233:$B$9232,"Đã chốt"))</f>
        <v>0</v>
      </c>
      <c r="AK338" s="242">
        <f>IF($B338="","",SUMIFS(TINH_TEC!$J$233:$J$9232,TINH_TEC!$H$233:$H$9232,$B338,TINH_TEC!$C$233:$C$9232,"Dầu thủy lực",TINH_TEC!$F$233:$F$9232,$B$2,TINH_TEC!$G$233:$G$9232,$D$2,TINH_TEC!$B$233:$B$9232,"Đã chốt"))</f>
        <v>0</v>
      </c>
      <c r="AL338" s="242">
        <f t="shared" si="17"/>
        <v>0</v>
      </c>
    </row>
    <row r="339" ht="15.75" customHeight="1">
      <c r="A339" s="237">
        <f>IF($B339&lt;&gt;"",29,"")</f>
        <v>29</v>
      </c>
      <c r="B339" s="250" t="str">
        <f t="array" ref="B339">IFERROR(INDEX(DANH_MUC!$E:$E,32),"")</f>
        <v>28C05739</v>
      </c>
      <c r="C339" s="251">
        <f>IF(C$4&gt;DAY(EOMONTH(DATE($D$2,$B$2,1),0)),"",IFERROR(SUMIFS(DATA_GOC!$H:$H,DATA_GOC!$A:$A,"BOM",DATA_GOC!$D:$D,$B339,DATA_GOC!$E:$E,"Dầu thủy lực",DATA_GOC!$F:$F,"Xuất nội bộ từ téc",DATA_GOC!$B:$B,DATE($D$2,$B$2,C$4)),0))</f>
        <v>0</v>
      </c>
      <c r="D339" s="251">
        <f>IF(D$4&gt;DAY(EOMONTH(DATE($D$2,$B$2,1),0)),"",IFERROR(SUMIFS(DATA_GOC!$H:$H,DATA_GOC!$A:$A,"BOM",DATA_GOC!$D:$D,$B339,DATA_GOC!$E:$E,"Dầu thủy lực",DATA_GOC!$F:$F,"Xuất nội bộ từ téc",DATA_GOC!$B:$B,DATE($D$2,$B$2,D$4)),0))</f>
        <v>0</v>
      </c>
      <c r="E339" s="251">
        <f>IF(E$4&gt;DAY(EOMONTH(DATE($D$2,$B$2,1),0)),"",IFERROR(SUMIFS(DATA_GOC!$H:$H,DATA_GOC!$A:$A,"BOM",DATA_GOC!$D:$D,$B339,DATA_GOC!$E:$E,"Dầu thủy lực",DATA_GOC!$F:$F,"Xuất nội bộ từ téc",DATA_GOC!$B:$B,DATE($D$2,$B$2,E$4)),0))</f>
        <v>0</v>
      </c>
      <c r="F339" s="251">
        <f>IF(F$4&gt;DAY(EOMONTH(DATE($D$2,$B$2,1),0)),"",IFERROR(SUMIFS(DATA_GOC!$H:$H,DATA_GOC!$A:$A,"BOM",DATA_GOC!$D:$D,$B339,DATA_GOC!$E:$E,"Dầu thủy lực",DATA_GOC!$F:$F,"Xuất nội bộ từ téc",DATA_GOC!$B:$B,DATE($D$2,$B$2,F$4)),0))</f>
        <v>0</v>
      </c>
      <c r="G339" s="251">
        <f>IF(G$4&gt;DAY(EOMONTH(DATE($D$2,$B$2,1),0)),"",IFERROR(SUMIFS(DATA_GOC!$H:$H,DATA_GOC!$A:$A,"BOM",DATA_GOC!$D:$D,$B339,DATA_GOC!$E:$E,"Dầu thủy lực",DATA_GOC!$F:$F,"Xuất nội bộ từ téc",DATA_GOC!$B:$B,DATE($D$2,$B$2,G$4)),0))</f>
        <v>0</v>
      </c>
      <c r="H339" s="251">
        <f>IF(H$4&gt;DAY(EOMONTH(DATE($D$2,$B$2,1),0)),"",IFERROR(SUMIFS(DATA_GOC!$H:$H,DATA_GOC!$A:$A,"BOM",DATA_GOC!$D:$D,$B339,DATA_GOC!$E:$E,"Dầu thủy lực",DATA_GOC!$F:$F,"Xuất nội bộ từ téc",DATA_GOC!$B:$B,DATE($D$2,$B$2,H$4)),0))</f>
        <v>0</v>
      </c>
      <c r="I339" s="251">
        <f>IF(I$4&gt;DAY(EOMONTH(DATE($D$2,$B$2,1),0)),"",IFERROR(SUMIFS(DATA_GOC!$H:$H,DATA_GOC!$A:$A,"BOM",DATA_GOC!$D:$D,$B339,DATA_GOC!$E:$E,"Dầu thủy lực",DATA_GOC!$F:$F,"Xuất nội bộ từ téc",DATA_GOC!$B:$B,DATE($D$2,$B$2,I$4)),0))</f>
        <v>0</v>
      </c>
      <c r="J339" s="251">
        <f>IF(J$4&gt;DAY(EOMONTH(DATE($D$2,$B$2,1),0)),"",IFERROR(SUMIFS(DATA_GOC!$H:$H,DATA_GOC!$A:$A,"BOM",DATA_GOC!$D:$D,$B339,DATA_GOC!$E:$E,"Dầu thủy lực",DATA_GOC!$F:$F,"Xuất nội bộ từ téc",DATA_GOC!$B:$B,DATE($D$2,$B$2,J$4)),0))</f>
        <v>0</v>
      </c>
      <c r="K339" s="251">
        <f>IF(K$4&gt;DAY(EOMONTH(DATE($D$2,$B$2,1),0)),"",IFERROR(SUMIFS(DATA_GOC!$H:$H,DATA_GOC!$A:$A,"BOM",DATA_GOC!$D:$D,$B339,DATA_GOC!$E:$E,"Dầu thủy lực",DATA_GOC!$F:$F,"Xuất nội bộ từ téc",DATA_GOC!$B:$B,DATE($D$2,$B$2,K$4)),0))</f>
        <v>0</v>
      </c>
      <c r="L339" s="251">
        <f>IF(L$4&gt;DAY(EOMONTH(DATE($D$2,$B$2,1),0)),"",IFERROR(SUMIFS(DATA_GOC!$H:$H,DATA_GOC!$A:$A,"BOM",DATA_GOC!$D:$D,$B339,DATA_GOC!$E:$E,"Dầu thủy lực",DATA_GOC!$F:$F,"Xuất nội bộ từ téc",DATA_GOC!$B:$B,DATE($D$2,$B$2,L$4)),0))</f>
        <v>0</v>
      </c>
      <c r="M339" s="251">
        <f>IF(M$4&gt;DAY(EOMONTH(DATE($D$2,$B$2,1),0)),"",IFERROR(SUMIFS(DATA_GOC!$H:$H,DATA_GOC!$A:$A,"BOM",DATA_GOC!$D:$D,$B339,DATA_GOC!$E:$E,"Dầu thủy lực",DATA_GOC!$F:$F,"Xuất nội bộ từ téc",DATA_GOC!$B:$B,DATE($D$2,$B$2,M$4)),0))</f>
        <v>0</v>
      </c>
      <c r="N339" s="251">
        <f>IF(N$4&gt;DAY(EOMONTH(DATE($D$2,$B$2,1),0)),"",IFERROR(SUMIFS(DATA_GOC!$H:$H,DATA_GOC!$A:$A,"BOM",DATA_GOC!$D:$D,$B339,DATA_GOC!$E:$E,"Dầu thủy lực",DATA_GOC!$F:$F,"Xuất nội bộ từ téc",DATA_GOC!$B:$B,DATE($D$2,$B$2,N$4)),0))</f>
        <v>0</v>
      </c>
      <c r="O339" s="251">
        <f>IF(O$4&gt;DAY(EOMONTH(DATE($D$2,$B$2,1),0)),"",IFERROR(SUMIFS(DATA_GOC!$H:$H,DATA_GOC!$A:$A,"BOM",DATA_GOC!$D:$D,$B339,DATA_GOC!$E:$E,"Dầu thủy lực",DATA_GOC!$F:$F,"Xuất nội bộ từ téc",DATA_GOC!$B:$B,DATE($D$2,$B$2,O$4)),0))</f>
        <v>0</v>
      </c>
      <c r="P339" s="251">
        <f>IF(P$4&gt;DAY(EOMONTH(DATE($D$2,$B$2,1),0)),"",IFERROR(SUMIFS(DATA_GOC!$H:$H,DATA_GOC!$A:$A,"BOM",DATA_GOC!$D:$D,$B339,DATA_GOC!$E:$E,"Dầu thủy lực",DATA_GOC!$F:$F,"Xuất nội bộ từ téc",DATA_GOC!$B:$B,DATE($D$2,$B$2,P$4)),0))</f>
        <v>0</v>
      </c>
      <c r="Q339" s="251">
        <f>IF(Q$4&gt;DAY(EOMONTH(DATE($D$2,$B$2,1),0)),"",IFERROR(SUMIFS(DATA_GOC!$H:$H,DATA_GOC!$A:$A,"BOM",DATA_GOC!$D:$D,$B339,DATA_GOC!$E:$E,"Dầu thủy lực",DATA_GOC!$F:$F,"Xuất nội bộ từ téc",DATA_GOC!$B:$B,DATE($D$2,$B$2,Q$4)),0))</f>
        <v>0</v>
      </c>
      <c r="R339" s="251">
        <f>IF(R$4&gt;DAY(EOMONTH(DATE($D$2,$B$2,1),0)),"",IFERROR(SUMIFS(DATA_GOC!$H:$H,DATA_GOC!$A:$A,"BOM",DATA_GOC!$D:$D,$B339,DATA_GOC!$E:$E,"Dầu thủy lực",DATA_GOC!$F:$F,"Xuất nội bộ từ téc",DATA_GOC!$B:$B,DATE($D$2,$B$2,R$4)),0))</f>
        <v>0</v>
      </c>
      <c r="S339" s="251">
        <f>IF(S$4&gt;DAY(EOMONTH(DATE($D$2,$B$2,1),0)),"",IFERROR(SUMIFS(DATA_GOC!$H:$H,DATA_GOC!$A:$A,"BOM",DATA_GOC!$D:$D,$B339,DATA_GOC!$E:$E,"Dầu thủy lực",DATA_GOC!$F:$F,"Xuất nội bộ từ téc",DATA_GOC!$B:$B,DATE($D$2,$B$2,S$4)),0))</f>
        <v>0</v>
      </c>
      <c r="T339" s="251">
        <f>IF(T$4&gt;DAY(EOMONTH(DATE($D$2,$B$2,1),0)),"",IFERROR(SUMIFS(DATA_GOC!$H:$H,DATA_GOC!$A:$A,"BOM",DATA_GOC!$D:$D,$B339,DATA_GOC!$E:$E,"Dầu thủy lực",DATA_GOC!$F:$F,"Xuất nội bộ từ téc",DATA_GOC!$B:$B,DATE($D$2,$B$2,T$4)),0))</f>
        <v>0</v>
      </c>
      <c r="U339" s="251">
        <f>IF(U$4&gt;DAY(EOMONTH(DATE($D$2,$B$2,1),0)),"",IFERROR(SUMIFS(DATA_GOC!$H:$H,DATA_GOC!$A:$A,"BOM",DATA_GOC!$D:$D,$B339,DATA_GOC!$E:$E,"Dầu thủy lực",DATA_GOC!$F:$F,"Xuất nội bộ từ téc",DATA_GOC!$B:$B,DATE($D$2,$B$2,U$4)),0))</f>
        <v>0</v>
      </c>
      <c r="V339" s="251">
        <f>IF(V$4&gt;DAY(EOMONTH(DATE($D$2,$B$2,1),0)),"",IFERROR(SUMIFS(DATA_GOC!$H:$H,DATA_GOC!$A:$A,"BOM",DATA_GOC!$D:$D,$B339,DATA_GOC!$E:$E,"Dầu thủy lực",DATA_GOC!$F:$F,"Xuất nội bộ từ téc",DATA_GOC!$B:$B,DATE($D$2,$B$2,V$4)),0))</f>
        <v>0</v>
      </c>
      <c r="W339" s="251">
        <f>IF(W$4&gt;DAY(EOMONTH(DATE($D$2,$B$2,1),0)),"",IFERROR(SUMIFS(DATA_GOC!$H:$H,DATA_GOC!$A:$A,"BOM",DATA_GOC!$D:$D,$B339,DATA_GOC!$E:$E,"Dầu thủy lực",DATA_GOC!$F:$F,"Xuất nội bộ từ téc",DATA_GOC!$B:$B,DATE($D$2,$B$2,W$4)),0))</f>
        <v>0</v>
      </c>
      <c r="X339" s="251">
        <f>IF(X$4&gt;DAY(EOMONTH(DATE($D$2,$B$2,1),0)),"",IFERROR(SUMIFS(DATA_GOC!$H:$H,DATA_GOC!$A:$A,"BOM",DATA_GOC!$D:$D,$B339,DATA_GOC!$E:$E,"Dầu thủy lực",DATA_GOC!$F:$F,"Xuất nội bộ từ téc",DATA_GOC!$B:$B,DATE($D$2,$B$2,X$4)),0))</f>
        <v>0</v>
      </c>
      <c r="Y339" s="251">
        <f>IF(Y$4&gt;DAY(EOMONTH(DATE($D$2,$B$2,1),0)),"",IFERROR(SUMIFS(DATA_GOC!$H:$H,DATA_GOC!$A:$A,"BOM",DATA_GOC!$D:$D,$B339,DATA_GOC!$E:$E,"Dầu thủy lực",DATA_GOC!$F:$F,"Xuất nội bộ từ téc",DATA_GOC!$B:$B,DATE($D$2,$B$2,Y$4)),0))</f>
        <v>0</v>
      </c>
      <c r="Z339" s="251">
        <f>IF(Z$4&gt;DAY(EOMONTH(DATE($D$2,$B$2,1),0)),"",IFERROR(SUMIFS(DATA_GOC!$H:$H,DATA_GOC!$A:$A,"BOM",DATA_GOC!$D:$D,$B339,DATA_GOC!$E:$E,"Dầu thủy lực",DATA_GOC!$F:$F,"Xuất nội bộ từ téc",DATA_GOC!$B:$B,DATE($D$2,$B$2,Z$4)),0))</f>
        <v>0</v>
      </c>
      <c r="AA339" s="251">
        <f>IF(AA$4&gt;DAY(EOMONTH(DATE($D$2,$B$2,1),0)),"",IFERROR(SUMIFS(DATA_GOC!$H:$H,DATA_GOC!$A:$A,"BOM",DATA_GOC!$D:$D,$B339,DATA_GOC!$E:$E,"Dầu thủy lực",DATA_GOC!$F:$F,"Xuất nội bộ từ téc",DATA_GOC!$B:$B,DATE($D$2,$B$2,AA$4)),0))</f>
        <v>0</v>
      </c>
      <c r="AB339" s="251">
        <f>IF(AB$4&gt;DAY(EOMONTH(DATE($D$2,$B$2,1),0)),"",IFERROR(SUMIFS(DATA_GOC!$H:$H,DATA_GOC!$A:$A,"BOM",DATA_GOC!$D:$D,$B339,DATA_GOC!$E:$E,"Dầu thủy lực",DATA_GOC!$F:$F,"Xuất nội bộ từ téc",DATA_GOC!$B:$B,DATE($D$2,$B$2,AB$4)),0))</f>
        <v>0</v>
      </c>
      <c r="AC339" s="251">
        <f>IF(AC$4&gt;DAY(EOMONTH(DATE($D$2,$B$2,1),0)),"",IFERROR(SUMIFS(DATA_GOC!$H:$H,DATA_GOC!$A:$A,"BOM",DATA_GOC!$D:$D,$B339,DATA_GOC!$E:$E,"Dầu thủy lực",DATA_GOC!$F:$F,"Xuất nội bộ từ téc",DATA_GOC!$B:$B,DATE($D$2,$B$2,AC$4)),0))</f>
        <v>0</v>
      </c>
      <c r="AD339" s="251">
        <f>IF(AD$4&gt;DAY(EOMONTH(DATE($D$2,$B$2,1),0)),"",IFERROR(SUMIFS(DATA_GOC!$H:$H,DATA_GOC!$A:$A,"BOM",DATA_GOC!$D:$D,$B339,DATA_GOC!$E:$E,"Dầu thủy lực",DATA_GOC!$F:$F,"Xuất nội bộ từ téc",DATA_GOC!$B:$B,DATE($D$2,$B$2,AD$4)),0))</f>
        <v>0</v>
      </c>
      <c r="AE339" s="251">
        <f>IF(AE$4&gt;DAY(EOMONTH(DATE($D$2,$B$2,1),0)),"",IFERROR(SUMIFS(DATA_GOC!$H:$H,DATA_GOC!$A:$A,"BOM",DATA_GOC!$D:$D,$B339,DATA_GOC!$E:$E,"Dầu thủy lực",DATA_GOC!$F:$F,"Xuất nội bộ từ téc",DATA_GOC!$B:$B,DATE($D$2,$B$2,AE$4)),0))</f>
        <v>0</v>
      </c>
      <c r="AF339" s="251">
        <f>IF(AF$4&gt;DAY(EOMONTH(DATE($D$2,$B$2,1),0)),"",IFERROR(SUMIFS(DATA_GOC!$H:$H,DATA_GOC!$A:$A,"BOM",DATA_GOC!$D:$D,$B339,DATA_GOC!$E:$E,"Dầu thủy lực",DATA_GOC!$F:$F,"Xuất nội bộ từ téc",DATA_GOC!$B:$B,DATE($D$2,$B$2,AF$4)),0))</f>
        <v>0</v>
      </c>
      <c r="AG339" s="251">
        <f>IF(AG$4&gt;DAY(EOMONTH(DATE($D$2,$B$2,1),0)),"",IFERROR(SUMIFS(DATA_GOC!$H:$H,DATA_GOC!$A:$A,"BOM",DATA_GOC!$D:$D,$B339,DATA_GOC!$E:$E,"Dầu thủy lực",DATA_GOC!$F:$F,"Xuất nội bộ từ téc",DATA_GOC!$B:$B,DATE($D$2,$B$2,AG$4)),0))</f>
        <v>0</v>
      </c>
      <c r="AH339" s="252">
        <f t="shared" si="16"/>
        <v>0</v>
      </c>
      <c r="AI339" s="241"/>
      <c r="AJ339" s="242">
        <f>IF($B339="","",SUMIFS(TINH_TEC!$K$233:$K$9232,TINH_TEC!$H$233:$H$9232,$B339,TINH_TEC!$C$233:$C$9232,"Dầu thủy lực",TINH_TEC!$F$233:$F$9232,$B$2,TINH_TEC!$G$233:$G$9232,$D$2,TINH_TEC!$B$233:$B$9232,"Đã chốt"))</f>
        <v>0</v>
      </c>
      <c r="AK339" s="242">
        <f>IF($B339="","",SUMIFS(TINH_TEC!$J$233:$J$9232,TINH_TEC!$H$233:$H$9232,$B339,TINH_TEC!$C$233:$C$9232,"Dầu thủy lực",TINH_TEC!$F$233:$F$9232,$B$2,TINH_TEC!$G$233:$G$9232,$D$2,TINH_TEC!$B$233:$B$9232,"Đã chốt"))</f>
        <v>0</v>
      </c>
      <c r="AL339" s="242">
        <f t="shared" si="17"/>
        <v>0</v>
      </c>
    </row>
    <row r="340" ht="15.75" customHeight="1">
      <c r="A340" s="237">
        <f>IF($B340&lt;&gt;"",30,"")</f>
        <v>30</v>
      </c>
      <c r="B340" s="250" t="str">
        <f t="array" ref="B340">IFERROR(INDEX(DANH_MUC!$E:$E,33),"")</f>
        <v>28C06369</v>
      </c>
      <c r="C340" s="251">
        <f>IF(C$4&gt;DAY(EOMONTH(DATE($D$2,$B$2,1),0)),"",IFERROR(SUMIFS(DATA_GOC!$H:$H,DATA_GOC!$A:$A,"BOM",DATA_GOC!$D:$D,$B340,DATA_GOC!$E:$E,"Dầu thủy lực",DATA_GOC!$F:$F,"Xuất nội bộ từ téc",DATA_GOC!$B:$B,DATE($D$2,$B$2,C$4)),0))</f>
        <v>0</v>
      </c>
      <c r="D340" s="251">
        <f>IF(D$4&gt;DAY(EOMONTH(DATE($D$2,$B$2,1),0)),"",IFERROR(SUMIFS(DATA_GOC!$H:$H,DATA_GOC!$A:$A,"BOM",DATA_GOC!$D:$D,$B340,DATA_GOC!$E:$E,"Dầu thủy lực",DATA_GOC!$F:$F,"Xuất nội bộ từ téc",DATA_GOC!$B:$B,DATE($D$2,$B$2,D$4)),0))</f>
        <v>0</v>
      </c>
      <c r="E340" s="251">
        <f>IF(E$4&gt;DAY(EOMONTH(DATE($D$2,$B$2,1),0)),"",IFERROR(SUMIFS(DATA_GOC!$H:$H,DATA_GOC!$A:$A,"BOM",DATA_GOC!$D:$D,$B340,DATA_GOC!$E:$E,"Dầu thủy lực",DATA_GOC!$F:$F,"Xuất nội bộ từ téc",DATA_GOC!$B:$B,DATE($D$2,$B$2,E$4)),0))</f>
        <v>0</v>
      </c>
      <c r="F340" s="251">
        <f>IF(F$4&gt;DAY(EOMONTH(DATE($D$2,$B$2,1),0)),"",IFERROR(SUMIFS(DATA_GOC!$H:$H,DATA_GOC!$A:$A,"BOM",DATA_GOC!$D:$D,$B340,DATA_GOC!$E:$E,"Dầu thủy lực",DATA_GOC!$F:$F,"Xuất nội bộ từ téc",DATA_GOC!$B:$B,DATE($D$2,$B$2,F$4)),0))</f>
        <v>0</v>
      </c>
      <c r="G340" s="251">
        <f>IF(G$4&gt;DAY(EOMONTH(DATE($D$2,$B$2,1),0)),"",IFERROR(SUMIFS(DATA_GOC!$H:$H,DATA_GOC!$A:$A,"BOM",DATA_GOC!$D:$D,$B340,DATA_GOC!$E:$E,"Dầu thủy lực",DATA_GOC!$F:$F,"Xuất nội bộ từ téc",DATA_GOC!$B:$B,DATE($D$2,$B$2,G$4)),0))</f>
        <v>0</v>
      </c>
      <c r="H340" s="251">
        <f>IF(H$4&gt;DAY(EOMONTH(DATE($D$2,$B$2,1),0)),"",IFERROR(SUMIFS(DATA_GOC!$H:$H,DATA_GOC!$A:$A,"BOM",DATA_GOC!$D:$D,$B340,DATA_GOC!$E:$E,"Dầu thủy lực",DATA_GOC!$F:$F,"Xuất nội bộ từ téc",DATA_GOC!$B:$B,DATE($D$2,$B$2,H$4)),0))</f>
        <v>0</v>
      </c>
      <c r="I340" s="251">
        <f>IF(I$4&gt;DAY(EOMONTH(DATE($D$2,$B$2,1),0)),"",IFERROR(SUMIFS(DATA_GOC!$H:$H,DATA_GOC!$A:$A,"BOM",DATA_GOC!$D:$D,$B340,DATA_GOC!$E:$E,"Dầu thủy lực",DATA_GOC!$F:$F,"Xuất nội bộ từ téc",DATA_GOC!$B:$B,DATE($D$2,$B$2,I$4)),0))</f>
        <v>0</v>
      </c>
      <c r="J340" s="251">
        <f>IF(J$4&gt;DAY(EOMONTH(DATE($D$2,$B$2,1),0)),"",IFERROR(SUMIFS(DATA_GOC!$H:$H,DATA_GOC!$A:$A,"BOM",DATA_GOC!$D:$D,$B340,DATA_GOC!$E:$E,"Dầu thủy lực",DATA_GOC!$F:$F,"Xuất nội bộ từ téc",DATA_GOC!$B:$B,DATE($D$2,$B$2,J$4)),0))</f>
        <v>0</v>
      </c>
      <c r="K340" s="251">
        <f>IF(K$4&gt;DAY(EOMONTH(DATE($D$2,$B$2,1),0)),"",IFERROR(SUMIFS(DATA_GOC!$H:$H,DATA_GOC!$A:$A,"BOM",DATA_GOC!$D:$D,$B340,DATA_GOC!$E:$E,"Dầu thủy lực",DATA_GOC!$F:$F,"Xuất nội bộ từ téc",DATA_GOC!$B:$B,DATE($D$2,$B$2,K$4)),0))</f>
        <v>0</v>
      </c>
      <c r="L340" s="251">
        <f>IF(L$4&gt;DAY(EOMONTH(DATE($D$2,$B$2,1),0)),"",IFERROR(SUMIFS(DATA_GOC!$H:$H,DATA_GOC!$A:$A,"BOM",DATA_GOC!$D:$D,$B340,DATA_GOC!$E:$E,"Dầu thủy lực",DATA_GOC!$F:$F,"Xuất nội bộ từ téc",DATA_GOC!$B:$B,DATE($D$2,$B$2,L$4)),0))</f>
        <v>0</v>
      </c>
      <c r="M340" s="251">
        <f>IF(M$4&gt;DAY(EOMONTH(DATE($D$2,$B$2,1),0)),"",IFERROR(SUMIFS(DATA_GOC!$H:$H,DATA_GOC!$A:$A,"BOM",DATA_GOC!$D:$D,$B340,DATA_GOC!$E:$E,"Dầu thủy lực",DATA_GOC!$F:$F,"Xuất nội bộ từ téc",DATA_GOC!$B:$B,DATE($D$2,$B$2,M$4)),0))</f>
        <v>0</v>
      </c>
      <c r="N340" s="251">
        <f>IF(N$4&gt;DAY(EOMONTH(DATE($D$2,$B$2,1),0)),"",IFERROR(SUMIFS(DATA_GOC!$H:$H,DATA_GOC!$A:$A,"BOM",DATA_GOC!$D:$D,$B340,DATA_GOC!$E:$E,"Dầu thủy lực",DATA_GOC!$F:$F,"Xuất nội bộ từ téc",DATA_GOC!$B:$B,DATE($D$2,$B$2,N$4)),0))</f>
        <v>0</v>
      </c>
      <c r="O340" s="251">
        <f>IF(O$4&gt;DAY(EOMONTH(DATE($D$2,$B$2,1),0)),"",IFERROR(SUMIFS(DATA_GOC!$H:$H,DATA_GOC!$A:$A,"BOM",DATA_GOC!$D:$D,$B340,DATA_GOC!$E:$E,"Dầu thủy lực",DATA_GOC!$F:$F,"Xuất nội bộ từ téc",DATA_GOC!$B:$B,DATE($D$2,$B$2,O$4)),0))</f>
        <v>0</v>
      </c>
      <c r="P340" s="251">
        <f>IF(P$4&gt;DAY(EOMONTH(DATE($D$2,$B$2,1),0)),"",IFERROR(SUMIFS(DATA_GOC!$H:$H,DATA_GOC!$A:$A,"BOM",DATA_GOC!$D:$D,$B340,DATA_GOC!$E:$E,"Dầu thủy lực",DATA_GOC!$F:$F,"Xuất nội bộ từ téc",DATA_GOC!$B:$B,DATE($D$2,$B$2,P$4)),0))</f>
        <v>0</v>
      </c>
      <c r="Q340" s="251">
        <f>IF(Q$4&gt;DAY(EOMONTH(DATE($D$2,$B$2,1),0)),"",IFERROR(SUMIFS(DATA_GOC!$H:$H,DATA_GOC!$A:$A,"BOM",DATA_GOC!$D:$D,$B340,DATA_GOC!$E:$E,"Dầu thủy lực",DATA_GOC!$F:$F,"Xuất nội bộ từ téc",DATA_GOC!$B:$B,DATE($D$2,$B$2,Q$4)),0))</f>
        <v>0</v>
      </c>
      <c r="R340" s="251">
        <f>IF(R$4&gt;DAY(EOMONTH(DATE($D$2,$B$2,1),0)),"",IFERROR(SUMIFS(DATA_GOC!$H:$H,DATA_GOC!$A:$A,"BOM",DATA_GOC!$D:$D,$B340,DATA_GOC!$E:$E,"Dầu thủy lực",DATA_GOC!$F:$F,"Xuất nội bộ từ téc",DATA_GOC!$B:$B,DATE($D$2,$B$2,R$4)),0))</f>
        <v>0</v>
      </c>
      <c r="S340" s="251">
        <f>IF(S$4&gt;DAY(EOMONTH(DATE($D$2,$B$2,1),0)),"",IFERROR(SUMIFS(DATA_GOC!$H:$H,DATA_GOC!$A:$A,"BOM",DATA_GOC!$D:$D,$B340,DATA_GOC!$E:$E,"Dầu thủy lực",DATA_GOC!$F:$F,"Xuất nội bộ từ téc",DATA_GOC!$B:$B,DATE($D$2,$B$2,S$4)),0))</f>
        <v>0</v>
      </c>
      <c r="T340" s="251">
        <f>IF(T$4&gt;DAY(EOMONTH(DATE($D$2,$B$2,1),0)),"",IFERROR(SUMIFS(DATA_GOC!$H:$H,DATA_GOC!$A:$A,"BOM",DATA_GOC!$D:$D,$B340,DATA_GOC!$E:$E,"Dầu thủy lực",DATA_GOC!$F:$F,"Xuất nội bộ từ téc",DATA_GOC!$B:$B,DATE($D$2,$B$2,T$4)),0))</f>
        <v>0</v>
      </c>
      <c r="U340" s="251">
        <f>IF(U$4&gt;DAY(EOMONTH(DATE($D$2,$B$2,1),0)),"",IFERROR(SUMIFS(DATA_GOC!$H:$H,DATA_GOC!$A:$A,"BOM",DATA_GOC!$D:$D,$B340,DATA_GOC!$E:$E,"Dầu thủy lực",DATA_GOC!$F:$F,"Xuất nội bộ từ téc",DATA_GOC!$B:$B,DATE($D$2,$B$2,U$4)),0))</f>
        <v>0</v>
      </c>
      <c r="V340" s="251">
        <f>IF(V$4&gt;DAY(EOMONTH(DATE($D$2,$B$2,1),0)),"",IFERROR(SUMIFS(DATA_GOC!$H:$H,DATA_GOC!$A:$A,"BOM",DATA_GOC!$D:$D,$B340,DATA_GOC!$E:$E,"Dầu thủy lực",DATA_GOC!$F:$F,"Xuất nội bộ từ téc",DATA_GOC!$B:$B,DATE($D$2,$B$2,V$4)),0))</f>
        <v>0</v>
      </c>
      <c r="W340" s="251">
        <f>IF(W$4&gt;DAY(EOMONTH(DATE($D$2,$B$2,1),0)),"",IFERROR(SUMIFS(DATA_GOC!$H:$H,DATA_GOC!$A:$A,"BOM",DATA_GOC!$D:$D,$B340,DATA_GOC!$E:$E,"Dầu thủy lực",DATA_GOC!$F:$F,"Xuất nội bộ từ téc",DATA_GOC!$B:$B,DATE($D$2,$B$2,W$4)),0))</f>
        <v>0</v>
      </c>
      <c r="X340" s="251">
        <f>IF(X$4&gt;DAY(EOMONTH(DATE($D$2,$B$2,1),0)),"",IFERROR(SUMIFS(DATA_GOC!$H:$H,DATA_GOC!$A:$A,"BOM",DATA_GOC!$D:$D,$B340,DATA_GOC!$E:$E,"Dầu thủy lực",DATA_GOC!$F:$F,"Xuất nội bộ từ téc",DATA_GOC!$B:$B,DATE($D$2,$B$2,X$4)),0))</f>
        <v>0</v>
      </c>
      <c r="Y340" s="251">
        <f>IF(Y$4&gt;DAY(EOMONTH(DATE($D$2,$B$2,1),0)),"",IFERROR(SUMIFS(DATA_GOC!$H:$H,DATA_GOC!$A:$A,"BOM",DATA_GOC!$D:$D,$B340,DATA_GOC!$E:$E,"Dầu thủy lực",DATA_GOC!$F:$F,"Xuất nội bộ từ téc",DATA_GOC!$B:$B,DATE($D$2,$B$2,Y$4)),0))</f>
        <v>0</v>
      </c>
      <c r="Z340" s="251">
        <f>IF(Z$4&gt;DAY(EOMONTH(DATE($D$2,$B$2,1),0)),"",IFERROR(SUMIFS(DATA_GOC!$H:$H,DATA_GOC!$A:$A,"BOM",DATA_GOC!$D:$D,$B340,DATA_GOC!$E:$E,"Dầu thủy lực",DATA_GOC!$F:$F,"Xuất nội bộ từ téc",DATA_GOC!$B:$B,DATE($D$2,$B$2,Z$4)),0))</f>
        <v>0</v>
      </c>
      <c r="AA340" s="251">
        <f>IF(AA$4&gt;DAY(EOMONTH(DATE($D$2,$B$2,1),0)),"",IFERROR(SUMIFS(DATA_GOC!$H:$H,DATA_GOC!$A:$A,"BOM",DATA_GOC!$D:$D,$B340,DATA_GOC!$E:$E,"Dầu thủy lực",DATA_GOC!$F:$F,"Xuất nội bộ từ téc",DATA_GOC!$B:$B,DATE($D$2,$B$2,AA$4)),0))</f>
        <v>0</v>
      </c>
      <c r="AB340" s="251">
        <f>IF(AB$4&gt;DAY(EOMONTH(DATE($D$2,$B$2,1),0)),"",IFERROR(SUMIFS(DATA_GOC!$H:$H,DATA_GOC!$A:$A,"BOM",DATA_GOC!$D:$D,$B340,DATA_GOC!$E:$E,"Dầu thủy lực",DATA_GOC!$F:$F,"Xuất nội bộ từ téc",DATA_GOC!$B:$B,DATE($D$2,$B$2,AB$4)),0))</f>
        <v>0</v>
      </c>
      <c r="AC340" s="251">
        <f>IF(AC$4&gt;DAY(EOMONTH(DATE($D$2,$B$2,1),0)),"",IFERROR(SUMIFS(DATA_GOC!$H:$H,DATA_GOC!$A:$A,"BOM",DATA_GOC!$D:$D,$B340,DATA_GOC!$E:$E,"Dầu thủy lực",DATA_GOC!$F:$F,"Xuất nội bộ từ téc",DATA_GOC!$B:$B,DATE($D$2,$B$2,AC$4)),0))</f>
        <v>0</v>
      </c>
      <c r="AD340" s="251">
        <f>IF(AD$4&gt;DAY(EOMONTH(DATE($D$2,$B$2,1),0)),"",IFERROR(SUMIFS(DATA_GOC!$H:$H,DATA_GOC!$A:$A,"BOM",DATA_GOC!$D:$D,$B340,DATA_GOC!$E:$E,"Dầu thủy lực",DATA_GOC!$F:$F,"Xuất nội bộ từ téc",DATA_GOC!$B:$B,DATE($D$2,$B$2,AD$4)),0))</f>
        <v>0</v>
      </c>
      <c r="AE340" s="251">
        <f>IF(AE$4&gt;DAY(EOMONTH(DATE($D$2,$B$2,1),0)),"",IFERROR(SUMIFS(DATA_GOC!$H:$H,DATA_GOC!$A:$A,"BOM",DATA_GOC!$D:$D,$B340,DATA_GOC!$E:$E,"Dầu thủy lực",DATA_GOC!$F:$F,"Xuất nội bộ từ téc",DATA_GOC!$B:$B,DATE($D$2,$B$2,AE$4)),0))</f>
        <v>0</v>
      </c>
      <c r="AF340" s="251">
        <f>IF(AF$4&gt;DAY(EOMONTH(DATE($D$2,$B$2,1),0)),"",IFERROR(SUMIFS(DATA_GOC!$H:$H,DATA_GOC!$A:$A,"BOM",DATA_GOC!$D:$D,$B340,DATA_GOC!$E:$E,"Dầu thủy lực",DATA_GOC!$F:$F,"Xuất nội bộ từ téc",DATA_GOC!$B:$B,DATE($D$2,$B$2,AF$4)),0))</f>
        <v>0</v>
      </c>
      <c r="AG340" s="251">
        <f>IF(AG$4&gt;DAY(EOMONTH(DATE($D$2,$B$2,1),0)),"",IFERROR(SUMIFS(DATA_GOC!$H:$H,DATA_GOC!$A:$A,"BOM",DATA_GOC!$D:$D,$B340,DATA_GOC!$E:$E,"Dầu thủy lực",DATA_GOC!$F:$F,"Xuất nội bộ từ téc",DATA_GOC!$B:$B,DATE($D$2,$B$2,AG$4)),0))</f>
        <v>0</v>
      </c>
      <c r="AH340" s="252">
        <f t="shared" si="16"/>
        <v>0</v>
      </c>
      <c r="AI340" s="241"/>
      <c r="AJ340" s="242">
        <f>IF($B340="","",SUMIFS(TINH_TEC!$K$233:$K$9232,TINH_TEC!$H$233:$H$9232,$B340,TINH_TEC!$C$233:$C$9232,"Dầu thủy lực",TINH_TEC!$F$233:$F$9232,$B$2,TINH_TEC!$G$233:$G$9232,$D$2,TINH_TEC!$B$233:$B$9232,"Đã chốt"))</f>
        <v>0</v>
      </c>
      <c r="AK340" s="242">
        <f>IF($B340="","",SUMIFS(TINH_TEC!$J$233:$J$9232,TINH_TEC!$H$233:$H$9232,$B340,TINH_TEC!$C$233:$C$9232,"Dầu thủy lực",TINH_TEC!$F$233:$F$9232,$B$2,TINH_TEC!$G$233:$G$9232,$D$2,TINH_TEC!$B$233:$B$9232,"Đã chốt"))</f>
        <v>0</v>
      </c>
      <c r="AL340" s="242">
        <f t="shared" si="17"/>
        <v>0</v>
      </c>
    </row>
    <row r="341" ht="15.75" customHeight="1">
      <c r="A341" s="237">
        <f>IF($B341&lt;&gt;"",31,"")</f>
        <v>31</v>
      </c>
      <c r="B341" s="250" t="str">
        <f t="array" ref="B341">IFERROR(INDEX(DANH_MUC!$E:$E,34),"")</f>
        <v>28C06447</v>
      </c>
      <c r="C341" s="251">
        <f>IF(C$4&gt;DAY(EOMONTH(DATE($D$2,$B$2,1),0)),"",IFERROR(SUMIFS(DATA_GOC!$H:$H,DATA_GOC!$A:$A,"BOM",DATA_GOC!$D:$D,$B341,DATA_GOC!$E:$E,"Dầu thủy lực",DATA_GOC!$F:$F,"Xuất nội bộ từ téc",DATA_GOC!$B:$B,DATE($D$2,$B$2,C$4)),0))</f>
        <v>0</v>
      </c>
      <c r="D341" s="251">
        <f>IF(D$4&gt;DAY(EOMONTH(DATE($D$2,$B$2,1),0)),"",IFERROR(SUMIFS(DATA_GOC!$H:$H,DATA_GOC!$A:$A,"BOM",DATA_GOC!$D:$D,$B341,DATA_GOC!$E:$E,"Dầu thủy lực",DATA_GOC!$F:$F,"Xuất nội bộ từ téc",DATA_GOC!$B:$B,DATE($D$2,$B$2,D$4)),0))</f>
        <v>0</v>
      </c>
      <c r="E341" s="251">
        <f>IF(E$4&gt;DAY(EOMONTH(DATE($D$2,$B$2,1),0)),"",IFERROR(SUMIFS(DATA_GOC!$H:$H,DATA_GOC!$A:$A,"BOM",DATA_GOC!$D:$D,$B341,DATA_GOC!$E:$E,"Dầu thủy lực",DATA_GOC!$F:$F,"Xuất nội bộ từ téc",DATA_GOC!$B:$B,DATE($D$2,$B$2,E$4)),0))</f>
        <v>0</v>
      </c>
      <c r="F341" s="251">
        <f>IF(F$4&gt;DAY(EOMONTH(DATE($D$2,$B$2,1),0)),"",IFERROR(SUMIFS(DATA_GOC!$H:$H,DATA_GOC!$A:$A,"BOM",DATA_GOC!$D:$D,$B341,DATA_GOC!$E:$E,"Dầu thủy lực",DATA_GOC!$F:$F,"Xuất nội bộ từ téc",DATA_GOC!$B:$B,DATE($D$2,$B$2,F$4)),0))</f>
        <v>0</v>
      </c>
      <c r="G341" s="251">
        <f>IF(G$4&gt;DAY(EOMONTH(DATE($D$2,$B$2,1),0)),"",IFERROR(SUMIFS(DATA_GOC!$H:$H,DATA_GOC!$A:$A,"BOM",DATA_GOC!$D:$D,$B341,DATA_GOC!$E:$E,"Dầu thủy lực",DATA_GOC!$F:$F,"Xuất nội bộ từ téc",DATA_GOC!$B:$B,DATE($D$2,$B$2,G$4)),0))</f>
        <v>0</v>
      </c>
      <c r="H341" s="251">
        <f>IF(H$4&gt;DAY(EOMONTH(DATE($D$2,$B$2,1),0)),"",IFERROR(SUMIFS(DATA_GOC!$H:$H,DATA_GOC!$A:$A,"BOM",DATA_GOC!$D:$D,$B341,DATA_GOC!$E:$E,"Dầu thủy lực",DATA_GOC!$F:$F,"Xuất nội bộ từ téc",DATA_GOC!$B:$B,DATE($D$2,$B$2,H$4)),0))</f>
        <v>0</v>
      </c>
      <c r="I341" s="251">
        <f>IF(I$4&gt;DAY(EOMONTH(DATE($D$2,$B$2,1),0)),"",IFERROR(SUMIFS(DATA_GOC!$H:$H,DATA_GOC!$A:$A,"BOM",DATA_GOC!$D:$D,$B341,DATA_GOC!$E:$E,"Dầu thủy lực",DATA_GOC!$F:$F,"Xuất nội bộ từ téc",DATA_GOC!$B:$B,DATE($D$2,$B$2,I$4)),0))</f>
        <v>0</v>
      </c>
      <c r="J341" s="251">
        <f>IF(J$4&gt;DAY(EOMONTH(DATE($D$2,$B$2,1),0)),"",IFERROR(SUMIFS(DATA_GOC!$H:$H,DATA_GOC!$A:$A,"BOM",DATA_GOC!$D:$D,$B341,DATA_GOC!$E:$E,"Dầu thủy lực",DATA_GOC!$F:$F,"Xuất nội bộ từ téc",DATA_GOC!$B:$B,DATE($D$2,$B$2,J$4)),0))</f>
        <v>0</v>
      </c>
      <c r="K341" s="251">
        <f>IF(K$4&gt;DAY(EOMONTH(DATE($D$2,$B$2,1),0)),"",IFERROR(SUMIFS(DATA_GOC!$H:$H,DATA_GOC!$A:$A,"BOM",DATA_GOC!$D:$D,$B341,DATA_GOC!$E:$E,"Dầu thủy lực",DATA_GOC!$F:$F,"Xuất nội bộ từ téc",DATA_GOC!$B:$B,DATE($D$2,$B$2,K$4)),0))</f>
        <v>0</v>
      </c>
      <c r="L341" s="251">
        <f>IF(L$4&gt;DAY(EOMONTH(DATE($D$2,$B$2,1),0)),"",IFERROR(SUMIFS(DATA_GOC!$H:$H,DATA_GOC!$A:$A,"BOM",DATA_GOC!$D:$D,$B341,DATA_GOC!$E:$E,"Dầu thủy lực",DATA_GOC!$F:$F,"Xuất nội bộ từ téc",DATA_GOC!$B:$B,DATE($D$2,$B$2,L$4)),0))</f>
        <v>0</v>
      </c>
      <c r="M341" s="251">
        <f>IF(M$4&gt;DAY(EOMONTH(DATE($D$2,$B$2,1),0)),"",IFERROR(SUMIFS(DATA_GOC!$H:$H,DATA_GOC!$A:$A,"BOM",DATA_GOC!$D:$D,$B341,DATA_GOC!$E:$E,"Dầu thủy lực",DATA_GOC!$F:$F,"Xuất nội bộ từ téc",DATA_GOC!$B:$B,DATE($D$2,$B$2,M$4)),0))</f>
        <v>0</v>
      </c>
      <c r="N341" s="251">
        <f>IF(N$4&gt;DAY(EOMONTH(DATE($D$2,$B$2,1),0)),"",IFERROR(SUMIFS(DATA_GOC!$H:$H,DATA_GOC!$A:$A,"BOM",DATA_GOC!$D:$D,$B341,DATA_GOC!$E:$E,"Dầu thủy lực",DATA_GOC!$F:$F,"Xuất nội bộ từ téc",DATA_GOC!$B:$B,DATE($D$2,$B$2,N$4)),0))</f>
        <v>0</v>
      </c>
      <c r="O341" s="251">
        <f>IF(O$4&gt;DAY(EOMONTH(DATE($D$2,$B$2,1),0)),"",IFERROR(SUMIFS(DATA_GOC!$H:$H,DATA_GOC!$A:$A,"BOM",DATA_GOC!$D:$D,$B341,DATA_GOC!$E:$E,"Dầu thủy lực",DATA_GOC!$F:$F,"Xuất nội bộ từ téc",DATA_GOC!$B:$B,DATE($D$2,$B$2,O$4)),0))</f>
        <v>0</v>
      </c>
      <c r="P341" s="251">
        <f>IF(P$4&gt;DAY(EOMONTH(DATE($D$2,$B$2,1),0)),"",IFERROR(SUMIFS(DATA_GOC!$H:$H,DATA_GOC!$A:$A,"BOM",DATA_GOC!$D:$D,$B341,DATA_GOC!$E:$E,"Dầu thủy lực",DATA_GOC!$F:$F,"Xuất nội bộ từ téc",DATA_GOC!$B:$B,DATE($D$2,$B$2,P$4)),0))</f>
        <v>0</v>
      </c>
      <c r="Q341" s="251">
        <f>IF(Q$4&gt;DAY(EOMONTH(DATE($D$2,$B$2,1),0)),"",IFERROR(SUMIFS(DATA_GOC!$H:$H,DATA_GOC!$A:$A,"BOM",DATA_GOC!$D:$D,$B341,DATA_GOC!$E:$E,"Dầu thủy lực",DATA_GOC!$F:$F,"Xuất nội bộ từ téc",DATA_GOC!$B:$B,DATE($D$2,$B$2,Q$4)),0))</f>
        <v>0</v>
      </c>
      <c r="R341" s="251">
        <f>IF(R$4&gt;DAY(EOMONTH(DATE($D$2,$B$2,1),0)),"",IFERROR(SUMIFS(DATA_GOC!$H:$H,DATA_GOC!$A:$A,"BOM",DATA_GOC!$D:$D,$B341,DATA_GOC!$E:$E,"Dầu thủy lực",DATA_GOC!$F:$F,"Xuất nội bộ từ téc",DATA_GOC!$B:$B,DATE($D$2,$B$2,R$4)),0))</f>
        <v>0</v>
      </c>
      <c r="S341" s="251">
        <f>IF(S$4&gt;DAY(EOMONTH(DATE($D$2,$B$2,1),0)),"",IFERROR(SUMIFS(DATA_GOC!$H:$H,DATA_GOC!$A:$A,"BOM",DATA_GOC!$D:$D,$B341,DATA_GOC!$E:$E,"Dầu thủy lực",DATA_GOC!$F:$F,"Xuất nội bộ từ téc",DATA_GOC!$B:$B,DATE($D$2,$B$2,S$4)),0))</f>
        <v>0</v>
      </c>
      <c r="T341" s="251">
        <f>IF(T$4&gt;DAY(EOMONTH(DATE($D$2,$B$2,1),0)),"",IFERROR(SUMIFS(DATA_GOC!$H:$H,DATA_GOC!$A:$A,"BOM",DATA_GOC!$D:$D,$B341,DATA_GOC!$E:$E,"Dầu thủy lực",DATA_GOC!$F:$F,"Xuất nội bộ từ téc",DATA_GOC!$B:$B,DATE($D$2,$B$2,T$4)),0))</f>
        <v>0</v>
      </c>
      <c r="U341" s="251">
        <f>IF(U$4&gt;DAY(EOMONTH(DATE($D$2,$B$2,1),0)),"",IFERROR(SUMIFS(DATA_GOC!$H:$H,DATA_GOC!$A:$A,"BOM",DATA_GOC!$D:$D,$B341,DATA_GOC!$E:$E,"Dầu thủy lực",DATA_GOC!$F:$F,"Xuất nội bộ từ téc",DATA_GOC!$B:$B,DATE($D$2,$B$2,U$4)),0))</f>
        <v>0</v>
      </c>
      <c r="V341" s="251">
        <f>IF(V$4&gt;DAY(EOMONTH(DATE($D$2,$B$2,1),0)),"",IFERROR(SUMIFS(DATA_GOC!$H:$H,DATA_GOC!$A:$A,"BOM",DATA_GOC!$D:$D,$B341,DATA_GOC!$E:$E,"Dầu thủy lực",DATA_GOC!$F:$F,"Xuất nội bộ từ téc",DATA_GOC!$B:$B,DATE($D$2,$B$2,V$4)),0))</f>
        <v>0</v>
      </c>
      <c r="W341" s="251">
        <f>IF(W$4&gt;DAY(EOMONTH(DATE($D$2,$B$2,1),0)),"",IFERROR(SUMIFS(DATA_GOC!$H:$H,DATA_GOC!$A:$A,"BOM",DATA_GOC!$D:$D,$B341,DATA_GOC!$E:$E,"Dầu thủy lực",DATA_GOC!$F:$F,"Xuất nội bộ từ téc",DATA_GOC!$B:$B,DATE($D$2,$B$2,W$4)),0))</f>
        <v>0</v>
      </c>
      <c r="X341" s="251">
        <f>IF(X$4&gt;DAY(EOMONTH(DATE($D$2,$B$2,1),0)),"",IFERROR(SUMIFS(DATA_GOC!$H:$H,DATA_GOC!$A:$A,"BOM",DATA_GOC!$D:$D,$B341,DATA_GOC!$E:$E,"Dầu thủy lực",DATA_GOC!$F:$F,"Xuất nội bộ từ téc",DATA_GOC!$B:$B,DATE($D$2,$B$2,X$4)),0))</f>
        <v>0</v>
      </c>
      <c r="Y341" s="251">
        <f>IF(Y$4&gt;DAY(EOMONTH(DATE($D$2,$B$2,1),0)),"",IFERROR(SUMIFS(DATA_GOC!$H:$H,DATA_GOC!$A:$A,"BOM",DATA_GOC!$D:$D,$B341,DATA_GOC!$E:$E,"Dầu thủy lực",DATA_GOC!$F:$F,"Xuất nội bộ từ téc",DATA_GOC!$B:$B,DATE($D$2,$B$2,Y$4)),0))</f>
        <v>0</v>
      </c>
      <c r="Z341" s="251">
        <f>IF(Z$4&gt;DAY(EOMONTH(DATE($D$2,$B$2,1),0)),"",IFERROR(SUMIFS(DATA_GOC!$H:$H,DATA_GOC!$A:$A,"BOM",DATA_GOC!$D:$D,$B341,DATA_GOC!$E:$E,"Dầu thủy lực",DATA_GOC!$F:$F,"Xuất nội bộ từ téc",DATA_GOC!$B:$B,DATE($D$2,$B$2,Z$4)),0))</f>
        <v>0</v>
      </c>
      <c r="AA341" s="251">
        <f>IF(AA$4&gt;DAY(EOMONTH(DATE($D$2,$B$2,1),0)),"",IFERROR(SUMIFS(DATA_GOC!$H:$H,DATA_GOC!$A:$A,"BOM",DATA_GOC!$D:$D,$B341,DATA_GOC!$E:$E,"Dầu thủy lực",DATA_GOC!$F:$F,"Xuất nội bộ từ téc",DATA_GOC!$B:$B,DATE($D$2,$B$2,AA$4)),0))</f>
        <v>0</v>
      </c>
      <c r="AB341" s="251">
        <f>IF(AB$4&gt;DAY(EOMONTH(DATE($D$2,$B$2,1),0)),"",IFERROR(SUMIFS(DATA_GOC!$H:$H,DATA_GOC!$A:$A,"BOM",DATA_GOC!$D:$D,$B341,DATA_GOC!$E:$E,"Dầu thủy lực",DATA_GOC!$F:$F,"Xuất nội bộ từ téc",DATA_GOC!$B:$B,DATE($D$2,$B$2,AB$4)),0))</f>
        <v>0</v>
      </c>
      <c r="AC341" s="251">
        <f>IF(AC$4&gt;DAY(EOMONTH(DATE($D$2,$B$2,1),0)),"",IFERROR(SUMIFS(DATA_GOC!$H:$H,DATA_GOC!$A:$A,"BOM",DATA_GOC!$D:$D,$B341,DATA_GOC!$E:$E,"Dầu thủy lực",DATA_GOC!$F:$F,"Xuất nội bộ từ téc",DATA_GOC!$B:$B,DATE($D$2,$B$2,AC$4)),0))</f>
        <v>0</v>
      </c>
      <c r="AD341" s="251">
        <f>IF(AD$4&gt;DAY(EOMONTH(DATE($D$2,$B$2,1),0)),"",IFERROR(SUMIFS(DATA_GOC!$H:$H,DATA_GOC!$A:$A,"BOM",DATA_GOC!$D:$D,$B341,DATA_GOC!$E:$E,"Dầu thủy lực",DATA_GOC!$F:$F,"Xuất nội bộ từ téc",DATA_GOC!$B:$B,DATE($D$2,$B$2,AD$4)),0))</f>
        <v>0</v>
      </c>
      <c r="AE341" s="251">
        <f>IF(AE$4&gt;DAY(EOMONTH(DATE($D$2,$B$2,1),0)),"",IFERROR(SUMIFS(DATA_GOC!$H:$H,DATA_GOC!$A:$A,"BOM",DATA_GOC!$D:$D,$B341,DATA_GOC!$E:$E,"Dầu thủy lực",DATA_GOC!$F:$F,"Xuất nội bộ từ téc",DATA_GOC!$B:$B,DATE($D$2,$B$2,AE$4)),0))</f>
        <v>0</v>
      </c>
      <c r="AF341" s="251">
        <f>IF(AF$4&gt;DAY(EOMONTH(DATE($D$2,$B$2,1),0)),"",IFERROR(SUMIFS(DATA_GOC!$H:$H,DATA_GOC!$A:$A,"BOM",DATA_GOC!$D:$D,$B341,DATA_GOC!$E:$E,"Dầu thủy lực",DATA_GOC!$F:$F,"Xuất nội bộ từ téc",DATA_GOC!$B:$B,DATE($D$2,$B$2,AF$4)),0))</f>
        <v>0</v>
      </c>
      <c r="AG341" s="251">
        <f>IF(AG$4&gt;DAY(EOMONTH(DATE($D$2,$B$2,1),0)),"",IFERROR(SUMIFS(DATA_GOC!$H:$H,DATA_GOC!$A:$A,"BOM",DATA_GOC!$D:$D,$B341,DATA_GOC!$E:$E,"Dầu thủy lực",DATA_GOC!$F:$F,"Xuất nội bộ từ téc",DATA_GOC!$B:$B,DATE($D$2,$B$2,AG$4)),0))</f>
        <v>0</v>
      </c>
      <c r="AH341" s="252">
        <f t="shared" si="16"/>
        <v>0</v>
      </c>
      <c r="AI341" s="241"/>
      <c r="AJ341" s="242">
        <f>IF($B341="","",SUMIFS(TINH_TEC!$K$233:$K$9232,TINH_TEC!$H$233:$H$9232,$B341,TINH_TEC!$C$233:$C$9232,"Dầu thủy lực",TINH_TEC!$F$233:$F$9232,$B$2,TINH_TEC!$G$233:$G$9232,$D$2,TINH_TEC!$B$233:$B$9232,"Đã chốt"))</f>
        <v>0</v>
      </c>
      <c r="AK341" s="242">
        <f>IF($B341="","",SUMIFS(TINH_TEC!$J$233:$J$9232,TINH_TEC!$H$233:$H$9232,$B341,TINH_TEC!$C$233:$C$9232,"Dầu thủy lực",TINH_TEC!$F$233:$F$9232,$B$2,TINH_TEC!$G$233:$G$9232,$D$2,TINH_TEC!$B$233:$B$9232,"Đã chốt"))</f>
        <v>0</v>
      </c>
      <c r="AL341" s="242">
        <f t="shared" si="17"/>
        <v>0</v>
      </c>
    </row>
    <row r="342" ht="15.75" customHeight="1">
      <c r="A342" s="237">
        <f>IF($B342&lt;&gt;"",32,"")</f>
        <v>32</v>
      </c>
      <c r="B342" s="250" t="str">
        <f t="array" ref="B342">IFERROR(INDEX(DANH_MUC!$E:$E,35),"")</f>
        <v>28H00003</v>
      </c>
      <c r="C342" s="251">
        <f>IF(C$4&gt;DAY(EOMONTH(DATE($D$2,$B$2,1),0)),"",IFERROR(SUMIFS(DATA_GOC!$H:$H,DATA_GOC!$A:$A,"BOM",DATA_GOC!$D:$D,$B342,DATA_GOC!$E:$E,"Dầu thủy lực",DATA_GOC!$F:$F,"Xuất nội bộ từ téc",DATA_GOC!$B:$B,DATE($D$2,$B$2,C$4)),0))</f>
        <v>0</v>
      </c>
      <c r="D342" s="251">
        <f>IF(D$4&gt;DAY(EOMONTH(DATE($D$2,$B$2,1),0)),"",IFERROR(SUMIFS(DATA_GOC!$H:$H,DATA_GOC!$A:$A,"BOM",DATA_GOC!$D:$D,$B342,DATA_GOC!$E:$E,"Dầu thủy lực",DATA_GOC!$F:$F,"Xuất nội bộ từ téc",DATA_GOC!$B:$B,DATE($D$2,$B$2,D$4)),0))</f>
        <v>0</v>
      </c>
      <c r="E342" s="251">
        <f>IF(E$4&gt;DAY(EOMONTH(DATE($D$2,$B$2,1),0)),"",IFERROR(SUMIFS(DATA_GOC!$H:$H,DATA_GOC!$A:$A,"BOM",DATA_GOC!$D:$D,$B342,DATA_GOC!$E:$E,"Dầu thủy lực",DATA_GOC!$F:$F,"Xuất nội bộ từ téc",DATA_GOC!$B:$B,DATE($D$2,$B$2,E$4)),0))</f>
        <v>0</v>
      </c>
      <c r="F342" s="251">
        <f>IF(F$4&gt;DAY(EOMONTH(DATE($D$2,$B$2,1),0)),"",IFERROR(SUMIFS(DATA_GOC!$H:$H,DATA_GOC!$A:$A,"BOM",DATA_GOC!$D:$D,$B342,DATA_GOC!$E:$E,"Dầu thủy lực",DATA_GOC!$F:$F,"Xuất nội bộ từ téc",DATA_GOC!$B:$B,DATE($D$2,$B$2,F$4)),0))</f>
        <v>0</v>
      </c>
      <c r="G342" s="251">
        <f>IF(G$4&gt;DAY(EOMONTH(DATE($D$2,$B$2,1),0)),"",IFERROR(SUMIFS(DATA_GOC!$H:$H,DATA_GOC!$A:$A,"BOM",DATA_GOC!$D:$D,$B342,DATA_GOC!$E:$E,"Dầu thủy lực",DATA_GOC!$F:$F,"Xuất nội bộ từ téc",DATA_GOC!$B:$B,DATE($D$2,$B$2,G$4)),0))</f>
        <v>0</v>
      </c>
      <c r="H342" s="251">
        <f>IF(H$4&gt;DAY(EOMONTH(DATE($D$2,$B$2,1),0)),"",IFERROR(SUMIFS(DATA_GOC!$H:$H,DATA_GOC!$A:$A,"BOM",DATA_GOC!$D:$D,$B342,DATA_GOC!$E:$E,"Dầu thủy lực",DATA_GOC!$F:$F,"Xuất nội bộ từ téc",DATA_GOC!$B:$B,DATE($D$2,$B$2,H$4)),0))</f>
        <v>0</v>
      </c>
      <c r="I342" s="251">
        <f>IF(I$4&gt;DAY(EOMONTH(DATE($D$2,$B$2,1),0)),"",IFERROR(SUMIFS(DATA_GOC!$H:$H,DATA_GOC!$A:$A,"BOM",DATA_GOC!$D:$D,$B342,DATA_GOC!$E:$E,"Dầu thủy lực",DATA_GOC!$F:$F,"Xuất nội bộ từ téc",DATA_GOC!$B:$B,DATE($D$2,$B$2,I$4)),0))</f>
        <v>0</v>
      </c>
      <c r="J342" s="251">
        <f>IF(J$4&gt;DAY(EOMONTH(DATE($D$2,$B$2,1),0)),"",IFERROR(SUMIFS(DATA_GOC!$H:$H,DATA_GOC!$A:$A,"BOM",DATA_GOC!$D:$D,$B342,DATA_GOC!$E:$E,"Dầu thủy lực",DATA_GOC!$F:$F,"Xuất nội bộ từ téc",DATA_GOC!$B:$B,DATE($D$2,$B$2,J$4)),0))</f>
        <v>0</v>
      </c>
      <c r="K342" s="251">
        <f>IF(K$4&gt;DAY(EOMONTH(DATE($D$2,$B$2,1),0)),"",IFERROR(SUMIFS(DATA_GOC!$H:$H,DATA_GOC!$A:$A,"BOM",DATA_GOC!$D:$D,$B342,DATA_GOC!$E:$E,"Dầu thủy lực",DATA_GOC!$F:$F,"Xuất nội bộ từ téc",DATA_GOC!$B:$B,DATE($D$2,$B$2,K$4)),0))</f>
        <v>0</v>
      </c>
      <c r="L342" s="251">
        <f>IF(L$4&gt;DAY(EOMONTH(DATE($D$2,$B$2,1),0)),"",IFERROR(SUMIFS(DATA_GOC!$H:$H,DATA_GOC!$A:$A,"BOM",DATA_GOC!$D:$D,$B342,DATA_GOC!$E:$E,"Dầu thủy lực",DATA_GOC!$F:$F,"Xuất nội bộ từ téc",DATA_GOC!$B:$B,DATE($D$2,$B$2,L$4)),0))</f>
        <v>0</v>
      </c>
      <c r="M342" s="251">
        <f>IF(M$4&gt;DAY(EOMONTH(DATE($D$2,$B$2,1),0)),"",IFERROR(SUMIFS(DATA_GOC!$H:$H,DATA_GOC!$A:$A,"BOM",DATA_GOC!$D:$D,$B342,DATA_GOC!$E:$E,"Dầu thủy lực",DATA_GOC!$F:$F,"Xuất nội bộ từ téc",DATA_GOC!$B:$B,DATE($D$2,$B$2,M$4)),0))</f>
        <v>0</v>
      </c>
      <c r="N342" s="251">
        <f>IF(N$4&gt;DAY(EOMONTH(DATE($D$2,$B$2,1),0)),"",IFERROR(SUMIFS(DATA_GOC!$H:$H,DATA_GOC!$A:$A,"BOM",DATA_GOC!$D:$D,$B342,DATA_GOC!$E:$E,"Dầu thủy lực",DATA_GOC!$F:$F,"Xuất nội bộ từ téc",DATA_GOC!$B:$B,DATE($D$2,$B$2,N$4)),0))</f>
        <v>0</v>
      </c>
      <c r="O342" s="251">
        <f>IF(O$4&gt;DAY(EOMONTH(DATE($D$2,$B$2,1),0)),"",IFERROR(SUMIFS(DATA_GOC!$H:$H,DATA_GOC!$A:$A,"BOM",DATA_GOC!$D:$D,$B342,DATA_GOC!$E:$E,"Dầu thủy lực",DATA_GOC!$F:$F,"Xuất nội bộ từ téc",DATA_GOC!$B:$B,DATE($D$2,$B$2,O$4)),0))</f>
        <v>0</v>
      </c>
      <c r="P342" s="251">
        <f>IF(P$4&gt;DAY(EOMONTH(DATE($D$2,$B$2,1),0)),"",IFERROR(SUMIFS(DATA_GOC!$H:$H,DATA_GOC!$A:$A,"BOM",DATA_GOC!$D:$D,$B342,DATA_GOC!$E:$E,"Dầu thủy lực",DATA_GOC!$F:$F,"Xuất nội bộ từ téc",DATA_GOC!$B:$B,DATE($D$2,$B$2,P$4)),0))</f>
        <v>0</v>
      </c>
      <c r="Q342" s="251">
        <f>IF(Q$4&gt;DAY(EOMONTH(DATE($D$2,$B$2,1),0)),"",IFERROR(SUMIFS(DATA_GOC!$H:$H,DATA_GOC!$A:$A,"BOM",DATA_GOC!$D:$D,$B342,DATA_GOC!$E:$E,"Dầu thủy lực",DATA_GOC!$F:$F,"Xuất nội bộ từ téc",DATA_GOC!$B:$B,DATE($D$2,$B$2,Q$4)),0))</f>
        <v>0</v>
      </c>
      <c r="R342" s="251">
        <f>IF(R$4&gt;DAY(EOMONTH(DATE($D$2,$B$2,1),0)),"",IFERROR(SUMIFS(DATA_GOC!$H:$H,DATA_GOC!$A:$A,"BOM",DATA_GOC!$D:$D,$B342,DATA_GOC!$E:$E,"Dầu thủy lực",DATA_GOC!$F:$F,"Xuất nội bộ từ téc",DATA_GOC!$B:$B,DATE($D$2,$B$2,R$4)),0))</f>
        <v>0</v>
      </c>
      <c r="S342" s="251">
        <f>IF(S$4&gt;DAY(EOMONTH(DATE($D$2,$B$2,1),0)),"",IFERROR(SUMIFS(DATA_GOC!$H:$H,DATA_GOC!$A:$A,"BOM",DATA_GOC!$D:$D,$B342,DATA_GOC!$E:$E,"Dầu thủy lực",DATA_GOC!$F:$F,"Xuất nội bộ từ téc",DATA_GOC!$B:$B,DATE($D$2,$B$2,S$4)),0))</f>
        <v>0</v>
      </c>
      <c r="T342" s="251">
        <f>IF(T$4&gt;DAY(EOMONTH(DATE($D$2,$B$2,1),0)),"",IFERROR(SUMIFS(DATA_GOC!$H:$H,DATA_GOC!$A:$A,"BOM",DATA_GOC!$D:$D,$B342,DATA_GOC!$E:$E,"Dầu thủy lực",DATA_GOC!$F:$F,"Xuất nội bộ từ téc",DATA_GOC!$B:$B,DATE($D$2,$B$2,T$4)),0))</f>
        <v>0</v>
      </c>
      <c r="U342" s="251">
        <f>IF(U$4&gt;DAY(EOMONTH(DATE($D$2,$B$2,1),0)),"",IFERROR(SUMIFS(DATA_GOC!$H:$H,DATA_GOC!$A:$A,"BOM",DATA_GOC!$D:$D,$B342,DATA_GOC!$E:$E,"Dầu thủy lực",DATA_GOC!$F:$F,"Xuất nội bộ từ téc",DATA_GOC!$B:$B,DATE($D$2,$B$2,U$4)),0))</f>
        <v>0</v>
      </c>
      <c r="V342" s="251">
        <f>IF(V$4&gt;DAY(EOMONTH(DATE($D$2,$B$2,1),0)),"",IFERROR(SUMIFS(DATA_GOC!$H:$H,DATA_GOC!$A:$A,"BOM",DATA_GOC!$D:$D,$B342,DATA_GOC!$E:$E,"Dầu thủy lực",DATA_GOC!$F:$F,"Xuất nội bộ từ téc",DATA_GOC!$B:$B,DATE($D$2,$B$2,V$4)),0))</f>
        <v>0</v>
      </c>
      <c r="W342" s="251">
        <f>IF(W$4&gt;DAY(EOMONTH(DATE($D$2,$B$2,1),0)),"",IFERROR(SUMIFS(DATA_GOC!$H:$H,DATA_GOC!$A:$A,"BOM",DATA_GOC!$D:$D,$B342,DATA_GOC!$E:$E,"Dầu thủy lực",DATA_GOC!$F:$F,"Xuất nội bộ từ téc",DATA_GOC!$B:$B,DATE($D$2,$B$2,W$4)),0))</f>
        <v>0</v>
      </c>
      <c r="X342" s="251">
        <f>IF(X$4&gt;DAY(EOMONTH(DATE($D$2,$B$2,1),0)),"",IFERROR(SUMIFS(DATA_GOC!$H:$H,DATA_GOC!$A:$A,"BOM",DATA_GOC!$D:$D,$B342,DATA_GOC!$E:$E,"Dầu thủy lực",DATA_GOC!$F:$F,"Xuất nội bộ từ téc",DATA_GOC!$B:$B,DATE($D$2,$B$2,X$4)),0))</f>
        <v>0</v>
      </c>
      <c r="Y342" s="251">
        <f>IF(Y$4&gt;DAY(EOMONTH(DATE($D$2,$B$2,1),0)),"",IFERROR(SUMIFS(DATA_GOC!$H:$H,DATA_GOC!$A:$A,"BOM",DATA_GOC!$D:$D,$B342,DATA_GOC!$E:$E,"Dầu thủy lực",DATA_GOC!$F:$F,"Xuất nội bộ từ téc",DATA_GOC!$B:$B,DATE($D$2,$B$2,Y$4)),0))</f>
        <v>0</v>
      </c>
      <c r="Z342" s="251">
        <f>IF(Z$4&gt;DAY(EOMONTH(DATE($D$2,$B$2,1),0)),"",IFERROR(SUMIFS(DATA_GOC!$H:$H,DATA_GOC!$A:$A,"BOM",DATA_GOC!$D:$D,$B342,DATA_GOC!$E:$E,"Dầu thủy lực",DATA_GOC!$F:$F,"Xuất nội bộ từ téc",DATA_GOC!$B:$B,DATE($D$2,$B$2,Z$4)),0))</f>
        <v>0</v>
      </c>
      <c r="AA342" s="251">
        <f>IF(AA$4&gt;DAY(EOMONTH(DATE($D$2,$B$2,1),0)),"",IFERROR(SUMIFS(DATA_GOC!$H:$H,DATA_GOC!$A:$A,"BOM",DATA_GOC!$D:$D,$B342,DATA_GOC!$E:$E,"Dầu thủy lực",DATA_GOC!$F:$F,"Xuất nội bộ từ téc",DATA_GOC!$B:$B,DATE($D$2,$B$2,AA$4)),0))</f>
        <v>0</v>
      </c>
      <c r="AB342" s="251">
        <f>IF(AB$4&gt;DAY(EOMONTH(DATE($D$2,$B$2,1),0)),"",IFERROR(SUMIFS(DATA_GOC!$H:$H,DATA_GOC!$A:$A,"BOM",DATA_GOC!$D:$D,$B342,DATA_GOC!$E:$E,"Dầu thủy lực",DATA_GOC!$F:$F,"Xuất nội bộ từ téc",DATA_GOC!$B:$B,DATE($D$2,$B$2,AB$4)),0))</f>
        <v>0</v>
      </c>
      <c r="AC342" s="251">
        <f>IF(AC$4&gt;DAY(EOMONTH(DATE($D$2,$B$2,1),0)),"",IFERROR(SUMIFS(DATA_GOC!$H:$H,DATA_GOC!$A:$A,"BOM",DATA_GOC!$D:$D,$B342,DATA_GOC!$E:$E,"Dầu thủy lực",DATA_GOC!$F:$F,"Xuất nội bộ từ téc",DATA_GOC!$B:$B,DATE($D$2,$B$2,AC$4)),0))</f>
        <v>0</v>
      </c>
      <c r="AD342" s="251">
        <f>IF(AD$4&gt;DAY(EOMONTH(DATE($D$2,$B$2,1),0)),"",IFERROR(SUMIFS(DATA_GOC!$H:$H,DATA_GOC!$A:$A,"BOM",DATA_GOC!$D:$D,$B342,DATA_GOC!$E:$E,"Dầu thủy lực",DATA_GOC!$F:$F,"Xuất nội bộ từ téc",DATA_GOC!$B:$B,DATE($D$2,$B$2,AD$4)),0))</f>
        <v>0</v>
      </c>
      <c r="AE342" s="251">
        <f>IF(AE$4&gt;DAY(EOMONTH(DATE($D$2,$B$2,1),0)),"",IFERROR(SUMIFS(DATA_GOC!$H:$H,DATA_GOC!$A:$A,"BOM",DATA_GOC!$D:$D,$B342,DATA_GOC!$E:$E,"Dầu thủy lực",DATA_GOC!$F:$F,"Xuất nội bộ từ téc",DATA_GOC!$B:$B,DATE($D$2,$B$2,AE$4)),0))</f>
        <v>0</v>
      </c>
      <c r="AF342" s="251">
        <f>IF(AF$4&gt;DAY(EOMONTH(DATE($D$2,$B$2,1),0)),"",IFERROR(SUMIFS(DATA_GOC!$H:$H,DATA_GOC!$A:$A,"BOM",DATA_GOC!$D:$D,$B342,DATA_GOC!$E:$E,"Dầu thủy lực",DATA_GOC!$F:$F,"Xuất nội bộ từ téc",DATA_GOC!$B:$B,DATE($D$2,$B$2,AF$4)),0))</f>
        <v>0</v>
      </c>
      <c r="AG342" s="251">
        <f>IF(AG$4&gt;DAY(EOMONTH(DATE($D$2,$B$2,1),0)),"",IFERROR(SUMIFS(DATA_GOC!$H:$H,DATA_GOC!$A:$A,"BOM",DATA_GOC!$D:$D,$B342,DATA_GOC!$E:$E,"Dầu thủy lực",DATA_GOC!$F:$F,"Xuất nội bộ từ téc",DATA_GOC!$B:$B,DATE($D$2,$B$2,AG$4)),0))</f>
        <v>0</v>
      </c>
      <c r="AH342" s="252">
        <f t="shared" si="16"/>
        <v>0</v>
      </c>
      <c r="AI342" s="241"/>
      <c r="AJ342" s="242">
        <f>IF($B342="","",SUMIFS(TINH_TEC!$K$233:$K$9232,TINH_TEC!$H$233:$H$9232,$B342,TINH_TEC!$C$233:$C$9232,"Dầu thủy lực",TINH_TEC!$F$233:$F$9232,$B$2,TINH_TEC!$G$233:$G$9232,$D$2,TINH_TEC!$B$233:$B$9232,"Đã chốt"))</f>
        <v>0</v>
      </c>
      <c r="AK342" s="242">
        <f>IF($B342="","",SUMIFS(TINH_TEC!$J$233:$J$9232,TINH_TEC!$H$233:$H$9232,$B342,TINH_TEC!$C$233:$C$9232,"Dầu thủy lực",TINH_TEC!$F$233:$F$9232,$B$2,TINH_TEC!$G$233:$G$9232,$D$2,TINH_TEC!$B$233:$B$9232,"Đã chốt"))</f>
        <v>0</v>
      </c>
      <c r="AL342" s="242">
        <f t="shared" si="17"/>
        <v>0</v>
      </c>
    </row>
    <row r="343" ht="15.75" customHeight="1">
      <c r="A343" s="237">
        <f>IF($B343&lt;&gt;"",33,"")</f>
        <v>33</v>
      </c>
      <c r="B343" s="250" t="str">
        <f t="array" ref="B343">IFERROR(INDEX(DANH_MUC!$E:$E,36),"")</f>
        <v>28H00061</v>
      </c>
      <c r="C343" s="251">
        <f>IF(C$4&gt;DAY(EOMONTH(DATE($D$2,$B$2,1),0)),"",IFERROR(SUMIFS(DATA_GOC!$H:$H,DATA_GOC!$A:$A,"BOM",DATA_GOC!$D:$D,$B343,DATA_GOC!$E:$E,"Dầu thủy lực",DATA_GOC!$F:$F,"Xuất nội bộ từ téc",DATA_GOC!$B:$B,DATE($D$2,$B$2,C$4)),0))</f>
        <v>0</v>
      </c>
      <c r="D343" s="251">
        <f>IF(D$4&gt;DAY(EOMONTH(DATE($D$2,$B$2,1),0)),"",IFERROR(SUMIFS(DATA_GOC!$H:$H,DATA_GOC!$A:$A,"BOM",DATA_GOC!$D:$D,$B343,DATA_GOC!$E:$E,"Dầu thủy lực",DATA_GOC!$F:$F,"Xuất nội bộ từ téc",DATA_GOC!$B:$B,DATE($D$2,$B$2,D$4)),0))</f>
        <v>0</v>
      </c>
      <c r="E343" s="251">
        <f>IF(E$4&gt;DAY(EOMONTH(DATE($D$2,$B$2,1),0)),"",IFERROR(SUMIFS(DATA_GOC!$H:$H,DATA_GOC!$A:$A,"BOM",DATA_GOC!$D:$D,$B343,DATA_GOC!$E:$E,"Dầu thủy lực",DATA_GOC!$F:$F,"Xuất nội bộ từ téc",DATA_GOC!$B:$B,DATE($D$2,$B$2,E$4)),0))</f>
        <v>0</v>
      </c>
      <c r="F343" s="251">
        <f>IF(F$4&gt;DAY(EOMONTH(DATE($D$2,$B$2,1),0)),"",IFERROR(SUMIFS(DATA_GOC!$H:$H,DATA_GOC!$A:$A,"BOM",DATA_GOC!$D:$D,$B343,DATA_GOC!$E:$E,"Dầu thủy lực",DATA_GOC!$F:$F,"Xuất nội bộ từ téc",DATA_GOC!$B:$B,DATE($D$2,$B$2,F$4)),0))</f>
        <v>0</v>
      </c>
      <c r="G343" s="251">
        <f>IF(G$4&gt;DAY(EOMONTH(DATE($D$2,$B$2,1),0)),"",IFERROR(SUMIFS(DATA_GOC!$H:$H,DATA_GOC!$A:$A,"BOM",DATA_GOC!$D:$D,$B343,DATA_GOC!$E:$E,"Dầu thủy lực",DATA_GOC!$F:$F,"Xuất nội bộ từ téc",DATA_GOC!$B:$B,DATE($D$2,$B$2,G$4)),0))</f>
        <v>0</v>
      </c>
      <c r="H343" s="251">
        <f>IF(H$4&gt;DAY(EOMONTH(DATE($D$2,$B$2,1),0)),"",IFERROR(SUMIFS(DATA_GOC!$H:$H,DATA_GOC!$A:$A,"BOM",DATA_GOC!$D:$D,$B343,DATA_GOC!$E:$E,"Dầu thủy lực",DATA_GOC!$F:$F,"Xuất nội bộ từ téc",DATA_GOC!$B:$B,DATE($D$2,$B$2,H$4)),0))</f>
        <v>0</v>
      </c>
      <c r="I343" s="251">
        <f>IF(I$4&gt;DAY(EOMONTH(DATE($D$2,$B$2,1),0)),"",IFERROR(SUMIFS(DATA_GOC!$H:$H,DATA_GOC!$A:$A,"BOM",DATA_GOC!$D:$D,$B343,DATA_GOC!$E:$E,"Dầu thủy lực",DATA_GOC!$F:$F,"Xuất nội bộ từ téc",DATA_GOC!$B:$B,DATE($D$2,$B$2,I$4)),0))</f>
        <v>0</v>
      </c>
      <c r="J343" s="251">
        <f>IF(J$4&gt;DAY(EOMONTH(DATE($D$2,$B$2,1),0)),"",IFERROR(SUMIFS(DATA_GOC!$H:$H,DATA_GOC!$A:$A,"BOM",DATA_GOC!$D:$D,$B343,DATA_GOC!$E:$E,"Dầu thủy lực",DATA_GOC!$F:$F,"Xuất nội bộ từ téc",DATA_GOC!$B:$B,DATE($D$2,$B$2,J$4)),0))</f>
        <v>0</v>
      </c>
      <c r="K343" s="251">
        <f>IF(K$4&gt;DAY(EOMONTH(DATE($D$2,$B$2,1),0)),"",IFERROR(SUMIFS(DATA_GOC!$H:$H,DATA_GOC!$A:$A,"BOM",DATA_GOC!$D:$D,$B343,DATA_GOC!$E:$E,"Dầu thủy lực",DATA_GOC!$F:$F,"Xuất nội bộ từ téc",DATA_GOC!$B:$B,DATE($D$2,$B$2,K$4)),0))</f>
        <v>0</v>
      </c>
      <c r="L343" s="251">
        <f>IF(L$4&gt;DAY(EOMONTH(DATE($D$2,$B$2,1),0)),"",IFERROR(SUMIFS(DATA_GOC!$H:$H,DATA_GOC!$A:$A,"BOM",DATA_GOC!$D:$D,$B343,DATA_GOC!$E:$E,"Dầu thủy lực",DATA_GOC!$F:$F,"Xuất nội bộ từ téc",DATA_GOC!$B:$B,DATE($D$2,$B$2,L$4)),0))</f>
        <v>0</v>
      </c>
      <c r="M343" s="251">
        <f>IF(M$4&gt;DAY(EOMONTH(DATE($D$2,$B$2,1),0)),"",IFERROR(SUMIFS(DATA_GOC!$H:$H,DATA_GOC!$A:$A,"BOM",DATA_GOC!$D:$D,$B343,DATA_GOC!$E:$E,"Dầu thủy lực",DATA_GOC!$F:$F,"Xuất nội bộ từ téc",DATA_GOC!$B:$B,DATE($D$2,$B$2,M$4)),0))</f>
        <v>0</v>
      </c>
      <c r="N343" s="251">
        <f>IF(N$4&gt;DAY(EOMONTH(DATE($D$2,$B$2,1),0)),"",IFERROR(SUMIFS(DATA_GOC!$H:$H,DATA_GOC!$A:$A,"BOM",DATA_GOC!$D:$D,$B343,DATA_GOC!$E:$E,"Dầu thủy lực",DATA_GOC!$F:$F,"Xuất nội bộ từ téc",DATA_GOC!$B:$B,DATE($D$2,$B$2,N$4)),0))</f>
        <v>0</v>
      </c>
      <c r="O343" s="251">
        <f>IF(O$4&gt;DAY(EOMONTH(DATE($D$2,$B$2,1),0)),"",IFERROR(SUMIFS(DATA_GOC!$H:$H,DATA_GOC!$A:$A,"BOM",DATA_GOC!$D:$D,$B343,DATA_GOC!$E:$E,"Dầu thủy lực",DATA_GOC!$F:$F,"Xuất nội bộ từ téc",DATA_GOC!$B:$B,DATE($D$2,$B$2,O$4)),0))</f>
        <v>0</v>
      </c>
      <c r="P343" s="251">
        <f>IF(P$4&gt;DAY(EOMONTH(DATE($D$2,$B$2,1),0)),"",IFERROR(SUMIFS(DATA_GOC!$H:$H,DATA_GOC!$A:$A,"BOM",DATA_GOC!$D:$D,$B343,DATA_GOC!$E:$E,"Dầu thủy lực",DATA_GOC!$F:$F,"Xuất nội bộ từ téc",DATA_GOC!$B:$B,DATE($D$2,$B$2,P$4)),0))</f>
        <v>0</v>
      </c>
      <c r="Q343" s="251">
        <f>IF(Q$4&gt;DAY(EOMONTH(DATE($D$2,$B$2,1),0)),"",IFERROR(SUMIFS(DATA_GOC!$H:$H,DATA_GOC!$A:$A,"BOM",DATA_GOC!$D:$D,$B343,DATA_GOC!$E:$E,"Dầu thủy lực",DATA_GOC!$F:$F,"Xuất nội bộ từ téc",DATA_GOC!$B:$B,DATE($D$2,$B$2,Q$4)),0))</f>
        <v>0</v>
      </c>
      <c r="R343" s="251">
        <f>IF(R$4&gt;DAY(EOMONTH(DATE($D$2,$B$2,1),0)),"",IFERROR(SUMIFS(DATA_GOC!$H:$H,DATA_GOC!$A:$A,"BOM",DATA_GOC!$D:$D,$B343,DATA_GOC!$E:$E,"Dầu thủy lực",DATA_GOC!$F:$F,"Xuất nội bộ từ téc",DATA_GOC!$B:$B,DATE($D$2,$B$2,R$4)),0))</f>
        <v>0</v>
      </c>
      <c r="S343" s="251">
        <f>IF(S$4&gt;DAY(EOMONTH(DATE($D$2,$B$2,1),0)),"",IFERROR(SUMIFS(DATA_GOC!$H:$H,DATA_GOC!$A:$A,"BOM",DATA_GOC!$D:$D,$B343,DATA_GOC!$E:$E,"Dầu thủy lực",DATA_GOC!$F:$F,"Xuất nội bộ từ téc",DATA_GOC!$B:$B,DATE($D$2,$B$2,S$4)),0))</f>
        <v>0</v>
      </c>
      <c r="T343" s="251">
        <f>IF(T$4&gt;DAY(EOMONTH(DATE($D$2,$B$2,1),0)),"",IFERROR(SUMIFS(DATA_GOC!$H:$H,DATA_GOC!$A:$A,"BOM",DATA_GOC!$D:$D,$B343,DATA_GOC!$E:$E,"Dầu thủy lực",DATA_GOC!$F:$F,"Xuất nội bộ từ téc",DATA_GOC!$B:$B,DATE($D$2,$B$2,T$4)),0))</f>
        <v>0</v>
      </c>
      <c r="U343" s="251">
        <f>IF(U$4&gt;DAY(EOMONTH(DATE($D$2,$B$2,1),0)),"",IFERROR(SUMIFS(DATA_GOC!$H:$H,DATA_GOC!$A:$A,"BOM",DATA_GOC!$D:$D,$B343,DATA_GOC!$E:$E,"Dầu thủy lực",DATA_GOC!$F:$F,"Xuất nội bộ từ téc",DATA_GOC!$B:$B,DATE($D$2,$B$2,U$4)),0))</f>
        <v>0</v>
      </c>
      <c r="V343" s="251">
        <f>IF(V$4&gt;DAY(EOMONTH(DATE($D$2,$B$2,1),0)),"",IFERROR(SUMIFS(DATA_GOC!$H:$H,DATA_GOC!$A:$A,"BOM",DATA_GOC!$D:$D,$B343,DATA_GOC!$E:$E,"Dầu thủy lực",DATA_GOC!$F:$F,"Xuất nội bộ từ téc",DATA_GOC!$B:$B,DATE($D$2,$B$2,V$4)),0))</f>
        <v>0</v>
      </c>
      <c r="W343" s="251">
        <f>IF(W$4&gt;DAY(EOMONTH(DATE($D$2,$B$2,1),0)),"",IFERROR(SUMIFS(DATA_GOC!$H:$H,DATA_GOC!$A:$A,"BOM",DATA_GOC!$D:$D,$B343,DATA_GOC!$E:$E,"Dầu thủy lực",DATA_GOC!$F:$F,"Xuất nội bộ từ téc",DATA_GOC!$B:$B,DATE($D$2,$B$2,W$4)),0))</f>
        <v>0</v>
      </c>
      <c r="X343" s="251">
        <f>IF(X$4&gt;DAY(EOMONTH(DATE($D$2,$B$2,1),0)),"",IFERROR(SUMIFS(DATA_GOC!$H:$H,DATA_GOC!$A:$A,"BOM",DATA_GOC!$D:$D,$B343,DATA_GOC!$E:$E,"Dầu thủy lực",DATA_GOC!$F:$F,"Xuất nội bộ từ téc",DATA_GOC!$B:$B,DATE($D$2,$B$2,X$4)),0))</f>
        <v>0</v>
      </c>
      <c r="Y343" s="251">
        <f>IF(Y$4&gt;DAY(EOMONTH(DATE($D$2,$B$2,1),0)),"",IFERROR(SUMIFS(DATA_GOC!$H:$H,DATA_GOC!$A:$A,"BOM",DATA_GOC!$D:$D,$B343,DATA_GOC!$E:$E,"Dầu thủy lực",DATA_GOC!$F:$F,"Xuất nội bộ từ téc",DATA_GOC!$B:$B,DATE($D$2,$B$2,Y$4)),0))</f>
        <v>0</v>
      </c>
      <c r="Z343" s="251">
        <f>IF(Z$4&gt;DAY(EOMONTH(DATE($D$2,$B$2,1),0)),"",IFERROR(SUMIFS(DATA_GOC!$H:$H,DATA_GOC!$A:$A,"BOM",DATA_GOC!$D:$D,$B343,DATA_GOC!$E:$E,"Dầu thủy lực",DATA_GOC!$F:$F,"Xuất nội bộ từ téc",DATA_GOC!$B:$B,DATE($D$2,$B$2,Z$4)),0))</f>
        <v>0</v>
      </c>
      <c r="AA343" s="251">
        <f>IF(AA$4&gt;DAY(EOMONTH(DATE($D$2,$B$2,1),0)),"",IFERROR(SUMIFS(DATA_GOC!$H:$H,DATA_GOC!$A:$A,"BOM",DATA_GOC!$D:$D,$B343,DATA_GOC!$E:$E,"Dầu thủy lực",DATA_GOC!$F:$F,"Xuất nội bộ từ téc",DATA_GOC!$B:$B,DATE($D$2,$B$2,AA$4)),0))</f>
        <v>0</v>
      </c>
      <c r="AB343" s="251">
        <f>IF(AB$4&gt;DAY(EOMONTH(DATE($D$2,$B$2,1),0)),"",IFERROR(SUMIFS(DATA_GOC!$H:$H,DATA_GOC!$A:$A,"BOM",DATA_GOC!$D:$D,$B343,DATA_GOC!$E:$E,"Dầu thủy lực",DATA_GOC!$F:$F,"Xuất nội bộ từ téc",DATA_GOC!$B:$B,DATE($D$2,$B$2,AB$4)),0))</f>
        <v>0</v>
      </c>
      <c r="AC343" s="251">
        <f>IF(AC$4&gt;DAY(EOMONTH(DATE($D$2,$B$2,1),0)),"",IFERROR(SUMIFS(DATA_GOC!$H:$H,DATA_GOC!$A:$A,"BOM",DATA_GOC!$D:$D,$B343,DATA_GOC!$E:$E,"Dầu thủy lực",DATA_GOC!$F:$F,"Xuất nội bộ từ téc",DATA_GOC!$B:$B,DATE($D$2,$B$2,AC$4)),0))</f>
        <v>0</v>
      </c>
      <c r="AD343" s="251">
        <f>IF(AD$4&gt;DAY(EOMONTH(DATE($D$2,$B$2,1),0)),"",IFERROR(SUMIFS(DATA_GOC!$H:$H,DATA_GOC!$A:$A,"BOM",DATA_GOC!$D:$D,$B343,DATA_GOC!$E:$E,"Dầu thủy lực",DATA_GOC!$F:$F,"Xuất nội bộ từ téc",DATA_GOC!$B:$B,DATE($D$2,$B$2,AD$4)),0))</f>
        <v>0</v>
      </c>
      <c r="AE343" s="251">
        <f>IF(AE$4&gt;DAY(EOMONTH(DATE($D$2,$B$2,1),0)),"",IFERROR(SUMIFS(DATA_GOC!$H:$H,DATA_GOC!$A:$A,"BOM",DATA_GOC!$D:$D,$B343,DATA_GOC!$E:$E,"Dầu thủy lực",DATA_GOC!$F:$F,"Xuất nội bộ từ téc",DATA_GOC!$B:$B,DATE($D$2,$B$2,AE$4)),0))</f>
        <v>0</v>
      </c>
      <c r="AF343" s="251">
        <f>IF(AF$4&gt;DAY(EOMONTH(DATE($D$2,$B$2,1),0)),"",IFERROR(SUMIFS(DATA_GOC!$H:$H,DATA_GOC!$A:$A,"BOM",DATA_GOC!$D:$D,$B343,DATA_GOC!$E:$E,"Dầu thủy lực",DATA_GOC!$F:$F,"Xuất nội bộ từ téc",DATA_GOC!$B:$B,DATE($D$2,$B$2,AF$4)),0))</f>
        <v>0</v>
      </c>
      <c r="AG343" s="251">
        <f>IF(AG$4&gt;DAY(EOMONTH(DATE($D$2,$B$2,1),0)),"",IFERROR(SUMIFS(DATA_GOC!$H:$H,DATA_GOC!$A:$A,"BOM",DATA_GOC!$D:$D,$B343,DATA_GOC!$E:$E,"Dầu thủy lực",DATA_GOC!$F:$F,"Xuất nội bộ từ téc",DATA_GOC!$B:$B,DATE($D$2,$B$2,AG$4)),0))</f>
        <v>0</v>
      </c>
      <c r="AH343" s="252">
        <f t="shared" si="16"/>
        <v>0</v>
      </c>
      <c r="AI343" s="241"/>
      <c r="AJ343" s="242">
        <f>IF($B343="","",SUMIFS(TINH_TEC!$K$233:$K$9232,TINH_TEC!$H$233:$H$9232,$B343,TINH_TEC!$C$233:$C$9232,"Dầu thủy lực",TINH_TEC!$F$233:$F$9232,$B$2,TINH_TEC!$G$233:$G$9232,$D$2,TINH_TEC!$B$233:$B$9232,"Đã chốt"))</f>
        <v>0</v>
      </c>
      <c r="AK343" s="242">
        <f>IF($B343="","",SUMIFS(TINH_TEC!$J$233:$J$9232,TINH_TEC!$H$233:$H$9232,$B343,TINH_TEC!$C$233:$C$9232,"Dầu thủy lực",TINH_TEC!$F$233:$F$9232,$B$2,TINH_TEC!$G$233:$G$9232,$D$2,TINH_TEC!$B$233:$B$9232,"Đã chốt"))</f>
        <v>0</v>
      </c>
      <c r="AL343" s="242">
        <f t="shared" si="17"/>
        <v>0</v>
      </c>
    </row>
    <row r="344" ht="15.75" customHeight="1">
      <c r="A344" s="237">
        <f>IF($B344&lt;&gt;"",34,"")</f>
        <v>34</v>
      </c>
      <c r="B344" s="250" t="str">
        <f t="array" ref="B344">IFERROR(INDEX(DANH_MUC!$E:$E,37),"")</f>
        <v>28H00354</v>
      </c>
      <c r="C344" s="251">
        <f>IF(C$4&gt;DAY(EOMONTH(DATE($D$2,$B$2,1),0)),"",IFERROR(SUMIFS(DATA_GOC!$H:$H,DATA_GOC!$A:$A,"BOM",DATA_GOC!$D:$D,$B344,DATA_GOC!$E:$E,"Dầu thủy lực",DATA_GOC!$F:$F,"Xuất nội bộ từ téc",DATA_GOC!$B:$B,DATE($D$2,$B$2,C$4)),0))</f>
        <v>0</v>
      </c>
      <c r="D344" s="251">
        <f>IF(D$4&gt;DAY(EOMONTH(DATE($D$2,$B$2,1),0)),"",IFERROR(SUMIFS(DATA_GOC!$H:$H,DATA_GOC!$A:$A,"BOM",DATA_GOC!$D:$D,$B344,DATA_GOC!$E:$E,"Dầu thủy lực",DATA_GOC!$F:$F,"Xuất nội bộ từ téc",DATA_GOC!$B:$B,DATE($D$2,$B$2,D$4)),0))</f>
        <v>0</v>
      </c>
      <c r="E344" s="251">
        <f>IF(E$4&gt;DAY(EOMONTH(DATE($D$2,$B$2,1),0)),"",IFERROR(SUMIFS(DATA_GOC!$H:$H,DATA_GOC!$A:$A,"BOM",DATA_GOC!$D:$D,$B344,DATA_GOC!$E:$E,"Dầu thủy lực",DATA_GOC!$F:$F,"Xuất nội bộ từ téc",DATA_GOC!$B:$B,DATE($D$2,$B$2,E$4)),0))</f>
        <v>0</v>
      </c>
      <c r="F344" s="251">
        <f>IF(F$4&gt;DAY(EOMONTH(DATE($D$2,$B$2,1),0)),"",IFERROR(SUMIFS(DATA_GOC!$H:$H,DATA_GOC!$A:$A,"BOM",DATA_GOC!$D:$D,$B344,DATA_GOC!$E:$E,"Dầu thủy lực",DATA_GOC!$F:$F,"Xuất nội bộ từ téc",DATA_GOC!$B:$B,DATE($D$2,$B$2,F$4)),0))</f>
        <v>0</v>
      </c>
      <c r="G344" s="251">
        <f>IF(G$4&gt;DAY(EOMONTH(DATE($D$2,$B$2,1),0)),"",IFERROR(SUMIFS(DATA_GOC!$H:$H,DATA_GOC!$A:$A,"BOM",DATA_GOC!$D:$D,$B344,DATA_GOC!$E:$E,"Dầu thủy lực",DATA_GOC!$F:$F,"Xuất nội bộ từ téc",DATA_GOC!$B:$B,DATE($D$2,$B$2,G$4)),0))</f>
        <v>0</v>
      </c>
      <c r="H344" s="251">
        <f>IF(H$4&gt;DAY(EOMONTH(DATE($D$2,$B$2,1),0)),"",IFERROR(SUMIFS(DATA_GOC!$H:$H,DATA_GOC!$A:$A,"BOM",DATA_GOC!$D:$D,$B344,DATA_GOC!$E:$E,"Dầu thủy lực",DATA_GOC!$F:$F,"Xuất nội bộ từ téc",DATA_GOC!$B:$B,DATE($D$2,$B$2,H$4)),0))</f>
        <v>0</v>
      </c>
      <c r="I344" s="251">
        <f>IF(I$4&gt;DAY(EOMONTH(DATE($D$2,$B$2,1),0)),"",IFERROR(SUMIFS(DATA_GOC!$H:$H,DATA_GOC!$A:$A,"BOM",DATA_GOC!$D:$D,$B344,DATA_GOC!$E:$E,"Dầu thủy lực",DATA_GOC!$F:$F,"Xuất nội bộ từ téc",DATA_GOC!$B:$B,DATE($D$2,$B$2,I$4)),0))</f>
        <v>0</v>
      </c>
      <c r="J344" s="251">
        <f>IF(J$4&gt;DAY(EOMONTH(DATE($D$2,$B$2,1),0)),"",IFERROR(SUMIFS(DATA_GOC!$H:$H,DATA_GOC!$A:$A,"BOM",DATA_GOC!$D:$D,$B344,DATA_GOC!$E:$E,"Dầu thủy lực",DATA_GOC!$F:$F,"Xuất nội bộ từ téc",DATA_GOC!$B:$B,DATE($D$2,$B$2,J$4)),0))</f>
        <v>0</v>
      </c>
      <c r="K344" s="251">
        <f>IF(K$4&gt;DAY(EOMONTH(DATE($D$2,$B$2,1),0)),"",IFERROR(SUMIFS(DATA_GOC!$H:$H,DATA_GOC!$A:$A,"BOM",DATA_GOC!$D:$D,$B344,DATA_GOC!$E:$E,"Dầu thủy lực",DATA_GOC!$F:$F,"Xuất nội bộ từ téc",DATA_GOC!$B:$B,DATE($D$2,$B$2,K$4)),0))</f>
        <v>0</v>
      </c>
      <c r="L344" s="251">
        <f>IF(L$4&gt;DAY(EOMONTH(DATE($D$2,$B$2,1),0)),"",IFERROR(SUMIFS(DATA_GOC!$H:$H,DATA_GOC!$A:$A,"BOM",DATA_GOC!$D:$D,$B344,DATA_GOC!$E:$E,"Dầu thủy lực",DATA_GOC!$F:$F,"Xuất nội bộ từ téc",DATA_GOC!$B:$B,DATE($D$2,$B$2,L$4)),0))</f>
        <v>0</v>
      </c>
      <c r="M344" s="251">
        <f>IF(M$4&gt;DAY(EOMONTH(DATE($D$2,$B$2,1),0)),"",IFERROR(SUMIFS(DATA_GOC!$H:$H,DATA_GOC!$A:$A,"BOM",DATA_GOC!$D:$D,$B344,DATA_GOC!$E:$E,"Dầu thủy lực",DATA_GOC!$F:$F,"Xuất nội bộ từ téc",DATA_GOC!$B:$B,DATE($D$2,$B$2,M$4)),0))</f>
        <v>0</v>
      </c>
      <c r="N344" s="251">
        <f>IF(N$4&gt;DAY(EOMONTH(DATE($D$2,$B$2,1),0)),"",IFERROR(SUMIFS(DATA_GOC!$H:$H,DATA_GOC!$A:$A,"BOM",DATA_GOC!$D:$D,$B344,DATA_GOC!$E:$E,"Dầu thủy lực",DATA_GOC!$F:$F,"Xuất nội bộ từ téc",DATA_GOC!$B:$B,DATE($D$2,$B$2,N$4)),0))</f>
        <v>0</v>
      </c>
      <c r="O344" s="251">
        <f>IF(O$4&gt;DAY(EOMONTH(DATE($D$2,$B$2,1),0)),"",IFERROR(SUMIFS(DATA_GOC!$H:$H,DATA_GOC!$A:$A,"BOM",DATA_GOC!$D:$D,$B344,DATA_GOC!$E:$E,"Dầu thủy lực",DATA_GOC!$F:$F,"Xuất nội bộ từ téc",DATA_GOC!$B:$B,DATE($D$2,$B$2,O$4)),0))</f>
        <v>0</v>
      </c>
      <c r="P344" s="251">
        <f>IF(P$4&gt;DAY(EOMONTH(DATE($D$2,$B$2,1),0)),"",IFERROR(SUMIFS(DATA_GOC!$H:$H,DATA_GOC!$A:$A,"BOM",DATA_GOC!$D:$D,$B344,DATA_GOC!$E:$E,"Dầu thủy lực",DATA_GOC!$F:$F,"Xuất nội bộ từ téc",DATA_GOC!$B:$B,DATE($D$2,$B$2,P$4)),0))</f>
        <v>0</v>
      </c>
      <c r="Q344" s="251">
        <f>IF(Q$4&gt;DAY(EOMONTH(DATE($D$2,$B$2,1),0)),"",IFERROR(SUMIFS(DATA_GOC!$H:$H,DATA_GOC!$A:$A,"BOM",DATA_GOC!$D:$D,$B344,DATA_GOC!$E:$E,"Dầu thủy lực",DATA_GOC!$F:$F,"Xuất nội bộ từ téc",DATA_GOC!$B:$B,DATE($D$2,$B$2,Q$4)),0))</f>
        <v>0</v>
      </c>
      <c r="R344" s="251">
        <f>IF(R$4&gt;DAY(EOMONTH(DATE($D$2,$B$2,1),0)),"",IFERROR(SUMIFS(DATA_GOC!$H:$H,DATA_GOC!$A:$A,"BOM",DATA_GOC!$D:$D,$B344,DATA_GOC!$E:$E,"Dầu thủy lực",DATA_GOC!$F:$F,"Xuất nội bộ từ téc",DATA_GOC!$B:$B,DATE($D$2,$B$2,R$4)),0))</f>
        <v>0</v>
      </c>
      <c r="S344" s="251">
        <f>IF(S$4&gt;DAY(EOMONTH(DATE($D$2,$B$2,1),0)),"",IFERROR(SUMIFS(DATA_GOC!$H:$H,DATA_GOC!$A:$A,"BOM",DATA_GOC!$D:$D,$B344,DATA_GOC!$E:$E,"Dầu thủy lực",DATA_GOC!$F:$F,"Xuất nội bộ từ téc",DATA_GOC!$B:$B,DATE($D$2,$B$2,S$4)),0))</f>
        <v>0</v>
      </c>
      <c r="T344" s="251">
        <f>IF(T$4&gt;DAY(EOMONTH(DATE($D$2,$B$2,1),0)),"",IFERROR(SUMIFS(DATA_GOC!$H:$H,DATA_GOC!$A:$A,"BOM",DATA_GOC!$D:$D,$B344,DATA_GOC!$E:$E,"Dầu thủy lực",DATA_GOC!$F:$F,"Xuất nội bộ từ téc",DATA_GOC!$B:$B,DATE($D$2,$B$2,T$4)),0))</f>
        <v>0</v>
      </c>
      <c r="U344" s="251">
        <f>IF(U$4&gt;DAY(EOMONTH(DATE($D$2,$B$2,1),0)),"",IFERROR(SUMIFS(DATA_GOC!$H:$H,DATA_GOC!$A:$A,"BOM",DATA_GOC!$D:$D,$B344,DATA_GOC!$E:$E,"Dầu thủy lực",DATA_GOC!$F:$F,"Xuất nội bộ từ téc",DATA_GOC!$B:$B,DATE($D$2,$B$2,U$4)),0))</f>
        <v>0</v>
      </c>
      <c r="V344" s="251">
        <f>IF(V$4&gt;DAY(EOMONTH(DATE($D$2,$B$2,1),0)),"",IFERROR(SUMIFS(DATA_GOC!$H:$H,DATA_GOC!$A:$A,"BOM",DATA_GOC!$D:$D,$B344,DATA_GOC!$E:$E,"Dầu thủy lực",DATA_GOC!$F:$F,"Xuất nội bộ từ téc",DATA_GOC!$B:$B,DATE($D$2,$B$2,V$4)),0))</f>
        <v>0</v>
      </c>
      <c r="W344" s="251">
        <f>IF(W$4&gt;DAY(EOMONTH(DATE($D$2,$B$2,1),0)),"",IFERROR(SUMIFS(DATA_GOC!$H:$H,DATA_GOC!$A:$A,"BOM",DATA_GOC!$D:$D,$B344,DATA_GOC!$E:$E,"Dầu thủy lực",DATA_GOC!$F:$F,"Xuất nội bộ từ téc",DATA_GOC!$B:$B,DATE($D$2,$B$2,W$4)),0))</f>
        <v>0</v>
      </c>
      <c r="X344" s="251">
        <f>IF(X$4&gt;DAY(EOMONTH(DATE($D$2,$B$2,1),0)),"",IFERROR(SUMIFS(DATA_GOC!$H:$H,DATA_GOC!$A:$A,"BOM",DATA_GOC!$D:$D,$B344,DATA_GOC!$E:$E,"Dầu thủy lực",DATA_GOC!$F:$F,"Xuất nội bộ từ téc",DATA_GOC!$B:$B,DATE($D$2,$B$2,X$4)),0))</f>
        <v>0</v>
      </c>
      <c r="Y344" s="251">
        <f>IF(Y$4&gt;DAY(EOMONTH(DATE($D$2,$B$2,1),0)),"",IFERROR(SUMIFS(DATA_GOC!$H:$H,DATA_GOC!$A:$A,"BOM",DATA_GOC!$D:$D,$B344,DATA_GOC!$E:$E,"Dầu thủy lực",DATA_GOC!$F:$F,"Xuất nội bộ từ téc",DATA_GOC!$B:$B,DATE($D$2,$B$2,Y$4)),0))</f>
        <v>0</v>
      </c>
      <c r="Z344" s="251">
        <f>IF(Z$4&gt;DAY(EOMONTH(DATE($D$2,$B$2,1),0)),"",IFERROR(SUMIFS(DATA_GOC!$H:$H,DATA_GOC!$A:$A,"BOM",DATA_GOC!$D:$D,$B344,DATA_GOC!$E:$E,"Dầu thủy lực",DATA_GOC!$F:$F,"Xuất nội bộ từ téc",DATA_GOC!$B:$B,DATE($D$2,$B$2,Z$4)),0))</f>
        <v>0</v>
      </c>
      <c r="AA344" s="251">
        <f>IF(AA$4&gt;DAY(EOMONTH(DATE($D$2,$B$2,1),0)),"",IFERROR(SUMIFS(DATA_GOC!$H:$H,DATA_GOC!$A:$A,"BOM",DATA_GOC!$D:$D,$B344,DATA_GOC!$E:$E,"Dầu thủy lực",DATA_GOC!$F:$F,"Xuất nội bộ từ téc",DATA_GOC!$B:$B,DATE($D$2,$B$2,AA$4)),0))</f>
        <v>0</v>
      </c>
      <c r="AB344" s="251">
        <f>IF(AB$4&gt;DAY(EOMONTH(DATE($D$2,$B$2,1),0)),"",IFERROR(SUMIFS(DATA_GOC!$H:$H,DATA_GOC!$A:$A,"BOM",DATA_GOC!$D:$D,$B344,DATA_GOC!$E:$E,"Dầu thủy lực",DATA_GOC!$F:$F,"Xuất nội bộ từ téc",DATA_GOC!$B:$B,DATE($D$2,$B$2,AB$4)),0))</f>
        <v>0</v>
      </c>
      <c r="AC344" s="251">
        <f>IF(AC$4&gt;DAY(EOMONTH(DATE($D$2,$B$2,1),0)),"",IFERROR(SUMIFS(DATA_GOC!$H:$H,DATA_GOC!$A:$A,"BOM",DATA_GOC!$D:$D,$B344,DATA_GOC!$E:$E,"Dầu thủy lực",DATA_GOC!$F:$F,"Xuất nội bộ từ téc",DATA_GOC!$B:$B,DATE($D$2,$B$2,AC$4)),0))</f>
        <v>0</v>
      </c>
      <c r="AD344" s="251">
        <f>IF(AD$4&gt;DAY(EOMONTH(DATE($D$2,$B$2,1),0)),"",IFERROR(SUMIFS(DATA_GOC!$H:$H,DATA_GOC!$A:$A,"BOM",DATA_GOC!$D:$D,$B344,DATA_GOC!$E:$E,"Dầu thủy lực",DATA_GOC!$F:$F,"Xuất nội bộ từ téc",DATA_GOC!$B:$B,DATE($D$2,$B$2,AD$4)),0))</f>
        <v>0</v>
      </c>
      <c r="AE344" s="251">
        <f>IF(AE$4&gt;DAY(EOMONTH(DATE($D$2,$B$2,1),0)),"",IFERROR(SUMIFS(DATA_GOC!$H:$H,DATA_GOC!$A:$A,"BOM",DATA_GOC!$D:$D,$B344,DATA_GOC!$E:$E,"Dầu thủy lực",DATA_GOC!$F:$F,"Xuất nội bộ từ téc",DATA_GOC!$B:$B,DATE($D$2,$B$2,AE$4)),0))</f>
        <v>0</v>
      </c>
      <c r="AF344" s="251">
        <f>IF(AF$4&gt;DAY(EOMONTH(DATE($D$2,$B$2,1),0)),"",IFERROR(SUMIFS(DATA_GOC!$H:$H,DATA_GOC!$A:$A,"BOM",DATA_GOC!$D:$D,$B344,DATA_GOC!$E:$E,"Dầu thủy lực",DATA_GOC!$F:$F,"Xuất nội bộ từ téc",DATA_GOC!$B:$B,DATE($D$2,$B$2,AF$4)),0))</f>
        <v>0</v>
      </c>
      <c r="AG344" s="251">
        <f>IF(AG$4&gt;DAY(EOMONTH(DATE($D$2,$B$2,1),0)),"",IFERROR(SUMIFS(DATA_GOC!$H:$H,DATA_GOC!$A:$A,"BOM",DATA_GOC!$D:$D,$B344,DATA_GOC!$E:$E,"Dầu thủy lực",DATA_GOC!$F:$F,"Xuất nội bộ từ téc",DATA_GOC!$B:$B,DATE($D$2,$B$2,AG$4)),0))</f>
        <v>0</v>
      </c>
      <c r="AH344" s="252">
        <f t="shared" si="16"/>
        <v>0</v>
      </c>
      <c r="AI344" s="241"/>
      <c r="AJ344" s="242">
        <f>IF($B344="","",SUMIFS(TINH_TEC!$K$233:$K$9232,TINH_TEC!$H$233:$H$9232,$B344,TINH_TEC!$C$233:$C$9232,"Dầu thủy lực",TINH_TEC!$F$233:$F$9232,$B$2,TINH_TEC!$G$233:$G$9232,$D$2,TINH_TEC!$B$233:$B$9232,"Đã chốt"))</f>
        <v>0</v>
      </c>
      <c r="AK344" s="242">
        <f>IF($B344="","",SUMIFS(TINH_TEC!$J$233:$J$9232,TINH_TEC!$H$233:$H$9232,$B344,TINH_TEC!$C$233:$C$9232,"Dầu thủy lực",TINH_TEC!$F$233:$F$9232,$B$2,TINH_TEC!$G$233:$G$9232,$D$2,TINH_TEC!$B$233:$B$9232,"Đã chốt"))</f>
        <v>0</v>
      </c>
      <c r="AL344" s="242">
        <f t="shared" si="17"/>
        <v>0</v>
      </c>
    </row>
    <row r="345" ht="15.75" customHeight="1">
      <c r="A345" s="237">
        <f>IF($B345&lt;&gt;"",35,"")</f>
        <v>35</v>
      </c>
      <c r="B345" s="250" t="str">
        <f t="array" ref="B345">IFERROR(INDEX(DANH_MUC!$E:$E,38),"")</f>
        <v>28H00603</v>
      </c>
      <c r="C345" s="251">
        <f>IF(C$4&gt;DAY(EOMONTH(DATE($D$2,$B$2,1),0)),"",IFERROR(SUMIFS(DATA_GOC!$H:$H,DATA_GOC!$A:$A,"BOM",DATA_GOC!$D:$D,$B345,DATA_GOC!$E:$E,"Dầu thủy lực",DATA_GOC!$F:$F,"Xuất nội bộ từ téc",DATA_GOC!$B:$B,DATE($D$2,$B$2,C$4)),0))</f>
        <v>0</v>
      </c>
      <c r="D345" s="251">
        <f>IF(D$4&gt;DAY(EOMONTH(DATE($D$2,$B$2,1),0)),"",IFERROR(SUMIFS(DATA_GOC!$H:$H,DATA_GOC!$A:$A,"BOM",DATA_GOC!$D:$D,$B345,DATA_GOC!$E:$E,"Dầu thủy lực",DATA_GOC!$F:$F,"Xuất nội bộ từ téc",DATA_GOC!$B:$B,DATE($D$2,$B$2,D$4)),0))</f>
        <v>0</v>
      </c>
      <c r="E345" s="251">
        <f>IF(E$4&gt;DAY(EOMONTH(DATE($D$2,$B$2,1),0)),"",IFERROR(SUMIFS(DATA_GOC!$H:$H,DATA_GOC!$A:$A,"BOM",DATA_GOC!$D:$D,$B345,DATA_GOC!$E:$E,"Dầu thủy lực",DATA_GOC!$F:$F,"Xuất nội bộ từ téc",DATA_GOC!$B:$B,DATE($D$2,$B$2,E$4)),0))</f>
        <v>0</v>
      </c>
      <c r="F345" s="251">
        <f>IF(F$4&gt;DAY(EOMONTH(DATE($D$2,$B$2,1),0)),"",IFERROR(SUMIFS(DATA_GOC!$H:$H,DATA_GOC!$A:$A,"BOM",DATA_GOC!$D:$D,$B345,DATA_GOC!$E:$E,"Dầu thủy lực",DATA_GOC!$F:$F,"Xuất nội bộ từ téc",DATA_GOC!$B:$B,DATE($D$2,$B$2,F$4)),0))</f>
        <v>0</v>
      </c>
      <c r="G345" s="251">
        <f>IF(G$4&gt;DAY(EOMONTH(DATE($D$2,$B$2,1),0)),"",IFERROR(SUMIFS(DATA_GOC!$H:$H,DATA_GOC!$A:$A,"BOM",DATA_GOC!$D:$D,$B345,DATA_GOC!$E:$E,"Dầu thủy lực",DATA_GOC!$F:$F,"Xuất nội bộ từ téc",DATA_GOC!$B:$B,DATE($D$2,$B$2,G$4)),0))</f>
        <v>0</v>
      </c>
      <c r="H345" s="251">
        <f>IF(H$4&gt;DAY(EOMONTH(DATE($D$2,$B$2,1),0)),"",IFERROR(SUMIFS(DATA_GOC!$H:$H,DATA_GOC!$A:$A,"BOM",DATA_GOC!$D:$D,$B345,DATA_GOC!$E:$E,"Dầu thủy lực",DATA_GOC!$F:$F,"Xuất nội bộ từ téc",DATA_GOC!$B:$B,DATE($D$2,$B$2,H$4)),0))</f>
        <v>0</v>
      </c>
      <c r="I345" s="251">
        <f>IF(I$4&gt;DAY(EOMONTH(DATE($D$2,$B$2,1),0)),"",IFERROR(SUMIFS(DATA_GOC!$H:$H,DATA_GOC!$A:$A,"BOM",DATA_GOC!$D:$D,$B345,DATA_GOC!$E:$E,"Dầu thủy lực",DATA_GOC!$F:$F,"Xuất nội bộ từ téc",DATA_GOC!$B:$B,DATE($D$2,$B$2,I$4)),0))</f>
        <v>0</v>
      </c>
      <c r="J345" s="251">
        <f>IF(J$4&gt;DAY(EOMONTH(DATE($D$2,$B$2,1),0)),"",IFERROR(SUMIFS(DATA_GOC!$H:$H,DATA_GOC!$A:$A,"BOM",DATA_GOC!$D:$D,$B345,DATA_GOC!$E:$E,"Dầu thủy lực",DATA_GOC!$F:$F,"Xuất nội bộ từ téc",DATA_GOC!$B:$B,DATE($D$2,$B$2,J$4)),0))</f>
        <v>0</v>
      </c>
      <c r="K345" s="251">
        <f>IF(K$4&gt;DAY(EOMONTH(DATE($D$2,$B$2,1),0)),"",IFERROR(SUMIFS(DATA_GOC!$H:$H,DATA_GOC!$A:$A,"BOM",DATA_GOC!$D:$D,$B345,DATA_GOC!$E:$E,"Dầu thủy lực",DATA_GOC!$F:$F,"Xuất nội bộ từ téc",DATA_GOC!$B:$B,DATE($D$2,$B$2,K$4)),0))</f>
        <v>0</v>
      </c>
      <c r="L345" s="251">
        <f>IF(L$4&gt;DAY(EOMONTH(DATE($D$2,$B$2,1),0)),"",IFERROR(SUMIFS(DATA_GOC!$H:$H,DATA_GOC!$A:$A,"BOM",DATA_GOC!$D:$D,$B345,DATA_GOC!$E:$E,"Dầu thủy lực",DATA_GOC!$F:$F,"Xuất nội bộ từ téc",DATA_GOC!$B:$B,DATE($D$2,$B$2,L$4)),0))</f>
        <v>0</v>
      </c>
      <c r="M345" s="251">
        <f>IF(M$4&gt;DAY(EOMONTH(DATE($D$2,$B$2,1),0)),"",IFERROR(SUMIFS(DATA_GOC!$H:$H,DATA_GOC!$A:$A,"BOM",DATA_GOC!$D:$D,$B345,DATA_GOC!$E:$E,"Dầu thủy lực",DATA_GOC!$F:$F,"Xuất nội bộ từ téc",DATA_GOC!$B:$B,DATE($D$2,$B$2,M$4)),0))</f>
        <v>0</v>
      </c>
      <c r="N345" s="251">
        <f>IF(N$4&gt;DAY(EOMONTH(DATE($D$2,$B$2,1),0)),"",IFERROR(SUMIFS(DATA_GOC!$H:$H,DATA_GOC!$A:$A,"BOM",DATA_GOC!$D:$D,$B345,DATA_GOC!$E:$E,"Dầu thủy lực",DATA_GOC!$F:$F,"Xuất nội bộ từ téc",DATA_GOC!$B:$B,DATE($D$2,$B$2,N$4)),0))</f>
        <v>0</v>
      </c>
      <c r="O345" s="251">
        <f>IF(O$4&gt;DAY(EOMONTH(DATE($D$2,$B$2,1),0)),"",IFERROR(SUMIFS(DATA_GOC!$H:$H,DATA_GOC!$A:$A,"BOM",DATA_GOC!$D:$D,$B345,DATA_GOC!$E:$E,"Dầu thủy lực",DATA_GOC!$F:$F,"Xuất nội bộ từ téc",DATA_GOC!$B:$B,DATE($D$2,$B$2,O$4)),0))</f>
        <v>0</v>
      </c>
      <c r="P345" s="251">
        <f>IF(P$4&gt;DAY(EOMONTH(DATE($D$2,$B$2,1),0)),"",IFERROR(SUMIFS(DATA_GOC!$H:$H,DATA_GOC!$A:$A,"BOM",DATA_GOC!$D:$D,$B345,DATA_GOC!$E:$E,"Dầu thủy lực",DATA_GOC!$F:$F,"Xuất nội bộ từ téc",DATA_GOC!$B:$B,DATE($D$2,$B$2,P$4)),0))</f>
        <v>0</v>
      </c>
      <c r="Q345" s="251">
        <f>IF(Q$4&gt;DAY(EOMONTH(DATE($D$2,$B$2,1),0)),"",IFERROR(SUMIFS(DATA_GOC!$H:$H,DATA_GOC!$A:$A,"BOM",DATA_GOC!$D:$D,$B345,DATA_GOC!$E:$E,"Dầu thủy lực",DATA_GOC!$F:$F,"Xuất nội bộ từ téc",DATA_GOC!$B:$B,DATE($D$2,$B$2,Q$4)),0))</f>
        <v>0</v>
      </c>
      <c r="R345" s="251">
        <f>IF(R$4&gt;DAY(EOMONTH(DATE($D$2,$B$2,1),0)),"",IFERROR(SUMIFS(DATA_GOC!$H:$H,DATA_GOC!$A:$A,"BOM",DATA_GOC!$D:$D,$B345,DATA_GOC!$E:$E,"Dầu thủy lực",DATA_GOC!$F:$F,"Xuất nội bộ từ téc",DATA_GOC!$B:$B,DATE($D$2,$B$2,R$4)),0))</f>
        <v>0</v>
      </c>
      <c r="S345" s="251">
        <f>IF(S$4&gt;DAY(EOMONTH(DATE($D$2,$B$2,1),0)),"",IFERROR(SUMIFS(DATA_GOC!$H:$H,DATA_GOC!$A:$A,"BOM",DATA_GOC!$D:$D,$B345,DATA_GOC!$E:$E,"Dầu thủy lực",DATA_GOC!$F:$F,"Xuất nội bộ từ téc",DATA_GOC!$B:$B,DATE($D$2,$B$2,S$4)),0))</f>
        <v>0</v>
      </c>
      <c r="T345" s="251">
        <f>IF(T$4&gt;DAY(EOMONTH(DATE($D$2,$B$2,1),0)),"",IFERROR(SUMIFS(DATA_GOC!$H:$H,DATA_GOC!$A:$A,"BOM",DATA_GOC!$D:$D,$B345,DATA_GOC!$E:$E,"Dầu thủy lực",DATA_GOC!$F:$F,"Xuất nội bộ từ téc",DATA_GOC!$B:$B,DATE($D$2,$B$2,T$4)),0))</f>
        <v>0</v>
      </c>
      <c r="U345" s="251">
        <f>IF(U$4&gt;DAY(EOMONTH(DATE($D$2,$B$2,1),0)),"",IFERROR(SUMIFS(DATA_GOC!$H:$H,DATA_GOC!$A:$A,"BOM",DATA_GOC!$D:$D,$B345,DATA_GOC!$E:$E,"Dầu thủy lực",DATA_GOC!$F:$F,"Xuất nội bộ từ téc",DATA_GOC!$B:$B,DATE($D$2,$B$2,U$4)),0))</f>
        <v>0</v>
      </c>
      <c r="V345" s="251">
        <f>IF(V$4&gt;DAY(EOMONTH(DATE($D$2,$B$2,1),0)),"",IFERROR(SUMIFS(DATA_GOC!$H:$H,DATA_GOC!$A:$A,"BOM",DATA_GOC!$D:$D,$B345,DATA_GOC!$E:$E,"Dầu thủy lực",DATA_GOC!$F:$F,"Xuất nội bộ từ téc",DATA_GOC!$B:$B,DATE($D$2,$B$2,V$4)),0))</f>
        <v>0</v>
      </c>
      <c r="W345" s="251">
        <f>IF(W$4&gt;DAY(EOMONTH(DATE($D$2,$B$2,1),0)),"",IFERROR(SUMIFS(DATA_GOC!$H:$H,DATA_GOC!$A:$A,"BOM",DATA_GOC!$D:$D,$B345,DATA_GOC!$E:$E,"Dầu thủy lực",DATA_GOC!$F:$F,"Xuất nội bộ từ téc",DATA_GOC!$B:$B,DATE($D$2,$B$2,W$4)),0))</f>
        <v>0</v>
      </c>
      <c r="X345" s="251">
        <f>IF(X$4&gt;DAY(EOMONTH(DATE($D$2,$B$2,1),0)),"",IFERROR(SUMIFS(DATA_GOC!$H:$H,DATA_GOC!$A:$A,"BOM",DATA_GOC!$D:$D,$B345,DATA_GOC!$E:$E,"Dầu thủy lực",DATA_GOC!$F:$F,"Xuất nội bộ từ téc",DATA_GOC!$B:$B,DATE($D$2,$B$2,X$4)),0))</f>
        <v>0</v>
      </c>
      <c r="Y345" s="251">
        <f>IF(Y$4&gt;DAY(EOMONTH(DATE($D$2,$B$2,1),0)),"",IFERROR(SUMIFS(DATA_GOC!$H:$H,DATA_GOC!$A:$A,"BOM",DATA_GOC!$D:$D,$B345,DATA_GOC!$E:$E,"Dầu thủy lực",DATA_GOC!$F:$F,"Xuất nội bộ từ téc",DATA_GOC!$B:$B,DATE($D$2,$B$2,Y$4)),0))</f>
        <v>0</v>
      </c>
      <c r="Z345" s="251">
        <f>IF(Z$4&gt;DAY(EOMONTH(DATE($D$2,$B$2,1),0)),"",IFERROR(SUMIFS(DATA_GOC!$H:$H,DATA_GOC!$A:$A,"BOM",DATA_GOC!$D:$D,$B345,DATA_GOC!$E:$E,"Dầu thủy lực",DATA_GOC!$F:$F,"Xuất nội bộ từ téc",DATA_GOC!$B:$B,DATE($D$2,$B$2,Z$4)),0))</f>
        <v>0</v>
      </c>
      <c r="AA345" s="251">
        <f>IF(AA$4&gt;DAY(EOMONTH(DATE($D$2,$B$2,1),0)),"",IFERROR(SUMIFS(DATA_GOC!$H:$H,DATA_GOC!$A:$A,"BOM",DATA_GOC!$D:$D,$B345,DATA_GOC!$E:$E,"Dầu thủy lực",DATA_GOC!$F:$F,"Xuất nội bộ từ téc",DATA_GOC!$B:$B,DATE($D$2,$B$2,AA$4)),0))</f>
        <v>0</v>
      </c>
      <c r="AB345" s="251">
        <f>IF(AB$4&gt;DAY(EOMONTH(DATE($D$2,$B$2,1),0)),"",IFERROR(SUMIFS(DATA_GOC!$H:$H,DATA_GOC!$A:$A,"BOM",DATA_GOC!$D:$D,$B345,DATA_GOC!$E:$E,"Dầu thủy lực",DATA_GOC!$F:$F,"Xuất nội bộ từ téc",DATA_GOC!$B:$B,DATE($D$2,$B$2,AB$4)),0))</f>
        <v>0</v>
      </c>
      <c r="AC345" s="251">
        <f>IF(AC$4&gt;DAY(EOMONTH(DATE($D$2,$B$2,1),0)),"",IFERROR(SUMIFS(DATA_GOC!$H:$H,DATA_GOC!$A:$A,"BOM",DATA_GOC!$D:$D,$B345,DATA_GOC!$E:$E,"Dầu thủy lực",DATA_GOC!$F:$F,"Xuất nội bộ từ téc",DATA_GOC!$B:$B,DATE($D$2,$B$2,AC$4)),0))</f>
        <v>0</v>
      </c>
      <c r="AD345" s="251">
        <f>IF(AD$4&gt;DAY(EOMONTH(DATE($D$2,$B$2,1),0)),"",IFERROR(SUMIFS(DATA_GOC!$H:$H,DATA_GOC!$A:$A,"BOM",DATA_GOC!$D:$D,$B345,DATA_GOC!$E:$E,"Dầu thủy lực",DATA_GOC!$F:$F,"Xuất nội bộ từ téc",DATA_GOC!$B:$B,DATE($D$2,$B$2,AD$4)),0))</f>
        <v>0</v>
      </c>
      <c r="AE345" s="251">
        <f>IF(AE$4&gt;DAY(EOMONTH(DATE($D$2,$B$2,1),0)),"",IFERROR(SUMIFS(DATA_GOC!$H:$H,DATA_GOC!$A:$A,"BOM",DATA_GOC!$D:$D,$B345,DATA_GOC!$E:$E,"Dầu thủy lực",DATA_GOC!$F:$F,"Xuất nội bộ từ téc",DATA_GOC!$B:$B,DATE($D$2,$B$2,AE$4)),0))</f>
        <v>0</v>
      </c>
      <c r="AF345" s="251">
        <f>IF(AF$4&gt;DAY(EOMONTH(DATE($D$2,$B$2,1),0)),"",IFERROR(SUMIFS(DATA_GOC!$H:$H,DATA_GOC!$A:$A,"BOM",DATA_GOC!$D:$D,$B345,DATA_GOC!$E:$E,"Dầu thủy lực",DATA_GOC!$F:$F,"Xuất nội bộ từ téc",DATA_GOC!$B:$B,DATE($D$2,$B$2,AF$4)),0))</f>
        <v>0</v>
      </c>
      <c r="AG345" s="251">
        <f>IF(AG$4&gt;DAY(EOMONTH(DATE($D$2,$B$2,1),0)),"",IFERROR(SUMIFS(DATA_GOC!$H:$H,DATA_GOC!$A:$A,"BOM",DATA_GOC!$D:$D,$B345,DATA_GOC!$E:$E,"Dầu thủy lực",DATA_GOC!$F:$F,"Xuất nội bộ từ téc",DATA_GOC!$B:$B,DATE($D$2,$B$2,AG$4)),0))</f>
        <v>0</v>
      </c>
      <c r="AH345" s="252">
        <f t="shared" si="16"/>
        <v>0</v>
      </c>
      <c r="AI345" s="241"/>
      <c r="AJ345" s="242">
        <f>IF($B345="","",SUMIFS(TINH_TEC!$K$233:$K$9232,TINH_TEC!$H$233:$H$9232,$B345,TINH_TEC!$C$233:$C$9232,"Dầu thủy lực",TINH_TEC!$F$233:$F$9232,$B$2,TINH_TEC!$G$233:$G$9232,$D$2,TINH_TEC!$B$233:$B$9232,"Đã chốt"))</f>
        <v>0</v>
      </c>
      <c r="AK345" s="242">
        <f>IF($B345="","",SUMIFS(TINH_TEC!$J$233:$J$9232,TINH_TEC!$H$233:$H$9232,$B345,TINH_TEC!$C$233:$C$9232,"Dầu thủy lực",TINH_TEC!$F$233:$F$9232,$B$2,TINH_TEC!$G$233:$G$9232,$D$2,TINH_TEC!$B$233:$B$9232,"Đã chốt"))</f>
        <v>0</v>
      </c>
      <c r="AL345" s="242">
        <f t="shared" si="17"/>
        <v>0</v>
      </c>
    </row>
    <row r="346" ht="15.75" customHeight="1">
      <c r="A346" s="237">
        <f>IF($B346&lt;&gt;"",36,"")</f>
        <v>36</v>
      </c>
      <c r="B346" s="250" t="str">
        <f t="array" ref="B346">IFERROR(INDEX(DANH_MUC!$E:$E,39),"")</f>
        <v>28H00609</v>
      </c>
      <c r="C346" s="251">
        <f>IF(C$4&gt;DAY(EOMONTH(DATE($D$2,$B$2,1),0)),"",IFERROR(SUMIFS(DATA_GOC!$H:$H,DATA_GOC!$A:$A,"BOM",DATA_GOC!$D:$D,$B346,DATA_GOC!$E:$E,"Dầu thủy lực",DATA_GOC!$F:$F,"Xuất nội bộ từ téc",DATA_GOC!$B:$B,DATE($D$2,$B$2,C$4)),0))</f>
        <v>0</v>
      </c>
      <c r="D346" s="251">
        <f>IF(D$4&gt;DAY(EOMONTH(DATE($D$2,$B$2,1),0)),"",IFERROR(SUMIFS(DATA_GOC!$H:$H,DATA_GOC!$A:$A,"BOM",DATA_GOC!$D:$D,$B346,DATA_GOC!$E:$E,"Dầu thủy lực",DATA_GOC!$F:$F,"Xuất nội bộ từ téc",DATA_GOC!$B:$B,DATE($D$2,$B$2,D$4)),0))</f>
        <v>0</v>
      </c>
      <c r="E346" s="251">
        <f>IF(E$4&gt;DAY(EOMONTH(DATE($D$2,$B$2,1),0)),"",IFERROR(SUMIFS(DATA_GOC!$H:$H,DATA_GOC!$A:$A,"BOM",DATA_GOC!$D:$D,$B346,DATA_GOC!$E:$E,"Dầu thủy lực",DATA_GOC!$F:$F,"Xuất nội bộ từ téc",DATA_GOC!$B:$B,DATE($D$2,$B$2,E$4)),0))</f>
        <v>0</v>
      </c>
      <c r="F346" s="251">
        <f>IF(F$4&gt;DAY(EOMONTH(DATE($D$2,$B$2,1),0)),"",IFERROR(SUMIFS(DATA_GOC!$H:$H,DATA_GOC!$A:$A,"BOM",DATA_GOC!$D:$D,$B346,DATA_GOC!$E:$E,"Dầu thủy lực",DATA_GOC!$F:$F,"Xuất nội bộ từ téc",DATA_GOC!$B:$B,DATE($D$2,$B$2,F$4)),0))</f>
        <v>0</v>
      </c>
      <c r="G346" s="251">
        <f>IF(G$4&gt;DAY(EOMONTH(DATE($D$2,$B$2,1),0)),"",IFERROR(SUMIFS(DATA_GOC!$H:$H,DATA_GOC!$A:$A,"BOM",DATA_GOC!$D:$D,$B346,DATA_GOC!$E:$E,"Dầu thủy lực",DATA_GOC!$F:$F,"Xuất nội bộ từ téc",DATA_GOC!$B:$B,DATE($D$2,$B$2,G$4)),0))</f>
        <v>0</v>
      </c>
      <c r="H346" s="251">
        <f>IF(H$4&gt;DAY(EOMONTH(DATE($D$2,$B$2,1),0)),"",IFERROR(SUMIFS(DATA_GOC!$H:$H,DATA_GOC!$A:$A,"BOM",DATA_GOC!$D:$D,$B346,DATA_GOC!$E:$E,"Dầu thủy lực",DATA_GOC!$F:$F,"Xuất nội bộ từ téc",DATA_GOC!$B:$B,DATE($D$2,$B$2,H$4)),0))</f>
        <v>0</v>
      </c>
      <c r="I346" s="251">
        <f>IF(I$4&gt;DAY(EOMONTH(DATE($D$2,$B$2,1),0)),"",IFERROR(SUMIFS(DATA_GOC!$H:$H,DATA_GOC!$A:$A,"BOM",DATA_GOC!$D:$D,$B346,DATA_GOC!$E:$E,"Dầu thủy lực",DATA_GOC!$F:$F,"Xuất nội bộ từ téc",DATA_GOC!$B:$B,DATE($D$2,$B$2,I$4)),0))</f>
        <v>0</v>
      </c>
      <c r="J346" s="251">
        <f>IF(J$4&gt;DAY(EOMONTH(DATE($D$2,$B$2,1),0)),"",IFERROR(SUMIFS(DATA_GOC!$H:$H,DATA_GOC!$A:$A,"BOM",DATA_GOC!$D:$D,$B346,DATA_GOC!$E:$E,"Dầu thủy lực",DATA_GOC!$F:$F,"Xuất nội bộ từ téc",DATA_GOC!$B:$B,DATE($D$2,$B$2,J$4)),0))</f>
        <v>0</v>
      </c>
      <c r="K346" s="251">
        <f>IF(K$4&gt;DAY(EOMONTH(DATE($D$2,$B$2,1),0)),"",IFERROR(SUMIFS(DATA_GOC!$H:$H,DATA_GOC!$A:$A,"BOM",DATA_GOC!$D:$D,$B346,DATA_GOC!$E:$E,"Dầu thủy lực",DATA_GOC!$F:$F,"Xuất nội bộ từ téc",DATA_GOC!$B:$B,DATE($D$2,$B$2,K$4)),0))</f>
        <v>0</v>
      </c>
      <c r="L346" s="251">
        <f>IF(L$4&gt;DAY(EOMONTH(DATE($D$2,$B$2,1),0)),"",IFERROR(SUMIFS(DATA_GOC!$H:$H,DATA_GOC!$A:$A,"BOM",DATA_GOC!$D:$D,$B346,DATA_GOC!$E:$E,"Dầu thủy lực",DATA_GOC!$F:$F,"Xuất nội bộ từ téc",DATA_GOC!$B:$B,DATE($D$2,$B$2,L$4)),0))</f>
        <v>0</v>
      </c>
      <c r="M346" s="251">
        <f>IF(M$4&gt;DAY(EOMONTH(DATE($D$2,$B$2,1),0)),"",IFERROR(SUMIFS(DATA_GOC!$H:$H,DATA_GOC!$A:$A,"BOM",DATA_GOC!$D:$D,$B346,DATA_GOC!$E:$E,"Dầu thủy lực",DATA_GOC!$F:$F,"Xuất nội bộ từ téc",DATA_GOC!$B:$B,DATE($D$2,$B$2,M$4)),0))</f>
        <v>0</v>
      </c>
      <c r="N346" s="251">
        <f>IF(N$4&gt;DAY(EOMONTH(DATE($D$2,$B$2,1),0)),"",IFERROR(SUMIFS(DATA_GOC!$H:$H,DATA_GOC!$A:$A,"BOM",DATA_GOC!$D:$D,$B346,DATA_GOC!$E:$E,"Dầu thủy lực",DATA_GOC!$F:$F,"Xuất nội bộ từ téc",DATA_GOC!$B:$B,DATE($D$2,$B$2,N$4)),0))</f>
        <v>0</v>
      </c>
      <c r="O346" s="251">
        <f>IF(O$4&gt;DAY(EOMONTH(DATE($D$2,$B$2,1),0)),"",IFERROR(SUMIFS(DATA_GOC!$H:$H,DATA_GOC!$A:$A,"BOM",DATA_GOC!$D:$D,$B346,DATA_GOC!$E:$E,"Dầu thủy lực",DATA_GOC!$F:$F,"Xuất nội bộ từ téc",DATA_GOC!$B:$B,DATE($D$2,$B$2,O$4)),0))</f>
        <v>0</v>
      </c>
      <c r="P346" s="251">
        <f>IF(P$4&gt;DAY(EOMONTH(DATE($D$2,$B$2,1),0)),"",IFERROR(SUMIFS(DATA_GOC!$H:$H,DATA_GOC!$A:$A,"BOM",DATA_GOC!$D:$D,$B346,DATA_GOC!$E:$E,"Dầu thủy lực",DATA_GOC!$F:$F,"Xuất nội bộ từ téc",DATA_GOC!$B:$B,DATE($D$2,$B$2,P$4)),0))</f>
        <v>0</v>
      </c>
      <c r="Q346" s="251">
        <f>IF(Q$4&gt;DAY(EOMONTH(DATE($D$2,$B$2,1),0)),"",IFERROR(SUMIFS(DATA_GOC!$H:$H,DATA_GOC!$A:$A,"BOM",DATA_GOC!$D:$D,$B346,DATA_GOC!$E:$E,"Dầu thủy lực",DATA_GOC!$F:$F,"Xuất nội bộ từ téc",DATA_GOC!$B:$B,DATE($D$2,$B$2,Q$4)),0))</f>
        <v>0</v>
      </c>
      <c r="R346" s="251">
        <f>IF(R$4&gt;DAY(EOMONTH(DATE($D$2,$B$2,1),0)),"",IFERROR(SUMIFS(DATA_GOC!$H:$H,DATA_GOC!$A:$A,"BOM",DATA_GOC!$D:$D,$B346,DATA_GOC!$E:$E,"Dầu thủy lực",DATA_GOC!$F:$F,"Xuất nội bộ từ téc",DATA_GOC!$B:$B,DATE($D$2,$B$2,R$4)),0))</f>
        <v>0</v>
      </c>
      <c r="S346" s="251">
        <f>IF(S$4&gt;DAY(EOMONTH(DATE($D$2,$B$2,1),0)),"",IFERROR(SUMIFS(DATA_GOC!$H:$H,DATA_GOC!$A:$A,"BOM",DATA_GOC!$D:$D,$B346,DATA_GOC!$E:$E,"Dầu thủy lực",DATA_GOC!$F:$F,"Xuất nội bộ từ téc",DATA_GOC!$B:$B,DATE($D$2,$B$2,S$4)),0))</f>
        <v>0</v>
      </c>
      <c r="T346" s="251">
        <f>IF(T$4&gt;DAY(EOMONTH(DATE($D$2,$B$2,1),0)),"",IFERROR(SUMIFS(DATA_GOC!$H:$H,DATA_GOC!$A:$A,"BOM",DATA_GOC!$D:$D,$B346,DATA_GOC!$E:$E,"Dầu thủy lực",DATA_GOC!$F:$F,"Xuất nội bộ từ téc",DATA_GOC!$B:$B,DATE($D$2,$B$2,T$4)),0))</f>
        <v>0</v>
      </c>
      <c r="U346" s="251">
        <f>IF(U$4&gt;DAY(EOMONTH(DATE($D$2,$B$2,1),0)),"",IFERROR(SUMIFS(DATA_GOC!$H:$H,DATA_GOC!$A:$A,"BOM",DATA_GOC!$D:$D,$B346,DATA_GOC!$E:$E,"Dầu thủy lực",DATA_GOC!$F:$F,"Xuất nội bộ từ téc",DATA_GOC!$B:$B,DATE($D$2,$B$2,U$4)),0))</f>
        <v>0</v>
      </c>
      <c r="V346" s="251">
        <f>IF(V$4&gt;DAY(EOMONTH(DATE($D$2,$B$2,1),0)),"",IFERROR(SUMIFS(DATA_GOC!$H:$H,DATA_GOC!$A:$A,"BOM",DATA_GOC!$D:$D,$B346,DATA_GOC!$E:$E,"Dầu thủy lực",DATA_GOC!$F:$F,"Xuất nội bộ từ téc",DATA_GOC!$B:$B,DATE($D$2,$B$2,V$4)),0))</f>
        <v>0</v>
      </c>
      <c r="W346" s="251">
        <f>IF(W$4&gt;DAY(EOMONTH(DATE($D$2,$B$2,1),0)),"",IFERROR(SUMIFS(DATA_GOC!$H:$H,DATA_GOC!$A:$A,"BOM",DATA_GOC!$D:$D,$B346,DATA_GOC!$E:$E,"Dầu thủy lực",DATA_GOC!$F:$F,"Xuất nội bộ từ téc",DATA_GOC!$B:$B,DATE($D$2,$B$2,W$4)),0))</f>
        <v>0</v>
      </c>
      <c r="X346" s="251">
        <f>IF(X$4&gt;DAY(EOMONTH(DATE($D$2,$B$2,1),0)),"",IFERROR(SUMIFS(DATA_GOC!$H:$H,DATA_GOC!$A:$A,"BOM",DATA_GOC!$D:$D,$B346,DATA_GOC!$E:$E,"Dầu thủy lực",DATA_GOC!$F:$F,"Xuất nội bộ từ téc",DATA_GOC!$B:$B,DATE($D$2,$B$2,X$4)),0))</f>
        <v>0</v>
      </c>
      <c r="Y346" s="251">
        <f>IF(Y$4&gt;DAY(EOMONTH(DATE($D$2,$B$2,1),0)),"",IFERROR(SUMIFS(DATA_GOC!$H:$H,DATA_GOC!$A:$A,"BOM",DATA_GOC!$D:$D,$B346,DATA_GOC!$E:$E,"Dầu thủy lực",DATA_GOC!$F:$F,"Xuất nội bộ từ téc",DATA_GOC!$B:$B,DATE($D$2,$B$2,Y$4)),0))</f>
        <v>0</v>
      </c>
      <c r="Z346" s="251">
        <f>IF(Z$4&gt;DAY(EOMONTH(DATE($D$2,$B$2,1),0)),"",IFERROR(SUMIFS(DATA_GOC!$H:$H,DATA_GOC!$A:$A,"BOM",DATA_GOC!$D:$D,$B346,DATA_GOC!$E:$E,"Dầu thủy lực",DATA_GOC!$F:$F,"Xuất nội bộ từ téc",DATA_GOC!$B:$B,DATE($D$2,$B$2,Z$4)),0))</f>
        <v>0</v>
      </c>
      <c r="AA346" s="251">
        <f>IF(AA$4&gt;DAY(EOMONTH(DATE($D$2,$B$2,1),0)),"",IFERROR(SUMIFS(DATA_GOC!$H:$H,DATA_GOC!$A:$A,"BOM",DATA_GOC!$D:$D,$B346,DATA_GOC!$E:$E,"Dầu thủy lực",DATA_GOC!$F:$F,"Xuất nội bộ từ téc",DATA_GOC!$B:$B,DATE($D$2,$B$2,AA$4)),0))</f>
        <v>0</v>
      </c>
      <c r="AB346" s="251">
        <f>IF(AB$4&gt;DAY(EOMONTH(DATE($D$2,$B$2,1),0)),"",IFERROR(SUMIFS(DATA_GOC!$H:$H,DATA_GOC!$A:$A,"BOM",DATA_GOC!$D:$D,$B346,DATA_GOC!$E:$E,"Dầu thủy lực",DATA_GOC!$F:$F,"Xuất nội bộ từ téc",DATA_GOC!$B:$B,DATE($D$2,$B$2,AB$4)),0))</f>
        <v>0</v>
      </c>
      <c r="AC346" s="251">
        <f>IF(AC$4&gt;DAY(EOMONTH(DATE($D$2,$B$2,1),0)),"",IFERROR(SUMIFS(DATA_GOC!$H:$H,DATA_GOC!$A:$A,"BOM",DATA_GOC!$D:$D,$B346,DATA_GOC!$E:$E,"Dầu thủy lực",DATA_GOC!$F:$F,"Xuất nội bộ từ téc",DATA_GOC!$B:$B,DATE($D$2,$B$2,AC$4)),0))</f>
        <v>0</v>
      </c>
      <c r="AD346" s="251">
        <f>IF(AD$4&gt;DAY(EOMONTH(DATE($D$2,$B$2,1),0)),"",IFERROR(SUMIFS(DATA_GOC!$H:$H,DATA_GOC!$A:$A,"BOM",DATA_GOC!$D:$D,$B346,DATA_GOC!$E:$E,"Dầu thủy lực",DATA_GOC!$F:$F,"Xuất nội bộ từ téc",DATA_GOC!$B:$B,DATE($D$2,$B$2,AD$4)),0))</f>
        <v>0</v>
      </c>
      <c r="AE346" s="251">
        <f>IF(AE$4&gt;DAY(EOMONTH(DATE($D$2,$B$2,1),0)),"",IFERROR(SUMIFS(DATA_GOC!$H:$H,DATA_GOC!$A:$A,"BOM",DATA_GOC!$D:$D,$B346,DATA_GOC!$E:$E,"Dầu thủy lực",DATA_GOC!$F:$F,"Xuất nội bộ từ téc",DATA_GOC!$B:$B,DATE($D$2,$B$2,AE$4)),0))</f>
        <v>0</v>
      </c>
      <c r="AF346" s="251">
        <f>IF(AF$4&gt;DAY(EOMONTH(DATE($D$2,$B$2,1),0)),"",IFERROR(SUMIFS(DATA_GOC!$H:$H,DATA_GOC!$A:$A,"BOM",DATA_GOC!$D:$D,$B346,DATA_GOC!$E:$E,"Dầu thủy lực",DATA_GOC!$F:$F,"Xuất nội bộ từ téc",DATA_GOC!$B:$B,DATE($D$2,$B$2,AF$4)),0))</f>
        <v>0</v>
      </c>
      <c r="AG346" s="251">
        <f>IF(AG$4&gt;DAY(EOMONTH(DATE($D$2,$B$2,1),0)),"",IFERROR(SUMIFS(DATA_GOC!$H:$H,DATA_GOC!$A:$A,"BOM",DATA_GOC!$D:$D,$B346,DATA_GOC!$E:$E,"Dầu thủy lực",DATA_GOC!$F:$F,"Xuất nội bộ từ téc",DATA_GOC!$B:$B,DATE($D$2,$B$2,AG$4)),0))</f>
        <v>0</v>
      </c>
      <c r="AH346" s="252">
        <f t="shared" si="16"/>
        <v>0</v>
      </c>
      <c r="AI346" s="241"/>
      <c r="AJ346" s="242">
        <f>IF($B346="","",SUMIFS(TINH_TEC!$K$233:$K$9232,TINH_TEC!$H$233:$H$9232,$B346,TINH_TEC!$C$233:$C$9232,"Dầu thủy lực",TINH_TEC!$F$233:$F$9232,$B$2,TINH_TEC!$G$233:$G$9232,$D$2,TINH_TEC!$B$233:$B$9232,"Đã chốt"))</f>
        <v>0</v>
      </c>
      <c r="AK346" s="242">
        <f>IF($B346="","",SUMIFS(TINH_TEC!$J$233:$J$9232,TINH_TEC!$H$233:$H$9232,$B346,TINH_TEC!$C$233:$C$9232,"Dầu thủy lực",TINH_TEC!$F$233:$F$9232,$B$2,TINH_TEC!$G$233:$G$9232,$D$2,TINH_TEC!$B$233:$B$9232,"Đã chốt"))</f>
        <v>0</v>
      </c>
      <c r="AL346" s="242">
        <f t="shared" si="17"/>
        <v>0</v>
      </c>
    </row>
    <row r="347" ht="15.75" customHeight="1">
      <c r="A347" s="237">
        <f>IF($B347&lt;&gt;"",37,"")</f>
        <v>37</v>
      </c>
      <c r="B347" s="250" t="str">
        <f t="array" ref="B347">IFERROR(INDEX(DANH_MUC!$E:$E,40),"")</f>
        <v>28H00669</v>
      </c>
      <c r="C347" s="251">
        <f>IF(C$4&gt;DAY(EOMONTH(DATE($D$2,$B$2,1),0)),"",IFERROR(SUMIFS(DATA_GOC!$H:$H,DATA_GOC!$A:$A,"BOM",DATA_GOC!$D:$D,$B347,DATA_GOC!$E:$E,"Dầu thủy lực",DATA_GOC!$F:$F,"Xuất nội bộ từ téc",DATA_GOC!$B:$B,DATE($D$2,$B$2,C$4)),0))</f>
        <v>0</v>
      </c>
      <c r="D347" s="251">
        <f>IF(D$4&gt;DAY(EOMONTH(DATE($D$2,$B$2,1),0)),"",IFERROR(SUMIFS(DATA_GOC!$H:$H,DATA_GOC!$A:$A,"BOM",DATA_GOC!$D:$D,$B347,DATA_GOC!$E:$E,"Dầu thủy lực",DATA_GOC!$F:$F,"Xuất nội bộ từ téc",DATA_GOC!$B:$B,DATE($D$2,$B$2,D$4)),0))</f>
        <v>0</v>
      </c>
      <c r="E347" s="251">
        <f>IF(E$4&gt;DAY(EOMONTH(DATE($D$2,$B$2,1),0)),"",IFERROR(SUMIFS(DATA_GOC!$H:$H,DATA_GOC!$A:$A,"BOM",DATA_GOC!$D:$D,$B347,DATA_GOC!$E:$E,"Dầu thủy lực",DATA_GOC!$F:$F,"Xuất nội bộ từ téc",DATA_GOC!$B:$B,DATE($D$2,$B$2,E$4)),0))</f>
        <v>0</v>
      </c>
      <c r="F347" s="251">
        <f>IF(F$4&gt;DAY(EOMONTH(DATE($D$2,$B$2,1),0)),"",IFERROR(SUMIFS(DATA_GOC!$H:$H,DATA_GOC!$A:$A,"BOM",DATA_GOC!$D:$D,$B347,DATA_GOC!$E:$E,"Dầu thủy lực",DATA_GOC!$F:$F,"Xuất nội bộ từ téc",DATA_GOC!$B:$B,DATE($D$2,$B$2,F$4)),0))</f>
        <v>0</v>
      </c>
      <c r="G347" s="251">
        <f>IF(G$4&gt;DAY(EOMONTH(DATE($D$2,$B$2,1),0)),"",IFERROR(SUMIFS(DATA_GOC!$H:$H,DATA_GOC!$A:$A,"BOM",DATA_GOC!$D:$D,$B347,DATA_GOC!$E:$E,"Dầu thủy lực",DATA_GOC!$F:$F,"Xuất nội bộ từ téc",DATA_GOC!$B:$B,DATE($D$2,$B$2,G$4)),0))</f>
        <v>0</v>
      </c>
      <c r="H347" s="251">
        <f>IF(H$4&gt;DAY(EOMONTH(DATE($D$2,$B$2,1),0)),"",IFERROR(SUMIFS(DATA_GOC!$H:$H,DATA_GOC!$A:$A,"BOM",DATA_GOC!$D:$D,$B347,DATA_GOC!$E:$E,"Dầu thủy lực",DATA_GOC!$F:$F,"Xuất nội bộ từ téc",DATA_GOC!$B:$B,DATE($D$2,$B$2,H$4)),0))</f>
        <v>0</v>
      </c>
      <c r="I347" s="251">
        <f>IF(I$4&gt;DAY(EOMONTH(DATE($D$2,$B$2,1),0)),"",IFERROR(SUMIFS(DATA_GOC!$H:$H,DATA_GOC!$A:$A,"BOM",DATA_GOC!$D:$D,$B347,DATA_GOC!$E:$E,"Dầu thủy lực",DATA_GOC!$F:$F,"Xuất nội bộ từ téc",DATA_GOC!$B:$B,DATE($D$2,$B$2,I$4)),0))</f>
        <v>0</v>
      </c>
      <c r="J347" s="251">
        <f>IF(J$4&gt;DAY(EOMONTH(DATE($D$2,$B$2,1),0)),"",IFERROR(SUMIFS(DATA_GOC!$H:$H,DATA_GOC!$A:$A,"BOM",DATA_GOC!$D:$D,$B347,DATA_GOC!$E:$E,"Dầu thủy lực",DATA_GOC!$F:$F,"Xuất nội bộ từ téc",DATA_GOC!$B:$B,DATE($D$2,$B$2,J$4)),0))</f>
        <v>0</v>
      </c>
      <c r="K347" s="251">
        <f>IF(K$4&gt;DAY(EOMONTH(DATE($D$2,$B$2,1),0)),"",IFERROR(SUMIFS(DATA_GOC!$H:$H,DATA_GOC!$A:$A,"BOM",DATA_GOC!$D:$D,$B347,DATA_GOC!$E:$E,"Dầu thủy lực",DATA_GOC!$F:$F,"Xuất nội bộ từ téc",DATA_GOC!$B:$B,DATE($D$2,$B$2,K$4)),0))</f>
        <v>0</v>
      </c>
      <c r="L347" s="251">
        <f>IF(L$4&gt;DAY(EOMONTH(DATE($D$2,$B$2,1),0)),"",IFERROR(SUMIFS(DATA_GOC!$H:$H,DATA_GOC!$A:$A,"BOM",DATA_GOC!$D:$D,$B347,DATA_GOC!$E:$E,"Dầu thủy lực",DATA_GOC!$F:$F,"Xuất nội bộ từ téc",DATA_GOC!$B:$B,DATE($D$2,$B$2,L$4)),0))</f>
        <v>0</v>
      </c>
      <c r="M347" s="251">
        <f>IF(M$4&gt;DAY(EOMONTH(DATE($D$2,$B$2,1),0)),"",IFERROR(SUMIFS(DATA_GOC!$H:$H,DATA_GOC!$A:$A,"BOM",DATA_GOC!$D:$D,$B347,DATA_GOC!$E:$E,"Dầu thủy lực",DATA_GOC!$F:$F,"Xuất nội bộ từ téc",DATA_GOC!$B:$B,DATE($D$2,$B$2,M$4)),0))</f>
        <v>0</v>
      </c>
      <c r="N347" s="251">
        <f>IF(N$4&gt;DAY(EOMONTH(DATE($D$2,$B$2,1),0)),"",IFERROR(SUMIFS(DATA_GOC!$H:$H,DATA_GOC!$A:$A,"BOM",DATA_GOC!$D:$D,$B347,DATA_GOC!$E:$E,"Dầu thủy lực",DATA_GOC!$F:$F,"Xuất nội bộ từ téc",DATA_GOC!$B:$B,DATE($D$2,$B$2,N$4)),0))</f>
        <v>0</v>
      </c>
      <c r="O347" s="251">
        <f>IF(O$4&gt;DAY(EOMONTH(DATE($D$2,$B$2,1),0)),"",IFERROR(SUMIFS(DATA_GOC!$H:$H,DATA_GOC!$A:$A,"BOM",DATA_GOC!$D:$D,$B347,DATA_GOC!$E:$E,"Dầu thủy lực",DATA_GOC!$F:$F,"Xuất nội bộ từ téc",DATA_GOC!$B:$B,DATE($D$2,$B$2,O$4)),0))</f>
        <v>0</v>
      </c>
      <c r="P347" s="251">
        <f>IF(P$4&gt;DAY(EOMONTH(DATE($D$2,$B$2,1),0)),"",IFERROR(SUMIFS(DATA_GOC!$H:$H,DATA_GOC!$A:$A,"BOM",DATA_GOC!$D:$D,$B347,DATA_GOC!$E:$E,"Dầu thủy lực",DATA_GOC!$F:$F,"Xuất nội bộ từ téc",DATA_GOC!$B:$B,DATE($D$2,$B$2,P$4)),0))</f>
        <v>0</v>
      </c>
      <c r="Q347" s="251">
        <f>IF(Q$4&gt;DAY(EOMONTH(DATE($D$2,$B$2,1),0)),"",IFERROR(SUMIFS(DATA_GOC!$H:$H,DATA_GOC!$A:$A,"BOM",DATA_GOC!$D:$D,$B347,DATA_GOC!$E:$E,"Dầu thủy lực",DATA_GOC!$F:$F,"Xuất nội bộ từ téc",DATA_GOC!$B:$B,DATE($D$2,$B$2,Q$4)),0))</f>
        <v>0</v>
      </c>
      <c r="R347" s="251">
        <f>IF(R$4&gt;DAY(EOMONTH(DATE($D$2,$B$2,1),0)),"",IFERROR(SUMIFS(DATA_GOC!$H:$H,DATA_GOC!$A:$A,"BOM",DATA_GOC!$D:$D,$B347,DATA_GOC!$E:$E,"Dầu thủy lực",DATA_GOC!$F:$F,"Xuất nội bộ từ téc",DATA_GOC!$B:$B,DATE($D$2,$B$2,R$4)),0))</f>
        <v>0</v>
      </c>
      <c r="S347" s="251">
        <f>IF(S$4&gt;DAY(EOMONTH(DATE($D$2,$B$2,1),0)),"",IFERROR(SUMIFS(DATA_GOC!$H:$H,DATA_GOC!$A:$A,"BOM",DATA_GOC!$D:$D,$B347,DATA_GOC!$E:$E,"Dầu thủy lực",DATA_GOC!$F:$F,"Xuất nội bộ từ téc",DATA_GOC!$B:$B,DATE($D$2,$B$2,S$4)),0))</f>
        <v>0</v>
      </c>
      <c r="T347" s="251">
        <f>IF(T$4&gt;DAY(EOMONTH(DATE($D$2,$B$2,1),0)),"",IFERROR(SUMIFS(DATA_GOC!$H:$H,DATA_GOC!$A:$A,"BOM",DATA_GOC!$D:$D,$B347,DATA_GOC!$E:$E,"Dầu thủy lực",DATA_GOC!$F:$F,"Xuất nội bộ từ téc",DATA_GOC!$B:$B,DATE($D$2,$B$2,T$4)),0))</f>
        <v>0</v>
      </c>
      <c r="U347" s="251">
        <f>IF(U$4&gt;DAY(EOMONTH(DATE($D$2,$B$2,1),0)),"",IFERROR(SUMIFS(DATA_GOC!$H:$H,DATA_GOC!$A:$A,"BOM",DATA_GOC!$D:$D,$B347,DATA_GOC!$E:$E,"Dầu thủy lực",DATA_GOC!$F:$F,"Xuất nội bộ từ téc",DATA_GOC!$B:$B,DATE($D$2,$B$2,U$4)),0))</f>
        <v>0</v>
      </c>
      <c r="V347" s="251">
        <f>IF(V$4&gt;DAY(EOMONTH(DATE($D$2,$B$2,1),0)),"",IFERROR(SUMIFS(DATA_GOC!$H:$H,DATA_GOC!$A:$A,"BOM",DATA_GOC!$D:$D,$B347,DATA_GOC!$E:$E,"Dầu thủy lực",DATA_GOC!$F:$F,"Xuất nội bộ từ téc",DATA_GOC!$B:$B,DATE($D$2,$B$2,V$4)),0))</f>
        <v>0</v>
      </c>
      <c r="W347" s="251">
        <f>IF(W$4&gt;DAY(EOMONTH(DATE($D$2,$B$2,1),0)),"",IFERROR(SUMIFS(DATA_GOC!$H:$H,DATA_GOC!$A:$A,"BOM",DATA_GOC!$D:$D,$B347,DATA_GOC!$E:$E,"Dầu thủy lực",DATA_GOC!$F:$F,"Xuất nội bộ từ téc",DATA_GOC!$B:$B,DATE($D$2,$B$2,W$4)),0))</f>
        <v>0</v>
      </c>
      <c r="X347" s="251">
        <f>IF(X$4&gt;DAY(EOMONTH(DATE($D$2,$B$2,1),0)),"",IFERROR(SUMIFS(DATA_GOC!$H:$H,DATA_GOC!$A:$A,"BOM",DATA_GOC!$D:$D,$B347,DATA_GOC!$E:$E,"Dầu thủy lực",DATA_GOC!$F:$F,"Xuất nội bộ từ téc",DATA_GOC!$B:$B,DATE($D$2,$B$2,X$4)),0))</f>
        <v>0</v>
      </c>
      <c r="Y347" s="251">
        <f>IF(Y$4&gt;DAY(EOMONTH(DATE($D$2,$B$2,1),0)),"",IFERROR(SUMIFS(DATA_GOC!$H:$H,DATA_GOC!$A:$A,"BOM",DATA_GOC!$D:$D,$B347,DATA_GOC!$E:$E,"Dầu thủy lực",DATA_GOC!$F:$F,"Xuất nội bộ từ téc",DATA_GOC!$B:$B,DATE($D$2,$B$2,Y$4)),0))</f>
        <v>0</v>
      </c>
      <c r="Z347" s="251">
        <f>IF(Z$4&gt;DAY(EOMONTH(DATE($D$2,$B$2,1),0)),"",IFERROR(SUMIFS(DATA_GOC!$H:$H,DATA_GOC!$A:$A,"BOM",DATA_GOC!$D:$D,$B347,DATA_GOC!$E:$E,"Dầu thủy lực",DATA_GOC!$F:$F,"Xuất nội bộ từ téc",DATA_GOC!$B:$B,DATE($D$2,$B$2,Z$4)),0))</f>
        <v>0</v>
      </c>
      <c r="AA347" s="251">
        <f>IF(AA$4&gt;DAY(EOMONTH(DATE($D$2,$B$2,1),0)),"",IFERROR(SUMIFS(DATA_GOC!$H:$H,DATA_GOC!$A:$A,"BOM",DATA_GOC!$D:$D,$B347,DATA_GOC!$E:$E,"Dầu thủy lực",DATA_GOC!$F:$F,"Xuất nội bộ từ téc",DATA_GOC!$B:$B,DATE($D$2,$B$2,AA$4)),0))</f>
        <v>0</v>
      </c>
      <c r="AB347" s="251">
        <f>IF(AB$4&gt;DAY(EOMONTH(DATE($D$2,$B$2,1),0)),"",IFERROR(SUMIFS(DATA_GOC!$H:$H,DATA_GOC!$A:$A,"BOM",DATA_GOC!$D:$D,$B347,DATA_GOC!$E:$E,"Dầu thủy lực",DATA_GOC!$F:$F,"Xuất nội bộ từ téc",DATA_GOC!$B:$B,DATE($D$2,$B$2,AB$4)),0))</f>
        <v>0</v>
      </c>
      <c r="AC347" s="251">
        <f>IF(AC$4&gt;DAY(EOMONTH(DATE($D$2,$B$2,1),0)),"",IFERROR(SUMIFS(DATA_GOC!$H:$H,DATA_GOC!$A:$A,"BOM",DATA_GOC!$D:$D,$B347,DATA_GOC!$E:$E,"Dầu thủy lực",DATA_GOC!$F:$F,"Xuất nội bộ từ téc",DATA_GOC!$B:$B,DATE($D$2,$B$2,AC$4)),0))</f>
        <v>0</v>
      </c>
      <c r="AD347" s="251">
        <f>IF(AD$4&gt;DAY(EOMONTH(DATE($D$2,$B$2,1),0)),"",IFERROR(SUMIFS(DATA_GOC!$H:$H,DATA_GOC!$A:$A,"BOM",DATA_GOC!$D:$D,$B347,DATA_GOC!$E:$E,"Dầu thủy lực",DATA_GOC!$F:$F,"Xuất nội bộ từ téc",DATA_GOC!$B:$B,DATE($D$2,$B$2,AD$4)),0))</f>
        <v>0</v>
      </c>
      <c r="AE347" s="251">
        <f>IF(AE$4&gt;DAY(EOMONTH(DATE($D$2,$B$2,1),0)),"",IFERROR(SUMIFS(DATA_GOC!$H:$H,DATA_GOC!$A:$A,"BOM",DATA_GOC!$D:$D,$B347,DATA_GOC!$E:$E,"Dầu thủy lực",DATA_GOC!$F:$F,"Xuất nội bộ từ téc",DATA_GOC!$B:$B,DATE($D$2,$B$2,AE$4)),0))</f>
        <v>0</v>
      </c>
      <c r="AF347" s="251">
        <f>IF(AF$4&gt;DAY(EOMONTH(DATE($D$2,$B$2,1),0)),"",IFERROR(SUMIFS(DATA_GOC!$H:$H,DATA_GOC!$A:$A,"BOM",DATA_GOC!$D:$D,$B347,DATA_GOC!$E:$E,"Dầu thủy lực",DATA_GOC!$F:$F,"Xuất nội bộ từ téc",DATA_GOC!$B:$B,DATE($D$2,$B$2,AF$4)),0))</f>
        <v>0</v>
      </c>
      <c r="AG347" s="251">
        <f>IF(AG$4&gt;DAY(EOMONTH(DATE($D$2,$B$2,1),0)),"",IFERROR(SUMIFS(DATA_GOC!$H:$H,DATA_GOC!$A:$A,"BOM",DATA_GOC!$D:$D,$B347,DATA_GOC!$E:$E,"Dầu thủy lực",DATA_GOC!$F:$F,"Xuất nội bộ từ téc",DATA_GOC!$B:$B,DATE($D$2,$B$2,AG$4)),0))</f>
        <v>0</v>
      </c>
      <c r="AH347" s="252">
        <f t="shared" si="16"/>
        <v>0</v>
      </c>
      <c r="AI347" s="241"/>
      <c r="AJ347" s="242">
        <f>IF($B347="","",SUMIFS(TINH_TEC!$K$233:$K$9232,TINH_TEC!$H$233:$H$9232,$B347,TINH_TEC!$C$233:$C$9232,"Dầu thủy lực",TINH_TEC!$F$233:$F$9232,$B$2,TINH_TEC!$G$233:$G$9232,$D$2,TINH_TEC!$B$233:$B$9232,"Đã chốt"))</f>
        <v>0</v>
      </c>
      <c r="AK347" s="242">
        <f>IF($B347="","",SUMIFS(TINH_TEC!$J$233:$J$9232,TINH_TEC!$H$233:$H$9232,$B347,TINH_TEC!$C$233:$C$9232,"Dầu thủy lực",TINH_TEC!$F$233:$F$9232,$B$2,TINH_TEC!$G$233:$G$9232,$D$2,TINH_TEC!$B$233:$B$9232,"Đã chốt"))</f>
        <v>0</v>
      </c>
      <c r="AL347" s="242">
        <f t="shared" si="17"/>
        <v>0</v>
      </c>
    </row>
    <row r="348" ht="15.75" customHeight="1">
      <c r="A348" s="237">
        <f>IF($B348&lt;&gt;"",38,"")</f>
        <v>38</v>
      </c>
      <c r="B348" s="250" t="str">
        <f t="array" ref="B348">IFERROR(INDEX(DANH_MUC!$E:$E,41),"")</f>
        <v>28H00680</v>
      </c>
      <c r="C348" s="251">
        <f>IF(C$4&gt;DAY(EOMONTH(DATE($D$2,$B$2,1),0)),"",IFERROR(SUMIFS(DATA_GOC!$H:$H,DATA_GOC!$A:$A,"BOM",DATA_GOC!$D:$D,$B348,DATA_GOC!$E:$E,"Dầu thủy lực",DATA_GOC!$F:$F,"Xuất nội bộ từ téc",DATA_GOC!$B:$B,DATE($D$2,$B$2,C$4)),0))</f>
        <v>0</v>
      </c>
      <c r="D348" s="251">
        <f>IF(D$4&gt;DAY(EOMONTH(DATE($D$2,$B$2,1),0)),"",IFERROR(SUMIFS(DATA_GOC!$H:$H,DATA_GOC!$A:$A,"BOM",DATA_GOC!$D:$D,$B348,DATA_GOC!$E:$E,"Dầu thủy lực",DATA_GOC!$F:$F,"Xuất nội bộ từ téc",DATA_GOC!$B:$B,DATE($D$2,$B$2,D$4)),0))</f>
        <v>0</v>
      </c>
      <c r="E348" s="251">
        <f>IF(E$4&gt;DAY(EOMONTH(DATE($D$2,$B$2,1),0)),"",IFERROR(SUMIFS(DATA_GOC!$H:$H,DATA_GOC!$A:$A,"BOM",DATA_GOC!$D:$D,$B348,DATA_GOC!$E:$E,"Dầu thủy lực",DATA_GOC!$F:$F,"Xuất nội bộ từ téc",DATA_GOC!$B:$B,DATE($D$2,$B$2,E$4)),0))</f>
        <v>0</v>
      </c>
      <c r="F348" s="251">
        <f>IF(F$4&gt;DAY(EOMONTH(DATE($D$2,$B$2,1),0)),"",IFERROR(SUMIFS(DATA_GOC!$H:$H,DATA_GOC!$A:$A,"BOM",DATA_GOC!$D:$D,$B348,DATA_GOC!$E:$E,"Dầu thủy lực",DATA_GOC!$F:$F,"Xuất nội bộ từ téc",DATA_GOC!$B:$B,DATE($D$2,$B$2,F$4)),0))</f>
        <v>0</v>
      </c>
      <c r="G348" s="251">
        <f>IF(G$4&gt;DAY(EOMONTH(DATE($D$2,$B$2,1),0)),"",IFERROR(SUMIFS(DATA_GOC!$H:$H,DATA_GOC!$A:$A,"BOM",DATA_GOC!$D:$D,$B348,DATA_GOC!$E:$E,"Dầu thủy lực",DATA_GOC!$F:$F,"Xuất nội bộ từ téc",DATA_GOC!$B:$B,DATE($D$2,$B$2,G$4)),0))</f>
        <v>0</v>
      </c>
      <c r="H348" s="251">
        <f>IF(H$4&gt;DAY(EOMONTH(DATE($D$2,$B$2,1),0)),"",IFERROR(SUMIFS(DATA_GOC!$H:$H,DATA_GOC!$A:$A,"BOM",DATA_GOC!$D:$D,$B348,DATA_GOC!$E:$E,"Dầu thủy lực",DATA_GOC!$F:$F,"Xuất nội bộ từ téc",DATA_GOC!$B:$B,DATE($D$2,$B$2,H$4)),0))</f>
        <v>0</v>
      </c>
      <c r="I348" s="251">
        <f>IF(I$4&gt;DAY(EOMONTH(DATE($D$2,$B$2,1),0)),"",IFERROR(SUMIFS(DATA_GOC!$H:$H,DATA_GOC!$A:$A,"BOM",DATA_GOC!$D:$D,$B348,DATA_GOC!$E:$E,"Dầu thủy lực",DATA_GOC!$F:$F,"Xuất nội bộ từ téc",DATA_GOC!$B:$B,DATE($D$2,$B$2,I$4)),0))</f>
        <v>0</v>
      </c>
      <c r="J348" s="251">
        <f>IF(J$4&gt;DAY(EOMONTH(DATE($D$2,$B$2,1),0)),"",IFERROR(SUMIFS(DATA_GOC!$H:$H,DATA_GOC!$A:$A,"BOM",DATA_GOC!$D:$D,$B348,DATA_GOC!$E:$E,"Dầu thủy lực",DATA_GOC!$F:$F,"Xuất nội bộ từ téc",DATA_GOC!$B:$B,DATE($D$2,$B$2,J$4)),0))</f>
        <v>0</v>
      </c>
      <c r="K348" s="251">
        <f>IF(K$4&gt;DAY(EOMONTH(DATE($D$2,$B$2,1),0)),"",IFERROR(SUMIFS(DATA_GOC!$H:$H,DATA_GOC!$A:$A,"BOM",DATA_GOC!$D:$D,$B348,DATA_GOC!$E:$E,"Dầu thủy lực",DATA_GOC!$F:$F,"Xuất nội bộ từ téc",DATA_GOC!$B:$B,DATE($D$2,$B$2,K$4)),0))</f>
        <v>0</v>
      </c>
      <c r="L348" s="251">
        <f>IF(L$4&gt;DAY(EOMONTH(DATE($D$2,$B$2,1),0)),"",IFERROR(SUMIFS(DATA_GOC!$H:$H,DATA_GOC!$A:$A,"BOM",DATA_GOC!$D:$D,$B348,DATA_GOC!$E:$E,"Dầu thủy lực",DATA_GOC!$F:$F,"Xuất nội bộ từ téc",DATA_GOC!$B:$B,DATE($D$2,$B$2,L$4)),0))</f>
        <v>0</v>
      </c>
      <c r="M348" s="251">
        <f>IF(M$4&gt;DAY(EOMONTH(DATE($D$2,$B$2,1),0)),"",IFERROR(SUMIFS(DATA_GOC!$H:$H,DATA_GOC!$A:$A,"BOM",DATA_GOC!$D:$D,$B348,DATA_GOC!$E:$E,"Dầu thủy lực",DATA_GOC!$F:$F,"Xuất nội bộ từ téc",DATA_GOC!$B:$B,DATE($D$2,$B$2,M$4)),0))</f>
        <v>0</v>
      </c>
      <c r="N348" s="251">
        <f>IF(N$4&gt;DAY(EOMONTH(DATE($D$2,$B$2,1),0)),"",IFERROR(SUMIFS(DATA_GOC!$H:$H,DATA_GOC!$A:$A,"BOM",DATA_GOC!$D:$D,$B348,DATA_GOC!$E:$E,"Dầu thủy lực",DATA_GOC!$F:$F,"Xuất nội bộ từ téc",DATA_GOC!$B:$B,DATE($D$2,$B$2,N$4)),0))</f>
        <v>0</v>
      </c>
      <c r="O348" s="251">
        <f>IF(O$4&gt;DAY(EOMONTH(DATE($D$2,$B$2,1),0)),"",IFERROR(SUMIFS(DATA_GOC!$H:$H,DATA_GOC!$A:$A,"BOM",DATA_GOC!$D:$D,$B348,DATA_GOC!$E:$E,"Dầu thủy lực",DATA_GOC!$F:$F,"Xuất nội bộ từ téc",DATA_GOC!$B:$B,DATE($D$2,$B$2,O$4)),0))</f>
        <v>0</v>
      </c>
      <c r="P348" s="251">
        <f>IF(P$4&gt;DAY(EOMONTH(DATE($D$2,$B$2,1),0)),"",IFERROR(SUMIFS(DATA_GOC!$H:$H,DATA_GOC!$A:$A,"BOM",DATA_GOC!$D:$D,$B348,DATA_GOC!$E:$E,"Dầu thủy lực",DATA_GOC!$F:$F,"Xuất nội bộ từ téc",DATA_GOC!$B:$B,DATE($D$2,$B$2,P$4)),0))</f>
        <v>0</v>
      </c>
      <c r="Q348" s="251">
        <f>IF(Q$4&gt;DAY(EOMONTH(DATE($D$2,$B$2,1),0)),"",IFERROR(SUMIFS(DATA_GOC!$H:$H,DATA_GOC!$A:$A,"BOM",DATA_GOC!$D:$D,$B348,DATA_GOC!$E:$E,"Dầu thủy lực",DATA_GOC!$F:$F,"Xuất nội bộ từ téc",DATA_GOC!$B:$B,DATE($D$2,$B$2,Q$4)),0))</f>
        <v>0</v>
      </c>
      <c r="R348" s="251">
        <f>IF(R$4&gt;DAY(EOMONTH(DATE($D$2,$B$2,1),0)),"",IFERROR(SUMIFS(DATA_GOC!$H:$H,DATA_GOC!$A:$A,"BOM",DATA_GOC!$D:$D,$B348,DATA_GOC!$E:$E,"Dầu thủy lực",DATA_GOC!$F:$F,"Xuất nội bộ từ téc",DATA_GOC!$B:$B,DATE($D$2,$B$2,R$4)),0))</f>
        <v>0</v>
      </c>
      <c r="S348" s="251">
        <f>IF(S$4&gt;DAY(EOMONTH(DATE($D$2,$B$2,1),0)),"",IFERROR(SUMIFS(DATA_GOC!$H:$H,DATA_GOC!$A:$A,"BOM",DATA_GOC!$D:$D,$B348,DATA_GOC!$E:$E,"Dầu thủy lực",DATA_GOC!$F:$F,"Xuất nội bộ từ téc",DATA_GOC!$B:$B,DATE($D$2,$B$2,S$4)),0))</f>
        <v>0</v>
      </c>
      <c r="T348" s="251">
        <f>IF(T$4&gt;DAY(EOMONTH(DATE($D$2,$B$2,1),0)),"",IFERROR(SUMIFS(DATA_GOC!$H:$H,DATA_GOC!$A:$A,"BOM",DATA_GOC!$D:$D,$B348,DATA_GOC!$E:$E,"Dầu thủy lực",DATA_GOC!$F:$F,"Xuất nội bộ từ téc",DATA_GOC!$B:$B,DATE($D$2,$B$2,T$4)),0))</f>
        <v>0</v>
      </c>
      <c r="U348" s="251">
        <f>IF(U$4&gt;DAY(EOMONTH(DATE($D$2,$B$2,1),0)),"",IFERROR(SUMIFS(DATA_GOC!$H:$H,DATA_GOC!$A:$A,"BOM",DATA_GOC!$D:$D,$B348,DATA_GOC!$E:$E,"Dầu thủy lực",DATA_GOC!$F:$F,"Xuất nội bộ từ téc",DATA_GOC!$B:$B,DATE($D$2,$B$2,U$4)),0))</f>
        <v>0</v>
      </c>
      <c r="V348" s="251">
        <f>IF(V$4&gt;DAY(EOMONTH(DATE($D$2,$B$2,1),0)),"",IFERROR(SUMIFS(DATA_GOC!$H:$H,DATA_GOC!$A:$A,"BOM",DATA_GOC!$D:$D,$B348,DATA_GOC!$E:$E,"Dầu thủy lực",DATA_GOC!$F:$F,"Xuất nội bộ từ téc",DATA_GOC!$B:$B,DATE($D$2,$B$2,V$4)),0))</f>
        <v>0</v>
      </c>
      <c r="W348" s="251">
        <f>IF(W$4&gt;DAY(EOMONTH(DATE($D$2,$B$2,1),0)),"",IFERROR(SUMIFS(DATA_GOC!$H:$H,DATA_GOC!$A:$A,"BOM",DATA_GOC!$D:$D,$B348,DATA_GOC!$E:$E,"Dầu thủy lực",DATA_GOC!$F:$F,"Xuất nội bộ từ téc",DATA_GOC!$B:$B,DATE($D$2,$B$2,W$4)),0))</f>
        <v>0</v>
      </c>
      <c r="X348" s="251">
        <f>IF(X$4&gt;DAY(EOMONTH(DATE($D$2,$B$2,1),0)),"",IFERROR(SUMIFS(DATA_GOC!$H:$H,DATA_GOC!$A:$A,"BOM",DATA_GOC!$D:$D,$B348,DATA_GOC!$E:$E,"Dầu thủy lực",DATA_GOC!$F:$F,"Xuất nội bộ từ téc",DATA_GOC!$B:$B,DATE($D$2,$B$2,X$4)),0))</f>
        <v>0</v>
      </c>
      <c r="Y348" s="251">
        <f>IF(Y$4&gt;DAY(EOMONTH(DATE($D$2,$B$2,1),0)),"",IFERROR(SUMIFS(DATA_GOC!$H:$H,DATA_GOC!$A:$A,"BOM",DATA_GOC!$D:$D,$B348,DATA_GOC!$E:$E,"Dầu thủy lực",DATA_GOC!$F:$F,"Xuất nội bộ từ téc",DATA_GOC!$B:$B,DATE($D$2,$B$2,Y$4)),0))</f>
        <v>0</v>
      </c>
      <c r="Z348" s="251">
        <f>IF(Z$4&gt;DAY(EOMONTH(DATE($D$2,$B$2,1),0)),"",IFERROR(SUMIFS(DATA_GOC!$H:$H,DATA_GOC!$A:$A,"BOM",DATA_GOC!$D:$D,$B348,DATA_GOC!$E:$E,"Dầu thủy lực",DATA_GOC!$F:$F,"Xuất nội bộ từ téc",DATA_GOC!$B:$B,DATE($D$2,$B$2,Z$4)),0))</f>
        <v>0</v>
      </c>
      <c r="AA348" s="251">
        <f>IF(AA$4&gt;DAY(EOMONTH(DATE($D$2,$B$2,1),0)),"",IFERROR(SUMIFS(DATA_GOC!$H:$H,DATA_GOC!$A:$A,"BOM",DATA_GOC!$D:$D,$B348,DATA_GOC!$E:$E,"Dầu thủy lực",DATA_GOC!$F:$F,"Xuất nội bộ từ téc",DATA_GOC!$B:$B,DATE($D$2,$B$2,AA$4)),0))</f>
        <v>0</v>
      </c>
      <c r="AB348" s="251">
        <f>IF(AB$4&gt;DAY(EOMONTH(DATE($D$2,$B$2,1),0)),"",IFERROR(SUMIFS(DATA_GOC!$H:$H,DATA_GOC!$A:$A,"BOM",DATA_GOC!$D:$D,$B348,DATA_GOC!$E:$E,"Dầu thủy lực",DATA_GOC!$F:$F,"Xuất nội bộ từ téc",DATA_GOC!$B:$B,DATE($D$2,$B$2,AB$4)),0))</f>
        <v>0</v>
      </c>
      <c r="AC348" s="251">
        <f>IF(AC$4&gt;DAY(EOMONTH(DATE($D$2,$B$2,1),0)),"",IFERROR(SUMIFS(DATA_GOC!$H:$H,DATA_GOC!$A:$A,"BOM",DATA_GOC!$D:$D,$B348,DATA_GOC!$E:$E,"Dầu thủy lực",DATA_GOC!$F:$F,"Xuất nội bộ từ téc",DATA_GOC!$B:$B,DATE($D$2,$B$2,AC$4)),0))</f>
        <v>0</v>
      </c>
      <c r="AD348" s="251">
        <f>IF(AD$4&gt;DAY(EOMONTH(DATE($D$2,$B$2,1),0)),"",IFERROR(SUMIFS(DATA_GOC!$H:$H,DATA_GOC!$A:$A,"BOM",DATA_GOC!$D:$D,$B348,DATA_GOC!$E:$E,"Dầu thủy lực",DATA_GOC!$F:$F,"Xuất nội bộ từ téc",DATA_GOC!$B:$B,DATE($D$2,$B$2,AD$4)),0))</f>
        <v>0</v>
      </c>
      <c r="AE348" s="251">
        <f>IF(AE$4&gt;DAY(EOMONTH(DATE($D$2,$B$2,1),0)),"",IFERROR(SUMIFS(DATA_GOC!$H:$H,DATA_GOC!$A:$A,"BOM",DATA_GOC!$D:$D,$B348,DATA_GOC!$E:$E,"Dầu thủy lực",DATA_GOC!$F:$F,"Xuất nội bộ từ téc",DATA_GOC!$B:$B,DATE($D$2,$B$2,AE$4)),0))</f>
        <v>0</v>
      </c>
      <c r="AF348" s="251">
        <f>IF(AF$4&gt;DAY(EOMONTH(DATE($D$2,$B$2,1),0)),"",IFERROR(SUMIFS(DATA_GOC!$H:$H,DATA_GOC!$A:$A,"BOM",DATA_GOC!$D:$D,$B348,DATA_GOC!$E:$E,"Dầu thủy lực",DATA_GOC!$F:$F,"Xuất nội bộ từ téc",DATA_GOC!$B:$B,DATE($D$2,$B$2,AF$4)),0))</f>
        <v>0</v>
      </c>
      <c r="AG348" s="251">
        <f>IF(AG$4&gt;DAY(EOMONTH(DATE($D$2,$B$2,1),0)),"",IFERROR(SUMIFS(DATA_GOC!$H:$H,DATA_GOC!$A:$A,"BOM",DATA_GOC!$D:$D,$B348,DATA_GOC!$E:$E,"Dầu thủy lực",DATA_GOC!$F:$F,"Xuất nội bộ từ téc",DATA_GOC!$B:$B,DATE($D$2,$B$2,AG$4)),0))</f>
        <v>0</v>
      </c>
      <c r="AH348" s="252">
        <f t="shared" si="16"/>
        <v>0</v>
      </c>
      <c r="AI348" s="241"/>
      <c r="AJ348" s="242">
        <f>IF($B348="","",SUMIFS(TINH_TEC!$K$233:$K$9232,TINH_TEC!$H$233:$H$9232,$B348,TINH_TEC!$C$233:$C$9232,"Dầu thủy lực",TINH_TEC!$F$233:$F$9232,$B$2,TINH_TEC!$G$233:$G$9232,$D$2,TINH_TEC!$B$233:$B$9232,"Đã chốt"))</f>
        <v>0</v>
      </c>
      <c r="AK348" s="242">
        <f>IF($B348="","",SUMIFS(TINH_TEC!$J$233:$J$9232,TINH_TEC!$H$233:$H$9232,$B348,TINH_TEC!$C$233:$C$9232,"Dầu thủy lực",TINH_TEC!$F$233:$F$9232,$B$2,TINH_TEC!$G$233:$G$9232,$D$2,TINH_TEC!$B$233:$B$9232,"Đã chốt"))</f>
        <v>0</v>
      </c>
      <c r="AL348" s="242">
        <f t="shared" si="17"/>
        <v>0</v>
      </c>
    </row>
    <row r="349" ht="15.75" customHeight="1">
      <c r="A349" s="237">
        <f>IF($B349&lt;&gt;"",39,"")</f>
        <v>39</v>
      </c>
      <c r="B349" s="250" t="str">
        <f t="array" ref="B349">IFERROR(INDEX(DANH_MUC!$E:$E,42),"")</f>
        <v>28H01070</v>
      </c>
      <c r="C349" s="251">
        <f>IF(C$4&gt;DAY(EOMONTH(DATE($D$2,$B$2,1),0)),"",IFERROR(SUMIFS(DATA_GOC!$H:$H,DATA_GOC!$A:$A,"BOM",DATA_GOC!$D:$D,$B349,DATA_GOC!$E:$E,"Dầu thủy lực",DATA_GOC!$F:$F,"Xuất nội bộ từ téc",DATA_GOC!$B:$B,DATE($D$2,$B$2,C$4)),0))</f>
        <v>0</v>
      </c>
      <c r="D349" s="251">
        <f>IF(D$4&gt;DAY(EOMONTH(DATE($D$2,$B$2,1),0)),"",IFERROR(SUMIFS(DATA_GOC!$H:$H,DATA_GOC!$A:$A,"BOM",DATA_GOC!$D:$D,$B349,DATA_GOC!$E:$E,"Dầu thủy lực",DATA_GOC!$F:$F,"Xuất nội bộ từ téc",DATA_GOC!$B:$B,DATE($D$2,$B$2,D$4)),0))</f>
        <v>0</v>
      </c>
      <c r="E349" s="251">
        <f>IF(E$4&gt;DAY(EOMONTH(DATE($D$2,$B$2,1),0)),"",IFERROR(SUMIFS(DATA_GOC!$H:$H,DATA_GOC!$A:$A,"BOM",DATA_GOC!$D:$D,$B349,DATA_GOC!$E:$E,"Dầu thủy lực",DATA_GOC!$F:$F,"Xuất nội bộ từ téc",DATA_GOC!$B:$B,DATE($D$2,$B$2,E$4)),0))</f>
        <v>0</v>
      </c>
      <c r="F349" s="251">
        <f>IF(F$4&gt;DAY(EOMONTH(DATE($D$2,$B$2,1),0)),"",IFERROR(SUMIFS(DATA_GOC!$H:$H,DATA_GOC!$A:$A,"BOM",DATA_GOC!$D:$D,$B349,DATA_GOC!$E:$E,"Dầu thủy lực",DATA_GOC!$F:$F,"Xuất nội bộ từ téc",DATA_GOC!$B:$B,DATE($D$2,$B$2,F$4)),0))</f>
        <v>0</v>
      </c>
      <c r="G349" s="251">
        <f>IF(G$4&gt;DAY(EOMONTH(DATE($D$2,$B$2,1),0)),"",IFERROR(SUMIFS(DATA_GOC!$H:$H,DATA_GOC!$A:$A,"BOM",DATA_GOC!$D:$D,$B349,DATA_GOC!$E:$E,"Dầu thủy lực",DATA_GOC!$F:$F,"Xuất nội bộ từ téc",DATA_GOC!$B:$B,DATE($D$2,$B$2,G$4)),0))</f>
        <v>0</v>
      </c>
      <c r="H349" s="251">
        <f>IF(H$4&gt;DAY(EOMONTH(DATE($D$2,$B$2,1),0)),"",IFERROR(SUMIFS(DATA_GOC!$H:$H,DATA_GOC!$A:$A,"BOM",DATA_GOC!$D:$D,$B349,DATA_GOC!$E:$E,"Dầu thủy lực",DATA_GOC!$F:$F,"Xuất nội bộ từ téc",DATA_GOC!$B:$B,DATE($D$2,$B$2,H$4)),0))</f>
        <v>0</v>
      </c>
      <c r="I349" s="251">
        <f>IF(I$4&gt;DAY(EOMONTH(DATE($D$2,$B$2,1),0)),"",IFERROR(SUMIFS(DATA_GOC!$H:$H,DATA_GOC!$A:$A,"BOM",DATA_GOC!$D:$D,$B349,DATA_GOC!$E:$E,"Dầu thủy lực",DATA_GOC!$F:$F,"Xuất nội bộ từ téc",DATA_GOC!$B:$B,DATE($D$2,$B$2,I$4)),0))</f>
        <v>0</v>
      </c>
      <c r="J349" s="251">
        <f>IF(J$4&gt;DAY(EOMONTH(DATE($D$2,$B$2,1),0)),"",IFERROR(SUMIFS(DATA_GOC!$H:$H,DATA_GOC!$A:$A,"BOM",DATA_GOC!$D:$D,$B349,DATA_GOC!$E:$E,"Dầu thủy lực",DATA_GOC!$F:$F,"Xuất nội bộ từ téc",DATA_GOC!$B:$B,DATE($D$2,$B$2,J$4)),0))</f>
        <v>0</v>
      </c>
      <c r="K349" s="251">
        <f>IF(K$4&gt;DAY(EOMONTH(DATE($D$2,$B$2,1),0)),"",IFERROR(SUMIFS(DATA_GOC!$H:$H,DATA_GOC!$A:$A,"BOM",DATA_GOC!$D:$D,$B349,DATA_GOC!$E:$E,"Dầu thủy lực",DATA_GOC!$F:$F,"Xuất nội bộ từ téc",DATA_GOC!$B:$B,DATE($D$2,$B$2,K$4)),0))</f>
        <v>0</v>
      </c>
      <c r="L349" s="251">
        <f>IF(L$4&gt;DAY(EOMONTH(DATE($D$2,$B$2,1),0)),"",IFERROR(SUMIFS(DATA_GOC!$H:$H,DATA_GOC!$A:$A,"BOM",DATA_GOC!$D:$D,$B349,DATA_GOC!$E:$E,"Dầu thủy lực",DATA_GOC!$F:$F,"Xuất nội bộ từ téc",DATA_GOC!$B:$B,DATE($D$2,$B$2,L$4)),0))</f>
        <v>0</v>
      </c>
      <c r="M349" s="251">
        <f>IF(M$4&gt;DAY(EOMONTH(DATE($D$2,$B$2,1),0)),"",IFERROR(SUMIFS(DATA_GOC!$H:$H,DATA_GOC!$A:$A,"BOM",DATA_GOC!$D:$D,$B349,DATA_GOC!$E:$E,"Dầu thủy lực",DATA_GOC!$F:$F,"Xuất nội bộ từ téc",DATA_GOC!$B:$B,DATE($D$2,$B$2,M$4)),0))</f>
        <v>0</v>
      </c>
      <c r="N349" s="251">
        <f>IF(N$4&gt;DAY(EOMONTH(DATE($D$2,$B$2,1),0)),"",IFERROR(SUMIFS(DATA_GOC!$H:$H,DATA_GOC!$A:$A,"BOM",DATA_GOC!$D:$D,$B349,DATA_GOC!$E:$E,"Dầu thủy lực",DATA_GOC!$F:$F,"Xuất nội bộ từ téc",DATA_GOC!$B:$B,DATE($D$2,$B$2,N$4)),0))</f>
        <v>0</v>
      </c>
      <c r="O349" s="251">
        <f>IF(O$4&gt;DAY(EOMONTH(DATE($D$2,$B$2,1),0)),"",IFERROR(SUMIFS(DATA_GOC!$H:$H,DATA_GOC!$A:$A,"BOM",DATA_GOC!$D:$D,$B349,DATA_GOC!$E:$E,"Dầu thủy lực",DATA_GOC!$F:$F,"Xuất nội bộ từ téc",DATA_GOC!$B:$B,DATE($D$2,$B$2,O$4)),0))</f>
        <v>0</v>
      </c>
      <c r="P349" s="251">
        <f>IF(P$4&gt;DAY(EOMONTH(DATE($D$2,$B$2,1),0)),"",IFERROR(SUMIFS(DATA_GOC!$H:$H,DATA_GOC!$A:$A,"BOM",DATA_GOC!$D:$D,$B349,DATA_GOC!$E:$E,"Dầu thủy lực",DATA_GOC!$F:$F,"Xuất nội bộ từ téc",DATA_GOC!$B:$B,DATE($D$2,$B$2,P$4)),0))</f>
        <v>0</v>
      </c>
      <c r="Q349" s="251">
        <f>IF(Q$4&gt;DAY(EOMONTH(DATE($D$2,$B$2,1),0)),"",IFERROR(SUMIFS(DATA_GOC!$H:$H,DATA_GOC!$A:$A,"BOM",DATA_GOC!$D:$D,$B349,DATA_GOC!$E:$E,"Dầu thủy lực",DATA_GOC!$F:$F,"Xuất nội bộ từ téc",DATA_GOC!$B:$B,DATE($D$2,$B$2,Q$4)),0))</f>
        <v>0</v>
      </c>
      <c r="R349" s="251">
        <f>IF(R$4&gt;DAY(EOMONTH(DATE($D$2,$B$2,1),0)),"",IFERROR(SUMIFS(DATA_GOC!$H:$H,DATA_GOC!$A:$A,"BOM",DATA_GOC!$D:$D,$B349,DATA_GOC!$E:$E,"Dầu thủy lực",DATA_GOC!$F:$F,"Xuất nội bộ từ téc",DATA_GOC!$B:$B,DATE($D$2,$B$2,R$4)),0))</f>
        <v>0</v>
      </c>
      <c r="S349" s="251">
        <f>IF(S$4&gt;DAY(EOMONTH(DATE($D$2,$B$2,1),0)),"",IFERROR(SUMIFS(DATA_GOC!$H:$H,DATA_GOC!$A:$A,"BOM",DATA_GOC!$D:$D,$B349,DATA_GOC!$E:$E,"Dầu thủy lực",DATA_GOC!$F:$F,"Xuất nội bộ từ téc",DATA_GOC!$B:$B,DATE($D$2,$B$2,S$4)),0))</f>
        <v>0</v>
      </c>
      <c r="T349" s="251">
        <f>IF(T$4&gt;DAY(EOMONTH(DATE($D$2,$B$2,1),0)),"",IFERROR(SUMIFS(DATA_GOC!$H:$H,DATA_GOC!$A:$A,"BOM",DATA_GOC!$D:$D,$B349,DATA_GOC!$E:$E,"Dầu thủy lực",DATA_GOC!$F:$F,"Xuất nội bộ từ téc",DATA_GOC!$B:$B,DATE($D$2,$B$2,T$4)),0))</f>
        <v>0</v>
      </c>
      <c r="U349" s="251">
        <f>IF(U$4&gt;DAY(EOMONTH(DATE($D$2,$B$2,1),0)),"",IFERROR(SUMIFS(DATA_GOC!$H:$H,DATA_GOC!$A:$A,"BOM",DATA_GOC!$D:$D,$B349,DATA_GOC!$E:$E,"Dầu thủy lực",DATA_GOC!$F:$F,"Xuất nội bộ từ téc",DATA_GOC!$B:$B,DATE($D$2,$B$2,U$4)),0))</f>
        <v>0</v>
      </c>
      <c r="V349" s="251">
        <f>IF(V$4&gt;DAY(EOMONTH(DATE($D$2,$B$2,1),0)),"",IFERROR(SUMIFS(DATA_GOC!$H:$H,DATA_GOC!$A:$A,"BOM",DATA_GOC!$D:$D,$B349,DATA_GOC!$E:$E,"Dầu thủy lực",DATA_GOC!$F:$F,"Xuất nội bộ từ téc",DATA_GOC!$B:$B,DATE($D$2,$B$2,V$4)),0))</f>
        <v>0</v>
      </c>
      <c r="W349" s="251">
        <f>IF(W$4&gt;DAY(EOMONTH(DATE($D$2,$B$2,1),0)),"",IFERROR(SUMIFS(DATA_GOC!$H:$H,DATA_GOC!$A:$A,"BOM",DATA_GOC!$D:$D,$B349,DATA_GOC!$E:$E,"Dầu thủy lực",DATA_GOC!$F:$F,"Xuất nội bộ từ téc",DATA_GOC!$B:$B,DATE($D$2,$B$2,W$4)),0))</f>
        <v>0</v>
      </c>
      <c r="X349" s="251">
        <f>IF(X$4&gt;DAY(EOMONTH(DATE($D$2,$B$2,1),0)),"",IFERROR(SUMIFS(DATA_GOC!$H:$H,DATA_GOC!$A:$A,"BOM",DATA_GOC!$D:$D,$B349,DATA_GOC!$E:$E,"Dầu thủy lực",DATA_GOC!$F:$F,"Xuất nội bộ từ téc",DATA_GOC!$B:$B,DATE($D$2,$B$2,X$4)),0))</f>
        <v>0</v>
      </c>
      <c r="Y349" s="251">
        <f>IF(Y$4&gt;DAY(EOMONTH(DATE($D$2,$B$2,1),0)),"",IFERROR(SUMIFS(DATA_GOC!$H:$H,DATA_GOC!$A:$A,"BOM",DATA_GOC!$D:$D,$B349,DATA_GOC!$E:$E,"Dầu thủy lực",DATA_GOC!$F:$F,"Xuất nội bộ từ téc",DATA_GOC!$B:$B,DATE($D$2,$B$2,Y$4)),0))</f>
        <v>0</v>
      </c>
      <c r="Z349" s="251">
        <f>IF(Z$4&gt;DAY(EOMONTH(DATE($D$2,$B$2,1),0)),"",IFERROR(SUMIFS(DATA_GOC!$H:$H,DATA_GOC!$A:$A,"BOM",DATA_GOC!$D:$D,$B349,DATA_GOC!$E:$E,"Dầu thủy lực",DATA_GOC!$F:$F,"Xuất nội bộ từ téc",DATA_GOC!$B:$B,DATE($D$2,$B$2,Z$4)),0))</f>
        <v>0</v>
      </c>
      <c r="AA349" s="251">
        <f>IF(AA$4&gt;DAY(EOMONTH(DATE($D$2,$B$2,1),0)),"",IFERROR(SUMIFS(DATA_GOC!$H:$H,DATA_GOC!$A:$A,"BOM",DATA_GOC!$D:$D,$B349,DATA_GOC!$E:$E,"Dầu thủy lực",DATA_GOC!$F:$F,"Xuất nội bộ từ téc",DATA_GOC!$B:$B,DATE($D$2,$B$2,AA$4)),0))</f>
        <v>0</v>
      </c>
      <c r="AB349" s="251">
        <f>IF(AB$4&gt;DAY(EOMONTH(DATE($D$2,$B$2,1),0)),"",IFERROR(SUMIFS(DATA_GOC!$H:$H,DATA_GOC!$A:$A,"BOM",DATA_GOC!$D:$D,$B349,DATA_GOC!$E:$E,"Dầu thủy lực",DATA_GOC!$F:$F,"Xuất nội bộ từ téc",DATA_GOC!$B:$B,DATE($D$2,$B$2,AB$4)),0))</f>
        <v>0</v>
      </c>
      <c r="AC349" s="251">
        <f>IF(AC$4&gt;DAY(EOMONTH(DATE($D$2,$B$2,1),0)),"",IFERROR(SUMIFS(DATA_GOC!$H:$H,DATA_GOC!$A:$A,"BOM",DATA_GOC!$D:$D,$B349,DATA_GOC!$E:$E,"Dầu thủy lực",DATA_GOC!$F:$F,"Xuất nội bộ từ téc",DATA_GOC!$B:$B,DATE($D$2,$B$2,AC$4)),0))</f>
        <v>0</v>
      </c>
      <c r="AD349" s="251">
        <f>IF(AD$4&gt;DAY(EOMONTH(DATE($D$2,$B$2,1),0)),"",IFERROR(SUMIFS(DATA_GOC!$H:$H,DATA_GOC!$A:$A,"BOM",DATA_GOC!$D:$D,$B349,DATA_GOC!$E:$E,"Dầu thủy lực",DATA_GOC!$F:$F,"Xuất nội bộ từ téc",DATA_GOC!$B:$B,DATE($D$2,$B$2,AD$4)),0))</f>
        <v>0</v>
      </c>
      <c r="AE349" s="251">
        <f>IF(AE$4&gt;DAY(EOMONTH(DATE($D$2,$B$2,1),0)),"",IFERROR(SUMIFS(DATA_GOC!$H:$H,DATA_GOC!$A:$A,"BOM",DATA_GOC!$D:$D,$B349,DATA_GOC!$E:$E,"Dầu thủy lực",DATA_GOC!$F:$F,"Xuất nội bộ từ téc",DATA_GOC!$B:$B,DATE($D$2,$B$2,AE$4)),0))</f>
        <v>0</v>
      </c>
      <c r="AF349" s="251">
        <f>IF(AF$4&gt;DAY(EOMONTH(DATE($D$2,$B$2,1),0)),"",IFERROR(SUMIFS(DATA_GOC!$H:$H,DATA_GOC!$A:$A,"BOM",DATA_GOC!$D:$D,$B349,DATA_GOC!$E:$E,"Dầu thủy lực",DATA_GOC!$F:$F,"Xuất nội bộ từ téc",DATA_GOC!$B:$B,DATE($D$2,$B$2,AF$4)),0))</f>
        <v>0</v>
      </c>
      <c r="AG349" s="251">
        <f>IF(AG$4&gt;DAY(EOMONTH(DATE($D$2,$B$2,1),0)),"",IFERROR(SUMIFS(DATA_GOC!$H:$H,DATA_GOC!$A:$A,"BOM",DATA_GOC!$D:$D,$B349,DATA_GOC!$E:$E,"Dầu thủy lực",DATA_GOC!$F:$F,"Xuất nội bộ từ téc",DATA_GOC!$B:$B,DATE($D$2,$B$2,AG$4)),0))</f>
        <v>0</v>
      </c>
      <c r="AH349" s="252">
        <f t="shared" si="16"/>
        <v>0</v>
      </c>
      <c r="AI349" s="241"/>
      <c r="AJ349" s="242">
        <f>IF($B349="","",SUMIFS(TINH_TEC!$K$233:$K$9232,TINH_TEC!$H$233:$H$9232,$B349,TINH_TEC!$C$233:$C$9232,"Dầu thủy lực",TINH_TEC!$F$233:$F$9232,$B$2,TINH_TEC!$G$233:$G$9232,$D$2,TINH_TEC!$B$233:$B$9232,"Đã chốt"))</f>
        <v>0</v>
      </c>
      <c r="AK349" s="242">
        <f>IF($B349="","",SUMIFS(TINH_TEC!$J$233:$J$9232,TINH_TEC!$H$233:$H$9232,$B349,TINH_TEC!$C$233:$C$9232,"Dầu thủy lực",TINH_TEC!$F$233:$F$9232,$B$2,TINH_TEC!$G$233:$G$9232,$D$2,TINH_TEC!$B$233:$B$9232,"Đã chốt"))</f>
        <v>0</v>
      </c>
      <c r="AL349" s="242">
        <f t="shared" si="17"/>
        <v>0</v>
      </c>
    </row>
    <row r="350" ht="15.75" customHeight="1">
      <c r="A350" s="237">
        <f>IF($B350&lt;&gt;"",40,"")</f>
        <v>40</v>
      </c>
      <c r="B350" s="250" t="str">
        <f t="array" ref="B350">IFERROR(INDEX(DANH_MUC!$E:$E,43),"")</f>
        <v>28H01364</v>
      </c>
      <c r="C350" s="251">
        <f>IF(C$4&gt;DAY(EOMONTH(DATE($D$2,$B$2,1),0)),"",IFERROR(SUMIFS(DATA_GOC!$H:$H,DATA_GOC!$A:$A,"BOM",DATA_GOC!$D:$D,$B350,DATA_GOC!$E:$E,"Dầu thủy lực",DATA_GOC!$F:$F,"Xuất nội bộ từ téc",DATA_GOC!$B:$B,DATE($D$2,$B$2,C$4)),0))</f>
        <v>0</v>
      </c>
      <c r="D350" s="251">
        <f>IF(D$4&gt;DAY(EOMONTH(DATE($D$2,$B$2,1),0)),"",IFERROR(SUMIFS(DATA_GOC!$H:$H,DATA_GOC!$A:$A,"BOM",DATA_GOC!$D:$D,$B350,DATA_GOC!$E:$E,"Dầu thủy lực",DATA_GOC!$F:$F,"Xuất nội bộ từ téc",DATA_GOC!$B:$B,DATE($D$2,$B$2,D$4)),0))</f>
        <v>0</v>
      </c>
      <c r="E350" s="251">
        <f>IF(E$4&gt;DAY(EOMONTH(DATE($D$2,$B$2,1),0)),"",IFERROR(SUMIFS(DATA_GOC!$H:$H,DATA_GOC!$A:$A,"BOM",DATA_GOC!$D:$D,$B350,DATA_GOC!$E:$E,"Dầu thủy lực",DATA_GOC!$F:$F,"Xuất nội bộ từ téc",DATA_GOC!$B:$B,DATE($D$2,$B$2,E$4)),0))</f>
        <v>0</v>
      </c>
      <c r="F350" s="251">
        <f>IF(F$4&gt;DAY(EOMONTH(DATE($D$2,$B$2,1),0)),"",IFERROR(SUMIFS(DATA_GOC!$H:$H,DATA_GOC!$A:$A,"BOM",DATA_GOC!$D:$D,$B350,DATA_GOC!$E:$E,"Dầu thủy lực",DATA_GOC!$F:$F,"Xuất nội bộ từ téc",DATA_GOC!$B:$B,DATE($D$2,$B$2,F$4)),0))</f>
        <v>0</v>
      </c>
      <c r="G350" s="251">
        <f>IF(G$4&gt;DAY(EOMONTH(DATE($D$2,$B$2,1),0)),"",IFERROR(SUMIFS(DATA_GOC!$H:$H,DATA_GOC!$A:$A,"BOM",DATA_GOC!$D:$D,$B350,DATA_GOC!$E:$E,"Dầu thủy lực",DATA_GOC!$F:$F,"Xuất nội bộ từ téc",DATA_GOC!$B:$B,DATE($D$2,$B$2,G$4)),0))</f>
        <v>0</v>
      </c>
      <c r="H350" s="251">
        <f>IF(H$4&gt;DAY(EOMONTH(DATE($D$2,$B$2,1),0)),"",IFERROR(SUMIFS(DATA_GOC!$H:$H,DATA_GOC!$A:$A,"BOM",DATA_GOC!$D:$D,$B350,DATA_GOC!$E:$E,"Dầu thủy lực",DATA_GOC!$F:$F,"Xuất nội bộ từ téc",DATA_GOC!$B:$B,DATE($D$2,$B$2,H$4)),0))</f>
        <v>0</v>
      </c>
      <c r="I350" s="251">
        <f>IF(I$4&gt;DAY(EOMONTH(DATE($D$2,$B$2,1),0)),"",IFERROR(SUMIFS(DATA_GOC!$H:$H,DATA_GOC!$A:$A,"BOM",DATA_GOC!$D:$D,$B350,DATA_GOC!$E:$E,"Dầu thủy lực",DATA_GOC!$F:$F,"Xuất nội bộ từ téc",DATA_GOC!$B:$B,DATE($D$2,$B$2,I$4)),0))</f>
        <v>0</v>
      </c>
      <c r="J350" s="251">
        <f>IF(J$4&gt;DAY(EOMONTH(DATE($D$2,$B$2,1),0)),"",IFERROR(SUMIFS(DATA_GOC!$H:$H,DATA_GOC!$A:$A,"BOM",DATA_GOC!$D:$D,$B350,DATA_GOC!$E:$E,"Dầu thủy lực",DATA_GOC!$F:$F,"Xuất nội bộ từ téc",DATA_GOC!$B:$B,DATE($D$2,$B$2,J$4)),0))</f>
        <v>0</v>
      </c>
      <c r="K350" s="251">
        <f>IF(K$4&gt;DAY(EOMONTH(DATE($D$2,$B$2,1),0)),"",IFERROR(SUMIFS(DATA_GOC!$H:$H,DATA_GOC!$A:$A,"BOM",DATA_GOC!$D:$D,$B350,DATA_GOC!$E:$E,"Dầu thủy lực",DATA_GOC!$F:$F,"Xuất nội bộ từ téc",DATA_GOC!$B:$B,DATE($D$2,$B$2,K$4)),0))</f>
        <v>0</v>
      </c>
      <c r="L350" s="251">
        <f>IF(L$4&gt;DAY(EOMONTH(DATE($D$2,$B$2,1),0)),"",IFERROR(SUMIFS(DATA_GOC!$H:$H,DATA_GOC!$A:$A,"BOM",DATA_GOC!$D:$D,$B350,DATA_GOC!$E:$E,"Dầu thủy lực",DATA_GOC!$F:$F,"Xuất nội bộ từ téc",DATA_GOC!$B:$B,DATE($D$2,$B$2,L$4)),0))</f>
        <v>0</v>
      </c>
      <c r="M350" s="251">
        <f>IF(M$4&gt;DAY(EOMONTH(DATE($D$2,$B$2,1),0)),"",IFERROR(SUMIFS(DATA_GOC!$H:$H,DATA_GOC!$A:$A,"BOM",DATA_GOC!$D:$D,$B350,DATA_GOC!$E:$E,"Dầu thủy lực",DATA_GOC!$F:$F,"Xuất nội bộ từ téc",DATA_GOC!$B:$B,DATE($D$2,$B$2,M$4)),0))</f>
        <v>0</v>
      </c>
      <c r="N350" s="251">
        <f>IF(N$4&gt;DAY(EOMONTH(DATE($D$2,$B$2,1),0)),"",IFERROR(SUMIFS(DATA_GOC!$H:$H,DATA_GOC!$A:$A,"BOM",DATA_GOC!$D:$D,$B350,DATA_GOC!$E:$E,"Dầu thủy lực",DATA_GOC!$F:$F,"Xuất nội bộ từ téc",DATA_GOC!$B:$B,DATE($D$2,$B$2,N$4)),0))</f>
        <v>0</v>
      </c>
      <c r="O350" s="251">
        <f>IF(O$4&gt;DAY(EOMONTH(DATE($D$2,$B$2,1),0)),"",IFERROR(SUMIFS(DATA_GOC!$H:$H,DATA_GOC!$A:$A,"BOM",DATA_GOC!$D:$D,$B350,DATA_GOC!$E:$E,"Dầu thủy lực",DATA_GOC!$F:$F,"Xuất nội bộ từ téc",DATA_GOC!$B:$B,DATE($D$2,$B$2,O$4)),0))</f>
        <v>0</v>
      </c>
      <c r="P350" s="251">
        <f>IF(P$4&gt;DAY(EOMONTH(DATE($D$2,$B$2,1),0)),"",IFERROR(SUMIFS(DATA_GOC!$H:$H,DATA_GOC!$A:$A,"BOM",DATA_GOC!$D:$D,$B350,DATA_GOC!$E:$E,"Dầu thủy lực",DATA_GOC!$F:$F,"Xuất nội bộ từ téc",DATA_GOC!$B:$B,DATE($D$2,$B$2,P$4)),0))</f>
        <v>0</v>
      </c>
      <c r="Q350" s="251">
        <f>IF(Q$4&gt;DAY(EOMONTH(DATE($D$2,$B$2,1),0)),"",IFERROR(SUMIFS(DATA_GOC!$H:$H,DATA_GOC!$A:$A,"BOM",DATA_GOC!$D:$D,$B350,DATA_GOC!$E:$E,"Dầu thủy lực",DATA_GOC!$F:$F,"Xuất nội bộ từ téc",DATA_GOC!$B:$B,DATE($D$2,$B$2,Q$4)),0))</f>
        <v>0</v>
      </c>
      <c r="R350" s="251">
        <f>IF(R$4&gt;DAY(EOMONTH(DATE($D$2,$B$2,1),0)),"",IFERROR(SUMIFS(DATA_GOC!$H:$H,DATA_GOC!$A:$A,"BOM",DATA_GOC!$D:$D,$B350,DATA_GOC!$E:$E,"Dầu thủy lực",DATA_GOC!$F:$F,"Xuất nội bộ từ téc",DATA_GOC!$B:$B,DATE($D$2,$B$2,R$4)),0))</f>
        <v>0</v>
      </c>
      <c r="S350" s="251">
        <f>IF(S$4&gt;DAY(EOMONTH(DATE($D$2,$B$2,1),0)),"",IFERROR(SUMIFS(DATA_GOC!$H:$H,DATA_GOC!$A:$A,"BOM",DATA_GOC!$D:$D,$B350,DATA_GOC!$E:$E,"Dầu thủy lực",DATA_GOC!$F:$F,"Xuất nội bộ từ téc",DATA_GOC!$B:$B,DATE($D$2,$B$2,S$4)),0))</f>
        <v>0</v>
      </c>
      <c r="T350" s="251">
        <f>IF(T$4&gt;DAY(EOMONTH(DATE($D$2,$B$2,1),0)),"",IFERROR(SUMIFS(DATA_GOC!$H:$H,DATA_GOC!$A:$A,"BOM",DATA_GOC!$D:$D,$B350,DATA_GOC!$E:$E,"Dầu thủy lực",DATA_GOC!$F:$F,"Xuất nội bộ từ téc",DATA_GOC!$B:$B,DATE($D$2,$B$2,T$4)),0))</f>
        <v>0</v>
      </c>
      <c r="U350" s="251">
        <f>IF(U$4&gt;DAY(EOMONTH(DATE($D$2,$B$2,1),0)),"",IFERROR(SUMIFS(DATA_GOC!$H:$H,DATA_GOC!$A:$A,"BOM",DATA_GOC!$D:$D,$B350,DATA_GOC!$E:$E,"Dầu thủy lực",DATA_GOC!$F:$F,"Xuất nội bộ từ téc",DATA_GOC!$B:$B,DATE($D$2,$B$2,U$4)),0))</f>
        <v>0</v>
      </c>
      <c r="V350" s="251">
        <f>IF(V$4&gt;DAY(EOMONTH(DATE($D$2,$B$2,1),0)),"",IFERROR(SUMIFS(DATA_GOC!$H:$H,DATA_GOC!$A:$A,"BOM",DATA_GOC!$D:$D,$B350,DATA_GOC!$E:$E,"Dầu thủy lực",DATA_GOC!$F:$F,"Xuất nội bộ từ téc",DATA_GOC!$B:$B,DATE($D$2,$B$2,V$4)),0))</f>
        <v>0</v>
      </c>
      <c r="W350" s="251">
        <f>IF(W$4&gt;DAY(EOMONTH(DATE($D$2,$B$2,1),0)),"",IFERROR(SUMIFS(DATA_GOC!$H:$H,DATA_GOC!$A:$A,"BOM",DATA_GOC!$D:$D,$B350,DATA_GOC!$E:$E,"Dầu thủy lực",DATA_GOC!$F:$F,"Xuất nội bộ từ téc",DATA_GOC!$B:$B,DATE($D$2,$B$2,W$4)),0))</f>
        <v>0</v>
      </c>
      <c r="X350" s="251">
        <f>IF(X$4&gt;DAY(EOMONTH(DATE($D$2,$B$2,1),0)),"",IFERROR(SUMIFS(DATA_GOC!$H:$H,DATA_GOC!$A:$A,"BOM",DATA_GOC!$D:$D,$B350,DATA_GOC!$E:$E,"Dầu thủy lực",DATA_GOC!$F:$F,"Xuất nội bộ từ téc",DATA_GOC!$B:$B,DATE($D$2,$B$2,X$4)),0))</f>
        <v>0</v>
      </c>
      <c r="Y350" s="251">
        <f>IF(Y$4&gt;DAY(EOMONTH(DATE($D$2,$B$2,1),0)),"",IFERROR(SUMIFS(DATA_GOC!$H:$H,DATA_GOC!$A:$A,"BOM",DATA_GOC!$D:$D,$B350,DATA_GOC!$E:$E,"Dầu thủy lực",DATA_GOC!$F:$F,"Xuất nội bộ từ téc",DATA_GOC!$B:$B,DATE($D$2,$B$2,Y$4)),0))</f>
        <v>0</v>
      </c>
      <c r="Z350" s="251">
        <f>IF(Z$4&gt;DAY(EOMONTH(DATE($D$2,$B$2,1),0)),"",IFERROR(SUMIFS(DATA_GOC!$H:$H,DATA_GOC!$A:$A,"BOM",DATA_GOC!$D:$D,$B350,DATA_GOC!$E:$E,"Dầu thủy lực",DATA_GOC!$F:$F,"Xuất nội bộ từ téc",DATA_GOC!$B:$B,DATE($D$2,$B$2,Z$4)),0))</f>
        <v>0</v>
      </c>
      <c r="AA350" s="251">
        <f>IF(AA$4&gt;DAY(EOMONTH(DATE($D$2,$B$2,1),0)),"",IFERROR(SUMIFS(DATA_GOC!$H:$H,DATA_GOC!$A:$A,"BOM",DATA_GOC!$D:$D,$B350,DATA_GOC!$E:$E,"Dầu thủy lực",DATA_GOC!$F:$F,"Xuất nội bộ từ téc",DATA_GOC!$B:$B,DATE($D$2,$B$2,AA$4)),0))</f>
        <v>0</v>
      </c>
      <c r="AB350" s="251">
        <f>IF(AB$4&gt;DAY(EOMONTH(DATE($D$2,$B$2,1),0)),"",IFERROR(SUMIFS(DATA_GOC!$H:$H,DATA_GOC!$A:$A,"BOM",DATA_GOC!$D:$D,$B350,DATA_GOC!$E:$E,"Dầu thủy lực",DATA_GOC!$F:$F,"Xuất nội bộ từ téc",DATA_GOC!$B:$B,DATE($D$2,$B$2,AB$4)),0))</f>
        <v>0</v>
      </c>
      <c r="AC350" s="251">
        <f>IF(AC$4&gt;DAY(EOMONTH(DATE($D$2,$B$2,1),0)),"",IFERROR(SUMIFS(DATA_GOC!$H:$H,DATA_GOC!$A:$A,"BOM",DATA_GOC!$D:$D,$B350,DATA_GOC!$E:$E,"Dầu thủy lực",DATA_GOC!$F:$F,"Xuất nội bộ từ téc",DATA_GOC!$B:$B,DATE($D$2,$B$2,AC$4)),0))</f>
        <v>0</v>
      </c>
      <c r="AD350" s="251">
        <f>IF(AD$4&gt;DAY(EOMONTH(DATE($D$2,$B$2,1),0)),"",IFERROR(SUMIFS(DATA_GOC!$H:$H,DATA_GOC!$A:$A,"BOM",DATA_GOC!$D:$D,$B350,DATA_GOC!$E:$E,"Dầu thủy lực",DATA_GOC!$F:$F,"Xuất nội bộ từ téc",DATA_GOC!$B:$B,DATE($D$2,$B$2,AD$4)),0))</f>
        <v>0</v>
      </c>
      <c r="AE350" s="251">
        <f>IF(AE$4&gt;DAY(EOMONTH(DATE($D$2,$B$2,1),0)),"",IFERROR(SUMIFS(DATA_GOC!$H:$H,DATA_GOC!$A:$A,"BOM",DATA_GOC!$D:$D,$B350,DATA_GOC!$E:$E,"Dầu thủy lực",DATA_GOC!$F:$F,"Xuất nội bộ từ téc",DATA_GOC!$B:$B,DATE($D$2,$B$2,AE$4)),0))</f>
        <v>0</v>
      </c>
      <c r="AF350" s="251">
        <f>IF(AF$4&gt;DAY(EOMONTH(DATE($D$2,$B$2,1),0)),"",IFERROR(SUMIFS(DATA_GOC!$H:$H,DATA_GOC!$A:$A,"BOM",DATA_GOC!$D:$D,$B350,DATA_GOC!$E:$E,"Dầu thủy lực",DATA_GOC!$F:$F,"Xuất nội bộ từ téc",DATA_GOC!$B:$B,DATE($D$2,$B$2,AF$4)),0))</f>
        <v>0</v>
      </c>
      <c r="AG350" s="251">
        <f>IF(AG$4&gt;DAY(EOMONTH(DATE($D$2,$B$2,1),0)),"",IFERROR(SUMIFS(DATA_GOC!$H:$H,DATA_GOC!$A:$A,"BOM",DATA_GOC!$D:$D,$B350,DATA_GOC!$E:$E,"Dầu thủy lực",DATA_GOC!$F:$F,"Xuất nội bộ từ téc",DATA_GOC!$B:$B,DATE($D$2,$B$2,AG$4)),0))</f>
        <v>0</v>
      </c>
      <c r="AH350" s="252">
        <f t="shared" si="16"/>
        <v>0</v>
      </c>
      <c r="AI350" s="241"/>
      <c r="AJ350" s="242">
        <f>IF($B350="","",SUMIFS(TINH_TEC!$K$233:$K$9232,TINH_TEC!$H$233:$H$9232,$B350,TINH_TEC!$C$233:$C$9232,"Dầu thủy lực",TINH_TEC!$F$233:$F$9232,$B$2,TINH_TEC!$G$233:$G$9232,$D$2,TINH_TEC!$B$233:$B$9232,"Đã chốt"))</f>
        <v>0</v>
      </c>
      <c r="AK350" s="242">
        <f>IF($B350="","",SUMIFS(TINH_TEC!$J$233:$J$9232,TINH_TEC!$H$233:$H$9232,$B350,TINH_TEC!$C$233:$C$9232,"Dầu thủy lực",TINH_TEC!$F$233:$F$9232,$B$2,TINH_TEC!$G$233:$G$9232,$D$2,TINH_TEC!$B$233:$B$9232,"Đã chốt"))</f>
        <v>0</v>
      </c>
      <c r="AL350" s="242">
        <f t="shared" si="17"/>
        <v>0</v>
      </c>
    </row>
    <row r="351" ht="15.75" customHeight="1">
      <c r="A351" s="237">
        <f>IF($B351&lt;&gt;"",41,"")</f>
        <v>41</v>
      </c>
      <c r="B351" s="250" t="str">
        <f t="array" ref="B351">IFERROR(INDEX(DANH_MUC!$E:$E,44),"")</f>
        <v>29E17269</v>
      </c>
      <c r="C351" s="251">
        <f>IF(C$4&gt;DAY(EOMONTH(DATE($D$2,$B$2,1),0)),"",IFERROR(SUMIFS(DATA_GOC!$H:$H,DATA_GOC!$A:$A,"BOM",DATA_GOC!$D:$D,$B351,DATA_GOC!$E:$E,"Dầu thủy lực",DATA_GOC!$F:$F,"Xuất nội bộ từ téc",DATA_GOC!$B:$B,DATE($D$2,$B$2,C$4)),0))</f>
        <v>0</v>
      </c>
      <c r="D351" s="251">
        <f>IF(D$4&gt;DAY(EOMONTH(DATE($D$2,$B$2,1),0)),"",IFERROR(SUMIFS(DATA_GOC!$H:$H,DATA_GOC!$A:$A,"BOM",DATA_GOC!$D:$D,$B351,DATA_GOC!$E:$E,"Dầu thủy lực",DATA_GOC!$F:$F,"Xuất nội bộ từ téc",DATA_GOC!$B:$B,DATE($D$2,$B$2,D$4)),0))</f>
        <v>0</v>
      </c>
      <c r="E351" s="251">
        <f>IF(E$4&gt;DAY(EOMONTH(DATE($D$2,$B$2,1),0)),"",IFERROR(SUMIFS(DATA_GOC!$H:$H,DATA_GOC!$A:$A,"BOM",DATA_GOC!$D:$D,$B351,DATA_GOC!$E:$E,"Dầu thủy lực",DATA_GOC!$F:$F,"Xuất nội bộ từ téc",DATA_GOC!$B:$B,DATE($D$2,$B$2,E$4)),0))</f>
        <v>0</v>
      </c>
      <c r="F351" s="251">
        <f>IF(F$4&gt;DAY(EOMONTH(DATE($D$2,$B$2,1),0)),"",IFERROR(SUMIFS(DATA_GOC!$H:$H,DATA_GOC!$A:$A,"BOM",DATA_GOC!$D:$D,$B351,DATA_GOC!$E:$E,"Dầu thủy lực",DATA_GOC!$F:$F,"Xuất nội bộ từ téc",DATA_GOC!$B:$B,DATE($D$2,$B$2,F$4)),0))</f>
        <v>0</v>
      </c>
      <c r="G351" s="251">
        <f>IF(G$4&gt;DAY(EOMONTH(DATE($D$2,$B$2,1),0)),"",IFERROR(SUMIFS(DATA_GOC!$H:$H,DATA_GOC!$A:$A,"BOM",DATA_GOC!$D:$D,$B351,DATA_GOC!$E:$E,"Dầu thủy lực",DATA_GOC!$F:$F,"Xuất nội bộ từ téc",DATA_GOC!$B:$B,DATE($D$2,$B$2,G$4)),0))</f>
        <v>0</v>
      </c>
      <c r="H351" s="251">
        <f>IF(H$4&gt;DAY(EOMONTH(DATE($D$2,$B$2,1),0)),"",IFERROR(SUMIFS(DATA_GOC!$H:$H,DATA_GOC!$A:$A,"BOM",DATA_GOC!$D:$D,$B351,DATA_GOC!$E:$E,"Dầu thủy lực",DATA_GOC!$F:$F,"Xuất nội bộ từ téc",DATA_GOC!$B:$B,DATE($D$2,$B$2,H$4)),0))</f>
        <v>0</v>
      </c>
      <c r="I351" s="251">
        <f>IF(I$4&gt;DAY(EOMONTH(DATE($D$2,$B$2,1),0)),"",IFERROR(SUMIFS(DATA_GOC!$H:$H,DATA_GOC!$A:$A,"BOM",DATA_GOC!$D:$D,$B351,DATA_GOC!$E:$E,"Dầu thủy lực",DATA_GOC!$F:$F,"Xuất nội bộ từ téc",DATA_GOC!$B:$B,DATE($D$2,$B$2,I$4)),0))</f>
        <v>0</v>
      </c>
      <c r="J351" s="251">
        <f>IF(J$4&gt;DAY(EOMONTH(DATE($D$2,$B$2,1),0)),"",IFERROR(SUMIFS(DATA_GOC!$H:$H,DATA_GOC!$A:$A,"BOM",DATA_GOC!$D:$D,$B351,DATA_GOC!$E:$E,"Dầu thủy lực",DATA_GOC!$F:$F,"Xuất nội bộ từ téc",DATA_GOC!$B:$B,DATE($D$2,$B$2,J$4)),0))</f>
        <v>0</v>
      </c>
      <c r="K351" s="251">
        <f>IF(K$4&gt;DAY(EOMONTH(DATE($D$2,$B$2,1),0)),"",IFERROR(SUMIFS(DATA_GOC!$H:$H,DATA_GOC!$A:$A,"BOM",DATA_GOC!$D:$D,$B351,DATA_GOC!$E:$E,"Dầu thủy lực",DATA_GOC!$F:$F,"Xuất nội bộ từ téc",DATA_GOC!$B:$B,DATE($D$2,$B$2,K$4)),0))</f>
        <v>0</v>
      </c>
      <c r="L351" s="251">
        <f>IF(L$4&gt;DAY(EOMONTH(DATE($D$2,$B$2,1),0)),"",IFERROR(SUMIFS(DATA_GOC!$H:$H,DATA_GOC!$A:$A,"BOM",DATA_GOC!$D:$D,$B351,DATA_GOC!$E:$E,"Dầu thủy lực",DATA_GOC!$F:$F,"Xuất nội bộ từ téc",DATA_GOC!$B:$B,DATE($D$2,$B$2,L$4)),0))</f>
        <v>0</v>
      </c>
      <c r="M351" s="251">
        <f>IF(M$4&gt;DAY(EOMONTH(DATE($D$2,$B$2,1),0)),"",IFERROR(SUMIFS(DATA_GOC!$H:$H,DATA_GOC!$A:$A,"BOM",DATA_GOC!$D:$D,$B351,DATA_GOC!$E:$E,"Dầu thủy lực",DATA_GOC!$F:$F,"Xuất nội bộ từ téc",DATA_GOC!$B:$B,DATE($D$2,$B$2,M$4)),0))</f>
        <v>0</v>
      </c>
      <c r="N351" s="251">
        <f>IF(N$4&gt;DAY(EOMONTH(DATE($D$2,$B$2,1),0)),"",IFERROR(SUMIFS(DATA_GOC!$H:$H,DATA_GOC!$A:$A,"BOM",DATA_GOC!$D:$D,$B351,DATA_GOC!$E:$E,"Dầu thủy lực",DATA_GOC!$F:$F,"Xuất nội bộ từ téc",DATA_GOC!$B:$B,DATE($D$2,$B$2,N$4)),0))</f>
        <v>0</v>
      </c>
      <c r="O351" s="251">
        <f>IF(O$4&gt;DAY(EOMONTH(DATE($D$2,$B$2,1),0)),"",IFERROR(SUMIFS(DATA_GOC!$H:$H,DATA_GOC!$A:$A,"BOM",DATA_GOC!$D:$D,$B351,DATA_GOC!$E:$E,"Dầu thủy lực",DATA_GOC!$F:$F,"Xuất nội bộ từ téc",DATA_GOC!$B:$B,DATE($D$2,$B$2,O$4)),0))</f>
        <v>0</v>
      </c>
      <c r="P351" s="251">
        <f>IF(P$4&gt;DAY(EOMONTH(DATE($D$2,$B$2,1),0)),"",IFERROR(SUMIFS(DATA_GOC!$H:$H,DATA_GOC!$A:$A,"BOM",DATA_GOC!$D:$D,$B351,DATA_GOC!$E:$E,"Dầu thủy lực",DATA_GOC!$F:$F,"Xuất nội bộ từ téc",DATA_GOC!$B:$B,DATE($D$2,$B$2,P$4)),0))</f>
        <v>0</v>
      </c>
      <c r="Q351" s="251">
        <f>IF(Q$4&gt;DAY(EOMONTH(DATE($D$2,$B$2,1),0)),"",IFERROR(SUMIFS(DATA_GOC!$H:$H,DATA_GOC!$A:$A,"BOM",DATA_GOC!$D:$D,$B351,DATA_GOC!$E:$E,"Dầu thủy lực",DATA_GOC!$F:$F,"Xuất nội bộ từ téc",DATA_GOC!$B:$B,DATE($D$2,$B$2,Q$4)),0))</f>
        <v>0</v>
      </c>
      <c r="R351" s="251">
        <f>IF(R$4&gt;DAY(EOMONTH(DATE($D$2,$B$2,1),0)),"",IFERROR(SUMIFS(DATA_GOC!$H:$H,DATA_GOC!$A:$A,"BOM",DATA_GOC!$D:$D,$B351,DATA_GOC!$E:$E,"Dầu thủy lực",DATA_GOC!$F:$F,"Xuất nội bộ từ téc",DATA_GOC!$B:$B,DATE($D$2,$B$2,R$4)),0))</f>
        <v>0</v>
      </c>
      <c r="S351" s="251">
        <f>IF(S$4&gt;DAY(EOMONTH(DATE($D$2,$B$2,1),0)),"",IFERROR(SUMIFS(DATA_GOC!$H:$H,DATA_GOC!$A:$A,"BOM",DATA_GOC!$D:$D,$B351,DATA_GOC!$E:$E,"Dầu thủy lực",DATA_GOC!$F:$F,"Xuất nội bộ từ téc",DATA_GOC!$B:$B,DATE($D$2,$B$2,S$4)),0))</f>
        <v>0</v>
      </c>
      <c r="T351" s="251">
        <f>IF(T$4&gt;DAY(EOMONTH(DATE($D$2,$B$2,1),0)),"",IFERROR(SUMIFS(DATA_GOC!$H:$H,DATA_GOC!$A:$A,"BOM",DATA_GOC!$D:$D,$B351,DATA_GOC!$E:$E,"Dầu thủy lực",DATA_GOC!$F:$F,"Xuất nội bộ từ téc",DATA_GOC!$B:$B,DATE($D$2,$B$2,T$4)),0))</f>
        <v>0</v>
      </c>
      <c r="U351" s="251">
        <f>IF(U$4&gt;DAY(EOMONTH(DATE($D$2,$B$2,1),0)),"",IFERROR(SUMIFS(DATA_GOC!$H:$H,DATA_GOC!$A:$A,"BOM",DATA_GOC!$D:$D,$B351,DATA_GOC!$E:$E,"Dầu thủy lực",DATA_GOC!$F:$F,"Xuất nội bộ từ téc",DATA_GOC!$B:$B,DATE($D$2,$B$2,U$4)),0))</f>
        <v>0</v>
      </c>
      <c r="V351" s="251">
        <f>IF(V$4&gt;DAY(EOMONTH(DATE($D$2,$B$2,1),0)),"",IFERROR(SUMIFS(DATA_GOC!$H:$H,DATA_GOC!$A:$A,"BOM",DATA_GOC!$D:$D,$B351,DATA_GOC!$E:$E,"Dầu thủy lực",DATA_GOC!$F:$F,"Xuất nội bộ từ téc",DATA_GOC!$B:$B,DATE($D$2,$B$2,V$4)),0))</f>
        <v>0</v>
      </c>
      <c r="W351" s="251">
        <f>IF(W$4&gt;DAY(EOMONTH(DATE($D$2,$B$2,1),0)),"",IFERROR(SUMIFS(DATA_GOC!$H:$H,DATA_GOC!$A:$A,"BOM",DATA_GOC!$D:$D,$B351,DATA_GOC!$E:$E,"Dầu thủy lực",DATA_GOC!$F:$F,"Xuất nội bộ từ téc",DATA_GOC!$B:$B,DATE($D$2,$B$2,W$4)),0))</f>
        <v>0</v>
      </c>
      <c r="X351" s="251">
        <f>IF(X$4&gt;DAY(EOMONTH(DATE($D$2,$B$2,1),0)),"",IFERROR(SUMIFS(DATA_GOC!$H:$H,DATA_GOC!$A:$A,"BOM",DATA_GOC!$D:$D,$B351,DATA_GOC!$E:$E,"Dầu thủy lực",DATA_GOC!$F:$F,"Xuất nội bộ từ téc",DATA_GOC!$B:$B,DATE($D$2,$B$2,X$4)),0))</f>
        <v>0</v>
      </c>
      <c r="Y351" s="251">
        <f>IF(Y$4&gt;DAY(EOMONTH(DATE($D$2,$B$2,1),0)),"",IFERROR(SUMIFS(DATA_GOC!$H:$H,DATA_GOC!$A:$A,"BOM",DATA_GOC!$D:$D,$B351,DATA_GOC!$E:$E,"Dầu thủy lực",DATA_GOC!$F:$F,"Xuất nội bộ từ téc",DATA_GOC!$B:$B,DATE($D$2,$B$2,Y$4)),0))</f>
        <v>0</v>
      </c>
      <c r="Z351" s="251">
        <f>IF(Z$4&gt;DAY(EOMONTH(DATE($D$2,$B$2,1),0)),"",IFERROR(SUMIFS(DATA_GOC!$H:$H,DATA_GOC!$A:$A,"BOM",DATA_GOC!$D:$D,$B351,DATA_GOC!$E:$E,"Dầu thủy lực",DATA_GOC!$F:$F,"Xuất nội bộ từ téc",DATA_GOC!$B:$B,DATE($D$2,$B$2,Z$4)),0))</f>
        <v>0</v>
      </c>
      <c r="AA351" s="251">
        <f>IF(AA$4&gt;DAY(EOMONTH(DATE($D$2,$B$2,1),0)),"",IFERROR(SUMIFS(DATA_GOC!$H:$H,DATA_GOC!$A:$A,"BOM",DATA_GOC!$D:$D,$B351,DATA_GOC!$E:$E,"Dầu thủy lực",DATA_GOC!$F:$F,"Xuất nội bộ từ téc",DATA_GOC!$B:$B,DATE($D$2,$B$2,AA$4)),0))</f>
        <v>0</v>
      </c>
      <c r="AB351" s="251">
        <f>IF(AB$4&gt;DAY(EOMONTH(DATE($D$2,$B$2,1),0)),"",IFERROR(SUMIFS(DATA_GOC!$H:$H,DATA_GOC!$A:$A,"BOM",DATA_GOC!$D:$D,$B351,DATA_GOC!$E:$E,"Dầu thủy lực",DATA_GOC!$F:$F,"Xuất nội bộ từ téc",DATA_GOC!$B:$B,DATE($D$2,$B$2,AB$4)),0))</f>
        <v>0</v>
      </c>
      <c r="AC351" s="251">
        <f>IF(AC$4&gt;DAY(EOMONTH(DATE($D$2,$B$2,1),0)),"",IFERROR(SUMIFS(DATA_GOC!$H:$H,DATA_GOC!$A:$A,"BOM",DATA_GOC!$D:$D,$B351,DATA_GOC!$E:$E,"Dầu thủy lực",DATA_GOC!$F:$F,"Xuất nội bộ từ téc",DATA_GOC!$B:$B,DATE($D$2,$B$2,AC$4)),0))</f>
        <v>0</v>
      </c>
      <c r="AD351" s="251">
        <f>IF(AD$4&gt;DAY(EOMONTH(DATE($D$2,$B$2,1),0)),"",IFERROR(SUMIFS(DATA_GOC!$H:$H,DATA_GOC!$A:$A,"BOM",DATA_GOC!$D:$D,$B351,DATA_GOC!$E:$E,"Dầu thủy lực",DATA_GOC!$F:$F,"Xuất nội bộ từ téc",DATA_GOC!$B:$B,DATE($D$2,$B$2,AD$4)),0))</f>
        <v>0</v>
      </c>
      <c r="AE351" s="251">
        <f>IF(AE$4&gt;DAY(EOMONTH(DATE($D$2,$B$2,1),0)),"",IFERROR(SUMIFS(DATA_GOC!$H:$H,DATA_GOC!$A:$A,"BOM",DATA_GOC!$D:$D,$B351,DATA_GOC!$E:$E,"Dầu thủy lực",DATA_GOC!$F:$F,"Xuất nội bộ từ téc",DATA_GOC!$B:$B,DATE($D$2,$B$2,AE$4)),0))</f>
        <v>0</v>
      </c>
      <c r="AF351" s="251">
        <f>IF(AF$4&gt;DAY(EOMONTH(DATE($D$2,$B$2,1),0)),"",IFERROR(SUMIFS(DATA_GOC!$H:$H,DATA_GOC!$A:$A,"BOM",DATA_GOC!$D:$D,$B351,DATA_GOC!$E:$E,"Dầu thủy lực",DATA_GOC!$F:$F,"Xuất nội bộ từ téc",DATA_GOC!$B:$B,DATE($D$2,$B$2,AF$4)),0))</f>
        <v>0</v>
      </c>
      <c r="AG351" s="251">
        <f>IF(AG$4&gt;DAY(EOMONTH(DATE($D$2,$B$2,1),0)),"",IFERROR(SUMIFS(DATA_GOC!$H:$H,DATA_GOC!$A:$A,"BOM",DATA_GOC!$D:$D,$B351,DATA_GOC!$E:$E,"Dầu thủy lực",DATA_GOC!$F:$F,"Xuất nội bộ từ téc",DATA_GOC!$B:$B,DATE($D$2,$B$2,AG$4)),0))</f>
        <v>0</v>
      </c>
      <c r="AH351" s="252">
        <f t="shared" si="16"/>
        <v>0</v>
      </c>
      <c r="AI351" s="241"/>
      <c r="AJ351" s="242">
        <f>IF($B351="","",SUMIFS(TINH_TEC!$K$233:$K$9232,TINH_TEC!$H$233:$H$9232,$B351,TINH_TEC!$C$233:$C$9232,"Dầu thủy lực",TINH_TEC!$F$233:$F$9232,$B$2,TINH_TEC!$G$233:$G$9232,$D$2,TINH_TEC!$B$233:$B$9232,"Đã chốt"))</f>
        <v>0</v>
      </c>
      <c r="AK351" s="242">
        <f>IF($B351="","",SUMIFS(TINH_TEC!$J$233:$J$9232,TINH_TEC!$H$233:$H$9232,$B351,TINH_TEC!$C$233:$C$9232,"Dầu thủy lực",TINH_TEC!$F$233:$F$9232,$B$2,TINH_TEC!$G$233:$G$9232,$D$2,TINH_TEC!$B$233:$B$9232,"Đã chốt"))</f>
        <v>0</v>
      </c>
      <c r="AL351" s="242">
        <f t="shared" si="17"/>
        <v>0</v>
      </c>
    </row>
    <row r="352" ht="15.75" customHeight="1">
      <c r="A352" s="237">
        <f>IF($B352&lt;&gt;"",42,"")</f>
        <v>42</v>
      </c>
      <c r="B352" s="250" t="str">
        <f t="array" ref="B352">IFERROR(INDEX(DANH_MUC!$E:$E,45),"")</f>
        <v>29E17273</v>
      </c>
      <c r="C352" s="251">
        <f>IF(C$4&gt;DAY(EOMONTH(DATE($D$2,$B$2,1),0)),"",IFERROR(SUMIFS(DATA_GOC!$H:$H,DATA_GOC!$A:$A,"BOM",DATA_GOC!$D:$D,$B352,DATA_GOC!$E:$E,"Dầu thủy lực",DATA_GOC!$F:$F,"Xuất nội bộ từ téc",DATA_GOC!$B:$B,DATE($D$2,$B$2,C$4)),0))</f>
        <v>0</v>
      </c>
      <c r="D352" s="251">
        <f>IF(D$4&gt;DAY(EOMONTH(DATE($D$2,$B$2,1),0)),"",IFERROR(SUMIFS(DATA_GOC!$H:$H,DATA_GOC!$A:$A,"BOM",DATA_GOC!$D:$D,$B352,DATA_GOC!$E:$E,"Dầu thủy lực",DATA_GOC!$F:$F,"Xuất nội bộ từ téc",DATA_GOC!$B:$B,DATE($D$2,$B$2,D$4)),0))</f>
        <v>0</v>
      </c>
      <c r="E352" s="251">
        <f>IF(E$4&gt;DAY(EOMONTH(DATE($D$2,$B$2,1),0)),"",IFERROR(SUMIFS(DATA_GOC!$H:$H,DATA_GOC!$A:$A,"BOM",DATA_GOC!$D:$D,$B352,DATA_GOC!$E:$E,"Dầu thủy lực",DATA_GOC!$F:$F,"Xuất nội bộ từ téc",DATA_GOC!$B:$B,DATE($D$2,$B$2,E$4)),0))</f>
        <v>0</v>
      </c>
      <c r="F352" s="251">
        <f>IF(F$4&gt;DAY(EOMONTH(DATE($D$2,$B$2,1),0)),"",IFERROR(SUMIFS(DATA_GOC!$H:$H,DATA_GOC!$A:$A,"BOM",DATA_GOC!$D:$D,$B352,DATA_GOC!$E:$E,"Dầu thủy lực",DATA_GOC!$F:$F,"Xuất nội bộ từ téc",DATA_GOC!$B:$B,DATE($D$2,$B$2,F$4)),0))</f>
        <v>0</v>
      </c>
      <c r="G352" s="251">
        <f>IF(G$4&gt;DAY(EOMONTH(DATE($D$2,$B$2,1),0)),"",IFERROR(SUMIFS(DATA_GOC!$H:$H,DATA_GOC!$A:$A,"BOM",DATA_GOC!$D:$D,$B352,DATA_GOC!$E:$E,"Dầu thủy lực",DATA_GOC!$F:$F,"Xuất nội bộ từ téc",DATA_GOC!$B:$B,DATE($D$2,$B$2,G$4)),0))</f>
        <v>0</v>
      </c>
      <c r="H352" s="251">
        <f>IF(H$4&gt;DAY(EOMONTH(DATE($D$2,$B$2,1),0)),"",IFERROR(SUMIFS(DATA_GOC!$H:$H,DATA_GOC!$A:$A,"BOM",DATA_GOC!$D:$D,$B352,DATA_GOC!$E:$E,"Dầu thủy lực",DATA_GOC!$F:$F,"Xuất nội bộ từ téc",DATA_GOC!$B:$B,DATE($D$2,$B$2,H$4)),0))</f>
        <v>0</v>
      </c>
      <c r="I352" s="251">
        <f>IF(I$4&gt;DAY(EOMONTH(DATE($D$2,$B$2,1),0)),"",IFERROR(SUMIFS(DATA_GOC!$H:$H,DATA_GOC!$A:$A,"BOM",DATA_GOC!$D:$D,$B352,DATA_GOC!$E:$E,"Dầu thủy lực",DATA_GOC!$F:$F,"Xuất nội bộ từ téc",DATA_GOC!$B:$B,DATE($D$2,$B$2,I$4)),0))</f>
        <v>0</v>
      </c>
      <c r="J352" s="251">
        <f>IF(J$4&gt;DAY(EOMONTH(DATE($D$2,$B$2,1),0)),"",IFERROR(SUMIFS(DATA_GOC!$H:$H,DATA_GOC!$A:$A,"BOM",DATA_GOC!$D:$D,$B352,DATA_GOC!$E:$E,"Dầu thủy lực",DATA_GOC!$F:$F,"Xuất nội bộ từ téc",DATA_GOC!$B:$B,DATE($D$2,$B$2,J$4)),0))</f>
        <v>0</v>
      </c>
      <c r="K352" s="251">
        <f>IF(K$4&gt;DAY(EOMONTH(DATE($D$2,$B$2,1),0)),"",IFERROR(SUMIFS(DATA_GOC!$H:$H,DATA_GOC!$A:$A,"BOM",DATA_GOC!$D:$D,$B352,DATA_GOC!$E:$E,"Dầu thủy lực",DATA_GOC!$F:$F,"Xuất nội bộ từ téc",DATA_GOC!$B:$B,DATE($D$2,$B$2,K$4)),0))</f>
        <v>0</v>
      </c>
      <c r="L352" s="251">
        <f>IF(L$4&gt;DAY(EOMONTH(DATE($D$2,$B$2,1),0)),"",IFERROR(SUMIFS(DATA_GOC!$H:$H,DATA_GOC!$A:$A,"BOM",DATA_GOC!$D:$D,$B352,DATA_GOC!$E:$E,"Dầu thủy lực",DATA_GOC!$F:$F,"Xuất nội bộ từ téc",DATA_GOC!$B:$B,DATE($D$2,$B$2,L$4)),0))</f>
        <v>0</v>
      </c>
      <c r="M352" s="251">
        <f>IF(M$4&gt;DAY(EOMONTH(DATE($D$2,$B$2,1),0)),"",IFERROR(SUMIFS(DATA_GOC!$H:$H,DATA_GOC!$A:$A,"BOM",DATA_GOC!$D:$D,$B352,DATA_GOC!$E:$E,"Dầu thủy lực",DATA_GOC!$F:$F,"Xuất nội bộ từ téc",DATA_GOC!$B:$B,DATE($D$2,$B$2,M$4)),0))</f>
        <v>0</v>
      </c>
      <c r="N352" s="251">
        <f>IF(N$4&gt;DAY(EOMONTH(DATE($D$2,$B$2,1),0)),"",IFERROR(SUMIFS(DATA_GOC!$H:$H,DATA_GOC!$A:$A,"BOM",DATA_GOC!$D:$D,$B352,DATA_GOC!$E:$E,"Dầu thủy lực",DATA_GOC!$F:$F,"Xuất nội bộ từ téc",DATA_GOC!$B:$B,DATE($D$2,$B$2,N$4)),0))</f>
        <v>0</v>
      </c>
      <c r="O352" s="251">
        <f>IF(O$4&gt;DAY(EOMONTH(DATE($D$2,$B$2,1),0)),"",IFERROR(SUMIFS(DATA_GOC!$H:$H,DATA_GOC!$A:$A,"BOM",DATA_GOC!$D:$D,$B352,DATA_GOC!$E:$E,"Dầu thủy lực",DATA_GOC!$F:$F,"Xuất nội bộ từ téc",DATA_GOC!$B:$B,DATE($D$2,$B$2,O$4)),0))</f>
        <v>0</v>
      </c>
      <c r="P352" s="251">
        <f>IF(P$4&gt;DAY(EOMONTH(DATE($D$2,$B$2,1),0)),"",IFERROR(SUMIFS(DATA_GOC!$H:$H,DATA_GOC!$A:$A,"BOM",DATA_GOC!$D:$D,$B352,DATA_GOC!$E:$E,"Dầu thủy lực",DATA_GOC!$F:$F,"Xuất nội bộ từ téc",DATA_GOC!$B:$B,DATE($D$2,$B$2,P$4)),0))</f>
        <v>0</v>
      </c>
      <c r="Q352" s="251">
        <f>IF(Q$4&gt;DAY(EOMONTH(DATE($D$2,$B$2,1),0)),"",IFERROR(SUMIFS(DATA_GOC!$H:$H,DATA_GOC!$A:$A,"BOM",DATA_GOC!$D:$D,$B352,DATA_GOC!$E:$E,"Dầu thủy lực",DATA_GOC!$F:$F,"Xuất nội bộ từ téc",DATA_GOC!$B:$B,DATE($D$2,$B$2,Q$4)),0))</f>
        <v>0</v>
      </c>
      <c r="R352" s="251">
        <f>IF(R$4&gt;DAY(EOMONTH(DATE($D$2,$B$2,1),0)),"",IFERROR(SUMIFS(DATA_GOC!$H:$H,DATA_GOC!$A:$A,"BOM",DATA_GOC!$D:$D,$B352,DATA_GOC!$E:$E,"Dầu thủy lực",DATA_GOC!$F:$F,"Xuất nội bộ từ téc",DATA_GOC!$B:$B,DATE($D$2,$B$2,R$4)),0))</f>
        <v>0</v>
      </c>
      <c r="S352" s="251">
        <f>IF(S$4&gt;DAY(EOMONTH(DATE($D$2,$B$2,1),0)),"",IFERROR(SUMIFS(DATA_GOC!$H:$H,DATA_GOC!$A:$A,"BOM",DATA_GOC!$D:$D,$B352,DATA_GOC!$E:$E,"Dầu thủy lực",DATA_GOC!$F:$F,"Xuất nội bộ từ téc",DATA_GOC!$B:$B,DATE($D$2,$B$2,S$4)),0))</f>
        <v>0</v>
      </c>
      <c r="T352" s="251">
        <f>IF(T$4&gt;DAY(EOMONTH(DATE($D$2,$B$2,1),0)),"",IFERROR(SUMIFS(DATA_GOC!$H:$H,DATA_GOC!$A:$A,"BOM",DATA_GOC!$D:$D,$B352,DATA_GOC!$E:$E,"Dầu thủy lực",DATA_GOC!$F:$F,"Xuất nội bộ từ téc",DATA_GOC!$B:$B,DATE($D$2,$B$2,T$4)),0))</f>
        <v>0</v>
      </c>
      <c r="U352" s="251">
        <f>IF(U$4&gt;DAY(EOMONTH(DATE($D$2,$B$2,1),0)),"",IFERROR(SUMIFS(DATA_GOC!$H:$H,DATA_GOC!$A:$A,"BOM",DATA_GOC!$D:$D,$B352,DATA_GOC!$E:$E,"Dầu thủy lực",DATA_GOC!$F:$F,"Xuất nội bộ từ téc",DATA_GOC!$B:$B,DATE($D$2,$B$2,U$4)),0))</f>
        <v>0</v>
      </c>
      <c r="V352" s="251">
        <f>IF(V$4&gt;DAY(EOMONTH(DATE($D$2,$B$2,1),0)),"",IFERROR(SUMIFS(DATA_GOC!$H:$H,DATA_GOC!$A:$A,"BOM",DATA_GOC!$D:$D,$B352,DATA_GOC!$E:$E,"Dầu thủy lực",DATA_GOC!$F:$F,"Xuất nội bộ từ téc",DATA_GOC!$B:$B,DATE($D$2,$B$2,V$4)),0))</f>
        <v>0</v>
      </c>
      <c r="W352" s="251">
        <f>IF(W$4&gt;DAY(EOMONTH(DATE($D$2,$B$2,1),0)),"",IFERROR(SUMIFS(DATA_GOC!$H:$H,DATA_GOC!$A:$A,"BOM",DATA_GOC!$D:$D,$B352,DATA_GOC!$E:$E,"Dầu thủy lực",DATA_GOC!$F:$F,"Xuất nội bộ từ téc",DATA_GOC!$B:$B,DATE($D$2,$B$2,W$4)),0))</f>
        <v>0</v>
      </c>
      <c r="X352" s="251">
        <f>IF(X$4&gt;DAY(EOMONTH(DATE($D$2,$B$2,1),0)),"",IFERROR(SUMIFS(DATA_GOC!$H:$H,DATA_GOC!$A:$A,"BOM",DATA_GOC!$D:$D,$B352,DATA_GOC!$E:$E,"Dầu thủy lực",DATA_GOC!$F:$F,"Xuất nội bộ từ téc",DATA_GOC!$B:$B,DATE($D$2,$B$2,X$4)),0))</f>
        <v>0</v>
      </c>
      <c r="Y352" s="251">
        <f>IF(Y$4&gt;DAY(EOMONTH(DATE($D$2,$B$2,1),0)),"",IFERROR(SUMIFS(DATA_GOC!$H:$H,DATA_GOC!$A:$A,"BOM",DATA_GOC!$D:$D,$B352,DATA_GOC!$E:$E,"Dầu thủy lực",DATA_GOC!$F:$F,"Xuất nội bộ từ téc",DATA_GOC!$B:$B,DATE($D$2,$B$2,Y$4)),0))</f>
        <v>0</v>
      </c>
      <c r="Z352" s="251">
        <f>IF(Z$4&gt;DAY(EOMONTH(DATE($D$2,$B$2,1),0)),"",IFERROR(SUMIFS(DATA_GOC!$H:$H,DATA_GOC!$A:$A,"BOM",DATA_GOC!$D:$D,$B352,DATA_GOC!$E:$E,"Dầu thủy lực",DATA_GOC!$F:$F,"Xuất nội bộ từ téc",DATA_GOC!$B:$B,DATE($D$2,$B$2,Z$4)),0))</f>
        <v>0</v>
      </c>
      <c r="AA352" s="251">
        <f>IF(AA$4&gt;DAY(EOMONTH(DATE($D$2,$B$2,1),0)),"",IFERROR(SUMIFS(DATA_GOC!$H:$H,DATA_GOC!$A:$A,"BOM",DATA_GOC!$D:$D,$B352,DATA_GOC!$E:$E,"Dầu thủy lực",DATA_GOC!$F:$F,"Xuất nội bộ từ téc",DATA_GOC!$B:$B,DATE($D$2,$B$2,AA$4)),0))</f>
        <v>0</v>
      </c>
      <c r="AB352" s="251">
        <f>IF(AB$4&gt;DAY(EOMONTH(DATE($D$2,$B$2,1),0)),"",IFERROR(SUMIFS(DATA_GOC!$H:$H,DATA_GOC!$A:$A,"BOM",DATA_GOC!$D:$D,$B352,DATA_GOC!$E:$E,"Dầu thủy lực",DATA_GOC!$F:$F,"Xuất nội bộ từ téc",DATA_GOC!$B:$B,DATE($D$2,$B$2,AB$4)),0))</f>
        <v>0</v>
      </c>
      <c r="AC352" s="251">
        <f>IF(AC$4&gt;DAY(EOMONTH(DATE($D$2,$B$2,1),0)),"",IFERROR(SUMIFS(DATA_GOC!$H:$H,DATA_GOC!$A:$A,"BOM",DATA_GOC!$D:$D,$B352,DATA_GOC!$E:$E,"Dầu thủy lực",DATA_GOC!$F:$F,"Xuất nội bộ từ téc",DATA_GOC!$B:$B,DATE($D$2,$B$2,AC$4)),0))</f>
        <v>0</v>
      </c>
      <c r="AD352" s="251">
        <f>IF(AD$4&gt;DAY(EOMONTH(DATE($D$2,$B$2,1),0)),"",IFERROR(SUMIFS(DATA_GOC!$H:$H,DATA_GOC!$A:$A,"BOM",DATA_GOC!$D:$D,$B352,DATA_GOC!$E:$E,"Dầu thủy lực",DATA_GOC!$F:$F,"Xuất nội bộ từ téc",DATA_GOC!$B:$B,DATE($D$2,$B$2,AD$4)),0))</f>
        <v>0</v>
      </c>
      <c r="AE352" s="251">
        <f>IF(AE$4&gt;DAY(EOMONTH(DATE($D$2,$B$2,1),0)),"",IFERROR(SUMIFS(DATA_GOC!$H:$H,DATA_GOC!$A:$A,"BOM",DATA_GOC!$D:$D,$B352,DATA_GOC!$E:$E,"Dầu thủy lực",DATA_GOC!$F:$F,"Xuất nội bộ từ téc",DATA_GOC!$B:$B,DATE($D$2,$B$2,AE$4)),0))</f>
        <v>0</v>
      </c>
      <c r="AF352" s="251">
        <f>IF(AF$4&gt;DAY(EOMONTH(DATE($D$2,$B$2,1),0)),"",IFERROR(SUMIFS(DATA_GOC!$H:$H,DATA_GOC!$A:$A,"BOM",DATA_GOC!$D:$D,$B352,DATA_GOC!$E:$E,"Dầu thủy lực",DATA_GOC!$F:$F,"Xuất nội bộ từ téc",DATA_GOC!$B:$B,DATE($D$2,$B$2,AF$4)),0))</f>
        <v>0</v>
      </c>
      <c r="AG352" s="251">
        <f>IF(AG$4&gt;DAY(EOMONTH(DATE($D$2,$B$2,1),0)),"",IFERROR(SUMIFS(DATA_GOC!$H:$H,DATA_GOC!$A:$A,"BOM",DATA_GOC!$D:$D,$B352,DATA_GOC!$E:$E,"Dầu thủy lực",DATA_GOC!$F:$F,"Xuất nội bộ từ téc",DATA_GOC!$B:$B,DATE($D$2,$B$2,AG$4)),0))</f>
        <v>0</v>
      </c>
      <c r="AH352" s="252">
        <f t="shared" si="16"/>
        <v>0</v>
      </c>
      <c r="AI352" s="241"/>
      <c r="AJ352" s="242">
        <f>IF($B352="","",SUMIFS(TINH_TEC!$K$233:$K$9232,TINH_TEC!$H$233:$H$9232,$B352,TINH_TEC!$C$233:$C$9232,"Dầu thủy lực",TINH_TEC!$F$233:$F$9232,$B$2,TINH_TEC!$G$233:$G$9232,$D$2,TINH_TEC!$B$233:$B$9232,"Đã chốt"))</f>
        <v>0</v>
      </c>
      <c r="AK352" s="242">
        <f>IF($B352="","",SUMIFS(TINH_TEC!$J$233:$J$9232,TINH_TEC!$H$233:$H$9232,$B352,TINH_TEC!$C$233:$C$9232,"Dầu thủy lực",TINH_TEC!$F$233:$F$9232,$B$2,TINH_TEC!$G$233:$G$9232,$D$2,TINH_TEC!$B$233:$B$9232,"Đã chốt"))</f>
        <v>0</v>
      </c>
      <c r="AL352" s="242">
        <f t="shared" si="17"/>
        <v>0</v>
      </c>
    </row>
    <row r="353" ht="15.75" customHeight="1">
      <c r="A353" s="237">
        <f>IF($B353&lt;&gt;"",43,"")</f>
        <v>43</v>
      </c>
      <c r="B353" s="250" t="str">
        <f t="array" ref="B353">IFERROR(INDEX(DANH_MUC!$E:$E,46),"")</f>
        <v>29E17410</v>
      </c>
      <c r="C353" s="251">
        <f>IF(C$4&gt;DAY(EOMONTH(DATE($D$2,$B$2,1),0)),"",IFERROR(SUMIFS(DATA_GOC!$H:$H,DATA_GOC!$A:$A,"BOM",DATA_GOC!$D:$D,$B353,DATA_GOC!$E:$E,"Dầu thủy lực",DATA_GOC!$F:$F,"Xuất nội bộ từ téc",DATA_GOC!$B:$B,DATE($D$2,$B$2,C$4)),0))</f>
        <v>0</v>
      </c>
      <c r="D353" s="251">
        <f>IF(D$4&gt;DAY(EOMONTH(DATE($D$2,$B$2,1),0)),"",IFERROR(SUMIFS(DATA_GOC!$H:$H,DATA_GOC!$A:$A,"BOM",DATA_GOC!$D:$D,$B353,DATA_GOC!$E:$E,"Dầu thủy lực",DATA_GOC!$F:$F,"Xuất nội bộ từ téc",DATA_GOC!$B:$B,DATE($D$2,$B$2,D$4)),0))</f>
        <v>0</v>
      </c>
      <c r="E353" s="251">
        <f>IF(E$4&gt;DAY(EOMONTH(DATE($D$2,$B$2,1),0)),"",IFERROR(SUMIFS(DATA_GOC!$H:$H,DATA_GOC!$A:$A,"BOM",DATA_GOC!$D:$D,$B353,DATA_GOC!$E:$E,"Dầu thủy lực",DATA_GOC!$F:$F,"Xuất nội bộ từ téc",DATA_GOC!$B:$B,DATE($D$2,$B$2,E$4)),0))</f>
        <v>0</v>
      </c>
      <c r="F353" s="251">
        <f>IF(F$4&gt;DAY(EOMONTH(DATE($D$2,$B$2,1),0)),"",IFERROR(SUMIFS(DATA_GOC!$H:$H,DATA_GOC!$A:$A,"BOM",DATA_GOC!$D:$D,$B353,DATA_GOC!$E:$E,"Dầu thủy lực",DATA_GOC!$F:$F,"Xuất nội bộ từ téc",DATA_GOC!$B:$B,DATE($D$2,$B$2,F$4)),0))</f>
        <v>0</v>
      </c>
      <c r="G353" s="251">
        <f>IF(G$4&gt;DAY(EOMONTH(DATE($D$2,$B$2,1),0)),"",IFERROR(SUMIFS(DATA_GOC!$H:$H,DATA_GOC!$A:$A,"BOM",DATA_GOC!$D:$D,$B353,DATA_GOC!$E:$E,"Dầu thủy lực",DATA_GOC!$F:$F,"Xuất nội bộ từ téc",DATA_GOC!$B:$B,DATE($D$2,$B$2,G$4)),0))</f>
        <v>0</v>
      </c>
      <c r="H353" s="251">
        <f>IF(H$4&gt;DAY(EOMONTH(DATE($D$2,$B$2,1),0)),"",IFERROR(SUMIFS(DATA_GOC!$H:$H,DATA_GOC!$A:$A,"BOM",DATA_GOC!$D:$D,$B353,DATA_GOC!$E:$E,"Dầu thủy lực",DATA_GOC!$F:$F,"Xuất nội bộ từ téc",DATA_GOC!$B:$B,DATE($D$2,$B$2,H$4)),0))</f>
        <v>0</v>
      </c>
      <c r="I353" s="251">
        <f>IF(I$4&gt;DAY(EOMONTH(DATE($D$2,$B$2,1),0)),"",IFERROR(SUMIFS(DATA_GOC!$H:$H,DATA_GOC!$A:$A,"BOM",DATA_GOC!$D:$D,$B353,DATA_GOC!$E:$E,"Dầu thủy lực",DATA_GOC!$F:$F,"Xuất nội bộ từ téc",DATA_GOC!$B:$B,DATE($D$2,$B$2,I$4)),0))</f>
        <v>0</v>
      </c>
      <c r="J353" s="251">
        <f>IF(J$4&gt;DAY(EOMONTH(DATE($D$2,$B$2,1),0)),"",IFERROR(SUMIFS(DATA_GOC!$H:$H,DATA_GOC!$A:$A,"BOM",DATA_GOC!$D:$D,$B353,DATA_GOC!$E:$E,"Dầu thủy lực",DATA_GOC!$F:$F,"Xuất nội bộ từ téc",DATA_GOC!$B:$B,DATE($D$2,$B$2,J$4)),0))</f>
        <v>0</v>
      </c>
      <c r="K353" s="251">
        <f>IF(K$4&gt;DAY(EOMONTH(DATE($D$2,$B$2,1),0)),"",IFERROR(SUMIFS(DATA_GOC!$H:$H,DATA_GOC!$A:$A,"BOM",DATA_GOC!$D:$D,$B353,DATA_GOC!$E:$E,"Dầu thủy lực",DATA_GOC!$F:$F,"Xuất nội bộ từ téc",DATA_GOC!$B:$B,DATE($D$2,$B$2,K$4)),0))</f>
        <v>0</v>
      </c>
      <c r="L353" s="251">
        <f>IF(L$4&gt;DAY(EOMONTH(DATE($D$2,$B$2,1),0)),"",IFERROR(SUMIFS(DATA_GOC!$H:$H,DATA_GOC!$A:$A,"BOM",DATA_GOC!$D:$D,$B353,DATA_GOC!$E:$E,"Dầu thủy lực",DATA_GOC!$F:$F,"Xuất nội bộ từ téc",DATA_GOC!$B:$B,DATE($D$2,$B$2,L$4)),0))</f>
        <v>0</v>
      </c>
      <c r="M353" s="251">
        <f>IF(M$4&gt;DAY(EOMONTH(DATE($D$2,$B$2,1),0)),"",IFERROR(SUMIFS(DATA_GOC!$H:$H,DATA_GOC!$A:$A,"BOM",DATA_GOC!$D:$D,$B353,DATA_GOC!$E:$E,"Dầu thủy lực",DATA_GOC!$F:$F,"Xuất nội bộ từ téc",DATA_GOC!$B:$B,DATE($D$2,$B$2,M$4)),0))</f>
        <v>0</v>
      </c>
      <c r="N353" s="251">
        <f>IF(N$4&gt;DAY(EOMONTH(DATE($D$2,$B$2,1),0)),"",IFERROR(SUMIFS(DATA_GOC!$H:$H,DATA_GOC!$A:$A,"BOM",DATA_GOC!$D:$D,$B353,DATA_GOC!$E:$E,"Dầu thủy lực",DATA_GOC!$F:$F,"Xuất nội bộ từ téc",DATA_GOC!$B:$B,DATE($D$2,$B$2,N$4)),0))</f>
        <v>0</v>
      </c>
      <c r="O353" s="251">
        <f>IF(O$4&gt;DAY(EOMONTH(DATE($D$2,$B$2,1),0)),"",IFERROR(SUMIFS(DATA_GOC!$H:$H,DATA_GOC!$A:$A,"BOM",DATA_GOC!$D:$D,$B353,DATA_GOC!$E:$E,"Dầu thủy lực",DATA_GOC!$F:$F,"Xuất nội bộ từ téc",DATA_GOC!$B:$B,DATE($D$2,$B$2,O$4)),0))</f>
        <v>0</v>
      </c>
      <c r="P353" s="251">
        <f>IF(P$4&gt;DAY(EOMONTH(DATE($D$2,$B$2,1),0)),"",IFERROR(SUMIFS(DATA_GOC!$H:$H,DATA_GOC!$A:$A,"BOM",DATA_GOC!$D:$D,$B353,DATA_GOC!$E:$E,"Dầu thủy lực",DATA_GOC!$F:$F,"Xuất nội bộ từ téc",DATA_GOC!$B:$B,DATE($D$2,$B$2,P$4)),0))</f>
        <v>0</v>
      </c>
      <c r="Q353" s="251">
        <f>IF(Q$4&gt;DAY(EOMONTH(DATE($D$2,$B$2,1),0)),"",IFERROR(SUMIFS(DATA_GOC!$H:$H,DATA_GOC!$A:$A,"BOM",DATA_GOC!$D:$D,$B353,DATA_GOC!$E:$E,"Dầu thủy lực",DATA_GOC!$F:$F,"Xuất nội bộ từ téc",DATA_GOC!$B:$B,DATE($D$2,$B$2,Q$4)),0))</f>
        <v>0</v>
      </c>
      <c r="R353" s="251">
        <f>IF(R$4&gt;DAY(EOMONTH(DATE($D$2,$B$2,1),0)),"",IFERROR(SUMIFS(DATA_GOC!$H:$H,DATA_GOC!$A:$A,"BOM",DATA_GOC!$D:$D,$B353,DATA_GOC!$E:$E,"Dầu thủy lực",DATA_GOC!$F:$F,"Xuất nội bộ từ téc",DATA_GOC!$B:$B,DATE($D$2,$B$2,R$4)),0))</f>
        <v>0</v>
      </c>
      <c r="S353" s="251">
        <f>IF(S$4&gt;DAY(EOMONTH(DATE($D$2,$B$2,1),0)),"",IFERROR(SUMIFS(DATA_GOC!$H:$H,DATA_GOC!$A:$A,"BOM",DATA_GOC!$D:$D,$B353,DATA_GOC!$E:$E,"Dầu thủy lực",DATA_GOC!$F:$F,"Xuất nội bộ từ téc",DATA_GOC!$B:$B,DATE($D$2,$B$2,S$4)),0))</f>
        <v>0</v>
      </c>
      <c r="T353" s="251">
        <f>IF(T$4&gt;DAY(EOMONTH(DATE($D$2,$B$2,1),0)),"",IFERROR(SUMIFS(DATA_GOC!$H:$H,DATA_GOC!$A:$A,"BOM",DATA_GOC!$D:$D,$B353,DATA_GOC!$E:$E,"Dầu thủy lực",DATA_GOC!$F:$F,"Xuất nội bộ từ téc",DATA_GOC!$B:$B,DATE($D$2,$B$2,T$4)),0))</f>
        <v>0</v>
      </c>
      <c r="U353" s="251">
        <f>IF(U$4&gt;DAY(EOMONTH(DATE($D$2,$B$2,1),0)),"",IFERROR(SUMIFS(DATA_GOC!$H:$H,DATA_GOC!$A:$A,"BOM",DATA_GOC!$D:$D,$B353,DATA_GOC!$E:$E,"Dầu thủy lực",DATA_GOC!$F:$F,"Xuất nội bộ từ téc",DATA_GOC!$B:$B,DATE($D$2,$B$2,U$4)),0))</f>
        <v>0</v>
      </c>
      <c r="V353" s="251">
        <f>IF(V$4&gt;DAY(EOMONTH(DATE($D$2,$B$2,1),0)),"",IFERROR(SUMIFS(DATA_GOC!$H:$H,DATA_GOC!$A:$A,"BOM",DATA_GOC!$D:$D,$B353,DATA_GOC!$E:$E,"Dầu thủy lực",DATA_GOC!$F:$F,"Xuất nội bộ từ téc",DATA_GOC!$B:$B,DATE($D$2,$B$2,V$4)),0))</f>
        <v>0</v>
      </c>
      <c r="W353" s="251">
        <f>IF(W$4&gt;DAY(EOMONTH(DATE($D$2,$B$2,1),0)),"",IFERROR(SUMIFS(DATA_GOC!$H:$H,DATA_GOC!$A:$A,"BOM",DATA_GOC!$D:$D,$B353,DATA_GOC!$E:$E,"Dầu thủy lực",DATA_GOC!$F:$F,"Xuất nội bộ từ téc",DATA_GOC!$B:$B,DATE($D$2,$B$2,W$4)),0))</f>
        <v>0</v>
      </c>
      <c r="X353" s="251">
        <f>IF(X$4&gt;DAY(EOMONTH(DATE($D$2,$B$2,1),0)),"",IFERROR(SUMIFS(DATA_GOC!$H:$H,DATA_GOC!$A:$A,"BOM",DATA_GOC!$D:$D,$B353,DATA_GOC!$E:$E,"Dầu thủy lực",DATA_GOC!$F:$F,"Xuất nội bộ từ téc",DATA_GOC!$B:$B,DATE($D$2,$B$2,X$4)),0))</f>
        <v>0</v>
      </c>
      <c r="Y353" s="251">
        <f>IF(Y$4&gt;DAY(EOMONTH(DATE($D$2,$B$2,1),0)),"",IFERROR(SUMIFS(DATA_GOC!$H:$H,DATA_GOC!$A:$A,"BOM",DATA_GOC!$D:$D,$B353,DATA_GOC!$E:$E,"Dầu thủy lực",DATA_GOC!$F:$F,"Xuất nội bộ từ téc",DATA_GOC!$B:$B,DATE($D$2,$B$2,Y$4)),0))</f>
        <v>0</v>
      </c>
      <c r="Z353" s="251">
        <f>IF(Z$4&gt;DAY(EOMONTH(DATE($D$2,$B$2,1),0)),"",IFERROR(SUMIFS(DATA_GOC!$H:$H,DATA_GOC!$A:$A,"BOM",DATA_GOC!$D:$D,$B353,DATA_GOC!$E:$E,"Dầu thủy lực",DATA_GOC!$F:$F,"Xuất nội bộ từ téc",DATA_GOC!$B:$B,DATE($D$2,$B$2,Z$4)),0))</f>
        <v>0</v>
      </c>
      <c r="AA353" s="251">
        <f>IF(AA$4&gt;DAY(EOMONTH(DATE($D$2,$B$2,1),0)),"",IFERROR(SUMIFS(DATA_GOC!$H:$H,DATA_GOC!$A:$A,"BOM",DATA_GOC!$D:$D,$B353,DATA_GOC!$E:$E,"Dầu thủy lực",DATA_GOC!$F:$F,"Xuất nội bộ từ téc",DATA_GOC!$B:$B,DATE($D$2,$B$2,AA$4)),0))</f>
        <v>0</v>
      </c>
      <c r="AB353" s="251">
        <f>IF(AB$4&gt;DAY(EOMONTH(DATE($D$2,$B$2,1),0)),"",IFERROR(SUMIFS(DATA_GOC!$H:$H,DATA_GOC!$A:$A,"BOM",DATA_GOC!$D:$D,$B353,DATA_GOC!$E:$E,"Dầu thủy lực",DATA_GOC!$F:$F,"Xuất nội bộ từ téc",DATA_GOC!$B:$B,DATE($D$2,$B$2,AB$4)),0))</f>
        <v>0</v>
      </c>
      <c r="AC353" s="251">
        <f>IF(AC$4&gt;DAY(EOMONTH(DATE($D$2,$B$2,1),0)),"",IFERROR(SUMIFS(DATA_GOC!$H:$H,DATA_GOC!$A:$A,"BOM",DATA_GOC!$D:$D,$B353,DATA_GOC!$E:$E,"Dầu thủy lực",DATA_GOC!$F:$F,"Xuất nội bộ từ téc",DATA_GOC!$B:$B,DATE($D$2,$B$2,AC$4)),0))</f>
        <v>0</v>
      </c>
      <c r="AD353" s="251">
        <f>IF(AD$4&gt;DAY(EOMONTH(DATE($D$2,$B$2,1),0)),"",IFERROR(SUMIFS(DATA_GOC!$H:$H,DATA_GOC!$A:$A,"BOM",DATA_GOC!$D:$D,$B353,DATA_GOC!$E:$E,"Dầu thủy lực",DATA_GOC!$F:$F,"Xuất nội bộ từ téc",DATA_GOC!$B:$B,DATE($D$2,$B$2,AD$4)),0))</f>
        <v>0</v>
      </c>
      <c r="AE353" s="251">
        <f>IF(AE$4&gt;DAY(EOMONTH(DATE($D$2,$B$2,1),0)),"",IFERROR(SUMIFS(DATA_GOC!$H:$H,DATA_GOC!$A:$A,"BOM",DATA_GOC!$D:$D,$B353,DATA_GOC!$E:$E,"Dầu thủy lực",DATA_GOC!$F:$F,"Xuất nội bộ từ téc",DATA_GOC!$B:$B,DATE($D$2,$B$2,AE$4)),0))</f>
        <v>0</v>
      </c>
      <c r="AF353" s="251">
        <f>IF(AF$4&gt;DAY(EOMONTH(DATE($D$2,$B$2,1),0)),"",IFERROR(SUMIFS(DATA_GOC!$H:$H,DATA_GOC!$A:$A,"BOM",DATA_GOC!$D:$D,$B353,DATA_GOC!$E:$E,"Dầu thủy lực",DATA_GOC!$F:$F,"Xuất nội bộ từ téc",DATA_GOC!$B:$B,DATE($D$2,$B$2,AF$4)),0))</f>
        <v>0</v>
      </c>
      <c r="AG353" s="251">
        <f>IF(AG$4&gt;DAY(EOMONTH(DATE($D$2,$B$2,1),0)),"",IFERROR(SUMIFS(DATA_GOC!$H:$H,DATA_GOC!$A:$A,"BOM",DATA_GOC!$D:$D,$B353,DATA_GOC!$E:$E,"Dầu thủy lực",DATA_GOC!$F:$F,"Xuất nội bộ từ téc",DATA_GOC!$B:$B,DATE($D$2,$B$2,AG$4)),0))</f>
        <v>0</v>
      </c>
      <c r="AH353" s="252">
        <f t="shared" si="16"/>
        <v>0</v>
      </c>
      <c r="AI353" s="241"/>
      <c r="AJ353" s="242">
        <f>IF($B353="","",SUMIFS(TINH_TEC!$K$233:$K$9232,TINH_TEC!$H$233:$H$9232,$B353,TINH_TEC!$C$233:$C$9232,"Dầu thủy lực",TINH_TEC!$F$233:$F$9232,$B$2,TINH_TEC!$G$233:$G$9232,$D$2,TINH_TEC!$B$233:$B$9232,"Đã chốt"))</f>
        <v>0</v>
      </c>
      <c r="AK353" s="242">
        <f>IF($B353="","",SUMIFS(TINH_TEC!$J$233:$J$9232,TINH_TEC!$H$233:$H$9232,$B353,TINH_TEC!$C$233:$C$9232,"Dầu thủy lực",TINH_TEC!$F$233:$F$9232,$B$2,TINH_TEC!$G$233:$G$9232,$D$2,TINH_TEC!$B$233:$B$9232,"Đã chốt"))</f>
        <v>0</v>
      </c>
      <c r="AL353" s="242">
        <f t="shared" si="17"/>
        <v>0</v>
      </c>
    </row>
    <row r="354" ht="15.75" customHeight="1">
      <c r="A354" s="237">
        <f>IF($B354&lt;&gt;"",44,"")</f>
        <v>44</v>
      </c>
      <c r="B354" s="250" t="str">
        <f t="array" ref="B354">IFERROR(INDEX(DANH_MUC!$E:$E,47),"")</f>
        <v>29E17417</v>
      </c>
      <c r="C354" s="251">
        <f>IF(C$4&gt;DAY(EOMONTH(DATE($D$2,$B$2,1),0)),"",IFERROR(SUMIFS(DATA_GOC!$H:$H,DATA_GOC!$A:$A,"BOM",DATA_GOC!$D:$D,$B354,DATA_GOC!$E:$E,"Dầu thủy lực",DATA_GOC!$F:$F,"Xuất nội bộ từ téc",DATA_GOC!$B:$B,DATE($D$2,$B$2,C$4)),0))</f>
        <v>0</v>
      </c>
      <c r="D354" s="251">
        <f>IF(D$4&gt;DAY(EOMONTH(DATE($D$2,$B$2,1),0)),"",IFERROR(SUMIFS(DATA_GOC!$H:$H,DATA_GOC!$A:$A,"BOM",DATA_GOC!$D:$D,$B354,DATA_GOC!$E:$E,"Dầu thủy lực",DATA_GOC!$F:$F,"Xuất nội bộ từ téc",DATA_GOC!$B:$B,DATE($D$2,$B$2,D$4)),0))</f>
        <v>0</v>
      </c>
      <c r="E354" s="251">
        <f>IF(E$4&gt;DAY(EOMONTH(DATE($D$2,$B$2,1),0)),"",IFERROR(SUMIFS(DATA_GOC!$H:$H,DATA_GOC!$A:$A,"BOM",DATA_GOC!$D:$D,$B354,DATA_GOC!$E:$E,"Dầu thủy lực",DATA_GOC!$F:$F,"Xuất nội bộ từ téc",DATA_GOC!$B:$B,DATE($D$2,$B$2,E$4)),0))</f>
        <v>0</v>
      </c>
      <c r="F354" s="251">
        <f>IF(F$4&gt;DAY(EOMONTH(DATE($D$2,$B$2,1),0)),"",IFERROR(SUMIFS(DATA_GOC!$H:$H,DATA_GOC!$A:$A,"BOM",DATA_GOC!$D:$D,$B354,DATA_GOC!$E:$E,"Dầu thủy lực",DATA_GOC!$F:$F,"Xuất nội bộ từ téc",DATA_GOC!$B:$B,DATE($D$2,$B$2,F$4)),0))</f>
        <v>0</v>
      </c>
      <c r="G354" s="251">
        <f>IF(G$4&gt;DAY(EOMONTH(DATE($D$2,$B$2,1),0)),"",IFERROR(SUMIFS(DATA_GOC!$H:$H,DATA_GOC!$A:$A,"BOM",DATA_GOC!$D:$D,$B354,DATA_GOC!$E:$E,"Dầu thủy lực",DATA_GOC!$F:$F,"Xuất nội bộ từ téc",DATA_GOC!$B:$B,DATE($D$2,$B$2,G$4)),0))</f>
        <v>0</v>
      </c>
      <c r="H354" s="251">
        <f>IF(H$4&gt;DAY(EOMONTH(DATE($D$2,$B$2,1),0)),"",IFERROR(SUMIFS(DATA_GOC!$H:$H,DATA_GOC!$A:$A,"BOM",DATA_GOC!$D:$D,$B354,DATA_GOC!$E:$E,"Dầu thủy lực",DATA_GOC!$F:$F,"Xuất nội bộ từ téc",DATA_GOC!$B:$B,DATE($D$2,$B$2,H$4)),0))</f>
        <v>0</v>
      </c>
      <c r="I354" s="251">
        <f>IF(I$4&gt;DAY(EOMONTH(DATE($D$2,$B$2,1),0)),"",IFERROR(SUMIFS(DATA_GOC!$H:$H,DATA_GOC!$A:$A,"BOM",DATA_GOC!$D:$D,$B354,DATA_GOC!$E:$E,"Dầu thủy lực",DATA_GOC!$F:$F,"Xuất nội bộ từ téc",DATA_GOC!$B:$B,DATE($D$2,$B$2,I$4)),0))</f>
        <v>0</v>
      </c>
      <c r="J354" s="251">
        <f>IF(J$4&gt;DAY(EOMONTH(DATE($D$2,$B$2,1),0)),"",IFERROR(SUMIFS(DATA_GOC!$H:$H,DATA_GOC!$A:$A,"BOM",DATA_GOC!$D:$D,$B354,DATA_GOC!$E:$E,"Dầu thủy lực",DATA_GOC!$F:$F,"Xuất nội bộ từ téc",DATA_GOC!$B:$B,DATE($D$2,$B$2,J$4)),0))</f>
        <v>0</v>
      </c>
      <c r="K354" s="251">
        <f>IF(K$4&gt;DAY(EOMONTH(DATE($D$2,$B$2,1),0)),"",IFERROR(SUMIFS(DATA_GOC!$H:$H,DATA_GOC!$A:$A,"BOM",DATA_GOC!$D:$D,$B354,DATA_GOC!$E:$E,"Dầu thủy lực",DATA_GOC!$F:$F,"Xuất nội bộ từ téc",DATA_GOC!$B:$B,DATE($D$2,$B$2,K$4)),0))</f>
        <v>0</v>
      </c>
      <c r="L354" s="251">
        <f>IF(L$4&gt;DAY(EOMONTH(DATE($D$2,$B$2,1),0)),"",IFERROR(SUMIFS(DATA_GOC!$H:$H,DATA_GOC!$A:$A,"BOM",DATA_GOC!$D:$D,$B354,DATA_GOC!$E:$E,"Dầu thủy lực",DATA_GOC!$F:$F,"Xuất nội bộ từ téc",DATA_GOC!$B:$B,DATE($D$2,$B$2,L$4)),0))</f>
        <v>0</v>
      </c>
      <c r="M354" s="251">
        <f>IF(M$4&gt;DAY(EOMONTH(DATE($D$2,$B$2,1),0)),"",IFERROR(SUMIFS(DATA_GOC!$H:$H,DATA_GOC!$A:$A,"BOM",DATA_GOC!$D:$D,$B354,DATA_GOC!$E:$E,"Dầu thủy lực",DATA_GOC!$F:$F,"Xuất nội bộ từ téc",DATA_GOC!$B:$B,DATE($D$2,$B$2,M$4)),0))</f>
        <v>0</v>
      </c>
      <c r="N354" s="251">
        <f>IF(N$4&gt;DAY(EOMONTH(DATE($D$2,$B$2,1),0)),"",IFERROR(SUMIFS(DATA_GOC!$H:$H,DATA_GOC!$A:$A,"BOM",DATA_GOC!$D:$D,$B354,DATA_GOC!$E:$E,"Dầu thủy lực",DATA_GOC!$F:$F,"Xuất nội bộ từ téc",DATA_GOC!$B:$B,DATE($D$2,$B$2,N$4)),0))</f>
        <v>0</v>
      </c>
      <c r="O354" s="251">
        <f>IF(O$4&gt;DAY(EOMONTH(DATE($D$2,$B$2,1),0)),"",IFERROR(SUMIFS(DATA_GOC!$H:$H,DATA_GOC!$A:$A,"BOM",DATA_GOC!$D:$D,$B354,DATA_GOC!$E:$E,"Dầu thủy lực",DATA_GOC!$F:$F,"Xuất nội bộ từ téc",DATA_GOC!$B:$B,DATE($D$2,$B$2,O$4)),0))</f>
        <v>0</v>
      </c>
      <c r="P354" s="251">
        <f>IF(P$4&gt;DAY(EOMONTH(DATE($D$2,$B$2,1),0)),"",IFERROR(SUMIFS(DATA_GOC!$H:$H,DATA_GOC!$A:$A,"BOM",DATA_GOC!$D:$D,$B354,DATA_GOC!$E:$E,"Dầu thủy lực",DATA_GOC!$F:$F,"Xuất nội bộ từ téc",DATA_GOC!$B:$B,DATE($D$2,$B$2,P$4)),0))</f>
        <v>0</v>
      </c>
      <c r="Q354" s="251">
        <f>IF(Q$4&gt;DAY(EOMONTH(DATE($D$2,$B$2,1),0)),"",IFERROR(SUMIFS(DATA_GOC!$H:$H,DATA_GOC!$A:$A,"BOM",DATA_GOC!$D:$D,$B354,DATA_GOC!$E:$E,"Dầu thủy lực",DATA_GOC!$F:$F,"Xuất nội bộ từ téc",DATA_GOC!$B:$B,DATE($D$2,$B$2,Q$4)),0))</f>
        <v>0</v>
      </c>
      <c r="R354" s="251">
        <f>IF(R$4&gt;DAY(EOMONTH(DATE($D$2,$B$2,1),0)),"",IFERROR(SUMIFS(DATA_GOC!$H:$H,DATA_GOC!$A:$A,"BOM",DATA_GOC!$D:$D,$B354,DATA_GOC!$E:$E,"Dầu thủy lực",DATA_GOC!$F:$F,"Xuất nội bộ từ téc",DATA_GOC!$B:$B,DATE($D$2,$B$2,R$4)),0))</f>
        <v>0</v>
      </c>
      <c r="S354" s="251">
        <f>IF(S$4&gt;DAY(EOMONTH(DATE($D$2,$B$2,1),0)),"",IFERROR(SUMIFS(DATA_GOC!$H:$H,DATA_GOC!$A:$A,"BOM",DATA_GOC!$D:$D,$B354,DATA_GOC!$E:$E,"Dầu thủy lực",DATA_GOC!$F:$F,"Xuất nội bộ từ téc",DATA_GOC!$B:$B,DATE($D$2,$B$2,S$4)),0))</f>
        <v>0</v>
      </c>
      <c r="T354" s="251">
        <f>IF(T$4&gt;DAY(EOMONTH(DATE($D$2,$B$2,1),0)),"",IFERROR(SUMIFS(DATA_GOC!$H:$H,DATA_GOC!$A:$A,"BOM",DATA_GOC!$D:$D,$B354,DATA_GOC!$E:$E,"Dầu thủy lực",DATA_GOC!$F:$F,"Xuất nội bộ từ téc",DATA_GOC!$B:$B,DATE($D$2,$B$2,T$4)),0))</f>
        <v>0</v>
      </c>
      <c r="U354" s="251">
        <f>IF(U$4&gt;DAY(EOMONTH(DATE($D$2,$B$2,1),0)),"",IFERROR(SUMIFS(DATA_GOC!$H:$H,DATA_GOC!$A:$A,"BOM",DATA_GOC!$D:$D,$B354,DATA_GOC!$E:$E,"Dầu thủy lực",DATA_GOC!$F:$F,"Xuất nội bộ từ téc",DATA_GOC!$B:$B,DATE($D$2,$B$2,U$4)),0))</f>
        <v>0</v>
      </c>
      <c r="V354" s="251">
        <f>IF(V$4&gt;DAY(EOMONTH(DATE($D$2,$B$2,1),0)),"",IFERROR(SUMIFS(DATA_GOC!$H:$H,DATA_GOC!$A:$A,"BOM",DATA_GOC!$D:$D,$B354,DATA_GOC!$E:$E,"Dầu thủy lực",DATA_GOC!$F:$F,"Xuất nội bộ từ téc",DATA_GOC!$B:$B,DATE($D$2,$B$2,V$4)),0))</f>
        <v>0</v>
      </c>
      <c r="W354" s="251">
        <f>IF(W$4&gt;DAY(EOMONTH(DATE($D$2,$B$2,1),0)),"",IFERROR(SUMIFS(DATA_GOC!$H:$H,DATA_GOC!$A:$A,"BOM",DATA_GOC!$D:$D,$B354,DATA_GOC!$E:$E,"Dầu thủy lực",DATA_GOC!$F:$F,"Xuất nội bộ từ téc",DATA_GOC!$B:$B,DATE($D$2,$B$2,W$4)),0))</f>
        <v>0</v>
      </c>
      <c r="X354" s="251">
        <f>IF(X$4&gt;DAY(EOMONTH(DATE($D$2,$B$2,1),0)),"",IFERROR(SUMIFS(DATA_GOC!$H:$H,DATA_GOC!$A:$A,"BOM",DATA_GOC!$D:$D,$B354,DATA_GOC!$E:$E,"Dầu thủy lực",DATA_GOC!$F:$F,"Xuất nội bộ từ téc",DATA_GOC!$B:$B,DATE($D$2,$B$2,X$4)),0))</f>
        <v>0</v>
      </c>
      <c r="Y354" s="251">
        <f>IF(Y$4&gt;DAY(EOMONTH(DATE($D$2,$B$2,1),0)),"",IFERROR(SUMIFS(DATA_GOC!$H:$H,DATA_GOC!$A:$A,"BOM",DATA_GOC!$D:$D,$B354,DATA_GOC!$E:$E,"Dầu thủy lực",DATA_GOC!$F:$F,"Xuất nội bộ từ téc",DATA_GOC!$B:$B,DATE($D$2,$B$2,Y$4)),0))</f>
        <v>0</v>
      </c>
      <c r="Z354" s="251">
        <f>IF(Z$4&gt;DAY(EOMONTH(DATE($D$2,$B$2,1),0)),"",IFERROR(SUMIFS(DATA_GOC!$H:$H,DATA_GOC!$A:$A,"BOM",DATA_GOC!$D:$D,$B354,DATA_GOC!$E:$E,"Dầu thủy lực",DATA_GOC!$F:$F,"Xuất nội bộ từ téc",DATA_GOC!$B:$B,DATE($D$2,$B$2,Z$4)),0))</f>
        <v>0</v>
      </c>
      <c r="AA354" s="251">
        <f>IF(AA$4&gt;DAY(EOMONTH(DATE($D$2,$B$2,1),0)),"",IFERROR(SUMIFS(DATA_GOC!$H:$H,DATA_GOC!$A:$A,"BOM",DATA_GOC!$D:$D,$B354,DATA_GOC!$E:$E,"Dầu thủy lực",DATA_GOC!$F:$F,"Xuất nội bộ từ téc",DATA_GOC!$B:$B,DATE($D$2,$B$2,AA$4)),0))</f>
        <v>0</v>
      </c>
      <c r="AB354" s="251">
        <f>IF(AB$4&gt;DAY(EOMONTH(DATE($D$2,$B$2,1),0)),"",IFERROR(SUMIFS(DATA_GOC!$H:$H,DATA_GOC!$A:$A,"BOM",DATA_GOC!$D:$D,$B354,DATA_GOC!$E:$E,"Dầu thủy lực",DATA_GOC!$F:$F,"Xuất nội bộ từ téc",DATA_GOC!$B:$B,DATE($D$2,$B$2,AB$4)),0))</f>
        <v>0</v>
      </c>
      <c r="AC354" s="251">
        <f>IF(AC$4&gt;DAY(EOMONTH(DATE($D$2,$B$2,1),0)),"",IFERROR(SUMIFS(DATA_GOC!$H:$H,DATA_GOC!$A:$A,"BOM",DATA_GOC!$D:$D,$B354,DATA_GOC!$E:$E,"Dầu thủy lực",DATA_GOC!$F:$F,"Xuất nội bộ từ téc",DATA_GOC!$B:$B,DATE($D$2,$B$2,AC$4)),0))</f>
        <v>0</v>
      </c>
      <c r="AD354" s="251">
        <f>IF(AD$4&gt;DAY(EOMONTH(DATE($D$2,$B$2,1),0)),"",IFERROR(SUMIFS(DATA_GOC!$H:$H,DATA_GOC!$A:$A,"BOM",DATA_GOC!$D:$D,$B354,DATA_GOC!$E:$E,"Dầu thủy lực",DATA_GOC!$F:$F,"Xuất nội bộ từ téc",DATA_GOC!$B:$B,DATE($D$2,$B$2,AD$4)),0))</f>
        <v>0</v>
      </c>
      <c r="AE354" s="251">
        <f>IF(AE$4&gt;DAY(EOMONTH(DATE($D$2,$B$2,1),0)),"",IFERROR(SUMIFS(DATA_GOC!$H:$H,DATA_GOC!$A:$A,"BOM",DATA_GOC!$D:$D,$B354,DATA_GOC!$E:$E,"Dầu thủy lực",DATA_GOC!$F:$F,"Xuất nội bộ từ téc",DATA_GOC!$B:$B,DATE($D$2,$B$2,AE$4)),0))</f>
        <v>0</v>
      </c>
      <c r="AF354" s="251">
        <f>IF(AF$4&gt;DAY(EOMONTH(DATE($D$2,$B$2,1),0)),"",IFERROR(SUMIFS(DATA_GOC!$H:$H,DATA_GOC!$A:$A,"BOM",DATA_GOC!$D:$D,$B354,DATA_GOC!$E:$E,"Dầu thủy lực",DATA_GOC!$F:$F,"Xuất nội bộ từ téc",DATA_GOC!$B:$B,DATE($D$2,$B$2,AF$4)),0))</f>
        <v>0</v>
      </c>
      <c r="AG354" s="251">
        <f>IF(AG$4&gt;DAY(EOMONTH(DATE($D$2,$B$2,1),0)),"",IFERROR(SUMIFS(DATA_GOC!$H:$H,DATA_GOC!$A:$A,"BOM",DATA_GOC!$D:$D,$B354,DATA_GOC!$E:$E,"Dầu thủy lực",DATA_GOC!$F:$F,"Xuất nội bộ từ téc",DATA_GOC!$B:$B,DATE($D$2,$B$2,AG$4)),0))</f>
        <v>0</v>
      </c>
      <c r="AH354" s="252">
        <f t="shared" si="16"/>
        <v>0</v>
      </c>
      <c r="AI354" s="241"/>
      <c r="AJ354" s="242">
        <f>IF($B354="","",SUMIFS(TINH_TEC!$K$233:$K$9232,TINH_TEC!$H$233:$H$9232,$B354,TINH_TEC!$C$233:$C$9232,"Dầu thủy lực",TINH_TEC!$F$233:$F$9232,$B$2,TINH_TEC!$G$233:$G$9232,$D$2,TINH_TEC!$B$233:$B$9232,"Đã chốt"))</f>
        <v>0</v>
      </c>
      <c r="AK354" s="242">
        <f>IF($B354="","",SUMIFS(TINH_TEC!$J$233:$J$9232,TINH_TEC!$H$233:$H$9232,$B354,TINH_TEC!$C$233:$C$9232,"Dầu thủy lực",TINH_TEC!$F$233:$F$9232,$B$2,TINH_TEC!$G$233:$G$9232,$D$2,TINH_TEC!$B$233:$B$9232,"Đã chốt"))</f>
        <v>0</v>
      </c>
      <c r="AL354" s="242">
        <f t="shared" si="17"/>
        <v>0</v>
      </c>
    </row>
    <row r="355" ht="15.75" customHeight="1">
      <c r="A355" s="237">
        <f>IF($B355&lt;&gt;"",45,"")</f>
        <v>45</v>
      </c>
      <c r="B355" s="250" t="str">
        <f t="array" ref="B355">IFERROR(INDEX(DANH_MUC!$E:$E,48),"")</f>
        <v>29E17539</v>
      </c>
      <c r="C355" s="251">
        <f>IF(C$4&gt;DAY(EOMONTH(DATE($D$2,$B$2,1),0)),"",IFERROR(SUMIFS(DATA_GOC!$H:$H,DATA_GOC!$A:$A,"BOM",DATA_GOC!$D:$D,$B355,DATA_GOC!$E:$E,"Dầu thủy lực",DATA_GOC!$F:$F,"Xuất nội bộ từ téc",DATA_GOC!$B:$B,DATE($D$2,$B$2,C$4)),0))</f>
        <v>0</v>
      </c>
      <c r="D355" s="251">
        <f>IF(D$4&gt;DAY(EOMONTH(DATE($D$2,$B$2,1),0)),"",IFERROR(SUMIFS(DATA_GOC!$H:$H,DATA_GOC!$A:$A,"BOM",DATA_GOC!$D:$D,$B355,DATA_GOC!$E:$E,"Dầu thủy lực",DATA_GOC!$F:$F,"Xuất nội bộ từ téc",DATA_GOC!$B:$B,DATE($D$2,$B$2,D$4)),0))</f>
        <v>0</v>
      </c>
      <c r="E355" s="251">
        <f>IF(E$4&gt;DAY(EOMONTH(DATE($D$2,$B$2,1),0)),"",IFERROR(SUMIFS(DATA_GOC!$H:$H,DATA_GOC!$A:$A,"BOM",DATA_GOC!$D:$D,$B355,DATA_GOC!$E:$E,"Dầu thủy lực",DATA_GOC!$F:$F,"Xuất nội bộ từ téc",DATA_GOC!$B:$B,DATE($D$2,$B$2,E$4)),0))</f>
        <v>0</v>
      </c>
      <c r="F355" s="251">
        <f>IF(F$4&gt;DAY(EOMONTH(DATE($D$2,$B$2,1),0)),"",IFERROR(SUMIFS(DATA_GOC!$H:$H,DATA_GOC!$A:$A,"BOM",DATA_GOC!$D:$D,$B355,DATA_GOC!$E:$E,"Dầu thủy lực",DATA_GOC!$F:$F,"Xuất nội bộ từ téc",DATA_GOC!$B:$B,DATE($D$2,$B$2,F$4)),0))</f>
        <v>0</v>
      </c>
      <c r="G355" s="251">
        <f>IF(G$4&gt;DAY(EOMONTH(DATE($D$2,$B$2,1),0)),"",IFERROR(SUMIFS(DATA_GOC!$H:$H,DATA_GOC!$A:$A,"BOM",DATA_GOC!$D:$D,$B355,DATA_GOC!$E:$E,"Dầu thủy lực",DATA_GOC!$F:$F,"Xuất nội bộ từ téc",DATA_GOC!$B:$B,DATE($D$2,$B$2,G$4)),0))</f>
        <v>0</v>
      </c>
      <c r="H355" s="251">
        <f>IF(H$4&gt;DAY(EOMONTH(DATE($D$2,$B$2,1),0)),"",IFERROR(SUMIFS(DATA_GOC!$H:$H,DATA_GOC!$A:$A,"BOM",DATA_GOC!$D:$D,$B355,DATA_GOC!$E:$E,"Dầu thủy lực",DATA_GOC!$F:$F,"Xuất nội bộ từ téc",DATA_GOC!$B:$B,DATE($D$2,$B$2,H$4)),0))</f>
        <v>0</v>
      </c>
      <c r="I355" s="251">
        <f>IF(I$4&gt;DAY(EOMONTH(DATE($D$2,$B$2,1),0)),"",IFERROR(SUMIFS(DATA_GOC!$H:$H,DATA_GOC!$A:$A,"BOM",DATA_GOC!$D:$D,$B355,DATA_GOC!$E:$E,"Dầu thủy lực",DATA_GOC!$F:$F,"Xuất nội bộ từ téc",DATA_GOC!$B:$B,DATE($D$2,$B$2,I$4)),0))</f>
        <v>0</v>
      </c>
      <c r="J355" s="251">
        <f>IF(J$4&gt;DAY(EOMONTH(DATE($D$2,$B$2,1),0)),"",IFERROR(SUMIFS(DATA_GOC!$H:$H,DATA_GOC!$A:$A,"BOM",DATA_GOC!$D:$D,$B355,DATA_GOC!$E:$E,"Dầu thủy lực",DATA_GOC!$F:$F,"Xuất nội bộ từ téc",DATA_GOC!$B:$B,DATE($D$2,$B$2,J$4)),0))</f>
        <v>0</v>
      </c>
      <c r="K355" s="251">
        <f>IF(K$4&gt;DAY(EOMONTH(DATE($D$2,$B$2,1),0)),"",IFERROR(SUMIFS(DATA_GOC!$H:$H,DATA_GOC!$A:$A,"BOM",DATA_GOC!$D:$D,$B355,DATA_GOC!$E:$E,"Dầu thủy lực",DATA_GOC!$F:$F,"Xuất nội bộ từ téc",DATA_GOC!$B:$B,DATE($D$2,$B$2,K$4)),0))</f>
        <v>0</v>
      </c>
      <c r="L355" s="251">
        <f>IF(L$4&gt;DAY(EOMONTH(DATE($D$2,$B$2,1),0)),"",IFERROR(SUMIFS(DATA_GOC!$H:$H,DATA_GOC!$A:$A,"BOM",DATA_GOC!$D:$D,$B355,DATA_GOC!$E:$E,"Dầu thủy lực",DATA_GOC!$F:$F,"Xuất nội bộ từ téc",DATA_GOC!$B:$B,DATE($D$2,$B$2,L$4)),0))</f>
        <v>0</v>
      </c>
      <c r="M355" s="251">
        <f>IF(M$4&gt;DAY(EOMONTH(DATE($D$2,$B$2,1),0)),"",IFERROR(SUMIFS(DATA_GOC!$H:$H,DATA_GOC!$A:$A,"BOM",DATA_GOC!$D:$D,$B355,DATA_GOC!$E:$E,"Dầu thủy lực",DATA_GOC!$F:$F,"Xuất nội bộ từ téc",DATA_GOC!$B:$B,DATE($D$2,$B$2,M$4)),0))</f>
        <v>0</v>
      </c>
      <c r="N355" s="251">
        <f>IF(N$4&gt;DAY(EOMONTH(DATE($D$2,$B$2,1),0)),"",IFERROR(SUMIFS(DATA_GOC!$H:$H,DATA_GOC!$A:$A,"BOM",DATA_GOC!$D:$D,$B355,DATA_GOC!$E:$E,"Dầu thủy lực",DATA_GOC!$F:$F,"Xuất nội bộ từ téc",DATA_GOC!$B:$B,DATE($D$2,$B$2,N$4)),0))</f>
        <v>0</v>
      </c>
      <c r="O355" s="251">
        <f>IF(O$4&gt;DAY(EOMONTH(DATE($D$2,$B$2,1),0)),"",IFERROR(SUMIFS(DATA_GOC!$H:$H,DATA_GOC!$A:$A,"BOM",DATA_GOC!$D:$D,$B355,DATA_GOC!$E:$E,"Dầu thủy lực",DATA_GOC!$F:$F,"Xuất nội bộ từ téc",DATA_GOC!$B:$B,DATE($D$2,$B$2,O$4)),0))</f>
        <v>0</v>
      </c>
      <c r="P355" s="251">
        <f>IF(P$4&gt;DAY(EOMONTH(DATE($D$2,$B$2,1),0)),"",IFERROR(SUMIFS(DATA_GOC!$H:$H,DATA_GOC!$A:$A,"BOM",DATA_GOC!$D:$D,$B355,DATA_GOC!$E:$E,"Dầu thủy lực",DATA_GOC!$F:$F,"Xuất nội bộ từ téc",DATA_GOC!$B:$B,DATE($D$2,$B$2,P$4)),0))</f>
        <v>0</v>
      </c>
      <c r="Q355" s="251">
        <f>IF(Q$4&gt;DAY(EOMONTH(DATE($D$2,$B$2,1),0)),"",IFERROR(SUMIFS(DATA_GOC!$H:$H,DATA_GOC!$A:$A,"BOM",DATA_GOC!$D:$D,$B355,DATA_GOC!$E:$E,"Dầu thủy lực",DATA_GOC!$F:$F,"Xuất nội bộ từ téc",DATA_GOC!$B:$B,DATE($D$2,$B$2,Q$4)),0))</f>
        <v>0</v>
      </c>
      <c r="R355" s="251">
        <f>IF(R$4&gt;DAY(EOMONTH(DATE($D$2,$B$2,1),0)),"",IFERROR(SUMIFS(DATA_GOC!$H:$H,DATA_GOC!$A:$A,"BOM",DATA_GOC!$D:$D,$B355,DATA_GOC!$E:$E,"Dầu thủy lực",DATA_GOC!$F:$F,"Xuất nội bộ từ téc",DATA_GOC!$B:$B,DATE($D$2,$B$2,R$4)),0))</f>
        <v>0</v>
      </c>
      <c r="S355" s="251">
        <f>IF(S$4&gt;DAY(EOMONTH(DATE($D$2,$B$2,1),0)),"",IFERROR(SUMIFS(DATA_GOC!$H:$H,DATA_GOC!$A:$A,"BOM",DATA_GOC!$D:$D,$B355,DATA_GOC!$E:$E,"Dầu thủy lực",DATA_GOC!$F:$F,"Xuất nội bộ từ téc",DATA_GOC!$B:$B,DATE($D$2,$B$2,S$4)),0))</f>
        <v>0</v>
      </c>
      <c r="T355" s="251">
        <f>IF(T$4&gt;DAY(EOMONTH(DATE($D$2,$B$2,1),0)),"",IFERROR(SUMIFS(DATA_GOC!$H:$H,DATA_GOC!$A:$A,"BOM",DATA_GOC!$D:$D,$B355,DATA_GOC!$E:$E,"Dầu thủy lực",DATA_GOC!$F:$F,"Xuất nội bộ từ téc",DATA_GOC!$B:$B,DATE($D$2,$B$2,T$4)),0))</f>
        <v>0</v>
      </c>
      <c r="U355" s="251">
        <f>IF(U$4&gt;DAY(EOMONTH(DATE($D$2,$B$2,1),0)),"",IFERROR(SUMIFS(DATA_GOC!$H:$H,DATA_GOC!$A:$A,"BOM",DATA_GOC!$D:$D,$B355,DATA_GOC!$E:$E,"Dầu thủy lực",DATA_GOC!$F:$F,"Xuất nội bộ từ téc",DATA_GOC!$B:$B,DATE($D$2,$B$2,U$4)),0))</f>
        <v>0</v>
      </c>
      <c r="V355" s="251">
        <f>IF(V$4&gt;DAY(EOMONTH(DATE($D$2,$B$2,1),0)),"",IFERROR(SUMIFS(DATA_GOC!$H:$H,DATA_GOC!$A:$A,"BOM",DATA_GOC!$D:$D,$B355,DATA_GOC!$E:$E,"Dầu thủy lực",DATA_GOC!$F:$F,"Xuất nội bộ từ téc",DATA_GOC!$B:$B,DATE($D$2,$B$2,V$4)),0))</f>
        <v>0</v>
      </c>
      <c r="W355" s="251">
        <f>IF(W$4&gt;DAY(EOMONTH(DATE($D$2,$B$2,1),0)),"",IFERROR(SUMIFS(DATA_GOC!$H:$H,DATA_GOC!$A:$A,"BOM",DATA_GOC!$D:$D,$B355,DATA_GOC!$E:$E,"Dầu thủy lực",DATA_GOC!$F:$F,"Xuất nội bộ từ téc",DATA_GOC!$B:$B,DATE($D$2,$B$2,W$4)),0))</f>
        <v>0</v>
      </c>
      <c r="X355" s="251">
        <f>IF(X$4&gt;DAY(EOMONTH(DATE($D$2,$B$2,1),0)),"",IFERROR(SUMIFS(DATA_GOC!$H:$H,DATA_GOC!$A:$A,"BOM",DATA_GOC!$D:$D,$B355,DATA_GOC!$E:$E,"Dầu thủy lực",DATA_GOC!$F:$F,"Xuất nội bộ từ téc",DATA_GOC!$B:$B,DATE($D$2,$B$2,X$4)),0))</f>
        <v>0</v>
      </c>
      <c r="Y355" s="251">
        <f>IF(Y$4&gt;DAY(EOMONTH(DATE($D$2,$B$2,1),0)),"",IFERROR(SUMIFS(DATA_GOC!$H:$H,DATA_GOC!$A:$A,"BOM",DATA_GOC!$D:$D,$B355,DATA_GOC!$E:$E,"Dầu thủy lực",DATA_GOC!$F:$F,"Xuất nội bộ từ téc",DATA_GOC!$B:$B,DATE($D$2,$B$2,Y$4)),0))</f>
        <v>0</v>
      </c>
      <c r="Z355" s="251">
        <f>IF(Z$4&gt;DAY(EOMONTH(DATE($D$2,$B$2,1),0)),"",IFERROR(SUMIFS(DATA_GOC!$H:$H,DATA_GOC!$A:$A,"BOM",DATA_GOC!$D:$D,$B355,DATA_GOC!$E:$E,"Dầu thủy lực",DATA_GOC!$F:$F,"Xuất nội bộ từ téc",DATA_GOC!$B:$B,DATE($D$2,$B$2,Z$4)),0))</f>
        <v>0</v>
      </c>
      <c r="AA355" s="251">
        <f>IF(AA$4&gt;DAY(EOMONTH(DATE($D$2,$B$2,1),0)),"",IFERROR(SUMIFS(DATA_GOC!$H:$H,DATA_GOC!$A:$A,"BOM",DATA_GOC!$D:$D,$B355,DATA_GOC!$E:$E,"Dầu thủy lực",DATA_GOC!$F:$F,"Xuất nội bộ từ téc",DATA_GOC!$B:$B,DATE($D$2,$B$2,AA$4)),0))</f>
        <v>0</v>
      </c>
      <c r="AB355" s="251">
        <f>IF(AB$4&gt;DAY(EOMONTH(DATE($D$2,$B$2,1),0)),"",IFERROR(SUMIFS(DATA_GOC!$H:$H,DATA_GOC!$A:$A,"BOM",DATA_GOC!$D:$D,$B355,DATA_GOC!$E:$E,"Dầu thủy lực",DATA_GOC!$F:$F,"Xuất nội bộ từ téc",DATA_GOC!$B:$B,DATE($D$2,$B$2,AB$4)),0))</f>
        <v>0</v>
      </c>
      <c r="AC355" s="251">
        <f>IF(AC$4&gt;DAY(EOMONTH(DATE($D$2,$B$2,1),0)),"",IFERROR(SUMIFS(DATA_GOC!$H:$H,DATA_GOC!$A:$A,"BOM",DATA_GOC!$D:$D,$B355,DATA_GOC!$E:$E,"Dầu thủy lực",DATA_GOC!$F:$F,"Xuất nội bộ từ téc",DATA_GOC!$B:$B,DATE($D$2,$B$2,AC$4)),0))</f>
        <v>0</v>
      </c>
      <c r="AD355" s="251">
        <f>IF(AD$4&gt;DAY(EOMONTH(DATE($D$2,$B$2,1),0)),"",IFERROR(SUMIFS(DATA_GOC!$H:$H,DATA_GOC!$A:$A,"BOM",DATA_GOC!$D:$D,$B355,DATA_GOC!$E:$E,"Dầu thủy lực",DATA_GOC!$F:$F,"Xuất nội bộ từ téc",DATA_GOC!$B:$B,DATE($D$2,$B$2,AD$4)),0))</f>
        <v>0</v>
      </c>
      <c r="AE355" s="251">
        <f>IF(AE$4&gt;DAY(EOMONTH(DATE($D$2,$B$2,1),0)),"",IFERROR(SUMIFS(DATA_GOC!$H:$H,DATA_GOC!$A:$A,"BOM",DATA_GOC!$D:$D,$B355,DATA_GOC!$E:$E,"Dầu thủy lực",DATA_GOC!$F:$F,"Xuất nội bộ từ téc",DATA_GOC!$B:$B,DATE($D$2,$B$2,AE$4)),0))</f>
        <v>0</v>
      </c>
      <c r="AF355" s="251">
        <f>IF(AF$4&gt;DAY(EOMONTH(DATE($D$2,$B$2,1),0)),"",IFERROR(SUMIFS(DATA_GOC!$H:$H,DATA_GOC!$A:$A,"BOM",DATA_GOC!$D:$D,$B355,DATA_GOC!$E:$E,"Dầu thủy lực",DATA_GOC!$F:$F,"Xuất nội bộ từ téc",DATA_GOC!$B:$B,DATE($D$2,$B$2,AF$4)),0))</f>
        <v>0</v>
      </c>
      <c r="AG355" s="251">
        <f>IF(AG$4&gt;DAY(EOMONTH(DATE($D$2,$B$2,1),0)),"",IFERROR(SUMIFS(DATA_GOC!$H:$H,DATA_GOC!$A:$A,"BOM",DATA_GOC!$D:$D,$B355,DATA_GOC!$E:$E,"Dầu thủy lực",DATA_GOC!$F:$F,"Xuất nội bộ từ téc",DATA_GOC!$B:$B,DATE($D$2,$B$2,AG$4)),0))</f>
        <v>0</v>
      </c>
      <c r="AH355" s="252">
        <f t="shared" si="16"/>
        <v>0</v>
      </c>
      <c r="AI355" s="241"/>
      <c r="AJ355" s="242">
        <f>IF($B355="","",SUMIFS(TINH_TEC!$K$233:$K$9232,TINH_TEC!$H$233:$H$9232,$B355,TINH_TEC!$C$233:$C$9232,"Dầu thủy lực",TINH_TEC!$F$233:$F$9232,$B$2,TINH_TEC!$G$233:$G$9232,$D$2,TINH_TEC!$B$233:$B$9232,"Đã chốt"))</f>
        <v>0</v>
      </c>
      <c r="AK355" s="242">
        <f>IF($B355="","",SUMIFS(TINH_TEC!$J$233:$J$9232,TINH_TEC!$H$233:$H$9232,$B355,TINH_TEC!$C$233:$C$9232,"Dầu thủy lực",TINH_TEC!$F$233:$F$9232,$B$2,TINH_TEC!$G$233:$G$9232,$D$2,TINH_TEC!$B$233:$B$9232,"Đã chốt"))</f>
        <v>0</v>
      </c>
      <c r="AL355" s="242">
        <f t="shared" si="17"/>
        <v>0</v>
      </c>
    </row>
    <row r="356" ht="15.75" customHeight="1">
      <c r="A356" s="237">
        <f>IF($B356&lt;&gt;"",46,"")</f>
        <v>46</v>
      </c>
      <c r="B356" s="250" t="str">
        <f t="array" ref="B356">IFERROR(INDEX(DANH_MUC!$E:$E,49),"")</f>
        <v>29E18160</v>
      </c>
      <c r="C356" s="251">
        <f>IF(C$4&gt;DAY(EOMONTH(DATE($D$2,$B$2,1),0)),"",IFERROR(SUMIFS(DATA_GOC!$H:$H,DATA_GOC!$A:$A,"BOM",DATA_GOC!$D:$D,$B356,DATA_GOC!$E:$E,"Dầu thủy lực",DATA_GOC!$F:$F,"Xuất nội bộ từ téc",DATA_GOC!$B:$B,DATE($D$2,$B$2,C$4)),0))</f>
        <v>0</v>
      </c>
      <c r="D356" s="251">
        <f>IF(D$4&gt;DAY(EOMONTH(DATE($D$2,$B$2,1),0)),"",IFERROR(SUMIFS(DATA_GOC!$H:$H,DATA_GOC!$A:$A,"BOM",DATA_GOC!$D:$D,$B356,DATA_GOC!$E:$E,"Dầu thủy lực",DATA_GOC!$F:$F,"Xuất nội bộ từ téc",DATA_GOC!$B:$B,DATE($D$2,$B$2,D$4)),0))</f>
        <v>0</v>
      </c>
      <c r="E356" s="251">
        <f>IF(E$4&gt;DAY(EOMONTH(DATE($D$2,$B$2,1),0)),"",IFERROR(SUMIFS(DATA_GOC!$H:$H,DATA_GOC!$A:$A,"BOM",DATA_GOC!$D:$D,$B356,DATA_GOC!$E:$E,"Dầu thủy lực",DATA_GOC!$F:$F,"Xuất nội bộ từ téc",DATA_GOC!$B:$B,DATE($D$2,$B$2,E$4)),0))</f>
        <v>0</v>
      </c>
      <c r="F356" s="251">
        <f>IF(F$4&gt;DAY(EOMONTH(DATE($D$2,$B$2,1),0)),"",IFERROR(SUMIFS(DATA_GOC!$H:$H,DATA_GOC!$A:$A,"BOM",DATA_GOC!$D:$D,$B356,DATA_GOC!$E:$E,"Dầu thủy lực",DATA_GOC!$F:$F,"Xuất nội bộ từ téc",DATA_GOC!$B:$B,DATE($D$2,$B$2,F$4)),0))</f>
        <v>0</v>
      </c>
      <c r="G356" s="251">
        <f>IF(G$4&gt;DAY(EOMONTH(DATE($D$2,$B$2,1),0)),"",IFERROR(SUMIFS(DATA_GOC!$H:$H,DATA_GOC!$A:$A,"BOM",DATA_GOC!$D:$D,$B356,DATA_GOC!$E:$E,"Dầu thủy lực",DATA_GOC!$F:$F,"Xuất nội bộ từ téc",DATA_GOC!$B:$B,DATE($D$2,$B$2,G$4)),0))</f>
        <v>0</v>
      </c>
      <c r="H356" s="251">
        <f>IF(H$4&gt;DAY(EOMONTH(DATE($D$2,$B$2,1),0)),"",IFERROR(SUMIFS(DATA_GOC!$H:$H,DATA_GOC!$A:$A,"BOM",DATA_GOC!$D:$D,$B356,DATA_GOC!$E:$E,"Dầu thủy lực",DATA_GOC!$F:$F,"Xuất nội bộ từ téc",DATA_GOC!$B:$B,DATE($D$2,$B$2,H$4)),0))</f>
        <v>0</v>
      </c>
      <c r="I356" s="251">
        <f>IF(I$4&gt;DAY(EOMONTH(DATE($D$2,$B$2,1),0)),"",IFERROR(SUMIFS(DATA_GOC!$H:$H,DATA_GOC!$A:$A,"BOM",DATA_GOC!$D:$D,$B356,DATA_GOC!$E:$E,"Dầu thủy lực",DATA_GOC!$F:$F,"Xuất nội bộ từ téc",DATA_GOC!$B:$B,DATE($D$2,$B$2,I$4)),0))</f>
        <v>0</v>
      </c>
      <c r="J356" s="251">
        <f>IF(J$4&gt;DAY(EOMONTH(DATE($D$2,$B$2,1),0)),"",IFERROR(SUMIFS(DATA_GOC!$H:$H,DATA_GOC!$A:$A,"BOM",DATA_GOC!$D:$D,$B356,DATA_GOC!$E:$E,"Dầu thủy lực",DATA_GOC!$F:$F,"Xuất nội bộ từ téc",DATA_GOC!$B:$B,DATE($D$2,$B$2,J$4)),0))</f>
        <v>0</v>
      </c>
      <c r="K356" s="251">
        <f>IF(K$4&gt;DAY(EOMONTH(DATE($D$2,$B$2,1),0)),"",IFERROR(SUMIFS(DATA_GOC!$H:$H,DATA_GOC!$A:$A,"BOM",DATA_GOC!$D:$D,$B356,DATA_GOC!$E:$E,"Dầu thủy lực",DATA_GOC!$F:$F,"Xuất nội bộ từ téc",DATA_GOC!$B:$B,DATE($D$2,$B$2,K$4)),0))</f>
        <v>0</v>
      </c>
      <c r="L356" s="251">
        <f>IF(L$4&gt;DAY(EOMONTH(DATE($D$2,$B$2,1),0)),"",IFERROR(SUMIFS(DATA_GOC!$H:$H,DATA_GOC!$A:$A,"BOM",DATA_GOC!$D:$D,$B356,DATA_GOC!$E:$E,"Dầu thủy lực",DATA_GOC!$F:$F,"Xuất nội bộ từ téc",DATA_GOC!$B:$B,DATE($D$2,$B$2,L$4)),0))</f>
        <v>0</v>
      </c>
      <c r="M356" s="251">
        <f>IF(M$4&gt;DAY(EOMONTH(DATE($D$2,$B$2,1),0)),"",IFERROR(SUMIFS(DATA_GOC!$H:$H,DATA_GOC!$A:$A,"BOM",DATA_GOC!$D:$D,$B356,DATA_GOC!$E:$E,"Dầu thủy lực",DATA_GOC!$F:$F,"Xuất nội bộ từ téc",DATA_GOC!$B:$B,DATE($D$2,$B$2,M$4)),0))</f>
        <v>0</v>
      </c>
      <c r="N356" s="251">
        <f>IF(N$4&gt;DAY(EOMONTH(DATE($D$2,$B$2,1),0)),"",IFERROR(SUMIFS(DATA_GOC!$H:$H,DATA_GOC!$A:$A,"BOM",DATA_GOC!$D:$D,$B356,DATA_GOC!$E:$E,"Dầu thủy lực",DATA_GOC!$F:$F,"Xuất nội bộ từ téc",DATA_GOC!$B:$B,DATE($D$2,$B$2,N$4)),0))</f>
        <v>0</v>
      </c>
      <c r="O356" s="251">
        <f>IF(O$4&gt;DAY(EOMONTH(DATE($D$2,$B$2,1),0)),"",IFERROR(SUMIFS(DATA_GOC!$H:$H,DATA_GOC!$A:$A,"BOM",DATA_GOC!$D:$D,$B356,DATA_GOC!$E:$E,"Dầu thủy lực",DATA_GOC!$F:$F,"Xuất nội bộ từ téc",DATA_GOC!$B:$B,DATE($D$2,$B$2,O$4)),0))</f>
        <v>0</v>
      </c>
      <c r="P356" s="251">
        <f>IF(P$4&gt;DAY(EOMONTH(DATE($D$2,$B$2,1),0)),"",IFERROR(SUMIFS(DATA_GOC!$H:$H,DATA_GOC!$A:$A,"BOM",DATA_GOC!$D:$D,$B356,DATA_GOC!$E:$E,"Dầu thủy lực",DATA_GOC!$F:$F,"Xuất nội bộ từ téc",DATA_GOC!$B:$B,DATE($D$2,$B$2,P$4)),0))</f>
        <v>0</v>
      </c>
      <c r="Q356" s="251">
        <f>IF(Q$4&gt;DAY(EOMONTH(DATE($D$2,$B$2,1),0)),"",IFERROR(SUMIFS(DATA_GOC!$H:$H,DATA_GOC!$A:$A,"BOM",DATA_GOC!$D:$D,$B356,DATA_GOC!$E:$E,"Dầu thủy lực",DATA_GOC!$F:$F,"Xuất nội bộ từ téc",DATA_GOC!$B:$B,DATE($D$2,$B$2,Q$4)),0))</f>
        <v>0</v>
      </c>
      <c r="R356" s="251">
        <f>IF(R$4&gt;DAY(EOMONTH(DATE($D$2,$B$2,1),0)),"",IFERROR(SUMIFS(DATA_GOC!$H:$H,DATA_GOC!$A:$A,"BOM",DATA_GOC!$D:$D,$B356,DATA_GOC!$E:$E,"Dầu thủy lực",DATA_GOC!$F:$F,"Xuất nội bộ từ téc",DATA_GOC!$B:$B,DATE($D$2,$B$2,R$4)),0))</f>
        <v>0</v>
      </c>
      <c r="S356" s="251">
        <f>IF(S$4&gt;DAY(EOMONTH(DATE($D$2,$B$2,1),0)),"",IFERROR(SUMIFS(DATA_GOC!$H:$H,DATA_GOC!$A:$A,"BOM",DATA_GOC!$D:$D,$B356,DATA_GOC!$E:$E,"Dầu thủy lực",DATA_GOC!$F:$F,"Xuất nội bộ từ téc",DATA_GOC!$B:$B,DATE($D$2,$B$2,S$4)),0))</f>
        <v>0</v>
      </c>
      <c r="T356" s="251">
        <f>IF(T$4&gt;DAY(EOMONTH(DATE($D$2,$B$2,1),0)),"",IFERROR(SUMIFS(DATA_GOC!$H:$H,DATA_GOC!$A:$A,"BOM",DATA_GOC!$D:$D,$B356,DATA_GOC!$E:$E,"Dầu thủy lực",DATA_GOC!$F:$F,"Xuất nội bộ từ téc",DATA_GOC!$B:$B,DATE($D$2,$B$2,T$4)),0))</f>
        <v>0</v>
      </c>
      <c r="U356" s="251">
        <f>IF(U$4&gt;DAY(EOMONTH(DATE($D$2,$B$2,1),0)),"",IFERROR(SUMIFS(DATA_GOC!$H:$H,DATA_GOC!$A:$A,"BOM",DATA_GOC!$D:$D,$B356,DATA_GOC!$E:$E,"Dầu thủy lực",DATA_GOC!$F:$F,"Xuất nội bộ từ téc",DATA_GOC!$B:$B,DATE($D$2,$B$2,U$4)),0))</f>
        <v>0</v>
      </c>
      <c r="V356" s="251">
        <f>IF(V$4&gt;DAY(EOMONTH(DATE($D$2,$B$2,1),0)),"",IFERROR(SUMIFS(DATA_GOC!$H:$H,DATA_GOC!$A:$A,"BOM",DATA_GOC!$D:$D,$B356,DATA_GOC!$E:$E,"Dầu thủy lực",DATA_GOC!$F:$F,"Xuất nội bộ từ téc",DATA_GOC!$B:$B,DATE($D$2,$B$2,V$4)),0))</f>
        <v>0</v>
      </c>
      <c r="W356" s="251">
        <f>IF(W$4&gt;DAY(EOMONTH(DATE($D$2,$B$2,1),0)),"",IFERROR(SUMIFS(DATA_GOC!$H:$H,DATA_GOC!$A:$A,"BOM",DATA_GOC!$D:$D,$B356,DATA_GOC!$E:$E,"Dầu thủy lực",DATA_GOC!$F:$F,"Xuất nội bộ từ téc",DATA_GOC!$B:$B,DATE($D$2,$B$2,W$4)),0))</f>
        <v>0</v>
      </c>
      <c r="X356" s="251">
        <f>IF(X$4&gt;DAY(EOMONTH(DATE($D$2,$B$2,1),0)),"",IFERROR(SUMIFS(DATA_GOC!$H:$H,DATA_GOC!$A:$A,"BOM",DATA_GOC!$D:$D,$B356,DATA_GOC!$E:$E,"Dầu thủy lực",DATA_GOC!$F:$F,"Xuất nội bộ từ téc",DATA_GOC!$B:$B,DATE($D$2,$B$2,X$4)),0))</f>
        <v>0</v>
      </c>
      <c r="Y356" s="251">
        <f>IF(Y$4&gt;DAY(EOMONTH(DATE($D$2,$B$2,1),0)),"",IFERROR(SUMIFS(DATA_GOC!$H:$H,DATA_GOC!$A:$A,"BOM",DATA_GOC!$D:$D,$B356,DATA_GOC!$E:$E,"Dầu thủy lực",DATA_GOC!$F:$F,"Xuất nội bộ từ téc",DATA_GOC!$B:$B,DATE($D$2,$B$2,Y$4)),0))</f>
        <v>0</v>
      </c>
      <c r="Z356" s="251">
        <f>IF(Z$4&gt;DAY(EOMONTH(DATE($D$2,$B$2,1),0)),"",IFERROR(SUMIFS(DATA_GOC!$H:$H,DATA_GOC!$A:$A,"BOM",DATA_GOC!$D:$D,$B356,DATA_GOC!$E:$E,"Dầu thủy lực",DATA_GOC!$F:$F,"Xuất nội bộ từ téc",DATA_GOC!$B:$B,DATE($D$2,$B$2,Z$4)),0))</f>
        <v>0</v>
      </c>
      <c r="AA356" s="251">
        <f>IF(AA$4&gt;DAY(EOMONTH(DATE($D$2,$B$2,1),0)),"",IFERROR(SUMIFS(DATA_GOC!$H:$H,DATA_GOC!$A:$A,"BOM",DATA_GOC!$D:$D,$B356,DATA_GOC!$E:$E,"Dầu thủy lực",DATA_GOC!$F:$F,"Xuất nội bộ từ téc",DATA_GOC!$B:$B,DATE($D$2,$B$2,AA$4)),0))</f>
        <v>0</v>
      </c>
      <c r="AB356" s="251">
        <f>IF(AB$4&gt;DAY(EOMONTH(DATE($D$2,$B$2,1),0)),"",IFERROR(SUMIFS(DATA_GOC!$H:$H,DATA_GOC!$A:$A,"BOM",DATA_GOC!$D:$D,$B356,DATA_GOC!$E:$E,"Dầu thủy lực",DATA_GOC!$F:$F,"Xuất nội bộ từ téc",DATA_GOC!$B:$B,DATE($D$2,$B$2,AB$4)),0))</f>
        <v>0</v>
      </c>
      <c r="AC356" s="251">
        <f>IF(AC$4&gt;DAY(EOMONTH(DATE($D$2,$B$2,1),0)),"",IFERROR(SUMIFS(DATA_GOC!$H:$H,DATA_GOC!$A:$A,"BOM",DATA_GOC!$D:$D,$B356,DATA_GOC!$E:$E,"Dầu thủy lực",DATA_GOC!$F:$F,"Xuất nội bộ từ téc",DATA_GOC!$B:$B,DATE($D$2,$B$2,AC$4)),0))</f>
        <v>0</v>
      </c>
      <c r="AD356" s="251">
        <f>IF(AD$4&gt;DAY(EOMONTH(DATE($D$2,$B$2,1),0)),"",IFERROR(SUMIFS(DATA_GOC!$H:$H,DATA_GOC!$A:$A,"BOM",DATA_GOC!$D:$D,$B356,DATA_GOC!$E:$E,"Dầu thủy lực",DATA_GOC!$F:$F,"Xuất nội bộ từ téc",DATA_GOC!$B:$B,DATE($D$2,$B$2,AD$4)),0))</f>
        <v>0</v>
      </c>
      <c r="AE356" s="251">
        <f>IF(AE$4&gt;DAY(EOMONTH(DATE($D$2,$B$2,1),0)),"",IFERROR(SUMIFS(DATA_GOC!$H:$H,DATA_GOC!$A:$A,"BOM",DATA_GOC!$D:$D,$B356,DATA_GOC!$E:$E,"Dầu thủy lực",DATA_GOC!$F:$F,"Xuất nội bộ từ téc",DATA_GOC!$B:$B,DATE($D$2,$B$2,AE$4)),0))</f>
        <v>0</v>
      </c>
      <c r="AF356" s="251">
        <f>IF(AF$4&gt;DAY(EOMONTH(DATE($D$2,$B$2,1),0)),"",IFERROR(SUMIFS(DATA_GOC!$H:$H,DATA_GOC!$A:$A,"BOM",DATA_GOC!$D:$D,$B356,DATA_GOC!$E:$E,"Dầu thủy lực",DATA_GOC!$F:$F,"Xuất nội bộ từ téc",DATA_GOC!$B:$B,DATE($D$2,$B$2,AF$4)),0))</f>
        <v>0</v>
      </c>
      <c r="AG356" s="251">
        <f>IF(AG$4&gt;DAY(EOMONTH(DATE($D$2,$B$2,1),0)),"",IFERROR(SUMIFS(DATA_GOC!$H:$H,DATA_GOC!$A:$A,"BOM",DATA_GOC!$D:$D,$B356,DATA_GOC!$E:$E,"Dầu thủy lực",DATA_GOC!$F:$F,"Xuất nội bộ từ téc",DATA_GOC!$B:$B,DATE($D$2,$B$2,AG$4)),0))</f>
        <v>0</v>
      </c>
      <c r="AH356" s="252">
        <f t="shared" si="16"/>
        <v>0</v>
      </c>
      <c r="AI356" s="241"/>
      <c r="AJ356" s="242">
        <f>IF($B356="","",SUMIFS(TINH_TEC!$K$233:$K$9232,TINH_TEC!$H$233:$H$9232,$B356,TINH_TEC!$C$233:$C$9232,"Dầu thủy lực",TINH_TEC!$F$233:$F$9232,$B$2,TINH_TEC!$G$233:$G$9232,$D$2,TINH_TEC!$B$233:$B$9232,"Đã chốt"))</f>
        <v>0</v>
      </c>
      <c r="AK356" s="242">
        <f>IF($B356="","",SUMIFS(TINH_TEC!$J$233:$J$9232,TINH_TEC!$H$233:$H$9232,$B356,TINH_TEC!$C$233:$C$9232,"Dầu thủy lực",TINH_TEC!$F$233:$F$9232,$B$2,TINH_TEC!$G$233:$G$9232,$D$2,TINH_TEC!$B$233:$B$9232,"Đã chốt"))</f>
        <v>0</v>
      </c>
      <c r="AL356" s="242">
        <f t="shared" si="17"/>
        <v>0</v>
      </c>
    </row>
    <row r="357" ht="15.75" customHeight="1">
      <c r="A357" s="237">
        <f>IF($B357&lt;&gt;"",47,"")</f>
        <v>47</v>
      </c>
      <c r="B357" s="250" t="str">
        <f t="array" ref="B357">IFERROR(INDEX(DANH_MUC!$E:$E,50),"")</f>
        <v>Công trình Asphalt</v>
      </c>
      <c r="C357" s="251">
        <f>IF(C$4&gt;DAY(EOMONTH(DATE($D$2,$B$2,1),0)),"",IFERROR(SUMIFS(DATA_GOC!$H:$H,DATA_GOC!$A:$A,"BOM",DATA_GOC!$D:$D,$B357,DATA_GOC!$E:$E,"Dầu thủy lực",DATA_GOC!$F:$F,"Xuất nội bộ từ téc",DATA_GOC!$B:$B,DATE($D$2,$B$2,C$4)),0))</f>
        <v>0</v>
      </c>
      <c r="D357" s="251">
        <f>IF(D$4&gt;DAY(EOMONTH(DATE($D$2,$B$2,1),0)),"",IFERROR(SUMIFS(DATA_GOC!$H:$H,DATA_GOC!$A:$A,"BOM",DATA_GOC!$D:$D,$B357,DATA_GOC!$E:$E,"Dầu thủy lực",DATA_GOC!$F:$F,"Xuất nội bộ từ téc",DATA_GOC!$B:$B,DATE($D$2,$B$2,D$4)),0))</f>
        <v>0</v>
      </c>
      <c r="E357" s="251">
        <f>IF(E$4&gt;DAY(EOMONTH(DATE($D$2,$B$2,1),0)),"",IFERROR(SUMIFS(DATA_GOC!$H:$H,DATA_GOC!$A:$A,"BOM",DATA_GOC!$D:$D,$B357,DATA_GOC!$E:$E,"Dầu thủy lực",DATA_GOC!$F:$F,"Xuất nội bộ từ téc",DATA_GOC!$B:$B,DATE($D$2,$B$2,E$4)),0))</f>
        <v>0</v>
      </c>
      <c r="F357" s="251">
        <f>IF(F$4&gt;DAY(EOMONTH(DATE($D$2,$B$2,1),0)),"",IFERROR(SUMIFS(DATA_GOC!$H:$H,DATA_GOC!$A:$A,"BOM",DATA_GOC!$D:$D,$B357,DATA_GOC!$E:$E,"Dầu thủy lực",DATA_GOC!$F:$F,"Xuất nội bộ từ téc",DATA_GOC!$B:$B,DATE($D$2,$B$2,F$4)),0))</f>
        <v>0</v>
      </c>
      <c r="G357" s="251">
        <f>IF(G$4&gt;DAY(EOMONTH(DATE($D$2,$B$2,1),0)),"",IFERROR(SUMIFS(DATA_GOC!$H:$H,DATA_GOC!$A:$A,"BOM",DATA_GOC!$D:$D,$B357,DATA_GOC!$E:$E,"Dầu thủy lực",DATA_GOC!$F:$F,"Xuất nội bộ từ téc",DATA_GOC!$B:$B,DATE($D$2,$B$2,G$4)),0))</f>
        <v>0</v>
      </c>
      <c r="H357" s="251">
        <f>IF(H$4&gt;DAY(EOMONTH(DATE($D$2,$B$2,1),0)),"",IFERROR(SUMIFS(DATA_GOC!$H:$H,DATA_GOC!$A:$A,"BOM",DATA_GOC!$D:$D,$B357,DATA_GOC!$E:$E,"Dầu thủy lực",DATA_GOC!$F:$F,"Xuất nội bộ từ téc",DATA_GOC!$B:$B,DATE($D$2,$B$2,H$4)),0))</f>
        <v>0</v>
      </c>
      <c r="I357" s="251">
        <f>IF(I$4&gt;DAY(EOMONTH(DATE($D$2,$B$2,1),0)),"",IFERROR(SUMIFS(DATA_GOC!$H:$H,DATA_GOC!$A:$A,"BOM",DATA_GOC!$D:$D,$B357,DATA_GOC!$E:$E,"Dầu thủy lực",DATA_GOC!$F:$F,"Xuất nội bộ từ téc",DATA_GOC!$B:$B,DATE($D$2,$B$2,I$4)),0))</f>
        <v>0</v>
      </c>
      <c r="J357" s="251">
        <f>IF(J$4&gt;DAY(EOMONTH(DATE($D$2,$B$2,1),0)),"",IFERROR(SUMIFS(DATA_GOC!$H:$H,DATA_GOC!$A:$A,"BOM",DATA_GOC!$D:$D,$B357,DATA_GOC!$E:$E,"Dầu thủy lực",DATA_GOC!$F:$F,"Xuất nội bộ từ téc",DATA_GOC!$B:$B,DATE($D$2,$B$2,J$4)),0))</f>
        <v>0</v>
      </c>
      <c r="K357" s="251">
        <f>IF(K$4&gt;DAY(EOMONTH(DATE($D$2,$B$2,1),0)),"",IFERROR(SUMIFS(DATA_GOC!$H:$H,DATA_GOC!$A:$A,"BOM",DATA_GOC!$D:$D,$B357,DATA_GOC!$E:$E,"Dầu thủy lực",DATA_GOC!$F:$F,"Xuất nội bộ từ téc",DATA_GOC!$B:$B,DATE($D$2,$B$2,K$4)),0))</f>
        <v>0</v>
      </c>
      <c r="L357" s="251">
        <f>IF(L$4&gt;DAY(EOMONTH(DATE($D$2,$B$2,1),0)),"",IFERROR(SUMIFS(DATA_GOC!$H:$H,DATA_GOC!$A:$A,"BOM",DATA_GOC!$D:$D,$B357,DATA_GOC!$E:$E,"Dầu thủy lực",DATA_GOC!$F:$F,"Xuất nội bộ từ téc",DATA_GOC!$B:$B,DATE($D$2,$B$2,L$4)),0))</f>
        <v>0</v>
      </c>
      <c r="M357" s="251">
        <f>IF(M$4&gt;DAY(EOMONTH(DATE($D$2,$B$2,1),0)),"",IFERROR(SUMIFS(DATA_GOC!$H:$H,DATA_GOC!$A:$A,"BOM",DATA_GOC!$D:$D,$B357,DATA_GOC!$E:$E,"Dầu thủy lực",DATA_GOC!$F:$F,"Xuất nội bộ từ téc",DATA_GOC!$B:$B,DATE($D$2,$B$2,M$4)),0))</f>
        <v>0</v>
      </c>
      <c r="N357" s="251">
        <f>IF(N$4&gt;DAY(EOMONTH(DATE($D$2,$B$2,1),0)),"",IFERROR(SUMIFS(DATA_GOC!$H:$H,DATA_GOC!$A:$A,"BOM",DATA_GOC!$D:$D,$B357,DATA_GOC!$E:$E,"Dầu thủy lực",DATA_GOC!$F:$F,"Xuất nội bộ từ téc",DATA_GOC!$B:$B,DATE($D$2,$B$2,N$4)),0))</f>
        <v>0</v>
      </c>
      <c r="O357" s="251">
        <f>IF(O$4&gt;DAY(EOMONTH(DATE($D$2,$B$2,1),0)),"",IFERROR(SUMIFS(DATA_GOC!$H:$H,DATA_GOC!$A:$A,"BOM",DATA_GOC!$D:$D,$B357,DATA_GOC!$E:$E,"Dầu thủy lực",DATA_GOC!$F:$F,"Xuất nội bộ từ téc",DATA_GOC!$B:$B,DATE($D$2,$B$2,O$4)),0))</f>
        <v>0</v>
      </c>
      <c r="P357" s="251">
        <f>IF(P$4&gt;DAY(EOMONTH(DATE($D$2,$B$2,1),0)),"",IFERROR(SUMIFS(DATA_GOC!$H:$H,DATA_GOC!$A:$A,"BOM",DATA_GOC!$D:$D,$B357,DATA_GOC!$E:$E,"Dầu thủy lực",DATA_GOC!$F:$F,"Xuất nội bộ từ téc",DATA_GOC!$B:$B,DATE($D$2,$B$2,P$4)),0))</f>
        <v>0</v>
      </c>
      <c r="Q357" s="251">
        <f>IF(Q$4&gt;DAY(EOMONTH(DATE($D$2,$B$2,1),0)),"",IFERROR(SUMIFS(DATA_GOC!$H:$H,DATA_GOC!$A:$A,"BOM",DATA_GOC!$D:$D,$B357,DATA_GOC!$E:$E,"Dầu thủy lực",DATA_GOC!$F:$F,"Xuất nội bộ từ téc",DATA_GOC!$B:$B,DATE($D$2,$B$2,Q$4)),0))</f>
        <v>0</v>
      </c>
      <c r="R357" s="251">
        <f>IF(R$4&gt;DAY(EOMONTH(DATE($D$2,$B$2,1),0)),"",IFERROR(SUMIFS(DATA_GOC!$H:$H,DATA_GOC!$A:$A,"BOM",DATA_GOC!$D:$D,$B357,DATA_GOC!$E:$E,"Dầu thủy lực",DATA_GOC!$F:$F,"Xuất nội bộ từ téc",DATA_GOC!$B:$B,DATE($D$2,$B$2,R$4)),0))</f>
        <v>0</v>
      </c>
      <c r="S357" s="251">
        <f>IF(S$4&gt;DAY(EOMONTH(DATE($D$2,$B$2,1),0)),"",IFERROR(SUMIFS(DATA_GOC!$H:$H,DATA_GOC!$A:$A,"BOM",DATA_GOC!$D:$D,$B357,DATA_GOC!$E:$E,"Dầu thủy lực",DATA_GOC!$F:$F,"Xuất nội bộ từ téc",DATA_GOC!$B:$B,DATE($D$2,$B$2,S$4)),0))</f>
        <v>0</v>
      </c>
      <c r="T357" s="251">
        <f>IF(T$4&gt;DAY(EOMONTH(DATE($D$2,$B$2,1),0)),"",IFERROR(SUMIFS(DATA_GOC!$H:$H,DATA_GOC!$A:$A,"BOM",DATA_GOC!$D:$D,$B357,DATA_GOC!$E:$E,"Dầu thủy lực",DATA_GOC!$F:$F,"Xuất nội bộ từ téc",DATA_GOC!$B:$B,DATE($D$2,$B$2,T$4)),0))</f>
        <v>0</v>
      </c>
      <c r="U357" s="251">
        <f>IF(U$4&gt;DAY(EOMONTH(DATE($D$2,$B$2,1),0)),"",IFERROR(SUMIFS(DATA_GOC!$H:$H,DATA_GOC!$A:$A,"BOM",DATA_GOC!$D:$D,$B357,DATA_GOC!$E:$E,"Dầu thủy lực",DATA_GOC!$F:$F,"Xuất nội bộ từ téc",DATA_GOC!$B:$B,DATE($D$2,$B$2,U$4)),0))</f>
        <v>0</v>
      </c>
      <c r="V357" s="251">
        <f>IF(V$4&gt;DAY(EOMONTH(DATE($D$2,$B$2,1),0)),"",IFERROR(SUMIFS(DATA_GOC!$H:$H,DATA_GOC!$A:$A,"BOM",DATA_GOC!$D:$D,$B357,DATA_GOC!$E:$E,"Dầu thủy lực",DATA_GOC!$F:$F,"Xuất nội bộ từ téc",DATA_GOC!$B:$B,DATE($D$2,$B$2,V$4)),0))</f>
        <v>0</v>
      </c>
      <c r="W357" s="251">
        <f>IF(W$4&gt;DAY(EOMONTH(DATE($D$2,$B$2,1),0)),"",IFERROR(SUMIFS(DATA_GOC!$H:$H,DATA_GOC!$A:$A,"BOM",DATA_GOC!$D:$D,$B357,DATA_GOC!$E:$E,"Dầu thủy lực",DATA_GOC!$F:$F,"Xuất nội bộ từ téc",DATA_GOC!$B:$B,DATE($D$2,$B$2,W$4)),0))</f>
        <v>0</v>
      </c>
      <c r="X357" s="251">
        <f>IF(X$4&gt;DAY(EOMONTH(DATE($D$2,$B$2,1),0)),"",IFERROR(SUMIFS(DATA_GOC!$H:$H,DATA_GOC!$A:$A,"BOM",DATA_GOC!$D:$D,$B357,DATA_GOC!$E:$E,"Dầu thủy lực",DATA_GOC!$F:$F,"Xuất nội bộ từ téc",DATA_GOC!$B:$B,DATE($D$2,$B$2,X$4)),0))</f>
        <v>0</v>
      </c>
      <c r="Y357" s="251">
        <f>IF(Y$4&gt;DAY(EOMONTH(DATE($D$2,$B$2,1),0)),"",IFERROR(SUMIFS(DATA_GOC!$H:$H,DATA_GOC!$A:$A,"BOM",DATA_GOC!$D:$D,$B357,DATA_GOC!$E:$E,"Dầu thủy lực",DATA_GOC!$F:$F,"Xuất nội bộ từ téc",DATA_GOC!$B:$B,DATE($D$2,$B$2,Y$4)),0))</f>
        <v>0</v>
      </c>
      <c r="Z357" s="251">
        <f>IF(Z$4&gt;DAY(EOMONTH(DATE($D$2,$B$2,1),0)),"",IFERROR(SUMIFS(DATA_GOC!$H:$H,DATA_GOC!$A:$A,"BOM",DATA_GOC!$D:$D,$B357,DATA_GOC!$E:$E,"Dầu thủy lực",DATA_GOC!$F:$F,"Xuất nội bộ từ téc",DATA_GOC!$B:$B,DATE($D$2,$B$2,Z$4)),0))</f>
        <v>0</v>
      </c>
      <c r="AA357" s="251">
        <f>IF(AA$4&gt;DAY(EOMONTH(DATE($D$2,$B$2,1),0)),"",IFERROR(SUMIFS(DATA_GOC!$H:$H,DATA_GOC!$A:$A,"BOM",DATA_GOC!$D:$D,$B357,DATA_GOC!$E:$E,"Dầu thủy lực",DATA_GOC!$F:$F,"Xuất nội bộ từ téc",DATA_GOC!$B:$B,DATE($D$2,$B$2,AA$4)),0))</f>
        <v>0</v>
      </c>
      <c r="AB357" s="251">
        <f>IF(AB$4&gt;DAY(EOMONTH(DATE($D$2,$B$2,1),0)),"",IFERROR(SUMIFS(DATA_GOC!$H:$H,DATA_GOC!$A:$A,"BOM",DATA_GOC!$D:$D,$B357,DATA_GOC!$E:$E,"Dầu thủy lực",DATA_GOC!$F:$F,"Xuất nội bộ từ téc",DATA_GOC!$B:$B,DATE($D$2,$B$2,AB$4)),0))</f>
        <v>0</v>
      </c>
      <c r="AC357" s="251">
        <f>IF(AC$4&gt;DAY(EOMONTH(DATE($D$2,$B$2,1),0)),"",IFERROR(SUMIFS(DATA_GOC!$H:$H,DATA_GOC!$A:$A,"BOM",DATA_GOC!$D:$D,$B357,DATA_GOC!$E:$E,"Dầu thủy lực",DATA_GOC!$F:$F,"Xuất nội bộ từ téc",DATA_GOC!$B:$B,DATE($D$2,$B$2,AC$4)),0))</f>
        <v>0</v>
      </c>
      <c r="AD357" s="251">
        <f>IF(AD$4&gt;DAY(EOMONTH(DATE($D$2,$B$2,1),0)),"",IFERROR(SUMIFS(DATA_GOC!$H:$H,DATA_GOC!$A:$A,"BOM",DATA_GOC!$D:$D,$B357,DATA_GOC!$E:$E,"Dầu thủy lực",DATA_GOC!$F:$F,"Xuất nội bộ từ téc",DATA_GOC!$B:$B,DATE($D$2,$B$2,AD$4)),0))</f>
        <v>0</v>
      </c>
      <c r="AE357" s="251">
        <f>IF(AE$4&gt;DAY(EOMONTH(DATE($D$2,$B$2,1),0)),"",IFERROR(SUMIFS(DATA_GOC!$H:$H,DATA_GOC!$A:$A,"BOM",DATA_GOC!$D:$D,$B357,DATA_GOC!$E:$E,"Dầu thủy lực",DATA_GOC!$F:$F,"Xuất nội bộ từ téc",DATA_GOC!$B:$B,DATE($D$2,$B$2,AE$4)),0))</f>
        <v>0</v>
      </c>
      <c r="AF357" s="251">
        <f>IF(AF$4&gt;DAY(EOMONTH(DATE($D$2,$B$2,1),0)),"",IFERROR(SUMIFS(DATA_GOC!$H:$H,DATA_GOC!$A:$A,"BOM",DATA_GOC!$D:$D,$B357,DATA_GOC!$E:$E,"Dầu thủy lực",DATA_GOC!$F:$F,"Xuất nội bộ từ téc",DATA_GOC!$B:$B,DATE($D$2,$B$2,AF$4)),0))</f>
        <v>0</v>
      </c>
      <c r="AG357" s="251">
        <f>IF(AG$4&gt;DAY(EOMONTH(DATE($D$2,$B$2,1),0)),"",IFERROR(SUMIFS(DATA_GOC!$H:$H,DATA_GOC!$A:$A,"BOM",DATA_GOC!$D:$D,$B357,DATA_GOC!$E:$E,"Dầu thủy lực",DATA_GOC!$F:$F,"Xuất nội bộ từ téc",DATA_GOC!$B:$B,DATE($D$2,$B$2,AG$4)),0))</f>
        <v>0</v>
      </c>
      <c r="AH357" s="252">
        <f t="shared" si="16"/>
        <v>0</v>
      </c>
      <c r="AI357" s="241"/>
      <c r="AJ357" s="242">
        <f>IF($B357="","",SUMIFS(TINH_TEC!$K$233:$K$9232,TINH_TEC!$H$233:$H$9232,$B357,TINH_TEC!$C$233:$C$9232,"Dầu thủy lực",TINH_TEC!$F$233:$F$9232,$B$2,TINH_TEC!$G$233:$G$9232,$D$2,TINH_TEC!$B$233:$B$9232,"Đã chốt"))</f>
        <v>0</v>
      </c>
      <c r="AK357" s="242">
        <f>IF($B357="","",SUMIFS(TINH_TEC!$J$233:$J$9232,TINH_TEC!$H$233:$H$9232,$B357,TINH_TEC!$C$233:$C$9232,"Dầu thủy lực",TINH_TEC!$F$233:$F$9232,$B$2,TINH_TEC!$G$233:$G$9232,$D$2,TINH_TEC!$B$233:$B$9232,"Đã chốt"))</f>
        <v>0</v>
      </c>
      <c r="AL357" s="242">
        <f t="shared" si="17"/>
        <v>0</v>
      </c>
    </row>
    <row r="358" ht="15.75" customHeight="1">
      <c r="A358" s="237">
        <f>IF($B358&lt;&gt;"",48,"")</f>
        <v>48</v>
      </c>
      <c r="B358" s="250" t="str">
        <f t="array" ref="B358">IFERROR(INDEX(DANH_MUC!$E:$E,51),"")</f>
        <v>LG53F</v>
      </c>
      <c r="C358" s="251">
        <f>IF(C$4&gt;DAY(EOMONTH(DATE($D$2,$B$2,1),0)),"",IFERROR(SUMIFS(DATA_GOC!$H:$H,DATA_GOC!$A:$A,"BOM",DATA_GOC!$D:$D,$B358,DATA_GOC!$E:$E,"Dầu thủy lực",DATA_GOC!$F:$F,"Xuất nội bộ từ téc",DATA_GOC!$B:$B,DATE($D$2,$B$2,C$4)),0))</f>
        <v>0</v>
      </c>
      <c r="D358" s="251">
        <f>IF(D$4&gt;DAY(EOMONTH(DATE($D$2,$B$2,1),0)),"",IFERROR(SUMIFS(DATA_GOC!$H:$H,DATA_GOC!$A:$A,"BOM",DATA_GOC!$D:$D,$B358,DATA_GOC!$E:$E,"Dầu thủy lực",DATA_GOC!$F:$F,"Xuất nội bộ từ téc",DATA_GOC!$B:$B,DATE($D$2,$B$2,D$4)),0))</f>
        <v>0</v>
      </c>
      <c r="E358" s="251">
        <f>IF(E$4&gt;DAY(EOMONTH(DATE($D$2,$B$2,1),0)),"",IFERROR(SUMIFS(DATA_GOC!$H:$H,DATA_GOC!$A:$A,"BOM",DATA_GOC!$D:$D,$B358,DATA_GOC!$E:$E,"Dầu thủy lực",DATA_GOC!$F:$F,"Xuất nội bộ từ téc",DATA_GOC!$B:$B,DATE($D$2,$B$2,E$4)),0))</f>
        <v>0</v>
      </c>
      <c r="F358" s="251">
        <f>IF(F$4&gt;DAY(EOMONTH(DATE($D$2,$B$2,1),0)),"",IFERROR(SUMIFS(DATA_GOC!$H:$H,DATA_GOC!$A:$A,"BOM",DATA_GOC!$D:$D,$B358,DATA_GOC!$E:$E,"Dầu thủy lực",DATA_GOC!$F:$F,"Xuất nội bộ từ téc",DATA_GOC!$B:$B,DATE($D$2,$B$2,F$4)),0))</f>
        <v>0</v>
      </c>
      <c r="G358" s="251">
        <f>IF(G$4&gt;DAY(EOMONTH(DATE($D$2,$B$2,1),0)),"",IFERROR(SUMIFS(DATA_GOC!$H:$H,DATA_GOC!$A:$A,"BOM",DATA_GOC!$D:$D,$B358,DATA_GOC!$E:$E,"Dầu thủy lực",DATA_GOC!$F:$F,"Xuất nội bộ từ téc",DATA_GOC!$B:$B,DATE($D$2,$B$2,G$4)),0))</f>
        <v>0</v>
      </c>
      <c r="H358" s="251">
        <f>IF(H$4&gt;DAY(EOMONTH(DATE($D$2,$B$2,1),0)),"",IFERROR(SUMIFS(DATA_GOC!$H:$H,DATA_GOC!$A:$A,"BOM",DATA_GOC!$D:$D,$B358,DATA_GOC!$E:$E,"Dầu thủy lực",DATA_GOC!$F:$F,"Xuất nội bộ từ téc",DATA_GOC!$B:$B,DATE($D$2,$B$2,H$4)),0))</f>
        <v>0</v>
      </c>
      <c r="I358" s="251">
        <f>IF(I$4&gt;DAY(EOMONTH(DATE($D$2,$B$2,1),0)),"",IFERROR(SUMIFS(DATA_GOC!$H:$H,DATA_GOC!$A:$A,"BOM",DATA_GOC!$D:$D,$B358,DATA_GOC!$E:$E,"Dầu thủy lực",DATA_GOC!$F:$F,"Xuất nội bộ từ téc",DATA_GOC!$B:$B,DATE($D$2,$B$2,I$4)),0))</f>
        <v>0</v>
      </c>
      <c r="J358" s="251">
        <f>IF(J$4&gt;DAY(EOMONTH(DATE($D$2,$B$2,1),0)),"",IFERROR(SUMIFS(DATA_GOC!$H:$H,DATA_GOC!$A:$A,"BOM",DATA_GOC!$D:$D,$B358,DATA_GOC!$E:$E,"Dầu thủy lực",DATA_GOC!$F:$F,"Xuất nội bộ từ téc",DATA_GOC!$B:$B,DATE($D$2,$B$2,J$4)),0))</f>
        <v>0</v>
      </c>
      <c r="K358" s="251">
        <f>IF(K$4&gt;DAY(EOMONTH(DATE($D$2,$B$2,1),0)),"",IFERROR(SUMIFS(DATA_GOC!$H:$H,DATA_GOC!$A:$A,"BOM",DATA_GOC!$D:$D,$B358,DATA_GOC!$E:$E,"Dầu thủy lực",DATA_GOC!$F:$F,"Xuất nội bộ từ téc",DATA_GOC!$B:$B,DATE($D$2,$B$2,K$4)),0))</f>
        <v>0</v>
      </c>
      <c r="L358" s="251">
        <f>IF(L$4&gt;DAY(EOMONTH(DATE($D$2,$B$2,1),0)),"",IFERROR(SUMIFS(DATA_GOC!$H:$H,DATA_GOC!$A:$A,"BOM",DATA_GOC!$D:$D,$B358,DATA_GOC!$E:$E,"Dầu thủy lực",DATA_GOC!$F:$F,"Xuất nội bộ từ téc",DATA_GOC!$B:$B,DATE($D$2,$B$2,L$4)),0))</f>
        <v>0</v>
      </c>
      <c r="M358" s="251">
        <f>IF(M$4&gt;DAY(EOMONTH(DATE($D$2,$B$2,1),0)),"",IFERROR(SUMIFS(DATA_GOC!$H:$H,DATA_GOC!$A:$A,"BOM",DATA_GOC!$D:$D,$B358,DATA_GOC!$E:$E,"Dầu thủy lực",DATA_GOC!$F:$F,"Xuất nội bộ từ téc",DATA_GOC!$B:$B,DATE($D$2,$B$2,M$4)),0))</f>
        <v>0</v>
      </c>
      <c r="N358" s="251">
        <f>IF(N$4&gt;DAY(EOMONTH(DATE($D$2,$B$2,1),0)),"",IFERROR(SUMIFS(DATA_GOC!$H:$H,DATA_GOC!$A:$A,"BOM",DATA_GOC!$D:$D,$B358,DATA_GOC!$E:$E,"Dầu thủy lực",DATA_GOC!$F:$F,"Xuất nội bộ từ téc",DATA_GOC!$B:$B,DATE($D$2,$B$2,N$4)),0))</f>
        <v>0</v>
      </c>
      <c r="O358" s="251">
        <f>IF(O$4&gt;DAY(EOMONTH(DATE($D$2,$B$2,1),0)),"",IFERROR(SUMIFS(DATA_GOC!$H:$H,DATA_GOC!$A:$A,"BOM",DATA_GOC!$D:$D,$B358,DATA_GOC!$E:$E,"Dầu thủy lực",DATA_GOC!$F:$F,"Xuất nội bộ từ téc",DATA_GOC!$B:$B,DATE($D$2,$B$2,O$4)),0))</f>
        <v>0</v>
      </c>
      <c r="P358" s="251">
        <f>IF(P$4&gt;DAY(EOMONTH(DATE($D$2,$B$2,1),0)),"",IFERROR(SUMIFS(DATA_GOC!$H:$H,DATA_GOC!$A:$A,"BOM",DATA_GOC!$D:$D,$B358,DATA_GOC!$E:$E,"Dầu thủy lực",DATA_GOC!$F:$F,"Xuất nội bộ từ téc",DATA_GOC!$B:$B,DATE($D$2,$B$2,P$4)),0))</f>
        <v>0</v>
      </c>
      <c r="Q358" s="251">
        <f>IF(Q$4&gt;DAY(EOMONTH(DATE($D$2,$B$2,1),0)),"",IFERROR(SUMIFS(DATA_GOC!$H:$H,DATA_GOC!$A:$A,"BOM",DATA_GOC!$D:$D,$B358,DATA_GOC!$E:$E,"Dầu thủy lực",DATA_GOC!$F:$F,"Xuất nội bộ từ téc",DATA_GOC!$B:$B,DATE($D$2,$B$2,Q$4)),0))</f>
        <v>0</v>
      </c>
      <c r="R358" s="251">
        <f>IF(R$4&gt;DAY(EOMONTH(DATE($D$2,$B$2,1),0)),"",IFERROR(SUMIFS(DATA_GOC!$H:$H,DATA_GOC!$A:$A,"BOM",DATA_GOC!$D:$D,$B358,DATA_GOC!$E:$E,"Dầu thủy lực",DATA_GOC!$F:$F,"Xuất nội bộ từ téc",DATA_GOC!$B:$B,DATE($D$2,$B$2,R$4)),0))</f>
        <v>0</v>
      </c>
      <c r="S358" s="251">
        <f>IF(S$4&gt;DAY(EOMONTH(DATE($D$2,$B$2,1),0)),"",IFERROR(SUMIFS(DATA_GOC!$H:$H,DATA_GOC!$A:$A,"BOM",DATA_GOC!$D:$D,$B358,DATA_GOC!$E:$E,"Dầu thủy lực",DATA_GOC!$F:$F,"Xuất nội bộ từ téc",DATA_GOC!$B:$B,DATE($D$2,$B$2,S$4)),0))</f>
        <v>0</v>
      </c>
      <c r="T358" s="251">
        <f>IF(T$4&gt;DAY(EOMONTH(DATE($D$2,$B$2,1),0)),"",IFERROR(SUMIFS(DATA_GOC!$H:$H,DATA_GOC!$A:$A,"BOM",DATA_GOC!$D:$D,$B358,DATA_GOC!$E:$E,"Dầu thủy lực",DATA_GOC!$F:$F,"Xuất nội bộ từ téc",DATA_GOC!$B:$B,DATE($D$2,$B$2,T$4)),0))</f>
        <v>0</v>
      </c>
      <c r="U358" s="251">
        <f>IF(U$4&gt;DAY(EOMONTH(DATE($D$2,$B$2,1),0)),"",IFERROR(SUMIFS(DATA_GOC!$H:$H,DATA_GOC!$A:$A,"BOM",DATA_GOC!$D:$D,$B358,DATA_GOC!$E:$E,"Dầu thủy lực",DATA_GOC!$F:$F,"Xuất nội bộ từ téc",DATA_GOC!$B:$B,DATE($D$2,$B$2,U$4)),0))</f>
        <v>0</v>
      </c>
      <c r="V358" s="251">
        <f>IF(V$4&gt;DAY(EOMONTH(DATE($D$2,$B$2,1),0)),"",IFERROR(SUMIFS(DATA_GOC!$H:$H,DATA_GOC!$A:$A,"BOM",DATA_GOC!$D:$D,$B358,DATA_GOC!$E:$E,"Dầu thủy lực",DATA_GOC!$F:$F,"Xuất nội bộ từ téc",DATA_GOC!$B:$B,DATE($D$2,$B$2,V$4)),0))</f>
        <v>0</v>
      </c>
      <c r="W358" s="251">
        <f>IF(W$4&gt;DAY(EOMONTH(DATE($D$2,$B$2,1),0)),"",IFERROR(SUMIFS(DATA_GOC!$H:$H,DATA_GOC!$A:$A,"BOM",DATA_GOC!$D:$D,$B358,DATA_GOC!$E:$E,"Dầu thủy lực",DATA_GOC!$F:$F,"Xuất nội bộ từ téc",DATA_GOC!$B:$B,DATE($D$2,$B$2,W$4)),0))</f>
        <v>0</v>
      </c>
      <c r="X358" s="251">
        <f>IF(X$4&gt;DAY(EOMONTH(DATE($D$2,$B$2,1),0)),"",IFERROR(SUMIFS(DATA_GOC!$H:$H,DATA_GOC!$A:$A,"BOM",DATA_GOC!$D:$D,$B358,DATA_GOC!$E:$E,"Dầu thủy lực",DATA_GOC!$F:$F,"Xuất nội bộ từ téc",DATA_GOC!$B:$B,DATE($D$2,$B$2,X$4)),0))</f>
        <v>0</v>
      </c>
      <c r="Y358" s="251">
        <f>IF(Y$4&gt;DAY(EOMONTH(DATE($D$2,$B$2,1),0)),"",IFERROR(SUMIFS(DATA_GOC!$H:$H,DATA_GOC!$A:$A,"BOM",DATA_GOC!$D:$D,$B358,DATA_GOC!$E:$E,"Dầu thủy lực",DATA_GOC!$F:$F,"Xuất nội bộ từ téc",DATA_GOC!$B:$B,DATE($D$2,$B$2,Y$4)),0))</f>
        <v>0</v>
      </c>
      <c r="Z358" s="251">
        <f>IF(Z$4&gt;DAY(EOMONTH(DATE($D$2,$B$2,1),0)),"",IFERROR(SUMIFS(DATA_GOC!$H:$H,DATA_GOC!$A:$A,"BOM",DATA_GOC!$D:$D,$B358,DATA_GOC!$E:$E,"Dầu thủy lực",DATA_GOC!$F:$F,"Xuất nội bộ từ téc",DATA_GOC!$B:$B,DATE($D$2,$B$2,Z$4)),0))</f>
        <v>0</v>
      </c>
      <c r="AA358" s="251">
        <f>IF(AA$4&gt;DAY(EOMONTH(DATE($D$2,$B$2,1),0)),"",IFERROR(SUMIFS(DATA_GOC!$H:$H,DATA_GOC!$A:$A,"BOM",DATA_GOC!$D:$D,$B358,DATA_GOC!$E:$E,"Dầu thủy lực",DATA_GOC!$F:$F,"Xuất nội bộ từ téc",DATA_GOC!$B:$B,DATE($D$2,$B$2,AA$4)),0))</f>
        <v>0</v>
      </c>
      <c r="AB358" s="251">
        <f>IF(AB$4&gt;DAY(EOMONTH(DATE($D$2,$B$2,1),0)),"",IFERROR(SUMIFS(DATA_GOC!$H:$H,DATA_GOC!$A:$A,"BOM",DATA_GOC!$D:$D,$B358,DATA_GOC!$E:$E,"Dầu thủy lực",DATA_GOC!$F:$F,"Xuất nội bộ từ téc",DATA_GOC!$B:$B,DATE($D$2,$B$2,AB$4)),0))</f>
        <v>0</v>
      </c>
      <c r="AC358" s="251">
        <f>IF(AC$4&gt;DAY(EOMONTH(DATE($D$2,$B$2,1),0)),"",IFERROR(SUMIFS(DATA_GOC!$H:$H,DATA_GOC!$A:$A,"BOM",DATA_GOC!$D:$D,$B358,DATA_GOC!$E:$E,"Dầu thủy lực",DATA_GOC!$F:$F,"Xuất nội bộ từ téc",DATA_GOC!$B:$B,DATE($D$2,$B$2,AC$4)),0))</f>
        <v>0</v>
      </c>
      <c r="AD358" s="251">
        <f>IF(AD$4&gt;DAY(EOMONTH(DATE($D$2,$B$2,1),0)),"",IFERROR(SUMIFS(DATA_GOC!$H:$H,DATA_GOC!$A:$A,"BOM",DATA_GOC!$D:$D,$B358,DATA_GOC!$E:$E,"Dầu thủy lực",DATA_GOC!$F:$F,"Xuất nội bộ từ téc",DATA_GOC!$B:$B,DATE($D$2,$B$2,AD$4)),0))</f>
        <v>0</v>
      </c>
      <c r="AE358" s="251">
        <f>IF(AE$4&gt;DAY(EOMONTH(DATE($D$2,$B$2,1),0)),"",IFERROR(SUMIFS(DATA_GOC!$H:$H,DATA_GOC!$A:$A,"BOM",DATA_GOC!$D:$D,$B358,DATA_GOC!$E:$E,"Dầu thủy lực",DATA_GOC!$F:$F,"Xuất nội bộ từ téc",DATA_GOC!$B:$B,DATE($D$2,$B$2,AE$4)),0))</f>
        <v>0</v>
      </c>
      <c r="AF358" s="251">
        <f>IF(AF$4&gt;DAY(EOMONTH(DATE($D$2,$B$2,1),0)),"",IFERROR(SUMIFS(DATA_GOC!$H:$H,DATA_GOC!$A:$A,"BOM",DATA_GOC!$D:$D,$B358,DATA_GOC!$E:$E,"Dầu thủy lực",DATA_GOC!$F:$F,"Xuất nội bộ từ téc",DATA_GOC!$B:$B,DATE($D$2,$B$2,AF$4)),0))</f>
        <v>0</v>
      </c>
      <c r="AG358" s="251">
        <f>IF(AG$4&gt;DAY(EOMONTH(DATE($D$2,$B$2,1),0)),"",IFERROR(SUMIFS(DATA_GOC!$H:$H,DATA_GOC!$A:$A,"BOM",DATA_GOC!$D:$D,$B358,DATA_GOC!$E:$E,"Dầu thủy lực",DATA_GOC!$F:$F,"Xuất nội bộ từ téc",DATA_GOC!$B:$B,DATE($D$2,$B$2,AG$4)),0))</f>
        <v>0</v>
      </c>
      <c r="AH358" s="252">
        <f t="shared" si="16"/>
        <v>0</v>
      </c>
      <c r="AI358" s="241"/>
      <c r="AJ358" s="242">
        <f>IF($B358="","",SUMIFS(TINH_TEC!$K$233:$K$9232,TINH_TEC!$H$233:$H$9232,$B358,TINH_TEC!$C$233:$C$9232,"Dầu thủy lực",TINH_TEC!$F$233:$F$9232,$B$2,TINH_TEC!$G$233:$G$9232,$D$2,TINH_TEC!$B$233:$B$9232,"Đã chốt"))</f>
        <v>0</v>
      </c>
      <c r="AK358" s="242">
        <f>IF($B358="","",SUMIFS(TINH_TEC!$J$233:$J$9232,TINH_TEC!$H$233:$H$9232,$B358,TINH_TEC!$C$233:$C$9232,"Dầu thủy lực",TINH_TEC!$F$233:$F$9232,$B$2,TINH_TEC!$G$233:$G$9232,$D$2,TINH_TEC!$B$233:$B$9232,"Đã chốt"))</f>
        <v>0</v>
      </c>
      <c r="AL358" s="242">
        <f t="shared" si="17"/>
        <v>0</v>
      </c>
    </row>
    <row r="359" ht="15.75" customHeight="1">
      <c r="A359" s="237">
        <f>IF($B359&lt;&gt;"",49,"")</f>
        <v>49</v>
      </c>
      <c r="B359" s="250" t="str">
        <f t="array" ref="B359">IFERROR(INDEX(DANH_MUC!$E:$E,52),"")</f>
        <v>Máy phát điện</v>
      </c>
      <c r="C359" s="251">
        <f>IF(C$4&gt;DAY(EOMONTH(DATE($D$2,$B$2,1),0)),"",IFERROR(SUMIFS(DATA_GOC!$H:$H,DATA_GOC!$A:$A,"BOM",DATA_GOC!$D:$D,$B359,DATA_GOC!$E:$E,"Dầu thủy lực",DATA_GOC!$F:$F,"Xuất nội bộ từ téc",DATA_GOC!$B:$B,DATE($D$2,$B$2,C$4)),0))</f>
        <v>0</v>
      </c>
      <c r="D359" s="251">
        <f>IF(D$4&gt;DAY(EOMONTH(DATE($D$2,$B$2,1),0)),"",IFERROR(SUMIFS(DATA_GOC!$H:$H,DATA_GOC!$A:$A,"BOM",DATA_GOC!$D:$D,$B359,DATA_GOC!$E:$E,"Dầu thủy lực",DATA_GOC!$F:$F,"Xuất nội bộ từ téc",DATA_GOC!$B:$B,DATE($D$2,$B$2,D$4)),0))</f>
        <v>0</v>
      </c>
      <c r="E359" s="251">
        <f>IF(E$4&gt;DAY(EOMONTH(DATE($D$2,$B$2,1),0)),"",IFERROR(SUMIFS(DATA_GOC!$H:$H,DATA_GOC!$A:$A,"BOM",DATA_GOC!$D:$D,$B359,DATA_GOC!$E:$E,"Dầu thủy lực",DATA_GOC!$F:$F,"Xuất nội bộ từ téc",DATA_GOC!$B:$B,DATE($D$2,$B$2,E$4)),0))</f>
        <v>0</v>
      </c>
      <c r="F359" s="251">
        <f>IF(F$4&gt;DAY(EOMONTH(DATE($D$2,$B$2,1),0)),"",IFERROR(SUMIFS(DATA_GOC!$H:$H,DATA_GOC!$A:$A,"BOM",DATA_GOC!$D:$D,$B359,DATA_GOC!$E:$E,"Dầu thủy lực",DATA_GOC!$F:$F,"Xuất nội bộ từ téc",DATA_GOC!$B:$B,DATE($D$2,$B$2,F$4)),0))</f>
        <v>0</v>
      </c>
      <c r="G359" s="251">
        <f>IF(G$4&gt;DAY(EOMONTH(DATE($D$2,$B$2,1),0)),"",IFERROR(SUMIFS(DATA_GOC!$H:$H,DATA_GOC!$A:$A,"BOM",DATA_GOC!$D:$D,$B359,DATA_GOC!$E:$E,"Dầu thủy lực",DATA_GOC!$F:$F,"Xuất nội bộ từ téc",DATA_GOC!$B:$B,DATE($D$2,$B$2,G$4)),0))</f>
        <v>0</v>
      </c>
      <c r="H359" s="251">
        <f>IF(H$4&gt;DAY(EOMONTH(DATE($D$2,$B$2,1),0)),"",IFERROR(SUMIFS(DATA_GOC!$H:$H,DATA_GOC!$A:$A,"BOM",DATA_GOC!$D:$D,$B359,DATA_GOC!$E:$E,"Dầu thủy lực",DATA_GOC!$F:$F,"Xuất nội bộ từ téc",DATA_GOC!$B:$B,DATE($D$2,$B$2,H$4)),0))</f>
        <v>0</v>
      </c>
      <c r="I359" s="251">
        <f>IF(I$4&gt;DAY(EOMONTH(DATE($D$2,$B$2,1),0)),"",IFERROR(SUMIFS(DATA_GOC!$H:$H,DATA_GOC!$A:$A,"BOM",DATA_GOC!$D:$D,$B359,DATA_GOC!$E:$E,"Dầu thủy lực",DATA_GOC!$F:$F,"Xuất nội bộ từ téc",DATA_GOC!$B:$B,DATE($D$2,$B$2,I$4)),0))</f>
        <v>0</v>
      </c>
      <c r="J359" s="251">
        <f>IF(J$4&gt;DAY(EOMONTH(DATE($D$2,$B$2,1),0)),"",IFERROR(SUMIFS(DATA_GOC!$H:$H,DATA_GOC!$A:$A,"BOM",DATA_GOC!$D:$D,$B359,DATA_GOC!$E:$E,"Dầu thủy lực",DATA_GOC!$F:$F,"Xuất nội bộ từ téc",DATA_GOC!$B:$B,DATE($D$2,$B$2,J$4)),0))</f>
        <v>0</v>
      </c>
      <c r="K359" s="251">
        <f>IF(K$4&gt;DAY(EOMONTH(DATE($D$2,$B$2,1),0)),"",IFERROR(SUMIFS(DATA_GOC!$H:$H,DATA_GOC!$A:$A,"BOM",DATA_GOC!$D:$D,$B359,DATA_GOC!$E:$E,"Dầu thủy lực",DATA_GOC!$F:$F,"Xuất nội bộ từ téc",DATA_GOC!$B:$B,DATE($D$2,$B$2,K$4)),0))</f>
        <v>0</v>
      </c>
      <c r="L359" s="251">
        <f>IF(L$4&gt;DAY(EOMONTH(DATE($D$2,$B$2,1),0)),"",IFERROR(SUMIFS(DATA_GOC!$H:$H,DATA_GOC!$A:$A,"BOM",DATA_GOC!$D:$D,$B359,DATA_GOC!$E:$E,"Dầu thủy lực",DATA_GOC!$F:$F,"Xuất nội bộ từ téc",DATA_GOC!$B:$B,DATE($D$2,$B$2,L$4)),0))</f>
        <v>0</v>
      </c>
      <c r="M359" s="251">
        <f>IF(M$4&gt;DAY(EOMONTH(DATE($D$2,$B$2,1),0)),"",IFERROR(SUMIFS(DATA_GOC!$H:$H,DATA_GOC!$A:$A,"BOM",DATA_GOC!$D:$D,$B359,DATA_GOC!$E:$E,"Dầu thủy lực",DATA_GOC!$F:$F,"Xuất nội bộ từ téc",DATA_GOC!$B:$B,DATE($D$2,$B$2,M$4)),0))</f>
        <v>0</v>
      </c>
      <c r="N359" s="251">
        <f>IF(N$4&gt;DAY(EOMONTH(DATE($D$2,$B$2,1),0)),"",IFERROR(SUMIFS(DATA_GOC!$H:$H,DATA_GOC!$A:$A,"BOM",DATA_GOC!$D:$D,$B359,DATA_GOC!$E:$E,"Dầu thủy lực",DATA_GOC!$F:$F,"Xuất nội bộ từ téc",DATA_GOC!$B:$B,DATE($D$2,$B$2,N$4)),0))</f>
        <v>0</v>
      </c>
      <c r="O359" s="251">
        <f>IF(O$4&gt;DAY(EOMONTH(DATE($D$2,$B$2,1),0)),"",IFERROR(SUMIFS(DATA_GOC!$H:$H,DATA_GOC!$A:$A,"BOM",DATA_GOC!$D:$D,$B359,DATA_GOC!$E:$E,"Dầu thủy lực",DATA_GOC!$F:$F,"Xuất nội bộ từ téc",DATA_GOC!$B:$B,DATE($D$2,$B$2,O$4)),0))</f>
        <v>0</v>
      </c>
      <c r="P359" s="251">
        <f>IF(P$4&gt;DAY(EOMONTH(DATE($D$2,$B$2,1),0)),"",IFERROR(SUMIFS(DATA_GOC!$H:$H,DATA_GOC!$A:$A,"BOM",DATA_GOC!$D:$D,$B359,DATA_GOC!$E:$E,"Dầu thủy lực",DATA_GOC!$F:$F,"Xuất nội bộ từ téc",DATA_GOC!$B:$B,DATE($D$2,$B$2,P$4)),0))</f>
        <v>0</v>
      </c>
      <c r="Q359" s="251">
        <f>IF(Q$4&gt;DAY(EOMONTH(DATE($D$2,$B$2,1),0)),"",IFERROR(SUMIFS(DATA_GOC!$H:$H,DATA_GOC!$A:$A,"BOM",DATA_GOC!$D:$D,$B359,DATA_GOC!$E:$E,"Dầu thủy lực",DATA_GOC!$F:$F,"Xuất nội bộ từ téc",DATA_GOC!$B:$B,DATE($D$2,$B$2,Q$4)),0))</f>
        <v>0</v>
      </c>
      <c r="R359" s="251">
        <f>IF(R$4&gt;DAY(EOMONTH(DATE($D$2,$B$2,1),0)),"",IFERROR(SUMIFS(DATA_GOC!$H:$H,DATA_GOC!$A:$A,"BOM",DATA_GOC!$D:$D,$B359,DATA_GOC!$E:$E,"Dầu thủy lực",DATA_GOC!$F:$F,"Xuất nội bộ từ téc",DATA_GOC!$B:$B,DATE($D$2,$B$2,R$4)),0))</f>
        <v>0</v>
      </c>
      <c r="S359" s="251">
        <f>IF(S$4&gt;DAY(EOMONTH(DATE($D$2,$B$2,1),0)),"",IFERROR(SUMIFS(DATA_GOC!$H:$H,DATA_GOC!$A:$A,"BOM",DATA_GOC!$D:$D,$B359,DATA_GOC!$E:$E,"Dầu thủy lực",DATA_GOC!$F:$F,"Xuất nội bộ từ téc",DATA_GOC!$B:$B,DATE($D$2,$B$2,S$4)),0))</f>
        <v>0</v>
      </c>
      <c r="T359" s="251">
        <f>IF(T$4&gt;DAY(EOMONTH(DATE($D$2,$B$2,1),0)),"",IFERROR(SUMIFS(DATA_GOC!$H:$H,DATA_GOC!$A:$A,"BOM",DATA_GOC!$D:$D,$B359,DATA_GOC!$E:$E,"Dầu thủy lực",DATA_GOC!$F:$F,"Xuất nội bộ từ téc",DATA_GOC!$B:$B,DATE($D$2,$B$2,T$4)),0))</f>
        <v>0</v>
      </c>
      <c r="U359" s="251">
        <f>IF(U$4&gt;DAY(EOMONTH(DATE($D$2,$B$2,1),0)),"",IFERROR(SUMIFS(DATA_GOC!$H:$H,DATA_GOC!$A:$A,"BOM",DATA_GOC!$D:$D,$B359,DATA_GOC!$E:$E,"Dầu thủy lực",DATA_GOC!$F:$F,"Xuất nội bộ từ téc",DATA_GOC!$B:$B,DATE($D$2,$B$2,U$4)),0))</f>
        <v>0</v>
      </c>
      <c r="V359" s="251">
        <f>IF(V$4&gt;DAY(EOMONTH(DATE($D$2,$B$2,1),0)),"",IFERROR(SUMIFS(DATA_GOC!$H:$H,DATA_GOC!$A:$A,"BOM",DATA_GOC!$D:$D,$B359,DATA_GOC!$E:$E,"Dầu thủy lực",DATA_GOC!$F:$F,"Xuất nội bộ từ téc",DATA_GOC!$B:$B,DATE($D$2,$B$2,V$4)),0))</f>
        <v>0</v>
      </c>
      <c r="W359" s="251">
        <f>IF(W$4&gt;DAY(EOMONTH(DATE($D$2,$B$2,1),0)),"",IFERROR(SUMIFS(DATA_GOC!$H:$H,DATA_GOC!$A:$A,"BOM",DATA_GOC!$D:$D,$B359,DATA_GOC!$E:$E,"Dầu thủy lực",DATA_GOC!$F:$F,"Xuất nội bộ từ téc",DATA_GOC!$B:$B,DATE($D$2,$B$2,W$4)),0))</f>
        <v>0</v>
      </c>
      <c r="X359" s="251">
        <f>IF(X$4&gt;DAY(EOMONTH(DATE($D$2,$B$2,1),0)),"",IFERROR(SUMIFS(DATA_GOC!$H:$H,DATA_GOC!$A:$A,"BOM",DATA_GOC!$D:$D,$B359,DATA_GOC!$E:$E,"Dầu thủy lực",DATA_GOC!$F:$F,"Xuất nội bộ từ téc",DATA_GOC!$B:$B,DATE($D$2,$B$2,X$4)),0))</f>
        <v>0</v>
      </c>
      <c r="Y359" s="251">
        <f>IF(Y$4&gt;DAY(EOMONTH(DATE($D$2,$B$2,1),0)),"",IFERROR(SUMIFS(DATA_GOC!$H:$H,DATA_GOC!$A:$A,"BOM",DATA_GOC!$D:$D,$B359,DATA_GOC!$E:$E,"Dầu thủy lực",DATA_GOC!$F:$F,"Xuất nội bộ từ téc",DATA_GOC!$B:$B,DATE($D$2,$B$2,Y$4)),0))</f>
        <v>0</v>
      </c>
      <c r="Z359" s="251">
        <f>IF(Z$4&gt;DAY(EOMONTH(DATE($D$2,$B$2,1),0)),"",IFERROR(SUMIFS(DATA_GOC!$H:$H,DATA_GOC!$A:$A,"BOM",DATA_GOC!$D:$D,$B359,DATA_GOC!$E:$E,"Dầu thủy lực",DATA_GOC!$F:$F,"Xuất nội bộ từ téc",DATA_GOC!$B:$B,DATE($D$2,$B$2,Z$4)),0))</f>
        <v>0</v>
      </c>
      <c r="AA359" s="251">
        <f>IF(AA$4&gt;DAY(EOMONTH(DATE($D$2,$B$2,1),0)),"",IFERROR(SUMIFS(DATA_GOC!$H:$H,DATA_GOC!$A:$A,"BOM",DATA_GOC!$D:$D,$B359,DATA_GOC!$E:$E,"Dầu thủy lực",DATA_GOC!$F:$F,"Xuất nội bộ từ téc",DATA_GOC!$B:$B,DATE($D$2,$B$2,AA$4)),0))</f>
        <v>0</v>
      </c>
      <c r="AB359" s="251">
        <f>IF(AB$4&gt;DAY(EOMONTH(DATE($D$2,$B$2,1),0)),"",IFERROR(SUMIFS(DATA_GOC!$H:$H,DATA_GOC!$A:$A,"BOM",DATA_GOC!$D:$D,$B359,DATA_GOC!$E:$E,"Dầu thủy lực",DATA_GOC!$F:$F,"Xuất nội bộ từ téc",DATA_GOC!$B:$B,DATE($D$2,$B$2,AB$4)),0))</f>
        <v>0</v>
      </c>
      <c r="AC359" s="251">
        <f>IF(AC$4&gt;DAY(EOMONTH(DATE($D$2,$B$2,1),0)),"",IFERROR(SUMIFS(DATA_GOC!$H:$H,DATA_GOC!$A:$A,"BOM",DATA_GOC!$D:$D,$B359,DATA_GOC!$E:$E,"Dầu thủy lực",DATA_GOC!$F:$F,"Xuất nội bộ từ téc",DATA_GOC!$B:$B,DATE($D$2,$B$2,AC$4)),0))</f>
        <v>0</v>
      </c>
      <c r="AD359" s="251">
        <f>IF(AD$4&gt;DAY(EOMONTH(DATE($D$2,$B$2,1),0)),"",IFERROR(SUMIFS(DATA_GOC!$H:$H,DATA_GOC!$A:$A,"BOM",DATA_GOC!$D:$D,$B359,DATA_GOC!$E:$E,"Dầu thủy lực",DATA_GOC!$F:$F,"Xuất nội bộ từ téc",DATA_GOC!$B:$B,DATE($D$2,$B$2,AD$4)),0))</f>
        <v>0</v>
      </c>
      <c r="AE359" s="251">
        <f>IF(AE$4&gt;DAY(EOMONTH(DATE($D$2,$B$2,1),0)),"",IFERROR(SUMIFS(DATA_GOC!$H:$H,DATA_GOC!$A:$A,"BOM",DATA_GOC!$D:$D,$B359,DATA_GOC!$E:$E,"Dầu thủy lực",DATA_GOC!$F:$F,"Xuất nội bộ từ téc",DATA_GOC!$B:$B,DATE($D$2,$B$2,AE$4)),0))</f>
        <v>0</v>
      </c>
      <c r="AF359" s="251">
        <f>IF(AF$4&gt;DAY(EOMONTH(DATE($D$2,$B$2,1),0)),"",IFERROR(SUMIFS(DATA_GOC!$H:$H,DATA_GOC!$A:$A,"BOM",DATA_GOC!$D:$D,$B359,DATA_GOC!$E:$E,"Dầu thủy lực",DATA_GOC!$F:$F,"Xuất nội bộ từ téc",DATA_GOC!$B:$B,DATE($D$2,$B$2,AF$4)),0))</f>
        <v>0</v>
      </c>
      <c r="AG359" s="251">
        <f>IF(AG$4&gt;DAY(EOMONTH(DATE($D$2,$B$2,1),0)),"",IFERROR(SUMIFS(DATA_GOC!$H:$H,DATA_GOC!$A:$A,"BOM",DATA_GOC!$D:$D,$B359,DATA_GOC!$E:$E,"Dầu thủy lực",DATA_GOC!$F:$F,"Xuất nội bộ từ téc",DATA_GOC!$B:$B,DATE($D$2,$B$2,AG$4)),0))</f>
        <v>0</v>
      </c>
      <c r="AH359" s="252">
        <f t="shared" si="16"/>
        <v>0</v>
      </c>
      <c r="AI359" s="241"/>
      <c r="AJ359" s="242">
        <f>IF($B359="","",SUMIFS(TINH_TEC!$K$233:$K$9232,TINH_TEC!$H$233:$H$9232,$B359,TINH_TEC!$C$233:$C$9232,"Dầu thủy lực",TINH_TEC!$F$233:$F$9232,$B$2,TINH_TEC!$G$233:$G$9232,$D$2,TINH_TEC!$B$233:$B$9232,"Đã chốt"))</f>
        <v>0</v>
      </c>
      <c r="AK359" s="242">
        <f>IF($B359="","",SUMIFS(TINH_TEC!$J$233:$J$9232,TINH_TEC!$H$233:$H$9232,$B359,TINH_TEC!$C$233:$C$9232,"Dầu thủy lực",TINH_TEC!$F$233:$F$9232,$B$2,TINH_TEC!$G$233:$G$9232,$D$2,TINH_TEC!$B$233:$B$9232,"Đã chốt"))</f>
        <v>0</v>
      </c>
      <c r="AL359" s="242">
        <f t="shared" si="17"/>
        <v>0</v>
      </c>
    </row>
    <row r="360" ht="15.75" customHeight="1">
      <c r="A360" s="237">
        <f>IF($B360&lt;&gt;"",50,"")</f>
        <v>50</v>
      </c>
      <c r="B360" s="250" t="str">
        <f t="array" ref="B360">IFERROR(INDEX(DANH_MUC!$E:$E,53),"")</f>
        <v>Máy rải thảm</v>
      </c>
      <c r="C360" s="251">
        <f>IF(C$4&gt;DAY(EOMONTH(DATE($D$2,$B$2,1),0)),"",IFERROR(SUMIFS(DATA_GOC!$H:$H,DATA_GOC!$A:$A,"BOM",DATA_GOC!$D:$D,$B360,DATA_GOC!$E:$E,"Dầu thủy lực",DATA_GOC!$F:$F,"Xuất nội bộ từ téc",DATA_GOC!$B:$B,DATE($D$2,$B$2,C$4)),0))</f>
        <v>0</v>
      </c>
      <c r="D360" s="251">
        <f>IF(D$4&gt;DAY(EOMONTH(DATE($D$2,$B$2,1),0)),"",IFERROR(SUMIFS(DATA_GOC!$H:$H,DATA_GOC!$A:$A,"BOM",DATA_GOC!$D:$D,$B360,DATA_GOC!$E:$E,"Dầu thủy lực",DATA_GOC!$F:$F,"Xuất nội bộ từ téc",DATA_GOC!$B:$B,DATE($D$2,$B$2,D$4)),0))</f>
        <v>0</v>
      </c>
      <c r="E360" s="251">
        <f>IF(E$4&gt;DAY(EOMONTH(DATE($D$2,$B$2,1),0)),"",IFERROR(SUMIFS(DATA_GOC!$H:$H,DATA_GOC!$A:$A,"BOM",DATA_GOC!$D:$D,$B360,DATA_GOC!$E:$E,"Dầu thủy lực",DATA_GOC!$F:$F,"Xuất nội bộ từ téc",DATA_GOC!$B:$B,DATE($D$2,$B$2,E$4)),0))</f>
        <v>0</v>
      </c>
      <c r="F360" s="251">
        <f>IF(F$4&gt;DAY(EOMONTH(DATE($D$2,$B$2,1),0)),"",IFERROR(SUMIFS(DATA_GOC!$H:$H,DATA_GOC!$A:$A,"BOM",DATA_GOC!$D:$D,$B360,DATA_GOC!$E:$E,"Dầu thủy lực",DATA_GOC!$F:$F,"Xuất nội bộ từ téc",DATA_GOC!$B:$B,DATE($D$2,$B$2,F$4)),0))</f>
        <v>0</v>
      </c>
      <c r="G360" s="251">
        <f>IF(G$4&gt;DAY(EOMONTH(DATE($D$2,$B$2,1),0)),"",IFERROR(SUMIFS(DATA_GOC!$H:$H,DATA_GOC!$A:$A,"BOM",DATA_GOC!$D:$D,$B360,DATA_GOC!$E:$E,"Dầu thủy lực",DATA_GOC!$F:$F,"Xuất nội bộ từ téc",DATA_GOC!$B:$B,DATE($D$2,$B$2,G$4)),0))</f>
        <v>0</v>
      </c>
      <c r="H360" s="251">
        <f>IF(H$4&gt;DAY(EOMONTH(DATE($D$2,$B$2,1),0)),"",IFERROR(SUMIFS(DATA_GOC!$H:$H,DATA_GOC!$A:$A,"BOM",DATA_GOC!$D:$D,$B360,DATA_GOC!$E:$E,"Dầu thủy lực",DATA_GOC!$F:$F,"Xuất nội bộ từ téc",DATA_GOC!$B:$B,DATE($D$2,$B$2,H$4)),0))</f>
        <v>0</v>
      </c>
      <c r="I360" s="251">
        <f>IF(I$4&gt;DAY(EOMONTH(DATE($D$2,$B$2,1),0)),"",IFERROR(SUMIFS(DATA_GOC!$H:$H,DATA_GOC!$A:$A,"BOM",DATA_GOC!$D:$D,$B360,DATA_GOC!$E:$E,"Dầu thủy lực",DATA_GOC!$F:$F,"Xuất nội bộ từ téc",DATA_GOC!$B:$B,DATE($D$2,$B$2,I$4)),0))</f>
        <v>0</v>
      </c>
      <c r="J360" s="251">
        <f>IF(J$4&gt;DAY(EOMONTH(DATE($D$2,$B$2,1),0)),"",IFERROR(SUMIFS(DATA_GOC!$H:$H,DATA_GOC!$A:$A,"BOM",DATA_GOC!$D:$D,$B360,DATA_GOC!$E:$E,"Dầu thủy lực",DATA_GOC!$F:$F,"Xuất nội bộ từ téc",DATA_GOC!$B:$B,DATE($D$2,$B$2,J$4)),0))</f>
        <v>0</v>
      </c>
      <c r="K360" s="251">
        <f>IF(K$4&gt;DAY(EOMONTH(DATE($D$2,$B$2,1),0)),"",IFERROR(SUMIFS(DATA_GOC!$H:$H,DATA_GOC!$A:$A,"BOM",DATA_GOC!$D:$D,$B360,DATA_GOC!$E:$E,"Dầu thủy lực",DATA_GOC!$F:$F,"Xuất nội bộ từ téc",DATA_GOC!$B:$B,DATE($D$2,$B$2,K$4)),0))</f>
        <v>0</v>
      </c>
      <c r="L360" s="251">
        <f>IF(L$4&gt;DAY(EOMONTH(DATE($D$2,$B$2,1),0)),"",IFERROR(SUMIFS(DATA_GOC!$H:$H,DATA_GOC!$A:$A,"BOM",DATA_GOC!$D:$D,$B360,DATA_GOC!$E:$E,"Dầu thủy lực",DATA_GOC!$F:$F,"Xuất nội bộ từ téc",DATA_GOC!$B:$B,DATE($D$2,$B$2,L$4)),0))</f>
        <v>0</v>
      </c>
      <c r="M360" s="251">
        <f>IF(M$4&gt;DAY(EOMONTH(DATE($D$2,$B$2,1),0)),"",IFERROR(SUMIFS(DATA_GOC!$H:$H,DATA_GOC!$A:$A,"BOM",DATA_GOC!$D:$D,$B360,DATA_GOC!$E:$E,"Dầu thủy lực",DATA_GOC!$F:$F,"Xuất nội bộ từ téc",DATA_GOC!$B:$B,DATE($D$2,$B$2,M$4)),0))</f>
        <v>0</v>
      </c>
      <c r="N360" s="251">
        <f>IF(N$4&gt;DAY(EOMONTH(DATE($D$2,$B$2,1),0)),"",IFERROR(SUMIFS(DATA_GOC!$H:$H,DATA_GOC!$A:$A,"BOM",DATA_GOC!$D:$D,$B360,DATA_GOC!$E:$E,"Dầu thủy lực",DATA_GOC!$F:$F,"Xuất nội bộ từ téc",DATA_GOC!$B:$B,DATE($D$2,$B$2,N$4)),0))</f>
        <v>0</v>
      </c>
      <c r="O360" s="251">
        <f>IF(O$4&gt;DAY(EOMONTH(DATE($D$2,$B$2,1),0)),"",IFERROR(SUMIFS(DATA_GOC!$H:$H,DATA_GOC!$A:$A,"BOM",DATA_GOC!$D:$D,$B360,DATA_GOC!$E:$E,"Dầu thủy lực",DATA_GOC!$F:$F,"Xuất nội bộ từ téc",DATA_GOC!$B:$B,DATE($D$2,$B$2,O$4)),0))</f>
        <v>0</v>
      </c>
      <c r="P360" s="251">
        <f>IF(P$4&gt;DAY(EOMONTH(DATE($D$2,$B$2,1),0)),"",IFERROR(SUMIFS(DATA_GOC!$H:$H,DATA_GOC!$A:$A,"BOM",DATA_GOC!$D:$D,$B360,DATA_GOC!$E:$E,"Dầu thủy lực",DATA_GOC!$F:$F,"Xuất nội bộ từ téc",DATA_GOC!$B:$B,DATE($D$2,$B$2,P$4)),0))</f>
        <v>0</v>
      </c>
      <c r="Q360" s="251">
        <f>IF(Q$4&gt;DAY(EOMONTH(DATE($D$2,$B$2,1),0)),"",IFERROR(SUMIFS(DATA_GOC!$H:$H,DATA_GOC!$A:$A,"BOM",DATA_GOC!$D:$D,$B360,DATA_GOC!$E:$E,"Dầu thủy lực",DATA_GOC!$F:$F,"Xuất nội bộ từ téc",DATA_GOC!$B:$B,DATE($D$2,$B$2,Q$4)),0))</f>
        <v>0</v>
      </c>
      <c r="R360" s="251">
        <f>IF(R$4&gt;DAY(EOMONTH(DATE($D$2,$B$2,1),0)),"",IFERROR(SUMIFS(DATA_GOC!$H:$H,DATA_GOC!$A:$A,"BOM",DATA_GOC!$D:$D,$B360,DATA_GOC!$E:$E,"Dầu thủy lực",DATA_GOC!$F:$F,"Xuất nội bộ từ téc",DATA_GOC!$B:$B,DATE($D$2,$B$2,R$4)),0))</f>
        <v>0</v>
      </c>
      <c r="S360" s="251">
        <f>IF(S$4&gt;DAY(EOMONTH(DATE($D$2,$B$2,1),0)),"",IFERROR(SUMIFS(DATA_GOC!$H:$H,DATA_GOC!$A:$A,"BOM",DATA_GOC!$D:$D,$B360,DATA_GOC!$E:$E,"Dầu thủy lực",DATA_GOC!$F:$F,"Xuất nội bộ từ téc",DATA_GOC!$B:$B,DATE($D$2,$B$2,S$4)),0))</f>
        <v>0</v>
      </c>
      <c r="T360" s="251">
        <f>IF(T$4&gt;DAY(EOMONTH(DATE($D$2,$B$2,1),0)),"",IFERROR(SUMIFS(DATA_GOC!$H:$H,DATA_GOC!$A:$A,"BOM",DATA_GOC!$D:$D,$B360,DATA_GOC!$E:$E,"Dầu thủy lực",DATA_GOC!$F:$F,"Xuất nội bộ từ téc",DATA_GOC!$B:$B,DATE($D$2,$B$2,T$4)),0))</f>
        <v>0</v>
      </c>
      <c r="U360" s="251">
        <f>IF(U$4&gt;DAY(EOMONTH(DATE($D$2,$B$2,1),0)),"",IFERROR(SUMIFS(DATA_GOC!$H:$H,DATA_GOC!$A:$A,"BOM",DATA_GOC!$D:$D,$B360,DATA_GOC!$E:$E,"Dầu thủy lực",DATA_GOC!$F:$F,"Xuất nội bộ từ téc",DATA_GOC!$B:$B,DATE($D$2,$B$2,U$4)),0))</f>
        <v>0</v>
      </c>
      <c r="V360" s="251">
        <f>IF(V$4&gt;DAY(EOMONTH(DATE($D$2,$B$2,1),0)),"",IFERROR(SUMIFS(DATA_GOC!$H:$H,DATA_GOC!$A:$A,"BOM",DATA_GOC!$D:$D,$B360,DATA_GOC!$E:$E,"Dầu thủy lực",DATA_GOC!$F:$F,"Xuất nội bộ từ téc",DATA_GOC!$B:$B,DATE($D$2,$B$2,V$4)),0))</f>
        <v>0</v>
      </c>
      <c r="W360" s="251">
        <f>IF(W$4&gt;DAY(EOMONTH(DATE($D$2,$B$2,1),0)),"",IFERROR(SUMIFS(DATA_GOC!$H:$H,DATA_GOC!$A:$A,"BOM",DATA_GOC!$D:$D,$B360,DATA_GOC!$E:$E,"Dầu thủy lực",DATA_GOC!$F:$F,"Xuất nội bộ từ téc",DATA_GOC!$B:$B,DATE($D$2,$B$2,W$4)),0))</f>
        <v>0</v>
      </c>
      <c r="X360" s="251">
        <f>IF(X$4&gt;DAY(EOMONTH(DATE($D$2,$B$2,1),0)),"",IFERROR(SUMIFS(DATA_GOC!$H:$H,DATA_GOC!$A:$A,"BOM",DATA_GOC!$D:$D,$B360,DATA_GOC!$E:$E,"Dầu thủy lực",DATA_GOC!$F:$F,"Xuất nội bộ từ téc",DATA_GOC!$B:$B,DATE($D$2,$B$2,X$4)),0))</f>
        <v>0</v>
      </c>
      <c r="Y360" s="251">
        <f>IF(Y$4&gt;DAY(EOMONTH(DATE($D$2,$B$2,1),0)),"",IFERROR(SUMIFS(DATA_GOC!$H:$H,DATA_GOC!$A:$A,"BOM",DATA_GOC!$D:$D,$B360,DATA_GOC!$E:$E,"Dầu thủy lực",DATA_GOC!$F:$F,"Xuất nội bộ từ téc",DATA_GOC!$B:$B,DATE($D$2,$B$2,Y$4)),0))</f>
        <v>0</v>
      </c>
      <c r="Z360" s="251">
        <f>IF(Z$4&gt;DAY(EOMONTH(DATE($D$2,$B$2,1),0)),"",IFERROR(SUMIFS(DATA_GOC!$H:$H,DATA_GOC!$A:$A,"BOM",DATA_GOC!$D:$D,$B360,DATA_GOC!$E:$E,"Dầu thủy lực",DATA_GOC!$F:$F,"Xuất nội bộ từ téc",DATA_GOC!$B:$B,DATE($D$2,$B$2,Z$4)),0))</f>
        <v>0</v>
      </c>
      <c r="AA360" s="251">
        <f>IF(AA$4&gt;DAY(EOMONTH(DATE($D$2,$B$2,1),0)),"",IFERROR(SUMIFS(DATA_GOC!$H:$H,DATA_GOC!$A:$A,"BOM",DATA_GOC!$D:$D,$B360,DATA_GOC!$E:$E,"Dầu thủy lực",DATA_GOC!$F:$F,"Xuất nội bộ từ téc",DATA_GOC!$B:$B,DATE($D$2,$B$2,AA$4)),0))</f>
        <v>0</v>
      </c>
      <c r="AB360" s="251">
        <f>IF(AB$4&gt;DAY(EOMONTH(DATE($D$2,$B$2,1),0)),"",IFERROR(SUMIFS(DATA_GOC!$H:$H,DATA_GOC!$A:$A,"BOM",DATA_GOC!$D:$D,$B360,DATA_GOC!$E:$E,"Dầu thủy lực",DATA_GOC!$F:$F,"Xuất nội bộ từ téc",DATA_GOC!$B:$B,DATE($D$2,$B$2,AB$4)),0))</f>
        <v>0</v>
      </c>
      <c r="AC360" s="251">
        <f>IF(AC$4&gt;DAY(EOMONTH(DATE($D$2,$B$2,1),0)),"",IFERROR(SUMIFS(DATA_GOC!$H:$H,DATA_GOC!$A:$A,"BOM",DATA_GOC!$D:$D,$B360,DATA_GOC!$E:$E,"Dầu thủy lực",DATA_GOC!$F:$F,"Xuất nội bộ từ téc",DATA_GOC!$B:$B,DATE($D$2,$B$2,AC$4)),0))</f>
        <v>0</v>
      </c>
      <c r="AD360" s="251">
        <f>IF(AD$4&gt;DAY(EOMONTH(DATE($D$2,$B$2,1),0)),"",IFERROR(SUMIFS(DATA_GOC!$H:$H,DATA_GOC!$A:$A,"BOM",DATA_GOC!$D:$D,$B360,DATA_GOC!$E:$E,"Dầu thủy lực",DATA_GOC!$F:$F,"Xuất nội bộ từ téc",DATA_GOC!$B:$B,DATE($D$2,$B$2,AD$4)),0))</f>
        <v>0</v>
      </c>
      <c r="AE360" s="251">
        <f>IF(AE$4&gt;DAY(EOMONTH(DATE($D$2,$B$2,1),0)),"",IFERROR(SUMIFS(DATA_GOC!$H:$H,DATA_GOC!$A:$A,"BOM",DATA_GOC!$D:$D,$B360,DATA_GOC!$E:$E,"Dầu thủy lực",DATA_GOC!$F:$F,"Xuất nội bộ từ téc",DATA_GOC!$B:$B,DATE($D$2,$B$2,AE$4)),0))</f>
        <v>0</v>
      </c>
      <c r="AF360" s="251">
        <f>IF(AF$4&gt;DAY(EOMONTH(DATE($D$2,$B$2,1),0)),"",IFERROR(SUMIFS(DATA_GOC!$H:$H,DATA_GOC!$A:$A,"BOM",DATA_GOC!$D:$D,$B360,DATA_GOC!$E:$E,"Dầu thủy lực",DATA_GOC!$F:$F,"Xuất nội bộ từ téc",DATA_GOC!$B:$B,DATE($D$2,$B$2,AF$4)),0))</f>
        <v>0</v>
      </c>
      <c r="AG360" s="251">
        <f>IF(AG$4&gt;DAY(EOMONTH(DATE($D$2,$B$2,1),0)),"",IFERROR(SUMIFS(DATA_GOC!$H:$H,DATA_GOC!$A:$A,"BOM",DATA_GOC!$D:$D,$B360,DATA_GOC!$E:$E,"Dầu thủy lực",DATA_GOC!$F:$F,"Xuất nội bộ từ téc",DATA_GOC!$B:$B,DATE($D$2,$B$2,AG$4)),0))</f>
        <v>0</v>
      </c>
      <c r="AH360" s="252">
        <f t="shared" si="16"/>
        <v>0</v>
      </c>
      <c r="AI360" s="241"/>
      <c r="AJ360" s="242">
        <f>IF($B360="","",SUMIFS(TINH_TEC!$K$233:$K$9232,TINH_TEC!$H$233:$H$9232,$B360,TINH_TEC!$C$233:$C$9232,"Dầu thủy lực",TINH_TEC!$F$233:$F$9232,$B$2,TINH_TEC!$G$233:$G$9232,$D$2,TINH_TEC!$B$233:$B$9232,"Đã chốt"))</f>
        <v>0</v>
      </c>
      <c r="AK360" s="242">
        <f>IF($B360="","",SUMIFS(TINH_TEC!$J$233:$J$9232,TINH_TEC!$H$233:$H$9232,$B360,TINH_TEC!$C$233:$C$9232,"Dầu thủy lực",TINH_TEC!$F$233:$F$9232,$B$2,TINH_TEC!$G$233:$G$9232,$D$2,TINH_TEC!$B$233:$B$9232,"Đã chốt"))</f>
        <v>0</v>
      </c>
      <c r="AL360" s="242">
        <f t="shared" si="17"/>
        <v>0</v>
      </c>
    </row>
    <row r="361" ht="15.75" customHeight="1">
      <c r="A361" s="237">
        <f>IF($B361&lt;&gt;"",51,"")</f>
        <v>51</v>
      </c>
      <c r="B361" s="250" t="str">
        <f t="array" ref="B361">IFERROR(INDEX(DANH_MUC!$E:$E,54),"")</f>
        <v>Xúc Đào</v>
      </c>
      <c r="C361" s="251">
        <f>IF(C$4&gt;DAY(EOMONTH(DATE($D$2,$B$2,1),0)),"",IFERROR(SUMIFS(DATA_GOC!$H:$H,DATA_GOC!$A:$A,"BOM",DATA_GOC!$D:$D,$B361,DATA_GOC!$E:$E,"Dầu thủy lực",DATA_GOC!$F:$F,"Xuất nội bộ từ téc",DATA_GOC!$B:$B,DATE($D$2,$B$2,C$4)),0))</f>
        <v>0</v>
      </c>
      <c r="D361" s="251">
        <f>IF(D$4&gt;DAY(EOMONTH(DATE($D$2,$B$2,1),0)),"",IFERROR(SUMIFS(DATA_GOC!$H:$H,DATA_GOC!$A:$A,"BOM",DATA_GOC!$D:$D,$B361,DATA_GOC!$E:$E,"Dầu thủy lực",DATA_GOC!$F:$F,"Xuất nội bộ từ téc",DATA_GOC!$B:$B,DATE($D$2,$B$2,D$4)),0))</f>
        <v>0</v>
      </c>
      <c r="E361" s="251">
        <f>IF(E$4&gt;DAY(EOMONTH(DATE($D$2,$B$2,1),0)),"",IFERROR(SUMIFS(DATA_GOC!$H:$H,DATA_GOC!$A:$A,"BOM",DATA_GOC!$D:$D,$B361,DATA_GOC!$E:$E,"Dầu thủy lực",DATA_GOC!$F:$F,"Xuất nội bộ từ téc",DATA_GOC!$B:$B,DATE($D$2,$B$2,E$4)),0))</f>
        <v>0</v>
      </c>
      <c r="F361" s="251">
        <f>IF(F$4&gt;DAY(EOMONTH(DATE($D$2,$B$2,1),0)),"",IFERROR(SUMIFS(DATA_GOC!$H:$H,DATA_GOC!$A:$A,"BOM",DATA_GOC!$D:$D,$B361,DATA_GOC!$E:$E,"Dầu thủy lực",DATA_GOC!$F:$F,"Xuất nội bộ từ téc",DATA_GOC!$B:$B,DATE($D$2,$B$2,F$4)),0))</f>
        <v>0</v>
      </c>
      <c r="G361" s="251">
        <f>IF(G$4&gt;DAY(EOMONTH(DATE($D$2,$B$2,1),0)),"",IFERROR(SUMIFS(DATA_GOC!$H:$H,DATA_GOC!$A:$A,"BOM",DATA_GOC!$D:$D,$B361,DATA_GOC!$E:$E,"Dầu thủy lực",DATA_GOC!$F:$F,"Xuất nội bộ từ téc",DATA_GOC!$B:$B,DATE($D$2,$B$2,G$4)),0))</f>
        <v>0</v>
      </c>
      <c r="H361" s="251">
        <f>IF(H$4&gt;DAY(EOMONTH(DATE($D$2,$B$2,1),0)),"",IFERROR(SUMIFS(DATA_GOC!$H:$H,DATA_GOC!$A:$A,"BOM",DATA_GOC!$D:$D,$B361,DATA_GOC!$E:$E,"Dầu thủy lực",DATA_GOC!$F:$F,"Xuất nội bộ từ téc",DATA_GOC!$B:$B,DATE($D$2,$B$2,H$4)),0))</f>
        <v>0</v>
      </c>
      <c r="I361" s="251">
        <f>IF(I$4&gt;DAY(EOMONTH(DATE($D$2,$B$2,1),0)),"",IFERROR(SUMIFS(DATA_GOC!$H:$H,DATA_GOC!$A:$A,"BOM",DATA_GOC!$D:$D,$B361,DATA_GOC!$E:$E,"Dầu thủy lực",DATA_GOC!$F:$F,"Xuất nội bộ từ téc",DATA_GOC!$B:$B,DATE($D$2,$B$2,I$4)),0))</f>
        <v>0</v>
      </c>
      <c r="J361" s="251">
        <f>IF(J$4&gt;DAY(EOMONTH(DATE($D$2,$B$2,1),0)),"",IFERROR(SUMIFS(DATA_GOC!$H:$H,DATA_GOC!$A:$A,"BOM",DATA_GOC!$D:$D,$B361,DATA_GOC!$E:$E,"Dầu thủy lực",DATA_GOC!$F:$F,"Xuất nội bộ từ téc",DATA_GOC!$B:$B,DATE($D$2,$B$2,J$4)),0))</f>
        <v>0</v>
      </c>
      <c r="K361" s="251">
        <f>IF(K$4&gt;DAY(EOMONTH(DATE($D$2,$B$2,1),0)),"",IFERROR(SUMIFS(DATA_GOC!$H:$H,DATA_GOC!$A:$A,"BOM",DATA_GOC!$D:$D,$B361,DATA_GOC!$E:$E,"Dầu thủy lực",DATA_GOC!$F:$F,"Xuất nội bộ từ téc",DATA_GOC!$B:$B,DATE($D$2,$B$2,K$4)),0))</f>
        <v>0</v>
      </c>
      <c r="L361" s="251">
        <f>IF(L$4&gt;DAY(EOMONTH(DATE($D$2,$B$2,1),0)),"",IFERROR(SUMIFS(DATA_GOC!$H:$H,DATA_GOC!$A:$A,"BOM",DATA_GOC!$D:$D,$B361,DATA_GOC!$E:$E,"Dầu thủy lực",DATA_GOC!$F:$F,"Xuất nội bộ từ téc",DATA_GOC!$B:$B,DATE($D$2,$B$2,L$4)),0))</f>
        <v>0</v>
      </c>
      <c r="M361" s="251">
        <f>IF(M$4&gt;DAY(EOMONTH(DATE($D$2,$B$2,1),0)),"",IFERROR(SUMIFS(DATA_GOC!$H:$H,DATA_GOC!$A:$A,"BOM",DATA_GOC!$D:$D,$B361,DATA_GOC!$E:$E,"Dầu thủy lực",DATA_GOC!$F:$F,"Xuất nội bộ từ téc",DATA_GOC!$B:$B,DATE($D$2,$B$2,M$4)),0))</f>
        <v>0</v>
      </c>
      <c r="N361" s="251">
        <f>IF(N$4&gt;DAY(EOMONTH(DATE($D$2,$B$2,1),0)),"",IFERROR(SUMIFS(DATA_GOC!$H:$H,DATA_GOC!$A:$A,"BOM",DATA_GOC!$D:$D,$B361,DATA_GOC!$E:$E,"Dầu thủy lực",DATA_GOC!$F:$F,"Xuất nội bộ từ téc",DATA_GOC!$B:$B,DATE($D$2,$B$2,N$4)),0))</f>
        <v>0</v>
      </c>
      <c r="O361" s="251">
        <f>IF(O$4&gt;DAY(EOMONTH(DATE($D$2,$B$2,1),0)),"",IFERROR(SUMIFS(DATA_GOC!$H:$H,DATA_GOC!$A:$A,"BOM",DATA_GOC!$D:$D,$B361,DATA_GOC!$E:$E,"Dầu thủy lực",DATA_GOC!$F:$F,"Xuất nội bộ từ téc",DATA_GOC!$B:$B,DATE($D$2,$B$2,O$4)),0))</f>
        <v>0</v>
      </c>
      <c r="P361" s="251">
        <f>IF(P$4&gt;DAY(EOMONTH(DATE($D$2,$B$2,1),0)),"",IFERROR(SUMIFS(DATA_GOC!$H:$H,DATA_GOC!$A:$A,"BOM",DATA_GOC!$D:$D,$B361,DATA_GOC!$E:$E,"Dầu thủy lực",DATA_GOC!$F:$F,"Xuất nội bộ từ téc",DATA_GOC!$B:$B,DATE($D$2,$B$2,P$4)),0))</f>
        <v>0</v>
      </c>
      <c r="Q361" s="251">
        <f>IF(Q$4&gt;DAY(EOMONTH(DATE($D$2,$B$2,1),0)),"",IFERROR(SUMIFS(DATA_GOC!$H:$H,DATA_GOC!$A:$A,"BOM",DATA_GOC!$D:$D,$B361,DATA_GOC!$E:$E,"Dầu thủy lực",DATA_GOC!$F:$F,"Xuất nội bộ từ téc",DATA_GOC!$B:$B,DATE($D$2,$B$2,Q$4)),0))</f>
        <v>0</v>
      </c>
      <c r="R361" s="251">
        <f>IF(R$4&gt;DAY(EOMONTH(DATE($D$2,$B$2,1),0)),"",IFERROR(SUMIFS(DATA_GOC!$H:$H,DATA_GOC!$A:$A,"BOM",DATA_GOC!$D:$D,$B361,DATA_GOC!$E:$E,"Dầu thủy lực",DATA_GOC!$F:$F,"Xuất nội bộ từ téc",DATA_GOC!$B:$B,DATE($D$2,$B$2,R$4)),0))</f>
        <v>0</v>
      </c>
      <c r="S361" s="251">
        <f>IF(S$4&gt;DAY(EOMONTH(DATE($D$2,$B$2,1),0)),"",IFERROR(SUMIFS(DATA_GOC!$H:$H,DATA_GOC!$A:$A,"BOM",DATA_GOC!$D:$D,$B361,DATA_GOC!$E:$E,"Dầu thủy lực",DATA_GOC!$F:$F,"Xuất nội bộ từ téc",DATA_GOC!$B:$B,DATE($D$2,$B$2,S$4)),0))</f>
        <v>0</v>
      </c>
      <c r="T361" s="251">
        <f>IF(T$4&gt;DAY(EOMONTH(DATE($D$2,$B$2,1),0)),"",IFERROR(SUMIFS(DATA_GOC!$H:$H,DATA_GOC!$A:$A,"BOM",DATA_GOC!$D:$D,$B361,DATA_GOC!$E:$E,"Dầu thủy lực",DATA_GOC!$F:$F,"Xuất nội bộ từ téc",DATA_GOC!$B:$B,DATE($D$2,$B$2,T$4)),0))</f>
        <v>0</v>
      </c>
      <c r="U361" s="251">
        <f>IF(U$4&gt;DAY(EOMONTH(DATE($D$2,$B$2,1),0)),"",IFERROR(SUMIFS(DATA_GOC!$H:$H,DATA_GOC!$A:$A,"BOM",DATA_GOC!$D:$D,$B361,DATA_GOC!$E:$E,"Dầu thủy lực",DATA_GOC!$F:$F,"Xuất nội bộ từ téc",DATA_GOC!$B:$B,DATE($D$2,$B$2,U$4)),0))</f>
        <v>0</v>
      </c>
      <c r="V361" s="251">
        <f>IF(V$4&gt;DAY(EOMONTH(DATE($D$2,$B$2,1),0)),"",IFERROR(SUMIFS(DATA_GOC!$H:$H,DATA_GOC!$A:$A,"BOM",DATA_GOC!$D:$D,$B361,DATA_GOC!$E:$E,"Dầu thủy lực",DATA_GOC!$F:$F,"Xuất nội bộ từ téc",DATA_GOC!$B:$B,DATE($D$2,$B$2,V$4)),0))</f>
        <v>0</v>
      </c>
      <c r="W361" s="251">
        <f>IF(W$4&gt;DAY(EOMONTH(DATE($D$2,$B$2,1),0)),"",IFERROR(SUMIFS(DATA_GOC!$H:$H,DATA_GOC!$A:$A,"BOM",DATA_GOC!$D:$D,$B361,DATA_GOC!$E:$E,"Dầu thủy lực",DATA_GOC!$F:$F,"Xuất nội bộ từ téc",DATA_GOC!$B:$B,DATE($D$2,$B$2,W$4)),0))</f>
        <v>0</v>
      </c>
      <c r="X361" s="251">
        <f>IF(X$4&gt;DAY(EOMONTH(DATE($D$2,$B$2,1),0)),"",IFERROR(SUMIFS(DATA_GOC!$H:$H,DATA_GOC!$A:$A,"BOM",DATA_GOC!$D:$D,$B361,DATA_GOC!$E:$E,"Dầu thủy lực",DATA_GOC!$F:$F,"Xuất nội bộ từ téc",DATA_GOC!$B:$B,DATE($D$2,$B$2,X$4)),0))</f>
        <v>0</v>
      </c>
      <c r="Y361" s="251">
        <f>IF(Y$4&gt;DAY(EOMONTH(DATE($D$2,$B$2,1),0)),"",IFERROR(SUMIFS(DATA_GOC!$H:$H,DATA_GOC!$A:$A,"BOM",DATA_GOC!$D:$D,$B361,DATA_GOC!$E:$E,"Dầu thủy lực",DATA_GOC!$F:$F,"Xuất nội bộ từ téc",DATA_GOC!$B:$B,DATE($D$2,$B$2,Y$4)),0))</f>
        <v>0</v>
      </c>
      <c r="Z361" s="251">
        <f>IF(Z$4&gt;DAY(EOMONTH(DATE($D$2,$B$2,1),0)),"",IFERROR(SUMIFS(DATA_GOC!$H:$H,DATA_GOC!$A:$A,"BOM",DATA_GOC!$D:$D,$B361,DATA_GOC!$E:$E,"Dầu thủy lực",DATA_GOC!$F:$F,"Xuất nội bộ từ téc",DATA_GOC!$B:$B,DATE($D$2,$B$2,Z$4)),0))</f>
        <v>0</v>
      </c>
      <c r="AA361" s="251">
        <f>IF(AA$4&gt;DAY(EOMONTH(DATE($D$2,$B$2,1),0)),"",IFERROR(SUMIFS(DATA_GOC!$H:$H,DATA_GOC!$A:$A,"BOM",DATA_GOC!$D:$D,$B361,DATA_GOC!$E:$E,"Dầu thủy lực",DATA_GOC!$F:$F,"Xuất nội bộ từ téc",DATA_GOC!$B:$B,DATE($D$2,$B$2,AA$4)),0))</f>
        <v>0</v>
      </c>
      <c r="AB361" s="251">
        <f>IF(AB$4&gt;DAY(EOMONTH(DATE($D$2,$B$2,1),0)),"",IFERROR(SUMIFS(DATA_GOC!$H:$H,DATA_GOC!$A:$A,"BOM",DATA_GOC!$D:$D,$B361,DATA_GOC!$E:$E,"Dầu thủy lực",DATA_GOC!$F:$F,"Xuất nội bộ từ téc",DATA_GOC!$B:$B,DATE($D$2,$B$2,AB$4)),0))</f>
        <v>0</v>
      </c>
      <c r="AC361" s="251">
        <f>IF(AC$4&gt;DAY(EOMONTH(DATE($D$2,$B$2,1),0)),"",IFERROR(SUMIFS(DATA_GOC!$H:$H,DATA_GOC!$A:$A,"BOM",DATA_GOC!$D:$D,$B361,DATA_GOC!$E:$E,"Dầu thủy lực",DATA_GOC!$F:$F,"Xuất nội bộ từ téc",DATA_GOC!$B:$B,DATE($D$2,$B$2,AC$4)),0))</f>
        <v>0</v>
      </c>
      <c r="AD361" s="251">
        <f>IF(AD$4&gt;DAY(EOMONTH(DATE($D$2,$B$2,1),0)),"",IFERROR(SUMIFS(DATA_GOC!$H:$H,DATA_GOC!$A:$A,"BOM",DATA_GOC!$D:$D,$B361,DATA_GOC!$E:$E,"Dầu thủy lực",DATA_GOC!$F:$F,"Xuất nội bộ từ téc",DATA_GOC!$B:$B,DATE($D$2,$B$2,AD$4)),0))</f>
        <v>0</v>
      </c>
      <c r="AE361" s="251">
        <f>IF(AE$4&gt;DAY(EOMONTH(DATE($D$2,$B$2,1),0)),"",IFERROR(SUMIFS(DATA_GOC!$H:$H,DATA_GOC!$A:$A,"BOM",DATA_GOC!$D:$D,$B361,DATA_GOC!$E:$E,"Dầu thủy lực",DATA_GOC!$F:$F,"Xuất nội bộ từ téc",DATA_GOC!$B:$B,DATE($D$2,$B$2,AE$4)),0))</f>
        <v>0</v>
      </c>
      <c r="AF361" s="251">
        <f>IF(AF$4&gt;DAY(EOMONTH(DATE($D$2,$B$2,1),0)),"",IFERROR(SUMIFS(DATA_GOC!$H:$H,DATA_GOC!$A:$A,"BOM",DATA_GOC!$D:$D,$B361,DATA_GOC!$E:$E,"Dầu thủy lực",DATA_GOC!$F:$F,"Xuất nội bộ từ téc",DATA_GOC!$B:$B,DATE($D$2,$B$2,AF$4)),0))</f>
        <v>0</v>
      </c>
      <c r="AG361" s="251">
        <f>IF(AG$4&gt;DAY(EOMONTH(DATE($D$2,$B$2,1),0)),"",IFERROR(SUMIFS(DATA_GOC!$H:$H,DATA_GOC!$A:$A,"BOM",DATA_GOC!$D:$D,$B361,DATA_GOC!$E:$E,"Dầu thủy lực",DATA_GOC!$F:$F,"Xuất nội bộ từ téc",DATA_GOC!$B:$B,DATE($D$2,$B$2,AG$4)),0))</f>
        <v>0</v>
      </c>
      <c r="AH361" s="252">
        <f t="shared" si="16"/>
        <v>0</v>
      </c>
      <c r="AI361" s="241"/>
      <c r="AJ361" s="242">
        <f>IF($B361="","",SUMIFS(TINH_TEC!$K$233:$K$9232,TINH_TEC!$H$233:$H$9232,$B361,TINH_TEC!$C$233:$C$9232,"Dầu thủy lực",TINH_TEC!$F$233:$F$9232,$B$2,TINH_TEC!$G$233:$G$9232,$D$2,TINH_TEC!$B$233:$B$9232,"Đã chốt"))</f>
        <v>0</v>
      </c>
      <c r="AK361" s="242">
        <f>IF($B361="","",SUMIFS(TINH_TEC!$J$233:$J$9232,TINH_TEC!$H$233:$H$9232,$B361,TINH_TEC!$C$233:$C$9232,"Dầu thủy lực",TINH_TEC!$F$233:$F$9232,$B$2,TINH_TEC!$G$233:$G$9232,$D$2,TINH_TEC!$B$233:$B$9232,"Đã chốt"))</f>
        <v>0</v>
      </c>
      <c r="AL361" s="242">
        <f t="shared" si="17"/>
        <v>0</v>
      </c>
    </row>
    <row r="362" ht="15.75" customHeight="1">
      <c r="A362" s="237">
        <f>IF($B362&lt;&gt;"",52,"")</f>
        <v>52</v>
      </c>
      <c r="B362" s="250" t="str">
        <f t="array" ref="B362">IFERROR(INDEX(DANH_MUC!$E:$E,55),"")</f>
        <v>Xúclật asphalt</v>
      </c>
      <c r="C362" s="251">
        <f>IF(C$4&gt;DAY(EOMONTH(DATE($D$2,$B$2,1),0)),"",IFERROR(SUMIFS(DATA_GOC!$H:$H,DATA_GOC!$A:$A,"BOM",DATA_GOC!$D:$D,$B362,DATA_GOC!$E:$E,"Dầu thủy lực",DATA_GOC!$F:$F,"Xuất nội bộ từ téc",DATA_GOC!$B:$B,DATE($D$2,$B$2,C$4)),0))</f>
        <v>0</v>
      </c>
      <c r="D362" s="251">
        <f>IF(D$4&gt;DAY(EOMONTH(DATE($D$2,$B$2,1),0)),"",IFERROR(SUMIFS(DATA_GOC!$H:$H,DATA_GOC!$A:$A,"BOM",DATA_GOC!$D:$D,$B362,DATA_GOC!$E:$E,"Dầu thủy lực",DATA_GOC!$F:$F,"Xuất nội bộ từ téc",DATA_GOC!$B:$B,DATE($D$2,$B$2,D$4)),0))</f>
        <v>0</v>
      </c>
      <c r="E362" s="251">
        <f>IF(E$4&gt;DAY(EOMONTH(DATE($D$2,$B$2,1),0)),"",IFERROR(SUMIFS(DATA_GOC!$H:$H,DATA_GOC!$A:$A,"BOM",DATA_GOC!$D:$D,$B362,DATA_GOC!$E:$E,"Dầu thủy lực",DATA_GOC!$F:$F,"Xuất nội bộ từ téc",DATA_GOC!$B:$B,DATE($D$2,$B$2,E$4)),0))</f>
        <v>0</v>
      </c>
      <c r="F362" s="251">
        <f>IF(F$4&gt;DAY(EOMONTH(DATE($D$2,$B$2,1),0)),"",IFERROR(SUMIFS(DATA_GOC!$H:$H,DATA_GOC!$A:$A,"BOM",DATA_GOC!$D:$D,$B362,DATA_GOC!$E:$E,"Dầu thủy lực",DATA_GOC!$F:$F,"Xuất nội bộ từ téc",DATA_GOC!$B:$B,DATE($D$2,$B$2,F$4)),0))</f>
        <v>0</v>
      </c>
      <c r="G362" s="251">
        <f>IF(G$4&gt;DAY(EOMONTH(DATE($D$2,$B$2,1),0)),"",IFERROR(SUMIFS(DATA_GOC!$H:$H,DATA_GOC!$A:$A,"BOM",DATA_GOC!$D:$D,$B362,DATA_GOC!$E:$E,"Dầu thủy lực",DATA_GOC!$F:$F,"Xuất nội bộ từ téc",DATA_GOC!$B:$B,DATE($D$2,$B$2,G$4)),0))</f>
        <v>0</v>
      </c>
      <c r="H362" s="251">
        <f>IF(H$4&gt;DAY(EOMONTH(DATE($D$2,$B$2,1),0)),"",IFERROR(SUMIFS(DATA_GOC!$H:$H,DATA_GOC!$A:$A,"BOM",DATA_GOC!$D:$D,$B362,DATA_GOC!$E:$E,"Dầu thủy lực",DATA_GOC!$F:$F,"Xuất nội bộ từ téc",DATA_GOC!$B:$B,DATE($D$2,$B$2,H$4)),0))</f>
        <v>0</v>
      </c>
      <c r="I362" s="251">
        <f>IF(I$4&gt;DAY(EOMONTH(DATE($D$2,$B$2,1),0)),"",IFERROR(SUMIFS(DATA_GOC!$H:$H,DATA_GOC!$A:$A,"BOM",DATA_GOC!$D:$D,$B362,DATA_GOC!$E:$E,"Dầu thủy lực",DATA_GOC!$F:$F,"Xuất nội bộ từ téc",DATA_GOC!$B:$B,DATE($D$2,$B$2,I$4)),0))</f>
        <v>0</v>
      </c>
      <c r="J362" s="251">
        <f>IF(J$4&gt;DAY(EOMONTH(DATE($D$2,$B$2,1),0)),"",IFERROR(SUMIFS(DATA_GOC!$H:$H,DATA_GOC!$A:$A,"BOM",DATA_GOC!$D:$D,$B362,DATA_GOC!$E:$E,"Dầu thủy lực",DATA_GOC!$F:$F,"Xuất nội bộ từ téc",DATA_GOC!$B:$B,DATE($D$2,$B$2,J$4)),0))</f>
        <v>0</v>
      </c>
      <c r="K362" s="251">
        <f>IF(K$4&gt;DAY(EOMONTH(DATE($D$2,$B$2,1),0)),"",IFERROR(SUMIFS(DATA_GOC!$H:$H,DATA_GOC!$A:$A,"BOM",DATA_GOC!$D:$D,$B362,DATA_GOC!$E:$E,"Dầu thủy lực",DATA_GOC!$F:$F,"Xuất nội bộ từ téc",DATA_GOC!$B:$B,DATE($D$2,$B$2,K$4)),0))</f>
        <v>0</v>
      </c>
      <c r="L362" s="251">
        <f>IF(L$4&gt;DAY(EOMONTH(DATE($D$2,$B$2,1),0)),"",IFERROR(SUMIFS(DATA_GOC!$H:$H,DATA_GOC!$A:$A,"BOM",DATA_GOC!$D:$D,$B362,DATA_GOC!$E:$E,"Dầu thủy lực",DATA_GOC!$F:$F,"Xuất nội bộ từ téc",DATA_GOC!$B:$B,DATE($D$2,$B$2,L$4)),0))</f>
        <v>0</v>
      </c>
      <c r="M362" s="251">
        <f>IF(M$4&gt;DAY(EOMONTH(DATE($D$2,$B$2,1),0)),"",IFERROR(SUMIFS(DATA_GOC!$H:$H,DATA_GOC!$A:$A,"BOM",DATA_GOC!$D:$D,$B362,DATA_GOC!$E:$E,"Dầu thủy lực",DATA_GOC!$F:$F,"Xuất nội bộ từ téc",DATA_GOC!$B:$B,DATE($D$2,$B$2,M$4)),0))</f>
        <v>0</v>
      </c>
      <c r="N362" s="251">
        <f>IF(N$4&gt;DAY(EOMONTH(DATE($D$2,$B$2,1),0)),"",IFERROR(SUMIFS(DATA_GOC!$H:$H,DATA_GOC!$A:$A,"BOM",DATA_GOC!$D:$D,$B362,DATA_GOC!$E:$E,"Dầu thủy lực",DATA_GOC!$F:$F,"Xuất nội bộ từ téc",DATA_GOC!$B:$B,DATE($D$2,$B$2,N$4)),0))</f>
        <v>0</v>
      </c>
      <c r="O362" s="251">
        <f>IF(O$4&gt;DAY(EOMONTH(DATE($D$2,$B$2,1),0)),"",IFERROR(SUMIFS(DATA_GOC!$H:$H,DATA_GOC!$A:$A,"BOM",DATA_GOC!$D:$D,$B362,DATA_GOC!$E:$E,"Dầu thủy lực",DATA_GOC!$F:$F,"Xuất nội bộ từ téc",DATA_GOC!$B:$B,DATE($D$2,$B$2,O$4)),0))</f>
        <v>0</v>
      </c>
      <c r="P362" s="251">
        <f>IF(P$4&gt;DAY(EOMONTH(DATE($D$2,$B$2,1),0)),"",IFERROR(SUMIFS(DATA_GOC!$H:$H,DATA_GOC!$A:$A,"BOM",DATA_GOC!$D:$D,$B362,DATA_GOC!$E:$E,"Dầu thủy lực",DATA_GOC!$F:$F,"Xuất nội bộ từ téc",DATA_GOC!$B:$B,DATE($D$2,$B$2,P$4)),0))</f>
        <v>0</v>
      </c>
      <c r="Q362" s="251">
        <f>IF(Q$4&gt;DAY(EOMONTH(DATE($D$2,$B$2,1),0)),"",IFERROR(SUMIFS(DATA_GOC!$H:$H,DATA_GOC!$A:$A,"BOM",DATA_GOC!$D:$D,$B362,DATA_GOC!$E:$E,"Dầu thủy lực",DATA_GOC!$F:$F,"Xuất nội bộ từ téc",DATA_GOC!$B:$B,DATE($D$2,$B$2,Q$4)),0))</f>
        <v>0</v>
      </c>
      <c r="R362" s="251">
        <f>IF(R$4&gt;DAY(EOMONTH(DATE($D$2,$B$2,1),0)),"",IFERROR(SUMIFS(DATA_GOC!$H:$H,DATA_GOC!$A:$A,"BOM",DATA_GOC!$D:$D,$B362,DATA_GOC!$E:$E,"Dầu thủy lực",DATA_GOC!$F:$F,"Xuất nội bộ từ téc",DATA_GOC!$B:$B,DATE($D$2,$B$2,R$4)),0))</f>
        <v>0</v>
      </c>
      <c r="S362" s="251">
        <f>IF(S$4&gt;DAY(EOMONTH(DATE($D$2,$B$2,1),0)),"",IFERROR(SUMIFS(DATA_GOC!$H:$H,DATA_GOC!$A:$A,"BOM",DATA_GOC!$D:$D,$B362,DATA_GOC!$E:$E,"Dầu thủy lực",DATA_GOC!$F:$F,"Xuất nội bộ từ téc",DATA_GOC!$B:$B,DATE($D$2,$B$2,S$4)),0))</f>
        <v>0</v>
      </c>
      <c r="T362" s="251">
        <f>IF(T$4&gt;DAY(EOMONTH(DATE($D$2,$B$2,1),0)),"",IFERROR(SUMIFS(DATA_GOC!$H:$H,DATA_GOC!$A:$A,"BOM",DATA_GOC!$D:$D,$B362,DATA_GOC!$E:$E,"Dầu thủy lực",DATA_GOC!$F:$F,"Xuất nội bộ từ téc",DATA_GOC!$B:$B,DATE($D$2,$B$2,T$4)),0))</f>
        <v>0</v>
      </c>
      <c r="U362" s="251">
        <f>IF(U$4&gt;DAY(EOMONTH(DATE($D$2,$B$2,1),0)),"",IFERROR(SUMIFS(DATA_GOC!$H:$H,DATA_GOC!$A:$A,"BOM",DATA_GOC!$D:$D,$B362,DATA_GOC!$E:$E,"Dầu thủy lực",DATA_GOC!$F:$F,"Xuất nội bộ từ téc",DATA_GOC!$B:$B,DATE($D$2,$B$2,U$4)),0))</f>
        <v>0</v>
      </c>
      <c r="V362" s="251">
        <f>IF(V$4&gt;DAY(EOMONTH(DATE($D$2,$B$2,1),0)),"",IFERROR(SUMIFS(DATA_GOC!$H:$H,DATA_GOC!$A:$A,"BOM",DATA_GOC!$D:$D,$B362,DATA_GOC!$E:$E,"Dầu thủy lực",DATA_GOC!$F:$F,"Xuất nội bộ từ téc",DATA_GOC!$B:$B,DATE($D$2,$B$2,V$4)),0))</f>
        <v>0</v>
      </c>
      <c r="W362" s="251">
        <f>IF(W$4&gt;DAY(EOMONTH(DATE($D$2,$B$2,1),0)),"",IFERROR(SUMIFS(DATA_GOC!$H:$H,DATA_GOC!$A:$A,"BOM",DATA_GOC!$D:$D,$B362,DATA_GOC!$E:$E,"Dầu thủy lực",DATA_GOC!$F:$F,"Xuất nội bộ từ téc",DATA_GOC!$B:$B,DATE($D$2,$B$2,W$4)),0))</f>
        <v>0</v>
      </c>
      <c r="X362" s="251">
        <f>IF(X$4&gt;DAY(EOMONTH(DATE($D$2,$B$2,1),0)),"",IFERROR(SUMIFS(DATA_GOC!$H:$H,DATA_GOC!$A:$A,"BOM",DATA_GOC!$D:$D,$B362,DATA_GOC!$E:$E,"Dầu thủy lực",DATA_GOC!$F:$F,"Xuất nội bộ từ téc",DATA_GOC!$B:$B,DATE($D$2,$B$2,X$4)),0))</f>
        <v>0</v>
      </c>
      <c r="Y362" s="251">
        <f>IF(Y$4&gt;DAY(EOMONTH(DATE($D$2,$B$2,1),0)),"",IFERROR(SUMIFS(DATA_GOC!$H:$H,DATA_GOC!$A:$A,"BOM",DATA_GOC!$D:$D,$B362,DATA_GOC!$E:$E,"Dầu thủy lực",DATA_GOC!$F:$F,"Xuất nội bộ từ téc",DATA_GOC!$B:$B,DATE($D$2,$B$2,Y$4)),0))</f>
        <v>0</v>
      </c>
      <c r="Z362" s="251">
        <f>IF(Z$4&gt;DAY(EOMONTH(DATE($D$2,$B$2,1),0)),"",IFERROR(SUMIFS(DATA_GOC!$H:$H,DATA_GOC!$A:$A,"BOM",DATA_GOC!$D:$D,$B362,DATA_GOC!$E:$E,"Dầu thủy lực",DATA_GOC!$F:$F,"Xuất nội bộ từ téc",DATA_GOC!$B:$B,DATE($D$2,$B$2,Z$4)),0))</f>
        <v>0</v>
      </c>
      <c r="AA362" s="251">
        <f>IF(AA$4&gt;DAY(EOMONTH(DATE($D$2,$B$2,1),0)),"",IFERROR(SUMIFS(DATA_GOC!$H:$H,DATA_GOC!$A:$A,"BOM",DATA_GOC!$D:$D,$B362,DATA_GOC!$E:$E,"Dầu thủy lực",DATA_GOC!$F:$F,"Xuất nội bộ từ téc",DATA_GOC!$B:$B,DATE($D$2,$B$2,AA$4)),0))</f>
        <v>0</v>
      </c>
      <c r="AB362" s="251">
        <f>IF(AB$4&gt;DAY(EOMONTH(DATE($D$2,$B$2,1),0)),"",IFERROR(SUMIFS(DATA_GOC!$H:$H,DATA_GOC!$A:$A,"BOM",DATA_GOC!$D:$D,$B362,DATA_GOC!$E:$E,"Dầu thủy lực",DATA_GOC!$F:$F,"Xuất nội bộ từ téc",DATA_GOC!$B:$B,DATE($D$2,$B$2,AB$4)),0))</f>
        <v>0</v>
      </c>
      <c r="AC362" s="251">
        <f>IF(AC$4&gt;DAY(EOMONTH(DATE($D$2,$B$2,1),0)),"",IFERROR(SUMIFS(DATA_GOC!$H:$H,DATA_GOC!$A:$A,"BOM",DATA_GOC!$D:$D,$B362,DATA_GOC!$E:$E,"Dầu thủy lực",DATA_GOC!$F:$F,"Xuất nội bộ từ téc",DATA_GOC!$B:$B,DATE($D$2,$B$2,AC$4)),0))</f>
        <v>0</v>
      </c>
      <c r="AD362" s="251">
        <f>IF(AD$4&gt;DAY(EOMONTH(DATE($D$2,$B$2,1),0)),"",IFERROR(SUMIFS(DATA_GOC!$H:$H,DATA_GOC!$A:$A,"BOM",DATA_GOC!$D:$D,$B362,DATA_GOC!$E:$E,"Dầu thủy lực",DATA_GOC!$F:$F,"Xuất nội bộ từ téc",DATA_GOC!$B:$B,DATE($D$2,$B$2,AD$4)),0))</f>
        <v>0</v>
      </c>
      <c r="AE362" s="251">
        <f>IF(AE$4&gt;DAY(EOMONTH(DATE($D$2,$B$2,1),0)),"",IFERROR(SUMIFS(DATA_GOC!$H:$H,DATA_GOC!$A:$A,"BOM",DATA_GOC!$D:$D,$B362,DATA_GOC!$E:$E,"Dầu thủy lực",DATA_GOC!$F:$F,"Xuất nội bộ từ téc",DATA_GOC!$B:$B,DATE($D$2,$B$2,AE$4)),0))</f>
        <v>0</v>
      </c>
      <c r="AF362" s="251">
        <f>IF(AF$4&gt;DAY(EOMONTH(DATE($D$2,$B$2,1),0)),"",IFERROR(SUMIFS(DATA_GOC!$H:$H,DATA_GOC!$A:$A,"BOM",DATA_GOC!$D:$D,$B362,DATA_GOC!$E:$E,"Dầu thủy lực",DATA_GOC!$F:$F,"Xuất nội bộ từ téc",DATA_GOC!$B:$B,DATE($D$2,$B$2,AF$4)),0))</f>
        <v>0</v>
      </c>
      <c r="AG362" s="251">
        <f>IF(AG$4&gt;DAY(EOMONTH(DATE($D$2,$B$2,1),0)),"",IFERROR(SUMIFS(DATA_GOC!$H:$H,DATA_GOC!$A:$A,"BOM",DATA_GOC!$D:$D,$B362,DATA_GOC!$E:$E,"Dầu thủy lực",DATA_GOC!$F:$F,"Xuất nội bộ từ téc",DATA_GOC!$B:$B,DATE($D$2,$B$2,AG$4)),0))</f>
        <v>0</v>
      </c>
      <c r="AH362" s="252">
        <f t="shared" si="16"/>
        <v>0</v>
      </c>
      <c r="AI362" s="241"/>
      <c r="AJ362" s="242">
        <f>IF($B362="","",SUMIFS(TINH_TEC!$K$233:$K$9232,TINH_TEC!$H$233:$H$9232,$B362,TINH_TEC!$C$233:$C$9232,"Dầu thủy lực",TINH_TEC!$F$233:$F$9232,$B$2,TINH_TEC!$G$233:$G$9232,$D$2,TINH_TEC!$B$233:$B$9232,"Đã chốt"))</f>
        <v>0</v>
      </c>
      <c r="AK362" s="242">
        <f>IF($B362="","",SUMIFS(TINH_TEC!$J$233:$J$9232,TINH_TEC!$H$233:$H$9232,$B362,TINH_TEC!$C$233:$C$9232,"Dầu thủy lực",TINH_TEC!$F$233:$F$9232,$B$2,TINH_TEC!$G$233:$G$9232,$D$2,TINH_TEC!$B$233:$B$9232,"Đã chốt"))</f>
        <v>0</v>
      </c>
      <c r="AL362" s="242">
        <f t="shared" si="17"/>
        <v>0</v>
      </c>
    </row>
    <row r="363" ht="15.75" customHeight="1">
      <c r="A363" s="237">
        <f>IF($B363&lt;&gt;"",53,"")</f>
        <v>53</v>
      </c>
      <c r="B363" s="250" t="str">
        <f t="array" ref="B363">IFERROR(INDEX(DANH_MUC!$E:$E,56),"")</f>
        <v>Xúclật855H</v>
      </c>
      <c r="C363" s="251">
        <f>IF(C$4&gt;DAY(EOMONTH(DATE($D$2,$B$2,1),0)),"",IFERROR(SUMIFS(DATA_GOC!$H:$H,DATA_GOC!$A:$A,"BOM",DATA_GOC!$D:$D,$B363,DATA_GOC!$E:$E,"Dầu thủy lực",DATA_GOC!$F:$F,"Xuất nội bộ từ téc",DATA_GOC!$B:$B,DATE($D$2,$B$2,C$4)),0))</f>
        <v>0</v>
      </c>
      <c r="D363" s="251">
        <f>IF(D$4&gt;DAY(EOMONTH(DATE($D$2,$B$2,1),0)),"",IFERROR(SUMIFS(DATA_GOC!$H:$H,DATA_GOC!$A:$A,"BOM",DATA_GOC!$D:$D,$B363,DATA_GOC!$E:$E,"Dầu thủy lực",DATA_GOC!$F:$F,"Xuất nội bộ từ téc",DATA_GOC!$B:$B,DATE($D$2,$B$2,D$4)),0))</f>
        <v>0</v>
      </c>
      <c r="E363" s="251">
        <f>IF(E$4&gt;DAY(EOMONTH(DATE($D$2,$B$2,1),0)),"",IFERROR(SUMIFS(DATA_GOC!$H:$H,DATA_GOC!$A:$A,"BOM",DATA_GOC!$D:$D,$B363,DATA_GOC!$E:$E,"Dầu thủy lực",DATA_GOC!$F:$F,"Xuất nội bộ từ téc",DATA_GOC!$B:$B,DATE($D$2,$B$2,E$4)),0))</f>
        <v>0</v>
      </c>
      <c r="F363" s="251">
        <f>IF(F$4&gt;DAY(EOMONTH(DATE($D$2,$B$2,1),0)),"",IFERROR(SUMIFS(DATA_GOC!$H:$H,DATA_GOC!$A:$A,"BOM",DATA_GOC!$D:$D,$B363,DATA_GOC!$E:$E,"Dầu thủy lực",DATA_GOC!$F:$F,"Xuất nội bộ từ téc",DATA_GOC!$B:$B,DATE($D$2,$B$2,F$4)),0))</f>
        <v>0</v>
      </c>
      <c r="G363" s="251">
        <f>IF(G$4&gt;DAY(EOMONTH(DATE($D$2,$B$2,1),0)),"",IFERROR(SUMIFS(DATA_GOC!$H:$H,DATA_GOC!$A:$A,"BOM",DATA_GOC!$D:$D,$B363,DATA_GOC!$E:$E,"Dầu thủy lực",DATA_GOC!$F:$F,"Xuất nội bộ từ téc",DATA_GOC!$B:$B,DATE($D$2,$B$2,G$4)),0))</f>
        <v>0</v>
      </c>
      <c r="H363" s="251">
        <f>IF(H$4&gt;DAY(EOMONTH(DATE($D$2,$B$2,1),0)),"",IFERROR(SUMIFS(DATA_GOC!$H:$H,DATA_GOC!$A:$A,"BOM",DATA_GOC!$D:$D,$B363,DATA_GOC!$E:$E,"Dầu thủy lực",DATA_GOC!$F:$F,"Xuất nội bộ từ téc",DATA_GOC!$B:$B,DATE($D$2,$B$2,H$4)),0))</f>
        <v>0</v>
      </c>
      <c r="I363" s="251">
        <f>IF(I$4&gt;DAY(EOMONTH(DATE($D$2,$B$2,1),0)),"",IFERROR(SUMIFS(DATA_GOC!$H:$H,DATA_GOC!$A:$A,"BOM",DATA_GOC!$D:$D,$B363,DATA_GOC!$E:$E,"Dầu thủy lực",DATA_GOC!$F:$F,"Xuất nội bộ từ téc",DATA_GOC!$B:$B,DATE($D$2,$B$2,I$4)),0))</f>
        <v>0</v>
      </c>
      <c r="J363" s="251">
        <f>IF(J$4&gt;DAY(EOMONTH(DATE($D$2,$B$2,1),0)),"",IFERROR(SUMIFS(DATA_GOC!$H:$H,DATA_GOC!$A:$A,"BOM",DATA_GOC!$D:$D,$B363,DATA_GOC!$E:$E,"Dầu thủy lực",DATA_GOC!$F:$F,"Xuất nội bộ từ téc",DATA_GOC!$B:$B,DATE($D$2,$B$2,J$4)),0))</f>
        <v>0</v>
      </c>
      <c r="K363" s="251">
        <f>IF(K$4&gt;DAY(EOMONTH(DATE($D$2,$B$2,1),0)),"",IFERROR(SUMIFS(DATA_GOC!$H:$H,DATA_GOC!$A:$A,"BOM",DATA_GOC!$D:$D,$B363,DATA_GOC!$E:$E,"Dầu thủy lực",DATA_GOC!$F:$F,"Xuất nội bộ từ téc",DATA_GOC!$B:$B,DATE($D$2,$B$2,K$4)),0))</f>
        <v>0</v>
      </c>
      <c r="L363" s="251">
        <f>IF(L$4&gt;DAY(EOMONTH(DATE($D$2,$B$2,1),0)),"",IFERROR(SUMIFS(DATA_GOC!$H:$H,DATA_GOC!$A:$A,"BOM",DATA_GOC!$D:$D,$B363,DATA_GOC!$E:$E,"Dầu thủy lực",DATA_GOC!$F:$F,"Xuất nội bộ từ téc",DATA_GOC!$B:$B,DATE($D$2,$B$2,L$4)),0))</f>
        <v>0</v>
      </c>
      <c r="M363" s="251">
        <f>IF(M$4&gt;DAY(EOMONTH(DATE($D$2,$B$2,1),0)),"",IFERROR(SUMIFS(DATA_GOC!$H:$H,DATA_GOC!$A:$A,"BOM",DATA_GOC!$D:$D,$B363,DATA_GOC!$E:$E,"Dầu thủy lực",DATA_GOC!$F:$F,"Xuất nội bộ từ téc",DATA_GOC!$B:$B,DATE($D$2,$B$2,M$4)),0))</f>
        <v>0</v>
      </c>
      <c r="N363" s="251">
        <f>IF(N$4&gt;DAY(EOMONTH(DATE($D$2,$B$2,1),0)),"",IFERROR(SUMIFS(DATA_GOC!$H:$H,DATA_GOC!$A:$A,"BOM",DATA_GOC!$D:$D,$B363,DATA_GOC!$E:$E,"Dầu thủy lực",DATA_GOC!$F:$F,"Xuất nội bộ từ téc",DATA_GOC!$B:$B,DATE($D$2,$B$2,N$4)),0))</f>
        <v>0</v>
      </c>
      <c r="O363" s="251">
        <f>IF(O$4&gt;DAY(EOMONTH(DATE($D$2,$B$2,1),0)),"",IFERROR(SUMIFS(DATA_GOC!$H:$H,DATA_GOC!$A:$A,"BOM",DATA_GOC!$D:$D,$B363,DATA_GOC!$E:$E,"Dầu thủy lực",DATA_GOC!$F:$F,"Xuất nội bộ từ téc",DATA_GOC!$B:$B,DATE($D$2,$B$2,O$4)),0))</f>
        <v>0</v>
      </c>
      <c r="P363" s="251">
        <f>IF(P$4&gt;DAY(EOMONTH(DATE($D$2,$B$2,1),0)),"",IFERROR(SUMIFS(DATA_GOC!$H:$H,DATA_GOC!$A:$A,"BOM",DATA_GOC!$D:$D,$B363,DATA_GOC!$E:$E,"Dầu thủy lực",DATA_GOC!$F:$F,"Xuất nội bộ từ téc",DATA_GOC!$B:$B,DATE($D$2,$B$2,P$4)),0))</f>
        <v>0</v>
      </c>
      <c r="Q363" s="251">
        <f>IF(Q$4&gt;DAY(EOMONTH(DATE($D$2,$B$2,1),0)),"",IFERROR(SUMIFS(DATA_GOC!$H:$H,DATA_GOC!$A:$A,"BOM",DATA_GOC!$D:$D,$B363,DATA_GOC!$E:$E,"Dầu thủy lực",DATA_GOC!$F:$F,"Xuất nội bộ từ téc",DATA_GOC!$B:$B,DATE($D$2,$B$2,Q$4)),0))</f>
        <v>0</v>
      </c>
      <c r="R363" s="251">
        <f>IF(R$4&gt;DAY(EOMONTH(DATE($D$2,$B$2,1),0)),"",IFERROR(SUMIFS(DATA_GOC!$H:$H,DATA_GOC!$A:$A,"BOM",DATA_GOC!$D:$D,$B363,DATA_GOC!$E:$E,"Dầu thủy lực",DATA_GOC!$F:$F,"Xuất nội bộ từ téc",DATA_GOC!$B:$B,DATE($D$2,$B$2,R$4)),0))</f>
        <v>0</v>
      </c>
      <c r="S363" s="251">
        <f>IF(S$4&gt;DAY(EOMONTH(DATE($D$2,$B$2,1),0)),"",IFERROR(SUMIFS(DATA_GOC!$H:$H,DATA_GOC!$A:$A,"BOM",DATA_GOC!$D:$D,$B363,DATA_GOC!$E:$E,"Dầu thủy lực",DATA_GOC!$F:$F,"Xuất nội bộ từ téc",DATA_GOC!$B:$B,DATE($D$2,$B$2,S$4)),0))</f>
        <v>0</v>
      </c>
      <c r="T363" s="251">
        <f>IF(T$4&gt;DAY(EOMONTH(DATE($D$2,$B$2,1),0)),"",IFERROR(SUMIFS(DATA_GOC!$H:$H,DATA_GOC!$A:$A,"BOM",DATA_GOC!$D:$D,$B363,DATA_GOC!$E:$E,"Dầu thủy lực",DATA_GOC!$F:$F,"Xuất nội bộ từ téc",DATA_GOC!$B:$B,DATE($D$2,$B$2,T$4)),0))</f>
        <v>0</v>
      </c>
      <c r="U363" s="251">
        <f>IF(U$4&gt;DAY(EOMONTH(DATE($D$2,$B$2,1),0)),"",IFERROR(SUMIFS(DATA_GOC!$H:$H,DATA_GOC!$A:$A,"BOM",DATA_GOC!$D:$D,$B363,DATA_GOC!$E:$E,"Dầu thủy lực",DATA_GOC!$F:$F,"Xuất nội bộ từ téc",DATA_GOC!$B:$B,DATE($D$2,$B$2,U$4)),0))</f>
        <v>0</v>
      </c>
      <c r="V363" s="251">
        <f>IF(V$4&gt;DAY(EOMONTH(DATE($D$2,$B$2,1),0)),"",IFERROR(SUMIFS(DATA_GOC!$H:$H,DATA_GOC!$A:$A,"BOM",DATA_GOC!$D:$D,$B363,DATA_GOC!$E:$E,"Dầu thủy lực",DATA_GOC!$F:$F,"Xuất nội bộ từ téc",DATA_GOC!$B:$B,DATE($D$2,$B$2,V$4)),0))</f>
        <v>0</v>
      </c>
      <c r="W363" s="251">
        <f>IF(W$4&gt;DAY(EOMONTH(DATE($D$2,$B$2,1),0)),"",IFERROR(SUMIFS(DATA_GOC!$H:$H,DATA_GOC!$A:$A,"BOM",DATA_GOC!$D:$D,$B363,DATA_GOC!$E:$E,"Dầu thủy lực",DATA_GOC!$F:$F,"Xuất nội bộ từ téc",DATA_GOC!$B:$B,DATE($D$2,$B$2,W$4)),0))</f>
        <v>0</v>
      </c>
      <c r="X363" s="251">
        <f>IF(X$4&gt;DAY(EOMONTH(DATE($D$2,$B$2,1),0)),"",IFERROR(SUMIFS(DATA_GOC!$H:$H,DATA_GOC!$A:$A,"BOM",DATA_GOC!$D:$D,$B363,DATA_GOC!$E:$E,"Dầu thủy lực",DATA_GOC!$F:$F,"Xuất nội bộ từ téc",DATA_GOC!$B:$B,DATE($D$2,$B$2,X$4)),0))</f>
        <v>0</v>
      </c>
      <c r="Y363" s="251">
        <f>IF(Y$4&gt;DAY(EOMONTH(DATE($D$2,$B$2,1),0)),"",IFERROR(SUMIFS(DATA_GOC!$H:$H,DATA_GOC!$A:$A,"BOM",DATA_GOC!$D:$D,$B363,DATA_GOC!$E:$E,"Dầu thủy lực",DATA_GOC!$F:$F,"Xuất nội bộ từ téc",DATA_GOC!$B:$B,DATE($D$2,$B$2,Y$4)),0))</f>
        <v>0</v>
      </c>
      <c r="Z363" s="251">
        <f>IF(Z$4&gt;DAY(EOMONTH(DATE($D$2,$B$2,1),0)),"",IFERROR(SUMIFS(DATA_GOC!$H:$H,DATA_GOC!$A:$A,"BOM",DATA_GOC!$D:$D,$B363,DATA_GOC!$E:$E,"Dầu thủy lực",DATA_GOC!$F:$F,"Xuất nội bộ từ téc",DATA_GOC!$B:$B,DATE($D$2,$B$2,Z$4)),0))</f>
        <v>0</v>
      </c>
      <c r="AA363" s="251">
        <f>IF(AA$4&gt;DAY(EOMONTH(DATE($D$2,$B$2,1),0)),"",IFERROR(SUMIFS(DATA_GOC!$H:$H,DATA_GOC!$A:$A,"BOM",DATA_GOC!$D:$D,$B363,DATA_GOC!$E:$E,"Dầu thủy lực",DATA_GOC!$F:$F,"Xuất nội bộ từ téc",DATA_GOC!$B:$B,DATE($D$2,$B$2,AA$4)),0))</f>
        <v>0</v>
      </c>
      <c r="AB363" s="251">
        <f>IF(AB$4&gt;DAY(EOMONTH(DATE($D$2,$B$2,1),0)),"",IFERROR(SUMIFS(DATA_GOC!$H:$H,DATA_GOC!$A:$A,"BOM",DATA_GOC!$D:$D,$B363,DATA_GOC!$E:$E,"Dầu thủy lực",DATA_GOC!$F:$F,"Xuất nội bộ từ téc",DATA_GOC!$B:$B,DATE($D$2,$B$2,AB$4)),0))</f>
        <v>0</v>
      </c>
      <c r="AC363" s="251">
        <f>IF(AC$4&gt;DAY(EOMONTH(DATE($D$2,$B$2,1),0)),"",IFERROR(SUMIFS(DATA_GOC!$H:$H,DATA_GOC!$A:$A,"BOM",DATA_GOC!$D:$D,$B363,DATA_GOC!$E:$E,"Dầu thủy lực",DATA_GOC!$F:$F,"Xuất nội bộ từ téc",DATA_GOC!$B:$B,DATE($D$2,$B$2,AC$4)),0))</f>
        <v>0</v>
      </c>
      <c r="AD363" s="251">
        <f>IF(AD$4&gt;DAY(EOMONTH(DATE($D$2,$B$2,1),0)),"",IFERROR(SUMIFS(DATA_GOC!$H:$H,DATA_GOC!$A:$A,"BOM",DATA_GOC!$D:$D,$B363,DATA_GOC!$E:$E,"Dầu thủy lực",DATA_GOC!$F:$F,"Xuất nội bộ từ téc",DATA_GOC!$B:$B,DATE($D$2,$B$2,AD$4)),0))</f>
        <v>0</v>
      </c>
      <c r="AE363" s="251">
        <f>IF(AE$4&gt;DAY(EOMONTH(DATE($D$2,$B$2,1),0)),"",IFERROR(SUMIFS(DATA_GOC!$H:$H,DATA_GOC!$A:$A,"BOM",DATA_GOC!$D:$D,$B363,DATA_GOC!$E:$E,"Dầu thủy lực",DATA_GOC!$F:$F,"Xuất nội bộ từ téc",DATA_GOC!$B:$B,DATE($D$2,$B$2,AE$4)),0))</f>
        <v>0</v>
      </c>
      <c r="AF363" s="251">
        <f>IF(AF$4&gt;DAY(EOMONTH(DATE($D$2,$B$2,1),0)),"",IFERROR(SUMIFS(DATA_GOC!$H:$H,DATA_GOC!$A:$A,"BOM",DATA_GOC!$D:$D,$B363,DATA_GOC!$E:$E,"Dầu thủy lực",DATA_GOC!$F:$F,"Xuất nội bộ từ téc",DATA_GOC!$B:$B,DATE($D$2,$B$2,AF$4)),0))</f>
        <v>0</v>
      </c>
      <c r="AG363" s="251">
        <f>IF(AG$4&gt;DAY(EOMONTH(DATE($D$2,$B$2,1),0)),"",IFERROR(SUMIFS(DATA_GOC!$H:$H,DATA_GOC!$A:$A,"BOM",DATA_GOC!$D:$D,$B363,DATA_GOC!$E:$E,"Dầu thủy lực",DATA_GOC!$F:$F,"Xuất nội bộ từ téc",DATA_GOC!$B:$B,DATE($D$2,$B$2,AG$4)),0))</f>
        <v>0</v>
      </c>
      <c r="AH363" s="252">
        <f t="shared" si="16"/>
        <v>0</v>
      </c>
      <c r="AI363" s="241"/>
      <c r="AJ363" s="242">
        <f>IF($B363="","",SUMIFS(TINH_TEC!$K$233:$K$9232,TINH_TEC!$H$233:$H$9232,$B363,TINH_TEC!$C$233:$C$9232,"Dầu thủy lực",TINH_TEC!$F$233:$F$9232,$B$2,TINH_TEC!$G$233:$G$9232,$D$2,TINH_TEC!$B$233:$B$9232,"Đã chốt"))</f>
        <v>0</v>
      </c>
      <c r="AK363" s="242">
        <f>IF($B363="","",SUMIFS(TINH_TEC!$J$233:$J$9232,TINH_TEC!$H$233:$H$9232,$B363,TINH_TEC!$C$233:$C$9232,"Dầu thủy lực",TINH_TEC!$F$233:$F$9232,$B$2,TINH_TEC!$G$233:$G$9232,$D$2,TINH_TEC!$B$233:$B$9232,"Đã chốt"))</f>
        <v>0</v>
      </c>
      <c r="AL363" s="242">
        <f t="shared" si="17"/>
        <v>0</v>
      </c>
    </row>
    <row r="364" ht="15.75" customHeight="1">
      <c r="A364" s="237">
        <f>IF($B364&lt;&gt;"",54,"")</f>
        <v>54</v>
      </c>
      <c r="B364" s="250" t="str">
        <f t="array" ref="B364">IFERROR(INDEX(DANH_MUC!$E:$E,57),"")</f>
        <v>Xúclật855N</v>
      </c>
      <c r="C364" s="251">
        <f>IF(C$4&gt;DAY(EOMONTH(DATE($D$2,$B$2,1),0)),"",IFERROR(SUMIFS(DATA_GOC!$H:$H,DATA_GOC!$A:$A,"BOM",DATA_GOC!$D:$D,$B364,DATA_GOC!$E:$E,"Dầu thủy lực",DATA_GOC!$F:$F,"Xuất nội bộ từ téc",DATA_GOC!$B:$B,DATE($D$2,$B$2,C$4)),0))</f>
        <v>0</v>
      </c>
      <c r="D364" s="251">
        <f>IF(D$4&gt;DAY(EOMONTH(DATE($D$2,$B$2,1),0)),"",IFERROR(SUMIFS(DATA_GOC!$H:$H,DATA_GOC!$A:$A,"BOM",DATA_GOC!$D:$D,$B364,DATA_GOC!$E:$E,"Dầu thủy lực",DATA_GOC!$F:$F,"Xuất nội bộ từ téc",DATA_GOC!$B:$B,DATE($D$2,$B$2,D$4)),0))</f>
        <v>0</v>
      </c>
      <c r="E364" s="251">
        <f>IF(E$4&gt;DAY(EOMONTH(DATE($D$2,$B$2,1),0)),"",IFERROR(SUMIFS(DATA_GOC!$H:$H,DATA_GOC!$A:$A,"BOM",DATA_GOC!$D:$D,$B364,DATA_GOC!$E:$E,"Dầu thủy lực",DATA_GOC!$F:$F,"Xuất nội bộ từ téc",DATA_GOC!$B:$B,DATE($D$2,$B$2,E$4)),0))</f>
        <v>0</v>
      </c>
      <c r="F364" s="251">
        <f>IF(F$4&gt;DAY(EOMONTH(DATE($D$2,$B$2,1),0)),"",IFERROR(SUMIFS(DATA_GOC!$H:$H,DATA_GOC!$A:$A,"BOM",DATA_GOC!$D:$D,$B364,DATA_GOC!$E:$E,"Dầu thủy lực",DATA_GOC!$F:$F,"Xuất nội bộ từ téc",DATA_GOC!$B:$B,DATE($D$2,$B$2,F$4)),0))</f>
        <v>0</v>
      </c>
      <c r="G364" s="251">
        <f>IF(G$4&gt;DAY(EOMONTH(DATE($D$2,$B$2,1),0)),"",IFERROR(SUMIFS(DATA_GOC!$H:$H,DATA_GOC!$A:$A,"BOM",DATA_GOC!$D:$D,$B364,DATA_GOC!$E:$E,"Dầu thủy lực",DATA_GOC!$F:$F,"Xuất nội bộ từ téc",DATA_GOC!$B:$B,DATE($D$2,$B$2,G$4)),0))</f>
        <v>0</v>
      </c>
      <c r="H364" s="251">
        <f>IF(H$4&gt;DAY(EOMONTH(DATE($D$2,$B$2,1),0)),"",IFERROR(SUMIFS(DATA_GOC!$H:$H,DATA_GOC!$A:$A,"BOM",DATA_GOC!$D:$D,$B364,DATA_GOC!$E:$E,"Dầu thủy lực",DATA_GOC!$F:$F,"Xuất nội bộ từ téc",DATA_GOC!$B:$B,DATE($D$2,$B$2,H$4)),0))</f>
        <v>0</v>
      </c>
      <c r="I364" s="251">
        <f>IF(I$4&gt;DAY(EOMONTH(DATE($D$2,$B$2,1),0)),"",IFERROR(SUMIFS(DATA_GOC!$H:$H,DATA_GOC!$A:$A,"BOM",DATA_GOC!$D:$D,$B364,DATA_GOC!$E:$E,"Dầu thủy lực",DATA_GOC!$F:$F,"Xuất nội bộ từ téc",DATA_GOC!$B:$B,DATE($D$2,$B$2,I$4)),0))</f>
        <v>0</v>
      </c>
      <c r="J364" s="251">
        <f>IF(J$4&gt;DAY(EOMONTH(DATE($D$2,$B$2,1),0)),"",IFERROR(SUMIFS(DATA_GOC!$H:$H,DATA_GOC!$A:$A,"BOM",DATA_GOC!$D:$D,$B364,DATA_GOC!$E:$E,"Dầu thủy lực",DATA_GOC!$F:$F,"Xuất nội bộ từ téc",DATA_GOC!$B:$B,DATE($D$2,$B$2,J$4)),0))</f>
        <v>0</v>
      </c>
      <c r="K364" s="251">
        <f>IF(K$4&gt;DAY(EOMONTH(DATE($D$2,$B$2,1),0)),"",IFERROR(SUMIFS(DATA_GOC!$H:$H,DATA_GOC!$A:$A,"BOM",DATA_GOC!$D:$D,$B364,DATA_GOC!$E:$E,"Dầu thủy lực",DATA_GOC!$F:$F,"Xuất nội bộ từ téc",DATA_GOC!$B:$B,DATE($D$2,$B$2,K$4)),0))</f>
        <v>0</v>
      </c>
      <c r="L364" s="251">
        <f>IF(L$4&gt;DAY(EOMONTH(DATE($D$2,$B$2,1),0)),"",IFERROR(SUMIFS(DATA_GOC!$H:$H,DATA_GOC!$A:$A,"BOM",DATA_GOC!$D:$D,$B364,DATA_GOC!$E:$E,"Dầu thủy lực",DATA_GOC!$F:$F,"Xuất nội bộ từ téc",DATA_GOC!$B:$B,DATE($D$2,$B$2,L$4)),0))</f>
        <v>0</v>
      </c>
      <c r="M364" s="251">
        <f>IF(M$4&gt;DAY(EOMONTH(DATE($D$2,$B$2,1),0)),"",IFERROR(SUMIFS(DATA_GOC!$H:$H,DATA_GOC!$A:$A,"BOM",DATA_GOC!$D:$D,$B364,DATA_GOC!$E:$E,"Dầu thủy lực",DATA_GOC!$F:$F,"Xuất nội bộ từ téc",DATA_GOC!$B:$B,DATE($D$2,$B$2,M$4)),0))</f>
        <v>0</v>
      </c>
      <c r="N364" s="251">
        <f>IF(N$4&gt;DAY(EOMONTH(DATE($D$2,$B$2,1),0)),"",IFERROR(SUMIFS(DATA_GOC!$H:$H,DATA_GOC!$A:$A,"BOM",DATA_GOC!$D:$D,$B364,DATA_GOC!$E:$E,"Dầu thủy lực",DATA_GOC!$F:$F,"Xuất nội bộ từ téc",DATA_GOC!$B:$B,DATE($D$2,$B$2,N$4)),0))</f>
        <v>0</v>
      </c>
      <c r="O364" s="251">
        <f>IF(O$4&gt;DAY(EOMONTH(DATE($D$2,$B$2,1),0)),"",IFERROR(SUMIFS(DATA_GOC!$H:$H,DATA_GOC!$A:$A,"BOM",DATA_GOC!$D:$D,$B364,DATA_GOC!$E:$E,"Dầu thủy lực",DATA_GOC!$F:$F,"Xuất nội bộ từ téc",DATA_GOC!$B:$B,DATE($D$2,$B$2,O$4)),0))</f>
        <v>0</v>
      </c>
      <c r="P364" s="251">
        <f>IF(P$4&gt;DAY(EOMONTH(DATE($D$2,$B$2,1),0)),"",IFERROR(SUMIFS(DATA_GOC!$H:$H,DATA_GOC!$A:$A,"BOM",DATA_GOC!$D:$D,$B364,DATA_GOC!$E:$E,"Dầu thủy lực",DATA_GOC!$F:$F,"Xuất nội bộ từ téc",DATA_GOC!$B:$B,DATE($D$2,$B$2,P$4)),0))</f>
        <v>0</v>
      </c>
      <c r="Q364" s="251">
        <f>IF(Q$4&gt;DAY(EOMONTH(DATE($D$2,$B$2,1),0)),"",IFERROR(SUMIFS(DATA_GOC!$H:$H,DATA_GOC!$A:$A,"BOM",DATA_GOC!$D:$D,$B364,DATA_GOC!$E:$E,"Dầu thủy lực",DATA_GOC!$F:$F,"Xuất nội bộ từ téc",DATA_GOC!$B:$B,DATE($D$2,$B$2,Q$4)),0))</f>
        <v>0</v>
      </c>
      <c r="R364" s="251">
        <f>IF(R$4&gt;DAY(EOMONTH(DATE($D$2,$B$2,1),0)),"",IFERROR(SUMIFS(DATA_GOC!$H:$H,DATA_GOC!$A:$A,"BOM",DATA_GOC!$D:$D,$B364,DATA_GOC!$E:$E,"Dầu thủy lực",DATA_GOC!$F:$F,"Xuất nội bộ từ téc",DATA_GOC!$B:$B,DATE($D$2,$B$2,R$4)),0))</f>
        <v>0</v>
      </c>
      <c r="S364" s="251">
        <f>IF(S$4&gt;DAY(EOMONTH(DATE($D$2,$B$2,1),0)),"",IFERROR(SUMIFS(DATA_GOC!$H:$H,DATA_GOC!$A:$A,"BOM",DATA_GOC!$D:$D,$B364,DATA_GOC!$E:$E,"Dầu thủy lực",DATA_GOC!$F:$F,"Xuất nội bộ từ téc",DATA_GOC!$B:$B,DATE($D$2,$B$2,S$4)),0))</f>
        <v>0</v>
      </c>
      <c r="T364" s="251">
        <f>IF(T$4&gt;DAY(EOMONTH(DATE($D$2,$B$2,1),0)),"",IFERROR(SUMIFS(DATA_GOC!$H:$H,DATA_GOC!$A:$A,"BOM",DATA_GOC!$D:$D,$B364,DATA_GOC!$E:$E,"Dầu thủy lực",DATA_GOC!$F:$F,"Xuất nội bộ từ téc",DATA_GOC!$B:$B,DATE($D$2,$B$2,T$4)),0))</f>
        <v>0</v>
      </c>
      <c r="U364" s="251">
        <f>IF(U$4&gt;DAY(EOMONTH(DATE($D$2,$B$2,1),0)),"",IFERROR(SUMIFS(DATA_GOC!$H:$H,DATA_GOC!$A:$A,"BOM",DATA_GOC!$D:$D,$B364,DATA_GOC!$E:$E,"Dầu thủy lực",DATA_GOC!$F:$F,"Xuất nội bộ từ téc",DATA_GOC!$B:$B,DATE($D$2,$B$2,U$4)),0))</f>
        <v>0</v>
      </c>
      <c r="V364" s="251">
        <f>IF(V$4&gt;DAY(EOMONTH(DATE($D$2,$B$2,1),0)),"",IFERROR(SUMIFS(DATA_GOC!$H:$H,DATA_GOC!$A:$A,"BOM",DATA_GOC!$D:$D,$B364,DATA_GOC!$E:$E,"Dầu thủy lực",DATA_GOC!$F:$F,"Xuất nội bộ từ téc",DATA_GOC!$B:$B,DATE($D$2,$B$2,V$4)),0))</f>
        <v>0</v>
      </c>
      <c r="W364" s="251">
        <f>IF(W$4&gt;DAY(EOMONTH(DATE($D$2,$B$2,1),0)),"",IFERROR(SUMIFS(DATA_GOC!$H:$H,DATA_GOC!$A:$A,"BOM",DATA_GOC!$D:$D,$B364,DATA_GOC!$E:$E,"Dầu thủy lực",DATA_GOC!$F:$F,"Xuất nội bộ từ téc",DATA_GOC!$B:$B,DATE($D$2,$B$2,W$4)),0))</f>
        <v>0</v>
      </c>
      <c r="X364" s="251">
        <f>IF(X$4&gt;DAY(EOMONTH(DATE($D$2,$B$2,1),0)),"",IFERROR(SUMIFS(DATA_GOC!$H:$H,DATA_GOC!$A:$A,"BOM",DATA_GOC!$D:$D,$B364,DATA_GOC!$E:$E,"Dầu thủy lực",DATA_GOC!$F:$F,"Xuất nội bộ từ téc",DATA_GOC!$B:$B,DATE($D$2,$B$2,X$4)),0))</f>
        <v>0</v>
      </c>
      <c r="Y364" s="251">
        <f>IF(Y$4&gt;DAY(EOMONTH(DATE($D$2,$B$2,1),0)),"",IFERROR(SUMIFS(DATA_GOC!$H:$H,DATA_GOC!$A:$A,"BOM",DATA_GOC!$D:$D,$B364,DATA_GOC!$E:$E,"Dầu thủy lực",DATA_GOC!$F:$F,"Xuất nội bộ từ téc",DATA_GOC!$B:$B,DATE($D$2,$B$2,Y$4)),0))</f>
        <v>0</v>
      </c>
      <c r="Z364" s="251">
        <f>IF(Z$4&gt;DAY(EOMONTH(DATE($D$2,$B$2,1),0)),"",IFERROR(SUMIFS(DATA_GOC!$H:$H,DATA_GOC!$A:$A,"BOM",DATA_GOC!$D:$D,$B364,DATA_GOC!$E:$E,"Dầu thủy lực",DATA_GOC!$F:$F,"Xuất nội bộ từ téc",DATA_GOC!$B:$B,DATE($D$2,$B$2,Z$4)),0))</f>
        <v>0</v>
      </c>
      <c r="AA364" s="251">
        <f>IF(AA$4&gt;DAY(EOMONTH(DATE($D$2,$B$2,1),0)),"",IFERROR(SUMIFS(DATA_GOC!$H:$H,DATA_GOC!$A:$A,"BOM",DATA_GOC!$D:$D,$B364,DATA_GOC!$E:$E,"Dầu thủy lực",DATA_GOC!$F:$F,"Xuất nội bộ từ téc",DATA_GOC!$B:$B,DATE($D$2,$B$2,AA$4)),0))</f>
        <v>0</v>
      </c>
      <c r="AB364" s="251">
        <f>IF(AB$4&gt;DAY(EOMONTH(DATE($D$2,$B$2,1),0)),"",IFERROR(SUMIFS(DATA_GOC!$H:$H,DATA_GOC!$A:$A,"BOM",DATA_GOC!$D:$D,$B364,DATA_GOC!$E:$E,"Dầu thủy lực",DATA_GOC!$F:$F,"Xuất nội bộ từ téc",DATA_GOC!$B:$B,DATE($D$2,$B$2,AB$4)),0))</f>
        <v>0</v>
      </c>
      <c r="AC364" s="251">
        <f>IF(AC$4&gt;DAY(EOMONTH(DATE($D$2,$B$2,1),0)),"",IFERROR(SUMIFS(DATA_GOC!$H:$H,DATA_GOC!$A:$A,"BOM",DATA_GOC!$D:$D,$B364,DATA_GOC!$E:$E,"Dầu thủy lực",DATA_GOC!$F:$F,"Xuất nội bộ từ téc",DATA_GOC!$B:$B,DATE($D$2,$B$2,AC$4)),0))</f>
        <v>0</v>
      </c>
      <c r="AD364" s="251">
        <f>IF(AD$4&gt;DAY(EOMONTH(DATE($D$2,$B$2,1),0)),"",IFERROR(SUMIFS(DATA_GOC!$H:$H,DATA_GOC!$A:$A,"BOM",DATA_GOC!$D:$D,$B364,DATA_GOC!$E:$E,"Dầu thủy lực",DATA_GOC!$F:$F,"Xuất nội bộ từ téc",DATA_GOC!$B:$B,DATE($D$2,$B$2,AD$4)),0))</f>
        <v>0</v>
      </c>
      <c r="AE364" s="251">
        <f>IF(AE$4&gt;DAY(EOMONTH(DATE($D$2,$B$2,1),0)),"",IFERROR(SUMIFS(DATA_GOC!$H:$H,DATA_GOC!$A:$A,"BOM",DATA_GOC!$D:$D,$B364,DATA_GOC!$E:$E,"Dầu thủy lực",DATA_GOC!$F:$F,"Xuất nội bộ từ téc",DATA_GOC!$B:$B,DATE($D$2,$B$2,AE$4)),0))</f>
        <v>0</v>
      </c>
      <c r="AF364" s="251">
        <f>IF(AF$4&gt;DAY(EOMONTH(DATE($D$2,$B$2,1),0)),"",IFERROR(SUMIFS(DATA_GOC!$H:$H,DATA_GOC!$A:$A,"BOM",DATA_GOC!$D:$D,$B364,DATA_GOC!$E:$E,"Dầu thủy lực",DATA_GOC!$F:$F,"Xuất nội bộ từ téc",DATA_GOC!$B:$B,DATE($D$2,$B$2,AF$4)),0))</f>
        <v>0</v>
      </c>
      <c r="AG364" s="251">
        <f>IF(AG$4&gt;DAY(EOMONTH(DATE($D$2,$B$2,1),0)),"",IFERROR(SUMIFS(DATA_GOC!$H:$H,DATA_GOC!$A:$A,"BOM",DATA_GOC!$D:$D,$B364,DATA_GOC!$E:$E,"Dầu thủy lực",DATA_GOC!$F:$F,"Xuất nội bộ từ téc",DATA_GOC!$B:$B,DATE($D$2,$B$2,AG$4)),0))</f>
        <v>0</v>
      </c>
      <c r="AH364" s="252">
        <f t="shared" si="16"/>
        <v>0</v>
      </c>
      <c r="AI364" s="241"/>
      <c r="AJ364" s="242">
        <f>IF($B364="","",SUMIFS(TINH_TEC!$K$233:$K$9232,TINH_TEC!$H$233:$H$9232,$B364,TINH_TEC!$C$233:$C$9232,"Dầu thủy lực",TINH_TEC!$F$233:$F$9232,$B$2,TINH_TEC!$G$233:$G$9232,$D$2,TINH_TEC!$B$233:$B$9232,"Đã chốt"))</f>
        <v>0</v>
      </c>
      <c r="AK364" s="242">
        <f>IF($B364="","",SUMIFS(TINH_TEC!$J$233:$J$9232,TINH_TEC!$H$233:$H$9232,$B364,TINH_TEC!$C$233:$C$9232,"Dầu thủy lực",TINH_TEC!$F$233:$F$9232,$B$2,TINH_TEC!$G$233:$G$9232,$D$2,TINH_TEC!$B$233:$B$9232,"Đã chốt"))</f>
        <v>0</v>
      </c>
      <c r="AL364" s="242">
        <f t="shared" si="17"/>
        <v>0</v>
      </c>
    </row>
    <row r="365" ht="15.75" customHeight="1">
      <c r="A365" s="237">
        <f>IF($B365&lt;&gt;"",55,"")</f>
        <v>55</v>
      </c>
      <c r="B365" s="250" t="str">
        <f t="array" ref="B365">IFERROR(INDEX(DANH_MUC!$E:$E,58),"")</f>
        <v>Cát nghiền</v>
      </c>
      <c r="C365" s="251">
        <f>IF(C$4&gt;DAY(EOMONTH(DATE($D$2,$B$2,1),0)),"",IFERROR(SUMIFS(DATA_GOC!$H:$H,DATA_GOC!$A:$A,"BOM",DATA_GOC!$D:$D,$B365,DATA_GOC!$E:$E,"Dầu thủy lực",DATA_GOC!$F:$F,"Xuất nội bộ từ téc",DATA_GOC!$B:$B,DATE($D$2,$B$2,C$4)),0))</f>
        <v>0</v>
      </c>
      <c r="D365" s="251">
        <f>IF(D$4&gt;DAY(EOMONTH(DATE($D$2,$B$2,1),0)),"",IFERROR(SUMIFS(DATA_GOC!$H:$H,DATA_GOC!$A:$A,"BOM",DATA_GOC!$D:$D,$B365,DATA_GOC!$E:$E,"Dầu thủy lực",DATA_GOC!$F:$F,"Xuất nội bộ từ téc",DATA_GOC!$B:$B,DATE($D$2,$B$2,D$4)),0))</f>
        <v>0</v>
      </c>
      <c r="E365" s="251">
        <f>IF(E$4&gt;DAY(EOMONTH(DATE($D$2,$B$2,1),0)),"",IFERROR(SUMIFS(DATA_GOC!$H:$H,DATA_GOC!$A:$A,"BOM",DATA_GOC!$D:$D,$B365,DATA_GOC!$E:$E,"Dầu thủy lực",DATA_GOC!$F:$F,"Xuất nội bộ từ téc",DATA_GOC!$B:$B,DATE($D$2,$B$2,E$4)),0))</f>
        <v>0</v>
      </c>
      <c r="F365" s="251">
        <f>IF(F$4&gt;DAY(EOMONTH(DATE($D$2,$B$2,1),0)),"",IFERROR(SUMIFS(DATA_GOC!$H:$H,DATA_GOC!$A:$A,"BOM",DATA_GOC!$D:$D,$B365,DATA_GOC!$E:$E,"Dầu thủy lực",DATA_GOC!$F:$F,"Xuất nội bộ từ téc",DATA_GOC!$B:$B,DATE($D$2,$B$2,F$4)),0))</f>
        <v>0</v>
      </c>
      <c r="G365" s="251">
        <f>IF(G$4&gt;DAY(EOMONTH(DATE($D$2,$B$2,1),0)),"",IFERROR(SUMIFS(DATA_GOC!$H:$H,DATA_GOC!$A:$A,"BOM",DATA_GOC!$D:$D,$B365,DATA_GOC!$E:$E,"Dầu thủy lực",DATA_GOC!$F:$F,"Xuất nội bộ từ téc",DATA_GOC!$B:$B,DATE($D$2,$B$2,G$4)),0))</f>
        <v>0</v>
      </c>
      <c r="H365" s="251">
        <f>IF(H$4&gt;DAY(EOMONTH(DATE($D$2,$B$2,1),0)),"",IFERROR(SUMIFS(DATA_GOC!$H:$H,DATA_GOC!$A:$A,"BOM",DATA_GOC!$D:$D,$B365,DATA_GOC!$E:$E,"Dầu thủy lực",DATA_GOC!$F:$F,"Xuất nội bộ từ téc",DATA_GOC!$B:$B,DATE($D$2,$B$2,H$4)),0))</f>
        <v>0</v>
      </c>
      <c r="I365" s="251">
        <f>IF(I$4&gt;DAY(EOMONTH(DATE($D$2,$B$2,1),0)),"",IFERROR(SUMIFS(DATA_GOC!$H:$H,DATA_GOC!$A:$A,"BOM",DATA_GOC!$D:$D,$B365,DATA_GOC!$E:$E,"Dầu thủy lực",DATA_GOC!$F:$F,"Xuất nội bộ từ téc",DATA_GOC!$B:$B,DATE($D$2,$B$2,I$4)),0))</f>
        <v>0</v>
      </c>
      <c r="J365" s="251">
        <f>IF(J$4&gt;DAY(EOMONTH(DATE($D$2,$B$2,1),0)),"",IFERROR(SUMIFS(DATA_GOC!$H:$H,DATA_GOC!$A:$A,"BOM",DATA_GOC!$D:$D,$B365,DATA_GOC!$E:$E,"Dầu thủy lực",DATA_GOC!$F:$F,"Xuất nội bộ từ téc",DATA_GOC!$B:$B,DATE($D$2,$B$2,J$4)),0))</f>
        <v>0</v>
      </c>
      <c r="K365" s="251">
        <f>IF(K$4&gt;DAY(EOMONTH(DATE($D$2,$B$2,1),0)),"",IFERROR(SUMIFS(DATA_GOC!$H:$H,DATA_GOC!$A:$A,"BOM",DATA_GOC!$D:$D,$B365,DATA_GOC!$E:$E,"Dầu thủy lực",DATA_GOC!$F:$F,"Xuất nội bộ từ téc",DATA_GOC!$B:$B,DATE($D$2,$B$2,K$4)),0))</f>
        <v>0</v>
      </c>
      <c r="L365" s="251">
        <f>IF(L$4&gt;DAY(EOMONTH(DATE($D$2,$B$2,1),0)),"",IFERROR(SUMIFS(DATA_GOC!$H:$H,DATA_GOC!$A:$A,"BOM",DATA_GOC!$D:$D,$B365,DATA_GOC!$E:$E,"Dầu thủy lực",DATA_GOC!$F:$F,"Xuất nội bộ từ téc",DATA_GOC!$B:$B,DATE($D$2,$B$2,L$4)),0))</f>
        <v>0</v>
      </c>
      <c r="M365" s="251">
        <f>IF(M$4&gt;DAY(EOMONTH(DATE($D$2,$B$2,1),0)),"",IFERROR(SUMIFS(DATA_GOC!$H:$H,DATA_GOC!$A:$A,"BOM",DATA_GOC!$D:$D,$B365,DATA_GOC!$E:$E,"Dầu thủy lực",DATA_GOC!$F:$F,"Xuất nội bộ từ téc",DATA_GOC!$B:$B,DATE($D$2,$B$2,M$4)),0))</f>
        <v>0</v>
      </c>
      <c r="N365" s="251">
        <f>IF(N$4&gt;DAY(EOMONTH(DATE($D$2,$B$2,1),0)),"",IFERROR(SUMIFS(DATA_GOC!$H:$H,DATA_GOC!$A:$A,"BOM",DATA_GOC!$D:$D,$B365,DATA_GOC!$E:$E,"Dầu thủy lực",DATA_GOC!$F:$F,"Xuất nội bộ từ téc",DATA_GOC!$B:$B,DATE($D$2,$B$2,N$4)),0))</f>
        <v>0</v>
      </c>
      <c r="O365" s="251">
        <f>IF(O$4&gt;DAY(EOMONTH(DATE($D$2,$B$2,1),0)),"",IFERROR(SUMIFS(DATA_GOC!$H:$H,DATA_GOC!$A:$A,"BOM",DATA_GOC!$D:$D,$B365,DATA_GOC!$E:$E,"Dầu thủy lực",DATA_GOC!$F:$F,"Xuất nội bộ từ téc",DATA_GOC!$B:$B,DATE($D$2,$B$2,O$4)),0))</f>
        <v>0</v>
      </c>
      <c r="P365" s="251">
        <f>IF(P$4&gt;DAY(EOMONTH(DATE($D$2,$B$2,1),0)),"",IFERROR(SUMIFS(DATA_GOC!$H:$H,DATA_GOC!$A:$A,"BOM",DATA_GOC!$D:$D,$B365,DATA_GOC!$E:$E,"Dầu thủy lực",DATA_GOC!$F:$F,"Xuất nội bộ từ téc",DATA_GOC!$B:$B,DATE($D$2,$B$2,P$4)),0))</f>
        <v>0</v>
      </c>
      <c r="Q365" s="251">
        <f>IF(Q$4&gt;DAY(EOMONTH(DATE($D$2,$B$2,1),0)),"",IFERROR(SUMIFS(DATA_GOC!$H:$H,DATA_GOC!$A:$A,"BOM",DATA_GOC!$D:$D,$B365,DATA_GOC!$E:$E,"Dầu thủy lực",DATA_GOC!$F:$F,"Xuất nội bộ từ téc",DATA_GOC!$B:$B,DATE($D$2,$B$2,Q$4)),0))</f>
        <v>0</v>
      </c>
      <c r="R365" s="251">
        <f>IF(R$4&gt;DAY(EOMONTH(DATE($D$2,$B$2,1),0)),"",IFERROR(SUMIFS(DATA_GOC!$H:$H,DATA_GOC!$A:$A,"BOM",DATA_GOC!$D:$D,$B365,DATA_GOC!$E:$E,"Dầu thủy lực",DATA_GOC!$F:$F,"Xuất nội bộ từ téc",DATA_GOC!$B:$B,DATE($D$2,$B$2,R$4)),0))</f>
        <v>0</v>
      </c>
      <c r="S365" s="251">
        <f>IF(S$4&gt;DAY(EOMONTH(DATE($D$2,$B$2,1),0)),"",IFERROR(SUMIFS(DATA_GOC!$H:$H,DATA_GOC!$A:$A,"BOM",DATA_GOC!$D:$D,$B365,DATA_GOC!$E:$E,"Dầu thủy lực",DATA_GOC!$F:$F,"Xuất nội bộ từ téc",DATA_GOC!$B:$B,DATE($D$2,$B$2,S$4)),0))</f>
        <v>0</v>
      </c>
      <c r="T365" s="251">
        <f>IF(T$4&gt;DAY(EOMONTH(DATE($D$2,$B$2,1),0)),"",IFERROR(SUMIFS(DATA_GOC!$H:$H,DATA_GOC!$A:$A,"BOM",DATA_GOC!$D:$D,$B365,DATA_GOC!$E:$E,"Dầu thủy lực",DATA_GOC!$F:$F,"Xuất nội bộ từ téc",DATA_GOC!$B:$B,DATE($D$2,$B$2,T$4)),0))</f>
        <v>0</v>
      </c>
      <c r="U365" s="251">
        <f>IF(U$4&gt;DAY(EOMONTH(DATE($D$2,$B$2,1),0)),"",IFERROR(SUMIFS(DATA_GOC!$H:$H,DATA_GOC!$A:$A,"BOM",DATA_GOC!$D:$D,$B365,DATA_GOC!$E:$E,"Dầu thủy lực",DATA_GOC!$F:$F,"Xuất nội bộ từ téc",DATA_GOC!$B:$B,DATE($D$2,$B$2,U$4)),0))</f>
        <v>0</v>
      </c>
      <c r="V365" s="251">
        <f>IF(V$4&gt;DAY(EOMONTH(DATE($D$2,$B$2,1),0)),"",IFERROR(SUMIFS(DATA_GOC!$H:$H,DATA_GOC!$A:$A,"BOM",DATA_GOC!$D:$D,$B365,DATA_GOC!$E:$E,"Dầu thủy lực",DATA_GOC!$F:$F,"Xuất nội bộ từ téc",DATA_GOC!$B:$B,DATE($D$2,$B$2,V$4)),0))</f>
        <v>0</v>
      </c>
      <c r="W365" s="251">
        <f>IF(W$4&gt;DAY(EOMONTH(DATE($D$2,$B$2,1),0)),"",IFERROR(SUMIFS(DATA_GOC!$H:$H,DATA_GOC!$A:$A,"BOM",DATA_GOC!$D:$D,$B365,DATA_GOC!$E:$E,"Dầu thủy lực",DATA_GOC!$F:$F,"Xuất nội bộ từ téc",DATA_GOC!$B:$B,DATE($D$2,$B$2,W$4)),0))</f>
        <v>0</v>
      </c>
      <c r="X365" s="251">
        <f>IF(X$4&gt;DAY(EOMONTH(DATE($D$2,$B$2,1),0)),"",IFERROR(SUMIFS(DATA_GOC!$H:$H,DATA_GOC!$A:$A,"BOM",DATA_GOC!$D:$D,$B365,DATA_GOC!$E:$E,"Dầu thủy lực",DATA_GOC!$F:$F,"Xuất nội bộ từ téc",DATA_GOC!$B:$B,DATE($D$2,$B$2,X$4)),0))</f>
        <v>0</v>
      </c>
      <c r="Y365" s="251">
        <f>IF(Y$4&gt;DAY(EOMONTH(DATE($D$2,$B$2,1),0)),"",IFERROR(SUMIFS(DATA_GOC!$H:$H,DATA_GOC!$A:$A,"BOM",DATA_GOC!$D:$D,$B365,DATA_GOC!$E:$E,"Dầu thủy lực",DATA_GOC!$F:$F,"Xuất nội bộ từ téc",DATA_GOC!$B:$B,DATE($D$2,$B$2,Y$4)),0))</f>
        <v>0</v>
      </c>
      <c r="Z365" s="251">
        <f>IF(Z$4&gt;DAY(EOMONTH(DATE($D$2,$B$2,1),0)),"",IFERROR(SUMIFS(DATA_GOC!$H:$H,DATA_GOC!$A:$A,"BOM",DATA_GOC!$D:$D,$B365,DATA_GOC!$E:$E,"Dầu thủy lực",DATA_GOC!$F:$F,"Xuất nội bộ từ téc",DATA_GOC!$B:$B,DATE($D$2,$B$2,Z$4)),0))</f>
        <v>0</v>
      </c>
      <c r="AA365" s="251">
        <f>IF(AA$4&gt;DAY(EOMONTH(DATE($D$2,$B$2,1),0)),"",IFERROR(SUMIFS(DATA_GOC!$H:$H,DATA_GOC!$A:$A,"BOM",DATA_GOC!$D:$D,$B365,DATA_GOC!$E:$E,"Dầu thủy lực",DATA_GOC!$F:$F,"Xuất nội bộ từ téc",DATA_GOC!$B:$B,DATE($D$2,$B$2,AA$4)),0))</f>
        <v>0</v>
      </c>
      <c r="AB365" s="251">
        <f>IF(AB$4&gt;DAY(EOMONTH(DATE($D$2,$B$2,1),0)),"",IFERROR(SUMIFS(DATA_GOC!$H:$H,DATA_GOC!$A:$A,"BOM",DATA_GOC!$D:$D,$B365,DATA_GOC!$E:$E,"Dầu thủy lực",DATA_GOC!$F:$F,"Xuất nội bộ từ téc",DATA_GOC!$B:$B,DATE($D$2,$B$2,AB$4)),0))</f>
        <v>0</v>
      </c>
      <c r="AC365" s="251">
        <f>IF(AC$4&gt;DAY(EOMONTH(DATE($D$2,$B$2,1),0)),"",IFERROR(SUMIFS(DATA_GOC!$H:$H,DATA_GOC!$A:$A,"BOM",DATA_GOC!$D:$D,$B365,DATA_GOC!$E:$E,"Dầu thủy lực",DATA_GOC!$F:$F,"Xuất nội bộ từ téc",DATA_GOC!$B:$B,DATE($D$2,$B$2,AC$4)),0))</f>
        <v>0</v>
      </c>
      <c r="AD365" s="251">
        <f>IF(AD$4&gt;DAY(EOMONTH(DATE($D$2,$B$2,1),0)),"",IFERROR(SUMIFS(DATA_GOC!$H:$H,DATA_GOC!$A:$A,"BOM",DATA_GOC!$D:$D,$B365,DATA_GOC!$E:$E,"Dầu thủy lực",DATA_GOC!$F:$F,"Xuất nội bộ từ téc",DATA_GOC!$B:$B,DATE($D$2,$B$2,AD$4)),0))</f>
        <v>0</v>
      </c>
      <c r="AE365" s="251">
        <f>IF(AE$4&gt;DAY(EOMONTH(DATE($D$2,$B$2,1),0)),"",IFERROR(SUMIFS(DATA_GOC!$H:$H,DATA_GOC!$A:$A,"BOM",DATA_GOC!$D:$D,$B365,DATA_GOC!$E:$E,"Dầu thủy lực",DATA_GOC!$F:$F,"Xuất nội bộ từ téc",DATA_GOC!$B:$B,DATE($D$2,$B$2,AE$4)),0))</f>
        <v>0</v>
      </c>
      <c r="AF365" s="251">
        <f>IF(AF$4&gt;DAY(EOMONTH(DATE($D$2,$B$2,1),0)),"",IFERROR(SUMIFS(DATA_GOC!$H:$H,DATA_GOC!$A:$A,"BOM",DATA_GOC!$D:$D,$B365,DATA_GOC!$E:$E,"Dầu thủy lực",DATA_GOC!$F:$F,"Xuất nội bộ từ téc",DATA_GOC!$B:$B,DATE($D$2,$B$2,AF$4)),0))</f>
        <v>0</v>
      </c>
      <c r="AG365" s="251">
        <f>IF(AG$4&gt;DAY(EOMONTH(DATE($D$2,$B$2,1),0)),"",IFERROR(SUMIFS(DATA_GOC!$H:$H,DATA_GOC!$A:$A,"BOM",DATA_GOC!$D:$D,$B365,DATA_GOC!$E:$E,"Dầu thủy lực",DATA_GOC!$F:$F,"Xuất nội bộ từ téc",DATA_GOC!$B:$B,DATE($D$2,$B$2,AG$4)),0))</f>
        <v>0</v>
      </c>
      <c r="AH365" s="252">
        <f t="shared" si="16"/>
        <v>0</v>
      </c>
      <c r="AI365" s="241"/>
      <c r="AJ365" s="242">
        <f>IF($B365="","",SUMIFS(TINH_TEC!$K$233:$K$9232,TINH_TEC!$H$233:$H$9232,$B365,TINH_TEC!$C$233:$C$9232,"Dầu thủy lực",TINH_TEC!$F$233:$F$9232,$B$2,TINH_TEC!$G$233:$G$9232,$D$2,TINH_TEC!$B$233:$B$9232,"Đã chốt"))</f>
        <v>0</v>
      </c>
      <c r="AK365" s="242">
        <f>IF($B365="","",SUMIFS(TINH_TEC!$J$233:$J$9232,TINH_TEC!$H$233:$H$9232,$B365,TINH_TEC!$C$233:$C$9232,"Dầu thủy lực",TINH_TEC!$F$233:$F$9232,$B$2,TINH_TEC!$G$233:$G$9232,$D$2,TINH_TEC!$B$233:$B$9232,"Đã chốt"))</f>
        <v>0</v>
      </c>
      <c r="AL365" s="242">
        <f t="shared" si="17"/>
        <v>0</v>
      </c>
    </row>
    <row r="366" ht="15.75" customHeight="1">
      <c r="A366" s="237">
        <f>IF($B366&lt;&gt;"",56,"")</f>
        <v>56</v>
      </c>
      <c r="B366" s="250" t="str">
        <f t="array" ref="B366">IFERROR(INDEX(DANH_MUC!$E:$E,59),"")</f>
        <v>28C02973</v>
      </c>
      <c r="C366" s="251">
        <f>IF(C$4&gt;DAY(EOMONTH(DATE($D$2,$B$2,1),0)),"",IFERROR(SUMIFS(DATA_GOC!$H:$H,DATA_GOC!$A:$A,"BOM",DATA_GOC!$D:$D,$B366,DATA_GOC!$E:$E,"Dầu thủy lực",DATA_GOC!$F:$F,"Xuất nội bộ từ téc",DATA_GOC!$B:$B,DATE($D$2,$B$2,C$4)),0))</f>
        <v>0</v>
      </c>
      <c r="D366" s="251">
        <f>IF(D$4&gt;DAY(EOMONTH(DATE($D$2,$B$2,1),0)),"",IFERROR(SUMIFS(DATA_GOC!$H:$H,DATA_GOC!$A:$A,"BOM",DATA_GOC!$D:$D,$B366,DATA_GOC!$E:$E,"Dầu thủy lực",DATA_GOC!$F:$F,"Xuất nội bộ từ téc",DATA_GOC!$B:$B,DATE($D$2,$B$2,D$4)),0))</f>
        <v>0</v>
      </c>
      <c r="E366" s="251">
        <f>IF(E$4&gt;DAY(EOMONTH(DATE($D$2,$B$2,1),0)),"",IFERROR(SUMIFS(DATA_GOC!$H:$H,DATA_GOC!$A:$A,"BOM",DATA_GOC!$D:$D,$B366,DATA_GOC!$E:$E,"Dầu thủy lực",DATA_GOC!$F:$F,"Xuất nội bộ từ téc",DATA_GOC!$B:$B,DATE($D$2,$B$2,E$4)),0))</f>
        <v>0</v>
      </c>
      <c r="F366" s="251">
        <f>IF(F$4&gt;DAY(EOMONTH(DATE($D$2,$B$2,1),0)),"",IFERROR(SUMIFS(DATA_GOC!$H:$H,DATA_GOC!$A:$A,"BOM",DATA_GOC!$D:$D,$B366,DATA_GOC!$E:$E,"Dầu thủy lực",DATA_GOC!$F:$F,"Xuất nội bộ từ téc",DATA_GOC!$B:$B,DATE($D$2,$B$2,F$4)),0))</f>
        <v>0</v>
      </c>
      <c r="G366" s="251">
        <f>IF(G$4&gt;DAY(EOMONTH(DATE($D$2,$B$2,1),0)),"",IFERROR(SUMIFS(DATA_GOC!$H:$H,DATA_GOC!$A:$A,"BOM",DATA_GOC!$D:$D,$B366,DATA_GOC!$E:$E,"Dầu thủy lực",DATA_GOC!$F:$F,"Xuất nội bộ từ téc",DATA_GOC!$B:$B,DATE($D$2,$B$2,G$4)),0))</f>
        <v>0</v>
      </c>
      <c r="H366" s="251">
        <f>IF(H$4&gt;DAY(EOMONTH(DATE($D$2,$B$2,1),0)),"",IFERROR(SUMIFS(DATA_GOC!$H:$H,DATA_GOC!$A:$A,"BOM",DATA_GOC!$D:$D,$B366,DATA_GOC!$E:$E,"Dầu thủy lực",DATA_GOC!$F:$F,"Xuất nội bộ từ téc",DATA_GOC!$B:$B,DATE($D$2,$B$2,H$4)),0))</f>
        <v>0</v>
      </c>
      <c r="I366" s="251">
        <f>IF(I$4&gt;DAY(EOMONTH(DATE($D$2,$B$2,1),0)),"",IFERROR(SUMIFS(DATA_GOC!$H:$H,DATA_GOC!$A:$A,"BOM",DATA_GOC!$D:$D,$B366,DATA_GOC!$E:$E,"Dầu thủy lực",DATA_GOC!$F:$F,"Xuất nội bộ từ téc",DATA_GOC!$B:$B,DATE($D$2,$B$2,I$4)),0))</f>
        <v>0</v>
      </c>
      <c r="J366" s="251">
        <f>IF(J$4&gt;DAY(EOMONTH(DATE($D$2,$B$2,1),0)),"",IFERROR(SUMIFS(DATA_GOC!$H:$H,DATA_GOC!$A:$A,"BOM",DATA_GOC!$D:$D,$B366,DATA_GOC!$E:$E,"Dầu thủy lực",DATA_GOC!$F:$F,"Xuất nội bộ từ téc",DATA_GOC!$B:$B,DATE($D$2,$B$2,J$4)),0))</f>
        <v>0</v>
      </c>
      <c r="K366" s="251">
        <f>IF(K$4&gt;DAY(EOMONTH(DATE($D$2,$B$2,1),0)),"",IFERROR(SUMIFS(DATA_GOC!$H:$H,DATA_GOC!$A:$A,"BOM",DATA_GOC!$D:$D,$B366,DATA_GOC!$E:$E,"Dầu thủy lực",DATA_GOC!$F:$F,"Xuất nội bộ từ téc",DATA_GOC!$B:$B,DATE($D$2,$B$2,K$4)),0))</f>
        <v>0</v>
      </c>
      <c r="L366" s="251">
        <f>IF(L$4&gt;DAY(EOMONTH(DATE($D$2,$B$2,1),0)),"",IFERROR(SUMIFS(DATA_GOC!$H:$H,DATA_GOC!$A:$A,"BOM",DATA_GOC!$D:$D,$B366,DATA_GOC!$E:$E,"Dầu thủy lực",DATA_GOC!$F:$F,"Xuất nội bộ từ téc",DATA_GOC!$B:$B,DATE($D$2,$B$2,L$4)),0))</f>
        <v>0</v>
      </c>
      <c r="M366" s="251">
        <f>IF(M$4&gt;DAY(EOMONTH(DATE($D$2,$B$2,1),0)),"",IFERROR(SUMIFS(DATA_GOC!$H:$H,DATA_GOC!$A:$A,"BOM",DATA_GOC!$D:$D,$B366,DATA_GOC!$E:$E,"Dầu thủy lực",DATA_GOC!$F:$F,"Xuất nội bộ từ téc",DATA_GOC!$B:$B,DATE($D$2,$B$2,M$4)),0))</f>
        <v>0</v>
      </c>
      <c r="N366" s="251">
        <f>IF(N$4&gt;DAY(EOMONTH(DATE($D$2,$B$2,1),0)),"",IFERROR(SUMIFS(DATA_GOC!$H:$H,DATA_GOC!$A:$A,"BOM",DATA_GOC!$D:$D,$B366,DATA_GOC!$E:$E,"Dầu thủy lực",DATA_GOC!$F:$F,"Xuất nội bộ từ téc",DATA_GOC!$B:$B,DATE($D$2,$B$2,N$4)),0))</f>
        <v>0</v>
      </c>
      <c r="O366" s="251">
        <f>IF(O$4&gt;DAY(EOMONTH(DATE($D$2,$B$2,1),0)),"",IFERROR(SUMIFS(DATA_GOC!$H:$H,DATA_GOC!$A:$A,"BOM",DATA_GOC!$D:$D,$B366,DATA_GOC!$E:$E,"Dầu thủy lực",DATA_GOC!$F:$F,"Xuất nội bộ từ téc",DATA_GOC!$B:$B,DATE($D$2,$B$2,O$4)),0))</f>
        <v>0</v>
      </c>
      <c r="P366" s="251">
        <f>IF(P$4&gt;DAY(EOMONTH(DATE($D$2,$B$2,1),0)),"",IFERROR(SUMIFS(DATA_GOC!$H:$H,DATA_GOC!$A:$A,"BOM",DATA_GOC!$D:$D,$B366,DATA_GOC!$E:$E,"Dầu thủy lực",DATA_GOC!$F:$F,"Xuất nội bộ từ téc",DATA_GOC!$B:$B,DATE($D$2,$B$2,P$4)),0))</f>
        <v>0</v>
      </c>
      <c r="Q366" s="251">
        <f>IF(Q$4&gt;DAY(EOMONTH(DATE($D$2,$B$2,1),0)),"",IFERROR(SUMIFS(DATA_GOC!$H:$H,DATA_GOC!$A:$A,"BOM",DATA_GOC!$D:$D,$B366,DATA_GOC!$E:$E,"Dầu thủy lực",DATA_GOC!$F:$F,"Xuất nội bộ từ téc",DATA_GOC!$B:$B,DATE($D$2,$B$2,Q$4)),0))</f>
        <v>0</v>
      </c>
      <c r="R366" s="251">
        <f>IF(R$4&gt;DAY(EOMONTH(DATE($D$2,$B$2,1),0)),"",IFERROR(SUMIFS(DATA_GOC!$H:$H,DATA_GOC!$A:$A,"BOM",DATA_GOC!$D:$D,$B366,DATA_GOC!$E:$E,"Dầu thủy lực",DATA_GOC!$F:$F,"Xuất nội bộ từ téc",DATA_GOC!$B:$B,DATE($D$2,$B$2,R$4)),0))</f>
        <v>0</v>
      </c>
      <c r="S366" s="251">
        <f>IF(S$4&gt;DAY(EOMONTH(DATE($D$2,$B$2,1),0)),"",IFERROR(SUMIFS(DATA_GOC!$H:$H,DATA_GOC!$A:$A,"BOM",DATA_GOC!$D:$D,$B366,DATA_GOC!$E:$E,"Dầu thủy lực",DATA_GOC!$F:$F,"Xuất nội bộ từ téc",DATA_GOC!$B:$B,DATE($D$2,$B$2,S$4)),0))</f>
        <v>0</v>
      </c>
      <c r="T366" s="251">
        <f>IF(T$4&gt;DAY(EOMONTH(DATE($D$2,$B$2,1),0)),"",IFERROR(SUMIFS(DATA_GOC!$H:$H,DATA_GOC!$A:$A,"BOM",DATA_GOC!$D:$D,$B366,DATA_GOC!$E:$E,"Dầu thủy lực",DATA_GOC!$F:$F,"Xuất nội bộ từ téc",DATA_GOC!$B:$B,DATE($D$2,$B$2,T$4)),0))</f>
        <v>0</v>
      </c>
      <c r="U366" s="251">
        <f>IF(U$4&gt;DAY(EOMONTH(DATE($D$2,$B$2,1),0)),"",IFERROR(SUMIFS(DATA_GOC!$H:$H,DATA_GOC!$A:$A,"BOM",DATA_GOC!$D:$D,$B366,DATA_GOC!$E:$E,"Dầu thủy lực",DATA_GOC!$F:$F,"Xuất nội bộ từ téc",DATA_GOC!$B:$B,DATE($D$2,$B$2,U$4)),0))</f>
        <v>0</v>
      </c>
      <c r="V366" s="251">
        <f>IF(V$4&gt;DAY(EOMONTH(DATE($D$2,$B$2,1),0)),"",IFERROR(SUMIFS(DATA_GOC!$H:$H,DATA_GOC!$A:$A,"BOM",DATA_GOC!$D:$D,$B366,DATA_GOC!$E:$E,"Dầu thủy lực",DATA_GOC!$F:$F,"Xuất nội bộ từ téc",DATA_GOC!$B:$B,DATE($D$2,$B$2,V$4)),0))</f>
        <v>0</v>
      </c>
      <c r="W366" s="251">
        <f>IF(W$4&gt;DAY(EOMONTH(DATE($D$2,$B$2,1),0)),"",IFERROR(SUMIFS(DATA_GOC!$H:$H,DATA_GOC!$A:$A,"BOM",DATA_GOC!$D:$D,$B366,DATA_GOC!$E:$E,"Dầu thủy lực",DATA_GOC!$F:$F,"Xuất nội bộ từ téc",DATA_GOC!$B:$B,DATE($D$2,$B$2,W$4)),0))</f>
        <v>0</v>
      </c>
      <c r="X366" s="251">
        <f>IF(X$4&gt;DAY(EOMONTH(DATE($D$2,$B$2,1),0)),"",IFERROR(SUMIFS(DATA_GOC!$H:$H,DATA_GOC!$A:$A,"BOM",DATA_GOC!$D:$D,$B366,DATA_GOC!$E:$E,"Dầu thủy lực",DATA_GOC!$F:$F,"Xuất nội bộ từ téc",DATA_GOC!$B:$B,DATE($D$2,$B$2,X$4)),0))</f>
        <v>0</v>
      </c>
      <c r="Y366" s="251">
        <f>IF(Y$4&gt;DAY(EOMONTH(DATE($D$2,$B$2,1),0)),"",IFERROR(SUMIFS(DATA_GOC!$H:$H,DATA_GOC!$A:$A,"BOM",DATA_GOC!$D:$D,$B366,DATA_GOC!$E:$E,"Dầu thủy lực",DATA_GOC!$F:$F,"Xuất nội bộ từ téc",DATA_GOC!$B:$B,DATE($D$2,$B$2,Y$4)),0))</f>
        <v>0</v>
      </c>
      <c r="Z366" s="251">
        <f>IF(Z$4&gt;DAY(EOMONTH(DATE($D$2,$B$2,1),0)),"",IFERROR(SUMIFS(DATA_GOC!$H:$H,DATA_GOC!$A:$A,"BOM",DATA_GOC!$D:$D,$B366,DATA_GOC!$E:$E,"Dầu thủy lực",DATA_GOC!$F:$F,"Xuất nội bộ từ téc",DATA_GOC!$B:$B,DATE($D$2,$B$2,Z$4)),0))</f>
        <v>0</v>
      </c>
      <c r="AA366" s="251">
        <f>IF(AA$4&gt;DAY(EOMONTH(DATE($D$2,$B$2,1),0)),"",IFERROR(SUMIFS(DATA_GOC!$H:$H,DATA_GOC!$A:$A,"BOM",DATA_GOC!$D:$D,$B366,DATA_GOC!$E:$E,"Dầu thủy lực",DATA_GOC!$F:$F,"Xuất nội bộ từ téc",DATA_GOC!$B:$B,DATE($D$2,$B$2,AA$4)),0))</f>
        <v>0</v>
      </c>
      <c r="AB366" s="251">
        <f>IF(AB$4&gt;DAY(EOMONTH(DATE($D$2,$B$2,1),0)),"",IFERROR(SUMIFS(DATA_GOC!$H:$H,DATA_GOC!$A:$A,"BOM",DATA_GOC!$D:$D,$B366,DATA_GOC!$E:$E,"Dầu thủy lực",DATA_GOC!$F:$F,"Xuất nội bộ từ téc",DATA_GOC!$B:$B,DATE($D$2,$B$2,AB$4)),0))</f>
        <v>0</v>
      </c>
      <c r="AC366" s="251">
        <f>IF(AC$4&gt;DAY(EOMONTH(DATE($D$2,$B$2,1),0)),"",IFERROR(SUMIFS(DATA_GOC!$H:$H,DATA_GOC!$A:$A,"BOM",DATA_GOC!$D:$D,$B366,DATA_GOC!$E:$E,"Dầu thủy lực",DATA_GOC!$F:$F,"Xuất nội bộ từ téc",DATA_GOC!$B:$B,DATE($D$2,$B$2,AC$4)),0))</f>
        <v>0</v>
      </c>
      <c r="AD366" s="251">
        <f>IF(AD$4&gt;DAY(EOMONTH(DATE($D$2,$B$2,1),0)),"",IFERROR(SUMIFS(DATA_GOC!$H:$H,DATA_GOC!$A:$A,"BOM",DATA_GOC!$D:$D,$B366,DATA_GOC!$E:$E,"Dầu thủy lực",DATA_GOC!$F:$F,"Xuất nội bộ từ téc",DATA_GOC!$B:$B,DATE($D$2,$B$2,AD$4)),0))</f>
        <v>0</v>
      </c>
      <c r="AE366" s="251">
        <f>IF(AE$4&gt;DAY(EOMONTH(DATE($D$2,$B$2,1),0)),"",IFERROR(SUMIFS(DATA_GOC!$H:$H,DATA_GOC!$A:$A,"BOM",DATA_GOC!$D:$D,$B366,DATA_GOC!$E:$E,"Dầu thủy lực",DATA_GOC!$F:$F,"Xuất nội bộ từ téc",DATA_GOC!$B:$B,DATE($D$2,$B$2,AE$4)),0))</f>
        <v>0</v>
      </c>
      <c r="AF366" s="251">
        <f>IF(AF$4&gt;DAY(EOMONTH(DATE($D$2,$B$2,1),0)),"",IFERROR(SUMIFS(DATA_GOC!$H:$H,DATA_GOC!$A:$A,"BOM",DATA_GOC!$D:$D,$B366,DATA_GOC!$E:$E,"Dầu thủy lực",DATA_GOC!$F:$F,"Xuất nội bộ từ téc",DATA_GOC!$B:$B,DATE($D$2,$B$2,AF$4)),0))</f>
        <v>0</v>
      </c>
      <c r="AG366" s="251">
        <f>IF(AG$4&gt;DAY(EOMONTH(DATE($D$2,$B$2,1),0)),"",IFERROR(SUMIFS(DATA_GOC!$H:$H,DATA_GOC!$A:$A,"BOM",DATA_GOC!$D:$D,$B366,DATA_GOC!$E:$E,"Dầu thủy lực",DATA_GOC!$F:$F,"Xuất nội bộ từ téc",DATA_GOC!$B:$B,DATE($D$2,$B$2,AG$4)),0))</f>
        <v>0</v>
      </c>
      <c r="AH366" s="252">
        <f t="shared" si="16"/>
        <v>0</v>
      </c>
      <c r="AI366" s="241"/>
      <c r="AJ366" s="242">
        <f>IF($B366="","",SUMIFS(TINH_TEC!$K$233:$K$9232,TINH_TEC!$H$233:$H$9232,$B366,TINH_TEC!$C$233:$C$9232,"Dầu thủy lực",TINH_TEC!$F$233:$F$9232,$B$2,TINH_TEC!$G$233:$G$9232,$D$2,TINH_TEC!$B$233:$B$9232,"Đã chốt"))</f>
        <v>0</v>
      </c>
      <c r="AK366" s="242">
        <f>IF($B366="","",SUMIFS(TINH_TEC!$J$233:$J$9232,TINH_TEC!$H$233:$H$9232,$B366,TINH_TEC!$C$233:$C$9232,"Dầu thủy lực",TINH_TEC!$F$233:$F$9232,$B$2,TINH_TEC!$G$233:$G$9232,$D$2,TINH_TEC!$B$233:$B$9232,"Đã chốt"))</f>
        <v>0</v>
      </c>
      <c r="AL366" s="242">
        <f t="shared" si="17"/>
        <v>0</v>
      </c>
    </row>
    <row r="367" ht="15.75" customHeight="1">
      <c r="A367" s="237">
        <f>IF($B367&lt;&gt;"",57,"")</f>
        <v>57</v>
      </c>
      <c r="B367" s="250" t="str">
        <f t="array" ref="B367">IFERROR(INDEX(DANH_MUC!$E:$E,60),"")</f>
        <v>28C03044</v>
      </c>
      <c r="C367" s="251">
        <f>IF(C$4&gt;DAY(EOMONTH(DATE($D$2,$B$2,1),0)),"",IFERROR(SUMIFS(DATA_GOC!$H:$H,DATA_GOC!$A:$A,"BOM",DATA_GOC!$D:$D,$B367,DATA_GOC!$E:$E,"Dầu thủy lực",DATA_GOC!$F:$F,"Xuất nội bộ từ téc",DATA_GOC!$B:$B,DATE($D$2,$B$2,C$4)),0))</f>
        <v>0</v>
      </c>
      <c r="D367" s="251">
        <f>IF(D$4&gt;DAY(EOMONTH(DATE($D$2,$B$2,1),0)),"",IFERROR(SUMIFS(DATA_GOC!$H:$H,DATA_GOC!$A:$A,"BOM",DATA_GOC!$D:$D,$B367,DATA_GOC!$E:$E,"Dầu thủy lực",DATA_GOC!$F:$F,"Xuất nội bộ từ téc",DATA_GOC!$B:$B,DATE($D$2,$B$2,D$4)),0))</f>
        <v>0</v>
      </c>
      <c r="E367" s="251">
        <f>IF(E$4&gt;DAY(EOMONTH(DATE($D$2,$B$2,1),0)),"",IFERROR(SUMIFS(DATA_GOC!$H:$H,DATA_GOC!$A:$A,"BOM",DATA_GOC!$D:$D,$B367,DATA_GOC!$E:$E,"Dầu thủy lực",DATA_GOC!$F:$F,"Xuất nội bộ từ téc",DATA_GOC!$B:$B,DATE($D$2,$B$2,E$4)),0))</f>
        <v>0</v>
      </c>
      <c r="F367" s="251">
        <f>IF(F$4&gt;DAY(EOMONTH(DATE($D$2,$B$2,1),0)),"",IFERROR(SUMIFS(DATA_GOC!$H:$H,DATA_GOC!$A:$A,"BOM",DATA_GOC!$D:$D,$B367,DATA_GOC!$E:$E,"Dầu thủy lực",DATA_GOC!$F:$F,"Xuất nội bộ từ téc",DATA_GOC!$B:$B,DATE($D$2,$B$2,F$4)),0))</f>
        <v>0</v>
      </c>
      <c r="G367" s="251">
        <f>IF(G$4&gt;DAY(EOMONTH(DATE($D$2,$B$2,1),0)),"",IFERROR(SUMIFS(DATA_GOC!$H:$H,DATA_GOC!$A:$A,"BOM",DATA_GOC!$D:$D,$B367,DATA_GOC!$E:$E,"Dầu thủy lực",DATA_GOC!$F:$F,"Xuất nội bộ từ téc",DATA_GOC!$B:$B,DATE($D$2,$B$2,G$4)),0))</f>
        <v>0</v>
      </c>
      <c r="H367" s="251">
        <f>IF(H$4&gt;DAY(EOMONTH(DATE($D$2,$B$2,1),0)),"",IFERROR(SUMIFS(DATA_GOC!$H:$H,DATA_GOC!$A:$A,"BOM",DATA_GOC!$D:$D,$B367,DATA_GOC!$E:$E,"Dầu thủy lực",DATA_GOC!$F:$F,"Xuất nội bộ từ téc",DATA_GOC!$B:$B,DATE($D$2,$B$2,H$4)),0))</f>
        <v>0</v>
      </c>
      <c r="I367" s="251">
        <f>IF(I$4&gt;DAY(EOMONTH(DATE($D$2,$B$2,1),0)),"",IFERROR(SUMIFS(DATA_GOC!$H:$H,DATA_GOC!$A:$A,"BOM",DATA_GOC!$D:$D,$B367,DATA_GOC!$E:$E,"Dầu thủy lực",DATA_GOC!$F:$F,"Xuất nội bộ từ téc",DATA_GOC!$B:$B,DATE($D$2,$B$2,I$4)),0))</f>
        <v>0</v>
      </c>
      <c r="J367" s="251">
        <f>IF(J$4&gt;DAY(EOMONTH(DATE($D$2,$B$2,1),0)),"",IFERROR(SUMIFS(DATA_GOC!$H:$H,DATA_GOC!$A:$A,"BOM",DATA_GOC!$D:$D,$B367,DATA_GOC!$E:$E,"Dầu thủy lực",DATA_GOC!$F:$F,"Xuất nội bộ từ téc",DATA_GOC!$B:$B,DATE($D$2,$B$2,J$4)),0))</f>
        <v>0</v>
      </c>
      <c r="K367" s="251">
        <f>IF(K$4&gt;DAY(EOMONTH(DATE($D$2,$B$2,1),0)),"",IFERROR(SUMIFS(DATA_GOC!$H:$H,DATA_GOC!$A:$A,"BOM",DATA_GOC!$D:$D,$B367,DATA_GOC!$E:$E,"Dầu thủy lực",DATA_GOC!$F:$F,"Xuất nội bộ từ téc",DATA_GOC!$B:$B,DATE($D$2,$B$2,K$4)),0))</f>
        <v>0</v>
      </c>
      <c r="L367" s="251">
        <f>IF(L$4&gt;DAY(EOMONTH(DATE($D$2,$B$2,1),0)),"",IFERROR(SUMIFS(DATA_GOC!$H:$H,DATA_GOC!$A:$A,"BOM",DATA_GOC!$D:$D,$B367,DATA_GOC!$E:$E,"Dầu thủy lực",DATA_GOC!$F:$F,"Xuất nội bộ từ téc",DATA_GOC!$B:$B,DATE($D$2,$B$2,L$4)),0))</f>
        <v>0</v>
      </c>
      <c r="M367" s="251">
        <f>IF(M$4&gt;DAY(EOMONTH(DATE($D$2,$B$2,1),0)),"",IFERROR(SUMIFS(DATA_GOC!$H:$H,DATA_GOC!$A:$A,"BOM",DATA_GOC!$D:$D,$B367,DATA_GOC!$E:$E,"Dầu thủy lực",DATA_GOC!$F:$F,"Xuất nội bộ từ téc",DATA_GOC!$B:$B,DATE($D$2,$B$2,M$4)),0))</f>
        <v>0</v>
      </c>
      <c r="N367" s="251">
        <f>IF(N$4&gt;DAY(EOMONTH(DATE($D$2,$B$2,1),0)),"",IFERROR(SUMIFS(DATA_GOC!$H:$H,DATA_GOC!$A:$A,"BOM",DATA_GOC!$D:$D,$B367,DATA_GOC!$E:$E,"Dầu thủy lực",DATA_GOC!$F:$F,"Xuất nội bộ từ téc",DATA_GOC!$B:$B,DATE($D$2,$B$2,N$4)),0))</f>
        <v>0</v>
      </c>
      <c r="O367" s="251">
        <f>IF(O$4&gt;DAY(EOMONTH(DATE($D$2,$B$2,1),0)),"",IFERROR(SUMIFS(DATA_GOC!$H:$H,DATA_GOC!$A:$A,"BOM",DATA_GOC!$D:$D,$B367,DATA_GOC!$E:$E,"Dầu thủy lực",DATA_GOC!$F:$F,"Xuất nội bộ từ téc",DATA_GOC!$B:$B,DATE($D$2,$B$2,O$4)),0))</f>
        <v>0</v>
      </c>
      <c r="P367" s="251">
        <f>IF(P$4&gt;DAY(EOMONTH(DATE($D$2,$B$2,1),0)),"",IFERROR(SUMIFS(DATA_GOC!$H:$H,DATA_GOC!$A:$A,"BOM",DATA_GOC!$D:$D,$B367,DATA_GOC!$E:$E,"Dầu thủy lực",DATA_GOC!$F:$F,"Xuất nội bộ từ téc",DATA_GOC!$B:$B,DATE($D$2,$B$2,P$4)),0))</f>
        <v>0</v>
      </c>
      <c r="Q367" s="251">
        <f>IF(Q$4&gt;DAY(EOMONTH(DATE($D$2,$B$2,1),0)),"",IFERROR(SUMIFS(DATA_GOC!$H:$H,DATA_GOC!$A:$A,"BOM",DATA_GOC!$D:$D,$B367,DATA_GOC!$E:$E,"Dầu thủy lực",DATA_GOC!$F:$F,"Xuất nội bộ từ téc",DATA_GOC!$B:$B,DATE($D$2,$B$2,Q$4)),0))</f>
        <v>0</v>
      </c>
      <c r="R367" s="251">
        <f>IF(R$4&gt;DAY(EOMONTH(DATE($D$2,$B$2,1),0)),"",IFERROR(SUMIFS(DATA_GOC!$H:$H,DATA_GOC!$A:$A,"BOM",DATA_GOC!$D:$D,$B367,DATA_GOC!$E:$E,"Dầu thủy lực",DATA_GOC!$F:$F,"Xuất nội bộ từ téc",DATA_GOC!$B:$B,DATE($D$2,$B$2,R$4)),0))</f>
        <v>0</v>
      </c>
      <c r="S367" s="251">
        <f>IF(S$4&gt;DAY(EOMONTH(DATE($D$2,$B$2,1),0)),"",IFERROR(SUMIFS(DATA_GOC!$H:$H,DATA_GOC!$A:$A,"BOM",DATA_GOC!$D:$D,$B367,DATA_GOC!$E:$E,"Dầu thủy lực",DATA_GOC!$F:$F,"Xuất nội bộ từ téc",DATA_GOC!$B:$B,DATE($D$2,$B$2,S$4)),0))</f>
        <v>0</v>
      </c>
      <c r="T367" s="251">
        <f>IF(T$4&gt;DAY(EOMONTH(DATE($D$2,$B$2,1),0)),"",IFERROR(SUMIFS(DATA_GOC!$H:$H,DATA_GOC!$A:$A,"BOM",DATA_GOC!$D:$D,$B367,DATA_GOC!$E:$E,"Dầu thủy lực",DATA_GOC!$F:$F,"Xuất nội bộ từ téc",DATA_GOC!$B:$B,DATE($D$2,$B$2,T$4)),0))</f>
        <v>0</v>
      </c>
      <c r="U367" s="251">
        <f>IF(U$4&gt;DAY(EOMONTH(DATE($D$2,$B$2,1),0)),"",IFERROR(SUMIFS(DATA_GOC!$H:$H,DATA_GOC!$A:$A,"BOM",DATA_GOC!$D:$D,$B367,DATA_GOC!$E:$E,"Dầu thủy lực",DATA_GOC!$F:$F,"Xuất nội bộ từ téc",DATA_GOC!$B:$B,DATE($D$2,$B$2,U$4)),0))</f>
        <v>0</v>
      </c>
      <c r="V367" s="251">
        <f>IF(V$4&gt;DAY(EOMONTH(DATE($D$2,$B$2,1),0)),"",IFERROR(SUMIFS(DATA_GOC!$H:$H,DATA_GOC!$A:$A,"BOM",DATA_GOC!$D:$D,$B367,DATA_GOC!$E:$E,"Dầu thủy lực",DATA_GOC!$F:$F,"Xuất nội bộ từ téc",DATA_GOC!$B:$B,DATE($D$2,$B$2,V$4)),0))</f>
        <v>0</v>
      </c>
      <c r="W367" s="251">
        <f>IF(W$4&gt;DAY(EOMONTH(DATE($D$2,$B$2,1),0)),"",IFERROR(SUMIFS(DATA_GOC!$H:$H,DATA_GOC!$A:$A,"BOM",DATA_GOC!$D:$D,$B367,DATA_GOC!$E:$E,"Dầu thủy lực",DATA_GOC!$F:$F,"Xuất nội bộ từ téc",DATA_GOC!$B:$B,DATE($D$2,$B$2,W$4)),0))</f>
        <v>0</v>
      </c>
      <c r="X367" s="251">
        <f>IF(X$4&gt;DAY(EOMONTH(DATE($D$2,$B$2,1),0)),"",IFERROR(SUMIFS(DATA_GOC!$H:$H,DATA_GOC!$A:$A,"BOM",DATA_GOC!$D:$D,$B367,DATA_GOC!$E:$E,"Dầu thủy lực",DATA_GOC!$F:$F,"Xuất nội bộ từ téc",DATA_GOC!$B:$B,DATE($D$2,$B$2,X$4)),0))</f>
        <v>0</v>
      </c>
      <c r="Y367" s="251">
        <f>IF(Y$4&gt;DAY(EOMONTH(DATE($D$2,$B$2,1),0)),"",IFERROR(SUMIFS(DATA_GOC!$H:$H,DATA_GOC!$A:$A,"BOM",DATA_GOC!$D:$D,$B367,DATA_GOC!$E:$E,"Dầu thủy lực",DATA_GOC!$F:$F,"Xuất nội bộ từ téc",DATA_GOC!$B:$B,DATE($D$2,$B$2,Y$4)),0))</f>
        <v>0</v>
      </c>
      <c r="Z367" s="251">
        <f>IF(Z$4&gt;DAY(EOMONTH(DATE($D$2,$B$2,1),0)),"",IFERROR(SUMIFS(DATA_GOC!$H:$H,DATA_GOC!$A:$A,"BOM",DATA_GOC!$D:$D,$B367,DATA_GOC!$E:$E,"Dầu thủy lực",DATA_GOC!$F:$F,"Xuất nội bộ từ téc",DATA_GOC!$B:$B,DATE($D$2,$B$2,Z$4)),0))</f>
        <v>0</v>
      </c>
      <c r="AA367" s="251">
        <f>IF(AA$4&gt;DAY(EOMONTH(DATE($D$2,$B$2,1),0)),"",IFERROR(SUMIFS(DATA_GOC!$H:$H,DATA_GOC!$A:$A,"BOM",DATA_GOC!$D:$D,$B367,DATA_GOC!$E:$E,"Dầu thủy lực",DATA_GOC!$F:$F,"Xuất nội bộ từ téc",DATA_GOC!$B:$B,DATE($D$2,$B$2,AA$4)),0))</f>
        <v>0</v>
      </c>
      <c r="AB367" s="251">
        <f>IF(AB$4&gt;DAY(EOMONTH(DATE($D$2,$B$2,1),0)),"",IFERROR(SUMIFS(DATA_GOC!$H:$H,DATA_GOC!$A:$A,"BOM",DATA_GOC!$D:$D,$B367,DATA_GOC!$E:$E,"Dầu thủy lực",DATA_GOC!$F:$F,"Xuất nội bộ từ téc",DATA_GOC!$B:$B,DATE($D$2,$B$2,AB$4)),0))</f>
        <v>0</v>
      </c>
      <c r="AC367" s="251">
        <f>IF(AC$4&gt;DAY(EOMONTH(DATE($D$2,$B$2,1),0)),"",IFERROR(SUMIFS(DATA_GOC!$H:$H,DATA_GOC!$A:$A,"BOM",DATA_GOC!$D:$D,$B367,DATA_GOC!$E:$E,"Dầu thủy lực",DATA_GOC!$F:$F,"Xuất nội bộ từ téc",DATA_GOC!$B:$B,DATE($D$2,$B$2,AC$4)),0))</f>
        <v>0</v>
      </c>
      <c r="AD367" s="251">
        <f>IF(AD$4&gt;DAY(EOMONTH(DATE($D$2,$B$2,1),0)),"",IFERROR(SUMIFS(DATA_GOC!$H:$H,DATA_GOC!$A:$A,"BOM",DATA_GOC!$D:$D,$B367,DATA_GOC!$E:$E,"Dầu thủy lực",DATA_GOC!$F:$F,"Xuất nội bộ từ téc",DATA_GOC!$B:$B,DATE($D$2,$B$2,AD$4)),0))</f>
        <v>0</v>
      </c>
      <c r="AE367" s="251">
        <f>IF(AE$4&gt;DAY(EOMONTH(DATE($D$2,$B$2,1),0)),"",IFERROR(SUMIFS(DATA_GOC!$H:$H,DATA_GOC!$A:$A,"BOM",DATA_GOC!$D:$D,$B367,DATA_GOC!$E:$E,"Dầu thủy lực",DATA_GOC!$F:$F,"Xuất nội bộ từ téc",DATA_GOC!$B:$B,DATE($D$2,$B$2,AE$4)),0))</f>
        <v>0</v>
      </c>
      <c r="AF367" s="251">
        <f>IF(AF$4&gt;DAY(EOMONTH(DATE($D$2,$B$2,1),0)),"",IFERROR(SUMIFS(DATA_GOC!$H:$H,DATA_GOC!$A:$A,"BOM",DATA_GOC!$D:$D,$B367,DATA_GOC!$E:$E,"Dầu thủy lực",DATA_GOC!$F:$F,"Xuất nội bộ từ téc",DATA_GOC!$B:$B,DATE($D$2,$B$2,AF$4)),0))</f>
        <v>0</v>
      </c>
      <c r="AG367" s="251">
        <f>IF(AG$4&gt;DAY(EOMONTH(DATE($D$2,$B$2,1),0)),"",IFERROR(SUMIFS(DATA_GOC!$H:$H,DATA_GOC!$A:$A,"BOM",DATA_GOC!$D:$D,$B367,DATA_GOC!$E:$E,"Dầu thủy lực",DATA_GOC!$F:$F,"Xuất nội bộ từ téc",DATA_GOC!$B:$B,DATE($D$2,$B$2,AG$4)),0))</f>
        <v>0</v>
      </c>
      <c r="AH367" s="252">
        <f t="shared" si="16"/>
        <v>0</v>
      </c>
      <c r="AI367" s="241"/>
      <c r="AJ367" s="242">
        <f>IF($B367="","",SUMIFS(TINH_TEC!$K$233:$K$9232,TINH_TEC!$H$233:$H$9232,$B367,TINH_TEC!$C$233:$C$9232,"Dầu thủy lực",TINH_TEC!$F$233:$F$9232,$B$2,TINH_TEC!$G$233:$G$9232,$D$2,TINH_TEC!$B$233:$B$9232,"Đã chốt"))</f>
        <v>0</v>
      </c>
      <c r="AK367" s="242">
        <f>IF($B367="","",SUMIFS(TINH_TEC!$J$233:$J$9232,TINH_TEC!$H$233:$H$9232,$B367,TINH_TEC!$C$233:$C$9232,"Dầu thủy lực",TINH_TEC!$F$233:$F$9232,$B$2,TINH_TEC!$G$233:$G$9232,$D$2,TINH_TEC!$B$233:$B$9232,"Đã chốt"))</f>
        <v>0</v>
      </c>
      <c r="AL367" s="242">
        <f t="shared" si="17"/>
        <v>0</v>
      </c>
    </row>
    <row r="368" ht="15.75" customHeight="1">
      <c r="A368" s="237">
        <f>IF($B368&lt;&gt;"",58,"")</f>
        <v>58</v>
      </c>
      <c r="B368" s="250" t="str">
        <f t="array" ref="B368">IFERROR(INDEX(DANH_MUC!$E:$E,61),"")</f>
        <v>Máy lu lốp</v>
      </c>
      <c r="C368" s="251">
        <f>IF(C$4&gt;DAY(EOMONTH(DATE($D$2,$B$2,1),0)),"",IFERROR(SUMIFS(DATA_GOC!$H:$H,DATA_GOC!$A:$A,"BOM",DATA_GOC!$D:$D,$B368,DATA_GOC!$E:$E,"Dầu thủy lực",DATA_GOC!$F:$F,"Xuất nội bộ từ téc",DATA_GOC!$B:$B,DATE($D$2,$B$2,C$4)),0))</f>
        <v>0</v>
      </c>
      <c r="D368" s="251">
        <f>IF(D$4&gt;DAY(EOMONTH(DATE($D$2,$B$2,1),0)),"",IFERROR(SUMIFS(DATA_GOC!$H:$H,DATA_GOC!$A:$A,"BOM",DATA_GOC!$D:$D,$B368,DATA_GOC!$E:$E,"Dầu thủy lực",DATA_GOC!$F:$F,"Xuất nội bộ từ téc",DATA_GOC!$B:$B,DATE($D$2,$B$2,D$4)),0))</f>
        <v>0</v>
      </c>
      <c r="E368" s="251">
        <f>IF(E$4&gt;DAY(EOMONTH(DATE($D$2,$B$2,1),0)),"",IFERROR(SUMIFS(DATA_GOC!$H:$H,DATA_GOC!$A:$A,"BOM",DATA_GOC!$D:$D,$B368,DATA_GOC!$E:$E,"Dầu thủy lực",DATA_GOC!$F:$F,"Xuất nội bộ từ téc",DATA_GOC!$B:$B,DATE($D$2,$B$2,E$4)),0))</f>
        <v>0</v>
      </c>
      <c r="F368" s="251">
        <f>IF(F$4&gt;DAY(EOMONTH(DATE($D$2,$B$2,1),0)),"",IFERROR(SUMIFS(DATA_GOC!$H:$H,DATA_GOC!$A:$A,"BOM",DATA_GOC!$D:$D,$B368,DATA_GOC!$E:$E,"Dầu thủy lực",DATA_GOC!$F:$F,"Xuất nội bộ từ téc",DATA_GOC!$B:$B,DATE($D$2,$B$2,F$4)),0))</f>
        <v>0</v>
      </c>
      <c r="G368" s="251">
        <f>IF(G$4&gt;DAY(EOMONTH(DATE($D$2,$B$2,1),0)),"",IFERROR(SUMIFS(DATA_GOC!$H:$H,DATA_GOC!$A:$A,"BOM",DATA_GOC!$D:$D,$B368,DATA_GOC!$E:$E,"Dầu thủy lực",DATA_GOC!$F:$F,"Xuất nội bộ từ téc",DATA_GOC!$B:$B,DATE($D$2,$B$2,G$4)),0))</f>
        <v>0</v>
      </c>
      <c r="H368" s="251">
        <f>IF(H$4&gt;DAY(EOMONTH(DATE($D$2,$B$2,1),0)),"",IFERROR(SUMIFS(DATA_GOC!$H:$H,DATA_GOC!$A:$A,"BOM",DATA_GOC!$D:$D,$B368,DATA_GOC!$E:$E,"Dầu thủy lực",DATA_GOC!$F:$F,"Xuất nội bộ từ téc",DATA_GOC!$B:$B,DATE($D$2,$B$2,H$4)),0))</f>
        <v>0</v>
      </c>
      <c r="I368" s="251">
        <f>IF(I$4&gt;DAY(EOMONTH(DATE($D$2,$B$2,1),0)),"",IFERROR(SUMIFS(DATA_GOC!$H:$H,DATA_GOC!$A:$A,"BOM",DATA_GOC!$D:$D,$B368,DATA_GOC!$E:$E,"Dầu thủy lực",DATA_GOC!$F:$F,"Xuất nội bộ từ téc",DATA_GOC!$B:$B,DATE($D$2,$B$2,I$4)),0))</f>
        <v>0</v>
      </c>
      <c r="J368" s="251">
        <f>IF(J$4&gt;DAY(EOMONTH(DATE($D$2,$B$2,1),0)),"",IFERROR(SUMIFS(DATA_GOC!$H:$H,DATA_GOC!$A:$A,"BOM",DATA_GOC!$D:$D,$B368,DATA_GOC!$E:$E,"Dầu thủy lực",DATA_GOC!$F:$F,"Xuất nội bộ từ téc",DATA_GOC!$B:$B,DATE($D$2,$B$2,J$4)),0))</f>
        <v>0</v>
      </c>
      <c r="K368" s="251">
        <f>IF(K$4&gt;DAY(EOMONTH(DATE($D$2,$B$2,1),0)),"",IFERROR(SUMIFS(DATA_GOC!$H:$H,DATA_GOC!$A:$A,"BOM",DATA_GOC!$D:$D,$B368,DATA_GOC!$E:$E,"Dầu thủy lực",DATA_GOC!$F:$F,"Xuất nội bộ từ téc",DATA_GOC!$B:$B,DATE($D$2,$B$2,K$4)),0))</f>
        <v>0</v>
      </c>
      <c r="L368" s="251">
        <f>IF(L$4&gt;DAY(EOMONTH(DATE($D$2,$B$2,1),0)),"",IFERROR(SUMIFS(DATA_GOC!$H:$H,DATA_GOC!$A:$A,"BOM",DATA_GOC!$D:$D,$B368,DATA_GOC!$E:$E,"Dầu thủy lực",DATA_GOC!$F:$F,"Xuất nội bộ từ téc",DATA_GOC!$B:$B,DATE($D$2,$B$2,L$4)),0))</f>
        <v>0</v>
      </c>
      <c r="M368" s="251">
        <f>IF(M$4&gt;DAY(EOMONTH(DATE($D$2,$B$2,1),0)),"",IFERROR(SUMIFS(DATA_GOC!$H:$H,DATA_GOC!$A:$A,"BOM",DATA_GOC!$D:$D,$B368,DATA_GOC!$E:$E,"Dầu thủy lực",DATA_GOC!$F:$F,"Xuất nội bộ từ téc",DATA_GOC!$B:$B,DATE($D$2,$B$2,M$4)),0))</f>
        <v>0</v>
      </c>
      <c r="N368" s="251">
        <f>IF(N$4&gt;DAY(EOMONTH(DATE($D$2,$B$2,1),0)),"",IFERROR(SUMIFS(DATA_GOC!$H:$H,DATA_GOC!$A:$A,"BOM",DATA_GOC!$D:$D,$B368,DATA_GOC!$E:$E,"Dầu thủy lực",DATA_GOC!$F:$F,"Xuất nội bộ từ téc",DATA_GOC!$B:$B,DATE($D$2,$B$2,N$4)),0))</f>
        <v>0</v>
      </c>
      <c r="O368" s="251">
        <f>IF(O$4&gt;DAY(EOMONTH(DATE($D$2,$B$2,1),0)),"",IFERROR(SUMIFS(DATA_GOC!$H:$H,DATA_GOC!$A:$A,"BOM",DATA_GOC!$D:$D,$B368,DATA_GOC!$E:$E,"Dầu thủy lực",DATA_GOC!$F:$F,"Xuất nội bộ từ téc",DATA_GOC!$B:$B,DATE($D$2,$B$2,O$4)),0))</f>
        <v>0</v>
      </c>
      <c r="P368" s="251">
        <f>IF(P$4&gt;DAY(EOMONTH(DATE($D$2,$B$2,1),0)),"",IFERROR(SUMIFS(DATA_GOC!$H:$H,DATA_GOC!$A:$A,"BOM",DATA_GOC!$D:$D,$B368,DATA_GOC!$E:$E,"Dầu thủy lực",DATA_GOC!$F:$F,"Xuất nội bộ từ téc",DATA_GOC!$B:$B,DATE($D$2,$B$2,P$4)),0))</f>
        <v>0</v>
      </c>
      <c r="Q368" s="251">
        <f>IF(Q$4&gt;DAY(EOMONTH(DATE($D$2,$B$2,1),0)),"",IFERROR(SUMIFS(DATA_GOC!$H:$H,DATA_GOC!$A:$A,"BOM",DATA_GOC!$D:$D,$B368,DATA_GOC!$E:$E,"Dầu thủy lực",DATA_GOC!$F:$F,"Xuất nội bộ từ téc",DATA_GOC!$B:$B,DATE($D$2,$B$2,Q$4)),0))</f>
        <v>0</v>
      </c>
      <c r="R368" s="251">
        <f>IF(R$4&gt;DAY(EOMONTH(DATE($D$2,$B$2,1),0)),"",IFERROR(SUMIFS(DATA_GOC!$H:$H,DATA_GOC!$A:$A,"BOM",DATA_GOC!$D:$D,$B368,DATA_GOC!$E:$E,"Dầu thủy lực",DATA_GOC!$F:$F,"Xuất nội bộ từ téc",DATA_GOC!$B:$B,DATE($D$2,$B$2,R$4)),0))</f>
        <v>0</v>
      </c>
      <c r="S368" s="251">
        <f>IF(S$4&gt;DAY(EOMONTH(DATE($D$2,$B$2,1),0)),"",IFERROR(SUMIFS(DATA_GOC!$H:$H,DATA_GOC!$A:$A,"BOM",DATA_GOC!$D:$D,$B368,DATA_GOC!$E:$E,"Dầu thủy lực",DATA_GOC!$F:$F,"Xuất nội bộ từ téc",DATA_GOC!$B:$B,DATE($D$2,$B$2,S$4)),0))</f>
        <v>0</v>
      </c>
      <c r="T368" s="251">
        <f>IF(T$4&gt;DAY(EOMONTH(DATE($D$2,$B$2,1),0)),"",IFERROR(SUMIFS(DATA_GOC!$H:$H,DATA_GOC!$A:$A,"BOM",DATA_GOC!$D:$D,$B368,DATA_GOC!$E:$E,"Dầu thủy lực",DATA_GOC!$F:$F,"Xuất nội bộ từ téc",DATA_GOC!$B:$B,DATE($D$2,$B$2,T$4)),0))</f>
        <v>0</v>
      </c>
      <c r="U368" s="251">
        <f>IF(U$4&gt;DAY(EOMONTH(DATE($D$2,$B$2,1),0)),"",IFERROR(SUMIFS(DATA_GOC!$H:$H,DATA_GOC!$A:$A,"BOM",DATA_GOC!$D:$D,$B368,DATA_GOC!$E:$E,"Dầu thủy lực",DATA_GOC!$F:$F,"Xuất nội bộ từ téc",DATA_GOC!$B:$B,DATE($D$2,$B$2,U$4)),0))</f>
        <v>0</v>
      </c>
      <c r="V368" s="251">
        <f>IF(V$4&gt;DAY(EOMONTH(DATE($D$2,$B$2,1),0)),"",IFERROR(SUMIFS(DATA_GOC!$H:$H,DATA_GOC!$A:$A,"BOM",DATA_GOC!$D:$D,$B368,DATA_GOC!$E:$E,"Dầu thủy lực",DATA_GOC!$F:$F,"Xuất nội bộ từ téc",DATA_GOC!$B:$B,DATE($D$2,$B$2,V$4)),0))</f>
        <v>0</v>
      </c>
      <c r="W368" s="251">
        <f>IF(W$4&gt;DAY(EOMONTH(DATE($D$2,$B$2,1),0)),"",IFERROR(SUMIFS(DATA_GOC!$H:$H,DATA_GOC!$A:$A,"BOM",DATA_GOC!$D:$D,$B368,DATA_GOC!$E:$E,"Dầu thủy lực",DATA_GOC!$F:$F,"Xuất nội bộ từ téc",DATA_GOC!$B:$B,DATE($D$2,$B$2,W$4)),0))</f>
        <v>0</v>
      </c>
      <c r="X368" s="251">
        <f>IF(X$4&gt;DAY(EOMONTH(DATE($D$2,$B$2,1),0)),"",IFERROR(SUMIFS(DATA_GOC!$H:$H,DATA_GOC!$A:$A,"BOM",DATA_GOC!$D:$D,$B368,DATA_GOC!$E:$E,"Dầu thủy lực",DATA_GOC!$F:$F,"Xuất nội bộ từ téc",DATA_GOC!$B:$B,DATE($D$2,$B$2,X$4)),0))</f>
        <v>0</v>
      </c>
      <c r="Y368" s="251">
        <f>IF(Y$4&gt;DAY(EOMONTH(DATE($D$2,$B$2,1),0)),"",IFERROR(SUMIFS(DATA_GOC!$H:$H,DATA_GOC!$A:$A,"BOM",DATA_GOC!$D:$D,$B368,DATA_GOC!$E:$E,"Dầu thủy lực",DATA_GOC!$F:$F,"Xuất nội bộ từ téc",DATA_GOC!$B:$B,DATE($D$2,$B$2,Y$4)),0))</f>
        <v>0</v>
      </c>
      <c r="Z368" s="251">
        <f>IF(Z$4&gt;DAY(EOMONTH(DATE($D$2,$B$2,1),0)),"",IFERROR(SUMIFS(DATA_GOC!$H:$H,DATA_GOC!$A:$A,"BOM",DATA_GOC!$D:$D,$B368,DATA_GOC!$E:$E,"Dầu thủy lực",DATA_GOC!$F:$F,"Xuất nội bộ từ téc",DATA_GOC!$B:$B,DATE($D$2,$B$2,Z$4)),0))</f>
        <v>0</v>
      </c>
      <c r="AA368" s="251">
        <f>IF(AA$4&gt;DAY(EOMONTH(DATE($D$2,$B$2,1),0)),"",IFERROR(SUMIFS(DATA_GOC!$H:$H,DATA_GOC!$A:$A,"BOM",DATA_GOC!$D:$D,$B368,DATA_GOC!$E:$E,"Dầu thủy lực",DATA_GOC!$F:$F,"Xuất nội bộ từ téc",DATA_GOC!$B:$B,DATE($D$2,$B$2,AA$4)),0))</f>
        <v>0</v>
      </c>
      <c r="AB368" s="251">
        <f>IF(AB$4&gt;DAY(EOMONTH(DATE($D$2,$B$2,1),0)),"",IFERROR(SUMIFS(DATA_GOC!$H:$H,DATA_GOC!$A:$A,"BOM",DATA_GOC!$D:$D,$B368,DATA_GOC!$E:$E,"Dầu thủy lực",DATA_GOC!$F:$F,"Xuất nội bộ từ téc",DATA_GOC!$B:$B,DATE($D$2,$B$2,AB$4)),0))</f>
        <v>0</v>
      </c>
      <c r="AC368" s="251">
        <f>IF(AC$4&gt;DAY(EOMONTH(DATE($D$2,$B$2,1),0)),"",IFERROR(SUMIFS(DATA_GOC!$H:$H,DATA_GOC!$A:$A,"BOM",DATA_GOC!$D:$D,$B368,DATA_GOC!$E:$E,"Dầu thủy lực",DATA_GOC!$F:$F,"Xuất nội bộ từ téc",DATA_GOC!$B:$B,DATE($D$2,$B$2,AC$4)),0))</f>
        <v>0</v>
      </c>
      <c r="AD368" s="251">
        <f>IF(AD$4&gt;DAY(EOMONTH(DATE($D$2,$B$2,1),0)),"",IFERROR(SUMIFS(DATA_GOC!$H:$H,DATA_GOC!$A:$A,"BOM",DATA_GOC!$D:$D,$B368,DATA_GOC!$E:$E,"Dầu thủy lực",DATA_GOC!$F:$F,"Xuất nội bộ từ téc",DATA_GOC!$B:$B,DATE($D$2,$B$2,AD$4)),0))</f>
        <v>0</v>
      </c>
      <c r="AE368" s="251">
        <f>IF(AE$4&gt;DAY(EOMONTH(DATE($D$2,$B$2,1),0)),"",IFERROR(SUMIFS(DATA_GOC!$H:$H,DATA_GOC!$A:$A,"BOM",DATA_GOC!$D:$D,$B368,DATA_GOC!$E:$E,"Dầu thủy lực",DATA_GOC!$F:$F,"Xuất nội bộ từ téc",DATA_GOC!$B:$B,DATE($D$2,$B$2,AE$4)),0))</f>
        <v>0</v>
      </c>
      <c r="AF368" s="251">
        <f>IF(AF$4&gt;DAY(EOMONTH(DATE($D$2,$B$2,1),0)),"",IFERROR(SUMIFS(DATA_GOC!$H:$H,DATA_GOC!$A:$A,"BOM",DATA_GOC!$D:$D,$B368,DATA_GOC!$E:$E,"Dầu thủy lực",DATA_GOC!$F:$F,"Xuất nội bộ từ téc",DATA_GOC!$B:$B,DATE($D$2,$B$2,AF$4)),0))</f>
        <v>0</v>
      </c>
      <c r="AG368" s="251">
        <f>IF(AG$4&gt;DAY(EOMONTH(DATE($D$2,$B$2,1),0)),"",IFERROR(SUMIFS(DATA_GOC!$H:$H,DATA_GOC!$A:$A,"BOM",DATA_GOC!$D:$D,$B368,DATA_GOC!$E:$E,"Dầu thủy lực",DATA_GOC!$F:$F,"Xuất nội bộ từ téc",DATA_GOC!$B:$B,DATE($D$2,$B$2,AG$4)),0))</f>
        <v>0</v>
      </c>
      <c r="AH368" s="252">
        <f t="shared" si="16"/>
        <v>0</v>
      </c>
      <c r="AI368" s="241"/>
      <c r="AJ368" s="242">
        <f>IF($B368="","",SUMIFS(TINH_TEC!$K$233:$K$9232,TINH_TEC!$H$233:$H$9232,$B368,TINH_TEC!$C$233:$C$9232,"Dầu thủy lực",TINH_TEC!$F$233:$F$9232,$B$2,TINH_TEC!$G$233:$G$9232,$D$2,TINH_TEC!$B$233:$B$9232,"Đã chốt"))</f>
        <v>0</v>
      </c>
      <c r="AK368" s="242">
        <f>IF($B368="","",SUMIFS(TINH_TEC!$J$233:$J$9232,TINH_TEC!$H$233:$H$9232,$B368,TINH_TEC!$C$233:$C$9232,"Dầu thủy lực",TINH_TEC!$F$233:$F$9232,$B$2,TINH_TEC!$G$233:$G$9232,$D$2,TINH_TEC!$B$233:$B$9232,"Đã chốt"))</f>
        <v>0</v>
      </c>
      <c r="AL368" s="242">
        <f t="shared" si="17"/>
        <v>0</v>
      </c>
    </row>
    <row r="369" ht="18.0" customHeight="1">
      <c r="A369" s="212"/>
      <c r="B369" s="253" t="s">
        <v>550</v>
      </c>
      <c r="C369" s="254">
        <f t="shared" ref="C369:AL369" si="18">SUM(C311:C368)</f>
        <v>0</v>
      </c>
      <c r="D369" s="254">
        <f t="shared" si="18"/>
        <v>0</v>
      </c>
      <c r="E369" s="254">
        <f t="shared" si="18"/>
        <v>0</v>
      </c>
      <c r="F369" s="254">
        <f t="shared" si="18"/>
        <v>0</v>
      </c>
      <c r="G369" s="254">
        <f t="shared" si="18"/>
        <v>0</v>
      </c>
      <c r="H369" s="254">
        <f t="shared" si="18"/>
        <v>0</v>
      </c>
      <c r="I369" s="254">
        <f t="shared" si="18"/>
        <v>0</v>
      </c>
      <c r="J369" s="254">
        <f t="shared" si="18"/>
        <v>0</v>
      </c>
      <c r="K369" s="254">
        <f t="shared" si="18"/>
        <v>0</v>
      </c>
      <c r="L369" s="254">
        <f t="shared" si="18"/>
        <v>0</v>
      </c>
      <c r="M369" s="254">
        <f t="shared" si="18"/>
        <v>0</v>
      </c>
      <c r="N369" s="254">
        <f t="shared" si="18"/>
        <v>0</v>
      </c>
      <c r="O369" s="254">
        <f t="shared" si="18"/>
        <v>0</v>
      </c>
      <c r="P369" s="254">
        <f t="shared" si="18"/>
        <v>0</v>
      </c>
      <c r="Q369" s="254">
        <f t="shared" si="18"/>
        <v>0</v>
      </c>
      <c r="R369" s="254">
        <f t="shared" si="18"/>
        <v>0</v>
      </c>
      <c r="S369" s="254">
        <f t="shared" si="18"/>
        <v>0</v>
      </c>
      <c r="T369" s="254">
        <f t="shared" si="18"/>
        <v>0</v>
      </c>
      <c r="U369" s="254">
        <f t="shared" si="18"/>
        <v>0</v>
      </c>
      <c r="V369" s="254">
        <f t="shared" si="18"/>
        <v>0</v>
      </c>
      <c r="W369" s="254">
        <f t="shared" si="18"/>
        <v>0</v>
      </c>
      <c r="X369" s="254">
        <f t="shared" si="18"/>
        <v>0</v>
      </c>
      <c r="Y369" s="254">
        <f t="shared" si="18"/>
        <v>0</v>
      </c>
      <c r="Z369" s="254">
        <f t="shared" si="18"/>
        <v>0</v>
      </c>
      <c r="AA369" s="254">
        <f t="shared" si="18"/>
        <v>0</v>
      </c>
      <c r="AB369" s="254">
        <f t="shared" si="18"/>
        <v>0</v>
      </c>
      <c r="AC369" s="254">
        <f t="shared" si="18"/>
        <v>0</v>
      </c>
      <c r="AD369" s="254">
        <f t="shared" si="18"/>
        <v>0</v>
      </c>
      <c r="AE369" s="254">
        <f t="shared" si="18"/>
        <v>0</v>
      </c>
      <c r="AF369" s="254">
        <f t="shared" si="18"/>
        <v>0</v>
      </c>
      <c r="AG369" s="254">
        <f t="shared" si="18"/>
        <v>0</v>
      </c>
      <c r="AH369" s="255">
        <f t="shared" si="18"/>
        <v>0</v>
      </c>
      <c r="AI369" s="256">
        <f t="shared" si="18"/>
        <v>0</v>
      </c>
      <c r="AJ369" s="257">
        <f t="shared" si="18"/>
        <v>0</v>
      </c>
      <c r="AK369" s="257">
        <f t="shared" si="18"/>
        <v>0</v>
      </c>
      <c r="AL369" s="257">
        <f t="shared" si="18"/>
        <v>0</v>
      </c>
    </row>
    <row r="370" ht="15.75" customHeight="1">
      <c r="A370" s="237"/>
      <c r="B370" s="250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2"/>
      <c r="AI370" s="241"/>
      <c r="AJ370" s="242"/>
      <c r="AK370" s="242"/>
      <c r="AL370" s="242"/>
    </row>
    <row r="371" ht="18.0" customHeight="1">
      <c r="A371" s="249" t="s">
        <v>551</v>
      </c>
    </row>
    <row r="372" ht="15.75" customHeight="1">
      <c r="A372" s="237">
        <f>IF($B372&lt;&gt;"",1,"")</f>
        <v>1</v>
      </c>
      <c r="B372" s="250" t="str">
        <f t="array" ref="B372">IFERROR(INDEX(DANH_MUC!$E:$E,4),"")</f>
        <v>19H09482</v>
      </c>
      <c r="C372" s="251">
        <f>IF(C$4&gt;DAY(EOMONTH(DATE($D$2,$B$2,1),0)),"",IFERROR(SUMIFS(DATA_GOC!$H:$H,DATA_GOC!$A:$A,"BOM",DATA_GOC!$D:$D,$B372,DATA_GOC!$E:$E,"Dầu cầu",DATA_GOC!$F:$F,"Xuất nội bộ từ téc",DATA_GOC!$B:$B,DATE($D$2,$B$2,C$4)),0))</f>
        <v>0</v>
      </c>
      <c r="D372" s="251">
        <f>IF(D$4&gt;DAY(EOMONTH(DATE($D$2,$B$2,1),0)),"",IFERROR(SUMIFS(DATA_GOC!$H:$H,DATA_GOC!$A:$A,"BOM",DATA_GOC!$D:$D,$B372,DATA_GOC!$E:$E,"Dầu cầu",DATA_GOC!$F:$F,"Xuất nội bộ từ téc",DATA_GOC!$B:$B,DATE($D$2,$B$2,D$4)),0))</f>
        <v>0</v>
      </c>
      <c r="E372" s="251">
        <f>IF(E$4&gt;DAY(EOMONTH(DATE($D$2,$B$2,1),0)),"",IFERROR(SUMIFS(DATA_GOC!$H:$H,DATA_GOC!$A:$A,"BOM",DATA_GOC!$D:$D,$B372,DATA_GOC!$E:$E,"Dầu cầu",DATA_GOC!$F:$F,"Xuất nội bộ từ téc",DATA_GOC!$B:$B,DATE($D$2,$B$2,E$4)),0))</f>
        <v>0</v>
      </c>
      <c r="F372" s="251">
        <f>IF(F$4&gt;DAY(EOMONTH(DATE($D$2,$B$2,1),0)),"",IFERROR(SUMIFS(DATA_GOC!$H:$H,DATA_GOC!$A:$A,"BOM",DATA_GOC!$D:$D,$B372,DATA_GOC!$E:$E,"Dầu cầu",DATA_GOC!$F:$F,"Xuất nội bộ từ téc",DATA_GOC!$B:$B,DATE($D$2,$B$2,F$4)),0))</f>
        <v>0</v>
      </c>
      <c r="G372" s="251">
        <f>IF(G$4&gt;DAY(EOMONTH(DATE($D$2,$B$2,1),0)),"",IFERROR(SUMIFS(DATA_GOC!$H:$H,DATA_GOC!$A:$A,"BOM",DATA_GOC!$D:$D,$B372,DATA_GOC!$E:$E,"Dầu cầu",DATA_GOC!$F:$F,"Xuất nội bộ từ téc",DATA_GOC!$B:$B,DATE($D$2,$B$2,G$4)),0))</f>
        <v>0</v>
      </c>
      <c r="H372" s="251">
        <f>IF(H$4&gt;DAY(EOMONTH(DATE($D$2,$B$2,1),0)),"",IFERROR(SUMIFS(DATA_GOC!$H:$H,DATA_GOC!$A:$A,"BOM",DATA_GOC!$D:$D,$B372,DATA_GOC!$E:$E,"Dầu cầu",DATA_GOC!$F:$F,"Xuất nội bộ từ téc",DATA_GOC!$B:$B,DATE($D$2,$B$2,H$4)),0))</f>
        <v>0</v>
      </c>
      <c r="I372" s="251">
        <f>IF(I$4&gt;DAY(EOMONTH(DATE($D$2,$B$2,1),0)),"",IFERROR(SUMIFS(DATA_GOC!$H:$H,DATA_GOC!$A:$A,"BOM",DATA_GOC!$D:$D,$B372,DATA_GOC!$E:$E,"Dầu cầu",DATA_GOC!$F:$F,"Xuất nội bộ từ téc",DATA_GOC!$B:$B,DATE($D$2,$B$2,I$4)),0))</f>
        <v>0</v>
      </c>
      <c r="J372" s="251">
        <f>IF(J$4&gt;DAY(EOMONTH(DATE($D$2,$B$2,1),0)),"",IFERROR(SUMIFS(DATA_GOC!$H:$H,DATA_GOC!$A:$A,"BOM",DATA_GOC!$D:$D,$B372,DATA_GOC!$E:$E,"Dầu cầu",DATA_GOC!$F:$F,"Xuất nội bộ từ téc",DATA_GOC!$B:$B,DATE($D$2,$B$2,J$4)),0))</f>
        <v>0</v>
      </c>
      <c r="K372" s="251">
        <f>IF(K$4&gt;DAY(EOMONTH(DATE($D$2,$B$2,1),0)),"",IFERROR(SUMIFS(DATA_GOC!$H:$H,DATA_GOC!$A:$A,"BOM",DATA_GOC!$D:$D,$B372,DATA_GOC!$E:$E,"Dầu cầu",DATA_GOC!$F:$F,"Xuất nội bộ từ téc",DATA_GOC!$B:$B,DATE($D$2,$B$2,K$4)),0))</f>
        <v>0</v>
      </c>
      <c r="L372" s="251">
        <f>IF(L$4&gt;DAY(EOMONTH(DATE($D$2,$B$2,1),0)),"",IFERROR(SUMIFS(DATA_GOC!$H:$H,DATA_GOC!$A:$A,"BOM",DATA_GOC!$D:$D,$B372,DATA_GOC!$E:$E,"Dầu cầu",DATA_GOC!$F:$F,"Xuất nội bộ từ téc",DATA_GOC!$B:$B,DATE($D$2,$B$2,L$4)),0))</f>
        <v>0</v>
      </c>
      <c r="M372" s="251">
        <f>IF(M$4&gt;DAY(EOMONTH(DATE($D$2,$B$2,1),0)),"",IFERROR(SUMIFS(DATA_GOC!$H:$H,DATA_GOC!$A:$A,"BOM",DATA_GOC!$D:$D,$B372,DATA_GOC!$E:$E,"Dầu cầu",DATA_GOC!$F:$F,"Xuất nội bộ từ téc",DATA_GOC!$B:$B,DATE($D$2,$B$2,M$4)),0))</f>
        <v>0</v>
      </c>
      <c r="N372" s="251">
        <f>IF(N$4&gt;DAY(EOMONTH(DATE($D$2,$B$2,1),0)),"",IFERROR(SUMIFS(DATA_GOC!$H:$H,DATA_GOC!$A:$A,"BOM",DATA_GOC!$D:$D,$B372,DATA_GOC!$E:$E,"Dầu cầu",DATA_GOC!$F:$F,"Xuất nội bộ từ téc",DATA_GOC!$B:$B,DATE($D$2,$B$2,N$4)),0))</f>
        <v>0</v>
      </c>
      <c r="O372" s="251">
        <f>IF(O$4&gt;DAY(EOMONTH(DATE($D$2,$B$2,1),0)),"",IFERROR(SUMIFS(DATA_GOC!$H:$H,DATA_GOC!$A:$A,"BOM",DATA_GOC!$D:$D,$B372,DATA_GOC!$E:$E,"Dầu cầu",DATA_GOC!$F:$F,"Xuất nội bộ từ téc",DATA_GOC!$B:$B,DATE($D$2,$B$2,O$4)),0))</f>
        <v>0</v>
      </c>
      <c r="P372" s="251">
        <f>IF(P$4&gt;DAY(EOMONTH(DATE($D$2,$B$2,1),0)),"",IFERROR(SUMIFS(DATA_GOC!$H:$H,DATA_GOC!$A:$A,"BOM",DATA_GOC!$D:$D,$B372,DATA_GOC!$E:$E,"Dầu cầu",DATA_GOC!$F:$F,"Xuất nội bộ từ téc",DATA_GOC!$B:$B,DATE($D$2,$B$2,P$4)),0))</f>
        <v>0</v>
      </c>
      <c r="Q372" s="251">
        <f>IF(Q$4&gt;DAY(EOMONTH(DATE($D$2,$B$2,1),0)),"",IFERROR(SUMIFS(DATA_GOC!$H:$H,DATA_GOC!$A:$A,"BOM",DATA_GOC!$D:$D,$B372,DATA_GOC!$E:$E,"Dầu cầu",DATA_GOC!$F:$F,"Xuất nội bộ từ téc",DATA_GOC!$B:$B,DATE($D$2,$B$2,Q$4)),0))</f>
        <v>0</v>
      </c>
      <c r="R372" s="251">
        <f>IF(R$4&gt;DAY(EOMONTH(DATE($D$2,$B$2,1),0)),"",IFERROR(SUMIFS(DATA_GOC!$H:$H,DATA_GOC!$A:$A,"BOM",DATA_GOC!$D:$D,$B372,DATA_GOC!$E:$E,"Dầu cầu",DATA_GOC!$F:$F,"Xuất nội bộ từ téc",DATA_GOC!$B:$B,DATE($D$2,$B$2,R$4)),0))</f>
        <v>0</v>
      </c>
      <c r="S372" s="251">
        <f>IF(S$4&gt;DAY(EOMONTH(DATE($D$2,$B$2,1),0)),"",IFERROR(SUMIFS(DATA_GOC!$H:$H,DATA_GOC!$A:$A,"BOM",DATA_GOC!$D:$D,$B372,DATA_GOC!$E:$E,"Dầu cầu",DATA_GOC!$F:$F,"Xuất nội bộ từ téc",DATA_GOC!$B:$B,DATE($D$2,$B$2,S$4)),0))</f>
        <v>0</v>
      </c>
      <c r="T372" s="251">
        <f>IF(T$4&gt;DAY(EOMONTH(DATE($D$2,$B$2,1),0)),"",IFERROR(SUMIFS(DATA_GOC!$H:$H,DATA_GOC!$A:$A,"BOM",DATA_GOC!$D:$D,$B372,DATA_GOC!$E:$E,"Dầu cầu",DATA_GOC!$F:$F,"Xuất nội bộ từ téc",DATA_GOC!$B:$B,DATE($D$2,$B$2,T$4)),0))</f>
        <v>0</v>
      </c>
      <c r="U372" s="251">
        <f>IF(U$4&gt;DAY(EOMONTH(DATE($D$2,$B$2,1),0)),"",IFERROR(SUMIFS(DATA_GOC!$H:$H,DATA_GOC!$A:$A,"BOM",DATA_GOC!$D:$D,$B372,DATA_GOC!$E:$E,"Dầu cầu",DATA_GOC!$F:$F,"Xuất nội bộ từ téc",DATA_GOC!$B:$B,DATE($D$2,$B$2,U$4)),0))</f>
        <v>0</v>
      </c>
      <c r="V372" s="251">
        <f>IF(V$4&gt;DAY(EOMONTH(DATE($D$2,$B$2,1),0)),"",IFERROR(SUMIFS(DATA_GOC!$H:$H,DATA_GOC!$A:$A,"BOM",DATA_GOC!$D:$D,$B372,DATA_GOC!$E:$E,"Dầu cầu",DATA_GOC!$F:$F,"Xuất nội bộ từ téc",DATA_GOC!$B:$B,DATE($D$2,$B$2,V$4)),0))</f>
        <v>0</v>
      </c>
      <c r="W372" s="251">
        <f>IF(W$4&gt;DAY(EOMONTH(DATE($D$2,$B$2,1),0)),"",IFERROR(SUMIFS(DATA_GOC!$H:$H,DATA_GOC!$A:$A,"BOM",DATA_GOC!$D:$D,$B372,DATA_GOC!$E:$E,"Dầu cầu",DATA_GOC!$F:$F,"Xuất nội bộ từ téc",DATA_GOC!$B:$B,DATE($D$2,$B$2,W$4)),0))</f>
        <v>0</v>
      </c>
      <c r="X372" s="251">
        <f>IF(X$4&gt;DAY(EOMONTH(DATE($D$2,$B$2,1),0)),"",IFERROR(SUMIFS(DATA_GOC!$H:$H,DATA_GOC!$A:$A,"BOM",DATA_GOC!$D:$D,$B372,DATA_GOC!$E:$E,"Dầu cầu",DATA_GOC!$F:$F,"Xuất nội bộ từ téc",DATA_GOC!$B:$B,DATE($D$2,$B$2,X$4)),0))</f>
        <v>0</v>
      </c>
      <c r="Y372" s="251">
        <f>IF(Y$4&gt;DAY(EOMONTH(DATE($D$2,$B$2,1),0)),"",IFERROR(SUMIFS(DATA_GOC!$H:$H,DATA_GOC!$A:$A,"BOM",DATA_GOC!$D:$D,$B372,DATA_GOC!$E:$E,"Dầu cầu",DATA_GOC!$F:$F,"Xuất nội bộ từ téc",DATA_GOC!$B:$B,DATE($D$2,$B$2,Y$4)),0))</f>
        <v>0</v>
      </c>
      <c r="Z372" s="251">
        <f>IF(Z$4&gt;DAY(EOMONTH(DATE($D$2,$B$2,1),0)),"",IFERROR(SUMIFS(DATA_GOC!$H:$H,DATA_GOC!$A:$A,"BOM",DATA_GOC!$D:$D,$B372,DATA_GOC!$E:$E,"Dầu cầu",DATA_GOC!$F:$F,"Xuất nội bộ từ téc",DATA_GOC!$B:$B,DATE($D$2,$B$2,Z$4)),0))</f>
        <v>0</v>
      </c>
      <c r="AA372" s="251">
        <f>IF(AA$4&gt;DAY(EOMONTH(DATE($D$2,$B$2,1),0)),"",IFERROR(SUMIFS(DATA_GOC!$H:$H,DATA_GOC!$A:$A,"BOM",DATA_GOC!$D:$D,$B372,DATA_GOC!$E:$E,"Dầu cầu",DATA_GOC!$F:$F,"Xuất nội bộ từ téc",DATA_GOC!$B:$B,DATE($D$2,$B$2,AA$4)),0))</f>
        <v>0</v>
      </c>
      <c r="AB372" s="251">
        <f>IF(AB$4&gt;DAY(EOMONTH(DATE($D$2,$B$2,1),0)),"",IFERROR(SUMIFS(DATA_GOC!$H:$H,DATA_GOC!$A:$A,"BOM",DATA_GOC!$D:$D,$B372,DATA_GOC!$E:$E,"Dầu cầu",DATA_GOC!$F:$F,"Xuất nội bộ từ téc",DATA_GOC!$B:$B,DATE($D$2,$B$2,AB$4)),0))</f>
        <v>0</v>
      </c>
      <c r="AC372" s="251">
        <f>IF(AC$4&gt;DAY(EOMONTH(DATE($D$2,$B$2,1),0)),"",IFERROR(SUMIFS(DATA_GOC!$H:$H,DATA_GOC!$A:$A,"BOM",DATA_GOC!$D:$D,$B372,DATA_GOC!$E:$E,"Dầu cầu",DATA_GOC!$F:$F,"Xuất nội bộ từ téc",DATA_GOC!$B:$B,DATE($D$2,$B$2,AC$4)),0))</f>
        <v>0</v>
      </c>
      <c r="AD372" s="251">
        <f>IF(AD$4&gt;DAY(EOMONTH(DATE($D$2,$B$2,1),0)),"",IFERROR(SUMIFS(DATA_GOC!$H:$H,DATA_GOC!$A:$A,"BOM",DATA_GOC!$D:$D,$B372,DATA_GOC!$E:$E,"Dầu cầu",DATA_GOC!$F:$F,"Xuất nội bộ từ téc",DATA_GOC!$B:$B,DATE($D$2,$B$2,AD$4)),0))</f>
        <v>0</v>
      </c>
      <c r="AE372" s="251">
        <f>IF(AE$4&gt;DAY(EOMONTH(DATE($D$2,$B$2,1),0)),"",IFERROR(SUMIFS(DATA_GOC!$H:$H,DATA_GOC!$A:$A,"BOM",DATA_GOC!$D:$D,$B372,DATA_GOC!$E:$E,"Dầu cầu",DATA_GOC!$F:$F,"Xuất nội bộ từ téc",DATA_GOC!$B:$B,DATE($D$2,$B$2,AE$4)),0))</f>
        <v>0</v>
      </c>
      <c r="AF372" s="251">
        <f>IF(AF$4&gt;DAY(EOMONTH(DATE($D$2,$B$2,1),0)),"",IFERROR(SUMIFS(DATA_GOC!$H:$H,DATA_GOC!$A:$A,"BOM",DATA_GOC!$D:$D,$B372,DATA_GOC!$E:$E,"Dầu cầu",DATA_GOC!$F:$F,"Xuất nội bộ từ téc",DATA_GOC!$B:$B,DATE($D$2,$B$2,AF$4)),0))</f>
        <v>0</v>
      </c>
      <c r="AG372" s="251">
        <f>IF(AG$4&gt;DAY(EOMONTH(DATE($D$2,$B$2,1),0)),"",IFERROR(SUMIFS(DATA_GOC!$H:$H,DATA_GOC!$A:$A,"BOM",DATA_GOC!$D:$D,$B372,DATA_GOC!$E:$E,"Dầu cầu",DATA_GOC!$F:$F,"Xuất nội bộ từ téc",DATA_GOC!$B:$B,DATE($D$2,$B$2,AG$4)),0))</f>
        <v>0</v>
      </c>
      <c r="AH372" s="252">
        <f t="shared" ref="AH372:AH429" si="19">SUM(C372:AG372)</f>
        <v>0</v>
      </c>
      <c r="AI372" s="241"/>
      <c r="AJ372" s="242">
        <f>IF($B372="","",SUMIFS(TINH_TEC!$K$233:$K$9232,TINH_TEC!$H$233:$H$9232,$B372,TINH_TEC!$C$233:$C$9232,"Dầu cầu",TINH_TEC!$F$233:$F$9232,$B$2,TINH_TEC!$G$233:$G$9232,$D$2,TINH_TEC!$B$233:$B$9232,"Đã chốt"))</f>
        <v>0</v>
      </c>
      <c r="AK372" s="242">
        <f>IF($B372="","",SUMIFS(TINH_TEC!$J$233:$J$9232,TINH_TEC!$H$233:$H$9232,$B372,TINH_TEC!$C$233:$C$9232,"Dầu cầu",TINH_TEC!$F$233:$F$9232,$B$2,TINH_TEC!$G$233:$G$9232,$D$2,TINH_TEC!$B$233:$B$9232,"Đã chốt"))</f>
        <v>0</v>
      </c>
      <c r="AL372" s="242">
        <f t="shared" ref="AL372:AL429" si="20">IF($B372="","",N(AH372)+N(AI372)+N(AK372)-N(AJ372))</f>
        <v>0</v>
      </c>
    </row>
    <row r="373" ht="15.75" customHeight="1">
      <c r="A373" s="237">
        <f>IF($B373&lt;&gt;"",2,"")</f>
        <v>2</v>
      </c>
      <c r="B373" s="250" t="str">
        <f t="array" ref="B373">IFERROR(INDEX(DANH_MUC!$E:$E,5),"")</f>
        <v>28A30696</v>
      </c>
      <c r="C373" s="251">
        <f>IF(C$4&gt;DAY(EOMONTH(DATE($D$2,$B$2,1),0)),"",IFERROR(SUMIFS(DATA_GOC!$H:$H,DATA_GOC!$A:$A,"BOM",DATA_GOC!$D:$D,$B373,DATA_GOC!$E:$E,"Dầu cầu",DATA_GOC!$F:$F,"Xuất nội bộ từ téc",DATA_GOC!$B:$B,DATE($D$2,$B$2,C$4)),0))</f>
        <v>0</v>
      </c>
      <c r="D373" s="251">
        <f>IF(D$4&gt;DAY(EOMONTH(DATE($D$2,$B$2,1),0)),"",IFERROR(SUMIFS(DATA_GOC!$H:$H,DATA_GOC!$A:$A,"BOM",DATA_GOC!$D:$D,$B373,DATA_GOC!$E:$E,"Dầu cầu",DATA_GOC!$F:$F,"Xuất nội bộ từ téc",DATA_GOC!$B:$B,DATE($D$2,$B$2,D$4)),0))</f>
        <v>0</v>
      </c>
      <c r="E373" s="251">
        <f>IF(E$4&gt;DAY(EOMONTH(DATE($D$2,$B$2,1),0)),"",IFERROR(SUMIFS(DATA_GOC!$H:$H,DATA_GOC!$A:$A,"BOM",DATA_GOC!$D:$D,$B373,DATA_GOC!$E:$E,"Dầu cầu",DATA_GOC!$F:$F,"Xuất nội bộ từ téc",DATA_GOC!$B:$B,DATE($D$2,$B$2,E$4)),0))</f>
        <v>0</v>
      </c>
      <c r="F373" s="251">
        <f>IF(F$4&gt;DAY(EOMONTH(DATE($D$2,$B$2,1),0)),"",IFERROR(SUMIFS(DATA_GOC!$H:$H,DATA_GOC!$A:$A,"BOM",DATA_GOC!$D:$D,$B373,DATA_GOC!$E:$E,"Dầu cầu",DATA_GOC!$F:$F,"Xuất nội bộ từ téc",DATA_GOC!$B:$B,DATE($D$2,$B$2,F$4)),0))</f>
        <v>0</v>
      </c>
      <c r="G373" s="251">
        <f>IF(G$4&gt;DAY(EOMONTH(DATE($D$2,$B$2,1),0)),"",IFERROR(SUMIFS(DATA_GOC!$H:$H,DATA_GOC!$A:$A,"BOM",DATA_GOC!$D:$D,$B373,DATA_GOC!$E:$E,"Dầu cầu",DATA_GOC!$F:$F,"Xuất nội bộ từ téc",DATA_GOC!$B:$B,DATE($D$2,$B$2,G$4)),0))</f>
        <v>0</v>
      </c>
      <c r="H373" s="251">
        <f>IF(H$4&gt;DAY(EOMONTH(DATE($D$2,$B$2,1),0)),"",IFERROR(SUMIFS(DATA_GOC!$H:$H,DATA_GOC!$A:$A,"BOM",DATA_GOC!$D:$D,$B373,DATA_GOC!$E:$E,"Dầu cầu",DATA_GOC!$F:$F,"Xuất nội bộ từ téc",DATA_GOC!$B:$B,DATE($D$2,$B$2,H$4)),0))</f>
        <v>0</v>
      </c>
      <c r="I373" s="251">
        <f>IF(I$4&gt;DAY(EOMONTH(DATE($D$2,$B$2,1),0)),"",IFERROR(SUMIFS(DATA_GOC!$H:$H,DATA_GOC!$A:$A,"BOM",DATA_GOC!$D:$D,$B373,DATA_GOC!$E:$E,"Dầu cầu",DATA_GOC!$F:$F,"Xuất nội bộ từ téc",DATA_GOC!$B:$B,DATE($D$2,$B$2,I$4)),0))</f>
        <v>0</v>
      </c>
      <c r="J373" s="251">
        <f>IF(J$4&gt;DAY(EOMONTH(DATE($D$2,$B$2,1),0)),"",IFERROR(SUMIFS(DATA_GOC!$H:$H,DATA_GOC!$A:$A,"BOM",DATA_GOC!$D:$D,$B373,DATA_GOC!$E:$E,"Dầu cầu",DATA_GOC!$F:$F,"Xuất nội bộ từ téc",DATA_GOC!$B:$B,DATE($D$2,$B$2,J$4)),0))</f>
        <v>0</v>
      </c>
      <c r="K373" s="251">
        <f>IF(K$4&gt;DAY(EOMONTH(DATE($D$2,$B$2,1),0)),"",IFERROR(SUMIFS(DATA_GOC!$H:$H,DATA_GOC!$A:$A,"BOM",DATA_GOC!$D:$D,$B373,DATA_GOC!$E:$E,"Dầu cầu",DATA_GOC!$F:$F,"Xuất nội bộ từ téc",DATA_GOC!$B:$B,DATE($D$2,$B$2,K$4)),0))</f>
        <v>0</v>
      </c>
      <c r="L373" s="251">
        <f>IF(L$4&gt;DAY(EOMONTH(DATE($D$2,$B$2,1),0)),"",IFERROR(SUMIFS(DATA_GOC!$H:$H,DATA_GOC!$A:$A,"BOM",DATA_GOC!$D:$D,$B373,DATA_GOC!$E:$E,"Dầu cầu",DATA_GOC!$F:$F,"Xuất nội bộ từ téc",DATA_GOC!$B:$B,DATE($D$2,$B$2,L$4)),0))</f>
        <v>0</v>
      </c>
      <c r="M373" s="251">
        <f>IF(M$4&gt;DAY(EOMONTH(DATE($D$2,$B$2,1),0)),"",IFERROR(SUMIFS(DATA_GOC!$H:$H,DATA_GOC!$A:$A,"BOM",DATA_GOC!$D:$D,$B373,DATA_GOC!$E:$E,"Dầu cầu",DATA_GOC!$F:$F,"Xuất nội bộ từ téc",DATA_GOC!$B:$B,DATE($D$2,$B$2,M$4)),0))</f>
        <v>0</v>
      </c>
      <c r="N373" s="251">
        <f>IF(N$4&gt;DAY(EOMONTH(DATE($D$2,$B$2,1),0)),"",IFERROR(SUMIFS(DATA_GOC!$H:$H,DATA_GOC!$A:$A,"BOM",DATA_GOC!$D:$D,$B373,DATA_GOC!$E:$E,"Dầu cầu",DATA_GOC!$F:$F,"Xuất nội bộ từ téc",DATA_GOC!$B:$B,DATE($D$2,$B$2,N$4)),0))</f>
        <v>0</v>
      </c>
      <c r="O373" s="251">
        <f>IF(O$4&gt;DAY(EOMONTH(DATE($D$2,$B$2,1),0)),"",IFERROR(SUMIFS(DATA_GOC!$H:$H,DATA_GOC!$A:$A,"BOM",DATA_GOC!$D:$D,$B373,DATA_GOC!$E:$E,"Dầu cầu",DATA_GOC!$F:$F,"Xuất nội bộ từ téc",DATA_GOC!$B:$B,DATE($D$2,$B$2,O$4)),0))</f>
        <v>0</v>
      </c>
      <c r="P373" s="251">
        <f>IF(P$4&gt;DAY(EOMONTH(DATE($D$2,$B$2,1),0)),"",IFERROR(SUMIFS(DATA_GOC!$H:$H,DATA_GOC!$A:$A,"BOM",DATA_GOC!$D:$D,$B373,DATA_GOC!$E:$E,"Dầu cầu",DATA_GOC!$F:$F,"Xuất nội bộ từ téc",DATA_GOC!$B:$B,DATE($D$2,$B$2,P$4)),0))</f>
        <v>0</v>
      </c>
      <c r="Q373" s="251">
        <f>IF(Q$4&gt;DAY(EOMONTH(DATE($D$2,$B$2,1),0)),"",IFERROR(SUMIFS(DATA_GOC!$H:$H,DATA_GOC!$A:$A,"BOM",DATA_GOC!$D:$D,$B373,DATA_GOC!$E:$E,"Dầu cầu",DATA_GOC!$F:$F,"Xuất nội bộ từ téc",DATA_GOC!$B:$B,DATE($D$2,$B$2,Q$4)),0))</f>
        <v>0</v>
      </c>
      <c r="R373" s="251">
        <f>IF(R$4&gt;DAY(EOMONTH(DATE($D$2,$B$2,1),0)),"",IFERROR(SUMIFS(DATA_GOC!$H:$H,DATA_GOC!$A:$A,"BOM",DATA_GOC!$D:$D,$B373,DATA_GOC!$E:$E,"Dầu cầu",DATA_GOC!$F:$F,"Xuất nội bộ từ téc",DATA_GOC!$B:$B,DATE($D$2,$B$2,R$4)),0))</f>
        <v>0</v>
      </c>
      <c r="S373" s="251">
        <f>IF(S$4&gt;DAY(EOMONTH(DATE($D$2,$B$2,1),0)),"",IFERROR(SUMIFS(DATA_GOC!$H:$H,DATA_GOC!$A:$A,"BOM",DATA_GOC!$D:$D,$B373,DATA_GOC!$E:$E,"Dầu cầu",DATA_GOC!$F:$F,"Xuất nội bộ từ téc",DATA_GOC!$B:$B,DATE($D$2,$B$2,S$4)),0))</f>
        <v>0</v>
      </c>
      <c r="T373" s="251">
        <f>IF(T$4&gt;DAY(EOMONTH(DATE($D$2,$B$2,1),0)),"",IFERROR(SUMIFS(DATA_GOC!$H:$H,DATA_GOC!$A:$A,"BOM",DATA_GOC!$D:$D,$B373,DATA_GOC!$E:$E,"Dầu cầu",DATA_GOC!$F:$F,"Xuất nội bộ từ téc",DATA_GOC!$B:$B,DATE($D$2,$B$2,T$4)),0))</f>
        <v>0</v>
      </c>
      <c r="U373" s="251">
        <f>IF(U$4&gt;DAY(EOMONTH(DATE($D$2,$B$2,1),0)),"",IFERROR(SUMIFS(DATA_GOC!$H:$H,DATA_GOC!$A:$A,"BOM",DATA_GOC!$D:$D,$B373,DATA_GOC!$E:$E,"Dầu cầu",DATA_GOC!$F:$F,"Xuất nội bộ từ téc",DATA_GOC!$B:$B,DATE($D$2,$B$2,U$4)),0))</f>
        <v>0</v>
      </c>
      <c r="V373" s="251">
        <f>IF(V$4&gt;DAY(EOMONTH(DATE($D$2,$B$2,1),0)),"",IFERROR(SUMIFS(DATA_GOC!$H:$H,DATA_GOC!$A:$A,"BOM",DATA_GOC!$D:$D,$B373,DATA_GOC!$E:$E,"Dầu cầu",DATA_GOC!$F:$F,"Xuất nội bộ từ téc",DATA_GOC!$B:$B,DATE($D$2,$B$2,V$4)),0))</f>
        <v>0</v>
      </c>
      <c r="W373" s="251">
        <f>IF(W$4&gt;DAY(EOMONTH(DATE($D$2,$B$2,1),0)),"",IFERROR(SUMIFS(DATA_GOC!$H:$H,DATA_GOC!$A:$A,"BOM",DATA_GOC!$D:$D,$B373,DATA_GOC!$E:$E,"Dầu cầu",DATA_GOC!$F:$F,"Xuất nội bộ từ téc",DATA_GOC!$B:$B,DATE($D$2,$B$2,W$4)),0))</f>
        <v>0</v>
      </c>
      <c r="X373" s="251">
        <f>IF(X$4&gt;DAY(EOMONTH(DATE($D$2,$B$2,1),0)),"",IFERROR(SUMIFS(DATA_GOC!$H:$H,DATA_GOC!$A:$A,"BOM",DATA_GOC!$D:$D,$B373,DATA_GOC!$E:$E,"Dầu cầu",DATA_GOC!$F:$F,"Xuất nội bộ từ téc",DATA_GOC!$B:$B,DATE($D$2,$B$2,X$4)),0))</f>
        <v>0</v>
      </c>
      <c r="Y373" s="251">
        <f>IF(Y$4&gt;DAY(EOMONTH(DATE($D$2,$B$2,1),0)),"",IFERROR(SUMIFS(DATA_GOC!$H:$H,DATA_GOC!$A:$A,"BOM",DATA_GOC!$D:$D,$B373,DATA_GOC!$E:$E,"Dầu cầu",DATA_GOC!$F:$F,"Xuất nội bộ từ téc",DATA_GOC!$B:$B,DATE($D$2,$B$2,Y$4)),0))</f>
        <v>0</v>
      </c>
      <c r="Z373" s="251">
        <f>IF(Z$4&gt;DAY(EOMONTH(DATE($D$2,$B$2,1),0)),"",IFERROR(SUMIFS(DATA_GOC!$H:$H,DATA_GOC!$A:$A,"BOM",DATA_GOC!$D:$D,$B373,DATA_GOC!$E:$E,"Dầu cầu",DATA_GOC!$F:$F,"Xuất nội bộ từ téc",DATA_GOC!$B:$B,DATE($D$2,$B$2,Z$4)),0))</f>
        <v>0</v>
      </c>
      <c r="AA373" s="251">
        <f>IF(AA$4&gt;DAY(EOMONTH(DATE($D$2,$B$2,1),0)),"",IFERROR(SUMIFS(DATA_GOC!$H:$H,DATA_GOC!$A:$A,"BOM",DATA_GOC!$D:$D,$B373,DATA_GOC!$E:$E,"Dầu cầu",DATA_GOC!$F:$F,"Xuất nội bộ từ téc",DATA_GOC!$B:$B,DATE($D$2,$B$2,AA$4)),0))</f>
        <v>0</v>
      </c>
      <c r="AB373" s="251">
        <f>IF(AB$4&gt;DAY(EOMONTH(DATE($D$2,$B$2,1),0)),"",IFERROR(SUMIFS(DATA_GOC!$H:$H,DATA_GOC!$A:$A,"BOM",DATA_GOC!$D:$D,$B373,DATA_GOC!$E:$E,"Dầu cầu",DATA_GOC!$F:$F,"Xuất nội bộ từ téc",DATA_GOC!$B:$B,DATE($D$2,$B$2,AB$4)),0))</f>
        <v>0</v>
      </c>
      <c r="AC373" s="251">
        <f>IF(AC$4&gt;DAY(EOMONTH(DATE($D$2,$B$2,1),0)),"",IFERROR(SUMIFS(DATA_GOC!$H:$H,DATA_GOC!$A:$A,"BOM",DATA_GOC!$D:$D,$B373,DATA_GOC!$E:$E,"Dầu cầu",DATA_GOC!$F:$F,"Xuất nội bộ từ téc",DATA_GOC!$B:$B,DATE($D$2,$B$2,AC$4)),0))</f>
        <v>0</v>
      </c>
      <c r="AD373" s="251">
        <f>IF(AD$4&gt;DAY(EOMONTH(DATE($D$2,$B$2,1),0)),"",IFERROR(SUMIFS(DATA_GOC!$H:$H,DATA_GOC!$A:$A,"BOM",DATA_GOC!$D:$D,$B373,DATA_GOC!$E:$E,"Dầu cầu",DATA_GOC!$F:$F,"Xuất nội bộ từ téc",DATA_GOC!$B:$B,DATE($D$2,$B$2,AD$4)),0))</f>
        <v>0</v>
      </c>
      <c r="AE373" s="251">
        <f>IF(AE$4&gt;DAY(EOMONTH(DATE($D$2,$B$2,1),0)),"",IFERROR(SUMIFS(DATA_GOC!$H:$H,DATA_GOC!$A:$A,"BOM",DATA_GOC!$D:$D,$B373,DATA_GOC!$E:$E,"Dầu cầu",DATA_GOC!$F:$F,"Xuất nội bộ từ téc",DATA_GOC!$B:$B,DATE($D$2,$B$2,AE$4)),0))</f>
        <v>0</v>
      </c>
      <c r="AF373" s="251">
        <f>IF(AF$4&gt;DAY(EOMONTH(DATE($D$2,$B$2,1),0)),"",IFERROR(SUMIFS(DATA_GOC!$H:$H,DATA_GOC!$A:$A,"BOM",DATA_GOC!$D:$D,$B373,DATA_GOC!$E:$E,"Dầu cầu",DATA_GOC!$F:$F,"Xuất nội bộ từ téc",DATA_GOC!$B:$B,DATE($D$2,$B$2,AF$4)),0))</f>
        <v>0</v>
      </c>
      <c r="AG373" s="251">
        <f>IF(AG$4&gt;DAY(EOMONTH(DATE($D$2,$B$2,1),0)),"",IFERROR(SUMIFS(DATA_GOC!$H:$H,DATA_GOC!$A:$A,"BOM",DATA_GOC!$D:$D,$B373,DATA_GOC!$E:$E,"Dầu cầu",DATA_GOC!$F:$F,"Xuất nội bộ từ téc",DATA_GOC!$B:$B,DATE($D$2,$B$2,AG$4)),0))</f>
        <v>0</v>
      </c>
      <c r="AH373" s="252">
        <f t="shared" si="19"/>
        <v>0</v>
      </c>
      <c r="AI373" s="241"/>
      <c r="AJ373" s="242">
        <f>IF($B373="","",SUMIFS(TINH_TEC!$K$233:$K$9232,TINH_TEC!$H$233:$H$9232,$B373,TINH_TEC!$C$233:$C$9232,"Dầu cầu",TINH_TEC!$F$233:$F$9232,$B$2,TINH_TEC!$G$233:$G$9232,$D$2,TINH_TEC!$B$233:$B$9232,"Đã chốt"))</f>
        <v>0</v>
      </c>
      <c r="AK373" s="242">
        <f>IF($B373="","",SUMIFS(TINH_TEC!$J$233:$J$9232,TINH_TEC!$H$233:$H$9232,$B373,TINH_TEC!$C$233:$C$9232,"Dầu cầu",TINH_TEC!$F$233:$F$9232,$B$2,TINH_TEC!$G$233:$G$9232,$D$2,TINH_TEC!$B$233:$B$9232,"Đã chốt"))</f>
        <v>0</v>
      </c>
      <c r="AL373" s="242">
        <f t="shared" si="20"/>
        <v>0</v>
      </c>
    </row>
    <row r="374" ht="15.75" customHeight="1">
      <c r="A374" s="237">
        <f>IF($B374&lt;&gt;"",3,"")</f>
        <v>3</v>
      </c>
      <c r="B374" s="250" t="str">
        <f t="array" ref="B374">IFERROR(INDEX(DANH_MUC!$E:$E,6),"")</f>
        <v>28C00462</v>
      </c>
      <c r="C374" s="251">
        <f>IF(C$4&gt;DAY(EOMONTH(DATE($D$2,$B$2,1),0)),"",IFERROR(SUMIFS(DATA_GOC!$H:$H,DATA_GOC!$A:$A,"BOM",DATA_GOC!$D:$D,$B374,DATA_GOC!$E:$E,"Dầu cầu",DATA_GOC!$F:$F,"Xuất nội bộ từ téc",DATA_GOC!$B:$B,DATE($D$2,$B$2,C$4)),0))</f>
        <v>0</v>
      </c>
      <c r="D374" s="251">
        <f>IF(D$4&gt;DAY(EOMONTH(DATE($D$2,$B$2,1),0)),"",IFERROR(SUMIFS(DATA_GOC!$H:$H,DATA_GOC!$A:$A,"BOM",DATA_GOC!$D:$D,$B374,DATA_GOC!$E:$E,"Dầu cầu",DATA_GOC!$F:$F,"Xuất nội bộ từ téc",DATA_GOC!$B:$B,DATE($D$2,$B$2,D$4)),0))</f>
        <v>0</v>
      </c>
      <c r="E374" s="251">
        <f>IF(E$4&gt;DAY(EOMONTH(DATE($D$2,$B$2,1),0)),"",IFERROR(SUMIFS(DATA_GOC!$H:$H,DATA_GOC!$A:$A,"BOM",DATA_GOC!$D:$D,$B374,DATA_GOC!$E:$E,"Dầu cầu",DATA_GOC!$F:$F,"Xuất nội bộ từ téc",DATA_GOC!$B:$B,DATE($D$2,$B$2,E$4)),0))</f>
        <v>0</v>
      </c>
      <c r="F374" s="251">
        <f>IF(F$4&gt;DAY(EOMONTH(DATE($D$2,$B$2,1),0)),"",IFERROR(SUMIFS(DATA_GOC!$H:$H,DATA_GOC!$A:$A,"BOM",DATA_GOC!$D:$D,$B374,DATA_GOC!$E:$E,"Dầu cầu",DATA_GOC!$F:$F,"Xuất nội bộ từ téc",DATA_GOC!$B:$B,DATE($D$2,$B$2,F$4)),0))</f>
        <v>0</v>
      </c>
      <c r="G374" s="251">
        <f>IF(G$4&gt;DAY(EOMONTH(DATE($D$2,$B$2,1),0)),"",IFERROR(SUMIFS(DATA_GOC!$H:$H,DATA_GOC!$A:$A,"BOM",DATA_GOC!$D:$D,$B374,DATA_GOC!$E:$E,"Dầu cầu",DATA_GOC!$F:$F,"Xuất nội bộ từ téc",DATA_GOC!$B:$B,DATE($D$2,$B$2,G$4)),0))</f>
        <v>0</v>
      </c>
      <c r="H374" s="251">
        <f>IF(H$4&gt;DAY(EOMONTH(DATE($D$2,$B$2,1),0)),"",IFERROR(SUMIFS(DATA_GOC!$H:$H,DATA_GOC!$A:$A,"BOM",DATA_GOC!$D:$D,$B374,DATA_GOC!$E:$E,"Dầu cầu",DATA_GOC!$F:$F,"Xuất nội bộ từ téc",DATA_GOC!$B:$B,DATE($D$2,$B$2,H$4)),0))</f>
        <v>0</v>
      </c>
      <c r="I374" s="251">
        <f>IF(I$4&gt;DAY(EOMONTH(DATE($D$2,$B$2,1),0)),"",IFERROR(SUMIFS(DATA_GOC!$H:$H,DATA_GOC!$A:$A,"BOM",DATA_GOC!$D:$D,$B374,DATA_GOC!$E:$E,"Dầu cầu",DATA_GOC!$F:$F,"Xuất nội bộ từ téc",DATA_GOC!$B:$B,DATE($D$2,$B$2,I$4)),0))</f>
        <v>0</v>
      </c>
      <c r="J374" s="251">
        <f>IF(J$4&gt;DAY(EOMONTH(DATE($D$2,$B$2,1),0)),"",IFERROR(SUMIFS(DATA_GOC!$H:$H,DATA_GOC!$A:$A,"BOM",DATA_GOC!$D:$D,$B374,DATA_GOC!$E:$E,"Dầu cầu",DATA_GOC!$F:$F,"Xuất nội bộ từ téc",DATA_GOC!$B:$B,DATE($D$2,$B$2,J$4)),0))</f>
        <v>0</v>
      </c>
      <c r="K374" s="251">
        <f>IF(K$4&gt;DAY(EOMONTH(DATE($D$2,$B$2,1),0)),"",IFERROR(SUMIFS(DATA_GOC!$H:$H,DATA_GOC!$A:$A,"BOM",DATA_GOC!$D:$D,$B374,DATA_GOC!$E:$E,"Dầu cầu",DATA_GOC!$F:$F,"Xuất nội bộ từ téc",DATA_GOC!$B:$B,DATE($D$2,$B$2,K$4)),0))</f>
        <v>0</v>
      </c>
      <c r="L374" s="251">
        <f>IF(L$4&gt;DAY(EOMONTH(DATE($D$2,$B$2,1),0)),"",IFERROR(SUMIFS(DATA_GOC!$H:$H,DATA_GOC!$A:$A,"BOM",DATA_GOC!$D:$D,$B374,DATA_GOC!$E:$E,"Dầu cầu",DATA_GOC!$F:$F,"Xuất nội bộ từ téc",DATA_GOC!$B:$B,DATE($D$2,$B$2,L$4)),0))</f>
        <v>0</v>
      </c>
      <c r="M374" s="251">
        <f>IF(M$4&gt;DAY(EOMONTH(DATE($D$2,$B$2,1),0)),"",IFERROR(SUMIFS(DATA_GOC!$H:$H,DATA_GOC!$A:$A,"BOM",DATA_GOC!$D:$D,$B374,DATA_GOC!$E:$E,"Dầu cầu",DATA_GOC!$F:$F,"Xuất nội bộ từ téc",DATA_GOC!$B:$B,DATE($D$2,$B$2,M$4)),0))</f>
        <v>0</v>
      </c>
      <c r="N374" s="251">
        <f>IF(N$4&gt;DAY(EOMONTH(DATE($D$2,$B$2,1),0)),"",IFERROR(SUMIFS(DATA_GOC!$H:$H,DATA_GOC!$A:$A,"BOM",DATA_GOC!$D:$D,$B374,DATA_GOC!$E:$E,"Dầu cầu",DATA_GOC!$F:$F,"Xuất nội bộ từ téc",DATA_GOC!$B:$B,DATE($D$2,$B$2,N$4)),0))</f>
        <v>0</v>
      </c>
      <c r="O374" s="251">
        <f>IF(O$4&gt;DAY(EOMONTH(DATE($D$2,$B$2,1),0)),"",IFERROR(SUMIFS(DATA_GOC!$H:$H,DATA_GOC!$A:$A,"BOM",DATA_GOC!$D:$D,$B374,DATA_GOC!$E:$E,"Dầu cầu",DATA_GOC!$F:$F,"Xuất nội bộ từ téc",DATA_GOC!$B:$B,DATE($D$2,$B$2,O$4)),0))</f>
        <v>0</v>
      </c>
      <c r="P374" s="251">
        <f>IF(P$4&gt;DAY(EOMONTH(DATE($D$2,$B$2,1),0)),"",IFERROR(SUMIFS(DATA_GOC!$H:$H,DATA_GOC!$A:$A,"BOM",DATA_GOC!$D:$D,$B374,DATA_GOC!$E:$E,"Dầu cầu",DATA_GOC!$F:$F,"Xuất nội bộ từ téc",DATA_GOC!$B:$B,DATE($D$2,$B$2,P$4)),0))</f>
        <v>0</v>
      </c>
      <c r="Q374" s="251">
        <f>IF(Q$4&gt;DAY(EOMONTH(DATE($D$2,$B$2,1),0)),"",IFERROR(SUMIFS(DATA_GOC!$H:$H,DATA_GOC!$A:$A,"BOM",DATA_GOC!$D:$D,$B374,DATA_GOC!$E:$E,"Dầu cầu",DATA_GOC!$F:$F,"Xuất nội bộ từ téc",DATA_GOC!$B:$B,DATE($D$2,$B$2,Q$4)),0))</f>
        <v>0</v>
      </c>
      <c r="R374" s="251">
        <f>IF(R$4&gt;DAY(EOMONTH(DATE($D$2,$B$2,1),0)),"",IFERROR(SUMIFS(DATA_GOC!$H:$H,DATA_GOC!$A:$A,"BOM",DATA_GOC!$D:$D,$B374,DATA_GOC!$E:$E,"Dầu cầu",DATA_GOC!$F:$F,"Xuất nội bộ từ téc",DATA_GOC!$B:$B,DATE($D$2,$B$2,R$4)),0))</f>
        <v>0</v>
      </c>
      <c r="S374" s="251">
        <f>IF(S$4&gt;DAY(EOMONTH(DATE($D$2,$B$2,1),0)),"",IFERROR(SUMIFS(DATA_GOC!$H:$H,DATA_GOC!$A:$A,"BOM",DATA_GOC!$D:$D,$B374,DATA_GOC!$E:$E,"Dầu cầu",DATA_GOC!$F:$F,"Xuất nội bộ từ téc",DATA_GOC!$B:$B,DATE($D$2,$B$2,S$4)),0))</f>
        <v>0</v>
      </c>
      <c r="T374" s="251">
        <f>IF(T$4&gt;DAY(EOMONTH(DATE($D$2,$B$2,1),0)),"",IFERROR(SUMIFS(DATA_GOC!$H:$H,DATA_GOC!$A:$A,"BOM",DATA_GOC!$D:$D,$B374,DATA_GOC!$E:$E,"Dầu cầu",DATA_GOC!$F:$F,"Xuất nội bộ từ téc",DATA_GOC!$B:$B,DATE($D$2,$B$2,T$4)),0))</f>
        <v>0</v>
      </c>
      <c r="U374" s="251">
        <f>IF(U$4&gt;DAY(EOMONTH(DATE($D$2,$B$2,1),0)),"",IFERROR(SUMIFS(DATA_GOC!$H:$H,DATA_GOC!$A:$A,"BOM",DATA_GOC!$D:$D,$B374,DATA_GOC!$E:$E,"Dầu cầu",DATA_GOC!$F:$F,"Xuất nội bộ từ téc",DATA_GOC!$B:$B,DATE($D$2,$B$2,U$4)),0))</f>
        <v>0</v>
      </c>
      <c r="V374" s="251">
        <f>IF(V$4&gt;DAY(EOMONTH(DATE($D$2,$B$2,1),0)),"",IFERROR(SUMIFS(DATA_GOC!$H:$H,DATA_GOC!$A:$A,"BOM",DATA_GOC!$D:$D,$B374,DATA_GOC!$E:$E,"Dầu cầu",DATA_GOC!$F:$F,"Xuất nội bộ từ téc",DATA_GOC!$B:$B,DATE($D$2,$B$2,V$4)),0))</f>
        <v>0</v>
      </c>
      <c r="W374" s="251">
        <f>IF(W$4&gt;DAY(EOMONTH(DATE($D$2,$B$2,1),0)),"",IFERROR(SUMIFS(DATA_GOC!$H:$H,DATA_GOC!$A:$A,"BOM",DATA_GOC!$D:$D,$B374,DATA_GOC!$E:$E,"Dầu cầu",DATA_GOC!$F:$F,"Xuất nội bộ từ téc",DATA_GOC!$B:$B,DATE($D$2,$B$2,W$4)),0))</f>
        <v>0</v>
      </c>
      <c r="X374" s="251">
        <f>IF(X$4&gt;DAY(EOMONTH(DATE($D$2,$B$2,1),0)),"",IFERROR(SUMIFS(DATA_GOC!$H:$H,DATA_GOC!$A:$A,"BOM",DATA_GOC!$D:$D,$B374,DATA_GOC!$E:$E,"Dầu cầu",DATA_GOC!$F:$F,"Xuất nội bộ từ téc",DATA_GOC!$B:$B,DATE($D$2,$B$2,X$4)),0))</f>
        <v>0</v>
      </c>
      <c r="Y374" s="251">
        <f>IF(Y$4&gt;DAY(EOMONTH(DATE($D$2,$B$2,1),0)),"",IFERROR(SUMIFS(DATA_GOC!$H:$H,DATA_GOC!$A:$A,"BOM",DATA_GOC!$D:$D,$B374,DATA_GOC!$E:$E,"Dầu cầu",DATA_GOC!$F:$F,"Xuất nội bộ từ téc",DATA_GOC!$B:$B,DATE($D$2,$B$2,Y$4)),0))</f>
        <v>0</v>
      </c>
      <c r="Z374" s="251">
        <f>IF(Z$4&gt;DAY(EOMONTH(DATE($D$2,$B$2,1),0)),"",IFERROR(SUMIFS(DATA_GOC!$H:$H,DATA_GOC!$A:$A,"BOM",DATA_GOC!$D:$D,$B374,DATA_GOC!$E:$E,"Dầu cầu",DATA_GOC!$F:$F,"Xuất nội bộ từ téc",DATA_GOC!$B:$B,DATE($D$2,$B$2,Z$4)),0))</f>
        <v>0</v>
      </c>
      <c r="AA374" s="251">
        <f>IF(AA$4&gt;DAY(EOMONTH(DATE($D$2,$B$2,1),0)),"",IFERROR(SUMIFS(DATA_GOC!$H:$H,DATA_GOC!$A:$A,"BOM",DATA_GOC!$D:$D,$B374,DATA_GOC!$E:$E,"Dầu cầu",DATA_GOC!$F:$F,"Xuất nội bộ từ téc",DATA_GOC!$B:$B,DATE($D$2,$B$2,AA$4)),0))</f>
        <v>0</v>
      </c>
      <c r="AB374" s="251">
        <f>IF(AB$4&gt;DAY(EOMONTH(DATE($D$2,$B$2,1),0)),"",IFERROR(SUMIFS(DATA_GOC!$H:$H,DATA_GOC!$A:$A,"BOM",DATA_GOC!$D:$D,$B374,DATA_GOC!$E:$E,"Dầu cầu",DATA_GOC!$F:$F,"Xuất nội bộ từ téc",DATA_GOC!$B:$B,DATE($D$2,$B$2,AB$4)),0))</f>
        <v>0</v>
      </c>
      <c r="AC374" s="251">
        <f>IF(AC$4&gt;DAY(EOMONTH(DATE($D$2,$B$2,1),0)),"",IFERROR(SUMIFS(DATA_GOC!$H:$H,DATA_GOC!$A:$A,"BOM",DATA_GOC!$D:$D,$B374,DATA_GOC!$E:$E,"Dầu cầu",DATA_GOC!$F:$F,"Xuất nội bộ từ téc",DATA_GOC!$B:$B,DATE($D$2,$B$2,AC$4)),0))</f>
        <v>0</v>
      </c>
      <c r="AD374" s="251">
        <f>IF(AD$4&gt;DAY(EOMONTH(DATE($D$2,$B$2,1),0)),"",IFERROR(SUMIFS(DATA_GOC!$H:$H,DATA_GOC!$A:$A,"BOM",DATA_GOC!$D:$D,$B374,DATA_GOC!$E:$E,"Dầu cầu",DATA_GOC!$F:$F,"Xuất nội bộ từ téc",DATA_GOC!$B:$B,DATE($D$2,$B$2,AD$4)),0))</f>
        <v>0</v>
      </c>
      <c r="AE374" s="251">
        <f>IF(AE$4&gt;DAY(EOMONTH(DATE($D$2,$B$2,1),0)),"",IFERROR(SUMIFS(DATA_GOC!$H:$H,DATA_GOC!$A:$A,"BOM",DATA_GOC!$D:$D,$B374,DATA_GOC!$E:$E,"Dầu cầu",DATA_GOC!$F:$F,"Xuất nội bộ từ téc",DATA_GOC!$B:$B,DATE($D$2,$B$2,AE$4)),0))</f>
        <v>0</v>
      </c>
      <c r="AF374" s="251">
        <f>IF(AF$4&gt;DAY(EOMONTH(DATE($D$2,$B$2,1),0)),"",IFERROR(SUMIFS(DATA_GOC!$H:$H,DATA_GOC!$A:$A,"BOM",DATA_GOC!$D:$D,$B374,DATA_GOC!$E:$E,"Dầu cầu",DATA_GOC!$F:$F,"Xuất nội bộ từ téc",DATA_GOC!$B:$B,DATE($D$2,$B$2,AF$4)),0))</f>
        <v>0</v>
      </c>
      <c r="AG374" s="251">
        <f>IF(AG$4&gt;DAY(EOMONTH(DATE($D$2,$B$2,1),0)),"",IFERROR(SUMIFS(DATA_GOC!$H:$H,DATA_GOC!$A:$A,"BOM",DATA_GOC!$D:$D,$B374,DATA_GOC!$E:$E,"Dầu cầu",DATA_GOC!$F:$F,"Xuất nội bộ từ téc",DATA_GOC!$B:$B,DATE($D$2,$B$2,AG$4)),0))</f>
        <v>0</v>
      </c>
      <c r="AH374" s="252">
        <f t="shared" si="19"/>
        <v>0</v>
      </c>
      <c r="AI374" s="241"/>
      <c r="AJ374" s="242">
        <f>IF($B374="","",SUMIFS(TINH_TEC!$K$233:$K$9232,TINH_TEC!$H$233:$H$9232,$B374,TINH_TEC!$C$233:$C$9232,"Dầu cầu",TINH_TEC!$F$233:$F$9232,$B$2,TINH_TEC!$G$233:$G$9232,$D$2,TINH_TEC!$B$233:$B$9232,"Đã chốt"))</f>
        <v>0</v>
      </c>
      <c r="AK374" s="242">
        <f>IF($B374="","",SUMIFS(TINH_TEC!$J$233:$J$9232,TINH_TEC!$H$233:$H$9232,$B374,TINH_TEC!$C$233:$C$9232,"Dầu cầu",TINH_TEC!$F$233:$F$9232,$B$2,TINH_TEC!$G$233:$G$9232,$D$2,TINH_TEC!$B$233:$B$9232,"Đã chốt"))</f>
        <v>0</v>
      </c>
      <c r="AL374" s="242">
        <f t="shared" si="20"/>
        <v>0</v>
      </c>
    </row>
    <row r="375" ht="15.75" customHeight="1">
      <c r="A375" s="237">
        <f>IF($B375&lt;&gt;"",4,"")</f>
        <v>4</v>
      </c>
      <c r="B375" s="250" t="str">
        <f t="array" ref="B375">IFERROR(INDEX(DANH_MUC!$E:$E,7),"")</f>
        <v>28C01165</v>
      </c>
      <c r="C375" s="251">
        <f>IF(C$4&gt;DAY(EOMONTH(DATE($D$2,$B$2,1),0)),"",IFERROR(SUMIFS(DATA_GOC!$H:$H,DATA_GOC!$A:$A,"BOM",DATA_GOC!$D:$D,$B375,DATA_GOC!$E:$E,"Dầu cầu",DATA_GOC!$F:$F,"Xuất nội bộ từ téc",DATA_GOC!$B:$B,DATE($D$2,$B$2,C$4)),0))</f>
        <v>0</v>
      </c>
      <c r="D375" s="251">
        <f>IF(D$4&gt;DAY(EOMONTH(DATE($D$2,$B$2,1),0)),"",IFERROR(SUMIFS(DATA_GOC!$H:$H,DATA_GOC!$A:$A,"BOM",DATA_GOC!$D:$D,$B375,DATA_GOC!$E:$E,"Dầu cầu",DATA_GOC!$F:$F,"Xuất nội bộ từ téc",DATA_GOC!$B:$B,DATE($D$2,$B$2,D$4)),0))</f>
        <v>0</v>
      </c>
      <c r="E375" s="251">
        <f>IF(E$4&gt;DAY(EOMONTH(DATE($D$2,$B$2,1),0)),"",IFERROR(SUMIFS(DATA_GOC!$H:$H,DATA_GOC!$A:$A,"BOM",DATA_GOC!$D:$D,$B375,DATA_GOC!$E:$E,"Dầu cầu",DATA_GOC!$F:$F,"Xuất nội bộ từ téc",DATA_GOC!$B:$B,DATE($D$2,$B$2,E$4)),0))</f>
        <v>0</v>
      </c>
      <c r="F375" s="251">
        <f>IF(F$4&gt;DAY(EOMONTH(DATE($D$2,$B$2,1),0)),"",IFERROR(SUMIFS(DATA_GOC!$H:$H,DATA_GOC!$A:$A,"BOM",DATA_GOC!$D:$D,$B375,DATA_GOC!$E:$E,"Dầu cầu",DATA_GOC!$F:$F,"Xuất nội bộ từ téc",DATA_GOC!$B:$B,DATE($D$2,$B$2,F$4)),0))</f>
        <v>0</v>
      </c>
      <c r="G375" s="251">
        <f>IF(G$4&gt;DAY(EOMONTH(DATE($D$2,$B$2,1),0)),"",IFERROR(SUMIFS(DATA_GOC!$H:$H,DATA_GOC!$A:$A,"BOM",DATA_GOC!$D:$D,$B375,DATA_GOC!$E:$E,"Dầu cầu",DATA_GOC!$F:$F,"Xuất nội bộ từ téc",DATA_GOC!$B:$B,DATE($D$2,$B$2,G$4)),0))</f>
        <v>0</v>
      </c>
      <c r="H375" s="251">
        <f>IF(H$4&gt;DAY(EOMONTH(DATE($D$2,$B$2,1),0)),"",IFERROR(SUMIFS(DATA_GOC!$H:$H,DATA_GOC!$A:$A,"BOM",DATA_GOC!$D:$D,$B375,DATA_GOC!$E:$E,"Dầu cầu",DATA_GOC!$F:$F,"Xuất nội bộ từ téc",DATA_GOC!$B:$B,DATE($D$2,$B$2,H$4)),0))</f>
        <v>0</v>
      </c>
      <c r="I375" s="251">
        <f>IF(I$4&gt;DAY(EOMONTH(DATE($D$2,$B$2,1),0)),"",IFERROR(SUMIFS(DATA_GOC!$H:$H,DATA_GOC!$A:$A,"BOM",DATA_GOC!$D:$D,$B375,DATA_GOC!$E:$E,"Dầu cầu",DATA_GOC!$F:$F,"Xuất nội bộ từ téc",DATA_GOC!$B:$B,DATE($D$2,$B$2,I$4)),0))</f>
        <v>0</v>
      </c>
      <c r="J375" s="251">
        <f>IF(J$4&gt;DAY(EOMONTH(DATE($D$2,$B$2,1),0)),"",IFERROR(SUMIFS(DATA_GOC!$H:$H,DATA_GOC!$A:$A,"BOM",DATA_GOC!$D:$D,$B375,DATA_GOC!$E:$E,"Dầu cầu",DATA_GOC!$F:$F,"Xuất nội bộ từ téc",DATA_GOC!$B:$B,DATE($D$2,$B$2,J$4)),0))</f>
        <v>0</v>
      </c>
      <c r="K375" s="251">
        <f>IF(K$4&gt;DAY(EOMONTH(DATE($D$2,$B$2,1),0)),"",IFERROR(SUMIFS(DATA_GOC!$H:$H,DATA_GOC!$A:$A,"BOM",DATA_GOC!$D:$D,$B375,DATA_GOC!$E:$E,"Dầu cầu",DATA_GOC!$F:$F,"Xuất nội bộ từ téc",DATA_GOC!$B:$B,DATE($D$2,$B$2,K$4)),0))</f>
        <v>0</v>
      </c>
      <c r="L375" s="251">
        <f>IF(L$4&gt;DAY(EOMONTH(DATE($D$2,$B$2,1),0)),"",IFERROR(SUMIFS(DATA_GOC!$H:$H,DATA_GOC!$A:$A,"BOM",DATA_GOC!$D:$D,$B375,DATA_GOC!$E:$E,"Dầu cầu",DATA_GOC!$F:$F,"Xuất nội bộ từ téc",DATA_GOC!$B:$B,DATE($D$2,$B$2,L$4)),0))</f>
        <v>0</v>
      </c>
      <c r="M375" s="251">
        <f>IF(M$4&gt;DAY(EOMONTH(DATE($D$2,$B$2,1),0)),"",IFERROR(SUMIFS(DATA_GOC!$H:$H,DATA_GOC!$A:$A,"BOM",DATA_GOC!$D:$D,$B375,DATA_GOC!$E:$E,"Dầu cầu",DATA_GOC!$F:$F,"Xuất nội bộ từ téc",DATA_GOC!$B:$B,DATE($D$2,$B$2,M$4)),0))</f>
        <v>0</v>
      </c>
      <c r="N375" s="251">
        <f>IF(N$4&gt;DAY(EOMONTH(DATE($D$2,$B$2,1),0)),"",IFERROR(SUMIFS(DATA_GOC!$H:$H,DATA_GOC!$A:$A,"BOM",DATA_GOC!$D:$D,$B375,DATA_GOC!$E:$E,"Dầu cầu",DATA_GOC!$F:$F,"Xuất nội bộ từ téc",DATA_GOC!$B:$B,DATE($D$2,$B$2,N$4)),0))</f>
        <v>0</v>
      </c>
      <c r="O375" s="251">
        <f>IF(O$4&gt;DAY(EOMONTH(DATE($D$2,$B$2,1),0)),"",IFERROR(SUMIFS(DATA_GOC!$H:$H,DATA_GOC!$A:$A,"BOM",DATA_GOC!$D:$D,$B375,DATA_GOC!$E:$E,"Dầu cầu",DATA_GOC!$F:$F,"Xuất nội bộ từ téc",DATA_GOC!$B:$B,DATE($D$2,$B$2,O$4)),0))</f>
        <v>0</v>
      </c>
      <c r="P375" s="251">
        <f>IF(P$4&gt;DAY(EOMONTH(DATE($D$2,$B$2,1),0)),"",IFERROR(SUMIFS(DATA_GOC!$H:$H,DATA_GOC!$A:$A,"BOM",DATA_GOC!$D:$D,$B375,DATA_GOC!$E:$E,"Dầu cầu",DATA_GOC!$F:$F,"Xuất nội bộ từ téc",DATA_GOC!$B:$B,DATE($D$2,$B$2,P$4)),0))</f>
        <v>0</v>
      </c>
      <c r="Q375" s="251">
        <f>IF(Q$4&gt;DAY(EOMONTH(DATE($D$2,$B$2,1),0)),"",IFERROR(SUMIFS(DATA_GOC!$H:$H,DATA_GOC!$A:$A,"BOM",DATA_GOC!$D:$D,$B375,DATA_GOC!$E:$E,"Dầu cầu",DATA_GOC!$F:$F,"Xuất nội bộ từ téc",DATA_GOC!$B:$B,DATE($D$2,$B$2,Q$4)),0))</f>
        <v>0</v>
      </c>
      <c r="R375" s="251">
        <f>IF(R$4&gt;DAY(EOMONTH(DATE($D$2,$B$2,1),0)),"",IFERROR(SUMIFS(DATA_GOC!$H:$H,DATA_GOC!$A:$A,"BOM",DATA_GOC!$D:$D,$B375,DATA_GOC!$E:$E,"Dầu cầu",DATA_GOC!$F:$F,"Xuất nội bộ từ téc",DATA_GOC!$B:$B,DATE($D$2,$B$2,R$4)),0))</f>
        <v>0</v>
      </c>
      <c r="S375" s="251">
        <f>IF(S$4&gt;DAY(EOMONTH(DATE($D$2,$B$2,1),0)),"",IFERROR(SUMIFS(DATA_GOC!$H:$H,DATA_GOC!$A:$A,"BOM",DATA_GOC!$D:$D,$B375,DATA_GOC!$E:$E,"Dầu cầu",DATA_GOC!$F:$F,"Xuất nội bộ từ téc",DATA_GOC!$B:$B,DATE($D$2,$B$2,S$4)),0))</f>
        <v>0</v>
      </c>
      <c r="T375" s="251">
        <f>IF(T$4&gt;DAY(EOMONTH(DATE($D$2,$B$2,1),0)),"",IFERROR(SUMIFS(DATA_GOC!$H:$H,DATA_GOC!$A:$A,"BOM",DATA_GOC!$D:$D,$B375,DATA_GOC!$E:$E,"Dầu cầu",DATA_GOC!$F:$F,"Xuất nội bộ từ téc",DATA_GOC!$B:$B,DATE($D$2,$B$2,T$4)),0))</f>
        <v>0</v>
      </c>
      <c r="U375" s="251">
        <f>IF(U$4&gt;DAY(EOMONTH(DATE($D$2,$B$2,1),0)),"",IFERROR(SUMIFS(DATA_GOC!$H:$H,DATA_GOC!$A:$A,"BOM",DATA_GOC!$D:$D,$B375,DATA_GOC!$E:$E,"Dầu cầu",DATA_GOC!$F:$F,"Xuất nội bộ từ téc",DATA_GOC!$B:$B,DATE($D$2,$B$2,U$4)),0))</f>
        <v>0</v>
      </c>
      <c r="V375" s="251">
        <f>IF(V$4&gt;DAY(EOMONTH(DATE($D$2,$B$2,1),0)),"",IFERROR(SUMIFS(DATA_GOC!$H:$H,DATA_GOC!$A:$A,"BOM",DATA_GOC!$D:$D,$B375,DATA_GOC!$E:$E,"Dầu cầu",DATA_GOC!$F:$F,"Xuất nội bộ từ téc",DATA_GOC!$B:$B,DATE($D$2,$B$2,V$4)),0))</f>
        <v>0</v>
      </c>
      <c r="W375" s="251">
        <f>IF(W$4&gt;DAY(EOMONTH(DATE($D$2,$B$2,1),0)),"",IFERROR(SUMIFS(DATA_GOC!$H:$H,DATA_GOC!$A:$A,"BOM",DATA_GOC!$D:$D,$B375,DATA_GOC!$E:$E,"Dầu cầu",DATA_GOC!$F:$F,"Xuất nội bộ từ téc",DATA_GOC!$B:$B,DATE($D$2,$B$2,W$4)),0))</f>
        <v>0</v>
      </c>
      <c r="X375" s="251">
        <f>IF(X$4&gt;DAY(EOMONTH(DATE($D$2,$B$2,1),0)),"",IFERROR(SUMIFS(DATA_GOC!$H:$H,DATA_GOC!$A:$A,"BOM",DATA_GOC!$D:$D,$B375,DATA_GOC!$E:$E,"Dầu cầu",DATA_GOC!$F:$F,"Xuất nội bộ từ téc",DATA_GOC!$B:$B,DATE($D$2,$B$2,X$4)),0))</f>
        <v>0</v>
      </c>
      <c r="Y375" s="251">
        <f>IF(Y$4&gt;DAY(EOMONTH(DATE($D$2,$B$2,1),0)),"",IFERROR(SUMIFS(DATA_GOC!$H:$H,DATA_GOC!$A:$A,"BOM",DATA_GOC!$D:$D,$B375,DATA_GOC!$E:$E,"Dầu cầu",DATA_GOC!$F:$F,"Xuất nội bộ từ téc",DATA_GOC!$B:$B,DATE($D$2,$B$2,Y$4)),0))</f>
        <v>0</v>
      </c>
      <c r="Z375" s="251">
        <f>IF(Z$4&gt;DAY(EOMONTH(DATE($D$2,$B$2,1),0)),"",IFERROR(SUMIFS(DATA_GOC!$H:$H,DATA_GOC!$A:$A,"BOM",DATA_GOC!$D:$D,$B375,DATA_GOC!$E:$E,"Dầu cầu",DATA_GOC!$F:$F,"Xuất nội bộ từ téc",DATA_GOC!$B:$B,DATE($D$2,$B$2,Z$4)),0))</f>
        <v>0</v>
      </c>
      <c r="AA375" s="251">
        <f>IF(AA$4&gt;DAY(EOMONTH(DATE($D$2,$B$2,1),0)),"",IFERROR(SUMIFS(DATA_GOC!$H:$H,DATA_GOC!$A:$A,"BOM",DATA_GOC!$D:$D,$B375,DATA_GOC!$E:$E,"Dầu cầu",DATA_GOC!$F:$F,"Xuất nội bộ từ téc",DATA_GOC!$B:$B,DATE($D$2,$B$2,AA$4)),0))</f>
        <v>0</v>
      </c>
      <c r="AB375" s="251">
        <f>IF(AB$4&gt;DAY(EOMONTH(DATE($D$2,$B$2,1),0)),"",IFERROR(SUMIFS(DATA_GOC!$H:$H,DATA_GOC!$A:$A,"BOM",DATA_GOC!$D:$D,$B375,DATA_GOC!$E:$E,"Dầu cầu",DATA_GOC!$F:$F,"Xuất nội bộ từ téc",DATA_GOC!$B:$B,DATE($D$2,$B$2,AB$4)),0))</f>
        <v>0</v>
      </c>
      <c r="AC375" s="251">
        <f>IF(AC$4&gt;DAY(EOMONTH(DATE($D$2,$B$2,1),0)),"",IFERROR(SUMIFS(DATA_GOC!$H:$H,DATA_GOC!$A:$A,"BOM",DATA_GOC!$D:$D,$B375,DATA_GOC!$E:$E,"Dầu cầu",DATA_GOC!$F:$F,"Xuất nội bộ từ téc",DATA_GOC!$B:$B,DATE($D$2,$B$2,AC$4)),0))</f>
        <v>0</v>
      </c>
      <c r="AD375" s="251">
        <f>IF(AD$4&gt;DAY(EOMONTH(DATE($D$2,$B$2,1),0)),"",IFERROR(SUMIFS(DATA_GOC!$H:$H,DATA_GOC!$A:$A,"BOM",DATA_GOC!$D:$D,$B375,DATA_GOC!$E:$E,"Dầu cầu",DATA_GOC!$F:$F,"Xuất nội bộ từ téc",DATA_GOC!$B:$B,DATE($D$2,$B$2,AD$4)),0))</f>
        <v>0</v>
      </c>
      <c r="AE375" s="251">
        <f>IF(AE$4&gt;DAY(EOMONTH(DATE($D$2,$B$2,1),0)),"",IFERROR(SUMIFS(DATA_GOC!$H:$H,DATA_GOC!$A:$A,"BOM",DATA_GOC!$D:$D,$B375,DATA_GOC!$E:$E,"Dầu cầu",DATA_GOC!$F:$F,"Xuất nội bộ từ téc",DATA_GOC!$B:$B,DATE($D$2,$B$2,AE$4)),0))</f>
        <v>0</v>
      </c>
      <c r="AF375" s="251">
        <f>IF(AF$4&gt;DAY(EOMONTH(DATE($D$2,$B$2,1),0)),"",IFERROR(SUMIFS(DATA_GOC!$H:$H,DATA_GOC!$A:$A,"BOM",DATA_GOC!$D:$D,$B375,DATA_GOC!$E:$E,"Dầu cầu",DATA_GOC!$F:$F,"Xuất nội bộ từ téc",DATA_GOC!$B:$B,DATE($D$2,$B$2,AF$4)),0))</f>
        <v>0</v>
      </c>
      <c r="AG375" s="251">
        <f>IF(AG$4&gt;DAY(EOMONTH(DATE($D$2,$B$2,1),0)),"",IFERROR(SUMIFS(DATA_GOC!$H:$H,DATA_GOC!$A:$A,"BOM",DATA_GOC!$D:$D,$B375,DATA_GOC!$E:$E,"Dầu cầu",DATA_GOC!$F:$F,"Xuất nội bộ từ téc",DATA_GOC!$B:$B,DATE($D$2,$B$2,AG$4)),0))</f>
        <v>0</v>
      </c>
      <c r="AH375" s="252">
        <f t="shared" si="19"/>
        <v>0</v>
      </c>
      <c r="AI375" s="241"/>
      <c r="AJ375" s="242">
        <f>IF($B375="","",SUMIFS(TINH_TEC!$K$233:$K$9232,TINH_TEC!$H$233:$H$9232,$B375,TINH_TEC!$C$233:$C$9232,"Dầu cầu",TINH_TEC!$F$233:$F$9232,$B$2,TINH_TEC!$G$233:$G$9232,$D$2,TINH_TEC!$B$233:$B$9232,"Đã chốt"))</f>
        <v>0</v>
      </c>
      <c r="AK375" s="242">
        <f>IF($B375="","",SUMIFS(TINH_TEC!$J$233:$J$9232,TINH_TEC!$H$233:$H$9232,$B375,TINH_TEC!$C$233:$C$9232,"Dầu cầu",TINH_TEC!$F$233:$F$9232,$B$2,TINH_TEC!$G$233:$G$9232,$D$2,TINH_TEC!$B$233:$B$9232,"Đã chốt"))</f>
        <v>0</v>
      </c>
      <c r="AL375" s="242">
        <f t="shared" si="20"/>
        <v>0</v>
      </c>
    </row>
    <row r="376" ht="15.75" customHeight="1">
      <c r="A376" s="237">
        <f>IF($B376&lt;&gt;"",5,"")</f>
        <v>5</v>
      </c>
      <c r="B376" s="250" t="str">
        <f t="array" ref="B376">IFERROR(INDEX(DANH_MUC!$E:$E,8),"")</f>
        <v>28C01406</v>
      </c>
      <c r="C376" s="251">
        <f>IF(C$4&gt;DAY(EOMONTH(DATE($D$2,$B$2,1),0)),"",IFERROR(SUMIFS(DATA_GOC!$H:$H,DATA_GOC!$A:$A,"BOM",DATA_GOC!$D:$D,$B376,DATA_GOC!$E:$E,"Dầu cầu",DATA_GOC!$F:$F,"Xuất nội bộ từ téc",DATA_GOC!$B:$B,DATE($D$2,$B$2,C$4)),0))</f>
        <v>0</v>
      </c>
      <c r="D376" s="251">
        <f>IF(D$4&gt;DAY(EOMONTH(DATE($D$2,$B$2,1),0)),"",IFERROR(SUMIFS(DATA_GOC!$H:$H,DATA_GOC!$A:$A,"BOM",DATA_GOC!$D:$D,$B376,DATA_GOC!$E:$E,"Dầu cầu",DATA_GOC!$F:$F,"Xuất nội bộ từ téc",DATA_GOC!$B:$B,DATE($D$2,$B$2,D$4)),0))</f>
        <v>0</v>
      </c>
      <c r="E376" s="251">
        <f>IF(E$4&gt;DAY(EOMONTH(DATE($D$2,$B$2,1),0)),"",IFERROR(SUMIFS(DATA_GOC!$H:$H,DATA_GOC!$A:$A,"BOM",DATA_GOC!$D:$D,$B376,DATA_GOC!$E:$E,"Dầu cầu",DATA_GOC!$F:$F,"Xuất nội bộ từ téc",DATA_GOC!$B:$B,DATE($D$2,$B$2,E$4)),0))</f>
        <v>0</v>
      </c>
      <c r="F376" s="251">
        <f>IF(F$4&gt;DAY(EOMONTH(DATE($D$2,$B$2,1),0)),"",IFERROR(SUMIFS(DATA_GOC!$H:$H,DATA_GOC!$A:$A,"BOM",DATA_GOC!$D:$D,$B376,DATA_GOC!$E:$E,"Dầu cầu",DATA_GOC!$F:$F,"Xuất nội bộ từ téc",DATA_GOC!$B:$B,DATE($D$2,$B$2,F$4)),0))</f>
        <v>0</v>
      </c>
      <c r="G376" s="251">
        <f>IF(G$4&gt;DAY(EOMONTH(DATE($D$2,$B$2,1),0)),"",IFERROR(SUMIFS(DATA_GOC!$H:$H,DATA_GOC!$A:$A,"BOM",DATA_GOC!$D:$D,$B376,DATA_GOC!$E:$E,"Dầu cầu",DATA_GOC!$F:$F,"Xuất nội bộ từ téc",DATA_GOC!$B:$B,DATE($D$2,$B$2,G$4)),0))</f>
        <v>0</v>
      </c>
      <c r="H376" s="251">
        <f>IF(H$4&gt;DAY(EOMONTH(DATE($D$2,$B$2,1),0)),"",IFERROR(SUMIFS(DATA_GOC!$H:$H,DATA_GOC!$A:$A,"BOM",DATA_GOC!$D:$D,$B376,DATA_GOC!$E:$E,"Dầu cầu",DATA_GOC!$F:$F,"Xuất nội bộ từ téc",DATA_GOC!$B:$B,DATE($D$2,$B$2,H$4)),0))</f>
        <v>0</v>
      </c>
      <c r="I376" s="251">
        <f>IF(I$4&gt;DAY(EOMONTH(DATE($D$2,$B$2,1),0)),"",IFERROR(SUMIFS(DATA_GOC!$H:$H,DATA_GOC!$A:$A,"BOM",DATA_GOC!$D:$D,$B376,DATA_GOC!$E:$E,"Dầu cầu",DATA_GOC!$F:$F,"Xuất nội bộ từ téc",DATA_GOC!$B:$B,DATE($D$2,$B$2,I$4)),0))</f>
        <v>0</v>
      </c>
      <c r="J376" s="251">
        <f>IF(J$4&gt;DAY(EOMONTH(DATE($D$2,$B$2,1),0)),"",IFERROR(SUMIFS(DATA_GOC!$H:$H,DATA_GOC!$A:$A,"BOM",DATA_GOC!$D:$D,$B376,DATA_GOC!$E:$E,"Dầu cầu",DATA_GOC!$F:$F,"Xuất nội bộ từ téc",DATA_GOC!$B:$B,DATE($D$2,$B$2,J$4)),0))</f>
        <v>0</v>
      </c>
      <c r="K376" s="251">
        <f>IF(K$4&gt;DAY(EOMONTH(DATE($D$2,$B$2,1),0)),"",IFERROR(SUMIFS(DATA_GOC!$H:$H,DATA_GOC!$A:$A,"BOM",DATA_GOC!$D:$D,$B376,DATA_GOC!$E:$E,"Dầu cầu",DATA_GOC!$F:$F,"Xuất nội bộ từ téc",DATA_GOC!$B:$B,DATE($D$2,$B$2,K$4)),0))</f>
        <v>0</v>
      </c>
      <c r="L376" s="251">
        <f>IF(L$4&gt;DAY(EOMONTH(DATE($D$2,$B$2,1),0)),"",IFERROR(SUMIFS(DATA_GOC!$H:$H,DATA_GOC!$A:$A,"BOM",DATA_GOC!$D:$D,$B376,DATA_GOC!$E:$E,"Dầu cầu",DATA_GOC!$F:$F,"Xuất nội bộ từ téc",DATA_GOC!$B:$B,DATE($D$2,$B$2,L$4)),0))</f>
        <v>0</v>
      </c>
      <c r="M376" s="251">
        <f>IF(M$4&gt;DAY(EOMONTH(DATE($D$2,$B$2,1),0)),"",IFERROR(SUMIFS(DATA_GOC!$H:$H,DATA_GOC!$A:$A,"BOM",DATA_GOC!$D:$D,$B376,DATA_GOC!$E:$E,"Dầu cầu",DATA_GOC!$F:$F,"Xuất nội bộ từ téc",DATA_GOC!$B:$B,DATE($D$2,$B$2,M$4)),0))</f>
        <v>0</v>
      </c>
      <c r="N376" s="251">
        <f>IF(N$4&gt;DAY(EOMONTH(DATE($D$2,$B$2,1),0)),"",IFERROR(SUMIFS(DATA_GOC!$H:$H,DATA_GOC!$A:$A,"BOM",DATA_GOC!$D:$D,$B376,DATA_GOC!$E:$E,"Dầu cầu",DATA_GOC!$F:$F,"Xuất nội bộ từ téc",DATA_GOC!$B:$B,DATE($D$2,$B$2,N$4)),0))</f>
        <v>0</v>
      </c>
      <c r="O376" s="251">
        <f>IF(O$4&gt;DAY(EOMONTH(DATE($D$2,$B$2,1),0)),"",IFERROR(SUMIFS(DATA_GOC!$H:$H,DATA_GOC!$A:$A,"BOM",DATA_GOC!$D:$D,$B376,DATA_GOC!$E:$E,"Dầu cầu",DATA_GOC!$F:$F,"Xuất nội bộ từ téc",DATA_GOC!$B:$B,DATE($D$2,$B$2,O$4)),0))</f>
        <v>0</v>
      </c>
      <c r="P376" s="251">
        <f>IF(P$4&gt;DAY(EOMONTH(DATE($D$2,$B$2,1),0)),"",IFERROR(SUMIFS(DATA_GOC!$H:$H,DATA_GOC!$A:$A,"BOM",DATA_GOC!$D:$D,$B376,DATA_GOC!$E:$E,"Dầu cầu",DATA_GOC!$F:$F,"Xuất nội bộ từ téc",DATA_GOC!$B:$B,DATE($D$2,$B$2,P$4)),0))</f>
        <v>0</v>
      </c>
      <c r="Q376" s="251">
        <f>IF(Q$4&gt;DAY(EOMONTH(DATE($D$2,$B$2,1),0)),"",IFERROR(SUMIFS(DATA_GOC!$H:$H,DATA_GOC!$A:$A,"BOM",DATA_GOC!$D:$D,$B376,DATA_GOC!$E:$E,"Dầu cầu",DATA_GOC!$F:$F,"Xuất nội bộ từ téc",DATA_GOC!$B:$B,DATE($D$2,$B$2,Q$4)),0))</f>
        <v>0</v>
      </c>
      <c r="R376" s="251">
        <f>IF(R$4&gt;DAY(EOMONTH(DATE($D$2,$B$2,1),0)),"",IFERROR(SUMIFS(DATA_GOC!$H:$H,DATA_GOC!$A:$A,"BOM",DATA_GOC!$D:$D,$B376,DATA_GOC!$E:$E,"Dầu cầu",DATA_GOC!$F:$F,"Xuất nội bộ từ téc",DATA_GOC!$B:$B,DATE($D$2,$B$2,R$4)),0))</f>
        <v>0</v>
      </c>
      <c r="S376" s="251">
        <f>IF(S$4&gt;DAY(EOMONTH(DATE($D$2,$B$2,1),0)),"",IFERROR(SUMIFS(DATA_GOC!$H:$H,DATA_GOC!$A:$A,"BOM",DATA_GOC!$D:$D,$B376,DATA_GOC!$E:$E,"Dầu cầu",DATA_GOC!$F:$F,"Xuất nội bộ từ téc",DATA_GOC!$B:$B,DATE($D$2,$B$2,S$4)),0))</f>
        <v>0</v>
      </c>
      <c r="T376" s="251">
        <f>IF(T$4&gt;DAY(EOMONTH(DATE($D$2,$B$2,1),0)),"",IFERROR(SUMIFS(DATA_GOC!$H:$H,DATA_GOC!$A:$A,"BOM",DATA_GOC!$D:$D,$B376,DATA_GOC!$E:$E,"Dầu cầu",DATA_GOC!$F:$F,"Xuất nội bộ từ téc",DATA_GOC!$B:$B,DATE($D$2,$B$2,T$4)),0))</f>
        <v>0</v>
      </c>
      <c r="U376" s="251">
        <f>IF(U$4&gt;DAY(EOMONTH(DATE($D$2,$B$2,1),0)),"",IFERROR(SUMIFS(DATA_GOC!$H:$H,DATA_GOC!$A:$A,"BOM",DATA_GOC!$D:$D,$B376,DATA_GOC!$E:$E,"Dầu cầu",DATA_GOC!$F:$F,"Xuất nội bộ từ téc",DATA_GOC!$B:$B,DATE($D$2,$B$2,U$4)),0))</f>
        <v>0</v>
      </c>
      <c r="V376" s="251">
        <f>IF(V$4&gt;DAY(EOMONTH(DATE($D$2,$B$2,1),0)),"",IFERROR(SUMIFS(DATA_GOC!$H:$H,DATA_GOC!$A:$A,"BOM",DATA_GOC!$D:$D,$B376,DATA_GOC!$E:$E,"Dầu cầu",DATA_GOC!$F:$F,"Xuất nội bộ từ téc",DATA_GOC!$B:$B,DATE($D$2,$B$2,V$4)),0))</f>
        <v>0</v>
      </c>
      <c r="W376" s="251">
        <f>IF(W$4&gt;DAY(EOMONTH(DATE($D$2,$B$2,1),0)),"",IFERROR(SUMIFS(DATA_GOC!$H:$H,DATA_GOC!$A:$A,"BOM",DATA_GOC!$D:$D,$B376,DATA_GOC!$E:$E,"Dầu cầu",DATA_GOC!$F:$F,"Xuất nội bộ từ téc",DATA_GOC!$B:$B,DATE($D$2,$B$2,W$4)),0))</f>
        <v>0</v>
      </c>
      <c r="X376" s="251">
        <f>IF(X$4&gt;DAY(EOMONTH(DATE($D$2,$B$2,1),0)),"",IFERROR(SUMIFS(DATA_GOC!$H:$H,DATA_GOC!$A:$A,"BOM",DATA_GOC!$D:$D,$B376,DATA_GOC!$E:$E,"Dầu cầu",DATA_GOC!$F:$F,"Xuất nội bộ từ téc",DATA_GOC!$B:$B,DATE($D$2,$B$2,X$4)),0))</f>
        <v>0</v>
      </c>
      <c r="Y376" s="251">
        <f>IF(Y$4&gt;DAY(EOMONTH(DATE($D$2,$B$2,1),0)),"",IFERROR(SUMIFS(DATA_GOC!$H:$H,DATA_GOC!$A:$A,"BOM",DATA_GOC!$D:$D,$B376,DATA_GOC!$E:$E,"Dầu cầu",DATA_GOC!$F:$F,"Xuất nội bộ từ téc",DATA_GOC!$B:$B,DATE($D$2,$B$2,Y$4)),0))</f>
        <v>0</v>
      </c>
      <c r="Z376" s="251">
        <f>IF(Z$4&gt;DAY(EOMONTH(DATE($D$2,$B$2,1),0)),"",IFERROR(SUMIFS(DATA_GOC!$H:$H,DATA_GOC!$A:$A,"BOM",DATA_GOC!$D:$D,$B376,DATA_GOC!$E:$E,"Dầu cầu",DATA_GOC!$F:$F,"Xuất nội bộ từ téc",DATA_GOC!$B:$B,DATE($D$2,$B$2,Z$4)),0))</f>
        <v>0</v>
      </c>
      <c r="AA376" s="251">
        <f>IF(AA$4&gt;DAY(EOMONTH(DATE($D$2,$B$2,1),0)),"",IFERROR(SUMIFS(DATA_GOC!$H:$H,DATA_GOC!$A:$A,"BOM",DATA_GOC!$D:$D,$B376,DATA_GOC!$E:$E,"Dầu cầu",DATA_GOC!$F:$F,"Xuất nội bộ từ téc",DATA_GOC!$B:$B,DATE($D$2,$B$2,AA$4)),0))</f>
        <v>0</v>
      </c>
      <c r="AB376" s="251">
        <f>IF(AB$4&gt;DAY(EOMONTH(DATE($D$2,$B$2,1),0)),"",IFERROR(SUMIFS(DATA_GOC!$H:$H,DATA_GOC!$A:$A,"BOM",DATA_GOC!$D:$D,$B376,DATA_GOC!$E:$E,"Dầu cầu",DATA_GOC!$F:$F,"Xuất nội bộ từ téc",DATA_GOC!$B:$B,DATE($D$2,$B$2,AB$4)),0))</f>
        <v>0</v>
      </c>
      <c r="AC376" s="251">
        <f>IF(AC$4&gt;DAY(EOMONTH(DATE($D$2,$B$2,1),0)),"",IFERROR(SUMIFS(DATA_GOC!$H:$H,DATA_GOC!$A:$A,"BOM",DATA_GOC!$D:$D,$B376,DATA_GOC!$E:$E,"Dầu cầu",DATA_GOC!$F:$F,"Xuất nội bộ từ téc",DATA_GOC!$B:$B,DATE($D$2,$B$2,AC$4)),0))</f>
        <v>0</v>
      </c>
      <c r="AD376" s="251">
        <f>IF(AD$4&gt;DAY(EOMONTH(DATE($D$2,$B$2,1),0)),"",IFERROR(SUMIFS(DATA_GOC!$H:$H,DATA_GOC!$A:$A,"BOM",DATA_GOC!$D:$D,$B376,DATA_GOC!$E:$E,"Dầu cầu",DATA_GOC!$F:$F,"Xuất nội bộ từ téc",DATA_GOC!$B:$B,DATE($D$2,$B$2,AD$4)),0))</f>
        <v>0</v>
      </c>
      <c r="AE376" s="251">
        <f>IF(AE$4&gt;DAY(EOMONTH(DATE($D$2,$B$2,1),0)),"",IFERROR(SUMIFS(DATA_GOC!$H:$H,DATA_GOC!$A:$A,"BOM",DATA_GOC!$D:$D,$B376,DATA_GOC!$E:$E,"Dầu cầu",DATA_GOC!$F:$F,"Xuất nội bộ từ téc",DATA_GOC!$B:$B,DATE($D$2,$B$2,AE$4)),0))</f>
        <v>0</v>
      </c>
      <c r="AF376" s="251">
        <f>IF(AF$4&gt;DAY(EOMONTH(DATE($D$2,$B$2,1),0)),"",IFERROR(SUMIFS(DATA_GOC!$H:$H,DATA_GOC!$A:$A,"BOM",DATA_GOC!$D:$D,$B376,DATA_GOC!$E:$E,"Dầu cầu",DATA_GOC!$F:$F,"Xuất nội bộ từ téc",DATA_GOC!$B:$B,DATE($D$2,$B$2,AF$4)),0))</f>
        <v>0</v>
      </c>
      <c r="AG376" s="251">
        <f>IF(AG$4&gt;DAY(EOMONTH(DATE($D$2,$B$2,1),0)),"",IFERROR(SUMIFS(DATA_GOC!$H:$H,DATA_GOC!$A:$A,"BOM",DATA_GOC!$D:$D,$B376,DATA_GOC!$E:$E,"Dầu cầu",DATA_GOC!$F:$F,"Xuất nội bộ từ téc",DATA_GOC!$B:$B,DATE($D$2,$B$2,AG$4)),0))</f>
        <v>0</v>
      </c>
      <c r="AH376" s="252">
        <f t="shared" si="19"/>
        <v>0</v>
      </c>
      <c r="AI376" s="241"/>
      <c r="AJ376" s="242">
        <f>IF($B376="","",SUMIFS(TINH_TEC!$K$233:$K$9232,TINH_TEC!$H$233:$H$9232,$B376,TINH_TEC!$C$233:$C$9232,"Dầu cầu",TINH_TEC!$F$233:$F$9232,$B$2,TINH_TEC!$G$233:$G$9232,$D$2,TINH_TEC!$B$233:$B$9232,"Đã chốt"))</f>
        <v>0</v>
      </c>
      <c r="AK376" s="242">
        <f>IF($B376="","",SUMIFS(TINH_TEC!$J$233:$J$9232,TINH_TEC!$H$233:$H$9232,$B376,TINH_TEC!$C$233:$C$9232,"Dầu cầu",TINH_TEC!$F$233:$F$9232,$B$2,TINH_TEC!$G$233:$G$9232,$D$2,TINH_TEC!$B$233:$B$9232,"Đã chốt"))</f>
        <v>0</v>
      </c>
      <c r="AL376" s="242">
        <f t="shared" si="20"/>
        <v>0</v>
      </c>
    </row>
    <row r="377" ht="15.75" customHeight="1">
      <c r="A377" s="237">
        <f>IF($B377&lt;&gt;"",6,"")</f>
        <v>6</v>
      </c>
      <c r="B377" s="250" t="str">
        <f t="array" ref="B377">IFERROR(INDEX(DANH_MUC!$E:$E,9),"")</f>
        <v>28C01544</v>
      </c>
      <c r="C377" s="251">
        <f>IF(C$4&gt;DAY(EOMONTH(DATE($D$2,$B$2,1),0)),"",IFERROR(SUMIFS(DATA_GOC!$H:$H,DATA_GOC!$A:$A,"BOM",DATA_GOC!$D:$D,$B377,DATA_GOC!$E:$E,"Dầu cầu",DATA_GOC!$F:$F,"Xuất nội bộ từ téc",DATA_GOC!$B:$B,DATE($D$2,$B$2,C$4)),0))</f>
        <v>0</v>
      </c>
      <c r="D377" s="251">
        <f>IF(D$4&gt;DAY(EOMONTH(DATE($D$2,$B$2,1),0)),"",IFERROR(SUMIFS(DATA_GOC!$H:$H,DATA_GOC!$A:$A,"BOM",DATA_GOC!$D:$D,$B377,DATA_GOC!$E:$E,"Dầu cầu",DATA_GOC!$F:$F,"Xuất nội bộ từ téc",DATA_GOC!$B:$B,DATE($D$2,$B$2,D$4)),0))</f>
        <v>0</v>
      </c>
      <c r="E377" s="251">
        <f>IF(E$4&gt;DAY(EOMONTH(DATE($D$2,$B$2,1),0)),"",IFERROR(SUMIFS(DATA_GOC!$H:$H,DATA_GOC!$A:$A,"BOM",DATA_GOC!$D:$D,$B377,DATA_GOC!$E:$E,"Dầu cầu",DATA_GOC!$F:$F,"Xuất nội bộ từ téc",DATA_GOC!$B:$B,DATE($D$2,$B$2,E$4)),0))</f>
        <v>0</v>
      </c>
      <c r="F377" s="251">
        <f>IF(F$4&gt;DAY(EOMONTH(DATE($D$2,$B$2,1),0)),"",IFERROR(SUMIFS(DATA_GOC!$H:$H,DATA_GOC!$A:$A,"BOM",DATA_GOC!$D:$D,$B377,DATA_GOC!$E:$E,"Dầu cầu",DATA_GOC!$F:$F,"Xuất nội bộ từ téc",DATA_GOC!$B:$B,DATE($D$2,$B$2,F$4)),0))</f>
        <v>0</v>
      </c>
      <c r="G377" s="251">
        <f>IF(G$4&gt;DAY(EOMONTH(DATE($D$2,$B$2,1),0)),"",IFERROR(SUMIFS(DATA_GOC!$H:$H,DATA_GOC!$A:$A,"BOM",DATA_GOC!$D:$D,$B377,DATA_GOC!$E:$E,"Dầu cầu",DATA_GOC!$F:$F,"Xuất nội bộ từ téc",DATA_GOC!$B:$B,DATE($D$2,$B$2,G$4)),0))</f>
        <v>0</v>
      </c>
      <c r="H377" s="251">
        <f>IF(H$4&gt;DAY(EOMONTH(DATE($D$2,$B$2,1),0)),"",IFERROR(SUMIFS(DATA_GOC!$H:$H,DATA_GOC!$A:$A,"BOM",DATA_GOC!$D:$D,$B377,DATA_GOC!$E:$E,"Dầu cầu",DATA_GOC!$F:$F,"Xuất nội bộ từ téc",DATA_GOC!$B:$B,DATE($D$2,$B$2,H$4)),0))</f>
        <v>0</v>
      </c>
      <c r="I377" s="251">
        <f>IF(I$4&gt;DAY(EOMONTH(DATE($D$2,$B$2,1),0)),"",IFERROR(SUMIFS(DATA_GOC!$H:$H,DATA_GOC!$A:$A,"BOM",DATA_GOC!$D:$D,$B377,DATA_GOC!$E:$E,"Dầu cầu",DATA_GOC!$F:$F,"Xuất nội bộ từ téc",DATA_GOC!$B:$B,DATE($D$2,$B$2,I$4)),0))</f>
        <v>0</v>
      </c>
      <c r="J377" s="251">
        <f>IF(J$4&gt;DAY(EOMONTH(DATE($D$2,$B$2,1),0)),"",IFERROR(SUMIFS(DATA_GOC!$H:$H,DATA_GOC!$A:$A,"BOM",DATA_GOC!$D:$D,$B377,DATA_GOC!$E:$E,"Dầu cầu",DATA_GOC!$F:$F,"Xuất nội bộ từ téc",DATA_GOC!$B:$B,DATE($D$2,$B$2,J$4)),0))</f>
        <v>0</v>
      </c>
      <c r="K377" s="251">
        <f>IF(K$4&gt;DAY(EOMONTH(DATE($D$2,$B$2,1),0)),"",IFERROR(SUMIFS(DATA_GOC!$H:$H,DATA_GOC!$A:$A,"BOM",DATA_GOC!$D:$D,$B377,DATA_GOC!$E:$E,"Dầu cầu",DATA_GOC!$F:$F,"Xuất nội bộ từ téc",DATA_GOC!$B:$B,DATE($D$2,$B$2,K$4)),0))</f>
        <v>0</v>
      </c>
      <c r="L377" s="251">
        <f>IF(L$4&gt;DAY(EOMONTH(DATE($D$2,$B$2,1),0)),"",IFERROR(SUMIFS(DATA_GOC!$H:$H,DATA_GOC!$A:$A,"BOM",DATA_GOC!$D:$D,$B377,DATA_GOC!$E:$E,"Dầu cầu",DATA_GOC!$F:$F,"Xuất nội bộ từ téc",DATA_GOC!$B:$B,DATE($D$2,$B$2,L$4)),0))</f>
        <v>0</v>
      </c>
      <c r="M377" s="251">
        <f>IF(M$4&gt;DAY(EOMONTH(DATE($D$2,$B$2,1),0)),"",IFERROR(SUMIFS(DATA_GOC!$H:$H,DATA_GOC!$A:$A,"BOM",DATA_GOC!$D:$D,$B377,DATA_GOC!$E:$E,"Dầu cầu",DATA_GOC!$F:$F,"Xuất nội bộ từ téc",DATA_GOC!$B:$B,DATE($D$2,$B$2,M$4)),0))</f>
        <v>0</v>
      </c>
      <c r="N377" s="251">
        <f>IF(N$4&gt;DAY(EOMONTH(DATE($D$2,$B$2,1),0)),"",IFERROR(SUMIFS(DATA_GOC!$H:$H,DATA_GOC!$A:$A,"BOM",DATA_GOC!$D:$D,$B377,DATA_GOC!$E:$E,"Dầu cầu",DATA_GOC!$F:$F,"Xuất nội bộ từ téc",DATA_GOC!$B:$B,DATE($D$2,$B$2,N$4)),0))</f>
        <v>0</v>
      </c>
      <c r="O377" s="251">
        <f>IF(O$4&gt;DAY(EOMONTH(DATE($D$2,$B$2,1),0)),"",IFERROR(SUMIFS(DATA_GOC!$H:$H,DATA_GOC!$A:$A,"BOM",DATA_GOC!$D:$D,$B377,DATA_GOC!$E:$E,"Dầu cầu",DATA_GOC!$F:$F,"Xuất nội bộ từ téc",DATA_GOC!$B:$B,DATE($D$2,$B$2,O$4)),0))</f>
        <v>0</v>
      </c>
      <c r="P377" s="251">
        <f>IF(P$4&gt;DAY(EOMONTH(DATE($D$2,$B$2,1),0)),"",IFERROR(SUMIFS(DATA_GOC!$H:$H,DATA_GOC!$A:$A,"BOM",DATA_GOC!$D:$D,$B377,DATA_GOC!$E:$E,"Dầu cầu",DATA_GOC!$F:$F,"Xuất nội bộ từ téc",DATA_GOC!$B:$B,DATE($D$2,$B$2,P$4)),0))</f>
        <v>0</v>
      </c>
      <c r="Q377" s="251">
        <f>IF(Q$4&gt;DAY(EOMONTH(DATE($D$2,$B$2,1),0)),"",IFERROR(SUMIFS(DATA_GOC!$H:$H,DATA_GOC!$A:$A,"BOM",DATA_GOC!$D:$D,$B377,DATA_GOC!$E:$E,"Dầu cầu",DATA_GOC!$F:$F,"Xuất nội bộ từ téc",DATA_GOC!$B:$B,DATE($D$2,$B$2,Q$4)),0))</f>
        <v>0</v>
      </c>
      <c r="R377" s="251">
        <f>IF(R$4&gt;DAY(EOMONTH(DATE($D$2,$B$2,1),0)),"",IFERROR(SUMIFS(DATA_GOC!$H:$H,DATA_GOC!$A:$A,"BOM",DATA_GOC!$D:$D,$B377,DATA_GOC!$E:$E,"Dầu cầu",DATA_GOC!$F:$F,"Xuất nội bộ từ téc",DATA_GOC!$B:$B,DATE($D$2,$B$2,R$4)),0))</f>
        <v>0</v>
      </c>
      <c r="S377" s="251">
        <f>IF(S$4&gt;DAY(EOMONTH(DATE($D$2,$B$2,1),0)),"",IFERROR(SUMIFS(DATA_GOC!$H:$H,DATA_GOC!$A:$A,"BOM",DATA_GOC!$D:$D,$B377,DATA_GOC!$E:$E,"Dầu cầu",DATA_GOC!$F:$F,"Xuất nội bộ từ téc",DATA_GOC!$B:$B,DATE($D$2,$B$2,S$4)),0))</f>
        <v>0</v>
      </c>
      <c r="T377" s="251">
        <f>IF(T$4&gt;DAY(EOMONTH(DATE($D$2,$B$2,1),0)),"",IFERROR(SUMIFS(DATA_GOC!$H:$H,DATA_GOC!$A:$A,"BOM",DATA_GOC!$D:$D,$B377,DATA_GOC!$E:$E,"Dầu cầu",DATA_GOC!$F:$F,"Xuất nội bộ từ téc",DATA_GOC!$B:$B,DATE($D$2,$B$2,T$4)),0))</f>
        <v>0</v>
      </c>
      <c r="U377" s="251">
        <f>IF(U$4&gt;DAY(EOMONTH(DATE($D$2,$B$2,1),0)),"",IFERROR(SUMIFS(DATA_GOC!$H:$H,DATA_GOC!$A:$A,"BOM",DATA_GOC!$D:$D,$B377,DATA_GOC!$E:$E,"Dầu cầu",DATA_GOC!$F:$F,"Xuất nội bộ từ téc",DATA_GOC!$B:$B,DATE($D$2,$B$2,U$4)),0))</f>
        <v>0</v>
      </c>
      <c r="V377" s="251">
        <f>IF(V$4&gt;DAY(EOMONTH(DATE($D$2,$B$2,1),0)),"",IFERROR(SUMIFS(DATA_GOC!$H:$H,DATA_GOC!$A:$A,"BOM",DATA_GOC!$D:$D,$B377,DATA_GOC!$E:$E,"Dầu cầu",DATA_GOC!$F:$F,"Xuất nội bộ từ téc",DATA_GOC!$B:$B,DATE($D$2,$B$2,V$4)),0))</f>
        <v>0</v>
      </c>
      <c r="W377" s="251">
        <f>IF(W$4&gt;DAY(EOMONTH(DATE($D$2,$B$2,1),0)),"",IFERROR(SUMIFS(DATA_GOC!$H:$H,DATA_GOC!$A:$A,"BOM",DATA_GOC!$D:$D,$B377,DATA_GOC!$E:$E,"Dầu cầu",DATA_GOC!$F:$F,"Xuất nội bộ từ téc",DATA_GOC!$B:$B,DATE($D$2,$B$2,W$4)),0))</f>
        <v>0</v>
      </c>
      <c r="X377" s="251">
        <f>IF(X$4&gt;DAY(EOMONTH(DATE($D$2,$B$2,1),0)),"",IFERROR(SUMIFS(DATA_GOC!$H:$H,DATA_GOC!$A:$A,"BOM",DATA_GOC!$D:$D,$B377,DATA_GOC!$E:$E,"Dầu cầu",DATA_GOC!$F:$F,"Xuất nội bộ từ téc",DATA_GOC!$B:$B,DATE($D$2,$B$2,X$4)),0))</f>
        <v>0</v>
      </c>
      <c r="Y377" s="251">
        <f>IF(Y$4&gt;DAY(EOMONTH(DATE($D$2,$B$2,1),0)),"",IFERROR(SUMIFS(DATA_GOC!$H:$H,DATA_GOC!$A:$A,"BOM",DATA_GOC!$D:$D,$B377,DATA_GOC!$E:$E,"Dầu cầu",DATA_GOC!$F:$F,"Xuất nội bộ từ téc",DATA_GOC!$B:$B,DATE($D$2,$B$2,Y$4)),0))</f>
        <v>0</v>
      </c>
      <c r="Z377" s="251">
        <f>IF(Z$4&gt;DAY(EOMONTH(DATE($D$2,$B$2,1),0)),"",IFERROR(SUMIFS(DATA_GOC!$H:$H,DATA_GOC!$A:$A,"BOM",DATA_GOC!$D:$D,$B377,DATA_GOC!$E:$E,"Dầu cầu",DATA_GOC!$F:$F,"Xuất nội bộ từ téc",DATA_GOC!$B:$B,DATE($D$2,$B$2,Z$4)),0))</f>
        <v>0</v>
      </c>
      <c r="AA377" s="251">
        <f>IF(AA$4&gt;DAY(EOMONTH(DATE($D$2,$B$2,1),0)),"",IFERROR(SUMIFS(DATA_GOC!$H:$H,DATA_GOC!$A:$A,"BOM",DATA_GOC!$D:$D,$B377,DATA_GOC!$E:$E,"Dầu cầu",DATA_GOC!$F:$F,"Xuất nội bộ từ téc",DATA_GOC!$B:$B,DATE($D$2,$B$2,AA$4)),0))</f>
        <v>0</v>
      </c>
      <c r="AB377" s="251">
        <f>IF(AB$4&gt;DAY(EOMONTH(DATE($D$2,$B$2,1),0)),"",IFERROR(SUMIFS(DATA_GOC!$H:$H,DATA_GOC!$A:$A,"BOM",DATA_GOC!$D:$D,$B377,DATA_GOC!$E:$E,"Dầu cầu",DATA_GOC!$F:$F,"Xuất nội bộ từ téc",DATA_GOC!$B:$B,DATE($D$2,$B$2,AB$4)),0))</f>
        <v>0</v>
      </c>
      <c r="AC377" s="251">
        <f>IF(AC$4&gt;DAY(EOMONTH(DATE($D$2,$B$2,1),0)),"",IFERROR(SUMIFS(DATA_GOC!$H:$H,DATA_GOC!$A:$A,"BOM",DATA_GOC!$D:$D,$B377,DATA_GOC!$E:$E,"Dầu cầu",DATA_GOC!$F:$F,"Xuất nội bộ từ téc",DATA_GOC!$B:$B,DATE($D$2,$B$2,AC$4)),0))</f>
        <v>0</v>
      </c>
      <c r="AD377" s="251">
        <f>IF(AD$4&gt;DAY(EOMONTH(DATE($D$2,$B$2,1),0)),"",IFERROR(SUMIFS(DATA_GOC!$H:$H,DATA_GOC!$A:$A,"BOM",DATA_GOC!$D:$D,$B377,DATA_GOC!$E:$E,"Dầu cầu",DATA_GOC!$F:$F,"Xuất nội bộ từ téc",DATA_GOC!$B:$B,DATE($D$2,$B$2,AD$4)),0))</f>
        <v>0</v>
      </c>
      <c r="AE377" s="251">
        <f>IF(AE$4&gt;DAY(EOMONTH(DATE($D$2,$B$2,1),0)),"",IFERROR(SUMIFS(DATA_GOC!$H:$H,DATA_GOC!$A:$A,"BOM",DATA_GOC!$D:$D,$B377,DATA_GOC!$E:$E,"Dầu cầu",DATA_GOC!$F:$F,"Xuất nội bộ từ téc",DATA_GOC!$B:$B,DATE($D$2,$B$2,AE$4)),0))</f>
        <v>0</v>
      </c>
      <c r="AF377" s="251">
        <f>IF(AF$4&gt;DAY(EOMONTH(DATE($D$2,$B$2,1),0)),"",IFERROR(SUMIFS(DATA_GOC!$H:$H,DATA_GOC!$A:$A,"BOM",DATA_GOC!$D:$D,$B377,DATA_GOC!$E:$E,"Dầu cầu",DATA_GOC!$F:$F,"Xuất nội bộ từ téc",DATA_GOC!$B:$B,DATE($D$2,$B$2,AF$4)),0))</f>
        <v>0</v>
      </c>
      <c r="AG377" s="251">
        <f>IF(AG$4&gt;DAY(EOMONTH(DATE($D$2,$B$2,1),0)),"",IFERROR(SUMIFS(DATA_GOC!$H:$H,DATA_GOC!$A:$A,"BOM",DATA_GOC!$D:$D,$B377,DATA_GOC!$E:$E,"Dầu cầu",DATA_GOC!$F:$F,"Xuất nội bộ từ téc",DATA_GOC!$B:$B,DATE($D$2,$B$2,AG$4)),0))</f>
        <v>0</v>
      </c>
      <c r="AH377" s="252">
        <f t="shared" si="19"/>
        <v>0</v>
      </c>
      <c r="AI377" s="241"/>
      <c r="AJ377" s="242">
        <f>IF($B377="","",SUMIFS(TINH_TEC!$K$233:$K$9232,TINH_TEC!$H$233:$H$9232,$B377,TINH_TEC!$C$233:$C$9232,"Dầu cầu",TINH_TEC!$F$233:$F$9232,$B$2,TINH_TEC!$G$233:$G$9232,$D$2,TINH_TEC!$B$233:$B$9232,"Đã chốt"))</f>
        <v>0</v>
      </c>
      <c r="AK377" s="242">
        <f>IF($B377="","",SUMIFS(TINH_TEC!$J$233:$J$9232,TINH_TEC!$H$233:$H$9232,$B377,TINH_TEC!$C$233:$C$9232,"Dầu cầu",TINH_TEC!$F$233:$F$9232,$B$2,TINH_TEC!$G$233:$G$9232,$D$2,TINH_TEC!$B$233:$B$9232,"Đã chốt"))</f>
        <v>0</v>
      </c>
      <c r="AL377" s="242">
        <f t="shared" si="20"/>
        <v>0</v>
      </c>
    </row>
    <row r="378" ht="15.75" customHeight="1">
      <c r="A378" s="237">
        <f>IF($B378&lt;&gt;"",7,"")</f>
        <v>7</v>
      </c>
      <c r="B378" s="250" t="str">
        <f t="array" ref="B378">IFERROR(INDEX(DANH_MUC!$E:$E,10),"")</f>
        <v>28C01622</v>
      </c>
      <c r="C378" s="251">
        <f>IF(C$4&gt;DAY(EOMONTH(DATE($D$2,$B$2,1),0)),"",IFERROR(SUMIFS(DATA_GOC!$H:$H,DATA_GOC!$A:$A,"BOM",DATA_GOC!$D:$D,$B378,DATA_GOC!$E:$E,"Dầu cầu",DATA_GOC!$F:$F,"Xuất nội bộ từ téc",DATA_GOC!$B:$B,DATE($D$2,$B$2,C$4)),0))</f>
        <v>0</v>
      </c>
      <c r="D378" s="251">
        <f>IF(D$4&gt;DAY(EOMONTH(DATE($D$2,$B$2,1),0)),"",IFERROR(SUMIFS(DATA_GOC!$H:$H,DATA_GOC!$A:$A,"BOM",DATA_GOC!$D:$D,$B378,DATA_GOC!$E:$E,"Dầu cầu",DATA_GOC!$F:$F,"Xuất nội bộ từ téc",DATA_GOC!$B:$B,DATE($D$2,$B$2,D$4)),0))</f>
        <v>0</v>
      </c>
      <c r="E378" s="251">
        <f>IF(E$4&gt;DAY(EOMONTH(DATE($D$2,$B$2,1),0)),"",IFERROR(SUMIFS(DATA_GOC!$H:$H,DATA_GOC!$A:$A,"BOM",DATA_GOC!$D:$D,$B378,DATA_GOC!$E:$E,"Dầu cầu",DATA_GOC!$F:$F,"Xuất nội bộ từ téc",DATA_GOC!$B:$B,DATE($D$2,$B$2,E$4)),0))</f>
        <v>0</v>
      </c>
      <c r="F378" s="251">
        <f>IF(F$4&gt;DAY(EOMONTH(DATE($D$2,$B$2,1),0)),"",IFERROR(SUMIFS(DATA_GOC!$H:$H,DATA_GOC!$A:$A,"BOM",DATA_GOC!$D:$D,$B378,DATA_GOC!$E:$E,"Dầu cầu",DATA_GOC!$F:$F,"Xuất nội bộ từ téc",DATA_GOC!$B:$B,DATE($D$2,$B$2,F$4)),0))</f>
        <v>0</v>
      </c>
      <c r="G378" s="251">
        <f>IF(G$4&gt;DAY(EOMONTH(DATE($D$2,$B$2,1),0)),"",IFERROR(SUMIFS(DATA_GOC!$H:$H,DATA_GOC!$A:$A,"BOM",DATA_GOC!$D:$D,$B378,DATA_GOC!$E:$E,"Dầu cầu",DATA_GOC!$F:$F,"Xuất nội bộ từ téc",DATA_GOC!$B:$B,DATE($D$2,$B$2,G$4)),0))</f>
        <v>0</v>
      </c>
      <c r="H378" s="251">
        <f>IF(H$4&gt;DAY(EOMONTH(DATE($D$2,$B$2,1),0)),"",IFERROR(SUMIFS(DATA_GOC!$H:$H,DATA_GOC!$A:$A,"BOM",DATA_GOC!$D:$D,$B378,DATA_GOC!$E:$E,"Dầu cầu",DATA_GOC!$F:$F,"Xuất nội bộ từ téc",DATA_GOC!$B:$B,DATE($D$2,$B$2,H$4)),0))</f>
        <v>0</v>
      </c>
      <c r="I378" s="251">
        <f>IF(I$4&gt;DAY(EOMONTH(DATE($D$2,$B$2,1),0)),"",IFERROR(SUMIFS(DATA_GOC!$H:$H,DATA_GOC!$A:$A,"BOM",DATA_GOC!$D:$D,$B378,DATA_GOC!$E:$E,"Dầu cầu",DATA_GOC!$F:$F,"Xuất nội bộ từ téc",DATA_GOC!$B:$B,DATE($D$2,$B$2,I$4)),0))</f>
        <v>0</v>
      </c>
      <c r="J378" s="251">
        <f>IF(J$4&gt;DAY(EOMONTH(DATE($D$2,$B$2,1),0)),"",IFERROR(SUMIFS(DATA_GOC!$H:$H,DATA_GOC!$A:$A,"BOM",DATA_GOC!$D:$D,$B378,DATA_GOC!$E:$E,"Dầu cầu",DATA_GOC!$F:$F,"Xuất nội bộ từ téc",DATA_GOC!$B:$B,DATE($D$2,$B$2,J$4)),0))</f>
        <v>0</v>
      </c>
      <c r="K378" s="251">
        <f>IF(K$4&gt;DAY(EOMONTH(DATE($D$2,$B$2,1),0)),"",IFERROR(SUMIFS(DATA_GOC!$H:$H,DATA_GOC!$A:$A,"BOM",DATA_GOC!$D:$D,$B378,DATA_GOC!$E:$E,"Dầu cầu",DATA_GOC!$F:$F,"Xuất nội bộ từ téc",DATA_GOC!$B:$B,DATE($D$2,$B$2,K$4)),0))</f>
        <v>0</v>
      </c>
      <c r="L378" s="251">
        <f>IF(L$4&gt;DAY(EOMONTH(DATE($D$2,$B$2,1),0)),"",IFERROR(SUMIFS(DATA_GOC!$H:$H,DATA_GOC!$A:$A,"BOM",DATA_GOC!$D:$D,$B378,DATA_GOC!$E:$E,"Dầu cầu",DATA_GOC!$F:$F,"Xuất nội bộ từ téc",DATA_GOC!$B:$B,DATE($D$2,$B$2,L$4)),0))</f>
        <v>0</v>
      </c>
      <c r="M378" s="251">
        <f>IF(M$4&gt;DAY(EOMONTH(DATE($D$2,$B$2,1),0)),"",IFERROR(SUMIFS(DATA_GOC!$H:$H,DATA_GOC!$A:$A,"BOM",DATA_GOC!$D:$D,$B378,DATA_GOC!$E:$E,"Dầu cầu",DATA_GOC!$F:$F,"Xuất nội bộ từ téc",DATA_GOC!$B:$B,DATE($D$2,$B$2,M$4)),0))</f>
        <v>0</v>
      </c>
      <c r="N378" s="251">
        <f>IF(N$4&gt;DAY(EOMONTH(DATE($D$2,$B$2,1),0)),"",IFERROR(SUMIFS(DATA_GOC!$H:$H,DATA_GOC!$A:$A,"BOM",DATA_GOC!$D:$D,$B378,DATA_GOC!$E:$E,"Dầu cầu",DATA_GOC!$F:$F,"Xuất nội bộ từ téc",DATA_GOC!$B:$B,DATE($D$2,$B$2,N$4)),0))</f>
        <v>0</v>
      </c>
      <c r="O378" s="251">
        <f>IF(O$4&gt;DAY(EOMONTH(DATE($D$2,$B$2,1),0)),"",IFERROR(SUMIFS(DATA_GOC!$H:$H,DATA_GOC!$A:$A,"BOM",DATA_GOC!$D:$D,$B378,DATA_GOC!$E:$E,"Dầu cầu",DATA_GOC!$F:$F,"Xuất nội bộ từ téc",DATA_GOC!$B:$B,DATE($D$2,$B$2,O$4)),0))</f>
        <v>0</v>
      </c>
      <c r="P378" s="251">
        <f>IF(P$4&gt;DAY(EOMONTH(DATE($D$2,$B$2,1),0)),"",IFERROR(SUMIFS(DATA_GOC!$H:$H,DATA_GOC!$A:$A,"BOM",DATA_GOC!$D:$D,$B378,DATA_GOC!$E:$E,"Dầu cầu",DATA_GOC!$F:$F,"Xuất nội bộ từ téc",DATA_GOC!$B:$B,DATE($D$2,$B$2,P$4)),0))</f>
        <v>0</v>
      </c>
      <c r="Q378" s="251">
        <f>IF(Q$4&gt;DAY(EOMONTH(DATE($D$2,$B$2,1),0)),"",IFERROR(SUMIFS(DATA_GOC!$H:$H,DATA_GOC!$A:$A,"BOM",DATA_GOC!$D:$D,$B378,DATA_GOC!$E:$E,"Dầu cầu",DATA_GOC!$F:$F,"Xuất nội bộ từ téc",DATA_GOC!$B:$B,DATE($D$2,$B$2,Q$4)),0))</f>
        <v>0</v>
      </c>
      <c r="R378" s="251">
        <f>IF(R$4&gt;DAY(EOMONTH(DATE($D$2,$B$2,1),0)),"",IFERROR(SUMIFS(DATA_GOC!$H:$H,DATA_GOC!$A:$A,"BOM",DATA_GOC!$D:$D,$B378,DATA_GOC!$E:$E,"Dầu cầu",DATA_GOC!$F:$F,"Xuất nội bộ từ téc",DATA_GOC!$B:$B,DATE($D$2,$B$2,R$4)),0))</f>
        <v>0</v>
      </c>
      <c r="S378" s="251">
        <f>IF(S$4&gt;DAY(EOMONTH(DATE($D$2,$B$2,1),0)),"",IFERROR(SUMIFS(DATA_GOC!$H:$H,DATA_GOC!$A:$A,"BOM",DATA_GOC!$D:$D,$B378,DATA_GOC!$E:$E,"Dầu cầu",DATA_GOC!$F:$F,"Xuất nội bộ từ téc",DATA_GOC!$B:$B,DATE($D$2,$B$2,S$4)),0))</f>
        <v>0</v>
      </c>
      <c r="T378" s="251">
        <f>IF(T$4&gt;DAY(EOMONTH(DATE($D$2,$B$2,1),0)),"",IFERROR(SUMIFS(DATA_GOC!$H:$H,DATA_GOC!$A:$A,"BOM",DATA_GOC!$D:$D,$B378,DATA_GOC!$E:$E,"Dầu cầu",DATA_GOC!$F:$F,"Xuất nội bộ từ téc",DATA_GOC!$B:$B,DATE($D$2,$B$2,T$4)),0))</f>
        <v>0</v>
      </c>
      <c r="U378" s="251">
        <f>IF(U$4&gt;DAY(EOMONTH(DATE($D$2,$B$2,1),0)),"",IFERROR(SUMIFS(DATA_GOC!$H:$H,DATA_GOC!$A:$A,"BOM",DATA_GOC!$D:$D,$B378,DATA_GOC!$E:$E,"Dầu cầu",DATA_GOC!$F:$F,"Xuất nội bộ từ téc",DATA_GOC!$B:$B,DATE($D$2,$B$2,U$4)),0))</f>
        <v>0</v>
      </c>
      <c r="V378" s="251">
        <f>IF(V$4&gt;DAY(EOMONTH(DATE($D$2,$B$2,1),0)),"",IFERROR(SUMIFS(DATA_GOC!$H:$H,DATA_GOC!$A:$A,"BOM",DATA_GOC!$D:$D,$B378,DATA_GOC!$E:$E,"Dầu cầu",DATA_GOC!$F:$F,"Xuất nội bộ từ téc",DATA_GOC!$B:$B,DATE($D$2,$B$2,V$4)),0))</f>
        <v>0</v>
      </c>
      <c r="W378" s="251">
        <f>IF(W$4&gt;DAY(EOMONTH(DATE($D$2,$B$2,1),0)),"",IFERROR(SUMIFS(DATA_GOC!$H:$H,DATA_GOC!$A:$A,"BOM",DATA_GOC!$D:$D,$B378,DATA_GOC!$E:$E,"Dầu cầu",DATA_GOC!$F:$F,"Xuất nội bộ từ téc",DATA_GOC!$B:$B,DATE($D$2,$B$2,W$4)),0))</f>
        <v>0</v>
      </c>
      <c r="X378" s="251">
        <f>IF(X$4&gt;DAY(EOMONTH(DATE($D$2,$B$2,1),0)),"",IFERROR(SUMIFS(DATA_GOC!$H:$H,DATA_GOC!$A:$A,"BOM",DATA_GOC!$D:$D,$B378,DATA_GOC!$E:$E,"Dầu cầu",DATA_GOC!$F:$F,"Xuất nội bộ từ téc",DATA_GOC!$B:$B,DATE($D$2,$B$2,X$4)),0))</f>
        <v>0</v>
      </c>
      <c r="Y378" s="251">
        <f>IF(Y$4&gt;DAY(EOMONTH(DATE($D$2,$B$2,1),0)),"",IFERROR(SUMIFS(DATA_GOC!$H:$H,DATA_GOC!$A:$A,"BOM",DATA_GOC!$D:$D,$B378,DATA_GOC!$E:$E,"Dầu cầu",DATA_GOC!$F:$F,"Xuất nội bộ từ téc",DATA_GOC!$B:$B,DATE($D$2,$B$2,Y$4)),0))</f>
        <v>0</v>
      </c>
      <c r="Z378" s="251">
        <f>IF(Z$4&gt;DAY(EOMONTH(DATE($D$2,$B$2,1),0)),"",IFERROR(SUMIFS(DATA_GOC!$H:$H,DATA_GOC!$A:$A,"BOM",DATA_GOC!$D:$D,$B378,DATA_GOC!$E:$E,"Dầu cầu",DATA_GOC!$F:$F,"Xuất nội bộ từ téc",DATA_GOC!$B:$B,DATE($D$2,$B$2,Z$4)),0))</f>
        <v>0</v>
      </c>
      <c r="AA378" s="251">
        <f>IF(AA$4&gt;DAY(EOMONTH(DATE($D$2,$B$2,1),0)),"",IFERROR(SUMIFS(DATA_GOC!$H:$H,DATA_GOC!$A:$A,"BOM",DATA_GOC!$D:$D,$B378,DATA_GOC!$E:$E,"Dầu cầu",DATA_GOC!$F:$F,"Xuất nội bộ từ téc",DATA_GOC!$B:$B,DATE($D$2,$B$2,AA$4)),0))</f>
        <v>0</v>
      </c>
      <c r="AB378" s="251">
        <f>IF(AB$4&gt;DAY(EOMONTH(DATE($D$2,$B$2,1),0)),"",IFERROR(SUMIFS(DATA_GOC!$H:$H,DATA_GOC!$A:$A,"BOM",DATA_GOC!$D:$D,$B378,DATA_GOC!$E:$E,"Dầu cầu",DATA_GOC!$F:$F,"Xuất nội bộ từ téc",DATA_GOC!$B:$B,DATE($D$2,$B$2,AB$4)),0))</f>
        <v>0</v>
      </c>
      <c r="AC378" s="251">
        <f>IF(AC$4&gt;DAY(EOMONTH(DATE($D$2,$B$2,1),0)),"",IFERROR(SUMIFS(DATA_GOC!$H:$H,DATA_GOC!$A:$A,"BOM",DATA_GOC!$D:$D,$B378,DATA_GOC!$E:$E,"Dầu cầu",DATA_GOC!$F:$F,"Xuất nội bộ từ téc",DATA_GOC!$B:$B,DATE($D$2,$B$2,AC$4)),0))</f>
        <v>0</v>
      </c>
      <c r="AD378" s="251">
        <f>IF(AD$4&gt;DAY(EOMONTH(DATE($D$2,$B$2,1),0)),"",IFERROR(SUMIFS(DATA_GOC!$H:$H,DATA_GOC!$A:$A,"BOM",DATA_GOC!$D:$D,$B378,DATA_GOC!$E:$E,"Dầu cầu",DATA_GOC!$F:$F,"Xuất nội bộ từ téc",DATA_GOC!$B:$B,DATE($D$2,$B$2,AD$4)),0))</f>
        <v>0</v>
      </c>
      <c r="AE378" s="251">
        <f>IF(AE$4&gt;DAY(EOMONTH(DATE($D$2,$B$2,1),0)),"",IFERROR(SUMIFS(DATA_GOC!$H:$H,DATA_GOC!$A:$A,"BOM",DATA_GOC!$D:$D,$B378,DATA_GOC!$E:$E,"Dầu cầu",DATA_GOC!$F:$F,"Xuất nội bộ từ téc",DATA_GOC!$B:$B,DATE($D$2,$B$2,AE$4)),0))</f>
        <v>0</v>
      </c>
      <c r="AF378" s="251">
        <f>IF(AF$4&gt;DAY(EOMONTH(DATE($D$2,$B$2,1),0)),"",IFERROR(SUMIFS(DATA_GOC!$H:$H,DATA_GOC!$A:$A,"BOM",DATA_GOC!$D:$D,$B378,DATA_GOC!$E:$E,"Dầu cầu",DATA_GOC!$F:$F,"Xuất nội bộ từ téc",DATA_GOC!$B:$B,DATE($D$2,$B$2,AF$4)),0))</f>
        <v>0</v>
      </c>
      <c r="AG378" s="251">
        <f>IF(AG$4&gt;DAY(EOMONTH(DATE($D$2,$B$2,1),0)),"",IFERROR(SUMIFS(DATA_GOC!$H:$H,DATA_GOC!$A:$A,"BOM",DATA_GOC!$D:$D,$B378,DATA_GOC!$E:$E,"Dầu cầu",DATA_GOC!$F:$F,"Xuất nội bộ từ téc",DATA_GOC!$B:$B,DATE($D$2,$B$2,AG$4)),0))</f>
        <v>0</v>
      </c>
      <c r="AH378" s="252">
        <f t="shared" si="19"/>
        <v>0</v>
      </c>
      <c r="AI378" s="241"/>
      <c r="AJ378" s="242">
        <f>IF($B378="","",SUMIFS(TINH_TEC!$K$233:$K$9232,TINH_TEC!$H$233:$H$9232,$B378,TINH_TEC!$C$233:$C$9232,"Dầu cầu",TINH_TEC!$F$233:$F$9232,$B$2,TINH_TEC!$G$233:$G$9232,$D$2,TINH_TEC!$B$233:$B$9232,"Đã chốt"))</f>
        <v>0</v>
      </c>
      <c r="AK378" s="242">
        <f>IF($B378="","",SUMIFS(TINH_TEC!$J$233:$J$9232,TINH_TEC!$H$233:$H$9232,$B378,TINH_TEC!$C$233:$C$9232,"Dầu cầu",TINH_TEC!$F$233:$F$9232,$B$2,TINH_TEC!$G$233:$G$9232,$D$2,TINH_TEC!$B$233:$B$9232,"Đã chốt"))</f>
        <v>0</v>
      </c>
      <c r="AL378" s="242">
        <f t="shared" si="20"/>
        <v>0</v>
      </c>
    </row>
    <row r="379" ht="15.75" customHeight="1">
      <c r="A379" s="237">
        <f>IF($B379&lt;&gt;"",8,"")</f>
        <v>8</v>
      </c>
      <c r="B379" s="250" t="str">
        <f t="array" ref="B379">IFERROR(INDEX(DANH_MUC!$E:$E,11),"")</f>
        <v>28C01647</v>
      </c>
      <c r="C379" s="251">
        <f>IF(C$4&gt;DAY(EOMONTH(DATE($D$2,$B$2,1),0)),"",IFERROR(SUMIFS(DATA_GOC!$H:$H,DATA_GOC!$A:$A,"BOM",DATA_GOC!$D:$D,$B379,DATA_GOC!$E:$E,"Dầu cầu",DATA_GOC!$F:$F,"Xuất nội bộ từ téc",DATA_GOC!$B:$B,DATE($D$2,$B$2,C$4)),0))</f>
        <v>0</v>
      </c>
      <c r="D379" s="251">
        <f>IF(D$4&gt;DAY(EOMONTH(DATE($D$2,$B$2,1),0)),"",IFERROR(SUMIFS(DATA_GOC!$H:$H,DATA_GOC!$A:$A,"BOM",DATA_GOC!$D:$D,$B379,DATA_GOC!$E:$E,"Dầu cầu",DATA_GOC!$F:$F,"Xuất nội bộ từ téc",DATA_GOC!$B:$B,DATE($D$2,$B$2,D$4)),0))</f>
        <v>0</v>
      </c>
      <c r="E379" s="251">
        <f>IF(E$4&gt;DAY(EOMONTH(DATE($D$2,$B$2,1),0)),"",IFERROR(SUMIFS(DATA_GOC!$H:$H,DATA_GOC!$A:$A,"BOM",DATA_GOC!$D:$D,$B379,DATA_GOC!$E:$E,"Dầu cầu",DATA_GOC!$F:$F,"Xuất nội bộ từ téc",DATA_GOC!$B:$B,DATE($D$2,$B$2,E$4)),0))</f>
        <v>0</v>
      </c>
      <c r="F379" s="251">
        <f>IF(F$4&gt;DAY(EOMONTH(DATE($D$2,$B$2,1),0)),"",IFERROR(SUMIFS(DATA_GOC!$H:$H,DATA_GOC!$A:$A,"BOM",DATA_GOC!$D:$D,$B379,DATA_GOC!$E:$E,"Dầu cầu",DATA_GOC!$F:$F,"Xuất nội bộ từ téc",DATA_GOC!$B:$B,DATE($D$2,$B$2,F$4)),0))</f>
        <v>0</v>
      </c>
      <c r="G379" s="251">
        <f>IF(G$4&gt;DAY(EOMONTH(DATE($D$2,$B$2,1),0)),"",IFERROR(SUMIFS(DATA_GOC!$H:$H,DATA_GOC!$A:$A,"BOM",DATA_GOC!$D:$D,$B379,DATA_GOC!$E:$E,"Dầu cầu",DATA_GOC!$F:$F,"Xuất nội bộ từ téc",DATA_GOC!$B:$B,DATE($D$2,$B$2,G$4)),0))</f>
        <v>0</v>
      </c>
      <c r="H379" s="251">
        <f>IF(H$4&gt;DAY(EOMONTH(DATE($D$2,$B$2,1),0)),"",IFERROR(SUMIFS(DATA_GOC!$H:$H,DATA_GOC!$A:$A,"BOM",DATA_GOC!$D:$D,$B379,DATA_GOC!$E:$E,"Dầu cầu",DATA_GOC!$F:$F,"Xuất nội bộ từ téc",DATA_GOC!$B:$B,DATE($D$2,$B$2,H$4)),0))</f>
        <v>0</v>
      </c>
      <c r="I379" s="251">
        <f>IF(I$4&gt;DAY(EOMONTH(DATE($D$2,$B$2,1),0)),"",IFERROR(SUMIFS(DATA_GOC!$H:$H,DATA_GOC!$A:$A,"BOM",DATA_GOC!$D:$D,$B379,DATA_GOC!$E:$E,"Dầu cầu",DATA_GOC!$F:$F,"Xuất nội bộ từ téc",DATA_GOC!$B:$B,DATE($D$2,$B$2,I$4)),0))</f>
        <v>0</v>
      </c>
      <c r="J379" s="251">
        <f>IF(J$4&gt;DAY(EOMONTH(DATE($D$2,$B$2,1),0)),"",IFERROR(SUMIFS(DATA_GOC!$H:$H,DATA_GOC!$A:$A,"BOM",DATA_GOC!$D:$D,$B379,DATA_GOC!$E:$E,"Dầu cầu",DATA_GOC!$F:$F,"Xuất nội bộ từ téc",DATA_GOC!$B:$B,DATE($D$2,$B$2,J$4)),0))</f>
        <v>0</v>
      </c>
      <c r="K379" s="251">
        <f>IF(K$4&gt;DAY(EOMONTH(DATE($D$2,$B$2,1),0)),"",IFERROR(SUMIFS(DATA_GOC!$H:$H,DATA_GOC!$A:$A,"BOM",DATA_GOC!$D:$D,$B379,DATA_GOC!$E:$E,"Dầu cầu",DATA_GOC!$F:$F,"Xuất nội bộ từ téc",DATA_GOC!$B:$B,DATE($D$2,$B$2,K$4)),0))</f>
        <v>0</v>
      </c>
      <c r="L379" s="251">
        <f>IF(L$4&gt;DAY(EOMONTH(DATE($D$2,$B$2,1),0)),"",IFERROR(SUMIFS(DATA_GOC!$H:$H,DATA_GOC!$A:$A,"BOM",DATA_GOC!$D:$D,$B379,DATA_GOC!$E:$E,"Dầu cầu",DATA_GOC!$F:$F,"Xuất nội bộ từ téc",DATA_GOC!$B:$B,DATE($D$2,$B$2,L$4)),0))</f>
        <v>0</v>
      </c>
      <c r="M379" s="251">
        <f>IF(M$4&gt;DAY(EOMONTH(DATE($D$2,$B$2,1),0)),"",IFERROR(SUMIFS(DATA_GOC!$H:$H,DATA_GOC!$A:$A,"BOM",DATA_GOC!$D:$D,$B379,DATA_GOC!$E:$E,"Dầu cầu",DATA_GOC!$F:$F,"Xuất nội bộ từ téc",DATA_GOC!$B:$B,DATE($D$2,$B$2,M$4)),0))</f>
        <v>0</v>
      </c>
      <c r="N379" s="251">
        <f>IF(N$4&gt;DAY(EOMONTH(DATE($D$2,$B$2,1),0)),"",IFERROR(SUMIFS(DATA_GOC!$H:$H,DATA_GOC!$A:$A,"BOM",DATA_GOC!$D:$D,$B379,DATA_GOC!$E:$E,"Dầu cầu",DATA_GOC!$F:$F,"Xuất nội bộ từ téc",DATA_GOC!$B:$B,DATE($D$2,$B$2,N$4)),0))</f>
        <v>0</v>
      </c>
      <c r="O379" s="251">
        <f>IF(O$4&gt;DAY(EOMONTH(DATE($D$2,$B$2,1),0)),"",IFERROR(SUMIFS(DATA_GOC!$H:$H,DATA_GOC!$A:$A,"BOM",DATA_GOC!$D:$D,$B379,DATA_GOC!$E:$E,"Dầu cầu",DATA_GOC!$F:$F,"Xuất nội bộ từ téc",DATA_GOC!$B:$B,DATE($D$2,$B$2,O$4)),0))</f>
        <v>0</v>
      </c>
      <c r="P379" s="251">
        <f>IF(P$4&gt;DAY(EOMONTH(DATE($D$2,$B$2,1),0)),"",IFERROR(SUMIFS(DATA_GOC!$H:$H,DATA_GOC!$A:$A,"BOM",DATA_GOC!$D:$D,$B379,DATA_GOC!$E:$E,"Dầu cầu",DATA_GOC!$F:$F,"Xuất nội bộ từ téc",DATA_GOC!$B:$B,DATE($D$2,$B$2,P$4)),0))</f>
        <v>0</v>
      </c>
      <c r="Q379" s="251">
        <f>IF(Q$4&gt;DAY(EOMONTH(DATE($D$2,$B$2,1),0)),"",IFERROR(SUMIFS(DATA_GOC!$H:$H,DATA_GOC!$A:$A,"BOM",DATA_GOC!$D:$D,$B379,DATA_GOC!$E:$E,"Dầu cầu",DATA_GOC!$F:$F,"Xuất nội bộ từ téc",DATA_GOC!$B:$B,DATE($D$2,$B$2,Q$4)),0))</f>
        <v>0</v>
      </c>
      <c r="R379" s="251">
        <f>IF(R$4&gt;DAY(EOMONTH(DATE($D$2,$B$2,1),0)),"",IFERROR(SUMIFS(DATA_GOC!$H:$H,DATA_GOC!$A:$A,"BOM",DATA_GOC!$D:$D,$B379,DATA_GOC!$E:$E,"Dầu cầu",DATA_GOC!$F:$F,"Xuất nội bộ từ téc",DATA_GOC!$B:$B,DATE($D$2,$B$2,R$4)),0))</f>
        <v>0</v>
      </c>
      <c r="S379" s="251">
        <f>IF(S$4&gt;DAY(EOMONTH(DATE($D$2,$B$2,1),0)),"",IFERROR(SUMIFS(DATA_GOC!$H:$H,DATA_GOC!$A:$A,"BOM",DATA_GOC!$D:$D,$B379,DATA_GOC!$E:$E,"Dầu cầu",DATA_GOC!$F:$F,"Xuất nội bộ từ téc",DATA_GOC!$B:$B,DATE($D$2,$B$2,S$4)),0))</f>
        <v>0</v>
      </c>
      <c r="T379" s="251">
        <f>IF(T$4&gt;DAY(EOMONTH(DATE($D$2,$B$2,1),0)),"",IFERROR(SUMIFS(DATA_GOC!$H:$H,DATA_GOC!$A:$A,"BOM",DATA_GOC!$D:$D,$B379,DATA_GOC!$E:$E,"Dầu cầu",DATA_GOC!$F:$F,"Xuất nội bộ từ téc",DATA_GOC!$B:$B,DATE($D$2,$B$2,T$4)),0))</f>
        <v>0</v>
      </c>
      <c r="U379" s="251">
        <f>IF(U$4&gt;DAY(EOMONTH(DATE($D$2,$B$2,1),0)),"",IFERROR(SUMIFS(DATA_GOC!$H:$H,DATA_GOC!$A:$A,"BOM",DATA_GOC!$D:$D,$B379,DATA_GOC!$E:$E,"Dầu cầu",DATA_GOC!$F:$F,"Xuất nội bộ từ téc",DATA_GOC!$B:$B,DATE($D$2,$B$2,U$4)),0))</f>
        <v>0</v>
      </c>
      <c r="V379" s="251">
        <f>IF(V$4&gt;DAY(EOMONTH(DATE($D$2,$B$2,1),0)),"",IFERROR(SUMIFS(DATA_GOC!$H:$H,DATA_GOC!$A:$A,"BOM",DATA_GOC!$D:$D,$B379,DATA_GOC!$E:$E,"Dầu cầu",DATA_GOC!$F:$F,"Xuất nội bộ từ téc",DATA_GOC!$B:$B,DATE($D$2,$B$2,V$4)),0))</f>
        <v>0</v>
      </c>
      <c r="W379" s="251">
        <f>IF(W$4&gt;DAY(EOMONTH(DATE($D$2,$B$2,1),0)),"",IFERROR(SUMIFS(DATA_GOC!$H:$H,DATA_GOC!$A:$A,"BOM",DATA_GOC!$D:$D,$B379,DATA_GOC!$E:$E,"Dầu cầu",DATA_GOC!$F:$F,"Xuất nội bộ từ téc",DATA_GOC!$B:$B,DATE($D$2,$B$2,W$4)),0))</f>
        <v>0</v>
      </c>
      <c r="X379" s="251">
        <f>IF(X$4&gt;DAY(EOMONTH(DATE($D$2,$B$2,1),0)),"",IFERROR(SUMIFS(DATA_GOC!$H:$H,DATA_GOC!$A:$A,"BOM",DATA_GOC!$D:$D,$B379,DATA_GOC!$E:$E,"Dầu cầu",DATA_GOC!$F:$F,"Xuất nội bộ từ téc",DATA_GOC!$B:$B,DATE($D$2,$B$2,X$4)),0))</f>
        <v>0</v>
      </c>
      <c r="Y379" s="251">
        <f>IF(Y$4&gt;DAY(EOMONTH(DATE($D$2,$B$2,1),0)),"",IFERROR(SUMIFS(DATA_GOC!$H:$H,DATA_GOC!$A:$A,"BOM",DATA_GOC!$D:$D,$B379,DATA_GOC!$E:$E,"Dầu cầu",DATA_GOC!$F:$F,"Xuất nội bộ từ téc",DATA_GOC!$B:$B,DATE($D$2,$B$2,Y$4)),0))</f>
        <v>0</v>
      </c>
      <c r="Z379" s="251">
        <f>IF(Z$4&gt;DAY(EOMONTH(DATE($D$2,$B$2,1),0)),"",IFERROR(SUMIFS(DATA_GOC!$H:$H,DATA_GOC!$A:$A,"BOM",DATA_GOC!$D:$D,$B379,DATA_GOC!$E:$E,"Dầu cầu",DATA_GOC!$F:$F,"Xuất nội bộ từ téc",DATA_GOC!$B:$B,DATE($D$2,$B$2,Z$4)),0))</f>
        <v>0</v>
      </c>
      <c r="AA379" s="251">
        <f>IF(AA$4&gt;DAY(EOMONTH(DATE($D$2,$B$2,1),0)),"",IFERROR(SUMIFS(DATA_GOC!$H:$H,DATA_GOC!$A:$A,"BOM",DATA_GOC!$D:$D,$B379,DATA_GOC!$E:$E,"Dầu cầu",DATA_GOC!$F:$F,"Xuất nội bộ từ téc",DATA_GOC!$B:$B,DATE($D$2,$B$2,AA$4)),0))</f>
        <v>0</v>
      </c>
      <c r="AB379" s="251">
        <f>IF(AB$4&gt;DAY(EOMONTH(DATE($D$2,$B$2,1),0)),"",IFERROR(SUMIFS(DATA_GOC!$H:$H,DATA_GOC!$A:$A,"BOM",DATA_GOC!$D:$D,$B379,DATA_GOC!$E:$E,"Dầu cầu",DATA_GOC!$F:$F,"Xuất nội bộ từ téc",DATA_GOC!$B:$B,DATE($D$2,$B$2,AB$4)),0))</f>
        <v>0</v>
      </c>
      <c r="AC379" s="251">
        <f>IF(AC$4&gt;DAY(EOMONTH(DATE($D$2,$B$2,1),0)),"",IFERROR(SUMIFS(DATA_GOC!$H:$H,DATA_GOC!$A:$A,"BOM",DATA_GOC!$D:$D,$B379,DATA_GOC!$E:$E,"Dầu cầu",DATA_GOC!$F:$F,"Xuất nội bộ từ téc",DATA_GOC!$B:$B,DATE($D$2,$B$2,AC$4)),0))</f>
        <v>0</v>
      </c>
      <c r="AD379" s="251">
        <f>IF(AD$4&gt;DAY(EOMONTH(DATE($D$2,$B$2,1),0)),"",IFERROR(SUMIFS(DATA_GOC!$H:$H,DATA_GOC!$A:$A,"BOM",DATA_GOC!$D:$D,$B379,DATA_GOC!$E:$E,"Dầu cầu",DATA_GOC!$F:$F,"Xuất nội bộ từ téc",DATA_GOC!$B:$B,DATE($D$2,$B$2,AD$4)),0))</f>
        <v>0</v>
      </c>
      <c r="AE379" s="251">
        <f>IF(AE$4&gt;DAY(EOMONTH(DATE($D$2,$B$2,1),0)),"",IFERROR(SUMIFS(DATA_GOC!$H:$H,DATA_GOC!$A:$A,"BOM",DATA_GOC!$D:$D,$B379,DATA_GOC!$E:$E,"Dầu cầu",DATA_GOC!$F:$F,"Xuất nội bộ từ téc",DATA_GOC!$B:$B,DATE($D$2,$B$2,AE$4)),0))</f>
        <v>0</v>
      </c>
      <c r="AF379" s="251">
        <f>IF(AF$4&gt;DAY(EOMONTH(DATE($D$2,$B$2,1),0)),"",IFERROR(SUMIFS(DATA_GOC!$H:$H,DATA_GOC!$A:$A,"BOM",DATA_GOC!$D:$D,$B379,DATA_GOC!$E:$E,"Dầu cầu",DATA_GOC!$F:$F,"Xuất nội bộ từ téc",DATA_GOC!$B:$B,DATE($D$2,$B$2,AF$4)),0))</f>
        <v>0</v>
      </c>
      <c r="AG379" s="251">
        <f>IF(AG$4&gt;DAY(EOMONTH(DATE($D$2,$B$2,1),0)),"",IFERROR(SUMIFS(DATA_GOC!$H:$H,DATA_GOC!$A:$A,"BOM",DATA_GOC!$D:$D,$B379,DATA_GOC!$E:$E,"Dầu cầu",DATA_GOC!$F:$F,"Xuất nội bộ từ téc",DATA_GOC!$B:$B,DATE($D$2,$B$2,AG$4)),0))</f>
        <v>0</v>
      </c>
      <c r="AH379" s="252">
        <f t="shared" si="19"/>
        <v>0</v>
      </c>
      <c r="AI379" s="241"/>
      <c r="AJ379" s="242">
        <f>IF($B379="","",SUMIFS(TINH_TEC!$K$233:$K$9232,TINH_TEC!$H$233:$H$9232,$B379,TINH_TEC!$C$233:$C$9232,"Dầu cầu",TINH_TEC!$F$233:$F$9232,$B$2,TINH_TEC!$G$233:$G$9232,$D$2,TINH_TEC!$B$233:$B$9232,"Đã chốt"))</f>
        <v>0</v>
      </c>
      <c r="AK379" s="242">
        <f>IF($B379="","",SUMIFS(TINH_TEC!$J$233:$J$9232,TINH_TEC!$H$233:$H$9232,$B379,TINH_TEC!$C$233:$C$9232,"Dầu cầu",TINH_TEC!$F$233:$F$9232,$B$2,TINH_TEC!$G$233:$G$9232,$D$2,TINH_TEC!$B$233:$B$9232,"Đã chốt"))</f>
        <v>0</v>
      </c>
      <c r="AL379" s="242">
        <f t="shared" si="20"/>
        <v>0</v>
      </c>
    </row>
    <row r="380" ht="15.75" customHeight="1">
      <c r="A380" s="237">
        <f>IF($B380&lt;&gt;"",9,"")</f>
        <v>9</v>
      </c>
      <c r="B380" s="250" t="str">
        <f t="array" ref="B380">IFERROR(INDEX(DANH_MUC!$E:$E,12),"")</f>
        <v>28C01731</v>
      </c>
      <c r="C380" s="251">
        <f>IF(C$4&gt;DAY(EOMONTH(DATE($D$2,$B$2,1),0)),"",IFERROR(SUMIFS(DATA_GOC!$H:$H,DATA_GOC!$A:$A,"BOM",DATA_GOC!$D:$D,$B380,DATA_GOC!$E:$E,"Dầu cầu",DATA_GOC!$F:$F,"Xuất nội bộ từ téc",DATA_GOC!$B:$B,DATE($D$2,$B$2,C$4)),0))</f>
        <v>0</v>
      </c>
      <c r="D380" s="251">
        <f>IF(D$4&gt;DAY(EOMONTH(DATE($D$2,$B$2,1),0)),"",IFERROR(SUMIFS(DATA_GOC!$H:$H,DATA_GOC!$A:$A,"BOM",DATA_GOC!$D:$D,$B380,DATA_GOC!$E:$E,"Dầu cầu",DATA_GOC!$F:$F,"Xuất nội bộ từ téc",DATA_GOC!$B:$B,DATE($D$2,$B$2,D$4)),0))</f>
        <v>0</v>
      </c>
      <c r="E380" s="251">
        <f>IF(E$4&gt;DAY(EOMONTH(DATE($D$2,$B$2,1),0)),"",IFERROR(SUMIFS(DATA_GOC!$H:$H,DATA_GOC!$A:$A,"BOM",DATA_GOC!$D:$D,$B380,DATA_GOC!$E:$E,"Dầu cầu",DATA_GOC!$F:$F,"Xuất nội bộ từ téc",DATA_GOC!$B:$B,DATE($D$2,$B$2,E$4)),0))</f>
        <v>0</v>
      </c>
      <c r="F380" s="251">
        <f>IF(F$4&gt;DAY(EOMONTH(DATE($D$2,$B$2,1),0)),"",IFERROR(SUMIFS(DATA_GOC!$H:$H,DATA_GOC!$A:$A,"BOM",DATA_GOC!$D:$D,$B380,DATA_GOC!$E:$E,"Dầu cầu",DATA_GOC!$F:$F,"Xuất nội bộ từ téc",DATA_GOC!$B:$B,DATE($D$2,$B$2,F$4)),0))</f>
        <v>0</v>
      </c>
      <c r="G380" s="251">
        <f>IF(G$4&gt;DAY(EOMONTH(DATE($D$2,$B$2,1),0)),"",IFERROR(SUMIFS(DATA_GOC!$H:$H,DATA_GOC!$A:$A,"BOM",DATA_GOC!$D:$D,$B380,DATA_GOC!$E:$E,"Dầu cầu",DATA_GOC!$F:$F,"Xuất nội bộ từ téc",DATA_GOC!$B:$B,DATE($D$2,$B$2,G$4)),0))</f>
        <v>0</v>
      </c>
      <c r="H380" s="251">
        <f>IF(H$4&gt;DAY(EOMONTH(DATE($D$2,$B$2,1),0)),"",IFERROR(SUMIFS(DATA_GOC!$H:$H,DATA_GOC!$A:$A,"BOM",DATA_GOC!$D:$D,$B380,DATA_GOC!$E:$E,"Dầu cầu",DATA_GOC!$F:$F,"Xuất nội bộ từ téc",DATA_GOC!$B:$B,DATE($D$2,$B$2,H$4)),0))</f>
        <v>0</v>
      </c>
      <c r="I380" s="251">
        <f>IF(I$4&gt;DAY(EOMONTH(DATE($D$2,$B$2,1),0)),"",IFERROR(SUMIFS(DATA_GOC!$H:$H,DATA_GOC!$A:$A,"BOM",DATA_GOC!$D:$D,$B380,DATA_GOC!$E:$E,"Dầu cầu",DATA_GOC!$F:$F,"Xuất nội bộ từ téc",DATA_GOC!$B:$B,DATE($D$2,$B$2,I$4)),0))</f>
        <v>0</v>
      </c>
      <c r="J380" s="251">
        <f>IF(J$4&gt;DAY(EOMONTH(DATE($D$2,$B$2,1),0)),"",IFERROR(SUMIFS(DATA_GOC!$H:$H,DATA_GOC!$A:$A,"BOM",DATA_GOC!$D:$D,$B380,DATA_GOC!$E:$E,"Dầu cầu",DATA_GOC!$F:$F,"Xuất nội bộ từ téc",DATA_GOC!$B:$B,DATE($D$2,$B$2,J$4)),0))</f>
        <v>0</v>
      </c>
      <c r="K380" s="251">
        <f>IF(K$4&gt;DAY(EOMONTH(DATE($D$2,$B$2,1),0)),"",IFERROR(SUMIFS(DATA_GOC!$H:$H,DATA_GOC!$A:$A,"BOM",DATA_GOC!$D:$D,$B380,DATA_GOC!$E:$E,"Dầu cầu",DATA_GOC!$F:$F,"Xuất nội bộ từ téc",DATA_GOC!$B:$B,DATE($D$2,$B$2,K$4)),0))</f>
        <v>0</v>
      </c>
      <c r="L380" s="251">
        <f>IF(L$4&gt;DAY(EOMONTH(DATE($D$2,$B$2,1),0)),"",IFERROR(SUMIFS(DATA_GOC!$H:$H,DATA_GOC!$A:$A,"BOM",DATA_GOC!$D:$D,$B380,DATA_GOC!$E:$E,"Dầu cầu",DATA_GOC!$F:$F,"Xuất nội bộ từ téc",DATA_GOC!$B:$B,DATE($D$2,$B$2,L$4)),0))</f>
        <v>0</v>
      </c>
      <c r="M380" s="251">
        <f>IF(M$4&gt;DAY(EOMONTH(DATE($D$2,$B$2,1),0)),"",IFERROR(SUMIFS(DATA_GOC!$H:$H,DATA_GOC!$A:$A,"BOM",DATA_GOC!$D:$D,$B380,DATA_GOC!$E:$E,"Dầu cầu",DATA_GOC!$F:$F,"Xuất nội bộ từ téc",DATA_GOC!$B:$B,DATE($D$2,$B$2,M$4)),0))</f>
        <v>0</v>
      </c>
      <c r="N380" s="251">
        <f>IF(N$4&gt;DAY(EOMONTH(DATE($D$2,$B$2,1),0)),"",IFERROR(SUMIFS(DATA_GOC!$H:$H,DATA_GOC!$A:$A,"BOM",DATA_GOC!$D:$D,$B380,DATA_GOC!$E:$E,"Dầu cầu",DATA_GOC!$F:$F,"Xuất nội bộ từ téc",DATA_GOC!$B:$B,DATE($D$2,$B$2,N$4)),0))</f>
        <v>0</v>
      </c>
      <c r="O380" s="251">
        <f>IF(O$4&gt;DAY(EOMONTH(DATE($D$2,$B$2,1),0)),"",IFERROR(SUMIFS(DATA_GOC!$H:$H,DATA_GOC!$A:$A,"BOM",DATA_GOC!$D:$D,$B380,DATA_GOC!$E:$E,"Dầu cầu",DATA_GOC!$F:$F,"Xuất nội bộ từ téc",DATA_GOC!$B:$B,DATE($D$2,$B$2,O$4)),0))</f>
        <v>0</v>
      </c>
      <c r="P380" s="251">
        <f>IF(P$4&gt;DAY(EOMONTH(DATE($D$2,$B$2,1),0)),"",IFERROR(SUMIFS(DATA_GOC!$H:$H,DATA_GOC!$A:$A,"BOM",DATA_GOC!$D:$D,$B380,DATA_GOC!$E:$E,"Dầu cầu",DATA_GOC!$F:$F,"Xuất nội bộ từ téc",DATA_GOC!$B:$B,DATE($D$2,$B$2,P$4)),0))</f>
        <v>0</v>
      </c>
      <c r="Q380" s="251">
        <f>IF(Q$4&gt;DAY(EOMONTH(DATE($D$2,$B$2,1),0)),"",IFERROR(SUMIFS(DATA_GOC!$H:$H,DATA_GOC!$A:$A,"BOM",DATA_GOC!$D:$D,$B380,DATA_GOC!$E:$E,"Dầu cầu",DATA_GOC!$F:$F,"Xuất nội bộ từ téc",DATA_GOC!$B:$B,DATE($D$2,$B$2,Q$4)),0))</f>
        <v>0</v>
      </c>
      <c r="R380" s="251">
        <f>IF(R$4&gt;DAY(EOMONTH(DATE($D$2,$B$2,1),0)),"",IFERROR(SUMIFS(DATA_GOC!$H:$H,DATA_GOC!$A:$A,"BOM",DATA_GOC!$D:$D,$B380,DATA_GOC!$E:$E,"Dầu cầu",DATA_GOC!$F:$F,"Xuất nội bộ từ téc",DATA_GOC!$B:$B,DATE($D$2,$B$2,R$4)),0))</f>
        <v>0</v>
      </c>
      <c r="S380" s="251">
        <f>IF(S$4&gt;DAY(EOMONTH(DATE($D$2,$B$2,1),0)),"",IFERROR(SUMIFS(DATA_GOC!$H:$H,DATA_GOC!$A:$A,"BOM",DATA_GOC!$D:$D,$B380,DATA_GOC!$E:$E,"Dầu cầu",DATA_GOC!$F:$F,"Xuất nội bộ từ téc",DATA_GOC!$B:$B,DATE($D$2,$B$2,S$4)),0))</f>
        <v>0</v>
      </c>
      <c r="T380" s="251">
        <f>IF(T$4&gt;DAY(EOMONTH(DATE($D$2,$B$2,1),0)),"",IFERROR(SUMIFS(DATA_GOC!$H:$H,DATA_GOC!$A:$A,"BOM",DATA_GOC!$D:$D,$B380,DATA_GOC!$E:$E,"Dầu cầu",DATA_GOC!$F:$F,"Xuất nội bộ từ téc",DATA_GOC!$B:$B,DATE($D$2,$B$2,T$4)),0))</f>
        <v>0</v>
      </c>
      <c r="U380" s="251">
        <f>IF(U$4&gt;DAY(EOMONTH(DATE($D$2,$B$2,1),0)),"",IFERROR(SUMIFS(DATA_GOC!$H:$H,DATA_GOC!$A:$A,"BOM",DATA_GOC!$D:$D,$B380,DATA_GOC!$E:$E,"Dầu cầu",DATA_GOC!$F:$F,"Xuất nội bộ từ téc",DATA_GOC!$B:$B,DATE($D$2,$B$2,U$4)),0))</f>
        <v>0</v>
      </c>
      <c r="V380" s="251">
        <f>IF(V$4&gt;DAY(EOMONTH(DATE($D$2,$B$2,1),0)),"",IFERROR(SUMIFS(DATA_GOC!$H:$H,DATA_GOC!$A:$A,"BOM",DATA_GOC!$D:$D,$B380,DATA_GOC!$E:$E,"Dầu cầu",DATA_GOC!$F:$F,"Xuất nội bộ từ téc",DATA_GOC!$B:$B,DATE($D$2,$B$2,V$4)),0))</f>
        <v>0</v>
      </c>
      <c r="W380" s="251">
        <f>IF(W$4&gt;DAY(EOMONTH(DATE($D$2,$B$2,1),0)),"",IFERROR(SUMIFS(DATA_GOC!$H:$H,DATA_GOC!$A:$A,"BOM",DATA_GOC!$D:$D,$B380,DATA_GOC!$E:$E,"Dầu cầu",DATA_GOC!$F:$F,"Xuất nội bộ từ téc",DATA_GOC!$B:$B,DATE($D$2,$B$2,W$4)),0))</f>
        <v>0</v>
      </c>
      <c r="X380" s="251">
        <f>IF(X$4&gt;DAY(EOMONTH(DATE($D$2,$B$2,1),0)),"",IFERROR(SUMIFS(DATA_GOC!$H:$H,DATA_GOC!$A:$A,"BOM",DATA_GOC!$D:$D,$B380,DATA_GOC!$E:$E,"Dầu cầu",DATA_GOC!$F:$F,"Xuất nội bộ từ téc",DATA_GOC!$B:$B,DATE($D$2,$B$2,X$4)),0))</f>
        <v>0</v>
      </c>
      <c r="Y380" s="251">
        <f>IF(Y$4&gt;DAY(EOMONTH(DATE($D$2,$B$2,1),0)),"",IFERROR(SUMIFS(DATA_GOC!$H:$H,DATA_GOC!$A:$A,"BOM",DATA_GOC!$D:$D,$B380,DATA_GOC!$E:$E,"Dầu cầu",DATA_GOC!$F:$F,"Xuất nội bộ từ téc",DATA_GOC!$B:$B,DATE($D$2,$B$2,Y$4)),0))</f>
        <v>0</v>
      </c>
      <c r="Z380" s="251">
        <f>IF(Z$4&gt;DAY(EOMONTH(DATE($D$2,$B$2,1),0)),"",IFERROR(SUMIFS(DATA_GOC!$H:$H,DATA_GOC!$A:$A,"BOM",DATA_GOC!$D:$D,$B380,DATA_GOC!$E:$E,"Dầu cầu",DATA_GOC!$F:$F,"Xuất nội bộ từ téc",DATA_GOC!$B:$B,DATE($D$2,$B$2,Z$4)),0))</f>
        <v>0</v>
      </c>
      <c r="AA380" s="251">
        <f>IF(AA$4&gt;DAY(EOMONTH(DATE($D$2,$B$2,1),0)),"",IFERROR(SUMIFS(DATA_GOC!$H:$H,DATA_GOC!$A:$A,"BOM",DATA_GOC!$D:$D,$B380,DATA_GOC!$E:$E,"Dầu cầu",DATA_GOC!$F:$F,"Xuất nội bộ từ téc",DATA_GOC!$B:$B,DATE($D$2,$B$2,AA$4)),0))</f>
        <v>0</v>
      </c>
      <c r="AB380" s="251">
        <f>IF(AB$4&gt;DAY(EOMONTH(DATE($D$2,$B$2,1),0)),"",IFERROR(SUMIFS(DATA_GOC!$H:$H,DATA_GOC!$A:$A,"BOM",DATA_GOC!$D:$D,$B380,DATA_GOC!$E:$E,"Dầu cầu",DATA_GOC!$F:$F,"Xuất nội bộ từ téc",DATA_GOC!$B:$B,DATE($D$2,$B$2,AB$4)),0))</f>
        <v>0</v>
      </c>
      <c r="AC380" s="251">
        <f>IF(AC$4&gt;DAY(EOMONTH(DATE($D$2,$B$2,1),0)),"",IFERROR(SUMIFS(DATA_GOC!$H:$H,DATA_GOC!$A:$A,"BOM",DATA_GOC!$D:$D,$B380,DATA_GOC!$E:$E,"Dầu cầu",DATA_GOC!$F:$F,"Xuất nội bộ từ téc",DATA_GOC!$B:$B,DATE($D$2,$B$2,AC$4)),0))</f>
        <v>0</v>
      </c>
      <c r="AD380" s="251">
        <f>IF(AD$4&gt;DAY(EOMONTH(DATE($D$2,$B$2,1),0)),"",IFERROR(SUMIFS(DATA_GOC!$H:$H,DATA_GOC!$A:$A,"BOM",DATA_GOC!$D:$D,$B380,DATA_GOC!$E:$E,"Dầu cầu",DATA_GOC!$F:$F,"Xuất nội bộ từ téc",DATA_GOC!$B:$B,DATE($D$2,$B$2,AD$4)),0))</f>
        <v>0</v>
      </c>
      <c r="AE380" s="251">
        <f>IF(AE$4&gt;DAY(EOMONTH(DATE($D$2,$B$2,1),0)),"",IFERROR(SUMIFS(DATA_GOC!$H:$H,DATA_GOC!$A:$A,"BOM",DATA_GOC!$D:$D,$B380,DATA_GOC!$E:$E,"Dầu cầu",DATA_GOC!$F:$F,"Xuất nội bộ từ téc",DATA_GOC!$B:$B,DATE($D$2,$B$2,AE$4)),0))</f>
        <v>0</v>
      </c>
      <c r="AF380" s="251">
        <f>IF(AF$4&gt;DAY(EOMONTH(DATE($D$2,$B$2,1),0)),"",IFERROR(SUMIFS(DATA_GOC!$H:$H,DATA_GOC!$A:$A,"BOM",DATA_GOC!$D:$D,$B380,DATA_GOC!$E:$E,"Dầu cầu",DATA_GOC!$F:$F,"Xuất nội bộ từ téc",DATA_GOC!$B:$B,DATE($D$2,$B$2,AF$4)),0))</f>
        <v>0</v>
      </c>
      <c r="AG380" s="251">
        <f>IF(AG$4&gt;DAY(EOMONTH(DATE($D$2,$B$2,1),0)),"",IFERROR(SUMIFS(DATA_GOC!$H:$H,DATA_GOC!$A:$A,"BOM",DATA_GOC!$D:$D,$B380,DATA_GOC!$E:$E,"Dầu cầu",DATA_GOC!$F:$F,"Xuất nội bộ từ téc",DATA_GOC!$B:$B,DATE($D$2,$B$2,AG$4)),0))</f>
        <v>0</v>
      </c>
      <c r="AH380" s="252">
        <f t="shared" si="19"/>
        <v>0</v>
      </c>
      <c r="AI380" s="241"/>
      <c r="AJ380" s="242">
        <f>IF($B380="","",SUMIFS(TINH_TEC!$K$233:$K$9232,TINH_TEC!$H$233:$H$9232,$B380,TINH_TEC!$C$233:$C$9232,"Dầu cầu",TINH_TEC!$F$233:$F$9232,$B$2,TINH_TEC!$G$233:$G$9232,$D$2,TINH_TEC!$B$233:$B$9232,"Đã chốt"))</f>
        <v>0</v>
      </c>
      <c r="AK380" s="242">
        <f>IF($B380="","",SUMIFS(TINH_TEC!$J$233:$J$9232,TINH_TEC!$H$233:$H$9232,$B380,TINH_TEC!$C$233:$C$9232,"Dầu cầu",TINH_TEC!$F$233:$F$9232,$B$2,TINH_TEC!$G$233:$G$9232,$D$2,TINH_TEC!$B$233:$B$9232,"Đã chốt"))</f>
        <v>0</v>
      </c>
      <c r="AL380" s="242">
        <f t="shared" si="20"/>
        <v>0</v>
      </c>
    </row>
    <row r="381" ht="15.75" customHeight="1">
      <c r="A381" s="237">
        <f>IF($B381&lt;&gt;"",10,"")</f>
        <v>10</v>
      </c>
      <c r="B381" s="250" t="str">
        <f t="array" ref="B381">IFERROR(INDEX(DANH_MUC!$E:$E,13),"")</f>
        <v>28C01743</v>
      </c>
      <c r="C381" s="251">
        <f>IF(C$4&gt;DAY(EOMONTH(DATE($D$2,$B$2,1),0)),"",IFERROR(SUMIFS(DATA_GOC!$H:$H,DATA_GOC!$A:$A,"BOM",DATA_GOC!$D:$D,$B381,DATA_GOC!$E:$E,"Dầu cầu",DATA_GOC!$F:$F,"Xuất nội bộ từ téc",DATA_GOC!$B:$B,DATE($D$2,$B$2,C$4)),0))</f>
        <v>0</v>
      </c>
      <c r="D381" s="251">
        <f>IF(D$4&gt;DAY(EOMONTH(DATE($D$2,$B$2,1),0)),"",IFERROR(SUMIFS(DATA_GOC!$H:$H,DATA_GOC!$A:$A,"BOM",DATA_GOC!$D:$D,$B381,DATA_GOC!$E:$E,"Dầu cầu",DATA_GOC!$F:$F,"Xuất nội bộ từ téc",DATA_GOC!$B:$B,DATE($D$2,$B$2,D$4)),0))</f>
        <v>0</v>
      </c>
      <c r="E381" s="251">
        <f>IF(E$4&gt;DAY(EOMONTH(DATE($D$2,$B$2,1),0)),"",IFERROR(SUMIFS(DATA_GOC!$H:$H,DATA_GOC!$A:$A,"BOM",DATA_GOC!$D:$D,$B381,DATA_GOC!$E:$E,"Dầu cầu",DATA_GOC!$F:$F,"Xuất nội bộ từ téc",DATA_GOC!$B:$B,DATE($D$2,$B$2,E$4)),0))</f>
        <v>0</v>
      </c>
      <c r="F381" s="251">
        <f>IF(F$4&gt;DAY(EOMONTH(DATE($D$2,$B$2,1),0)),"",IFERROR(SUMIFS(DATA_GOC!$H:$H,DATA_GOC!$A:$A,"BOM",DATA_GOC!$D:$D,$B381,DATA_GOC!$E:$E,"Dầu cầu",DATA_GOC!$F:$F,"Xuất nội bộ từ téc",DATA_GOC!$B:$B,DATE($D$2,$B$2,F$4)),0))</f>
        <v>0</v>
      </c>
      <c r="G381" s="251">
        <f>IF(G$4&gt;DAY(EOMONTH(DATE($D$2,$B$2,1),0)),"",IFERROR(SUMIFS(DATA_GOC!$H:$H,DATA_GOC!$A:$A,"BOM",DATA_GOC!$D:$D,$B381,DATA_GOC!$E:$E,"Dầu cầu",DATA_GOC!$F:$F,"Xuất nội bộ từ téc",DATA_GOC!$B:$B,DATE($D$2,$B$2,G$4)),0))</f>
        <v>0</v>
      </c>
      <c r="H381" s="251">
        <f>IF(H$4&gt;DAY(EOMONTH(DATE($D$2,$B$2,1),0)),"",IFERROR(SUMIFS(DATA_GOC!$H:$H,DATA_GOC!$A:$A,"BOM",DATA_GOC!$D:$D,$B381,DATA_GOC!$E:$E,"Dầu cầu",DATA_GOC!$F:$F,"Xuất nội bộ từ téc",DATA_GOC!$B:$B,DATE($D$2,$B$2,H$4)),0))</f>
        <v>0</v>
      </c>
      <c r="I381" s="251">
        <f>IF(I$4&gt;DAY(EOMONTH(DATE($D$2,$B$2,1),0)),"",IFERROR(SUMIFS(DATA_GOC!$H:$H,DATA_GOC!$A:$A,"BOM",DATA_GOC!$D:$D,$B381,DATA_GOC!$E:$E,"Dầu cầu",DATA_GOC!$F:$F,"Xuất nội bộ từ téc",DATA_GOC!$B:$B,DATE($D$2,$B$2,I$4)),0))</f>
        <v>0</v>
      </c>
      <c r="J381" s="251">
        <f>IF(J$4&gt;DAY(EOMONTH(DATE($D$2,$B$2,1),0)),"",IFERROR(SUMIFS(DATA_GOC!$H:$H,DATA_GOC!$A:$A,"BOM",DATA_GOC!$D:$D,$B381,DATA_GOC!$E:$E,"Dầu cầu",DATA_GOC!$F:$F,"Xuất nội bộ từ téc",DATA_GOC!$B:$B,DATE($D$2,$B$2,J$4)),0))</f>
        <v>0</v>
      </c>
      <c r="K381" s="251">
        <f>IF(K$4&gt;DAY(EOMONTH(DATE($D$2,$B$2,1),0)),"",IFERROR(SUMIFS(DATA_GOC!$H:$H,DATA_GOC!$A:$A,"BOM",DATA_GOC!$D:$D,$B381,DATA_GOC!$E:$E,"Dầu cầu",DATA_GOC!$F:$F,"Xuất nội bộ từ téc",DATA_GOC!$B:$B,DATE($D$2,$B$2,K$4)),0))</f>
        <v>0</v>
      </c>
      <c r="L381" s="251">
        <f>IF(L$4&gt;DAY(EOMONTH(DATE($D$2,$B$2,1),0)),"",IFERROR(SUMIFS(DATA_GOC!$H:$H,DATA_GOC!$A:$A,"BOM",DATA_GOC!$D:$D,$B381,DATA_GOC!$E:$E,"Dầu cầu",DATA_GOC!$F:$F,"Xuất nội bộ từ téc",DATA_GOC!$B:$B,DATE($D$2,$B$2,L$4)),0))</f>
        <v>0</v>
      </c>
      <c r="M381" s="251">
        <f>IF(M$4&gt;DAY(EOMONTH(DATE($D$2,$B$2,1),0)),"",IFERROR(SUMIFS(DATA_GOC!$H:$H,DATA_GOC!$A:$A,"BOM",DATA_GOC!$D:$D,$B381,DATA_GOC!$E:$E,"Dầu cầu",DATA_GOC!$F:$F,"Xuất nội bộ từ téc",DATA_GOC!$B:$B,DATE($D$2,$B$2,M$4)),0))</f>
        <v>0</v>
      </c>
      <c r="N381" s="251">
        <f>IF(N$4&gt;DAY(EOMONTH(DATE($D$2,$B$2,1),0)),"",IFERROR(SUMIFS(DATA_GOC!$H:$H,DATA_GOC!$A:$A,"BOM",DATA_GOC!$D:$D,$B381,DATA_GOC!$E:$E,"Dầu cầu",DATA_GOC!$F:$F,"Xuất nội bộ từ téc",DATA_GOC!$B:$B,DATE($D$2,$B$2,N$4)),0))</f>
        <v>0</v>
      </c>
      <c r="O381" s="251">
        <f>IF(O$4&gt;DAY(EOMONTH(DATE($D$2,$B$2,1),0)),"",IFERROR(SUMIFS(DATA_GOC!$H:$H,DATA_GOC!$A:$A,"BOM",DATA_GOC!$D:$D,$B381,DATA_GOC!$E:$E,"Dầu cầu",DATA_GOC!$F:$F,"Xuất nội bộ từ téc",DATA_GOC!$B:$B,DATE($D$2,$B$2,O$4)),0))</f>
        <v>0</v>
      </c>
      <c r="P381" s="251">
        <f>IF(P$4&gt;DAY(EOMONTH(DATE($D$2,$B$2,1),0)),"",IFERROR(SUMIFS(DATA_GOC!$H:$H,DATA_GOC!$A:$A,"BOM",DATA_GOC!$D:$D,$B381,DATA_GOC!$E:$E,"Dầu cầu",DATA_GOC!$F:$F,"Xuất nội bộ từ téc",DATA_GOC!$B:$B,DATE($D$2,$B$2,P$4)),0))</f>
        <v>0</v>
      </c>
      <c r="Q381" s="251">
        <f>IF(Q$4&gt;DAY(EOMONTH(DATE($D$2,$B$2,1),0)),"",IFERROR(SUMIFS(DATA_GOC!$H:$H,DATA_GOC!$A:$A,"BOM",DATA_GOC!$D:$D,$B381,DATA_GOC!$E:$E,"Dầu cầu",DATA_GOC!$F:$F,"Xuất nội bộ từ téc",DATA_GOC!$B:$B,DATE($D$2,$B$2,Q$4)),0))</f>
        <v>0</v>
      </c>
      <c r="R381" s="251">
        <f>IF(R$4&gt;DAY(EOMONTH(DATE($D$2,$B$2,1),0)),"",IFERROR(SUMIFS(DATA_GOC!$H:$H,DATA_GOC!$A:$A,"BOM",DATA_GOC!$D:$D,$B381,DATA_GOC!$E:$E,"Dầu cầu",DATA_GOC!$F:$F,"Xuất nội bộ từ téc",DATA_GOC!$B:$B,DATE($D$2,$B$2,R$4)),0))</f>
        <v>0</v>
      </c>
      <c r="S381" s="251">
        <f>IF(S$4&gt;DAY(EOMONTH(DATE($D$2,$B$2,1),0)),"",IFERROR(SUMIFS(DATA_GOC!$H:$H,DATA_GOC!$A:$A,"BOM",DATA_GOC!$D:$D,$B381,DATA_GOC!$E:$E,"Dầu cầu",DATA_GOC!$F:$F,"Xuất nội bộ từ téc",DATA_GOC!$B:$B,DATE($D$2,$B$2,S$4)),0))</f>
        <v>0</v>
      </c>
      <c r="T381" s="251">
        <f>IF(T$4&gt;DAY(EOMONTH(DATE($D$2,$B$2,1),0)),"",IFERROR(SUMIFS(DATA_GOC!$H:$H,DATA_GOC!$A:$A,"BOM",DATA_GOC!$D:$D,$B381,DATA_GOC!$E:$E,"Dầu cầu",DATA_GOC!$F:$F,"Xuất nội bộ từ téc",DATA_GOC!$B:$B,DATE($D$2,$B$2,T$4)),0))</f>
        <v>0</v>
      </c>
      <c r="U381" s="251">
        <f>IF(U$4&gt;DAY(EOMONTH(DATE($D$2,$B$2,1),0)),"",IFERROR(SUMIFS(DATA_GOC!$H:$H,DATA_GOC!$A:$A,"BOM",DATA_GOC!$D:$D,$B381,DATA_GOC!$E:$E,"Dầu cầu",DATA_GOC!$F:$F,"Xuất nội bộ từ téc",DATA_GOC!$B:$B,DATE($D$2,$B$2,U$4)),0))</f>
        <v>0</v>
      </c>
      <c r="V381" s="251">
        <f>IF(V$4&gt;DAY(EOMONTH(DATE($D$2,$B$2,1),0)),"",IFERROR(SUMIFS(DATA_GOC!$H:$H,DATA_GOC!$A:$A,"BOM",DATA_GOC!$D:$D,$B381,DATA_GOC!$E:$E,"Dầu cầu",DATA_GOC!$F:$F,"Xuất nội bộ từ téc",DATA_GOC!$B:$B,DATE($D$2,$B$2,V$4)),0))</f>
        <v>0</v>
      </c>
      <c r="W381" s="251">
        <f>IF(W$4&gt;DAY(EOMONTH(DATE($D$2,$B$2,1),0)),"",IFERROR(SUMIFS(DATA_GOC!$H:$H,DATA_GOC!$A:$A,"BOM",DATA_GOC!$D:$D,$B381,DATA_GOC!$E:$E,"Dầu cầu",DATA_GOC!$F:$F,"Xuất nội bộ từ téc",DATA_GOC!$B:$B,DATE($D$2,$B$2,W$4)),0))</f>
        <v>0</v>
      </c>
      <c r="X381" s="251">
        <f>IF(X$4&gt;DAY(EOMONTH(DATE($D$2,$B$2,1),0)),"",IFERROR(SUMIFS(DATA_GOC!$H:$H,DATA_GOC!$A:$A,"BOM",DATA_GOC!$D:$D,$B381,DATA_GOC!$E:$E,"Dầu cầu",DATA_GOC!$F:$F,"Xuất nội bộ từ téc",DATA_GOC!$B:$B,DATE($D$2,$B$2,X$4)),0))</f>
        <v>0</v>
      </c>
      <c r="Y381" s="251">
        <f>IF(Y$4&gt;DAY(EOMONTH(DATE($D$2,$B$2,1),0)),"",IFERROR(SUMIFS(DATA_GOC!$H:$H,DATA_GOC!$A:$A,"BOM",DATA_GOC!$D:$D,$B381,DATA_GOC!$E:$E,"Dầu cầu",DATA_GOC!$F:$F,"Xuất nội bộ từ téc",DATA_GOC!$B:$B,DATE($D$2,$B$2,Y$4)),0))</f>
        <v>0</v>
      </c>
      <c r="Z381" s="251">
        <f>IF(Z$4&gt;DAY(EOMONTH(DATE($D$2,$B$2,1),0)),"",IFERROR(SUMIFS(DATA_GOC!$H:$H,DATA_GOC!$A:$A,"BOM",DATA_GOC!$D:$D,$B381,DATA_GOC!$E:$E,"Dầu cầu",DATA_GOC!$F:$F,"Xuất nội bộ từ téc",DATA_GOC!$B:$B,DATE($D$2,$B$2,Z$4)),0))</f>
        <v>0</v>
      </c>
      <c r="AA381" s="251">
        <f>IF(AA$4&gt;DAY(EOMONTH(DATE($D$2,$B$2,1),0)),"",IFERROR(SUMIFS(DATA_GOC!$H:$H,DATA_GOC!$A:$A,"BOM",DATA_GOC!$D:$D,$B381,DATA_GOC!$E:$E,"Dầu cầu",DATA_GOC!$F:$F,"Xuất nội bộ từ téc",DATA_GOC!$B:$B,DATE($D$2,$B$2,AA$4)),0))</f>
        <v>0</v>
      </c>
      <c r="AB381" s="251">
        <f>IF(AB$4&gt;DAY(EOMONTH(DATE($D$2,$B$2,1),0)),"",IFERROR(SUMIFS(DATA_GOC!$H:$H,DATA_GOC!$A:$A,"BOM",DATA_GOC!$D:$D,$B381,DATA_GOC!$E:$E,"Dầu cầu",DATA_GOC!$F:$F,"Xuất nội bộ từ téc",DATA_GOC!$B:$B,DATE($D$2,$B$2,AB$4)),0))</f>
        <v>0</v>
      </c>
      <c r="AC381" s="251">
        <f>IF(AC$4&gt;DAY(EOMONTH(DATE($D$2,$B$2,1),0)),"",IFERROR(SUMIFS(DATA_GOC!$H:$H,DATA_GOC!$A:$A,"BOM",DATA_GOC!$D:$D,$B381,DATA_GOC!$E:$E,"Dầu cầu",DATA_GOC!$F:$F,"Xuất nội bộ từ téc",DATA_GOC!$B:$B,DATE($D$2,$B$2,AC$4)),0))</f>
        <v>0</v>
      </c>
      <c r="AD381" s="251">
        <f>IF(AD$4&gt;DAY(EOMONTH(DATE($D$2,$B$2,1),0)),"",IFERROR(SUMIFS(DATA_GOC!$H:$H,DATA_GOC!$A:$A,"BOM",DATA_GOC!$D:$D,$B381,DATA_GOC!$E:$E,"Dầu cầu",DATA_GOC!$F:$F,"Xuất nội bộ từ téc",DATA_GOC!$B:$B,DATE($D$2,$B$2,AD$4)),0))</f>
        <v>0</v>
      </c>
      <c r="AE381" s="251">
        <f>IF(AE$4&gt;DAY(EOMONTH(DATE($D$2,$B$2,1),0)),"",IFERROR(SUMIFS(DATA_GOC!$H:$H,DATA_GOC!$A:$A,"BOM",DATA_GOC!$D:$D,$B381,DATA_GOC!$E:$E,"Dầu cầu",DATA_GOC!$F:$F,"Xuất nội bộ từ téc",DATA_GOC!$B:$B,DATE($D$2,$B$2,AE$4)),0))</f>
        <v>0</v>
      </c>
      <c r="AF381" s="251">
        <f>IF(AF$4&gt;DAY(EOMONTH(DATE($D$2,$B$2,1),0)),"",IFERROR(SUMIFS(DATA_GOC!$H:$H,DATA_GOC!$A:$A,"BOM",DATA_GOC!$D:$D,$B381,DATA_GOC!$E:$E,"Dầu cầu",DATA_GOC!$F:$F,"Xuất nội bộ từ téc",DATA_GOC!$B:$B,DATE($D$2,$B$2,AF$4)),0))</f>
        <v>0</v>
      </c>
      <c r="AG381" s="251">
        <f>IF(AG$4&gt;DAY(EOMONTH(DATE($D$2,$B$2,1),0)),"",IFERROR(SUMIFS(DATA_GOC!$H:$H,DATA_GOC!$A:$A,"BOM",DATA_GOC!$D:$D,$B381,DATA_GOC!$E:$E,"Dầu cầu",DATA_GOC!$F:$F,"Xuất nội bộ từ téc",DATA_GOC!$B:$B,DATE($D$2,$B$2,AG$4)),0))</f>
        <v>0</v>
      </c>
      <c r="AH381" s="252">
        <f t="shared" si="19"/>
        <v>0</v>
      </c>
      <c r="AI381" s="241"/>
      <c r="AJ381" s="242">
        <f>IF($B381="","",SUMIFS(TINH_TEC!$K$233:$K$9232,TINH_TEC!$H$233:$H$9232,$B381,TINH_TEC!$C$233:$C$9232,"Dầu cầu",TINH_TEC!$F$233:$F$9232,$B$2,TINH_TEC!$G$233:$G$9232,$D$2,TINH_TEC!$B$233:$B$9232,"Đã chốt"))</f>
        <v>0</v>
      </c>
      <c r="AK381" s="242">
        <f>IF($B381="","",SUMIFS(TINH_TEC!$J$233:$J$9232,TINH_TEC!$H$233:$H$9232,$B381,TINH_TEC!$C$233:$C$9232,"Dầu cầu",TINH_TEC!$F$233:$F$9232,$B$2,TINH_TEC!$G$233:$G$9232,$D$2,TINH_TEC!$B$233:$B$9232,"Đã chốt"))</f>
        <v>0</v>
      </c>
      <c r="AL381" s="242">
        <f t="shared" si="20"/>
        <v>0</v>
      </c>
    </row>
    <row r="382" ht="15.75" customHeight="1">
      <c r="A382" s="237">
        <f>IF($B382&lt;&gt;"",11,"")</f>
        <v>11</v>
      </c>
      <c r="B382" s="250" t="str">
        <f t="array" ref="B382">IFERROR(INDEX(DANH_MUC!$E:$E,14),"")</f>
        <v>28C02106</v>
      </c>
      <c r="C382" s="251">
        <f>IF(C$4&gt;DAY(EOMONTH(DATE($D$2,$B$2,1),0)),"",IFERROR(SUMIFS(DATA_GOC!$H:$H,DATA_GOC!$A:$A,"BOM",DATA_GOC!$D:$D,$B382,DATA_GOC!$E:$E,"Dầu cầu",DATA_GOC!$F:$F,"Xuất nội bộ từ téc",DATA_GOC!$B:$B,DATE($D$2,$B$2,C$4)),0))</f>
        <v>0</v>
      </c>
      <c r="D382" s="251">
        <f>IF(D$4&gt;DAY(EOMONTH(DATE($D$2,$B$2,1),0)),"",IFERROR(SUMIFS(DATA_GOC!$H:$H,DATA_GOC!$A:$A,"BOM",DATA_GOC!$D:$D,$B382,DATA_GOC!$E:$E,"Dầu cầu",DATA_GOC!$F:$F,"Xuất nội bộ từ téc",DATA_GOC!$B:$B,DATE($D$2,$B$2,D$4)),0))</f>
        <v>0</v>
      </c>
      <c r="E382" s="251">
        <f>IF(E$4&gt;DAY(EOMONTH(DATE($D$2,$B$2,1),0)),"",IFERROR(SUMIFS(DATA_GOC!$H:$H,DATA_GOC!$A:$A,"BOM",DATA_GOC!$D:$D,$B382,DATA_GOC!$E:$E,"Dầu cầu",DATA_GOC!$F:$F,"Xuất nội bộ từ téc",DATA_GOC!$B:$B,DATE($D$2,$B$2,E$4)),0))</f>
        <v>0</v>
      </c>
      <c r="F382" s="251">
        <f>IF(F$4&gt;DAY(EOMONTH(DATE($D$2,$B$2,1),0)),"",IFERROR(SUMIFS(DATA_GOC!$H:$H,DATA_GOC!$A:$A,"BOM",DATA_GOC!$D:$D,$B382,DATA_GOC!$E:$E,"Dầu cầu",DATA_GOC!$F:$F,"Xuất nội bộ từ téc",DATA_GOC!$B:$B,DATE($D$2,$B$2,F$4)),0))</f>
        <v>0</v>
      </c>
      <c r="G382" s="251">
        <f>IF(G$4&gt;DAY(EOMONTH(DATE($D$2,$B$2,1),0)),"",IFERROR(SUMIFS(DATA_GOC!$H:$H,DATA_GOC!$A:$A,"BOM",DATA_GOC!$D:$D,$B382,DATA_GOC!$E:$E,"Dầu cầu",DATA_GOC!$F:$F,"Xuất nội bộ từ téc",DATA_GOC!$B:$B,DATE($D$2,$B$2,G$4)),0))</f>
        <v>0</v>
      </c>
      <c r="H382" s="251">
        <f>IF(H$4&gt;DAY(EOMONTH(DATE($D$2,$B$2,1),0)),"",IFERROR(SUMIFS(DATA_GOC!$H:$H,DATA_GOC!$A:$A,"BOM",DATA_GOC!$D:$D,$B382,DATA_GOC!$E:$E,"Dầu cầu",DATA_GOC!$F:$F,"Xuất nội bộ từ téc",DATA_GOC!$B:$B,DATE($D$2,$B$2,H$4)),0))</f>
        <v>0</v>
      </c>
      <c r="I382" s="251">
        <f>IF(I$4&gt;DAY(EOMONTH(DATE($D$2,$B$2,1),0)),"",IFERROR(SUMIFS(DATA_GOC!$H:$H,DATA_GOC!$A:$A,"BOM",DATA_GOC!$D:$D,$B382,DATA_GOC!$E:$E,"Dầu cầu",DATA_GOC!$F:$F,"Xuất nội bộ từ téc",DATA_GOC!$B:$B,DATE($D$2,$B$2,I$4)),0))</f>
        <v>0</v>
      </c>
      <c r="J382" s="251">
        <f>IF(J$4&gt;DAY(EOMONTH(DATE($D$2,$B$2,1),0)),"",IFERROR(SUMIFS(DATA_GOC!$H:$H,DATA_GOC!$A:$A,"BOM",DATA_GOC!$D:$D,$B382,DATA_GOC!$E:$E,"Dầu cầu",DATA_GOC!$F:$F,"Xuất nội bộ từ téc",DATA_GOC!$B:$B,DATE($D$2,$B$2,J$4)),0))</f>
        <v>0</v>
      </c>
      <c r="K382" s="251">
        <f>IF(K$4&gt;DAY(EOMONTH(DATE($D$2,$B$2,1),0)),"",IFERROR(SUMIFS(DATA_GOC!$H:$H,DATA_GOC!$A:$A,"BOM",DATA_GOC!$D:$D,$B382,DATA_GOC!$E:$E,"Dầu cầu",DATA_GOC!$F:$F,"Xuất nội bộ từ téc",DATA_GOC!$B:$B,DATE($D$2,$B$2,K$4)),0))</f>
        <v>0</v>
      </c>
      <c r="L382" s="251">
        <f>IF(L$4&gt;DAY(EOMONTH(DATE($D$2,$B$2,1),0)),"",IFERROR(SUMIFS(DATA_GOC!$H:$H,DATA_GOC!$A:$A,"BOM",DATA_GOC!$D:$D,$B382,DATA_GOC!$E:$E,"Dầu cầu",DATA_GOC!$F:$F,"Xuất nội bộ từ téc",DATA_GOC!$B:$B,DATE($D$2,$B$2,L$4)),0))</f>
        <v>0</v>
      </c>
      <c r="M382" s="251">
        <f>IF(M$4&gt;DAY(EOMONTH(DATE($D$2,$B$2,1),0)),"",IFERROR(SUMIFS(DATA_GOC!$H:$H,DATA_GOC!$A:$A,"BOM",DATA_GOC!$D:$D,$B382,DATA_GOC!$E:$E,"Dầu cầu",DATA_GOC!$F:$F,"Xuất nội bộ từ téc",DATA_GOC!$B:$B,DATE($D$2,$B$2,M$4)),0))</f>
        <v>0</v>
      </c>
      <c r="N382" s="251">
        <f>IF(N$4&gt;DAY(EOMONTH(DATE($D$2,$B$2,1),0)),"",IFERROR(SUMIFS(DATA_GOC!$H:$H,DATA_GOC!$A:$A,"BOM",DATA_GOC!$D:$D,$B382,DATA_GOC!$E:$E,"Dầu cầu",DATA_GOC!$F:$F,"Xuất nội bộ từ téc",DATA_GOC!$B:$B,DATE($D$2,$B$2,N$4)),0))</f>
        <v>0</v>
      </c>
      <c r="O382" s="251">
        <f>IF(O$4&gt;DAY(EOMONTH(DATE($D$2,$B$2,1),0)),"",IFERROR(SUMIFS(DATA_GOC!$H:$H,DATA_GOC!$A:$A,"BOM",DATA_GOC!$D:$D,$B382,DATA_GOC!$E:$E,"Dầu cầu",DATA_GOC!$F:$F,"Xuất nội bộ từ téc",DATA_GOC!$B:$B,DATE($D$2,$B$2,O$4)),0))</f>
        <v>0</v>
      </c>
      <c r="P382" s="251">
        <f>IF(P$4&gt;DAY(EOMONTH(DATE($D$2,$B$2,1),0)),"",IFERROR(SUMIFS(DATA_GOC!$H:$H,DATA_GOC!$A:$A,"BOM",DATA_GOC!$D:$D,$B382,DATA_GOC!$E:$E,"Dầu cầu",DATA_GOC!$F:$F,"Xuất nội bộ từ téc",DATA_GOC!$B:$B,DATE($D$2,$B$2,P$4)),0))</f>
        <v>0</v>
      </c>
      <c r="Q382" s="251">
        <f>IF(Q$4&gt;DAY(EOMONTH(DATE($D$2,$B$2,1),0)),"",IFERROR(SUMIFS(DATA_GOC!$H:$H,DATA_GOC!$A:$A,"BOM",DATA_GOC!$D:$D,$B382,DATA_GOC!$E:$E,"Dầu cầu",DATA_GOC!$F:$F,"Xuất nội bộ từ téc",DATA_GOC!$B:$B,DATE($D$2,$B$2,Q$4)),0))</f>
        <v>0</v>
      </c>
      <c r="R382" s="251">
        <f>IF(R$4&gt;DAY(EOMONTH(DATE($D$2,$B$2,1),0)),"",IFERROR(SUMIFS(DATA_GOC!$H:$H,DATA_GOC!$A:$A,"BOM",DATA_GOC!$D:$D,$B382,DATA_GOC!$E:$E,"Dầu cầu",DATA_GOC!$F:$F,"Xuất nội bộ từ téc",DATA_GOC!$B:$B,DATE($D$2,$B$2,R$4)),0))</f>
        <v>0</v>
      </c>
      <c r="S382" s="251">
        <f>IF(S$4&gt;DAY(EOMONTH(DATE($D$2,$B$2,1),0)),"",IFERROR(SUMIFS(DATA_GOC!$H:$H,DATA_GOC!$A:$A,"BOM",DATA_GOC!$D:$D,$B382,DATA_GOC!$E:$E,"Dầu cầu",DATA_GOC!$F:$F,"Xuất nội bộ từ téc",DATA_GOC!$B:$B,DATE($D$2,$B$2,S$4)),0))</f>
        <v>0</v>
      </c>
      <c r="T382" s="251">
        <f>IF(T$4&gt;DAY(EOMONTH(DATE($D$2,$B$2,1),0)),"",IFERROR(SUMIFS(DATA_GOC!$H:$H,DATA_GOC!$A:$A,"BOM",DATA_GOC!$D:$D,$B382,DATA_GOC!$E:$E,"Dầu cầu",DATA_GOC!$F:$F,"Xuất nội bộ từ téc",DATA_GOC!$B:$B,DATE($D$2,$B$2,T$4)),0))</f>
        <v>0</v>
      </c>
      <c r="U382" s="251">
        <f>IF(U$4&gt;DAY(EOMONTH(DATE($D$2,$B$2,1),0)),"",IFERROR(SUMIFS(DATA_GOC!$H:$H,DATA_GOC!$A:$A,"BOM",DATA_GOC!$D:$D,$B382,DATA_GOC!$E:$E,"Dầu cầu",DATA_GOC!$F:$F,"Xuất nội bộ từ téc",DATA_GOC!$B:$B,DATE($D$2,$B$2,U$4)),0))</f>
        <v>0</v>
      </c>
      <c r="V382" s="251">
        <f>IF(V$4&gt;DAY(EOMONTH(DATE($D$2,$B$2,1),0)),"",IFERROR(SUMIFS(DATA_GOC!$H:$H,DATA_GOC!$A:$A,"BOM",DATA_GOC!$D:$D,$B382,DATA_GOC!$E:$E,"Dầu cầu",DATA_GOC!$F:$F,"Xuất nội bộ từ téc",DATA_GOC!$B:$B,DATE($D$2,$B$2,V$4)),0))</f>
        <v>0</v>
      </c>
      <c r="W382" s="251">
        <f>IF(W$4&gt;DAY(EOMONTH(DATE($D$2,$B$2,1),0)),"",IFERROR(SUMIFS(DATA_GOC!$H:$H,DATA_GOC!$A:$A,"BOM",DATA_GOC!$D:$D,$B382,DATA_GOC!$E:$E,"Dầu cầu",DATA_GOC!$F:$F,"Xuất nội bộ từ téc",DATA_GOC!$B:$B,DATE($D$2,$B$2,W$4)),0))</f>
        <v>0</v>
      </c>
      <c r="X382" s="251">
        <f>IF(X$4&gt;DAY(EOMONTH(DATE($D$2,$B$2,1),0)),"",IFERROR(SUMIFS(DATA_GOC!$H:$H,DATA_GOC!$A:$A,"BOM",DATA_GOC!$D:$D,$B382,DATA_GOC!$E:$E,"Dầu cầu",DATA_GOC!$F:$F,"Xuất nội bộ từ téc",DATA_GOC!$B:$B,DATE($D$2,$B$2,X$4)),0))</f>
        <v>0</v>
      </c>
      <c r="Y382" s="251">
        <f>IF(Y$4&gt;DAY(EOMONTH(DATE($D$2,$B$2,1),0)),"",IFERROR(SUMIFS(DATA_GOC!$H:$H,DATA_GOC!$A:$A,"BOM",DATA_GOC!$D:$D,$B382,DATA_GOC!$E:$E,"Dầu cầu",DATA_GOC!$F:$F,"Xuất nội bộ từ téc",DATA_GOC!$B:$B,DATE($D$2,$B$2,Y$4)),0))</f>
        <v>0</v>
      </c>
      <c r="Z382" s="251">
        <f>IF(Z$4&gt;DAY(EOMONTH(DATE($D$2,$B$2,1),0)),"",IFERROR(SUMIFS(DATA_GOC!$H:$H,DATA_GOC!$A:$A,"BOM",DATA_GOC!$D:$D,$B382,DATA_GOC!$E:$E,"Dầu cầu",DATA_GOC!$F:$F,"Xuất nội bộ từ téc",DATA_GOC!$B:$B,DATE($D$2,$B$2,Z$4)),0))</f>
        <v>0</v>
      </c>
      <c r="AA382" s="251">
        <f>IF(AA$4&gt;DAY(EOMONTH(DATE($D$2,$B$2,1),0)),"",IFERROR(SUMIFS(DATA_GOC!$H:$H,DATA_GOC!$A:$A,"BOM",DATA_GOC!$D:$D,$B382,DATA_GOC!$E:$E,"Dầu cầu",DATA_GOC!$F:$F,"Xuất nội bộ từ téc",DATA_GOC!$B:$B,DATE($D$2,$B$2,AA$4)),0))</f>
        <v>0</v>
      </c>
      <c r="AB382" s="251">
        <f>IF(AB$4&gt;DAY(EOMONTH(DATE($D$2,$B$2,1),0)),"",IFERROR(SUMIFS(DATA_GOC!$H:$H,DATA_GOC!$A:$A,"BOM",DATA_GOC!$D:$D,$B382,DATA_GOC!$E:$E,"Dầu cầu",DATA_GOC!$F:$F,"Xuất nội bộ từ téc",DATA_GOC!$B:$B,DATE($D$2,$B$2,AB$4)),0))</f>
        <v>0</v>
      </c>
      <c r="AC382" s="251">
        <f>IF(AC$4&gt;DAY(EOMONTH(DATE($D$2,$B$2,1),0)),"",IFERROR(SUMIFS(DATA_GOC!$H:$H,DATA_GOC!$A:$A,"BOM",DATA_GOC!$D:$D,$B382,DATA_GOC!$E:$E,"Dầu cầu",DATA_GOC!$F:$F,"Xuất nội bộ từ téc",DATA_GOC!$B:$B,DATE($D$2,$B$2,AC$4)),0))</f>
        <v>0</v>
      </c>
      <c r="AD382" s="251">
        <f>IF(AD$4&gt;DAY(EOMONTH(DATE($D$2,$B$2,1),0)),"",IFERROR(SUMIFS(DATA_GOC!$H:$H,DATA_GOC!$A:$A,"BOM",DATA_GOC!$D:$D,$B382,DATA_GOC!$E:$E,"Dầu cầu",DATA_GOC!$F:$F,"Xuất nội bộ từ téc",DATA_GOC!$B:$B,DATE($D$2,$B$2,AD$4)),0))</f>
        <v>0</v>
      </c>
      <c r="AE382" s="251">
        <f>IF(AE$4&gt;DAY(EOMONTH(DATE($D$2,$B$2,1),0)),"",IFERROR(SUMIFS(DATA_GOC!$H:$H,DATA_GOC!$A:$A,"BOM",DATA_GOC!$D:$D,$B382,DATA_GOC!$E:$E,"Dầu cầu",DATA_GOC!$F:$F,"Xuất nội bộ từ téc",DATA_GOC!$B:$B,DATE($D$2,$B$2,AE$4)),0))</f>
        <v>0</v>
      </c>
      <c r="AF382" s="251">
        <f>IF(AF$4&gt;DAY(EOMONTH(DATE($D$2,$B$2,1),0)),"",IFERROR(SUMIFS(DATA_GOC!$H:$H,DATA_GOC!$A:$A,"BOM",DATA_GOC!$D:$D,$B382,DATA_GOC!$E:$E,"Dầu cầu",DATA_GOC!$F:$F,"Xuất nội bộ từ téc",DATA_GOC!$B:$B,DATE($D$2,$B$2,AF$4)),0))</f>
        <v>0</v>
      </c>
      <c r="AG382" s="251">
        <f>IF(AG$4&gt;DAY(EOMONTH(DATE($D$2,$B$2,1),0)),"",IFERROR(SUMIFS(DATA_GOC!$H:$H,DATA_GOC!$A:$A,"BOM",DATA_GOC!$D:$D,$B382,DATA_GOC!$E:$E,"Dầu cầu",DATA_GOC!$F:$F,"Xuất nội bộ từ téc",DATA_GOC!$B:$B,DATE($D$2,$B$2,AG$4)),0))</f>
        <v>0</v>
      </c>
      <c r="AH382" s="252">
        <f t="shared" si="19"/>
        <v>0</v>
      </c>
      <c r="AI382" s="241"/>
      <c r="AJ382" s="242">
        <f>IF($B382="","",SUMIFS(TINH_TEC!$K$233:$K$9232,TINH_TEC!$H$233:$H$9232,$B382,TINH_TEC!$C$233:$C$9232,"Dầu cầu",TINH_TEC!$F$233:$F$9232,$B$2,TINH_TEC!$G$233:$G$9232,$D$2,TINH_TEC!$B$233:$B$9232,"Đã chốt"))</f>
        <v>0</v>
      </c>
      <c r="AK382" s="242">
        <f>IF($B382="","",SUMIFS(TINH_TEC!$J$233:$J$9232,TINH_TEC!$H$233:$H$9232,$B382,TINH_TEC!$C$233:$C$9232,"Dầu cầu",TINH_TEC!$F$233:$F$9232,$B$2,TINH_TEC!$G$233:$G$9232,$D$2,TINH_TEC!$B$233:$B$9232,"Đã chốt"))</f>
        <v>0</v>
      </c>
      <c r="AL382" s="242">
        <f t="shared" si="20"/>
        <v>0</v>
      </c>
    </row>
    <row r="383" ht="15.75" customHeight="1">
      <c r="A383" s="237">
        <f>IF($B383&lt;&gt;"",12,"")</f>
        <v>12</v>
      </c>
      <c r="B383" s="250" t="str">
        <f t="array" ref="B383">IFERROR(INDEX(DANH_MUC!$E:$E,15),"")</f>
        <v>28C02410</v>
      </c>
      <c r="C383" s="251">
        <f>IF(C$4&gt;DAY(EOMONTH(DATE($D$2,$B$2,1),0)),"",IFERROR(SUMIFS(DATA_GOC!$H:$H,DATA_GOC!$A:$A,"BOM",DATA_GOC!$D:$D,$B383,DATA_GOC!$E:$E,"Dầu cầu",DATA_GOC!$F:$F,"Xuất nội bộ từ téc",DATA_GOC!$B:$B,DATE($D$2,$B$2,C$4)),0))</f>
        <v>0</v>
      </c>
      <c r="D383" s="251">
        <f>IF(D$4&gt;DAY(EOMONTH(DATE($D$2,$B$2,1),0)),"",IFERROR(SUMIFS(DATA_GOC!$H:$H,DATA_GOC!$A:$A,"BOM",DATA_GOC!$D:$D,$B383,DATA_GOC!$E:$E,"Dầu cầu",DATA_GOC!$F:$F,"Xuất nội bộ từ téc",DATA_GOC!$B:$B,DATE($D$2,$B$2,D$4)),0))</f>
        <v>0</v>
      </c>
      <c r="E383" s="251">
        <f>IF(E$4&gt;DAY(EOMONTH(DATE($D$2,$B$2,1),0)),"",IFERROR(SUMIFS(DATA_GOC!$H:$H,DATA_GOC!$A:$A,"BOM",DATA_GOC!$D:$D,$B383,DATA_GOC!$E:$E,"Dầu cầu",DATA_GOC!$F:$F,"Xuất nội bộ từ téc",DATA_GOC!$B:$B,DATE($D$2,$B$2,E$4)),0))</f>
        <v>0</v>
      </c>
      <c r="F383" s="251">
        <f>IF(F$4&gt;DAY(EOMONTH(DATE($D$2,$B$2,1),0)),"",IFERROR(SUMIFS(DATA_GOC!$H:$H,DATA_GOC!$A:$A,"BOM",DATA_GOC!$D:$D,$B383,DATA_GOC!$E:$E,"Dầu cầu",DATA_GOC!$F:$F,"Xuất nội bộ từ téc",DATA_GOC!$B:$B,DATE($D$2,$B$2,F$4)),0))</f>
        <v>0</v>
      </c>
      <c r="G383" s="251">
        <f>IF(G$4&gt;DAY(EOMONTH(DATE($D$2,$B$2,1),0)),"",IFERROR(SUMIFS(DATA_GOC!$H:$H,DATA_GOC!$A:$A,"BOM",DATA_GOC!$D:$D,$B383,DATA_GOC!$E:$E,"Dầu cầu",DATA_GOC!$F:$F,"Xuất nội bộ từ téc",DATA_GOC!$B:$B,DATE($D$2,$B$2,G$4)),0))</f>
        <v>0</v>
      </c>
      <c r="H383" s="251">
        <f>IF(H$4&gt;DAY(EOMONTH(DATE($D$2,$B$2,1),0)),"",IFERROR(SUMIFS(DATA_GOC!$H:$H,DATA_GOC!$A:$A,"BOM",DATA_GOC!$D:$D,$B383,DATA_GOC!$E:$E,"Dầu cầu",DATA_GOC!$F:$F,"Xuất nội bộ từ téc",DATA_GOC!$B:$B,DATE($D$2,$B$2,H$4)),0))</f>
        <v>0</v>
      </c>
      <c r="I383" s="251">
        <f>IF(I$4&gt;DAY(EOMONTH(DATE($D$2,$B$2,1),0)),"",IFERROR(SUMIFS(DATA_GOC!$H:$H,DATA_GOC!$A:$A,"BOM",DATA_GOC!$D:$D,$B383,DATA_GOC!$E:$E,"Dầu cầu",DATA_GOC!$F:$F,"Xuất nội bộ từ téc",DATA_GOC!$B:$B,DATE($D$2,$B$2,I$4)),0))</f>
        <v>0</v>
      </c>
      <c r="J383" s="251">
        <f>IF(J$4&gt;DAY(EOMONTH(DATE($D$2,$B$2,1),0)),"",IFERROR(SUMIFS(DATA_GOC!$H:$H,DATA_GOC!$A:$A,"BOM",DATA_GOC!$D:$D,$B383,DATA_GOC!$E:$E,"Dầu cầu",DATA_GOC!$F:$F,"Xuất nội bộ từ téc",DATA_GOC!$B:$B,DATE($D$2,$B$2,J$4)),0))</f>
        <v>0</v>
      </c>
      <c r="K383" s="251">
        <f>IF(K$4&gt;DAY(EOMONTH(DATE($D$2,$B$2,1),0)),"",IFERROR(SUMIFS(DATA_GOC!$H:$H,DATA_GOC!$A:$A,"BOM",DATA_GOC!$D:$D,$B383,DATA_GOC!$E:$E,"Dầu cầu",DATA_GOC!$F:$F,"Xuất nội bộ từ téc",DATA_GOC!$B:$B,DATE($D$2,$B$2,K$4)),0))</f>
        <v>0</v>
      </c>
      <c r="L383" s="251">
        <f>IF(L$4&gt;DAY(EOMONTH(DATE($D$2,$B$2,1),0)),"",IFERROR(SUMIFS(DATA_GOC!$H:$H,DATA_GOC!$A:$A,"BOM",DATA_GOC!$D:$D,$B383,DATA_GOC!$E:$E,"Dầu cầu",DATA_GOC!$F:$F,"Xuất nội bộ từ téc",DATA_GOC!$B:$B,DATE($D$2,$B$2,L$4)),0))</f>
        <v>0</v>
      </c>
      <c r="M383" s="251">
        <f>IF(M$4&gt;DAY(EOMONTH(DATE($D$2,$B$2,1),0)),"",IFERROR(SUMIFS(DATA_GOC!$H:$H,DATA_GOC!$A:$A,"BOM",DATA_GOC!$D:$D,$B383,DATA_GOC!$E:$E,"Dầu cầu",DATA_GOC!$F:$F,"Xuất nội bộ từ téc",DATA_GOC!$B:$B,DATE($D$2,$B$2,M$4)),0))</f>
        <v>0</v>
      </c>
      <c r="N383" s="251">
        <f>IF(N$4&gt;DAY(EOMONTH(DATE($D$2,$B$2,1),0)),"",IFERROR(SUMIFS(DATA_GOC!$H:$H,DATA_GOC!$A:$A,"BOM",DATA_GOC!$D:$D,$B383,DATA_GOC!$E:$E,"Dầu cầu",DATA_GOC!$F:$F,"Xuất nội bộ từ téc",DATA_GOC!$B:$B,DATE($D$2,$B$2,N$4)),0))</f>
        <v>0</v>
      </c>
      <c r="O383" s="251">
        <f>IF(O$4&gt;DAY(EOMONTH(DATE($D$2,$B$2,1),0)),"",IFERROR(SUMIFS(DATA_GOC!$H:$H,DATA_GOC!$A:$A,"BOM",DATA_GOC!$D:$D,$B383,DATA_GOC!$E:$E,"Dầu cầu",DATA_GOC!$F:$F,"Xuất nội bộ từ téc",DATA_GOC!$B:$B,DATE($D$2,$B$2,O$4)),0))</f>
        <v>0</v>
      </c>
      <c r="P383" s="251">
        <f>IF(P$4&gt;DAY(EOMONTH(DATE($D$2,$B$2,1),0)),"",IFERROR(SUMIFS(DATA_GOC!$H:$H,DATA_GOC!$A:$A,"BOM",DATA_GOC!$D:$D,$B383,DATA_GOC!$E:$E,"Dầu cầu",DATA_GOC!$F:$F,"Xuất nội bộ từ téc",DATA_GOC!$B:$B,DATE($D$2,$B$2,P$4)),0))</f>
        <v>0</v>
      </c>
      <c r="Q383" s="251">
        <f>IF(Q$4&gt;DAY(EOMONTH(DATE($D$2,$B$2,1),0)),"",IFERROR(SUMIFS(DATA_GOC!$H:$H,DATA_GOC!$A:$A,"BOM",DATA_GOC!$D:$D,$B383,DATA_GOC!$E:$E,"Dầu cầu",DATA_GOC!$F:$F,"Xuất nội bộ từ téc",DATA_GOC!$B:$B,DATE($D$2,$B$2,Q$4)),0))</f>
        <v>0</v>
      </c>
      <c r="R383" s="251">
        <f>IF(R$4&gt;DAY(EOMONTH(DATE($D$2,$B$2,1),0)),"",IFERROR(SUMIFS(DATA_GOC!$H:$H,DATA_GOC!$A:$A,"BOM",DATA_GOC!$D:$D,$B383,DATA_GOC!$E:$E,"Dầu cầu",DATA_GOC!$F:$F,"Xuất nội bộ từ téc",DATA_GOC!$B:$B,DATE($D$2,$B$2,R$4)),0))</f>
        <v>0</v>
      </c>
      <c r="S383" s="251">
        <f>IF(S$4&gt;DAY(EOMONTH(DATE($D$2,$B$2,1),0)),"",IFERROR(SUMIFS(DATA_GOC!$H:$H,DATA_GOC!$A:$A,"BOM",DATA_GOC!$D:$D,$B383,DATA_GOC!$E:$E,"Dầu cầu",DATA_GOC!$F:$F,"Xuất nội bộ từ téc",DATA_GOC!$B:$B,DATE($D$2,$B$2,S$4)),0))</f>
        <v>0</v>
      </c>
      <c r="T383" s="251">
        <f>IF(T$4&gt;DAY(EOMONTH(DATE($D$2,$B$2,1),0)),"",IFERROR(SUMIFS(DATA_GOC!$H:$H,DATA_GOC!$A:$A,"BOM",DATA_GOC!$D:$D,$B383,DATA_GOC!$E:$E,"Dầu cầu",DATA_GOC!$F:$F,"Xuất nội bộ từ téc",DATA_GOC!$B:$B,DATE($D$2,$B$2,T$4)),0))</f>
        <v>0</v>
      </c>
      <c r="U383" s="251">
        <f>IF(U$4&gt;DAY(EOMONTH(DATE($D$2,$B$2,1),0)),"",IFERROR(SUMIFS(DATA_GOC!$H:$H,DATA_GOC!$A:$A,"BOM",DATA_GOC!$D:$D,$B383,DATA_GOC!$E:$E,"Dầu cầu",DATA_GOC!$F:$F,"Xuất nội bộ từ téc",DATA_GOC!$B:$B,DATE($D$2,$B$2,U$4)),0))</f>
        <v>0</v>
      </c>
      <c r="V383" s="251">
        <f>IF(V$4&gt;DAY(EOMONTH(DATE($D$2,$B$2,1),0)),"",IFERROR(SUMIFS(DATA_GOC!$H:$H,DATA_GOC!$A:$A,"BOM",DATA_GOC!$D:$D,$B383,DATA_GOC!$E:$E,"Dầu cầu",DATA_GOC!$F:$F,"Xuất nội bộ từ téc",DATA_GOC!$B:$B,DATE($D$2,$B$2,V$4)),0))</f>
        <v>0</v>
      </c>
      <c r="W383" s="251">
        <f>IF(W$4&gt;DAY(EOMONTH(DATE($D$2,$B$2,1),0)),"",IFERROR(SUMIFS(DATA_GOC!$H:$H,DATA_GOC!$A:$A,"BOM",DATA_GOC!$D:$D,$B383,DATA_GOC!$E:$E,"Dầu cầu",DATA_GOC!$F:$F,"Xuất nội bộ từ téc",DATA_GOC!$B:$B,DATE($D$2,$B$2,W$4)),0))</f>
        <v>0</v>
      </c>
      <c r="X383" s="251">
        <f>IF(X$4&gt;DAY(EOMONTH(DATE($D$2,$B$2,1),0)),"",IFERROR(SUMIFS(DATA_GOC!$H:$H,DATA_GOC!$A:$A,"BOM",DATA_GOC!$D:$D,$B383,DATA_GOC!$E:$E,"Dầu cầu",DATA_GOC!$F:$F,"Xuất nội bộ từ téc",DATA_GOC!$B:$B,DATE($D$2,$B$2,X$4)),0))</f>
        <v>0</v>
      </c>
      <c r="Y383" s="251">
        <f>IF(Y$4&gt;DAY(EOMONTH(DATE($D$2,$B$2,1),0)),"",IFERROR(SUMIFS(DATA_GOC!$H:$H,DATA_GOC!$A:$A,"BOM",DATA_GOC!$D:$D,$B383,DATA_GOC!$E:$E,"Dầu cầu",DATA_GOC!$F:$F,"Xuất nội bộ từ téc",DATA_GOC!$B:$B,DATE($D$2,$B$2,Y$4)),0))</f>
        <v>0</v>
      </c>
      <c r="Z383" s="251">
        <f>IF(Z$4&gt;DAY(EOMONTH(DATE($D$2,$B$2,1),0)),"",IFERROR(SUMIFS(DATA_GOC!$H:$H,DATA_GOC!$A:$A,"BOM",DATA_GOC!$D:$D,$B383,DATA_GOC!$E:$E,"Dầu cầu",DATA_GOC!$F:$F,"Xuất nội bộ từ téc",DATA_GOC!$B:$B,DATE($D$2,$B$2,Z$4)),0))</f>
        <v>0</v>
      </c>
      <c r="AA383" s="251">
        <f>IF(AA$4&gt;DAY(EOMONTH(DATE($D$2,$B$2,1),0)),"",IFERROR(SUMIFS(DATA_GOC!$H:$H,DATA_GOC!$A:$A,"BOM",DATA_GOC!$D:$D,$B383,DATA_GOC!$E:$E,"Dầu cầu",DATA_GOC!$F:$F,"Xuất nội bộ từ téc",DATA_GOC!$B:$B,DATE($D$2,$B$2,AA$4)),0))</f>
        <v>0</v>
      </c>
      <c r="AB383" s="251">
        <f>IF(AB$4&gt;DAY(EOMONTH(DATE($D$2,$B$2,1),0)),"",IFERROR(SUMIFS(DATA_GOC!$H:$H,DATA_GOC!$A:$A,"BOM",DATA_GOC!$D:$D,$B383,DATA_GOC!$E:$E,"Dầu cầu",DATA_GOC!$F:$F,"Xuất nội bộ từ téc",DATA_GOC!$B:$B,DATE($D$2,$B$2,AB$4)),0))</f>
        <v>0</v>
      </c>
      <c r="AC383" s="251">
        <f>IF(AC$4&gt;DAY(EOMONTH(DATE($D$2,$B$2,1),0)),"",IFERROR(SUMIFS(DATA_GOC!$H:$H,DATA_GOC!$A:$A,"BOM",DATA_GOC!$D:$D,$B383,DATA_GOC!$E:$E,"Dầu cầu",DATA_GOC!$F:$F,"Xuất nội bộ từ téc",DATA_GOC!$B:$B,DATE($D$2,$B$2,AC$4)),0))</f>
        <v>0</v>
      </c>
      <c r="AD383" s="251">
        <f>IF(AD$4&gt;DAY(EOMONTH(DATE($D$2,$B$2,1),0)),"",IFERROR(SUMIFS(DATA_GOC!$H:$H,DATA_GOC!$A:$A,"BOM",DATA_GOC!$D:$D,$B383,DATA_GOC!$E:$E,"Dầu cầu",DATA_GOC!$F:$F,"Xuất nội bộ từ téc",DATA_GOC!$B:$B,DATE($D$2,$B$2,AD$4)),0))</f>
        <v>0</v>
      </c>
      <c r="AE383" s="251">
        <f>IF(AE$4&gt;DAY(EOMONTH(DATE($D$2,$B$2,1),0)),"",IFERROR(SUMIFS(DATA_GOC!$H:$H,DATA_GOC!$A:$A,"BOM",DATA_GOC!$D:$D,$B383,DATA_GOC!$E:$E,"Dầu cầu",DATA_GOC!$F:$F,"Xuất nội bộ từ téc",DATA_GOC!$B:$B,DATE($D$2,$B$2,AE$4)),0))</f>
        <v>0</v>
      </c>
      <c r="AF383" s="251">
        <f>IF(AF$4&gt;DAY(EOMONTH(DATE($D$2,$B$2,1),0)),"",IFERROR(SUMIFS(DATA_GOC!$H:$H,DATA_GOC!$A:$A,"BOM",DATA_GOC!$D:$D,$B383,DATA_GOC!$E:$E,"Dầu cầu",DATA_GOC!$F:$F,"Xuất nội bộ từ téc",DATA_GOC!$B:$B,DATE($D$2,$B$2,AF$4)),0))</f>
        <v>0</v>
      </c>
      <c r="AG383" s="251">
        <f>IF(AG$4&gt;DAY(EOMONTH(DATE($D$2,$B$2,1),0)),"",IFERROR(SUMIFS(DATA_GOC!$H:$H,DATA_GOC!$A:$A,"BOM",DATA_GOC!$D:$D,$B383,DATA_GOC!$E:$E,"Dầu cầu",DATA_GOC!$F:$F,"Xuất nội bộ từ téc",DATA_GOC!$B:$B,DATE($D$2,$B$2,AG$4)),0))</f>
        <v>0</v>
      </c>
      <c r="AH383" s="252">
        <f t="shared" si="19"/>
        <v>0</v>
      </c>
      <c r="AI383" s="241"/>
      <c r="AJ383" s="242">
        <f>IF($B383="","",SUMIFS(TINH_TEC!$K$233:$K$9232,TINH_TEC!$H$233:$H$9232,$B383,TINH_TEC!$C$233:$C$9232,"Dầu cầu",TINH_TEC!$F$233:$F$9232,$B$2,TINH_TEC!$G$233:$G$9232,$D$2,TINH_TEC!$B$233:$B$9232,"Đã chốt"))</f>
        <v>0</v>
      </c>
      <c r="AK383" s="242">
        <f>IF($B383="","",SUMIFS(TINH_TEC!$J$233:$J$9232,TINH_TEC!$H$233:$H$9232,$B383,TINH_TEC!$C$233:$C$9232,"Dầu cầu",TINH_TEC!$F$233:$F$9232,$B$2,TINH_TEC!$G$233:$G$9232,$D$2,TINH_TEC!$B$233:$B$9232,"Đã chốt"))</f>
        <v>0</v>
      </c>
      <c r="AL383" s="242">
        <f t="shared" si="20"/>
        <v>0</v>
      </c>
    </row>
    <row r="384" ht="15.75" customHeight="1">
      <c r="A384" s="237">
        <f>IF($B384&lt;&gt;"",13,"")</f>
        <v>13</v>
      </c>
      <c r="B384" s="250" t="str">
        <f t="array" ref="B384">IFERROR(INDEX(DANH_MUC!$E:$E,16),"")</f>
        <v>28C02545</v>
      </c>
      <c r="C384" s="251">
        <f>IF(C$4&gt;DAY(EOMONTH(DATE($D$2,$B$2,1),0)),"",IFERROR(SUMIFS(DATA_GOC!$H:$H,DATA_GOC!$A:$A,"BOM",DATA_GOC!$D:$D,$B384,DATA_GOC!$E:$E,"Dầu cầu",DATA_GOC!$F:$F,"Xuất nội bộ từ téc",DATA_GOC!$B:$B,DATE($D$2,$B$2,C$4)),0))</f>
        <v>0</v>
      </c>
      <c r="D384" s="251">
        <f>IF(D$4&gt;DAY(EOMONTH(DATE($D$2,$B$2,1),0)),"",IFERROR(SUMIFS(DATA_GOC!$H:$H,DATA_GOC!$A:$A,"BOM",DATA_GOC!$D:$D,$B384,DATA_GOC!$E:$E,"Dầu cầu",DATA_GOC!$F:$F,"Xuất nội bộ từ téc",DATA_GOC!$B:$B,DATE($D$2,$B$2,D$4)),0))</f>
        <v>0</v>
      </c>
      <c r="E384" s="251">
        <f>IF(E$4&gt;DAY(EOMONTH(DATE($D$2,$B$2,1),0)),"",IFERROR(SUMIFS(DATA_GOC!$H:$H,DATA_GOC!$A:$A,"BOM",DATA_GOC!$D:$D,$B384,DATA_GOC!$E:$E,"Dầu cầu",DATA_GOC!$F:$F,"Xuất nội bộ từ téc",DATA_GOC!$B:$B,DATE($D$2,$B$2,E$4)),0))</f>
        <v>0</v>
      </c>
      <c r="F384" s="251">
        <f>IF(F$4&gt;DAY(EOMONTH(DATE($D$2,$B$2,1),0)),"",IFERROR(SUMIFS(DATA_GOC!$H:$H,DATA_GOC!$A:$A,"BOM",DATA_GOC!$D:$D,$B384,DATA_GOC!$E:$E,"Dầu cầu",DATA_GOC!$F:$F,"Xuất nội bộ từ téc",DATA_GOC!$B:$B,DATE($D$2,$B$2,F$4)),0))</f>
        <v>0</v>
      </c>
      <c r="G384" s="251">
        <f>IF(G$4&gt;DAY(EOMONTH(DATE($D$2,$B$2,1),0)),"",IFERROR(SUMIFS(DATA_GOC!$H:$H,DATA_GOC!$A:$A,"BOM",DATA_GOC!$D:$D,$B384,DATA_GOC!$E:$E,"Dầu cầu",DATA_GOC!$F:$F,"Xuất nội bộ từ téc",DATA_GOC!$B:$B,DATE($D$2,$B$2,G$4)),0))</f>
        <v>0</v>
      </c>
      <c r="H384" s="251">
        <f>IF(H$4&gt;DAY(EOMONTH(DATE($D$2,$B$2,1),0)),"",IFERROR(SUMIFS(DATA_GOC!$H:$H,DATA_GOC!$A:$A,"BOM",DATA_GOC!$D:$D,$B384,DATA_GOC!$E:$E,"Dầu cầu",DATA_GOC!$F:$F,"Xuất nội bộ từ téc",DATA_GOC!$B:$B,DATE($D$2,$B$2,H$4)),0))</f>
        <v>0</v>
      </c>
      <c r="I384" s="251">
        <f>IF(I$4&gt;DAY(EOMONTH(DATE($D$2,$B$2,1),0)),"",IFERROR(SUMIFS(DATA_GOC!$H:$H,DATA_GOC!$A:$A,"BOM",DATA_GOC!$D:$D,$B384,DATA_GOC!$E:$E,"Dầu cầu",DATA_GOC!$F:$F,"Xuất nội bộ từ téc",DATA_GOC!$B:$B,DATE($D$2,$B$2,I$4)),0))</f>
        <v>0</v>
      </c>
      <c r="J384" s="251">
        <f>IF(J$4&gt;DAY(EOMONTH(DATE($D$2,$B$2,1),0)),"",IFERROR(SUMIFS(DATA_GOC!$H:$H,DATA_GOC!$A:$A,"BOM",DATA_GOC!$D:$D,$B384,DATA_GOC!$E:$E,"Dầu cầu",DATA_GOC!$F:$F,"Xuất nội bộ từ téc",DATA_GOC!$B:$B,DATE($D$2,$B$2,J$4)),0))</f>
        <v>0</v>
      </c>
      <c r="K384" s="251">
        <f>IF(K$4&gt;DAY(EOMONTH(DATE($D$2,$B$2,1),0)),"",IFERROR(SUMIFS(DATA_GOC!$H:$H,DATA_GOC!$A:$A,"BOM",DATA_GOC!$D:$D,$B384,DATA_GOC!$E:$E,"Dầu cầu",DATA_GOC!$F:$F,"Xuất nội bộ từ téc",DATA_GOC!$B:$B,DATE($D$2,$B$2,K$4)),0))</f>
        <v>0</v>
      </c>
      <c r="L384" s="251">
        <f>IF(L$4&gt;DAY(EOMONTH(DATE($D$2,$B$2,1),0)),"",IFERROR(SUMIFS(DATA_GOC!$H:$H,DATA_GOC!$A:$A,"BOM",DATA_GOC!$D:$D,$B384,DATA_GOC!$E:$E,"Dầu cầu",DATA_GOC!$F:$F,"Xuất nội bộ từ téc",DATA_GOC!$B:$B,DATE($D$2,$B$2,L$4)),0))</f>
        <v>0</v>
      </c>
      <c r="M384" s="251">
        <f>IF(M$4&gt;DAY(EOMONTH(DATE($D$2,$B$2,1),0)),"",IFERROR(SUMIFS(DATA_GOC!$H:$H,DATA_GOC!$A:$A,"BOM",DATA_GOC!$D:$D,$B384,DATA_GOC!$E:$E,"Dầu cầu",DATA_GOC!$F:$F,"Xuất nội bộ từ téc",DATA_GOC!$B:$B,DATE($D$2,$B$2,M$4)),0))</f>
        <v>0</v>
      </c>
      <c r="N384" s="251">
        <f>IF(N$4&gt;DAY(EOMONTH(DATE($D$2,$B$2,1),0)),"",IFERROR(SUMIFS(DATA_GOC!$H:$H,DATA_GOC!$A:$A,"BOM",DATA_GOC!$D:$D,$B384,DATA_GOC!$E:$E,"Dầu cầu",DATA_GOC!$F:$F,"Xuất nội bộ từ téc",DATA_GOC!$B:$B,DATE($D$2,$B$2,N$4)),0))</f>
        <v>0</v>
      </c>
      <c r="O384" s="251">
        <f>IF(O$4&gt;DAY(EOMONTH(DATE($D$2,$B$2,1),0)),"",IFERROR(SUMIFS(DATA_GOC!$H:$H,DATA_GOC!$A:$A,"BOM",DATA_GOC!$D:$D,$B384,DATA_GOC!$E:$E,"Dầu cầu",DATA_GOC!$F:$F,"Xuất nội bộ từ téc",DATA_GOC!$B:$B,DATE($D$2,$B$2,O$4)),0))</f>
        <v>0</v>
      </c>
      <c r="P384" s="251">
        <f>IF(P$4&gt;DAY(EOMONTH(DATE($D$2,$B$2,1),0)),"",IFERROR(SUMIFS(DATA_GOC!$H:$H,DATA_GOC!$A:$A,"BOM",DATA_GOC!$D:$D,$B384,DATA_GOC!$E:$E,"Dầu cầu",DATA_GOC!$F:$F,"Xuất nội bộ từ téc",DATA_GOC!$B:$B,DATE($D$2,$B$2,P$4)),0))</f>
        <v>0</v>
      </c>
      <c r="Q384" s="251">
        <f>IF(Q$4&gt;DAY(EOMONTH(DATE($D$2,$B$2,1),0)),"",IFERROR(SUMIFS(DATA_GOC!$H:$H,DATA_GOC!$A:$A,"BOM",DATA_GOC!$D:$D,$B384,DATA_GOC!$E:$E,"Dầu cầu",DATA_GOC!$F:$F,"Xuất nội bộ từ téc",DATA_GOC!$B:$B,DATE($D$2,$B$2,Q$4)),0))</f>
        <v>0</v>
      </c>
      <c r="R384" s="251">
        <f>IF(R$4&gt;DAY(EOMONTH(DATE($D$2,$B$2,1),0)),"",IFERROR(SUMIFS(DATA_GOC!$H:$H,DATA_GOC!$A:$A,"BOM",DATA_GOC!$D:$D,$B384,DATA_GOC!$E:$E,"Dầu cầu",DATA_GOC!$F:$F,"Xuất nội bộ từ téc",DATA_GOC!$B:$B,DATE($D$2,$B$2,R$4)),0))</f>
        <v>0</v>
      </c>
      <c r="S384" s="251">
        <f>IF(S$4&gt;DAY(EOMONTH(DATE($D$2,$B$2,1),0)),"",IFERROR(SUMIFS(DATA_GOC!$H:$H,DATA_GOC!$A:$A,"BOM",DATA_GOC!$D:$D,$B384,DATA_GOC!$E:$E,"Dầu cầu",DATA_GOC!$F:$F,"Xuất nội bộ từ téc",DATA_GOC!$B:$B,DATE($D$2,$B$2,S$4)),0))</f>
        <v>0</v>
      </c>
      <c r="T384" s="251">
        <f>IF(T$4&gt;DAY(EOMONTH(DATE($D$2,$B$2,1),0)),"",IFERROR(SUMIFS(DATA_GOC!$H:$H,DATA_GOC!$A:$A,"BOM",DATA_GOC!$D:$D,$B384,DATA_GOC!$E:$E,"Dầu cầu",DATA_GOC!$F:$F,"Xuất nội bộ từ téc",DATA_GOC!$B:$B,DATE($D$2,$B$2,T$4)),0))</f>
        <v>0</v>
      </c>
      <c r="U384" s="251">
        <f>IF(U$4&gt;DAY(EOMONTH(DATE($D$2,$B$2,1),0)),"",IFERROR(SUMIFS(DATA_GOC!$H:$H,DATA_GOC!$A:$A,"BOM",DATA_GOC!$D:$D,$B384,DATA_GOC!$E:$E,"Dầu cầu",DATA_GOC!$F:$F,"Xuất nội bộ từ téc",DATA_GOC!$B:$B,DATE($D$2,$B$2,U$4)),0))</f>
        <v>0</v>
      </c>
      <c r="V384" s="251">
        <f>IF(V$4&gt;DAY(EOMONTH(DATE($D$2,$B$2,1),0)),"",IFERROR(SUMIFS(DATA_GOC!$H:$H,DATA_GOC!$A:$A,"BOM",DATA_GOC!$D:$D,$B384,DATA_GOC!$E:$E,"Dầu cầu",DATA_GOC!$F:$F,"Xuất nội bộ từ téc",DATA_GOC!$B:$B,DATE($D$2,$B$2,V$4)),0))</f>
        <v>0</v>
      </c>
      <c r="W384" s="251">
        <f>IF(W$4&gt;DAY(EOMONTH(DATE($D$2,$B$2,1),0)),"",IFERROR(SUMIFS(DATA_GOC!$H:$H,DATA_GOC!$A:$A,"BOM",DATA_GOC!$D:$D,$B384,DATA_GOC!$E:$E,"Dầu cầu",DATA_GOC!$F:$F,"Xuất nội bộ từ téc",DATA_GOC!$B:$B,DATE($D$2,$B$2,W$4)),0))</f>
        <v>0</v>
      </c>
      <c r="X384" s="251">
        <f>IF(X$4&gt;DAY(EOMONTH(DATE($D$2,$B$2,1),0)),"",IFERROR(SUMIFS(DATA_GOC!$H:$H,DATA_GOC!$A:$A,"BOM",DATA_GOC!$D:$D,$B384,DATA_GOC!$E:$E,"Dầu cầu",DATA_GOC!$F:$F,"Xuất nội bộ từ téc",DATA_GOC!$B:$B,DATE($D$2,$B$2,X$4)),0))</f>
        <v>0</v>
      </c>
      <c r="Y384" s="251">
        <f>IF(Y$4&gt;DAY(EOMONTH(DATE($D$2,$B$2,1),0)),"",IFERROR(SUMIFS(DATA_GOC!$H:$H,DATA_GOC!$A:$A,"BOM",DATA_GOC!$D:$D,$B384,DATA_GOC!$E:$E,"Dầu cầu",DATA_GOC!$F:$F,"Xuất nội bộ từ téc",DATA_GOC!$B:$B,DATE($D$2,$B$2,Y$4)),0))</f>
        <v>0</v>
      </c>
      <c r="Z384" s="251">
        <f>IF(Z$4&gt;DAY(EOMONTH(DATE($D$2,$B$2,1),0)),"",IFERROR(SUMIFS(DATA_GOC!$H:$H,DATA_GOC!$A:$A,"BOM",DATA_GOC!$D:$D,$B384,DATA_GOC!$E:$E,"Dầu cầu",DATA_GOC!$F:$F,"Xuất nội bộ từ téc",DATA_GOC!$B:$B,DATE($D$2,$B$2,Z$4)),0))</f>
        <v>0</v>
      </c>
      <c r="AA384" s="251">
        <f>IF(AA$4&gt;DAY(EOMONTH(DATE($D$2,$B$2,1),0)),"",IFERROR(SUMIFS(DATA_GOC!$H:$H,DATA_GOC!$A:$A,"BOM",DATA_GOC!$D:$D,$B384,DATA_GOC!$E:$E,"Dầu cầu",DATA_GOC!$F:$F,"Xuất nội bộ từ téc",DATA_GOC!$B:$B,DATE($D$2,$B$2,AA$4)),0))</f>
        <v>0</v>
      </c>
      <c r="AB384" s="251">
        <f>IF(AB$4&gt;DAY(EOMONTH(DATE($D$2,$B$2,1),0)),"",IFERROR(SUMIFS(DATA_GOC!$H:$H,DATA_GOC!$A:$A,"BOM",DATA_GOC!$D:$D,$B384,DATA_GOC!$E:$E,"Dầu cầu",DATA_GOC!$F:$F,"Xuất nội bộ từ téc",DATA_GOC!$B:$B,DATE($D$2,$B$2,AB$4)),0))</f>
        <v>0</v>
      </c>
      <c r="AC384" s="251">
        <f>IF(AC$4&gt;DAY(EOMONTH(DATE($D$2,$B$2,1),0)),"",IFERROR(SUMIFS(DATA_GOC!$H:$H,DATA_GOC!$A:$A,"BOM",DATA_GOC!$D:$D,$B384,DATA_GOC!$E:$E,"Dầu cầu",DATA_GOC!$F:$F,"Xuất nội bộ từ téc",DATA_GOC!$B:$B,DATE($D$2,$B$2,AC$4)),0))</f>
        <v>0</v>
      </c>
      <c r="AD384" s="251">
        <f>IF(AD$4&gt;DAY(EOMONTH(DATE($D$2,$B$2,1),0)),"",IFERROR(SUMIFS(DATA_GOC!$H:$H,DATA_GOC!$A:$A,"BOM",DATA_GOC!$D:$D,$B384,DATA_GOC!$E:$E,"Dầu cầu",DATA_GOC!$F:$F,"Xuất nội bộ từ téc",DATA_GOC!$B:$B,DATE($D$2,$B$2,AD$4)),0))</f>
        <v>0</v>
      </c>
      <c r="AE384" s="251">
        <f>IF(AE$4&gt;DAY(EOMONTH(DATE($D$2,$B$2,1),0)),"",IFERROR(SUMIFS(DATA_GOC!$H:$H,DATA_GOC!$A:$A,"BOM",DATA_GOC!$D:$D,$B384,DATA_GOC!$E:$E,"Dầu cầu",DATA_GOC!$F:$F,"Xuất nội bộ từ téc",DATA_GOC!$B:$B,DATE($D$2,$B$2,AE$4)),0))</f>
        <v>0</v>
      </c>
      <c r="AF384" s="251">
        <f>IF(AF$4&gt;DAY(EOMONTH(DATE($D$2,$B$2,1),0)),"",IFERROR(SUMIFS(DATA_GOC!$H:$H,DATA_GOC!$A:$A,"BOM",DATA_GOC!$D:$D,$B384,DATA_GOC!$E:$E,"Dầu cầu",DATA_GOC!$F:$F,"Xuất nội bộ từ téc",DATA_GOC!$B:$B,DATE($D$2,$B$2,AF$4)),0))</f>
        <v>0</v>
      </c>
      <c r="AG384" s="251">
        <f>IF(AG$4&gt;DAY(EOMONTH(DATE($D$2,$B$2,1),0)),"",IFERROR(SUMIFS(DATA_GOC!$H:$H,DATA_GOC!$A:$A,"BOM",DATA_GOC!$D:$D,$B384,DATA_GOC!$E:$E,"Dầu cầu",DATA_GOC!$F:$F,"Xuất nội bộ từ téc",DATA_GOC!$B:$B,DATE($D$2,$B$2,AG$4)),0))</f>
        <v>0</v>
      </c>
      <c r="AH384" s="252">
        <f t="shared" si="19"/>
        <v>0</v>
      </c>
      <c r="AI384" s="241"/>
      <c r="AJ384" s="242">
        <f>IF($B384="","",SUMIFS(TINH_TEC!$K$233:$K$9232,TINH_TEC!$H$233:$H$9232,$B384,TINH_TEC!$C$233:$C$9232,"Dầu cầu",TINH_TEC!$F$233:$F$9232,$B$2,TINH_TEC!$G$233:$G$9232,$D$2,TINH_TEC!$B$233:$B$9232,"Đã chốt"))</f>
        <v>0</v>
      </c>
      <c r="AK384" s="242">
        <f>IF($B384="","",SUMIFS(TINH_TEC!$J$233:$J$9232,TINH_TEC!$H$233:$H$9232,$B384,TINH_TEC!$C$233:$C$9232,"Dầu cầu",TINH_TEC!$F$233:$F$9232,$B$2,TINH_TEC!$G$233:$G$9232,$D$2,TINH_TEC!$B$233:$B$9232,"Đã chốt"))</f>
        <v>0</v>
      </c>
      <c r="AL384" s="242">
        <f t="shared" si="20"/>
        <v>0</v>
      </c>
    </row>
    <row r="385" ht="15.75" customHeight="1">
      <c r="A385" s="237">
        <f>IF($B385&lt;&gt;"",14,"")</f>
        <v>14</v>
      </c>
      <c r="B385" s="250" t="str">
        <f t="array" ref="B385">IFERROR(INDEX(DANH_MUC!$E:$E,17),"")</f>
        <v>28C02574</v>
      </c>
      <c r="C385" s="251">
        <f>IF(C$4&gt;DAY(EOMONTH(DATE($D$2,$B$2,1),0)),"",IFERROR(SUMIFS(DATA_GOC!$H:$H,DATA_GOC!$A:$A,"BOM",DATA_GOC!$D:$D,$B385,DATA_GOC!$E:$E,"Dầu cầu",DATA_GOC!$F:$F,"Xuất nội bộ từ téc",DATA_GOC!$B:$B,DATE($D$2,$B$2,C$4)),0))</f>
        <v>0</v>
      </c>
      <c r="D385" s="251">
        <f>IF(D$4&gt;DAY(EOMONTH(DATE($D$2,$B$2,1),0)),"",IFERROR(SUMIFS(DATA_GOC!$H:$H,DATA_GOC!$A:$A,"BOM",DATA_GOC!$D:$D,$B385,DATA_GOC!$E:$E,"Dầu cầu",DATA_GOC!$F:$F,"Xuất nội bộ từ téc",DATA_GOC!$B:$B,DATE($D$2,$B$2,D$4)),0))</f>
        <v>0</v>
      </c>
      <c r="E385" s="251">
        <f>IF(E$4&gt;DAY(EOMONTH(DATE($D$2,$B$2,1),0)),"",IFERROR(SUMIFS(DATA_GOC!$H:$H,DATA_GOC!$A:$A,"BOM",DATA_GOC!$D:$D,$B385,DATA_GOC!$E:$E,"Dầu cầu",DATA_GOC!$F:$F,"Xuất nội bộ từ téc",DATA_GOC!$B:$B,DATE($D$2,$B$2,E$4)),0))</f>
        <v>0</v>
      </c>
      <c r="F385" s="251">
        <f>IF(F$4&gt;DAY(EOMONTH(DATE($D$2,$B$2,1),0)),"",IFERROR(SUMIFS(DATA_GOC!$H:$H,DATA_GOC!$A:$A,"BOM",DATA_GOC!$D:$D,$B385,DATA_GOC!$E:$E,"Dầu cầu",DATA_GOC!$F:$F,"Xuất nội bộ từ téc",DATA_GOC!$B:$B,DATE($D$2,$B$2,F$4)),0))</f>
        <v>0</v>
      </c>
      <c r="G385" s="251">
        <f>IF(G$4&gt;DAY(EOMONTH(DATE($D$2,$B$2,1),0)),"",IFERROR(SUMIFS(DATA_GOC!$H:$H,DATA_GOC!$A:$A,"BOM",DATA_GOC!$D:$D,$B385,DATA_GOC!$E:$E,"Dầu cầu",DATA_GOC!$F:$F,"Xuất nội bộ từ téc",DATA_GOC!$B:$B,DATE($D$2,$B$2,G$4)),0))</f>
        <v>0</v>
      </c>
      <c r="H385" s="251">
        <f>IF(H$4&gt;DAY(EOMONTH(DATE($D$2,$B$2,1),0)),"",IFERROR(SUMIFS(DATA_GOC!$H:$H,DATA_GOC!$A:$A,"BOM",DATA_GOC!$D:$D,$B385,DATA_GOC!$E:$E,"Dầu cầu",DATA_GOC!$F:$F,"Xuất nội bộ từ téc",DATA_GOC!$B:$B,DATE($D$2,$B$2,H$4)),0))</f>
        <v>0</v>
      </c>
      <c r="I385" s="251">
        <f>IF(I$4&gt;DAY(EOMONTH(DATE($D$2,$B$2,1),0)),"",IFERROR(SUMIFS(DATA_GOC!$H:$H,DATA_GOC!$A:$A,"BOM",DATA_GOC!$D:$D,$B385,DATA_GOC!$E:$E,"Dầu cầu",DATA_GOC!$F:$F,"Xuất nội bộ từ téc",DATA_GOC!$B:$B,DATE($D$2,$B$2,I$4)),0))</f>
        <v>0</v>
      </c>
      <c r="J385" s="251">
        <f>IF(J$4&gt;DAY(EOMONTH(DATE($D$2,$B$2,1),0)),"",IFERROR(SUMIFS(DATA_GOC!$H:$H,DATA_GOC!$A:$A,"BOM",DATA_GOC!$D:$D,$B385,DATA_GOC!$E:$E,"Dầu cầu",DATA_GOC!$F:$F,"Xuất nội bộ từ téc",DATA_GOC!$B:$B,DATE($D$2,$B$2,J$4)),0))</f>
        <v>0</v>
      </c>
      <c r="K385" s="251">
        <f>IF(K$4&gt;DAY(EOMONTH(DATE($D$2,$B$2,1),0)),"",IFERROR(SUMIFS(DATA_GOC!$H:$H,DATA_GOC!$A:$A,"BOM",DATA_GOC!$D:$D,$B385,DATA_GOC!$E:$E,"Dầu cầu",DATA_GOC!$F:$F,"Xuất nội bộ từ téc",DATA_GOC!$B:$B,DATE($D$2,$B$2,K$4)),0))</f>
        <v>0</v>
      </c>
      <c r="L385" s="251">
        <f>IF(L$4&gt;DAY(EOMONTH(DATE($D$2,$B$2,1),0)),"",IFERROR(SUMIFS(DATA_GOC!$H:$H,DATA_GOC!$A:$A,"BOM",DATA_GOC!$D:$D,$B385,DATA_GOC!$E:$E,"Dầu cầu",DATA_GOC!$F:$F,"Xuất nội bộ từ téc",DATA_GOC!$B:$B,DATE($D$2,$B$2,L$4)),0))</f>
        <v>0</v>
      </c>
      <c r="M385" s="251">
        <f>IF(M$4&gt;DAY(EOMONTH(DATE($D$2,$B$2,1),0)),"",IFERROR(SUMIFS(DATA_GOC!$H:$H,DATA_GOC!$A:$A,"BOM",DATA_GOC!$D:$D,$B385,DATA_GOC!$E:$E,"Dầu cầu",DATA_GOC!$F:$F,"Xuất nội bộ từ téc",DATA_GOC!$B:$B,DATE($D$2,$B$2,M$4)),0))</f>
        <v>0</v>
      </c>
      <c r="N385" s="251">
        <f>IF(N$4&gt;DAY(EOMONTH(DATE($D$2,$B$2,1),0)),"",IFERROR(SUMIFS(DATA_GOC!$H:$H,DATA_GOC!$A:$A,"BOM",DATA_GOC!$D:$D,$B385,DATA_GOC!$E:$E,"Dầu cầu",DATA_GOC!$F:$F,"Xuất nội bộ từ téc",DATA_GOC!$B:$B,DATE($D$2,$B$2,N$4)),0))</f>
        <v>0</v>
      </c>
      <c r="O385" s="251">
        <f>IF(O$4&gt;DAY(EOMONTH(DATE($D$2,$B$2,1),0)),"",IFERROR(SUMIFS(DATA_GOC!$H:$H,DATA_GOC!$A:$A,"BOM",DATA_GOC!$D:$D,$B385,DATA_GOC!$E:$E,"Dầu cầu",DATA_GOC!$F:$F,"Xuất nội bộ từ téc",DATA_GOC!$B:$B,DATE($D$2,$B$2,O$4)),0))</f>
        <v>0</v>
      </c>
      <c r="P385" s="251">
        <f>IF(P$4&gt;DAY(EOMONTH(DATE($D$2,$B$2,1),0)),"",IFERROR(SUMIFS(DATA_GOC!$H:$H,DATA_GOC!$A:$A,"BOM",DATA_GOC!$D:$D,$B385,DATA_GOC!$E:$E,"Dầu cầu",DATA_GOC!$F:$F,"Xuất nội bộ từ téc",DATA_GOC!$B:$B,DATE($D$2,$B$2,P$4)),0))</f>
        <v>0</v>
      </c>
      <c r="Q385" s="251">
        <f>IF(Q$4&gt;DAY(EOMONTH(DATE($D$2,$B$2,1),0)),"",IFERROR(SUMIFS(DATA_GOC!$H:$H,DATA_GOC!$A:$A,"BOM",DATA_GOC!$D:$D,$B385,DATA_GOC!$E:$E,"Dầu cầu",DATA_GOC!$F:$F,"Xuất nội bộ từ téc",DATA_GOC!$B:$B,DATE($D$2,$B$2,Q$4)),0))</f>
        <v>0</v>
      </c>
      <c r="R385" s="251">
        <f>IF(R$4&gt;DAY(EOMONTH(DATE($D$2,$B$2,1),0)),"",IFERROR(SUMIFS(DATA_GOC!$H:$H,DATA_GOC!$A:$A,"BOM",DATA_GOC!$D:$D,$B385,DATA_GOC!$E:$E,"Dầu cầu",DATA_GOC!$F:$F,"Xuất nội bộ từ téc",DATA_GOC!$B:$B,DATE($D$2,$B$2,R$4)),0))</f>
        <v>0</v>
      </c>
      <c r="S385" s="251">
        <f>IF(S$4&gt;DAY(EOMONTH(DATE($D$2,$B$2,1),0)),"",IFERROR(SUMIFS(DATA_GOC!$H:$H,DATA_GOC!$A:$A,"BOM",DATA_GOC!$D:$D,$B385,DATA_GOC!$E:$E,"Dầu cầu",DATA_GOC!$F:$F,"Xuất nội bộ từ téc",DATA_GOC!$B:$B,DATE($D$2,$B$2,S$4)),0))</f>
        <v>0</v>
      </c>
      <c r="T385" s="251">
        <f>IF(T$4&gt;DAY(EOMONTH(DATE($D$2,$B$2,1),0)),"",IFERROR(SUMIFS(DATA_GOC!$H:$H,DATA_GOC!$A:$A,"BOM",DATA_GOC!$D:$D,$B385,DATA_GOC!$E:$E,"Dầu cầu",DATA_GOC!$F:$F,"Xuất nội bộ từ téc",DATA_GOC!$B:$B,DATE($D$2,$B$2,T$4)),0))</f>
        <v>0</v>
      </c>
      <c r="U385" s="251">
        <f>IF(U$4&gt;DAY(EOMONTH(DATE($D$2,$B$2,1),0)),"",IFERROR(SUMIFS(DATA_GOC!$H:$H,DATA_GOC!$A:$A,"BOM",DATA_GOC!$D:$D,$B385,DATA_GOC!$E:$E,"Dầu cầu",DATA_GOC!$F:$F,"Xuất nội bộ từ téc",DATA_GOC!$B:$B,DATE($D$2,$B$2,U$4)),0))</f>
        <v>0</v>
      </c>
      <c r="V385" s="251">
        <f>IF(V$4&gt;DAY(EOMONTH(DATE($D$2,$B$2,1),0)),"",IFERROR(SUMIFS(DATA_GOC!$H:$H,DATA_GOC!$A:$A,"BOM",DATA_GOC!$D:$D,$B385,DATA_GOC!$E:$E,"Dầu cầu",DATA_GOC!$F:$F,"Xuất nội bộ từ téc",DATA_GOC!$B:$B,DATE($D$2,$B$2,V$4)),0))</f>
        <v>0</v>
      </c>
      <c r="W385" s="251">
        <f>IF(W$4&gt;DAY(EOMONTH(DATE($D$2,$B$2,1),0)),"",IFERROR(SUMIFS(DATA_GOC!$H:$H,DATA_GOC!$A:$A,"BOM",DATA_GOC!$D:$D,$B385,DATA_GOC!$E:$E,"Dầu cầu",DATA_GOC!$F:$F,"Xuất nội bộ từ téc",DATA_GOC!$B:$B,DATE($D$2,$B$2,W$4)),0))</f>
        <v>0</v>
      </c>
      <c r="X385" s="251">
        <f>IF(X$4&gt;DAY(EOMONTH(DATE($D$2,$B$2,1),0)),"",IFERROR(SUMIFS(DATA_GOC!$H:$H,DATA_GOC!$A:$A,"BOM",DATA_GOC!$D:$D,$B385,DATA_GOC!$E:$E,"Dầu cầu",DATA_GOC!$F:$F,"Xuất nội bộ từ téc",DATA_GOC!$B:$B,DATE($D$2,$B$2,X$4)),0))</f>
        <v>0</v>
      </c>
      <c r="Y385" s="251">
        <f>IF(Y$4&gt;DAY(EOMONTH(DATE($D$2,$B$2,1),0)),"",IFERROR(SUMIFS(DATA_GOC!$H:$H,DATA_GOC!$A:$A,"BOM",DATA_GOC!$D:$D,$B385,DATA_GOC!$E:$E,"Dầu cầu",DATA_GOC!$F:$F,"Xuất nội bộ từ téc",DATA_GOC!$B:$B,DATE($D$2,$B$2,Y$4)),0))</f>
        <v>0</v>
      </c>
      <c r="Z385" s="251">
        <f>IF(Z$4&gt;DAY(EOMONTH(DATE($D$2,$B$2,1),0)),"",IFERROR(SUMIFS(DATA_GOC!$H:$H,DATA_GOC!$A:$A,"BOM",DATA_GOC!$D:$D,$B385,DATA_GOC!$E:$E,"Dầu cầu",DATA_GOC!$F:$F,"Xuất nội bộ từ téc",DATA_GOC!$B:$B,DATE($D$2,$B$2,Z$4)),0))</f>
        <v>0</v>
      </c>
      <c r="AA385" s="251">
        <f>IF(AA$4&gt;DAY(EOMONTH(DATE($D$2,$B$2,1),0)),"",IFERROR(SUMIFS(DATA_GOC!$H:$H,DATA_GOC!$A:$A,"BOM",DATA_GOC!$D:$D,$B385,DATA_GOC!$E:$E,"Dầu cầu",DATA_GOC!$F:$F,"Xuất nội bộ từ téc",DATA_GOC!$B:$B,DATE($D$2,$B$2,AA$4)),0))</f>
        <v>0</v>
      </c>
      <c r="AB385" s="251">
        <f>IF(AB$4&gt;DAY(EOMONTH(DATE($D$2,$B$2,1),0)),"",IFERROR(SUMIFS(DATA_GOC!$H:$H,DATA_GOC!$A:$A,"BOM",DATA_GOC!$D:$D,$B385,DATA_GOC!$E:$E,"Dầu cầu",DATA_GOC!$F:$F,"Xuất nội bộ từ téc",DATA_GOC!$B:$B,DATE($D$2,$B$2,AB$4)),0))</f>
        <v>0</v>
      </c>
      <c r="AC385" s="251">
        <f>IF(AC$4&gt;DAY(EOMONTH(DATE($D$2,$B$2,1),0)),"",IFERROR(SUMIFS(DATA_GOC!$H:$H,DATA_GOC!$A:$A,"BOM",DATA_GOC!$D:$D,$B385,DATA_GOC!$E:$E,"Dầu cầu",DATA_GOC!$F:$F,"Xuất nội bộ từ téc",DATA_GOC!$B:$B,DATE($D$2,$B$2,AC$4)),0))</f>
        <v>0</v>
      </c>
      <c r="AD385" s="251">
        <f>IF(AD$4&gt;DAY(EOMONTH(DATE($D$2,$B$2,1),0)),"",IFERROR(SUMIFS(DATA_GOC!$H:$H,DATA_GOC!$A:$A,"BOM",DATA_GOC!$D:$D,$B385,DATA_GOC!$E:$E,"Dầu cầu",DATA_GOC!$F:$F,"Xuất nội bộ từ téc",DATA_GOC!$B:$B,DATE($D$2,$B$2,AD$4)),0))</f>
        <v>0</v>
      </c>
      <c r="AE385" s="251">
        <f>IF(AE$4&gt;DAY(EOMONTH(DATE($D$2,$B$2,1),0)),"",IFERROR(SUMIFS(DATA_GOC!$H:$H,DATA_GOC!$A:$A,"BOM",DATA_GOC!$D:$D,$B385,DATA_GOC!$E:$E,"Dầu cầu",DATA_GOC!$F:$F,"Xuất nội bộ từ téc",DATA_GOC!$B:$B,DATE($D$2,$B$2,AE$4)),0))</f>
        <v>0</v>
      </c>
      <c r="AF385" s="251">
        <f>IF(AF$4&gt;DAY(EOMONTH(DATE($D$2,$B$2,1),0)),"",IFERROR(SUMIFS(DATA_GOC!$H:$H,DATA_GOC!$A:$A,"BOM",DATA_GOC!$D:$D,$B385,DATA_GOC!$E:$E,"Dầu cầu",DATA_GOC!$F:$F,"Xuất nội bộ từ téc",DATA_GOC!$B:$B,DATE($D$2,$B$2,AF$4)),0))</f>
        <v>0</v>
      </c>
      <c r="AG385" s="251">
        <f>IF(AG$4&gt;DAY(EOMONTH(DATE($D$2,$B$2,1),0)),"",IFERROR(SUMIFS(DATA_GOC!$H:$H,DATA_GOC!$A:$A,"BOM",DATA_GOC!$D:$D,$B385,DATA_GOC!$E:$E,"Dầu cầu",DATA_GOC!$F:$F,"Xuất nội bộ từ téc",DATA_GOC!$B:$B,DATE($D$2,$B$2,AG$4)),0))</f>
        <v>0</v>
      </c>
      <c r="AH385" s="252">
        <f t="shared" si="19"/>
        <v>0</v>
      </c>
      <c r="AI385" s="241"/>
      <c r="AJ385" s="242">
        <f>IF($B385="","",SUMIFS(TINH_TEC!$K$233:$K$9232,TINH_TEC!$H$233:$H$9232,$B385,TINH_TEC!$C$233:$C$9232,"Dầu cầu",TINH_TEC!$F$233:$F$9232,$B$2,TINH_TEC!$G$233:$G$9232,$D$2,TINH_TEC!$B$233:$B$9232,"Đã chốt"))</f>
        <v>0</v>
      </c>
      <c r="AK385" s="242">
        <f>IF($B385="","",SUMIFS(TINH_TEC!$J$233:$J$9232,TINH_TEC!$H$233:$H$9232,$B385,TINH_TEC!$C$233:$C$9232,"Dầu cầu",TINH_TEC!$F$233:$F$9232,$B$2,TINH_TEC!$G$233:$G$9232,$D$2,TINH_TEC!$B$233:$B$9232,"Đã chốt"))</f>
        <v>0</v>
      </c>
      <c r="AL385" s="242">
        <f t="shared" si="20"/>
        <v>0</v>
      </c>
    </row>
    <row r="386" ht="15.75" customHeight="1">
      <c r="A386" s="237">
        <f>IF($B386&lt;&gt;"",15,"")</f>
        <v>15</v>
      </c>
      <c r="B386" s="250" t="str">
        <f t="array" ref="B386">IFERROR(INDEX(DANH_MUC!$E:$E,18),"")</f>
        <v>28C02770</v>
      </c>
      <c r="C386" s="251">
        <f>IF(C$4&gt;DAY(EOMONTH(DATE($D$2,$B$2,1),0)),"",IFERROR(SUMIFS(DATA_GOC!$H:$H,DATA_GOC!$A:$A,"BOM",DATA_GOC!$D:$D,$B386,DATA_GOC!$E:$E,"Dầu cầu",DATA_GOC!$F:$F,"Xuất nội bộ từ téc",DATA_GOC!$B:$B,DATE($D$2,$B$2,C$4)),0))</f>
        <v>0</v>
      </c>
      <c r="D386" s="251">
        <f>IF(D$4&gt;DAY(EOMONTH(DATE($D$2,$B$2,1),0)),"",IFERROR(SUMIFS(DATA_GOC!$H:$H,DATA_GOC!$A:$A,"BOM",DATA_GOC!$D:$D,$B386,DATA_GOC!$E:$E,"Dầu cầu",DATA_GOC!$F:$F,"Xuất nội bộ từ téc",DATA_GOC!$B:$B,DATE($D$2,$B$2,D$4)),0))</f>
        <v>0</v>
      </c>
      <c r="E386" s="251">
        <f>IF(E$4&gt;DAY(EOMONTH(DATE($D$2,$B$2,1),0)),"",IFERROR(SUMIFS(DATA_GOC!$H:$H,DATA_GOC!$A:$A,"BOM",DATA_GOC!$D:$D,$B386,DATA_GOC!$E:$E,"Dầu cầu",DATA_GOC!$F:$F,"Xuất nội bộ từ téc",DATA_GOC!$B:$B,DATE($D$2,$B$2,E$4)),0))</f>
        <v>0</v>
      </c>
      <c r="F386" s="251">
        <f>IF(F$4&gt;DAY(EOMONTH(DATE($D$2,$B$2,1),0)),"",IFERROR(SUMIFS(DATA_GOC!$H:$H,DATA_GOC!$A:$A,"BOM",DATA_GOC!$D:$D,$B386,DATA_GOC!$E:$E,"Dầu cầu",DATA_GOC!$F:$F,"Xuất nội bộ từ téc",DATA_GOC!$B:$B,DATE($D$2,$B$2,F$4)),0))</f>
        <v>0</v>
      </c>
      <c r="G386" s="251">
        <f>IF(G$4&gt;DAY(EOMONTH(DATE($D$2,$B$2,1),0)),"",IFERROR(SUMIFS(DATA_GOC!$H:$H,DATA_GOC!$A:$A,"BOM",DATA_GOC!$D:$D,$B386,DATA_GOC!$E:$E,"Dầu cầu",DATA_GOC!$F:$F,"Xuất nội bộ từ téc",DATA_GOC!$B:$B,DATE($D$2,$B$2,G$4)),0))</f>
        <v>0</v>
      </c>
      <c r="H386" s="251">
        <f>IF(H$4&gt;DAY(EOMONTH(DATE($D$2,$B$2,1),0)),"",IFERROR(SUMIFS(DATA_GOC!$H:$H,DATA_GOC!$A:$A,"BOM",DATA_GOC!$D:$D,$B386,DATA_GOC!$E:$E,"Dầu cầu",DATA_GOC!$F:$F,"Xuất nội bộ từ téc",DATA_GOC!$B:$B,DATE($D$2,$B$2,H$4)),0))</f>
        <v>0</v>
      </c>
      <c r="I386" s="251">
        <f>IF(I$4&gt;DAY(EOMONTH(DATE($D$2,$B$2,1),0)),"",IFERROR(SUMIFS(DATA_GOC!$H:$H,DATA_GOC!$A:$A,"BOM",DATA_GOC!$D:$D,$B386,DATA_GOC!$E:$E,"Dầu cầu",DATA_GOC!$F:$F,"Xuất nội bộ từ téc",DATA_GOC!$B:$B,DATE($D$2,$B$2,I$4)),0))</f>
        <v>0</v>
      </c>
      <c r="J386" s="251">
        <f>IF(J$4&gt;DAY(EOMONTH(DATE($D$2,$B$2,1),0)),"",IFERROR(SUMIFS(DATA_GOC!$H:$H,DATA_GOC!$A:$A,"BOM",DATA_GOC!$D:$D,$B386,DATA_GOC!$E:$E,"Dầu cầu",DATA_GOC!$F:$F,"Xuất nội bộ từ téc",DATA_GOC!$B:$B,DATE($D$2,$B$2,J$4)),0))</f>
        <v>0</v>
      </c>
      <c r="K386" s="251">
        <f>IF(K$4&gt;DAY(EOMONTH(DATE($D$2,$B$2,1),0)),"",IFERROR(SUMIFS(DATA_GOC!$H:$H,DATA_GOC!$A:$A,"BOM",DATA_GOC!$D:$D,$B386,DATA_GOC!$E:$E,"Dầu cầu",DATA_GOC!$F:$F,"Xuất nội bộ từ téc",DATA_GOC!$B:$B,DATE($D$2,$B$2,K$4)),0))</f>
        <v>0</v>
      </c>
      <c r="L386" s="251">
        <f>IF(L$4&gt;DAY(EOMONTH(DATE($D$2,$B$2,1),0)),"",IFERROR(SUMIFS(DATA_GOC!$H:$H,DATA_GOC!$A:$A,"BOM",DATA_GOC!$D:$D,$B386,DATA_GOC!$E:$E,"Dầu cầu",DATA_GOC!$F:$F,"Xuất nội bộ từ téc",DATA_GOC!$B:$B,DATE($D$2,$B$2,L$4)),0))</f>
        <v>0</v>
      </c>
      <c r="M386" s="251">
        <f>IF(M$4&gt;DAY(EOMONTH(DATE($D$2,$B$2,1),0)),"",IFERROR(SUMIFS(DATA_GOC!$H:$H,DATA_GOC!$A:$A,"BOM",DATA_GOC!$D:$D,$B386,DATA_GOC!$E:$E,"Dầu cầu",DATA_GOC!$F:$F,"Xuất nội bộ từ téc",DATA_GOC!$B:$B,DATE($D$2,$B$2,M$4)),0))</f>
        <v>0</v>
      </c>
      <c r="N386" s="251">
        <f>IF(N$4&gt;DAY(EOMONTH(DATE($D$2,$B$2,1),0)),"",IFERROR(SUMIFS(DATA_GOC!$H:$H,DATA_GOC!$A:$A,"BOM",DATA_GOC!$D:$D,$B386,DATA_GOC!$E:$E,"Dầu cầu",DATA_GOC!$F:$F,"Xuất nội bộ từ téc",DATA_GOC!$B:$B,DATE($D$2,$B$2,N$4)),0))</f>
        <v>0</v>
      </c>
      <c r="O386" s="251">
        <f>IF(O$4&gt;DAY(EOMONTH(DATE($D$2,$B$2,1),0)),"",IFERROR(SUMIFS(DATA_GOC!$H:$H,DATA_GOC!$A:$A,"BOM",DATA_GOC!$D:$D,$B386,DATA_GOC!$E:$E,"Dầu cầu",DATA_GOC!$F:$F,"Xuất nội bộ từ téc",DATA_GOC!$B:$B,DATE($D$2,$B$2,O$4)),0))</f>
        <v>0</v>
      </c>
      <c r="P386" s="251">
        <f>IF(P$4&gt;DAY(EOMONTH(DATE($D$2,$B$2,1),0)),"",IFERROR(SUMIFS(DATA_GOC!$H:$H,DATA_GOC!$A:$A,"BOM",DATA_GOC!$D:$D,$B386,DATA_GOC!$E:$E,"Dầu cầu",DATA_GOC!$F:$F,"Xuất nội bộ từ téc",DATA_GOC!$B:$B,DATE($D$2,$B$2,P$4)),0))</f>
        <v>0</v>
      </c>
      <c r="Q386" s="251">
        <f>IF(Q$4&gt;DAY(EOMONTH(DATE($D$2,$B$2,1),0)),"",IFERROR(SUMIFS(DATA_GOC!$H:$H,DATA_GOC!$A:$A,"BOM",DATA_GOC!$D:$D,$B386,DATA_GOC!$E:$E,"Dầu cầu",DATA_GOC!$F:$F,"Xuất nội bộ từ téc",DATA_GOC!$B:$B,DATE($D$2,$B$2,Q$4)),0))</f>
        <v>0</v>
      </c>
      <c r="R386" s="251">
        <f>IF(R$4&gt;DAY(EOMONTH(DATE($D$2,$B$2,1),0)),"",IFERROR(SUMIFS(DATA_GOC!$H:$H,DATA_GOC!$A:$A,"BOM",DATA_GOC!$D:$D,$B386,DATA_GOC!$E:$E,"Dầu cầu",DATA_GOC!$F:$F,"Xuất nội bộ từ téc",DATA_GOC!$B:$B,DATE($D$2,$B$2,R$4)),0))</f>
        <v>0</v>
      </c>
      <c r="S386" s="251">
        <f>IF(S$4&gt;DAY(EOMONTH(DATE($D$2,$B$2,1),0)),"",IFERROR(SUMIFS(DATA_GOC!$H:$H,DATA_GOC!$A:$A,"BOM",DATA_GOC!$D:$D,$B386,DATA_GOC!$E:$E,"Dầu cầu",DATA_GOC!$F:$F,"Xuất nội bộ từ téc",DATA_GOC!$B:$B,DATE($D$2,$B$2,S$4)),0))</f>
        <v>0</v>
      </c>
      <c r="T386" s="251">
        <f>IF(T$4&gt;DAY(EOMONTH(DATE($D$2,$B$2,1),0)),"",IFERROR(SUMIFS(DATA_GOC!$H:$H,DATA_GOC!$A:$A,"BOM",DATA_GOC!$D:$D,$B386,DATA_GOC!$E:$E,"Dầu cầu",DATA_GOC!$F:$F,"Xuất nội bộ từ téc",DATA_GOC!$B:$B,DATE($D$2,$B$2,T$4)),0))</f>
        <v>0</v>
      </c>
      <c r="U386" s="251">
        <f>IF(U$4&gt;DAY(EOMONTH(DATE($D$2,$B$2,1),0)),"",IFERROR(SUMIFS(DATA_GOC!$H:$H,DATA_GOC!$A:$A,"BOM",DATA_GOC!$D:$D,$B386,DATA_GOC!$E:$E,"Dầu cầu",DATA_GOC!$F:$F,"Xuất nội bộ từ téc",DATA_GOC!$B:$B,DATE($D$2,$B$2,U$4)),0))</f>
        <v>0</v>
      </c>
      <c r="V386" s="251">
        <f>IF(V$4&gt;DAY(EOMONTH(DATE($D$2,$B$2,1),0)),"",IFERROR(SUMIFS(DATA_GOC!$H:$H,DATA_GOC!$A:$A,"BOM",DATA_GOC!$D:$D,$B386,DATA_GOC!$E:$E,"Dầu cầu",DATA_GOC!$F:$F,"Xuất nội bộ từ téc",DATA_GOC!$B:$B,DATE($D$2,$B$2,V$4)),0))</f>
        <v>0</v>
      </c>
      <c r="W386" s="251">
        <f>IF(W$4&gt;DAY(EOMONTH(DATE($D$2,$B$2,1),0)),"",IFERROR(SUMIFS(DATA_GOC!$H:$H,DATA_GOC!$A:$A,"BOM",DATA_GOC!$D:$D,$B386,DATA_GOC!$E:$E,"Dầu cầu",DATA_GOC!$F:$F,"Xuất nội bộ từ téc",DATA_GOC!$B:$B,DATE($D$2,$B$2,W$4)),0))</f>
        <v>0</v>
      </c>
      <c r="X386" s="251">
        <f>IF(X$4&gt;DAY(EOMONTH(DATE($D$2,$B$2,1),0)),"",IFERROR(SUMIFS(DATA_GOC!$H:$H,DATA_GOC!$A:$A,"BOM",DATA_GOC!$D:$D,$B386,DATA_GOC!$E:$E,"Dầu cầu",DATA_GOC!$F:$F,"Xuất nội bộ từ téc",DATA_GOC!$B:$B,DATE($D$2,$B$2,X$4)),0))</f>
        <v>0</v>
      </c>
      <c r="Y386" s="251">
        <f>IF(Y$4&gt;DAY(EOMONTH(DATE($D$2,$B$2,1),0)),"",IFERROR(SUMIFS(DATA_GOC!$H:$H,DATA_GOC!$A:$A,"BOM",DATA_GOC!$D:$D,$B386,DATA_GOC!$E:$E,"Dầu cầu",DATA_GOC!$F:$F,"Xuất nội bộ từ téc",DATA_GOC!$B:$B,DATE($D$2,$B$2,Y$4)),0))</f>
        <v>0</v>
      </c>
      <c r="Z386" s="251">
        <f>IF(Z$4&gt;DAY(EOMONTH(DATE($D$2,$B$2,1),0)),"",IFERROR(SUMIFS(DATA_GOC!$H:$H,DATA_GOC!$A:$A,"BOM",DATA_GOC!$D:$D,$B386,DATA_GOC!$E:$E,"Dầu cầu",DATA_GOC!$F:$F,"Xuất nội bộ từ téc",DATA_GOC!$B:$B,DATE($D$2,$B$2,Z$4)),0))</f>
        <v>0</v>
      </c>
      <c r="AA386" s="251">
        <f>IF(AA$4&gt;DAY(EOMONTH(DATE($D$2,$B$2,1),0)),"",IFERROR(SUMIFS(DATA_GOC!$H:$H,DATA_GOC!$A:$A,"BOM",DATA_GOC!$D:$D,$B386,DATA_GOC!$E:$E,"Dầu cầu",DATA_GOC!$F:$F,"Xuất nội bộ từ téc",DATA_GOC!$B:$B,DATE($D$2,$B$2,AA$4)),0))</f>
        <v>0</v>
      </c>
      <c r="AB386" s="251">
        <f>IF(AB$4&gt;DAY(EOMONTH(DATE($D$2,$B$2,1),0)),"",IFERROR(SUMIFS(DATA_GOC!$H:$H,DATA_GOC!$A:$A,"BOM",DATA_GOC!$D:$D,$B386,DATA_GOC!$E:$E,"Dầu cầu",DATA_GOC!$F:$F,"Xuất nội bộ từ téc",DATA_GOC!$B:$B,DATE($D$2,$B$2,AB$4)),0))</f>
        <v>0</v>
      </c>
      <c r="AC386" s="251">
        <f>IF(AC$4&gt;DAY(EOMONTH(DATE($D$2,$B$2,1),0)),"",IFERROR(SUMIFS(DATA_GOC!$H:$H,DATA_GOC!$A:$A,"BOM",DATA_GOC!$D:$D,$B386,DATA_GOC!$E:$E,"Dầu cầu",DATA_GOC!$F:$F,"Xuất nội bộ từ téc",DATA_GOC!$B:$B,DATE($D$2,$B$2,AC$4)),0))</f>
        <v>0</v>
      </c>
      <c r="AD386" s="251">
        <f>IF(AD$4&gt;DAY(EOMONTH(DATE($D$2,$B$2,1),0)),"",IFERROR(SUMIFS(DATA_GOC!$H:$H,DATA_GOC!$A:$A,"BOM",DATA_GOC!$D:$D,$B386,DATA_GOC!$E:$E,"Dầu cầu",DATA_GOC!$F:$F,"Xuất nội bộ từ téc",DATA_GOC!$B:$B,DATE($D$2,$B$2,AD$4)),0))</f>
        <v>0</v>
      </c>
      <c r="AE386" s="251">
        <f>IF(AE$4&gt;DAY(EOMONTH(DATE($D$2,$B$2,1),0)),"",IFERROR(SUMIFS(DATA_GOC!$H:$H,DATA_GOC!$A:$A,"BOM",DATA_GOC!$D:$D,$B386,DATA_GOC!$E:$E,"Dầu cầu",DATA_GOC!$F:$F,"Xuất nội bộ từ téc",DATA_GOC!$B:$B,DATE($D$2,$B$2,AE$4)),0))</f>
        <v>0</v>
      </c>
      <c r="AF386" s="251">
        <f>IF(AF$4&gt;DAY(EOMONTH(DATE($D$2,$B$2,1),0)),"",IFERROR(SUMIFS(DATA_GOC!$H:$H,DATA_GOC!$A:$A,"BOM",DATA_GOC!$D:$D,$B386,DATA_GOC!$E:$E,"Dầu cầu",DATA_GOC!$F:$F,"Xuất nội bộ từ téc",DATA_GOC!$B:$B,DATE($D$2,$B$2,AF$4)),0))</f>
        <v>0</v>
      </c>
      <c r="AG386" s="251">
        <f>IF(AG$4&gt;DAY(EOMONTH(DATE($D$2,$B$2,1),0)),"",IFERROR(SUMIFS(DATA_GOC!$H:$H,DATA_GOC!$A:$A,"BOM",DATA_GOC!$D:$D,$B386,DATA_GOC!$E:$E,"Dầu cầu",DATA_GOC!$F:$F,"Xuất nội bộ từ téc",DATA_GOC!$B:$B,DATE($D$2,$B$2,AG$4)),0))</f>
        <v>0</v>
      </c>
      <c r="AH386" s="252">
        <f t="shared" si="19"/>
        <v>0</v>
      </c>
      <c r="AI386" s="241"/>
      <c r="AJ386" s="242">
        <f>IF($B386="","",SUMIFS(TINH_TEC!$K$233:$K$9232,TINH_TEC!$H$233:$H$9232,$B386,TINH_TEC!$C$233:$C$9232,"Dầu cầu",TINH_TEC!$F$233:$F$9232,$B$2,TINH_TEC!$G$233:$G$9232,$D$2,TINH_TEC!$B$233:$B$9232,"Đã chốt"))</f>
        <v>0</v>
      </c>
      <c r="AK386" s="242">
        <f>IF($B386="","",SUMIFS(TINH_TEC!$J$233:$J$9232,TINH_TEC!$H$233:$H$9232,$B386,TINH_TEC!$C$233:$C$9232,"Dầu cầu",TINH_TEC!$F$233:$F$9232,$B$2,TINH_TEC!$G$233:$G$9232,$D$2,TINH_TEC!$B$233:$B$9232,"Đã chốt"))</f>
        <v>0</v>
      </c>
      <c r="AL386" s="242">
        <f t="shared" si="20"/>
        <v>0</v>
      </c>
    </row>
    <row r="387" ht="15.75" customHeight="1">
      <c r="A387" s="237">
        <f>IF($B387&lt;&gt;"",16,"")</f>
        <v>16</v>
      </c>
      <c r="B387" s="250" t="str">
        <f t="array" ref="B387">IFERROR(INDEX(DANH_MUC!$E:$E,19),"")</f>
        <v>28C02986</v>
      </c>
      <c r="C387" s="251">
        <f>IF(C$4&gt;DAY(EOMONTH(DATE($D$2,$B$2,1),0)),"",IFERROR(SUMIFS(DATA_GOC!$H:$H,DATA_GOC!$A:$A,"BOM",DATA_GOC!$D:$D,$B387,DATA_GOC!$E:$E,"Dầu cầu",DATA_GOC!$F:$F,"Xuất nội bộ từ téc",DATA_GOC!$B:$B,DATE($D$2,$B$2,C$4)),0))</f>
        <v>0</v>
      </c>
      <c r="D387" s="251">
        <f>IF(D$4&gt;DAY(EOMONTH(DATE($D$2,$B$2,1),0)),"",IFERROR(SUMIFS(DATA_GOC!$H:$H,DATA_GOC!$A:$A,"BOM",DATA_GOC!$D:$D,$B387,DATA_GOC!$E:$E,"Dầu cầu",DATA_GOC!$F:$F,"Xuất nội bộ từ téc",DATA_GOC!$B:$B,DATE($D$2,$B$2,D$4)),0))</f>
        <v>0</v>
      </c>
      <c r="E387" s="251">
        <f>IF(E$4&gt;DAY(EOMONTH(DATE($D$2,$B$2,1),0)),"",IFERROR(SUMIFS(DATA_GOC!$H:$H,DATA_GOC!$A:$A,"BOM",DATA_GOC!$D:$D,$B387,DATA_GOC!$E:$E,"Dầu cầu",DATA_GOC!$F:$F,"Xuất nội bộ từ téc",DATA_GOC!$B:$B,DATE($D$2,$B$2,E$4)),0))</f>
        <v>0</v>
      </c>
      <c r="F387" s="251">
        <f>IF(F$4&gt;DAY(EOMONTH(DATE($D$2,$B$2,1),0)),"",IFERROR(SUMIFS(DATA_GOC!$H:$H,DATA_GOC!$A:$A,"BOM",DATA_GOC!$D:$D,$B387,DATA_GOC!$E:$E,"Dầu cầu",DATA_GOC!$F:$F,"Xuất nội bộ từ téc",DATA_GOC!$B:$B,DATE($D$2,$B$2,F$4)),0))</f>
        <v>0</v>
      </c>
      <c r="G387" s="251">
        <f>IF(G$4&gt;DAY(EOMONTH(DATE($D$2,$B$2,1),0)),"",IFERROR(SUMIFS(DATA_GOC!$H:$H,DATA_GOC!$A:$A,"BOM",DATA_GOC!$D:$D,$B387,DATA_GOC!$E:$E,"Dầu cầu",DATA_GOC!$F:$F,"Xuất nội bộ từ téc",DATA_GOC!$B:$B,DATE($D$2,$B$2,G$4)),0))</f>
        <v>0</v>
      </c>
      <c r="H387" s="251">
        <f>IF(H$4&gt;DAY(EOMONTH(DATE($D$2,$B$2,1),0)),"",IFERROR(SUMIFS(DATA_GOC!$H:$H,DATA_GOC!$A:$A,"BOM",DATA_GOC!$D:$D,$B387,DATA_GOC!$E:$E,"Dầu cầu",DATA_GOC!$F:$F,"Xuất nội bộ từ téc",DATA_GOC!$B:$B,DATE($D$2,$B$2,H$4)),0))</f>
        <v>0</v>
      </c>
      <c r="I387" s="251">
        <f>IF(I$4&gt;DAY(EOMONTH(DATE($D$2,$B$2,1),0)),"",IFERROR(SUMIFS(DATA_GOC!$H:$H,DATA_GOC!$A:$A,"BOM",DATA_GOC!$D:$D,$B387,DATA_GOC!$E:$E,"Dầu cầu",DATA_GOC!$F:$F,"Xuất nội bộ từ téc",DATA_GOC!$B:$B,DATE($D$2,$B$2,I$4)),0))</f>
        <v>0</v>
      </c>
      <c r="J387" s="251">
        <f>IF(J$4&gt;DAY(EOMONTH(DATE($D$2,$B$2,1),0)),"",IFERROR(SUMIFS(DATA_GOC!$H:$H,DATA_GOC!$A:$A,"BOM",DATA_GOC!$D:$D,$B387,DATA_GOC!$E:$E,"Dầu cầu",DATA_GOC!$F:$F,"Xuất nội bộ từ téc",DATA_GOC!$B:$B,DATE($D$2,$B$2,J$4)),0))</f>
        <v>0</v>
      </c>
      <c r="K387" s="251">
        <f>IF(K$4&gt;DAY(EOMONTH(DATE($D$2,$B$2,1),0)),"",IFERROR(SUMIFS(DATA_GOC!$H:$H,DATA_GOC!$A:$A,"BOM",DATA_GOC!$D:$D,$B387,DATA_GOC!$E:$E,"Dầu cầu",DATA_GOC!$F:$F,"Xuất nội bộ từ téc",DATA_GOC!$B:$B,DATE($D$2,$B$2,K$4)),0))</f>
        <v>0</v>
      </c>
      <c r="L387" s="251">
        <f>IF(L$4&gt;DAY(EOMONTH(DATE($D$2,$B$2,1),0)),"",IFERROR(SUMIFS(DATA_GOC!$H:$H,DATA_GOC!$A:$A,"BOM",DATA_GOC!$D:$D,$B387,DATA_GOC!$E:$E,"Dầu cầu",DATA_GOC!$F:$F,"Xuất nội bộ từ téc",DATA_GOC!$B:$B,DATE($D$2,$B$2,L$4)),0))</f>
        <v>0</v>
      </c>
      <c r="M387" s="251">
        <f>IF(M$4&gt;DAY(EOMONTH(DATE($D$2,$B$2,1),0)),"",IFERROR(SUMIFS(DATA_GOC!$H:$H,DATA_GOC!$A:$A,"BOM",DATA_GOC!$D:$D,$B387,DATA_GOC!$E:$E,"Dầu cầu",DATA_GOC!$F:$F,"Xuất nội bộ từ téc",DATA_GOC!$B:$B,DATE($D$2,$B$2,M$4)),0))</f>
        <v>0</v>
      </c>
      <c r="N387" s="251">
        <f>IF(N$4&gt;DAY(EOMONTH(DATE($D$2,$B$2,1),0)),"",IFERROR(SUMIFS(DATA_GOC!$H:$H,DATA_GOC!$A:$A,"BOM",DATA_GOC!$D:$D,$B387,DATA_GOC!$E:$E,"Dầu cầu",DATA_GOC!$F:$F,"Xuất nội bộ từ téc",DATA_GOC!$B:$B,DATE($D$2,$B$2,N$4)),0))</f>
        <v>0</v>
      </c>
      <c r="O387" s="251">
        <f>IF(O$4&gt;DAY(EOMONTH(DATE($D$2,$B$2,1),0)),"",IFERROR(SUMIFS(DATA_GOC!$H:$H,DATA_GOC!$A:$A,"BOM",DATA_GOC!$D:$D,$B387,DATA_GOC!$E:$E,"Dầu cầu",DATA_GOC!$F:$F,"Xuất nội bộ từ téc",DATA_GOC!$B:$B,DATE($D$2,$B$2,O$4)),0))</f>
        <v>0</v>
      </c>
      <c r="P387" s="251">
        <f>IF(P$4&gt;DAY(EOMONTH(DATE($D$2,$B$2,1),0)),"",IFERROR(SUMIFS(DATA_GOC!$H:$H,DATA_GOC!$A:$A,"BOM",DATA_GOC!$D:$D,$B387,DATA_GOC!$E:$E,"Dầu cầu",DATA_GOC!$F:$F,"Xuất nội bộ từ téc",DATA_GOC!$B:$B,DATE($D$2,$B$2,P$4)),0))</f>
        <v>0</v>
      </c>
      <c r="Q387" s="251">
        <f>IF(Q$4&gt;DAY(EOMONTH(DATE($D$2,$B$2,1),0)),"",IFERROR(SUMIFS(DATA_GOC!$H:$H,DATA_GOC!$A:$A,"BOM",DATA_GOC!$D:$D,$B387,DATA_GOC!$E:$E,"Dầu cầu",DATA_GOC!$F:$F,"Xuất nội bộ từ téc",DATA_GOC!$B:$B,DATE($D$2,$B$2,Q$4)),0))</f>
        <v>0</v>
      </c>
      <c r="R387" s="251">
        <f>IF(R$4&gt;DAY(EOMONTH(DATE($D$2,$B$2,1),0)),"",IFERROR(SUMIFS(DATA_GOC!$H:$H,DATA_GOC!$A:$A,"BOM",DATA_GOC!$D:$D,$B387,DATA_GOC!$E:$E,"Dầu cầu",DATA_GOC!$F:$F,"Xuất nội bộ từ téc",DATA_GOC!$B:$B,DATE($D$2,$B$2,R$4)),0))</f>
        <v>0</v>
      </c>
      <c r="S387" s="251">
        <f>IF(S$4&gt;DAY(EOMONTH(DATE($D$2,$B$2,1),0)),"",IFERROR(SUMIFS(DATA_GOC!$H:$H,DATA_GOC!$A:$A,"BOM",DATA_GOC!$D:$D,$B387,DATA_GOC!$E:$E,"Dầu cầu",DATA_GOC!$F:$F,"Xuất nội bộ từ téc",DATA_GOC!$B:$B,DATE($D$2,$B$2,S$4)),0))</f>
        <v>0</v>
      </c>
      <c r="T387" s="251">
        <f>IF(T$4&gt;DAY(EOMONTH(DATE($D$2,$B$2,1),0)),"",IFERROR(SUMIFS(DATA_GOC!$H:$H,DATA_GOC!$A:$A,"BOM",DATA_GOC!$D:$D,$B387,DATA_GOC!$E:$E,"Dầu cầu",DATA_GOC!$F:$F,"Xuất nội bộ từ téc",DATA_GOC!$B:$B,DATE($D$2,$B$2,T$4)),0))</f>
        <v>0</v>
      </c>
      <c r="U387" s="251">
        <f>IF(U$4&gt;DAY(EOMONTH(DATE($D$2,$B$2,1),0)),"",IFERROR(SUMIFS(DATA_GOC!$H:$H,DATA_GOC!$A:$A,"BOM",DATA_GOC!$D:$D,$B387,DATA_GOC!$E:$E,"Dầu cầu",DATA_GOC!$F:$F,"Xuất nội bộ từ téc",DATA_GOC!$B:$B,DATE($D$2,$B$2,U$4)),0))</f>
        <v>0</v>
      </c>
      <c r="V387" s="251">
        <f>IF(V$4&gt;DAY(EOMONTH(DATE($D$2,$B$2,1),0)),"",IFERROR(SUMIFS(DATA_GOC!$H:$H,DATA_GOC!$A:$A,"BOM",DATA_GOC!$D:$D,$B387,DATA_GOC!$E:$E,"Dầu cầu",DATA_GOC!$F:$F,"Xuất nội bộ từ téc",DATA_GOC!$B:$B,DATE($D$2,$B$2,V$4)),0))</f>
        <v>0</v>
      </c>
      <c r="W387" s="251">
        <f>IF(W$4&gt;DAY(EOMONTH(DATE($D$2,$B$2,1),0)),"",IFERROR(SUMIFS(DATA_GOC!$H:$H,DATA_GOC!$A:$A,"BOM",DATA_GOC!$D:$D,$B387,DATA_GOC!$E:$E,"Dầu cầu",DATA_GOC!$F:$F,"Xuất nội bộ từ téc",DATA_GOC!$B:$B,DATE($D$2,$B$2,W$4)),0))</f>
        <v>0</v>
      </c>
      <c r="X387" s="251">
        <f>IF(X$4&gt;DAY(EOMONTH(DATE($D$2,$B$2,1),0)),"",IFERROR(SUMIFS(DATA_GOC!$H:$H,DATA_GOC!$A:$A,"BOM",DATA_GOC!$D:$D,$B387,DATA_GOC!$E:$E,"Dầu cầu",DATA_GOC!$F:$F,"Xuất nội bộ từ téc",DATA_GOC!$B:$B,DATE($D$2,$B$2,X$4)),0))</f>
        <v>0</v>
      </c>
      <c r="Y387" s="251">
        <f>IF(Y$4&gt;DAY(EOMONTH(DATE($D$2,$B$2,1),0)),"",IFERROR(SUMIFS(DATA_GOC!$H:$H,DATA_GOC!$A:$A,"BOM",DATA_GOC!$D:$D,$B387,DATA_GOC!$E:$E,"Dầu cầu",DATA_GOC!$F:$F,"Xuất nội bộ từ téc",DATA_GOC!$B:$B,DATE($D$2,$B$2,Y$4)),0))</f>
        <v>0</v>
      </c>
      <c r="Z387" s="251">
        <f>IF(Z$4&gt;DAY(EOMONTH(DATE($D$2,$B$2,1),0)),"",IFERROR(SUMIFS(DATA_GOC!$H:$H,DATA_GOC!$A:$A,"BOM",DATA_GOC!$D:$D,$B387,DATA_GOC!$E:$E,"Dầu cầu",DATA_GOC!$F:$F,"Xuất nội bộ từ téc",DATA_GOC!$B:$B,DATE($D$2,$B$2,Z$4)),0))</f>
        <v>0</v>
      </c>
      <c r="AA387" s="251">
        <f>IF(AA$4&gt;DAY(EOMONTH(DATE($D$2,$B$2,1),0)),"",IFERROR(SUMIFS(DATA_GOC!$H:$H,DATA_GOC!$A:$A,"BOM",DATA_GOC!$D:$D,$B387,DATA_GOC!$E:$E,"Dầu cầu",DATA_GOC!$F:$F,"Xuất nội bộ từ téc",DATA_GOC!$B:$B,DATE($D$2,$B$2,AA$4)),0))</f>
        <v>0</v>
      </c>
      <c r="AB387" s="251">
        <f>IF(AB$4&gt;DAY(EOMONTH(DATE($D$2,$B$2,1),0)),"",IFERROR(SUMIFS(DATA_GOC!$H:$H,DATA_GOC!$A:$A,"BOM",DATA_GOC!$D:$D,$B387,DATA_GOC!$E:$E,"Dầu cầu",DATA_GOC!$F:$F,"Xuất nội bộ từ téc",DATA_GOC!$B:$B,DATE($D$2,$B$2,AB$4)),0))</f>
        <v>0</v>
      </c>
      <c r="AC387" s="251">
        <f>IF(AC$4&gt;DAY(EOMONTH(DATE($D$2,$B$2,1),0)),"",IFERROR(SUMIFS(DATA_GOC!$H:$H,DATA_GOC!$A:$A,"BOM",DATA_GOC!$D:$D,$B387,DATA_GOC!$E:$E,"Dầu cầu",DATA_GOC!$F:$F,"Xuất nội bộ từ téc",DATA_GOC!$B:$B,DATE($D$2,$B$2,AC$4)),0))</f>
        <v>0</v>
      </c>
      <c r="AD387" s="251">
        <f>IF(AD$4&gt;DAY(EOMONTH(DATE($D$2,$B$2,1),0)),"",IFERROR(SUMIFS(DATA_GOC!$H:$H,DATA_GOC!$A:$A,"BOM",DATA_GOC!$D:$D,$B387,DATA_GOC!$E:$E,"Dầu cầu",DATA_GOC!$F:$F,"Xuất nội bộ từ téc",DATA_GOC!$B:$B,DATE($D$2,$B$2,AD$4)),0))</f>
        <v>0</v>
      </c>
      <c r="AE387" s="251">
        <f>IF(AE$4&gt;DAY(EOMONTH(DATE($D$2,$B$2,1),0)),"",IFERROR(SUMIFS(DATA_GOC!$H:$H,DATA_GOC!$A:$A,"BOM",DATA_GOC!$D:$D,$B387,DATA_GOC!$E:$E,"Dầu cầu",DATA_GOC!$F:$F,"Xuất nội bộ từ téc",DATA_GOC!$B:$B,DATE($D$2,$B$2,AE$4)),0))</f>
        <v>0</v>
      </c>
      <c r="AF387" s="251">
        <f>IF(AF$4&gt;DAY(EOMONTH(DATE($D$2,$B$2,1),0)),"",IFERROR(SUMIFS(DATA_GOC!$H:$H,DATA_GOC!$A:$A,"BOM",DATA_GOC!$D:$D,$B387,DATA_GOC!$E:$E,"Dầu cầu",DATA_GOC!$F:$F,"Xuất nội bộ từ téc",DATA_GOC!$B:$B,DATE($D$2,$B$2,AF$4)),0))</f>
        <v>0</v>
      </c>
      <c r="AG387" s="251">
        <f>IF(AG$4&gt;DAY(EOMONTH(DATE($D$2,$B$2,1),0)),"",IFERROR(SUMIFS(DATA_GOC!$H:$H,DATA_GOC!$A:$A,"BOM",DATA_GOC!$D:$D,$B387,DATA_GOC!$E:$E,"Dầu cầu",DATA_GOC!$F:$F,"Xuất nội bộ từ téc",DATA_GOC!$B:$B,DATE($D$2,$B$2,AG$4)),0))</f>
        <v>0</v>
      </c>
      <c r="AH387" s="252">
        <f t="shared" si="19"/>
        <v>0</v>
      </c>
      <c r="AI387" s="241"/>
      <c r="AJ387" s="242">
        <f>IF($B387="","",SUMIFS(TINH_TEC!$K$233:$K$9232,TINH_TEC!$H$233:$H$9232,$B387,TINH_TEC!$C$233:$C$9232,"Dầu cầu",TINH_TEC!$F$233:$F$9232,$B$2,TINH_TEC!$G$233:$G$9232,$D$2,TINH_TEC!$B$233:$B$9232,"Đã chốt"))</f>
        <v>0</v>
      </c>
      <c r="AK387" s="242">
        <f>IF($B387="","",SUMIFS(TINH_TEC!$J$233:$J$9232,TINH_TEC!$H$233:$H$9232,$B387,TINH_TEC!$C$233:$C$9232,"Dầu cầu",TINH_TEC!$F$233:$F$9232,$B$2,TINH_TEC!$G$233:$G$9232,$D$2,TINH_TEC!$B$233:$B$9232,"Đã chốt"))</f>
        <v>0</v>
      </c>
      <c r="AL387" s="242">
        <f t="shared" si="20"/>
        <v>0</v>
      </c>
    </row>
    <row r="388" ht="15.75" customHeight="1">
      <c r="A388" s="237">
        <f>IF($B388&lt;&gt;"",17,"")</f>
        <v>17</v>
      </c>
      <c r="B388" s="250" t="str">
        <f t="array" ref="B388">IFERROR(INDEX(DANH_MUC!$E:$E,20),"")</f>
        <v>28C03261</v>
      </c>
      <c r="C388" s="251">
        <f>IF(C$4&gt;DAY(EOMONTH(DATE($D$2,$B$2,1),0)),"",IFERROR(SUMIFS(DATA_GOC!$H:$H,DATA_GOC!$A:$A,"BOM",DATA_GOC!$D:$D,$B388,DATA_GOC!$E:$E,"Dầu cầu",DATA_GOC!$F:$F,"Xuất nội bộ từ téc",DATA_GOC!$B:$B,DATE($D$2,$B$2,C$4)),0))</f>
        <v>0</v>
      </c>
      <c r="D388" s="251">
        <f>IF(D$4&gt;DAY(EOMONTH(DATE($D$2,$B$2,1),0)),"",IFERROR(SUMIFS(DATA_GOC!$H:$H,DATA_GOC!$A:$A,"BOM",DATA_GOC!$D:$D,$B388,DATA_GOC!$E:$E,"Dầu cầu",DATA_GOC!$F:$F,"Xuất nội bộ từ téc",DATA_GOC!$B:$B,DATE($D$2,$B$2,D$4)),0))</f>
        <v>0</v>
      </c>
      <c r="E388" s="251">
        <f>IF(E$4&gt;DAY(EOMONTH(DATE($D$2,$B$2,1),0)),"",IFERROR(SUMIFS(DATA_GOC!$H:$H,DATA_GOC!$A:$A,"BOM",DATA_GOC!$D:$D,$B388,DATA_GOC!$E:$E,"Dầu cầu",DATA_GOC!$F:$F,"Xuất nội bộ từ téc",DATA_GOC!$B:$B,DATE($D$2,$B$2,E$4)),0))</f>
        <v>0</v>
      </c>
      <c r="F388" s="251">
        <f>IF(F$4&gt;DAY(EOMONTH(DATE($D$2,$B$2,1),0)),"",IFERROR(SUMIFS(DATA_GOC!$H:$H,DATA_GOC!$A:$A,"BOM",DATA_GOC!$D:$D,$B388,DATA_GOC!$E:$E,"Dầu cầu",DATA_GOC!$F:$F,"Xuất nội bộ từ téc",DATA_GOC!$B:$B,DATE($D$2,$B$2,F$4)),0))</f>
        <v>0</v>
      </c>
      <c r="G388" s="251">
        <f>IF(G$4&gt;DAY(EOMONTH(DATE($D$2,$B$2,1),0)),"",IFERROR(SUMIFS(DATA_GOC!$H:$H,DATA_GOC!$A:$A,"BOM",DATA_GOC!$D:$D,$B388,DATA_GOC!$E:$E,"Dầu cầu",DATA_GOC!$F:$F,"Xuất nội bộ từ téc",DATA_GOC!$B:$B,DATE($D$2,$B$2,G$4)),0))</f>
        <v>0</v>
      </c>
      <c r="H388" s="251">
        <f>IF(H$4&gt;DAY(EOMONTH(DATE($D$2,$B$2,1),0)),"",IFERROR(SUMIFS(DATA_GOC!$H:$H,DATA_GOC!$A:$A,"BOM",DATA_GOC!$D:$D,$B388,DATA_GOC!$E:$E,"Dầu cầu",DATA_GOC!$F:$F,"Xuất nội bộ từ téc",DATA_GOC!$B:$B,DATE($D$2,$B$2,H$4)),0))</f>
        <v>0</v>
      </c>
      <c r="I388" s="251">
        <f>IF(I$4&gt;DAY(EOMONTH(DATE($D$2,$B$2,1),0)),"",IFERROR(SUMIFS(DATA_GOC!$H:$H,DATA_GOC!$A:$A,"BOM",DATA_GOC!$D:$D,$B388,DATA_GOC!$E:$E,"Dầu cầu",DATA_GOC!$F:$F,"Xuất nội bộ từ téc",DATA_GOC!$B:$B,DATE($D$2,$B$2,I$4)),0))</f>
        <v>0</v>
      </c>
      <c r="J388" s="251">
        <f>IF(J$4&gt;DAY(EOMONTH(DATE($D$2,$B$2,1),0)),"",IFERROR(SUMIFS(DATA_GOC!$H:$H,DATA_GOC!$A:$A,"BOM",DATA_GOC!$D:$D,$B388,DATA_GOC!$E:$E,"Dầu cầu",DATA_GOC!$F:$F,"Xuất nội bộ từ téc",DATA_GOC!$B:$B,DATE($D$2,$B$2,J$4)),0))</f>
        <v>0</v>
      </c>
      <c r="K388" s="251">
        <f>IF(K$4&gt;DAY(EOMONTH(DATE($D$2,$B$2,1),0)),"",IFERROR(SUMIFS(DATA_GOC!$H:$H,DATA_GOC!$A:$A,"BOM",DATA_GOC!$D:$D,$B388,DATA_GOC!$E:$E,"Dầu cầu",DATA_GOC!$F:$F,"Xuất nội bộ từ téc",DATA_GOC!$B:$B,DATE($D$2,$B$2,K$4)),0))</f>
        <v>0</v>
      </c>
      <c r="L388" s="251">
        <f>IF(L$4&gt;DAY(EOMONTH(DATE($D$2,$B$2,1),0)),"",IFERROR(SUMIFS(DATA_GOC!$H:$H,DATA_GOC!$A:$A,"BOM",DATA_GOC!$D:$D,$B388,DATA_GOC!$E:$E,"Dầu cầu",DATA_GOC!$F:$F,"Xuất nội bộ từ téc",DATA_GOC!$B:$B,DATE($D$2,$B$2,L$4)),0))</f>
        <v>0</v>
      </c>
      <c r="M388" s="251">
        <f>IF(M$4&gt;DAY(EOMONTH(DATE($D$2,$B$2,1),0)),"",IFERROR(SUMIFS(DATA_GOC!$H:$H,DATA_GOC!$A:$A,"BOM",DATA_GOC!$D:$D,$B388,DATA_GOC!$E:$E,"Dầu cầu",DATA_GOC!$F:$F,"Xuất nội bộ từ téc",DATA_GOC!$B:$B,DATE($D$2,$B$2,M$4)),0))</f>
        <v>0</v>
      </c>
      <c r="N388" s="251">
        <f>IF(N$4&gt;DAY(EOMONTH(DATE($D$2,$B$2,1),0)),"",IFERROR(SUMIFS(DATA_GOC!$H:$H,DATA_GOC!$A:$A,"BOM",DATA_GOC!$D:$D,$B388,DATA_GOC!$E:$E,"Dầu cầu",DATA_GOC!$F:$F,"Xuất nội bộ từ téc",DATA_GOC!$B:$B,DATE($D$2,$B$2,N$4)),0))</f>
        <v>0</v>
      </c>
      <c r="O388" s="251">
        <f>IF(O$4&gt;DAY(EOMONTH(DATE($D$2,$B$2,1),0)),"",IFERROR(SUMIFS(DATA_GOC!$H:$H,DATA_GOC!$A:$A,"BOM",DATA_GOC!$D:$D,$B388,DATA_GOC!$E:$E,"Dầu cầu",DATA_GOC!$F:$F,"Xuất nội bộ từ téc",DATA_GOC!$B:$B,DATE($D$2,$B$2,O$4)),0))</f>
        <v>0</v>
      </c>
      <c r="P388" s="251">
        <f>IF(P$4&gt;DAY(EOMONTH(DATE($D$2,$B$2,1),0)),"",IFERROR(SUMIFS(DATA_GOC!$H:$H,DATA_GOC!$A:$A,"BOM",DATA_GOC!$D:$D,$B388,DATA_GOC!$E:$E,"Dầu cầu",DATA_GOC!$F:$F,"Xuất nội bộ từ téc",DATA_GOC!$B:$B,DATE($D$2,$B$2,P$4)),0))</f>
        <v>0</v>
      </c>
      <c r="Q388" s="251">
        <f>IF(Q$4&gt;DAY(EOMONTH(DATE($D$2,$B$2,1),0)),"",IFERROR(SUMIFS(DATA_GOC!$H:$H,DATA_GOC!$A:$A,"BOM",DATA_GOC!$D:$D,$B388,DATA_GOC!$E:$E,"Dầu cầu",DATA_GOC!$F:$F,"Xuất nội bộ từ téc",DATA_GOC!$B:$B,DATE($D$2,$B$2,Q$4)),0))</f>
        <v>0</v>
      </c>
      <c r="R388" s="251">
        <f>IF(R$4&gt;DAY(EOMONTH(DATE($D$2,$B$2,1),0)),"",IFERROR(SUMIFS(DATA_GOC!$H:$H,DATA_GOC!$A:$A,"BOM",DATA_GOC!$D:$D,$B388,DATA_GOC!$E:$E,"Dầu cầu",DATA_GOC!$F:$F,"Xuất nội bộ từ téc",DATA_GOC!$B:$B,DATE($D$2,$B$2,R$4)),0))</f>
        <v>0</v>
      </c>
      <c r="S388" s="251">
        <f>IF(S$4&gt;DAY(EOMONTH(DATE($D$2,$B$2,1),0)),"",IFERROR(SUMIFS(DATA_GOC!$H:$H,DATA_GOC!$A:$A,"BOM",DATA_GOC!$D:$D,$B388,DATA_GOC!$E:$E,"Dầu cầu",DATA_GOC!$F:$F,"Xuất nội bộ từ téc",DATA_GOC!$B:$B,DATE($D$2,$B$2,S$4)),0))</f>
        <v>0</v>
      </c>
      <c r="T388" s="251">
        <f>IF(T$4&gt;DAY(EOMONTH(DATE($D$2,$B$2,1),0)),"",IFERROR(SUMIFS(DATA_GOC!$H:$H,DATA_GOC!$A:$A,"BOM",DATA_GOC!$D:$D,$B388,DATA_GOC!$E:$E,"Dầu cầu",DATA_GOC!$F:$F,"Xuất nội bộ từ téc",DATA_GOC!$B:$B,DATE($D$2,$B$2,T$4)),0))</f>
        <v>0</v>
      </c>
      <c r="U388" s="251">
        <f>IF(U$4&gt;DAY(EOMONTH(DATE($D$2,$B$2,1),0)),"",IFERROR(SUMIFS(DATA_GOC!$H:$H,DATA_GOC!$A:$A,"BOM",DATA_GOC!$D:$D,$B388,DATA_GOC!$E:$E,"Dầu cầu",DATA_GOC!$F:$F,"Xuất nội bộ từ téc",DATA_GOC!$B:$B,DATE($D$2,$B$2,U$4)),0))</f>
        <v>0</v>
      </c>
      <c r="V388" s="251">
        <f>IF(V$4&gt;DAY(EOMONTH(DATE($D$2,$B$2,1),0)),"",IFERROR(SUMIFS(DATA_GOC!$H:$H,DATA_GOC!$A:$A,"BOM",DATA_GOC!$D:$D,$B388,DATA_GOC!$E:$E,"Dầu cầu",DATA_GOC!$F:$F,"Xuất nội bộ từ téc",DATA_GOC!$B:$B,DATE($D$2,$B$2,V$4)),0))</f>
        <v>0</v>
      </c>
      <c r="W388" s="251">
        <f>IF(W$4&gt;DAY(EOMONTH(DATE($D$2,$B$2,1),0)),"",IFERROR(SUMIFS(DATA_GOC!$H:$H,DATA_GOC!$A:$A,"BOM",DATA_GOC!$D:$D,$B388,DATA_GOC!$E:$E,"Dầu cầu",DATA_GOC!$F:$F,"Xuất nội bộ từ téc",DATA_GOC!$B:$B,DATE($D$2,$B$2,W$4)),0))</f>
        <v>0</v>
      </c>
      <c r="X388" s="251">
        <f>IF(X$4&gt;DAY(EOMONTH(DATE($D$2,$B$2,1),0)),"",IFERROR(SUMIFS(DATA_GOC!$H:$H,DATA_GOC!$A:$A,"BOM",DATA_GOC!$D:$D,$B388,DATA_GOC!$E:$E,"Dầu cầu",DATA_GOC!$F:$F,"Xuất nội bộ từ téc",DATA_GOC!$B:$B,DATE($D$2,$B$2,X$4)),0))</f>
        <v>0</v>
      </c>
      <c r="Y388" s="251">
        <f>IF(Y$4&gt;DAY(EOMONTH(DATE($D$2,$B$2,1),0)),"",IFERROR(SUMIFS(DATA_GOC!$H:$H,DATA_GOC!$A:$A,"BOM",DATA_GOC!$D:$D,$B388,DATA_GOC!$E:$E,"Dầu cầu",DATA_GOC!$F:$F,"Xuất nội bộ từ téc",DATA_GOC!$B:$B,DATE($D$2,$B$2,Y$4)),0))</f>
        <v>0</v>
      </c>
      <c r="Z388" s="251">
        <f>IF(Z$4&gt;DAY(EOMONTH(DATE($D$2,$B$2,1),0)),"",IFERROR(SUMIFS(DATA_GOC!$H:$H,DATA_GOC!$A:$A,"BOM",DATA_GOC!$D:$D,$B388,DATA_GOC!$E:$E,"Dầu cầu",DATA_GOC!$F:$F,"Xuất nội bộ từ téc",DATA_GOC!$B:$B,DATE($D$2,$B$2,Z$4)),0))</f>
        <v>0</v>
      </c>
      <c r="AA388" s="251">
        <f>IF(AA$4&gt;DAY(EOMONTH(DATE($D$2,$B$2,1),0)),"",IFERROR(SUMIFS(DATA_GOC!$H:$H,DATA_GOC!$A:$A,"BOM",DATA_GOC!$D:$D,$B388,DATA_GOC!$E:$E,"Dầu cầu",DATA_GOC!$F:$F,"Xuất nội bộ từ téc",DATA_GOC!$B:$B,DATE($D$2,$B$2,AA$4)),0))</f>
        <v>0</v>
      </c>
      <c r="AB388" s="251">
        <f>IF(AB$4&gt;DAY(EOMONTH(DATE($D$2,$B$2,1),0)),"",IFERROR(SUMIFS(DATA_GOC!$H:$H,DATA_GOC!$A:$A,"BOM",DATA_GOC!$D:$D,$B388,DATA_GOC!$E:$E,"Dầu cầu",DATA_GOC!$F:$F,"Xuất nội bộ từ téc",DATA_GOC!$B:$B,DATE($D$2,$B$2,AB$4)),0))</f>
        <v>0</v>
      </c>
      <c r="AC388" s="251">
        <f>IF(AC$4&gt;DAY(EOMONTH(DATE($D$2,$B$2,1),0)),"",IFERROR(SUMIFS(DATA_GOC!$H:$H,DATA_GOC!$A:$A,"BOM",DATA_GOC!$D:$D,$B388,DATA_GOC!$E:$E,"Dầu cầu",DATA_GOC!$F:$F,"Xuất nội bộ từ téc",DATA_GOC!$B:$B,DATE($D$2,$B$2,AC$4)),0))</f>
        <v>0</v>
      </c>
      <c r="AD388" s="251">
        <f>IF(AD$4&gt;DAY(EOMONTH(DATE($D$2,$B$2,1),0)),"",IFERROR(SUMIFS(DATA_GOC!$H:$H,DATA_GOC!$A:$A,"BOM",DATA_GOC!$D:$D,$B388,DATA_GOC!$E:$E,"Dầu cầu",DATA_GOC!$F:$F,"Xuất nội bộ từ téc",DATA_GOC!$B:$B,DATE($D$2,$B$2,AD$4)),0))</f>
        <v>0</v>
      </c>
      <c r="AE388" s="251">
        <f>IF(AE$4&gt;DAY(EOMONTH(DATE($D$2,$B$2,1),0)),"",IFERROR(SUMIFS(DATA_GOC!$H:$H,DATA_GOC!$A:$A,"BOM",DATA_GOC!$D:$D,$B388,DATA_GOC!$E:$E,"Dầu cầu",DATA_GOC!$F:$F,"Xuất nội bộ từ téc",DATA_GOC!$B:$B,DATE($D$2,$B$2,AE$4)),0))</f>
        <v>0</v>
      </c>
      <c r="AF388" s="251">
        <f>IF(AF$4&gt;DAY(EOMONTH(DATE($D$2,$B$2,1),0)),"",IFERROR(SUMIFS(DATA_GOC!$H:$H,DATA_GOC!$A:$A,"BOM",DATA_GOC!$D:$D,$B388,DATA_GOC!$E:$E,"Dầu cầu",DATA_GOC!$F:$F,"Xuất nội bộ từ téc",DATA_GOC!$B:$B,DATE($D$2,$B$2,AF$4)),0))</f>
        <v>0</v>
      </c>
      <c r="AG388" s="251">
        <f>IF(AG$4&gt;DAY(EOMONTH(DATE($D$2,$B$2,1),0)),"",IFERROR(SUMIFS(DATA_GOC!$H:$H,DATA_GOC!$A:$A,"BOM",DATA_GOC!$D:$D,$B388,DATA_GOC!$E:$E,"Dầu cầu",DATA_GOC!$F:$F,"Xuất nội bộ từ téc",DATA_GOC!$B:$B,DATE($D$2,$B$2,AG$4)),0))</f>
        <v>0</v>
      </c>
      <c r="AH388" s="252">
        <f t="shared" si="19"/>
        <v>0</v>
      </c>
      <c r="AI388" s="241"/>
      <c r="AJ388" s="242">
        <f>IF($B388="","",SUMIFS(TINH_TEC!$K$233:$K$9232,TINH_TEC!$H$233:$H$9232,$B388,TINH_TEC!$C$233:$C$9232,"Dầu cầu",TINH_TEC!$F$233:$F$9232,$B$2,TINH_TEC!$G$233:$G$9232,$D$2,TINH_TEC!$B$233:$B$9232,"Đã chốt"))</f>
        <v>0</v>
      </c>
      <c r="AK388" s="242">
        <f>IF($B388="","",SUMIFS(TINH_TEC!$J$233:$J$9232,TINH_TEC!$H$233:$H$9232,$B388,TINH_TEC!$C$233:$C$9232,"Dầu cầu",TINH_TEC!$F$233:$F$9232,$B$2,TINH_TEC!$G$233:$G$9232,$D$2,TINH_TEC!$B$233:$B$9232,"Đã chốt"))</f>
        <v>0</v>
      </c>
      <c r="AL388" s="242">
        <f t="shared" si="20"/>
        <v>0</v>
      </c>
    </row>
    <row r="389" ht="15.75" customHeight="1">
      <c r="A389" s="237">
        <f>IF($B389&lt;&gt;"",18,"")</f>
        <v>18</v>
      </c>
      <c r="B389" s="250" t="str">
        <f t="array" ref="B389">IFERROR(INDEX(DANH_MUC!$E:$E,21),"")</f>
        <v>28C03323</v>
      </c>
      <c r="C389" s="251">
        <f>IF(C$4&gt;DAY(EOMONTH(DATE($D$2,$B$2,1),0)),"",IFERROR(SUMIFS(DATA_GOC!$H:$H,DATA_GOC!$A:$A,"BOM",DATA_GOC!$D:$D,$B389,DATA_GOC!$E:$E,"Dầu cầu",DATA_GOC!$F:$F,"Xuất nội bộ từ téc",DATA_GOC!$B:$B,DATE($D$2,$B$2,C$4)),0))</f>
        <v>0</v>
      </c>
      <c r="D389" s="251">
        <f>IF(D$4&gt;DAY(EOMONTH(DATE($D$2,$B$2,1),0)),"",IFERROR(SUMIFS(DATA_GOC!$H:$H,DATA_GOC!$A:$A,"BOM",DATA_GOC!$D:$D,$B389,DATA_GOC!$E:$E,"Dầu cầu",DATA_GOC!$F:$F,"Xuất nội bộ từ téc",DATA_GOC!$B:$B,DATE($D$2,$B$2,D$4)),0))</f>
        <v>0</v>
      </c>
      <c r="E389" s="251">
        <f>IF(E$4&gt;DAY(EOMONTH(DATE($D$2,$B$2,1),0)),"",IFERROR(SUMIFS(DATA_GOC!$H:$H,DATA_GOC!$A:$A,"BOM",DATA_GOC!$D:$D,$B389,DATA_GOC!$E:$E,"Dầu cầu",DATA_GOC!$F:$F,"Xuất nội bộ từ téc",DATA_GOC!$B:$B,DATE($D$2,$B$2,E$4)),0))</f>
        <v>0</v>
      </c>
      <c r="F389" s="251">
        <f>IF(F$4&gt;DAY(EOMONTH(DATE($D$2,$B$2,1),0)),"",IFERROR(SUMIFS(DATA_GOC!$H:$H,DATA_GOC!$A:$A,"BOM",DATA_GOC!$D:$D,$B389,DATA_GOC!$E:$E,"Dầu cầu",DATA_GOC!$F:$F,"Xuất nội bộ từ téc",DATA_GOC!$B:$B,DATE($D$2,$B$2,F$4)),0))</f>
        <v>0</v>
      </c>
      <c r="G389" s="251">
        <f>IF(G$4&gt;DAY(EOMONTH(DATE($D$2,$B$2,1),0)),"",IFERROR(SUMIFS(DATA_GOC!$H:$H,DATA_GOC!$A:$A,"BOM",DATA_GOC!$D:$D,$B389,DATA_GOC!$E:$E,"Dầu cầu",DATA_GOC!$F:$F,"Xuất nội bộ từ téc",DATA_GOC!$B:$B,DATE($D$2,$B$2,G$4)),0))</f>
        <v>0</v>
      </c>
      <c r="H389" s="251">
        <f>IF(H$4&gt;DAY(EOMONTH(DATE($D$2,$B$2,1),0)),"",IFERROR(SUMIFS(DATA_GOC!$H:$H,DATA_GOC!$A:$A,"BOM",DATA_GOC!$D:$D,$B389,DATA_GOC!$E:$E,"Dầu cầu",DATA_GOC!$F:$F,"Xuất nội bộ từ téc",DATA_GOC!$B:$B,DATE($D$2,$B$2,H$4)),0))</f>
        <v>0</v>
      </c>
      <c r="I389" s="251">
        <f>IF(I$4&gt;DAY(EOMONTH(DATE($D$2,$B$2,1),0)),"",IFERROR(SUMIFS(DATA_GOC!$H:$H,DATA_GOC!$A:$A,"BOM",DATA_GOC!$D:$D,$B389,DATA_GOC!$E:$E,"Dầu cầu",DATA_GOC!$F:$F,"Xuất nội bộ từ téc",DATA_GOC!$B:$B,DATE($D$2,$B$2,I$4)),0))</f>
        <v>0</v>
      </c>
      <c r="J389" s="251">
        <f>IF(J$4&gt;DAY(EOMONTH(DATE($D$2,$B$2,1),0)),"",IFERROR(SUMIFS(DATA_GOC!$H:$H,DATA_GOC!$A:$A,"BOM",DATA_GOC!$D:$D,$B389,DATA_GOC!$E:$E,"Dầu cầu",DATA_GOC!$F:$F,"Xuất nội bộ từ téc",DATA_GOC!$B:$B,DATE($D$2,$B$2,J$4)),0))</f>
        <v>0</v>
      </c>
      <c r="K389" s="251">
        <f>IF(K$4&gt;DAY(EOMONTH(DATE($D$2,$B$2,1),0)),"",IFERROR(SUMIFS(DATA_GOC!$H:$H,DATA_GOC!$A:$A,"BOM",DATA_GOC!$D:$D,$B389,DATA_GOC!$E:$E,"Dầu cầu",DATA_GOC!$F:$F,"Xuất nội bộ từ téc",DATA_GOC!$B:$B,DATE($D$2,$B$2,K$4)),0))</f>
        <v>0</v>
      </c>
      <c r="L389" s="251">
        <f>IF(L$4&gt;DAY(EOMONTH(DATE($D$2,$B$2,1),0)),"",IFERROR(SUMIFS(DATA_GOC!$H:$H,DATA_GOC!$A:$A,"BOM",DATA_GOC!$D:$D,$B389,DATA_GOC!$E:$E,"Dầu cầu",DATA_GOC!$F:$F,"Xuất nội bộ từ téc",DATA_GOC!$B:$B,DATE($D$2,$B$2,L$4)),0))</f>
        <v>0</v>
      </c>
      <c r="M389" s="251">
        <f>IF(M$4&gt;DAY(EOMONTH(DATE($D$2,$B$2,1),0)),"",IFERROR(SUMIFS(DATA_GOC!$H:$H,DATA_GOC!$A:$A,"BOM",DATA_GOC!$D:$D,$B389,DATA_GOC!$E:$E,"Dầu cầu",DATA_GOC!$F:$F,"Xuất nội bộ từ téc",DATA_GOC!$B:$B,DATE($D$2,$B$2,M$4)),0))</f>
        <v>0</v>
      </c>
      <c r="N389" s="251">
        <f>IF(N$4&gt;DAY(EOMONTH(DATE($D$2,$B$2,1),0)),"",IFERROR(SUMIFS(DATA_GOC!$H:$H,DATA_GOC!$A:$A,"BOM",DATA_GOC!$D:$D,$B389,DATA_GOC!$E:$E,"Dầu cầu",DATA_GOC!$F:$F,"Xuất nội bộ từ téc",DATA_GOC!$B:$B,DATE($D$2,$B$2,N$4)),0))</f>
        <v>0</v>
      </c>
      <c r="O389" s="251">
        <f>IF(O$4&gt;DAY(EOMONTH(DATE($D$2,$B$2,1),0)),"",IFERROR(SUMIFS(DATA_GOC!$H:$H,DATA_GOC!$A:$A,"BOM",DATA_GOC!$D:$D,$B389,DATA_GOC!$E:$E,"Dầu cầu",DATA_GOC!$F:$F,"Xuất nội bộ từ téc",DATA_GOC!$B:$B,DATE($D$2,$B$2,O$4)),0))</f>
        <v>0</v>
      </c>
      <c r="P389" s="251">
        <f>IF(P$4&gt;DAY(EOMONTH(DATE($D$2,$B$2,1),0)),"",IFERROR(SUMIFS(DATA_GOC!$H:$H,DATA_GOC!$A:$A,"BOM",DATA_GOC!$D:$D,$B389,DATA_GOC!$E:$E,"Dầu cầu",DATA_GOC!$F:$F,"Xuất nội bộ từ téc",DATA_GOC!$B:$B,DATE($D$2,$B$2,P$4)),0))</f>
        <v>0</v>
      </c>
      <c r="Q389" s="251">
        <f>IF(Q$4&gt;DAY(EOMONTH(DATE($D$2,$B$2,1),0)),"",IFERROR(SUMIFS(DATA_GOC!$H:$H,DATA_GOC!$A:$A,"BOM",DATA_GOC!$D:$D,$B389,DATA_GOC!$E:$E,"Dầu cầu",DATA_GOC!$F:$F,"Xuất nội bộ từ téc",DATA_GOC!$B:$B,DATE($D$2,$B$2,Q$4)),0))</f>
        <v>0</v>
      </c>
      <c r="R389" s="251">
        <f>IF(R$4&gt;DAY(EOMONTH(DATE($D$2,$B$2,1),0)),"",IFERROR(SUMIFS(DATA_GOC!$H:$H,DATA_GOC!$A:$A,"BOM",DATA_GOC!$D:$D,$B389,DATA_GOC!$E:$E,"Dầu cầu",DATA_GOC!$F:$F,"Xuất nội bộ từ téc",DATA_GOC!$B:$B,DATE($D$2,$B$2,R$4)),0))</f>
        <v>0</v>
      </c>
      <c r="S389" s="251">
        <f>IF(S$4&gt;DAY(EOMONTH(DATE($D$2,$B$2,1),0)),"",IFERROR(SUMIFS(DATA_GOC!$H:$H,DATA_GOC!$A:$A,"BOM",DATA_GOC!$D:$D,$B389,DATA_GOC!$E:$E,"Dầu cầu",DATA_GOC!$F:$F,"Xuất nội bộ từ téc",DATA_GOC!$B:$B,DATE($D$2,$B$2,S$4)),0))</f>
        <v>0</v>
      </c>
      <c r="T389" s="251">
        <f>IF(T$4&gt;DAY(EOMONTH(DATE($D$2,$B$2,1),0)),"",IFERROR(SUMIFS(DATA_GOC!$H:$H,DATA_GOC!$A:$A,"BOM",DATA_GOC!$D:$D,$B389,DATA_GOC!$E:$E,"Dầu cầu",DATA_GOC!$F:$F,"Xuất nội bộ từ téc",DATA_GOC!$B:$B,DATE($D$2,$B$2,T$4)),0))</f>
        <v>0</v>
      </c>
      <c r="U389" s="251">
        <f>IF(U$4&gt;DAY(EOMONTH(DATE($D$2,$B$2,1),0)),"",IFERROR(SUMIFS(DATA_GOC!$H:$H,DATA_GOC!$A:$A,"BOM",DATA_GOC!$D:$D,$B389,DATA_GOC!$E:$E,"Dầu cầu",DATA_GOC!$F:$F,"Xuất nội bộ từ téc",DATA_GOC!$B:$B,DATE($D$2,$B$2,U$4)),0))</f>
        <v>0</v>
      </c>
      <c r="V389" s="251">
        <f>IF(V$4&gt;DAY(EOMONTH(DATE($D$2,$B$2,1),0)),"",IFERROR(SUMIFS(DATA_GOC!$H:$H,DATA_GOC!$A:$A,"BOM",DATA_GOC!$D:$D,$B389,DATA_GOC!$E:$E,"Dầu cầu",DATA_GOC!$F:$F,"Xuất nội bộ từ téc",DATA_GOC!$B:$B,DATE($D$2,$B$2,V$4)),0))</f>
        <v>0</v>
      </c>
      <c r="W389" s="251">
        <f>IF(W$4&gt;DAY(EOMONTH(DATE($D$2,$B$2,1),0)),"",IFERROR(SUMIFS(DATA_GOC!$H:$H,DATA_GOC!$A:$A,"BOM",DATA_GOC!$D:$D,$B389,DATA_GOC!$E:$E,"Dầu cầu",DATA_GOC!$F:$F,"Xuất nội bộ từ téc",DATA_GOC!$B:$B,DATE($D$2,$B$2,W$4)),0))</f>
        <v>0</v>
      </c>
      <c r="X389" s="251">
        <f>IF(X$4&gt;DAY(EOMONTH(DATE($D$2,$B$2,1),0)),"",IFERROR(SUMIFS(DATA_GOC!$H:$H,DATA_GOC!$A:$A,"BOM",DATA_GOC!$D:$D,$B389,DATA_GOC!$E:$E,"Dầu cầu",DATA_GOC!$F:$F,"Xuất nội bộ từ téc",DATA_GOC!$B:$B,DATE($D$2,$B$2,X$4)),0))</f>
        <v>0</v>
      </c>
      <c r="Y389" s="251">
        <f>IF(Y$4&gt;DAY(EOMONTH(DATE($D$2,$B$2,1),0)),"",IFERROR(SUMIFS(DATA_GOC!$H:$H,DATA_GOC!$A:$A,"BOM",DATA_GOC!$D:$D,$B389,DATA_GOC!$E:$E,"Dầu cầu",DATA_GOC!$F:$F,"Xuất nội bộ từ téc",DATA_GOC!$B:$B,DATE($D$2,$B$2,Y$4)),0))</f>
        <v>0</v>
      </c>
      <c r="Z389" s="251">
        <f>IF(Z$4&gt;DAY(EOMONTH(DATE($D$2,$B$2,1),0)),"",IFERROR(SUMIFS(DATA_GOC!$H:$H,DATA_GOC!$A:$A,"BOM",DATA_GOC!$D:$D,$B389,DATA_GOC!$E:$E,"Dầu cầu",DATA_GOC!$F:$F,"Xuất nội bộ từ téc",DATA_GOC!$B:$B,DATE($D$2,$B$2,Z$4)),0))</f>
        <v>0</v>
      </c>
      <c r="AA389" s="251">
        <f>IF(AA$4&gt;DAY(EOMONTH(DATE($D$2,$B$2,1),0)),"",IFERROR(SUMIFS(DATA_GOC!$H:$H,DATA_GOC!$A:$A,"BOM",DATA_GOC!$D:$D,$B389,DATA_GOC!$E:$E,"Dầu cầu",DATA_GOC!$F:$F,"Xuất nội bộ từ téc",DATA_GOC!$B:$B,DATE($D$2,$B$2,AA$4)),0))</f>
        <v>0</v>
      </c>
      <c r="AB389" s="251">
        <f>IF(AB$4&gt;DAY(EOMONTH(DATE($D$2,$B$2,1),0)),"",IFERROR(SUMIFS(DATA_GOC!$H:$H,DATA_GOC!$A:$A,"BOM",DATA_GOC!$D:$D,$B389,DATA_GOC!$E:$E,"Dầu cầu",DATA_GOC!$F:$F,"Xuất nội bộ từ téc",DATA_GOC!$B:$B,DATE($D$2,$B$2,AB$4)),0))</f>
        <v>0</v>
      </c>
      <c r="AC389" s="251">
        <f>IF(AC$4&gt;DAY(EOMONTH(DATE($D$2,$B$2,1),0)),"",IFERROR(SUMIFS(DATA_GOC!$H:$H,DATA_GOC!$A:$A,"BOM",DATA_GOC!$D:$D,$B389,DATA_GOC!$E:$E,"Dầu cầu",DATA_GOC!$F:$F,"Xuất nội bộ từ téc",DATA_GOC!$B:$B,DATE($D$2,$B$2,AC$4)),0))</f>
        <v>0</v>
      </c>
      <c r="AD389" s="251">
        <f>IF(AD$4&gt;DAY(EOMONTH(DATE($D$2,$B$2,1),0)),"",IFERROR(SUMIFS(DATA_GOC!$H:$H,DATA_GOC!$A:$A,"BOM",DATA_GOC!$D:$D,$B389,DATA_GOC!$E:$E,"Dầu cầu",DATA_GOC!$F:$F,"Xuất nội bộ từ téc",DATA_GOC!$B:$B,DATE($D$2,$B$2,AD$4)),0))</f>
        <v>0</v>
      </c>
      <c r="AE389" s="251">
        <f>IF(AE$4&gt;DAY(EOMONTH(DATE($D$2,$B$2,1),0)),"",IFERROR(SUMIFS(DATA_GOC!$H:$H,DATA_GOC!$A:$A,"BOM",DATA_GOC!$D:$D,$B389,DATA_GOC!$E:$E,"Dầu cầu",DATA_GOC!$F:$F,"Xuất nội bộ từ téc",DATA_GOC!$B:$B,DATE($D$2,$B$2,AE$4)),0))</f>
        <v>0</v>
      </c>
      <c r="AF389" s="251">
        <f>IF(AF$4&gt;DAY(EOMONTH(DATE($D$2,$B$2,1),0)),"",IFERROR(SUMIFS(DATA_GOC!$H:$H,DATA_GOC!$A:$A,"BOM",DATA_GOC!$D:$D,$B389,DATA_GOC!$E:$E,"Dầu cầu",DATA_GOC!$F:$F,"Xuất nội bộ từ téc",DATA_GOC!$B:$B,DATE($D$2,$B$2,AF$4)),0))</f>
        <v>0</v>
      </c>
      <c r="AG389" s="251">
        <f>IF(AG$4&gt;DAY(EOMONTH(DATE($D$2,$B$2,1),0)),"",IFERROR(SUMIFS(DATA_GOC!$H:$H,DATA_GOC!$A:$A,"BOM",DATA_GOC!$D:$D,$B389,DATA_GOC!$E:$E,"Dầu cầu",DATA_GOC!$F:$F,"Xuất nội bộ từ téc",DATA_GOC!$B:$B,DATE($D$2,$B$2,AG$4)),0))</f>
        <v>0</v>
      </c>
      <c r="AH389" s="252">
        <f t="shared" si="19"/>
        <v>0</v>
      </c>
      <c r="AI389" s="241"/>
      <c r="AJ389" s="242">
        <f>IF($B389="","",SUMIFS(TINH_TEC!$K$233:$K$9232,TINH_TEC!$H$233:$H$9232,$B389,TINH_TEC!$C$233:$C$9232,"Dầu cầu",TINH_TEC!$F$233:$F$9232,$B$2,TINH_TEC!$G$233:$G$9232,$D$2,TINH_TEC!$B$233:$B$9232,"Đã chốt"))</f>
        <v>0</v>
      </c>
      <c r="AK389" s="242">
        <f>IF($B389="","",SUMIFS(TINH_TEC!$J$233:$J$9232,TINH_TEC!$H$233:$H$9232,$B389,TINH_TEC!$C$233:$C$9232,"Dầu cầu",TINH_TEC!$F$233:$F$9232,$B$2,TINH_TEC!$G$233:$G$9232,$D$2,TINH_TEC!$B$233:$B$9232,"Đã chốt"))</f>
        <v>0</v>
      </c>
      <c r="AL389" s="242">
        <f t="shared" si="20"/>
        <v>0</v>
      </c>
    </row>
    <row r="390" ht="15.75" customHeight="1">
      <c r="A390" s="237">
        <f>IF($B390&lt;&gt;"",19,"")</f>
        <v>19</v>
      </c>
      <c r="B390" s="250" t="str">
        <f t="array" ref="B390">IFERROR(INDEX(DANH_MUC!$E:$E,22),"")</f>
        <v>28C03385</v>
      </c>
      <c r="C390" s="251">
        <f>IF(C$4&gt;DAY(EOMONTH(DATE($D$2,$B$2,1),0)),"",IFERROR(SUMIFS(DATA_GOC!$H:$H,DATA_GOC!$A:$A,"BOM",DATA_GOC!$D:$D,$B390,DATA_GOC!$E:$E,"Dầu cầu",DATA_GOC!$F:$F,"Xuất nội bộ từ téc",DATA_GOC!$B:$B,DATE($D$2,$B$2,C$4)),0))</f>
        <v>0</v>
      </c>
      <c r="D390" s="251">
        <f>IF(D$4&gt;DAY(EOMONTH(DATE($D$2,$B$2,1),0)),"",IFERROR(SUMIFS(DATA_GOC!$H:$H,DATA_GOC!$A:$A,"BOM",DATA_GOC!$D:$D,$B390,DATA_GOC!$E:$E,"Dầu cầu",DATA_GOC!$F:$F,"Xuất nội bộ từ téc",DATA_GOC!$B:$B,DATE($D$2,$B$2,D$4)),0))</f>
        <v>0</v>
      </c>
      <c r="E390" s="251">
        <f>IF(E$4&gt;DAY(EOMONTH(DATE($D$2,$B$2,1),0)),"",IFERROR(SUMIFS(DATA_GOC!$H:$H,DATA_GOC!$A:$A,"BOM",DATA_GOC!$D:$D,$B390,DATA_GOC!$E:$E,"Dầu cầu",DATA_GOC!$F:$F,"Xuất nội bộ từ téc",DATA_GOC!$B:$B,DATE($D$2,$B$2,E$4)),0))</f>
        <v>0</v>
      </c>
      <c r="F390" s="251">
        <f>IF(F$4&gt;DAY(EOMONTH(DATE($D$2,$B$2,1),0)),"",IFERROR(SUMIFS(DATA_GOC!$H:$H,DATA_GOC!$A:$A,"BOM",DATA_GOC!$D:$D,$B390,DATA_GOC!$E:$E,"Dầu cầu",DATA_GOC!$F:$F,"Xuất nội bộ từ téc",DATA_GOC!$B:$B,DATE($D$2,$B$2,F$4)),0))</f>
        <v>0</v>
      </c>
      <c r="G390" s="251">
        <f>IF(G$4&gt;DAY(EOMONTH(DATE($D$2,$B$2,1),0)),"",IFERROR(SUMIFS(DATA_GOC!$H:$H,DATA_GOC!$A:$A,"BOM",DATA_GOC!$D:$D,$B390,DATA_GOC!$E:$E,"Dầu cầu",DATA_GOC!$F:$F,"Xuất nội bộ từ téc",DATA_GOC!$B:$B,DATE($D$2,$B$2,G$4)),0))</f>
        <v>0</v>
      </c>
      <c r="H390" s="251">
        <f>IF(H$4&gt;DAY(EOMONTH(DATE($D$2,$B$2,1),0)),"",IFERROR(SUMIFS(DATA_GOC!$H:$H,DATA_GOC!$A:$A,"BOM",DATA_GOC!$D:$D,$B390,DATA_GOC!$E:$E,"Dầu cầu",DATA_GOC!$F:$F,"Xuất nội bộ từ téc",DATA_GOC!$B:$B,DATE($D$2,$B$2,H$4)),0))</f>
        <v>0</v>
      </c>
      <c r="I390" s="251">
        <f>IF(I$4&gt;DAY(EOMONTH(DATE($D$2,$B$2,1),0)),"",IFERROR(SUMIFS(DATA_GOC!$H:$H,DATA_GOC!$A:$A,"BOM",DATA_GOC!$D:$D,$B390,DATA_GOC!$E:$E,"Dầu cầu",DATA_GOC!$F:$F,"Xuất nội bộ từ téc",DATA_GOC!$B:$B,DATE($D$2,$B$2,I$4)),0))</f>
        <v>0</v>
      </c>
      <c r="J390" s="251">
        <f>IF(J$4&gt;DAY(EOMONTH(DATE($D$2,$B$2,1),0)),"",IFERROR(SUMIFS(DATA_GOC!$H:$H,DATA_GOC!$A:$A,"BOM",DATA_GOC!$D:$D,$B390,DATA_GOC!$E:$E,"Dầu cầu",DATA_GOC!$F:$F,"Xuất nội bộ từ téc",DATA_GOC!$B:$B,DATE($D$2,$B$2,J$4)),0))</f>
        <v>0</v>
      </c>
      <c r="K390" s="251">
        <f>IF(K$4&gt;DAY(EOMONTH(DATE($D$2,$B$2,1),0)),"",IFERROR(SUMIFS(DATA_GOC!$H:$H,DATA_GOC!$A:$A,"BOM",DATA_GOC!$D:$D,$B390,DATA_GOC!$E:$E,"Dầu cầu",DATA_GOC!$F:$F,"Xuất nội bộ từ téc",DATA_GOC!$B:$B,DATE($D$2,$B$2,K$4)),0))</f>
        <v>0</v>
      </c>
      <c r="L390" s="251">
        <f>IF(L$4&gt;DAY(EOMONTH(DATE($D$2,$B$2,1),0)),"",IFERROR(SUMIFS(DATA_GOC!$H:$H,DATA_GOC!$A:$A,"BOM",DATA_GOC!$D:$D,$B390,DATA_GOC!$E:$E,"Dầu cầu",DATA_GOC!$F:$F,"Xuất nội bộ từ téc",DATA_GOC!$B:$B,DATE($D$2,$B$2,L$4)),0))</f>
        <v>0</v>
      </c>
      <c r="M390" s="251">
        <f>IF(M$4&gt;DAY(EOMONTH(DATE($D$2,$B$2,1),0)),"",IFERROR(SUMIFS(DATA_GOC!$H:$H,DATA_GOC!$A:$A,"BOM",DATA_GOC!$D:$D,$B390,DATA_GOC!$E:$E,"Dầu cầu",DATA_GOC!$F:$F,"Xuất nội bộ từ téc",DATA_GOC!$B:$B,DATE($D$2,$B$2,M$4)),0))</f>
        <v>0</v>
      </c>
      <c r="N390" s="251">
        <f>IF(N$4&gt;DAY(EOMONTH(DATE($D$2,$B$2,1),0)),"",IFERROR(SUMIFS(DATA_GOC!$H:$H,DATA_GOC!$A:$A,"BOM",DATA_GOC!$D:$D,$B390,DATA_GOC!$E:$E,"Dầu cầu",DATA_GOC!$F:$F,"Xuất nội bộ từ téc",DATA_GOC!$B:$B,DATE($D$2,$B$2,N$4)),0))</f>
        <v>0</v>
      </c>
      <c r="O390" s="251">
        <f>IF(O$4&gt;DAY(EOMONTH(DATE($D$2,$B$2,1),0)),"",IFERROR(SUMIFS(DATA_GOC!$H:$H,DATA_GOC!$A:$A,"BOM",DATA_GOC!$D:$D,$B390,DATA_GOC!$E:$E,"Dầu cầu",DATA_GOC!$F:$F,"Xuất nội bộ từ téc",DATA_GOC!$B:$B,DATE($D$2,$B$2,O$4)),0))</f>
        <v>0</v>
      </c>
      <c r="P390" s="251">
        <f>IF(P$4&gt;DAY(EOMONTH(DATE($D$2,$B$2,1),0)),"",IFERROR(SUMIFS(DATA_GOC!$H:$H,DATA_GOC!$A:$A,"BOM",DATA_GOC!$D:$D,$B390,DATA_GOC!$E:$E,"Dầu cầu",DATA_GOC!$F:$F,"Xuất nội bộ từ téc",DATA_GOC!$B:$B,DATE($D$2,$B$2,P$4)),0))</f>
        <v>0</v>
      </c>
      <c r="Q390" s="251">
        <f>IF(Q$4&gt;DAY(EOMONTH(DATE($D$2,$B$2,1),0)),"",IFERROR(SUMIFS(DATA_GOC!$H:$H,DATA_GOC!$A:$A,"BOM",DATA_GOC!$D:$D,$B390,DATA_GOC!$E:$E,"Dầu cầu",DATA_GOC!$F:$F,"Xuất nội bộ từ téc",DATA_GOC!$B:$B,DATE($D$2,$B$2,Q$4)),0))</f>
        <v>0</v>
      </c>
      <c r="R390" s="251">
        <f>IF(R$4&gt;DAY(EOMONTH(DATE($D$2,$B$2,1),0)),"",IFERROR(SUMIFS(DATA_GOC!$H:$H,DATA_GOC!$A:$A,"BOM",DATA_GOC!$D:$D,$B390,DATA_GOC!$E:$E,"Dầu cầu",DATA_GOC!$F:$F,"Xuất nội bộ từ téc",DATA_GOC!$B:$B,DATE($D$2,$B$2,R$4)),0))</f>
        <v>0</v>
      </c>
      <c r="S390" s="251">
        <f>IF(S$4&gt;DAY(EOMONTH(DATE($D$2,$B$2,1),0)),"",IFERROR(SUMIFS(DATA_GOC!$H:$H,DATA_GOC!$A:$A,"BOM",DATA_GOC!$D:$D,$B390,DATA_GOC!$E:$E,"Dầu cầu",DATA_GOC!$F:$F,"Xuất nội bộ từ téc",DATA_GOC!$B:$B,DATE($D$2,$B$2,S$4)),0))</f>
        <v>0</v>
      </c>
      <c r="T390" s="251">
        <f>IF(T$4&gt;DAY(EOMONTH(DATE($D$2,$B$2,1),0)),"",IFERROR(SUMIFS(DATA_GOC!$H:$H,DATA_GOC!$A:$A,"BOM",DATA_GOC!$D:$D,$B390,DATA_GOC!$E:$E,"Dầu cầu",DATA_GOC!$F:$F,"Xuất nội bộ từ téc",DATA_GOC!$B:$B,DATE($D$2,$B$2,T$4)),0))</f>
        <v>0</v>
      </c>
      <c r="U390" s="251">
        <f>IF(U$4&gt;DAY(EOMONTH(DATE($D$2,$B$2,1),0)),"",IFERROR(SUMIFS(DATA_GOC!$H:$H,DATA_GOC!$A:$A,"BOM",DATA_GOC!$D:$D,$B390,DATA_GOC!$E:$E,"Dầu cầu",DATA_GOC!$F:$F,"Xuất nội bộ từ téc",DATA_GOC!$B:$B,DATE($D$2,$B$2,U$4)),0))</f>
        <v>0</v>
      </c>
      <c r="V390" s="251">
        <f>IF(V$4&gt;DAY(EOMONTH(DATE($D$2,$B$2,1),0)),"",IFERROR(SUMIFS(DATA_GOC!$H:$H,DATA_GOC!$A:$A,"BOM",DATA_GOC!$D:$D,$B390,DATA_GOC!$E:$E,"Dầu cầu",DATA_GOC!$F:$F,"Xuất nội bộ từ téc",DATA_GOC!$B:$B,DATE($D$2,$B$2,V$4)),0))</f>
        <v>0</v>
      </c>
      <c r="W390" s="251">
        <f>IF(W$4&gt;DAY(EOMONTH(DATE($D$2,$B$2,1),0)),"",IFERROR(SUMIFS(DATA_GOC!$H:$H,DATA_GOC!$A:$A,"BOM",DATA_GOC!$D:$D,$B390,DATA_GOC!$E:$E,"Dầu cầu",DATA_GOC!$F:$F,"Xuất nội bộ từ téc",DATA_GOC!$B:$B,DATE($D$2,$B$2,W$4)),0))</f>
        <v>0</v>
      </c>
      <c r="X390" s="251">
        <f>IF(X$4&gt;DAY(EOMONTH(DATE($D$2,$B$2,1),0)),"",IFERROR(SUMIFS(DATA_GOC!$H:$H,DATA_GOC!$A:$A,"BOM",DATA_GOC!$D:$D,$B390,DATA_GOC!$E:$E,"Dầu cầu",DATA_GOC!$F:$F,"Xuất nội bộ từ téc",DATA_GOC!$B:$B,DATE($D$2,$B$2,X$4)),0))</f>
        <v>0</v>
      </c>
      <c r="Y390" s="251">
        <f>IF(Y$4&gt;DAY(EOMONTH(DATE($D$2,$B$2,1),0)),"",IFERROR(SUMIFS(DATA_GOC!$H:$H,DATA_GOC!$A:$A,"BOM",DATA_GOC!$D:$D,$B390,DATA_GOC!$E:$E,"Dầu cầu",DATA_GOC!$F:$F,"Xuất nội bộ từ téc",DATA_GOC!$B:$B,DATE($D$2,$B$2,Y$4)),0))</f>
        <v>0</v>
      </c>
      <c r="Z390" s="251">
        <f>IF(Z$4&gt;DAY(EOMONTH(DATE($D$2,$B$2,1),0)),"",IFERROR(SUMIFS(DATA_GOC!$H:$H,DATA_GOC!$A:$A,"BOM",DATA_GOC!$D:$D,$B390,DATA_GOC!$E:$E,"Dầu cầu",DATA_GOC!$F:$F,"Xuất nội bộ từ téc",DATA_GOC!$B:$B,DATE($D$2,$B$2,Z$4)),0))</f>
        <v>0</v>
      </c>
      <c r="AA390" s="251">
        <f>IF(AA$4&gt;DAY(EOMONTH(DATE($D$2,$B$2,1),0)),"",IFERROR(SUMIFS(DATA_GOC!$H:$H,DATA_GOC!$A:$A,"BOM",DATA_GOC!$D:$D,$B390,DATA_GOC!$E:$E,"Dầu cầu",DATA_GOC!$F:$F,"Xuất nội bộ từ téc",DATA_GOC!$B:$B,DATE($D$2,$B$2,AA$4)),0))</f>
        <v>0</v>
      </c>
      <c r="AB390" s="251">
        <f>IF(AB$4&gt;DAY(EOMONTH(DATE($D$2,$B$2,1),0)),"",IFERROR(SUMIFS(DATA_GOC!$H:$H,DATA_GOC!$A:$A,"BOM",DATA_GOC!$D:$D,$B390,DATA_GOC!$E:$E,"Dầu cầu",DATA_GOC!$F:$F,"Xuất nội bộ từ téc",DATA_GOC!$B:$B,DATE($D$2,$B$2,AB$4)),0))</f>
        <v>0</v>
      </c>
      <c r="AC390" s="251">
        <f>IF(AC$4&gt;DAY(EOMONTH(DATE($D$2,$B$2,1),0)),"",IFERROR(SUMIFS(DATA_GOC!$H:$H,DATA_GOC!$A:$A,"BOM",DATA_GOC!$D:$D,$B390,DATA_GOC!$E:$E,"Dầu cầu",DATA_GOC!$F:$F,"Xuất nội bộ từ téc",DATA_GOC!$B:$B,DATE($D$2,$B$2,AC$4)),0))</f>
        <v>0</v>
      </c>
      <c r="AD390" s="251">
        <f>IF(AD$4&gt;DAY(EOMONTH(DATE($D$2,$B$2,1),0)),"",IFERROR(SUMIFS(DATA_GOC!$H:$H,DATA_GOC!$A:$A,"BOM",DATA_GOC!$D:$D,$B390,DATA_GOC!$E:$E,"Dầu cầu",DATA_GOC!$F:$F,"Xuất nội bộ từ téc",DATA_GOC!$B:$B,DATE($D$2,$B$2,AD$4)),0))</f>
        <v>0</v>
      </c>
      <c r="AE390" s="251">
        <f>IF(AE$4&gt;DAY(EOMONTH(DATE($D$2,$B$2,1),0)),"",IFERROR(SUMIFS(DATA_GOC!$H:$H,DATA_GOC!$A:$A,"BOM",DATA_GOC!$D:$D,$B390,DATA_GOC!$E:$E,"Dầu cầu",DATA_GOC!$F:$F,"Xuất nội bộ từ téc",DATA_GOC!$B:$B,DATE($D$2,$B$2,AE$4)),0))</f>
        <v>0</v>
      </c>
      <c r="AF390" s="251">
        <f>IF(AF$4&gt;DAY(EOMONTH(DATE($D$2,$B$2,1),0)),"",IFERROR(SUMIFS(DATA_GOC!$H:$H,DATA_GOC!$A:$A,"BOM",DATA_GOC!$D:$D,$B390,DATA_GOC!$E:$E,"Dầu cầu",DATA_GOC!$F:$F,"Xuất nội bộ từ téc",DATA_GOC!$B:$B,DATE($D$2,$B$2,AF$4)),0))</f>
        <v>0</v>
      </c>
      <c r="AG390" s="251">
        <f>IF(AG$4&gt;DAY(EOMONTH(DATE($D$2,$B$2,1),0)),"",IFERROR(SUMIFS(DATA_GOC!$H:$H,DATA_GOC!$A:$A,"BOM",DATA_GOC!$D:$D,$B390,DATA_GOC!$E:$E,"Dầu cầu",DATA_GOC!$F:$F,"Xuất nội bộ từ téc",DATA_GOC!$B:$B,DATE($D$2,$B$2,AG$4)),0))</f>
        <v>0</v>
      </c>
      <c r="AH390" s="252">
        <f t="shared" si="19"/>
        <v>0</v>
      </c>
      <c r="AI390" s="241"/>
      <c r="AJ390" s="242">
        <f>IF($B390="","",SUMIFS(TINH_TEC!$K$233:$K$9232,TINH_TEC!$H$233:$H$9232,$B390,TINH_TEC!$C$233:$C$9232,"Dầu cầu",TINH_TEC!$F$233:$F$9232,$B$2,TINH_TEC!$G$233:$G$9232,$D$2,TINH_TEC!$B$233:$B$9232,"Đã chốt"))</f>
        <v>0</v>
      </c>
      <c r="AK390" s="242">
        <f>IF($B390="","",SUMIFS(TINH_TEC!$J$233:$J$9232,TINH_TEC!$H$233:$H$9232,$B390,TINH_TEC!$C$233:$C$9232,"Dầu cầu",TINH_TEC!$F$233:$F$9232,$B$2,TINH_TEC!$G$233:$G$9232,$D$2,TINH_TEC!$B$233:$B$9232,"Đã chốt"))</f>
        <v>0</v>
      </c>
      <c r="AL390" s="242">
        <f t="shared" si="20"/>
        <v>0</v>
      </c>
    </row>
    <row r="391" ht="15.75" customHeight="1">
      <c r="A391" s="237">
        <f>IF($B391&lt;&gt;"",20,"")</f>
        <v>20</v>
      </c>
      <c r="B391" s="250" t="str">
        <f t="array" ref="B391">IFERROR(INDEX(DANH_MUC!$E:$E,23),"")</f>
        <v>28C03652</v>
      </c>
      <c r="C391" s="251">
        <f>IF(C$4&gt;DAY(EOMONTH(DATE($D$2,$B$2,1),0)),"",IFERROR(SUMIFS(DATA_GOC!$H:$H,DATA_GOC!$A:$A,"BOM",DATA_GOC!$D:$D,$B391,DATA_GOC!$E:$E,"Dầu cầu",DATA_GOC!$F:$F,"Xuất nội bộ từ téc",DATA_GOC!$B:$B,DATE($D$2,$B$2,C$4)),0))</f>
        <v>0</v>
      </c>
      <c r="D391" s="251">
        <f>IF(D$4&gt;DAY(EOMONTH(DATE($D$2,$B$2,1),0)),"",IFERROR(SUMIFS(DATA_GOC!$H:$H,DATA_GOC!$A:$A,"BOM",DATA_GOC!$D:$D,$B391,DATA_GOC!$E:$E,"Dầu cầu",DATA_GOC!$F:$F,"Xuất nội bộ từ téc",DATA_GOC!$B:$B,DATE($D$2,$B$2,D$4)),0))</f>
        <v>0</v>
      </c>
      <c r="E391" s="251">
        <f>IF(E$4&gt;DAY(EOMONTH(DATE($D$2,$B$2,1),0)),"",IFERROR(SUMIFS(DATA_GOC!$H:$H,DATA_GOC!$A:$A,"BOM",DATA_GOC!$D:$D,$B391,DATA_GOC!$E:$E,"Dầu cầu",DATA_GOC!$F:$F,"Xuất nội bộ từ téc",DATA_GOC!$B:$B,DATE($D$2,$B$2,E$4)),0))</f>
        <v>0</v>
      </c>
      <c r="F391" s="251">
        <f>IF(F$4&gt;DAY(EOMONTH(DATE($D$2,$B$2,1),0)),"",IFERROR(SUMIFS(DATA_GOC!$H:$H,DATA_GOC!$A:$A,"BOM",DATA_GOC!$D:$D,$B391,DATA_GOC!$E:$E,"Dầu cầu",DATA_GOC!$F:$F,"Xuất nội bộ từ téc",DATA_GOC!$B:$B,DATE($D$2,$B$2,F$4)),0))</f>
        <v>0</v>
      </c>
      <c r="G391" s="251">
        <f>IF(G$4&gt;DAY(EOMONTH(DATE($D$2,$B$2,1),0)),"",IFERROR(SUMIFS(DATA_GOC!$H:$H,DATA_GOC!$A:$A,"BOM",DATA_GOC!$D:$D,$B391,DATA_GOC!$E:$E,"Dầu cầu",DATA_GOC!$F:$F,"Xuất nội bộ từ téc",DATA_GOC!$B:$B,DATE($D$2,$B$2,G$4)),0))</f>
        <v>0</v>
      </c>
      <c r="H391" s="251">
        <f>IF(H$4&gt;DAY(EOMONTH(DATE($D$2,$B$2,1),0)),"",IFERROR(SUMIFS(DATA_GOC!$H:$H,DATA_GOC!$A:$A,"BOM",DATA_GOC!$D:$D,$B391,DATA_GOC!$E:$E,"Dầu cầu",DATA_GOC!$F:$F,"Xuất nội bộ từ téc",DATA_GOC!$B:$B,DATE($D$2,$B$2,H$4)),0))</f>
        <v>0</v>
      </c>
      <c r="I391" s="251">
        <f>IF(I$4&gt;DAY(EOMONTH(DATE($D$2,$B$2,1),0)),"",IFERROR(SUMIFS(DATA_GOC!$H:$H,DATA_GOC!$A:$A,"BOM",DATA_GOC!$D:$D,$B391,DATA_GOC!$E:$E,"Dầu cầu",DATA_GOC!$F:$F,"Xuất nội bộ từ téc",DATA_GOC!$B:$B,DATE($D$2,$B$2,I$4)),0))</f>
        <v>0</v>
      </c>
      <c r="J391" s="251">
        <f>IF(J$4&gt;DAY(EOMONTH(DATE($D$2,$B$2,1),0)),"",IFERROR(SUMIFS(DATA_GOC!$H:$H,DATA_GOC!$A:$A,"BOM",DATA_GOC!$D:$D,$B391,DATA_GOC!$E:$E,"Dầu cầu",DATA_GOC!$F:$F,"Xuất nội bộ từ téc",DATA_GOC!$B:$B,DATE($D$2,$B$2,J$4)),0))</f>
        <v>0</v>
      </c>
      <c r="K391" s="251">
        <f>IF(K$4&gt;DAY(EOMONTH(DATE($D$2,$B$2,1),0)),"",IFERROR(SUMIFS(DATA_GOC!$H:$H,DATA_GOC!$A:$A,"BOM",DATA_GOC!$D:$D,$B391,DATA_GOC!$E:$E,"Dầu cầu",DATA_GOC!$F:$F,"Xuất nội bộ từ téc",DATA_GOC!$B:$B,DATE($D$2,$B$2,K$4)),0))</f>
        <v>0</v>
      </c>
      <c r="L391" s="251">
        <f>IF(L$4&gt;DAY(EOMONTH(DATE($D$2,$B$2,1),0)),"",IFERROR(SUMIFS(DATA_GOC!$H:$H,DATA_GOC!$A:$A,"BOM",DATA_GOC!$D:$D,$B391,DATA_GOC!$E:$E,"Dầu cầu",DATA_GOC!$F:$F,"Xuất nội bộ từ téc",DATA_GOC!$B:$B,DATE($D$2,$B$2,L$4)),0))</f>
        <v>0</v>
      </c>
      <c r="M391" s="251">
        <f>IF(M$4&gt;DAY(EOMONTH(DATE($D$2,$B$2,1),0)),"",IFERROR(SUMIFS(DATA_GOC!$H:$H,DATA_GOC!$A:$A,"BOM",DATA_GOC!$D:$D,$B391,DATA_GOC!$E:$E,"Dầu cầu",DATA_GOC!$F:$F,"Xuất nội bộ từ téc",DATA_GOC!$B:$B,DATE($D$2,$B$2,M$4)),0))</f>
        <v>0</v>
      </c>
      <c r="N391" s="251">
        <f>IF(N$4&gt;DAY(EOMONTH(DATE($D$2,$B$2,1),0)),"",IFERROR(SUMIFS(DATA_GOC!$H:$H,DATA_GOC!$A:$A,"BOM",DATA_GOC!$D:$D,$B391,DATA_GOC!$E:$E,"Dầu cầu",DATA_GOC!$F:$F,"Xuất nội bộ từ téc",DATA_GOC!$B:$B,DATE($D$2,$B$2,N$4)),0))</f>
        <v>0</v>
      </c>
      <c r="O391" s="251">
        <f>IF(O$4&gt;DAY(EOMONTH(DATE($D$2,$B$2,1),0)),"",IFERROR(SUMIFS(DATA_GOC!$H:$H,DATA_GOC!$A:$A,"BOM",DATA_GOC!$D:$D,$B391,DATA_GOC!$E:$E,"Dầu cầu",DATA_GOC!$F:$F,"Xuất nội bộ từ téc",DATA_GOC!$B:$B,DATE($D$2,$B$2,O$4)),0))</f>
        <v>0</v>
      </c>
      <c r="P391" s="251">
        <f>IF(P$4&gt;DAY(EOMONTH(DATE($D$2,$B$2,1),0)),"",IFERROR(SUMIFS(DATA_GOC!$H:$H,DATA_GOC!$A:$A,"BOM",DATA_GOC!$D:$D,$B391,DATA_GOC!$E:$E,"Dầu cầu",DATA_GOC!$F:$F,"Xuất nội bộ từ téc",DATA_GOC!$B:$B,DATE($D$2,$B$2,P$4)),0))</f>
        <v>0</v>
      </c>
      <c r="Q391" s="251">
        <f>IF(Q$4&gt;DAY(EOMONTH(DATE($D$2,$B$2,1),0)),"",IFERROR(SUMIFS(DATA_GOC!$H:$H,DATA_GOC!$A:$A,"BOM",DATA_GOC!$D:$D,$B391,DATA_GOC!$E:$E,"Dầu cầu",DATA_GOC!$F:$F,"Xuất nội bộ từ téc",DATA_GOC!$B:$B,DATE($D$2,$B$2,Q$4)),0))</f>
        <v>0</v>
      </c>
      <c r="R391" s="251">
        <f>IF(R$4&gt;DAY(EOMONTH(DATE($D$2,$B$2,1),0)),"",IFERROR(SUMIFS(DATA_GOC!$H:$H,DATA_GOC!$A:$A,"BOM",DATA_GOC!$D:$D,$B391,DATA_GOC!$E:$E,"Dầu cầu",DATA_GOC!$F:$F,"Xuất nội bộ từ téc",DATA_GOC!$B:$B,DATE($D$2,$B$2,R$4)),0))</f>
        <v>0</v>
      </c>
      <c r="S391" s="251">
        <f>IF(S$4&gt;DAY(EOMONTH(DATE($D$2,$B$2,1),0)),"",IFERROR(SUMIFS(DATA_GOC!$H:$H,DATA_GOC!$A:$A,"BOM",DATA_GOC!$D:$D,$B391,DATA_GOC!$E:$E,"Dầu cầu",DATA_GOC!$F:$F,"Xuất nội bộ từ téc",DATA_GOC!$B:$B,DATE($D$2,$B$2,S$4)),0))</f>
        <v>0</v>
      </c>
      <c r="T391" s="251">
        <f>IF(T$4&gt;DAY(EOMONTH(DATE($D$2,$B$2,1),0)),"",IFERROR(SUMIFS(DATA_GOC!$H:$H,DATA_GOC!$A:$A,"BOM",DATA_GOC!$D:$D,$B391,DATA_GOC!$E:$E,"Dầu cầu",DATA_GOC!$F:$F,"Xuất nội bộ từ téc",DATA_GOC!$B:$B,DATE($D$2,$B$2,T$4)),0))</f>
        <v>0</v>
      </c>
      <c r="U391" s="251">
        <f>IF(U$4&gt;DAY(EOMONTH(DATE($D$2,$B$2,1),0)),"",IFERROR(SUMIFS(DATA_GOC!$H:$H,DATA_GOC!$A:$A,"BOM",DATA_GOC!$D:$D,$B391,DATA_GOC!$E:$E,"Dầu cầu",DATA_GOC!$F:$F,"Xuất nội bộ từ téc",DATA_GOC!$B:$B,DATE($D$2,$B$2,U$4)),0))</f>
        <v>0</v>
      </c>
      <c r="V391" s="251">
        <f>IF(V$4&gt;DAY(EOMONTH(DATE($D$2,$B$2,1),0)),"",IFERROR(SUMIFS(DATA_GOC!$H:$H,DATA_GOC!$A:$A,"BOM",DATA_GOC!$D:$D,$B391,DATA_GOC!$E:$E,"Dầu cầu",DATA_GOC!$F:$F,"Xuất nội bộ từ téc",DATA_GOC!$B:$B,DATE($D$2,$B$2,V$4)),0))</f>
        <v>0</v>
      </c>
      <c r="W391" s="251">
        <f>IF(W$4&gt;DAY(EOMONTH(DATE($D$2,$B$2,1),0)),"",IFERROR(SUMIFS(DATA_GOC!$H:$H,DATA_GOC!$A:$A,"BOM",DATA_GOC!$D:$D,$B391,DATA_GOC!$E:$E,"Dầu cầu",DATA_GOC!$F:$F,"Xuất nội bộ từ téc",DATA_GOC!$B:$B,DATE($D$2,$B$2,W$4)),0))</f>
        <v>0</v>
      </c>
      <c r="X391" s="251">
        <f>IF(X$4&gt;DAY(EOMONTH(DATE($D$2,$B$2,1),0)),"",IFERROR(SUMIFS(DATA_GOC!$H:$H,DATA_GOC!$A:$A,"BOM",DATA_GOC!$D:$D,$B391,DATA_GOC!$E:$E,"Dầu cầu",DATA_GOC!$F:$F,"Xuất nội bộ từ téc",DATA_GOC!$B:$B,DATE($D$2,$B$2,X$4)),0))</f>
        <v>0</v>
      </c>
      <c r="Y391" s="251">
        <f>IF(Y$4&gt;DAY(EOMONTH(DATE($D$2,$B$2,1),0)),"",IFERROR(SUMIFS(DATA_GOC!$H:$H,DATA_GOC!$A:$A,"BOM",DATA_GOC!$D:$D,$B391,DATA_GOC!$E:$E,"Dầu cầu",DATA_GOC!$F:$F,"Xuất nội bộ từ téc",DATA_GOC!$B:$B,DATE($D$2,$B$2,Y$4)),0))</f>
        <v>0</v>
      </c>
      <c r="Z391" s="251">
        <f>IF(Z$4&gt;DAY(EOMONTH(DATE($D$2,$B$2,1),0)),"",IFERROR(SUMIFS(DATA_GOC!$H:$H,DATA_GOC!$A:$A,"BOM",DATA_GOC!$D:$D,$B391,DATA_GOC!$E:$E,"Dầu cầu",DATA_GOC!$F:$F,"Xuất nội bộ từ téc",DATA_GOC!$B:$B,DATE($D$2,$B$2,Z$4)),0))</f>
        <v>0</v>
      </c>
      <c r="AA391" s="251">
        <f>IF(AA$4&gt;DAY(EOMONTH(DATE($D$2,$B$2,1),0)),"",IFERROR(SUMIFS(DATA_GOC!$H:$H,DATA_GOC!$A:$A,"BOM",DATA_GOC!$D:$D,$B391,DATA_GOC!$E:$E,"Dầu cầu",DATA_GOC!$F:$F,"Xuất nội bộ từ téc",DATA_GOC!$B:$B,DATE($D$2,$B$2,AA$4)),0))</f>
        <v>0</v>
      </c>
      <c r="AB391" s="251">
        <f>IF(AB$4&gt;DAY(EOMONTH(DATE($D$2,$B$2,1),0)),"",IFERROR(SUMIFS(DATA_GOC!$H:$H,DATA_GOC!$A:$A,"BOM",DATA_GOC!$D:$D,$B391,DATA_GOC!$E:$E,"Dầu cầu",DATA_GOC!$F:$F,"Xuất nội bộ từ téc",DATA_GOC!$B:$B,DATE($D$2,$B$2,AB$4)),0))</f>
        <v>0</v>
      </c>
      <c r="AC391" s="251">
        <f>IF(AC$4&gt;DAY(EOMONTH(DATE($D$2,$B$2,1),0)),"",IFERROR(SUMIFS(DATA_GOC!$H:$H,DATA_GOC!$A:$A,"BOM",DATA_GOC!$D:$D,$B391,DATA_GOC!$E:$E,"Dầu cầu",DATA_GOC!$F:$F,"Xuất nội bộ từ téc",DATA_GOC!$B:$B,DATE($D$2,$B$2,AC$4)),0))</f>
        <v>0</v>
      </c>
      <c r="AD391" s="251">
        <f>IF(AD$4&gt;DAY(EOMONTH(DATE($D$2,$B$2,1),0)),"",IFERROR(SUMIFS(DATA_GOC!$H:$H,DATA_GOC!$A:$A,"BOM",DATA_GOC!$D:$D,$B391,DATA_GOC!$E:$E,"Dầu cầu",DATA_GOC!$F:$F,"Xuất nội bộ từ téc",DATA_GOC!$B:$B,DATE($D$2,$B$2,AD$4)),0))</f>
        <v>0</v>
      </c>
      <c r="AE391" s="251">
        <f>IF(AE$4&gt;DAY(EOMONTH(DATE($D$2,$B$2,1),0)),"",IFERROR(SUMIFS(DATA_GOC!$H:$H,DATA_GOC!$A:$A,"BOM",DATA_GOC!$D:$D,$B391,DATA_GOC!$E:$E,"Dầu cầu",DATA_GOC!$F:$F,"Xuất nội bộ từ téc",DATA_GOC!$B:$B,DATE($D$2,$B$2,AE$4)),0))</f>
        <v>0</v>
      </c>
      <c r="AF391" s="251">
        <f>IF(AF$4&gt;DAY(EOMONTH(DATE($D$2,$B$2,1),0)),"",IFERROR(SUMIFS(DATA_GOC!$H:$H,DATA_GOC!$A:$A,"BOM",DATA_GOC!$D:$D,$B391,DATA_GOC!$E:$E,"Dầu cầu",DATA_GOC!$F:$F,"Xuất nội bộ từ téc",DATA_GOC!$B:$B,DATE($D$2,$B$2,AF$4)),0))</f>
        <v>0</v>
      </c>
      <c r="AG391" s="251">
        <f>IF(AG$4&gt;DAY(EOMONTH(DATE($D$2,$B$2,1),0)),"",IFERROR(SUMIFS(DATA_GOC!$H:$H,DATA_GOC!$A:$A,"BOM",DATA_GOC!$D:$D,$B391,DATA_GOC!$E:$E,"Dầu cầu",DATA_GOC!$F:$F,"Xuất nội bộ từ téc",DATA_GOC!$B:$B,DATE($D$2,$B$2,AG$4)),0))</f>
        <v>0</v>
      </c>
      <c r="AH391" s="252">
        <f t="shared" si="19"/>
        <v>0</v>
      </c>
      <c r="AI391" s="241"/>
      <c r="AJ391" s="242">
        <f>IF($B391="","",SUMIFS(TINH_TEC!$K$233:$K$9232,TINH_TEC!$H$233:$H$9232,$B391,TINH_TEC!$C$233:$C$9232,"Dầu cầu",TINH_TEC!$F$233:$F$9232,$B$2,TINH_TEC!$G$233:$G$9232,$D$2,TINH_TEC!$B$233:$B$9232,"Đã chốt"))</f>
        <v>0</v>
      </c>
      <c r="AK391" s="242">
        <f>IF($B391="","",SUMIFS(TINH_TEC!$J$233:$J$9232,TINH_TEC!$H$233:$H$9232,$B391,TINH_TEC!$C$233:$C$9232,"Dầu cầu",TINH_TEC!$F$233:$F$9232,$B$2,TINH_TEC!$G$233:$G$9232,$D$2,TINH_TEC!$B$233:$B$9232,"Đã chốt"))</f>
        <v>0</v>
      </c>
      <c r="AL391" s="242">
        <f t="shared" si="20"/>
        <v>0</v>
      </c>
    </row>
    <row r="392" ht="15.75" customHeight="1">
      <c r="A392" s="237">
        <f>IF($B392&lt;&gt;"",21,"")</f>
        <v>21</v>
      </c>
      <c r="B392" s="250" t="str">
        <f t="array" ref="B392">IFERROR(INDEX(DANH_MUC!$E:$E,24),"")</f>
        <v>28C03695</v>
      </c>
      <c r="C392" s="251">
        <f>IF(C$4&gt;DAY(EOMONTH(DATE($D$2,$B$2,1),0)),"",IFERROR(SUMIFS(DATA_GOC!$H:$H,DATA_GOC!$A:$A,"BOM",DATA_GOC!$D:$D,$B392,DATA_GOC!$E:$E,"Dầu cầu",DATA_GOC!$F:$F,"Xuất nội bộ từ téc",DATA_GOC!$B:$B,DATE($D$2,$B$2,C$4)),0))</f>
        <v>0</v>
      </c>
      <c r="D392" s="251">
        <f>IF(D$4&gt;DAY(EOMONTH(DATE($D$2,$B$2,1),0)),"",IFERROR(SUMIFS(DATA_GOC!$H:$H,DATA_GOC!$A:$A,"BOM",DATA_GOC!$D:$D,$B392,DATA_GOC!$E:$E,"Dầu cầu",DATA_GOC!$F:$F,"Xuất nội bộ từ téc",DATA_GOC!$B:$B,DATE($D$2,$B$2,D$4)),0))</f>
        <v>0</v>
      </c>
      <c r="E392" s="251">
        <f>IF(E$4&gt;DAY(EOMONTH(DATE($D$2,$B$2,1),0)),"",IFERROR(SUMIFS(DATA_GOC!$H:$H,DATA_GOC!$A:$A,"BOM",DATA_GOC!$D:$D,$B392,DATA_GOC!$E:$E,"Dầu cầu",DATA_GOC!$F:$F,"Xuất nội bộ từ téc",DATA_GOC!$B:$B,DATE($D$2,$B$2,E$4)),0))</f>
        <v>0</v>
      </c>
      <c r="F392" s="251">
        <f>IF(F$4&gt;DAY(EOMONTH(DATE($D$2,$B$2,1),0)),"",IFERROR(SUMIFS(DATA_GOC!$H:$H,DATA_GOC!$A:$A,"BOM",DATA_GOC!$D:$D,$B392,DATA_GOC!$E:$E,"Dầu cầu",DATA_GOC!$F:$F,"Xuất nội bộ từ téc",DATA_GOC!$B:$B,DATE($D$2,$B$2,F$4)),0))</f>
        <v>0</v>
      </c>
      <c r="G392" s="251">
        <f>IF(G$4&gt;DAY(EOMONTH(DATE($D$2,$B$2,1),0)),"",IFERROR(SUMIFS(DATA_GOC!$H:$H,DATA_GOC!$A:$A,"BOM",DATA_GOC!$D:$D,$B392,DATA_GOC!$E:$E,"Dầu cầu",DATA_GOC!$F:$F,"Xuất nội bộ từ téc",DATA_GOC!$B:$B,DATE($D$2,$B$2,G$4)),0))</f>
        <v>0</v>
      </c>
      <c r="H392" s="251">
        <f>IF(H$4&gt;DAY(EOMONTH(DATE($D$2,$B$2,1),0)),"",IFERROR(SUMIFS(DATA_GOC!$H:$H,DATA_GOC!$A:$A,"BOM",DATA_GOC!$D:$D,$B392,DATA_GOC!$E:$E,"Dầu cầu",DATA_GOC!$F:$F,"Xuất nội bộ từ téc",DATA_GOC!$B:$B,DATE($D$2,$B$2,H$4)),0))</f>
        <v>0</v>
      </c>
      <c r="I392" s="251">
        <f>IF(I$4&gt;DAY(EOMONTH(DATE($D$2,$B$2,1),0)),"",IFERROR(SUMIFS(DATA_GOC!$H:$H,DATA_GOC!$A:$A,"BOM",DATA_GOC!$D:$D,$B392,DATA_GOC!$E:$E,"Dầu cầu",DATA_GOC!$F:$F,"Xuất nội bộ từ téc",DATA_GOC!$B:$B,DATE($D$2,$B$2,I$4)),0))</f>
        <v>0</v>
      </c>
      <c r="J392" s="251">
        <f>IF(J$4&gt;DAY(EOMONTH(DATE($D$2,$B$2,1),0)),"",IFERROR(SUMIFS(DATA_GOC!$H:$H,DATA_GOC!$A:$A,"BOM",DATA_GOC!$D:$D,$B392,DATA_GOC!$E:$E,"Dầu cầu",DATA_GOC!$F:$F,"Xuất nội bộ từ téc",DATA_GOC!$B:$B,DATE($D$2,$B$2,J$4)),0))</f>
        <v>0</v>
      </c>
      <c r="K392" s="251">
        <f>IF(K$4&gt;DAY(EOMONTH(DATE($D$2,$B$2,1),0)),"",IFERROR(SUMIFS(DATA_GOC!$H:$H,DATA_GOC!$A:$A,"BOM",DATA_GOC!$D:$D,$B392,DATA_GOC!$E:$E,"Dầu cầu",DATA_GOC!$F:$F,"Xuất nội bộ từ téc",DATA_GOC!$B:$B,DATE($D$2,$B$2,K$4)),0))</f>
        <v>0</v>
      </c>
      <c r="L392" s="251">
        <f>IF(L$4&gt;DAY(EOMONTH(DATE($D$2,$B$2,1),0)),"",IFERROR(SUMIFS(DATA_GOC!$H:$H,DATA_GOC!$A:$A,"BOM",DATA_GOC!$D:$D,$B392,DATA_GOC!$E:$E,"Dầu cầu",DATA_GOC!$F:$F,"Xuất nội bộ từ téc",DATA_GOC!$B:$B,DATE($D$2,$B$2,L$4)),0))</f>
        <v>0</v>
      </c>
      <c r="M392" s="251">
        <f>IF(M$4&gt;DAY(EOMONTH(DATE($D$2,$B$2,1),0)),"",IFERROR(SUMIFS(DATA_GOC!$H:$H,DATA_GOC!$A:$A,"BOM",DATA_GOC!$D:$D,$B392,DATA_GOC!$E:$E,"Dầu cầu",DATA_GOC!$F:$F,"Xuất nội bộ từ téc",DATA_GOC!$B:$B,DATE($D$2,$B$2,M$4)),0))</f>
        <v>0</v>
      </c>
      <c r="N392" s="251">
        <f>IF(N$4&gt;DAY(EOMONTH(DATE($D$2,$B$2,1),0)),"",IFERROR(SUMIFS(DATA_GOC!$H:$H,DATA_GOC!$A:$A,"BOM",DATA_GOC!$D:$D,$B392,DATA_GOC!$E:$E,"Dầu cầu",DATA_GOC!$F:$F,"Xuất nội bộ từ téc",DATA_GOC!$B:$B,DATE($D$2,$B$2,N$4)),0))</f>
        <v>0</v>
      </c>
      <c r="O392" s="251">
        <f>IF(O$4&gt;DAY(EOMONTH(DATE($D$2,$B$2,1),0)),"",IFERROR(SUMIFS(DATA_GOC!$H:$H,DATA_GOC!$A:$A,"BOM",DATA_GOC!$D:$D,$B392,DATA_GOC!$E:$E,"Dầu cầu",DATA_GOC!$F:$F,"Xuất nội bộ từ téc",DATA_GOC!$B:$B,DATE($D$2,$B$2,O$4)),0))</f>
        <v>0</v>
      </c>
      <c r="P392" s="251">
        <f>IF(P$4&gt;DAY(EOMONTH(DATE($D$2,$B$2,1),0)),"",IFERROR(SUMIFS(DATA_GOC!$H:$H,DATA_GOC!$A:$A,"BOM",DATA_GOC!$D:$D,$B392,DATA_GOC!$E:$E,"Dầu cầu",DATA_GOC!$F:$F,"Xuất nội bộ từ téc",DATA_GOC!$B:$B,DATE($D$2,$B$2,P$4)),0))</f>
        <v>0</v>
      </c>
      <c r="Q392" s="251">
        <f>IF(Q$4&gt;DAY(EOMONTH(DATE($D$2,$B$2,1),0)),"",IFERROR(SUMIFS(DATA_GOC!$H:$H,DATA_GOC!$A:$A,"BOM",DATA_GOC!$D:$D,$B392,DATA_GOC!$E:$E,"Dầu cầu",DATA_GOC!$F:$F,"Xuất nội bộ từ téc",DATA_GOC!$B:$B,DATE($D$2,$B$2,Q$4)),0))</f>
        <v>0</v>
      </c>
      <c r="R392" s="251">
        <f>IF(R$4&gt;DAY(EOMONTH(DATE($D$2,$B$2,1),0)),"",IFERROR(SUMIFS(DATA_GOC!$H:$H,DATA_GOC!$A:$A,"BOM",DATA_GOC!$D:$D,$B392,DATA_GOC!$E:$E,"Dầu cầu",DATA_GOC!$F:$F,"Xuất nội bộ từ téc",DATA_GOC!$B:$B,DATE($D$2,$B$2,R$4)),0))</f>
        <v>0</v>
      </c>
      <c r="S392" s="251">
        <f>IF(S$4&gt;DAY(EOMONTH(DATE($D$2,$B$2,1),0)),"",IFERROR(SUMIFS(DATA_GOC!$H:$H,DATA_GOC!$A:$A,"BOM",DATA_GOC!$D:$D,$B392,DATA_GOC!$E:$E,"Dầu cầu",DATA_GOC!$F:$F,"Xuất nội bộ từ téc",DATA_GOC!$B:$B,DATE($D$2,$B$2,S$4)),0))</f>
        <v>0</v>
      </c>
      <c r="T392" s="251">
        <f>IF(T$4&gt;DAY(EOMONTH(DATE($D$2,$B$2,1),0)),"",IFERROR(SUMIFS(DATA_GOC!$H:$H,DATA_GOC!$A:$A,"BOM",DATA_GOC!$D:$D,$B392,DATA_GOC!$E:$E,"Dầu cầu",DATA_GOC!$F:$F,"Xuất nội bộ từ téc",DATA_GOC!$B:$B,DATE($D$2,$B$2,T$4)),0))</f>
        <v>0</v>
      </c>
      <c r="U392" s="251">
        <f>IF(U$4&gt;DAY(EOMONTH(DATE($D$2,$B$2,1),0)),"",IFERROR(SUMIFS(DATA_GOC!$H:$H,DATA_GOC!$A:$A,"BOM",DATA_GOC!$D:$D,$B392,DATA_GOC!$E:$E,"Dầu cầu",DATA_GOC!$F:$F,"Xuất nội bộ từ téc",DATA_GOC!$B:$B,DATE($D$2,$B$2,U$4)),0))</f>
        <v>0</v>
      </c>
      <c r="V392" s="251">
        <f>IF(V$4&gt;DAY(EOMONTH(DATE($D$2,$B$2,1),0)),"",IFERROR(SUMIFS(DATA_GOC!$H:$H,DATA_GOC!$A:$A,"BOM",DATA_GOC!$D:$D,$B392,DATA_GOC!$E:$E,"Dầu cầu",DATA_GOC!$F:$F,"Xuất nội bộ từ téc",DATA_GOC!$B:$B,DATE($D$2,$B$2,V$4)),0))</f>
        <v>0</v>
      </c>
      <c r="W392" s="251">
        <f>IF(W$4&gt;DAY(EOMONTH(DATE($D$2,$B$2,1),0)),"",IFERROR(SUMIFS(DATA_GOC!$H:$H,DATA_GOC!$A:$A,"BOM",DATA_GOC!$D:$D,$B392,DATA_GOC!$E:$E,"Dầu cầu",DATA_GOC!$F:$F,"Xuất nội bộ từ téc",DATA_GOC!$B:$B,DATE($D$2,$B$2,W$4)),0))</f>
        <v>0</v>
      </c>
      <c r="X392" s="251">
        <f>IF(X$4&gt;DAY(EOMONTH(DATE($D$2,$B$2,1),0)),"",IFERROR(SUMIFS(DATA_GOC!$H:$H,DATA_GOC!$A:$A,"BOM",DATA_GOC!$D:$D,$B392,DATA_GOC!$E:$E,"Dầu cầu",DATA_GOC!$F:$F,"Xuất nội bộ từ téc",DATA_GOC!$B:$B,DATE($D$2,$B$2,X$4)),0))</f>
        <v>0</v>
      </c>
      <c r="Y392" s="251">
        <f>IF(Y$4&gt;DAY(EOMONTH(DATE($D$2,$B$2,1),0)),"",IFERROR(SUMIFS(DATA_GOC!$H:$H,DATA_GOC!$A:$A,"BOM",DATA_GOC!$D:$D,$B392,DATA_GOC!$E:$E,"Dầu cầu",DATA_GOC!$F:$F,"Xuất nội bộ từ téc",DATA_GOC!$B:$B,DATE($D$2,$B$2,Y$4)),0))</f>
        <v>0</v>
      </c>
      <c r="Z392" s="251">
        <f>IF(Z$4&gt;DAY(EOMONTH(DATE($D$2,$B$2,1),0)),"",IFERROR(SUMIFS(DATA_GOC!$H:$H,DATA_GOC!$A:$A,"BOM",DATA_GOC!$D:$D,$B392,DATA_GOC!$E:$E,"Dầu cầu",DATA_GOC!$F:$F,"Xuất nội bộ từ téc",DATA_GOC!$B:$B,DATE($D$2,$B$2,Z$4)),0))</f>
        <v>0</v>
      </c>
      <c r="AA392" s="251">
        <f>IF(AA$4&gt;DAY(EOMONTH(DATE($D$2,$B$2,1),0)),"",IFERROR(SUMIFS(DATA_GOC!$H:$H,DATA_GOC!$A:$A,"BOM",DATA_GOC!$D:$D,$B392,DATA_GOC!$E:$E,"Dầu cầu",DATA_GOC!$F:$F,"Xuất nội bộ từ téc",DATA_GOC!$B:$B,DATE($D$2,$B$2,AA$4)),0))</f>
        <v>0</v>
      </c>
      <c r="AB392" s="251">
        <f>IF(AB$4&gt;DAY(EOMONTH(DATE($D$2,$B$2,1),0)),"",IFERROR(SUMIFS(DATA_GOC!$H:$H,DATA_GOC!$A:$A,"BOM",DATA_GOC!$D:$D,$B392,DATA_GOC!$E:$E,"Dầu cầu",DATA_GOC!$F:$F,"Xuất nội bộ từ téc",DATA_GOC!$B:$B,DATE($D$2,$B$2,AB$4)),0))</f>
        <v>0</v>
      </c>
      <c r="AC392" s="251">
        <f>IF(AC$4&gt;DAY(EOMONTH(DATE($D$2,$B$2,1),0)),"",IFERROR(SUMIFS(DATA_GOC!$H:$H,DATA_GOC!$A:$A,"BOM",DATA_GOC!$D:$D,$B392,DATA_GOC!$E:$E,"Dầu cầu",DATA_GOC!$F:$F,"Xuất nội bộ từ téc",DATA_GOC!$B:$B,DATE($D$2,$B$2,AC$4)),0))</f>
        <v>0</v>
      </c>
      <c r="AD392" s="251">
        <f>IF(AD$4&gt;DAY(EOMONTH(DATE($D$2,$B$2,1),0)),"",IFERROR(SUMIFS(DATA_GOC!$H:$H,DATA_GOC!$A:$A,"BOM",DATA_GOC!$D:$D,$B392,DATA_GOC!$E:$E,"Dầu cầu",DATA_GOC!$F:$F,"Xuất nội bộ từ téc",DATA_GOC!$B:$B,DATE($D$2,$B$2,AD$4)),0))</f>
        <v>0</v>
      </c>
      <c r="AE392" s="251">
        <f>IF(AE$4&gt;DAY(EOMONTH(DATE($D$2,$B$2,1),0)),"",IFERROR(SUMIFS(DATA_GOC!$H:$H,DATA_GOC!$A:$A,"BOM",DATA_GOC!$D:$D,$B392,DATA_GOC!$E:$E,"Dầu cầu",DATA_GOC!$F:$F,"Xuất nội bộ từ téc",DATA_GOC!$B:$B,DATE($D$2,$B$2,AE$4)),0))</f>
        <v>0</v>
      </c>
      <c r="AF392" s="251">
        <f>IF(AF$4&gt;DAY(EOMONTH(DATE($D$2,$B$2,1),0)),"",IFERROR(SUMIFS(DATA_GOC!$H:$H,DATA_GOC!$A:$A,"BOM",DATA_GOC!$D:$D,$B392,DATA_GOC!$E:$E,"Dầu cầu",DATA_GOC!$F:$F,"Xuất nội bộ từ téc",DATA_GOC!$B:$B,DATE($D$2,$B$2,AF$4)),0))</f>
        <v>0</v>
      </c>
      <c r="AG392" s="251">
        <f>IF(AG$4&gt;DAY(EOMONTH(DATE($D$2,$B$2,1),0)),"",IFERROR(SUMIFS(DATA_GOC!$H:$H,DATA_GOC!$A:$A,"BOM",DATA_GOC!$D:$D,$B392,DATA_GOC!$E:$E,"Dầu cầu",DATA_GOC!$F:$F,"Xuất nội bộ từ téc",DATA_GOC!$B:$B,DATE($D$2,$B$2,AG$4)),0))</f>
        <v>0</v>
      </c>
      <c r="AH392" s="252">
        <f t="shared" si="19"/>
        <v>0</v>
      </c>
      <c r="AI392" s="241"/>
      <c r="AJ392" s="242">
        <f>IF($B392="","",SUMIFS(TINH_TEC!$K$233:$K$9232,TINH_TEC!$H$233:$H$9232,$B392,TINH_TEC!$C$233:$C$9232,"Dầu cầu",TINH_TEC!$F$233:$F$9232,$B$2,TINH_TEC!$G$233:$G$9232,$D$2,TINH_TEC!$B$233:$B$9232,"Đã chốt"))</f>
        <v>0</v>
      </c>
      <c r="AK392" s="242">
        <f>IF($B392="","",SUMIFS(TINH_TEC!$J$233:$J$9232,TINH_TEC!$H$233:$H$9232,$B392,TINH_TEC!$C$233:$C$9232,"Dầu cầu",TINH_TEC!$F$233:$F$9232,$B$2,TINH_TEC!$G$233:$G$9232,$D$2,TINH_TEC!$B$233:$B$9232,"Đã chốt"))</f>
        <v>0</v>
      </c>
      <c r="AL392" s="242">
        <f t="shared" si="20"/>
        <v>0</v>
      </c>
    </row>
    <row r="393" ht="15.75" customHeight="1">
      <c r="A393" s="237">
        <f>IF($B393&lt;&gt;"",22,"")</f>
        <v>22</v>
      </c>
      <c r="B393" s="250" t="str">
        <f t="array" ref="B393">IFERROR(INDEX(DANH_MUC!$E:$E,25),"")</f>
        <v>28C03927</v>
      </c>
      <c r="C393" s="251">
        <f>IF(C$4&gt;DAY(EOMONTH(DATE($D$2,$B$2,1),0)),"",IFERROR(SUMIFS(DATA_GOC!$H:$H,DATA_GOC!$A:$A,"BOM",DATA_GOC!$D:$D,$B393,DATA_GOC!$E:$E,"Dầu cầu",DATA_GOC!$F:$F,"Xuất nội bộ từ téc",DATA_GOC!$B:$B,DATE($D$2,$B$2,C$4)),0))</f>
        <v>0</v>
      </c>
      <c r="D393" s="251">
        <f>IF(D$4&gt;DAY(EOMONTH(DATE($D$2,$B$2,1),0)),"",IFERROR(SUMIFS(DATA_GOC!$H:$H,DATA_GOC!$A:$A,"BOM",DATA_GOC!$D:$D,$B393,DATA_GOC!$E:$E,"Dầu cầu",DATA_GOC!$F:$F,"Xuất nội bộ từ téc",DATA_GOC!$B:$B,DATE($D$2,$B$2,D$4)),0))</f>
        <v>0</v>
      </c>
      <c r="E393" s="251">
        <f>IF(E$4&gt;DAY(EOMONTH(DATE($D$2,$B$2,1),0)),"",IFERROR(SUMIFS(DATA_GOC!$H:$H,DATA_GOC!$A:$A,"BOM",DATA_GOC!$D:$D,$B393,DATA_GOC!$E:$E,"Dầu cầu",DATA_GOC!$F:$F,"Xuất nội bộ từ téc",DATA_GOC!$B:$B,DATE($D$2,$B$2,E$4)),0))</f>
        <v>0</v>
      </c>
      <c r="F393" s="251">
        <f>IF(F$4&gt;DAY(EOMONTH(DATE($D$2,$B$2,1),0)),"",IFERROR(SUMIFS(DATA_GOC!$H:$H,DATA_GOC!$A:$A,"BOM",DATA_GOC!$D:$D,$B393,DATA_GOC!$E:$E,"Dầu cầu",DATA_GOC!$F:$F,"Xuất nội bộ từ téc",DATA_GOC!$B:$B,DATE($D$2,$B$2,F$4)),0))</f>
        <v>0</v>
      </c>
      <c r="G393" s="251">
        <f>IF(G$4&gt;DAY(EOMONTH(DATE($D$2,$B$2,1),0)),"",IFERROR(SUMIFS(DATA_GOC!$H:$H,DATA_GOC!$A:$A,"BOM",DATA_GOC!$D:$D,$B393,DATA_GOC!$E:$E,"Dầu cầu",DATA_GOC!$F:$F,"Xuất nội bộ từ téc",DATA_GOC!$B:$B,DATE($D$2,$B$2,G$4)),0))</f>
        <v>0</v>
      </c>
      <c r="H393" s="251">
        <f>IF(H$4&gt;DAY(EOMONTH(DATE($D$2,$B$2,1),0)),"",IFERROR(SUMIFS(DATA_GOC!$H:$H,DATA_GOC!$A:$A,"BOM",DATA_GOC!$D:$D,$B393,DATA_GOC!$E:$E,"Dầu cầu",DATA_GOC!$F:$F,"Xuất nội bộ từ téc",DATA_GOC!$B:$B,DATE($D$2,$B$2,H$4)),0))</f>
        <v>0</v>
      </c>
      <c r="I393" s="251">
        <f>IF(I$4&gt;DAY(EOMONTH(DATE($D$2,$B$2,1),0)),"",IFERROR(SUMIFS(DATA_GOC!$H:$H,DATA_GOC!$A:$A,"BOM",DATA_GOC!$D:$D,$B393,DATA_GOC!$E:$E,"Dầu cầu",DATA_GOC!$F:$F,"Xuất nội bộ từ téc",DATA_GOC!$B:$B,DATE($D$2,$B$2,I$4)),0))</f>
        <v>0</v>
      </c>
      <c r="J393" s="251">
        <f>IF(J$4&gt;DAY(EOMONTH(DATE($D$2,$B$2,1),0)),"",IFERROR(SUMIFS(DATA_GOC!$H:$H,DATA_GOC!$A:$A,"BOM",DATA_GOC!$D:$D,$B393,DATA_GOC!$E:$E,"Dầu cầu",DATA_GOC!$F:$F,"Xuất nội bộ từ téc",DATA_GOC!$B:$B,DATE($D$2,$B$2,J$4)),0))</f>
        <v>0</v>
      </c>
      <c r="K393" s="251">
        <f>IF(K$4&gt;DAY(EOMONTH(DATE($D$2,$B$2,1),0)),"",IFERROR(SUMIFS(DATA_GOC!$H:$H,DATA_GOC!$A:$A,"BOM",DATA_GOC!$D:$D,$B393,DATA_GOC!$E:$E,"Dầu cầu",DATA_GOC!$F:$F,"Xuất nội bộ từ téc",DATA_GOC!$B:$B,DATE($D$2,$B$2,K$4)),0))</f>
        <v>0</v>
      </c>
      <c r="L393" s="251">
        <f>IF(L$4&gt;DAY(EOMONTH(DATE($D$2,$B$2,1),0)),"",IFERROR(SUMIFS(DATA_GOC!$H:$H,DATA_GOC!$A:$A,"BOM",DATA_GOC!$D:$D,$B393,DATA_GOC!$E:$E,"Dầu cầu",DATA_GOC!$F:$F,"Xuất nội bộ từ téc",DATA_GOC!$B:$B,DATE($D$2,$B$2,L$4)),0))</f>
        <v>0</v>
      </c>
      <c r="M393" s="251">
        <f>IF(M$4&gt;DAY(EOMONTH(DATE($D$2,$B$2,1),0)),"",IFERROR(SUMIFS(DATA_GOC!$H:$H,DATA_GOC!$A:$A,"BOM",DATA_GOC!$D:$D,$B393,DATA_GOC!$E:$E,"Dầu cầu",DATA_GOC!$F:$F,"Xuất nội bộ từ téc",DATA_GOC!$B:$B,DATE($D$2,$B$2,M$4)),0))</f>
        <v>0</v>
      </c>
      <c r="N393" s="251">
        <f>IF(N$4&gt;DAY(EOMONTH(DATE($D$2,$B$2,1),0)),"",IFERROR(SUMIFS(DATA_GOC!$H:$H,DATA_GOC!$A:$A,"BOM",DATA_GOC!$D:$D,$B393,DATA_GOC!$E:$E,"Dầu cầu",DATA_GOC!$F:$F,"Xuất nội bộ từ téc",DATA_GOC!$B:$B,DATE($D$2,$B$2,N$4)),0))</f>
        <v>0</v>
      </c>
      <c r="O393" s="251">
        <f>IF(O$4&gt;DAY(EOMONTH(DATE($D$2,$B$2,1),0)),"",IFERROR(SUMIFS(DATA_GOC!$H:$H,DATA_GOC!$A:$A,"BOM",DATA_GOC!$D:$D,$B393,DATA_GOC!$E:$E,"Dầu cầu",DATA_GOC!$F:$F,"Xuất nội bộ từ téc",DATA_GOC!$B:$B,DATE($D$2,$B$2,O$4)),0))</f>
        <v>0</v>
      </c>
      <c r="P393" s="251">
        <f>IF(P$4&gt;DAY(EOMONTH(DATE($D$2,$B$2,1),0)),"",IFERROR(SUMIFS(DATA_GOC!$H:$H,DATA_GOC!$A:$A,"BOM",DATA_GOC!$D:$D,$B393,DATA_GOC!$E:$E,"Dầu cầu",DATA_GOC!$F:$F,"Xuất nội bộ từ téc",DATA_GOC!$B:$B,DATE($D$2,$B$2,P$4)),0))</f>
        <v>0</v>
      </c>
      <c r="Q393" s="251">
        <f>IF(Q$4&gt;DAY(EOMONTH(DATE($D$2,$B$2,1),0)),"",IFERROR(SUMIFS(DATA_GOC!$H:$H,DATA_GOC!$A:$A,"BOM",DATA_GOC!$D:$D,$B393,DATA_GOC!$E:$E,"Dầu cầu",DATA_GOC!$F:$F,"Xuất nội bộ từ téc",DATA_GOC!$B:$B,DATE($D$2,$B$2,Q$4)),0))</f>
        <v>0</v>
      </c>
      <c r="R393" s="251">
        <f>IF(R$4&gt;DAY(EOMONTH(DATE($D$2,$B$2,1),0)),"",IFERROR(SUMIFS(DATA_GOC!$H:$H,DATA_GOC!$A:$A,"BOM",DATA_GOC!$D:$D,$B393,DATA_GOC!$E:$E,"Dầu cầu",DATA_GOC!$F:$F,"Xuất nội bộ từ téc",DATA_GOC!$B:$B,DATE($D$2,$B$2,R$4)),0))</f>
        <v>0</v>
      </c>
      <c r="S393" s="251">
        <f>IF(S$4&gt;DAY(EOMONTH(DATE($D$2,$B$2,1),0)),"",IFERROR(SUMIFS(DATA_GOC!$H:$H,DATA_GOC!$A:$A,"BOM",DATA_GOC!$D:$D,$B393,DATA_GOC!$E:$E,"Dầu cầu",DATA_GOC!$F:$F,"Xuất nội bộ từ téc",DATA_GOC!$B:$B,DATE($D$2,$B$2,S$4)),0))</f>
        <v>0</v>
      </c>
      <c r="T393" s="251">
        <f>IF(T$4&gt;DAY(EOMONTH(DATE($D$2,$B$2,1),0)),"",IFERROR(SUMIFS(DATA_GOC!$H:$H,DATA_GOC!$A:$A,"BOM",DATA_GOC!$D:$D,$B393,DATA_GOC!$E:$E,"Dầu cầu",DATA_GOC!$F:$F,"Xuất nội bộ từ téc",DATA_GOC!$B:$B,DATE($D$2,$B$2,T$4)),0))</f>
        <v>0</v>
      </c>
      <c r="U393" s="251">
        <f>IF(U$4&gt;DAY(EOMONTH(DATE($D$2,$B$2,1),0)),"",IFERROR(SUMIFS(DATA_GOC!$H:$H,DATA_GOC!$A:$A,"BOM",DATA_GOC!$D:$D,$B393,DATA_GOC!$E:$E,"Dầu cầu",DATA_GOC!$F:$F,"Xuất nội bộ từ téc",DATA_GOC!$B:$B,DATE($D$2,$B$2,U$4)),0))</f>
        <v>0</v>
      </c>
      <c r="V393" s="251">
        <f>IF(V$4&gt;DAY(EOMONTH(DATE($D$2,$B$2,1),0)),"",IFERROR(SUMIFS(DATA_GOC!$H:$H,DATA_GOC!$A:$A,"BOM",DATA_GOC!$D:$D,$B393,DATA_GOC!$E:$E,"Dầu cầu",DATA_GOC!$F:$F,"Xuất nội bộ từ téc",DATA_GOC!$B:$B,DATE($D$2,$B$2,V$4)),0))</f>
        <v>0</v>
      </c>
      <c r="W393" s="251">
        <f>IF(W$4&gt;DAY(EOMONTH(DATE($D$2,$B$2,1),0)),"",IFERROR(SUMIFS(DATA_GOC!$H:$H,DATA_GOC!$A:$A,"BOM",DATA_GOC!$D:$D,$B393,DATA_GOC!$E:$E,"Dầu cầu",DATA_GOC!$F:$F,"Xuất nội bộ từ téc",DATA_GOC!$B:$B,DATE($D$2,$B$2,W$4)),0))</f>
        <v>0</v>
      </c>
      <c r="X393" s="251">
        <f>IF(X$4&gt;DAY(EOMONTH(DATE($D$2,$B$2,1),0)),"",IFERROR(SUMIFS(DATA_GOC!$H:$H,DATA_GOC!$A:$A,"BOM",DATA_GOC!$D:$D,$B393,DATA_GOC!$E:$E,"Dầu cầu",DATA_GOC!$F:$F,"Xuất nội bộ từ téc",DATA_GOC!$B:$B,DATE($D$2,$B$2,X$4)),0))</f>
        <v>0</v>
      </c>
      <c r="Y393" s="251">
        <f>IF(Y$4&gt;DAY(EOMONTH(DATE($D$2,$B$2,1),0)),"",IFERROR(SUMIFS(DATA_GOC!$H:$H,DATA_GOC!$A:$A,"BOM",DATA_GOC!$D:$D,$B393,DATA_GOC!$E:$E,"Dầu cầu",DATA_GOC!$F:$F,"Xuất nội bộ từ téc",DATA_GOC!$B:$B,DATE($D$2,$B$2,Y$4)),0))</f>
        <v>0</v>
      </c>
      <c r="Z393" s="251">
        <f>IF(Z$4&gt;DAY(EOMONTH(DATE($D$2,$B$2,1),0)),"",IFERROR(SUMIFS(DATA_GOC!$H:$H,DATA_GOC!$A:$A,"BOM",DATA_GOC!$D:$D,$B393,DATA_GOC!$E:$E,"Dầu cầu",DATA_GOC!$F:$F,"Xuất nội bộ từ téc",DATA_GOC!$B:$B,DATE($D$2,$B$2,Z$4)),0))</f>
        <v>0</v>
      </c>
      <c r="AA393" s="251">
        <f>IF(AA$4&gt;DAY(EOMONTH(DATE($D$2,$B$2,1),0)),"",IFERROR(SUMIFS(DATA_GOC!$H:$H,DATA_GOC!$A:$A,"BOM",DATA_GOC!$D:$D,$B393,DATA_GOC!$E:$E,"Dầu cầu",DATA_GOC!$F:$F,"Xuất nội bộ từ téc",DATA_GOC!$B:$B,DATE($D$2,$B$2,AA$4)),0))</f>
        <v>0</v>
      </c>
      <c r="AB393" s="251">
        <f>IF(AB$4&gt;DAY(EOMONTH(DATE($D$2,$B$2,1),0)),"",IFERROR(SUMIFS(DATA_GOC!$H:$H,DATA_GOC!$A:$A,"BOM",DATA_GOC!$D:$D,$B393,DATA_GOC!$E:$E,"Dầu cầu",DATA_GOC!$F:$F,"Xuất nội bộ từ téc",DATA_GOC!$B:$B,DATE($D$2,$B$2,AB$4)),0))</f>
        <v>0</v>
      </c>
      <c r="AC393" s="251">
        <f>IF(AC$4&gt;DAY(EOMONTH(DATE($D$2,$B$2,1),0)),"",IFERROR(SUMIFS(DATA_GOC!$H:$H,DATA_GOC!$A:$A,"BOM",DATA_GOC!$D:$D,$B393,DATA_GOC!$E:$E,"Dầu cầu",DATA_GOC!$F:$F,"Xuất nội bộ từ téc",DATA_GOC!$B:$B,DATE($D$2,$B$2,AC$4)),0))</f>
        <v>0</v>
      </c>
      <c r="AD393" s="251">
        <f>IF(AD$4&gt;DAY(EOMONTH(DATE($D$2,$B$2,1),0)),"",IFERROR(SUMIFS(DATA_GOC!$H:$H,DATA_GOC!$A:$A,"BOM",DATA_GOC!$D:$D,$B393,DATA_GOC!$E:$E,"Dầu cầu",DATA_GOC!$F:$F,"Xuất nội bộ từ téc",DATA_GOC!$B:$B,DATE($D$2,$B$2,AD$4)),0))</f>
        <v>0</v>
      </c>
      <c r="AE393" s="251">
        <f>IF(AE$4&gt;DAY(EOMONTH(DATE($D$2,$B$2,1),0)),"",IFERROR(SUMIFS(DATA_GOC!$H:$H,DATA_GOC!$A:$A,"BOM",DATA_GOC!$D:$D,$B393,DATA_GOC!$E:$E,"Dầu cầu",DATA_GOC!$F:$F,"Xuất nội bộ từ téc",DATA_GOC!$B:$B,DATE($D$2,$B$2,AE$4)),0))</f>
        <v>0</v>
      </c>
      <c r="AF393" s="251">
        <f>IF(AF$4&gt;DAY(EOMONTH(DATE($D$2,$B$2,1),0)),"",IFERROR(SUMIFS(DATA_GOC!$H:$H,DATA_GOC!$A:$A,"BOM",DATA_GOC!$D:$D,$B393,DATA_GOC!$E:$E,"Dầu cầu",DATA_GOC!$F:$F,"Xuất nội bộ từ téc",DATA_GOC!$B:$B,DATE($D$2,$B$2,AF$4)),0))</f>
        <v>0</v>
      </c>
      <c r="AG393" s="251">
        <f>IF(AG$4&gt;DAY(EOMONTH(DATE($D$2,$B$2,1),0)),"",IFERROR(SUMIFS(DATA_GOC!$H:$H,DATA_GOC!$A:$A,"BOM",DATA_GOC!$D:$D,$B393,DATA_GOC!$E:$E,"Dầu cầu",DATA_GOC!$F:$F,"Xuất nội bộ từ téc",DATA_GOC!$B:$B,DATE($D$2,$B$2,AG$4)),0))</f>
        <v>0</v>
      </c>
      <c r="AH393" s="252">
        <f t="shared" si="19"/>
        <v>0</v>
      </c>
      <c r="AI393" s="241"/>
      <c r="AJ393" s="242">
        <f>IF($B393="","",SUMIFS(TINH_TEC!$K$233:$K$9232,TINH_TEC!$H$233:$H$9232,$B393,TINH_TEC!$C$233:$C$9232,"Dầu cầu",TINH_TEC!$F$233:$F$9232,$B$2,TINH_TEC!$G$233:$G$9232,$D$2,TINH_TEC!$B$233:$B$9232,"Đã chốt"))</f>
        <v>0</v>
      </c>
      <c r="AK393" s="242">
        <f>IF($B393="","",SUMIFS(TINH_TEC!$J$233:$J$9232,TINH_TEC!$H$233:$H$9232,$B393,TINH_TEC!$C$233:$C$9232,"Dầu cầu",TINH_TEC!$F$233:$F$9232,$B$2,TINH_TEC!$G$233:$G$9232,$D$2,TINH_TEC!$B$233:$B$9232,"Đã chốt"))</f>
        <v>0</v>
      </c>
      <c r="AL393" s="242">
        <f t="shared" si="20"/>
        <v>0</v>
      </c>
    </row>
    <row r="394" ht="15.75" customHeight="1">
      <c r="A394" s="237">
        <f>IF($B394&lt;&gt;"",23,"")</f>
        <v>23</v>
      </c>
      <c r="B394" s="250" t="str">
        <f t="array" ref="B394">IFERROR(INDEX(DANH_MUC!$E:$E,26),"")</f>
        <v>28C04509</v>
      </c>
      <c r="C394" s="251">
        <f>IF(C$4&gt;DAY(EOMONTH(DATE($D$2,$B$2,1),0)),"",IFERROR(SUMIFS(DATA_GOC!$H:$H,DATA_GOC!$A:$A,"BOM",DATA_GOC!$D:$D,$B394,DATA_GOC!$E:$E,"Dầu cầu",DATA_GOC!$F:$F,"Xuất nội bộ từ téc",DATA_GOC!$B:$B,DATE($D$2,$B$2,C$4)),0))</f>
        <v>0</v>
      </c>
      <c r="D394" s="251">
        <f>IF(D$4&gt;DAY(EOMONTH(DATE($D$2,$B$2,1),0)),"",IFERROR(SUMIFS(DATA_GOC!$H:$H,DATA_GOC!$A:$A,"BOM",DATA_GOC!$D:$D,$B394,DATA_GOC!$E:$E,"Dầu cầu",DATA_GOC!$F:$F,"Xuất nội bộ từ téc",DATA_GOC!$B:$B,DATE($D$2,$B$2,D$4)),0))</f>
        <v>0</v>
      </c>
      <c r="E394" s="251">
        <f>IF(E$4&gt;DAY(EOMONTH(DATE($D$2,$B$2,1),0)),"",IFERROR(SUMIFS(DATA_GOC!$H:$H,DATA_GOC!$A:$A,"BOM",DATA_GOC!$D:$D,$B394,DATA_GOC!$E:$E,"Dầu cầu",DATA_GOC!$F:$F,"Xuất nội bộ từ téc",DATA_GOC!$B:$B,DATE($D$2,$B$2,E$4)),0))</f>
        <v>0</v>
      </c>
      <c r="F394" s="251">
        <f>IF(F$4&gt;DAY(EOMONTH(DATE($D$2,$B$2,1),0)),"",IFERROR(SUMIFS(DATA_GOC!$H:$H,DATA_GOC!$A:$A,"BOM",DATA_GOC!$D:$D,$B394,DATA_GOC!$E:$E,"Dầu cầu",DATA_GOC!$F:$F,"Xuất nội bộ từ téc",DATA_GOC!$B:$B,DATE($D$2,$B$2,F$4)),0))</f>
        <v>0</v>
      </c>
      <c r="G394" s="251">
        <f>IF(G$4&gt;DAY(EOMONTH(DATE($D$2,$B$2,1),0)),"",IFERROR(SUMIFS(DATA_GOC!$H:$H,DATA_GOC!$A:$A,"BOM",DATA_GOC!$D:$D,$B394,DATA_GOC!$E:$E,"Dầu cầu",DATA_GOC!$F:$F,"Xuất nội bộ từ téc",DATA_GOC!$B:$B,DATE($D$2,$B$2,G$4)),0))</f>
        <v>0</v>
      </c>
      <c r="H394" s="251">
        <f>IF(H$4&gt;DAY(EOMONTH(DATE($D$2,$B$2,1),0)),"",IFERROR(SUMIFS(DATA_GOC!$H:$H,DATA_GOC!$A:$A,"BOM",DATA_GOC!$D:$D,$B394,DATA_GOC!$E:$E,"Dầu cầu",DATA_GOC!$F:$F,"Xuất nội bộ từ téc",DATA_GOC!$B:$B,DATE($D$2,$B$2,H$4)),0))</f>
        <v>0</v>
      </c>
      <c r="I394" s="251">
        <f>IF(I$4&gt;DAY(EOMONTH(DATE($D$2,$B$2,1),0)),"",IFERROR(SUMIFS(DATA_GOC!$H:$H,DATA_GOC!$A:$A,"BOM",DATA_GOC!$D:$D,$B394,DATA_GOC!$E:$E,"Dầu cầu",DATA_GOC!$F:$F,"Xuất nội bộ từ téc",DATA_GOC!$B:$B,DATE($D$2,$B$2,I$4)),0))</f>
        <v>0</v>
      </c>
      <c r="J394" s="251">
        <f>IF(J$4&gt;DAY(EOMONTH(DATE($D$2,$B$2,1),0)),"",IFERROR(SUMIFS(DATA_GOC!$H:$H,DATA_GOC!$A:$A,"BOM",DATA_GOC!$D:$D,$B394,DATA_GOC!$E:$E,"Dầu cầu",DATA_GOC!$F:$F,"Xuất nội bộ từ téc",DATA_GOC!$B:$B,DATE($D$2,$B$2,J$4)),0))</f>
        <v>0</v>
      </c>
      <c r="K394" s="251">
        <f>IF(K$4&gt;DAY(EOMONTH(DATE($D$2,$B$2,1),0)),"",IFERROR(SUMIFS(DATA_GOC!$H:$H,DATA_GOC!$A:$A,"BOM",DATA_GOC!$D:$D,$B394,DATA_GOC!$E:$E,"Dầu cầu",DATA_GOC!$F:$F,"Xuất nội bộ từ téc",DATA_GOC!$B:$B,DATE($D$2,$B$2,K$4)),0))</f>
        <v>0</v>
      </c>
      <c r="L394" s="251">
        <f>IF(L$4&gt;DAY(EOMONTH(DATE($D$2,$B$2,1),0)),"",IFERROR(SUMIFS(DATA_GOC!$H:$H,DATA_GOC!$A:$A,"BOM",DATA_GOC!$D:$D,$B394,DATA_GOC!$E:$E,"Dầu cầu",DATA_GOC!$F:$F,"Xuất nội bộ từ téc",DATA_GOC!$B:$B,DATE($D$2,$B$2,L$4)),0))</f>
        <v>0</v>
      </c>
      <c r="M394" s="251">
        <f>IF(M$4&gt;DAY(EOMONTH(DATE($D$2,$B$2,1),0)),"",IFERROR(SUMIFS(DATA_GOC!$H:$H,DATA_GOC!$A:$A,"BOM",DATA_GOC!$D:$D,$B394,DATA_GOC!$E:$E,"Dầu cầu",DATA_GOC!$F:$F,"Xuất nội bộ từ téc",DATA_GOC!$B:$B,DATE($D$2,$B$2,M$4)),0))</f>
        <v>0</v>
      </c>
      <c r="N394" s="251">
        <f>IF(N$4&gt;DAY(EOMONTH(DATE($D$2,$B$2,1),0)),"",IFERROR(SUMIFS(DATA_GOC!$H:$H,DATA_GOC!$A:$A,"BOM",DATA_GOC!$D:$D,$B394,DATA_GOC!$E:$E,"Dầu cầu",DATA_GOC!$F:$F,"Xuất nội bộ từ téc",DATA_GOC!$B:$B,DATE($D$2,$B$2,N$4)),0))</f>
        <v>0</v>
      </c>
      <c r="O394" s="251">
        <f>IF(O$4&gt;DAY(EOMONTH(DATE($D$2,$B$2,1),0)),"",IFERROR(SUMIFS(DATA_GOC!$H:$H,DATA_GOC!$A:$A,"BOM",DATA_GOC!$D:$D,$B394,DATA_GOC!$E:$E,"Dầu cầu",DATA_GOC!$F:$F,"Xuất nội bộ từ téc",DATA_GOC!$B:$B,DATE($D$2,$B$2,O$4)),0))</f>
        <v>0</v>
      </c>
      <c r="P394" s="251">
        <f>IF(P$4&gt;DAY(EOMONTH(DATE($D$2,$B$2,1),0)),"",IFERROR(SUMIFS(DATA_GOC!$H:$H,DATA_GOC!$A:$A,"BOM",DATA_GOC!$D:$D,$B394,DATA_GOC!$E:$E,"Dầu cầu",DATA_GOC!$F:$F,"Xuất nội bộ từ téc",DATA_GOC!$B:$B,DATE($D$2,$B$2,P$4)),0))</f>
        <v>0</v>
      </c>
      <c r="Q394" s="251">
        <f>IF(Q$4&gt;DAY(EOMONTH(DATE($D$2,$B$2,1),0)),"",IFERROR(SUMIFS(DATA_GOC!$H:$H,DATA_GOC!$A:$A,"BOM",DATA_GOC!$D:$D,$B394,DATA_GOC!$E:$E,"Dầu cầu",DATA_GOC!$F:$F,"Xuất nội bộ từ téc",DATA_GOC!$B:$B,DATE($D$2,$B$2,Q$4)),0))</f>
        <v>0</v>
      </c>
      <c r="R394" s="251">
        <f>IF(R$4&gt;DAY(EOMONTH(DATE($D$2,$B$2,1),0)),"",IFERROR(SUMIFS(DATA_GOC!$H:$H,DATA_GOC!$A:$A,"BOM",DATA_GOC!$D:$D,$B394,DATA_GOC!$E:$E,"Dầu cầu",DATA_GOC!$F:$F,"Xuất nội bộ từ téc",DATA_GOC!$B:$B,DATE($D$2,$B$2,R$4)),0))</f>
        <v>0</v>
      </c>
      <c r="S394" s="251">
        <f>IF(S$4&gt;DAY(EOMONTH(DATE($D$2,$B$2,1),0)),"",IFERROR(SUMIFS(DATA_GOC!$H:$H,DATA_GOC!$A:$A,"BOM",DATA_GOC!$D:$D,$B394,DATA_GOC!$E:$E,"Dầu cầu",DATA_GOC!$F:$F,"Xuất nội bộ từ téc",DATA_GOC!$B:$B,DATE($D$2,$B$2,S$4)),0))</f>
        <v>0</v>
      </c>
      <c r="T394" s="251">
        <f>IF(T$4&gt;DAY(EOMONTH(DATE($D$2,$B$2,1),0)),"",IFERROR(SUMIFS(DATA_GOC!$H:$H,DATA_GOC!$A:$A,"BOM",DATA_GOC!$D:$D,$B394,DATA_GOC!$E:$E,"Dầu cầu",DATA_GOC!$F:$F,"Xuất nội bộ từ téc",DATA_GOC!$B:$B,DATE($D$2,$B$2,T$4)),0))</f>
        <v>0</v>
      </c>
      <c r="U394" s="251">
        <f>IF(U$4&gt;DAY(EOMONTH(DATE($D$2,$B$2,1),0)),"",IFERROR(SUMIFS(DATA_GOC!$H:$H,DATA_GOC!$A:$A,"BOM",DATA_GOC!$D:$D,$B394,DATA_GOC!$E:$E,"Dầu cầu",DATA_GOC!$F:$F,"Xuất nội bộ từ téc",DATA_GOC!$B:$B,DATE($D$2,$B$2,U$4)),0))</f>
        <v>0</v>
      </c>
      <c r="V394" s="251">
        <f>IF(V$4&gt;DAY(EOMONTH(DATE($D$2,$B$2,1),0)),"",IFERROR(SUMIFS(DATA_GOC!$H:$H,DATA_GOC!$A:$A,"BOM",DATA_GOC!$D:$D,$B394,DATA_GOC!$E:$E,"Dầu cầu",DATA_GOC!$F:$F,"Xuất nội bộ từ téc",DATA_GOC!$B:$B,DATE($D$2,$B$2,V$4)),0))</f>
        <v>0</v>
      </c>
      <c r="W394" s="251">
        <f>IF(W$4&gt;DAY(EOMONTH(DATE($D$2,$B$2,1),0)),"",IFERROR(SUMIFS(DATA_GOC!$H:$H,DATA_GOC!$A:$A,"BOM",DATA_GOC!$D:$D,$B394,DATA_GOC!$E:$E,"Dầu cầu",DATA_GOC!$F:$F,"Xuất nội bộ từ téc",DATA_GOC!$B:$B,DATE($D$2,$B$2,W$4)),0))</f>
        <v>0</v>
      </c>
      <c r="X394" s="251">
        <f>IF(X$4&gt;DAY(EOMONTH(DATE($D$2,$B$2,1),0)),"",IFERROR(SUMIFS(DATA_GOC!$H:$H,DATA_GOC!$A:$A,"BOM",DATA_GOC!$D:$D,$B394,DATA_GOC!$E:$E,"Dầu cầu",DATA_GOC!$F:$F,"Xuất nội bộ từ téc",DATA_GOC!$B:$B,DATE($D$2,$B$2,X$4)),0))</f>
        <v>0</v>
      </c>
      <c r="Y394" s="251">
        <f>IF(Y$4&gt;DAY(EOMONTH(DATE($D$2,$B$2,1),0)),"",IFERROR(SUMIFS(DATA_GOC!$H:$H,DATA_GOC!$A:$A,"BOM",DATA_GOC!$D:$D,$B394,DATA_GOC!$E:$E,"Dầu cầu",DATA_GOC!$F:$F,"Xuất nội bộ từ téc",DATA_GOC!$B:$B,DATE($D$2,$B$2,Y$4)),0))</f>
        <v>0</v>
      </c>
      <c r="Z394" s="251">
        <f>IF(Z$4&gt;DAY(EOMONTH(DATE($D$2,$B$2,1),0)),"",IFERROR(SUMIFS(DATA_GOC!$H:$H,DATA_GOC!$A:$A,"BOM",DATA_GOC!$D:$D,$B394,DATA_GOC!$E:$E,"Dầu cầu",DATA_GOC!$F:$F,"Xuất nội bộ từ téc",DATA_GOC!$B:$B,DATE($D$2,$B$2,Z$4)),0))</f>
        <v>0</v>
      </c>
      <c r="AA394" s="251">
        <f>IF(AA$4&gt;DAY(EOMONTH(DATE($D$2,$B$2,1),0)),"",IFERROR(SUMIFS(DATA_GOC!$H:$H,DATA_GOC!$A:$A,"BOM",DATA_GOC!$D:$D,$B394,DATA_GOC!$E:$E,"Dầu cầu",DATA_GOC!$F:$F,"Xuất nội bộ từ téc",DATA_GOC!$B:$B,DATE($D$2,$B$2,AA$4)),0))</f>
        <v>0</v>
      </c>
      <c r="AB394" s="251">
        <f>IF(AB$4&gt;DAY(EOMONTH(DATE($D$2,$B$2,1),0)),"",IFERROR(SUMIFS(DATA_GOC!$H:$H,DATA_GOC!$A:$A,"BOM",DATA_GOC!$D:$D,$B394,DATA_GOC!$E:$E,"Dầu cầu",DATA_GOC!$F:$F,"Xuất nội bộ từ téc",DATA_GOC!$B:$B,DATE($D$2,$B$2,AB$4)),0))</f>
        <v>0</v>
      </c>
      <c r="AC394" s="251">
        <f>IF(AC$4&gt;DAY(EOMONTH(DATE($D$2,$B$2,1),0)),"",IFERROR(SUMIFS(DATA_GOC!$H:$H,DATA_GOC!$A:$A,"BOM",DATA_GOC!$D:$D,$B394,DATA_GOC!$E:$E,"Dầu cầu",DATA_GOC!$F:$F,"Xuất nội bộ từ téc",DATA_GOC!$B:$B,DATE($D$2,$B$2,AC$4)),0))</f>
        <v>0</v>
      </c>
      <c r="AD394" s="251">
        <f>IF(AD$4&gt;DAY(EOMONTH(DATE($D$2,$B$2,1),0)),"",IFERROR(SUMIFS(DATA_GOC!$H:$H,DATA_GOC!$A:$A,"BOM",DATA_GOC!$D:$D,$B394,DATA_GOC!$E:$E,"Dầu cầu",DATA_GOC!$F:$F,"Xuất nội bộ từ téc",DATA_GOC!$B:$B,DATE($D$2,$B$2,AD$4)),0))</f>
        <v>0</v>
      </c>
      <c r="AE394" s="251">
        <f>IF(AE$4&gt;DAY(EOMONTH(DATE($D$2,$B$2,1),0)),"",IFERROR(SUMIFS(DATA_GOC!$H:$H,DATA_GOC!$A:$A,"BOM",DATA_GOC!$D:$D,$B394,DATA_GOC!$E:$E,"Dầu cầu",DATA_GOC!$F:$F,"Xuất nội bộ từ téc",DATA_GOC!$B:$B,DATE($D$2,$B$2,AE$4)),0))</f>
        <v>0</v>
      </c>
      <c r="AF394" s="251">
        <f>IF(AF$4&gt;DAY(EOMONTH(DATE($D$2,$B$2,1),0)),"",IFERROR(SUMIFS(DATA_GOC!$H:$H,DATA_GOC!$A:$A,"BOM",DATA_GOC!$D:$D,$B394,DATA_GOC!$E:$E,"Dầu cầu",DATA_GOC!$F:$F,"Xuất nội bộ từ téc",DATA_GOC!$B:$B,DATE($D$2,$B$2,AF$4)),0))</f>
        <v>0</v>
      </c>
      <c r="AG394" s="251">
        <f>IF(AG$4&gt;DAY(EOMONTH(DATE($D$2,$B$2,1),0)),"",IFERROR(SUMIFS(DATA_GOC!$H:$H,DATA_GOC!$A:$A,"BOM",DATA_GOC!$D:$D,$B394,DATA_GOC!$E:$E,"Dầu cầu",DATA_GOC!$F:$F,"Xuất nội bộ từ téc",DATA_GOC!$B:$B,DATE($D$2,$B$2,AG$4)),0))</f>
        <v>0</v>
      </c>
      <c r="AH394" s="252">
        <f t="shared" si="19"/>
        <v>0</v>
      </c>
      <c r="AI394" s="241"/>
      <c r="AJ394" s="242">
        <f>IF($B394="","",SUMIFS(TINH_TEC!$K$233:$K$9232,TINH_TEC!$H$233:$H$9232,$B394,TINH_TEC!$C$233:$C$9232,"Dầu cầu",TINH_TEC!$F$233:$F$9232,$B$2,TINH_TEC!$G$233:$G$9232,$D$2,TINH_TEC!$B$233:$B$9232,"Đã chốt"))</f>
        <v>0</v>
      </c>
      <c r="AK394" s="242">
        <f>IF($B394="","",SUMIFS(TINH_TEC!$J$233:$J$9232,TINH_TEC!$H$233:$H$9232,$B394,TINH_TEC!$C$233:$C$9232,"Dầu cầu",TINH_TEC!$F$233:$F$9232,$B$2,TINH_TEC!$G$233:$G$9232,$D$2,TINH_TEC!$B$233:$B$9232,"Đã chốt"))</f>
        <v>0</v>
      </c>
      <c r="AL394" s="242">
        <f t="shared" si="20"/>
        <v>0</v>
      </c>
    </row>
    <row r="395" ht="15.75" customHeight="1">
      <c r="A395" s="237">
        <f>IF($B395&lt;&gt;"",24,"")</f>
        <v>24</v>
      </c>
      <c r="B395" s="250" t="str">
        <f t="array" ref="B395">IFERROR(INDEX(DANH_MUC!$E:$E,27),"")</f>
        <v>28C04536</v>
      </c>
      <c r="C395" s="251">
        <f>IF(C$4&gt;DAY(EOMONTH(DATE($D$2,$B$2,1),0)),"",IFERROR(SUMIFS(DATA_GOC!$H:$H,DATA_GOC!$A:$A,"BOM",DATA_GOC!$D:$D,$B395,DATA_GOC!$E:$E,"Dầu cầu",DATA_GOC!$F:$F,"Xuất nội bộ từ téc",DATA_GOC!$B:$B,DATE($D$2,$B$2,C$4)),0))</f>
        <v>0</v>
      </c>
      <c r="D395" s="251">
        <f>IF(D$4&gt;DAY(EOMONTH(DATE($D$2,$B$2,1),0)),"",IFERROR(SUMIFS(DATA_GOC!$H:$H,DATA_GOC!$A:$A,"BOM",DATA_GOC!$D:$D,$B395,DATA_GOC!$E:$E,"Dầu cầu",DATA_GOC!$F:$F,"Xuất nội bộ từ téc",DATA_GOC!$B:$B,DATE($D$2,$B$2,D$4)),0))</f>
        <v>0</v>
      </c>
      <c r="E395" s="251">
        <f>IF(E$4&gt;DAY(EOMONTH(DATE($D$2,$B$2,1),0)),"",IFERROR(SUMIFS(DATA_GOC!$H:$H,DATA_GOC!$A:$A,"BOM",DATA_GOC!$D:$D,$B395,DATA_GOC!$E:$E,"Dầu cầu",DATA_GOC!$F:$F,"Xuất nội bộ từ téc",DATA_GOC!$B:$B,DATE($D$2,$B$2,E$4)),0))</f>
        <v>0</v>
      </c>
      <c r="F395" s="251">
        <f>IF(F$4&gt;DAY(EOMONTH(DATE($D$2,$B$2,1),0)),"",IFERROR(SUMIFS(DATA_GOC!$H:$H,DATA_GOC!$A:$A,"BOM",DATA_GOC!$D:$D,$B395,DATA_GOC!$E:$E,"Dầu cầu",DATA_GOC!$F:$F,"Xuất nội bộ từ téc",DATA_GOC!$B:$B,DATE($D$2,$B$2,F$4)),0))</f>
        <v>0</v>
      </c>
      <c r="G395" s="251">
        <f>IF(G$4&gt;DAY(EOMONTH(DATE($D$2,$B$2,1),0)),"",IFERROR(SUMIFS(DATA_GOC!$H:$H,DATA_GOC!$A:$A,"BOM",DATA_GOC!$D:$D,$B395,DATA_GOC!$E:$E,"Dầu cầu",DATA_GOC!$F:$F,"Xuất nội bộ từ téc",DATA_GOC!$B:$B,DATE($D$2,$B$2,G$4)),0))</f>
        <v>0</v>
      </c>
      <c r="H395" s="251">
        <f>IF(H$4&gt;DAY(EOMONTH(DATE($D$2,$B$2,1),0)),"",IFERROR(SUMIFS(DATA_GOC!$H:$H,DATA_GOC!$A:$A,"BOM",DATA_GOC!$D:$D,$B395,DATA_GOC!$E:$E,"Dầu cầu",DATA_GOC!$F:$F,"Xuất nội bộ từ téc",DATA_GOC!$B:$B,DATE($D$2,$B$2,H$4)),0))</f>
        <v>0</v>
      </c>
      <c r="I395" s="251">
        <f>IF(I$4&gt;DAY(EOMONTH(DATE($D$2,$B$2,1),0)),"",IFERROR(SUMIFS(DATA_GOC!$H:$H,DATA_GOC!$A:$A,"BOM",DATA_GOC!$D:$D,$B395,DATA_GOC!$E:$E,"Dầu cầu",DATA_GOC!$F:$F,"Xuất nội bộ từ téc",DATA_GOC!$B:$B,DATE($D$2,$B$2,I$4)),0))</f>
        <v>0</v>
      </c>
      <c r="J395" s="251">
        <f>IF(J$4&gt;DAY(EOMONTH(DATE($D$2,$B$2,1),0)),"",IFERROR(SUMIFS(DATA_GOC!$H:$H,DATA_GOC!$A:$A,"BOM",DATA_GOC!$D:$D,$B395,DATA_GOC!$E:$E,"Dầu cầu",DATA_GOC!$F:$F,"Xuất nội bộ từ téc",DATA_GOC!$B:$B,DATE($D$2,$B$2,J$4)),0))</f>
        <v>0</v>
      </c>
      <c r="K395" s="251">
        <f>IF(K$4&gt;DAY(EOMONTH(DATE($D$2,$B$2,1),0)),"",IFERROR(SUMIFS(DATA_GOC!$H:$H,DATA_GOC!$A:$A,"BOM",DATA_GOC!$D:$D,$B395,DATA_GOC!$E:$E,"Dầu cầu",DATA_GOC!$F:$F,"Xuất nội bộ từ téc",DATA_GOC!$B:$B,DATE($D$2,$B$2,K$4)),0))</f>
        <v>0</v>
      </c>
      <c r="L395" s="251">
        <f>IF(L$4&gt;DAY(EOMONTH(DATE($D$2,$B$2,1),0)),"",IFERROR(SUMIFS(DATA_GOC!$H:$H,DATA_GOC!$A:$A,"BOM",DATA_GOC!$D:$D,$B395,DATA_GOC!$E:$E,"Dầu cầu",DATA_GOC!$F:$F,"Xuất nội bộ từ téc",DATA_GOC!$B:$B,DATE($D$2,$B$2,L$4)),0))</f>
        <v>0</v>
      </c>
      <c r="M395" s="251">
        <f>IF(M$4&gt;DAY(EOMONTH(DATE($D$2,$B$2,1),0)),"",IFERROR(SUMIFS(DATA_GOC!$H:$H,DATA_GOC!$A:$A,"BOM",DATA_GOC!$D:$D,$B395,DATA_GOC!$E:$E,"Dầu cầu",DATA_GOC!$F:$F,"Xuất nội bộ từ téc",DATA_GOC!$B:$B,DATE($D$2,$B$2,M$4)),0))</f>
        <v>0</v>
      </c>
      <c r="N395" s="251">
        <f>IF(N$4&gt;DAY(EOMONTH(DATE($D$2,$B$2,1),0)),"",IFERROR(SUMIFS(DATA_GOC!$H:$H,DATA_GOC!$A:$A,"BOM",DATA_GOC!$D:$D,$B395,DATA_GOC!$E:$E,"Dầu cầu",DATA_GOC!$F:$F,"Xuất nội bộ từ téc",DATA_GOC!$B:$B,DATE($D$2,$B$2,N$4)),0))</f>
        <v>0</v>
      </c>
      <c r="O395" s="251">
        <f>IF(O$4&gt;DAY(EOMONTH(DATE($D$2,$B$2,1),0)),"",IFERROR(SUMIFS(DATA_GOC!$H:$H,DATA_GOC!$A:$A,"BOM",DATA_GOC!$D:$D,$B395,DATA_GOC!$E:$E,"Dầu cầu",DATA_GOC!$F:$F,"Xuất nội bộ từ téc",DATA_GOC!$B:$B,DATE($D$2,$B$2,O$4)),0))</f>
        <v>0</v>
      </c>
      <c r="P395" s="251">
        <f>IF(P$4&gt;DAY(EOMONTH(DATE($D$2,$B$2,1),0)),"",IFERROR(SUMIFS(DATA_GOC!$H:$H,DATA_GOC!$A:$A,"BOM",DATA_GOC!$D:$D,$B395,DATA_GOC!$E:$E,"Dầu cầu",DATA_GOC!$F:$F,"Xuất nội bộ từ téc",DATA_GOC!$B:$B,DATE($D$2,$B$2,P$4)),0))</f>
        <v>0</v>
      </c>
      <c r="Q395" s="251">
        <f>IF(Q$4&gt;DAY(EOMONTH(DATE($D$2,$B$2,1),0)),"",IFERROR(SUMIFS(DATA_GOC!$H:$H,DATA_GOC!$A:$A,"BOM",DATA_GOC!$D:$D,$B395,DATA_GOC!$E:$E,"Dầu cầu",DATA_GOC!$F:$F,"Xuất nội bộ từ téc",DATA_GOC!$B:$B,DATE($D$2,$B$2,Q$4)),0))</f>
        <v>0</v>
      </c>
      <c r="R395" s="251">
        <f>IF(R$4&gt;DAY(EOMONTH(DATE($D$2,$B$2,1),0)),"",IFERROR(SUMIFS(DATA_GOC!$H:$H,DATA_GOC!$A:$A,"BOM",DATA_GOC!$D:$D,$B395,DATA_GOC!$E:$E,"Dầu cầu",DATA_GOC!$F:$F,"Xuất nội bộ từ téc",DATA_GOC!$B:$B,DATE($D$2,$B$2,R$4)),0))</f>
        <v>0</v>
      </c>
      <c r="S395" s="251">
        <f>IF(S$4&gt;DAY(EOMONTH(DATE($D$2,$B$2,1),0)),"",IFERROR(SUMIFS(DATA_GOC!$H:$H,DATA_GOC!$A:$A,"BOM",DATA_GOC!$D:$D,$B395,DATA_GOC!$E:$E,"Dầu cầu",DATA_GOC!$F:$F,"Xuất nội bộ từ téc",DATA_GOC!$B:$B,DATE($D$2,$B$2,S$4)),0))</f>
        <v>0</v>
      </c>
      <c r="T395" s="251">
        <f>IF(T$4&gt;DAY(EOMONTH(DATE($D$2,$B$2,1),0)),"",IFERROR(SUMIFS(DATA_GOC!$H:$H,DATA_GOC!$A:$A,"BOM",DATA_GOC!$D:$D,$B395,DATA_GOC!$E:$E,"Dầu cầu",DATA_GOC!$F:$F,"Xuất nội bộ từ téc",DATA_GOC!$B:$B,DATE($D$2,$B$2,T$4)),0))</f>
        <v>0</v>
      </c>
      <c r="U395" s="251">
        <f>IF(U$4&gt;DAY(EOMONTH(DATE($D$2,$B$2,1),0)),"",IFERROR(SUMIFS(DATA_GOC!$H:$H,DATA_GOC!$A:$A,"BOM",DATA_GOC!$D:$D,$B395,DATA_GOC!$E:$E,"Dầu cầu",DATA_GOC!$F:$F,"Xuất nội bộ từ téc",DATA_GOC!$B:$B,DATE($D$2,$B$2,U$4)),0))</f>
        <v>0</v>
      </c>
      <c r="V395" s="251">
        <f>IF(V$4&gt;DAY(EOMONTH(DATE($D$2,$B$2,1),0)),"",IFERROR(SUMIFS(DATA_GOC!$H:$H,DATA_GOC!$A:$A,"BOM",DATA_GOC!$D:$D,$B395,DATA_GOC!$E:$E,"Dầu cầu",DATA_GOC!$F:$F,"Xuất nội bộ từ téc",DATA_GOC!$B:$B,DATE($D$2,$B$2,V$4)),0))</f>
        <v>0</v>
      </c>
      <c r="W395" s="251">
        <f>IF(W$4&gt;DAY(EOMONTH(DATE($D$2,$B$2,1),0)),"",IFERROR(SUMIFS(DATA_GOC!$H:$H,DATA_GOC!$A:$A,"BOM",DATA_GOC!$D:$D,$B395,DATA_GOC!$E:$E,"Dầu cầu",DATA_GOC!$F:$F,"Xuất nội bộ từ téc",DATA_GOC!$B:$B,DATE($D$2,$B$2,W$4)),0))</f>
        <v>0</v>
      </c>
      <c r="X395" s="251">
        <f>IF(X$4&gt;DAY(EOMONTH(DATE($D$2,$B$2,1),0)),"",IFERROR(SUMIFS(DATA_GOC!$H:$H,DATA_GOC!$A:$A,"BOM",DATA_GOC!$D:$D,$B395,DATA_GOC!$E:$E,"Dầu cầu",DATA_GOC!$F:$F,"Xuất nội bộ từ téc",DATA_GOC!$B:$B,DATE($D$2,$B$2,X$4)),0))</f>
        <v>0</v>
      </c>
      <c r="Y395" s="251">
        <f>IF(Y$4&gt;DAY(EOMONTH(DATE($D$2,$B$2,1),0)),"",IFERROR(SUMIFS(DATA_GOC!$H:$H,DATA_GOC!$A:$A,"BOM",DATA_GOC!$D:$D,$B395,DATA_GOC!$E:$E,"Dầu cầu",DATA_GOC!$F:$F,"Xuất nội bộ từ téc",DATA_GOC!$B:$B,DATE($D$2,$B$2,Y$4)),0))</f>
        <v>0</v>
      </c>
      <c r="Z395" s="251">
        <f>IF(Z$4&gt;DAY(EOMONTH(DATE($D$2,$B$2,1),0)),"",IFERROR(SUMIFS(DATA_GOC!$H:$H,DATA_GOC!$A:$A,"BOM",DATA_GOC!$D:$D,$B395,DATA_GOC!$E:$E,"Dầu cầu",DATA_GOC!$F:$F,"Xuất nội bộ từ téc",DATA_GOC!$B:$B,DATE($D$2,$B$2,Z$4)),0))</f>
        <v>0</v>
      </c>
      <c r="AA395" s="251">
        <f>IF(AA$4&gt;DAY(EOMONTH(DATE($D$2,$B$2,1),0)),"",IFERROR(SUMIFS(DATA_GOC!$H:$H,DATA_GOC!$A:$A,"BOM",DATA_GOC!$D:$D,$B395,DATA_GOC!$E:$E,"Dầu cầu",DATA_GOC!$F:$F,"Xuất nội bộ từ téc",DATA_GOC!$B:$B,DATE($D$2,$B$2,AA$4)),0))</f>
        <v>0</v>
      </c>
      <c r="AB395" s="251">
        <f>IF(AB$4&gt;DAY(EOMONTH(DATE($D$2,$B$2,1),0)),"",IFERROR(SUMIFS(DATA_GOC!$H:$H,DATA_GOC!$A:$A,"BOM",DATA_GOC!$D:$D,$B395,DATA_GOC!$E:$E,"Dầu cầu",DATA_GOC!$F:$F,"Xuất nội bộ từ téc",DATA_GOC!$B:$B,DATE($D$2,$B$2,AB$4)),0))</f>
        <v>0</v>
      </c>
      <c r="AC395" s="251">
        <f>IF(AC$4&gt;DAY(EOMONTH(DATE($D$2,$B$2,1),0)),"",IFERROR(SUMIFS(DATA_GOC!$H:$H,DATA_GOC!$A:$A,"BOM",DATA_GOC!$D:$D,$B395,DATA_GOC!$E:$E,"Dầu cầu",DATA_GOC!$F:$F,"Xuất nội bộ từ téc",DATA_GOC!$B:$B,DATE($D$2,$B$2,AC$4)),0))</f>
        <v>0</v>
      </c>
      <c r="AD395" s="251">
        <f>IF(AD$4&gt;DAY(EOMONTH(DATE($D$2,$B$2,1),0)),"",IFERROR(SUMIFS(DATA_GOC!$H:$H,DATA_GOC!$A:$A,"BOM",DATA_GOC!$D:$D,$B395,DATA_GOC!$E:$E,"Dầu cầu",DATA_GOC!$F:$F,"Xuất nội bộ từ téc",DATA_GOC!$B:$B,DATE($D$2,$B$2,AD$4)),0))</f>
        <v>0</v>
      </c>
      <c r="AE395" s="251">
        <f>IF(AE$4&gt;DAY(EOMONTH(DATE($D$2,$B$2,1),0)),"",IFERROR(SUMIFS(DATA_GOC!$H:$H,DATA_GOC!$A:$A,"BOM",DATA_GOC!$D:$D,$B395,DATA_GOC!$E:$E,"Dầu cầu",DATA_GOC!$F:$F,"Xuất nội bộ từ téc",DATA_GOC!$B:$B,DATE($D$2,$B$2,AE$4)),0))</f>
        <v>0</v>
      </c>
      <c r="AF395" s="251">
        <f>IF(AF$4&gt;DAY(EOMONTH(DATE($D$2,$B$2,1),0)),"",IFERROR(SUMIFS(DATA_GOC!$H:$H,DATA_GOC!$A:$A,"BOM",DATA_GOC!$D:$D,$B395,DATA_GOC!$E:$E,"Dầu cầu",DATA_GOC!$F:$F,"Xuất nội bộ từ téc",DATA_GOC!$B:$B,DATE($D$2,$B$2,AF$4)),0))</f>
        <v>0</v>
      </c>
      <c r="AG395" s="251">
        <f>IF(AG$4&gt;DAY(EOMONTH(DATE($D$2,$B$2,1),0)),"",IFERROR(SUMIFS(DATA_GOC!$H:$H,DATA_GOC!$A:$A,"BOM",DATA_GOC!$D:$D,$B395,DATA_GOC!$E:$E,"Dầu cầu",DATA_GOC!$F:$F,"Xuất nội bộ từ téc",DATA_GOC!$B:$B,DATE($D$2,$B$2,AG$4)),0))</f>
        <v>0</v>
      </c>
      <c r="AH395" s="252">
        <f t="shared" si="19"/>
        <v>0</v>
      </c>
      <c r="AI395" s="241"/>
      <c r="AJ395" s="242">
        <f>IF($B395="","",SUMIFS(TINH_TEC!$K$233:$K$9232,TINH_TEC!$H$233:$H$9232,$B395,TINH_TEC!$C$233:$C$9232,"Dầu cầu",TINH_TEC!$F$233:$F$9232,$B$2,TINH_TEC!$G$233:$G$9232,$D$2,TINH_TEC!$B$233:$B$9232,"Đã chốt"))</f>
        <v>0</v>
      </c>
      <c r="AK395" s="242">
        <f>IF($B395="","",SUMIFS(TINH_TEC!$J$233:$J$9232,TINH_TEC!$H$233:$H$9232,$B395,TINH_TEC!$C$233:$C$9232,"Dầu cầu",TINH_TEC!$F$233:$F$9232,$B$2,TINH_TEC!$G$233:$G$9232,$D$2,TINH_TEC!$B$233:$B$9232,"Đã chốt"))</f>
        <v>0</v>
      </c>
      <c r="AL395" s="242">
        <f t="shared" si="20"/>
        <v>0</v>
      </c>
    </row>
    <row r="396" ht="15.75" customHeight="1">
      <c r="A396" s="237">
        <f>IF($B396&lt;&gt;"",25,"")</f>
        <v>25</v>
      </c>
      <c r="B396" s="250" t="str">
        <f t="array" ref="B396">IFERROR(INDEX(DANH_MUC!$E:$E,28),"")</f>
        <v>28C04576</v>
      </c>
      <c r="C396" s="251">
        <f>IF(C$4&gt;DAY(EOMONTH(DATE($D$2,$B$2,1),0)),"",IFERROR(SUMIFS(DATA_GOC!$H:$H,DATA_GOC!$A:$A,"BOM",DATA_GOC!$D:$D,$B396,DATA_GOC!$E:$E,"Dầu cầu",DATA_GOC!$F:$F,"Xuất nội bộ từ téc",DATA_GOC!$B:$B,DATE($D$2,$B$2,C$4)),0))</f>
        <v>0</v>
      </c>
      <c r="D396" s="251">
        <f>IF(D$4&gt;DAY(EOMONTH(DATE($D$2,$B$2,1),0)),"",IFERROR(SUMIFS(DATA_GOC!$H:$H,DATA_GOC!$A:$A,"BOM",DATA_GOC!$D:$D,$B396,DATA_GOC!$E:$E,"Dầu cầu",DATA_GOC!$F:$F,"Xuất nội bộ từ téc",DATA_GOC!$B:$B,DATE($D$2,$B$2,D$4)),0))</f>
        <v>0</v>
      </c>
      <c r="E396" s="251">
        <f>IF(E$4&gt;DAY(EOMONTH(DATE($D$2,$B$2,1),0)),"",IFERROR(SUMIFS(DATA_GOC!$H:$H,DATA_GOC!$A:$A,"BOM",DATA_GOC!$D:$D,$B396,DATA_GOC!$E:$E,"Dầu cầu",DATA_GOC!$F:$F,"Xuất nội bộ từ téc",DATA_GOC!$B:$B,DATE($D$2,$B$2,E$4)),0))</f>
        <v>0</v>
      </c>
      <c r="F396" s="251">
        <f>IF(F$4&gt;DAY(EOMONTH(DATE($D$2,$B$2,1),0)),"",IFERROR(SUMIFS(DATA_GOC!$H:$H,DATA_GOC!$A:$A,"BOM",DATA_GOC!$D:$D,$B396,DATA_GOC!$E:$E,"Dầu cầu",DATA_GOC!$F:$F,"Xuất nội bộ từ téc",DATA_GOC!$B:$B,DATE($D$2,$B$2,F$4)),0))</f>
        <v>0</v>
      </c>
      <c r="G396" s="251">
        <f>IF(G$4&gt;DAY(EOMONTH(DATE($D$2,$B$2,1),0)),"",IFERROR(SUMIFS(DATA_GOC!$H:$H,DATA_GOC!$A:$A,"BOM",DATA_GOC!$D:$D,$B396,DATA_GOC!$E:$E,"Dầu cầu",DATA_GOC!$F:$F,"Xuất nội bộ từ téc",DATA_GOC!$B:$B,DATE($D$2,$B$2,G$4)),0))</f>
        <v>0</v>
      </c>
      <c r="H396" s="251">
        <f>IF(H$4&gt;DAY(EOMONTH(DATE($D$2,$B$2,1),0)),"",IFERROR(SUMIFS(DATA_GOC!$H:$H,DATA_GOC!$A:$A,"BOM",DATA_GOC!$D:$D,$B396,DATA_GOC!$E:$E,"Dầu cầu",DATA_GOC!$F:$F,"Xuất nội bộ từ téc",DATA_GOC!$B:$B,DATE($D$2,$B$2,H$4)),0))</f>
        <v>0</v>
      </c>
      <c r="I396" s="251">
        <f>IF(I$4&gt;DAY(EOMONTH(DATE($D$2,$B$2,1),0)),"",IFERROR(SUMIFS(DATA_GOC!$H:$H,DATA_GOC!$A:$A,"BOM",DATA_GOC!$D:$D,$B396,DATA_GOC!$E:$E,"Dầu cầu",DATA_GOC!$F:$F,"Xuất nội bộ từ téc",DATA_GOC!$B:$B,DATE($D$2,$B$2,I$4)),0))</f>
        <v>0</v>
      </c>
      <c r="J396" s="251">
        <f>IF(J$4&gt;DAY(EOMONTH(DATE($D$2,$B$2,1),0)),"",IFERROR(SUMIFS(DATA_GOC!$H:$H,DATA_GOC!$A:$A,"BOM",DATA_GOC!$D:$D,$B396,DATA_GOC!$E:$E,"Dầu cầu",DATA_GOC!$F:$F,"Xuất nội bộ từ téc",DATA_GOC!$B:$B,DATE($D$2,$B$2,J$4)),0))</f>
        <v>0</v>
      </c>
      <c r="K396" s="251">
        <f>IF(K$4&gt;DAY(EOMONTH(DATE($D$2,$B$2,1),0)),"",IFERROR(SUMIFS(DATA_GOC!$H:$H,DATA_GOC!$A:$A,"BOM",DATA_GOC!$D:$D,$B396,DATA_GOC!$E:$E,"Dầu cầu",DATA_GOC!$F:$F,"Xuất nội bộ từ téc",DATA_GOC!$B:$B,DATE($D$2,$B$2,K$4)),0))</f>
        <v>0</v>
      </c>
      <c r="L396" s="251">
        <f>IF(L$4&gt;DAY(EOMONTH(DATE($D$2,$B$2,1),0)),"",IFERROR(SUMIFS(DATA_GOC!$H:$H,DATA_GOC!$A:$A,"BOM",DATA_GOC!$D:$D,$B396,DATA_GOC!$E:$E,"Dầu cầu",DATA_GOC!$F:$F,"Xuất nội bộ từ téc",DATA_GOC!$B:$B,DATE($D$2,$B$2,L$4)),0))</f>
        <v>0</v>
      </c>
      <c r="M396" s="251">
        <f>IF(M$4&gt;DAY(EOMONTH(DATE($D$2,$B$2,1),0)),"",IFERROR(SUMIFS(DATA_GOC!$H:$H,DATA_GOC!$A:$A,"BOM",DATA_GOC!$D:$D,$B396,DATA_GOC!$E:$E,"Dầu cầu",DATA_GOC!$F:$F,"Xuất nội bộ từ téc",DATA_GOC!$B:$B,DATE($D$2,$B$2,M$4)),0))</f>
        <v>0</v>
      </c>
      <c r="N396" s="251">
        <f>IF(N$4&gt;DAY(EOMONTH(DATE($D$2,$B$2,1),0)),"",IFERROR(SUMIFS(DATA_GOC!$H:$H,DATA_GOC!$A:$A,"BOM",DATA_GOC!$D:$D,$B396,DATA_GOC!$E:$E,"Dầu cầu",DATA_GOC!$F:$F,"Xuất nội bộ từ téc",DATA_GOC!$B:$B,DATE($D$2,$B$2,N$4)),0))</f>
        <v>0</v>
      </c>
      <c r="O396" s="251">
        <f>IF(O$4&gt;DAY(EOMONTH(DATE($D$2,$B$2,1),0)),"",IFERROR(SUMIFS(DATA_GOC!$H:$H,DATA_GOC!$A:$A,"BOM",DATA_GOC!$D:$D,$B396,DATA_GOC!$E:$E,"Dầu cầu",DATA_GOC!$F:$F,"Xuất nội bộ từ téc",DATA_GOC!$B:$B,DATE($D$2,$B$2,O$4)),0))</f>
        <v>0</v>
      </c>
      <c r="P396" s="251">
        <f>IF(P$4&gt;DAY(EOMONTH(DATE($D$2,$B$2,1),0)),"",IFERROR(SUMIFS(DATA_GOC!$H:$H,DATA_GOC!$A:$A,"BOM",DATA_GOC!$D:$D,$B396,DATA_GOC!$E:$E,"Dầu cầu",DATA_GOC!$F:$F,"Xuất nội bộ từ téc",DATA_GOC!$B:$B,DATE($D$2,$B$2,P$4)),0))</f>
        <v>0</v>
      </c>
      <c r="Q396" s="251">
        <f>IF(Q$4&gt;DAY(EOMONTH(DATE($D$2,$B$2,1),0)),"",IFERROR(SUMIFS(DATA_GOC!$H:$H,DATA_GOC!$A:$A,"BOM",DATA_GOC!$D:$D,$B396,DATA_GOC!$E:$E,"Dầu cầu",DATA_GOC!$F:$F,"Xuất nội bộ từ téc",DATA_GOC!$B:$B,DATE($D$2,$B$2,Q$4)),0))</f>
        <v>0</v>
      </c>
      <c r="R396" s="251">
        <f>IF(R$4&gt;DAY(EOMONTH(DATE($D$2,$B$2,1),0)),"",IFERROR(SUMIFS(DATA_GOC!$H:$H,DATA_GOC!$A:$A,"BOM",DATA_GOC!$D:$D,$B396,DATA_GOC!$E:$E,"Dầu cầu",DATA_GOC!$F:$F,"Xuất nội bộ từ téc",DATA_GOC!$B:$B,DATE($D$2,$B$2,R$4)),0))</f>
        <v>0</v>
      </c>
      <c r="S396" s="251">
        <f>IF(S$4&gt;DAY(EOMONTH(DATE($D$2,$B$2,1),0)),"",IFERROR(SUMIFS(DATA_GOC!$H:$H,DATA_GOC!$A:$A,"BOM",DATA_GOC!$D:$D,$B396,DATA_GOC!$E:$E,"Dầu cầu",DATA_GOC!$F:$F,"Xuất nội bộ từ téc",DATA_GOC!$B:$B,DATE($D$2,$B$2,S$4)),0))</f>
        <v>0</v>
      </c>
      <c r="T396" s="251">
        <f>IF(T$4&gt;DAY(EOMONTH(DATE($D$2,$B$2,1),0)),"",IFERROR(SUMIFS(DATA_GOC!$H:$H,DATA_GOC!$A:$A,"BOM",DATA_GOC!$D:$D,$B396,DATA_GOC!$E:$E,"Dầu cầu",DATA_GOC!$F:$F,"Xuất nội bộ từ téc",DATA_GOC!$B:$B,DATE($D$2,$B$2,T$4)),0))</f>
        <v>0</v>
      </c>
      <c r="U396" s="251">
        <f>IF(U$4&gt;DAY(EOMONTH(DATE($D$2,$B$2,1),0)),"",IFERROR(SUMIFS(DATA_GOC!$H:$H,DATA_GOC!$A:$A,"BOM",DATA_GOC!$D:$D,$B396,DATA_GOC!$E:$E,"Dầu cầu",DATA_GOC!$F:$F,"Xuất nội bộ từ téc",DATA_GOC!$B:$B,DATE($D$2,$B$2,U$4)),0))</f>
        <v>0</v>
      </c>
      <c r="V396" s="251">
        <f>IF(V$4&gt;DAY(EOMONTH(DATE($D$2,$B$2,1),0)),"",IFERROR(SUMIFS(DATA_GOC!$H:$H,DATA_GOC!$A:$A,"BOM",DATA_GOC!$D:$D,$B396,DATA_GOC!$E:$E,"Dầu cầu",DATA_GOC!$F:$F,"Xuất nội bộ từ téc",DATA_GOC!$B:$B,DATE($D$2,$B$2,V$4)),0))</f>
        <v>0</v>
      </c>
      <c r="W396" s="251">
        <f>IF(W$4&gt;DAY(EOMONTH(DATE($D$2,$B$2,1),0)),"",IFERROR(SUMIFS(DATA_GOC!$H:$H,DATA_GOC!$A:$A,"BOM",DATA_GOC!$D:$D,$B396,DATA_GOC!$E:$E,"Dầu cầu",DATA_GOC!$F:$F,"Xuất nội bộ từ téc",DATA_GOC!$B:$B,DATE($D$2,$B$2,W$4)),0))</f>
        <v>0</v>
      </c>
      <c r="X396" s="251">
        <f>IF(X$4&gt;DAY(EOMONTH(DATE($D$2,$B$2,1),0)),"",IFERROR(SUMIFS(DATA_GOC!$H:$H,DATA_GOC!$A:$A,"BOM",DATA_GOC!$D:$D,$B396,DATA_GOC!$E:$E,"Dầu cầu",DATA_GOC!$F:$F,"Xuất nội bộ từ téc",DATA_GOC!$B:$B,DATE($D$2,$B$2,X$4)),0))</f>
        <v>0</v>
      </c>
      <c r="Y396" s="251">
        <f>IF(Y$4&gt;DAY(EOMONTH(DATE($D$2,$B$2,1),0)),"",IFERROR(SUMIFS(DATA_GOC!$H:$H,DATA_GOC!$A:$A,"BOM",DATA_GOC!$D:$D,$B396,DATA_GOC!$E:$E,"Dầu cầu",DATA_GOC!$F:$F,"Xuất nội bộ từ téc",DATA_GOC!$B:$B,DATE($D$2,$B$2,Y$4)),0))</f>
        <v>0</v>
      </c>
      <c r="Z396" s="251">
        <f>IF(Z$4&gt;DAY(EOMONTH(DATE($D$2,$B$2,1),0)),"",IFERROR(SUMIFS(DATA_GOC!$H:$H,DATA_GOC!$A:$A,"BOM",DATA_GOC!$D:$D,$B396,DATA_GOC!$E:$E,"Dầu cầu",DATA_GOC!$F:$F,"Xuất nội bộ từ téc",DATA_GOC!$B:$B,DATE($D$2,$B$2,Z$4)),0))</f>
        <v>0</v>
      </c>
      <c r="AA396" s="251">
        <f>IF(AA$4&gt;DAY(EOMONTH(DATE($D$2,$B$2,1),0)),"",IFERROR(SUMIFS(DATA_GOC!$H:$H,DATA_GOC!$A:$A,"BOM",DATA_GOC!$D:$D,$B396,DATA_GOC!$E:$E,"Dầu cầu",DATA_GOC!$F:$F,"Xuất nội bộ từ téc",DATA_GOC!$B:$B,DATE($D$2,$B$2,AA$4)),0))</f>
        <v>0</v>
      </c>
      <c r="AB396" s="251">
        <f>IF(AB$4&gt;DAY(EOMONTH(DATE($D$2,$B$2,1),0)),"",IFERROR(SUMIFS(DATA_GOC!$H:$H,DATA_GOC!$A:$A,"BOM",DATA_GOC!$D:$D,$B396,DATA_GOC!$E:$E,"Dầu cầu",DATA_GOC!$F:$F,"Xuất nội bộ từ téc",DATA_GOC!$B:$B,DATE($D$2,$B$2,AB$4)),0))</f>
        <v>0</v>
      </c>
      <c r="AC396" s="251">
        <f>IF(AC$4&gt;DAY(EOMONTH(DATE($D$2,$B$2,1),0)),"",IFERROR(SUMIFS(DATA_GOC!$H:$H,DATA_GOC!$A:$A,"BOM",DATA_GOC!$D:$D,$B396,DATA_GOC!$E:$E,"Dầu cầu",DATA_GOC!$F:$F,"Xuất nội bộ từ téc",DATA_GOC!$B:$B,DATE($D$2,$B$2,AC$4)),0))</f>
        <v>0</v>
      </c>
      <c r="AD396" s="251">
        <f>IF(AD$4&gt;DAY(EOMONTH(DATE($D$2,$B$2,1),0)),"",IFERROR(SUMIFS(DATA_GOC!$H:$H,DATA_GOC!$A:$A,"BOM",DATA_GOC!$D:$D,$B396,DATA_GOC!$E:$E,"Dầu cầu",DATA_GOC!$F:$F,"Xuất nội bộ từ téc",DATA_GOC!$B:$B,DATE($D$2,$B$2,AD$4)),0))</f>
        <v>0</v>
      </c>
      <c r="AE396" s="251">
        <f>IF(AE$4&gt;DAY(EOMONTH(DATE($D$2,$B$2,1),0)),"",IFERROR(SUMIFS(DATA_GOC!$H:$H,DATA_GOC!$A:$A,"BOM",DATA_GOC!$D:$D,$B396,DATA_GOC!$E:$E,"Dầu cầu",DATA_GOC!$F:$F,"Xuất nội bộ từ téc",DATA_GOC!$B:$B,DATE($D$2,$B$2,AE$4)),0))</f>
        <v>0</v>
      </c>
      <c r="AF396" s="251">
        <f>IF(AF$4&gt;DAY(EOMONTH(DATE($D$2,$B$2,1),0)),"",IFERROR(SUMIFS(DATA_GOC!$H:$H,DATA_GOC!$A:$A,"BOM",DATA_GOC!$D:$D,$B396,DATA_GOC!$E:$E,"Dầu cầu",DATA_GOC!$F:$F,"Xuất nội bộ từ téc",DATA_GOC!$B:$B,DATE($D$2,$B$2,AF$4)),0))</f>
        <v>0</v>
      </c>
      <c r="AG396" s="251">
        <f>IF(AG$4&gt;DAY(EOMONTH(DATE($D$2,$B$2,1),0)),"",IFERROR(SUMIFS(DATA_GOC!$H:$H,DATA_GOC!$A:$A,"BOM",DATA_GOC!$D:$D,$B396,DATA_GOC!$E:$E,"Dầu cầu",DATA_GOC!$F:$F,"Xuất nội bộ từ téc",DATA_GOC!$B:$B,DATE($D$2,$B$2,AG$4)),0))</f>
        <v>0</v>
      </c>
      <c r="AH396" s="252">
        <f t="shared" si="19"/>
        <v>0</v>
      </c>
      <c r="AI396" s="241"/>
      <c r="AJ396" s="242">
        <f>IF($B396="","",SUMIFS(TINH_TEC!$K$233:$K$9232,TINH_TEC!$H$233:$H$9232,$B396,TINH_TEC!$C$233:$C$9232,"Dầu cầu",TINH_TEC!$F$233:$F$9232,$B$2,TINH_TEC!$G$233:$G$9232,$D$2,TINH_TEC!$B$233:$B$9232,"Đã chốt"))</f>
        <v>0</v>
      </c>
      <c r="AK396" s="242">
        <f>IF($B396="","",SUMIFS(TINH_TEC!$J$233:$J$9232,TINH_TEC!$H$233:$H$9232,$B396,TINH_TEC!$C$233:$C$9232,"Dầu cầu",TINH_TEC!$F$233:$F$9232,$B$2,TINH_TEC!$G$233:$G$9232,$D$2,TINH_TEC!$B$233:$B$9232,"Đã chốt"))</f>
        <v>0</v>
      </c>
      <c r="AL396" s="242">
        <f t="shared" si="20"/>
        <v>0</v>
      </c>
    </row>
    <row r="397" ht="15.75" customHeight="1">
      <c r="A397" s="237">
        <f>IF($B397&lt;&gt;"",26,"")</f>
        <v>26</v>
      </c>
      <c r="B397" s="250" t="str">
        <f t="array" ref="B397">IFERROR(INDEX(DANH_MUC!$E:$E,29),"")</f>
        <v>28C05090</v>
      </c>
      <c r="C397" s="251">
        <f>IF(C$4&gt;DAY(EOMONTH(DATE($D$2,$B$2,1),0)),"",IFERROR(SUMIFS(DATA_GOC!$H:$H,DATA_GOC!$A:$A,"BOM",DATA_GOC!$D:$D,$B397,DATA_GOC!$E:$E,"Dầu cầu",DATA_GOC!$F:$F,"Xuất nội bộ từ téc",DATA_GOC!$B:$B,DATE($D$2,$B$2,C$4)),0))</f>
        <v>0</v>
      </c>
      <c r="D397" s="251">
        <f>IF(D$4&gt;DAY(EOMONTH(DATE($D$2,$B$2,1),0)),"",IFERROR(SUMIFS(DATA_GOC!$H:$H,DATA_GOC!$A:$A,"BOM",DATA_GOC!$D:$D,$B397,DATA_GOC!$E:$E,"Dầu cầu",DATA_GOC!$F:$F,"Xuất nội bộ từ téc",DATA_GOC!$B:$B,DATE($D$2,$B$2,D$4)),0))</f>
        <v>0</v>
      </c>
      <c r="E397" s="251">
        <f>IF(E$4&gt;DAY(EOMONTH(DATE($D$2,$B$2,1),0)),"",IFERROR(SUMIFS(DATA_GOC!$H:$H,DATA_GOC!$A:$A,"BOM",DATA_GOC!$D:$D,$B397,DATA_GOC!$E:$E,"Dầu cầu",DATA_GOC!$F:$F,"Xuất nội bộ từ téc",DATA_GOC!$B:$B,DATE($D$2,$B$2,E$4)),0))</f>
        <v>0</v>
      </c>
      <c r="F397" s="251">
        <f>IF(F$4&gt;DAY(EOMONTH(DATE($D$2,$B$2,1),0)),"",IFERROR(SUMIFS(DATA_GOC!$H:$H,DATA_GOC!$A:$A,"BOM",DATA_GOC!$D:$D,$B397,DATA_GOC!$E:$E,"Dầu cầu",DATA_GOC!$F:$F,"Xuất nội bộ từ téc",DATA_GOC!$B:$B,DATE($D$2,$B$2,F$4)),0))</f>
        <v>0</v>
      </c>
      <c r="G397" s="251">
        <f>IF(G$4&gt;DAY(EOMONTH(DATE($D$2,$B$2,1),0)),"",IFERROR(SUMIFS(DATA_GOC!$H:$H,DATA_GOC!$A:$A,"BOM",DATA_GOC!$D:$D,$B397,DATA_GOC!$E:$E,"Dầu cầu",DATA_GOC!$F:$F,"Xuất nội bộ từ téc",DATA_GOC!$B:$B,DATE($D$2,$B$2,G$4)),0))</f>
        <v>0</v>
      </c>
      <c r="H397" s="251">
        <f>IF(H$4&gt;DAY(EOMONTH(DATE($D$2,$B$2,1),0)),"",IFERROR(SUMIFS(DATA_GOC!$H:$H,DATA_GOC!$A:$A,"BOM",DATA_GOC!$D:$D,$B397,DATA_GOC!$E:$E,"Dầu cầu",DATA_GOC!$F:$F,"Xuất nội bộ từ téc",DATA_GOC!$B:$B,DATE($D$2,$B$2,H$4)),0))</f>
        <v>0</v>
      </c>
      <c r="I397" s="251">
        <f>IF(I$4&gt;DAY(EOMONTH(DATE($D$2,$B$2,1),0)),"",IFERROR(SUMIFS(DATA_GOC!$H:$H,DATA_GOC!$A:$A,"BOM",DATA_GOC!$D:$D,$B397,DATA_GOC!$E:$E,"Dầu cầu",DATA_GOC!$F:$F,"Xuất nội bộ từ téc",DATA_GOC!$B:$B,DATE($D$2,$B$2,I$4)),0))</f>
        <v>0</v>
      </c>
      <c r="J397" s="251">
        <f>IF(J$4&gt;DAY(EOMONTH(DATE($D$2,$B$2,1),0)),"",IFERROR(SUMIFS(DATA_GOC!$H:$H,DATA_GOC!$A:$A,"BOM",DATA_GOC!$D:$D,$B397,DATA_GOC!$E:$E,"Dầu cầu",DATA_GOC!$F:$F,"Xuất nội bộ từ téc",DATA_GOC!$B:$B,DATE($D$2,$B$2,J$4)),0))</f>
        <v>0</v>
      </c>
      <c r="K397" s="251">
        <f>IF(K$4&gt;DAY(EOMONTH(DATE($D$2,$B$2,1),0)),"",IFERROR(SUMIFS(DATA_GOC!$H:$H,DATA_GOC!$A:$A,"BOM",DATA_GOC!$D:$D,$B397,DATA_GOC!$E:$E,"Dầu cầu",DATA_GOC!$F:$F,"Xuất nội bộ từ téc",DATA_GOC!$B:$B,DATE($D$2,$B$2,K$4)),0))</f>
        <v>0</v>
      </c>
      <c r="L397" s="251">
        <f>IF(L$4&gt;DAY(EOMONTH(DATE($D$2,$B$2,1),0)),"",IFERROR(SUMIFS(DATA_GOC!$H:$H,DATA_GOC!$A:$A,"BOM",DATA_GOC!$D:$D,$B397,DATA_GOC!$E:$E,"Dầu cầu",DATA_GOC!$F:$F,"Xuất nội bộ từ téc",DATA_GOC!$B:$B,DATE($D$2,$B$2,L$4)),0))</f>
        <v>0</v>
      </c>
      <c r="M397" s="251">
        <f>IF(M$4&gt;DAY(EOMONTH(DATE($D$2,$B$2,1),0)),"",IFERROR(SUMIFS(DATA_GOC!$H:$H,DATA_GOC!$A:$A,"BOM",DATA_GOC!$D:$D,$B397,DATA_GOC!$E:$E,"Dầu cầu",DATA_GOC!$F:$F,"Xuất nội bộ từ téc",DATA_GOC!$B:$B,DATE($D$2,$B$2,M$4)),0))</f>
        <v>0</v>
      </c>
      <c r="N397" s="251">
        <f>IF(N$4&gt;DAY(EOMONTH(DATE($D$2,$B$2,1),0)),"",IFERROR(SUMIFS(DATA_GOC!$H:$H,DATA_GOC!$A:$A,"BOM",DATA_GOC!$D:$D,$B397,DATA_GOC!$E:$E,"Dầu cầu",DATA_GOC!$F:$F,"Xuất nội bộ từ téc",DATA_GOC!$B:$B,DATE($D$2,$B$2,N$4)),0))</f>
        <v>0</v>
      </c>
      <c r="O397" s="251">
        <f>IF(O$4&gt;DAY(EOMONTH(DATE($D$2,$B$2,1),0)),"",IFERROR(SUMIFS(DATA_GOC!$H:$H,DATA_GOC!$A:$A,"BOM",DATA_GOC!$D:$D,$B397,DATA_GOC!$E:$E,"Dầu cầu",DATA_GOC!$F:$F,"Xuất nội bộ từ téc",DATA_GOC!$B:$B,DATE($D$2,$B$2,O$4)),0))</f>
        <v>0</v>
      </c>
      <c r="P397" s="251">
        <f>IF(P$4&gt;DAY(EOMONTH(DATE($D$2,$B$2,1),0)),"",IFERROR(SUMIFS(DATA_GOC!$H:$H,DATA_GOC!$A:$A,"BOM",DATA_GOC!$D:$D,$B397,DATA_GOC!$E:$E,"Dầu cầu",DATA_GOC!$F:$F,"Xuất nội bộ từ téc",DATA_GOC!$B:$B,DATE($D$2,$B$2,P$4)),0))</f>
        <v>0</v>
      </c>
      <c r="Q397" s="251">
        <f>IF(Q$4&gt;DAY(EOMONTH(DATE($D$2,$B$2,1),0)),"",IFERROR(SUMIFS(DATA_GOC!$H:$H,DATA_GOC!$A:$A,"BOM",DATA_GOC!$D:$D,$B397,DATA_GOC!$E:$E,"Dầu cầu",DATA_GOC!$F:$F,"Xuất nội bộ từ téc",DATA_GOC!$B:$B,DATE($D$2,$B$2,Q$4)),0))</f>
        <v>0</v>
      </c>
      <c r="R397" s="251">
        <f>IF(R$4&gt;DAY(EOMONTH(DATE($D$2,$B$2,1),0)),"",IFERROR(SUMIFS(DATA_GOC!$H:$H,DATA_GOC!$A:$A,"BOM",DATA_GOC!$D:$D,$B397,DATA_GOC!$E:$E,"Dầu cầu",DATA_GOC!$F:$F,"Xuất nội bộ từ téc",DATA_GOC!$B:$B,DATE($D$2,$B$2,R$4)),0))</f>
        <v>0</v>
      </c>
      <c r="S397" s="251">
        <f>IF(S$4&gt;DAY(EOMONTH(DATE($D$2,$B$2,1),0)),"",IFERROR(SUMIFS(DATA_GOC!$H:$H,DATA_GOC!$A:$A,"BOM",DATA_GOC!$D:$D,$B397,DATA_GOC!$E:$E,"Dầu cầu",DATA_GOC!$F:$F,"Xuất nội bộ từ téc",DATA_GOC!$B:$B,DATE($D$2,$B$2,S$4)),0))</f>
        <v>0</v>
      </c>
      <c r="T397" s="251">
        <f>IF(T$4&gt;DAY(EOMONTH(DATE($D$2,$B$2,1),0)),"",IFERROR(SUMIFS(DATA_GOC!$H:$H,DATA_GOC!$A:$A,"BOM",DATA_GOC!$D:$D,$B397,DATA_GOC!$E:$E,"Dầu cầu",DATA_GOC!$F:$F,"Xuất nội bộ từ téc",DATA_GOC!$B:$B,DATE($D$2,$B$2,T$4)),0))</f>
        <v>0</v>
      </c>
      <c r="U397" s="251">
        <f>IF(U$4&gt;DAY(EOMONTH(DATE($D$2,$B$2,1),0)),"",IFERROR(SUMIFS(DATA_GOC!$H:$H,DATA_GOC!$A:$A,"BOM",DATA_GOC!$D:$D,$B397,DATA_GOC!$E:$E,"Dầu cầu",DATA_GOC!$F:$F,"Xuất nội bộ từ téc",DATA_GOC!$B:$B,DATE($D$2,$B$2,U$4)),0))</f>
        <v>0</v>
      </c>
      <c r="V397" s="251">
        <f>IF(V$4&gt;DAY(EOMONTH(DATE($D$2,$B$2,1),0)),"",IFERROR(SUMIFS(DATA_GOC!$H:$H,DATA_GOC!$A:$A,"BOM",DATA_GOC!$D:$D,$B397,DATA_GOC!$E:$E,"Dầu cầu",DATA_GOC!$F:$F,"Xuất nội bộ từ téc",DATA_GOC!$B:$B,DATE($D$2,$B$2,V$4)),0))</f>
        <v>0</v>
      </c>
      <c r="W397" s="251">
        <f>IF(W$4&gt;DAY(EOMONTH(DATE($D$2,$B$2,1),0)),"",IFERROR(SUMIFS(DATA_GOC!$H:$H,DATA_GOC!$A:$A,"BOM",DATA_GOC!$D:$D,$B397,DATA_GOC!$E:$E,"Dầu cầu",DATA_GOC!$F:$F,"Xuất nội bộ từ téc",DATA_GOC!$B:$B,DATE($D$2,$B$2,W$4)),0))</f>
        <v>0</v>
      </c>
      <c r="X397" s="251">
        <f>IF(X$4&gt;DAY(EOMONTH(DATE($D$2,$B$2,1),0)),"",IFERROR(SUMIFS(DATA_GOC!$H:$H,DATA_GOC!$A:$A,"BOM",DATA_GOC!$D:$D,$B397,DATA_GOC!$E:$E,"Dầu cầu",DATA_GOC!$F:$F,"Xuất nội bộ từ téc",DATA_GOC!$B:$B,DATE($D$2,$B$2,X$4)),0))</f>
        <v>0</v>
      </c>
      <c r="Y397" s="251">
        <f>IF(Y$4&gt;DAY(EOMONTH(DATE($D$2,$B$2,1),0)),"",IFERROR(SUMIFS(DATA_GOC!$H:$H,DATA_GOC!$A:$A,"BOM",DATA_GOC!$D:$D,$B397,DATA_GOC!$E:$E,"Dầu cầu",DATA_GOC!$F:$F,"Xuất nội bộ từ téc",DATA_GOC!$B:$B,DATE($D$2,$B$2,Y$4)),0))</f>
        <v>0</v>
      </c>
      <c r="Z397" s="251">
        <f>IF(Z$4&gt;DAY(EOMONTH(DATE($D$2,$B$2,1),0)),"",IFERROR(SUMIFS(DATA_GOC!$H:$H,DATA_GOC!$A:$A,"BOM",DATA_GOC!$D:$D,$B397,DATA_GOC!$E:$E,"Dầu cầu",DATA_GOC!$F:$F,"Xuất nội bộ từ téc",DATA_GOC!$B:$B,DATE($D$2,$B$2,Z$4)),0))</f>
        <v>0</v>
      </c>
      <c r="AA397" s="251">
        <f>IF(AA$4&gt;DAY(EOMONTH(DATE($D$2,$B$2,1),0)),"",IFERROR(SUMIFS(DATA_GOC!$H:$H,DATA_GOC!$A:$A,"BOM",DATA_GOC!$D:$D,$B397,DATA_GOC!$E:$E,"Dầu cầu",DATA_GOC!$F:$F,"Xuất nội bộ từ téc",DATA_GOC!$B:$B,DATE($D$2,$B$2,AA$4)),0))</f>
        <v>0</v>
      </c>
      <c r="AB397" s="251">
        <f>IF(AB$4&gt;DAY(EOMONTH(DATE($D$2,$B$2,1),0)),"",IFERROR(SUMIFS(DATA_GOC!$H:$H,DATA_GOC!$A:$A,"BOM",DATA_GOC!$D:$D,$B397,DATA_GOC!$E:$E,"Dầu cầu",DATA_GOC!$F:$F,"Xuất nội bộ từ téc",DATA_GOC!$B:$B,DATE($D$2,$B$2,AB$4)),0))</f>
        <v>0</v>
      </c>
      <c r="AC397" s="251">
        <f>IF(AC$4&gt;DAY(EOMONTH(DATE($D$2,$B$2,1),0)),"",IFERROR(SUMIFS(DATA_GOC!$H:$H,DATA_GOC!$A:$A,"BOM",DATA_GOC!$D:$D,$B397,DATA_GOC!$E:$E,"Dầu cầu",DATA_GOC!$F:$F,"Xuất nội bộ từ téc",DATA_GOC!$B:$B,DATE($D$2,$B$2,AC$4)),0))</f>
        <v>0</v>
      </c>
      <c r="AD397" s="251">
        <f>IF(AD$4&gt;DAY(EOMONTH(DATE($D$2,$B$2,1),0)),"",IFERROR(SUMIFS(DATA_GOC!$H:$H,DATA_GOC!$A:$A,"BOM",DATA_GOC!$D:$D,$B397,DATA_GOC!$E:$E,"Dầu cầu",DATA_GOC!$F:$F,"Xuất nội bộ từ téc",DATA_GOC!$B:$B,DATE($D$2,$B$2,AD$4)),0))</f>
        <v>0</v>
      </c>
      <c r="AE397" s="251">
        <f>IF(AE$4&gt;DAY(EOMONTH(DATE($D$2,$B$2,1),0)),"",IFERROR(SUMIFS(DATA_GOC!$H:$H,DATA_GOC!$A:$A,"BOM",DATA_GOC!$D:$D,$B397,DATA_GOC!$E:$E,"Dầu cầu",DATA_GOC!$F:$F,"Xuất nội bộ từ téc",DATA_GOC!$B:$B,DATE($D$2,$B$2,AE$4)),0))</f>
        <v>0</v>
      </c>
      <c r="AF397" s="251">
        <f>IF(AF$4&gt;DAY(EOMONTH(DATE($D$2,$B$2,1),0)),"",IFERROR(SUMIFS(DATA_GOC!$H:$H,DATA_GOC!$A:$A,"BOM",DATA_GOC!$D:$D,$B397,DATA_GOC!$E:$E,"Dầu cầu",DATA_GOC!$F:$F,"Xuất nội bộ từ téc",DATA_GOC!$B:$B,DATE($D$2,$B$2,AF$4)),0))</f>
        <v>0</v>
      </c>
      <c r="AG397" s="251">
        <f>IF(AG$4&gt;DAY(EOMONTH(DATE($D$2,$B$2,1),0)),"",IFERROR(SUMIFS(DATA_GOC!$H:$H,DATA_GOC!$A:$A,"BOM",DATA_GOC!$D:$D,$B397,DATA_GOC!$E:$E,"Dầu cầu",DATA_GOC!$F:$F,"Xuất nội bộ từ téc",DATA_GOC!$B:$B,DATE($D$2,$B$2,AG$4)),0))</f>
        <v>0</v>
      </c>
      <c r="AH397" s="252">
        <f t="shared" si="19"/>
        <v>0</v>
      </c>
      <c r="AI397" s="241"/>
      <c r="AJ397" s="242">
        <f>IF($B397="","",SUMIFS(TINH_TEC!$K$233:$K$9232,TINH_TEC!$H$233:$H$9232,$B397,TINH_TEC!$C$233:$C$9232,"Dầu cầu",TINH_TEC!$F$233:$F$9232,$B$2,TINH_TEC!$G$233:$G$9232,$D$2,TINH_TEC!$B$233:$B$9232,"Đã chốt"))</f>
        <v>0</v>
      </c>
      <c r="AK397" s="242">
        <f>IF($B397="","",SUMIFS(TINH_TEC!$J$233:$J$9232,TINH_TEC!$H$233:$H$9232,$B397,TINH_TEC!$C$233:$C$9232,"Dầu cầu",TINH_TEC!$F$233:$F$9232,$B$2,TINH_TEC!$G$233:$G$9232,$D$2,TINH_TEC!$B$233:$B$9232,"Đã chốt"))</f>
        <v>0</v>
      </c>
      <c r="AL397" s="242">
        <f t="shared" si="20"/>
        <v>0</v>
      </c>
    </row>
    <row r="398" ht="15.75" customHeight="1">
      <c r="A398" s="237">
        <f>IF($B398&lt;&gt;"",27,"")</f>
        <v>27</v>
      </c>
      <c r="B398" s="250" t="str">
        <f t="array" ref="B398">IFERROR(INDEX(DANH_MUC!$E:$E,30),"")</f>
        <v>28C05345</v>
      </c>
      <c r="C398" s="251">
        <f>IF(C$4&gt;DAY(EOMONTH(DATE($D$2,$B$2,1),0)),"",IFERROR(SUMIFS(DATA_GOC!$H:$H,DATA_GOC!$A:$A,"BOM",DATA_GOC!$D:$D,$B398,DATA_GOC!$E:$E,"Dầu cầu",DATA_GOC!$F:$F,"Xuất nội bộ từ téc",DATA_GOC!$B:$B,DATE($D$2,$B$2,C$4)),0))</f>
        <v>0</v>
      </c>
      <c r="D398" s="251">
        <f>IF(D$4&gt;DAY(EOMONTH(DATE($D$2,$B$2,1),0)),"",IFERROR(SUMIFS(DATA_GOC!$H:$H,DATA_GOC!$A:$A,"BOM",DATA_GOC!$D:$D,$B398,DATA_GOC!$E:$E,"Dầu cầu",DATA_GOC!$F:$F,"Xuất nội bộ từ téc",DATA_GOC!$B:$B,DATE($D$2,$B$2,D$4)),0))</f>
        <v>0</v>
      </c>
      <c r="E398" s="251">
        <f>IF(E$4&gt;DAY(EOMONTH(DATE($D$2,$B$2,1),0)),"",IFERROR(SUMIFS(DATA_GOC!$H:$H,DATA_GOC!$A:$A,"BOM",DATA_GOC!$D:$D,$B398,DATA_GOC!$E:$E,"Dầu cầu",DATA_GOC!$F:$F,"Xuất nội bộ từ téc",DATA_GOC!$B:$B,DATE($D$2,$B$2,E$4)),0))</f>
        <v>0</v>
      </c>
      <c r="F398" s="251">
        <f>IF(F$4&gt;DAY(EOMONTH(DATE($D$2,$B$2,1),0)),"",IFERROR(SUMIFS(DATA_GOC!$H:$H,DATA_GOC!$A:$A,"BOM",DATA_GOC!$D:$D,$B398,DATA_GOC!$E:$E,"Dầu cầu",DATA_GOC!$F:$F,"Xuất nội bộ từ téc",DATA_GOC!$B:$B,DATE($D$2,$B$2,F$4)),0))</f>
        <v>0</v>
      </c>
      <c r="G398" s="251">
        <f>IF(G$4&gt;DAY(EOMONTH(DATE($D$2,$B$2,1),0)),"",IFERROR(SUMIFS(DATA_GOC!$H:$H,DATA_GOC!$A:$A,"BOM",DATA_GOC!$D:$D,$B398,DATA_GOC!$E:$E,"Dầu cầu",DATA_GOC!$F:$F,"Xuất nội bộ từ téc",DATA_GOC!$B:$B,DATE($D$2,$B$2,G$4)),0))</f>
        <v>0</v>
      </c>
      <c r="H398" s="251">
        <f>IF(H$4&gt;DAY(EOMONTH(DATE($D$2,$B$2,1),0)),"",IFERROR(SUMIFS(DATA_GOC!$H:$H,DATA_GOC!$A:$A,"BOM",DATA_GOC!$D:$D,$B398,DATA_GOC!$E:$E,"Dầu cầu",DATA_GOC!$F:$F,"Xuất nội bộ từ téc",DATA_GOC!$B:$B,DATE($D$2,$B$2,H$4)),0))</f>
        <v>0</v>
      </c>
      <c r="I398" s="251">
        <f>IF(I$4&gt;DAY(EOMONTH(DATE($D$2,$B$2,1),0)),"",IFERROR(SUMIFS(DATA_GOC!$H:$H,DATA_GOC!$A:$A,"BOM",DATA_GOC!$D:$D,$B398,DATA_GOC!$E:$E,"Dầu cầu",DATA_GOC!$F:$F,"Xuất nội bộ từ téc",DATA_GOC!$B:$B,DATE($D$2,$B$2,I$4)),0))</f>
        <v>0</v>
      </c>
      <c r="J398" s="251">
        <f>IF(J$4&gt;DAY(EOMONTH(DATE($D$2,$B$2,1),0)),"",IFERROR(SUMIFS(DATA_GOC!$H:$H,DATA_GOC!$A:$A,"BOM",DATA_GOC!$D:$D,$B398,DATA_GOC!$E:$E,"Dầu cầu",DATA_GOC!$F:$F,"Xuất nội bộ từ téc",DATA_GOC!$B:$B,DATE($D$2,$B$2,J$4)),0))</f>
        <v>0</v>
      </c>
      <c r="K398" s="251">
        <f>IF(K$4&gt;DAY(EOMONTH(DATE($D$2,$B$2,1),0)),"",IFERROR(SUMIFS(DATA_GOC!$H:$H,DATA_GOC!$A:$A,"BOM",DATA_GOC!$D:$D,$B398,DATA_GOC!$E:$E,"Dầu cầu",DATA_GOC!$F:$F,"Xuất nội bộ từ téc",DATA_GOC!$B:$B,DATE($D$2,$B$2,K$4)),0))</f>
        <v>0</v>
      </c>
      <c r="L398" s="251">
        <f>IF(L$4&gt;DAY(EOMONTH(DATE($D$2,$B$2,1),0)),"",IFERROR(SUMIFS(DATA_GOC!$H:$H,DATA_GOC!$A:$A,"BOM",DATA_GOC!$D:$D,$B398,DATA_GOC!$E:$E,"Dầu cầu",DATA_GOC!$F:$F,"Xuất nội bộ từ téc",DATA_GOC!$B:$B,DATE($D$2,$B$2,L$4)),0))</f>
        <v>0</v>
      </c>
      <c r="M398" s="251">
        <f>IF(M$4&gt;DAY(EOMONTH(DATE($D$2,$B$2,1),0)),"",IFERROR(SUMIFS(DATA_GOC!$H:$H,DATA_GOC!$A:$A,"BOM",DATA_GOC!$D:$D,$B398,DATA_GOC!$E:$E,"Dầu cầu",DATA_GOC!$F:$F,"Xuất nội bộ từ téc",DATA_GOC!$B:$B,DATE($D$2,$B$2,M$4)),0))</f>
        <v>0</v>
      </c>
      <c r="N398" s="251">
        <f>IF(N$4&gt;DAY(EOMONTH(DATE($D$2,$B$2,1),0)),"",IFERROR(SUMIFS(DATA_GOC!$H:$H,DATA_GOC!$A:$A,"BOM",DATA_GOC!$D:$D,$B398,DATA_GOC!$E:$E,"Dầu cầu",DATA_GOC!$F:$F,"Xuất nội bộ từ téc",DATA_GOC!$B:$B,DATE($D$2,$B$2,N$4)),0))</f>
        <v>0</v>
      </c>
      <c r="O398" s="251">
        <f>IF(O$4&gt;DAY(EOMONTH(DATE($D$2,$B$2,1),0)),"",IFERROR(SUMIFS(DATA_GOC!$H:$H,DATA_GOC!$A:$A,"BOM",DATA_GOC!$D:$D,$B398,DATA_GOC!$E:$E,"Dầu cầu",DATA_GOC!$F:$F,"Xuất nội bộ từ téc",DATA_GOC!$B:$B,DATE($D$2,$B$2,O$4)),0))</f>
        <v>0</v>
      </c>
      <c r="P398" s="251">
        <f>IF(P$4&gt;DAY(EOMONTH(DATE($D$2,$B$2,1),0)),"",IFERROR(SUMIFS(DATA_GOC!$H:$H,DATA_GOC!$A:$A,"BOM",DATA_GOC!$D:$D,$B398,DATA_GOC!$E:$E,"Dầu cầu",DATA_GOC!$F:$F,"Xuất nội bộ từ téc",DATA_GOC!$B:$B,DATE($D$2,$B$2,P$4)),0))</f>
        <v>0</v>
      </c>
      <c r="Q398" s="251">
        <f>IF(Q$4&gt;DAY(EOMONTH(DATE($D$2,$B$2,1),0)),"",IFERROR(SUMIFS(DATA_GOC!$H:$H,DATA_GOC!$A:$A,"BOM",DATA_GOC!$D:$D,$B398,DATA_GOC!$E:$E,"Dầu cầu",DATA_GOC!$F:$F,"Xuất nội bộ từ téc",DATA_GOC!$B:$B,DATE($D$2,$B$2,Q$4)),0))</f>
        <v>0</v>
      </c>
      <c r="R398" s="251">
        <f>IF(R$4&gt;DAY(EOMONTH(DATE($D$2,$B$2,1),0)),"",IFERROR(SUMIFS(DATA_GOC!$H:$H,DATA_GOC!$A:$A,"BOM",DATA_GOC!$D:$D,$B398,DATA_GOC!$E:$E,"Dầu cầu",DATA_GOC!$F:$F,"Xuất nội bộ từ téc",DATA_GOC!$B:$B,DATE($D$2,$B$2,R$4)),0))</f>
        <v>0</v>
      </c>
      <c r="S398" s="251">
        <f>IF(S$4&gt;DAY(EOMONTH(DATE($D$2,$B$2,1),0)),"",IFERROR(SUMIFS(DATA_GOC!$H:$H,DATA_GOC!$A:$A,"BOM",DATA_GOC!$D:$D,$B398,DATA_GOC!$E:$E,"Dầu cầu",DATA_GOC!$F:$F,"Xuất nội bộ từ téc",DATA_GOC!$B:$B,DATE($D$2,$B$2,S$4)),0))</f>
        <v>0</v>
      </c>
      <c r="T398" s="251">
        <f>IF(T$4&gt;DAY(EOMONTH(DATE($D$2,$B$2,1),0)),"",IFERROR(SUMIFS(DATA_GOC!$H:$H,DATA_GOC!$A:$A,"BOM",DATA_GOC!$D:$D,$B398,DATA_GOC!$E:$E,"Dầu cầu",DATA_GOC!$F:$F,"Xuất nội bộ từ téc",DATA_GOC!$B:$B,DATE($D$2,$B$2,T$4)),0))</f>
        <v>0</v>
      </c>
      <c r="U398" s="251">
        <f>IF(U$4&gt;DAY(EOMONTH(DATE($D$2,$B$2,1),0)),"",IFERROR(SUMIFS(DATA_GOC!$H:$H,DATA_GOC!$A:$A,"BOM",DATA_GOC!$D:$D,$B398,DATA_GOC!$E:$E,"Dầu cầu",DATA_GOC!$F:$F,"Xuất nội bộ từ téc",DATA_GOC!$B:$B,DATE($D$2,$B$2,U$4)),0))</f>
        <v>0</v>
      </c>
      <c r="V398" s="251">
        <f>IF(V$4&gt;DAY(EOMONTH(DATE($D$2,$B$2,1),0)),"",IFERROR(SUMIFS(DATA_GOC!$H:$H,DATA_GOC!$A:$A,"BOM",DATA_GOC!$D:$D,$B398,DATA_GOC!$E:$E,"Dầu cầu",DATA_GOC!$F:$F,"Xuất nội bộ từ téc",DATA_GOC!$B:$B,DATE($D$2,$B$2,V$4)),0))</f>
        <v>0</v>
      </c>
      <c r="W398" s="251">
        <f>IF(W$4&gt;DAY(EOMONTH(DATE($D$2,$B$2,1),0)),"",IFERROR(SUMIFS(DATA_GOC!$H:$H,DATA_GOC!$A:$A,"BOM",DATA_GOC!$D:$D,$B398,DATA_GOC!$E:$E,"Dầu cầu",DATA_GOC!$F:$F,"Xuất nội bộ từ téc",DATA_GOC!$B:$B,DATE($D$2,$B$2,W$4)),0))</f>
        <v>0</v>
      </c>
      <c r="X398" s="251">
        <f>IF(X$4&gt;DAY(EOMONTH(DATE($D$2,$B$2,1),0)),"",IFERROR(SUMIFS(DATA_GOC!$H:$H,DATA_GOC!$A:$A,"BOM",DATA_GOC!$D:$D,$B398,DATA_GOC!$E:$E,"Dầu cầu",DATA_GOC!$F:$F,"Xuất nội bộ từ téc",DATA_GOC!$B:$B,DATE($D$2,$B$2,X$4)),0))</f>
        <v>0</v>
      </c>
      <c r="Y398" s="251">
        <f>IF(Y$4&gt;DAY(EOMONTH(DATE($D$2,$B$2,1),0)),"",IFERROR(SUMIFS(DATA_GOC!$H:$H,DATA_GOC!$A:$A,"BOM",DATA_GOC!$D:$D,$B398,DATA_GOC!$E:$E,"Dầu cầu",DATA_GOC!$F:$F,"Xuất nội bộ từ téc",DATA_GOC!$B:$B,DATE($D$2,$B$2,Y$4)),0))</f>
        <v>0</v>
      </c>
      <c r="Z398" s="251">
        <f>IF(Z$4&gt;DAY(EOMONTH(DATE($D$2,$B$2,1),0)),"",IFERROR(SUMIFS(DATA_GOC!$H:$H,DATA_GOC!$A:$A,"BOM",DATA_GOC!$D:$D,$B398,DATA_GOC!$E:$E,"Dầu cầu",DATA_GOC!$F:$F,"Xuất nội bộ từ téc",DATA_GOC!$B:$B,DATE($D$2,$B$2,Z$4)),0))</f>
        <v>0</v>
      </c>
      <c r="AA398" s="251">
        <f>IF(AA$4&gt;DAY(EOMONTH(DATE($D$2,$B$2,1),0)),"",IFERROR(SUMIFS(DATA_GOC!$H:$H,DATA_GOC!$A:$A,"BOM",DATA_GOC!$D:$D,$B398,DATA_GOC!$E:$E,"Dầu cầu",DATA_GOC!$F:$F,"Xuất nội bộ từ téc",DATA_GOC!$B:$B,DATE($D$2,$B$2,AA$4)),0))</f>
        <v>0</v>
      </c>
      <c r="AB398" s="251">
        <f>IF(AB$4&gt;DAY(EOMONTH(DATE($D$2,$B$2,1),0)),"",IFERROR(SUMIFS(DATA_GOC!$H:$H,DATA_GOC!$A:$A,"BOM",DATA_GOC!$D:$D,$B398,DATA_GOC!$E:$E,"Dầu cầu",DATA_GOC!$F:$F,"Xuất nội bộ từ téc",DATA_GOC!$B:$B,DATE($D$2,$B$2,AB$4)),0))</f>
        <v>0</v>
      </c>
      <c r="AC398" s="251">
        <f>IF(AC$4&gt;DAY(EOMONTH(DATE($D$2,$B$2,1),0)),"",IFERROR(SUMIFS(DATA_GOC!$H:$H,DATA_GOC!$A:$A,"BOM",DATA_GOC!$D:$D,$B398,DATA_GOC!$E:$E,"Dầu cầu",DATA_GOC!$F:$F,"Xuất nội bộ từ téc",DATA_GOC!$B:$B,DATE($D$2,$B$2,AC$4)),0))</f>
        <v>0</v>
      </c>
      <c r="AD398" s="251">
        <f>IF(AD$4&gt;DAY(EOMONTH(DATE($D$2,$B$2,1),0)),"",IFERROR(SUMIFS(DATA_GOC!$H:$H,DATA_GOC!$A:$A,"BOM",DATA_GOC!$D:$D,$B398,DATA_GOC!$E:$E,"Dầu cầu",DATA_GOC!$F:$F,"Xuất nội bộ từ téc",DATA_GOC!$B:$B,DATE($D$2,$B$2,AD$4)),0))</f>
        <v>0</v>
      </c>
      <c r="AE398" s="251">
        <f>IF(AE$4&gt;DAY(EOMONTH(DATE($D$2,$B$2,1),0)),"",IFERROR(SUMIFS(DATA_GOC!$H:$H,DATA_GOC!$A:$A,"BOM",DATA_GOC!$D:$D,$B398,DATA_GOC!$E:$E,"Dầu cầu",DATA_GOC!$F:$F,"Xuất nội bộ từ téc",DATA_GOC!$B:$B,DATE($D$2,$B$2,AE$4)),0))</f>
        <v>0</v>
      </c>
      <c r="AF398" s="251">
        <f>IF(AF$4&gt;DAY(EOMONTH(DATE($D$2,$B$2,1),0)),"",IFERROR(SUMIFS(DATA_GOC!$H:$H,DATA_GOC!$A:$A,"BOM",DATA_GOC!$D:$D,$B398,DATA_GOC!$E:$E,"Dầu cầu",DATA_GOC!$F:$F,"Xuất nội bộ từ téc",DATA_GOC!$B:$B,DATE($D$2,$B$2,AF$4)),0))</f>
        <v>0</v>
      </c>
      <c r="AG398" s="251">
        <f>IF(AG$4&gt;DAY(EOMONTH(DATE($D$2,$B$2,1),0)),"",IFERROR(SUMIFS(DATA_GOC!$H:$H,DATA_GOC!$A:$A,"BOM",DATA_GOC!$D:$D,$B398,DATA_GOC!$E:$E,"Dầu cầu",DATA_GOC!$F:$F,"Xuất nội bộ từ téc",DATA_GOC!$B:$B,DATE($D$2,$B$2,AG$4)),0))</f>
        <v>0</v>
      </c>
      <c r="AH398" s="252">
        <f t="shared" si="19"/>
        <v>0</v>
      </c>
      <c r="AI398" s="241"/>
      <c r="AJ398" s="242">
        <f>IF($B398="","",SUMIFS(TINH_TEC!$K$233:$K$9232,TINH_TEC!$H$233:$H$9232,$B398,TINH_TEC!$C$233:$C$9232,"Dầu cầu",TINH_TEC!$F$233:$F$9232,$B$2,TINH_TEC!$G$233:$G$9232,$D$2,TINH_TEC!$B$233:$B$9232,"Đã chốt"))</f>
        <v>0</v>
      </c>
      <c r="AK398" s="242">
        <f>IF($B398="","",SUMIFS(TINH_TEC!$J$233:$J$9232,TINH_TEC!$H$233:$H$9232,$B398,TINH_TEC!$C$233:$C$9232,"Dầu cầu",TINH_TEC!$F$233:$F$9232,$B$2,TINH_TEC!$G$233:$G$9232,$D$2,TINH_TEC!$B$233:$B$9232,"Đã chốt"))</f>
        <v>0</v>
      </c>
      <c r="AL398" s="242">
        <f t="shared" si="20"/>
        <v>0</v>
      </c>
    </row>
    <row r="399" ht="15.75" customHeight="1">
      <c r="A399" s="237">
        <f>IF($B399&lt;&gt;"",28,"")</f>
        <v>28</v>
      </c>
      <c r="B399" s="250" t="str">
        <f t="array" ref="B399">IFERROR(INDEX(DANH_MUC!$E:$E,31),"")</f>
        <v>28C05661</v>
      </c>
      <c r="C399" s="251">
        <f>IF(C$4&gt;DAY(EOMONTH(DATE($D$2,$B$2,1),0)),"",IFERROR(SUMIFS(DATA_GOC!$H:$H,DATA_GOC!$A:$A,"BOM",DATA_GOC!$D:$D,$B399,DATA_GOC!$E:$E,"Dầu cầu",DATA_GOC!$F:$F,"Xuất nội bộ từ téc",DATA_GOC!$B:$B,DATE($D$2,$B$2,C$4)),0))</f>
        <v>0</v>
      </c>
      <c r="D399" s="251">
        <f>IF(D$4&gt;DAY(EOMONTH(DATE($D$2,$B$2,1),0)),"",IFERROR(SUMIFS(DATA_GOC!$H:$H,DATA_GOC!$A:$A,"BOM",DATA_GOC!$D:$D,$B399,DATA_GOC!$E:$E,"Dầu cầu",DATA_GOC!$F:$F,"Xuất nội bộ từ téc",DATA_GOC!$B:$B,DATE($D$2,$B$2,D$4)),0))</f>
        <v>0</v>
      </c>
      <c r="E399" s="251">
        <f>IF(E$4&gt;DAY(EOMONTH(DATE($D$2,$B$2,1),0)),"",IFERROR(SUMIFS(DATA_GOC!$H:$H,DATA_GOC!$A:$A,"BOM",DATA_GOC!$D:$D,$B399,DATA_GOC!$E:$E,"Dầu cầu",DATA_GOC!$F:$F,"Xuất nội bộ từ téc",DATA_GOC!$B:$B,DATE($D$2,$B$2,E$4)),0))</f>
        <v>0</v>
      </c>
      <c r="F399" s="251">
        <f>IF(F$4&gt;DAY(EOMONTH(DATE($D$2,$B$2,1),0)),"",IFERROR(SUMIFS(DATA_GOC!$H:$H,DATA_GOC!$A:$A,"BOM",DATA_GOC!$D:$D,$B399,DATA_GOC!$E:$E,"Dầu cầu",DATA_GOC!$F:$F,"Xuất nội bộ từ téc",DATA_GOC!$B:$B,DATE($D$2,$B$2,F$4)),0))</f>
        <v>0</v>
      </c>
      <c r="G399" s="251">
        <f>IF(G$4&gt;DAY(EOMONTH(DATE($D$2,$B$2,1),0)),"",IFERROR(SUMIFS(DATA_GOC!$H:$H,DATA_GOC!$A:$A,"BOM",DATA_GOC!$D:$D,$B399,DATA_GOC!$E:$E,"Dầu cầu",DATA_GOC!$F:$F,"Xuất nội bộ từ téc",DATA_GOC!$B:$B,DATE($D$2,$B$2,G$4)),0))</f>
        <v>0</v>
      </c>
      <c r="H399" s="251">
        <f>IF(H$4&gt;DAY(EOMONTH(DATE($D$2,$B$2,1),0)),"",IFERROR(SUMIFS(DATA_GOC!$H:$H,DATA_GOC!$A:$A,"BOM",DATA_GOC!$D:$D,$B399,DATA_GOC!$E:$E,"Dầu cầu",DATA_GOC!$F:$F,"Xuất nội bộ từ téc",DATA_GOC!$B:$B,DATE($D$2,$B$2,H$4)),0))</f>
        <v>0</v>
      </c>
      <c r="I399" s="251">
        <f>IF(I$4&gt;DAY(EOMONTH(DATE($D$2,$B$2,1),0)),"",IFERROR(SUMIFS(DATA_GOC!$H:$H,DATA_GOC!$A:$A,"BOM",DATA_GOC!$D:$D,$B399,DATA_GOC!$E:$E,"Dầu cầu",DATA_GOC!$F:$F,"Xuất nội bộ từ téc",DATA_GOC!$B:$B,DATE($D$2,$B$2,I$4)),0))</f>
        <v>0</v>
      </c>
      <c r="J399" s="251">
        <f>IF(J$4&gt;DAY(EOMONTH(DATE($D$2,$B$2,1),0)),"",IFERROR(SUMIFS(DATA_GOC!$H:$H,DATA_GOC!$A:$A,"BOM",DATA_GOC!$D:$D,$B399,DATA_GOC!$E:$E,"Dầu cầu",DATA_GOC!$F:$F,"Xuất nội bộ từ téc",DATA_GOC!$B:$B,DATE($D$2,$B$2,J$4)),0))</f>
        <v>0</v>
      </c>
      <c r="K399" s="251">
        <f>IF(K$4&gt;DAY(EOMONTH(DATE($D$2,$B$2,1),0)),"",IFERROR(SUMIFS(DATA_GOC!$H:$H,DATA_GOC!$A:$A,"BOM",DATA_GOC!$D:$D,$B399,DATA_GOC!$E:$E,"Dầu cầu",DATA_GOC!$F:$F,"Xuất nội bộ từ téc",DATA_GOC!$B:$B,DATE($D$2,$B$2,K$4)),0))</f>
        <v>0</v>
      </c>
      <c r="L399" s="251">
        <f>IF(L$4&gt;DAY(EOMONTH(DATE($D$2,$B$2,1),0)),"",IFERROR(SUMIFS(DATA_GOC!$H:$H,DATA_GOC!$A:$A,"BOM",DATA_GOC!$D:$D,$B399,DATA_GOC!$E:$E,"Dầu cầu",DATA_GOC!$F:$F,"Xuất nội bộ từ téc",DATA_GOC!$B:$B,DATE($D$2,$B$2,L$4)),0))</f>
        <v>0</v>
      </c>
      <c r="M399" s="251">
        <f>IF(M$4&gt;DAY(EOMONTH(DATE($D$2,$B$2,1),0)),"",IFERROR(SUMIFS(DATA_GOC!$H:$H,DATA_GOC!$A:$A,"BOM",DATA_GOC!$D:$D,$B399,DATA_GOC!$E:$E,"Dầu cầu",DATA_GOC!$F:$F,"Xuất nội bộ từ téc",DATA_GOC!$B:$B,DATE($D$2,$B$2,M$4)),0))</f>
        <v>0</v>
      </c>
      <c r="N399" s="251">
        <f>IF(N$4&gt;DAY(EOMONTH(DATE($D$2,$B$2,1),0)),"",IFERROR(SUMIFS(DATA_GOC!$H:$H,DATA_GOC!$A:$A,"BOM",DATA_GOC!$D:$D,$B399,DATA_GOC!$E:$E,"Dầu cầu",DATA_GOC!$F:$F,"Xuất nội bộ từ téc",DATA_GOC!$B:$B,DATE($D$2,$B$2,N$4)),0))</f>
        <v>0</v>
      </c>
      <c r="O399" s="251">
        <f>IF(O$4&gt;DAY(EOMONTH(DATE($D$2,$B$2,1),0)),"",IFERROR(SUMIFS(DATA_GOC!$H:$H,DATA_GOC!$A:$A,"BOM",DATA_GOC!$D:$D,$B399,DATA_GOC!$E:$E,"Dầu cầu",DATA_GOC!$F:$F,"Xuất nội bộ từ téc",DATA_GOC!$B:$B,DATE($D$2,$B$2,O$4)),0))</f>
        <v>0</v>
      </c>
      <c r="P399" s="251">
        <f>IF(P$4&gt;DAY(EOMONTH(DATE($D$2,$B$2,1),0)),"",IFERROR(SUMIFS(DATA_GOC!$H:$H,DATA_GOC!$A:$A,"BOM",DATA_GOC!$D:$D,$B399,DATA_GOC!$E:$E,"Dầu cầu",DATA_GOC!$F:$F,"Xuất nội bộ từ téc",DATA_GOC!$B:$B,DATE($D$2,$B$2,P$4)),0))</f>
        <v>0</v>
      </c>
      <c r="Q399" s="251">
        <f>IF(Q$4&gt;DAY(EOMONTH(DATE($D$2,$B$2,1),0)),"",IFERROR(SUMIFS(DATA_GOC!$H:$H,DATA_GOC!$A:$A,"BOM",DATA_GOC!$D:$D,$B399,DATA_GOC!$E:$E,"Dầu cầu",DATA_GOC!$F:$F,"Xuất nội bộ từ téc",DATA_GOC!$B:$B,DATE($D$2,$B$2,Q$4)),0))</f>
        <v>0</v>
      </c>
      <c r="R399" s="251">
        <f>IF(R$4&gt;DAY(EOMONTH(DATE($D$2,$B$2,1),0)),"",IFERROR(SUMIFS(DATA_GOC!$H:$H,DATA_GOC!$A:$A,"BOM",DATA_GOC!$D:$D,$B399,DATA_GOC!$E:$E,"Dầu cầu",DATA_GOC!$F:$F,"Xuất nội bộ từ téc",DATA_GOC!$B:$B,DATE($D$2,$B$2,R$4)),0))</f>
        <v>0</v>
      </c>
      <c r="S399" s="251">
        <f>IF(S$4&gt;DAY(EOMONTH(DATE($D$2,$B$2,1),0)),"",IFERROR(SUMIFS(DATA_GOC!$H:$H,DATA_GOC!$A:$A,"BOM",DATA_GOC!$D:$D,$B399,DATA_GOC!$E:$E,"Dầu cầu",DATA_GOC!$F:$F,"Xuất nội bộ từ téc",DATA_GOC!$B:$B,DATE($D$2,$B$2,S$4)),0))</f>
        <v>0</v>
      </c>
      <c r="T399" s="251">
        <f>IF(T$4&gt;DAY(EOMONTH(DATE($D$2,$B$2,1),0)),"",IFERROR(SUMIFS(DATA_GOC!$H:$H,DATA_GOC!$A:$A,"BOM",DATA_GOC!$D:$D,$B399,DATA_GOC!$E:$E,"Dầu cầu",DATA_GOC!$F:$F,"Xuất nội bộ từ téc",DATA_GOC!$B:$B,DATE($D$2,$B$2,T$4)),0))</f>
        <v>0</v>
      </c>
      <c r="U399" s="251">
        <f>IF(U$4&gt;DAY(EOMONTH(DATE($D$2,$B$2,1),0)),"",IFERROR(SUMIFS(DATA_GOC!$H:$H,DATA_GOC!$A:$A,"BOM",DATA_GOC!$D:$D,$B399,DATA_GOC!$E:$E,"Dầu cầu",DATA_GOC!$F:$F,"Xuất nội bộ từ téc",DATA_GOC!$B:$B,DATE($D$2,$B$2,U$4)),0))</f>
        <v>0</v>
      </c>
      <c r="V399" s="251">
        <f>IF(V$4&gt;DAY(EOMONTH(DATE($D$2,$B$2,1),0)),"",IFERROR(SUMIFS(DATA_GOC!$H:$H,DATA_GOC!$A:$A,"BOM",DATA_GOC!$D:$D,$B399,DATA_GOC!$E:$E,"Dầu cầu",DATA_GOC!$F:$F,"Xuất nội bộ từ téc",DATA_GOC!$B:$B,DATE($D$2,$B$2,V$4)),0))</f>
        <v>0</v>
      </c>
      <c r="W399" s="251">
        <f>IF(W$4&gt;DAY(EOMONTH(DATE($D$2,$B$2,1),0)),"",IFERROR(SUMIFS(DATA_GOC!$H:$H,DATA_GOC!$A:$A,"BOM",DATA_GOC!$D:$D,$B399,DATA_GOC!$E:$E,"Dầu cầu",DATA_GOC!$F:$F,"Xuất nội bộ từ téc",DATA_GOC!$B:$B,DATE($D$2,$B$2,W$4)),0))</f>
        <v>0</v>
      </c>
      <c r="X399" s="251">
        <f>IF(X$4&gt;DAY(EOMONTH(DATE($D$2,$B$2,1),0)),"",IFERROR(SUMIFS(DATA_GOC!$H:$H,DATA_GOC!$A:$A,"BOM",DATA_GOC!$D:$D,$B399,DATA_GOC!$E:$E,"Dầu cầu",DATA_GOC!$F:$F,"Xuất nội bộ từ téc",DATA_GOC!$B:$B,DATE($D$2,$B$2,X$4)),0))</f>
        <v>0</v>
      </c>
      <c r="Y399" s="251">
        <f>IF(Y$4&gt;DAY(EOMONTH(DATE($D$2,$B$2,1),0)),"",IFERROR(SUMIFS(DATA_GOC!$H:$H,DATA_GOC!$A:$A,"BOM",DATA_GOC!$D:$D,$B399,DATA_GOC!$E:$E,"Dầu cầu",DATA_GOC!$F:$F,"Xuất nội bộ từ téc",DATA_GOC!$B:$B,DATE($D$2,$B$2,Y$4)),0))</f>
        <v>0</v>
      </c>
      <c r="Z399" s="251">
        <f>IF(Z$4&gt;DAY(EOMONTH(DATE($D$2,$B$2,1),0)),"",IFERROR(SUMIFS(DATA_GOC!$H:$H,DATA_GOC!$A:$A,"BOM",DATA_GOC!$D:$D,$B399,DATA_GOC!$E:$E,"Dầu cầu",DATA_GOC!$F:$F,"Xuất nội bộ từ téc",DATA_GOC!$B:$B,DATE($D$2,$B$2,Z$4)),0))</f>
        <v>0</v>
      </c>
      <c r="AA399" s="251">
        <f>IF(AA$4&gt;DAY(EOMONTH(DATE($D$2,$B$2,1),0)),"",IFERROR(SUMIFS(DATA_GOC!$H:$H,DATA_GOC!$A:$A,"BOM",DATA_GOC!$D:$D,$B399,DATA_GOC!$E:$E,"Dầu cầu",DATA_GOC!$F:$F,"Xuất nội bộ từ téc",DATA_GOC!$B:$B,DATE($D$2,$B$2,AA$4)),0))</f>
        <v>0</v>
      </c>
      <c r="AB399" s="251">
        <f>IF(AB$4&gt;DAY(EOMONTH(DATE($D$2,$B$2,1),0)),"",IFERROR(SUMIFS(DATA_GOC!$H:$H,DATA_GOC!$A:$A,"BOM",DATA_GOC!$D:$D,$B399,DATA_GOC!$E:$E,"Dầu cầu",DATA_GOC!$F:$F,"Xuất nội bộ từ téc",DATA_GOC!$B:$B,DATE($D$2,$B$2,AB$4)),0))</f>
        <v>0</v>
      </c>
      <c r="AC399" s="251">
        <f>IF(AC$4&gt;DAY(EOMONTH(DATE($D$2,$B$2,1),0)),"",IFERROR(SUMIFS(DATA_GOC!$H:$H,DATA_GOC!$A:$A,"BOM",DATA_GOC!$D:$D,$B399,DATA_GOC!$E:$E,"Dầu cầu",DATA_GOC!$F:$F,"Xuất nội bộ từ téc",DATA_GOC!$B:$B,DATE($D$2,$B$2,AC$4)),0))</f>
        <v>0</v>
      </c>
      <c r="AD399" s="251">
        <f>IF(AD$4&gt;DAY(EOMONTH(DATE($D$2,$B$2,1),0)),"",IFERROR(SUMIFS(DATA_GOC!$H:$H,DATA_GOC!$A:$A,"BOM",DATA_GOC!$D:$D,$B399,DATA_GOC!$E:$E,"Dầu cầu",DATA_GOC!$F:$F,"Xuất nội bộ từ téc",DATA_GOC!$B:$B,DATE($D$2,$B$2,AD$4)),0))</f>
        <v>0</v>
      </c>
      <c r="AE399" s="251">
        <f>IF(AE$4&gt;DAY(EOMONTH(DATE($D$2,$B$2,1),0)),"",IFERROR(SUMIFS(DATA_GOC!$H:$H,DATA_GOC!$A:$A,"BOM",DATA_GOC!$D:$D,$B399,DATA_GOC!$E:$E,"Dầu cầu",DATA_GOC!$F:$F,"Xuất nội bộ từ téc",DATA_GOC!$B:$B,DATE($D$2,$B$2,AE$4)),0))</f>
        <v>0</v>
      </c>
      <c r="AF399" s="251">
        <f>IF(AF$4&gt;DAY(EOMONTH(DATE($D$2,$B$2,1),0)),"",IFERROR(SUMIFS(DATA_GOC!$H:$H,DATA_GOC!$A:$A,"BOM",DATA_GOC!$D:$D,$B399,DATA_GOC!$E:$E,"Dầu cầu",DATA_GOC!$F:$F,"Xuất nội bộ từ téc",DATA_GOC!$B:$B,DATE($D$2,$B$2,AF$4)),0))</f>
        <v>0</v>
      </c>
      <c r="AG399" s="251">
        <f>IF(AG$4&gt;DAY(EOMONTH(DATE($D$2,$B$2,1),0)),"",IFERROR(SUMIFS(DATA_GOC!$H:$H,DATA_GOC!$A:$A,"BOM",DATA_GOC!$D:$D,$B399,DATA_GOC!$E:$E,"Dầu cầu",DATA_GOC!$F:$F,"Xuất nội bộ từ téc",DATA_GOC!$B:$B,DATE($D$2,$B$2,AG$4)),0))</f>
        <v>0</v>
      </c>
      <c r="AH399" s="252">
        <f t="shared" si="19"/>
        <v>0</v>
      </c>
      <c r="AI399" s="241"/>
      <c r="AJ399" s="242">
        <f>IF($B399="","",SUMIFS(TINH_TEC!$K$233:$K$9232,TINH_TEC!$H$233:$H$9232,$B399,TINH_TEC!$C$233:$C$9232,"Dầu cầu",TINH_TEC!$F$233:$F$9232,$B$2,TINH_TEC!$G$233:$G$9232,$D$2,TINH_TEC!$B$233:$B$9232,"Đã chốt"))</f>
        <v>0</v>
      </c>
      <c r="AK399" s="242">
        <f>IF($B399="","",SUMIFS(TINH_TEC!$J$233:$J$9232,TINH_TEC!$H$233:$H$9232,$B399,TINH_TEC!$C$233:$C$9232,"Dầu cầu",TINH_TEC!$F$233:$F$9232,$B$2,TINH_TEC!$G$233:$G$9232,$D$2,TINH_TEC!$B$233:$B$9232,"Đã chốt"))</f>
        <v>0</v>
      </c>
      <c r="AL399" s="242">
        <f t="shared" si="20"/>
        <v>0</v>
      </c>
    </row>
    <row r="400" ht="15.75" customHeight="1">
      <c r="A400" s="237">
        <f>IF($B400&lt;&gt;"",29,"")</f>
        <v>29</v>
      </c>
      <c r="B400" s="250" t="str">
        <f t="array" ref="B400">IFERROR(INDEX(DANH_MUC!$E:$E,32),"")</f>
        <v>28C05739</v>
      </c>
      <c r="C400" s="251">
        <f>IF(C$4&gt;DAY(EOMONTH(DATE($D$2,$B$2,1),0)),"",IFERROR(SUMIFS(DATA_GOC!$H:$H,DATA_GOC!$A:$A,"BOM",DATA_GOC!$D:$D,$B400,DATA_GOC!$E:$E,"Dầu cầu",DATA_GOC!$F:$F,"Xuất nội bộ từ téc",DATA_GOC!$B:$B,DATE($D$2,$B$2,C$4)),0))</f>
        <v>0</v>
      </c>
      <c r="D400" s="251">
        <f>IF(D$4&gt;DAY(EOMONTH(DATE($D$2,$B$2,1),0)),"",IFERROR(SUMIFS(DATA_GOC!$H:$H,DATA_GOC!$A:$A,"BOM",DATA_GOC!$D:$D,$B400,DATA_GOC!$E:$E,"Dầu cầu",DATA_GOC!$F:$F,"Xuất nội bộ từ téc",DATA_GOC!$B:$B,DATE($D$2,$B$2,D$4)),0))</f>
        <v>0</v>
      </c>
      <c r="E400" s="251">
        <f>IF(E$4&gt;DAY(EOMONTH(DATE($D$2,$B$2,1),0)),"",IFERROR(SUMIFS(DATA_GOC!$H:$H,DATA_GOC!$A:$A,"BOM",DATA_GOC!$D:$D,$B400,DATA_GOC!$E:$E,"Dầu cầu",DATA_GOC!$F:$F,"Xuất nội bộ từ téc",DATA_GOC!$B:$B,DATE($D$2,$B$2,E$4)),0))</f>
        <v>0</v>
      </c>
      <c r="F400" s="251">
        <f>IF(F$4&gt;DAY(EOMONTH(DATE($D$2,$B$2,1),0)),"",IFERROR(SUMIFS(DATA_GOC!$H:$H,DATA_GOC!$A:$A,"BOM",DATA_GOC!$D:$D,$B400,DATA_GOC!$E:$E,"Dầu cầu",DATA_GOC!$F:$F,"Xuất nội bộ từ téc",DATA_GOC!$B:$B,DATE($D$2,$B$2,F$4)),0))</f>
        <v>0</v>
      </c>
      <c r="G400" s="251">
        <f>IF(G$4&gt;DAY(EOMONTH(DATE($D$2,$B$2,1),0)),"",IFERROR(SUMIFS(DATA_GOC!$H:$H,DATA_GOC!$A:$A,"BOM",DATA_GOC!$D:$D,$B400,DATA_GOC!$E:$E,"Dầu cầu",DATA_GOC!$F:$F,"Xuất nội bộ từ téc",DATA_GOC!$B:$B,DATE($D$2,$B$2,G$4)),0))</f>
        <v>0</v>
      </c>
      <c r="H400" s="251">
        <f>IF(H$4&gt;DAY(EOMONTH(DATE($D$2,$B$2,1),0)),"",IFERROR(SUMIFS(DATA_GOC!$H:$H,DATA_GOC!$A:$A,"BOM",DATA_GOC!$D:$D,$B400,DATA_GOC!$E:$E,"Dầu cầu",DATA_GOC!$F:$F,"Xuất nội bộ từ téc",DATA_GOC!$B:$B,DATE($D$2,$B$2,H$4)),0))</f>
        <v>0</v>
      </c>
      <c r="I400" s="251">
        <f>IF(I$4&gt;DAY(EOMONTH(DATE($D$2,$B$2,1),0)),"",IFERROR(SUMIFS(DATA_GOC!$H:$H,DATA_GOC!$A:$A,"BOM",DATA_GOC!$D:$D,$B400,DATA_GOC!$E:$E,"Dầu cầu",DATA_GOC!$F:$F,"Xuất nội bộ từ téc",DATA_GOC!$B:$B,DATE($D$2,$B$2,I$4)),0))</f>
        <v>0</v>
      </c>
      <c r="J400" s="251">
        <f>IF(J$4&gt;DAY(EOMONTH(DATE($D$2,$B$2,1),0)),"",IFERROR(SUMIFS(DATA_GOC!$H:$H,DATA_GOC!$A:$A,"BOM",DATA_GOC!$D:$D,$B400,DATA_GOC!$E:$E,"Dầu cầu",DATA_GOC!$F:$F,"Xuất nội bộ từ téc",DATA_GOC!$B:$B,DATE($D$2,$B$2,J$4)),0))</f>
        <v>0</v>
      </c>
      <c r="K400" s="251">
        <f>IF(K$4&gt;DAY(EOMONTH(DATE($D$2,$B$2,1),0)),"",IFERROR(SUMIFS(DATA_GOC!$H:$H,DATA_GOC!$A:$A,"BOM",DATA_GOC!$D:$D,$B400,DATA_GOC!$E:$E,"Dầu cầu",DATA_GOC!$F:$F,"Xuất nội bộ từ téc",DATA_GOC!$B:$B,DATE($D$2,$B$2,K$4)),0))</f>
        <v>0</v>
      </c>
      <c r="L400" s="251">
        <f>IF(L$4&gt;DAY(EOMONTH(DATE($D$2,$B$2,1),0)),"",IFERROR(SUMIFS(DATA_GOC!$H:$H,DATA_GOC!$A:$A,"BOM",DATA_GOC!$D:$D,$B400,DATA_GOC!$E:$E,"Dầu cầu",DATA_GOC!$F:$F,"Xuất nội bộ từ téc",DATA_GOC!$B:$B,DATE($D$2,$B$2,L$4)),0))</f>
        <v>0</v>
      </c>
      <c r="M400" s="251">
        <f>IF(M$4&gt;DAY(EOMONTH(DATE($D$2,$B$2,1),0)),"",IFERROR(SUMIFS(DATA_GOC!$H:$H,DATA_GOC!$A:$A,"BOM",DATA_GOC!$D:$D,$B400,DATA_GOC!$E:$E,"Dầu cầu",DATA_GOC!$F:$F,"Xuất nội bộ từ téc",DATA_GOC!$B:$B,DATE($D$2,$B$2,M$4)),0))</f>
        <v>0</v>
      </c>
      <c r="N400" s="251">
        <f>IF(N$4&gt;DAY(EOMONTH(DATE($D$2,$B$2,1),0)),"",IFERROR(SUMIFS(DATA_GOC!$H:$H,DATA_GOC!$A:$A,"BOM",DATA_GOC!$D:$D,$B400,DATA_GOC!$E:$E,"Dầu cầu",DATA_GOC!$F:$F,"Xuất nội bộ từ téc",DATA_GOC!$B:$B,DATE($D$2,$B$2,N$4)),0))</f>
        <v>0</v>
      </c>
      <c r="O400" s="251">
        <f>IF(O$4&gt;DAY(EOMONTH(DATE($D$2,$B$2,1),0)),"",IFERROR(SUMIFS(DATA_GOC!$H:$H,DATA_GOC!$A:$A,"BOM",DATA_GOC!$D:$D,$B400,DATA_GOC!$E:$E,"Dầu cầu",DATA_GOC!$F:$F,"Xuất nội bộ từ téc",DATA_GOC!$B:$B,DATE($D$2,$B$2,O$4)),0))</f>
        <v>0</v>
      </c>
      <c r="P400" s="251">
        <f>IF(P$4&gt;DAY(EOMONTH(DATE($D$2,$B$2,1),0)),"",IFERROR(SUMIFS(DATA_GOC!$H:$H,DATA_GOC!$A:$A,"BOM",DATA_GOC!$D:$D,$B400,DATA_GOC!$E:$E,"Dầu cầu",DATA_GOC!$F:$F,"Xuất nội bộ từ téc",DATA_GOC!$B:$B,DATE($D$2,$B$2,P$4)),0))</f>
        <v>0</v>
      </c>
      <c r="Q400" s="251">
        <f>IF(Q$4&gt;DAY(EOMONTH(DATE($D$2,$B$2,1),0)),"",IFERROR(SUMIFS(DATA_GOC!$H:$H,DATA_GOC!$A:$A,"BOM",DATA_GOC!$D:$D,$B400,DATA_GOC!$E:$E,"Dầu cầu",DATA_GOC!$F:$F,"Xuất nội bộ từ téc",DATA_GOC!$B:$B,DATE($D$2,$B$2,Q$4)),0))</f>
        <v>0</v>
      </c>
      <c r="R400" s="251">
        <f>IF(R$4&gt;DAY(EOMONTH(DATE($D$2,$B$2,1),0)),"",IFERROR(SUMIFS(DATA_GOC!$H:$H,DATA_GOC!$A:$A,"BOM",DATA_GOC!$D:$D,$B400,DATA_GOC!$E:$E,"Dầu cầu",DATA_GOC!$F:$F,"Xuất nội bộ từ téc",DATA_GOC!$B:$B,DATE($D$2,$B$2,R$4)),0))</f>
        <v>0</v>
      </c>
      <c r="S400" s="251">
        <f>IF(S$4&gt;DAY(EOMONTH(DATE($D$2,$B$2,1),0)),"",IFERROR(SUMIFS(DATA_GOC!$H:$H,DATA_GOC!$A:$A,"BOM",DATA_GOC!$D:$D,$B400,DATA_GOC!$E:$E,"Dầu cầu",DATA_GOC!$F:$F,"Xuất nội bộ từ téc",DATA_GOC!$B:$B,DATE($D$2,$B$2,S$4)),0))</f>
        <v>0</v>
      </c>
      <c r="T400" s="251">
        <f>IF(T$4&gt;DAY(EOMONTH(DATE($D$2,$B$2,1),0)),"",IFERROR(SUMIFS(DATA_GOC!$H:$H,DATA_GOC!$A:$A,"BOM",DATA_GOC!$D:$D,$B400,DATA_GOC!$E:$E,"Dầu cầu",DATA_GOC!$F:$F,"Xuất nội bộ từ téc",DATA_GOC!$B:$B,DATE($D$2,$B$2,T$4)),0))</f>
        <v>0</v>
      </c>
      <c r="U400" s="251">
        <f>IF(U$4&gt;DAY(EOMONTH(DATE($D$2,$B$2,1),0)),"",IFERROR(SUMIFS(DATA_GOC!$H:$H,DATA_GOC!$A:$A,"BOM",DATA_GOC!$D:$D,$B400,DATA_GOC!$E:$E,"Dầu cầu",DATA_GOC!$F:$F,"Xuất nội bộ từ téc",DATA_GOC!$B:$B,DATE($D$2,$B$2,U$4)),0))</f>
        <v>0</v>
      </c>
      <c r="V400" s="251">
        <f>IF(V$4&gt;DAY(EOMONTH(DATE($D$2,$B$2,1),0)),"",IFERROR(SUMIFS(DATA_GOC!$H:$H,DATA_GOC!$A:$A,"BOM",DATA_GOC!$D:$D,$B400,DATA_GOC!$E:$E,"Dầu cầu",DATA_GOC!$F:$F,"Xuất nội bộ từ téc",DATA_GOC!$B:$B,DATE($D$2,$B$2,V$4)),0))</f>
        <v>0</v>
      </c>
      <c r="W400" s="251">
        <f>IF(W$4&gt;DAY(EOMONTH(DATE($D$2,$B$2,1),0)),"",IFERROR(SUMIFS(DATA_GOC!$H:$H,DATA_GOC!$A:$A,"BOM",DATA_GOC!$D:$D,$B400,DATA_GOC!$E:$E,"Dầu cầu",DATA_GOC!$F:$F,"Xuất nội bộ từ téc",DATA_GOC!$B:$B,DATE($D$2,$B$2,W$4)),0))</f>
        <v>0</v>
      </c>
      <c r="X400" s="251">
        <f>IF(X$4&gt;DAY(EOMONTH(DATE($D$2,$B$2,1),0)),"",IFERROR(SUMIFS(DATA_GOC!$H:$H,DATA_GOC!$A:$A,"BOM",DATA_GOC!$D:$D,$B400,DATA_GOC!$E:$E,"Dầu cầu",DATA_GOC!$F:$F,"Xuất nội bộ từ téc",DATA_GOC!$B:$B,DATE($D$2,$B$2,X$4)),0))</f>
        <v>0</v>
      </c>
      <c r="Y400" s="251">
        <f>IF(Y$4&gt;DAY(EOMONTH(DATE($D$2,$B$2,1),0)),"",IFERROR(SUMIFS(DATA_GOC!$H:$H,DATA_GOC!$A:$A,"BOM",DATA_GOC!$D:$D,$B400,DATA_GOC!$E:$E,"Dầu cầu",DATA_GOC!$F:$F,"Xuất nội bộ từ téc",DATA_GOC!$B:$B,DATE($D$2,$B$2,Y$4)),0))</f>
        <v>0</v>
      </c>
      <c r="Z400" s="251">
        <f>IF(Z$4&gt;DAY(EOMONTH(DATE($D$2,$B$2,1),0)),"",IFERROR(SUMIFS(DATA_GOC!$H:$H,DATA_GOC!$A:$A,"BOM",DATA_GOC!$D:$D,$B400,DATA_GOC!$E:$E,"Dầu cầu",DATA_GOC!$F:$F,"Xuất nội bộ từ téc",DATA_GOC!$B:$B,DATE($D$2,$B$2,Z$4)),0))</f>
        <v>0</v>
      </c>
      <c r="AA400" s="251">
        <f>IF(AA$4&gt;DAY(EOMONTH(DATE($D$2,$B$2,1),0)),"",IFERROR(SUMIFS(DATA_GOC!$H:$H,DATA_GOC!$A:$A,"BOM",DATA_GOC!$D:$D,$B400,DATA_GOC!$E:$E,"Dầu cầu",DATA_GOC!$F:$F,"Xuất nội bộ từ téc",DATA_GOC!$B:$B,DATE($D$2,$B$2,AA$4)),0))</f>
        <v>0</v>
      </c>
      <c r="AB400" s="251">
        <f>IF(AB$4&gt;DAY(EOMONTH(DATE($D$2,$B$2,1),0)),"",IFERROR(SUMIFS(DATA_GOC!$H:$H,DATA_GOC!$A:$A,"BOM",DATA_GOC!$D:$D,$B400,DATA_GOC!$E:$E,"Dầu cầu",DATA_GOC!$F:$F,"Xuất nội bộ từ téc",DATA_GOC!$B:$B,DATE($D$2,$B$2,AB$4)),0))</f>
        <v>0</v>
      </c>
      <c r="AC400" s="251">
        <f>IF(AC$4&gt;DAY(EOMONTH(DATE($D$2,$B$2,1),0)),"",IFERROR(SUMIFS(DATA_GOC!$H:$H,DATA_GOC!$A:$A,"BOM",DATA_GOC!$D:$D,$B400,DATA_GOC!$E:$E,"Dầu cầu",DATA_GOC!$F:$F,"Xuất nội bộ từ téc",DATA_GOC!$B:$B,DATE($D$2,$B$2,AC$4)),0))</f>
        <v>0</v>
      </c>
      <c r="AD400" s="251">
        <f>IF(AD$4&gt;DAY(EOMONTH(DATE($D$2,$B$2,1),0)),"",IFERROR(SUMIFS(DATA_GOC!$H:$H,DATA_GOC!$A:$A,"BOM",DATA_GOC!$D:$D,$B400,DATA_GOC!$E:$E,"Dầu cầu",DATA_GOC!$F:$F,"Xuất nội bộ từ téc",DATA_GOC!$B:$B,DATE($D$2,$B$2,AD$4)),0))</f>
        <v>0</v>
      </c>
      <c r="AE400" s="251">
        <f>IF(AE$4&gt;DAY(EOMONTH(DATE($D$2,$B$2,1),0)),"",IFERROR(SUMIFS(DATA_GOC!$H:$H,DATA_GOC!$A:$A,"BOM",DATA_GOC!$D:$D,$B400,DATA_GOC!$E:$E,"Dầu cầu",DATA_GOC!$F:$F,"Xuất nội bộ từ téc",DATA_GOC!$B:$B,DATE($D$2,$B$2,AE$4)),0))</f>
        <v>0</v>
      </c>
      <c r="AF400" s="251">
        <f>IF(AF$4&gt;DAY(EOMONTH(DATE($D$2,$B$2,1),0)),"",IFERROR(SUMIFS(DATA_GOC!$H:$H,DATA_GOC!$A:$A,"BOM",DATA_GOC!$D:$D,$B400,DATA_GOC!$E:$E,"Dầu cầu",DATA_GOC!$F:$F,"Xuất nội bộ từ téc",DATA_GOC!$B:$B,DATE($D$2,$B$2,AF$4)),0))</f>
        <v>0</v>
      </c>
      <c r="AG400" s="251">
        <f>IF(AG$4&gt;DAY(EOMONTH(DATE($D$2,$B$2,1),0)),"",IFERROR(SUMIFS(DATA_GOC!$H:$H,DATA_GOC!$A:$A,"BOM",DATA_GOC!$D:$D,$B400,DATA_GOC!$E:$E,"Dầu cầu",DATA_GOC!$F:$F,"Xuất nội bộ từ téc",DATA_GOC!$B:$B,DATE($D$2,$B$2,AG$4)),0))</f>
        <v>0</v>
      </c>
      <c r="AH400" s="252">
        <f t="shared" si="19"/>
        <v>0</v>
      </c>
      <c r="AI400" s="241"/>
      <c r="AJ400" s="242">
        <f>IF($B400="","",SUMIFS(TINH_TEC!$K$233:$K$9232,TINH_TEC!$H$233:$H$9232,$B400,TINH_TEC!$C$233:$C$9232,"Dầu cầu",TINH_TEC!$F$233:$F$9232,$B$2,TINH_TEC!$G$233:$G$9232,$D$2,TINH_TEC!$B$233:$B$9232,"Đã chốt"))</f>
        <v>0</v>
      </c>
      <c r="AK400" s="242">
        <f>IF($B400="","",SUMIFS(TINH_TEC!$J$233:$J$9232,TINH_TEC!$H$233:$H$9232,$B400,TINH_TEC!$C$233:$C$9232,"Dầu cầu",TINH_TEC!$F$233:$F$9232,$B$2,TINH_TEC!$G$233:$G$9232,$D$2,TINH_TEC!$B$233:$B$9232,"Đã chốt"))</f>
        <v>0</v>
      </c>
      <c r="AL400" s="242">
        <f t="shared" si="20"/>
        <v>0</v>
      </c>
    </row>
    <row r="401" ht="15.75" customHeight="1">
      <c r="A401" s="237">
        <f>IF($B401&lt;&gt;"",30,"")</f>
        <v>30</v>
      </c>
      <c r="B401" s="250" t="str">
        <f t="array" ref="B401">IFERROR(INDEX(DANH_MUC!$E:$E,33),"")</f>
        <v>28C06369</v>
      </c>
      <c r="C401" s="251">
        <f>IF(C$4&gt;DAY(EOMONTH(DATE($D$2,$B$2,1),0)),"",IFERROR(SUMIFS(DATA_GOC!$H:$H,DATA_GOC!$A:$A,"BOM",DATA_GOC!$D:$D,$B401,DATA_GOC!$E:$E,"Dầu cầu",DATA_GOC!$F:$F,"Xuất nội bộ từ téc",DATA_GOC!$B:$B,DATE($D$2,$B$2,C$4)),0))</f>
        <v>0</v>
      </c>
      <c r="D401" s="251">
        <f>IF(D$4&gt;DAY(EOMONTH(DATE($D$2,$B$2,1),0)),"",IFERROR(SUMIFS(DATA_GOC!$H:$H,DATA_GOC!$A:$A,"BOM",DATA_GOC!$D:$D,$B401,DATA_GOC!$E:$E,"Dầu cầu",DATA_GOC!$F:$F,"Xuất nội bộ từ téc",DATA_GOC!$B:$B,DATE($D$2,$B$2,D$4)),0))</f>
        <v>0</v>
      </c>
      <c r="E401" s="251">
        <f>IF(E$4&gt;DAY(EOMONTH(DATE($D$2,$B$2,1),0)),"",IFERROR(SUMIFS(DATA_GOC!$H:$H,DATA_GOC!$A:$A,"BOM",DATA_GOC!$D:$D,$B401,DATA_GOC!$E:$E,"Dầu cầu",DATA_GOC!$F:$F,"Xuất nội bộ từ téc",DATA_GOC!$B:$B,DATE($D$2,$B$2,E$4)),0))</f>
        <v>0</v>
      </c>
      <c r="F401" s="251">
        <f>IF(F$4&gt;DAY(EOMONTH(DATE($D$2,$B$2,1),0)),"",IFERROR(SUMIFS(DATA_GOC!$H:$H,DATA_GOC!$A:$A,"BOM",DATA_GOC!$D:$D,$B401,DATA_GOC!$E:$E,"Dầu cầu",DATA_GOC!$F:$F,"Xuất nội bộ từ téc",DATA_GOC!$B:$B,DATE($D$2,$B$2,F$4)),0))</f>
        <v>0</v>
      </c>
      <c r="G401" s="251">
        <f>IF(G$4&gt;DAY(EOMONTH(DATE($D$2,$B$2,1),0)),"",IFERROR(SUMIFS(DATA_GOC!$H:$H,DATA_GOC!$A:$A,"BOM",DATA_GOC!$D:$D,$B401,DATA_GOC!$E:$E,"Dầu cầu",DATA_GOC!$F:$F,"Xuất nội bộ từ téc",DATA_GOC!$B:$B,DATE($D$2,$B$2,G$4)),0))</f>
        <v>0</v>
      </c>
      <c r="H401" s="251">
        <f>IF(H$4&gt;DAY(EOMONTH(DATE($D$2,$B$2,1),0)),"",IFERROR(SUMIFS(DATA_GOC!$H:$H,DATA_GOC!$A:$A,"BOM",DATA_GOC!$D:$D,$B401,DATA_GOC!$E:$E,"Dầu cầu",DATA_GOC!$F:$F,"Xuất nội bộ từ téc",DATA_GOC!$B:$B,DATE($D$2,$B$2,H$4)),0))</f>
        <v>0</v>
      </c>
      <c r="I401" s="251">
        <f>IF(I$4&gt;DAY(EOMONTH(DATE($D$2,$B$2,1),0)),"",IFERROR(SUMIFS(DATA_GOC!$H:$H,DATA_GOC!$A:$A,"BOM",DATA_GOC!$D:$D,$B401,DATA_GOC!$E:$E,"Dầu cầu",DATA_GOC!$F:$F,"Xuất nội bộ từ téc",DATA_GOC!$B:$B,DATE($D$2,$B$2,I$4)),0))</f>
        <v>0</v>
      </c>
      <c r="J401" s="251">
        <f>IF(J$4&gt;DAY(EOMONTH(DATE($D$2,$B$2,1),0)),"",IFERROR(SUMIFS(DATA_GOC!$H:$H,DATA_GOC!$A:$A,"BOM",DATA_GOC!$D:$D,$B401,DATA_GOC!$E:$E,"Dầu cầu",DATA_GOC!$F:$F,"Xuất nội bộ từ téc",DATA_GOC!$B:$B,DATE($D$2,$B$2,J$4)),0))</f>
        <v>0</v>
      </c>
      <c r="K401" s="251">
        <f>IF(K$4&gt;DAY(EOMONTH(DATE($D$2,$B$2,1),0)),"",IFERROR(SUMIFS(DATA_GOC!$H:$H,DATA_GOC!$A:$A,"BOM",DATA_GOC!$D:$D,$B401,DATA_GOC!$E:$E,"Dầu cầu",DATA_GOC!$F:$F,"Xuất nội bộ từ téc",DATA_GOC!$B:$B,DATE($D$2,$B$2,K$4)),0))</f>
        <v>0</v>
      </c>
      <c r="L401" s="251">
        <f>IF(L$4&gt;DAY(EOMONTH(DATE($D$2,$B$2,1),0)),"",IFERROR(SUMIFS(DATA_GOC!$H:$H,DATA_GOC!$A:$A,"BOM",DATA_GOC!$D:$D,$B401,DATA_GOC!$E:$E,"Dầu cầu",DATA_GOC!$F:$F,"Xuất nội bộ từ téc",DATA_GOC!$B:$B,DATE($D$2,$B$2,L$4)),0))</f>
        <v>0</v>
      </c>
      <c r="M401" s="251">
        <f>IF(M$4&gt;DAY(EOMONTH(DATE($D$2,$B$2,1),0)),"",IFERROR(SUMIFS(DATA_GOC!$H:$H,DATA_GOC!$A:$A,"BOM",DATA_GOC!$D:$D,$B401,DATA_GOC!$E:$E,"Dầu cầu",DATA_GOC!$F:$F,"Xuất nội bộ từ téc",DATA_GOC!$B:$B,DATE($D$2,$B$2,M$4)),0))</f>
        <v>0</v>
      </c>
      <c r="N401" s="251">
        <f>IF(N$4&gt;DAY(EOMONTH(DATE($D$2,$B$2,1),0)),"",IFERROR(SUMIFS(DATA_GOC!$H:$H,DATA_GOC!$A:$A,"BOM",DATA_GOC!$D:$D,$B401,DATA_GOC!$E:$E,"Dầu cầu",DATA_GOC!$F:$F,"Xuất nội bộ từ téc",DATA_GOC!$B:$B,DATE($D$2,$B$2,N$4)),0))</f>
        <v>0</v>
      </c>
      <c r="O401" s="251">
        <f>IF(O$4&gt;DAY(EOMONTH(DATE($D$2,$B$2,1),0)),"",IFERROR(SUMIFS(DATA_GOC!$H:$H,DATA_GOC!$A:$A,"BOM",DATA_GOC!$D:$D,$B401,DATA_GOC!$E:$E,"Dầu cầu",DATA_GOC!$F:$F,"Xuất nội bộ từ téc",DATA_GOC!$B:$B,DATE($D$2,$B$2,O$4)),0))</f>
        <v>0</v>
      </c>
      <c r="P401" s="251">
        <f>IF(P$4&gt;DAY(EOMONTH(DATE($D$2,$B$2,1),0)),"",IFERROR(SUMIFS(DATA_GOC!$H:$H,DATA_GOC!$A:$A,"BOM",DATA_GOC!$D:$D,$B401,DATA_GOC!$E:$E,"Dầu cầu",DATA_GOC!$F:$F,"Xuất nội bộ từ téc",DATA_GOC!$B:$B,DATE($D$2,$B$2,P$4)),0))</f>
        <v>0</v>
      </c>
      <c r="Q401" s="251">
        <f>IF(Q$4&gt;DAY(EOMONTH(DATE($D$2,$B$2,1),0)),"",IFERROR(SUMIFS(DATA_GOC!$H:$H,DATA_GOC!$A:$A,"BOM",DATA_GOC!$D:$D,$B401,DATA_GOC!$E:$E,"Dầu cầu",DATA_GOC!$F:$F,"Xuất nội bộ từ téc",DATA_GOC!$B:$B,DATE($D$2,$B$2,Q$4)),0))</f>
        <v>0</v>
      </c>
      <c r="R401" s="251">
        <f>IF(R$4&gt;DAY(EOMONTH(DATE($D$2,$B$2,1),0)),"",IFERROR(SUMIFS(DATA_GOC!$H:$H,DATA_GOC!$A:$A,"BOM",DATA_GOC!$D:$D,$B401,DATA_GOC!$E:$E,"Dầu cầu",DATA_GOC!$F:$F,"Xuất nội bộ từ téc",DATA_GOC!$B:$B,DATE($D$2,$B$2,R$4)),0))</f>
        <v>0</v>
      </c>
      <c r="S401" s="251">
        <f>IF(S$4&gt;DAY(EOMONTH(DATE($D$2,$B$2,1),0)),"",IFERROR(SUMIFS(DATA_GOC!$H:$H,DATA_GOC!$A:$A,"BOM",DATA_GOC!$D:$D,$B401,DATA_GOC!$E:$E,"Dầu cầu",DATA_GOC!$F:$F,"Xuất nội bộ từ téc",DATA_GOC!$B:$B,DATE($D$2,$B$2,S$4)),0))</f>
        <v>0</v>
      </c>
      <c r="T401" s="251">
        <f>IF(T$4&gt;DAY(EOMONTH(DATE($D$2,$B$2,1),0)),"",IFERROR(SUMIFS(DATA_GOC!$H:$H,DATA_GOC!$A:$A,"BOM",DATA_GOC!$D:$D,$B401,DATA_GOC!$E:$E,"Dầu cầu",DATA_GOC!$F:$F,"Xuất nội bộ từ téc",DATA_GOC!$B:$B,DATE($D$2,$B$2,T$4)),0))</f>
        <v>0</v>
      </c>
      <c r="U401" s="251">
        <f>IF(U$4&gt;DAY(EOMONTH(DATE($D$2,$B$2,1),0)),"",IFERROR(SUMIFS(DATA_GOC!$H:$H,DATA_GOC!$A:$A,"BOM",DATA_GOC!$D:$D,$B401,DATA_GOC!$E:$E,"Dầu cầu",DATA_GOC!$F:$F,"Xuất nội bộ từ téc",DATA_GOC!$B:$B,DATE($D$2,$B$2,U$4)),0))</f>
        <v>0</v>
      </c>
      <c r="V401" s="251">
        <f>IF(V$4&gt;DAY(EOMONTH(DATE($D$2,$B$2,1),0)),"",IFERROR(SUMIFS(DATA_GOC!$H:$H,DATA_GOC!$A:$A,"BOM",DATA_GOC!$D:$D,$B401,DATA_GOC!$E:$E,"Dầu cầu",DATA_GOC!$F:$F,"Xuất nội bộ từ téc",DATA_GOC!$B:$B,DATE($D$2,$B$2,V$4)),0))</f>
        <v>0</v>
      </c>
      <c r="W401" s="251">
        <f>IF(W$4&gt;DAY(EOMONTH(DATE($D$2,$B$2,1),0)),"",IFERROR(SUMIFS(DATA_GOC!$H:$H,DATA_GOC!$A:$A,"BOM",DATA_GOC!$D:$D,$B401,DATA_GOC!$E:$E,"Dầu cầu",DATA_GOC!$F:$F,"Xuất nội bộ từ téc",DATA_GOC!$B:$B,DATE($D$2,$B$2,W$4)),0))</f>
        <v>0</v>
      </c>
      <c r="X401" s="251">
        <f>IF(X$4&gt;DAY(EOMONTH(DATE($D$2,$B$2,1),0)),"",IFERROR(SUMIFS(DATA_GOC!$H:$H,DATA_GOC!$A:$A,"BOM",DATA_GOC!$D:$D,$B401,DATA_GOC!$E:$E,"Dầu cầu",DATA_GOC!$F:$F,"Xuất nội bộ từ téc",DATA_GOC!$B:$B,DATE($D$2,$B$2,X$4)),0))</f>
        <v>0</v>
      </c>
      <c r="Y401" s="251">
        <f>IF(Y$4&gt;DAY(EOMONTH(DATE($D$2,$B$2,1),0)),"",IFERROR(SUMIFS(DATA_GOC!$H:$H,DATA_GOC!$A:$A,"BOM",DATA_GOC!$D:$D,$B401,DATA_GOC!$E:$E,"Dầu cầu",DATA_GOC!$F:$F,"Xuất nội bộ từ téc",DATA_GOC!$B:$B,DATE($D$2,$B$2,Y$4)),0))</f>
        <v>0</v>
      </c>
      <c r="Z401" s="251">
        <f>IF(Z$4&gt;DAY(EOMONTH(DATE($D$2,$B$2,1),0)),"",IFERROR(SUMIFS(DATA_GOC!$H:$H,DATA_GOC!$A:$A,"BOM",DATA_GOC!$D:$D,$B401,DATA_GOC!$E:$E,"Dầu cầu",DATA_GOC!$F:$F,"Xuất nội bộ từ téc",DATA_GOC!$B:$B,DATE($D$2,$B$2,Z$4)),0))</f>
        <v>0</v>
      </c>
      <c r="AA401" s="251">
        <f>IF(AA$4&gt;DAY(EOMONTH(DATE($D$2,$B$2,1),0)),"",IFERROR(SUMIFS(DATA_GOC!$H:$H,DATA_GOC!$A:$A,"BOM",DATA_GOC!$D:$D,$B401,DATA_GOC!$E:$E,"Dầu cầu",DATA_GOC!$F:$F,"Xuất nội bộ từ téc",DATA_GOC!$B:$B,DATE($D$2,$B$2,AA$4)),0))</f>
        <v>0</v>
      </c>
      <c r="AB401" s="251">
        <f>IF(AB$4&gt;DAY(EOMONTH(DATE($D$2,$B$2,1),0)),"",IFERROR(SUMIFS(DATA_GOC!$H:$H,DATA_GOC!$A:$A,"BOM",DATA_GOC!$D:$D,$B401,DATA_GOC!$E:$E,"Dầu cầu",DATA_GOC!$F:$F,"Xuất nội bộ từ téc",DATA_GOC!$B:$B,DATE($D$2,$B$2,AB$4)),0))</f>
        <v>0</v>
      </c>
      <c r="AC401" s="251">
        <f>IF(AC$4&gt;DAY(EOMONTH(DATE($D$2,$B$2,1),0)),"",IFERROR(SUMIFS(DATA_GOC!$H:$H,DATA_GOC!$A:$A,"BOM",DATA_GOC!$D:$D,$B401,DATA_GOC!$E:$E,"Dầu cầu",DATA_GOC!$F:$F,"Xuất nội bộ từ téc",DATA_GOC!$B:$B,DATE($D$2,$B$2,AC$4)),0))</f>
        <v>0</v>
      </c>
      <c r="AD401" s="251">
        <f>IF(AD$4&gt;DAY(EOMONTH(DATE($D$2,$B$2,1),0)),"",IFERROR(SUMIFS(DATA_GOC!$H:$H,DATA_GOC!$A:$A,"BOM",DATA_GOC!$D:$D,$B401,DATA_GOC!$E:$E,"Dầu cầu",DATA_GOC!$F:$F,"Xuất nội bộ từ téc",DATA_GOC!$B:$B,DATE($D$2,$B$2,AD$4)),0))</f>
        <v>0</v>
      </c>
      <c r="AE401" s="251">
        <f>IF(AE$4&gt;DAY(EOMONTH(DATE($D$2,$B$2,1),0)),"",IFERROR(SUMIFS(DATA_GOC!$H:$H,DATA_GOC!$A:$A,"BOM",DATA_GOC!$D:$D,$B401,DATA_GOC!$E:$E,"Dầu cầu",DATA_GOC!$F:$F,"Xuất nội bộ từ téc",DATA_GOC!$B:$B,DATE($D$2,$B$2,AE$4)),0))</f>
        <v>0</v>
      </c>
      <c r="AF401" s="251">
        <f>IF(AF$4&gt;DAY(EOMONTH(DATE($D$2,$B$2,1),0)),"",IFERROR(SUMIFS(DATA_GOC!$H:$H,DATA_GOC!$A:$A,"BOM",DATA_GOC!$D:$D,$B401,DATA_GOC!$E:$E,"Dầu cầu",DATA_GOC!$F:$F,"Xuất nội bộ từ téc",DATA_GOC!$B:$B,DATE($D$2,$B$2,AF$4)),0))</f>
        <v>0</v>
      </c>
      <c r="AG401" s="251">
        <f>IF(AG$4&gt;DAY(EOMONTH(DATE($D$2,$B$2,1),0)),"",IFERROR(SUMIFS(DATA_GOC!$H:$H,DATA_GOC!$A:$A,"BOM",DATA_GOC!$D:$D,$B401,DATA_GOC!$E:$E,"Dầu cầu",DATA_GOC!$F:$F,"Xuất nội bộ từ téc",DATA_GOC!$B:$B,DATE($D$2,$B$2,AG$4)),0))</f>
        <v>0</v>
      </c>
      <c r="AH401" s="252">
        <f t="shared" si="19"/>
        <v>0</v>
      </c>
      <c r="AI401" s="241"/>
      <c r="AJ401" s="242">
        <f>IF($B401="","",SUMIFS(TINH_TEC!$K$233:$K$9232,TINH_TEC!$H$233:$H$9232,$B401,TINH_TEC!$C$233:$C$9232,"Dầu cầu",TINH_TEC!$F$233:$F$9232,$B$2,TINH_TEC!$G$233:$G$9232,$D$2,TINH_TEC!$B$233:$B$9232,"Đã chốt"))</f>
        <v>0</v>
      </c>
      <c r="AK401" s="242">
        <f>IF($B401="","",SUMIFS(TINH_TEC!$J$233:$J$9232,TINH_TEC!$H$233:$H$9232,$B401,TINH_TEC!$C$233:$C$9232,"Dầu cầu",TINH_TEC!$F$233:$F$9232,$B$2,TINH_TEC!$G$233:$G$9232,$D$2,TINH_TEC!$B$233:$B$9232,"Đã chốt"))</f>
        <v>0</v>
      </c>
      <c r="AL401" s="242">
        <f t="shared" si="20"/>
        <v>0</v>
      </c>
    </row>
    <row r="402" ht="15.75" customHeight="1">
      <c r="A402" s="237">
        <f>IF($B402&lt;&gt;"",31,"")</f>
        <v>31</v>
      </c>
      <c r="B402" s="250" t="str">
        <f t="array" ref="B402">IFERROR(INDEX(DANH_MUC!$E:$E,34),"")</f>
        <v>28C06447</v>
      </c>
      <c r="C402" s="251">
        <f>IF(C$4&gt;DAY(EOMONTH(DATE($D$2,$B$2,1),0)),"",IFERROR(SUMIFS(DATA_GOC!$H:$H,DATA_GOC!$A:$A,"BOM",DATA_GOC!$D:$D,$B402,DATA_GOC!$E:$E,"Dầu cầu",DATA_GOC!$F:$F,"Xuất nội bộ từ téc",DATA_GOC!$B:$B,DATE($D$2,$B$2,C$4)),0))</f>
        <v>0</v>
      </c>
      <c r="D402" s="251">
        <f>IF(D$4&gt;DAY(EOMONTH(DATE($D$2,$B$2,1),0)),"",IFERROR(SUMIFS(DATA_GOC!$H:$H,DATA_GOC!$A:$A,"BOM",DATA_GOC!$D:$D,$B402,DATA_GOC!$E:$E,"Dầu cầu",DATA_GOC!$F:$F,"Xuất nội bộ từ téc",DATA_GOC!$B:$B,DATE($D$2,$B$2,D$4)),0))</f>
        <v>0</v>
      </c>
      <c r="E402" s="251">
        <f>IF(E$4&gt;DAY(EOMONTH(DATE($D$2,$B$2,1),0)),"",IFERROR(SUMIFS(DATA_GOC!$H:$H,DATA_GOC!$A:$A,"BOM",DATA_GOC!$D:$D,$B402,DATA_GOC!$E:$E,"Dầu cầu",DATA_GOC!$F:$F,"Xuất nội bộ từ téc",DATA_GOC!$B:$B,DATE($D$2,$B$2,E$4)),0))</f>
        <v>0</v>
      </c>
      <c r="F402" s="251">
        <f>IF(F$4&gt;DAY(EOMONTH(DATE($D$2,$B$2,1),0)),"",IFERROR(SUMIFS(DATA_GOC!$H:$H,DATA_GOC!$A:$A,"BOM",DATA_GOC!$D:$D,$B402,DATA_GOC!$E:$E,"Dầu cầu",DATA_GOC!$F:$F,"Xuất nội bộ từ téc",DATA_GOC!$B:$B,DATE($D$2,$B$2,F$4)),0))</f>
        <v>0</v>
      </c>
      <c r="G402" s="251">
        <f>IF(G$4&gt;DAY(EOMONTH(DATE($D$2,$B$2,1),0)),"",IFERROR(SUMIFS(DATA_GOC!$H:$H,DATA_GOC!$A:$A,"BOM",DATA_GOC!$D:$D,$B402,DATA_GOC!$E:$E,"Dầu cầu",DATA_GOC!$F:$F,"Xuất nội bộ từ téc",DATA_GOC!$B:$B,DATE($D$2,$B$2,G$4)),0))</f>
        <v>0</v>
      </c>
      <c r="H402" s="251">
        <f>IF(H$4&gt;DAY(EOMONTH(DATE($D$2,$B$2,1),0)),"",IFERROR(SUMIFS(DATA_GOC!$H:$H,DATA_GOC!$A:$A,"BOM",DATA_GOC!$D:$D,$B402,DATA_GOC!$E:$E,"Dầu cầu",DATA_GOC!$F:$F,"Xuất nội bộ từ téc",DATA_GOC!$B:$B,DATE($D$2,$B$2,H$4)),0))</f>
        <v>0</v>
      </c>
      <c r="I402" s="251">
        <f>IF(I$4&gt;DAY(EOMONTH(DATE($D$2,$B$2,1),0)),"",IFERROR(SUMIFS(DATA_GOC!$H:$H,DATA_GOC!$A:$A,"BOM",DATA_GOC!$D:$D,$B402,DATA_GOC!$E:$E,"Dầu cầu",DATA_GOC!$F:$F,"Xuất nội bộ từ téc",DATA_GOC!$B:$B,DATE($D$2,$B$2,I$4)),0))</f>
        <v>0</v>
      </c>
      <c r="J402" s="251">
        <f>IF(J$4&gt;DAY(EOMONTH(DATE($D$2,$B$2,1),0)),"",IFERROR(SUMIFS(DATA_GOC!$H:$H,DATA_GOC!$A:$A,"BOM",DATA_GOC!$D:$D,$B402,DATA_GOC!$E:$E,"Dầu cầu",DATA_GOC!$F:$F,"Xuất nội bộ từ téc",DATA_GOC!$B:$B,DATE($D$2,$B$2,J$4)),0))</f>
        <v>0</v>
      </c>
      <c r="K402" s="251">
        <f>IF(K$4&gt;DAY(EOMONTH(DATE($D$2,$B$2,1),0)),"",IFERROR(SUMIFS(DATA_GOC!$H:$H,DATA_GOC!$A:$A,"BOM",DATA_GOC!$D:$D,$B402,DATA_GOC!$E:$E,"Dầu cầu",DATA_GOC!$F:$F,"Xuất nội bộ từ téc",DATA_GOC!$B:$B,DATE($D$2,$B$2,K$4)),0))</f>
        <v>0</v>
      </c>
      <c r="L402" s="251">
        <f>IF(L$4&gt;DAY(EOMONTH(DATE($D$2,$B$2,1),0)),"",IFERROR(SUMIFS(DATA_GOC!$H:$H,DATA_GOC!$A:$A,"BOM",DATA_GOC!$D:$D,$B402,DATA_GOC!$E:$E,"Dầu cầu",DATA_GOC!$F:$F,"Xuất nội bộ từ téc",DATA_GOC!$B:$B,DATE($D$2,$B$2,L$4)),0))</f>
        <v>0</v>
      </c>
      <c r="M402" s="251">
        <f>IF(M$4&gt;DAY(EOMONTH(DATE($D$2,$B$2,1),0)),"",IFERROR(SUMIFS(DATA_GOC!$H:$H,DATA_GOC!$A:$A,"BOM",DATA_GOC!$D:$D,$B402,DATA_GOC!$E:$E,"Dầu cầu",DATA_GOC!$F:$F,"Xuất nội bộ từ téc",DATA_GOC!$B:$B,DATE($D$2,$B$2,M$4)),0))</f>
        <v>0</v>
      </c>
      <c r="N402" s="251">
        <f>IF(N$4&gt;DAY(EOMONTH(DATE($D$2,$B$2,1),0)),"",IFERROR(SUMIFS(DATA_GOC!$H:$H,DATA_GOC!$A:$A,"BOM",DATA_GOC!$D:$D,$B402,DATA_GOC!$E:$E,"Dầu cầu",DATA_GOC!$F:$F,"Xuất nội bộ từ téc",DATA_GOC!$B:$B,DATE($D$2,$B$2,N$4)),0))</f>
        <v>0</v>
      </c>
      <c r="O402" s="251">
        <f>IF(O$4&gt;DAY(EOMONTH(DATE($D$2,$B$2,1),0)),"",IFERROR(SUMIFS(DATA_GOC!$H:$H,DATA_GOC!$A:$A,"BOM",DATA_GOC!$D:$D,$B402,DATA_GOC!$E:$E,"Dầu cầu",DATA_GOC!$F:$F,"Xuất nội bộ từ téc",DATA_GOC!$B:$B,DATE($D$2,$B$2,O$4)),0))</f>
        <v>0</v>
      </c>
      <c r="P402" s="251">
        <f>IF(P$4&gt;DAY(EOMONTH(DATE($D$2,$B$2,1),0)),"",IFERROR(SUMIFS(DATA_GOC!$H:$H,DATA_GOC!$A:$A,"BOM",DATA_GOC!$D:$D,$B402,DATA_GOC!$E:$E,"Dầu cầu",DATA_GOC!$F:$F,"Xuất nội bộ từ téc",DATA_GOC!$B:$B,DATE($D$2,$B$2,P$4)),0))</f>
        <v>0</v>
      </c>
      <c r="Q402" s="251">
        <f>IF(Q$4&gt;DAY(EOMONTH(DATE($D$2,$B$2,1),0)),"",IFERROR(SUMIFS(DATA_GOC!$H:$H,DATA_GOC!$A:$A,"BOM",DATA_GOC!$D:$D,$B402,DATA_GOC!$E:$E,"Dầu cầu",DATA_GOC!$F:$F,"Xuất nội bộ từ téc",DATA_GOC!$B:$B,DATE($D$2,$B$2,Q$4)),0))</f>
        <v>0</v>
      </c>
      <c r="R402" s="251">
        <f>IF(R$4&gt;DAY(EOMONTH(DATE($D$2,$B$2,1),0)),"",IFERROR(SUMIFS(DATA_GOC!$H:$H,DATA_GOC!$A:$A,"BOM",DATA_GOC!$D:$D,$B402,DATA_GOC!$E:$E,"Dầu cầu",DATA_GOC!$F:$F,"Xuất nội bộ từ téc",DATA_GOC!$B:$B,DATE($D$2,$B$2,R$4)),0))</f>
        <v>0</v>
      </c>
      <c r="S402" s="251">
        <f>IF(S$4&gt;DAY(EOMONTH(DATE($D$2,$B$2,1),0)),"",IFERROR(SUMIFS(DATA_GOC!$H:$H,DATA_GOC!$A:$A,"BOM",DATA_GOC!$D:$D,$B402,DATA_GOC!$E:$E,"Dầu cầu",DATA_GOC!$F:$F,"Xuất nội bộ từ téc",DATA_GOC!$B:$B,DATE($D$2,$B$2,S$4)),0))</f>
        <v>0</v>
      </c>
      <c r="T402" s="251">
        <f>IF(T$4&gt;DAY(EOMONTH(DATE($D$2,$B$2,1),0)),"",IFERROR(SUMIFS(DATA_GOC!$H:$H,DATA_GOC!$A:$A,"BOM",DATA_GOC!$D:$D,$B402,DATA_GOC!$E:$E,"Dầu cầu",DATA_GOC!$F:$F,"Xuất nội bộ từ téc",DATA_GOC!$B:$B,DATE($D$2,$B$2,T$4)),0))</f>
        <v>0</v>
      </c>
      <c r="U402" s="251">
        <f>IF(U$4&gt;DAY(EOMONTH(DATE($D$2,$B$2,1),0)),"",IFERROR(SUMIFS(DATA_GOC!$H:$H,DATA_GOC!$A:$A,"BOM",DATA_GOC!$D:$D,$B402,DATA_GOC!$E:$E,"Dầu cầu",DATA_GOC!$F:$F,"Xuất nội bộ từ téc",DATA_GOC!$B:$B,DATE($D$2,$B$2,U$4)),0))</f>
        <v>0</v>
      </c>
      <c r="V402" s="251">
        <f>IF(V$4&gt;DAY(EOMONTH(DATE($D$2,$B$2,1),0)),"",IFERROR(SUMIFS(DATA_GOC!$H:$H,DATA_GOC!$A:$A,"BOM",DATA_GOC!$D:$D,$B402,DATA_GOC!$E:$E,"Dầu cầu",DATA_GOC!$F:$F,"Xuất nội bộ từ téc",DATA_GOC!$B:$B,DATE($D$2,$B$2,V$4)),0))</f>
        <v>0</v>
      </c>
      <c r="W402" s="251">
        <f>IF(W$4&gt;DAY(EOMONTH(DATE($D$2,$B$2,1),0)),"",IFERROR(SUMIFS(DATA_GOC!$H:$H,DATA_GOC!$A:$A,"BOM",DATA_GOC!$D:$D,$B402,DATA_GOC!$E:$E,"Dầu cầu",DATA_GOC!$F:$F,"Xuất nội bộ từ téc",DATA_GOC!$B:$B,DATE($D$2,$B$2,W$4)),0))</f>
        <v>0</v>
      </c>
      <c r="X402" s="251">
        <f>IF(X$4&gt;DAY(EOMONTH(DATE($D$2,$B$2,1),0)),"",IFERROR(SUMIFS(DATA_GOC!$H:$H,DATA_GOC!$A:$A,"BOM",DATA_GOC!$D:$D,$B402,DATA_GOC!$E:$E,"Dầu cầu",DATA_GOC!$F:$F,"Xuất nội bộ từ téc",DATA_GOC!$B:$B,DATE($D$2,$B$2,X$4)),0))</f>
        <v>0</v>
      </c>
      <c r="Y402" s="251">
        <f>IF(Y$4&gt;DAY(EOMONTH(DATE($D$2,$B$2,1),0)),"",IFERROR(SUMIFS(DATA_GOC!$H:$H,DATA_GOC!$A:$A,"BOM",DATA_GOC!$D:$D,$B402,DATA_GOC!$E:$E,"Dầu cầu",DATA_GOC!$F:$F,"Xuất nội bộ từ téc",DATA_GOC!$B:$B,DATE($D$2,$B$2,Y$4)),0))</f>
        <v>0</v>
      </c>
      <c r="Z402" s="251">
        <f>IF(Z$4&gt;DAY(EOMONTH(DATE($D$2,$B$2,1),0)),"",IFERROR(SUMIFS(DATA_GOC!$H:$H,DATA_GOC!$A:$A,"BOM",DATA_GOC!$D:$D,$B402,DATA_GOC!$E:$E,"Dầu cầu",DATA_GOC!$F:$F,"Xuất nội bộ từ téc",DATA_GOC!$B:$B,DATE($D$2,$B$2,Z$4)),0))</f>
        <v>0</v>
      </c>
      <c r="AA402" s="251">
        <f>IF(AA$4&gt;DAY(EOMONTH(DATE($D$2,$B$2,1),0)),"",IFERROR(SUMIFS(DATA_GOC!$H:$H,DATA_GOC!$A:$A,"BOM",DATA_GOC!$D:$D,$B402,DATA_GOC!$E:$E,"Dầu cầu",DATA_GOC!$F:$F,"Xuất nội bộ từ téc",DATA_GOC!$B:$B,DATE($D$2,$B$2,AA$4)),0))</f>
        <v>0</v>
      </c>
      <c r="AB402" s="251">
        <f>IF(AB$4&gt;DAY(EOMONTH(DATE($D$2,$B$2,1),0)),"",IFERROR(SUMIFS(DATA_GOC!$H:$H,DATA_GOC!$A:$A,"BOM",DATA_GOC!$D:$D,$B402,DATA_GOC!$E:$E,"Dầu cầu",DATA_GOC!$F:$F,"Xuất nội bộ từ téc",DATA_GOC!$B:$B,DATE($D$2,$B$2,AB$4)),0))</f>
        <v>0</v>
      </c>
      <c r="AC402" s="251">
        <f>IF(AC$4&gt;DAY(EOMONTH(DATE($D$2,$B$2,1),0)),"",IFERROR(SUMIFS(DATA_GOC!$H:$H,DATA_GOC!$A:$A,"BOM",DATA_GOC!$D:$D,$B402,DATA_GOC!$E:$E,"Dầu cầu",DATA_GOC!$F:$F,"Xuất nội bộ từ téc",DATA_GOC!$B:$B,DATE($D$2,$B$2,AC$4)),0))</f>
        <v>0</v>
      </c>
      <c r="AD402" s="251">
        <f>IF(AD$4&gt;DAY(EOMONTH(DATE($D$2,$B$2,1),0)),"",IFERROR(SUMIFS(DATA_GOC!$H:$H,DATA_GOC!$A:$A,"BOM",DATA_GOC!$D:$D,$B402,DATA_GOC!$E:$E,"Dầu cầu",DATA_GOC!$F:$F,"Xuất nội bộ từ téc",DATA_GOC!$B:$B,DATE($D$2,$B$2,AD$4)),0))</f>
        <v>0</v>
      </c>
      <c r="AE402" s="251">
        <f>IF(AE$4&gt;DAY(EOMONTH(DATE($D$2,$B$2,1),0)),"",IFERROR(SUMIFS(DATA_GOC!$H:$H,DATA_GOC!$A:$A,"BOM",DATA_GOC!$D:$D,$B402,DATA_GOC!$E:$E,"Dầu cầu",DATA_GOC!$F:$F,"Xuất nội bộ từ téc",DATA_GOC!$B:$B,DATE($D$2,$B$2,AE$4)),0))</f>
        <v>0</v>
      </c>
      <c r="AF402" s="251">
        <f>IF(AF$4&gt;DAY(EOMONTH(DATE($D$2,$B$2,1),0)),"",IFERROR(SUMIFS(DATA_GOC!$H:$H,DATA_GOC!$A:$A,"BOM",DATA_GOC!$D:$D,$B402,DATA_GOC!$E:$E,"Dầu cầu",DATA_GOC!$F:$F,"Xuất nội bộ từ téc",DATA_GOC!$B:$B,DATE($D$2,$B$2,AF$4)),0))</f>
        <v>0</v>
      </c>
      <c r="AG402" s="251">
        <f>IF(AG$4&gt;DAY(EOMONTH(DATE($D$2,$B$2,1),0)),"",IFERROR(SUMIFS(DATA_GOC!$H:$H,DATA_GOC!$A:$A,"BOM",DATA_GOC!$D:$D,$B402,DATA_GOC!$E:$E,"Dầu cầu",DATA_GOC!$F:$F,"Xuất nội bộ từ téc",DATA_GOC!$B:$B,DATE($D$2,$B$2,AG$4)),0))</f>
        <v>0</v>
      </c>
      <c r="AH402" s="252">
        <f t="shared" si="19"/>
        <v>0</v>
      </c>
      <c r="AI402" s="241"/>
      <c r="AJ402" s="242">
        <f>IF($B402="","",SUMIFS(TINH_TEC!$K$233:$K$9232,TINH_TEC!$H$233:$H$9232,$B402,TINH_TEC!$C$233:$C$9232,"Dầu cầu",TINH_TEC!$F$233:$F$9232,$B$2,TINH_TEC!$G$233:$G$9232,$D$2,TINH_TEC!$B$233:$B$9232,"Đã chốt"))</f>
        <v>0</v>
      </c>
      <c r="AK402" s="242">
        <f>IF($B402="","",SUMIFS(TINH_TEC!$J$233:$J$9232,TINH_TEC!$H$233:$H$9232,$B402,TINH_TEC!$C$233:$C$9232,"Dầu cầu",TINH_TEC!$F$233:$F$9232,$B$2,TINH_TEC!$G$233:$G$9232,$D$2,TINH_TEC!$B$233:$B$9232,"Đã chốt"))</f>
        <v>0</v>
      </c>
      <c r="AL402" s="242">
        <f t="shared" si="20"/>
        <v>0</v>
      </c>
    </row>
    <row r="403" ht="15.75" customHeight="1">
      <c r="A403" s="237">
        <f>IF($B403&lt;&gt;"",32,"")</f>
        <v>32</v>
      </c>
      <c r="B403" s="250" t="str">
        <f t="array" ref="B403">IFERROR(INDEX(DANH_MUC!$E:$E,35),"")</f>
        <v>28H00003</v>
      </c>
      <c r="C403" s="251">
        <f>IF(C$4&gt;DAY(EOMONTH(DATE($D$2,$B$2,1),0)),"",IFERROR(SUMIFS(DATA_GOC!$H:$H,DATA_GOC!$A:$A,"BOM",DATA_GOC!$D:$D,$B403,DATA_GOC!$E:$E,"Dầu cầu",DATA_GOC!$F:$F,"Xuất nội bộ từ téc",DATA_GOC!$B:$B,DATE($D$2,$B$2,C$4)),0))</f>
        <v>0</v>
      </c>
      <c r="D403" s="251">
        <f>IF(D$4&gt;DAY(EOMONTH(DATE($D$2,$B$2,1),0)),"",IFERROR(SUMIFS(DATA_GOC!$H:$H,DATA_GOC!$A:$A,"BOM",DATA_GOC!$D:$D,$B403,DATA_GOC!$E:$E,"Dầu cầu",DATA_GOC!$F:$F,"Xuất nội bộ từ téc",DATA_GOC!$B:$B,DATE($D$2,$B$2,D$4)),0))</f>
        <v>0</v>
      </c>
      <c r="E403" s="251">
        <f>IF(E$4&gt;DAY(EOMONTH(DATE($D$2,$B$2,1),0)),"",IFERROR(SUMIFS(DATA_GOC!$H:$H,DATA_GOC!$A:$A,"BOM",DATA_GOC!$D:$D,$B403,DATA_GOC!$E:$E,"Dầu cầu",DATA_GOC!$F:$F,"Xuất nội bộ từ téc",DATA_GOC!$B:$B,DATE($D$2,$B$2,E$4)),0))</f>
        <v>0</v>
      </c>
      <c r="F403" s="251">
        <f>IF(F$4&gt;DAY(EOMONTH(DATE($D$2,$B$2,1),0)),"",IFERROR(SUMIFS(DATA_GOC!$H:$H,DATA_GOC!$A:$A,"BOM",DATA_GOC!$D:$D,$B403,DATA_GOC!$E:$E,"Dầu cầu",DATA_GOC!$F:$F,"Xuất nội bộ từ téc",DATA_GOC!$B:$B,DATE($D$2,$B$2,F$4)),0))</f>
        <v>0</v>
      </c>
      <c r="G403" s="251">
        <f>IF(G$4&gt;DAY(EOMONTH(DATE($D$2,$B$2,1),0)),"",IFERROR(SUMIFS(DATA_GOC!$H:$H,DATA_GOC!$A:$A,"BOM",DATA_GOC!$D:$D,$B403,DATA_GOC!$E:$E,"Dầu cầu",DATA_GOC!$F:$F,"Xuất nội bộ từ téc",DATA_GOC!$B:$B,DATE($D$2,$B$2,G$4)),0))</f>
        <v>0</v>
      </c>
      <c r="H403" s="251">
        <f>IF(H$4&gt;DAY(EOMONTH(DATE($D$2,$B$2,1),0)),"",IFERROR(SUMIFS(DATA_GOC!$H:$H,DATA_GOC!$A:$A,"BOM",DATA_GOC!$D:$D,$B403,DATA_GOC!$E:$E,"Dầu cầu",DATA_GOC!$F:$F,"Xuất nội bộ từ téc",DATA_GOC!$B:$B,DATE($D$2,$B$2,H$4)),0))</f>
        <v>0</v>
      </c>
      <c r="I403" s="251">
        <f>IF(I$4&gt;DAY(EOMONTH(DATE($D$2,$B$2,1),0)),"",IFERROR(SUMIFS(DATA_GOC!$H:$H,DATA_GOC!$A:$A,"BOM",DATA_GOC!$D:$D,$B403,DATA_GOC!$E:$E,"Dầu cầu",DATA_GOC!$F:$F,"Xuất nội bộ từ téc",DATA_GOC!$B:$B,DATE($D$2,$B$2,I$4)),0))</f>
        <v>0</v>
      </c>
      <c r="J403" s="251">
        <f>IF(J$4&gt;DAY(EOMONTH(DATE($D$2,$B$2,1),0)),"",IFERROR(SUMIFS(DATA_GOC!$H:$H,DATA_GOC!$A:$A,"BOM",DATA_GOC!$D:$D,$B403,DATA_GOC!$E:$E,"Dầu cầu",DATA_GOC!$F:$F,"Xuất nội bộ từ téc",DATA_GOC!$B:$B,DATE($D$2,$B$2,J$4)),0))</f>
        <v>0</v>
      </c>
      <c r="K403" s="251">
        <f>IF(K$4&gt;DAY(EOMONTH(DATE($D$2,$B$2,1),0)),"",IFERROR(SUMIFS(DATA_GOC!$H:$H,DATA_GOC!$A:$A,"BOM",DATA_GOC!$D:$D,$B403,DATA_GOC!$E:$E,"Dầu cầu",DATA_GOC!$F:$F,"Xuất nội bộ từ téc",DATA_GOC!$B:$B,DATE($D$2,$B$2,K$4)),0))</f>
        <v>0</v>
      </c>
      <c r="L403" s="251">
        <f>IF(L$4&gt;DAY(EOMONTH(DATE($D$2,$B$2,1),0)),"",IFERROR(SUMIFS(DATA_GOC!$H:$H,DATA_GOC!$A:$A,"BOM",DATA_GOC!$D:$D,$B403,DATA_GOC!$E:$E,"Dầu cầu",DATA_GOC!$F:$F,"Xuất nội bộ từ téc",DATA_GOC!$B:$B,DATE($D$2,$B$2,L$4)),0))</f>
        <v>0</v>
      </c>
      <c r="M403" s="251">
        <f>IF(M$4&gt;DAY(EOMONTH(DATE($D$2,$B$2,1),0)),"",IFERROR(SUMIFS(DATA_GOC!$H:$H,DATA_GOC!$A:$A,"BOM",DATA_GOC!$D:$D,$B403,DATA_GOC!$E:$E,"Dầu cầu",DATA_GOC!$F:$F,"Xuất nội bộ từ téc",DATA_GOC!$B:$B,DATE($D$2,$B$2,M$4)),0))</f>
        <v>0</v>
      </c>
      <c r="N403" s="251">
        <f>IF(N$4&gt;DAY(EOMONTH(DATE($D$2,$B$2,1),0)),"",IFERROR(SUMIFS(DATA_GOC!$H:$H,DATA_GOC!$A:$A,"BOM",DATA_GOC!$D:$D,$B403,DATA_GOC!$E:$E,"Dầu cầu",DATA_GOC!$F:$F,"Xuất nội bộ từ téc",DATA_GOC!$B:$B,DATE($D$2,$B$2,N$4)),0))</f>
        <v>0</v>
      </c>
      <c r="O403" s="251">
        <f>IF(O$4&gt;DAY(EOMONTH(DATE($D$2,$B$2,1),0)),"",IFERROR(SUMIFS(DATA_GOC!$H:$H,DATA_GOC!$A:$A,"BOM",DATA_GOC!$D:$D,$B403,DATA_GOC!$E:$E,"Dầu cầu",DATA_GOC!$F:$F,"Xuất nội bộ từ téc",DATA_GOC!$B:$B,DATE($D$2,$B$2,O$4)),0))</f>
        <v>0</v>
      </c>
      <c r="P403" s="251">
        <f>IF(P$4&gt;DAY(EOMONTH(DATE($D$2,$B$2,1),0)),"",IFERROR(SUMIFS(DATA_GOC!$H:$H,DATA_GOC!$A:$A,"BOM",DATA_GOC!$D:$D,$B403,DATA_GOC!$E:$E,"Dầu cầu",DATA_GOC!$F:$F,"Xuất nội bộ từ téc",DATA_GOC!$B:$B,DATE($D$2,$B$2,P$4)),0))</f>
        <v>0</v>
      </c>
      <c r="Q403" s="251">
        <f>IF(Q$4&gt;DAY(EOMONTH(DATE($D$2,$B$2,1),0)),"",IFERROR(SUMIFS(DATA_GOC!$H:$H,DATA_GOC!$A:$A,"BOM",DATA_GOC!$D:$D,$B403,DATA_GOC!$E:$E,"Dầu cầu",DATA_GOC!$F:$F,"Xuất nội bộ từ téc",DATA_GOC!$B:$B,DATE($D$2,$B$2,Q$4)),0))</f>
        <v>0</v>
      </c>
      <c r="R403" s="251">
        <f>IF(R$4&gt;DAY(EOMONTH(DATE($D$2,$B$2,1),0)),"",IFERROR(SUMIFS(DATA_GOC!$H:$H,DATA_GOC!$A:$A,"BOM",DATA_GOC!$D:$D,$B403,DATA_GOC!$E:$E,"Dầu cầu",DATA_GOC!$F:$F,"Xuất nội bộ từ téc",DATA_GOC!$B:$B,DATE($D$2,$B$2,R$4)),0))</f>
        <v>0</v>
      </c>
      <c r="S403" s="251">
        <f>IF(S$4&gt;DAY(EOMONTH(DATE($D$2,$B$2,1),0)),"",IFERROR(SUMIFS(DATA_GOC!$H:$H,DATA_GOC!$A:$A,"BOM",DATA_GOC!$D:$D,$B403,DATA_GOC!$E:$E,"Dầu cầu",DATA_GOC!$F:$F,"Xuất nội bộ từ téc",DATA_GOC!$B:$B,DATE($D$2,$B$2,S$4)),0))</f>
        <v>0</v>
      </c>
      <c r="T403" s="251">
        <f>IF(T$4&gt;DAY(EOMONTH(DATE($D$2,$B$2,1),0)),"",IFERROR(SUMIFS(DATA_GOC!$H:$H,DATA_GOC!$A:$A,"BOM",DATA_GOC!$D:$D,$B403,DATA_GOC!$E:$E,"Dầu cầu",DATA_GOC!$F:$F,"Xuất nội bộ từ téc",DATA_GOC!$B:$B,DATE($D$2,$B$2,T$4)),0))</f>
        <v>0</v>
      </c>
      <c r="U403" s="251">
        <f>IF(U$4&gt;DAY(EOMONTH(DATE($D$2,$B$2,1),0)),"",IFERROR(SUMIFS(DATA_GOC!$H:$H,DATA_GOC!$A:$A,"BOM",DATA_GOC!$D:$D,$B403,DATA_GOC!$E:$E,"Dầu cầu",DATA_GOC!$F:$F,"Xuất nội bộ từ téc",DATA_GOC!$B:$B,DATE($D$2,$B$2,U$4)),0))</f>
        <v>0</v>
      </c>
      <c r="V403" s="251">
        <f>IF(V$4&gt;DAY(EOMONTH(DATE($D$2,$B$2,1),0)),"",IFERROR(SUMIFS(DATA_GOC!$H:$H,DATA_GOC!$A:$A,"BOM",DATA_GOC!$D:$D,$B403,DATA_GOC!$E:$E,"Dầu cầu",DATA_GOC!$F:$F,"Xuất nội bộ từ téc",DATA_GOC!$B:$B,DATE($D$2,$B$2,V$4)),0))</f>
        <v>0</v>
      </c>
      <c r="W403" s="251">
        <f>IF(W$4&gt;DAY(EOMONTH(DATE($D$2,$B$2,1),0)),"",IFERROR(SUMIFS(DATA_GOC!$H:$H,DATA_GOC!$A:$A,"BOM",DATA_GOC!$D:$D,$B403,DATA_GOC!$E:$E,"Dầu cầu",DATA_GOC!$F:$F,"Xuất nội bộ từ téc",DATA_GOC!$B:$B,DATE($D$2,$B$2,W$4)),0))</f>
        <v>0</v>
      </c>
      <c r="X403" s="251">
        <f>IF(X$4&gt;DAY(EOMONTH(DATE($D$2,$B$2,1),0)),"",IFERROR(SUMIFS(DATA_GOC!$H:$H,DATA_GOC!$A:$A,"BOM",DATA_GOC!$D:$D,$B403,DATA_GOC!$E:$E,"Dầu cầu",DATA_GOC!$F:$F,"Xuất nội bộ từ téc",DATA_GOC!$B:$B,DATE($D$2,$B$2,X$4)),0))</f>
        <v>0</v>
      </c>
      <c r="Y403" s="251">
        <f>IF(Y$4&gt;DAY(EOMONTH(DATE($D$2,$B$2,1),0)),"",IFERROR(SUMIFS(DATA_GOC!$H:$H,DATA_GOC!$A:$A,"BOM",DATA_GOC!$D:$D,$B403,DATA_GOC!$E:$E,"Dầu cầu",DATA_GOC!$F:$F,"Xuất nội bộ từ téc",DATA_GOC!$B:$B,DATE($D$2,$B$2,Y$4)),0))</f>
        <v>0</v>
      </c>
      <c r="Z403" s="251">
        <f>IF(Z$4&gt;DAY(EOMONTH(DATE($D$2,$B$2,1),0)),"",IFERROR(SUMIFS(DATA_GOC!$H:$H,DATA_GOC!$A:$A,"BOM",DATA_GOC!$D:$D,$B403,DATA_GOC!$E:$E,"Dầu cầu",DATA_GOC!$F:$F,"Xuất nội bộ từ téc",DATA_GOC!$B:$B,DATE($D$2,$B$2,Z$4)),0))</f>
        <v>0</v>
      </c>
      <c r="AA403" s="251">
        <f>IF(AA$4&gt;DAY(EOMONTH(DATE($D$2,$B$2,1),0)),"",IFERROR(SUMIFS(DATA_GOC!$H:$H,DATA_GOC!$A:$A,"BOM",DATA_GOC!$D:$D,$B403,DATA_GOC!$E:$E,"Dầu cầu",DATA_GOC!$F:$F,"Xuất nội bộ từ téc",DATA_GOC!$B:$B,DATE($D$2,$B$2,AA$4)),0))</f>
        <v>0</v>
      </c>
      <c r="AB403" s="251">
        <f>IF(AB$4&gt;DAY(EOMONTH(DATE($D$2,$B$2,1),0)),"",IFERROR(SUMIFS(DATA_GOC!$H:$H,DATA_GOC!$A:$A,"BOM",DATA_GOC!$D:$D,$B403,DATA_GOC!$E:$E,"Dầu cầu",DATA_GOC!$F:$F,"Xuất nội bộ từ téc",DATA_GOC!$B:$B,DATE($D$2,$B$2,AB$4)),0))</f>
        <v>0</v>
      </c>
      <c r="AC403" s="251">
        <f>IF(AC$4&gt;DAY(EOMONTH(DATE($D$2,$B$2,1),0)),"",IFERROR(SUMIFS(DATA_GOC!$H:$H,DATA_GOC!$A:$A,"BOM",DATA_GOC!$D:$D,$B403,DATA_GOC!$E:$E,"Dầu cầu",DATA_GOC!$F:$F,"Xuất nội bộ từ téc",DATA_GOC!$B:$B,DATE($D$2,$B$2,AC$4)),0))</f>
        <v>0</v>
      </c>
      <c r="AD403" s="251">
        <f>IF(AD$4&gt;DAY(EOMONTH(DATE($D$2,$B$2,1),0)),"",IFERROR(SUMIFS(DATA_GOC!$H:$H,DATA_GOC!$A:$A,"BOM",DATA_GOC!$D:$D,$B403,DATA_GOC!$E:$E,"Dầu cầu",DATA_GOC!$F:$F,"Xuất nội bộ từ téc",DATA_GOC!$B:$B,DATE($D$2,$B$2,AD$4)),0))</f>
        <v>0</v>
      </c>
      <c r="AE403" s="251">
        <f>IF(AE$4&gt;DAY(EOMONTH(DATE($D$2,$B$2,1),0)),"",IFERROR(SUMIFS(DATA_GOC!$H:$H,DATA_GOC!$A:$A,"BOM",DATA_GOC!$D:$D,$B403,DATA_GOC!$E:$E,"Dầu cầu",DATA_GOC!$F:$F,"Xuất nội bộ từ téc",DATA_GOC!$B:$B,DATE($D$2,$B$2,AE$4)),0))</f>
        <v>0</v>
      </c>
      <c r="AF403" s="251">
        <f>IF(AF$4&gt;DAY(EOMONTH(DATE($D$2,$B$2,1),0)),"",IFERROR(SUMIFS(DATA_GOC!$H:$H,DATA_GOC!$A:$A,"BOM",DATA_GOC!$D:$D,$B403,DATA_GOC!$E:$E,"Dầu cầu",DATA_GOC!$F:$F,"Xuất nội bộ từ téc",DATA_GOC!$B:$B,DATE($D$2,$B$2,AF$4)),0))</f>
        <v>0</v>
      </c>
      <c r="AG403" s="251">
        <f>IF(AG$4&gt;DAY(EOMONTH(DATE($D$2,$B$2,1),0)),"",IFERROR(SUMIFS(DATA_GOC!$H:$H,DATA_GOC!$A:$A,"BOM",DATA_GOC!$D:$D,$B403,DATA_GOC!$E:$E,"Dầu cầu",DATA_GOC!$F:$F,"Xuất nội bộ từ téc",DATA_GOC!$B:$B,DATE($D$2,$B$2,AG$4)),0))</f>
        <v>0</v>
      </c>
      <c r="AH403" s="252">
        <f t="shared" si="19"/>
        <v>0</v>
      </c>
      <c r="AI403" s="241"/>
      <c r="AJ403" s="242">
        <f>IF($B403="","",SUMIFS(TINH_TEC!$K$233:$K$9232,TINH_TEC!$H$233:$H$9232,$B403,TINH_TEC!$C$233:$C$9232,"Dầu cầu",TINH_TEC!$F$233:$F$9232,$B$2,TINH_TEC!$G$233:$G$9232,$D$2,TINH_TEC!$B$233:$B$9232,"Đã chốt"))</f>
        <v>0</v>
      </c>
      <c r="AK403" s="242">
        <f>IF($B403="","",SUMIFS(TINH_TEC!$J$233:$J$9232,TINH_TEC!$H$233:$H$9232,$B403,TINH_TEC!$C$233:$C$9232,"Dầu cầu",TINH_TEC!$F$233:$F$9232,$B$2,TINH_TEC!$G$233:$G$9232,$D$2,TINH_TEC!$B$233:$B$9232,"Đã chốt"))</f>
        <v>0</v>
      </c>
      <c r="AL403" s="242">
        <f t="shared" si="20"/>
        <v>0</v>
      </c>
    </row>
    <row r="404" ht="15.75" customHeight="1">
      <c r="A404" s="237">
        <f>IF($B404&lt;&gt;"",33,"")</f>
        <v>33</v>
      </c>
      <c r="B404" s="250" t="str">
        <f t="array" ref="B404">IFERROR(INDEX(DANH_MUC!$E:$E,36),"")</f>
        <v>28H00061</v>
      </c>
      <c r="C404" s="251">
        <f>IF(C$4&gt;DAY(EOMONTH(DATE($D$2,$B$2,1),0)),"",IFERROR(SUMIFS(DATA_GOC!$H:$H,DATA_GOC!$A:$A,"BOM",DATA_GOC!$D:$D,$B404,DATA_GOC!$E:$E,"Dầu cầu",DATA_GOC!$F:$F,"Xuất nội bộ từ téc",DATA_GOC!$B:$B,DATE($D$2,$B$2,C$4)),0))</f>
        <v>0</v>
      </c>
      <c r="D404" s="251">
        <f>IF(D$4&gt;DAY(EOMONTH(DATE($D$2,$B$2,1),0)),"",IFERROR(SUMIFS(DATA_GOC!$H:$H,DATA_GOC!$A:$A,"BOM",DATA_GOC!$D:$D,$B404,DATA_GOC!$E:$E,"Dầu cầu",DATA_GOC!$F:$F,"Xuất nội bộ từ téc",DATA_GOC!$B:$B,DATE($D$2,$B$2,D$4)),0))</f>
        <v>0</v>
      </c>
      <c r="E404" s="251">
        <f>IF(E$4&gt;DAY(EOMONTH(DATE($D$2,$B$2,1),0)),"",IFERROR(SUMIFS(DATA_GOC!$H:$H,DATA_GOC!$A:$A,"BOM",DATA_GOC!$D:$D,$B404,DATA_GOC!$E:$E,"Dầu cầu",DATA_GOC!$F:$F,"Xuất nội bộ từ téc",DATA_GOC!$B:$B,DATE($D$2,$B$2,E$4)),0))</f>
        <v>0</v>
      </c>
      <c r="F404" s="251">
        <f>IF(F$4&gt;DAY(EOMONTH(DATE($D$2,$B$2,1),0)),"",IFERROR(SUMIFS(DATA_GOC!$H:$H,DATA_GOC!$A:$A,"BOM",DATA_GOC!$D:$D,$B404,DATA_GOC!$E:$E,"Dầu cầu",DATA_GOC!$F:$F,"Xuất nội bộ từ téc",DATA_GOC!$B:$B,DATE($D$2,$B$2,F$4)),0))</f>
        <v>0</v>
      </c>
      <c r="G404" s="251">
        <f>IF(G$4&gt;DAY(EOMONTH(DATE($D$2,$B$2,1),0)),"",IFERROR(SUMIFS(DATA_GOC!$H:$H,DATA_GOC!$A:$A,"BOM",DATA_GOC!$D:$D,$B404,DATA_GOC!$E:$E,"Dầu cầu",DATA_GOC!$F:$F,"Xuất nội bộ từ téc",DATA_GOC!$B:$B,DATE($D$2,$B$2,G$4)),0))</f>
        <v>0</v>
      </c>
      <c r="H404" s="251">
        <f>IF(H$4&gt;DAY(EOMONTH(DATE($D$2,$B$2,1),0)),"",IFERROR(SUMIFS(DATA_GOC!$H:$H,DATA_GOC!$A:$A,"BOM",DATA_GOC!$D:$D,$B404,DATA_GOC!$E:$E,"Dầu cầu",DATA_GOC!$F:$F,"Xuất nội bộ từ téc",DATA_GOC!$B:$B,DATE($D$2,$B$2,H$4)),0))</f>
        <v>0</v>
      </c>
      <c r="I404" s="251">
        <f>IF(I$4&gt;DAY(EOMONTH(DATE($D$2,$B$2,1),0)),"",IFERROR(SUMIFS(DATA_GOC!$H:$H,DATA_GOC!$A:$A,"BOM",DATA_GOC!$D:$D,$B404,DATA_GOC!$E:$E,"Dầu cầu",DATA_GOC!$F:$F,"Xuất nội bộ từ téc",DATA_GOC!$B:$B,DATE($D$2,$B$2,I$4)),0))</f>
        <v>0</v>
      </c>
      <c r="J404" s="251">
        <f>IF(J$4&gt;DAY(EOMONTH(DATE($D$2,$B$2,1),0)),"",IFERROR(SUMIFS(DATA_GOC!$H:$H,DATA_GOC!$A:$A,"BOM",DATA_GOC!$D:$D,$B404,DATA_GOC!$E:$E,"Dầu cầu",DATA_GOC!$F:$F,"Xuất nội bộ từ téc",DATA_GOC!$B:$B,DATE($D$2,$B$2,J$4)),0))</f>
        <v>0</v>
      </c>
      <c r="K404" s="251">
        <f>IF(K$4&gt;DAY(EOMONTH(DATE($D$2,$B$2,1),0)),"",IFERROR(SUMIFS(DATA_GOC!$H:$H,DATA_GOC!$A:$A,"BOM",DATA_GOC!$D:$D,$B404,DATA_GOC!$E:$E,"Dầu cầu",DATA_GOC!$F:$F,"Xuất nội bộ từ téc",DATA_GOC!$B:$B,DATE($D$2,$B$2,K$4)),0))</f>
        <v>0</v>
      </c>
      <c r="L404" s="251">
        <f>IF(L$4&gt;DAY(EOMONTH(DATE($D$2,$B$2,1),0)),"",IFERROR(SUMIFS(DATA_GOC!$H:$H,DATA_GOC!$A:$A,"BOM",DATA_GOC!$D:$D,$B404,DATA_GOC!$E:$E,"Dầu cầu",DATA_GOC!$F:$F,"Xuất nội bộ từ téc",DATA_GOC!$B:$B,DATE($D$2,$B$2,L$4)),0))</f>
        <v>0</v>
      </c>
      <c r="M404" s="251">
        <f>IF(M$4&gt;DAY(EOMONTH(DATE($D$2,$B$2,1),0)),"",IFERROR(SUMIFS(DATA_GOC!$H:$H,DATA_GOC!$A:$A,"BOM",DATA_GOC!$D:$D,$B404,DATA_GOC!$E:$E,"Dầu cầu",DATA_GOC!$F:$F,"Xuất nội bộ từ téc",DATA_GOC!$B:$B,DATE($D$2,$B$2,M$4)),0))</f>
        <v>0</v>
      </c>
      <c r="N404" s="251">
        <f>IF(N$4&gt;DAY(EOMONTH(DATE($D$2,$B$2,1),0)),"",IFERROR(SUMIFS(DATA_GOC!$H:$H,DATA_GOC!$A:$A,"BOM",DATA_GOC!$D:$D,$B404,DATA_GOC!$E:$E,"Dầu cầu",DATA_GOC!$F:$F,"Xuất nội bộ từ téc",DATA_GOC!$B:$B,DATE($D$2,$B$2,N$4)),0))</f>
        <v>0</v>
      </c>
      <c r="O404" s="251">
        <f>IF(O$4&gt;DAY(EOMONTH(DATE($D$2,$B$2,1),0)),"",IFERROR(SUMIFS(DATA_GOC!$H:$H,DATA_GOC!$A:$A,"BOM",DATA_GOC!$D:$D,$B404,DATA_GOC!$E:$E,"Dầu cầu",DATA_GOC!$F:$F,"Xuất nội bộ từ téc",DATA_GOC!$B:$B,DATE($D$2,$B$2,O$4)),0))</f>
        <v>0</v>
      </c>
      <c r="P404" s="251">
        <f>IF(P$4&gt;DAY(EOMONTH(DATE($D$2,$B$2,1),0)),"",IFERROR(SUMIFS(DATA_GOC!$H:$H,DATA_GOC!$A:$A,"BOM",DATA_GOC!$D:$D,$B404,DATA_GOC!$E:$E,"Dầu cầu",DATA_GOC!$F:$F,"Xuất nội bộ từ téc",DATA_GOC!$B:$B,DATE($D$2,$B$2,P$4)),0))</f>
        <v>0</v>
      </c>
      <c r="Q404" s="251">
        <f>IF(Q$4&gt;DAY(EOMONTH(DATE($D$2,$B$2,1),0)),"",IFERROR(SUMIFS(DATA_GOC!$H:$H,DATA_GOC!$A:$A,"BOM",DATA_GOC!$D:$D,$B404,DATA_GOC!$E:$E,"Dầu cầu",DATA_GOC!$F:$F,"Xuất nội bộ từ téc",DATA_GOC!$B:$B,DATE($D$2,$B$2,Q$4)),0))</f>
        <v>0</v>
      </c>
      <c r="R404" s="251">
        <f>IF(R$4&gt;DAY(EOMONTH(DATE($D$2,$B$2,1),0)),"",IFERROR(SUMIFS(DATA_GOC!$H:$H,DATA_GOC!$A:$A,"BOM",DATA_GOC!$D:$D,$B404,DATA_GOC!$E:$E,"Dầu cầu",DATA_GOC!$F:$F,"Xuất nội bộ từ téc",DATA_GOC!$B:$B,DATE($D$2,$B$2,R$4)),0))</f>
        <v>0</v>
      </c>
      <c r="S404" s="251">
        <f>IF(S$4&gt;DAY(EOMONTH(DATE($D$2,$B$2,1),0)),"",IFERROR(SUMIFS(DATA_GOC!$H:$H,DATA_GOC!$A:$A,"BOM",DATA_GOC!$D:$D,$B404,DATA_GOC!$E:$E,"Dầu cầu",DATA_GOC!$F:$F,"Xuất nội bộ từ téc",DATA_GOC!$B:$B,DATE($D$2,$B$2,S$4)),0))</f>
        <v>0</v>
      </c>
      <c r="T404" s="251">
        <f>IF(T$4&gt;DAY(EOMONTH(DATE($D$2,$B$2,1),0)),"",IFERROR(SUMIFS(DATA_GOC!$H:$H,DATA_GOC!$A:$A,"BOM",DATA_GOC!$D:$D,$B404,DATA_GOC!$E:$E,"Dầu cầu",DATA_GOC!$F:$F,"Xuất nội bộ từ téc",DATA_GOC!$B:$B,DATE($D$2,$B$2,T$4)),0))</f>
        <v>0</v>
      </c>
      <c r="U404" s="251">
        <f>IF(U$4&gt;DAY(EOMONTH(DATE($D$2,$B$2,1),0)),"",IFERROR(SUMIFS(DATA_GOC!$H:$H,DATA_GOC!$A:$A,"BOM",DATA_GOC!$D:$D,$B404,DATA_GOC!$E:$E,"Dầu cầu",DATA_GOC!$F:$F,"Xuất nội bộ từ téc",DATA_GOC!$B:$B,DATE($D$2,$B$2,U$4)),0))</f>
        <v>0</v>
      </c>
      <c r="V404" s="251">
        <f>IF(V$4&gt;DAY(EOMONTH(DATE($D$2,$B$2,1),0)),"",IFERROR(SUMIFS(DATA_GOC!$H:$H,DATA_GOC!$A:$A,"BOM",DATA_GOC!$D:$D,$B404,DATA_GOC!$E:$E,"Dầu cầu",DATA_GOC!$F:$F,"Xuất nội bộ từ téc",DATA_GOC!$B:$B,DATE($D$2,$B$2,V$4)),0))</f>
        <v>0</v>
      </c>
      <c r="W404" s="251">
        <f>IF(W$4&gt;DAY(EOMONTH(DATE($D$2,$B$2,1),0)),"",IFERROR(SUMIFS(DATA_GOC!$H:$H,DATA_GOC!$A:$A,"BOM",DATA_GOC!$D:$D,$B404,DATA_GOC!$E:$E,"Dầu cầu",DATA_GOC!$F:$F,"Xuất nội bộ từ téc",DATA_GOC!$B:$B,DATE($D$2,$B$2,W$4)),0))</f>
        <v>0</v>
      </c>
      <c r="X404" s="251">
        <f>IF(X$4&gt;DAY(EOMONTH(DATE($D$2,$B$2,1),0)),"",IFERROR(SUMIFS(DATA_GOC!$H:$H,DATA_GOC!$A:$A,"BOM",DATA_GOC!$D:$D,$B404,DATA_GOC!$E:$E,"Dầu cầu",DATA_GOC!$F:$F,"Xuất nội bộ từ téc",DATA_GOC!$B:$B,DATE($D$2,$B$2,X$4)),0))</f>
        <v>0</v>
      </c>
      <c r="Y404" s="251">
        <f>IF(Y$4&gt;DAY(EOMONTH(DATE($D$2,$B$2,1),0)),"",IFERROR(SUMIFS(DATA_GOC!$H:$H,DATA_GOC!$A:$A,"BOM",DATA_GOC!$D:$D,$B404,DATA_GOC!$E:$E,"Dầu cầu",DATA_GOC!$F:$F,"Xuất nội bộ từ téc",DATA_GOC!$B:$B,DATE($D$2,$B$2,Y$4)),0))</f>
        <v>0</v>
      </c>
      <c r="Z404" s="251">
        <f>IF(Z$4&gt;DAY(EOMONTH(DATE($D$2,$B$2,1),0)),"",IFERROR(SUMIFS(DATA_GOC!$H:$H,DATA_GOC!$A:$A,"BOM",DATA_GOC!$D:$D,$B404,DATA_GOC!$E:$E,"Dầu cầu",DATA_GOC!$F:$F,"Xuất nội bộ từ téc",DATA_GOC!$B:$B,DATE($D$2,$B$2,Z$4)),0))</f>
        <v>0</v>
      </c>
      <c r="AA404" s="251">
        <f>IF(AA$4&gt;DAY(EOMONTH(DATE($D$2,$B$2,1),0)),"",IFERROR(SUMIFS(DATA_GOC!$H:$H,DATA_GOC!$A:$A,"BOM",DATA_GOC!$D:$D,$B404,DATA_GOC!$E:$E,"Dầu cầu",DATA_GOC!$F:$F,"Xuất nội bộ từ téc",DATA_GOC!$B:$B,DATE($D$2,$B$2,AA$4)),0))</f>
        <v>0</v>
      </c>
      <c r="AB404" s="251">
        <f>IF(AB$4&gt;DAY(EOMONTH(DATE($D$2,$B$2,1),0)),"",IFERROR(SUMIFS(DATA_GOC!$H:$H,DATA_GOC!$A:$A,"BOM",DATA_GOC!$D:$D,$B404,DATA_GOC!$E:$E,"Dầu cầu",DATA_GOC!$F:$F,"Xuất nội bộ từ téc",DATA_GOC!$B:$B,DATE($D$2,$B$2,AB$4)),0))</f>
        <v>0</v>
      </c>
      <c r="AC404" s="251">
        <f>IF(AC$4&gt;DAY(EOMONTH(DATE($D$2,$B$2,1),0)),"",IFERROR(SUMIFS(DATA_GOC!$H:$H,DATA_GOC!$A:$A,"BOM",DATA_GOC!$D:$D,$B404,DATA_GOC!$E:$E,"Dầu cầu",DATA_GOC!$F:$F,"Xuất nội bộ từ téc",DATA_GOC!$B:$B,DATE($D$2,$B$2,AC$4)),0))</f>
        <v>0</v>
      </c>
      <c r="AD404" s="251">
        <f>IF(AD$4&gt;DAY(EOMONTH(DATE($D$2,$B$2,1),0)),"",IFERROR(SUMIFS(DATA_GOC!$H:$H,DATA_GOC!$A:$A,"BOM",DATA_GOC!$D:$D,$B404,DATA_GOC!$E:$E,"Dầu cầu",DATA_GOC!$F:$F,"Xuất nội bộ từ téc",DATA_GOC!$B:$B,DATE($D$2,$B$2,AD$4)),0))</f>
        <v>0</v>
      </c>
      <c r="AE404" s="251">
        <f>IF(AE$4&gt;DAY(EOMONTH(DATE($D$2,$B$2,1),0)),"",IFERROR(SUMIFS(DATA_GOC!$H:$H,DATA_GOC!$A:$A,"BOM",DATA_GOC!$D:$D,$B404,DATA_GOC!$E:$E,"Dầu cầu",DATA_GOC!$F:$F,"Xuất nội bộ từ téc",DATA_GOC!$B:$B,DATE($D$2,$B$2,AE$4)),0))</f>
        <v>0</v>
      </c>
      <c r="AF404" s="251">
        <f>IF(AF$4&gt;DAY(EOMONTH(DATE($D$2,$B$2,1),0)),"",IFERROR(SUMIFS(DATA_GOC!$H:$H,DATA_GOC!$A:$A,"BOM",DATA_GOC!$D:$D,$B404,DATA_GOC!$E:$E,"Dầu cầu",DATA_GOC!$F:$F,"Xuất nội bộ từ téc",DATA_GOC!$B:$B,DATE($D$2,$B$2,AF$4)),0))</f>
        <v>0</v>
      </c>
      <c r="AG404" s="251">
        <f>IF(AG$4&gt;DAY(EOMONTH(DATE($D$2,$B$2,1),0)),"",IFERROR(SUMIFS(DATA_GOC!$H:$H,DATA_GOC!$A:$A,"BOM",DATA_GOC!$D:$D,$B404,DATA_GOC!$E:$E,"Dầu cầu",DATA_GOC!$F:$F,"Xuất nội bộ từ téc",DATA_GOC!$B:$B,DATE($D$2,$B$2,AG$4)),0))</f>
        <v>0</v>
      </c>
      <c r="AH404" s="252">
        <f t="shared" si="19"/>
        <v>0</v>
      </c>
      <c r="AI404" s="241"/>
      <c r="AJ404" s="242">
        <f>IF($B404="","",SUMIFS(TINH_TEC!$K$233:$K$9232,TINH_TEC!$H$233:$H$9232,$B404,TINH_TEC!$C$233:$C$9232,"Dầu cầu",TINH_TEC!$F$233:$F$9232,$B$2,TINH_TEC!$G$233:$G$9232,$D$2,TINH_TEC!$B$233:$B$9232,"Đã chốt"))</f>
        <v>0</v>
      </c>
      <c r="AK404" s="242">
        <f>IF($B404="","",SUMIFS(TINH_TEC!$J$233:$J$9232,TINH_TEC!$H$233:$H$9232,$B404,TINH_TEC!$C$233:$C$9232,"Dầu cầu",TINH_TEC!$F$233:$F$9232,$B$2,TINH_TEC!$G$233:$G$9232,$D$2,TINH_TEC!$B$233:$B$9232,"Đã chốt"))</f>
        <v>0</v>
      </c>
      <c r="AL404" s="242">
        <f t="shared" si="20"/>
        <v>0</v>
      </c>
    </row>
    <row r="405" ht="15.75" customHeight="1">
      <c r="A405" s="237">
        <f>IF($B405&lt;&gt;"",34,"")</f>
        <v>34</v>
      </c>
      <c r="B405" s="250" t="str">
        <f t="array" ref="B405">IFERROR(INDEX(DANH_MUC!$E:$E,37),"")</f>
        <v>28H00354</v>
      </c>
      <c r="C405" s="251">
        <f>IF(C$4&gt;DAY(EOMONTH(DATE($D$2,$B$2,1),0)),"",IFERROR(SUMIFS(DATA_GOC!$H:$H,DATA_GOC!$A:$A,"BOM",DATA_GOC!$D:$D,$B405,DATA_GOC!$E:$E,"Dầu cầu",DATA_GOC!$F:$F,"Xuất nội bộ từ téc",DATA_GOC!$B:$B,DATE($D$2,$B$2,C$4)),0))</f>
        <v>0</v>
      </c>
      <c r="D405" s="251">
        <f>IF(D$4&gt;DAY(EOMONTH(DATE($D$2,$B$2,1),0)),"",IFERROR(SUMIFS(DATA_GOC!$H:$H,DATA_GOC!$A:$A,"BOM",DATA_GOC!$D:$D,$B405,DATA_GOC!$E:$E,"Dầu cầu",DATA_GOC!$F:$F,"Xuất nội bộ từ téc",DATA_GOC!$B:$B,DATE($D$2,$B$2,D$4)),0))</f>
        <v>0</v>
      </c>
      <c r="E405" s="251">
        <f>IF(E$4&gt;DAY(EOMONTH(DATE($D$2,$B$2,1),0)),"",IFERROR(SUMIFS(DATA_GOC!$H:$H,DATA_GOC!$A:$A,"BOM",DATA_GOC!$D:$D,$B405,DATA_GOC!$E:$E,"Dầu cầu",DATA_GOC!$F:$F,"Xuất nội bộ từ téc",DATA_GOC!$B:$B,DATE($D$2,$B$2,E$4)),0))</f>
        <v>0</v>
      </c>
      <c r="F405" s="251">
        <f>IF(F$4&gt;DAY(EOMONTH(DATE($D$2,$B$2,1),0)),"",IFERROR(SUMIFS(DATA_GOC!$H:$H,DATA_GOC!$A:$A,"BOM",DATA_GOC!$D:$D,$B405,DATA_GOC!$E:$E,"Dầu cầu",DATA_GOC!$F:$F,"Xuất nội bộ từ téc",DATA_GOC!$B:$B,DATE($D$2,$B$2,F$4)),0))</f>
        <v>0</v>
      </c>
      <c r="G405" s="251">
        <f>IF(G$4&gt;DAY(EOMONTH(DATE($D$2,$B$2,1),0)),"",IFERROR(SUMIFS(DATA_GOC!$H:$H,DATA_GOC!$A:$A,"BOM",DATA_GOC!$D:$D,$B405,DATA_GOC!$E:$E,"Dầu cầu",DATA_GOC!$F:$F,"Xuất nội bộ từ téc",DATA_GOC!$B:$B,DATE($D$2,$B$2,G$4)),0))</f>
        <v>0</v>
      </c>
      <c r="H405" s="251">
        <f>IF(H$4&gt;DAY(EOMONTH(DATE($D$2,$B$2,1),0)),"",IFERROR(SUMIFS(DATA_GOC!$H:$H,DATA_GOC!$A:$A,"BOM",DATA_GOC!$D:$D,$B405,DATA_GOC!$E:$E,"Dầu cầu",DATA_GOC!$F:$F,"Xuất nội bộ từ téc",DATA_GOC!$B:$B,DATE($D$2,$B$2,H$4)),0))</f>
        <v>0</v>
      </c>
      <c r="I405" s="251">
        <f>IF(I$4&gt;DAY(EOMONTH(DATE($D$2,$B$2,1),0)),"",IFERROR(SUMIFS(DATA_GOC!$H:$H,DATA_GOC!$A:$A,"BOM",DATA_GOC!$D:$D,$B405,DATA_GOC!$E:$E,"Dầu cầu",DATA_GOC!$F:$F,"Xuất nội bộ từ téc",DATA_GOC!$B:$B,DATE($D$2,$B$2,I$4)),0))</f>
        <v>0</v>
      </c>
      <c r="J405" s="251">
        <f>IF(J$4&gt;DAY(EOMONTH(DATE($D$2,$B$2,1),0)),"",IFERROR(SUMIFS(DATA_GOC!$H:$H,DATA_GOC!$A:$A,"BOM",DATA_GOC!$D:$D,$B405,DATA_GOC!$E:$E,"Dầu cầu",DATA_GOC!$F:$F,"Xuất nội bộ từ téc",DATA_GOC!$B:$B,DATE($D$2,$B$2,J$4)),0))</f>
        <v>0</v>
      </c>
      <c r="K405" s="251">
        <f>IF(K$4&gt;DAY(EOMONTH(DATE($D$2,$B$2,1),0)),"",IFERROR(SUMIFS(DATA_GOC!$H:$H,DATA_GOC!$A:$A,"BOM",DATA_GOC!$D:$D,$B405,DATA_GOC!$E:$E,"Dầu cầu",DATA_GOC!$F:$F,"Xuất nội bộ từ téc",DATA_GOC!$B:$B,DATE($D$2,$B$2,K$4)),0))</f>
        <v>0</v>
      </c>
      <c r="L405" s="251">
        <f>IF(L$4&gt;DAY(EOMONTH(DATE($D$2,$B$2,1),0)),"",IFERROR(SUMIFS(DATA_GOC!$H:$H,DATA_GOC!$A:$A,"BOM",DATA_GOC!$D:$D,$B405,DATA_GOC!$E:$E,"Dầu cầu",DATA_GOC!$F:$F,"Xuất nội bộ từ téc",DATA_GOC!$B:$B,DATE($D$2,$B$2,L$4)),0))</f>
        <v>0</v>
      </c>
      <c r="M405" s="251">
        <f>IF(M$4&gt;DAY(EOMONTH(DATE($D$2,$B$2,1),0)),"",IFERROR(SUMIFS(DATA_GOC!$H:$H,DATA_GOC!$A:$A,"BOM",DATA_GOC!$D:$D,$B405,DATA_GOC!$E:$E,"Dầu cầu",DATA_GOC!$F:$F,"Xuất nội bộ từ téc",DATA_GOC!$B:$B,DATE($D$2,$B$2,M$4)),0))</f>
        <v>0</v>
      </c>
      <c r="N405" s="251">
        <f>IF(N$4&gt;DAY(EOMONTH(DATE($D$2,$B$2,1),0)),"",IFERROR(SUMIFS(DATA_GOC!$H:$H,DATA_GOC!$A:$A,"BOM",DATA_GOC!$D:$D,$B405,DATA_GOC!$E:$E,"Dầu cầu",DATA_GOC!$F:$F,"Xuất nội bộ từ téc",DATA_GOC!$B:$B,DATE($D$2,$B$2,N$4)),0))</f>
        <v>0</v>
      </c>
      <c r="O405" s="251">
        <f>IF(O$4&gt;DAY(EOMONTH(DATE($D$2,$B$2,1),0)),"",IFERROR(SUMIFS(DATA_GOC!$H:$H,DATA_GOC!$A:$A,"BOM",DATA_GOC!$D:$D,$B405,DATA_GOC!$E:$E,"Dầu cầu",DATA_GOC!$F:$F,"Xuất nội bộ từ téc",DATA_GOC!$B:$B,DATE($D$2,$B$2,O$4)),0))</f>
        <v>0</v>
      </c>
      <c r="P405" s="251">
        <f>IF(P$4&gt;DAY(EOMONTH(DATE($D$2,$B$2,1),0)),"",IFERROR(SUMIFS(DATA_GOC!$H:$H,DATA_GOC!$A:$A,"BOM",DATA_GOC!$D:$D,$B405,DATA_GOC!$E:$E,"Dầu cầu",DATA_GOC!$F:$F,"Xuất nội bộ từ téc",DATA_GOC!$B:$B,DATE($D$2,$B$2,P$4)),0))</f>
        <v>0</v>
      </c>
      <c r="Q405" s="251">
        <f>IF(Q$4&gt;DAY(EOMONTH(DATE($D$2,$B$2,1),0)),"",IFERROR(SUMIFS(DATA_GOC!$H:$H,DATA_GOC!$A:$A,"BOM",DATA_GOC!$D:$D,$B405,DATA_GOC!$E:$E,"Dầu cầu",DATA_GOC!$F:$F,"Xuất nội bộ từ téc",DATA_GOC!$B:$B,DATE($D$2,$B$2,Q$4)),0))</f>
        <v>0</v>
      </c>
      <c r="R405" s="251">
        <f>IF(R$4&gt;DAY(EOMONTH(DATE($D$2,$B$2,1),0)),"",IFERROR(SUMIFS(DATA_GOC!$H:$H,DATA_GOC!$A:$A,"BOM",DATA_GOC!$D:$D,$B405,DATA_GOC!$E:$E,"Dầu cầu",DATA_GOC!$F:$F,"Xuất nội bộ từ téc",DATA_GOC!$B:$B,DATE($D$2,$B$2,R$4)),0))</f>
        <v>0</v>
      </c>
      <c r="S405" s="251">
        <f>IF(S$4&gt;DAY(EOMONTH(DATE($D$2,$B$2,1),0)),"",IFERROR(SUMIFS(DATA_GOC!$H:$H,DATA_GOC!$A:$A,"BOM",DATA_GOC!$D:$D,$B405,DATA_GOC!$E:$E,"Dầu cầu",DATA_GOC!$F:$F,"Xuất nội bộ từ téc",DATA_GOC!$B:$B,DATE($D$2,$B$2,S$4)),0))</f>
        <v>0</v>
      </c>
      <c r="T405" s="251">
        <f>IF(T$4&gt;DAY(EOMONTH(DATE($D$2,$B$2,1),0)),"",IFERROR(SUMIFS(DATA_GOC!$H:$H,DATA_GOC!$A:$A,"BOM",DATA_GOC!$D:$D,$B405,DATA_GOC!$E:$E,"Dầu cầu",DATA_GOC!$F:$F,"Xuất nội bộ từ téc",DATA_GOC!$B:$B,DATE($D$2,$B$2,T$4)),0))</f>
        <v>0</v>
      </c>
      <c r="U405" s="251">
        <f>IF(U$4&gt;DAY(EOMONTH(DATE($D$2,$B$2,1),0)),"",IFERROR(SUMIFS(DATA_GOC!$H:$H,DATA_GOC!$A:$A,"BOM",DATA_GOC!$D:$D,$B405,DATA_GOC!$E:$E,"Dầu cầu",DATA_GOC!$F:$F,"Xuất nội bộ từ téc",DATA_GOC!$B:$B,DATE($D$2,$B$2,U$4)),0))</f>
        <v>0</v>
      </c>
      <c r="V405" s="251">
        <f>IF(V$4&gt;DAY(EOMONTH(DATE($D$2,$B$2,1),0)),"",IFERROR(SUMIFS(DATA_GOC!$H:$H,DATA_GOC!$A:$A,"BOM",DATA_GOC!$D:$D,$B405,DATA_GOC!$E:$E,"Dầu cầu",DATA_GOC!$F:$F,"Xuất nội bộ từ téc",DATA_GOC!$B:$B,DATE($D$2,$B$2,V$4)),0))</f>
        <v>0</v>
      </c>
      <c r="W405" s="251">
        <f>IF(W$4&gt;DAY(EOMONTH(DATE($D$2,$B$2,1),0)),"",IFERROR(SUMIFS(DATA_GOC!$H:$H,DATA_GOC!$A:$A,"BOM",DATA_GOC!$D:$D,$B405,DATA_GOC!$E:$E,"Dầu cầu",DATA_GOC!$F:$F,"Xuất nội bộ từ téc",DATA_GOC!$B:$B,DATE($D$2,$B$2,W$4)),0))</f>
        <v>0</v>
      </c>
      <c r="X405" s="251">
        <f>IF(X$4&gt;DAY(EOMONTH(DATE($D$2,$B$2,1),0)),"",IFERROR(SUMIFS(DATA_GOC!$H:$H,DATA_GOC!$A:$A,"BOM",DATA_GOC!$D:$D,$B405,DATA_GOC!$E:$E,"Dầu cầu",DATA_GOC!$F:$F,"Xuất nội bộ từ téc",DATA_GOC!$B:$B,DATE($D$2,$B$2,X$4)),0))</f>
        <v>0</v>
      </c>
      <c r="Y405" s="251">
        <f>IF(Y$4&gt;DAY(EOMONTH(DATE($D$2,$B$2,1),0)),"",IFERROR(SUMIFS(DATA_GOC!$H:$H,DATA_GOC!$A:$A,"BOM",DATA_GOC!$D:$D,$B405,DATA_GOC!$E:$E,"Dầu cầu",DATA_GOC!$F:$F,"Xuất nội bộ từ téc",DATA_GOC!$B:$B,DATE($D$2,$B$2,Y$4)),0))</f>
        <v>0</v>
      </c>
      <c r="Z405" s="251">
        <f>IF(Z$4&gt;DAY(EOMONTH(DATE($D$2,$B$2,1),0)),"",IFERROR(SUMIFS(DATA_GOC!$H:$H,DATA_GOC!$A:$A,"BOM",DATA_GOC!$D:$D,$B405,DATA_GOC!$E:$E,"Dầu cầu",DATA_GOC!$F:$F,"Xuất nội bộ từ téc",DATA_GOC!$B:$B,DATE($D$2,$B$2,Z$4)),0))</f>
        <v>0</v>
      </c>
      <c r="AA405" s="251">
        <f>IF(AA$4&gt;DAY(EOMONTH(DATE($D$2,$B$2,1),0)),"",IFERROR(SUMIFS(DATA_GOC!$H:$H,DATA_GOC!$A:$A,"BOM",DATA_GOC!$D:$D,$B405,DATA_GOC!$E:$E,"Dầu cầu",DATA_GOC!$F:$F,"Xuất nội bộ từ téc",DATA_GOC!$B:$B,DATE($D$2,$B$2,AA$4)),0))</f>
        <v>0</v>
      </c>
      <c r="AB405" s="251">
        <f>IF(AB$4&gt;DAY(EOMONTH(DATE($D$2,$B$2,1),0)),"",IFERROR(SUMIFS(DATA_GOC!$H:$H,DATA_GOC!$A:$A,"BOM",DATA_GOC!$D:$D,$B405,DATA_GOC!$E:$E,"Dầu cầu",DATA_GOC!$F:$F,"Xuất nội bộ từ téc",DATA_GOC!$B:$B,DATE($D$2,$B$2,AB$4)),0))</f>
        <v>0</v>
      </c>
      <c r="AC405" s="251">
        <f>IF(AC$4&gt;DAY(EOMONTH(DATE($D$2,$B$2,1),0)),"",IFERROR(SUMIFS(DATA_GOC!$H:$H,DATA_GOC!$A:$A,"BOM",DATA_GOC!$D:$D,$B405,DATA_GOC!$E:$E,"Dầu cầu",DATA_GOC!$F:$F,"Xuất nội bộ từ téc",DATA_GOC!$B:$B,DATE($D$2,$B$2,AC$4)),0))</f>
        <v>0</v>
      </c>
      <c r="AD405" s="251">
        <f>IF(AD$4&gt;DAY(EOMONTH(DATE($D$2,$B$2,1),0)),"",IFERROR(SUMIFS(DATA_GOC!$H:$H,DATA_GOC!$A:$A,"BOM",DATA_GOC!$D:$D,$B405,DATA_GOC!$E:$E,"Dầu cầu",DATA_GOC!$F:$F,"Xuất nội bộ từ téc",DATA_GOC!$B:$B,DATE($D$2,$B$2,AD$4)),0))</f>
        <v>0</v>
      </c>
      <c r="AE405" s="251">
        <f>IF(AE$4&gt;DAY(EOMONTH(DATE($D$2,$B$2,1),0)),"",IFERROR(SUMIFS(DATA_GOC!$H:$H,DATA_GOC!$A:$A,"BOM",DATA_GOC!$D:$D,$B405,DATA_GOC!$E:$E,"Dầu cầu",DATA_GOC!$F:$F,"Xuất nội bộ từ téc",DATA_GOC!$B:$B,DATE($D$2,$B$2,AE$4)),0))</f>
        <v>0</v>
      </c>
      <c r="AF405" s="251">
        <f>IF(AF$4&gt;DAY(EOMONTH(DATE($D$2,$B$2,1),0)),"",IFERROR(SUMIFS(DATA_GOC!$H:$H,DATA_GOC!$A:$A,"BOM",DATA_GOC!$D:$D,$B405,DATA_GOC!$E:$E,"Dầu cầu",DATA_GOC!$F:$F,"Xuất nội bộ từ téc",DATA_GOC!$B:$B,DATE($D$2,$B$2,AF$4)),0))</f>
        <v>0</v>
      </c>
      <c r="AG405" s="251">
        <f>IF(AG$4&gt;DAY(EOMONTH(DATE($D$2,$B$2,1),0)),"",IFERROR(SUMIFS(DATA_GOC!$H:$H,DATA_GOC!$A:$A,"BOM",DATA_GOC!$D:$D,$B405,DATA_GOC!$E:$E,"Dầu cầu",DATA_GOC!$F:$F,"Xuất nội bộ từ téc",DATA_GOC!$B:$B,DATE($D$2,$B$2,AG$4)),0))</f>
        <v>0</v>
      </c>
      <c r="AH405" s="252">
        <f t="shared" si="19"/>
        <v>0</v>
      </c>
      <c r="AI405" s="241"/>
      <c r="AJ405" s="242">
        <f>IF($B405="","",SUMIFS(TINH_TEC!$K$233:$K$9232,TINH_TEC!$H$233:$H$9232,$B405,TINH_TEC!$C$233:$C$9232,"Dầu cầu",TINH_TEC!$F$233:$F$9232,$B$2,TINH_TEC!$G$233:$G$9232,$D$2,TINH_TEC!$B$233:$B$9232,"Đã chốt"))</f>
        <v>0</v>
      </c>
      <c r="AK405" s="242">
        <f>IF($B405="","",SUMIFS(TINH_TEC!$J$233:$J$9232,TINH_TEC!$H$233:$H$9232,$B405,TINH_TEC!$C$233:$C$9232,"Dầu cầu",TINH_TEC!$F$233:$F$9232,$B$2,TINH_TEC!$G$233:$G$9232,$D$2,TINH_TEC!$B$233:$B$9232,"Đã chốt"))</f>
        <v>0</v>
      </c>
      <c r="AL405" s="242">
        <f t="shared" si="20"/>
        <v>0</v>
      </c>
    </row>
    <row r="406" ht="15.75" customHeight="1">
      <c r="A406" s="237">
        <f>IF($B406&lt;&gt;"",35,"")</f>
        <v>35</v>
      </c>
      <c r="B406" s="250" t="str">
        <f t="array" ref="B406">IFERROR(INDEX(DANH_MUC!$E:$E,38),"")</f>
        <v>28H00603</v>
      </c>
      <c r="C406" s="251">
        <f>IF(C$4&gt;DAY(EOMONTH(DATE($D$2,$B$2,1),0)),"",IFERROR(SUMIFS(DATA_GOC!$H:$H,DATA_GOC!$A:$A,"BOM",DATA_GOC!$D:$D,$B406,DATA_GOC!$E:$E,"Dầu cầu",DATA_GOC!$F:$F,"Xuất nội bộ từ téc",DATA_GOC!$B:$B,DATE($D$2,$B$2,C$4)),0))</f>
        <v>0</v>
      </c>
      <c r="D406" s="251">
        <f>IF(D$4&gt;DAY(EOMONTH(DATE($D$2,$B$2,1),0)),"",IFERROR(SUMIFS(DATA_GOC!$H:$H,DATA_GOC!$A:$A,"BOM",DATA_GOC!$D:$D,$B406,DATA_GOC!$E:$E,"Dầu cầu",DATA_GOC!$F:$F,"Xuất nội bộ từ téc",DATA_GOC!$B:$B,DATE($D$2,$B$2,D$4)),0))</f>
        <v>0</v>
      </c>
      <c r="E406" s="251">
        <f>IF(E$4&gt;DAY(EOMONTH(DATE($D$2,$B$2,1),0)),"",IFERROR(SUMIFS(DATA_GOC!$H:$H,DATA_GOC!$A:$A,"BOM",DATA_GOC!$D:$D,$B406,DATA_GOC!$E:$E,"Dầu cầu",DATA_GOC!$F:$F,"Xuất nội bộ từ téc",DATA_GOC!$B:$B,DATE($D$2,$B$2,E$4)),0))</f>
        <v>0</v>
      </c>
      <c r="F406" s="251">
        <f>IF(F$4&gt;DAY(EOMONTH(DATE($D$2,$B$2,1),0)),"",IFERROR(SUMIFS(DATA_GOC!$H:$H,DATA_GOC!$A:$A,"BOM",DATA_GOC!$D:$D,$B406,DATA_GOC!$E:$E,"Dầu cầu",DATA_GOC!$F:$F,"Xuất nội bộ từ téc",DATA_GOC!$B:$B,DATE($D$2,$B$2,F$4)),0))</f>
        <v>0</v>
      </c>
      <c r="G406" s="251">
        <f>IF(G$4&gt;DAY(EOMONTH(DATE($D$2,$B$2,1),0)),"",IFERROR(SUMIFS(DATA_GOC!$H:$H,DATA_GOC!$A:$A,"BOM",DATA_GOC!$D:$D,$B406,DATA_GOC!$E:$E,"Dầu cầu",DATA_GOC!$F:$F,"Xuất nội bộ từ téc",DATA_GOC!$B:$B,DATE($D$2,$B$2,G$4)),0))</f>
        <v>0</v>
      </c>
      <c r="H406" s="251">
        <f>IF(H$4&gt;DAY(EOMONTH(DATE($D$2,$B$2,1),0)),"",IFERROR(SUMIFS(DATA_GOC!$H:$H,DATA_GOC!$A:$A,"BOM",DATA_GOC!$D:$D,$B406,DATA_GOC!$E:$E,"Dầu cầu",DATA_GOC!$F:$F,"Xuất nội bộ từ téc",DATA_GOC!$B:$B,DATE($D$2,$B$2,H$4)),0))</f>
        <v>0</v>
      </c>
      <c r="I406" s="251">
        <f>IF(I$4&gt;DAY(EOMONTH(DATE($D$2,$B$2,1),0)),"",IFERROR(SUMIFS(DATA_GOC!$H:$H,DATA_GOC!$A:$A,"BOM",DATA_GOC!$D:$D,$B406,DATA_GOC!$E:$E,"Dầu cầu",DATA_GOC!$F:$F,"Xuất nội bộ từ téc",DATA_GOC!$B:$B,DATE($D$2,$B$2,I$4)),0))</f>
        <v>0</v>
      </c>
      <c r="J406" s="251">
        <f>IF(J$4&gt;DAY(EOMONTH(DATE($D$2,$B$2,1),0)),"",IFERROR(SUMIFS(DATA_GOC!$H:$H,DATA_GOC!$A:$A,"BOM",DATA_GOC!$D:$D,$B406,DATA_GOC!$E:$E,"Dầu cầu",DATA_GOC!$F:$F,"Xuất nội bộ từ téc",DATA_GOC!$B:$B,DATE($D$2,$B$2,J$4)),0))</f>
        <v>0</v>
      </c>
      <c r="K406" s="251">
        <f>IF(K$4&gt;DAY(EOMONTH(DATE($D$2,$B$2,1),0)),"",IFERROR(SUMIFS(DATA_GOC!$H:$H,DATA_GOC!$A:$A,"BOM",DATA_GOC!$D:$D,$B406,DATA_GOC!$E:$E,"Dầu cầu",DATA_GOC!$F:$F,"Xuất nội bộ từ téc",DATA_GOC!$B:$B,DATE($D$2,$B$2,K$4)),0))</f>
        <v>0</v>
      </c>
      <c r="L406" s="251">
        <f>IF(L$4&gt;DAY(EOMONTH(DATE($D$2,$B$2,1),0)),"",IFERROR(SUMIFS(DATA_GOC!$H:$H,DATA_GOC!$A:$A,"BOM",DATA_GOC!$D:$D,$B406,DATA_GOC!$E:$E,"Dầu cầu",DATA_GOC!$F:$F,"Xuất nội bộ từ téc",DATA_GOC!$B:$B,DATE($D$2,$B$2,L$4)),0))</f>
        <v>0</v>
      </c>
      <c r="M406" s="251">
        <f>IF(M$4&gt;DAY(EOMONTH(DATE($D$2,$B$2,1),0)),"",IFERROR(SUMIFS(DATA_GOC!$H:$H,DATA_GOC!$A:$A,"BOM",DATA_GOC!$D:$D,$B406,DATA_GOC!$E:$E,"Dầu cầu",DATA_GOC!$F:$F,"Xuất nội bộ từ téc",DATA_GOC!$B:$B,DATE($D$2,$B$2,M$4)),0))</f>
        <v>0</v>
      </c>
      <c r="N406" s="251">
        <f>IF(N$4&gt;DAY(EOMONTH(DATE($D$2,$B$2,1),0)),"",IFERROR(SUMIFS(DATA_GOC!$H:$H,DATA_GOC!$A:$A,"BOM",DATA_GOC!$D:$D,$B406,DATA_GOC!$E:$E,"Dầu cầu",DATA_GOC!$F:$F,"Xuất nội bộ từ téc",DATA_GOC!$B:$B,DATE($D$2,$B$2,N$4)),0))</f>
        <v>0</v>
      </c>
      <c r="O406" s="251">
        <f>IF(O$4&gt;DAY(EOMONTH(DATE($D$2,$B$2,1),0)),"",IFERROR(SUMIFS(DATA_GOC!$H:$H,DATA_GOC!$A:$A,"BOM",DATA_GOC!$D:$D,$B406,DATA_GOC!$E:$E,"Dầu cầu",DATA_GOC!$F:$F,"Xuất nội bộ từ téc",DATA_GOC!$B:$B,DATE($D$2,$B$2,O$4)),0))</f>
        <v>0</v>
      </c>
      <c r="P406" s="251">
        <f>IF(P$4&gt;DAY(EOMONTH(DATE($D$2,$B$2,1),0)),"",IFERROR(SUMIFS(DATA_GOC!$H:$H,DATA_GOC!$A:$A,"BOM",DATA_GOC!$D:$D,$B406,DATA_GOC!$E:$E,"Dầu cầu",DATA_GOC!$F:$F,"Xuất nội bộ từ téc",DATA_GOC!$B:$B,DATE($D$2,$B$2,P$4)),0))</f>
        <v>0</v>
      </c>
      <c r="Q406" s="251">
        <f>IF(Q$4&gt;DAY(EOMONTH(DATE($D$2,$B$2,1),0)),"",IFERROR(SUMIFS(DATA_GOC!$H:$H,DATA_GOC!$A:$A,"BOM",DATA_GOC!$D:$D,$B406,DATA_GOC!$E:$E,"Dầu cầu",DATA_GOC!$F:$F,"Xuất nội bộ từ téc",DATA_GOC!$B:$B,DATE($D$2,$B$2,Q$4)),0))</f>
        <v>0</v>
      </c>
      <c r="R406" s="251">
        <f>IF(R$4&gt;DAY(EOMONTH(DATE($D$2,$B$2,1),0)),"",IFERROR(SUMIFS(DATA_GOC!$H:$H,DATA_GOC!$A:$A,"BOM",DATA_GOC!$D:$D,$B406,DATA_GOC!$E:$E,"Dầu cầu",DATA_GOC!$F:$F,"Xuất nội bộ từ téc",DATA_GOC!$B:$B,DATE($D$2,$B$2,R$4)),0))</f>
        <v>0</v>
      </c>
      <c r="S406" s="251">
        <f>IF(S$4&gt;DAY(EOMONTH(DATE($D$2,$B$2,1),0)),"",IFERROR(SUMIFS(DATA_GOC!$H:$H,DATA_GOC!$A:$A,"BOM",DATA_GOC!$D:$D,$B406,DATA_GOC!$E:$E,"Dầu cầu",DATA_GOC!$F:$F,"Xuất nội bộ từ téc",DATA_GOC!$B:$B,DATE($D$2,$B$2,S$4)),0))</f>
        <v>0</v>
      </c>
      <c r="T406" s="251">
        <f>IF(T$4&gt;DAY(EOMONTH(DATE($D$2,$B$2,1),0)),"",IFERROR(SUMIFS(DATA_GOC!$H:$H,DATA_GOC!$A:$A,"BOM",DATA_GOC!$D:$D,$B406,DATA_GOC!$E:$E,"Dầu cầu",DATA_GOC!$F:$F,"Xuất nội bộ từ téc",DATA_GOC!$B:$B,DATE($D$2,$B$2,T$4)),0))</f>
        <v>0</v>
      </c>
      <c r="U406" s="251">
        <f>IF(U$4&gt;DAY(EOMONTH(DATE($D$2,$B$2,1),0)),"",IFERROR(SUMIFS(DATA_GOC!$H:$H,DATA_GOC!$A:$A,"BOM",DATA_GOC!$D:$D,$B406,DATA_GOC!$E:$E,"Dầu cầu",DATA_GOC!$F:$F,"Xuất nội bộ từ téc",DATA_GOC!$B:$B,DATE($D$2,$B$2,U$4)),0))</f>
        <v>0</v>
      </c>
      <c r="V406" s="251">
        <f>IF(V$4&gt;DAY(EOMONTH(DATE($D$2,$B$2,1),0)),"",IFERROR(SUMIFS(DATA_GOC!$H:$H,DATA_GOC!$A:$A,"BOM",DATA_GOC!$D:$D,$B406,DATA_GOC!$E:$E,"Dầu cầu",DATA_GOC!$F:$F,"Xuất nội bộ từ téc",DATA_GOC!$B:$B,DATE($D$2,$B$2,V$4)),0))</f>
        <v>0</v>
      </c>
      <c r="W406" s="251">
        <f>IF(W$4&gt;DAY(EOMONTH(DATE($D$2,$B$2,1),0)),"",IFERROR(SUMIFS(DATA_GOC!$H:$H,DATA_GOC!$A:$A,"BOM",DATA_GOC!$D:$D,$B406,DATA_GOC!$E:$E,"Dầu cầu",DATA_GOC!$F:$F,"Xuất nội bộ từ téc",DATA_GOC!$B:$B,DATE($D$2,$B$2,W$4)),0))</f>
        <v>0</v>
      </c>
      <c r="X406" s="251">
        <f>IF(X$4&gt;DAY(EOMONTH(DATE($D$2,$B$2,1),0)),"",IFERROR(SUMIFS(DATA_GOC!$H:$H,DATA_GOC!$A:$A,"BOM",DATA_GOC!$D:$D,$B406,DATA_GOC!$E:$E,"Dầu cầu",DATA_GOC!$F:$F,"Xuất nội bộ từ téc",DATA_GOC!$B:$B,DATE($D$2,$B$2,X$4)),0))</f>
        <v>0</v>
      </c>
      <c r="Y406" s="251">
        <f>IF(Y$4&gt;DAY(EOMONTH(DATE($D$2,$B$2,1),0)),"",IFERROR(SUMIFS(DATA_GOC!$H:$H,DATA_GOC!$A:$A,"BOM",DATA_GOC!$D:$D,$B406,DATA_GOC!$E:$E,"Dầu cầu",DATA_GOC!$F:$F,"Xuất nội bộ từ téc",DATA_GOC!$B:$B,DATE($D$2,$B$2,Y$4)),0))</f>
        <v>0</v>
      </c>
      <c r="Z406" s="251">
        <f>IF(Z$4&gt;DAY(EOMONTH(DATE($D$2,$B$2,1),0)),"",IFERROR(SUMIFS(DATA_GOC!$H:$H,DATA_GOC!$A:$A,"BOM",DATA_GOC!$D:$D,$B406,DATA_GOC!$E:$E,"Dầu cầu",DATA_GOC!$F:$F,"Xuất nội bộ từ téc",DATA_GOC!$B:$B,DATE($D$2,$B$2,Z$4)),0))</f>
        <v>0</v>
      </c>
      <c r="AA406" s="251">
        <f>IF(AA$4&gt;DAY(EOMONTH(DATE($D$2,$B$2,1),0)),"",IFERROR(SUMIFS(DATA_GOC!$H:$H,DATA_GOC!$A:$A,"BOM",DATA_GOC!$D:$D,$B406,DATA_GOC!$E:$E,"Dầu cầu",DATA_GOC!$F:$F,"Xuất nội bộ từ téc",DATA_GOC!$B:$B,DATE($D$2,$B$2,AA$4)),0))</f>
        <v>0</v>
      </c>
      <c r="AB406" s="251">
        <f>IF(AB$4&gt;DAY(EOMONTH(DATE($D$2,$B$2,1),0)),"",IFERROR(SUMIFS(DATA_GOC!$H:$H,DATA_GOC!$A:$A,"BOM",DATA_GOC!$D:$D,$B406,DATA_GOC!$E:$E,"Dầu cầu",DATA_GOC!$F:$F,"Xuất nội bộ từ téc",DATA_GOC!$B:$B,DATE($D$2,$B$2,AB$4)),0))</f>
        <v>0</v>
      </c>
      <c r="AC406" s="251">
        <f>IF(AC$4&gt;DAY(EOMONTH(DATE($D$2,$B$2,1),0)),"",IFERROR(SUMIFS(DATA_GOC!$H:$H,DATA_GOC!$A:$A,"BOM",DATA_GOC!$D:$D,$B406,DATA_GOC!$E:$E,"Dầu cầu",DATA_GOC!$F:$F,"Xuất nội bộ từ téc",DATA_GOC!$B:$B,DATE($D$2,$B$2,AC$4)),0))</f>
        <v>0</v>
      </c>
      <c r="AD406" s="251">
        <f>IF(AD$4&gt;DAY(EOMONTH(DATE($D$2,$B$2,1),0)),"",IFERROR(SUMIFS(DATA_GOC!$H:$H,DATA_GOC!$A:$A,"BOM",DATA_GOC!$D:$D,$B406,DATA_GOC!$E:$E,"Dầu cầu",DATA_GOC!$F:$F,"Xuất nội bộ từ téc",DATA_GOC!$B:$B,DATE($D$2,$B$2,AD$4)),0))</f>
        <v>0</v>
      </c>
      <c r="AE406" s="251">
        <f>IF(AE$4&gt;DAY(EOMONTH(DATE($D$2,$B$2,1),0)),"",IFERROR(SUMIFS(DATA_GOC!$H:$H,DATA_GOC!$A:$A,"BOM",DATA_GOC!$D:$D,$B406,DATA_GOC!$E:$E,"Dầu cầu",DATA_GOC!$F:$F,"Xuất nội bộ từ téc",DATA_GOC!$B:$B,DATE($D$2,$B$2,AE$4)),0))</f>
        <v>0</v>
      </c>
      <c r="AF406" s="251">
        <f>IF(AF$4&gt;DAY(EOMONTH(DATE($D$2,$B$2,1),0)),"",IFERROR(SUMIFS(DATA_GOC!$H:$H,DATA_GOC!$A:$A,"BOM",DATA_GOC!$D:$D,$B406,DATA_GOC!$E:$E,"Dầu cầu",DATA_GOC!$F:$F,"Xuất nội bộ từ téc",DATA_GOC!$B:$B,DATE($D$2,$B$2,AF$4)),0))</f>
        <v>0</v>
      </c>
      <c r="AG406" s="251">
        <f>IF(AG$4&gt;DAY(EOMONTH(DATE($D$2,$B$2,1),0)),"",IFERROR(SUMIFS(DATA_GOC!$H:$H,DATA_GOC!$A:$A,"BOM",DATA_GOC!$D:$D,$B406,DATA_GOC!$E:$E,"Dầu cầu",DATA_GOC!$F:$F,"Xuất nội bộ từ téc",DATA_GOC!$B:$B,DATE($D$2,$B$2,AG$4)),0))</f>
        <v>0</v>
      </c>
      <c r="AH406" s="252">
        <f t="shared" si="19"/>
        <v>0</v>
      </c>
      <c r="AI406" s="241"/>
      <c r="AJ406" s="242">
        <f>IF($B406="","",SUMIFS(TINH_TEC!$K$233:$K$9232,TINH_TEC!$H$233:$H$9232,$B406,TINH_TEC!$C$233:$C$9232,"Dầu cầu",TINH_TEC!$F$233:$F$9232,$B$2,TINH_TEC!$G$233:$G$9232,$D$2,TINH_TEC!$B$233:$B$9232,"Đã chốt"))</f>
        <v>0</v>
      </c>
      <c r="AK406" s="242">
        <f>IF($B406="","",SUMIFS(TINH_TEC!$J$233:$J$9232,TINH_TEC!$H$233:$H$9232,$B406,TINH_TEC!$C$233:$C$9232,"Dầu cầu",TINH_TEC!$F$233:$F$9232,$B$2,TINH_TEC!$G$233:$G$9232,$D$2,TINH_TEC!$B$233:$B$9232,"Đã chốt"))</f>
        <v>0</v>
      </c>
      <c r="AL406" s="242">
        <f t="shared" si="20"/>
        <v>0</v>
      </c>
    </row>
    <row r="407" ht="15.75" customHeight="1">
      <c r="A407" s="237">
        <f>IF($B407&lt;&gt;"",36,"")</f>
        <v>36</v>
      </c>
      <c r="B407" s="250" t="str">
        <f t="array" ref="B407">IFERROR(INDEX(DANH_MUC!$E:$E,39),"")</f>
        <v>28H00609</v>
      </c>
      <c r="C407" s="251">
        <f>IF(C$4&gt;DAY(EOMONTH(DATE($D$2,$B$2,1),0)),"",IFERROR(SUMIFS(DATA_GOC!$H:$H,DATA_GOC!$A:$A,"BOM",DATA_GOC!$D:$D,$B407,DATA_GOC!$E:$E,"Dầu cầu",DATA_GOC!$F:$F,"Xuất nội bộ từ téc",DATA_GOC!$B:$B,DATE($D$2,$B$2,C$4)),0))</f>
        <v>0</v>
      </c>
      <c r="D407" s="251">
        <f>IF(D$4&gt;DAY(EOMONTH(DATE($D$2,$B$2,1),0)),"",IFERROR(SUMIFS(DATA_GOC!$H:$H,DATA_GOC!$A:$A,"BOM",DATA_GOC!$D:$D,$B407,DATA_GOC!$E:$E,"Dầu cầu",DATA_GOC!$F:$F,"Xuất nội bộ từ téc",DATA_GOC!$B:$B,DATE($D$2,$B$2,D$4)),0))</f>
        <v>0</v>
      </c>
      <c r="E407" s="251">
        <f>IF(E$4&gt;DAY(EOMONTH(DATE($D$2,$B$2,1),0)),"",IFERROR(SUMIFS(DATA_GOC!$H:$H,DATA_GOC!$A:$A,"BOM",DATA_GOC!$D:$D,$B407,DATA_GOC!$E:$E,"Dầu cầu",DATA_GOC!$F:$F,"Xuất nội bộ từ téc",DATA_GOC!$B:$B,DATE($D$2,$B$2,E$4)),0))</f>
        <v>0</v>
      </c>
      <c r="F407" s="251">
        <f>IF(F$4&gt;DAY(EOMONTH(DATE($D$2,$B$2,1),0)),"",IFERROR(SUMIFS(DATA_GOC!$H:$H,DATA_GOC!$A:$A,"BOM",DATA_GOC!$D:$D,$B407,DATA_GOC!$E:$E,"Dầu cầu",DATA_GOC!$F:$F,"Xuất nội bộ từ téc",DATA_GOC!$B:$B,DATE($D$2,$B$2,F$4)),0))</f>
        <v>0</v>
      </c>
      <c r="G407" s="251">
        <f>IF(G$4&gt;DAY(EOMONTH(DATE($D$2,$B$2,1),0)),"",IFERROR(SUMIFS(DATA_GOC!$H:$H,DATA_GOC!$A:$A,"BOM",DATA_GOC!$D:$D,$B407,DATA_GOC!$E:$E,"Dầu cầu",DATA_GOC!$F:$F,"Xuất nội bộ từ téc",DATA_GOC!$B:$B,DATE($D$2,$B$2,G$4)),0))</f>
        <v>0</v>
      </c>
      <c r="H407" s="251">
        <f>IF(H$4&gt;DAY(EOMONTH(DATE($D$2,$B$2,1),0)),"",IFERROR(SUMIFS(DATA_GOC!$H:$H,DATA_GOC!$A:$A,"BOM",DATA_GOC!$D:$D,$B407,DATA_GOC!$E:$E,"Dầu cầu",DATA_GOC!$F:$F,"Xuất nội bộ từ téc",DATA_GOC!$B:$B,DATE($D$2,$B$2,H$4)),0))</f>
        <v>0</v>
      </c>
      <c r="I407" s="251">
        <f>IF(I$4&gt;DAY(EOMONTH(DATE($D$2,$B$2,1),0)),"",IFERROR(SUMIFS(DATA_GOC!$H:$H,DATA_GOC!$A:$A,"BOM",DATA_GOC!$D:$D,$B407,DATA_GOC!$E:$E,"Dầu cầu",DATA_GOC!$F:$F,"Xuất nội bộ từ téc",DATA_GOC!$B:$B,DATE($D$2,$B$2,I$4)),0))</f>
        <v>0</v>
      </c>
      <c r="J407" s="251">
        <f>IF(J$4&gt;DAY(EOMONTH(DATE($D$2,$B$2,1),0)),"",IFERROR(SUMIFS(DATA_GOC!$H:$H,DATA_GOC!$A:$A,"BOM",DATA_GOC!$D:$D,$B407,DATA_GOC!$E:$E,"Dầu cầu",DATA_GOC!$F:$F,"Xuất nội bộ từ téc",DATA_GOC!$B:$B,DATE($D$2,$B$2,J$4)),0))</f>
        <v>0</v>
      </c>
      <c r="K407" s="251">
        <f>IF(K$4&gt;DAY(EOMONTH(DATE($D$2,$B$2,1),0)),"",IFERROR(SUMIFS(DATA_GOC!$H:$H,DATA_GOC!$A:$A,"BOM",DATA_GOC!$D:$D,$B407,DATA_GOC!$E:$E,"Dầu cầu",DATA_GOC!$F:$F,"Xuất nội bộ từ téc",DATA_GOC!$B:$B,DATE($D$2,$B$2,K$4)),0))</f>
        <v>0</v>
      </c>
      <c r="L407" s="251">
        <f>IF(L$4&gt;DAY(EOMONTH(DATE($D$2,$B$2,1),0)),"",IFERROR(SUMIFS(DATA_GOC!$H:$H,DATA_GOC!$A:$A,"BOM",DATA_GOC!$D:$D,$B407,DATA_GOC!$E:$E,"Dầu cầu",DATA_GOC!$F:$F,"Xuất nội bộ từ téc",DATA_GOC!$B:$B,DATE($D$2,$B$2,L$4)),0))</f>
        <v>0</v>
      </c>
      <c r="M407" s="251">
        <f>IF(M$4&gt;DAY(EOMONTH(DATE($D$2,$B$2,1),0)),"",IFERROR(SUMIFS(DATA_GOC!$H:$H,DATA_GOC!$A:$A,"BOM",DATA_GOC!$D:$D,$B407,DATA_GOC!$E:$E,"Dầu cầu",DATA_GOC!$F:$F,"Xuất nội bộ từ téc",DATA_GOC!$B:$B,DATE($D$2,$B$2,M$4)),0))</f>
        <v>0</v>
      </c>
      <c r="N407" s="251">
        <f>IF(N$4&gt;DAY(EOMONTH(DATE($D$2,$B$2,1),0)),"",IFERROR(SUMIFS(DATA_GOC!$H:$H,DATA_GOC!$A:$A,"BOM",DATA_GOC!$D:$D,$B407,DATA_GOC!$E:$E,"Dầu cầu",DATA_GOC!$F:$F,"Xuất nội bộ từ téc",DATA_GOC!$B:$B,DATE($D$2,$B$2,N$4)),0))</f>
        <v>0</v>
      </c>
      <c r="O407" s="251">
        <f>IF(O$4&gt;DAY(EOMONTH(DATE($D$2,$B$2,1),0)),"",IFERROR(SUMIFS(DATA_GOC!$H:$H,DATA_GOC!$A:$A,"BOM",DATA_GOC!$D:$D,$B407,DATA_GOC!$E:$E,"Dầu cầu",DATA_GOC!$F:$F,"Xuất nội bộ từ téc",DATA_GOC!$B:$B,DATE($D$2,$B$2,O$4)),0))</f>
        <v>0</v>
      </c>
      <c r="P407" s="251">
        <f>IF(P$4&gt;DAY(EOMONTH(DATE($D$2,$B$2,1),0)),"",IFERROR(SUMIFS(DATA_GOC!$H:$H,DATA_GOC!$A:$A,"BOM",DATA_GOC!$D:$D,$B407,DATA_GOC!$E:$E,"Dầu cầu",DATA_GOC!$F:$F,"Xuất nội bộ từ téc",DATA_GOC!$B:$B,DATE($D$2,$B$2,P$4)),0))</f>
        <v>0</v>
      </c>
      <c r="Q407" s="251">
        <f>IF(Q$4&gt;DAY(EOMONTH(DATE($D$2,$B$2,1),0)),"",IFERROR(SUMIFS(DATA_GOC!$H:$H,DATA_GOC!$A:$A,"BOM",DATA_GOC!$D:$D,$B407,DATA_GOC!$E:$E,"Dầu cầu",DATA_GOC!$F:$F,"Xuất nội bộ từ téc",DATA_GOC!$B:$B,DATE($D$2,$B$2,Q$4)),0))</f>
        <v>0</v>
      </c>
      <c r="R407" s="251">
        <f>IF(R$4&gt;DAY(EOMONTH(DATE($D$2,$B$2,1),0)),"",IFERROR(SUMIFS(DATA_GOC!$H:$H,DATA_GOC!$A:$A,"BOM",DATA_GOC!$D:$D,$B407,DATA_GOC!$E:$E,"Dầu cầu",DATA_GOC!$F:$F,"Xuất nội bộ từ téc",DATA_GOC!$B:$B,DATE($D$2,$B$2,R$4)),0))</f>
        <v>0</v>
      </c>
      <c r="S407" s="251">
        <f>IF(S$4&gt;DAY(EOMONTH(DATE($D$2,$B$2,1),0)),"",IFERROR(SUMIFS(DATA_GOC!$H:$H,DATA_GOC!$A:$A,"BOM",DATA_GOC!$D:$D,$B407,DATA_GOC!$E:$E,"Dầu cầu",DATA_GOC!$F:$F,"Xuất nội bộ từ téc",DATA_GOC!$B:$B,DATE($D$2,$B$2,S$4)),0))</f>
        <v>0</v>
      </c>
      <c r="T407" s="251">
        <f>IF(T$4&gt;DAY(EOMONTH(DATE($D$2,$B$2,1),0)),"",IFERROR(SUMIFS(DATA_GOC!$H:$H,DATA_GOC!$A:$A,"BOM",DATA_GOC!$D:$D,$B407,DATA_GOC!$E:$E,"Dầu cầu",DATA_GOC!$F:$F,"Xuất nội bộ từ téc",DATA_GOC!$B:$B,DATE($D$2,$B$2,T$4)),0))</f>
        <v>0</v>
      </c>
      <c r="U407" s="251">
        <f>IF(U$4&gt;DAY(EOMONTH(DATE($D$2,$B$2,1),0)),"",IFERROR(SUMIFS(DATA_GOC!$H:$H,DATA_GOC!$A:$A,"BOM",DATA_GOC!$D:$D,$B407,DATA_GOC!$E:$E,"Dầu cầu",DATA_GOC!$F:$F,"Xuất nội bộ từ téc",DATA_GOC!$B:$B,DATE($D$2,$B$2,U$4)),0))</f>
        <v>0</v>
      </c>
      <c r="V407" s="251">
        <f>IF(V$4&gt;DAY(EOMONTH(DATE($D$2,$B$2,1),0)),"",IFERROR(SUMIFS(DATA_GOC!$H:$H,DATA_GOC!$A:$A,"BOM",DATA_GOC!$D:$D,$B407,DATA_GOC!$E:$E,"Dầu cầu",DATA_GOC!$F:$F,"Xuất nội bộ từ téc",DATA_GOC!$B:$B,DATE($D$2,$B$2,V$4)),0))</f>
        <v>0</v>
      </c>
      <c r="W407" s="251">
        <f>IF(W$4&gt;DAY(EOMONTH(DATE($D$2,$B$2,1),0)),"",IFERROR(SUMIFS(DATA_GOC!$H:$H,DATA_GOC!$A:$A,"BOM",DATA_GOC!$D:$D,$B407,DATA_GOC!$E:$E,"Dầu cầu",DATA_GOC!$F:$F,"Xuất nội bộ từ téc",DATA_GOC!$B:$B,DATE($D$2,$B$2,W$4)),0))</f>
        <v>0</v>
      </c>
      <c r="X407" s="251">
        <f>IF(X$4&gt;DAY(EOMONTH(DATE($D$2,$B$2,1),0)),"",IFERROR(SUMIFS(DATA_GOC!$H:$H,DATA_GOC!$A:$A,"BOM",DATA_GOC!$D:$D,$B407,DATA_GOC!$E:$E,"Dầu cầu",DATA_GOC!$F:$F,"Xuất nội bộ từ téc",DATA_GOC!$B:$B,DATE($D$2,$B$2,X$4)),0))</f>
        <v>0</v>
      </c>
      <c r="Y407" s="251">
        <f>IF(Y$4&gt;DAY(EOMONTH(DATE($D$2,$B$2,1),0)),"",IFERROR(SUMIFS(DATA_GOC!$H:$H,DATA_GOC!$A:$A,"BOM",DATA_GOC!$D:$D,$B407,DATA_GOC!$E:$E,"Dầu cầu",DATA_GOC!$F:$F,"Xuất nội bộ từ téc",DATA_GOC!$B:$B,DATE($D$2,$B$2,Y$4)),0))</f>
        <v>0</v>
      </c>
      <c r="Z407" s="251">
        <f>IF(Z$4&gt;DAY(EOMONTH(DATE($D$2,$B$2,1),0)),"",IFERROR(SUMIFS(DATA_GOC!$H:$H,DATA_GOC!$A:$A,"BOM",DATA_GOC!$D:$D,$B407,DATA_GOC!$E:$E,"Dầu cầu",DATA_GOC!$F:$F,"Xuất nội bộ từ téc",DATA_GOC!$B:$B,DATE($D$2,$B$2,Z$4)),0))</f>
        <v>0</v>
      </c>
      <c r="AA407" s="251">
        <f>IF(AA$4&gt;DAY(EOMONTH(DATE($D$2,$B$2,1),0)),"",IFERROR(SUMIFS(DATA_GOC!$H:$H,DATA_GOC!$A:$A,"BOM",DATA_GOC!$D:$D,$B407,DATA_GOC!$E:$E,"Dầu cầu",DATA_GOC!$F:$F,"Xuất nội bộ từ téc",DATA_GOC!$B:$B,DATE($D$2,$B$2,AA$4)),0))</f>
        <v>0</v>
      </c>
      <c r="AB407" s="251">
        <f>IF(AB$4&gt;DAY(EOMONTH(DATE($D$2,$B$2,1),0)),"",IFERROR(SUMIFS(DATA_GOC!$H:$H,DATA_GOC!$A:$A,"BOM",DATA_GOC!$D:$D,$B407,DATA_GOC!$E:$E,"Dầu cầu",DATA_GOC!$F:$F,"Xuất nội bộ từ téc",DATA_GOC!$B:$B,DATE($D$2,$B$2,AB$4)),0))</f>
        <v>0</v>
      </c>
      <c r="AC407" s="251">
        <f>IF(AC$4&gt;DAY(EOMONTH(DATE($D$2,$B$2,1),0)),"",IFERROR(SUMIFS(DATA_GOC!$H:$H,DATA_GOC!$A:$A,"BOM",DATA_GOC!$D:$D,$B407,DATA_GOC!$E:$E,"Dầu cầu",DATA_GOC!$F:$F,"Xuất nội bộ từ téc",DATA_GOC!$B:$B,DATE($D$2,$B$2,AC$4)),0))</f>
        <v>0</v>
      </c>
      <c r="AD407" s="251">
        <f>IF(AD$4&gt;DAY(EOMONTH(DATE($D$2,$B$2,1),0)),"",IFERROR(SUMIFS(DATA_GOC!$H:$H,DATA_GOC!$A:$A,"BOM",DATA_GOC!$D:$D,$B407,DATA_GOC!$E:$E,"Dầu cầu",DATA_GOC!$F:$F,"Xuất nội bộ từ téc",DATA_GOC!$B:$B,DATE($D$2,$B$2,AD$4)),0))</f>
        <v>0</v>
      </c>
      <c r="AE407" s="251">
        <f>IF(AE$4&gt;DAY(EOMONTH(DATE($D$2,$B$2,1),0)),"",IFERROR(SUMIFS(DATA_GOC!$H:$H,DATA_GOC!$A:$A,"BOM",DATA_GOC!$D:$D,$B407,DATA_GOC!$E:$E,"Dầu cầu",DATA_GOC!$F:$F,"Xuất nội bộ từ téc",DATA_GOC!$B:$B,DATE($D$2,$B$2,AE$4)),0))</f>
        <v>0</v>
      </c>
      <c r="AF407" s="251">
        <f>IF(AF$4&gt;DAY(EOMONTH(DATE($D$2,$B$2,1),0)),"",IFERROR(SUMIFS(DATA_GOC!$H:$H,DATA_GOC!$A:$A,"BOM",DATA_GOC!$D:$D,$B407,DATA_GOC!$E:$E,"Dầu cầu",DATA_GOC!$F:$F,"Xuất nội bộ từ téc",DATA_GOC!$B:$B,DATE($D$2,$B$2,AF$4)),0))</f>
        <v>0</v>
      </c>
      <c r="AG407" s="251">
        <f>IF(AG$4&gt;DAY(EOMONTH(DATE($D$2,$B$2,1),0)),"",IFERROR(SUMIFS(DATA_GOC!$H:$H,DATA_GOC!$A:$A,"BOM",DATA_GOC!$D:$D,$B407,DATA_GOC!$E:$E,"Dầu cầu",DATA_GOC!$F:$F,"Xuất nội bộ từ téc",DATA_GOC!$B:$B,DATE($D$2,$B$2,AG$4)),0))</f>
        <v>0</v>
      </c>
      <c r="AH407" s="252">
        <f t="shared" si="19"/>
        <v>0</v>
      </c>
      <c r="AI407" s="241"/>
      <c r="AJ407" s="242">
        <f>IF($B407="","",SUMIFS(TINH_TEC!$K$233:$K$9232,TINH_TEC!$H$233:$H$9232,$B407,TINH_TEC!$C$233:$C$9232,"Dầu cầu",TINH_TEC!$F$233:$F$9232,$B$2,TINH_TEC!$G$233:$G$9232,$D$2,TINH_TEC!$B$233:$B$9232,"Đã chốt"))</f>
        <v>0</v>
      </c>
      <c r="AK407" s="242">
        <f>IF($B407="","",SUMIFS(TINH_TEC!$J$233:$J$9232,TINH_TEC!$H$233:$H$9232,$B407,TINH_TEC!$C$233:$C$9232,"Dầu cầu",TINH_TEC!$F$233:$F$9232,$B$2,TINH_TEC!$G$233:$G$9232,$D$2,TINH_TEC!$B$233:$B$9232,"Đã chốt"))</f>
        <v>0</v>
      </c>
      <c r="AL407" s="242">
        <f t="shared" si="20"/>
        <v>0</v>
      </c>
    </row>
    <row r="408" ht="15.75" customHeight="1">
      <c r="A408" s="237">
        <f>IF($B408&lt;&gt;"",37,"")</f>
        <v>37</v>
      </c>
      <c r="B408" s="250" t="str">
        <f t="array" ref="B408">IFERROR(INDEX(DANH_MUC!$E:$E,40),"")</f>
        <v>28H00669</v>
      </c>
      <c r="C408" s="251">
        <f>IF(C$4&gt;DAY(EOMONTH(DATE($D$2,$B$2,1),0)),"",IFERROR(SUMIFS(DATA_GOC!$H:$H,DATA_GOC!$A:$A,"BOM",DATA_GOC!$D:$D,$B408,DATA_GOC!$E:$E,"Dầu cầu",DATA_GOC!$F:$F,"Xuất nội bộ từ téc",DATA_GOC!$B:$B,DATE($D$2,$B$2,C$4)),0))</f>
        <v>0</v>
      </c>
      <c r="D408" s="251">
        <f>IF(D$4&gt;DAY(EOMONTH(DATE($D$2,$B$2,1),0)),"",IFERROR(SUMIFS(DATA_GOC!$H:$H,DATA_GOC!$A:$A,"BOM",DATA_GOC!$D:$D,$B408,DATA_GOC!$E:$E,"Dầu cầu",DATA_GOC!$F:$F,"Xuất nội bộ từ téc",DATA_GOC!$B:$B,DATE($D$2,$B$2,D$4)),0))</f>
        <v>0</v>
      </c>
      <c r="E408" s="251">
        <f>IF(E$4&gt;DAY(EOMONTH(DATE($D$2,$B$2,1),0)),"",IFERROR(SUMIFS(DATA_GOC!$H:$H,DATA_GOC!$A:$A,"BOM",DATA_GOC!$D:$D,$B408,DATA_GOC!$E:$E,"Dầu cầu",DATA_GOC!$F:$F,"Xuất nội bộ từ téc",DATA_GOC!$B:$B,DATE($D$2,$B$2,E$4)),0))</f>
        <v>0</v>
      </c>
      <c r="F408" s="251">
        <f>IF(F$4&gt;DAY(EOMONTH(DATE($D$2,$B$2,1),0)),"",IFERROR(SUMIFS(DATA_GOC!$H:$H,DATA_GOC!$A:$A,"BOM",DATA_GOC!$D:$D,$B408,DATA_GOC!$E:$E,"Dầu cầu",DATA_GOC!$F:$F,"Xuất nội bộ từ téc",DATA_GOC!$B:$B,DATE($D$2,$B$2,F$4)),0))</f>
        <v>0</v>
      </c>
      <c r="G408" s="251">
        <f>IF(G$4&gt;DAY(EOMONTH(DATE($D$2,$B$2,1),0)),"",IFERROR(SUMIFS(DATA_GOC!$H:$H,DATA_GOC!$A:$A,"BOM",DATA_GOC!$D:$D,$B408,DATA_GOC!$E:$E,"Dầu cầu",DATA_GOC!$F:$F,"Xuất nội bộ từ téc",DATA_GOC!$B:$B,DATE($D$2,$B$2,G$4)),0))</f>
        <v>0</v>
      </c>
      <c r="H408" s="251">
        <f>IF(H$4&gt;DAY(EOMONTH(DATE($D$2,$B$2,1),0)),"",IFERROR(SUMIFS(DATA_GOC!$H:$H,DATA_GOC!$A:$A,"BOM",DATA_GOC!$D:$D,$B408,DATA_GOC!$E:$E,"Dầu cầu",DATA_GOC!$F:$F,"Xuất nội bộ từ téc",DATA_GOC!$B:$B,DATE($D$2,$B$2,H$4)),0))</f>
        <v>0</v>
      </c>
      <c r="I408" s="251">
        <f>IF(I$4&gt;DAY(EOMONTH(DATE($D$2,$B$2,1),0)),"",IFERROR(SUMIFS(DATA_GOC!$H:$H,DATA_GOC!$A:$A,"BOM",DATA_GOC!$D:$D,$B408,DATA_GOC!$E:$E,"Dầu cầu",DATA_GOC!$F:$F,"Xuất nội bộ từ téc",DATA_GOC!$B:$B,DATE($D$2,$B$2,I$4)),0))</f>
        <v>0</v>
      </c>
      <c r="J408" s="251">
        <f>IF(J$4&gt;DAY(EOMONTH(DATE($D$2,$B$2,1),0)),"",IFERROR(SUMIFS(DATA_GOC!$H:$H,DATA_GOC!$A:$A,"BOM",DATA_GOC!$D:$D,$B408,DATA_GOC!$E:$E,"Dầu cầu",DATA_GOC!$F:$F,"Xuất nội bộ từ téc",DATA_GOC!$B:$B,DATE($D$2,$B$2,J$4)),0))</f>
        <v>0</v>
      </c>
      <c r="K408" s="251">
        <f>IF(K$4&gt;DAY(EOMONTH(DATE($D$2,$B$2,1),0)),"",IFERROR(SUMIFS(DATA_GOC!$H:$H,DATA_GOC!$A:$A,"BOM",DATA_GOC!$D:$D,$B408,DATA_GOC!$E:$E,"Dầu cầu",DATA_GOC!$F:$F,"Xuất nội bộ từ téc",DATA_GOC!$B:$B,DATE($D$2,$B$2,K$4)),0))</f>
        <v>0</v>
      </c>
      <c r="L408" s="251">
        <f>IF(L$4&gt;DAY(EOMONTH(DATE($D$2,$B$2,1),0)),"",IFERROR(SUMIFS(DATA_GOC!$H:$H,DATA_GOC!$A:$A,"BOM",DATA_GOC!$D:$D,$B408,DATA_GOC!$E:$E,"Dầu cầu",DATA_GOC!$F:$F,"Xuất nội bộ từ téc",DATA_GOC!$B:$B,DATE($D$2,$B$2,L$4)),0))</f>
        <v>0</v>
      </c>
      <c r="M408" s="251">
        <f>IF(M$4&gt;DAY(EOMONTH(DATE($D$2,$B$2,1),0)),"",IFERROR(SUMIFS(DATA_GOC!$H:$H,DATA_GOC!$A:$A,"BOM",DATA_GOC!$D:$D,$B408,DATA_GOC!$E:$E,"Dầu cầu",DATA_GOC!$F:$F,"Xuất nội bộ từ téc",DATA_GOC!$B:$B,DATE($D$2,$B$2,M$4)),0))</f>
        <v>0</v>
      </c>
      <c r="N408" s="251">
        <f>IF(N$4&gt;DAY(EOMONTH(DATE($D$2,$B$2,1),0)),"",IFERROR(SUMIFS(DATA_GOC!$H:$H,DATA_GOC!$A:$A,"BOM",DATA_GOC!$D:$D,$B408,DATA_GOC!$E:$E,"Dầu cầu",DATA_GOC!$F:$F,"Xuất nội bộ từ téc",DATA_GOC!$B:$B,DATE($D$2,$B$2,N$4)),0))</f>
        <v>0</v>
      </c>
      <c r="O408" s="251">
        <f>IF(O$4&gt;DAY(EOMONTH(DATE($D$2,$B$2,1),0)),"",IFERROR(SUMIFS(DATA_GOC!$H:$H,DATA_GOC!$A:$A,"BOM",DATA_GOC!$D:$D,$B408,DATA_GOC!$E:$E,"Dầu cầu",DATA_GOC!$F:$F,"Xuất nội bộ từ téc",DATA_GOC!$B:$B,DATE($D$2,$B$2,O$4)),0))</f>
        <v>0</v>
      </c>
      <c r="P408" s="251">
        <f>IF(P$4&gt;DAY(EOMONTH(DATE($D$2,$B$2,1),0)),"",IFERROR(SUMIFS(DATA_GOC!$H:$H,DATA_GOC!$A:$A,"BOM",DATA_GOC!$D:$D,$B408,DATA_GOC!$E:$E,"Dầu cầu",DATA_GOC!$F:$F,"Xuất nội bộ từ téc",DATA_GOC!$B:$B,DATE($D$2,$B$2,P$4)),0))</f>
        <v>0</v>
      </c>
      <c r="Q408" s="251">
        <f>IF(Q$4&gt;DAY(EOMONTH(DATE($D$2,$B$2,1),0)),"",IFERROR(SUMIFS(DATA_GOC!$H:$H,DATA_GOC!$A:$A,"BOM",DATA_GOC!$D:$D,$B408,DATA_GOC!$E:$E,"Dầu cầu",DATA_GOC!$F:$F,"Xuất nội bộ từ téc",DATA_GOC!$B:$B,DATE($D$2,$B$2,Q$4)),0))</f>
        <v>0</v>
      </c>
      <c r="R408" s="251">
        <f>IF(R$4&gt;DAY(EOMONTH(DATE($D$2,$B$2,1),0)),"",IFERROR(SUMIFS(DATA_GOC!$H:$H,DATA_GOC!$A:$A,"BOM",DATA_GOC!$D:$D,$B408,DATA_GOC!$E:$E,"Dầu cầu",DATA_GOC!$F:$F,"Xuất nội bộ từ téc",DATA_GOC!$B:$B,DATE($D$2,$B$2,R$4)),0))</f>
        <v>0</v>
      </c>
      <c r="S408" s="251">
        <f>IF(S$4&gt;DAY(EOMONTH(DATE($D$2,$B$2,1),0)),"",IFERROR(SUMIFS(DATA_GOC!$H:$H,DATA_GOC!$A:$A,"BOM",DATA_GOC!$D:$D,$B408,DATA_GOC!$E:$E,"Dầu cầu",DATA_GOC!$F:$F,"Xuất nội bộ từ téc",DATA_GOC!$B:$B,DATE($D$2,$B$2,S$4)),0))</f>
        <v>0</v>
      </c>
      <c r="T408" s="251">
        <f>IF(T$4&gt;DAY(EOMONTH(DATE($D$2,$B$2,1),0)),"",IFERROR(SUMIFS(DATA_GOC!$H:$H,DATA_GOC!$A:$A,"BOM",DATA_GOC!$D:$D,$B408,DATA_GOC!$E:$E,"Dầu cầu",DATA_GOC!$F:$F,"Xuất nội bộ từ téc",DATA_GOC!$B:$B,DATE($D$2,$B$2,T$4)),0))</f>
        <v>0</v>
      </c>
      <c r="U408" s="251">
        <f>IF(U$4&gt;DAY(EOMONTH(DATE($D$2,$B$2,1),0)),"",IFERROR(SUMIFS(DATA_GOC!$H:$H,DATA_GOC!$A:$A,"BOM",DATA_GOC!$D:$D,$B408,DATA_GOC!$E:$E,"Dầu cầu",DATA_GOC!$F:$F,"Xuất nội bộ từ téc",DATA_GOC!$B:$B,DATE($D$2,$B$2,U$4)),0))</f>
        <v>0</v>
      </c>
      <c r="V408" s="251">
        <f>IF(V$4&gt;DAY(EOMONTH(DATE($D$2,$B$2,1),0)),"",IFERROR(SUMIFS(DATA_GOC!$H:$H,DATA_GOC!$A:$A,"BOM",DATA_GOC!$D:$D,$B408,DATA_GOC!$E:$E,"Dầu cầu",DATA_GOC!$F:$F,"Xuất nội bộ từ téc",DATA_GOC!$B:$B,DATE($D$2,$B$2,V$4)),0))</f>
        <v>0</v>
      </c>
      <c r="W408" s="251">
        <f>IF(W$4&gt;DAY(EOMONTH(DATE($D$2,$B$2,1),0)),"",IFERROR(SUMIFS(DATA_GOC!$H:$H,DATA_GOC!$A:$A,"BOM",DATA_GOC!$D:$D,$B408,DATA_GOC!$E:$E,"Dầu cầu",DATA_GOC!$F:$F,"Xuất nội bộ từ téc",DATA_GOC!$B:$B,DATE($D$2,$B$2,W$4)),0))</f>
        <v>0</v>
      </c>
      <c r="X408" s="251">
        <f>IF(X$4&gt;DAY(EOMONTH(DATE($D$2,$B$2,1),0)),"",IFERROR(SUMIFS(DATA_GOC!$H:$H,DATA_GOC!$A:$A,"BOM",DATA_GOC!$D:$D,$B408,DATA_GOC!$E:$E,"Dầu cầu",DATA_GOC!$F:$F,"Xuất nội bộ từ téc",DATA_GOC!$B:$B,DATE($D$2,$B$2,X$4)),0))</f>
        <v>0</v>
      </c>
      <c r="Y408" s="251">
        <f>IF(Y$4&gt;DAY(EOMONTH(DATE($D$2,$B$2,1),0)),"",IFERROR(SUMIFS(DATA_GOC!$H:$H,DATA_GOC!$A:$A,"BOM",DATA_GOC!$D:$D,$B408,DATA_GOC!$E:$E,"Dầu cầu",DATA_GOC!$F:$F,"Xuất nội bộ từ téc",DATA_GOC!$B:$B,DATE($D$2,$B$2,Y$4)),0))</f>
        <v>0</v>
      </c>
      <c r="Z408" s="251">
        <f>IF(Z$4&gt;DAY(EOMONTH(DATE($D$2,$B$2,1),0)),"",IFERROR(SUMIFS(DATA_GOC!$H:$H,DATA_GOC!$A:$A,"BOM",DATA_GOC!$D:$D,$B408,DATA_GOC!$E:$E,"Dầu cầu",DATA_GOC!$F:$F,"Xuất nội bộ từ téc",DATA_GOC!$B:$B,DATE($D$2,$B$2,Z$4)),0))</f>
        <v>0</v>
      </c>
      <c r="AA408" s="251">
        <f>IF(AA$4&gt;DAY(EOMONTH(DATE($D$2,$B$2,1),0)),"",IFERROR(SUMIFS(DATA_GOC!$H:$H,DATA_GOC!$A:$A,"BOM",DATA_GOC!$D:$D,$B408,DATA_GOC!$E:$E,"Dầu cầu",DATA_GOC!$F:$F,"Xuất nội bộ từ téc",DATA_GOC!$B:$B,DATE($D$2,$B$2,AA$4)),0))</f>
        <v>0</v>
      </c>
      <c r="AB408" s="251">
        <f>IF(AB$4&gt;DAY(EOMONTH(DATE($D$2,$B$2,1),0)),"",IFERROR(SUMIFS(DATA_GOC!$H:$H,DATA_GOC!$A:$A,"BOM",DATA_GOC!$D:$D,$B408,DATA_GOC!$E:$E,"Dầu cầu",DATA_GOC!$F:$F,"Xuất nội bộ từ téc",DATA_GOC!$B:$B,DATE($D$2,$B$2,AB$4)),0))</f>
        <v>0</v>
      </c>
      <c r="AC408" s="251">
        <f>IF(AC$4&gt;DAY(EOMONTH(DATE($D$2,$B$2,1),0)),"",IFERROR(SUMIFS(DATA_GOC!$H:$H,DATA_GOC!$A:$A,"BOM",DATA_GOC!$D:$D,$B408,DATA_GOC!$E:$E,"Dầu cầu",DATA_GOC!$F:$F,"Xuất nội bộ từ téc",DATA_GOC!$B:$B,DATE($D$2,$B$2,AC$4)),0))</f>
        <v>0</v>
      </c>
      <c r="AD408" s="251">
        <f>IF(AD$4&gt;DAY(EOMONTH(DATE($D$2,$B$2,1),0)),"",IFERROR(SUMIFS(DATA_GOC!$H:$H,DATA_GOC!$A:$A,"BOM",DATA_GOC!$D:$D,$B408,DATA_GOC!$E:$E,"Dầu cầu",DATA_GOC!$F:$F,"Xuất nội bộ từ téc",DATA_GOC!$B:$B,DATE($D$2,$B$2,AD$4)),0))</f>
        <v>0</v>
      </c>
      <c r="AE408" s="251">
        <f>IF(AE$4&gt;DAY(EOMONTH(DATE($D$2,$B$2,1),0)),"",IFERROR(SUMIFS(DATA_GOC!$H:$H,DATA_GOC!$A:$A,"BOM",DATA_GOC!$D:$D,$B408,DATA_GOC!$E:$E,"Dầu cầu",DATA_GOC!$F:$F,"Xuất nội bộ từ téc",DATA_GOC!$B:$B,DATE($D$2,$B$2,AE$4)),0))</f>
        <v>0</v>
      </c>
      <c r="AF408" s="251">
        <f>IF(AF$4&gt;DAY(EOMONTH(DATE($D$2,$B$2,1),0)),"",IFERROR(SUMIFS(DATA_GOC!$H:$H,DATA_GOC!$A:$A,"BOM",DATA_GOC!$D:$D,$B408,DATA_GOC!$E:$E,"Dầu cầu",DATA_GOC!$F:$F,"Xuất nội bộ từ téc",DATA_GOC!$B:$B,DATE($D$2,$B$2,AF$4)),0))</f>
        <v>0</v>
      </c>
      <c r="AG408" s="251">
        <f>IF(AG$4&gt;DAY(EOMONTH(DATE($D$2,$B$2,1),0)),"",IFERROR(SUMIFS(DATA_GOC!$H:$H,DATA_GOC!$A:$A,"BOM",DATA_GOC!$D:$D,$B408,DATA_GOC!$E:$E,"Dầu cầu",DATA_GOC!$F:$F,"Xuất nội bộ từ téc",DATA_GOC!$B:$B,DATE($D$2,$B$2,AG$4)),0))</f>
        <v>0</v>
      </c>
      <c r="AH408" s="252">
        <f t="shared" si="19"/>
        <v>0</v>
      </c>
      <c r="AI408" s="241"/>
      <c r="AJ408" s="242">
        <f>IF($B408="","",SUMIFS(TINH_TEC!$K$233:$K$9232,TINH_TEC!$H$233:$H$9232,$B408,TINH_TEC!$C$233:$C$9232,"Dầu cầu",TINH_TEC!$F$233:$F$9232,$B$2,TINH_TEC!$G$233:$G$9232,$D$2,TINH_TEC!$B$233:$B$9232,"Đã chốt"))</f>
        <v>0</v>
      </c>
      <c r="AK408" s="242">
        <f>IF($B408="","",SUMIFS(TINH_TEC!$J$233:$J$9232,TINH_TEC!$H$233:$H$9232,$B408,TINH_TEC!$C$233:$C$9232,"Dầu cầu",TINH_TEC!$F$233:$F$9232,$B$2,TINH_TEC!$G$233:$G$9232,$D$2,TINH_TEC!$B$233:$B$9232,"Đã chốt"))</f>
        <v>0</v>
      </c>
      <c r="AL408" s="242">
        <f t="shared" si="20"/>
        <v>0</v>
      </c>
    </row>
    <row r="409" ht="15.75" customHeight="1">
      <c r="A409" s="237">
        <f>IF($B409&lt;&gt;"",38,"")</f>
        <v>38</v>
      </c>
      <c r="B409" s="250" t="str">
        <f t="array" ref="B409">IFERROR(INDEX(DANH_MUC!$E:$E,41),"")</f>
        <v>28H00680</v>
      </c>
      <c r="C409" s="251">
        <f>IF(C$4&gt;DAY(EOMONTH(DATE($D$2,$B$2,1),0)),"",IFERROR(SUMIFS(DATA_GOC!$H:$H,DATA_GOC!$A:$A,"BOM",DATA_GOC!$D:$D,$B409,DATA_GOC!$E:$E,"Dầu cầu",DATA_GOC!$F:$F,"Xuất nội bộ từ téc",DATA_GOC!$B:$B,DATE($D$2,$B$2,C$4)),0))</f>
        <v>0</v>
      </c>
      <c r="D409" s="251">
        <f>IF(D$4&gt;DAY(EOMONTH(DATE($D$2,$B$2,1),0)),"",IFERROR(SUMIFS(DATA_GOC!$H:$H,DATA_GOC!$A:$A,"BOM",DATA_GOC!$D:$D,$B409,DATA_GOC!$E:$E,"Dầu cầu",DATA_GOC!$F:$F,"Xuất nội bộ từ téc",DATA_GOC!$B:$B,DATE($D$2,$B$2,D$4)),0))</f>
        <v>0</v>
      </c>
      <c r="E409" s="251">
        <f>IF(E$4&gt;DAY(EOMONTH(DATE($D$2,$B$2,1),0)),"",IFERROR(SUMIFS(DATA_GOC!$H:$H,DATA_GOC!$A:$A,"BOM",DATA_GOC!$D:$D,$B409,DATA_GOC!$E:$E,"Dầu cầu",DATA_GOC!$F:$F,"Xuất nội bộ từ téc",DATA_GOC!$B:$B,DATE($D$2,$B$2,E$4)),0))</f>
        <v>0</v>
      </c>
      <c r="F409" s="251">
        <f>IF(F$4&gt;DAY(EOMONTH(DATE($D$2,$B$2,1),0)),"",IFERROR(SUMIFS(DATA_GOC!$H:$H,DATA_GOC!$A:$A,"BOM",DATA_GOC!$D:$D,$B409,DATA_GOC!$E:$E,"Dầu cầu",DATA_GOC!$F:$F,"Xuất nội bộ từ téc",DATA_GOC!$B:$B,DATE($D$2,$B$2,F$4)),0))</f>
        <v>0</v>
      </c>
      <c r="G409" s="251">
        <f>IF(G$4&gt;DAY(EOMONTH(DATE($D$2,$B$2,1),0)),"",IFERROR(SUMIFS(DATA_GOC!$H:$H,DATA_GOC!$A:$A,"BOM",DATA_GOC!$D:$D,$B409,DATA_GOC!$E:$E,"Dầu cầu",DATA_GOC!$F:$F,"Xuất nội bộ từ téc",DATA_GOC!$B:$B,DATE($D$2,$B$2,G$4)),0))</f>
        <v>0</v>
      </c>
      <c r="H409" s="251">
        <f>IF(H$4&gt;DAY(EOMONTH(DATE($D$2,$B$2,1),0)),"",IFERROR(SUMIFS(DATA_GOC!$H:$H,DATA_GOC!$A:$A,"BOM",DATA_GOC!$D:$D,$B409,DATA_GOC!$E:$E,"Dầu cầu",DATA_GOC!$F:$F,"Xuất nội bộ từ téc",DATA_GOC!$B:$B,DATE($D$2,$B$2,H$4)),0))</f>
        <v>0</v>
      </c>
      <c r="I409" s="251">
        <f>IF(I$4&gt;DAY(EOMONTH(DATE($D$2,$B$2,1),0)),"",IFERROR(SUMIFS(DATA_GOC!$H:$H,DATA_GOC!$A:$A,"BOM",DATA_GOC!$D:$D,$B409,DATA_GOC!$E:$E,"Dầu cầu",DATA_GOC!$F:$F,"Xuất nội bộ từ téc",DATA_GOC!$B:$B,DATE($D$2,$B$2,I$4)),0))</f>
        <v>0</v>
      </c>
      <c r="J409" s="251">
        <f>IF(J$4&gt;DAY(EOMONTH(DATE($D$2,$B$2,1),0)),"",IFERROR(SUMIFS(DATA_GOC!$H:$H,DATA_GOC!$A:$A,"BOM",DATA_GOC!$D:$D,$B409,DATA_GOC!$E:$E,"Dầu cầu",DATA_GOC!$F:$F,"Xuất nội bộ từ téc",DATA_GOC!$B:$B,DATE($D$2,$B$2,J$4)),0))</f>
        <v>0</v>
      </c>
      <c r="K409" s="251">
        <f>IF(K$4&gt;DAY(EOMONTH(DATE($D$2,$B$2,1),0)),"",IFERROR(SUMIFS(DATA_GOC!$H:$H,DATA_GOC!$A:$A,"BOM",DATA_GOC!$D:$D,$B409,DATA_GOC!$E:$E,"Dầu cầu",DATA_GOC!$F:$F,"Xuất nội bộ từ téc",DATA_GOC!$B:$B,DATE($D$2,$B$2,K$4)),0))</f>
        <v>0</v>
      </c>
      <c r="L409" s="251">
        <f>IF(L$4&gt;DAY(EOMONTH(DATE($D$2,$B$2,1),0)),"",IFERROR(SUMIFS(DATA_GOC!$H:$H,DATA_GOC!$A:$A,"BOM",DATA_GOC!$D:$D,$B409,DATA_GOC!$E:$E,"Dầu cầu",DATA_GOC!$F:$F,"Xuất nội bộ từ téc",DATA_GOC!$B:$B,DATE($D$2,$B$2,L$4)),0))</f>
        <v>0</v>
      </c>
      <c r="M409" s="251">
        <f>IF(M$4&gt;DAY(EOMONTH(DATE($D$2,$B$2,1),0)),"",IFERROR(SUMIFS(DATA_GOC!$H:$H,DATA_GOC!$A:$A,"BOM",DATA_GOC!$D:$D,$B409,DATA_GOC!$E:$E,"Dầu cầu",DATA_GOC!$F:$F,"Xuất nội bộ từ téc",DATA_GOC!$B:$B,DATE($D$2,$B$2,M$4)),0))</f>
        <v>0</v>
      </c>
      <c r="N409" s="251">
        <f>IF(N$4&gt;DAY(EOMONTH(DATE($D$2,$B$2,1),0)),"",IFERROR(SUMIFS(DATA_GOC!$H:$H,DATA_GOC!$A:$A,"BOM",DATA_GOC!$D:$D,$B409,DATA_GOC!$E:$E,"Dầu cầu",DATA_GOC!$F:$F,"Xuất nội bộ từ téc",DATA_GOC!$B:$B,DATE($D$2,$B$2,N$4)),0))</f>
        <v>0</v>
      </c>
      <c r="O409" s="251">
        <f>IF(O$4&gt;DAY(EOMONTH(DATE($D$2,$B$2,1),0)),"",IFERROR(SUMIFS(DATA_GOC!$H:$H,DATA_GOC!$A:$A,"BOM",DATA_GOC!$D:$D,$B409,DATA_GOC!$E:$E,"Dầu cầu",DATA_GOC!$F:$F,"Xuất nội bộ từ téc",DATA_GOC!$B:$B,DATE($D$2,$B$2,O$4)),0))</f>
        <v>0</v>
      </c>
      <c r="P409" s="251">
        <f>IF(P$4&gt;DAY(EOMONTH(DATE($D$2,$B$2,1),0)),"",IFERROR(SUMIFS(DATA_GOC!$H:$H,DATA_GOC!$A:$A,"BOM",DATA_GOC!$D:$D,$B409,DATA_GOC!$E:$E,"Dầu cầu",DATA_GOC!$F:$F,"Xuất nội bộ từ téc",DATA_GOC!$B:$B,DATE($D$2,$B$2,P$4)),0))</f>
        <v>0</v>
      </c>
      <c r="Q409" s="251">
        <f>IF(Q$4&gt;DAY(EOMONTH(DATE($D$2,$B$2,1),0)),"",IFERROR(SUMIFS(DATA_GOC!$H:$H,DATA_GOC!$A:$A,"BOM",DATA_GOC!$D:$D,$B409,DATA_GOC!$E:$E,"Dầu cầu",DATA_GOC!$F:$F,"Xuất nội bộ từ téc",DATA_GOC!$B:$B,DATE($D$2,$B$2,Q$4)),0))</f>
        <v>0</v>
      </c>
      <c r="R409" s="251">
        <f>IF(R$4&gt;DAY(EOMONTH(DATE($D$2,$B$2,1),0)),"",IFERROR(SUMIFS(DATA_GOC!$H:$H,DATA_GOC!$A:$A,"BOM",DATA_GOC!$D:$D,$B409,DATA_GOC!$E:$E,"Dầu cầu",DATA_GOC!$F:$F,"Xuất nội bộ từ téc",DATA_GOC!$B:$B,DATE($D$2,$B$2,R$4)),0))</f>
        <v>0</v>
      </c>
      <c r="S409" s="251">
        <f>IF(S$4&gt;DAY(EOMONTH(DATE($D$2,$B$2,1),0)),"",IFERROR(SUMIFS(DATA_GOC!$H:$H,DATA_GOC!$A:$A,"BOM",DATA_GOC!$D:$D,$B409,DATA_GOC!$E:$E,"Dầu cầu",DATA_GOC!$F:$F,"Xuất nội bộ từ téc",DATA_GOC!$B:$B,DATE($D$2,$B$2,S$4)),0))</f>
        <v>0</v>
      </c>
      <c r="T409" s="251">
        <f>IF(T$4&gt;DAY(EOMONTH(DATE($D$2,$B$2,1),0)),"",IFERROR(SUMIFS(DATA_GOC!$H:$H,DATA_GOC!$A:$A,"BOM",DATA_GOC!$D:$D,$B409,DATA_GOC!$E:$E,"Dầu cầu",DATA_GOC!$F:$F,"Xuất nội bộ từ téc",DATA_GOC!$B:$B,DATE($D$2,$B$2,T$4)),0))</f>
        <v>0</v>
      </c>
      <c r="U409" s="251">
        <f>IF(U$4&gt;DAY(EOMONTH(DATE($D$2,$B$2,1),0)),"",IFERROR(SUMIFS(DATA_GOC!$H:$H,DATA_GOC!$A:$A,"BOM",DATA_GOC!$D:$D,$B409,DATA_GOC!$E:$E,"Dầu cầu",DATA_GOC!$F:$F,"Xuất nội bộ từ téc",DATA_GOC!$B:$B,DATE($D$2,$B$2,U$4)),0))</f>
        <v>0</v>
      </c>
      <c r="V409" s="251">
        <f>IF(V$4&gt;DAY(EOMONTH(DATE($D$2,$B$2,1),0)),"",IFERROR(SUMIFS(DATA_GOC!$H:$H,DATA_GOC!$A:$A,"BOM",DATA_GOC!$D:$D,$B409,DATA_GOC!$E:$E,"Dầu cầu",DATA_GOC!$F:$F,"Xuất nội bộ từ téc",DATA_GOC!$B:$B,DATE($D$2,$B$2,V$4)),0))</f>
        <v>0</v>
      </c>
      <c r="W409" s="251">
        <f>IF(W$4&gt;DAY(EOMONTH(DATE($D$2,$B$2,1),0)),"",IFERROR(SUMIFS(DATA_GOC!$H:$H,DATA_GOC!$A:$A,"BOM",DATA_GOC!$D:$D,$B409,DATA_GOC!$E:$E,"Dầu cầu",DATA_GOC!$F:$F,"Xuất nội bộ từ téc",DATA_GOC!$B:$B,DATE($D$2,$B$2,W$4)),0))</f>
        <v>0</v>
      </c>
      <c r="X409" s="251">
        <f>IF(X$4&gt;DAY(EOMONTH(DATE($D$2,$B$2,1),0)),"",IFERROR(SUMIFS(DATA_GOC!$H:$H,DATA_GOC!$A:$A,"BOM",DATA_GOC!$D:$D,$B409,DATA_GOC!$E:$E,"Dầu cầu",DATA_GOC!$F:$F,"Xuất nội bộ từ téc",DATA_GOC!$B:$B,DATE($D$2,$B$2,X$4)),0))</f>
        <v>0</v>
      </c>
      <c r="Y409" s="251">
        <f>IF(Y$4&gt;DAY(EOMONTH(DATE($D$2,$B$2,1),0)),"",IFERROR(SUMIFS(DATA_GOC!$H:$H,DATA_GOC!$A:$A,"BOM",DATA_GOC!$D:$D,$B409,DATA_GOC!$E:$E,"Dầu cầu",DATA_GOC!$F:$F,"Xuất nội bộ từ téc",DATA_GOC!$B:$B,DATE($D$2,$B$2,Y$4)),0))</f>
        <v>0</v>
      </c>
      <c r="Z409" s="251">
        <f>IF(Z$4&gt;DAY(EOMONTH(DATE($D$2,$B$2,1),0)),"",IFERROR(SUMIFS(DATA_GOC!$H:$H,DATA_GOC!$A:$A,"BOM",DATA_GOC!$D:$D,$B409,DATA_GOC!$E:$E,"Dầu cầu",DATA_GOC!$F:$F,"Xuất nội bộ từ téc",DATA_GOC!$B:$B,DATE($D$2,$B$2,Z$4)),0))</f>
        <v>0</v>
      </c>
      <c r="AA409" s="251">
        <f>IF(AA$4&gt;DAY(EOMONTH(DATE($D$2,$B$2,1),0)),"",IFERROR(SUMIFS(DATA_GOC!$H:$H,DATA_GOC!$A:$A,"BOM",DATA_GOC!$D:$D,$B409,DATA_GOC!$E:$E,"Dầu cầu",DATA_GOC!$F:$F,"Xuất nội bộ từ téc",DATA_GOC!$B:$B,DATE($D$2,$B$2,AA$4)),0))</f>
        <v>0</v>
      </c>
      <c r="AB409" s="251">
        <f>IF(AB$4&gt;DAY(EOMONTH(DATE($D$2,$B$2,1),0)),"",IFERROR(SUMIFS(DATA_GOC!$H:$H,DATA_GOC!$A:$A,"BOM",DATA_GOC!$D:$D,$B409,DATA_GOC!$E:$E,"Dầu cầu",DATA_GOC!$F:$F,"Xuất nội bộ từ téc",DATA_GOC!$B:$B,DATE($D$2,$B$2,AB$4)),0))</f>
        <v>0</v>
      </c>
      <c r="AC409" s="251">
        <f>IF(AC$4&gt;DAY(EOMONTH(DATE($D$2,$B$2,1),0)),"",IFERROR(SUMIFS(DATA_GOC!$H:$H,DATA_GOC!$A:$A,"BOM",DATA_GOC!$D:$D,$B409,DATA_GOC!$E:$E,"Dầu cầu",DATA_GOC!$F:$F,"Xuất nội bộ từ téc",DATA_GOC!$B:$B,DATE($D$2,$B$2,AC$4)),0))</f>
        <v>0</v>
      </c>
      <c r="AD409" s="251">
        <f>IF(AD$4&gt;DAY(EOMONTH(DATE($D$2,$B$2,1),0)),"",IFERROR(SUMIFS(DATA_GOC!$H:$H,DATA_GOC!$A:$A,"BOM",DATA_GOC!$D:$D,$B409,DATA_GOC!$E:$E,"Dầu cầu",DATA_GOC!$F:$F,"Xuất nội bộ từ téc",DATA_GOC!$B:$B,DATE($D$2,$B$2,AD$4)),0))</f>
        <v>0</v>
      </c>
      <c r="AE409" s="251">
        <f>IF(AE$4&gt;DAY(EOMONTH(DATE($D$2,$B$2,1),0)),"",IFERROR(SUMIFS(DATA_GOC!$H:$H,DATA_GOC!$A:$A,"BOM",DATA_GOC!$D:$D,$B409,DATA_GOC!$E:$E,"Dầu cầu",DATA_GOC!$F:$F,"Xuất nội bộ từ téc",DATA_GOC!$B:$B,DATE($D$2,$B$2,AE$4)),0))</f>
        <v>0</v>
      </c>
      <c r="AF409" s="251">
        <f>IF(AF$4&gt;DAY(EOMONTH(DATE($D$2,$B$2,1),0)),"",IFERROR(SUMIFS(DATA_GOC!$H:$H,DATA_GOC!$A:$A,"BOM",DATA_GOC!$D:$D,$B409,DATA_GOC!$E:$E,"Dầu cầu",DATA_GOC!$F:$F,"Xuất nội bộ từ téc",DATA_GOC!$B:$B,DATE($D$2,$B$2,AF$4)),0))</f>
        <v>0</v>
      </c>
      <c r="AG409" s="251">
        <f>IF(AG$4&gt;DAY(EOMONTH(DATE($D$2,$B$2,1),0)),"",IFERROR(SUMIFS(DATA_GOC!$H:$H,DATA_GOC!$A:$A,"BOM",DATA_GOC!$D:$D,$B409,DATA_GOC!$E:$E,"Dầu cầu",DATA_GOC!$F:$F,"Xuất nội bộ từ téc",DATA_GOC!$B:$B,DATE($D$2,$B$2,AG$4)),0))</f>
        <v>0</v>
      </c>
      <c r="AH409" s="252">
        <f t="shared" si="19"/>
        <v>0</v>
      </c>
      <c r="AI409" s="241"/>
      <c r="AJ409" s="242">
        <f>IF($B409="","",SUMIFS(TINH_TEC!$K$233:$K$9232,TINH_TEC!$H$233:$H$9232,$B409,TINH_TEC!$C$233:$C$9232,"Dầu cầu",TINH_TEC!$F$233:$F$9232,$B$2,TINH_TEC!$G$233:$G$9232,$D$2,TINH_TEC!$B$233:$B$9232,"Đã chốt"))</f>
        <v>0</v>
      </c>
      <c r="AK409" s="242">
        <f>IF($B409="","",SUMIFS(TINH_TEC!$J$233:$J$9232,TINH_TEC!$H$233:$H$9232,$B409,TINH_TEC!$C$233:$C$9232,"Dầu cầu",TINH_TEC!$F$233:$F$9232,$B$2,TINH_TEC!$G$233:$G$9232,$D$2,TINH_TEC!$B$233:$B$9232,"Đã chốt"))</f>
        <v>0</v>
      </c>
      <c r="AL409" s="242">
        <f t="shared" si="20"/>
        <v>0</v>
      </c>
    </row>
    <row r="410" ht="15.75" customHeight="1">
      <c r="A410" s="237">
        <f>IF($B410&lt;&gt;"",39,"")</f>
        <v>39</v>
      </c>
      <c r="B410" s="250" t="str">
        <f t="array" ref="B410">IFERROR(INDEX(DANH_MUC!$E:$E,42),"")</f>
        <v>28H01070</v>
      </c>
      <c r="C410" s="251">
        <f>IF(C$4&gt;DAY(EOMONTH(DATE($D$2,$B$2,1),0)),"",IFERROR(SUMIFS(DATA_GOC!$H:$H,DATA_GOC!$A:$A,"BOM",DATA_GOC!$D:$D,$B410,DATA_GOC!$E:$E,"Dầu cầu",DATA_GOC!$F:$F,"Xuất nội bộ từ téc",DATA_GOC!$B:$B,DATE($D$2,$B$2,C$4)),0))</f>
        <v>0</v>
      </c>
      <c r="D410" s="251">
        <f>IF(D$4&gt;DAY(EOMONTH(DATE($D$2,$B$2,1),0)),"",IFERROR(SUMIFS(DATA_GOC!$H:$H,DATA_GOC!$A:$A,"BOM",DATA_GOC!$D:$D,$B410,DATA_GOC!$E:$E,"Dầu cầu",DATA_GOC!$F:$F,"Xuất nội bộ từ téc",DATA_GOC!$B:$B,DATE($D$2,$B$2,D$4)),0))</f>
        <v>0</v>
      </c>
      <c r="E410" s="251">
        <f>IF(E$4&gt;DAY(EOMONTH(DATE($D$2,$B$2,1),0)),"",IFERROR(SUMIFS(DATA_GOC!$H:$H,DATA_GOC!$A:$A,"BOM",DATA_GOC!$D:$D,$B410,DATA_GOC!$E:$E,"Dầu cầu",DATA_GOC!$F:$F,"Xuất nội bộ từ téc",DATA_GOC!$B:$B,DATE($D$2,$B$2,E$4)),0))</f>
        <v>0</v>
      </c>
      <c r="F410" s="251">
        <f>IF(F$4&gt;DAY(EOMONTH(DATE($D$2,$B$2,1),0)),"",IFERROR(SUMIFS(DATA_GOC!$H:$H,DATA_GOC!$A:$A,"BOM",DATA_GOC!$D:$D,$B410,DATA_GOC!$E:$E,"Dầu cầu",DATA_GOC!$F:$F,"Xuất nội bộ từ téc",DATA_GOC!$B:$B,DATE($D$2,$B$2,F$4)),0))</f>
        <v>0</v>
      </c>
      <c r="G410" s="251">
        <f>IF(G$4&gt;DAY(EOMONTH(DATE($D$2,$B$2,1),0)),"",IFERROR(SUMIFS(DATA_GOC!$H:$H,DATA_GOC!$A:$A,"BOM",DATA_GOC!$D:$D,$B410,DATA_GOC!$E:$E,"Dầu cầu",DATA_GOC!$F:$F,"Xuất nội bộ từ téc",DATA_GOC!$B:$B,DATE($D$2,$B$2,G$4)),0))</f>
        <v>0</v>
      </c>
      <c r="H410" s="251">
        <f>IF(H$4&gt;DAY(EOMONTH(DATE($D$2,$B$2,1),0)),"",IFERROR(SUMIFS(DATA_GOC!$H:$H,DATA_GOC!$A:$A,"BOM",DATA_GOC!$D:$D,$B410,DATA_GOC!$E:$E,"Dầu cầu",DATA_GOC!$F:$F,"Xuất nội bộ từ téc",DATA_GOC!$B:$B,DATE($D$2,$B$2,H$4)),0))</f>
        <v>0</v>
      </c>
      <c r="I410" s="251">
        <f>IF(I$4&gt;DAY(EOMONTH(DATE($D$2,$B$2,1),0)),"",IFERROR(SUMIFS(DATA_GOC!$H:$H,DATA_GOC!$A:$A,"BOM",DATA_GOC!$D:$D,$B410,DATA_GOC!$E:$E,"Dầu cầu",DATA_GOC!$F:$F,"Xuất nội bộ từ téc",DATA_GOC!$B:$B,DATE($D$2,$B$2,I$4)),0))</f>
        <v>0</v>
      </c>
      <c r="J410" s="251">
        <f>IF(J$4&gt;DAY(EOMONTH(DATE($D$2,$B$2,1),0)),"",IFERROR(SUMIFS(DATA_GOC!$H:$H,DATA_GOC!$A:$A,"BOM",DATA_GOC!$D:$D,$B410,DATA_GOC!$E:$E,"Dầu cầu",DATA_GOC!$F:$F,"Xuất nội bộ từ téc",DATA_GOC!$B:$B,DATE($D$2,$B$2,J$4)),0))</f>
        <v>0</v>
      </c>
      <c r="K410" s="251">
        <f>IF(K$4&gt;DAY(EOMONTH(DATE($D$2,$B$2,1),0)),"",IFERROR(SUMIFS(DATA_GOC!$H:$H,DATA_GOC!$A:$A,"BOM",DATA_GOC!$D:$D,$B410,DATA_GOC!$E:$E,"Dầu cầu",DATA_GOC!$F:$F,"Xuất nội bộ từ téc",DATA_GOC!$B:$B,DATE($D$2,$B$2,K$4)),0))</f>
        <v>0</v>
      </c>
      <c r="L410" s="251">
        <f>IF(L$4&gt;DAY(EOMONTH(DATE($D$2,$B$2,1),0)),"",IFERROR(SUMIFS(DATA_GOC!$H:$H,DATA_GOC!$A:$A,"BOM",DATA_GOC!$D:$D,$B410,DATA_GOC!$E:$E,"Dầu cầu",DATA_GOC!$F:$F,"Xuất nội bộ từ téc",DATA_GOC!$B:$B,DATE($D$2,$B$2,L$4)),0))</f>
        <v>0</v>
      </c>
      <c r="M410" s="251">
        <f>IF(M$4&gt;DAY(EOMONTH(DATE($D$2,$B$2,1),0)),"",IFERROR(SUMIFS(DATA_GOC!$H:$H,DATA_GOC!$A:$A,"BOM",DATA_GOC!$D:$D,$B410,DATA_GOC!$E:$E,"Dầu cầu",DATA_GOC!$F:$F,"Xuất nội bộ từ téc",DATA_GOC!$B:$B,DATE($D$2,$B$2,M$4)),0))</f>
        <v>0</v>
      </c>
      <c r="N410" s="251">
        <f>IF(N$4&gt;DAY(EOMONTH(DATE($D$2,$B$2,1),0)),"",IFERROR(SUMIFS(DATA_GOC!$H:$H,DATA_GOC!$A:$A,"BOM",DATA_GOC!$D:$D,$B410,DATA_GOC!$E:$E,"Dầu cầu",DATA_GOC!$F:$F,"Xuất nội bộ từ téc",DATA_GOC!$B:$B,DATE($D$2,$B$2,N$4)),0))</f>
        <v>0</v>
      </c>
      <c r="O410" s="251">
        <f>IF(O$4&gt;DAY(EOMONTH(DATE($D$2,$B$2,1),0)),"",IFERROR(SUMIFS(DATA_GOC!$H:$H,DATA_GOC!$A:$A,"BOM",DATA_GOC!$D:$D,$B410,DATA_GOC!$E:$E,"Dầu cầu",DATA_GOC!$F:$F,"Xuất nội bộ từ téc",DATA_GOC!$B:$B,DATE($D$2,$B$2,O$4)),0))</f>
        <v>0</v>
      </c>
      <c r="P410" s="251">
        <f>IF(P$4&gt;DAY(EOMONTH(DATE($D$2,$B$2,1),0)),"",IFERROR(SUMIFS(DATA_GOC!$H:$H,DATA_GOC!$A:$A,"BOM",DATA_GOC!$D:$D,$B410,DATA_GOC!$E:$E,"Dầu cầu",DATA_GOC!$F:$F,"Xuất nội bộ từ téc",DATA_GOC!$B:$B,DATE($D$2,$B$2,P$4)),0))</f>
        <v>0</v>
      </c>
      <c r="Q410" s="251">
        <f>IF(Q$4&gt;DAY(EOMONTH(DATE($D$2,$B$2,1),0)),"",IFERROR(SUMIFS(DATA_GOC!$H:$H,DATA_GOC!$A:$A,"BOM",DATA_GOC!$D:$D,$B410,DATA_GOC!$E:$E,"Dầu cầu",DATA_GOC!$F:$F,"Xuất nội bộ từ téc",DATA_GOC!$B:$B,DATE($D$2,$B$2,Q$4)),0))</f>
        <v>0</v>
      </c>
      <c r="R410" s="251">
        <f>IF(R$4&gt;DAY(EOMONTH(DATE($D$2,$B$2,1),0)),"",IFERROR(SUMIFS(DATA_GOC!$H:$H,DATA_GOC!$A:$A,"BOM",DATA_GOC!$D:$D,$B410,DATA_GOC!$E:$E,"Dầu cầu",DATA_GOC!$F:$F,"Xuất nội bộ từ téc",DATA_GOC!$B:$B,DATE($D$2,$B$2,R$4)),0))</f>
        <v>0</v>
      </c>
      <c r="S410" s="251">
        <f>IF(S$4&gt;DAY(EOMONTH(DATE($D$2,$B$2,1),0)),"",IFERROR(SUMIFS(DATA_GOC!$H:$H,DATA_GOC!$A:$A,"BOM",DATA_GOC!$D:$D,$B410,DATA_GOC!$E:$E,"Dầu cầu",DATA_GOC!$F:$F,"Xuất nội bộ từ téc",DATA_GOC!$B:$B,DATE($D$2,$B$2,S$4)),0))</f>
        <v>0</v>
      </c>
      <c r="T410" s="251">
        <f>IF(T$4&gt;DAY(EOMONTH(DATE($D$2,$B$2,1),0)),"",IFERROR(SUMIFS(DATA_GOC!$H:$H,DATA_GOC!$A:$A,"BOM",DATA_GOC!$D:$D,$B410,DATA_GOC!$E:$E,"Dầu cầu",DATA_GOC!$F:$F,"Xuất nội bộ từ téc",DATA_GOC!$B:$B,DATE($D$2,$B$2,T$4)),0))</f>
        <v>0</v>
      </c>
      <c r="U410" s="251">
        <f>IF(U$4&gt;DAY(EOMONTH(DATE($D$2,$B$2,1),0)),"",IFERROR(SUMIFS(DATA_GOC!$H:$H,DATA_GOC!$A:$A,"BOM",DATA_GOC!$D:$D,$B410,DATA_GOC!$E:$E,"Dầu cầu",DATA_GOC!$F:$F,"Xuất nội bộ từ téc",DATA_GOC!$B:$B,DATE($D$2,$B$2,U$4)),0))</f>
        <v>0</v>
      </c>
      <c r="V410" s="251">
        <f>IF(V$4&gt;DAY(EOMONTH(DATE($D$2,$B$2,1),0)),"",IFERROR(SUMIFS(DATA_GOC!$H:$H,DATA_GOC!$A:$A,"BOM",DATA_GOC!$D:$D,$B410,DATA_GOC!$E:$E,"Dầu cầu",DATA_GOC!$F:$F,"Xuất nội bộ từ téc",DATA_GOC!$B:$B,DATE($D$2,$B$2,V$4)),0))</f>
        <v>0</v>
      </c>
      <c r="W410" s="251">
        <f>IF(W$4&gt;DAY(EOMONTH(DATE($D$2,$B$2,1),0)),"",IFERROR(SUMIFS(DATA_GOC!$H:$H,DATA_GOC!$A:$A,"BOM",DATA_GOC!$D:$D,$B410,DATA_GOC!$E:$E,"Dầu cầu",DATA_GOC!$F:$F,"Xuất nội bộ từ téc",DATA_GOC!$B:$B,DATE($D$2,$B$2,W$4)),0))</f>
        <v>0</v>
      </c>
      <c r="X410" s="251">
        <f>IF(X$4&gt;DAY(EOMONTH(DATE($D$2,$B$2,1),0)),"",IFERROR(SUMIFS(DATA_GOC!$H:$H,DATA_GOC!$A:$A,"BOM",DATA_GOC!$D:$D,$B410,DATA_GOC!$E:$E,"Dầu cầu",DATA_GOC!$F:$F,"Xuất nội bộ từ téc",DATA_GOC!$B:$B,DATE($D$2,$B$2,X$4)),0))</f>
        <v>0</v>
      </c>
      <c r="Y410" s="251">
        <f>IF(Y$4&gt;DAY(EOMONTH(DATE($D$2,$B$2,1),0)),"",IFERROR(SUMIFS(DATA_GOC!$H:$H,DATA_GOC!$A:$A,"BOM",DATA_GOC!$D:$D,$B410,DATA_GOC!$E:$E,"Dầu cầu",DATA_GOC!$F:$F,"Xuất nội bộ từ téc",DATA_GOC!$B:$B,DATE($D$2,$B$2,Y$4)),0))</f>
        <v>0</v>
      </c>
      <c r="Z410" s="251">
        <f>IF(Z$4&gt;DAY(EOMONTH(DATE($D$2,$B$2,1),0)),"",IFERROR(SUMIFS(DATA_GOC!$H:$H,DATA_GOC!$A:$A,"BOM",DATA_GOC!$D:$D,$B410,DATA_GOC!$E:$E,"Dầu cầu",DATA_GOC!$F:$F,"Xuất nội bộ từ téc",DATA_GOC!$B:$B,DATE($D$2,$B$2,Z$4)),0))</f>
        <v>0</v>
      </c>
      <c r="AA410" s="251">
        <f>IF(AA$4&gt;DAY(EOMONTH(DATE($D$2,$B$2,1),0)),"",IFERROR(SUMIFS(DATA_GOC!$H:$H,DATA_GOC!$A:$A,"BOM",DATA_GOC!$D:$D,$B410,DATA_GOC!$E:$E,"Dầu cầu",DATA_GOC!$F:$F,"Xuất nội bộ từ téc",DATA_GOC!$B:$B,DATE($D$2,$B$2,AA$4)),0))</f>
        <v>0</v>
      </c>
      <c r="AB410" s="251">
        <f>IF(AB$4&gt;DAY(EOMONTH(DATE($D$2,$B$2,1),0)),"",IFERROR(SUMIFS(DATA_GOC!$H:$H,DATA_GOC!$A:$A,"BOM",DATA_GOC!$D:$D,$B410,DATA_GOC!$E:$E,"Dầu cầu",DATA_GOC!$F:$F,"Xuất nội bộ từ téc",DATA_GOC!$B:$B,DATE($D$2,$B$2,AB$4)),0))</f>
        <v>0</v>
      </c>
      <c r="AC410" s="251">
        <f>IF(AC$4&gt;DAY(EOMONTH(DATE($D$2,$B$2,1),0)),"",IFERROR(SUMIFS(DATA_GOC!$H:$H,DATA_GOC!$A:$A,"BOM",DATA_GOC!$D:$D,$B410,DATA_GOC!$E:$E,"Dầu cầu",DATA_GOC!$F:$F,"Xuất nội bộ từ téc",DATA_GOC!$B:$B,DATE($D$2,$B$2,AC$4)),0))</f>
        <v>0</v>
      </c>
      <c r="AD410" s="251">
        <f>IF(AD$4&gt;DAY(EOMONTH(DATE($D$2,$B$2,1),0)),"",IFERROR(SUMIFS(DATA_GOC!$H:$H,DATA_GOC!$A:$A,"BOM",DATA_GOC!$D:$D,$B410,DATA_GOC!$E:$E,"Dầu cầu",DATA_GOC!$F:$F,"Xuất nội bộ từ téc",DATA_GOC!$B:$B,DATE($D$2,$B$2,AD$4)),0))</f>
        <v>0</v>
      </c>
      <c r="AE410" s="251">
        <f>IF(AE$4&gt;DAY(EOMONTH(DATE($D$2,$B$2,1),0)),"",IFERROR(SUMIFS(DATA_GOC!$H:$H,DATA_GOC!$A:$A,"BOM",DATA_GOC!$D:$D,$B410,DATA_GOC!$E:$E,"Dầu cầu",DATA_GOC!$F:$F,"Xuất nội bộ từ téc",DATA_GOC!$B:$B,DATE($D$2,$B$2,AE$4)),0))</f>
        <v>0</v>
      </c>
      <c r="AF410" s="251">
        <f>IF(AF$4&gt;DAY(EOMONTH(DATE($D$2,$B$2,1),0)),"",IFERROR(SUMIFS(DATA_GOC!$H:$H,DATA_GOC!$A:$A,"BOM",DATA_GOC!$D:$D,$B410,DATA_GOC!$E:$E,"Dầu cầu",DATA_GOC!$F:$F,"Xuất nội bộ từ téc",DATA_GOC!$B:$B,DATE($D$2,$B$2,AF$4)),0))</f>
        <v>0</v>
      </c>
      <c r="AG410" s="251">
        <f>IF(AG$4&gt;DAY(EOMONTH(DATE($D$2,$B$2,1),0)),"",IFERROR(SUMIFS(DATA_GOC!$H:$H,DATA_GOC!$A:$A,"BOM",DATA_GOC!$D:$D,$B410,DATA_GOC!$E:$E,"Dầu cầu",DATA_GOC!$F:$F,"Xuất nội bộ từ téc",DATA_GOC!$B:$B,DATE($D$2,$B$2,AG$4)),0))</f>
        <v>0</v>
      </c>
      <c r="AH410" s="252">
        <f t="shared" si="19"/>
        <v>0</v>
      </c>
      <c r="AI410" s="241"/>
      <c r="AJ410" s="242">
        <f>IF($B410="","",SUMIFS(TINH_TEC!$K$233:$K$9232,TINH_TEC!$H$233:$H$9232,$B410,TINH_TEC!$C$233:$C$9232,"Dầu cầu",TINH_TEC!$F$233:$F$9232,$B$2,TINH_TEC!$G$233:$G$9232,$D$2,TINH_TEC!$B$233:$B$9232,"Đã chốt"))</f>
        <v>0</v>
      </c>
      <c r="AK410" s="242">
        <f>IF($B410="","",SUMIFS(TINH_TEC!$J$233:$J$9232,TINH_TEC!$H$233:$H$9232,$B410,TINH_TEC!$C$233:$C$9232,"Dầu cầu",TINH_TEC!$F$233:$F$9232,$B$2,TINH_TEC!$G$233:$G$9232,$D$2,TINH_TEC!$B$233:$B$9232,"Đã chốt"))</f>
        <v>0</v>
      </c>
      <c r="AL410" s="242">
        <f t="shared" si="20"/>
        <v>0</v>
      </c>
    </row>
    <row r="411" ht="15.75" customHeight="1">
      <c r="A411" s="237">
        <f>IF($B411&lt;&gt;"",40,"")</f>
        <v>40</v>
      </c>
      <c r="B411" s="250" t="str">
        <f t="array" ref="B411">IFERROR(INDEX(DANH_MUC!$E:$E,43),"")</f>
        <v>28H01364</v>
      </c>
      <c r="C411" s="251">
        <f>IF(C$4&gt;DAY(EOMONTH(DATE($D$2,$B$2,1),0)),"",IFERROR(SUMIFS(DATA_GOC!$H:$H,DATA_GOC!$A:$A,"BOM",DATA_GOC!$D:$D,$B411,DATA_GOC!$E:$E,"Dầu cầu",DATA_GOC!$F:$F,"Xuất nội bộ từ téc",DATA_GOC!$B:$B,DATE($D$2,$B$2,C$4)),0))</f>
        <v>0</v>
      </c>
      <c r="D411" s="251">
        <f>IF(D$4&gt;DAY(EOMONTH(DATE($D$2,$B$2,1),0)),"",IFERROR(SUMIFS(DATA_GOC!$H:$H,DATA_GOC!$A:$A,"BOM",DATA_GOC!$D:$D,$B411,DATA_GOC!$E:$E,"Dầu cầu",DATA_GOC!$F:$F,"Xuất nội bộ từ téc",DATA_GOC!$B:$B,DATE($D$2,$B$2,D$4)),0))</f>
        <v>0</v>
      </c>
      <c r="E411" s="251">
        <f>IF(E$4&gt;DAY(EOMONTH(DATE($D$2,$B$2,1),0)),"",IFERROR(SUMIFS(DATA_GOC!$H:$H,DATA_GOC!$A:$A,"BOM",DATA_GOC!$D:$D,$B411,DATA_GOC!$E:$E,"Dầu cầu",DATA_GOC!$F:$F,"Xuất nội bộ từ téc",DATA_GOC!$B:$B,DATE($D$2,$B$2,E$4)),0))</f>
        <v>0</v>
      </c>
      <c r="F411" s="251">
        <f>IF(F$4&gt;DAY(EOMONTH(DATE($D$2,$B$2,1),0)),"",IFERROR(SUMIFS(DATA_GOC!$H:$H,DATA_GOC!$A:$A,"BOM",DATA_GOC!$D:$D,$B411,DATA_GOC!$E:$E,"Dầu cầu",DATA_GOC!$F:$F,"Xuất nội bộ từ téc",DATA_GOC!$B:$B,DATE($D$2,$B$2,F$4)),0))</f>
        <v>0</v>
      </c>
      <c r="G411" s="251">
        <f>IF(G$4&gt;DAY(EOMONTH(DATE($D$2,$B$2,1),0)),"",IFERROR(SUMIFS(DATA_GOC!$H:$H,DATA_GOC!$A:$A,"BOM",DATA_GOC!$D:$D,$B411,DATA_GOC!$E:$E,"Dầu cầu",DATA_GOC!$F:$F,"Xuất nội bộ từ téc",DATA_GOC!$B:$B,DATE($D$2,$B$2,G$4)),0))</f>
        <v>0</v>
      </c>
      <c r="H411" s="251">
        <f>IF(H$4&gt;DAY(EOMONTH(DATE($D$2,$B$2,1),0)),"",IFERROR(SUMIFS(DATA_GOC!$H:$H,DATA_GOC!$A:$A,"BOM",DATA_GOC!$D:$D,$B411,DATA_GOC!$E:$E,"Dầu cầu",DATA_GOC!$F:$F,"Xuất nội bộ từ téc",DATA_GOC!$B:$B,DATE($D$2,$B$2,H$4)),0))</f>
        <v>0</v>
      </c>
      <c r="I411" s="251">
        <f>IF(I$4&gt;DAY(EOMONTH(DATE($D$2,$B$2,1),0)),"",IFERROR(SUMIFS(DATA_GOC!$H:$H,DATA_GOC!$A:$A,"BOM",DATA_GOC!$D:$D,$B411,DATA_GOC!$E:$E,"Dầu cầu",DATA_GOC!$F:$F,"Xuất nội bộ từ téc",DATA_GOC!$B:$B,DATE($D$2,$B$2,I$4)),0))</f>
        <v>0</v>
      </c>
      <c r="J411" s="251">
        <f>IF(J$4&gt;DAY(EOMONTH(DATE($D$2,$B$2,1),0)),"",IFERROR(SUMIFS(DATA_GOC!$H:$H,DATA_GOC!$A:$A,"BOM",DATA_GOC!$D:$D,$B411,DATA_GOC!$E:$E,"Dầu cầu",DATA_GOC!$F:$F,"Xuất nội bộ từ téc",DATA_GOC!$B:$B,DATE($D$2,$B$2,J$4)),0))</f>
        <v>0</v>
      </c>
      <c r="K411" s="251">
        <f>IF(K$4&gt;DAY(EOMONTH(DATE($D$2,$B$2,1),0)),"",IFERROR(SUMIFS(DATA_GOC!$H:$H,DATA_GOC!$A:$A,"BOM",DATA_GOC!$D:$D,$B411,DATA_GOC!$E:$E,"Dầu cầu",DATA_GOC!$F:$F,"Xuất nội bộ từ téc",DATA_GOC!$B:$B,DATE($D$2,$B$2,K$4)),0))</f>
        <v>0</v>
      </c>
      <c r="L411" s="251">
        <f>IF(L$4&gt;DAY(EOMONTH(DATE($D$2,$B$2,1),0)),"",IFERROR(SUMIFS(DATA_GOC!$H:$H,DATA_GOC!$A:$A,"BOM",DATA_GOC!$D:$D,$B411,DATA_GOC!$E:$E,"Dầu cầu",DATA_GOC!$F:$F,"Xuất nội bộ từ téc",DATA_GOC!$B:$B,DATE($D$2,$B$2,L$4)),0))</f>
        <v>0</v>
      </c>
      <c r="M411" s="251">
        <f>IF(M$4&gt;DAY(EOMONTH(DATE($D$2,$B$2,1),0)),"",IFERROR(SUMIFS(DATA_GOC!$H:$H,DATA_GOC!$A:$A,"BOM",DATA_GOC!$D:$D,$B411,DATA_GOC!$E:$E,"Dầu cầu",DATA_GOC!$F:$F,"Xuất nội bộ từ téc",DATA_GOC!$B:$B,DATE($D$2,$B$2,M$4)),0))</f>
        <v>0</v>
      </c>
      <c r="N411" s="251">
        <f>IF(N$4&gt;DAY(EOMONTH(DATE($D$2,$B$2,1),0)),"",IFERROR(SUMIFS(DATA_GOC!$H:$H,DATA_GOC!$A:$A,"BOM",DATA_GOC!$D:$D,$B411,DATA_GOC!$E:$E,"Dầu cầu",DATA_GOC!$F:$F,"Xuất nội bộ từ téc",DATA_GOC!$B:$B,DATE($D$2,$B$2,N$4)),0))</f>
        <v>0</v>
      </c>
      <c r="O411" s="251">
        <f>IF(O$4&gt;DAY(EOMONTH(DATE($D$2,$B$2,1),0)),"",IFERROR(SUMIFS(DATA_GOC!$H:$H,DATA_GOC!$A:$A,"BOM",DATA_GOC!$D:$D,$B411,DATA_GOC!$E:$E,"Dầu cầu",DATA_GOC!$F:$F,"Xuất nội bộ từ téc",DATA_GOC!$B:$B,DATE($D$2,$B$2,O$4)),0))</f>
        <v>0</v>
      </c>
      <c r="P411" s="251">
        <f>IF(P$4&gt;DAY(EOMONTH(DATE($D$2,$B$2,1),0)),"",IFERROR(SUMIFS(DATA_GOC!$H:$H,DATA_GOC!$A:$A,"BOM",DATA_GOC!$D:$D,$B411,DATA_GOC!$E:$E,"Dầu cầu",DATA_GOC!$F:$F,"Xuất nội bộ từ téc",DATA_GOC!$B:$B,DATE($D$2,$B$2,P$4)),0))</f>
        <v>0</v>
      </c>
      <c r="Q411" s="251">
        <f>IF(Q$4&gt;DAY(EOMONTH(DATE($D$2,$B$2,1),0)),"",IFERROR(SUMIFS(DATA_GOC!$H:$H,DATA_GOC!$A:$A,"BOM",DATA_GOC!$D:$D,$B411,DATA_GOC!$E:$E,"Dầu cầu",DATA_GOC!$F:$F,"Xuất nội bộ từ téc",DATA_GOC!$B:$B,DATE($D$2,$B$2,Q$4)),0))</f>
        <v>0</v>
      </c>
      <c r="R411" s="251">
        <f>IF(R$4&gt;DAY(EOMONTH(DATE($D$2,$B$2,1),0)),"",IFERROR(SUMIFS(DATA_GOC!$H:$H,DATA_GOC!$A:$A,"BOM",DATA_GOC!$D:$D,$B411,DATA_GOC!$E:$E,"Dầu cầu",DATA_GOC!$F:$F,"Xuất nội bộ từ téc",DATA_GOC!$B:$B,DATE($D$2,$B$2,R$4)),0))</f>
        <v>0</v>
      </c>
      <c r="S411" s="251">
        <f>IF(S$4&gt;DAY(EOMONTH(DATE($D$2,$B$2,1),0)),"",IFERROR(SUMIFS(DATA_GOC!$H:$H,DATA_GOC!$A:$A,"BOM",DATA_GOC!$D:$D,$B411,DATA_GOC!$E:$E,"Dầu cầu",DATA_GOC!$F:$F,"Xuất nội bộ từ téc",DATA_GOC!$B:$B,DATE($D$2,$B$2,S$4)),0))</f>
        <v>0</v>
      </c>
      <c r="T411" s="251">
        <f>IF(T$4&gt;DAY(EOMONTH(DATE($D$2,$B$2,1),0)),"",IFERROR(SUMIFS(DATA_GOC!$H:$H,DATA_GOC!$A:$A,"BOM",DATA_GOC!$D:$D,$B411,DATA_GOC!$E:$E,"Dầu cầu",DATA_GOC!$F:$F,"Xuất nội bộ từ téc",DATA_GOC!$B:$B,DATE($D$2,$B$2,T$4)),0))</f>
        <v>0</v>
      </c>
      <c r="U411" s="251">
        <f>IF(U$4&gt;DAY(EOMONTH(DATE($D$2,$B$2,1),0)),"",IFERROR(SUMIFS(DATA_GOC!$H:$H,DATA_GOC!$A:$A,"BOM",DATA_GOC!$D:$D,$B411,DATA_GOC!$E:$E,"Dầu cầu",DATA_GOC!$F:$F,"Xuất nội bộ từ téc",DATA_GOC!$B:$B,DATE($D$2,$B$2,U$4)),0))</f>
        <v>0</v>
      </c>
      <c r="V411" s="251">
        <f>IF(V$4&gt;DAY(EOMONTH(DATE($D$2,$B$2,1),0)),"",IFERROR(SUMIFS(DATA_GOC!$H:$H,DATA_GOC!$A:$A,"BOM",DATA_GOC!$D:$D,$B411,DATA_GOC!$E:$E,"Dầu cầu",DATA_GOC!$F:$F,"Xuất nội bộ từ téc",DATA_GOC!$B:$B,DATE($D$2,$B$2,V$4)),0))</f>
        <v>0</v>
      </c>
      <c r="W411" s="251">
        <f>IF(W$4&gt;DAY(EOMONTH(DATE($D$2,$B$2,1),0)),"",IFERROR(SUMIFS(DATA_GOC!$H:$H,DATA_GOC!$A:$A,"BOM",DATA_GOC!$D:$D,$B411,DATA_GOC!$E:$E,"Dầu cầu",DATA_GOC!$F:$F,"Xuất nội bộ từ téc",DATA_GOC!$B:$B,DATE($D$2,$B$2,W$4)),0))</f>
        <v>0</v>
      </c>
      <c r="X411" s="251">
        <f>IF(X$4&gt;DAY(EOMONTH(DATE($D$2,$B$2,1),0)),"",IFERROR(SUMIFS(DATA_GOC!$H:$H,DATA_GOC!$A:$A,"BOM",DATA_GOC!$D:$D,$B411,DATA_GOC!$E:$E,"Dầu cầu",DATA_GOC!$F:$F,"Xuất nội bộ từ téc",DATA_GOC!$B:$B,DATE($D$2,$B$2,X$4)),0))</f>
        <v>0</v>
      </c>
      <c r="Y411" s="251">
        <f>IF(Y$4&gt;DAY(EOMONTH(DATE($D$2,$B$2,1),0)),"",IFERROR(SUMIFS(DATA_GOC!$H:$H,DATA_GOC!$A:$A,"BOM",DATA_GOC!$D:$D,$B411,DATA_GOC!$E:$E,"Dầu cầu",DATA_GOC!$F:$F,"Xuất nội bộ từ téc",DATA_GOC!$B:$B,DATE($D$2,$B$2,Y$4)),0))</f>
        <v>0</v>
      </c>
      <c r="Z411" s="251">
        <f>IF(Z$4&gt;DAY(EOMONTH(DATE($D$2,$B$2,1),0)),"",IFERROR(SUMIFS(DATA_GOC!$H:$H,DATA_GOC!$A:$A,"BOM",DATA_GOC!$D:$D,$B411,DATA_GOC!$E:$E,"Dầu cầu",DATA_GOC!$F:$F,"Xuất nội bộ từ téc",DATA_GOC!$B:$B,DATE($D$2,$B$2,Z$4)),0))</f>
        <v>0</v>
      </c>
      <c r="AA411" s="251">
        <f>IF(AA$4&gt;DAY(EOMONTH(DATE($D$2,$B$2,1),0)),"",IFERROR(SUMIFS(DATA_GOC!$H:$H,DATA_GOC!$A:$A,"BOM",DATA_GOC!$D:$D,$B411,DATA_GOC!$E:$E,"Dầu cầu",DATA_GOC!$F:$F,"Xuất nội bộ từ téc",DATA_GOC!$B:$B,DATE($D$2,$B$2,AA$4)),0))</f>
        <v>0</v>
      </c>
      <c r="AB411" s="251">
        <f>IF(AB$4&gt;DAY(EOMONTH(DATE($D$2,$B$2,1),0)),"",IFERROR(SUMIFS(DATA_GOC!$H:$H,DATA_GOC!$A:$A,"BOM",DATA_GOC!$D:$D,$B411,DATA_GOC!$E:$E,"Dầu cầu",DATA_GOC!$F:$F,"Xuất nội bộ từ téc",DATA_GOC!$B:$B,DATE($D$2,$B$2,AB$4)),0))</f>
        <v>0</v>
      </c>
      <c r="AC411" s="251">
        <f>IF(AC$4&gt;DAY(EOMONTH(DATE($D$2,$B$2,1),0)),"",IFERROR(SUMIFS(DATA_GOC!$H:$H,DATA_GOC!$A:$A,"BOM",DATA_GOC!$D:$D,$B411,DATA_GOC!$E:$E,"Dầu cầu",DATA_GOC!$F:$F,"Xuất nội bộ từ téc",DATA_GOC!$B:$B,DATE($D$2,$B$2,AC$4)),0))</f>
        <v>0</v>
      </c>
      <c r="AD411" s="251">
        <f>IF(AD$4&gt;DAY(EOMONTH(DATE($D$2,$B$2,1),0)),"",IFERROR(SUMIFS(DATA_GOC!$H:$H,DATA_GOC!$A:$A,"BOM",DATA_GOC!$D:$D,$B411,DATA_GOC!$E:$E,"Dầu cầu",DATA_GOC!$F:$F,"Xuất nội bộ từ téc",DATA_GOC!$B:$B,DATE($D$2,$B$2,AD$4)),0))</f>
        <v>0</v>
      </c>
      <c r="AE411" s="251">
        <f>IF(AE$4&gt;DAY(EOMONTH(DATE($D$2,$B$2,1),0)),"",IFERROR(SUMIFS(DATA_GOC!$H:$H,DATA_GOC!$A:$A,"BOM",DATA_GOC!$D:$D,$B411,DATA_GOC!$E:$E,"Dầu cầu",DATA_GOC!$F:$F,"Xuất nội bộ từ téc",DATA_GOC!$B:$B,DATE($D$2,$B$2,AE$4)),0))</f>
        <v>0</v>
      </c>
      <c r="AF411" s="251">
        <f>IF(AF$4&gt;DAY(EOMONTH(DATE($D$2,$B$2,1),0)),"",IFERROR(SUMIFS(DATA_GOC!$H:$H,DATA_GOC!$A:$A,"BOM",DATA_GOC!$D:$D,$B411,DATA_GOC!$E:$E,"Dầu cầu",DATA_GOC!$F:$F,"Xuất nội bộ từ téc",DATA_GOC!$B:$B,DATE($D$2,$B$2,AF$4)),0))</f>
        <v>0</v>
      </c>
      <c r="AG411" s="251">
        <f>IF(AG$4&gt;DAY(EOMONTH(DATE($D$2,$B$2,1),0)),"",IFERROR(SUMIFS(DATA_GOC!$H:$H,DATA_GOC!$A:$A,"BOM",DATA_GOC!$D:$D,$B411,DATA_GOC!$E:$E,"Dầu cầu",DATA_GOC!$F:$F,"Xuất nội bộ từ téc",DATA_GOC!$B:$B,DATE($D$2,$B$2,AG$4)),0))</f>
        <v>0</v>
      </c>
      <c r="AH411" s="252">
        <f t="shared" si="19"/>
        <v>0</v>
      </c>
      <c r="AI411" s="241"/>
      <c r="AJ411" s="242">
        <f>IF($B411="","",SUMIFS(TINH_TEC!$K$233:$K$9232,TINH_TEC!$H$233:$H$9232,$B411,TINH_TEC!$C$233:$C$9232,"Dầu cầu",TINH_TEC!$F$233:$F$9232,$B$2,TINH_TEC!$G$233:$G$9232,$D$2,TINH_TEC!$B$233:$B$9232,"Đã chốt"))</f>
        <v>0</v>
      </c>
      <c r="AK411" s="242">
        <f>IF($B411="","",SUMIFS(TINH_TEC!$J$233:$J$9232,TINH_TEC!$H$233:$H$9232,$B411,TINH_TEC!$C$233:$C$9232,"Dầu cầu",TINH_TEC!$F$233:$F$9232,$B$2,TINH_TEC!$G$233:$G$9232,$D$2,TINH_TEC!$B$233:$B$9232,"Đã chốt"))</f>
        <v>0</v>
      </c>
      <c r="AL411" s="242">
        <f t="shared" si="20"/>
        <v>0</v>
      </c>
    </row>
    <row r="412" ht="15.75" customHeight="1">
      <c r="A412" s="237">
        <f>IF($B412&lt;&gt;"",41,"")</f>
        <v>41</v>
      </c>
      <c r="B412" s="250" t="str">
        <f t="array" ref="B412">IFERROR(INDEX(DANH_MUC!$E:$E,44),"")</f>
        <v>29E17269</v>
      </c>
      <c r="C412" s="251">
        <f>IF(C$4&gt;DAY(EOMONTH(DATE($D$2,$B$2,1),0)),"",IFERROR(SUMIFS(DATA_GOC!$H:$H,DATA_GOC!$A:$A,"BOM",DATA_GOC!$D:$D,$B412,DATA_GOC!$E:$E,"Dầu cầu",DATA_GOC!$F:$F,"Xuất nội bộ từ téc",DATA_GOC!$B:$B,DATE($D$2,$B$2,C$4)),0))</f>
        <v>0</v>
      </c>
      <c r="D412" s="251">
        <f>IF(D$4&gt;DAY(EOMONTH(DATE($D$2,$B$2,1),0)),"",IFERROR(SUMIFS(DATA_GOC!$H:$H,DATA_GOC!$A:$A,"BOM",DATA_GOC!$D:$D,$B412,DATA_GOC!$E:$E,"Dầu cầu",DATA_GOC!$F:$F,"Xuất nội bộ từ téc",DATA_GOC!$B:$B,DATE($D$2,$B$2,D$4)),0))</f>
        <v>0</v>
      </c>
      <c r="E412" s="251">
        <f>IF(E$4&gt;DAY(EOMONTH(DATE($D$2,$B$2,1),0)),"",IFERROR(SUMIFS(DATA_GOC!$H:$H,DATA_GOC!$A:$A,"BOM",DATA_GOC!$D:$D,$B412,DATA_GOC!$E:$E,"Dầu cầu",DATA_GOC!$F:$F,"Xuất nội bộ từ téc",DATA_GOC!$B:$B,DATE($D$2,$B$2,E$4)),0))</f>
        <v>0</v>
      </c>
      <c r="F412" s="251">
        <f>IF(F$4&gt;DAY(EOMONTH(DATE($D$2,$B$2,1),0)),"",IFERROR(SUMIFS(DATA_GOC!$H:$H,DATA_GOC!$A:$A,"BOM",DATA_GOC!$D:$D,$B412,DATA_GOC!$E:$E,"Dầu cầu",DATA_GOC!$F:$F,"Xuất nội bộ từ téc",DATA_GOC!$B:$B,DATE($D$2,$B$2,F$4)),0))</f>
        <v>0</v>
      </c>
      <c r="G412" s="251">
        <f>IF(G$4&gt;DAY(EOMONTH(DATE($D$2,$B$2,1),0)),"",IFERROR(SUMIFS(DATA_GOC!$H:$H,DATA_GOC!$A:$A,"BOM",DATA_GOC!$D:$D,$B412,DATA_GOC!$E:$E,"Dầu cầu",DATA_GOC!$F:$F,"Xuất nội bộ từ téc",DATA_GOC!$B:$B,DATE($D$2,$B$2,G$4)),0))</f>
        <v>0</v>
      </c>
      <c r="H412" s="251">
        <f>IF(H$4&gt;DAY(EOMONTH(DATE($D$2,$B$2,1),0)),"",IFERROR(SUMIFS(DATA_GOC!$H:$H,DATA_GOC!$A:$A,"BOM",DATA_GOC!$D:$D,$B412,DATA_GOC!$E:$E,"Dầu cầu",DATA_GOC!$F:$F,"Xuất nội bộ từ téc",DATA_GOC!$B:$B,DATE($D$2,$B$2,H$4)),0))</f>
        <v>0</v>
      </c>
      <c r="I412" s="251">
        <f>IF(I$4&gt;DAY(EOMONTH(DATE($D$2,$B$2,1),0)),"",IFERROR(SUMIFS(DATA_GOC!$H:$H,DATA_GOC!$A:$A,"BOM",DATA_GOC!$D:$D,$B412,DATA_GOC!$E:$E,"Dầu cầu",DATA_GOC!$F:$F,"Xuất nội bộ từ téc",DATA_GOC!$B:$B,DATE($D$2,$B$2,I$4)),0))</f>
        <v>0</v>
      </c>
      <c r="J412" s="251">
        <f>IF(J$4&gt;DAY(EOMONTH(DATE($D$2,$B$2,1),0)),"",IFERROR(SUMIFS(DATA_GOC!$H:$H,DATA_GOC!$A:$A,"BOM",DATA_GOC!$D:$D,$B412,DATA_GOC!$E:$E,"Dầu cầu",DATA_GOC!$F:$F,"Xuất nội bộ từ téc",DATA_GOC!$B:$B,DATE($D$2,$B$2,J$4)),0))</f>
        <v>0</v>
      </c>
      <c r="K412" s="251">
        <f>IF(K$4&gt;DAY(EOMONTH(DATE($D$2,$B$2,1),0)),"",IFERROR(SUMIFS(DATA_GOC!$H:$H,DATA_GOC!$A:$A,"BOM",DATA_GOC!$D:$D,$B412,DATA_GOC!$E:$E,"Dầu cầu",DATA_GOC!$F:$F,"Xuất nội bộ từ téc",DATA_GOC!$B:$B,DATE($D$2,$B$2,K$4)),0))</f>
        <v>0</v>
      </c>
      <c r="L412" s="251">
        <f>IF(L$4&gt;DAY(EOMONTH(DATE($D$2,$B$2,1),0)),"",IFERROR(SUMIFS(DATA_GOC!$H:$H,DATA_GOC!$A:$A,"BOM",DATA_GOC!$D:$D,$B412,DATA_GOC!$E:$E,"Dầu cầu",DATA_GOC!$F:$F,"Xuất nội bộ từ téc",DATA_GOC!$B:$B,DATE($D$2,$B$2,L$4)),0))</f>
        <v>0</v>
      </c>
      <c r="M412" s="251">
        <f>IF(M$4&gt;DAY(EOMONTH(DATE($D$2,$B$2,1),0)),"",IFERROR(SUMIFS(DATA_GOC!$H:$H,DATA_GOC!$A:$A,"BOM",DATA_GOC!$D:$D,$B412,DATA_GOC!$E:$E,"Dầu cầu",DATA_GOC!$F:$F,"Xuất nội bộ từ téc",DATA_GOC!$B:$B,DATE($D$2,$B$2,M$4)),0))</f>
        <v>0</v>
      </c>
      <c r="N412" s="251">
        <f>IF(N$4&gt;DAY(EOMONTH(DATE($D$2,$B$2,1),0)),"",IFERROR(SUMIFS(DATA_GOC!$H:$H,DATA_GOC!$A:$A,"BOM",DATA_GOC!$D:$D,$B412,DATA_GOC!$E:$E,"Dầu cầu",DATA_GOC!$F:$F,"Xuất nội bộ từ téc",DATA_GOC!$B:$B,DATE($D$2,$B$2,N$4)),0))</f>
        <v>0</v>
      </c>
      <c r="O412" s="251">
        <f>IF(O$4&gt;DAY(EOMONTH(DATE($D$2,$B$2,1),0)),"",IFERROR(SUMIFS(DATA_GOC!$H:$H,DATA_GOC!$A:$A,"BOM",DATA_GOC!$D:$D,$B412,DATA_GOC!$E:$E,"Dầu cầu",DATA_GOC!$F:$F,"Xuất nội bộ từ téc",DATA_GOC!$B:$B,DATE($D$2,$B$2,O$4)),0))</f>
        <v>0</v>
      </c>
      <c r="P412" s="251">
        <f>IF(P$4&gt;DAY(EOMONTH(DATE($D$2,$B$2,1),0)),"",IFERROR(SUMIFS(DATA_GOC!$H:$H,DATA_GOC!$A:$A,"BOM",DATA_GOC!$D:$D,$B412,DATA_GOC!$E:$E,"Dầu cầu",DATA_GOC!$F:$F,"Xuất nội bộ từ téc",DATA_GOC!$B:$B,DATE($D$2,$B$2,P$4)),0))</f>
        <v>0</v>
      </c>
      <c r="Q412" s="251">
        <f>IF(Q$4&gt;DAY(EOMONTH(DATE($D$2,$B$2,1),0)),"",IFERROR(SUMIFS(DATA_GOC!$H:$H,DATA_GOC!$A:$A,"BOM",DATA_GOC!$D:$D,$B412,DATA_GOC!$E:$E,"Dầu cầu",DATA_GOC!$F:$F,"Xuất nội bộ từ téc",DATA_GOC!$B:$B,DATE($D$2,$B$2,Q$4)),0))</f>
        <v>0</v>
      </c>
      <c r="R412" s="251">
        <f>IF(R$4&gt;DAY(EOMONTH(DATE($D$2,$B$2,1),0)),"",IFERROR(SUMIFS(DATA_GOC!$H:$H,DATA_GOC!$A:$A,"BOM",DATA_GOC!$D:$D,$B412,DATA_GOC!$E:$E,"Dầu cầu",DATA_GOC!$F:$F,"Xuất nội bộ từ téc",DATA_GOC!$B:$B,DATE($D$2,$B$2,R$4)),0))</f>
        <v>0</v>
      </c>
      <c r="S412" s="251">
        <f>IF(S$4&gt;DAY(EOMONTH(DATE($D$2,$B$2,1),0)),"",IFERROR(SUMIFS(DATA_GOC!$H:$H,DATA_GOC!$A:$A,"BOM",DATA_GOC!$D:$D,$B412,DATA_GOC!$E:$E,"Dầu cầu",DATA_GOC!$F:$F,"Xuất nội bộ từ téc",DATA_GOC!$B:$B,DATE($D$2,$B$2,S$4)),0))</f>
        <v>0</v>
      </c>
      <c r="T412" s="251">
        <f>IF(T$4&gt;DAY(EOMONTH(DATE($D$2,$B$2,1),0)),"",IFERROR(SUMIFS(DATA_GOC!$H:$H,DATA_GOC!$A:$A,"BOM",DATA_GOC!$D:$D,$B412,DATA_GOC!$E:$E,"Dầu cầu",DATA_GOC!$F:$F,"Xuất nội bộ từ téc",DATA_GOC!$B:$B,DATE($D$2,$B$2,T$4)),0))</f>
        <v>0</v>
      </c>
      <c r="U412" s="251">
        <f>IF(U$4&gt;DAY(EOMONTH(DATE($D$2,$B$2,1),0)),"",IFERROR(SUMIFS(DATA_GOC!$H:$H,DATA_GOC!$A:$A,"BOM",DATA_GOC!$D:$D,$B412,DATA_GOC!$E:$E,"Dầu cầu",DATA_GOC!$F:$F,"Xuất nội bộ từ téc",DATA_GOC!$B:$B,DATE($D$2,$B$2,U$4)),0))</f>
        <v>0</v>
      </c>
      <c r="V412" s="251">
        <f>IF(V$4&gt;DAY(EOMONTH(DATE($D$2,$B$2,1),0)),"",IFERROR(SUMIFS(DATA_GOC!$H:$H,DATA_GOC!$A:$A,"BOM",DATA_GOC!$D:$D,$B412,DATA_GOC!$E:$E,"Dầu cầu",DATA_GOC!$F:$F,"Xuất nội bộ từ téc",DATA_GOC!$B:$B,DATE($D$2,$B$2,V$4)),0))</f>
        <v>0</v>
      </c>
      <c r="W412" s="251">
        <f>IF(W$4&gt;DAY(EOMONTH(DATE($D$2,$B$2,1),0)),"",IFERROR(SUMIFS(DATA_GOC!$H:$H,DATA_GOC!$A:$A,"BOM",DATA_GOC!$D:$D,$B412,DATA_GOC!$E:$E,"Dầu cầu",DATA_GOC!$F:$F,"Xuất nội bộ từ téc",DATA_GOC!$B:$B,DATE($D$2,$B$2,W$4)),0))</f>
        <v>0</v>
      </c>
      <c r="X412" s="251">
        <f>IF(X$4&gt;DAY(EOMONTH(DATE($D$2,$B$2,1),0)),"",IFERROR(SUMIFS(DATA_GOC!$H:$H,DATA_GOC!$A:$A,"BOM",DATA_GOC!$D:$D,$B412,DATA_GOC!$E:$E,"Dầu cầu",DATA_GOC!$F:$F,"Xuất nội bộ từ téc",DATA_GOC!$B:$B,DATE($D$2,$B$2,X$4)),0))</f>
        <v>0</v>
      </c>
      <c r="Y412" s="251">
        <f>IF(Y$4&gt;DAY(EOMONTH(DATE($D$2,$B$2,1),0)),"",IFERROR(SUMIFS(DATA_GOC!$H:$H,DATA_GOC!$A:$A,"BOM",DATA_GOC!$D:$D,$B412,DATA_GOC!$E:$E,"Dầu cầu",DATA_GOC!$F:$F,"Xuất nội bộ từ téc",DATA_GOC!$B:$B,DATE($D$2,$B$2,Y$4)),0))</f>
        <v>0</v>
      </c>
      <c r="Z412" s="251">
        <f>IF(Z$4&gt;DAY(EOMONTH(DATE($D$2,$B$2,1),0)),"",IFERROR(SUMIFS(DATA_GOC!$H:$H,DATA_GOC!$A:$A,"BOM",DATA_GOC!$D:$D,$B412,DATA_GOC!$E:$E,"Dầu cầu",DATA_GOC!$F:$F,"Xuất nội bộ từ téc",DATA_GOC!$B:$B,DATE($D$2,$B$2,Z$4)),0))</f>
        <v>0</v>
      </c>
      <c r="AA412" s="251">
        <f>IF(AA$4&gt;DAY(EOMONTH(DATE($D$2,$B$2,1),0)),"",IFERROR(SUMIFS(DATA_GOC!$H:$H,DATA_GOC!$A:$A,"BOM",DATA_GOC!$D:$D,$B412,DATA_GOC!$E:$E,"Dầu cầu",DATA_GOC!$F:$F,"Xuất nội bộ từ téc",DATA_GOC!$B:$B,DATE($D$2,$B$2,AA$4)),0))</f>
        <v>0</v>
      </c>
      <c r="AB412" s="251">
        <f>IF(AB$4&gt;DAY(EOMONTH(DATE($D$2,$B$2,1),0)),"",IFERROR(SUMIFS(DATA_GOC!$H:$H,DATA_GOC!$A:$A,"BOM",DATA_GOC!$D:$D,$B412,DATA_GOC!$E:$E,"Dầu cầu",DATA_GOC!$F:$F,"Xuất nội bộ từ téc",DATA_GOC!$B:$B,DATE($D$2,$B$2,AB$4)),0))</f>
        <v>0</v>
      </c>
      <c r="AC412" s="251">
        <f>IF(AC$4&gt;DAY(EOMONTH(DATE($D$2,$B$2,1),0)),"",IFERROR(SUMIFS(DATA_GOC!$H:$H,DATA_GOC!$A:$A,"BOM",DATA_GOC!$D:$D,$B412,DATA_GOC!$E:$E,"Dầu cầu",DATA_GOC!$F:$F,"Xuất nội bộ từ téc",DATA_GOC!$B:$B,DATE($D$2,$B$2,AC$4)),0))</f>
        <v>0</v>
      </c>
      <c r="AD412" s="251">
        <f>IF(AD$4&gt;DAY(EOMONTH(DATE($D$2,$B$2,1),0)),"",IFERROR(SUMIFS(DATA_GOC!$H:$H,DATA_GOC!$A:$A,"BOM",DATA_GOC!$D:$D,$B412,DATA_GOC!$E:$E,"Dầu cầu",DATA_GOC!$F:$F,"Xuất nội bộ từ téc",DATA_GOC!$B:$B,DATE($D$2,$B$2,AD$4)),0))</f>
        <v>0</v>
      </c>
      <c r="AE412" s="251">
        <f>IF(AE$4&gt;DAY(EOMONTH(DATE($D$2,$B$2,1),0)),"",IFERROR(SUMIFS(DATA_GOC!$H:$H,DATA_GOC!$A:$A,"BOM",DATA_GOC!$D:$D,$B412,DATA_GOC!$E:$E,"Dầu cầu",DATA_GOC!$F:$F,"Xuất nội bộ từ téc",DATA_GOC!$B:$B,DATE($D$2,$B$2,AE$4)),0))</f>
        <v>0</v>
      </c>
      <c r="AF412" s="251">
        <f>IF(AF$4&gt;DAY(EOMONTH(DATE($D$2,$B$2,1),0)),"",IFERROR(SUMIFS(DATA_GOC!$H:$H,DATA_GOC!$A:$A,"BOM",DATA_GOC!$D:$D,$B412,DATA_GOC!$E:$E,"Dầu cầu",DATA_GOC!$F:$F,"Xuất nội bộ từ téc",DATA_GOC!$B:$B,DATE($D$2,$B$2,AF$4)),0))</f>
        <v>0</v>
      </c>
      <c r="AG412" s="251">
        <f>IF(AG$4&gt;DAY(EOMONTH(DATE($D$2,$B$2,1),0)),"",IFERROR(SUMIFS(DATA_GOC!$H:$H,DATA_GOC!$A:$A,"BOM",DATA_GOC!$D:$D,$B412,DATA_GOC!$E:$E,"Dầu cầu",DATA_GOC!$F:$F,"Xuất nội bộ từ téc",DATA_GOC!$B:$B,DATE($D$2,$B$2,AG$4)),0))</f>
        <v>0</v>
      </c>
      <c r="AH412" s="252">
        <f t="shared" si="19"/>
        <v>0</v>
      </c>
      <c r="AI412" s="241"/>
      <c r="AJ412" s="242">
        <f>IF($B412="","",SUMIFS(TINH_TEC!$K$233:$K$9232,TINH_TEC!$H$233:$H$9232,$B412,TINH_TEC!$C$233:$C$9232,"Dầu cầu",TINH_TEC!$F$233:$F$9232,$B$2,TINH_TEC!$G$233:$G$9232,$D$2,TINH_TEC!$B$233:$B$9232,"Đã chốt"))</f>
        <v>0</v>
      </c>
      <c r="AK412" s="242">
        <f>IF($B412="","",SUMIFS(TINH_TEC!$J$233:$J$9232,TINH_TEC!$H$233:$H$9232,$B412,TINH_TEC!$C$233:$C$9232,"Dầu cầu",TINH_TEC!$F$233:$F$9232,$B$2,TINH_TEC!$G$233:$G$9232,$D$2,TINH_TEC!$B$233:$B$9232,"Đã chốt"))</f>
        <v>0</v>
      </c>
      <c r="AL412" s="242">
        <f t="shared" si="20"/>
        <v>0</v>
      </c>
    </row>
    <row r="413" ht="15.75" customHeight="1">
      <c r="A413" s="237">
        <f>IF($B413&lt;&gt;"",42,"")</f>
        <v>42</v>
      </c>
      <c r="B413" s="250" t="str">
        <f t="array" ref="B413">IFERROR(INDEX(DANH_MUC!$E:$E,45),"")</f>
        <v>29E17273</v>
      </c>
      <c r="C413" s="251">
        <f>IF(C$4&gt;DAY(EOMONTH(DATE($D$2,$B$2,1),0)),"",IFERROR(SUMIFS(DATA_GOC!$H:$H,DATA_GOC!$A:$A,"BOM",DATA_GOC!$D:$D,$B413,DATA_GOC!$E:$E,"Dầu cầu",DATA_GOC!$F:$F,"Xuất nội bộ từ téc",DATA_GOC!$B:$B,DATE($D$2,$B$2,C$4)),0))</f>
        <v>0</v>
      </c>
      <c r="D413" s="251">
        <f>IF(D$4&gt;DAY(EOMONTH(DATE($D$2,$B$2,1),0)),"",IFERROR(SUMIFS(DATA_GOC!$H:$H,DATA_GOC!$A:$A,"BOM",DATA_GOC!$D:$D,$B413,DATA_GOC!$E:$E,"Dầu cầu",DATA_GOC!$F:$F,"Xuất nội bộ từ téc",DATA_GOC!$B:$B,DATE($D$2,$B$2,D$4)),0))</f>
        <v>0</v>
      </c>
      <c r="E413" s="251">
        <f>IF(E$4&gt;DAY(EOMONTH(DATE($D$2,$B$2,1),0)),"",IFERROR(SUMIFS(DATA_GOC!$H:$H,DATA_GOC!$A:$A,"BOM",DATA_GOC!$D:$D,$B413,DATA_GOC!$E:$E,"Dầu cầu",DATA_GOC!$F:$F,"Xuất nội bộ từ téc",DATA_GOC!$B:$B,DATE($D$2,$B$2,E$4)),0))</f>
        <v>0</v>
      </c>
      <c r="F413" s="251">
        <f>IF(F$4&gt;DAY(EOMONTH(DATE($D$2,$B$2,1),0)),"",IFERROR(SUMIFS(DATA_GOC!$H:$H,DATA_GOC!$A:$A,"BOM",DATA_GOC!$D:$D,$B413,DATA_GOC!$E:$E,"Dầu cầu",DATA_GOC!$F:$F,"Xuất nội bộ từ téc",DATA_GOC!$B:$B,DATE($D$2,$B$2,F$4)),0))</f>
        <v>0</v>
      </c>
      <c r="G413" s="251">
        <f>IF(G$4&gt;DAY(EOMONTH(DATE($D$2,$B$2,1),0)),"",IFERROR(SUMIFS(DATA_GOC!$H:$H,DATA_GOC!$A:$A,"BOM",DATA_GOC!$D:$D,$B413,DATA_GOC!$E:$E,"Dầu cầu",DATA_GOC!$F:$F,"Xuất nội bộ từ téc",DATA_GOC!$B:$B,DATE($D$2,$B$2,G$4)),0))</f>
        <v>0</v>
      </c>
      <c r="H413" s="251">
        <f>IF(H$4&gt;DAY(EOMONTH(DATE($D$2,$B$2,1),0)),"",IFERROR(SUMIFS(DATA_GOC!$H:$H,DATA_GOC!$A:$A,"BOM",DATA_GOC!$D:$D,$B413,DATA_GOC!$E:$E,"Dầu cầu",DATA_GOC!$F:$F,"Xuất nội bộ từ téc",DATA_GOC!$B:$B,DATE($D$2,$B$2,H$4)),0))</f>
        <v>0</v>
      </c>
      <c r="I413" s="251">
        <f>IF(I$4&gt;DAY(EOMONTH(DATE($D$2,$B$2,1),0)),"",IFERROR(SUMIFS(DATA_GOC!$H:$H,DATA_GOC!$A:$A,"BOM",DATA_GOC!$D:$D,$B413,DATA_GOC!$E:$E,"Dầu cầu",DATA_GOC!$F:$F,"Xuất nội bộ từ téc",DATA_GOC!$B:$B,DATE($D$2,$B$2,I$4)),0))</f>
        <v>0</v>
      </c>
      <c r="J413" s="251">
        <f>IF(J$4&gt;DAY(EOMONTH(DATE($D$2,$B$2,1),0)),"",IFERROR(SUMIFS(DATA_GOC!$H:$H,DATA_GOC!$A:$A,"BOM",DATA_GOC!$D:$D,$B413,DATA_GOC!$E:$E,"Dầu cầu",DATA_GOC!$F:$F,"Xuất nội bộ từ téc",DATA_GOC!$B:$B,DATE($D$2,$B$2,J$4)),0))</f>
        <v>0</v>
      </c>
      <c r="K413" s="251">
        <f>IF(K$4&gt;DAY(EOMONTH(DATE($D$2,$B$2,1),0)),"",IFERROR(SUMIFS(DATA_GOC!$H:$H,DATA_GOC!$A:$A,"BOM",DATA_GOC!$D:$D,$B413,DATA_GOC!$E:$E,"Dầu cầu",DATA_GOC!$F:$F,"Xuất nội bộ từ téc",DATA_GOC!$B:$B,DATE($D$2,$B$2,K$4)),0))</f>
        <v>0</v>
      </c>
      <c r="L413" s="251">
        <f>IF(L$4&gt;DAY(EOMONTH(DATE($D$2,$B$2,1),0)),"",IFERROR(SUMIFS(DATA_GOC!$H:$H,DATA_GOC!$A:$A,"BOM",DATA_GOC!$D:$D,$B413,DATA_GOC!$E:$E,"Dầu cầu",DATA_GOC!$F:$F,"Xuất nội bộ từ téc",DATA_GOC!$B:$B,DATE($D$2,$B$2,L$4)),0))</f>
        <v>0</v>
      </c>
      <c r="M413" s="251">
        <f>IF(M$4&gt;DAY(EOMONTH(DATE($D$2,$B$2,1),0)),"",IFERROR(SUMIFS(DATA_GOC!$H:$H,DATA_GOC!$A:$A,"BOM",DATA_GOC!$D:$D,$B413,DATA_GOC!$E:$E,"Dầu cầu",DATA_GOC!$F:$F,"Xuất nội bộ từ téc",DATA_GOC!$B:$B,DATE($D$2,$B$2,M$4)),0))</f>
        <v>0</v>
      </c>
      <c r="N413" s="251">
        <f>IF(N$4&gt;DAY(EOMONTH(DATE($D$2,$B$2,1),0)),"",IFERROR(SUMIFS(DATA_GOC!$H:$H,DATA_GOC!$A:$A,"BOM",DATA_GOC!$D:$D,$B413,DATA_GOC!$E:$E,"Dầu cầu",DATA_GOC!$F:$F,"Xuất nội bộ từ téc",DATA_GOC!$B:$B,DATE($D$2,$B$2,N$4)),0))</f>
        <v>0</v>
      </c>
      <c r="O413" s="251">
        <f>IF(O$4&gt;DAY(EOMONTH(DATE($D$2,$B$2,1),0)),"",IFERROR(SUMIFS(DATA_GOC!$H:$H,DATA_GOC!$A:$A,"BOM",DATA_GOC!$D:$D,$B413,DATA_GOC!$E:$E,"Dầu cầu",DATA_GOC!$F:$F,"Xuất nội bộ từ téc",DATA_GOC!$B:$B,DATE($D$2,$B$2,O$4)),0))</f>
        <v>0</v>
      </c>
      <c r="P413" s="251">
        <f>IF(P$4&gt;DAY(EOMONTH(DATE($D$2,$B$2,1),0)),"",IFERROR(SUMIFS(DATA_GOC!$H:$H,DATA_GOC!$A:$A,"BOM",DATA_GOC!$D:$D,$B413,DATA_GOC!$E:$E,"Dầu cầu",DATA_GOC!$F:$F,"Xuất nội bộ từ téc",DATA_GOC!$B:$B,DATE($D$2,$B$2,P$4)),0))</f>
        <v>0</v>
      </c>
      <c r="Q413" s="251">
        <f>IF(Q$4&gt;DAY(EOMONTH(DATE($D$2,$B$2,1),0)),"",IFERROR(SUMIFS(DATA_GOC!$H:$H,DATA_GOC!$A:$A,"BOM",DATA_GOC!$D:$D,$B413,DATA_GOC!$E:$E,"Dầu cầu",DATA_GOC!$F:$F,"Xuất nội bộ từ téc",DATA_GOC!$B:$B,DATE($D$2,$B$2,Q$4)),0))</f>
        <v>0</v>
      </c>
      <c r="R413" s="251">
        <f>IF(R$4&gt;DAY(EOMONTH(DATE($D$2,$B$2,1),0)),"",IFERROR(SUMIFS(DATA_GOC!$H:$H,DATA_GOC!$A:$A,"BOM",DATA_GOC!$D:$D,$B413,DATA_GOC!$E:$E,"Dầu cầu",DATA_GOC!$F:$F,"Xuất nội bộ từ téc",DATA_GOC!$B:$B,DATE($D$2,$B$2,R$4)),0))</f>
        <v>0</v>
      </c>
      <c r="S413" s="251">
        <f>IF(S$4&gt;DAY(EOMONTH(DATE($D$2,$B$2,1),0)),"",IFERROR(SUMIFS(DATA_GOC!$H:$H,DATA_GOC!$A:$A,"BOM",DATA_GOC!$D:$D,$B413,DATA_GOC!$E:$E,"Dầu cầu",DATA_GOC!$F:$F,"Xuất nội bộ từ téc",DATA_GOC!$B:$B,DATE($D$2,$B$2,S$4)),0))</f>
        <v>0</v>
      </c>
      <c r="T413" s="251">
        <f>IF(T$4&gt;DAY(EOMONTH(DATE($D$2,$B$2,1),0)),"",IFERROR(SUMIFS(DATA_GOC!$H:$H,DATA_GOC!$A:$A,"BOM",DATA_GOC!$D:$D,$B413,DATA_GOC!$E:$E,"Dầu cầu",DATA_GOC!$F:$F,"Xuất nội bộ từ téc",DATA_GOC!$B:$B,DATE($D$2,$B$2,T$4)),0))</f>
        <v>0</v>
      </c>
      <c r="U413" s="251">
        <f>IF(U$4&gt;DAY(EOMONTH(DATE($D$2,$B$2,1),0)),"",IFERROR(SUMIFS(DATA_GOC!$H:$H,DATA_GOC!$A:$A,"BOM",DATA_GOC!$D:$D,$B413,DATA_GOC!$E:$E,"Dầu cầu",DATA_GOC!$F:$F,"Xuất nội bộ từ téc",DATA_GOC!$B:$B,DATE($D$2,$B$2,U$4)),0))</f>
        <v>0</v>
      </c>
      <c r="V413" s="251">
        <f>IF(V$4&gt;DAY(EOMONTH(DATE($D$2,$B$2,1),0)),"",IFERROR(SUMIFS(DATA_GOC!$H:$H,DATA_GOC!$A:$A,"BOM",DATA_GOC!$D:$D,$B413,DATA_GOC!$E:$E,"Dầu cầu",DATA_GOC!$F:$F,"Xuất nội bộ từ téc",DATA_GOC!$B:$B,DATE($D$2,$B$2,V$4)),0))</f>
        <v>0</v>
      </c>
      <c r="W413" s="251">
        <f>IF(W$4&gt;DAY(EOMONTH(DATE($D$2,$B$2,1),0)),"",IFERROR(SUMIFS(DATA_GOC!$H:$H,DATA_GOC!$A:$A,"BOM",DATA_GOC!$D:$D,$B413,DATA_GOC!$E:$E,"Dầu cầu",DATA_GOC!$F:$F,"Xuất nội bộ từ téc",DATA_GOC!$B:$B,DATE($D$2,$B$2,W$4)),0))</f>
        <v>0</v>
      </c>
      <c r="X413" s="251">
        <f>IF(X$4&gt;DAY(EOMONTH(DATE($D$2,$B$2,1),0)),"",IFERROR(SUMIFS(DATA_GOC!$H:$H,DATA_GOC!$A:$A,"BOM",DATA_GOC!$D:$D,$B413,DATA_GOC!$E:$E,"Dầu cầu",DATA_GOC!$F:$F,"Xuất nội bộ từ téc",DATA_GOC!$B:$B,DATE($D$2,$B$2,X$4)),0))</f>
        <v>0</v>
      </c>
      <c r="Y413" s="251">
        <f>IF(Y$4&gt;DAY(EOMONTH(DATE($D$2,$B$2,1),0)),"",IFERROR(SUMIFS(DATA_GOC!$H:$H,DATA_GOC!$A:$A,"BOM",DATA_GOC!$D:$D,$B413,DATA_GOC!$E:$E,"Dầu cầu",DATA_GOC!$F:$F,"Xuất nội bộ từ téc",DATA_GOC!$B:$B,DATE($D$2,$B$2,Y$4)),0))</f>
        <v>0</v>
      </c>
      <c r="Z413" s="251">
        <f>IF(Z$4&gt;DAY(EOMONTH(DATE($D$2,$B$2,1),0)),"",IFERROR(SUMIFS(DATA_GOC!$H:$H,DATA_GOC!$A:$A,"BOM",DATA_GOC!$D:$D,$B413,DATA_GOC!$E:$E,"Dầu cầu",DATA_GOC!$F:$F,"Xuất nội bộ từ téc",DATA_GOC!$B:$B,DATE($D$2,$B$2,Z$4)),0))</f>
        <v>0</v>
      </c>
      <c r="AA413" s="251">
        <f>IF(AA$4&gt;DAY(EOMONTH(DATE($D$2,$B$2,1),0)),"",IFERROR(SUMIFS(DATA_GOC!$H:$H,DATA_GOC!$A:$A,"BOM",DATA_GOC!$D:$D,$B413,DATA_GOC!$E:$E,"Dầu cầu",DATA_GOC!$F:$F,"Xuất nội bộ từ téc",DATA_GOC!$B:$B,DATE($D$2,$B$2,AA$4)),0))</f>
        <v>0</v>
      </c>
      <c r="AB413" s="251">
        <f>IF(AB$4&gt;DAY(EOMONTH(DATE($D$2,$B$2,1),0)),"",IFERROR(SUMIFS(DATA_GOC!$H:$H,DATA_GOC!$A:$A,"BOM",DATA_GOC!$D:$D,$B413,DATA_GOC!$E:$E,"Dầu cầu",DATA_GOC!$F:$F,"Xuất nội bộ từ téc",DATA_GOC!$B:$B,DATE($D$2,$B$2,AB$4)),0))</f>
        <v>0</v>
      </c>
      <c r="AC413" s="251">
        <f>IF(AC$4&gt;DAY(EOMONTH(DATE($D$2,$B$2,1),0)),"",IFERROR(SUMIFS(DATA_GOC!$H:$H,DATA_GOC!$A:$A,"BOM",DATA_GOC!$D:$D,$B413,DATA_GOC!$E:$E,"Dầu cầu",DATA_GOC!$F:$F,"Xuất nội bộ từ téc",DATA_GOC!$B:$B,DATE($D$2,$B$2,AC$4)),0))</f>
        <v>0</v>
      </c>
      <c r="AD413" s="251">
        <f>IF(AD$4&gt;DAY(EOMONTH(DATE($D$2,$B$2,1),0)),"",IFERROR(SUMIFS(DATA_GOC!$H:$H,DATA_GOC!$A:$A,"BOM",DATA_GOC!$D:$D,$B413,DATA_GOC!$E:$E,"Dầu cầu",DATA_GOC!$F:$F,"Xuất nội bộ từ téc",DATA_GOC!$B:$B,DATE($D$2,$B$2,AD$4)),0))</f>
        <v>0</v>
      </c>
      <c r="AE413" s="251">
        <f>IF(AE$4&gt;DAY(EOMONTH(DATE($D$2,$B$2,1),0)),"",IFERROR(SUMIFS(DATA_GOC!$H:$H,DATA_GOC!$A:$A,"BOM",DATA_GOC!$D:$D,$B413,DATA_GOC!$E:$E,"Dầu cầu",DATA_GOC!$F:$F,"Xuất nội bộ từ téc",DATA_GOC!$B:$B,DATE($D$2,$B$2,AE$4)),0))</f>
        <v>0</v>
      </c>
      <c r="AF413" s="251">
        <f>IF(AF$4&gt;DAY(EOMONTH(DATE($D$2,$B$2,1),0)),"",IFERROR(SUMIFS(DATA_GOC!$H:$H,DATA_GOC!$A:$A,"BOM",DATA_GOC!$D:$D,$B413,DATA_GOC!$E:$E,"Dầu cầu",DATA_GOC!$F:$F,"Xuất nội bộ từ téc",DATA_GOC!$B:$B,DATE($D$2,$B$2,AF$4)),0))</f>
        <v>0</v>
      </c>
      <c r="AG413" s="251">
        <f>IF(AG$4&gt;DAY(EOMONTH(DATE($D$2,$B$2,1),0)),"",IFERROR(SUMIFS(DATA_GOC!$H:$H,DATA_GOC!$A:$A,"BOM",DATA_GOC!$D:$D,$B413,DATA_GOC!$E:$E,"Dầu cầu",DATA_GOC!$F:$F,"Xuất nội bộ từ téc",DATA_GOC!$B:$B,DATE($D$2,$B$2,AG$4)),0))</f>
        <v>0</v>
      </c>
      <c r="AH413" s="252">
        <f t="shared" si="19"/>
        <v>0</v>
      </c>
      <c r="AI413" s="241"/>
      <c r="AJ413" s="242">
        <f>IF($B413="","",SUMIFS(TINH_TEC!$K$233:$K$9232,TINH_TEC!$H$233:$H$9232,$B413,TINH_TEC!$C$233:$C$9232,"Dầu cầu",TINH_TEC!$F$233:$F$9232,$B$2,TINH_TEC!$G$233:$G$9232,$D$2,TINH_TEC!$B$233:$B$9232,"Đã chốt"))</f>
        <v>0</v>
      </c>
      <c r="AK413" s="242">
        <f>IF($B413="","",SUMIFS(TINH_TEC!$J$233:$J$9232,TINH_TEC!$H$233:$H$9232,$B413,TINH_TEC!$C$233:$C$9232,"Dầu cầu",TINH_TEC!$F$233:$F$9232,$B$2,TINH_TEC!$G$233:$G$9232,$D$2,TINH_TEC!$B$233:$B$9232,"Đã chốt"))</f>
        <v>0</v>
      </c>
      <c r="AL413" s="242">
        <f t="shared" si="20"/>
        <v>0</v>
      </c>
    </row>
    <row r="414" ht="15.75" customHeight="1">
      <c r="A414" s="237">
        <f>IF($B414&lt;&gt;"",43,"")</f>
        <v>43</v>
      </c>
      <c r="B414" s="250" t="str">
        <f t="array" ref="B414">IFERROR(INDEX(DANH_MUC!$E:$E,46),"")</f>
        <v>29E17410</v>
      </c>
      <c r="C414" s="251">
        <f>IF(C$4&gt;DAY(EOMONTH(DATE($D$2,$B$2,1),0)),"",IFERROR(SUMIFS(DATA_GOC!$H:$H,DATA_GOC!$A:$A,"BOM",DATA_GOC!$D:$D,$B414,DATA_GOC!$E:$E,"Dầu cầu",DATA_GOC!$F:$F,"Xuất nội bộ từ téc",DATA_GOC!$B:$B,DATE($D$2,$B$2,C$4)),0))</f>
        <v>0</v>
      </c>
      <c r="D414" s="251">
        <f>IF(D$4&gt;DAY(EOMONTH(DATE($D$2,$B$2,1),0)),"",IFERROR(SUMIFS(DATA_GOC!$H:$H,DATA_GOC!$A:$A,"BOM",DATA_GOC!$D:$D,$B414,DATA_GOC!$E:$E,"Dầu cầu",DATA_GOC!$F:$F,"Xuất nội bộ từ téc",DATA_GOC!$B:$B,DATE($D$2,$B$2,D$4)),0))</f>
        <v>0</v>
      </c>
      <c r="E414" s="251">
        <f>IF(E$4&gt;DAY(EOMONTH(DATE($D$2,$B$2,1),0)),"",IFERROR(SUMIFS(DATA_GOC!$H:$H,DATA_GOC!$A:$A,"BOM",DATA_GOC!$D:$D,$B414,DATA_GOC!$E:$E,"Dầu cầu",DATA_GOC!$F:$F,"Xuất nội bộ từ téc",DATA_GOC!$B:$B,DATE($D$2,$B$2,E$4)),0))</f>
        <v>0</v>
      </c>
      <c r="F414" s="251">
        <f>IF(F$4&gt;DAY(EOMONTH(DATE($D$2,$B$2,1),0)),"",IFERROR(SUMIFS(DATA_GOC!$H:$H,DATA_GOC!$A:$A,"BOM",DATA_GOC!$D:$D,$B414,DATA_GOC!$E:$E,"Dầu cầu",DATA_GOC!$F:$F,"Xuất nội bộ từ téc",DATA_GOC!$B:$B,DATE($D$2,$B$2,F$4)),0))</f>
        <v>0</v>
      </c>
      <c r="G414" s="251">
        <f>IF(G$4&gt;DAY(EOMONTH(DATE($D$2,$B$2,1),0)),"",IFERROR(SUMIFS(DATA_GOC!$H:$H,DATA_GOC!$A:$A,"BOM",DATA_GOC!$D:$D,$B414,DATA_GOC!$E:$E,"Dầu cầu",DATA_GOC!$F:$F,"Xuất nội bộ từ téc",DATA_GOC!$B:$B,DATE($D$2,$B$2,G$4)),0))</f>
        <v>0</v>
      </c>
      <c r="H414" s="251">
        <f>IF(H$4&gt;DAY(EOMONTH(DATE($D$2,$B$2,1),0)),"",IFERROR(SUMIFS(DATA_GOC!$H:$H,DATA_GOC!$A:$A,"BOM",DATA_GOC!$D:$D,$B414,DATA_GOC!$E:$E,"Dầu cầu",DATA_GOC!$F:$F,"Xuất nội bộ từ téc",DATA_GOC!$B:$B,DATE($D$2,$B$2,H$4)),0))</f>
        <v>0</v>
      </c>
      <c r="I414" s="251">
        <f>IF(I$4&gt;DAY(EOMONTH(DATE($D$2,$B$2,1),0)),"",IFERROR(SUMIFS(DATA_GOC!$H:$H,DATA_GOC!$A:$A,"BOM",DATA_GOC!$D:$D,$B414,DATA_GOC!$E:$E,"Dầu cầu",DATA_GOC!$F:$F,"Xuất nội bộ từ téc",DATA_GOC!$B:$B,DATE($D$2,$B$2,I$4)),0))</f>
        <v>0</v>
      </c>
      <c r="J414" s="251">
        <f>IF(J$4&gt;DAY(EOMONTH(DATE($D$2,$B$2,1),0)),"",IFERROR(SUMIFS(DATA_GOC!$H:$H,DATA_GOC!$A:$A,"BOM",DATA_GOC!$D:$D,$B414,DATA_GOC!$E:$E,"Dầu cầu",DATA_GOC!$F:$F,"Xuất nội bộ từ téc",DATA_GOC!$B:$B,DATE($D$2,$B$2,J$4)),0))</f>
        <v>0</v>
      </c>
      <c r="K414" s="251">
        <f>IF(K$4&gt;DAY(EOMONTH(DATE($D$2,$B$2,1),0)),"",IFERROR(SUMIFS(DATA_GOC!$H:$H,DATA_GOC!$A:$A,"BOM",DATA_GOC!$D:$D,$B414,DATA_GOC!$E:$E,"Dầu cầu",DATA_GOC!$F:$F,"Xuất nội bộ từ téc",DATA_GOC!$B:$B,DATE($D$2,$B$2,K$4)),0))</f>
        <v>0</v>
      </c>
      <c r="L414" s="251">
        <f>IF(L$4&gt;DAY(EOMONTH(DATE($D$2,$B$2,1),0)),"",IFERROR(SUMIFS(DATA_GOC!$H:$H,DATA_GOC!$A:$A,"BOM",DATA_GOC!$D:$D,$B414,DATA_GOC!$E:$E,"Dầu cầu",DATA_GOC!$F:$F,"Xuất nội bộ từ téc",DATA_GOC!$B:$B,DATE($D$2,$B$2,L$4)),0))</f>
        <v>0</v>
      </c>
      <c r="M414" s="251">
        <f>IF(M$4&gt;DAY(EOMONTH(DATE($D$2,$B$2,1),0)),"",IFERROR(SUMIFS(DATA_GOC!$H:$H,DATA_GOC!$A:$A,"BOM",DATA_GOC!$D:$D,$B414,DATA_GOC!$E:$E,"Dầu cầu",DATA_GOC!$F:$F,"Xuất nội bộ từ téc",DATA_GOC!$B:$B,DATE($D$2,$B$2,M$4)),0))</f>
        <v>0</v>
      </c>
      <c r="N414" s="251">
        <f>IF(N$4&gt;DAY(EOMONTH(DATE($D$2,$B$2,1),0)),"",IFERROR(SUMIFS(DATA_GOC!$H:$H,DATA_GOC!$A:$A,"BOM",DATA_GOC!$D:$D,$B414,DATA_GOC!$E:$E,"Dầu cầu",DATA_GOC!$F:$F,"Xuất nội bộ từ téc",DATA_GOC!$B:$B,DATE($D$2,$B$2,N$4)),0))</f>
        <v>0</v>
      </c>
      <c r="O414" s="251">
        <f>IF(O$4&gt;DAY(EOMONTH(DATE($D$2,$B$2,1),0)),"",IFERROR(SUMIFS(DATA_GOC!$H:$H,DATA_GOC!$A:$A,"BOM",DATA_GOC!$D:$D,$B414,DATA_GOC!$E:$E,"Dầu cầu",DATA_GOC!$F:$F,"Xuất nội bộ từ téc",DATA_GOC!$B:$B,DATE($D$2,$B$2,O$4)),0))</f>
        <v>0</v>
      </c>
      <c r="P414" s="251">
        <f>IF(P$4&gt;DAY(EOMONTH(DATE($D$2,$B$2,1),0)),"",IFERROR(SUMIFS(DATA_GOC!$H:$H,DATA_GOC!$A:$A,"BOM",DATA_GOC!$D:$D,$B414,DATA_GOC!$E:$E,"Dầu cầu",DATA_GOC!$F:$F,"Xuất nội bộ từ téc",DATA_GOC!$B:$B,DATE($D$2,$B$2,P$4)),0))</f>
        <v>0</v>
      </c>
      <c r="Q414" s="251">
        <f>IF(Q$4&gt;DAY(EOMONTH(DATE($D$2,$B$2,1),0)),"",IFERROR(SUMIFS(DATA_GOC!$H:$H,DATA_GOC!$A:$A,"BOM",DATA_GOC!$D:$D,$B414,DATA_GOC!$E:$E,"Dầu cầu",DATA_GOC!$F:$F,"Xuất nội bộ từ téc",DATA_GOC!$B:$B,DATE($D$2,$B$2,Q$4)),0))</f>
        <v>0</v>
      </c>
      <c r="R414" s="251">
        <f>IF(R$4&gt;DAY(EOMONTH(DATE($D$2,$B$2,1),0)),"",IFERROR(SUMIFS(DATA_GOC!$H:$H,DATA_GOC!$A:$A,"BOM",DATA_GOC!$D:$D,$B414,DATA_GOC!$E:$E,"Dầu cầu",DATA_GOC!$F:$F,"Xuất nội bộ từ téc",DATA_GOC!$B:$B,DATE($D$2,$B$2,R$4)),0))</f>
        <v>0</v>
      </c>
      <c r="S414" s="251">
        <f>IF(S$4&gt;DAY(EOMONTH(DATE($D$2,$B$2,1),0)),"",IFERROR(SUMIFS(DATA_GOC!$H:$H,DATA_GOC!$A:$A,"BOM",DATA_GOC!$D:$D,$B414,DATA_GOC!$E:$E,"Dầu cầu",DATA_GOC!$F:$F,"Xuất nội bộ từ téc",DATA_GOC!$B:$B,DATE($D$2,$B$2,S$4)),0))</f>
        <v>0</v>
      </c>
      <c r="T414" s="251">
        <f>IF(T$4&gt;DAY(EOMONTH(DATE($D$2,$B$2,1),0)),"",IFERROR(SUMIFS(DATA_GOC!$H:$H,DATA_GOC!$A:$A,"BOM",DATA_GOC!$D:$D,$B414,DATA_GOC!$E:$E,"Dầu cầu",DATA_GOC!$F:$F,"Xuất nội bộ từ téc",DATA_GOC!$B:$B,DATE($D$2,$B$2,T$4)),0))</f>
        <v>0</v>
      </c>
      <c r="U414" s="251">
        <f>IF(U$4&gt;DAY(EOMONTH(DATE($D$2,$B$2,1),0)),"",IFERROR(SUMIFS(DATA_GOC!$H:$H,DATA_GOC!$A:$A,"BOM",DATA_GOC!$D:$D,$B414,DATA_GOC!$E:$E,"Dầu cầu",DATA_GOC!$F:$F,"Xuất nội bộ từ téc",DATA_GOC!$B:$B,DATE($D$2,$B$2,U$4)),0))</f>
        <v>0</v>
      </c>
      <c r="V414" s="251">
        <f>IF(V$4&gt;DAY(EOMONTH(DATE($D$2,$B$2,1),0)),"",IFERROR(SUMIFS(DATA_GOC!$H:$H,DATA_GOC!$A:$A,"BOM",DATA_GOC!$D:$D,$B414,DATA_GOC!$E:$E,"Dầu cầu",DATA_GOC!$F:$F,"Xuất nội bộ từ téc",DATA_GOC!$B:$B,DATE($D$2,$B$2,V$4)),0))</f>
        <v>0</v>
      </c>
      <c r="W414" s="251">
        <f>IF(W$4&gt;DAY(EOMONTH(DATE($D$2,$B$2,1),0)),"",IFERROR(SUMIFS(DATA_GOC!$H:$H,DATA_GOC!$A:$A,"BOM",DATA_GOC!$D:$D,$B414,DATA_GOC!$E:$E,"Dầu cầu",DATA_GOC!$F:$F,"Xuất nội bộ từ téc",DATA_GOC!$B:$B,DATE($D$2,$B$2,W$4)),0))</f>
        <v>0</v>
      </c>
      <c r="X414" s="251">
        <f>IF(X$4&gt;DAY(EOMONTH(DATE($D$2,$B$2,1),0)),"",IFERROR(SUMIFS(DATA_GOC!$H:$H,DATA_GOC!$A:$A,"BOM",DATA_GOC!$D:$D,$B414,DATA_GOC!$E:$E,"Dầu cầu",DATA_GOC!$F:$F,"Xuất nội bộ từ téc",DATA_GOC!$B:$B,DATE($D$2,$B$2,X$4)),0))</f>
        <v>0</v>
      </c>
      <c r="Y414" s="251">
        <f>IF(Y$4&gt;DAY(EOMONTH(DATE($D$2,$B$2,1),0)),"",IFERROR(SUMIFS(DATA_GOC!$H:$H,DATA_GOC!$A:$A,"BOM",DATA_GOC!$D:$D,$B414,DATA_GOC!$E:$E,"Dầu cầu",DATA_GOC!$F:$F,"Xuất nội bộ từ téc",DATA_GOC!$B:$B,DATE($D$2,$B$2,Y$4)),0))</f>
        <v>0</v>
      </c>
      <c r="Z414" s="251">
        <f>IF(Z$4&gt;DAY(EOMONTH(DATE($D$2,$B$2,1),0)),"",IFERROR(SUMIFS(DATA_GOC!$H:$H,DATA_GOC!$A:$A,"BOM",DATA_GOC!$D:$D,$B414,DATA_GOC!$E:$E,"Dầu cầu",DATA_GOC!$F:$F,"Xuất nội bộ từ téc",DATA_GOC!$B:$B,DATE($D$2,$B$2,Z$4)),0))</f>
        <v>0</v>
      </c>
      <c r="AA414" s="251">
        <f>IF(AA$4&gt;DAY(EOMONTH(DATE($D$2,$B$2,1),0)),"",IFERROR(SUMIFS(DATA_GOC!$H:$H,DATA_GOC!$A:$A,"BOM",DATA_GOC!$D:$D,$B414,DATA_GOC!$E:$E,"Dầu cầu",DATA_GOC!$F:$F,"Xuất nội bộ từ téc",DATA_GOC!$B:$B,DATE($D$2,$B$2,AA$4)),0))</f>
        <v>0</v>
      </c>
      <c r="AB414" s="251">
        <f>IF(AB$4&gt;DAY(EOMONTH(DATE($D$2,$B$2,1),0)),"",IFERROR(SUMIFS(DATA_GOC!$H:$H,DATA_GOC!$A:$A,"BOM",DATA_GOC!$D:$D,$B414,DATA_GOC!$E:$E,"Dầu cầu",DATA_GOC!$F:$F,"Xuất nội bộ từ téc",DATA_GOC!$B:$B,DATE($D$2,$B$2,AB$4)),0))</f>
        <v>0</v>
      </c>
      <c r="AC414" s="251">
        <f>IF(AC$4&gt;DAY(EOMONTH(DATE($D$2,$B$2,1),0)),"",IFERROR(SUMIFS(DATA_GOC!$H:$H,DATA_GOC!$A:$A,"BOM",DATA_GOC!$D:$D,$B414,DATA_GOC!$E:$E,"Dầu cầu",DATA_GOC!$F:$F,"Xuất nội bộ từ téc",DATA_GOC!$B:$B,DATE($D$2,$B$2,AC$4)),0))</f>
        <v>0</v>
      </c>
      <c r="AD414" s="251">
        <f>IF(AD$4&gt;DAY(EOMONTH(DATE($D$2,$B$2,1),0)),"",IFERROR(SUMIFS(DATA_GOC!$H:$H,DATA_GOC!$A:$A,"BOM",DATA_GOC!$D:$D,$B414,DATA_GOC!$E:$E,"Dầu cầu",DATA_GOC!$F:$F,"Xuất nội bộ từ téc",DATA_GOC!$B:$B,DATE($D$2,$B$2,AD$4)),0))</f>
        <v>0</v>
      </c>
      <c r="AE414" s="251">
        <f>IF(AE$4&gt;DAY(EOMONTH(DATE($D$2,$B$2,1),0)),"",IFERROR(SUMIFS(DATA_GOC!$H:$H,DATA_GOC!$A:$A,"BOM",DATA_GOC!$D:$D,$B414,DATA_GOC!$E:$E,"Dầu cầu",DATA_GOC!$F:$F,"Xuất nội bộ từ téc",DATA_GOC!$B:$B,DATE($D$2,$B$2,AE$4)),0))</f>
        <v>0</v>
      </c>
      <c r="AF414" s="251">
        <f>IF(AF$4&gt;DAY(EOMONTH(DATE($D$2,$B$2,1),0)),"",IFERROR(SUMIFS(DATA_GOC!$H:$H,DATA_GOC!$A:$A,"BOM",DATA_GOC!$D:$D,$B414,DATA_GOC!$E:$E,"Dầu cầu",DATA_GOC!$F:$F,"Xuất nội bộ từ téc",DATA_GOC!$B:$B,DATE($D$2,$B$2,AF$4)),0))</f>
        <v>0</v>
      </c>
      <c r="AG414" s="251">
        <f>IF(AG$4&gt;DAY(EOMONTH(DATE($D$2,$B$2,1),0)),"",IFERROR(SUMIFS(DATA_GOC!$H:$H,DATA_GOC!$A:$A,"BOM",DATA_GOC!$D:$D,$B414,DATA_GOC!$E:$E,"Dầu cầu",DATA_GOC!$F:$F,"Xuất nội bộ từ téc",DATA_GOC!$B:$B,DATE($D$2,$B$2,AG$4)),0))</f>
        <v>0</v>
      </c>
      <c r="AH414" s="252">
        <f t="shared" si="19"/>
        <v>0</v>
      </c>
      <c r="AI414" s="241"/>
      <c r="AJ414" s="242">
        <f>IF($B414="","",SUMIFS(TINH_TEC!$K$233:$K$9232,TINH_TEC!$H$233:$H$9232,$B414,TINH_TEC!$C$233:$C$9232,"Dầu cầu",TINH_TEC!$F$233:$F$9232,$B$2,TINH_TEC!$G$233:$G$9232,$D$2,TINH_TEC!$B$233:$B$9232,"Đã chốt"))</f>
        <v>0</v>
      </c>
      <c r="AK414" s="242">
        <f>IF($B414="","",SUMIFS(TINH_TEC!$J$233:$J$9232,TINH_TEC!$H$233:$H$9232,$B414,TINH_TEC!$C$233:$C$9232,"Dầu cầu",TINH_TEC!$F$233:$F$9232,$B$2,TINH_TEC!$G$233:$G$9232,$D$2,TINH_TEC!$B$233:$B$9232,"Đã chốt"))</f>
        <v>0</v>
      </c>
      <c r="AL414" s="242">
        <f t="shared" si="20"/>
        <v>0</v>
      </c>
    </row>
    <row r="415" ht="15.75" customHeight="1">
      <c r="A415" s="237">
        <f>IF($B415&lt;&gt;"",44,"")</f>
        <v>44</v>
      </c>
      <c r="B415" s="250" t="str">
        <f t="array" ref="B415">IFERROR(INDEX(DANH_MUC!$E:$E,47),"")</f>
        <v>29E17417</v>
      </c>
      <c r="C415" s="251">
        <f>IF(C$4&gt;DAY(EOMONTH(DATE($D$2,$B$2,1),0)),"",IFERROR(SUMIFS(DATA_GOC!$H:$H,DATA_GOC!$A:$A,"BOM",DATA_GOC!$D:$D,$B415,DATA_GOC!$E:$E,"Dầu cầu",DATA_GOC!$F:$F,"Xuất nội bộ từ téc",DATA_GOC!$B:$B,DATE($D$2,$B$2,C$4)),0))</f>
        <v>0</v>
      </c>
      <c r="D415" s="251">
        <f>IF(D$4&gt;DAY(EOMONTH(DATE($D$2,$B$2,1),0)),"",IFERROR(SUMIFS(DATA_GOC!$H:$H,DATA_GOC!$A:$A,"BOM",DATA_GOC!$D:$D,$B415,DATA_GOC!$E:$E,"Dầu cầu",DATA_GOC!$F:$F,"Xuất nội bộ từ téc",DATA_GOC!$B:$B,DATE($D$2,$B$2,D$4)),0))</f>
        <v>0</v>
      </c>
      <c r="E415" s="251">
        <f>IF(E$4&gt;DAY(EOMONTH(DATE($D$2,$B$2,1),0)),"",IFERROR(SUMIFS(DATA_GOC!$H:$H,DATA_GOC!$A:$A,"BOM",DATA_GOC!$D:$D,$B415,DATA_GOC!$E:$E,"Dầu cầu",DATA_GOC!$F:$F,"Xuất nội bộ từ téc",DATA_GOC!$B:$B,DATE($D$2,$B$2,E$4)),0))</f>
        <v>0</v>
      </c>
      <c r="F415" s="251">
        <f>IF(F$4&gt;DAY(EOMONTH(DATE($D$2,$B$2,1),0)),"",IFERROR(SUMIFS(DATA_GOC!$H:$H,DATA_GOC!$A:$A,"BOM",DATA_GOC!$D:$D,$B415,DATA_GOC!$E:$E,"Dầu cầu",DATA_GOC!$F:$F,"Xuất nội bộ từ téc",DATA_GOC!$B:$B,DATE($D$2,$B$2,F$4)),0))</f>
        <v>0</v>
      </c>
      <c r="G415" s="251">
        <f>IF(G$4&gt;DAY(EOMONTH(DATE($D$2,$B$2,1),0)),"",IFERROR(SUMIFS(DATA_GOC!$H:$H,DATA_GOC!$A:$A,"BOM",DATA_GOC!$D:$D,$B415,DATA_GOC!$E:$E,"Dầu cầu",DATA_GOC!$F:$F,"Xuất nội bộ từ téc",DATA_GOC!$B:$B,DATE($D$2,$B$2,G$4)),0))</f>
        <v>0</v>
      </c>
      <c r="H415" s="251">
        <f>IF(H$4&gt;DAY(EOMONTH(DATE($D$2,$B$2,1),0)),"",IFERROR(SUMIFS(DATA_GOC!$H:$H,DATA_GOC!$A:$A,"BOM",DATA_GOC!$D:$D,$B415,DATA_GOC!$E:$E,"Dầu cầu",DATA_GOC!$F:$F,"Xuất nội bộ từ téc",DATA_GOC!$B:$B,DATE($D$2,$B$2,H$4)),0))</f>
        <v>0</v>
      </c>
      <c r="I415" s="251">
        <f>IF(I$4&gt;DAY(EOMONTH(DATE($D$2,$B$2,1),0)),"",IFERROR(SUMIFS(DATA_GOC!$H:$H,DATA_GOC!$A:$A,"BOM",DATA_GOC!$D:$D,$B415,DATA_GOC!$E:$E,"Dầu cầu",DATA_GOC!$F:$F,"Xuất nội bộ từ téc",DATA_GOC!$B:$B,DATE($D$2,$B$2,I$4)),0))</f>
        <v>0</v>
      </c>
      <c r="J415" s="251">
        <f>IF(J$4&gt;DAY(EOMONTH(DATE($D$2,$B$2,1),0)),"",IFERROR(SUMIFS(DATA_GOC!$H:$H,DATA_GOC!$A:$A,"BOM",DATA_GOC!$D:$D,$B415,DATA_GOC!$E:$E,"Dầu cầu",DATA_GOC!$F:$F,"Xuất nội bộ từ téc",DATA_GOC!$B:$B,DATE($D$2,$B$2,J$4)),0))</f>
        <v>0</v>
      </c>
      <c r="K415" s="251">
        <f>IF(K$4&gt;DAY(EOMONTH(DATE($D$2,$B$2,1),0)),"",IFERROR(SUMIFS(DATA_GOC!$H:$H,DATA_GOC!$A:$A,"BOM",DATA_GOC!$D:$D,$B415,DATA_GOC!$E:$E,"Dầu cầu",DATA_GOC!$F:$F,"Xuất nội bộ từ téc",DATA_GOC!$B:$B,DATE($D$2,$B$2,K$4)),0))</f>
        <v>0</v>
      </c>
      <c r="L415" s="251">
        <f>IF(L$4&gt;DAY(EOMONTH(DATE($D$2,$B$2,1),0)),"",IFERROR(SUMIFS(DATA_GOC!$H:$H,DATA_GOC!$A:$A,"BOM",DATA_GOC!$D:$D,$B415,DATA_GOC!$E:$E,"Dầu cầu",DATA_GOC!$F:$F,"Xuất nội bộ từ téc",DATA_GOC!$B:$B,DATE($D$2,$B$2,L$4)),0))</f>
        <v>0</v>
      </c>
      <c r="M415" s="251">
        <f>IF(M$4&gt;DAY(EOMONTH(DATE($D$2,$B$2,1),0)),"",IFERROR(SUMIFS(DATA_GOC!$H:$H,DATA_GOC!$A:$A,"BOM",DATA_GOC!$D:$D,$B415,DATA_GOC!$E:$E,"Dầu cầu",DATA_GOC!$F:$F,"Xuất nội bộ từ téc",DATA_GOC!$B:$B,DATE($D$2,$B$2,M$4)),0))</f>
        <v>0</v>
      </c>
      <c r="N415" s="251">
        <f>IF(N$4&gt;DAY(EOMONTH(DATE($D$2,$B$2,1),0)),"",IFERROR(SUMIFS(DATA_GOC!$H:$H,DATA_GOC!$A:$A,"BOM",DATA_GOC!$D:$D,$B415,DATA_GOC!$E:$E,"Dầu cầu",DATA_GOC!$F:$F,"Xuất nội bộ từ téc",DATA_GOC!$B:$B,DATE($D$2,$B$2,N$4)),0))</f>
        <v>0</v>
      </c>
      <c r="O415" s="251">
        <f>IF(O$4&gt;DAY(EOMONTH(DATE($D$2,$B$2,1),0)),"",IFERROR(SUMIFS(DATA_GOC!$H:$H,DATA_GOC!$A:$A,"BOM",DATA_GOC!$D:$D,$B415,DATA_GOC!$E:$E,"Dầu cầu",DATA_GOC!$F:$F,"Xuất nội bộ từ téc",DATA_GOC!$B:$B,DATE($D$2,$B$2,O$4)),0))</f>
        <v>0</v>
      </c>
      <c r="P415" s="251">
        <f>IF(P$4&gt;DAY(EOMONTH(DATE($D$2,$B$2,1),0)),"",IFERROR(SUMIFS(DATA_GOC!$H:$H,DATA_GOC!$A:$A,"BOM",DATA_GOC!$D:$D,$B415,DATA_GOC!$E:$E,"Dầu cầu",DATA_GOC!$F:$F,"Xuất nội bộ từ téc",DATA_GOC!$B:$B,DATE($D$2,$B$2,P$4)),0))</f>
        <v>0</v>
      </c>
      <c r="Q415" s="251">
        <f>IF(Q$4&gt;DAY(EOMONTH(DATE($D$2,$B$2,1),0)),"",IFERROR(SUMIFS(DATA_GOC!$H:$H,DATA_GOC!$A:$A,"BOM",DATA_GOC!$D:$D,$B415,DATA_GOC!$E:$E,"Dầu cầu",DATA_GOC!$F:$F,"Xuất nội bộ từ téc",DATA_GOC!$B:$B,DATE($D$2,$B$2,Q$4)),0))</f>
        <v>0</v>
      </c>
      <c r="R415" s="251">
        <f>IF(R$4&gt;DAY(EOMONTH(DATE($D$2,$B$2,1),0)),"",IFERROR(SUMIFS(DATA_GOC!$H:$H,DATA_GOC!$A:$A,"BOM",DATA_GOC!$D:$D,$B415,DATA_GOC!$E:$E,"Dầu cầu",DATA_GOC!$F:$F,"Xuất nội bộ từ téc",DATA_GOC!$B:$B,DATE($D$2,$B$2,R$4)),0))</f>
        <v>0</v>
      </c>
      <c r="S415" s="251">
        <f>IF(S$4&gt;DAY(EOMONTH(DATE($D$2,$B$2,1),0)),"",IFERROR(SUMIFS(DATA_GOC!$H:$H,DATA_GOC!$A:$A,"BOM",DATA_GOC!$D:$D,$B415,DATA_GOC!$E:$E,"Dầu cầu",DATA_GOC!$F:$F,"Xuất nội bộ từ téc",DATA_GOC!$B:$B,DATE($D$2,$B$2,S$4)),0))</f>
        <v>0</v>
      </c>
      <c r="T415" s="251">
        <f>IF(T$4&gt;DAY(EOMONTH(DATE($D$2,$B$2,1),0)),"",IFERROR(SUMIFS(DATA_GOC!$H:$H,DATA_GOC!$A:$A,"BOM",DATA_GOC!$D:$D,$B415,DATA_GOC!$E:$E,"Dầu cầu",DATA_GOC!$F:$F,"Xuất nội bộ từ téc",DATA_GOC!$B:$B,DATE($D$2,$B$2,T$4)),0))</f>
        <v>0</v>
      </c>
      <c r="U415" s="251">
        <f>IF(U$4&gt;DAY(EOMONTH(DATE($D$2,$B$2,1),0)),"",IFERROR(SUMIFS(DATA_GOC!$H:$H,DATA_GOC!$A:$A,"BOM",DATA_GOC!$D:$D,$B415,DATA_GOC!$E:$E,"Dầu cầu",DATA_GOC!$F:$F,"Xuất nội bộ từ téc",DATA_GOC!$B:$B,DATE($D$2,$B$2,U$4)),0))</f>
        <v>0</v>
      </c>
      <c r="V415" s="251">
        <f>IF(V$4&gt;DAY(EOMONTH(DATE($D$2,$B$2,1),0)),"",IFERROR(SUMIFS(DATA_GOC!$H:$H,DATA_GOC!$A:$A,"BOM",DATA_GOC!$D:$D,$B415,DATA_GOC!$E:$E,"Dầu cầu",DATA_GOC!$F:$F,"Xuất nội bộ từ téc",DATA_GOC!$B:$B,DATE($D$2,$B$2,V$4)),0))</f>
        <v>0</v>
      </c>
      <c r="W415" s="251">
        <f>IF(W$4&gt;DAY(EOMONTH(DATE($D$2,$B$2,1),0)),"",IFERROR(SUMIFS(DATA_GOC!$H:$H,DATA_GOC!$A:$A,"BOM",DATA_GOC!$D:$D,$B415,DATA_GOC!$E:$E,"Dầu cầu",DATA_GOC!$F:$F,"Xuất nội bộ từ téc",DATA_GOC!$B:$B,DATE($D$2,$B$2,W$4)),0))</f>
        <v>0</v>
      </c>
      <c r="X415" s="251">
        <f>IF(X$4&gt;DAY(EOMONTH(DATE($D$2,$B$2,1),0)),"",IFERROR(SUMIFS(DATA_GOC!$H:$H,DATA_GOC!$A:$A,"BOM",DATA_GOC!$D:$D,$B415,DATA_GOC!$E:$E,"Dầu cầu",DATA_GOC!$F:$F,"Xuất nội bộ từ téc",DATA_GOC!$B:$B,DATE($D$2,$B$2,X$4)),0))</f>
        <v>0</v>
      </c>
      <c r="Y415" s="251">
        <f>IF(Y$4&gt;DAY(EOMONTH(DATE($D$2,$B$2,1),0)),"",IFERROR(SUMIFS(DATA_GOC!$H:$H,DATA_GOC!$A:$A,"BOM",DATA_GOC!$D:$D,$B415,DATA_GOC!$E:$E,"Dầu cầu",DATA_GOC!$F:$F,"Xuất nội bộ từ téc",DATA_GOC!$B:$B,DATE($D$2,$B$2,Y$4)),0))</f>
        <v>0</v>
      </c>
      <c r="Z415" s="251">
        <f>IF(Z$4&gt;DAY(EOMONTH(DATE($D$2,$B$2,1),0)),"",IFERROR(SUMIFS(DATA_GOC!$H:$H,DATA_GOC!$A:$A,"BOM",DATA_GOC!$D:$D,$B415,DATA_GOC!$E:$E,"Dầu cầu",DATA_GOC!$F:$F,"Xuất nội bộ từ téc",DATA_GOC!$B:$B,DATE($D$2,$B$2,Z$4)),0))</f>
        <v>0</v>
      </c>
      <c r="AA415" s="251">
        <f>IF(AA$4&gt;DAY(EOMONTH(DATE($D$2,$B$2,1),0)),"",IFERROR(SUMIFS(DATA_GOC!$H:$H,DATA_GOC!$A:$A,"BOM",DATA_GOC!$D:$D,$B415,DATA_GOC!$E:$E,"Dầu cầu",DATA_GOC!$F:$F,"Xuất nội bộ từ téc",DATA_GOC!$B:$B,DATE($D$2,$B$2,AA$4)),0))</f>
        <v>0</v>
      </c>
      <c r="AB415" s="251">
        <f>IF(AB$4&gt;DAY(EOMONTH(DATE($D$2,$B$2,1),0)),"",IFERROR(SUMIFS(DATA_GOC!$H:$H,DATA_GOC!$A:$A,"BOM",DATA_GOC!$D:$D,$B415,DATA_GOC!$E:$E,"Dầu cầu",DATA_GOC!$F:$F,"Xuất nội bộ từ téc",DATA_GOC!$B:$B,DATE($D$2,$B$2,AB$4)),0))</f>
        <v>0</v>
      </c>
      <c r="AC415" s="251">
        <f>IF(AC$4&gt;DAY(EOMONTH(DATE($D$2,$B$2,1),0)),"",IFERROR(SUMIFS(DATA_GOC!$H:$H,DATA_GOC!$A:$A,"BOM",DATA_GOC!$D:$D,$B415,DATA_GOC!$E:$E,"Dầu cầu",DATA_GOC!$F:$F,"Xuất nội bộ từ téc",DATA_GOC!$B:$B,DATE($D$2,$B$2,AC$4)),0))</f>
        <v>0</v>
      </c>
      <c r="AD415" s="251">
        <f>IF(AD$4&gt;DAY(EOMONTH(DATE($D$2,$B$2,1),0)),"",IFERROR(SUMIFS(DATA_GOC!$H:$H,DATA_GOC!$A:$A,"BOM",DATA_GOC!$D:$D,$B415,DATA_GOC!$E:$E,"Dầu cầu",DATA_GOC!$F:$F,"Xuất nội bộ từ téc",DATA_GOC!$B:$B,DATE($D$2,$B$2,AD$4)),0))</f>
        <v>0</v>
      </c>
      <c r="AE415" s="251">
        <f>IF(AE$4&gt;DAY(EOMONTH(DATE($D$2,$B$2,1),0)),"",IFERROR(SUMIFS(DATA_GOC!$H:$H,DATA_GOC!$A:$A,"BOM",DATA_GOC!$D:$D,$B415,DATA_GOC!$E:$E,"Dầu cầu",DATA_GOC!$F:$F,"Xuất nội bộ từ téc",DATA_GOC!$B:$B,DATE($D$2,$B$2,AE$4)),0))</f>
        <v>0</v>
      </c>
      <c r="AF415" s="251">
        <f>IF(AF$4&gt;DAY(EOMONTH(DATE($D$2,$B$2,1),0)),"",IFERROR(SUMIFS(DATA_GOC!$H:$H,DATA_GOC!$A:$A,"BOM",DATA_GOC!$D:$D,$B415,DATA_GOC!$E:$E,"Dầu cầu",DATA_GOC!$F:$F,"Xuất nội bộ từ téc",DATA_GOC!$B:$B,DATE($D$2,$B$2,AF$4)),0))</f>
        <v>0</v>
      </c>
      <c r="AG415" s="251">
        <f>IF(AG$4&gt;DAY(EOMONTH(DATE($D$2,$B$2,1),0)),"",IFERROR(SUMIFS(DATA_GOC!$H:$H,DATA_GOC!$A:$A,"BOM",DATA_GOC!$D:$D,$B415,DATA_GOC!$E:$E,"Dầu cầu",DATA_GOC!$F:$F,"Xuất nội bộ từ téc",DATA_GOC!$B:$B,DATE($D$2,$B$2,AG$4)),0))</f>
        <v>0</v>
      </c>
      <c r="AH415" s="252">
        <f t="shared" si="19"/>
        <v>0</v>
      </c>
      <c r="AI415" s="241"/>
      <c r="AJ415" s="242">
        <f>IF($B415="","",SUMIFS(TINH_TEC!$K$233:$K$9232,TINH_TEC!$H$233:$H$9232,$B415,TINH_TEC!$C$233:$C$9232,"Dầu cầu",TINH_TEC!$F$233:$F$9232,$B$2,TINH_TEC!$G$233:$G$9232,$D$2,TINH_TEC!$B$233:$B$9232,"Đã chốt"))</f>
        <v>0</v>
      </c>
      <c r="AK415" s="242">
        <f>IF($B415="","",SUMIFS(TINH_TEC!$J$233:$J$9232,TINH_TEC!$H$233:$H$9232,$B415,TINH_TEC!$C$233:$C$9232,"Dầu cầu",TINH_TEC!$F$233:$F$9232,$B$2,TINH_TEC!$G$233:$G$9232,$D$2,TINH_TEC!$B$233:$B$9232,"Đã chốt"))</f>
        <v>0</v>
      </c>
      <c r="AL415" s="242">
        <f t="shared" si="20"/>
        <v>0</v>
      </c>
    </row>
    <row r="416" ht="15.75" customHeight="1">
      <c r="A416" s="237">
        <f>IF($B416&lt;&gt;"",45,"")</f>
        <v>45</v>
      </c>
      <c r="B416" s="250" t="str">
        <f t="array" ref="B416">IFERROR(INDEX(DANH_MUC!$E:$E,48),"")</f>
        <v>29E17539</v>
      </c>
      <c r="C416" s="251">
        <f>IF(C$4&gt;DAY(EOMONTH(DATE($D$2,$B$2,1),0)),"",IFERROR(SUMIFS(DATA_GOC!$H:$H,DATA_GOC!$A:$A,"BOM",DATA_GOC!$D:$D,$B416,DATA_GOC!$E:$E,"Dầu cầu",DATA_GOC!$F:$F,"Xuất nội bộ từ téc",DATA_GOC!$B:$B,DATE($D$2,$B$2,C$4)),0))</f>
        <v>0</v>
      </c>
      <c r="D416" s="251">
        <f>IF(D$4&gt;DAY(EOMONTH(DATE($D$2,$B$2,1),0)),"",IFERROR(SUMIFS(DATA_GOC!$H:$H,DATA_GOC!$A:$A,"BOM",DATA_GOC!$D:$D,$B416,DATA_GOC!$E:$E,"Dầu cầu",DATA_GOC!$F:$F,"Xuất nội bộ từ téc",DATA_GOC!$B:$B,DATE($D$2,$B$2,D$4)),0))</f>
        <v>0</v>
      </c>
      <c r="E416" s="251">
        <f>IF(E$4&gt;DAY(EOMONTH(DATE($D$2,$B$2,1),0)),"",IFERROR(SUMIFS(DATA_GOC!$H:$H,DATA_GOC!$A:$A,"BOM",DATA_GOC!$D:$D,$B416,DATA_GOC!$E:$E,"Dầu cầu",DATA_GOC!$F:$F,"Xuất nội bộ từ téc",DATA_GOC!$B:$B,DATE($D$2,$B$2,E$4)),0))</f>
        <v>0</v>
      </c>
      <c r="F416" s="251">
        <f>IF(F$4&gt;DAY(EOMONTH(DATE($D$2,$B$2,1),0)),"",IFERROR(SUMIFS(DATA_GOC!$H:$H,DATA_GOC!$A:$A,"BOM",DATA_GOC!$D:$D,$B416,DATA_GOC!$E:$E,"Dầu cầu",DATA_GOC!$F:$F,"Xuất nội bộ từ téc",DATA_GOC!$B:$B,DATE($D$2,$B$2,F$4)),0))</f>
        <v>0</v>
      </c>
      <c r="G416" s="251">
        <f>IF(G$4&gt;DAY(EOMONTH(DATE($D$2,$B$2,1),0)),"",IFERROR(SUMIFS(DATA_GOC!$H:$H,DATA_GOC!$A:$A,"BOM",DATA_GOC!$D:$D,$B416,DATA_GOC!$E:$E,"Dầu cầu",DATA_GOC!$F:$F,"Xuất nội bộ từ téc",DATA_GOC!$B:$B,DATE($D$2,$B$2,G$4)),0))</f>
        <v>0</v>
      </c>
      <c r="H416" s="251">
        <f>IF(H$4&gt;DAY(EOMONTH(DATE($D$2,$B$2,1),0)),"",IFERROR(SUMIFS(DATA_GOC!$H:$H,DATA_GOC!$A:$A,"BOM",DATA_GOC!$D:$D,$B416,DATA_GOC!$E:$E,"Dầu cầu",DATA_GOC!$F:$F,"Xuất nội bộ từ téc",DATA_GOC!$B:$B,DATE($D$2,$B$2,H$4)),0))</f>
        <v>0</v>
      </c>
      <c r="I416" s="251">
        <f>IF(I$4&gt;DAY(EOMONTH(DATE($D$2,$B$2,1),0)),"",IFERROR(SUMIFS(DATA_GOC!$H:$H,DATA_GOC!$A:$A,"BOM",DATA_GOC!$D:$D,$B416,DATA_GOC!$E:$E,"Dầu cầu",DATA_GOC!$F:$F,"Xuất nội bộ từ téc",DATA_GOC!$B:$B,DATE($D$2,$B$2,I$4)),0))</f>
        <v>0</v>
      </c>
      <c r="J416" s="251">
        <f>IF(J$4&gt;DAY(EOMONTH(DATE($D$2,$B$2,1),0)),"",IFERROR(SUMIFS(DATA_GOC!$H:$H,DATA_GOC!$A:$A,"BOM",DATA_GOC!$D:$D,$B416,DATA_GOC!$E:$E,"Dầu cầu",DATA_GOC!$F:$F,"Xuất nội bộ từ téc",DATA_GOC!$B:$B,DATE($D$2,$B$2,J$4)),0))</f>
        <v>0</v>
      </c>
      <c r="K416" s="251">
        <f>IF(K$4&gt;DAY(EOMONTH(DATE($D$2,$B$2,1),0)),"",IFERROR(SUMIFS(DATA_GOC!$H:$H,DATA_GOC!$A:$A,"BOM",DATA_GOC!$D:$D,$B416,DATA_GOC!$E:$E,"Dầu cầu",DATA_GOC!$F:$F,"Xuất nội bộ từ téc",DATA_GOC!$B:$B,DATE($D$2,$B$2,K$4)),0))</f>
        <v>0</v>
      </c>
      <c r="L416" s="251">
        <f>IF(L$4&gt;DAY(EOMONTH(DATE($D$2,$B$2,1),0)),"",IFERROR(SUMIFS(DATA_GOC!$H:$H,DATA_GOC!$A:$A,"BOM",DATA_GOC!$D:$D,$B416,DATA_GOC!$E:$E,"Dầu cầu",DATA_GOC!$F:$F,"Xuất nội bộ từ téc",DATA_GOC!$B:$B,DATE($D$2,$B$2,L$4)),0))</f>
        <v>0</v>
      </c>
      <c r="M416" s="251">
        <f>IF(M$4&gt;DAY(EOMONTH(DATE($D$2,$B$2,1),0)),"",IFERROR(SUMIFS(DATA_GOC!$H:$H,DATA_GOC!$A:$A,"BOM",DATA_GOC!$D:$D,$B416,DATA_GOC!$E:$E,"Dầu cầu",DATA_GOC!$F:$F,"Xuất nội bộ từ téc",DATA_GOC!$B:$B,DATE($D$2,$B$2,M$4)),0))</f>
        <v>0</v>
      </c>
      <c r="N416" s="251">
        <f>IF(N$4&gt;DAY(EOMONTH(DATE($D$2,$B$2,1),0)),"",IFERROR(SUMIFS(DATA_GOC!$H:$H,DATA_GOC!$A:$A,"BOM",DATA_GOC!$D:$D,$B416,DATA_GOC!$E:$E,"Dầu cầu",DATA_GOC!$F:$F,"Xuất nội bộ từ téc",DATA_GOC!$B:$B,DATE($D$2,$B$2,N$4)),0))</f>
        <v>0</v>
      </c>
      <c r="O416" s="251">
        <f>IF(O$4&gt;DAY(EOMONTH(DATE($D$2,$B$2,1),0)),"",IFERROR(SUMIFS(DATA_GOC!$H:$H,DATA_GOC!$A:$A,"BOM",DATA_GOC!$D:$D,$B416,DATA_GOC!$E:$E,"Dầu cầu",DATA_GOC!$F:$F,"Xuất nội bộ từ téc",DATA_GOC!$B:$B,DATE($D$2,$B$2,O$4)),0))</f>
        <v>0</v>
      </c>
      <c r="P416" s="251">
        <f>IF(P$4&gt;DAY(EOMONTH(DATE($D$2,$B$2,1),0)),"",IFERROR(SUMIFS(DATA_GOC!$H:$H,DATA_GOC!$A:$A,"BOM",DATA_GOC!$D:$D,$B416,DATA_GOC!$E:$E,"Dầu cầu",DATA_GOC!$F:$F,"Xuất nội bộ từ téc",DATA_GOC!$B:$B,DATE($D$2,$B$2,P$4)),0))</f>
        <v>0</v>
      </c>
      <c r="Q416" s="251">
        <f>IF(Q$4&gt;DAY(EOMONTH(DATE($D$2,$B$2,1),0)),"",IFERROR(SUMIFS(DATA_GOC!$H:$H,DATA_GOC!$A:$A,"BOM",DATA_GOC!$D:$D,$B416,DATA_GOC!$E:$E,"Dầu cầu",DATA_GOC!$F:$F,"Xuất nội bộ từ téc",DATA_GOC!$B:$B,DATE($D$2,$B$2,Q$4)),0))</f>
        <v>0</v>
      </c>
      <c r="R416" s="251">
        <f>IF(R$4&gt;DAY(EOMONTH(DATE($D$2,$B$2,1),0)),"",IFERROR(SUMIFS(DATA_GOC!$H:$H,DATA_GOC!$A:$A,"BOM",DATA_GOC!$D:$D,$B416,DATA_GOC!$E:$E,"Dầu cầu",DATA_GOC!$F:$F,"Xuất nội bộ từ téc",DATA_GOC!$B:$B,DATE($D$2,$B$2,R$4)),0))</f>
        <v>0</v>
      </c>
      <c r="S416" s="251">
        <f>IF(S$4&gt;DAY(EOMONTH(DATE($D$2,$B$2,1),0)),"",IFERROR(SUMIFS(DATA_GOC!$H:$H,DATA_GOC!$A:$A,"BOM",DATA_GOC!$D:$D,$B416,DATA_GOC!$E:$E,"Dầu cầu",DATA_GOC!$F:$F,"Xuất nội bộ từ téc",DATA_GOC!$B:$B,DATE($D$2,$B$2,S$4)),0))</f>
        <v>0</v>
      </c>
      <c r="T416" s="251">
        <f>IF(T$4&gt;DAY(EOMONTH(DATE($D$2,$B$2,1),0)),"",IFERROR(SUMIFS(DATA_GOC!$H:$H,DATA_GOC!$A:$A,"BOM",DATA_GOC!$D:$D,$B416,DATA_GOC!$E:$E,"Dầu cầu",DATA_GOC!$F:$F,"Xuất nội bộ từ téc",DATA_GOC!$B:$B,DATE($D$2,$B$2,T$4)),0))</f>
        <v>0</v>
      </c>
      <c r="U416" s="251">
        <f>IF(U$4&gt;DAY(EOMONTH(DATE($D$2,$B$2,1),0)),"",IFERROR(SUMIFS(DATA_GOC!$H:$H,DATA_GOC!$A:$A,"BOM",DATA_GOC!$D:$D,$B416,DATA_GOC!$E:$E,"Dầu cầu",DATA_GOC!$F:$F,"Xuất nội bộ từ téc",DATA_GOC!$B:$B,DATE($D$2,$B$2,U$4)),0))</f>
        <v>0</v>
      </c>
      <c r="V416" s="251">
        <f>IF(V$4&gt;DAY(EOMONTH(DATE($D$2,$B$2,1),0)),"",IFERROR(SUMIFS(DATA_GOC!$H:$H,DATA_GOC!$A:$A,"BOM",DATA_GOC!$D:$D,$B416,DATA_GOC!$E:$E,"Dầu cầu",DATA_GOC!$F:$F,"Xuất nội bộ từ téc",DATA_GOC!$B:$B,DATE($D$2,$B$2,V$4)),0))</f>
        <v>0</v>
      </c>
      <c r="W416" s="251">
        <f>IF(W$4&gt;DAY(EOMONTH(DATE($D$2,$B$2,1),0)),"",IFERROR(SUMIFS(DATA_GOC!$H:$H,DATA_GOC!$A:$A,"BOM",DATA_GOC!$D:$D,$B416,DATA_GOC!$E:$E,"Dầu cầu",DATA_GOC!$F:$F,"Xuất nội bộ từ téc",DATA_GOC!$B:$B,DATE($D$2,$B$2,W$4)),0))</f>
        <v>0</v>
      </c>
      <c r="X416" s="251">
        <f>IF(X$4&gt;DAY(EOMONTH(DATE($D$2,$B$2,1),0)),"",IFERROR(SUMIFS(DATA_GOC!$H:$H,DATA_GOC!$A:$A,"BOM",DATA_GOC!$D:$D,$B416,DATA_GOC!$E:$E,"Dầu cầu",DATA_GOC!$F:$F,"Xuất nội bộ từ téc",DATA_GOC!$B:$B,DATE($D$2,$B$2,X$4)),0))</f>
        <v>0</v>
      </c>
      <c r="Y416" s="251">
        <f>IF(Y$4&gt;DAY(EOMONTH(DATE($D$2,$B$2,1),0)),"",IFERROR(SUMIFS(DATA_GOC!$H:$H,DATA_GOC!$A:$A,"BOM",DATA_GOC!$D:$D,$B416,DATA_GOC!$E:$E,"Dầu cầu",DATA_GOC!$F:$F,"Xuất nội bộ từ téc",DATA_GOC!$B:$B,DATE($D$2,$B$2,Y$4)),0))</f>
        <v>0</v>
      </c>
      <c r="Z416" s="251">
        <f>IF(Z$4&gt;DAY(EOMONTH(DATE($D$2,$B$2,1),0)),"",IFERROR(SUMIFS(DATA_GOC!$H:$H,DATA_GOC!$A:$A,"BOM",DATA_GOC!$D:$D,$B416,DATA_GOC!$E:$E,"Dầu cầu",DATA_GOC!$F:$F,"Xuất nội bộ từ téc",DATA_GOC!$B:$B,DATE($D$2,$B$2,Z$4)),0))</f>
        <v>0</v>
      </c>
      <c r="AA416" s="251">
        <f>IF(AA$4&gt;DAY(EOMONTH(DATE($D$2,$B$2,1),0)),"",IFERROR(SUMIFS(DATA_GOC!$H:$H,DATA_GOC!$A:$A,"BOM",DATA_GOC!$D:$D,$B416,DATA_GOC!$E:$E,"Dầu cầu",DATA_GOC!$F:$F,"Xuất nội bộ từ téc",DATA_GOC!$B:$B,DATE($D$2,$B$2,AA$4)),0))</f>
        <v>0</v>
      </c>
      <c r="AB416" s="251">
        <f>IF(AB$4&gt;DAY(EOMONTH(DATE($D$2,$B$2,1),0)),"",IFERROR(SUMIFS(DATA_GOC!$H:$H,DATA_GOC!$A:$A,"BOM",DATA_GOC!$D:$D,$B416,DATA_GOC!$E:$E,"Dầu cầu",DATA_GOC!$F:$F,"Xuất nội bộ từ téc",DATA_GOC!$B:$B,DATE($D$2,$B$2,AB$4)),0))</f>
        <v>0</v>
      </c>
      <c r="AC416" s="251">
        <f>IF(AC$4&gt;DAY(EOMONTH(DATE($D$2,$B$2,1),0)),"",IFERROR(SUMIFS(DATA_GOC!$H:$H,DATA_GOC!$A:$A,"BOM",DATA_GOC!$D:$D,$B416,DATA_GOC!$E:$E,"Dầu cầu",DATA_GOC!$F:$F,"Xuất nội bộ từ téc",DATA_GOC!$B:$B,DATE($D$2,$B$2,AC$4)),0))</f>
        <v>0</v>
      </c>
      <c r="AD416" s="251">
        <f>IF(AD$4&gt;DAY(EOMONTH(DATE($D$2,$B$2,1),0)),"",IFERROR(SUMIFS(DATA_GOC!$H:$H,DATA_GOC!$A:$A,"BOM",DATA_GOC!$D:$D,$B416,DATA_GOC!$E:$E,"Dầu cầu",DATA_GOC!$F:$F,"Xuất nội bộ từ téc",DATA_GOC!$B:$B,DATE($D$2,$B$2,AD$4)),0))</f>
        <v>0</v>
      </c>
      <c r="AE416" s="251">
        <f>IF(AE$4&gt;DAY(EOMONTH(DATE($D$2,$B$2,1),0)),"",IFERROR(SUMIFS(DATA_GOC!$H:$H,DATA_GOC!$A:$A,"BOM",DATA_GOC!$D:$D,$B416,DATA_GOC!$E:$E,"Dầu cầu",DATA_GOC!$F:$F,"Xuất nội bộ từ téc",DATA_GOC!$B:$B,DATE($D$2,$B$2,AE$4)),0))</f>
        <v>0</v>
      </c>
      <c r="AF416" s="251">
        <f>IF(AF$4&gt;DAY(EOMONTH(DATE($D$2,$B$2,1),0)),"",IFERROR(SUMIFS(DATA_GOC!$H:$H,DATA_GOC!$A:$A,"BOM",DATA_GOC!$D:$D,$B416,DATA_GOC!$E:$E,"Dầu cầu",DATA_GOC!$F:$F,"Xuất nội bộ từ téc",DATA_GOC!$B:$B,DATE($D$2,$B$2,AF$4)),0))</f>
        <v>0</v>
      </c>
      <c r="AG416" s="251">
        <f>IF(AG$4&gt;DAY(EOMONTH(DATE($D$2,$B$2,1),0)),"",IFERROR(SUMIFS(DATA_GOC!$H:$H,DATA_GOC!$A:$A,"BOM",DATA_GOC!$D:$D,$B416,DATA_GOC!$E:$E,"Dầu cầu",DATA_GOC!$F:$F,"Xuất nội bộ từ téc",DATA_GOC!$B:$B,DATE($D$2,$B$2,AG$4)),0))</f>
        <v>0</v>
      </c>
      <c r="AH416" s="252">
        <f t="shared" si="19"/>
        <v>0</v>
      </c>
      <c r="AI416" s="241"/>
      <c r="AJ416" s="242">
        <f>IF($B416="","",SUMIFS(TINH_TEC!$K$233:$K$9232,TINH_TEC!$H$233:$H$9232,$B416,TINH_TEC!$C$233:$C$9232,"Dầu cầu",TINH_TEC!$F$233:$F$9232,$B$2,TINH_TEC!$G$233:$G$9232,$D$2,TINH_TEC!$B$233:$B$9232,"Đã chốt"))</f>
        <v>0</v>
      </c>
      <c r="AK416" s="242">
        <f>IF($B416="","",SUMIFS(TINH_TEC!$J$233:$J$9232,TINH_TEC!$H$233:$H$9232,$B416,TINH_TEC!$C$233:$C$9232,"Dầu cầu",TINH_TEC!$F$233:$F$9232,$B$2,TINH_TEC!$G$233:$G$9232,$D$2,TINH_TEC!$B$233:$B$9232,"Đã chốt"))</f>
        <v>0</v>
      </c>
      <c r="AL416" s="242">
        <f t="shared" si="20"/>
        <v>0</v>
      </c>
    </row>
    <row r="417" ht="15.75" customHeight="1">
      <c r="A417" s="237">
        <f>IF($B417&lt;&gt;"",46,"")</f>
        <v>46</v>
      </c>
      <c r="B417" s="250" t="str">
        <f t="array" ref="B417">IFERROR(INDEX(DANH_MUC!$E:$E,49),"")</f>
        <v>29E18160</v>
      </c>
      <c r="C417" s="251">
        <f>IF(C$4&gt;DAY(EOMONTH(DATE($D$2,$B$2,1),0)),"",IFERROR(SUMIFS(DATA_GOC!$H:$H,DATA_GOC!$A:$A,"BOM",DATA_GOC!$D:$D,$B417,DATA_GOC!$E:$E,"Dầu cầu",DATA_GOC!$F:$F,"Xuất nội bộ từ téc",DATA_GOC!$B:$B,DATE($D$2,$B$2,C$4)),0))</f>
        <v>0</v>
      </c>
      <c r="D417" s="251">
        <f>IF(D$4&gt;DAY(EOMONTH(DATE($D$2,$B$2,1),0)),"",IFERROR(SUMIFS(DATA_GOC!$H:$H,DATA_GOC!$A:$A,"BOM",DATA_GOC!$D:$D,$B417,DATA_GOC!$E:$E,"Dầu cầu",DATA_GOC!$F:$F,"Xuất nội bộ từ téc",DATA_GOC!$B:$B,DATE($D$2,$B$2,D$4)),0))</f>
        <v>0</v>
      </c>
      <c r="E417" s="251">
        <f>IF(E$4&gt;DAY(EOMONTH(DATE($D$2,$B$2,1),0)),"",IFERROR(SUMIFS(DATA_GOC!$H:$H,DATA_GOC!$A:$A,"BOM",DATA_GOC!$D:$D,$B417,DATA_GOC!$E:$E,"Dầu cầu",DATA_GOC!$F:$F,"Xuất nội bộ từ téc",DATA_GOC!$B:$B,DATE($D$2,$B$2,E$4)),0))</f>
        <v>0</v>
      </c>
      <c r="F417" s="251">
        <f>IF(F$4&gt;DAY(EOMONTH(DATE($D$2,$B$2,1),0)),"",IFERROR(SUMIFS(DATA_GOC!$H:$H,DATA_GOC!$A:$A,"BOM",DATA_GOC!$D:$D,$B417,DATA_GOC!$E:$E,"Dầu cầu",DATA_GOC!$F:$F,"Xuất nội bộ từ téc",DATA_GOC!$B:$B,DATE($D$2,$B$2,F$4)),0))</f>
        <v>0</v>
      </c>
      <c r="G417" s="251">
        <f>IF(G$4&gt;DAY(EOMONTH(DATE($D$2,$B$2,1),0)),"",IFERROR(SUMIFS(DATA_GOC!$H:$H,DATA_GOC!$A:$A,"BOM",DATA_GOC!$D:$D,$B417,DATA_GOC!$E:$E,"Dầu cầu",DATA_GOC!$F:$F,"Xuất nội bộ từ téc",DATA_GOC!$B:$B,DATE($D$2,$B$2,G$4)),0))</f>
        <v>0</v>
      </c>
      <c r="H417" s="251">
        <f>IF(H$4&gt;DAY(EOMONTH(DATE($D$2,$B$2,1),0)),"",IFERROR(SUMIFS(DATA_GOC!$H:$H,DATA_GOC!$A:$A,"BOM",DATA_GOC!$D:$D,$B417,DATA_GOC!$E:$E,"Dầu cầu",DATA_GOC!$F:$F,"Xuất nội bộ từ téc",DATA_GOC!$B:$B,DATE($D$2,$B$2,H$4)),0))</f>
        <v>0</v>
      </c>
      <c r="I417" s="251">
        <f>IF(I$4&gt;DAY(EOMONTH(DATE($D$2,$B$2,1),0)),"",IFERROR(SUMIFS(DATA_GOC!$H:$H,DATA_GOC!$A:$A,"BOM",DATA_GOC!$D:$D,$B417,DATA_GOC!$E:$E,"Dầu cầu",DATA_GOC!$F:$F,"Xuất nội bộ từ téc",DATA_GOC!$B:$B,DATE($D$2,$B$2,I$4)),0))</f>
        <v>0</v>
      </c>
      <c r="J417" s="251">
        <f>IF(J$4&gt;DAY(EOMONTH(DATE($D$2,$B$2,1),0)),"",IFERROR(SUMIFS(DATA_GOC!$H:$H,DATA_GOC!$A:$A,"BOM",DATA_GOC!$D:$D,$B417,DATA_GOC!$E:$E,"Dầu cầu",DATA_GOC!$F:$F,"Xuất nội bộ từ téc",DATA_GOC!$B:$B,DATE($D$2,$B$2,J$4)),0))</f>
        <v>0</v>
      </c>
      <c r="K417" s="251">
        <f>IF(K$4&gt;DAY(EOMONTH(DATE($D$2,$B$2,1),0)),"",IFERROR(SUMIFS(DATA_GOC!$H:$H,DATA_GOC!$A:$A,"BOM",DATA_GOC!$D:$D,$B417,DATA_GOC!$E:$E,"Dầu cầu",DATA_GOC!$F:$F,"Xuất nội bộ từ téc",DATA_GOC!$B:$B,DATE($D$2,$B$2,K$4)),0))</f>
        <v>0</v>
      </c>
      <c r="L417" s="251">
        <f>IF(L$4&gt;DAY(EOMONTH(DATE($D$2,$B$2,1),0)),"",IFERROR(SUMIFS(DATA_GOC!$H:$H,DATA_GOC!$A:$A,"BOM",DATA_GOC!$D:$D,$B417,DATA_GOC!$E:$E,"Dầu cầu",DATA_GOC!$F:$F,"Xuất nội bộ từ téc",DATA_GOC!$B:$B,DATE($D$2,$B$2,L$4)),0))</f>
        <v>0</v>
      </c>
      <c r="M417" s="251">
        <f>IF(M$4&gt;DAY(EOMONTH(DATE($D$2,$B$2,1),0)),"",IFERROR(SUMIFS(DATA_GOC!$H:$H,DATA_GOC!$A:$A,"BOM",DATA_GOC!$D:$D,$B417,DATA_GOC!$E:$E,"Dầu cầu",DATA_GOC!$F:$F,"Xuất nội bộ từ téc",DATA_GOC!$B:$B,DATE($D$2,$B$2,M$4)),0))</f>
        <v>0</v>
      </c>
      <c r="N417" s="251">
        <f>IF(N$4&gt;DAY(EOMONTH(DATE($D$2,$B$2,1),0)),"",IFERROR(SUMIFS(DATA_GOC!$H:$H,DATA_GOC!$A:$A,"BOM",DATA_GOC!$D:$D,$B417,DATA_GOC!$E:$E,"Dầu cầu",DATA_GOC!$F:$F,"Xuất nội bộ từ téc",DATA_GOC!$B:$B,DATE($D$2,$B$2,N$4)),0))</f>
        <v>0</v>
      </c>
      <c r="O417" s="251">
        <f>IF(O$4&gt;DAY(EOMONTH(DATE($D$2,$B$2,1),0)),"",IFERROR(SUMIFS(DATA_GOC!$H:$H,DATA_GOC!$A:$A,"BOM",DATA_GOC!$D:$D,$B417,DATA_GOC!$E:$E,"Dầu cầu",DATA_GOC!$F:$F,"Xuất nội bộ từ téc",DATA_GOC!$B:$B,DATE($D$2,$B$2,O$4)),0))</f>
        <v>0</v>
      </c>
      <c r="P417" s="251">
        <f>IF(P$4&gt;DAY(EOMONTH(DATE($D$2,$B$2,1),0)),"",IFERROR(SUMIFS(DATA_GOC!$H:$H,DATA_GOC!$A:$A,"BOM",DATA_GOC!$D:$D,$B417,DATA_GOC!$E:$E,"Dầu cầu",DATA_GOC!$F:$F,"Xuất nội bộ từ téc",DATA_GOC!$B:$B,DATE($D$2,$B$2,P$4)),0))</f>
        <v>0</v>
      </c>
      <c r="Q417" s="251">
        <f>IF(Q$4&gt;DAY(EOMONTH(DATE($D$2,$B$2,1),0)),"",IFERROR(SUMIFS(DATA_GOC!$H:$H,DATA_GOC!$A:$A,"BOM",DATA_GOC!$D:$D,$B417,DATA_GOC!$E:$E,"Dầu cầu",DATA_GOC!$F:$F,"Xuất nội bộ từ téc",DATA_GOC!$B:$B,DATE($D$2,$B$2,Q$4)),0))</f>
        <v>0</v>
      </c>
      <c r="R417" s="251">
        <f>IF(R$4&gt;DAY(EOMONTH(DATE($D$2,$B$2,1),0)),"",IFERROR(SUMIFS(DATA_GOC!$H:$H,DATA_GOC!$A:$A,"BOM",DATA_GOC!$D:$D,$B417,DATA_GOC!$E:$E,"Dầu cầu",DATA_GOC!$F:$F,"Xuất nội bộ từ téc",DATA_GOC!$B:$B,DATE($D$2,$B$2,R$4)),0))</f>
        <v>0</v>
      </c>
      <c r="S417" s="251">
        <f>IF(S$4&gt;DAY(EOMONTH(DATE($D$2,$B$2,1),0)),"",IFERROR(SUMIFS(DATA_GOC!$H:$H,DATA_GOC!$A:$A,"BOM",DATA_GOC!$D:$D,$B417,DATA_GOC!$E:$E,"Dầu cầu",DATA_GOC!$F:$F,"Xuất nội bộ từ téc",DATA_GOC!$B:$B,DATE($D$2,$B$2,S$4)),0))</f>
        <v>0</v>
      </c>
      <c r="T417" s="251">
        <f>IF(T$4&gt;DAY(EOMONTH(DATE($D$2,$B$2,1),0)),"",IFERROR(SUMIFS(DATA_GOC!$H:$H,DATA_GOC!$A:$A,"BOM",DATA_GOC!$D:$D,$B417,DATA_GOC!$E:$E,"Dầu cầu",DATA_GOC!$F:$F,"Xuất nội bộ từ téc",DATA_GOC!$B:$B,DATE($D$2,$B$2,T$4)),0))</f>
        <v>0</v>
      </c>
      <c r="U417" s="251">
        <f>IF(U$4&gt;DAY(EOMONTH(DATE($D$2,$B$2,1),0)),"",IFERROR(SUMIFS(DATA_GOC!$H:$H,DATA_GOC!$A:$A,"BOM",DATA_GOC!$D:$D,$B417,DATA_GOC!$E:$E,"Dầu cầu",DATA_GOC!$F:$F,"Xuất nội bộ từ téc",DATA_GOC!$B:$B,DATE($D$2,$B$2,U$4)),0))</f>
        <v>0</v>
      </c>
      <c r="V417" s="251">
        <f>IF(V$4&gt;DAY(EOMONTH(DATE($D$2,$B$2,1),0)),"",IFERROR(SUMIFS(DATA_GOC!$H:$H,DATA_GOC!$A:$A,"BOM",DATA_GOC!$D:$D,$B417,DATA_GOC!$E:$E,"Dầu cầu",DATA_GOC!$F:$F,"Xuất nội bộ từ téc",DATA_GOC!$B:$B,DATE($D$2,$B$2,V$4)),0))</f>
        <v>0</v>
      </c>
      <c r="W417" s="251">
        <f>IF(W$4&gt;DAY(EOMONTH(DATE($D$2,$B$2,1),0)),"",IFERROR(SUMIFS(DATA_GOC!$H:$H,DATA_GOC!$A:$A,"BOM",DATA_GOC!$D:$D,$B417,DATA_GOC!$E:$E,"Dầu cầu",DATA_GOC!$F:$F,"Xuất nội bộ từ téc",DATA_GOC!$B:$B,DATE($D$2,$B$2,W$4)),0))</f>
        <v>0</v>
      </c>
      <c r="X417" s="251">
        <f>IF(X$4&gt;DAY(EOMONTH(DATE($D$2,$B$2,1),0)),"",IFERROR(SUMIFS(DATA_GOC!$H:$H,DATA_GOC!$A:$A,"BOM",DATA_GOC!$D:$D,$B417,DATA_GOC!$E:$E,"Dầu cầu",DATA_GOC!$F:$F,"Xuất nội bộ từ téc",DATA_GOC!$B:$B,DATE($D$2,$B$2,X$4)),0))</f>
        <v>0</v>
      </c>
      <c r="Y417" s="251">
        <f>IF(Y$4&gt;DAY(EOMONTH(DATE($D$2,$B$2,1),0)),"",IFERROR(SUMIFS(DATA_GOC!$H:$H,DATA_GOC!$A:$A,"BOM",DATA_GOC!$D:$D,$B417,DATA_GOC!$E:$E,"Dầu cầu",DATA_GOC!$F:$F,"Xuất nội bộ từ téc",DATA_GOC!$B:$B,DATE($D$2,$B$2,Y$4)),0))</f>
        <v>0</v>
      </c>
      <c r="Z417" s="251">
        <f>IF(Z$4&gt;DAY(EOMONTH(DATE($D$2,$B$2,1),0)),"",IFERROR(SUMIFS(DATA_GOC!$H:$H,DATA_GOC!$A:$A,"BOM",DATA_GOC!$D:$D,$B417,DATA_GOC!$E:$E,"Dầu cầu",DATA_GOC!$F:$F,"Xuất nội bộ từ téc",DATA_GOC!$B:$B,DATE($D$2,$B$2,Z$4)),0))</f>
        <v>0</v>
      </c>
      <c r="AA417" s="251">
        <f>IF(AA$4&gt;DAY(EOMONTH(DATE($D$2,$B$2,1),0)),"",IFERROR(SUMIFS(DATA_GOC!$H:$H,DATA_GOC!$A:$A,"BOM",DATA_GOC!$D:$D,$B417,DATA_GOC!$E:$E,"Dầu cầu",DATA_GOC!$F:$F,"Xuất nội bộ từ téc",DATA_GOC!$B:$B,DATE($D$2,$B$2,AA$4)),0))</f>
        <v>0</v>
      </c>
      <c r="AB417" s="251">
        <f>IF(AB$4&gt;DAY(EOMONTH(DATE($D$2,$B$2,1),0)),"",IFERROR(SUMIFS(DATA_GOC!$H:$H,DATA_GOC!$A:$A,"BOM",DATA_GOC!$D:$D,$B417,DATA_GOC!$E:$E,"Dầu cầu",DATA_GOC!$F:$F,"Xuất nội bộ từ téc",DATA_GOC!$B:$B,DATE($D$2,$B$2,AB$4)),0))</f>
        <v>0</v>
      </c>
      <c r="AC417" s="251">
        <f>IF(AC$4&gt;DAY(EOMONTH(DATE($D$2,$B$2,1),0)),"",IFERROR(SUMIFS(DATA_GOC!$H:$H,DATA_GOC!$A:$A,"BOM",DATA_GOC!$D:$D,$B417,DATA_GOC!$E:$E,"Dầu cầu",DATA_GOC!$F:$F,"Xuất nội bộ từ téc",DATA_GOC!$B:$B,DATE($D$2,$B$2,AC$4)),0))</f>
        <v>0</v>
      </c>
      <c r="AD417" s="251">
        <f>IF(AD$4&gt;DAY(EOMONTH(DATE($D$2,$B$2,1),0)),"",IFERROR(SUMIFS(DATA_GOC!$H:$H,DATA_GOC!$A:$A,"BOM",DATA_GOC!$D:$D,$B417,DATA_GOC!$E:$E,"Dầu cầu",DATA_GOC!$F:$F,"Xuất nội bộ từ téc",DATA_GOC!$B:$B,DATE($D$2,$B$2,AD$4)),0))</f>
        <v>0</v>
      </c>
      <c r="AE417" s="251">
        <f>IF(AE$4&gt;DAY(EOMONTH(DATE($D$2,$B$2,1),0)),"",IFERROR(SUMIFS(DATA_GOC!$H:$H,DATA_GOC!$A:$A,"BOM",DATA_GOC!$D:$D,$B417,DATA_GOC!$E:$E,"Dầu cầu",DATA_GOC!$F:$F,"Xuất nội bộ từ téc",DATA_GOC!$B:$B,DATE($D$2,$B$2,AE$4)),0))</f>
        <v>0</v>
      </c>
      <c r="AF417" s="251">
        <f>IF(AF$4&gt;DAY(EOMONTH(DATE($D$2,$B$2,1),0)),"",IFERROR(SUMIFS(DATA_GOC!$H:$H,DATA_GOC!$A:$A,"BOM",DATA_GOC!$D:$D,$B417,DATA_GOC!$E:$E,"Dầu cầu",DATA_GOC!$F:$F,"Xuất nội bộ từ téc",DATA_GOC!$B:$B,DATE($D$2,$B$2,AF$4)),0))</f>
        <v>0</v>
      </c>
      <c r="AG417" s="251">
        <f>IF(AG$4&gt;DAY(EOMONTH(DATE($D$2,$B$2,1),0)),"",IFERROR(SUMIFS(DATA_GOC!$H:$H,DATA_GOC!$A:$A,"BOM",DATA_GOC!$D:$D,$B417,DATA_GOC!$E:$E,"Dầu cầu",DATA_GOC!$F:$F,"Xuất nội bộ từ téc",DATA_GOC!$B:$B,DATE($D$2,$B$2,AG$4)),0))</f>
        <v>0</v>
      </c>
      <c r="AH417" s="252">
        <f t="shared" si="19"/>
        <v>0</v>
      </c>
      <c r="AI417" s="241"/>
      <c r="AJ417" s="242">
        <f>IF($B417="","",SUMIFS(TINH_TEC!$K$233:$K$9232,TINH_TEC!$H$233:$H$9232,$B417,TINH_TEC!$C$233:$C$9232,"Dầu cầu",TINH_TEC!$F$233:$F$9232,$B$2,TINH_TEC!$G$233:$G$9232,$D$2,TINH_TEC!$B$233:$B$9232,"Đã chốt"))</f>
        <v>0</v>
      </c>
      <c r="AK417" s="242">
        <f>IF($B417="","",SUMIFS(TINH_TEC!$J$233:$J$9232,TINH_TEC!$H$233:$H$9232,$B417,TINH_TEC!$C$233:$C$9232,"Dầu cầu",TINH_TEC!$F$233:$F$9232,$B$2,TINH_TEC!$G$233:$G$9232,$D$2,TINH_TEC!$B$233:$B$9232,"Đã chốt"))</f>
        <v>0</v>
      </c>
      <c r="AL417" s="242">
        <f t="shared" si="20"/>
        <v>0</v>
      </c>
    </row>
    <row r="418" ht="15.75" customHeight="1">
      <c r="A418" s="237">
        <f>IF($B418&lt;&gt;"",47,"")</f>
        <v>47</v>
      </c>
      <c r="B418" s="250" t="str">
        <f t="array" ref="B418">IFERROR(INDEX(DANH_MUC!$E:$E,50),"")</f>
        <v>Công trình Asphalt</v>
      </c>
      <c r="C418" s="251">
        <f>IF(C$4&gt;DAY(EOMONTH(DATE($D$2,$B$2,1),0)),"",IFERROR(SUMIFS(DATA_GOC!$H:$H,DATA_GOC!$A:$A,"BOM",DATA_GOC!$D:$D,$B418,DATA_GOC!$E:$E,"Dầu cầu",DATA_GOC!$F:$F,"Xuất nội bộ từ téc",DATA_GOC!$B:$B,DATE($D$2,$B$2,C$4)),0))</f>
        <v>0</v>
      </c>
      <c r="D418" s="251">
        <f>IF(D$4&gt;DAY(EOMONTH(DATE($D$2,$B$2,1),0)),"",IFERROR(SUMIFS(DATA_GOC!$H:$H,DATA_GOC!$A:$A,"BOM",DATA_GOC!$D:$D,$B418,DATA_GOC!$E:$E,"Dầu cầu",DATA_GOC!$F:$F,"Xuất nội bộ từ téc",DATA_GOC!$B:$B,DATE($D$2,$B$2,D$4)),0))</f>
        <v>0</v>
      </c>
      <c r="E418" s="251">
        <f>IF(E$4&gt;DAY(EOMONTH(DATE($D$2,$B$2,1),0)),"",IFERROR(SUMIFS(DATA_GOC!$H:$H,DATA_GOC!$A:$A,"BOM",DATA_GOC!$D:$D,$B418,DATA_GOC!$E:$E,"Dầu cầu",DATA_GOC!$F:$F,"Xuất nội bộ từ téc",DATA_GOC!$B:$B,DATE($D$2,$B$2,E$4)),0))</f>
        <v>0</v>
      </c>
      <c r="F418" s="251">
        <f>IF(F$4&gt;DAY(EOMONTH(DATE($D$2,$B$2,1),0)),"",IFERROR(SUMIFS(DATA_GOC!$H:$H,DATA_GOC!$A:$A,"BOM",DATA_GOC!$D:$D,$B418,DATA_GOC!$E:$E,"Dầu cầu",DATA_GOC!$F:$F,"Xuất nội bộ từ téc",DATA_GOC!$B:$B,DATE($D$2,$B$2,F$4)),0))</f>
        <v>0</v>
      </c>
      <c r="G418" s="251">
        <f>IF(G$4&gt;DAY(EOMONTH(DATE($D$2,$B$2,1),0)),"",IFERROR(SUMIFS(DATA_GOC!$H:$H,DATA_GOC!$A:$A,"BOM",DATA_GOC!$D:$D,$B418,DATA_GOC!$E:$E,"Dầu cầu",DATA_GOC!$F:$F,"Xuất nội bộ từ téc",DATA_GOC!$B:$B,DATE($D$2,$B$2,G$4)),0))</f>
        <v>0</v>
      </c>
      <c r="H418" s="251">
        <f>IF(H$4&gt;DAY(EOMONTH(DATE($D$2,$B$2,1),0)),"",IFERROR(SUMIFS(DATA_GOC!$H:$H,DATA_GOC!$A:$A,"BOM",DATA_GOC!$D:$D,$B418,DATA_GOC!$E:$E,"Dầu cầu",DATA_GOC!$F:$F,"Xuất nội bộ từ téc",DATA_GOC!$B:$B,DATE($D$2,$B$2,H$4)),0))</f>
        <v>0</v>
      </c>
      <c r="I418" s="251">
        <f>IF(I$4&gt;DAY(EOMONTH(DATE($D$2,$B$2,1),0)),"",IFERROR(SUMIFS(DATA_GOC!$H:$H,DATA_GOC!$A:$A,"BOM",DATA_GOC!$D:$D,$B418,DATA_GOC!$E:$E,"Dầu cầu",DATA_GOC!$F:$F,"Xuất nội bộ từ téc",DATA_GOC!$B:$B,DATE($D$2,$B$2,I$4)),0))</f>
        <v>0</v>
      </c>
      <c r="J418" s="251">
        <f>IF(J$4&gt;DAY(EOMONTH(DATE($D$2,$B$2,1),0)),"",IFERROR(SUMIFS(DATA_GOC!$H:$H,DATA_GOC!$A:$A,"BOM",DATA_GOC!$D:$D,$B418,DATA_GOC!$E:$E,"Dầu cầu",DATA_GOC!$F:$F,"Xuất nội bộ từ téc",DATA_GOC!$B:$B,DATE($D$2,$B$2,J$4)),0))</f>
        <v>0</v>
      </c>
      <c r="K418" s="251">
        <f>IF(K$4&gt;DAY(EOMONTH(DATE($D$2,$B$2,1),0)),"",IFERROR(SUMIFS(DATA_GOC!$H:$H,DATA_GOC!$A:$A,"BOM",DATA_GOC!$D:$D,$B418,DATA_GOC!$E:$E,"Dầu cầu",DATA_GOC!$F:$F,"Xuất nội bộ từ téc",DATA_GOC!$B:$B,DATE($D$2,$B$2,K$4)),0))</f>
        <v>0</v>
      </c>
      <c r="L418" s="251">
        <f>IF(L$4&gt;DAY(EOMONTH(DATE($D$2,$B$2,1),0)),"",IFERROR(SUMIFS(DATA_GOC!$H:$H,DATA_GOC!$A:$A,"BOM",DATA_GOC!$D:$D,$B418,DATA_GOC!$E:$E,"Dầu cầu",DATA_GOC!$F:$F,"Xuất nội bộ từ téc",DATA_GOC!$B:$B,DATE($D$2,$B$2,L$4)),0))</f>
        <v>0</v>
      </c>
      <c r="M418" s="251">
        <f>IF(M$4&gt;DAY(EOMONTH(DATE($D$2,$B$2,1),0)),"",IFERROR(SUMIFS(DATA_GOC!$H:$H,DATA_GOC!$A:$A,"BOM",DATA_GOC!$D:$D,$B418,DATA_GOC!$E:$E,"Dầu cầu",DATA_GOC!$F:$F,"Xuất nội bộ từ téc",DATA_GOC!$B:$B,DATE($D$2,$B$2,M$4)),0))</f>
        <v>0</v>
      </c>
      <c r="N418" s="251">
        <f>IF(N$4&gt;DAY(EOMONTH(DATE($D$2,$B$2,1),0)),"",IFERROR(SUMIFS(DATA_GOC!$H:$H,DATA_GOC!$A:$A,"BOM",DATA_GOC!$D:$D,$B418,DATA_GOC!$E:$E,"Dầu cầu",DATA_GOC!$F:$F,"Xuất nội bộ từ téc",DATA_GOC!$B:$B,DATE($D$2,$B$2,N$4)),0))</f>
        <v>0</v>
      </c>
      <c r="O418" s="251">
        <f>IF(O$4&gt;DAY(EOMONTH(DATE($D$2,$B$2,1),0)),"",IFERROR(SUMIFS(DATA_GOC!$H:$H,DATA_GOC!$A:$A,"BOM",DATA_GOC!$D:$D,$B418,DATA_GOC!$E:$E,"Dầu cầu",DATA_GOC!$F:$F,"Xuất nội bộ từ téc",DATA_GOC!$B:$B,DATE($D$2,$B$2,O$4)),0))</f>
        <v>0</v>
      </c>
      <c r="P418" s="251">
        <f>IF(P$4&gt;DAY(EOMONTH(DATE($D$2,$B$2,1),0)),"",IFERROR(SUMIFS(DATA_GOC!$H:$H,DATA_GOC!$A:$A,"BOM",DATA_GOC!$D:$D,$B418,DATA_GOC!$E:$E,"Dầu cầu",DATA_GOC!$F:$F,"Xuất nội bộ từ téc",DATA_GOC!$B:$B,DATE($D$2,$B$2,P$4)),0))</f>
        <v>0</v>
      </c>
      <c r="Q418" s="251">
        <f>IF(Q$4&gt;DAY(EOMONTH(DATE($D$2,$B$2,1),0)),"",IFERROR(SUMIFS(DATA_GOC!$H:$H,DATA_GOC!$A:$A,"BOM",DATA_GOC!$D:$D,$B418,DATA_GOC!$E:$E,"Dầu cầu",DATA_GOC!$F:$F,"Xuất nội bộ từ téc",DATA_GOC!$B:$B,DATE($D$2,$B$2,Q$4)),0))</f>
        <v>0</v>
      </c>
      <c r="R418" s="251">
        <f>IF(R$4&gt;DAY(EOMONTH(DATE($D$2,$B$2,1),0)),"",IFERROR(SUMIFS(DATA_GOC!$H:$H,DATA_GOC!$A:$A,"BOM",DATA_GOC!$D:$D,$B418,DATA_GOC!$E:$E,"Dầu cầu",DATA_GOC!$F:$F,"Xuất nội bộ từ téc",DATA_GOC!$B:$B,DATE($D$2,$B$2,R$4)),0))</f>
        <v>0</v>
      </c>
      <c r="S418" s="251">
        <f>IF(S$4&gt;DAY(EOMONTH(DATE($D$2,$B$2,1),0)),"",IFERROR(SUMIFS(DATA_GOC!$H:$H,DATA_GOC!$A:$A,"BOM",DATA_GOC!$D:$D,$B418,DATA_GOC!$E:$E,"Dầu cầu",DATA_GOC!$F:$F,"Xuất nội bộ từ téc",DATA_GOC!$B:$B,DATE($D$2,$B$2,S$4)),0))</f>
        <v>0</v>
      </c>
      <c r="T418" s="251">
        <f>IF(T$4&gt;DAY(EOMONTH(DATE($D$2,$B$2,1),0)),"",IFERROR(SUMIFS(DATA_GOC!$H:$H,DATA_GOC!$A:$A,"BOM",DATA_GOC!$D:$D,$B418,DATA_GOC!$E:$E,"Dầu cầu",DATA_GOC!$F:$F,"Xuất nội bộ từ téc",DATA_GOC!$B:$B,DATE($D$2,$B$2,T$4)),0))</f>
        <v>0</v>
      </c>
      <c r="U418" s="251">
        <f>IF(U$4&gt;DAY(EOMONTH(DATE($D$2,$B$2,1),0)),"",IFERROR(SUMIFS(DATA_GOC!$H:$H,DATA_GOC!$A:$A,"BOM",DATA_GOC!$D:$D,$B418,DATA_GOC!$E:$E,"Dầu cầu",DATA_GOC!$F:$F,"Xuất nội bộ từ téc",DATA_GOC!$B:$B,DATE($D$2,$B$2,U$4)),0))</f>
        <v>0</v>
      </c>
      <c r="V418" s="251">
        <f>IF(V$4&gt;DAY(EOMONTH(DATE($D$2,$B$2,1),0)),"",IFERROR(SUMIFS(DATA_GOC!$H:$H,DATA_GOC!$A:$A,"BOM",DATA_GOC!$D:$D,$B418,DATA_GOC!$E:$E,"Dầu cầu",DATA_GOC!$F:$F,"Xuất nội bộ từ téc",DATA_GOC!$B:$B,DATE($D$2,$B$2,V$4)),0))</f>
        <v>0</v>
      </c>
      <c r="W418" s="251">
        <f>IF(W$4&gt;DAY(EOMONTH(DATE($D$2,$B$2,1),0)),"",IFERROR(SUMIFS(DATA_GOC!$H:$H,DATA_GOC!$A:$A,"BOM",DATA_GOC!$D:$D,$B418,DATA_GOC!$E:$E,"Dầu cầu",DATA_GOC!$F:$F,"Xuất nội bộ từ téc",DATA_GOC!$B:$B,DATE($D$2,$B$2,W$4)),0))</f>
        <v>0</v>
      </c>
      <c r="X418" s="251">
        <f>IF(X$4&gt;DAY(EOMONTH(DATE($D$2,$B$2,1),0)),"",IFERROR(SUMIFS(DATA_GOC!$H:$H,DATA_GOC!$A:$A,"BOM",DATA_GOC!$D:$D,$B418,DATA_GOC!$E:$E,"Dầu cầu",DATA_GOC!$F:$F,"Xuất nội bộ từ téc",DATA_GOC!$B:$B,DATE($D$2,$B$2,X$4)),0))</f>
        <v>0</v>
      </c>
      <c r="Y418" s="251">
        <f>IF(Y$4&gt;DAY(EOMONTH(DATE($D$2,$B$2,1),0)),"",IFERROR(SUMIFS(DATA_GOC!$H:$H,DATA_GOC!$A:$A,"BOM",DATA_GOC!$D:$D,$B418,DATA_GOC!$E:$E,"Dầu cầu",DATA_GOC!$F:$F,"Xuất nội bộ từ téc",DATA_GOC!$B:$B,DATE($D$2,$B$2,Y$4)),0))</f>
        <v>0</v>
      </c>
      <c r="Z418" s="251">
        <f>IF(Z$4&gt;DAY(EOMONTH(DATE($D$2,$B$2,1),0)),"",IFERROR(SUMIFS(DATA_GOC!$H:$H,DATA_GOC!$A:$A,"BOM",DATA_GOC!$D:$D,$B418,DATA_GOC!$E:$E,"Dầu cầu",DATA_GOC!$F:$F,"Xuất nội bộ từ téc",DATA_GOC!$B:$B,DATE($D$2,$B$2,Z$4)),0))</f>
        <v>0</v>
      </c>
      <c r="AA418" s="251">
        <f>IF(AA$4&gt;DAY(EOMONTH(DATE($D$2,$B$2,1),0)),"",IFERROR(SUMIFS(DATA_GOC!$H:$H,DATA_GOC!$A:$A,"BOM",DATA_GOC!$D:$D,$B418,DATA_GOC!$E:$E,"Dầu cầu",DATA_GOC!$F:$F,"Xuất nội bộ từ téc",DATA_GOC!$B:$B,DATE($D$2,$B$2,AA$4)),0))</f>
        <v>0</v>
      </c>
      <c r="AB418" s="251">
        <f>IF(AB$4&gt;DAY(EOMONTH(DATE($D$2,$B$2,1),0)),"",IFERROR(SUMIFS(DATA_GOC!$H:$H,DATA_GOC!$A:$A,"BOM",DATA_GOC!$D:$D,$B418,DATA_GOC!$E:$E,"Dầu cầu",DATA_GOC!$F:$F,"Xuất nội bộ từ téc",DATA_GOC!$B:$B,DATE($D$2,$B$2,AB$4)),0))</f>
        <v>0</v>
      </c>
      <c r="AC418" s="251">
        <f>IF(AC$4&gt;DAY(EOMONTH(DATE($D$2,$B$2,1),0)),"",IFERROR(SUMIFS(DATA_GOC!$H:$H,DATA_GOC!$A:$A,"BOM",DATA_GOC!$D:$D,$B418,DATA_GOC!$E:$E,"Dầu cầu",DATA_GOC!$F:$F,"Xuất nội bộ từ téc",DATA_GOC!$B:$B,DATE($D$2,$B$2,AC$4)),0))</f>
        <v>0</v>
      </c>
      <c r="AD418" s="251">
        <f>IF(AD$4&gt;DAY(EOMONTH(DATE($D$2,$B$2,1),0)),"",IFERROR(SUMIFS(DATA_GOC!$H:$H,DATA_GOC!$A:$A,"BOM",DATA_GOC!$D:$D,$B418,DATA_GOC!$E:$E,"Dầu cầu",DATA_GOC!$F:$F,"Xuất nội bộ từ téc",DATA_GOC!$B:$B,DATE($D$2,$B$2,AD$4)),0))</f>
        <v>0</v>
      </c>
      <c r="AE418" s="251">
        <f>IF(AE$4&gt;DAY(EOMONTH(DATE($D$2,$B$2,1),0)),"",IFERROR(SUMIFS(DATA_GOC!$H:$H,DATA_GOC!$A:$A,"BOM",DATA_GOC!$D:$D,$B418,DATA_GOC!$E:$E,"Dầu cầu",DATA_GOC!$F:$F,"Xuất nội bộ từ téc",DATA_GOC!$B:$B,DATE($D$2,$B$2,AE$4)),0))</f>
        <v>0</v>
      </c>
      <c r="AF418" s="251">
        <f>IF(AF$4&gt;DAY(EOMONTH(DATE($D$2,$B$2,1),0)),"",IFERROR(SUMIFS(DATA_GOC!$H:$H,DATA_GOC!$A:$A,"BOM",DATA_GOC!$D:$D,$B418,DATA_GOC!$E:$E,"Dầu cầu",DATA_GOC!$F:$F,"Xuất nội bộ từ téc",DATA_GOC!$B:$B,DATE($D$2,$B$2,AF$4)),0))</f>
        <v>0</v>
      </c>
      <c r="AG418" s="251">
        <f>IF(AG$4&gt;DAY(EOMONTH(DATE($D$2,$B$2,1),0)),"",IFERROR(SUMIFS(DATA_GOC!$H:$H,DATA_GOC!$A:$A,"BOM",DATA_GOC!$D:$D,$B418,DATA_GOC!$E:$E,"Dầu cầu",DATA_GOC!$F:$F,"Xuất nội bộ từ téc",DATA_GOC!$B:$B,DATE($D$2,$B$2,AG$4)),0))</f>
        <v>0</v>
      </c>
      <c r="AH418" s="252">
        <f t="shared" si="19"/>
        <v>0</v>
      </c>
      <c r="AI418" s="241"/>
      <c r="AJ418" s="242">
        <f>IF($B418="","",SUMIFS(TINH_TEC!$K$233:$K$9232,TINH_TEC!$H$233:$H$9232,$B418,TINH_TEC!$C$233:$C$9232,"Dầu cầu",TINH_TEC!$F$233:$F$9232,$B$2,TINH_TEC!$G$233:$G$9232,$D$2,TINH_TEC!$B$233:$B$9232,"Đã chốt"))</f>
        <v>0</v>
      </c>
      <c r="AK418" s="242">
        <f>IF($B418="","",SUMIFS(TINH_TEC!$J$233:$J$9232,TINH_TEC!$H$233:$H$9232,$B418,TINH_TEC!$C$233:$C$9232,"Dầu cầu",TINH_TEC!$F$233:$F$9232,$B$2,TINH_TEC!$G$233:$G$9232,$D$2,TINH_TEC!$B$233:$B$9232,"Đã chốt"))</f>
        <v>0</v>
      </c>
      <c r="AL418" s="242">
        <f t="shared" si="20"/>
        <v>0</v>
      </c>
    </row>
    <row r="419" ht="15.75" customHeight="1">
      <c r="A419" s="237">
        <f>IF($B419&lt;&gt;"",48,"")</f>
        <v>48</v>
      </c>
      <c r="B419" s="250" t="str">
        <f t="array" ref="B419">IFERROR(INDEX(DANH_MUC!$E:$E,51),"")</f>
        <v>LG53F</v>
      </c>
      <c r="C419" s="251">
        <f>IF(C$4&gt;DAY(EOMONTH(DATE($D$2,$B$2,1),0)),"",IFERROR(SUMIFS(DATA_GOC!$H:$H,DATA_GOC!$A:$A,"BOM",DATA_GOC!$D:$D,$B419,DATA_GOC!$E:$E,"Dầu cầu",DATA_GOC!$F:$F,"Xuất nội bộ từ téc",DATA_GOC!$B:$B,DATE($D$2,$B$2,C$4)),0))</f>
        <v>0</v>
      </c>
      <c r="D419" s="251">
        <f>IF(D$4&gt;DAY(EOMONTH(DATE($D$2,$B$2,1),0)),"",IFERROR(SUMIFS(DATA_GOC!$H:$H,DATA_GOC!$A:$A,"BOM",DATA_GOC!$D:$D,$B419,DATA_GOC!$E:$E,"Dầu cầu",DATA_GOC!$F:$F,"Xuất nội bộ từ téc",DATA_GOC!$B:$B,DATE($D$2,$B$2,D$4)),0))</f>
        <v>0</v>
      </c>
      <c r="E419" s="251">
        <f>IF(E$4&gt;DAY(EOMONTH(DATE($D$2,$B$2,1),0)),"",IFERROR(SUMIFS(DATA_GOC!$H:$H,DATA_GOC!$A:$A,"BOM",DATA_GOC!$D:$D,$B419,DATA_GOC!$E:$E,"Dầu cầu",DATA_GOC!$F:$F,"Xuất nội bộ từ téc",DATA_GOC!$B:$B,DATE($D$2,$B$2,E$4)),0))</f>
        <v>0</v>
      </c>
      <c r="F419" s="251">
        <f>IF(F$4&gt;DAY(EOMONTH(DATE($D$2,$B$2,1),0)),"",IFERROR(SUMIFS(DATA_GOC!$H:$H,DATA_GOC!$A:$A,"BOM",DATA_GOC!$D:$D,$B419,DATA_GOC!$E:$E,"Dầu cầu",DATA_GOC!$F:$F,"Xuất nội bộ từ téc",DATA_GOC!$B:$B,DATE($D$2,$B$2,F$4)),0))</f>
        <v>0</v>
      </c>
      <c r="G419" s="251">
        <f>IF(G$4&gt;DAY(EOMONTH(DATE($D$2,$B$2,1),0)),"",IFERROR(SUMIFS(DATA_GOC!$H:$H,DATA_GOC!$A:$A,"BOM",DATA_GOC!$D:$D,$B419,DATA_GOC!$E:$E,"Dầu cầu",DATA_GOC!$F:$F,"Xuất nội bộ từ téc",DATA_GOC!$B:$B,DATE($D$2,$B$2,G$4)),0))</f>
        <v>0</v>
      </c>
      <c r="H419" s="251">
        <f>IF(H$4&gt;DAY(EOMONTH(DATE($D$2,$B$2,1),0)),"",IFERROR(SUMIFS(DATA_GOC!$H:$H,DATA_GOC!$A:$A,"BOM",DATA_GOC!$D:$D,$B419,DATA_GOC!$E:$E,"Dầu cầu",DATA_GOC!$F:$F,"Xuất nội bộ từ téc",DATA_GOC!$B:$B,DATE($D$2,$B$2,H$4)),0))</f>
        <v>0</v>
      </c>
      <c r="I419" s="251">
        <f>IF(I$4&gt;DAY(EOMONTH(DATE($D$2,$B$2,1),0)),"",IFERROR(SUMIFS(DATA_GOC!$H:$H,DATA_GOC!$A:$A,"BOM",DATA_GOC!$D:$D,$B419,DATA_GOC!$E:$E,"Dầu cầu",DATA_GOC!$F:$F,"Xuất nội bộ từ téc",DATA_GOC!$B:$B,DATE($D$2,$B$2,I$4)),0))</f>
        <v>0</v>
      </c>
      <c r="J419" s="251">
        <f>IF(J$4&gt;DAY(EOMONTH(DATE($D$2,$B$2,1),0)),"",IFERROR(SUMIFS(DATA_GOC!$H:$H,DATA_GOC!$A:$A,"BOM",DATA_GOC!$D:$D,$B419,DATA_GOC!$E:$E,"Dầu cầu",DATA_GOC!$F:$F,"Xuất nội bộ từ téc",DATA_GOC!$B:$B,DATE($D$2,$B$2,J$4)),0))</f>
        <v>0</v>
      </c>
      <c r="K419" s="251">
        <f>IF(K$4&gt;DAY(EOMONTH(DATE($D$2,$B$2,1),0)),"",IFERROR(SUMIFS(DATA_GOC!$H:$H,DATA_GOC!$A:$A,"BOM",DATA_GOC!$D:$D,$B419,DATA_GOC!$E:$E,"Dầu cầu",DATA_GOC!$F:$F,"Xuất nội bộ từ téc",DATA_GOC!$B:$B,DATE($D$2,$B$2,K$4)),0))</f>
        <v>0</v>
      </c>
      <c r="L419" s="251">
        <f>IF(L$4&gt;DAY(EOMONTH(DATE($D$2,$B$2,1),0)),"",IFERROR(SUMIFS(DATA_GOC!$H:$H,DATA_GOC!$A:$A,"BOM",DATA_GOC!$D:$D,$B419,DATA_GOC!$E:$E,"Dầu cầu",DATA_GOC!$F:$F,"Xuất nội bộ từ téc",DATA_GOC!$B:$B,DATE($D$2,$B$2,L$4)),0))</f>
        <v>0</v>
      </c>
      <c r="M419" s="251">
        <f>IF(M$4&gt;DAY(EOMONTH(DATE($D$2,$B$2,1),0)),"",IFERROR(SUMIFS(DATA_GOC!$H:$H,DATA_GOC!$A:$A,"BOM",DATA_GOC!$D:$D,$B419,DATA_GOC!$E:$E,"Dầu cầu",DATA_GOC!$F:$F,"Xuất nội bộ từ téc",DATA_GOC!$B:$B,DATE($D$2,$B$2,M$4)),0))</f>
        <v>0</v>
      </c>
      <c r="N419" s="251">
        <f>IF(N$4&gt;DAY(EOMONTH(DATE($D$2,$B$2,1),0)),"",IFERROR(SUMIFS(DATA_GOC!$H:$H,DATA_GOC!$A:$A,"BOM",DATA_GOC!$D:$D,$B419,DATA_GOC!$E:$E,"Dầu cầu",DATA_GOC!$F:$F,"Xuất nội bộ từ téc",DATA_GOC!$B:$B,DATE($D$2,$B$2,N$4)),0))</f>
        <v>0</v>
      </c>
      <c r="O419" s="251">
        <f>IF(O$4&gt;DAY(EOMONTH(DATE($D$2,$B$2,1),0)),"",IFERROR(SUMIFS(DATA_GOC!$H:$H,DATA_GOC!$A:$A,"BOM",DATA_GOC!$D:$D,$B419,DATA_GOC!$E:$E,"Dầu cầu",DATA_GOC!$F:$F,"Xuất nội bộ từ téc",DATA_GOC!$B:$B,DATE($D$2,$B$2,O$4)),0))</f>
        <v>0</v>
      </c>
      <c r="P419" s="251">
        <f>IF(P$4&gt;DAY(EOMONTH(DATE($D$2,$B$2,1),0)),"",IFERROR(SUMIFS(DATA_GOC!$H:$H,DATA_GOC!$A:$A,"BOM",DATA_GOC!$D:$D,$B419,DATA_GOC!$E:$E,"Dầu cầu",DATA_GOC!$F:$F,"Xuất nội bộ từ téc",DATA_GOC!$B:$B,DATE($D$2,$B$2,P$4)),0))</f>
        <v>0</v>
      </c>
      <c r="Q419" s="251">
        <f>IF(Q$4&gt;DAY(EOMONTH(DATE($D$2,$B$2,1),0)),"",IFERROR(SUMIFS(DATA_GOC!$H:$H,DATA_GOC!$A:$A,"BOM",DATA_GOC!$D:$D,$B419,DATA_GOC!$E:$E,"Dầu cầu",DATA_GOC!$F:$F,"Xuất nội bộ từ téc",DATA_GOC!$B:$B,DATE($D$2,$B$2,Q$4)),0))</f>
        <v>0</v>
      </c>
      <c r="R419" s="251">
        <f>IF(R$4&gt;DAY(EOMONTH(DATE($D$2,$B$2,1),0)),"",IFERROR(SUMIFS(DATA_GOC!$H:$H,DATA_GOC!$A:$A,"BOM",DATA_GOC!$D:$D,$B419,DATA_GOC!$E:$E,"Dầu cầu",DATA_GOC!$F:$F,"Xuất nội bộ từ téc",DATA_GOC!$B:$B,DATE($D$2,$B$2,R$4)),0))</f>
        <v>0</v>
      </c>
      <c r="S419" s="251">
        <f>IF(S$4&gt;DAY(EOMONTH(DATE($D$2,$B$2,1),0)),"",IFERROR(SUMIFS(DATA_GOC!$H:$H,DATA_GOC!$A:$A,"BOM",DATA_GOC!$D:$D,$B419,DATA_GOC!$E:$E,"Dầu cầu",DATA_GOC!$F:$F,"Xuất nội bộ từ téc",DATA_GOC!$B:$B,DATE($D$2,$B$2,S$4)),0))</f>
        <v>0</v>
      </c>
      <c r="T419" s="251">
        <f>IF(T$4&gt;DAY(EOMONTH(DATE($D$2,$B$2,1),0)),"",IFERROR(SUMIFS(DATA_GOC!$H:$H,DATA_GOC!$A:$A,"BOM",DATA_GOC!$D:$D,$B419,DATA_GOC!$E:$E,"Dầu cầu",DATA_GOC!$F:$F,"Xuất nội bộ từ téc",DATA_GOC!$B:$B,DATE($D$2,$B$2,T$4)),0))</f>
        <v>0</v>
      </c>
      <c r="U419" s="251">
        <f>IF(U$4&gt;DAY(EOMONTH(DATE($D$2,$B$2,1),0)),"",IFERROR(SUMIFS(DATA_GOC!$H:$H,DATA_GOC!$A:$A,"BOM",DATA_GOC!$D:$D,$B419,DATA_GOC!$E:$E,"Dầu cầu",DATA_GOC!$F:$F,"Xuất nội bộ từ téc",DATA_GOC!$B:$B,DATE($D$2,$B$2,U$4)),0))</f>
        <v>0</v>
      </c>
      <c r="V419" s="251">
        <f>IF(V$4&gt;DAY(EOMONTH(DATE($D$2,$B$2,1),0)),"",IFERROR(SUMIFS(DATA_GOC!$H:$H,DATA_GOC!$A:$A,"BOM",DATA_GOC!$D:$D,$B419,DATA_GOC!$E:$E,"Dầu cầu",DATA_GOC!$F:$F,"Xuất nội bộ từ téc",DATA_GOC!$B:$B,DATE($D$2,$B$2,V$4)),0))</f>
        <v>0</v>
      </c>
      <c r="W419" s="251">
        <f>IF(W$4&gt;DAY(EOMONTH(DATE($D$2,$B$2,1),0)),"",IFERROR(SUMIFS(DATA_GOC!$H:$H,DATA_GOC!$A:$A,"BOM",DATA_GOC!$D:$D,$B419,DATA_GOC!$E:$E,"Dầu cầu",DATA_GOC!$F:$F,"Xuất nội bộ từ téc",DATA_GOC!$B:$B,DATE($D$2,$B$2,W$4)),0))</f>
        <v>0</v>
      </c>
      <c r="X419" s="251">
        <f>IF(X$4&gt;DAY(EOMONTH(DATE($D$2,$B$2,1),0)),"",IFERROR(SUMIFS(DATA_GOC!$H:$H,DATA_GOC!$A:$A,"BOM",DATA_GOC!$D:$D,$B419,DATA_GOC!$E:$E,"Dầu cầu",DATA_GOC!$F:$F,"Xuất nội bộ từ téc",DATA_GOC!$B:$B,DATE($D$2,$B$2,X$4)),0))</f>
        <v>0</v>
      </c>
      <c r="Y419" s="251">
        <f>IF(Y$4&gt;DAY(EOMONTH(DATE($D$2,$B$2,1),0)),"",IFERROR(SUMIFS(DATA_GOC!$H:$H,DATA_GOC!$A:$A,"BOM",DATA_GOC!$D:$D,$B419,DATA_GOC!$E:$E,"Dầu cầu",DATA_GOC!$F:$F,"Xuất nội bộ từ téc",DATA_GOC!$B:$B,DATE($D$2,$B$2,Y$4)),0))</f>
        <v>0</v>
      </c>
      <c r="Z419" s="251">
        <f>IF(Z$4&gt;DAY(EOMONTH(DATE($D$2,$B$2,1),0)),"",IFERROR(SUMIFS(DATA_GOC!$H:$H,DATA_GOC!$A:$A,"BOM",DATA_GOC!$D:$D,$B419,DATA_GOC!$E:$E,"Dầu cầu",DATA_GOC!$F:$F,"Xuất nội bộ từ téc",DATA_GOC!$B:$B,DATE($D$2,$B$2,Z$4)),0))</f>
        <v>0</v>
      </c>
      <c r="AA419" s="251">
        <f>IF(AA$4&gt;DAY(EOMONTH(DATE($D$2,$B$2,1),0)),"",IFERROR(SUMIFS(DATA_GOC!$H:$H,DATA_GOC!$A:$A,"BOM",DATA_GOC!$D:$D,$B419,DATA_GOC!$E:$E,"Dầu cầu",DATA_GOC!$F:$F,"Xuất nội bộ từ téc",DATA_GOC!$B:$B,DATE($D$2,$B$2,AA$4)),0))</f>
        <v>0</v>
      </c>
      <c r="AB419" s="251">
        <f>IF(AB$4&gt;DAY(EOMONTH(DATE($D$2,$B$2,1),0)),"",IFERROR(SUMIFS(DATA_GOC!$H:$H,DATA_GOC!$A:$A,"BOM",DATA_GOC!$D:$D,$B419,DATA_GOC!$E:$E,"Dầu cầu",DATA_GOC!$F:$F,"Xuất nội bộ từ téc",DATA_GOC!$B:$B,DATE($D$2,$B$2,AB$4)),0))</f>
        <v>0</v>
      </c>
      <c r="AC419" s="251">
        <f>IF(AC$4&gt;DAY(EOMONTH(DATE($D$2,$B$2,1),0)),"",IFERROR(SUMIFS(DATA_GOC!$H:$H,DATA_GOC!$A:$A,"BOM",DATA_GOC!$D:$D,$B419,DATA_GOC!$E:$E,"Dầu cầu",DATA_GOC!$F:$F,"Xuất nội bộ từ téc",DATA_GOC!$B:$B,DATE($D$2,$B$2,AC$4)),0))</f>
        <v>0</v>
      </c>
      <c r="AD419" s="251">
        <f>IF(AD$4&gt;DAY(EOMONTH(DATE($D$2,$B$2,1),0)),"",IFERROR(SUMIFS(DATA_GOC!$H:$H,DATA_GOC!$A:$A,"BOM",DATA_GOC!$D:$D,$B419,DATA_GOC!$E:$E,"Dầu cầu",DATA_GOC!$F:$F,"Xuất nội bộ từ téc",DATA_GOC!$B:$B,DATE($D$2,$B$2,AD$4)),0))</f>
        <v>0</v>
      </c>
      <c r="AE419" s="251">
        <f>IF(AE$4&gt;DAY(EOMONTH(DATE($D$2,$B$2,1),0)),"",IFERROR(SUMIFS(DATA_GOC!$H:$H,DATA_GOC!$A:$A,"BOM",DATA_GOC!$D:$D,$B419,DATA_GOC!$E:$E,"Dầu cầu",DATA_GOC!$F:$F,"Xuất nội bộ từ téc",DATA_GOC!$B:$B,DATE($D$2,$B$2,AE$4)),0))</f>
        <v>0</v>
      </c>
      <c r="AF419" s="251">
        <f>IF(AF$4&gt;DAY(EOMONTH(DATE($D$2,$B$2,1),0)),"",IFERROR(SUMIFS(DATA_GOC!$H:$H,DATA_GOC!$A:$A,"BOM",DATA_GOC!$D:$D,$B419,DATA_GOC!$E:$E,"Dầu cầu",DATA_GOC!$F:$F,"Xuất nội bộ từ téc",DATA_GOC!$B:$B,DATE($D$2,$B$2,AF$4)),0))</f>
        <v>0</v>
      </c>
      <c r="AG419" s="251">
        <f>IF(AG$4&gt;DAY(EOMONTH(DATE($D$2,$B$2,1),0)),"",IFERROR(SUMIFS(DATA_GOC!$H:$H,DATA_GOC!$A:$A,"BOM",DATA_GOC!$D:$D,$B419,DATA_GOC!$E:$E,"Dầu cầu",DATA_GOC!$F:$F,"Xuất nội bộ từ téc",DATA_GOC!$B:$B,DATE($D$2,$B$2,AG$4)),0))</f>
        <v>0</v>
      </c>
      <c r="AH419" s="252">
        <f t="shared" si="19"/>
        <v>0</v>
      </c>
      <c r="AI419" s="241"/>
      <c r="AJ419" s="242">
        <f>IF($B419="","",SUMIFS(TINH_TEC!$K$233:$K$9232,TINH_TEC!$H$233:$H$9232,$B419,TINH_TEC!$C$233:$C$9232,"Dầu cầu",TINH_TEC!$F$233:$F$9232,$B$2,TINH_TEC!$G$233:$G$9232,$D$2,TINH_TEC!$B$233:$B$9232,"Đã chốt"))</f>
        <v>0</v>
      </c>
      <c r="AK419" s="242">
        <f>IF($B419="","",SUMIFS(TINH_TEC!$J$233:$J$9232,TINH_TEC!$H$233:$H$9232,$B419,TINH_TEC!$C$233:$C$9232,"Dầu cầu",TINH_TEC!$F$233:$F$9232,$B$2,TINH_TEC!$G$233:$G$9232,$D$2,TINH_TEC!$B$233:$B$9232,"Đã chốt"))</f>
        <v>0</v>
      </c>
      <c r="AL419" s="242">
        <f t="shared" si="20"/>
        <v>0</v>
      </c>
    </row>
    <row r="420" ht="15.75" customHeight="1">
      <c r="A420" s="237">
        <f>IF($B420&lt;&gt;"",49,"")</f>
        <v>49</v>
      </c>
      <c r="B420" s="250" t="str">
        <f t="array" ref="B420">IFERROR(INDEX(DANH_MUC!$E:$E,52),"")</f>
        <v>Máy phát điện</v>
      </c>
      <c r="C420" s="251">
        <f>IF(C$4&gt;DAY(EOMONTH(DATE($D$2,$B$2,1),0)),"",IFERROR(SUMIFS(DATA_GOC!$H:$H,DATA_GOC!$A:$A,"BOM",DATA_GOC!$D:$D,$B420,DATA_GOC!$E:$E,"Dầu cầu",DATA_GOC!$F:$F,"Xuất nội bộ từ téc",DATA_GOC!$B:$B,DATE($D$2,$B$2,C$4)),0))</f>
        <v>0</v>
      </c>
      <c r="D420" s="251">
        <f>IF(D$4&gt;DAY(EOMONTH(DATE($D$2,$B$2,1),0)),"",IFERROR(SUMIFS(DATA_GOC!$H:$H,DATA_GOC!$A:$A,"BOM",DATA_GOC!$D:$D,$B420,DATA_GOC!$E:$E,"Dầu cầu",DATA_GOC!$F:$F,"Xuất nội bộ từ téc",DATA_GOC!$B:$B,DATE($D$2,$B$2,D$4)),0))</f>
        <v>0</v>
      </c>
      <c r="E420" s="251">
        <f>IF(E$4&gt;DAY(EOMONTH(DATE($D$2,$B$2,1),0)),"",IFERROR(SUMIFS(DATA_GOC!$H:$H,DATA_GOC!$A:$A,"BOM",DATA_GOC!$D:$D,$B420,DATA_GOC!$E:$E,"Dầu cầu",DATA_GOC!$F:$F,"Xuất nội bộ từ téc",DATA_GOC!$B:$B,DATE($D$2,$B$2,E$4)),0))</f>
        <v>0</v>
      </c>
      <c r="F420" s="251">
        <f>IF(F$4&gt;DAY(EOMONTH(DATE($D$2,$B$2,1),0)),"",IFERROR(SUMIFS(DATA_GOC!$H:$H,DATA_GOC!$A:$A,"BOM",DATA_GOC!$D:$D,$B420,DATA_GOC!$E:$E,"Dầu cầu",DATA_GOC!$F:$F,"Xuất nội bộ từ téc",DATA_GOC!$B:$B,DATE($D$2,$B$2,F$4)),0))</f>
        <v>0</v>
      </c>
      <c r="G420" s="251">
        <f>IF(G$4&gt;DAY(EOMONTH(DATE($D$2,$B$2,1),0)),"",IFERROR(SUMIFS(DATA_GOC!$H:$H,DATA_GOC!$A:$A,"BOM",DATA_GOC!$D:$D,$B420,DATA_GOC!$E:$E,"Dầu cầu",DATA_GOC!$F:$F,"Xuất nội bộ từ téc",DATA_GOC!$B:$B,DATE($D$2,$B$2,G$4)),0))</f>
        <v>0</v>
      </c>
      <c r="H420" s="251">
        <f>IF(H$4&gt;DAY(EOMONTH(DATE($D$2,$B$2,1),0)),"",IFERROR(SUMIFS(DATA_GOC!$H:$H,DATA_GOC!$A:$A,"BOM",DATA_GOC!$D:$D,$B420,DATA_GOC!$E:$E,"Dầu cầu",DATA_GOC!$F:$F,"Xuất nội bộ từ téc",DATA_GOC!$B:$B,DATE($D$2,$B$2,H$4)),0))</f>
        <v>0</v>
      </c>
      <c r="I420" s="251">
        <f>IF(I$4&gt;DAY(EOMONTH(DATE($D$2,$B$2,1),0)),"",IFERROR(SUMIFS(DATA_GOC!$H:$H,DATA_GOC!$A:$A,"BOM",DATA_GOC!$D:$D,$B420,DATA_GOC!$E:$E,"Dầu cầu",DATA_GOC!$F:$F,"Xuất nội bộ từ téc",DATA_GOC!$B:$B,DATE($D$2,$B$2,I$4)),0))</f>
        <v>0</v>
      </c>
      <c r="J420" s="251">
        <f>IF(J$4&gt;DAY(EOMONTH(DATE($D$2,$B$2,1),0)),"",IFERROR(SUMIFS(DATA_GOC!$H:$H,DATA_GOC!$A:$A,"BOM",DATA_GOC!$D:$D,$B420,DATA_GOC!$E:$E,"Dầu cầu",DATA_GOC!$F:$F,"Xuất nội bộ từ téc",DATA_GOC!$B:$B,DATE($D$2,$B$2,J$4)),0))</f>
        <v>0</v>
      </c>
      <c r="K420" s="251">
        <f>IF(K$4&gt;DAY(EOMONTH(DATE($D$2,$B$2,1),0)),"",IFERROR(SUMIFS(DATA_GOC!$H:$H,DATA_GOC!$A:$A,"BOM",DATA_GOC!$D:$D,$B420,DATA_GOC!$E:$E,"Dầu cầu",DATA_GOC!$F:$F,"Xuất nội bộ từ téc",DATA_GOC!$B:$B,DATE($D$2,$B$2,K$4)),0))</f>
        <v>0</v>
      </c>
      <c r="L420" s="251">
        <f>IF(L$4&gt;DAY(EOMONTH(DATE($D$2,$B$2,1),0)),"",IFERROR(SUMIFS(DATA_GOC!$H:$H,DATA_GOC!$A:$A,"BOM",DATA_GOC!$D:$D,$B420,DATA_GOC!$E:$E,"Dầu cầu",DATA_GOC!$F:$F,"Xuất nội bộ từ téc",DATA_GOC!$B:$B,DATE($D$2,$B$2,L$4)),0))</f>
        <v>0</v>
      </c>
      <c r="M420" s="251">
        <f>IF(M$4&gt;DAY(EOMONTH(DATE($D$2,$B$2,1),0)),"",IFERROR(SUMIFS(DATA_GOC!$H:$H,DATA_GOC!$A:$A,"BOM",DATA_GOC!$D:$D,$B420,DATA_GOC!$E:$E,"Dầu cầu",DATA_GOC!$F:$F,"Xuất nội bộ từ téc",DATA_GOC!$B:$B,DATE($D$2,$B$2,M$4)),0))</f>
        <v>0</v>
      </c>
      <c r="N420" s="251">
        <f>IF(N$4&gt;DAY(EOMONTH(DATE($D$2,$B$2,1),0)),"",IFERROR(SUMIFS(DATA_GOC!$H:$H,DATA_GOC!$A:$A,"BOM",DATA_GOC!$D:$D,$B420,DATA_GOC!$E:$E,"Dầu cầu",DATA_GOC!$F:$F,"Xuất nội bộ từ téc",DATA_GOC!$B:$B,DATE($D$2,$B$2,N$4)),0))</f>
        <v>0</v>
      </c>
      <c r="O420" s="251">
        <f>IF(O$4&gt;DAY(EOMONTH(DATE($D$2,$B$2,1),0)),"",IFERROR(SUMIFS(DATA_GOC!$H:$H,DATA_GOC!$A:$A,"BOM",DATA_GOC!$D:$D,$B420,DATA_GOC!$E:$E,"Dầu cầu",DATA_GOC!$F:$F,"Xuất nội bộ từ téc",DATA_GOC!$B:$B,DATE($D$2,$B$2,O$4)),0))</f>
        <v>0</v>
      </c>
      <c r="P420" s="251">
        <f>IF(P$4&gt;DAY(EOMONTH(DATE($D$2,$B$2,1),0)),"",IFERROR(SUMIFS(DATA_GOC!$H:$H,DATA_GOC!$A:$A,"BOM",DATA_GOC!$D:$D,$B420,DATA_GOC!$E:$E,"Dầu cầu",DATA_GOC!$F:$F,"Xuất nội bộ từ téc",DATA_GOC!$B:$B,DATE($D$2,$B$2,P$4)),0))</f>
        <v>0</v>
      </c>
      <c r="Q420" s="251">
        <f>IF(Q$4&gt;DAY(EOMONTH(DATE($D$2,$B$2,1),0)),"",IFERROR(SUMIFS(DATA_GOC!$H:$H,DATA_GOC!$A:$A,"BOM",DATA_GOC!$D:$D,$B420,DATA_GOC!$E:$E,"Dầu cầu",DATA_GOC!$F:$F,"Xuất nội bộ từ téc",DATA_GOC!$B:$B,DATE($D$2,$B$2,Q$4)),0))</f>
        <v>0</v>
      </c>
      <c r="R420" s="251">
        <f>IF(R$4&gt;DAY(EOMONTH(DATE($D$2,$B$2,1),0)),"",IFERROR(SUMIFS(DATA_GOC!$H:$H,DATA_GOC!$A:$A,"BOM",DATA_GOC!$D:$D,$B420,DATA_GOC!$E:$E,"Dầu cầu",DATA_GOC!$F:$F,"Xuất nội bộ từ téc",DATA_GOC!$B:$B,DATE($D$2,$B$2,R$4)),0))</f>
        <v>0</v>
      </c>
      <c r="S420" s="251">
        <f>IF(S$4&gt;DAY(EOMONTH(DATE($D$2,$B$2,1),0)),"",IFERROR(SUMIFS(DATA_GOC!$H:$H,DATA_GOC!$A:$A,"BOM",DATA_GOC!$D:$D,$B420,DATA_GOC!$E:$E,"Dầu cầu",DATA_GOC!$F:$F,"Xuất nội bộ từ téc",DATA_GOC!$B:$B,DATE($D$2,$B$2,S$4)),0))</f>
        <v>0</v>
      </c>
      <c r="T420" s="251">
        <f>IF(T$4&gt;DAY(EOMONTH(DATE($D$2,$B$2,1),0)),"",IFERROR(SUMIFS(DATA_GOC!$H:$H,DATA_GOC!$A:$A,"BOM",DATA_GOC!$D:$D,$B420,DATA_GOC!$E:$E,"Dầu cầu",DATA_GOC!$F:$F,"Xuất nội bộ từ téc",DATA_GOC!$B:$B,DATE($D$2,$B$2,T$4)),0))</f>
        <v>0</v>
      </c>
      <c r="U420" s="251">
        <f>IF(U$4&gt;DAY(EOMONTH(DATE($D$2,$B$2,1),0)),"",IFERROR(SUMIFS(DATA_GOC!$H:$H,DATA_GOC!$A:$A,"BOM",DATA_GOC!$D:$D,$B420,DATA_GOC!$E:$E,"Dầu cầu",DATA_GOC!$F:$F,"Xuất nội bộ từ téc",DATA_GOC!$B:$B,DATE($D$2,$B$2,U$4)),0))</f>
        <v>0</v>
      </c>
      <c r="V420" s="251">
        <f>IF(V$4&gt;DAY(EOMONTH(DATE($D$2,$B$2,1),0)),"",IFERROR(SUMIFS(DATA_GOC!$H:$H,DATA_GOC!$A:$A,"BOM",DATA_GOC!$D:$D,$B420,DATA_GOC!$E:$E,"Dầu cầu",DATA_GOC!$F:$F,"Xuất nội bộ từ téc",DATA_GOC!$B:$B,DATE($D$2,$B$2,V$4)),0))</f>
        <v>0</v>
      </c>
      <c r="W420" s="251">
        <f>IF(W$4&gt;DAY(EOMONTH(DATE($D$2,$B$2,1),0)),"",IFERROR(SUMIFS(DATA_GOC!$H:$H,DATA_GOC!$A:$A,"BOM",DATA_GOC!$D:$D,$B420,DATA_GOC!$E:$E,"Dầu cầu",DATA_GOC!$F:$F,"Xuất nội bộ từ téc",DATA_GOC!$B:$B,DATE($D$2,$B$2,W$4)),0))</f>
        <v>0</v>
      </c>
      <c r="X420" s="251">
        <f>IF(X$4&gt;DAY(EOMONTH(DATE($D$2,$B$2,1),0)),"",IFERROR(SUMIFS(DATA_GOC!$H:$H,DATA_GOC!$A:$A,"BOM",DATA_GOC!$D:$D,$B420,DATA_GOC!$E:$E,"Dầu cầu",DATA_GOC!$F:$F,"Xuất nội bộ từ téc",DATA_GOC!$B:$B,DATE($D$2,$B$2,X$4)),0))</f>
        <v>0</v>
      </c>
      <c r="Y420" s="251">
        <f>IF(Y$4&gt;DAY(EOMONTH(DATE($D$2,$B$2,1),0)),"",IFERROR(SUMIFS(DATA_GOC!$H:$H,DATA_GOC!$A:$A,"BOM",DATA_GOC!$D:$D,$B420,DATA_GOC!$E:$E,"Dầu cầu",DATA_GOC!$F:$F,"Xuất nội bộ từ téc",DATA_GOC!$B:$B,DATE($D$2,$B$2,Y$4)),0))</f>
        <v>0</v>
      </c>
      <c r="Z420" s="251">
        <f>IF(Z$4&gt;DAY(EOMONTH(DATE($D$2,$B$2,1),0)),"",IFERROR(SUMIFS(DATA_GOC!$H:$H,DATA_GOC!$A:$A,"BOM",DATA_GOC!$D:$D,$B420,DATA_GOC!$E:$E,"Dầu cầu",DATA_GOC!$F:$F,"Xuất nội bộ từ téc",DATA_GOC!$B:$B,DATE($D$2,$B$2,Z$4)),0))</f>
        <v>0</v>
      </c>
      <c r="AA420" s="251">
        <f>IF(AA$4&gt;DAY(EOMONTH(DATE($D$2,$B$2,1),0)),"",IFERROR(SUMIFS(DATA_GOC!$H:$H,DATA_GOC!$A:$A,"BOM",DATA_GOC!$D:$D,$B420,DATA_GOC!$E:$E,"Dầu cầu",DATA_GOC!$F:$F,"Xuất nội bộ từ téc",DATA_GOC!$B:$B,DATE($D$2,$B$2,AA$4)),0))</f>
        <v>0</v>
      </c>
      <c r="AB420" s="251">
        <f>IF(AB$4&gt;DAY(EOMONTH(DATE($D$2,$B$2,1),0)),"",IFERROR(SUMIFS(DATA_GOC!$H:$H,DATA_GOC!$A:$A,"BOM",DATA_GOC!$D:$D,$B420,DATA_GOC!$E:$E,"Dầu cầu",DATA_GOC!$F:$F,"Xuất nội bộ từ téc",DATA_GOC!$B:$B,DATE($D$2,$B$2,AB$4)),0))</f>
        <v>0</v>
      </c>
      <c r="AC420" s="251">
        <f>IF(AC$4&gt;DAY(EOMONTH(DATE($D$2,$B$2,1),0)),"",IFERROR(SUMIFS(DATA_GOC!$H:$H,DATA_GOC!$A:$A,"BOM",DATA_GOC!$D:$D,$B420,DATA_GOC!$E:$E,"Dầu cầu",DATA_GOC!$F:$F,"Xuất nội bộ từ téc",DATA_GOC!$B:$B,DATE($D$2,$B$2,AC$4)),0))</f>
        <v>0</v>
      </c>
      <c r="AD420" s="251">
        <f>IF(AD$4&gt;DAY(EOMONTH(DATE($D$2,$B$2,1),0)),"",IFERROR(SUMIFS(DATA_GOC!$H:$H,DATA_GOC!$A:$A,"BOM",DATA_GOC!$D:$D,$B420,DATA_GOC!$E:$E,"Dầu cầu",DATA_GOC!$F:$F,"Xuất nội bộ từ téc",DATA_GOC!$B:$B,DATE($D$2,$B$2,AD$4)),0))</f>
        <v>0</v>
      </c>
      <c r="AE420" s="251">
        <f>IF(AE$4&gt;DAY(EOMONTH(DATE($D$2,$B$2,1),0)),"",IFERROR(SUMIFS(DATA_GOC!$H:$H,DATA_GOC!$A:$A,"BOM",DATA_GOC!$D:$D,$B420,DATA_GOC!$E:$E,"Dầu cầu",DATA_GOC!$F:$F,"Xuất nội bộ từ téc",DATA_GOC!$B:$B,DATE($D$2,$B$2,AE$4)),0))</f>
        <v>0</v>
      </c>
      <c r="AF420" s="251">
        <f>IF(AF$4&gt;DAY(EOMONTH(DATE($D$2,$B$2,1),0)),"",IFERROR(SUMIFS(DATA_GOC!$H:$H,DATA_GOC!$A:$A,"BOM",DATA_GOC!$D:$D,$B420,DATA_GOC!$E:$E,"Dầu cầu",DATA_GOC!$F:$F,"Xuất nội bộ từ téc",DATA_GOC!$B:$B,DATE($D$2,$B$2,AF$4)),0))</f>
        <v>0</v>
      </c>
      <c r="AG420" s="251">
        <f>IF(AG$4&gt;DAY(EOMONTH(DATE($D$2,$B$2,1),0)),"",IFERROR(SUMIFS(DATA_GOC!$H:$H,DATA_GOC!$A:$A,"BOM",DATA_GOC!$D:$D,$B420,DATA_GOC!$E:$E,"Dầu cầu",DATA_GOC!$F:$F,"Xuất nội bộ từ téc",DATA_GOC!$B:$B,DATE($D$2,$B$2,AG$4)),0))</f>
        <v>0</v>
      </c>
      <c r="AH420" s="252">
        <f t="shared" si="19"/>
        <v>0</v>
      </c>
      <c r="AI420" s="241"/>
      <c r="AJ420" s="242">
        <f>IF($B420="","",SUMIFS(TINH_TEC!$K$233:$K$9232,TINH_TEC!$H$233:$H$9232,$B420,TINH_TEC!$C$233:$C$9232,"Dầu cầu",TINH_TEC!$F$233:$F$9232,$B$2,TINH_TEC!$G$233:$G$9232,$D$2,TINH_TEC!$B$233:$B$9232,"Đã chốt"))</f>
        <v>0</v>
      </c>
      <c r="AK420" s="242">
        <f>IF($B420="","",SUMIFS(TINH_TEC!$J$233:$J$9232,TINH_TEC!$H$233:$H$9232,$B420,TINH_TEC!$C$233:$C$9232,"Dầu cầu",TINH_TEC!$F$233:$F$9232,$B$2,TINH_TEC!$G$233:$G$9232,$D$2,TINH_TEC!$B$233:$B$9232,"Đã chốt"))</f>
        <v>0</v>
      </c>
      <c r="AL420" s="242">
        <f t="shared" si="20"/>
        <v>0</v>
      </c>
    </row>
    <row r="421" ht="15.75" customHeight="1">
      <c r="A421" s="237">
        <f>IF($B421&lt;&gt;"",50,"")</f>
        <v>50</v>
      </c>
      <c r="B421" s="250" t="str">
        <f t="array" ref="B421">IFERROR(INDEX(DANH_MUC!$E:$E,53),"")</f>
        <v>Máy rải thảm</v>
      </c>
      <c r="C421" s="251">
        <f>IF(C$4&gt;DAY(EOMONTH(DATE($D$2,$B$2,1),0)),"",IFERROR(SUMIFS(DATA_GOC!$H:$H,DATA_GOC!$A:$A,"BOM",DATA_GOC!$D:$D,$B421,DATA_GOC!$E:$E,"Dầu cầu",DATA_GOC!$F:$F,"Xuất nội bộ từ téc",DATA_GOC!$B:$B,DATE($D$2,$B$2,C$4)),0))</f>
        <v>0</v>
      </c>
      <c r="D421" s="251">
        <f>IF(D$4&gt;DAY(EOMONTH(DATE($D$2,$B$2,1),0)),"",IFERROR(SUMIFS(DATA_GOC!$H:$H,DATA_GOC!$A:$A,"BOM",DATA_GOC!$D:$D,$B421,DATA_GOC!$E:$E,"Dầu cầu",DATA_GOC!$F:$F,"Xuất nội bộ từ téc",DATA_GOC!$B:$B,DATE($D$2,$B$2,D$4)),0))</f>
        <v>0</v>
      </c>
      <c r="E421" s="251">
        <f>IF(E$4&gt;DAY(EOMONTH(DATE($D$2,$B$2,1),0)),"",IFERROR(SUMIFS(DATA_GOC!$H:$H,DATA_GOC!$A:$A,"BOM",DATA_GOC!$D:$D,$B421,DATA_GOC!$E:$E,"Dầu cầu",DATA_GOC!$F:$F,"Xuất nội bộ từ téc",DATA_GOC!$B:$B,DATE($D$2,$B$2,E$4)),0))</f>
        <v>0</v>
      </c>
      <c r="F421" s="251">
        <f>IF(F$4&gt;DAY(EOMONTH(DATE($D$2,$B$2,1),0)),"",IFERROR(SUMIFS(DATA_GOC!$H:$H,DATA_GOC!$A:$A,"BOM",DATA_GOC!$D:$D,$B421,DATA_GOC!$E:$E,"Dầu cầu",DATA_GOC!$F:$F,"Xuất nội bộ từ téc",DATA_GOC!$B:$B,DATE($D$2,$B$2,F$4)),0))</f>
        <v>0</v>
      </c>
      <c r="G421" s="251">
        <f>IF(G$4&gt;DAY(EOMONTH(DATE($D$2,$B$2,1),0)),"",IFERROR(SUMIFS(DATA_GOC!$H:$H,DATA_GOC!$A:$A,"BOM",DATA_GOC!$D:$D,$B421,DATA_GOC!$E:$E,"Dầu cầu",DATA_GOC!$F:$F,"Xuất nội bộ từ téc",DATA_GOC!$B:$B,DATE($D$2,$B$2,G$4)),0))</f>
        <v>0</v>
      </c>
      <c r="H421" s="251">
        <f>IF(H$4&gt;DAY(EOMONTH(DATE($D$2,$B$2,1),0)),"",IFERROR(SUMIFS(DATA_GOC!$H:$H,DATA_GOC!$A:$A,"BOM",DATA_GOC!$D:$D,$B421,DATA_GOC!$E:$E,"Dầu cầu",DATA_GOC!$F:$F,"Xuất nội bộ từ téc",DATA_GOC!$B:$B,DATE($D$2,$B$2,H$4)),0))</f>
        <v>0</v>
      </c>
      <c r="I421" s="251">
        <f>IF(I$4&gt;DAY(EOMONTH(DATE($D$2,$B$2,1),0)),"",IFERROR(SUMIFS(DATA_GOC!$H:$H,DATA_GOC!$A:$A,"BOM",DATA_GOC!$D:$D,$B421,DATA_GOC!$E:$E,"Dầu cầu",DATA_GOC!$F:$F,"Xuất nội bộ từ téc",DATA_GOC!$B:$B,DATE($D$2,$B$2,I$4)),0))</f>
        <v>0</v>
      </c>
      <c r="J421" s="251">
        <f>IF(J$4&gt;DAY(EOMONTH(DATE($D$2,$B$2,1),0)),"",IFERROR(SUMIFS(DATA_GOC!$H:$H,DATA_GOC!$A:$A,"BOM",DATA_GOC!$D:$D,$B421,DATA_GOC!$E:$E,"Dầu cầu",DATA_GOC!$F:$F,"Xuất nội bộ từ téc",DATA_GOC!$B:$B,DATE($D$2,$B$2,J$4)),0))</f>
        <v>0</v>
      </c>
      <c r="K421" s="251">
        <f>IF(K$4&gt;DAY(EOMONTH(DATE($D$2,$B$2,1),0)),"",IFERROR(SUMIFS(DATA_GOC!$H:$H,DATA_GOC!$A:$A,"BOM",DATA_GOC!$D:$D,$B421,DATA_GOC!$E:$E,"Dầu cầu",DATA_GOC!$F:$F,"Xuất nội bộ từ téc",DATA_GOC!$B:$B,DATE($D$2,$B$2,K$4)),0))</f>
        <v>0</v>
      </c>
      <c r="L421" s="251">
        <f>IF(L$4&gt;DAY(EOMONTH(DATE($D$2,$B$2,1),0)),"",IFERROR(SUMIFS(DATA_GOC!$H:$H,DATA_GOC!$A:$A,"BOM",DATA_GOC!$D:$D,$B421,DATA_GOC!$E:$E,"Dầu cầu",DATA_GOC!$F:$F,"Xuất nội bộ từ téc",DATA_GOC!$B:$B,DATE($D$2,$B$2,L$4)),0))</f>
        <v>0</v>
      </c>
      <c r="M421" s="251">
        <f>IF(M$4&gt;DAY(EOMONTH(DATE($D$2,$B$2,1),0)),"",IFERROR(SUMIFS(DATA_GOC!$H:$H,DATA_GOC!$A:$A,"BOM",DATA_GOC!$D:$D,$B421,DATA_GOC!$E:$E,"Dầu cầu",DATA_GOC!$F:$F,"Xuất nội bộ từ téc",DATA_GOC!$B:$B,DATE($D$2,$B$2,M$4)),0))</f>
        <v>0</v>
      </c>
      <c r="N421" s="251">
        <f>IF(N$4&gt;DAY(EOMONTH(DATE($D$2,$B$2,1),0)),"",IFERROR(SUMIFS(DATA_GOC!$H:$H,DATA_GOC!$A:$A,"BOM",DATA_GOC!$D:$D,$B421,DATA_GOC!$E:$E,"Dầu cầu",DATA_GOC!$F:$F,"Xuất nội bộ từ téc",DATA_GOC!$B:$B,DATE($D$2,$B$2,N$4)),0))</f>
        <v>0</v>
      </c>
      <c r="O421" s="251">
        <f>IF(O$4&gt;DAY(EOMONTH(DATE($D$2,$B$2,1),0)),"",IFERROR(SUMIFS(DATA_GOC!$H:$H,DATA_GOC!$A:$A,"BOM",DATA_GOC!$D:$D,$B421,DATA_GOC!$E:$E,"Dầu cầu",DATA_GOC!$F:$F,"Xuất nội bộ từ téc",DATA_GOC!$B:$B,DATE($D$2,$B$2,O$4)),0))</f>
        <v>0</v>
      </c>
      <c r="P421" s="251">
        <f>IF(P$4&gt;DAY(EOMONTH(DATE($D$2,$B$2,1),0)),"",IFERROR(SUMIFS(DATA_GOC!$H:$H,DATA_GOC!$A:$A,"BOM",DATA_GOC!$D:$D,$B421,DATA_GOC!$E:$E,"Dầu cầu",DATA_GOC!$F:$F,"Xuất nội bộ từ téc",DATA_GOC!$B:$B,DATE($D$2,$B$2,P$4)),0))</f>
        <v>0</v>
      </c>
      <c r="Q421" s="251">
        <f>IF(Q$4&gt;DAY(EOMONTH(DATE($D$2,$B$2,1),0)),"",IFERROR(SUMIFS(DATA_GOC!$H:$H,DATA_GOC!$A:$A,"BOM",DATA_GOC!$D:$D,$B421,DATA_GOC!$E:$E,"Dầu cầu",DATA_GOC!$F:$F,"Xuất nội bộ từ téc",DATA_GOC!$B:$B,DATE($D$2,$B$2,Q$4)),0))</f>
        <v>0</v>
      </c>
      <c r="R421" s="251">
        <f>IF(R$4&gt;DAY(EOMONTH(DATE($D$2,$B$2,1),0)),"",IFERROR(SUMIFS(DATA_GOC!$H:$H,DATA_GOC!$A:$A,"BOM",DATA_GOC!$D:$D,$B421,DATA_GOC!$E:$E,"Dầu cầu",DATA_GOC!$F:$F,"Xuất nội bộ từ téc",DATA_GOC!$B:$B,DATE($D$2,$B$2,R$4)),0))</f>
        <v>0</v>
      </c>
      <c r="S421" s="251">
        <f>IF(S$4&gt;DAY(EOMONTH(DATE($D$2,$B$2,1),0)),"",IFERROR(SUMIFS(DATA_GOC!$H:$H,DATA_GOC!$A:$A,"BOM",DATA_GOC!$D:$D,$B421,DATA_GOC!$E:$E,"Dầu cầu",DATA_GOC!$F:$F,"Xuất nội bộ từ téc",DATA_GOC!$B:$B,DATE($D$2,$B$2,S$4)),0))</f>
        <v>0</v>
      </c>
      <c r="T421" s="251">
        <f>IF(T$4&gt;DAY(EOMONTH(DATE($D$2,$B$2,1),0)),"",IFERROR(SUMIFS(DATA_GOC!$H:$H,DATA_GOC!$A:$A,"BOM",DATA_GOC!$D:$D,$B421,DATA_GOC!$E:$E,"Dầu cầu",DATA_GOC!$F:$F,"Xuất nội bộ từ téc",DATA_GOC!$B:$B,DATE($D$2,$B$2,T$4)),0))</f>
        <v>0</v>
      </c>
      <c r="U421" s="251">
        <f>IF(U$4&gt;DAY(EOMONTH(DATE($D$2,$B$2,1),0)),"",IFERROR(SUMIFS(DATA_GOC!$H:$H,DATA_GOC!$A:$A,"BOM",DATA_GOC!$D:$D,$B421,DATA_GOC!$E:$E,"Dầu cầu",DATA_GOC!$F:$F,"Xuất nội bộ từ téc",DATA_GOC!$B:$B,DATE($D$2,$B$2,U$4)),0))</f>
        <v>0</v>
      </c>
      <c r="V421" s="251">
        <f>IF(V$4&gt;DAY(EOMONTH(DATE($D$2,$B$2,1),0)),"",IFERROR(SUMIFS(DATA_GOC!$H:$H,DATA_GOC!$A:$A,"BOM",DATA_GOC!$D:$D,$B421,DATA_GOC!$E:$E,"Dầu cầu",DATA_GOC!$F:$F,"Xuất nội bộ từ téc",DATA_GOC!$B:$B,DATE($D$2,$B$2,V$4)),0))</f>
        <v>0</v>
      </c>
      <c r="W421" s="251">
        <f>IF(W$4&gt;DAY(EOMONTH(DATE($D$2,$B$2,1),0)),"",IFERROR(SUMIFS(DATA_GOC!$H:$H,DATA_GOC!$A:$A,"BOM",DATA_GOC!$D:$D,$B421,DATA_GOC!$E:$E,"Dầu cầu",DATA_GOC!$F:$F,"Xuất nội bộ từ téc",DATA_GOC!$B:$B,DATE($D$2,$B$2,W$4)),0))</f>
        <v>0</v>
      </c>
      <c r="X421" s="251">
        <f>IF(X$4&gt;DAY(EOMONTH(DATE($D$2,$B$2,1),0)),"",IFERROR(SUMIFS(DATA_GOC!$H:$H,DATA_GOC!$A:$A,"BOM",DATA_GOC!$D:$D,$B421,DATA_GOC!$E:$E,"Dầu cầu",DATA_GOC!$F:$F,"Xuất nội bộ từ téc",DATA_GOC!$B:$B,DATE($D$2,$B$2,X$4)),0))</f>
        <v>0</v>
      </c>
      <c r="Y421" s="251">
        <f>IF(Y$4&gt;DAY(EOMONTH(DATE($D$2,$B$2,1),0)),"",IFERROR(SUMIFS(DATA_GOC!$H:$H,DATA_GOC!$A:$A,"BOM",DATA_GOC!$D:$D,$B421,DATA_GOC!$E:$E,"Dầu cầu",DATA_GOC!$F:$F,"Xuất nội bộ từ téc",DATA_GOC!$B:$B,DATE($D$2,$B$2,Y$4)),0))</f>
        <v>0</v>
      </c>
      <c r="Z421" s="251">
        <f>IF(Z$4&gt;DAY(EOMONTH(DATE($D$2,$B$2,1),0)),"",IFERROR(SUMIFS(DATA_GOC!$H:$H,DATA_GOC!$A:$A,"BOM",DATA_GOC!$D:$D,$B421,DATA_GOC!$E:$E,"Dầu cầu",DATA_GOC!$F:$F,"Xuất nội bộ từ téc",DATA_GOC!$B:$B,DATE($D$2,$B$2,Z$4)),0))</f>
        <v>0</v>
      </c>
      <c r="AA421" s="251">
        <f>IF(AA$4&gt;DAY(EOMONTH(DATE($D$2,$B$2,1),0)),"",IFERROR(SUMIFS(DATA_GOC!$H:$H,DATA_GOC!$A:$A,"BOM",DATA_GOC!$D:$D,$B421,DATA_GOC!$E:$E,"Dầu cầu",DATA_GOC!$F:$F,"Xuất nội bộ từ téc",DATA_GOC!$B:$B,DATE($D$2,$B$2,AA$4)),0))</f>
        <v>0</v>
      </c>
      <c r="AB421" s="251">
        <f>IF(AB$4&gt;DAY(EOMONTH(DATE($D$2,$B$2,1),0)),"",IFERROR(SUMIFS(DATA_GOC!$H:$H,DATA_GOC!$A:$A,"BOM",DATA_GOC!$D:$D,$B421,DATA_GOC!$E:$E,"Dầu cầu",DATA_GOC!$F:$F,"Xuất nội bộ từ téc",DATA_GOC!$B:$B,DATE($D$2,$B$2,AB$4)),0))</f>
        <v>0</v>
      </c>
      <c r="AC421" s="251">
        <f>IF(AC$4&gt;DAY(EOMONTH(DATE($D$2,$B$2,1),0)),"",IFERROR(SUMIFS(DATA_GOC!$H:$H,DATA_GOC!$A:$A,"BOM",DATA_GOC!$D:$D,$B421,DATA_GOC!$E:$E,"Dầu cầu",DATA_GOC!$F:$F,"Xuất nội bộ từ téc",DATA_GOC!$B:$B,DATE($D$2,$B$2,AC$4)),0))</f>
        <v>0</v>
      </c>
      <c r="AD421" s="251">
        <f>IF(AD$4&gt;DAY(EOMONTH(DATE($D$2,$B$2,1),0)),"",IFERROR(SUMIFS(DATA_GOC!$H:$H,DATA_GOC!$A:$A,"BOM",DATA_GOC!$D:$D,$B421,DATA_GOC!$E:$E,"Dầu cầu",DATA_GOC!$F:$F,"Xuất nội bộ từ téc",DATA_GOC!$B:$B,DATE($D$2,$B$2,AD$4)),0))</f>
        <v>0</v>
      </c>
      <c r="AE421" s="251">
        <f>IF(AE$4&gt;DAY(EOMONTH(DATE($D$2,$B$2,1),0)),"",IFERROR(SUMIFS(DATA_GOC!$H:$H,DATA_GOC!$A:$A,"BOM",DATA_GOC!$D:$D,$B421,DATA_GOC!$E:$E,"Dầu cầu",DATA_GOC!$F:$F,"Xuất nội bộ từ téc",DATA_GOC!$B:$B,DATE($D$2,$B$2,AE$4)),0))</f>
        <v>0</v>
      </c>
      <c r="AF421" s="251">
        <f>IF(AF$4&gt;DAY(EOMONTH(DATE($D$2,$B$2,1),0)),"",IFERROR(SUMIFS(DATA_GOC!$H:$H,DATA_GOC!$A:$A,"BOM",DATA_GOC!$D:$D,$B421,DATA_GOC!$E:$E,"Dầu cầu",DATA_GOC!$F:$F,"Xuất nội bộ từ téc",DATA_GOC!$B:$B,DATE($D$2,$B$2,AF$4)),0))</f>
        <v>0</v>
      </c>
      <c r="AG421" s="251">
        <f>IF(AG$4&gt;DAY(EOMONTH(DATE($D$2,$B$2,1),0)),"",IFERROR(SUMIFS(DATA_GOC!$H:$H,DATA_GOC!$A:$A,"BOM",DATA_GOC!$D:$D,$B421,DATA_GOC!$E:$E,"Dầu cầu",DATA_GOC!$F:$F,"Xuất nội bộ từ téc",DATA_GOC!$B:$B,DATE($D$2,$B$2,AG$4)),0))</f>
        <v>0</v>
      </c>
      <c r="AH421" s="252">
        <f t="shared" si="19"/>
        <v>0</v>
      </c>
      <c r="AI421" s="241"/>
      <c r="AJ421" s="242">
        <f>IF($B421="","",SUMIFS(TINH_TEC!$K$233:$K$9232,TINH_TEC!$H$233:$H$9232,$B421,TINH_TEC!$C$233:$C$9232,"Dầu cầu",TINH_TEC!$F$233:$F$9232,$B$2,TINH_TEC!$G$233:$G$9232,$D$2,TINH_TEC!$B$233:$B$9232,"Đã chốt"))</f>
        <v>0</v>
      </c>
      <c r="AK421" s="242">
        <f>IF($B421="","",SUMIFS(TINH_TEC!$J$233:$J$9232,TINH_TEC!$H$233:$H$9232,$B421,TINH_TEC!$C$233:$C$9232,"Dầu cầu",TINH_TEC!$F$233:$F$9232,$B$2,TINH_TEC!$G$233:$G$9232,$D$2,TINH_TEC!$B$233:$B$9232,"Đã chốt"))</f>
        <v>0</v>
      </c>
      <c r="AL421" s="242">
        <f t="shared" si="20"/>
        <v>0</v>
      </c>
    </row>
    <row r="422" ht="15.75" customHeight="1">
      <c r="A422" s="237">
        <f>IF($B422&lt;&gt;"",51,"")</f>
        <v>51</v>
      </c>
      <c r="B422" s="250" t="str">
        <f t="array" ref="B422">IFERROR(INDEX(DANH_MUC!$E:$E,54),"")</f>
        <v>Xúc Đào</v>
      </c>
      <c r="C422" s="251">
        <f>IF(C$4&gt;DAY(EOMONTH(DATE($D$2,$B$2,1),0)),"",IFERROR(SUMIFS(DATA_GOC!$H:$H,DATA_GOC!$A:$A,"BOM",DATA_GOC!$D:$D,$B422,DATA_GOC!$E:$E,"Dầu cầu",DATA_GOC!$F:$F,"Xuất nội bộ từ téc",DATA_GOC!$B:$B,DATE($D$2,$B$2,C$4)),0))</f>
        <v>0</v>
      </c>
      <c r="D422" s="251">
        <f>IF(D$4&gt;DAY(EOMONTH(DATE($D$2,$B$2,1),0)),"",IFERROR(SUMIFS(DATA_GOC!$H:$H,DATA_GOC!$A:$A,"BOM",DATA_GOC!$D:$D,$B422,DATA_GOC!$E:$E,"Dầu cầu",DATA_GOC!$F:$F,"Xuất nội bộ từ téc",DATA_GOC!$B:$B,DATE($D$2,$B$2,D$4)),0))</f>
        <v>0</v>
      </c>
      <c r="E422" s="251">
        <f>IF(E$4&gt;DAY(EOMONTH(DATE($D$2,$B$2,1),0)),"",IFERROR(SUMIFS(DATA_GOC!$H:$H,DATA_GOC!$A:$A,"BOM",DATA_GOC!$D:$D,$B422,DATA_GOC!$E:$E,"Dầu cầu",DATA_GOC!$F:$F,"Xuất nội bộ từ téc",DATA_GOC!$B:$B,DATE($D$2,$B$2,E$4)),0))</f>
        <v>0</v>
      </c>
      <c r="F422" s="251">
        <f>IF(F$4&gt;DAY(EOMONTH(DATE($D$2,$B$2,1),0)),"",IFERROR(SUMIFS(DATA_GOC!$H:$H,DATA_GOC!$A:$A,"BOM",DATA_GOC!$D:$D,$B422,DATA_GOC!$E:$E,"Dầu cầu",DATA_GOC!$F:$F,"Xuất nội bộ từ téc",DATA_GOC!$B:$B,DATE($D$2,$B$2,F$4)),0))</f>
        <v>0</v>
      </c>
      <c r="G422" s="251">
        <f>IF(G$4&gt;DAY(EOMONTH(DATE($D$2,$B$2,1),0)),"",IFERROR(SUMIFS(DATA_GOC!$H:$H,DATA_GOC!$A:$A,"BOM",DATA_GOC!$D:$D,$B422,DATA_GOC!$E:$E,"Dầu cầu",DATA_GOC!$F:$F,"Xuất nội bộ từ téc",DATA_GOC!$B:$B,DATE($D$2,$B$2,G$4)),0))</f>
        <v>0</v>
      </c>
      <c r="H422" s="251">
        <f>IF(H$4&gt;DAY(EOMONTH(DATE($D$2,$B$2,1),0)),"",IFERROR(SUMIFS(DATA_GOC!$H:$H,DATA_GOC!$A:$A,"BOM",DATA_GOC!$D:$D,$B422,DATA_GOC!$E:$E,"Dầu cầu",DATA_GOC!$F:$F,"Xuất nội bộ từ téc",DATA_GOC!$B:$B,DATE($D$2,$B$2,H$4)),0))</f>
        <v>0</v>
      </c>
      <c r="I422" s="251">
        <f>IF(I$4&gt;DAY(EOMONTH(DATE($D$2,$B$2,1),0)),"",IFERROR(SUMIFS(DATA_GOC!$H:$H,DATA_GOC!$A:$A,"BOM",DATA_GOC!$D:$D,$B422,DATA_GOC!$E:$E,"Dầu cầu",DATA_GOC!$F:$F,"Xuất nội bộ từ téc",DATA_GOC!$B:$B,DATE($D$2,$B$2,I$4)),0))</f>
        <v>0</v>
      </c>
      <c r="J422" s="251">
        <f>IF(J$4&gt;DAY(EOMONTH(DATE($D$2,$B$2,1),0)),"",IFERROR(SUMIFS(DATA_GOC!$H:$H,DATA_GOC!$A:$A,"BOM",DATA_GOC!$D:$D,$B422,DATA_GOC!$E:$E,"Dầu cầu",DATA_GOC!$F:$F,"Xuất nội bộ từ téc",DATA_GOC!$B:$B,DATE($D$2,$B$2,J$4)),0))</f>
        <v>0</v>
      </c>
      <c r="K422" s="251">
        <f>IF(K$4&gt;DAY(EOMONTH(DATE($D$2,$B$2,1),0)),"",IFERROR(SUMIFS(DATA_GOC!$H:$H,DATA_GOC!$A:$A,"BOM",DATA_GOC!$D:$D,$B422,DATA_GOC!$E:$E,"Dầu cầu",DATA_GOC!$F:$F,"Xuất nội bộ từ téc",DATA_GOC!$B:$B,DATE($D$2,$B$2,K$4)),0))</f>
        <v>0</v>
      </c>
      <c r="L422" s="251">
        <f>IF(L$4&gt;DAY(EOMONTH(DATE($D$2,$B$2,1),0)),"",IFERROR(SUMIFS(DATA_GOC!$H:$H,DATA_GOC!$A:$A,"BOM",DATA_GOC!$D:$D,$B422,DATA_GOC!$E:$E,"Dầu cầu",DATA_GOC!$F:$F,"Xuất nội bộ từ téc",DATA_GOC!$B:$B,DATE($D$2,$B$2,L$4)),0))</f>
        <v>0</v>
      </c>
      <c r="M422" s="251">
        <f>IF(M$4&gt;DAY(EOMONTH(DATE($D$2,$B$2,1),0)),"",IFERROR(SUMIFS(DATA_GOC!$H:$H,DATA_GOC!$A:$A,"BOM",DATA_GOC!$D:$D,$B422,DATA_GOC!$E:$E,"Dầu cầu",DATA_GOC!$F:$F,"Xuất nội bộ từ téc",DATA_GOC!$B:$B,DATE($D$2,$B$2,M$4)),0))</f>
        <v>0</v>
      </c>
      <c r="N422" s="251">
        <f>IF(N$4&gt;DAY(EOMONTH(DATE($D$2,$B$2,1),0)),"",IFERROR(SUMIFS(DATA_GOC!$H:$H,DATA_GOC!$A:$A,"BOM",DATA_GOC!$D:$D,$B422,DATA_GOC!$E:$E,"Dầu cầu",DATA_GOC!$F:$F,"Xuất nội bộ từ téc",DATA_GOC!$B:$B,DATE($D$2,$B$2,N$4)),0))</f>
        <v>0</v>
      </c>
      <c r="O422" s="251">
        <f>IF(O$4&gt;DAY(EOMONTH(DATE($D$2,$B$2,1),0)),"",IFERROR(SUMIFS(DATA_GOC!$H:$H,DATA_GOC!$A:$A,"BOM",DATA_GOC!$D:$D,$B422,DATA_GOC!$E:$E,"Dầu cầu",DATA_GOC!$F:$F,"Xuất nội bộ từ téc",DATA_GOC!$B:$B,DATE($D$2,$B$2,O$4)),0))</f>
        <v>0</v>
      </c>
      <c r="P422" s="251">
        <f>IF(P$4&gt;DAY(EOMONTH(DATE($D$2,$B$2,1),0)),"",IFERROR(SUMIFS(DATA_GOC!$H:$H,DATA_GOC!$A:$A,"BOM",DATA_GOC!$D:$D,$B422,DATA_GOC!$E:$E,"Dầu cầu",DATA_GOC!$F:$F,"Xuất nội bộ từ téc",DATA_GOC!$B:$B,DATE($D$2,$B$2,P$4)),0))</f>
        <v>0</v>
      </c>
      <c r="Q422" s="251">
        <f>IF(Q$4&gt;DAY(EOMONTH(DATE($D$2,$B$2,1),0)),"",IFERROR(SUMIFS(DATA_GOC!$H:$H,DATA_GOC!$A:$A,"BOM",DATA_GOC!$D:$D,$B422,DATA_GOC!$E:$E,"Dầu cầu",DATA_GOC!$F:$F,"Xuất nội bộ từ téc",DATA_GOC!$B:$B,DATE($D$2,$B$2,Q$4)),0))</f>
        <v>0</v>
      </c>
      <c r="R422" s="251">
        <f>IF(R$4&gt;DAY(EOMONTH(DATE($D$2,$B$2,1),0)),"",IFERROR(SUMIFS(DATA_GOC!$H:$H,DATA_GOC!$A:$A,"BOM",DATA_GOC!$D:$D,$B422,DATA_GOC!$E:$E,"Dầu cầu",DATA_GOC!$F:$F,"Xuất nội bộ từ téc",DATA_GOC!$B:$B,DATE($D$2,$B$2,R$4)),0))</f>
        <v>0</v>
      </c>
      <c r="S422" s="251">
        <f>IF(S$4&gt;DAY(EOMONTH(DATE($D$2,$B$2,1),0)),"",IFERROR(SUMIFS(DATA_GOC!$H:$H,DATA_GOC!$A:$A,"BOM",DATA_GOC!$D:$D,$B422,DATA_GOC!$E:$E,"Dầu cầu",DATA_GOC!$F:$F,"Xuất nội bộ từ téc",DATA_GOC!$B:$B,DATE($D$2,$B$2,S$4)),0))</f>
        <v>0</v>
      </c>
      <c r="T422" s="251">
        <f>IF(T$4&gt;DAY(EOMONTH(DATE($D$2,$B$2,1),0)),"",IFERROR(SUMIFS(DATA_GOC!$H:$H,DATA_GOC!$A:$A,"BOM",DATA_GOC!$D:$D,$B422,DATA_GOC!$E:$E,"Dầu cầu",DATA_GOC!$F:$F,"Xuất nội bộ từ téc",DATA_GOC!$B:$B,DATE($D$2,$B$2,T$4)),0))</f>
        <v>0</v>
      </c>
      <c r="U422" s="251">
        <f>IF(U$4&gt;DAY(EOMONTH(DATE($D$2,$B$2,1),0)),"",IFERROR(SUMIFS(DATA_GOC!$H:$H,DATA_GOC!$A:$A,"BOM",DATA_GOC!$D:$D,$B422,DATA_GOC!$E:$E,"Dầu cầu",DATA_GOC!$F:$F,"Xuất nội bộ từ téc",DATA_GOC!$B:$B,DATE($D$2,$B$2,U$4)),0))</f>
        <v>0</v>
      </c>
      <c r="V422" s="251">
        <f>IF(V$4&gt;DAY(EOMONTH(DATE($D$2,$B$2,1),0)),"",IFERROR(SUMIFS(DATA_GOC!$H:$H,DATA_GOC!$A:$A,"BOM",DATA_GOC!$D:$D,$B422,DATA_GOC!$E:$E,"Dầu cầu",DATA_GOC!$F:$F,"Xuất nội bộ từ téc",DATA_GOC!$B:$B,DATE($D$2,$B$2,V$4)),0))</f>
        <v>0</v>
      </c>
      <c r="W422" s="251">
        <f>IF(W$4&gt;DAY(EOMONTH(DATE($D$2,$B$2,1),0)),"",IFERROR(SUMIFS(DATA_GOC!$H:$H,DATA_GOC!$A:$A,"BOM",DATA_GOC!$D:$D,$B422,DATA_GOC!$E:$E,"Dầu cầu",DATA_GOC!$F:$F,"Xuất nội bộ từ téc",DATA_GOC!$B:$B,DATE($D$2,$B$2,W$4)),0))</f>
        <v>0</v>
      </c>
      <c r="X422" s="251">
        <f>IF(X$4&gt;DAY(EOMONTH(DATE($D$2,$B$2,1),0)),"",IFERROR(SUMIFS(DATA_GOC!$H:$H,DATA_GOC!$A:$A,"BOM",DATA_GOC!$D:$D,$B422,DATA_GOC!$E:$E,"Dầu cầu",DATA_GOC!$F:$F,"Xuất nội bộ từ téc",DATA_GOC!$B:$B,DATE($D$2,$B$2,X$4)),0))</f>
        <v>0</v>
      </c>
      <c r="Y422" s="251">
        <f>IF(Y$4&gt;DAY(EOMONTH(DATE($D$2,$B$2,1),0)),"",IFERROR(SUMIFS(DATA_GOC!$H:$H,DATA_GOC!$A:$A,"BOM",DATA_GOC!$D:$D,$B422,DATA_GOC!$E:$E,"Dầu cầu",DATA_GOC!$F:$F,"Xuất nội bộ từ téc",DATA_GOC!$B:$B,DATE($D$2,$B$2,Y$4)),0))</f>
        <v>0</v>
      </c>
      <c r="Z422" s="251">
        <f>IF(Z$4&gt;DAY(EOMONTH(DATE($D$2,$B$2,1),0)),"",IFERROR(SUMIFS(DATA_GOC!$H:$H,DATA_GOC!$A:$A,"BOM",DATA_GOC!$D:$D,$B422,DATA_GOC!$E:$E,"Dầu cầu",DATA_GOC!$F:$F,"Xuất nội bộ từ téc",DATA_GOC!$B:$B,DATE($D$2,$B$2,Z$4)),0))</f>
        <v>0</v>
      </c>
      <c r="AA422" s="251">
        <f>IF(AA$4&gt;DAY(EOMONTH(DATE($D$2,$B$2,1),0)),"",IFERROR(SUMIFS(DATA_GOC!$H:$H,DATA_GOC!$A:$A,"BOM",DATA_GOC!$D:$D,$B422,DATA_GOC!$E:$E,"Dầu cầu",DATA_GOC!$F:$F,"Xuất nội bộ từ téc",DATA_GOC!$B:$B,DATE($D$2,$B$2,AA$4)),0))</f>
        <v>0</v>
      </c>
      <c r="AB422" s="251">
        <f>IF(AB$4&gt;DAY(EOMONTH(DATE($D$2,$B$2,1),0)),"",IFERROR(SUMIFS(DATA_GOC!$H:$H,DATA_GOC!$A:$A,"BOM",DATA_GOC!$D:$D,$B422,DATA_GOC!$E:$E,"Dầu cầu",DATA_GOC!$F:$F,"Xuất nội bộ từ téc",DATA_GOC!$B:$B,DATE($D$2,$B$2,AB$4)),0))</f>
        <v>0</v>
      </c>
      <c r="AC422" s="251">
        <f>IF(AC$4&gt;DAY(EOMONTH(DATE($D$2,$B$2,1),0)),"",IFERROR(SUMIFS(DATA_GOC!$H:$H,DATA_GOC!$A:$A,"BOM",DATA_GOC!$D:$D,$B422,DATA_GOC!$E:$E,"Dầu cầu",DATA_GOC!$F:$F,"Xuất nội bộ từ téc",DATA_GOC!$B:$B,DATE($D$2,$B$2,AC$4)),0))</f>
        <v>0</v>
      </c>
      <c r="AD422" s="251">
        <f>IF(AD$4&gt;DAY(EOMONTH(DATE($D$2,$B$2,1),0)),"",IFERROR(SUMIFS(DATA_GOC!$H:$H,DATA_GOC!$A:$A,"BOM",DATA_GOC!$D:$D,$B422,DATA_GOC!$E:$E,"Dầu cầu",DATA_GOC!$F:$F,"Xuất nội bộ từ téc",DATA_GOC!$B:$B,DATE($D$2,$B$2,AD$4)),0))</f>
        <v>0</v>
      </c>
      <c r="AE422" s="251">
        <f>IF(AE$4&gt;DAY(EOMONTH(DATE($D$2,$B$2,1),0)),"",IFERROR(SUMIFS(DATA_GOC!$H:$H,DATA_GOC!$A:$A,"BOM",DATA_GOC!$D:$D,$B422,DATA_GOC!$E:$E,"Dầu cầu",DATA_GOC!$F:$F,"Xuất nội bộ từ téc",DATA_GOC!$B:$B,DATE($D$2,$B$2,AE$4)),0))</f>
        <v>0</v>
      </c>
      <c r="AF422" s="251">
        <f>IF(AF$4&gt;DAY(EOMONTH(DATE($D$2,$B$2,1),0)),"",IFERROR(SUMIFS(DATA_GOC!$H:$H,DATA_GOC!$A:$A,"BOM",DATA_GOC!$D:$D,$B422,DATA_GOC!$E:$E,"Dầu cầu",DATA_GOC!$F:$F,"Xuất nội bộ từ téc",DATA_GOC!$B:$B,DATE($D$2,$B$2,AF$4)),0))</f>
        <v>0</v>
      </c>
      <c r="AG422" s="251">
        <f>IF(AG$4&gt;DAY(EOMONTH(DATE($D$2,$B$2,1),0)),"",IFERROR(SUMIFS(DATA_GOC!$H:$H,DATA_GOC!$A:$A,"BOM",DATA_GOC!$D:$D,$B422,DATA_GOC!$E:$E,"Dầu cầu",DATA_GOC!$F:$F,"Xuất nội bộ từ téc",DATA_GOC!$B:$B,DATE($D$2,$B$2,AG$4)),0))</f>
        <v>0</v>
      </c>
      <c r="AH422" s="252">
        <f t="shared" si="19"/>
        <v>0</v>
      </c>
      <c r="AI422" s="241"/>
      <c r="AJ422" s="242">
        <f>IF($B422="","",SUMIFS(TINH_TEC!$K$233:$K$9232,TINH_TEC!$H$233:$H$9232,$B422,TINH_TEC!$C$233:$C$9232,"Dầu cầu",TINH_TEC!$F$233:$F$9232,$B$2,TINH_TEC!$G$233:$G$9232,$D$2,TINH_TEC!$B$233:$B$9232,"Đã chốt"))</f>
        <v>0</v>
      </c>
      <c r="AK422" s="242">
        <f>IF($B422="","",SUMIFS(TINH_TEC!$J$233:$J$9232,TINH_TEC!$H$233:$H$9232,$B422,TINH_TEC!$C$233:$C$9232,"Dầu cầu",TINH_TEC!$F$233:$F$9232,$B$2,TINH_TEC!$G$233:$G$9232,$D$2,TINH_TEC!$B$233:$B$9232,"Đã chốt"))</f>
        <v>0</v>
      </c>
      <c r="AL422" s="242">
        <f t="shared" si="20"/>
        <v>0</v>
      </c>
    </row>
    <row r="423" ht="15.75" customHeight="1">
      <c r="A423" s="237">
        <f>IF($B423&lt;&gt;"",52,"")</f>
        <v>52</v>
      </c>
      <c r="B423" s="250" t="str">
        <f t="array" ref="B423">IFERROR(INDEX(DANH_MUC!$E:$E,55),"")</f>
        <v>Xúclật asphalt</v>
      </c>
      <c r="C423" s="251">
        <f>IF(C$4&gt;DAY(EOMONTH(DATE($D$2,$B$2,1),0)),"",IFERROR(SUMIFS(DATA_GOC!$H:$H,DATA_GOC!$A:$A,"BOM",DATA_GOC!$D:$D,$B423,DATA_GOC!$E:$E,"Dầu cầu",DATA_GOC!$F:$F,"Xuất nội bộ từ téc",DATA_GOC!$B:$B,DATE($D$2,$B$2,C$4)),0))</f>
        <v>0</v>
      </c>
      <c r="D423" s="251">
        <f>IF(D$4&gt;DAY(EOMONTH(DATE($D$2,$B$2,1),0)),"",IFERROR(SUMIFS(DATA_GOC!$H:$H,DATA_GOC!$A:$A,"BOM",DATA_GOC!$D:$D,$B423,DATA_GOC!$E:$E,"Dầu cầu",DATA_GOC!$F:$F,"Xuất nội bộ từ téc",DATA_GOC!$B:$B,DATE($D$2,$B$2,D$4)),0))</f>
        <v>0</v>
      </c>
      <c r="E423" s="251">
        <f>IF(E$4&gt;DAY(EOMONTH(DATE($D$2,$B$2,1),0)),"",IFERROR(SUMIFS(DATA_GOC!$H:$H,DATA_GOC!$A:$A,"BOM",DATA_GOC!$D:$D,$B423,DATA_GOC!$E:$E,"Dầu cầu",DATA_GOC!$F:$F,"Xuất nội bộ từ téc",DATA_GOC!$B:$B,DATE($D$2,$B$2,E$4)),0))</f>
        <v>0</v>
      </c>
      <c r="F423" s="251">
        <f>IF(F$4&gt;DAY(EOMONTH(DATE($D$2,$B$2,1),0)),"",IFERROR(SUMIFS(DATA_GOC!$H:$H,DATA_GOC!$A:$A,"BOM",DATA_GOC!$D:$D,$B423,DATA_GOC!$E:$E,"Dầu cầu",DATA_GOC!$F:$F,"Xuất nội bộ từ téc",DATA_GOC!$B:$B,DATE($D$2,$B$2,F$4)),0))</f>
        <v>0</v>
      </c>
      <c r="G423" s="251">
        <f>IF(G$4&gt;DAY(EOMONTH(DATE($D$2,$B$2,1),0)),"",IFERROR(SUMIFS(DATA_GOC!$H:$H,DATA_GOC!$A:$A,"BOM",DATA_GOC!$D:$D,$B423,DATA_GOC!$E:$E,"Dầu cầu",DATA_GOC!$F:$F,"Xuất nội bộ từ téc",DATA_GOC!$B:$B,DATE($D$2,$B$2,G$4)),0))</f>
        <v>0</v>
      </c>
      <c r="H423" s="251">
        <f>IF(H$4&gt;DAY(EOMONTH(DATE($D$2,$B$2,1),0)),"",IFERROR(SUMIFS(DATA_GOC!$H:$H,DATA_GOC!$A:$A,"BOM",DATA_GOC!$D:$D,$B423,DATA_GOC!$E:$E,"Dầu cầu",DATA_GOC!$F:$F,"Xuất nội bộ từ téc",DATA_GOC!$B:$B,DATE($D$2,$B$2,H$4)),0))</f>
        <v>0</v>
      </c>
      <c r="I423" s="251">
        <f>IF(I$4&gt;DAY(EOMONTH(DATE($D$2,$B$2,1),0)),"",IFERROR(SUMIFS(DATA_GOC!$H:$H,DATA_GOC!$A:$A,"BOM",DATA_GOC!$D:$D,$B423,DATA_GOC!$E:$E,"Dầu cầu",DATA_GOC!$F:$F,"Xuất nội bộ từ téc",DATA_GOC!$B:$B,DATE($D$2,$B$2,I$4)),0))</f>
        <v>0</v>
      </c>
      <c r="J423" s="251">
        <f>IF(J$4&gt;DAY(EOMONTH(DATE($D$2,$B$2,1),0)),"",IFERROR(SUMIFS(DATA_GOC!$H:$H,DATA_GOC!$A:$A,"BOM",DATA_GOC!$D:$D,$B423,DATA_GOC!$E:$E,"Dầu cầu",DATA_GOC!$F:$F,"Xuất nội bộ từ téc",DATA_GOC!$B:$B,DATE($D$2,$B$2,J$4)),0))</f>
        <v>0</v>
      </c>
      <c r="K423" s="251">
        <f>IF(K$4&gt;DAY(EOMONTH(DATE($D$2,$B$2,1),0)),"",IFERROR(SUMIFS(DATA_GOC!$H:$H,DATA_GOC!$A:$A,"BOM",DATA_GOC!$D:$D,$B423,DATA_GOC!$E:$E,"Dầu cầu",DATA_GOC!$F:$F,"Xuất nội bộ từ téc",DATA_GOC!$B:$B,DATE($D$2,$B$2,K$4)),0))</f>
        <v>0</v>
      </c>
      <c r="L423" s="251">
        <f>IF(L$4&gt;DAY(EOMONTH(DATE($D$2,$B$2,1),0)),"",IFERROR(SUMIFS(DATA_GOC!$H:$H,DATA_GOC!$A:$A,"BOM",DATA_GOC!$D:$D,$B423,DATA_GOC!$E:$E,"Dầu cầu",DATA_GOC!$F:$F,"Xuất nội bộ từ téc",DATA_GOC!$B:$B,DATE($D$2,$B$2,L$4)),0))</f>
        <v>0</v>
      </c>
      <c r="M423" s="251">
        <f>IF(M$4&gt;DAY(EOMONTH(DATE($D$2,$B$2,1),0)),"",IFERROR(SUMIFS(DATA_GOC!$H:$H,DATA_GOC!$A:$A,"BOM",DATA_GOC!$D:$D,$B423,DATA_GOC!$E:$E,"Dầu cầu",DATA_GOC!$F:$F,"Xuất nội bộ từ téc",DATA_GOC!$B:$B,DATE($D$2,$B$2,M$4)),0))</f>
        <v>0</v>
      </c>
      <c r="N423" s="251">
        <f>IF(N$4&gt;DAY(EOMONTH(DATE($D$2,$B$2,1),0)),"",IFERROR(SUMIFS(DATA_GOC!$H:$H,DATA_GOC!$A:$A,"BOM",DATA_GOC!$D:$D,$B423,DATA_GOC!$E:$E,"Dầu cầu",DATA_GOC!$F:$F,"Xuất nội bộ từ téc",DATA_GOC!$B:$B,DATE($D$2,$B$2,N$4)),0))</f>
        <v>0</v>
      </c>
      <c r="O423" s="251">
        <f>IF(O$4&gt;DAY(EOMONTH(DATE($D$2,$B$2,1),0)),"",IFERROR(SUMIFS(DATA_GOC!$H:$H,DATA_GOC!$A:$A,"BOM",DATA_GOC!$D:$D,$B423,DATA_GOC!$E:$E,"Dầu cầu",DATA_GOC!$F:$F,"Xuất nội bộ từ téc",DATA_GOC!$B:$B,DATE($D$2,$B$2,O$4)),0))</f>
        <v>0</v>
      </c>
      <c r="P423" s="251">
        <f>IF(P$4&gt;DAY(EOMONTH(DATE($D$2,$B$2,1),0)),"",IFERROR(SUMIFS(DATA_GOC!$H:$H,DATA_GOC!$A:$A,"BOM",DATA_GOC!$D:$D,$B423,DATA_GOC!$E:$E,"Dầu cầu",DATA_GOC!$F:$F,"Xuất nội bộ từ téc",DATA_GOC!$B:$B,DATE($D$2,$B$2,P$4)),0))</f>
        <v>0</v>
      </c>
      <c r="Q423" s="251">
        <f>IF(Q$4&gt;DAY(EOMONTH(DATE($D$2,$B$2,1),0)),"",IFERROR(SUMIFS(DATA_GOC!$H:$H,DATA_GOC!$A:$A,"BOM",DATA_GOC!$D:$D,$B423,DATA_GOC!$E:$E,"Dầu cầu",DATA_GOC!$F:$F,"Xuất nội bộ từ téc",DATA_GOC!$B:$B,DATE($D$2,$B$2,Q$4)),0))</f>
        <v>0</v>
      </c>
      <c r="R423" s="251">
        <f>IF(R$4&gt;DAY(EOMONTH(DATE($D$2,$B$2,1),0)),"",IFERROR(SUMIFS(DATA_GOC!$H:$H,DATA_GOC!$A:$A,"BOM",DATA_GOC!$D:$D,$B423,DATA_GOC!$E:$E,"Dầu cầu",DATA_GOC!$F:$F,"Xuất nội bộ từ téc",DATA_GOC!$B:$B,DATE($D$2,$B$2,R$4)),0))</f>
        <v>0</v>
      </c>
      <c r="S423" s="251">
        <f>IF(S$4&gt;DAY(EOMONTH(DATE($D$2,$B$2,1),0)),"",IFERROR(SUMIFS(DATA_GOC!$H:$H,DATA_GOC!$A:$A,"BOM",DATA_GOC!$D:$D,$B423,DATA_GOC!$E:$E,"Dầu cầu",DATA_GOC!$F:$F,"Xuất nội bộ từ téc",DATA_GOC!$B:$B,DATE($D$2,$B$2,S$4)),0))</f>
        <v>0</v>
      </c>
      <c r="T423" s="251">
        <f>IF(T$4&gt;DAY(EOMONTH(DATE($D$2,$B$2,1),0)),"",IFERROR(SUMIFS(DATA_GOC!$H:$H,DATA_GOC!$A:$A,"BOM",DATA_GOC!$D:$D,$B423,DATA_GOC!$E:$E,"Dầu cầu",DATA_GOC!$F:$F,"Xuất nội bộ từ téc",DATA_GOC!$B:$B,DATE($D$2,$B$2,T$4)),0))</f>
        <v>0</v>
      </c>
      <c r="U423" s="251">
        <f>IF(U$4&gt;DAY(EOMONTH(DATE($D$2,$B$2,1),0)),"",IFERROR(SUMIFS(DATA_GOC!$H:$H,DATA_GOC!$A:$A,"BOM",DATA_GOC!$D:$D,$B423,DATA_GOC!$E:$E,"Dầu cầu",DATA_GOC!$F:$F,"Xuất nội bộ từ téc",DATA_GOC!$B:$B,DATE($D$2,$B$2,U$4)),0))</f>
        <v>0</v>
      </c>
      <c r="V423" s="251">
        <f>IF(V$4&gt;DAY(EOMONTH(DATE($D$2,$B$2,1),0)),"",IFERROR(SUMIFS(DATA_GOC!$H:$H,DATA_GOC!$A:$A,"BOM",DATA_GOC!$D:$D,$B423,DATA_GOC!$E:$E,"Dầu cầu",DATA_GOC!$F:$F,"Xuất nội bộ từ téc",DATA_GOC!$B:$B,DATE($D$2,$B$2,V$4)),0))</f>
        <v>0</v>
      </c>
      <c r="W423" s="251">
        <f>IF(W$4&gt;DAY(EOMONTH(DATE($D$2,$B$2,1),0)),"",IFERROR(SUMIFS(DATA_GOC!$H:$H,DATA_GOC!$A:$A,"BOM",DATA_GOC!$D:$D,$B423,DATA_GOC!$E:$E,"Dầu cầu",DATA_GOC!$F:$F,"Xuất nội bộ từ téc",DATA_GOC!$B:$B,DATE($D$2,$B$2,W$4)),0))</f>
        <v>0</v>
      </c>
      <c r="X423" s="251">
        <f>IF(X$4&gt;DAY(EOMONTH(DATE($D$2,$B$2,1),0)),"",IFERROR(SUMIFS(DATA_GOC!$H:$H,DATA_GOC!$A:$A,"BOM",DATA_GOC!$D:$D,$B423,DATA_GOC!$E:$E,"Dầu cầu",DATA_GOC!$F:$F,"Xuất nội bộ từ téc",DATA_GOC!$B:$B,DATE($D$2,$B$2,X$4)),0))</f>
        <v>0</v>
      </c>
      <c r="Y423" s="251">
        <f>IF(Y$4&gt;DAY(EOMONTH(DATE($D$2,$B$2,1),0)),"",IFERROR(SUMIFS(DATA_GOC!$H:$H,DATA_GOC!$A:$A,"BOM",DATA_GOC!$D:$D,$B423,DATA_GOC!$E:$E,"Dầu cầu",DATA_GOC!$F:$F,"Xuất nội bộ từ téc",DATA_GOC!$B:$B,DATE($D$2,$B$2,Y$4)),0))</f>
        <v>0</v>
      </c>
      <c r="Z423" s="251">
        <f>IF(Z$4&gt;DAY(EOMONTH(DATE($D$2,$B$2,1),0)),"",IFERROR(SUMIFS(DATA_GOC!$H:$H,DATA_GOC!$A:$A,"BOM",DATA_GOC!$D:$D,$B423,DATA_GOC!$E:$E,"Dầu cầu",DATA_GOC!$F:$F,"Xuất nội bộ từ téc",DATA_GOC!$B:$B,DATE($D$2,$B$2,Z$4)),0))</f>
        <v>0</v>
      </c>
      <c r="AA423" s="251">
        <f>IF(AA$4&gt;DAY(EOMONTH(DATE($D$2,$B$2,1),0)),"",IFERROR(SUMIFS(DATA_GOC!$H:$H,DATA_GOC!$A:$A,"BOM",DATA_GOC!$D:$D,$B423,DATA_GOC!$E:$E,"Dầu cầu",DATA_GOC!$F:$F,"Xuất nội bộ từ téc",DATA_GOC!$B:$B,DATE($D$2,$B$2,AA$4)),0))</f>
        <v>0</v>
      </c>
      <c r="AB423" s="251">
        <f>IF(AB$4&gt;DAY(EOMONTH(DATE($D$2,$B$2,1),0)),"",IFERROR(SUMIFS(DATA_GOC!$H:$H,DATA_GOC!$A:$A,"BOM",DATA_GOC!$D:$D,$B423,DATA_GOC!$E:$E,"Dầu cầu",DATA_GOC!$F:$F,"Xuất nội bộ từ téc",DATA_GOC!$B:$B,DATE($D$2,$B$2,AB$4)),0))</f>
        <v>0</v>
      </c>
      <c r="AC423" s="251">
        <f>IF(AC$4&gt;DAY(EOMONTH(DATE($D$2,$B$2,1),0)),"",IFERROR(SUMIFS(DATA_GOC!$H:$H,DATA_GOC!$A:$A,"BOM",DATA_GOC!$D:$D,$B423,DATA_GOC!$E:$E,"Dầu cầu",DATA_GOC!$F:$F,"Xuất nội bộ từ téc",DATA_GOC!$B:$B,DATE($D$2,$B$2,AC$4)),0))</f>
        <v>0</v>
      </c>
      <c r="AD423" s="251">
        <f>IF(AD$4&gt;DAY(EOMONTH(DATE($D$2,$B$2,1),0)),"",IFERROR(SUMIFS(DATA_GOC!$H:$H,DATA_GOC!$A:$A,"BOM",DATA_GOC!$D:$D,$B423,DATA_GOC!$E:$E,"Dầu cầu",DATA_GOC!$F:$F,"Xuất nội bộ từ téc",DATA_GOC!$B:$B,DATE($D$2,$B$2,AD$4)),0))</f>
        <v>0</v>
      </c>
      <c r="AE423" s="251">
        <f>IF(AE$4&gt;DAY(EOMONTH(DATE($D$2,$B$2,1),0)),"",IFERROR(SUMIFS(DATA_GOC!$H:$H,DATA_GOC!$A:$A,"BOM",DATA_GOC!$D:$D,$B423,DATA_GOC!$E:$E,"Dầu cầu",DATA_GOC!$F:$F,"Xuất nội bộ từ téc",DATA_GOC!$B:$B,DATE($D$2,$B$2,AE$4)),0))</f>
        <v>0</v>
      </c>
      <c r="AF423" s="251">
        <f>IF(AF$4&gt;DAY(EOMONTH(DATE($D$2,$B$2,1),0)),"",IFERROR(SUMIFS(DATA_GOC!$H:$H,DATA_GOC!$A:$A,"BOM",DATA_GOC!$D:$D,$B423,DATA_GOC!$E:$E,"Dầu cầu",DATA_GOC!$F:$F,"Xuất nội bộ từ téc",DATA_GOC!$B:$B,DATE($D$2,$B$2,AF$4)),0))</f>
        <v>0</v>
      </c>
      <c r="AG423" s="251">
        <f>IF(AG$4&gt;DAY(EOMONTH(DATE($D$2,$B$2,1),0)),"",IFERROR(SUMIFS(DATA_GOC!$H:$H,DATA_GOC!$A:$A,"BOM",DATA_GOC!$D:$D,$B423,DATA_GOC!$E:$E,"Dầu cầu",DATA_GOC!$F:$F,"Xuất nội bộ từ téc",DATA_GOC!$B:$B,DATE($D$2,$B$2,AG$4)),0))</f>
        <v>0</v>
      </c>
      <c r="AH423" s="252">
        <f t="shared" si="19"/>
        <v>0</v>
      </c>
      <c r="AI423" s="241"/>
      <c r="AJ423" s="242">
        <f>IF($B423="","",SUMIFS(TINH_TEC!$K$233:$K$9232,TINH_TEC!$H$233:$H$9232,$B423,TINH_TEC!$C$233:$C$9232,"Dầu cầu",TINH_TEC!$F$233:$F$9232,$B$2,TINH_TEC!$G$233:$G$9232,$D$2,TINH_TEC!$B$233:$B$9232,"Đã chốt"))</f>
        <v>0</v>
      </c>
      <c r="AK423" s="242">
        <f>IF($B423="","",SUMIFS(TINH_TEC!$J$233:$J$9232,TINH_TEC!$H$233:$H$9232,$B423,TINH_TEC!$C$233:$C$9232,"Dầu cầu",TINH_TEC!$F$233:$F$9232,$B$2,TINH_TEC!$G$233:$G$9232,$D$2,TINH_TEC!$B$233:$B$9232,"Đã chốt"))</f>
        <v>0</v>
      </c>
      <c r="AL423" s="242">
        <f t="shared" si="20"/>
        <v>0</v>
      </c>
    </row>
    <row r="424" ht="15.75" customHeight="1">
      <c r="A424" s="237">
        <f>IF($B424&lt;&gt;"",53,"")</f>
        <v>53</v>
      </c>
      <c r="B424" s="250" t="str">
        <f t="array" ref="B424">IFERROR(INDEX(DANH_MUC!$E:$E,56),"")</f>
        <v>Xúclật855H</v>
      </c>
      <c r="C424" s="251">
        <f>IF(C$4&gt;DAY(EOMONTH(DATE($D$2,$B$2,1),0)),"",IFERROR(SUMIFS(DATA_GOC!$H:$H,DATA_GOC!$A:$A,"BOM",DATA_GOC!$D:$D,$B424,DATA_GOC!$E:$E,"Dầu cầu",DATA_GOC!$F:$F,"Xuất nội bộ từ téc",DATA_GOC!$B:$B,DATE($D$2,$B$2,C$4)),0))</f>
        <v>0</v>
      </c>
      <c r="D424" s="251">
        <f>IF(D$4&gt;DAY(EOMONTH(DATE($D$2,$B$2,1),0)),"",IFERROR(SUMIFS(DATA_GOC!$H:$H,DATA_GOC!$A:$A,"BOM",DATA_GOC!$D:$D,$B424,DATA_GOC!$E:$E,"Dầu cầu",DATA_GOC!$F:$F,"Xuất nội bộ từ téc",DATA_GOC!$B:$B,DATE($D$2,$B$2,D$4)),0))</f>
        <v>0</v>
      </c>
      <c r="E424" s="251">
        <f>IF(E$4&gt;DAY(EOMONTH(DATE($D$2,$B$2,1),0)),"",IFERROR(SUMIFS(DATA_GOC!$H:$H,DATA_GOC!$A:$A,"BOM",DATA_GOC!$D:$D,$B424,DATA_GOC!$E:$E,"Dầu cầu",DATA_GOC!$F:$F,"Xuất nội bộ từ téc",DATA_GOC!$B:$B,DATE($D$2,$B$2,E$4)),0))</f>
        <v>0</v>
      </c>
      <c r="F424" s="251">
        <f>IF(F$4&gt;DAY(EOMONTH(DATE($D$2,$B$2,1),0)),"",IFERROR(SUMIFS(DATA_GOC!$H:$H,DATA_GOC!$A:$A,"BOM",DATA_GOC!$D:$D,$B424,DATA_GOC!$E:$E,"Dầu cầu",DATA_GOC!$F:$F,"Xuất nội bộ từ téc",DATA_GOC!$B:$B,DATE($D$2,$B$2,F$4)),0))</f>
        <v>0</v>
      </c>
      <c r="G424" s="251">
        <f>IF(G$4&gt;DAY(EOMONTH(DATE($D$2,$B$2,1),0)),"",IFERROR(SUMIFS(DATA_GOC!$H:$H,DATA_GOC!$A:$A,"BOM",DATA_GOC!$D:$D,$B424,DATA_GOC!$E:$E,"Dầu cầu",DATA_GOC!$F:$F,"Xuất nội bộ từ téc",DATA_GOC!$B:$B,DATE($D$2,$B$2,G$4)),0))</f>
        <v>0</v>
      </c>
      <c r="H424" s="251">
        <f>IF(H$4&gt;DAY(EOMONTH(DATE($D$2,$B$2,1),0)),"",IFERROR(SUMIFS(DATA_GOC!$H:$H,DATA_GOC!$A:$A,"BOM",DATA_GOC!$D:$D,$B424,DATA_GOC!$E:$E,"Dầu cầu",DATA_GOC!$F:$F,"Xuất nội bộ từ téc",DATA_GOC!$B:$B,DATE($D$2,$B$2,H$4)),0))</f>
        <v>0</v>
      </c>
      <c r="I424" s="251">
        <f>IF(I$4&gt;DAY(EOMONTH(DATE($D$2,$B$2,1),0)),"",IFERROR(SUMIFS(DATA_GOC!$H:$H,DATA_GOC!$A:$A,"BOM",DATA_GOC!$D:$D,$B424,DATA_GOC!$E:$E,"Dầu cầu",DATA_GOC!$F:$F,"Xuất nội bộ từ téc",DATA_GOC!$B:$B,DATE($D$2,$B$2,I$4)),0))</f>
        <v>0</v>
      </c>
      <c r="J424" s="251">
        <f>IF(J$4&gt;DAY(EOMONTH(DATE($D$2,$B$2,1),0)),"",IFERROR(SUMIFS(DATA_GOC!$H:$H,DATA_GOC!$A:$A,"BOM",DATA_GOC!$D:$D,$B424,DATA_GOC!$E:$E,"Dầu cầu",DATA_GOC!$F:$F,"Xuất nội bộ từ téc",DATA_GOC!$B:$B,DATE($D$2,$B$2,J$4)),0))</f>
        <v>0</v>
      </c>
      <c r="K424" s="251">
        <f>IF(K$4&gt;DAY(EOMONTH(DATE($D$2,$B$2,1),0)),"",IFERROR(SUMIFS(DATA_GOC!$H:$H,DATA_GOC!$A:$A,"BOM",DATA_GOC!$D:$D,$B424,DATA_GOC!$E:$E,"Dầu cầu",DATA_GOC!$F:$F,"Xuất nội bộ từ téc",DATA_GOC!$B:$B,DATE($D$2,$B$2,K$4)),0))</f>
        <v>0</v>
      </c>
      <c r="L424" s="251">
        <f>IF(L$4&gt;DAY(EOMONTH(DATE($D$2,$B$2,1),0)),"",IFERROR(SUMIFS(DATA_GOC!$H:$H,DATA_GOC!$A:$A,"BOM",DATA_GOC!$D:$D,$B424,DATA_GOC!$E:$E,"Dầu cầu",DATA_GOC!$F:$F,"Xuất nội bộ từ téc",DATA_GOC!$B:$B,DATE($D$2,$B$2,L$4)),0))</f>
        <v>0</v>
      </c>
      <c r="M424" s="251">
        <f>IF(M$4&gt;DAY(EOMONTH(DATE($D$2,$B$2,1),0)),"",IFERROR(SUMIFS(DATA_GOC!$H:$H,DATA_GOC!$A:$A,"BOM",DATA_GOC!$D:$D,$B424,DATA_GOC!$E:$E,"Dầu cầu",DATA_GOC!$F:$F,"Xuất nội bộ từ téc",DATA_GOC!$B:$B,DATE($D$2,$B$2,M$4)),0))</f>
        <v>0</v>
      </c>
      <c r="N424" s="251">
        <f>IF(N$4&gt;DAY(EOMONTH(DATE($D$2,$B$2,1),0)),"",IFERROR(SUMIFS(DATA_GOC!$H:$H,DATA_GOC!$A:$A,"BOM",DATA_GOC!$D:$D,$B424,DATA_GOC!$E:$E,"Dầu cầu",DATA_GOC!$F:$F,"Xuất nội bộ từ téc",DATA_GOC!$B:$B,DATE($D$2,$B$2,N$4)),0))</f>
        <v>0</v>
      </c>
      <c r="O424" s="251">
        <f>IF(O$4&gt;DAY(EOMONTH(DATE($D$2,$B$2,1),0)),"",IFERROR(SUMIFS(DATA_GOC!$H:$H,DATA_GOC!$A:$A,"BOM",DATA_GOC!$D:$D,$B424,DATA_GOC!$E:$E,"Dầu cầu",DATA_GOC!$F:$F,"Xuất nội bộ từ téc",DATA_GOC!$B:$B,DATE($D$2,$B$2,O$4)),0))</f>
        <v>0</v>
      </c>
      <c r="P424" s="251">
        <f>IF(P$4&gt;DAY(EOMONTH(DATE($D$2,$B$2,1),0)),"",IFERROR(SUMIFS(DATA_GOC!$H:$H,DATA_GOC!$A:$A,"BOM",DATA_GOC!$D:$D,$B424,DATA_GOC!$E:$E,"Dầu cầu",DATA_GOC!$F:$F,"Xuất nội bộ từ téc",DATA_GOC!$B:$B,DATE($D$2,$B$2,P$4)),0))</f>
        <v>0</v>
      </c>
      <c r="Q424" s="251">
        <f>IF(Q$4&gt;DAY(EOMONTH(DATE($D$2,$B$2,1),0)),"",IFERROR(SUMIFS(DATA_GOC!$H:$H,DATA_GOC!$A:$A,"BOM",DATA_GOC!$D:$D,$B424,DATA_GOC!$E:$E,"Dầu cầu",DATA_GOC!$F:$F,"Xuất nội bộ từ téc",DATA_GOC!$B:$B,DATE($D$2,$B$2,Q$4)),0))</f>
        <v>0</v>
      </c>
      <c r="R424" s="251">
        <f>IF(R$4&gt;DAY(EOMONTH(DATE($D$2,$B$2,1),0)),"",IFERROR(SUMIFS(DATA_GOC!$H:$H,DATA_GOC!$A:$A,"BOM",DATA_GOC!$D:$D,$B424,DATA_GOC!$E:$E,"Dầu cầu",DATA_GOC!$F:$F,"Xuất nội bộ từ téc",DATA_GOC!$B:$B,DATE($D$2,$B$2,R$4)),0))</f>
        <v>0</v>
      </c>
      <c r="S424" s="251">
        <f>IF(S$4&gt;DAY(EOMONTH(DATE($D$2,$B$2,1),0)),"",IFERROR(SUMIFS(DATA_GOC!$H:$H,DATA_GOC!$A:$A,"BOM",DATA_GOC!$D:$D,$B424,DATA_GOC!$E:$E,"Dầu cầu",DATA_GOC!$F:$F,"Xuất nội bộ từ téc",DATA_GOC!$B:$B,DATE($D$2,$B$2,S$4)),0))</f>
        <v>0</v>
      </c>
      <c r="T424" s="251">
        <f>IF(T$4&gt;DAY(EOMONTH(DATE($D$2,$B$2,1),0)),"",IFERROR(SUMIFS(DATA_GOC!$H:$H,DATA_GOC!$A:$A,"BOM",DATA_GOC!$D:$D,$B424,DATA_GOC!$E:$E,"Dầu cầu",DATA_GOC!$F:$F,"Xuất nội bộ từ téc",DATA_GOC!$B:$B,DATE($D$2,$B$2,T$4)),0))</f>
        <v>0</v>
      </c>
      <c r="U424" s="251">
        <f>IF(U$4&gt;DAY(EOMONTH(DATE($D$2,$B$2,1),0)),"",IFERROR(SUMIFS(DATA_GOC!$H:$H,DATA_GOC!$A:$A,"BOM",DATA_GOC!$D:$D,$B424,DATA_GOC!$E:$E,"Dầu cầu",DATA_GOC!$F:$F,"Xuất nội bộ từ téc",DATA_GOC!$B:$B,DATE($D$2,$B$2,U$4)),0))</f>
        <v>0</v>
      </c>
      <c r="V424" s="251">
        <f>IF(V$4&gt;DAY(EOMONTH(DATE($D$2,$B$2,1),0)),"",IFERROR(SUMIFS(DATA_GOC!$H:$H,DATA_GOC!$A:$A,"BOM",DATA_GOC!$D:$D,$B424,DATA_GOC!$E:$E,"Dầu cầu",DATA_GOC!$F:$F,"Xuất nội bộ từ téc",DATA_GOC!$B:$B,DATE($D$2,$B$2,V$4)),0))</f>
        <v>0</v>
      </c>
      <c r="W424" s="251">
        <f>IF(W$4&gt;DAY(EOMONTH(DATE($D$2,$B$2,1),0)),"",IFERROR(SUMIFS(DATA_GOC!$H:$H,DATA_GOC!$A:$A,"BOM",DATA_GOC!$D:$D,$B424,DATA_GOC!$E:$E,"Dầu cầu",DATA_GOC!$F:$F,"Xuất nội bộ từ téc",DATA_GOC!$B:$B,DATE($D$2,$B$2,W$4)),0))</f>
        <v>0</v>
      </c>
      <c r="X424" s="251">
        <f>IF(X$4&gt;DAY(EOMONTH(DATE($D$2,$B$2,1),0)),"",IFERROR(SUMIFS(DATA_GOC!$H:$H,DATA_GOC!$A:$A,"BOM",DATA_GOC!$D:$D,$B424,DATA_GOC!$E:$E,"Dầu cầu",DATA_GOC!$F:$F,"Xuất nội bộ từ téc",DATA_GOC!$B:$B,DATE($D$2,$B$2,X$4)),0))</f>
        <v>0</v>
      </c>
      <c r="Y424" s="251">
        <f>IF(Y$4&gt;DAY(EOMONTH(DATE($D$2,$B$2,1),0)),"",IFERROR(SUMIFS(DATA_GOC!$H:$H,DATA_GOC!$A:$A,"BOM",DATA_GOC!$D:$D,$B424,DATA_GOC!$E:$E,"Dầu cầu",DATA_GOC!$F:$F,"Xuất nội bộ từ téc",DATA_GOC!$B:$B,DATE($D$2,$B$2,Y$4)),0))</f>
        <v>0</v>
      </c>
      <c r="Z424" s="251">
        <f>IF(Z$4&gt;DAY(EOMONTH(DATE($D$2,$B$2,1),0)),"",IFERROR(SUMIFS(DATA_GOC!$H:$H,DATA_GOC!$A:$A,"BOM",DATA_GOC!$D:$D,$B424,DATA_GOC!$E:$E,"Dầu cầu",DATA_GOC!$F:$F,"Xuất nội bộ từ téc",DATA_GOC!$B:$B,DATE($D$2,$B$2,Z$4)),0))</f>
        <v>0</v>
      </c>
      <c r="AA424" s="251">
        <f>IF(AA$4&gt;DAY(EOMONTH(DATE($D$2,$B$2,1),0)),"",IFERROR(SUMIFS(DATA_GOC!$H:$H,DATA_GOC!$A:$A,"BOM",DATA_GOC!$D:$D,$B424,DATA_GOC!$E:$E,"Dầu cầu",DATA_GOC!$F:$F,"Xuất nội bộ từ téc",DATA_GOC!$B:$B,DATE($D$2,$B$2,AA$4)),0))</f>
        <v>0</v>
      </c>
      <c r="AB424" s="251">
        <f>IF(AB$4&gt;DAY(EOMONTH(DATE($D$2,$B$2,1),0)),"",IFERROR(SUMIFS(DATA_GOC!$H:$H,DATA_GOC!$A:$A,"BOM",DATA_GOC!$D:$D,$B424,DATA_GOC!$E:$E,"Dầu cầu",DATA_GOC!$F:$F,"Xuất nội bộ từ téc",DATA_GOC!$B:$B,DATE($D$2,$B$2,AB$4)),0))</f>
        <v>0</v>
      </c>
      <c r="AC424" s="251">
        <f>IF(AC$4&gt;DAY(EOMONTH(DATE($D$2,$B$2,1),0)),"",IFERROR(SUMIFS(DATA_GOC!$H:$H,DATA_GOC!$A:$A,"BOM",DATA_GOC!$D:$D,$B424,DATA_GOC!$E:$E,"Dầu cầu",DATA_GOC!$F:$F,"Xuất nội bộ từ téc",DATA_GOC!$B:$B,DATE($D$2,$B$2,AC$4)),0))</f>
        <v>0</v>
      </c>
      <c r="AD424" s="251">
        <f>IF(AD$4&gt;DAY(EOMONTH(DATE($D$2,$B$2,1),0)),"",IFERROR(SUMIFS(DATA_GOC!$H:$H,DATA_GOC!$A:$A,"BOM",DATA_GOC!$D:$D,$B424,DATA_GOC!$E:$E,"Dầu cầu",DATA_GOC!$F:$F,"Xuất nội bộ từ téc",DATA_GOC!$B:$B,DATE($D$2,$B$2,AD$4)),0))</f>
        <v>0</v>
      </c>
      <c r="AE424" s="251">
        <f>IF(AE$4&gt;DAY(EOMONTH(DATE($D$2,$B$2,1),0)),"",IFERROR(SUMIFS(DATA_GOC!$H:$H,DATA_GOC!$A:$A,"BOM",DATA_GOC!$D:$D,$B424,DATA_GOC!$E:$E,"Dầu cầu",DATA_GOC!$F:$F,"Xuất nội bộ từ téc",DATA_GOC!$B:$B,DATE($D$2,$B$2,AE$4)),0))</f>
        <v>0</v>
      </c>
      <c r="AF424" s="251">
        <f>IF(AF$4&gt;DAY(EOMONTH(DATE($D$2,$B$2,1),0)),"",IFERROR(SUMIFS(DATA_GOC!$H:$H,DATA_GOC!$A:$A,"BOM",DATA_GOC!$D:$D,$B424,DATA_GOC!$E:$E,"Dầu cầu",DATA_GOC!$F:$F,"Xuất nội bộ từ téc",DATA_GOC!$B:$B,DATE($D$2,$B$2,AF$4)),0))</f>
        <v>0</v>
      </c>
      <c r="AG424" s="251">
        <f>IF(AG$4&gt;DAY(EOMONTH(DATE($D$2,$B$2,1),0)),"",IFERROR(SUMIFS(DATA_GOC!$H:$H,DATA_GOC!$A:$A,"BOM",DATA_GOC!$D:$D,$B424,DATA_GOC!$E:$E,"Dầu cầu",DATA_GOC!$F:$F,"Xuất nội bộ từ téc",DATA_GOC!$B:$B,DATE($D$2,$B$2,AG$4)),0))</f>
        <v>0</v>
      </c>
      <c r="AH424" s="252">
        <f t="shared" si="19"/>
        <v>0</v>
      </c>
      <c r="AI424" s="241"/>
      <c r="AJ424" s="242">
        <f>IF($B424="","",SUMIFS(TINH_TEC!$K$233:$K$9232,TINH_TEC!$H$233:$H$9232,$B424,TINH_TEC!$C$233:$C$9232,"Dầu cầu",TINH_TEC!$F$233:$F$9232,$B$2,TINH_TEC!$G$233:$G$9232,$D$2,TINH_TEC!$B$233:$B$9232,"Đã chốt"))</f>
        <v>0</v>
      </c>
      <c r="AK424" s="242">
        <f>IF($B424="","",SUMIFS(TINH_TEC!$J$233:$J$9232,TINH_TEC!$H$233:$H$9232,$B424,TINH_TEC!$C$233:$C$9232,"Dầu cầu",TINH_TEC!$F$233:$F$9232,$B$2,TINH_TEC!$G$233:$G$9232,$D$2,TINH_TEC!$B$233:$B$9232,"Đã chốt"))</f>
        <v>0</v>
      </c>
      <c r="AL424" s="242">
        <f t="shared" si="20"/>
        <v>0</v>
      </c>
    </row>
    <row r="425" ht="15.75" customHeight="1">
      <c r="A425" s="237">
        <f>IF($B425&lt;&gt;"",54,"")</f>
        <v>54</v>
      </c>
      <c r="B425" s="250" t="str">
        <f t="array" ref="B425">IFERROR(INDEX(DANH_MUC!$E:$E,57),"")</f>
        <v>Xúclật855N</v>
      </c>
      <c r="C425" s="251">
        <f>IF(C$4&gt;DAY(EOMONTH(DATE($D$2,$B$2,1),0)),"",IFERROR(SUMIFS(DATA_GOC!$H:$H,DATA_GOC!$A:$A,"BOM",DATA_GOC!$D:$D,$B425,DATA_GOC!$E:$E,"Dầu cầu",DATA_GOC!$F:$F,"Xuất nội bộ từ téc",DATA_GOC!$B:$B,DATE($D$2,$B$2,C$4)),0))</f>
        <v>0</v>
      </c>
      <c r="D425" s="251">
        <f>IF(D$4&gt;DAY(EOMONTH(DATE($D$2,$B$2,1),0)),"",IFERROR(SUMIFS(DATA_GOC!$H:$H,DATA_GOC!$A:$A,"BOM",DATA_GOC!$D:$D,$B425,DATA_GOC!$E:$E,"Dầu cầu",DATA_GOC!$F:$F,"Xuất nội bộ từ téc",DATA_GOC!$B:$B,DATE($D$2,$B$2,D$4)),0))</f>
        <v>0</v>
      </c>
      <c r="E425" s="251">
        <f>IF(E$4&gt;DAY(EOMONTH(DATE($D$2,$B$2,1),0)),"",IFERROR(SUMIFS(DATA_GOC!$H:$H,DATA_GOC!$A:$A,"BOM",DATA_GOC!$D:$D,$B425,DATA_GOC!$E:$E,"Dầu cầu",DATA_GOC!$F:$F,"Xuất nội bộ từ téc",DATA_GOC!$B:$B,DATE($D$2,$B$2,E$4)),0))</f>
        <v>0</v>
      </c>
      <c r="F425" s="251">
        <f>IF(F$4&gt;DAY(EOMONTH(DATE($D$2,$B$2,1),0)),"",IFERROR(SUMIFS(DATA_GOC!$H:$H,DATA_GOC!$A:$A,"BOM",DATA_GOC!$D:$D,$B425,DATA_GOC!$E:$E,"Dầu cầu",DATA_GOC!$F:$F,"Xuất nội bộ từ téc",DATA_GOC!$B:$B,DATE($D$2,$B$2,F$4)),0))</f>
        <v>0</v>
      </c>
      <c r="G425" s="251">
        <f>IF(G$4&gt;DAY(EOMONTH(DATE($D$2,$B$2,1),0)),"",IFERROR(SUMIFS(DATA_GOC!$H:$H,DATA_GOC!$A:$A,"BOM",DATA_GOC!$D:$D,$B425,DATA_GOC!$E:$E,"Dầu cầu",DATA_GOC!$F:$F,"Xuất nội bộ từ téc",DATA_GOC!$B:$B,DATE($D$2,$B$2,G$4)),0))</f>
        <v>0</v>
      </c>
      <c r="H425" s="251">
        <f>IF(H$4&gt;DAY(EOMONTH(DATE($D$2,$B$2,1),0)),"",IFERROR(SUMIFS(DATA_GOC!$H:$H,DATA_GOC!$A:$A,"BOM",DATA_GOC!$D:$D,$B425,DATA_GOC!$E:$E,"Dầu cầu",DATA_GOC!$F:$F,"Xuất nội bộ từ téc",DATA_GOC!$B:$B,DATE($D$2,$B$2,H$4)),0))</f>
        <v>0</v>
      </c>
      <c r="I425" s="251">
        <f>IF(I$4&gt;DAY(EOMONTH(DATE($D$2,$B$2,1),0)),"",IFERROR(SUMIFS(DATA_GOC!$H:$H,DATA_GOC!$A:$A,"BOM",DATA_GOC!$D:$D,$B425,DATA_GOC!$E:$E,"Dầu cầu",DATA_GOC!$F:$F,"Xuất nội bộ từ téc",DATA_GOC!$B:$B,DATE($D$2,$B$2,I$4)),0))</f>
        <v>0</v>
      </c>
      <c r="J425" s="251">
        <f>IF(J$4&gt;DAY(EOMONTH(DATE($D$2,$B$2,1),0)),"",IFERROR(SUMIFS(DATA_GOC!$H:$H,DATA_GOC!$A:$A,"BOM",DATA_GOC!$D:$D,$B425,DATA_GOC!$E:$E,"Dầu cầu",DATA_GOC!$F:$F,"Xuất nội bộ từ téc",DATA_GOC!$B:$B,DATE($D$2,$B$2,J$4)),0))</f>
        <v>0</v>
      </c>
      <c r="K425" s="251">
        <f>IF(K$4&gt;DAY(EOMONTH(DATE($D$2,$B$2,1),0)),"",IFERROR(SUMIFS(DATA_GOC!$H:$H,DATA_GOC!$A:$A,"BOM",DATA_GOC!$D:$D,$B425,DATA_GOC!$E:$E,"Dầu cầu",DATA_GOC!$F:$F,"Xuất nội bộ từ téc",DATA_GOC!$B:$B,DATE($D$2,$B$2,K$4)),0))</f>
        <v>0</v>
      </c>
      <c r="L425" s="251">
        <f>IF(L$4&gt;DAY(EOMONTH(DATE($D$2,$B$2,1),0)),"",IFERROR(SUMIFS(DATA_GOC!$H:$H,DATA_GOC!$A:$A,"BOM",DATA_GOC!$D:$D,$B425,DATA_GOC!$E:$E,"Dầu cầu",DATA_GOC!$F:$F,"Xuất nội bộ từ téc",DATA_GOC!$B:$B,DATE($D$2,$B$2,L$4)),0))</f>
        <v>0</v>
      </c>
      <c r="M425" s="251">
        <f>IF(M$4&gt;DAY(EOMONTH(DATE($D$2,$B$2,1),0)),"",IFERROR(SUMIFS(DATA_GOC!$H:$H,DATA_GOC!$A:$A,"BOM",DATA_GOC!$D:$D,$B425,DATA_GOC!$E:$E,"Dầu cầu",DATA_GOC!$F:$F,"Xuất nội bộ từ téc",DATA_GOC!$B:$B,DATE($D$2,$B$2,M$4)),0))</f>
        <v>0</v>
      </c>
      <c r="N425" s="251">
        <f>IF(N$4&gt;DAY(EOMONTH(DATE($D$2,$B$2,1),0)),"",IFERROR(SUMIFS(DATA_GOC!$H:$H,DATA_GOC!$A:$A,"BOM",DATA_GOC!$D:$D,$B425,DATA_GOC!$E:$E,"Dầu cầu",DATA_GOC!$F:$F,"Xuất nội bộ từ téc",DATA_GOC!$B:$B,DATE($D$2,$B$2,N$4)),0))</f>
        <v>0</v>
      </c>
      <c r="O425" s="251">
        <f>IF(O$4&gt;DAY(EOMONTH(DATE($D$2,$B$2,1),0)),"",IFERROR(SUMIFS(DATA_GOC!$H:$H,DATA_GOC!$A:$A,"BOM",DATA_GOC!$D:$D,$B425,DATA_GOC!$E:$E,"Dầu cầu",DATA_GOC!$F:$F,"Xuất nội bộ từ téc",DATA_GOC!$B:$B,DATE($D$2,$B$2,O$4)),0))</f>
        <v>0</v>
      </c>
      <c r="P425" s="251">
        <f>IF(P$4&gt;DAY(EOMONTH(DATE($D$2,$B$2,1),0)),"",IFERROR(SUMIFS(DATA_GOC!$H:$H,DATA_GOC!$A:$A,"BOM",DATA_GOC!$D:$D,$B425,DATA_GOC!$E:$E,"Dầu cầu",DATA_GOC!$F:$F,"Xuất nội bộ từ téc",DATA_GOC!$B:$B,DATE($D$2,$B$2,P$4)),0))</f>
        <v>0</v>
      </c>
      <c r="Q425" s="251">
        <f>IF(Q$4&gt;DAY(EOMONTH(DATE($D$2,$B$2,1),0)),"",IFERROR(SUMIFS(DATA_GOC!$H:$H,DATA_GOC!$A:$A,"BOM",DATA_GOC!$D:$D,$B425,DATA_GOC!$E:$E,"Dầu cầu",DATA_GOC!$F:$F,"Xuất nội bộ từ téc",DATA_GOC!$B:$B,DATE($D$2,$B$2,Q$4)),0))</f>
        <v>0</v>
      </c>
      <c r="R425" s="251">
        <f>IF(R$4&gt;DAY(EOMONTH(DATE($D$2,$B$2,1),0)),"",IFERROR(SUMIFS(DATA_GOC!$H:$H,DATA_GOC!$A:$A,"BOM",DATA_GOC!$D:$D,$B425,DATA_GOC!$E:$E,"Dầu cầu",DATA_GOC!$F:$F,"Xuất nội bộ từ téc",DATA_GOC!$B:$B,DATE($D$2,$B$2,R$4)),0))</f>
        <v>0</v>
      </c>
      <c r="S425" s="251">
        <f>IF(S$4&gt;DAY(EOMONTH(DATE($D$2,$B$2,1),0)),"",IFERROR(SUMIFS(DATA_GOC!$H:$H,DATA_GOC!$A:$A,"BOM",DATA_GOC!$D:$D,$B425,DATA_GOC!$E:$E,"Dầu cầu",DATA_GOC!$F:$F,"Xuất nội bộ từ téc",DATA_GOC!$B:$B,DATE($D$2,$B$2,S$4)),0))</f>
        <v>0</v>
      </c>
      <c r="T425" s="251">
        <f>IF(T$4&gt;DAY(EOMONTH(DATE($D$2,$B$2,1),0)),"",IFERROR(SUMIFS(DATA_GOC!$H:$H,DATA_GOC!$A:$A,"BOM",DATA_GOC!$D:$D,$B425,DATA_GOC!$E:$E,"Dầu cầu",DATA_GOC!$F:$F,"Xuất nội bộ từ téc",DATA_GOC!$B:$B,DATE($D$2,$B$2,T$4)),0))</f>
        <v>0</v>
      </c>
      <c r="U425" s="251">
        <f>IF(U$4&gt;DAY(EOMONTH(DATE($D$2,$B$2,1),0)),"",IFERROR(SUMIFS(DATA_GOC!$H:$H,DATA_GOC!$A:$A,"BOM",DATA_GOC!$D:$D,$B425,DATA_GOC!$E:$E,"Dầu cầu",DATA_GOC!$F:$F,"Xuất nội bộ từ téc",DATA_GOC!$B:$B,DATE($D$2,$B$2,U$4)),0))</f>
        <v>0</v>
      </c>
      <c r="V425" s="251">
        <f>IF(V$4&gt;DAY(EOMONTH(DATE($D$2,$B$2,1),0)),"",IFERROR(SUMIFS(DATA_GOC!$H:$H,DATA_GOC!$A:$A,"BOM",DATA_GOC!$D:$D,$B425,DATA_GOC!$E:$E,"Dầu cầu",DATA_GOC!$F:$F,"Xuất nội bộ từ téc",DATA_GOC!$B:$B,DATE($D$2,$B$2,V$4)),0))</f>
        <v>0</v>
      </c>
      <c r="W425" s="251">
        <f>IF(W$4&gt;DAY(EOMONTH(DATE($D$2,$B$2,1),0)),"",IFERROR(SUMIFS(DATA_GOC!$H:$H,DATA_GOC!$A:$A,"BOM",DATA_GOC!$D:$D,$B425,DATA_GOC!$E:$E,"Dầu cầu",DATA_GOC!$F:$F,"Xuất nội bộ từ téc",DATA_GOC!$B:$B,DATE($D$2,$B$2,W$4)),0))</f>
        <v>0</v>
      </c>
      <c r="X425" s="251">
        <f>IF(X$4&gt;DAY(EOMONTH(DATE($D$2,$B$2,1),0)),"",IFERROR(SUMIFS(DATA_GOC!$H:$H,DATA_GOC!$A:$A,"BOM",DATA_GOC!$D:$D,$B425,DATA_GOC!$E:$E,"Dầu cầu",DATA_GOC!$F:$F,"Xuất nội bộ từ téc",DATA_GOC!$B:$B,DATE($D$2,$B$2,X$4)),0))</f>
        <v>0</v>
      </c>
      <c r="Y425" s="251">
        <f>IF(Y$4&gt;DAY(EOMONTH(DATE($D$2,$B$2,1),0)),"",IFERROR(SUMIFS(DATA_GOC!$H:$H,DATA_GOC!$A:$A,"BOM",DATA_GOC!$D:$D,$B425,DATA_GOC!$E:$E,"Dầu cầu",DATA_GOC!$F:$F,"Xuất nội bộ từ téc",DATA_GOC!$B:$B,DATE($D$2,$B$2,Y$4)),0))</f>
        <v>0</v>
      </c>
      <c r="Z425" s="251">
        <f>IF(Z$4&gt;DAY(EOMONTH(DATE($D$2,$B$2,1),0)),"",IFERROR(SUMIFS(DATA_GOC!$H:$H,DATA_GOC!$A:$A,"BOM",DATA_GOC!$D:$D,$B425,DATA_GOC!$E:$E,"Dầu cầu",DATA_GOC!$F:$F,"Xuất nội bộ từ téc",DATA_GOC!$B:$B,DATE($D$2,$B$2,Z$4)),0))</f>
        <v>0</v>
      </c>
      <c r="AA425" s="251">
        <f>IF(AA$4&gt;DAY(EOMONTH(DATE($D$2,$B$2,1),0)),"",IFERROR(SUMIFS(DATA_GOC!$H:$H,DATA_GOC!$A:$A,"BOM",DATA_GOC!$D:$D,$B425,DATA_GOC!$E:$E,"Dầu cầu",DATA_GOC!$F:$F,"Xuất nội bộ từ téc",DATA_GOC!$B:$B,DATE($D$2,$B$2,AA$4)),0))</f>
        <v>0</v>
      </c>
      <c r="AB425" s="251">
        <f>IF(AB$4&gt;DAY(EOMONTH(DATE($D$2,$B$2,1),0)),"",IFERROR(SUMIFS(DATA_GOC!$H:$H,DATA_GOC!$A:$A,"BOM",DATA_GOC!$D:$D,$B425,DATA_GOC!$E:$E,"Dầu cầu",DATA_GOC!$F:$F,"Xuất nội bộ từ téc",DATA_GOC!$B:$B,DATE($D$2,$B$2,AB$4)),0))</f>
        <v>0</v>
      </c>
      <c r="AC425" s="251">
        <f>IF(AC$4&gt;DAY(EOMONTH(DATE($D$2,$B$2,1),0)),"",IFERROR(SUMIFS(DATA_GOC!$H:$H,DATA_GOC!$A:$A,"BOM",DATA_GOC!$D:$D,$B425,DATA_GOC!$E:$E,"Dầu cầu",DATA_GOC!$F:$F,"Xuất nội bộ từ téc",DATA_GOC!$B:$B,DATE($D$2,$B$2,AC$4)),0))</f>
        <v>0</v>
      </c>
      <c r="AD425" s="251">
        <f>IF(AD$4&gt;DAY(EOMONTH(DATE($D$2,$B$2,1),0)),"",IFERROR(SUMIFS(DATA_GOC!$H:$H,DATA_GOC!$A:$A,"BOM",DATA_GOC!$D:$D,$B425,DATA_GOC!$E:$E,"Dầu cầu",DATA_GOC!$F:$F,"Xuất nội bộ từ téc",DATA_GOC!$B:$B,DATE($D$2,$B$2,AD$4)),0))</f>
        <v>0</v>
      </c>
      <c r="AE425" s="251">
        <f>IF(AE$4&gt;DAY(EOMONTH(DATE($D$2,$B$2,1),0)),"",IFERROR(SUMIFS(DATA_GOC!$H:$H,DATA_GOC!$A:$A,"BOM",DATA_GOC!$D:$D,$B425,DATA_GOC!$E:$E,"Dầu cầu",DATA_GOC!$F:$F,"Xuất nội bộ từ téc",DATA_GOC!$B:$B,DATE($D$2,$B$2,AE$4)),0))</f>
        <v>0</v>
      </c>
      <c r="AF425" s="251">
        <f>IF(AF$4&gt;DAY(EOMONTH(DATE($D$2,$B$2,1),0)),"",IFERROR(SUMIFS(DATA_GOC!$H:$H,DATA_GOC!$A:$A,"BOM",DATA_GOC!$D:$D,$B425,DATA_GOC!$E:$E,"Dầu cầu",DATA_GOC!$F:$F,"Xuất nội bộ từ téc",DATA_GOC!$B:$B,DATE($D$2,$B$2,AF$4)),0))</f>
        <v>0</v>
      </c>
      <c r="AG425" s="251">
        <f>IF(AG$4&gt;DAY(EOMONTH(DATE($D$2,$B$2,1),0)),"",IFERROR(SUMIFS(DATA_GOC!$H:$H,DATA_GOC!$A:$A,"BOM",DATA_GOC!$D:$D,$B425,DATA_GOC!$E:$E,"Dầu cầu",DATA_GOC!$F:$F,"Xuất nội bộ từ téc",DATA_GOC!$B:$B,DATE($D$2,$B$2,AG$4)),0))</f>
        <v>0</v>
      </c>
      <c r="AH425" s="252">
        <f t="shared" si="19"/>
        <v>0</v>
      </c>
      <c r="AI425" s="241"/>
      <c r="AJ425" s="242">
        <f>IF($B425="","",SUMIFS(TINH_TEC!$K$233:$K$9232,TINH_TEC!$H$233:$H$9232,$B425,TINH_TEC!$C$233:$C$9232,"Dầu cầu",TINH_TEC!$F$233:$F$9232,$B$2,TINH_TEC!$G$233:$G$9232,$D$2,TINH_TEC!$B$233:$B$9232,"Đã chốt"))</f>
        <v>0</v>
      </c>
      <c r="AK425" s="242">
        <f>IF($B425="","",SUMIFS(TINH_TEC!$J$233:$J$9232,TINH_TEC!$H$233:$H$9232,$B425,TINH_TEC!$C$233:$C$9232,"Dầu cầu",TINH_TEC!$F$233:$F$9232,$B$2,TINH_TEC!$G$233:$G$9232,$D$2,TINH_TEC!$B$233:$B$9232,"Đã chốt"))</f>
        <v>0</v>
      </c>
      <c r="AL425" s="242">
        <f t="shared" si="20"/>
        <v>0</v>
      </c>
    </row>
    <row r="426" ht="15.75" customHeight="1">
      <c r="A426" s="237">
        <f>IF($B426&lt;&gt;"",55,"")</f>
        <v>55</v>
      </c>
      <c r="B426" s="250" t="str">
        <f t="array" ref="B426">IFERROR(INDEX(DANH_MUC!$E:$E,58),"")</f>
        <v>Cát nghiền</v>
      </c>
      <c r="C426" s="251">
        <f>IF(C$4&gt;DAY(EOMONTH(DATE($D$2,$B$2,1),0)),"",IFERROR(SUMIFS(DATA_GOC!$H:$H,DATA_GOC!$A:$A,"BOM",DATA_GOC!$D:$D,$B426,DATA_GOC!$E:$E,"Dầu cầu",DATA_GOC!$F:$F,"Xuất nội bộ từ téc",DATA_GOC!$B:$B,DATE($D$2,$B$2,C$4)),0))</f>
        <v>0</v>
      </c>
      <c r="D426" s="251">
        <f>IF(D$4&gt;DAY(EOMONTH(DATE($D$2,$B$2,1),0)),"",IFERROR(SUMIFS(DATA_GOC!$H:$H,DATA_GOC!$A:$A,"BOM",DATA_GOC!$D:$D,$B426,DATA_GOC!$E:$E,"Dầu cầu",DATA_GOC!$F:$F,"Xuất nội bộ từ téc",DATA_GOC!$B:$B,DATE($D$2,$B$2,D$4)),0))</f>
        <v>0</v>
      </c>
      <c r="E426" s="251">
        <f>IF(E$4&gt;DAY(EOMONTH(DATE($D$2,$B$2,1),0)),"",IFERROR(SUMIFS(DATA_GOC!$H:$H,DATA_GOC!$A:$A,"BOM",DATA_GOC!$D:$D,$B426,DATA_GOC!$E:$E,"Dầu cầu",DATA_GOC!$F:$F,"Xuất nội bộ từ téc",DATA_GOC!$B:$B,DATE($D$2,$B$2,E$4)),0))</f>
        <v>0</v>
      </c>
      <c r="F426" s="251">
        <f>IF(F$4&gt;DAY(EOMONTH(DATE($D$2,$B$2,1),0)),"",IFERROR(SUMIFS(DATA_GOC!$H:$H,DATA_GOC!$A:$A,"BOM",DATA_GOC!$D:$D,$B426,DATA_GOC!$E:$E,"Dầu cầu",DATA_GOC!$F:$F,"Xuất nội bộ từ téc",DATA_GOC!$B:$B,DATE($D$2,$B$2,F$4)),0))</f>
        <v>0</v>
      </c>
      <c r="G426" s="251">
        <f>IF(G$4&gt;DAY(EOMONTH(DATE($D$2,$B$2,1),0)),"",IFERROR(SUMIFS(DATA_GOC!$H:$H,DATA_GOC!$A:$A,"BOM",DATA_GOC!$D:$D,$B426,DATA_GOC!$E:$E,"Dầu cầu",DATA_GOC!$F:$F,"Xuất nội bộ từ téc",DATA_GOC!$B:$B,DATE($D$2,$B$2,G$4)),0))</f>
        <v>0</v>
      </c>
      <c r="H426" s="251">
        <f>IF(H$4&gt;DAY(EOMONTH(DATE($D$2,$B$2,1),0)),"",IFERROR(SUMIFS(DATA_GOC!$H:$H,DATA_GOC!$A:$A,"BOM",DATA_GOC!$D:$D,$B426,DATA_GOC!$E:$E,"Dầu cầu",DATA_GOC!$F:$F,"Xuất nội bộ từ téc",DATA_GOC!$B:$B,DATE($D$2,$B$2,H$4)),0))</f>
        <v>0</v>
      </c>
      <c r="I426" s="251">
        <f>IF(I$4&gt;DAY(EOMONTH(DATE($D$2,$B$2,1),0)),"",IFERROR(SUMIFS(DATA_GOC!$H:$H,DATA_GOC!$A:$A,"BOM",DATA_GOC!$D:$D,$B426,DATA_GOC!$E:$E,"Dầu cầu",DATA_GOC!$F:$F,"Xuất nội bộ từ téc",DATA_GOC!$B:$B,DATE($D$2,$B$2,I$4)),0))</f>
        <v>0</v>
      </c>
      <c r="J426" s="251">
        <f>IF(J$4&gt;DAY(EOMONTH(DATE($D$2,$B$2,1),0)),"",IFERROR(SUMIFS(DATA_GOC!$H:$H,DATA_GOC!$A:$A,"BOM",DATA_GOC!$D:$D,$B426,DATA_GOC!$E:$E,"Dầu cầu",DATA_GOC!$F:$F,"Xuất nội bộ từ téc",DATA_GOC!$B:$B,DATE($D$2,$B$2,J$4)),0))</f>
        <v>0</v>
      </c>
      <c r="K426" s="251">
        <f>IF(K$4&gt;DAY(EOMONTH(DATE($D$2,$B$2,1),0)),"",IFERROR(SUMIFS(DATA_GOC!$H:$H,DATA_GOC!$A:$A,"BOM",DATA_GOC!$D:$D,$B426,DATA_GOC!$E:$E,"Dầu cầu",DATA_GOC!$F:$F,"Xuất nội bộ từ téc",DATA_GOC!$B:$B,DATE($D$2,$B$2,K$4)),0))</f>
        <v>0</v>
      </c>
      <c r="L426" s="251">
        <f>IF(L$4&gt;DAY(EOMONTH(DATE($D$2,$B$2,1),0)),"",IFERROR(SUMIFS(DATA_GOC!$H:$H,DATA_GOC!$A:$A,"BOM",DATA_GOC!$D:$D,$B426,DATA_GOC!$E:$E,"Dầu cầu",DATA_GOC!$F:$F,"Xuất nội bộ từ téc",DATA_GOC!$B:$B,DATE($D$2,$B$2,L$4)),0))</f>
        <v>0</v>
      </c>
      <c r="M426" s="251">
        <f>IF(M$4&gt;DAY(EOMONTH(DATE($D$2,$B$2,1),0)),"",IFERROR(SUMIFS(DATA_GOC!$H:$H,DATA_GOC!$A:$A,"BOM",DATA_GOC!$D:$D,$B426,DATA_GOC!$E:$E,"Dầu cầu",DATA_GOC!$F:$F,"Xuất nội bộ từ téc",DATA_GOC!$B:$B,DATE($D$2,$B$2,M$4)),0))</f>
        <v>0</v>
      </c>
      <c r="N426" s="251">
        <f>IF(N$4&gt;DAY(EOMONTH(DATE($D$2,$B$2,1),0)),"",IFERROR(SUMIFS(DATA_GOC!$H:$H,DATA_GOC!$A:$A,"BOM",DATA_GOC!$D:$D,$B426,DATA_GOC!$E:$E,"Dầu cầu",DATA_GOC!$F:$F,"Xuất nội bộ từ téc",DATA_GOC!$B:$B,DATE($D$2,$B$2,N$4)),0))</f>
        <v>0</v>
      </c>
      <c r="O426" s="251">
        <f>IF(O$4&gt;DAY(EOMONTH(DATE($D$2,$B$2,1),0)),"",IFERROR(SUMIFS(DATA_GOC!$H:$H,DATA_GOC!$A:$A,"BOM",DATA_GOC!$D:$D,$B426,DATA_GOC!$E:$E,"Dầu cầu",DATA_GOC!$F:$F,"Xuất nội bộ từ téc",DATA_GOC!$B:$B,DATE($D$2,$B$2,O$4)),0))</f>
        <v>0</v>
      </c>
      <c r="P426" s="251">
        <f>IF(P$4&gt;DAY(EOMONTH(DATE($D$2,$B$2,1),0)),"",IFERROR(SUMIFS(DATA_GOC!$H:$H,DATA_GOC!$A:$A,"BOM",DATA_GOC!$D:$D,$B426,DATA_GOC!$E:$E,"Dầu cầu",DATA_GOC!$F:$F,"Xuất nội bộ từ téc",DATA_GOC!$B:$B,DATE($D$2,$B$2,P$4)),0))</f>
        <v>0</v>
      </c>
      <c r="Q426" s="251">
        <f>IF(Q$4&gt;DAY(EOMONTH(DATE($D$2,$B$2,1),0)),"",IFERROR(SUMIFS(DATA_GOC!$H:$H,DATA_GOC!$A:$A,"BOM",DATA_GOC!$D:$D,$B426,DATA_GOC!$E:$E,"Dầu cầu",DATA_GOC!$F:$F,"Xuất nội bộ từ téc",DATA_GOC!$B:$B,DATE($D$2,$B$2,Q$4)),0))</f>
        <v>0</v>
      </c>
      <c r="R426" s="251">
        <f>IF(R$4&gt;DAY(EOMONTH(DATE($D$2,$B$2,1),0)),"",IFERROR(SUMIFS(DATA_GOC!$H:$H,DATA_GOC!$A:$A,"BOM",DATA_GOC!$D:$D,$B426,DATA_GOC!$E:$E,"Dầu cầu",DATA_GOC!$F:$F,"Xuất nội bộ từ téc",DATA_GOC!$B:$B,DATE($D$2,$B$2,R$4)),0))</f>
        <v>0</v>
      </c>
      <c r="S426" s="251">
        <f>IF(S$4&gt;DAY(EOMONTH(DATE($D$2,$B$2,1),0)),"",IFERROR(SUMIFS(DATA_GOC!$H:$H,DATA_GOC!$A:$A,"BOM",DATA_GOC!$D:$D,$B426,DATA_GOC!$E:$E,"Dầu cầu",DATA_GOC!$F:$F,"Xuất nội bộ từ téc",DATA_GOC!$B:$B,DATE($D$2,$B$2,S$4)),0))</f>
        <v>0</v>
      </c>
      <c r="T426" s="251">
        <f>IF(T$4&gt;DAY(EOMONTH(DATE($D$2,$B$2,1),0)),"",IFERROR(SUMIFS(DATA_GOC!$H:$H,DATA_GOC!$A:$A,"BOM",DATA_GOC!$D:$D,$B426,DATA_GOC!$E:$E,"Dầu cầu",DATA_GOC!$F:$F,"Xuất nội bộ từ téc",DATA_GOC!$B:$B,DATE($D$2,$B$2,T$4)),0))</f>
        <v>0</v>
      </c>
      <c r="U426" s="251">
        <f>IF(U$4&gt;DAY(EOMONTH(DATE($D$2,$B$2,1),0)),"",IFERROR(SUMIFS(DATA_GOC!$H:$H,DATA_GOC!$A:$A,"BOM",DATA_GOC!$D:$D,$B426,DATA_GOC!$E:$E,"Dầu cầu",DATA_GOC!$F:$F,"Xuất nội bộ từ téc",DATA_GOC!$B:$B,DATE($D$2,$B$2,U$4)),0))</f>
        <v>0</v>
      </c>
      <c r="V426" s="251">
        <f>IF(V$4&gt;DAY(EOMONTH(DATE($D$2,$B$2,1),0)),"",IFERROR(SUMIFS(DATA_GOC!$H:$H,DATA_GOC!$A:$A,"BOM",DATA_GOC!$D:$D,$B426,DATA_GOC!$E:$E,"Dầu cầu",DATA_GOC!$F:$F,"Xuất nội bộ từ téc",DATA_GOC!$B:$B,DATE($D$2,$B$2,V$4)),0))</f>
        <v>0</v>
      </c>
      <c r="W426" s="251">
        <f>IF(W$4&gt;DAY(EOMONTH(DATE($D$2,$B$2,1),0)),"",IFERROR(SUMIFS(DATA_GOC!$H:$H,DATA_GOC!$A:$A,"BOM",DATA_GOC!$D:$D,$B426,DATA_GOC!$E:$E,"Dầu cầu",DATA_GOC!$F:$F,"Xuất nội bộ từ téc",DATA_GOC!$B:$B,DATE($D$2,$B$2,W$4)),0))</f>
        <v>0</v>
      </c>
      <c r="X426" s="251">
        <f>IF(X$4&gt;DAY(EOMONTH(DATE($D$2,$B$2,1),0)),"",IFERROR(SUMIFS(DATA_GOC!$H:$H,DATA_GOC!$A:$A,"BOM",DATA_GOC!$D:$D,$B426,DATA_GOC!$E:$E,"Dầu cầu",DATA_GOC!$F:$F,"Xuất nội bộ từ téc",DATA_GOC!$B:$B,DATE($D$2,$B$2,X$4)),0))</f>
        <v>0</v>
      </c>
      <c r="Y426" s="251">
        <f>IF(Y$4&gt;DAY(EOMONTH(DATE($D$2,$B$2,1),0)),"",IFERROR(SUMIFS(DATA_GOC!$H:$H,DATA_GOC!$A:$A,"BOM",DATA_GOC!$D:$D,$B426,DATA_GOC!$E:$E,"Dầu cầu",DATA_GOC!$F:$F,"Xuất nội bộ từ téc",DATA_GOC!$B:$B,DATE($D$2,$B$2,Y$4)),0))</f>
        <v>0</v>
      </c>
      <c r="Z426" s="251">
        <f>IF(Z$4&gt;DAY(EOMONTH(DATE($D$2,$B$2,1),0)),"",IFERROR(SUMIFS(DATA_GOC!$H:$H,DATA_GOC!$A:$A,"BOM",DATA_GOC!$D:$D,$B426,DATA_GOC!$E:$E,"Dầu cầu",DATA_GOC!$F:$F,"Xuất nội bộ từ téc",DATA_GOC!$B:$B,DATE($D$2,$B$2,Z$4)),0))</f>
        <v>0</v>
      </c>
      <c r="AA426" s="251">
        <f>IF(AA$4&gt;DAY(EOMONTH(DATE($D$2,$B$2,1),0)),"",IFERROR(SUMIFS(DATA_GOC!$H:$H,DATA_GOC!$A:$A,"BOM",DATA_GOC!$D:$D,$B426,DATA_GOC!$E:$E,"Dầu cầu",DATA_GOC!$F:$F,"Xuất nội bộ từ téc",DATA_GOC!$B:$B,DATE($D$2,$B$2,AA$4)),0))</f>
        <v>0</v>
      </c>
      <c r="AB426" s="251">
        <f>IF(AB$4&gt;DAY(EOMONTH(DATE($D$2,$B$2,1),0)),"",IFERROR(SUMIFS(DATA_GOC!$H:$H,DATA_GOC!$A:$A,"BOM",DATA_GOC!$D:$D,$B426,DATA_GOC!$E:$E,"Dầu cầu",DATA_GOC!$F:$F,"Xuất nội bộ từ téc",DATA_GOC!$B:$B,DATE($D$2,$B$2,AB$4)),0))</f>
        <v>0</v>
      </c>
      <c r="AC426" s="251">
        <f>IF(AC$4&gt;DAY(EOMONTH(DATE($D$2,$B$2,1),0)),"",IFERROR(SUMIFS(DATA_GOC!$H:$H,DATA_GOC!$A:$A,"BOM",DATA_GOC!$D:$D,$B426,DATA_GOC!$E:$E,"Dầu cầu",DATA_GOC!$F:$F,"Xuất nội bộ từ téc",DATA_GOC!$B:$B,DATE($D$2,$B$2,AC$4)),0))</f>
        <v>0</v>
      </c>
      <c r="AD426" s="251">
        <f>IF(AD$4&gt;DAY(EOMONTH(DATE($D$2,$B$2,1),0)),"",IFERROR(SUMIFS(DATA_GOC!$H:$H,DATA_GOC!$A:$A,"BOM",DATA_GOC!$D:$D,$B426,DATA_GOC!$E:$E,"Dầu cầu",DATA_GOC!$F:$F,"Xuất nội bộ từ téc",DATA_GOC!$B:$B,DATE($D$2,$B$2,AD$4)),0))</f>
        <v>0</v>
      </c>
      <c r="AE426" s="251">
        <f>IF(AE$4&gt;DAY(EOMONTH(DATE($D$2,$B$2,1),0)),"",IFERROR(SUMIFS(DATA_GOC!$H:$H,DATA_GOC!$A:$A,"BOM",DATA_GOC!$D:$D,$B426,DATA_GOC!$E:$E,"Dầu cầu",DATA_GOC!$F:$F,"Xuất nội bộ từ téc",DATA_GOC!$B:$B,DATE($D$2,$B$2,AE$4)),0))</f>
        <v>0</v>
      </c>
      <c r="AF426" s="251">
        <f>IF(AF$4&gt;DAY(EOMONTH(DATE($D$2,$B$2,1),0)),"",IFERROR(SUMIFS(DATA_GOC!$H:$H,DATA_GOC!$A:$A,"BOM",DATA_GOC!$D:$D,$B426,DATA_GOC!$E:$E,"Dầu cầu",DATA_GOC!$F:$F,"Xuất nội bộ từ téc",DATA_GOC!$B:$B,DATE($D$2,$B$2,AF$4)),0))</f>
        <v>0</v>
      </c>
      <c r="AG426" s="251">
        <f>IF(AG$4&gt;DAY(EOMONTH(DATE($D$2,$B$2,1),0)),"",IFERROR(SUMIFS(DATA_GOC!$H:$H,DATA_GOC!$A:$A,"BOM",DATA_GOC!$D:$D,$B426,DATA_GOC!$E:$E,"Dầu cầu",DATA_GOC!$F:$F,"Xuất nội bộ từ téc",DATA_GOC!$B:$B,DATE($D$2,$B$2,AG$4)),0))</f>
        <v>0</v>
      </c>
      <c r="AH426" s="252">
        <f t="shared" si="19"/>
        <v>0</v>
      </c>
      <c r="AI426" s="241"/>
      <c r="AJ426" s="242">
        <f>IF($B426="","",SUMIFS(TINH_TEC!$K$233:$K$9232,TINH_TEC!$H$233:$H$9232,$B426,TINH_TEC!$C$233:$C$9232,"Dầu cầu",TINH_TEC!$F$233:$F$9232,$B$2,TINH_TEC!$G$233:$G$9232,$D$2,TINH_TEC!$B$233:$B$9232,"Đã chốt"))</f>
        <v>0</v>
      </c>
      <c r="AK426" s="242">
        <f>IF($B426="","",SUMIFS(TINH_TEC!$J$233:$J$9232,TINH_TEC!$H$233:$H$9232,$B426,TINH_TEC!$C$233:$C$9232,"Dầu cầu",TINH_TEC!$F$233:$F$9232,$B$2,TINH_TEC!$G$233:$G$9232,$D$2,TINH_TEC!$B$233:$B$9232,"Đã chốt"))</f>
        <v>0</v>
      </c>
      <c r="AL426" s="242">
        <f t="shared" si="20"/>
        <v>0</v>
      </c>
    </row>
    <row r="427" ht="15.75" customHeight="1">
      <c r="A427" s="237">
        <f>IF($B427&lt;&gt;"",56,"")</f>
        <v>56</v>
      </c>
      <c r="B427" s="250" t="str">
        <f t="array" ref="B427">IFERROR(INDEX(DANH_MUC!$E:$E,59),"")</f>
        <v>28C02973</v>
      </c>
      <c r="C427" s="251">
        <f>IF(C$4&gt;DAY(EOMONTH(DATE($D$2,$B$2,1),0)),"",IFERROR(SUMIFS(DATA_GOC!$H:$H,DATA_GOC!$A:$A,"BOM",DATA_GOC!$D:$D,$B427,DATA_GOC!$E:$E,"Dầu cầu",DATA_GOC!$F:$F,"Xuất nội bộ từ téc",DATA_GOC!$B:$B,DATE($D$2,$B$2,C$4)),0))</f>
        <v>0</v>
      </c>
      <c r="D427" s="251">
        <f>IF(D$4&gt;DAY(EOMONTH(DATE($D$2,$B$2,1),0)),"",IFERROR(SUMIFS(DATA_GOC!$H:$H,DATA_GOC!$A:$A,"BOM",DATA_GOC!$D:$D,$B427,DATA_GOC!$E:$E,"Dầu cầu",DATA_GOC!$F:$F,"Xuất nội bộ từ téc",DATA_GOC!$B:$B,DATE($D$2,$B$2,D$4)),0))</f>
        <v>0</v>
      </c>
      <c r="E427" s="251">
        <f>IF(E$4&gt;DAY(EOMONTH(DATE($D$2,$B$2,1),0)),"",IFERROR(SUMIFS(DATA_GOC!$H:$H,DATA_GOC!$A:$A,"BOM",DATA_GOC!$D:$D,$B427,DATA_GOC!$E:$E,"Dầu cầu",DATA_GOC!$F:$F,"Xuất nội bộ từ téc",DATA_GOC!$B:$B,DATE($D$2,$B$2,E$4)),0))</f>
        <v>0</v>
      </c>
      <c r="F427" s="251">
        <f>IF(F$4&gt;DAY(EOMONTH(DATE($D$2,$B$2,1),0)),"",IFERROR(SUMIFS(DATA_GOC!$H:$H,DATA_GOC!$A:$A,"BOM",DATA_GOC!$D:$D,$B427,DATA_GOC!$E:$E,"Dầu cầu",DATA_GOC!$F:$F,"Xuất nội bộ từ téc",DATA_GOC!$B:$B,DATE($D$2,$B$2,F$4)),0))</f>
        <v>0</v>
      </c>
      <c r="G427" s="251">
        <f>IF(G$4&gt;DAY(EOMONTH(DATE($D$2,$B$2,1),0)),"",IFERROR(SUMIFS(DATA_GOC!$H:$H,DATA_GOC!$A:$A,"BOM",DATA_GOC!$D:$D,$B427,DATA_GOC!$E:$E,"Dầu cầu",DATA_GOC!$F:$F,"Xuất nội bộ từ téc",DATA_GOC!$B:$B,DATE($D$2,$B$2,G$4)),0))</f>
        <v>0</v>
      </c>
      <c r="H427" s="251">
        <f>IF(H$4&gt;DAY(EOMONTH(DATE($D$2,$B$2,1),0)),"",IFERROR(SUMIFS(DATA_GOC!$H:$H,DATA_GOC!$A:$A,"BOM",DATA_GOC!$D:$D,$B427,DATA_GOC!$E:$E,"Dầu cầu",DATA_GOC!$F:$F,"Xuất nội bộ từ téc",DATA_GOC!$B:$B,DATE($D$2,$B$2,H$4)),0))</f>
        <v>0</v>
      </c>
      <c r="I427" s="251">
        <f>IF(I$4&gt;DAY(EOMONTH(DATE($D$2,$B$2,1),0)),"",IFERROR(SUMIFS(DATA_GOC!$H:$H,DATA_GOC!$A:$A,"BOM",DATA_GOC!$D:$D,$B427,DATA_GOC!$E:$E,"Dầu cầu",DATA_GOC!$F:$F,"Xuất nội bộ từ téc",DATA_GOC!$B:$B,DATE($D$2,$B$2,I$4)),0))</f>
        <v>0</v>
      </c>
      <c r="J427" s="251">
        <f>IF(J$4&gt;DAY(EOMONTH(DATE($D$2,$B$2,1),0)),"",IFERROR(SUMIFS(DATA_GOC!$H:$H,DATA_GOC!$A:$A,"BOM",DATA_GOC!$D:$D,$B427,DATA_GOC!$E:$E,"Dầu cầu",DATA_GOC!$F:$F,"Xuất nội bộ từ téc",DATA_GOC!$B:$B,DATE($D$2,$B$2,J$4)),0))</f>
        <v>0</v>
      </c>
      <c r="K427" s="251">
        <f>IF(K$4&gt;DAY(EOMONTH(DATE($D$2,$B$2,1),0)),"",IFERROR(SUMIFS(DATA_GOC!$H:$H,DATA_GOC!$A:$A,"BOM",DATA_GOC!$D:$D,$B427,DATA_GOC!$E:$E,"Dầu cầu",DATA_GOC!$F:$F,"Xuất nội bộ từ téc",DATA_GOC!$B:$B,DATE($D$2,$B$2,K$4)),0))</f>
        <v>0</v>
      </c>
      <c r="L427" s="251">
        <f>IF(L$4&gt;DAY(EOMONTH(DATE($D$2,$B$2,1),0)),"",IFERROR(SUMIFS(DATA_GOC!$H:$H,DATA_GOC!$A:$A,"BOM",DATA_GOC!$D:$D,$B427,DATA_GOC!$E:$E,"Dầu cầu",DATA_GOC!$F:$F,"Xuất nội bộ từ téc",DATA_GOC!$B:$B,DATE($D$2,$B$2,L$4)),0))</f>
        <v>0</v>
      </c>
      <c r="M427" s="251">
        <f>IF(M$4&gt;DAY(EOMONTH(DATE($D$2,$B$2,1),0)),"",IFERROR(SUMIFS(DATA_GOC!$H:$H,DATA_GOC!$A:$A,"BOM",DATA_GOC!$D:$D,$B427,DATA_GOC!$E:$E,"Dầu cầu",DATA_GOC!$F:$F,"Xuất nội bộ từ téc",DATA_GOC!$B:$B,DATE($D$2,$B$2,M$4)),0))</f>
        <v>0</v>
      </c>
      <c r="N427" s="251">
        <f>IF(N$4&gt;DAY(EOMONTH(DATE($D$2,$B$2,1),0)),"",IFERROR(SUMIFS(DATA_GOC!$H:$H,DATA_GOC!$A:$A,"BOM",DATA_GOC!$D:$D,$B427,DATA_GOC!$E:$E,"Dầu cầu",DATA_GOC!$F:$F,"Xuất nội bộ từ téc",DATA_GOC!$B:$B,DATE($D$2,$B$2,N$4)),0))</f>
        <v>0</v>
      </c>
      <c r="O427" s="251">
        <f>IF(O$4&gt;DAY(EOMONTH(DATE($D$2,$B$2,1),0)),"",IFERROR(SUMIFS(DATA_GOC!$H:$H,DATA_GOC!$A:$A,"BOM",DATA_GOC!$D:$D,$B427,DATA_GOC!$E:$E,"Dầu cầu",DATA_GOC!$F:$F,"Xuất nội bộ từ téc",DATA_GOC!$B:$B,DATE($D$2,$B$2,O$4)),0))</f>
        <v>0</v>
      </c>
      <c r="P427" s="251">
        <f>IF(P$4&gt;DAY(EOMONTH(DATE($D$2,$B$2,1),0)),"",IFERROR(SUMIFS(DATA_GOC!$H:$H,DATA_GOC!$A:$A,"BOM",DATA_GOC!$D:$D,$B427,DATA_GOC!$E:$E,"Dầu cầu",DATA_GOC!$F:$F,"Xuất nội bộ từ téc",DATA_GOC!$B:$B,DATE($D$2,$B$2,P$4)),0))</f>
        <v>0</v>
      </c>
      <c r="Q427" s="251">
        <f>IF(Q$4&gt;DAY(EOMONTH(DATE($D$2,$B$2,1),0)),"",IFERROR(SUMIFS(DATA_GOC!$H:$H,DATA_GOC!$A:$A,"BOM",DATA_GOC!$D:$D,$B427,DATA_GOC!$E:$E,"Dầu cầu",DATA_GOC!$F:$F,"Xuất nội bộ từ téc",DATA_GOC!$B:$B,DATE($D$2,$B$2,Q$4)),0))</f>
        <v>0</v>
      </c>
      <c r="R427" s="251">
        <f>IF(R$4&gt;DAY(EOMONTH(DATE($D$2,$B$2,1),0)),"",IFERROR(SUMIFS(DATA_GOC!$H:$H,DATA_GOC!$A:$A,"BOM",DATA_GOC!$D:$D,$B427,DATA_GOC!$E:$E,"Dầu cầu",DATA_GOC!$F:$F,"Xuất nội bộ từ téc",DATA_GOC!$B:$B,DATE($D$2,$B$2,R$4)),0))</f>
        <v>0</v>
      </c>
      <c r="S427" s="251">
        <f>IF(S$4&gt;DAY(EOMONTH(DATE($D$2,$B$2,1),0)),"",IFERROR(SUMIFS(DATA_GOC!$H:$H,DATA_GOC!$A:$A,"BOM",DATA_GOC!$D:$D,$B427,DATA_GOC!$E:$E,"Dầu cầu",DATA_GOC!$F:$F,"Xuất nội bộ từ téc",DATA_GOC!$B:$B,DATE($D$2,$B$2,S$4)),0))</f>
        <v>0</v>
      </c>
      <c r="T427" s="251">
        <f>IF(T$4&gt;DAY(EOMONTH(DATE($D$2,$B$2,1),0)),"",IFERROR(SUMIFS(DATA_GOC!$H:$H,DATA_GOC!$A:$A,"BOM",DATA_GOC!$D:$D,$B427,DATA_GOC!$E:$E,"Dầu cầu",DATA_GOC!$F:$F,"Xuất nội bộ từ téc",DATA_GOC!$B:$B,DATE($D$2,$B$2,T$4)),0))</f>
        <v>0</v>
      </c>
      <c r="U427" s="251">
        <f>IF(U$4&gt;DAY(EOMONTH(DATE($D$2,$B$2,1),0)),"",IFERROR(SUMIFS(DATA_GOC!$H:$H,DATA_GOC!$A:$A,"BOM",DATA_GOC!$D:$D,$B427,DATA_GOC!$E:$E,"Dầu cầu",DATA_GOC!$F:$F,"Xuất nội bộ từ téc",DATA_GOC!$B:$B,DATE($D$2,$B$2,U$4)),0))</f>
        <v>0</v>
      </c>
      <c r="V427" s="251">
        <f>IF(V$4&gt;DAY(EOMONTH(DATE($D$2,$B$2,1),0)),"",IFERROR(SUMIFS(DATA_GOC!$H:$H,DATA_GOC!$A:$A,"BOM",DATA_GOC!$D:$D,$B427,DATA_GOC!$E:$E,"Dầu cầu",DATA_GOC!$F:$F,"Xuất nội bộ từ téc",DATA_GOC!$B:$B,DATE($D$2,$B$2,V$4)),0))</f>
        <v>0</v>
      </c>
      <c r="W427" s="251">
        <f>IF(W$4&gt;DAY(EOMONTH(DATE($D$2,$B$2,1),0)),"",IFERROR(SUMIFS(DATA_GOC!$H:$H,DATA_GOC!$A:$A,"BOM",DATA_GOC!$D:$D,$B427,DATA_GOC!$E:$E,"Dầu cầu",DATA_GOC!$F:$F,"Xuất nội bộ từ téc",DATA_GOC!$B:$B,DATE($D$2,$B$2,W$4)),0))</f>
        <v>0</v>
      </c>
      <c r="X427" s="251">
        <f>IF(X$4&gt;DAY(EOMONTH(DATE($D$2,$B$2,1),0)),"",IFERROR(SUMIFS(DATA_GOC!$H:$H,DATA_GOC!$A:$A,"BOM",DATA_GOC!$D:$D,$B427,DATA_GOC!$E:$E,"Dầu cầu",DATA_GOC!$F:$F,"Xuất nội bộ từ téc",DATA_GOC!$B:$B,DATE($D$2,$B$2,X$4)),0))</f>
        <v>0</v>
      </c>
      <c r="Y427" s="251">
        <f>IF(Y$4&gt;DAY(EOMONTH(DATE($D$2,$B$2,1),0)),"",IFERROR(SUMIFS(DATA_GOC!$H:$H,DATA_GOC!$A:$A,"BOM",DATA_GOC!$D:$D,$B427,DATA_GOC!$E:$E,"Dầu cầu",DATA_GOC!$F:$F,"Xuất nội bộ từ téc",DATA_GOC!$B:$B,DATE($D$2,$B$2,Y$4)),0))</f>
        <v>0</v>
      </c>
      <c r="Z427" s="251">
        <f>IF(Z$4&gt;DAY(EOMONTH(DATE($D$2,$B$2,1),0)),"",IFERROR(SUMIFS(DATA_GOC!$H:$H,DATA_GOC!$A:$A,"BOM",DATA_GOC!$D:$D,$B427,DATA_GOC!$E:$E,"Dầu cầu",DATA_GOC!$F:$F,"Xuất nội bộ từ téc",DATA_GOC!$B:$B,DATE($D$2,$B$2,Z$4)),0))</f>
        <v>0</v>
      </c>
      <c r="AA427" s="251">
        <f>IF(AA$4&gt;DAY(EOMONTH(DATE($D$2,$B$2,1),0)),"",IFERROR(SUMIFS(DATA_GOC!$H:$H,DATA_GOC!$A:$A,"BOM",DATA_GOC!$D:$D,$B427,DATA_GOC!$E:$E,"Dầu cầu",DATA_GOC!$F:$F,"Xuất nội bộ từ téc",DATA_GOC!$B:$B,DATE($D$2,$B$2,AA$4)),0))</f>
        <v>0</v>
      </c>
      <c r="AB427" s="251">
        <f>IF(AB$4&gt;DAY(EOMONTH(DATE($D$2,$B$2,1),0)),"",IFERROR(SUMIFS(DATA_GOC!$H:$H,DATA_GOC!$A:$A,"BOM",DATA_GOC!$D:$D,$B427,DATA_GOC!$E:$E,"Dầu cầu",DATA_GOC!$F:$F,"Xuất nội bộ từ téc",DATA_GOC!$B:$B,DATE($D$2,$B$2,AB$4)),0))</f>
        <v>0</v>
      </c>
      <c r="AC427" s="251">
        <f>IF(AC$4&gt;DAY(EOMONTH(DATE($D$2,$B$2,1),0)),"",IFERROR(SUMIFS(DATA_GOC!$H:$H,DATA_GOC!$A:$A,"BOM",DATA_GOC!$D:$D,$B427,DATA_GOC!$E:$E,"Dầu cầu",DATA_GOC!$F:$F,"Xuất nội bộ từ téc",DATA_GOC!$B:$B,DATE($D$2,$B$2,AC$4)),0))</f>
        <v>0</v>
      </c>
      <c r="AD427" s="251">
        <f>IF(AD$4&gt;DAY(EOMONTH(DATE($D$2,$B$2,1),0)),"",IFERROR(SUMIFS(DATA_GOC!$H:$H,DATA_GOC!$A:$A,"BOM",DATA_GOC!$D:$D,$B427,DATA_GOC!$E:$E,"Dầu cầu",DATA_GOC!$F:$F,"Xuất nội bộ từ téc",DATA_GOC!$B:$B,DATE($D$2,$B$2,AD$4)),0))</f>
        <v>0</v>
      </c>
      <c r="AE427" s="251">
        <f>IF(AE$4&gt;DAY(EOMONTH(DATE($D$2,$B$2,1),0)),"",IFERROR(SUMIFS(DATA_GOC!$H:$H,DATA_GOC!$A:$A,"BOM",DATA_GOC!$D:$D,$B427,DATA_GOC!$E:$E,"Dầu cầu",DATA_GOC!$F:$F,"Xuất nội bộ từ téc",DATA_GOC!$B:$B,DATE($D$2,$B$2,AE$4)),0))</f>
        <v>0</v>
      </c>
      <c r="AF427" s="251">
        <f>IF(AF$4&gt;DAY(EOMONTH(DATE($D$2,$B$2,1),0)),"",IFERROR(SUMIFS(DATA_GOC!$H:$H,DATA_GOC!$A:$A,"BOM",DATA_GOC!$D:$D,$B427,DATA_GOC!$E:$E,"Dầu cầu",DATA_GOC!$F:$F,"Xuất nội bộ từ téc",DATA_GOC!$B:$B,DATE($D$2,$B$2,AF$4)),0))</f>
        <v>0</v>
      </c>
      <c r="AG427" s="251">
        <f>IF(AG$4&gt;DAY(EOMONTH(DATE($D$2,$B$2,1),0)),"",IFERROR(SUMIFS(DATA_GOC!$H:$H,DATA_GOC!$A:$A,"BOM",DATA_GOC!$D:$D,$B427,DATA_GOC!$E:$E,"Dầu cầu",DATA_GOC!$F:$F,"Xuất nội bộ từ téc",DATA_GOC!$B:$B,DATE($D$2,$B$2,AG$4)),0))</f>
        <v>0</v>
      </c>
      <c r="AH427" s="252">
        <f t="shared" si="19"/>
        <v>0</v>
      </c>
      <c r="AI427" s="241"/>
      <c r="AJ427" s="242">
        <f>IF($B427="","",SUMIFS(TINH_TEC!$K$233:$K$9232,TINH_TEC!$H$233:$H$9232,$B427,TINH_TEC!$C$233:$C$9232,"Dầu cầu",TINH_TEC!$F$233:$F$9232,$B$2,TINH_TEC!$G$233:$G$9232,$D$2,TINH_TEC!$B$233:$B$9232,"Đã chốt"))</f>
        <v>0</v>
      </c>
      <c r="AK427" s="242">
        <f>IF($B427="","",SUMIFS(TINH_TEC!$J$233:$J$9232,TINH_TEC!$H$233:$H$9232,$B427,TINH_TEC!$C$233:$C$9232,"Dầu cầu",TINH_TEC!$F$233:$F$9232,$B$2,TINH_TEC!$G$233:$G$9232,$D$2,TINH_TEC!$B$233:$B$9232,"Đã chốt"))</f>
        <v>0</v>
      </c>
      <c r="AL427" s="242">
        <f t="shared" si="20"/>
        <v>0</v>
      </c>
    </row>
    <row r="428" ht="15.75" customHeight="1">
      <c r="A428" s="237">
        <f>IF($B428&lt;&gt;"",57,"")</f>
        <v>57</v>
      </c>
      <c r="B428" s="250" t="str">
        <f t="array" ref="B428">IFERROR(INDEX(DANH_MUC!$E:$E,60),"")</f>
        <v>28C03044</v>
      </c>
      <c r="C428" s="251">
        <f>IF(C$4&gt;DAY(EOMONTH(DATE($D$2,$B$2,1),0)),"",IFERROR(SUMIFS(DATA_GOC!$H:$H,DATA_GOC!$A:$A,"BOM",DATA_GOC!$D:$D,$B428,DATA_GOC!$E:$E,"Dầu cầu",DATA_GOC!$F:$F,"Xuất nội bộ từ téc",DATA_GOC!$B:$B,DATE($D$2,$B$2,C$4)),0))</f>
        <v>0</v>
      </c>
      <c r="D428" s="251">
        <f>IF(D$4&gt;DAY(EOMONTH(DATE($D$2,$B$2,1),0)),"",IFERROR(SUMIFS(DATA_GOC!$H:$H,DATA_GOC!$A:$A,"BOM",DATA_GOC!$D:$D,$B428,DATA_GOC!$E:$E,"Dầu cầu",DATA_GOC!$F:$F,"Xuất nội bộ từ téc",DATA_GOC!$B:$B,DATE($D$2,$B$2,D$4)),0))</f>
        <v>0</v>
      </c>
      <c r="E428" s="251">
        <f>IF(E$4&gt;DAY(EOMONTH(DATE($D$2,$B$2,1),0)),"",IFERROR(SUMIFS(DATA_GOC!$H:$H,DATA_GOC!$A:$A,"BOM",DATA_GOC!$D:$D,$B428,DATA_GOC!$E:$E,"Dầu cầu",DATA_GOC!$F:$F,"Xuất nội bộ từ téc",DATA_GOC!$B:$B,DATE($D$2,$B$2,E$4)),0))</f>
        <v>0</v>
      </c>
      <c r="F428" s="251">
        <f>IF(F$4&gt;DAY(EOMONTH(DATE($D$2,$B$2,1),0)),"",IFERROR(SUMIFS(DATA_GOC!$H:$H,DATA_GOC!$A:$A,"BOM",DATA_GOC!$D:$D,$B428,DATA_GOC!$E:$E,"Dầu cầu",DATA_GOC!$F:$F,"Xuất nội bộ từ téc",DATA_GOC!$B:$B,DATE($D$2,$B$2,F$4)),0))</f>
        <v>0</v>
      </c>
      <c r="G428" s="251">
        <f>IF(G$4&gt;DAY(EOMONTH(DATE($D$2,$B$2,1),0)),"",IFERROR(SUMIFS(DATA_GOC!$H:$H,DATA_GOC!$A:$A,"BOM",DATA_GOC!$D:$D,$B428,DATA_GOC!$E:$E,"Dầu cầu",DATA_GOC!$F:$F,"Xuất nội bộ từ téc",DATA_GOC!$B:$B,DATE($D$2,$B$2,G$4)),0))</f>
        <v>0</v>
      </c>
      <c r="H428" s="251">
        <f>IF(H$4&gt;DAY(EOMONTH(DATE($D$2,$B$2,1),0)),"",IFERROR(SUMIFS(DATA_GOC!$H:$H,DATA_GOC!$A:$A,"BOM",DATA_GOC!$D:$D,$B428,DATA_GOC!$E:$E,"Dầu cầu",DATA_GOC!$F:$F,"Xuất nội bộ từ téc",DATA_GOC!$B:$B,DATE($D$2,$B$2,H$4)),0))</f>
        <v>0</v>
      </c>
      <c r="I428" s="251">
        <f>IF(I$4&gt;DAY(EOMONTH(DATE($D$2,$B$2,1),0)),"",IFERROR(SUMIFS(DATA_GOC!$H:$H,DATA_GOC!$A:$A,"BOM",DATA_GOC!$D:$D,$B428,DATA_GOC!$E:$E,"Dầu cầu",DATA_GOC!$F:$F,"Xuất nội bộ từ téc",DATA_GOC!$B:$B,DATE($D$2,$B$2,I$4)),0))</f>
        <v>0</v>
      </c>
      <c r="J428" s="251">
        <f>IF(J$4&gt;DAY(EOMONTH(DATE($D$2,$B$2,1),0)),"",IFERROR(SUMIFS(DATA_GOC!$H:$H,DATA_GOC!$A:$A,"BOM",DATA_GOC!$D:$D,$B428,DATA_GOC!$E:$E,"Dầu cầu",DATA_GOC!$F:$F,"Xuất nội bộ từ téc",DATA_GOC!$B:$B,DATE($D$2,$B$2,J$4)),0))</f>
        <v>0</v>
      </c>
      <c r="K428" s="251">
        <f>IF(K$4&gt;DAY(EOMONTH(DATE($D$2,$B$2,1),0)),"",IFERROR(SUMIFS(DATA_GOC!$H:$H,DATA_GOC!$A:$A,"BOM",DATA_GOC!$D:$D,$B428,DATA_GOC!$E:$E,"Dầu cầu",DATA_GOC!$F:$F,"Xuất nội bộ từ téc",DATA_GOC!$B:$B,DATE($D$2,$B$2,K$4)),0))</f>
        <v>0</v>
      </c>
      <c r="L428" s="251">
        <f>IF(L$4&gt;DAY(EOMONTH(DATE($D$2,$B$2,1),0)),"",IFERROR(SUMIFS(DATA_GOC!$H:$H,DATA_GOC!$A:$A,"BOM",DATA_GOC!$D:$D,$B428,DATA_GOC!$E:$E,"Dầu cầu",DATA_GOC!$F:$F,"Xuất nội bộ từ téc",DATA_GOC!$B:$B,DATE($D$2,$B$2,L$4)),0))</f>
        <v>0</v>
      </c>
      <c r="M428" s="251">
        <f>IF(M$4&gt;DAY(EOMONTH(DATE($D$2,$B$2,1),0)),"",IFERROR(SUMIFS(DATA_GOC!$H:$H,DATA_GOC!$A:$A,"BOM",DATA_GOC!$D:$D,$B428,DATA_GOC!$E:$E,"Dầu cầu",DATA_GOC!$F:$F,"Xuất nội bộ từ téc",DATA_GOC!$B:$B,DATE($D$2,$B$2,M$4)),0))</f>
        <v>0</v>
      </c>
      <c r="N428" s="251">
        <f>IF(N$4&gt;DAY(EOMONTH(DATE($D$2,$B$2,1),0)),"",IFERROR(SUMIFS(DATA_GOC!$H:$H,DATA_GOC!$A:$A,"BOM",DATA_GOC!$D:$D,$B428,DATA_GOC!$E:$E,"Dầu cầu",DATA_GOC!$F:$F,"Xuất nội bộ từ téc",DATA_GOC!$B:$B,DATE($D$2,$B$2,N$4)),0))</f>
        <v>0</v>
      </c>
      <c r="O428" s="251">
        <f>IF(O$4&gt;DAY(EOMONTH(DATE($D$2,$B$2,1),0)),"",IFERROR(SUMIFS(DATA_GOC!$H:$H,DATA_GOC!$A:$A,"BOM",DATA_GOC!$D:$D,$B428,DATA_GOC!$E:$E,"Dầu cầu",DATA_GOC!$F:$F,"Xuất nội bộ từ téc",DATA_GOC!$B:$B,DATE($D$2,$B$2,O$4)),0))</f>
        <v>0</v>
      </c>
      <c r="P428" s="251">
        <f>IF(P$4&gt;DAY(EOMONTH(DATE($D$2,$B$2,1),0)),"",IFERROR(SUMIFS(DATA_GOC!$H:$H,DATA_GOC!$A:$A,"BOM",DATA_GOC!$D:$D,$B428,DATA_GOC!$E:$E,"Dầu cầu",DATA_GOC!$F:$F,"Xuất nội bộ từ téc",DATA_GOC!$B:$B,DATE($D$2,$B$2,P$4)),0))</f>
        <v>0</v>
      </c>
      <c r="Q428" s="251">
        <f>IF(Q$4&gt;DAY(EOMONTH(DATE($D$2,$B$2,1),0)),"",IFERROR(SUMIFS(DATA_GOC!$H:$H,DATA_GOC!$A:$A,"BOM",DATA_GOC!$D:$D,$B428,DATA_GOC!$E:$E,"Dầu cầu",DATA_GOC!$F:$F,"Xuất nội bộ từ téc",DATA_GOC!$B:$B,DATE($D$2,$B$2,Q$4)),0))</f>
        <v>0</v>
      </c>
      <c r="R428" s="251">
        <f>IF(R$4&gt;DAY(EOMONTH(DATE($D$2,$B$2,1),0)),"",IFERROR(SUMIFS(DATA_GOC!$H:$H,DATA_GOC!$A:$A,"BOM",DATA_GOC!$D:$D,$B428,DATA_GOC!$E:$E,"Dầu cầu",DATA_GOC!$F:$F,"Xuất nội bộ từ téc",DATA_GOC!$B:$B,DATE($D$2,$B$2,R$4)),0))</f>
        <v>0</v>
      </c>
      <c r="S428" s="251">
        <f>IF(S$4&gt;DAY(EOMONTH(DATE($D$2,$B$2,1),0)),"",IFERROR(SUMIFS(DATA_GOC!$H:$H,DATA_GOC!$A:$A,"BOM",DATA_GOC!$D:$D,$B428,DATA_GOC!$E:$E,"Dầu cầu",DATA_GOC!$F:$F,"Xuất nội bộ từ téc",DATA_GOC!$B:$B,DATE($D$2,$B$2,S$4)),0))</f>
        <v>0</v>
      </c>
      <c r="T428" s="251">
        <f>IF(T$4&gt;DAY(EOMONTH(DATE($D$2,$B$2,1),0)),"",IFERROR(SUMIFS(DATA_GOC!$H:$H,DATA_GOC!$A:$A,"BOM",DATA_GOC!$D:$D,$B428,DATA_GOC!$E:$E,"Dầu cầu",DATA_GOC!$F:$F,"Xuất nội bộ từ téc",DATA_GOC!$B:$B,DATE($D$2,$B$2,T$4)),0))</f>
        <v>0</v>
      </c>
      <c r="U428" s="251">
        <f>IF(U$4&gt;DAY(EOMONTH(DATE($D$2,$B$2,1),0)),"",IFERROR(SUMIFS(DATA_GOC!$H:$H,DATA_GOC!$A:$A,"BOM",DATA_GOC!$D:$D,$B428,DATA_GOC!$E:$E,"Dầu cầu",DATA_GOC!$F:$F,"Xuất nội bộ từ téc",DATA_GOC!$B:$B,DATE($D$2,$B$2,U$4)),0))</f>
        <v>0</v>
      </c>
      <c r="V428" s="251">
        <f>IF(V$4&gt;DAY(EOMONTH(DATE($D$2,$B$2,1),0)),"",IFERROR(SUMIFS(DATA_GOC!$H:$H,DATA_GOC!$A:$A,"BOM",DATA_GOC!$D:$D,$B428,DATA_GOC!$E:$E,"Dầu cầu",DATA_GOC!$F:$F,"Xuất nội bộ từ téc",DATA_GOC!$B:$B,DATE($D$2,$B$2,V$4)),0))</f>
        <v>0</v>
      </c>
      <c r="W428" s="251">
        <f>IF(W$4&gt;DAY(EOMONTH(DATE($D$2,$B$2,1),0)),"",IFERROR(SUMIFS(DATA_GOC!$H:$H,DATA_GOC!$A:$A,"BOM",DATA_GOC!$D:$D,$B428,DATA_GOC!$E:$E,"Dầu cầu",DATA_GOC!$F:$F,"Xuất nội bộ từ téc",DATA_GOC!$B:$B,DATE($D$2,$B$2,W$4)),0))</f>
        <v>0</v>
      </c>
      <c r="X428" s="251">
        <f>IF(X$4&gt;DAY(EOMONTH(DATE($D$2,$B$2,1),0)),"",IFERROR(SUMIFS(DATA_GOC!$H:$H,DATA_GOC!$A:$A,"BOM",DATA_GOC!$D:$D,$B428,DATA_GOC!$E:$E,"Dầu cầu",DATA_GOC!$F:$F,"Xuất nội bộ từ téc",DATA_GOC!$B:$B,DATE($D$2,$B$2,X$4)),0))</f>
        <v>0</v>
      </c>
      <c r="Y428" s="251">
        <f>IF(Y$4&gt;DAY(EOMONTH(DATE($D$2,$B$2,1),0)),"",IFERROR(SUMIFS(DATA_GOC!$H:$H,DATA_GOC!$A:$A,"BOM",DATA_GOC!$D:$D,$B428,DATA_GOC!$E:$E,"Dầu cầu",DATA_GOC!$F:$F,"Xuất nội bộ từ téc",DATA_GOC!$B:$B,DATE($D$2,$B$2,Y$4)),0))</f>
        <v>0</v>
      </c>
      <c r="Z428" s="251">
        <f>IF(Z$4&gt;DAY(EOMONTH(DATE($D$2,$B$2,1),0)),"",IFERROR(SUMIFS(DATA_GOC!$H:$H,DATA_GOC!$A:$A,"BOM",DATA_GOC!$D:$D,$B428,DATA_GOC!$E:$E,"Dầu cầu",DATA_GOC!$F:$F,"Xuất nội bộ từ téc",DATA_GOC!$B:$B,DATE($D$2,$B$2,Z$4)),0))</f>
        <v>0</v>
      </c>
      <c r="AA428" s="251">
        <f>IF(AA$4&gt;DAY(EOMONTH(DATE($D$2,$B$2,1),0)),"",IFERROR(SUMIFS(DATA_GOC!$H:$H,DATA_GOC!$A:$A,"BOM",DATA_GOC!$D:$D,$B428,DATA_GOC!$E:$E,"Dầu cầu",DATA_GOC!$F:$F,"Xuất nội bộ từ téc",DATA_GOC!$B:$B,DATE($D$2,$B$2,AA$4)),0))</f>
        <v>0</v>
      </c>
      <c r="AB428" s="251">
        <f>IF(AB$4&gt;DAY(EOMONTH(DATE($D$2,$B$2,1),0)),"",IFERROR(SUMIFS(DATA_GOC!$H:$H,DATA_GOC!$A:$A,"BOM",DATA_GOC!$D:$D,$B428,DATA_GOC!$E:$E,"Dầu cầu",DATA_GOC!$F:$F,"Xuất nội bộ từ téc",DATA_GOC!$B:$B,DATE($D$2,$B$2,AB$4)),0))</f>
        <v>0</v>
      </c>
      <c r="AC428" s="251">
        <f>IF(AC$4&gt;DAY(EOMONTH(DATE($D$2,$B$2,1),0)),"",IFERROR(SUMIFS(DATA_GOC!$H:$H,DATA_GOC!$A:$A,"BOM",DATA_GOC!$D:$D,$B428,DATA_GOC!$E:$E,"Dầu cầu",DATA_GOC!$F:$F,"Xuất nội bộ từ téc",DATA_GOC!$B:$B,DATE($D$2,$B$2,AC$4)),0))</f>
        <v>0</v>
      </c>
      <c r="AD428" s="251">
        <f>IF(AD$4&gt;DAY(EOMONTH(DATE($D$2,$B$2,1),0)),"",IFERROR(SUMIFS(DATA_GOC!$H:$H,DATA_GOC!$A:$A,"BOM",DATA_GOC!$D:$D,$B428,DATA_GOC!$E:$E,"Dầu cầu",DATA_GOC!$F:$F,"Xuất nội bộ từ téc",DATA_GOC!$B:$B,DATE($D$2,$B$2,AD$4)),0))</f>
        <v>0</v>
      </c>
      <c r="AE428" s="251">
        <f>IF(AE$4&gt;DAY(EOMONTH(DATE($D$2,$B$2,1),0)),"",IFERROR(SUMIFS(DATA_GOC!$H:$H,DATA_GOC!$A:$A,"BOM",DATA_GOC!$D:$D,$B428,DATA_GOC!$E:$E,"Dầu cầu",DATA_GOC!$F:$F,"Xuất nội bộ từ téc",DATA_GOC!$B:$B,DATE($D$2,$B$2,AE$4)),0))</f>
        <v>0</v>
      </c>
      <c r="AF428" s="251">
        <f>IF(AF$4&gt;DAY(EOMONTH(DATE($D$2,$B$2,1),0)),"",IFERROR(SUMIFS(DATA_GOC!$H:$H,DATA_GOC!$A:$A,"BOM",DATA_GOC!$D:$D,$B428,DATA_GOC!$E:$E,"Dầu cầu",DATA_GOC!$F:$F,"Xuất nội bộ từ téc",DATA_GOC!$B:$B,DATE($D$2,$B$2,AF$4)),0))</f>
        <v>0</v>
      </c>
      <c r="AG428" s="251">
        <f>IF(AG$4&gt;DAY(EOMONTH(DATE($D$2,$B$2,1),0)),"",IFERROR(SUMIFS(DATA_GOC!$H:$H,DATA_GOC!$A:$A,"BOM",DATA_GOC!$D:$D,$B428,DATA_GOC!$E:$E,"Dầu cầu",DATA_GOC!$F:$F,"Xuất nội bộ từ téc",DATA_GOC!$B:$B,DATE($D$2,$B$2,AG$4)),0))</f>
        <v>0</v>
      </c>
      <c r="AH428" s="252">
        <f t="shared" si="19"/>
        <v>0</v>
      </c>
      <c r="AI428" s="241"/>
      <c r="AJ428" s="242">
        <f>IF($B428="","",SUMIFS(TINH_TEC!$K$233:$K$9232,TINH_TEC!$H$233:$H$9232,$B428,TINH_TEC!$C$233:$C$9232,"Dầu cầu",TINH_TEC!$F$233:$F$9232,$B$2,TINH_TEC!$G$233:$G$9232,$D$2,TINH_TEC!$B$233:$B$9232,"Đã chốt"))</f>
        <v>0</v>
      </c>
      <c r="AK428" s="242">
        <f>IF($B428="","",SUMIFS(TINH_TEC!$J$233:$J$9232,TINH_TEC!$H$233:$H$9232,$B428,TINH_TEC!$C$233:$C$9232,"Dầu cầu",TINH_TEC!$F$233:$F$9232,$B$2,TINH_TEC!$G$233:$G$9232,$D$2,TINH_TEC!$B$233:$B$9232,"Đã chốt"))</f>
        <v>0</v>
      </c>
      <c r="AL428" s="242">
        <f t="shared" si="20"/>
        <v>0</v>
      </c>
    </row>
    <row r="429" ht="15.75" customHeight="1">
      <c r="A429" s="237">
        <f>IF($B429&lt;&gt;"",58,"")</f>
        <v>58</v>
      </c>
      <c r="B429" s="250" t="str">
        <f t="array" ref="B429">IFERROR(INDEX(DANH_MUC!$E:$E,61),"")</f>
        <v>Máy lu lốp</v>
      </c>
      <c r="C429" s="251">
        <f>IF(C$4&gt;DAY(EOMONTH(DATE($D$2,$B$2,1),0)),"",IFERROR(SUMIFS(DATA_GOC!$H:$H,DATA_GOC!$A:$A,"BOM",DATA_GOC!$D:$D,$B429,DATA_GOC!$E:$E,"Dầu cầu",DATA_GOC!$F:$F,"Xuất nội bộ từ téc",DATA_GOC!$B:$B,DATE($D$2,$B$2,C$4)),0))</f>
        <v>0</v>
      </c>
      <c r="D429" s="251">
        <f>IF(D$4&gt;DAY(EOMONTH(DATE($D$2,$B$2,1),0)),"",IFERROR(SUMIFS(DATA_GOC!$H:$H,DATA_GOC!$A:$A,"BOM",DATA_GOC!$D:$D,$B429,DATA_GOC!$E:$E,"Dầu cầu",DATA_GOC!$F:$F,"Xuất nội bộ từ téc",DATA_GOC!$B:$B,DATE($D$2,$B$2,D$4)),0))</f>
        <v>0</v>
      </c>
      <c r="E429" s="251">
        <f>IF(E$4&gt;DAY(EOMONTH(DATE($D$2,$B$2,1),0)),"",IFERROR(SUMIFS(DATA_GOC!$H:$H,DATA_GOC!$A:$A,"BOM",DATA_GOC!$D:$D,$B429,DATA_GOC!$E:$E,"Dầu cầu",DATA_GOC!$F:$F,"Xuất nội bộ từ téc",DATA_GOC!$B:$B,DATE($D$2,$B$2,E$4)),0))</f>
        <v>0</v>
      </c>
      <c r="F429" s="251">
        <f>IF(F$4&gt;DAY(EOMONTH(DATE($D$2,$B$2,1),0)),"",IFERROR(SUMIFS(DATA_GOC!$H:$H,DATA_GOC!$A:$A,"BOM",DATA_GOC!$D:$D,$B429,DATA_GOC!$E:$E,"Dầu cầu",DATA_GOC!$F:$F,"Xuất nội bộ từ téc",DATA_GOC!$B:$B,DATE($D$2,$B$2,F$4)),0))</f>
        <v>0</v>
      </c>
      <c r="G429" s="251">
        <f>IF(G$4&gt;DAY(EOMONTH(DATE($D$2,$B$2,1),0)),"",IFERROR(SUMIFS(DATA_GOC!$H:$H,DATA_GOC!$A:$A,"BOM",DATA_GOC!$D:$D,$B429,DATA_GOC!$E:$E,"Dầu cầu",DATA_GOC!$F:$F,"Xuất nội bộ từ téc",DATA_GOC!$B:$B,DATE($D$2,$B$2,G$4)),0))</f>
        <v>0</v>
      </c>
      <c r="H429" s="251">
        <f>IF(H$4&gt;DAY(EOMONTH(DATE($D$2,$B$2,1),0)),"",IFERROR(SUMIFS(DATA_GOC!$H:$H,DATA_GOC!$A:$A,"BOM",DATA_GOC!$D:$D,$B429,DATA_GOC!$E:$E,"Dầu cầu",DATA_GOC!$F:$F,"Xuất nội bộ từ téc",DATA_GOC!$B:$B,DATE($D$2,$B$2,H$4)),0))</f>
        <v>0</v>
      </c>
      <c r="I429" s="251">
        <f>IF(I$4&gt;DAY(EOMONTH(DATE($D$2,$B$2,1),0)),"",IFERROR(SUMIFS(DATA_GOC!$H:$H,DATA_GOC!$A:$A,"BOM",DATA_GOC!$D:$D,$B429,DATA_GOC!$E:$E,"Dầu cầu",DATA_GOC!$F:$F,"Xuất nội bộ từ téc",DATA_GOC!$B:$B,DATE($D$2,$B$2,I$4)),0))</f>
        <v>0</v>
      </c>
      <c r="J429" s="251">
        <f>IF(J$4&gt;DAY(EOMONTH(DATE($D$2,$B$2,1),0)),"",IFERROR(SUMIFS(DATA_GOC!$H:$H,DATA_GOC!$A:$A,"BOM",DATA_GOC!$D:$D,$B429,DATA_GOC!$E:$E,"Dầu cầu",DATA_GOC!$F:$F,"Xuất nội bộ từ téc",DATA_GOC!$B:$B,DATE($D$2,$B$2,J$4)),0))</f>
        <v>0</v>
      </c>
      <c r="K429" s="251">
        <f>IF(K$4&gt;DAY(EOMONTH(DATE($D$2,$B$2,1),0)),"",IFERROR(SUMIFS(DATA_GOC!$H:$H,DATA_GOC!$A:$A,"BOM",DATA_GOC!$D:$D,$B429,DATA_GOC!$E:$E,"Dầu cầu",DATA_GOC!$F:$F,"Xuất nội bộ từ téc",DATA_GOC!$B:$B,DATE($D$2,$B$2,K$4)),0))</f>
        <v>0</v>
      </c>
      <c r="L429" s="251">
        <f>IF(L$4&gt;DAY(EOMONTH(DATE($D$2,$B$2,1),0)),"",IFERROR(SUMIFS(DATA_GOC!$H:$H,DATA_GOC!$A:$A,"BOM",DATA_GOC!$D:$D,$B429,DATA_GOC!$E:$E,"Dầu cầu",DATA_GOC!$F:$F,"Xuất nội bộ từ téc",DATA_GOC!$B:$B,DATE($D$2,$B$2,L$4)),0))</f>
        <v>0</v>
      </c>
      <c r="M429" s="251">
        <f>IF(M$4&gt;DAY(EOMONTH(DATE($D$2,$B$2,1),0)),"",IFERROR(SUMIFS(DATA_GOC!$H:$H,DATA_GOC!$A:$A,"BOM",DATA_GOC!$D:$D,$B429,DATA_GOC!$E:$E,"Dầu cầu",DATA_GOC!$F:$F,"Xuất nội bộ từ téc",DATA_GOC!$B:$B,DATE($D$2,$B$2,M$4)),0))</f>
        <v>0</v>
      </c>
      <c r="N429" s="251">
        <f>IF(N$4&gt;DAY(EOMONTH(DATE($D$2,$B$2,1),0)),"",IFERROR(SUMIFS(DATA_GOC!$H:$H,DATA_GOC!$A:$A,"BOM",DATA_GOC!$D:$D,$B429,DATA_GOC!$E:$E,"Dầu cầu",DATA_GOC!$F:$F,"Xuất nội bộ từ téc",DATA_GOC!$B:$B,DATE($D$2,$B$2,N$4)),0))</f>
        <v>0</v>
      </c>
      <c r="O429" s="251">
        <f>IF(O$4&gt;DAY(EOMONTH(DATE($D$2,$B$2,1),0)),"",IFERROR(SUMIFS(DATA_GOC!$H:$H,DATA_GOC!$A:$A,"BOM",DATA_GOC!$D:$D,$B429,DATA_GOC!$E:$E,"Dầu cầu",DATA_GOC!$F:$F,"Xuất nội bộ từ téc",DATA_GOC!$B:$B,DATE($D$2,$B$2,O$4)),0))</f>
        <v>0</v>
      </c>
      <c r="P429" s="251">
        <f>IF(P$4&gt;DAY(EOMONTH(DATE($D$2,$B$2,1),0)),"",IFERROR(SUMIFS(DATA_GOC!$H:$H,DATA_GOC!$A:$A,"BOM",DATA_GOC!$D:$D,$B429,DATA_GOC!$E:$E,"Dầu cầu",DATA_GOC!$F:$F,"Xuất nội bộ từ téc",DATA_GOC!$B:$B,DATE($D$2,$B$2,P$4)),0))</f>
        <v>0</v>
      </c>
      <c r="Q429" s="251">
        <f>IF(Q$4&gt;DAY(EOMONTH(DATE($D$2,$B$2,1),0)),"",IFERROR(SUMIFS(DATA_GOC!$H:$H,DATA_GOC!$A:$A,"BOM",DATA_GOC!$D:$D,$B429,DATA_GOC!$E:$E,"Dầu cầu",DATA_GOC!$F:$F,"Xuất nội bộ từ téc",DATA_GOC!$B:$B,DATE($D$2,$B$2,Q$4)),0))</f>
        <v>0</v>
      </c>
      <c r="R429" s="251">
        <f>IF(R$4&gt;DAY(EOMONTH(DATE($D$2,$B$2,1),0)),"",IFERROR(SUMIFS(DATA_GOC!$H:$H,DATA_GOC!$A:$A,"BOM",DATA_GOC!$D:$D,$B429,DATA_GOC!$E:$E,"Dầu cầu",DATA_GOC!$F:$F,"Xuất nội bộ từ téc",DATA_GOC!$B:$B,DATE($D$2,$B$2,R$4)),0))</f>
        <v>0</v>
      </c>
      <c r="S429" s="251">
        <f>IF(S$4&gt;DAY(EOMONTH(DATE($D$2,$B$2,1),0)),"",IFERROR(SUMIFS(DATA_GOC!$H:$H,DATA_GOC!$A:$A,"BOM",DATA_GOC!$D:$D,$B429,DATA_GOC!$E:$E,"Dầu cầu",DATA_GOC!$F:$F,"Xuất nội bộ từ téc",DATA_GOC!$B:$B,DATE($D$2,$B$2,S$4)),0))</f>
        <v>0</v>
      </c>
      <c r="T429" s="251">
        <f>IF(T$4&gt;DAY(EOMONTH(DATE($D$2,$B$2,1),0)),"",IFERROR(SUMIFS(DATA_GOC!$H:$H,DATA_GOC!$A:$A,"BOM",DATA_GOC!$D:$D,$B429,DATA_GOC!$E:$E,"Dầu cầu",DATA_GOC!$F:$F,"Xuất nội bộ từ téc",DATA_GOC!$B:$B,DATE($D$2,$B$2,T$4)),0))</f>
        <v>0</v>
      </c>
      <c r="U429" s="251">
        <f>IF(U$4&gt;DAY(EOMONTH(DATE($D$2,$B$2,1),0)),"",IFERROR(SUMIFS(DATA_GOC!$H:$H,DATA_GOC!$A:$A,"BOM",DATA_GOC!$D:$D,$B429,DATA_GOC!$E:$E,"Dầu cầu",DATA_GOC!$F:$F,"Xuất nội bộ từ téc",DATA_GOC!$B:$B,DATE($D$2,$B$2,U$4)),0))</f>
        <v>0</v>
      </c>
      <c r="V429" s="251">
        <f>IF(V$4&gt;DAY(EOMONTH(DATE($D$2,$B$2,1),0)),"",IFERROR(SUMIFS(DATA_GOC!$H:$H,DATA_GOC!$A:$A,"BOM",DATA_GOC!$D:$D,$B429,DATA_GOC!$E:$E,"Dầu cầu",DATA_GOC!$F:$F,"Xuất nội bộ từ téc",DATA_GOC!$B:$B,DATE($D$2,$B$2,V$4)),0))</f>
        <v>0</v>
      </c>
      <c r="W429" s="251">
        <f>IF(W$4&gt;DAY(EOMONTH(DATE($D$2,$B$2,1),0)),"",IFERROR(SUMIFS(DATA_GOC!$H:$H,DATA_GOC!$A:$A,"BOM",DATA_GOC!$D:$D,$B429,DATA_GOC!$E:$E,"Dầu cầu",DATA_GOC!$F:$F,"Xuất nội bộ từ téc",DATA_GOC!$B:$B,DATE($D$2,$B$2,W$4)),0))</f>
        <v>0</v>
      </c>
      <c r="X429" s="251">
        <f>IF(X$4&gt;DAY(EOMONTH(DATE($D$2,$B$2,1),0)),"",IFERROR(SUMIFS(DATA_GOC!$H:$H,DATA_GOC!$A:$A,"BOM",DATA_GOC!$D:$D,$B429,DATA_GOC!$E:$E,"Dầu cầu",DATA_GOC!$F:$F,"Xuất nội bộ từ téc",DATA_GOC!$B:$B,DATE($D$2,$B$2,X$4)),0))</f>
        <v>0</v>
      </c>
      <c r="Y429" s="251">
        <f>IF(Y$4&gt;DAY(EOMONTH(DATE($D$2,$B$2,1),0)),"",IFERROR(SUMIFS(DATA_GOC!$H:$H,DATA_GOC!$A:$A,"BOM",DATA_GOC!$D:$D,$B429,DATA_GOC!$E:$E,"Dầu cầu",DATA_GOC!$F:$F,"Xuất nội bộ từ téc",DATA_GOC!$B:$B,DATE($D$2,$B$2,Y$4)),0))</f>
        <v>0</v>
      </c>
      <c r="Z429" s="251">
        <f>IF(Z$4&gt;DAY(EOMONTH(DATE($D$2,$B$2,1),0)),"",IFERROR(SUMIFS(DATA_GOC!$H:$H,DATA_GOC!$A:$A,"BOM",DATA_GOC!$D:$D,$B429,DATA_GOC!$E:$E,"Dầu cầu",DATA_GOC!$F:$F,"Xuất nội bộ từ téc",DATA_GOC!$B:$B,DATE($D$2,$B$2,Z$4)),0))</f>
        <v>0</v>
      </c>
      <c r="AA429" s="251">
        <f>IF(AA$4&gt;DAY(EOMONTH(DATE($D$2,$B$2,1),0)),"",IFERROR(SUMIFS(DATA_GOC!$H:$H,DATA_GOC!$A:$A,"BOM",DATA_GOC!$D:$D,$B429,DATA_GOC!$E:$E,"Dầu cầu",DATA_GOC!$F:$F,"Xuất nội bộ từ téc",DATA_GOC!$B:$B,DATE($D$2,$B$2,AA$4)),0))</f>
        <v>0</v>
      </c>
      <c r="AB429" s="251">
        <f>IF(AB$4&gt;DAY(EOMONTH(DATE($D$2,$B$2,1),0)),"",IFERROR(SUMIFS(DATA_GOC!$H:$H,DATA_GOC!$A:$A,"BOM",DATA_GOC!$D:$D,$B429,DATA_GOC!$E:$E,"Dầu cầu",DATA_GOC!$F:$F,"Xuất nội bộ từ téc",DATA_GOC!$B:$B,DATE($D$2,$B$2,AB$4)),0))</f>
        <v>0</v>
      </c>
      <c r="AC429" s="251">
        <f>IF(AC$4&gt;DAY(EOMONTH(DATE($D$2,$B$2,1),0)),"",IFERROR(SUMIFS(DATA_GOC!$H:$H,DATA_GOC!$A:$A,"BOM",DATA_GOC!$D:$D,$B429,DATA_GOC!$E:$E,"Dầu cầu",DATA_GOC!$F:$F,"Xuất nội bộ từ téc",DATA_GOC!$B:$B,DATE($D$2,$B$2,AC$4)),0))</f>
        <v>0</v>
      </c>
      <c r="AD429" s="251">
        <f>IF(AD$4&gt;DAY(EOMONTH(DATE($D$2,$B$2,1),0)),"",IFERROR(SUMIFS(DATA_GOC!$H:$H,DATA_GOC!$A:$A,"BOM",DATA_GOC!$D:$D,$B429,DATA_GOC!$E:$E,"Dầu cầu",DATA_GOC!$F:$F,"Xuất nội bộ từ téc",DATA_GOC!$B:$B,DATE($D$2,$B$2,AD$4)),0))</f>
        <v>0</v>
      </c>
      <c r="AE429" s="251">
        <f>IF(AE$4&gt;DAY(EOMONTH(DATE($D$2,$B$2,1),0)),"",IFERROR(SUMIFS(DATA_GOC!$H:$H,DATA_GOC!$A:$A,"BOM",DATA_GOC!$D:$D,$B429,DATA_GOC!$E:$E,"Dầu cầu",DATA_GOC!$F:$F,"Xuất nội bộ từ téc",DATA_GOC!$B:$B,DATE($D$2,$B$2,AE$4)),0))</f>
        <v>0</v>
      </c>
      <c r="AF429" s="251">
        <f>IF(AF$4&gt;DAY(EOMONTH(DATE($D$2,$B$2,1),0)),"",IFERROR(SUMIFS(DATA_GOC!$H:$H,DATA_GOC!$A:$A,"BOM",DATA_GOC!$D:$D,$B429,DATA_GOC!$E:$E,"Dầu cầu",DATA_GOC!$F:$F,"Xuất nội bộ từ téc",DATA_GOC!$B:$B,DATE($D$2,$B$2,AF$4)),0))</f>
        <v>0</v>
      </c>
      <c r="AG429" s="251">
        <f>IF(AG$4&gt;DAY(EOMONTH(DATE($D$2,$B$2,1),0)),"",IFERROR(SUMIFS(DATA_GOC!$H:$H,DATA_GOC!$A:$A,"BOM",DATA_GOC!$D:$D,$B429,DATA_GOC!$E:$E,"Dầu cầu",DATA_GOC!$F:$F,"Xuất nội bộ từ téc",DATA_GOC!$B:$B,DATE($D$2,$B$2,AG$4)),0))</f>
        <v>0</v>
      </c>
      <c r="AH429" s="252">
        <f t="shared" si="19"/>
        <v>0</v>
      </c>
      <c r="AI429" s="241"/>
      <c r="AJ429" s="242">
        <f>IF($B429="","",SUMIFS(TINH_TEC!$K$233:$K$9232,TINH_TEC!$H$233:$H$9232,$B429,TINH_TEC!$C$233:$C$9232,"Dầu cầu",TINH_TEC!$F$233:$F$9232,$B$2,TINH_TEC!$G$233:$G$9232,$D$2,TINH_TEC!$B$233:$B$9232,"Đã chốt"))</f>
        <v>0</v>
      </c>
      <c r="AK429" s="242">
        <f>IF($B429="","",SUMIFS(TINH_TEC!$J$233:$J$9232,TINH_TEC!$H$233:$H$9232,$B429,TINH_TEC!$C$233:$C$9232,"Dầu cầu",TINH_TEC!$F$233:$F$9232,$B$2,TINH_TEC!$G$233:$G$9232,$D$2,TINH_TEC!$B$233:$B$9232,"Đã chốt"))</f>
        <v>0</v>
      </c>
      <c r="AL429" s="242">
        <f t="shared" si="20"/>
        <v>0</v>
      </c>
    </row>
    <row r="430" ht="18.0" customHeight="1">
      <c r="A430" s="212"/>
      <c r="B430" s="253" t="s">
        <v>552</v>
      </c>
      <c r="C430" s="254">
        <f t="shared" ref="C430:AL430" si="21">SUM(C372:C429)</f>
        <v>0</v>
      </c>
      <c r="D430" s="254">
        <f t="shared" si="21"/>
        <v>0</v>
      </c>
      <c r="E430" s="254">
        <f t="shared" si="21"/>
        <v>0</v>
      </c>
      <c r="F430" s="254">
        <f t="shared" si="21"/>
        <v>0</v>
      </c>
      <c r="G430" s="254">
        <f t="shared" si="21"/>
        <v>0</v>
      </c>
      <c r="H430" s="254">
        <f t="shared" si="21"/>
        <v>0</v>
      </c>
      <c r="I430" s="254">
        <f t="shared" si="21"/>
        <v>0</v>
      </c>
      <c r="J430" s="254">
        <f t="shared" si="21"/>
        <v>0</v>
      </c>
      <c r="K430" s="254">
        <f t="shared" si="21"/>
        <v>0</v>
      </c>
      <c r="L430" s="254">
        <f t="shared" si="21"/>
        <v>0</v>
      </c>
      <c r="M430" s="254">
        <f t="shared" si="21"/>
        <v>0</v>
      </c>
      <c r="N430" s="254">
        <f t="shared" si="21"/>
        <v>0</v>
      </c>
      <c r="O430" s="254">
        <f t="shared" si="21"/>
        <v>0</v>
      </c>
      <c r="P430" s="254">
        <f t="shared" si="21"/>
        <v>0</v>
      </c>
      <c r="Q430" s="254">
        <f t="shared" si="21"/>
        <v>0</v>
      </c>
      <c r="R430" s="254">
        <f t="shared" si="21"/>
        <v>0</v>
      </c>
      <c r="S430" s="254">
        <f t="shared" si="21"/>
        <v>0</v>
      </c>
      <c r="T430" s="254">
        <f t="shared" si="21"/>
        <v>0</v>
      </c>
      <c r="U430" s="254">
        <f t="shared" si="21"/>
        <v>0</v>
      </c>
      <c r="V430" s="254">
        <f t="shared" si="21"/>
        <v>0</v>
      </c>
      <c r="W430" s="254">
        <f t="shared" si="21"/>
        <v>0</v>
      </c>
      <c r="X430" s="254">
        <f t="shared" si="21"/>
        <v>0</v>
      </c>
      <c r="Y430" s="254">
        <f t="shared" si="21"/>
        <v>0</v>
      </c>
      <c r="Z430" s="254">
        <f t="shared" si="21"/>
        <v>0</v>
      </c>
      <c r="AA430" s="254">
        <f t="shared" si="21"/>
        <v>0</v>
      </c>
      <c r="AB430" s="254">
        <f t="shared" si="21"/>
        <v>0</v>
      </c>
      <c r="AC430" s="254">
        <f t="shared" si="21"/>
        <v>0</v>
      </c>
      <c r="AD430" s="254">
        <f t="shared" si="21"/>
        <v>0</v>
      </c>
      <c r="AE430" s="254">
        <f t="shared" si="21"/>
        <v>0</v>
      </c>
      <c r="AF430" s="254">
        <f t="shared" si="21"/>
        <v>0</v>
      </c>
      <c r="AG430" s="254">
        <f t="shared" si="21"/>
        <v>0</v>
      </c>
      <c r="AH430" s="255">
        <f t="shared" si="21"/>
        <v>0</v>
      </c>
      <c r="AI430" s="256">
        <f t="shared" si="21"/>
        <v>0</v>
      </c>
      <c r="AJ430" s="257">
        <f t="shared" si="21"/>
        <v>0</v>
      </c>
      <c r="AK430" s="257">
        <f t="shared" si="21"/>
        <v>0</v>
      </c>
      <c r="AL430" s="257">
        <f t="shared" si="21"/>
        <v>0</v>
      </c>
    </row>
    <row r="431" ht="15.75" customHeight="1">
      <c r="A431" s="237"/>
      <c r="B431" s="258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2"/>
      <c r="AI431" s="260"/>
      <c r="AJ431" s="242"/>
      <c r="AK431" s="242"/>
      <c r="AL431" s="242"/>
    </row>
    <row r="432" ht="18.0" customHeight="1">
      <c r="A432" s="249" t="s">
        <v>553</v>
      </c>
    </row>
    <row r="433" ht="15.75" customHeight="1">
      <c r="A433" s="237">
        <f>IF($B433&lt;&gt;"",1,"")</f>
        <v>1</v>
      </c>
      <c r="B433" s="250" t="str">
        <f t="array" ref="B433">IFERROR(INDEX(DANH_MUC!$E:$E,4),"")</f>
        <v>19H09482</v>
      </c>
      <c r="C433" s="251">
        <f>IF(C$4&gt;DAY(EOMONTH(DATE($D$2,$B$2,1),0)),"",IFERROR(SUMIFS(DATA_GOC!$H:$H,DATA_GOC!$A:$A,"BOM",DATA_GOC!$D:$D,$B433,DATA_GOC!$E:$E,"Dầu số",DATA_GOC!$F:$F,"Xuất nội bộ từ téc",DATA_GOC!$B:$B,DATE($D$2,$B$2,C$4)),0))</f>
        <v>0</v>
      </c>
      <c r="D433" s="251">
        <f>IF(D$4&gt;DAY(EOMONTH(DATE($D$2,$B$2,1),0)),"",IFERROR(SUMIFS(DATA_GOC!$H:$H,DATA_GOC!$A:$A,"BOM",DATA_GOC!$D:$D,$B433,DATA_GOC!$E:$E,"Dầu số",DATA_GOC!$F:$F,"Xuất nội bộ từ téc",DATA_GOC!$B:$B,DATE($D$2,$B$2,D$4)),0))</f>
        <v>0</v>
      </c>
      <c r="E433" s="251">
        <f>IF(E$4&gt;DAY(EOMONTH(DATE($D$2,$B$2,1),0)),"",IFERROR(SUMIFS(DATA_GOC!$H:$H,DATA_GOC!$A:$A,"BOM",DATA_GOC!$D:$D,$B433,DATA_GOC!$E:$E,"Dầu số",DATA_GOC!$F:$F,"Xuất nội bộ từ téc",DATA_GOC!$B:$B,DATE($D$2,$B$2,E$4)),0))</f>
        <v>0</v>
      </c>
      <c r="F433" s="251">
        <f>IF(F$4&gt;DAY(EOMONTH(DATE($D$2,$B$2,1),0)),"",IFERROR(SUMIFS(DATA_GOC!$H:$H,DATA_GOC!$A:$A,"BOM",DATA_GOC!$D:$D,$B433,DATA_GOC!$E:$E,"Dầu số",DATA_GOC!$F:$F,"Xuất nội bộ từ téc",DATA_GOC!$B:$B,DATE($D$2,$B$2,F$4)),0))</f>
        <v>0</v>
      </c>
      <c r="G433" s="251">
        <f>IF(G$4&gt;DAY(EOMONTH(DATE($D$2,$B$2,1),0)),"",IFERROR(SUMIFS(DATA_GOC!$H:$H,DATA_GOC!$A:$A,"BOM",DATA_GOC!$D:$D,$B433,DATA_GOC!$E:$E,"Dầu số",DATA_GOC!$F:$F,"Xuất nội bộ từ téc",DATA_GOC!$B:$B,DATE($D$2,$B$2,G$4)),0))</f>
        <v>0</v>
      </c>
      <c r="H433" s="251">
        <f>IF(H$4&gt;DAY(EOMONTH(DATE($D$2,$B$2,1),0)),"",IFERROR(SUMIFS(DATA_GOC!$H:$H,DATA_GOC!$A:$A,"BOM",DATA_GOC!$D:$D,$B433,DATA_GOC!$E:$E,"Dầu số",DATA_GOC!$F:$F,"Xuất nội bộ từ téc",DATA_GOC!$B:$B,DATE($D$2,$B$2,H$4)),0))</f>
        <v>0</v>
      </c>
      <c r="I433" s="251">
        <f>IF(I$4&gt;DAY(EOMONTH(DATE($D$2,$B$2,1),0)),"",IFERROR(SUMIFS(DATA_GOC!$H:$H,DATA_GOC!$A:$A,"BOM",DATA_GOC!$D:$D,$B433,DATA_GOC!$E:$E,"Dầu số",DATA_GOC!$F:$F,"Xuất nội bộ từ téc",DATA_GOC!$B:$B,DATE($D$2,$B$2,I$4)),0))</f>
        <v>0</v>
      </c>
      <c r="J433" s="251">
        <f>IF(J$4&gt;DAY(EOMONTH(DATE($D$2,$B$2,1),0)),"",IFERROR(SUMIFS(DATA_GOC!$H:$H,DATA_GOC!$A:$A,"BOM",DATA_GOC!$D:$D,$B433,DATA_GOC!$E:$E,"Dầu số",DATA_GOC!$F:$F,"Xuất nội bộ từ téc",DATA_GOC!$B:$B,DATE($D$2,$B$2,J$4)),0))</f>
        <v>0</v>
      </c>
      <c r="K433" s="251">
        <f>IF(K$4&gt;DAY(EOMONTH(DATE($D$2,$B$2,1),0)),"",IFERROR(SUMIFS(DATA_GOC!$H:$H,DATA_GOC!$A:$A,"BOM",DATA_GOC!$D:$D,$B433,DATA_GOC!$E:$E,"Dầu số",DATA_GOC!$F:$F,"Xuất nội bộ từ téc",DATA_GOC!$B:$B,DATE($D$2,$B$2,K$4)),0))</f>
        <v>0</v>
      </c>
      <c r="L433" s="251">
        <f>IF(L$4&gt;DAY(EOMONTH(DATE($D$2,$B$2,1),0)),"",IFERROR(SUMIFS(DATA_GOC!$H:$H,DATA_GOC!$A:$A,"BOM",DATA_GOC!$D:$D,$B433,DATA_GOC!$E:$E,"Dầu số",DATA_GOC!$F:$F,"Xuất nội bộ từ téc",DATA_GOC!$B:$B,DATE($D$2,$B$2,L$4)),0))</f>
        <v>0</v>
      </c>
      <c r="M433" s="251">
        <f>IF(M$4&gt;DAY(EOMONTH(DATE($D$2,$B$2,1),0)),"",IFERROR(SUMIFS(DATA_GOC!$H:$H,DATA_GOC!$A:$A,"BOM",DATA_GOC!$D:$D,$B433,DATA_GOC!$E:$E,"Dầu số",DATA_GOC!$F:$F,"Xuất nội bộ từ téc",DATA_GOC!$B:$B,DATE($D$2,$B$2,M$4)),0))</f>
        <v>0</v>
      </c>
      <c r="N433" s="251">
        <f>IF(N$4&gt;DAY(EOMONTH(DATE($D$2,$B$2,1),0)),"",IFERROR(SUMIFS(DATA_GOC!$H:$H,DATA_GOC!$A:$A,"BOM",DATA_GOC!$D:$D,$B433,DATA_GOC!$E:$E,"Dầu số",DATA_GOC!$F:$F,"Xuất nội bộ từ téc",DATA_GOC!$B:$B,DATE($D$2,$B$2,N$4)),0))</f>
        <v>0</v>
      </c>
      <c r="O433" s="251">
        <f>IF(O$4&gt;DAY(EOMONTH(DATE($D$2,$B$2,1),0)),"",IFERROR(SUMIFS(DATA_GOC!$H:$H,DATA_GOC!$A:$A,"BOM",DATA_GOC!$D:$D,$B433,DATA_GOC!$E:$E,"Dầu số",DATA_GOC!$F:$F,"Xuất nội bộ từ téc",DATA_GOC!$B:$B,DATE($D$2,$B$2,O$4)),0))</f>
        <v>0</v>
      </c>
      <c r="P433" s="251">
        <f>IF(P$4&gt;DAY(EOMONTH(DATE($D$2,$B$2,1),0)),"",IFERROR(SUMIFS(DATA_GOC!$H:$H,DATA_GOC!$A:$A,"BOM",DATA_GOC!$D:$D,$B433,DATA_GOC!$E:$E,"Dầu số",DATA_GOC!$F:$F,"Xuất nội bộ từ téc",DATA_GOC!$B:$B,DATE($D$2,$B$2,P$4)),0))</f>
        <v>0</v>
      </c>
      <c r="Q433" s="251">
        <f>IF(Q$4&gt;DAY(EOMONTH(DATE($D$2,$B$2,1),0)),"",IFERROR(SUMIFS(DATA_GOC!$H:$H,DATA_GOC!$A:$A,"BOM",DATA_GOC!$D:$D,$B433,DATA_GOC!$E:$E,"Dầu số",DATA_GOC!$F:$F,"Xuất nội bộ từ téc",DATA_GOC!$B:$B,DATE($D$2,$B$2,Q$4)),0))</f>
        <v>0</v>
      </c>
      <c r="R433" s="251">
        <f>IF(R$4&gt;DAY(EOMONTH(DATE($D$2,$B$2,1),0)),"",IFERROR(SUMIFS(DATA_GOC!$H:$H,DATA_GOC!$A:$A,"BOM",DATA_GOC!$D:$D,$B433,DATA_GOC!$E:$E,"Dầu số",DATA_GOC!$F:$F,"Xuất nội bộ từ téc",DATA_GOC!$B:$B,DATE($D$2,$B$2,R$4)),0))</f>
        <v>0</v>
      </c>
      <c r="S433" s="251">
        <f>IF(S$4&gt;DAY(EOMONTH(DATE($D$2,$B$2,1),0)),"",IFERROR(SUMIFS(DATA_GOC!$H:$H,DATA_GOC!$A:$A,"BOM",DATA_GOC!$D:$D,$B433,DATA_GOC!$E:$E,"Dầu số",DATA_GOC!$F:$F,"Xuất nội bộ từ téc",DATA_GOC!$B:$B,DATE($D$2,$B$2,S$4)),0))</f>
        <v>0</v>
      </c>
      <c r="T433" s="251">
        <f>IF(T$4&gt;DAY(EOMONTH(DATE($D$2,$B$2,1),0)),"",IFERROR(SUMIFS(DATA_GOC!$H:$H,DATA_GOC!$A:$A,"BOM",DATA_GOC!$D:$D,$B433,DATA_GOC!$E:$E,"Dầu số",DATA_GOC!$F:$F,"Xuất nội bộ từ téc",DATA_GOC!$B:$B,DATE($D$2,$B$2,T$4)),0))</f>
        <v>0</v>
      </c>
      <c r="U433" s="251">
        <f>IF(U$4&gt;DAY(EOMONTH(DATE($D$2,$B$2,1),0)),"",IFERROR(SUMIFS(DATA_GOC!$H:$H,DATA_GOC!$A:$A,"BOM",DATA_GOC!$D:$D,$B433,DATA_GOC!$E:$E,"Dầu số",DATA_GOC!$F:$F,"Xuất nội bộ từ téc",DATA_GOC!$B:$B,DATE($D$2,$B$2,U$4)),0))</f>
        <v>0</v>
      </c>
      <c r="V433" s="251">
        <f>IF(V$4&gt;DAY(EOMONTH(DATE($D$2,$B$2,1),0)),"",IFERROR(SUMIFS(DATA_GOC!$H:$H,DATA_GOC!$A:$A,"BOM",DATA_GOC!$D:$D,$B433,DATA_GOC!$E:$E,"Dầu số",DATA_GOC!$F:$F,"Xuất nội bộ từ téc",DATA_GOC!$B:$B,DATE($D$2,$B$2,V$4)),0))</f>
        <v>0</v>
      </c>
      <c r="W433" s="251">
        <f>IF(W$4&gt;DAY(EOMONTH(DATE($D$2,$B$2,1),0)),"",IFERROR(SUMIFS(DATA_GOC!$H:$H,DATA_GOC!$A:$A,"BOM",DATA_GOC!$D:$D,$B433,DATA_GOC!$E:$E,"Dầu số",DATA_GOC!$F:$F,"Xuất nội bộ từ téc",DATA_GOC!$B:$B,DATE($D$2,$B$2,W$4)),0))</f>
        <v>0</v>
      </c>
      <c r="X433" s="251">
        <f>IF(X$4&gt;DAY(EOMONTH(DATE($D$2,$B$2,1),0)),"",IFERROR(SUMIFS(DATA_GOC!$H:$H,DATA_GOC!$A:$A,"BOM",DATA_GOC!$D:$D,$B433,DATA_GOC!$E:$E,"Dầu số",DATA_GOC!$F:$F,"Xuất nội bộ từ téc",DATA_GOC!$B:$B,DATE($D$2,$B$2,X$4)),0))</f>
        <v>0</v>
      </c>
      <c r="Y433" s="251">
        <f>IF(Y$4&gt;DAY(EOMONTH(DATE($D$2,$B$2,1),0)),"",IFERROR(SUMIFS(DATA_GOC!$H:$H,DATA_GOC!$A:$A,"BOM",DATA_GOC!$D:$D,$B433,DATA_GOC!$E:$E,"Dầu số",DATA_GOC!$F:$F,"Xuất nội bộ từ téc",DATA_GOC!$B:$B,DATE($D$2,$B$2,Y$4)),0))</f>
        <v>0</v>
      </c>
      <c r="Z433" s="251">
        <f>IF(Z$4&gt;DAY(EOMONTH(DATE($D$2,$B$2,1),0)),"",IFERROR(SUMIFS(DATA_GOC!$H:$H,DATA_GOC!$A:$A,"BOM",DATA_GOC!$D:$D,$B433,DATA_GOC!$E:$E,"Dầu số",DATA_GOC!$F:$F,"Xuất nội bộ từ téc",DATA_GOC!$B:$B,DATE($D$2,$B$2,Z$4)),0))</f>
        <v>0</v>
      </c>
      <c r="AA433" s="251">
        <f>IF(AA$4&gt;DAY(EOMONTH(DATE($D$2,$B$2,1),0)),"",IFERROR(SUMIFS(DATA_GOC!$H:$H,DATA_GOC!$A:$A,"BOM",DATA_GOC!$D:$D,$B433,DATA_GOC!$E:$E,"Dầu số",DATA_GOC!$F:$F,"Xuất nội bộ từ téc",DATA_GOC!$B:$B,DATE($D$2,$B$2,AA$4)),0))</f>
        <v>0</v>
      </c>
      <c r="AB433" s="251">
        <f>IF(AB$4&gt;DAY(EOMONTH(DATE($D$2,$B$2,1),0)),"",IFERROR(SUMIFS(DATA_GOC!$H:$H,DATA_GOC!$A:$A,"BOM",DATA_GOC!$D:$D,$B433,DATA_GOC!$E:$E,"Dầu số",DATA_GOC!$F:$F,"Xuất nội bộ từ téc",DATA_GOC!$B:$B,DATE($D$2,$B$2,AB$4)),0))</f>
        <v>0</v>
      </c>
      <c r="AC433" s="251">
        <f>IF(AC$4&gt;DAY(EOMONTH(DATE($D$2,$B$2,1),0)),"",IFERROR(SUMIFS(DATA_GOC!$H:$H,DATA_GOC!$A:$A,"BOM",DATA_GOC!$D:$D,$B433,DATA_GOC!$E:$E,"Dầu số",DATA_GOC!$F:$F,"Xuất nội bộ từ téc",DATA_GOC!$B:$B,DATE($D$2,$B$2,AC$4)),0))</f>
        <v>0</v>
      </c>
      <c r="AD433" s="251">
        <f>IF(AD$4&gt;DAY(EOMONTH(DATE($D$2,$B$2,1),0)),"",IFERROR(SUMIFS(DATA_GOC!$H:$H,DATA_GOC!$A:$A,"BOM",DATA_GOC!$D:$D,$B433,DATA_GOC!$E:$E,"Dầu số",DATA_GOC!$F:$F,"Xuất nội bộ từ téc",DATA_GOC!$B:$B,DATE($D$2,$B$2,AD$4)),0))</f>
        <v>0</v>
      </c>
      <c r="AE433" s="251">
        <f>IF(AE$4&gt;DAY(EOMONTH(DATE($D$2,$B$2,1),0)),"",IFERROR(SUMIFS(DATA_GOC!$H:$H,DATA_GOC!$A:$A,"BOM",DATA_GOC!$D:$D,$B433,DATA_GOC!$E:$E,"Dầu số",DATA_GOC!$F:$F,"Xuất nội bộ từ téc",DATA_GOC!$B:$B,DATE($D$2,$B$2,AE$4)),0))</f>
        <v>0</v>
      </c>
      <c r="AF433" s="251">
        <f>IF(AF$4&gt;DAY(EOMONTH(DATE($D$2,$B$2,1),0)),"",IFERROR(SUMIFS(DATA_GOC!$H:$H,DATA_GOC!$A:$A,"BOM",DATA_GOC!$D:$D,$B433,DATA_GOC!$E:$E,"Dầu số",DATA_GOC!$F:$F,"Xuất nội bộ từ téc",DATA_GOC!$B:$B,DATE($D$2,$B$2,AF$4)),0))</f>
        <v>0</v>
      </c>
      <c r="AG433" s="251">
        <f>IF(AG$4&gt;DAY(EOMONTH(DATE($D$2,$B$2,1),0)),"",IFERROR(SUMIFS(DATA_GOC!$H:$H,DATA_GOC!$A:$A,"BOM",DATA_GOC!$D:$D,$B433,DATA_GOC!$E:$E,"Dầu số",DATA_GOC!$F:$F,"Xuất nội bộ từ téc",DATA_GOC!$B:$B,DATE($D$2,$B$2,AG$4)),0))</f>
        <v>0</v>
      </c>
      <c r="AH433" s="252">
        <f t="shared" ref="AH433:AH490" si="22">SUM(C433:AG433)</f>
        <v>0</v>
      </c>
      <c r="AI433" s="241"/>
      <c r="AJ433" s="242">
        <f>IF($B433="","",SUMIFS(TINH_TEC!$K$233:$K$9232,TINH_TEC!$H$233:$H$9232,$B433,TINH_TEC!$C$233:$C$9232,"Dầu số",TINH_TEC!$F$233:$F$9232,$B$2,TINH_TEC!$G$233:$G$9232,$D$2,TINH_TEC!$B$233:$B$9232,"Đã chốt"))</f>
        <v>0</v>
      </c>
      <c r="AK433" s="242">
        <f>IF($B433="","",SUMIFS(TINH_TEC!$J$233:$J$9232,TINH_TEC!$H$233:$H$9232,$B433,TINH_TEC!$C$233:$C$9232,"Dầu số",TINH_TEC!$F$233:$F$9232,$B$2,TINH_TEC!$G$233:$G$9232,$D$2,TINH_TEC!$B$233:$B$9232,"Đã chốt"))</f>
        <v>0</v>
      </c>
      <c r="AL433" s="242">
        <f t="shared" ref="AL433:AL490" si="23">IF($B433="","",N(AH433)+N(AI433)+N(AK433)-N(AJ433))</f>
        <v>0</v>
      </c>
    </row>
    <row r="434" ht="15.75" customHeight="1">
      <c r="A434" s="237">
        <f>IF($B434&lt;&gt;"",2,"")</f>
        <v>2</v>
      </c>
      <c r="B434" s="250" t="str">
        <f t="array" ref="B434">IFERROR(INDEX(DANH_MUC!$E:$E,5),"")</f>
        <v>28A30696</v>
      </c>
      <c r="C434" s="251">
        <f>IF(C$4&gt;DAY(EOMONTH(DATE($D$2,$B$2,1),0)),"",IFERROR(SUMIFS(DATA_GOC!$H:$H,DATA_GOC!$A:$A,"BOM",DATA_GOC!$D:$D,$B434,DATA_GOC!$E:$E,"Dầu số",DATA_GOC!$F:$F,"Xuất nội bộ từ téc",DATA_GOC!$B:$B,DATE($D$2,$B$2,C$4)),0))</f>
        <v>0</v>
      </c>
      <c r="D434" s="251">
        <f>IF(D$4&gt;DAY(EOMONTH(DATE($D$2,$B$2,1),0)),"",IFERROR(SUMIFS(DATA_GOC!$H:$H,DATA_GOC!$A:$A,"BOM",DATA_GOC!$D:$D,$B434,DATA_GOC!$E:$E,"Dầu số",DATA_GOC!$F:$F,"Xuất nội bộ từ téc",DATA_GOC!$B:$B,DATE($D$2,$B$2,D$4)),0))</f>
        <v>0</v>
      </c>
      <c r="E434" s="251">
        <f>IF(E$4&gt;DAY(EOMONTH(DATE($D$2,$B$2,1),0)),"",IFERROR(SUMIFS(DATA_GOC!$H:$H,DATA_GOC!$A:$A,"BOM",DATA_GOC!$D:$D,$B434,DATA_GOC!$E:$E,"Dầu số",DATA_GOC!$F:$F,"Xuất nội bộ từ téc",DATA_GOC!$B:$B,DATE($D$2,$B$2,E$4)),0))</f>
        <v>0</v>
      </c>
      <c r="F434" s="251">
        <f>IF(F$4&gt;DAY(EOMONTH(DATE($D$2,$B$2,1),0)),"",IFERROR(SUMIFS(DATA_GOC!$H:$H,DATA_GOC!$A:$A,"BOM",DATA_GOC!$D:$D,$B434,DATA_GOC!$E:$E,"Dầu số",DATA_GOC!$F:$F,"Xuất nội bộ từ téc",DATA_GOC!$B:$B,DATE($D$2,$B$2,F$4)),0))</f>
        <v>0</v>
      </c>
      <c r="G434" s="251">
        <f>IF(G$4&gt;DAY(EOMONTH(DATE($D$2,$B$2,1),0)),"",IFERROR(SUMIFS(DATA_GOC!$H:$H,DATA_GOC!$A:$A,"BOM",DATA_GOC!$D:$D,$B434,DATA_GOC!$E:$E,"Dầu số",DATA_GOC!$F:$F,"Xuất nội bộ từ téc",DATA_GOC!$B:$B,DATE($D$2,$B$2,G$4)),0))</f>
        <v>0</v>
      </c>
      <c r="H434" s="251">
        <f>IF(H$4&gt;DAY(EOMONTH(DATE($D$2,$B$2,1),0)),"",IFERROR(SUMIFS(DATA_GOC!$H:$H,DATA_GOC!$A:$A,"BOM",DATA_GOC!$D:$D,$B434,DATA_GOC!$E:$E,"Dầu số",DATA_GOC!$F:$F,"Xuất nội bộ từ téc",DATA_GOC!$B:$B,DATE($D$2,$B$2,H$4)),0))</f>
        <v>0</v>
      </c>
      <c r="I434" s="251">
        <f>IF(I$4&gt;DAY(EOMONTH(DATE($D$2,$B$2,1),0)),"",IFERROR(SUMIFS(DATA_GOC!$H:$H,DATA_GOC!$A:$A,"BOM",DATA_GOC!$D:$D,$B434,DATA_GOC!$E:$E,"Dầu số",DATA_GOC!$F:$F,"Xuất nội bộ từ téc",DATA_GOC!$B:$B,DATE($D$2,$B$2,I$4)),0))</f>
        <v>0</v>
      </c>
      <c r="J434" s="251">
        <f>IF(J$4&gt;DAY(EOMONTH(DATE($D$2,$B$2,1),0)),"",IFERROR(SUMIFS(DATA_GOC!$H:$H,DATA_GOC!$A:$A,"BOM",DATA_GOC!$D:$D,$B434,DATA_GOC!$E:$E,"Dầu số",DATA_GOC!$F:$F,"Xuất nội bộ từ téc",DATA_GOC!$B:$B,DATE($D$2,$B$2,J$4)),0))</f>
        <v>0</v>
      </c>
      <c r="K434" s="251">
        <f>IF(K$4&gt;DAY(EOMONTH(DATE($D$2,$B$2,1),0)),"",IFERROR(SUMIFS(DATA_GOC!$H:$H,DATA_GOC!$A:$A,"BOM",DATA_GOC!$D:$D,$B434,DATA_GOC!$E:$E,"Dầu số",DATA_GOC!$F:$F,"Xuất nội bộ từ téc",DATA_GOC!$B:$B,DATE($D$2,$B$2,K$4)),0))</f>
        <v>0</v>
      </c>
      <c r="L434" s="251">
        <f>IF(L$4&gt;DAY(EOMONTH(DATE($D$2,$B$2,1),0)),"",IFERROR(SUMIFS(DATA_GOC!$H:$H,DATA_GOC!$A:$A,"BOM",DATA_GOC!$D:$D,$B434,DATA_GOC!$E:$E,"Dầu số",DATA_GOC!$F:$F,"Xuất nội bộ từ téc",DATA_GOC!$B:$B,DATE($D$2,$B$2,L$4)),0))</f>
        <v>0</v>
      </c>
      <c r="M434" s="251">
        <f>IF(M$4&gt;DAY(EOMONTH(DATE($D$2,$B$2,1),0)),"",IFERROR(SUMIFS(DATA_GOC!$H:$H,DATA_GOC!$A:$A,"BOM",DATA_GOC!$D:$D,$B434,DATA_GOC!$E:$E,"Dầu số",DATA_GOC!$F:$F,"Xuất nội bộ từ téc",DATA_GOC!$B:$B,DATE($D$2,$B$2,M$4)),0))</f>
        <v>0</v>
      </c>
      <c r="N434" s="251">
        <f>IF(N$4&gt;DAY(EOMONTH(DATE($D$2,$B$2,1),0)),"",IFERROR(SUMIFS(DATA_GOC!$H:$H,DATA_GOC!$A:$A,"BOM",DATA_GOC!$D:$D,$B434,DATA_GOC!$E:$E,"Dầu số",DATA_GOC!$F:$F,"Xuất nội bộ từ téc",DATA_GOC!$B:$B,DATE($D$2,$B$2,N$4)),0))</f>
        <v>0</v>
      </c>
      <c r="O434" s="251">
        <f>IF(O$4&gt;DAY(EOMONTH(DATE($D$2,$B$2,1),0)),"",IFERROR(SUMIFS(DATA_GOC!$H:$H,DATA_GOC!$A:$A,"BOM",DATA_GOC!$D:$D,$B434,DATA_GOC!$E:$E,"Dầu số",DATA_GOC!$F:$F,"Xuất nội bộ từ téc",DATA_GOC!$B:$B,DATE($D$2,$B$2,O$4)),0))</f>
        <v>0</v>
      </c>
      <c r="P434" s="251">
        <f>IF(P$4&gt;DAY(EOMONTH(DATE($D$2,$B$2,1),0)),"",IFERROR(SUMIFS(DATA_GOC!$H:$H,DATA_GOC!$A:$A,"BOM",DATA_GOC!$D:$D,$B434,DATA_GOC!$E:$E,"Dầu số",DATA_GOC!$F:$F,"Xuất nội bộ từ téc",DATA_GOC!$B:$B,DATE($D$2,$B$2,P$4)),0))</f>
        <v>0</v>
      </c>
      <c r="Q434" s="251">
        <f>IF(Q$4&gt;DAY(EOMONTH(DATE($D$2,$B$2,1),0)),"",IFERROR(SUMIFS(DATA_GOC!$H:$H,DATA_GOC!$A:$A,"BOM",DATA_GOC!$D:$D,$B434,DATA_GOC!$E:$E,"Dầu số",DATA_GOC!$F:$F,"Xuất nội bộ từ téc",DATA_GOC!$B:$B,DATE($D$2,$B$2,Q$4)),0))</f>
        <v>0</v>
      </c>
      <c r="R434" s="251">
        <f>IF(R$4&gt;DAY(EOMONTH(DATE($D$2,$B$2,1),0)),"",IFERROR(SUMIFS(DATA_GOC!$H:$H,DATA_GOC!$A:$A,"BOM",DATA_GOC!$D:$D,$B434,DATA_GOC!$E:$E,"Dầu số",DATA_GOC!$F:$F,"Xuất nội bộ từ téc",DATA_GOC!$B:$B,DATE($D$2,$B$2,R$4)),0))</f>
        <v>0</v>
      </c>
      <c r="S434" s="251">
        <f>IF(S$4&gt;DAY(EOMONTH(DATE($D$2,$B$2,1),0)),"",IFERROR(SUMIFS(DATA_GOC!$H:$H,DATA_GOC!$A:$A,"BOM",DATA_GOC!$D:$D,$B434,DATA_GOC!$E:$E,"Dầu số",DATA_GOC!$F:$F,"Xuất nội bộ từ téc",DATA_GOC!$B:$B,DATE($D$2,$B$2,S$4)),0))</f>
        <v>0</v>
      </c>
      <c r="T434" s="251">
        <f>IF(T$4&gt;DAY(EOMONTH(DATE($D$2,$B$2,1),0)),"",IFERROR(SUMIFS(DATA_GOC!$H:$H,DATA_GOC!$A:$A,"BOM",DATA_GOC!$D:$D,$B434,DATA_GOC!$E:$E,"Dầu số",DATA_GOC!$F:$F,"Xuất nội bộ từ téc",DATA_GOC!$B:$B,DATE($D$2,$B$2,T$4)),0))</f>
        <v>0</v>
      </c>
      <c r="U434" s="251">
        <f>IF(U$4&gt;DAY(EOMONTH(DATE($D$2,$B$2,1),0)),"",IFERROR(SUMIFS(DATA_GOC!$H:$H,DATA_GOC!$A:$A,"BOM",DATA_GOC!$D:$D,$B434,DATA_GOC!$E:$E,"Dầu số",DATA_GOC!$F:$F,"Xuất nội bộ từ téc",DATA_GOC!$B:$B,DATE($D$2,$B$2,U$4)),0))</f>
        <v>0</v>
      </c>
      <c r="V434" s="251">
        <f>IF(V$4&gt;DAY(EOMONTH(DATE($D$2,$B$2,1),0)),"",IFERROR(SUMIFS(DATA_GOC!$H:$H,DATA_GOC!$A:$A,"BOM",DATA_GOC!$D:$D,$B434,DATA_GOC!$E:$E,"Dầu số",DATA_GOC!$F:$F,"Xuất nội bộ từ téc",DATA_GOC!$B:$B,DATE($D$2,$B$2,V$4)),0))</f>
        <v>0</v>
      </c>
      <c r="W434" s="251">
        <f>IF(W$4&gt;DAY(EOMONTH(DATE($D$2,$B$2,1),0)),"",IFERROR(SUMIFS(DATA_GOC!$H:$H,DATA_GOC!$A:$A,"BOM",DATA_GOC!$D:$D,$B434,DATA_GOC!$E:$E,"Dầu số",DATA_GOC!$F:$F,"Xuất nội bộ từ téc",DATA_GOC!$B:$B,DATE($D$2,$B$2,W$4)),0))</f>
        <v>0</v>
      </c>
      <c r="X434" s="251">
        <f>IF(X$4&gt;DAY(EOMONTH(DATE($D$2,$B$2,1),0)),"",IFERROR(SUMIFS(DATA_GOC!$H:$H,DATA_GOC!$A:$A,"BOM",DATA_GOC!$D:$D,$B434,DATA_GOC!$E:$E,"Dầu số",DATA_GOC!$F:$F,"Xuất nội bộ từ téc",DATA_GOC!$B:$B,DATE($D$2,$B$2,X$4)),0))</f>
        <v>0</v>
      </c>
      <c r="Y434" s="251">
        <f>IF(Y$4&gt;DAY(EOMONTH(DATE($D$2,$B$2,1),0)),"",IFERROR(SUMIFS(DATA_GOC!$H:$H,DATA_GOC!$A:$A,"BOM",DATA_GOC!$D:$D,$B434,DATA_GOC!$E:$E,"Dầu số",DATA_GOC!$F:$F,"Xuất nội bộ từ téc",DATA_GOC!$B:$B,DATE($D$2,$B$2,Y$4)),0))</f>
        <v>0</v>
      </c>
      <c r="Z434" s="251">
        <f>IF(Z$4&gt;DAY(EOMONTH(DATE($D$2,$B$2,1),0)),"",IFERROR(SUMIFS(DATA_GOC!$H:$H,DATA_GOC!$A:$A,"BOM",DATA_GOC!$D:$D,$B434,DATA_GOC!$E:$E,"Dầu số",DATA_GOC!$F:$F,"Xuất nội bộ từ téc",DATA_GOC!$B:$B,DATE($D$2,$B$2,Z$4)),0))</f>
        <v>0</v>
      </c>
      <c r="AA434" s="251">
        <f>IF(AA$4&gt;DAY(EOMONTH(DATE($D$2,$B$2,1),0)),"",IFERROR(SUMIFS(DATA_GOC!$H:$H,DATA_GOC!$A:$A,"BOM",DATA_GOC!$D:$D,$B434,DATA_GOC!$E:$E,"Dầu số",DATA_GOC!$F:$F,"Xuất nội bộ từ téc",DATA_GOC!$B:$B,DATE($D$2,$B$2,AA$4)),0))</f>
        <v>0</v>
      </c>
      <c r="AB434" s="251">
        <f>IF(AB$4&gt;DAY(EOMONTH(DATE($D$2,$B$2,1),0)),"",IFERROR(SUMIFS(DATA_GOC!$H:$H,DATA_GOC!$A:$A,"BOM",DATA_GOC!$D:$D,$B434,DATA_GOC!$E:$E,"Dầu số",DATA_GOC!$F:$F,"Xuất nội bộ từ téc",DATA_GOC!$B:$B,DATE($D$2,$B$2,AB$4)),0))</f>
        <v>0</v>
      </c>
      <c r="AC434" s="251">
        <f>IF(AC$4&gt;DAY(EOMONTH(DATE($D$2,$B$2,1),0)),"",IFERROR(SUMIFS(DATA_GOC!$H:$H,DATA_GOC!$A:$A,"BOM",DATA_GOC!$D:$D,$B434,DATA_GOC!$E:$E,"Dầu số",DATA_GOC!$F:$F,"Xuất nội bộ từ téc",DATA_GOC!$B:$B,DATE($D$2,$B$2,AC$4)),0))</f>
        <v>0</v>
      </c>
      <c r="AD434" s="251">
        <f>IF(AD$4&gt;DAY(EOMONTH(DATE($D$2,$B$2,1),0)),"",IFERROR(SUMIFS(DATA_GOC!$H:$H,DATA_GOC!$A:$A,"BOM",DATA_GOC!$D:$D,$B434,DATA_GOC!$E:$E,"Dầu số",DATA_GOC!$F:$F,"Xuất nội bộ từ téc",DATA_GOC!$B:$B,DATE($D$2,$B$2,AD$4)),0))</f>
        <v>0</v>
      </c>
      <c r="AE434" s="251">
        <f>IF(AE$4&gt;DAY(EOMONTH(DATE($D$2,$B$2,1),0)),"",IFERROR(SUMIFS(DATA_GOC!$H:$H,DATA_GOC!$A:$A,"BOM",DATA_GOC!$D:$D,$B434,DATA_GOC!$E:$E,"Dầu số",DATA_GOC!$F:$F,"Xuất nội bộ từ téc",DATA_GOC!$B:$B,DATE($D$2,$B$2,AE$4)),0))</f>
        <v>0</v>
      </c>
      <c r="AF434" s="251">
        <f>IF(AF$4&gt;DAY(EOMONTH(DATE($D$2,$B$2,1),0)),"",IFERROR(SUMIFS(DATA_GOC!$H:$H,DATA_GOC!$A:$A,"BOM",DATA_GOC!$D:$D,$B434,DATA_GOC!$E:$E,"Dầu số",DATA_GOC!$F:$F,"Xuất nội bộ từ téc",DATA_GOC!$B:$B,DATE($D$2,$B$2,AF$4)),0))</f>
        <v>0</v>
      </c>
      <c r="AG434" s="251">
        <f>IF(AG$4&gt;DAY(EOMONTH(DATE($D$2,$B$2,1),0)),"",IFERROR(SUMIFS(DATA_GOC!$H:$H,DATA_GOC!$A:$A,"BOM",DATA_GOC!$D:$D,$B434,DATA_GOC!$E:$E,"Dầu số",DATA_GOC!$F:$F,"Xuất nội bộ từ téc",DATA_GOC!$B:$B,DATE($D$2,$B$2,AG$4)),0))</f>
        <v>0</v>
      </c>
      <c r="AH434" s="252">
        <f t="shared" si="22"/>
        <v>0</v>
      </c>
      <c r="AI434" s="241"/>
      <c r="AJ434" s="242">
        <f>IF($B434="","",SUMIFS(TINH_TEC!$K$233:$K$9232,TINH_TEC!$H$233:$H$9232,$B434,TINH_TEC!$C$233:$C$9232,"Dầu số",TINH_TEC!$F$233:$F$9232,$B$2,TINH_TEC!$G$233:$G$9232,$D$2,TINH_TEC!$B$233:$B$9232,"Đã chốt"))</f>
        <v>0</v>
      </c>
      <c r="AK434" s="242">
        <f>IF($B434="","",SUMIFS(TINH_TEC!$J$233:$J$9232,TINH_TEC!$H$233:$H$9232,$B434,TINH_TEC!$C$233:$C$9232,"Dầu số",TINH_TEC!$F$233:$F$9232,$B$2,TINH_TEC!$G$233:$G$9232,$D$2,TINH_TEC!$B$233:$B$9232,"Đã chốt"))</f>
        <v>0</v>
      </c>
      <c r="AL434" s="242">
        <f t="shared" si="23"/>
        <v>0</v>
      </c>
    </row>
    <row r="435" ht="15.75" customHeight="1">
      <c r="A435" s="237">
        <f>IF($B435&lt;&gt;"",3,"")</f>
        <v>3</v>
      </c>
      <c r="B435" s="250" t="str">
        <f t="array" ref="B435">IFERROR(INDEX(DANH_MUC!$E:$E,6),"")</f>
        <v>28C00462</v>
      </c>
      <c r="C435" s="251">
        <f>IF(C$4&gt;DAY(EOMONTH(DATE($D$2,$B$2,1),0)),"",IFERROR(SUMIFS(DATA_GOC!$H:$H,DATA_GOC!$A:$A,"BOM",DATA_GOC!$D:$D,$B435,DATA_GOC!$E:$E,"Dầu số",DATA_GOC!$F:$F,"Xuất nội bộ từ téc",DATA_GOC!$B:$B,DATE($D$2,$B$2,C$4)),0))</f>
        <v>0</v>
      </c>
      <c r="D435" s="251">
        <f>IF(D$4&gt;DAY(EOMONTH(DATE($D$2,$B$2,1),0)),"",IFERROR(SUMIFS(DATA_GOC!$H:$H,DATA_GOC!$A:$A,"BOM",DATA_GOC!$D:$D,$B435,DATA_GOC!$E:$E,"Dầu số",DATA_GOC!$F:$F,"Xuất nội bộ từ téc",DATA_GOC!$B:$B,DATE($D$2,$B$2,D$4)),0))</f>
        <v>0</v>
      </c>
      <c r="E435" s="251">
        <f>IF(E$4&gt;DAY(EOMONTH(DATE($D$2,$B$2,1),0)),"",IFERROR(SUMIFS(DATA_GOC!$H:$H,DATA_GOC!$A:$A,"BOM",DATA_GOC!$D:$D,$B435,DATA_GOC!$E:$E,"Dầu số",DATA_GOC!$F:$F,"Xuất nội bộ từ téc",DATA_GOC!$B:$B,DATE($D$2,$B$2,E$4)),0))</f>
        <v>0</v>
      </c>
      <c r="F435" s="251">
        <f>IF(F$4&gt;DAY(EOMONTH(DATE($D$2,$B$2,1),0)),"",IFERROR(SUMIFS(DATA_GOC!$H:$H,DATA_GOC!$A:$A,"BOM",DATA_GOC!$D:$D,$B435,DATA_GOC!$E:$E,"Dầu số",DATA_GOC!$F:$F,"Xuất nội bộ từ téc",DATA_GOC!$B:$B,DATE($D$2,$B$2,F$4)),0))</f>
        <v>0</v>
      </c>
      <c r="G435" s="251">
        <f>IF(G$4&gt;DAY(EOMONTH(DATE($D$2,$B$2,1),0)),"",IFERROR(SUMIFS(DATA_GOC!$H:$H,DATA_GOC!$A:$A,"BOM",DATA_GOC!$D:$D,$B435,DATA_GOC!$E:$E,"Dầu số",DATA_GOC!$F:$F,"Xuất nội bộ từ téc",DATA_GOC!$B:$B,DATE($D$2,$B$2,G$4)),0))</f>
        <v>0</v>
      </c>
      <c r="H435" s="251">
        <f>IF(H$4&gt;DAY(EOMONTH(DATE($D$2,$B$2,1),0)),"",IFERROR(SUMIFS(DATA_GOC!$H:$H,DATA_GOC!$A:$A,"BOM",DATA_GOC!$D:$D,$B435,DATA_GOC!$E:$E,"Dầu số",DATA_GOC!$F:$F,"Xuất nội bộ từ téc",DATA_GOC!$B:$B,DATE($D$2,$B$2,H$4)),0))</f>
        <v>0</v>
      </c>
      <c r="I435" s="251">
        <f>IF(I$4&gt;DAY(EOMONTH(DATE($D$2,$B$2,1),0)),"",IFERROR(SUMIFS(DATA_GOC!$H:$H,DATA_GOC!$A:$A,"BOM",DATA_GOC!$D:$D,$B435,DATA_GOC!$E:$E,"Dầu số",DATA_GOC!$F:$F,"Xuất nội bộ từ téc",DATA_GOC!$B:$B,DATE($D$2,$B$2,I$4)),0))</f>
        <v>0</v>
      </c>
      <c r="J435" s="251">
        <f>IF(J$4&gt;DAY(EOMONTH(DATE($D$2,$B$2,1),0)),"",IFERROR(SUMIFS(DATA_GOC!$H:$H,DATA_GOC!$A:$A,"BOM",DATA_GOC!$D:$D,$B435,DATA_GOC!$E:$E,"Dầu số",DATA_GOC!$F:$F,"Xuất nội bộ từ téc",DATA_GOC!$B:$B,DATE($D$2,$B$2,J$4)),0))</f>
        <v>0</v>
      </c>
      <c r="K435" s="251">
        <f>IF(K$4&gt;DAY(EOMONTH(DATE($D$2,$B$2,1),0)),"",IFERROR(SUMIFS(DATA_GOC!$H:$H,DATA_GOC!$A:$A,"BOM",DATA_GOC!$D:$D,$B435,DATA_GOC!$E:$E,"Dầu số",DATA_GOC!$F:$F,"Xuất nội bộ từ téc",DATA_GOC!$B:$B,DATE($D$2,$B$2,K$4)),0))</f>
        <v>0</v>
      </c>
      <c r="L435" s="251">
        <f>IF(L$4&gt;DAY(EOMONTH(DATE($D$2,$B$2,1),0)),"",IFERROR(SUMIFS(DATA_GOC!$H:$H,DATA_GOC!$A:$A,"BOM",DATA_GOC!$D:$D,$B435,DATA_GOC!$E:$E,"Dầu số",DATA_GOC!$F:$F,"Xuất nội bộ từ téc",DATA_GOC!$B:$B,DATE($D$2,$B$2,L$4)),0))</f>
        <v>0</v>
      </c>
      <c r="M435" s="251">
        <f>IF(M$4&gt;DAY(EOMONTH(DATE($D$2,$B$2,1),0)),"",IFERROR(SUMIFS(DATA_GOC!$H:$H,DATA_GOC!$A:$A,"BOM",DATA_GOC!$D:$D,$B435,DATA_GOC!$E:$E,"Dầu số",DATA_GOC!$F:$F,"Xuất nội bộ từ téc",DATA_GOC!$B:$B,DATE($D$2,$B$2,M$4)),0))</f>
        <v>0</v>
      </c>
      <c r="N435" s="251">
        <f>IF(N$4&gt;DAY(EOMONTH(DATE($D$2,$B$2,1),0)),"",IFERROR(SUMIFS(DATA_GOC!$H:$H,DATA_GOC!$A:$A,"BOM",DATA_GOC!$D:$D,$B435,DATA_GOC!$E:$E,"Dầu số",DATA_GOC!$F:$F,"Xuất nội bộ từ téc",DATA_GOC!$B:$B,DATE($D$2,$B$2,N$4)),0))</f>
        <v>0</v>
      </c>
      <c r="O435" s="251">
        <f>IF(O$4&gt;DAY(EOMONTH(DATE($D$2,$B$2,1),0)),"",IFERROR(SUMIFS(DATA_GOC!$H:$H,DATA_GOC!$A:$A,"BOM",DATA_GOC!$D:$D,$B435,DATA_GOC!$E:$E,"Dầu số",DATA_GOC!$F:$F,"Xuất nội bộ từ téc",DATA_GOC!$B:$B,DATE($D$2,$B$2,O$4)),0))</f>
        <v>0</v>
      </c>
      <c r="P435" s="251">
        <f>IF(P$4&gt;DAY(EOMONTH(DATE($D$2,$B$2,1),0)),"",IFERROR(SUMIFS(DATA_GOC!$H:$H,DATA_GOC!$A:$A,"BOM",DATA_GOC!$D:$D,$B435,DATA_GOC!$E:$E,"Dầu số",DATA_GOC!$F:$F,"Xuất nội bộ từ téc",DATA_GOC!$B:$B,DATE($D$2,$B$2,P$4)),0))</f>
        <v>0</v>
      </c>
      <c r="Q435" s="251">
        <f>IF(Q$4&gt;DAY(EOMONTH(DATE($D$2,$B$2,1),0)),"",IFERROR(SUMIFS(DATA_GOC!$H:$H,DATA_GOC!$A:$A,"BOM",DATA_GOC!$D:$D,$B435,DATA_GOC!$E:$E,"Dầu số",DATA_GOC!$F:$F,"Xuất nội bộ từ téc",DATA_GOC!$B:$B,DATE($D$2,$B$2,Q$4)),0))</f>
        <v>0</v>
      </c>
      <c r="R435" s="251">
        <f>IF(R$4&gt;DAY(EOMONTH(DATE($D$2,$B$2,1),0)),"",IFERROR(SUMIFS(DATA_GOC!$H:$H,DATA_GOC!$A:$A,"BOM",DATA_GOC!$D:$D,$B435,DATA_GOC!$E:$E,"Dầu số",DATA_GOC!$F:$F,"Xuất nội bộ từ téc",DATA_GOC!$B:$B,DATE($D$2,$B$2,R$4)),0))</f>
        <v>0</v>
      </c>
      <c r="S435" s="251">
        <f>IF(S$4&gt;DAY(EOMONTH(DATE($D$2,$B$2,1),0)),"",IFERROR(SUMIFS(DATA_GOC!$H:$H,DATA_GOC!$A:$A,"BOM",DATA_GOC!$D:$D,$B435,DATA_GOC!$E:$E,"Dầu số",DATA_GOC!$F:$F,"Xuất nội bộ từ téc",DATA_GOC!$B:$B,DATE($D$2,$B$2,S$4)),0))</f>
        <v>0</v>
      </c>
      <c r="T435" s="251">
        <f>IF(T$4&gt;DAY(EOMONTH(DATE($D$2,$B$2,1),0)),"",IFERROR(SUMIFS(DATA_GOC!$H:$H,DATA_GOC!$A:$A,"BOM",DATA_GOC!$D:$D,$B435,DATA_GOC!$E:$E,"Dầu số",DATA_GOC!$F:$F,"Xuất nội bộ từ téc",DATA_GOC!$B:$B,DATE($D$2,$B$2,T$4)),0))</f>
        <v>0</v>
      </c>
      <c r="U435" s="251">
        <f>IF(U$4&gt;DAY(EOMONTH(DATE($D$2,$B$2,1),0)),"",IFERROR(SUMIFS(DATA_GOC!$H:$H,DATA_GOC!$A:$A,"BOM",DATA_GOC!$D:$D,$B435,DATA_GOC!$E:$E,"Dầu số",DATA_GOC!$F:$F,"Xuất nội bộ từ téc",DATA_GOC!$B:$B,DATE($D$2,$B$2,U$4)),0))</f>
        <v>0</v>
      </c>
      <c r="V435" s="251">
        <f>IF(V$4&gt;DAY(EOMONTH(DATE($D$2,$B$2,1),0)),"",IFERROR(SUMIFS(DATA_GOC!$H:$H,DATA_GOC!$A:$A,"BOM",DATA_GOC!$D:$D,$B435,DATA_GOC!$E:$E,"Dầu số",DATA_GOC!$F:$F,"Xuất nội bộ từ téc",DATA_GOC!$B:$B,DATE($D$2,$B$2,V$4)),0))</f>
        <v>0</v>
      </c>
      <c r="W435" s="251">
        <f>IF(W$4&gt;DAY(EOMONTH(DATE($D$2,$B$2,1),0)),"",IFERROR(SUMIFS(DATA_GOC!$H:$H,DATA_GOC!$A:$A,"BOM",DATA_GOC!$D:$D,$B435,DATA_GOC!$E:$E,"Dầu số",DATA_GOC!$F:$F,"Xuất nội bộ từ téc",DATA_GOC!$B:$B,DATE($D$2,$B$2,W$4)),0))</f>
        <v>0</v>
      </c>
      <c r="X435" s="251">
        <f>IF(X$4&gt;DAY(EOMONTH(DATE($D$2,$B$2,1),0)),"",IFERROR(SUMIFS(DATA_GOC!$H:$H,DATA_GOC!$A:$A,"BOM",DATA_GOC!$D:$D,$B435,DATA_GOC!$E:$E,"Dầu số",DATA_GOC!$F:$F,"Xuất nội bộ từ téc",DATA_GOC!$B:$B,DATE($D$2,$B$2,X$4)),0))</f>
        <v>0</v>
      </c>
      <c r="Y435" s="251">
        <f>IF(Y$4&gt;DAY(EOMONTH(DATE($D$2,$B$2,1),0)),"",IFERROR(SUMIFS(DATA_GOC!$H:$H,DATA_GOC!$A:$A,"BOM",DATA_GOC!$D:$D,$B435,DATA_GOC!$E:$E,"Dầu số",DATA_GOC!$F:$F,"Xuất nội bộ từ téc",DATA_GOC!$B:$B,DATE($D$2,$B$2,Y$4)),0))</f>
        <v>0</v>
      </c>
      <c r="Z435" s="251">
        <f>IF(Z$4&gt;DAY(EOMONTH(DATE($D$2,$B$2,1),0)),"",IFERROR(SUMIFS(DATA_GOC!$H:$H,DATA_GOC!$A:$A,"BOM",DATA_GOC!$D:$D,$B435,DATA_GOC!$E:$E,"Dầu số",DATA_GOC!$F:$F,"Xuất nội bộ từ téc",DATA_GOC!$B:$B,DATE($D$2,$B$2,Z$4)),0))</f>
        <v>0</v>
      </c>
      <c r="AA435" s="251">
        <f>IF(AA$4&gt;DAY(EOMONTH(DATE($D$2,$B$2,1),0)),"",IFERROR(SUMIFS(DATA_GOC!$H:$H,DATA_GOC!$A:$A,"BOM",DATA_GOC!$D:$D,$B435,DATA_GOC!$E:$E,"Dầu số",DATA_GOC!$F:$F,"Xuất nội bộ từ téc",DATA_GOC!$B:$B,DATE($D$2,$B$2,AA$4)),0))</f>
        <v>0</v>
      </c>
      <c r="AB435" s="251">
        <f>IF(AB$4&gt;DAY(EOMONTH(DATE($D$2,$B$2,1),0)),"",IFERROR(SUMIFS(DATA_GOC!$H:$H,DATA_GOC!$A:$A,"BOM",DATA_GOC!$D:$D,$B435,DATA_GOC!$E:$E,"Dầu số",DATA_GOC!$F:$F,"Xuất nội bộ từ téc",DATA_GOC!$B:$B,DATE($D$2,$B$2,AB$4)),0))</f>
        <v>0</v>
      </c>
      <c r="AC435" s="251">
        <f>IF(AC$4&gt;DAY(EOMONTH(DATE($D$2,$B$2,1),0)),"",IFERROR(SUMIFS(DATA_GOC!$H:$H,DATA_GOC!$A:$A,"BOM",DATA_GOC!$D:$D,$B435,DATA_GOC!$E:$E,"Dầu số",DATA_GOC!$F:$F,"Xuất nội bộ từ téc",DATA_GOC!$B:$B,DATE($D$2,$B$2,AC$4)),0))</f>
        <v>0</v>
      </c>
      <c r="AD435" s="251">
        <f>IF(AD$4&gt;DAY(EOMONTH(DATE($D$2,$B$2,1),0)),"",IFERROR(SUMIFS(DATA_GOC!$H:$H,DATA_GOC!$A:$A,"BOM",DATA_GOC!$D:$D,$B435,DATA_GOC!$E:$E,"Dầu số",DATA_GOC!$F:$F,"Xuất nội bộ từ téc",DATA_GOC!$B:$B,DATE($D$2,$B$2,AD$4)),0))</f>
        <v>0</v>
      </c>
      <c r="AE435" s="251">
        <f>IF(AE$4&gt;DAY(EOMONTH(DATE($D$2,$B$2,1),0)),"",IFERROR(SUMIFS(DATA_GOC!$H:$H,DATA_GOC!$A:$A,"BOM",DATA_GOC!$D:$D,$B435,DATA_GOC!$E:$E,"Dầu số",DATA_GOC!$F:$F,"Xuất nội bộ từ téc",DATA_GOC!$B:$B,DATE($D$2,$B$2,AE$4)),0))</f>
        <v>0</v>
      </c>
      <c r="AF435" s="251">
        <f>IF(AF$4&gt;DAY(EOMONTH(DATE($D$2,$B$2,1),0)),"",IFERROR(SUMIFS(DATA_GOC!$H:$H,DATA_GOC!$A:$A,"BOM",DATA_GOC!$D:$D,$B435,DATA_GOC!$E:$E,"Dầu số",DATA_GOC!$F:$F,"Xuất nội bộ từ téc",DATA_GOC!$B:$B,DATE($D$2,$B$2,AF$4)),0))</f>
        <v>0</v>
      </c>
      <c r="AG435" s="251">
        <f>IF(AG$4&gt;DAY(EOMONTH(DATE($D$2,$B$2,1),0)),"",IFERROR(SUMIFS(DATA_GOC!$H:$H,DATA_GOC!$A:$A,"BOM",DATA_GOC!$D:$D,$B435,DATA_GOC!$E:$E,"Dầu số",DATA_GOC!$F:$F,"Xuất nội bộ từ téc",DATA_GOC!$B:$B,DATE($D$2,$B$2,AG$4)),0))</f>
        <v>0</v>
      </c>
      <c r="AH435" s="252">
        <f t="shared" si="22"/>
        <v>0</v>
      </c>
      <c r="AI435" s="241"/>
      <c r="AJ435" s="242">
        <f>IF($B435="","",SUMIFS(TINH_TEC!$K$233:$K$9232,TINH_TEC!$H$233:$H$9232,$B435,TINH_TEC!$C$233:$C$9232,"Dầu số",TINH_TEC!$F$233:$F$9232,$B$2,TINH_TEC!$G$233:$G$9232,$D$2,TINH_TEC!$B$233:$B$9232,"Đã chốt"))</f>
        <v>0</v>
      </c>
      <c r="AK435" s="242">
        <f>IF($B435="","",SUMIFS(TINH_TEC!$J$233:$J$9232,TINH_TEC!$H$233:$H$9232,$B435,TINH_TEC!$C$233:$C$9232,"Dầu số",TINH_TEC!$F$233:$F$9232,$B$2,TINH_TEC!$G$233:$G$9232,$D$2,TINH_TEC!$B$233:$B$9232,"Đã chốt"))</f>
        <v>0</v>
      </c>
      <c r="AL435" s="242">
        <f t="shared" si="23"/>
        <v>0</v>
      </c>
    </row>
    <row r="436" ht="15.75" customHeight="1">
      <c r="A436" s="237">
        <f>IF($B436&lt;&gt;"",4,"")</f>
        <v>4</v>
      </c>
      <c r="B436" s="250" t="str">
        <f t="array" ref="B436">IFERROR(INDEX(DANH_MUC!$E:$E,7),"")</f>
        <v>28C01165</v>
      </c>
      <c r="C436" s="251">
        <f>IF(C$4&gt;DAY(EOMONTH(DATE($D$2,$B$2,1),0)),"",IFERROR(SUMIFS(DATA_GOC!$H:$H,DATA_GOC!$A:$A,"BOM",DATA_GOC!$D:$D,$B436,DATA_GOC!$E:$E,"Dầu số",DATA_GOC!$F:$F,"Xuất nội bộ từ téc",DATA_GOC!$B:$B,DATE($D$2,$B$2,C$4)),0))</f>
        <v>0</v>
      </c>
      <c r="D436" s="251">
        <f>IF(D$4&gt;DAY(EOMONTH(DATE($D$2,$B$2,1),0)),"",IFERROR(SUMIFS(DATA_GOC!$H:$H,DATA_GOC!$A:$A,"BOM",DATA_GOC!$D:$D,$B436,DATA_GOC!$E:$E,"Dầu số",DATA_GOC!$F:$F,"Xuất nội bộ từ téc",DATA_GOC!$B:$B,DATE($D$2,$B$2,D$4)),0))</f>
        <v>0</v>
      </c>
      <c r="E436" s="251">
        <f>IF(E$4&gt;DAY(EOMONTH(DATE($D$2,$B$2,1),0)),"",IFERROR(SUMIFS(DATA_GOC!$H:$H,DATA_GOC!$A:$A,"BOM",DATA_GOC!$D:$D,$B436,DATA_GOC!$E:$E,"Dầu số",DATA_GOC!$F:$F,"Xuất nội bộ từ téc",DATA_GOC!$B:$B,DATE($D$2,$B$2,E$4)),0))</f>
        <v>0</v>
      </c>
      <c r="F436" s="251">
        <f>IF(F$4&gt;DAY(EOMONTH(DATE($D$2,$B$2,1),0)),"",IFERROR(SUMIFS(DATA_GOC!$H:$H,DATA_GOC!$A:$A,"BOM",DATA_GOC!$D:$D,$B436,DATA_GOC!$E:$E,"Dầu số",DATA_GOC!$F:$F,"Xuất nội bộ từ téc",DATA_GOC!$B:$B,DATE($D$2,$B$2,F$4)),0))</f>
        <v>0</v>
      </c>
      <c r="G436" s="251">
        <f>IF(G$4&gt;DAY(EOMONTH(DATE($D$2,$B$2,1),0)),"",IFERROR(SUMIFS(DATA_GOC!$H:$H,DATA_GOC!$A:$A,"BOM",DATA_GOC!$D:$D,$B436,DATA_GOC!$E:$E,"Dầu số",DATA_GOC!$F:$F,"Xuất nội bộ từ téc",DATA_GOC!$B:$B,DATE($D$2,$B$2,G$4)),0))</f>
        <v>0</v>
      </c>
      <c r="H436" s="251">
        <f>IF(H$4&gt;DAY(EOMONTH(DATE($D$2,$B$2,1),0)),"",IFERROR(SUMIFS(DATA_GOC!$H:$H,DATA_GOC!$A:$A,"BOM",DATA_GOC!$D:$D,$B436,DATA_GOC!$E:$E,"Dầu số",DATA_GOC!$F:$F,"Xuất nội bộ từ téc",DATA_GOC!$B:$B,DATE($D$2,$B$2,H$4)),0))</f>
        <v>0</v>
      </c>
      <c r="I436" s="251">
        <f>IF(I$4&gt;DAY(EOMONTH(DATE($D$2,$B$2,1),0)),"",IFERROR(SUMIFS(DATA_GOC!$H:$H,DATA_GOC!$A:$A,"BOM",DATA_GOC!$D:$D,$B436,DATA_GOC!$E:$E,"Dầu số",DATA_GOC!$F:$F,"Xuất nội bộ từ téc",DATA_GOC!$B:$B,DATE($D$2,$B$2,I$4)),0))</f>
        <v>0</v>
      </c>
      <c r="J436" s="251">
        <f>IF(J$4&gt;DAY(EOMONTH(DATE($D$2,$B$2,1),0)),"",IFERROR(SUMIFS(DATA_GOC!$H:$H,DATA_GOC!$A:$A,"BOM",DATA_GOC!$D:$D,$B436,DATA_GOC!$E:$E,"Dầu số",DATA_GOC!$F:$F,"Xuất nội bộ từ téc",DATA_GOC!$B:$B,DATE($D$2,$B$2,J$4)),0))</f>
        <v>0</v>
      </c>
      <c r="K436" s="251">
        <f>IF(K$4&gt;DAY(EOMONTH(DATE($D$2,$B$2,1),0)),"",IFERROR(SUMIFS(DATA_GOC!$H:$H,DATA_GOC!$A:$A,"BOM",DATA_GOC!$D:$D,$B436,DATA_GOC!$E:$E,"Dầu số",DATA_GOC!$F:$F,"Xuất nội bộ từ téc",DATA_GOC!$B:$B,DATE($D$2,$B$2,K$4)),0))</f>
        <v>0</v>
      </c>
      <c r="L436" s="251">
        <f>IF(L$4&gt;DAY(EOMONTH(DATE($D$2,$B$2,1),0)),"",IFERROR(SUMIFS(DATA_GOC!$H:$H,DATA_GOC!$A:$A,"BOM",DATA_GOC!$D:$D,$B436,DATA_GOC!$E:$E,"Dầu số",DATA_GOC!$F:$F,"Xuất nội bộ từ téc",DATA_GOC!$B:$B,DATE($D$2,$B$2,L$4)),0))</f>
        <v>0</v>
      </c>
      <c r="M436" s="251">
        <f>IF(M$4&gt;DAY(EOMONTH(DATE($D$2,$B$2,1),0)),"",IFERROR(SUMIFS(DATA_GOC!$H:$H,DATA_GOC!$A:$A,"BOM",DATA_GOC!$D:$D,$B436,DATA_GOC!$E:$E,"Dầu số",DATA_GOC!$F:$F,"Xuất nội bộ từ téc",DATA_GOC!$B:$B,DATE($D$2,$B$2,M$4)),0))</f>
        <v>0</v>
      </c>
      <c r="N436" s="251">
        <f>IF(N$4&gt;DAY(EOMONTH(DATE($D$2,$B$2,1),0)),"",IFERROR(SUMIFS(DATA_GOC!$H:$H,DATA_GOC!$A:$A,"BOM",DATA_GOC!$D:$D,$B436,DATA_GOC!$E:$E,"Dầu số",DATA_GOC!$F:$F,"Xuất nội bộ từ téc",DATA_GOC!$B:$B,DATE($D$2,$B$2,N$4)),0))</f>
        <v>0</v>
      </c>
      <c r="O436" s="251">
        <f>IF(O$4&gt;DAY(EOMONTH(DATE($D$2,$B$2,1),0)),"",IFERROR(SUMIFS(DATA_GOC!$H:$H,DATA_GOC!$A:$A,"BOM",DATA_GOC!$D:$D,$B436,DATA_GOC!$E:$E,"Dầu số",DATA_GOC!$F:$F,"Xuất nội bộ từ téc",DATA_GOC!$B:$B,DATE($D$2,$B$2,O$4)),0))</f>
        <v>0</v>
      </c>
      <c r="P436" s="251">
        <f>IF(P$4&gt;DAY(EOMONTH(DATE($D$2,$B$2,1),0)),"",IFERROR(SUMIFS(DATA_GOC!$H:$H,DATA_GOC!$A:$A,"BOM",DATA_GOC!$D:$D,$B436,DATA_GOC!$E:$E,"Dầu số",DATA_GOC!$F:$F,"Xuất nội bộ từ téc",DATA_GOC!$B:$B,DATE($D$2,$B$2,P$4)),0))</f>
        <v>0</v>
      </c>
      <c r="Q436" s="251">
        <f>IF(Q$4&gt;DAY(EOMONTH(DATE($D$2,$B$2,1),0)),"",IFERROR(SUMIFS(DATA_GOC!$H:$H,DATA_GOC!$A:$A,"BOM",DATA_GOC!$D:$D,$B436,DATA_GOC!$E:$E,"Dầu số",DATA_GOC!$F:$F,"Xuất nội bộ từ téc",DATA_GOC!$B:$B,DATE($D$2,$B$2,Q$4)),0))</f>
        <v>0</v>
      </c>
      <c r="R436" s="251">
        <f>IF(R$4&gt;DAY(EOMONTH(DATE($D$2,$B$2,1),0)),"",IFERROR(SUMIFS(DATA_GOC!$H:$H,DATA_GOC!$A:$A,"BOM",DATA_GOC!$D:$D,$B436,DATA_GOC!$E:$E,"Dầu số",DATA_GOC!$F:$F,"Xuất nội bộ từ téc",DATA_GOC!$B:$B,DATE($D$2,$B$2,R$4)),0))</f>
        <v>0</v>
      </c>
      <c r="S436" s="251">
        <f>IF(S$4&gt;DAY(EOMONTH(DATE($D$2,$B$2,1),0)),"",IFERROR(SUMIFS(DATA_GOC!$H:$H,DATA_GOC!$A:$A,"BOM",DATA_GOC!$D:$D,$B436,DATA_GOC!$E:$E,"Dầu số",DATA_GOC!$F:$F,"Xuất nội bộ từ téc",DATA_GOC!$B:$B,DATE($D$2,$B$2,S$4)),0))</f>
        <v>0</v>
      </c>
      <c r="T436" s="251">
        <f>IF(T$4&gt;DAY(EOMONTH(DATE($D$2,$B$2,1),0)),"",IFERROR(SUMIFS(DATA_GOC!$H:$H,DATA_GOC!$A:$A,"BOM",DATA_GOC!$D:$D,$B436,DATA_GOC!$E:$E,"Dầu số",DATA_GOC!$F:$F,"Xuất nội bộ từ téc",DATA_GOC!$B:$B,DATE($D$2,$B$2,T$4)),0))</f>
        <v>0</v>
      </c>
      <c r="U436" s="251">
        <f>IF(U$4&gt;DAY(EOMONTH(DATE($D$2,$B$2,1),0)),"",IFERROR(SUMIFS(DATA_GOC!$H:$H,DATA_GOC!$A:$A,"BOM",DATA_GOC!$D:$D,$B436,DATA_GOC!$E:$E,"Dầu số",DATA_GOC!$F:$F,"Xuất nội bộ từ téc",DATA_GOC!$B:$B,DATE($D$2,$B$2,U$4)),0))</f>
        <v>0</v>
      </c>
      <c r="V436" s="251">
        <f>IF(V$4&gt;DAY(EOMONTH(DATE($D$2,$B$2,1),0)),"",IFERROR(SUMIFS(DATA_GOC!$H:$H,DATA_GOC!$A:$A,"BOM",DATA_GOC!$D:$D,$B436,DATA_GOC!$E:$E,"Dầu số",DATA_GOC!$F:$F,"Xuất nội bộ từ téc",DATA_GOC!$B:$B,DATE($D$2,$B$2,V$4)),0))</f>
        <v>0</v>
      </c>
      <c r="W436" s="251">
        <f>IF(W$4&gt;DAY(EOMONTH(DATE($D$2,$B$2,1),0)),"",IFERROR(SUMIFS(DATA_GOC!$H:$H,DATA_GOC!$A:$A,"BOM",DATA_GOC!$D:$D,$B436,DATA_GOC!$E:$E,"Dầu số",DATA_GOC!$F:$F,"Xuất nội bộ từ téc",DATA_GOC!$B:$B,DATE($D$2,$B$2,W$4)),0))</f>
        <v>0</v>
      </c>
      <c r="X436" s="251">
        <f>IF(X$4&gt;DAY(EOMONTH(DATE($D$2,$B$2,1),0)),"",IFERROR(SUMIFS(DATA_GOC!$H:$H,DATA_GOC!$A:$A,"BOM",DATA_GOC!$D:$D,$B436,DATA_GOC!$E:$E,"Dầu số",DATA_GOC!$F:$F,"Xuất nội bộ từ téc",DATA_GOC!$B:$B,DATE($D$2,$B$2,X$4)),0))</f>
        <v>0</v>
      </c>
      <c r="Y436" s="251">
        <f>IF(Y$4&gt;DAY(EOMONTH(DATE($D$2,$B$2,1),0)),"",IFERROR(SUMIFS(DATA_GOC!$H:$H,DATA_GOC!$A:$A,"BOM",DATA_GOC!$D:$D,$B436,DATA_GOC!$E:$E,"Dầu số",DATA_GOC!$F:$F,"Xuất nội bộ từ téc",DATA_GOC!$B:$B,DATE($D$2,$B$2,Y$4)),0))</f>
        <v>0</v>
      </c>
      <c r="Z436" s="251">
        <f>IF(Z$4&gt;DAY(EOMONTH(DATE($D$2,$B$2,1),0)),"",IFERROR(SUMIFS(DATA_GOC!$H:$H,DATA_GOC!$A:$A,"BOM",DATA_GOC!$D:$D,$B436,DATA_GOC!$E:$E,"Dầu số",DATA_GOC!$F:$F,"Xuất nội bộ từ téc",DATA_GOC!$B:$B,DATE($D$2,$B$2,Z$4)),0))</f>
        <v>0</v>
      </c>
      <c r="AA436" s="251">
        <f>IF(AA$4&gt;DAY(EOMONTH(DATE($D$2,$B$2,1),0)),"",IFERROR(SUMIFS(DATA_GOC!$H:$H,DATA_GOC!$A:$A,"BOM",DATA_GOC!$D:$D,$B436,DATA_GOC!$E:$E,"Dầu số",DATA_GOC!$F:$F,"Xuất nội bộ từ téc",DATA_GOC!$B:$B,DATE($D$2,$B$2,AA$4)),0))</f>
        <v>0</v>
      </c>
      <c r="AB436" s="251">
        <f>IF(AB$4&gt;DAY(EOMONTH(DATE($D$2,$B$2,1),0)),"",IFERROR(SUMIFS(DATA_GOC!$H:$H,DATA_GOC!$A:$A,"BOM",DATA_GOC!$D:$D,$B436,DATA_GOC!$E:$E,"Dầu số",DATA_GOC!$F:$F,"Xuất nội bộ từ téc",DATA_GOC!$B:$B,DATE($D$2,$B$2,AB$4)),0))</f>
        <v>0</v>
      </c>
      <c r="AC436" s="251">
        <f>IF(AC$4&gt;DAY(EOMONTH(DATE($D$2,$B$2,1),0)),"",IFERROR(SUMIFS(DATA_GOC!$H:$H,DATA_GOC!$A:$A,"BOM",DATA_GOC!$D:$D,$B436,DATA_GOC!$E:$E,"Dầu số",DATA_GOC!$F:$F,"Xuất nội bộ từ téc",DATA_GOC!$B:$B,DATE($D$2,$B$2,AC$4)),0))</f>
        <v>0</v>
      </c>
      <c r="AD436" s="251">
        <f>IF(AD$4&gt;DAY(EOMONTH(DATE($D$2,$B$2,1),0)),"",IFERROR(SUMIFS(DATA_GOC!$H:$H,DATA_GOC!$A:$A,"BOM",DATA_GOC!$D:$D,$B436,DATA_GOC!$E:$E,"Dầu số",DATA_GOC!$F:$F,"Xuất nội bộ từ téc",DATA_GOC!$B:$B,DATE($D$2,$B$2,AD$4)),0))</f>
        <v>0</v>
      </c>
      <c r="AE436" s="251">
        <f>IF(AE$4&gt;DAY(EOMONTH(DATE($D$2,$B$2,1),0)),"",IFERROR(SUMIFS(DATA_GOC!$H:$H,DATA_GOC!$A:$A,"BOM",DATA_GOC!$D:$D,$B436,DATA_GOC!$E:$E,"Dầu số",DATA_GOC!$F:$F,"Xuất nội bộ từ téc",DATA_GOC!$B:$B,DATE($D$2,$B$2,AE$4)),0))</f>
        <v>0</v>
      </c>
      <c r="AF436" s="251">
        <f>IF(AF$4&gt;DAY(EOMONTH(DATE($D$2,$B$2,1),0)),"",IFERROR(SUMIFS(DATA_GOC!$H:$H,DATA_GOC!$A:$A,"BOM",DATA_GOC!$D:$D,$B436,DATA_GOC!$E:$E,"Dầu số",DATA_GOC!$F:$F,"Xuất nội bộ từ téc",DATA_GOC!$B:$B,DATE($D$2,$B$2,AF$4)),0))</f>
        <v>0</v>
      </c>
      <c r="AG436" s="251">
        <f>IF(AG$4&gt;DAY(EOMONTH(DATE($D$2,$B$2,1),0)),"",IFERROR(SUMIFS(DATA_GOC!$H:$H,DATA_GOC!$A:$A,"BOM",DATA_GOC!$D:$D,$B436,DATA_GOC!$E:$E,"Dầu số",DATA_GOC!$F:$F,"Xuất nội bộ từ téc",DATA_GOC!$B:$B,DATE($D$2,$B$2,AG$4)),0))</f>
        <v>0</v>
      </c>
      <c r="AH436" s="252">
        <f t="shared" si="22"/>
        <v>0</v>
      </c>
      <c r="AI436" s="241"/>
      <c r="AJ436" s="242">
        <f>IF($B436="","",SUMIFS(TINH_TEC!$K$233:$K$9232,TINH_TEC!$H$233:$H$9232,$B436,TINH_TEC!$C$233:$C$9232,"Dầu số",TINH_TEC!$F$233:$F$9232,$B$2,TINH_TEC!$G$233:$G$9232,$D$2,TINH_TEC!$B$233:$B$9232,"Đã chốt"))</f>
        <v>0</v>
      </c>
      <c r="AK436" s="242">
        <f>IF($B436="","",SUMIFS(TINH_TEC!$J$233:$J$9232,TINH_TEC!$H$233:$H$9232,$B436,TINH_TEC!$C$233:$C$9232,"Dầu số",TINH_TEC!$F$233:$F$9232,$B$2,TINH_TEC!$G$233:$G$9232,$D$2,TINH_TEC!$B$233:$B$9232,"Đã chốt"))</f>
        <v>0</v>
      </c>
      <c r="AL436" s="242">
        <f t="shared" si="23"/>
        <v>0</v>
      </c>
    </row>
    <row r="437" ht="15.75" customHeight="1">
      <c r="A437" s="237">
        <f>IF($B437&lt;&gt;"",5,"")</f>
        <v>5</v>
      </c>
      <c r="B437" s="250" t="str">
        <f t="array" ref="B437">IFERROR(INDEX(DANH_MUC!$E:$E,8),"")</f>
        <v>28C01406</v>
      </c>
      <c r="C437" s="251">
        <f>IF(C$4&gt;DAY(EOMONTH(DATE($D$2,$B$2,1),0)),"",IFERROR(SUMIFS(DATA_GOC!$H:$H,DATA_GOC!$A:$A,"BOM",DATA_GOC!$D:$D,$B437,DATA_GOC!$E:$E,"Dầu số",DATA_GOC!$F:$F,"Xuất nội bộ từ téc",DATA_GOC!$B:$B,DATE($D$2,$B$2,C$4)),0))</f>
        <v>0</v>
      </c>
      <c r="D437" s="251">
        <f>IF(D$4&gt;DAY(EOMONTH(DATE($D$2,$B$2,1),0)),"",IFERROR(SUMIFS(DATA_GOC!$H:$H,DATA_GOC!$A:$A,"BOM",DATA_GOC!$D:$D,$B437,DATA_GOC!$E:$E,"Dầu số",DATA_GOC!$F:$F,"Xuất nội bộ từ téc",DATA_GOC!$B:$B,DATE($D$2,$B$2,D$4)),0))</f>
        <v>0</v>
      </c>
      <c r="E437" s="251">
        <f>IF(E$4&gt;DAY(EOMONTH(DATE($D$2,$B$2,1),0)),"",IFERROR(SUMIFS(DATA_GOC!$H:$H,DATA_GOC!$A:$A,"BOM",DATA_GOC!$D:$D,$B437,DATA_GOC!$E:$E,"Dầu số",DATA_GOC!$F:$F,"Xuất nội bộ từ téc",DATA_GOC!$B:$B,DATE($D$2,$B$2,E$4)),0))</f>
        <v>0</v>
      </c>
      <c r="F437" s="251">
        <f>IF(F$4&gt;DAY(EOMONTH(DATE($D$2,$B$2,1),0)),"",IFERROR(SUMIFS(DATA_GOC!$H:$H,DATA_GOC!$A:$A,"BOM",DATA_GOC!$D:$D,$B437,DATA_GOC!$E:$E,"Dầu số",DATA_GOC!$F:$F,"Xuất nội bộ từ téc",DATA_GOC!$B:$B,DATE($D$2,$B$2,F$4)),0))</f>
        <v>0</v>
      </c>
      <c r="G437" s="251">
        <f>IF(G$4&gt;DAY(EOMONTH(DATE($D$2,$B$2,1),0)),"",IFERROR(SUMIFS(DATA_GOC!$H:$H,DATA_GOC!$A:$A,"BOM",DATA_GOC!$D:$D,$B437,DATA_GOC!$E:$E,"Dầu số",DATA_GOC!$F:$F,"Xuất nội bộ từ téc",DATA_GOC!$B:$B,DATE($D$2,$B$2,G$4)),0))</f>
        <v>0</v>
      </c>
      <c r="H437" s="251">
        <f>IF(H$4&gt;DAY(EOMONTH(DATE($D$2,$B$2,1),0)),"",IFERROR(SUMIFS(DATA_GOC!$H:$H,DATA_GOC!$A:$A,"BOM",DATA_GOC!$D:$D,$B437,DATA_GOC!$E:$E,"Dầu số",DATA_GOC!$F:$F,"Xuất nội bộ từ téc",DATA_GOC!$B:$B,DATE($D$2,$B$2,H$4)),0))</f>
        <v>0</v>
      </c>
      <c r="I437" s="251">
        <f>IF(I$4&gt;DAY(EOMONTH(DATE($D$2,$B$2,1),0)),"",IFERROR(SUMIFS(DATA_GOC!$H:$H,DATA_GOC!$A:$A,"BOM",DATA_GOC!$D:$D,$B437,DATA_GOC!$E:$E,"Dầu số",DATA_GOC!$F:$F,"Xuất nội bộ từ téc",DATA_GOC!$B:$B,DATE($D$2,$B$2,I$4)),0))</f>
        <v>0</v>
      </c>
      <c r="J437" s="251">
        <f>IF(J$4&gt;DAY(EOMONTH(DATE($D$2,$B$2,1),0)),"",IFERROR(SUMIFS(DATA_GOC!$H:$H,DATA_GOC!$A:$A,"BOM",DATA_GOC!$D:$D,$B437,DATA_GOC!$E:$E,"Dầu số",DATA_GOC!$F:$F,"Xuất nội bộ từ téc",DATA_GOC!$B:$B,DATE($D$2,$B$2,J$4)),0))</f>
        <v>0</v>
      </c>
      <c r="K437" s="251">
        <f>IF(K$4&gt;DAY(EOMONTH(DATE($D$2,$B$2,1),0)),"",IFERROR(SUMIFS(DATA_GOC!$H:$H,DATA_GOC!$A:$A,"BOM",DATA_GOC!$D:$D,$B437,DATA_GOC!$E:$E,"Dầu số",DATA_GOC!$F:$F,"Xuất nội bộ từ téc",DATA_GOC!$B:$B,DATE($D$2,$B$2,K$4)),0))</f>
        <v>0</v>
      </c>
      <c r="L437" s="251">
        <f>IF(L$4&gt;DAY(EOMONTH(DATE($D$2,$B$2,1),0)),"",IFERROR(SUMIFS(DATA_GOC!$H:$H,DATA_GOC!$A:$A,"BOM",DATA_GOC!$D:$D,$B437,DATA_GOC!$E:$E,"Dầu số",DATA_GOC!$F:$F,"Xuất nội bộ từ téc",DATA_GOC!$B:$B,DATE($D$2,$B$2,L$4)),0))</f>
        <v>0</v>
      </c>
      <c r="M437" s="251">
        <f>IF(M$4&gt;DAY(EOMONTH(DATE($D$2,$B$2,1),0)),"",IFERROR(SUMIFS(DATA_GOC!$H:$H,DATA_GOC!$A:$A,"BOM",DATA_GOC!$D:$D,$B437,DATA_GOC!$E:$E,"Dầu số",DATA_GOC!$F:$F,"Xuất nội bộ từ téc",DATA_GOC!$B:$B,DATE($D$2,$B$2,M$4)),0))</f>
        <v>0</v>
      </c>
      <c r="N437" s="251">
        <f>IF(N$4&gt;DAY(EOMONTH(DATE($D$2,$B$2,1),0)),"",IFERROR(SUMIFS(DATA_GOC!$H:$H,DATA_GOC!$A:$A,"BOM",DATA_GOC!$D:$D,$B437,DATA_GOC!$E:$E,"Dầu số",DATA_GOC!$F:$F,"Xuất nội bộ từ téc",DATA_GOC!$B:$B,DATE($D$2,$B$2,N$4)),0))</f>
        <v>0</v>
      </c>
      <c r="O437" s="251">
        <f>IF(O$4&gt;DAY(EOMONTH(DATE($D$2,$B$2,1),0)),"",IFERROR(SUMIFS(DATA_GOC!$H:$H,DATA_GOC!$A:$A,"BOM",DATA_GOC!$D:$D,$B437,DATA_GOC!$E:$E,"Dầu số",DATA_GOC!$F:$F,"Xuất nội bộ từ téc",DATA_GOC!$B:$B,DATE($D$2,$B$2,O$4)),0))</f>
        <v>0</v>
      </c>
      <c r="P437" s="251">
        <f>IF(P$4&gt;DAY(EOMONTH(DATE($D$2,$B$2,1),0)),"",IFERROR(SUMIFS(DATA_GOC!$H:$H,DATA_GOC!$A:$A,"BOM",DATA_GOC!$D:$D,$B437,DATA_GOC!$E:$E,"Dầu số",DATA_GOC!$F:$F,"Xuất nội bộ từ téc",DATA_GOC!$B:$B,DATE($D$2,$B$2,P$4)),0))</f>
        <v>0</v>
      </c>
      <c r="Q437" s="251">
        <f>IF(Q$4&gt;DAY(EOMONTH(DATE($D$2,$B$2,1),0)),"",IFERROR(SUMIFS(DATA_GOC!$H:$H,DATA_GOC!$A:$A,"BOM",DATA_GOC!$D:$D,$B437,DATA_GOC!$E:$E,"Dầu số",DATA_GOC!$F:$F,"Xuất nội bộ từ téc",DATA_GOC!$B:$B,DATE($D$2,$B$2,Q$4)),0))</f>
        <v>0</v>
      </c>
      <c r="R437" s="251">
        <f>IF(R$4&gt;DAY(EOMONTH(DATE($D$2,$B$2,1),0)),"",IFERROR(SUMIFS(DATA_GOC!$H:$H,DATA_GOC!$A:$A,"BOM",DATA_GOC!$D:$D,$B437,DATA_GOC!$E:$E,"Dầu số",DATA_GOC!$F:$F,"Xuất nội bộ từ téc",DATA_GOC!$B:$B,DATE($D$2,$B$2,R$4)),0))</f>
        <v>0</v>
      </c>
      <c r="S437" s="251">
        <f>IF(S$4&gt;DAY(EOMONTH(DATE($D$2,$B$2,1),0)),"",IFERROR(SUMIFS(DATA_GOC!$H:$H,DATA_GOC!$A:$A,"BOM",DATA_GOC!$D:$D,$B437,DATA_GOC!$E:$E,"Dầu số",DATA_GOC!$F:$F,"Xuất nội bộ từ téc",DATA_GOC!$B:$B,DATE($D$2,$B$2,S$4)),0))</f>
        <v>0</v>
      </c>
      <c r="T437" s="251">
        <f>IF(T$4&gt;DAY(EOMONTH(DATE($D$2,$B$2,1),0)),"",IFERROR(SUMIFS(DATA_GOC!$H:$H,DATA_GOC!$A:$A,"BOM",DATA_GOC!$D:$D,$B437,DATA_GOC!$E:$E,"Dầu số",DATA_GOC!$F:$F,"Xuất nội bộ từ téc",DATA_GOC!$B:$B,DATE($D$2,$B$2,T$4)),0))</f>
        <v>0</v>
      </c>
      <c r="U437" s="251">
        <f>IF(U$4&gt;DAY(EOMONTH(DATE($D$2,$B$2,1),0)),"",IFERROR(SUMIFS(DATA_GOC!$H:$H,DATA_GOC!$A:$A,"BOM",DATA_GOC!$D:$D,$B437,DATA_GOC!$E:$E,"Dầu số",DATA_GOC!$F:$F,"Xuất nội bộ từ téc",DATA_GOC!$B:$B,DATE($D$2,$B$2,U$4)),0))</f>
        <v>0</v>
      </c>
      <c r="V437" s="251">
        <f>IF(V$4&gt;DAY(EOMONTH(DATE($D$2,$B$2,1),0)),"",IFERROR(SUMIFS(DATA_GOC!$H:$H,DATA_GOC!$A:$A,"BOM",DATA_GOC!$D:$D,$B437,DATA_GOC!$E:$E,"Dầu số",DATA_GOC!$F:$F,"Xuất nội bộ từ téc",DATA_GOC!$B:$B,DATE($D$2,$B$2,V$4)),0))</f>
        <v>0</v>
      </c>
      <c r="W437" s="251">
        <f>IF(W$4&gt;DAY(EOMONTH(DATE($D$2,$B$2,1),0)),"",IFERROR(SUMIFS(DATA_GOC!$H:$H,DATA_GOC!$A:$A,"BOM",DATA_GOC!$D:$D,$B437,DATA_GOC!$E:$E,"Dầu số",DATA_GOC!$F:$F,"Xuất nội bộ từ téc",DATA_GOC!$B:$B,DATE($D$2,$B$2,W$4)),0))</f>
        <v>0</v>
      </c>
      <c r="X437" s="251">
        <f>IF(X$4&gt;DAY(EOMONTH(DATE($D$2,$B$2,1),0)),"",IFERROR(SUMIFS(DATA_GOC!$H:$H,DATA_GOC!$A:$A,"BOM",DATA_GOC!$D:$D,$B437,DATA_GOC!$E:$E,"Dầu số",DATA_GOC!$F:$F,"Xuất nội bộ từ téc",DATA_GOC!$B:$B,DATE($D$2,$B$2,X$4)),0))</f>
        <v>0</v>
      </c>
      <c r="Y437" s="251">
        <f>IF(Y$4&gt;DAY(EOMONTH(DATE($D$2,$B$2,1),0)),"",IFERROR(SUMIFS(DATA_GOC!$H:$H,DATA_GOC!$A:$A,"BOM",DATA_GOC!$D:$D,$B437,DATA_GOC!$E:$E,"Dầu số",DATA_GOC!$F:$F,"Xuất nội bộ từ téc",DATA_GOC!$B:$B,DATE($D$2,$B$2,Y$4)),0))</f>
        <v>0</v>
      </c>
      <c r="Z437" s="251">
        <f>IF(Z$4&gt;DAY(EOMONTH(DATE($D$2,$B$2,1),0)),"",IFERROR(SUMIFS(DATA_GOC!$H:$H,DATA_GOC!$A:$A,"BOM",DATA_GOC!$D:$D,$B437,DATA_GOC!$E:$E,"Dầu số",DATA_GOC!$F:$F,"Xuất nội bộ từ téc",DATA_GOC!$B:$B,DATE($D$2,$B$2,Z$4)),0))</f>
        <v>0</v>
      </c>
      <c r="AA437" s="251">
        <f>IF(AA$4&gt;DAY(EOMONTH(DATE($D$2,$B$2,1),0)),"",IFERROR(SUMIFS(DATA_GOC!$H:$H,DATA_GOC!$A:$A,"BOM",DATA_GOC!$D:$D,$B437,DATA_GOC!$E:$E,"Dầu số",DATA_GOC!$F:$F,"Xuất nội bộ từ téc",DATA_GOC!$B:$B,DATE($D$2,$B$2,AA$4)),0))</f>
        <v>0</v>
      </c>
      <c r="AB437" s="251">
        <f>IF(AB$4&gt;DAY(EOMONTH(DATE($D$2,$B$2,1),0)),"",IFERROR(SUMIFS(DATA_GOC!$H:$H,DATA_GOC!$A:$A,"BOM",DATA_GOC!$D:$D,$B437,DATA_GOC!$E:$E,"Dầu số",DATA_GOC!$F:$F,"Xuất nội bộ từ téc",DATA_GOC!$B:$B,DATE($D$2,$B$2,AB$4)),0))</f>
        <v>0</v>
      </c>
      <c r="AC437" s="251">
        <f>IF(AC$4&gt;DAY(EOMONTH(DATE($D$2,$B$2,1),0)),"",IFERROR(SUMIFS(DATA_GOC!$H:$H,DATA_GOC!$A:$A,"BOM",DATA_GOC!$D:$D,$B437,DATA_GOC!$E:$E,"Dầu số",DATA_GOC!$F:$F,"Xuất nội bộ từ téc",DATA_GOC!$B:$B,DATE($D$2,$B$2,AC$4)),0))</f>
        <v>0</v>
      </c>
      <c r="AD437" s="251">
        <f>IF(AD$4&gt;DAY(EOMONTH(DATE($D$2,$B$2,1),0)),"",IFERROR(SUMIFS(DATA_GOC!$H:$H,DATA_GOC!$A:$A,"BOM",DATA_GOC!$D:$D,$B437,DATA_GOC!$E:$E,"Dầu số",DATA_GOC!$F:$F,"Xuất nội bộ từ téc",DATA_GOC!$B:$B,DATE($D$2,$B$2,AD$4)),0))</f>
        <v>0</v>
      </c>
      <c r="AE437" s="251">
        <f>IF(AE$4&gt;DAY(EOMONTH(DATE($D$2,$B$2,1),0)),"",IFERROR(SUMIFS(DATA_GOC!$H:$H,DATA_GOC!$A:$A,"BOM",DATA_GOC!$D:$D,$B437,DATA_GOC!$E:$E,"Dầu số",DATA_GOC!$F:$F,"Xuất nội bộ từ téc",DATA_GOC!$B:$B,DATE($D$2,$B$2,AE$4)),0))</f>
        <v>0</v>
      </c>
      <c r="AF437" s="251">
        <f>IF(AF$4&gt;DAY(EOMONTH(DATE($D$2,$B$2,1),0)),"",IFERROR(SUMIFS(DATA_GOC!$H:$H,DATA_GOC!$A:$A,"BOM",DATA_GOC!$D:$D,$B437,DATA_GOC!$E:$E,"Dầu số",DATA_GOC!$F:$F,"Xuất nội bộ từ téc",DATA_GOC!$B:$B,DATE($D$2,$B$2,AF$4)),0))</f>
        <v>0</v>
      </c>
      <c r="AG437" s="251">
        <f>IF(AG$4&gt;DAY(EOMONTH(DATE($D$2,$B$2,1),0)),"",IFERROR(SUMIFS(DATA_GOC!$H:$H,DATA_GOC!$A:$A,"BOM",DATA_GOC!$D:$D,$B437,DATA_GOC!$E:$E,"Dầu số",DATA_GOC!$F:$F,"Xuất nội bộ từ téc",DATA_GOC!$B:$B,DATE($D$2,$B$2,AG$4)),0))</f>
        <v>0</v>
      </c>
      <c r="AH437" s="252">
        <f t="shared" si="22"/>
        <v>0</v>
      </c>
      <c r="AI437" s="241"/>
      <c r="AJ437" s="242">
        <f>IF($B437="","",SUMIFS(TINH_TEC!$K$233:$K$9232,TINH_TEC!$H$233:$H$9232,$B437,TINH_TEC!$C$233:$C$9232,"Dầu số",TINH_TEC!$F$233:$F$9232,$B$2,TINH_TEC!$G$233:$G$9232,$D$2,TINH_TEC!$B$233:$B$9232,"Đã chốt"))</f>
        <v>0</v>
      </c>
      <c r="AK437" s="242">
        <f>IF($B437="","",SUMIFS(TINH_TEC!$J$233:$J$9232,TINH_TEC!$H$233:$H$9232,$B437,TINH_TEC!$C$233:$C$9232,"Dầu số",TINH_TEC!$F$233:$F$9232,$B$2,TINH_TEC!$G$233:$G$9232,$D$2,TINH_TEC!$B$233:$B$9232,"Đã chốt"))</f>
        <v>0</v>
      </c>
      <c r="AL437" s="242">
        <f t="shared" si="23"/>
        <v>0</v>
      </c>
    </row>
    <row r="438" ht="15.75" customHeight="1">
      <c r="A438" s="237">
        <f>IF($B438&lt;&gt;"",6,"")</f>
        <v>6</v>
      </c>
      <c r="B438" s="250" t="str">
        <f t="array" ref="B438">IFERROR(INDEX(DANH_MUC!$E:$E,9),"")</f>
        <v>28C01544</v>
      </c>
      <c r="C438" s="251">
        <f>IF(C$4&gt;DAY(EOMONTH(DATE($D$2,$B$2,1),0)),"",IFERROR(SUMIFS(DATA_GOC!$H:$H,DATA_GOC!$A:$A,"BOM",DATA_GOC!$D:$D,$B438,DATA_GOC!$E:$E,"Dầu số",DATA_GOC!$F:$F,"Xuất nội bộ từ téc",DATA_GOC!$B:$B,DATE($D$2,$B$2,C$4)),0))</f>
        <v>0</v>
      </c>
      <c r="D438" s="251">
        <f>IF(D$4&gt;DAY(EOMONTH(DATE($D$2,$B$2,1),0)),"",IFERROR(SUMIFS(DATA_GOC!$H:$H,DATA_GOC!$A:$A,"BOM",DATA_GOC!$D:$D,$B438,DATA_GOC!$E:$E,"Dầu số",DATA_GOC!$F:$F,"Xuất nội bộ từ téc",DATA_GOC!$B:$B,DATE($D$2,$B$2,D$4)),0))</f>
        <v>0</v>
      </c>
      <c r="E438" s="251">
        <f>IF(E$4&gt;DAY(EOMONTH(DATE($D$2,$B$2,1),0)),"",IFERROR(SUMIFS(DATA_GOC!$H:$H,DATA_GOC!$A:$A,"BOM",DATA_GOC!$D:$D,$B438,DATA_GOC!$E:$E,"Dầu số",DATA_GOC!$F:$F,"Xuất nội bộ từ téc",DATA_GOC!$B:$B,DATE($D$2,$B$2,E$4)),0))</f>
        <v>0</v>
      </c>
      <c r="F438" s="251">
        <f>IF(F$4&gt;DAY(EOMONTH(DATE($D$2,$B$2,1),0)),"",IFERROR(SUMIFS(DATA_GOC!$H:$H,DATA_GOC!$A:$A,"BOM",DATA_GOC!$D:$D,$B438,DATA_GOC!$E:$E,"Dầu số",DATA_GOC!$F:$F,"Xuất nội bộ từ téc",DATA_GOC!$B:$B,DATE($D$2,$B$2,F$4)),0))</f>
        <v>0</v>
      </c>
      <c r="G438" s="251">
        <f>IF(G$4&gt;DAY(EOMONTH(DATE($D$2,$B$2,1),0)),"",IFERROR(SUMIFS(DATA_GOC!$H:$H,DATA_GOC!$A:$A,"BOM",DATA_GOC!$D:$D,$B438,DATA_GOC!$E:$E,"Dầu số",DATA_GOC!$F:$F,"Xuất nội bộ từ téc",DATA_GOC!$B:$B,DATE($D$2,$B$2,G$4)),0))</f>
        <v>0</v>
      </c>
      <c r="H438" s="251">
        <f>IF(H$4&gt;DAY(EOMONTH(DATE($D$2,$B$2,1),0)),"",IFERROR(SUMIFS(DATA_GOC!$H:$H,DATA_GOC!$A:$A,"BOM",DATA_GOC!$D:$D,$B438,DATA_GOC!$E:$E,"Dầu số",DATA_GOC!$F:$F,"Xuất nội bộ từ téc",DATA_GOC!$B:$B,DATE($D$2,$B$2,H$4)),0))</f>
        <v>0</v>
      </c>
      <c r="I438" s="251">
        <f>IF(I$4&gt;DAY(EOMONTH(DATE($D$2,$B$2,1),0)),"",IFERROR(SUMIFS(DATA_GOC!$H:$H,DATA_GOC!$A:$A,"BOM",DATA_GOC!$D:$D,$B438,DATA_GOC!$E:$E,"Dầu số",DATA_GOC!$F:$F,"Xuất nội bộ từ téc",DATA_GOC!$B:$B,DATE($D$2,$B$2,I$4)),0))</f>
        <v>0</v>
      </c>
      <c r="J438" s="251">
        <f>IF(J$4&gt;DAY(EOMONTH(DATE($D$2,$B$2,1),0)),"",IFERROR(SUMIFS(DATA_GOC!$H:$H,DATA_GOC!$A:$A,"BOM",DATA_GOC!$D:$D,$B438,DATA_GOC!$E:$E,"Dầu số",DATA_GOC!$F:$F,"Xuất nội bộ từ téc",DATA_GOC!$B:$B,DATE($D$2,$B$2,J$4)),0))</f>
        <v>0</v>
      </c>
      <c r="K438" s="251">
        <f>IF(K$4&gt;DAY(EOMONTH(DATE($D$2,$B$2,1),0)),"",IFERROR(SUMIFS(DATA_GOC!$H:$H,DATA_GOC!$A:$A,"BOM",DATA_GOC!$D:$D,$B438,DATA_GOC!$E:$E,"Dầu số",DATA_GOC!$F:$F,"Xuất nội bộ từ téc",DATA_GOC!$B:$B,DATE($D$2,$B$2,K$4)),0))</f>
        <v>0</v>
      </c>
      <c r="L438" s="251">
        <f>IF(L$4&gt;DAY(EOMONTH(DATE($D$2,$B$2,1),0)),"",IFERROR(SUMIFS(DATA_GOC!$H:$H,DATA_GOC!$A:$A,"BOM",DATA_GOC!$D:$D,$B438,DATA_GOC!$E:$E,"Dầu số",DATA_GOC!$F:$F,"Xuất nội bộ từ téc",DATA_GOC!$B:$B,DATE($D$2,$B$2,L$4)),0))</f>
        <v>0</v>
      </c>
      <c r="M438" s="251">
        <f>IF(M$4&gt;DAY(EOMONTH(DATE($D$2,$B$2,1),0)),"",IFERROR(SUMIFS(DATA_GOC!$H:$H,DATA_GOC!$A:$A,"BOM",DATA_GOC!$D:$D,$B438,DATA_GOC!$E:$E,"Dầu số",DATA_GOC!$F:$F,"Xuất nội bộ từ téc",DATA_GOC!$B:$B,DATE($D$2,$B$2,M$4)),0))</f>
        <v>0</v>
      </c>
      <c r="N438" s="251">
        <f>IF(N$4&gt;DAY(EOMONTH(DATE($D$2,$B$2,1),0)),"",IFERROR(SUMIFS(DATA_GOC!$H:$H,DATA_GOC!$A:$A,"BOM",DATA_GOC!$D:$D,$B438,DATA_GOC!$E:$E,"Dầu số",DATA_GOC!$F:$F,"Xuất nội bộ từ téc",DATA_GOC!$B:$B,DATE($D$2,$B$2,N$4)),0))</f>
        <v>0</v>
      </c>
      <c r="O438" s="251">
        <f>IF(O$4&gt;DAY(EOMONTH(DATE($D$2,$B$2,1),0)),"",IFERROR(SUMIFS(DATA_GOC!$H:$H,DATA_GOC!$A:$A,"BOM",DATA_GOC!$D:$D,$B438,DATA_GOC!$E:$E,"Dầu số",DATA_GOC!$F:$F,"Xuất nội bộ từ téc",DATA_GOC!$B:$B,DATE($D$2,$B$2,O$4)),0))</f>
        <v>0</v>
      </c>
      <c r="P438" s="251">
        <f>IF(P$4&gt;DAY(EOMONTH(DATE($D$2,$B$2,1),0)),"",IFERROR(SUMIFS(DATA_GOC!$H:$H,DATA_GOC!$A:$A,"BOM",DATA_GOC!$D:$D,$B438,DATA_GOC!$E:$E,"Dầu số",DATA_GOC!$F:$F,"Xuất nội bộ từ téc",DATA_GOC!$B:$B,DATE($D$2,$B$2,P$4)),0))</f>
        <v>0</v>
      </c>
      <c r="Q438" s="251">
        <f>IF(Q$4&gt;DAY(EOMONTH(DATE($D$2,$B$2,1),0)),"",IFERROR(SUMIFS(DATA_GOC!$H:$H,DATA_GOC!$A:$A,"BOM",DATA_GOC!$D:$D,$B438,DATA_GOC!$E:$E,"Dầu số",DATA_GOC!$F:$F,"Xuất nội bộ từ téc",DATA_GOC!$B:$B,DATE($D$2,$B$2,Q$4)),0))</f>
        <v>0</v>
      </c>
      <c r="R438" s="251">
        <f>IF(R$4&gt;DAY(EOMONTH(DATE($D$2,$B$2,1),0)),"",IFERROR(SUMIFS(DATA_GOC!$H:$H,DATA_GOC!$A:$A,"BOM",DATA_GOC!$D:$D,$B438,DATA_GOC!$E:$E,"Dầu số",DATA_GOC!$F:$F,"Xuất nội bộ từ téc",DATA_GOC!$B:$B,DATE($D$2,$B$2,R$4)),0))</f>
        <v>0</v>
      </c>
      <c r="S438" s="251">
        <f>IF(S$4&gt;DAY(EOMONTH(DATE($D$2,$B$2,1),0)),"",IFERROR(SUMIFS(DATA_GOC!$H:$H,DATA_GOC!$A:$A,"BOM",DATA_GOC!$D:$D,$B438,DATA_GOC!$E:$E,"Dầu số",DATA_GOC!$F:$F,"Xuất nội bộ từ téc",DATA_GOC!$B:$B,DATE($D$2,$B$2,S$4)),0))</f>
        <v>0</v>
      </c>
      <c r="T438" s="251">
        <f>IF(T$4&gt;DAY(EOMONTH(DATE($D$2,$B$2,1),0)),"",IFERROR(SUMIFS(DATA_GOC!$H:$H,DATA_GOC!$A:$A,"BOM",DATA_GOC!$D:$D,$B438,DATA_GOC!$E:$E,"Dầu số",DATA_GOC!$F:$F,"Xuất nội bộ từ téc",DATA_GOC!$B:$B,DATE($D$2,$B$2,T$4)),0))</f>
        <v>0</v>
      </c>
      <c r="U438" s="251">
        <f>IF(U$4&gt;DAY(EOMONTH(DATE($D$2,$B$2,1),0)),"",IFERROR(SUMIFS(DATA_GOC!$H:$H,DATA_GOC!$A:$A,"BOM",DATA_GOC!$D:$D,$B438,DATA_GOC!$E:$E,"Dầu số",DATA_GOC!$F:$F,"Xuất nội bộ từ téc",DATA_GOC!$B:$B,DATE($D$2,$B$2,U$4)),0))</f>
        <v>0</v>
      </c>
      <c r="V438" s="251">
        <f>IF(V$4&gt;DAY(EOMONTH(DATE($D$2,$B$2,1),0)),"",IFERROR(SUMIFS(DATA_GOC!$H:$H,DATA_GOC!$A:$A,"BOM",DATA_GOC!$D:$D,$B438,DATA_GOC!$E:$E,"Dầu số",DATA_GOC!$F:$F,"Xuất nội bộ từ téc",DATA_GOC!$B:$B,DATE($D$2,$B$2,V$4)),0))</f>
        <v>0</v>
      </c>
      <c r="W438" s="251">
        <f>IF(W$4&gt;DAY(EOMONTH(DATE($D$2,$B$2,1),0)),"",IFERROR(SUMIFS(DATA_GOC!$H:$H,DATA_GOC!$A:$A,"BOM",DATA_GOC!$D:$D,$B438,DATA_GOC!$E:$E,"Dầu số",DATA_GOC!$F:$F,"Xuất nội bộ từ téc",DATA_GOC!$B:$B,DATE($D$2,$B$2,W$4)),0))</f>
        <v>0</v>
      </c>
      <c r="X438" s="251">
        <f>IF(X$4&gt;DAY(EOMONTH(DATE($D$2,$B$2,1),0)),"",IFERROR(SUMIFS(DATA_GOC!$H:$H,DATA_GOC!$A:$A,"BOM",DATA_GOC!$D:$D,$B438,DATA_GOC!$E:$E,"Dầu số",DATA_GOC!$F:$F,"Xuất nội bộ từ téc",DATA_GOC!$B:$B,DATE($D$2,$B$2,X$4)),0))</f>
        <v>0</v>
      </c>
      <c r="Y438" s="251">
        <f>IF(Y$4&gt;DAY(EOMONTH(DATE($D$2,$B$2,1),0)),"",IFERROR(SUMIFS(DATA_GOC!$H:$H,DATA_GOC!$A:$A,"BOM",DATA_GOC!$D:$D,$B438,DATA_GOC!$E:$E,"Dầu số",DATA_GOC!$F:$F,"Xuất nội bộ từ téc",DATA_GOC!$B:$B,DATE($D$2,$B$2,Y$4)),0))</f>
        <v>0</v>
      </c>
      <c r="Z438" s="251">
        <f>IF(Z$4&gt;DAY(EOMONTH(DATE($D$2,$B$2,1),0)),"",IFERROR(SUMIFS(DATA_GOC!$H:$H,DATA_GOC!$A:$A,"BOM",DATA_GOC!$D:$D,$B438,DATA_GOC!$E:$E,"Dầu số",DATA_GOC!$F:$F,"Xuất nội bộ từ téc",DATA_GOC!$B:$B,DATE($D$2,$B$2,Z$4)),0))</f>
        <v>0</v>
      </c>
      <c r="AA438" s="251">
        <f>IF(AA$4&gt;DAY(EOMONTH(DATE($D$2,$B$2,1),0)),"",IFERROR(SUMIFS(DATA_GOC!$H:$H,DATA_GOC!$A:$A,"BOM",DATA_GOC!$D:$D,$B438,DATA_GOC!$E:$E,"Dầu số",DATA_GOC!$F:$F,"Xuất nội bộ từ téc",DATA_GOC!$B:$B,DATE($D$2,$B$2,AA$4)),0))</f>
        <v>0</v>
      </c>
      <c r="AB438" s="251">
        <f>IF(AB$4&gt;DAY(EOMONTH(DATE($D$2,$B$2,1),0)),"",IFERROR(SUMIFS(DATA_GOC!$H:$H,DATA_GOC!$A:$A,"BOM",DATA_GOC!$D:$D,$B438,DATA_GOC!$E:$E,"Dầu số",DATA_GOC!$F:$F,"Xuất nội bộ từ téc",DATA_GOC!$B:$B,DATE($D$2,$B$2,AB$4)),0))</f>
        <v>0</v>
      </c>
      <c r="AC438" s="251">
        <f>IF(AC$4&gt;DAY(EOMONTH(DATE($D$2,$B$2,1),0)),"",IFERROR(SUMIFS(DATA_GOC!$H:$H,DATA_GOC!$A:$A,"BOM",DATA_GOC!$D:$D,$B438,DATA_GOC!$E:$E,"Dầu số",DATA_GOC!$F:$F,"Xuất nội bộ từ téc",DATA_GOC!$B:$B,DATE($D$2,$B$2,AC$4)),0))</f>
        <v>0</v>
      </c>
      <c r="AD438" s="251">
        <f>IF(AD$4&gt;DAY(EOMONTH(DATE($D$2,$B$2,1),0)),"",IFERROR(SUMIFS(DATA_GOC!$H:$H,DATA_GOC!$A:$A,"BOM",DATA_GOC!$D:$D,$B438,DATA_GOC!$E:$E,"Dầu số",DATA_GOC!$F:$F,"Xuất nội bộ từ téc",DATA_GOC!$B:$B,DATE($D$2,$B$2,AD$4)),0))</f>
        <v>0</v>
      </c>
      <c r="AE438" s="251">
        <f>IF(AE$4&gt;DAY(EOMONTH(DATE($D$2,$B$2,1),0)),"",IFERROR(SUMIFS(DATA_GOC!$H:$H,DATA_GOC!$A:$A,"BOM",DATA_GOC!$D:$D,$B438,DATA_GOC!$E:$E,"Dầu số",DATA_GOC!$F:$F,"Xuất nội bộ từ téc",DATA_GOC!$B:$B,DATE($D$2,$B$2,AE$4)),0))</f>
        <v>0</v>
      </c>
      <c r="AF438" s="251">
        <f>IF(AF$4&gt;DAY(EOMONTH(DATE($D$2,$B$2,1),0)),"",IFERROR(SUMIFS(DATA_GOC!$H:$H,DATA_GOC!$A:$A,"BOM",DATA_GOC!$D:$D,$B438,DATA_GOC!$E:$E,"Dầu số",DATA_GOC!$F:$F,"Xuất nội bộ từ téc",DATA_GOC!$B:$B,DATE($D$2,$B$2,AF$4)),0))</f>
        <v>0</v>
      </c>
      <c r="AG438" s="251">
        <f>IF(AG$4&gt;DAY(EOMONTH(DATE($D$2,$B$2,1),0)),"",IFERROR(SUMIFS(DATA_GOC!$H:$H,DATA_GOC!$A:$A,"BOM",DATA_GOC!$D:$D,$B438,DATA_GOC!$E:$E,"Dầu số",DATA_GOC!$F:$F,"Xuất nội bộ từ téc",DATA_GOC!$B:$B,DATE($D$2,$B$2,AG$4)),0))</f>
        <v>0</v>
      </c>
      <c r="AH438" s="252">
        <f t="shared" si="22"/>
        <v>0</v>
      </c>
      <c r="AI438" s="241"/>
      <c r="AJ438" s="242">
        <f>IF($B438="","",SUMIFS(TINH_TEC!$K$233:$K$9232,TINH_TEC!$H$233:$H$9232,$B438,TINH_TEC!$C$233:$C$9232,"Dầu số",TINH_TEC!$F$233:$F$9232,$B$2,TINH_TEC!$G$233:$G$9232,$D$2,TINH_TEC!$B$233:$B$9232,"Đã chốt"))</f>
        <v>0</v>
      </c>
      <c r="AK438" s="242">
        <f>IF($B438="","",SUMIFS(TINH_TEC!$J$233:$J$9232,TINH_TEC!$H$233:$H$9232,$B438,TINH_TEC!$C$233:$C$9232,"Dầu số",TINH_TEC!$F$233:$F$9232,$B$2,TINH_TEC!$G$233:$G$9232,$D$2,TINH_TEC!$B$233:$B$9232,"Đã chốt"))</f>
        <v>0</v>
      </c>
      <c r="AL438" s="242">
        <f t="shared" si="23"/>
        <v>0</v>
      </c>
    </row>
    <row r="439" ht="15.75" customHeight="1">
      <c r="A439" s="237">
        <f>IF($B439&lt;&gt;"",7,"")</f>
        <v>7</v>
      </c>
      <c r="B439" s="250" t="str">
        <f t="array" ref="B439">IFERROR(INDEX(DANH_MUC!$E:$E,10),"")</f>
        <v>28C01622</v>
      </c>
      <c r="C439" s="251">
        <f>IF(C$4&gt;DAY(EOMONTH(DATE($D$2,$B$2,1),0)),"",IFERROR(SUMIFS(DATA_GOC!$H:$H,DATA_GOC!$A:$A,"BOM",DATA_GOC!$D:$D,$B439,DATA_GOC!$E:$E,"Dầu số",DATA_GOC!$F:$F,"Xuất nội bộ từ téc",DATA_GOC!$B:$B,DATE($D$2,$B$2,C$4)),0))</f>
        <v>0</v>
      </c>
      <c r="D439" s="251">
        <f>IF(D$4&gt;DAY(EOMONTH(DATE($D$2,$B$2,1),0)),"",IFERROR(SUMIFS(DATA_GOC!$H:$H,DATA_GOC!$A:$A,"BOM",DATA_GOC!$D:$D,$B439,DATA_GOC!$E:$E,"Dầu số",DATA_GOC!$F:$F,"Xuất nội bộ từ téc",DATA_GOC!$B:$B,DATE($D$2,$B$2,D$4)),0))</f>
        <v>0</v>
      </c>
      <c r="E439" s="251">
        <f>IF(E$4&gt;DAY(EOMONTH(DATE($D$2,$B$2,1),0)),"",IFERROR(SUMIFS(DATA_GOC!$H:$H,DATA_GOC!$A:$A,"BOM",DATA_GOC!$D:$D,$B439,DATA_GOC!$E:$E,"Dầu số",DATA_GOC!$F:$F,"Xuất nội bộ từ téc",DATA_GOC!$B:$B,DATE($D$2,$B$2,E$4)),0))</f>
        <v>0</v>
      </c>
      <c r="F439" s="251">
        <f>IF(F$4&gt;DAY(EOMONTH(DATE($D$2,$B$2,1),0)),"",IFERROR(SUMIFS(DATA_GOC!$H:$H,DATA_GOC!$A:$A,"BOM",DATA_GOC!$D:$D,$B439,DATA_GOC!$E:$E,"Dầu số",DATA_GOC!$F:$F,"Xuất nội bộ từ téc",DATA_GOC!$B:$B,DATE($D$2,$B$2,F$4)),0))</f>
        <v>0</v>
      </c>
      <c r="G439" s="251">
        <f>IF(G$4&gt;DAY(EOMONTH(DATE($D$2,$B$2,1),0)),"",IFERROR(SUMIFS(DATA_GOC!$H:$H,DATA_GOC!$A:$A,"BOM",DATA_GOC!$D:$D,$B439,DATA_GOC!$E:$E,"Dầu số",DATA_GOC!$F:$F,"Xuất nội bộ từ téc",DATA_GOC!$B:$B,DATE($D$2,$B$2,G$4)),0))</f>
        <v>0</v>
      </c>
      <c r="H439" s="251">
        <f>IF(H$4&gt;DAY(EOMONTH(DATE($D$2,$B$2,1),0)),"",IFERROR(SUMIFS(DATA_GOC!$H:$H,DATA_GOC!$A:$A,"BOM",DATA_GOC!$D:$D,$B439,DATA_GOC!$E:$E,"Dầu số",DATA_GOC!$F:$F,"Xuất nội bộ từ téc",DATA_GOC!$B:$B,DATE($D$2,$B$2,H$4)),0))</f>
        <v>0</v>
      </c>
      <c r="I439" s="251">
        <f>IF(I$4&gt;DAY(EOMONTH(DATE($D$2,$B$2,1),0)),"",IFERROR(SUMIFS(DATA_GOC!$H:$H,DATA_GOC!$A:$A,"BOM",DATA_GOC!$D:$D,$B439,DATA_GOC!$E:$E,"Dầu số",DATA_GOC!$F:$F,"Xuất nội bộ từ téc",DATA_GOC!$B:$B,DATE($D$2,$B$2,I$4)),0))</f>
        <v>0</v>
      </c>
      <c r="J439" s="251">
        <f>IF(J$4&gt;DAY(EOMONTH(DATE($D$2,$B$2,1),0)),"",IFERROR(SUMIFS(DATA_GOC!$H:$H,DATA_GOC!$A:$A,"BOM",DATA_GOC!$D:$D,$B439,DATA_GOC!$E:$E,"Dầu số",DATA_GOC!$F:$F,"Xuất nội bộ từ téc",DATA_GOC!$B:$B,DATE($D$2,$B$2,J$4)),0))</f>
        <v>0</v>
      </c>
      <c r="K439" s="251">
        <f>IF(K$4&gt;DAY(EOMONTH(DATE($D$2,$B$2,1),0)),"",IFERROR(SUMIFS(DATA_GOC!$H:$H,DATA_GOC!$A:$A,"BOM",DATA_GOC!$D:$D,$B439,DATA_GOC!$E:$E,"Dầu số",DATA_GOC!$F:$F,"Xuất nội bộ từ téc",DATA_GOC!$B:$B,DATE($D$2,$B$2,K$4)),0))</f>
        <v>0</v>
      </c>
      <c r="L439" s="251">
        <f>IF(L$4&gt;DAY(EOMONTH(DATE($D$2,$B$2,1),0)),"",IFERROR(SUMIFS(DATA_GOC!$H:$H,DATA_GOC!$A:$A,"BOM",DATA_GOC!$D:$D,$B439,DATA_GOC!$E:$E,"Dầu số",DATA_GOC!$F:$F,"Xuất nội bộ từ téc",DATA_GOC!$B:$B,DATE($D$2,$B$2,L$4)),0))</f>
        <v>0</v>
      </c>
      <c r="M439" s="251">
        <f>IF(M$4&gt;DAY(EOMONTH(DATE($D$2,$B$2,1),0)),"",IFERROR(SUMIFS(DATA_GOC!$H:$H,DATA_GOC!$A:$A,"BOM",DATA_GOC!$D:$D,$B439,DATA_GOC!$E:$E,"Dầu số",DATA_GOC!$F:$F,"Xuất nội bộ từ téc",DATA_GOC!$B:$B,DATE($D$2,$B$2,M$4)),0))</f>
        <v>0</v>
      </c>
      <c r="N439" s="251">
        <f>IF(N$4&gt;DAY(EOMONTH(DATE($D$2,$B$2,1),0)),"",IFERROR(SUMIFS(DATA_GOC!$H:$H,DATA_GOC!$A:$A,"BOM",DATA_GOC!$D:$D,$B439,DATA_GOC!$E:$E,"Dầu số",DATA_GOC!$F:$F,"Xuất nội bộ từ téc",DATA_GOC!$B:$B,DATE($D$2,$B$2,N$4)),0))</f>
        <v>0</v>
      </c>
      <c r="O439" s="251">
        <f>IF(O$4&gt;DAY(EOMONTH(DATE($D$2,$B$2,1),0)),"",IFERROR(SUMIFS(DATA_GOC!$H:$H,DATA_GOC!$A:$A,"BOM",DATA_GOC!$D:$D,$B439,DATA_GOC!$E:$E,"Dầu số",DATA_GOC!$F:$F,"Xuất nội bộ từ téc",DATA_GOC!$B:$B,DATE($D$2,$B$2,O$4)),0))</f>
        <v>0</v>
      </c>
      <c r="P439" s="251">
        <f>IF(P$4&gt;DAY(EOMONTH(DATE($D$2,$B$2,1),0)),"",IFERROR(SUMIFS(DATA_GOC!$H:$H,DATA_GOC!$A:$A,"BOM",DATA_GOC!$D:$D,$B439,DATA_GOC!$E:$E,"Dầu số",DATA_GOC!$F:$F,"Xuất nội bộ từ téc",DATA_GOC!$B:$B,DATE($D$2,$B$2,P$4)),0))</f>
        <v>0</v>
      </c>
      <c r="Q439" s="251">
        <f>IF(Q$4&gt;DAY(EOMONTH(DATE($D$2,$B$2,1),0)),"",IFERROR(SUMIFS(DATA_GOC!$H:$H,DATA_GOC!$A:$A,"BOM",DATA_GOC!$D:$D,$B439,DATA_GOC!$E:$E,"Dầu số",DATA_GOC!$F:$F,"Xuất nội bộ từ téc",DATA_GOC!$B:$B,DATE($D$2,$B$2,Q$4)),0))</f>
        <v>0</v>
      </c>
      <c r="R439" s="251">
        <f>IF(R$4&gt;DAY(EOMONTH(DATE($D$2,$B$2,1),0)),"",IFERROR(SUMIFS(DATA_GOC!$H:$H,DATA_GOC!$A:$A,"BOM",DATA_GOC!$D:$D,$B439,DATA_GOC!$E:$E,"Dầu số",DATA_GOC!$F:$F,"Xuất nội bộ từ téc",DATA_GOC!$B:$B,DATE($D$2,$B$2,R$4)),0))</f>
        <v>0</v>
      </c>
      <c r="S439" s="251">
        <f>IF(S$4&gt;DAY(EOMONTH(DATE($D$2,$B$2,1),0)),"",IFERROR(SUMIFS(DATA_GOC!$H:$H,DATA_GOC!$A:$A,"BOM",DATA_GOC!$D:$D,$B439,DATA_GOC!$E:$E,"Dầu số",DATA_GOC!$F:$F,"Xuất nội bộ từ téc",DATA_GOC!$B:$B,DATE($D$2,$B$2,S$4)),0))</f>
        <v>0</v>
      </c>
      <c r="T439" s="251">
        <f>IF(T$4&gt;DAY(EOMONTH(DATE($D$2,$B$2,1),0)),"",IFERROR(SUMIFS(DATA_GOC!$H:$H,DATA_GOC!$A:$A,"BOM",DATA_GOC!$D:$D,$B439,DATA_GOC!$E:$E,"Dầu số",DATA_GOC!$F:$F,"Xuất nội bộ từ téc",DATA_GOC!$B:$B,DATE($D$2,$B$2,T$4)),0))</f>
        <v>0</v>
      </c>
      <c r="U439" s="251">
        <f>IF(U$4&gt;DAY(EOMONTH(DATE($D$2,$B$2,1),0)),"",IFERROR(SUMIFS(DATA_GOC!$H:$H,DATA_GOC!$A:$A,"BOM",DATA_GOC!$D:$D,$B439,DATA_GOC!$E:$E,"Dầu số",DATA_GOC!$F:$F,"Xuất nội bộ từ téc",DATA_GOC!$B:$B,DATE($D$2,$B$2,U$4)),0))</f>
        <v>0</v>
      </c>
      <c r="V439" s="251">
        <f>IF(V$4&gt;DAY(EOMONTH(DATE($D$2,$B$2,1),0)),"",IFERROR(SUMIFS(DATA_GOC!$H:$H,DATA_GOC!$A:$A,"BOM",DATA_GOC!$D:$D,$B439,DATA_GOC!$E:$E,"Dầu số",DATA_GOC!$F:$F,"Xuất nội bộ từ téc",DATA_GOC!$B:$B,DATE($D$2,$B$2,V$4)),0))</f>
        <v>0</v>
      </c>
      <c r="W439" s="251">
        <f>IF(W$4&gt;DAY(EOMONTH(DATE($D$2,$B$2,1),0)),"",IFERROR(SUMIFS(DATA_GOC!$H:$H,DATA_GOC!$A:$A,"BOM",DATA_GOC!$D:$D,$B439,DATA_GOC!$E:$E,"Dầu số",DATA_GOC!$F:$F,"Xuất nội bộ từ téc",DATA_GOC!$B:$B,DATE($D$2,$B$2,W$4)),0))</f>
        <v>0</v>
      </c>
      <c r="X439" s="251">
        <f>IF(X$4&gt;DAY(EOMONTH(DATE($D$2,$B$2,1),0)),"",IFERROR(SUMIFS(DATA_GOC!$H:$H,DATA_GOC!$A:$A,"BOM",DATA_GOC!$D:$D,$B439,DATA_GOC!$E:$E,"Dầu số",DATA_GOC!$F:$F,"Xuất nội bộ từ téc",DATA_GOC!$B:$B,DATE($D$2,$B$2,X$4)),0))</f>
        <v>0</v>
      </c>
      <c r="Y439" s="251">
        <f>IF(Y$4&gt;DAY(EOMONTH(DATE($D$2,$B$2,1),0)),"",IFERROR(SUMIFS(DATA_GOC!$H:$H,DATA_GOC!$A:$A,"BOM",DATA_GOC!$D:$D,$B439,DATA_GOC!$E:$E,"Dầu số",DATA_GOC!$F:$F,"Xuất nội bộ từ téc",DATA_GOC!$B:$B,DATE($D$2,$B$2,Y$4)),0))</f>
        <v>0</v>
      </c>
      <c r="Z439" s="251">
        <f>IF(Z$4&gt;DAY(EOMONTH(DATE($D$2,$B$2,1),0)),"",IFERROR(SUMIFS(DATA_GOC!$H:$H,DATA_GOC!$A:$A,"BOM",DATA_GOC!$D:$D,$B439,DATA_GOC!$E:$E,"Dầu số",DATA_GOC!$F:$F,"Xuất nội bộ từ téc",DATA_GOC!$B:$B,DATE($D$2,$B$2,Z$4)),0))</f>
        <v>0</v>
      </c>
      <c r="AA439" s="251">
        <f>IF(AA$4&gt;DAY(EOMONTH(DATE($D$2,$B$2,1),0)),"",IFERROR(SUMIFS(DATA_GOC!$H:$H,DATA_GOC!$A:$A,"BOM",DATA_GOC!$D:$D,$B439,DATA_GOC!$E:$E,"Dầu số",DATA_GOC!$F:$F,"Xuất nội bộ từ téc",DATA_GOC!$B:$B,DATE($D$2,$B$2,AA$4)),0))</f>
        <v>0</v>
      </c>
      <c r="AB439" s="251">
        <f>IF(AB$4&gt;DAY(EOMONTH(DATE($D$2,$B$2,1),0)),"",IFERROR(SUMIFS(DATA_GOC!$H:$H,DATA_GOC!$A:$A,"BOM",DATA_GOC!$D:$D,$B439,DATA_GOC!$E:$E,"Dầu số",DATA_GOC!$F:$F,"Xuất nội bộ từ téc",DATA_GOC!$B:$B,DATE($D$2,$B$2,AB$4)),0))</f>
        <v>0</v>
      </c>
      <c r="AC439" s="251">
        <f>IF(AC$4&gt;DAY(EOMONTH(DATE($D$2,$B$2,1),0)),"",IFERROR(SUMIFS(DATA_GOC!$H:$H,DATA_GOC!$A:$A,"BOM",DATA_GOC!$D:$D,$B439,DATA_GOC!$E:$E,"Dầu số",DATA_GOC!$F:$F,"Xuất nội bộ từ téc",DATA_GOC!$B:$B,DATE($D$2,$B$2,AC$4)),0))</f>
        <v>0</v>
      </c>
      <c r="AD439" s="251">
        <f>IF(AD$4&gt;DAY(EOMONTH(DATE($D$2,$B$2,1),0)),"",IFERROR(SUMIFS(DATA_GOC!$H:$H,DATA_GOC!$A:$A,"BOM",DATA_GOC!$D:$D,$B439,DATA_GOC!$E:$E,"Dầu số",DATA_GOC!$F:$F,"Xuất nội bộ từ téc",DATA_GOC!$B:$B,DATE($D$2,$B$2,AD$4)),0))</f>
        <v>0</v>
      </c>
      <c r="AE439" s="251">
        <f>IF(AE$4&gt;DAY(EOMONTH(DATE($D$2,$B$2,1),0)),"",IFERROR(SUMIFS(DATA_GOC!$H:$H,DATA_GOC!$A:$A,"BOM",DATA_GOC!$D:$D,$B439,DATA_GOC!$E:$E,"Dầu số",DATA_GOC!$F:$F,"Xuất nội bộ từ téc",DATA_GOC!$B:$B,DATE($D$2,$B$2,AE$4)),0))</f>
        <v>0</v>
      </c>
      <c r="AF439" s="251">
        <f>IF(AF$4&gt;DAY(EOMONTH(DATE($D$2,$B$2,1),0)),"",IFERROR(SUMIFS(DATA_GOC!$H:$H,DATA_GOC!$A:$A,"BOM",DATA_GOC!$D:$D,$B439,DATA_GOC!$E:$E,"Dầu số",DATA_GOC!$F:$F,"Xuất nội bộ từ téc",DATA_GOC!$B:$B,DATE($D$2,$B$2,AF$4)),0))</f>
        <v>0</v>
      </c>
      <c r="AG439" s="251">
        <f>IF(AG$4&gt;DAY(EOMONTH(DATE($D$2,$B$2,1),0)),"",IFERROR(SUMIFS(DATA_GOC!$H:$H,DATA_GOC!$A:$A,"BOM",DATA_GOC!$D:$D,$B439,DATA_GOC!$E:$E,"Dầu số",DATA_GOC!$F:$F,"Xuất nội bộ từ téc",DATA_GOC!$B:$B,DATE($D$2,$B$2,AG$4)),0))</f>
        <v>0</v>
      </c>
      <c r="AH439" s="252">
        <f t="shared" si="22"/>
        <v>0</v>
      </c>
      <c r="AI439" s="241"/>
      <c r="AJ439" s="242">
        <f>IF($B439="","",SUMIFS(TINH_TEC!$K$233:$K$9232,TINH_TEC!$H$233:$H$9232,$B439,TINH_TEC!$C$233:$C$9232,"Dầu số",TINH_TEC!$F$233:$F$9232,$B$2,TINH_TEC!$G$233:$G$9232,$D$2,TINH_TEC!$B$233:$B$9232,"Đã chốt"))</f>
        <v>0</v>
      </c>
      <c r="AK439" s="242">
        <f>IF($B439="","",SUMIFS(TINH_TEC!$J$233:$J$9232,TINH_TEC!$H$233:$H$9232,$B439,TINH_TEC!$C$233:$C$9232,"Dầu số",TINH_TEC!$F$233:$F$9232,$B$2,TINH_TEC!$G$233:$G$9232,$D$2,TINH_TEC!$B$233:$B$9232,"Đã chốt"))</f>
        <v>0</v>
      </c>
      <c r="AL439" s="242">
        <f t="shared" si="23"/>
        <v>0</v>
      </c>
    </row>
    <row r="440" ht="15.75" customHeight="1">
      <c r="A440" s="237">
        <f>IF($B440&lt;&gt;"",8,"")</f>
        <v>8</v>
      </c>
      <c r="B440" s="250" t="str">
        <f t="array" ref="B440">IFERROR(INDEX(DANH_MUC!$E:$E,11),"")</f>
        <v>28C01647</v>
      </c>
      <c r="C440" s="251">
        <f>IF(C$4&gt;DAY(EOMONTH(DATE($D$2,$B$2,1),0)),"",IFERROR(SUMIFS(DATA_GOC!$H:$H,DATA_GOC!$A:$A,"BOM",DATA_GOC!$D:$D,$B440,DATA_GOC!$E:$E,"Dầu số",DATA_GOC!$F:$F,"Xuất nội bộ từ téc",DATA_GOC!$B:$B,DATE($D$2,$B$2,C$4)),0))</f>
        <v>0</v>
      </c>
      <c r="D440" s="251">
        <f>IF(D$4&gt;DAY(EOMONTH(DATE($D$2,$B$2,1),0)),"",IFERROR(SUMIFS(DATA_GOC!$H:$H,DATA_GOC!$A:$A,"BOM",DATA_GOC!$D:$D,$B440,DATA_GOC!$E:$E,"Dầu số",DATA_GOC!$F:$F,"Xuất nội bộ từ téc",DATA_GOC!$B:$B,DATE($D$2,$B$2,D$4)),0))</f>
        <v>0</v>
      </c>
      <c r="E440" s="251">
        <f>IF(E$4&gt;DAY(EOMONTH(DATE($D$2,$B$2,1),0)),"",IFERROR(SUMIFS(DATA_GOC!$H:$H,DATA_GOC!$A:$A,"BOM",DATA_GOC!$D:$D,$B440,DATA_GOC!$E:$E,"Dầu số",DATA_GOC!$F:$F,"Xuất nội bộ từ téc",DATA_GOC!$B:$B,DATE($D$2,$B$2,E$4)),0))</f>
        <v>0</v>
      </c>
      <c r="F440" s="251">
        <f>IF(F$4&gt;DAY(EOMONTH(DATE($D$2,$B$2,1),0)),"",IFERROR(SUMIFS(DATA_GOC!$H:$H,DATA_GOC!$A:$A,"BOM",DATA_GOC!$D:$D,$B440,DATA_GOC!$E:$E,"Dầu số",DATA_GOC!$F:$F,"Xuất nội bộ từ téc",DATA_GOC!$B:$B,DATE($D$2,$B$2,F$4)),0))</f>
        <v>0</v>
      </c>
      <c r="G440" s="251">
        <f>IF(G$4&gt;DAY(EOMONTH(DATE($D$2,$B$2,1),0)),"",IFERROR(SUMIFS(DATA_GOC!$H:$H,DATA_GOC!$A:$A,"BOM",DATA_GOC!$D:$D,$B440,DATA_GOC!$E:$E,"Dầu số",DATA_GOC!$F:$F,"Xuất nội bộ từ téc",DATA_GOC!$B:$B,DATE($D$2,$B$2,G$4)),0))</f>
        <v>0</v>
      </c>
      <c r="H440" s="251">
        <f>IF(H$4&gt;DAY(EOMONTH(DATE($D$2,$B$2,1),0)),"",IFERROR(SUMIFS(DATA_GOC!$H:$H,DATA_GOC!$A:$A,"BOM",DATA_GOC!$D:$D,$B440,DATA_GOC!$E:$E,"Dầu số",DATA_GOC!$F:$F,"Xuất nội bộ từ téc",DATA_GOC!$B:$B,DATE($D$2,$B$2,H$4)),0))</f>
        <v>0</v>
      </c>
      <c r="I440" s="251">
        <f>IF(I$4&gt;DAY(EOMONTH(DATE($D$2,$B$2,1),0)),"",IFERROR(SUMIFS(DATA_GOC!$H:$H,DATA_GOC!$A:$A,"BOM",DATA_GOC!$D:$D,$B440,DATA_GOC!$E:$E,"Dầu số",DATA_GOC!$F:$F,"Xuất nội bộ từ téc",DATA_GOC!$B:$B,DATE($D$2,$B$2,I$4)),0))</f>
        <v>0</v>
      </c>
      <c r="J440" s="251">
        <f>IF(J$4&gt;DAY(EOMONTH(DATE($D$2,$B$2,1),0)),"",IFERROR(SUMIFS(DATA_GOC!$H:$H,DATA_GOC!$A:$A,"BOM",DATA_GOC!$D:$D,$B440,DATA_GOC!$E:$E,"Dầu số",DATA_GOC!$F:$F,"Xuất nội bộ từ téc",DATA_GOC!$B:$B,DATE($D$2,$B$2,J$4)),0))</f>
        <v>0</v>
      </c>
      <c r="K440" s="251">
        <f>IF(K$4&gt;DAY(EOMONTH(DATE($D$2,$B$2,1),0)),"",IFERROR(SUMIFS(DATA_GOC!$H:$H,DATA_GOC!$A:$A,"BOM",DATA_GOC!$D:$D,$B440,DATA_GOC!$E:$E,"Dầu số",DATA_GOC!$F:$F,"Xuất nội bộ từ téc",DATA_GOC!$B:$B,DATE($D$2,$B$2,K$4)),0))</f>
        <v>0</v>
      </c>
      <c r="L440" s="251">
        <f>IF(L$4&gt;DAY(EOMONTH(DATE($D$2,$B$2,1),0)),"",IFERROR(SUMIFS(DATA_GOC!$H:$H,DATA_GOC!$A:$A,"BOM",DATA_GOC!$D:$D,$B440,DATA_GOC!$E:$E,"Dầu số",DATA_GOC!$F:$F,"Xuất nội bộ từ téc",DATA_GOC!$B:$B,DATE($D$2,$B$2,L$4)),0))</f>
        <v>0</v>
      </c>
      <c r="M440" s="251">
        <f>IF(M$4&gt;DAY(EOMONTH(DATE($D$2,$B$2,1),0)),"",IFERROR(SUMIFS(DATA_GOC!$H:$H,DATA_GOC!$A:$A,"BOM",DATA_GOC!$D:$D,$B440,DATA_GOC!$E:$E,"Dầu số",DATA_GOC!$F:$F,"Xuất nội bộ từ téc",DATA_GOC!$B:$B,DATE($D$2,$B$2,M$4)),0))</f>
        <v>0</v>
      </c>
      <c r="N440" s="251">
        <f>IF(N$4&gt;DAY(EOMONTH(DATE($D$2,$B$2,1),0)),"",IFERROR(SUMIFS(DATA_GOC!$H:$H,DATA_GOC!$A:$A,"BOM",DATA_GOC!$D:$D,$B440,DATA_GOC!$E:$E,"Dầu số",DATA_GOC!$F:$F,"Xuất nội bộ từ téc",DATA_GOC!$B:$B,DATE($D$2,$B$2,N$4)),0))</f>
        <v>0</v>
      </c>
      <c r="O440" s="251">
        <f>IF(O$4&gt;DAY(EOMONTH(DATE($D$2,$B$2,1),0)),"",IFERROR(SUMIFS(DATA_GOC!$H:$H,DATA_GOC!$A:$A,"BOM",DATA_GOC!$D:$D,$B440,DATA_GOC!$E:$E,"Dầu số",DATA_GOC!$F:$F,"Xuất nội bộ từ téc",DATA_GOC!$B:$B,DATE($D$2,$B$2,O$4)),0))</f>
        <v>0</v>
      </c>
      <c r="P440" s="251">
        <f>IF(P$4&gt;DAY(EOMONTH(DATE($D$2,$B$2,1),0)),"",IFERROR(SUMIFS(DATA_GOC!$H:$H,DATA_GOC!$A:$A,"BOM",DATA_GOC!$D:$D,$B440,DATA_GOC!$E:$E,"Dầu số",DATA_GOC!$F:$F,"Xuất nội bộ từ téc",DATA_GOC!$B:$B,DATE($D$2,$B$2,P$4)),0))</f>
        <v>0</v>
      </c>
      <c r="Q440" s="251">
        <f>IF(Q$4&gt;DAY(EOMONTH(DATE($D$2,$B$2,1),0)),"",IFERROR(SUMIFS(DATA_GOC!$H:$H,DATA_GOC!$A:$A,"BOM",DATA_GOC!$D:$D,$B440,DATA_GOC!$E:$E,"Dầu số",DATA_GOC!$F:$F,"Xuất nội bộ từ téc",DATA_GOC!$B:$B,DATE($D$2,$B$2,Q$4)),0))</f>
        <v>0</v>
      </c>
      <c r="R440" s="251">
        <f>IF(R$4&gt;DAY(EOMONTH(DATE($D$2,$B$2,1),0)),"",IFERROR(SUMIFS(DATA_GOC!$H:$H,DATA_GOC!$A:$A,"BOM",DATA_GOC!$D:$D,$B440,DATA_GOC!$E:$E,"Dầu số",DATA_GOC!$F:$F,"Xuất nội bộ từ téc",DATA_GOC!$B:$B,DATE($D$2,$B$2,R$4)),0))</f>
        <v>0</v>
      </c>
      <c r="S440" s="251">
        <f>IF(S$4&gt;DAY(EOMONTH(DATE($D$2,$B$2,1),0)),"",IFERROR(SUMIFS(DATA_GOC!$H:$H,DATA_GOC!$A:$A,"BOM",DATA_GOC!$D:$D,$B440,DATA_GOC!$E:$E,"Dầu số",DATA_GOC!$F:$F,"Xuất nội bộ từ téc",DATA_GOC!$B:$B,DATE($D$2,$B$2,S$4)),0))</f>
        <v>0</v>
      </c>
      <c r="T440" s="251">
        <f>IF(T$4&gt;DAY(EOMONTH(DATE($D$2,$B$2,1),0)),"",IFERROR(SUMIFS(DATA_GOC!$H:$H,DATA_GOC!$A:$A,"BOM",DATA_GOC!$D:$D,$B440,DATA_GOC!$E:$E,"Dầu số",DATA_GOC!$F:$F,"Xuất nội bộ từ téc",DATA_GOC!$B:$B,DATE($D$2,$B$2,T$4)),0))</f>
        <v>0</v>
      </c>
      <c r="U440" s="251">
        <f>IF(U$4&gt;DAY(EOMONTH(DATE($D$2,$B$2,1),0)),"",IFERROR(SUMIFS(DATA_GOC!$H:$H,DATA_GOC!$A:$A,"BOM",DATA_GOC!$D:$D,$B440,DATA_GOC!$E:$E,"Dầu số",DATA_GOC!$F:$F,"Xuất nội bộ từ téc",DATA_GOC!$B:$B,DATE($D$2,$B$2,U$4)),0))</f>
        <v>0</v>
      </c>
      <c r="V440" s="251">
        <f>IF(V$4&gt;DAY(EOMONTH(DATE($D$2,$B$2,1),0)),"",IFERROR(SUMIFS(DATA_GOC!$H:$H,DATA_GOC!$A:$A,"BOM",DATA_GOC!$D:$D,$B440,DATA_GOC!$E:$E,"Dầu số",DATA_GOC!$F:$F,"Xuất nội bộ từ téc",DATA_GOC!$B:$B,DATE($D$2,$B$2,V$4)),0))</f>
        <v>0</v>
      </c>
      <c r="W440" s="251">
        <f>IF(W$4&gt;DAY(EOMONTH(DATE($D$2,$B$2,1),0)),"",IFERROR(SUMIFS(DATA_GOC!$H:$H,DATA_GOC!$A:$A,"BOM",DATA_GOC!$D:$D,$B440,DATA_GOC!$E:$E,"Dầu số",DATA_GOC!$F:$F,"Xuất nội bộ từ téc",DATA_GOC!$B:$B,DATE($D$2,$B$2,W$4)),0))</f>
        <v>0</v>
      </c>
      <c r="X440" s="251">
        <f>IF(X$4&gt;DAY(EOMONTH(DATE($D$2,$B$2,1),0)),"",IFERROR(SUMIFS(DATA_GOC!$H:$H,DATA_GOC!$A:$A,"BOM",DATA_GOC!$D:$D,$B440,DATA_GOC!$E:$E,"Dầu số",DATA_GOC!$F:$F,"Xuất nội bộ từ téc",DATA_GOC!$B:$B,DATE($D$2,$B$2,X$4)),0))</f>
        <v>0</v>
      </c>
      <c r="Y440" s="251">
        <f>IF(Y$4&gt;DAY(EOMONTH(DATE($D$2,$B$2,1),0)),"",IFERROR(SUMIFS(DATA_GOC!$H:$H,DATA_GOC!$A:$A,"BOM",DATA_GOC!$D:$D,$B440,DATA_GOC!$E:$E,"Dầu số",DATA_GOC!$F:$F,"Xuất nội bộ từ téc",DATA_GOC!$B:$B,DATE($D$2,$B$2,Y$4)),0))</f>
        <v>0</v>
      </c>
      <c r="Z440" s="251">
        <f>IF(Z$4&gt;DAY(EOMONTH(DATE($D$2,$B$2,1),0)),"",IFERROR(SUMIFS(DATA_GOC!$H:$H,DATA_GOC!$A:$A,"BOM",DATA_GOC!$D:$D,$B440,DATA_GOC!$E:$E,"Dầu số",DATA_GOC!$F:$F,"Xuất nội bộ từ téc",DATA_GOC!$B:$B,DATE($D$2,$B$2,Z$4)),0))</f>
        <v>0</v>
      </c>
      <c r="AA440" s="251">
        <f>IF(AA$4&gt;DAY(EOMONTH(DATE($D$2,$B$2,1),0)),"",IFERROR(SUMIFS(DATA_GOC!$H:$H,DATA_GOC!$A:$A,"BOM",DATA_GOC!$D:$D,$B440,DATA_GOC!$E:$E,"Dầu số",DATA_GOC!$F:$F,"Xuất nội bộ từ téc",DATA_GOC!$B:$B,DATE($D$2,$B$2,AA$4)),0))</f>
        <v>0</v>
      </c>
      <c r="AB440" s="251">
        <f>IF(AB$4&gt;DAY(EOMONTH(DATE($D$2,$B$2,1),0)),"",IFERROR(SUMIFS(DATA_GOC!$H:$H,DATA_GOC!$A:$A,"BOM",DATA_GOC!$D:$D,$B440,DATA_GOC!$E:$E,"Dầu số",DATA_GOC!$F:$F,"Xuất nội bộ từ téc",DATA_GOC!$B:$B,DATE($D$2,$B$2,AB$4)),0))</f>
        <v>0</v>
      </c>
      <c r="AC440" s="251">
        <f>IF(AC$4&gt;DAY(EOMONTH(DATE($D$2,$B$2,1),0)),"",IFERROR(SUMIFS(DATA_GOC!$H:$H,DATA_GOC!$A:$A,"BOM",DATA_GOC!$D:$D,$B440,DATA_GOC!$E:$E,"Dầu số",DATA_GOC!$F:$F,"Xuất nội bộ từ téc",DATA_GOC!$B:$B,DATE($D$2,$B$2,AC$4)),0))</f>
        <v>0</v>
      </c>
      <c r="AD440" s="251">
        <f>IF(AD$4&gt;DAY(EOMONTH(DATE($D$2,$B$2,1),0)),"",IFERROR(SUMIFS(DATA_GOC!$H:$H,DATA_GOC!$A:$A,"BOM",DATA_GOC!$D:$D,$B440,DATA_GOC!$E:$E,"Dầu số",DATA_GOC!$F:$F,"Xuất nội bộ từ téc",DATA_GOC!$B:$B,DATE($D$2,$B$2,AD$4)),0))</f>
        <v>0</v>
      </c>
      <c r="AE440" s="251">
        <f>IF(AE$4&gt;DAY(EOMONTH(DATE($D$2,$B$2,1),0)),"",IFERROR(SUMIFS(DATA_GOC!$H:$H,DATA_GOC!$A:$A,"BOM",DATA_GOC!$D:$D,$B440,DATA_GOC!$E:$E,"Dầu số",DATA_GOC!$F:$F,"Xuất nội bộ từ téc",DATA_GOC!$B:$B,DATE($D$2,$B$2,AE$4)),0))</f>
        <v>0</v>
      </c>
      <c r="AF440" s="251">
        <f>IF(AF$4&gt;DAY(EOMONTH(DATE($D$2,$B$2,1),0)),"",IFERROR(SUMIFS(DATA_GOC!$H:$H,DATA_GOC!$A:$A,"BOM",DATA_GOC!$D:$D,$B440,DATA_GOC!$E:$E,"Dầu số",DATA_GOC!$F:$F,"Xuất nội bộ từ téc",DATA_GOC!$B:$B,DATE($D$2,$B$2,AF$4)),0))</f>
        <v>0</v>
      </c>
      <c r="AG440" s="251">
        <f>IF(AG$4&gt;DAY(EOMONTH(DATE($D$2,$B$2,1),0)),"",IFERROR(SUMIFS(DATA_GOC!$H:$H,DATA_GOC!$A:$A,"BOM",DATA_GOC!$D:$D,$B440,DATA_GOC!$E:$E,"Dầu số",DATA_GOC!$F:$F,"Xuất nội bộ từ téc",DATA_GOC!$B:$B,DATE($D$2,$B$2,AG$4)),0))</f>
        <v>0</v>
      </c>
      <c r="AH440" s="252">
        <f t="shared" si="22"/>
        <v>0</v>
      </c>
      <c r="AI440" s="241"/>
      <c r="AJ440" s="242">
        <f>IF($B440="","",SUMIFS(TINH_TEC!$K$233:$K$9232,TINH_TEC!$H$233:$H$9232,$B440,TINH_TEC!$C$233:$C$9232,"Dầu số",TINH_TEC!$F$233:$F$9232,$B$2,TINH_TEC!$G$233:$G$9232,$D$2,TINH_TEC!$B$233:$B$9232,"Đã chốt"))</f>
        <v>0</v>
      </c>
      <c r="AK440" s="242">
        <f>IF($B440="","",SUMIFS(TINH_TEC!$J$233:$J$9232,TINH_TEC!$H$233:$H$9232,$B440,TINH_TEC!$C$233:$C$9232,"Dầu số",TINH_TEC!$F$233:$F$9232,$B$2,TINH_TEC!$G$233:$G$9232,$D$2,TINH_TEC!$B$233:$B$9232,"Đã chốt"))</f>
        <v>0</v>
      </c>
      <c r="AL440" s="242">
        <f t="shared" si="23"/>
        <v>0</v>
      </c>
    </row>
    <row r="441" ht="15.75" customHeight="1">
      <c r="A441" s="237">
        <f>IF($B441&lt;&gt;"",9,"")</f>
        <v>9</v>
      </c>
      <c r="B441" s="250" t="str">
        <f t="array" ref="B441">IFERROR(INDEX(DANH_MUC!$E:$E,12),"")</f>
        <v>28C01731</v>
      </c>
      <c r="C441" s="251">
        <f>IF(C$4&gt;DAY(EOMONTH(DATE($D$2,$B$2,1),0)),"",IFERROR(SUMIFS(DATA_GOC!$H:$H,DATA_GOC!$A:$A,"BOM",DATA_GOC!$D:$D,$B441,DATA_GOC!$E:$E,"Dầu số",DATA_GOC!$F:$F,"Xuất nội bộ từ téc",DATA_GOC!$B:$B,DATE($D$2,$B$2,C$4)),0))</f>
        <v>0</v>
      </c>
      <c r="D441" s="251">
        <f>IF(D$4&gt;DAY(EOMONTH(DATE($D$2,$B$2,1),0)),"",IFERROR(SUMIFS(DATA_GOC!$H:$H,DATA_GOC!$A:$A,"BOM",DATA_GOC!$D:$D,$B441,DATA_GOC!$E:$E,"Dầu số",DATA_GOC!$F:$F,"Xuất nội bộ từ téc",DATA_GOC!$B:$B,DATE($D$2,$B$2,D$4)),0))</f>
        <v>0</v>
      </c>
      <c r="E441" s="251">
        <f>IF(E$4&gt;DAY(EOMONTH(DATE($D$2,$B$2,1),0)),"",IFERROR(SUMIFS(DATA_GOC!$H:$H,DATA_GOC!$A:$A,"BOM",DATA_GOC!$D:$D,$B441,DATA_GOC!$E:$E,"Dầu số",DATA_GOC!$F:$F,"Xuất nội bộ từ téc",DATA_GOC!$B:$B,DATE($D$2,$B$2,E$4)),0))</f>
        <v>0</v>
      </c>
      <c r="F441" s="251">
        <f>IF(F$4&gt;DAY(EOMONTH(DATE($D$2,$B$2,1),0)),"",IFERROR(SUMIFS(DATA_GOC!$H:$H,DATA_GOC!$A:$A,"BOM",DATA_GOC!$D:$D,$B441,DATA_GOC!$E:$E,"Dầu số",DATA_GOC!$F:$F,"Xuất nội bộ từ téc",DATA_GOC!$B:$B,DATE($D$2,$B$2,F$4)),0))</f>
        <v>0</v>
      </c>
      <c r="G441" s="251">
        <f>IF(G$4&gt;DAY(EOMONTH(DATE($D$2,$B$2,1),0)),"",IFERROR(SUMIFS(DATA_GOC!$H:$H,DATA_GOC!$A:$A,"BOM",DATA_GOC!$D:$D,$B441,DATA_GOC!$E:$E,"Dầu số",DATA_GOC!$F:$F,"Xuất nội bộ từ téc",DATA_GOC!$B:$B,DATE($D$2,$B$2,G$4)),0))</f>
        <v>0</v>
      </c>
      <c r="H441" s="251">
        <f>IF(H$4&gt;DAY(EOMONTH(DATE($D$2,$B$2,1),0)),"",IFERROR(SUMIFS(DATA_GOC!$H:$H,DATA_GOC!$A:$A,"BOM",DATA_GOC!$D:$D,$B441,DATA_GOC!$E:$E,"Dầu số",DATA_GOC!$F:$F,"Xuất nội bộ từ téc",DATA_GOC!$B:$B,DATE($D$2,$B$2,H$4)),0))</f>
        <v>0</v>
      </c>
      <c r="I441" s="251">
        <f>IF(I$4&gt;DAY(EOMONTH(DATE($D$2,$B$2,1),0)),"",IFERROR(SUMIFS(DATA_GOC!$H:$H,DATA_GOC!$A:$A,"BOM",DATA_GOC!$D:$D,$B441,DATA_GOC!$E:$E,"Dầu số",DATA_GOC!$F:$F,"Xuất nội bộ từ téc",DATA_GOC!$B:$B,DATE($D$2,$B$2,I$4)),0))</f>
        <v>0</v>
      </c>
      <c r="J441" s="251">
        <f>IF(J$4&gt;DAY(EOMONTH(DATE($D$2,$B$2,1),0)),"",IFERROR(SUMIFS(DATA_GOC!$H:$H,DATA_GOC!$A:$A,"BOM",DATA_GOC!$D:$D,$B441,DATA_GOC!$E:$E,"Dầu số",DATA_GOC!$F:$F,"Xuất nội bộ từ téc",DATA_GOC!$B:$B,DATE($D$2,$B$2,J$4)),0))</f>
        <v>0</v>
      </c>
      <c r="K441" s="251">
        <f>IF(K$4&gt;DAY(EOMONTH(DATE($D$2,$B$2,1),0)),"",IFERROR(SUMIFS(DATA_GOC!$H:$H,DATA_GOC!$A:$A,"BOM",DATA_GOC!$D:$D,$B441,DATA_GOC!$E:$E,"Dầu số",DATA_GOC!$F:$F,"Xuất nội bộ từ téc",DATA_GOC!$B:$B,DATE($D$2,$B$2,K$4)),0))</f>
        <v>0</v>
      </c>
      <c r="L441" s="251">
        <f>IF(L$4&gt;DAY(EOMONTH(DATE($D$2,$B$2,1),0)),"",IFERROR(SUMIFS(DATA_GOC!$H:$H,DATA_GOC!$A:$A,"BOM",DATA_GOC!$D:$D,$B441,DATA_GOC!$E:$E,"Dầu số",DATA_GOC!$F:$F,"Xuất nội bộ từ téc",DATA_GOC!$B:$B,DATE($D$2,$B$2,L$4)),0))</f>
        <v>0</v>
      </c>
      <c r="M441" s="251">
        <f>IF(M$4&gt;DAY(EOMONTH(DATE($D$2,$B$2,1),0)),"",IFERROR(SUMIFS(DATA_GOC!$H:$H,DATA_GOC!$A:$A,"BOM",DATA_GOC!$D:$D,$B441,DATA_GOC!$E:$E,"Dầu số",DATA_GOC!$F:$F,"Xuất nội bộ từ téc",DATA_GOC!$B:$B,DATE($D$2,$B$2,M$4)),0))</f>
        <v>0</v>
      </c>
      <c r="N441" s="251">
        <f>IF(N$4&gt;DAY(EOMONTH(DATE($D$2,$B$2,1),0)),"",IFERROR(SUMIFS(DATA_GOC!$H:$H,DATA_GOC!$A:$A,"BOM",DATA_GOC!$D:$D,$B441,DATA_GOC!$E:$E,"Dầu số",DATA_GOC!$F:$F,"Xuất nội bộ từ téc",DATA_GOC!$B:$B,DATE($D$2,$B$2,N$4)),0))</f>
        <v>0</v>
      </c>
      <c r="O441" s="251">
        <f>IF(O$4&gt;DAY(EOMONTH(DATE($D$2,$B$2,1),0)),"",IFERROR(SUMIFS(DATA_GOC!$H:$H,DATA_GOC!$A:$A,"BOM",DATA_GOC!$D:$D,$B441,DATA_GOC!$E:$E,"Dầu số",DATA_GOC!$F:$F,"Xuất nội bộ từ téc",DATA_GOC!$B:$B,DATE($D$2,$B$2,O$4)),0))</f>
        <v>0</v>
      </c>
      <c r="P441" s="251">
        <f>IF(P$4&gt;DAY(EOMONTH(DATE($D$2,$B$2,1),0)),"",IFERROR(SUMIFS(DATA_GOC!$H:$H,DATA_GOC!$A:$A,"BOM",DATA_GOC!$D:$D,$B441,DATA_GOC!$E:$E,"Dầu số",DATA_GOC!$F:$F,"Xuất nội bộ từ téc",DATA_GOC!$B:$B,DATE($D$2,$B$2,P$4)),0))</f>
        <v>0</v>
      </c>
      <c r="Q441" s="251">
        <f>IF(Q$4&gt;DAY(EOMONTH(DATE($D$2,$B$2,1),0)),"",IFERROR(SUMIFS(DATA_GOC!$H:$H,DATA_GOC!$A:$A,"BOM",DATA_GOC!$D:$D,$B441,DATA_GOC!$E:$E,"Dầu số",DATA_GOC!$F:$F,"Xuất nội bộ từ téc",DATA_GOC!$B:$B,DATE($D$2,$B$2,Q$4)),0))</f>
        <v>0</v>
      </c>
      <c r="R441" s="251">
        <f>IF(R$4&gt;DAY(EOMONTH(DATE($D$2,$B$2,1),0)),"",IFERROR(SUMIFS(DATA_GOC!$H:$H,DATA_GOC!$A:$A,"BOM",DATA_GOC!$D:$D,$B441,DATA_GOC!$E:$E,"Dầu số",DATA_GOC!$F:$F,"Xuất nội bộ từ téc",DATA_GOC!$B:$B,DATE($D$2,$B$2,R$4)),0))</f>
        <v>0</v>
      </c>
      <c r="S441" s="251">
        <f>IF(S$4&gt;DAY(EOMONTH(DATE($D$2,$B$2,1),0)),"",IFERROR(SUMIFS(DATA_GOC!$H:$H,DATA_GOC!$A:$A,"BOM",DATA_GOC!$D:$D,$B441,DATA_GOC!$E:$E,"Dầu số",DATA_GOC!$F:$F,"Xuất nội bộ từ téc",DATA_GOC!$B:$B,DATE($D$2,$B$2,S$4)),0))</f>
        <v>0</v>
      </c>
      <c r="T441" s="251">
        <f>IF(T$4&gt;DAY(EOMONTH(DATE($D$2,$B$2,1),0)),"",IFERROR(SUMIFS(DATA_GOC!$H:$H,DATA_GOC!$A:$A,"BOM",DATA_GOC!$D:$D,$B441,DATA_GOC!$E:$E,"Dầu số",DATA_GOC!$F:$F,"Xuất nội bộ từ téc",DATA_GOC!$B:$B,DATE($D$2,$B$2,T$4)),0))</f>
        <v>0</v>
      </c>
      <c r="U441" s="251">
        <f>IF(U$4&gt;DAY(EOMONTH(DATE($D$2,$B$2,1),0)),"",IFERROR(SUMIFS(DATA_GOC!$H:$H,DATA_GOC!$A:$A,"BOM",DATA_GOC!$D:$D,$B441,DATA_GOC!$E:$E,"Dầu số",DATA_GOC!$F:$F,"Xuất nội bộ từ téc",DATA_GOC!$B:$B,DATE($D$2,$B$2,U$4)),0))</f>
        <v>0</v>
      </c>
      <c r="V441" s="251">
        <f>IF(V$4&gt;DAY(EOMONTH(DATE($D$2,$B$2,1),0)),"",IFERROR(SUMIFS(DATA_GOC!$H:$H,DATA_GOC!$A:$A,"BOM",DATA_GOC!$D:$D,$B441,DATA_GOC!$E:$E,"Dầu số",DATA_GOC!$F:$F,"Xuất nội bộ từ téc",DATA_GOC!$B:$B,DATE($D$2,$B$2,V$4)),0))</f>
        <v>0</v>
      </c>
      <c r="W441" s="251">
        <f>IF(W$4&gt;DAY(EOMONTH(DATE($D$2,$B$2,1),0)),"",IFERROR(SUMIFS(DATA_GOC!$H:$H,DATA_GOC!$A:$A,"BOM",DATA_GOC!$D:$D,$B441,DATA_GOC!$E:$E,"Dầu số",DATA_GOC!$F:$F,"Xuất nội bộ từ téc",DATA_GOC!$B:$B,DATE($D$2,$B$2,W$4)),0))</f>
        <v>0</v>
      </c>
      <c r="X441" s="251">
        <f>IF(X$4&gt;DAY(EOMONTH(DATE($D$2,$B$2,1),0)),"",IFERROR(SUMIFS(DATA_GOC!$H:$H,DATA_GOC!$A:$A,"BOM",DATA_GOC!$D:$D,$B441,DATA_GOC!$E:$E,"Dầu số",DATA_GOC!$F:$F,"Xuất nội bộ từ téc",DATA_GOC!$B:$B,DATE($D$2,$B$2,X$4)),0))</f>
        <v>0</v>
      </c>
      <c r="Y441" s="251">
        <f>IF(Y$4&gt;DAY(EOMONTH(DATE($D$2,$B$2,1),0)),"",IFERROR(SUMIFS(DATA_GOC!$H:$H,DATA_GOC!$A:$A,"BOM",DATA_GOC!$D:$D,$B441,DATA_GOC!$E:$E,"Dầu số",DATA_GOC!$F:$F,"Xuất nội bộ từ téc",DATA_GOC!$B:$B,DATE($D$2,$B$2,Y$4)),0))</f>
        <v>0</v>
      </c>
      <c r="Z441" s="251">
        <f>IF(Z$4&gt;DAY(EOMONTH(DATE($D$2,$B$2,1),0)),"",IFERROR(SUMIFS(DATA_GOC!$H:$H,DATA_GOC!$A:$A,"BOM",DATA_GOC!$D:$D,$B441,DATA_GOC!$E:$E,"Dầu số",DATA_GOC!$F:$F,"Xuất nội bộ từ téc",DATA_GOC!$B:$B,DATE($D$2,$B$2,Z$4)),0))</f>
        <v>0</v>
      </c>
      <c r="AA441" s="251">
        <f>IF(AA$4&gt;DAY(EOMONTH(DATE($D$2,$B$2,1),0)),"",IFERROR(SUMIFS(DATA_GOC!$H:$H,DATA_GOC!$A:$A,"BOM",DATA_GOC!$D:$D,$B441,DATA_GOC!$E:$E,"Dầu số",DATA_GOC!$F:$F,"Xuất nội bộ từ téc",DATA_GOC!$B:$B,DATE($D$2,$B$2,AA$4)),0))</f>
        <v>0</v>
      </c>
      <c r="AB441" s="251">
        <f>IF(AB$4&gt;DAY(EOMONTH(DATE($D$2,$B$2,1),0)),"",IFERROR(SUMIFS(DATA_GOC!$H:$H,DATA_GOC!$A:$A,"BOM",DATA_GOC!$D:$D,$B441,DATA_GOC!$E:$E,"Dầu số",DATA_GOC!$F:$F,"Xuất nội bộ từ téc",DATA_GOC!$B:$B,DATE($D$2,$B$2,AB$4)),0))</f>
        <v>0</v>
      </c>
      <c r="AC441" s="251">
        <f>IF(AC$4&gt;DAY(EOMONTH(DATE($D$2,$B$2,1),0)),"",IFERROR(SUMIFS(DATA_GOC!$H:$H,DATA_GOC!$A:$A,"BOM",DATA_GOC!$D:$D,$B441,DATA_GOC!$E:$E,"Dầu số",DATA_GOC!$F:$F,"Xuất nội bộ từ téc",DATA_GOC!$B:$B,DATE($D$2,$B$2,AC$4)),0))</f>
        <v>0</v>
      </c>
      <c r="AD441" s="251">
        <f>IF(AD$4&gt;DAY(EOMONTH(DATE($D$2,$B$2,1),0)),"",IFERROR(SUMIFS(DATA_GOC!$H:$H,DATA_GOC!$A:$A,"BOM",DATA_GOC!$D:$D,$B441,DATA_GOC!$E:$E,"Dầu số",DATA_GOC!$F:$F,"Xuất nội bộ từ téc",DATA_GOC!$B:$B,DATE($D$2,$B$2,AD$4)),0))</f>
        <v>0</v>
      </c>
      <c r="AE441" s="251">
        <f>IF(AE$4&gt;DAY(EOMONTH(DATE($D$2,$B$2,1),0)),"",IFERROR(SUMIFS(DATA_GOC!$H:$H,DATA_GOC!$A:$A,"BOM",DATA_GOC!$D:$D,$B441,DATA_GOC!$E:$E,"Dầu số",DATA_GOC!$F:$F,"Xuất nội bộ từ téc",DATA_GOC!$B:$B,DATE($D$2,$B$2,AE$4)),0))</f>
        <v>0</v>
      </c>
      <c r="AF441" s="251">
        <f>IF(AF$4&gt;DAY(EOMONTH(DATE($D$2,$B$2,1),0)),"",IFERROR(SUMIFS(DATA_GOC!$H:$H,DATA_GOC!$A:$A,"BOM",DATA_GOC!$D:$D,$B441,DATA_GOC!$E:$E,"Dầu số",DATA_GOC!$F:$F,"Xuất nội bộ từ téc",DATA_GOC!$B:$B,DATE($D$2,$B$2,AF$4)),0))</f>
        <v>0</v>
      </c>
      <c r="AG441" s="251">
        <f>IF(AG$4&gt;DAY(EOMONTH(DATE($D$2,$B$2,1),0)),"",IFERROR(SUMIFS(DATA_GOC!$H:$H,DATA_GOC!$A:$A,"BOM",DATA_GOC!$D:$D,$B441,DATA_GOC!$E:$E,"Dầu số",DATA_GOC!$F:$F,"Xuất nội bộ từ téc",DATA_GOC!$B:$B,DATE($D$2,$B$2,AG$4)),0))</f>
        <v>0</v>
      </c>
      <c r="AH441" s="252">
        <f t="shared" si="22"/>
        <v>0</v>
      </c>
      <c r="AI441" s="241"/>
      <c r="AJ441" s="242">
        <f>IF($B441="","",SUMIFS(TINH_TEC!$K$233:$K$9232,TINH_TEC!$H$233:$H$9232,$B441,TINH_TEC!$C$233:$C$9232,"Dầu số",TINH_TEC!$F$233:$F$9232,$B$2,TINH_TEC!$G$233:$G$9232,$D$2,TINH_TEC!$B$233:$B$9232,"Đã chốt"))</f>
        <v>0</v>
      </c>
      <c r="AK441" s="242">
        <f>IF($B441="","",SUMIFS(TINH_TEC!$J$233:$J$9232,TINH_TEC!$H$233:$H$9232,$B441,TINH_TEC!$C$233:$C$9232,"Dầu số",TINH_TEC!$F$233:$F$9232,$B$2,TINH_TEC!$G$233:$G$9232,$D$2,TINH_TEC!$B$233:$B$9232,"Đã chốt"))</f>
        <v>0</v>
      </c>
      <c r="AL441" s="242">
        <f t="shared" si="23"/>
        <v>0</v>
      </c>
    </row>
    <row r="442" ht="15.75" customHeight="1">
      <c r="A442" s="237">
        <f>IF($B442&lt;&gt;"",10,"")</f>
        <v>10</v>
      </c>
      <c r="B442" s="250" t="str">
        <f t="array" ref="B442">IFERROR(INDEX(DANH_MUC!$E:$E,13),"")</f>
        <v>28C01743</v>
      </c>
      <c r="C442" s="251">
        <f>IF(C$4&gt;DAY(EOMONTH(DATE($D$2,$B$2,1),0)),"",IFERROR(SUMIFS(DATA_GOC!$H:$H,DATA_GOC!$A:$A,"BOM",DATA_GOC!$D:$D,$B442,DATA_GOC!$E:$E,"Dầu số",DATA_GOC!$F:$F,"Xuất nội bộ từ téc",DATA_GOC!$B:$B,DATE($D$2,$B$2,C$4)),0))</f>
        <v>0</v>
      </c>
      <c r="D442" s="251">
        <f>IF(D$4&gt;DAY(EOMONTH(DATE($D$2,$B$2,1),0)),"",IFERROR(SUMIFS(DATA_GOC!$H:$H,DATA_GOC!$A:$A,"BOM",DATA_GOC!$D:$D,$B442,DATA_GOC!$E:$E,"Dầu số",DATA_GOC!$F:$F,"Xuất nội bộ từ téc",DATA_GOC!$B:$B,DATE($D$2,$B$2,D$4)),0))</f>
        <v>0</v>
      </c>
      <c r="E442" s="251">
        <f>IF(E$4&gt;DAY(EOMONTH(DATE($D$2,$B$2,1),0)),"",IFERROR(SUMIFS(DATA_GOC!$H:$H,DATA_GOC!$A:$A,"BOM",DATA_GOC!$D:$D,$B442,DATA_GOC!$E:$E,"Dầu số",DATA_GOC!$F:$F,"Xuất nội bộ từ téc",DATA_GOC!$B:$B,DATE($D$2,$B$2,E$4)),0))</f>
        <v>0</v>
      </c>
      <c r="F442" s="251">
        <f>IF(F$4&gt;DAY(EOMONTH(DATE($D$2,$B$2,1),0)),"",IFERROR(SUMIFS(DATA_GOC!$H:$H,DATA_GOC!$A:$A,"BOM",DATA_GOC!$D:$D,$B442,DATA_GOC!$E:$E,"Dầu số",DATA_GOC!$F:$F,"Xuất nội bộ từ téc",DATA_GOC!$B:$B,DATE($D$2,$B$2,F$4)),0))</f>
        <v>0</v>
      </c>
      <c r="G442" s="251">
        <f>IF(G$4&gt;DAY(EOMONTH(DATE($D$2,$B$2,1),0)),"",IFERROR(SUMIFS(DATA_GOC!$H:$H,DATA_GOC!$A:$A,"BOM",DATA_GOC!$D:$D,$B442,DATA_GOC!$E:$E,"Dầu số",DATA_GOC!$F:$F,"Xuất nội bộ từ téc",DATA_GOC!$B:$B,DATE($D$2,$B$2,G$4)),0))</f>
        <v>0</v>
      </c>
      <c r="H442" s="251">
        <f>IF(H$4&gt;DAY(EOMONTH(DATE($D$2,$B$2,1),0)),"",IFERROR(SUMIFS(DATA_GOC!$H:$H,DATA_GOC!$A:$A,"BOM",DATA_GOC!$D:$D,$B442,DATA_GOC!$E:$E,"Dầu số",DATA_GOC!$F:$F,"Xuất nội bộ từ téc",DATA_GOC!$B:$B,DATE($D$2,$B$2,H$4)),0))</f>
        <v>0</v>
      </c>
      <c r="I442" s="251">
        <f>IF(I$4&gt;DAY(EOMONTH(DATE($D$2,$B$2,1),0)),"",IFERROR(SUMIFS(DATA_GOC!$H:$H,DATA_GOC!$A:$A,"BOM",DATA_GOC!$D:$D,$B442,DATA_GOC!$E:$E,"Dầu số",DATA_GOC!$F:$F,"Xuất nội bộ từ téc",DATA_GOC!$B:$B,DATE($D$2,$B$2,I$4)),0))</f>
        <v>0</v>
      </c>
      <c r="J442" s="251">
        <f>IF(J$4&gt;DAY(EOMONTH(DATE($D$2,$B$2,1),0)),"",IFERROR(SUMIFS(DATA_GOC!$H:$H,DATA_GOC!$A:$A,"BOM",DATA_GOC!$D:$D,$B442,DATA_GOC!$E:$E,"Dầu số",DATA_GOC!$F:$F,"Xuất nội bộ từ téc",DATA_GOC!$B:$B,DATE($D$2,$B$2,J$4)),0))</f>
        <v>0</v>
      </c>
      <c r="K442" s="251">
        <f>IF(K$4&gt;DAY(EOMONTH(DATE($D$2,$B$2,1),0)),"",IFERROR(SUMIFS(DATA_GOC!$H:$H,DATA_GOC!$A:$A,"BOM",DATA_GOC!$D:$D,$B442,DATA_GOC!$E:$E,"Dầu số",DATA_GOC!$F:$F,"Xuất nội bộ từ téc",DATA_GOC!$B:$B,DATE($D$2,$B$2,K$4)),0))</f>
        <v>0</v>
      </c>
      <c r="L442" s="251">
        <f>IF(L$4&gt;DAY(EOMONTH(DATE($D$2,$B$2,1),0)),"",IFERROR(SUMIFS(DATA_GOC!$H:$H,DATA_GOC!$A:$A,"BOM",DATA_GOC!$D:$D,$B442,DATA_GOC!$E:$E,"Dầu số",DATA_GOC!$F:$F,"Xuất nội bộ từ téc",DATA_GOC!$B:$B,DATE($D$2,$B$2,L$4)),0))</f>
        <v>0</v>
      </c>
      <c r="M442" s="251">
        <f>IF(M$4&gt;DAY(EOMONTH(DATE($D$2,$B$2,1),0)),"",IFERROR(SUMIFS(DATA_GOC!$H:$H,DATA_GOC!$A:$A,"BOM",DATA_GOC!$D:$D,$B442,DATA_GOC!$E:$E,"Dầu số",DATA_GOC!$F:$F,"Xuất nội bộ từ téc",DATA_GOC!$B:$B,DATE($D$2,$B$2,M$4)),0))</f>
        <v>0</v>
      </c>
      <c r="N442" s="251">
        <f>IF(N$4&gt;DAY(EOMONTH(DATE($D$2,$B$2,1),0)),"",IFERROR(SUMIFS(DATA_GOC!$H:$H,DATA_GOC!$A:$A,"BOM",DATA_GOC!$D:$D,$B442,DATA_GOC!$E:$E,"Dầu số",DATA_GOC!$F:$F,"Xuất nội bộ từ téc",DATA_GOC!$B:$B,DATE($D$2,$B$2,N$4)),0))</f>
        <v>0</v>
      </c>
      <c r="O442" s="251">
        <f>IF(O$4&gt;DAY(EOMONTH(DATE($D$2,$B$2,1),0)),"",IFERROR(SUMIFS(DATA_GOC!$H:$H,DATA_GOC!$A:$A,"BOM",DATA_GOC!$D:$D,$B442,DATA_GOC!$E:$E,"Dầu số",DATA_GOC!$F:$F,"Xuất nội bộ từ téc",DATA_GOC!$B:$B,DATE($D$2,$B$2,O$4)),0))</f>
        <v>0</v>
      </c>
      <c r="P442" s="251">
        <f>IF(P$4&gt;DAY(EOMONTH(DATE($D$2,$B$2,1),0)),"",IFERROR(SUMIFS(DATA_GOC!$H:$H,DATA_GOC!$A:$A,"BOM",DATA_GOC!$D:$D,$B442,DATA_GOC!$E:$E,"Dầu số",DATA_GOC!$F:$F,"Xuất nội bộ từ téc",DATA_GOC!$B:$B,DATE($D$2,$B$2,P$4)),0))</f>
        <v>0</v>
      </c>
      <c r="Q442" s="251">
        <f>IF(Q$4&gt;DAY(EOMONTH(DATE($D$2,$B$2,1),0)),"",IFERROR(SUMIFS(DATA_GOC!$H:$H,DATA_GOC!$A:$A,"BOM",DATA_GOC!$D:$D,$B442,DATA_GOC!$E:$E,"Dầu số",DATA_GOC!$F:$F,"Xuất nội bộ từ téc",DATA_GOC!$B:$B,DATE($D$2,$B$2,Q$4)),0))</f>
        <v>0</v>
      </c>
      <c r="R442" s="251">
        <f>IF(R$4&gt;DAY(EOMONTH(DATE($D$2,$B$2,1),0)),"",IFERROR(SUMIFS(DATA_GOC!$H:$H,DATA_GOC!$A:$A,"BOM",DATA_GOC!$D:$D,$B442,DATA_GOC!$E:$E,"Dầu số",DATA_GOC!$F:$F,"Xuất nội bộ từ téc",DATA_GOC!$B:$B,DATE($D$2,$B$2,R$4)),0))</f>
        <v>0</v>
      </c>
      <c r="S442" s="251">
        <f>IF(S$4&gt;DAY(EOMONTH(DATE($D$2,$B$2,1),0)),"",IFERROR(SUMIFS(DATA_GOC!$H:$H,DATA_GOC!$A:$A,"BOM",DATA_GOC!$D:$D,$B442,DATA_GOC!$E:$E,"Dầu số",DATA_GOC!$F:$F,"Xuất nội bộ từ téc",DATA_GOC!$B:$B,DATE($D$2,$B$2,S$4)),0))</f>
        <v>0</v>
      </c>
      <c r="T442" s="251">
        <f>IF(T$4&gt;DAY(EOMONTH(DATE($D$2,$B$2,1),0)),"",IFERROR(SUMIFS(DATA_GOC!$H:$H,DATA_GOC!$A:$A,"BOM",DATA_GOC!$D:$D,$B442,DATA_GOC!$E:$E,"Dầu số",DATA_GOC!$F:$F,"Xuất nội bộ từ téc",DATA_GOC!$B:$B,DATE($D$2,$B$2,T$4)),0))</f>
        <v>0</v>
      </c>
      <c r="U442" s="251">
        <f>IF(U$4&gt;DAY(EOMONTH(DATE($D$2,$B$2,1),0)),"",IFERROR(SUMIFS(DATA_GOC!$H:$H,DATA_GOC!$A:$A,"BOM",DATA_GOC!$D:$D,$B442,DATA_GOC!$E:$E,"Dầu số",DATA_GOC!$F:$F,"Xuất nội bộ từ téc",DATA_GOC!$B:$B,DATE($D$2,$B$2,U$4)),0))</f>
        <v>0</v>
      </c>
      <c r="V442" s="251">
        <f>IF(V$4&gt;DAY(EOMONTH(DATE($D$2,$B$2,1),0)),"",IFERROR(SUMIFS(DATA_GOC!$H:$H,DATA_GOC!$A:$A,"BOM",DATA_GOC!$D:$D,$B442,DATA_GOC!$E:$E,"Dầu số",DATA_GOC!$F:$F,"Xuất nội bộ từ téc",DATA_GOC!$B:$B,DATE($D$2,$B$2,V$4)),0))</f>
        <v>0</v>
      </c>
      <c r="W442" s="251">
        <f>IF(W$4&gt;DAY(EOMONTH(DATE($D$2,$B$2,1),0)),"",IFERROR(SUMIFS(DATA_GOC!$H:$H,DATA_GOC!$A:$A,"BOM",DATA_GOC!$D:$D,$B442,DATA_GOC!$E:$E,"Dầu số",DATA_GOC!$F:$F,"Xuất nội bộ từ téc",DATA_GOC!$B:$B,DATE($D$2,$B$2,W$4)),0))</f>
        <v>0</v>
      </c>
      <c r="X442" s="251">
        <f>IF(X$4&gt;DAY(EOMONTH(DATE($D$2,$B$2,1),0)),"",IFERROR(SUMIFS(DATA_GOC!$H:$H,DATA_GOC!$A:$A,"BOM",DATA_GOC!$D:$D,$B442,DATA_GOC!$E:$E,"Dầu số",DATA_GOC!$F:$F,"Xuất nội bộ từ téc",DATA_GOC!$B:$B,DATE($D$2,$B$2,X$4)),0))</f>
        <v>0</v>
      </c>
      <c r="Y442" s="251">
        <f>IF(Y$4&gt;DAY(EOMONTH(DATE($D$2,$B$2,1),0)),"",IFERROR(SUMIFS(DATA_GOC!$H:$H,DATA_GOC!$A:$A,"BOM",DATA_GOC!$D:$D,$B442,DATA_GOC!$E:$E,"Dầu số",DATA_GOC!$F:$F,"Xuất nội bộ từ téc",DATA_GOC!$B:$B,DATE($D$2,$B$2,Y$4)),0))</f>
        <v>0</v>
      </c>
      <c r="Z442" s="251">
        <f>IF(Z$4&gt;DAY(EOMONTH(DATE($D$2,$B$2,1),0)),"",IFERROR(SUMIFS(DATA_GOC!$H:$H,DATA_GOC!$A:$A,"BOM",DATA_GOC!$D:$D,$B442,DATA_GOC!$E:$E,"Dầu số",DATA_GOC!$F:$F,"Xuất nội bộ từ téc",DATA_GOC!$B:$B,DATE($D$2,$B$2,Z$4)),0))</f>
        <v>0</v>
      </c>
      <c r="AA442" s="251">
        <f>IF(AA$4&gt;DAY(EOMONTH(DATE($D$2,$B$2,1),0)),"",IFERROR(SUMIFS(DATA_GOC!$H:$H,DATA_GOC!$A:$A,"BOM",DATA_GOC!$D:$D,$B442,DATA_GOC!$E:$E,"Dầu số",DATA_GOC!$F:$F,"Xuất nội bộ từ téc",DATA_GOC!$B:$B,DATE($D$2,$B$2,AA$4)),0))</f>
        <v>0</v>
      </c>
      <c r="AB442" s="251">
        <f>IF(AB$4&gt;DAY(EOMONTH(DATE($D$2,$B$2,1),0)),"",IFERROR(SUMIFS(DATA_GOC!$H:$H,DATA_GOC!$A:$A,"BOM",DATA_GOC!$D:$D,$B442,DATA_GOC!$E:$E,"Dầu số",DATA_GOC!$F:$F,"Xuất nội bộ từ téc",DATA_GOC!$B:$B,DATE($D$2,$B$2,AB$4)),0))</f>
        <v>0</v>
      </c>
      <c r="AC442" s="251">
        <f>IF(AC$4&gt;DAY(EOMONTH(DATE($D$2,$B$2,1),0)),"",IFERROR(SUMIFS(DATA_GOC!$H:$H,DATA_GOC!$A:$A,"BOM",DATA_GOC!$D:$D,$B442,DATA_GOC!$E:$E,"Dầu số",DATA_GOC!$F:$F,"Xuất nội bộ từ téc",DATA_GOC!$B:$B,DATE($D$2,$B$2,AC$4)),0))</f>
        <v>0</v>
      </c>
      <c r="AD442" s="251">
        <f>IF(AD$4&gt;DAY(EOMONTH(DATE($D$2,$B$2,1),0)),"",IFERROR(SUMIFS(DATA_GOC!$H:$H,DATA_GOC!$A:$A,"BOM",DATA_GOC!$D:$D,$B442,DATA_GOC!$E:$E,"Dầu số",DATA_GOC!$F:$F,"Xuất nội bộ từ téc",DATA_GOC!$B:$B,DATE($D$2,$B$2,AD$4)),0))</f>
        <v>0</v>
      </c>
      <c r="AE442" s="251">
        <f>IF(AE$4&gt;DAY(EOMONTH(DATE($D$2,$B$2,1),0)),"",IFERROR(SUMIFS(DATA_GOC!$H:$H,DATA_GOC!$A:$A,"BOM",DATA_GOC!$D:$D,$B442,DATA_GOC!$E:$E,"Dầu số",DATA_GOC!$F:$F,"Xuất nội bộ từ téc",DATA_GOC!$B:$B,DATE($D$2,$B$2,AE$4)),0))</f>
        <v>0</v>
      </c>
      <c r="AF442" s="251">
        <f>IF(AF$4&gt;DAY(EOMONTH(DATE($D$2,$B$2,1),0)),"",IFERROR(SUMIFS(DATA_GOC!$H:$H,DATA_GOC!$A:$A,"BOM",DATA_GOC!$D:$D,$B442,DATA_GOC!$E:$E,"Dầu số",DATA_GOC!$F:$F,"Xuất nội bộ từ téc",DATA_GOC!$B:$B,DATE($D$2,$B$2,AF$4)),0))</f>
        <v>0</v>
      </c>
      <c r="AG442" s="251">
        <f>IF(AG$4&gt;DAY(EOMONTH(DATE($D$2,$B$2,1),0)),"",IFERROR(SUMIFS(DATA_GOC!$H:$H,DATA_GOC!$A:$A,"BOM",DATA_GOC!$D:$D,$B442,DATA_GOC!$E:$E,"Dầu số",DATA_GOC!$F:$F,"Xuất nội bộ từ téc",DATA_GOC!$B:$B,DATE($D$2,$B$2,AG$4)),0))</f>
        <v>0</v>
      </c>
      <c r="AH442" s="252">
        <f t="shared" si="22"/>
        <v>0</v>
      </c>
      <c r="AI442" s="241"/>
      <c r="AJ442" s="242">
        <f>IF($B442="","",SUMIFS(TINH_TEC!$K$233:$K$9232,TINH_TEC!$H$233:$H$9232,$B442,TINH_TEC!$C$233:$C$9232,"Dầu số",TINH_TEC!$F$233:$F$9232,$B$2,TINH_TEC!$G$233:$G$9232,$D$2,TINH_TEC!$B$233:$B$9232,"Đã chốt"))</f>
        <v>0</v>
      </c>
      <c r="AK442" s="242">
        <f>IF($B442="","",SUMIFS(TINH_TEC!$J$233:$J$9232,TINH_TEC!$H$233:$H$9232,$B442,TINH_TEC!$C$233:$C$9232,"Dầu số",TINH_TEC!$F$233:$F$9232,$B$2,TINH_TEC!$G$233:$G$9232,$D$2,TINH_TEC!$B$233:$B$9232,"Đã chốt"))</f>
        <v>0</v>
      </c>
      <c r="AL442" s="242">
        <f t="shared" si="23"/>
        <v>0</v>
      </c>
    </row>
    <row r="443" ht="15.75" customHeight="1">
      <c r="A443" s="237">
        <f>IF($B443&lt;&gt;"",11,"")</f>
        <v>11</v>
      </c>
      <c r="B443" s="250" t="str">
        <f t="array" ref="B443">IFERROR(INDEX(DANH_MUC!$E:$E,14),"")</f>
        <v>28C02106</v>
      </c>
      <c r="C443" s="251">
        <f>IF(C$4&gt;DAY(EOMONTH(DATE($D$2,$B$2,1),0)),"",IFERROR(SUMIFS(DATA_GOC!$H:$H,DATA_GOC!$A:$A,"BOM",DATA_GOC!$D:$D,$B443,DATA_GOC!$E:$E,"Dầu số",DATA_GOC!$F:$F,"Xuất nội bộ từ téc",DATA_GOC!$B:$B,DATE($D$2,$B$2,C$4)),0))</f>
        <v>0</v>
      </c>
      <c r="D443" s="251">
        <f>IF(D$4&gt;DAY(EOMONTH(DATE($D$2,$B$2,1),0)),"",IFERROR(SUMIFS(DATA_GOC!$H:$H,DATA_GOC!$A:$A,"BOM",DATA_GOC!$D:$D,$B443,DATA_GOC!$E:$E,"Dầu số",DATA_GOC!$F:$F,"Xuất nội bộ từ téc",DATA_GOC!$B:$B,DATE($D$2,$B$2,D$4)),0))</f>
        <v>0</v>
      </c>
      <c r="E443" s="251">
        <f>IF(E$4&gt;DAY(EOMONTH(DATE($D$2,$B$2,1),0)),"",IFERROR(SUMIFS(DATA_GOC!$H:$H,DATA_GOC!$A:$A,"BOM",DATA_GOC!$D:$D,$B443,DATA_GOC!$E:$E,"Dầu số",DATA_GOC!$F:$F,"Xuất nội bộ từ téc",DATA_GOC!$B:$B,DATE($D$2,$B$2,E$4)),0))</f>
        <v>0</v>
      </c>
      <c r="F443" s="251">
        <f>IF(F$4&gt;DAY(EOMONTH(DATE($D$2,$B$2,1),0)),"",IFERROR(SUMIFS(DATA_GOC!$H:$H,DATA_GOC!$A:$A,"BOM",DATA_GOC!$D:$D,$B443,DATA_GOC!$E:$E,"Dầu số",DATA_GOC!$F:$F,"Xuất nội bộ từ téc",DATA_GOC!$B:$B,DATE($D$2,$B$2,F$4)),0))</f>
        <v>0</v>
      </c>
      <c r="G443" s="251">
        <f>IF(G$4&gt;DAY(EOMONTH(DATE($D$2,$B$2,1),0)),"",IFERROR(SUMIFS(DATA_GOC!$H:$H,DATA_GOC!$A:$A,"BOM",DATA_GOC!$D:$D,$B443,DATA_GOC!$E:$E,"Dầu số",DATA_GOC!$F:$F,"Xuất nội bộ từ téc",DATA_GOC!$B:$B,DATE($D$2,$B$2,G$4)),0))</f>
        <v>0</v>
      </c>
      <c r="H443" s="251">
        <f>IF(H$4&gt;DAY(EOMONTH(DATE($D$2,$B$2,1),0)),"",IFERROR(SUMIFS(DATA_GOC!$H:$H,DATA_GOC!$A:$A,"BOM",DATA_GOC!$D:$D,$B443,DATA_GOC!$E:$E,"Dầu số",DATA_GOC!$F:$F,"Xuất nội bộ từ téc",DATA_GOC!$B:$B,DATE($D$2,$B$2,H$4)),0))</f>
        <v>0</v>
      </c>
      <c r="I443" s="251">
        <f>IF(I$4&gt;DAY(EOMONTH(DATE($D$2,$B$2,1),0)),"",IFERROR(SUMIFS(DATA_GOC!$H:$H,DATA_GOC!$A:$A,"BOM",DATA_GOC!$D:$D,$B443,DATA_GOC!$E:$E,"Dầu số",DATA_GOC!$F:$F,"Xuất nội bộ từ téc",DATA_GOC!$B:$B,DATE($D$2,$B$2,I$4)),0))</f>
        <v>0</v>
      </c>
      <c r="J443" s="251">
        <f>IF(J$4&gt;DAY(EOMONTH(DATE($D$2,$B$2,1),0)),"",IFERROR(SUMIFS(DATA_GOC!$H:$H,DATA_GOC!$A:$A,"BOM",DATA_GOC!$D:$D,$B443,DATA_GOC!$E:$E,"Dầu số",DATA_GOC!$F:$F,"Xuất nội bộ từ téc",DATA_GOC!$B:$B,DATE($D$2,$B$2,J$4)),0))</f>
        <v>0</v>
      </c>
      <c r="K443" s="251">
        <f>IF(K$4&gt;DAY(EOMONTH(DATE($D$2,$B$2,1),0)),"",IFERROR(SUMIFS(DATA_GOC!$H:$H,DATA_GOC!$A:$A,"BOM",DATA_GOC!$D:$D,$B443,DATA_GOC!$E:$E,"Dầu số",DATA_GOC!$F:$F,"Xuất nội bộ từ téc",DATA_GOC!$B:$B,DATE($D$2,$B$2,K$4)),0))</f>
        <v>0</v>
      </c>
      <c r="L443" s="251">
        <f>IF(L$4&gt;DAY(EOMONTH(DATE($D$2,$B$2,1),0)),"",IFERROR(SUMIFS(DATA_GOC!$H:$H,DATA_GOC!$A:$A,"BOM",DATA_GOC!$D:$D,$B443,DATA_GOC!$E:$E,"Dầu số",DATA_GOC!$F:$F,"Xuất nội bộ từ téc",DATA_GOC!$B:$B,DATE($D$2,$B$2,L$4)),0))</f>
        <v>0</v>
      </c>
      <c r="M443" s="251">
        <f>IF(M$4&gt;DAY(EOMONTH(DATE($D$2,$B$2,1),0)),"",IFERROR(SUMIFS(DATA_GOC!$H:$H,DATA_GOC!$A:$A,"BOM",DATA_GOC!$D:$D,$B443,DATA_GOC!$E:$E,"Dầu số",DATA_GOC!$F:$F,"Xuất nội bộ từ téc",DATA_GOC!$B:$B,DATE($D$2,$B$2,M$4)),0))</f>
        <v>0</v>
      </c>
      <c r="N443" s="251">
        <f>IF(N$4&gt;DAY(EOMONTH(DATE($D$2,$B$2,1),0)),"",IFERROR(SUMIFS(DATA_GOC!$H:$H,DATA_GOC!$A:$A,"BOM",DATA_GOC!$D:$D,$B443,DATA_GOC!$E:$E,"Dầu số",DATA_GOC!$F:$F,"Xuất nội bộ từ téc",DATA_GOC!$B:$B,DATE($D$2,$B$2,N$4)),0))</f>
        <v>0</v>
      </c>
      <c r="O443" s="251">
        <f>IF(O$4&gt;DAY(EOMONTH(DATE($D$2,$B$2,1),0)),"",IFERROR(SUMIFS(DATA_GOC!$H:$H,DATA_GOC!$A:$A,"BOM",DATA_GOC!$D:$D,$B443,DATA_GOC!$E:$E,"Dầu số",DATA_GOC!$F:$F,"Xuất nội bộ từ téc",DATA_GOC!$B:$B,DATE($D$2,$B$2,O$4)),0))</f>
        <v>0</v>
      </c>
      <c r="P443" s="251">
        <f>IF(P$4&gt;DAY(EOMONTH(DATE($D$2,$B$2,1),0)),"",IFERROR(SUMIFS(DATA_GOC!$H:$H,DATA_GOC!$A:$A,"BOM",DATA_GOC!$D:$D,$B443,DATA_GOC!$E:$E,"Dầu số",DATA_GOC!$F:$F,"Xuất nội bộ từ téc",DATA_GOC!$B:$B,DATE($D$2,$B$2,P$4)),0))</f>
        <v>0</v>
      </c>
      <c r="Q443" s="251">
        <f>IF(Q$4&gt;DAY(EOMONTH(DATE($D$2,$B$2,1),0)),"",IFERROR(SUMIFS(DATA_GOC!$H:$H,DATA_GOC!$A:$A,"BOM",DATA_GOC!$D:$D,$B443,DATA_GOC!$E:$E,"Dầu số",DATA_GOC!$F:$F,"Xuất nội bộ từ téc",DATA_GOC!$B:$B,DATE($D$2,$B$2,Q$4)),0))</f>
        <v>0</v>
      </c>
      <c r="R443" s="251">
        <f>IF(R$4&gt;DAY(EOMONTH(DATE($D$2,$B$2,1),0)),"",IFERROR(SUMIFS(DATA_GOC!$H:$H,DATA_GOC!$A:$A,"BOM",DATA_GOC!$D:$D,$B443,DATA_GOC!$E:$E,"Dầu số",DATA_GOC!$F:$F,"Xuất nội bộ từ téc",DATA_GOC!$B:$B,DATE($D$2,$B$2,R$4)),0))</f>
        <v>0</v>
      </c>
      <c r="S443" s="251">
        <f>IF(S$4&gt;DAY(EOMONTH(DATE($D$2,$B$2,1),0)),"",IFERROR(SUMIFS(DATA_GOC!$H:$H,DATA_GOC!$A:$A,"BOM",DATA_GOC!$D:$D,$B443,DATA_GOC!$E:$E,"Dầu số",DATA_GOC!$F:$F,"Xuất nội bộ từ téc",DATA_GOC!$B:$B,DATE($D$2,$B$2,S$4)),0))</f>
        <v>0</v>
      </c>
      <c r="T443" s="251">
        <f>IF(T$4&gt;DAY(EOMONTH(DATE($D$2,$B$2,1),0)),"",IFERROR(SUMIFS(DATA_GOC!$H:$H,DATA_GOC!$A:$A,"BOM",DATA_GOC!$D:$D,$B443,DATA_GOC!$E:$E,"Dầu số",DATA_GOC!$F:$F,"Xuất nội bộ từ téc",DATA_GOC!$B:$B,DATE($D$2,$B$2,T$4)),0))</f>
        <v>0</v>
      </c>
      <c r="U443" s="251">
        <f>IF(U$4&gt;DAY(EOMONTH(DATE($D$2,$B$2,1),0)),"",IFERROR(SUMIFS(DATA_GOC!$H:$H,DATA_GOC!$A:$A,"BOM",DATA_GOC!$D:$D,$B443,DATA_GOC!$E:$E,"Dầu số",DATA_GOC!$F:$F,"Xuất nội bộ từ téc",DATA_GOC!$B:$B,DATE($D$2,$B$2,U$4)),0))</f>
        <v>0</v>
      </c>
      <c r="V443" s="251">
        <f>IF(V$4&gt;DAY(EOMONTH(DATE($D$2,$B$2,1),0)),"",IFERROR(SUMIFS(DATA_GOC!$H:$H,DATA_GOC!$A:$A,"BOM",DATA_GOC!$D:$D,$B443,DATA_GOC!$E:$E,"Dầu số",DATA_GOC!$F:$F,"Xuất nội bộ từ téc",DATA_GOC!$B:$B,DATE($D$2,$B$2,V$4)),0))</f>
        <v>0</v>
      </c>
      <c r="W443" s="251">
        <f>IF(W$4&gt;DAY(EOMONTH(DATE($D$2,$B$2,1),0)),"",IFERROR(SUMIFS(DATA_GOC!$H:$H,DATA_GOC!$A:$A,"BOM",DATA_GOC!$D:$D,$B443,DATA_GOC!$E:$E,"Dầu số",DATA_GOC!$F:$F,"Xuất nội bộ từ téc",DATA_GOC!$B:$B,DATE($D$2,$B$2,W$4)),0))</f>
        <v>0</v>
      </c>
      <c r="X443" s="251">
        <f>IF(X$4&gt;DAY(EOMONTH(DATE($D$2,$B$2,1),0)),"",IFERROR(SUMIFS(DATA_GOC!$H:$H,DATA_GOC!$A:$A,"BOM",DATA_GOC!$D:$D,$B443,DATA_GOC!$E:$E,"Dầu số",DATA_GOC!$F:$F,"Xuất nội bộ từ téc",DATA_GOC!$B:$B,DATE($D$2,$B$2,X$4)),0))</f>
        <v>0</v>
      </c>
      <c r="Y443" s="251">
        <f>IF(Y$4&gt;DAY(EOMONTH(DATE($D$2,$B$2,1),0)),"",IFERROR(SUMIFS(DATA_GOC!$H:$H,DATA_GOC!$A:$A,"BOM",DATA_GOC!$D:$D,$B443,DATA_GOC!$E:$E,"Dầu số",DATA_GOC!$F:$F,"Xuất nội bộ từ téc",DATA_GOC!$B:$B,DATE($D$2,$B$2,Y$4)),0))</f>
        <v>0</v>
      </c>
      <c r="Z443" s="251">
        <f>IF(Z$4&gt;DAY(EOMONTH(DATE($D$2,$B$2,1),0)),"",IFERROR(SUMIFS(DATA_GOC!$H:$H,DATA_GOC!$A:$A,"BOM",DATA_GOC!$D:$D,$B443,DATA_GOC!$E:$E,"Dầu số",DATA_GOC!$F:$F,"Xuất nội bộ từ téc",DATA_GOC!$B:$B,DATE($D$2,$B$2,Z$4)),0))</f>
        <v>0</v>
      </c>
      <c r="AA443" s="251">
        <f>IF(AA$4&gt;DAY(EOMONTH(DATE($D$2,$B$2,1),0)),"",IFERROR(SUMIFS(DATA_GOC!$H:$H,DATA_GOC!$A:$A,"BOM",DATA_GOC!$D:$D,$B443,DATA_GOC!$E:$E,"Dầu số",DATA_GOC!$F:$F,"Xuất nội bộ từ téc",DATA_GOC!$B:$B,DATE($D$2,$B$2,AA$4)),0))</f>
        <v>0</v>
      </c>
      <c r="AB443" s="251">
        <f>IF(AB$4&gt;DAY(EOMONTH(DATE($D$2,$B$2,1),0)),"",IFERROR(SUMIFS(DATA_GOC!$H:$H,DATA_GOC!$A:$A,"BOM",DATA_GOC!$D:$D,$B443,DATA_GOC!$E:$E,"Dầu số",DATA_GOC!$F:$F,"Xuất nội bộ từ téc",DATA_GOC!$B:$B,DATE($D$2,$B$2,AB$4)),0))</f>
        <v>0</v>
      </c>
      <c r="AC443" s="251">
        <f>IF(AC$4&gt;DAY(EOMONTH(DATE($D$2,$B$2,1),0)),"",IFERROR(SUMIFS(DATA_GOC!$H:$H,DATA_GOC!$A:$A,"BOM",DATA_GOC!$D:$D,$B443,DATA_GOC!$E:$E,"Dầu số",DATA_GOC!$F:$F,"Xuất nội bộ từ téc",DATA_GOC!$B:$B,DATE($D$2,$B$2,AC$4)),0))</f>
        <v>0</v>
      </c>
      <c r="AD443" s="251">
        <f>IF(AD$4&gt;DAY(EOMONTH(DATE($D$2,$B$2,1),0)),"",IFERROR(SUMIFS(DATA_GOC!$H:$H,DATA_GOC!$A:$A,"BOM",DATA_GOC!$D:$D,$B443,DATA_GOC!$E:$E,"Dầu số",DATA_GOC!$F:$F,"Xuất nội bộ từ téc",DATA_GOC!$B:$B,DATE($D$2,$B$2,AD$4)),0))</f>
        <v>0</v>
      </c>
      <c r="AE443" s="251">
        <f>IF(AE$4&gt;DAY(EOMONTH(DATE($D$2,$B$2,1),0)),"",IFERROR(SUMIFS(DATA_GOC!$H:$H,DATA_GOC!$A:$A,"BOM",DATA_GOC!$D:$D,$B443,DATA_GOC!$E:$E,"Dầu số",DATA_GOC!$F:$F,"Xuất nội bộ từ téc",DATA_GOC!$B:$B,DATE($D$2,$B$2,AE$4)),0))</f>
        <v>0</v>
      </c>
      <c r="AF443" s="251">
        <f>IF(AF$4&gt;DAY(EOMONTH(DATE($D$2,$B$2,1),0)),"",IFERROR(SUMIFS(DATA_GOC!$H:$H,DATA_GOC!$A:$A,"BOM",DATA_GOC!$D:$D,$B443,DATA_GOC!$E:$E,"Dầu số",DATA_GOC!$F:$F,"Xuất nội bộ từ téc",DATA_GOC!$B:$B,DATE($D$2,$B$2,AF$4)),0))</f>
        <v>0</v>
      </c>
      <c r="AG443" s="251">
        <f>IF(AG$4&gt;DAY(EOMONTH(DATE($D$2,$B$2,1),0)),"",IFERROR(SUMIFS(DATA_GOC!$H:$H,DATA_GOC!$A:$A,"BOM",DATA_GOC!$D:$D,$B443,DATA_GOC!$E:$E,"Dầu số",DATA_GOC!$F:$F,"Xuất nội bộ từ téc",DATA_GOC!$B:$B,DATE($D$2,$B$2,AG$4)),0))</f>
        <v>0</v>
      </c>
      <c r="AH443" s="252">
        <f t="shared" si="22"/>
        <v>0</v>
      </c>
      <c r="AI443" s="241"/>
      <c r="AJ443" s="242">
        <f>IF($B443="","",SUMIFS(TINH_TEC!$K$233:$K$9232,TINH_TEC!$H$233:$H$9232,$B443,TINH_TEC!$C$233:$C$9232,"Dầu số",TINH_TEC!$F$233:$F$9232,$B$2,TINH_TEC!$G$233:$G$9232,$D$2,TINH_TEC!$B$233:$B$9232,"Đã chốt"))</f>
        <v>0</v>
      </c>
      <c r="AK443" s="242">
        <f>IF($B443="","",SUMIFS(TINH_TEC!$J$233:$J$9232,TINH_TEC!$H$233:$H$9232,$B443,TINH_TEC!$C$233:$C$9232,"Dầu số",TINH_TEC!$F$233:$F$9232,$B$2,TINH_TEC!$G$233:$G$9232,$D$2,TINH_TEC!$B$233:$B$9232,"Đã chốt"))</f>
        <v>0</v>
      </c>
      <c r="AL443" s="242">
        <f t="shared" si="23"/>
        <v>0</v>
      </c>
    </row>
    <row r="444" ht="15.75" customHeight="1">
      <c r="A444" s="237">
        <f>IF($B444&lt;&gt;"",12,"")</f>
        <v>12</v>
      </c>
      <c r="B444" s="250" t="str">
        <f t="array" ref="B444">IFERROR(INDEX(DANH_MUC!$E:$E,15),"")</f>
        <v>28C02410</v>
      </c>
      <c r="C444" s="251">
        <f>IF(C$4&gt;DAY(EOMONTH(DATE($D$2,$B$2,1),0)),"",IFERROR(SUMIFS(DATA_GOC!$H:$H,DATA_GOC!$A:$A,"BOM",DATA_GOC!$D:$D,$B444,DATA_GOC!$E:$E,"Dầu số",DATA_GOC!$F:$F,"Xuất nội bộ từ téc",DATA_GOC!$B:$B,DATE($D$2,$B$2,C$4)),0))</f>
        <v>0</v>
      </c>
      <c r="D444" s="251">
        <f>IF(D$4&gt;DAY(EOMONTH(DATE($D$2,$B$2,1),0)),"",IFERROR(SUMIFS(DATA_GOC!$H:$H,DATA_GOC!$A:$A,"BOM",DATA_GOC!$D:$D,$B444,DATA_GOC!$E:$E,"Dầu số",DATA_GOC!$F:$F,"Xuất nội bộ từ téc",DATA_GOC!$B:$B,DATE($D$2,$B$2,D$4)),0))</f>
        <v>0</v>
      </c>
      <c r="E444" s="251">
        <f>IF(E$4&gt;DAY(EOMONTH(DATE($D$2,$B$2,1),0)),"",IFERROR(SUMIFS(DATA_GOC!$H:$H,DATA_GOC!$A:$A,"BOM",DATA_GOC!$D:$D,$B444,DATA_GOC!$E:$E,"Dầu số",DATA_GOC!$F:$F,"Xuất nội bộ từ téc",DATA_GOC!$B:$B,DATE($D$2,$B$2,E$4)),0))</f>
        <v>0</v>
      </c>
      <c r="F444" s="251">
        <f>IF(F$4&gt;DAY(EOMONTH(DATE($D$2,$B$2,1),0)),"",IFERROR(SUMIFS(DATA_GOC!$H:$H,DATA_GOC!$A:$A,"BOM",DATA_GOC!$D:$D,$B444,DATA_GOC!$E:$E,"Dầu số",DATA_GOC!$F:$F,"Xuất nội bộ từ téc",DATA_GOC!$B:$B,DATE($D$2,$B$2,F$4)),0))</f>
        <v>0</v>
      </c>
      <c r="G444" s="251">
        <f>IF(G$4&gt;DAY(EOMONTH(DATE($D$2,$B$2,1),0)),"",IFERROR(SUMIFS(DATA_GOC!$H:$H,DATA_GOC!$A:$A,"BOM",DATA_GOC!$D:$D,$B444,DATA_GOC!$E:$E,"Dầu số",DATA_GOC!$F:$F,"Xuất nội bộ từ téc",DATA_GOC!$B:$B,DATE($D$2,$B$2,G$4)),0))</f>
        <v>0</v>
      </c>
      <c r="H444" s="251">
        <f>IF(H$4&gt;DAY(EOMONTH(DATE($D$2,$B$2,1),0)),"",IFERROR(SUMIFS(DATA_GOC!$H:$H,DATA_GOC!$A:$A,"BOM",DATA_GOC!$D:$D,$B444,DATA_GOC!$E:$E,"Dầu số",DATA_GOC!$F:$F,"Xuất nội bộ từ téc",DATA_GOC!$B:$B,DATE($D$2,$B$2,H$4)),0))</f>
        <v>0</v>
      </c>
      <c r="I444" s="251">
        <f>IF(I$4&gt;DAY(EOMONTH(DATE($D$2,$B$2,1),0)),"",IFERROR(SUMIFS(DATA_GOC!$H:$H,DATA_GOC!$A:$A,"BOM",DATA_GOC!$D:$D,$B444,DATA_GOC!$E:$E,"Dầu số",DATA_GOC!$F:$F,"Xuất nội bộ từ téc",DATA_GOC!$B:$B,DATE($D$2,$B$2,I$4)),0))</f>
        <v>0</v>
      </c>
      <c r="J444" s="251">
        <f>IF(J$4&gt;DAY(EOMONTH(DATE($D$2,$B$2,1),0)),"",IFERROR(SUMIFS(DATA_GOC!$H:$H,DATA_GOC!$A:$A,"BOM",DATA_GOC!$D:$D,$B444,DATA_GOC!$E:$E,"Dầu số",DATA_GOC!$F:$F,"Xuất nội bộ từ téc",DATA_GOC!$B:$B,DATE($D$2,$B$2,J$4)),0))</f>
        <v>0</v>
      </c>
      <c r="K444" s="251">
        <f>IF(K$4&gt;DAY(EOMONTH(DATE($D$2,$B$2,1),0)),"",IFERROR(SUMIFS(DATA_GOC!$H:$H,DATA_GOC!$A:$A,"BOM",DATA_GOC!$D:$D,$B444,DATA_GOC!$E:$E,"Dầu số",DATA_GOC!$F:$F,"Xuất nội bộ từ téc",DATA_GOC!$B:$B,DATE($D$2,$B$2,K$4)),0))</f>
        <v>0</v>
      </c>
      <c r="L444" s="251">
        <f>IF(L$4&gt;DAY(EOMONTH(DATE($D$2,$B$2,1),0)),"",IFERROR(SUMIFS(DATA_GOC!$H:$H,DATA_GOC!$A:$A,"BOM",DATA_GOC!$D:$D,$B444,DATA_GOC!$E:$E,"Dầu số",DATA_GOC!$F:$F,"Xuất nội bộ từ téc",DATA_GOC!$B:$B,DATE($D$2,$B$2,L$4)),0))</f>
        <v>0</v>
      </c>
      <c r="M444" s="251">
        <f>IF(M$4&gt;DAY(EOMONTH(DATE($D$2,$B$2,1),0)),"",IFERROR(SUMIFS(DATA_GOC!$H:$H,DATA_GOC!$A:$A,"BOM",DATA_GOC!$D:$D,$B444,DATA_GOC!$E:$E,"Dầu số",DATA_GOC!$F:$F,"Xuất nội bộ từ téc",DATA_GOC!$B:$B,DATE($D$2,$B$2,M$4)),0))</f>
        <v>0</v>
      </c>
      <c r="N444" s="251">
        <f>IF(N$4&gt;DAY(EOMONTH(DATE($D$2,$B$2,1),0)),"",IFERROR(SUMIFS(DATA_GOC!$H:$H,DATA_GOC!$A:$A,"BOM",DATA_GOC!$D:$D,$B444,DATA_GOC!$E:$E,"Dầu số",DATA_GOC!$F:$F,"Xuất nội bộ từ téc",DATA_GOC!$B:$B,DATE($D$2,$B$2,N$4)),0))</f>
        <v>0</v>
      </c>
      <c r="O444" s="251">
        <f>IF(O$4&gt;DAY(EOMONTH(DATE($D$2,$B$2,1),0)),"",IFERROR(SUMIFS(DATA_GOC!$H:$H,DATA_GOC!$A:$A,"BOM",DATA_GOC!$D:$D,$B444,DATA_GOC!$E:$E,"Dầu số",DATA_GOC!$F:$F,"Xuất nội bộ từ téc",DATA_GOC!$B:$B,DATE($D$2,$B$2,O$4)),0))</f>
        <v>0</v>
      </c>
      <c r="P444" s="251">
        <f>IF(P$4&gt;DAY(EOMONTH(DATE($D$2,$B$2,1),0)),"",IFERROR(SUMIFS(DATA_GOC!$H:$H,DATA_GOC!$A:$A,"BOM",DATA_GOC!$D:$D,$B444,DATA_GOC!$E:$E,"Dầu số",DATA_GOC!$F:$F,"Xuất nội bộ từ téc",DATA_GOC!$B:$B,DATE($D$2,$B$2,P$4)),0))</f>
        <v>0</v>
      </c>
      <c r="Q444" s="251">
        <f>IF(Q$4&gt;DAY(EOMONTH(DATE($D$2,$B$2,1),0)),"",IFERROR(SUMIFS(DATA_GOC!$H:$H,DATA_GOC!$A:$A,"BOM",DATA_GOC!$D:$D,$B444,DATA_GOC!$E:$E,"Dầu số",DATA_GOC!$F:$F,"Xuất nội bộ từ téc",DATA_GOC!$B:$B,DATE($D$2,$B$2,Q$4)),0))</f>
        <v>0</v>
      </c>
      <c r="R444" s="251">
        <f>IF(R$4&gt;DAY(EOMONTH(DATE($D$2,$B$2,1),0)),"",IFERROR(SUMIFS(DATA_GOC!$H:$H,DATA_GOC!$A:$A,"BOM",DATA_GOC!$D:$D,$B444,DATA_GOC!$E:$E,"Dầu số",DATA_GOC!$F:$F,"Xuất nội bộ từ téc",DATA_GOC!$B:$B,DATE($D$2,$B$2,R$4)),0))</f>
        <v>0</v>
      </c>
      <c r="S444" s="251">
        <f>IF(S$4&gt;DAY(EOMONTH(DATE($D$2,$B$2,1),0)),"",IFERROR(SUMIFS(DATA_GOC!$H:$H,DATA_GOC!$A:$A,"BOM",DATA_GOC!$D:$D,$B444,DATA_GOC!$E:$E,"Dầu số",DATA_GOC!$F:$F,"Xuất nội bộ từ téc",DATA_GOC!$B:$B,DATE($D$2,$B$2,S$4)),0))</f>
        <v>0</v>
      </c>
      <c r="T444" s="251">
        <f>IF(T$4&gt;DAY(EOMONTH(DATE($D$2,$B$2,1),0)),"",IFERROR(SUMIFS(DATA_GOC!$H:$H,DATA_GOC!$A:$A,"BOM",DATA_GOC!$D:$D,$B444,DATA_GOC!$E:$E,"Dầu số",DATA_GOC!$F:$F,"Xuất nội bộ từ téc",DATA_GOC!$B:$B,DATE($D$2,$B$2,T$4)),0))</f>
        <v>0</v>
      </c>
      <c r="U444" s="251">
        <f>IF(U$4&gt;DAY(EOMONTH(DATE($D$2,$B$2,1),0)),"",IFERROR(SUMIFS(DATA_GOC!$H:$H,DATA_GOC!$A:$A,"BOM",DATA_GOC!$D:$D,$B444,DATA_GOC!$E:$E,"Dầu số",DATA_GOC!$F:$F,"Xuất nội bộ từ téc",DATA_GOC!$B:$B,DATE($D$2,$B$2,U$4)),0))</f>
        <v>0</v>
      </c>
      <c r="V444" s="251">
        <f>IF(V$4&gt;DAY(EOMONTH(DATE($D$2,$B$2,1),0)),"",IFERROR(SUMIFS(DATA_GOC!$H:$H,DATA_GOC!$A:$A,"BOM",DATA_GOC!$D:$D,$B444,DATA_GOC!$E:$E,"Dầu số",DATA_GOC!$F:$F,"Xuất nội bộ từ téc",DATA_GOC!$B:$B,DATE($D$2,$B$2,V$4)),0))</f>
        <v>0</v>
      </c>
      <c r="W444" s="251">
        <f>IF(W$4&gt;DAY(EOMONTH(DATE($D$2,$B$2,1),0)),"",IFERROR(SUMIFS(DATA_GOC!$H:$H,DATA_GOC!$A:$A,"BOM",DATA_GOC!$D:$D,$B444,DATA_GOC!$E:$E,"Dầu số",DATA_GOC!$F:$F,"Xuất nội bộ từ téc",DATA_GOC!$B:$B,DATE($D$2,$B$2,W$4)),0))</f>
        <v>0</v>
      </c>
      <c r="X444" s="251">
        <f>IF(X$4&gt;DAY(EOMONTH(DATE($D$2,$B$2,1),0)),"",IFERROR(SUMIFS(DATA_GOC!$H:$H,DATA_GOC!$A:$A,"BOM",DATA_GOC!$D:$D,$B444,DATA_GOC!$E:$E,"Dầu số",DATA_GOC!$F:$F,"Xuất nội bộ từ téc",DATA_GOC!$B:$B,DATE($D$2,$B$2,X$4)),0))</f>
        <v>0</v>
      </c>
      <c r="Y444" s="251">
        <f>IF(Y$4&gt;DAY(EOMONTH(DATE($D$2,$B$2,1),0)),"",IFERROR(SUMIFS(DATA_GOC!$H:$H,DATA_GOC!$A:$A,"BOM",DATA_GOC!$D:$D,$B444,DATA_GOC!$E:$E,"Dầu số",DATA_GOC!$F:$F,"Xuất nội bộ từ téc",DATA_GOC!$B:$B,DATE($D$2,$B$2,Y$4)),0))</f>
        <v>0</v>
      </c>
      <c r="Z444" s="251">
        <f>IF(Z$4&gt;DAY(EOMONTH(DATE($D$2,$B$2,1),0)),"",IFERROR(SUMIFS(DATA_GOC!$H:$H,DATA_GOC!$A:$A,"BOM",DATA_GOC!$D:$D,$B444,DATA_GOC!$E:$E,"Dầu số",DATA_GOC!$F:$F,"Xuất nội bộ từ téc",DATA_GOC!$B:$B,DATE($D$2,$B$2,Z$4)),0))</f>
        <v>0</v>
      </c>
      <c r="AA444" s="251">
        <f>IF(AA$4&gt;DAY(EOMONTH(DATE($D$2,$B$2,1),0)),"",IFERROR(SUMIFS(DATA_GOC!$H:$H,DATA_GOC!$A:$A,"BOM",DATA_GOC!$D:$D,$B444,DATA_GOC!$E:$E,"Dầu số",DATA_GOC!$F:$F,"Xuất nội bộ từ téc",DATA_GOC!$B:$B,DATE($D$2,$B$2,AA$4)),0))</f>
        <v>0</v>
      </c>
      <c r="AB444" s="251">
        <f>IF(AB$4&gt;DAY(EOMONTH(DATE($D$2,$B$2,1),0)),"",IFERROR(SUMIFS(DATA_GOC!$H:$H,DATA_GOC!$A:$A,"BOM",DATA_GOC!$D:$D,$B444,DATA_GOC!$E:$E,"Dầu số",DATA_GOC!$F:$F,"Xuất nội bộ từ téc",DATA_GOC!$B:$B,DATE($D$2,$B$2,AB$4)),0))</f>
        <v>0</v>
      </c>
      <c r="AC444" s="251">
        <f>IF(AC$4&gt;DAY(EOMONTH(DATE($D$2,$B$2,1),0)),"",IFERROR(SUMIFS(DATA_GOC!$H:$H,DATA_GOC!$A:$A,"BOM",DATA_GOC!$D:$D,$B444,DATA_GOC!$E:$E,"Dầu số",DATA_GOC!$F:$F,"Xuất nội bộ từ téc",DATA_GOC!$B:$B,DATE($D$2,$B$2,AC$4)),0))</f>
        <v>0</v>
      </c>
      <c r="AD444" s="251">
        <f>IF(AD$4&gt;DAY(EOMONTH(DATE($D$2,$B$2,1),0)),"",IFERROR(SUMIFS(DATA_GOC!$H:$H,DATA_GOC!$A:$A,"BOM",DATA_GOC!$D:$D,$B444,DATA_GOC!$E:$E,"Dầu số",DATA_GOC!$F:$F,"Xuất nội bộ từ téc",DATA_GOC!$B:$B,DATE($D$2,$B$2,AD$4)),0))</f>
        <v>0</v>
      </c>
      <c r="AE444" s="251">
        <f>IF(AE$4&gt;DAY(EOMONTH(DATE($D$2,$B$2,1),0)),"",IFERROR(SUMIFS(DATA_GOC!$H:$H,DATA_GOC!$A:$A,"BOM",DATA_GOC!$D:$D,$B444,DATA_GOC!$E:$E,"Dầu số",DATA_GOC!$F:$F,"Xuất nội bộ từ téc",DATA_GOC!$B:$B,DATE($D$2,$B$2,AE$4)),0))</f>
        <v>0</v>
      </c>
      <c r="AF444" s="251">
        <f>IF(AF$4&gt;DAY(EOMONTH(DATE($D$2,$B$2,1),0)),"",IFERROR(SUMIFS(DATA_GOC!$H:$H,DATA_GOC!$A:$A,"BOM",DATA_GOC!$D:$D,$B444,DATA_GOC!$E:$E,"Dầu số",DATA_GOC!$F:$F,"Xuất nội bộ từ téc",DATA_GOC!$B:$B,DATE($D$2,$B$2,AF$4)),0))</f>
        <v>0</v>
      </c>
      <c r="AG444" s="251">
        <f>IF(AG$4&gt;DAY(EOMONTH(DATE($D$2,$B$2,1),0)),"",IFERROR(SUMIFS(DATA_GOC!$H:$H,DATA_GOC!$A:$A,"BOM",DATA_GOC!$D:$D,$B444,DATA_GOC!$E:$E,"Dầu số",DATA_GOC!$F:$F,"Xuất nội bộ từ téc",DATA_GOC!$B:$B,DATE($D$2,$B$2,AG$4)),0))</f>
        <v>0</v>
      </c>
      <c r="AH444" s="252">
        <f t="shared" si="22"/>
        <v>0</v>
      </c>
      <c r="AI444" s="241"/>
      <c r="AJ444" s="242">
        <f>IF($B444="","",SUMIFS(TINH_TEC!$K$233:$K$9232,TINH_TEC!$H$233:$H$9232,$B444,TINH_TEC!$C$233:$C$9232,"Dầu số",TINH_TEC!$F$233:$F$9232,$B$2,TINH_TEC!$G$233:$G$9232,$D$2,TINH_TEC!$B$233:$B$9232,"Đã chốt"))</f>
        <v>0</v>
      </c>
      <c r="AK444" s="242">
        <f>IF($B444="","",SUMIFS(TINH_TEC!$J$233:$J$9232,TINH_TEC!$H$233:$H$9232,$B444,TINH_TEC!$C$233:$C$9232,"Dầu số",TINH_TEC!$F$233:$F$9232,$B$2,TINH_TEC!$G$233:$G$9232,$D$2,TINH_TEC!$B$233:$B$9232,"Đã chốt"))</f>
        <v>0</v>
      </c>
      <c r="AL444" s="242">
        <f t="shared" si="23"/>
        <v>0</v>
      </c>
    </row>
    <row r="445" ht="15.75" customHeight="1">
      <c r="A445" s="237">
        <f>IF($B445&lt;&gt;"",13,"")</f>
        <v>13</v>
      </c>
      <c r="B445" s="250" t="str">
        <f t="array" ref="B445">IFERROR(INDEX(DANH_MUC!$E:$E,16),"")</f>
        <v>28C02545</v>
      </c>
      <c r="C445" s="251">
        <f>IF(C$4&gt;DAY(EOMONTH(DATE($D$2,$B$2,1),0)),"",IFERROR(SUMIFS(DATA_GOC!$H:$H,DATA_GOC!$A:$A,"BOM",DATA_GOC!$D:$D,$B445,DATA_GOC!$E:$E,"Dầu số",DATA_GOC!$F:$F,"Xuất nội bộ từ téc",DATA_GOC!$B:$B,DATE($D$2,$B$2,C$4)),0))</f>
        <v>0</v>
      </c>
      <c r="D445" s="251">
        <f>IF(D$4&gt;DAY(EOMONTH(DATE($D$2,$B$2,1),0)),"",IFERROR(SUMIFS(DATA_GOC!$H:$H,DATA_GOC!$A:$A,"BOM",DATA_GOC!$D:$D,$B445,DATA_GOC!$E:$E,"Dầu số",DATA_GOC!$F:$F,"Xuất nội bộ từ téc",DATA_GOC!$B:$B,DATE($D$2,$B$2,D$4)),0))</f>
        <v>0</v>
      </c>
      <c r="E445" s="251">
        <f>IF(E$4&gt;DAY(EOMONTH(DATE($D$2,$B$2,1),0)),"",IFERROR(SUMIFS(DATA_GOC!$H:$H,DATA_GOC!$A:$A,"BOM",DATA_GOC!$D:$D,$B445,DATA_GOC!$E:$E,"Dầu số",DATA_GOC!$F:$F,"Xuất nội bộ từ téc",DATA_GOC!$B:$B,DATE($D$2,$B$2,E$4)),0))</f>
        <v>0</v>
      </c>
      <c r="F445" s="251">
        <f>IF(F$4&gt;DAY(EOMONTH(DATE($D$2,$B$2,1),0)),"",IFERROR(SUMIFS(DATA_GOC!$H:$H,DATA_GOC!$A:$A,"BOM",DATA_GOC!$D:$D,$B445,DATA_GOC!$E:$E,"Dầu số",DATA_GOC!$F:$F,"Xuất nội bộ từ téc",DATA_GOC!$B:$B,DATE($D$2,$B$2,F$4)),0))</f>
        <v>0</v>
      </c>
      <c r="G445" s="251">
        <f>IF(G$4&gt;DAY(EOMONTH(DATE($D$2,$B$2,1),0)),"",IFERROR(SUMIFS(DATA_GOC!$H:$H,DATA_GOC!$A:$A,"BOM",DATA_GOC!$D:$D,$B445,DATA_GOC!$E:$E,"Dầu số",DATA_GOC!$F:$F,"Xuất nội bộ từ téc",DATA_GOC!$B:$B,DATE($D$2,$B$2,G$4)),0))</f>
        <v>0</v>
      </c>
      <c r="H445" s="251">
        <f>IF(H$4&gt;DAY(EOMONTH(DATE($D$2,$B$2,1),0)),"",IFERROR(SUMIFS(DATA_GOC!$H:$H,DATA_GOC!$A:$A,"BOM",DATA_GOC!$D:$D,$B445,DATA_GOC!$E:$E,"Dầu số",DATA_GOC!$F:$F,"Xuất nội bộ từ téc",DATA_GOC!$B:$B,DATE($D$2,$B$2,H$4)),0))</f>
        <v>0</v>
      </c>
      <c r="I445" s="251">
        <f>IF(I$4&gt;DAY(EOMONTH(DATE($D$2,$B$2,1),0)),"",IFERROR(SUMIFS(DATA_GOC!$H:$H,DATA_GOC!$A:$A,"BOM",DATA_GOC!$D:$D,$B445,DATA_GOC!$E:$E,"Dầu số",DATA_GOC!$F:$F,"Xuất nội bộ từ téc",DATA_GOC!$B:$B,DATE($D$2,$B$2,I$4)),0))</f>
        <v>0</v>
      </c>
      <c r="J445" s="251">
        <f>IF(J$4&gt;DAY(EOMONTH(DATE($D$2,$B$2,1),0)),"",IFERROR(SUMIFS(DATA_GOC!$H:$H,DATA_GOC!$A:$A,"BOM",DATA_GOC!$D:$D,$B445,DATA_GOC!$E:$E,"Dầu số",DATA_GOC!$F:$F,"Xuất nội bộ từ téc",DATA_GOC!$B:$B,DATE($D$2,$B$2,J$4)),0))</f>
        <v>0</v>
      </c>
      <c r="K445" s="251">
        <f>IF(K$4&gt;DAY(EOMONTH(DATE($D$2,$B$2,1),0)),"",IFERROR(SUMIFS(DATA_GOC!$H:$H,DATA_GOC!$A:$A,"BOM",DATA_GOC!$D:$D,$B445,DATA_GOC!$E:$E,"Dầu số",DATA_GOC!$F:$F,"Xuất nội bộ từ téc",DATA_GOC!$B:$B,DATE($D$2,$B$2,K$4)),0))</f>
        <v>0</v>
      </c>
      <c r="L445" s="251">
        <f>IF(L$4&gt;DAY(EOMONTH(DATE($D$2,$B$2,1),0)),"",IFERROR(SUMIFS(DATA_GOC!$H:$H,DATA_GOC!$A:$A,"BOM",DATA_GOC!$D:$D,$B445,DATA_GOC!$E:$E,"Dầu số",DATA_GOC!$F:$F,"Xuất nội bộ từ téc",DATA_GOC!$B:$B,DATE($D$2,$B$2,L$4)),0))</f>
        <v>0</v>
      </c>
      <c r="M445" s="251">
        <f>IF(M$4&gt;DAY(EOMONTH(DATE($D$2,$B$2,1),0)),"",IFERROR(SUMIFS(DATA_GOC!$H:$H,DATA_GOC!$A:$A,"BOM",DATA_GOC!$D:$D,$B445,DATA_GOC!$E:$E,"Dầu số",DATA_GOC!$F:$F,"Xuất nội bộ từ téc",DATA_GOC!$B:$B,DATE($D$2,$B$2,M$4)),0))</f>
        <v>0</v>
      </c>
      <c r="N445" s="251">
        <f>IF(N$4&gt;DAY(EOMONTH(DATE($D$2,$B$2,1),0)),"",IFERROR(SUMIFS(DATA_GOC!$H:$H,DATA_GOC!$A:$A,"BOM",DATA_GOC!$D:$D,$B445,DATA_GOC!$E:$E,"Dầu số",DATA_GOC!$F:$F,"Xuất nội bộ từ téc",DATA_GOC!$B:$B,DATE($D$2,$B$2,N$4)),0))</f>
        <v>0</v>
      </c>
      <c r="O445" s="251">
        <f>IF(O$4&gt;DAY(EOMONTH(DATE($D$2,$B$2,1),0)),"",IFERROR(SUMIFS(DATA_GOC!$H:$H,DATA_GOC!$A:$A,"BOM",DATA_GOC!$D:$D,$B445,DATA_GOC!$E:$E,"Dầu số",DATA_GOC!$F:$F,"Xuất nội bộ từ téc",DATA_GOC!$B:$B,DATE($D$2,$B$2,O$4)),0))</f>
        <v>0</v>
      </c>
      <c r="P445" s="251">
        <f>IF(P$4&gt;DAY(EOMONTH(DATE($D$2,$B$2,1),0)),"",IFERROR(SUMIFS(DATA_GOC!$H:$H,DATA_GOC!$A:$A,"BOM",DATA_GOC!$D:$D,$B445,DATA_GOC!$E:$E,"Dầu số",DATA_GOC!$F:$F,"Xuất nội bộ từ téc",DATA_GOC!$B:$B,DATE($D$2,$B$2,P$4)),0))</f>
        <v>0</v>
      </c>
      <c r="Q445" s="251">
        <f>IF(Q$4&gt;DAY(EOMONTH(DATE($D$2,$B$2,1),0)),"",IFERROR(SUMIFS(DATA_GOC!$H:$H,DATA_GOC!$A:$A,"BOM",DATA_GOC!$D:$D,$B445,DATA_GOC!$E:$E,"Dầu số",DATA_GOC!$F:$F,"Xuất nội bộ từ téc",DATA_GOC!$B:$B,DATE($D$2,$B$2,Q$4)),0))</f>
        <v>0</v>
      </c>
      <c r="R445" s="251">
        <f>IF(R$4&gt;DAY(EOMONTH(DATE($D$2,$B$2,1),0)),"",IFERROR(SUMIFS(DATA_GOC!$H:$H,DATA_GOC!$A:$A,"BOM",DATA_GOC!$D:$D,$B445,DATA_GOC!$E:$E,"Dầu số",DATA_GOC!$F:$F,"Xuất nội bộ từ téc",DATA_GOC!$B:$B,DATE($D$2,$B$2,R$4)),0))</f>
        <v>0</v>
      </c>
      <c r="S445" s="251">
        <f>IF(S$4&gt;DAY(EOMONTH(DATE($D$2,$B$2,1),0)),"",IFERROR(SUMIFS(DATA_GOC!$H:$H,DATA_GOC!$A:$A,"BOM",DATA_GOC!$D:$D,$B445,DATA_GOC!$E:$E,"Dầu số",DATA_GOC!$F:$F,"Xuất nội bộ từ téc",DATA_GOC!$B:$B,DATE($D$2,$B$2,S$4)),0))</f>
        <v>0</v>
      </c>
      <c r="T445" s="251">
        <f>IF(T$4&gt;DAY(EOMONTH(DATE($D$2,$B$2,1),0)),"",IFERROR(SUMIFS(DATA_GOC!$H:$H,DATA_GOC!$A:$A,"BOM",DATA_GOC!$D:$D,$B445,DATA_GOC!$E:$E,"Dầu số",DATA_GOC!$F:$F,"Xuất nội bộ từ téc",DATA_GOC!$B:$B,DATE($D$2,$B$2,T$4)),0))</f>
        <v>0</v>
      </c>
      <c r="U445" s="251">
        <f>IF(U$4&gt;DAY(EOMONTH(DATE($D$2,$B$2,1),0)),"",IFERROR(SUMIFS(DATA_GOC!$H:$H,DATA_GOC!$A:$A,"BOM",DATA_GOC!$D:$D,$B445,DATA_GOC!$E:$E,"Dầu số",DATA_GOC!$F:$F,"Xuất nội bộ từ téc",DATA_GOC!$B:$B,DATE($D$2,$B$2,U$4)),0))</f>
        <v>0</v>
      </c>
      <c r="V445" s="251">
        <f>IF(V$4&gt;DAY(EOMONTH(DATE($D$2,$B$2,1),0)),"",IFERROR(SUMIFS(DATA_GOC!$H:$H,DATA_GOC!$A:$A,"BOM",DATA_GOC!$D:$D,$B445,DATA_GOC!$E:$E,"Dầu số",DATA_GOC!$F:$F,"Xuất nội bộ từ téc",DATA_GOC!$B:$B,DATE($D$2,$B$2,V$4)),0))</f>
        <v>0</v>
      </c>
      <c r="W445" s="251">
        <f>IF(W$4&gt;DAY(EOMONTH(DATE($D$2,$B$2,1),0)),"",IFERROR(SUMIFS(DATA_GOC!$H:$H,DATA_GOC!$A:$A,"BOM",DATA_GOC!$D:$D,$B445,DATA_GOC!$E:$E,"Dầu số",DATA_GOC!$F:$F,"Xuất nội bộ từ téc",DATA_GOC!$B:$B,DATE($D$2,$B$2,W$4)),0))</f>
        <v>0</v>
      </c>
      <c r="X445" s="251">
        <f>IF(X$4&gt;DAY(EOMONTH(DATE($D$2,$B$2,1),0)),"",IFERROR(SUMIFS(DATA_GOC!$H:$H,DATA_GOC!$A:$A,"BOM",DATA_GOC!$D:$D,$B445,DATA_GOC!$E:$E,"Dầu số",DATA_GOC!$F:$F,"Xuất nội bộ từ téc",DATA_GOC!$B:$B,DATE($D$2,$B$2,X$4)),0))</f>
        <v>0</v>
      </c>
      <c r="Y445" s="251">
        <f>IF(Y$4&gt;DAY(EOMONTH(DATE($D$2,$B$2,1),0)),"",IFERROR(SUMIFS(DATA_GOC!$H:$H,DATA_GOC!$A:$A,"BOM",DATA_GOC!$D:$D,$B445,DATA_GOC!$E:$E,"Dầu số",DATA_GOC!$F:$F,"Xuất nội bộ từ téc",DATA_GOC!$B:$B,DATE($D$2,$B$2,Y$4)),0))</f>
        <v>0</v>
      </c>
      <c r="Z445" s="251">
        <f>IF(Z$4&gt;DAY(EOMONTH(DATE($D$2,$B$2,1),0)),"",IFERROR(SUMIFS(DATA_GOC!$H:$H,DATA_GOC!$A:$A,"BOM",DATA_GOC!$D:$D,$B445,DATA_GOC!$E:$E,"Dầu số",DATA_GOC!$F:$F,"Xuất nội bộ từ téc",DATA_GOC!$B:$B,DATE($D$2,$B$2,Z$4)),0))</f>
        <v>0</v>
      </c>
      <c r="AA445" s="251">
        <f>IF(AA$4&gt;DAY(EOMONTH(DATE($D$2,$B$2,1),0)),"",IFERROR(SUMIFS(DATA_GOC!$H:$H,DATA_GOC!$A:$A,"BOM",DATA_GOC!$D:$D,$B445,DATA_GOC!$E:$E,"Dầu số",DATA_GOC!$F:$F,"Xuất nội bộ từ téc",DATA_GOC!$B:$B,DATE($D$2,$B$2,AA$4)),0))</f>
        <v>0</v>
      </c>
      <c r="AB445" s="251">
        <f>IF(AB$4&gt;DAY(EOMONTH(DATE($D$2,$B$2,1),0)),"",IFERROR(SUMIFS(DATA_GOC!$H:$H,DATA_GOC!$A:$A,"BOM",DATA_GOC!$D:$D,$B445,DATA_GOC!$E:$E,"Dầu số",DATA_GOC!$F:$F,"Xuất nội bộ từ téc",DATA_GOC!$B:$B,DATE($D$2,$B$2,AB$4)),0))</f>
        <v>0</v>
      </c>
      <c r="AC445" s="251">
        <f>IF(AC$4&gt;DAY(EOMONTH(DATE($D$2,$B$2,1),0)),"",IFERROR(SUMIFS(DATA_GOC!$H:$H,DATA_GOC!$A:$A,"BOM",DATA_GOC!$D:$D,$B445,DATA_GOC!$E:$E,"Dầu số",DATA_GOC!$F:$F,"Xuất nội bộ từ téc",DATA_GOC!$B:$B,DATE($D$2,$B$2,AC$4)),0))</f>
        <v>0</v>
      </c>
      <c r="AD445" s="251">
        <f>IF(AD$4&gt;DAY(EOMONTH(DATE($D$2,$B$2,1),0)),"",IFERROR(SUMIFS(DATA_GOC!$H:$H,DATA_GOC!$A:$A,"BOM",DATA_GOC!$D:$D,$B445,DATA_GOC!$E:$E,"Dầu số",DATA_GOC!$F:$F,"Xuất nội bộ từ téc",DATA_GOC!$B:$B,DATE($D$2,$B$2,AD$4)),0))</f>
        <v>0</v>
      </c>
      <c r="AE445" s="251">
        <f>IF(AE$4&gt;DAY(EOMONTH(DATE($D$2,$B$2,1),0)),"",IFERROR(SUMIFS(DATA_GOC!$H:$H,DATA_GOC!$A:$A,"BOM",DATA_GOC!$D:$D,$B445,DATA_GOC!$E:$E,"Dầu số",DATA_GOC!$F:$F,"Xuất nội bộ từ téc",DATA_GOC!$B:$B,DATE($D$2,$B$2,AE$4)),0))</f>
        <v>0</v>
      </c>
      <c r="AF445" s="251">
        <f>IF(AF$4&gt;DAY(EOMONTH(DATE($D$2,$B$2,1),0)),"",IFERROR(SUMIFS(DATA_GOC!$H:$H,DATA_GOC!$A:$A,"BOM",DATA_GOC!$D:$D,$B445,DATA_GOC!$E:$E,"Dầu số",DATA_GOC!$F:$F,"Xuất nội bộ từ téc",DATA_GOC!$B:$B,DATE($D$2,$B$2,AF$4)),0))</f>
        <v>0</v>
      </c>
      <c r="AG445" s="251">
        <f>IF(AG$4&gt;DAY(EOMONTH(DATE($D$2,$B$2,1),0)),"",IFERROR(SUMIFS(DATA_GOC!$H:$H,DATA_GOC!$A:$A,"BOM",DATA_GOC!$D:$D,$B445,DATA_GOC!$E:$E,"Dầu số",DATA_GOC!$F:$F,"Xuất nội bộ từ téc",DATA_GOC!$B:$B,DATE($D$2,$B$2,AG$4)),0))</f>
        <v>0</v>
      </c>
      <c r="AH445" s="252">
        <f t="shared" si="22"/>
        <v>0</v>
      </c>
      <c r="AI445" s="241"/>
      <c r="AJ445" s="242">
        <f>IF($B445="","",SUMIFS(TINH_TEC!$K$233:$K$9232,TINH_TEC!$H$233:$H$9232,$B445,TINH_TEC!$C$233:$C$9232,"Dầu số",TINH_TEC!$F$233:$F$9232,$B$2,TINH_TEC!$G$233:$G$9232,$D$2,TINH_TEC!$B$233:$B$9232,"Đã chốt"))</f>
        <v>0</v>
      </c>
      <c r="AK445" s="242">
        <f>IF($B445="","",SUMIFS(TINH_TEC!$J$233:$J$9232,TINH_TEC!$H$233:$H$9232,$B445,TINH_TEC!$C$233:$C$9232,"Dầu số",TINH_TEC!$F$233:$F$9232,$B$2,TINH_TEC!$G$233:$G$9232,$D$2,TINH_TEC!$B$233:$B$9232,"Đã chốt"))</f>
        <v>0</v>
      </c>
      <c r="AL445" s="242">
        <f t="shared" si="23"/>
        <v>0</v>
      </c>
    </row>
    <row r="446" ht="15.75" customHeight="1">
      <c r="A446" s="237">
        <f>IF($B446&lt;&gt;"",14,"")</f>
        <v>14</v>
      </c>
      <c r="B446" s="250" t="str">
        <f t="array" ref="B446">IFERROR(INDEX(DANH_MUC!$E:$E,17),"")</f>
        <v>28C02574</v>
      </c>
      <c r="C446" s="251">
        <f>IF(C$4&gt;DAY(EOMONTH(DATE($D$2,$B$2,1),0)),"",IFERROR(SUMIFS(DATA_GOC!$H:$H,DATA_GOC!$A:$A,"BOM",DATA_GOC!$D:$D,$B446,DATA_GOC!$E:$E,"Dầu số",DATA_GOC!$F:$F,"Xuất nội bộ từ téc",DATA_GOC!$B:$B,DATE($D$2,$B$2,C$4)),0))</f>
        <v>0</v>
      </c>
      <c r="D446" s="251">
        <f>IF(D$4&gt;DAY(EOMONTH(DATE($D$2,$B$2,1),0)),"",IFERROR(SUMIFS(DATA_GOC!$H:$H,DATA_GOC!$A:$A,"BOM",DATA_GOC!$D:$D,$B446,DATA_GOC!$E:$E,"Dầu số",DATA_GOC!$F:$F,"Xuất nội bộ từ téc",DATA_GOC!$B:$B,DATE($D$2,$B$2,D$4)),0))</f>
        <v>0</v>
      </c>
      <c r="E446" s="251">
        <f>IF(E$4&gt;DAY(EOMONTH(DATE($D$2,$B$2,1),0)),"",IFERROR(SUMIFS(DATA_GOC!$H:$H,DATA_GOC!$A:$A,"BOM",DATA_GOC!$D:$D,$B446,DATA_GOC!$E:$E,"Dầu số",DATA_GOC!$F:$F,"Xuất nội bộ từ téc",DATA_GOC!$B:$B,DATE($D$2,$B$2,E$4)),0))</f>
        <v>0</v>
      </c>
      <c r="F446" s="251">
        <f>IF(F$4&gt;DAY(EOMONTH(DATE($D$2,$B$2,1),0)),"",IFERROR(SUMIFS(DATA_GOC!$H:$H,DATA_GOC!$A:$A,"BOM",DATA_GOC!$D:$D,$B446,DATA_GOC!$E:$E,"Dầu số",DATA_GOC!$F:$F,"Xuất nội bộ từ téc",DATA_GOC!$B:$B,DATE($D$2,$B$2,F$4)),0))</f>
        <v>0</v>
      </c>
      <c r="G446" s="251">
        <f>IF(G$4&gt;DAY(EOMONTH(DATE($D$2,$B$2,1),0)),"",IFERROR(SUMIFS(DATA_GOC!$H:$H,DATA_GOC!$A:$A,"BOM",DATA_GOC!$D:$D,$B446,DATA_GOC!$E:$E,"Dầu số",DATA_GOC!$F:$F,"Xuất nội bộ từ téc",DATA_GOC!$B:$B,DATE($D$2,$B$2,G$4)),0))</f>
        <v>0</v>
      </c>
      <c r="H446" s="251">
        <f>IF(H$4&gt;DAY(EOMONTH(DATE($D$2,$B$2,1),0)),"",IFERROR(SUMIFS(DATA_GOC!$H:$H,DATA_GOC!$A:$A,"BOM",DATA_GOC!$D:$D,$B446,DATA_GOC!$E:$E,"Dầu số",DATA_GOC!$F:$F,"Xuất nội bộ từ téc",DATA_GOC!$B:$B,DATE($D$2,$B$2,H$4)),0))</f>
        <v>0</v>
      </c>
      <c r="I446" s="251">
        <f>IF(I$4&gt;DAY(EOMONTH(DATE($D$2,$B$2,1),0)),"",IFERROR(SUMIFS(DATA_GOC!$H:$H,DATA_GOC!$A:$A,"BOM",DATA_GOC!$D:$D,$B446,DATA_GOC!$E:$E,"Dầu số",DATA_GOC!$F:$F,"Xuất nội bộ từ téc",DATA_GOC!$B:$B,DATE($D$2,$B$2,I$4)),0))</f>
        <v>0</v>
      </c>
      <c r="J446" s="251">
        <f>IF(J$4&gt;DAY(EOMONTH(DATE($D$2,$B$2,1),0)),"",IFERROR(SUMIFS(DATA_GOC!$H:$H,DATA_GOC!$A:$A,"BOM",DATA_GOC!$D:$D,$B446,DATA_GOC!$E:$E,"Dầu số",DATA_GOC!$F:$F,"Xuất nội bộ từ téc",DATA_GOC!$B:$B,DATE($D$2,$B$2,J$4)),0))</f>
        <v>0</v>
      </c>
      <c r="K446" s="251">
        <f>IF(K$4&gt;DAY(EOMONTH(DATE($D$2,$B$2,1),0)),"",IFERROR(SUMIFS(DATA_GOC!$H:$H,DATA_GOC!$A:$A,"BOM",DATA_GOC!$D:$D,$B446,DATA_GOC!$E:$E,"Dầu số",DATA_GOC!$F:$F,"Xuất nội bộ từ téc",DATA_GOC!$B:$B,DATE($D$2,$B$2,K$4)),0))</f>
        <v>0</v>
      </c>
      <c r="L446" s="251">
        <f>IF(L$4&gt;DAY(EOMONTH(DATE($D$2,$B$2,1),0)),"",IFERROR(SUMIFS(DATA_GOC!$H:$H,DATA_GOC!$A:$A,"BOM",DATA_GOC!$D:$D,$B446,DATA_GOC!$E:$E,"Dầu số",DATA_GOC!$F:$F,"Xuất nội bộ từ téc",DATA_GOC!$B:$B,DATE($D$2,$B$2,L$4)),0))</f>
        <v>0</v>
      </c>
      <c r="M446" s="251">
        <f>IF(M$4&gt;DAY(EOMONTH(DATE($D$2,$B$2,1),0)),"",IFERROR(SUMIFS(DATA_GOC!$H:$H,DATA_GOC!$A:$A,"BOM",DATA_GOC!$D:$D,$B446,DATA_GOC!$E:$E,"Dầu số",DATA_GOC!$F:$F,"Xuất nội bộ từ téc",DATA_GOC!$B:$B,DATE($D$2,$B$2,M$4)),0))</f>
        <v>0</v>
      </c>
      <c r="N446" s="251">
        <f>IF(N$4&gt;DAY(EOMONTH(DATE($D$2,$B$2,1),0)),"",IFERROR(SUMIFS(DATA_GOC!$H:$H,DATA_GOC!$A:$A,"BOM",DATA_GOC!$D:$D,$B446,DATA_GOC!$E:$E,"Dầu số",DATA_GOC!$F:$F,"Xuất nội bộ từ téc",DATA_GOC!$B:$B,DATE($D$2,$B$2,N$4)),0))</f>
        <v>0</v>
      </c>
      <c r="O446" s="251">
        <f>IF(O$4&gt;DAY(EOMONTH(DATE($D$2,$B$2,1),0)),"",IFERROR(SUMIFS(DATA_GOC!$H:$H,DATA_GOC!$A:$A,"BOM",DATA_GOC!$D:$D,$B446,DATA_GOC!$E:$E,"Dầu số",DATA_GOC!$F:$F,"Xuất nội bộ từ téc",DATA_GOC!$B:$B,DATE($D$2,$B$2,O$4)),0))</f>
        <v>0</v>
      </c>
      <c r="P446" s="251">
        <f>IF(P$4&gt;DAY(EOMONTH(DATE($D$2,$B$2,1),0)),"",IFERROR(SUMIFS(DATA_GOC!$H:$H,DATA_GOC!$A:$A,"BOM",DATA_GOC!$D:$D,$B446,DATA_GOC!$E:$E,"Dầu số",DATA_GOC!$F:$F,"Xuất nội bộ từ téc",DATA_GOC!$B:$B,DATE($D$2,$B$2,P$4)),0))</f>
        <v>0</v>
      </c>
      <c r="Q446" s="251">
        <f>IF(Q$4&gt;DAY(EOMONTH(DATE($D$2,$B$2,1),0)),"",IFERROR(SUMIFS(DATA_GOC!$H:$H,DATA_GOC!$A:$A,"BOM",DATA_GOC!$D:$D,$B446,DATA_GOC!$E:$E,"Dầu số",DATA_GOC!$F:$F,"Xuất nội bộ từ téc",DATA_GOC!$B:$B,DATE($D$2,$B$2,Q$4)),0))</f>
        <v>0</v>
      </c>
      <c r="R446" s="251">
        <f>IF(R$4&gt;DAY(EOMONTH(DATE($D$2,$B$2,1),0)),"",IFERROR(SUMIFS(DATA_GOC!$H:$H,DATA_GOC!$A:$A,"BOM",DATA_GOC!$D:$D,$B446,DATA_GOC!$E:$E,"Dầu số",DATA_GOC!$F:$F,"Xuất nội bộ từ téc",DATA_GOC!$B:$B,DATE($D$2,$B$2,R$4)),0))</f>
        <v>0</v>
      </c>
      <c r="S446" s="251">
        <f>IF(S$4&gt;DAY(EOMONTH(DATE($D$2,$B$2,1),0)),"",IFERROR(SUMIFS(DATA_GOC!$H:$H,DATA_GOC!$A:$A,"BOM",DATA_GOC!$D:$D,$B446,DATA_GOC!$E:$E,"Dầu số",DATA_GOC!$F:$F,"Xuất nội bộ từ téc",DATA_GOC!$B:$B,DATE($D$2,$B$2,S$4)),0))</f>
        <v>0</v>
      </c>
      <c r="T446" s="251">
        <f>IF(T$4&gt;DAY(EOMONTH(DATE($D$2,$B$2,1),0)),"",IFERROR(SUMIFS(DATA_GOC!$H:$H,DATA_GOC!$A:$A,"BOM",DATA_GOC!$D:$D,$B446,DATA_GOC!$E:$E,"Dầu số",DATA_GOC!$F:$F,"Xuất nội bộ từ téc",DATA_GOC!$B:$B,DATE($D$2,$B$2,T$4)),0))</f>
        <v>0</v>
      </c>
      <c r="U446" s="251">
        <f>IF(U$4&gt;DAY(EOMONTH(DATE($D$2,$B$2,1),0)),"",IFERROR(SUMIFS(DATA_GOC!$H:$H,DATA_GOC!$A:$A,"BOM",DATA_GOC!$D:$D,$B446,DATA_GOC!$E:$E,"Dầu số",DATA_GOC!$F:$F,"Xuất nội bộ từ téc",DATA_GOC!$B:$B,DATE($D$2,$B$2,U$4)),0))</f>
        <v>0</v>
      </c>
      <c r="V446" s="251">
        <f>IF(V$4&gt;DAY(EOMONTH(DATE($D$2,$B$2,1),0)),"",IFERROR(SUMIFS(DATA_GOC!$H:$H,DATA_GOC!$A:$A,"BOM",DATA_GOC!$D:$D,$B446,DATA_GOC!$E:$E,"Dầu số",DATA_GOC!$F:$F,"Xuất nội bộ từ téc",DATA_GOC!$B:$B,DATE($D$2,$B$2,V$4)),0))</f>
        <v>0</v>
      </c>
      <c r="W446" s="251">
        <f>IF(W$4&gt;DAY(EOMONTH(DATE($D$2,$B$2,1),0)),"",IFERROR(SUMIFS(DATA_GOC!$H:$H,DATA_GOC!$A:$A,"BOM",DATA_GOC!$D:$D,$B446,DATA_GOC!$E:$E,"Dầu số",DATA_GOC!$F:$F,"Xuất nội bộ từ téc",DATA_GOC!$B:$B,DATE($D$2,$B$2,W$4)),0))</f>
        <v>0</v>
      </c>
      <c r="X446" s="251">
        <f>IF(X$4&gt;DAY(EOMONTH(DATE($D$2,$B$2,1),0)),"",IFERROR(SUMIFS(DATA_GOC!$H:$H,DATA_GOC!$A:$A,"BOM",DATA_GOC!$D:$D,$B446,DATA_GOC!$E:$E,"Dầu số",DATA_GOC!$F:$F,"Xuất nội bộ từ téc",DATA_GOC!$B:$B,DATE($D$2,$B$2,X$4)),0))</f>
        <v>0</v>
      </c>
      <c r="Y446" s="251">
        <f>IF(Y$4&gt;DAY(EOMONTH(DATE($D$2,$B$2,1),0)),"",IFERROR(SUMIFS(DATA_GOC!$H:$H,DATA_GOC!$A:$A,"BOM",DATA_GOC!$D:$D,$B446,DATA_GOC!$E:$E,"Dầu số",DATA_GOC!$F:$F,"Xuất nội bộ từ téc",DATA_GOC!$B:$B,DATE($D$2,$B$2,Y$4)),0))</f>
        <v>0</v>
      </c>
      <c r="Z446" s="251">
        <f>IF(Z$4&gt;DAY(EOMONTH(DATE($D$2,$B$2,1),0)),"",IFERROR(SUMIFS(DATA_GOC!$H:$H,DATA_GOC!$A:$A,"BOM",DATA_GOC!$D:$D,$B446,DATA_GOC!$E:$E,"Dầu số",DATA_GOC!$F:$F,"Xuất nội bộ từ téc",DATA_GOC!$B:$B,DATE($D$2,$B$2,Z$4)),0))</f>
        <v>0</v>
      </c>
      <c r="AA446" s="251">
        <f>IF(AA$4&gt;DAY(EOMONTH(DATE($D$2,$B$2,1),0)),"",IFERROR(SUMIFS(DATA_GOC!$H:$H,DATA_GOC!$A:$A,"BOM",DATA_GOC!$D:$D,$B446,DATA_GOC!$E:$E,"Dầu số",DATA_GOC!$F:$F,"Xuất nội bộ từ téc",DATA_GOC!$B:$B,DATE($D$2,$B$2,AA$4)),0))</f>
        <v>0</v>
      </c>
      <c r="AB446" s="251">
        <f>IF(AB$4&gt;DAY(EOMONTH(DATE($D$2,$B$2,1),0)),"",IFERROR(SUMIFS(DATA_GOC!$H:$H,DATA_GOC!$A:$A,"BOM",DATA_GOC!$D:$D,$B446,DATA_GOC!$E:$E,"Dầu số",DATA_GOC!$F:$F,"Xuất nội bộ từ téc",DATA_GOC!$B:$B,DATE($D$2,$B$2,AB$4)),0))</f>
        <v>0</v>
      </c>
      <c r="AC446" s="251">
        <f>IF(AC$4&gt;DAY(EOMONTH(DATE($D$2,$B$2,1),0)),"",IFERROR(SUMIFS(DATA_GOC!$H:$H,DATA_GOC!$A:$A,"BOM",DATA_GOC!$D:$D,$B446,DATA_GOC!$E:$E,"Dầu số",DATA_GOC!$F:$F,"Xuất nội bộ từ téc",DATA_GOC!$B:$B,DATE($D$2,$B$2,AC$4)),0))</f>
        <v>0</v>
      </c>
      <c r="AD446" s="251">
        <f>IF(AD$4&gt;DAY(EOMONTH(DATE($D$2,$B$2,1),0)),"",IFERROR(SUMIFS(DATA_GOC!$H:$H,DATA_GOC!$A:$A,"BOM",DATA_GOC!$D:$D,$B446,DATA_GOC!$E:$E,"Dầu số",DATA_GOC!$F:$F,"Xuất nội bộ từ téc",DATA_GOC!$B:$B,DATE($D$2,$B$2,AD$4)),0))</f>
        <v>0</v>
      </c>
      <c r="AE446" s="251">
        <f>IF(AE$4&gt;DAY(EOMONTH(DATE($D$2,$B$2,1),0)),"",IFERROR(SUMIFS(DATA_GOC!$H:$H,DATA_GOC!$A:$A,"BOM",DATA_GOC!$D:$D,$B446,DATA_GOC!$E:$E,"Dầu số",DATA_GOC!$F:$F,"Xuất nội bộ từ téc",DATA_GOC!$B:$B,DATE($D$2,$B$2,AE$4)),0))</f>
        <v>0</v>
      </c>
      <c r="AF446" s="251">
        <f>IF(AF$4&gt;DAY(EOMONTH(DATE($D$2,$B$2,1),0)),"",IFERROR(SUMIFS(DATA_GOC!$H:$H,DATA_GOC!$A:$A,"BOM",DATA_GOC!$D:$D,$B446,DATA_GOC!$E:$E,"Dầu số",DATA_GOC!$F:$F,"Xuất nội bộ từ téc",DATA_GOC!$B:$B,DATE($D$2,$B$2,AF$4)),0))</f>
        <v>0</v>
      </c>
      <c r="AG446" s="251">
        <f>IF(AG$4&gt;DAY(EOMONTH(DATE($D$2,$B$2,1),0)),"",IFERROR(SUMIFS(DATA_GOC!$H:$H,DATA_GOC!$A:$A,"BOM",DATA_GOC!$D:$D,$B446,DATA_GOC!$E:$E,"Dầu số",DATA_GOC!$F:$F,"Xuất nội bộ từ téc",DATA_GOC!$B:$B,DATE($D$2,$B$2,AG$4)),0))</f>
        <v>0</v>
      </c>
      <c r="AH446" s="252">
        <f t="shared" si="22"/>
        <v>0</v>
      </c>
      <c r="AI446" s="241"/>
      <c r="AJ446" s="242">
        <f>IF($B446="","",SUMIFS(TINH_TEC!$K$233:$K$9232,TINH_TEC!$H$233:$H$9232,$B446,TINH_TEC!$C$233:$C$9232,"Dầu số",TINH_TEC!$F$233:$F$9232,$B$2,TINH_TEC!$G$233:$G$9232,$D$2,TINH_TEC!$B$233:$B$9232,"Đã chốt"))</f>
        <v>0</v>
      </c>
      <c r="AK446" s="242">
        <f>IF($B446="","",SUMIFS(TINH_TEC!$J$233:$J$9232,TINH_TEC!$H$233:$H$9232,$B446,TINH_TEC!$C$233:$C$9232,"Dầu số",TINH_TEC!$F$233:$F$9232,$B$2,TINH_TEC!$G$233:$G$9232,$D$2,TINH_TEC!$B$233:$B$9232,"Đã chốt"))</f>
        <v>0</v>
      </c>
      <c r="AL446" s="242">
        <f t="shared" si="23"/>
        <v>0</v>
      </c>
    </row>
    <row r="447" ht="15.75" customHeight="1">
      <c r="A447" s="237">
        <f>IF($B447&lt;&gt;"",15,"")</f>
        <v>15</v>
      </c>
      <c r="B447" s="250" t="str">
        <f t="array" ref="B447">IFERROR(INDEX(DANH_MUC!$E:$E,18),"")</f>
        <v>28C02770</v>
      </c>
      <c r="C447" s="251">
        <f>IF(C$4&gt;DAY(EOMONTH(DATE($D$2,$B$2,1),0)),"",IFERROR(SUMIFS(DATA_GOC!$H:$H,DATA_GOC!$A:$A,"BOM",DATA_GOC!$D:$D,$B447,DATA_GOC!$E:$E,"Dầu số",DATA_GOC!$F:$F,"Xuất nội bộ từ téc",DATA_GOC!$B:$B,DATE($D$2,$B$2,C$4)),0))</f>
        <v>0</v>
      </c>
      <c r="D447" s="251">
        <f>IF(D$4&gt;DAY(EOMONTH(DATE($D$2,$B$2,1),0)),"",IFERROR(SUMIFS(DATA_GOC!$H:$H,DATA_GOC!$A:$A,"BOM",DATA_GOC!$D:$D,$B447,DATA_GOC!$E:$E,"Dầu số",DATA_GOC!$F:$F,"Xuất nội bộ từ téc",DATA_GOC!$B:$B,DATE($D$2,$B$2,D$4)),0))</f>
        <v>0</v>
      </c>
      <c r="E447" s="251">
        <f>IF(E$4&gt;DAY(EOMONTH(DATE($D$2,$B$2,1),0)),"",IFERROR(SUMIFS(DATA_GOC!$H:$H,DATA_GOC!$A:$A,"BOM",DATA_GOC!$D:$D,$B447,DATA_GOC!$E:$E,"Dầu số",DATA_GOC!$F:$F,"Xuất nội bộ từ téc",DATA_GOC!$B:$B,DATE($D$2,$B$2,E$4)),0))</f>
        <v>0</v>
      </c>
      <c r="F447" s="251">
        <f>IF(F$4&gt;DAY(EOMONTH(DATE($D$2,$B$2,1),0)),"",IFERROR(SUMIFS(DATA_GOC!$H:$H,DATA_GOC!$A:$A,"BOM",DATA_GOC!$D:$D,$B447,DATA_GOC!$E:$E,"Dầu số",DATA_GOC!$F:$F,"Xuất nội bộ từ téc",DATA_GOC!$B:$B,DATE($D$2,$B$2,F$4)),0))</f>
        <v>0</v>
      </c>
      <c r="G447" s="251">
        <f>IF(G$4&gt;DAY(EOMONTH(DATE($D$2,$B$2,1),0)),"",IFERROR(SUMIFS(DATA_GOC!$H:$H,DATA_GOC!$A:$A,"BOM",DATA_GOC!$D:$D,$B447,DATA_GOC!$E:$E,"Dầu số",DATA_GOC!$F:$F,"Xuất nội bộ từ téc",DATA_GOC!$B:$B,DATE($D$2,$B$2,G$4)),0))</f>
        <v>0</v>
      </c>
      <c r="H447" s="251">
        <f>IF(H$4&gt;DAY(EOMONTH(DATE($D$2,$B$2,1),0)),"",IFERROR(SUMIFS(DATA_GOC!$H:$H,DATA_GOC!$A:$A,"BOM",DATA_GOC!$D:$D,$B447,DATA_GOC!$E:$E,"Dầu số",DATA_GOC!$F:$F,"Xuất nội bộ từ téc",DATA_GOC!$B:$B,DATE($D$2,$B$2,H$4)),0))</f>
        <v>0</v>
      </c>
      <c r="I447" s="251">
        <f>IF(I$4&gt;DAY(EOMONTH(DATE($D$2,$B$2,1),0)),"",IFERROR(SUMIFS(DATA_GOC!$H:$H,DATA_GOC!$A:$A,"BOM",DATA_GOC!$D:$D,$B447,DATA_GOC!$E:$E,"Dầu số",DATA_GOC!$F:$F,"Xuất nội bộ từ téc",DATA_GOC!$B:$B,DATE($D$2,$B$2,I$4)),0))</f>
        <v>0</v>
      </c>
      <c r="J447" s="251">
        <f>IF(J$4&gt;DAY(EOMONTH(DATE($D$2,$B$2,1),0)),"",IFERROR(SUMIFS(DATA_GOC!$H:$H,DATA_GOC!$A:$A,"BOM",DATA_GOC!$D:$D,$B447,DATA_GOC!$E:$E,"Dầu số",DATA_GOC!$F:$F,"Xuất nội bộ từ téc",DATA_GOC!$B:$B,DATE($D$2,$B$2,J$4)),0))</f>
        <v>0</v>
      </c>
      <c r="K447" s="251">
        <f>IF(K$4&gt;DAY(EOMONTH(DATE($D$2,$B$2,1),0)),"",IFERROR(SUMIFS(DATA_GOC!$H:$H,DATA_GOC!$A:$A,"BOM",DATA_GOC!$D:$D,$B447,DATA_GOC!$E:$E,"Dầu số",DATA_GOC!$F:$F,"Xuất nội bộ từ téc",DATA_GOC!$B:$B,DATE($D$2,$B$2,K$4)),0))</f>
        <v>0</v>
      </c>
      <c r="L447" s="251">
        <f>IF(L$4&gt;DAY(EOMONTH(DATE($D$2,$B$2,1),0)),"",IFERROR(SUMIFS(DATA_GOC!$H:$H,DATA_GOC!$A:$A,"BOM",DATA_GOC!$D:$D,$B447,DATA_GOC!$E:$E,"Dầu số",DATA_GOC!$F:$F,"Xuất nội bộ từ téc",DATA_GOC!$B:$B,DATE($D$2,$B$2,L$4)),0))</f>
        <v>0</v>
      </c>
      <c r="M447" s="251">
        <f>IF(M$4&gt;DAY(EOMONTH(DATE($D$2,$B$2,1),0)),"",IFERROR(SUMIFS(DATA_GOC!$H:$H,DATA_GOC!$A:$A,"BOM",DATA_GOC!$D:$D,$B447,DATA_GOC!$E:$E,"Dầu số",DATA_GOC!$F:$F,"Xuất nội bộ từ téc",DATA_GOC!$B:$B,DATE($D$2,$B$2,M$4)),0))</f>
        <v>0</v>
      </c>
      <c r="N447" s="251">
        <f>IF(N$4&gt;DAY(EOMONTH(DATE($D$2,$B$2,1),0)),"",IFERROR(SUMIFS(DATA_GOC!$H:$H,DATA_GOC!$A:$A,"BOM",DATA_GOC!$D:$D,$B447,DATA_GOC!$E:$E,"Dầu số",DATA_GOC!$F:$F,"Xuất nội bộ từ téc",DATA_GOC!$B:$B,DATE($D$2,$B$2,N$4)),0))</f>
        <v>0</v>
      </c>
      <c r="O447" s="251">
        <f>IF(O$4&gt;DAY(EOMONTH(DATE($D$2,$B$2,1),0)),"",IFERROR(SUMIFS(DATA_GOC!$H:$H,DATA_GOC!$A:$A,"BOM",DATA_GOC!$D:$D,$B447,DATA_GOC!$E:$E,"Dầu số",DATA_GOC!$F:$F,"Xuất nội bộ từ téc",DATA_GOC!$B:$B,DATE($D$2,$B$2,O$4)),0))</f>
        <v>0</v>
      </c>
      <c r="P447" s="251">
        <f>IF(P$4&gt;DAY(EOMONTH(DATE($D$2,$B$2,1),0)),"",IFERROR(SUMIFS(DATA_GOC!$H:$H,DATA_GOC!$A:$A,"BOM",DATA_GOC!$D:$D,$B447,DATA_GOC!$E:$E,"Dầu số",DATA_GOC!$F:$F,"Xuất nội bộ từ téc",DATA_GOC!$B:$B,DATE($D$2,$B$2,P$4)),0))</f>
        <v>0</v>
      </c>
      <c r="Q447" s="251">
        <f>IF(Q$4&gt;DAY(EOMONTH(DATE($D$2,$B$2,1),0)),"",IFERROR(SUMIFS(DATA_GOC!$H:$H,DATA_GOC!$A:$A,"BOM",DATA_GOC!$D:$D,$B447,DATA_GOC!$E:$E,"Dầu số",DATA_GOC!$F:$F,"Xuất nội bộ từ téc",DATA_GOC!$B:$B,DATE($D$2,$B$2,Q$4)),0))</f>
        <v>0</v>
      </c>
      <c r="R447" s="251">
        <f>IF(R$4&gt;DAY(EOMONTH(DATE($D$2,$B$2,1),0)),"",IFERROR(SUMIFS(DATA_GOC!$H:$H,DATA_GOC!$A:$A,"BOM",DATA_GOC!$D:$D,$B447,DATA_GOC!$E:$E,"Dầu số",DATA_GOC!$F:$F,"Xuất nội bộ từ téc",DATA_GOC!$B:$B,DATE($D$2,$B$2,R$4)),0))</f>
        <v>0</v>
      </c>
      <c r="S447" s="251">
        <f>IF(S$4&gt;DAY(EOMONTH(DATE($D$2,$B$2,1),0)),"",IFERROR(SUMIFS(DATA_GOC!$H:$H,DATA_GOC!$A:$A,"BOM",DATA_GOC!$D:$D,$B447,DATA_GOC!$E:$E,"Dầu số",DATA_GOC!$F:$F,"Xuất nội bộ từ téc",DATA_GOC!$B:$B,DATE($D$2,$B$2,S$4)),0))</f>
        <v>0</v>
      </c>
      <c r="T447" s="251">
        <f>IF(T$4&gt;DAY(EOMONTH(DATE($D$2,$B$2,1),0)),"",IFERROR(SUMIFS(DATA_GOC!$H:$H,DATA_GOC!$A:$A,"BOM",DATA_GOC!$D:$D,$B447,DATA_GOC!$E:$E,"Dầu số",DATA_GOC!$F:$F,"Xuất nội bộ từ téc",DATA_GOC!$B:$B,DATE($D$2,$B$2,T$4)),0))</f>
        <v>0</v>
      </c>
      <c r="U447" s="251">
        <f>IF(U$4&gt;DAY(EOMONTH(DATE($D$2,$B$2,1),0)),"",IFERROR(SUMIFS(DATA_GOC!$H:$H,DATA_GOC!$A:$A,"BOM",DATA_GOC!$D:$D,$B447,DATA_GOC!$E:$E,"Dầu số",DATA_GOC!$F:$F,"Xuất nội bộ từ téc",DATA_GOC!$B:$B,DATE($D$2,$B$2,U$4)),0))</f>
        <v>0</v>
      </c>
      <c r="V447" s="251">
        <f>IF(V$4&gt;DAY(EOMONTH(DATE($D$2,$B$2,1),0)),"",IFERROR(SUMIFS(DATA_GOC!$H:$H,DATA_GOC!$A:$A,"BOM",DATA_GOC!$D:$D,$B447,DATA_GOC!$E:$E,"Dầu số",DATA_GOC!$F:$F,"Xuất nội bộ từ téc",DATA_GOC!$B:$B,DATE($D$2,$B$2,V$4)),0))</f>
        <v>0</v>
      </c>
      <c r="W447" s="251">
        <f>IF(W$4&gt;DAY(EOMONTH(DATE($D$2,$B$2,1),0)),"",IFERROR(SUMIFS(DATA_GOC!$H:$H,DATA_GOC!$A:$A,"BOM",DATA_GOC!$D:$D,$B447,DATA_GOC!$E:$E,"Dầu số",DATA_GOC!$F:$F,"Xuất nội bộ từ téc",DATA_GOC!$B:$B,DATE($D$2,$B$2,W$4)),0))</f>
        <v>0</v>
      </c>
      <c r="X447" s="251">
        <f>IF(X$4&gt;DAY(EOMONTH(DATE($D$2,$B$2,1),0)),"",IFERROR(SUMIFS(DATA_GOC!$H:$H,DATA_GOC!$A:$A,"BOM",DATA_GOC!$D:$D,$B447,DATA_GOC!$E:$E,"Dầu số",DATA_GOC!$F:$F,"Xuất nội bộ từ téc",DATA_GOC!$B:$B,DATE($D$2,$B$2,X$4)),0))</f>
        <v>0</v>
      </c>
      <c r="Y447" s="251">
        <f>IF(Y$4&gt;DAY(EOMONTH(DATE($D$2,$B$2,1),0)),"",IFERROR(SUMIFS(DATA_GOC!$H:$H,DATA_GOC!$A:$A,"BOM",DATA_GOC!$D:$D,$B447,DATA_GOC!$E:$E,"Dầu số",DATA_GOC!$F:$F,"Xuất nội bộ từ téc",DATA_GOC!$B:$B,DATE($D$2,$B$2,Y$4)),0))</f>
        <v>0</v>
      </c>
      <c r="Z447" s="251">
        <f>IF(Z$4&gt;DAY(EOMONTH(DATE($D$2,$B$2,1),0)),"",IFERROR(SUMIFS(DATA_GOC!$H:$H,DATA_GOC!$A:$A,"BOM",DATA_GOC!$D:$D,$B447,DATA_GOC!$E:$E,"Dầu số",DATA_GOC!$F:$F,"Xuất nội bộ từ téc",DATA_GOC!$B:$B,DATE($D$2,$B$2,Z$4)),0))</f>
        <v>0</v>
      </c>
      <c r="AA447" s="251">
        <f>IF(AA$4&gt;DAY(EOMONTH(DATE($D$2,$B$2,1),0)),"",IFERROR(SUMIFS(DATA_GOC!$H:$H,DATA_GOC!$A:$A,"BOM",DATA_GOC!$D:$D,$B447,DATA_GOC!$E:$E,"Dầu số",DATA_GOC!$F:$F,"Xuất nội bộ từ téc",DATA_GOC!$B:$B,DATE($D$2,$B$2,AA$4)),0))</f>
        <v>0</v>
      </c>
      <c r="AB447" s="251">
        <f>IF(AB$4&gt;DAY(EOMONTH(DATE($D$2,$B$2,1),0)),"",IFERROR(SUMIFS(DATA_GOC!$H:$H,DATA_GOC!$A:$A,"BOM",DATA_GOC!$D:$D,$B447,DATA_GOC!$E:$E,"Dầu số",DATA_GOC!$F:$F,"Xuất nội bộ từ téc",DATA_GOC!$B:$B,DATE($D$2,$B$2,AB$4)),0))</f>
        <v>0</v>
      </c>
      <c r="AC447" s="251">
        <f>IF(AC$4&gt;DAY(EOMONTH(DATE($D$2,$B$2,1),0)),"",IFERROR(SUMIFS(DATA_GOC!$H:$H,DATA_GOC!$A:$A,"BOM",DATA_GOC!$D:$D,$B447,DATA_GOC!$E:$E,"Dầu số",DATA_GOC!$F:$F,"Xuất nội bộ từ téc",DATA_GOC!$B:$B,DATE($D$2,$B$2,AC$4)),0))</f>
        <v>0</v>
      </c>
      <c r="AD447" s="251">
        <f>IF(AD$4&gt;DAY(EOMONTH(DATE($D$2,$B$2,1),0)),"",IFERROR(SUMIFS(DATA_GOC!$H:$H,DATA_GOC!$A:$A,"BOM",DATA_GOC!$D:$D,$B447,DATA_GOC!$E:$E,"Dầu số",DATA_GOC!$F:$F,"Xuất nội bộ từ téc",DATA_GOC!$B:$B,DATE($D$2,$B$2,AD$4)),0))</f>
        <v>0</v>
      </c>
      <c r="AE447" s="251">
        <f>IF(AE$4&gt;DAY(EOMONTH(DATE($D$2,$B$2,1),0)),"",IFERROR(SUMIFS(DATA_GOC!$H:$H,DATA_GOC!$A:$A,"BOM",DATA_GOC!$D:$D,$B447,DATA_GOC!$E:$E,"Dầu số",DATA_GOC!$F:$F,"Xuất nội bộ từ téc",DATA_GOC!$B:$B,DATE($D$2,$B$2,AE$4)),0))</f>
        <v>0</v>
      </c>
      <c r="AF447" s="251">
        <f>IF(AF$4&gt;DAY(EOMONTH(DATE($D$2,$B$2,1),0)),"",IFERROR(SUMIFS(DATA_GOC!$H:$H,DATA_GOC!$A:$A,"BOM",DATA_GOC!$D:$D,$B447,DATA_GOC!$E:$E,"Dầu số",DATA_GOC!$F:$F,"Xuất nội bộ từ téc",DATA_GOC!$B:$B,DATE($D$2,$B$2,AF$4)),0))</f>
        <v>0</v>
      </c>
      <c r="AG447" s="251">
        <f>IF(AG$4&gt;DAY(EOMONTH(DATE($D$2,$B$2,1),0)),"",IFERROR(SUMIFS(DATA_GOC!$H:$H,DATA_GOC!$A:$A,"BOM",DATA_GOC!$D:$D,$B447,DATA_GOC!$E:$E,"Dầu số",DATA_GOC!$F:$F,"Xuất nội bộ từ téc",DATA_GOC!$B:$B,DATE($D$2,$B$2,AG$4)),0))</f>
        <v>0</v>
      </c>
      <c r="AH447" s="252">
        <f t="shared" si="22"/>
        <v>0</v>
      </c>
      <c r="AI447" s="241"/>
      <c r="AJ447" s="242">
        <f>IF($B447="","",SUMIFS(TINH_TEC!$K$233:$K$9232,TINH_TEC!$H$233:$H$9232,$B447,TINH_TEC!$C$233:$C$9232,"Dầu số",TINH_TEC!$F$233:$F$9232,$B$2,TINH_TEC!$G$233:$G$9232,$D$2,TINH_TEC!$B$233:$B$9232,"Đã chốt"))</f>
        <v>0</v>
      </c>
      <c r="AK447" s="242">
        <f>IF($B447="","",SUMIFS(TINH_TEC!$J$233:$J$9232,TINH_TEC!$H$233:$H$9232,$B447,TINH_TEC!$C$233:$C$9232,"Dầu số",TINH_TEC!$F$233:$F$9232,$B$2,TINH_TEC!$G$233:$G$9232,$D$2,TINH_TEC!$B$233:$B$9232,"Đã chốt"))</f>
        <v>0</v>
      </c>
      <c r="AL447" s="242">
        <f t="shared" si="23"/>
        <v>0</v>
      </c>
    </row>
    <row r="448" ht="15.75" customHeight="1">
      <c r="A448" s="237">
        <f>IF($B448&lt;&gt;"",16,"")</f>
        <v>16</v>
      </c>
      <c r="B448" s="250" t="str">
        <f t="array" ref="B448">IFERROR(INDEX(DANH_MUC!$E:$E,19),"")</f>
        <v>28C02986</v>
      </c>
      <c r="C448" s="251">
        <f>IF(C$4&gt;DAY(EOMONTH(DATE($D$2,$B$2,1),0)),"",IFERROR(SUMIFS(DATA_GOC!$H:$H,DATA_GOC!$A:$A,"BOM",DATA_GOC!$D:$D,$B448,DATA_GOC!$E:$E,"Dầu số",DATA_GOC!$F:$F,"Xuất nội bộ từ téc",DATA_GOC!$B:$B,DATE($D$2,$B$2,C$4)),0))</f>
        <v>0</v>
      </c>
      <c r="D448" s="251">
        <f>IF(D$4&gt;DAY(EOMONTH(DATE($D$2,$B$2,1),0)),"",IFERROR(SUMIFS(DATA_GOC!$H:$H,DATA_GOC!$A:$A,"BOM",DATA_GOC!$D:$D,$B448,DATA_GOC!$E:$E,"Dầu số",DATA_GOC!$F:$F,"Xuất nội bộ từ téc",DATA_GOC!$B:$B,DATE($D$2,$B$2,D$4)),0))</f>
        <v>0</v>
      </c>
      <c r="E448" s="251">
        <f>IF(E$4&gt;DAY(EOMONTH(DATE($D$2,$B$2,1),0)),"",IFERROR(SUMIFS(DATA_GOC!$H:$H,DATA_GOC!$A:$A,"BOM",DATA_GOC!$D:$D,$B448,DATA_GOC!$E:$E,"Dầu số",DATA_GOC!$F:$F,"Xuất nội bộ từ téc",DATA_GOC!$B:$B,DATE($D$2,$B$2,E$4)),0))</f>
        <v>0</v>
      </c>
      <c r="F448" s="251">
        <f>IF(F$4&gt;DAY(EOMONTH(DATE($D$2,$B$2,1),0)),"",IFERROR(SUMIFS(DATA_GOC!$H:$H,DATA_GOC!$A:$A,"BOM",DATA_GOC!$D:$D,$B448,DATA_GOC!$E:$E,"Dầu số",DATA_GOC!$F:$F,"Xuất nội bộ từ téc",DATA_GOC!$B:$B,DATE($D$2,$B$2,F$4)),0))</f>
        <v>0</v>
      </c>
      <c r="G448" s="251">
        <f>IF(G$4&gt;DAY(EOMONTH(DATE($D$2,$B$2,1),0)),"",IFERROR(SUMIFS(DATA_GOC!$H:$H,DATA_GOC!$A:$A,"BOM",DATA_GOC!$D:$D,$B448,DATA_GOC!$E:$E,"Dầu số",DATA_GOC!$F:$F,"Xuất nội bộ từ téc",DATA_GOC!$B:$B,DATE($D$2,$B$2,G$4)),0))</f>
        <v>0</v>
      </c>
      <c r="H448" s="251">
        <f>IF(H$4&gt;DAY(EOMONTH(DATE($D$2,$B$2,1),0)),"",IFERROR(SUMIFS(DATA_GOC!$H:$H,DATA_GOC!$A:$A,"BOM",DATA_GOC!$D:$D,$B448,DATA_GOC!$E:$E,"Dầu số",DATA_GOC!$F:$F,"Xuất nội bộ từ téc",DATA_GOC!$B:$B,DATE($D$2,$B$2,H$4)),0))</f>
        <v>0</v>
      </c>
      <c r="I448" s="251">
        <f>IF(I$4&gt;DAY(EOMONTH(DATE($D$2,$B$2,1),0)),"",IFERROR(SUMIFS(DATA_GOC!$H:$H,DATA_GOC!$A:$A,"BOM",DATA_GOC!$D:$D,$B448,DATA_GOC!$E:$E,"Dầu số",DATA_GOC!$F:$F,"Xuất nội bộ từ téc",DATA_GOC!$B:$B,DATE($D$2,$B$2,I$4)),0))</f>
        <v>0</v>
      </c>
      <c r="J448" s="251">
        <f>IF(J$4&gt;DAY(EOMONTH(DATE($D$2,$B$2,1),0)),"",IFERROR(SUMIFS(DATA_GOC!$H:$H,DATA_GOC!$A:$A,"BOM",DATA_GOC!$D:$D,$B448,DATA_GOC!$E:$E,"Dầu số",DATA_GOC!$F:$F,"Xuất nội bộ từ téc",DATA_GOC!$B:$B,DATE($D$2,$B$2,J$4)),0))</f>
        <v>0</v>
      </c>
      <c r="K448" s="251">
        <f>IF(K$4&gt;DAY(EOMONTH(DATE($D$2,$B$2,1),0)),"",IFERROR(SUMIFS(DATA_GOC!$H:$H,DATA_GOC!$A:$A,"BOM",DATA_GOC!$D:$D,$B448,DATA_GOC!$E:$E,"Dầu số",DATA_GOC!$F:$F,"Xuất nội bộ từ téc",DATA_GOC!$B:$B,DATE($D$2,$B$2,K$4)),0))</f>
        <v>0</v>
      </c>
      <c r="L448" s="251">
        <f>IF(L$4&gt;DAY(EOMONTH(DATE($D$2,$B$2,1),0)),"",IFERROR(SUMIFS(DATA_GOC!$H:$H,DATA_GOC!$A:$A,"BOM",DATA_GOC!$D:$D,$B448,DATA_GOC!$E:$E,"Dầu số",DATA_GOC!$F:$F,"Xuất nội bộ từ téc",DATA_GOC!$B:$B,DATE($D$2,$B$2,L$4)),0))</f>
        <v>0</v>
      </c>
      <c r="M448" s="251">
        <f>IF(M$4&gt;DAY(EOMONTH(DATE($D$2,$B$2,1),0)),"",IFERROR(SUMIFS(DATA_GOC!$H:$H,DATA_GOC!$A:$A,"BOM",DATA_GOC!$D:$D,$B448,DATA_GOC!$E:$E,"Dầu số",DATA_GOC!$F:$F,"Xuất nội bộ từ téc",DATA_GOC!$B:$B,DATE($D$2,$B$2,M$4)),0))</f>
        <v>0</v>
      </c>
      <c r="N448" s="251">
        <f>IF(N$4&gt;DAY(EOMONTH(DATE($D$2,$B$2,1),0)),"",IFERROR(SUMIFS(DATA_GOC!$H:$H,DATA_GOC!$A:$A,"BOM",DATA_GOC!$D:$D,$B448,DATA_GOC!$E:$E,"Dầu số",DATA_GOC!$F:$F,"Xuất nội bộ từ téc",DATA_GOC!$B:$B,DATE($D$2,$B$2,N$4)),0))</f>
        <v>0</v>
      </c>
      <c r="O448" s="251">
        <f>IF(O$4&gt;DAY(EOMONTH(DATE($D$2,$B$2,1),0)),"",IFERROR(SUMIFS(DATA_GOC!$H:$H,DATA_GOC!$A:$A,"BOM",DATA_GOC!$D:$D,$B448,DATA_GOC!$E:$E,"Dầu số",DATA_GOC!$F:$F,"Xuất nội bộ từ téc",DATA_GOC!$B:$B,DATE($D$2,$B$2,O$4)),0))</f>
        <v>0</v>
      </c>
      <c r="P448" s="251">
        <f>IF(P$4&gt;DAY(EOMONTH(DATE($D$2,$B$2,1),0)),"",IFERROR(SUMIFS(DATA_GOC!$H:$H,DATA_GOC!$A:$A,"BOM",DATA_GOC!$D:$D,$B448,DATA_GOC!$E:$E,"Dầu số",DATA_GOC!$F:$F,"Xuất nội bộ từ téc",DATA_GOC!$B:$B,DATE($D$2,$B$2,P$4)),0))</f>
        <v>0</v>
      </c>
      <c r="Q448" s="251">
        <f>IF(Q$4&gt;DAY(EOMONTH(DATE($D$2,$B$2,1),0)),"",IFERROR(SUMIFS(DATA_GOC!$H:$H,DATA_GOC!$A:$A,"BOM",DATA_GOC!$D:$D,$B448,DATA_GOC!$E:$E,"Dầu số",DATA_GOC!$F:$F,"Xuất nội bộ từ téc",DATA_GOC!$B:$B,DATE($D$2,$B$2,Q$4)),0))</f>
        <v>0</v>
      </c>
      <c r="R448" s="251">
        <f>IF(R$4&gt;DAY(EOMONTH(DATE($D$2,$B$2,1),0)),"",IFERROR(SUMIFS(DATA_GOC!$H:$H,DATA_GOC!$A:$A,"BOM",DATA_GOC!$D:$D,$B448,DATA_GOC!$E:$E,"Dầu số",DATA_GOC!$F:$F,"Xuất nội bộ từ téc",DATA_GOC!$B:$B,DATE($D$2,$B$2,R$4)),0))</f>
        <v>0</v>
      </c>
      <c r="S448" s="251">
        <f>IF(S$4&gt;DAY(EOMONTH(DATE($D$2,$B$2,1),0)),"",IFERROR(SUMIFS(DATA_GOC!$H:$H,DATA_GOC!$A:$A,"BOM",DATA_GOC!$D:$D,$B448,DATA_GOC!$E:$E,"Dầu số",DATA_GOC!$F:$F,"Xuất nội bộ từ téc",DATA_GOC!$B:$B,DATE($D$2,$B$2,S$4)),0))</f>
        <v>0</v>
      </c>
      <c r="T448" s="251">
        <f>IF(T$4&gt;DAY(EOMONTH(DATE($D$2,$B$2,1),0)),"",IFERROR(SUMIFS(DATA_GOC!$H:$H,DATA_GOC!$A:$A,"BOM",DATA_GOC!$D:$D,$B448,DATA_GOC!$E:$E,"Dầu số",DATA_GOC!$F:$F,"Xuất nội bộ từ téc",DATA_GOC!$B:$B,DATE($D$2,$B$2,T$4)),0))</f>
        <v>0</v>
      </c>
      <c r="U448" s="251">
        <f>IF(U$4&gt;DAY(EOMONTH(DATE($D$2,$B$2,1),0)),"",IFERROR(SUMIFS(DATA_GOC!$H:$H,DATA_GOC!$A:$A,"BOM",DATA_GOC!$D:$D,$B448,DATA_GOC!$E:$E,"Dầu số",DATA_GOC!$F:$F,"Xuất nội bộ từ téc",DATA_GOC!$B:$B,DATE($D$2,$B$2,U$4)),0))</f>
        <v>0</v>
      </c>
      <c r="V448" s="251">
        <f>IF(V$4&gt;DAY(EOMONTH(DATE($D$2,$B$2,1),0)),"",IFERROR(SUMIFS(DATA_GOC!$H:$H,DATA_GOC!$A:$A,"BOM",DATA_GOC!$D:$D,$B448,DATA_GOC!$E:$E,"Dầu số",DATA_GOC!$F:$F,"Xuất nội bộ từ téc",DATA_GOC!$B:$B,DATE($D$2,$B$2,V$4)),0))</f>
        <v>0</v>
      </c>
      <c r="W448" s="251">
        <f>IF(W$4&gt;DAY(EOMONTH(DATE($D$2,$B$2,1),0)),"",IFERROR(SUMIFS(DATA_GOC!$H:$H,DATA_GOC!$A:$A,"BOM",DATA_GOC!$D:$D,$B448,DATA_GOC!$E:$E,"Dầu số",DATA_GOC!$F:$F,"Xuất nội bộ từ téc",DATA_GOC!$B:$B,DATE($D$2,$B$2,W$4)),0))</f>
        <v>0</v>
      </c>
      <c r="X448" s="251">
        <f>IF(X$4&gt;DAY(EOMONTH(DATE($D$2,$B$2,1),0)),"",IFERROR(SUMIFS(DATA_GOC!$H:$H,DATA_GOC!$A:$A,"BOM",DATA_GOC!$D:$D,$B448,DATA_GOC!$E:$E,"Dầu số",DATA_GOC!$F:$F,"Xuất nội bộ từ téc",DATA_GOC!$B:$B,DATE($D$2,$B$2,X$4)),0))</f>
        <v>0</v>
      </c>
      <c r="Y448" s="251">
        <f>IF(Y$4&gt;DAY(EOMONTH(DATE($D$2,$B$2,1),0)),"",IFERROR(SUMIFS(DATA_GOC!$H:$H,DATA_GOC!$A:$A,"BOM",DATA_GOC!$D:$D,$B448,DATA_GOC!$E:$E,"Dầu số",DATA_GOC!$F:$F,"Xuất nội bộ từ téc",DATA_GOC!$B:$B,DATE($D$2,$B$2,Y$4)),0))</f>
        <v>0</v>
      </c>
      <c r="Z448" s="251">
        <f>IF(Z$4&gt;DAY(EOMONTH(DATE($D$2,$B$2,1),0)),"",IFERROR(SUMIFS(DATA_GOC!$H:$H,DATA_GOC!$A:$A,"BOM",DATA_GOC!$D:$D,$B448,DATA_GOC!$E:$E,"Dầu số",DATA_GOC!$F:$F,"Xuất nội bộ từ téc",DATA_GOC!$B:$B,DATE($D$2,$B$2,Z$4)),0))</f>
        <v>0</v>
      </c>
      <c r="AA448" s="251">
        <f>IF(AA$4&gt;DAY(EOMONTH(DATE($D$2,$B$2,1),0)),"",IFERROR(SUMIFS(DATA_GOC!$H:$H,DATA_GOC!$A:$A,"BOM",DATA_GOC!$D:$D,$B448,DATA_GOC!$E:$E,"Dầu số",DATA_GOC!$F:$F,"Xuất nội bộ từ téc",DATA_GOC!$B:$B,DATE($D$2,$B$2,AA$4)),0))</f>
        <v>0</v>
      </c>
      <c r="AB448" s="251">
        <f>IF(AB$4&gt;DAY(EOMONTH(DATE($D$2,$B$2,1),0)),"",IFERROR(SUMIFS(DATA_GOC!$H:$H,DATA_GOC!$A:$A,"BOM",DATA_GOC!$D:$D,$B448,DATA_GOC!$E:$E,"Dầu số",DATA_GOC!$F:$F,"Xuất nội bộ từ téc",DATA_GOC!$B:$B,DATE($D$2,$B$2,AB$4)),0))</f>
        <v>0</v>
      </c>
      <c r="AC448" s="251">
        <f>IF(AC$4&gt;DAY(EOMONTH(DATE($D$2,$B$2,1),0)),"",IFERROR(SUMIFS(DATA_GOC!$H:$H,DATA_GOC!$A:$A,"BOM",DATA_GOC!$D:$D,$B448,DATA_GOC!$E:$E,"Dầu số",DATA_GOC!$F:$F,"Xuất nội bộ từ téc",DATA_GOC!$B:$B,DATE($D$2,$B$2,AC$4)),0))</f>
        <v>0</v>
      </c>
      <c r="AD448" s="251">
        <f>IF(AD$4&gt;DAY(EOMONTH(DATE($D$2,$B$2,1),0)),"",IFERROR(SUMIFS(DATA_GOC!$H:$H,DATA_GOC!$A:$A,"BOM",DATA_GOC!$D:$D,$B448,DATA_GOC!$E:$E,"Dầu số",DATA_GOC!$F:$F,"Xuất nội bộ từ téc",DATA_GOC!$B:$B,DATE($D$2,$B$2,AD$4)),0))</f>
        <v>0</v>
      </c>
      <c r="AE448" s="251">
        <f>IF(AE$4&gt;DAY(EOMONTH(DATE($D$2,$B$2,1),0)),"",IFERROR(SUMIFS(DATA_GOC!$H:$H,DATA_GOC!$A:$A,"BOM",DATA_GOC!$D:$D,$B448,DATA_GOC!$E:$E,"Dầu số",DATA_GOC!$F:$F,"Xuất nội bộ từ téc",DATA_GOC!$B:$B,DATE($D$2,$B$2,AE$4)),0))</f>
        <v>0</v>
      </c>
      <c r="AF448" s="251">
        <f>IF(AF$4&gt;DAY(EOMONTH(DATE($D$2,$B$2,1),0)),"",IFERROR(SUMIFS(DATA_GOC!$H:$H,DATA_GOC!$A:$A,"BOM",DATA_GOC!$D:$D,$B448,DATA_GOC!$E:$E,"Dầu số",DATA_GOC!$F:$F,"Xuất nội bộ từ téc",DATA_GOC!$B:$B,DATE($D$2,$B$2,AF$4)),0))</f>
        <v>0</v>
      </c>
      <c r="AG448" s="251">
        <f>IF(AG$4&gt;DAY(EOMONTH(DATE($D$2,$B$2,1),0)),"",IFERROR(SUMIFS(DATA_GOC!$H:$H,DATA_GOC!$A:$A,"BOM",DATA_GOC!$D:$D,$B448,DATA_GOC!$E:$E,"Dầu số",DATA_GOC!$F:$F,"Xuất nội bộ từ téc",DATA_GOC!$B:$B,DATE($D$2,$B$2,AG$4)),0))</f>
        <v>0</v>
      </c>
      <c r="AH448" s="252">
        <f t="shared" si="22"/>
        <v>0</v>
      </c>
      <c r="AI448" s="241"/>
      <c r="AJ448" s="242">
        <f>IF($B448="","",SUMIFS(TINH_TEC!$K$233:$K$9232,TINH_TEC!$H$233:$H$9232,$B448,TINH_TEC!$C$233:$C$9232,"Dầu số",TINH_TEC!$F$233:$F$9232,$B$2,TINH_TEC!$G$233:$G$9232,$D$2,TINH_TEC!$B$233:$B$9232,"Đã chốt"))</f>
        <v>0</v>
      </c>
      <c r="AK448" s="242">
        <f>IF($B448="","",SUMIFS(TINH_TEC!$J$233:$J$9232,TINH_TEC!$H$233:$H$9232,$B448,TINH_TEC!$C$233:$C$9232,"Dầu số",TINH_TEC!$F$233:$F$9232,$B$2,TINH_TEC!$G$233:$G$9232,$D$2,TINH_TEC!$B$233:$B$9232,"Đã chốt"))</f>
        <v>0</v>
      </c>
      <c r="AL448" s="242">
        <f t="shared" si="23"/>
        <v>0</v>
      </c>
    </row>
    <row r="449" ht="15.75" customHeight="1">
      <c r="A449" s="237">
        <f>IF($B449&lt;&gt;"",17,"")</f>
        <v>17</v>
      </c>
      <c r="B449" s="250" t="str">
        <f t="array" ref="B449">IFERROR(INDEX(DANH_MUC!$E:$E,20),"")</f>
        <v>28C03261</v>
      </c>
      <c r="C449" s="251">
        <f>IF(C$4&gt;DAY(EOMONTH(DATE($D$2,$B$2,1),0)),"",IFERROR(SUMIFS(DATA_GOC!$H:$H,DATA_GOC!$A:$A,"BOM",DATA_GOC!$D:$D,$B449,DATA_GOC!$E:$E,"Dầu số",DATA_GOC!$F:$F,"Xuất nội bộ từ téc",DATA_GOC!$B:$B,DATE($D$2,$B$2,C$4)),0))</f>
        <v>0</v>
      </c>
      <c r="D449" s="251">
        <f>IF(D$4&gt;DAY(EOMONTH(DATE($D$2,$B$2,1),0)),"",IFERROR(SUMIFS(DATA_GOC!$H:$H,DATA_GOC!$A:$A,"BOM",DATA_GOC!$D:$D,$B449,DATA_GOC!$E:$E,"Dầu số",DATA_GOC!$F:$F,"Xuất nội bộ từ téc",DATA_GOC!$B:$B,DATE($D$2,$B$2,D$4)),0))</f>
        <v>0</v>
      </c>
      <c r="E449" s="251">
        <f>IF(E$4&gt;DAY(EOMONTH(DATE($D$2,$B$2,1),0)),"",IFERROR(SUMIFS(DATA_GOC!$H:$H,DATA_GOC!$A:$A,"BOM",DATA_GOC!$D:$D,$B449,DATA_GOC!$E:$E,"Dầu số",DATA_GOC!$F:$F,"Xuất nội bộ từ téc",DATA_GOC!$B:$B,DATE($D$2,$B$2,E$4)),0))</f>
        <v>0</v>
      </c>
      <c r="F449" s="251">
        <f>IF(F$4&gt;DAY(EOMONTH(DATE($D$2,$B$2,1),0)),"",IFERROR(SUMIFS(DATA_GOC!$H:$H,DATA_GOC!$A:$A,"BOM",DATA_GOC!$D:$D,$B449,DATA_GOC!$E:$E,"Dầu số",DATA_GOC!$F:$F,"Xuất nội bộ từ téc",DATA_GOC!$B:$B,DATE($D$2,$B$2,F$4)),0))</f>
        <v>0</v>
      </c>
      <c r="G449" s="251">
        <f>IF(G$4&gt;DAY(EOMONTH(DATE($D$2,$B$2,1),0)),"",IFERROR(SUMIFS(DATA_GOC!$H:$H,DATA_GOC!$A:$A,"BOM",DATA_GOC!$D:$D,$B449,DATA_GOC!$E:$E,"Dầu số",DATA_GOC!$F:$F,"Xuất nội bộ từ téc",DATA_GOC!$B:$B,DATE($D$2,$B$2,G$4)),0))</f>
        <v>0</v>
      </c>
      <c r="H449" s="251">
        <f>IF(H$4&gt;DAY(EOMONTH(DATE($D$2,$B$2,1),0)),"",IFERROR(SUMIFS(DATA_GOC!$H:$H,DATA_GOC!$A:$A,"BOM",DATA_GOC!$D:$D,$B449,DATA_GOC!$E:$E,"Dầu số",DATA_GOC!$F:$F,"Xuất nội bộ từ téc",DATA_GOC!$B:$B,DATE($D$2,$B$2,H$4)),0))</f>
        <v>0</v>
      </c>
      <c r="I449" s="251">
        <f>IF(I$4&gt;DAY(EOMONTH(DATE($D$2,$B$2,1),0)),"",IFERROR(SUMIFS(DATA_GOC!$H:$H,DATA_GOC!$A:$A,"BOM",DATA_GOC!$D:$D,$B449,DATA_GOC!$E:$E,"Dầu số",DATA_GOC!$F:$F,"Xuất nội bộ từ téc",DATA_GOC!$B:$B,DATE($D$2,$B$2,I$4)),0))</f>
        <v>0</v>
      </c>
      <c r="J449" s="251">
        <f>IF(J$4&gt;DAY(EOMONTH(DATE($D$2,$B$2,1),0)),"",IFERROR(SUMIFS(DATA_GOC!$H:$H,DATA_GOC!$A:$A,"BOM",DATA_GOC!$D:$D,$B449,DATA_GOC!$E:$E,"Dầu số",DATA_GOC!$F:$F,"Xuất nội bộ từ téc",DATA_GOC!$B:$B,DATE($D$2,$B$2,J$4)),0))</f>
        <v>0</v>
      </c>
      <c r="K449" s="251">
        <f>IF(K$4&gt;DAY(EOMONTH(DATE($D$2,$B$2,1),0)),"",IFERROR(SUMIFS(DATA_GOC!$H:$H,DATA_GOC!$A:$A,"BOM",DATA_GOC!$D:$D,$B449,DATA_GOC!$E:$E,"Dầu số",DATA_GOC!$F:$F,"Xuất nội bộ từ téc",DATA_GOC!$B:$B,DATE($D$2,$B$2,K$4)),0))</f>
        <v>0</v>
      </c>
      <c r="L449" s="251">
        <f>IF(L$4&gt;DAY(EOMONTH(DATE($D$2,$B$2,1),0)),"",IFERROR(SUMIFS(DATA_GOC!$H:$H,DATA_GOC!$A:$A,"BOM",DATA_GOC!$D:$D,$B449,DATA_GOC!$E:$E,"Dầu số",DATA_GOC!$F:$F,"Xuất nội bộ từ téc",DATA_GOC!$B:$B,DATE($D$2,$B$2,L$4)),0))</f>
        <v>0</v>
      </c>
      <c r="M449" s="251">
        <f>IF(M$4&gt;DAY(EOMONTH(DATE($D$2,$B$2,1),0)),"",IFERROR(SUMIFS(DATA_GOC!$H:$H,DATA_GOC!$A:$A,"BOM",DATA_GOC!$D:$D,$B449,DATA_GOC!$E:$E,"Dầu số",DATA_GOC!$F:$F,"Xuất nội bộ từ téc",DATA_GOC!$B:$B,DATE($D$2,$B$2,M$4)),0))</f>
        <v>0</v>
      </c>
      <c r="N449" s="251">
        <f>IF(N$4&gt;DAY(EOMONTH(DATE($D$2,$B$2,1),0)),"",IFERROR(SUMIFS(DATA_GOC!$H:$H,DATA_GOC!$A:$A,"BOM",DATA_GOC!$D:$D,$B449,DATA_GOC!$E:$E,"Dầu số",DATA_GOC!$F:$F,"Xuất nội bộ từ téc",DATA_GOC!$B:$B,DATE($D$2,$B$2,N$4)),0))</f>
        <v>0</v>
      </c>
      <c r="O449" s="251">
        <f>IF(O$4&gt;DAY(EOMONTH(DATE($D$2,$B$2,1),0)),"",IFERROR(SUMIFS(DATA_GOC!$H:$H,DATA_GOC!$A:$A,"BOM",DATA_GOC!$D:$D,$B449,DATA_GOC!$E:$E,"Dầu số",DATA_GOC!$F:$F,"Xuất nội bộ từ téc",DATA_GOC!$B:$B,DATE($D$2,$B$2,O$4)),0))</f>
        <v>0</v>
      </c>
      <c r="P449" s="251">
        <f>IF(P$4&gt;DAY(EOMONTH(DATE($D$2,$B$2,1),0)),"",IFERROR(SUMIFS(DATA_GOC!$H:$H,DATA_GOC!$A:$A,"BOM",DATA_GOC!$D:$D,$B449,DATA_GOC!$E:$E,"Dầu số",DATA_GOC!$F:$F,"Xuất nội bộ từ téc",DATA_GOC!$B:$B,DATE($D$2,$B$2,P$4)),0))</f>
        <v>0</v>
      </c>
      <c r="Q449" s="251">
        <f>IF(Q$4&gt;DAY(EOMONTH(DATE($D$2,$B$2,1),0)),"",IFERROR(SUMIFS(DATA_GOC!$H:$H,DATA_GOC!$A:$A,"BOM",DATA_GOC!$D:$D,$B449,DATA_GOC!$E:$E,"Dầu số",DATA_GOC!$F:$F,"Xuất nội bộ từ téc",DATA_GOC!$B:$B,DATE($D$2,$B$2,Q$4)),0))</f>
        <v>0</v>
      </c>
      <c r="R449" s="251">
        <f>IF(R$4&gt;DAY(EOMONTH(DATE($D$2,$B$2,1),0)),"",IFERROR(SUMIFS(DATA_GOC!$H:$H,DATA_GOC!$A:$A,"BOM",DATA_GOC!$D:$D,$B449,DATA_GOC!$E:$E,"Dầu số",DATA_GOC!$F:$F,"Xuất nội bộ từ téc",DATA_GOC!$B:$B,DATE($D$2,$B$2,R$4)),0))</f>
        <v>0</v>
      </c>
      <c r="S449" s="251">
        <f>IF(S$4&gt;DAY(EOMONTH(DATE($D$2,$B$2,1),0)),"",IFERROR(SUMIFS(DATA_GOC!$H:$H,DATA_GOC!$A:$A,"BOM",DATA_GOC!$D:$D,$B449,DATA_GOC!$E:$E,"Dầu số",DATA_GOC!$F:$F,"Xuất nội bộ từ téc",DATA_GOC!$B:$B,DATE($D$2,$B$2,S$4)),0))</f>
        <v>0</v>
      </c>
      <c r="T449" s="251">
        <f>IF(T$4&gt;DAY(EOMONTH(DATE($D$2,$B$2,1),0)),"",IFERROR(SUMIFS(DATA_GOC!$H:$H,DATA_GOC!$A:$A,"BOM",DATA_GOC!$D:$D,$B449,DATA_GOC!$E:$E,"Dầu số",DATA_GOC!$F:$F,"Xuất nội bộ từ téc",DATA_GOC!$B:$B,DATE($D$2,$B$2,T$4)),0))</f>
        <v>0</v>
      </c>
      <c r="U449" s="251">
        <f>IF(U$4&gt;DAY(EOMONTH(DATE($D$2,$B$2,1),0)),"",IFERROR(SUMIFS(DATA_GOC!$H:$H,DATA_GOC!$A:$A,"BOM",DATA_GOC!$D:$D,$B449,DATA_GOC!$E:$E,"Dầu số",DATA_GOC!$F:$F,"Xuất nội bộ từ téc",DATA_GOC!$B:$B,DATE($D$2,$B$2,U$4)),0))</f>
        <v>0</v>
      </c>
      <c r="V449" s="251">
        <f>IF(V$4&gt;DAY(EOMONTH(DATE($D$2,$B$2,1),0)),"",IFERROR(SUMIFS(DATA_GOC!$H:$H,DATA_GOC!$A:$A,"BOM",DATA_GOC!$D:$D,$B449,DATA_GOC!$E:$E,"Dầu số",DATA_GOC!$F:$F,"Xuất nội bộ từ téc",DATA_GOC!$B:$B,DATE($D$2,$B$2,V$4)),0))</f>
        <v>0</v>
      </c>
      <c r="W449" s="251">
        <f>IF(W$4&gt;DAY(EOMONTH(DATE($D$2,$B$2,1),0)),"",IFERROR(SUMIFS(DATA_GOC!$H:$H,DATA_GOC!$A:$A,"BOM",DATA_GOC!$D:$D,$B449,DATA_GOC!$E:$E,"Dầu số",DATA_GOC!$F:$F,"Xuất nội bộ từ téc",DATA_GOC!$B:$B,DATE($D$2,$B$2,W$4)),0))</f>
        <v>0</v>
      </c>
      <c r="X449" s="251">
        <f>IF(X$4&gt;DAY(EOMONTH(DATE($D$2,$B$2,1),0)),"",IFERROR(SUMIFS(DATA_GOC!$H:$H,DATA_GOC!$A:$A,"BOM",DATA_GOC!$D:$D,$B449,DATA_GOC!$E:$E,"Dầu số",DATA_GOC!$F:$F,"Xuất nội bộ từ téc",DATA_GOC!$B:$B,DATE($D$2,$B$2,X$4)),0))</f>
        <v>0</v>
      </c>
      <c r="Y449" s="251">
        <f>IF(Y$4&gt;DAY(EOMONTH(DATE($D$2,$B$2,1),0)),"",IFERROR(SUMIFS(DATA_GOC!$H:$H,DATA_GOC!$A:$A,"BOM",DATA_GOC!$D:$D,$B449,DATA_GOC!$E:$E,"Dầu số",DATA_GOC!$F:$F,"Xuất nội bộ từ téc",DATA_GOC!$B:$B,DATE($D$2,$B$2,Y$4)),0))</f>
        <v>0</v>
      </c>
      <c r="Z449" s="251">
        <f>IF(Z$4&gt;DAY(EOMONTH(DATE($D$2,$B$2,1),0)),"",IFERROR(SUMIFS(DATA_GOC!$H:$H,DATA_GOC!$A:$A,"BOM",DATA_GOC!$D:$D,$B449,DATA_GOC!$E:$E,"Dầu số",DATA_GOC!$F:$F,"Xuất nội bộ từ téc",DATA_GOC!$B:$B,DATE($D$2,$B$2,Z$4)),0))</f>
        <v>0</v>
      </c>
      <c r="AA449" s="251">
        <f>IF(AA$4&gt;DAY(EOMONTH(DATE($D$2,$B$2,1),0)),"",IFERROR(SUMIFS(DATA_GOC!$H:$H,DATA_GOC!$A:$A,"BOM",DATA_GOC!$D:$D,$B449,DATA_GOC!$E:$E,"Dầu số",DATA_GOC!$F:$F,"Xuất nội bộ từ téc",DATA_GOC!$B:$B,DATE($D$2,$B$2,AA$4)),0))</f>
        <v>0</v>
      </c>
      <c r="AB449" s="251">
        <f>IF(AB$4&gt;DAY(EOMONTH(DATE($D$2,$B$2,1),0)),"",IFERROR(SUMIFS(DATA_GOC!$H:$H,DATA_GOC!$A:$A,"BOM",DATA_GOC!$D:$D,$B449,DATA_GOC!$E:$E,"Dầu số",DATA_GOC!$F:$F,"Xuất nội bộ từ téc",DATA_GOC!$B:$B,DATE($D$2,$B$2,AB$4)),0))</f>
        <v>0</v>
      </c>
      <c r="AC449" s="251">
        <f>IF(AC$4&gt;DAY(EOMONTH(DATE($D$2,$B$2,1),0)),"",IFERROR(SUMIFS(DATA_GOC!$H:$H,DATA_GOC!$A:$A,"BOM",DATA_GOC!$D:$D,$B449,DATA_GOC!$E:$E,"Dầu số",DATA_GOC!$F:$F,"Xuất nội bộ từ téc",DATA_GOC!$B:$B,DATE($D$2,$B$2,AC$4)),0))</f>
        <v>0</v>
      </c>
      <c r="AD449" s="251">
        <f>IF(AD$4&gt;DAY(EOMONTH(DATE($D$2,$B$2,1),0)),"",IFERROR(SUMIFS(DATA_GOC!$H:$H,DATA_GOC!$A:$A,"BOM",DATA_GOC!$D:$D,$B449,DATA_GOC!$E:$E,"Dầu số",DATA_GOC!$F:$F,"Xuất nội bộ từ téc",DATA_GOC!$B:$B,DATE($D$2,$B$2,AD$4)),0))</f>
        <v>0</v>
      </c>
      <c r="AE449" s="251">
        <f>IF(AE$4&gt;DAY(EOMONTH(DATE($D$2,$B$2,1),0)),"",IFERROR(SUMIFS(DATA_GOC!$H:$H,DATA_GOC!$A:$A,"BOM",DATA_GOC!$D:$D,$B449,DATA_GOC!$E:$E,"Dầu số",DATA_GOC!$F:$F,"Xuất nội bộ từ téc",DATA_GOC!$B:$B,DATE($D$2,$B$2,AE$4)),0))</f>
        <v>0</v>
      </c>
      <c r="AF449" s="251">
        <f>IF(AF$4&gt;DAY(EOMONTH(DATE($D$2,$B$2,1),0)),"",IFERROR(SUMIFS(DATA_GOC!$H:$H,DATA_GOC!$A:$A,"BOM",DATA_GOC!$D:$D,$B449,DATA_GOC!$E:$E,"Dầu số",DATA_GOC!$F:$F,"Xuất nội bộ từ téc",DATA_GOC!$B:$B,DATE($D$2,$B$2,AF$4)),0))</f>
        <v>0</v>
      </c>
      <c r="AG449" s="251">
        <f>IF(AG$4&gt;DAY(EOMONTH(DATE($D$2,$B$2,1),0)),"",IFERROR(SUMIFS(DATA_GOC!$H:$H,DATA_GOC!$A:$A,"BOM",DATA_GOC!$D:$D,$B449,DATA_GOC!$E:$E,"Dầu số",DATA_GOC!$F:$F,"Xuất nội bộ từ téc",DATA_GOC!$B:$B,DATE($D$2,$B$2,AG$4)),0))</f>
        <v>0</v>
      </c>
      <c r="AH449" s="252">
        <f t="shared" si="22"/>
        <v>0</v>
      </c>
      <c r="AI449" s="241"/>
      <c r="AJ449" s="242">
        <f>IF($B449="","",SUMIFS(TINH_TEC!$K$233:$K$9232,TINH_TEC!$H$233:$H$9232,$B449,TINH_TEC!$C$233:$C$9232,"Dầu số",TINH_TEC!$F$233:$F$9232,$B$2,TINH_TEC!$G$233:$G$9232,$D$2,TINH_TEC!$B$233:$B$9232,"Đã chốt"))</f>
        <v>0</v>
      </c>
      <c r="AK449" s="242">
        <f>IF($B449="","",SUMIFS(TINH_TEC!$J$233:$J$9232,TINH_TEC!$H$233:$H$9232,$B449,TINH_TEC!$C$233:$C$9232,"Dầu số",TINH_TEC!$F$233:$F$9232,$B$2,TINH_TEC!$G$233:$G$9232,$D$2,TINH_TEC!$B$233:$B$9232,"Đã chốt"))</f>
        <v>0</v>
      </c>
      <c r="AL449" s="242">
        <f t="shared" si="23"/>
        <v>0</v>
      </c>
    </row>
    <row r="450" ht="15.75" customHeight="1">
      <c r="A450" s="237">
        <f>IF($B450&lt;&gt;"",18,"")</f>
        <v>18</v>
      </c>
      <c r="B450" s="250" t="str">
        <f t="array" ref="B450">IFERROR(INDEX(DANH_MUC!$E:$E,21),"")</f>
        <v>28C03323</v>
      </c>
      <c r="C450" s="251">
        <f>IF(C$4&gt;DAY(EOMONTH(DATE($D$2,$B$2,1),0)),"",IFERROR(SUMIFS(DATA_GOC!$H:$H,DATA_GOC!$A:$A,"BOM",DATA_GOC!$D:$D,$B450,DATA_GOC!$E:$E,"Dầu số",DATA_GOC!$F:$F,"Xuất nội bộ từ téc",DATA_GOC!$B:$B,DATE($D$2,$B$2,C$4)),0))</f>
        <v>0</v>
      </c>
      <c r="D450" s="251">
        <f>IF(D$4&gt;DAY(EOMONTH(DATE($D$2,$B$2,1),0)),"",IFERROR(SUMIFS(DATA_GOC!$H:$H,DATA_GOC!$A:$A,"BOM",DATA_GOC!$D:$D,$B450,DATA_GOC!$E:$E,"Dầu số",DATA_GOC!$F:$F,"Xuất nội bộ từ téc",DATA_GOC!$B:$B,DATE($D$2,$B$2,D$4)),0))</f>
        <v>0</v>
      </c>
      <c r="E450" s="251">
        <f>IF(E$4&gt;DAY(EOMONTH(DATE($D$2,$B$2,1),0)),"",IFERROR(SUMIFS(DATA_GOC!$H:$H,DATA_GOC!$A:$A,"BOM",DATA_GOC!$D:$D,$B450,DATA_GOC!$E:$E,"Dầu số",DATA_GOC!$F:$F,"Xuất nội bộ từ téc",DATA_GOC!$B:$B,DATE($D$2,$B$2,E$4)),0))</f>
        <v>0</v>
      </c>
      <c r="F450" s="251">
        <f>IF(F$4&gt;DAY(EOMONTH(DATE($D$2,$B$2,1),0)),"",IFERROR(SUMIFS(DATA_GOC!$H:$H,DATA_GOC!$A:$A,"BOM",DATA_GOC!$D:$D,$B450,DATA_GOC!$E:$E,"Dầu số",DATA_GOC!$F:$F,"Xuất nội bộ từ téc",DATA_GOC!$B:$B,DATE($D$2,$B$2,F$4)),0))</f>
        <v>0</v>
      </c>
      <c r="G450" s="251">
        <f>IF(G$4&gt;DAY(EOMONTH(DATE($D$2,$B$2,1),0)),"",IFERROR(SUMIFS(DATA_GOC!$H:$H,DATA_GOC!$A:$A,"BOM",DATA_GOC!$D:$D,$B450,DATA_GOC!$E:$E,"Dầu số",DATA_GOC!$F:$F,"Xuất nội bộ từ téc",DATA_GOC!$B:$B,DATE($D$2,$B$2,G$4)),0))</f>
        <v>0</v>
      </c>
      <c r="H450" s="251">
        <f>IF(H$4&gt;DAY(EOMONTH(DATE($D$2,$B$2,1),0)),"",IFERROR(SUMIFS(DATA_GOC!$H:$H,DATA_GOC!$A:$A,"BOM",DATA_GOC!$D:$D,$B450,DATA_GOC!$E:$E,"Dầu số",DATA_GOC!$F:$F,"Xuất nội bộ từ téc",DATA_GOC!$B:$B,DATE($D$2,$B$2,H$4)),0))</f>
        <v>0</v>
      </c>
      <c r="I450" s="251">
        <f>IF(I$4&gt;DAY(EOMONTH(DATE($D$2,$B$2,1),0)),"",IFERROR(SUMIFS(DATA_GOC!$H:$H,DATA_GOC!$A:$A,"BOM",DATA_GOC!$D:$D,$B450,DATA_GOC!$E:$E,"Dầu số",DATA_GOC!$F:$F,"Xuất nội bộ từ téc",DATA_GOC!$B:$B,DATE($D$2,$B$2,I$4)),0))</f>
        <v>0</v>
      </c>
      <c r="J450" s="251">
        <f>IF(J$4&gt;DAY(EOMONTH(DATE($D$2,$B$2,1),0)),"",IFERROR(SUMIFS(DATA_GOC!$H:$H,DATA_GOC!$A:$A,"BOM",DATA_GOC!$D:$D,$B450,DATA_GOC!$E:$E,"Dầu số",DATA_GOC!$F:$F,"Xuất nội bộ từ téc",DATA_GOC!$B:$B,DATE($D$2,$B$2,J$4)),0))</f>
        <v>0</v>
      </c>
      <c r="K450" s="251">
        <f>IF(K$4&gt;DAY(EOMONTH(DATE($D$2,$B$2,1),0)),"",IFERROR(SUMIFS(DATA_GOC!$H:$H,DATA_GOC!$A:$A,"BOM",DATA_GOC!$D:$D,$B450,DATA_GOC!$E:$E,"Dầu số",DATA_GOC!$F:$F,"Xuất nội bộ từ téc",DATA_GOC!$B:$B,DATE($D$2,$B$2,K$4)),0))</f>
        <v>0</v>
      </c>
      <c r="L450" s="251">
        <f>IF(L$4&gt;DAY(EOMONTH(DATE($D$2,$B$2,1),0)),"",IFERROR(SUMIFS(DATA_GOC!$H:$H,DATA_GOC!$A:$A,"BOM",DATA_GOC!$D:$D,$B450,DATA_GOC!$E:$E,"Dầu số",DATA_GOC!$F:$F,"Xuất nội bộ từ téc",DATA_GOC!$B:$B,DATE($D$2,$B$2,L$4)),0))</f>
        <v>0</v>
      </c>
      <c r="M450" s="251">
        <f>IF(M$4&gt;DAY(EOMONTH(DATE($D$2,$B$2,1),0)),"",IFERROR(SUMIFS(DATA_GOC!$H:$H,DATA_GOC!$A:$A,"BOM",DATA_GOC!$D:$D,$B450,DATA_GOC!$E:$E,"Dầu số",DATA_GOC!$F:$F,"Xuất nội bộ từ téc",DATA_GOC!$B:$B,DATE($D$2,$B$2,M$4)),0))</f>
        <v>0</v>
      </c>
      <c r="N450" s="251">
        <f>IF(N$4&gt;DAY(EOMONTH(DATE($D$2,$B$2,1),0)),"",IFERROR(SUMIFS(DATA_GOC!$H:$H,DATA_GOC!$A:$A,"BOM",DATA_GOC!$D:$D,$B450,DATA_GOC!$E:$E,"Dầu số",DATA_GOC!$F:$F,"Xuất nội bộ từ téc",DATA_GOC!$B:$B,DATE($D$2,$B$2,N$4)),0))</f>
        <v>0</v>
      </c>
      <c r="O450" s="251">
        <f>IF(O$4&gt;DAY(EOMONTH(DATE($D$2,$B$2,1),0)),"",IFERROR(SUMIFS(DATA_GOC!$H:$H,DATA_GOC!$A:$A,"BOM",DATA_GOC!$D:$D,$B450,DATA_GOC!$E:$E,"Dầu số",DATA_GOC!$F:$F,"Xuất nội bộ từ téc",DATA_GOC!$B:$B,DATE($D$2,$B$2,O$4)),0))</f>
        <v>0</v>
      </c>
      <c r="P450" s="251">
        <f>IF(P$4&gt;DAY(EOMONTH(DATE($D$2,$B$2,1),0)),"",IFERROR(SUMIFS(DATA_GOC!$H:$H,DATA_GOC!$A:$A,"BOM",DATA_GOC!$D:$D,$B450,DATA_GOC!$E:$E,"Dầu số",DATA_GOC!$F:$F,"Xuất nội bộ từ téc",DATA_GOC!$B:$B,DATE($D$2,$B$2,P$4)),0))</f>
        <v>0</v>
      </c>
      <c r="Q450" s="251">
        <f>IF(Q$4&gt;DAY(EOMONTH(DATE($D$2,$B$2,1),0)),"",IFERROR(SUMIFS(DATA_GOC!$H:$H,DATA_GOC!$A:$A,"BOM",DATA_GOC!$D:$D,$B450,DATA_GOC!$E:$E,"Dầu số",DATA_GOC!$F:$F,"Xuất nội bộ từ téc",DATA_GOC!$B:$B,DATE($D$2,$B$2,Q$4)),0))</f>
        <v>0</v>
      </c>
      <c r="R450" s="251">
        <f>IF(R$4&gt;DAY(EOMONTH(DATE($D$2,$B$2,1),0)),"",IFERROR(SUMIFS(DATA_GOC!$H:$H,DATA_GOC!$A:$A,"BOM",DATA_GOC!$D:$D,$B450,DATA_GOC!$E:$E,"Dầu số",DATA_GOC!$F:$F,"Xuất nội bộ từ téc",DATA_GOC!$B:$B,DATE($D$2,$B$2,R$4)),0))</f>
        <v>0</v>
      </c>
      <c r="S450" s="251">
        <f>IF(S$4&gt;DAY(EOMONTH(DATE($D$2,$B$2,1),0)),"",IFERROR(SUMIFS(DATA_GOC!$H:$H,DATA_GOC!$A:$A,"BOM",DATA_GOC!$D:$D,$B450,DATA_GOC!$E:$E,"Dầu số",DATA_GOC!$F:$F,"Xuất nội bộ từ téc",DATA_GOC!$B:$B,DATE($D$2,$B$2,S$4)),0))</f>
        <v>0</v>
      </c>
      <c r="T450" s="251">
        <f>IF(T$4&gt;DAY(EOMONTH(DATE($D$2,$B$2,1),0)),"",IFERROR(SUMIFS(DATA_GOC!$H:$H,DATA_GOC!$A:$A,"BOM",DATA_GOC!$D:$D,$B450,DATA_GOC!$E:$E,"Dầu số",DATA_GOC!$F:$F,"Xuất nội bộ từ téc",DATA_GOC!$B:$B,DATE($D$2,$B$2,T$4)),0))</f>
        <v>0</v>
      </c>
      <c r="U450" s="251">
        <f>IF(U$4&gt;DAY(EOMONTH(DATE($D$2,$B$2,1),0)),"",IFERROR(SUMIFS(DATA_GOC!$H:$H,DATA_GOC!$A:$A,"BOM",DATA_GOC!$D:$D,$B450,DATA_GOC!$E:$E,"Dầu số",DATA_GOC!$F:$F,"Xuất nội bộ từ téc",DATA_GOC!$B:$B,DATE($D$2,$B$2,U$4)),0))</f>
        <v>0</v>
      </c>
      <c r="V450" s="251">
        <f>IF(V$4&gt;DAY(EOMONTH(DATE($D$2,$B$2,1),0)),"",IFERROR(SUMIFS(DATA_GOC!$H:$H,DATA_GOC!$A:$A,"BOM",DATA_GOC!$D:$D,$B450,DATA_GOC!$E:$E,"Dầu số",DATA_GOC!$F:$F,"Xuất nội bộ từ téc",DATA_GOC!$B:$B,DATE($D$2,$B$2,V$4)),0))</f>
        <v>0</v>
      </c>
      <c r="W450" s="251">
        <f>IF(W$4&gt;DAY(EOMONTH(DATE($D$2,$B$2,1),0)),"",IFERROR(SUMIFS(DATA_GOC!$H:$H,DATA_GOC!$A:$A,"BOM",DATA_GOC!$D:$D,$B450,DATA_GOC!$E:$E,"Dầu số",DATA_GOC!$F:$F,"Xuất nội bộ từ téc",DATA_GOC!$B:$B,DATE($D$2,$B$2,W$4)),0))</f>
        <v>0</v>
      </c>
      <c r="X450" s="251">
        <f>IF(X$4&gt;DAY(EOMONTH(DATE($D$2,$B$2,1),0)),"",IFERROR(SUMIFS(DATA_GOC!$H:$H,DATA_GOC!$A:$A,"BOM",DATA_GOC!$D:$D,$B450,DATA_GOC!$E:$E,"Dầu số",DATA_GOC!$F:$F,"Xuất nội bộ từ téc",DATA_GOC!$B:$B,DATE($D$2,$B$2,X$4)),0))</f>
        <v>0</v>
      </c>
      <c r="Y450" s="251">
        <f>IF(Y$4&gt;DAY(EOMONTH(DATE($D$2,$B$2,1),0)),"",IFERROR(SUMIFS(DATA_GOC!$H:$H,DATA_GOC!$A:$A,"BOM",DATA_GOC!$D:$D,$B450,DATA_GOC!$E:$E,"Dầu số",DATA_GOC!$F:$F,"Xuất nội bộ từ téc",DATA_GOC!$B:$B,DATE($D$2,$B$2,Y$4)),0))</f>
        <v>0</v>
      </c>
      <c r="Z450" s="251">
        <f>IF(Z$4&gt;DAY(EOMONTH(DATE($D$2,$B$2,1),0)),"",IFERROR(SUMIFS(DATA_GOC!$H:$H,DATA_GOC!$A:$A,"BOM",DATA_GOC!$D:$D,$B450,DATA_GOC!$E:$E,"Dầu số",DATA_GOC!$F:$F,"Xuất nội bộ từ téc",DATA_GOC!$B:$B,DATE($D$2,$B$2,Z$4)),0))</f>
        <v>0</v>
      </c>
      <c r="AA450" s="251">
        <f>IF(AA$4&gt;DAY(EOMONTH(DATE($D$2,$B$2,1),0)),"",IFERROR(SUMIFS(DATA_GOC!$H:$H,DATA_GOC!$A:$A,"BOM",DATA_GOC!$D:$D,$B450,DATA_GOC!$E:$E,"Dầu số",DATA_GOC!$F:$F,"Xuất nội bộ từ téc",DATA_GOC!$B:$B,DATE($D$2,$B$2,AA$4)),0))</f>
        <v>0</v>
      </c>
      <c r="AB450" s="251">
        <f>IF(AB$4&gt;DAY(EOMONTH(DATE($D$2,$B$2,1),0)),"",IFERROR(SUMIFS(DATA_GOC!$H:$H,DATA_GOC!$A:$A,"BOM",DATA_GOC!$D:$D,$B450,DATA_GOC!$E:$E,"Dầu số",DATA_GOC!$F:$F,"Xuất nội bộ từ téc",DATA_GOC!$B:$B,DATE($D$2,$B$2,AB$4)),0))</f>
        <v>0</v>
      </c>
      <c r="AC450" s="251">
        <f>IF(AC$4&gt;DAY(EOMONTH(DATE($D$2,$B$2,1),0)),"",IFERROR(SUMIFS(DATA_GOC!$H:$H,DATA_GOC!$A:$A,"BOM",DATA_GOC!$D:$D,$B450,DATA_GOC!$E:$E,"Dầu số",DATA_GOC!$F:$F,"Xuất nội bộ từ téc",DATA_GOC!$B:$B,DATE($D$2,$B$2,AC$4)),0))</f>
        <v>0</v>
      </c>
      <c r="AD450" s="251">
        <f>IF(AD$4&gt;DAY(EOMONTH(DATE($D$2,$B$2,1),0)),"",IFERROR(SUMIFS(DATA_GOC!$H:$H,DATA_GOC!$A:$A,"BOM",DATA_GOC!$D:$D,$B450,DATA_GOC!$E:$E,"Dầu số",DATA_GOC!$F:$F,"Xuất nội bộ từ téc",DATA_GOC!$B:$B,DATE($D$2,$B$2,AD$4)),0))</f>
        <v>0</v>
      </c>
      <c r="AE450" s="251">
        <f>IF(AE$4&gt;DAY(EOMONTH(DATE($D$2,$B$2,1),0)),"",IFERROR(SUMIFS(DATA_GOC!$H:$H,DATA_GOC!$A:$A,"BOM",DATA_GOC!$D:$D,$B450,DATA_GOC!$E:$E,"Dầu số",DATA_GOC!$F:$F,"Xuất nội bộ từ téc",DATA_GOC!$B:$B,DATE($D$2,$B$2,AE$4)),0))</f>
        <v>0</v>
      </c>
      <c r="AF450" s="251">
        <f>IF(AF$4&gt;DAY(EOMONTH(DATE($D$2,$B$2,1),0)),"",IFERROR(SUMIFS(DATA_GOC!$H:$H,DATA_GOC!$A:$A,"BOM",DATA_GOC!$D:$D,$B450,DATA_GOC!$E:$E,"Dầu số",DATA_GOC!$F:$F,"Xuất nội bộ từ téc",DATA_GOC!$B:$B,DATE($D$2,$B$2,AF$4)),0))</f>
        <v>0</v>
      </c>
      <c r="AG450" s="251">
        <f>IF(AG$4&gt;DAY(EOMONTH(DATE($D$2,$B$2,1),0)),"",IFERROR(SUMIFS(DATA_GOC!$H:$H,DATA_GOC!$A:$A,"BOM",DATA_GOC!$D:$D,$B450,DATA_GOC!$E:$E,"Dầu số",DATA_GOC!$F:$F,"Xuất nội bộ từ téc",DATA_GOC!$B:$B,DATE($D$2,$B$2,AG$4)),0))</f>
        <v>0</v>
      </c>
      <c r="AH450" s="252">
        <f t="shared" si="22"/>
        <v>0</v>
      </c>
      <c r="AI450" s="241"/>
      <c r="AJ450" s="242">
        <f>IF($B450="","",SUMIFS(TINH_TEC!$K$233:$K$9232,TINH_TEC!$H$233:$H$9232,$B450,TINH_TEC!$C$233:$C$9232,"Dầu số",TINH_TEC!$F$233:$F$9232,$B$2,TINH_TEC!$G$233:$G$9232,$D$2,TINH_TEC!$B$233:$B$9232,"Đã chốt"))</f>
        <v>0</v>
      </c>
      <c r="AK450" s="242">
        <f>IF($B450="","",SUMIFS(TINH_TEC!$J$233:$J$9232,TINH_TEC!$H$233:$H$9232,$B450,TINH_TEC!$C$233:$C$9232,"Dầu số",TINH_TEC!$F$233:$F$9232,$B$2,TINH_TEC!$G$233:$G$9232,$D$2,TINH_TEC!$B$233:$B$9232,"Đã chốt"))</f>
        <v>0</v>
      </c>
      <c r="AL450" s="242">
        <f t="shared" si="23"/>
        <v>0</v>
      </c>
    </row>
    <row r="451" ht="15.75" customHeight="1">
      <c r="A451" s="237">
        <f>IF($B451&lt;&gt;"",19,"")</f>
        <v>19</v>
      </c>
      <c r="B451" s="250" t="str">
        <f t="array" ref="B451">IFERROR(INDEX(DANH_MUC!$E:$E,22),"")</f>
        <v>28C03385</v>
      </c>
      <c r="C451" s="251">
        <f>IF(C$4&gt;DAY(EOMONTH(DATE($D$2,$B$2,1),0)),"",IFERROR(SUMIFS(DATA_GOC!$H:$H,DATA_GOC!$A:$A,"BOM",DATA_GOC!$D:$D,$B451,DATA_GOC!$E:$E,"Dầu số",DATA_GOC!$F:$F,"Xuất nội bộ từ téc",DATA_GOC!$B:$B,DATE($D$2,$B$2,C$4)),0))</f>
        <v>0</v>
      </c>
      <c r="D451" s="251">
        <f>IF(D$4&gt;DAY(EOMONTH(DATE($D$2,$B$2,1),0)),"",IFERROR(SUMIFS(DATA_GOC!$H:$H,DATA_GOC!$A:$A,"BOM",DATA_GOC!$D:$D,$B451,DATA_GOC!$E:$E,"Dầu số",DATA_GOC!$F:$F,"Xuất nội bộ từ téc",DATA_GOC!$B:$B,DATE($D$2,$B$2,D$4)),0))</f>
        <v>0</v>
      </c>
      <c r="E451" s="251">
        <f>IF(E$4&gt;DAY(EOMONTH(DATE($D$2,$B$2,1),0)),"",IFERROR(SUMIFS(DATA_GOC!$H:$H,DATA_GOC!$A:$A,"BOM",DATA_GOC!$D:$D,$B451,DATA_GOC!$E:$E,"Dầu số",DATA_GOC!$F:$F,"Xuất nội bộ từ téc",DATA_GOC!$B:$B,DATE($D$2,$B$2,E$4)),0))</f>
        <v>0</v>
      </c>
      <c r="F451" s="251">
        <f>IF(F$4&gt;DAY(EOMONTH(DATE($D$2,$B$2,1),0)),"",IFERROR(SUMIFS(DATA_GOC!$H:$H,DATA_GOC!$A:$A,"BOM",DATA_GOC!$D:$D,$B451,DATA_GOC!$E:$E,"Dầu số",DATA_GOC!$F:$F,"Xuất nội bộ từ téc",DATA_GOC!$B:$B,DATE($D$2,$B$2,F$4)),0))</f>
        <v>0</v>
      </c>
      <c r="G451" s="251">
        <f>IF(G$4&gt;DAY(EOMONTH(DATE($D$2,$B$2,1),0)),"",IFERROR(SUMIFS(DATA_GOC!$H:$H,DATA_GOC!$A:$A,"BOM",DATA_GOC!$D:$D,$B451,DATA_GOC!$E:$E,"Dầu số",DATA_GOC!$F:$F,"Xuất nội bộ từ téc",DATA_GOC!$B:$B,DATE($D$2,$B$2,G$4)),0))</f>
        <v>0</v>
      </c>
      <c r="H451" s="251">
        <f>IF(H$4&gt;DAY(EOMONTH(DATE($D$2,$B$2,1),0)),"",IFERROR(SUMIFS(DATA_GOC!$H:$H,DATA_GOC!$A:$A,"BOM",DATA_GOC!$D:$D,$B451,DATA_GOC!$E:$E,"Dầu số",DATA_GOC!$F:$F,"Xuất nội bộ từ téc",DATA_GOC!$B:$B,DATE($D$2,$B$2,H$4)),0))</f>
        <v>0</v>
      </c>
      <c r="I451" s="251">
        <f>IF(I$4&gt;DAY(EOMONTH(DATE($D$2,$B$2,1),0)),"",IFERROR(SUMIFS(DATA_GOC!$H:$H,DATA_GOC!$A:$A,"BOM",DATA_GOC!$D:$D,$B451,DATA_GOC!$E:$E,"Dầu số",DATA_GOC!$F:$F,"Xuất nội bộ từ téc",DATA_GOC!$B:$B,DATE($D$2,$B$2,I$4)),0))</f>
        <v>0</v>
      </c>
      <c r="J451" s="251">
        <f>IF(J$4&gt;DAY(EOMONTH(DATE($D$2,$B$2,1),0)),"",IFERROR(SUMIFS(DATA_GOC!$H:$H,DATA_GOC!$A:$A,"BOM",DATA_GOC!$D:$D,$B451,DATA_GOC!$E:$E,"Dầu số",DATA_GOC!$F:$F,"Xuất nội bộ từ téc",DATA_GOC!$B:$B,DATE($D$2,$B$2,J$4)),0))</f>
        <v>0</v>
      </c>
      <c r="K451" s="251">
        <f>IF(K$4&gt;DAY(EOMONTH(DATE($D$2,$B$2,1),0)),"",IFERROR(SUMIFS(DATA_GOC!$H:$H,DATA_GOC!$A:$A,"BOM",DATA_GOC!$D:$D,$B451,DATA_GOC!$E:$E,"Dầu số",DATA_GOC!$F:$F,"Xuất nội bộ từ téc",DATA_GOC!$B:$B,DATE($D$2,$B$2,K$4)),0))</f>
        <v>0</v>
      </c>
      <c r="L451" s="251">
        <f>IF(L$4&gt;DAY(EOMONTH(DATE($D$2,$B$2,1),0)),"",IFERROR(SUMIFS(DATA_GOC!$H:$H,DATA_GOC!$A:$A,"BOM",DATA_GOC!$D:$D,$B451,DATA_GOC!$E:$E,"Dầu số",DATA_GOC!$F:$F,"Xuất nội bộ từ téc",DATA_GOC!$B:$B,DATE($D$2,$B$2,L$4)),0))</f>
        <v>0</v>
      </c>
      <c r="M451" s="251">
        <f>IF(M$4&gt;DAY(EOMONTH(DATE($D$2,$B$2,1),0)),"",IFERROR(SUMIFS(DATA_GOC!$H:$H,DATA_GOC!$A:$A,"BOM",DATA_GOC!$D:$D,$B451,DATA_GOC!$E:$E,"Dầu số",DATA_GOC!$F:$F,"Xuất nội bộ từ téc",DATA_GOC!$B:$B,DATE($D$2,$B$2,M$4)),0))</f>
        <v>0</v>
      </c>
      <c r="N451" s="251">
        <f>IF(N$4&gt;DAY(EOMONTH(DATE($D$2,$B$2,1),0)),"",IFERROR(SUMIFS(DATA_GOC!$H:$H,DATA_GOC!$A:$A,"BOM",DATA_GOC!$D:$D,$B451,DATA_GOC!$E:$E,"Dầu số",DATA_GOC!$F:$F,"Xuất nội bộ từ téc",DATA_GOC!$B:$B,DATE($D$2,$B$2,N$4)),0))</f>
        <v>0</v>
      </c>
      <c r="O451" s="251">
        <f>IF(O$4&gt;DAY(EOMONTH(DATE($D$2,$B$2,1),0)),"",IFERROR(SUMIFS(DATA_GOC!$H:$H,DATA_GOC!$A:$A,"BOM",DATA_GOC!$D:$D,$B451,DATA_GOC!$E:$E,"Dầu số",DATA_GOC!$F:$F,"Xuất nội bộ từ téc",DATA_GOC!$B:$B,DATE($D$2,$B$2,O$4)),0))</f>
        <v>0</v>
      </c>
      <c r="P451" s="251">
        <f>IF(P$4&gt;DAY(EOMONTH(DATE($D$2,$B$2,1),0)),"",IFERROR(SUMIFS(DATA_GOC!$H:$H,DATA_GOC!$A:$A,"BOM",DATA_GOC!$D:$D,$B451,DATA_GOC!$E:$E,"Dầu số",DATA_GOC!$F:$F,"Xuất nội bộ từ téc",DATA_GOC!$B:$B,DATE($D$2,$B$2,P$4)),0))</f>
        <v>0</v>
      </c>
      <c r="Q451" s="251">
        <f>IF(Q$4&gt;DAY(EOMONTH(DATE($D$2,$B$2,1),0)),"",IFERROR(SUMIFS(DATA_GOC!$H:$H,DATA_GOC!$A:$A,"BOM",DATA_GOC!$D:$D,$B451,DATA_GOC!$E:$E,"Dầu số",DATA_GOC!$F:$F,"Xuất nội bộ từ téc",DATA_GOC!$B:$B,DATE($D$2,$B$2,Q$4)),0))</f>
        <v>0</v>
      </c>
      <c r="R451" s="251">
        <f>IF(R$4&gt;DAY(EOMONTH(DATE($D$2,$B$2,1),0)),"",IFERROR(SUMIFS(DATA_GOC!$H:$H,DATA_GOC!$A:$A,"BOM",DATA_GOC!$D:$D,$B451,DATA_GOC!$E:$E,"Dầu số",DATA_GOC!$F:$F,"Xuất nội bộ từ téc",DATA_GOC!$B:$B,DATE($D$2,$B$2,R$4)),0))</f>
        <v>0</v>
      </c>
      <c r="S451" s="251">
        <f>IF(S$4&gt;DAY(EOMONTH(DATE($D$2,$B$2,1),0)),"",IFERROR(SUMIFS(DATA_GOC!$H:$H,DATA_GOC!$A:$A,"BOM",DATA_GOC!$D:$D,$B451,DATA_GOC!$E:$E,"Dầu số",DATA_GOC!$F:$F,"Xuất nội bộ từ téc",DATA_GOC!$B:$B,DATE($D$2,$B$2,S$4)),0))</f>
        <v>0</v>
      </c>
      <c r="T451" s="251">
        <f>IF(T$4&gt;DAY(EOMONTH(DATE($D$2,$B$2,1),0)),"",IFERROR(SUMIFS(DATA_GOC!$H:$H,DATA_GOC!$A:$A,"BOM",DATA_GOC!$D:$D,$B451,DATA_GOC!$E:$E,"Dầu số",DATA_GOC!$F:$F,"Xuất nội bộ từ téc",DATA_GOC!$B:$B,DATE($D$2,$B$2,T$4)),0))</f>
        <v>0</v>
      </c>
      <c r="U451" s="251">
        <f>IF(U$4&gt;DAY(EOMONTH(DATE($D$2,$B$2,1),0)),"",IFERROR(SUMIFS(DATA_GOC!$H:$H,DATA_GOC!$A:$A,"BOM",DATA_GOC!$D:$D,$B451,DATA_GOC!$E:$E,"Dầu số",DATA_GOC!$F:$F,"Xuất nội bộ từ téc",DATA_GOC!$B:$B,DATE($D$2,$B$2,U$4)),0))</f>
        <v>0</v>
      </c>
      <c r="V451" s="251">
        <f>IF(V$4&gt;DAY(EOMONTH(DATE($D$2,$B$2,1),0)),"",IFERROR(SUMIFS(DATA_GOC!$H:$H,DATA_GOC!$A:$A,"BOM",DATA_GOC!$D:$D,$B451,DATA_GOC!$E:$E,"Dầu số",DATA_GOC!$F:$F,"Xuất nội bộ từ téc",DATA_GOC!$B:$B,DATE($D$2,$B$2,V$4)),0))</f>
        <v>0</v>
      </c>
      <c r="W451" s="251">
        <f>IF(W$4&gt;DAY(EOMONTH(DATE($D$2,$B$2,1),0)),"",IFERROR(SUMIFS(DATA_GOC!$H:$H,DATA_GOC!$A:$A,"BOM",DATA_GOC!$D:$D,$B451,DATA_GOC!$E:$E,"Dầu số",DATA_GOC!$F:$F,"Xuất nội bộ từ téc",DATA_GOC!$B:$B,DATE($D$2,$B$2,W$4)),0))</f>
        <v>0</v>
      </c>
      <c r="X451" s="251">
        <f>IF(X$4&gt;DAY(EOMONTH(DATE($D$2,$B$2,1),0)),"",IFERROR(SUMIFS(DATA_GOC!$H:$H,DATA_GOC!$A:$A,"BOM",DATA_GOC!$D:$D,$B451,DATA_GOC!$E:$E,"Dầu số",DATA_GOC!$F:$F,"Xuất nội bộ từ téc",DATA_GOC!$B:$B,DATE($D$2,$B$2,X$4)),0))</f>
        <v>0</v>
      </c>
      <c r="Y451" s="251">
        <f>IF(Y$4&gt;DAY(EOMONTH(DATE($D$2,$B$2,1),0)),"",IFERROR(SUMIFS(DATA_GOC!$H:$H,DATA_GOC!$A:$A,"BOM",DATA_GOC!$D:$D,$B451,DATA_GOC!$E:$E,"Dầu số",DATA_GOC!$F:$F,"Xuất nội bộ từ téc",DATA_GOC!$B:$B,DATE($D$2,$B$2,Y$4)),0))</f>
        <v>0</v>
      </c>
      <c r="Z451" s="251">
        <f>IF(Z$4&gt;DAY(EOMONTH(DATE($D$2,$B$2,1),0)),"",IFERROR(SUMIFS(DATA_GOC!$H:$H,DATA_GOC!$A:$A,"BOM",DATA_GOC!$D:$D,$B451,DATA_GOC!$E:$E,"Dầu số",DATA_GOC!$F:$F,"Xuất nội bộ từ téc",DATA_GOC!$B:$B,DATE($D$2,$B$2,Z$4)),0))</f>
        <v>0</v>
      </c>
      <c r="AA451" s="251">
        <f>IF(AA$4&gt;DAY(EOMONTH(DATE($D$2,$B$2,1),0)),"",IFERROR(SUMIFS(DATA_GOC!$H:$H,DATA_GOC!$A:$A,"BOM",DATA_GOC!$D:$D,$B451,DATA_GOC!$E:$E,"Dầu số",DATA_GOC!$F:$F,"Xuất nội bộ từ téc",DATA_GOC!$B:$B,DATE($D$2,$B$2,AA$4)),0))</f>
        <v>0</v>
      </c>
      <c r="AB451" s="251">
        <f>IF(AB$4&gt;DAY(EOMONTH(DATE($D$2,$B$2,1),0)),"",IFERROR(SUMIFS(DATA_GOC!$H:$H,DATA_GOC!$A:$A,"BOM",DATA_GOC!$D:$D,$B451,DATA_GOC!$E:$E,"Dầu số",DATA_GOC!$F:$F,"Xuất nội bộ từ téc",DATA_GOC!$B:$B,DATE($D$2,$B$2,AB$4)),0))</f>
        <v>0</v>
      </c>
      <c r="AC451" s="251">
        <f>IF(AC$4&gt;DAY(EOMONTH(DATE($D$2,$B$2,1),0)),"",IFERROR(SUMIFS(DATA_GOC!$H:$H,DATA_GOC!$A:$A,"BOM",DATA_GOC!$D:$D,$B451,DATA_GOC!$E:$E,"Dầu số",DATA_GOC!$F:$F,"Xuất nội bộ từ téc",DATA_GOC!$B:$B,DATE($D$2,$B$2,AC$4)),0))</f>
        <v>0</v>
      </c>
      <c r="AD451" s="251">
        <f>IF(AD$4&gt;DAY(EOMONTH(DATE($D$2,$B$2,1),0)),"",IFERROR(SUMIFS(DATA_GOC!$H:$H,DATA_GOC!$A:$A,"BOM",DATA_GOC!$D:$D,$B451,DATA_GOC!$E:$E,"Dầu số",DATA_GOC!$F:$F,"Xuất nội bộ từ téc",DATA_GOC!$B:$B,DATE($D$2,$B$2,AD$4)),0))</f>
        <v>0</v>
      </c>
      <c r="AE451" s="251">
        <f>IF(AE$4&gt;DAY(EOMONTH(DATE($D$2,$B$2,1),0)),"",IFERROR(SUMIFS(DATA_GOC!$H:$H,DATA_GOC!$A:$A,"BOM",DATA_GOC!$D:$D,$B451,DATA_GOC!$E:$E,"Dầu số",DATA_GOC!$F:$F,"Xuất nội bộ từ téc",DATA_GOC!$B:$B,DATE($D$2,$B$2,AE$4)),0))</f>
        <v>0</v>
      </c>
      <c r="AF451" s="251">
        <f>IF(AF$4&gt;DAY(EOMONTH(DATE($D$2,$B$2,1),0)),"",IFERROR(SUMIFS(DATA_GOC!$H:$H,DATA_GOC!$A:$A,"BOM",DATA_GOC!$D:$D,$B451,DATA_GOC!$E:$E,"Dầu số",DATA_GOC!$F:$F,"Xuất nội bộ từ téc",DATA_GOC!$B:$B,DATE($D$2,$B$2,AF$4)),0))</f>
        <v>0</v>
      </c>
      <c r="AG451" s="251">
        <f>IF(AG$4&gt;DAY(EOMONTH(DATE($D$2,$B$2,1),0)),"",IFERROR(SUMIFS(DATA_GOC!$H:$H,DATA_GOC!$A:$A,"BOM",DATA_GOC!$D:$D,$B451,DATA_GOC!$E:$E,"Dầu số",DATA_GOC!$F:$F,"Xuất nội bộ từ téc",DATA_GOC!$B:$B,DATE($D$2,$B$2,AG$4)),0))</f>
        <v>0</v>
      </c>
      <c r="AH451" s="252">
        <f t="shared" si="22"/>
        <v>0</v>
      </c>
      <c r="AI451" s="241"/>
      <c r="AJ451" s="242">
        <f>IF($B451="","",SUMIFS(TINH_TEC!$K$233:$K$9232,TINH_TEC!$H$233:$H$9232,$B451,TINH_TEC!$C$233:$C$9232,"Dầu số",TINH_TEC!$F$233:$F$9232,$B$2,TINH_TEC!$G$233:$G$9232,$D$2,TINH_TEC!$B$233:$B$9232,"Đã chốt"))</f>
        <v>0</v>
      </c>
      <c r="AK451" s="242">
        <f>IF($B451="","",SUMIFS(TINH_TEC!$J$233:$J$9232,TINH_TEC!$H$233:$H$9232,$B451,TINH_TEC!$C$233:$C$9232,"Dầu số",TINH_TEC!$F$233:$F$9232,$B$2,TINH_TEC!$G$233:$G$9232,$D$2,TINH_TEC!$B$233:$B$9232,"Đã chốt"))</f>
        <v>0</v>
      </c>
      <c r="AL451" s="242">
        <f t="shared" si="23"/>
        <v>0</v>
      </c>
    </row>
    <row r="452" ht="15.75" customHeight="1">
      <c r="A452" s="237">
        <f>IF($B452&lt;&gt;"",20,"")</f>
        <v>20</v>
      </c>
      <c r="B452" s="250" t="str">
        <f t="array" ref="B452">IFERROR(INDEX(DANH_MUC!$E:$E,23),"")</f>
        <v>28C03652</v>
      </c>
      <c r="C452" s="251">
        <f>IF(C$4&gt;DAY(EOMONTH(DATE($D$2,$B$2,1),0)),"",IFERROR(SUMIFS(DATA_GOC!$H:$H,DATA_GOC!$A:$A,"BOM",DATA_GOC!$D:$D,$B452,DATA_GOC!$E:$E,"Dầu số",DATA_GOC!$F:$F,"Xuất nội bộ từ téc",DATA_GOC!$B:$B,DATE($D$2,$B$2,C$4)),0))</f>
        <v>0</v>
      </c>
      <c r="D452" s="251">
        <f>IF(D$4&gt;DAY(EOMONTH(DATE($D$2,$B$2,1),0)),"",IFERROR(SUMIFS(DATA_GOC!$H:$H,DATA_GOC!$A:$A,"BOM",DATA_GOC!$D:$D,$B452,DATA_GOC!$E:$E,"Dầu số",DATA_GOC!$F:$F,"Xuất nội bộ từ téc",DATA_GOC!$B:$B,DATE($D$2,$B$2,D$4)),0))</f>
        <v>0</v>
      </c>
      <c r="E452" s="251">
        <f>IF(E$4&gt;DAY(EOMONTH(DATE($D$2,$B$2,1),0)),"",IFERROR(SUMIFS(DATA_GOC!$H:$H,DATA_GOC!$A:$A,"BOM",DATA_GOC!$D:$D,$B452,DATA_GOC!$E:$E,"Dầu số",DATA_GOC!$F:$F,"Xuất nội bộ từ téc",DATA_GOC!$B:$B,DATE($D$2,$B$2,E$4)),0))</f>
        <v>0</v>
      </c>
      <c r="F452" s="251">
        <f>IF(F$4&gt;DAY(EOMONTH(DATE($D$2,$B$2,1),0)),"",IFERROR(SUMIFS(DATA_GOC!$H:$H,DATA_GOC!$A:$A,"BOM",DATA_GOC!$D:$D,$B452,DATA_GOC!$E:$E,"Dầu số",DATA_GOC!$F:$F,"Xuất nội bộ từ téc",DATA_GOC!$B:$B,DATE($D$2,$B$2,F$4)),0))</f>
        <v>0</v>
      </c>
      <c r="G452" s="251">
        <f>IF(G$4&gt;DAY(EOMONTH(DATE($D$2,$B$2,1),0)),"",IFERROR(SUMIFS(DATA_GOC!$H:$H,DATA_GOC!$A:$A,"BOM",DATA_GOC!$D:$D,$B452,DATA_GOC!$E:$E,"Dầu số",DATA_GOC!$F:$F,"Xuất nội bộ từ téc",DATA_GOC!$B:$B,DATE($D$2,$B$2,G$4)),0))</f>
        <v>0</v>
      </c>
      <c r="H452" s="251">
        <f>IF(H$4&gt;DAY(EOMONTH(DATE($D$2,$B$2,1),0)),"",IFERROR(SUMIFS(DATA_GOC!$H:$H,DATA_GOC!$A:$A,"BOM",DATA_GOC!$D:$D,$B452,DATA_GOC!$E:$E,"Dầu số",DATA_GOC!$F:$F,"Xuất nội bộ từ téc",DATA_GOC!$B:$B,DATE($D$2,$B$2,H$4)),0))</f>
        <v>0</v>
      </c>
      <c r="I452" s="251">
        <f>IF(I$4&gt;DAY(EOMONTH(DATE($D$2,$B$2,1),0)),"",IFERROR(SUMIFS(DATA_GOC!$H:$H,DATA_GOC!$A:$A,"BOM",DATA_GOC!$D:$D,$B452,DATA_GOC!$E:$E,"Dầu số",DATA_GOC!$F:$F,"Xuất nội bộ từ téc",DATA_GOC!$B:$B,DATE($D$2,$B$2,I$4)),0))</f>
        <v>0</v>
      </c>
      <c r="J452" s="251">
        <f>IF(J$4&gt;DAY(EOMONTH(DATE($D$2,$B$2,1),0)),"",IFERROR(SUMIFS(DATA_GOC!$H:$H,DATA_GOC!$A:$A,"BOM",DATA_GOC!$D:$D,$B452,DATA_GOC!$E:$E,"Dầu số",DATA_GOC!$F:$F,"Xuất nội bộ từ téc",DATA_GOC!$B:$B,DATE($D$2,$B$2,J$4)),0))</f>
        <v>0</v>
      </c>
      <c r="K452" s="251">
        <f>IF(K$4&gt;DAY(EOMONTH(DATE($D$2,$B$2,1),0)),"",IFERROR(SUMIFS(DATA_GOC!$H:$H,DATA_GOC!$A:$A,"BOM",DATA_GOC!$D:$D,$B452,DATA_GOC!$E:$E,"Dầu số",DATA_GOC!$F:$F,"Xuất nội bộ từ téc",DATA_GOC!$B:$B,DATE($D$2,$B$2,K$4)),0))</f>
        <v>0</v>
      </c>
      <c r="L452" s="251">
        <f>IF(L$4&gt;DAY(EOMONTH(DATE($D$2,$B$2,1),0)),"",IFERROR(SUMIFS(DATA_GOC!$H:$H,DATA_GOC!$A:$A,"BOM",DATA_GOC!$D:$D,$B452,DATA_GOC!$E:$E,"Dầu số",DATA_GOC!$F:$F,"Xuất nội bộ từ téc",DATA_GOC!$B:$B,DATE($D$2,$B$2,L$4)),0))</f>
        <v>0</v>
      </c>
      <c r="M452" s="251">
        <f>IF(M$4&gt;DAY(EOMONTH(DATE($D$2,$B$2,1),0)),"",IFERROR(SUMIFS(DATA_GOC!$H:$H,DATA_GOC!$A:$A,"BOM",DATA_GOC!$D:$D,$B452,DATA_GOC!$E:$E,"Dầu số",DATA_GOC!$F:$F,"Xuất nội bộ từ téc",DATA_GOC!$B:$B,DATE($D$2,$B$2,M$4)),0))</f>
        <v>0</v>
      </c>
      <c r="N452" s="251">
        <f>IF(N$4&gt;DAY(EOMONTH(DATE($D$2,$B$2,1),0)),"",IFERROR(SUMIFS(DATA_GOC!$H:$H,DATA_GOC!$A:$A,"BOM",DATA_GOC!$D:$D,$B452,DATA_GOC!$E:$E,"Dầu số",DATA_GOC!$F:$F,"Xuất nội bộ từ téc",DATA_GOC!$B:$B,DATE($D$2,$B$2,N$4)),0))</f>
        <v>0</v>
      </c>
      <c r="O452" s="251">
        <f>IF(O$4&gt;DAY(EOMONTH(DATE($D$2,$B$2,1),0)),"",IFERROR(SUMIFS(DATA_GOC!$H:$H,DATA_GOC!$A:$A,"BOM",DATA_GOC!$D:$D,$B452,DATA_GOC!$E:$E,"Dầu số",DATA_GOC!$F:$F,"Xuất nội bộ từ téc",DATA_GOC!$B:$B,DATE($D$2,$B$2,O$4)),0))</f>
        <v>0</v>
      </c>
      <c r="P452" s="251">
        <f>IF(P$4&gt;DAY(EOMONTH(DATE($D$2,$B$2,1),0)),"",IFERROR(SUMIFS(DATA_GOC!$H:$H,DATA_GOC!$A:$A,"BOM",DATA_GOC!$D:$D,$B452,DATA_GOC!$E:$E,"Dầu số",DATA_GOC!$F:$F,"Xuất nội bộ từ téc",DATA_GOC!$B:$B,DATE($D$2,$B$2,P$4)),0))</f>
        <v>0</v>
      </c>
      <c r="Q452" s="251">
        <f>IF(Q$4&gt;DAY(EOMONTH(DATE($D$2,$B$2,1),0)),"",IFERROR(SUMIFS(DATA_GOC!$H:$H,DATA_GOC!$A:$A,"BOM",DATA_GOC!$D:$D,$B452,DATA_GOC!$E:$E,"Dầu số",DATA_GOC!$F:$F,"Xuất nội bộ từ téc",DATA_GOC!$B:$B,DATE($D$2,$B$2,Q$4)),0))</f>
        <v>0</v>
      </c>
      <c r="R452" s="251">
        <f>IF(R$4&gt;DAY(EOMONTH(DATE($D$2,$B$2,1),0)),"",IFERROR(SUMIFS(DATA_GOC!$H:$H,DATA_GOC!$A:$A,"BOM",DATA_GOC!$D:$D,$B452,DATA_GOC!$E:$E,"Dầu số",DATA_GOC!$F:$F,"Xuất nội bộ từ téc",DATA_GOC!$B:$B,DATE($D$2,$B$2,R$4)),0))</f>
        <v>0</v>
      </c>
      <c r="S452" s="251">
        <f>IF(S$4&gt;DAY(EOMONTH(DATE($D$2,$B$2,1),0)),"",IFERROR(SUMIFS(DATA_GOC!$H:$H,DATA_GOC!$A:$A,"BOM",DATA_GOC!$D:$D,$B452,DATA_GOC!$E:$E,"Dầu số",DATA_GOC!$F:$F,"Xuất nội bộ từ téc",DATA_GOC!$B:$B,DATE($D$2,$B$2,S$4)),0))</f>
        <v>0</v>
      </c>
      <c r="T452" s="251">
        <f>IF(T$4&gt;DAY(EOMONTH(DATE($D$2,$B$2,1),0)),"",IFERROR(SUMIFS(DATA_GOC!$H:$H,DATA_GOC!$A:$A,"BOM",DATA_GOC!$D:$D,$B452,DATA_GOC!$E:$E,"Dầu số",DATA_GOC!$F:$F,"Xuất nội bộ từ téc",DATA_GOC!$B:$B,DATE($D$2,$B$2,T$4)),0))</f>
        <v>0</v>
      </c>
      <c r="U452" s="251">
        <f>IF(U$4&gt;DAY(EOMONTH(DATE($D$2,$B$2,1),0)),"",IFERROR(SUMIFS(DATA_GOC!$H:$H,DATA_GOC!$A:$A,"BOM",DATA_GOC!$D:$D,$B452,DATA_GOC!$E:$E,"Dầu số",DATA_GOC!$F:$F,"Xuất nội bộ từ téc",DATA_GOC!$B:$B,DATE($D$2,$B$2,U$4)),0))</f>
        <v>0</v>
      </c>
      <c r="V452" s="251">
        <f>IF(V$4&gt;DAY(EOMONTH(DATE($D$2,$B$2,1),0)),"",IFERROR(SUMIFS(DATA_GOC!$H:$H,DATA_GOC!$A:$A,"BOM",DATA_GOC!$D:$D,$B452,DATA_GOC!$E:$E,"Dầu số",DATA_GOC!$F:$F,"Xuất nội bộ từ téc",DATA_GOC!$B:$B,DATE($D$2,$B$2,V$4)),0))</f>
        <v>0</v>
      </c>
      <c r="W452" s="251">
        <f>IF(W$4&gt;DAY(EOMONTH(DATE($D$2,$B$2,1),0)),"",IFERROR(SUMIFS(DATA_GOC!$H:$H,DATA_GOC!$A:$A,"BOM",DATA_GOC!$D:$D,$B452,DATA_GOC!$E:$E,"Dầu số",DATA_GOC!$F:$F,"Xuất nội bộ từ téc",DATA_GOC!$B:$B,DATE($D$2,$B$2,W$4)),0))</f>
        <v>0</v>
      </c>
      <c r="X452" s="251">
        <f>IF(X$4&gt;DAY(EOMONTH(DATE($D$2,$B$2,1),0)),"",IFERROR(SUMIFS(DATA_GOC!$H:$H,DATA_GOC!$A:$A,"BOM",DATA_GOC!$D:$D,$B452,DATA_GOC!$E:$E,"Dầu số",DATA_GOC!$F:$F,"Xuất nội bộ từ téc",DATA_GOC!$B:$B,DATE($D$2,$B$2,X$4)),0))</f>
        <v>0</v>
      </c>
      <c r="Y452" s="251">
        <f>IF(Y$4&gt;DAY(EOMONTH(DATE($D$2,$B$2,1),0)),"",IFERROR(SUMIFS(DATA_GOC!$H:$H,DATA_GOC!$A:$A,"BOM",DATA_GOC!$D:$D,$B452,DATA_GOC!$E:$E,"Dầu số",DATA_GOC!$F:$F,"Xuất nội bộ từ téc",DATA_GOC!$B:$B,DATE($D$2,$B$2,Y$4)),0))</f>
        <v>0</v>
      </c>
      <c r="Z452" s="251">
        <f>IF(Z$4&gt;DAY(EOMONTH(DATE($D$2,$B$2,1),0)),"",IFERROR(SUMIFS(DATA_GOC!$H:$H,DATA_GOC!$A:$A,"BOM",DATA_GOC!$D:$D,$B452,DATA_GOC!$E:$E,"Dầu số",DATA_GOC!$F:$F,"Xuất nội bộ từ téc",DATA_GOC!$B:$B,DATE($D$2,$B$2,Z$4)),0))</f>
        <v>0</v>
      </c>
      <c r="AA452" s="251">
        <f>IF(AA$4&gt;DAY(EOMONTH(DATE($D$2,$B$2,1),0)),"",IFERROR(SUMIFS(DATA_GOC!$H:$H,DATA_GOC!$A:$A,"BOM",DATA_GOC!$D:$D,$B452,DATA_GOC!$E:$E,"Dầu số",DATA_GOC!$F:$F,"Xuất nội bộ từ téc",DATA_GOC!$B:$B,DATE($D$2,$B$2,AA$4)),0))</f>
        <v>0</v>
      </c>
      <c r="AB452" s="251">
        <f>IF(AB$4&gt;DAY(EOMONTH(DATE($D$2,$B$2,1),0)),"",IFERROR(SUMIFS(DATA_GOC!$H:$H,DATA_GOC!$A:$A,"BOM",DATA_GOC!$D:$D,$B452,DATA_GOC!$E:$E,"Dầu số",DATA_GOC!$F:$F,"Xuất nội bộ từ téc",DATA_GOC!$B:$B,DATE($D$2,$B$2,AB$4)),0))</f>
        <v>0</v>
      </c>
      <c r="AC452" s="251">
        <f>IF(AC$4&gt;DAY(EOMONTH(DATE($D$2,$B$2,1),0)),"",IFERROR(SUMIFS(DATA_GOC!$H:$H,DATA_GOC!$A:$A,"BOM",DATA_GOC!$D:$D,$B452,DATA_GOC!$E:$E,"Dầu số",DATA_GOC!$F:$F,"Xuất nội bộ từ téc",DATA_GOC!$B:$B,DATE($D$2,$B$2,AC$4)),0))</f>
        <v>0</v>
      </c>
      <c r="AD452" s="251">
        <f>IF(AD$4&gt;DAY(EOMONTH(DATE($D$2,$B$2,1),0)),"",IFERROR(SUMIFS(DATA_GOC!$H:$H,DATA_GOC!$A:$A,"BOM",DATA_GOC!$D:$D,$B452,DATA_GOC!$E:$E,"Dầu số",DATA_GOC!$F:$F,"Xuất nội bộ từ téc",DATA_GOC!$B:$B,DATE($D$2,$B$2,AD$4)),0))</f>
        <v>0</v>
      </c>
      <c r="AE452" s="251">
        <f>IF(AE$4&gt;DAY(EOMONTH(DATE($D$2,$B$2,1),0)),"",IFERROR(SUMIFS(DATA_GOC!$H:$H,DATA_GOC!$A:$A,"BOM",DATA_GOC!$D:$D,$B452,DATA_GOC!$E:$E,"Dầu số",DATA_GOC!$F:$F,"Xuất nội bộ từ téc",DATA_GOC!$B:$B,DATE($D$2,$B$2,AE$4)),0))</f>
        <v>0</v>
      </c>
      <c r="AF452" s="251">
        <f>IF(AF$4&gt;DAY(EOMONTH(DATE($D$2,$B$2,1),0)),"",IFERROR(SUMIFS(DATA_GOC!$H:$H,DATA_GOC!$A:$A,"BOM",DATA_GOC!$D:$D,$B452,DATA_GOC!$E:$E,"Dầu số",DATA_GOC!$F:$F,"Xuất nội bộ từ téc",DATA_GOC!$B:$B,DATE($D$2,$B$2,AF$4)),0))</f>
        <v>0</v>
      </c>
      <c r="AG452" s="251">
        <f>IF(AG$4&gt;DAY(EOMONTH(DATE($D$2,$B$2,1),0)),"",IFERROR(SUMIFS(DATA_GOC!$H:$H,DATA_GOC!$A:$A,"BOM",DATA_GOC!$D:$D,$B452,DATA_GOC!$E:$E,"Dầu số",DATA_GOC!$F:$F,"Xuất nội bộ từ téc",DATA_GOC!$B:$B,DATE($D$2,$B$2,AG$4)),0))</f>
        <v>0</v>
      </c>
      <c r="AH452" s="252">
        <f t="shared" si="22"/>
        <v>0</v>
      </c>
      <c r="AI452" s="241"/>
      <c r="AJ452" s="242">
        <f>IF($B452="","",SUMIFS(TINH_TEC!$K$233:$K$9232,TINH_TEC!$H$233:$H$9232,$B452,TINH_TEC!$C$233:$C$9232,"Dầu số",TINH_TEC!$F$233:$F$9232,$B$2,TINH_TEC!$G$233:$G$9232,$D$2,TINH_TEC!$B$233:$B$9232,"Đã chốt"))</f>
        <v>0</v>
      </c>
      <c r="AK452" s="242">
        <f>IF($B452="","",SUMIFS(TINH_TEC!$J$233:$J$9232,TINH_TEC!$H$233:$H$9232,$B452,TINH_TEC!$C$233:$C$9232,"Dầu số",TINH_TEC!$F$233:$F$9232,$B$2,TINH_TEC!$G$233:$G$9232,$D$2,TINH_TEC!$B$233:$B$9232,"Đã chốt"))</f>
        <v>0</v>
      </c>
      <c r="AL452" s="242">
        <f t="shared" si="23"/>
        <v>0</v>
      </c>
    </row>
    <row r="453" ht="15.75" customHeight="1">
      <c r="A453" s="237">
        <f>IF($B453&lt;&gt;"",21,"")</f>
        <v>21</v>
      </c>
      <c r="B453" s="250" t="str">
        <f t="array" ref="B453">IFERROR(INDEX(DANH_MUC!$E:$E,24),"")</f>
        <v>28C03695</v>
      </c>
      <c r="C453" s="251">
        <f>IF(C$4&gt;DAY(EOMONTH(DATE($D$2,$B$2,1),0)),"",IFERROR(SUMIFS(DATA_GOC!$H:$H,DATA_GOC!$A:$A,"BOM",DATA_GOC!$D:$D,$B453,DATA_GOC!$E:$E,"Dầu số",DATA_GOC!$F:$F,"Xuất nội bộ từ téc",DATA_GOC!$B:$B,DATE($D$2,$B$2,C$4)),0))</f>
        <v>0</v>
      </c>
      <c r="D453" s="251">
        <f>IF(D$4&gt;DAY(EOMONTH(DATE($D$2,$B$2,1),0)),"",IFERROR(SUMIFS(DATA_GOC!$H:$H,DATA_GOC!$A:$A,"BOM",DATA_GOC!$D:$D,$B453,DATA_GOC!$E:$E,"Dầu số",DATA_GOC!$F:$F,"Xuất nội bộ từ téc",DATA_GOC!$B:$B,DATE($D$2,$B$2,D$4)),0))</f>
        <v>0</v>
      </c>
      <c r="E453" s="251">
        <f>IF(E$4&gt;DAY(EOMONTH(DATE($D$2,$B$2,1),0)),"",IFERROR(SUMIFS(DATA_GOC!$H:$H,DATA_GOC!$A:$A,"BOM",DATA_GOC!$D:$D,$B453,DATA_GOC!$E:$E,"Dầu số",DATA_GOC!$F:$F,"Xuất nội bộ từ téc",DATA_GOC!$B:$B,DATE($D$2,$B$2,E$4)),0))</f>
        <v>0</v>
      </c>
      <c r="F453" s="251">
        <f>IF(F$4&gt;DAY(EOMONTH(DATE($D$2,$B$2,1),0)),"",IFERROR(SUMIFS(DATA_GOC!$H:$H,DATA_GOC!$A:$A,"BOM",DATA_GOC!$D:$D,$B453,DATA_GOC!$E:$E,"Dầu số",DATA_GOC!$F:$F,"Xuất nội bộ từ téc",DATA_GOC!$B:$B,DATE($D$2,$B$2,F$4)),0))</f>
        <v>0</v>
      </c>
      <c r="G453" s="251">
        <f>IF(G$4&gt;DAY(EOMONTH(DATE($D$2,$B$2,1),0)),"",IFERROR(SUMIFS(DATA_GOC!$H:$H,DATA_GOC!$A:$A,"BOM",DATA_GOC!$D:$D,$B453,DATA_GOC!$E:$E,"Dầu số",DATA_GOC!$F:$F,"Xuất nội bộ từ téc",DATA_GOC!$B:$B,DATE($D$2,$B$2,G$4)),0))</f>
        <v>0</v>
      </c>
      <c r="H453" s="251">
        <f>IF(H$4&gt;DAY(EOMONTH(DATE($D$2,$B$2,1),0)),"",IFERROR(SUMIFS(DATA_GOC!$H:$H,DATA_GOC!$A:$A,"BOM",DATA_GOC!$D:$D,$B453,DATA_GOC!$E:$E,"Dầu số",DATA_GOC!$F:$F,"Xuất nội bộ từ téc",DATA_GOC!$B:$B,DATE($D$2,$B$2,H$4)),0))</f>
        <v>0</v>
      </c>
      <c r="I453" s="251">
        <f>IF(I$4&gt;DAY(EOMONTH(DATE($D$2,$B$2,1),0)),"",IFERROR(SUMIFS(DATA_GOC!$H:$H,DATA_GOC!$A:$A,"BOM",DATA_GOC!$D:$D,$B453,DATA_GOC!$E:$E,"Dầu số",DATA_GOC!$F:$F,"Xuất nội bộ từ téc",DATA_GOC!$B:$B,DATE($D$2,$B$2,I$4)),0))</f>
        <v>0</v>
      </c>
      <c r="J453" s="251">
        <f>IF(J$4&gt;DAY(EOMONTH(DATE($D$2,$B$2,1),0)),"",IFERROR(SUMIFS(DATA_GOC!$H:$H,DATA_GOC!$A:$A,"BOM",DATA_GOC!$D:$D,$B453,DATA_GOC!$E:$E,"Dầu số",DATA_GOC!$F:$F,"Xuất nội bộ từ téc",DATA_GOC!$B:$B,DATE($D$2,$B$2,J$4)),0))</f>
        <v>0</v>
      </c>
      <c r="K453" s="251">
        <f>IF(K$4&gt;DAY(EOMONTH(DATE($D$2,$B$2,1),0)),"",IFERROR(SUMIFS(DATA_GOC!$H:$H,DATA_GOC!$A:$A,"BOM",DATA_GOC!$D:$D,$B453,DATA_GOC!$E:$E,"Dầu số",DATA_GOC!$F:$F,"Xuất nội bộ từ téc",DATA_GOC!$B:$B,DATE($D$2,$B$2,K$4)),0))</f>
        <v>0</v>
      </c>
      <c r="L453" s="251">
        <f>IF(L$4&gt;DAY(EOMONTH(DATE($D$2,$B$2,1),0)),"",IFERROR(SUMIFS(DATA_GOC!$H:$H,DATA_GOC!$A:$A,"BOM",DATA_GOC!$D:$D,$B453,DATA_GOC!$E:$E,"Dầu số",DATA_GOC!$F:$F,"Xuất nội bộ từ téc",DATA_GOC!$B:$B,DATE($D$2,$B$2,L$4)),0))</f>
        <v>0</v>
      </c>
      <c r="M453" s="251">
        <f>IF(M$4&gt;DAY(EOMONTH(DATE($D$2,$B$2,1),0)),"",IFERROR(SUMIFS(DATA_GOC!$H:$H,DATA_GOC!$A:$A,"BOM",DATA_GOC!$D:$D,$B453,DATA_GOC!$E:$E,"Dầu số",DATA_GOC!$F:$F,"Xuất nội bộ từ téc",DATA_GOC!$B:$B,DATE($D$2,$B$2,M$4)),0))</f>
        <v>0</v>
      </c>
      <c r="N453" s="251">
        <f>IF(N$4&gt;DAY(EOMONTH(DATE($D$2,$B$2,1),0)),"",IFERROR(SUMIFS(DATA_GOC!$H:$H,DATA_GOC!$A:$A,"BOM",DATA_GOC!$D:$D,$B453,DATA_GOC!$E:$E,"Dầu số",DATA_GOC!$F:$F,"Xuất nội bộ từ téc",DATA_GOC!$B:$B,DATE($D$2,$B$2,N$4)),0))</f>
        <v>0</v>
      </c>
      <c r="O453" s="251">
        <f>IF(O$4&gt;DAY(EOMONTH(DATE($D$2,$B$2,1),0)),"",IFERROR(SUMIFS(DATA_GOC!$H:$H,DATA_GOC!$A:$A,"BOM",DATA_GOC!$D:$D,$B453,DATA_GOC!$E:$E,"Dầu số",DATA_GOC!$F:$F,"Xuất nội bộ từ téc",DATA_GOC!$B:$B,DATE($D$2,$B$2,O$4)),0))</f>
        <v>0</v>
      </c>
      <c r="P453" s="251">
        <f>IF(P$4&gt;DAY(EOMONTH(DATE($D$2,$B$2,1),0)),"",IFERROR(SUMIFS(DATA_GOC!$H:$H,DATA_GOC!$A:$A,"BOM",DATA_GOC!$D:$D,$B453,DATA_GOC!$E:$E,"Dầu số",DATA_GOC!$F:$F,"Xuất nội bộ từ téc",DATA_GOC!$B:$B,DATE($D$2,$B$2,P$4)),0))</f>
        <v>0</v>
      </c>
      <c r="Q453" s="251">
        <f>IF(Q$4&gt;DAY(EOMONTH(DATE($D$2,$B$2,1),0)),"",IFERROR(SUMIFS(DATA_GOC!$H:$H,DATA_GOC!$A:$A,"BOM",DATA_GOC!$D:$D,$B453,DATA_GOC!$E:$E,"Dầu số",DATA_GOC!$F:$F,"Xuất nội bộ từ téc",DATA_GOC!$B:$B,DATE($D$2,$B$2,Q$4)),0))</f>
        <v>0</v>
      </c>
      <c r="R453" s="251">
        <f>IF(R$4&gt;DAY(EOMONTH(DATE($D$2,$B$2,1),0)),"",IFERROR(SUMIFS(DATA_GOC!$H:$H,DATA_GOC!$A:$A,"BOM",DATA_GOC!$D:$D,$B453,DATA_GOC!$E:$E,"Dầu số",DATA_GOC!$F:$F,"Xuất nội bộ từ téc",DATA_GOC!$B:$B,DATE($D$2,$B$2,R$4)),0))</f>
        <v>0</v>
      </c>
      <c r="S453" s="251">
        <f>IF(S$4&gt;DAY(EOMONTH(DATE($D$2,$B$2,1),0)),"",IFERROR(SUMIFS(DATA_GOC!$H:$H,DATA_GOC!$A:$A,"BOM",DATA_GOC!$D:$D,$B453,DATA_GOC!$E:$E,"Dầu số",DATA_GOC!$F:$F,"Xuất nội bộ từ téc",DATA_GOC!$B:$B,DATE($D$2,$B$2,S$4)),0))</f>
        <v>0</v>
      </c>
      <c r="T453" s="251">
        <f>IF(T$4&gt;DAY(EOMONTH(DATE($D$2,$B$2,1),0)),"",IFERROR(SUMIFS(DATA_GOC!$H:$H,DATA_GOC!$A:$A,"BOM",DATA_GOC!$D:$D,$B453,DATA_GOC!$E:$E,"Dầu số",DATA_GOC!$F:$F,"Xuất nội bộ từ téc",DATA_GOC!$B:$B,DATE($D$2,$B$2,T$4)),0))</f>
        <v>0</v>
      </c>
      <c r="U453" s="251">
        <f>IF(U$4&gt;DAY(EOMONTH(DATE($D$2,$B$2,1),0)),"",IFERROR(SUMIFS(DATA_GOC!$H:$H,DATA_GOC!$A:$A,"BOM",DATA_GOC!$D:$D,$B453,DATA_GOC!$E:$E,"Dầu số",DATA_GOC!$F:$F,"Xuất nội bộ từ téc",DATA_GOC!$B:$B,DATE($D$2,$B$2,U$4)),0))</f>
        <v>0</v>
      </c>
      <c r="V453" s="251">
        <f>IF(V$4&gt;DAY(EOMONTH(DATE($D$2,$B$2,1),0)),"",IFERROR(SUMIFS(DATA_GOC!$H:$H,DATA_GOC!$A:$A,"BOM",DATA_GOC!$D:$D,$B453,DATA_GOC!$E:$E,"Dầu số",DATA_GOC!$F:$F,"Xuất nội bộ từ téc",DATA_GOC!$B:$B,DATE($D$2,$B$2,V$4)),0))</f>
        <v>0</v>
      </c>
      <c r="W453" s="251">
        <f>IF(W$4&gt;DAY(EOMONTH(DATE($D$2,$B$2,1),0)),"",IFERROR(SUMIFS(DATA_GOC!$H:$H,DATA_GOC!$A:$A,"BOM",DATA_GOC!$D:$D,$B453,DATA_GOC!$E:$E,"Dầu số",DATA_GOC!$F:$F,"Xuất nội bộ từ téc",DATA_GOC!$B:$B,DATE($D$2,$B$2,W$4)),0))</f>
        <v>0</v>
      </c>
      <c r="X453" s="251">
        <f>IF(X$4&gt;DAY(EOMONTH(DATE($D$2,$B$2,1),0)),"",IFERROR(SUMIFS(DATA_GOC!$H:$H,DATA_GOC!$A:$A,"BOM",DATA_GOC!$D:$D,$B453,DATA_GOC!$E:$E,"Dầu số",DATA_GOC!$F:$F,"Xuất nội bộ từ téc",DATA_GOC!$B:$B,DATE($D$2,$B$2,X$4)),0))</f>
        <v>0</v>
      </c>
      <c r="Y453" s="251">
        <f>IF(Y$4&gt;DAY(EOMONTH(DATE($D$2,$B$2,1),0)),"",IFERROR(SUMIFS(DATA_GOC!$H:$H,DATA_GOC!$A:$A,"BOM",DATA_GOC!$D:$D,$B453,DATA_GOC!$E:$E,"Dầu số",DATA_GOC!$F:$F,"Xuất nội bộ từ téc",DATA_GOC!$B:$B,DATE($D$2,$B$2,Y$4)),0))</f>
        <v>0</v>
      </c>
      <c r="Z453" s="251">
        <f>IF(Z$4&gt;DAY(EOMONTH(DATE($D$2,$B$2,1),0)),"",IFERROR(SUMIFS(DATA_GOC!$H:$H,DATA_GOC!$A:$A,"BOM",DATA_GOC!$D:$D,$B453,DATA_GOC!$E:$E,"Dầu số",DATA_GOC!$F:$F,"Xuất nội bộ từ téc",DATA_GOC!$B:$B,DATE($D$2,$B$2,Z$4)),0))</f>
        <v>0</v>
      </c>
      <c r="AA453" s="251">
        <f>IF(AA$4&gt;DAY(EOMONTH(DATE($D$2,$B$2,1),0)),"",IFERROR(SUMIFS(DATA_GOC!$H:$H,DATA_GOC!$A:$A,"BOM",DATA_GOC!$D:$D,$B453,DATA_GOC!$E:$E,"Dầu số",DATA_GOC!$F:$F,"Xuất nội bộ từ téc",DATA_GOC!$B:$B,DATE($D$2,$B$2,AA$4)),0))</f>
        <v>0</v>
      </c>
      <c r="AB453" s="251">
        <f>IF(AB$4&gt;DAY(EOMONTH(DATE($D$2,$B$2,1),0)),"",IFERROR(SUMIFS(DATA_GOC!$H:$H,DATA_GOC!$A:$A,"BOM",DATA_GOC!$D:$D,$B453,DATA_GOC!$E:$E,"Dầu số",DATA_GOC!$F:$F,"Xuất nội bộ từ téc",DATA_GOC!$B:$B,DATE($D$2,$B$2,AB$4)),0))</f>
        <v>0</v>
      </c>
      <c r="AC453" s="251">
        <f>IF(AC$4&gt;DAY(EOMONTH(DATE($D$2,$B$2,1),0)),"",IFERROR(SUMIFS(DATA_GOC!$H:$H,DATA_GOC!$A:$A,"BOM",DATA_GOC!$D:$D,$B453,DATA_GOC!$E:$E,"Dầu số",DATA_GOC!$F:$F,"Xuất nội bộ từ téc",DATA_GOC!$B:$B,DATE($D$2,$B$2,AC$4)),0))</f>
        <v>0</v>
      </c>
      <c r="AD453" s="251">
        <f>IF(AD$4&gt;DAY(EOMONTH(DATE($D$2,$B$2,1),0)),"",IFERROR(SUMIFS(DATA_GOC!$H:$H,DATA_GOC!$A:$A,"BOM",DATA_GOC!$D:$D,$B453,DATA_GOC!$E:$E,"Dầu số",DATA_GOC!$F:$F,"Xuất nội bộ từ téc",DATA_GOC!$B:$B,DATE($D$2,$B$2,AD$4)),0))</f>
        <v>0</v>
      </c>
      <c r="AE453" s="251">
        <f>IF(AE$4&gt;DAY(EOMONTH(DATE($D$2,$B$2,1),0)),"",IFERROR(SUMIFS(DATA_GOC!$H:$H,DATA_GOC!$A:$A,"BOM",DATA_GOC!$D:$D,$B453,DATA_GOC!$E:$E,"Dầu số",DATA_GOC!$F:$F,"Xuất nội bộ từ téc",DATA_GOC!$B:$B,DATE($D$2,$B$2,AE$4)),0))</f>
        <v>0</v>
      </c>
      <c r="AF453" s="251">
        <f>IF(AF$4&gt;DAY(EOMONTH(DATE($D$2,$B$2,1),0)),"",IFERROR(SUMIFS(DATA_GOC!$H:$H,DATA_GOC!$A:$A,"BOM",DATA_GOC!$D:$D,$B453,DATA_GOC!$E:$E,"Dầu số",DATA_GOC!$F:$F,"Xuất nội bộ từ téc",DATA_GOC!$B:$B,DATE($D$2,$B$2,AF$4)),0))</f>
        <v>0</v>
      </c>
      <c r="AG453" s="251">
        <f>IF(AG$4&gt;DAY(EOMONTH(DATE($D$2,$B$2,1),0)),"",IFERROR(SUMIFS(DATA_GOC!$H:$H,DATA_GOC!$A:$A,"BOM",DATA_GOC!$D:$D,$B453,DATA_GOC!$E:$E,"Dầu số",DATA_GOC!$F:$F,"Xuất nội bộ từ téc",DATA_GOC!$B:$B,DATE($D$2,$B$2,AG$4)),0))</f>
        <v>0</v>
      </c>
      <c r="AH453" s="252">
        <f t="shared" si="22"/>
        <v>0</v>
      </c>
      <c r="AI453" s="241"/>
      <c r="AJ453" s="242">
        <f>IF($B453="","",SUMIFS(TINH_TEC!$K$233:$K$9232,TINH_TEC!$H$233:$H$9232,$B453,TINH_TEC!$C$233:$C$9232,"Dầu số",TINH_TEC!$F$233:$F$9232,$B$2,TINH_TEC!$G$233:$G$9232,$D$2,TINH_TEC!$B$233:$B$9232,"Đã chốt"))</f>
        <v>0</v>
      </c>
      <c r="AK453" s="242">
        <f>IF($B453="","",SUMIFS(TINH_TEC!$J$233:$J$9232,TINH_TEC!$H$233:$H$9232,$B453,TINH_TEC!$C$233:$C$9232,"Dầu số",TINH_TEC!$F$233:$F$9232,$B$2,TINH_TEC!$G$233:$G$9232,$D$2,TINH_TEC!$B$233:$B$9232,"Đã chốt"))</f>
        <v>0</v>
      </c>
      <c r="AL453" s="242">
        <f t="shared" si="23"/>
        <v>0</v>
      </c>
    </row>
    <row r="454" ht="15.75" customHeight="1">
      <c r="A454" s="237">
        <f>IF($B454&lt;&gt;"",22,"")</f>
        <v>22</v>
      </c>
      <c r="B454" s="250" t="str">
        <f t="array" ref="B454">IFERROR(INDEX(DANH_MUC!$E:$E,25),"")</f>
        <v>28C03927</v>
      </c>
      <c r="C454" s="251">
        <f>IF(C$4&gt;DAY(EOMONTH(DATE($D$2,$B$2,1),0)),"",IFERROR(SUMIFS(DATA_GOC!$H:$H,DATA_GOC!$A:$A,"BOM",DATA_GOC!$D:$D,$B454,DATA_GOC!$E:$E,"Dầu số",DATA_GOC!$F:$F,"Xuất nội bộ từ téc",DATA_GOC!$B:$B,DATE($D$2,$B$2,C$4)),0))</f>
        <v>0</v>
      </c>
      <c r="D454" s="251">
        <f>IF(D$4&gt;DAY(EOMONTH(DATE($D$2,$B$2,1),0)),"",IFERROR(SUMIFS(DATA_GOC!$H:$H,DATA_GOC!$A:$A,"BOM",DATA_GOC!$D:$D,$B454,DATA_GOC!$E:$E,"Dầu số",DATA_GOC!$F:$F,"Xuất nội bộ từ téc",DATA_GOC!$B:$B,DATE($D$2,$B$2,D$4)),0))</f>
        <v>0</v>
      </c>
      <c r="E454" s="251">
        <f>IF(E$4&gt;DAY(EOMONTH(DATE($D$2,$B$2,1),0)),"",IFERROR(SUMIFS(DATA_GOC!$H:$H,DATA_GOC!$A:$A,"BOM",DATA_GOC!$D:$D,$B454,DATA_GOC!$E:$E,"Dầu số",DATA_GOC!$F:$F,"Xuất nội bộ từ téc",DATA_GOC!$B:$B,DATE($D$2,$B$2,E$4)),0))</f>
        <v>0</v>
      </c>
      <c r="F454" s="251">
        <f>IF(F$4&gt;DAY(EOMONTH(DATE($D$2,$B$2,1),0)),"",IFERROR(SUMIFS(DATA_GOC!$H:$H,DATA_GOC!$A:$A,"BOM",DATA_GOC!$D:$D,$B454,DATA_GOC!$E:$E,"Dầu số",DATA_GOC!$F:$F,"Xuất nội bộ từ téc",DATA_GOC!$B:$B,DATE($D$2,$B$2,F$4)),0))</f>
        <v>0</v>
      </c>
      <c r="G454" s="251">
        <f>IF(G$4&gt;DAY(EOMONTH(DATE($D$2,$B$2,1),0)),"",IFERROR(SUMIFS(DATA_GOC!$H:$H,DATA_GOC!$A:$A,"BOM",DATA_GOC!$D:$D,$B454,DATA_GOC!$E:$E,"Dầu số",DATA_GOC!$F:$F,"Xuất nội bộ từ téc",DATA_GOC!$B:$B,DATE($D$2,$B$2,G$4)),0))</f>
        <v>0</v>
      </c>
      <c r="H454" s="251">
        <f>IF(H$4&gt;DAY(EOMONTH(DATE($D$2,$B$2,1),0)),"",IFERROR(SUMIFS(DATA_GOC!$H:$H,DATA_GOC!$A:$A,"BOM",DATA_GOC!$D:$D,$B454,DATA_GOC!$E:$E,"Dầu số",DATA_GOC!$F:$F,"Xuất nội bộ từ téc",DATA_GOC!$B:$B,DATE($D$2,$B$2,H$4)),0))</f>
        <v>0</v>
      </c>
      <c r="I454" s="251">
        <f>IF(I$4&gt;DAY(EOMONTH(DATE($D$2,$B$2,1),0)),"",IFERROR(SUMIFS(DATA_GOC!$H:$H,DATA_GOC!$A:$A,"BOM",DATA_GOC!$D:$D,$B454,DATA_GOC!$E:$E,"Dầu số",DATA_GOC!$F:$F,"Xuất nội bộ từ téc",DATA_GOC!$B:$B,DATE($D$2,$B$2,I$4)),0))</f>
        <v>0</v>
      </c>
      <c r="J454" s="251">
        <f>IF(J$4&gt;DAY(EOMONTH(DATE($D$2,$B$2,1),0)),"",IFERROR(SUMIFS(DATA_GOC!$H:$H,DATA_GOC!$A:$A,"BOM",DATA_GOC!$D:$D,$B454,DATA_GOC!$E:$E,"Dầu số",DATA_GOC!$F:$F,"Xuất nội bộ từ téc",DATA_GOC!$B:$B,DATE($D$2,$B$2,J$4)),0))</f>
        <v>0</v>
      </c>
      <c r="K454" s="251">
        <f>IF(K$4&gt;DAY(EOMONTH(DATE($D$2,$B$2,1),0)),"",IFERROR(SUMIFS(DATA_GOC!$H:$H,DATA_GOC!$A:$A,"BOM",DATA_GOC!$D:$D,$B454,DATA_GOC!$E:$E,"Dầu số",DATA_GOC!$F:$F,"Xuất nội bộ từ téc",DATA_GOC!$B:$B,DATE($D$2,$B$2,K$4)),0))</f>
        <v>0</v>
      </c>
      <c r="L454" s="251">
        <f>IF(L$4&gt;DAY(EOMONTH(DATE($D$2,$B$2,1),0)),"",IFERROR(SUMIFS(DATA_GOC!$H:$H,DATA_GOC!$A:$A,"BOM",DATA_GOC!$D:$D,$B454,DATA_GOC!$E:$E,"Dầu số",DATA_GOC!$F:$F,"Xuất nội bộ từ téc",DATA_GOC!$B:$B,DATE($D$2,$B$2,L$4)),0))</f>
        <v>0</v>
      </c>
      <c r="M454" s="251">
        <f>IF(M$4&gt;DAY(EOMONTH(DATE($D$2,$B$2,1),0)),"",IFERROR(SUMIFS(DATA_GOC!$H:$H,DATA_GOC!$A:$A,"BOM",DATA_GOC!$D:$D,$B454,DATA_GOC!$E:$E,"Dầu số",DATA_GOC!$F:$F,"Xuất nội bộ từ téc",DATA_GOC!$B:$B,DATE($D$2,$B$2,M$4)),0))</f>
        <v>0</v>
      </c>
      <c r="N454" s="251">
        <f>IF(N$4&gt;DAY(EOMONTH(DATE($D$2,$B$2,1),0)),"",IFERROR(SUMIFS(DATA_GOC!$H:$H,DATA_GOC!$A:$A,"BOM",DATA_GOC!$D:$D,$B454,DATA_GOC!$E:$E,"Dầu số",DATA_GOC!$F:$F,"Xuất nội bộ từ téc",DATA_GOC!$B:$B,DATE($D$2,$B$2,N$4)),0))</f>
        <v>0</v>
      </c>
      <c r="O454" s="251">
        <f>IF(O$4&gt;DAY(EOMONTH(DATE($D$2,$B$2,1),0)),"",IFERROR(SUMIFS(DATA_GOC!$H:$H,DATA_GOC!$A:$A,"BOM",DATA_GOC!$D:$D,$B454,DATA_GOC!$E:$E,"Dầu số",DATA_GOC!$F:$F,"Xuất nội bộ từ téc",DATA_GOC!$B:$B,DATE($D$2,$B$2,O$4)),0))</f>
        <v>0</v>
      </c>
      <c r="P454" s="251">
        <f>IF(P$4&gt;DAY(EOMONTH(DATE($D$2,$B$2,1),0)),"",IFERROR(SUMIFS(DATA_GOC!$H:$H,DATA_GOC!$A:$A,"BOM",DATA_GOC!$D:$D,$B454,DATA_GOC!$E:$E,"Dầu số",DATA_GOC!$F:$F,"Xuất nội bộ từ téc",DATA_GOC!$B:$B,DATE($D$2,$B$2,P$4)),0))</f>
        <v>0</v>
      </c>
      <c r="Q454" s="251">
        <f>IF(Q$4&gt;DAY(EOMONTH(DATE($D$2,$B$2,1),0)),"",IFERROR(SUMIFS(DATA_GOC!$H:$H,DATA_GOC!$A:$A,"BOM",DATA_GOC!$D:$D,$B454,DATA_GOC!$E:$E,"Dầu số",DATA_GOC!$F:$F,"Xuất nội bộ từ téc",DATA_GOC!$B:$B,DATE($D$2,$B$2,Q$4)),0))</f>
        <v>0</v>
      </c>
      <c r="R454" s="251">
        <f>IF(R$4&gt;DAY(EOMONTH(DATE($D$2,$B$2,1),0)),"",IFERROR(SUMIFS(DATA_GOC!$H:$H,DATA_GOC!$A:$A,"BOM",DATA_GOC!$D:$D,$B454,DATA_GOC!$E:$E,"Dầu số",DATA_GOC!$F:$F,"Xuất nội bộ từ téc",DATA_GOC!$B:$B,DATE($D$2,$B$2,R$4)),0))</f>
        <v>0</v>
      </c>
      <c r="S454" s="251">
        <f>IF(S$4&gt;DAY(EOMONTH(DATE($D$2,$B$2,1),0)),"",IFERROR(SUMIFS(DATA_GOC!$H:$H,DATA_GOC!$A:$A,"BOM",DATA_GOC!$D:$D,$B454,DATA_GOC!$E:$E,"Dầu số",DATA_GOC!$F:$F,"Xuất nội bộ từ téc",DATA_GOC!$B:$B,DATE($D$2,$B$2,S$4)),0))</f>
        <v>0</v>
      </c>
      <c r="T454" s="251">
        <f>IF(T$4&gt;DAY(EOMONTH(DATE($D$2,$B$2,1),0)),"",IFERROR(SUMIFS(DATA_GOC!$H:$H,DATA_GOC!$A:$A,"BOM",DATA_GOC!$D:$D,$B454,DATA_GOC!$E:$E,"Dầu số",DATA_GOC!$F:$F,"Xuất nội bộ từ téc",DATA_GOC!$B:$B,DATE($D$2,$B$2,T$4)),0))</f>
        <v>0</v>
      </c>
      <c r="U454" s="251">
        <f>IF(U$4&gt;DAY(EOMONTH(DATE($D$2,$B$2,1),0)),"",IFERROR(SUMIFS(DATA_GOC!$H:$H,DATA_GOC!$A:$A,"BOM",DATA_GOC!$D:$D,$B454,DATA_GOC!$E:$E,"Dầu số",DATA_GOC!$F:$F,"Xuất nội bộ từ téc",DATA_GOC!$B:$B,DATE($D$2,$B$2,U$4)),0))</f>
        <v>0</v>
      </c>
      <c r="V454" s="251">
        <f>IF(V$4&gt;DAY(EOMONTH(DATE($D$2,$B$2,1),0)),"",IFERROR(SUMIFS(DATA_GOC!$H:$H,DATA_GOC!$A:$A,"BOM",DATA_GOC!$D:$D,$B454,DATA_GOC!$E:$E,"Dầu số",DATA_GOC!$F:$F,"Xuất nội bộ từ téc",DATA_GOC!$B:$B,DATE($D$2,$B$2,V$4)),0))</f>
        <v>0</v>
      </c>
      <c r="W454" s="251">
        <f>IF(W$4&gt;DAY(EOMONTH(DATE($D$2,$B$2,1),0)),"",IFERROR(SUMIFS(DATA_GOC!$H:$H,DATA_GOC!$A:$A,"BOM",DATA_GOC!$D:$D,$B454,DATA_GOC!$E:$E,"Dầu số",DATA_GOC!$F:$F,"Xuất nội bộ từ téc",DATA_GOC!$B:$B,DATE($D$2,$B$2,W$4)),0))</f>
        <v>0</v>
      </c>
      <c r="X454" s="251">
        <f>IF(X$4&gt;DAY(EOMONTH(DATE($D$2,$B$2,1),0)),"",IFERROR(SUMIFS(DATA_GOC!$H:$H,DATA_GOC!$A:$A,"BOM",DATA_GOC!$D:$D,$B454,DATA_GOC!$E:$E,"Dầu số",DATA_GOC!$F:$F,"Xuất nội bộ từ téc",DATA_GOC!$B:$B,DATE($D$2,$B$2,X$4)),0))</f>
        <v>0</v>
      </c>
      <c r="Y454" s="251">
        <f>IF(Y$4&gt;DAY(EOMONTH(DATE($D$2,$B$2,1),0)),"",IFERROR(SUMIFS(DATA_GOC!$H:$H,DATA_GOC!$A:$A,"BOM",DATA_GOC!$D:$D,$B454,DATA_GOC!$E:$E,"Dầu số",DATA_GOC!$F:$F,"Xuất nội bộ từ téc",DATA_GOC!$B:$B,DATE($D$2,$B$2,Y$4)),0))</f>
        <v>0</v>
      </c>
      <c r="Z454" s="251">
        <f>IF(Z$4&gt;DAY(EOMONTH(DATE($D$2,$B$2,1),0)),"",IFERROR(SUMIFS(DATA_GOC!$H:$H,DATA_GOC!$A:$A,"BOM",DATA_GOC!$D:$D,$B454,DATA_GOC!$E:$E,"Dầu số",DATA_GOC!$F:$F,"Xuất nội bộ từ téc",DATA_GOC!$B:$B,DATE($D$2,$B$2,Z$4)),0))</f>
        <v>0</v>
      </c>
      <c r="AA454" s="251">
        <f>IF(AA$4&gt;DAY(EOMONTH(DATE($D$2,$B$2,1),0)),"",IFERROR(SUMIFS(DATA_GOC!$H:$H,DATA_GOC!$A:$A,"BOM",DATA_GOC!$D:$D,$B454,DATA_GOC!$E:$E,"Dầu số",DATA_GOC!$F:$F,"Xuất nội bộ từ téc",DATA_GOC!$B:$B,DATE($D$2,$B$2,AA$4)),0))</f>
        <v>0</v>
      </c>
      <c r="AB454" s="251">
        <f>IF(AB$4&gt;DAY(EOMONTH(DATE($D$2,$B$2,1),0)),"",IFERROR(SUMIFS(DATA_GOC!$H:$H,DATA_GOC!$A:$A,"BOM",DATA_GOC!$D:$D,$B454,DATA_GOC!$E:$E,"Dầu số",DATA_GOC!$F:$F,"Xuất nội bộ từ téc",DATA_GOC!$B:$B,DATE($D$2,$B$2,AB$4)),0))</f>
        <v>0</v>
      </c>
      <c r="AC454" s="251">
        <f>IF(AC$4&gt;DAY(EOMONTH(DATE($D$2,$B$2,1),0)),"",IFERROR(SUMIFS(DATA_GOC!$H:$H,DATA_GOC!$A:$A,"BOM",DATA_GOC!$D:$D,$B454,DATA_GOC!$E:$E,"Dầu số",DATA_GOC!$F:$F,"Xuất nội bộ từ téc",DATA_GOC!$B:$B,DATE($D$2,$B$2,AC$4)),0))</f>
        <v>0</v>
      </c>
      <c r="AD454" s="251">
        <f>IF(AD$4&gt;DAY(EOMONTH(DATE($D$2,$B$2,1),0)),"",IFERROR(SUMIFS(DATA_GOC!$H:$H,DATA_GOC!$A:$A,"BOM",DATA_GOC!$D:$D,$B454,DATA_GOC!$E:$E,"Dầu số",DATA_GOC!$F:$F,"Xuất nội bộ từ téc",DATA_GOC!$B:$B,DATE($D$2,$B$2,AD$4)),0))</f>
        <v>0</v>
      </c>
      <c r="AE454" s="251">
        <f>IF(AE$4&gt;DAY(EOMONTH(DATE($D$2,$B$2,1),0)),"",IFERROR(SUMIFS(DATA_GOC!$H:$H,DATA_GOC!$A:$A,"BOM",DATA_GOC!$D:$D,$B454,DATA_GOC!$E:$E,"Dầu số",DATA_GOC!$F:$F,"Xuất nội bộ từ téc",DATA_GOC!$B:$B,DATE($D$2,$B$2,AE$4)),0))</f>
        <v>0</v>
      </c>
      <c r="AF454" s="251">
        <f>IF(AF$4&gt;DAY(EOMONTH(DATE($D$2,$B$2,1),0)),"",IFERROR(SUMIFS(DATA_GOC!$H:$H,DATA_GOC!$A:$A,"BOM",DATA_GOC!$D:$D,$B454,DATA_GOC!$E:$E,"Dầu số",DATA_GOC!$F:$F,"Xuất nội bộ từ téc",DATA_GOC!$B:$B,DATE($D$2,$B$2,AF$4)),0))</f>
        <v>0</v>
      </c>
      <c r="AG454" s="251">
        <f>IF(AG$4&gt;DAY(EOMONTH(DATE($D$2,$B$2,1),0)),"",IFERROR(SUMIFS(DATA_GOC!$H:$H,DATA_GOC!$A:$A,"BOM",DATA_GOC!$D:$D,$B454,DATA_GOC!$E:$E,"Dầu số",DATA_GOC!$F:$F,"Xuất nội bộ từ téc",DATA_GOC!$B:$B,DATE($D$2,$B$2,AG$4)),0))</f>
        <v>0</v>
      </c>
      <c r="AH454" s="252">
        <f t="shared" si="22"/>
        <v>0</v>
      </c>
      <c r="AI454" s="241"/>
      <c r="AJ454" s="242">
        <f>IF($B454="","",SUMIFS(TINH_TEC!$K$233:$K$9232,TINH_TEC!$H$233:$H$9232,$B454,TINH_TEC!$C$233:$C$9232,"Dầu số",TINH_TEC!$F$233:$F$9232,$B$2,TINH_TEC!$G$233:$G$9232,$D$2,TINH_TEC!$B$233:$B$9232,"Đã chốt"))</f>
        <v>0</v>
      </c>
      <c r="AK454" s="242">
        <f>IF($B454="","",SUMIFS(TINH_TEC!$J$233:$J$9232,TINH_TEC!$H$233:$H$9232,$B454,TINH_TEC!$C$233:$C$9232,"Dầu số",TINH_TEC!$F$233:$F$9232,$B$2,TINH_TEC!$G$233:$G$9232,$D$2,TINH_TEC!$B$233:$B$9232,"Đã chốt"))</f>
        <v>0</v>
      </c>
      <c r="AL454" s="242">
        <f t="shared" si="23"/>
        <v>0</v>
      </c>
    </row>
    <row r="455" ht="15.75" customHeight="1">
      <c r="A455" s="237">
        <f>IF($B455&lt;&gt;"",23,"")</f>
        <v>23</v>
      </c>
      <c r="B455" s="250" t="str">
        <f t="array" ref="B455">IFERROR(INDEX(DANH_MUC!$E:$E,26),"")</f>
        <v>28C04509</v>
      </c>
      <c r="C455" s="251">
        <f>IF(C$4&gt;DAY(EOMONTH(DATE($D$2,$B$2,1),0)),"",IFERROR(SUMIFS(DATA_GOC!$H:$H,DATA_GOC!$A:$A,"BOM",DATA_GOC!$D:$D,$B455,DATA_GOC!$E:$E,"Dầu số",DATA_GOC!$F:$F,"Xuất nội bộ từ téc",DATA_GOC!$B:$B,DATE($D$2,$B$2,C$4)),0))</f>
        <v>0</v>
      </c>
      <c r="D455" s="251">
        <f>IF(D$4&gt;DAY(EOMONTH(DATE($D$2,$B$2,1),0)),"",IFERROR(SUMIFS(DATA_GOC!$H:$H,DATA_GOC!$A:$A,"BOM",DATA_GOC!$D:$D,$B455,DATA_GOC!$E:$E,"Dầu số",DATA_GOC!$F:$F,"Xuất nội bộ từ téc",DATA_GOC!$B:$B,DATE($D$2,$B$2,D$4)),0))</f>
        <v>0</v>
      </c>
      <c r="E455" s="251">
        <f>IF(E$4&gt;DAY(EOMONTH(DATE($D$2,$B$2,1),0)),"",IFERROR(SUMIFS(DATA_GOC!$H:$H,DATA_GOC!$A:$A,"BOM",DATA_GOC!$D:$D,$B455,DATA_GOC!$E:$E,"Dầu số",DATA_GOC!$F:$F,"Xuất nội bộ từ téc",DATA_GOC!$B:$B,DATE($D$2,$B$2,E$4)),0))</f>
        <v>0</v>
      </c>
      <c r="F455" s="251">
        <f>IF(F$4&gt;DAY(EOMONTH(DATE($D$2,$B$2,1),0)),"",IFERROR(SUMIFS(DATA_GOC!$H:$H,DATA_GOC!$A:$A,"BOM",DATA_GOC!$D:$D,$B455,DATA_GOC!$E:$E,"Dầu số",DATA_GOC!$F:$F,"Xuất nội bộ từ téc",DATA_GOC!$B:$B,DATE($D$2,$B$2,F$4)),0))</f>
        <v>0</v>
      </c>
      <c r="G455" s="251">
        <f>IF(G$4&gt;DAY(EOMONTH(DATE($D$2,$B$2,1),0)),"",IFERROR(SUMIFS(DATA_GOC!$H:$H,DATA_GOC!$A:$A,"BOM",DATA_GOC!$D:$D,$B455,DATA_GOC!$E:$E,"Dầu số",DATA_GOC!$F:$F,"Xuất nội bộ từ téc",DATA_GOC!$B:$B,DATE($D$2,$B$2,G$4)),0))</f>
        <v>0</v>
      </c>
      <c r="H455" s="251">
        <f>IF(H$4&gt;DAY(EOMONTH(DATE($D$2,$B$2,1),0)),"",IFERROR(SUMIFS(DATA_GOC!$H:$H,DATA_GOC!$A:$A,"BOM",DATA_GOC!$D:$D,$B455,DATA_GOC!$E:$E,"Dầu số",DATA_GOC!$F:$F,"Xuất nội bộ từ téc",DATA_GOC!$B:$B,DATE($D$2,$B$2,H$4)),0))</f>
        <v>0</v>
      </c>
      <c r="I455" s="251">
        <f>IF(I$4&gt;DAY(EOMONTH(DATE($D$2,$B$2,1),0)),"",IFERROR(SUMIFS(DATA_GOC!$H:$H,DATA_GOC!$A:$A,"BOM",DATA_GOC!$D:$D,$B455,DATA_GOC!$E:$E,"Dầu số",DATA_GOC!$F:$F,"Xuất nội bộ từ téc",DATA_GOC!$B:$B,DATE($D$2,$B$2,I$4)),0))</f>
        <v>0</v>
      </c>
      <c r="J455" s="251">
        <f>IF(J$4&gt;DAY(EOMONTH(DATE($D$2,$B$2,1),0)),"",IFERROR(SUMIFS(DATA_GOC!$H:$H,DATA_GOC!$A:$A,"BOM",DATA_GOC!$D:$D,$B455,DATA_GOC!$E:$E,"Dầu số",DATA_GOC!$F:$F,"Xuất nội bộ từ téc",DATA_GOC!$B:$B,DATE($D$2,$B$2,J$4)),0))</f>
        <v>0</v>
      </c>
      <c r="K455" s="251">
        <f>IF(K$4&gt;DAY(EOMONTH(DATE($D$2,$B$2,1),0)),"",IFERROR(SUMIFS(DATA_GOC!$H:$H,DATA_GOC!$A:$A,"BOM",DATA_GOC!$D:$D,$B455,DATA_GOC!$E:$E,"Dầu số",DATA_GOC!$F:$F,"Xuất nội bộ từ téc",DATA_GOC!$B:$B,DATE($D$2,$B$2,K$4)),0))</f>
        <v>0</v>
      </c>
      <c r="L455" s="251">
        <f>IF(L$4&gt;DAY(EOMONTH(DATE($D$2,$B$2,1),0)),"",IFERROR(SUMIFS(DATA_GOC!$H:$H,DATA_GOC!$A:$A,"BOM",DATA_GOC!$D:$D,$B455,DATA_GOC!$E:$E,"Dầu số",DATA_GOC!$F:$F,"Xuất nội bộ từ téc",DATA_GOC!$B:$B,DATE($D$2,$B$2,L$4)),0))</f>
        <v>0</v>
      </c>
      <c r="M455" s="251">
        <f>IF(M$4&gt;DAY(EOMONTH(DATE($D$2,$B$2,1),0)),"",IFERROR(SUMIFS(DATA_GOC!$H:$H,DATA_GOC!$A:$A,"BOM",DATA_GOC!$D:$D,$B455,DATA_GOC!$E:$E,"Dầu số",DATA_GOC!$F:$F,"Xuất nội bộ từ téc",DATA_GOC!$B:$B,DATE($D$2,$B$2,M$4)),0))</f>
        <v>0</v>
      </c>
      <c r="N455" s="251">
        <f>IF(N$4&gt;DAY(EOMONTH(DATE($D$2,$B$2,1),0)),"",IFERROR(SUMIFS(DATA_GOC!$H:$H,DATA_GOC!$A:$A,"BOM",DATA_GOC!$D:$D,$B455,DATA_GOC!$E:$E,"Dầu số",DATA_GOC!$F:$F,"Xuất nội bộ từ téc",DATA_GOC!$B:$B,DATE($D$2,$B$2,N$4)),0))</f>
        <v>0</v>
      </c>
      <c r="O455" s="251">
        <f>IF(O$4&gt;DAY(EOMONTH(DATE($D$2,$B$2,1),0)),"",IFERROR(SUMIFS(DATA_GOC!$H:$H,DATA_GOC!$A:$A,"BOM",DATA_GOC!$D:$D,$B455,DATA_GOC!$E:$E,"Dầu số",DATA_GOC!$F:$F,"Xuất nội bộ từ téc",DATA_GOC!$B:$B,DATE($D$2,$B$2,O$4)),0))</f>
        <v>0</v>
      </c>
      <c r="P455" s="251">
        <f>IF(P$4&gt;DAY(EOMONTH(DATE($D$2,$B$2,1),0)),"",IFERROR(SUMIFS(DATA_GOC!$H:$H,DATA_GOC!$A:$A,"BOM",DATA_GOC!$D:$D,$B455,DATA_GOC!$E:$E,"Dầu số",DATA_GOC!$F:$F,"Xuất nội bộ từ téc",DATA_GOC!$B:$B,DATE($D$2,$B$2,P$4)),0))</f>
        <v>0</v>
      </c>
      <c r="Q455" s="251">
        <f>IF(Q$4&gt;DAY(EOMONTH(DATE($D$2,$B$2,1),0)),"",IFERROR(SUMIFS(DATA_GOC!$H:$H,DATA_GOC!$A:$A,"BOM",DATA_GOC!$D:$D,$B455,DATA_GOC!$E:$E,"Dầu số",DATA_GOC!$F:$F,"Xuất nội bộ từ téc",DATA_GOC!$B:$B,DATE($D$2,$B$2,Q$4)),0))</f>
        <v>0</v>
      </c>
      <c r="R455" s="251">
        <f>IF(R$4&gt;DAY(EOMONTH(DATE($D$2,$B$2,1),0)),"",IFERROR(SUMIFS(DATA_GOC!$H:$H,DATA_GOC!$A:$A,"BOM",DATA_GOC!$D:$D,$B455,DATA_GOC!$E:$E,"Dầu số",DATA_GOC!$F:$F,"Xuất nội bộ từ téc",DATA_GOC!$B:$B,DATE($D$2,$B$2,R$4)),0))</f>
        <v>0</v>
      </c>
      <c r="S455" s="251">
        <f>IF(S$4&gt;DAY(EOMONTH(DATE($D$2,$B$2,1),0)),"",IFERROR(SUMIFS(DATA_GOC!$H:$H,DATA_GOC!$A:$A,"BOM",DATA_GOC!$D:$D,$B455,DATA_GOC!$E:$E,"Dầu số",DATA_GOC!$F:$F,"Xuất nội bộ từ téc",DATA_GOC!$B:$B,DATE($D$2,$B$2,S$4)),0))</f>
        <v>0</v>
      </c>
      <c r="T455" s="251">
        <f>IF(T$4&gt;DAY(EOMONTH(DATE($D$2,$B$2,1),0)),"",IFERROR(SUMIFS(DATA_GOC!$H:$H,DATA_GOC!$A:$A,"BOM",DATA_GOC!$D:$D,$B455,DATA_GOC!$E:$E,"Dầu số",DATA_GOC!$F:$F,"Xuất nội bộ từ téc",DATA_GOC!$B:$B,DATE($D$2,$B$2,T$4)),0))</f>
        <v>0</v>
      </c>
      <c r="U455" s="251">
        <f>IF(U$4&gt;DAY(EOMONTH(DATE($D$2,$B$2,1),0)),"",IFERROR(SUMIFS(DATA_GOC!$H:$H,DATA_GOC!$A:$A,"BOM",DATA_GOC!$D:$D,$B455,DATA_GOC!$E:$E,"Dầu số",DATA_GOC!$F:$F,"Xuất nội bộ từ téc",DATA_GOC!$B:$B,DATE($D$2,$B$2,U$4)),0))</f>
        <v>0</v>
      </c>
      <c r="V455" s="251">
        <f>IF(V$4&gt;DAY(EOMONTH(DATE($D$2,$B$2,1),0)),"",IFERROR(SUMIFS(DATA_GOC!$H:$H,DATA_GOC!$A:$A,"BOM",DATA_GOC!$D:$D,$B455,DATA_GOC!$E:$E,"Dầu số",DATA_GOC!$F:$F,"Xuất nội bộ từ téc",DATA_GOC!$B:$B,DATE($D$2,$B$2,V$4)),0))</f>
        <v>0</v>
      </c>
      <c r="W455" s="251">
        <f>IF(W$4&gt;DAY(EOMONTH(DATE($D$2,$B$2,1),0)),"",IFERROR(SUMIFS(DATA_GOC!$H:$H,DATA_GOC!$A:$A,"BOM",DATA_GOC!$D:$D,$B455,DATA_GOC!$E:$E,"Dầu số",DATA_GOC!$F:$F,"Xuất nội bộ từ téc",DATA_GOC!$B:$B,DATE($D$2,$B$2,W$4)),0))</f>
        <v>0</v>
      </c>
      <c r="X455" s="251">
        <f>IF(X$4&gt;DAY(EOMONTH(DATE($D$2,$B$2,1),0)),"",IFERROR(SUMIFS(DATA_GOC!$H:$H,DATA_GOC!$A:$A,"BOM",DATA_GOC!$D:$D,$B455,DATA_GOC!$E:$E,"Dầu số",DATA_GOC!$F:$F,"Xuất nội bộ từ téc",DATA_GOC!$B:$B,DATE($D$2,$B$2,X$4)),0))</f>
        <v>0</v>
      </c>
      <c r="Y455" s="251">
        <f>IF(Y$4&gt;DAY(EOMONTH(DATE($D$2,$B$2,1),0)),"",IFERROR(SUMIFS(DATA_GOC!$H:$H,DATA_GOC!$A:$A,"BOM",DATA_GOC!$D:$D,$B455,DATA_GOC!$E:$E,"Dầu số",DATA_GOC!$F:$F,"Xuất nội bộ từ téc",DATA_GOC!$B:$B,DATE($D$2,$B$2,Y$4)),0))</f>
        <v>0</v>
      </c>
      <c r="Z455" s="251">
        <f>IF(Z$4&gt;DAY(EOMONTH(DATE($D$2,$B$2,1),0)),"",IFERROR(SUMIFS(DATA_GOC!$H:$H,DATA_GOC!$A:$A,"BOM",DATA_GOC!$D:$D,$B455,DATA_GOC!$E:$E,"Dầu số",DATA_GOC!$F:$F,"Xuất nội bộ từ téc",DATA_GOC!$B:$B,DATE($D$2,$B$2,Z$4)),0))</f>
        <v>0</v>
      </c>
      <c r="AA455" s="251">
        <f>IF(AA$4&gt;DAY(EOMONTH(DATE($D$2,$B$2,1),0)),"",IFERROR(SUMIFS(DATA_GOC!$H:$H,DATA_GOC!$A:$A,"BOM",DATA_GOC!$D:$D,$B455,DATA_GOC!$E:$E,"Dầu số",DATA_GOC!$F:$F,"Xuất nội bộ từ téc",DATA_GOC!$B:$B,DATE($D$2,$B$2,AA$4)),0))</f>
        <v>0</v>
      </c>
      <c r="AB455" s="251">
        <f>IF(AB$4&gt;DAY(EOMONTH(DATE($D$2,$B$2,1),0)),"",IFERROR(SUMIFS(DATA_GOC!$H:$H,DATA_GOC!$A:$A,"BOM",DATA_GOC!$D:$D,$B455,DATA_GOC!$E:$E,"Dầu số",DATA_GOC!$F:$F,"Xuất nội bộ từ téc",DATA_GOC!$B:$B,DATE($D$2,$B$2,AB$4)),0))</f>
        <v>0</v>
      </c>
      <c r="AC455" s="251">
        <f>IF(AC$4&gt;DAY(EOMONTH(DATE($D$2,$B$2,1),0)),"",IFERROR(SUMIFS(DATA_GOC!$H:$H,DATA_GOC!$A:$A,"BOM",DATA_GOC!$D:$D,$B455,DATA_GOC!$E:$E,"Dầu số",DATA_GOC!$F:$F,"Xuất nội bộ từ téc",DATA_GOC!$B:$B,DATE($D$2,$B$2,AC$4)),0))</f>
        <v>0</v>
      </c>
      <c r="AD455" s="251">
        <f>IF(AD$4&gt;DAY(EOMONTH(DATE($D$2,$B$2,1),0)),"",IFERROR(SUMIFS(DATA_GOC!$H:$H,DATA_GOC!$A:$A,"BOM",DATA_GOC!$D:$D,$B455,DATA_GOC!$E:$E,"Dầu số",DATA_GOC!$F:$F,"Xuất nội bộ từ téc",DATA_GOC!$B:$B,DATE($D$2,$B$2,AD$4)),0))</f>
        <v>0</v>
      </c>
      <c r="AE455" s="251">
        <f>IF(AE$4&gt;DAY(EOMONTH(DATE($D$2,$B$2,1),0)),"",IFERROR(SUMIFS(DATA_GOC!$H:$H,DATA_GOC!$A:$A,"BOM",DATA_GOC!$D:$D,$B455,DATA_GOC!$E:$E,"Dầu số",DATA_GOC!$F:$F,"Xuất nội bộ từ téc",DATA_GOC!$B:$B,DATE($D$2,$B$2,AE$4)),0))</f>
        <v>0</v>
      </c>
      <c r="AF455" s="251">
        <f>IF(AF$4&gt;DAY(EOMONTH(DATE($D$2,$B$2,1),0)),"",IFERROR(SUMIFS(DATA_GOC!$H:$H,DATA_GOC!$A:$A,"BOM",DATA_GOC!$D:$D,$B455,DATA_GOC!$E:$E,"Dầu số",DATA_GOC!$F:$F,"Xuất nội bộ từ téc",DATA_GOC!$B:$B,DATE($D$2,$B$2,AF$4)),0))</f>
        <v>0</v>
      </c>
      <c r="AG455" s="251">
        <f>IF(AG$4&gt;DAY(EOMONTH(DATE($D$2,$B$2,1),0)),"",IFERROR(SUMIFS(DATA_GOC!$H:$H,DATA_GOC!$A:$A,"BOM",DATA_GOC!$D:$D,$B455,DATA_GOC!$E:$E,"Dầu số",DATA_GOC!$F:$F,"Xuất nội bộ từ téc",DATA_GOC!$B:$B,DATE($D$2,$B$2,AG$4)),0))</f>
        <v>0</v>
      </c>
      <c r="AH455" s="252">
        <f t="shared" si="22"/>
        <v>0</v>
      </c>
      <c r="AI455" s="241"/>
      <c r="AJ455" s="242">
        <f>IF($B455="","",SUMIFS(TINH_TEC!$K$233:$K$9232,TINH_TEC!$H$233:$H$9232,$B455,TINH_TEC!$C$233:$C$9232,"Dầu số",TINH_TEC!$F$233:$F$9232,$B$2,TINH_TEC!$G$233:$G$9232,$D$2,TINH_TEC!$B$233:$B$9232,"Đã chốt"))</f>
        <v>0</v>
      </c>
      <c r="AK455" s="242">
        <f>IF($B455="","",SUMIFS(TINH_TEC!$J$233:$J$9232,TINH_TEC!$H$233:$H$9232,$B455,TINH_TEC!$C$233:$C$9232,"Dầu số",TINH_TEC!$F$233:$F$9232,$B$2,TINH_TEC!$G$233:$G$9232,$D$2,TINH_TEC!$B$233:$B$9232,"Đã chốt"))</f>
        <v>0</v>
      </c>
      <c r="AL455" s="242">
        <f t="shared" si="23"/>
        <v>0</v>
      </c>
    </row>
    <row r="456" ht="15.75" customHeight="1">
      <c r="A456" s="237">
        <f>IF($B456&lt;&gt;"",24,"")</f>
        <v>24</v>
      </c>
      <c r="B456" s="250" t="str">
        <f t="array" ref="B456">IFERROR(INDEX(DANH_MUC!$E:$E,27),"")</f>
        <v>28C04536</v>
      </c>
      <c r="C456" s="251">
        <f>IF(C$4&gt;DAY(EOMONTH(DATE($D$2,$B$2,1),0)),"",IFERROR(SUMIFS(DATA_GOC!$H:$H,DATA_GOC!$A:$A,"BOM",DATA_GOC!$D:$D,$B456,DATA_GOC!$E:$E,"Dầu số",DATA_GOC!$F:$F,"Xuất nội bộ từ téc",DATA_GOC!$B:$B,DATE($D$2,$B$2,C$4)),0))</f>
        <v>0</v>
      </c>
      <c r="D456" s="251">
        <f>IF(D$4&gt;DAY(EOMONTH(DATE($D$2,$B$2,1),0)),"",IFERROR(SUMIFS(DATA_GOC!$H:$H,DATA_GOC!$A:$A,"BOM",DATA_GOC!$D:$D,$B456,DATA_GOC!$E:$E,"Dầu số",DATA_GOC!$F:$F,"Xuất nội bộ từ téc",DATA_GOC!$B:$B,DATE($D$2,$B$2,D$4)),0))</f>
        <v>0</v>
      </c>
      <c r="E456" s="251">
        <f>IF(E$4&gt;DAY(EOMONTH(DATE($D$2,$B$2,1),0)),"",IFERROR(SUMIFS(DATA_GOC!$H:$H,DATA_GOC!$A:$A,"BOM",DATA_GOC!$D:$D,$B456,DATA_GOC!$E:$E,"Dầu số",DATA_GOC!$F:$F,"Xuất nội bộ từ téc",DATA_GOC!$B:$B,DATE($D$2,$B$2,E$4)),0))</f>
        <v>0</v>
      </c>
      <c r="F456" s="251">
        <f>IF(F$4&gt;DAY(EOMONTH(DATE($D$2,$B$2,1),0)),"",IFERROR(SUMIFS(DATA_GOC!$H:$H,DATA_GOC!$A:$A,"BOM",DATA_GOC!$D:$D,$B456,DATA_GOC!$E:$E,"Dầu số",DATA_GOC!$F:$F,"Xuất nội bộ từ téc",DATA_GOC!$B:$B,DATE($D$2,$B$2,F$4)),0))</f>
        <v>0</v>
      </c>
      <c r="G456" s="251">
        <f>IF(G$4&gt;DAY(EOMONTH(DATE($D$2,$B$2,1),0)),"",IFERROR(SUMIFS(DATA_GOC!$H:$H,DATA_GOC!$A:$A,"BOM",DATA_GOC!$D:$D,$B456,DATA_GOC!$E:$E,"Dầu số",DATA_GOC!$F:$F,"Xuất nội bộ từ téc",DATA_GOC!$B:$B,DATE($D$2,$B$2,G$4)),0))</f>
        <v>0</v>
      </c>
      <c r="H456" s="251">
        <f>IF(H$4&gt;DAY(EOMONTH(DATE($D$2,$B$2,1),0)),"",IFERROR(SUMIFS(DATA_GOC!$H:$H,DATA_GOC!$A:$A,"BOM",DATA_GOC!$D:$D,$B456,DATA_GOC!$E:$E,"Dầu số",DATA_GOC!$F:$F,"Xuất nội bộ từ téc",DATA_GOC!$B:$B,DATE($D$2,$B$2,H$4)),0))</f>
        <v>0</v>
      </c>
      <c r="I456" s="251">
        <f>IF(I$4&gt;DAY(EOMONTH(DATE($D$2,$B$2,1),0)),"",IFERROR(SUMIFS(DATA_GOC!$H:$H,DATA_GOC!$A:$A,"BOM",DATA_GOC!$D:$D,$B456,DATA_GOC!$E:$E,"Dầu số",DATA_GOC!$F:$F,"Xuất nội bộ từ téc",DATA_GOC!$B:$B,DATE($D$2,$B$2,I$4)),0))</f>
        <v>0</v>
      </c>
      <c r="J456" s="251">
        <f>IF(J$4&gt;DAY(EOMONTH(DATE($D$2,$B$2,1),0)),"",IFERROR(SUMIFS(DATA_GOC!$H:$H,DATA_GOC!$A:$A,"BOM",DATA_GOC!$D:$D,$B456,DATA_GOC!$E:$E,"Dầu số",DATA_GOC!$F:$F,"Xuất nội bộ từ téc",DATA_GOC!$B:$B,DATE($D$2,$B$2,J$4)),0))</f>
        <v>0</v>
      </c>
      <c r="K456" s="251">
        <f>IF(K$4&gt;DAY(EOMONTH(DATE($D$2,$B$2,1),0)),"",IFERROR(SUMIFS(DATA_GOC!$H:$H,DATA_GOC!$A:$A,"BOM",DATA_GOC!$D:$D,$B456,DATA_GOC!$E:$E,"Dầu số",DATA_GOC!$F:$F,"Xuất nội bộ từ téc",DATA_GOC!$B:$B,DATE($D$2,$B$2,K$4)),0))</f>
        <v>0</v>
      </c>
      <c r="L456" s="251">
        <f>IF(L$4&gt;DAY(EOMONTH(DATE($D$2,$B$2,1),0)),"",IFERROR(SUMIFS(DATA_GOC!$H:$H,DATA_GOC!$A:$A,"BOM",DATA_GOC!$D:$D,$B456,DATA_GOC!$E:$E,"Dầu số",DATA_GOC!$F:$F,"Xuất nội bộ từ téc",DATA_GOC!$B:$B,DATE($D$2,$B$2,L$4)),0))</f>
        <v>0</v>
      </c>
      <c r="M456" s="251">
        <f>IF(M$4&gt;DAY(EOMONTH(DATE($D$2,$B$2,1),0)),"",IFERROR(SUMIFS(DATA_GOC!$H:$H,DATA_GOC!$A:$A,"BOM",DATA_GOC!$D:$D,$B456,DATA_GOC!$E:$E,"Dầu số",DATA_GOC!$F:$F,"Xuất nội bộ từ téc",DATA_GOC!$B:$B,DATE($D$2,$B$2,M$4)),0))</f>
        <v>0</v>
      </c>
      <c r="N456" s="251">
        <f>IF(N$4&gt;DAY(EOMONTH(DATE($D$2,$B$2,1),0)),"",IFERROR(SUMIFS(DATA_GOC!$H:$H,DATA_GOC!$A:$A,"BOM",DATA_GOC!$D:$D,$B456,DATA_GOC!$E:$E,"Dầu số",DATA_GOC!$F:$F,"Xuất nội bộ từ téc",DATA_GOC!$B:$B,DATE($D$2,$B$2,N$4)),0))</f>
        <v>0</v>
      </c>
      <c r="O456" s="251">
        <f>IF(O$4&gt;DAY(EOMONTH(DATE($D$2,$B$2,1),0)),"",IFERROR(SUMIFS(DATA_GOC!$H:$H,DATA_GOC!$A:$A,"BOM",DATA_GOC!$D:$D,$B456,DATA_GOC!$E:$E,"Dầu số",DATA_GOC!$F:$F,"Xuất nội bộ từ téc",DATA_GOC!$B:$B,DATE($D$2,$B$2,O$4)),0))</f>
        <v>0</v>
      </c>
      <c r="P456" s="251">
        <f>IF(P$4&gt;DAY(EOMONTH(DATE($D$2,$B$2,1),0)),"",IFERROR(SUMIFS(DATA_GOC!$H:$H,DATA_GOC!$A:$A,"BOM",DATA_GOC!$D:$D,$B456,DATA_GOC!$E:$E,"Dầu số",DATA_GOC!$F:$F,"Xuất nội bộ từ téc",DATA_GOC!$B:$B,DATE($D$2,$B$2,P$4)),0))</f>
        <v>0</v>
      </c>
      <c r="Q456" s="251">
        <f>IF(Q$4&gt;DAY(EOMONTH(DATE($D$2,$B$2,1),0)),"",IFERROR(SUMIFS(DATA_GOC!$H:$H,DATA_GOC!$A:$A,"BOM",DATA_GOC!$D:$D,$B456,DATA_GOC!$E:$E,"Dầu số",DATA_GOC!$F:$F,"Xuất nội bộ từ téc",DATA_GOC!$B:$B,DATE($D$2,$B$2,Q$4)),0))</f>
        <v>0</v>
      </c>
      <c r="R456" s="251">
        <f>IF(R$4&gt;DAY(EOMONTH(DATE($D$2,$B$2,1),0)),"",IFERROR(SUMIFS(DATA_GOC!$H:$H,DATA_GOC!$A:$A,"BOM",DATA_GOC!$D:$D,$B456,DATA_GOC!$E:$E,"Dầu số",DATA_GOC!$F:$F,"Xuất nội bộ từ téc",DATA_GOC!$B:$B,DATE($D$2,$B$2,R$4)),0))</f>
        <v>0</v>
      </c>
      <c r="S456" s="251">
        <f>IF(S$4&gt;DAY(EOMONTH(DATE($D$2,$B$2,1),0)),"",IFERROR(SUMIFS(DATA_GOC!$H:$H,DATA_GOC!$A:$A,"BOM",DATA_GOC!$D:$D,$B456,DATA_GOC!$E:$E,"Dầu số",DATA_GOC!$F:$F,"Xuất nội bộ từ téc",DATA_GOC!$B:$B,DATE($D$2,$B$2,S$4)),0))</f>
        <v>0</v>
      </c>
      <c r="T456" s="251">
        <f>IF(T$4&gt;DAY(EOMONTH(DATE($D$2,$B$2,1),0)),"",IFERROR(SUMIFS(DATA_GOC!$H:$H,DATA_GOC!$A:$A,"BOM",DATA_GOC!$D:$D,$B456,DATA_GOC!$E:$E,"Dầu số",DATA_GOC!$F:$F,"Xuất nội bộ từ téc",DATA_GOC!$B:$B,DATE($D$2,$B$2,T$4)),0))</f>
        <v>0</v>
      </c>
      <c r="U456" s="251">
        <f>IF(U$4&gt;DAY(EOMONTH(DATE($D$2,$B$2,1),0)),"",IFERROR(SUMIFS(DATA_GOC!$H:$H,DATA_GOC!$A:$A,"BOM",DATA_GOC!$D:$D,$B456,DATA_GOC!$E:$E,"Dầu số",DATA_GOC!$F:$F,"Xuất nội bộ từ téc",DATA_GOC!$B:$B,DATE($D$2,$B$2,U$4)),0))</f>
        <v>0</v>
      </c>
      <c r="V456" s="251">
        <f>IF(V$4&gt;DAY(EOMONTH(DATE($D$2,$B$2,1),0)),"",IFERROR(SUMIFS(DATA_GOC!$H:$H,DATA_GOC!$A:$A,"BOM",DATA_GOC!$D:$D,$B456,DATA_GOC!$E:$E,"Dầu số",DATA_GOC!$F:$F,"Xuất nội bộ từ téc",DATA_GOC!$B:$B,DATE($D$2,$B$2,V$4)),0))</f>
        <v>0</v>
      </c>
      <c r="W456" s="251">
        <f>IF(W$4&gt;DAY(EOMONTH(DATE($D$2,$B$2,1),0)),"",IFERROR(SUMIFS(DATA_GOC!$H:$H,DATA_GOC!$A:$A,"BOM",DATA_GOC!$D:$D,$B456,DATA_GOC!$E:$E,"Dầu số",DATA_GOC!$F:$F,"Xuất nội bộ từ téc",DATA_GOC!$B:$B,DATE($D$2,$B$2,W$4)),0))</f>
        <v>0</v>
      </c>
      <c r="X456" s="251">
        <f>IF(X$4&gt;DAY(EOMONTH(DATE($D$2,$B$2,1),0)),"",IFERROR(SUMIFS(DATA_GOC!$H:$H,DATA_GOC!$A:$A,"BOM",DATA_GOC!$D:$D,$B456,DATA_GOC!$E:$E,"Dầu số",DATA_GOC!$F:$F,"Xuất nội bộ từ téc",DATA_GOC!$B:$B,DATE($D$2,$B$2,X$4)),0))</f>
        <v>0</v>
      </c>
      <c r="Y456" s="251">
        <f>IF(Y$4&gt;DAY(EOMONTH(DATE($D$2,$B$2,1),0)),"",IFERROR(SUMIFS(DATA_GOC!$H:$H,DATA_GOC!$A:$A,"BOM",DATA_GOC!$D:$D,$B456,DATA_GOC!$E:$E,"Dầu số",DATA_GOC!$F:$F,"Xuất nội bộ từ téc",DATA_GOC!$B:$B,DATE($D$2,$B$2,Y$4)),0))</f>
        <v>0</v>
      </c>
      <c r="Z456" s="251">
        <f>IF(Z$4&gt;DAY(EOMONTH(DATE($D$2,$B$2,1),0)),"",IFERROR(SUMIFS(DATA_GOC!$H:$H,DATA_GOC!$A:$A,"BOM",DATA_GOC!$D:$D,$B456,DATA_GOC!$E:$E,"Dầu số",DATA_GOC!$F:$F,"Xuất nội bộ từ téc",DATA_GOC!$B:$B,DATE($D$2,$B$2,Z$4)),0))</f>
        <v>0</v>
      </c>
      <c r="AA456" s="251">
        <f>IF(AA$4&gt;DAY(EOMONTH(DATE($D$2,$B$2,1),0)),"",IFERROR(SUMIFS(DATA_GOC!$H:$H,DATA_GOC!$A:$A,"BOM",DATA_GOC!$D:$D,$B456,DATA_GOC!$E:$E,"Dầu số",DATA_GOC!$F:$F,"Xuất nội bộ từ téc",DATA_GOC!$B:$B,DATE($D$2,$B$2,AA$4)),0))</f>
        <v>0</v>
      </c>
      <c r="AB456" s="251">
        <f>IF(AB$4&gt;DAY(EOMONTH(DATE($D$2,$B$2,1),0)),"",IFERROR(SUMIFS(DATA_GOC!$H:$H,DATA_GOC!$A:$A,"BOM",DATA_GOC!$D:$D,$B456,DATA_GOC!$E:$E,"Dầu số",DATA_GOC!$F:$F,"Xuất nội bộ từ téc",DATA_GOC!$B:$B,DATE($D$2,$B$2,AB$4)),0))</f>
        <v>0</v>
      </c>
      <c r="AC456" s="251">
        <f>IF(AC$4&gt;DAY(EOMONTH(DATE($D$2,$B$2,1),0)),"",IFERROR(SUMIFS(DATA_GOC!$H:$H,DATA_GOC!$A:$A,"BOM",DATA_GOC!$D:$D,$B456,DATA_GOC!$E:$E,"Dầu số",DATA_GOC!$F:$F,"Xuất nội bộ từ téc",DATA_GOC!$B:$B,DATE($D$2,$B$2,AC$4)),0))</f>
        <v>0</v>
      </c>
      <c r="AD456" s="251">
        <f>IF(AD$4&gt;DAY(EOMONTH(DATE($D$2,$B$2,1),0)),"",IFERROR(SUMIFS(DATA_GOC!$H:$H,DATA_GOC!$A:$A,"BOM",DATA_GOC!$D:$D,$B456,DATA_GOC!$E:$E,"Dầu số",DATA_GOC!$F:$F,"Xuất nội bộ từ téc",DATA_GOC!$B:$B,DATE($D$2,$B$2,AD$4)),0))</f>
        <v>0</v>
      </c>
      <c r="AE456" s="251">
        <f>IF(AE$4&gt;DAY(EOMONTH(DATE($D$2,$B$2,1),0)),"",IFERROR(SUMIFS(DATA_GOC!$H:$H,DATA_GOC!$A:$A,"BOM",DATA_GOC!$D:$D,$B456,DATA_GOC!$E:$E,"Dầu số",DATA_GOC!$F:$F,"Xuất nội bộ từ téc",DATA_GOC!$B:$B,DATE($D$2,$B$2,AE$4)),0))</f>
        <v>0</v>
      </c>
      <c r="AF456" s="251">
        <f>IF(AF$4&gt;DAY(EOMONTH(DATE($D$2,$B$2,1),0)),"",IFERROR(SUMIFS(DATA_GOC!$H:$H,DATA_GOC!$A:$A,"BOM",DATA_GOC!$D:$D,$B456,DATA_GOC!$E:$E,"Dầu số",DATA_GOC!$F:$F,"Xuất nội bộ từ téc",DATA_GOC!$B:$B,DATE($D$2,$B$2,AF$4)),0))</f>
        <v>0</v>
      </c>
      <c r="AG456" s="251">
        <f>IF(AG$4&gt;DAY(EOMONTH(DATE($D$2,$B$2,1),0)),"",IFERROR(SUMIFS(DATA_GOC!$H:$H,DATA_GOC!$A:$A,"BOM",DATA_GOC!$D:$D,$B456,DATA_GOC!$E:$E,"Dầu số",DATA_GOC!$F:$F,"Xuất nội bộ từ téc",DATA_GOC!$B:$B,DATE($D$2,$B$2,AG$4)),0))</f>
        <v>0</v>
      </c>
      <c r="AH456" s="252">
        <f t="shared" si="22"/>
        <v>0</v>
      </c>
      <c r="AI456" s="241"/>
      <c r="AJ456" s="242">
        <f>IF($B456="","",SUMIFS(TINH_TEC!$K$233:$K$9232,TINH_TEC!$H$233:$H$9232,$B456,TINH_TEC!$C$233:$C$9232,"Dầu số",TINH_TEC!$F$233:$F$9232,$B$2,TINH_TEC!$G$233:$G$9232,$D$2,TINH_TEC!$B$233:$B$9232,"Đã chốt"))</f>
        <v>0</v>
      </c>
      <c r="AK456" s="242">
        <f>IF($B456="","",SUMIFS(TINH_TEC!$J$233:$J$9232,TINH_TEC!$H$233:$H$9232,$B456,TINH_TEC!$C$233:$C$9232,"Dầu số",TINH_TEC!$F$233:$F$9232,$B$2,TINH_TEC!$G$233:$G$9232,$D$2,TINH_TEC!$B$233:$B$9232,"Đã chốt"))</f>
        <v>0</v>
      </c>
      <c r="AL456" s="242">
        <f t="shared" si="23"/>
        <v>0</v>
      </c>
    </row>
    <row r="457" ht="15.75" customHeight="1">
      <c r="A457" s="237">
        <f>IF($B457&lt;&gt;"",25,"")</f>
        <v>25</v>
      </c>
      <c r="B457" s="250" t="str">
        <f t="array" ref="B457">IFERROR(INDEX(DANH_MUC!$E:$E,28),"")</f>
        <v>28C04576</v>
      </c>
      <c r="C457" s="251">
        <f>IF(C$4&gt;DAY(EOMONTH(DATE($D$2,$B$2,1),0)),"",IFERROR(SUMIFS(DATA_GOC!$H:$H,DATA_GOC!$A:$A,"BOM",DATA_GOC!$D:$D,$B457,DATA_GOC!$E:$E,"Dầu số",DATA_GOC!$F:$F,"Xuất nội bộ từ téc",DATA_GOC!$B:$B,DATE($D$2,$B$2,C$4)),0))</f>
        <v>0</v>
      </c>
      <c r="D457" s="251">
        <f>IF(D$4&gt;DAY(EOMONTH(DATE($D$2,$B$2,1),0)),"",IFERROR(SUMIFS(DATA_GOC!$H:$H,DATA_GOC!$A:$A,"BOM",DATA_GOC!$D:$D,$B457,DATA_GOC!$E:$E,"Dầu số",DATA_GOC!$F:$F,"Xuất nội bộ từ téc",DATA_GOC!$B:$B,DATE($D$2,$B$2,D$4)),0))</f>
        <v>0</v>
      </c>
      <c r="E457" s="251">
        <f>IF(E$4&gt;DAY(EOMONTH(DATE($D$2,$B$2,1),0)),"",IFERROR(SUMIFS(DATA_GOC!$H:$H,DATA_GOC!$A:$A,"BOM",DATA_GOC!$D:$D,$B457,DATA_GOC!$E:$E,"Dầu số",DATA_GOC!$F:$F,"Xuất nội bộ từ téc",DATA_GOC!$B:$B,DATE($D$2,$B$2,E$4)),0))</f>
        <v>0</v>
      </c>
      <c r="F457" s="251">
        <f>IF(F$4&gt;DAY(EOMONTH(DATE($D$2,$B$2,1),0)),"",IFERROR(SUMIFS(DATA_GOC!$H:$H,DATA_GOC!$A:$A,"BOM",DATA_GOC!$D:$D,$B457,DATA_GOC!$E:$E,"Dầu số",DATA_GOC!$F:$F,"Xuất nội bộ từ téc",DATA_GOC!$B:$B,DATE($D$2,$B$2,F$4)),0))</f>
        <v>0</v>
      </c>
      <c r="G457" s="251">
        <f>IF(G$4&gt;DAY(EOMONTH(DATE($D$2,$B$2,1),0)),"",IFERROR(SUMIFS(DATA_GOC!$H:$H,DATA_GOC!$A:$A,"BOM",DATA_GOC!$D:$D,$B457,DATA_GOC!$E:$E,"Dầu số",DATA_GOC!$F:$F,"Xuất nội bộ từ téc",DATA_GOC!$B:$B,DATE($D$2,$B$2,G$4)),0))</f>
        <v>0</v>
      </c>
      <c r="H457" s="251">
        <f>IF(H$4&gt;DAY(EOMONTH(DATE($D$2,$B$2,1),0)),"",IFERROR(SUMIFS(DATA_GOC!$H:$H,DATA_GOC!$A:$A,"BOM",DATA_GOC!$D:$D,$B457,DATA_GOC!$E:$E,"Dầu số",DATA_GOC!$F:$F,"Xuất nội bộ từ téc",DATA_GOC!$B:$B,DATE($D$2,$B$2,H$4)),0))</f>
        <v>0</v>
      </c>
      <c r="I457" s="251">
        <f>IF(I$4&gt;DAY(EOMONTH(DATE($D$2,$B$2,1),0)),"",IFERROR(SUMIFS(DATA_GOC!$H:$H,DATA_GOC!$A:$A,"BOM",DATA_GOC!$D:$D,$B457,DATA_GOC!$E:$E,"Dầu số",DATA_GOC!$F:$F,"Xuất nội bộ từ téc",DATA_GOC!$B:$B,DATE($D$2,$B$2,I$4)),0))</f>
        <v>0</v>
      </c>
      <c r="J457" s="251">
        <f>IF(J$4&gt;DAY(EOMONTH(DATE($D$2,$B$2,1),0)),"",IFERROR(SUMIFS(DATA_GOC!$H:$H,DATA_GOC!$A:$A,"BOM",DATA_GOC!$D:$D,$B457,DATA_GOC!$E:$E,"Dầu số",DATA_GOC!$F:$F,"Xuất nội bộ từ téc",DATA_GOC!$B:$B,DATE($D$2,$B$2,J$4)),0))</f>
        <v>0</v>
      </c>
      <c r="K457" s="251">
        <f>IF(K$4&gt;DAY(EOMONTH(DATE($D$2,$B$2,1),0)),"",IFERROR(SUMIFS(DATA_GOC!$H:$H,DATA_GOC!$A:$A,"BOM",DATA_GOC!$D:$D,$B457,DATA_GOC!$E:$E,"Dầu số",DATA_GOC!$F:$F,"Xuất nội bộ từ téc",DATA_GOC!$B:$B,DATE($D$2,$B$2,K$4)),0))</f>
        <v>0</v>
      </c>
      <c r="L457" s="251">
        <f>IF(L$4&gt;DAY(EOMONTH(DATE($D$2,$B$2,1),0)),"",IFERROR(SUMIFS(DATA_GOC!$H:$H,DATA_GOC!$A:$A,"BOM",DATA_GOC!$D:$D,$B457,DATA_GOC!$E:$E,"Dầu số",DATA_GOC!$F:$F,"Xuất nội bộ từ téc",DATA_GOC!$B:$B,DATE($D$2,$B$2,L$4)),0))</f>
        <v>0</v>
      </c>
      <c r="M457" s="251">
        <f>IF(M$4&gt;DAY(EOMONTH(DATE($D$2,$B$2,1),0)),"",IFERROR(SUMIFS(DATA_GOC!$H:$H,DATA_GOC!$A:$A,"BOM",DATA_GOC!$D:$D,$B457,DATA_GOC!$E:$E,"Dầu số",DATA_GOC!$F:$F,"Xuất nội bộ từ téc",DATA_GOC!$B:$B,DATE($D$2,$B$2,M$4)),0))</f>
        <v>0</v>
      </c>
      <c r="N457" s="251">
        <f>IF(N$4&gt;DAY(EOMONTH(DATE($D$2,$B$2,1),0)),"",IFERROR(SUMIFS(DATA_GOC!$H:$H,DATA_GOC!$A:$A,"BOM",DATA_GOC!$D:$D,$B457,DATA_GOC!$E:$E,"Dầu số",DATA_GOC!$F:$F,"Xuất nội bộ từ téc",DATA_GOC!$B:$B,DATE($D$2,$B$2,N$4)),0))</f>
        <v>0</v>
      </c>
      <c r="O457" s="251">
        <f>IF(O$4&gt;DAY(EOMONTH(DATE($D$2,$B$2,1),0)),"",IFERROR(SUMIFS(DATA_GOC!$H:$H,DATA_GOC!$A:$A,"BOM",DATA_GOC!$D:$D,$B457,DATA_GOC!$E:$E,"Dầu số",DATA_GOC!$F:$F,"Xuất nội bộ từ téc",DATA_GOC!$B:$B,DATE($D$2,$B$2,O$4)),0))</f>
        <v>0</v>
      </c>
      <c r="P457" s="251">
        <f>IF(P$4&gt;DAY(EOMONTH(DATE($D$2,$B$2,1),0)),"",IFERROR(SUMIFS(DATA_GOC!$H:$H,DATA_GOC!$A:$A,"BOM",DATA_GOC!$D:$D,$B457,DATA_GOC!$E:$E,"Dầu số",DATA_GOC!$F:$F,"Xuất nội bộ từ téc",DATA_GOC!$B:$B,DATE($D$2,$B$2,P$4)),0))</f>
        <v>0</v>
      </c>
      <c r="Q457" s="251">
        <f>IF(Q$4&gt;DAY(EOMONTH(DATE($D$2,$B$2,1),0)),"",IFERROR(SUMIFS(DATA_GOC!$H:$H,DATA_GOC!$A:$A,"BOM",DATA_GOC!$D:$D,$B457,DATA_GOC!$E:$E,"Dầu số",DATA_GOC!$F:$F,"Xuất nội bộ từ téc",DATA_GOC!$B:$B,DATE($D$2,$B$2,Q$4)),0))</f>
        <v>0</v>
      </c>
      <c r="R457" s="251">
        <f>IF(R$4&gt;DAY(EOMONTH(DATE($D$2,$B$2,1),0)),"",IFERROR(SUMIFS(DATA_GOC!$H:$H,DATA_GOC!$A:$A,"BOM",DATA_GOC!$D:$D,$B457,DATA_GOC!$E:$E,"Dầu số",DATA_GOC!$F:$F,"Xuất nội bộ từ téc",DATA_GOC!$B:$B,DATE($D$2,$B$2,R$4)),0))</f>
        <v>0</v>
      </c>
      <c r="S457" s="251">
        <f>IF(S$4&gt;DAY(EOMONTH(DATE($D$2,$B$2,1),0)),"",IFERROR(SUMIFS(DATA_GOC!$H:$H,DATA_GOC!$A:$A,"BOM",DATA_GOC!$D:$D,$B457,DATA_GOC!$E:$E,"Dầu số",DATA_GOC!$F:$F,"Xuất nội bộ từ téc",DATA_GOC!$B:$B,DATE($D$2,$B$2,S$4)),0))</f>
        <v>0</v>
      </c>
      <c r="T457" s="251">
        <f>IF(T$4&gt;DAY(EOMONTH(DATE($D$2,$B$2,1),0)),"",IFERROR(SUMIFS(DATA_GOC!$H:$H,DATA_GOC!$A:$A,"BOM",DATA_GOC!$D:$D,$B457,DATA_GOC!$E:$E,"Dầu số",DATA_GOC!$F:$F,"Xuất nội bộ từ téc",DATA_GOC!$B:$B,DATE($D$2,$B$2,T$4)),0))</f>
        <v>0</v>
      </c>
      <c r="U457" s="251">
        <f>IF(U$4&gt;DAY(EOMONTH(DATE($D$2,$B$2,1),0)),"",IFERROR(SUMIFS(DATA_GOC!$H:$H,DATA_GOC!$A:$A,"BOM",DATA_GOC!$D:$D,$B457,DATA_GOC!$E:$E,"Dầu số",DATA_GOC!$F:$F,"Xuất nội bộ từ téc",DATA_GOC!$B:$B,DATE($D$2,$B$2,U$4)),0))</f>
        <v>0</v>
      </c>
      <c r="V457" s="251">
        <f>IF(V$4&gt;DAY(EOMONTH(DATE($D$2,$B$2,1),0)),"",IFERROR(SUMIFS(DATA_GOC!$H:$H,DATA_GOC!$A:$A,"BOM",DATA_GOC!$D:$D,$B457,DATA_GOC!$E:$E,"Dầu số",DATA_GOC!$F:$F,"Xuất nội bộ từ téc",DATA_GOC!$B:$B,DATE($D$2,$B$2,V$4)),0))</f>
        <v>0</v>
      </c>
      <c r="W457" s="251">
        <f>IF(W$4&gt;DAY(EOMONTH(DATE($D$2,$B$2,1),0)),"",IFERROR(SUMIFS(DATA_GOC!$H:$H,DATA_GOC!$A:$A,"BOM",DATA_GOC!$D:$D,$B457,DATA_GOC!$E:$E,"Dầu số",DATA_GOC!$F:$F,"Xuất nội bộ từ téc",DATA_GOC!$B:$B,DATE($D$2,$B$2,W$4)),0))</f>
        <v>0</v>
      </c>
      <c r="X457" s="251">
        <f>IF(X$4&gt;DAY(EOMONTH(DATE($D$2,$B$2,1),0)),"",IFERROR(SUMIFS(DATA_GOC!$H:$H,DATA_GOC!$A:$A,"BOM",DATA_GOC!$D:$D,$B457,DATA_GOC!$E:$E,"Dầu số",DATA_GOC!$F:$F,"Xuất nội bộ từ téc",DATA_GOC!$B:$B,DATE($D$2,$B$2,X$4)),0))</f>
        <v>0</v>
      </c>
      <c r="Y457" s="251">
        <f>IF(Y$4&gt;DAY(EOMONTH(DATE($D$2,$B$2,1),0)),"",IFERROR(SUMIFS(DATA_GOC!$H:$H,DATA_GOC!$A:$A,"BOM",DATA_GOC!$D:$D,$B457,DATA_GOC!$E:$E,"Dầu số",DATA_GOC!$F:$F,"Xuất nội bộ từ téc",DATA_GOC!$B:$B,DATE($D$2,$B$2,Y$4)),0))</f>
        <v>0</v>
      </c>
      <c r="Z457" s="251">
        <f>IF(Z$4&gt;DAY(EOMONTH(DATE($D$2,$B$2,1),0)),"",IFERROR(SUMIFS(DATA_GOC!$H:$H,DATA_GOC!$A:$A,"BOM",DATA_GOC!$D:$D,$B457,DATA_GOC!$E:$E,"Dầu số",DATA_GOC!$F:$F,"Xuất nội bộ từ téc",DATA_GOC!$B:$B,DATE($D$2,$B$2,Z$4)),0))</f>
        <v>0</v>
      </c>
      <c r="AA457" s="251">
        <f>IF(AA$4&gt;DAY(EOMONTH(DATE($D$2,$B$2,1),0)),"",IFERROR(SUMIFS(DATA_GOC!$H:$H,DATA_GOC!$A:$A,"BOM",DATA_GOC!$D:$D,$B457,DATA_GOC!$E:$E,"Dầu số",DATA_GOC!$F:$F,"Xuất nội bộ từ téc",DATA_GOC!$B:$B,DATE($D$2,$B$2,AA$4)),0))</f>
        <v>0</v>
      </c>
      <c r="AB457" s="251">
        <f>IF(AB$4&gt;DAY(EOMONTH(DATE($D$2,$B$2,1),0)),"",IFERROR(SUMIFS(DATA_GOC!$H:$H,DATA_GOC!$A:$A,"BOM",DATA_GOC!$D:$D,$B457,DATA_GOC!$E:$E,"Dầu số",DATA_GOC!$F:$F,"Xuất nội bộ từ téc",DATA_GOC!$B:$B,DATE($D$2,$B$2,AB$4)),0))</f>
        <v>0</v>
      </c>
      <c r="AC457" s="251">
        <f>IF(AC$4&gt;DAY(EOMONTH(DATE($D$2,$B$2,1),0)),"",IFERROR(SUMIFS(DATA_GOC!$H:$H,DATA_GOC!$A:$A,"BOM",DATA_GOC!$D:$D,$B457,DATA_GOC!$E:$E,"Dầu số",DATA_GOC!$F:$F,"Xuất nội bộ từ téc",DATA_GOC!$B:$B,DATE($D$2,$B$2,AC$4)),0))</f>
        <v>0</v>
      </c>
      <c r="AD457" s="251">
        <f>IF(AD$4&gt;DAY(EOMONTH(DATE($D$2,$B$2,1),0)),"",IFERROR(SUMIFS(DATA_GOC!$H:$H,DATA_GOC!$A:$A,"BOM",DATA_GOC!$D:$D,$B457,DATA_GOC!$E:$E,"Dầu số",DATA_GOC!$F:$F,"Xuất nội bộ từ téc",DATA_GOC!$B:$B,DATE($D$2,$B$2,AD$4)),0))</f>
        <v>0</v>
      </c>
      <c r="AE457" s="251">
        <f>IF(AE$4&gt;DAY(EOMONTH(DATE($D$2,$B$2,1),0)),"",IFERROR(SUMIFS(DATA_GOC!$H:$H,DATA_GOC!$A:$A,"BOM",DATA_GOC!$D:$D,$B457,DATA_GOC!$E:$E,"Dầu số",DATA_GOC!$F:$F,"Xuất nội bộ từ téc",DATA_GOC!$B:$B,DATE($D$2,$B$2,AE$4)),0))</f>
        <v>0</v>
      </c>
      <c r="AF457" s="251">
        <f>IF(AF$4&gt;DAY(EOMONTH(DATE($D$2,$B$2,1),0)),"",IFERROR(SUMIFS(DATA_GOC!$H:$H,DATA_GOC!$A:$A,"BOM",DATA_GOC!$D:$D,$B457,DATA_GOC!$E:$E,"Dầu số",DATA_GOC!$F:$F,"Xuất nội bộ từ téc",DATA_GOC!$B:$B,DATE($D$2,$B$2,AF$4)),0))</f>
        <v>0</v>
      </c>
      <c r="AG457" s="251">
        <f>IF(AG$4&gt;DAY(EOMONTH(DATE($D$2,$B$2,1),0)),"",IFERROR(SUMIFS(DATA_GOC!$H:$H,DATA_GOC!$A:$A,"BOM",DATA_GOC!$D:$D,$B457,DATA_GOC!$E:$E,"Dầu số",DATA_GOC!$F:$F,"Xuất nội bộ từ téc",DATA_GOC!$B:$B,DATE($D$2,$B$2,AG$4)),0))</f>
        <v>0</v>
      </c>
      <c r="AH457" s="252">
        <f t="shared" si="22"/>
        <v>0</v>
      </c>
      <c r="AI457" s="241"/>
      <c r="AJ457" s="242">
        <f>IF($B457="","",SUMIFS(TINH_TEC!$K$233:$K$9232,TINH_TEC!$H$233:$H$9232,$B457,TINH_TEC!$C$233:$C$9232,"Dầu số",TINH_TEC!$F$233:$F$9232,$B$2,TINH_TEC!$G$233:$G$9232,$D$2,TINH_TEC!$B$233:$B$9232,"Đã chốt"))</f>
        <v>0</v>
      </c>
      <c r="AK457" s="242">
        <f>IF($B457="","",SUMIFS(TINH_TEC!$J$233:$J$9232,TINH_TEC!$H$233:$H$9232,$B457,TINH_TEC!$C$233:$C$9232,"Dầu số",TINH_TEC!$F$233:$F$9232,$B$2,TINH_TEC!$G$233:$G$9232,$D$2,TINH_TEC!$B$233:$B$9232,"Đã chốt"))</f>
        <v>0</v>
      </c>
      <c r="AL457" s="242">
        <f t="shared" si="23"/>
        <v>0</v>
      </c>
    </row>
    <row r="458" ht="15.75" customHeight="1">
      <c r="A458" s="237">
        <f>IF($B458&lt;&gt;"",26,"")</f>
        <v>26</v>
      </c>
      <c r="B458" s="250" t="str">
        <f t="array" ref="B458">IFERROR(INDEX(DANH_MUC!$E:$E,29),"")</f>
        <v>28C05090</v>
      </c>
      <c r="C458" s="251">
        <f>IF(C$4&gt;DAY(EOMONTH(DATE($D$2,$B$2,1),0)),"",IFERROR(SUMIFS(DATA_GOC!$H:$H,DATA_GOC!$A:$A,"BOM",DATA_GOC!$D:$D,$B458,DATA_GOC!$E:$E,"Dầu số",DATA_GOC!$F:$F,"Xuất nội bộ từ téc",DATA_GOC!$B:$B,DATE($D$2,$B$2,C$4)),0))</f>
        <v>0</v>
      </c>
      <c r="D458" s="251">
        <f>IF(D$4&gt;DAY(EOMONTH(DATE($D$2,$B$2,1),0)),"",IFERROR(SUMIFS(DATA_GOC!$H:$H,DATA_GOC!$A:$A,"BOM",DATA_GOC!$D:$D,$B458,DATA_GOC!$E:$E,"Dầu số",DATA_GOC!$F:$F,"Xuất nội bộ từ téc",DATA_GOC!$B:$B,DATE($D$2,$B$2,D$4)),0))</f>
        <v>0</v>
      </c>
      <c r="E458" s="251">
        <f>IF(E$4&gt;DAY(EOMONTH(DATE($D$2,$B$2,1),0)),"",IFERROR(SUMIFS(DATA_GOC!$H:$H,DATA_GOC!$A:$A,"BOM",DATA_GOC!$D:$D,$B458,DATA_GOC!$E:$E,"Dầu số",DATA_GOC!$F:$F,"Xuất nội bộ từ téc",DATA_GOC!$B:$B,DATE($D$2,$B$2,E$4)),0))</f>
        <v>0</v>
      </c>
      <c r="F458" s="251">
        <f>IF(F$4&gt;DAY(EOMONTH(DATE($D$2,$B$2,1),0)),"",IFERROR(SUMIFS(DATA_GOC!$H:$H,DATA_GOC!$A:$A,"BOM",DATA_GOC!$D:$D,$B458,DATA_GOC!$E:$E,"Dầu số",DATA_GOC!$F:$F,"Xuất nội bộ từ téc",DATA_GOC!$B:$B,DATE($D$2,$B$2,F$4)),0))</f>
        <v>0</v>
      </c>
      <c r="G458" s="251">
        <f>IF(G$4&gt;DAY(EOMONTH(DATE($D$2,$B$2,1),0)),"",IFERROR(SUMIFS(DATA_GOC!$H:$H,DATA_GOC!$A:$A,"BOM",DATA_GOC!$D:$D,$B458,DATA_GOC!$E:$E,"Dầu số",DATA_GOC!$F:$F,"Xuất nội bộ từ téc",DATA_GOC!$B:$B,DATE($D$2,$B$2,G$4)),0))</f>
        <v>0</v>
      </c>
      <c r="H458" s="251">
        <f>IF(H$4&gt;DAY(EOMONTH(DATE($D$2,$B$2,1),0)),"",IFERROR(SUMIFS(DATA_GOC!$H:$H,DATA_GOC!$A:$A,"BOM",DATA_GOC!$D:$D,$B458,DATA_GOC!$E:$E,"Dầu số",DATA_GOC!$F:$F,"Xuất nội bộ từ téc",DATA_GOC!$B:$B,DATE($D$2,$B$2,H$4)),0))</f>
        <v>0</v>
      </c>
      <c r="I458" s="251">
        <f>IF(I$4&gt;DAY(EOMONTH(DATE($D$2,$B$2,1),0)),"",IFERROR(SUMIFS(DATA_GOC!$H:$H,DATA_GOC!$A:$A,"BOM",DATA_GOC!$D:$D,$B458,DATA_GOC!$E:$E,"Dầu số",DATA_GOC!$F:$F,"Xuất nội bộ từ téc",DATA_GOC!$B:$B,DATE($D$2,$B$2,I$4)),0))</f>
        <v>0</v>
      </c>
      <c r="J458" s="251">
        <f>IF(J$4&gt;DAY(EOMONTH(DATE($D$2,$B$2,1),0)),"",IFERROR(SUMIFS(DATA_GOC!$H:$H,DATA_GOC!$A:$A,"BOM",DATA_GOC!$D:$D,$B458,DATA_GOC!$E:$E,"Dầu số",DATA_GOC!$F:$F,"Xuất nội bộ từ téc",DATA_GOC!$B:$B,DATE($D$2,$B$2,J$4)),0))</f>
        <v>0</v>
      </c>
      <c r="K458" s="251">
        <f>IF(K$4&gt;DAY(EOMONTH(DATE($D$2,$B$2,1),0)),"",IFERROR(SUMIFS(DATA_GOC!$H:$H,DATA_GOC!$A:$A,"BOM",DATA_GOC!$D:$D,$B458,DATA_GOC!$E:$E,"Dầu số",DATA_GOC!$F:$F,"Xuất nội bộ từ téc",DATA_GOC!$B:$B,DATE($D$2,$B$2,K$4)),0))</f>
        <v>0</v>
      </c>
      <c r="L458" s="251">
        <f>IF(L$4&gt;DAY(EOMONTH(DATE($D$2,$B$2,1),0)),"",IFERROR(SUMIFS(DATA_GOC!$H:$H,DATA_GOC!$A:$A,"BOM",DATA_GOC!$D:$D,$B458,DATA_GOC!$E:$E,"Dầu số",DATA_GOC!$F:$F,"Xuất nội bộ từ téc",DATA_GOC!$B:$B,DATE($D$2,$B$2,L$4)),0))</f>
        <v>0</v>
      </c>
      <c r="M458" s="251">
        <f>IF(M$4&gt;DAY(EOMONTH(DATE($D$2,$B$2,1),0)),"",IFERROR(SUMIFS(DATA_GOC!$H:$H,DATA_GOC!$A:$A,"BOM",DATA_GOC!$D:$D,$B458,DATA_GOC!$E:$E,"Dầu số",DATA_GOC!$F:$F,"Xuất nội bộ từ téc",DATA_GOC!$B:$B,DATE($D$2,$B$2,M$4)),0))</f>
        <v>0</v>
      </c>
      <c r="N458" s="251">
        <f>IF(N$4&gt;DAY(EOMONTH(DATE($D$2,$B$2,1),0)),"",IFERROR(SUMIFS(DATA_GOC!$H:$H,DATA_GOC!$A:$A,"BOM",DATA_GOC!$D:$D,$B458,DATA_GOC!$E:$E,"Dầu số",DATA_GOC!$F:$F,"Xuất nội bộ từ téc",DATA_GOC!$B:$B,DATE($D$2,$B$2,N$4)),0))</f>
        <v>0</v>
      </c>
      <c r="O458" s="251">
        <f>IF(O$4&gt;DAY(EOMONTH(DATE($D$2,$B$2,1),0)),"",IFERROR(SUMIFS(DATA_GOC!$H:$H,DATA_GOC!$A:$A,"BOM",DATA_GOC!$D:$D,$B458,DATA_GOC!$E:$E,"Dầu số",DATA_GOC!$F:$F,"Xuất nội bộ từ téc",DATA_GOC!$B:$B,DATE($D$2,$B$2,O$4)),0))</f>
        <v>0</v>
      </c>
      <c r="P458" s="251">
        <f>IF(P$4&gt;DAY(EOMONTH(DATE($D$2,$B$2,1),0)),"",IFERROR(SUMIFS(DATA_GOC!$H:$H,DATA_GOC!$A:$A,"BOM",DATA_GOC!$D:$D,$B458,DATA_GOC!$E:$E,"Dầu số",DATA_GOC!$F:$F,"Xuất nội bộ từ téc",DATA_GOC!$B:$B,DATE($D$2,$B$2,P$4)),0))</f>
        <v>0</v>
      </c>
      <c r="Q458" s="251">
        <f>IF(Q$4&gt;DAY(EOMONTH(DATE($D$2,$B$2,1),0)),"",IFERROR(SUMIFS(DATA_GOC!$H:$H,DATA_GOC!$A:$A,"BOM",DATA_GOC!$D:$D,$B458,DATA_GOC!$E:$E,"Dầu số",DATA_GOC!$F:$F,"Xuất nội bộ từ téc",DATA_GOC!$B:$B,DATE($D$2,$B$2,Q$4)),0))</f>
        <v>0</v>
      </c>
      <c r="R458" s="251">
        <f>IF(R$4&gt;DAY(EOMONTH(DATE($D$2,$B$2,1),0)),"",IFERROR(SUMIFS(DATA_GOC!$H:$H,DATA_GOC!$A:$A,"BOM",DATA_GOC!$D:$D,$B458,DATA_GOC!$E:$E,"Dầu số",DATA_GOC!$F:$F,"Xuất nội bộ từ téc",DATA_GOC!$B:$B,DATE($D$2,$B$2,R$4)),0))</f>
        <v>0</v>
      </c>
      <c r="S458" s="251">
        <f>IF(S$4&gt;DAY(EOMONTH(DATE($D$2,$B$2,1),0)),"",IFERROR(SUMIFS(DATA_GOC!$H:$H,DATA_GOC!$A:$A,"BOM",DATA_GOC!$D:$D,$B458,DATA_GOC!$E:$E,"Dầu số",DATA_GOC!$F:$F,"Xuất nội bộ từ téc",DATA_GOC!$B:$B,DATE($D$2,$B$2,S$4)),0))</f>
        <v>0</v>
      </c>
      <c r="T458" s="251">
        <f>IF(T$4&gt;DAY(EOMONTH(DATE($D$2,$B$2,1),0)),"",IFERROR(SUMIFS(DATA_GOC!$H:$H,DATA_GOC!$A:$A,"BOM",DATA_GOC!$D:$D,$B458,DATA_GOC!$E:$E,"Dầu số",DATA_GOC!$F:$F,"Xuất nội bộ từ téc",DATA_GOC!$B:$B,DATE($D$2,$B$2,T$4)),0))</f>
        <v>0</v>
      </c>
      <c r="U458" s="251">
        <f>IF(U$4&gt;DAY(EOMONTH(DATE($D$2,$B$2,1),0)),"",IFERROR(SUMIFS(DATA_GOC!$H:$H,DATA_GOC!$A:$A,"BOM",DATA_GOC!$D:$D,$B458,DATA_GOC!$E:$E,"Dầu số",DATA_GOC!$F:$F,"Xuất nội bộ từ téc",DATA_GOC!$B:$B,DATE($D$2,$B$2,U$4)),0))</f>
        <v>0</v>
      </c>
      <c r="V458" s="251">
        <f>IF(V$4&gt;DAY(EOMONTH(DATE($D$2,$B$2,1),0)),"",IFERROR(SUMIFS(DATA_GOC!$H:$H,DATA_GOC!$A:$A,"BOM",DATA_GOC!$D:$D,$B458,DATA_GOC!$E:$E,"Dầu số",DATA_GOC!$F:$F,"Xuất nội bộ từ téc",DATA_GOC!$B:$B,DATE($D$2,$B$2,V$4)),0))</f>
        <v>0</v>
      </c>
      <c r="W458" s="251">
        <f>IF(W$4&gt;DAY(EOMONTH(DATE($D$2,$B$2,1),0)),"",IFERROR(SUMIFS(DATA_GOC!$H:$H,DATA_GOC!$A:$A,"BOM",DATA_GOC!$D:$D,$B458,DATA_GOC!$E:$E,"Dầu số",DATA_GOC!$F:$F,"Xuất nội bộ từ téc",DATA_GOC!$B:$B,DATE($D$2,$B$2,W$4)),0))</f>
        <v>0</v>
      </c>
      <c r="X458" s="251">
        <f>IF(X$4&gt;DAY(EOMONTH(DATE($D$2,$B$2,1),0)),"",IFERROR(SUMIFS(DATA_GOC!$H:$H,DATA_GOC!$A:$A,"BOM",DATA_GOC!$D:$D,$B458,DATA_GOC!$E:$E,"Dầu số",DATA_GOC!$F:$F,"Xuất nội bộ từ téc",DATA_GOC!$B:$B,DATE($D$2,$B$2,X$4)),0))</f>
        <v>0</v>
      </c>
      <c r="Y458" s="251">
        <f>IF(Y$4&gt;DAY(EOMONTH(DATE($D$2,$B$2,1),0)),"",IFERROR(SUMIFS(DATA_GOC!$H:$H,DATA_GOC!$A:$A,"BOM",DATA_GOC!$D:$D,$B458,DATA_GOC!$E:$E,"Dầu số",DATA_GOC!$F:$F,"Xuất nội bộ từ téc",DATA_GOC!$B:$B,DATE($D$2,$B$2,Y$4)),0))</f>
        <v>0</v>
      </c>
      <c r="Z458" s="251">
        <f>IF(Z$4&gt;DAY(EOMONTH(DATE($D$2,$B$2,1),0)),"",IFERROR(SUMIFS(DATA_GOC!$H:$H,DATA_GOC!$A:$A,"BOM",DATA_GOC!$D:$D,$B458,DATA_GOC!$E:$E,"Dầu số",DATA_GOC!$F:$F,"Xuất nội bộ từ téc",DATA_GOC!$B:$B,DATE($D$2,$B$2,Z$4)),0))</f>
        <v>0</v>
      </c>
      <c r="AA458" s="251">
        <f>IF(AA$4&gt;DAY(EOMONTH(DATE($D$2,$B$2,1),0)),"",IFERROR(SUMIFS(DATA_GOC!$H:$H,DATA_GOC!$A:$A,"BOM",DATA_GOC!$D:$D,$B458,DATA_GOC!$E:$E,"Dầu số",DATA_GOC!$F:$F,"Xuất nội bộ từ téc",DATA_GOC!$B:$B,DATE($D$2,$B$2,AA$4)),0))</f>
        <v>0</v>
      </c>
      <c r="AB458" s="251">
        <f>IF(AB$4&gt;DAY(EOMONTH(DATE($D$2,$B$2,1),0)),"",IFERROR(SUMIFS(DATA_GOC!$H:$H,DATA_GOC!$A:$A,"BOM",DATA_GOC!$D:$D,$B458,DATA_GOC!$E:$E,"Dầu số",DATA_GOC!$F:$F,"Xuất nội bộ từ téc",DATA_GOC!$B:$B,DATE($D$2,$B$2,AB$4)),0))</f>
        <v>0</v>
      </c>
      <c r="AC458" s="251">
        <f>IF(AC$4&gt;DAY(EOMONTH(DATE($D$2,$B$2,1),0)),"",IFERROR(SUMIFS(DATA_GOC!$H:$H,DATA_GOC!$A:$A,"BOM",DATA_GOC!$D:$D,$B458,DATA_GOC!$E:$E,"Dầu số",DATA_GOC!$F:$F,"Xuất nội bộ từ téc",DATA_GOC!$B:$B,DATE($D$2,$B$2,AC$4)),0))</f>
        <v>0</v>
      </c>
      <c r="AD458" s="251">
        <f>IF(AD$4&gt;DAY(EOMONTH(DATE($D$2,$B$2,1),0)),"",IFERROR(SUMIFS(DATA_GOC!$H:$H,DATA_GOC!$A:$A,"BOM",DATA_GOC!$D:$D,$B458,DATA_GOC!$E:$E,"Dầu số",DATA_GOC!$F:$F,"Xuất nội bộ từ téc",DATA_GOC!$B:$B,DATE($D$2,$B$2,AD$4)),0))</f>
        <v>0</v>
      </c>
      <c r="AE458" s="251">
        <f>IF(AE$4&gt;DAY(EOMONTH(DATE($D$2,$B$2,1),0)),"",IFERROR(SUMIFS(DATA_GOC!$H:$H,DATA_GOC!$A:$A,"BOM",DATA_GOC!$D:$D,$B458,DATA_GOC!$E:$E,"Dầu số",DATA_GOC!$F:$F,"Xuất nội bộ từ téc",DATA_GOC!$B:$B,DATE($D$2,$B$2,AE$4)),0))</f>
        <v>0</v>
      </c>
      <c r="AF458" s="251">
        <f>IF(AF$4&gt;DAY(EOMONTH(DATE($D$2,$B$2,1),0)),"",IFERROR(SUMIFS(DATA_GOC!$H:$H,DATA_GOC!$A:$A,"BOM",DATA_GOC!$D:$D,$B458,DATA_GOC!$E:$E,"Dầu số",DATA_GOC!$F:$F,"Xuất nội bộ từ téc",DATA_GOC!$B:$B,DATE($D$2,$B$2,AF$4)),0))</f>
        <v>0</v>
      </c>
      <c r="AG458" s="251">
        <f>IF(AG$4&gt;DAY(EOMONTH(DATE($D$2,$B$2,1),0)),"",IFERROR(SUMIFS(DATA_GOC!$H:$H,DATA_GOC!$A:$A,"BOM",DATA_GOC!$D:$D,$B458,DATA_GOC!$E:$E,"Dầu số",DATA_GOC!$F:$F,"Xuất nội bộ từ téc",DATA_GOC!$B:$B,DATE($D$2,$B$2,AG$4)),0))</f>
        <v>0</v>
      </c>
      <c r="AH458" s="252">
        <f t="shared" si="22"/>
        <v>0</v>
      </c>
      <c r="AI458" s="241"/>
      <c r="AJ458" s="242">
        <f>IF($B458="","",SUMIFS(TINH_TEC!$K$233:$K$9232,TINH_TEC!$H$233:$H$9232,$B458,TINH_TEC!$C$233:$C$9232,"Dầu số",TINH_TEC!$F$233:$F$9232,$B$2,TINH_TEC!$G$233:$G$9232,$D$2,TINH_TEC!$B$233:$B$9232,"Đã chốt"))</f>
        <v>0</v>
      </c>
      <c r="AK458" s="242">
        <f>IF($B458="","",SUMIFS(TINH_TEC!$J$233:$J$9232,TINH_TEC!$H$233:$H$9232,$B458,TINH_TEC!$C$233:$C$9232,"Dầu số",TINH_TEC!$F$233:$F$9232,$B$2,TINH_TEC!$G$233:$G$9232,$D$2,TINH_TEC!$B$233:$B$9232,"Đã chốt"))</f>
        <v>0</v>
      </c>
      <c r="AL458" s="242">
        <f t="shared" si="23"/>
        <v>0</v>
      </c>
    </row>
    <row r="459" ht="15.75" customHeight="1">
      <c r="A459" s="237">
        <f>IF($B459&lt;&gt;"",27,"")</f>
        <v>27</v>
      </c>
      <c r="B459" s="250" t="str">
        <f t="array" ref="B459">IFERROR(INDEX(DANH_MUC!$E:$E,30),"")</f>
        <v>28C05345</v>
      </c>
      <c r="C459" s="251">
        <f>IF(C$4&gt;DAY(EOMONTH(DATE($D$2,$B$2,1),0)),"",IFERROR(SUMIFS(DATA_GOC!$H:$H,DATA_GOC!$A:$A,"BOM",DATA_GOC!$D:$D,$B459,DATA_GOC!$E:$E,"Dầu số",DATA_GOC!$F:$F,"Xuất nội bộ từ téc",DATA_GOC!$B:$B,DATE($D$2,$B$2,C$4)),0))</f>
        <v>0</v>
      </c>
      <c r="D459" s="251">
        <f>IF(D$4&gt;DAY(EOMONTH(DATE($D$2,$B$2,1),0)),"",IFERROR(SUMIFS(DATA_GOC!$H:$H,DATA_GOC!$A:$A,"BOM",DATA_GOC!$D:$D,$B459,DATA_GOC!$E:$E,"Dầu số",DATA_GOC!$F:$F,"Xuất nội bộ từ téc",DATA_GOC!$B:$B,DATE($D$2,$B$2,D$4)),0))</f>
        <v>0</v>
      </c>
      <c r="E459" s="251">
        <f>IF(E$4&gt;DAY(EOMONTH(DATE($D$2,$B$2,1),0)),"",IFERROR(SUMIFS(DATA_GOC!$H:$H,DATA_GOC!$A:$A,"BOM",DATA_GOC!$D:$D,$B459,DATA_GOC!$E:$E,"Dầu số",DATA_GOC!$F:$F,"Xuất nội bộ từ téc",DATA_GOC!$B:$B,DATE($D$2,$B$2,E$4)),0))</f>
        <v>0</v>
      </c>
      <c r="F459" s="251">
        <f>IF(F$4&gt;DAY(EOMONTH(DATE($D$2,$B$2,1),0)),"",IFERROR(SUMIFS(DATA_GOC!$H:$H,DATA_GOC!$A:$A,"BOM",DATA_GOC!$D:$D,$B459,DATA_GOC!$E:$E,"Dầu số",DATA_GOC!$F:$F,"Xuất nội bộ từ téc",DATA_GOC!$B:$B,DATE($D$2,$B$2,F$4)),0))</f>
        <v>0</v>
      </c>
      <c r="G459" s="251">
        <f>IF(G$4&gt;DAY(EOMONTH(DATE($D$2,$B$2,1),0)),"",IFERROR(SUMIFS(DATA_GOC!$H:$H,DATA_GOC!$A:$A,"BOM",DATA_GOC!$D:$D,$B459,DATA_GOC!$E:$E,"Dầu số",DATA_GOC!$F:$F,"Xuất nội bộ từ téc",DATA_GOC!$B:$B,DATE($D$2,$B$2,G$4)),0))</f>
        <v>0</v>
      </c>
      <c r="H459" s="251">
        <f>IF(H$4&gt;DAY(EOMONTH(DATE($D$2,$B$2,1),0)),"",IFERROR(SUMIFS(DATA_GOC!$H:$H,DATA_GOC!$A:$A,"BOM",DATA_GOC!$D:$D,$B459,DATA_GOC!$E:$E,"Dầu số",DATA_GOC!$F:$F,"Xuất nội bộ từ téc",DATA_GOC!$B:$B,DATE($D$2,$B$2,H$4)),0))</f>
        <v>0</v>
      </c>
      <c r="I459" s="251">
        <f>IF(I$4&gt;DAY(EOMONTH(DATE($D$2,$B$2,1),0)),"",IFERROR(SUMIFS(DATA_GOC!$H:$H,DATA_GOC!$A:$A,"BOM",DATA_GOC!$D:$D,$B459,DATA_GOC!$E:$E,"Dầu số",DATA_GOC!$F:$F,"Xuất nội bộ từ téc",DATA_GOC!$B:$B,DATE($D$2,$B$2,I$4)),0))</f>
        <v>0</v>
      </c>
      <c r="J459" s="251">
        <f>IF(J$4&gt;DAY(EOMONTH(DATE($D$2,$B$2,1),0)),"",IFERROR(SUMIFS(DATA_GOC!$H:$H,DATA_GOC!$A:$A,"BOM",DATA_GOC!$D:$D,$B459,DATA_GOC!$E:$E,"Dầu số",DATA_GOC!$F:$F,"Xuất nội bộ từ téc",DATA_GOC!$B:$B,DATE($D$2,$B$2,J$4)),0))</f>
        <v>0</v>
      </c>
      <c r="K459" s="251">
        <f>IF(K$4&gt;DAY(EOMONTH(DATE($D$2,$B$2,1),0)),"",IFERROR(SUMIFS(DATA_GOC!$H:$H,DATA_GOC!$A:$A,"BOM",DATA_GOC!$D:$D,$B459,DATA_GOC!$E:$E,"Dầu số",DATA_GOC!$F:$F,"Xuất nội bộ từ téc",DATA_GOC!$B:$B,DATE($D$2,$B$2,K$4)),0))</f>
        <v>0</v>
      </c>
      <c r="L459" s="251">
        <f>IF(L$4&gt;DAY(EOMONTH(DATE($D$2,$B$2,1),0)),"",IFERROR(SUMIFS(DATA_GOC!$H:$H,DATA_GOC!$A:$A,"BOM",DATA_GOC!$D:$D,$B459,DATA_GOC!$E:$E,"Dầu số",DATA_GOC!$F:$F,"Xuất nội bộ từ téc",DATA_GOC!$B:$B,DATE($D$2,$B$2,L$4)),0))</f>
        <v>0</v>
      </c>
      <c r="M459" s="251">
        <f>IF(M$4&gt;DAY(EOMONTH(DATE($D$2,$B$2,1),0)),"",IFERROR(SUMIFS(DATA_GOC!$H:$H,DATA_GOC!$A:$A,"BOM",DATA_GOC!$D:$D,$B459,DATA_GOC!$E:$E,"Dầu số",DATA_GOC!$F:$F,"Xuất nội bộ từ téc",DATA_GOC!$B:$B,DATE($D$2,$B$2,M$4)),0))</f>
        <v>0</v>
      </c>
      <c r="N459" s="251">
        <f>IF(N$4&gt;DAY(EOMONTH(DATE($D$2,$B$2,1),0)),"",IFERROR(SUMIFS(DATA_GOC!$H:$H,DATA_GOC!$A:$A,"BOM",DATA_GOC!$D:$D,$B459,DATA_GOC!$E:$E,"Dầu số",DATA_GOC!$F:$F,"Xuất nội bộ từ téc",DATA_GOC!$B:$B,DATE($D$2,$B$2,N$4)),0))</f>
        <v>0</v>
      </c>
      <c r="O459" s="251">
        <f>IF(O$4&gt;DAY(EOMONTH(DATE($D$2,$B$2,1),0)),"",IFERROR(SUMIFS(DATA_GOC!$H:$H,DATA_GOC!$A:$A,"BOM",DATA_GOC!$D:$D,$B459,DATA_GOC!$E:$E,"Dầu số",DATA_GOC!$F:$F,"Xuất nội bộ từ téc",DATA_GOC!$B:$B,DATE($D$2,$B$2,O$4)),0))</f>
        <v>0</v>
      </c>
      <c r="P459" s="251">
        <f>IF(P$4&gt;DAY(EOMONTH(DATE($D$2,$B$2,1),0)),"",IFERROR(SUMIFS(DATA_GOC!$H:$H,DATA_GOC!$A:$A,"BOM",DATA_GOC!$D:$D,$B459,DATA_GOC!$E:$E,"Dầu số",DATA_GOC!$F:$F,"Xuất nội bộ từ téc",DATA_GOC!$B:$B,DATE($D$2,$B$2,P$4)),0))</f>
        <v>0</v>
      </c>
      <c r="Q459" s="251">
        <f>IF(Q$4&gt;DAY(EOMONTH(DATE($D$2,$B$2,1),0)),"",IFERROR(SUMIFS(DATA_GOC!$H:$H,DATA_GOC!$A:$A,"BOM",DATA_GOC!$D:$D,$B459,DATA_GOC!$E:$E,"Dầu số",DATA_GOC!$F:$F,"Xuất nội bộ từ téc",DATA_GOC!$B:$B,DATE($D$2,$B$2,Q$4)),0))</f>
        <v>0</v>
      </c>
      <c r="R459" s="251">
        <f>IF(R$4&gt;DAY(EOMONTH(DATE($D$2,$B$2,1),0)),"",IFERROR(SUMIFS(DATA_GOC!$H:$H,DATA_GOC!$A:$A,"BOM",DATA_GOC!$D:$D,$B459,DATA_GOC!$E:$E,"Dầu số",DATA_GOC!$F:$F,"Xuất nội bộ từ téc",DATA_GOC!$B:$B,DATE($D$2,$B$2,R$4)),0))</f>
        <v>0</v>
      </c>
      <c r="S459" s="251">
        <f>IF(S$4&gt;DAY(EOMONTH(DATE($D$2,$B$2,1),0)),"",IFERROR(SUMIFS(DATA_GOC!$H:$H,DATA_GOC!$A:$A,"BOM",DATA_GOC!$D:$D,$B459,DATA_GOC!$E:$E,"Dầu số",DATA_GOC!$F:$F,"Xuất nội bộ từ téc",DATA_GOC!$B:$B,DATE($D$2,$B$2,S$4)),0))</f>
        <v>0</v>
      </c>
      <c r="T459" s="251">
        <f>IF(T$4&gt;DAY(EOMONTH(DATE($D$2,$B$2,1),0)),"",IFERROR(SUMIFS(DATA_GOC!$H:$H,DATA_GOC!$A:$A,"BOM",DATA_GOC!$D:$D,$B459,DATA_GOC!$E:$E,"Dầu số",DATA_GOC!$F:$F,"Xuất nội bộ từ téc",DATA_GOC!$B:$B,DATE($D$2,$B$2,T$4)),0))</f>
        <v>0</v>
      </c>
      <c r="U459" s="251">
        <f>IF(U$4&gt;DAY(EOMONTH(DATE($D$2,$B$2,1),0)),"",IFERROR(SUMIFS(DATA_GOC!$H:$H,DATA_GOC!$A:$A,"BOM",DATA_GOC!$D:$D,$B459,DATA_GOC!$E:$E,"Dầu số",DATA_GOC!$F:$F,"Xuất nội bộ từ téc",DATA_GOC!$B:$B,DATE($D$2,$B$2,U$4)),0))</f>
        <v>0</v>
      </c>
      <c r="V459" s="251">
        <f>IF(V$4&gt;DAY(EOMONTH(DATE($D$2,$B$2,1),0)),"",IFERROR(SUMIFS(DATA_GOC!$H:$H,DATA_GOC!$A:$A,"BOM",DATA_GOC!$D:$D,$B459,DATA_GOC!$E:$E,"Dầu số",DATA_GOC!$F:$F,"Xuất nội bộ từ téc",DATA_GOC!$B:$B,DATE($D$2,$B$2,V$4)),0))</f>
        <v>0</v>
      </c>
      <c r="W459" s="251">
        <f>IF(W$4&gt;DAY(EOMONTH(DATE($D$2,$B$2,1),0)),"",IFERROR(SUMIFS(DATA_GOC!$H:$H,DATA_GOC!$A:$A,"BOM",DATA_GOC!$D:$D,$B459,DATA_GOC!$E:$E,"Dầu số",DATA_GOC!$F:$F,"Xuất nội bộ từ téc",DATA_GOC!$B:$B,DATE($D$2,$B$2,W$4)),0))</f>
        <v>0</v>
      </c>
      <c r="X459" s="251">
        <f>IF(X$4&gt;DAY(EOMONTH(DATE($D$2,$B$2,1),0)),"",IFERROR(SUMIFS(DATA_GOC!$H:$H,DATA_GOC!$A:$A,"BOM",DATA_GOC!$D:$D,$B459,DATA_GOC!$E:$E,"Dầu số",DATA_GOC!$F:$F,"Xuất nội bộ từ téc",DATA_GOC!$B:$B,DATE($D$2,$B$2,X$4)),0))</f>
        <v>0</v>
      </c>
      <c r="Y459" s="251">
        <f>IF(Y$4&gt;DAY(EOMONTH(DATE($D$2,$B$2,1),0)),"",IFERROR(SUMIFS(DATA_GOC!$H:$H,DATA_GOC!$A:$A,"BOM",DATA_GOC!$D:$D,$B459,DATA_GOC!$E:$E,"Dầu số",DATA_GOC!$F:$F,"Xuất nội bộ từ téc",DATA_GOC!$B:$B,DATE($D$2,$B$2,Y$4)),0))</f>
        <v>0</v>
      </c>
      <c r="Z459" s="251">
        <f>IF(Z$4&gt;DAY(EOMONTH(DATE($D$2,$B$2,1),0)),"",IFERROR(SUMIFS(DATA_GOC!$H:$H,DATA_GOC!$A:$A,"BOM",DATA_GOC!$D:$D,$B459,DATA_GOC!$E:$E,"Dầu số",DATA_GOC!$F:$F,"Xuất nội bộ từ téc",DATA_GOC!$B:$B,DATE($D$2,$B$2,Z$4)),0))</f>
        <v>0</v>
      </c>
      <c r="AA459" s="251">
        <f>IF(AA$4&gt;DAY(EOMONTH(DATE($D$2,$B$2,1),0)),"",IFERROR(SUMIFS(DATA_GOC!$H:$H,DATA_GOC!$A:$A,"BOM",DATA_GOC!$D:$D,$B459,DATA_GOC!$E:$E,"Dầu số",DATA_GOC!$F:$F,"Xuất nội bộ từ téc",DATA_GOC!$B:$B,DATE($D$2,$B$2,AA$4)),0))</f>
        <v>0</v>
      </c>
      <c r="AB459" s="251">
        <f>IF(AB$4&gt;DAY(EOMONTH(DATE($D$2,$B$2,1),0)),"",IFERROR(SUMIFS(DATA_GOC!$H:$H,DATA_GOC!$A:$A,"BOM",DATA_GOC!$D:$D,$B459,DATA_GOC!$E:$E,"Dầu số",DATA_GOC!$F:$F,"Xuất nội bộ từ téc",DATA_GOC!$B:$B,DATE($D$2,$B$2,AB$4)),0))</f>
        <v>0</v>
      </c>
      <c r="AC459" s="251">
        <f>IF(AC$4&gt;DAY(EOMONTH(DATE($D$2,$B$2,1),0)),"",IFERROR(SUMIFS(DATA_GOC!$H:$H,DATA_GOC!$A:$A,"BOM",DATA_GOC!$D:$D,$B459,DATA_GOC!$E:$E,"Dầu số",DATA_GOC!$F:$F,"Xuất nội bộ từ téc",DATA_GOC!$B:$B,DATE($D$2,$B$2,AC$4)),0))</f>
        <v>0</v>
      </c>
      <c r="AD459" s="251">
        <f>IF(AD$4&gt;DAY(EOMONTH(DATE($D$2,$B$2,1),0)),"",IFERROR(SUMIFS(DATA_GOC!$H:$H,DATA_GOC!$A:$A,"BOM",DATA_GOC!$D:$D,$B459,DATA_GOC!$E:$E,"Dầu số",DATA_GOC!$F:$F,"Xuất nội bộ từ téc",DATA_GOC!$B:$B,DATE($D$2,$B$2,AD$4)),0))</f>
        <v>0</v>
      </c>
      <c r="AE459" s="251">
        <f>IF(AE$4&gt;DAY(EOMONTH(DATE($D$2,$B$2,1),0)),"",IFERROR(SUMIFS(DATA_GOC!$H:$H,DATA_GOC!$A:$A,"BOM",DATA_GOC!$D:$D,$B459,DATA_GOC!$E:$E,"Dầu số",DATA_GOC!$F:$F,"Xuất nội bộ từ téc",DATA_GOC!$B:$B,DATE($D$2,$B$2,AE$4)),0))</f>
        <v>0</v>
      </c>
      <c r="AF459" s="251">
        <f>IF(AF$4&gt;DAY(EOMONTH(DATE($D$2,$B$2,1),0)),"",IFERROR(SUMIFS(DATA_GOC!$H:$H,DATA_GOC!$A:$A,"BOM",DATA_GOC!$D:$D,$B459,DATA_GOC!$E:$E,"Dầu số",DATA_GOC!$F:$F,"Xuất nội bộ từ téc",DATA_GOC!$B:$B,DATE($D$2,$B$2,AF$4)),0))</f>
        <v>0</v>
      </c>
      <c r="AG459" s="251">
        <f>IF(AG$4&gt;DAY(EOMONTH(DATE($D$2,$B$2,1),0)),"",IFERROR(SUMIFS(DATA_GOC!$H:$H,DATA_GOC!$A:$A,"BOM",DATA_GOC!$D:$D,$B459,DATA_GOC!$E:$E,"Dầu số",DATA_GOC!$F:$F,"Xuất nội bộ từ téc",DATA_GOC!$B:$B,DATE($D$2,$B$2,AG$4)),0))</f>
        <v>0</v>
      </c>
      <c r="AH459" s="252">
        <f t="shared" si="22"/>
        <v>0</v>
      </c>
      <c r="AI459" s="241"/>
      <c r="AJ459" s="242">
        <f>IF($B459="","",SUMIFS(TINH_TEC!$K$233:$K$9232,TINH_TEC!$H$233:$H$9232,$B459,TINH_TEC!$C$233:$C$9232,"Dầu số",TINH_TEC!$F$233:$F$9232,$B$2,TINH_TEC!$G$233:$G$9232,$D$2,TINH_TEC!$B$233:$B$9232,"Đã chốt"))</f>
        <v>0</v>
      </c>
      <c r="AK459" s="242">
        <f>IF($B459="","",SUMIFS(TINH_TEC!$J$233:$J$9232,TINH_TEC!$H$233:$H$9232,$B459,TINH_TEC!$C$233:$C$9232,"Dầu số",TINH_TEC!$F$233:$F$9232,$B$2,TINH_TEC!$G$233:$G$9232,$D$2,TINH_TEC!$B$233:$B$9232,"Đã chốt"))</f>
        <v>0</v>
      </c>
      <c r="AL459" s="242">
        <f t="shared" si="23"/>
        <v>0</v>
      </c>
    </row>
    <row r="460" ht="15.75" customHeight="1">
      <c r="A460" s="237">
        <f>IF($B460&lt;&gt;"",28,"")</f>
        <v>28</v>
      </c>
      <c r="B460" s="250" t="str">
        <f t="array" ref="B460">IFERROR(INDEX(DANH_MUC!$E:$E,31),"")</f>
        <v>28C05661</v>
      </c>
      <c r="C460" s="251">
        <f>IF(C$4&gt;DAY(EOMONTH(DATE($D$2,$B$2,1),0)),"",IFERROR(SUMIFS(DATA_GOC!$H:$H,DATA_GOC!$A:$A,"BOM",DATA_GOC!$D:$D,$B460,DATA_GOC!$E:$E,"Dầu số",DATA_GOC!$F:$F,"Xuất nội bộ từ téc",DATA_GOC!$B:$B,DATE($D$2,$B$2,C$4)),0))</f>
        <v>0</v>
      </c>
      <c r="D460" s="251">
        <f>IF(D$4&gt;DAY(EOMONTH(DATE($D$2,$B$2,1),0)),"",IFERROR(SUMIFS(DATA_GOC!$H:$H,DATA_GOC!$A:$A,"BOM",DATA_GOC!$D:$D,$B460,DATA_GOC!$E:$E,"Dầu số",DATA_GOC!$F:$F,"Xuất nội bộ từ téc",DATA_GOC!$B:$B,DATE($D$2,$B$2,D$4)),0))</f>
        <v>0</v>
      </c>
      <c r="E460" s="251">
        <f>IF(E$4&gt;DAY(EOMONTH(DATE($D$2,$B$2,1),0)),"",IFERROR(SUMIFS(DATA_GOC!$H:$H,DATA_GOC!$A:$A,"BOM",DATA_GOC!$D:$D,$B460,DATA_GOC!$E:$E,"Dầu số",DATA_GOC!$F:$F,"Xuất nội bộ từ téc",DATA_GOC!$B:$B,DATE($D$2,$B$2,E$4)),0))</f>
        <v>0</v>
      </c>
      <c r="F460" s="251">
        <f>IF(F$4&gt;DAY(EOMONTH(DATE($D$2,$B$2,1),0)),"",IFERROR(SUMIFS(DATA_GOC!$H:$H,DATA_GOC!$A:$A,"BOM",DATA_GOC!$D:$D,$B460,DATA_GOC!$E:$E,"Dầu số",DATA_GOC!$F:$F,"Xuất nội bộ từ téc",DATA_GOC!$B:$B,DATE($D$2,$B$2,F$4)),0))</f>
        <v>0</v>
      </c>
      <c r="G460" s="251">
        <f>IF(G$4&gt;DAY(EOMONTH(DATE($D$2,$B$2,1),0)),"",IFERROR(SUMIFS(DATA_GOC!$H:$H,DATA_GOC!$A:$A,"BOM",DATA_GOC!$D:$D,$B460,DATA_GOC!$E:$E,"Dầu số",DATA_GOC!$F:$F,"Xuất nội bộ từ téc",DATA_GOC!$B:$B,DATE($D$2,$B$2,G$4)),0))</f>
        <v>0</v>
      </c>
      <c r="H460" s="251">
        <f>IF(H$4&gt;DAY(EOMONTH(DATE($D$2,$B$2,1),0)),"",IFERROR(SUMIFS(DATA_GOC!$H:$H,DATA_GOC!$A:$A,"BOM",DATA_GOC!$D:$D,$B460,DATA_GOC!$E:$E,"Dầu số",DATA_GOC!$F:$F,"Xuất nội bộ từ téc",DATA_GOC!$B:$B,DATE($D$2,$B$2,H$4)),0))</f>
        <v>0</v>
      </c>
      <c r="I460" s="251">
        <f>IF(I$4&gt;DAY(EOMONTH(DATE($D$2,$B$2,1),0)),"",IFERROR(SUMIFS(DATA_GOC!$H:$H,DATA_GOC!$A:$A,"BOM",DATA_GOC!$D:$D,$B460,DATA_GOC!$E:$E,"Dầu số",DATA_GOC!$F:$F,"Xuất nội bộ từ téc",DATA_GOC!$B:$B,DATE($D$2,$B$2,I$4)),0))</f>
        <v>0</v>
      </c>
      <c r="J460" s="251">
        <f>IF(J$4&gt;DAY(EOMONTH(DATE($D$2,$B$2,1),0)),"",IFERROR(SUMIFS(DATA_GOC!$H:$H,DATA_GOC!$A:$A,"BOM",DATA_GOC!$D:$D,$B460,DATA_GOC!$E:$E,"Dầu số",DATA_GOC!$F:$F,"Xuất nội bộ từ téc",DATA_GOC!$B:$B,DATE($D$2,$B$2,J$4)),0))</f>
        <v>0</v>
      </c>
      <c r="K460" s="251">
        <f>IF(K$4&gt;DAY(EOMONTH(DATE($D$2,$B$2,1),0)),"",IFERROR(SUMIFS(DATA_GOC!$H:$H,DATA_GOC!$A:$A,"BOM",DATA_GOC!$D:$D,$B460,DATA_GOC!$E:$E,"Dầu số",DATA_GOC!$F:$F,"Xuất nội bộ từ téc",DATA_GOC!$B:$B,DATE($D$2,$B$2,K$4)),0))</f>
        <v>0</v>
      </c>
      <c r="L460" s="251">
        <f>IF(L$4&gt;DAY(EOMONTH(DATE($D$2,$B$2,1),0)),"",IFERROR(SUMIFS(DATA_GOC!$H:$H,DATA_GOC!$A:$A,"BOM",DATA_GOC!$D:$D,$B460,DATA_GOC!$E:$E,"Dầu số",DATA_GOC!$F:$F,"Xuất nội bộ từ téc",DATA_GOC!$B:$B,DATE($D$2,$B$2,L$4)),0))</f>
        <v>0</v>
      </c>
      <c r="M460" s="251">
        <f>IF(M$4&gt;DAY(EOMONTH(DATE($D$2,$B$2,1),0)),"",IFERROR(SUMIFS(DATA_GOC!$H:$H,DATA_GOC!$A:$A,"BOM",DATA_GOC!$D:$D,$B460,DATA_GOC!$E:$E,"Dầu số",DATA_GOC!$F:$F,"Xuất nội bộ từ téc",DATA_GOC!$B:$B,DATE($D$2,$B$2,M$4)),0))</f>
        <v>0</v>
      </c>
      <c r="N460" s="251">
        <f>IF(N$4&gt;DAY(EOMONTH(DATE($D$2,$B$2,1),0)),"",IFERROR(SUMIFS(DATA_GOC!$H:$H,DATA_GOC!$A:$A,"BOM",DATA_GOC!$D:$D,$B460,DATA_GOC!$E:$E,"Dầu số",DATA_GOC!$F:$F,"Xuất nội bộ từ téc",DATA_GOC!$B:$B,DATE($D$2,$B$2,N$4)),0))</f>
        <v>0</v>
      </c>
      <c r="O460" s="251">
        <f>IF(O$4&gt;DAY(EOMONTH(DATE($D$2,$B$2,1),0)),"",IFERROR(SUMIFS(DATA_GOC!$H:$H,DATA_GOC!$A:$A,"BOM",DATA_GOC!$D:$D,$B460,DATA_GOC!$E:$E,"Dầu số",DATA_GOC!$F:$F,"Xuất nội bộ từ téc",DATA_GOC!$B:$B,DATE($D$2,$B$2,O$4)),0))</f>
        <v>0</v>
      </c>
      <c r="P460" s="251">
        <f>IF(P$4&gt;DAY(EOMONTH(DATE($D$2,$B$2,1),0)),"",IFERROR(SUMIFS(DATA_GOC!$H:$H,DATA_GOC!$A:$A,"BOM",DATA_GOC!$D:$D,$B460,DATA_GOC!$E:$E,"Dầu số",DATA_GOC!$F:$F,"Xuất nội bộ từ téc",DATA_GOC!$B:$B,DATE($D$2,$B$2,P$4)),0))</f>
        <v>0</v>
      </c>
      <c r="Q460" s="251">
        <f>IF(Q$4&gt;DAY(EOMONTH(DATE($D$2,$B$2,1),0)),"",IFERROR(SUMIFS(DATA_GOC!$H:$H,DATA_GOC!$A:$A,"BOM",DATA_GOC!$D:$D,$B460,DATA_GOC!$E:$E,"Dầu số",DATA_GOC!$F:$F,"Xuất nội bộ từ téc",DATA_GOC!$B:$B,DATE($D$2,$B$2,Q$4)),0))</f>
        <v>0</v>
      </c>
      <c r="R460" s="251">
        <f>IF(R$4&gt;DAY(EOMONTH(DATE($D$2,$B$2,1),0)),"",IFERROR(SUMIFS(DATA_GOC!$H:$H,DATA_GOC!$A:$A,"BOM",DATA_GOC!$D:$D,$B460,DATA_GOC!$E:$E,"Dầu số",DATA_GOC!$F:$F,"Xuất nội bộ từ téc",DATA_GOC!$B:$B,DATE($D$2,$B$2,R$4)),0))</f>
        <v>0</v>
      </c>
      <c r="S460" s="251">
        <f>IF(S$4&gt;DAY(EOMONTH(DATE($D$2,$B$2,1),0)),"",IFERROR(SUMIFS(DATA_GOC!$H:$H,DATA_GOC!$A:$A,"BOM",DATA_GOC!$D:$D,$B460,DATA_GOC!$E:$E,"Dầu số",DATA_GOC!$F:$F,"Xuất nội bộ từ téc",DATA_GOC!$B:$B,DATE($D$2,$B$2,S$4)),0))</f>
        <v>0</v>
      </c>
      <c r="T460" s="251">
        <f>IF(T$4&gt;DAY(EOMONTH(DATE($D$2,$B$2,1),0)),"",IFERROR(SUMIFS(DATA_GOC!$H:$H,DATA_GOC!$A:$A,"BOM",DATA_GOC!$D:$D,$B460,DATA_GOC!$E:$E,"Dầu số",DATA_GOC!$F:$F,"Xuất nội bộ từ téc",DATA_GOC!$B:$B,DATE($D$2,$B$2,T$4)),0))</f>
        <v>0</v>
      </c>
      <c r="U460" s="251">
        <f>IF(U$4&gt;DAY(EOMONTH(DATE($D$2,$B$2,1),0)),"",IFERROR(SUMIFS(DATA_GOC!$H:$H,DATA_GOC!$A:$A,"BOM",DATA_GOC!$D:$D,$B460,DATA_GOC!$E:$E,"Dầu số",DATA_GOC!$F:$F,"Xuất nội bộ từ téc",DATA_GOC!$B:$B,DATE($D$2,$B$2,U$4)),0))</f>
        <v>0</v>
      </c>
      <c r="V460" s="251">
        <f>IF(V$4&gt;DAY(EOMONTH(DATE($D$2,$B$2,1),0)),"",IFERROR(SUMIFS(DATA_GOC!$H:$H,DATA_GOC!$A:$A,"BOM",DATA_GOC!$D:$D,$B460,DATA_GOC!$E:$E,"Dầu số",DATA_GOC!$F:$F,"Xuất nội bộ từ téc",DATA_GOC!$B:$B,DATE($D$2,$B$2,V$4)),0))</f>
        <v>0</v>
      </c>
      <c r="W460" s="251">
        <f>IF(W$4&gt;DAY(EOMONTH(DATE($D$2,$B$2,1),0)),"",IFERROR(SUMIFS(DATA_GOC!$H:$H,DATA_GOC!$A:$A,"BOM",DATA_GOC!$D:$D,$B460,DATA_GOC!$E:$E,"Dầu số",DATA_GOC!$F:$F,"Xuất nội bộ từ téc",DATA_GOC!$B:$B,DATE($D$2,$B$2,W$4)),0))</f>
        <v>0</v>
      </c>
      <c r="X460" s="251">
        <f>IF(X$4&gt;DAY(EOMONTH(DATE($D$2,$B$2,1),0)),"",IFERROR(SUMIFS(DATA_GOC!$H:$H,DATA_GOC!$A:$A,"BOM",DATA_GOC!$D:$D,$B460,DATA_GOC!$E:$E,"Dầu số",DATA_GOC!$F:$F,"Xuất nội bộ từ téc",DATA_GOC!$B:$B,DATE($D$2,$B$2,X$4)),0))</f>
        <v>0</v>
      </c>
      <c r="Y460" s="251">
        <f>IF(Y$4&gt;DAY(EOMONTH(DATE($D$2,$B$2,1),0)),"",IFERROR(SUMIFS(DATA_GOC!$H:$H,DATA_GOC!$A:$A,"BOM",DATA_GOC!$D:$D,$B460,DATA_GOC!$E:$E,"Dầu số",DATA_GOC!$F:$F,"Xuất nội bộ từ téc",DATA_GOC!$B:$B,DATE($D$2,$B$2,Y$4)),0))</f>
        <v>0</v>
      </c>
      <c r="Z460" s="251">
        <f>IF(Z$4&gt;DAY(EOMONTH(DATE($D$2,$B$2,1),0)),"",IFERROR(SUMIFS(DATA_GOC!$H:$H,DATA_GOC!$A:$A,"BOM",DATA_GOC!$D:$D,$B460,DATA_GOC!$E:$E,"Dầu số",DATA_GOC!$F:$F,"Xuất nội bộ từ téc",DATA_GOC!$B:$B,DATE($D$2,$B$2,Z$4)),0))</f>
        <v>0</v>
      </c>
      <c r="AA460" s="251">
        <f>IF(AA$4&gt;DAY(EOMONTH(DATE($D$2,$B$2,1),0)),"",IFERROR(SUMIFS(DATA_GOC!$H:$H,DATA_GOC!$A:$A,"BOM",DATA_GOC!$D:$D,$B460,DATA_GOC!$E:$E,"Dầu số",DATA_GOC!$F:$F,"Xuất nội bộ từ téc",DATA_GOC!$B:$B,DATE($D$2,$B$2,AA$4)),0))</f>
        <v>0</v>
      </c>
      <c r="AB460" s="251">
        <f>IF(AB$4&gt;DAY(EOMONTH(DATE($D$2,$B$2,1),0)),"",IFERROR(SUMIFS(DATA_GOC!$H:$H,DATA_GOC!$A:$A,"BOM",DATA_GOC!$D:$D,$B460,DATA_GOC!$E:$E,"Dầu số",DATA_GOC!$F:$F,"Xuất nội bộ từ téc",DATA_GOC!$B:$B,DATE($D$2,$B$2,AB$4)),0))</f>
        <v>0</v>
      </c>
      <c r="AC460" s="251">
        <f>IF(AC$4&gt;DAY(EOMONTH(DATE($D$2,$B$2,1),0)),"",IFERROR(SUMIFS(DATA_GOC!$H:$H,DATA_GOC!$A:$A,"BOM",DATA_GOC!$D:$D,$B460,DATA_GOC!$E:$E,"Dầu số",DATA_GOC!$F:$F,"Xuất nội bộ từ téc",DATA_GOC!$B:$B,DATE($D$2,$B$2,AC$4)),0))</f>
        <v>0</v>
      </c>
      <c r="AD460" s="251">
        <f>IF(AD$4&gt;DAY(EOMONTH(DATE($D$2,$B$2,1),0)),"",IFERROR(SUMIFS(DATA_GOC!$H:$H,DATA_GOC!$A:$A,"BOM",DATA_GOC!$D:$D,$B460,DATA_GOC!$E:$E,"Dầu số",DATA_GOC!$F:$F,"Xuất nội bộ từ téc",DATA_GOC!$B:$B,DATE($D$2,$B$2,AD$4)),0))</f>
        <v>0</v>
      </c>
      <c r="AE460" s="251">
        <f>IF(AE$4&gt;DAY(EOMONTH(DATE($D$2,$B$2,1),0)),"",IFERROR(SUMIFS(DATA_GOC!$H:$H,DATA_GOC!$A:$A,"BOM",DATA_GOC!$D:$D,$B460,DATA_GOC!$E:$E,"Dầu số",DATA_GOC!$F:$F,"Xuất nội bộ từ téc",DATA_GOC!$B:$B,DATE($D$2,$B$2,AE$4)),0))</f>
        <v>0</v>
      </c>
      <c r="AF460" s="251">
        <f>IF(AF$4&gt;DAY(EOMONTH(DATE($D$2,$B$2,1),0)),"",IFERROR(SUMIFS(DATA_GOC!$H:$H,DATA_GOC!$A:$A,"BOM",DATA_GOC!$D:$D,$B460,DATA_GOC!$E:$E,"Dầu số",DATA_GOC!$F:$F,"Xuất nội bộ từ téc",DATA_GOC!$B:$B,DATE($D$2,$B$2,AF$4)),0))</f>
        <v>0</v>
      </c>
      <c r="AG460" s="251">
        <f>IF(AG$4&gt;DAY(EOMONTH(DATE($D$2,$B$2,1),0)),"",IFERROR(SUMIFS(DATA_GOC!$H:$H,DATA_GOC!$A:$A,"BOM",DATA_GOC!$D:$D,$B460,DATA_GOC!$E:$E,"Dầu số",DATA_GOC!$F:$F,"Xuất nội bộ từ téc",DATA_GOC!$B:$B,DATE($D$2,$B$2,AG$4)),0))</f>
        <v>0</v>
      </c>
      <c r="AH460" s="252">
        <f t="shared" si="22"/>
        <v>0</v>
      </c>
      <c r="AI460" s="241"/>
      <c r="AJ460" s="242">
        <f>IF($B460="","",SUMIFS(TINH_TEC!$K$233:$K$9232,TINH_TEC!$H$233:$H$9232,$B460,TINH_TEC!$C$233:$C$9232,"Dầu số",TINH_TEC!$F$233:$F$9232,$B$2,TINH_TEC!$G$233:$G$9232,$D$2,TINH_TEC!$B$233:$B$9232,"Đã chốt"))</f>
        <v>0</v>
      </c>
      <c r="AK460" s="242">
        <f>IF($B460="","",SUMIFS(TINH_TEC!$J$233:$J$9232,TINH_TEC!$H$233:$H$9232,$B460,TINH_TEC!$C$233:$C$9232,"Dầu số",TINH_TEC!$F$233:$F$9232,$B$2,TINH_TEC!$G$233:$G$9232,$D$2,TINH_TEC!$B$233:$B$9232,"Đã chốt"))</f>
        <v>0</v>
      </c>
      <c r="AL460" s="242">
        <f t="shared" si="23"/>
        <v>0</v>
      </c>
    </row>
    <row r="461" ht="15.75" customHeight="1">
      <c r="A461" s="237">
        <f>IF($B461&lt;&gt;"",29,"")</f>
        <v>29</v>
      </c>
      <c r="B461" s="250" t="str">
        <f t="array" ref="B461">IFERROR(INDEX(DANH_MUC!$E:$E,32),"")</f>
        <v>28C05739</v>
      </c>
      <c r="C461" s="251">
        <f>IF(C$4&gt;DAY(EOMONTH(DATE($D$2,$B$2,1),0)),"",IFERROR(SUMIFS(DATA_GOC!$H:$H,DATA_GOC!$A:$A,"BOM",DATA_GOC!$D:$D,$B461,DATA_GOC!$E:$E,"Dầu số",DATA_GOC!$F:$F,"Xuất nội bộ từ téc",DATA_GOC!$B:$B,DATE($D$2,$B$2,C$4)),0))</f>
        <v>0</v>
      </c>
      <c r="D461" s="251">
        <f>IF(D$4&gt;DAY(EOMONTH(DATE($D$2,$B$2,1),0)),"",IFERROR(SUMIFS(DATA_GOC!$H:$H,DATA_GOC!$A:$A,"BOM",DATA_GOC!$D:$D,$B461,DATA_GOC!$E:$E,"Dầu số",DATA_GOC!$F:$F,"Xuất nội bộ từ téc",DATA_GOC!$B:$B,DATE($D$2,$B$2,D$4)),0))</f>
        <v>0</v>
      </c>
      <c r="E461" s="251">
        <f>IF(E$4&gt;DAY(EOMONTH(DATE($D$2,$B$2,1),0)),"",IFERROR(SUMIFS(DATA_GOC!$H:$H,DATA_GOC!$A:$A,"BOM",DATA_GOC!$D:$D,$B461,DATA_GOC!$E:$E,"Dầu số",DATA_GOC!$F:$F,"Xuất nội bộ từ téc",DATA_GOC!$B:$B,DATE($D$2,$B$2,E$4)),0))</f>
        <v>0</v>
      </c>
      <c r="F461" s="251">
        <f>IF(F$4&gt;DAY(EOMONTH(DATE($D$2,$B$2,1),0)),"",IFERROR(SUMIFS(DATA_GOC!$H:$H,DATA_GOC!$A:$A,"BOM",DATA_GOC!$D:$D,$B461,DATA_GOC!$E:$E,"Dầu số",DATA_GOC!$F:$F,"Xuất nội bộ từ téc",DATA_GOC!$B:$B,DATE($D$2,$B$2,F$4)),0))</f>
        <v>0</v>
      </c>
      <c r="G461" s="251">
        <f>IF(G$4&gt;DAY(EOMONTH(DATE($D$2,$B$2,1),0)),"",IFERROR(SUMIFS(DATA_GOC!$H:$H,DATA_GOC!$A:$A,"BOM",DATA_GOC!$D:$D,$B461,DATA_GOC!$E:$E,"Dầu số",DATA_GOC!$F:$F,"Xuất nội bộ từ téc",DATA_GOC!$B:$B,DATE($D$2,$B$2,G$4)),0))</f>
        <v>0</v>
      </c>
      <c r="H461" s="251">
        <f>IF(H$4&gt;DAY(EOMONTH(DATE($D$2,$B$2,1),0)),"",IFERROR(SUMIFS(DATA_GOC!$H:$H,DATA_GOC!$A:$A,"BOM",DATA_GOC!$D:$D,$B461,DATA_GOC!$E:$E,"Dầu số",DATA_GOC!$F:$F,"Xuất nội bộ từ téc",DATA_GOC!$B:$B,DATE($D$2,$B$2,H$4)),0))</f>
        <v>0</v>
      </c>
      <c r="I461" s="251">
        <f>IF(I$4&gt;DAY(EOMONTH(DATE($D$2,$B$2,1),0)),"",IFERROR(SUMIFS(DATA_GOC!$H:$H,DATA_GOC!$A:$A,"BOM",DATA_GOC!$D:$D,$B461,DATA_GOC!$E:$E,"Dầu số",DATA_GOC!$F:$F,"Xuất nội bộ từ téc",DATA_GOC!$B:$B,DATE($D$2,$B$2,I$4)),0))</f>
        <v>0</v>
      </c>
      <c r="J461" s="251">
        <f>IF(J$4&gt;DAY(EOMONTH(DATE($D$2,$B$2,1),0)),"",IFERROR(SUMIFS(DATA_GOC!$H:$H,DATA_GOC!$A:$A,"BOM",DATA_GOC!$D:$D,$B461,DATA_GOC!$E:$E,"Dầu số",DATA_GOC!$F:$F,"Xuất nội bộ từ téc",DATA_GOC!$B:$B,DATE($D$2,$B$2,J$4)),0))</f>
        <v>0</v>
      </c>
      <c r="K461" s="251">
        <f>IF(K$4&gt;DAY(EOMONTH(DATE($D$2,$B$2,1),0)),"",IFERROR(SUMIFS(DATA_GOC!$H:$H,DATA_GOC!$A:$A,"BOM",DATA_GOC!$D:$D,$B461,DATA_GOC!$E:$E,"Dầu số",DATA_GOC!$F:$F,"Xuất nội bộ từ téc",DATA_GOC!$B:$B,DATE($D$2,$B$2,K$4)),0))</f>
        <v>0</v>
      </c>
      <c r="L461" s="251">
        <f>IF(L$4&gt;DAY(EOMONTH(DATE($D$2,$B$2,1),0)),"",IFERROR(SUMIFS(DATA_GOC!$H:$H,DATA_GOC!$A:$A,"BOM",DATA_GOC!$D:$D,$B461,DATA_GOC!$E:$E,"Dầu số",DATA_GOC!$F:$F,"Xuất nội bộ từ téc",DATA_GOC!$B:$B,DATE($D$2,$B$2,L$4)),0))</f>
        <v>0</v>
      </c>
      <c r="M461" s="251">
        <f>IF(M$4&gt;DAY(EOMONTH(DATE($D$2,$B$2,1),0)),"",IFERROR(SUMIFS(DATA_GOC!$H:$H,DATA_GOC!$A:$A,"BOM",DATA_GOC!$D:$D,$B461,DATA_GOC!$E:$E,"Dầu số",DATA_GOC!$F:$F,"Xuất nội bộ từ téc",DATA_GOC!$B:$B,DATE($D$2,$B$2,M$4)),0))</f>
        <v>0</v>
      </c>
      <c r="N461" s="251">
        <f>IF(N$4&gt;DAY(EOMONTH(DATE($D$2,$B$2,1),0)),"",IFERROR(SUMIFS(DATA_GOC!$H:$H,DATA_GOC!$A:$A,"BOM",DATA_GOC!$D:$D,$B461,DATA_GOC!$E:$E,"Dầu số",DATA_GOC!$F:$F,"Xuất nội bộ từ téc",DATA_GOC!$B:$B,DATE($D$2,$B$2,N$4)),0))</f>
        <v>0</v>
      </c>
      <c r="O461" s="251">
        <f>IF(O$4&gt;DAY(EOMONTH(DATE($D$2,$B$2,1),0)),"",IFERROR(SUMIFS(DATA_GOC!$H:$H,DATA_GOC!$A:$A,"BOM",DATA_GOC!$D:$D,$B461,DATA_GOC!$E:$E,"Dầu số",DATA_GOC!$F:$F,"Xuất nội bộ từ téc",DATA_GOC!$B:$B,DATE($D$2,$B$2,O$4)),0))</f>
        <v>0</v>
      </c>
      <c r="P461" s="251">
        <f>IF(P$4&gt;DAY(EOMONTH(DATE($D$2,$B$2,1),0)),"",IFERROR(SUMIFS(DATA_GOC!$H:$H,DATA_GOC!$A:$A,"BOM",DATA_GOC!$D:$D,$B461,DATA_GOC!$E:$E,"Dầu số",DATA_GOC!$F:$F,"Xuất nội bộ từ téc",DATA_GOC!$B:$B,DATE($D$2,$B$2,P$4)),0))</f>
        <v>0</v>
      </c>
      <c r="Q461" s="251">
        <f>IF(Q$4&gt;DAY(EOMONTH(DATE($D$2,$B$2,1),0)),"",IFERROR(SUMIFS(DATA_GOC!$H:$H,DATA_GOC!$A:$A,"BOM",DATA_GOC!$D:$D,$B461,DATA_GOC!$E:$E,"Dầu số",DATA_GOC!$F:$F,"Xuất nội bộ từ téc",DATA_GOC!$B:$B,DATE($D$2,$B$2,Q$4)),0))</f>
        <v>0</v>
      </c>
      <c r="R461" s="251">
        <f>IF(R$4&gt;DAY(EOMONTH(DATE($D$2,$B$2,1),0)),"",IFERROR(SUMIFS(DATA_GOC!$H:$H,DATA_GOC!$A:$A,"BOM",DATA_GOC!$D:$D,$B461,DATA_GOC!$E:$E,"Dầu số",DATA_GOC!$F:$F,"Xuất nội bộ từ téc",DATA_GOC!$B:$B,DATE($D$2,$B$2,R$4)),0))</f>
        <v>0</v>
      </c>
      <c r="S461" s="251">
        <f>IF(S$4&gt;DAY(EOMONTH(DATE($D$2,$B$2,1),0)),"",IFERROR(SUMIFS(DATA_GOC!$H:$H,DATA_GOC!$A:$A,"BOM",DATA_GOC!$D:$D,$B461,DATA_GOC!$E:$E,"Dầu số",DATA_GOC!$F:$F,"Xuất nội bộ từ téc",DATA_GOC!$B:$B,DATE($D$2,$B$2,S$4)),0))</f>
        <v>0</v>
      </c>
      <c r="T461" s="251">
        <f>IF(T$4&gt;DAY(EOMONTH(DATE($D$2,$B$2,1),0)),"",IFERROR(SUMIFS(DATA_GOC!$H:$H,DATA_GOC!$A:$A,"BOM",DATA_GOC!$D:$D,$B461,DATA_GOC!$E:$E,"Dầu số",DATA_GOC!$F:$F,"Xuất nội bộ từ téc",DATA_GOC!$B:$B,DATE($D$2,$B$2,T$4)),0))</f>
        <v>0</v>
      </c>
      <c r="U461" s="251">
        <f>IF(U$4&gt;DAY(EOMONTH(DATE($D$2,$B$2,1),0)),"",IFERROR(SUMIFS(DATA_GOC!$H:$H,DATA_GOC!$A:$A,"BOM",DATA_GOC!$D:$D,$B461,DATA_GOC!$E:$E,"Dầu số",DATA_GOC!$F:$F,"Xuất nội bộ từ téc",DATA_GOC!$B:$B,DATE($D$2,$B$2,U$4)),0))</f>
        <v>0</v>
      </c>
      <c r="V461" s="251">
        <f>IF(V$4&gt;DAY(EOMONTH(DATE($D$2,$B$2,1),0)),"",IFERROR(SUMIFS(DATA_GOC!$H:$H,DATA_GOC!$A:$A,"BOM",DATA_GOC!$D:$D,$B461,DATA_GOC!$E:$E,"Dầu số",DATA_GOC!$F:$F,"Xuất nội bộ từ téc",DATA_GOC!$B:$B,DATE($D$2,$B$2,V$4)),0))</f>
        <v>0</v>
      </c>
      <c r="W461" s="251">
        <f>IF(W$4&gt;DAY(EOMONTH(DATE($D$2,$B$2,1),0)),"",IFERROR(SUMIFS(DATA_GOC!$H:$H,DATA_GOC!$A:$A,"BOM",DATA_GOC!$D:$D,$B461,DATA_GOC!$E:$E,"Dầu số",DATA_GOC!$F:$F,"Xuất nội bộ từ téc",DATA_GOC!$B:$B,DATE($D$2,$B$2,W$4)),0))</f>
        <v>0</v>
      </c>
      <c r="X461" s="251">
        <f>IF(X$4&gt;DAY(EOMONTH(DATE($D$2,$B$2,1),0)),"",IFERROR(SUMIFS(DATA_GOC!$H:$H,DATA_GOC!$A:$A,"BOM",DATA_GOC!$D:$D,$B461,DATA_GOC!$E:$E,"Dầu số",DATA_GOC!$F:$F,"Xuất nội bộ từ téc",DATA_GOC!$B:$B,DATE($D$2,$B$2,X$4)),0))</f>
        <v>0</v>
      </c>
      <c r="Y461" s="251">
        <f>IF(Y$4&gt;DAY(EOMONTH(DATE($D$2,$B$2,1),0)),"",IFERROR(SUMIFS(DATA_GOC!$H:$H,DATA_GOC!$A:$A,"BOM",DATA_GOC!$D:$D,$B461,DATA_GOC!$E:$E,"Dầu số",DATA_GOC!$F:$F,"Xuất nội bộ từ téc",DATA_GOC!$B:$B,DATE($D$2,$B$2,Y$4)),0))</f>
        <v>0</v>
      </c>
      <c r="Z461" s="251">
        <f>IF(Z$4&gt;DAY(EOMONTH(DATE($D$2,$B$2,1),0)),"",IFERROR(SUMIFS(DATA_GOC!$H:$H,DATA_GOC!$A:$A,"BOM",DATA_GOC!$D:$D,$B461,DATA_GOC!$E:$E,"Dầu số",DATA_GOC!$F:$F,"Xuất nội bộ từ téc",DATA_GOC!$B:$B,DATE($D$2,$B$2,Z$4)),0))</f>
        <v>0</v>
      </c>
      <c r="AA461" s="251">
        <f>IF(AA$4&gt;DAY(EOMONTH(DATE($D$2,$B$2,1),0)),"",IFERROR(SUMIFS(DATA_GOC!$H:$H,DATA_GOC!$A:$A,"BOM",DATA_GOC!$D:$D,$B461,DATA_GOC!$E:$E,"Dầu số",DATA_GOC!$F:$F,"Xuất nội bộ từ téc",DATA_GOC!$B:$B,DATE($D$2,$B$2,AA$4)),0))</f>
        <v>0</v>
      </c>
      <c r="AB461" s="251">
        <f>IF(AB$4&gt;DAY(EOMONTH(DATE($D$2,$B$2,1),0)),"",IFERROR(SUMIFS(DATA_GOC!$H:$H,DATA_GOC!$A:$A,"BOM",DATA_GOC!$D:$D,$B461,DATA_GOC!$E:$E,"Dầu số",DATA_GOC!$F:$F,"Xuất nội bộ từ téc",DATA_GOC!$B:$B,DATE($D$2,$B$2,AB$4)),0))</f>
        <v>0</v>
      </c>
      <c r="AC461" s="251">
        <f>IF(AC$4&gt;DAY(EOMONTH(DATE($D$2,$B$2,1),0)),"",IFERROR(SUMIFS(DATA_GOC!$H:$H,DATA_GOC!$A:$A,"BOM",DATA_GOC!$D:$D,$B461,DATA_GOC!$E:$E,"Dầu số",DATA_GOC!$F:$F,"Xuất nội bộ từ téc",DATA_GOC!$B:$B,DATE($D$2,$B$2,AC$4)),0))</f>
        <v>0</v>
      </c>
      <c r="AD461" s="251">
        <f>IF(AD$4&gt;DAY(EOMONTH(DATE($D$2,$B$2,1),0)),"",IFERROR(SUMIFS(DATA_GOC!$H:$H,DATA_GOC!$A:$A,"BOM",DATA_GOC!$D:$D,$B461,DATA_GOC!$E:$E,"Dầu số",DATA_GOC!$F:$F,"Xuất nội bộ từ téc",DATA_GOC!$B:$B,DATE($D$2,$B$2,AD$4)),0))</f>
        <v>0</v>
      </c>
      <c r="AE461" s="251">
        <f>IF(AE$4&gt;DAY(EOMONTH(DATE($D$2,$B$2,1),0)),"",IFERROR(SUMIFS(DATA_GOC!$H:$H,DATA_GOC!$A:$A,"BOM",DATA_GOC!$D:$D,$B461,DATA_GOC!$E:$E,"Dầu số",DATA_GOC!$F:$F,"Xuất nội bộ từ téc",DATA_GOC!$B:$B,DATE($D$2,$B$2,AE$4)),0))</f>
        <v>0</v>
      </c>
      <c r="AF461" s="251">
        <f>IF(AF$4&gt;DAY(EOMONTH(DATE($D$2,$B$2,1),0)),"",IFERROR(SUMIFS(DATA_GOC!$H:$H,DATA_GOC!$A:$A,"BOM",DATA_GOC!$D:$D,$B461,DATA_GOC!$E:$E,"Dầu số",DATA_GOC!$F:$F,"Xuất nội bộ từ téc",DATA_GOC!$B:$B,DATE($D$2,$B$2,AF$4)),0))</f>
        <v>0</v>
      </c>
      <c r="AG461" s="251">
        <f>IF(AG$4&gt;DAY(EOMONTH(DATE($D$2,$B$2,1),0)),"",IFERROR(SUMIFS(DATA_GOC!$H:$H,DATA_GOC!$A:$A,"BOM",DATA_GOC!$D:$D,$B461,DATA_GOC!$E:$E,"Dầu số",DATA_GOC!$F:$F,"Xuất nội bộ từ téc",DATA_GOC!$B:$B,DATE($D$2,$B$2,AG$4)),0))</f>
        <v>0</v>
      </c>
      <c r="AH461" s="252">
        <f t="shared" si="22"/>
        <v>0</v>
      </c>
      <c r="AI461" s="241"/>
      <c r="AJ461" s="242">
        <f>IF($B461="","",SUMIFS(TINH_TEC!$K$233:$K$9232,TINH_TEC!$H$233:$H$9232,$B461,TINH_TEC!$C$233:$C$9232,"Dầu số",TINH_TEC!$F$233:$F$9232,$B$2,TINH_TEC!$G$233:$G$9232,$D$2,TINH_TEC!$B$233:$B$9232,"Đã chốt"))</f>
        <v>0</v>
      </c>
      <c r="AK461" s="242">
        <f>IF($B461="","",SUMIFS(TINH_TEC!$J$233:$J$9232,TINH_TEC!$H$233:$H$9232,$B461,TINH_TEC!$C$233:$C$9232,"Dầu số",TINH_TEC!$F$233:$F$9232,$B$2,TINH_TEC!$G$233:$G$9232,$D$2,TINH_TEC!$B$233:$B$9232,"Đã chốt"))</f>
        <v>0</v>
      </c>
      <c r="AL461" s="242">
        <f t="shared" si="23"/>
        <v>0</v>
      </c>
    </row>
    <row r="462" ht="15.75" customHeight="1">
      <c r="A462" s="237">
        <f>IF($B462&lt;&gt;"",30,"")</f>
        <v>30</v>
      </c>
      <c r="B462" s="250" t="str">
        <f t="array" ref="B462">IFERROR(INDEX(DANH_MUC!$E:$E,33),"")</f>
        <v>28C06369</v>
      </c>
      <c r="C462" s="251">
        <f>IF(C$4&gt;DAY(EOMONTH(DATE($D$2,$B$2,1),0)),"",IFERROR(SUMIFS(DATA_GOC!$H:$H,DATA_GOC!$A:$A,"BOM",DATA_GOC!$D:$D,$B462,DATA_GOC!$E:$E,"Dầu số",DATA_GOC!$F:$F,"Xuất nội bộ từ téc",DATA_GOC!$B:$B,DATE($D$2,$B$2,C$4)),0))</f>
        <v>0</v>
      </c>
      <c r="D462" s="251">
        <f>IF(D$4&gt;DAY(EOMONTH(DATE($D$2,$B$2,1),0)),"",IFERROR(SUMIFS(DATA_GOC!$H:$H,DATA_GOC!$A:$A,"BOM",DATA_GOC!$D:$D,$B462,DATA_GOC!$E:$E,"Dầu số",DATA_GOC!$F:$F,"Xuất nội bộ từ téc",DATA_GOC!$B:$B,DATE($D$2,$B$2,D$4)),0))</f>
        <v>0</v>
      </c>
      <c r="E462" s="251">
        <f>IF(E$4&gt;DAY(EOMONTH(DATE($D$2,$B$2,1),0)),"",IFERROR(SUMIFS(DATA_GOC!$H:$H,DATA_GOC!$A:$A,"BOM",DATA_GOC!$D:$D,$B462,DATA_GOC!$E:$E,"Dầu số",DATA_GOC!$F:$F,"Xuất nội bộ từ téc",DATA_GOC!$B:$B,DATE($D$2,$B$2,E$4)),0))</f>
        <v>0</v>
      </c>
      <c r="F462" s="251">
        <f>IF(F$4&gt;DAY(EOMONTH(DATE($D$2,$B$2,1),0)),"",IFERROR(SUMIFS(DATA_GOC!$H:$H,DATA_GOC!$A:$A,"BOM",DATA_GOC!$D:$D,$B462,DATA_GOC!$E:$E,"Dầu số",DATA_GOC!$F:$F,"Xuất nội bộ từ téc",DATA_GOC!$B:$B,DATE($D$2,$B$2,F$4)),0))</f>
        <v>0</v>
      </c>
      <c r="G462" s="251">
        <f>IF(G$4&gt;DAY(EOMONTH(DATE($D$2,$B$2,1),0)),"",IFERROR(SUMIFS(DATA_GOC!$H:$H,DATA_GOC!$A:$A,"BOM",DATA_GOC!$D:$D,$B462,DATA_GOC!$E:$E,"Dầu số",DATA_GOC!$F:$F,"Xuất nội bộ từ téc",DATA_GOC!$B:$B,DATE($D$2,$B$2,G$4)),0))</f>
        <v>0</v>
      </c>
      <c r="H462" s="251">
        <f>IF(H$4&gt;DAY(EOMONTH(DATE($D$2,$B$2,1),0)),"",IFERROR(SUMIFS(DATA_GOC!$H:$H,DATA_GOC!$A:$A,"BOM",DATA_GOC!$D:$D,$B462,DATA_GOC!$E:$E,"Dầu số",DATA_GOC!$F:$F,"Xuất nội bộ từ téc",DATA_GOC!$B:$B,DATE($D$2,$B$2,H$4)),0))</f>
        <v>0</v>
      </c>
      <c r="I462" s="251">
        <f>IF(I$4&gt;DAY(EOMONTH(DATE($D$2,$B$2,1),0)),"",IFERROR(SUMIFS(DATA_GOC!$H:$H,DATA_GOC!$A:$A,"BOM",DATA_GOC!$D:$D,$B462,DATA_GOC!$E:$E,"Dầu số",DATA_GOC!$F:$F,"Xuất nội bộ từ téc",DATA_GOC!$B:$B,DATE($D$2,$B$2,I$4)),0))</f>
        <v>0</v>
      </c>
      <c r="J462" s="251">
        <f>IF(J$4&gt;DAY(EOMONTH(DATE($D$2,$B$2,1),0)),"",IFERROR(SUMIFS(DATA_GOC!$H:$H,DATA_GOC!$A:$A,"BOM",DATA_GOC!$D:$D,$B462,DATA_GOC!$E:$E,"Dầu số",DATA_GOC!$F:$F,"Xuất nội bộ từ téc",DATA_GOC!$B:$B,DATE($D$2,$B$2,J$4)),0))</f>
        <v>0</v>
      </c>
      <c r="K462" s="251">
        <f>IF(K$4&gt;DAY(EOMONTH(DATE($D$2,$B$2,1),0)),"",IFERROR(SUMIFS(DATA_GOC!$H:$H,DATA_GOC!$A:$A,"BOM",DATA_GOC!$D:$D,$B462,DATA_GOC!$E:$E,"Dầu số",DATA_GOC!$F:$F,"Xuất nội bộ từ téc",DATA_GOC!$B:$B,DATE($D$2,$B$2,K$4)),0))</f>
        <v>0</v>
      </c>
      <c r="L462" s="251">
        <f>IF(L$4&gt;DAY(EOMONTH(DATE($D$2,$B$2,1),0)),"",IFERROR(SUMIFS(DATA_GOC!$H:$H,DATA_GOC!$A:$A,"BOM",DATA_GOC!$D:$D,$B462,DATA_GOC!$E:$E,"Dầu số",DATA_GOC!$F:$F,"Xuất nội bộ từ téc",DATA_GOC!$B:$B,DATE($D$2,$B$2,L$4)),0))</f>
        <v>0</v>
      </c>
      <c r="M462" s="251">
        <f>IF(M$4&gt;DAY(EOMONTH(DATE($D$2,$B$2,1),0)),"",IFERROR(SUMIFS(DATA_GOC!$H:$H,DATA_GOC!$A:$A,"BOM",DATA_GOC!$D:$D,$B462,DATA_GOC!$E:$E,"Dầu số",DATA_GOC!$F:$F,"Xuất nội bộ từ téc",DATA_GOC!$B:$B,DATE($D$2,$B$2,M$4)),0))</f>
        <v>0</v>
      </c>
      <c r="N462" s="251">
        <f>IF(N$4&gt;DAY(EOMONTH(DATE($D$2,$B$2,1),0)),"",IFERROR(SUMIFS(DATA_GOC!$H:$H,DATA_GOC!$A:$A,"BOM",DATA_GOC!$D:$D,$B462,DATA_GOC!$E:$E,"Dầu số",DATA_GOC!$F:$F,"Xuất nội bộ từ téc",DATA_GOC!$B:$B,DATE($D$2,$B$2,N$4)),0))</f>
        <v>0</v>
      </c>
      <c r="O462" s="251">
        <f>IF(O$4&gt;DAY(EOMONTH(DATE($D$2,$B$2,1),0)),"",IFERROR(SUMIFS(DATA_GOC!$H:$H,DATA_GOC!$A:$A,"BOM",DATA_GOC!$D:$D,$B462,DATA_GOC!$E:$E,"Dầu số",DATA_GOC!$F:$F,"Xuất nội bộ từ téc",DATA_GOC!$B:$B,DATE($D$2,$B$2,O$4)),0))</f>
        <v>0</v>
      </c>
      <c r="P462" s="251">
        <f>IF(P$4&gt;DAY(EOMONTH(DATE($D$2,$B$2,1),0)),"",IFERROR(SUMIFS(DATA_GOC!$H:$H,DATA_GOC!$A:$A,"BOM",DATA_GOC!$D:$D,$B462,DATA_GOC!$E:$E,"Dầu số",DATA_GOC!$F:$F,"Xuất nội bộ từ téc",DATA_GOC!$B:$B,DATE($D$2,$B$2,P$4)),0))</f>
        <v>0</v>
      </c>
      <c r="Q462" s="251">
        <f>IF(Q$4&gt;DAY(EOMONTH(DATE($D$2,$B$2,1),0)),"",IFERROR(SUMIFS(DATA_GOC!$H:$H,DATA_GOC!$A:$A,"BOM",DATA_GOC!$D:$D,$B462,DATA_GOC!$E:$E,"Dầu số",DATA_GOC!$F:$F,"Xuất nội bộ từ téc",DATA_GOC!$B:$B,DATE($D$2,$B$2,Q$4)),0))</f>
        <v>0</v>
      </c>
      <c r="R462" s="251">
        <f>IF(R$4&gt;DAY(EOMONTH(DATE($D$2,$B$2,1),0)),"",IFERROR(SUMIFS(DATA_GOC!$H:$H,DATA_GOC!$A:$A,"BOM",DATA_GOC!$D:$D,$B462,DATA_GOC!$E:$E,"Dầu số",DATA_GOC!$F:$F,"Xuất nội bộ từ téc",DATA_GOC!$B:$B,DATE($D$2,$B$2,R$4)),0))</f>
        <v>0</v>
      </c>
      <c r="S462" s="251">
        <f>IF(S$4&gt;DAY(EOMONTH(DATE($D$2,$B$2,1),0)),"",IFERROR(SUMIFS(DATA_GOC!$H:$H,DATA_GOC!$A:$A,"BOM",DATA_GOC!$D:$D,$B462,DATA_GOC!$E:$E,"Dầu số",DATA_GOC!$F:$F,"Xuất nội bộ từ téc",DATA_GOC!$B:$B,DATE($D$2,$B$2,S$4)),0))</f>
        <v>0</v>
      </c>
      <c r="T462" s="251">
        <f>IF(T$4&gt;DAY(EOMONTH(DATE($D$2,$B$2,1),0)),"",IFERROR(SUMIFS(DATA_GOC!$H:$H,DATA_GOC!$A:$A,"BOM",DATA_GOC!$D:$D,$B462,DATA_GOC!$E:$E,"Dầu số",DATA_GOC!$F:$F,"Xuất nội bộ từ téc",DATA_GOC!$B:$B,DATE($D$2,$B$2,T$4)),0))</f>
        <v>0</v>
      </c>
      <c r="U462" s="251">
        <f>IF(U$4&gt;DAY(EOMONTH(DATE($D$2,$B$2,1),0)),"",IFERROR(SUMIFS(DATA_GOC!$H:$H,DATA_GOC!$A:$A,"BOM",DATA_GOC!$D:$D,$B462,DATA_GOC!$E:$E,"Dầu số",DATA_GOC!$F:$F,"Xuất nội bộ từ téc",DATA_GOC!$B:$B,DATE($D$2,$B$2,U$4)),0))</f>
        <v>0</v>
      </c>
      <c r="V462" s="251">
        <f>IF(V$4&gt;DAY(EOMONTH(DATE($D$2,$B$2,1),0)),"",IFERROR(SUMIFS(DATA_GOC!$H:$H,DATA_GOC!$A:$A,"BOM",DATA_GOC!$D:$D,$B462,DATA_GOC!$E:$E,"Dầu số",DATA_GOC!$F:$F,"Xuất nội bộ từ téc",DATA_GOC!$B:$B,DATE($D$2,$B$2,V$4)),0))</f>
        <v>0</v>
      </c>
      <c r="W462" s="251">
        <f>IF(W$4&gt;DAY(EOMONTH(DATE($D$2,$B$2,1),0)),"",IFERROR(SUMIFS(DATA_GOC!$H:$H,DATA_GOC!$A:$A,"BOM",DATA_GOC!$D:$D,$B462,DATA_GOC!$E:$E,"Dầu số",DATA_GOC!$F:$F,"Xuất nội bộ từ téc",DATA_GOC!$B:$B,DATE($D$2,$B$2,W$4)),0))</f>
        <v>0</v>
      </c>
      <c r="X462" s="251">
        <f>IF(X$4&gt;DAY(EOMONTH(DATE($D$2,$B$2,1),0)),"",IFERROR(SUMIFS(DATA_GOC!$H:$H,DATA_GOC!$A:$A,"BOM",DATA_GOC!$D:$D,$B462,DATA_GOC!$E:$E,"Dầu số",DATA_GOC!$F:$F,"Xuất nội bộ từ téc",DATA_GOC!$B:$B,DATE($D$2,$B$2,X$4)),0))</f>
        <v>0</v>
      </c>
      <c r="Y462" s="251">
        <f>IF(Y$4&gt;DAY(EOMONTH(DATE($D$2,$B$2,1),0)),"",IFERROR(SUMIFS(DATA_GOC!$H:$H,DATA_GOC!$A:$A,"BOM",DATA_GOC!$D:$D,$B462,DATA_GOC!$E:$E,"Dầu số",DATA_GOC!$F:$F,"Xuất nội bộ từ téc",DATA_GOC!$B:$B,DATE($D$2,$B$2,Y$4)),0))</f>
        <v>0</v>
      </c>
      <c r="Z462" s="251">
        <f>IF(Z$4&gt;DAY(EOMONTH(DATE($D$2,$B$2,1),0)),"",IFERROR(SUMIFS(DATA_GOC!$H:$H,DATA_GOC!$A:$A,"BOM",DATA_GOC!$D:$D,$B462,DATA_GOC!$E:$E,"Dầu số",DATA_GOC!$F:$F,"Xuất nội bộ từ téc",DATA_GOC!$B:$B,DATE($D$2,$B$2,Z$4)),0))</f>
        <v>0</v>
      </c>
      <c r="AA462" s="251">
        <f>IF(AA$4&gt;DAY(EOMONTH(DATE($D$2,$B$2,1),0)),"",IFERROR(SUMIFS(DATA_GOC!$H:$H,DATA_GOC!$A:$A,"BOM",DATA_GOC!$D:$D,$B462,DATA_GOC!$E:$E,"Dầu số",DATA_GOC!$F:$F,"Xuất nội bộ từ téc",DATA_GOC!$B:$B,DATE($D$2,$B$2,AA$4)),0))</f>
        <v>0</v>
      </c>
      <c r="AB462" s="251">
        <f>IF(AB$4&gt;DAY(EOMONTH(DATE($D$2,$B$2,1),0)),"",IFERROR(SUMIFS(DATA_GOC!$H:$H,DATA_GOC!$A:$A,"BOM",DATA_GOC!$D:$D,$B462,DATA_GOC!$E:$E,"Dầu số",DATA_GOC!$F:$F,"Xuất nội bộ từ téc",DATA_GOC!$B:$B,DATE($D$2,$B$2,AB$4)),0))</f>
        <v>0</v>
      </c>
      <c r="AC462" s="251">
        <f>IF(AC$4&gt;DAY(EOMONTH(DATE($D$2,$B$2,1),0)),"",IFERROR(SUMIFS(DATA_GOC!$H:$H,DATA_GOC!$A:$A,"BOM",DATA_GOC!$D:$D,$B462,DATA_GOC!$E:$E,"Dầu số",DATA_GOC!$F:$F,"Xuất nội bộ từ téc",DATA_GOC!$B:$B,DATE($D$2,$B$2,AC$4)),0))</f>
        <v>0</v>
      </c>
      <c r="AD462" s="251">
        <f>IF(AD$4&gt;DAY(EOMONTH(DATE($D$2,$B$2,1),0)),"",IFERROR(SUMIFS(DATA_GOC!$H:$H,DATA_GOC!$A:$A,"BOM",DATA_GOC!$D:$D,$B462,DATA_GOC!$E:$E,"Dầu số",DATA_GOC!$F:$F,"Xuất nội bộ từ téc",DATA_GOC!$B:$B,DATE($D$2,$B$2,AD$4)),0))</f>
        <v>0</v>
      </c>
      <c r="AE462" s="251">
        <f>IF(AE$4&gt;DAY(EOMONTH(DATE($D$2,$B$2,1),0)),"",IFERROR(SUMIFS(DATA_GOC!$H:$H,DATA_GOC!$A:$A,"BOM",DATA_GOC!$D:$D,$B462,DATA_GOC!$E:$E,"Dầu số",DATA_GOC!$F:$F,"Xuất nội bộ từ téc",DATA_GOC!$B:$B,DATE($D$2,$B$2,AE$4)),0))</f>
        <v>0</v>
      </c>
      <c r="AF462" s="251">
        <f>IF(AF$4&gt;DAY(EOMONTH(DATE($D$2,$B$2,1),0)),"",IFERROR(SUMIFS(DATA_GOC!$H:$H,DATA_GOC!$A:$A,"BOM",DATA_GOC!$D:$D,$B462,DATA_GOC!$E:$E,"Dầu số",DATA_GOC!$F:$F,"Xuất nội bộ từ téc",DATA_GOC!$B:$B,DATE($D$2,$B$2,AF$4)),0))</f>
        <v>0</v>
      </c>
      <c r="AG462" s="251">
        <f>IF(AG$4&gt;DAY(EOMONTH(DATE($D$2,$B$2,1),0)),"",IFERROR(SUMIFS(DATA_GOC!$H:$H,DATA_GOC!$A:$A,"BOM",DATA_GOC!$D:$D,$B462,DATA_GOC!$E:$E,"Dầu số",DATA_GOC!$F:$F,"Xuất nội bộ từ téc",DATA_GOC!$B:$B,DATE($D$2,$B$2,AG$4)),0))</f>
        <v>0</v>
      </c>
      <c r="AH462" s="252">
        <f t="shared" si="22"/>
        <v>0</v>
      </c>
      <c r="AI462" s="241"/>
      <c r="AJ462" s="242">
        <f>IF($B462="","",SUMIFS(TINH_TEC!$K$233:$K$9232,TINH_TEC!$H$233:$H$9232,$B462,TINH_TEC!$C$233:$C$9232,"Dầu số",TINH_TEC!$F$233:$F$9232,$B$2,TINH_TEC!$G$233:$G$9232,$D$2,TINH_TEC!$B$233:$B$9232,"Đã chốt"))</f>
        <v>0</v>
      </c>
      <c r="AK462" s="242">
        <f>IF($B462="","",SUMIFS(TINH_TEC!$J$233:$J$9232,TINH_TEC!$H$233:$H$9232,$B462,TINH_TEC!$C$233:$C$9232,"Dầu số",TINH_TEC!$F$233:$F$9232,$B$2,TINH_TEC!$G$233:$G$9232,$D$2,TINH_TEC!$B$233:$B$9232,"Đã chốt"))</f>
        <v>0</v>
      </c>
      <c r="AL462" s="242">
        <f t="shared" si="23"/>
        <v>0</v>
      </c>
    </row>
    <row r="463" ht="15.75" customHeight="1">
      <c r="A463" s="237">
        <f>IF($B463&lt;&gt;"",31,"")</f>
        <v>31</v>
      </c>
      <c r="B463" s="250" t="str">
        <f t="array" ref="B463">IFERROR(INDEX(DANH_MUC!$E:$E,34),"")</f>
        <v>28C06447</v>
      </c>
      <c r="C463" s="251">
        <f>IF(C$4&gt;DAY(EOMONTH(DATE($D$2,$B$2,1),0)),"",IFERROR(SUMIFS(DATA_GOC!$H:$H,DATA_GOC!$A:$A,"BOM",DATA_GOC!$D:$D,$B463,DATA_GOC!$E:$E,"Dầu số",DATA_GOC!$F:$F,"Xuất nội bộ từ téc",DATA_GOC!$B:$B,DATE($D$2,$B$2,C$4)),0))</f>
        <v>0</v>
      </c>
      <c r="D463" s="251">
        <f>IF(D$4&gt;DAY(EOMONTH(DATE($D$2,$B$2,1),0)),"",IFERROR(SUMIFS(DATA_GOC!$H:$H,DATA_GOC!$A:$A,"BOM",DATA_GOC!$D:$D,$B463,DATA_GOC!$E:$E,"Dầu số",DATA_GOC!$F:$F,"Xuất nội bộ từ téc",DATA_GOC!$B:$B,DATE($D$2,$B$2,D$4)),0))</f>
        <v>0</v>
      </c>
      <c r="E463" s="251">
        <f>IF(E$4&gt;DAY(EOMONTH(DATE($D$2,$B$2,1),0)),"",IFERROR(SUMIFS(DATA_GOC!$H:$H,DATA_GOC!$A:$A,"BOM",DATA_GOC!$D:$D,$B463,DATA_GOC!$E:$E,"Dầu số",DATA_GOC!$F:$F,"Xuất nội bộ từ téc",DATA_GOC!$B:$B,DATE($D$2,$B$2,E$4)),0))</f>
        <v>0</v>
      </c>
      <c r="F463" s="251">
        <f>IF(F$4&gt;DAY(EOMONTH(DATE($D$2,$B$2,1),0)),"",IFERROR(SUMIFS(DATA_GOC!$H:$H,DATA_GOC!$A:$A,"BOM",DATA_GOC!$D:$D,$B463,DATA_GOC!$E:$E,"Dầu số",DATA_GOC!$F:$F,"Xuất nội bộ từ téc",DATA_GOC!$B:$B,DATE($D$2,$B$2,F$4)),0))</f>
        <v>0</v>
      </c>
      <c r="G463" s="251">
        <f>IF(G$4&gt;DAY(EOMONTH(DATE($D$2,$B$2,1),0)),"",IFERROR(SUMIFS(DATA_GOC!$H:$H,DATA_GOC!$A:$A,"BOM",DATA_GOC!$D:$D,$B463,DATA_GOC!$E:$E,"Dầu số",DATA_GOC!$F:$F,"Xuất nội bộ từ téc",DATA_GOC!$B:$B,DATE($D$2,$B$2,G$4)),0))</f>
        <v>0</v>
      </c>
      <c r="H463" s="251">
        <f>IF(H$4&gt;DAY(EOMONTH(DATE($D$2,$B$2,1),0)),"",IFERROR(SUMIFS(DATA_GOC!$H:$H,DATA_GOC!$A:$A,"BOM",DATA_GOC!$D:$D,$B463,DATA_GOC!$E:$E,"Dầu số",DATA_GOC!$F:$F,"Xuất nội bộ từ téc",DATA_GOC!$B:$B,DATE($D$2,$B$2,H$4)),0))</f>
        <v>0</v>
      </c>
      <c r="I463" s="251">
        <f>IF(I$4&gt;DAY(EOMONTH(DATE($D$2,$B$2,1),0)),"",IFERROR(SUMIFS(DATA_GOC!$H:$H,DATA_GOC!$A:$A,"BOM",DATA_GOC!$D:$D,$B463,DATA_GOC!$E:$E,"Dầu số",DATA_GOC!$F:$F,"Xuất nội bộ từ téc",DATA_GOC!$B:$B,DATE($D$2,$B$2,I$4)),0))</f>
        <v>0</v>
      </c>
      <c r="J463" s="251">
        <f>IF(J$4&gt;DAY(EOMONTH(DATE($D$2,$B$2,1),0)),"",IFERROR(SUMIFS(DATA_GOC!$H:$H,DATA_GOC!$A:$A,"BOM",DATA_GOC!$D:$D,$B463,DATA_GOC!$E:$E,"Dầu số",DATA_GOC!$F:$F,"Xuất nội bộ từ téc",DATA_GOC!$B:$B,DATE($D$2,$B$2,J$4)),0))</f>
        <v>0</v>
      </c>
      <c r="K463" s="251">
        <f>IF(K$4&gt;DAY(EOMONTH(DATE($D$2,$B$2,1),0)),"",IFERROR(SUMIFS(DATA_GOC!$H:$H,DATA_GOC!$A:$A,"BOM",DATA_GOC!$D:$D,$B463,DATA_GOC!$E:$E,"Dầu số",DATA_GOC!$F:$F,"Xuất nội bộ từ téc",DATA_GOC!$B:$B,DATE($D$2,$B$2,K$4)),0))</f>
        <v>0</v>
      </c>
      <c r="L463" s="251">
        <f>IF(L$4&gt;DAY(EOMONTH(DATE($D$2,$B$2,1),0)),"",IFERROR(SUMIFS(DATA_GOC!$H:$H,DATA_GOC!$A:$A,"BOM",DATA_GOC!$D:$D,$B463,DATA_GOC!$E:$E,"Dầu số",DATA_GOC!$F:$F,"Xuất nội bộ từ téc",DATA_GOC!$B:$B,DATE($D$2,$B$2,L$4)),0))</f>
        <v>0</v>
      </c>
      <c r="M463" s="251">
        <f>IF(M$4&gt;DAY(EOMONTH(DATE($D$2,$B$2,1),0)),"",IFERROR(SUMIFS(DATA_GOC!$H:$H,DATA_GOC!$A:$A,"BOM",DATA_GOC!$D:$D,$B463,DATA_GOC!$E:$E,"Dầu số",DATA_GOC!$F:$F,"Xuất nội bộ từ téc",DATA_GOC!$B:$B,DATE($D$2,$B$2,M$4)),0))</f>
        <v>0</v>
      </c>
      <c r="N463" s="251">
        <f>IF(N$4&gt;DAY(EOMONTH(DATE($D$2,$B$2,1),0)),"",IFERROR(SUMIFS(DATA_GOC!$H:$H,DATA_GOC!$A:$A,"BOM",DATA_GOC!$D:$D,$B463,DATA_GOC!$E:$E,"Dầu số",DATA_GOC!$F:$F,"Xuất nội bộ từ téc",DATA_GOC!$B:$B,DATE($D$2,$B$2,N$4)),0))</f>
        <v>0</v>
      </c>
      <c r="O463" s="251">
        <f>IF(O$4&gt;DAY(EOMONTH(DATE($D$2,$B$2,1),0)),"",IFERROR(SUMIFS(DATA_GOC!$H:$H,DATA_GOC!$A:$A,"BOM",DATA_GOC!$D:$D,$B463,DATA_GOC!$E:$E,"Dầu số",DATA_GOC!$F:$F,"Xuất nội bộ từ téc",DATA_GOC!$B:$B,DATE($D$2,$B$2,O$4)),0))</f>
        <v>0</v>
      </c>
      <c r="P463" s="251">
        <f>IF(P$4&gt;DAY(EOMONTH(DATE($D$2,$B$2,1),0)),"",IFERROR(SUMIFS(DATA_GOC!$H:$H,DATA_GOC!$A:$A,"BOM",DATA_GOC!$D:$D,$B463,DATA_GOC!$E:$E,"Dầu số",DATA_GOC!$F:$F,"Xuất nội bộ từ téc",DATA_GOC!$B:$B,DATE($D$2,$B$2,P$4)),0))</f>
        <v>0</v>
      </c>
      <c r="Q463" s="251">
        <f>IF(Q$4&gt;DAY(EOMONTH(DATE($D$2,$B$2,1),0)),"",IFERROR(SUMIFS(DATA_GOC!$H:$H,DATA_GOC!$A:$A,"BOM",DATA_GOC!$D:$D,$B463,DATA_GOC!$E:$E,"Dầu số",DATA_GOC!$F:$F,"Xuất nội bộ từ téc",DATA_GOC!$B:$B,DATE($D$2,$B$2,Q$4)),0))</f>
        <v>0</v>
      </c>
      <c r="R463" s="251">
        <f>IF(R$4&gt;DAY(EOMONTH(DATE($D$2,$B$2,1),0)),"",IFERROR(SUMIFS(DATA_GOC!$H:$H,DATA_GOC!$A:$A,"BOM",DATA_GOC!$D:$D,$B463,DATA_GOC!$E:$E,"Dầu số",DATA_GOC!$F:$F,"Xuất nội bộ từ téc",DATA_GOC!$B:$B,DATE($D$2,$B$2,R$4)),0))</f>
        <v>0</v>
      </c>
      <c r="S463" s="251">
        <f>IF(S$4&gt;DAY(EOMONTH(DATE($D$2,$B$2,1),0)),"",IFERROR(SUMIFS(DATA_GOC!$H:$H,DATA_GOC!$A:$A,"BOM",DATA_GOC!$D:$D,$B463,DATA_GOC!$E:$E,"Dầu số",DATA_GOC!$F:$F,"Xuất nội bộ từ téc",DATA_GOC!$B:$B,DATE($D$2,$B$2,S$4)),0))</f>
        <v>0</v>
      </c>
      <c r="T463" s="251">
        <f>IF(T$4&gt;DAY(EOMONTH(DATE($D$2,$B$2,1),0)),"",IFERROR(SUMIFS(DATA_GOC!$H:$H,DATA_GOC!$A:$A,"BOM",DATA_GOC!$D:$D,$B463,DATA_GOC!$E:$E,"Dầu số",DATA_GOC!$F:$F,"Xuất nội bộ từ téc",DATA_GOC!$B:$B,DATE($D$2,$B$2,T$4)),0))</f>
        <v>0</v>
      </c>
      <c r="U463" s="251">
        <f>IF(U$4&gt;DAY(EOMONTH(DATE($D$2,$B$2,1),0)),"",IFERROR(SUMIFS(DATA_GOC!$H:$H,DATA_GOC!$A:$A,"BOM",DATA_GOC!$D:$D,$B463,DATA_GOC!$E:$E,"Dầu số",DATA_GOC!$F:$F,"Xuất nội bộ từ téc",DATA_GOC!$B:$B,DATE($D$2,$B$2,U$4)),0))</f>
        <v>0</v>
      </c>
      <c r="V463" s="251">
        <f>IF(V$4&gt;DAY(EOMONTH(DATE($D$2,$B$2,1),0)),"",IFERROR(SUMIFS(DATA_GOC!$H:$H,DATA_GOC!$A:$A,"BOM",DATA_GOC!$D:$D,$B463,DATA_GOC!$E:$E,"Dầu số",DATA_GOC!$F:$F,"Xuất nội bộ từ téc",DATA_GOC!$B:$B,DATE($D$2,$B$2,V$4)),0))</f>
        <v>0</v>
      </c>
      <c r="W463" s="251">
        <f>IF(W$4&gt;DAY(EOMONTH(DATE($D$2,$B$2,1),0)),"",IFERROR(SUMIFS(DATA_GOC!$H:$H,DATA_GOC!$A:$A,"BOM",DATA_GOC!$D:$D,$B463,DATA_GOC!$E:$E,"Dầu số",DATA_GOC!$F:$F,"Xuất nội bộ từ téc",DATA_GOC!$B:$B,DATE($D$2,$B$2,W$4)),0))</f>
        <v>0</v>
      </c>
      <c r="X463" s="251">
        <f>IF(X$4&gt;DAY(EOMONTH(DATE($D$2,$B$2,1),0)),"",IFERROR(SUMIFS(DATA_GOC!$H:$H,DATA_GOC!$A:$A,"BOM",DATA_GOC!$D:$D,$B463,DATA_GOC!$E:$E,"Dầu số",DATA_GOC!$F:$F,"Xuất nội bộ từ téc",DATA_GOC!$B:$B,DATE($D$2,$B$2,X$4)),0))</f>
        <v>0</v>
      </c>
      <c r="Y463" s="251">
        <f>IF(Y$4&gt;DAY(EOMONTH(DATE($D$2,$B$2,1),0)),"",IFERROR(SUMIFS(DATA_GOC!$H:$H,DATA_GOC!$A:$A,"BOM",DATA_GOC!$D:$D,$B463,DATA_GOC!$E:$E,"Dầu số",DATA_GOC!$F:$F,"Xuất nội bộ từ téc",DATA_GOC!$B:$B,DATE($D$2,$B$2,Y$4)),0))</f>
        <v>0</v>
      </c>
      <c r="Z463" s="251">
        <f>IF(Z$4&gt;DAY(EOMONTH(DATE($D$2,$B$2,1),0)),"",IFERROR(SUMIFS(DATA_GOC!$H:$H,DATA_GOC!$A:$A,"BOM",DATA_GOC!$D:$D,$B463,DATA_GOC!$E:$E,"Dầu số",DATA_GOC!$F:$F,"Xuất nội bộ từ téc",DATA_GOC!$B:$B,DATE($D$2,$B$2,Z$4)),0))</f>
        <v>0</v>
      </c>
      <c r="AA463" s="251">
        <f>IF(AA$4&gt;DAY(EOMONTH(DATE($D$2,$B$2,1),0)),"",IFERROR(SUMIFS(DATA_GOC!$H:$H,DATA_GOC!$A:$A,"BOM",DATA_GOC!$D:$D,$B463,DATA_GOC!$E:$E,"Dầu số",DATA_GOC!$F:$F,"Xuất nội bộ từ téc",DATA_GOC!$B:$B,DATE($D$2,$B$2,AA$4)),0))</f>
        <v>0</v>
      </c>
      <c r="AB463" s="251">
        <f>IF(AB$4&gt;DAY(EOMONTH(DATE($D$2,$B$2,1),0)),"",IFERROR(SUMIFS(DATA_GOC!$H:$H,DATA_GOC!$A:$A,"BOM",DATA_GOC!$D:$D,$B463,DATA_GOC!$E:$E,"Dầu số",DATA_GOC!$F:$F,"Xuất nội bộ từ téc",DATA_GOC!$B:$B,DATE($D$2,$B$2,AB$4)),0))</f>
        <v>0</v>
      </c>
      <c r="AC463" s="251">
        <f>IF(AC$4&gt;DAY(EOMONTH(DATE($D$2,$B$2,1),0)),"",IFERROR(SUMIFS(DATA_GOC!$H:$H,DATA_GOC!$A:$A,"BOM",DATA_GOC!$D:$D,$B463,DATA_GOC!$E:$E,"Dầu số",DATA_GOC!$F:$F,"Xuất nội bộ từ téc",DATA_GOC!$B:$B,DATE($D$2,$B$2,AC$4)),0))</f>
        <v>0</v>
      </c>
      <c r="AD463" s="251">
        <f>IF(AD$4&gt;DAY(EOMONTH(DATE($D$2,$B$2,1),0)),"",IFERROR(SUMIFS(DATA_GOC!$H:$H,DATA_GOC!$A:$A,"BOM",DATA_GOC!$D:$D,$B463,DATA_GOC!$E:$E,"Dầu số",DATA_GOC!$F:$F,"Xuất nội bộ từ téc",DATA_GOC!$B:$B,DATE($D$2,$B$2,AD$4)),0))</f>
        <v>0</v>
      </c>
      <c r="AE463" s="251">
        <f>IF(AE$4&gt;DAY(EOMONTH(DATE($D$2,$B$2,1),0)),"",IFERROR(SUMIFS(DATA_GOC!$H:$H,DATA_GOC!$A:$A,"BOM",DATA_GOC!$D:$D,$B463,DATA_GOC!$E:$E,"Dầu số",DATA_GOC!$F:$F,"Xuất nội bộ từ téc",DATA_GOC!$B:$B,DATE($D$2,$B$2,AE$4)),0))</f>
        <v>0</v>
      </c>
      <c r="AF463" s="251">
        <f>IF(AF$4&gt;DAY(EOMONTH(DATE($D$2,$B$2,1),0)),"",IFERROR(SUMIFS(DATA_GOC!$H:$H,DATA_GOC!$A:$A,"BOM",DATA_GOC!$D:$D,$B463,DATA_GOC!$E:$E,"Dầu số",DATA_GOC!$F:$F,"Xuất nội bộ từ téc",DATA_GOC!$B:$B,DATE($D$2,$B$2,AF$4)),0))</f>
        <v>0</v>
      </c>
      <c r="AG463" s="251">
        <f>IF(AG$4&gt;DAY(EOMONTH(DATE($D$2,$B$2,1),0)),"",IFERROR(SUMIFS(DATA_GOC!$H:$H,DATA_GOC!$A:$A,"BOM",DATA_GOC!$D:$D,$B463,DATA_GOC!$E:$E,"Dầu số",DATA_GOC!$F:$F,"Xuất nội bộ từ téc",DATA_GOC!$B:$B,DATE($D$2,$B$2,AG$4)),0))</f>
        <v>0</v>
      </c>
      <c r="AH463" s="252">
        <f t="shared" si="22"/>
        <v>0</v>
      </c>
      <c r="AI463" s="241"/>
      <c r="AJ463" s="242">
        <f>IF($B463="","",SUMIFS(TINH_TEC!$K$233:$K$9232,TINH_TEC!$H$233:$H$9232,$B463,TINH_TEC!$C$233:$C$9232,"Dầu số",TINH_TEC!$F$233:$F$9232,$B$2,TINH_TEC!$G$233:$G$9232,$D$2,TINH_TEC!$B$233:$B$9232,"Đã chốt"))</f>
        <v>0</v>
      </c>
      <c r="AK463" s="242">
        <f>IF($B463="","",SUMIFS(TINH_TEC!$J$233:$J$9232,TINH_TEC!$H$233:$H$9232,$B463,TINH_TEC!$C$233:$C$9232,"Dầu số",TINH_TEC!$F$233:$F$9232,$B$2,TINH_TEC!$G$233:$G$9232,$D$2,TINH_TEC!$B$233:$B$9232,"Đã chốt"))</f>
        <v>0</v>
      </c>
      <c r="AL463" s="242">
        <f t="shared" si="23"/>
        <v>0</v>
      </c>
    </row>
    <row r="464" ht="15.75" customHeight="1">
      <c r="A464" s="237">
        <f>IF($B464&lt;&gt;"",32,"")</f>
        <v>32</v>
      </c>
      <c r="B464" s="250" t="str">
        <f t="array" ref="B464">IFERROR(INDEX(DANH_MUC!$E:$E,35),"")</f>
        <v>28H00003</v>
      </c>
      <c r="C464" s="251">
        <f>IF(C$4&gt;DAY(EOMONTH(DATE($D$2,$B$2,1),0)),"",IFERROR(SUMIFS(DATA_GOC!$H:$H,DATA_GOC!$A:$A,"BOM",DATA_GOC!$D:$D,$B464,DATA_GOC!$E:$E,"Dầu số",DATA_GOC!$F:$F,"Xuất nội bộ từ téc",DATA_GOC!$B:$B,DATE($D$2,$B$2,C$4)),0))</f>
        <v>0</v>
      </c>
      <c r="D464" s="251">
        <f>IF(D$4&gt;DAY(EOMONTH(DATE($D$2,$B$2,1),0)),"",IFERROR(SUMIFS(DATA_GOC!$H:$H,DATA_GOC!$A:$A,"BOM",DATA_GOC!$D:$D,$B464,DATA_GOC!$E:$E,"Dầu số",DATA_GOC!$F:$F,"Xuất nội bộ từ téc",DATA_GOC!$B:$B,DATE($D$2,$B$2,D$4)),0))</f>
        <v>0</v>
      </c>
      <c r="E464" s="251">
        <f>IF(E$4&gt;DAY(EOMONTH(DATE($D$2,$B$2,1),0)),"",IFERROR(SUMIFS(DATA_GOC!$H:$H,DATA_GOC!$A:$A,"BOM",DATA_GOC!$D:$D,$B464,DATA_GOC!$E:$E,"Dầu số",DATA_GOC!$F:$F,"Xuất nội bộ từ téc",DATA_GOC!$B:$B,DATE($D$2,$B$2,E$4)),0))</f>
        <v>0</v>
      </c>
      <c r="F464" s="251">
        <f>IF(F$4&gt;DAY(EOMONTH(DATE($D$2,$B$2,1),0)),"",IFERROR(SUMIFS(DATA_GOC!$H:$H,DATA_GOC!$A:$A,"BOM",DATA_GOC!$D:$D,$B464,DATA_GOC!$E:$E,"Dầu số",DATA_GOC!$F:$F,"Xuất nội bộ từ téc",DATA_GOC!$B:$B,DATE($D$2,$B$2,F$4)),0))</f>
        <v>0</v>
      </c>
      <c r="G464" s="251">
        <f>IF(G$4&gt;DAY(EOMONTH(DATE($D$2,$B$2,1),0)),"",IFERROR(SUMIFS(DATA_GOC!$H:$H,DATA_GOC!$A:$A,"BOM",DATA_GOC!$D:$D,$B464,DATA_GOC!$E:$E,"Dầu số",DATA_GOC!$F:$F,"Xuất nội bộ từ téc",DATA_GOC!$B:$B,DATE($D$2,$B$2,G$4)),0))</f>
        <v>0</v>
      </c>
      <c r="H464" s="251">
        <f>IF(H$4&gt;DAY(EOMONTH(DATE($D$2,$B$2,1),0)),"",IFERROR(SUMIFS(DATA_GOC!$H:$H,DATA_GOC!$A:$A,"BOM",DATA_GOC!$D:$D,$B464,DATA_GOC!$E:$E,"Dầu số",DATA_GOC!$F:$F,"Xuất nội bộ từ téc",DATA_GOC!$B:$B,DATE($D$2,$B$2,H$4)),0))</f>
        <v>0</v>
      </c>
      <c r="I464" s="251">
        <f>IF(I$4&gt;DAY(EOMONTH(DATE($D$2,$B$2,1),0)),"",IFERROR(SUMIFS(DATA_GOC!$H:$H,DATA_GOC!$A:$A,"BOM",DATA_GOC!$D:$D,$B464,DATA_GOC!$E:$E,"Dầu số",DATA_GOC!$F:$F,"Xuất nội bộ từ téc",DATA_GOC!$B:$B,DATE($D$2,$B$2,I$4)),0))</f>
        <v>0</v>
      </c>
      <c r="J464" s="251">
        <f>IF(J$4&gt;DAY(EOMONTH(DATE($D$2,$B$2,1),0)),"",IFERROR(SUMIFS(DATA_GOC!$H:$H,DATA_GOC!$A:$A,"BOM",DATA_GOC!$D:$D,$B464,DATA_GOC!$E:$E,"Dầu số",DATA_GOC!$F:$F,"Xuất nội bộ từ téc",DATA_GOC!$B:$B,DATE($D$2,$B$2,J$4)),0))</f>
        <v>0</v>
      </c>
      <c r="K464" s="251">
        <f>IF(K$4&gt;DAY(EOMONTH(DATE($D$2,$B$2,1),0)),"",IFERROR(SUMIFS(DATA_GOC!$H:$H,DATA_GOC!$A:$A,"BOM",DATA_GOC!$D:$D,$B464,DATA_GOC!$E:$E,"Dầu số",DATA_GOC!$F:$F,"Xuất nội bộ từ téc",DATA_GOC!$B:$B,DATE($D$2,$B$2,K$4)),0))</f>
        <v>0</v>
      </c>
      <c r="L464" s="251">
        <f>IF(L$4&gt;DAY(EOMONTH(DATE($D$2,$B$2,1),0)),"",IFERROR(SUMIFS(DATA_GOC!$H:$H,DATA_GOC!$A:$A,"BOM",DATA_GOC!$D:$D,$B464,DATA_GOC!$E:$E,"Dầu số",DATA_GOC!$F:$F,"Xuất nội bộ từ téc",DATA_GOC!$B:$B,DATE($D$2,$B$2,L$4)),0))</f>
        <v>0</v>
      </c>
      <c r="M464" s="251">
        <f>IF(M$4&gt;DAY(EOMONTH(DATE($D$2,$B$2,1),0)),"",IFERROR(SUMIFS(DATA_GOC!$H:$H,DATA_GOC!$A:$A,"BOM",DATA_GOC!$D:$D,$B464,DATA_GOC!$E:$E,"Dầu số",DATA_GOC!$F:$F,"Xuất nội bộ từ téc",DATA_GOC!$B:$B,DATE($D$2,$B$2,M$4)),0))</f>
        <v>0</v>
      </c>
      <c r="N464" s="251">
        <f>IF(N$4&gt;DAY(EOMONTH(DATE($D$2,$B$2,1),0)),"",IFERROR(SUMIFS(DATA_GOC!$H:$H,DATA_GOC!$A:$A,"BOM",DATA_GOC!$D:$D,$B464,DATA_GOC!$E:$E,"Dầu số",DATA_GOC!$F:$F,"Xuất nội bộ từ téc",DATA_GOC!$B:$B,DATE($D$2,$B$2,N$4)),0))</f>
        <v>0</v>
      </c>
      <c r="O464" s="251">
        <f>IF(O$4&gt;DAY(EOMONTH(DATE($D$2,$B$2,1),0)),"",IFERROR(SUMIFS(DATA_GOC!$H:$H,DATA_GOC!$A:$A,"BOM",DATA_GOC!$D:$D,$B464,DATA_GOC!$E:$E,"Dầu số",DATA_GOC!$F:$F,"Xuất nội bộ từ téc",DATA_GOC!$B:$B,DATE($D$2,$B$2,O$4)),0))</f>
        <v>0</v>
      </c>
      <c r="P464" s="251">
        <f>IF(P$4&gt;DAY(EOMONTH(DATE($D$2,$B$2,1),0)),"",IFERROR(SUMIFS(DATA_GOC!$H:$H,DATA_GOC!$A:$A,"BOM",DATA_GOC!$D:$D,$B464,DATA_GOC!$E:$E,"Dầu số",DATA_GOC!$F:$F,"Xuất nội bộ từ téc",DATA_GOC!$B:$B,DATE($D$2,$B$2,P$4)),0))</f>
        <v>0</v>
      </c>
      <c r="Q464" s="251">
        <f>IF(Q$4&gt;DAY(EOMONTH(DATE($D$2,$B$2,1),0)),"",IFERROR(SUMIFS(DATA_GOC!$H:$H,DATA_GOC!$A:$A,"BOM",DATA_GOC!$D:$D,$B464,DATA_GOC!$E:$E,"Dầu số",DATA_GOC!$F:$F,"Xuất nội bộ từ téc",DATA_GOC!$B:$B,DATE($D$2,$B$2,Q$4)),0))</f>
        <v>0</v>
      </c>
      <c r="R464" s="251">
        <f>IF(R$4&gt;DAY(EOMONTH(DATE($D$2,$B$2,1),0)),"",IFERROR(SUMIFS(DATA_GOC!$H:$H,DATA_GOC!$A:$A,"BOM",DATA_GOC!$D:$D,$B464,DATA_GOC!$E:$E,"Dầu số",DATA_GOC!$F:$F,"Xuất nội bộ từ téc",DATA_GOC!$B:$B,DATE($D$2,$B$2,R$4)),0))</f>
        <v>0</v>
      </c>
      <c r="S464" s="251">
        <f>IF(S$4&gt;DAY(EOMONTH(DATE($D$2,$B$2,1),0)),"",IFERROR(SUMIFS(DATA_GOC!$H:$H,DATA_GOC!$A:$A,"BOM",DATA_GOC!$D:$D,$B464,DATA_GOC!$E:$E,"Dầu số",DATA_GOC!$F:$F,"Xuất nội bộ từ téc",DATA_GOC!$B:$B,DATE($D$2,$B$2,S$4)),0))</f>
        <v>0</v>
      </c>
      <c r="T464" s="251">
        <f>IF(T$4&gt;DAY(EOMONTH(DATE($D$2,$B$2,1),0)),"",IFERROR(SUMIFS(DATA_GOC!$H:$H,DATA_GOC!$A:$A,"BOM",DATA_GOC!$D:$D,$B464,DATA_GOC!$E:$E,"Dầu số",DATA_GOC!$F:$F,"Xuất nội bộ từ téc",DATA_GOC!$B:$B,DATE($D$2,$B$2,T$4)),0))</f>
        <v>0</v>
      </c>
      <c r="U464" s="251">
        <f>IF(U$4&gt;DAY(EOMONTH(DATE($D$2,$B$2,1),0)),"",IFERROR(SUMIFS(DATA_GOC!$H:$H,DATA_GOC!$A:$A,"BOM",DATA_GOC!$D:$D,$B464,DATA_GOC!$E:$E,"Dầu số",DATA_GOC!$F:$F,"Xuất nội bộ từ téc",DATA_GOC!$B:$B,DATE($D$2,$B$2,U$4)),0))</f>
        <v>0</v>
      </c>
      <c r="V464" s="251">
        <f>IF(V$4&gt;DAY(EOMONTH(DATE($D$2,$B$2,1),0)),"",IFERROR(SUMIFS(DATA_GOC!$H:$H,DATA_GOC!$A:$A,"BOM",DATA_GOC!$D:$D,$B464,DATA_GOC!$E:$E,"Dầu số",DATA_GOC!$F:$F,"Xuất nội bộ từ téc",DATA_GOC!$B:$B,DATE($D$2,$B$2,V$4)),0))</f>
        <v>0</v>
      </c>
      <c r="W464" s="251">
        <f>IF(W$4&gt;DAY(EOMONTH(DATE($D$2,$B$2,1),0)),"",IFERROR(SUMIFS(DATA_GOC!$H:$H,DATA_GOC!$A:$A,"BOM",DATA_GOC!$D:$D,$B464,DATA_GOC!$E:$E,"Dầu số",DATA_GOC!$F:$F,"Xuất nội bộ từ téc",DATA_GOC!$B:$B,DATE($D$2,$B$2,W$4)),0))</f>
        <v>0</v>
      </c>
      <c r="X464" s="251">
        <f>IF(X$4&gt;DAY(EOMONTH(DATE($D$2,$B$2,1),0)),"",IFERROR(SUMIFS(DATA_GOC!$H:$H,DATA_GOC!$A:$A,"BOM",DATA_GOC!$D:$D,$B464,DATA_GOC!$E:$E,"Dầu số",DATA_GOC!$F:$F,"Xuất nội bộ từ téc",DATA_GOC!$B:$B,DATE($D$2,$B$2,X$4)),0))</f>
        <v>0</v>
      </c>
      <c r="Y464" s="251">
        <f>IF(Y$4&gt;DAY(EOMONTH(DATE($D$2,$B$2,1),0)),"",IFERROR(SUMIFS(DATA_GOC!$H:$H,DATA_GOC!$A:$A,"BOM",DATA_GOC!$D:$D,$B464,DATA_GOC!$E:$E,"Dầu số",DATA_GOC!$F:$F,"Xuất nội bộ từ téc",DATA_GOC!$B:$B,DATE($D$2,$B$2,Y$4)),0))</f>
        <v>0</v>
      </c>
      <c r="Z464" s="251">
        <f>IF(Z$4&gt;DAY(EOMONTH(DATE($D$2,$B$2,1),0)),"",IFERROR(SUMIFS(DATA_GOC!$H:$H,DATA_GOC!$A:$A,"BOM",DATA_GOC!$D:$D,$B464,DATA_GOC!$E:$E,"Dầu số",DATA_GOC!$F:$F,"Xuất nội bộ từ téc",DATA_GOC!$B:$B,DATE($D$2,$B$2,Z$4)),0))</f>
        <v>0</v>
      </c>
      <c r="AA464" s="251">
        <f>IF(AA$4&gt;DAY(EOMONTH(DATE($D$2,$B$2,1),0)),"",IFERROR(SUMIFS(DATA_GOC!$H:$H,DATA_GOC!$A:$A,"BOM",DATA_GOC!$D:$D,$B464,DATA_GOC!$E:$E,"Dầu số",DATA_GOC!$F:$F,"Xuất nội bộ từ téc",DATA_GOC!$B:$B,DATE($D$2,$B$2,AA$4)),0))</f>
        <v>0</v>
      </c>
      <c r="AB464" s="251">
        <f>IF(AB$4&gt;DAY(EOMONTH(DATE($D$2,$B$2,1),0)),"",IFERROR(SUMIFS(DATA_GOC!$H:$H,DATA_GOC!$A:$A,"BOM",DATA_GOC!$D:$D,$B464,DATA_GOC!$E:$E,"Dầu số",DATA_GOC!$F:$F,"Xuất nội bộ từ téc",DATA_GOC!$B:$B,DATE($D$2,$B$2,AB$4)),0))</f>
        <v>0</v>
      </c>
      <c r="AC464" s="251">
        <f>IF(AC$4&gt;DAY(EOMONTH(DATE($D$2,$B$2,1),0)),"",IFERROR(SUMIFS(DATA_GOC!$H:$H,DATA_GOC!$A:$A,"BOM",DATA_GOC!$D:$D,$B464,DATA_GOC!$E:$E,"Dầu số",DATA_GOC!$F:$F,"Xuất nội bộ từ téc",DATA_GOC!$B:$B,DATE($D$2,$B$2,AC$4)),0))</f>
        <v>0</v>
      </c>
      <c r="AD464" s="251">
        <f>IF(AD$4&gt;DAY(EOMONTH(DATE($D$2,$B$2,1),0)),"",IFERROR(SUMIFS(DATA_GOC!$H:$H,DATA_GOC!$A:$A,"BOM",DATA_GOC!$D:$D,$B464,DATA_GOC!$E:$E,"Dầu số",DATA_GOC!$F:$F,"Xuất nội bộ từ téc",DATA_GOC!$B:$B,DATE($D$2,$B$2,AD$4)),0))</f>
        <v>0</v>
      </c>
      <c r="AE464" s="251">
        <f>IF(AE$4&gt;DAY(EOMONTH(DATE($D$2,$B$2,1),0)),"",IFERROR(SUMIFS(DATA_GOC!$H:$H,DATA_GOC!$A:$A,"BOM",DATA_GOC!$D:$D,$B464,DATA_GOC!$E:$E,"Dầu số",DATA_GOC!$F:$F,"Xuất nội bộ từ téc",DATA_GOC!$B:$B,DATE($D$2,$B$2,AE$4)),0))</f>
        <v>0</v>
      </c>
      <c r="AF464" s="251">
        <f>IF(AF$4&gt;DAY(EOMONTH(DATE($D$2,$B$2,1),0)),"",IFERROR(SUMIFS(DATA_GOC!$H:$H,DATA_GOC!$A:$A,"BOM",DATA_GOC!$D:$D,$B464,DATA_GOC!$E:$E,"Dầu số",DATA_GOC!$F:$F,"Xuất nội bộ từ téc",DATA_GOC!$B:$B,DATE($D$2,$B$2,AF$4)),0))</f>
        <v>0</v>
      </c>
      <c r="AG464" s="251">
        <f>IF(AG$4&gt;DAY(EOMONTH(DATE($D$2,$B$2,1),0)),"",IFERROR(SUMIFS(DATA_GOC!$H:$H,DATA_GOC!$A:$A,"BOM",DATA_GOC!$D:$D,$B464,DATA_GOC!$E:$E,"Dầu số",DATA_GOC!$F:$F,"Xuất nội bộ từ téc",DATA_GOC!$B:$B,DATE($D$2,$B$2,AG$4)),0))</f>
        <v>0</v>
      </c>
      <c r="AH464" s="252">
        <f t="shared" si="22"/>
        <v>0</v>
      </c>
      <c r="AI464" s="241"/>
      <c r="AJ464" s="242">
        <f>IF($B464="","",SUMIFS(TINH_TEC!$K$233:$K$9232,TINH_TEC!$H$233:$H$9232,$B464,TINH_TEC!$C$233:$C$9232,"Dầu số",TINH_TEC!$F$233:$F$9232,$B$2,TINH_TEC!$G$233:$G$9232,$D$2,TINH_TEC!$B$233:$B$9232,"Đã chốt"))</f>
        <v>0</v>
      </c>
      <c r="AK464" s="242">
        <f>IF($B464="","",SUMIFS(TINH_TEC!$J$233:$J$9232,TINH_TEC!$H$233:$H$9232,$B464,TINH_TEC!$C$233:$C$9232,"Dầu số",TINH_TEC!$F$233:$F$9232,$B$2,TINH_TEC!$G$233:$G$9232,$D$2,TINH_TEC!$B$233:$B$9232,"Đã chốt"))</f>
        <v>0</v>
      </c>
      <c r="AL464" s="242">
        <f t="shared" si="23"/>
        <v>0</v>
      </c>
    </row>
    <row r="465" ht="15.75" customHeight="1">
      <c r="A465" s="237">
        <f>IF($B465&lt;&gt;"",33,"")</f>
        <v>33</v>
      </c>
      <c r="B465" s="250" t="str">
        <f t="array" ref="B465">IFERROR(INDEX(DANH_MUC!$E:$E,36),"")</f>
        <v>28H00061</v>
      </c>
      <c r="C465" s="251">
        <f>IF(C$4&gt;DAY(EOMONTH(DATE($D$2,$B$2,1),0)),"",IFERROR(SUMIFS(DATA_GOC!$H:$H,DATA_GOC!$A:$A,"BOM",DATA_GOC!$D:$D,$B465,DATA_GOC!$E:$E,"Dầu số",DATA_GOC!$F:$F,"Xuất nội bộ từ téc",DATA_GOC!$B:$B,DATE($D$2,$B$2,C$4)),0))</f>
        <v>0</v>
      </c>
      <c r="D465" s="251">
        <f>IF(D$4&gt;DAY(EOMONTH(DATE($D$2,$B$2,1),0)),"",IFERROR(SUMIFS(DATA_GOC!$H:$H,DATA_GOC!$A:$A,"BOM",DATA_GOC!$D:$D,$B465,DATA_GOC!$E:$E,"Dầu số",DATA_GOC!$F:$F,"Xuất nội bộ từ téc",DATA_GOC!$B:$B,DATE($D$2,$B$2,D$4)),0))</f>
        <v>0</v>
      </c>
      <c r="E465" s="251">
        <f>IF(E$4&gt;DAY(EOMONTH(DATE($D$2,$B$2,1),0)),"",IFERROR(SUMIFS(DATA_GOC!$H:$H,DATA_GOC!$A:$A,"BOM",DATA_GOC!$D:$D,$B465,DATA_GOC!$E:$E,"Dầu số",DATA_GOC!$F:$F,"Xuất nội bộ từ téc",DATA_GOC!$B:$B,DATE($D$2,$B$2,E$4)),0))</f>
        <v>0</v>
      </c>
      <c r="F465" s="251">
        <f>IF(F$4&gt;DAY(EOMONTH(DATE($D$2,$B$2,1),0)),"",IFERROR(SUMIFS(DATA_GOC!$H:$H,DATA_GOC!$A:$A,"BOM",DATA_GOC!$D:$D,$B465,DATA_GOC!$E:$E,"Dầu số",DATA_GOC!$F:$F,"Xuất nội bộ từ téc",DATA_GOC!$B:$B,DATE($D$2,$B$2,F$4)),0))</f>
        <v>0</v>
      </c>
      <c r="G465" s="251">
        <f>IF(G$4&gt;DAY(EOMONTH(DATE($D$2,$B$2,1),0)),"",IFERROR(SUMIFS(DATA_GOC!$H:$H,DATA_GOC!$A:$A,"BOM",DATA_GOC!$D:$D,$B465,DATA_GOC!$E:$E,"Dầu số",DATA_GOC!$F:$F,"Xuất nội bộ từ téc",DATA_GOC!$B:$B,DATE($D$2,$B$2,G$4)),0))</f>
        <v>0</v>
      </c>
      <c r="H465" s="251">
        <f>IF(H$4&gt;DAY(EOMONTH(DATE($D$2,$B$2,1),0)),"",IFERROR(SUMIFS(DATA_GOC!$H:$H,DATA_GOC!$A:$A,"BOM",DATA_GOC!$D:$D,$B465,DATA_GOC!$E:$E,"Dầu số",DATA_GOC!$F:$F,"Xuất nội bộ từ téc",DATA_GOC!$B:$B,DATE($D$2,$B$2,H$4)),0))</f>
        <v>0</v>
      </c>
      <c r="I465" s="251">
        <f>IF(I$4&gt;DAY(EOMONTH(DATE($D$2,$B$2,1),0)),"",IFERROR(SUMIFS(DATA_GOC!$H:$H,DATA_GOC!$A:$A,"BOM",DATA_GOC!$D:$D,$B465,DATA_GOC!$E:$E,"Dầu số",DATA_GOC!$F:$F,"Xuất nội bộ từ téc",DATA_GOC!$B:$B,DATE($D$2,$B$2,I$4)),0))</f>
        <v>0</v>
      </c>
      <c r="J465" s="251">
        <f>IF(J$4&gt;DAY(EOMONTH(DATE($D$2,$B$2,1),0)),"",IFERROR(SUMIFS(DATA_GOC!$H:$H,DATA_GOC!$A:$A,"BOM",DATA_GOC!$D:$D,$B465,DATA_GOC!$E:$E,"Dầu số",DATA_GOC!$F:$F,"Xuất nội bộ từ téc",DATA_GOC!$B:$B,DATE($D$2,$B$2,J$4)),0))</f>
        <v>0</v>
      </c>
      <c r="K465" s="251">
        <f>IF(K$4&gt;DAY(EOMONTH(DATE($D$2,$B$2,1),0)),"",IFERROR(SUMIFS(DATA_GOC!$H:$H,DATA_GOC!$A:$A,"BOM",DATA_GOC!$D:$D,$B465,DATA_GOC!$E:$E,"Dầu số",DATA_GOC!$F:$F,"Xuất nội bộ từ téc",DATA_GOC!$B:$B,DATE($D$2,$B$2,K$4)),0))</f>
        <v>0</v>
      </c>
      <c r="L465" s="251">
        <f>IF(L$4&gt;DAY(EOMONTH(DATE($D$2,$B$2,1),0)),"",IFERROR(SUMIFS(DATA_GOC!$H:$H,DATA_GOC!$A:$A,"BOM",DATA_GOC!$D:$D,$B465,DATA_GOC!$E:$E,"Dầu số",DATA_GOC!$F:$F,"Xuất nội bộ từ téc",DATA_GOC!$B:$B,DATE($D$2,$B$2,L$4)),0))</f>
        <v>0</v>
      </c>
      <c r="M465" s="251">
        <f>IF(M$4&gt;DAY(EOMONTH(DATE($D$2,$B$2,1),0)),"",IFERROR(SUMIFS(DATA_GOC!$H:$H,DATA_GOC!$A:$A,"BOM",DATA_GOC!$D:$D,$B465,DATA_GOC!$E:$E,"Dầu số",DATA_GOC!$F:$F,"Xuất nội bộ từ téc",DATA_GOC!$B:$B,DATE($D$2,$B$2,M$4)),0))</f>
        <v>0</v>
      </c>
      <c r="N465" s="251">
        <f>IF(N$4&gt;DAY(EOMONTH(DATE($D$2,$B$2,1),0)),"",IFERROR(SUMIFS(DATA_GOC!$H:$H,DATA_GOC!$A:$A,"BOM",DATA_GOC!$D:$D,$B465,DATA_GOC!$E:$E,"Dầu số",DATA_GOC!$F:$F,"Xuất nội bộ từ téc",DATA_GOC!$B:$B,DATE($D$2,$B$2,N$4)),0))</f>
        <v>0</v>
      </c>
      <c r="O465" s="251">
        <f>IF(O$4&gt;DAY(EOMONTH(DATE($D$2,$B$2,1),0)),"",IFERROR(SUMIFS(DATA_GOC!$H:$H,DATA_GOC!$A:$A,"BOM",DATA_GOC!$D:$D,$B465,DATA_GOC!$E:$E,"Dầu số",DATA_GOC!$F:$F,"Xuất nội bộ từ téc",DATA_GOC!$B:$B,DATE($D$2,$B$2,O$4)),0))</f>
        <v>0</v>
      </c>
      <c r="P465" s="251">
        <f>IF(P$4&gt;DAY(EOMONTH(DATE($D$2,$B$2,1),0)),"",IFERROR(SUMIFS(DATA_GOC!$H:$H,DATA_GOC!$A:$A,"BOM",DATA_GOC!$D:$D,$B465,DATA_GOC!$E:$E,"Dầu số",DATA_GOC!$F:$F,"Xuất nội bộ từ téc",DATA_GOC!$B:$B,DATE($D$2,$B$2,P$4)),0))</f>
        <v>0</v>
      </c>
      <c r="Q465" s="251">
        <f>IF(Q$4&gt;DAY(EOMONTH(DATE($D$2,$B$2,1),0)),"",IFERROR(SUMIFS(DATA_GOC!$H:$H,DATA_GOC!$A:$A,"BOM",DATA_GOC!$D:$D,$B465,DATA_GOC!$E:$E,"Dầu số",DATA_GOC!$F:$F,"Xuất nội bộ từ téc",DATA_GOC!$B:$B,DATE($D$2,$B$2,Q$4)),0))</f>
        <v>0</v>
      </c>
      <c r="R465" s="251">
        <f>IF(R$4&gt;DAY(EOMONTH(DATE($D$2,$B$2,1),0)),"",IFERROR(SUMIFS(DATA_GOC!$H:$H,DATA_GOC!$A:$A,"BOM",DATA_GOC!$D:$D,$B465,DATA_GOC!$E:$E,"Dầu số",DATA_GOC!$F:$F,"Xuất nội bộ từ téc",DATA_GOC!$B:$B,DATE($D$2,$B$2,R$4)),0))</f>
        <v>0</v>
      </c>
      <c r="S465" s="251">
        <f>IF(S$4&gt;DAY(EOMONTH(DATE($D$2,$B$2,1),0)),"",IFERROR(SUMIFS(DATA_GOC!$H:$H,DATA_GOC!$A:$A,"BOM",DATA_GOC!$D:$D,$B465,DATA_GOC!$E:$E,"Dầu số",DATA_GOC!$F:$F,"Xuất nội bộ từ téc",DATA_GOC!$B:$B,DATE($D$2,$B$2,S$4)),0))</f>
        <v>0</v>
      </c>
      <c r="T465" s="251">
        <f>IF(T$4&gt;DAY(EOMONTH(DATE($D$2,$B$2,1),0)),"",IFERROR(SUMIFS(DATA_GOC!$H:$H,DATA_GOC!$A:$A,"BOM",DATA_GOC!$D:$D,$B465,DATA_GOC!$E:$E,"Dầu số",DATA_GOC!$F:$F,"Xuất nội bộ từ téc",DATA_GOC!$B:$B,DATE($D$2,$B$2,T$4)),0))</f>
        <v>0</v>
      </c>
      <c r="U465" s="251">
        <f>IF(U$4&gt;DAY(EOMONTH(DATE($D$2,$B$2,1),0)),"",IFERROR(SUMIFS(DATA_GOC!$H:$H,DATA_GOC!$A:$A,"BOM",DATA_GOC!$D:$D,$B465,DATA_GOC!$E:$E,"Dầu số",DATA_GOC!$F:$F,"Xuất nội bộ từ téc",DATA_GOC!$B:$B,DATE($D$2,$B$2,U$4)),0))</f>
        <v>0</v>
      </c>
      <c r="V465" s="251">
        <f>IF(V$4&gt;DAY(EOMONTH(DATE($D$2,$B$2,1),0)),"",IFERROR(SUMIFS(DATA_GOC!$H:$H,DATA_GOC!$A:$A,"BOM",DATA_GOC!$D:$D,$B465,DATA_GOC!$E:$E,"Dầu số",DATA_GOC!$F:$F,"Xuất nội bộ từ téc",DATA_GOC!$B:$B,DATE($D$2,$B$2,V$4)),0))</f>
        <v>0</v>
      </c>
      <c r="W465" s="251">
        <f>IF(W$4&gt;DAY(EOMONTH(DATE($D$2,$B$2,1),0)),"",IFERROR(SUMIFS(DATA_GOC!$H:$H,DATA_GOC!$A:$A,"BOM",DATA_GOC!$D:$D,$B465,DATA_GOC!$E:$E,"Dầu số",DATA_GOC!$F:$F,"Xuất nội bộ từ téc",DATA_GOC!$B:$B,DATE($D$2,$B$2,W$4)),0))</f>
        <v>0</v>
      </c>
      <c r="X465" s="251">
        <f>IF(X$4&gt;DAY(EOMONTH(DATE($D$2,$B$2,1),0)),"",IFERROR(SUMIFS(DATA_GOC!$H:$H,DATA_GOC!$A:$A,"BOM",DATA_GOC!$D:$D,$B465,DATA_GOC!$E:$E,"Dầu số",DATA_GOC!$F:$F,"Xuất nội bộ từ téc",DATA_GOC!$B:$B,DATE($D$2,$B$2,X$4)),0))</f>
        <v>0</v>
      </c>
      <c r="Y465" s="251">
        <f>IF(Y$4&gt;DAY(EOMONTH(DATE($D$2,$B$2,1),0)),"",IFERROR(SUMIFS(DATA_GOC!$H:$H,DATA_GOC!$A:$A,"BOM",DATA_GOC!$D:$D,$B465,DATA_GOC!$E:$E,"Dầu số",DATA_GOC!$F:$F,"Xuất nội bộ từ téc",DATA_GOC!$B:$B,DATE($D$2,$B$2,Y$4)),0))</f>
        <v>0</v>
      </c>
      <c r="Z465" s="251">
        <f>IF(Z$4&gt;DAY(EOMONTH(DATE($D$2,$B$2,1),0)),"",IFERROR(SUMIFS(DATA_GOC!$H:$H,DATA_GOC!$A:$A,"BOM",DATA_GOC!$D:$D,$B465,DATA_GOC!$E:$E,"Dầu số",DATA_GOC!$F:$F,"Xuất nội bộ từ téc",DATA_GOC!$B:$B,DATE($D$2,$B$2,Z$4)),0))</f>
        <v>0</v>
      </c>
      <c r="AA465" s="251">
        <f>IF(AA$4&gt;DAY(EOMONTH(DATE($D$2,$B$2,1),0)),"",IFERROR(SUMIFS(DATA_GOC!$H:$H,DATA_GOC!$A:$A,"BOM",DATA_GOC!$D:$D,$B465,DATA_GOC!$E:$E,"Dầu số",DATA_GOC!$F:$F,"Xuất nội bộ từ téc",DATA_GOC!$B:$B,DATE($D$2,$B$2,AA$4)),0))</f>
        <v>0</v>
      </c>
      <c r="AB465" s="251">
        <f>IF(AB$4&gt;DAY(EOMONTH(DATE($D$2,$B$2,1),0)),"",IFERROR(SUMIFS(DATA_GOC!$H:$H,DATA_GOC!$A:$A,"BOM",DATA_GOC!$D:$D,$B465,DATA_GOC!$E:$E,"Dầu số",DATA_GOC!$F:$F,"Xuất nội bộ từ téc",DATA_GOC!$B:$B,DATE($D$2,$B$2,AB$4)),0))</f>
        <v>0</v>
      </c>
      <c r="AC465" s="251">
        <f>IF(AC$4&gt;DAY(EOMONTH(DATE($D$2,$B$2,1),0)),"",IFERROR(SUMIFS(DATA_GOC!$H:$H,DATA_GOC!$A:$A,"BOM",DATA_GOC!$D:$D,$B465,DATA_GOC!$E:$E,"Dầu số",DATA_GOC!$F:$F,"Xuất nội bộ từ téc",DATA_GOC!$B:$B,DATE($D$2,$B$2,AC$4)),0))</f>
        <v>0</v>
      </c>
      <c r="AD465" s="251">
        <f>IF(AD$4&gt;DAY(EOMONTH(DATE($D$2,$B$2,1),0)),"",IFERROR(SUMIFS(DATA_GOC!$H:$H,DATA_GOC!$A:$A,"BOM",DATA_GOC!$D:$D,$B465,DATA_GOC!$E:$E,"Dầu số",DATA_GOC!$F:$F,"Xuất nội bộ từ téc",DATA_GOC!$B:$B,DATE($D$2,$B$2,AD$4)),0))</f>
        <v>0</v>
      </c>
      <c r="AE465" s="251">
        <f>IF(AE$4&gt;DAY(EOMONTH(DATE($D$2,$B$2,1),0)),"",IFERROR(SUMIFS(DATA_GOC!$H:$H,DATA_GOC!$A:$A,"BOM",DATA_GOC!$D:$D,$B465,DATA_GOC!$E:$E,"Dầu số",DATA_GOC!$F:$F,"Xuất nội bộ từ téc",DATA_GOC!$B:$B,DATE($D$2,$B$2,AE$4)),0))</f>
        <v>0</v>
      </c>
      <c r="AF465" s="251">
        <f>IF(AF$4&gt;DAY(EOMONTH(DATE($D$2,$B$2,1),0)),"",IFERROR(SUMIFS(DATA_GOC!$H:$H,DATA_GOC!$A:$A,"BOM",DATA_GOC!$D:$D,$B465,DATA_GOC!$E:$E,"Dầu số",DATA_GOC!$F:$F,"Xuất nội bộ từ téc",DATA_GOC!$B:$B,DATE($D$2,$B$2,AF$4)),0))</f>
        <v>0</v>
      </c>
      <c r="AG465" s="251">
        <f>IF(AG$4&gt;DAY(EOMONTH(DATE($D$2,$B$2,1),0)),"",IFERROR(SUMIFS(DATA_GOC!$H:$H,DATA_GOC!$A:$A,"BOM",DATA_GOC!$D:$D,$B465,DATA_GOC!$E:$E,"Dầu số",DATA_GOC!$F:$F,"Xuất nội bộ từ téc",DATA_GOC!$B:$B,DATE($D$2,$B$2,AG$4)),0))</f>
        <v>0</v>
      </c>
      <c r="AH465" s="252">
        <f t="shared" si="22"/>
        <v>0</v>
      </c>
      <c r="AI465" s="241"/>
      <c r="AJ465" s="242">
        <f>IF($B465="","",SUMIFS(TINH_TEC!$K$233:$K$9232,TINH_TEC!$H$233:$H$9232,$B465,TINH_TEC!$C$233:$C$9232,"Dầu số",TINH_TEC!$F$233:$F$9232,$B$2,TINH_TEC!$G$233:$G$9232,$D$2,TINH_TEC!$B$233:$B$9232,"Đã chốt"))</f>
        <v>0</v>
      </c>
      <c r="AK465" s="242">
        <f>IF($B465="","",SUMIFS(TINH_TEC!$J$233:$J$9232,TINH_TEC!$H$233:$H$9232,$B465,TINH_TEC!$C$233:$C$9232,"Dầu số",TINH_TEC!$F$233:$F$9232,$B$2,TINH_TEC!$G$233:$G$9232,$D$2,TINH_TEC!$B$233:$B$9232,"Đã chốt"))</f>
        <v>0</v>
      </c>
      <c r="AL465" s="242">
        <f t="shared" si="23"/>
        <v>0</v>
      </c>
    </row>
    <row r="466" ht="15.75" customHeight="1">
      <c r="A466" s="237">
        <f>IF($B466&lt;&gt;"",34,"")</f>
        <v>34</v>
      </c>
      <c r="B466" s="250" t="str">
        <f t="array" ref="B466">IFERROR(INDEX(DANH_MUC!$E:$E,37),"")</f>
        <v>28H00354</v>
      </c>
      <c r="C466" s="251">
        <f>IF(C$4&gt;DAY(EOMONTH(DATE($D$2,$B$2,1),0)),"",IFERROR(SUMIFS(DATA_GOC!$H:$H,DATA_GOC!$A:$A,"BOM",DATA_GOC!$D:$D,$B466,DATA_GOC!$E:$E,"Dầu số",DATA_GOC!$F:$F,"Xuất nội bộ từ téc",DATA_GOC!$B:$B,DATE($D$2,$B$2,C$4)),0))</f>
        <v>0</v>
      </c>
      <c r="D466" s="251">
        <f>IF(D$4&gt;DAY(EOMONTH(DATE($D$2,$B$2,1),0)),"",IFERROR(SUMIFS(DATA_GOC!$H:$H,DATA_GOC!$A:$A,"BOM",DATA_GOC!$D:$D,$B466,DATA_GOC!$E:$E,"Dầu số",DATA_GOC!$F:$F,"Xuất nội bộ từ téc",DATA_GOC!$B:$B,DATE($D$2,$B$2,D$4)),0))</f>
        <v>0</v>
      </c>
      <c r="E466" s="251">
        <f>IF(E$4&gt;DAY(EOMONTH(DATE($D$2,$B$2,1),0)),"",IFERROR(SUMIFS(DATA_GOC!$H:$H,DATA_GOC!$A:$A,"BOM",DATA_GOC!$D:$D,$B466,DATA_GOC!$E:$E,"Dầu số",DATA_GOC!$F:$F,"Xuất nội bộ từ téc",DATA_GOC!$B:$B,DATE($D$2,$B$2,E$4)),0))</f>
        <v>0</v>
      </c>
      <c r="F466" s="251">
        <f>IF(F$4&gt;DAY(EOMONTH(DATE($D$2,$B$2,1),0)),"",IFERROR(SUMIFS(DATA_GOC!$H:$H,DATA_GOC!$A:$A,"BOM",DATA_GOC!$D:$D,$B466,DATA_GOC!$E:$E,"Dầu số",DATA_GOC!$F:$F,"Xuất nội bộ từ téc",DATA_GOC!$B:$B,DATE($D$2,$B$2,F$4)),0))</f>
        <v>0</v>
      </c>
      <c r="G466" s="251">
        <f>IF(G$4&gt;DAY(EOMONTH(DATE($D$2,$B$2,1),0)),"",IFERROR(SUMIFS(DATA_GOC!$H:$H,DATA_GOC!$A:$A,"BOM",DATA_GOC!$D:$D,$B466,DATA_GOC!$E:$E,"Dầu số",DATA_GOC!$F:$F,"Xuất nội bộ từ téc",DATA_GOC!$B:$B,DATE($D$2,$B$2,G$4)),0))</f>
        <v>0</v>
      </c>
      <c r="H466" s="251">
        <f>IF(H$4&gt;DAY(EOMONTH(DATE($D$2,$B$2,1),0)),"",IFERROR(SUMIFS(DATA_GOC!$H:$H,DATA_GOC!$A:$A,"BOM",DATA_GOC!$D:$D,$B466,DATA_GOC!$E:$E,"Dầu số",DATA_GOC!$F:$F,"Xuất nội bộ từ téc",DATA_GOC!$B:$B,DATE($D$2,$B$2,H$4)),0))</f>
        <v>0</v>
      </c>
      <c r="I466" s="251">
        <f>IF(I$4&gt;DAY(EOMONTH(DATE($D$2,$B$2,1),0)),"",IFERROR(SUMIFS(DATA_GOC!$H:$H,DATA_GOC!$A:$A,"BOM",DATA_GOC!$D:$D,$B466,DATA_GOC!$E:$E,"Dầu số",DATA_GOC!$F:$F,"Xuất nội bộ từ téc",DATA_GOC!$B:$B,DATE($D$2,$B$2,I$4)),0))</f>
        <v>0</v>
      </c>
      <c r="J466" s="251">
        <f>IF(J$4&gt;DAY(EOMONTH(DATE($D$2,$B$2,1),0)),"",IFERROR(SUMIFS(DATA_GOC!$H:$H,DATA_GOC!$A:$A,"BOM",DATA_GOC!$D:$D,$B466,DATA_GOC!$E:$E,"Dầu số",DATA_GOC!$F:$F,"Xuất nội bộ từ téc",DATA_GOC!$B:$B,DATE($D$2,$B$2,J$4)),0))</f>
        <v>0</v>
      </c>
      <c r="K466" s="251">
        <f>IF(K$4&gt;DAY(EOMONTH(DATE($D$2,$B$2,1),0)),"",IFERROR(SUMIFS(DATA_GOC!$H:$H,DATA_GOC!$A:$A,"BOM",DATA_GOC!$D:$D,$B466,DATA_GOC!$E:$E,"Dầu số",DATA_GOC!$F:$F,"Xuất nội bộ từ téc",DATA_GOC!$B:$B,DATE($D$2,$B$2,K$4)),0))</f>
        <v>0</v>
      </c>
      <c r="L466" s="251">
        <f>IF(L$4&gt;DAY(EOMONTH(DATE($D$2,$B$2,1),0)),"",IFERROR(SUMIFS(DATA_GOC!$H:$H,DATA_GOC!$A:$A,"BOM",DATA_GOC!$D:$D,$B466,DATA_GOC!$E:$E,"Dầu số",DATA_GOC!$F:$F,"Xuất nội bộ từ téc",DATA_GOC!$B:$B,DATE($D$2,$B$2,L$4)),0))</f>
        <v>0</v>
      </c>
      <c r="M466" s="251">
        <f>IF(M$4&gt;DAY(EOMONTH(DATE($D$2,$B$2,1),0)),"",IFERROR(SUMIFS(DATA_GOC!$H:$H,DATA_GOC!$A:$A,"BOM",DATA_GOC!$D:$D,$B466,DATA_GOC!$E:$E,"Dầu số",DATA_GOC!$F:$F,"Xuất nội bộ từ téc",DATA_GOC!$B:$B,DATE($D$2,$B$2,M$4)),0))</f>
        <v>0</v>
      </c>
      <c r="N466" s="251">
        <f>IF(N$4&gt;DAY(EOMONTH(DATE($D$2,$B$2,1),0)),"",IFERROR(SUMIFS(DATA_GOC!$H:$H,DATA_GOC!$A:$A,"BOM",DATA_GOC!$D:$D,$B466,DATA_GOC!$E:$E,"Dầu số",DATA_GOC!$F:$F,"Xuất nội bộ từ téc",DATA_GOC!$B:$B,DATE($D$2,$B$2,N$4)),0))</f>
        <v>0</v>
      </c>
      <c r="O466" s="251">
        <f>IF(O$4&gt;DAY(EOMONTH(DATE($D$2,$B$2,1),0)),"",IFERROR(SUMIFS(DATA_GOC!$H:$H,DATA_GOC!$A:$A,"BOM",DATA_GOC!$D:$D,$B466,DATA_GOC!$E:$E,"Dầu số",DATA_GOC!$F:$F,"Xuất nội bộ từ téc",DATA_GOC!$B:$B,DATE($D$2,$B$2,O$4)),0))</f>
        <v>0</v>
      </c>
      <c r="P466" s="251">
        <f>IF(P$4&gt;DAY(EOMONTH(DATE($D$2,$B$2,1),0)),"",IFERROR(SUMIFS(DATA_GOC!$H:$H,DATA_GOC!$A:$A,"BOM",DATA_GOC!$D:$D,$B466,DATA_GOC!$E:$E,"Dầu số",DATA_GOC!$F:$F,"Xuất nội bộ từ téc",DATA_GOC!$B:$B,DATE($D$2,$B$2,P$4)),0))</f>
        <v>0</v>
      </c>
      <c r="Q466" s="251">
        <f>IF(Q$4&gt;DAY(EOMONTH(DATE($D$2,$B$2,1),0)),"",IFERROR(SUMIFS(DATA_GOC!$H:$H,DATA_GOC!$A:$A,"BOM",DATA_GOC!$D:$D,$B466,DATA_GOC!$E:$E,"Dầu số",DATA_GOC!$F:$F,"Xuất nội bộ từ téc",DATA_GOC!$B:$B,DATE($D$2,$B$2,Q$4)),0))</f>
        <v>0</v>
      </c>
      <c r="R466" s="251">
        <f>IF(R$4&gt;DAY(EOMONTH(DATE($D$2,$B$2,1),0)),"",IFERROR(SUMIFS(DATA_GOC!$H:$H,DATA_GOC!$A:$A,"BOM",DATA_GOC!$D:$D,$B466,DATA_GOC!$E:$E,"Dầu số",DATA_GOC!$F:$F,"Xuất nội bộ từ téc",DATA_GOC!$B:$B,DATE($D$2,$B$2,R$4)),0))</f>
        <v>0</v>
      </c>
      <c r="S466" s="251">
        <f>IF(S$4&gt;DAY(EOMONTH(DATE($D$2,$B$2,1),0)),"",IFERROR(SUMIFS(DATA_GOC!$H:$H,DATA_GOC!$A:$A,"BOM",DATA_GOC!$D:$D,$B466,DATA_GOC!$E:$E,"Dầu số",DATA_GOC!$F:$F,"Xuất nội bộ từ téc",DATA_GOC!$B:$B,DATE($D$2,$B$2,S$4)),0))</f>
        <v>0</v>
      </c>
      <c r="T466" s="251">
        <f>IF(T$4&gt;DAY(EOMONTH(DATE($D$2,$B$2,1),0)),"",IFERROR(SUMIFS(DATA_GOC!$H:$H,DATA_GOC!$A:$A,"BOM",DATA_GOC!$D:$D,$B466,DATA_GOC!$E:$E,"Dầu số",DATA_GOC!$F:$F,"Xuất nội bộ từ téc",DATA_GOC!$B:$B,DATE($D$2,$B$2,T$4)),0))</f>
        <v>0</v>
      </c>
      <c r="U466" s="251">
        <f>IF(U$4&gt;DAY(EOMONTH(DATE($D$2,$B$2,1),0)),"",IFERROR(SUMIFS(DATA_GOC!$H:$H,DATA_GOC!$A:$A,"BOM",DATA_GOC!$D:$D,$B466,DATA_GOC!$E:$E,"Dầu số",DATA_GOC!$F:$F,"Xuất nội bộ từ téc",DATA_GOC!$B:$B,DATE($D$2,$B$2,U$4)),0))</f>
        <v>0</v>
      </c>
      <c r="V466" s="251">
        <f>IF(V$4&gt;DAY(EOMONTH(DATE($D$2,$B$2,1),0)),"",IFERROR(SUMIFS(DATA_GOC!$H:$H,DATA_GOC!$A:$A,"BOM",DATA_GOC!$D:$D,$B466,DATA_GOC!$E:$E,"Dầu số",DATA_GOC!$F:$F,"Xuất nội bộ từ téc",DATA_GOC!$B:$B,DATE($D$2,$B$2,V$4)),0))</f>
        <v>0</v>
      </c>
      <c r="W466" s="251">
        <f>IF(W$4&gt;DAY(EOMONTH(DATE($D$2,$B$2,1),0)),"",IFERROR(SUMIFS(DATA_GOC!$H:$H,DATA_GOC!$A:$A,"BOM",DATA_GOC!$D:$D,$B466,DATA_GOC!$E:$E,"Dầu số",DATA_GOC!$F:$F,"Xuất nội bộ từ téc",DATA_GOC!$B:$B,DATE($D$2,$B$2,W$4)),0))</f>
        <v>0</v>
      </c>
      <c r="X466" s="251">
        <f>IF(X$4&gt;DAY(EOMONTH(DATE($D$2,$B$2,1),0)),"",IFERROR(SUMIFS(DATA_GOC!$H:$H,DATA_GOC!$A:$A,"BOM",DATA_GOC!$D:$D,$B466,DATA_GOC!$E:$E,"Dầu số",DATA_GOC!$F:$F,"Xuất nội bộ từ téc",DATA_GOC!$B:$B,DATE($D$2,$B$2,X$4)),0))</f>
        <v>0</v>
      </c>
      <c r="Y466" s="251">
        <f>IF(Y$4&gt;DAY(EOMONTH(DATE($D$2,$B$2,1),0)),"",IFERROR(SUMIFS(DATA_GOC!$H:$H,DATA_GOC!$A:$A,"BOM",DATA_GOC!$D:$D,$B466,DATA_GOC!$E:$E,"Dầu số",DATA_GOC!$F:$F,"Xuất nội bộ từ téc",DATA_GOC!$B:$B,DATE($D$2,$B$2,Y$4)),0))</f>
        <v>0</v>
      </c>
      <c r="Z466" s="251">
        <f>IF(Z$4&gt;DAY(EOMONTH(DATE($D$2,$B$2,1),0)),"",IFERROR(SUMIFS(DATA_GOC!$H:$H,DATA_GOC!$A:$A,"BOM",DATA_GOC!$D:$D,$B466,DATA_GOC!$E:$E,"Dầu số",DATA_GOC!$F:$F,"Xuất nội bộ từ téc",DATA_GOC!$B:$B,DATE($D$2,$B$2,Z$4)),0))</f>
        <v>0</v>
      </c>
      <c r="AA466" s="251">
        <f>IF(AA$4&gt;DAY(EOMONTH(DATE($D$2,$B$2,1),0)),"",IFERROR(SUMIFS(DATA_GOC!$H:$H,DATA_GOC!$A:$A,"BOM",DATA_GOC!$D:$D,$B466,DATA_GOC!$E:$E,"Dầu số",DATA_GOC!$F:$F,"Xuất nội bộ từ téc",DATA_GOC!$B:$B,DATE($D$2,$B$2,AA$4)),0))</f>
        <v>0</v>
      </c>
      <c r="AB466" s="251">
        <f>IF(AB$4&gt;DAY(EOMONTH(DATE($D$2,$B$2,1),0)),"",IFERROR(SUMIFS(DATA_GOC!$H:$H,DATA_GOC!$A:$A,"BOM",DATA_GOC!$D:$D,$B466,DATA_GOC!$E:$E,"Dầu số",DATA_GOC!$F:$F,"Xuất nội bộ từ téc",DATA_GOC!$B:$B,DATE($D$2,$B$2,AB$4)),0))</f>
        <v>0</v>
      </c>
      <c r="AC466" s="251">
        <f>IF(AC$4&gt;DAY(EOMONTH(DATE($D$2,$B$2,1),0)),"",IFERROR(SUMIFS(DATA_GOC!$H:$H,DATA_GOC!$A:$A,"BOM",DATA_GOC!$D:$D,$B466,DATA_GOC!$E:$E,"Dầu số",DATA_GOC!$F:$F,"Xuất nội bộ từ téc",DATA_GOC!$B:$B,DATE($D$2,$B$2,AC$4)),0))</f>
        <v>0</v>
      </c>
      <c r="AD466" s="251">
        <f>IF(AD$4&gt;DAY(EOMONTH(DATE($D$2,$B$2,1),0)),"",IFERROR(SUMIFS(DATA_GOC!$H:$H,DATA_GOC!$A:$A,"BOM",DATA_GOC!$D:$D,$B466,DATA_GOC!$E:$E,"Dầu số",DATA_GOC!$F:$F,"Xuất nội bộ từ téc",DATA_GOC!$B:$B,DATE($D$2,$B$2,AD$4)),0))</f>
        <v>0</v>
      </c>
      <c r="AE466" s="251">
        <f>IF(AE$4&gt;DAY(EOMONTH(DATE($D$2,$B$2,1),0)),"",IFERROR(SUMIFS(DATA_GOC!$H:$H,DATA_GOC!$A:$A,"BOM",DATA_GOC!$D:$D,$B466,DATA_GOC!$E:$E,"Dầu số",DATA_GOC!$F:$F,"Xuất nội bộ từ téc",DATA_GOC!$B:$B,DATE($D$2,$B$2,AE$4)),0))</f>
        <v>0</v>
      </c>
      <c r="AF466" s="251">
        <f>IF(AF$4&gt;DAY(EOMONTH(DATE($D$2,$B$2,1),0)),"",IFERROR(SUMIFS(DATA_GOC!$H:$H,DATA_GOC!$A:$A,"BOM",DATA_GOC!$D:$D,$B466,DATA_GOC!$E:$E,"Dầu số",DATA_GOC!$F:$F,"Xuất nội bộ từ téc",DATA_GOC!$B:$B,DATE($D$2,$B$2,AF$4)),0))</f>
        <v>0</v>
      </c>
      <c r="AG466" s="251">
        <f>IF(AG$4&gt;DAY(EOMONTH(DATE($D$2,$B$2,1),0)),"",IFERROR(SUMIFS(DATA_GOC!$H:$H,DATA_GOC!$A:$A,"BOM",DATA_GOC!$D:$D,$B466,DATA_GOC!$E:$E,"Dầu số",DATA_GOC!$F:$F,"Xuất nội bộ từ téc",DATA_GOC!$B:$B,DATE($D$2,$B$2,AG$4)),0))</f>
        <v>0</v>
      </c>
      <c r="AH466" s="252">
        <f t="shared" si="22"/>
        <v>0</v>
      </c>
      <c r="AI466" s="241"/>
      <c r="AJ466" s="242">
        <f>IF($B466="","",SUMIFS(TINH_TEC!$K$233:$K$9232,TINH_TEC!$H$233:$H$9232,$B466,TINH_TEC!$C$233:$C$9232,"Dầu số",TINH_TEC!$F$233:$F$9232,$B$2,TINH_TEC!$G$233:$G$9232,$D$2,TINH_TEC!$B$233:$B$9232,"Đã chốt"))</f>
        <v>0</v>
      </c>
      <c r="AK466" s="242">
        <f>IF($B466="","",SUMIFS(TINH_TEC!$J$233:$J$9232,TINH_TEC!$H$233:$H$9232,$B466,TINH_TEC!$C$233:$C$9232,"Dầu số",TINH_TEC!$F$233:$F$9232,$B$2,TINH_TEC!$G$233:$G$9232,$D$2,TINH_TEC!$B$233:$B$9232,"Đã chốt"))</f>
        <v>0</v>
      </c>
      <c r="AL466" s="242">
        <f t="shared" si="23"/>
        <v>0</v>
      </c>
    </row>
    <row r="467" ht="15.75" customHeight="1">
      <c r="A467" s="237">
        <f>IF($B467&lt;&gt;"",35,"")</f>
        <v>35</v>
      </c>
      <c r="B467" s="250" t="str">
        <f t="array" ref="B467">IFERROR(INDEX(DANH_MUC!$E:$E,38),"")</f>
        <v>28H00603</v>
      </c>
      <c r="C467" s="251">
        <f>IF(C$4&gt;DAY(EOMONTH(DATE($D$2,$B$2,1),0)),"",IFERROR(SUMIFS(DATA_GOC!$H:$H,DATA_GOC!$A:$A,"BOM",DATA_GOC!$D:$D,$B467,DATA_GOC!$E:$E,"Dầu số",DATA_GOC!$F:$F,"Xuất nội bộ từ téc",DATA_GOC!$B:$B,DATE($D$2,$B$2,C$4)),0))</f>
        <v>0</v>
      </c>
      <c r="D467" s="251">
        <f>IF(D$4&gt;DAY(EOMONTH(DATE($D$2,$B$2,1),0)),"",IFERROR(SUMIFS(DATA_GOC!$H:$H,DATA_GOC!$A:$A,"BOM",DATA_GOC!$D:$D,$B467,DATA_GOC!$E:$E,"Dầu số",DATA_GOC!$F:$F,"Xuất nội bộ từ téc",DATA_GOC!$B:$B,DATE($D$2,$B$2,D$4)),0))</f>
        <v>0</v>
      </c>
      <c r="E467" s="251">
        <f>IF(E$4&gt;DAY(EOMONTH(DATE($D$2,$B$2,1),0)),"",IFERROR(SUMIFS(DATA_GOC!$H:$H,DATA_GOC!$A:$A,"BOM",DATA_GOC!$D:$D,$B467,DATA_GOC!$E:$E,"Dầu số",DATA_GOC!$F:$F,"Xuất nội bộ từ téc",DATA_GOC!$B:$B,DATE($D$2,$B$2,E$4)),0))</f>
        <v>0</v>
      </c>
      <c r="F467" s="251">
        <f>IF(F$4&gt;DAY(EOMONTH(DATE($D$2,$B$2,1),0)),"",IFERROR(SUMIFS(DATA_GOC!$H:$H,DATA_GOC!$A:$A,"BOM",DATA_GOC!$D:$D,$B467,DATA_GOC!$E:$E,"Dầu số",DATA_GOC!$F:$F,"Xuất nội bộ từ téc",DATA_GOC!$B:$B,DATE($D$2,$B$2,F$4)),0))</f>
        <v>0</v>
      </c>
      <c r="G467" s="251">
        <f>IF(G$4&gt;DAY(EOMONTH(DATE($D$2,$B$2,1),0)),"",IFERROR(SUMIFS(DATA_GOC!$H:$H,DATA_GOC!$A:$A,"BOM",DATA_GOC!$D:$D,$B467,DATA_GOC!$E:$E,"Dầu số",DATA_GOC!$F:$F,"Xuất nội bộ từ téc",DATA_GOC!$B:$B,DATE($D$2,$B$2,G$4)),0))</f>
        <v>0</v>
      </c>
      <c r="H467" s="251">
        <f>IF(H$4&gt;DAY(EOMONTH(DATE($D$2,$B$2,1),0)),"",IFERROR(SUMIFS(DATA_GOC!$H:$H,DATA_GOC!$A:$A,"BOM",DATA_GOC!$D:$D,$B467,DATA_GOC!$E:$E,"Dầu số",DATA_GOC!$F:$F,"Xuất nội bộ từ téc",DATA_GOC!$B:$B,DATE($D$2,$B$2,H$4)),0))</f>
        <v>0</v>
      </c>
      <c r="I467" s="251">
        <f>IF(I$4&gt;DAY(EOMONTH(DATE($D$2,$B$2,1),0)),"",IFERROR(SUMIFS(DATA_GOC!$H:$H,DATA_GOC!$A:$A,"BOM",DATA_GOC!$D:$D,$B467,DATA_GOC!$E:$E,"Dầu số",DATA_GOC!$F:$F,"Xuất nội bộ từ téc",DATA_GOC!$B:$B,DATE($D$2,$B$2,I$4)),0))</f>
        <v>0</v>
      </c>
      <c r="J467" s="251">
        <f>IF(J$4&gt;DAY(EOMONTH(DATE($D$2,$B$2,1),0)),"",IFERROR(SUMIFS(DATA_GOC!$H:$H,DATA_GOC!$A:$A,"BOM",DATA_GOC!$D:$D,$B467,DATA_GOC!$E:$E,"Dầu số",DATA_GOC!$F:$F,"Xuất nội bộ từ téc",DATA_GOC!$B:$B,DATE($D$2,$B$2,J$4)),0))</f>
        <v>0</v>
      </c>
      <c r="K467" s="251">
        <f>IF(K$4&gt;DAY(EOMONTH(DATE($D$2,$B$2,1),0)),"",IFERROR(SUMIFS(DATA_GOC!$H:$H,DATA_GOC!$A:$A,"BOM",DATA_GOC!$D:$D,$B467,DATA_GOC!$E:$E,"Dầu số",DATA_GOC!$F:$F,"Xuất nội bộ từ téc",DATA_GOC!$B:$B,DATE($D$2,$B$2,K$4)),0))</f>
        <v>0</v>
      </c>
      <c r="L467" s="251">
        <f>IF(L$4&gt;DAY(EOMONTH(DATE($D$2,$B$2,1),0)),"",IFERROR(SUMIFS(DATA_GOC!$H:$H,DATA_GOC!$A:$A,"BOM",DATA_GOC!$D:$D,$B467,DATA_GOC!$E:$E,"Dầu số",DATA_GOC!$F:$F,"Xuất nội bộ từ téc",DATA_GOC!$B:$B,DATE($D$2,$B$2,L$4)),0))</f>
        <v>0</v>
      </c>
      <c r="M467" s="251">
        <f>IF(M$4&gt;DAY(EOMONTH(DATE($D$2,$B$2,1),0)),"",IFERROR(SUMIFS(DATA_GOC!$H:$H,DATA_GOC!$A:$A,"BOM",DATA_GOC!$D:$D,$B467,DATA_GOC!$E:$E,"Dầu số",DATA_GOC!$F:$F,"Xuất nội bộ từ téc",DATA_GOC!$B:$B,DATE($D$2,$B$2,M$4)),0))</f>
        <v>0</v>
      </c>
      <c r="N467" s="251">
        <f>IF(N$4&gt;DAY(EOMONTH(DATE($D$2,$B$2,1),0)),"",IFERROR(SUMIFS(DATA_GOC!$H:$H,DATA_GOC!$A:$A,"BOM",DATA_GOC!$D:$D,$B467,DATA_GOC!$E:$E,"Dầu số",DATA_GOC!$F:$F,"Xuất nội bộ từ téc",DATA_GOC!$B:$B,DATE($D$2,$B$2,N$4)),0))</f>
        <v>0</v>
      </c>
      <c r="O467" s="251">
        <f>IF(O$4&gt;DAY(EOMONTH(DATE($D$2,$B$2,1),0)),"",IFERROR(SUMIFS(DATA_GOC!$H:$H,DATA_GOC!$A:$A,"BOM",DATA_GOC!$D:$D,$B467,DATA_GOC!$E:$E,"Dầu số",DATA_GOC!$F:$F,"Xuất nội bộ từ téc",DATA_GOC!$B:$B,DATE($D$2,$B$2,O$4)),0))</f>
        <v>0</v>
      </c>
      <c r="P467" s="251">
        <f>IF(P$4&gt;DAY(EOMONTH(DATE($D$2,$B$2,1),0)),"",IFERROR(SUMIFS(DATA_GOC!$H:$H,DATA_GOC!$A:$A,"BOM",DATA_GOC!$D:$D,$B467,DATA_GOC!$E:$E,"Dầu số",DATA_GOC!$F:$F,"Xuất nội bộ từ téc",DATA_GOC!$B:$B,DATE($D$2,$B$2,P$4)),0))</f>
        <v>0</v>
      </c>
      <c r="Q467" s="251">
        <f>IF(Q$4&gt;DAY(EOMONTH(DATE($D$2,$B$2,1),0)),"",IFERROR(SUMIFS(DATA_GOC!$H:$H,DATA_GOC!$A:$A,"BOM",DATA_GOC!$D:$D,$B467,DATA_GOC!$E:$E,"Dầu số",DATA_GOC!$F:$F,"Xuất nội bộ từ téc",DATA_GOC!$B:$B,DATE($D$2,$B$2,Q$4)),0))</f>
        <v>0</v>
      </c>
      <c r="R467" s="251">
        <f>IF(R$4&gt;DAY(EOMONTH(DATE($D$2,$B$2,1),0)),"",IFERROR(SUMIFS(DATA_GOC!$H:$H,DATA_GOC!$A:$A,"BOM",DATA_GOC!$D:$D,$B467,DATA_GOC!$E:$E,"Dầu số",DATA_GOC!$F:$F,"Xuất nội bộ từ téc",DATA_GOC!$B:$B,DATE($D$2,$B$2,R$4)),0))</f>
        <v>0</v>
      </c>
      <c r="S467" s="251">
        <f>IF(S$4&gt;DAY(EOMONTH(DATE($D$2,$B$2,1),0)),"",IFERROR(SUMIFS(DATA_GOC!$H:$H,DATA_GOC!$A:$A,"BOM",DATA_GOC!$D:$D,$B467,DATA_GOC!$E:$E,"Dầu số",DATA_GOC!$F:$F,"Xuất nội bộ từ téc",DATA_GOC!$B:$B,DATE($D$2,$B$2,S$4)),0))</f>
        <v>0</v>
      </c>
      <c r="T467" s="251">
        <f>IF(T$4&gt;DAY(EOMONTH(DATE($D$2,$B$2,1),0)),"",IFERROR(SUMIFS(DATA_GOC!$H:$H,DATA_GOC!$A:$A,"BOM",DATA_GOC!$D:$D,$B467,DATA_GOC!$E:$E,"Dầu số",DATA_GOC!$F:$F,"Xuất nội bộ từ téc",DATA_GOC!$B:$B,DATE($D$2,$B$2,T$4)),0))</f>
        <v>0</v>
      </c>
      <c r="U467" s="251">
        <f>IF(U$4&gt;DAY(EOMONTH(DATE($D$2,$B$2,1),0)),"",IFERROR(SUMIFS(DATA_GOC!$H:$H,DATA_GOC!$A:$A,"BOM",DATA_GOC!$D:$D,$B467,DATA_GOC!$E:$E,"Dầu số",DATA_GOC!$F:$F,"Xuất nội bộ từ téc",DATA_GOC!$B:$B,DATE($D$2,$B$2,U$4)),0))</f>
        <v>0</v>
      </c>
      <c r="V467" s="251">
        <f>IF(V$4&gt;DAY(EOMONTH(DATE($D$2,$B$2,1),0)),"",IFERROR(SUMIFS(DATA_GOC!$H:$H,DATA_GOC!$A:$A,"BOM",DATA_GOC!$D:$D,$B467,DATA_GOC!$E:$E,"Dầu số",DATA_GOC!$F:$F,"Xuất nội bộ từ téc",DATA_GOC!$B:$B,DATE($D$2,$B$2,V$4)),0))</f>
        <v>0</v>
      </c>
      <c r="W467" s="251">
        <f>IF(W$4&gt;DAY(EOMONTH(DATE($D$2,$B$2,1),0)),"",IFERROR(SUMIFS(DATA_GOC!$H:$H,DATA_GOC!$A:$A,"BOM",DATA_GOC!$D:$D,$B467,DATA_GOC!$E:$E,"Dầu số",DATA_GOC!$F:$F,"Xuất nội bộ từ téc",DATA_GOC!$B:$B,DATE($D$2,$B$2,W$4)),0))</f>
        <v>0</v>
      </c>
      <c r="X467" s="251">
        <f>IF(X$4&gt;DAY(EOMONTH(DATE($D$2,$B$2,1),0)),"",IFERROR(SUMIFS(DATA_GOC!$H:$H,DATA_GOC!$A:$A,"BOM",DATA_GOC!$D:$D,$B467,DATA_GOC!$E:$E,"Dầu số",DATA_GOC!$F:$F,"Xuất nội bộ từ téc",DATA_GOC!$B:$B,DATE($D$2,$B$2,X$4)),0))</f>
        <v>0</v>
      </c>
      <c r="Y467" s="251">
        <f>IF(Y$4&gt;DAY(EOMONTH(DATE($D$2,$B$2,1),0)),"",IFERROR(SUMIFS(DATA_GOC!$H:$H,DATA_GOC!$A:$A,"BOM",DATA_GOC!$D:$D,$B467,DATA_GOC!$E:$E,"Dầu số",DATA_GOC!$F:$F,"Xuất nội bộ từ téc",DATA_GOC!$B:$B,DATE($D$2,$B$2,Y$4)),0))</f>
        <v>0</v>
      </c>
      <c r="Z467" s="251">
        <f>IF(Z$4&gt;DAY(EOMONTH(DATE($D$2,$B$2,1),0)),"",IFERROR(SUMIFS(DATA_GOC!$H:$H,DATA_GOC!$A:$A,"BOM",DATA_GOC!$D:$D,$B467,DATA_GOC!$E:$E,"Dầu số",DATA_GOC!$F:$F,"Xuất nội bộ từ téc",DATA_GOC!$B:$B,DATE($D$2,$B$2,Z$4)),0))</f>
        <v>0</v>
      </c>
      <c r="AA467" s="251">
        <f>IF(AA$4&gt;DAY(EOMONTH(DATE($D$2,$B$2,1),0)),"",IFERROR(SUMIFS(DATA_GOC!$H:$H,DATA_GOC!$A:$A,"BOM",DATA_GOC!$D:$D,$B467,DATA_GOC!$E:$E,"Dầu số",DATA_GOC!$F:$F,"Xuất nội bộ từ téc",DATA_GOC!$B:$B,DATE($D$2,$B$2,AA$4)),0))</f>
        <v>0</v>
      </c>
      <c r="AB467" s="251">
        <f>IF(AB$4&gt;DAY(EOMONTH(DATE($D$2,$B$2,1),0)),"",IFERROR(SUMIFS(DATA_GOC!$H:$H,DATA_GOC!$A:$A,"BOM",DATA_GOC!$D:$D,$B467,DATA_GOC!$E:$E,"Dầu số",DATA_GOC!$F:$F,"Xuất nội bộ từ téc",DATA_GOC!$B:$B,DATE($D$2,$B$2,AB$4)),0))</f>
        <v>0</v>
      </c>
      <c r="AC467" s="251">
        <f>IF(AC$4&gt;DAY(EOMONTH(DATE($D$2,$B$2,1),0)),"",IFERROR(SUMIFS(DATA_GOC!$H:$H,DATA_GOC!$A:$A,"BOM",DATA_GOC!$D:$D,$B467,DATA_GOC!$E:$E,"Dầu số",DATA_GOC!$F:$F,"Xuất nội bộ từ téc",DATA_GOC!$B:$B,DATE($D$2,$B$2,AC$4)),0))</f>
        <v>0</v>
      </c>
      <c r="AD467" s="251">
        <f>IF(AD$4&gt;DAY(EOMONTH(DATE($D$2,$B$2,1),0)),"",IFERROR(SUMIFS(DATA_GOC!$H:$H,DATA_GOC!$A:$A,"BOM",DATA_GOC!$D:$D,$B467,DATA_GOC!$E:$E,"Dầu số",DATA_GOC!$F:$F,"Xuất nội bộ từ téc",DATA_GOC!$B:$B,DATE($D$2,$B$2,AD$4)),0))</f>
        <v>0</v>
      </c>
      <c r="AE467" s="251">
        <f>IF(AE$4&gt;DAY(EOMONTH(DATE($D$2,$B$2,1),0)),"",IFERROR(SUMIFS(DATA_GOC!$H:$H,DATA_GOC!$A:$A,"BOM",DATA_GOC!$D:$D,$B467,DATA_GOC!$E:$E,"Dầu số",DATA_GOC!$F:$F,"Xuất nội bộ từ téc",DATA_GOC!$B:$B,DATE($D$2,$B$2,AE$4)),0))</f>
        <v>0</v>
      </c>
      <c r="AF467" s="251">
        <f>IF(AF$4&gt;DAY(EOMONTH(DATE($D$2,$B$2,1),0)),"",IFERROR(SUMIFS(DATA_GOC!$H:$H,DATA_GOC!$A:$A,"BOM",DATA_GOC!$D:$D,$B467,DATA_GOC!$E:$E,"Dầu số",DATA_GOC!$F:$F,"Xuất nội bộ từ téc",DATA_GOC!$B:$B,DATE($D$2,$B$2,AF$4)),0))</f>
        <v>0</v>
      </c>
      <c r="AG467" s="251">
        <f>IF(AG$4&gt;DAY(EOMONTH(DATE($D$2,$B$2,1),0)),"",IFERROR(SUMIFS(DATA_GOC!$H:$H,DATA_GOC!$A:$A,"BOM",DATA_GOC!$D:$D,$B467,DATA_GOC!$E:$E,"Dầu số",DATA_GOC!$F:$F,"Xuất nội bộ từ téc",DATA_GOC!$B:$B,DATE($D$2,$B$2,AG$4)),0))</f>
        <v>0</v>
      </c>
      <c r="AH467" s="252">
        <f t="shared" si="22"/>
        <v>0</v>
      </c>
      <c r="AI467" s="241"/>
      <c r="AJ467" s="242">
        <f>IF($B467="","",SUMIFS(TINH_TEC!$K$233:$K$9232,TINH_TEC!$H$233:$H$9232,$B467,TINH_TEC!$C$233:$C$9232,"Dầu số",TINH_TEC!$F$233:$F$9232,$B$2,TINH_TEC!$G$233:$G$9232,$D$2,TINH_TEC!$B$233:$B$9232,"Đã chốt"))</f>
        <v>0</v>
      </c>
      <c r="AK467" s="242">
        <f>IF($B467="","",SUMIFS(TINH_TEC!$J$233:$J$9232,TINH_TEC!$H$233:$H$9232,$B467,TINH_TEC!$C$233:$C$9232,"Dầu số",TINH_TEC!$F$233:$F$9232,$B$2,TINH_TEC!$G$233:$G$9232,$D$2,TINH_TEC!$B$233:$B$9232,"Đã chốt"))</f>
        <v>0</v>
      </c>
      <c r="AL467" s="242">
        <f t="shared" si="23"/>
        <v>0</v>
      </c>
    </row>
    <row r="468" ht="15.75" customHeight="1">
      <c r="A468" s="237">
        <f>IF($B468&lt;&gt;"",36,"")</f>
        <v>36</v>
      </c>
      <c r="B468" s="250" t="str">
        <f t="array" ref="B468">IFERROR(INDEX(DANH_MUC!$E:$E,39),"")</f>
        <v>28H00609</v>
      </c>
      <c r="C468" s="251">
        <f>IF(C$4&gt;DAY(EOMONTH(DATE($D$2,$B$2,1),0)),"",IFERROR(SUMIFS(DATA_GOC!$H:$H,DATA_GOC!$A:$A,"BOM",DATA_GOC!$D:$D,$B468,DATA_GOC!$E:$E,"Dầu số",DATA_GOC!$F:$F,"Xuất nội bộ từ téc",DATA_GOC!$B:$B,DATE($D$2,$B$2,C$4)),0))</f>
        <v>0</v>
      </c>
      <c r="D468" s="251">
        <f>IF(D$4&gt;DAY(EOMONTH(DATE($D$2,$B$2,1),0)),"",IFERROR(SUMIFS(DATA_GOC!$H:$H,DATA_GOC!$A:$A,"BOM",DATA_GOC!$D:$D,$B468,DATA_GOC!$E:$E,"Dầu số",DATA_GOC!$F:$F,"Xuất nội bộ từ téc",DATA_GOC!$B:$B,DATE($D$2,$B$2,D$4)),0))</f>
        <v>0</v>
      </c>
      <c r="E468" s="251">
        <f>IF(E$4&gt;DAY(EOMONTH(DATE($D$2,$B$2,1),0)),"",IFERROR(SUMIFS(DATA_GOC!$H:$H,DATA_GOC!$A:$A,"BOM",DATA_GOC!$D:$D,$B468,DATA_GOC!$E:$E,"Dầu số",DATA_GOC!$F:$F,"Xuất nội bộ từ téc",DATA_GOC!$B:$B,DATE($D$2,$B$2,E$4)),0))</f>
        <v>0</v>
      </c>
      <c r="F468" s="251">
        <f>IF(F$4&gt;DAY(EOMONTH(DATE($D$2,$B$2,1),0)),"",IFERROR(SUMIFS(DATA_GOC!$H:$H,DATA_GOC!$A:$A,"BOM",DATA_GOC!$D:$D,$B468,DATA_GOC!$E:$E,"Dầu số",DATA_GOC!$F:$F,"Xuất nội bộ từ téc",DATA_GOC!$B:$B,DATE($D$2,$B$2,F$4)),0))</f>
        <v>0</v>
      </c>
      <c r="G468" s="251">
        <f>IF(G$4&gt;DAY(EOMONTH(DATE($D$2,$B$2,1),0)),"",IFERROR(SUMIFS(DATA_GOC!$H:$H,DATA_GOC!$A:$A,"BOM",DATA_GOC!$D:$D,$B468,DATA_GOC!$E:$E,"Dầu số",DATA_GOC!$F:$F,"Xuất nội bộ từ téc",DATA_GOC!$B:$B,DATE($D$2,$B$2,G$4)),0))</f>
        <v>0</v>
      </c>
      <c r="H468" s="251">
        <f>IF(H$4&gt;DAY(EOMONTH(DATE($D$2,$B$2,1),0)),"",IFERROR(SUMIFS(DATA_GOC!$H:$H,DATA_GOC!$A:$A,"BOM",DATA_GOC!$D:$D,$B468,DATA_GOC!$E:$E,"Dầu số",DATA_GOC!$F:$F,"Xuất nội bộ từ téc",DATA_GOC!$B:$B,DATE($D$2,$B$2,H$4)),0))</f>
        <v>0</v>
      </c>
      <c r="I468" s="251">
        <f>IF(I$4&gt;DAY(EOMONTH(DATE($D$2,$B$2,1),0)),"",IFERROR(SUMIFS(DATA_GOC!$H:$H,DATA_GOC!$A:$A,"BOM",DATA_GOC!$D:$D,$B468,DATA_GOC!$E:$E,"Dầu số",DATA_GOC!$F:$F,"Xuất nội bộ từ téc",DATA_GOC!$B:$B,DATE($D$2,$B$2,I$4)),0))</f>
        <v>0</v>
      </c>
      <c r="J468" s="251">
        <f>IF(J$4&gt;DAY(EOMONTH(DATE($D$2,$B$2,1),0)),"",IFERROR(SUMIFS(DATA_GOC!$H:$H,DATA_GOC!$A:$A,"BOM",DATA_GOC!$D:$D,$B468,DATA_GOC!$E:$E,"Dầu số",DATA_GOC!$F:$F,"Xuất nội bộ từ téc",DATA_GOC!$B:$B,DATE($D$2,$B$2,J$4)),0))</f>
        <v>0</v>
      </c>
      <c r="K468" s="251">
        <f>IF(K$4&gt;DAY(EOMONTH(DATE($D$2,$B$2,1),0)),"",IFERROR(SUMIFS(DATA_GOC!$H:$H,DATA_GOC!$A:$A,"BOM",DATA_GOC!$D:$D,$B468,DATA_GOC!$E:$E,"Dầu số",DATA_GOC!$F:$F,"Xuất nội bộ từ téc",DATA_GOC!$B:$B,DATE($D$2,$B$2,K$4)),0))</f>
        <v>0</v>
      </c>
      <c r="L468" s="251">
        <f>IF(L$4&gt;DAY(EOMONTH(DATE($D$2,$B$2,1),0)),"",IFERROR(SUMIFS(DATA_GOC!$H:$H,DATA_GOC!$A:$A,"BOM",DATA_GOC!$D:$D,$B468,DATA_GOC!$E:$E,"Dầu số",DATA_GOC!$F:$F,"Xuất nội bộ từ téc",DATA_GOC!$B:$B,DATE($D$2,$B$2,L$4)),0))</f>
        <v>0</v>
      </c>
      <c r="M468" s="251">
        <f>IF(M$4&gt;DAY(EOMONTH(DATE($D$2,$B$2,1),0)),"",IFERROR(SUMIFS(DATA_GOC!$H:$H,DATA_GOC!$A:$A,"BOM",DATA_GOC!$D:$D,$B468,DATA_GOC!$E:$E,"Dầu số",DATA_GOC!$F:$F,"Xuất nội bộ từ téc",DATA_GOC!$B:$B,DATE($D$2,$B$2,M$4)),0))</f>
        <v>0</v>
      </c>
      <c r="N468" s="251">
        <f>IF(N$4&gt;DAY(EOMONTH(DATE($D$2,$B$2,1),0)),"",IFERROR(SUMIFS(DATA_GOC!$H:$H,DATA_GOC!$A:$A,"BOM",DATA_GOC!$D:$D,$B468,DATA_GOC!$E:$E,"Dầu số",DATA_GOC!$F:$F,"Xuất nội bộ từ téc",DATA_GOC!$B:$B,DATE($D$2,$B$2,N$4)),0))</f>
        <v>0</v>
      </c>
      <c r="O468" s="251">
        <f>IF(O$4&gt;DAY(EOMONTH(DATE($D$2,$B$2,1),0)),"",IFERROR(SUMIFS(DATA_GOC!$H:$H,DATA_GOC!$A:$A,"BOM",DATA_GOC!$D:$D,$B468,DATA_GOC!$E:$E,"Dầu số",DATA_GOC!$F:$F,"Xuất nội bộ từ téc",DATA_GOC!$B:$B,DATE($D$2,$B$2,O$4)),0))</f>
        <v>0</v>
      </c>
      <c r="P468" s="251">
        <f>IF(P$4&gt;DAY(EOMONTH(DATE($D$2,$B$2,1),0)),"",IFERROR(SUMIFS(DATA_GOC!$H:$H,DATA_GOC!$A:$A,"BOM",DATA_GOC!$D:$D,$B468,DATA_GOC!$E:$E,"Dầu số",DATA_GOC!$F:$F,"Xuất nội bộ từ téc",DATA_GOC!$B:$B,DATE($D$2,$B$2,P$4)),0))</f>
        <v>0</v>
      </c>
      <c r="Q468" s="251">
        <f>IF(Q$4&gt;DAY(EOMONTH(DATE($D$2,$B$2,1),0)),"",IFERROR(SUMIFS(DATA_GOC!$H:$H,DATA_GOC!$A:$A,"BOM",DATA_GOC!$D:$D,$B468,DATA_GOC!$E:$E,"Dầu số",DATA_GOC!$F:$F,"Xuất nội bộ từ téc",DATA_GOC!$B:$B,DATE($D$2,$B$2,Q$4)),0))</f>
        <v>0</v>
      </c>
      <c r="R468" s="251">
        <f>IF(R$4&gt;DAY(EOMONTH(DATE($D$2,$B$2,1),0)),"",IFERROR(SUMIFS(DATA_GOC!$H:$H,DATA_GOC!$A:$A,"BOM",DATA_GOC!$D:$D,$B468,DATA_GOC!$E:$E,"Dầu số",DATA_GOC!$F:$F,"Xuất nội bộ từ téc",DATA_GOC!$B:$B,DATE($D$2,$B$2,R$4)),0))</f>
        <v>0</v>
      </c>
      <c r="S468" s="251">
        <f>IF(S$4&gt;DAY(EOMONTH(DATE($D$2,$B$2,1),0)),"",IFERROR(SUMIFS(DATA_GOC!$H:$H,DATA_GOC!$A:$A,"BOM",DATA_GOC!$D:$D,$B468,DATA_GOC!$E:$E,"Dầu số",DATA_GOC!$F:$F,"Xuất nội bộ từ téc",DATA_GOC!$B:$B,DATE($D$2,$B$2,S$4)),0))</f>
        <v>0</v>
      </c>
      <c r="T468" s="251">
        <f>IF(T$4&gt;DAY(EOMONTH(DATE($D$2,$B$2,1),0)),"",IFERROR(SUMIFS(DATA_GOC!$H:$H,DATA_GOC!$A:$A,"BOM",DATA_GOC!$D:$D,$B468,DATA_GOC!$E:$E,"Dầu số",DATA_GOC!$F:$F,"Xuất nội bộ từ téc",DATA_GOC!$B:$B,DATE($D$2,$B$2,T$4)),0))</f>
        <v>0</v>
      </c>
      <c r="U468" s="251">
        <f>IF(U$4&gt;DAY(EOMONTH(DATE($D$2,$B$2,1),0)),"",IFERROR(SUMIFS(DATA_GOC!$H:$H,DATA_GOC!$A:$A,"BOM",DATA_GOC!$D:$D,$B468,DATA_GOC!$E:$E,"Dầu số",DATA_GOC!$F:$F,"Xuất nội bộ từ téc",DATA_GOC!$B:$B,DATE($D$2,$B$2,U$4)),0))</f>
        <v>0</v>
      </c>
      <c r="V468" s="251">
        <f>IF(V$4&gt;DAY(EOMONTH(DATE($D$2,$B$2,1),0)),"",IFERROR(SUMIFS(DATA_GOC!$H:$H,DATA_GOC!$A:$A,"BOM",DATA_GOC!$D:$D,$B468,DATA_GOC!$E:$E,"Dầu số",DATA_GOC!$F:$F,"Xuất nội bộ từ téc",DATA_GOC!$B:$B,DATE($D$2,$B$2,V$4)),0))</f>
        <v>0</v>
      </c>
      <c r="W468" s="251">
        <f>IF(W$4&gt;DAY(EOMONTH(DATE($D$2,$B$2,1),0)),"",IFERROR(SUMIFS(DATA_GOC!$H:$H,DATA_GOC!$A:$A,"BOM",DATA_GOC!$D:$D,$B468,DATA_GOC!$E:$E,"Dầu số",DATA_GOC!$F:$F,"Xuất nội bộ từ téc",DATA_GOC!$B:$B,DATE($D$2,$B$2,W$4)),0))</f>
        <v>0</v>
      </c>
      <c r="X468" s="251">
        <f>IF(X$4&gt;DAY(EOMONTH(DATE($D$2,$B$2,1),0)),"",IFERROR(SUMIFS(DATA_GOC!$H:$H,DATA_GOC!$A:$A,"BOM",DATA_GOC!$D:$D,$B468,DATA_GOC!$E:$E,"Dầu số",DATA_GOC!$F:$F,"Xuất nội bộ từ téc",DATA_GOC!$B:$B,DATE($D$2,$B$2,X$4)),0))</f>
        <v>0</v>
      </c>
      <c r="Y468" s="251">
        <f>IF(Y$4&gt;DAY(EOMONTH(DATE($D$2,$B$2,1),0)),"",IFERROR(SUMIFS(DATA_GOC!$H:$H,DATA_GOC!$A:$A,"BOM",DATA_GOC!$D:$D,$B468,DATA_GOC!$E:$E,"Dầu số",DATA_GOC!$F:$F,"Xuất nội bộ từ téc",DATA_GOC!$B:$B,DATE($D$2,$B$2,Y$4)),0))</f>
        <v>0</v>
      </c>
      <c r="Z468" s="251">
        <f>IF(Z$4&gt;DAY(EOMONTH(DATE($D$2,$B$2,1),0)),"",IFERROR(SUMIFS(DATA_GOC!$H:$H,DATA_GOC!$A:$A,"BOM",DATA_GOC!$D:$D,$B468,DATA_GOC!$E:$E,"Dầu số",DATA_GOC!$F:$F,"Xuất nội bộ từ téc",DATA_GOC!$B:$B,DATE($D$2,$B$2,Z$4)),0))</f>
        <v>0</v>
      </c>
      <c r="AA468" s="251">
        <f>IF(AA$4&gt;DAY(EOMONTH(DATE($D$2,$B$2,1),0)),"",IFERROR(SUMIFS(DATA_GOC!$H:$H,DATA_GOC!$A:$A,"BOM",DATA_GOC!$D:$D,$B468,DATA_GOC!$E:$E,"Dầu số",DATA_GOC!$F:$F,"Xuất nội bộ từ téc",DATA_GOC!$B:$B,DATE($D$2,$B$2,AA$4)),0))</f>
        <v>0</v>
      </c>
      <c r="AB468" s="251">
        <f>IF(AB$4&gt;DAY(EOMONTH(DATE($D$2,$B$2,1),0)),"",IFERROR(SUMIFS(DATA_GOC!$H:$H,DATA_GOC!$A:$A,"BOM",DATA_GOC!$D:$D,$B468,DATA_GOC!$E:$E,"Dầu số",DATA_GOC!$F:$F,"Xuất nội bộ từ téc",DATA_GOC!$B:$B,DATE($D$2,$B$2,AB$4)),0))</f>
        <v>0</v>
      </c>
      <c r="AC468" s="251">
        <f>IF(AC$4&gt;DAY(EOMONTH(DATE($D$2,$B$2,1),0)),"",IFERROR(SUMIFS(DATA_GOC!$H:$H,DATA_GOC!$A:$A,"BOM",DATA_GOC!$D:$D,$B468,DATA_GOC!$E:$E,"Dầu số",DATA_GOC!$F:$F,"Xuất nội bộ từ téc",DATA_GOC!$B:$B,DATE($D$2,$B$2,AC$4)),0))</f>
        <v>0</v>
      </c>
      <c r="AD468" s="251">
        <f>IF(AD$4&gt;DAY(EOMONTH(DATE($D$2,$B$2,1),0)),"",IFERROR(SUMIFS(DATA_GOC!$H:$H,DATA_GOC!$A:$A,"BOM",DATA_GOC!$D:$D,$B468,DATA_GOC!$E:$E,"Dầu số",DATA_GOC!$F:$F,"Xuất nội bộ từ téc",DATA_GOC!$B:$B,DATE($D$2,$B$2,AD$4)),0))</f>
        <v>0</v>
      </c>
      <c r="AE468" s="251">
        <f>IF(AE$4&gt;DAY(EOMONTH(DATE($D$2,$B$2,1),0)),"",IFERROR(SUMIFS(DATA_GOC!$H:$H,DATA_GOC!$A:$A,"BOM",DATA_GOC!$D:$D,$B468,DATA_GOC!$E:$E,"Dầu số",DATA_GOC!$F:$F,"Xuất nội bộ từ téc",DATA_GOC!$B:$B,DATE($D$2,$B$2,AE$4)),0))</f>
        <v>0</v>
      </c>
      <c r="AF468" s="251">
        <f>IF(AF$4&gt;DAY(EOMONTH(DATE($D$2,$B$2,1),0)),"",IFERROR(SUMIFS(DATA_GOC!$H:$H,DATA_GOC!$A:$A,"BOM",DATA_GOC!$D:$D,$B468,DATA_GOC!$E:$E,"Dầu số",DATA_GOC!$F:$F,"Xuất nội bộ từ téc",DATA_GOC!$B:$B,DATE($D$2,$B$2,AF$4)),0))</f>
        <v>0</v>
      </c>
      <c r="AG468" s="251">
        <f>IF(AG$4&gt;DAY(EOMONTH(DATE($D$2,$B$2,1),0)),"",IFERROR(SUMIFS(DATA_GOC!$H:$H,DATA_GOC!$A:$A,"BOM",DATA_GOC!$D:$D,$B468,DATA_GOC!$E:$E,"Dầu số",DATA_GOC!$F:$F,"Xuất nội bộ từ téc",DATA_GOC!$B:$B,DATE($D$2,$B$2,AG$4)),0))</f>
        <v>0</v>
      </c>
      <c r="AH468" s="252">
        <f t="shared" si="22"/>
        <v>0</v>
      </c>
      <c r="AI468" s="241"/>
      <c r="AJ468" s="242">
        <f>IF($B468="","",SUMIFS(TINH_TEC!$K$233:$K$9232,TINH_TEC!$H$233:$H$9232,$B468,TINH_TEC!$C$233:$C$9232,"Dầu số",TINH_TEC!$F$233:$F$9232,$B$2,TINH_TEC!$G$233:$G$9232,$D$2,TINH_TEC!$B$233:$B$9232,"Đã chốt"))</f>
        <v>0</v>
      </c>
      <c r="AK468" s="242">
        <f>IF($B468="","",SUMIFS(TINH_TEC!$J$233:$J$9232,TINH_TEC!$H$233:$H$9232,$B468,TINH_TEC!$C$233:$C$9232,"Dầu số",TINH_TEC!$F$233:$F$9232,$B$2,TINH_TEC!$G$233:$G$9232,$D$2,TINH_TEC!$B$233:$B$9232,"Đã chốt"))</f>
        <v>0</v>
      </c>
      <c r="AL468" s="242">
        <f t="shared" si="23"/>
        <v>0</v>
      </c>
    </row>
    <row r="469" ht="15.75" customHeight="1">
      <c r="A469" s="237">
        <f>IF($B469&lt;&gt;"",37,"")</f>
        <v>37</v>
      </c>
      <c r="B469" s="250" t="str">
        <f t="array" ref="B469">IFERROR(INDEX(DANH_MUC!$E:$E,40),"")</f>
        <v>28H00669</v>
      </c>
      <c r="C469" s="251">
        <f>IF(C$4&gt;DAY(EOMONTH(DATE($D$2,$B$2,1),0)),"",IFERROR(SUMIFS(DATA_GOC!$H:$H,DATA_GOC!$A:$A,"BOM",DATA_GOC!$D:$D,$B469,DATA_GOC!$E:$E,"Dầu số",DATA_GOC!$F:$F,"Xuất nội bộ từ téc",DATA_GOC!$B:$B,DATE($D$2,$B$2,C$4)),0))</f>
        <v>0</v>
      </c>
      <c r="D469" s="251">
        <f>IF(D$4&gt;DAY(EOMONTH(DATE($D$2,$B$2,1),0)),"",IFERROR(SUMIFS(DATA_GOC!$H:$H,DATA_GOC!$A:$A,"BOM",DATA_GOC!$D:$D,$B469,DATA_GOC!$E:$E,"Dầu số",DATA_GOC!$F:$F,"Xuất nội bộ từ téc",DATA_GOC!$B:$B,DATE($D$2,$B$2,D$4)),0))</f>
        <v>0</v>
      </c>
      <c r="E469" s="251">
        <f>IF(E$4&gt;DAY(EOMONTH(DATE($D$2,$B$2,1),0)),"",IFERROR(SUMIFS(DATA_GOC!$H:$H,DATA_GOC!$A:$A,"BOM",DATA_GOC!$D:$D,$B469,DATA_GOC!$E:$E,"Dầu số",DATA_GOC!$F:$F,"Xuất nội bộ từ téc",DATA_GOC!$B:$B,DATE($D$2,$B$2,E$4)),0))</f>
        <v>0</v>
      </c>
      <c r="F469" s="251">
        <f>IF(F$4&gt;DAY(EOMONTH(DATE($D$2,$B$2,1),0)),"",IFERROR(SUMIFS(DATA_GOC!$H:$H,DATA_GOC!$A:$A,"BOM",DATA_GOC!$D:$D,$B469,DATA_GOC!$E:$E,"Dầu số",DATA_GOC!$F:$F,"Xuất nội bộ từ téc",DATA_GOC!$B:$B,DATE($D$2,$B$2,F$4)),0))</f>
        <v>0</v>
      </c>
      <c r="G469" s="251">
        <f>IF(G$4&gt;DAY(EOMONTH(DATE($D$2,$B$2,1),0)),"",IFERROR(SUMIFS(DATA_GOC!$H:$H,DATA_GOC!$A:$A,"BOM",DATA_GOC!$D:$D,$B469,DATA_GOC!$E:$E,"Dầu số",DATA_GOC!$F:$F,"Xuất nội bộ từ téc",DATA_GOC!$B:$B,DATE($D$2,$B$2,G$4)),0))</f>
        <v>0</v>
      </c>
      <c r="H469" s="251">
        <f>IF(H$4&gt;DAY(EOMONTH(DATE($D$2,$B$2,1),0)),"",IFERROR(SUMIFS(DATA_GOC!$H:$H,DATA_GOC!$A:$A,"BOM",DATA_GOC!$D:$D,$B469,DATA_GOC!$E:$E,"Dầu số",DATA_GOC!$F:$F,"Xuất nội bộ từ téc",DATA_GOC!$B:$B,DATE($D$2,$B$2,H$4)),0))</f>
        <v>0</v>
      </c>
      <c r="I469" s="251">
        <f>IF(I$4&gt;DAY(EOMONTH(DATE($D$2,$B$2,1),0)),"",IFERROR(SUMIFS(DATA_GOC!$H:$H,DATA_GOC!$A:$A,"BOM",DATA_GOC!$D:$D,$B469,DATA_GOC!$E:$E,"Dầu số",DATA_GOC!$F:$F,"Xuất nội bộ từ téc",DATA_GOC!$B:$B,DATE($D$2,$B$2,I$4)),0))</f>
        <v>0</v>
      </c>
      <c r="J469" s="251">
        <f>IF(J$4&gt;DAY(EOMONTH(DATE($D$2,$B$2,1),0)),"",IFERROR(SUMIFS(DATA_GOC!$H:$H,DATA_GOC!$A:$A,"BOM",DATA_GOC!$D:$D,$B469,DATA_GOC!$E:$E,"Dầu số",DATA_GOC!$F:$F,"Xuất nội bộ từ téc",DATA_GOC!$B:$B,DATE($D$2,$B$2,J$4)),0))</f>
        <v>0</v>
      </c>
      <c r="K469" s="251">
        <f>IF(K$4&gt;DAY(EOMONTH(DATE($D$2,$B$2,1),0)),"",IFERROR(SUMIFS(DATA_GOC!$H:$H,DATA_GOC!$A:$A,"BOM",DATA_GOC!$D:$D,$B469,DATA_GOC!$E:$E,"Dầu số",DATA_GOC!$F:$F,"Xuất nội bộ từ téc",DATA_GOC!$B:$B,DATE($D$2,$B$2,K$4)),0))</f>
        <v>0</v>
      </c>
      <c r="L469" s="251">
        <f>IF(L$4&gt;DAY(EOMONTH(DATE($D$2,$B$2,1),0)),"",IFERROR(SUMIFS(DATA_GOC!$H:$H,DATA_GOC!$A:$A,"BOM",DATA_GOC!$D:$D,$B469,DATA_GOC!$E:$E,"Dầu số",DATA_GOC!$F:$F,"Xuất nội bộ từ téc",DATA_GOC!$B:$B,DATE($D$2,$B$2,L$4)),0))</f>
        <v>0</v>
      </c>
      <c r="M469" s="251">
        <f>IF(M$4&gt;DAY(EOMONTH(DATE($D$2,$B$2,1),0)),"",IFERROR(SUMIFS(DATA_GOC!$H:$H,DATA_GOC!$A:$A,"BOM",DATA_GOC!$D:$D,$B469,DATA_GOC!$E:$E,"Dầu số",DATA_GOC!$F:$F,"Xuất nội bộ từ téc",DATA_GOC!$B:$B,DATE($D$2,$B$2,M$4)),0))</f>
        <v>0</v>
      </c>
      <c r="N469" s="251">
        <f>IF(N$4&gt;DAY(EOMONTH(DATE($D$2,$B$2,1),0)),"",IFERROR(SUMIFS(DATA_GOC!$H:$H,DATA_GOC!$A:$A,"BOM",DATA_GOC!$D:$D,$B469,DATA_GOC!$E:$E,"Dầu số",DATA_GOC!$F:$F,"Xuất nội bộ từ téc",DATA_GOC!$B:$B,DATE($D$2,$B$2,N$4)),0))</f>
        <v>0</v>
      </c>
      <c r="O469" s="251">
        <f>IF(O$4&gt;DAY(EOMONTH(DATE($D$2,$B$2,1),0)),"",IFERROR(SUMIFS(DATA_GOC!$H:$H,DATA_GOC!$A:$A,"BOM",DATA_GOC!$D:$D,$B469,DATA_GOC!$E:$E,"Dầu số",DATA_GOC!$F:$F,"Xuất nội bộ từ téc",DATA_GOC!$B:$B,DATE($D$2,$B$2,O$4)),0))</f>
        <v>0</v>
      </c>
      <c r="P469" s="251">
        <f>IF(P$4&gt;DAY(EOMONTH(DATE($D$2,$B$2,1),0)),"",IFERROR(SUMIFS(DATA_GOC!$H:$H,DATA_GOC!$A:$A,"BOM",DATA_GOC!$D:$D,$B469,DATA_GOC!$E:$E,"Dầu số",DATA_GOC!$F:$F,"Xuất nội bộ từ téc",DATA_GOC!$B:$B,DATE($D$2,$B$2,P$4)),0))</f>
        <v>0</v>
      </c>
      <c r="Q469" s="251">
        <f>IF(Q$4&gt;DAY(EOMONTH(DATE($D$2,$B$2,1),0)),"",IFERROR(SUMIFS(DATA_GOC!$H:$H,DATA_GOC!$A:$A,"BOM",DATA_GOC!$D:$D,$B469,DATA_GOC!$E:$E,"Dầu số",DATA_GOC!$F:$F,"Xuất nội bộ từ téc",DATA_GOC!$B:$B,DATE($D$2,$B$2,Q$4)),0))</f>
        <v>0</v>
      </c>
      <c r="R469" s="251">
        <f>IF(R$4&gt;DAY(EOMONTH(DATE($D$2,$B$2,1),0)),"",IFERROR(SUMIFS(DATA_GOC!$H:$H,DATA_GOC!$A:$A,"BOM",DATA_GOC!$D:$D,$B469,DATA_GOC!$E:$E,"Dầu số",DATA_GOC!$F:$F,"Xuất nội bộ từ téc",DATA_GOC!$B:$B,DATE($D$2,$B$2,R$4)),0))</f>
        <v>0</v>
      </c>
      <c r="S469" s="251">
        <f>IF(S$4&gt;DAY(EOMONTH(DATE($D$2,$B$2,1),0)),"",IFERROR(SUMIFS(DATA_GOC!$H:$H,DATA_GOC!$A:$A,"BOM",DATA_GOC!$D:$D,$B469,DATA_GOC!$E:$E,"Dầu số",DATA_GOC!$F:$F,"Xuất nội bộ từ téc",DATA_GOC!$B:$B,DATE($D$2,$B$2,S$4)),0))</f>
        <v>0</v>
      </c>
      <c r="T469" s="251">
        <f>IF(T$4&gt;DAY(EOMONTH(DATE($D$2,$B$2,1),0)),"",IFERROR(SUMIFS(DATA_GOC!$H:$H,DATA_GOC!$A:$A,"BOM",DATA_GOC!$D:$D,$B469,DATA_GOC!$E:$E,"Dầu số",DATA_GOC!$F:$F,"Xuất nội bộ từ téc",DATA_GOC!$B:$B,DATE($D$2,$B$2,T$4)),0))</f>
        <v>0</v>
      </c>
      <c r="U469" s="251">
        <f>IF(U$4&gt;DAY(EOMONTH(DATE($D$2,$B$2,1),0)),"",IFERROR(SUMIFS(DATA_GOC!$H:$H,DATA_GOC!$A:$A,"BOM",DATA_GOC!$D:$D,$B469,DATA_GOC!$E:$E,"Dầu số",DATA_GOC!$F:$F,"Xuất nội bộ từ téc",DATA_GOC!$B:$B,DATE($D$2,$B$2,U$4)),0))</f>
        <v>0</v>
      </c>
      <c r="V469" s="251">
        <f>IF(V$4&gt;DAY(EOMONTH(DATE($D$2,$B$2,1),0)),"",IFERROR(SUMIFS(DATA_GOC!$H:$H,DATA_GOC!$A:$A,"BOM",DATA_GOC!$D:$D,$B469,DATA_GOC!$E:$E,"Dầu số",DATA_GOC!$F:$F,"Xuất nội bộ từ téc",DATA_GOC!$B:$B,DATE($D$2,$B$2,V$4)),0))</f>
        <v>0</v>
      </c>
      <c r="W469" s="251">
        <f>IF(W$4&gt;DAY(EOMONTH(DATE($D$2,$B$2,1),0)),"",IFERROR(SUMIFS(DATA_GOC!$H:$H,DATA_GOC!$A:$A,"BOM",DATA_GOC!$D:$D,$B469,DATA_GOC!$E:$E,"Dầu số",DATA_GOC!$F:$F,"Xuất nội bộ từ téc",DATA_GOC!$B:$B,DATE($D$2,$B$2,W$4)),0))</f>
        <v>0</v>
      </c>
      <c r="X469" s="251">
        <f>IF(X$4&gt;DAY(EOMONTH(DATE($D$2,$B$2,1),0)),"",IFERROR(SUMIFS(DATA_GOC!$H:$H,DATA_GOC!$A:$A,"BOM",DATA_GOC!$D:$D,$B469,DATA_GOC!$E:$E,"Dầu số",DATA_GOC!$F:$F,"Xuất nội bộ từ téc",DATA_GOC!$B:$B,DATE($D$2,$B$2,X$4)),0))</f>
        <v>0</v>
      </c>
      <c r="Y469" s="251">
        <f>IF(Y$4&gt;DAY(EOMONTH(DATE($D$2,$B$2,1),0)),"",IFERROR(SUMIFS(DATA_GOC!$H:$H,DATA_GOC!$A:$A,"BOM",DATA_GOC!$D:$D,$B469,DATA_GOC!$E:$E,"Dầu số",DATA_GOC!$F:$F,"Xuất nội bộ từ téc",DATA_GOC!$B:$B,DATE($D$2,$B$2,Y$4)),0))</f>
        <v>0</v>
      </c>
      <c r="Z469" s="251">
        <f>IF(Z$4&gt;DAY(EOMONTH(DATE($D$2,$B$2,1),0)),"",IFERROR(SUMIFS(DATA_GOC!$H:$H,DATA_GOC!$A:$A,"BOM",DATA_GOC!$D:$D,$B469,DATA_GOC!$E:$E,"Dầu số",DATA_GOC!$F:$F,"Xuất nội bộ từ téc",DATA_GOC!$B:$B,DATE($D$2,$B$2,Z$4)),0))</f>
        <v>0</v>
      </c>
      <c r="AA469" s="251">
        <f>IF(AA$4&gt;DAY(EOMONTH(DATE($D$2,$B$2,1),0)),"",IFERROR(SUMIFS(DATA_GOC!$H:$H,DATA_GOC!$A:$A,"BOM",DATA_GOC!$D:$D,$B469,DATA_GOC!$E:$E,"Dầu số",DATA_GOC!$F:$F,"Xuất nội bộ từ téc",DATA_GOC!$B:$B,DATE($D$2,$B$2,AA$4)),0))</f>
        <v>0</v>
      </c>
      <c r="AB469" s="251">
        <f>IF(AB$4&gt;DAY(EOMONTH(DATE($D$2,$B$2,1),0)),"",IFERROR(SUMIFS(DATA_GOC!$H:$H,DATA_GOC!$A:$A,"BOM",DATA_GOC!$D:$D,$B469,DATA_GOC!$E:$E,"Dầu số",DATA_GOC!$F:$F,"Xuất nội bộ từ téc",DATA_GOC!$B:$B,DATE($D$2,$B$2,AB$4)),0))</f>
        <v>0</v>
      </c>
      <c r="AC469" s="251">
        <f>IF(AC$4&gt;DAY(EOMONTH(DATE($D$2,$B$2,1),0)),"",IFERROR(SUMIFS(DATA_GOC!$H:$H,DATA_GOC!$A:$A,"BOM",DATA_GOC!$D:$D,$B469,DATA_GOC!$E:$E,"Dầu số",DATA_GOC!$F:$F,"Xuất nội bộ từ téc",DATA_GOC!$B:$B,DATE($D$2,$B$2,AC$4)),0))</f>
        <v>0</v>
      </c>
      <c r="AD469" s="251">
        <f>IF(AD$4&gt;DAY(EOMONTH(DATE($D$2,$B$2,1),0)),"",IFERROR(SUMIFS(DATA_GOC!$H:$H,DATA_GOC!$A:$A,"BOM",DATA_GOC!$D:$D,$B469,DATA_GOC!$E:$E,"Dầu số",DATA_GOC!$F:$F,"Xuất nội bộ từ téc",DATA_GOC!$B:$B,DATE($D$2,$B$2,AD$4)),0))</f>
        <v>0</v>
      </c>
      <c r="AE469" s="251">
        <f>IF(AE$4&gt;DAY(EOMONTH(DATE($D$2,$B$2,1),0)),"",IFERROR(SUMIFS(DATA_GOC!$H:$H,DATA_GOC!$A:$A,"BOM",DATA_GOC!$D:$D,$B469,DATA_GOC!$E:$E,"Dầu số",DATA_GOC!$F:$F,"Xuất nội bộ từ téc",DATA_GOC!$B:$B,DATE($D$2,$B$2,AE$4)),0))</f>
        <v>0</v>
      </c>
      <c r="AF469" s="251">
        <f>IF(AF$4&gt;DAY(EOMONTH(DATE($D$2,$B$2,1),0)),"",IFERROR(SUMIFS(DATA_GOC!$H:$H,DATA_GOC!$A:$A,"BOM",DATA_GOC!$D:$D,$B469,DATA_GOC!$E:$E,"Dầu số",DATA_GOC!$F:$F,"Xuất nội bộ từ téc",DATA_GOC!$B:$B,DATE($D$2,$B$2,AF$4)),0))</f>
        <v>0</v>
      </c>
      <c r="AG469" s="251">
        <f>IF(AG$4&gt;DAY(EOMONTH(DATE($D$2,$B$2,1),0)),"",IFERROR(SUMIFS(DATA_GOC!$H:$H,DATA_GOC!$A:$A,"BOM",DATA_GOC!$D:$D,$B469,DATA_GOC!$E:$E,"Dầu số",DATA_GOC!$F:$F,"Xuất nội bộ từ téc",DATA_GOC!$B:$B,DATE($D$2,$B$2,AG$4)),0))</f>
        <v>0</v>
      </c>
      <c r="AH469" s="252">
        <f t="shared" si="22"/>
        <v>0</v>
      </c>
      <c r="AI469" s="241"/>
      <c r="AJ469" s="242">
        <f>IF($B469="","",SUMIFS(TINH_TEC!$K$233:$K$9232,TINH_TEC!$H$233:$H$9232,$B469,TINH_TEC!$C$233:$C$9232,"Dầu số",TINH_TEC!$F$233:$F$9232,$B$2,TINH_TEC!$G$233:$G$9232,$D$2,TINH_TEC!$B$233:$B$9232,"Đã chốt"))</f>
        <v>0</v>
      </c>
      <c r="AK469" s="242">
        <f>IF($B469="","",SUMIFS(TINH_TEC!$J$233:$J$9232,TINH_TEC!$H$233:$H$9232,$B469,TINH_TEC!$C$233:$C$9232,"Dầu số",TINH_TEC!$F$233:$F$9232,$B$2,TINH_TEC!$G$233:$G$9232,$D$2,TINH_TEC!$B$233:$B$9232,"Đã chốt"))</f>
        <v>0</v>
      </c>
      <c r="AL469" s="242">
        <f t="shared" si="23"/>
        <v>0</v>
      </c>
    </row>
    <row r="470" ht="15.75" customHeight="1">
      <c r="A470" s="237">
        <f>IF($B470&lt;&gt;"",38,"")</f>
        <v>38</v>
      </c>
      <c r="B470" s="250" t="str">
        <f t="array" ref="B470">IFERROR(INDEX(DANH_MUC!$E:$E,41),"")</f>
        <v>28H00680</v>
      </c>
      <c r="C470" s="251">
        <f>IF(C$4&gt;DAY(EOMONTH(DATE($D$2,$B$2,1),0)),"",IFERROR(SUMIFS(DATA_GOC!$H:$H,DATA_GOC!$A:$A,"BOM",DATA_GOC!$D:$D,$B470,DATA_GOC!$E:$E,"Dầu số",DATA_GOC!$F:$F,"Xuất nội bộ từ téc",DATA_GOC!$B:$B,DATE($D$2,$B$2,C$4)),0))</f>
        <v>0</v>
      </c>
      <c r="D470" s="251">
        <f>IF(D$4&gt;DAY(EOMONTH(DATE($D$2,$B$2,1),0)),"",IFERROR(SUMIFS(DATA_GOC!$H:$H,DATA_GOC!$A:$A,"BOM",DATA_GOC!$D:$D,$B470,DATA_GOC!$E:$E,"Dầu số",DATA_GOC!$F:$F,"Xuất nội bộ từ téc",DATA_GOC!$B:$B,DATE($D$2,$B$2,D$4)),0))</f>
        <v>0</v>
      </c>
      <c r="E470" s="251">
        <f>IF(E$4&gt;DAY(EOMONTH(DATE($D$2,$B$2,1),0)),"",IFERROR(SUMIFS(DATA_GOC!$H:$H,DATA_GOC!$A:$A,"BOM",DATA_GOC!$D:$D,$B470,DATA_GOC!$E:$E,"Dầu số",DATA_GOC!$F:$F,"Xuất nội bộ từ téc",DATA_GOC!$B:$B,DATE($D$2,$B$2,E$4)),0))</f>
        <v>0</v>
      </c>
      <c r="F470" s="251">
        <f>IF(F$4&gt;DAY(EOMONTH(DATE($D$2,$B$2,1),0)),"",IFERROR(SUMIFS(DATA_GOC!$H:$H,DATA_GOC!$A:$A,"BOM",DATA_GOC!$D:$D,$B470,DATA_GOC!$E:$E,"Dầu số",DATA_GOC!$F:$F,"Xuất nội bộ từ téc",DATA_GOC!$B:$B,DATE($D$2,$B$2,F$4)),0))</f>
        <v>0</v>
      </c>
      <c r="G470" s="251">
        <f>IF(G$4&gt;DAY(EOMONTH(DATE($D$2,$B$2,1),0)),"",IFERROR(SUMIFS(DATA_GOC!$H:$H,DATA_GOC!$A:$A,"BOM",DATA_GOC!$D:$D,$B470,DATA_GOC!$E:$E,"Dầu số",DATA_GOC!$F:$F,"Xuất nội bộ từ téc",DATA_GOC!$B:$B,DATE($D$2,$B$2,G$4)),0))</f>
        <v>0</v>
      </c>
      <c r="H470" s="251">
        <f>IF(H$4&gt;DAY(EOMONTH(DATE($D$2,$B$2,1),0)),"",IFERROR(SUMIFS(DATA_GOC!$H:$H,DATA_GOC!$A:$A,"BOM",DATA_GOC!$D:$D,$B470,DATA_GOC!$E:$E,"Dầu số",DATA_GOC!$F:$F,"Xuất nội bộ từ téc",DATA_GOC!$B:$B,DATE($D$2,$B$2,H$4)),0))</f>
        <v>0</v>
      </c>
      <c r="I470" s="251">
        <f>IF(I$4&gt;DAY(EOMONTH(DATE($D$2,$B$2,1),0)),"",IFERROR(SUMIFS(DATA_GOC!$H:$H,DATA_GOC!$A:$A,"BOM",DATA_GOC!$D:$D,$B470,DATA_GOC!$E:$E,"Dầu số",DATA_GOC!$F:$F,"Xuất nội bộ từ téc",DATA_GOC!$B:$B,DATE($D$2,$B$2,I$4)),0))</f>
        <v>0</v>
      </c>
      <c r="J470" s="251">
        <f>IF(J$4&gt;DAY(EOMONTH(DATE($D$2,$B$2,1),0)),"",IFERROR(SUMIFS(DATA_GOC!$H:$H,DATA_GOC!$A:$A,"BOM",DATA_GOC!$D:$D,$B470,DATA_GOC!$E:$E,"Dầu số",DATA_GOC!$F:$F,"Xuất nội bộ từ téc",DATA_GOC!$B:$B,DATE($D$2,$B$2,J$4)),0))</f>
        <v>0</v>
      </c>
      <c r="K470" s="251">
        <f>IF(K$4&gt;DAY(EOMONTH(DATE($D$2,$B$2,1),0)),"",IFERROR(SUMIFS(DATA_GOC!$H:$H,DATA_GOC!$A:$A,"BOM",DATA_GOC!$D:$D,$B470,DATA_GOC!$E:$E,"Dầu số",DATA_GOC!$F:$F,"Xuất nội bộ từ téc",DATA_GOC!$B:$B,DATE($D$2,$B$2,K$4)),0))</f>
        <v>0</v>
      </c>
      <c r="L470" s="251">
        <f>IF(L$4&gt;DAY(EOMONTH(DATE($D$2,$B$2,1),0)),"",IFERROR(SUMIFS(DATA_GOC!$H:$H,DATA_GOC!$A:$A,"BOM",DATA_GOC!$D:$D,$B470,DATA_GOC!$E:$E,"Dầu số",DATA_GOC!$F:$F,"Xuất nội bộ từ téc",DATA_GOC!$B:$B,DATE($D$2,$B$2,L$4)),0))</f>
        <v>0</v>
      </c>
      <c r="M470" s="251">
        <f>IF(M$4&gt;DAY(EOMONTH(DATE($D$2,$B$2,1),0)),"",IFERROR(SUMIFS(DATA_GOC!$H:$H,DATA_GOC!$A:$A,"BOM",DATA_GOC!$D:$D,$B470,DATA_GOC!$E:$E,"Dầu số",DATA_GOC!$F:$F,"Xuất nội bộ từ téc",DATA_GOC!$B:$B,DATE($D$2,$B$2,M$4)),0))</f>
        <v>0</v>
      </c>
      <c r="N470" s="251">
        <f>IF(N$4&gt;DAY(EOMONTH(DATE($D$2,$B$2,1),0)),"",IFERROR(SUMIFS(DATA_GOC!$H:$H,DATA_GOC!$A:$A,"BOM",DATA_GOC!$D:$D,$B470,DATA_GOC!$E:$E,"Dầu số",DATA_GOC!$F:$F,"Xuất nội bộ từ téc",DATA_GOC!$B:$B,DATE($D$2,$B$2,N$4)),0))</f>
        <v>0</v>
      </c>
      <c r="O470" s="251">
        <f>IF(O$4&gt;DAY(EOMONTH(DATE($D$2,$B$2,1),0)),"",IFERROR(SUMIFS(DATA_GOC!$H:$H,DATA_GOC!$A:$A,"BOM",DATA_GOC!$D:$D,$B470,DATA_GOC!$E:$E,"Dầu số",DATA_GOC!$F:$F,"Xuất nội bộ từ téc",DATA_GOC!$B:$B,DATE($D$2,$B$2,O$4)),0))</f>
        <v>0</v>
      </c>
      <c r="P470" s="251">
        <f>IF(P$4&gt;DAY(EOMONTH(DATE($D$2,$B$2,1),0)),"",IFERROR(SUMIFS(DATA_GOC!$H:$H,DATA_GOC!$A:$A,"BOM",DATA_GOC!$D:$D,$B470,DATA_GOC!$E:$E,"Dầu số",DATA_GOC!$F:$F,"Xuất nội bộ từ téc",DATA_GOC!$B:$B,DATE($D$2,$B$2,P$4)),0))</f>
        <v>0</v>
      </c>
      <c r="Q470" s="251">
        <f>IF(Q$4&gt;DAY(EOMONTH(DATE($D$2,$B$2,1),0)),"",IFERROR(SUMIFS(DATA_GOC!$H:$H,DATA_GOC!$A:$A,"BOM",DATA_GOC!$D:$D,$B470,DATA_GOC!$E:$E,"Dầu số",DATA_GOC!$F:$F,"Xuất nội bộ từ téc",DATA_GOC!$B:$B,DATE($D$2,$B$2,Q$4)),0))</f>
        <v>0</v>
      </c>
      <c r="R470" s="251">
        <f>IF(R$4&gt;DAY(EOMONTH(DATE($D$2,$B$2,1),0)),"",IFERROR(SUMIFS(DATA_GOC!$H:$H,DATA_GOC!$A:$A,"BOM",DATA_GOC!$D:$D,$B470,DATA_GOC!$E:$E,"Dầu số",DATA_GOC!$F:$F,"Xuất nội bộ từ téc",DATA_GOC!$B:$B,DATE($D$2,$B$2,R$4)),0))</f>
        <v>0</v>
      </c>
      <c r="S470" s="251">
        <f>IF(S$4&gt;DAY(EOMONTH(DATE($D$2,$B$2,1),0)),"",IFERROR(SUMIFS(DATA_GOC!$H:$H,DATA_GOC!$A:$A,"BOM",DATA_GOC!$D:$D,$B470,DATA_GOC!$E:$E,"Dầu số",DATA_GOC!$F:$F,"Xuất nội bộ từ téc",DATA_GOC!$B:$B,DATE($D$2,$B$2,S$4)),0))</f>
        <v>0</v>
      </c>
      <c r="T470" s="251">
        <f>IF(T$4&gt;DAY(EOMONTH(DATE($D$2,$B$2,1),0)),"",IFERROR(SUMIFS(DATA_GOC!$H:$H,DATA_GOC!$A:$A,"BOM",DATA_GOC!$D:$D,$B470,DATA_GOC!$E:$E,"Dầu số",DATA_GOC!$F:$F,"Xuất nội bộ từ téc",DATA_GOC!$B:$B,DATE($D$2,$B$2,T$4)),0))</f>
        <v>0</v>
      </c>
      <c r="U470" s="251">
        <f>IF(U$4&gt;DAY(EOMONTH(DATE($D$2,$B$2,1),0)),"",IFERROR(SUMIFS(DATA_GOC!$H:$H,DATA_GOC!$A:$A,"BOM",DATA_GOC!$D:$D,$B470,DATA_GOC!$E:$E,"Dầu số",DATA_GOC!$F:$F,"Xuất nội bộ từ téc",DATA_GOC!$B:$B,DATE($D$2,$B$2,U$4)),0))</f>
        <v>0</v>
      </c>
      <c r="V470" s="251">
        <f>IF(V$4&gt;DAY(EOMONTH(DATE($D$2,$B$2,1),0)),"",IFERROR(SUMIFS(DATA_GOC!$H:$H,DATA_GOC!$A:$A,"BOM",DATA_GOC!$D:$D,$B470,DATA_GOC!$E:$E,"Dầu số",DATA_GOC!$F:$F,"Xuất nội bộ từ téc",DATA_GOC!$B:$B,DATE($D$2,$B$2,V$4)),0))</f>
        <v>0</v>
      </c>
      <c r="W470" s="251">
        <f>IF(W$4&gt;DAY(EOMONTH(DATE($D$2,$B$2,1),0)),"",IFERROR(SUMIFS(DATA_GOC!$H:$H,DATA_GOC!$A:$A,"BOM",DATA_GOC!$D:$D,$B470,DATA_GOC!$E:$E,"Dầu số",DATA_GOC!$F:$F,"Xuất nội bộ từ téc",DATA_GOC!$B:$B,DATE($D$2,$B$2,W$4)),0))</f>
        <v>0</v>
      </c>
      <c r="X470" s="251">
        <f>IF(X$4&gt;DAY(EOMONTH(DATE($D$2,$B$2,1),0)),"",IFERROR(SUMIFS(DATA_GOC!$H:$H,DATA_GOC!$A:$A,"BOM",DATA_GOC!$D:$D,$B470,DATA_GOC!$E:$E,"Dầu số",DATA_GOC!$F:$F,"Xuất nội bộ từ téc",DATA_GOC!$B:$B,DATE($D$2,$B$2,X$4)),0))</f>
        <v>0</v>
      </c>
      <c r="Y470" s="251">
        <f>IF(Y$4&gt;DAY(EOMONTH(DATE($D$2,$B$2,1),0)),"",IFERROR(SUMIFS(DATA_GOC!$H:$H,DATA_GOC!$A:$A,"BOM",DATA_GOC!$D:$D,$B470,DATA_GOC!$E:$E,"Dầu số",DATA_GOC!$F:$F,"Xuất nội bộ từ téc",DATA_GOC!$B:$B,DATE($D$2,$B$2,Y$4)),0))</f>
        <v>0</v>
      </c>
      <c r="Z470" s="251">
        <f>IF(Z$4&gt;DAY(EOMONTH(DATE($D$2,$B$2,1),0)),"",IFERROR(SUMIFS(DATA_GOC!$H:$H,DATA_GOC!$A:$A,"BOM",DATA_GOC!$D:$D,$B470,DATA_GOC!$E:$E,"Dầu số",DATA_GOC!$F:$F,"Xuất nội bộ từ téc",DATA_GOC!$B:$B,DATE($D$2,$B$2,Z$4)),0))</f>
        <v>0</v>
      </c>
      <c r="AA470" s="251">
        <f>IF(AA$4&gt;DAY(EOMONTH(DATE($D$2,$B$2,1),0)),"",IFERROR(SUMIFS(DATA_GOC!$H:$H,DATA_GOC!$A:$A,"BOM",DATA_GOC!$D:$D,$B470,DATA_GOC!$E:$E,"Dầu số",DATA_GOC!$F:$F,"Xuất nội bộ từ téc",DATA_GOC!$B:$B,DATE($D$2,$B$2,AA$4)),0))</f>
        <v>0</v>
      </c>
      <c r="AB470" s="251">
        <f>IF(AB$4&gt;DAY(EOMONTH(DATE($D$2,$B$2,1),0)),"",IFERROR(SUMIFS(DATA_GOC!$H:$H,DATA_GOC!$A:$A,"BOM",DATA_GOC!$D:$D,$B470,DATA_GOC!$E:$E,"Dầu số",DATA_GOC!$F:$F,"Xuất nội bộ từ téc",DATA_GOC!$B:$B,DATE($D$2,$B$2,AB$4)),0))</f>
        <v>0</v>
      </c>
      <c r="AC470" s="251">
        <f>IF(AC$4&gt;DAY(EOMONTH(DATE($D$2,$B$2,1),0)),"",IFERROR(SUMIFS(DATA_GOC!$H:$H,DATA_GOC!$A:$A,"BOM",DATA_GOC!$D:$D,$B470,DATA_GOC!$E:$E,"Dầu số",DATA_GOC!$F:$F,"Xuất nội bộ từ téc",DATA_GOC!$B:$B,DATE($D$2,$B$2,AC$4)),0))</f>
        <v>0</v>
      </c>
      <c r="AD470" s="251">
        <f>IF(AD$4&gt;DAY(EOMONTH(DATE($D$2,$B$2,1),0)),"",IFERROR(SUMIFS(DATA_GOC!$H:$H,DATA_GOC!$A:$A,"BOM",DATA_GOC!$D:$D,$B470,DATA_GOC!$E:$E,"Dầu số",DATA_GOC!$F:$F,"Xuất nội bộ từ téc",DATA_GOC!$B:$B,DATE($D$2,$B$2,AD$4)),0))</f>
        <v>0</v>
      </c>
      <c r="AE470" s="251">
        <f>IF(AE$4&gt;DAY(EOMONTH(DATE($D$2,$B$2,1),0)),"",IFERROR(SUMIFS(DATA_GOC!$H:$H,DATA_GOC!$A:$A,"BOM",DATA_GOC!$D:$D,$B470,DATA_GOC!$E:$E,"Dầu số",DATA_GOC!$F:$F,"Xuất nội bộ từ téc",DATA_GOC!$B:$B,DATE($D$2,$B$2,AE$4)),0))</f>
        <v>0</v>
      </c>
      <c r="AF470" s="251">
        <f>IF(AF$4&gt;DAY(EOMONTH(DATE($D$2,$B$2,1),0)),"",IFERROR(SUMIFS(DATA_GOC!$H:$H,DATA_GOC!$A:$A,"BOM",DATA_GOC!$D:$D,$B470,DATA_GOC!$E:$E,"Dầu số",DATA_GOC!$F:$F,"Xuất nội bộ từ téc",DATA_GOC!$B:$B,DATE($D$2,$B$2,AF$4)),0))</f>
        <v>0</v>
      </c>
      <c r="AG470" s="251">
        <f>IF(AG$4&gt;DAY(EOMONTH(DATE($D$2,$B$2,1),0)),"",IFERROR(SUMIFS(DATA_GOC!$H:$H,DATA_GOC!$A:$A,"BOM",DATA_GOC!$D:$D,$B470,DATA_GOC!$E:$E,"Dầu số",DATA_GOC!$F:$F,"Xuất nội bộ từ téc",DATA_GOC!$B:$B,DATE($D$2,$B$2,AG$4)),0))</f>
        <v>0</v>
      </c>
      <c r="AH470" s="252">
        <f t="shared" si="22"/>
        <v>0</v>
      </c>
      <c r="AI470" s="241"/>
      <c r="AJ470" s="242">
        <f>IF($B470="","",SUMIFS(TINH_TEC!$K$233:$K$9232,TINH_TEC!$H$233:$H$9232,$B470,TINH_TEC!$C$233:$C$9232,"Dầu số",TINH_TEC!$F$233:$F$9232,$B$2,TINH_TEC!$G$233:$G$9232,$D$2,TINH_TEC!$B$233:$B$9232,"Đã chốt"))</f>
        <v>0</v>
      </c>
      <c r="AK470" s="242">
        <f>IF($B470="","",SUMIFS(TINH_TEC!$J$233:$J$9232,TINH_TEC!$H$233:$H$9232,$B470,TINH_TEC!$C$233:$C$9232,"Dầu số",TINH_TEC!$F$233:$F$9232,$B$2,TINH_TEC!$G$233:$G$9232,$D$2,TINH_TEC!$B$233:$B$9232,"Đã chốt"))</f>
        <v>0</v>
      </c>
      <c r="AL470" s="242">
        <f t="shared" si="23"/>
        <v>0</v>
      </c>
    </row>
    <row r="471" ht="15.75" customHeight="1">
      <c r="A471" s="237">
        <f>IF($B471&lt;&gt;"",39,"")</f>
        <v>39</v>
      </c>
      <c r="B471" s="250" t="str">
        <f t="array" ref="B471">IFERROR(INDEX(DANH_MUC!$E:$E,42),"")</f>
        <v>28H01070</v>
      </c>
      <c r="C471" s="251">
        <f>IF(C$4&gt;DAY(EOMONTH(DATE($D$2,$B$2,1),0)),"",IFERROR(SUMIFS(DATA_GOC!$H:$H,DATA_GOC!$A:$A,"BOM",DATA_GOC!$D:$D,$B471,DATA_GOC!$E:$E,"Dầu số",DATA_GOC!$F:$F,"Xuất nội bộ từ téc",DATA_GOC!$B:$B,DATE($D$2,$B$2,C$4)),0))</f>
        <v>0</v>
      </c>
      <c r="D471" s="251">
        <f>IF(D$4&gt;DAY(EOMONTH(DATE($D$2,$B$2,1),0)),"",IFERROR(SUMIFS(DATA_GOC!$H:$H,DATA_GOC!$A:$A,"BOM",DATA_GOC!$D:$D,$B471,DATA_GOC!$E:$E,"Dầu số",DATA_GOC!$F:$F,"Xuất nội bộ từ téc",DATA_GOC!$B:$B,DATE($D$2,$B$2,D$4)),0))</f>
        <v>0</v>
      </c>
      <c r="E471" s="251">
        <f>IF(E$4&gt;DAY(EOMONTH(DATE($D$2,$B$2,1),0)),"",IFERROR(SUMIFS(DATA_GOC!$H:$H,DATA_GOC!$A:$A,"BOM",DATA_GOC!$D:$D,$B471,DATA_GOC!$E:$E,"Dầu số",DATA_GOC!$F:$F,"Xuất nội bộ từ téc",DATA_GOC!$B:$B,DATE($D$2,$B$2,E$4)),0))</f>
        <v>0</v>
      </c>
      <c r="F471" s="251">
        <f>IF(F$4&gt;DAY(EOMONTH(DATE($D$2,$B$2,1),0)),"",IFERROR(SUMIFS(DATA_GOC!$H:$H,DATA_GOC!$A:$A,"BOM",DATA_GOC!$D:$D,$B471,DATA_GOC!$E:$E,"Dầu số",DATA_GOC!$F:$F,"Xuất nội bộ từ téc",DATA_GOC!$B:$B,DATE($D$2,$B$2,F$4)),0))</f>
        <v>0</v>
      </c>
      <c r="G471" s="251">
        <f>IF(G$4&gt;DAY(EOMONTH(DATE($D$2,$B$2,1),0)),"",IFERROR(SUMIFS(DATA_GOC!$H:$H,DATA_GOC!$A:$A,"BOM",DATA_GOC!$D:$D,$B471,DATA_GOC!$E:$E,"Dầu số",DATA_GOC!$F:$F,"Xuất nội bộ từ téc",DATA_GOC!$B:$B,DATE($D$2,$B$2,G$4)),0))</f>
        <v>0</v>
      </c>
      <c r="H471" s="251">
        <f>IF(H$4&gt;DAY(EOMONTH(DATE($D$2,$B$2,1),0)),"",IFERROR(SUMIFS(DATA_GOC!$H:$H,DATA_GOC!$A:$A,"BOM",DATA_GOC!$D:$D,$B471,DATA_GOC!$E:$E,"Dầu số",DATA_GOC!$F:$F,"Xuất nội bộ từ téc",DATA_GOC!$B:$B,DATE($D$2,$B$2,H$4)),0))</f>
        <v>0</v>
      </c>
      <c r="I471" s="251">
        <f>IF(I$4&gt;DAY(EOMONTH(DATE($D$2,$B$2,1),0)),"",IFERROR(SUMIFS(DATA_GOC!$H:$H,DATA_GOC!$A:$A,"BOM",DATA_GOC!$D:$D,$B471,DATA_GOC!$E:$E,"Dầu số",DATA_GOC!$F:$F,"Xuất nội bộ từ téc",DATA_GOC!$B:$B,DATE($D$2,$B$2,I$4)),0))</f>
        <v>0</v>
      </c>
      <c r="J471" s="251">
        <f>IF(J$4&gt;DAY(EOMONTH(DATE($D$2,$B$2,1),0)),"",IFERROR(SUMIFS(DATA_GOC!$H:$H,DATA_GOC!$A:$A,"BOM",DATA_GOC!$D:$D,$B471,DATA_GOC!$E:$E,"Dầu số",DATA_GOC!$F:$F,"Xuất nội bộ từ téc",DATA_GOC!$B:$B,DATE($D$2,$B$2,J$4)),0))</f>
        <v>0</v>
      </c>
      <c r="K471" s="251">
        <f>IF(K$4&gt;DAY(EOMONTH(DATE($D$2,$B$2,1),0)),"",IFERROR(SUMIFS(DATA_GOC!$H:$H,DATA_GOC!$A:$A,"BOM",DATA_GOC!$D:$D,$B471,DATA_GOC!$E:$E,"Dầu số",DATA_GOC!$F:$F,"Xuất nội bộ từ téc",DATA_GOC!$B:$B,DATE($D$2,$B$2,K$4)),0))</f>
        <v>0</v>
      </c>
      <c r="L471" s="251">
        <f>IF(L$4&gt;DAY(EOMONTH(DATE($D$2,$B$2,1),0)),"",IFERROR(SUMIFS(DATA_GOC!$H:$H,DATA_GOC!$A:$A,"BOM",DATA_GOC!$D:$D,$B471,DATA_GOC!$E:$E,"Dầu số",DATA_GOC!$F:$F,"Xuất nội bộ từ téc",DATA_GOC!$B:$B,DATE($D$2,$B$2,L$4)),0))</f>
        <v>0</v>
      </c>
      <c r="M471" s="251">
        <f>IF(M$4&gt;DAY(EOMONTH(DATE($D$2,$B$2,1),0)),"",IFERROR(SUMIFS(DATA_GOC!$H:$H,DATA_GOC!$A:$A,"BOM",DATA_GOC!$D:$D,$B471,DATA_GOC!$E:$E,"Dầu số",DATA_GOC!$F:$F,"Xuất nội bộ từ téc",DATA_GOC!$B:$B,DATE($D$2,$B$2,M$4)),0))</f>
        <v>0</v>
      </c>
      <c r="N471" s="251">
        <f>IF(N$4&gt;DAY(EOMONTH(DATE($D$2,$B$2,1),0)),"",IFERROR(SUMIFS(DATA_GOC!$H:$H,DATA_GOC!$A:$A,"BOM",DATA_GOC!$D:$D,$B471,DATA_GOC!$E:$E,"Dầu số",DATA_GOC!$F:$F,"Xuất nội bộ từ téc",DATA_GOC!$B:$B,DATE($D$2,$B$2,N$4)),0))</f>
        <v>0</v>
      </c>
      <c r="O471" s="251">
        <f>IF(O$4&gt;DAY(EOMONTH(DATE($D$2,$B$2,1),0)),"",IFERROR(SUMIFS(DATA_GOC!$H:$H,DATA_GOC!$A:$A,"BOM",DATA_GOC!$D:$D,$B471,DATA_GOC!$E:$E,"Dầu số",DATA_GOC!$F:$F,"Xuất nội bộ từ téc",DATA_GOC!$B:$B,DATE($D$2,$B$2,O$4)),0))</f>
        <v>0</v>
      </c>
      <c r="P471" s="251">
        <f>IF(P$4&gt;DAY(EOMONTH(DATE($D$2,$B$2,1),0)),"",IFERROR(SUMIFS(DATA_GOC!$H:$H,DATA_GOC!$A:$A,"BOM",DATA_GOC!$D:$D,$B471,DATA_GOC!$E:$E,"Dầu số",DATA_GOC!$F:$F,"Xuất nội bộ từ téc",DATA_GOC!$B:$B,DATE($D$2,$B$2,P$4)),0))</f>
        <v>0</v>
      </c>
      <c r="Q471" s="251">
        <f>IF(Q$4&gt;DAY(EOMONTH(DATE($D$2,$B$2,1),0)),"",IFERROR(SUMIFS(DATA_GOC!$H:$H,DATA_GOC!$A:$A,"BOM",DATA_GOC!$D:$D,$B471,DATA_GOC!$E:$E,"Dầu số",DATA_GOC!$F:$F,"Xuất nội bộ từ téc",DATA_GOC!$B:$B,DATE($D$2,$B$2,Q$4)),0))</f>
        <v>0</v>
      </c>
      <c r="R471" s="251">
        <f>IF(R$4&gt;DAY(EOMONTH(DATE($D$2,$B$2,1),0)),"",IFERROR(SUMIFS(DATA_GOC!$H:$H,DATA_GOC!$A:$A,"BOM",DATA_GOC!$D:$D,$B471,DATA_GOC!$E:$E,"Dầu số",DATA_GOC!$F:$F,"Xuất nội bộ từ téc",DATA_GOC!$B:$B,DATE($D$2,$B$2,R$4)),0))</f>
        <v>0</v>
      </c>
      <c r="S471" s="251">
        <f>IF(S$4&gt;DAY(EOMONTH(DATE($D$2,$B$2,1),0)),"",IFERROR(SUMIFS(DATA_GOC!$H:$H,DATA_GOC!$A:$A,"BOM",DATA_GOC!$D:$D,$B471,DATA_GOC!$E:$E,"Dầu số",DATA_GOC!$F:$F,"Xuất nội bộ từ téc",DATA_GOC!$B:$B,DATE($D$2,$B$2,S$4)),0))</f>
        <v>0</v>
      </c>
      <c r="T471" s="251">
        <f>IF(T$4&gt;DAY(EOMONTH(DATE($D$2,$B$2,1),0)),"",IFERROR(SUMIFS(DATA_GOC!$H:$H,DATA_GOC!$A:$A,"BOM",DATA_GOC!$D:$D,$B471,DATA_GOC!$E:$E,"Dầu số",DATA_GOC!$F:$F,"Xuất nội bộ từ téc",DATA_GOC!$B:$B,DATE($D$2,$B$2,T$4)),0))</f>
        <v>0</v>
      </c>
      <c r="U471" s="251">
        <f>IF(U$4&gt;DAY(EOMONTH(DATE($D$2,$B$2,1),0)),"",IFERROR(SUMIFS(DATA_GOC!$H:$H,DATA_GOC!$A:$A,"BOM",DATA_GOC!$D:$D,$B471,DATA_GOC!$E:$E,"Dầu số",DATA_GOC!$F:$F,"Xuất nội bộ từ téc",DATA_GOC!$B:$B,DATE($D$2,$B$2,U$4)),0))</f>
        <v>0</v>
      </c>
      <c r="V471" s="251">
        <f>IF(V$4&gt;DAY(EOMONTH(DATE($D$2,$B$2,1),0)),"",IFERROR(SUMIFS(DATA_GOC!$H:$H,DATA_GOC!$A:$A,"BOM",DATA_GOC!$D:$D,$B471,DATA_GOC!$E:$E,"Dầu số",DATA_GOC!$F:$F,"Xuất nội bộ từ téc",DATA_GOC!$B:$B,DATE($D$2,$B$2,V$4)),0))</f>
        <v>0</v>
      </c>
      <c r="W471" s="251">
        <f>IF(W$4&gt;DAY(EOMONTH(DATE($D$2,$B$2,1),0)),"",IFERROR(SUMIFS(DATA_GOC!$H:$H,DATA_GOC!$A:$A,"BOM",DATA_GOC!$D:$D,$B471,DATA_GOC!$E:$E,"Dầu số",DATA_GOC!$F:$F,"Xuất nội bộ từ téc",DATA_GOC!$B:$B,DATE($D$2,$B$2,W$4)),0))</f>
        <v>0</v>
      </c>
      <c r="X471" s="251">
        <f>IF(X$4&gt;DAY(EOMONTH(DATE($D$2,$B$2,1),0)),"",IFERROR(SUMIFS(DATA_GOC!$H:$H,DATA_GOC!$A:$A,"BOM",DATA_GOC!$D:$D,$B471,DATA_GOC!$E:$E,"Dầu số",DATA_GOC!$F:$F,"Xuất nội bộ từ téc",DATA_GOC!$B:$B,DATE($D$2,$B$2,X$4)),0))</f>
        <v>0</v>
      </c>
      <c r="Y471" s="251">
        <f>IF(Y$4&gt;DAY(EOMONTH(DATE($D$2,$B$2,1),0)),"",IFERROR(SUMIFS(DATA_GOC!$H:$H,DATA_GOC!$A:$A,"BOM",DATA_GOC!$D:$D,$B471,DATA_GOC!$E:$E,"Dầu số",DATA_GOC!$F:$F,"Xuất nội bộ từ téc",DATA_GOC!$B:$B,DATE($D$2,$B$2,Y$4)),0))</f>
        <v>0</v>
      </c>
      <c r="Z471" s="251">
        <f>IF(Z$4&gt;DAY(EOMONTH(DATE($D$2,$B$2,1),0)),"",IFERROR(SUMIFS(DATA_GOC!$H:$H,DATA_GOC!$A:$A,"BOM",DATA_GOC!$D:$D,$B471,DATA_GOC!$E:$E,"Dầu số",DATA_GOC!$F:$F,"Xuất nội bộ từ téc",DATA_GOC!$B:$B,DATE($D$2,$B$2,Z$4)),0))</f>
        <v>0</v>
      </c>
      <c r="AA471" s="251">
        <f>IF(AA$4&gt;DAY(EOMONTH(DATE($D$2,$B$2,1),0)),"",IFERROR(SUMIFS(DATA_GOC!$H:$H,DATA_GOC!$A:$A,"BOM",DATA_GOC!$D:$D,$B471,DATA_GOC!$E:$E,"Dầu số",DATA_GOC!$F:$F,"Xuất nội bộ từ téc",DATA_GOC!$B:$B,DATE($D$2,$B$2,AA$4)),0))</f>
        <v>0</v>
      </c>
      <c r="AB471" s="251">
        <f>IF(AB$4&gt;DAY(EOMONTH(DATE($D$2,$B$2,1),0)),"",IFERROR(SUMIFS(DATA_GOC!$H:$H,DATA_GOC!$A:$A,"BOM",DATA_GOC!$D:$D,$B471,DATA_GOC!$E:$E,"Dầu số",DATA_GOC!$F:$F,"Xuất nội bộ từ téc",DATA_GOC!$B:$B,DATE($D$2,$B$2,AB$4)),0))</f>
        <v>0</v>
      </c>
      <c r="AC471" s="251">
        <f>IF(AC$4&gt;DAY(EOMONTH(DATE($D$2,$B$2,1),0)),"",IFERROR(SUMIFS(DATA_GOC!$H:$H,DATA_GOC!$A:$A,"BOM",DATA_GOC!$D:$D,$B471,DATA_GOC!$E:$E,"Dầu số",DATA_GOC!$F:$F,"Xuất nội bộ từ téc",DATA_GOC!$B:$B,DATE($D$2,$B$2,AC$4)),0))</f>
        <v>0</v>
      </c>
      <c r="AD471" s="251">
        <f>IF(AD$4&gt;DAY(EOMONTH(DATE($D$2,$B$2,1),0)),"",IFERROR(SUMIFS(DATA_GOC!$H:$H,DATA_GOC!$A:$A,"BOM",DATA_GOC!$D:$D,$B471,DATA_GOC!$E:$E,"Dầu số",DATA_GOC!$F:$F,"Xuất nội bộ từ téc",DATA_GOC!$B:$B,DATE($D$2,$B$2,AD$4)),0))</f>
        <v>0</v>
      </c>
      <c r="AE471" s="251">
        <f>IF(AE$4&gt;DAY(EOMONTH(DATE($D$2,$B$2,1),0)),"",IFERROR(SUMIFS(DATA_GOC!$H:$H,DATA_GOC!$A:$A,"BOM",DATA_GOC!$D:$D,$B471,DATA_GOC!$E:$E,"Dầu số",DATA_GOC!$F:$F,"Xuất nội bộ từ téc",DATA_GOC!$B:$B,DATE($D$2,$B$2,AE$4)),0))</f>
        <v>0</v>
      </c>
      <c r="AF471" s="251">
        <f>IF(AF$4&gt;DAY(EOMONTH(DATE($D$2,$B$2,1),0)),"",IFERROR(SUMIFS(DATA_GOC!$H:$H,DATA_GOC!$A:$A,"BOM",DATA_GOC!$D:$D,$B471,DATA_GOC!$E:$E,"Dầu số",DATA_GOC!$F:$F,"Xuất nội bộ từ téc",DATA_GOC!$B:$B,DATE($D$2,$B$2,AF$4)),0))</f>
        <v>0</v>
      </c>
      <c r="AG471" s="251">
        <f>IF(AG$4&gt;DAY(EOMONTH(DATE($D$2,$B$2,1),0)),"",IFERROR(SUMIFS(DATA_GOC!$H:$H,DATA_GOC!$A:$A,"BOM",DATA_GOC!$D:$D,$B471,DATA_GOC!$E:$E,"Dầu số",DATA_GOC!$F:$F,"Xuất nội bộ từ téc",DATA_GOC!$B:$B,DATE($D$2,$B$2,AG$4)),0))</f>
        <v>0</v>
      </c>
      <c r="AH471" s="252">
        <f t="shared" si="22"/>
        <v>0</v>
      </c>
      <c r="AI471" s="241"/>
      <c r="AJ471" s="242">
        <f>IF($B471="","",SUMIFS(TINH_TEC!$K$233:$K$9232,TINH_TEC!$H$233:$H$9232,$B471,TINH_TEC!$C$233:$C$9232,"Dầu số",TINH_TEC!$F$233:$F$9232,$B$2,TINH_TEC!$G$233:$G$9232,$D$2,TINH_TEC!$B$233:$B$9232,"Đã chốt"))</f>
        <v>0</v>
      </c>
      <c r="AK471" s="242">
        <f>IF($B471="","",SUMIFS(TINH_TEC!$J$233:$J$9232,TINH_TEC!$H$233:$H$9232,$B471,TINH_TEC!$C$233:$C$9232,"Dầu số",TINH_TEC!$F$233:$F$9232,$B$2,TINH_TEC!$G$233:$G$9232,$D$2,TINH_TEC!$B$233:$B$9232,"Đã chốt"))</f>
        <v>0</v>
      </c>
      <c r="AL471" s="242">
        <f t="shared" si="23"/>
        <v>0</v>
      </c>
    </row>
    <row r="472" ht="15.75" customHeight="1">
      <c r="A472" s="237">
        <f>IF($B472&lt;&gt;"",40,"")</f>
        <v>40</v>
      </c>
      <c r="B472" s="250" t="str">
        <f t="array" ref="B472">IFERROR(INDEX(DANH_MUC!$E:$E,43),"")</f>
        <v>28H01364</v>
      </c>
      <c r="C472" s="251">
        <f>IF(C$4&gt;DAY(EOMONTH(DATE($D$2,$B$2,1),0)),"",IFERROR(SUMIFS(DATA_GOC!$H:$H,DATA_GOC!$A:$A,"BOM",DATA_GOC!$D:$D,$B472,DATA_GOC!$E:$E,"Dầu số",DATA_GOC!$F:$F,"Xuất nội bộ từ téc",DATA_GOC!$B:$B,DATE($D$2,$B$2,C$4)),0))</f>
        <v>0</v>
      </c>
      <c r="D472" s="251">
        <f>IF(D$4&gt;DAY(EOMONTH(DATE($D$2,$B$2,1),0)),"",IFERROR(SUMIFS(DATA_GOC!$H:$H,DATA_GOC!$A:$A,"BOM",DATA_GOC!$D:$D,$B472,DATA_GOC!$E:$E,"Dầu số",DATA_GOC!$F:$F,"Xuất nội bộ từ téc",DATA_GOC!$B:$B,DATE($D$2,$B$2,D$4)),0))</f>
        <v>0</v>
      </c>
      <c r="E472" s="251">
        <f>IF(E$4&gt;DAY(EOMONTH(DATE($D$2,$B$2,1),0)),"",IFERROR(SUMIFS(DATA_GOC!$H:$H,DATA_GOC!$A:$A,"BOM",DATA_GOC!$D:$D,$B472,DATA_GOC!$E:$E,"Dầu số",DATA_GOC!$F:$F,"Xuất nội bộ từ téc",DATA_GOC!$B:$B,DATE($D$2,$B$2,E$4)),0))</f>
        <v>0</v>
      </c>
      <c r="F472" s="251">
        <f>IF(F$4&gt;DAY(EOMONTH(DATE($D$2,$B$2,1),0)),"",IFERROR(SUMIFS(DATA_GOC!$H:$H,DATA_GOC!$A:$A,"BOM",DATA_GOC!$D:$D,$B472,DATA_GOC!$E:$E,"Dầu số",DATA_GOC!$F:$F,"Xuất nội bộ từ téc",DATA_GOC!$B:$B,DATE($D$2,$B$2,F$4)),0))</f>
        <v>0</v>
      </c>
      <c r="G472" s="251">
        <f>IF(G$4&gt;DAY(EOMONTH(DATE($D$2,$B$2,1),0)),"",IFERROR(SUMIFS(DATA_GOC!$H:$H,DATA_GOC!$A:$A,"BOM",DATA_GOC!$D:$D,$B472,DATA_GOC!$E:$E,"Dầu số",DATA_GOC!$F:$F,"Xuất nội bộ từ téc",DATA_GOC!$B:$B,DATE($D$2,$B$2,G$4)),0))</f>
        <v>0</v>
      </c>
      <c r="H472" s="251">
        <f>IF(H$4&gt;DAY(EOMONTH(DATE($D$2,$B$2,1),0)),"",IFERROR(SUMIFS(DATA_GOC!$H:$H,DATA_GOC!$A:$A,"BOM",DATA_GOC!$D:$D,$B472,DATA_GOC!$E:$E,"Dầu số",DATA_GOC!$F:$F,"Xuất nội bộ từ téc",DATA_GOC!$B:$B,DATE($D$2,$B$2,H$4)),0))</f>
        <v>0</v>
      </c>
      <c r="I472" s="251">
        <f>IF(I$4&gt;DAY(EOMONTH(DATE($D$2,$B$2,1),0)),"",IFERROR(SUMIFS(DATA_GOC!$H:$H,DATA_GOC!$A:$A,"BOM",DATA_GOC!$D:$D,$B472,DATA_GOC!$E:$E,"Dầu số",DATA_GOC!$F:$F,"Xuất nội bộ từ téc",DATA_GOC!$B:$B,DATE($D$2,$B$2,I$4)),0))</f>
        <v>0</v>
      </c>
      <c r="J472" s="251">
        <f>IF(J$4&gt;DAY(EOMONTH(DATE($D$2,$B$2,1),0)),"",IFERROR(SUMIFS(DATA_GOC!$H:$H,DATA_GOC!$A:$A,"BOM",DATA_GOC!$D:$D,$B472,DATA_GOC!$E:$E,"Dầu số",DATA_GOC!$F:$F,"Xuất nội bộ từ téc",DATA_GOC!$B:$B,DATE($D$2,$B$2,J$4)),0))</f>
        <v>0</v>
      </c>
      <c r="K472" s="251">
        <f>IF(K$4&gt;DAY(EOMONTH(DATE($D$2,$B$2,1),0)),"",IFERROR(SUMIFS(DATA_GOC!$H:$H,DATA_GOC!$A:$A,"BOM",DATA_GOC!$D:$D,$B472,DATA_GOC!$E:$E,"Dầu số",DATA_GOC!$F:$F,"Xuất nội bộ từ téc",DATA_GOC!$B:$B,DATE($D$2,$B$2,K$4)),0))</f>
        <v>0</v>
      </c>
      <c r="L472" s="251">
        <f>IF(L$4&gt;DAY(EOMONTH(DATE($D$2,$B$2,1),0)),"",IFERROR(SUMIFS(DATA_GOC!$H:$H,DATA_GOC!$A:$A,"BOM",DATA_GOC!$D:$D,$B472,DATA_GOC!$E:$E,"Dầu số",DATA_GOC!$F:$F,"Xuất nội bộ từ téc",DATA_GOC!$B:$B,DATE($D$2,$B$2,L$4)),0))</f>
        <v>0</v>
      </c>
      <c r="M472" s="251">
        <f>IF(M$4&gt;DAY(EOMONTH(DATE($D$2,$B$2,1),0)),"",IFERROR(SUMIFS(DATA_GOC!$H:$H,DATA_GOC!$A:$A,"BOM",DATA_GOC!$D:$D,$B472,DATA_GOC!$E:$E,"Dầu số",DATA_GOC!$F:$F,"Xuất nội bộ từ téc",DATA_GOC!$B:$B,DATE($D$2,$B$2,M$4)),0))</f>
        <v>0</v>
      </c>
      <c r="N472" s="251">
        <f>IF(N$4&gt;DAY(EOMONTH(DATE($D$2,$B$2,1),0)),"",IFERROR(SUMIFS(DATA_GOC!$H:$H,DATA_GOC!$A:$A,"BOM",DATA_GOC!$D:$D,$B472,DATA_GOC!$E:$E,"Dầu số",DATA_GOC!$F:$F,"Xuất nội bộ từ téc",DATA_GOC!$B:$B,DATE($D$2,$B$2,N$4)),0))</f>
        <v>0</v>
      </c>
      <c r="O472" s="251">
        <f>IF(O$4&gt;DAY(EOMONTH(DATE($D$2,$B$2,1),0)),"",IFERROR(SUMIFS(DATA_GOC!$H:$H,DATA_GOC!$A:$A,"BOM",DATA_GOC!$D:$D,$B472,DATA_GOC!$E:$E,"Dầu số",DATA_GOC!$F:$F,"Xuất nội bộ từ téc",DATA_GOC!$B:$B,DATE($D$2,$B$2,O$4)),0))</f>
        <v>0</v>
      </c>
      <c r="P472" s="251">
        <f>IF(P$4&gt;DAY(EOMONTH(DATE($D$2,$B$2,1),0)),"",IFERROR(SUMIFS(DATA_GOC!$H:$H,DATA_GOC!$A:$A,"BOM",DATA_GOC!$D:$D,$B472,DATA_GOC!$E:$E,"Dầu số",DATA_GOC!$F:$F,"Xuất nội bộ từ téc",DATA_GOC!$B:$B,DATE($D$2,$B$2,P$4)),0))</f>
        <v>0</v>
      </c>
      <c r="Q472" s="251">
        <f>IF(Q$4&gt;DAY(EOMONTH(DATE($D$2,$B$2,1),0)),"",IFERROR(SUMIFS(DATA_GOC!$H:$H,DATA_GOC!$A:$A,"BOM",DATA_GOC!$D:$D,$B472,DATA_GOC!$E:$E,"Dầu số",DATA_GOC!$F:$F,"Xuất nội bộ từ téc",DATA_GOC!$B:$B,DATE($D$2,$B$2,Q$4)),0))</f>
        <v>0</v>
      </c>
      <c r="R472" s="251">
        <f>IF(R$4&gt;DAY(EOMONTH(DATE($D$2,$B$2,1),0)),"",IFERROR(SUMIFS(DATA_GOC!$H:$H,DATA_GOC!$A:$A,"BOM",DATA_GOC!$D:$D,$B472,DATA_GOC!$E:$E,"Dầu số",DATA_GOC!$F:$F,"Xuất nội bộ từ téc",DATA_GOC!$B:$B,DATE($D$2,$B$2,R$4)),0))</f>
        <v>0</v>
      </c>
      <c r="S472" s="251">
        <f>IF(S$4&gt;DAY(EOMONTH(DATE($D$2,$B$2,1),0)),"",IFERROR(SUMIFS(DATA_GOC!$H:$H,DATA_GOC!$A:$A,"BOM",DATA_GOC!$D:$D,$B472,DATA_GOC!$E:$E,"Dầu số",DATA_GOC!$F:$F,"Xuất nội bộ từ téc",DATA_GOC!$B:$B,DATE($D$2,$B$2,S$4)),0))</f>
        <v>0</v>
      </c>
      <c r="T472" s="251">
        <f>IF(T$4&gt;DAY(EOMONTH(DATE($D$2,$B$2,1),0)),"",IFERROR(SUMIFS(DATA_GOC!$H:$H,DATA_GOC!$A:$A,"BOM",DATA_GOC!$D:$D,$B472,DATA_GOC!$E:$E,"Dầu số",DATA_GOC!$F:$F,"Xuất nội bộ từ téc",DATA_GOC!$B:$B,DATE($D$2,$B$2,T$4)),0))</f>
        <v>0</v>
      </c>
      <c r="U472" s="251">
        <f>IF(U$4&gt;DAY(EOMONTH(DATE($D$2,$B$2,1),0)),"",IFERROR(SUMIFS(DATA_GOC!$H:$H,DATA_GOC!$A:$A,"BOM",DATA_GOC!$D:$D,$B472,DATA_GOC!$E:$E,"Dầu số",DATA_GOC!$F:$F,"Xuất nội bộ từ téc",DATA_GOC!$B:$B,DATE($D$2,$B$2,U$4)),0))</f>
        <v>0</v>
      </c>
      <c r="V472" s="251">
        <f>IF(V$4&gt;DAY(EOMONTH(DATE($D$2,$B$2,1),0)),"",IFERROR(SUMIFS(DATA_GOC!$H:$H,DATA_GOC!$A:$A,"BOM",DATA_GOC!$D:$D,$B472,DATA_GOC!$E:$E,"Dầu số",DATA_GOC!$F:$F,"Xuất nội bộ từ téc",DATA_GOC!$B:$B,DATE($D$2,$B$2,V$4)),0))</f>
        <v>0</v>
      </c>
      <c r="W472" s="251">
        <f>IF(W$4&gt;DAY(EOMONTH(DATE($D$2,$B$2,1),0)),"",IFERROR(SUMIFS(DATA_GOC!$H:$H,DATA_GOC!$A:$A,"BOM",DATA_GOC!$D:$D,$B472,DATA_GOC!$E:$E,"Dầu số",DATA_GOC!$F:$F,"Xuất nội bộ từ téc",DATA_GOC!$B:$B,DATE($D$2,$B$2,W$4)),0))</f>
        <v>0</v>
      </c>
      <c r="X472" s="251">
        <f>IF(X$4&gt;DAY(EOMONTH(DATE($D$2,$B$2,1),0)),"",IFERROR(SUMIFS(DATA_GOC!$H:$H,DATA_GOC!$A:$A,"BOM",DATA_GOC!$D:$D,$B472,DATA_GOC!$E:$E,"Dầu số",DATA_GOC!$F:$F,"Xuất nội bộ từ téc",DATA_GOC!$B:$B,DATE($D$2,$B$2,X$4)),0))</f>
        <v>0</v>
      </c>
      <c r="Y472" s="251">
        <f>IF(Y$4&gt;DAY(EOMONTH(DATE($D$2,$B$2,1),0)),"",IFERROR(SUMIFS(DATA_GOC!$H:$H,DATA_GOC!$A:$A,"BOM",DATA_GOC!$D:$D,$B472,DATA_GOC!$E:$E,"Dầu số",DATA_GOC!$F:$F,"Xuất nội bộ từ téc",DATA_GOC!$B:$B,DATE($D$2,$B$2,Y$4)),0))</f>
        <v>0</v>
      </c>
      <c r="Z472" s="251">
        <f>IF(Z$4&gt;DAY(EOMONTH(DATE($D$2,$B$2,1),0)),"",IFERROR(SUMIFS(DATA_GOC!$H:$H,DATA_GOC!$A:$A,"BOM",DATA_GOC!$D:$D,$B472,DATA_GOC!$E:$E,"Dầu số",DATA_GOC!$F:$F,"Xuất nội bộ từ téc",DATA_GOC!$B:$B,DATE($D$2,$B$2,Z$4)),0))</f>
        <v>0</v>
      </c>
      <c r="AA472" s="251">
        <f>IF(AA$4&gt;DAY(EOMONTH(DATE($D$2,$B$2,1),0)),"",IFERROR(SUMIFS(DATA_GOC!$H:$H,DATA_GOC!$A:$A,"BOM",DATA_GOC!$D:$D,$B472,DATA_GOC!$E:$E,"Dầu số",DATA_GOC!$F:$F,"Xuất nội bộ từ téc",DATA_GOC!$B:$B,DATE($D$2,$B$2,AA$4)),0))</f>
        <v>0</v>
      </c>
      <c r="AB472" s="251">
        <f>IF(AB$4&gt;DAY(EOMONTH(DATE($D$2,$B$2,1),0)),"",IFERROR(SUMIFS(DATA_GOC!$H:$H,DATA_GOC!$A:$A,"BOM",DATA_GOC!$D:$D,$B472,DATA_GOC!$E:$E,"Dầu số",DATA_GOC!$F:$F,"Xuất nội bộ từ téc",DATA_GOC!$B:$B,DATE($D$2,$B$2,AB$4)),0))</f>
        <v>0</v>
      </c>
      <c r="AC472" s="251">
        <f>IF(AC$4&gt;DAY(EOMONTH(DATE($D$2,$B$2,1),0)),"",IFERROR(SUMIFS(DATA_GOC!$H:$H,DATA_GOC!$A:$A,"BOM",DATA_GOC!$D:$D,$B472,DATA_GOC!$E:$E,"Dầu số",DATA_GOC!$F:$F,"Xuất nội bộ từ téc",DATA_GOC!$B:$B,DATE($D$2,$B$2,AC$4)),0))</f>
        <v>0</v>
      </c>
      <c r="AD472" s="251">
        <f>IF(AD$4&gt;DAY(EOMONTH(DATE($D$2,$B$2,1),0)),"",IFERROR(SUMIFS(DATA_GOC!$H:$H,DATA_GOC!$A:$A,"BOM",DATA_GOC!$D:$D,$B472,DATA_GOC!$E:$E,"Dầu số",DATA_GOC!$F:$F,"Xuất nội bộ từ téc",DATA_GOC!$B:$B,DATE($D$2,$B$2,AD$4)),0))</f>
        <v>0</v>
      </c>
      <c r="AE472" s="251">
        <f>IF(AE$4&gt;DAY(EOMONTH(DATE($D$2,$B$2,1),0)),"",IFERROR(SUMIFS(DATA_GOC!$H:$H,DATA_GOC!$A:$A,"BOM",DATA_GOC!$D:$D,$B472,DATA_GOC!$E:$E,"Dầu số",DATA_GOC!$F:$F,"Xuất nội bộ từ téc",DATA_GOC!$B:$B,DATE($D$2,$B$2,AE$4)),0))</f>
        <v>0</v>
      </c>
      <c r="AF472" s="251">
        <f>IF(AF$4&gt;DAY(EOMONTH(DATE($D$2,$B$2,1),0)),"",IFERROR(SUMIFS(DATA_GOC!$H:$H,DATA_GOC!$A:$A,"BOM",DATA_GOC!$D:$D,$B472,DATA_GOC!$E:$E,"Dầu số",DATA_GOC!$F:$F,"Xuất nội bộ từ téc",DATA_GOC!$B:$B,DATE($D$2,$B$2,AF$4)),0))</f>
        <v>0</v>
      </c>
      <c r="AG472" s="251">
        <f>IF(AG$4&gt;DAY(EOMONTH(DATE($D$2,$B$2,1),0)),"",IFERROR(SUMIFS(DATA_GOC!$H:$H,DATA_GOC!$A:$A,"BOM",DATA_GOC!$D:$D,$B472,DATA_GOC!$E:$E,"Dầu số",DATA_GOC!$F:$F,"Xuất nội bộ từ téc",DATA_GOC!$B:$B,DATE($D$2,$B$2,AG$4)),0))</f>
        <v>0</v>
      </c>
      <c r="AH472" s="252">
        <f t="shared" si="22"/>
        <v>0</v>
      </c>
      <c r="AI472" s="241"/>
      <c r="AJ472" s="242">
        <f>IF($B472="","",SUMIFS(TINH_TEC!$K$233:$K$9232,TINH_TEC!$H$233:$H$9232,$B472,TINH_TEC!$C$233:$C$9232,"Dầu số",TINH_TEC!$F$233:$F$9232,$B$2,TINH_TEC!$G$233:$G$9232,$D$2,TINH_TEC!$B$233:$B$9232,"Đã chốt"))</f>
        <v>0</v>
      </c>
      <c r="AK472" s="242">
        <f>IF($B472="","",SUMIFS(TINH_TEC!$J$233:$J$9232,TINH_TEC!$H$233:$H$9232,$B472,TINH_TEC!$C$233:$C$9232,"Dầu số",TINH_TEC!$F$233:$F$9232,$B$2,TINH_TEC!$G$233:$G$9232,$D$2,TINH_TEC!$B$233:$B$9232,"Đã chốt"))</f>
        <v>0</v>
      </c>
      <c r="AL472" s="242">
        <f t="shared" si="23"/>
        <v>0</v>
      </c>
    </row>
    <row r="473" ht="15.75" customHeight="1">
      <c r="A473" s="237">
        <f>IF($B473&lt;&gt;"",41,"")</f>
        <v>41</v>
      </c>
      <c r="B473" s="250" t="str">
        <f t="array" ref="B473">IFERROR(INDEX(DANH_MUC!$E:$E,44),"")</f>
        <v>29E17269</v>
      </c>
      <c r="C473" s="251">
        <f>IF(C$4&gt;DAY(EOMONTH(DATE($D$2,$B$2,1),0)),"",IFERROR(SUMIFS(DATA_GOC!$H:$H,DATA_GOC!$A:$A,"BOM",DATA_GOC!$D:$D,$B473,DATA_GOC!$E:$E,"Dầu số",DATA_GOC!$F:$F,"Xuất nội bộ từ téc",DATA_GOC!$B:$B,DATE($D$2,$B$2,C$4)),0))</f>
        <v>0</v>
      </c>
      <c r="D473" s="251">
        <f>IF(D$4&gt;DAY(EOMONTH(DATE($D$2,$B$2,1),0)),"",IFERROR(SUMIFS(DATA_GOC!$H:$H,DATA_GOC!$A:$A,"BOM",DATA_GOC!$D:$D,$B473,DATA_GOC!$E:$E,"Dầu số",DATA_GOC!$F:$F,"Xuất nội bộ từ téc",DATA_GOC!$B:$B,DATE($D$2,$B$2,D$4)),0))</f>
        <v>0</v>
      </c>
      <c r="E473" s="251">
        <f>IF(E$4&gt;DAY(EOMONTH(DATE($D$2,$B$2,1),0)),"",IFERROR(SUMIFS(DATA_GOC!$H:$H,DATA_GOC!$A:$A,"BOM",DATA_GOC!$D:$D,$B473,DATA_GOC!$E:$E,"Dầu số",DATA_GOC!$F:$F,"Xuất nội bộ từ téc",DATA_GOC!$B:$B,DATE($D$2,$B$2,E$4)),0))</f>
        <v>0</v>
      </c>
      <c r="F473" s="251">
        <f>IF(F$4&gt;DAY(EOMONTH(DATE($D$2,$B$2,1),0)),"",IFERROR(SUMIFS(DATA_GOC!$H:$H,DATA_GOC!$A:$A,"BOM",DATA_GOC!$D:$D,$B473,DATA_GOC!$E:$E,"Dầu số",DATA_GOC!$F:$F,"Xuất nội bộ từ téc",DATA_GOC!$B:$B,DATE($D$2,$B$2,F$4)),0))</f>
        <v>0</v>
      </c>
      <c r="G473" s="251">
        <f>IF(G$4&gt;DAY(EOMONTH(DATE($D$2,$B$2,1),0)),"",IFERROR(SUMIFS(DATA_GOC!$H:$H,DATA_GOC!$A:$A,"BOM",DATA_GOC!$D:$D,$B473,DATA_GOC!$E:$E,"Dầu số",DATA_GOC!$F:$F,"Xuất nội bộ từ téc",DATA_GOC!$B:$B,DATE($D$2,$B$2,G$4)),0))</f>
        <v>0</v>
      </c>
      <c r="H473" s="251">
        <f>IF(H$4&gt;DAY(EOMONTH(DATE($D$2,$B$2,1),0)),"",IFERROR(SUMIFS(DATA_GOC!$H:$H,DATA_GOC!$A:$A,"BOM",DATA_GOC!$D:$D,$B473,DATA_GOC!$E:$E,"Dầu số",DATA_GOC!$F:$F,"Xuất nội bộ từ téc",DATA_GOC!$B:$B,DATE($D$2,$B$2,H$4)),0))</f>
        <v>0</v>
      </c>
      <c r="I473" s="251">
        <f>IF(I$4&gt;DAY(EOMONTH(DATE($D$2,$B$2,1),0)),"",IFERROR(SUMIFS(DATA_GOC!$H:$H,DATA_GOC!$A:$A,"BOM",DATA_GOC!$D:$D,$B473,DATA_GOC!$E:$E,"Dầu số",DATA_GOC!$F:$F,"Xuất nội bộ từ téc",DATA_GOC!$B:$B,DATE($D$2,$B$2,I$4)),0))</f>
        <v>0</v>
      </c>
      <c r="J473" s="251">
        <f>IF(J$4&gt;DAY(EOMONTH(DATE($D$2,$B$2,1),0)),"",IFERROR(SUMIFS(DATA_GOC!$H:$H,DATA_GOC!$A:$A,"BOM",DATA_GOC!$D:$D,$B473,DATA_GOC!$E:$E,"Dầu số",DATA_GOC!$F:$F,"Xuất nội bộ từ téc",DATA_GOC!$B:$B,DATE($D$2,$B$2,J$4)),0))</f>
        <v>0</v>
      </c>
      <c r="K473" s="251">
        <f>IF(K$4&gt;DAY(EOMONTH(DATE($D$2,$B$2,1),0)),"",IFERROR(SUMIFS(DATA_GOC!$H:$H,DATA_GOC!$A:$A,"BOM",DATA_GOC!$D:$D,$B473,DATA_GOC!$E:$E,"Dầu số",DATA_GOC!$F:$F,"Xuất nội bộ từ téc",DATA_GOC!$B:$B,DATE($D$2,$B$2,K$4)),0))</f>
        <v>0</v>
      </c>
      <c r="L473" s="251">
        <f>IF(L$4&gt;DAY(EOMONTH(DATE($D$2,$B$2,1),0)),"",IFERROR(SUMIFS(DATA_GOC!$H:$H,DATA_GOC!$A:$A,"BOM",DATA_GOC!$D:$D,$B473,DATA_GOC!$E:$E,"Dầu số",DATA_GOC!$F:$F,"Xuất nội bộ từ téc",DATA_GOC!$B:$B,DATE($D$2,$B$2,L$4)),0))</f>
        <v>0</v>
      </c>
      <c r="M473" s="251">
        <f>IF(M$4&gt;DAY(EOMONTH(DATE($D$2,$B$2,1),0)),"",IFERROR(SUMIFS(DATA_GOC!$H:$H,DATA_GOC!$A:$A,"BOM",DATA_GOC!$D:$D,$B473,DATA_GOC!$E:$E,"Dầu số",DATA_GOC!$F:$F,"Xuất nội bộ từ téc",DATA_GOC!$B:$B,DATE($D$2,$B$2,M$4)),0))</f>
        <v>0</v>
      </c>
      <c r="N473" s="251">
        <f>IF(N$4&gt;DAY(EOMONTH(DATE($D$2,$B$2,1),0)),"",IFERROR(SUMIFS(DATA_GOC!$H:$H,DATA_GOC!$A:$A,"BOM",DATA_GOC!$D:$D,$B473,DATA_GOC!$E:$E,"Dầu số",DATA_GOC!$F:$F,"Xuất nội bộ từ téc",DATA_GOC!$B:$B,DATE($D$2,$B$2,N$4)),0))</f>
        <v>0</v>
      </c>
      <c r="O473" s="251">
        <f>IF(O$4&gt;DAY(EOMONTH(DATE($D$2,$B$2,1),0)),"",IFERROR(SUMIFS(DATA_GOC!$H:$H,DATA_GOC!$A:$A,"BOM",DATA_GOC!$D:$D,$B473,DATA_GOC!$E:$E,"Dầu số",DATA_GOC!$F:$F,"Xuất nội bộ từ téc",DATA_GOC!$B:$B,DATE($D$2,$B$2,O$4)),0))</f>
        <v>0</v>
      </c>
      <c r="P473" s="251">
        <f>IF(P$4&gt;DAY(EOMONTH(DATE($D$2,$B$2,1),0)),"",IFERROR(SUMIFS(DATA_GOC!$H:$H,DATA_GOC!$A:$A,"BOM",DATA_GOC!$D:$D,$B473,DATA_GOC!$E:$E,"Dầu số",DATA_GOC!$F:$F,"Xuất nội bộ từ téc",DATA_GOC!$B:$B,DATE($D$2,$B$2,P$4)),0))</f>
        <v>0</v>
      </c>
      <c r="Q473" s="251">
        <f>IF(Q$4&gt;DAY(EOMONTH(DATE($D$2,$B$2,1),0)),"",IFERROR(SUMIFS(DATA_GOC!$H:$H,DATA_GOC!$A:$A,"BOM",DATA_GOC!$D:$D,$B473,DATA_GOC!$E:$E,"Dầu số",DATA_GOC!$F:$F,"Xuất nội bộ từ téc",DATA_GOC!$B:$B,DATE($D$2,$B$2,Q$4)),0))</f>
        <v>0</v>
      </c>
      <c r="R473" s="251">
        <f>IF(R$4&gt;DAY(EOMONTH(DATE($D$2,$B$2,1),0)),"",IFERROR(SUMIFS(DATA_GOC!$H:$H,DATA_GOC!$A:$A,"BOM",DATA_GOC!$D:$D,$B473,DATA_GOC!$E:$E,"Dầu số",DATA_GOC!$F:$F,"Xuất nội bộ từ téc",DATA_GOC!$B:$B,DATE($D$2,$B$2,R$4)),0))</f>
        <v>0</v>
      </c>
      <c r="S473" s="251">
        <f>IF(S$4&gt;DAY(EOMONTH(DATE($D$2,$B$2,1),0)),"",IFERROR(SUMIFS(DATA_GOC!$H:$H,DATA_GOC!$A:$A,"BOM",DATA_GOC!$D:$D,$B473,DATA_GOC!$E:$E,"Dầu số",DATA_GOC!$F:$F,"Xuất nội bộ từ téc",DATA_GOC!$B:$B,DATE($D$2,$B$2,S$4)),0))</f>
        <v>0</v>
      </c>
      <c r="T473" s="251">
        <f>IF(T$4&gt;DAY(EOMONTH(DATE($D$2,$B$2,1),0)),"",IFERROR(SUMIFS(DATA_GOC!$H:$H,DATA_GOC!$A:$A,"BOM",DATA_GOC!$D:$D,$B473,DATA_GOC!$E:$E,"Dầu số",DATA_GOC!$F:$F,"Xuất nội bộ từ téc",DATA_GOC!$B:$B,DATE($D$2,$B$2,T$4)),0))</f>
        <v>0</v>
      </c>
      <c r="U473" s="251">
        <f>IF(U$4&gt;DAY(EOMONTH(DATE($D$2,$B$2,1),0)),"",IFERROR(SUMIFS(DATA_GOC!$H:$H,DATA_GOC!$A:$A,"BOM",DATA_GOC!$D:$D,$B473,DATA_GOC!$E:$E,"Dầu số",DATA_GOC!$F:$F,"Xuất nội bộ từ téc",DATA_GOC!$B:$B,DATE($D$2,$B$2,U$4)),0))</f>
        <v>0</v>
      </c>
      <c r="V473" s="251">
        <f>IF(V$4&gt;DAY(EOMONTH(DATE($D$2,$B$2,1),0)),"",IFERROR(SUMIFS(DATA_GOC!$H:$H,DATA_GOC!$A:$A,"BOM",DATA_GOC!$D:$D,$B473,DATA_GOC!$E:$E,"Dầu số",DATA_GOC!$F:$F,"Xuất nội bộ từ téc",DATA_GOC!$B:$B,DATE($D$2,$B$2,V$4)),0))</f>
        <v>0</v>
      </c>
      <c r="W473" s="251">
        <f>IF(W$4&gt;DAY(EOMONTH(DATE($D$2,$B$2,1),0)),"",IFERROR(SUMIFS(DATA_GOC!$H:$H,DATA_GOC!$A:$A,"BOM",DATA_GOC!$D:$D,$B473,DATA_GOC!$E:$E,"Dầu số",DATA_GOC!$F:$F,"Xuất nội bộ từ téc",DATA_GOC!$B:$B,DATE($D$2,$B$2,W$4)),0))</f>
        <v>0</v>
      </c>
      <c r="X473" s="251">
        <f>IF(X$4&gt;DAY(EOMONTH(DATE($D$2,$B$2,1),0)),"",IFERROR(SUMIFS(DATA_GOC!$H:$H,DATA_GOC!$A:$A,"BOM",DATA_GOC!$D:$D,$B473,DATA_GOC!$E:$E,"Dầu số",DATA_GOC!$F:$F,"Xuất nội bộ từ téc",DATA_GOC!$B:$B,DATE($D$2,$B$2,X$4)),0))</f>
        <v>0</v>
      </c>
      <c r="Y473" s="251">
        <f>IF(Y$4&gt;DAY(EOMONTH(DATE($D$2,$B$2,1),0)),"",IFERROR(SUMIFS(DATA_GOC!$H:$H,DATA_GOC!$A:$A,"BOM",DATA_GOC!$D:$D,$B473,DATA_GOC!$E:$E,"Dầu số",DATA_GOC!$F:$F,"Xuất nội bộ từ téc",DATA_GOC!$B:$B,DATE($D$2,$B$2,Y$4)),0))</f>
        <v>0</v>
      </c>
      <c r="Z473" s="251">
        <f>IF(Z$4&gt;DAY(EOMONTH(DATE($D$2,$B$2,1),0)),"",IFERROR(SUMIFS(DATA_GOC!$H:$H,DATA_GOC!$A:$A,"BOM",DATA_GOC!$D:$D,$B473,DATA_GOC!$E:$E,"Dầu số",DATA_GOC!$F:$F,"Xuất nội bộ từ téc",DATA_GOC!$B:$B,DATE($D$2,$B$2,Z$4)),0))</f>
        <v>0</v>
      </c>
      <c r="AA473" s="251">
        <f>IF(AA$4&gt;DAY(EOMONTH(DATE($D$2,$B$2,1),0)),"",IFERROR(SUMIFS(DATA_GOC!$H:$H,DATA_GOC!$A:$A,"BOM",DATA_GOC!$D:$D,$B473,DATA_GOC!$E:$E,"Dầu số",DATA_GOC!$F:$F,"Xuất nội bộ từ téc",DATA_GOC!$B:$B,DATE($D$2,$B$2,AA$4)),0))</f>
        <v>0</v>
      </c>
      <c r="AB473" s="251">
        <f>IF(AB$4&gt;DAY(EOMONTH(DATE($D$2,$B$2,1),0)),"",IFERROR(SUMIFS(DATA_GOC!$H:$H,DATA_GOC!$A:$A,"BOM",DATA_GOC!$D:$D,$B473,DATA_GOC!$E:$E,"Dầu số",DATA_GOC!$F:$F,"Xuất nội bộ từ téc",DATA_GOC!$B:$B,DATE($D$2,$B$2,AB$4)),0))</f>
        <v>0</v>
      </c>
      <c r="AC473" s="251">
        <f>IF(AC$4&gt;DAY(EOMONTH(DATE($D$2,$B$2,1),0)),"",IFERROR(SUMIFS(DATA_GOC!$H:$H,DATA_GOC!$A:$A,"BOM",DATA_GOC!$D:$D,$B473,DATA_GOC!$E:$E,"Dầu số",DATA_GOC!$F:$F,"Xuất nội bộ từ téc",DATA_GOC!$B:$B,DATE($D$2,$B$2,AC$4)),0))</f>
        <v>0</v>
      </c>
      <c r="AD473" s="251">
        <f>IF(AD$4&gt;DAY(EOMONTH(DATE($D$2,$B$2,1),0)),"",IFERROR(SUMIFS(DATA_GOC!$H:$H,DATA_GOC!$A:$A,"BOM",DATA_GOC!$D:$D,$B473,DATA_GOC!$E:$E,"Dầu số",DATA_GOC!$F:$F,"Xuất nội bộ từ téc",DATA_GOC!$B:$B,DATE($D$2,$B$2,AD$4)),0))</f>
        <v>0</v>
      </c>
      <c r="AE473" s="251">
        <f>IF(AE$4&gt;DAY(EOMONTH(DATE($D$2,$B$2,1),0)),"",IFERROR(SUMIFS(DATA_GOC!$H:$H,DATA_GOC!$A:$A,"BOM",DATA_GOC!$D:$D,$B473,DATA_GOC!$E:$E,"Dầu số",DATA_GOC!$F:$F,"Xuất nội bộ từ téc",DATA_GOC!$B:$B,DATE($D$2,$B$2,AE$4)),0))</f>
        <v>0</v>
      </c>
      <c r="AF473" s="251">
        <f>IF(AF$4&gt;DAY(EOMONTH(DATE($D$2,$B$2,1),0)),"",IFERROR(SUMIFS(DATA_GOC!$H:$H,DATA_GOC!$A:$A,"BOM",DATA_GOC!$D:$D,$B473,DATA_GOC!$E:$E,"Dầu số",DATA_GOC!$F:$F,"Xuất nội bộ từ téc",DATA_GOC!$B:$B,DATE($D$2,$B$2,AF$4)),0))</f>
        <v>0</v>
      </c>
      <c r="AG473" s="251">
        <f>IF(AG$4&gt;DAY(EOMONTH(DATE($D$2,$B$2,1),0)),"",IFERROR(SUMIFS(DATA_GOC!$H:$H,DATA_GOC!$A:$A,"BOM",DATA_GOC!$D:$D,$B473,DATA_GOC!$E:$E,"Dầu số",DATA_GOC!$F:$F,"Xuất nội bộ từ téc",DATA_GOC!$B:$B,DATE($D$2,$B$2,AG$4)),0))</f>
        <v>0</v>
      </c>
      <c r="AH473" s="252">
        <f t="shared" si="22"/>
        <v>0</v>
      </c>
      <c r="AI473" s="241"/>
      <c r="AJ473" s="242">
        <f>IF($B473="","",SUMIFS(TINH_TEC!$K$233:$K$9232,TINH_TEC!$H$233:$H$9232,$B473,TINH_TEC!$C$233:$C$9232,"Dầu số",TINH_TEC!$F$233:$F$9232,$B$2,TINH_TEC!$G$233:$G$9232,$D$2,TINH_TEC!$B$233:$B$9232,"Đã chốt"))</f>
        <v>0</v>
      </c>
      <c r="AK473" s="242">
        <f>IF($B473="","",SUMIFS(TINH_TEC!$J$233:$J$9232,TINH_TEC!$H$233:$H$9232,$B473,TINH_TEC!$C$233:$C$9232,"Dầu số",TINH_TEC!$F$233:$F$9232,$B$2,TINH_TEC!$G$233:$G$9232,$D$2,TINH_TEC!$B$233:$B$9232,"Đã chốt"))</f>
        <v>0</v>
      </c>
      <c r="AL473" s="242">
        <f t="shared" si="23"/>
        <v>0</v>
      </c>
    </row>
    <row r="474" ht="15.75" customHeight="1">
      <c r="A474" s="237">
        <f>IF($B474&lt;&gt;"",42,"")</f>
        <v>42</v>
      </c>
      <c r="B474" s="250" t="str">
        <f t="array" ref="B474">IFERROR(INDEX(DANH_MUC!$E:$E,45),"")</f>
        <v>29E17273</v>
      </c>
      <c r="C474" s="251">
        <f>IF(C$4&gt;DAY(EOMONTH(DATE($D$2,$B$2,1),0)),"",IFERROR(SUMIFS(DATA_GOC!$H:$H,DATA_GOC!$A:$A,"BOM",DATA_GOC!$D:$D,$B474,DATA_GOC!$E:$E,"Dầu số",DATA_GOC!$F:$F,"Xuất nội bộ từ téc",DATA_GOC!$B:$B,DATE($D$2,$B$2,C$4)),0))</f>
        <v>0</v>
      </c>
      <c r="D474" s="251">
        <f>IF(D$4&gt;DAY(EOMONTH(DATE($D$2,$B$2,1),0)),"",IFERROR(SUMIFS(DATA_GOC!$H:$H,DATA_GOC!$A:$A,"BOM",DATA_GOC!$D:$D,$B474,DATA_GOC!$E:$E,"Dầu số",DATA_GOC!$F:$F,"Xuất nội bộ từ téc",DATA_GOC!$B:$B,DATE($D$2,$B$2,D$4)),0))</f>
        <v>0</v>
      </c>
      <c r="E474" s="251">
        <f>IF(E$4&gt;DAY(EOMONTH(DATE($D$2,$B$2,1),0)),"",IFERROR(SUMIFS(DATA_GOC!$H:$H,DATA_GOC!$A:$A,"BOM",DATA_GOC!$D:$D,$B474,DATA_GOC!$E:$E,"Dầu số",DATA_GOC!$F:$F,"Xuất nội bộ từ téc",DATA_GOC!$B:$B,DATE($D$2,$B$2,E$4)),0))</f>
        <v>0</v>
      </c>
      <c r="F474" s="251">
        <f>IF(F$4&gt;DAY(EOMONTH(DATE($D$2,$B$2,1),0)),"",IFERROR(SUMIFS(DATA_GOC!$H:$H,DATA_GOC!$A:$A,"BOM",DATA_GOC!$D:$D,$B474,DATA_GOC!$E:$E,"Dầu số",DATA_GOC!$F:$F,"Xuất nội bộ từ téc",DATA_GOC!$B:$B,DATE($D$2,$B$2,F$4)),0))</f>
        <v>0</v>
      </c>
      <c r="G474" s="251">
        <f>IF(G$4&gt;DAY(EOMONTH(DATE($D$2,$B$2,1),0)),"",IFERROR(SUMIFS(DATA_GOC!$H:$H,DATA_GOC!$A:$A,"BOM",DATA_GOC!$D:$D,$B474,DATA_GOC!$E:$E,"Dầu số",DATA_GOC!$F:$F,"Xuất nội bộ từ téc",DATA_GOC!$B:$B,DATE($D$2,$B$2,G$4)),0))</f>
        <v>0</v>
      </c>
      <c r="H474" s="251">
        <f>IF(H$4&gt;DAY(EOMONTH(DATE($D$2,$B$2,1),0)),"",IFERROR(SUMIFS(DATA_GOC!$H:$H,DATA_GOC!$A:$A,"BOM",DATA_GOC!$D:$D,$B474,DATA_GOC!$E:$E,"Dầu số",DATA_GOC!$F:$F,"Xuất nội bộ từ téc",DATA_GOC!$B:$B,DATE($D$2,$B$2,H$4)),0))</f>
        <v>0</v>
      </c>
      <c r="I474" s="251">
        <f>IF(I$4&gt;DAY(EOMONTH(DATE($D$2,$B$2,1),0)),"",IFERROR(SUMIFS(DATA_GOC!$H:$H,DATA_GOC!$A:$A,"BOM",DATA_GOC!$D:$D,$B474,DATA_GOC!$E:$E,"Dầu số",DATA_GOC!$F:$F,"Xuất nội bộ từ téc",DATA_GOC!$B:$B,DATE($D$2,$B$2,I$4)),0))</f>
        <v>0</v>
      </c>
      <c r="J474" s="251">
        <f>IF(J$4&gt;DAY(EOMONTH(DATE($D$2,$B$2,1),0)),"",IFERROR(SUMIFS(DATA_GOC!$H:$H,DATA_GOC!$A:$A,"BOM",DATA_GOC!$D:$D,$B474,DATA_GOC!$E:$E,"Dầu số",DATA_GOC!$F:$F,"Xuất nội bộ từ téc",DATA_GOC!$B:$B,DATE($D$2,$B$2,J$4)),0))</f>
        <v>0</v>
      </c>
      <c r="K474" s="251">
        <f>IF(K$4&gt;DAY(EOMONTH(DATE($D$2,$B$2,1),0)),"",IFERROR(SUMIFS(DATA_GOC!$H:$H,DATA_GOC!$A:$A,"BOM",DATA_GOC!$D:$D,$B474,DATA_GOC!$E:$E,"Dầu số",DATA_GOC!$F:$F,"Xuất nội bộ từ téc",DATA_GOC!$B:$B,DATE($D$2,$B$2,K$4)),0))</f>
        <v>0</v>
      </c>
      <c r="L474" s="251">
        <f>IF(L$4&gt;DAY(EOMONTH(DATE($D$2,$B$2,1),0)),"",IFERROR(SUMIFS(DATA_GOC!$H:$H,DATA_GOC!$A:$A,"BOM",DATA_GOC!$D:$D,$B474,DATA_GOC!$E:$E,"Dầu số",DATA_GOC!$F:$F,"Xuất nội bộ từ téc",DATA_GOC!$B:$B,DATE($D$2,$B$2,L$4)),0))</f>
        <v>0</v>
      </c>
      <c r="M474" s="251">
        <f>IF(M$4&gt;DAY(EOMONTH(DATE($D$2,$B$2,1),0)),"",IFERROR(SUMIFS(DATA_GOC!$H:$H,DATA_GOC!$A:$A,"BOM",DATA_GOC!$D:$D,$B474,DATA_GOC!$E:$E,"Dầu số",DATA_GOC!$F:$F,"Xuất nội bộ từ téc",DATA_GOC!$B:$B,DATE($D$2,$B$2,M$4)),0))</f>
        <v>0</v>
      </c>
      <c r="N474" s="251">
        <f>IF(N$4&gt;DAY(EOMONTH(DATE($D$2,$B$2,1),0)),"",IFERROR(SUMIFS(DATA_GOC!$H:$H,DATA_GOC!$A:$A,"BOM",DATA_GOC!$D:$D,$B474,DATA_GOC!$E:$E,"Dầu số",DATA_GOC!$F:$F,"Xuất nội bộ từ téc",DATA_GOC!$B:$B,DATE($D$2,$B$2,N$4)),0))</f>
        <v>0</v>
      </c>
      <c r="O474" s="251">
        <f>IF(O$4&gt;DAY(EOMONTH(DATE($D$2,$B$2,1),0)),"",IFERROR(SUMIFS(DATA_GOC!$H:$H,DATA_GOC!$A:$A,"BOM",DATA_GOC!$D:$D,$B474,DATA_GOC!$E:$E,"Dầu số",DATA_GOC!$F:$F,"Xuất nội bộ từ téc",DATA_GOC!$B:$B,DATE($D$2,$B$2,O$4)),0))</f>
        <v>0</v>
      </c>
      <c r="P474" s="251">
        <f>IF(P$4&gt;DAY(EOMONTH(DATE($D$2,$B$2,1),0)),"",IFERROR(SUMIFS(DATA_GOC!$H:$H,DATA_GOC!$A:$A,"BOM",DATA_GOC!$D:$D,$B474,DATA_GOC!$E:$E,"Dầu số",DATA_GOC!$F:$F,"Xuất nội bộ từ téc",DATA_GOC!$B:$B,DATE($D$2,$B$2,P$4)),0))</f>
        <v>0</v>
      </c>
      <c r="Q474" s="251">
        <f>IF(Q$4&gt;DAY(EOMONTH(DATE($D$2,$B$2,1),0)),"",IFERROR(SUMIFS(DATA_GOC!$H:$H,DATA_GOC!$A:$A,"BOM",DATA_GOC!$D:$D,$B474,DATA_GOC!$E:$E,"Dầu số",DATA_GOC!$F:$F,"Xuất nội bộ từ téc",DATA_GOC!$B:$B,DATE($D$2,$B$2,Q$4)),0))</f>
        <v>0</v>
      </c>
      <c r="R474" s="251">
        <f>IF(R$4&gt;DAY(EOMONTH(DATE($D$2,$B$2,1),0)),"",IFERROR(SUMIFS(DATA_GOC!$H:$H,DATA_GOC!$A:$A,"BOM",DATA_GOC!$D:$D,$B474,DATA_GOC!$E:$E,"Dầu số",DATA_GOC!$F:$F,"Xuất nội bộ từ téc",DATA_GOC!$B:$B,DATE($D$2,$B$2,R$4)),0))</f>
        <v>0</v>
      </c>
      <c r="S474" s="251">
        <f>IF(S$4&gt;DAY(EOMONTH(DATE($D$2,$B$2,1),0)),"",IFERROR(SUMIFS(DATA_GOC!$H:$H,DATA_GOC!$A:$A,"BOM",DATA_GOC!$D:$D,$B474,DATA_GOC!$E:$E,"Dầu số",DATA_GOC!$F:$F,"Xuất nội bộ từ téc",DATA_GOC!$B:$B,DATE($D$2,$B$2,S$4)),0))</f>
        <v>0</v>
      </c>
      <c r="T474" s="251">
        <f>IF(T$4&gt;DAY(EOMONTH(DATE($D$2,$B$2,1),0)),"",IFERROR(SUMIFS(DATA_GOC!$H:$H,DATA_GOC!$A:$A,"BOM",DATA_GOC!$D:$D,$B474,DATA_GOC!$E:$E,"Dầu số",DATA_GOC!$F:$F,"Xuất nội bộ từ téc",DATA_GOC!$B:$B,DATE($D$2,$B$2,T$4)),0))</f>
        <v>0</v>
      </c>
      <c r="U474" s="251">
        <f>IF(U$4&gt;DAY(EOMONTH(DATE($D$2,$B$2,1),0)),"",IFERROR(SUMIFS(DATA_GOC!$H:$H,DATA_GOC!$A:$A,"BOM",DATA_GOC!$D:$D,$B474,DATA_GOC!$E:$E,"Dầu số",DATA_GOC!$F:$F,"Xuất nội bộ từ téc",DATA_GOC!$B:$B,DATE($D$2,$B$2,U$4)),0))</f>
        <v>0</v>
      </c>
      <c r="V474" s="251">
        <f>IF(V$4&gt;DAY(EOMONTH(DATE($D$2,$B$2,1),0)),"",IFERROR(SUMIFS(DATA_GOC!$H:$H,DATA_GOC!$A:$A,"BOM",DATA_GOC!$D:$D,$B474,DATA_GOC!$E:$E,"Dầu số",DATA_GOC!$F:$F,"Xuất nội bộ từ téc",DATA_GOC!$B:$B,DATE($D$2,$B$2,V$4)),0))</f>
        <v>0</v>
      </c>
      <c r="W474" s="251">
        <f>IF(W$4&gt;DAY(EOMONTH(DATE($D$2,$B$2,1),0)),"",IFERROR(SUMIFS(DATA_GOC!$H:$H,DATA_GOC!$A:$A,"BOM",DATA_GOC!$D:$D,$B474,DATA_GOC!$E:$E,"Dầu số",DATA_GOC!$F:$F,"Xuất nội bộ từ téc",DATA_GOC!$B:$B,DATE($D$2,$B$2,W$4)),0))</f>
        <v>0</v>
      </c>
      <c r="X474" s="251">
        <f>IF(X$4&gt;DAY(EOMONTH(DATE($D$2,$B$2,1),0)),"",IFERROR(SUMIFS(DATA_GOC!$H:$H,DATA_GOC!$A:$A,"BOM",DATA_GOC!$D:$D,$B474,DATA_GOC!$E:$E,"Dầu số",DATA_GOC!$F:$F,"Xuất nội bộ từ téc",DATA_GOC!$B:$B,DATE($D$2,$B$2,X$4)),0))</f>
        <v>0</v>
      </c>
      <c r="Y474" s="251">
        <f>IF(Y$4&gt;DAY(EOMONTH(DATE($D$2,$B$2,1),0)),"",IFERROR(SUMIFS(DATA_GOC!$H:$H,DATA_GOC!$A:$A,"BOM",DATA_GOC!$D:$D,$B474,DATA_GOC!$E:$E,"Dầu số",DATA_GOC!$F:$F,"Xuất nội bộ từ téc",DATA_GOC!$B:$B,DATE($D$2,$B$2,Y$4)),0))</f>
        <v>0</v>
      </c>
      <c r="Z474" s="251">
        <f>IF(Z$4&gt;DAY(EOMONTH(DATE($D$2,$B$2,1),0)),"",IFERROR(SUMIFS(DATA_GOC!$H:$H,DATA_GOC!$A:$A,"BOM",DATA_GOC!$D:$D,$B474,DATA_GOC!$E:$E,"Dầu số",DATA_GOC!$F:$F,"Xuất nội bộ từ téc",DATA_GOC!$B:$B,DATE($D$2,$B$2,Z$4)),0))</f>
        <v>0</v>
      </c>
      <c r="AA474" s="251">
        <f>IF(AA$4&gt;DAY(EOMONTH(DATE($D$2,$B$2,1),0)),"",IFERROR(SUMIFS(DATA_GOC!$H:$H,DATA_GOC!$A:$A,"BOM",DATA_GOC!$D:$D,$B474,DATA_GOC!$E:$E,"Dầu số",DATA_GOC!$F:$F,"Xuất nội bộ từ téc",DATA_GOC!$B:$B,DATE($D$2,$B$2,AA$4)),0))</f>
        <v>0</v>
      </c>
      <c r="AB474" s="251">
        <f>IF(AB$4&gt;DAY(EOMONTH(DATE($D$2,$B$2,1),0)),"",IFERROR(SUMIFS(DATA_GOC!$H:$H,DATA_GOC!$A:$A,"BOM",DATA_GOC!$D:$D,$B474,DATA_GOC!$E:$E,"Dầu số",DATA_GOC!$F:$F,"Xuất nội bộ từ téc",DATA_GOC!$B:$B,DATE($D$2,$B$2,AB$4)),0))</f>
        <v>0</v>
      </c>
      <c r="AC474" s="251">
        <f>IF(AC$4&gt;DAY(EOMONTH(DATE($D$2,$B$2,1),0)),"",IFERROR(SUMIFS(DATA_GOC!$H:$H,DATA_GOC!$A:$A,"BOM",DATA_GOC!$D:$D,$B474,DATA_GOC!$E:$E,"Dầu số",DATA_GOC!$F:$F,"Xuất nội bộ từ téc",DATA_GOC!$B:$B,DATE($D$2,$B$2,AC$4)),0))</f>
        <v>0</v>
      </c>
      <c r="AD474" s="251">
        <f>IF(AD$4&gt;DAY(EOMONTH(DATE($D$2,$B$2,1),0)),"",IFERROR(SUMIFS(DATA_GOC!$H:$H,DATA_GOC!$A:$A,"BOM",DATA_GOC!$D:$D,$B474,DATA_GOC!$E:$E,"Dầu số",DATA_GOC!$F:$F,"Xuất nội bộ từ téc",DATA_GOC!$B:$B,DATE($D$2,$B$2,AD$4)),0))</f>
        <v>0</v>
      </c>
      <c r="AE474" s="251">
        <f>IF(AE$4&gt;DAY(EOMONTH(DATE($D$2,$B$2,1),0)),"",IFERROR(SUMIFS(DATA_GOC!$H:$H,DATA_GOC!$A:$A,"BOM",DATA_GOC!$D:$D,$B474,DATA_GOC!$E:$E,"Dầu số",DATA_GOC!$F:$F,"Xuất nội bộ từ téc",DATA_GOC!$B:$B,DATE($D$2,$B$2,AE$4)),0))</f>
        <v>0</v>
      </c>
      <c r="AF474" s="251">
        <f>IF(AF$4&gt;DAY(EOMONTH(DATE($D$2,$B$2,1),0)),"",IFERROR(SUMIFS(DATA_GOC!$H:$H,DATA_GOC!$A:$A,"BOM",DATA_GOC!$D:$D,$B474,DATA_GOC!$E:$E,"Dầu số",DATA_GOC!$F:$F,"Xuất nội bộ từ téc",DATA_GOC!$B:$B,DATE($D$2,$B$2,AF$4)),0))</f>
        <v>0</v>
      </c>
      <c r="AG474" s="251">
        <f>IF(AG$4&gt;DAY(EOMONTH(DATE($D$2,$B$2,1),0)),"",IFERROR(SUMIFS(DATA_GOC!$H:$H,DATA_GOC!$A:$A,"BOM",DATA_GOC!$D:$D,$B474,DATA_GOC!$E:$E,"Dầu số",DATA_GOC!$F:$F,"Xuất nội bộ từ téc",DATA_GOC!$B:$B,DATE($D$2,$B$2,AG$4)),0))</f>
        <v>0</v>
      </c>
      <c r="AH474" s="252">
        <f t="shared" si="22"/>
        <v>0</v>
      </c>
      <c r="AI474" s="241"/>
      <c r="AJ474" s="242">
        <f>IF($B474="","",SUMIFS(TINH_TEC!$K$233:$K$9232,TINH_TEC!$H$233:$H$9232,$B474,TINH_TEC!$C$233:$C$9232,"Dầu số",TINH_TEC!$F$233:$F$9232,$B$2,TINH_TEC!$G$233:$G$9232,$D$2,TINH_TEC!$B$233:$B$9232,"Đã chốt"))</f>
        <v>0</v>
      </c>
      <c r="AK474" s="242">
        <f>IF($B474="","",SUMIFS(TINH_TEC!$J$233:$J$9232,TINH_TEC!$H$233:$H$9232,$B474,TINH_TEC!$C$233:$C$9232,"Dầu số",TINH_TEC!$F$233:$F$9232,$B$2,TINH_TEC!$G$233:$G$9232,$D$2,TINH_TEC!$B$233:$B$9232,"Đã chốt"))</f>
        <v>0</v>
      </c>
      <c r="AL474" s="242">
        <f t="shared" si="23"/>
        <v>0</v>
      </c>
    </row>
    <row r="475" ht="15.75" customHeight="1">
      <c r="A475" s="237">
        <f>IF($B475&lt;&gt;"",43,"")</f>
        <v>43</v>
      </c>
      <c r="B475" s="250" t="str">
        <f t="array" ref="B475">IFERROR(INDEX(DANH_MUC!$E:$E,46),"")</f>
        <v>29E17410</v>
      </c>
      <c r="C475" s="251">
        <f>IF(C$4&gt;DAY(EOMONTH(DATE($D$2,$B$2,1),0)),"",IFERROR(SUMIFS(DATA_GOC!$H:$H,DATA_GOC!$A:$A,"BOM",DATA_GOC!$D:$D,$B475,DATA_GOC!$E:$E,"Dầu số",DATA_GOC!$F:$F,"Xuất nội bộ từ téc",DATA_GOC!$B:$B,DATE($D$2,$B$2,C$4)),0))</f>
        <v>0</v>
      </c>
      <c r="D475" s="251">
        <f>IF(D$4&gt;DAY(EOMONTH(DATE($D$2,$B$2,1),0)),"",IFERROR(SUMIFS(DATA_GOC!$H:$H,DATA_GOC!$A:$A,"BOM",DATA_GOC!$D:$D,$B475,DATA_GOC!$E:$E,"Dầu số",DATA_GOC!$F:$F,"Xuất nội bộ từ téc",DATA_GOC!$B:$B,DATE($D$2,$B$2,D$4)),0))</f>
        <v>0</v>
      </c>
      <c r="E475" s="251">
        <f>IF(E$4&gt;DAY(EOMONTH(DATE($D$2,$B$2,1),0)),"",IFERROR(SUMIFS(DATA_GOC!$H:$H,DATA_GOC!$A:$A,"BOM",DATA_GOC!$D:$D,$B475,DATA_GOC!$E:$E,"Dầu số",DATA_GOC!$F:$F,"Xuất nội bộ từ téc",DATA_GOC!$B:$B,DATE($D$2,$B$2,E$4)),0))</f>
        <v>0</v>
      </c>
      <c r="F475" s="251">
        <f>IF(F$4&gt;DAY(EOMONTH(DATE($D$2,$B$2,1),0)),"",IFERROR(SUMIFS(DATA_GOC!$H:$H,DATA_GOC!$A:$A,"BOM",DATA_GOC!$D:$D,$B475,DATA_GOC!$E:$E,"Dầu số",DATA_GOC!$F:$F,"Xuất nội bộ từ téc",DATA_GOC!$B:$B,DATE($D$2,$B$2,F$4)),0))</f>
        <v>0</v>
      </c>
      <c r="G475" s="251">
        <f>IF(G$4&gt;DAY(EOMONTH(DATE($D$2,$B$2,1),0)),"",IFERROR(SUMIFS(DATA_GOC!$H:$H,DATA_GOC!$A:$A,"BOM",DATA_GOC!$D:$D,$B475,DATA_GOC!$E:$E,"Dầu số",DATA_GOC!$F:$F,"Xuất nội bộ từ téc",DATA_GOC!$B:$B,DATE($D$2,$B$2,G$4)),0))</f>
        <v>0</v>
      </c>
      <c r="H475" s="251">
        <f>IF(H$4&gt;DAY(EOMONTH(DATE($D$2,$B$2,1),0)),"",IFERROR(SUMIFS(DATA_GOC!$H:$H,DATA_GOC!$A:$A,"BOM",DATA_GOC!$D:$D,$B475,DATA_GOC!$E:$E,"Dầu số",DATA_GOC!$F:$F,"Xuất nội bộ từ téc",DATA_GOC!$B:$B,DATE($D$2,$B$2,H$4)),0))</f>
        <v>0</v>
      </c>
      <c r="I475" s="251">
        <f>IF(I$4&gt;DAY(EOMONTH(DATE($D$2,$B$2,1),0)),"",IFERROR(SUMIFS(DATA_GOC!$H:$H,DATA_GOC!$A:$A,"BOM",DATA_GOC!$D:$D,$B475,DATA_GOC!$E:$E,"Dầu số",DATA_GOC!$F:$F,"Xuất nội bộ từ téc",DATA_GOC!$B:$B,DATE($D$2,$B$2,I$4)),0))</f>
        <v>0</v>
      </c>
      <c r="J475" s="251">
        <f>IF(J$4&gt;DAY(EOMONTH(DATE($D$2,$B$2,1),0)),"",IFERROR(SUMIFS(DATA_GOC!$H:$H,DATA_GOC!$A:$A,"BOM",DATA_GOC!$D:$D,$B475,DATA_GOC!$E:$E,"Dầu số",DATA_GOC!$F:$F,"Xuất nội bộ từ téc",DATA_GOC!$B:$B,DATE($D$2,$B$2,J$4)),0))</f>
        <v>0</v>
      </c>
      <c r="K475" s="251">
        <f>IF(K$4&gt;DAY(EOMONTH(DATE($D$2,$B$2,1),0)),"",IFERROR(SUMIFS(DATA_GOC!$H:$H,DATA_GOC!$A:$A,"BOM",DATA_GOC!$D:$D,$B475,DATA_GOC!$E:$E,"Dầu số",DATA_GOC!$F:$F,"Xuất nội bộ từ téc",DATA_GOC!$B:$B,DATE($D$2,$B$2,K$4)),0))</f>
        <v>0</v>
      </c>
      <c r="L475" s="251">
        <f>IF(L$4&gt;DAY(EOMONTH(DATE($D$2,$B$2,1),0)),"",IFERROR(SUMIFS(DATA_GOC!$H:$H,DATA_GOC!$A:$A,"BOM",DATA_GOC!$D:$D,$B475,DATA_GOC!$E:$E,"Dầu số",DATA_GOC!$F:$F,"Xuất nội bộ từ téc",DATA_GOC!$B:$B,DATE($D$2,$B$2,L$4)),0))</f>
        <v>0</v>
      </c>
      <c r="M475" s="251">
        <f>IF(M$4&gt;DAY(EOMONTH(DATE($D$2,$B$2,1),0)),"",IFERROR(SUMIFS(DATA_GOC!$H:$H,DATA_GOC!$A:$A,"BOM",DATA_GOC!$D:$D,$B475,DATA_GOC!$E:$E,"Dầu số",DATA_GOC!$F:$F,"Xuất nội bộ từ téc",DATA_GOC!$B:$B,DATE($D$2,$B$2,M$4)),0))</f>
        <v>0</v>
      </c>
      <c r="N475" s="251">
        <f>IF(N$4&gt;DAY(EOMONTH(DATE($D$2,$B$2,1),0)),"",IFERROR(SUMIFS(DATA_GOC!$H:$H,DATA_GOC!$A:$A,"BOM",DATA_GOC!$D:$D,$B475,DATA_GOC!$E:$E,"Dầu số",DATA_GOC!$F:$F,"Xuất nội bộ từ téc",DATA_GOC!$B:$B,DATE($D$2,$B$2,N$4)),0))</f>
        <v>0</v>
      </c>
      <c r="O475" s="251">
        <f>IF(O$4&gt;DAY(EOMONTH(DATE($D$2,$B$2,1),0)),"",IFERROR(SUMIFS(DATA_GOC!$H:$H,DATA_GOC!$A:$A,"BOM",DATA_GOC!$D:$D,$B475,DATA_GOC!$E:$E,"Dầu số",DATA_GOC!$F:$F,"Xuất nội bộ từ téc",DATA_GOC!$B:$B,DATE($D$2,$B$2,O$4)),0))</f>
        <v>0</v>
      </c>
      <c r="P475" s="251">
        <f>IF(P$4&gt;DAY(EOMONTH(DATE($D$2,$B$2,1),0)),"",IFERROR(SUMIFS(DATA_GOC!$H:$H,DATA_GOC!$A:$A,"BOM",DATA_GOC!$D:$D,$B475,DATA_GOC!$E:$E,"Dầu số",DATA_GOC!$F:$F,"Xuất nội bộ từ téc",DATA_GOC!$B:$B,DATE($D$2,$B$2,P$4)),0))</f>
        <v>0</v>
      </c>
      <c r="Q475" s="251">
        <f>IF(Q$4&gt;DAY(EOMONTH(DATE($D$2,$B$2,1),0)),"",IFERROR(SUMIFS(DATA_GOC!$H:$H,DATA_GOC!$A:$A,"BOM",DATA_GOC!$D:$D,$B475,DATA_GOC!$E:$E,"Dầu số",DATA_GOC!$F:$F,"Xuất nội bộ từ téc",DATA_GOC!$B:$B,DATE($D$2,$B$2,Q$4)),0))</f>
        <v>0</v>
      </c>
      <c r="R475" s="251">
        <f>IF(R$4&gt;DAY(EOMONTH(DATE($D$2,$B$2,1),0)),"",IFERROR(SUMIFS(DATA_GOC!$H:$H,DATA_GOC!$A:$A,"BOM",DATA_GOC!$D:$D,$B475,DATA_GOC!$E:$E,"Dầu số",DATA_GOC!$F:$F,"Xuất nội bộ từ téc",DATA_GOC!$B:$B,DATE($D$2,$B$2,R$4)),0))</f>
        <v>0</v>
      </c>
      <c r="S475" s="251">
        <f>IF(S$4&gt;DAY(EOMONTH(DATE($D$2,$B$2,1),0)),"",IFERROR(SUMIFS(DATA_GOC!$H:$H,DATA_GOC!$A:$A,"BOM",DATA_GOC!$D:$D,$B475,DATA_GOC!$E:$E,"Dầu số",DATA_GOC!$F:$F,"Xuất nội bộ từ téc",DATA_GOC!$B:$B,DATE($D$2,$B$2,S$4)),0))</f>
        <v>0</v>
      </c>
      <c r="T475" s="251">
        <f>IF(T$4&gt;DAY(EOMONTH(DATE($D$2,$B$2,1),0)),"",IFERROR(SUMIFS(DATA_GOC!$H:$H,DATA_GOC!$A:$A,"BOM",DATA_GOC!$D:$D,$B475,DATA_GOC!$E:$E,"Dầu số",DATA_GOC!$F:$F,"Xuất nội bộ từ téc",DATA_GOC!$B:$B,DATE($D$2,$B$2,T$4)),0))</f>
        <v>0</v>
      </c>
      <c r="U475" s="251">
        <f>IF(U$4&gt;DAY(EOMONTH(DATE($D$2,$B$2,1),0)),"",IFERROR(SUMIFS(DATA_GOC!$H:$H,DATA_GOC!$A:$A,"BOM",DATA_GOC!$D:$D,$B475,DATA_GOC!$E:$E,"Dầu số",DATA_GOC!$F:$F,"Xuất nội bộ từ téc",DATA_GOC!$B:$B,DATE($D$2,$B$2,U$4)),0))</f>
        <v>0</v>
      </c>
      <c r="V475" s="251">
        <f>IF(V$4&gt;DAY(EOMONTH(DATE($D$2,$B$2,1),0)),"",IFERROR(SUMIFS(DATA_GOC!$H:$H,DATA_GOC!$A:$A,"BOM",DATA_GOC!$D:$D,$B475,DATA_GOC!$E:$E,"Dầu số",DATA_GOC!$F:$F,"Xuất nội bộ từ téc",DATA_GOC!$B:$B,DATE($D$2,$B$2,V$4)),0))</f>
        <v>0</v>
      </c>
      <c r="W475" s="251">
        <f>IF(W$4&gt;DAY(EOMONTH(DATE($D$2,$B$2,1),0)),"",IFERROR(SUMIFS(DATA_GOC!$H:$H,DATA_GOC!$A:$A,"BOM",DATA_GOC!$D:$D,$B475,DATA_GOC!$E:$E,"Dầu số",DATA_GOC!$F:$F,"Xuất nội bộ từ téc",DATA_GOC!$B:$B,DATE($D$2,$B$2,W$4)),0))</f>
        <v>0</v>
      </c>
      <c r="X475" s="251">
        <f>IF(X$4&gt;DAY(EOMONTH(DATE($D$2,$B$2,1),0)),"",IFERROR(SUMIFS(DATA_GOC!$H:$H,DATA_GOC!$A:$A,"BOM",DATA_GOC!$D:$D,$B475,DATA_GOC!$E:$E,"Dầu số",DATA_GOC!$F:$F,"Xuất nội bộ từ téc",DATA_GOC!$B:$B,DATE($D$2,$B$2,X$4)),0))</f>
        <v>0</v>
      </c>
      <c r="Y475" s="251">
        <f>IF(Y$4&gt;DAY(EOMONTH(DATE($D$2,$B$2,1),0)),"",IFERROR(SUMIFS(DATA_GOC!$H:$H,DATA_GOC!$A:$A,"BOM",DATA_GOC!$D:$D,$B475,DATA_GOC!$E:$E,"Dầu số",DATA_GOC!$F:$F,"Xuất nội bộ từ téc",DATA_GOC!$B:$B,DATE($D$2,$B$2,Y$4)),0))</f>
        <v>0</v>
      </c>
      <c r="Z475" s="251">
        <f>IF(Z$4&gt;DAY(EOMONTH(DATE($D$2,$B$2,1),0)),"",IFERROR(SUMIFS(DATA_GOC!$H:$H,DATA_GOC!$A:$A,"BOM",DATA_GOC!$D:$D,$B475,DATA_GOC!$E:$E,"Dầu số",DATA_GOC!$F:$F,"Xuất nội bộ từ téc",DATA_GOC!$B:$B,DATE($D$2,$B$2,Z$4)),0))</f>
        <v>0</v>
      </c>
      <c r="AA475" s="251">
        <f>IF(AA$4&gt;DAY(EOMONTH(DATE($D$2,$B$2,1),0)),"",IFERROR(SUMIFS(DATA_GOC!$H:$H,DATA_GOC!$A:$A,"BOM",DATA_GOC!$D:$D,$B475,DATA_GOC!$E:$E,"Dầu số",DATA_GOC!$F:$F,"Xuất nội bộ từ téc",DATA_GOC!$B:$B,DATE($D$2,$B$2,AA$4)),0))</f>
        <v>0</v>
      </c>
      <c r="AB475" s="251">
        <f>IF(AB$4&gt;DAY(EOMONTH(DATE($D$2,$B$2,1),0)),"",IFERROR(SUMIFS(DATA_GOC!$H:$H,DATA_GOC!$A:$A,"BOM",DATA_GOC!$D:$D,$B475,DATA_GOC!$E:$E,"Dầu số",DATA_GOC!$F:$F,"Xuất nội bộ từ téc",DATA_GOC!$B:$B,DATE($D$2,$B$2,AB$4)),0))</f>
        <v>0</v>
      </c>
      <c r="AC475" s="251">
        <f>IF(AC$4&gt;DAY(EOMONTH(DATE($D$2,$B$2,1),0)),"",IFERROR(SUMIFS(DATA_GOC!$H:$H,DATA_GOC!$A:$A,"BOM",DATA_GOC!$D:$D,$B475,DATA_GOC!$E:$E,"Dầu số",DATA_GOC!$F:$F,"Xuất nội bộ từ téc",DATA_GOC!$B:$B,DATE($D$2,$B$2,AC$4)),0))</f>
        <v>0</v>
      </c>
      <c r="AD475" s="251">
        <f>IF(AD$4&gt;DAY(EOMONTH(DATE($D$2,$B$2,1),0)),"",IFERROR(SUMIFS(DATA_GOC!$H:$H,DATA_GOC!$A:$A,"BOM",DATA_GOC!$D:$D,$B475,DATA_GOC!$E:$E,"Dầu số",DATA_GOC!$F:$F,"Xuất nội bộ từ téc",DATA_GOC!$B:$B,DATE($D$2,$B$2,AD$4)),0))</f>
        <v>0</v>
      </c>
      <c r="AE475" s="251">
        <f>IF(AE$4&gt;DAY(EOMONTH(DATE($D$2,$B$2,1),0)),"",IFERROR(SUMIFS(DATA_GOC!$H:$H,DATA_GOC!$A:$A,"BOM",DATA_GOC!$D:$D,$B475,DATA_GOC!$E:$E,"Dầu số",DATA_GOC!$F:$F,"Xuất nội bộ từ téc",DATA_GOC!$B:$B,DATE($D$2,$B$2,AE$4)),0))</f>
        <v>0</v>
      </c>
      <c r="AF475" s="251">
        <f>IF(AF$4&gt;DAY(EOMONTH(DATE($D$2,$B$2,1),0)),"",IFERROR(SUMIFS(DATA_GOC!$H:$H,DATA_GOC!$A:$A,"BOM",DATA_GOC!$D:$D,$B475,DATA_GOC!$E:$E,"Dầu số",DATA_GOC!$F:$F,"Xuất nội bộ từ téc",DATA_GOC!$B:$B,DATE($D$2,$B$2,AF$4)),0))</f>
        <v>0</v>
      </c>
      <c r="AG475" s="251">
        <f>IF(AG$4&gt;DAY(EOMONTH(DATE($D$2,$B$2,1),0)),"",IFERROR(SUMIFS(DATA_GOC!$H:$H,DATA_GOC!$A:$A,"BOM",DATA_GOC!$D:$D,$B475,DATA_GOC!$E:$E,"Dầu số",DATA_GOC!$F:$F,"Xuất nội bộ từ téc",DATA_GOC!$B:$B,DATE($D$2,$B$2,AG$4)),0))</f>
        <v>0</v>
      </c>
      <c r="AH475" s="252">
        <f t="shared" si="22"/>
        <v>0</v>
      </c>
      <c r="AI475" s="241"/>
      <c r="AJ475" s="242">
        <f>IF($B475="","",SUMIFS(TINH_TEC!$K$233:$K$9232,TINH_TEC!$H$233:$H$9232,$B475,TINH_TEC!$C$233:$C$9232,"Dầu số",TINH_TEC!$F$233:$F$9232,$B$2,TINH_TEC!$G$233:$G$9232,$D$2,TINH_TEC!$B$233:$B$9232,"Đã chốt"))</f>
        <v>0</v>
      </c>
      <c r="AK475" s="242">
        <f>IF($B475="","",SUMIFS(TINH_TEC!$J$233:$J$9232,TINH_TEC!$H$233:$H$9232,$B475,TINH_TEC!$C$233:$C$9232,"Dầu số",TINH_TEC!$F$233:$F$9232,$B$2,TINH_TEC!$G$233:$G$9232,$D$2,TINH_TEC!$B$233:$B$9232,"Đã chốt"))</f>
        <v>0</v>
      </c>
      <c r="AL475" s="242">
        <f t="shared" si="23"/>
        <v>0</v>
      </c>
    </row>
    <row r="476" ht="15.75" customHeight="1">
      <c r="A476" s="237">
        <f>IF($B476&lt;&gt;"",44,"")</f>
        <v>44</v>
      </c>
      <c r="B476" s="250" t="str">
        <f t="array" ref="B476">IFERROR(INDEX(DANH_MUC!$E:$E,47),"")</f>
        <v>29E17417</v>
      </c>
      <c r="C476" s="251">
        <f>IF(C$4&gt;DAY(EOMONTH(DATE($D$2,$B$2,1),0)),"",IFERROR(SUMIFS(DATA_GOC!$H:$H,DATA_GOC!$A:$A,"BOM",DATA_GOC!$D:$D,$B476,DATA_GOC!$E:$E,"Dầu số",DATA_GOC!$F:$F,"Xuất nội bộ từ téc",DATA_GOC!$B:$B,DATE($D$2,$B$2,C$4)),0))</f>
        <v>0</v>
      </c>
      <c r="D476" s="251">
        <f>IF(D$4&gt;DAY(EOMONTH(DATE($D$2,$B$2,1),0)),"",IFERROR(SUMIFS(DATA_GOC!$H:$H,DATA_GOC!$A:$A,"BOM",DATA_GOC!$D:$D,$B476,DATA_GOC!$E:$E,"Dầu số",DATA_GOC!$F:$F,"Xuất nội bộ từ téc",DATA_GOC!$B:$B,DATE($D$2,$B$2,D$4)),0))</f>
        <v>0</v>
      </c>
      <c r="E476" s="251">
        <f>IF(E$4&gt;DAY(EOMONTH(DATE($D$2,$B$2,1),0)),"",IFERROR(SUMIFS(DATA_GOC!$H:$H,DATA_GOC!$A:$A,"BOM",DATA_GOC!$D:$D,$B476,DATA_GOC!$E:$E,"Dầu số",DATA_GOC!$F:$F,"Xuất nội bộ từ téc",DATA_GOC!$B:$B,DATE($D$2,$B$2,E$4)),0))</f>
        <v>0</v>
      </c>
      <c r="F476" s="251">
        <f>IF(F$4&gt;DAY(EOMONTH(DATE($D$2,$B$2,1),0)),"",IFERROR(SUMIFS(DATA_GOC!$H:$H,DATA_GOC!$A:$A,"BOM",DATA_GOC!$D:$D,$B476,DATA_GOC!$E:$E,"Dầu số",DATA_GOC!$F:$F,"Xuất nội bộ từ téc",DATA_GOC!$B:$B,DATE($D$2,$B$2,F$4)),0))</f>
        <v>0</v>
      </c>
      <c r="G476" s="251">
        <f>IF(G$4&gt;DAY(EOMONTH(DATE($D$2,$B$2,1),0)),"",IFERROR(SUMIFS(DATA_GOC!$H:$H,DATA_GOC!$A:$A,"BOM",DATA_GOC!$D:$D,$B476,DATA_GOC!$E:$E,"Dầu số",DATA_GOC!$F:$F,"Xuất nội bộ từ téc",DATA_GOC!$B:$B,DATE($D$2,$B$2,G$4)),0))</f>
        <v>0</v>
      </c>
      <c r="H476" s="251">
        <f>IF(H$4&gt;DAY(EOMONTH(DATE($D$2,$B$2,1),0)),"",IFERROR(SUMIFS(DATA_GOC!$H:$H,DATA_GOC!$A:$A,"BOM",DATA_GOC!$D:$D,$B476,DATA_GOC!$E:$E,"Dầu số",DATA_GOC!$F:$F,"Xuất nội bộ từ téc",DATA_GOC!$B:$B,DATE($D$2,$B$2,H$4)),0))</f>
        <v>0</v>
      </c>
      <c r="I476" s="251">
        <f>IF(I$4&gt;DAY(EOMONTH(DATE($D$2,$B$2,1),0)),"",IFERROR(SUMIFS(DATA_GOC!$H:$H,DATA_GOC!$A:$A,"BOM",DATA_GOC!$D:$D,$B476,DATA_GOC!$E:$E,"Dầu số",DATA_GOC!$F:$F,"Xuất nội bộ từ téc",DATA_GOC!$B:$B,DATE($D$2,$B$2,I$4)),0))</f>
        <v>0</v>
      </c>
      <c r="J476" s="251">
        <f>IF(J$4&gt;DAY(EOMONTH(DATE($D$2,$B$2,1),0)),"",IFERROR(SUMIFS(DATA_GOC!$H:$H,DATA_GOC!$A:$A,"BOM",DATA_GOC!$D:$D,$B476,DATA_GOC!$E:$E,"Dầu số",DATA_GOC!$F:$F,"Xuất nội bộ từ téc",DATA_GOC!$B:$B,DATE($D$2,$B$2,J$4)),0))</f>
        <v>0</v>
      </c>
      <c r="K476" s="251">
        <f>IF(K$4&gt;DAY(EOMONTH(DATE($D$2,$B$2,1),0)),"",IFERROR(SUMIFS(DATA_GOC!$H:$H,DATA_GOC!$A:$A,"BOM",DATA_GOC!$D:$D,$B476,DATA_GOC!$E:$E,"Dầu số",DATA_GOC!$F:$F,"Xuất nội bộ từ téc",DATA_GOC!$B:$B,DATE($D$2,$B$2,K$4)),0))</f>
        <v>0</v>
      </c>
      <c r="L476" s="251">
        <f>IF(L$4&gt;DAY(EOMONTH(DATE($D$2,$B$2,1),0)),"",IFERROR(SUMIFS(DATA_GOC!$H:$H,DATA_GOC!$A:$A,"BOM",DATA_GOC!$D:$D,$B476,DATA_GOC!$E:$E,"Dầu số",DATA_GOC!$F:$F,"Xuất nội bộ từ téc",DATA_GOC!$B:$B,DATE($D$2,$B$2,L$4)),0))</f>
        <v>0</v>
      </c>
      <c r="M476" s="251">
        <f>IF(M$4&gt;DAY(EOMONTH(DATE($D$2,$B$2,1),0)),"",IFERROR(SUMIFS(DATA_GOC!$H:$H,DATA_GOC!$A:$A,"BOM",DATA_GOC!$D:$D,$B476,DATA_GOC!$E:$E,"Dầu số",DATA_GOC!$F:$F,"Xuất nội bộ từ téc",DATA_GOC!$B:$B,DATE($D$2,$B$2,M$4)),0))</f>
        <v>0</v>
      </c>
      <c r="N476" s="251">
        <f>IF(N$4&gt;DAY(EOMONTH(DATE($D$2,$B$2,1),0)),"",IFERROR(SUMIFS(DATA_GOC!$H:$H,DATA_GOC!$A:$A,"BOM",DATA_GOC!$D:$D,$B476,DATA_GOC!$E:$E,"Dầu số",DATA_GOC!$F:$F,"Xuất nội bộ từ téc",DATA_GOC!$B:$B,DATE($D$2,$B$2,N$4)),0))</f>
        <v>0</v>
      </c>
      <c r="O476" s="251">
        <f>IF(O$4&gt;DAY(EOMONTH(DATE($D$2,$B$2,1),0)),"",IFERROR(SUMIFS(DATA_GOC!$H:$H,DATA_GOC!$A:$A,"BOM",DATA_GOC!$D:$D,$B476,DATA_GOC!$E:$E,"Dầu số",DATA_GOC!$F:$F,"Xuất nội bộ từ téc",DATA_GOC!$B:$B,DATE($D$2,$B$2,O$4)),0))</f>
        <v>0</v>
      </c>
      <c r="P476" s="251">
        <f>IF(P$4&gt;DAY(EOMONTH(DATE($D$2,$B$2,1),0)),"",IFERROR(SUMIFS(DATA_GOC!$H:$H,DATA_GOC!$A:$A,"BOM",DATA_GOC!$D:$D,$B476,DATA_GOC!$E:$E,"Dầu số",DATA_GOC!$F:$F,"Xuất nội bộ từ téc",DATA_GOC!$B:$B,DATE($D$2,$B$2,P$4)),0))</f>
        <v>0</v>
      </c>
      <c r="Q476" s="251">
        <f>IF(Q$4&gt;DAY(EOMONTH(DATE($D$2,$B$2,1),0)),"",IFERROR(SUMIFS(DATA_GOC!$H:$H,DATA_GOC!$A:$A,"BOM",DATA_GOC!$D:$D,$B476,DATA_GOC!$E:$E,"Dầu số",DATA_GOC!$F:$F,"Xuất nội bộ từ téc",DATA_GOC!$B:$B,DATE($D$2,$B$2,Q$4)),0))</f>
        <v>0</v>
      </c>
      <c r="R476" s="251">
        <f>IF(R$4&gt;DAY(EOMONTH(DATE($D$2,$B$2,1),0)),"",IFERROR(SUMIFS(DATA_GOC!$H:$H,DATA_GOC!$A:$A,"BOM",DATA_GOC!$D:$D,$B476,DATA_GOC!$E:$E,"Dầu số",DATA_GOC!$F:$F,"Xuất nội bộ từ téc",DATA_GOC!$B:$B,DATE($D$2,$B$2,R$4)),0))</f>
        <v>0</v>
      </c>
      <c r="S476" s="251">
        <f>IF(S$4&gt;DAY(EOMONTH(DATE($D$2,$B$2,1),0)),"",IFERROR(SUMIFS(DATA_GOC!$H:$H,DATA_GOC!$A:$A,"BOM",DATA_GOC!$D:$D,$B476,DATA_GOC!$E:$E,"Dầu số",DATA_GOC!$F:$F,"Xuất nội bộ từ téc",DATA_GOC!$B:$B,DATE($D$2,$B$2,S$4)),0))</f>
        <v>0</v>
      </c>
      <c r="T476" s="251">
        <f>IF(T$4&gt;DAY(EOMONTH(DATE($D$2,$B$2,1),0)),"",IFERROR(SUMIFS(DATA_GOC!$H:$H,DATA_GOC!$A:$A,"BOM",DATA_GOC!$D:$D,$B476,DATA_GOC!$E:$E,"Dầu số",DATA_GOC!$F:$F,"Xuất nội bộ từ téc",DATA_GOC!$B:$B,DATE($D$2,$B$2,T$4)),0))</f>
        <v>0</v>
      </c>
      <c r="U476" s="251">
        <f>IF(U$4&gt;DAY(EOMONTH(DATE($D$2,$B$2,1),0)),"",IFERROR(SUMIFS(DATA_GOC!$H:$H,DATA_GOC!$A:$A,"BOM",DATA_GOC!$D:$D,$B476,DATA_GOC!$E:$E,"Dầu số",DATA_GOC!$F:$F,"Xuất nội bộ từ téc",DATA_GOC!$B:$B,DATE($D$2,$B$2,U$4)),0))</f>
        <v>0</v>
      </c>
      <c r="V476" s="251">
        <f>IF(V$4&gt;DAY(EOMONTH(DATE($D$2,$B$2,1),0)),"",IFERROR(SUMIFS(DATA_GOC!$H:$H,DATA_GOC!$A:$A,"BOM",DATA_GOC!$D:$D,$B476,DATA_GOC!$E:$E,"Dầu số",DATA_GOC!$F:$F,"Xuất nội bộ từ téc",DATA_GOC!$B:$B,DATE($D$2,$B$2,V$4)),0))</f>
        <v>0</v>
      </c>
      <c r="W476" s="251">
        <f>IF(W$4&gt;DAY(EOMONTH(DATE($D$2,$B$2,1),0)),"",IFERROR(SUMIFS(DATA_GOC!$H:$H,DATA_GOC!$A:$A,"BOM",DATA_GOC!$D:$D,$B476,DATA_GOC!$E:$E,"Dầu số",DATA_GOC!$F:$F,"Xuất nội bộ từ téc",DATA_GOC!$B:$B,DATE($D$2,$B$2,W$4)),0))</f>
        <v>0</v>
      </c>
      <c r="X476" s="251">
        <f>IF(X$4&gt;DAY(EOMONTH(DATE($D$2,$B$2,1),0)),"",IFERROR(SUMIFS(DATA_GOC!$H:$H,DATA_GOC!$A:$A,"BOM",DATA_GOC!$D:$D,$B476,DATA_GOC!$E:$E,"Dầu số",DATA_GOC!$F:$F,"Xuất nội bộ từ téc",DATA_GOC!$B:$B,DATE($D$2,$B$2,X$4)),0))</f>
        <v>0</v>
      </c>
      <c r="Y476" s="251">
        <f>IF(Y$4&gt;DAY(EOMONTH(DATE($D$2,$B$2,1),0)),"",IFERROR(SUMIFS(DATA_GOC!$H:$H,DATA_GOC!$A:$A,"BOM",DATA_GOC!$D:$D,$B476,DATA_GOC!$E:$E,"Dầu số",DATA_GOC!$F:$F,"Xuất nội bộ từ téc",DATA_GOC!$B:$B,DATE($D$2,$B$2,Y$4)),0))</f>
        <v>0</v>
      </c>
      <c r="Z476" s="251">
        <f>IF(Z$4&gt;DAY(EOMONTH(DATE($D$2,$B$2,1),0)),"",IFERROR(SUMIFS(DATA_GOC!$H:$H,DATA_GOC!$A:$A,"BOM",DATA_GOC!$D:$D,$B476,DATA_GOC!$E:$E,"Dầu số",DATA_GOC!$F:$F,"Xuất nội bộ từ téc",DATA_GOC!$B:$B,DATE($D$2,$B$2,Z$4)),0))</f>
        <v>0</v>
      </c>
      <c r="AA476" s="251">
        <f>IF(AA$4&gt;DAY(EOMONTH(DATE($D$2,$B$2,1),0)),"",IFERROR(SUMIFS(DATA_GOC!$H:$H,DATA_GOC!$A:$A,"BOM",DATA_GOC!$D:$D,$B476,DATA_GOC!$E:$E,"Dầu số",DATA_GOC!$F:$F,"Xuất nội bộ từ téc",DATA_GOC!$B:$B,DATE($D$2,$B$2,AA$4)),0))</f>
        <v>0</v>
      </c>
      <c r="AB476" s="251">
        <f>IF(AB$4&gt;DAY(EOMONTH(DATE($D$2,$B$2,1),0)),"",IFERROR(SUMIFS(DATA_GOC!$H:$H,DATA_GOC!$A:$A,"BOM",DATA_GOC!$D:$D,$B476,DATA_GOC!$E:$E,"Dầu số",DATA_GOC!$F:$F,"Xuất nội bộ từ téc",DATA_GOC!$B:$B,DATE($D$2,$B$2,AB$4)),0))</f>
        <v>0</v>
      </c>
      <c r="AC476" s="251">
        <f>IF(AC$4&gt;DAY(EOMONTH(DATE($D$2,$B$2,1),0)),"",IFERROR(SUMIFS(DATA_GOC!$H:$H,DATA_GOC!$A:$A,"BOM",DATA_GOC!$D:$D,$B476,DATA_GOC!$E:$E,"Dầu số",DATA_GOC!$F:$F,"Xuất nội bộ từ téc",DATA_GOC!$B:$B,DATE($D$2,$B$2,AC$4)),0))</f>
        <v>0</v>
      </c>
      <c r="AD476" s="251">
        <f>IF(AD$4&gt;DAY(EOMONTH(DATE($D$2,$B$2,1),0)),"",IFERROR(SUMIFS(DATA_GOC!$H:$H,DATA_GOC!$A:$A,"BOM",DATA_GOC!$D:$D,$B476,DATA_GOC!$E:$E,"Dầu số",DATA_GOC!$F:$F,"Xuất nội bộ từ téc",DATA_GOC!$B:$B,DATE($D$2,$B$2,AD$4)),0))</f>
        <v>0</v>
      </c>
      <c r="AE476" s="251">
        <f>IF(AE$4&gt;DAY(EOMONTH(DATE($D$2,$B$2,1),0)),"",IFERROR(SUMIFS(DATA_GOC!$H:$H,DATA_GOC!$A:$A,"BOM",DATA_GOC!$D:$D,$B476,DATA_GOC!$E:$E,"Dầu số",DATA_GOC!$F:$F,"Xuất nội bộ từ téc",DATA_GOC!$B:$B,DATE($D$2,$B$2,AE$4)),0))</f>
        <v>0</v>
      </c>
      <c r="AF476" s="251">
        <f>IF(AF$4&gt;DAY(EOMONTH(DATE($D$2,$B$2,1),0)),"",IFERROR(SUMIFS(DATA_GOC!$H:$H,DATA_GOC!$A:$A,"BOM",DATA_GOC!$D:$D,$B476,DATA_GOC!$E:$E,"Dầu số",DATA_GOC!$F:$F,"Xuất nội bộ từ téc",DATA_GOC!$B:$B,DATE($D$2,$B$2,AF$4)),0))</f>
        <v>0</v>
      </c>
      <c r="AG476" s="251">
        <f>IF(AG$4&gt;DAY(EOMONTH(DATE($D$2,$B$2,1),0)),"",IFERROR(SUMIFS(DATA_GOC!$H:$H,DATA_GOC!$A:$A,"BOM",DATA_GOC!$D:$D,$B476,DATA_GOC!$E:$E,"Dầu số",DATA_GOC!$F:$F,"Xuất nội bộ từ téc",DATA_GOC!$B:$B,DATE($D$2,$B$2,AG$4)),0))</f>
        <v>0</v>
      </c>
      <c r="AH476" s="252">
        <f t="shared" si="22"/>
        <v>0</v>
      </c>
      <c r="AI476" s="241"/>
      <c r="AJ476" s="242">
        <f>IF($B476="","",SUMIFS(TINH_TEC!$K$233:$K$9232,TINH_TEC!$H$233:$H$9232,$B476,TINH_TEC!$C$233:$C$9232,"Dầu số",TINH_TEC!$F$233:$F$9232,$B$2,TINH_TEC!$G$233:$G$9232,$D$2,TINH_TEC!$B$233:$B$9232,"Đã chốt"))</f>
        <v>0</v>
      </c>
      <c r="AK476" s="242">
        <f>IF($B476="","",SUMIFS(TINH_TEC!$J$233:$J$9232,TINH_TEC!$H$233:$H$9232,$B476,TINH_TEC!$C$233:$C$9232,"Dầu số",TINH_TEC!$F$233:$F$9232,$B$2,TINH_TEC!$G$233:$G$9232,$D$2,TINH_TEC!$B$233:$B$9232,"Đã chốt"))</f>
        <v>0</v>
      </c>
      <c r="AL476" s="242">
        <f t="shared" si="23"/>
        <v>0</v>
      </c>
    </row>
    <row r="477" ht="15.75" customHeight="1">
      <c r="A477" s="237">
        <f>IF($B477&lt;&gt;"",45,"")</f>
        <v>45</v>
      </c>
      <c r="B477" s="250" t="str">
        <f t="array" ref="B477">IFERROR(INDEX(DANH_MUC!$E:$E,48),"")</f>
        <v>29E17539</v>
      </c>
      <c r="C477" s="251">
        <f>IF(C$4&gt;DAY(EOMONTH(DATE($D$2,$B$2,1),0)),"",IFERROR(SUMIFS(DATA_GOC!$H:$H,DATA_GOC!$A:$A,"BOM",DATA_GOC!$D:$D,$B477,DATA_GOC!$E:$E,"Dầu số",DATA_GOC!$F:$F,"Xuất nội bộ từ téc",DATA_GOC!$B:$B,DATE($D$2,$B$2,C$4)),0))</f>
        <v>0</v>
      </c>
      <c r="D477" s="251">
        <f>IF(D$4&gt;DAY(EOMONTH(DATE($D$2,$B$2,1),0)),"",IFERROR(SUMIFS(DATA_GOC!$H:$H,DATA_GOC!$A:$A,"BOM",DATA_GOC!$D:$D,$B477,DATA_GOC!$E:$E,"Dầu số",DATA_GOC!$F:$F,"Xuất nội bộ từ téc",DATA_GOC!$B:$B,DATE($D$2,$B$2,D$4)),0))</f>
        <v>0</v>
      </c>
      <c r="E477" s="251">
        <f>IF(E$4&gt;DAY(EOMONTH(DATE($D$2,$B$2,1),0)),"",IFERROR(SUMIFS(DATA_GOC!$H:$H,DATA_GOC!$A:$A,"BOM",DATA_GOC!$D:$D,$B477,DATA_GOC!$E:$E,"Dầu số",DATA_GOC!$F:$F,"Xuất nội bộ từ téc",DATA_GOC!$B:$B,DATE($D$2,$B$2,E$4)),0))</f>
        <v>0</v>
      </c>
      <c r="F477" s="251">
        <f>IF(F$4&gt;DAY(EOMONTH(DATE($D$2,$B$2,1),0)),"",IFERROR(SUMIFS(DATA_GOC!$H:$H,DATA_GOC!$A:$A,"BOM",DATA_GOC!$D:$D,$B477,DATA_GOC!$E:$E,"Dầu số",DATA_GOC!$F:$F,"Xuất nội bộ từ téc",DATA_GOC!$B:$B,DATE($D$2,$B$2,F$4)),0))</f>
        <v>0</v>
      </c>
      <c r="G477" s="251">
        <f>IF(G$4&gt;DAY(EOMONTH(DATE($D$2,$B$2,1),0)),"",IFERROR(SUMIFS(DATA_GOC!$H:$H,DATA_GOC!$A:$A,"BOM",DATA_GOC!$D:$D,$B477,DATA_GOC!$E:$E,"Dầu số",DATA_GOC!$F:$F,"Xuất nội bộ từ téc",DATA_GOC!$B:$B,DATE($D$2,$B$2,G$4)),0))</f>
        <v>0</v>
      </c>
      <c r="H477" s="251">
        <f>IF(H$4&gt;DAY(EOMONTH(DATE($D$2,$B$2,1),0)),"",IFERROR(SUMIFS(DATA_GOC!$H:$H,DATA_GOC!$A:$A,"BOM",DATA_GOC!$D:$D,$B477,DATA_GOC!$E:$E,"Dầu số",DATA_GOC!$F:$F,"Xuất nội bộ từ téc",DATA_GOC!$B:$B,DATE($D$2,$B$2,H$4)),0))</f>
        <v>0</v>
      </c>
      <c r="I477" s="251">
        <f>IF(I$4&gt;DAY(EOMONTH(DATE($D$2,$B$2,1),0)),"",IFERROR(SUMIFS(DATA_GOC!$H:$H,DATA_GOC!$A:$A,"BOM",DATA_GOC!$D:$D,$B477,DATA_GOC!$E:$E,"Dầu số",DATA_GOC!$F:$F,"Xuất nội bộ từ téc",DATA_GOC!$B:$B,DATE($D$2,$B$2,I$4)),0))</f>
        <v>0</v>
      </c>
      <c r="J477" s="251">
        <f>IF(J$4&gt;DAY(EOMONTH(DATE($D$2,$B$2,1),0)),"",IFERROR(SUMIFS(DATA_GOC!$H:$H,DATA_GOC!$A:$A,"BOM",DATA_GOC!$D:$D,$B477,DATA_GOC!$E:$E,"Dầu số",DATA_GOC!$F:$F,"Xuất nội bộ từ téc",DATA_GOC!$B:$B,DATE($D$2,$B$2,J$4)),0))</f>
        <v>0</v>
      </c>
      <c r="K477" s="251">
        <f>IF(K$4&gt;DAY(EOMONTH(DATE($D$2,$B$2,1),0)),"",IFERROR(SUMIFS(DATA_GOC!$H:$H,DATA_GOC!$A:$A,"BOM",DATA_GOC!$D:$D,$B477,DATA_GOC!$E:$E,"Dầu số",DATA_GOC!$F:$F,"Xuất nội bộ từ téc",DATA_GOC!$B:$B,DATE($D$2,$B$2,K$4)),0))</f>
        <v>0</v>
      </c>
      <c r="L477" s="251">
        <f>IF(L$4&gt;DAY(EOMONTH(DATE($D$2,$B$2,1),0)),"",IFERROR(SUMIFS(DATA_GOC!$H:$H,DATA_GOC!$A:$A,"BOM",DATA_GOC!$D:$D,$B477,DATA_GOC!$E:$E,"Dầu số",DATA_GOC!$F:$F,"Xuất nội bộ từ téc",DATA_GOC!$B:$B,DATE($D$2,$B$2,L$4)),0))</f>
        <v>0</v>
      </c>
      <c r="M477" s="251">
        <f>IF(M$4&gt;DAY(EOMONTH(DATE($D$2,$B$2,1),0)),"",IFERROR(SUMIFS(DATA_GOC!$H:$H,DATA_GOC!$A:$A,"BOM",DATA_GOC!$D:$D,$B477,DATA_GOC!$E:$E,"Dầu số",DATA_GOC!$F:$F,"Xuất nội bộ từ téc",DATA_GOC!$B:$B,DATE($D$2,$B$2,M$4)),0))</f>
        <v>0</v>
      </c>
      <c r="N477" s="251">
        <f>IF(N$4&gt;DAY(EOMONTH(DATE($D$2,$B$2,1),0)),"",IFERROR(SUMIFS(DATA_GOC!$H:$H,DATA_GOC!$A:$A,"BOM",DATA_GOC!$D:$D,$B477,DATA_GOC!$E:$E,"Dầu số",DATA_GOC!$F:$F,"Xuất nội bộ từ téc",DATA_GOC!$B:$B,DATE($D$2,$B$2,N$4)),0))</f>
        <v>0</v>
      </c>
      <c r="O477" s="251">
        <f>IF(O$4&gt;DAY(EOMONTH(DATE($D$2,$B$2,1),0)),"",IFERROR(SUMIFS(DATA_GOC!$H:$H,DATA_GOC!$A:$A,"BOM",DATA_GOC!$D:$D,$B477,DATA_GOC!$E:$E,"Dầu số",DATA_GOC!$F:$F,"Xuất nội bộ từ téc",DATA_GOC!$B:$B,DATE($D$2,$B$2,O$4)),0))</f>
        <v>0</v>
      </c>
      <c r="P477" s="251">
        <f>IF(P$4&gt;DAY(EOMONTH(DATE($D$2,$B$2,1),0)),"",IFERROR(SUMIFS(DATA_GOC!$H:$H,DATA_GOC!$A:$A,"BOM",DATA_GOC!$D:$D,$B477,DATA_GOC!$E:$E,"Dầu số",DATA_GOC!$F:$F,"Xuất nội bộ từ téc",DATA_GOC!$B:$B,DATE($D$2,$B$2,P$4)),0))</f>
        <v>0</v>
      </c>
      <c r="Q477" s="251">
        <f>IF(Q$4&gt;DAY(EOMONTH(DATE($D$2,$B$2,1),0)),"",IFERROR(SUMIFS(DATA_GOC!$H:$H,DATA_GOC!$A:$A,"BOM",DATA_GOC!$D:$D,$B477,DATA_GOC!$E:$E,"Dầu số",DATA_GOC!$F:$F,"Xuất nội bộ từ téc",DATA_GOC!$B:$B,DATE($D$2,$B$2,Q$4)),0))</f>
        <v>0</v>
      </c>
      <c r="R477" s="251">
        <f>IF(R$4&gt;DAY(EOMONTH(DATE($D$2,$B$2,1),0)),"",IFERROR(SUMIFS(DATA_GOC!$H:$H,DATA_GOC!$A:$A,"BOM",DATA_GOC!$D:$D,$B477,DATA_GOC!$E:$E,"Dầu số",DATA_GOC!$F:$F,"Xuất nội bộ từ téc",DATA_GOC!$B:$B,DATE($D$2,$B$2,R$4)),0))</f>
        <v>0</v>
      </c>
      <c r="S477" s="251">
        <f>IF(S$4&gt;DAY(EOMONTH(DATE($D$2,$B$2,1),0)),"",IFERROR(SUMIFS(DATA_GOC!$H:$H,DATA_GOC!$A:$A,"BOM",DATA_GOC!$D:$D,$B477,DATA_GOC!$E:$E,"Dầu số",DATA_GOC!$F:$F,"Xuất nội bộ từ téc",DATA_GOC!$B:$B,DATE($D$2,$B$2,S$4)),0))</f>
        <v>0</v>
      </c>
      <c r="T477" s="251">
        <f>IF(T$4&gt;DAY(EOMONTH(DATE($D$2,$B$2,1),0)),"",IFERROR(SUMIFS(DATA_GOC!$H:$H,DATA_GOC!$A:$A,"BOM",DATA_GOC!$D:$D,$B477,DATA_GOC!$E:$E,"Dầu số",DATA_GOC!$F:$F,"Xuất nội bộ từ téc",DATA_GOC!$B:$B,DATE($D$2,$B$2,T$4)),0))</f>
        <v>0</v>
      </c>
      <c r="U477" s="251">
        <f>IF(U$4&gt;DAY(EOMONTH(DATE($D$2,$B$2,1),0)),"",IFERROR(SUMIFS(DATA_GOC!$H:$H,DATA_GOC!$A:$A,"BOM",DATA_GOC!$D:$D,$B477,DATA_GOC!$E:$E,"Dầu số",DATA_GOC!$F:$F,"Xuất nội bộ từ téc",DATA_GOC!$B:$B,DATE($D$2,$B$2,U$4)),0))</f>
        <v>0</v>
      </c>
      <c r="V477" s="251">
        <f>IF(V$4&gt;DAY(EOMONTH(DATE($D$2,$B$2,1),0)),"",IFERROR(SUMIFS(DATA_GOC!$H:$H,DATA_GOC!$A:$A,"BOM",DATA_GOC!$D:$D,$B477,DATA_GOC!$E:$E,"Dầu số",DATA_GOC!$F:$F,"Xuất nội bộ từ téc",DATA_GOC!$B:$B,DATE($D$2,$B$2,V$4)),0))</f>
        <v>0</v>
      </c>
      <c r="W477" s="251">
        <f>IF(W$4&gt;DAY(EOMONTH(DATE($D$2,$B$2,1),0)),"",IFERROR(SUMIFS(DATA_GOC!$H:$H,DATA_GOC!$A:$A,"BOM",DATA_GOC!$D:$D,$B477,DATA_GOC!$E:$E,"Dầu số",DATA_GOC!$F:$F,"Xuất nội bộ từ téc",DATA_GOC!$B:$B,DATE($D$2,$B$2,W$4)),0))</f>
        <v>0</v>
      </c>
      <c r="X477" s="251">
        <f>IF(X$4&gt;DAY(EOMONTH(DATE($D$2,$B$2,1),0)),"",IFERROR(SUMIFS(DATA_GOC!$H:$H,DATA_GOC!$A:$A,"BOM",DATA_GOC!$D:$D,$B477,DATA_GOC!$E:$E,"Dầu số",DATA_GOC!$F:$F,"Xuất nội bộ từ téc",DATA_GOC!$B:$B,DATE($D$2,$B$2,X$4)),0))</f>
        <v>0</v>
      </c>
      <c r="Y477" s="251">
        <f>IF(Y$4&gt;DAY(EOMONTH(DATE($D$2,$B$2,1),0)),"",IFERROR(SUMIFS(DATA_GOC!$H:$H,DATA_GOC!$A:$A,"BOM",DATA_GOC!$D:$D,$B477,DATA_GOC!$E:$E,"Dầu số",DATA_GOC!$F:$F,"Xuất nội bộ từ téc",DATA_GOC!$B:$B,DATE($D$2,$B$2,Y$4)),0))</f>
        <v>0</v>
      </c>
      <c r="Z477" s="251">
        <f>IF(Z$4&gt;DAY(EOMONTH(DATE($D$2,$B$2,1),0)),"",IFERROR(SUMIFS(DATA_GOC!$H:$H,DATA_GOC!$A:$A,"BOM",DATA_GOC!$D:$D,$B477,DATA_GOC!$E:$E,"Dầu số",DATA_GOC!$F:$F,"Xuất nội bộ từ téc",DATA_GOC!$B:$B,DATE($D$2,$B$2,Z$4)),0))</f>
        <v>0</v>
      </c>
      <c r="AA477" s="251">
        <f>IF(AA$4&gt;DAY(EOMONTH(DATE($D$2,$B$2,1),0)),"",IFERROR(SUMIFS(DATA_GOC!$H:$H,DATA_GOC!$A:$A,"BOM",DATA_GOC!$D:$D,$B477,DATA_GOC!$E:$E,"Dầu số",DATA_GOC!$F:$F,"Xuất nội bộ từ téc",DATA_GOC!$B:$B,DATE($D$2,$B$2,AA$4)),0))</f>
        <v>0</v>
      </c>
      <c r="AB477" s="251">
        <f>IF(AB$4&gt;DAY(EOMONTH(DATE($D$2,$B$2,1),0)),"",IFERROR(SUMIFS(DATA_GOC!$H:$H,DATA_GOC!$A:$A,"BOM",DATA_GOC!$D:$D,$B477,DATA_GOC!$E:$E,"Dầu số",DATA_GOC!$F:$F,"Xuất nội bộ từ téc",DATA_GOC!$B:$B,DATE($D$2,$B$2,AB$4)),0))</f>
        <v>0</v>
      </c>
      <c r="AC477" s="251">
        <f>IF(AC$4&gt;DAY(EOMONTH(DATE($D$2,$B$2,1),0)),"",IFERROR(SUMIFS(DATA_GOC!$H:$H,DATA_GOC!$A:$A,"BOM",DATA_GOC!$D:$D,$B477,DATA_GOC!$E:$E,"Dầu số",DATA_GOC!$F:$F,"Xuất nội bộ từ téc",DATA_GOC!$B:$B,DATE($D$2,$B$2,AC$4)),0))</f>
        <v>0</v>
      </c>
      <c r="AD477" s="251">
        <f>IF(AD$4&gt;DAY(EOMONTH(DATE($D$2,$B$2,1),0)),"",IFERROR(SUMIFS(DATA_GOC!$H:$H,DATA_GOC!$A:$A,"BOM",DATA_GOC!$D:$D,$B477,DATA_GOC!$E:$E,"Dầu số",DATA_GOC!$F:$F,"Xuất nội bộ từ téc",DATA_GOC!$B:$B,DATE($D$2,$B$2,AD$4)),0))</f>
        <v>0</v>
      </c>
      <c r="AE477" s="251">
        <f>IF(AE$4&gt;DAY(EOMONTH(DATE($D$2,$B$2,1),0)),"",IFERROR(SUMIFS(DATA_GOC!$H:$H,DATA_GOC!$A:$A,"BOM",DATA_GOC!$D:$D,$B477,DATA_GOC!$E:$E,"Dầu số",DATA_GOC!$F:$F,"Xuất nội bộ từ téc",DATA_GOC!$B:$B,DATE($D$2,$B$2,AE$4)),0))</f>
        <v>0</v>
      </c>
      <c r="AF477" s="251">
        <f>IF(AF$4&gt;DAY(EOMONTH(DATE($D$2,$B$2,1),0)),"",IFERROR(SUMIFS(DATA_GOC!$H:$H,DATA_GOC!$A:$A,"BOM",DATA_GOC!$D:$D,$B477,DATA_GOC!$E:$E,"Dầu số",DATA_GOC!$F:$F,"Xuất nội bộ từ téc",DATA_GOC!$B:$B,DATE($D$2,$B$2,AF$4)),0))</f>
        <v>0</v>
      </c>
      <c r="AG477" s="251">
        <f>IF(AG$4&gt;DAY(EOMONTH(DATE($D$2,$B$2,1),0)),"",IFERROR(SUMIFS(DATA_GOC!$H:$H,DATA_GOC!$A:$A,"BOM",DATA_GOC!$D:$D,$B477,DATA_GOC!$E:$E,"Dầu số",DATA_GOC!$F:$F,"Xuất nội bộ từ téc",DATA_GOC!$B:$B,DATE($D$2,$B$2,AG$4)),0))</f>
        <v>0</v>
      </c>
      <c r="AH477" s="252">
        <f t="shared" si="22"/>
        <v>0</v>
      </c>
      <c r="AI477" s="241"/>
      <c r="AJ477" s="242">
        <f>IF($B477="","",SUMIFS(TINH_TEC!$K$233:$K$9232,TINH_TEC!$H$233:$H$9232,$B477,TINH_TEC!$C$233:$C$9232,"Dầu số",TINH_TEC!$F$233:$F$9232,$B$2,TINH_TEC!$G$233:$G$9232,$D$2,TINH_TEC!$B$233:$B$9232,"Đã chốt"))</f>
        <v>0</v>
      </c>
      <c r="AK477" s="242">
        <f>IF($B477="","",SUMIFS(TINH_TEC!$J$233:$J$9232,TINH_TEC!$H$233:$H$9232,$B477,TINH_TEC!$C$233:$C$9232,"Dầu số",TINH_TEC!$F$233:$F$9232,$B$2,TINH_TEC!$G$233:$G$9232,$D$2,TINH_TEC!$B$233:$B$9232,"Đã chốt"))</f>
        <v>0</v>
      </c>
      <c r="AL477" s="242">
        <f t="shared" si="23"/>
        <v>0</v>
      </c>
    </row>
    <row r="478" ht="15.75" customHeight="1">
      <c r="A478" s="237">
        <f>IF($B478&lt;&gt;"",46,"")</f>
        <v>46</v>
      </c>
      <c r="B478" s="250" t="str">
        <f t="array" ref="B478">IFERROR(INDEX(DANH_MUC!$E:$E,49),"")</f>
        <v>29E18160</v>
      </c>
      <c r="C478" s="251">
        <f>IF(C$4&gt;DAY(EOMONTH(DATE($D$2,$B$2,1),0)),"",IFERROR(SUMIFS(DATA_GOC!$H:$H,DATA_GOC!$A:$A,"BOM",DATA_GOC!$D:$D,$B478,DATA_GOC!$E:$E,"Dầu số",DATA_GOC!$F:$F,"Xuất nội bộ từ téc",DATA_GOC!$B:$B,DATE($D$2,$B$2,C$4)),0))</f>
        <v>0</v>
      </c>
      <c r="D478" s="251">
        <f>IF(D$4&gt;DAY(EOMONTH(DATE($D$2,$B$2,1),0)),"",IFERROR(SUMIFS(DATA_GOC!$H:$H,DATA_GOC!$A:$A,"BOM",DATA_GOC!$D:$D,$B478,DATA_GOC!$E:$E,"Dầu số",DATA_GOC!$F:$F,"Xuất nội bộ từ téc",DATA_GOC!$B:$B,DATE($D$2,$B$2,D$4)),0))</f>
        <v>0</v>
      </c>
      <c r="E478" s="251">
        <f>IF(E$4&gt;DAY(EOMONTH(DATE($D$2,$B$2,1),0)),"",IFERROR(SUMIFS(DATA_GOC!$H:$H,DATA_GOC!$A:$A,"BOM",DATA_GOC!$D:$D,$B478,DATA_GOC!$E:$E,"Dầu số",DATA_GOC!$F:$F,"Xuất nội bộ từ téc",DATA_GOC!$B:$B,DATE($D$2,$B$2,E$4)),0))</f>
        <v>0</v>
      </c>
      <c r="F478" s="251">
        <f>IF(F$4&gt;DAY(EOMONTH(DATE($D$2,$B$2,1),0)),"",IFERROR(SUMIFS(DATA_GOC!$H:$H,DATA_GOC!$A:$A,"BOM",DATA_GOC!$D:$D,$B478,DATA_GOC!$E:$E,"Dầu số",DATA_GOC!$F:$F,"Xuất nội bộ từ téc",DATA_GOC!$B:$B,DATE($D$2,$B$2,F$4)),0))</f>
        <v>0</v>
      </c>
      <c r="G478" s="251">
        <f>IF(G$4&gt;DAY(EOMONTH(DATE($D$2,$B$2,1),0)),"",IFERROR(SUMIFS(DATA_GOC!$H:$H,DATA_GOC!$A:$A,"BOM",DATA_GOC!$D:$D,$B478,DATA_GOC!$E:$E,"Dầu số",DATA_GOC!$F:$F,"Xuất nội bộ từ téc",DATA_GOC!$B:$B,DATE($D$2,$B$2,G$4)),0))</f>
        <v>0</v>
      </c>
      <c r="H478" s="251">
        <f>IF(H$4&gt;DAY(EOMONTH(DATE($D$2,$B$2,1),0)),"",IFERROR(SUMIFS(DATA_GOC!$H:$H,DATA_GOC!$A:$A,"BOM",DATA_GOC!$D:$D,$B478,DATA_GOC!$E:$E,"Dầu số",DATA_GOC!$F:$F,"Xuất nội bộ từ téc",DATA_GOC!$B:$B,DATE($D$2,$B$2,H$4)),0))</f>
        <v>0</v>
      </c>
      <c r="I478" s="251">
        <f>IF(I$4&gt;DAY(EOMONTH(DATE($D$2,$B$2,1),0)),"",IFERROR(SUMIFS(DATA_GOC!$H:$H,DATA_GOC!$A:$A,"BOM",DATA_GOC!$D:$D,$B478,DATA_GOC!$E:$E,"Dầu số",DATA_GOC!$F:$F,"Xuất nội bộ từ téc",DATA_GOC!$B:$B,DATE($D$2,$B$2,I$4)),0))</f>
        <v>0</v>
      </c>
      <c r="J478" s="251">
        <f>IF(J$4&gt;DAY(EOMONTH(DATE($D$2,$B$2,1),0)),"",IFERROR(SUMIFS(DATA_GOC!$H:$H,DATA_GOC!$A:$A,"BOM",DATA_GOC!$D:$D,$B478,DATA_GOC!$E:$E,"Dầu số",DATA_GOC!$F:$F,"Xuất nội bộ từ téc",DATA_GOC!$B:$B,DATE($D$2,$B$2,J$4)),0))</f>
        <v>0</v>
      </c>
      <c r="K478" s="251">
        <f>IF(K$4&gt;DAY(EOMONTH(DATE($D$2,$B$2,1),0)),"",IFERROR(SUMIFS(DATA_GOC!$H:$H,DATA_GOC!$A:$A,"BOM",DATA_GOC!$D:$D,$B478,DATA_GOC!$E:$E,"Dầu số",DATA_GOC!$F:$F,"Xuất nội bộ từ téc",DATA_GOC!$B:$B,DATE($D$2,$B$2,K$4)),0))</f>
        <v>0</v>
      </c>
      <c r="L478" s="251">
        <f>IF(L$4&gt;DAY(EOMONTH(DATE($D$2,$B$2,1),0)),"",IFERROR(SUMIFS(DATA_GOC!$H:$H,DATA_GOC!$A:$A,"BOM",DATA_GOC!$D:$D,$B478,DATA_GOC!$E:$E,"Dầu số",DATA_GOC!$F:$F,"Xuất nội bộ từ téc",DATA_GOC!$B:$B,DATE($D$2,$B$2,L$4)),0))</f>
        <v>0</v>
      </c>
      <c r="M478" s="251">
        <f>IF(M$4&gt;DAY(EOMONTH(DATE($D$2,$B$2,1),0)),"",IFERROR(SUMIFS(DATA_GOC!$H:$H,DATA_GOC!$A:$A,"BOM",DATA_GOC!$D:$D,$B478,DATA_GOC!$E:$E,"Dầu số",DATA_GOC!$F:$F,"Xuất nội bộ từ téc",DATA_GOC!$B:$B,DATE($D$2,$B$2,M$4)),0))</f>
        <v>0</v>
      </c>
      <c r="N478" s="251">
        <f>IF(N$4&gt;DAY(EOMONTH(DATE($D$2,$B$2,1),0)),"",IFERROR(SUMIFS(DATA_GOC!$H:$H,DATA_GOC!$A:$A,"BOM",DATA_GOC!$D:$D,$B478,DATA_GOC!$E:$E,"Dầu số",DATA_GOC!$F:$F,"Xuất nội bộ từ téc",DATA_GOC!$B:$B,DATE($D$2,$B$2,N$4)),0))</f>
        <v>0</v>
      </c>
      <c r="O478" s="251">
        <f>IF(O$4&gt;DAY(EOMONTH(DATE($D$2,$B$2,1),0)),"",IFERROR(SUMIFS(DATA_GOC!$H:$H,DATA_GOC!$A:$A,"BOM",DATA_GOC!$D:$D,$B478,DATA_GOC!$E:$E,"Dầu số",DATA_GOC!$F:$F,"Xuất nội bộ từ téc",DATA_GOC!$B:$B,DATE($D$2,$B$2,O$4)),0))</f>
        <v>0</v>
      </c>
      <c r="P478" s="251">
        <f>IF(P$4&gt;DAY(EOMONTH(DATE($D$2,$B$2,1),0)),"",IFERROR(SUMIFS(DATA_GOC!$H:$H,DATA_GOC!$A:$A,"BOM",DATA_GOC!$D:$D,$B478,DATA_GOC!$E:$E,"Dầu số",DATA_GOC!$F:$F,"Xuất nội bộ từ téc",DATA_GOC!$B:$B,DATE($D$2,$B$2,P$4)),0))</f>
        <v>0</v>
      </c>
      <c r="Q478" s="251">
        <f>IF(Q$4&gt;DAY(EOMONTH(DATE($D$2,$B$2,1),0)),"",IFERROR(SUMIFS(DATA_GOC!$H:$H,DATA_GOC!$A:$A,"BOM",DATA_GOC!$D:$D,$B478,DATA_GOC!$E:$E,"Dầu số",DATA_GOC!$F:$F,"Xuất nội bộ từ téc",DATA_GOC!$B:$B,DATE($D$2,$B$2,Q$4)),0))</f>
        <v>0</v>
      </c>
      <c r="R478" s="251">
        <f>IF(R$4&gt;DAY(EOMONTH(DATE($D$2,$B$2,1),0)),"",IFERROR(SUMIFS(DATA_GOC!$H:$H,DATA_GOC!$A:$A,"BOM",DATA_GOC!$D:$D,$B478,DATA_GOC!$E:$E,"Dầu số",DATA_GOC!$F:$F,"Xuất nội bộ từ téc",DATA_GOC!$B:$B,DATE($D$2,$B$2,R$4)),0))</f>
        <v>0</v>
      </c>
      <c r="S478" s="251">
        <f>IF(S$4&gt;DAY(EOMONTH(DATE($D$2,$B$2,1),0)),"",IFERROR(SUMIFS(DATA_GOC!$H:$H,DATA_GOC!$A:$A,"BOM",DATA_GOC!$D:$D,$B478,DATA_GOC!$E:$E,"Dầu số",DATA_GOC!$F:$F,"Xuất nội bộ từ téc",DATA_GOC!$B:$B,DATE($D$2,$B$2,S$4)),0))</f>
        <v>0</v>
      </c>
      <c r="T478" s="251">
        <f>IF(T$4&gt;DAY(EOMONTH(DATE($D$2,$B$2,1),0)),"",IFERROR(SUMIFS(DATA_GOC!$H:$H,DATA_GOC!$A:$A,"BOM",DATA_GOC!$D:$D,$B478,DATA_GOC!$E:$E,"Dầu số",DATA_GOC!$F:$F,"Xuất nội bộ từ téc",DATA_GOC!$B:$B,DATE($D$2,$B$2,T$4)),0))</f>
        <v>0</v>
      </c>
      <c r="U478" s="251">
        <f>IF(U$4&gt;DAY(EOMONTH(DATE($D$2,$B$2,1),0)),"",IFERROR(SUMIFS(DATA_GOC!$H:$H,DATA_GOC!$A:$A,"BOM",DATA_GOC!$D:$D,$B478,DATA_GOC!$E:$E,"Dầu số",DATA_GOC!$F:$F,"Xuất nội bộ từ téc",DATA_GOC!$B:$B,DATE($D$2,$B$2,U$4)),0))</f>
        <v>0</v>
      </c>
      <c r="V478" s="251">
        <f>IF(V$4&gt;DAY(EOMONTH(DATE($D$2,$B$2,1),0)),"",IFERROR(SUMIFS(DATA_GOC!$H:$H,DATA_GOC!$A:$A,"BOM",DATA_GOC!$D:$D,$B478,DATA_GOC!$E:$E,"Dầu số",DATA_GOC!$F:$F,"Xuất nội bộ từ téc",DATA_GOC!$B:$B,DATE($D$2,$B$2,V$4)),0))</f>
        <v>0</v>
      </c>
      <c r="W478" s="251">
        <f>IF(W$4&gt;DAY(EOMONTH(DATE($D$2,$B$2,1),0)),"",IFERROR(SUMIFS(DATA_GOC!$H:$H,DATA_GOC!$A:$A,"BOM",DATA_GOC!$D:$D,$B478,DATA_GOC!$E:$E,"Dầu số",DATA_GOC!$F:$F,"Xuất nội bộ từ téc",DATA_GOC!$B:$B,DATE($D$2,$B$2,W$4)),0))</f>
        <v>0</v>
      </c>
      <c r="X478" s="251">
        <f>IF(X$4&gt;DAY(EOMONTH(DATE($D$2,$B$2,1),0)),"",IFERROR(SUMIFS(DATA_GOC!$H:$H,DATA_GOC!$A:$A,"BOM",DATA_GOC!$D:$D,$B478,DATA_GOC!$E:$E,"Dầu số",DATA_GOC!$F:$F,"Xuất nội bộ từ téc",DATA_GOC!$B:$B,DATE($D$2,$B$2,X$4)),0))</f>
        <v>0</v>
      </c>
      <c r="Y478" s="251">
        <f>IF(Y$4&gt;DAY(EOMONTH(DATE($D$2,$B$2,1),0)),"",IFERROR(SUMIFS(DATA_GOC!$H:$H,DATA_GOC!$A:$A,"BOM",DATA_GOC!$D:$D,$B478,DATA_GOC!$E:$E,"Dầu số",DATA_GOC!$F:$F,"Xuất nội bộ từ téc",DATA_GOC!$B:$B,DATE($D$2,$B$2,Y$4)),0))</f>
        <v>0</v>
      </c>
      <c r="Z478" s="251">
        <f>IF(Z$4&gt;DAY(EOMONTH(DATE($D$2,$B$2,1),0)),"",IFERROR(SUMIFS(DATA_GOC!$H:$H,DATA_GOC!$A:$A,"BOM",DATA_GOC!$D:$D,$B478,DATA_GOC!$E:$E,"Dầu số",DATA_GOC!$F:$F,"Xuất nội bộ từ téc",DATA_GOC!$B:$B,DATE($D$2,$B$2,Z$4)),0))</f>
        <v>0</v>
      </c>
      <c r="AA478" s="251">
        <f>IF(AA$4&gt;DAY(EOMONTH(DATE($D$2,$B$2,1),0)),"",IFERROR(SUMIFS(DATA_GOC!$H:$H,DATA_GOC!$A:$A,"BOM",DATA_GOC!$D:$D,$B478,DATA_GOC!$E:$E,"Dầu số",DATA_GOC!$F:$F,"Xuất nội bộ từ téc",DATA_GOC!$B:$B,DATE($D$2,$B$2,AA$4)),0))</f>
        <v>0</v>
      </c>
      <c r="AB478" s="251">
        <f>IF(AB$4&gt;DAY(EOMONTH(DATE($D$2,$B$2,1),0)),"",IFERROR(SUMIFS(DATA_GOC!$H:$H,DATA_GOC!$A:$A,"BOM",DATA_GOC!$D:$D,$B478,DATA_GOC!$E:$E,"Dầu số",DATA_GOC!$F:$F,"Xuất nội bộ từ téc",DATA_GOC!$B:$B,DATE($D$2,$B$2,AB$4)),0))</f>
        <v>0</v>
      </c>
      <c r="AC478" s="251">
        <f>IF(AC$4&gt;DAY(EOMONTH(DATE($D$2,$B$2,1),0)),"",IFERROR(SUMIFS(DATA_GOC!$H:$H,DATA_GOC!$A:$A,"BOM",DATA_GOC!$D:$D,$B478,DATA_GOC!$E:$E,"Dầu số",DATA_GOC!$F:$F,"Xuất nội bộ từ téc",DATA_GOC!$B:$B,DATE($D$2,$B$2,AC$4)),0))</f>
        <v>0</v>
      </c>
      <c r="AD478" s="251">
        <f>IF(AD$4&gt;DAY(EOMONTH(DATE($D$2,$B$2,1),0)),"",IFERROR(SUMIFS(DATA_GOC!$H:$H,DATA_GOC!$A:$A,"BOM",DATA_GOC!$D:$D,$B478,DATA_GOC!$E:$E,"Dầu số",DATA_GOC!$F:$F,"Xuất nội bộ từ téc",DATA_GOC!$B:$B,DATE($D$2,$B$2,AD$4)),0))</f>
        <v>0</v>
      </c>
      <c r="AE478" s="251">
        <f>IF(AE$4&gt;DAY(EOMONTH(DATE($D$2,$B$2,1),0)),"",IFERROR(SUMIFS(DATA_GOC!$H:$H,DATA_GOC!$A:$A,"BOM",DATA_GOC!$D:$D,$B478,DATA_GOC!$E:$E,"Dầu số",DATA_GOC!$F:$F,"Xuất nội bộ từ téc",DATA_GOC!$B:$B,DATE($D$2,$B$2,AE$4)),0))</f>
        <v>0</v>
      </c>
      <c r="AF478" s="251">
        <f>IF(AF$4&gt;DAY(EOMONTH(DATE($D$2,$B$2,1),0)),"",IFERROR(SUMIFS(DATA_GOC!$H:$H,DATA_GOC!$A:$A,"BOM",DATA_GOC!$D:$D,$B478,DATA_GOC!$E:$E,"Dầu số",DATA_GOC!$F:$F,"Xuất nội bộ từ téc",DATA_GOC!$B:$B,DATE($D$2,$B$2,AF$4)),0))</f>
        <v>0</v>
      </c>
      <c r="AG478" s="251">
        <f>IF(AG$4&gt;DAY(EOMONTH(DATE($D$2,$B$2,1),0)),"",IFERROR(SUMIFS(DATA_GOC!$H:$H,DATA_GOC!$A:$A,"BOM",DATA_GOC!$D:$D,$B478,DATA_GOC!$E:$E,"Dầu số",DATA_GOC!$F:$F,"Xuất nội bộ từ téc",DATA_GOC!$B:$B,DATE($D$2,$B$2,AG$4)),0))</f>
        <v>0</v>
      </c>
      <c r="AH478" s="252">
        <f t="shared" si="22"/>
        <v>0</v>
      </c>
      <c r="AI478" s="241"/>
      <c r="AJ478" s="242">
        <f>IF($B478="","",SUMIFS(TINH_TEC!$K$233:$K$9232,TINH_TEC!$H$233:$H$9232,$B478,TINH_TEC!$C$233:$C$9232,"Dầu số",TINH_TEC!$F$233:$F$9232,$B$2,TINH_TEC!$G$233:$G$9232,$D$2,TINH_TEC!$B$233:$B$9232,"Đã chốt"))</f>
        <v>0</v>
      </c>
      <c r="AK478" s="242">
        <f>IF($B478="","",SUMIFS(TINH_TEC!$J$233:$J$9232,TINH_TEC!$H$233:$H$9232,$B478,TINH_TEC!$C$233:$C$9232,"Dầu số",TINH_TEC!$F$233:$F$9232,$B$2,TINH_TEC!$G$233:$G$9232,$D$2,TINH_TEC!$B$233:$B$9232,"Đã chốt"))</f>
        <v>0</v>
      </c>
      <c r="AL478" s="242">
        <f t="shared" si="23"/>
        <v>0</v>
      </c>
    </row>
    <row r="479" ht="15.75" customHeight="1">
      <c r="A479" s="237">
        <f>IF($B479&lt;&gt;"",47,"")</f>
        <v>47</v>
      </c>
      <c r="B479" s="250" t="str">
        <f t="array" ref="B479">IFERROR(INDEX(DANH_MUC!$E:$E,50),"")</f>
        <v>Công trình Asphalt</v>
      </c>
      <c r="C479" s="251">
        <f>IF(C$4&gt;DAY(EOMONTH(DATE($D$2,$B$2,1),0)),"",IFERROR(SUMIFS(DATA_GOC!$H:$H,DATA_GOC!$A:$A,"BOM",DATA_GOC!$D:$D,$B479,DATA_GOC!$E:$E,"Dầu số",DATA_GOC!$F:$F,"Xuất nội bộ từ téc",DATA_GOC!$B:$B,DATE($D$2,$B$2,C$4)),0))</f>
        <v>0</v>
      </c>
      <c r="D479" s="251">
        <f>IF(D$4&gt;DAY(EOMONTH(DATE($D$2,$B$2,1),0)),"",IFERROR(SUMIFS(DATA_GOC!$H:$H,DATA_GOC!$A:$A,"BOM",DATA_GOC!$D:$D,$B479,DATA_GOC!$E:$E,"Dầu số",DATA_GOC!$F:$F,"Xuất nội bộ từ téc",DATA_GOC!$B:$B,DATE($D$2,$B$2,D$4)),0))</f>
        <v>0</v>
      </c>
      <c r="E479" s="251">
        <f>IF(E$4&gt;DAY(EOMONTH(DATE($D$2,$B$2,1),0)),"",IFERROR(SUMIFS(DATA_GOC!$H:$H,DATA_GOC!$A:$A,"BOM",DATA_GOC!$D:$D,$B479,DATA_GOC!$E:$E,"Dầu số",DATA_GOC!$F:$F,"Xuất nội bộ từ téc",DATA_GOC!$B:$B,DATE($D$2,$B$2,E$4)),0))</f>
        <v>0</v>
      </c>
      <c r="F479" s="251">
        <f>IF(F$4&gt;DAY(EOMONTH(DATE($D$2,$B$2,1),0)),"",IFERROR(SUMIFS(DATA_GOC!$H:$H,DATA_GOC!$A:$A,"BOM",DATA_GOC!$D:$D,$B479,DATA_GOC!$E:$E,"Dầu số",DATA_GOC!$F:$F,"Xuất nội bộ từ téc",DATA_GOC!$B:$B,DATE($D$2,$B$2,F$4)),0))</f>
        <v>0</v>
      </c>
      <c r="G479" s="251">
        <f>IF(G$4&gt;DAY(EOMONTH(DATE($D$2,$B$2,1),0)),"",IFERROR(SUMIFS(DATA_GOC!$H:$H,DATA_GOC!$A:$A,"BOM",DATA_GOC!$D:$D,$B479,DATA_GOC!$E:$E,"Dầu số",DATA_GOC!$F:$F,"Xuất nội bộ từ téc",DATA_GOC!$B:$B,DATE($D$2,$B$2,G$4)),0))</f>
        <v>0</v>
      </c>
      <c r="H479" s="251">
        <f>IF(H$4&gt;DAY(EOMONTH(DATE($D$2,$B$2,1),0)),"",IFERROR(SUMIFS(DATA_GOC!$H:$H,DATA_GOC!$A:$A,"BOM",DATA_GOC!$D:$D,$B479,DATA_GOC!$E:$E,"Dầu số",DATA_GOC!$F:$F,"Xuất nội bộ từ téc",DATA_GOC!$B:$B,DATE($D$2,$B$2,H$4)),0))</f>
        <v>0</v>
      </c>
      <c r="I479" s="251">
        <f>IF(I$4&gt;DAY(EOMONTH(DATE($D$2,$B$2,1),0)),"",IFERROR(SUMIFS(DATA_GOC!$H:$H,DATA_GOC!$A:$A,"BOM",DATA_GOC!$D:$D,$B479,DATA_GOC!$E:$E,"Dầu số",DATA_GOC!$F:$F,"Xuất nội bộ từ téc",DATA_GOC!$B:$B,DATE($D$2,$B$2,I$4)),0))</f>
        <v>0</v>
      </c>
      <c r="J479" s="251">
        <f>IF(J$4&gt;DAY(EOMONTH(DATE($D$2,$B$2,1),0)),"",IFERROR(SUMIFS(DATA_GOC!$H:$H,DATA_GOC!$A:$A,"BOM",DATA_GOC!$D:$D,$B479,DATA_GOC!$E:$E,"Dầu số",DATA_GOC!$F:$F,"Xuất nội bộ từ téc",DATA_GOC!$B:$B,DATE($D$2,$B$2,J$4)),0))</f>
        <v>0</v>
      </c>
      <c r="K479" s="251">
        <f>IF(K$4&gt;DAY(EOMONTH(DATE($D$2,$B$2,1),0)),"",IFERROR(SUMIFS(DATA_GOC!$H:$H,DATA_GOC!$A:$A,"BOM",DATA_GOC!$D:$D,$B479,DATA_GOC!$E:$E,"Dầu số",DATA_GOC!$F:$F,"Xuất nội bộ từ téc",DATA_GOC!$B:$B,DATE($D$2,$B$2,K$4)),0))</f>
        <v>0</v>
      </c>
      <c r="L479" s="251">
        <f>IF(L$4&gt;DAY(EOMONTH(DATE($D$2,$B$2,1),0)),"",IFERROR(SUMIFS(DATA_GOC!$H:$H,DATA_GOC!$A:$A,"BOM",DATA_GOC!$D:$D,$B479,DATA_GOC!$E:$E,"Dầu số",DATA_GOC!$F:$F,"Xuất nội bộ từ téc",DATA_GOC!$B:$B,DATE($D$2,$B$2,L$4)),0))</f>
        <v>0</v>
      </c>
      <c r="M479" s="251">
        <f>IF(M$4&gt;DAY(EOMONTH(DATE($D$2,$B$2,1),0)),"",IFERROR(SUMIFS(DATA_GOC!$H:$H,DATA_GOC!$A:$A,"BOM",DATA_GOC!$D:$D,$B479,DATA_GOC!$E:$E,"Dầu số",DATA_GOC!$F:$F,"Xuất nội bộ từ téc",DATA_GOC!$B:$B,DATE($D$2,$B$2,M$4)),0))</f>
        <v>0</v>
      </c>
      <c r="N479" s="251">
        <f>IF(N$4&gt;DAY(EOMONTH(DATE($D$2,$B$2,1),0)),"",IFERROR(SUMIFS(DATA_GOC!$H:$H,DATA_GOC!$A:$A,"BOM",DATA_GOC!$D:$D,$B479,DATA_GOC!$E:$E,"Dầu số",DATA_GOC!$F:$F,"Xuất nội bộ từ téc",DATA_GOC!$B:$B,DATE($D$2,$B$2,N$4)),0))</f>
        <v>0</v>
      </c>
      <c r="O479" s="251">
        <f>IF(O$4&gt;DAY(EOMONTH(DATE($D$2,$B$2,1),0)),"",IFERROR(SUMIFS(DATA_GOC!$H:$H,DATA_GOC!$A:$A,"BOM",DATA_GOC!$D:$D,$B479,DATA_GOC!$E:$E,"Dầu số",DATA_GOC!$F:$F,"Xuất nội bộ từ téc",DATA_GOC!$B:$B,DATE($D$2,$B$2,O$4)),0))</f>
        <v>0</v>
      </c>
      <c r="P479" s="251">
        <f>IF(P$4&gt;DAY(EOMONTH(DATE($D$2,$B$2,1),0)),"",IFERROR(SUMIFS(DATA_GOC!$H:$H,DATA_GOC!$A:$A,"BOM",DATA_GOC!$D:$D,$B479,DATA_GOC!$E:$E,"Dầu số",DATA_GOC!$F:$F,"Xuất nội bộ từ téc",DATA_GOC!$B:$B,DATE($D$2,$B$2,P$4)),0))</f>
        <v>0</v>
      </c>
      <c r="Q479" s="251">
        <f>IF(Q$4&gt;DAY(EOMONTH(DATE($D$2,$B$2,1),0)),"",IFERROR(SUMIFS(DATA_GOC!$H:$H,DATA_GOC!$A:$A,"BOM",DATA_GOC!$D:$D,$B479,DATA_GOC!$E:$E,"Dầu số",DATA_GOC!$F:$F,"Xuất nội bộ từ téc",DATA_GOC!$B:$B,DATE($D$2,$B$2,Q$4)),0))</f>
        <v>0</v>
      </c>
      <c r="R479" s="251">
        <f>IF(R$4&gt;DAY(EOMONTH(DATE($D$2,$B$2,1),0)),"",IFERROR(SUMIFS(DATA_GOC!$H:$H,DATA_GOC!$A:$A,"BOM",DATA_GOC!$D:$D,$B479,DATA_GOC!$E:$E,"Dầu số",DATA_GOC!$F:$F,"Xuất nội bộ từ téc",DATA_GOC!$B:$B,DATE($D$2,$B$2,R$4)),0))</f>
        <v>0</v>
      </c>
      <c r="S479" s="251">
        <f>IF(S$4&gt;DAY(EOMONTH(DATE($D$2,$B$2,1),0)),"",IFERROR(SUMIFS(DATA_GOC!$H:$H,DATA_GOC!$A:$A,"BOM",DATA_GOC!$D:$D,$B479,DATA_GOC!$E:$E,"Dầu số",DATA_GOC!$F:$F,"Xuất nội bộ từ téc",DATA_GOC!$B:$B,DATE($D$2,$B$2,S$4)),0))</f>
        <v>0</v>
      </c>
      <c r="T479" s="251">
        <f>IF(T$4&gt;DAY(EOMONTH(DATE($D$2,$B$2,1),0)),"",IFERROR(SUMIFS(DATA_GOC!$H:$H,DATA_GOC!$A:$A,"BOM",DATA_GOC!$D:$D,$B479,DATA_GOC!$E:$E,"Dầu số",DATA_GOC!$F:$F,"Xuất nội bộ từ téc",DATA_GOC!$B:$B,DATE($D$2,$B$2,T$4)),0))</f>
        <v>0</v>
      </c>
      <c r="U479" s="251">
        <f>IF(U$4&gt;DAY(EOMONTH(DATE($D$2,$B$2,1),0)),"",IFERROR(SUMIFS(DATA_GOC!$H:$H,DATA_GOC!$A:$A,"BOM",DATA_GOC!$D:$D,$B479,DATA_GOC!$E:$E,"Dầu số",DATA_GOC!$F:$F,"Xuất nội bộ từ téc",DATA_GOC!$B:$B,DATE($D$2,$B$2,U$4)),0))</f>
        <v>0</v>
      </c>
      <c r="V479" s="251">
        <f>IF(V$4&gt;DAY(EOMONTH(DATE($D$2,$B$2,1),0)),"",IFERROR(SUMIFS(DATA_GOC!$H:$H,DATA_GOC!$A:$A,"BOM",DATA_GOC!$D:$D,$B479,DATA_GOC!$E:$E,"Dầu số",DATA_GOC!$F:$F,"Xuất nội bộ từ téc",DATA_GOC!$B:$B,DATE($D$2,$B$2,V$4)),0))</f>
        <v>0</v>
      </c>
      <c r="W479" s="251">
        <f>IF(W$4&gt;DAY(EOMONTH(DATE($D$2,$B$2,1),0)),"",IFERROR(SUMIFS(DATA_GOC!$H:$H,DATA_GOC!$A:$A,"BOM",DATA_GOC!$D:$D,$B479,DATA_GOC!$E:$E,"Dầu số",DATA_GOC!$F:$F,"Xuất nội bộ từ téc",DATA_GOC!$B:$B,DATE($D$2,$B$2,W$4)),0))</f>
        <v>0</v>
      </c>
      <c r="X479" s="251">
        <f>IF(X$4&gt;DAY(EOMONTH(DATE($D$2,$B$2,1),0)),"",IFERROR(SUMIFS(DATA_GOC!$H:$H,DATA_GOC!$A:$A,"BOM",DATA_GOC!$D:$D,$B479,DATA_GOC!$E:$E,"Dầu số",DATA_GOC!$F:$F,"Xuất nội bộ từ téc",DATA_GOC!$B:$B,DATE($D$2,$B$2,X$4)),0))</f>
        <v>0</v>
      </c>
      <c r="Y479" s="251">
        <f>IF(Y$4&gt;DAY(EOMONTH(DATE($D$2,$B$2,1),0)),"",IFERROR(SUMIFS(DATA_GOC!$H:$H,DATA_GOC!$A:$A,"BOM",DATA_GOC!$D:$D,$B479,DATA_GOC!$E:$E,"Dầu số",DATA_GOC!$F:$F,"Xuất nội bộ từ téc",DATA_GOC!$B:$B,DATE($D$2,$B$2,Y$4)),0))</f>
        <v>0</v>
      </c>
      <c r="Z479" s="251">
        <f>IF(Z$4&gt;DAY(EOMONTH(DATE($D$2,$B$2,1),0)),"",IFERROR(SUMIFS(DATA_GOC!$H:$H,DATA_GOC!$A:$A,"BOM",DATA_GOC!$D:$D,$B479,DATA_GOC!$E:$E,"Dầu số",DATA_GOC!$F:$F,"Xuất nội bộ từ téc",DATA_GOC!$B:$B,DATE($D$2,$B$2,Z$4)),0))</f>
        <v>0</v>
      </c>
      <c r="AA479" s="251">
        <f>IF(AA$4&gt;DAY(EOMONTH(DATE($D$2,$B$2,1),0)),"",IFERROR(SUMIFS(DATA_GOC!$H:$H,DATA_GOC!$A:$A,"BOM",DATA_GOC!$D:$D,$B479,DATA_GOC!$E:$E,"Dầu số",DATA_GOC!$F:$F,"Xuất nội bộ từ téc",DATA_GOC!$B:$B,DATE($D$2,$B$2,AA$4)),0))</f>
        <v>0</v>
      </c>
      <c r="AB479" s="251">
        <f>IF(AB$4&gt;DAY(EOMONTH(DATE($D$2,$B$2,1),0)),"",IFERROR(SUMIFS(DATA_GOC!$H:$H,DATA_GOC!$A:$A,"BOM",DATA_GOC!$D:$D,$B479,DATA_GOC!$E:$E,"Dầu số",DATA_GOC!$F:$F,"Xuất nội bộ từ téc",DATA_GOC!$B:$B,DATE($D$2,$B$2,AB$4)),0))</f>
        <v>0</v>
      </c>
      <c r="AC479" s="251">
        <f>IF(AC$4&gt;DAY(EOMONTH(DATE($D$2,$B$2,1),0)),"",IFERROR(SUMIFS(DATA_GOC!$H:$H,DATA_GOC!$A:$A,"BOM",DATA_GOC!$D:$D,$B479,DATA_GOC!$E:$E,"Dầu số",DATA_GOC!$F:$F,"Xuất nội bộ từ téc",DATA_GOC!$B:$B,DATE($D$2,$B$2,AC$4)),0))</f>
        <v>0</v>
      </c>
      <c r="AD479" s="251">
        <f>IF(AD$4&gt;DAY(EOMONTH(DATE($D$2,$B$2,1),0)),"",IFERROR(SUMIFS(DATA_GOC!$H:$H,DATA_GOC!$A:$A,"BOM",DATA_GOC!$D:$D,$B479,DATA_GOC!$E:$E,"Dầu số",DATA_GOC!$F:$F,"Xuất nội bộ từ téc",DATA_GOC!$B:$B,DATE($D$2,$B$2,AD$4)),0))</f>
        <v>0</v>
      </c>
      <c r="AE479" s="251">
        <f>IF(AE$4&gt;DAY(EOMONTH(DATE($D$2,$B$2,1),0)),"",IFERROR(SUMIFS(DATA_GOC!$H:$H,DATA_GOC!$A:$A,"BOM",DATA_GOC!$D:$D,$B479,DATA_GOC!$E:$E,"Dầu số",DATA_GOC!$F:$F,"Xuất nội bộ từ téc",DATA_GOC!$B:$B,DATE($D$2,$B$2,AE$4)),0))</f>
        <v>0</v>
      </c>
      <c r="AF479" s="251">
        <f>IF(AF$4&gt;DAY(EOMONTH(DATE($D$2,$B$2,1),0)),"",IFERROR(SUMIFS(DATA_GOC!$H:$H,DATA_GOC!$A:$A,"BOM",DATA_GOC!$D:$D,$B479,DATA_GOC!$E:$E,"Dầu số",DATA_GOC!$F:$F,"Xuất nội bộ từ téc",DATA_GOC!$B:$B,DATE($D$2,$B$2,AF$4)),0))</f>
        <v>0</v>
      </c>
      <c r="AG479" s="251">
        <f>IF(AG$4&gt;DAY(EOMONTH(DATE($D$2,$B$2,1),0)),"",IFERROR(SUMIFS(DATA_GOC!$H:$H,DATA_GOC!$A:$A,"BOM",DATA_GOC!$D:$D,$B479,DATA_GOC!$E:$E,"Dầu số",DATA_GOC!$F:$F,"Xuất nội bộ từ téc",DATA_GOC!$B:$B,DATE($D$2,$B$2,AG$4)),0))</f>
        <v>0</v>
      </c>
      <c r="AH479" s="252">
        <f t="shared" si="22"/>
        <v>0</v>
      </c>
      <c r="AI479" s="241"/>
      <c r="AJ479" s="242">
        <f>IF($B479="","",SUMIFS(TINH_TEC!$K$233:$K$9232,TINH_TEC!$H$233:$H$9232,$B479,TINH_TEC!$C$233:$C$9232,"Dầu số",TINH_TEC!$F$233:$F$9232,$B$2,TINH_TEC!$G$233:$G$9232,$D$2,TINH_TEC!$B$233:$B$9232,"Đã chốt"))</f>
        <v>0</v>
      </c>
      <c r="AK479" s="242">
        <f>IF($B479="","",SUMIFS(TINH_TEC!$J$233:$J$9232,TINH_TEC!$H$233:$H$9232,$B479,TINH_TEC!$C$233:$C$9232,"Dầu số",TINH_TEC!$F$233:$F$9232,$B$2,TINH_TEC!$G$233:$G$9232,$D$2,TINH_TEC!$B$233:$B$9232,"Đã chốt"))</f>
        <v>0</v>
      </c>
      <c r="AL479" s="242">
        <f t="shared" si="23"/>
        <v>0</v>
      </c>
    </row>
    <row r="480" ht="15.75" customHeight="1">
      <c r="A480" s="237">
        <f>IF($B480&lt;&gt;"",48,"")</f>
        <v>48</v>
      </c>
      <c r="B480" s="250" t="str">
        <f t="array" ref="B480">IFERROR(INDEX(DANH_MUC!$E:$E,51),"")</f>
        <v>LG53F</v>
      </c>
      <c r="C480" s="251">
        <f>IF(C$4&gt;DAY(EOMONTH(DATE($D$2,$B$2,1),0)),"",IFERROR(SUMIFS(DATA_GOC!$H:$H,DATA_GOC!$A:$A,"BOM",DATA_GOC!$D:$D,$B480,DATA_GOC!$E:$E,"Dầu số",DATA_GOC!$F:$F,"Xuất nội bộ từ téc",DATA_GOC!$B:$B,DATE($D$2,$B$2,C$4)),0))</f>
        <v>0</v>
      </c>
      <c r="D480" s="251">
        <f>IF(D$4&gt;DAY(EOMONTH(DATE($D$2,$B$2,1),0)),"",IFERROR(SUMIFS(DATA_GOC!$H:$H,DATA_GOC!$A:$A,"BOM",DATA_GOC!$D:$D,$B480,DATA_GOC!$E:$E,"Dầu số",DATA_GOC!$F:$F,"Xuất nội bộ từ téc",DATA_GOC!$B:$B,DATE($D$2,$B$2,D$4)),0))</f>
        <v>0</v>
      </c>
      <c r="E480" s="251">
        <f>IF(E$4&gt;DAY(EOMONTH(DATE($D$2,$B$2,1),0)),"",IFERROR(SUMIFS(DATA_GOC!$H:$H,DATA_GOC!$A:$A,"BOM",DATA_GOC!$D:$D,$B480,DATA_GOC!$E:$E,"Dầu số",DATA_GOC!$F:$F,"Xuất nội bộ từ téc",DATA_GOC!$B:$B,DATE($D$2,$B$2,E$4)),0))</f>
        <v>0</v>
      </c>
      <c r="F480" s="251">
        <f>IF(F$4&gt;DAY(EOMONTH(DATE($D$2,$B$2,1),0)),"",IFERROR(SUMIFS(DATA_GOC!$H:$H,DATA_GOC!$A:$A,"BOM",DATA_GOC!$D:$D,$B480,DATA_GOC!$E:$E,"Dầu số",DATA_GOC!$F:$F,"Xuất nội bộ từ téc",DATA_GOC!$B:$B,DATE($D$2,$B$2,F$4)),0))</f>
        <v>0</v>
      </c>
      <c r="G480" s="251">
        <f>IF(G$4&gt;DAY(EOMONTH(DATE($D$2,$B$2,1),0)),"",IFERROR(SUMIFS(DATA_GOC!$H:$H,DATA_GOC!$A:$A,"BOM",DATA_GOC!$D:$D,$B480,DATA_GOC!$E:$E,"Dầu số",DATA_GOC!$F:$F,"Xuất nội bộ từ téc",DATA_GOC!$B:$B,DATE($D$2,$B$2,G$4)),0))</f>
        <v>0</v>
      </c>
      <c r="H480" s="251">
        <f>IF(H$4&gt;DAY(EOMONTH(DATE($D$2,$B$2,1),0)),"",IFERROR(SUMIFS(DATA_GOC!$H:$H,DATA_GOC!$A:$A,"BOM",DATA_GOC!$D:$D,$B480,DATA_GOC!$E:$E,"Dầu số",DATA_GOC!$F:$F,"Xuất nội bộ từ téc",DATA_GOC!$B:$B,DATE($D$2,$B$2,H$4)),0))</f>
        <v>0</v>
      </c>
      <c r="I480" s="251">
        <f>IF(I$4&gt;DAY(EOMONTH(DATE($D$2,$B$2,1),0)),"",IFERROR(SUMIFS(DATA_GOC!$H:$H,DATA_GOC!$A:$A,"BOM",DATA_GOC!$D:$D,$B480,DATA_GOC!$E:$E,"Dầu số",DATA_GOC!$F:$F,"Xuất nội bộ từ téc",DATA_GOC!$B:$B,DATE($D$2,$B$2,I$4)),0))</f>
        <v>0</v>
      </c>
      <c r="J480" s="251">
        <f>IF(J$4&gt;DAY(EOMONTH(DATE($D$2,$B$2,1),0)),"",IFERROR(SUMIFS(DATA_GOC!$H:$H,DATA_GOC!$A:$A,"BOM",DATA_GOC!$D:$D,$B480,DATA_GOC!$E:$E,"Dầu số",DATA_GOC!$F:$F,"Xuất nội bộ từ téc",DATA_GOC!$B:$B,DATE($D$2,$B$2,J$4)),0))</f>
        <v>0</v>
      </c>
      <c r="K480" s="251">
        <f>IF(K$4&gt;DAY(EOMONTH(DATE($D$2,$B$2,1),0)),"",IFERROR(SUMIFS(DATA_GOC!$H:$H,DATA_GOC!$A:$A,"BOM",DATA_GOC!$D:$D,$B480,DATA_GOC!$E:$E,"Dầu số",DATA_GOC!$F:$F,"Xuất nội bộ từ téc",DATA_GOC!$B:$B,DATE($D$2,$B$2,K$4)),0))</f>
        <v>0</v>
      </c>
      <c r="L480" s="251">
        <f>IF(L$4&gt;DAY(EOMONTH(DATE($D$2,$B$2,1),0)),"",IFERROR(SUMIFS(DATA_GOC!$H:$H,DATA_GOC!$A:$A,"BOM",DATA_GOC!$D:$D,$B480,DATA_GOC!$E:$E,"Dầu số",DATA_GOC!$F:$F,"Xuất nội bộ từ téc",DATA_GOC!$B:$B,DATE($D$2,$B$2,L$4)),0))</f>
        <v>0</v>
      </c>
      <c r="M480" s="251">
        <f>IF(M$4&gt;DAY(EOMONTH(DATE($D$2,$B$2,1),0)),"",IFERROR(SUMIFS(DATA_GOC!$H:$H,DATA_GOC!$A:$A,"BOM",DATA_GOC!$D:$D,$B480,DATA_GOC!$E:$E,"Dầu số",DATA_GOC!$F:$F,"Xuất nội bộ từ téc",DATA_GOC!$B:$B,DATE($D$2,$B$2,M$4)),0))</f>
        <v>0</v>
      </c>
      <c r="N480" s="251">
        <f>IF(N$4&gt;DAY(EOMONTH(DATE($D$2,$B$2,1),0)),"",IFERROR(SUMIFS(DATA_GOC!$H:$H,DATA_GOC!$A:$A,"BOM",DATA_GOC!$D:$D,$B480,DATA_GOC!$E:$E,"Dầu số",DATA_GOC!$F:$F,"Xuất nội bộ từ téc",DATA_GOC!$B:$B,DATE($D$2,$B$2,N$4)),0))</f>
        <v>0</v>
      </c>
      <c r="O480" s="251">
        <f>IF(O$4&gt;DAY(EOMONTH(DATE($D$2,$B$2,1),0)),"",IFERROR(SUMIFS(DATA_GOC!$H:$H,DATA_GOC!$A:$A,"BOM",DATA_GOC!$D:$D,$B480,DATA_GOC!$E:$E,"Dầu số",DATA_GOC!$F:$F,"Xuất nội bộ từ téc",DATA_GOC!$B:$B,DATE($D$2,$B$2,O$4)),0))</f>
        <v>0</v>
      </c>
      <c r="P480" s="251">
        <f>IF(P$4&gt;DAY(EOMONTH(DATE($D$2,$B$2,1),0)),"",IFERROR(SUMIFS(DATA_GOC!$H:$H,DATA_GOC!$A:$A,"BOM",DATA_GOC!$D:$D,$B480,DATA_GOC!$E:$E,"Dầu số",DATA_GOC!$F:$F,"Xuất nội bộ từ téc",DATA_GOC!$B:$B,DATE($D$2,$B$2,P$4)),0))</f>
        <v>0</v>
      </c>
      <c r="Q480" s="251">
        <f>IF(Q$4&gt;DAY(EOMONTH(DATE($D$2,$B$2,1),0)),"",IFERROR(SUMIFS(DATA_GOC!$H:$H,DATA_GOC!$A:$A,"BOM",DATA_GOC!$D:$D,$B480,DATA_GOC!$E:$E,"Dầu số",DATA_GOC!$F:$F,"Xuất nội bộ từ téc",DATA_GOC!$B:$B,DATE($D$2,$B$2,Q$4)),0))</f>
        <v>0</v>
      </c>
      <c r="R480" s="251">
        <f>IF(R$4&gt;DAY(EOMONTH(DATE($D$2,$B$2,1),0)),"",IFERROR(SUMIFS(DATA_GOC!$H:$H,DATA_GOC!$A:$A,"BOM",DATA_GOC!$D:$D,$B480,DATA_GOC!$E:$E,"Dầu số",DATA_GOC!$F:$F,"Xuất nội bộ từ téc",DATA_GOC!$B:$B,DATE($D$2,$B$2,R$4)),0))</f>
        <v>0</v>
      </c>
      <c r="S480" s="251">
        <f>IF(S$4&gt;DAY(EOMONTH(DATE($D$2,$B$2,1),0)),"",IFERROR(SUMIFS(DATA_GOC!$H:$H,DATA_GOC!$A:$A,"BOM",DATA_GOC!$D:$D,$B480,DATA_GOC!$E:$E,"Dầu số",DATA_GOC!$F:$F,"Xuất nội bộ từ téc",DATA_GOC!$B:$B,DATE($D$2,$B$2,S$4)),0))</f>
        <v>0</v>
      </c>
      <c r="T480" s="251">
        <f>IF(T$4&gt;DAY(EOMONTH(DATE($D$2,$B$2,1),0)),"",IFERROR(SUMIFS(DATA_GOC!$H:$H,DATA_GOC!$A:$A,"BOM",DATA_GOC!$D:$D,$B480,DATA_GOC!$E:$E,"Dầu số",DATA_GOC!$F:$F,"Xuất nội bộ từ téc",DATA_GOC!$B:$B,DATE($D$2,$B$2,T$4)),0))</f>
        <v>0</v>
      </c>
      <c r="U480" s="251">
        <f>IF(U$4&gt;DAY(EOMONTH(DATE($D$2,$B$2,1),0)),"",IFERROR(SUMIFS(DATA_GOC!$H:$H,DATA_GOC!$A:$A,"BOM",DATA_GOC!$D:$D,$B480,DATA_GOC!$E:$E,"Dầu số",DATA_GOC!$F:$F,"Xuất nội bộ từ téc",DATA_GOC!$B:$B,DATE($D$2,$B$2,U$4)),0))</f>
        <v>0</v>
      </c>
      <c r="V480" s="251">
        <f>IF(V$4&gt;DAY(EOMONTH(DATE($D$2,$B$2,1),0)),"",IFERROR(SUMIFS(DATA_GOC!$H:$H,DATA_GOC!$A:$A,"BOM",DATA_GOC!$D:$D,$B480,DATA_GOC!$E:$E,"Dầu số",DATA_GOC!$F:$F,"Xuất nội bộ từ téc",DATA_GOC!$B:$B,DATE($D$2,$B$2,V$4)),0))</f>
        <v>0</v>
      </c>
      <c r="W480" s="251">
        <f>IF(W$4&gt;DAY(EOMONTH(DATE($D$2,$B$2,1),0)),"",IFERROR(SUMIFS(DATA_GOC!$H:$H,DATA_GOC!$A:$A,"BOM",DATA_GOC!$D:$D,$B480,DATA_GOC!$E:$E,"Dầu số",DATA_GOC!$F:$F,"Xuất nội bộ từ téc",DATA_GOC!$B:$B,DATE($D$2,$B$2,W$4)),0))</f>
        <v>0</v>
      </c>
      <c r="X480" s="251">
        <f>IF(X$4&gt;DAY(EOMONTH(DATE($D$2,$B$2,1),0)),"",IFERROR(SUMIFS(DATA_GOC!$H:$H,DATA_GOC!$A:$A,"BOM",DATA_GOC!$D:$D,$B480,DATA_GOC!$E:$E,"Dầu số",DATA_GOC!$F:$F,"Xuất nội bộ từ téc",DATA_GOC!$B:$B,DATE($D$2,$B$2,X$4)),0))</f>
        <v>0</v>
      </c>
      <c r="Y480" s="251">
        <f>IF(Y$4&gt;DAY(EOMONTH(DATE($D$2,$B$2,1),0)),"",IFERROR(SUMIFS(DATA_GOC!$H:$H,DATA_GOC!$A:$A,"BOM",DATA_GOC!$D:$D,$B480,DATA_GOC!$E:$E,"Dầu số",DATA_GOC!$F:$F,"Xuất nội bộ từ téc",DATA_GOC!$B:$B,DATE($D$2,$B$2,Y$4)),0))</f>
        <v>0</v>
      </c>
      <c r="Z480" s="251">
        <f>IF(Z$4&gt;DAY(EOMONTH(DATE($D$2,$B$2,1),0)),"",IFERROR(SUMIFS(DATA_GOC!$H:$H,DATA_GOC!$A:$A,"BOM",DATA_GOC!$D:$D,$B480,DATA_GOC!$E:$E,"Dầu số",DATA_GOC!$F:$F,"Xuất nội bộ từ téc",DATA_GOC!$B:$B,DATE($D$2,$B$2,Z$4)),0))</f>
        <v>0</v>
      </c>
      <c r="AA480" s="251">
        <f>IF(AA$4&gt;DAY(EOMONTH(DATE($D$2,$B$2,1),0)),"",IFERROR(SUMIFS(DATA_GOC!$H:$H,DATA_GOC!$A:$A,"BOM",DATA_GOC!$D:$D,$B480,DATA_GOC!$E:$E,"Dầu số",DATA_GOC!$F:$F,"Xuất nội bộ từ téc",DATA_GOC!$B:$B,DATE($D$2,$B$2,AA$4)),0))</f>
        <v>0</v>
      </c>
      <c r="AB480" s="251">
        <f>IF(AB$4&gt;DAY(EOMONTH(DATE($D$2,$B$2,1),0)),"",IFERROR(SUMIFS(DATA_GOC!$H:$H,DATA_GOC!$A:$A,"BOM",DATA_GOC!$D:$D,$B480,DATA_GOC!$E:$E,"Dầu số",DATA_GOC!$F:$F,"Xuất nội bộ từ téc",DATA_GOC!$B:$B,DATE($D$2,$B$2,AB$4)),0))</f>
        <v>0</v>
      </c>
      <c r="AC480" s="251">
        <f>IF(AC$4&gt;DAY(EOMONTH(DATE($D$2,$B$2,1),0)),"",IFERROR(SUMIFS(DATA_GOC!$H:$H,DATA_GOC!$A:$A,"BOM",DATA_GOC!$D:$D,$B480,DATA_GOC!$E:$E,"Dầu số",DATA_GOC!$F:$F,"Xuất nội bộ từ téc",DATA_GOC!$B:$B,DATE($D$2,$B$2,AC$4)),0))</f>
        <v>0</v>
      </c>
      <c r="AD480" s="251">
        <f>IF(AD$4&gt;DAY(EOMONTH(DATE($D$2,$B$2,1),0)),"",IFERROR(SUMIFS(DATA_GOC!$H:$H,DATA_GOC!$A:$A,"BOM",DATA_GOC!$D:$D,$B480,DATA_GOC!$E:$E,"Dầu số",DATA_GOC!$F:$F,"Xuất nội bộ từ téc",DATA_GOC!$B:$B,DATE($D$2,$B$2,AD$4)),0))</f>
        <v>0</v>
      </c>
      <c r="AE480" s="251">
        <f>IF(AE$4&gt;DAY(EOMONTH(DATE($D$2,$B$2,1),0)),"",IFERROR(SUMIFS(DATA_GOC!$H:$H,DATA_GOC!$A:$A,"BOM",DATA_GOC!$D:$D,$B480,DATA_GOC!$E:$E,"Dầu số",DATA_GOC!$F:$F,"Xuất nội bộ từ téc",DATA_GOC!$B:$B,DATE($D$2,$B$2,AE$4)),0))</f>
        <v>0</v>
      </c>
      <c r="AF480" s="251">
        <f>IF(AF$4&gt;DAY(EOMONTH(DATE($D$2,$B$2,1),0)),"",IFERROR(SUMIFS(DATA_GOC!$H:$H,DATA_GOC!$A:$A,"BOM",DATA_GOC!$D:$D,$B480,DATA_GOC!$E:$E,"Dầu số",DATA_GOC!$F:$F,"Xuất nội bộ từ téc",DATA_GOC!$B:$B,DATE($D$2,$B$2,AF$4)),0))</f>
        <v>0</v>
      </c>
      <c r="AG480" s="251">
        <f>IF(AG$4&gt;DAY(EOMONTH(DATE($D$2,$B$2,1),0)),"",IFERROR(SUMIFS(DATA_GOC!$H:$H,DATA_GOC!$A:$A,"BOM",DATA_GOC!$D:$D,$B480,DATA_GOC!$E:$E,"Dầu số",DATA_GOC!$F:$F,"Xuất nội bộ từ téc",DATA_GOC!$B:$B,DATE($D$2,$B$2,AG$4)),0))</f>
        <v>0</v>
      </c>
      <c r="AH480" s="252">
        <f t="shared" si="22"/>
        <v>0</v>
      </c>
      <c r="AI480" s="241"/>
      <c r="AJ480" s="242">
        <f>IF($B480="","",SUMIFS(TINH_TEC!$K$233:$K$9232,TINH_TEC!$H$233:$H$9232,$B480,TINH_TEC!$C$233:$C$9232,"Dầu số",TINH_TEC!$F$233:$F$9232,$B$2,TINH_TEC!$G$233:$G$9232,$D$2,TINH_TEC!$B$233:$B$9232,"Đã chốt"))</f>
        <v>0</v>
      </c>
      <c r="AK480" s="242">
        <f>IF($B480="","",SUMIFS(TINH_TEC!$J$233:$J$9232,TINH_TEC!$H$233:$H$9232,$B480,TINH_TEC!$C$233:$C$9232,"Dầu số",TINH_TEC!$F$233:$F$9232,$B$2,TINH_TEC!$G$233:$G$9232,$D$2,TINH_TEC!$B$233:$B$9232,"Đã chốt"))</f>
        <v>0</v>
      </c>
      <c r="AL480" s="242">
        <f t="shared" si="23"/>
        <v>0</v>
      </c>
    </row>
    <row r="481" ht="15.75" customHeight="1">
      <c r="A481" s="237">
        <f>IF($B481&lt;&gt;"",49,"")</f>
        <v>49</v>
      </c>
      <c r="B481" s="250" t="str">
        <f t="array" ref="B481">IFERROR(INDEX(DANH_MUC!$E:$E,52),"")</f>
        <v>Máy phát điện</v>
      </c>
      <c r="C481" s="251">
        <f>IF(C$4&gt;DAY(EOMONTH(DATE($D$2,$B$2,1),0)),"",IFERROR(SUMIFS(DATA_GOC!$H:$H,DATA_GOC!$A:$A,"BOM",DATA_GOC!$D:$D,$B481,DATA_GOC!$E:$E,"Dầu số",DATA_GOC!$F:$F,"Xuất nội bộ từ téc",DATA_GOC!$B:$B,DATE($D$2,$B$2,C$4)),0))</f>
        <v>0</v>
      </c>
      <c r="D481" s="251">
        <f>IF(D$4&gt;DAY(EOMONTH(DATE($D$2,$B$2,1),0)),"",IFERROR(SUMIFS(DATA_GOC!$H:$H,DATA_GOC!$A:$A,"BOM",DATA_GOC!$D:$D,$B481,DATA_GOC!$E:$E,"Dầu số",DATA_GOC!$F:$F,"Xuất nội bộ từ téc",DATA_GOC!$B:$B,DATE($D$2,$B$2,D$4)),0))</f>
        <v>0</v>
      </c>
      <c r="E481" s="251">
        <f>IF(E$4&gt;DAY(EOMONTH(DATE($D$2,$B$2,1),0)),"",IFERROR(SUMIFS(DATA_GOC!$H:$H,DATA_GOC!$A:$A,"BOM",DATA_GOC!$D:$D,$B481,DATA_GOC!$E:$E,"Dầu số",DATA_GOC!$F:$F,"Xuất nội bộ từ téc",DATA_GOC!$B:$B,DATE($D$2,$B$2,E$4)),0))</f>
        <v>0</v>
      </c>
      <c r="F481" s="251">
        <f>IF(F$4&gt;DAY(EOMONTH(DATE($D$2,$B$2,1),0)),"",IFERROR(SUMIFS(DATA_GOC!$H:$H,DATA_GOC!$A:$A,"BOM",DATA_GOC!$D:$D,$B481,DATA_GOC!$E:$E,"Dầu số",DATA_GOC!$F:$F,"Xuất nội bộ từ téc",DATA_GOC!$B:$B,DATE($D$2,$B$2,F$4)),0))</f>
        <v>0</v>
      </c>
      <c r="G481" s="251">
        <f>IF(G$4&gt;DAY(EOMONTH(DATE($D$2,$B$2,1),0)),"",IFERROR(SUMIFS(DATA_GOC!$H:$H,DATA_GOC!$A:$A,"BOM",DATA_GOC!$D:$D,$B481,DATA_GOC!$E:$E,"Dầu số",DATA_GOC!$F:$F,"Xuất nội bộ từ téc",DATA_GOC!$B:$B,DATE($D$2,$B$2,G$4)),0))</f>
        <v>0</v>
      </c>
      <c r="H481" s="251">
        <f>IF(H$4&gt;DAY(EOMONTH(DATE($D$2,$B$2,1),0)),"",IFERROR(SUMIFS(DATA_GOC!$H:$H,DATA_GOC!$A:$A,"BOM",DATA_GOC!$D:$D,$B481,DATA_GOC!$E:$E,"Dầu số",DATA_GOC!$F:$F,"Xuất nội bộ từ téc",DATA_GOC!$B:$B,DATE($D$2,$B$2,H$4)),0))</f>
        <v>0</v>
      </c>
      <c r="I481" s="251">
        <f>IF(I$4&gt;DAY(EOMONTH(DATE($D$2,$B$2,1),0)),"",IFERROR(SUMIFS(DATA_GOC!$H:$H,DATA_GOC!$A:$A,"BOM",DATA_GOC!$D:$D,$B481,DATA_GOC!$E:$E,"Dầu số",DATA_GOC!$F:$F,"Xuất nội bộ từ téc",DATA_GOC!$B:$B,DATE($D$2,$B$2,I$4)),0))</f>
        <v>0</v>
      </c>
      <c r="J481" s="251">
        <f>IF(J$4&gt;DAY(EOMONTH(DATE($D$2,$B$2,1),0)),"",IFERROR(SUMIFS(DATA_GOC!$H:$H,DATA_GOC!$A:$A,"BOM",DATA_GOC!$D:$D,$B481,DATA_GOC!$E:$E,"Dầu số",DATA_GOC!$F:$F,"Xuất nội bộ từ téc",DATA_GOC!$B:$B,DATE($D$2,$B$2,J$4)),0))</f>
        <v>0</v>
      </c>
      <c r="K481" s="251">
        <f>IF(K$4&gt;DAY(EOMONTH(DATE($D$2,$B$2,1),0)),"",IFERROR(SUMIFS(DATA_GOC!$H:$H,DATA_GOC!$A:$A,"BOM",DATA_GOC!$D:$D,$B481,DATA_GOC!$E:$E,"Dầu số",DATA_GOC!$F:$F,"Xuất nội bộ từ téc",DATA_GOC!$B:$B,DATE($D$2,$B$2,K$4)),0))</f>
        <v>0</v>
      </c>
      <c r="L481" s="251">
        <f>IF(L$4&gt;DAY(EOMONTH(DATE($D$2,$B$2,1),0)),"",IFERROR(SUMIFS(DATA_GOC!$H:$H,DATA_GOC!$A:$A,"BOM",DATA_GOC!$D:$D,$B481,DATA_GOC!$E:$E,"Dầu số",DATA_GOC!$F:$F,"Xuất nội bộ từ téc",DATA_GOC!$B:$B,DATE($D$2,$B$2,L$4)),0))</f>
        <v>0</v>
      </c>
      <c r="M481" s="251">
        <f>IF(M$4&gt;DAY(EOMONTH(DATE($D$2,$B$2,1),0)),"",IFERROR(SUMIFS(DATA_GOC!$H:$H,DATA_GOC!$A:$A,"BOM",DATA_GOC!$D:$D,$B481,DATA_GOC!$E:$E,"Dầu số",DATA_GOC!$F:$F,"Xuất nội bộ từ téc",DATA_GOC!$B:$B,DATE($D$2,$B$2,M$4)),0))</f>
        <v>0</v>
      </c>
      <c r="N481" s="251">
        <f>IF(N$4&gt;DAY(EOMONTH(DATE($D$2,$B$2,1),0)),"",IFERROR(SUMIFS(DATA_GOC!$H:$H,DATA_GOC!$A:$A,"BOM",DATA_GOC!$D:$D,$B481,DATA_GOC!$E:$E,"Dầu số",DATA_GOC!$F:$F,"Xuất nội bộ từ téc",DATA_GOC!$B:$B,DATE($D$2,$B$2,N$4)),0))</f>
        <v>0</v>
      </c>
      <c r="O481" s="251">
        <f>IF(O$4&gt;DAY(EOMONTH(DATE($D$2,$B$2,1),0)),"",IFERROR(SUMIFS(DATA_GOC!$H:$H,DATA_GOC!$A:$A,"BOM",DATA_GOC!$D:$D,$B481,DATA_GOC!$E:$E,"Dầu số",DATA_GOC!$F:$F,"Xuất nội bộ từ téc",DATA_GOC!$B:$B,DATE($D$2,$B$2,O$4)),0))</f>
        <v>0</v>
      </c>
      <c r="P481" s="251">
        <f>IF(P$4&gt;DAY(EOMONTH(DATE($D$2,$B$2,1),0)),"",IFERROR(SUMIFS(DATA_GOC!$H:$H,DATA_GOC!$A:$A,"BOM",DATA_GOC!$D:$D,$B481,DATA_GOC!$E:$E,"Dầu số",DATA_GOC!$F:$F,"Xuất nội bộ từ téc",DATA_GOC!$B:$B,DATE($D$2,$B$2,P$4)),0))</f>
        <v>0</v>
      </c>
      <c r="Q481" s="251">
        <f>IF(Q$4&gt;DAY(EOMONTH(DATE($D$2,$B$2,1),0)),"",IFERROR(SUMIFS(DATA_GOC!$H:$H,DATA_GOC!$A:$A,"BOM",DATA_GOC!$D:$D,$B481,DATA_GOC!$E:$E,"Dầu số",DATA_GOC!$F:$F,"Xuất nội bộ từ téc",DATA_GOC!$B:$B,DATE($D$2,$B$2,Q$4)),0))</f>
        <v>0</v>
      </c>
      <c r="R481" s="251">
        <f>IF(R$4&gt;DAY(EOMONTH(DATE($D$2,$B$2,1),0)),"",IFERROR(SUMIFS(DATA_GOC!$H:$H,DATA_GOC!$A:$A,"BOM",DATA_GOC!$D:$D,$B481,DATA_GOC!$E:$E,"Dầu số",DATA_GOC!$F:$F,"Xuất nội bộ từ téc",DATA_GOC!$B:$B,DATE($D$2,$B$2,R$4)),0))</f>
        <v>0</v>
      </c>
      <c r="S481" s="251">
        <f>IF(S$4&gt;DAY(EOMONTH(DATE($D$2,$B$2,1),0)),"",IFERROR(SUMIFS(DATA_GOC!$H:$H,DATA_GOC!$A:$A,"BOM",DATA_GOC!$D:$D,$B481,DATA_GOC!$E:$E,"Dầu số",DATA_GOC!$F:$F,"Xuất nội bộ từ téc",DATA_GOC!$B:$B,DATE($D$2,$B$2,S$4)),0))</f>
        <v>0</v>
      </c>
      <c r="T481" s="251">
        <f>IF(T$4&gt;DAY(EOMONTH(DATE($D$2,$B$2,1),0)),"",IFERROR(SUMIFS(DATA_GOC!$H:$H,DATA_GOC!$A:$A,"BOM",DATA_GOC!$D:$D,$B481,DATA_GOC!$E:$E,"Dầu số",DATA_GOC!$F:$F,"Xuất nội bộ từ téc",DATA_GOC!$B:$B,DATE($D$2,$B$2,T$4)),0))</f>
        <v>0</v>
      </c>
      <c r="U481" s="251">
        <f>IF(U$4&gt;DAY(EOMONTH(DATE($D$2,$B$2,1),0)),"",IFERROR(SUMIFS(DATA_GOC!$H:$H,DATA_GOC!$A:$A,"BOM",DATA_GOC!$D:$D,$B481,DATA_GOC!$E:$E,"Dầu số",DATA_GOC!$F:$F,"Xuất nội bộ từ téc",DATA_GOC!$B:$B,DATE($D$2,$B$2,U$4)),0))</f>
        <v>0</v>
      </c>
      <c r="V481" s="251">
        <f>IF(V$4&gt;DAY(EOMONTH(DATE($D$2,$B$2,1),0)),"",IFERROR(SUMIFS(DATA_GOC!$H:$H,DATA_GOC!$A:$A,"BOM",DATA_GOC!$D:$D,$B481,DATA_GOC!$E:$E,"Dầu số",DATA_GOC!$F:$F,"Xuất nội bộ từ téc",DATA_GOC!$B:$B,DATE($D$2,$B$2,V$4)),0))</f>
        <v>0</v>
      </c>
      <c r="W481" s="251">
        <f>IF(W$4&gt;DAY(EOMONTH(DATE($D$2,$B$2,1),0)),"",IFERROR(SUMIFS(DATA_GOC!$H:$H,DATA_GOC!$A:$A,"BOM",DATA_GOC!$D:$D,$B481,DATA_GOC!$E:$E,"Dầu số",DATA_GOC!$F:$F,"Xuất nội bộ từ téc",DATA_GOC!$B:$B,DATE($D$2,$B$2,W$4)),0))</f>
        <v>0</v>
      </c>
      <c r="X481" s="251">
        <f>IF(X$4&gt;DAY(EOMONTH(DATE($D$2,$B$2,1),0)),"",IFERROR(SUMIFS(DATA_GOC!$H:$H,DATA_GOC!$A:$A,"BOM",DATA_GOC!$D:$D,$B481,DATA_GOC!$E:$E,"Dầu số",DATA_GOC!$F:$F,"Xuất nội bộ từ téc",DATA_GOC!$B:$B,DATE($D$2,$B$2,X$4)),0))</f>
        <v>0</v>
      </c>
      <c r="Y481" s="251">
        <f>IF(Y$4&gt;DAY(EOMONTH(DATE($D$2,$B$2,1),0)),"",IFERROR(SUMIFS(DATA_GOC!$H:$H,DATA_GOC!$A:$A,"BOM",DATA_GOC!$D:$D,$B481,DATA_GOC!$E:$E,"Dầu số",DATA_GOC!$F:$F,"Xuất nội bộ từ téc",DATA_GOC!$B:$B,DATE($D$2,$B$2,Y$4)),0))</f>
        <v>0</v>
      </c>
      <c r="Z481" s="251">
        <f>IF(Z$4&gt;DAY(EOMONTH(DATE($D$2,$B$2,1),0)),"",IFERROR(SUMIFS(DATA_GOC!$H:$H,DATA_GOC!$A:$A,"BOM",DATA_GOC!$D:$D,$B481,DATA_GOC!$E:$E,"Dầu số",DATA_GOC!$F:$F,"Xuất nội bộ từ téc",DATA_GOC!$B:$B,DATE($D$2,$B$2,Z$4)),0))</f>
        <v>0</v>
      </c>
      <c r="AA481" s="251">
        <f>IF(AA$4&gt;DAY(EOMONTH(DATE($D$2,$B$2,1),0)),"",IFERROR(SUMIFS(DATA_GOC!$H:$H,DATA_GOC!$A:$A,"BOM",DATA_GOC!$D:$D,$B481,DATA_GOC!$E:$E,"Dầu số",DATA_GOC!$F:$F,"Xuất nội bộ từ téc",DATA_GOC!$B:$B,DATE($D$2,$B$2,AA$4)),0))</f>
        <v>0</v>
      </c>
      <c r="AB481" s="251">
        <f>IF(AB$4&gt;DAY(EOMONTH(DATE($D$2,$B$2,1),0)),"",IFERROR(SUMIFS(DATA_GOC!$H:$H,DATA_GOC!$A:$A,"BOM",DATA_GOC!$D:$D,$B481,DATA_GOC!$E:$E,"Dầu số",DATA_GOC!$F:$F,"Xuất nội bộ từ téc",DATA_GOC!$B:$B,DATE($D$2,$B$2,AB$4)),0))</f>
        <v>0</v>
      </c>
      <c r="AC481" s="251">
        <f>IF(AC$4&gt;DAY(EOMONTH(DATE($D$2,$B$2,1),0)),"",IFERROR(SUMIFS(DATA_GOC!$H:$H,DATA_GOC!$A:$A,"BOM",DATA_GOC!$D:$D,$B481,DATA_GOC!$E:$E,"Dầu số",DATA_GOC!$F:$F,"Xuất nội bộ từ téc",DATA_GOC!$B:$B,DATE($D$2,$B$2,AC$4)),0))</f>
        <v>0</v>
      </c>
      <c r="AD481" s="251">
        <f>IF(AD$4&gt;DAY(EOMONTH(DATE($D$2,$B$2,1),0)),"",IFERROR(SUMIFS(DATA_GOC!$H:$H,DATA_GOC!$A:$A,"BOM",DATA_GOC!$D:$D,$B481,DATA_GOC!$E:$E,"Dầu số",DATA_GOC!$F:$F,"Xuất nội bộ từ téc",DATA_GOC!$B:$B,DATE($D$2,$B$2,AD$4)),0))</f>
        <v>0</v>
      </c>
      <c r="AE481" s="251">
        <f>IF(AE$4&gt;DAY(EOMONTH(DATE($D$2,$B$2,1),0)),"",IFERROR(SUMIFS(DATA_GOC!$H:$H,DATA_GOC!$A:$A,"BOM",DATA_GOC!$D:$D,$B481,DATA_GOC!$E:$E,"Dầu số",DATA_GOC!$F:$F,"Xuất nội bộ từ téc",DATA_GOC!$B:$B,DATE($D$2,$B$2,AE$4)),0))</f>
        <v>0</v>
      </c>
      <c r="AF481" s="251">
        <f>IF(AF$4&gt;DAY(EOMONTH(DATE($D$2,$B$2,1),0)),"",IFERROR(SUMIFS(DATA_GOC!$H:$H,DATA_GOC!$A:$A,"BOM",DATA_GOC!$D:$D,$B481,DATA_GOC!$E:$E,"Dầu số",DATA_GOC!$F:$F,"Xuất nội bộ từ téc",DATA_GOC!$B:$B,DATE($D$2,$B$2,AF$4)),0))</f>
        <v>0</v>
      </c>
      <c r="AG481" s="251">
        <f>IF(AG$4&gt;DAY(EOMONTH(DATE($D$2,$B$2,1),0)),"",IFERROR(SUMIFS(DATA_GOC!$H:$H,DATA_GOC!$A:$A,"BOM",DATA_GOC!$D:$D,$B481,DATA_GOC!$E:$E,"Dầu số",DATA_GOC!$F:$F,"Xuất nội bộ từ téc",DATA_GOC!$B:$B,DATE($D$2,$B$2,AG$4)),0))</f>
        <v>0</v>
      </c>
      <c r="AH481" s="252">
        <f t="shared" si="22"/>
        <v>0</v>
      </c>
      <c r="AI481" s="241"/>
      <c r="AJ481" s="242">
        <f>IF($B481="","",SUMIFS(TINH_TEC!$K$233:$K$9232,TINH_TEC!$H$233:$H$9232,$B481,TINH_TEC!$C$233:$C$9232,"Dầu số",TINH_TEC!$F$233:$F$9232,$B$2,TINH_TEC!$G$233:$G$9232,$D$2,TINH_TEC!$B$233:$B$9232,"Đã chốt"))</f>
        <v>0</v>
      </c>
      <c r="AK481" s="242">
        <f>IF($B481="","",SUMIFS(TINH_TEC!$J$233:$J$9232,TINH_TEC!$H$233:$H$9232,$B481,TINH_TEC!$C$233:$C$9232,"Dầu số",TINH_TEC!$F$233:$F$9232,$B$2,TINH_TEC!$G$233:$G$9232,$D$2,TINH_TEC!$B$233:$B$9232,"Đã chốt"))</f>
        <v>0</v>
      </c>
      <c r="AL481" s="242">
        <f t="shared" si="23"/>
        <v>0</v>
      </c>
    </row>
    <row r="482" ht="15.75" customHeight="1">
      <c r="A482" s="237">
        <f>IF($B482&lt;&gt;"",50,"")</f>
        <v>50</v>
      </c>
      <c r="B482" s="250" t="str">
        <f t="array" ref="B482">IFERROR(INDEX(DANH_MUC!$E:$E,53),"")</f>
        <v>Máy rải thảm</v>
      </c>
      <c r="C482" s="251">
        <f>IF(C$4&gt;DAY(EOMONTH(DATE($D$2,$B$2,1),0)),"",IFERROR(SUMIFS(DATA_GOC!$H:$H,DATA_GOC!$A:$A,"BOM",DATA_GOC!$D:$D,$B482,DATA_GOC!$E:$E,"Dầu số",DATA_GOC!$F:$F,"Xuất nội bộ từ téc",DATA_GOC!$B:$B,DATE($D$2,$B$2,C$4)),0))</f>
        <v>0</v>
      </c>
      <c r="D482" s="251">
        <f>IF(D$4&gt;DAY(EOMONTH(DATE($D$2,$B$2,1),0)),"",IFERROR(SUMIFS(DATA_GOC!$H:$H,DATA_GOC!$A:$A,"BOM",DATA_GOC!$D:$D,$B482,DATA_GOC!$E:$E,"Dầu số",DATA_GOC!$F:$F,"Xuất nội bộ từ téc",DATA_GOC!$B:$B,DATE($D$2,$B$2,D$4)),0))</f>
        <v>0</v>
      </c>
      <c r="E482" s="251">
        <f>IF(E$4&gt;DAY(EOMONTH(DATE($D$2,$B$2,1),0)),"",IFERROR(SUMIFS(DATA_GOC!$H:$H,DATA_GOC!$A:$A,"BOM",DATA_GOC!$D:$D,$B482,DATA_GOC!$E:$E,"Dầu số",DATA_GOC!$F:$F,"Xuất nội bộ từ téc",DATA_GOC!$B:$B,DATE($D$2,$B$2,E$4)),0))</f>
        <v>0</v>
      </c>
      <c r="F482" s="251">
        <f>IF(F$4&gt;DAY(EOMONTH(DATE($D$2,$B$2,1),0)),"",IFERROR(SUMIFS(DATA_GOC!$H:$H,DATA_GOC!$A:$A,"BOM",DATA_GOC!$D:$D,$B482,DATA_GOC!$E:$E,"Dầu số",DATA_GOC!$F:$F,"Xuất nội bộ từ téc",DATA_GOC!$B:$B,DATE($D$2,$B$2,F$4)),0))</f>
        <v>0</v>
      </c>
      <c r="G482" s="251">
        <f>IF(G$4&gt;DAY(EOMONTH(DATE($D$2,$B$2,1),0)),"",IFERROR(SUMIFS(DATA_GOC!$H:$H,DATA_GOC!$A:$A,"BOM",DATA_GOC!$D:$D,$B482,DATA_GOC!$E:$E,"Dầu số",DATA_GOC!$F:$F,"Xuất nội bộ từ téc",DATA_GOC!$B:$B,DATE($D$2,$B$2,G$4)),0))</f>
        <v>0</v>
      </c>
      <c r="H482" s="251">
        <f>IF(H$4&gt;DAY(EOMONTH(DATE($D$2,$B$2,1),0)),"",IFERROR(SUMIFS(DATA_GOC!$H:$H,DATA_GOC!$A:$A,"BOM",DATA_GOC!$D:$D,$B482,DATA_GOC!$E:$E,"Dầu số",DATA_GOC!$F:$F,"Xuất nội bộ từ téc",DATA_GOC!$B:$B,DATE($D$2,$B$2,H$4)),0))</f>
        <v>0</v>
      </c>
      <c r="I482" s="251">
        <f>IF(I$4&gt;DAY(EOMONTH(DATE($D$2,$B$2,1),0)),"",IFERROR(SUMIFS(DATA_GOC!$H:$H,DATA_GOC!$A:$A,"BOM",DATA_GOC!$D:$D,$B482,DATA_GOC!$E:$E,"Dầu số",DATA_GOC!$F:$F,"Xuất nội bộ từ téc",DATA_GOC!$B:$B,DATE($D$2,$B$2,I$4)),0))</f>
        <v>0</v>
      </c>
      <c r="J482" s="251">
        <f>IF(J$4&gt;DAY(EOMONTH(DATE($D$2,$B$2,1),0)),"",IFERROR(SUMIFS(DATA_GOC!$H:$H,DATA_GOC!$A:$A,"BOM",DATA_GOC!$D:$D,$B482,DATA_GOC!$E:$E,"Dầu số",DATA_GOC!$F:$F,"Xuất nội bộ từ téc",DATA_GOC!$B:$B,DATE($D$2,$B$2,J$4)),0))</f>
        <v>0</v>
      </c>
      <c r="K482" s="251">
        <f>IF(K$4&gt;DAY(EOMONTH(DATE($D$2,$B$2,1),0)),"",IFERROR(SUMIFS(DATA_GOC!$H:$H,DATA_GOC!$A:$A,"BOM",DATA_GOC!$D:$D,$B482,DATA_GOC!$E:$E,"Dầu số",DATA_GOC!$F:$F,"Xuất nội bộ từ téc",DATA_GOC!$B:$B,DATE($D$2,$B$2,K$4)),0))</f>
        <v>0</v>
      </c>
      <c r="L482" s="251">
        <f>IF(L$4&gt;DAY(EOMONTH(DATE($D$2,$B$2,1),0)),"",IFERROR(SUMIFS(DATA_GOC!$H:$H,DATA_GOC!$A:$A,"BOM",DATA_GOC!$D:$D,$B482,DATA_GOC!$E:$E,"Dầu số",DATA_GOC!$F:$F,"Xuất nội bộ từ téc",DATA_GOC!$B:$B,DATE($D$2,$B$2,L$4)),0))</f>
        <v>0</v>
      </c>
      <c r="M482" s="251">
        <f>IF(M$4&gt;DAY(EOMONTH(DATE($D$2,$B$2,1),0)),"",IFERROR(SUMIFS(DATA_GOC!$H:$H,DATA_GOC!$A:$A,"BOM",DATA_GOC!$D:$D,$B482,DATA_GOC!$E:$E,"Dầu số",DATA_GOC!$F:$F,"Xuất nội bộ từ téc",DATA_GOC!$B:$B,DATE($D$2,$B$2,M$4)),0))</f>
        <v>0</v>
      </c>
      <c r="N482" s="251">
        <f>IF(N$4&gt;DAY(EOMONTH(DATE($D$2,$B$2,1),0)),"",IFERROR(SUMIFS(DATA_GOC!$H:$H,DATA_GOC!$A:$A,"BOM",DATA_GOC!$D:$D,$B482,DATA_GOC!$E:$E,"Dầu số",DATA_GOC!$F:$F,"Xuất nội bộ từ téc",DATA_GOC!$B:$B,DATE($D$2,$B$2,N$4)),0))</f>
        <v>0</v>
      </c>
      <c r="O482" s="251">
        <f>IF(O$4&gt;DAY(EOMONTH(DATE($D$2,$B$2,1),0)),"",IFERROR(SUMIFS(DATA_GOC!$H:$H,DATA_GOC!$A:$A,"BOM",DATA_GOC!$D:$D,$B482,DATA_GOC!$E:$E,"Dầu số",DATA_GOC!$F:$F,"Xuất nội bộ từ téc",DATA_GOC!$B:$B,DATE($D$2,$B$2,O$4)),0))</f>
        <v>0</v>
      </c>
      <c r="P482" s="251">
        <f>IF(P$4&gt;DAY(EOMONTH(DATE($D$2,$B$2,1),0)),"",IFERROR(SUMIFS(DATA_GOC!$H:$H,DATA_GOC!$A:$A,"BOM",DATA_GOC!$D:$D,$B482,DATA_GOC!$E:$E,"Dầu số",DATA_GOC!$F:$F,"Xuất nội bộ từ téc",DATA_GOC!$B:$B,DATE($D$2,$B$2,P$4)),0))</f>
        <v>0</v>
      </c>
      <c r="Q482" s="251">
        <f>IF(Q$4&gt;DAY(EOMONTH(DATE($D$2,$B$2,1),0)),"",IFERROR(SUMIFS(DATA_GOC!$H:$H,DATA_GOC!$A:$A,"BOM",DATA_GOC!$D:$D,$B482,DATA_GOC!$E:$E,"Dầu số",DATA_GOC!$F:$F,"Xuất nội bộ từ téc",DATA_GOC!$B:$B,DATE($D$2,$B$2,Q$4)),0))</f>
        <v>0</v>
      </c>
      <c r="R482" s="251">
        <f>IF(R$4&gt;DAY(EOMONTH(DATE($D$2,$B$2,1),0)),"",IFERROR(SUMIFS(DATA_GOC!$H:$H,DATA_GOC!$A:$A,"BOM",DATA_GOC!$D:$D,$B482,DATA_GOC!$E:$E,"Dầu số",DATA_GOC!$F:$F,"Xuất nội bộ từ téc",DATA_GOC!$B:$B,DATE($D$2,$B$2,R$4)),0))</f>
        <v>0</v>
      </c>
      <c r="S482" s="251">
        <f>IF(S$4&gt;DAY(EOMONTH(DATE($D$2,$B$2,1),0)),"",IFERROR(SUMIFS(DATA_GOC!$H:$H,DATA_GOC!$A:$A,"BOM",DATA_GOC!$D:$D,$B482,DATA_GOC!$E:$E,"Dầu số",DATA_GOC!$F:$F,"Xuất nội bộ từ téc",DATA_GOC!$B:$B,DATE($D$2,$B$2,S$4)),0))</f>
        <v>0</v>
      </c>
      <c r="T482" s="251">
        <f>IF(T$4&gt;DAY(EOMONTH(DATE($D$2,$B$2,1),0)),"",IFERROR(SUMIFS(DATA_GOC!$H:$H,DATA_GOC!$A:$A,"BOM",DATA_GOC!$D:$D,$B482,DATA_GOC!$E:$E,"Dầu số",DATA_GOC!$F:$F,"Xuất nội bộ từ téc",DATA_GOC!$B:$B,DATE($D$2,$B$2,T$4)),0))</f>
        <v>0</v>
      </c>
      <c r="U482" s="251">
        <f>IF(U$4&gt;DAY(EOMONTH(DATE($D$2,$B$2,1),0)),"",IFERROR(SUMIFS(DATA_GOC!$H:$H,DATA_GOC!$A:$A,"BOM",DATA_GOC!$D:$D,$B482,DATA_GOC!$E:$E,"Dầu số",DATA_GOC!$F:$F,"Xuất nội bộ từ téc",DATA_GOC!$B:$B,DATE($D$2,$B$2,U$4)),0))</f>
        <v>0</v>
      </c>
      <c r="V482" s="251">
        <f>IF(V$4&gt;DAY(EOMONTH(DATE($D$2,$B$2,1),0)),"",IFERROR(SUMIFS(DATA_GOC!$H:$H,DATA_GOC!$A:$A,"BOM",DATA_GOC!$D:$D,$B482,DATA_GOC!$E:$E,"Dầu số",DATA_GOC!$F:$F,"Xuất nội bộ từ téc",DATA_GOC!$B:$B,DATE($D$2,$B$2,V$4)),0))</f>
        <v>0</v>
      </c>
      <c r="W482" s="251">
        <f>IF(W$4&gt;DAY(EOMONTH(DATE($D$2,$B$2,1),0)),"",IFERROR(SUMIFS(DATA_GOC!$H:$H,DATA_GOC!$A:$A,"BOM",DATA_GOC!$D:$D,$B482,DATA_GOC!$E:$E,"Dầu số",DATA_GOC!$F:$F,"Xuất nội bộ từ téc",DATA_GOC!$B:$B,DATE($D$2,$B$2,W$4)),0))</f>
        <v>0</v>
      </c>
      <c r="X482" s="251">
        <f>IF(X$4&gt;DAY(EOMONTH(DATE($D$2,$B$2,1),0)),"",IFERROR(SUMIFS(DATA_GOC!$H:$H,DATA_GOC!$A:$A,"BOM",DATA_GOC!$D:$D,$B482,DATA_GOC!$E:$E,"Dầu số",DATA_GOC!$F:$F,"Xuất nội bộ từ téc",DATA_GOC!$B:$B,DATE($D$2,$B$2,X$4)),0))</f>
        <v>0</v>
      </c>
      <c r="Y482" s="251">
        <f>IF(Y$4&gt;DAY(EOMONTH(DATE($D$2,$B$2,1),0)),"",IFERROR(SUMIFS(DATA_GOC!$H:$H,DATA_GOC!$A:$A,"BOM",DATA_GOC!$D:$D,$B482,DATA_GOC!$E:$E,"Dầu số",DATA_GOC!$F:$F,"Xuất nội bộ từ téc",DATA_GOC!$B:$B,DATE($D$2,$B$2,Y$4)),0))</f>
        <v>0</v>
      </c>
      <c r="Z482" s="251">
        <f>IF(Z$4&gt;DAY(EOMONTH(DATE($D$2,$B$2,1),0)),"",IFERROR(SUMIFS(DATA_GOC!$H:$H,DATA_GOC!$A:$A,"BOM",DATA_GOC!$D:$D,$B482,DATA_GOC!$E:$E,"Dầu số",DATA_GOC!$F:$F,"Xuất nội bộ từ téc",DATA_GOC!$B:$B,DATE($D$2,$B$2,Z$4)),0))</f>
        <v>0</v>
      </c>
      <c r="AA482" s="251">
        <f>IF(AA$4&gt;DAY(EOMONTH(DATE($D$2,$B$2,1),0)),"",IFERROR(SUMIFS(DATA_GOC!$H:$H,DATA_GOC!$A:$A,"BOM",DATA_GOC!$D:$D,$B482,DATA_GOC!$E:$E,"Dầu số",DATA_GOC!$F:$F,"Xuất nội bộ từ téc",DATA_GOC!$B:$B,DATE($D$2,$B$2,AA$4)),0))</f>
        <v>0</v>
      </c>
      <c r="AB482" s="251">
        <f>IF(AB$4&gt;DAY(EOMONTH(DATE($D$2,$B$2,1),0)),"",IFERROR(SUMIFS(DATA_GOC!$H:$H,DATA_GOC!$A:$A,"BOM",DATA_GOC!$D:$D,$B482,DATA_GOC!$E:$E,"Dầu số",DATA_GOC!$F:$F,"Xuất nội bộ từ téc",DATA_GOC!$B:$B,DATE($D$2,$B$2,AB$4)),0))</f>
        <v>0</v>
      </c>
      <c r="AC482" s="251">
        <f>IF(AC$4&gt;DAY(EOMONTH(DATE($D$2,$B$2,1),0)),"",IFERROR(SUMIFS(DATA_GOC!$H:$H,DATA_GOC!$A:$A,"BOM",DATA_GOC!$D:$D,$B482,DATA_GOC!$E:$E,"Dầu số",DATA_GOC!$F:$F,"Xuất nội bộ từ téc",DATA_GOC!$B:$B,DATE($D$2,$B$2,AC$4)),0))</f>
        <v>0</v>
      </c>
      <c r="AD482" s="251">
        <f>IF(AD$4&gt;DAY(EOMONTH(DATE($D$2,$B$2,1),0)),"",IFERROR(SUMIFS(DATA_GOC!$H:$H,DATA_GOC!$A:$A,"BOM",DATA_GOC!$D:$D,$B482,DATA_GOC!$E:$E,"Dầu số",DATA_GOC!$F:$F,"Xuất nội bộ từ téc",DATA_GOC!$B:$B,DATE($D$2,$B$2,AD$4)),0))</f>
        <v>0</v>
      </c>
      <c r="AE482" s="251">
        <f>IF(AE$4&gt;DAY(EOMONTH(DATE($D$2,$B$2,1),0)),"",IFERROR(SUMIFS(DATA_GOC!$H:$H,DATA_GOC!$A:$A,"BOM",DATA_GOC!$D:$D,$B482,DATA_GOC!$E:$E,"Dầu số",DATA_GOC!$F:$F,"Xuất nội bộ từ téc",DATA_GOC!$B:$B,DATE($D$2,$B$2,AE$4)),0))</f>
        <v>0</v>
      </c>
      <c r="AF482" s="251">
        <f>IF(AF$4&gt;DAY(EOMONTH(DATE($D$2,$B$2,1),0)),"",IFERROR(SUMIFS(DATA_GOC!$H:$H,DATA_GOC!$A:$A,"BOM",DATA_GOC!$D:$D,$B482,DATA_GOC!$E:$E,"Dầu số",DATA_GOC!$F:$F,"Xuất nội bộ từ téc",DATA_GOC!$B:$B,DATE($D$2,$B$2,AF$4)),0))</f>
        <v>0</v>
      </c>
      <c r="AG482" s="251">
        <f>IF(AG$4&gt;DAY(EOMONTH(DATE($D$2,$B$2,1),0)),"",IFERROR(SUMIFS(DATA_GOC!$H:$H,DATA_GOC!$A:$A,"BOM",DATA_GOC!$D:$D,$B482,DATA_GOC!$E:$E,"Dầu số",DATA_GOC!$F:$F,"Xuất nội bộ từ téc",DATA_GOC!$B:$B,DATE($D$2,$B$2,AG$4)),0))</f>
        <v>0</v>
      </c>
      <c r="AH482" s="252">
        <f t="shared" si="22"/>
        <v>0</v>
      </c>
      <c r="AI482" s="241"/>
      <c r="AJ482" s="242">
        <f>IF($B482="","",SUMIFS(TINH_TEC!$K$233:$K$9232,TINH_TEC!$H$233:$H$9232,$B482,TINH_TEC!$C$233:$C$9232,"Dầu số",TINH_TEC!$F$233:$F$9232,$B$2,TINH_TEC!$G$233:$G$9232,$D$2,TINH_TEC!$B$233:$B$9232,"Đã chốt"))</f>
        <v>0</v>
      </c>
      <c r="AK482" s="242">
        <f>IF($B482="","",SUMIFS(TINH_TEC!$J$233:$J$9232,TINH_TEC!$H$233:$H$9232,$B482,TINH_TEC!$C$233:$C$9232,"Dầu số",TINH_TEC!$F$233:$F$9232,$B$2,TINH_TEC!$G$233:$G$9232,$D$2,TINH_TEC!$B$233:$B$9232,"Đã chốt"))</f>
        <v>0</v>
      </c>
      <c r="AL482" s="242">
        <f t="shared" si="23"/>
        <v>0</v>
      </c>
    </row>
    <row r="483" ht="15.75" customHeight="1">
      <c r="A483" s="237">
        <f>IF($B483&lt;&gt;"",51,"")</f>
        <v>51</v>
      </c>
      <c r="B483" s="250" t="str">
        <f t="array" ref="B483">IFERROR(INDEX(DANH_MUC!$E:$E,54),"")</f>
        <v>Xúc Đào</v>
      </c>
      <c r="C483" s="251">
        <f>IF(C$4&gt;DAY(EOMONTH(DATE($D$2,$B$2,1),0)),"",IFERROR(SUMIFS(DATA_GOC!$H:$H,DATA_GOC!$A:$A,"BOM",DATA_GOC!$D:$D,$B483,DATA_GOC!$E:$E,"Dầu số",DATA_GOC!$F:$F,"Xuất nội bộ từ téc",DATA_GOC!$B:$B,DATE($D$2,$B$2,C$4)),0))</f>
        <v>0</v>
      </c>
      <c r="D483" s="251">
        <f>IF(D$4&gt;DAY(EOMONTH(DATE($D$2,$B$2,1),0)),"",IFERROR(SUMIFS(DATA_GOC!$H:$H,DATA_GOC!$A:$A,"BOM",DATA_GOC!$D:$D,$B483,DATA_GOC!$E:$E,"Dầu số",DATA_GOC!$F:$F,"Xuất nội bộ từ téc",DATA_GOC!$B:$B,DATE($D$2,$B$2,D$4)),0))</f>
        <v>0</v>
      </c>
      <c r="E483" s="251">
        <f>IF(E$4&gt;DAY(EOMONTH(DATE($D$2,$B$2,1),0)),"",IFERROR(SUMIFS(DATA_GOC!$H:$H,DATA_GOC!$A:$A,"BOM",DATA_GOC!$D:$D,$B483,DATA_GOC!$E:$E,"Dầu số",DATA_GOC!$F:$F,"Xuất nội bộ từ téc",DATA_GOC!$B:$B,DATE($D$2,$B$2,E$4)),0))</f>
        <v>0</v>
      </c>
      <c r="F483" s="251">
        <f>IF(F$4&gt;DAY(EOMONTH(DATE($D$2,$B$2,1),0)),"",IFERROR(SUMIFS(DATA_GOC!$H:$H,DATA_GOC!$A:$A,"BOM",DATA_GOC!$D:$D,$B483,DATA_GOC!$E:$E,"Dầu số",DATA_GOC!$F:$F,"Xuất nội bộ từ téc",DATA_GOC!$B:$B,DATE($D$2,$B$2,F$4)),0))</f>
        <v>0</v>
      </c>
      <c r="G483" s="251">
        <f>IF(G$4&gt;DAY(EOMONTH(DATE($D$2,$B$2,1),0)),"",IFERROR(SUMIFS(DATA_GOC!$H:$H,DATA_GOC!$A:$A,"BOM",DATA_GOC!$D:$D,$B483,DATA_GOC!$E:$E,"Dầu số",DATA_GOC!$F:$F,"Xuất nội bộ từ téc",DATA_GOC!$B:$B,DATE($D$2,$B$2,G$4)),0))</f>
        <v>0</v>
      </c>
      <c r="H483" s="251">
        <f>IF(H$4&gt;DAY(EOMONTH(DATE($D$2,$B$2,1),0)),"",IFERROR(SUMIFS(DATA_GOC!$H:$H,DATA_GOC!$A:$A,"BOM",DATA_GOC!$D:$D,$B483,DATA_GOC!$E:$E,"Dầu số",DATA_GOC!$F:$F,"Xuất nội bộ từ téc",DATA_GOC!$B:$B,DATE($D$2,$B$2,H$4)),0))</f>
        <v>0</v>
      </c>
      <c r="I483" s="251">
        <f>IF(I$4&gt;DAY(EOMONTH(DATE($D$2,$B$2,1),0)),"",IFERROR(SUMIFS(DATA_GOC!$H:$H,DATA_GOC!$A:$A,"BOM",DATA_GOC!$D:$D,$B483,DATA_GOC!$E:$E,"Dầu số",DATA_GOC!$F:$F,"Xuất nội bộ từ téc",DATA_GOC!$B:$B,DATE($D$2,$B$2,I$4)),0))</f>
        <v>0</v>
      </c>
      <c r="J483" s="251">
        <f>IF(J$4&gt;DAY(EOMONTH(DATE($D$2,$B$2,1),0)),"",IFERROR(SUMIFS(DATA_GOC!$H:$H,DATA_GOC!$A:$A,"BOM",DATA_GOC!$D:$D,$B483,DATA_GOC!$E:$E,"Dầu số",DATA_GOC!$F:$F,"Xuất nội bộ từ téc",DATA_GOC!$B:$B,DATE($D$2,$B$2,J$4)),0))</f>
        <v>0</v>
      </c>
      <c r="K483" s="251">
        <f>IF(K$4&gt;DAY(EOMONTH(DATE($D$2,$B$2,1),0)),"",IFERROR(SUMIFS(DATA_GOC!$H:$H,DATA_GOC!$A:$A,"BOM",DATA_GOC!$D:$D,$B483,DATA_GOC!$E:$E,"Dầu số",DATA_GOC!$F:$F,"Xuất nội bộ từ téc",DATA_GOC!$B:$B,DATE($D$2,$B$2,K$4)),0))</f>
        <v>0</v>
      </c>
      <c r="L483" s="251">
        <f>IF(L$4&gt;DAY(EOMONTH(DATE($D$2,$B$2,1),0)),"",IFERROR(SUMIFS(DATA_GOC!$H:$H,DATA_GOC!$A:$A,"BOM",DATA_GOC!$D:$D,$B483,DATA_GOC!$E:$E,"Dầu số",DATA_GOC!$F:$F,"Xuất nội bộ từ téc",DATA_GOC!$B:$B,DATE($D$2,$B$2,L$4)),0))</f>
        <v>0</v>
      </c>
      <c r="M483" s="251">
        <f>IF(M$4&gt;DAY(EOMONTH(DATE($D$2,$B$2,1),0)),"",IFERROR(SUMIFS(DATA_GOC!$H:$H,DATA_GOC!$A:$A,"BOM",DATA_GOC!$D:$D,$B483,DATA_GOC!$E:$E,"Dầu số",DATA_GOC!$F:$F,"Xuất nội bộ từ téc",DATA_GOC!$B:$B,DATE($D$2,$B$2,M$4)),0))</f>
        <v>0</v>
      </c>
      <c r="N483" s="251">
        <f>IF(N$4&gt;DAY(EOMONTH(DATE($D$2,$B$2,1),0)),"",IFERROR(SUMIFS(DATA_GOC!$H:$H,DATA_GOC!$A:$A,"BOM",DATA_GOC!$D:$D,$B483,DATA_GOC!$E:$E,"Dầu số",DATA_GOC!$F:$F,"Xuất nội bộ từ téc",DATA_GOC!$B:$B,DATE($D$2,$B$2,N$4)),0))</f>
        <v>0</v>
      </c>
      <c r="O483" s="251">
        <f>IF(O$4&gt;DAY(EOMONTH(DATE($D$2,$B$2,1),0)),"",IFERROR(SUMIFS(DATA_GOC!$H:$H,DATA_GOC!$A:$A,"BOM",DATA_GOC!$D:$D,$B483,DATA_GOC!$E:$E,"Dầu số",DATA_GOC!$F:$F,"Xuất nội bộ từ téc",DATA_GOC!$B:$B,DATE($D$2,$B$2,O$4)),0))</f>
        <v>0</v>
      </c>
      <c r="P483" s="251">
        <f>IF(P$4&gt;DAY(EOMONTH(DATE($D$2,$B$2,1),0)),"",IFERROR(SUMIFS(DATA_GOC!$H:$H,DATA_GOC!$A:$A,"BOM",DATA_GOC!$D:$D,$B483,DATA_GOC!$E:$E,"Dầu số",DATA_GOC!$F:$F,"Xuất nội bộ từ téc",DATA_GOC!$B:$B,DATE($D$2,$B$2,P$4)),0))</f>
        <v>0</v>
      </c>
      <c r="Q483" s="251">
        <f>IF(Q$4&gt;DAY(EOMONTH(DATE($D$2,$B$2,1),0)),"",IFERROR(SUMIFS(DATA_GOC!$H:$H,DATA_GOC!$A:$A,"BOM",DATA_GOC!$D:$D,$B483,DATA_GOC!$E:$E,"Dầu số",DATA_GOC!$F:$F,"Xuất nội bộ từ téc",DATA_GOC!$B:$B,DATE($D$2,$B$2,Q$4)),0))</f>
        <v>0</v>
      </c>
      <c r="R483" s="251">
        <f>IF(R$4&gt;DAY(EOMONTH(DATE($D$2,$B$2,1),0)),"",IFERROR(SUMIFS(DATA_GOC!$H:$H,DATA_GOC!$A:$A,"BOM",DATA_GOC!$D:$D,$B483,DATA_GOC!$E:$E,"Dầu số",DATA_GOC!$F:$F,"Xuất nội bộ từ téc",DATA_GOC!$B:$B,DATE($D$2,$B$2,R$4)),0))</f>
        <v>0</v>
      </c>
      <c r="S483" s="251">
        <f>IF(S$4&gt;DAY(EOMONTH(DATE($D$2,$B$2,1),0)),"",IFERROR(SUMIFS(DATA_GOC!$H:$H,DATA_GOC!$A:$A,"BOM",DATA_GOC!$D:$D,$B483,DATA_GOC!$E:$E,"Dầu số",DATA_GOC!$F:$F,"Xuất nội bộ từ téc",DATA_GOC!$B:$B,DATE($D$2,$B$2,S$4)),0))</f>
        <v>0</v>
      </c>
      <c r="T483" s="251">
        <f>IF(T$4&gt;DAY(EOMONTH(DATE($D$2,$B$2,1),0)),"",IFERROR(SUMIFS(DATA_GOC!$H:$H,DATA_GOC!$A:$A,"BOM",DATA_GOC!$D:$D,$B483,DATA_GOC!$E:$E,"Dầu số",DATA_GOC!$F:$F,"Xuất nội bộ từ téc",DATA_GOC!$B:$B,DATE($D$2,$B$2,T$4)),0))</f>
        <v>0</v>
      </c>
      <c r="U483" s="251">
        <f>IF(U$4&gt;DAY(EOMONTH(DATE($D$2,$B$2,1),0)),"",IFERROR(SUMIFS(DATA_GOC!$H:$H,DATA_GOC!$A:$A,"BOM",DATA_GOC!$D:$D,$B483,DATA_GOC!$E:$E,"Dầu số",DATA_GOC!$F:$F,"Xuất nội bộ từ téc",DATA_GOC!$B:$B,DATE($D$2,$B$2,U$4)),0))</f>
        <v>0</v>
      </c>
      <c r="V483" s="251">
        <f>IF(V$4&gt;DAY(EOMONTH(DATE($D$2,$B$2,1),0)),"",IFERROR(SUMIFS(DATA_GOC!$H:$H,DATA_GOC!$A:$A,"BOM",DATA_GOC!$D:$D,$B483,DATA_GOC!$E:$E,"Dầu số",DATA_GOC!$F:$F,"Xuất nội bộ từ téc",DATA_GOC!$B:$B,DATE($D$2,$B$2,V$4)),0))</f>
        <v>0</v>
      </c>
      <c r="W483" s="251">
        <f>IF(W$4&gt;DAY(EOMONTH(DATE($D$2,$B$2,1),0)),"",IFERROR(SUMIFS(DATA_GOC!$H:$H,DATA_GOC!$A:$A,"BOM",DATA_GOC!$D:$D,$B483,DATA_GOC!$E:$E,"Dầu số",DATA_GOC!$F:$F,"Xuất nội bộ từ téc",DATA_GOC!$B:$B,DATE($D$2,$B$2,W$4)),0))</f>
        <v>0</v>
      </c>
      <c r="X483" s="251">
        <f>IF(X$4&gt;DAY(EOMONTH(DATE($D$2,$B$2,1),0)),"",IFERROR(SUMIFS(DATA_GOC!$H:$H,DATA_GOC!$A:$A,"BOM",DATA_GOC!$D:$D,$B483,DATA_GOC!$E:$E,"Dầu số",DATA_GOC!$F:$F,"Xuất nội bộ từ téc",DATA_GOC!$B:$B,DATE($D$2,$B$2,X$4)),0))</f>
        <v>0</v>
      </c>
      <c r="Y483" s="251">
        <f>IF(Y$4&gt;DAY(EOMONTH(DATE($D$2,$B$2,1),0)),"",IFERROR(SUMIFS(DATA_GOC!$H:$H,DATA_GOC!$A:$A,"BOM",DATA_GOC!$D:$D,$B483,DATA_GOC!$E:$E,"Dầu số",DATA_GOC!$F:$F,"Xuất nội bộ từ téc",DATA_GOC!$B:$B,DATE($D$2,$B$2,Y$4)),0))</f>
        <v>0</v>
      </c>
      <c r="Z483" s="251">
        <f>IF(Z$4&gt;DAY(EOMONTH(DATE($D$2,$B$2,1),0)),"",IFERROR(SUMIFS(DATA_GOC!$H:$H,DATA_GOC!$A:$A,"BOM",DATA_GOC!$D:$D,$B483,DATA_GOC!$E:$E,"Dầu số",DATA_GOC!$F:$F,"Xuất nội bộ từ téc",DATA_GOC!$B:$B,DATE($D$2,$B$2,Z$4)),0))</f>
        <v>0</v>
      </c>
      <c r="AA483" s="251">
        <f>IF(AA$4&gt;DAY(EOMONTH(DATE($D$2,$B$2,1),0)),"",IFERROR(SUMIFS(DATA_GOC!$H:$H,DATA_GOC!$A:$A,"BOM",DATA_GOC!$D:$D,$B483,DATA_GOC!$E:$E,"Dầu số",DATA_GOC!$F:$F,"Xuất nội bộ từ téc",DATA_GOC!$B:$B,DATE($D$2,$B$2,AA$4)),0))</f>
        <v>0</v>
      </c>
      <c r="AB483" s="251">
        <f>IF(AB$4&gt;DAY(EOMONTH(DATE($D$2,$B$2,1),0)),"",IFERROR(SUMIFS(DATA_GOC!$H:$H,DATA_GOC!$A:$A,"BOM",DATA_GOC!$D:$D,$B483,DATA_GOC!$E:$E,"Dầu số",DATA_GOC!$F:$F,"Xuất nội bộ từ téc",DATA_GOC!$B:$B,DATE($D$2,$B$2,AB$4)),0))</f>
        <v>0</v>
      </c>
      <c r="AC483" s="251">
        <f>IF(AC$4&gt;DAY(EOMONTH(DATE($D$2,$B$2,1),0)),"",IFERROR(SUMIFS(DATA_GOC!$H:$H,DATA_GOC!$A:$A,"BOM",DATA_GOC!$D:$D,$B483,DATA_GOC!$E:$E,"Dầu số",DATA_GOC!$F:$F,"Xuất nội bộ từ téc",DATA_GOC!$B:$B,DATE($D$2,$B$2,AC$4)),0))</f>
        <v>0</v>
      </c>
      <c r="AD483" s="251">
        <f>IF(AD$4&gt;DAY(EOMONTH(DATE($D$2,$B$2,1),0)),"",IFERROR(SUMIFS(DATA_GOC!$H:$H,DATA_GOC!$A:$A,"BOM",DATA_GOC!$D:$D,$B483,DATA_GOC!$E:$E,"Dầu số",DATA_GOC!$F:$F,"Xuất nội bộ từ téc",DATA_GOC!$B:$B,DATE($D$2,$B$2,AD$4)),0))</f>
        <v>0</v>
      </c>
      <c r="AE483" s="251">
        <f>IF(AE$4&gt;DAY(EOMONTH(DATE($D$2,$B$2,1),0)),"",IFERROR(SUMIFS(DATA_GOC!$H:$H,DATA_GOC!$A:$A,"BOM",DATA_GOC!$D:$D,$B483,DATA_GOC!$E:$E,"Dầu số",DATA_GOC!$F:$F,"Xuất nội bộ từ téc",DATA_GOC!$B:$B,DATE($D$2,$B$2,AE$4)),0))</f>
        <v>0</v>
      </c>
      <c r="AF483" s="251">
        <f>IF(AF$4&gt;DAY(EOMONTH(DATE($D$2,$B$2,1),0)),"",IFERROR(SUMIFS(DATA_GOC!$H:$H,DATA_GOC!$A:$A,"BOM",DATA_GOC!$D:$D,$B483,DATA_GOC!$E:$E,"Dầu số",DATA_GOC!$F:$F,"Xuất nội bộ từ téc",DATA_GOC!$B:$B,DATE($D$2,$B$2,AF$4)),0))</f>
        <v>0</v>
      </c>
      <c r="AG483" s="251">
        <f>IF(AG$4&gt;DAY(EOMONTH(DATE($D$2,$B$2,1),0)),"",IFERROR(SUMIFS(DATA_GOC!$H:$H,DATA_GOC!$A:$A,"BOM",DATA_GOC!$D:$D,$B483,DATA_GOC!$E:$E,"Dầu số",DATA_GOC!$F:$F,"Xuất nội bộ từ téc",DATA_GOC!$B:$B,DATE($D$2,$B$2,AG$4)),0))</f>
        <v>0</v>
      </c>
      <c r="AH483" s="252">
        <f t="shared" si="22"/>
        <v>0</v>
      </c>
      <c r="AI483" s="241"/>
      <c r="AJ483" s="242">
        <f>IF($B483="","",SUMIFS(TINH_TEC!$K$233:$K$9232,TINH_TEC!$H$233:$H$9232,$B483,TINH_TEC!$C$233:$C$9232,"Dầu số",TINH_TEC!$F$233:$F$9232,$B$2,TINH_TEC!$G$233:$G$9232,$D$2,TINH_TEC!$B$233:$B$9232,"Đã chốt"))</f>
        <v>0</v>
      </c>
      <c r="AK483" s="242">
        <f>IF($B483="","",SUMIFS(TINH_TEC!$J$233:$J$9232,TINH_TEC!$H$233:$H$9232,$B483,TINH_TEC!$C$233:$C$9232,"Dầu số",TINH_TEC!$F$233:$F$9232,$B$2,TINH_TEC!$G$233:$G$9232,$D$2,TINH_TEC!$B$233:$B$9232,"Đã chốt"))</f>
        <v>0</v>
      </c>
      <c r="AL483" s="242">
        <f t="shared" si="23"/>
        <v>0</v>
      </c>
    </row>
    <row r="484" ht="15.75" customHeight="1">
      <c r="A484" s="237">
        <f>IF($B484&lt;&gt;"",52,"")</f>
        <v>52</v>
      </c>
      <c r="B484" s="250" t="str">
        <f t="array" ref="B484">IFERROR(INDEX(DANH_MUC!$E:$E,55),"")</f>
        <v>Xúclật asphalt</v>
      </c>
      <c r="C484" s="251">
        <f>IF(C$4&gt;DAY(EOMONTH(DATE($D$2,$B$2,1),0)),"",IFERROR(SUMIFS(DATA_GOC!$H:$H,DATA_GOC!$A:$A,"BOM",DATA_GOC!$D:$D,$B484,DATA_GOC!$E:$E,"Dầu số",DATA_GOC!$F:$F,"Xuất nội bộ từ téc",DATA_GOC!$B:$B,DATE($D$2,$B$2,C$4)),0))</f>
        <v>0</v>
      </c>
      <c r="D484" s="251">
        <f>IF(D$4&gt;DAY(EOMONTH(DATE($D$2,$B$2,1),0)),"",IFERROR(SUMIFS(DATA_GOC!$H:$H,DATA_GOC!$A:$A,"BOM",DATA_GOC!$D:$D,$B484,DATA_GOC!$E:$E,"Dầu số",DATA_GOC!$F:$F,"Xuất nội bộ từ téc",DATA_GOC!$B:$B,DATE($D$2,$B$2,D$4)),0))</f>
        <v>0</v>
      </c>
      <c r="E484" s="251">
        <f>IF(E$4&gt;DAY(EOMONTH(DATE($D$2,$B$2,1),0)),"",IFERROR(SUMIFS(DATA_GOC!$H:$H,DATA_GOC!$A:$A,"BOM",DATA_GOC!$D:$D,$B484,DATA_GOC!$E:$E,"Dầu số",DATA_GOC!$F:$F,"Xuất nội bộ từ téc",DATA_GOC!$B:$B,DATE($D$2,$B$2,E$4)),0))</f>
        <v>0</v>
      </c>
      <c r="F484" s="251">
        <f>IF(F$4&gt;DAY(EOMONTH(DATE($D$2,$B$2,1),0)),"",IFERROR(SUMIFS(DATA_GOC!$H:$H,DATA_GOC!$A:$A,"BOM",DATA_GOC!$D:$D,$B484,DATA_GOC!$E:$E,"Dầu số",DATA_GOC!$F:$F,"Xuất nội bộ từ téc",DATA_GOC!$B:$B,DATE($D$2,$B$2,F$4)),0))</f>
        <v>0</v>
      </c>
      <c r="G484" s="251">
        <f>IF(G$4&gt;DAY(EOMONTH(DATE($D$2,$B$2,1),0)),"",IFERROR(SUMIFS(DATA_GOC!$H:$H,DATA_GOC!$A:$A,"BOM",DATA_GOC!$D:$D,$B484,DATA_GOC!$E:$E,"Dầu số",DATA_GOC!$F:$F,"Xuất nội bộ từ téc",DATA_GOC!$B:$B,DATE($D$2,$B$2,G$4)),0))</f>
        <v>0</v>
      </c>
      <c r="H484" s="251">
        <f>IF(H$4&gt;DAY(EOMONTH(DATE($D$2,$B$2,1),0)),"",IFERROR(SUMIFS(DATA_GOC!$H:$H,DATA_GOC!$A:$A,"BOM",DATA_GOC!$D:$D,$B484,DATA_GOC!$E:$E,"Dầu số",DATA_GOC!$F:$F,"Xuất nội bộ từ téc",DATA_GOC!$B:$B,DATE($D$2,$B$2,H$4)),0))</f>
        <v>0</v>
      </c>
      <c r="I484" s="251">
        <f>IF(I$4&gt;DAY(EOMONTH(DATE($D$2,$B$2,1),0)),"",IFERROR(SUMIFS(DATA_GOC!$H:$H,DATA_GOC!$A:$A,"BOM",DATA_GOC!$D:$D,$B484,DATA_GOC!$E:$E,"Dầu số",DATA_GOC!$F:$F,"Xuất nội bộ từ téc",DATA_GOC!$B:$B,DATE($D$2,$B$2,I$4)),0))</f>
        <v>0</v>
      </c>
      <c r="J484" s="251">
        <f>IF(J$4&gt;DAY(EOMONTH(DATE($D$2,$B$2,1),0)),"",IFERROR(SUMIFS(DATA_GOC!$H:$H,DATA_GOC!$A:$A,"BOM",DATA_GOC!$D:$D,$B484,DATA_GOC!$E:$E,"Dầu số",DATA_GOC!$F:$F,"Xuất nội bộ từ téc",DATA_GOC!$B:$B,DATE($D$2,$B$2,J$4)),0))</f>
        <v>0</v>
      </c>
      <c r="K484" s="251">
        <f>IF(K$4&gt;DAY(EOMONTH(DATE($D$2,$B$2,1),0)),"",IFERROR(SUMIFS(DATA_GOC!$H:$H,DATA_GOC!$A:$A,"BOM",DATA_GOC!$D:$D,$B484,DATA_GOC!$E:$E,"Dầu số",DATA_GOC!$F:$F,"Xuất nội bộ từ téc",DATA_GOC!$B:$B,DATE($D$2,$B$2,K$4)),0))</f>
        <v>0</v>
      </c>
      <c r="L484" s="251">
        <f>IF(L$4&gt;DAY(EOMONTH(DATE($D$2,$B$2,1),0)),"",IFERROR(SUMIFS(DATA_GOC!$H:$H,DATA_GOC!$A:$A,"BOM",DATA_GOC!$D:$D,$B484,DATA_GOC!$E:$E,"Dầu số",DATA_GOC!$F:$F,"Xuất nội bộ từ téc",DATA_GOC!$B:$B,DATE($D$2,$B$2,L$4)),0))</f>
        <v>0</v>
      </c>
      <c r="M484" s="251">
        <f>IF(M$4&gt;DAY(EOMONTH(DATE($D$2,$B$2,1),0)),"",IFERROR(SUMIFS(DATA_GOC!$H:$H,DATA_GOC!$A:$A,"BOM",DATA_GOC!$D:$D,$B484,DATA_GOC!$E:$E,"Dầu số",DATA_GOC!$F:$F,"Xuất nội bộ từ téc",DATA_GOC!$B:$B,DATE($D$2,$B$2,M$4)),0))</f>
        <v>0</v>
      </c>
      <c r="N484" s="251">
        <f>IF(N$4&gt;DAY(EOMONTH(DATE($D$2,$B$2,1),0)),"",IFERROR(SUMIFS(DATA_GOC!$H:$H,DATA_GOC!$A:$A,"BOM",DATA_GOC!$D:$D,$B484,DATA_GOC!$E:$E,"Dầu số",DATA_GOC!$F:$F,"Xuất nội bộ từ téc",DATA_GOC!$B:$B,DATE($D$2,$B$2,N$4)),0))</f>
        <v>0</v>
      </c>
      <c r="O484" s="251">
        <f>IF(O$4&gt;DAY(EOMONTH(DATE($D$2,$B$2,1),0)),"",IFERROR(SUMIFS(DATA_GOC!$H:$H,DATA_GOC!$A:$A,"BOM",DATA_GOC!$D:$D,$B484,DATA_GOC!$E:$E,"Dầu số",DATA_GOC!$F:$F,"Xuất nội bộ từ téc",DATA_GOC!$B:$B,DATE($D$2,$B$2,O$4)),0))</f>
        <v>0</v>
      </c>
      <c r="P484" s="251">
        <f>IF(P$4&gt;DAY(EOMONTH(DATE($D$2,$B$2,1),0)),"",IFERROR(SUMIFS(DATA_GOC!$H:$H,DATA_GOC!$A:$A,"BOM",DATA_GOC!$D:$D,$B484,DATA_GOC!$E:$E,"Dầu số",DATA_GOC!$F:$F,"Xuất nội bộ từ téc",DATA_GOC!$B:$B,DATE($D$2,$B$2,P$4)),0))</f>
        <v>0</v>
      </c>
      <c r="Q484" s="251">
        <f>IF(Q$4&gt;DAY(EOMONTH(DATE($D$2,$B$2,1),0)),"",IFERROR(SUMIFS(DATA_GOC!$H:$H,DATA_GOC!$A:$A,"BOM",DATA_GOC!$D:$D,$B484,DATA_GOC!$E:$E,"Dầu số",DATA_GOC!$F:$F,"Xuất nội bộ từ téc",DATA_GOC!$B:$B,DATE($D$2,$B$2,Q$4)),0))</f>
        <v>0</v>
      </c>
      <c r="R484" s="251">
        <f>IF(R$4&gt;DAY(EOMONTH(DATE($D$2,$B$2,1),0)),"",IFERROR(SUMIFS(DATA_GOC!$H:$H,DATA_GOC!$A:$A,"BOM",DATA_GOC!$D:$D,$B484,DATA_GOC!$E:$E,"Dầu số",DATA_GOC!$F:$F,"Xuất nội bộ từ téc",DATA_GOC!$B:$B,DATE($D$2,$B$2,R$4)),0))</f>
        <v>0</v>
      </c>
      <c r="S484" s="251">
        <f>IF(S$4&gt;DAY(EOMONTH(DATE($D$2,$B$2,1),0)),"",IFERROR(SUMIFS(DATA_GOC!$H:$H,DATA_GOC!$A:$A,"BOM",DATA_GOC!$D:$D,$B484,DATA_GOC!$E:$E,"Dầu số",DATA_GOC!$F:$F,"Xuất nội bộ từ téc",DATA_GOC!$B:$B,DATE($D$2,$B$2,S$4)),0))</f>
        <v>0</v>
      </c>
      <c r="T484" s="251">
        <f>IF(T$4&gt;DAY(EOMONTH(DATE($D$2,$B$2,1),0)),"",IFERROR(SUMIFS(DATA_GOC!$H:$H,DATA_GOC!$A:$A,"BOM",DATA_GOC!$D:$D,$B484,DATA_GOC!$E:$E,"Dầu số",DATA_GOC!$F:$F,"Xuất nội bộ từ téc",DATA_GOC!$B:$B,DATE($D$2,$B$2,T$4)),0))</f>
        <v>0</v>
      </c>
      <c r="U484" s="251">
        <f>IF(U$4&gt;DAY(EOMONTH(DATE($D$2,$B$2,1),0)),"",IFERROR(SUMIFS(DATA_GOC!$H:$H,DATA_GOC!$A:$A,"BOM",DATA_GOC!$D:$D,$B484,DATA_GOC!$E:$E,"Dầu số",DATA_GOC!$F:$F,"Xuất nội bộ từ téc",DATA_GOC!$B:$B,DATE($D$2,$B$2,U$4)),0))</f>
        <v>0</v>
      </c>
      <c r="V484" s="251">
        <f>IF(V$4&gt;DAY(EOMONTH(DATE($D$2,$B$2,1),0)),"",IFERROR(SUMIFS(DATA_GOC!$H:$H,DATA_GOC!$A:$A,"BOM",DATA_GOC!$D:$D,$B484,DATA_GOC!$E:$E,"Dầu số",DATA_GOC!$F:$F,"Xuất nội bộ từ téc",DATA_GOC!$B:$B,DATE($D$2,$B$2,V$4)),0))</f>
        <v>0</v>
      </c>
      <c r="W484" s="251">
        <f>IF(W$4&gt;DAY(EOMONTH(DATE($D$2,$B$2,1),0)),"",IFERROR(SUMIFS(DATA_GOC!$H:$H,DATA_GOC!$A:$A,"BOM",DATA_GOC!$D:$D,$B484,DATA_GOC!$E:$E,"Dầu số",DATA_GOC!$F:$F,"Xuất nội bộ từ téc",DATA_GOC!$B:$B,DATE($D$2,$B$2,W$4)),0))</f>
        <v>0</v>
      </c>
      <c r="X484" s="251">
        <f>IF(X$4&gt;DAY(EOMONTH(DATE($D$2,$B$2,1),0)),"",IFERROR(SUMIFS(DATA_GOC!$H:$H,DATA_GOC!$A:$A,"BOM",DATA_GOC!$D:$D,$B484,DATA_GOC!$E:$E,"Dầu số",DATA_GOC!$F:$F,"Xuất nội bộ từ téc",DATA_GOC!$B:$B,DATE($D$2,$B$2,X$4)),0))</f>
        <v>0</v>
      </c>
      <c r="Y484" s="251">
        <f>IF(Y$4&gt;DAY(EOMONTH(DATE($D$2,$B$2,1),0)),"",IFERROR(SUMIFS(DATA_GOC!$H:$H,DATA_GOC!$A:$A,"BOM",DATA_GOC!$D:$D,$B484,DATA_GOC!$E:$E,"Dầu số",DATA_GOC!$F:$F,"Xuất nội bộ từ téc",DATA_GOC!$B:$B,DATE($D$2,$B$2,Y$4)),0))</f>
        <v>0</v>
      </c>
      <c r="Z484" s="251">
        <f>IF(Z$4&gt;DAY(EOMONTH(DATE($D$2,$B$2,1),0)),"",IFERROR(SUMIFS(DATA_GOC!$H:$H,DATA_GOC!$A:$A,"BOM",DATA_GOC!$D:$D,$B484,DATA_GOC!$E:$E,"Dầu số",DATA_GOC!$F:$F,"Xuất nội bộ từ téc",DATA_GOC!$B:$B,DATE($D$2,$B$2,Z$4)),0))</f>
        <v>0</v>
      </c>
      <c r="AA484" s="251">
        <f>IF(AA$4&gt;DAY(EOMONTH(DATE($D$2,$B$2,1),0)),"",IFERROR(SUMIFS(DATA_GOC!$H:$H,DATA_GOC!$A:$A,"BOM",DATA_GOC!$D:$D,$B484,DATA_GOC!$E:$E,"Dầu số",DATA_GOC!$F:$F,"Xuất nội bộ từ téc",DATA_GOC!$B:$B,DATE($D$2,$B$2,AA$4)),0))</f>
        <v>0</v>
      </c>
      <c r="AB484" s="251">
        <f>IF(AB$4&gt;DAY(EOMONTH(DATE($D$2,$B$2,1),0)),"",IFERROR(SUMIFS(DATA_GOC!$H:$H,DATA_GOC!$A:$A,"BOM",DATA_GOC!$D:$D,$B484,DATA_GOC!$E:$E,"Dầu số",DATA_GOC!$F:$F,"Xuất nội bộ từ téc",DATA_GOC!$B:$B,DATE($D$2,$B$2,AB$4)),0))</f>
        <v>0</v>
      </c>
      <c r="AC484" s="251">
        <f>IF(AC$4&gt;DAY(EOMONTH(DATE($D$2,$B$2,1),0)),"",IFERROR(SUMIFS(DATA_GOC!$H:$H,DATA_GOC!$A:$A,"BOM",DATA_GOC!$D:$D,$B484,DATA_GOC!$E:$E,"Dầu số",DATA_GOC!$F:$F,"Xuất nội bộ từ téc",DATA_GOC!$B:$B,DATE($D$2,$B$2,AC$4)),0))</f>
        <v>0</v>
      </c>
      <c r="AD484" s="251">
        <f>IF(AD$4&gt;DAY(EOMONTH(DATE($D$2,$B$2,1),0)),"",IFERROR(SUMIFS(DATA_GOC!$H:$H,DATA_GOC!$A:$A,"BOM",DATA_GOC!$D:$D,$B484,DATA_GOC!$E:$E,"Dầu số",DATA_GOC!$F:$F,"Xuất nội bộ từ téc",DATA_GOC!$B:$B,DATE($D$2,$B$2,AD$4)),0))</f>
        <v>0</v>
      </c>
      <c r="AE484" s="251">
        <f>IF(AE$4&gt;DAY(EOMONTH(DATE($D$2,$B$2,1),0)),"",IFERROR(SUMIFS(DATA_GOC!$H:$H,DATA_GOC!$A:$A,"BOM",DATA_GOC!$D:$D,$B484,DATA_GOC!$E:$E,"Dầu số",DATA_GOC!$F:$F,"Xuất nội bộ từ téc",DATA_GOC!$B:$B,DATE($D$2,$B$2,AE$4)),0))</f>
        <v>0</v>
      </c>
      <c r="AF484" s="251">
        <f>IF(AF$4&gt;DAY(EOMONTH(DATE($D$2,$B$2,1),0)),"",IFERROR(SUMIFS(DATA_GOC!$H:$H,DATA_GOC!$A:$A,"BOM",DATA_GOC!$D:$D,$B484,DATA_GOC!$E:$E,"Dầu số",DATA_GOC!$F:$F,"Xuất nội bộ từ téc",DATA_GOC!$B:$B,DATE($D$2,$B$2,AF$4)),0))</f>
        <v>0</v>
      </c>
      <c r="AG484" s="251">
        <f>IF(AG$4&gt;DAY(EOMONTH(DATE($D$2,$B$2,1),0)),"",IFERROR(SUMIFS(DATA_GOC!$H:$H,DATA_GOC!$A:$A,"BOM",DATA_GOC!$D:$D,$B484,DATA_GOC!$E:$E,"Dầu số",DATA_GOC!$F:$F,"Xuất nội bộ từ téc",DATA_GOC!$B:$B,DATE($D$2,$B$2,AG$4)),0))</f>
        <v>0</v>
      </c>
      <c r="AH484" s="252">
        <f t="shared" si="22"/>
        <v>0</v>
      </c>
      <c r="AI484" s="241"/>
      <c r="AJ484" s="242">
        <f>IF($B484="","",SUMIFS(TINH_TEC!$K$233:$K$9232,TINH_TEC!$H$233:$H$9232,$B484,TINH_TEC!$C$233:$C$9232,"Dầu số",TINH_TEC!$F$233:$F$9232,$B$2,TINH_TEC!$G$233:$G$9232,$D$2,TINH_TEC!$B$233:$B$9232,"Đã chốt"))</f>
        <v>0</v>
      </c>
      <c r="AK484" s="242">
        <f>IF($B484="","",SUMIFS(TINH_TEC!$J$233:$J$9232,TINH_TEC!$H$233:$H$9232,$B484,TINH_TEC!$C$233:$C$9232,"Dầu số",TINH_TEC!$F$233:$F$9232,$B$2,TINH_TEC!$G$233:$G$9232,$D$2,TINH_TEC!$B$233:$B$9232,"Đã chốt"))</f>
        <v>0</v>
      </c>
      <c r="AL484" s="242">
        <f t="shared" si="23"/>
        <v>0</v>
      </c>
    </row>
    <row r="485" ht="15.75" customHeight="1">
      <c r="A485" s="237">
        <f>IF($B485&lt;&gt;"",53,"")</f>
        <v>53</v>
      </c>
      <c r="B485" s="250" t="str">
        <f t="array" ref="B485">IFERROR(INDEX(DANH_MUC!$E:$E,56),"")</f>
        <v>Xúclật855H</v>
      </c>
      <c r="C485" s="251">
        <f>IF(C$4&gt;DAY(EOMONTH(DATE($D$2,$B$2,1),0)),"",IFERROR(SUMIFS(DATA_GOC!$H:$H,DATA_GOC!$A:$A,"BOM",DATA_GOC!$D:$D,$B485,DATA_GOC!$E:$E,"Dầu số",DATA_GOC!$F:$F,"Xuất nội bộ từ téc",DATA_GOC!$B:$B,DATE($D$2,$B$2,C$4)),0))</f>
        <v>0</v>
      </c>
      <c r="D485" s="251">
        <f>IF(D$4&gt;DAY(EOMONTH(DATE($D$2,$B$2,1),0)),"",IFERROR(SUMIFS(DATA_GOC!$H:$H,DATA_GOC!$A:$A,"BOM",DATA_GOC!$D:$D,$B485,DATA_GOC!$E:$E,"Dầu số",DATA_GOC!$F:$F,"Xuất nội bộ từ téc",DATA_GOC!$B:$B,DATE($D$2,$B$2,D$4)),0))</f>
        <v>0</v>
      </c>
      <c r="E485" s="251">
        <f>IF(E$4&gt;DAY(EOMONTH(DATE($D$2,$B$2,1),0)),"",IFERROR(SUMIFS(DATA_GOC!$H:$H,DATA_GOC!$A:$A,"BOM",DATA_GOC!$D:$D,$B485,DATA_GOC!$E:$E,"Dầu số",DATA_GOC!$F:$F,"Xuất nội bộ từ téc",DATA_GOC!$B:$B,DATE($D$2,$B$2,E$4)),0))</f>
        <v>0</v>
      </c>
      <c r="F485" s="251">
        <f>IF(F$4&gt;DAY(EOMONTH(DATE($D$2,$B$2,1),0)),"",IFERROR(SUMIFS(DATA_GOC!$H:$H,DATA_GOC!$A:$A,"BOM",DATA_GOC!$D:$D,$B485,DATA_GOC!$E:$E,"Dầu số",DATA_GOC!$F:$F,"Xuất nội bộ từ téc",DATA_GOC!$B:$B,DATE($D$2,$B$2,F$4)),0))</f>
        <v>0</v>
      </c>
      <c r="G485" s="251">
        <f>IF(G$4&gt;DAY(EOMONTH(DATE($D$2,$B$2,1),0)),"",IFERROR(SUMIFS(DATA_GOC!$H:$H,DATA_GOC!$A:$A,"BOM",DATA_GOC!$D:$D,$B485,DATA_GOC!$E:$E,"Dầu số",DATA_GOC!$F:$F,"Xuất nội bộ từ téc",DATA_GOC!$B:$B,DATE($D$2,$B$2,G$4)),0))</f>
        <v>0</v>
      </c>
      <c r="H485" s="251">
        <f>IF(H$4&gt;DAY(EOMONTH(DATE($D$2,$B$2,1),0)),"",IFERROR(SUMIFS(DATA_GOC!$H:$H,DATA_GOC!$A:$A,"BOM",DATA_GOC!$D:$D,$B485,DATA_GOC!$E:$E,"Dầu số",DATA_GOC!$F:$F,"Xuất nội bộ từ téc",DATA_GOC!$B:$B,DATE($D$2,$B$2,H$4)),0))</f>
        <v>0</v>
      </c>
      <c r="I485" s="251">
        <f>IF(I$4&gt;DAY(EOMONTH(DATE($D$2,$B$2,1),0)),"",IFERROR(SUMIFS(DATA_GOC!$H:$H,DATA_GOC!$A:$A,"BOM",DATA_GOC!$D:$D,$B485,DATA_GOC!$E:$E,"Dầu số",DATA_GOC!$F:$F,"Xuất nội bộ từ téc",DATA_GOC!$B:$B,DATE($D$2,$B$2,I$4)),0))</f>
        <v>0</v>
      </c>
      <c r="J485" s="251">
        <f>IF(J$4&gt;DAY(EOMONTH(DATE($D$2,$B$2,1),0)),"",IFERROR(SUMIFS(DATA_GOC!$H:$H,DATA_GOC!$A:$A,"BOM",DATA_GOC!$D:$D,$B485,DATA_GOC!$E:$E,"Dầu số",DATA_GOC!$F:$F,"Xuất nội bộ từ téc",DATA_GOC!$B:$B,DATE($D$2,$B$2,J$4)),0))</f>
        <v>0</v>
      </c>
      <c r="K485" s="251">
        <f>IF(K$4&gt;DAY(EOMONTH(DATE($D$2,$B$2,1),0)),"",IFERROR(SUMIFS(DATA_GOC!$H:$H,DATA_GOC!$A:$A,"BOM",DATA_GOC!$D:$D,$B485,DATA_GOC!$E:$E,"Dầu số",DATA_GOC!$F:$F,"Xuất nội bộ từ téc",DATA_GOC!$B:$B,DATE($D$2,$B$2,K$4)),0))</f>
        <v>0</v>
      </c>
      <c r="L485" s="251">
        <f>IF(L$4&gt;DAY(EOMONTH(DATE($D$2,$B$2,1),0)),"",IFERROR(SUMIFS(DATA_GOC!$H:$H,DATA_GOC!$A:$A,"BOM",DATA_GOC!$D:$D,$B485,DATA_GOC!$E:$E,"Dầu số",DATA_GOC!$F:$F,"Xuất nội bộ từ téc",DATA_GOC!$B:$B,DATE($D$2,$B$2,L$4)),0))</f>
        <v>0</v>
      </c>
      <c r="M485" s="251">
        <f>IF(M$4&gt;DAY(EOMONTH(DATE($D$2,$B$2,1),0)),"",IFERROR(SUMIFS(DATA_GOC!$H:$H,DATA_GOC!$A:$A,"BOM",DATA_GOC!$D:$D,$B485,DATA_GOC!$E:$E,"Dầu số",DATA_GOC!$F:$F,"Xuất nội bộ từ téc",DATA_GOC!$B:$B,DATE($D$2,$B$2,M$4)),0))</f>
        <v>0</v>
      </c>
      <c r="N485" s="251">
        <f>IF(N$4&gt;DAY(EOMONTH(DATE($D$2,$B$2,1),0)),"",IFERROR(SUMIFS(DATA_GOC!$H:$H,DATA_GOC!$A:$A,"BOM",DATA_GOC!$D:$D,$B485,DATA_GOC!$E:$E,"Dầu số",DATA_GOC!$F:$F,"Xuất nội bộ từ téc",DATA_GOC!$B:$B,DATE($D$2,$B$2,N$4)),0))</f>
        <v>0</v>
      </c>
      <c r="O485" s="251">
        <f>IF(O$4&gt;DAY(EOMONTH(DATE($D$2,$B$2,1),0)),"",IFERROR(SUMIFS(DATA_GOC!$H:$H,DATA_GOC!$A:$A,"BOM",DATA_GOC!$D:$D,$B485,DATA_GOC!$E:$E,"Dầu số",DATA_GOC!$F:$F,"Xuất nội bộ từ téc",DATA_GOC!$B:$B,DATE($D$2,$B$2,O$4)),0))</f>
        <v>0</v>
      </c>
      <c r="P485" s="251">
        <f>IF(P$4&gt;DAY(EOMONTH(DATE($D$2,$B$2,1),0)),"",IFERROR(SUMIFS(DATA_GOC!$H:$H,DATA_GOC!$A:$A,"BOM",DATA_GOC!$D:$D,$B485,DATA_GOC!$E:$E,"Dầu số",DATA_GOC!$F:$F,"Xuất nội bộ từ téc",DATA_GOC!$B:$B,DATE($D$2,$B$2,P$4)),0))</f>
        <v>0</v>
      </c>
      <c r="Q485" s="251">
        <f>IF(Q$4&gt;DAY(EOMONTH(DATE($D$2,$B$2,1),0)),"",IFERROR(SUMIFS(DATA_GOC!$H:$H,DATA_GOC!$A:$A,"BOM",DATA_GOC!$D:$D,$B485,DATA_GOC!$E:$E,"Dầu số",DATA_GOC!$F:$F,"Xuất nội bộ từ téc",DATA_GOC!$B:$B,DATE($D$2,$B$2,Q$4)),0))</f>
        <v>0</v>
      </c>
      <c r="R485" s="251">
        <f>IF(R$4&gt;DAY(EOMONTH(DATE($D$2,$B$2,1),0)),"",IFERROR(SUMIFS(DATA_GOC!$H:$H,DATA_GOC!$A:$A,"BOM",DATA_GOC!$D:$D,$B485,DATA_GOC!$E:$E,"Dầu số",DATA_GOC!$F:$F,"Xuất nội bộ từ téc",DATA_GOC!$B:$B,DATE($D$2,$B$2,R$4)),0))</f>
        <v>0</v>
      </c>
      <c r="S485" s="251">
        <f>IF(S$4&gt;DAY(EOMONTH(DATE($D$2,$B$2,1),0)),"",IFERROR(SUMIFS(DATA_GOC!$H:$H,DATA_GOC!$A:$A,"BOM",DATA_GOC!$D:$D,$B485,DATA_GOC!$E:$E,"Dầu số",DATA_GOC!$F:$F,"Xuất nội bộ từ téc",DATA_GOC!$B:$B,DATE($D$2,$B$2,S$4)),0))</f>
        <v>0</v>
      </c>
      <c r="T485" s="251">
        <f>IF(T$4&gt;DAY(EOMONTH(DATE($D$2,$B$2,1),0)),"",IFERROR(SUMIFS(DATA_GOC!$H:$H,DATA_GOC!$A:$A,"BOM",DATA_GOC!$D:$D,$B485,DATA_GOC!$E:$E,"Dầu số",DATA_GOC!$F:$F,"Xuất nội bộ từ téc",DATA_GOC!$B:$B,DATE($D$2,$B$2,T$4)),0))</f>
        <v>0</v>
      </c>
      <c r="U485" s="251">
        <f>IF(U$4&gt;DAY(EOMONTH(DATE($D$2,$B$2,1),0)),"",IFERROR(SUMIFS(DATA_GOC!$H:$H,DATA_GOC!$A:$A,"BOM",DATA_GOC!$D:$D,$B485,DATA_GOC!$E:$E,"Dầu số",DATA_GOC!$F:$F,"Xuất nội bộ từ téc",DATA_GOC!$B:$B,DATE($D$2,$B$2,U$4)),0))</f>
        <v>0</v>
      </c>
      <c r="V485" s="251">
        <f>IF(V$4&gt;DAY(EOMONTH(DATE($D$2,$B$2,1),0)),"",IFERROR(SUMIFS(DATA_GOC!$H:$H,DATA_GOC!$A:$A,"BOM",DATA_GOC!$D:$D,$B485,DATA_GOC!$E:$E,"Dầu số",DATA_GOC!$F:$F,"Xuất nội bộ từ téc",DATA_GOC!$B:$B,DATE($D$2,$B$2,V$4)),0))</f>
        <v>0</v>
      </c>
      <c r="W485" s="251">
        <f>IF(W$4&gt;DAY(EOMONTH(DATE($D$2,$B$2,1),0)),"",IFERROR(SUMIFS(DATA_GOC!$H:$H,DATA_GOC!$A:$A,"BOM",DATA_GOC!$D:$D,$B485,DATA_GOC!$E:$E,"Dầu số",DATA_GOC!$F:$F,"Xuất nội bộ từ téc",DATA_GOC!$B:$B,DATE($D$2,$B$2,W$4)),0))</f>
        <v>0</v>
      </c>
      <c r="X485" s="251">
        <f>IF(X$4&gt;DAY(EOMONTH(DATE($D$2,$B$2,1),0)),"",IFERROR(SUMIFS(DATA_GOC!$H:$H,DATA_GOC!$A:$A,"BOM",DATA_GOC!$D:$D,$B485,DATA_GOC!$E:$E,"Dầu số",DATA_GOC!$F:$F,"Xuất nội bộ từ téc",DATA_GOC!$B:$B,DATE($D$2,$B$2,X$4)),0))</f>
        <v>0</v>
      </c>
      <c r="Y485" s="251">
        <f>IF(Y$4&gt;DAY(EOMONTH(DATE($D$2,$B$2,1),0)),"",IFERROR(SUMIFS(DATA_GOC!$H:$H,DATA_GOC!$A:$A,"BOM",DATA_GOC!$D:$D,$B485,DATA_GOC!$E:$E,"Dầu số",DATA_GOC!$F:$F,"Xuất nội bộ từ téc",DATA_GOC!$B:$B,DATE($D$2,$B$2,Y$4)),0))</f>
        <v>0</v>
      </c>
      <c r="Z485" s="251">
        <f>IF(Z$4&gt;DAY(EOMONTH(DATE($D$2,$B$2,1),0)),"",IFERROR(SUMIFS(DATA_GOC!$H:$H,DATA_GOC!$A:$A,"BOM",DATA_GOC!$D:$D,$B485,DATA_GOC!$E:$E,"Dầu số",DATA_GOC!$F:$F,"Xuất nội bộ từ téc",DATA_GOC!$B:$B,DATE($D$2,$B$2,Z$4)),0))</f>
        <v>0</v>
      </c>
      <c r="AA485" s="251">
        <f>IF(AA$4&gt;DAY(EOMONTH(DATE($D$2,$B$2,1),0)),"",IFERROR(SUMIFS(DATA_GOC!$H:$H,DATA_GOC!$A:$A,"BOM",DATA_GOC!$D:$D,$B485,DATA_GOC!$E:$E,"Dầu số",DATA_GOC!$F:$F,"Xuất nội bộ từ téc",DATA_GOC!$B:$B,DATE($D$2,$B$2,AA$4)),0))</f>
        <v>0</v>
      </c>
      <c r="AB485" s="251">
        <f>IF(AB$4&gt;DAY(EOMONTH(DATE($D$2,$B$2,1),0)),"",IFERROR(SUMIFS(DATA_GOC!$H:$H,DATA_GOC!$A:$A,"BOM",DATA_GOC!$D:$D,$B485,DATA_GOC!$E:$E,"Dầu số",DATA_GOC!$F:$F,"Xuất nội bộ từ téc",DATA_GOC!$B:$B,DATE($D$2,$B$2,AB$4)),0))</f>
        <v>0</v>
      </c>
      <c r="AC485" s="251">
        <f>IF(AC$4&gt;DAY(EOMONTH(DATE($D$2,$B$2,1),0)),"",IFERROR(SUMIFS(DATA_GOC!$H:$H,DATA_GOC!$A:$A,"BOM",DATA_GOC!$D:$D,$B485,DATA_GOC!$E:$E,"Dầu số",DATA_GOC!$F:$F,"Xuất nội bộ từ téc",DATA_GOC!$B:$B,DATE($D$2,$B$2,AC$4)),0))</f>
        <v>0</v>
      </c>
      <c r="AD485" s="251">
        <f>IF(AD$4&gt;DAY(EOMONTH(DATE($D$2,$B$2,1),0)),"",IFERROR(SUMIFS(DATA_GOC!$H:$H,DATA_GOC!$A:$A,"BOM",DATA_GOC!$D:$D,$B485,DATA_GOC!$E:$E,"Dầu số",DATA_GOC!$F:$F,"Xuất nội bộ từ téc",DATA_GOC!$B:$B,DATE($D$2,$B$2,AD$4)),0))</f>
        <v>0</v>
      </c>
      <c r="AE485" s="251">
        <f>IF(AE$4&gt;DAY(EOMONTH(DATE($D$2,$B$2,1),0)),"",IFERROR(SUMIFS(DATA_GOC!$H:$H,DATA_GOC!$A:$A,"BOM",DATA_GOC!$D:$D,$B485,DATA_GOC!$E:$E,"Dầu số",DATA_GOC!$F:$F,"Xuất nội bộ từ téc",DATA_GOC!$B:$B,DATE($D$2,$B$2,AE$4)),0))</f>
        <v>0</v>
      </c>
      <c r="AF485" s="251">
        <f>IF(AF$4&gt;DAY(EOMONTH(DATE($D$2,$B$2,1),0)),"",IFERROR(SUMIFS(DATA_GOC!$H:$H,DATA_GOC!$A:$A,"BOM",DATA_GOC!$D:$D,$B485,DATA_GOC!$E:$E,"Dầu số",DATA_GOC!$F:$F,"Xuất nội bộ từ téc",DATA_GOC!$B:$B,DATE($D$2,$B$2,AF$4)),0))</f>
        <v>0</v>
      </c>
      <c r="AG485" s="251">
        <f>IF(AG$4&gt;DAY(EOMONTH(DATE($D$2,$B$2,1),0)),"",IFERROR(SUMIFS(DATA_GOC!$H:$H,DATA_GOC!$A:$A,"BOM",DATA_GOC!$D:$D,$B485,DATA_GOC!$E:$E,"Dầu số",DATA_GOC!$F:$F,"Xuất nội bộ từ téc",DATA_GOC!$B:$B,DATE($D$2,$B$2,AG$4)),0))</f>
        <v>0</v>
      </c>
      <c r="AH485" s="252">
        <f t="shared" si="22"/>
        <v>0</v>
      </c>
      <c r="AI485" s="241"/>
      <c r="AJ485" s="242">
        <f>IF($B485="","",SUMIFS(TINH_TEC!$K$233:$K$9232,TINH_TEC!$H$233:$H$9232,$B485,TINH_TEC!$C$233:$C$9232,"Dầu số",TINH_TEC!$F$233:$F$9232,$B$2,TINH_TEC!$G$233:$G$9232,$D$2,TINH_TEC!$B$233:$B$9232,"Đã chốt"))</f>
        <v>0</v>
      </c>
      <c r="AK485" s="242">
        <f>IF($B485="","",SUMIFS(TINH_TEC!$J$233:$J$9232,TINH_TEC!$H$233:$H$9232,$B485,TINH_TEC!$C$233:$C$9232,"Dầu số",TINH_TEC!$F$233:$F$9232,$B$2,TINH_TEC!$G$233:$G$9232,$D$2,TINH_TEC!$B$233:$B$9232,"Đã chốt"))</f>
        <v>0</v>
      </c>
      <c r="AL485" s="242">
        <f t="shared" si="23"/>
        <v>0</v>
      </c>
    </row>
    <row r="486" ht="15.75" customHeight="1">
      <c r="A486" s="237">
        <f>IF($B486&lt;&gt;"",54,"")</f>
        <v>54</v>
      </c>
      <c r="B486" s="250" t="str">
        <f t="array" ref="B486">IFERROR(INDEX(DANH_MUC!$E:$E,57),"")</f>
        <v>Xúclật855N</v>
      </c>
      <c r="C486" s="251">
        <f>IF(C$4&gt;DAY(EOMONTH(DATE($D$2,$B$2,1),0)),"",IFERROR(SUMIFS(DATA_GOC!$H:$H,DATA_GOC!$A:$A,"BOM",DATA_GOC!$D:$D,$B486,DATA_GOC!$E:$E,"Dầu số",DATA_GOC!$F:$F,"Xuất nội bộ từ téc",DATA_GOC!$B:$B,DATE($D$2,$B$2,C$4)),0))</f>
        <v>0</v>
      </c>
      <c r="D486" s="251">
        <f>IF(D$4&gt;DAY(EOMONTH(DATE($D$2,$B$2,1),0)),"",IFERROR(SUMIFS(DATA_GOC!$H:$H,DATA_GOC!$A:$A,"BOM",DATA_GOC!$D:$D,$B486,DATA_GOC!$E:$E,"Dầu số",DATA_GOC!$F:$F,"Xuất nội bộ từ téc",DATA_GOC!$B:$B,DATE($D$2,$B$2,D$4)),0))</f>
        <v>0</v>
      </c>
      <c r="E486" s="251">
        <f>IF(E$4&gt;DAY(EOMONTH(DATE($D$2,$B$2,1),0)),"",IFERROR(SUMIFS(DATA_GOC!$H:$H,DATA_GOC!$A:$A,"BOM",DATA_GOC!$D:$D,$B486,DATA_GOC!$E:$E,"Dầu số",DATA_GOC!$F:$F,"Xuất nội bộ từ téc",DATA_GOC!$B:$B,DATE($D$2,$B$2,E$4)),0))</f>
        <v>0</v>
      </c>
      <c r="F486" s="251">
        <f>IF(F$4&gt;DAY(EOMONTH(DATE($D$2,$B$2,1),0)),"",IFERROR(SUMIFS(DATA_GOC!$H:$H,DATA_GOC!$A:$A,"BOM",DATA_GOC!$D:$D,$B486,DATA_GOC!$E:$E,"Dầu số",DATA_GOC!$F:$F,"Xuất nội bộ từ téc",DATA_GOC!$B:$B,DATE($D$2,$B$2,F$4)),0))</f>
        <v>0</v>
      </c>
      <c r="G486" s="251">
        <f>IF(G$4&gt;DAY(EOMONTH(DATE($D$2,$B$2,1),0)),"",IFERROR(SUMIFS(DATA_GOC!$H:$H,DATA_GOC!$A:$A,"BOM",DATA_GOC!$D:$D,$B486,DATA_GOC!$E:$E,"Dầu số",DATA_GOC!$F:$F,"Xuất nội bộ từ téc",DATA_GOC!$B:$B,DATE($D$2,$B$2,G$4)),0))</f>
        <v>0</v>
      </c>
      <c r="H486" s="251">
        <f>IF(H$4&gt;DAY(EOMONTH(DATE($D$2,$B$2,1),0)),"",IFERROR(SUMIFS(DATA_GOC!$H:$H,DATA_GOC!$A:$A,"BOM",DATA_GOC!$D:$D,$B486,DATA_GOC!$E:$E,"Dầu số",DATA_GOC!$F:$F,"Xuất nội bộ từ téc",DATA_GOC!$B:$B,DATE($D$2,$B$2,H$4)),0))</f>
        <v>0</v>
      </c>
      <c r="I486" s="251">
        <f>IF(I$4&gt;DAY(EOMONTH(DATE($D$2,$B$2,1),0)),"",IFERROR(SUMIFS(DATA_GOC!$H:$H,DATA_GOC!$A:$A,"BOM",DATA_GOC!$D:$D,$B486,DATA_GOC!$E:$E,"Dầu số",DATA_GOC!$F:$F,"Xuất nội bộ từ téc",DATA_GOC!$B:$B,DATE($D$2,$B$2,I$4)),0))</f>
        <v>0</v>
      </c>
      <c r="J486" s="251">
        <f>IF(J$4&gt;DAY(EOMONTH(DATE($D$2,$B$2,1),0)),"",IFERROR(SUMIFS(DATA_GOC!$H:$H,DATA_GOC!$A:$A,"BOM",DATA_GOC!$D:$D,$B486,DATA_GOC!$E:$E,"Dầu số",DATA_GOC!$F:$F,"Xuất nội bộ từ téc",DATA_GOC!$B:$B,DATE($D$2,$B$2,J$4)),0))</f>
        <v>0</v>
      </c>
      <c r="K486" s="251">
        <f>IF(K$4&gt;DAY(EOMONTH(DATE($D$2,$B$2,1),0)),"",IFERROR(SUMIFS(DATA_GOC!$H:$H,DATA_GOC!$A:$A,"BOM",DATA_GOC!$D:$D,$B486,DATA_GOC!$E:$E,"Dầu số",DATA_GOC!$F:$F,"Xuất nội bộ từ téc",DATA_GOC!$B:$B,DATE($D$2,$B$2,K$4)),0))</f>
        <v>0</v>
      </c>
      <c r="L486" s="251">
        <f>IF(L$4&gt;DAY(EOMONTH(DATE($D$2,$B$2,1),0)),"",IFERROR(SUMIFS(DATA_GOC!$H:$H,DATA_GOC!$A:$A,"BOM",DATA_GOC!$D:$D,$B486,DATA_GOC!$E:$E,"Dầu số",DATA_GOC!$F:$F,"Xuất nội bộ từ téc",DATA_GOC!$B:$B,DATE($D$2,$B$2,L$4)),0))</f>
        <v>0</v>
      </c>
      <c r="M486" s="251">
        <f>IF(M$4&gt;DAY(EOMONTH(DATE($D$2,$B$2,1),0)),"",IFERROR(SUMIFS(DATA_GOC!$H:$H,DATA_GOC!$A:$A,"BOM",DATA_GOC!$D:$D,$B486,DATA_GOC!$E:$E,"Dầu số",DATA_GOC!$F:$F,"Xuất nội bộ từ téc",DATA_GOC!$B:$B,DATE($D$2,$B$2,M$4)),0))</f>
        <v>0</v>
      </c>
      <c r="N486" s="251">
        <f>IF(N$4&gt;DAY(EOMONTH(DATE($D$2,$B$2,1),0)),"",IFERROR(SUMIFS(DATA_GOC!$H:$H,DATA_GOC!$A:$A,"BOM",DATA_GOC!$D:$D,$B486,DATA_GOC!$E:$E,"Dầu số",DATA_GOC!$F:$F,"Xuất nội bộ từ téc",DATA_GOC!$B:$B,DATE($D$2,$B$2,N$4)),0))</f>
        <v>0</v>
      </c>
      <c r="O486" s="251">
        <f>IF(O$4&gt;DAY(EOMONTH(DATE($D$2,$B$2,1),0)),"",IFERROR(SUMIFS(DATA_GOC!$H:$H,DATA_GOC!$A:$A,"BOM",DATA_GOC!$D:$D,$B486,DATA_GOC!$E:$E,"Dầu số",DATA_GOC!$F:$F,"Xuất nội bộ từ téc",DATA_GOC!$B:$B,DATE($D$2,$B$2,O$4)),0))</f>
        <v>0</v>
      </c>
      <c r="P486" s="251">
        <f>IF(P$4&gt;DAY(EOMONTH(DATE($D$2,$B$2,1),0)),"",IFERROR(SUMIFS(DATA_GOC!$H:$H,DATA_GOC!$A:$A,"BOM",DATA_GOC!$D:$D,$B486,DATA_GOC!$E:$E,"Dầu số",DATA_GOC!$F:$F,"Xuất nội bộ từ téc",DATA_GOC!$B:$B,DATE($D$2,$B$2,P$4)),0))</f>
        <v>0</v>
      </c>
      <c r="Q486" s="251">
        <f>IF(Q$4&gt;DAY(EOMONTH(DATE($D$2,$B$2,1),0)),"",IFERROR(SUMIFS(DATA_GOC!$H:$H,DATA_GOC!$A:$A,"BOM",DATA_GOC!$D:$D,$B486,DATA_GOC!$E:$E,"Dầu số",DATA_GOC!$F:$F,"Xuất nội bộ từ téc",DATA_GOC!$B:$B,DATE($D$2,$B$2,Q$4)),0))</f>
        <v>0</v>
      </c>
      <c r="R486" s="251">
        <f>IF(R$4&gt;DAY(EOMONTH(DATE($D$2,$B$2,1),0)),"",IFERROR(SUMIFS(DATA_GOC!$H:$H,DATA_GOC!$A:$A,"BOM",DATA_GOC!$D:$D,$B486,DATA_GOC!$E:$E,"Dầu số",DATA_GOC!$F:$F,"Xuất nội bộ từ téc",DATA_GOC!$B:$B,DATE($D$2,$B$2,R$4)),0))</f>
        <v>0</v>
      </c>
      <c r="S486" s="251">
        <f>IF(S$4&gt;DAY(EOMONTH(DATE($D$2,$B$2,1),0)),"",IFERROR(SUMIFS(DATA_GOC!$H:$H,DATA_GOC!$A:$A,"BOM",DATA_GOC!$D:$D,$B486,DATA_GOC!$E:$E,"Dầu số",DATA_GOC!$F:$F,"Xuất nội bộ từ téc",DATA_GOC!$B:$B,DATE($D$2,$B$2,S$4)),0))</f>
        <v>0</v>
      </c>
      <c r="T486" s="251">
        <f>IF(T$4&gt;DAY(EOMONTH(DATE($D$2,$B$2,1),0)),"",IFERROR(SUMIFS(DATA_GOC!$H:$H,DATA_GOC!$A:$A,"BOM",DATA_GOC!$D:$D,$B486,DATA_GOC!$E:$E,"Dầu số",DATA_GOC!$F:$F,"Xuất nội bộ từ téc",DATA_GOC!$B:$B,DATE($D$2,$B$2,T$4)),0))</f>
        <v>0</v>
      </c>
      <c r="U486" s="251">
        <f>IF(U$4&gt;DAY(EOMONTH(DATE($D$2,$B$2,1),0)),"",IFERROR(SUMIFS(DATA_GOC!$H:$H,DATA_GOC!$A:$A,"BOM",DATA_GOC!$D:$D,$B486,DATA_GOC!$E:$E,"Dầu số",DATA_GOC!$F:$F,"Xuất nội bộ từ téc",DATA_GOC!$B:$B,DATE($D$2,$B$2,U$4)),0))</f>
        <v>0</v>
      </c>
      <c r="V486" s="251">
        <f>IF(V$4&gt;DAY(EOMONTH(DATE($D$2,$B$2,1),0)),"",IFERROR(SUMIFS(DATA_GOC!$H:$H,DATA_GOC!$A:$A,"BOM",DATA_GOC!$D:$D,$B486,DATA_GOC!$E:$E,"Dầu số",DATA_GOC!$F:$F,"Xuất nội bộ từ téc",DATA_GOC!$B:$B,DATE($D$2,$B$2,V$4)),0))</f>
        <v>0</v>
      </c>
      <c r="W486" s="251">
        <f>IF(W$4&gt;DAY(EOMONTH(DATE($D$2,$B$2,1),0)),"",IFERROR(SUMIFS(DATA_GOC!$H:$H,DATA_GOC!$A:$A,"BOM",DATA_GOC!$D:$D,$B486,DATA_GOC!$E:$E,"Dầu số",DATA_GOC!$F:$F,"Xuất nội bộ từ téc",DATA_GOC!$B:$B,DATE($D$2,$B$2,W$4)),0))</f>
        <v>0</v>
      </c>
      <c r="X486" s="251">
        <f>IF(X$4&gt;DAY(EOMONTH(DATE($D$2,$B$2,1),0)),"",IFERROR(SUMIFS(DATA_GOC!$H:$H,DATA_GOC!$A:$A,"BOM",DATA_GOC!$D:$D,$B486,DATA_GOC!$E:$E,"Dầu số",DATA_GOC!$F:$F,"Xuất nội bộ từ téc",DATA_GOC!$B:$B,DATE($D$2,$B$2,X$4)),0))</f>
        <v>0</v>
      </c>
      <c r="Y486" s="251">
        <f>IF(Y$4&gt;DAY(EOMONTH(DATE($D$2,$B$2,1),0)),"",IFERROR(SUMIFS(DATA_GOC!$H:$H,DATA_GOC!$A:$A,"BOM",DATA_GOC!$D:$D,$B486,DATA_GOC!$E:$E,"Dầu số",DATA_GOC!$F:$F,"Xuất nội bộ từ téc",DATA_GOC!$B:$B,DATE($D$2,$B$2,Y$4)),0))</f>
        <v>0</v>
      </c>
      <c r="Z486" s="251">
        <f>IF(Z$4&gt;DAY(EOMONTH(DATE($D$2,$B$2,1),0)),"",IFERROR(SUMIFS(DATA_GOC!$H:$H,DATA_GOC!$A:$A,"BOM",DATA_GOC!$D:$D,$B486,DATA_GOC!$E:$E,"Dầu số",DATA_GOC!$F:$F,"Xuất nội bộ từ téc",DATA_GOC!$B:$B,DATE($D$2,$B$2,Z$4)),0))</f>
        <v>0</v>
      </c>
      <c r="AA486" s="251">
        <f>IF(AA$4&gt;DAY(EOMONTH(DATE($D$2,$B$2,1),0)),"",IFERROR(SUMIFS(DATA_GOC!$H:$H,DATA_GOC!$A:$A,"BOM",DATA_GOC!$D:$D,$B486,DATA_GOC!$E:$E,"Dầu số",DATA_GOC!$F:$F,"Xuất nội bộ từ téc",DATA_GOC!$B:$B,DATE($D$2,$B$2,AA$4)),0))</f>
        <v>0</v>
      </c>
      <c r="AB486" s="251">
        <f>IF(AB$4&gt;DAY(EOMONTH(DATE($D$2,$B$2,1),0)),"",IFERROR(SUMIFS(DATA_GOC!$H:$H,DATA_GOC!$A:$A,"BOM",DATA_GOC!$D:$D,$B486,DATA_GOC!$E:$E,"Dầu số",DATA_GOC!$F:$F,"Xuất nội bộ từ téc",DATA_GOC!$B:$B,DATE($D$2,$B$2,AB$4)),0))</f>
        <v>0</v>
      </c>
      <c r="AC486" s="251">
        <f>IF(AC$4&gt;DAY(EOMONTH(DATE($D$2,$B$2,1),0)),"",IFERROR(SUMIFS(DATA_GOC!$H:$H,DATA_GOC!$A:$A,"BOM",DATA_GOC!$D:$D,$B486,DATA_GOC!$E:$E,"Dầu số",DATA_GOC!$F:$F,"Xuất nội bộ từ téc",DATA_GOC!$B:$B,DATE($D$2,$B$2,AC$4)),0))</f>
        <v>0</v>
      </c>
      <c r="AD486" s="251">
        <f>IF(AD$4&gt;DAY(EOMONTH(DATE($D$2,$B$2,1),0)),"",IFERROR(SUMIFS(DATA_GOC!$H:$H,DATA_GOC!$A:$A,"BOM",DATA_GOC!$D:$D,$B486,DATA_GOC!$E:$E,"Dầu số",DATA_GOC!$F:$F,"Xuất nội bộ từ téc",DATA_GOC!$B:$B,DATE($D$2,$B$2,AD$4)),0))</f>
        <v>0</v>
      </c>
      <c r="AE486" s="251">
        <f>IF(AE$4&gt;DAY(EOMONTH(DATE($D$2,$B$2,1),0)),"",IFERROR(SUMIFS(DATA_GOC!$H:$H,DATA_GOC!$A:$A,"BOM",DATA_GOC!$D:$D,$B486,DATA_GOC!$E:$E,"Dầu số",DATA_GOC!$F:$F,"Xuất nội bộ từ téc",DATA_GOC!$B:$B,DATE($D$2,$B$2,AE$4)),0))</f>
        <v>0</v>
      </c>
      <c r="AF486" s="251">
        <f>IF(AF$4&gt;DAY(EOMONTH(DATE($D$2,$B$2,1),0)),"",IFERROR(SUMIFS(DATA_GOC!$H:$H,DATA_GOC!$A:$A,"BOM",DATA_GOC!$D:$D,$B486,DATA_GOC!$E:$E,"Dầu số",DATA_GOC!$F:$F,"Xuất nội bộ từ téc",DATA_GOC!$B:$B,DATE($D$2,$B$2,AF$4)),0))</f>
        <v>0</v>
      </c>
      <c r="AG486" s="251">
        <f>IF(AG$4&gt;DAY(EOMONTH(DATE($D$2,$B$2,1),0)),"",IFERROR(SUMIFS(DATA_GOC!$H:$H,DATA_GOC!$A:$A,"BOM",DATA_GOC!$D:$D,$B486,DATA_GOC!$E:$E,"Dầu số",DATA_GOC!$F:$F,"Xuất nội bộ từ téc",DATA_GOC!$B:$B,DATE($D$2,$B$2,AG$4)),0))</f>
        <v>0</v>
      </c>
      <c r="AH486" s="252">
        <f t="shared" si="22"/>
        <v>0</v>
      </c>
      <c r="AI486" s="241"/>
      <c r="AJ486" s="242">
        <f>IF($B486="","",SUMIFS(TINH_TEC!$K$233:$K$9232,TINH_TEC!$H$233:$H$9232,$B486,TINH_TEC!$C$233:$C$9232,"Dầu số",TINH_TEC!$F$233:$F$9232,$B$2,TINH_TEC!$G$233:$G$9232,$D$2,TINH_TEC!$B$233:$B$9232,"Đã chốt"))</f>
        <v>0</v>
      </c>
      <c r="AK486" s="242">
        <f>IF($B486="","",SUMIFS(TINH_TEC!$J$233:$J$9232,TINH_TEC!$H$233:$H$9232,$B486,TINH_TEC!$C$233:$C$9232,"Dầu số",TINH_TEC!$F$233:$F$9232,$B$2,TINH_TEC!$G$233:$G$9232,$D$2,TINH_TEC!$B$233:$B$9232,"Đã chốt"))</f>
        <v>0</v>
      </c>
      <c r="AL486" s="242">
        <f t="shared" si="23"/>
        <v>0</v>
      </c>
    </row>
    <row r="487" ht="15.75" customHeight="1">
      <c r="A487" s="237">
        <f>IF($B487&lt;&gt;"",55,"")</f>
        <v>55</v>
      </c>
      <c r="B487" s="250" t="str">
        <f t="array" ref="B487">IFERROR(INDEX(DANH_MUC!$E:$E,58),"")</f>
        <v>Cát nghiền</v>
      </c>
      <c r="C487" s="251">
        <f>IF(C$4&gt;DAY(EOMONTH(DATE($D$2,$B$2,1),0)),"",IFERROR(SUMIFS(DATA_GOC!$H:$H,DATA_GOC!$A:$A,"BOM",DATA_GOC!$D:$D,$B487,DATA_GOC!$E:$E,"Dầu số",DATA_GOC!$F:$F,"Xuất nội bộ từ téc",DATA_GOC!$B:$B,DATE($D$2,$B$2,C$4)),0))</f>
        <v>0</v>
      </c>
      <c r="D487" s="251">
        <f>IF(D$4&gt;DAY(EOMONTH(DATE($D$2,$B$2,1),0)),"",IFERROR(SUMIFS(DATA_GOC!$H:$H,DATA_GOC!$A:$A,"BOM",DATA_GOC!$D:$D,$B487,DATA_GOC!$E:$E,"Dầu số",DATA_GOC!$F:$F,"Xuất nội bộ từ téc",DATA_GOC!$B:$B,DATE($D$2,$B$2,D$4)),0))</f>
        <v>0</v>
      </c>
      <c r="E487" s="251">
        <f>IF(E$4&gt;DAY(EOMONTH(DATE($D$2,$B$2,1),0)),"",IFERROR(SUMIFS(DATA_GOC!$H:$H,DATA_GOC!$A:$A,"BOM",DATA_GOC!$D:$D,$B487,DATA_GOC!$E:$E,"Dầu số",DATA_GOC!$F:$F,"Xuất nội bộ từ téc",DATA_GOC!$B:$B,DATE($D$2,$B$2,E$4)),0))</f>
        <v>0</v>
      </c>
      <c r="F487" s="251">
        <f>IF(F$4&gt;DAY(EOMONTH(DATE($D$2,$B$2,1),0)),"",IFERROR(SUMIFS(DATA_GOC!$H:$H,DATA_GOC!$A:$A,"BOM",DATA_GOC!$D:$D,$B487,DATA_GOC!$E:$E,"Dầu số",DATA_GOC!$F:$F,"Xuất nội bộ từ téc",DATA_GOC!$B:$B,DATE($D$2,$B$2,F$4)),0))</f>
        <v>0</v>
      </c>
      <c r="G487" s="251">
        <f>IF(G$4&gt;DAY(EOMONTH(DATE($D$2,$B$2,1),0)),"",IFERROR(SUMIFS(DATA_GOC!$H:$H,DATA_GOC!$A:$A,"BOM",DATA_GOC!$D:$D,$B487,DATA_GOC!$E:$E,"Dầu số",DATA_GOC!$F:$F,"Xuất nội bộ từ téc",DATA_GOC!$B:$B,DATE($D$2,$B$2,G$4)),0))</f>
        <v>0</v>
      </c>
      <c r="H487" s="251">
        <f>IF(H$4&gt;DAY(EOMONTH(DATE($D$2,$B$2,1),0)),"",IFERROR(SUMIFS(DATA_GOC!$H:$H,DATA_GOC!$A:$A,"BOM",DATA_GOC!$D:$D,$B487,DATA_GOC!$E:$E,"Dầu số",DATA_GOC!$F:$F,"Xuất nội bộ từ téc",DATA_GOC!$B:$B,DATE($D$2,$B$2,H$4)),0))</f>
        <v>0</v>
      </c>
      <c r="I487" s="251">
        <f>IF(I$4&gt;DAY(EOMONTH(DATE($D$2,$B$2,1),0)),"",IFERROR(SUMIFS(DATA_GOC!$H:$H,DATA_GOC!$A:$A,"BOM",DATA_GOC!$D:$D,$B487,DATA_GOC!$E:$E,"Dầu số",DATA_GOC!$F:$F,"Xuất nội bộ từ téc",DATA_GOC!$B:$B,DATE($D$2,$B$2,I$4)),0))</f>
        <v>0</v>
      </c>
      <c r="J487" s="251">
        <f>IF(J$4&gt;DAY(EOMONTH(DATE($D$2,$B$2,1),0)),"",IFERROR(SUMIFS(DATA_GOC!$H:$H,DATA_GOC!$A:$A,"BOM",DATA_GOC!$D:$D,$B487,DATA_GOC!$E:$E,"Dầu số",DATA_GOC!$F:$F,"Xuất nội bộ từ téc",DATA_GOC!$B:$B,DATE($D$2,$B$2,J$4)),0))</f>
        <v>0</v>
      </c>
      <c r="K487" s="251">
        <f>IF(K$4&gt;DAY(EOMONTH(DATE($D$2,$B$2,1),0)),"",IFERROR(SUMIFS(DATA_GOC!$H:$H,DATA_GOC!$A:$A,"BOM",DATA_GOC!$D:$D,$B487,DATA_GOC!$E:$E,"Dầu số",DATA_GOC!$F:$F,"Xuất nội bộ từ téc",DATA_GOC!$B:$B,DATE($D$2,$B$2,K$4)),0))</f>
        <v>0</v>
      </c>
      <c r="L487" s="251">
        <f>IF(L$4&gt;DAY(EOMONTH(DATE($D$2,$B$2,1),0)),"",IFERROR(SUMIFS(DATA_GOC!$H:$H,DATA_GOC!$A:$A,"BOM",DATA_GOC!$D:$D,$B487,DATA_GOC!$E:$E,"Dầu số",DATA_GOC!$F:$F,"Xuất nội bộ từ téc",DATA_GOC!$B:$B,DATE($D$2,$B$2,L$4)),0))</f>
        <v>0</v>
      </c>
      <c r="M487" s="251">
        <f>IF(M$4&gt;DAY(EOMONTH(DATE($D$2,$B$2,1),0)),"",IFERROR(SUMIFS(DATA_GOC!$H:$H,DATA_GOC!$A:$A,"BOM",DATA_GOC!$D:$D,$B487,DATA_GOC!$E:$E,"Dầu số",DATA_GOC!$F:$F,"Xuất nội bộ từ téc",DATA_GOC!$B:$B,DATE($D$2,$B$2,M$4)),0))</f>
        <v>0</v>
      </c>
      <c r="N487" s="251">
        <f>IF(N$4&gt;DAY(EOMONTH(DATE($D$2,$B$2,1),0)),"",IFERROR(SUMIFS(DATA_GOC!$H:$H,DATA_GOC!$A:$A,"BOM",DATA_GOC!$D:$D,$B487,DATA_GOC!$E:$E,"Dầu số",DATA_GOC!$F:$F,"Xuất nội bộ từ téc",DATA_GOC!$B:$B,DATE($D$2,$B$2,N$4)),0))</f>
        <v>0</v>
      </c>
      <c r="O487" s="251">
        <f>IF(O$4&gt;DAY(EOMONTH(DATE($D$2,$B$2,1),0)),"",IFERROR(SUMIFS(DATA_GOC!$H:$H,DATA_GOC!$A:$A,"BOM",DATA_GOC!$D:$D,$B487,DATA_GOC!$E:$E,"Dầu số",DATA_GOC!$F:$F,"Xuất nội bộ từ téc",DATA_GOC!$B:$B,DATE($D$2,$B$2,O$4)),0))</f>
        <v>0</v>
      </c>
      <c r="P487" s="251">
        <f>IF(P$4&gt;DAY(EOMONTH(DATE($D$2,$B$2,1),0)),"",IFERROR(SUMIFS(DATA_GOC!$H:$H,DATA_GOC!$A:$A,"BOM",DATA_GOC!$D:$D,$B487,DATA_GOC!$E:$E,"Dầu số",DATA_GOC!$F:$F,"Xuất nội bộ từ téc",DATA_GOC!$B:$B,DATE($D$2,$B$2,P$4)),0))</f>
        <v>0</v>
      </c>
      <c r="Q487" s="251">
        <f>IF(Q$4&gt;DAY(EOMONTH(DATE($D$2,$B$2,1),0)),"",IFERROR(SUMIFS(DATA_GOC!$H:$H,DATA_GOC!$A:$A,"BOM",DATA_GOC!$D:$D,$B487,DATA_GOC!$E:$E,"Dầu số",DATA_GOC!$F:$F,"Xuất nội bộ từ téc",DATA_GOC!$B:$B,DATE($D$2,$B$2,Q$4)),0))</f>
        <v>0</v>
      </c>
      <c r="R487" s="251">
        <f>IF(R$4&gt;DAY(EOMONTH(DATE($D$2,$B$2,1),0)),"",IFERROR(SUMIFS(DATA_GOC!$H:$H,DATA_GOC!$A:$A,"BOM",DATA_GOC!$D:$D,$B487,DATA_GOC!$E:$E,"Dầu số",DATA_GOC!$F:$F,"Xuất nội bộ từ téc",DATA_GOC!$B:$B,DATE($D$2,$B$2,R$4)),0))</f>
        <v>0</v>
      </c>
      <c r="S487" s="251">
        <f>IF(S$4&gt;DAY(EOMONTH(DATE($D$2,$B$2,1),0)),"",IFERROR(SUMIFS(DATA_GOC!$H:$H,DATA_GOC!$A:$A,"BOM",DATA_GOC!$D:$D,$B487,DATA_GOC!$E:$E,"Dầu số",DATA_GOC!$F:$F,"Xuất nội bộ từ téc",DATA_GOC!$B:$B,DATE($D$2,$B$2,S$4)),0))</f>
        <v>0</v>
      </c>
      <c r="T487" s="251">
        <f>IF(T$4&gt;DAY(EOMONTH(DATE($D$2,$B$2,1),0)),"",IFERROR(SUMIFS(DATA_GOC!$H:$H,DATA_GOC!$A:$A,"BOM",DATA_GOC!$D:$D,$B487,DATA_GOC!$E:$E,"Dầu số",DATA_GOC!$F:$F,"Xuất nội bộ từ téc",DATA_GOC!$B:$B,DATE($D$2,$B$2,T$4)),0))</f>
        <v>0</v>
      </c>
      <c r="U487" s="251">
        <f>IF(U$4&gt;DAY(EOMONTH(DATE($D$2,$B$2,1),0)),"",IFERROR(SUMIFS(DATA_GOC!$H:$H,DATA_GOC!$A:$A,"BOM",DATA_GOC!$D:$D,$B487,DATA_GOC!$E:$E,"Dầu số",DATA_GOC!$F:$F,"Xuất nội bộ từ téc",DATA_GOC!$B:$B,DATE($D$2,$B$2,U$4)),0))</f>
        <v>0</v>
      </c>
      <c r="V487" s="251">
        <f>IF(V$4&gt;DAY(EOMONTH(DATE($D$2,$B$2,1),0)),"",IFERROR(SUMIFS(DATA_GOC!$H:$H,DATA_GOC!$A:$A,"BOM",DATA_GOC!$D:$D,$B487,DATA_GOC!$E:$E,"Dầu số",DATA_GOC!$F:$F,"Xuất nội bộ từ téc",DATA_GOC!$B:$B,DATE($D$2,$B$2,V$4)),0))</f>
        <v>0</v>
      </c>
      <c r="W487" s="251">
        <f>IF(W$4&gt;DAY(EOMONTH(DATE($D$2,$B$2,1),0)),"",IFERROR(SUMIFS(DATA_GOC!$H:$H,DATA_GOC!$A:$A,"BOM",DATA_GOC!$D:$D,$B487,DATA_GOC!$E:$E,"Dầu số",DATA_GOC!$F:$F,"Xuất nội bộ từ téc",DATA_GOC!$B:$B,DATE($D$2,$B$2,W$4)),0))</f>
        <v>0</v>
      </c>
      <c r="X487" s="251">
        <f>IF(X$4&gt;DAY(EOMONTH(DATE($D$2,$B$2,1),0)),"",IFERROR(SUMIFS(DATA_GOC!$H:$H,DATA_GOC!$A:$A,"BOM",DATA_GOC!$D:$D,$B487,DATA_GOC!$E:$E,"Dầu số",DATA_GOC!$F:$F,"Xuất nội bộ từ téc",DATA_GOC!$B:$B,DATE($D$2,$B$2,X$4)),0))</f>
        <v>0</v>
      </c>
      <c r="Y487" s="251">
        <f>IF(Y$4&gt;DAY(EOMONTH(DATE($D$2,$B$2,1),0)),"",IFERROR(SUMIFS(DATA_GOC!$H:$H,DATA_GOC!$A:$A,"BOM",DATA_GOC!$D:$D,$B487,DATA_GOC!$E:$E,"Dầu số",DATA_GOC!$F:$F,"Xuất nội bộ từ téc",DATA_GOC!$B:$B,DATE($D$2,$B$2,Y$4)),0))</f>
        <v>0</v>
      </c>
      <c r="Z487" s="251">
        <f>IF(Z$4&gt;DAY(EOMONTH(DATE($D$2,$B$2,1),0)),"",IFERROR(SUMIFS(DATA_GOC!$H:$H,DATA_GOC!$A:$A,"BOM",DATA_GOC!$D:$D,$B487,DATA_GOC!$E:$E,"Dầu số",DATA_GOC!$F:$F,"Xuất nội bộ từ téc",DATA_GOC!$B:$B,DATE($D$2,$B$2,Z$4)),0))</f>
        <v>0</v>
      </c>
      <c r="AA487" s="251">
        <f>IF(AA$4&gt;DAY(EOMONTH(DATE($D$2,$B$2,1),0)),"",IFERROR(SUMIFS(DATA_GOC!$H:$H,DATA_GOC!$A:$A,"BOM",DATA_GOC!$D:$D,$B487,DATA_GOC!$E:$E,"Dầu số",DATA_GOC!$F:$F,"Xuất nội bộ từ téc",DATA_GOC!$B:$B,DATE($D$2,$B$2,AA$4)),0))</f>
        <v>0</v>
      </c>
      <c r="AB487" s="251">
        <f>IF(AB$4&gt;DAY(EOMONTH(DATE($D$2,$B$2,1),0)),"",IFERROR(SUMIFS(DATA_GOC!$H:$H,DATA_GOC!$A:$A,"BOM",DATA_GOC!$D:$D,$B487,DATA_GOC!$E:$E,"Dầu số",DATA_GOC!$F:$F,"Xuất nội bộ từ téc",DATA_GOC!$B:$B,DATE($D$2,$B$2,AB$4)),0))</f>
        <v>0</v>
      </c>
      <c r="AC487" s="251">
        <f>IF(AC$4&gt;DAY(EOMONTH(DATE($D$2,$B$2,1),0)),"",IFERROR(SUMIFS(DATA_GOC!$H:$H,DATA_GOC!$A:$A,"BOM",DATA_GOC!$D:$D,$B487,DATA_GOC!$E:$E,"Dầu số",DATA_GOC!$F:$F,"Xuất nội bộ từ téc",DATA_GOC!$B:$B,DATE($D$2,$B$2,AC$4)),0))</f>
        <v>0</v>
      </c>
      <c r="AD487" s="251">
        <f>IF(AD$4&gt;DAY(EOMONTH(DATE($D$2,$B$2,1),0)),"",IFERROR(SUMIFS(DATA_GOC!$H:$H,DATA_GOC!$A:$A,"BOM",DATA_GOC!$D:$D,$B487,DATA_GOC!$E:$E,"Dầu số",DATA_GOC!$F:$F,"Xuất nội bộ từ téc",DATA_GOC!$B:$B,DATE($D$2,$B$2,AD$4)),0))</f>
        <v>0</v>
      </c>
      <c r="AE487" s="251">
        <f>IF(AE$4&gt;DAY(EOMONTH(DATE($D$2,$B$2,1),0)),"",IFERROR(SUMIFS(DATA_GOC!$H:$H,DATA_GOC!$A:$A,"BOM",DATA_GOC!$D:$D,$B487,DATA_GOC!$E:$E,"Dầu số",DATA_GOC!$F:$F,"Xuất nội bộ từ téc",DATA_GOC!$B:$B,DATE($D$2,$B$2,AE$4)),0))</f>
        <v>0</v>
      </c>
      <c r="AF487" s="251">
        <f>IF(AF$4&gt;DAY(EOMONTH(DATE($D$2,$B$2,1),0)),"",IFERROR(SUMIFS(DATA_GOC!$H:$H,DATA_GOC!$A:$A,"BOM",DATA_GOC!$D:$D,$B487,DATA_GOC!$E:$E,"Dầu số",DATA_GOC!$F:$F,"Xuất nội bộ từ téc",DATA_GOC!$B:$B,DATE($D$2,$B$2,AF$4)),0))</f>
        <v>0</v>
      </c>
      <c r="AG487" s="251">
        <f>IF(AG$4&gt;DAY(EOMONTH(DATE($D$2,$B$2,1),0)),"",IFERROR(SUMIFS(DATA_GOC!$H:$H,DATA_GOC!$A:$A,"BOM",DATA_GOC!$D:$D,$B487,DATA_GOC!$E:$E,"Dầu số",DATA_GOC!$F:$F,"Xuất nội bộ từ téc",DATA_GOC!$B:$B,DATE($D$2,$B$2,AG$4)),0))</f>
        <v>0</v>
      </c>
      <c r="AH487" s="252">
        <f t="shared" si="22"/>
        <v>0</v>
      </c>
      <c r="AI487" s="241"/>
      <c r="AJ487" s="242">
        <f>IF($B487="","",SUMIFS(TINH_TEC!$K$233:$K$9232,TINH_TEC!$H$233:$H$9232,$B487,TINH_TEC!$C$233:$C$9232,"Dầu số",TINH_TEC!$F$233:$F$9232,$B$2,TINH_TEC!$G$233:$G$9232,$D$2,TINH_TEC!$B$233:$B$9232,"Đã chốt"))</f>
        <v>0</v>
      </c>
      <c r="AK487" s="242">
        <f>IF($B487="","",SUMIFS(TINH_TEC!$J$233:$J$9232,TINH_TEC!$H$233:$H$9232,$B487,TINH_TEC!$C$233:$C$9232,"Dầu số",TINH_TEC!$F$233:$F$9232,$B$2,TINH_TEC!$G$233:$G$9232,$D$2,TINH_TEC!$B$233:$B$9232,"Đã chốt"))</f>
        <v>0</v>
      </c>
      <c r="AL487" s="242">
        <f t="shared" si="23"/>
        <v>0</v>
      </c>
    </row>
    <row r="488" ht="15.75" customHeight="1">
      <c r="A488" s="237">
        <f>IF($B488&lt;&gt;"",56,"")</f>
        <v>56</v>
      </c>
      <c r="B488" s="250" t="str">
        <f t="array" ref="B488">IFERROR(INDEX(DANH_MUC!$E:$E,59),"")</f>
        <v>28C02973</v>
      </c>
      <c r="C488" s="251">
        <f>IF(C$4&gt;DAY(EOMONTH(DATE($D$2,$B$2,1),0)),"",IFERROR(SUMIFS(DATA_GOC!$H:$H,DATA_GOC!$A:$A,"BOM",DATA_GOC!$D:$D,$B488,DATA_GOC!$E:$E,"Dầu số",DATA_GOC!$F:$F,"Xuất nội bộ từ téc",DATA_GOC!$B:$B,DATE($D$2,$B$2,C$4)),0))</f>
        <v>0</v>
      </c>
      <c r="D488" s="251">
        <f>IF(D$4&gt;DAY(EOMONTH(DATE($D$2,$B$2,1),0)),"",IFERROR(SUMIFS(DATA_GOC!$H:$H,DATA_GOC!$A:$A,"BOM",DATA_GOC!$D:$D,$B488,DATA_GOC!$E:$E,"Dầu số",DATA_GOC!$F:$F,"Xuất nội bộ từ téc",DATA_GOC!$B:$B,DATE($D$2,$B$2,D$4)),0))</f>
        <v>0</v>
      </c>
      <c r="E488" s="251">
        <f>IF(E$4&gt;DAY(EOMONTH(DATE($D$2,$B$2,1),0)),"",IFERROR(SUMIFS(DATA_GOC!$H:$H,DATA_GOC!$A:$A,"BOM",DATA_GOC!$D:$D,$B488,DATA_GOC!$E:$E,"Dầu số",DATA_GOC!$F:$F,"Xuất nội bộ từ téc",DATA_GOC!$B:$B,DATE($D$2,$B$2,E$4)),0))</f>
        <v>0</v>
      </c>
      <c r="F488" s="251">
        <f>IF(F$4&gt;DAY(EOMONTH(DATE($D$2,$B$2,1),0)),"",IFERROR(SUMIFS(DATA_GOC!$H:$H,DATA_GOC!$A:$A,"BOM",DATA_GOC!$D:$D,$B488,DATA_GOC!$E:$E,"Dầu số",DATA_GOC!$F:$F,"Xuất nội bộ từ téc",DATA_GOC!$B:$B,DATE($D$2,$B$2,F$4)),0))</f>
        <v>0</v>
      </c>
      <c r="G488" s="251">
        <f>IF(G$4&gt;DAY(EOMONTH(DATE($D$2,$B$2,1),0)),"",IFERROR(SUMIFS(DATA_GOC!$H:$H,DATA_GOC!$A:$A,"BOM",DATA_GOC!$D:$D,$B488,DATA_GOC!$E:$E,"Dầu số",DATA_GOC!$F:$F,"Xuất nội bộ từ téc",DATA_GOC!$B:$B,DATE($D$2,$B$2,G$4)),0))</f>
        <v>0</v>
      </c>
      <c r="H488" s="251">
        <f>IF(H$4&gt;DAY(EOMONTH(DATE($D$2,$B$2,1),0)),"",IFERROR(SUMIFS(DATA_GOC!$H:$H,DATA_GOC!$A:$A,"BOM",DATA_GOC!$D:$D,$B488,DATA_GOC!$E:$E,"Dầu số",DATA_GOC!$F:$F,"Xuất nội bộ từ téc",DATA_GOC!$B:$B,DATE($D$2,$B$2,H$4)),0))</f>
        <v>0</v>
      </c>
      <c r="I488" s="251">
        <f>IF(I$4&gt;DAY(EOMONTH(DATE($D$2,$B$2,1),0)),"",IFERROR(SUMIFS(DATA_GOC!$H:$H,DATA_GOC!$A:$A,"BOM",DATA_GOC!$D:$D,$B488,DATA_GOC!$E:$E,"Dầu số",DATA_GOC!$F:$F,"Xuất nội bộ từ téc",DATA_GOC!$B:$B,DATE($D$2,$B$2,I$4)),0))</f>
        <v>0</v>
      </c>
      <c r="J488" s="251">
        <f>IF(J$4&gt;DAY(EOMONTH(DATE($D$2,$B$2,1),0)),"",IFERROR(SUMIFS(DATA_GOC!$H:$H,DATA_GOC!$A:$A,"BOM",DATA_GOC!$D:$D,$B488,DATA_GOC!$E:$E,"Dầu số",DATA_GOC!$F:$F,"Xuất nội bộ từ téc",DATA_GOC!$B:$B,DATE($D$2,$B$2,J$4)),0))</f>
        <v>0</v>
      </c>
      <c r="K488" s="251">
        <f>IF(K$4&gt;DAY(EOMONTH(DATE($D$2,$B$2,1),0)),"",IFERROR(SUMIFS(DATA_GOC!$H:$H,DATA_GOC!$A:$A,"BOM",DATA_GOC!$D:$D,$B488,DATA_GOC!$E:$E,"Dầu số",DATA_GOC!$F:$F,"Xuất nội bộ từ téc",DATA_GOC!$B:$B,DATE($D$2,$B$2,K$4)),0))</f>
        <v>0</v>
      </c>
      <c r="L488" s="251">
        <f>IF(L$4&gt;DAY(EOMONTH(DATE($D$2,$B$2,1),0)),"",IFERROR(SUMIFS(DATA_GOC!$H:$H,DATA_GOC!$A:$A,"BOM",DATA_GOC!$D:$D,$B488,DATA_GOC!$E:$E,"Dầu số",DATA_GOC!$F:$F,"Xuất nội bộ từ téc",DATA_GOC!$B:$B,DATE($D$2,$B$2,L$4)),0))</f>
        <v>0</v>
      </c>
      <c r="M488" s="251">
        <f>IF(M$4&gt;DAY(EOMONTH(DATE($D$2,$B$2,1),0)),"",IFERROR(SUMIFS(DATA_GOC!$H:$H,DATA_GOC!$A:$A,"BOM",DATA_GOC!$D:$D,$B488,DATA_GOC!$E:$E,"Dầu số",DATA_GOC!$F:$F,"Xuất nội bộ từ téc",DATA_GOC!$B:$B,DATE($D$2,$B$2,M$4)),0))</f>
        <v>0</v>
      </c>
      <c r="N488" s="251">
        <f>IF(N$4&gt;DAY(EOMONTH(DATE($D$2,$B$2,1),0)),"",IFERROR(SUMIFS(DATA_GOC!$H:$H,DATA_GOC!$A:$A,"BOM",DATA_GOC!$D:$D,$B488,DATA_GOC!$E:$E,"Dầu số",DATA_GOC!$F:$F,"Xuất nội bộ từ téc",DATA_GOC!$B:$B,DATE($D$2,$B$2,N$4)),0))</f>
        <v>0</v>
      </c>
      <c r="O488" s="251">
        <f>IF(O$4&gt;DAY(EOMONTH(DATE($D$2,$B$2,1),0)),"",IFERROR(SUMIFS(DATA_GOC!$H:$H,DATA_GOC!$A:$A,"BOM",DATA_GOC!$D:$D,$B488,DATA_GOC!$E:$E,"Dầu số",DATA_GOC!$F:$F,"Xuất nội bộ từ téc",DATA_GOC!$B:$B,DATE($D$2,$B$2,O$4)),0))</f>
        <v>0</v>
      </c>
      <c r="P488" s="251">
        <f>IF(P$4&gt;DAY(EOMONTH(DATE($D$2,$B$2,1),0)),"",IFERROR(SUMIFS(DATA_GOC!$H:$H,DATA_GOC!$A:$A,"BOM",DATA_GOC!$D:$D,$B488,DATA_GOC!$E:$E,"Dầu số",DATA_GOC!$F:$F,"Xuất nội bộ từ téc",DATA_GOC!$B:$B,DATE($D$2,$B$2,P$4)),0))</f>
        <v>0</v>
      </c>
      <c r="Q488" s="251">
        <f>IF(Q$4&gt;DAY(EOMONTH(DATE($D$2,$B$2,1),0)),"",IFERROR(SUMIFS(DATA_GOC!$H:$H,DATA_GOC!$A:$A,"BOM",DATA_GOC!$D:$D,$B488,DATA_GOC!$E:$E,"Dầu số",DATA_GOC!$F:$F,"Xuất nội bộ từ téc",DATA_GOC!$B:$B,DATE($D$2,$B$2,Q$4)),0))</f>
        <v>0</v>
      </c>
      <c r="R488" s="251">
        <f>IF(R$4&gt;DAY(EOMONTH(DATE($D$2,$B$2,1),0)),"",IFERROR(SUMIFS(DATA_GOC!$H:$H,DATA_GOC!$A:$A,"BOM",DATA_GOC!$D:$D,$B488,DATA_GOC!$E:$E,"Dầu số",DATA_GOC!$F:$F,"Xuất nội bộ từ téc",DATA_GOC!$B:$B,DATE($D$2,$B$2,R$4)),0))</f>
        <v>0</v>
      </c>
      <c r="S488" s="251">
        <f>IF(S$4&gt;DAY(EOMONTH(DATE($D$2,$B$2,1),0)),"",IFERROR(SUMIFS(DATA_GOC!$H:$H,DATA_GOC!$A:$A,"BOM",DATA_GOC!$D:$D,$B488,DATA_GOC!$E:$E,"Dầu số",DATA_GOC!$F:$F,"Xuất nội bộ từ téc",DATA_GOC!$B:$B,DATE($D$2,$B$2,S$4)),0))</f>
        <v>0</v>
      </c>
      <c r="T488" s="251">
        <f>IF(T$4&gt;DAY(EOMONTH(DATE($D$2,$B$2,1),0)),"",IFERROR(SUMIFS(DATA_GOC!$H:$H,DATA_GOC!$A:$A,"BOM",DATA_GOC!$D:$D,$B488,DATA_GOC!$E:$E,"Dầu số",DATA_GOC!$F:$F,"Xuất nội bộ từ téc",DATA_GOC!$B:$B,DATE($D$2,$B$2,T$4)),0))</f>
        <v>0</v>
      </c>
      <c r="U488" s="251">
        <f>IF(U$4&gt;DAY(EOMONTH(DATE($D$2,$B$2,1),0)),"",IFERROR(SUMIFS(DATA_GOC!$H:$H,DATA_GOC!$A:$A,"BOM",DATA_GOC!$D:$D,$B488,DATA_GOC!$E:$E,"Dầu số",DATA_GOC!$F:$F,"Xuất nội bộ từ téc",DATA_GOC!$B:$B,DATE($D$2,$B$2,U$4)),0))</f>
        <v>0</v>
      </c>
      <c r="V488" s="251">
        <f>IF(V$4&gt;DAY(EOMONTH(DATE($D$2,$B$2,1),0)),"",IFERROR(SUMIFS(DATA_GOC!$H:$H,DATA_GOC!$A:$A,"BOM",DATA_GOC!$D:$D,$B488,DATA_GOC!$E:$E,"Dầu số",DATA_GOC!$F:$F,"Xuất nội bộ từ téc",DATA_GOC!$B:$B,DATE($D$2,$B$2,V$4)),0))</f>
        <v>0</v>
      </c>
      <c r="W488" s="251">
        <f>IF(W$4&gt;DAY(EOMONTH(DATE($D$2,$B$2,1),0)),"",IFERROR(SUMIFS(DATA_GOC!$H:$H,DATA_GOC!$A:$A,"BOM",DATA_GOC!$D:$D,$B488,DATA_GOC!$E:$E,"Dầu số",DATA_GOC!$F:$F,"Xuất nội bộ từ téc",DATA_GOC!$B:$B,DATE($D$2,$B$2,W$4)),0))</f>
        <v>0</v>
      </c>
      <c r="X488" s="251">
        <f>IF(X$4&gt;DAY(EOMONTH(DATE($D$2,$B$2,1),0)),"",IFERROR(SUMIFS(DATA_GOC!$H:$H,DATA_GOC!$A:$A,"BOM",DATA_GOC!$D:$D,$B488,DATA_GOC!$E:$E,"Dầu số",DATA_GOC!$F:$F,"Xuất nội bộ từ téc",DATA_GOC!$B:$B,DATE($D$2,$B$2,X$4)),0))</f>
        <v>0</v>
      </c>
      <c r="Y488" s="251">
        <f>IF(Y$4&gt;DAY(EOMONTH(DATE($D$2,$B$2,1),0)),"",IFERROR(SUMIFS(DATA_GOC!$H:$H,DATA_GOC!$A:$A,"BOM",DATA_GOC!$D:$D,$B488,DATA_GOC!$E:$E,"Dầu số",DATA_GOC!$F:$F,"Xuất nội bộ từ téc",DATA_GOC!$B:$B,DATE($D$2,$B$2,Y$4)),0))</f>
        <v>0</v>
      </c>
      <c r="Z488" s="251">
        <f>IF(Z$4&gt;DAY(EOMONTH(DATE($D$2,$B$2,1),0)),"",IFERROR(SUMIFS(DATA_GOC!$H:$H,DATA_GOC!$A:$A,"BOM",DATA_GOC!$D:$D,$B488,DATA_GOC!$E:$E,"Dầu số",DATA_GOC!$F:$F,"Xuất nội bộ từ téc",DATA_GOC!$B:$B,DATE($D$2,$B$2,Z$4)),0))</f>
        <v>0</v>
      </c>
      <c r="AA488" s="251">
        <f>IF(AA$4&gt;DAY(EOMONTH(DATE($D$2,$B$2,1),0)),"",IFERROR(SUMIFS(DATA_GOC!$H:$H,DATA_GOC!$A:$A,"BOM",DATA_GOC!$D:$D,$B488,DATA_GOC!$E:$E,"Dầu số",DATA_GOC!$F:$F,"Xuất nội bộ từ téc",DATA_GOC!$B:$B,DATE($D$2,$B$2,AA$4)),0))</f>
        <v>0</v>
      </c>
      <c r="AB488" s="251">
        <f>IF(AB$4&gt;DAY(EOMONTH(DATE($D$2,$B$2,1),0)),"",IFERROR(SUMIFS(DATA_GOC!$H:$H,DATA_GOC!$A:$A,"BOM",DATA_GOC!$D:$D,$B488,DATA_GOC!$E:$E,"Dầu số",DATA_GOC!$F:$F,"Xuất nội bộ từ téc",DATA_GOC!$B:$B,DATE($D$2,$B$2,AB$4)),0))</f>
        <v>0</v>
      </c>
      <c r="AC488" s="251">
        <f>IF(AC$4&gt;DAY(EOMONTH(DATE($D$2,$B$2,1),0)),"",IFERROR(SUMIFS(DATA_GOC!$H:$H,DATA_GOC!$A:$A,"BOM",DATA_GOC!$D:$D,$B488,DATA_GOC!$E:$E,"Dầu số",DATA_GOC!$F:$F,"Xuất nội bộ từ téc",DATA_GOC!$B:$B,DATE($D$2,$B$2,AC$4)),0))</f>
        <v>0</v>
      </c>
      <c r="AD488" s="251">
        <f>IF(AD$4&gt;DAY(EOMONTH(DATE($D$2,$B$2,1),0)),"",IFERROR(SUMIFS(DATA_GOC!$H:$H,DATA_GOC!$A:$A,"BOM",DATA_GOC!$D:$D,$B488,DATA_GOC!$E:$E,"Dầu số",DATA_GOC!$F:$F,"Xuất nội bộ từ téc",DATA_GOC!$B:$B,DATE($D$2,$B$2,AD$4)),0))</f>
        <v>0</v>
      </c>
      <c r="AE488" s="251">
        <f>IF(AE$4&gt;DAY(EOMONTH(DATE($D$2,$B$2,1),0)),"",IFERROR(SUMIFS(DATA_GOC!$H:$H,DATA_GOC!$A:$A,"BOM",DATA_GOC!$D:$D,$B488,DATA_GOC!$E:$E,"Dầu số",DATA_GOC!$F:$F,"Xuất nội bộ từ téc",DATA_GOC!$B:$B,DATE($D$2,$B$2,AE$4)),0))</f>
        <v>0</v>
      </c>
      <c r="AF488" s="251">
        <f>IF(AF$4&gt;DAY(EOMONTH(DATE($D$2,$B$2,1),0)),"",IFERROR(SUMIFS(DATA_GOC!$H:$H,DATA_GOC!$A:$A,"BOM",DATA_GOC!$D:$D,$B488,DATA_GOC!$E:$E,"Dầu số",DATA_GOC!$F:$F,"Xuất nội bộ từ téc",DATA_GOC!$B:$B,DATE($D$2,$B$2,AF$4)),0))</f>
        <v>0</v>
      </c>
      <c r="AG488" s="251">
        <f>IF(AG$4&gt;DAY(EOMONTH(DATE($D$2,$B$2,1),0)),"",IFERROR(SUMIFS(DATA_GOC!$H:$H,DATA_GOC!$A:$A,"BOM",DATA_GOC!$D:$D,$B488,DATA_GOC!$E:$E,"Dầu số",DATA_GOC!$F:$F,"Xuất nội bộ từ téc",DATA_GOC!$B:$B,DATE($D$2,$B$2,AG$4)),0))</f>
        <v>0</v>
      </c>
      <c r="AH488" s="252">
        <f t="shared" si="22"/>
        <v>0</v>
      </c>
      <c r="AI488" s="241"/>
      <c r="AJ488" s="242">
        <f>IF($B488="","",SUMIFS(TINH_TEC!$K$233:$K$9232,TINH_TEC!$H$233:$H$9232,$B488,TINH_TEC!$C$233:$C$9232,"Dầu số",TINH_TEC!$F$233:$F$9232,$B$2,TINH_TEC!$G$233:$G$9232,$D$2,TINH_TEC!$B$233:$B$9232,"Đã chốt"))</f>
        <v>0</v>
      </c>
      <c r="AK488" s="242">
        <f>IF($B488="","",SUMIFS(TINH_TEC!$J$233:$J$9232,TINH_TEC!$H$233:$H$9232,$B488,TINH_TEC!$C$233:$C$9232,"Dầu số",TINH_TEC!$F$233:$F$9232,$B$2,TINH_TEC!$G$233:$G$9232,$D$2,TINH_TEC!$B$233:$B$9232,"Đã chốt"))</f>
        <v>0</v>
      </c>
      <c r="AL488" s="242">
        <f t="shared" si="23"/>
        <v>0</v>
      </c>
    </row>
    <row r="489" ht="15.75" customHeight="1">
      <c r="A489" s="237">
        <f>IF($B489&lt;&gt;"",57,"")</f>
        <v>57</v>
      </c>
      <c r="B489" s="250" t="str">
        <f t="array" ref="B489">IFERROR(INDEX(DANH_MUC!$E:$E,60),"")</f>
        <v>28C03044</v>
      </c>
      <c r="C489" s="251">
        <f>IF(C$4&gt;DAY(EOMONTH(DATE($D$2,$B$2,1),0)),"",IFERROR(SUMIFS(DATA_GOC!$H:$H,DATA_GOC!$A:$A,"BOM",DATA_GOC!$D:$D,$B489,DATA_GOC!$E:$E,"Dầu số",DATA_GOC!$F:$F,"Xuất nội bộ từ téc",DATA_GOC!$B:$B,DATE($D$2,$B$2,C$4)),0))</f>
        <v>0</v>
      </c>
      <c r="D489" s="251">
        <f>IF(D$4&gt;DAY(EOMONTH(DATE($D$2,$B$2,1),0)),"",IFERROR(SUMIFS(DATA_GOC!$H:$H,DATA_GOC!$A:$A,"BOM",DATA_GOC!$D:$D,$B489,DATA_GOC!$E:$E,"Dầu số",DATA_GOC!$F:$F,"Xuất nội bộ từ téc",DATA_GOC!$B:$B,DATE($D$2,$B$2,D$4)),0))</f>
        <v>0</v>
      </c>
      <c r="E489" s="251">
        <f>IF(E$4&gt;DAY(EOMONTH(DATE($D$2,$B$2,1),0)),"",IFERROR(SUMIFS(DATA_GOC!$H:$H,DATA_GOC!$A:$A,"BOM",DATA_GOC!$D:$D,$B489,DATA_GOC!$E:$E,"Dầu số",DATA_GOC!$F:$F,"Xuất nội bộ từ téc",DATA_GOC!$B:$B,DATE($D$2,$B$2,E$4)),0))</f>
        <v>0</v>
      </c>
      <c r="F489" s="251">
        <f>IF(F$4&gt;DAY(EOMONTH(DATE($D$2,$B$2,1),0)),"",IFERROR(SUMIFS(DATA_GOC!$H:$H,DATA_GOC!$A:$A,"BOM",DATA_GOC!$D:$D,$B489,DATA_GOC!$E:$E,"Dầu số",DATA_GOC!$F:$F,"Xuất nội bộ từ téc",DATA_GOC!$B:$B,DATE($D$2,$B$2,F$4)),0))</f>
        <v>0</v>
      </c>
      <c r="G489" s="251">
        <f>IF(G$4&gt;DAY(EOMONTH(DATE($D$2,$B$2,1),0)),"",IFERROR(SUMIFS(DATA_GOC!$H:$H,DATA_GOC!$A:$A,"BOM",DATA_GOC!$D:$D,$B489,DATA_GOC!$E:$E,"Dầu số",DATA_GOC!$F:$F,"Xuất nội bộ từ téc",DATA_GOC!$B:$B,DATE($D$2,$B$2,G$4)),0))</f>
        <v>0</v>
      </c>
      <c r="H489" s="251">
        <f>IF(H$4&gt;DAY(EOMONTH(DATE($D$2,$B$2,1),0)),"",IFERROR(SUMIFS(DATA_GOC!$H:$H,DATA_GOC!$A:$A,"BOM",DATA_GOC!$D:$D,$B489,DATA_GOC!$E:$E,"Dầu số",DATA_GOC!$F:$F,"Xuất nội bộ từ téc",DATA_GOC!$B:$B,DATE($D$2,$B$2,H$4)),0))</f>
        <v>0</v>
      </c>
      <c r="I489" s="251">
        <f>IF(I$4&gt;DAY(EOMONTH(DATE($D$2,$B$2,1),0)),"",IFERROR(SUMIFS(DATA_GOC!$H:$H,DATA_GOC!$A:$A,"BOM",DATA_GOC!$D:$D,$B489,DATA_GOC!$E:$E,"Dầu số",DATA_GOC!$F:$F,"Xuất nội bộ từ téc",DATA_GOC!$B:$B,DATE($D$2,$B$2,I$4)),0))</f>
        <v>0</v>
      </c>
      <c r="J489" s="251">
        <f>IF(J$4&gt;DAY(EOMONTH(DATE($D$2,$B$2,1),0)),"",IFERROR(SUMIFS(DATA_GOC!$H:$H,DATA_GOC!$A:$A,"BOM",DATA_GOC!$D:$D,$B489,DATA_GOC!$E:$E,"Dầu số",DATA_GOC!$F:$F,"Xuất nội bộ từ téc",DATA_GOC!$B:$B,DATE($D$2,$B$2,J$4)),0))</f>
        <v>0</v>
      </c>
      <c r="K489" s="251">
        <f>IF(K$4&gt;DAY(EOMONTH(DATE($D$2,$B$2,1),0)),"",IFERROR(SUMIFS(DATA_GOC!$H:$H,DATA_GOC!$A:$A,"BOM",DATA_GOC!$D:$D,$B489,DATA_GOC!$E:$E,"Dầu số",DATA_GOC!$F:$F,"Xuất nội bộ từ téc",DATA_GOC!$B:$B,DATE($D$2,$B$2,K$4)),0))</f>
        <v>0</v>
      </c>
      <c r="L489" s="251">
        <f>IF(L$4&gt;DAY(EOMONTH(DATE($D$2,$B$2,1),0)),"",IFERROR(SUMIFS(DATA_GOC!$H:$H,DATA_GOC!$A:$A,"BOM",DATA_GOC!$D:$D,$B489,DATA_GOC!$E:$E,"Dầu số",DATA_GOC!$F:$F,"Xuất nội bộ từ téc",DATA_GOC!$B:$B,DATE($D$2,$B$2,L$4)),0))</f>
        <v>0</v>
      </c>
      <c r="M489" s="251">
        <f>IF(M$4&gt;DAY(EOMONTH(DATE($D$2,$B$2,1),0)),"",IFERROR(SUMIFS(DATA_GOC!$H:$H,DATA_GOC!$A:$A,"BOM",DATA_GOC!$D:$D,$B489,DATA_GOC!$E:$E,"Dầu số",DATA_GOC!$F:$F,"Xuất nội bộ từ téc",DATA_GOC!$B:$B,DATE($D$2,$B$2,M$4)),0))</f>
        <v>0</v>
      </c>
      <c r="N489" s="251">
        <f>IF(N$4&gt;DAY(EOMONTH(DATE($D$2,$B$2,1),0)),"",IFERROR(SUMIFS(DATA_GOC!$H:$H,DATA_GOC!$A:$A,"BOM",DATA_GOC!$D:$D,$B489,DATA_GOC!$E:$E,"Dầu số",DATA_GOC!$F:$F,"Xuất nội bộ từ téc",DATA_GOC!$B:$B,DATE($D$2,$B$2,N$4)),0))</f>
        <v>0</v>
      </c>
      <c r="O489" s="251">
        <f>IF(O$4&gt;DAY(EOMONTH(DATE($D$2,$B$2,1),0)),"",IFERROR(SUMIFS(DATA_GOC!$H:$H,DATA_GOC!$A:$A,"BOM",DATA_GOC!$D:$D,$B489,DATA_GOC!$E:$E,"Dầu số",DATA_GOC!$F:$F,"Xuất nội bộ từ téc",DATA_GOC!$B:$B,DATE($D$2,$B$2,O$4)),0))</f>
        <v>0</v>
      </c>
      <c r="P489" s="251">
        <f>IF(P$4&gt;DAY(EOMONTH(DATE($D$2,$B$2,1),0)),"",IFERROR(SUMIFS(DATA_GOC!$H:$H,DATA_GOC!$A:$A,"BOM",DATA_GOC!$D:$D,$B489,DATA_GOC!$E:$E,"Dầu số",DATA_GOC!$F:$F,"Xuất nội bộ từ téc",DATA_GOC!$B:$B,DATE($D$2,$B$2,P$4)),0))</f>
        <v>0</v>
      </c>
      <c r="Q489" s="251">
        <f>IF(Q$4&gt;DAY(EOMONTH(DATE($D$2,$B$2,1),0)),"",IFERROR(SUMIFS(DATA_GOC!$H:$H,DATA_GOC!$A:$A,"BOM",DATA_GOC!$D:$D,$B489,DATA_GOC!$E:$E,"Dầu số",DATA_GOC!$F:$F,"Xuất nội bộ từ téc",DATA_GOC!$B:$B,DATE($D$2,$B$2,Q$4)),0))</f>
        <v>0</v>
      </c>
      <c r="R489" s="251">
        <f>IF(R$4&gt;DAY(EOMONTH(DATE($D$2,$B$2,1),0)),"",IFERROR(SUMIFS(DATA_GOC!$H:$H,DATA_GOC!$A:$A,"BOM",DATA_GOC!$D:$D,$B489,DATA_GOC!$E:$E,"Dầu số",DATA_GOC!$F:$F,"Xuất nội bộ từ téc",DATA_GOC!$B:$B,DATE($D$2,$B$2,R$4)),0))</f>
        <v>0</v>
      </c>
      <c r="S489" s="251">
        <f>IF(S$4&gt;DAY(EOMONTH(DATE($D$2,$B$2,1),0)),"",IFERROR(SUMIFS(DATA_GOC!$H:$H,DATA_GOC!$A:$A,"BOM",DATA_GOC!$D:$D,$B489,DATA_GOC!$E:$E,"Dầu số",DATA_GOC!$F:$F,"Xuất nội bộ từ téc",DATA_GOC!$B:$B,DATE($D$2,$B$2,S$4)),0))</f>
        <v>0</v>
      </c>
      <c r="T489" s="251">
        <f>IF(T$4&gt;DAY(EOMONTH(DATE($D$2,$B$2,1),0)),"",IFERROR(SUMIFS(DATA_GOC!$H:$H,DATA_GOC!$A:$A,"BOM",DATA_GOC!$D:$D,$B489,DATA_GOC!$E:$E,"Dầu số",DATA_GOC!$F:$F,"Xuất nội bộ từ téc",DATA_GOC!$B:$B,DATE($D$2,$B$2,T$4)),0))</f>
        <v>0</v>
      </c>
      <c r="U489" s="251">
        <f>IF(U$4&gt;DAY(EOMONTH(DATE($D$2,$B$2,1),0)),"",IFERROR(SUMIFS(DATA_GOC!$H:$H,DATA_GOC!$A:$A,"BOM",DATA_GOC!$D:$D,$B489,DATA_GOC!$E:$E,"Dầu số",DATA_GOC!$F:$F,"Xuất nội bộ từ téc",DATA_GOC!$B:$B,DATE($D$2,$B$2,U$4)),0))</f>
        <v>0</v>
      </c>
      <c r="V489" s="251">
        <f>IF(V$4&gt;DAY(EOMONTH(DATE($D$2,$B$2,1),0)),"",IFERROR(SUMIFS(DATA_GOC!$H:$H,DATA_GOC!$A:$A,"BOM",DATA_GOC!$D:$D,$B489,DATA_GOC!$E:$E,"Dầu số",DATA_GOC!$F:$F,"Xuất nội bộ từ téc",DATA_GOC!$B:$B,DATE($D$2,$B$2,V$4)),0))</f>
        <v>0</v>
      </c>
      <c r="W489" s="251">
        <f>IF(W$4&gt;DAY(EOMONTH(DATE($D$2,$B$2,1),0)),"",IFERROR(SUMIFS(DATA_GOC!$H:$H,DATA_GOC!$A:$A,"BOM",DATA_GOC!$D:$D,$B489,DATA_GOC!$E:$E,"Dầu số",DATA_GOC!$F:$F,"Xuất nội bộ từ téc",DATA_GOC!$B:$B,DATE($D$2,$B$2,W$4)),0))</f>
        <v>0</v>
      </c>
      <c r="X489" s="251">
        <f>IF(X$4&gt;DAY(EOMONTH(DATE($D$2,$B$2,1),0)),"",IFERROR(SUMIFS(DATA_GOC!$H:$H,DATA_GOC!$A:$A,"BOM",DATA_GOC!$D:$D,$B489,DATA_GOC!$E:$E,"Dầu số",DATA_GOC!$F:$F,"Xuất nội bộ từ téc",DATA_GOC!$B:$B,DATE($D$2,$B$2,X$4)),0))</f>
        <v>0</v>
      </c>
      <c r="Y489" s="251">
        <f>IF(Y$4&gt;DAY(EOMONTH(DATE($D$2,$B$2,1),0)),"",IFERROR(SUMIFS(DATA_GOC!$H:$H,DATA_GOC!$A:$A,"BOM",DATA_GOC!$D:$D,$B489,DATA_GOC!$E:$E,"Dầu số",DATA_GOC!$F:$F,"Xuất nội bộ từ téc",DATA_GOC!$B:$B,DATE($D$2,$B$2,Y$4)),0))</f>
        <v>0</v>
      </c>
      <c r="Z489" s="251">
        <f>IF(Z$4&gt;DAY(EOMONTH(DATE($D$2,$B$2,1),0)),"",IFERROR(SUMIFS(DATA_GOC!$H:$H,DATA_GOC!$A:$A,"BOM",DATA_GOC!$D:$D,$B489,DATA_GOC!$E:$E,"Dầu số",DATA_GOC!$F:$F,"Xuất nội bộ từ téc",DATA_GOC!$B:$B,DATE($D$2,$B$2,Z$4)),0))</f>
        <v>0</v>
      </c>
      <c r="AA489" s="251">
        <f>IF(AA$4&gt;DAY(EOMONTH(DATE($D$2,$B$2,1),0)),"",IFERROR(SUMIFS(DATA_GOC!$H:$H,DATA_GOC!$A:$A,"BOM",DATA_GOC!$D:$D,$B489,DATA_GOC!$E:$E,"Dầu số",DATA_GOC!$F:$F,"Xuất nội bộ từ téc",DATA_GOC!$B:$B,DATE($D$2,$B$2,AA$4)),0))</f>
        <v>0</v>
      </c>
      <c r="AB489" s="251">
        <f>IF(AB$4&gt;DAY(EOMONTH(DATE($D$2,$B$2,1),0)),"",IFERROR(SUMIFS(DATA_GOC!$H:$H,DATA_GOC!$A:$A,"BOM",DATA_GOC!$D:$D,$B489,DATA_GOC!$E:$E,"Dầu số",DATA_GOC!$F:$F,"Xuất nội bộ từ téc",DATA_GOC!$B:$B,DATE($D$2,$B$2,AB$4)),0))</f>
        <v>0</v>
      </c>
      <c r="AC489" s="251">
        <f>IF(AC$4&gt;DAY(EOMONTH(DATE($D$2,$B$2,1),0)),"",IFERROR(SUMIFS(DATA_GOC!$H:$H,DATA_GOC!$A:$A,"BOM",DATA_GOC!$D:$D,$B489,DATA_GOC!$E:$E,"Dầu số",DATA_GOC!$F:$F,"Xuất nội bộ từ téc",DATA_GOC!$B:$B,DATE($D$2,$B$2,AC$4)),0))</f>
        <v>0</v>
      </c>
      <c r="AD489" s="251">
        <f>IF(AD$4&gt;DAY(EOMONTH(DATE($D$2,$B$2,1),0)),"",IFERROR(SUMIFS(DATA_GOC!$H:$H,DATA_GOC!$A:$A,"BOM",DATA_GOC!$D:$D,$B489,DATA_GOC!$E:$E,"Dầu số",DATA_GOC!$F:$F,"Xuất nội bộ từ téc",DATA_GOC!$B:$B,DATE($D$2,$B$2,AD$4)),0))</f>
        <v>0</v>
      </c>
      <c r="AE489" s="251">
        <f>IF(AE$4&gt;DAY(EOMONTH(DATE($D$2,$B$2,1),0)),"",IFERROR(SUMIFS(DATA_GOC!$H:$H,DATA_GOC!$A:$A,"BOM",DATA_GOC!$D:$D,$B489,DATA_GOC!$E:$E,"Dầu số",DATA_GOC!$F:$F,"Xuất nội bộ từ téc",DATA_GOC!$B:$B,DATE($D$2,$B$2,AE$4)),0))</f>
        <v>0</v>
      </c>
      <c r="AF489" s="251">
        <f>IF(AF$4&gt;DAY(EOMONTH(DATE($D$2,$B$2,1),0)),"",IFERROR(SUMIFS(DATA_GOC!$H:$H,DATA_GOC!$A:$A,"BOM",DATA_GOC!$D:$D,$B489,DATA_GOC!$E:$E,"Dầu số",DATA_GOC!$F:$F,"Xuất nội bộ từ téc",DATA_GOC!$B:$B,DATE($D$2,$B$2,AF$4)),0))</f>
        <v>0</v>
      </c>
      <c r="AG489" s="251">
        <f>IF(AG$4&gt;DAY(EOMONTH(DATE($D$2,$B$2,1),0)),"",IFERROR(SUMIFS(DATA_GOC!$H:$H,DATA_GOC!$A:$A,"BOM",DATA_GOC!$D:$D,$B489,DATA_GOC!$E:$E,"Dầu số",DATA_GOC!$F:$F,"Xuất nội bộ từ téc",DATA_GOC!$B:$B,DATE($D$2,$B$2,AG$4)),0))</f>
        <v>0</v>
      </c>
      <c r="AH489" s="252">
        <f t="shared" si="22"/>
        <v>0</v>
      </c>
      <c r="AI489" s="241"/>
      <c r="AJ489" s="242">
        <f>IF($B489="","",SUMIFS(TINH_TEC!$K$233:$K$9232,TINH_TEC!$H$233:$H$9232,$B489,TINH_TEC!$C$233:$C$9232,"Dầu số",TINH_TEC!$F$233:$F$9232,$B$2,TINH_TEC!$G$233:$G$9232,$D$2,TINH_TEC!$B$233:$B$9232,"Đã chốt"))</f>
        <v>0</v>
      </c>
      <c r="AK489" s="242">
        <f>IF($B489="","",SUMIFS(TINH_TEC!$J$233:$J$9232,TINH_TEC!$H$233:$H$9232,$B489,TINH_TEC!$C$233:$C$9232,"Dầu số",TINH_TEC!$F$233:$F$9232,$B$2,TINH_TEC!$G$233:$G$9232,$D$2,TINH_TEC!$B$233:$B$9232,"Đã chốt"))</f>
        <v>0</v>
      </c>
      <c r="AL489" s="242">
        <f t="shared" si="23"/>
        <v>0</v>
      </c>
    </row>
    <row r="490" ht="15.75" customHeight="1">
      <c r="A490" s="237">
        <f>IF($B490&lt;&gt;"",58,"")</f>
        <v>58</v>
      </c>
      <c r="B490" s="250" t="str">
        <f t="array" ref="B490">IFERROR(INDEX(DANH_MUC!$E:$E,61),"")</f>
        <v>Máy lu lốp</v>
      </c>
      <c r="C490" s="251">
        <f>IF(C$4&gt;DAY(EOMONTH(DATE($D$2,$B$2,1),0)),"",IFERROR(SUMIFS(DATA_GOC!$H:$H,DATA_GOC!$A:$A,"BOM",DATA_GOC!$D:$D,$B490,DATA_GOC!$E:$E,"Dầu số",DATA_GOC!$F:$F,"Xuất nội bộ từ téc",DATA_GOC!$B:$B,DATE($D$2,$B$2,C$4)),0))</f>
        <v>0</v>
      </c>
      <c r="D490" s="251">
        <f>IF(D$4&gt;DAY(EOMONTH(DATE($D$2,$B$2,1),0)),"",IFERROR(SUMIFS(DATA_GOC!$H:$H,DATA_GOC!$A:$A,"BOM",DATA_GOC!$D:$D,$B490,DATA_GOC!$E:$E,"Dầu số",DATA_GOC!$F:$F,"Xuất nội bộ từ téc",DATA_GOC!$B:$B,DATE($D$2,$B$2,D$4)),0))</f>
        <v>0</v>
      </c>
      <c r="E490" s="251">
        <f>IF(E$4&gt;DAY(EOMONTH(DATE($D$2,$B$2,1),0)),"",IFERROR(SUMIFS(DATA_GOC!$H:$H,DATA_GOC!$A:$A,"BOM",DATA_GOC!$D:$D,$B490,DATA_GOC!$E:$E,"Dầu số",DATA_GOC!$F:$F,"Xuất nội bộ từ téc",DATA_GOC!$B:$B,DATE($D$2,$B$2,E$4)),0))</f>
        <v>0</v>
      </c>
      <c r="F490" s="251">
        <f>IF(F$4&gt;DAY(EOMONTH(DATE($D$2,$B$2,1),0)),"",IFERROR(SUMIFS(DATA_GOC!$H:$H,DATA_GOC!$A:$A,"BOM",DATA_GOC!$D:$D,$B490,DATA_GOC!$E:$E,"Dầu số",DATA_GOC!$F:$F,"Xuất nội bộ từ téc",DATA_GOC!$B:$B,DATE($D$2,$B$2,F$4)),0))</f>
        <v>0</v>
      </c>
      <c r="G490" s="251">
        <f>IF(G$4&gt;DAY(EOMONTH(DATE($D$2,$B$2,1),0)),"",IFERROR(SUMIFS(DATA_GOC!$H:$H,DATA_GOC!$A:$A,"BOM",DATA_GOC!$D:$D,$B490,DATA_GOC!$E:$E,"Dầu số",DATA_GOC!$F:$F,"Xuất nội bộ từ téc",DATA_GOC!$B:$B,DATE($D$2,$B$2,G$4)),0))</f>
        <v>0</v>
      </c>
      <c r="H490" s="251">
        <f>IF(H$4&gt;DAY(EOMONTH(DATE($D$2,$B$2,1),0)),"",IFERROR(SUMIFS(DATA_GOC!$H:$H,DATA_GOC!$A:$A,"BOM",DATA_GOC!$D:$D,$B490,DATA_GOC!$E:$E,"Dầu số",DATA_GOC!$F:$F,"Xuất nội bộ từ téc",DATA_GOC!$B:$B,DATE($D$2,$B$2,H$4)),0))</f>
        <v>0</v>
      </c>
      <c r="I490" s="251">
        <f>IF(I$4&gt;DAY(EOMONTH(DATE($D$2,$B$2,1),0)),"",IFERROR(SUMIFS(DATA_GOC!$H:$H,DATA_GOC!$A:$A,"BOM",DATA_GOC!$D:$D,$B490,DATA_GOC!$E:$E,"Dầu số",DATA_GOC!$F:$F,"Xuất nội bộ từ téc",DATA_GOC!$B:$B,DATE($D$2,$B$2,I$4)),0))</f>
        <v>0</v>
      </c>
      <c r="J490" s="251">
        <f>IF(J$4&gt;DAY(EOMONTH(DATE($D$2,$B$2,1),0)),"",IFERROR(SUMIFS(DATA_GOC!$H:$H,DATA_GOC!$A:$A,"BOM",DATA_GOC!$D:$D,$B490,DATA_GOC!$E:$E,"Dầu số",DATA_GOC!$F:$F,"Xuất nội bộ từ téc",DATA_GOC!$B:$B,DATE($D$2,$B$2,J$4)),0))</f>
        <v>0</v>
      </c>
      <c r="K490" s="251">
        <f>IF(K$4&gt;DAY(EOMONTH(DATE($D$2,$B$2,1),0)),"",IFERROR(SUMIFS(DATA_GOC!$H:$H,DATA_GOC!$A:$A,"BOM",DATA_GOC!$D:$D,$B490,DATA_GOC!$E:$E,"Dầu số",DATA_GOC!$F:$F,"Xuất nội bộ từ téc",DATA_GOC!$B:$B,DATE($D$2,$B$2,K$4)),0))</f>
        <v>0</v>
      </c>
      <c r="L490" s="251">
        <f>IF(L$4&gt;DAY(EOMONTH(DATE($D$2,$B$2,1),0)),"",IFERROR(SUMIFS(DATA_GOC!$H:$H,DATA_GOC!$A:$A,"BOM",DATA_GOC!$D:$D,$B490,DATA_GOC!$E:$E,"Dầu số",DATA_GOC!$F:$F,"Xuất nội bộ từ téc",DATA_GOC!$B:$B,DATE($D$2,$B$2,L$4)),0))</f>
        <v>0</v>
      </c>
      <c r="M490" s="251">
        <f>IF(M$4&gt;DAY(EOMONTH(DATE($D$2,$B$2,1),0)),"",IFERROR(SUMIFS(DATA_GOC!$H:$H,DATA_GOC!$A:$A,"BOM",DATA_GOC!$D:$D,$B490,DATA_GOC!$E:$E,"Dầu số",DATA_GOC!$F:$F,"Xuất nội bộ từ téc",DATA_GOC!$B:$B,DATE($D$2,$B$2,M$4)),0))</f>
        <v>0</v>
      </c>
      <c r="N490" s="251">
        <f>IF(N$4&gt;DAY(EOMONTH(DATE($D$2,$B$2,1),0)),"",IFERROR(SUMIFS(DATA_GOC!$H:$H,DATA_GOC!$A:$A,"BOM",DATA_GOC!$D:$D,$B490,DATA_GOC!$E:$E,"Dầu số",DATA_GOC!$F:$F,"Xuất nội bộ từ téc",DATA_GOC!$B:$B,DATE($D$2,$B$2,N$4)),0))</f>
        <v>0</v>
      </c>
      <c r="O490" s="251">
        <f>IF(O$4&gt;DAY(EOMONTH(DATE($D$2,$B$2,1),0)),"",IFERROR(SUMIFS(DATA_GOC!$H:$H,DATA_GOC!$A:$A,"BOM",DATA_GOC!$D:$D,$B490,DATA_GOC!$E:$E,"Dầu số",DATA_GOC!$F:$F,"Xuất nội bộ từ téc",DATA_GOC!$B:$B,DATE($D$2,$B$2,O$4)),0))</f>
        <v>0</v>
      </c>
      <c r="P490" s="251">
        <f>IF(P$4&gt;DAY(EOMONTH(DATE($D$2,$B$2,1),0)),"",IFERROR(SUMIFS(DATA_GOC!$H:$H,DATA_GOC!$A:$A,"BOM",DATA_GOC!$D:$D,$B490,DATA_GOC!$E:$E,"Dầu số",DATA_GOC!$F:$F,"Xuất nội bộ từ téc",DATA_GOC!$B:$B,DATE($D$2,$B$2,P$4)),0))</f>
        <v>0</v>
      </c>
      <c r="Q490" s="251">
        <f>IF(Q$4&gt;DAY(EOMONTH(DATE($D$2,$B$2,1),0)),"",IFERROR(SUMIFS(DATA_GOC!$H:$H,DATA_GOC!$A:$A,"BOM",DATA_GOC!$D:$D,$B490,DATA_GOC!$E:$E,"Dầu số",DATA_GOC!$F:$F,"Xuất nội bộ từ téc",DATA_GOC!$B:$B,DATE($D$2,$B$2,Q$4)),0))</f>
        <v>0</v>
      </c>
      <c r="R490" s="251">
        <f>IF(R$4&gt;DAY(EOMONTH(DATE($D$2,$B$2,1),0)),"",IFERROR(SUMIFS(DATA_GOC!$H:$H,DATA_GOC!$A:$A,"BOM",DATA_GOC!$D:$D,$B490,DATA_GOC!$E:$E,"Dầu số",DATA_GOC!$F:$F,"Xuất nội bộ từ téc",DATA_GOC!$B:$B,DATE($D$2,$B$2,R$4)),0))</f>
        <v>0</v>
      </c>
      <c r="S490" s="251">
        <f>IF(S$4&gt;DAY(EOMONTH(DATE($D$2,$B$2,1),0)),"",IFERROR(SUMIFS(DATA_GOC!$H:$H,DATA_GOC!$A:$A,"BOM",DATA_GOC!$D:$D,$B490,DATA_GOC!$E:$E,"Dầu số",DATA_GOC!$F:$F,"Xuất nội bộ từ téc",DATA_GOC!$B:$B,DATE($D$2,$B$2,S$4)),0))</f>
        <v>0</v>
      </c>
      <c r="T490" s="251">
        <f>IF(T$4&gt;DAY(EOMONTH(DATE($D$2,$B$2,1),0)),"",IFERROR(SUMIFS(DATA_GOC!$H:$H,DATA_GOC!$A:$A,"BOM",DATA_GOC!$D:$D,$B490,DATA_GOC!$E:$E,"Dầu số",DATA_GOC!$F:$F,"Xuất nội bộ từ téc",DATA_GOC!$B:$B,DATE($D$2,$B$2,T$4)),0))</f>
        <v>0</v>
      </c>
      <c r="U490" s="251">
        <f>IF(U$4&gt;DAY(EOMONTH(DATE($D$2,$B$2,1),0)),"",IFERROR(SUMIFS(DATA_GOC!$H:$H,DATA_GOC!$A:$A,"BOM",DATA_GOC!$D:$D,$B490,DATA_GOC!$E:$E,"Dầu số",DATA_GOC!$F:$F,"Xuất nội bộ từ téc",DATA_GOC!$B:$B,DATE($D$2,$B$2,U$4)),0))</f>
        <v>0</v>
      </c>
      <c r="V490" s="251">
        <f>IF(V$4&gt;DAY(EOMONTH(DATE($D$2,$B$2,1),0)),"",IFERROR(SUMIFS(DATA_GOC!$H:$H,DATA_GOC!$A:$A,"BOM",DATA_GOC!$D:$D,$B490,DATA_GOC!$E:$E,"Dầu số",DATA_GOC!$F:$F,"Xuất nội bộ từ téc",DATA_GOC!$B:$B,DATE($D$2,$B$2,V$4)),0))</f>
        <v>0</v>
      </c>
      <c r="W490" s="251">
        <f>IF(W$4&gt;DAY(EOMONTH(DATE($D$2,$B$2,1),0)),"",IFERROR(SUMIFS(DATA_GOC!$H:$H,DATA_GOC!$A:$A,"BOM",DATA_GOC!$D:$D,$B490,DATA_GOC!$E:$E,"Dầu số",DATA_GOC!$F:$F,"Xuất nội bộ từ téc",DATA_GOC!$B:$B,DATE($D$2,$B$2,W$4)),0))</f>
        <v>0</v>
      </c>
      <c r="X490" s="251">
        <f>IF(X$4&gt;DAY(EOMONTH(DATE($D$2,$B$2,1),0)),"",IFERROR(SUMIFS(DATA_GOC!$H:$H,DATA_GOC!$A:$A,"BOM",DATA_GOC!$D:$D,$B490,DATA_GOC!$E:$E,"Dầu số",DATA_GOC!$F:$F,"Xuất nội bộ từ téc",DATA_GOC!$B:$B,DATE($D$2,$B$2,X$4)),0))</f>
        <v>0</v>
      </c>
      <c r="Y490" s="251">
        <f>IF(Y$4&gt;DAY(EOMONTH(DATE($D$2,$B$2,1),0)),"",IFERROR(SUMIFS(DATA_GOC!$H:$H,DATA_GOC!$A:$A,"BOM",DATA_GOC!$D:$D,$B490,DATA_GOC!$E:$E,"Dầu số",DATA_GOC!$F:$F,"Xuất nội bộ từ téc",DATA_GOC!$B:$B,DATE($D$2,$B$2,Y$4)),0))</f>
        <v>0</v>
      </c>
      <c r="Z490" s="251">
        <f>IF(Z$4&gt;DAY(EOMONTH(DATE($D$2,$B$2,1),0)),"",IFERROR(SUMIFS(DATA_GOC!$H:$H,DATA_GOC!$A:$A,"BOM",DATA_GOC!$D:$D,$B490,DATA_GOC!$E:$E,"Dầu số",DATA_GOC!$F:$F,"Xuất nội bộ từ téc",DATA_GOC!$B:$B,DATE($D$2,$B$2,Z$4)),0))</f>
        <v>0</v>
      </c>
      <c r="AA490" s="251">
        <f>IF(AA$4&gt;DAY(EOMONTH(DATE($D$2,$B$2,1),0)),"",IFERROR(SUMIFS(DATA_GOC!$H:$H,DATA_GOC!$A:$A,"BOM",DATA_GOC!$D:$D,$B490,DATA_GOC!$E:$E,"Dầu số",DATA_GOC!$F:$F,"Xuất nội bộ từ téc",DATA_GOC!$B:$B,DATE($D$2,$B$2,AA$4)),0))</f>
        <v>0</v>
      </c>
      <c r="AB490" s="251">
        <f>IF(AB$4&gt;DAY(EOMONTH(DATE($D$2,$B$2,1),0)),"",IFERROR(SUMIFS(DATA_GOC!$H:$H,DATA_GOC!$A:$A,"BOM",DATA_GOC!$D:$D,$B490,DATA_GOC!$E:$E,"Dầu số",DATA_GOC!$F:$F,"Xuất nội bộ từ téc",DATA_GOC!$B:$B,DATE($D$2,$B$2,AB$4)),0))</f>
        <v>0</v>
      </c>
      <c r="AC490" s="251">
        <f>IF(AC$4&gt;DAY(EOMONTH(DATE($D$2,$B$2,1),0)),"",IFERROR(SUMIFS(DATA_GOC!$H:$H,DATA_GOC!$A:$A,"BOM",DATA_GOC!$D:$D,$B490,DATA_GOC!$E:$E,"Dầu số",DATA_GOC!$F:$F,"Xuất nội bộ từ téc",DATA_GOC!$B:$B,DATE($D$2,$B$2,AC$4)),0))</f>
        <v>0</v>
      </c>
      <c r="AD490" s="251">
        <f>IF(AD$4&gt;DAY(EOMONTH(DATE($D$2,$B$2,1),0)),"",IFERROR(SUMIFS(DATA_GOC!$H:$H,DATA_GOC!$A:$A,"BOM",DATA_GOC!$D:$D,$B490,DATA_GOC!$E:$E,"Dầu số",DATA_GOC!$F:$F,"Xuất nội bộ từ téc",DATA_GOC!$B:$B,DATE($D$2,$B$2,AD$4)),0))</f>
        <v>0</v>
      </c>
      <c r="AE490" s="251">
        <f>IF(AE$4&gt;DAY(EOMONTH(DATE($D$2,$B$2,1),0)),"",IFERROR(SUMIFS(DATA_GOC!$H:$H,DATA_GOC!$A:$A,"BOM",DATA_GOC!$D:$D,$B490,DATA_GOC!$E:$E,"Dầu số",DATA_GOC!$F:$F,"Xuất nội bộ từ téc",DATA_GOC!$B:$B,DATE($D$2,$B$2,AE$4)),0))</f>
        <v>0</v>
      </c>
      <c r="AF490" s="251">
        <f>IF(AF$4&gt;DAY(EOMONTH(DATE($D$2,$B$2,1),0)),"",IFERROR(SUMIFS(DATA_GOC!$H:$H,DATA_GOC!$A:$A,"BOM",DATA_GOC!$D:$D,$B490,DATA_GOC!$E:$E,"Dầu số",DATA_GOC!$F:$F,"Xuất nội bộ từ téc",DATA_GOC!$B:$B,DATE($D$2,$B$2,AF$4)),0))</f>
        <v>0</v>
      </c>
      <c r="AG490" s="251">
        <f>IF(AG$4&gt;DAY(EOMONTH(DATE($D$2,$B$2,1),0)),"",IFERROR(SUMIFS(DATA_GOC!$H:$H,DATA_GOC!$A:$A,"BOM",DATA_GOC!$D:$D,$B490,DATA_GOC!$E:$E,"Dầu số",DATA_GOC!$F:$F,"Xuất nội bộ từ téc",DATA_GOC!$B:$B,DATE($D$2,$B$2,AG$4)),0))</f>
        <v>0</v>
      </c>
      <c r="AH490" s="252">
        <f t="shared" si="22"/>
        <v>0</v>
      </c>
      <c r="AI490" s="241"/>
      <c r="AJ490" s="242">
        <f>IF($B490="","",SUMIFS(TINH_TEC!$K$233:$K$9232,TINH_TEC!$H$233:$H$9232,$B490,TINH_TEC!$C$233:$C$9232,"Dầu số",TINH_TEC!$F$233:$F$9232,$B$2,TINH_TEC!$G$233:$G$9232,$D$2,TINH_TEC!$B$233:$B$9232,"Đã chốt"))</f>
        <v>0</v>
      </c>
      <c r="AK490" s="242">
        <f>IF($B490="","",SUMIFS(TINH_TEC!$J$233:$J$9232,TINH_TEC!$H$233:$H$9232,$B490,TINH_TEC!$C$233:$C$9232,"Dầu số",TINH_TEC!$F$233:$F$9232,$B$2,TINH_TEC!$G$233:$G$9232,$D$2,TINH_TEC!$B$233:$B$9232,"Đã chốt"))</f>
        <v>0</v>
      </c>
      <c r="AL490" s="242">
        <f t="shared" si="23"/>
        <v>0</v>
      </c>
    </row>
    <row r="491" ht="18.0" customHeight="1">
      <c r="A491" s="212"/>
      <c r="B491" s="253" t="s">
        <v>554</v>
      </c>
      <c r="C491" s="254">
        <f t="shared" ref="C491:AL491" si="24">SUM(C433:C490)</f>
        <v>0</v>
      </c>
      <c r="D491" s="254">
        <f t="shared" si="24"/>
        <v>0</v>
      </c>
      <c r="E491" s="254">
        <f t="shared" si="24"/>
        <v>0</v>
      </c>
      <c r="F491" s="254">
        <f t="shared" si="24"/>
        <v>0</v>
      </c>
      <c r="G491" s="254">
        <f t="shared" si="24"/>
        <v>0</v>
      </c>
      <c r="H491" s="254">
        <f t="shared" si="24"/>
        <v>0</v>
      </c>
      <c r="I491" s="254">
        <f t="shared" si="24"/>
        <v>0</v>
      </c>
      <c r="J491" s="254">
        <f t="shared" si="24"/>
        <v>0</v>
      </c>
      <c r="K491" s="254">
        <f t="shared" si="24"/>
        <v>0</v>
      </c>
      <c r="L491" s="254">
        <f t="shared" si="24"/>
        <v>0</v>
      </c>
      <c r="M491" s="254">
        <f t="shared" si="24"/>
        <v>0</v>
      </c>
      <c r="N491" s="254">
        <f t="shared" si="24"/>
        <v>0</v>
      </c>
      <c r="O491" s="254">
        <f t="shared" si="24"/>
        <v>0</v>
      </c>
      <c r="P491" s="254">
        <f t="shared" si="24"/>
        <v>0</v>
      </c>
      <c r="Q491" s="254">
        <f t="shared" si="24"/>
        <v>0</v>
      </c>
      <c r="R491" s="254">
        <f t="shared" si="24"/>
        <v>0</v>
      </c>
      <c r="S491" s="254">
        <f t="shared" si="24"/>
        <v>0</v>
      </c>
      <c r="T491" s="254">
        <f t="shared" si="24"/>
        <v>0</v>
      </c>
      <c r="U491" s="254">
        <f t="shared" si="24"/>
        <v>0</v>
      </c>
      <c r="V491" s="254">
        <f t="shared" si="24"/>
        <v>0</v>
      </c>
      <c r="W491" s="254">
        <f t="shared" si="24"/>
        <v>0</v>
      </c>
      <c r="X491" s="254">
        <f t="shared" si="24"/>
        <v>0</v>
      </c>
      <c r="Y491" s="254">
        <f t="shared" si="24"/>
        <v>0</v>
      </c>
      <c r="Z491" s="254">
        <f t="shared" si="24"/>
        <v>0</v>
      </c>
      <c r="AA491" s="254">
        <f t="shared" si="24"/>
        <v>0</v>
      </c>
      <c r="AB491" s="254">
        <f t="shared" si="24"/>
        <v>0</v>
      </c>
      <c r="AC491" s="254">
        <f t="shared" si="24"/>
        <v>0</v>
      </c>
      <c r="AD491" s="254">
        <f t="shared" si="24"/>
        <v>0</v>
      </c>
      <c r="AE491" s="254">
        <f t="shared" si="24"/>
        <v>0</v>
      </c>
      <c r="AF491" s="254">
        <f t="shared" si="24"/>
        <v>0</v>
      </c>
      <c r="AG491" s="254">
        <f t="shared" si="24"/>
        <v>0</v>
      </c>
      <c r="AH491" s="255">
        <f t="shared" si="24"/>
        <v>0</v>
      </c>
      <c r="AI491" s="256">
        <f t="shared" si="24"/>
        <v>0</v>
      </c>
      <c r="AJ491" s="257">
        <f t="shared" si="24"/>
        <v>0</v>
      </c>
      <c r="AK491" s="257">
        <f t="shared" si="24"/>
        <v>0</v>
      </c>
      <c r="AL491" s="257">
        <f t="shared" si="24"/>
        <v>0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L1"/>
    <mergeCell ref="A5:AL5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0.0"/>
    <col customWidth="1" min="3" max="5" width="13.0"/>
    <col customWidth="1" min="6" max="6" width="16.0"/>
    <col customWidth="1" min="7" max="7" width="13.0"/>
    <col customWidth="1" min="8" max="8" width="13.57"/>
    <col customWidth="1" min="9" max="10" width="14.0"/>
    <col customWidth="1" min="11" max="12" width="12.0"/>
    <col customWidth="1" min="13" max="13" width="14.0"/>
    <col customWidth="1" min="14" max="15" width="12.0"/>
    <col customWidth="1" min="16" max="16" width="24.0"/>
    <col customWidth="1" min="17" max="26" width="8.86"/>
  </cols>
  <sheetData>
    <row r="1" ht="27.75" customHeight="1">
      <c r="A1" s="24" t="s">
        <v>555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218" t="s">
        <v>211</v>
      </c>
      <c r="B2" s="176">
        <v>7.0</v>
      </c>
      <c r="C2" s="218" t="s">
        <v>212</v>
      </c>
      <c r="D2" s="176">
        <v>2026.0</v>
      </c>
      <c r="E2" s="261" t="s">
        <v>556</v>
      </c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6"/>
    </row>
    <row r="4" ht="24.75" customHeight="1">
      <c r="A4" s="218" t="s">
        <v>258</v>
      </c>
      <c r="B4" s="218" t="s">
        <v>308</v>
      </c>
      <c r="C4" s="218" t="s">
        <v>78</v>
      </c>
      <c r="D4" s="218" t="s">
        <v>141</v>
      </c>
      <c r="E4" s="218" t="s">
        <v>83</v>
      </c>
      <c r="F4" s="218" t="s">
        <v>163</v>
      </c>
      <c r="G4" s="218" t="s">
        <v>150</v>
      </c>
      <c r="H4" s="262" t="s">
        <v>557</v>
      </c>
      <c r="I4" s="218" t="s">
        <v>110</v>
      </c>
      <c r="J4" s="218" t="s">
        <v>93</v>
      </c>
      <c r="K4" s="218" t="s">
        <v>107</v>
      </c>
      <c r="L4" s="218" t="s">
        <v>298</v>
      </c>
      <c r="M4" s="262" t="s">
        <v>558</v>
      </c>
      <c r="N4" s="218" t="s">
        <v>350</v>
      </c>
      <c r="O4" s="218" t="s">
        <v>351</v>
      </c>
      <c r="P4" s="218" t="s">
        <v>45</v>
      </c>
    </row>
    <row r="5">
      <c r="A5" s="222">
        <f t="shared" ref="A5:A64" si="1">IF($B5="","",ROW()-4)</f>
        <v>1</v>
      </c>
      <c r="B5" s="221" t="str">
        <f t="array" ref="B5">IFERROR(INDEX(DANH_MUC!$E:$E,ROW()-1),"")</f>
        <v>19H09482</v>
      </c>
      <c r="C5" s="222">
        <f>IF($B5="","",
  IFERROR(SUMIFS(DATA_GOC!$H:$H,
    DATA_GOC!$A:$A,"BOM",
    DATA_GOC!$D:$D,$B5,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TINH_TEC!$H:$H,$B5,
    TINH_TEC!$F:$F,$B$2,
    TINH_TEC!$G:$G,$D$2
  ),0)
  -
  IFERROR(SUMIFS(TINH_TEC!$K:$K,
    TINH_TEC!$B:$B,"Đã chốt",
    TINH_TEC!$C:$C,C$4,
    TINH_TEC!$H:$H,$B5,
    TINH_TEC!$F:$F,$B$2,
    TINH_TEC!$G:$G,$D$2
  ),0)
)</f>
        <v>0</v>
      </c>
      <c r="D5" s="222">
        <f>IF($B5="","",
  IFERROR(SUMIFS(DATA_GOC!$H:$H,
    DATA_GOC!$A:$A,"BOM",
    DATA_GOC!$D:$D,$B5,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TINH_TEC!$H:$H,$B5,
    TINH_TEC!$F:$F,$B$2,
    TINH_TEC!$G:$G,$D$2
  ),0)
  -
  IFERROR(SUMIFS(TINH_TEC!$K:$K,
    TINH_TEC!$B:$B,"Đã chốt",
    TINH_TEC!$C:$C,D$4,
    TINH_TEC!$H:$H,$B5,
    TINH_TEC!$F:$F,$B$2,
    TINH_TEC!$G:$G,$D$2
  ),0)
)</f>
        <v>77.616</v>
      </c>
      <c r="E5" s="222">
        <f>IF($B5="","",
  IFERROR(SUMIFS(DATA_GOC!$H:$H,
    DATA_GOC!$A:$A,"BOM",
    DATA_GOC!$D:$D,$B5,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TINH_TEC!$H:$H,$B5,
    TINH_TEC!$F:$F,$B$2,
    TINH_TEC!$G:$G,$D$2
  ),0)
  -
  IFERROR(SUMIFS(TINH_TEC!$K:$K,
    TINH_TEC!$B:$B,"Đã chốt",
    TINH_TEC!$C:$C,E$4,
    TINH_TEC!$H:$H,$B5,
    TINH_TEC!$F:$F,$B$2,
    TINH_TEC!$G:$G,$D$2
  ),0)
)</f>
        <v>0</v>
      </c>
      <c r="F5" s="222">
        <f>SUMIFS(DATA_GOC!$H:$H,DATA_GOC!$A:$A,"BOM",DATA_GOC!$D:$D,$B5,DATA_GOC!$F:$F,"Xuất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" s="222">
        <f>SUMIFS(DATA_GOC!$H:$H,DATA_GOC!$A:$A,"BOM",DATA_GOC!$D:$D,$B5,DATA_GOC!$F:$F,"Bơm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" s="263">
        <f t="shared" ref="H5:H64" si="2">SUM(C5:G5)</f>
        <v>77.616</v>
      </c>
      <c r="I5" s="222">
        <f>SUMIFS(DATA_GOC!$H:$H,DATA_GOC!$A:$A,"BOM",DATA_GOC!$D:$D,$B5,DATA_GOC!$G:$G,"Dầu động cơ",DATA_GOC!$B:$B,"&gt;="&amp;DATE($D$2,$B$2,1),DATA_GOC!$B:$B,"&lt;"&amp;EDATE(DATE($D$2,$B$2,1),1))+SUMIFS(DATA_GOC!$H:$H,DATA_GOC!$A:$A,"BOM",DATA_GOC!$D:$D,$B5,DATA_GOC!$E:$E,"Dầu động cơ",DATA_GOC!$G:$G,"&lt;&gt;Dầu động cơ",DATA_GOC!$B:$B,"&gt;="&amp;DATE($D$2,$B$2,1),DATA_GOC!$B:$B,"&lt;"&amp;EDATE(DATE($D$2,$B$2,1),1))</f>
        <v>0</v>
      </c>
      <c r="J5" s="222">
        <f>SUMIFS(DATA_GOC!$H:$H,DATA_GOC!$A:$A,"BOM",DATA_GOC!$D:$D,$B5,DATA_GOC!$G:$G,"Dầu thủy lực",DATA_GOC!$B:$B,"&gt;="&amp;DATE($D$2,$B$2,1),DATA_GOC!$B:$B,"&lt;"&amp;EDATE(DATE($D$2,$B$2,1),1))+SUMIFS(DATA_GOC!$H:$H,DATA_GOC!$A:$A,"BOM",DATA_GOC!$D:$D,$B5,DATA_GOC!$E:$E,"Dầu thủy lực",DATA_GOC!$G:$G,"&lt;&gt;Dầu thủy lực",DATA_GOC!$B:$B,"&gt;="&amp;DATE($D$2,$B$2,1),DATA_GOC!$B:$B,"&lt;"&amp;EDATE(DATE($D$2,$B$2,1),1))</f>
        <v>0</v>
      </c>
      <c r="K5" s="222">
        <f>SUMIFS(DATA_GOC!$H:$H,DATA_GOC!$A:$A,"BOM",DATA_GOC!$D:$D,$B5,DATA_GOC!$G:$G,"Dầu cầu",DATA_GOC!$B:$B,"&gt;="&amp;DATE($D$2,$B$2,1),DATA_GOC!$B:$B,"&lt;"&amp;EDATE(DATE($D$2,$B$2,1),1))+SUMIFS(DATA_GOC!$H:$H,DATA_GOC!$A:$A,"BOM",DATA_GOC!$D:$D,$B5,DATA_GOC!$E:$E,"Dầu cầu",DATA_GOC!$G:$G,"&lt;&gt;Dầu cầu",DATA_GOC!$B:$B,"&gt;="&amp;DATE($D$2,$B$2,1),DATA_GOC!$B:$B,"&lt;"&amp;EDATE(DATE($D$2,$B$2,1),1))</f>
        <v>0</v>
      </c>
      <c r="L5" s="222">
        <f>SUMIFS(DATA_GOC!$H:$H,DATA_GOC!$A:$A,"BOM",DATA_GOC!$D:$D,$B5,DATA_GOC!$G:$G,"Dầu số",DATA_GOC!$B:$B,"&gt;="&amp;DATE($D$2,$B$2,1),DATA_GOC!$B:$B,"&lt;"&amp;EDATE(DATE($D$2,$B$2,1),1))+SUMIFS(DATA_GOC!$H:$H,DATA_GOC!$A:$A,"BOM",DATA_GOC!$D:$D,$B5,DATA_GOC!$E:$E,"Dầu số",DATA_GOC!$G:$G,"&lt;&gt;Dầu số",DATA_GOC!$B:$B,"&gt;="&amp;DATE($D$2,$B$2,1),DATA_GOC!$B:$B,"&lt;"&amp;EDATE(DATE($D$2,$B$2,1),1))</f>
        <v>0</v>
      </c>
      <c r="M5" s="263">
        <f t="shared" ref="M5:M64" si="3">SUM(I5:L5)</f>
        <v>0</v>
      </c>
      <c r="N5" s="222">
        <f>SUMIFS(DATA_GOC!$K:$K,DATA_GOC!$A:$A,"BOM",DATA_GOC!$D:$D,$B5,DATA_GOC!$G:$G,"DO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" s="222" t="str">
        <f t="shared" ref="O5:O65" si="4">IFERROR(H5/N5*100,"")</f>
        <v/>
      </c>
      <c r="P5" s="221"/>
    </row>
    <row r="6">
      <c r="A6" s="222">
        <f t="shared" si="1"/>
        <v>2</v>
      </c>
      <c r="B6" s="221" t="str">
        <f t="array" ref="B6">IFERROR(INDEX(DANH_MUC!$E:$E,ROW()-1),"")</f>
        <v>28A30696</v>
      </c>
      <c r="C6" s="222">
        <f>IF($B6="","",
  IFERROR(SUMIFS(DATA_GOC!$H:$H,
    DATA_GOC!$A:$A,"BOM",
    DATA_GOC!$D:$D,$B6,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TINH_TEC!$H:$H,$B6,
    TINH_TEC!$F:$F,$B$2,
    TINH_TEC!$G:$G,$D$2
  ),0)
  -
  IFERROR(SUMIFS(TINH_TEC!$K:$K,
    TINH_TEC!$B:$B,"Đã chốt",
    TINH_TEC!$C:$C,C$4,
    TINH_TEC!$H:$H,$B6,
    TINH_TEC!$F:$F,$B$2,
    TINH_TEC!$G:$G,$D$2
  ),0)
)</f>
        <v>0</v>
      </c>
      <c r="D6" s="222">
        <f>IF($B6="","",
  IFERROR(SUMIFS(DATA_GOC!$H:$H,
    DATA_GOC!$A:$A,"BOM",
    DATA_GOC!$D:$D,$B6,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TINH_TEC!$H:$H,$B6,
    TINH_TEC!$F:$F,$B$2,
    TINH_TEC!$G:$G,$D$2
  ),0)
  -
  IFERROR(SUMIFS(TINH_TEC!$K:$K,
    TINH_TEC!$B:$B,"Đã chốt",
    TINH_TEC!$C:$C,D$4,
    TINH_TEC!$H:$H,$B6,
    TINH_TEC!$F:$F,$B$2,
    TINH_TEC!$G:$G,$D$2
  ),0)
)</f>
        <v>2.155</v>
      </c>
      <c r="E6" s="222">
        <f>IF($B6="","",
  IFERROR(SUMIFS(DATA_GOC!$H:$H,
    DATA_GOC!$A:$A,"BOM",
    DATA_GOC!$D:$D,$B6,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TINH_TEC!$H:$H,$B6,
    TINH_TEC!$F:$F,$B$2,
    TINH_TEC!$G:$G,$D$2
  ),0)
  -
  IFERROR(SUMIFS(TINH_TEC!$K:$K,
    TINH_TEC!$B:$B,"Đã chốt",
    TINH_TEC!$C:$C,E$4,
    TINH_TEC!$H:$H,$B6,
    TINH_TEC!$F:$F,$B$2,
    TINH_TEC!$G:$G,$D$2
  ),0)
)</f>
        <v>0</v>
      </c>
      <c r="F6" s="222">
        <f>SUMIFS(DATA_GOC!$H:$H,DATA_GOC!$A:$A,"BOM",DATA_GOC!$D:$D,$B6,DATA_GOC!$F:$F,"Xuất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6" s="222">
        <f>SUMIFS(DATA_GOC!$H:$H,DATA_GOC!$A:$A,"BOM",DATA_GOC!$D:$D,$B6,DATA_GOC!$F:$F,"Bơm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6" s="263">
        <f t="shared" si="2"/>
        <v>2.155</v>
      </c>
      <c r="I6" s="222">
        <f>SUMIFS(DATA_GOC!$H:$H,DATA_GOC!$A:$A,"BOM",DATA_GOC!$D:$D,$B6,DATA_GOC!$G:$G,"Dầu động cơ",DATA_GOC!$B:$B,"&gt;="&amp;DATE($D$2,$B$2,1),DATA_GOC!$B:$B,"&lt;"&amp;EDATE(DATE($D$2,$B$2,1),1))+SUMIFS(DATA_GOC!$H:$H,DATA_GOC!$A:$A,"BOM",DATA_GOC!$D:$D,$B6,DATA_GOC!$E:$E,"Dầu động cơ",DATA_GOC!$G:$G,"&lt;&gt;Dầu động cơ",DATA_GOC!$B:$B,"&gt;="&amp;DATE($D$2,$B$2,1),DATA_GOC!$B:$B,"&lt;"&amp;EDATE(DATE($D$2,$B$2,1),1))</f>
        <v>0</v>
      </c>
      <c r="J6" s="222">
        <f>SUMIFS(DATA_GOC!$H:$H,DATA_GOC!$A:$A,"BOM",DATA_GOC!$D:$D,$B6,DATA_GOC!$G:$G,"Dầu thủy lực",DATA_GOC!$B:$B,"&gt;="&amp;DATE($D$2,$B$2,1),DATA_GOC!$B:$B,"&lt;"&amp;EDATE(DATE($D$2,$B$2,1),1))+SUMIFS(DATA_GOC!$H:$H,DATA_GOC!$A:$A,"BOM",DATA_GOC!$D:$D,$B6,DATA_GOC!$E:$E,"Dầu thủy lực",DATA_GOC!$G:$G,"&lt;&gt;Dầu thủy lực",DATA_GOC!$B:$B,"&gt;="&amp;DATE($D$2,$B$2,1),DATA_GOC!$B:$B,"&lt;"&amp;EDATE(DATE($D$2,$B$2,1),1))</f>
        <v>0</v>
      </c>
      <c r="K6" s="222">
        <f>SUMIFS(DATA_GOC!$H:$H,DATA_GOC!$A:$A,"BOM",DATA_GOC!$D:$D,$B6,DATA_GOC!$G:$G,"Dầu cầu",DATA_GOC!$B:$B,"&gt;="&amp;DATE($D$2,$B$2,1),DATA_GOC!$B:$B,"&lt;"&amp;EDATE(DATE($D$2,$B$2,1),1))+SUMIFS(DATA_GOC!$H:$H,DATA_GOC!$A:$A,"BOM",DATA_GOC!$D:$D,$B6,DATA_GOC!$E:$E,"Dầu cầu",DATA_GOC!$G:$G,"&lt;&gt;Dầu cầu",DATA_GOC!$B:$B,"&gt;="&amp;DATE($D$2,$B$2,1),DATA_GOC!$B:$B,"&lt;"&amp;EDATE(DATE($D$2,$B$2,1),1))</f>
        <v>0</v>
      </c>
      <c r="L6" s="222">
        <f>SUMIFS(DATA_GOC!$H:$H,DATA_GOC!$A:$A,"BOM",DATA_GOC!$D:$D,$B6,DATA_GOC!$G:$G,"Dầu số",DATA_GOC!$B:$B,"&gt;="&amp;DATE($D$2,$B$2,1),DATA_GOC!$B:$B,"&lt;"&amp;EDATE(DATE($D$2,$B$2,1),1))+SUMIFS(DATA_GOC!$H:$H,DATA_GOC!$A:$A,"BOM",DATA_GOC!$D:$D,$B6,DATA_GOC!$E:$E,"Dầu số",DATA_GOC!$G:$G,"&lt;&gt;Dầu số",DATA_GOC!$B:$B,"&gt;="&amp;DATE($D$2,$B$2,1),DATA_GOC!$B:$B,"&lt;"&amp;EDATE(DATE($D$2,$B$2,1),1))</f>
        <v>0</v>
      </c>
      <c r="M6" s="263">
        <f t="shared" si="3"/>
        <v>0</v>
      </c>
      <c r="N6" s="222">
        <f>SUMIFS(DATA_GOC!$K:$K,DATA_GOC!$A:$A,"BOM",DATA_GOC!$D:$D,$B6,DATA_GOC!$G:$G,"DO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6" s="222" t="str">
        <f t="shared" si="4"/>
        <v/>
      </c>
      <c r="P6" s="221"/>
    </row>
    <row r="7">
      <c r="A7" s="222">
        <f t="shared" si="1"/>
        <v>3</v>
      </c>
      <c r="B7" s="221" t="str">
        <f t="array" ref="B7">IFERROR(INDEX(DANH_MUC!$E:$E,ROW()-1),"")</f>
        <v>28C00462</v>
      </c>
      <c r="C7" s="222">
        <f>IF($B7="","",
  IFERROR(SUMIFS(DATA_GOC!$H:$H,
    DATA_GOC!$A:$A,"BOM",
    DATA_GOC!$D:$D,$B7,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TINH_TEC!$H:$H,$B7,
    TINH_TEC!$F:$F,$B$2,
    TINH_TEC!$G:$G,$D$2
  ),0)
  -
  IFERROR(SUMIFS(TINH_TEC!$K:$K,
    TINH_TEC!$B:$B,"Đã chốt",
    TINH_TEC!$C:$C,C$4,
    TINH_TEC!$H:$H,$B7,
    TINH_TEC!$F:$F,$B$2,
    TINH_TEC!$G:$G,$D$2
  ),0)
)</f>
        <v>0</v>
      </c>
      <c r="D7" s="222">
        <f>IF($B7="","",
  IFERROR(SUMIFS(DATA_GOC!$H:$H,
    DATA_GOC!$A:$A,"BOM",
    DATA_GOC!$D:$D,$B7,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TINH_TEC!$H:$H,$B7,
    TINH_TEC!$F:$F,$B$2,
    TINH_TEC!$G:$G,$D$2
  ),0)
  -
  IFERROR(SUMIFS(TINH_TEC!$K:$K,
    TINH_TEC!$B:$B,"Đã chốt",
    TINH_TEC!$C:$C,D$4,
    TINH_TEC!$H:$H,$B7,
    TINH_TEC!$F:$F,$B$2,
    TINH_TEC!$G:$G,$D$2
  ),0)
)</f>
        <v>55.086</v>
      </c>
      <c r="E7" s="222">
        <f>IF($B7="","",
  IFERROR(SUMIFS(DATA_GOC!$H:$H,
    DATA_GOC!$A:$A,"BOM",
    DATA_GOC!$D:$D,$B7,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TINH_TEC!$H:$H,$B7,
    TINH_TEC!$F:$F,$B$2,
    TINH_TEC!$G:$G,$D$2
  ),0)
  -
  IFERROR(SUMIFS(TINH_TEC!$K:$K,
    TINH_TEC!$B:$B,"Đã chốt",
    TINH_TEC!$C:$C,E$4,
    TINH_TEC!$H:$H,$B7,
    TINH_TEC!$F:$F,$B$2,
    TINH_TEC!$G:$G,$D$2
  ),0)
)</f>
        <v>0</v>
      </c>
      <c r="F7" s="222">
        <f>SUMIFS(DATA_GOC!$H:$H,DATA_GOC!$A:$A,"BOM",DATA_GOC!$D:$D,$B7,DATA_GOC!$F:$F,"Xuất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7" s="222">
        <f>SUMIFS(DATA_GOC!$H:$H,DATA_GOC!$A:$A,"BOM",DATA_GOC!$D:$D,$B7,DATA_GOC!$F:$F,"Bơm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7" s="263">
        <f t="shared" si="2"/>
        <v>55.086</v>
      </c>
      <c r="I7" s="222">
        <f>SUMIFS(DATA_GOC!$H:$H,DATA_GOC!$A:$A,"BOM",DATA_GOC!$D:$D,$B7,DATA_GOC!$G:$G,"Dầu động cơ",DATA_GOC!$B:$B,"&gt;="&amp;DATE($D$2,$B$2,1),DATA_GOC!$B:$B,"&lt;"&amp;EDATE(DATE($D$2,$B$2,1),1))+SUMIFS(DATA_GOC!$H:$H,DATA_GOC!$A:$A,"BOM",DATA_GOC!$D:$D,$B7,DATA_GOC!$E:$E,"Dầu động cơ",DATA_GOC!$G:$G,"&lt;&gt;Dầu động cơ",DATA_GOC!$B:$B,"&gt;="&amp;DATE($D$2,$B$2,1),DATA_GOC!$B:$B,"&lt;"&amp;EDATE(DATE($D$2,$B$2,1),1))</f>
        <v>0</v>
      </c>
      <c r="J7" s="222">
        <f>SUMIFS(DATA_GOC!$H:$H,DATA_GOC!$A:$A,"BOM",DATA_GOC!$D:$D,$B7,DATA_GOC!$G:$G,"Dầu thủy lực",DATA_GOC!$B:$B,"&gt;="&amp;DATE($D$2,$B$2,1),DATA_GOC!$B:$B,"&lt;"&amp;EDATE(DATE($D$2,$B$2,1),1))+SUMIFS(DATA_GOC!$H:$H,DATA_GOC!$A:$A,"BOM",DATA_GOC!$D:$D,$B7,DATA_GOC!$E:$E,"Dầu thủy lực",DATA_GOC!$G:$G,"&lt;&gt;Dầu thủy lực",DATA_GOC!$B:$B,"&gt;="&amp;DATE($D$2,$B$2,1),DATA_GOC!$B:$B,"&lt;"&amp;EDATE(DATE($D$2,$B$2,1),1))</f>
        <v>0</v>
      </c>
      <c r="K7" s="222">
        <f>SUMIFS(DATA_GOC!$H:$H,DATA_GOC!$A:$A,"BOM",DATA_GOC!$D:$D,$B7,DATA_GOC!$G:$G,"Dầu cầu",DATA_GOC!$B:$B,"&gt;="&amp;DATE($D$2,$B$2,1),DATA_GOC!$B:$B,"&lt;"&amp;EDATE(DATE($D$2,$B$2,1),1))+SUMIFS(DATA_GOC!$H:$H,DATA_GOC!$A:$A,"BOM",DATA_GOC!$D:$D,$B7,DATA_GOC!$E:$E,"Dầu cầu",DATA_GOC!$G:$G,"&lt;&gt;Dầu cầu",DATA_GOC!$B:$B,"&gt;="&amp;DATE($D$2,$B$2,1),DATA_GOC!$B:$B,"&lt;"&amp;EDATE(DATE($D$2,$B$2,1),1))</f>
        <v>0</v>
      </c>
      <c r="L7" s="222">
        <f>SUMIFS(DATA_GOC!$H:$H,DATA_GOC!$A:$A,"BOM",DATA_GOC!$D:$D,$B7,DATA_GOC!$G:$G,"Dầu số",DATA_GOC!$B:$B,"&gt;="&amp;DATE($D$2,$B$2,1),DATA_GOC!$B:$B,"&lt;"&amp;EDATE(DATE($D$2,$B$2,1),1))+SUMIFS(DATA_GOC!$H:$H,DATA_GOC!$A:$A,"BOM",DATA_GOC!$D:$D,$B7,DATA_GOC!$E:$E,"Dầu số",DATA_GOC!$G:$G,"&lt;&gt;Dầu số",DATA_GOC!$B:$B,"&gt;="&amp;DATE($D$2,$B$2,1),DATA_GOC!$B:$B,"&lt;"&amp;EDATE(DATE($D$2,$B$2,1),1))</f>
        <v>0</v>
      </c>
      <c r="M7" s="263">
        <f t="shared" si="3"/>
        <v>0</v>
      </c>
      <c r="N7" s="222">
        <f>SUMIFS(DATA_GOC!$K:$K,DATA_GOC!$A:$A,"BOM",DATA_GOC!$D:$D,$B7,DATA_GOC!$G:$G,"DO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7" s="222" t="str">
        <f t="shared" si="4"/>
        <v/>
      </c>
      <c r="P7" s="221"/>
    </row>
    <row r="8">
      <c r="A8" s="222">
        <f t="shared" si="1"/>
        <v>4</v>
      </c>
      <c r="B8" s="221" t="str">
        <f t="array" ref="B8">IFERROR(INDEX(DANH_MUC!$E:$E,ROW()-1),"")</f>
        <v>28C01165</v>
      </c>
      <c r="C8" s="222">
        <f>IF($B8="","",
  IFERROR(SUMIFS(DATA_GOC!$H:$H,
    DATA_GOC!$A:$A,"BOM",
    DATA_GOC!$D:$D,$B8,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TINH_TEC!$H:$H,$B8,
    TINH_TEC!$F:$F,$B$2,
    TINH_TEC!$G:$G,$D$2
  ),0)
  -
  IFERROR(SUMIFS(TINH_TEC!$K:$K,
    TINH_TEC!$B:$B,"Đã chốt",
    TINH_TEC!$C:$C,C$4,
    TINH_TEC!$H:$H,$B8,
    TINH_TEC!$F:$F,$B$2,
    TINH_TEC!$G:$G,$D$2
  ),0)
)</f>
        <v>0</v>
      </c>
      <c r="D8" s="222">
        <f>IF($B8="","",
  IFERROR(SUMIFS(DATA_GOC!$H:$H,
    DATA_GOC!$A:$A,"BOM",
    DATA_GOC!$D:$D,$B8,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TINH_TEC!$H:$H,$B8,
    TINH_TEC!$F:$F,$B$2,
    TINH_TEC!$G:$G,$D$2
  ),0)
  -
  IFERROR(SUMIFS(TINH_TEC!$K:$K,
    TINH_TEC!$B:$B,"Đã chốt",
    TINH_TEC!$C:$C,D$4,
    TINH_TEC!$H:$H,$B8,
    TINH_TEC!$F:$F,$B$2,
    TINH_TEC!$G:$G,$D$2
  ),0)
)</f>
        <v>12.231</v>
      </c>
      <c r="E8" s="222">
        <f>IF($B8="","",
  IFERROR(SUMIFS(DATA_GOC!$H:$H,
    DATA_GOC!$A:$A,"BOM",
    DATA_GOC!$D:$D,$B8,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TINH_TEC!$H:$H,$B8,
    TINH_TEC!$F:$F,$B$2,
    TINH_TEC!$G:$G,$D$2
  ),0)
  -
  IFERROR(SUMIFS(TINH_TEC!$K:$K,
    TINH_TEC!$B:$B,"Đã chốt",
    TINH_TEC!$C:$C,E$4,
    TINH_TEC!$H:$H,$B8,
    TINH_TEC!$F:$F,$B$2,
    TINH_TEC!$G:$G,$D$2
  ),0)
)</f>
        <v>0</v>
      </c>
      <c r="F8" s="222">
        <f>SUMIFS(DATA_GOC!$H:$H,DATA_GOC!$A:$A,"BOM",DATA_GOC!$D:$D,$B8,DATA_GOC!$F:$F,"Xuất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8" s="222">
        <f>SUMIFS(DATA_GOC!$H:$H,DATA_GOC!$A:$A,"BOM",DATA_GOC!$D:$D,$B8,DATA_GOC!$F:$F,"Bơm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8" s="263">
        <f t="shared" si="2"/>
        <v>12.231</v>
      </c>
      <c r="I8" s="222">
        <f>SUMIFS(DATA_GOC!$H:$H,DATA_GOC!$A:$A,"BOM",DATA_GOC!$D:$D,$B8,DATA_GOC!$G:$G,"Dầu động cơ",DATA_GOC!$B:$B,"&gt;="&amp;DATE($D$2,$B$2,1),DATA_GOC!$B:$B,"&lt;"&amp;EDATE(DATE($D$2,$B$2,1),1))+SUMIFS(DATA_GOC!$H:$H,DATA_GOC!$A:$A,"BOM",DATA_GOC!$D:$D,$B8,DATA_GOC!$E:$E,"Dầu động cơ",DATA_GOC!$G:$G,"&lt;&gt;Dầu động cơ",DATA_GOC!$B:$B,"&gt;="&amp;DATE($D$2,$B$2,1),DATA_GOC!$B:$B,"&lt;"&amp;EDATE(DATE($D$2,$B$2,1),1))</f>
        <v>0</v>
      </c>
      <c r="J8" s="222">
        <f>SUMIFS(DATA_GOC!$H:$H,DATA_GOC!$A:$A,"BOM",DATA_GOC!$D:$D,$B8,DATA_GOC!$G:$G,"Dầu thủy lực",DATA_GOC!$B:$B,"&gt;="&amp;DATE($D$2,$B$2,1),DATA_GOC!$B:$B,"&lt;"&amp;EDATE(DATE($D$2,$B$2,1),1))+SUMIFS(DATA_GOC!$H:$H,DATA_GOC!$A:$A,"BOM",DATA_GOC!$D:$D,$B8,DATA_GOC!$E:$E,"Dầu thủy lực",DATA_GOC!$G:$G,"&lt;&gt;Dầu thủy lực",DATA_GOC!$B:$B,"&gt;="&amp;DATE($D$2,$B$2,1),DATA_GOC!$B:$B,"&lt;"&amp;EDATE(DATE($D$2,$B$2,1),1))</f>
        <v>0</v>
      </c>
      <c r="K8" s="222">
        <f>SUMIFS(DATA_GOC!$H:$H,DATA_GOC!$A:$A,"BOM",DATA_GOC!$D:$D,$B8,DATA_GOC!$G:$G,"Dầu cầu",DATA_GOC!$B:$B,"&gt;="&amp;DATE($D$2,$B$2,1),DATA_GOC!$B:$B,"&lt;"&amp;EDATE(DATE($D$2,$B$2,1),1))+SUMIFS(DATA_GOC!$H:$H,DATA_GOC!$A:$A,"BOM",DATA_GOC!$D:$D,$B8,DATA_GOC!$E:$E,"Dầu cầu",DATA_GOC!$G:$G,"&lt;&gt;Dầu cầu",DATA_GOC!$B:$B,"&gt;="&amp;DATE($D$2,$B$2,1),DATA_GOC!$B:$B,"&lt;"&amp;EDATE(DATE($D$2,$B$2,1),1))</f>
        <v>0</v>
      </c>
      <c r="L8" s="222">
        <f>SUMIFS(DATA_GOC!$H:$H,DATA_GOC!$A:$A,"BOM",DATA_GOC!$D:$D,$B8,DATA_GOC!$G:$G,"Dầu số",DATA_GOC!$B:$B,"&gt;="&amp;DATE($D$2,$B$2,1),DATA_GOC!$B:$B,"&lt;"&amp;EDATE(DATE($D$2,$B$2,1),1))+SUMIFS(DATA_GOC!$H:$H,DATA_GOC!$A:$A,"BOM",DATA_GOC!$D:$D,$B8,DATA_GOC!$E:$E,"Dầu số",DATA_GOC!$G:$G,"&lt;&gt;Dầu số",DATA_GOC!$B:$B,"&gt;="&amp;DATE($D$2,$B$2,1),DATA_GOC!$B:$B,"&lt;"&amp;EDATE(DATE($D$2,$B$2,1),1))</f>
        <v>0</v>
      </c>
      <c r="M8" s="263">
        <f t="shared" si="3"/>
        <v>0</v>
      </c>
      <c r="N8" s="222">
        <f>SUMIFS(DATA_GOC!$K:$K,DATA_GOC!$A:$A,"BOM",DATA_GOC!$D:$D,$B8,DATA_GOC!$G:$G,"DO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8" s="222" t="str">
        <f t="shared" si="4"/>
        <v/>
      </c>
      <c r="P8" s="221"/>
    </row>
    <row r="9">
      <c r="A9" s="222">
        <f t="shared" si="1"/>
        <v>5</v>
      </c>
      <c r="B9" s="221" t="str">
        <f t="array" ref="B9">IFERROR(INDEX(DANH_MUC!$E:$E,ROW()-1),"")</f>
        <v>28C01406</v>
      </c>
      <c r="C9" s="222">
        <f>IF($B9="","",
  IFERROR(SUMIFS(DATA_GOC!$H:$H,
    DATA_GOC!$A:$A,"BOM",
    DATA_GOC!$D:$D,$B9,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TINH_TEC!$H:$H,$B9,
    TINH_TEC!$F:$F,$B$2,
    TINH_TEC!$G:$G,$D$2
  ),0)
  -
  IFERROR(SUMIFS(TINH_TEC!$K:$K,
    TINH_TEC!$B:$B,"Đã chốt",
    TINH_TEC!$C:$C,C$4,
    TINH_TEC!$H:$H,$B9,
    TINH_TEC!$F:$F,$B$2,
    TINH_TEC!$G:$G,$D$2
  ),0)
)</f>
        <v>0</v>
      </c>
      <c r="D9" s="222">
        <f>IF($B9="","",
  IFERROR(SUMIFS(DATA_GOC!$H:$H,
    DATA_GOC!$A:$A,"BOM",
    DATA_GOC!$D:$D,$B9,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TINH_TEC!$H:$H,$B9,
    TINH_TEC!$F:$F,$B$2,
    TINH_TEC!$G:$G,$D$2
  ),0)
  -
  IFERROR(SUMIFS(TINH_TEC!$K:$K,
    TINH_TEC!$B:$B,"Đã chốt",
    TINH_TEC!$C:$C,D$4,
    TINH_TEC!$H:$H,$B9,
    TINH_TEC!$F:$F,$B$2,
    TINH_TEC!$G:$G,$D$2
  ),0)
)</f>
        <v>459.891</v>
      </c>
      <c r="E9" s="222">
        <f>IF($B9="","",
  IFERROR(SUMIFS(DATA_GOC!$H:$H,
    DATA_GOC!$A:$A,"BOM",
    DATA_GOC!$D:$D,$B9,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TINH_TEC!$H:$H,$B9,
    TINH_TEC!$F:$F,$B$2,
    TINH_TEC!$G:$G,$D$2
  ),0)
  -
  IFERROR(SUMIFS(TINH_TEC!$K:$K,
    TINH_TEC!$B:$B,"Đã chốt",
    TINH_TEC!$C:$C,E$4,
    TINH_TEC!$H:$H,$B9,
    TINH_TEC!$F:$F,$B$2,
    TINH_TEC!$G:$G,$D$2
  ),0)
)</f>
        <v>0</v>
      </c>
      <c r="F9" s="222">
        <f>SUMIFS(DATA_GOC!$H:$H,DATA_GOC!$A:$A,"BOM",DATA_GOC!$D:$D,$B9,DATA_GOC!$F:$F,"Xuất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9" s="222">
        <f>SUMIFS(DATA_GOC!$H:$H,DATA_GOC!$A:$A,"BOM",DATA_GOC!$D:$D,$B9,DATA_GOC!$F:$F,"Bơm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9" s="263">
        <f t="shared" si="2"/>
        <v>459.891</v>
      </c>
      <c r="I9" s="222">
        <f>SUMIFS(DATA_GOC!$H:$H,DATA_GOC!$A:$A,"BOM",DATA_GOC!$D:$D,$B9,DATA_GOC!$G:$G,"Dầu động cơ",DATA_GOC!$B:$B,"&gt;="&amp;DATE($D$2,$B$2,1),DATA_GOC!$B:$B,"&lt;"&amp;EDATE(DATE($D$2,$B$2,1),1))+SUMIFS(DATA_GOC!$H:$H,DATA_GOC!$A:$A,"BOM",DATA_GOC!$D:$D,$B9,DATA_GOC!$E:$E,"Dầu động cơ",DATA_GOC!$G:$G,"&lt;&gt;Dầu động cơ",DATA_GOC!$B:$B,"&gt;="&amp;DATE($D$2,$B$2,1),DATA_GOC!$B:$B,"&lt;"&amp;EDATE(DATE($D$2,$B$2,1),1))</f>
        <v>30</v>
      </c>
      <c r="J9" s="222">
        <f>SUMIFS(DATA_GOC!$H:$H,DATA_GOC!$A:$A,"BOM",DATA_GOC!$D:$D,$B9,DATA_GOC!$G:$G,"Dầu thủy lực",DATA_GOC!$B:$B,"&gt;="&amp;DATE($D$2,$B$2,1),DATA_GOC!$B:$B,"&lt;"&amp;EDATE(DATE($D$2,$B$2,1),1))+SUMIFS(DATA_GOC!$H:$H,DATA_GOC!$A:$A,"BOM",DATA_GOC!$D:$D,$B9,DATA_GOC!$E:$E,"Dầu thủy lực",DATA_GOC!$G:$G,"&lt;&gt;Dầu thủy lực",DATA_GOC!$B:$B,"&gt;="&amp;DATE($D$2,$B$2,1),DATA_GOC!$B:$B,"&lt;"&amp;EDATE(DATE($D$2,$B$2,1),1))</f>
        <v>0</v>
      </c>
      <c r="K9" s="222">
        <f>SUMIFS(DATA_GOC!$H:$H,DATA_GOC!$A:$A,"BOM",DATA_GOC!$D:$D,$B9,DATA_GOC!$G:$G,"Dầu cầu",DATA_GOC!$B:$B,"&gt;="&amp;DATE($D$2,$B$2,1),DATA_GOC!$B:$B,"&lt;"&amp;EDATE(DATE($D$2,$B$2,1),1))+SUMIFS(DATA_GOC!$H:$H,DATA_GOC!$A:$A,"BOM",DATA_GOC!$D:$D,$B9,DATA_GOC!$E:$E,"Dầu cầu",DATA_GOC!$G:$G,"&lt;&gt;Dầu cầu",DATA_GOC!$B:$B,"&gt;="&amp;DATE($D$2,$B$2,1),DATA_GOC!$B:$B,"&lt;"&amp;EDATE(DATE($D$2,$B$2,1),1))</f>
        <v>0</v>
      </c>
      <c r="L9" s="222">
        <f>SUMIFS(DATA_GOC!$H:$H,DATA_GOC!$A:$A,"BOM",DATA_GOC!$D:$D,$B9,DATA_GOC!$G:$G,"Dầu số",DATA_GOC!$B:$B,"&gt;="&amp;DATE($D$2,$B$2,1),DATA_GOC!$B:$B,"&lt;"&amp;EDATE(DATE($D$2,$B$2,1),1))+SUMIFS(DATA_GOC!$H:$H,DATA_GOC!$A:$A,"BOM",DATA_GOC!$D:$D,$B9,DATA_GOC!$E:$E,"Dầu số",DATA_GOC!$G:$G,"&lt;&gt;Dầu số",DATA_GOC!$B:$B,"&gt;="&amp;DATE($D$2,$B$2,1),DATA_GOC!$B:$B,"&lt;"&amp;EDATE(DATE($D$2,$B$2,1),1))</f>
        <v>0</v>
      </c>
      <c r="M9" s="263">
        <f t="shared" si="3"/>
        <v>30</v>
      </c>
      <c r="N9" s="222">
        <f>SUMIFS(DATA_GOC!$K:$K,DATA_GOC!$A:$A,"BOM",DATA_GOC!$D:$D,$B9,DATA_GOC!$G:$G,"DO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1075</v>
      </c>
      <c r="O9" s="222">
        <f t="shared" si="4"/>
        <v>42.78055814</v>
      </c>
      <c r="P9" s="221"/>
    </row>
    <row r="10">
      <c r="A10" s="222">
        <f t="shared" si="1"/>
        <v>6</v>
      </c>
      <c r="B10" s="221" t="str">
        <f t="array" ref="B10">IFERROR(INDEX(DANH_MUC!$E:$E,ROW()-1),"")</f>
        <v>28C01544</v>
      </c>
      <c r="C10" s="222">
        <f>IF($B10="","",
  IFERROR(SUMIFS(DATA_GOC!$H:$H,
    DATA_GOC!$A:$A,"BOM",
    DATA_GOC!$D:$D,$B10,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TINH_TEC!$H:$H,$B10,
    TINH_TEC!$F:$F,$B$2,
    TINH_TEC!$G:$G,$D$2
  ),0)
  -
  IFERROR(SUMIFS(TINH_TEC!$K:$K,
    TINH_TEC!$B:$B,"Đã chốt",
    TINH_TEC!$C:$C,C$4,
    TINH_TEC!$H:$H,$B10,
    TINH_TEC!$F:$F,$B$2,
    TINH_TEC!$G:$G,$D$2
  ),0)
)</f>
        <v>0</v>
      </c>
      <c r="D10" s="222">
        <f>IF($B10="","",
  IFERROR(SUMIFS(DATA_GOC!$H:$H,
    DATA_GOC!$A:$A,"BOM",
    DATA_GOC!$D:$D,$B10,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TINH_TEC!$H:$H,$B10,
    TINH_TEC!$F:$F,$B$2,
    TINH_TEC!$G:$G,$D$2
  ),0)
  -
  IFERROR(SUMIFS(TINH_TEC!$K:$K,
    TINH_TEC!$B:$B,"Đã chốt",
    TINH_TEC!$C:$C,D$4,
    TINH_TEC!$H:$H,$B10,
    TINH_TEC!$F:$F,$B$2,
    TINH_TEC!$G:$G,$D$2
  ),0)
)</f>
        <v>2.504</v>
      </c>
      <c r="E10" s="222">
        <f>IF($B10="","",
  IFERROR(SUMIFS(DATA_GOC!$H:$H,
    DATA_GOC!$A:$A,"BOM",
    DATA_GOC!$D:$D,$B10,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TINH_TEC!$H:$H,$B10,
    TINH_TEC!$F:$F,$B$2,
    TINH_TEC!$G:$G,$D$2
  ),0)
  -
  IFERROR(SUMIFS(TINH_TEC!$K:$K,
    TINH_TEC!$B:$B,"Đã chốt",
    TINH_TEC!$C:$C,E$4,
    TINH_TEC!$H:$H,$B10,
    TINH_TEC!$F:$F,$B$2,
    TINH_TEC!$G:$G,$D$2
  ),0)
)</f>
        <v>0</v>
      </c>
      <c r="F10" s="222">
        <f>SUMIFS(DATA_GOC!$H:$H,DATA_GOC!$A:$A,"BOM",DATA_GOC!$D:$D,$B10,DATA_GOC!$F:$F,"Xuất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0" s="222">
        <f>SUMIFS(DATA_GOC!$H:$H,DATA_GOC!$A:$A,"BOM",DATA_GOC!$D:$D,$B10,DATA_GOC!$F:$F,"Bơm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0" s="263">
        <f t="shared" si="2"/>
        <v>2.504</v>
      </c>
      <c r="I10" s="222">
        <f>SUMIFS(DATA_GOC!$H:$H,DATA_GOC!$A:$A,"BOM",DATA_GOC!$D:$D,$B10,DATA_GOC!$G:$G,"Dầu động cơ",DATA_GOC!$B:$B,"&gt;="&amp;DATE($D$2,$B$2,1),DATA_GOC!$B:$B,"&lt;"&amp;EDATE(DATE($D$2,$B$2,1),1))+SUMIFS(DATA_GOC!$H:$H,DATA_GOC!$A:$A,"BOM",DATA_GOC!$D:$D,$B10,DATA_GOC!$E:$E,"Dầu động cơ",DATA_GOC!$G:$G,"&lt;&gt;Dầu động cơ",DATA_GOC!$B:$B,"&gt;="&amp;DATE($D$2,$B$2,1),DATA_GOC!$B:$B,"&lt;"&amp;EDATE(DATE($D$2,$B$2,1),1))</f>
        <v>0</v>
      </c>
      <c r="J10" s="222">
        <f>SUMIFS(DATA_GOC!$H:$H,DATA_GOC!$A:$A,"BOM",DATA_GOC!$D:$D,$B10,DATA_GOC!$G:$G,"Dầu thủy lực",DATA_GOC!$B:$B,"&gt;="&amp;DATE($D$2,$B$2,1),DATA_GOC!$B:$B,"&lt;"&amp;EDATE(DATE($D$2,$B$2,1),1))+SUMIFS(DATA_GOC!$H:$H,DATA_GOC!$A:$A,"BOM",DATA_GOC!$D:$D,$B10,DATA_GOC!$E:$E,"Dầu thủy lực",DATA_GOC!$G:$G,"&lt;&gt;Dầu thủy lực",DATA_GOC!$B:$B,"&gt;="&amp;DATE($D$2,$B$2,1),DATA_GOC!$B:$B,"&lt;"&amp;EDATE(DATE($D$2,$B$2,1),1))</f>
        <v>0</v>
      </c>
      <c r="K10" s="222">
        <f>SUMIFS(DATA_GOC!$H:$H,DATA_GOC!$A:$A,"BOM",DATA_GOC!$D:$D,$B10,DATA_GOC!$G:$G,"Dầu cầu",DATA_GOC!$B:$B,"&gt;="&amp;DATE($D$2,$B$2,1),DATA_GOC!$B:$B,"&lt;"&amp;EDATE(DATE($D$2,$B$2,1),1))+SUMIFS(DATA_GOC!$H:$H,DATA_GOC!$A:$A,"BOM",DATA_GOC!$D:$D,$B10,DATA_GOC!$E:$E,"Dầu cầu",DATA_GOC!$G:$G,"&lt;&gt;Dầu cầu",DATA_GOC!$B:$B,"&gt;="&amp;DATE($D$2,$B$2,1),DATA_GOC!$B:$B,"&lt;"&amp;EDATE(DATE($D$2,$B$2,1),1))</f>
        <v>0</v>
      </c>
      <c r="L10" s="222">
        <f>SUMIFS(DATA_GOC!$H:$H,DATA_GOC!$A:$A,"BOM",DATA_GOC!$D:$D,$B10,DATA_GOC!$G:$G,"Dầu số",DATA_GOC!$B:$B,"&gt;="&amp;DATE($D$2,$B$2,1),DATA_GOC!$B:$B,"&lt;"&amp;EDATE(DATE($D$2,$B$2,1),1))+SUMIFS(DATA_GOC!$H:$H,DATA_GOC!$A:$A,"BOM",DATA_GOC!$D:$D,$B10,DATA_GOC!$E:$E,"Dầu số",DATA_GOC!$G:$G,"&lt;&gt;Dầu số",DATA_GOC!$B:$B,"&gt;="&amp;DATE($D$2,$B$2,1),DATA_GOC!$B:$B,"&lt;"&amp;EDATE(DATE($D$2,$B$2,1),1))</f>
        <v>0</v>
      </c>
      <c r="M10" s="263">
        <f t="shared" si="3"/>
        <v>0</v>
      </c>
      <c r="N10" s="222">
        <f>SUMIFS(DATA_GOC!$K:$K,DATA_GOC!$A:$A,"BOM",DATA_GOC!$D:$D,$B10,DATA_GOC!$G:$G,"DO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10" s="222" t="str">
        <f t="shared" si="4"/>
        <v/>
      </c>
      <c r="P10" s="221"/>
    </row>
    <row r="11">
      <c r="A11" s="222">
        <f t="shared" si="1"/>
        <v>7</v>
      </c>
      <c r="B11" s="221" t="str">
        <f t="array" ref="B11">IFERROR(INDEX(DANH_MUC!$E:$E,ROW()-1),"")</f>
        <v>28C01622</v>
      </c>
      <c r="C11" s="222">
        <f>IF($B11="","",
  IFERROR(SUMIFS(DATA_GOC!$H:$H,
    DATA_GOC!$A:$A,"BOM",
    DATA_GOC!$D:$D,$B11,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TINH_TEC!$H:$H,$B11,
    TINH_TEC!$F:$F,$B$2,
    TINH_TEC!$G:$G,$D$2
  ),0)
  -
  IFERROR(SUMIFS(TINH_TEC!$K:$K,
    TINH_TEC!$B:$B,"Đã chốt",
    TINH_TEC!$C:$C,C$4,
    TINH_TEC!$H:$H,$B11,
    TINH_TEC!$F:$F,$B$2,
    TINH_TEC!$G:$G,$D$2
  ),0)
)</f>
        <v>0</v>
      </c>
      <c r="D11" s="222">
        <f>IF($B11="","",
  IFERROR(SUMIFS(DATA_GOC!$H:$H,
    DATA_GOC!$A:$A,"BOM",
    DATA_GOC!$D:$D,$B11,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TINH_TEC!$H:$H,$B11,
    TINH_TEC!$F:$F,$B$2,
    TINH_TEC!$G:$G,$D$2
  ),0)
  -
  IFERROR(SUMIFS(TINH_TEC!$K:$K,
    TINH_TEC!$B:$B,"Đã chốt",
    TINH_TEC!$C:$C,D$4,
    TINH_TEC!$H:$H,$B11,
    TINH_TEC!$F:$F,$B$2,
    TINH_TEC!$G:$G,$D$2
  ),0)
)</f>
        <v>449.99</v>
      </c>
      <c r="E11" s="222">
        <f>IF($B11="","",
  IFERROR(SUMIFS(DATA_GOC!$H:$H,
    DATA_GOC!$A:$A,"BOM",
    DATA_GOC!$D:$D,$B11,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TINH_TEC!$H:$H,$B11,
    TINH_TEC!$F:$F,$B$2,
    TINH_TEC!$G:$G,$D$2
  ),0)
  -
  IFERROR(SUMIFS(TINH_TEC!$K:$K,
    TINH_TEC!$B:$B,"Đã chốt",
    TINH_TEC!$C:$C,E$4,
    TINH_TEC!$H:$H,$B11,
    TINH_TEC!$F:$F,$B$2,
    TINH_TEC!$G:$G,$D$2
  ),0)
)</f>
        <v>0</v>
      </c>
      <c r="F11" s="222">
        <f>SUMIFS(DATA_GOC!$H:$H,DATA_GOC!$A:$A,"BOM",DATA_GOC!$D:$D,$B11,DATA_GOC!$F:$F,"Xuất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1" s="222">
        <f>SUMIFS(DATA_GOC!$H:$H,DATA_GOC!$A:$A,"BOM",DATA_GOC!$D:$D,$B11,DATA_GOC!$F:$F,"Bơm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1" s="263">
        <f t="shared" si="2"/>
        <v>449.99</v>
      </c>
      <c r="I11" s="222">
        <f>SUMIFS(DATA_GOC!$H:$H,DATA_GOC!$A:$A,"BOM",DATA_GOC!$D:$D,$B11,DATA_GOC!$G:$G,"Dầu động cơ",DATA_GOC!$B:$B,"&gt;="&amp;DATE($D$2,$B$2,1),DATA_GOC!$B:$B,"&lt;"&amp;EDATE(DATE($D$2,$B$2,1),1))+SUMIFS(DATA_GOC!$H:$H,DATA_GOC!$A:$A,"BOM",DATA_GOC!$D:$D,$B11,DATA_GOC!$E:$E,"Dầu động cơ",DATA_GOC!$G:$G,"&lt;&gt;Dầu động cơ",DATA_GOC!$B:$B,"&gt;="&amp;DATE($D$2,$B$2,1),DATA_GOC!$B:$B,"&lt;"&amp;EDATE(DATE($D$2,$B$2,1),1))</f>
        <v>0</v>
      </c>
      <c r="J11" s="222">
        <f>SUMIFS(DATA_GOC!$H:$H,DATA_GOC!$A:$A,"BOM",DATA_GOC!$D:$D,$B11,DATA_GOC!$G:$G,"Dầu thủy lực",DATA_GOC!$B:$B,"&gt;="&amp;DATE($D$2,$B$2,1),DATA_GOC!$B:$B,"&lt;"&amp;EDATE(DATE($D$2,$B$2,1),1))+SUMIFS(DATA_GOC!$H:$H,DATA_GOC!$A:$A,"BOM",DATA_GOC!$D:$D,$B11,DATA_GOC!$E:$E,"Dầu thủy lực",DATA_GOC!$G:$G,"&lt;&gt;Dầu thủy lực",DATA_GOC!$B:$B,"&gt;="&amp;DATE($D$2,$B$2,1),DATA_GOC!$B:$B,"&lt;"&amp;EDATE(DATE($D$2,$B$2,1),1))</f>
        <v>0</v>
      </c>
      <c r="K11" s="222">
        <f>SUMIFS(DATA_GOC!$H:$H,DATA_GOC!$A:$A,"BOM",DATA_GOC!$D:$D,$B11,DATA_GOC!$G:$G,"Dầu cầu",DATA_GOC!$B:$B,"&gt;="&amp;DATE($D$2,$B$2,1),DATA_GOC!$B:$B,"&lt;"&amp;EDATE(DATE($D$2,$B$2,1),1))+SUMIFS(DATA_GOC!$H:$H,DATA_GOC!$A:$A,"BOM",DATA_GOC!$D:$D,$B11,DATA_GOC!$E:$E,"Dầu cầu",DATA_GOC!$G:$G,"&lt;&gt;Dầu cầu",DATA_GOC!$B:$B,"&gt;="&amp;DATE($D$2,$B$2,1),DATA_GOC!$B:$B,"&lt;"&amp;EDATE(DATE($D$2,$B$2,1),1))</f>
        <v>0</v>
      </c>
      <c r="L11" s="222">
        <f>SUMIFS(DATA_GOC!$H:$H,DATA_GOC!$A:$A,"BOM",DATA_GOC!$D:$D,$B11,DATA_GOC!$G:$G,"Dầu số",DATA_GOC!$B:$B,"&gt;="&amp;DATE($D$2,$B$2,1),DATA_GOC!$B:$B,"&lt;"&amp;EDATE(DATE($D$2,$B$2,1),1))+SUMIFS(DATA_GOC!$H:$H,DATA_GOC!$A:$A,"BOM",DATA_GOC!$D:$D,$B11,DATA_GOC!$E:$E,"Dầu số",DATA_GOC!$G:$G,"&lt;&gt;Dầu số",DATA_GOC!$B:$B,"&gt;="&amp;DATE($D$2,$B$2,1),DATA_GOC!$B:$B,"&lt;"&amp;EDATE(DATE($D$2,$B$2,1),1))</f>
        <v>0</v>
      </c>
      <c r="M11" s="263">
        <f t="shared" si="3"/>
        <v>0</v>
      </c>
      <c r="N11" s="222">
        <f>SUMIFS(DATA_GOC!$K:$K,DATA_GOC!$A:$A,"BOM",DATA_GOC!$D:$D,$B11,DATA_GOC!$G:$G,"DO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844</v>
      </c>
      <c r="O11" s="222">
        <f t="shared" si="4"/>
        <v>53.31635071</v>
      </c>
      <c r="P11" s="221"/>
    </row>
    <row r="12">
      <c r="A12" s="222">
        <f t="shared" si="1"/>
        <v>8</v>
      </c>
      <c r="B12" s="221" t="str">
        <f t="array" ref="B12">IFERROR(INDEX(DANH_MUC!$E:$E,ROW()-1),"")</f>
        <v>28C01647</v>
      </c>
      <c r="C12" s="222">
        <f>IF($B12="","",
  IFERROR(SUMIFS(DATA_GOC!$H:$H,
    DATA_GOC!$A:$A,"BOM",
    DATA_GOC!$D:$D,$B12,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TINH_TEC!$H:$H,$B12,
    TINH_TEC!$F:$F,$B$2,
    TINH_TEC!$G:$G,$D$2
  ),0)
  -
  IFERROR(SUMIFS(TINH_TEC!$K:$K,
    TINH_TEC!$B:$B,"Đã chốt",
    TINH_TEC!$C:$C,C$4,
    TINH_TEC!$H:$H,$B12,
    TINH_TEC!$F:$F,$B$2,
    TINH_TEC!$G:$G,$D$2
  ),0)
)</f>
        <v>0</v>
      </c>
      <c r="D12" s="222">
        <f>IF($B12="","",
  IFERROR(SUMIFS(DATA_GOC!$H:$H,
    DATA_GOC!$A:$A,"BOM",
    DATA_GOC!$D:$D,$B12,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TINH_TEC!$H:$H,$B12,
    TINH_TEC!$F:$F,$B$2,
    TINH_TEC!$G:$G,$D$2
  ),0)
  -
  IFERROR(SUMIFS(TINH_TEC!$K:$K,
    TINH_TEC!$B:$B,"Đã chốt",
    TINH_TEC!$C:$C,D$4,
    TINH_TEC!$H:$H,$B12,
    TINH_TEC!$F:$F,$B$2,
    TINH_TEC!$G:$G,$D$2
  ),0)
)</f>
        <v>35.528</v>
      </c>
      <c r="E12" s="222">
        <f>IF($B12="","",
  IFERROR(SUMIFS(DATA_GOC!$H:$H,
    DATA_GOC!$A:$A,"BOM",
    DATA_GOC!$D:$D,$B12,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TINH_TEC!$H:$H,$B12,
    TINH_TEC!$F:$F,$B$2,
    TINH_TEC!$G:$G,$D$2
  ),0)
  -
  IFERROR(SUMIFS(TINH_TEC!$K:$K,
    TINH_TEC!$B:$B,"Đã chốt",
    TINH_TEC!$C:$C,E$4,
    TINH_TEC!$H:$H,$B12,
    TINH_TEC!$F:$F,$B$2,
    TINH_TEC!$G:$G,$D$2
  ),0)
)</f>
        <v>0</v>
      </c>
      <c r="F12" s="222">
        <f>SUMIFS(DATA_GOC!$H:$H,DATA_GOC!$A:$A,"BOM",DATA_GOC!$D:$D,$B12,DATA_GOC!$F:$F,"Xuất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2" s="222">
        <f>SUMIFS(DATA_GOC!$H:$H,DATA_GOC!$A:$A,"BOM",DATA_GOC!$D:$D,$B12,DATA_GOC!$F:$F,"Bơm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458.218</v>
      </c>
      <c r="H12" s="263">
        <f t="shared" si="2"/>
        <v>493.746</v>
      </c>
      <c r="I12" s="222">
        <f>SUMIFS(DATA_GOC!$H:$H,DATA_GOC!$A:$A,"BOM",DATA_GOC!$D:$D,$B12,DATA_GOC!$G:$G,"Dầu động cơ",DATA_GOC!$B:$B,"&gt;="&amp;DATE($D$2,$B$2,1),DATA_GOC!$B:$B,"&lt;"&amp;EDATE(DATE($D$2,$B$2,1),1))+SUMIFS(DATA_GOC!$H:$H,DATA_GOC!$A:$A,"BOM",DATA_GOC!$D:$D,$B12,DATA_GOC!$E:$E,"Dầu động cơ",DATA_GOC!$G:$G,"&lt;&gt;Dầu động cơ",DATA_GOC!$B:$B,"&gt;="&amp;DATE($D$2,$B$2,1),DATA_GOC!$B:$B,"&lt;"&amp;EDATE(DATE($D$2,$B$2,1),1))</f>
        <v>0</v>
      </c>
      <c r="J12" s="222">
        <f>SUMIFS(DATA_GOC!$H:$H,DATA_GOC!$A:$A,"BOM",DATA_GOC!$D:$D,$B12,DATA_GOC!$G:$G,"Dầu thủy lực",DATA_GOC!$B:$B,"&gt;="&amp;DATE($D$2,$B$2,1),DATA_GOC!$B:$B,"&lt;"&amp;EDATE(DATE($D$2,$B$2,1),1))+SUMIFS(DATA_GOC!$H:$H,DATA_GOC!$A:$A,"BOM",DATA_GOC!$D:$D,$B12,DATA_GOC!$E:$E,"Dầu thủy lực",DATA_GOC!$G:$G,"&lt;&gt;Dầu thủy lực",DATA_GOC!$B:$B,"&gt;="&amp;DATE($D$2,$B$2,1),DATA_GOC!$B:$B,"&lt;"&amp;EDATE(DATE($D$2,$B$2,1),1))</f>
        <v>0</v>
      </c>
      <c r="K12" s="222">
        <f>SUMIFS(DATA_GOC!$H:$H,DATA_GOC!$A:$A,"BOM",DATA_GOC!$D:$D,$B12,DATA_GOC!$G:$G,"Dầu cầu",DATA_GOC!$B:$B,"&gt;="&amp;DATE($D$2,$B$2,1),DATA_GOC!$B:$B,"&lt;"&amp;EDATE(DATE($D$2,$B$2,1),1))+SUMIFS(DATA_GOC!$H:$H,DATA_GOC!$A:$A,"BOM",DATA_GOC!$D:$D,$B12,DATA_GOC!$E:$E,"Dầu cầu",DATA_GOC!$G:$G,"&lt;&gt;Dầu cầu",DATA_GOC!$B:$B,"&gt;="&amp;DATE($D$2,$B$2,1),DATA_GOC!$B:$B,"&lt;"&amp;EDATE(DATE($D$2,$B$2,1),1))</f>
        <v>0</v>
      </c>
      <c r="L12" s="222">
        <f>SUMIFS(DATA_GOC!$H:$H,DATA_GOC!$A:$A,"BOM",DATA_GOC!$D:$D,$B12,DATA_GOC!$G:$G,"Dầu số",DATA_GOC!$B:$B,"&gt;="&amp;DATE($D$2,$B$2,1),DATA_GOC!$B:$B,"&lt;"&amp;EDATE(DATE($D$2,$B$2,1),1))+SUMIFS(DATA_GOC!$H:$H,DATA_GOC!$A:$A,"BOM",DATA_GOC!$D:$D,$B12,DATA_GOC!$E:$E,"Dầu số",DATA_GOC!$G:$G,"&lt;&gt;Dầu số",DATA_GOC!$B:$B,"&gt;="&amp;DATE($D$2,$B$2,1),DATA_GOC!$B:$B,"&lt;"&amp;EDATE(DATE($D$2,$B$2,1),1))</f>
        <v>0</v>
      </c>
      <c r="M12" s="263">
        <f t="shared" si="3"/>
        <v>0</v>
      </c>
      <c r="N12" s="222">
        <f>SUMIFS(DATA_GOC!$K:$K,DATA_GOC!$A:$A,"BOM",DATA_GOC!$D:$D,$B12,DATA_GOC!$G:$G,"DO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1077</v>
      </c>
      <c r="O12" s="222">
        <f t="shared" si="4"/>
        <v>45.84456825</v>
      </c>
      <c r="P12" s="221"/>
    </row>
    <row r="13">
      <c r="A13" s="222">
        <f t="shared" si="1"/>
        <v>9</v>
      </c>
      <c r="B13" s="221" t="str">
        <f t="array" ref="B13">IFERROR(INDEX(DANH_MUC!$E:$E,ROW()-1),"")</f>
        <v>28C01731</v>
      </c>
      <c r="C13" s="222">
        <f>IF($B13="","",
  IFERROR(SUMIFS(DATA_GOC!$H:$H,
    DATA_GOC!$A:$A,"BOM",
    DATA_GOC!$D:$D,$B13,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TINH_TEC!$H:$H,$B13,
    TINH_TEC!$F:$F,$B$2,
    TINH_TEC!$G:$G,$D$2
  ),0)
  -
  IFERROR(SUMIFS(TINH_TEC!$K:$K,
    TINH_TEC!$B:$B,"Đã chốt",
    TINH_TEC!$C:$C,C$4,
    TINH_TEC!$H:$H,$B13,
    TINH_TEC!$F:$F,$B$2,
    TINH_TEC!$G:$G,$D$2
  ),0)
)</f>
        <v>0</v>
      </c>
      <c r="D13" s="222">
        <f>IF($B13="","",
  IFERROR(SUMIFS(DATA_GOC!$H:$H,
    DATA_GOC!$A:$A,"BOM",
    DATA_GOC!$D:$D,$B13,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TINH_TEC!$H:$H,$B13,
    TINH_TEC!$F:$F,$B$2,
    TINH_TEC!$G:$G,$D$2
  ),0)
  -
  IFERROR(SUMIFS(TINH_TEC!$K:$K,
    TINH_TEC!$B:$B,"Đã chốt",
    TINH_TEC!$C:$C,D$4,
    TINH_TEC!$H:$H,$B13,
    TINH_TEC!$F:$F,$B$2,
    TINH_TEC!$G:$G,$D$2
  ),0)
)</f>
        <v>11.357</v>
      </c>
      <c r="E13" s="222">
        <f>IF($B13="","",
  IFERROR(SUMIFS(DATA_GOC!$H:$H,
    DATA_GOC!$A:$A,"BOM",
    DATA_GOC!$D:$D,$B13,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TINH_TEC!$H:$H,$B13,
    TINH_TEC!$F:$F,$B$2,
    TINH_TEC!$G:$G,$D$2
  ),0)
  -
  IFERROR(SUMIFS(TINH_TEC!$K:$K,
    TINH_TEC!$B:$B,"Đã chốt",
    TINH_TEC!$C:$C,E$4,
    TINH_TEC!$H:$H,$B13,
    TINH_TEC!$F:$F,$B$2,
    TINH_TEC!$G:$G,$D$2
  ),0)
)</f>
        <v>0</v>
      </c>
      <c r="F13" s="222">
        <f>SUMIFS(DATA_GOC!$H:$H,DATA_GOC!$A:$A,"BOM",DATA_GOC!$D:$D,$B13,DATA_GOC!$F:$F,"Xuất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3" s="222">
        <f>SUMIFS(DATA_GOC!$H:$H,DATA_GOC!$A:$A,"BOM",DATA_GOC!$D:$D,$B13,DATA_GOC!$F:$F,"Bơm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3" s="263">
        <f t="shared" si="2"/>
        <v>11.357</v>
      </c>
      <c r="I13" s="222">
        <f>SUMIFS(DATA_GOC!$H:$H,DATA_GOC!$A:$A,"BOM",DATA_GOC!$D:$D,$B13,DATA_GOC!$G:$G,"Dầu động cơ",DATA_GOC!$B:$B,"&gt;="&amp;DATE($D$2,$B$2,1),DATA_GOC!$B:$B,"&lt;"&amp;EDATE(DATE($D$2,$B$2,1),1))+SUMIFS(DATA_GOC!$H:$H,DATA_GOC!$A:$A,"BOM",DATA_GOC!$D:$D,$B13,DATA_GOC!$E:$E,"Dầu động cơ",DATA_GOC!$G:$G,"&lt;&gt;Dầu động cơ",DATA_GOC!$B:$B,"&gt;="&amp;DATE($D$2,$B$2,1),DATA_GOC!$B:$B,"&lt;"&amp;EDATE(DATE($D$2,$B$2,1),1))</f>
        <v>0</v>
      </c>
      <c r="J13" s="222">
        <f>SUMIFS(DATA_GOC!$H:$H,DATA_GOC!$A:$A,"BOM",DATA_GOC!$D:$D,$B13,DATA_GOC!$G:$G,"Dầu thủy lực",DATA_GOC!$B:$B,"&gt;="&amp;DATE($D$2,$B$2,1),DATA_GOC!$B:$B,"&lt;"&amp;EDATE(DATE($D$2,$B$2,1),1))+SUMIFS(DATA_GOC!$H:$H,DATA_GOC!$A:$A,"BOM",DATA_GOC!$D:$D,$B13,DATA_GOC!$E:$E,"Dầu thủy lực",DATA_GOC!$G:$G,"&lt;&gt;Dầu thủy lực",DATA_GOC!$B:$B,"&gt;="&amp;DATE($D$2,$B$2,1),DATA_GOC!$B:$B,"&lt;"&amp;EDATE(DATE($D$2,$B$2,1),1))</f>
        <v>0</v>
      </c>
      <c r="K13" s="222">
        <f>SUMIFS(DATA_GOC!$H:$H,DATA_GOC!$A:$A,"BOM",DATA_GOC!$D:$D,$B13,DATA_GOC!$G:$G,"Dầu cầu",DATA_GOC!$B:$B,"&gt;="&amp;DATE($D$2,$B$2,1),DATA_GOC!$B:$B,"&lt;"&amp;EDATE(DATE($D$2,$B$2,1),1))+SUMIFS(DATA_GOC!$H:$H,DATA_GOC!$A:$A,"BOM",DATA_GOC!$D:$D,$B13,DATA_GOC!$E:$E,"Dầu cầu",DATA_GOC!$G:$G,"&lt;&gt;Dầu cầu",DATA_GOC!$B:$B,"&gt;="&amp;DATE($D$2,$B$2,1),DATA_GOC!$B:$B,"&lt;"&amp;EDATE(DATE($D$2,$B$2,1),1))</f>
        <v>0</v>
      </c>
      <c r="L13" s="222">
        <f>SUMIFS(DATA_GOC!$H:$H,DATA_GOC!$A:$A,"BOM",DATA_GOC!$D:$D,$B13,DATA_GOC!$G:$G,"Dầu số",DATA_GOC!$B:$B,"&gt;="&amp;DATE($D$2,$B$2,1),DATA_GOC!$B:$B,"&lt;"&amp;EDATE(DATE($D$2,$B$2,1),1))+SUMIFS(DATA_GOC!$H:$H,DATA_GOC!$A:$A,"BOM",DATA_GOC!$D:$D,$B13,DATA_GOC!$E:$E,"Dầu số",DATA_GOC!$G:$G,"&lt;&gt;Dầu số",DATA_GOC!$B:$B,"&gt;="&amp;DATE($D$2,$B$2,1),DATA_GOC!$B:$B,"&lt;"&amp;EDATE(DATE($D$2,$B$2,1),1))</f>
        <v>0</v>
      </c>
      <c r="M13" s="263">
        <f t="shared" si="3"/>
        <v>0</v>
      </c>
      <c r="N13" s="222">
        <f>SUMIFS(DATA_GOC!$K:$K,DATA_GOC!$A:$A,"BOM",DATA_GOC!$D:$D,$B13,DATA_GOC!$G:$G,"DO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13" s="222" t="str">
        <f t="shared" si="4"/>
        <v/>
      </c>
      <c r="P13" s="221"/>
    </row>
    <row r="14">
      <c r="A14" s="222">
        <f t="shared" si="1"/>
        <v>10</v>
      </c>
      <c r="B14" s="221" t="str">
        <f t="array" ref="B14">IFERROR(INDEX(DANH_MUC!$E:$E,ROW()-1),"")</f>
        <v>28C01743</v>
      </c>
      <c r="C14" s="222">
        <f>IF($B14="","",
  IFERROR(SUMIFS(DATA_GOC!$H:$H,
    DATA_GOC!$A:$A,"BOM",
    DATA_GOC!$D:$D,$B14,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TINH_TEC!$H:$H,$B14,
    TINH_TEC!$F:$F,$B$2,
    TINH_TEC!$G:$G,$D$2
  ),0)
  -
  IFERROR(SUMIFS(TINH_TEC!$K:$K,
    TINH_TEC!$B:$B,"Đã chốt",
    TINH_TEC!$C:$C,C$4,
    TINH_TEC!$H:$H,$B14,
    TINH_TEC!$F:$F,$B$2,
    TINH_TEC!$G:$G,$D$2
  ),0)
)</f>
        <v>0</v>
      </c>
      <c r="D14" s="222">
        <f>IF($B14="","",
  IFERROR(SUMIFS(DATA_GOC!$H:$H,
    DATA_GOC!$A:$A,"BOM",
    DATA_GOC!$D:$D,$B14,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TINH_TEC!$H:$H,$B14,
    TINH_TEC!$F:$F,$B$2,
    TINH_TEC!$G:$G,$D$2
  ),0)
  -
  IFERROR(SUMIFS(TINH_TEC!$K:$K,
    TINH_TEC!$B:$B,"Đã chốt",
    TINH_TEC!$C:$C,D$4,
    TINH_TEC!$H:$H,$B14,
    TINH_TEC!$F:$F,$B$2,
    TINH_TEC!$G:$G,$D$2
  ),0)
)</f>
        <v>5.475</v>
      </c>
      <c r="E14" s="222">
        <f>IF($B14="","",
  IFERROR(SUMIFS(DATA_GOC!$H:$H,
    DATA_GOC!$A:$A,"BOM",
    DATA_GOC!$D:$D,$B14,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TINH_TEC!$H:$H,$B14,
    TINH_TEC!$F:$F,$B$2,
    TINH_TEC!$G:$G,$D$2
  ),0)
  -
  IFERROR(SUMIFS(TINH_TEC!$K:$K,
    TINH_TEC!$B:$B,"Đã chốt",
    TINH_TEC!$C:$C,E$4,
    TINH_TEC!$H:$H,$B14,
    TINH_TEC!$F:$F,$B$2,
    TINH_TEC!$G:$G,$D$2
  ),0)
)</f>
        <v>0</v>
      </c>
      <c r="F14" s="222">
        <f>SUMIFS(DATA_GOC!$H:$H,DATA_GOC!$A:$A,"BOM",DATA_GOC!$D:$D,$B14,DATA_GOC!$F:$F,"Xuất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4" s="222">
        <f>SUMIFS(DATA_GOC!$H:$H,DATA_GOC!$A:$A,"BOM",DATA_GOC!$D:$D,$B14,DATA_GOC!$F:$F,"Bơm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4" s="263">
        <f t="shared" si="2"/>
        <v>5.475</v>
      </c>
      <c r="I14" s="222">
        <f>SUMIFS(DATA_GOC!$H:$H,DATA_GOC!$A:$A,"BOM",DATA_GOC!$D:$D,$B14,DATA_GOC!$G:$G,"Dầu động cơ",DATA_GOC!$B:$B,"&gt;="&amp;DATE($D$2,$B$2,1),DATA_GOC!$B:$B,"&lt;"&amp;EDATE(DATE($D$2,$B$2,1),1))+SUMIFS(DATA_GOC!$H:$H,DATA_GOC!$A:$A,"BOM",DATA_GOC!$D:$D,$B14,DATA_GOC!$E:$E,"Dầu động cơ",DATA_GOC!$G:$G,"&lt;&gt;Dầu động cơ",DATA_GOC!$B:$B,"&gt;="&amp;DATE($D$2,$B$2,1),DATA_GOC!$B:$B,"&lt;"&amp;EDATE(DATE($D$2,$B$2,1),1))</f>
        <v>0</v>
      </c>
      <c r="J14" s="222">
        <f>SUMIFS(DATA_GOC!$H:$H,DATA_GOC!$A:$A,"BOM",DATA_GOC!$D:$D,$B14,DATA_GOC!$G:$G,"Dầu thủy lực",DATA_GOC!$B:$B,"&gt;="&amp;DATE($D$2,$B$2,1),DATA_GOC!$B:$B,"&lt;"&amp;EDATE(DATE($D$2,$B$2,1),1))+SUMIFS(DATA_GOC!$H:$H,DATA_GOC!$A:$A,"BOM",DATA_GOC!$D:$D,$B14,DATA_GOC!$E:$E,"Dầu thủy lực",DATA_GOC!$G:$G,"&lt;&gt;Dầu thủy lực",DATA_GOC!$B:$B,"&gt;="&amp;DATE($D$2,$B$2,1),DATA_GOC!$B:$B,"&lt;"&amp;EDATE(DATE($D$2,$B$2,1),1))</f>
        <v>0</v>
      </c>
      <c r="K14" s="222">
        <f>SUMIFS(DATA_GOC!$H:$H,DATA_GOC!$A:$A,"BOM",DATA_GOC!$D:$D,$B14,DATA_GOC!$G:$G,"Dầu cầu",DATA_GOC!$B:$B,"&gt;="&amp;DATE($D$2,$B$2,1),DATA_GOC!$B:$B,"&lt;"&amp;EDATE(DATE($D$2,$B$2,1),1))+SUMIFS(DATA_GOC!$H:$H,DATA_GOC!$A:$A,"BOM",DATA_GOC!$D:$D,$B14,DATA_GOC!$E:$E,"Dầu cầu",DATA_GOC!$G:$G,"&lt;&gt;Dầu cầu",DATA_GOC!$B:$B,"&gt;="&amp;DATE($D$2,$B$2,1),DATA_GOC!$B:$B,"&lt;"&amp;EDATE(DATE($D$2,$B$2,1),1))</f>
        <v>0</v>
      </c>
      <c r="L14" s="222">
        <f>SUMIFS(DATA_GOC!$H:$H,DATA_GOC!$A:$A,"BOM",DATA_GOC!$D:$D,$B14,DATA_GOC!$G:$G,"Dầu số",DATA_GOC!$B:$B,"&gt;="&amp;DATE($D$2,$B$2,1),DATA_GOC!$B:$B,"&lt;"&amp;EDATE(DATE($D$2,$B$2,1),1))+SUMIFS(DATA_GOC!$H:$H,DATA_GOC!$A:$A,"BOM",DATA_GOC!$D:$D,$B14,DATA_GOC!$E:$E,"Dầu số",DATA_GOC!$G:$G,"&lt;&gt;Dầu số",DATA_GOC!$B:$B,"&gt;="&amp;DATE($D$2,$B$2,1),DATA_GOC!$B:$B,"&lt;"&amp;EDATE(DATE($D$2,$B$2,1),1))</f>
        <v>0</v>
      </c>
      <c r="M14" s="263">
        <f t="shared" si="3"/>
        <v>0</v>
      </c>
      <c r="N14" s="222">
        <f>SUMIFS(DATA_GOC!$K:$K,DATA_GOC!$A:$A,"BOM",DATA_GOC!$D:$D,$B14,DATA_GOC!$G:$G,"DO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14" s="222" t="str">
        <f t="shared" si="4"/>
        <v/>
      </c>
      <c r="P14" s="221"/>
    </row>
    <row r="15">
      <c r="A15" s="222">
        <f t="shared" si="1"/>
        <v>11</v>
      </c>
      <c r="B15" s="221" t="str">
        <f t="array" ref="B15">IFERROR(INDEX(DANH_MUC!$E:$E,ROW()-1),"")</f>
        <v>28C02106</v>
      </c>
      <c r="C15" s="222">
        <f>IF($B15="","",
  IFERROR(SUMIFS(DATA_GOC!$H:$H,
    DATA_GOC!$A:$A,"BOM",
    DATA_GOC!$D:$D,$B15,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TINH_TEC!$H:$H,$B15,
    TINH_TEC!$F:$F,$B$2,
    TINH_TEC!$G:$G,$D$2
  ),0)
  -
  IFERROR(SUMIFS(TINH_TEC!$K:$K,
    TINH_TEC!$B:$B,"Đã chốt",
    TINH_TEC!$C:$C,C$4,
    TINH_TEC!$H:$H,$B15,
    TINH_TEC!$F:$F,$B$2,
    TINH_TEC!$G:$G,$D$2
  ),0)
)</f>
        <v>0</v>
      </c>
      <c r="D15" s="222">
        <f>IF($B15="","",
  IFERROR(SUMIFS(DATA_GOC!$H:$H,
    DATA_GOC!$A:$A,"BOM",
    DATA_GOC!$D:$D,$B15,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TINH_TEC!$H:$H,$B15,
    TINH_TEC!$F:$F,$B$2,
    TINH_TEC!$G:$G,$D$2
  ),0)
  -
  IFERROR(SUMIFS(TINH_TEC!$K:$K,
    TINH_TEC!$B:$B,"Đã chốt",
    TINH_TEC!$C:$C,D$4,
    TINH_TEC!$H:$H,$B15,
    TINH_TEC!$F:$F,$B$2,
    TINH_TEC!$G:$G,$D$2
  ),0)
)</f>
        <v>0</v>
      </c>
      <c r="E15" s="222">
        <f>IF($B15="","",
  IFERROR(SUMIFS(DATA_GOC!$H:$H,
    DATA_GOC!$A:$A,"BOM",
    DATA_GOC!$D:$D,$B15,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TINH_TEC!$H:$H,$B15,
    TINH_TEC!$F:$F,$B$2,
    TINH_TEC!$G:$G,$D$2
  ),0)
  -
  IFERROR(SUMIFS(TINH_TEC!$K:$K,
    TINH_TEC!$B:$B,"Đã chốt",
    TINH_TEC!$C:$C,E$4,
    TINH_TEC!$H:$H,$B15,
    TINH_TEC!$F:$F,$B$2,
    TINH_TEC!$G:$G,$D$2
  ),0)
)</f>
        <v>0</v>
      </c>
      <c r="F15" s="222">
        <f>SUMIFS(DATA_GOC!$H:$H,DATA_GOC!$A:$A,"BOM",DATA_GOC!$D:$D,$B15,DATA_GOC!$F:$F,"Xuất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5" s="222">
        <f>SUMIFS(DATA_GOC!$H:$H,DATA_GOC!$A:$A,"BOM",DATA_GOC!$D:$D,$B15,DATA_GOC!$F:$F,"Bơm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5" s="263">
        <f t="shared" si="2"/>
        <v>0</v>
      </c>
      <c r="I15" s="222">
        <f>SUMIFS(DATA_GOC!$H:$H,DATA_GOC!$A:$A,"BOM",DATA_GOC!$D:$D,$B15,DATA_GOC!$G:$G,"Dầu động cơ",DATA_GOC!$B:$B,"&gt;="&amp;DATE($D$2,$B$2,1),DATA_GOC!$B:$B,"&lt;"&amp;EDATE(DATE($D$2,$B$2,1),1))+SUMIFS(DATA_GOC!$H:$H,DATA_GOC!$A:$A,"BOM",DATA_GOC!$D:$D,$B15,DATA_GOC!$E:$E,"Dầu động cơ",DATA_GOC!$G:$G,"&lt;&gt;Dầu động cơ",DATA_GOC!$B:$B,"&gt;="&amp;DATE($D$2,$B$2,1),DATA_GOC!$B:$B,"&lt;"&amp;EDATE(DATE($D$2,$B$2,1),1))</f>
        <v>0</v>
      </c>
      <c r="J15" s="222">
        <f>SUMIFS(DATA_GOC!$H:$H,DATA_GOC!$A:$A,"BOM",DATA_GOC!$D:$D,$B15,DATA_GOC!$G:$G,"Dầu thủy lực",DATA_GOC!$B:$B,"&gt;="&amp;DATE($D$2,$B$2,1),DATA_GOC!$B:$B,"&lt;"&amp;EDATE(DATE($D$2,$B$2,1),1))+SUMIFS(DATA_GOC!$H:$H,DATA_GOC!$A:$A,"BOM",DATA_GOC!$D:$D,$B15,DATA_GOC!$E:$E,"Dầu thủy lực",DATA_GOC!$G:$G,"&lt;&gt;Dầu thủy lực",DATA_GOC!$B:$B,"&gt;="&amp;DATE($D$2,$B$2,1),DATA_GOC!$B:$B,"&lt;"&amp;EDATE(DATE($D$2,$B$2,1),1))</f>
        <v>0</v>
      </c>
      <c r="K15" s="222">
        <f>SUMIFS(DATA_GOC!$H:$H,DATA_GOC!$A:$A,"BOM",DATA_GOC!$D:$D,$B15,DATA_GOC!$G:$G,"Dầu cầu",DATA_GOC!$B:$B,"&gt;="&amp;DATE($D$2,$B$2,1),DATA_GOC!$B:$B,"&lt;"&amp;EDATE(DATE($D$2,$B$2,1),1))+SUMIFS(DATA_GOC!$H:$H,DATA_GOC!$A:$A,"BOM",DATA_GOC!$D:$D,$B15,DATA_GOC!$E:$E,"Dầu cầu",DATA_GOC!$G:$G,"&lt;&gt;Dầu cầu",DATA_GOC!$B:$B,"&gt;="&amp;DATE($D$2,$B$2,1),DATA_GOC!$B:$B,"&lt;"&amp;EDATE(DATE($D$2,$B$2,1),1))</f>
        <v>0</v>
      </c>
      <c r="L15" s="222">
        <f>SUMIFS(DATA_GOC!$H:$H,DATA_GOC!$A:$A,"BOM",DATA_GOC!$D:$D,$B15,DATA_GOC!$G:$G,"Dầu số",DATA_GOC!$B:$B,"&gt;="&amp;DATE($D$2,$B$2,1),DATA_GOC!$B:$B,"&lt;"&amp;EDATE(DATE($D$2,$B$2,1),1))+SUMIFS(DATA_GOC!$H:$H,DATA_GOC!$A:$A,"BOM",DATA_GOC!$D:$D,$B15,DATA_GOC!$E:$E,"Dầu số",DATA_GOC!$G:$G,"&lt;&gt;Dầu số",DATA_GOC!$B:$B,"&gt;="&amp;DATE($D$2,$B$2,1),DATA_GOC!$B:$B,"&lt;"&amp;EDATE(DATE($D$2,$B$2,1),1))</f>
        <v>0</v>
      </c>
      <c r="M15" s="263">
        <f t="shared" si="3"/>
        <v>0</v>
      </c>
      <c r="N15" s="222">
        <f>SUMIFS(DATA_GOC!$K:$K,DATA_GOC!$A:$A,"BOM",DATA_GOC!$D:$D,$B15,DATA_GOC!$G:$G,"DO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15" s="222" t="str">
        <f t="shared" si="4"/>
        <v/>
      </c>
      <c r="P15" s="221"/>
    </row>
    <row r="16">
      <c r="A16" s="222">
        <f t="shared" si="1"/>
        <v>12</v>
      </c>
      <c r="B16" s="221" t="str">
        <f t="array" ref="B16">IFERROR(INDEX(DANH_MUC!$E:$E,ROW()-1),"")</f>
        <v>28C02410</v>
      </c>
      <c r="C16" s="222">
        <f>IF($B16="","",
  IFERROR(SUMIFS(DATA_GOC!$H:$H,
    DATA_GOC!$A:$A,"BOM",
    DATA_GOC!$D:$D,$B16,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TINH_TEC!$H:$H,$B16,
    TINH_TEC!$F:$F,$B$2,
    TINH_TEC!$G:$G,$D$2
  ),0)
  -
  IFERROR(SUMIFS(TINH_TEC!$K:$K,
    TINH_TEC!$B:$B,"Đã chốt",
    TINH_TEC!$C:$C,C$4,
    TINH_TEC!$H:$H,$B16,
    TINH_TEC!$F:$F,$B$2,
    TINH_TEC!$G:$G,$D$2
  ),0)
)</f>
        <v>0</v>
      </c>
      <c r="D16" s="222">
        <f>IF($B16="","",
  IFERROR(SUMIFS(DATA_GOC!$H:$H,
    DATA_GOC!$A:$A,"BOM",
    DATA_GOC!$D:$D,$B16,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TINH_TEC!$H:$H,$B16,
    TINH_TEC!$F:$F,$B$2,
    TINH_TEC!$G:$G,$D$2
  ),0)
  -
  IFERROR(SUMIFS(TINH_TEC!$K:$K,
    TINH_TEC!$B:$B,"Đã chốt",
    TINH_TEC!$C:$C,D$4,
    TINH_TEC!$H:$H,$B16,
    TINH_TEC!$F:$F,$B$2,
    TINH_TEC!$G:$G,$D$2
  ),0)
)</f>
        <v>8.154</v>
      </c>
      <c r="E16" s="222">
        <f>IF($B16="","",
  IFERROR(SUMIFS(DATA_GOC!$H:$H,
    DATA_GOC!$A:$A,"BOM",
    DATA_GOC!$D:$D,$B16,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TINH_TEC!$H:$H,$B16,
    TINH_TEC!$F:$F,$B$2,
    TINH_TEC!$G:$G,$D$2
  ),0)
  -
  IFERROR(SUMIFS(TINH_TEC!$K:$K,
    TINH_TEC!$B:$B,"Đã chốt",
    TINH_TEC!$C:$C,E$4,
    TINH_TEC!$H:$H,$B16,
    TINH_TEC!$F:$F,$B$2,
    TINH_TEC!$G:$G,$D$2
  ),0)
)</f>
        <v>0</v>
      </c>
      <c r="F16" s="222">
        <f>SUMIFS(DATA_GOC!$H:$H,DATA_GOC!$A:$A,"BOM",DATA_GOC!$D:$D,$B16,DATA_GOC!$F:$F,"Xuất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6" s="222">
        <f>SUMIFS(DATA_GOC!$H:$H,DATA_GOC!$A:$A,"BOM",DATA_GOC!$D:$D,$B16,DATA_GOC!$F:$F,"Bơm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6" s="263">
        <f t="shared" si="2"/>
        <v>8.154</v>
      </c>
      <c r="I16" s="222">
        <f>SUMIFS(DATA_GOC!$H:$H,DATA_GOC!$A:$A,"BOM",DATA_GOC!$D:$D,$B16,DATA_GOC!$G:$G,"Dầu động cơ",DATA_GOC!$B:$B,"&gt;="&amp;DATE($D$2,$B$2,1),DATA_GOC!$B:$B,"&lt;"&amp;EDATE(DATE($D$2,$B$2,1),1))+SUMIFS(DATA_GOC!$H:$H,DATA_GOC!$A:$A,"BOM",DATA_GOC!$D:$D,$B16,DATA_GOC!$E:$E,"Dầu động cơ",DATA_GOC!$G:$G,"&lt;&gt;Dầu động cơ",DATA_GOC!$B:$B,"&gt;="&amp;DATE($D$2,$B$2,1),DATA_GOC!$B:$B,"&lt;"&amp;EDATE(DATE($D$2,$B$2,1),1))</f>
        <v>0</v>
      </c>
      <c r="J16" s="222">
        <f>SUMIFS(DATA_GOC!$H:$H,DATA_GOC!$A:$A,"BOM",DATA_GOC!$D:$D,$B16,DATA_GOC!$G:$G,"Dầu thủy lực",DATA_GOC!$B:$B,"&gt;="&amp;DATE($D$2,$B$2,1),DATA_GOC!$B:$B,"&lt;"&amp;EDATE(DATE($D$2,$B$2,1),1))+SUMIFS(DATA_GOC!$H:$H,DATA_GOC!$A:$A,"BOM",DATA_GOC!$D:$D,$B16,DATA_GOC!$E:$E,"Dầu thủy lực",DATA_GOC!$G:$G,"&lt;&gt;Dầu thủy lực",DATA_GOC!$B:$B,"&gt;="&amp;DATE($D$2,$B$2,1),DATA_GOC!$B:$B,"&lt;"&amp;EDATE(DATE($D$2,$B$2,1),1))</f>
        <v>0</v>
      </c>
      <c r="K16" s="222">
        <f>SUMIFS(DATA_GOC!$H:$H,DATA_GOC!$A:$A,"BOM",DATA_GOC!$D:$D,$B16,DATA_GOC!$G:$G,"Dầu cầu",DATA_GOC!$B:$B,"&gt;="&amp;DATE($D$2,$B$2,1),DATA_GOC!$B:$B,"&lt;"&amp;EDATE(DATE($D$2,$B$2,1),1))+SUMIFS(DATA_GOC!$H:$H,DATA_GOC!$A:$A,"BOM",DATA_GOC!$D:$D,$B16,DATA_GOC!$E:$E,"Dầu cầu",DATA_GOC!$G:$G,"&lt;&gt;Dầu cầu",DATA_GOC!$B:$B,"&gt;="&amp;DATE($D$2,$B$2,1),DATA_GOC!$B:$B,"&lt;"&amp;EDATE(DATE($D$2,$B$2,1),1))</f>
        <v>0</v>
      </c>
      <c r="L16" s="222">
        <f>SUMIFS(DATA_GOC!$H:$H,DATA_GOC!$A:$A,"BOM",DATA_GOC!$D:$D,$B16,DATA_GOC!$G:$G,"Dầu số",DATA_GOC!$B:$B,"&gt;="&amp;DATE($D$2,$B$2,1),DATA_GOC!$B:$B,"&lt;"&amp;EDATE(DATE($D$2,$B$2,1),1))+SUMIFS(DATA_GOC!$H:$H,DATA_GOC!$A:$A,"BOM",DATA_GOC!$D:$D,$B16,DATA_GOC!$E:$E,"Dầu số",DATA_GOC!$G:$G,"&lt;&gt;Dầu số",DATA_GOC!$B:$B,"&gt;="&amp;DATE($D$2,$B$2,1),DATA_GOC!$B:$B,"&lt;"&amp;EDATE(DATE($D$2,$B$2,1),1))</f>
        <v>0</v>
      </c>
      <c r="M16" s="263">
        <f t="shared" si="3"/>
        <v>0</v>
      </c>
      <c r="N16" s="222">
        <f>SUMIFS(DATA_GOC!$K:$K,DATA_GOC!$A:$A,"BOM",DATA_GOC!$D:$D,$B16,DATA_GOC!$G:$G,"DO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16" s="222" t="str">
        <f t="shared" si="4"/>
        <v/>
      </c>
      <c r="P16" s="221"/>
    </row>
    <row r="17">
      <c r="A17" s="222">
        <f t="shared" si="1"/>
        <v>13</v>
      </c>
      <c r="B17" s="221" t="str">
        <f t="array" ref="B17">IFERROR(INDEX(DANH_MUC!$E:$E,ROW()-1),"")</f>
        <v>28C02545</v>
      </c>
      <c r="C17" s="222">
        <f>IF($B17="","",
  IFERROR(SUMIFS(DATA_GOC!$H:$H,
    DATA_GOC!$A:$A,"BOM",
    DATA_GOC!$D:$D,$B17,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TINH_TEC!$H:$H,$B17,
    TINH_TEC!$F:$F,$B$2,
    TINH_TEC!$G:$G,$D$2
  ),0)
  -
  IFERROR(SUMIFS(TINH_TEC!$K:$K,
    TINH_TEC!$B:$B,"Đã chốt",
    TINH_TEC!$C:$C,C$4,
    TINH_TEC!$H:$H,$B17,
    TINH_TEC!$F:$F,$B$2,
    TINH_TEC!$G:$G,$D$2
  ),0)
)</f>
        <v>0</v>
      </c>
      <c r="D17" s="222">
        <f>IF($B17="","",
  IFERROR(SUMIFS(DATA_GOC!$H:$H,
    DATA_GOC!$A:$A,"BOM",
    DATA_GOC!$D:$D,$B17,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TINH_TEC!$H:$H,$B17,
    TINH_TEC!$F:$F,$B$2,
    TINH_TEC!$G:$G,$D$2
  ),0)
  -
  IFERROR(SUMIFS(TINH_TEC!$K:$K,
    TINH_TEC!$B:$B,"Đã chốt",
    TINH_TEC!$C:$C,D$4,
    TINH_TEC!$H:$H,$B17,
    TINH_TEC!$F:$F,$B$2,
    TINH_TEC!$G:$G,$D$2
  ),0)
)</f>
        <v>172.842</v>
      </c>
      <c r="E17" s="222">
        <f>IF($B17="","",
  IFERROR(SUMIFS(DATA_GOC!$H:$H,
    DATA_GOC!$A:$A,"BOM",
    DATA_GOC!$D:$D,$B17,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TINH_TEC!$H:$H,$B17,
    TINH_TEC!$F:$F,$B$2,
    TINH_TEC!$G:$G,$D$2
  ),0)
  -
  IFERROR(SUMIFS(TINH_TEC!$K:$K,
    TINH_TEC!$B:$B,"Đã chốt",
    TINH_TEC!$C:$C,E$4,
    TINH_TEC!$H:$H,$B17,
    TINH_TEC!$F:$F,$B$2,
    TINH_TEC!$G:$G,$D$2
  ),0)
)</f>
        <v>0</v>
      </c>
      <c r="F17" s="222">
        <f>SUMIFS(DATA_GOC!$H:$H,DATA_GOC!$A:$A,"BOM",DATA_GOC!$D:$D,$B17,DATA_GOC!$F:$F,"Xuất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7" s="222">
        <f>SUMIFS(DATA_GOC!$H:$H,DATA_GOC!$A:$A,"BOM",DATA_GOC!$D:$D,$B17,DATA_GOC!$F:$F,"Bơm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7" s="263">
        <f t="shared" si="2"/>
        <v>172.842</v>
      </c>
      <c r="I17" s="222">
        <f>SUMIFS(DATA_GOC!$H:$H,DATA_GOC!$A:$A,"BOM",DATA_GOC!$D:$D,$B17,DATA_GOC!$G:$G,"Dầu động cơ",DATA_GOC!$B:$B,"&gt;="&amp;DATE($D$2,$B$2,1),DATA_GOC!$B:$B,"&lt;"&amp;EDATE(DATE($D$2,$B$2,1),1))+SUMIFS(DATA_GOC!$H:$H,DATA_GOC!$A:$A,"BOM",DATA_GOC!$D:$D,$B17,DATA_GOC!$E:$E,"Dầu động cơ",DATA_GOC!$G:$G,"&lt;&gt;Dầu động cơ",DATA_GOC!$B:$B,"&gt;="&amp;DATE($D$2,$B$2,1),DATA_GOC!$B:$B,"&lt;"&amp;EDATE(DATE($D$2,$B$2,1),1))</f>
        <v>0</v>
      </c>
      <c r="J17" s="222">
        <f>SUMIFS(DATA_GOC!$H:$H,DATA_GOC!$A:$A,"BOM",DATA_GOC!$D:$D,$B17,DATA_GOC!$G:$G,"Dầu thủy lực",DATA_GOC!$B:$B,"&gt;="&amp;DATE($D$2,$B$2,1),DATA_GOC!$B:$B,"&lt;"&amp;EDATE(DATE($D$2,$B$2,1),1))+SUMIFS(DATA_GOC!$H:$H,DATA_GOC!$A:$A,"BOM",DATA_GOC!$D:$D,$B17,DATA_GOC!$E:$E,"Dầu thủy lực",DATA_GOC!$G:$G,"&lt;&gt;Dầu thủy lực",DATA_GOC!$B:$B,"&gt;="&amp;DATE($D$2,$B$2,1),DATA_GOC!$B:$B,"&lt;"&amp;EDATE(DATE($D$2,$B$2,1),1))</f>
        <v>0</v>
      </c>
      <c r="K17" s="222">
        <f>SUMIFS(DATA_GOC!$H:$H,DATA_GOC!$A:$A,"BOM",DATA_GOC!$D:$D,$B17,DATA_GOC!$G:$G,"Dầu cầu",DATA_GOC!$B:$B,"&gt;="&amp;DATE($D$2,$B$2,1),DATA_GOC!$B:$B,"&lt;"&amp;EDATE(DATE($D$2,$B$2,1),1))+SUMIFS(DATA_GOC!$H:$H,DATA_GOC!$A:$A,"BOM",DATA_GOC!$D:$D,$B17,DATA_GOC!$E:$E,"Dầu cầu",DATA_GOC!$G:$G,"&lt;&gt;Dầu cầu",DATA_GOC!$B:$B,"&gt;="&amp;DATE($D$2,$B$2,1),DATA_GOC!$B:$B,"&lt;"&amp;EDATE(DATE($D$2,$B$2,1),1))</f>
        <v>0</v>
      </c>
      <c r="L17" s="222">
        <f>SUMIFS(DATA_GOC!$H:$H,DATA_GOC!$A:$A,"BOM",DATA_GOC!$D:$D,$B17,DATA_GOC!$G:$G,"Dầu số",DATA_GOC!$B:$B,"&gt;="&amp;DATE($D$2,$B$2,1),DATA_GOC!$B:$B,"&lt;"&amp;EDATE(DATE($D$2,$B$2,1),1))+SUMIFS(DATA_GOC!$H:$H,DATA_GOC!$A:$A,"BOM",DATA_GOC!$D:$D,$B17,DATA_GOC!$E:$E,"Dầu số",DATA_GOC!$G:$G,"&lt;&gt;Dầu số",DATA_GOC!$B:$B,"&gt;="&amp;DATE($D$2,$B$2,1),DATA_GOC!$B:$B,"&lt;"&amp;EDATE(DATE($D$2,$B$2,1),1))</f>
        <v>0</v>
      </c>
      <c r="M17" s="263">
        <f t="shared" si="3"/>
        <v>0</v>
      </c>
      <c r="N17" s="222">
        <f>SUMIFS(DATA_GOC!$K:$K,DATA_GOC!$A:$A,"BOM",DATA_GOC!$D:$D,$B17,DATA_GOC!$G:$G,"DO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17" s="222" t="str">
        <f t="shared" si="4"/>
        <v/>
      </c>
      <c r="P17" s="221"/>
    </row>
    <row r="18">
      <c r="A18" s="222">
        <f t="shared" si="1"/>
        <v>14</v>
      </c>
      <c r="B18" s="221" t="str">
        <f t="array" ref="B18">IFERROR(INDEX(DANH_MUC!$E:$E,ROW()-1),"")</f>
        <v>28C02574</v>
      </c>
      <c r="C18" s="222">
        <f>IF($B18="","",
  IFERROR(SUMIFS(DATA_GOC!$H:$H,
    DATA_GOC!$A:$A,"BOM",
    DATA_GOC!$D:$D,$B18,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TINH_TEC!$H:$H,$B18,
    TINH_TEC!$F:$F,$B$2,
    TINH_TEC!$G:$G,$D$2
  ),0)
  -
  IFERROR(SUMIFS(TINH_TEC!$K:$K,
    TINH_TEC!$B:$B,"Đã chốt",
    TINH_TEC!$C:$C,C$4,
    TINH_TEC!$H:$H,$B18,
    TINH_TEC!$F:$F,$B$2,
    TINH_TEC!$G:$G,$D$2
  ),0)
)</f>
        <v>0</v>
      </c>
      <c r="D18" s="222">
        <f>IF($B18="","",
  IFERROR(SUMIFS(DATA_GOC!$H:$H,
    DATA_GOC!$A:$A,"BOM",
    DATA_GOC!$D:$D,$B18,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TINH_TEC!$H:$H,$B18,
    TINH_TEC!$F:$F,$B$2,
    TINH_TEC!$G:$G,$D$2
  ),0)
  -
  IFERROR(SUMIFS(TINH_TEC!$K:$K,
    TINH_TEC!$B:$B,"Đã chốt",
    TINH_TEC!$C:$C,D$4,
    TINH_TEC!$H:$H,$B18,
    TINH_TEC!$F:$F,$B$2,
    TINH_TEC!$G:$G,$D$2
  ),0)
)</f>
        <v>220.658</v>
      </c>
      <c r="E18" s="222">
        <f>IF($B18="","",
  IFERROR(SUMIFS(DATA_GOC!$H:$H,
    DATA_GOC!$A:$A,"BOM",
    DATA_GOC!$D:$D,$B18,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TINH_TEC!$H:$H,$B18,
    TINH_TEC!$F:$F,$B$2,
    TINH_TEC!$G:$G,$D$2
  ),0)
  -
  IFERROR(SUMIFS(TINH_TEC!$K:$K,
    TINH_TEC!$B:$B,"Đã chốt",
    TINH_TEC!$C:$C,E$4,
    TINH_TEC!$H:$H,$B18,
    TINH_TEC!$F:$F,$B$2,
    TINH_TEC!$G:$G,$D$2
  ),0)
)</f>
        <v>0</v>
      </c>
      <c r="F18" s="222">
        <f>SUMIFS(DATA_GOC!$H:$H,DATA_GOC!$A:$A,"BOM",DATA_GOC!$D:$D,$B18,DATA_GOC!$F:$F,"Xuất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8" s="222">
        <f>SUMIFS(DATA_GOC!$H:$H,DATA_GOC!$A:$A,"BOM",DATA_GOC!$D:$D,$B18,DATA_GOC!$F:$F,"Bơm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8" s="263">
        <f t="shared" si="2"/>
        <v>220.658</v>
      </c>
      <c r="I18" s="222">
        <f>SUMIFS(DATA_GOC!$H:$H,DATA_GOC!$A:$A,"BOM",DATA_GOC!$D:$D,$B18,DATA_GOC!$G:$G,"Dầu động cơ",DATA_GOC!$B:$B,"&gt;="&amp;DATE($D$2,$B$2,1),DATA_GOC!$B:$B,"&lt;"&amp;EDATE(DATE($D$2,$B$2,1),1))+SUMIFS(DATA_GOC!$H:$H,DATA_GOC!$A:$A,"BOM",DATA_GOC!$D:$D,$B18,DATA_GOC!$E:$E,"Dầu động cơ",DATA_GOC!$G:$G,"&lt;&gt;Dầu động cơ",DATA_GOC!$B:$B,"&gt;="&amp;DATE($D$2,$B$2,1),DATA_GOC!$B:$B,"&lt;"&amp;EDATE(DATE($D$2,$B$2,1),1))</f>
        <v>0</v>
      </c>
      <c r="J18" s="222">
        <f>SUMIFS(DATA_GOC!$H:$H,DATA_GOC!$A:$A,"BOM",DATA_GOC!$D:$D,$B18,DATA_GOC!$G:$G,"Dầu thủy lực",DATA_GOC!$B:$B,"&gt;="&amp;DATE($D$2,$B$2,1),DATA_GOC!$B:$B,"&lt;"&amp;EDATE(DATE($D$2,$B$2,1),1))+SUMIFS(DATA_GOC!$H:$H,DATA_GOC!$A:$A,"BOM",DATA_GOC!$D:$D,$B18,DATA_GOC!$E:$E,"Dầu thủy lực",DATA_GOC!$G:$G,"&lt;&gt;Dầu thủy lực",DATA_GOC!$B:$B,"&gt;="&amp;DATE($D$2,$B$2,1),DATA_GOC!$B:$B,"&lt;"&amp;EDATE(DATE($D$2,$B$2,1),1))</f>
        <v>0</v>
      </c>
      <c r="K18" s="222">
        <f>SUMIFS(DATA_GOC!$H:$H,DATA_GOC!$A:$A,"BOM",DATA_GOC!$D:$D,$B18,DATA_GOC!$G:$G,"Dầu cầu",DATA_GOC!$B:$B,"&gt;="&amp;DATE($D$2,$B$2,1),DATA_GOC!$B:$B,"&lt;"&amp;EDATE(DATE($D$2,$B$2,1),1))+SUMIFS(DATA_GOC!$H:$H,DATA_GOC!$A:$A,"BOM",DATA_GOC!$D:$D,$B18,DATA_GOC!$E:$E,"Dầu cầu",DATA_GOC!$G:$G,"&lt;&gt;Dầu cầu",DATA_GOC!$B:$B,"&gt;="&amp;DATE($D$2,$B$2,1),DATA_GOC!$B:$B,"&lt;"&amp;EDATE(DATE($D$2,$B$2,1),1))</f>
        <v>0</v>
      </c>
      <c r="L18" s="222">
        <f>SUMIFS(DATA_GOC!$H:$H,DATA_GOC!$A:$A,"BOM",DATA_GOC!$D:$D,$B18,DATA_GOC!$G:$G,"Dầu số",DATA_GOC!$B:$B,"&gt;="&amp;DATE($D$2,$B$2,1),DATA_GOC!$B:$B,"&lt;"&amp;EDATE(DATE($D$2,$B$2,1),1))+SUMIFS(DATA_GOC!$H:$H,DATA_GOC!$A:$A,"BOM",DATA_GOC!$D:$D,$B18,DATA_GOC!$E:$E,"Dầu số",DATA_GOC!$G:$G,"&lt;&gt;Dầu số",DATA_GOC!$B:$B,"&gt;="&amp;DATE($D$2,$B$2,1),DATA_GOC!$B:$B,"&lt;"&amp;EDATE(DATE($D$2,$B$2,1),1))</f>
        <v>0</v>
      </c>
      <c r="M18" s="263">
        <f t="shared" si="3"/>
        <v>0</v>
      </c>
      <c r="N18" s="222">
        <f>SUMIFS(DATA_GOC!$K:$K,DATA_GOC!$A:$A,"BOM",DATA_GOC!$D:$D,$B18,DATA_GOC!$G:$G,"DO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383</v>
      </c>
      <c r="O18" s="222">
        <f t="shared" si="4"/>
        <v>57.61305483</v>
      </c>
      <c r="P18" s="221"/>
    </row>
    <row r="19">
      <c r="A19" s="222">
        <f t="shared" si="1"/>
        <v>15</v>
      </c>
      <c r="B19" s="221" t="str">
        <f t="array" ref="B19">IFERROR(INDEX(DANH_MUC!$E:$E,ROW()-1),"")</f>
        <v>28C02770</v>
      </c>
      <c r="C19" s="222">
        <f>IF($B19="","",
  IFERROR(SUMIFS(DATA_GOC!$H:$H,
    DATA_GOC!$A:$A,"BOM",
    DATA_GOC!$D:$D,$B19,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TINH_TEC!$H:$H,$B19,
    TINH_TEC!$F:$F,$B$2,
    TINH_TEC!$G:$G,$D$2
  ),0)
  -
  IFERROR(SUMIFS(TINH_TEC!$K:$K,
    TINH_TEC!$B:$B,"Đã chốt",
    TINH_TEC!$C:$C,C$4,
    TINH_TEC!$H:$H,$B19,
    TINH_TEC!$F:$F,$B$2,
    TINH_TEC!$G:$G,$D$2
  ),0)
)</f>
        <v>0</v>
      </c>
      <c r="D19" s="222">
        <f>IF($B19="","",
  IFERROR(SUMIFS(DATA_GOC!$H:$H,
    DATA_GOC!$A:$A,"BOM",
    DATA_GOC!$D:$D,$B19,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TINH_TEC!$H:$H,$B19,
    TINH_TEC!$F:$F,$B$2,
    TINH_TEC!$G:$G,$D$2
  ),0)
  -
  IFERROR(SUMIFS(TINH_TEC!$K:$K,
    TINH_TEC!$B:$B,"Đã chốt",
    TINH_TEC!$C:$C,D$4,
    TINH_TEC!$H:$H,$B19,
    TINH_TEC!$F:$F,$B$2,
    TINH_TEC!$G:$G,$D$2
  ),0)
)</f>
        <v>47.176</v>
      </c>
      <c r="E19" s="222">
        <f>IF($B19="","",
  IFERROR(SUMIFS(DATA_GOC!$H:$H,
    DATA_GOC!$A:$A,"BOM",
    DATA_GOC!$D:$D,$B19,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TINH_TEC!$H:$H,$B19,
    TINH_TEC!$F:$F,$B$2,
    TINH_TEC!$G:$G,$D$2
  ),0)
  -
  IFERROR(SUMIFS(TINH_TEC!$K:$K,
    TINH_TEC!$B:$B,"Đã chốt",
    TINH_TEC!$C:$C,E$4,
    TINH_TEC!$H:$H,$B19,
    TINH_TEC!$F:$F,$B$2,
    TINH_TEC!$G:$G,$D$2
  ),0)
)</f>
        <v>0</v>
      </c>
      <c r="F19" s="222">
        <f>SUMIFS(DATA_GOC!$H:$H,DATA_GOC!$A:$A,"BOM",DATA_GOC!$D:$D,$B19,DATA_GOC!$F:$F,"Xuất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19" s="222">
        <f>SUMIFS(DATA_GOC!$H:$H,DATA_GOC!$A:$A,"BOM",DATA_GOC!$D:$D,$B19,DATA_GOC!$F:$F,"Bơm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19" s="263">
        <f t="shared" si="2"/>
        <v>47.176</v>
      </c>
      <c r="I19" s="222">
        <f>SUMIFS(DATA_GOC!$H:$H,DATA_GOC!$A:$A,"BOM",DATA_GOC!$D:$D,$B19,DATA_GOC!$G:$G,"Dầu động cơ",DATA_GOC!$B:$B,"&gt;="&amp;DATE($D$2,$B$2,1),DATA_GOC!$B:$B,"&lt;"&amp;EDATE(DATE($D$2,$B$2,1),1))+SUMIFS(DATA_GOC!$H:$H,DATA_GOC!$A:$A,"BOM",DATA_GOC!$D:$D,$B19,DATA_GOC!$E:$E,"Dầu động cơ",DATA_GOC!$G:$G,"&lt;&gt;Dầu động cơ",DATA_GOC!$B:$B,"&gt;="&amp;DATE($D$2,$B$2,1),DATA_GOC!$B:$B,"&lt;"&amp;EDATE(DATE($D$2,$B$2,1),1))</f>
        <v>0</v>
      </c>
      <c r="J19" s="222">
        <f>SUMIFS(DATA_GOC!$H:$H,DATA_GOC!$A:$A,"BOM",DATA_GOC!$D:$D,$B19,DATA_GOC!$G:$G,"Dầu thủy lực",DATA_GOC!$B:$B,"&gt;="&amp;DATE($D$2,$B$2,1),DATA_GOC!$B:$B,"&lt;"&amp;EDATE(DATE($D$2,$B$2,1),1))+SUMIFS(DATA_GOC!$H:$H,DATA_GOC!$A:$A,"BOM",DATA_GOC!$D:$D,$B19,DATA_GOC!$E:$E,"Dầu thủy lực",DATA_GOC!$G:$G,"&lt;&gt;Dầu thủy lực",DATA_GOC!$B:$B,"&gt;="&amp;DATE($D$2,$B$2,1),DATA_GOC!$B:$B,"&lt;"&amp;EDATE(DATE($D$2,$B$2,1),1))</f>
        <v>0</v>
      </c>
      <c r="K19" s="222">
        <f>SUMIFS(DATA_GOC!$H:$H,DATA_GOC!$A:$A,"BOM",DATA_GOC!$D:$D,$B19,DATA_GOC!$G:$G,"Dầu cầu",DATA_GOC!$B:$B,"&gt;="&amp;DATE($D$2,$B$2,1),DATA_GOC!$B:$B,"&lt;"&amp;EDATE(DATE($D$2,$B$2,1),1))+SUMIFS(DATA_GOC!$H:$H,DATA_GOC!$A:$A,"BOM",DATA_GOC!$D:$D,$B19,DATA_GOC!$E:$E,"Dầu cầu",DATA_GOC!$G:$G,"&lt;&gt;Dầu cầu",DATA_GOC!$B:$B,"&gt;="&amp;DATE($D$2,$B$2,1),DATA_GOC!$B:$B,"&lt;"&amp;EDATE(DATE($D$2,$B$2,1),1))</f>
        <v>0</v>
      </c>
      <c r="L19" s="222">
        <f>SUMIFS(DATA_GOC!$H:$H,DATA_GOC!$A:$A,"BOM",DATA_GOC!$D:$D,$B19,DATA_GOC!$G:$G,"Dầu số",DATA_GOC!$B:$B,"&gt;="&amp;DATE($D$2,$B$2,1),DATA_GOC!$B:$B,"&lt;"&amp;EDATE(DATE($D$2,$B$2,1),1))+SUMIFS(DATA_GOC!$H:$H,DATA_GOC!$A:$A,"BOM",DATA_GOC!$D:$D,$B19,DATA_GOC!$E:$E,"Dầu số",DATA_GOC!$G:$G,"&lt;&gt;Dầu số",DATA_GOC!$B:$B,"&gt;="&amp;DATE($D$2,$B$2,1),DATA_GOC!$B:$B,"&lt;"&amp;EDATE(DATE($D$2,$B$2,1),1))</f>
        <v>0</v>
      </c>
      <c r="M19" s="263">
        <f t="shared" si="3"/>
        <v>0</v>
      </c>
      <c r="N19" s="222">
        <f>SUMIFS(DATA_GOC!$K:$K,DATA_GOC!$A:$A,"BOM",DATA_GOC!$D:$D,$B19,DATA_GOC!$G:$G,"DO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19" s="222" t="str">
        <f t="shared" si="4"/>
        <v/>
      </c>
      <c r="P19" s="221"/>
    </row>
    <row r="20">
      <c r="A20" s="222">
        <f t="shared" si="1"/>
        <v>16</v>
      </c>
      <c r="B20" s="221" t="str">
        <f t="array" ref="B20">IFERROR(INDEX(DANH_MUC!$E:$E,ROW()-1),"")</f>
        <v>28C02986</v>
      </c>
      <c r="C20" s="222">
        <f>IF($B20="","",
  IFERROR(SUMIFS(DATA_GOC!$H:$H,
    DATA_GOC!$A:$A,"BOM",
    DATA_GOC!$D:$D,$B20,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TINH_TEC!$H:$H,$B20,
    TINH_TEC!$F:$F,$B$2,
    TINH_TEC!$G:$G,$D$2
  ),0)
  -
  IFERROR(SUMIFS(TINH_TEC!$K:$K,
    TINH_TEC!$B:$B,"Đã chốt",
    TINH_TEC!$C:$C,C$4,
    TINH_TEC!$H:$H,$B20,
    TINH_TEC!$F:$F,$B$2,
    TINH_TEC!$G:$G,$D$2
  ),0)
)</f>
        <v>0</v>
      </c>
      <c r="D20" s="222">
        <f>IF($B20="","",
  IFERROR(SUMIFS(DATA_GOC!$H:$H,
    DATA_GOC!$A:$A,"BOM",
    DATA_GOC!$D:$D,$B20,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TINH_TEC!$H:$H,$B20,
    TINH_TEC!$F:$F,$B$2,
    TINH_TEC!$G:$G,$D$2
  ),0)
  -
  IFERROR(SUMIFS(TINH_TEC!$K:$K,
    TINH_TEC!$B:$B,"Đã chốt",
    TINH_TEC!$C:$C,D$4,
    TINH_TEC!$H:$H,$B20,
    TINH_TEC!$F:$F,$B$2,
    TINH_TEC!$G:$G,$D$2
  ),0)
)</f>
        <v>123.12</v>
      </c>
      <c r="E20" s="222">
        <f>IF($B20="","",
  IFERROR(SUMIFS(DATA_GOC!$H:$H,
    DATA_GOC!$A:$A,"BOM",
    DATA_GOC!$D:$D,$B20,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TINH_TEC!$H:$H,$B20,
    TINH_TEC!$F:$F,$B$2,
    TINH_TEC!$G:$G,$D$2
  ),0)
  -
  IFERROR(SUMIFS(TINH_TEC!$K:$K,
    TINH_TEC!$B:$B,"Đã chốt",
    TINH_TEC!$C:$C,E$4,
    TINH_TEC!$H:$H,$B20,
    TINH_TEC!$F:$F,$B$2,
    TINH_TEC!$G:$G,$D$2
  ),0)
)</f>
        <v>0</v>
      </c>
      <c r="F20" s="222">
        <f>SUMIFS(DATA_GOC!$H:$H,DATA_GOC!$A:$A,"BOM",DATA_GOC!$D:$D,$B20,DATA_GOC!$F:$F,"Xuất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0" s="222">
        <f>SUMIFS(DATA_GOC!$H:$H,DATA_GOC!$A:$A,"BOM",DATA_GOC!$D:$D,$B20,DATA_GOC!$F:$F,"Bơm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432.218</v>
      </c>
      <c r="H20" s="263">
        <f t="shared" si="2"/>
        <v>555.338</v>
      </c>
      <c r="I20" s="222">
        <f>SUMIFS(DATA_GOC!$H:$H,DATA_GOC!$A:$A,"BOM",DATA_GOC!$D:$D,$B20,DATA_GOC!$G:$G,"Dầu động cơ",DATA_GOC!$B:$B,"&gt;="&amp;DATE($D$2,$B$2,1),DATA_GOC!$B:$B,"&lt;"&amp;EDATE(DATE($D$2,$B$2,1),1))+SUMIFS(DATA_GOC!$H:$H,DATA_GOC!$A:$A,"BOM",DATA_GOC!$D:$D,$B20,DATA_GOC!$E:$E,"Dầu động cơ",DATA_GOC!$G:$G,"&lt;&gt;Dầu động cơ",DATA_GOC!$B:$B,"&gt;="&amp;DATE($D$2,$B$2,1),DATA_GOC!$B:$B,"&lt;"&amp;EDATE(DATE($D$2,$B$2,1),1))</f>
        <v>28</v>
      </c>
      <c r="J20" s="222">
        <f>SUMIFS(DATA_GOC!$H:$H,DATA_GOC!$A:$A,"BOM",DATA_GOC!$D:$D,$B20,DATA_GOC!$G:$G,"Dầu thủy lực",DATA_GOC!$B:$B,"&gt;="&amp;DATE($D$2,$B$2,1),DATA_GOC!$B:$B,"&lt;"&amp;EDATE(DATE($D$2,$B$2,1),1))+SUMIFS(DATA_GOC!$H:$H,DATA_GOC!$A:$A,"BOM",DATA_GOC!$D:$D,$B20,DATA_GOC!$E:$E,"Dầu thủy lực",DATA_GOC!$G:$G,"&lt;&gt;Dầu thủy lực",DATA_GOC!$B:$B,"&gt;="&amp;DATE($D$2,$B$2,1),DATA_GOC!$B:$B,"&lt;"&amp;EDATE(DATE($D$2,$B$2,1),1))</f>
        <v>0</v>
      </c>
      <c r="K20" s="222">
        <f>SUMIFS(DATA_GOC!$H:$H,DATA_GOC!$A:$A,"BOM",DATA_GOC!$D:$D,$B20,DATA_GOC!$G:$G,"Dầu cầu",DATA_GOC!$B:$B,"&gt;="&amp;DATE($D$2,$B$2,1),DATA_GOC!$B:$B,"&lt;"&amp;EDATE(DATE($D$2,$B$2,1),1))+SUMIFS(DATA_GOC!$H:$H,DATA_GOC!$A:$A,"BOM",DATA_GOC!$D:$D,$B20,DATA_GOC!$E:$E,"Dầu cầu",DATA_GOC!$G:$G,"&lt;&gt;Dầu cầu",DATA_GOC!$B:$B,"&gt;="&amp;DATE($D$2,$B$2,1),DATA_GOC!$B:$B,"&lt;"&amp;EDATE(DATE($D$2,$B$2,1),1))</f>
        <v>0</v>
      </c>
      <c r="L20" s="222">
        <f>SUMIFS(DATA_GOC!$H:$H,DATA_GOC!$A:$A,"BOM",DATA_GOC!$D:$D,$B20,DATA_GOC!$G:$G,"Dầu số",DATA_GOC!$B:$B,"&gt;="&amp;DATE($D$2,$B$2,1),DATA_GOC!$B:$B,"&lt;"&amp;EDATE(DATE($D$2,$B$2,1),1))+SUMIFS(DATA_GOC!$H:$H,DATA_GOC!$A:$A,"BOM",DATA_GOC!$D:$D,$B20,DATA_GOC!$E:$E,"Dầu số",DATA_GOC!$G:$G,"&lt;&gt;Dầu số",DATA_GOC!$B:$B,"&gt;="&amp;DATE($D$2,$B$2,1),DATA_GOC!$B:$B,"&lt;"&amp;EDATE(DATE($D$2,$B$2,1),1))</f>
        <v>0</v>
      </c>
      <c r="M20" s="263">
        <f t="shared" si="3"/>
        <v>28</v>
      </c>
      <c r="N20" s="222">
        <f>SUMIFS(DATA_GOC!$K:$K,DATA_GOC!$A:$A,"BOM",DATA_GOC!$D:$D,$B20,DATA_GOC!$G:$G,"DO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1266</v>
      </c>
      <c r="O20" s="222">
        <f t="shared" si="4"/>
        <v>43.86556082</v>
      </c>
      <c r="P20" s="221"/>
    </row>
    <row r="21" ht="15.75" customHeight="1">
      <c r="A21" s="222">
        <f t="shared" si="1"/>
        <v>17</v>
      </c>
      <c r="B21" s="221" t="str">
        <f t="array" ref="B21">IFERROR(INDEX(DANH_MUC!$E:$E,ROW()-1),"")</f>
        <v>28C03261</v>
      </c>
      <c r="C21" s="222">
        <f>IF($B21="","",
  IFERROR(SUMIFS(DATA_GOC!$H:$H,
    DATA_GOC!$A:$A,"BOM",
    DATA_GOC!$D:$D,$B21,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TINH_TEC!$H:$H,$B21,
    TINH_TEC!$F:$F,$B$2,
    TINH_TEC!$G:$G,$D$2
  ),0)
  -
  IFERROR(SUMIFS(TINH_TEC!$K:$K,
    TINH_TEC!$B:$B,"Đã chốt",
    TINH_TEC!$C:$C,C$4,
    TINH_TEC!$H:$H,$B21,
    TINH_TEC!$F:$F,$B$2,
    TINH_TEC!$G:$G,$D$2
  ),0)
)</f>
        <v>0</v>
      </c>
      <c r="D21" s="222">
        <f>IF($B21="","",
  IFERROR(SUMIFS(DATA_GOC!$H:$H,
    DATA_GOC!$A:$A,"BOM",
    DATA_GOC!$D:$D,$B21,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TINH_TEC!$H:$H,$B21,
    TINH_TEC!$F:$F,$B$2,
    TINH_TEC!$G:$G,$D$2
  ),0)
  -
  IFERROR(SUMIFS(TINH_TEC!$K:$K,
    TINH_TEC!$B:$B,"Đã chốt",
    TINH_TEC!$C:$C,D$4,
    TINH_TEC!$H:$H,$B21,
    TINH_TEC!$F:$F,$B$2,
    TINH_TEC!$G:$G,$D$2
  ),0)
)</f>
        <v>261.451</v>
      </c>
      <c r="E21" s="222">
        <f>IF($B21="","",
  IFERROR(SUMIFS(DATA_GOC!$H:$H,
    DATA_GOC!$A:$A,"BOM",
    DATA_GOC!$D:$D,$B21,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TINH_TEC!$H:$H,$B21,
    TINH_TEC!$F:$F,$B$2,
    TINH_TEC!$G:$G,$D$2
  ),0)
  -
  IFERROR(SUMIFS(TINH_TEC!$K:$K,
    TINH_TEC!$B:$B,"Đã chốt",
    TINH_TEC!$C:$C,E$4,
    TINH_TEC!$H:$H,$B21,
    TINH_TEC!$F:$F,$B$2,
    TINH_TEC!$G:$G,$D$2
  ),0)
)</f>
        <v>0</v>
      </c>
      <c r="F21" s="222">
        <f>SUMIFS(DATA_GOC!$H:$H,DATA_GOC!$A:$A,"BOM",DATA_GOC!$D:$D,$B21,DATA_GOC!$F:$F,"Xuất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1" s="222">
        <f>SUMIFS(DATA_GOC!$H:$H,DATA_GOC!$A:$A,"BOM",DATA_GOC!$D:$D,$B21,DATA_GOC!$F:$F,"Bơm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1" s="263">
        <f t="shared" si="2"/>
        <v>261.451</v>
      </c>
      <c r="I21" s="222">
        <f>SUMIFS(DATA_GOC!$H:$H,DATA_GOC!$A:$A,"BOM",DATA_GOC!$D:$D,$B21,DATA_GOC!$G:$G,"Dầu động cơ",DATA_GOC!$B:$B,"&gt;="&amp;DATE($D$2,$B$2,1),DATA_GOC!$B:$B,"&lt;"&amp;EDATE(DATE($D$2,$B$2,1),1))+SUMIFS(DATA_GOC!$H:$H,DATA_GOC!$A:$A,"BOM",DATA_GOC!$D:$D,$B21,DATA_GOC!$E:$E,"Dầu động cơ",DATA_GOC!$G:$G,"&lt;&gt;Dầu động cơ",DATA_GOC!$B:$B,"&gt;="&amp;DATE($D$2,$B$2,1),DATA_GOC!$B:$B,"&lt;"&amp;EDATE(DATE($D$2,$B$2,1),1))</f>
        <v>0</v>
      </c>
      <c r="J21" s="222">
        <f>SUMIFS(DATA_GOC!$H:$H,DATA_GOC!$A:$A,"BOM",DATA_GOC!$D:$D,$B21,DATA_GOC!$G:$G,"Dầu thủy lực",DATA_GOC!$B:$B,"&gt;="&amp;DATE($D$2,$B$2,1),DATA_GOC!$B:$B,"&lt;"&amp;EDATE(DATE($D$2,$B$2,1),1))+SUMIFS(DATA_GOC!$H:$H,DATA_GOC!$A:$A,"BOM",DATA_GOC!$D:$D,$B21,DATA_GOC!$E:$E,"Dầu thủy lực",DATA_GOC!$G:$G,"&lt;&gt;Dầu thủy lực",DATA_GOC!$B:$B,"&gt;="&amp;DATE($D$2,$B$2,1),DATA_GOC!$B:$B,"&lt;"&amp;EDATE(DATE($D$2,$B$2,1),1))</f>
        <v>0</v>
      </c>
      <c r="K21" s="222">
        <f>SUMIFS(DATA_GOC!$H:$H,DATA_GOC!$A:$A,"BOM",DATA_GOC!$D:$D,$B21,DATA_GOC!$G:$G,"Dầu cầu",DATA_GOC!$B:$B,"&gt;="&amp;DATE($D$2,$B$2,1),DATA_GOC!$B:$B,"&lt;"&amp;EDATE(DATE($D$2,$B$2,1),1))+SUMIFS(DATA_GOC!$H:$H,DATA_GOC!$A:$A,"BOM",DATA_GOC!$D:$D,$B21,DATA_GOC!$E:$E,"Dầu cầu",DATA_GOC!$G:$G,"&lt;&gt;Dầu cầu",DATA_GOC!$B:$B,"&gt;="&amp;DATE($D$2,$B$2,1),DATA_GOC!$B:$B,"&lt;"&amp;EDATE(DATE($D$2,$B$2,1),1))</f>
        <v>0</v>
      </c>
      <c r="L21" s="222">
        <f>SUMIFS(DATA_GOC!$H:$H,DATA_GOC!$A:$A,"BOM",DATA_GOC!$D:$D,$B21,DATA_GOC!$G:$G,"Dầu số",DATA_GOC!$B:$B,"&gt;="&amp;DATE($D$2,$B$2,1),DATA_GOC!$B:$B,"&lt;"&amp;EDATE(DATE($D$2,$B$2,1),1))+SUMIFS(DATA_GOC!$H:$H,DATA_GOC!$A:$A,"BOM",DATA_GOC!$D:$D,$B21,DATA_GOC!$E:$E,"Dầu số",DATA_GOC!$G:$G,"&lt;&gt;Dầu số",DATA_GOC!$B:$B,"&gt;="&amp;DATE($D$2,$B$2,1),DATA_GOC!$B:$B,"&lt;"&amp;EDATE(DATE($D$2,$B$2,1),1))</f>
        <v>0</v>
      </c>
      <c r="M21" s="263">
        <f t="shared" si="3"/>
        <v>0</v>
      </c>
      <c r="N21" s="222">
        <f>SUMIFS(DATA_GOC!$K:$K,DATA_GOC!$A:$A,"BOM",DATA_GOC!$D:$D,$B21,DATA_GOC!$G:$G,"DO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549</v>
      </c>
      <c r="O21" s="222">
        <f t="shared" si="4"/>
        <v>47.62313297</v>
      </c>
      <c r="P21" s="221"/>
    </row>
    <row r="22" ht="15.75" customHeight="1">
      <c r="A22" s="222">
        <f t="shared" si="1"/>
        <v>18</v>
      </c>
      <c r="B22" s="221" t="str">
        <f t="array" ref="B22">IFERROR(INDEX(DANH_MUC!$E:$E,ROW()-1),"")</f>
        <v>28C03323</v>
      </c>
      <c r="C22" s="222">
        <f>IF($B22="","",
  IFERROR(SUMIFS(DATA_GOC!$H:$H,
    DATA_GOC!$A:$A,"BOM",
    DATA_GOC!$D:$D,$B22,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TINH_TEC!$H:$H,$B22,
    TINH_TEC!$F:$F,$B$2,
    TINH_TEC!$G:$G,$D$2
  ),0)
  -
  IFERROR(SUMIFS(TINH_TEC!$K:$K,
    TINH_TEC!$B:$B,"Đã chốt",
    TINH_TEC!$C:$C,C$4,
    TINH_TEC!$H:$H,$B22,
    TINH_TEC!$F:$F,$B$2,
    TINH_TEC!$G:$G,$D$2
  ),0)
)</f>
        <v>0</v>
      </c>
      <c r="D22" s="222">
        <f>IF($B22="","",
  IFERROR(SUMIFS(DATA_GOC!$H:$H,
    DATA_GOC!$A:$A,"BOM",
    DATA_GOC!$D:$D,$B22,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TINH_TEC!$H:$H,$B22,
    TINH_TEC!$F:$F,$B$2,
    TINH_TEC!$G:$G,$D$2
  ),0)
  -
  IFERROR(SUMIFS(TINH_TEC!$K:$K,
    TINH_TEC!$B:$B,"Đã chốt",
    TINH_TEC!$C:$C,D$4,
    TINH_TEC!$H:$H,$B22,
    TINH_TEC!$F:$F,$B$2,
    TINH_TEC!$G:$G,$D$2
  ),0)
)</f>
        <v>21.899</v>
      </c>
      <c r="E22" s="222">
        <f>IF($B22="","",
  IFERROR(SUMIFS(DATA_GOC!$H:$H,
    DATA_GOC!$A:$A,"BOM",
    DATA_GOC!$D:$D,$B22,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TINH_TEC!$H:$H,$B22,
    TINH_TEC!$F:$F,$B$2,
    TINH_TEC!$G:$G,$D$2
  ),0)
  -
  IFERROR(SUMIFS(TINH_TEC!$K:$K,
    TINH_TEC!$B:$B,"Đã chốt",
    TINH_TEC!$C:$C,E$4,
    TINH_TEC!$H:$H,$B22,
    TINH_TEC!$F:$F,$B$2,
    TINH_TEC!$G:$G,$D$2
  ),0)
)</f>
        <v>0</v>
      </c>
      <c r="F22" s="222">
        <f>SUMIFS(DATA_GOC!$H:$H,DATA_GOC!$A:$A,"BOM",DATA_GOC!$D:$D,$B22,DATA_GOC!$F:$F,"Xuất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2" s="222">
        <f>SUMIFS(DATA_GOC!$H:$H,DATA_GOC!$A:$A,"BOM",DATA_GOC!$D:$D,$B22,DATA_GOC!$F:$F,"Bơm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2" s="263">
        <f t="shared" si="2"/>
        <v>21.899</v>
      </c>
      <c r="I22" s="222">
        <f>SUMIFS(DATA_GOC!$H:$H,DATA_GOC!$A:$A,"BOM",DATA_GOC!$D:$D,$B22,DATA_GOC!$G:$G,"Dầu động cơ",DATA_GOC!$B:$B,"&gt;="&amp;DATE($D$2,$B$2,1),DATA_GOC!$B:$B,"&lt;"&amp;EDATE(DATE($D$2,$B$2,1),1))+SUMIFS(DATA_GOC!$H:$H,DATA_GOC!$A:$A,"BOM",DATA_GOC!$D:$D,$B22,DATA_GOC!$E:$E,"Dầu động cơ",DATA_GOC!$G:$G,"&lt;&gt;Dầu động cơ",DATA_GOC!$B:$B,"&gt;="&amp;DATE($D$2,$B$2,1),DATA_GOC!$B:$B,"&lt;"&amp;EDATE(DATE($D$2,$B$2,1),1))</f>
        <v>0</v>
      </c>
      <c r="J22" s="222">
        <f>SUMIFS(DATA_GOC!$H:$H,DATA_GOC!$A:$A,"BOM",DATA_GOC!$D:$D,$B22,DATA_GOC!$G:$G,"Dầu thủy lực",DATA_GOC!$B:$B,"&gt;="&amp;DATE($D$2,$B$2,1),DATA_GOC!$B:$B,"&lt;"&amp;EDATE(DATE($D$2,$B$2,1),1))+SUMIFS(DATA_GOC!$H:$H,DATA_GOC!$A:$A,"BOM",DATA_GOC!$D:$D,$B22,DATA_GOC!$E:$E,"Dầu thủy lực",DATA_GOC!$G:$G,"&lt;&gt;Dầu thủy lực",DATA_GOC!$B:$B,"&gt;="&amp;DATE($D$2,$B$2,1),DATA_GOC!$B:$B,"&lt;"&amp;EDATE(DATE($D$2,$B$2,1),1))</f>
        <v>0</v>
      </c>
      <c r="K22" s="222">
        <f>SUMIFS(DATA_GOC!$H:$H,DATA_GOC!$A:$A,"BOM",DATA_GOC!$D:$D,$B22,DATA_GOC!$G:$G,"Dầu cầu",DATA_GOC!$B:$B,"&gt;="&amp;DATE($D$2,$B$2,1),DATA_GOC!$B:$B,"&lt;"&amp;EDATE(DATE($D$2,$B$2,1),1))+SUMIFS(DATA_GOC!$H:$H,DATA_GOC!$A:$A,"BOM",DATA_GOC!$D:$D,$B22,DATA_GOC!$E:$E,"Dầu cầu",DATA_GOC!$G:$G,"&lt;&gt;Dầu cầu",DATA_GOC!$B:$B,"&gt;="&amp;DATE($D$2,$B$2,1),DATA_GOC!$B:$B,"&lt;"&amp;EDATE(DATE($D$2,$B$2,1),1))</f>
        <v>0</v>
      </c>
      <c r="L22" s="222">
        <f>SUMIFS(DATA_GOC!$H:$H,DATA_GOC!$A:$A,"BOM",DATA_GOC!$D:$D,$B22,DATA_GOC!$G:$G,"Dầu số",DATA_GOC!$B:$B,"&gt;="&amp;DATE($D$2,$B$2,1),DATA_GOC!$B:$B,"&lt;"&amp;EDATE(DATE($D$2,$B$2,1),1))+SUMIFS(DATA_GOC!$H:$H,DATA_GOC!$A:$A,"BOM",DATA_GOC!$D:$D,$B22,DATA_GOC!$E:$E,"Dầu số",DATA_GOC!$G:$G,"&lt;&gt;Dầu số",DATA_GOC!$B:$B,"&gt;="&amp;DATE($D$2,$B$2,1),DATA_GOC!$B:$B,"&lt;"&amp;EDATE(DATE($D$2,$B$2,1),1))</f>
        <v>0</v>
      </c>
      <c r="M22" s="263">
        <f t="shared" si="3"/>
        <v>0</v>
      </c>
      <c r="N22" s="222">
        <f>SUMIFS(DATA_GOC!$K:$K,DATA_GOC!$A:$A,"BOM",DATA_GOC!$D:$D,$B22,DATA_GOC!$G:$G,"DO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22" s="222" t="str">
        <f t="shared" si="4"/>
        <v/>
      </c>
      <c r="P22" s="221"/>
    </row>
    <row r="23" ht="15.75" customHeight="1">
      <c r="A23" s="222">
        <f t="shared" si="1"/>
        <v>19</v>
      </c>
      <c r="B23" s="221" t="str">
        <f t="array" ref="B23">IFERROR(INDEX(DANH_MUC!$E:$E,ROW()-1),"")</f>
        <v>28C03385</v>
      </c>
      <c r="C23" s="222">
        <f>IF($B23="","",
  IFERROR(SUMIFS(DATA_GOC!$H:$H,
    DATA_GOC!$A:$A,"BOM",
    DATA_GOC!$D:$D,$B23,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TINH_TEC!$H:$H,$B23,
    TINH_TEC!$F:$F,$B$2,
    TINH_TEC!$G:$G,$D$2
  ),0)
  -
  IFERROR(SUMIFS(TINH_TEC!$K:$K,
    TINH_TEC!$B:$B,"Đã chốt",
    TINH_TEC!$C:$C,C$4,
    TINH_TEC!$H:$H,$B23,
    TINH_TEC!$F:$F,$B$2,
    TINH_TEC!$G:$G,$D$2
  ),0)
)</f>
        <v>0</v>
      </c>
      <c r="D23" s="222">
        <f>IF($B23="","",
  IFERROR(SUMIFS(DATA_GOC!$H:$H,
    DATA_GOC!$A:$A,"BOM",
    DATA_GOC!$D:$D,$B23,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TINH_TEC!$H:$H,$B23,
    TINH_TEC!$F:$F,$B$2,
    TINH_TEC!$G:$G,$D$2
  ),0)
  -
  IFERROR(SUMIFS(TINH_TEC!$K:$K,
    TINH_TEC!$B:$B,"Đã chốt",
    TINH_TEC!$C:$C,D$4,
    TINH_TEC!$H:$H,$B23,
    TINH_TEC!$F:$F,$B$2,
    TINH_TEC!$G:$G,$D$2
  ),0)
)</f>
        <v>0</v>
      </c>
      <c r="E23" s="222">
        <f>IF($B23="","",
  IFERROR(SUMIFS(DATA_GOC!$H:$H,
    DATA_GOC!$A:$A,"BOM",
    DATA_GOC!$D:$D,$B23,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TINH_TEC!$H:$H,$B23,
    TINH_TEC!$F:$F,$B$2,
    TINH_TEC!$G:$G,$D$2
  ),0)
  -
  IFERROR(SUMIFS(TINH_TEC!$K:$K,
    TINH_TEC!$B:$B,"Đã chốt",
    TINH_TEC!$C:$C,E$4,
    TINH_TEC!$H:$H,$B23,
    TINH_TEC!$F:$F,$B$2,
    TINH_TEC!$G:$G,$D$2
  ),0)
)</f>
        <v>0</v>
      </c>
      <c r="F23" s="222">
        <f>SUMIFS(DATA_GOC!$H:$H,DATA_GOC!$A:$A,"BOM",DATA_GOC!$D:$D,$B23,DATA_GOC!$F:$F,"Xuất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3" s="222">
        <f>SUMIFS(DATA_GOC!$H:$H,DATA_GOC!$A:$A,"BOM",DATA_GOC!$D:$D,$B23,DATA_GOC!$F:$F,"Bơm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3" s="263">
        <f t="shared" si="2"/>
        <v>0</v>
      </c>
      <c r="I23" s="222">
        <f>SUMIFS(DATA_GOC!$H:$H,DATA_GOC!$A:$A,"BOM",DATA_GOC!$D:$D,$B23,DATA_GOC!$G:$G,"Dầu động cơ",DATA_GOC!$B:$B,"&gt;="&amp;DATE($D$2,$B$2,1),DATA_GOC!$B:$B,"&lt;"&amp;EDATE(DATE($D$2,$B$2,1),1))+SUMIFS(DATA_GOC!$H:$H,DATA_GOC!$A:$A,"BOM",DATA_GOC!$D:$D,$B23,DATA_GOC!$E:$E,"Dầu động cơ",DATA_GOC!$G:$G,"&lt;&gt;Dầu động cơ",DATA_GOC!$B:$B,"&gt;="&amp;DATE($D$2,$B$2,1),DATA_GOC!$B:$B,"&lt;"&amp;EDATE(DATE($D$2,$B$2,1),1))</f>
        <v>0</v>
      </c>
      <c r="J23" s="222">
        <f>SUMIFS(DATA_GOC!$H:$H,DATA_GOC!$A:$A,"BOM",DATA_GOC!$D:$D,$B23,DATA_GOC!$G:$G,"Dầu thủy lực",DATA_GOC!$B:$B,"&gt;="&amp;DATE($D$2,$B$2,1),DATA_GOC!$B:$B,"&lt;"&amp;EDATE(DATE($D$2,$B$2,1),1))+SUMIFS(DATA_GOC!$H:$H,DATA_GOC!$A:$A,"BOM",DATA_GOC!$D:$D,$B23,DATA_GOC!$E:$E,"Dầu thủy lực",DATA_GOC!$G:$G,"&lt;&gt;Dầu thủy lực",DATA_GOC!$B:$B,"&gt;="&amp;DATE($D$2,$B$2,1),DATA_GOC!$B:$B,"&lt;"&amp;EDATE(DATE($D$2,$B$2,1),1))</f>
        <v>0</v>
      </c>
      <c r="K23" s="222">
        <f>SUMIFS(DATA_GOC!$H:$H,DATA_GOC!$A:$A,"BOM",DATA_GOC!$D:$D,$B23,DATA_GOC!$G:$G,"Dầu cầu",DATA_GOC!$B:$B,"&gt;="&amp;DATE($D$2,$B$2,1),DATA_GOC!$B:$B,"&lt;"&amp;EDATE(DATE($D$2,$B$2,1),1))+SUMIFS(DATA_GOC!$H:$H,DATA_GOC!$A:$A,"BOM",DATA_GOC!$D:$D,$B23,DATA_GOC!$E:$E,"Dầu cầu",DATA_GOC!$G:$G,"&lt;&gt;Dầu cầu",DATA_GOC!$B:$B,"&gt;="&amp;DATE($D$2,$B$2,1),DATA_GOC!$B:$B,"&lt;"&amp;EDATE(DATE($D$2,$B$2,1),1))</f>
        <v>0</v>
      </c>
      <c r="L23" s="222">
        <f>SUMIFS(DATA_GOC!$H:$H,DATA_GOC!$A:$A,"BOM",DATA_GOC!$D:$D,$B23,DATA_GOC!$G:$G,"Dầu số",DATA_GOC!$B:$B,"&gt;="&amp;DATE($D$2,$B$2,1),DATA_GOC!$B:$B,"&lt;"&amp;EDATE(DATE($D$2,$B$2,1),1))+SUMIFS(DATA_GOC!$H:$H,DATA_GOC!$A:$A,"BOM",DATA_GOC!$D:$D,$B23,DATA_GOC!$E:$E,"Dầu số",DATA_GOC!$G:$G,"&lt;&gt;Dầu số",DATA_GOC!$B:$B,"&gt;="&amp;DATE($D$2,$B$2,1),DATA_GOC!$B:$B,"&lt;"&amp;EDATE(DATE($D$2,$B$2,1),1))</f>
        <v>0</v>
      </c>
      <c r="M23" s="263">
        <f t="shared" si="3"/>
        <v>0</v>
      </c>
      <c r="N23" s="222">
        <f>SUMIFS(DATA_GOC!$K:$K,DATA_GOC!$A:$A,"BOM",DATA_GOC!$D:$D,$B23,DATA_GOC!$G:$G,"DO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23" s="222" t="str">
        <f t="shared" si="4"/>
        <v/>
      </c>
      <c r="P23" s="221"/>
    </row>
    <row r="24" ht="15.75" customHeight="1">
      <c r="A24" s="222">
        <f t="shared" si="1"/>
        <v>20</v>
      </c>
      <c r="B24" s="221" t="str">
        <f t="array" ref="B24">IFERROR(INDEX(DANH_MUC!$E:$E,ROW()-1),"")</f>
        <v>28C03652</v>
      </c>
      <c r="C24" s="222">
        <f>IF($B24="","",
  IFERROR(SUMIFS(DATA_GOC!$H:$H,
    DATA_GOC!$A:$A,"BOM",
    DATA_GOC!$D:$D,$B24,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TINH_TEC!$H:$H,$B24,
    TINH_TEC!$F:$F,$B$2,
    TINH_TEC!$G:$G,$D$2
  ),0)
  -
  IFERROR(SUMIFS(TINH_TEC!$K:$K,
    TINH_TEC!$B:$B,"Đã chốt",
    TINH_TEC!$C:$C,C$4,
    TINH_TEC!$H:$H,$B24,
    TINH_TEC!$F:$F,$B$2,
    TINH_TEC!$G:$G,$D$2
  ),0)
)</f>
        <v>0</v>
      </c>
      <c r="D24" s="222">
        <f>IF($B24="","",
  IFERROR(SUMIFS(DATA_GOC!$H:$H,
    DATA_GOC!$A:$A,"BOM",
    DATA_GOC!$D:$D,$B24,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TINH_TEC!$H:$H,$B24,
    TINH_TEC!$F:$F,$B$2,
    TINH_TEC!$G:$G,$D$2
  ),0)
  -
  IFERROR(SUMIFS(TINH_TEC!$K:$K,
    TINH_TEC!$B:$B,"Đã chốt",
    TINH_TEC!$C:$C,D$4,
    TINH_TEC!$H:$H,$B24,
    TINH_TEC!$F:$F,$B$2,
    TINH_TEC!$G:$G,$D$2
  ),0)
)</f>
        <v>12.813</v>
      </c>
      <c r="E24" s="222">
        <f>IF($B24="","",
  IFERROR(SUMIFS(DATA_GOC!$H:$H,
    DATA_GOC!$A:$A,"BOM",
    DATA_GOC!$D:$D,$B24,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TINH_TEC!$H:$H,$B24,
    TINH_TEC!$F:$F,$B$2,
    TINH_TEC!$G:$G,$D$2
  ),0)
  -
  IFERROR(SUMIFS(TINH_TEC!$K:$K,
    TINH_TEC!$B:$B,"Đã chốt",
    TINH_TEC!$C:$C,E$4,
    TINH_TEC!$H:$H,$B24,
    TINH_TEC!$F:$F,$B$2,
    TINH_TEC!$G:$G,$D$2
  ),0)
)</f>
        <v>0</v>
      </c>
      <c r="F24" s="222">
        <f>SUMIFS(DATA_GOC!$H:$H,DATA_GOC!$A:$A,"BOM",DATA_GOC!$D:$D,$B24,DATA_GOC!$F:$F,"Xuất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4" s="222">
        <f>SUMIFS(DATA_GOC!$H:$H,DATA_GOC!$A:$A,"BOM",DATA_GOC!$D:$D,$B24,DATA_GOC!$F:$F,"Bơm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4" s="263">
        <f t="shared" si="2"/>
        <v>12.813</v>
      </c>
      <c r="I24" s="222">
        <f>SUMIFS(DATA_GOC!$H:$H,DATA_GOC!$A:$A,"BOM",DATA_GOC!$D:$D,$B24,DATA_GOC!$G:$G,"Dầu động cơ",DATA_GOC!$B:$B,"&gt;="&amp;DATE($D$2,$B$2,1),DATA_GOC!$B:$B,"&lt;"&amp;EDATE(DATE($D$2,$B$2,1),1))+SUMIFS(DATA_GOC!$H:$H,DATA_GOC!$A:$A,"BOM",DATA_GOC!$D:$D,$B24,DATA_GOC!$E:$E,"Dầu động cơ",DATA_GOC!$G:$G,"&lt;&gt;Dầu động cơ",DATA_GOC!$B:$B,"&gt;="&amp;DATE($D$2,$B$2,1),DATA_GOC!$B:$B,"&lt;"&amp;EDATE(DATE($D$2,$B$2,1),1))</f>
        <v>0</v>
      </c>
      <c r="J24" s="222">
        <f>SUMIFS(DATA_GOC!$H:$H,DATA_GOC!$A:$A,"BOM",DATA_GOC!$D:$D,$B24,DATA_GOC!$G:$G,"Dầu thủy lực",DATA_GOC!$B:$B,"&gt;="&amp;DATE($D$2,$B$2,1),DATA_GOC!$B:$B,"&lt;"&amp;EDATE(DATE($D$2,$B$2,1),1))+SUMIFS(DATA_GOC!$H:$H,DATA_GOC!$A:$A,"BOM",DATA_GOC!$D:$D,$B24,DATA_GOC!$E:$E,"Dầu thủy lực",DATA_GOC!$G:$G,"&lt;&gt;Dầu thủy lực",DATA_GOC!$B:$B,"&gt;="&amp;DATE($D$2,$B$2,1),DATA_GOC!$B:$B,"&lt;"&amp;EDATE(DATE($D$2,$B$2,1),1))</f>
        <v>0</v>
      </c>
      <c r="K24" s="222">
        <f>SUMIFS(DATA_GOC!$H:$H,DATA_GOC!$A:$A,"BOM",DATA_GOC!$D:$D,$B24,DATA_GOC!$G:$G,"Dầu cầu",DATA_GOC!$B:$B,"&gt;="&amp;DATE($D$2,$B$2,1),DATA_GOC!$B:$B,"&lt;"&amp;EDATE(DATE($D$2,$B$2,1),1))+SUMIFS(DATA_GOC!$H:$H,DATA_GOC!$A:$A,"BOM",DATA_GOC!$D:$D,$B24,DATA_GOC!$E:$E,"Dầu cầu",DATA_GOC!$G:$G,"&lt;&gt;Dầu cầu",DATA_GOC!$B:$B,"&gt;="&amp;DATE($D$2,$B$2,1),DATA_GOC!$B:$B,"&lt;"&amp;EDATE(DATE($D$2,$B$2,1),1))</f>
        <v>0</v>
      </c>
      <c r="L24" s="222">
        <f>SUMIFS(DATA_GOC!$H:$H,DATA_GOC!$A:$A,"BOM",DATA_GOC!$D:$D,$B24,DATA_GOC!$G:$G,"Dầu số",DATA_GOC!$B:$B,"&gt;="&amp;DATE($D$2,$B$2,1),DATA_GOC!$B:$B,"&lt;"&amp;EDATE(DATE($D$2,$B$2,1),1))+SUMIFS(DATA_GOC!$H:$H,DATA_GOC!$A:$A,"BOM",DATA_GOC!$D:$D,$B24,DATA_GOC!$E:$E,"Dầu số",DATA_GOC!$G:$G,"&lt;&gt;Dầu số",DATA_GOC!$B:$B,"&gt;="&amp;DATE($D$2,$B$2,1),DATA_GOC!$B:$B,"&lt;"&amp;EDATE(DATE($D$2,$B$2,1),1))</f>
        <v>0</v>
      </c>
      <c r="M24" s="263">
        <f t="shared" si="3"/>
        <v>0</v>
      </c>
      <c r="N24" s="222">
        <f>SUMIFS(DATA_GOC!$K:$K,DATA_GOC!$A:$A,"BOM",DATA_GOC!$D:$D,$B24,DATA_GOC!$G:$G,"DO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24" s="222" t="str">
        <f t="shared" si="4"/>
        <v/>
      </c>
      <c r="P24" s="221"/>
    </row>
    <row r="25" ht="15.75" customHeight="1">
      <c r="A25" s="222">
        <f t="shared" si="1"/>
        <v>21</v>
      </c>
      <c r="B25" s="221" t="str">
        <f t="array" ref="B25">IFERROR(INDEX(DANH_MUC!$E:$E,ROW()-1),"")</f>
        <v>28C03695</v>
      </c>
      <c r="C25" s="222">
        <f>IF($B25="","",
  IFERROR(SUMIFS(DATA_GOC!$H:$H,
    DATA_GOC!$A:$A,"BOM",
    DATA_GOC!$D:$D,$B25,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TINH_TEC!$H:$H,$B25,
    TINH_TEC!$F:$F,$B$2,
    TINH_TEC!$G:$G,$D$2
  ),0)
  -
  IFERROR(SUMIFS(TINH_TEC!$K:$K,
    TINH_TEC!$B:$B,"Đã chốt",
    TINH_TEC!$C:$C,C$4,
    TINH_TEC!$H:$H,$B25,
    TINH_TEC!$F:$F,$B$2,
    TINH_TEC!$G:$G,$D$2
  ),0)
)</f>
        <v>0</v>
      </c>
      <c r="D25" s="222">
        <f>IF($B25="","",
  IFERROR(SUMIFS(DATA_GOC!$H:$H,
    DATA_GOC!$A:$A,"BOM",
    DATA_GOC!$D:$D,$B25,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TINH_TEC!$H:$H,$B25,
    TINH_TEC!$F:$F,$B$2,
    TINH_TEC!$G:$G,$D$2
  ),0)
  -
  IFERROR(SUMIFS(TINH_TEC!$K:$K,
    TINH_TEC!$B:$B,"Đã chốt",
    TINH_TEC!$C:$C,D$4,
    TINH_TEC!$H:$H,$B25,
    TINH_TEC!$F:$F,$B$2,
    TINH_TEC!$G:$G,$D$2
  ),0)
)</f>
        <v>7.397</v>
      </c>
      <c r="E25" s="222">
        <f>IF($B25="","",
  IFERROR(SUMIFS(DATA_GOC!$H:$H,
    DATA_GOC!$A:$A,"BOM",
    DATA_GOC!$D:$D,$B25,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TINH_TEC!$H:$H,$B25,
    TINH_TEC!$F:$F,$B$2,
    TINH_TEC!$G:$G,$D$2
  ),0)
  -
  IFERROR(SUMIFS(TINH_TEC!$K:$K,
    TINH_TEC!$B:$B,"Đã chốt",
    TINH_TEC!$C:$C,E$4,
    TINH_TEC!$H:$H,$B25,
    TINH_TEC!$F:$F,$B$2,
    TINH_TEC!$G:$G,$D$2
  ),0)
)</f>
        <v>0</v>
      </c>
      <c r="F25" s="222">
        <f>SUMIFS(DATA_GOC!$H:$H,DATA_GOC!$A:$A,"BOM",DATA_GOC!$D:$D,$B25,DATA_GOC!$F:$F,"Xuất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5" s="222">
        <f>SUMIFS(DATA_GOC!$H:$H,DATA_GOC!$A:$A,"BOM",DATA_GOC!$D:$D,$B25,DATA_GOC!$F:$F,"Bơm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5" s="263">
        <f t="shared" si="2"/>
        <v>7.397</v>
      </c>
      <c r="I25" s="222">
        <f>SUMIFS(DATA_GOC!$H:$H,DATA_GOC!$A:$A,"BOM",DATA_GOC!$D:$D,$B25,DATA_GOC!$G:$G,"Dầu động cơ",DATA_GOC!$B:$B,"&gt;="&amp;DATE($D$2,$B$2,1),DATA_GOC!$B:$B,"&lt;"&amp;EDATE(DATE($D$2,$B$2,1),1))+SUMIFS(DATA_GOC!$H:$H,DATA_GOC!$A:$A,"BOM",DATA_GOC!$D:$D,$B25,DATA_GOC!$E:$E,"Dầu động cơ",DATA_GOC!$G:$G,"&lt;&gt;Dầu động cơ",DATA_GOC!$B:$B,"&gt;="&amp;DATE($D$2,$B$2,1),DATA_GOC!$B:$B,"&lt;"&amp;EDATE(DATE($D$2,$B$2,1),1))</f>
        <v>0</v>
      </c>
      <c r="J25" s="222">
        <f>SUMIFS(DATA_GOC!$H:$H,DATA_GOC!$A:$A,"BOM",DATA_GOC!$D:$D,$B25,DATA_GOC!$G:$G,"Dầu thủy lực",DATA_GOC!$B:$B,"&gt;="&amp;DATE($D$2,$B$2,1),DATA_GOC!$B:$B,"&lt;"&amp;EDATE(DATE($D$2,$B$2,1),1))+SUMIFS(DATA_GOC!$H:$H,DATA_GOC!$A:$A,"BOM",DATA_GOC!$D:$D,$B25,DATA_GOC!$E:$E,"Dầu thủy lực",DATA_GOC!$G:$G,"&lt;&gt;Dầu thủy lực",DATA_GOC!$B:$B,"&gt;="&amp;DATE($D$2,$B$2,1),DATA_GOC!$B:$B,"&lt;"&amp;EDATE(DATE($D$2,$B$2,1),1))</f>
        <v>0</v>
      </c>
      <c r="K25" s="222">
        <f>SUMIFS(DATA_GOC!$H:$H,DATA_GOC!$A:$A,"BOM",DATA_GOC!$D:$D,$B25,DATA_GOC!$G:$G,"Dầu cầu",DATA_GOC!$B:$B,"&gt;="&amp;DATE($D$2,$B$2,1),DATA_GOC!$B:$B,"&lt;"&amp;EDATE(DATE($D$2,$B$2,1),1))+SUMIFS(DATA_GOC!$H:$H,DATA_GOC!$A:$A,"BOM",DATA_GOC!$D:$D,$B25,DATA_GOC!$E:$E,"Dầu cầu",DATA_GOC!$G:$G,"&lt;&gt;Dầu cầu",DATA_GOC!$B:$B,"&gt;="&amp;DATE($D$2,$B$2,1),DATA_GOC!$B:$B,"&lt;"&amp;EDATE(DATE($D$2,$B$2,1),1))</f>
        <v>0</v>
      </c>
      <c r="L25" s="222">
        <f>SUMIFS(DATA_GOC!$H:$H,DATA_GOC!$A:$A,"BOM",DATA_GOC!$D:$D,$B25,DATA_GOC!$G:$G,"Dầu số",DATA_GOC!$B:$B,"&gt;="&amp;DATE($D$2,$B$2,1),DATA_GOC!$B:$B,"&lt;"&amp;EDATE(DATE($D$2,$B$2,1),1))+SUMIFS(DATA_GOC!$H:$H,DATA_GOC!$A:$A,"BOM",DATA_GOC!$D:$D,$B25,DATA_GOC!$E:$E,"Dầu số",DATA_GOC!$G:$G,"&lt;&gt;Dầu số",DATA_GOC!$B:$B,"&gt;="&amp;DATE($D$2,$B$2,1),DATA_GOC!$B:$B,"&lt;"&amp;EDATE(DATE($D$2,$B$2,1),1))</f>
        <v>0</v>
      </c>
      <c r="M25" s="263">
        <f t="shared" si="3"/>
        <v>0</v>
      </c>
      <c r="N25" s="222">
        <f>SUMIFS(DATA_GOC!$K:$K,DATA_GOC!$A:$A,"BOM",DATA_GOC!$D:$D,$B25,DATA_GOC!$G:$G,"DO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25" s="222" t="str">
        <f t="shared" si="4"/>
        <v/>
      </c>
      <c r="P25" s="221"/>
    </row>
    <row r="26" ht="15.75" customHeight="1">
      <c r="A26" s="222">
        <f t="shared" si="1"/>
        <v>22</v>
      </c>
      <c r="B26" s="221" t="str">
        <f t="array" ref="B26">IFERROR(INDEX(DANH_MUC!$E:$E,ROW()-1),"")</f>
        <v>28C03927</v>
      </c>
      <c r="C26" s="222">
        <f>IF($B26="","",
  IFERROR(SUMIFS(DATA_GOC!$H:$H,
    DATA_GOC!$A:$A,"BOM",
    DATA_GOC!$D:$D,$B26,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TINH_TEC!$H:$H,$B26,
    TINH_TEC!$F:$F,$B$2,
    TINH_TEC!$G:$G,$D$2
  ),0)
  -
  IFERROR(SUMIFS(TINH_TEC!$K:$K,
    TINH_TEC!$B:$B,"Đã chốt",
    TINH_TEC!$C:$C,C$4,
    TINH_TEC!$H:$H,$B26,
    TINH_TEC!$F:$F,$B$2,
    TINH_TEC!$G:$G,$D$2
  ),0)
)</f>
        <v>0</v>
      </c>
      <c r="D26" s="222">
        <f>IF($B26="","",
  IFERROR(SUMIFS(DATA_GOC!$H:$H,
    DATA_GOC!$A:$A,"BOM",
    DATA_GOC!$D:$D,$B26,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TINH_TEC!$H:$H,$B26,
    TINH_TEC!$F:$F,$B$2,
    TINH_TEC!$G:$G,$D$2
  ),0)
  -
  IFERROR(SUMIFS(TINH_TEC!$K:$K,
    TINH_TEC!$B:$B,"Đã chốt",
    TINH_TEC!$C:$C,D$4,
    TINH_TEC!$H:$H,$B26,
    TINH_TEC!$F:$F,$B$2,
    TINH_TEC!$G:$G,$D$2
  ),0)
)</f>
        <v>0</v>
      </c>
      <c r="E26" s="222">
        <f>IF($B26="","",
  IFERROR(SUMIFS(DATA_GOC!$H:$H,
    DATA_GOC!$A:$A,"BOM",
    DATA_GOC!$D:$D,$B26,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TINH_TEC!$H:$H,$B26,
    TINH_TEC!$F:$F,$B$2,
    TINH_TEC!$G:$G,$D$2
  ),0)
  -
  IFERROR(SUMIFS(TINH_TEC!$K:$K,
    TINH_TEC!$B:$B,"Đã chốt",
    TINH_TEC!$C:$C,E$4,
    TINH_TEC!$H:$H,$B26,
    TINH_TEC!$F:$F,$B$2,
    TINH_TEC!$G:$G,$D$2
  ),0)
)</f>
        <v>0</v>
      </c>
      <c r="F26" s="222">
        <f>SUMIFS(DATA_GOC!$H:$H,DATA_GOC!$A:$A,"BOM",DATA_GOC!$D:$D,$B26,DATA_GOC!$F:$F,"Xuất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6" s="222">
        <f>SUMIFS(DATA_GOC!$H:$H,DATA_GOC!$A:$A,"BOM",DATA_GOC!$D:$D,$B26,DATA_GOC!$F:$F,"Bơm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6" s="263">
        <f t="shared" si="2"/>
        <v>0</v>
      </c>
      <c r="I26" s="222">
        <f>SUMIFS(DATA_GOC!$H:$H,DATA_GOC!$A:$A,"BOM",DATA_GOC!$D:$D,$B26,DATA_GOC!$G:$G,"Dầu động cơ",DATA_GOC!$B:$B,"&gt;="&amp;DATE($D$2,$B$2,1),DATA_GOC!$B:$B,"&lt;"&amp;EDATE(DATE($D$2,$B$2,1),1))+SUMIFS(DATA_GOC!$H:$H,DATA_GOC!$A:$A,"BOM",DATA_GOC!$D:$D,$B26,DATA_GOC!$E:$E,"Dầu động cơ",DATA_GOC!$G:$G,"&lt;&gt;Dầu động cơ",DATA_GOC!$B:$B,"&gt;="&amp;DATE($D$2,$B$2,1),DATA_GOC!$B:$B,"&lt;"&amp;EDATE(DATE($D$2,$B$2,1),1))</f>
        <v>0</v>
      </c>
      <c r="J26" s="222">
        <f>SUMIFS(DATA_GOC!$H:$H,DATA_GOC!$A:$A,"BOM",DATA_GOC!$D:$D,$B26,DATA_GOC!$G:$G,"Dầu thủy lực",DATA_GOC!$B:$B,"&gt;="&amp;DATE($D$2,$B$2,1),DATA_GOC!$B:$B,"&lt;"&amp;EDATE(DATE($D$2,$B$2,1),1))+SUMIFS(DATA_GOC!$H:$H,DATA_GOC!$A:$A,"BOM",DATA_GOC!$D:$D,$B26,DATA_GOC!$E:$E,"Dầu thủy lực",DATA_GOC!$G:$G,"&lt;&gt;Dầu thủy lực",DATA_GOC!$B:$B,"&gt;="&amp;DATE($D$2,$B$2,1),DATA_GOC!$B:$B,"&lt;"&amp;EDATE(DATE($D$2,$B$2,1),1))</f>
        <v>0</v>
      </c>
      <c r="K26" s="222">
        <f>SUMIFS(DATA_GOC!$H:$H,DATA_GOC!$A:$A,"BOM",DATA_GOC!$D:$D,$B26,DATA_GOC!$G:$G,"Dầu cầu",DATA_GOC!$B:$B,"&gt;="&amp;DATE($D$2,$B$2,1),DATA_GOC!$B:$B,"&lt;"&amp;EDATE(DATE($D$2,$B$2,1),1))+SUMIFS(DATA_GOC!$H:$H,DATA_GOC!$A:$A,"BOM",DATA_GOC!$D:$D,$B26,DATA_GOC!$E:$E,"Dầu cầu",DATA_GOC!$G:$G,"&lt;&gt;Dầu cầu",DATA_GOC!$B:$B,"&gt;="&amp;DATE($D$2,$B$2,1),DATA_GOC!$B:$B,"&lt;"&amp;EDATE(DATE($D$2,$B$2,1),1))</f>
        <v>0</v>
      </c>
      <c r="L26" s="222">
        <f>SUMIFS(DATA_GOC!$H:$H,DATA_GOC!$A:$A,"BOM",DATA_GOC!$D:$D,$B26,DATA_GOC!$G:$G,"Dầu số",DATA_GOC!$B:$B,"&gt;="&amp;DATE($D$2,$B$2,1),DATA_GOC!$B:$B,"&lt;"&amp;EDATE(DATE($D$2,$B$2,1),1))+SUMIFS(DATA_GOC!$H:$H,DATA_GOC!$A:$A,"BOM",DATA_GOC!$D:$D,$B26,DATA_GOC!$E:$E,"Dầu số",DATA_GOC!$G:$G,"&lt;&gt;Dầu số",DATA_GOC!$B:$B,"&gt;="&amp;DATE($D$2,$B$2,1),DATA_GOC!$B:$B,"&lt;"&amp;EDATE(DATE($D$2,$B$2,1),1))</f>
        <v>0</v>
      </c>
      <c r="M26" s="263">
        <f t="shared" si="3"/>
        <v>0</v>
      </c>
      <c r="N26" s="222">
        <f>SUMIFS(DATA_GOC!$K:$K,DATA_GOC!$A:$A,"BOM",DATA_GOC!$D:$D,$B26,DATA_GOC!$G:$G,"DO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26" s="222" t="str">
        <f t="shared" si="4"/>
        <v/>
      </c>
      <c r="P26" s="221"/>
    </row>
    <row r="27" ht="15.75" customHeight="1">
      <c r="A27" s="222">
        <f t="shared" si="1"/>
        <v>23</v>
      </c>
      <c r="B27" s="221" t="str">
        <f t="array" ref="B27">IFERROR(INDEX(DANH_MUC!$E:$E,ROW()-1),"")</f>
        <v>28C04509</v>
      </c>
      <c r="C27" s="222">
        <f>IF($B27="","",
  IFERROR(SUMIFS(DATA_GOC!$H:$H,
    DATA_GOC!$A:$A,"BOM",
    DATA_GOC!$D:$D,$B27,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TINH_TEC!$H:$H,$B27,
    TINH_TEC!$F:$F,$B$2,
    TINH_TEC!$G:$G,$D$2
  ),0)
  -
  IFERROR(SUMIFS(TINH_TEC!$K:$K,
    TINH_TEC!$B:$B,"Đã chốt",
    TINH_TEC!$C:$C,C$4,
    TINH_TEC!$H:$H,$B27,
    TINH_TEC!$F:$F,$B$2,
    TINH_TEC!$G:$G,$D$2
  ),0)
)</f>
        <v>0</v>
      </c>
      <c r="D27" s="222">
        <f>IF($B27="","",
  IFERROR(SUMIFS(DATA_GOC!$H:$H,
    DATA_GOC!$A:$A,"BOM",
    DATA_GOC!$D:$D,$B27,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TINH_TEC!$H:$H,$B27,
    TINH_TEC!$F:$F,$B$2,
    TINH_TEC!$G:$G,$D$2
  ),0)
  -
  IFERROR(SUMIFS(TINH_TEC!$K:$K,
    TINH_TEC!$B:$B,"Đã chốt",
    TINH_TEC!$C:$C,D$4,
    TINH_TEC!$H:$H,$B27,
    TINH_TEC!$F:$F,$B$2,
    TINH_TEC!$G:$G,$D$2
  ),0)
)</f>
        <v>69.931</v>
      </c>
      <c r="E27" s="222">
        <f>IF($B27="","",
  IFERROR(SUMIFS(DATA_GOC!$H:$H,
    DATA_GOC!$A:$A,"BOM",
    DATA_GOC!$D:$D,$B27,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TINH_TEC!$H:$H,$B27,
    TINH_TEC!$F:$F,$B$2,
    TINH_TEC!$G:$G,$D$2
  ),0)
  -
  IFERROR(SUMIFS(TINH_TEC!$K:$K,
    TINH_TEC!$B:$B,"Đã chốt",
    TINH_TEC!$C:$C,E$4,
    TINH_TEC!$H:$H,$B27,
    TINH_TEC!$F:$F,$B$2,
    TINH_TEC!$G:$G,$D$2
  ),0)
)</f>
        <v>0</v>
      </c>
      <c r="F27" s="222">
        <f>SUMIFS(DATA_GOC!$H:$H,DATA_GOC!$A:$A,"BOM",DATA_GOC!$D:$D,$B27,DATA_GOC!$F:$F,"Xuất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7" s="222">
        <f>SUMIFS(DATA_GOC!$H:$H,DATA_GOC!$A:$A,"BOM",DATA_GOC!$D:$D,$B27,DATA_GOC!$F:$F,"Bơm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7" s="263">
        <f t="shared" si="2"/>
        <v>69.931</v>
      </c>
      <c r="I27" s="222">
        <f>SUMIFS(DATA_GOC!$H:$H,DATA_GOC!$A:$A,"BOM",DATA_GOC!$D:$D,$B27,DATA_GOC!$G:$G,"Dầu động cơ",DATA_GOC!$B:$B,"&gt;="&amp;DATE($D$2,$B$2,1),DATA_GOC!$B:$B,"&lt;"&amp;EDATE(DATE($D$2,$B$2,1),1))+SUMIFS(DATA_GOC!$H:$H,DATA_GOC!$A:$A,"BOM",DATA_GOC!$D:$D,$B27,DATA_GOC!$E:$E,"Dầu động cơ",DATA_GOC!$G:$G,"&lt;&gt;Dầu động cơ",DATA_GOC!$B:$B,"&gt;="&amp;DATE($D$2,$B$2,1),DATA_GOC!$B:$B,"&lt;"&amp;EDATE(DATE($D$2,$B$2,1),1))</f>
        <v>0</v>
      </c>
      <c r="J27" s="222">
        <f>SUMIFS(DATA_GOC!$H:$H,DATA_GOC!$A:$A,"BOM",DATA_GOC!$D:$D,$B27,DATA_GOC!$G:$G,"Dầu thủy lực",DATA_GOC!$B:$B,"&gt;="&amp;DATE($D$2,$B$2,1),DATA_GOC!$B:$B,"&lt;"&amp;EDATE(DATE($D$2,$B$2,1),1))+SUMIFS(DATA_GOC!$H:$H,DATA_GOC!$A:$A,"BOM",DATA_GOC!$D:$D,$B27,DATA_GOC!$E:$E,"Dầu thủy lực",DATA_GOC!$G:$G,"&lt;&gt;Dầu thủy lực",DATA_GOC!$B:$B,"&gt;="&amp;DATE($D$2,$B$2,1),DATA_GOC!$B:$B,"&lt;"&amp;EDATE(DATE($D$2,$B$2,1),1))</f>
        <v>0</v>
      </c>
      <c r="K27" s="222">
        <f>SUMIFS(DATA_GOC!$H:$H,DATA_GOC!$A:$A,"BOM",DATA_GOC!$D:$D,$B27,DATA_GOC!$G:$G,"Dầu cầu",DATA_GOC!$B:$B,"&gt;="&amp;DATE($D$2,$B$2,1),DATA_GOC!$B:$B,"&lt;"&amp;EDATE(DATE($D$2,$B$2,1),1))+SUMIFS(DATA_GOC!$H:$H,DATA_GOC!$A:$A,"BOM",DATA_GOC!$D:$D,$B27,DATA_GOC!$E:$E,"Dầu cầu",DATA_GOC!$G:$G,"&lt;&gt;Dầu cầu",DATA_GOC!$B:$B,"&gt;="&amp;DATE($D$2,$B$2,1),DATA_GOC!$B:$B,"&lt;"&amp;EDATE(DATE($D$2,$B$2,1),1))</f>
        <v>0</v>
      </c>
      <c r="L27" s="222">
        <f>SUMIFS(DATA_GOC!$H:$H,DATA_GOC!$A:$A,"BOM",DATA_GOC!$D:$D,$B27,DATA_GOC!$G:$G,"Dầu số",DATA_GOC!$B:$B,"&gt;="&amp;DATE($D$2,$B$2,1),DATA_GOC!$B:$B,"&lt;"&amp;EDATE(DATE($D$2,$B$2,1),1))+SUMIFS(DATA_GOC!$H:$H,DATA_GOC!$A:$A,"BOM",DATA_GOC!$D:$D,$B27,DATA_GOC!$E:$E,"Dầu số",DATA_GOC!$G:$G,"&lt;&gt;Dầu số",DATA_GOC!$B:$B,"&gt;="&amp;DATE($D$2,$B$2,1),DATA_GOC!$B:$B,"&lt;"&amp;EDATE(DATE($D$2,$B$2,1),1))</f>
        <v>0</v>
      </c>
      <c r="M27" s="263">
        <f t="shared" si="3"/>
        <v>0</v>
      </c>
      <c r="N27" s="222">
        <f>SUMIFS(DATA_GOC!$K:$K,DATA_GOC!$A:$A,"BOM",DATA_GOC!$D:$D,$B27,DATA_GOC!$G:$G,"DO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885</v>
      </c>
      <c r="O27" s="222">
        <f t="shared" si="4"/>
        <v>7.90180791</v>
      </c>
      <c r="P27" s="221"/>
    </row>
    <row r="28" ht="15.75" customHeight="1">
      <c r="A28" s="222">
        <f t="shared" si="1"/>
        <v>24</v>
      </c>
      <c r="B28" s="221" t="str">
        <f t="array" ref="B28">IFERROR(INDEX(DANH_MUC!$E:$E,ROW()-1),"")</f>
        <v>28C04536</v>
      </c>
      <c r="C28" s="222">
        <f>IF($B28="","",
  IFERROR(SUMIFS(DATA_GOC!$H:$H,
    DATA_GOC!$A:$A,"BOM",
    DATA_GOC!$D:$D,$B28,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TINH_TEC!$H:$H,$B28,
    TINH_TEC!$F:$F,$B$2,
    TINH_TEC!$G:$G,$D$2
  ),0)
  -
  IFERROR(SUMIFS(TINH_TEC!$K:$K,
    TINH_TEC!$B:$B,"Đã chốt",
    TINH_TEC!$C:$C,C$4,
    TINH_TEC!$H:$H,$B28,
    TINH_TEC!$F:$F,$B$2,
    TINH_TEC!$G:$G,$D$2
  ),0)
)</f>
        <v>0</v>
      </c>
      <c r="D28" s="222">
        <f>IF($B28="","",
  IFERROR(SUMIFS(DATA_GOC!$H:$H,
    DATA_GOC!$A:$A,"BOM",
    DATA_GOC!$D:$D,$B28,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TINH_TEC!$H:$H,$B28,
    TINH_TEC!$F:$F,$B$2,
    TINH_TEC!$G:$G,$D$2
  ),0)
  -
  IFERROR(SUMIFS(TINH_TEC!$K:$K,
    TINH_TEC!$B:$B,"Đã chốt",
    TINH_TEC!$C:$C,D$4,
    TINH_TEC!$H:$H,$B28,
    TINH_TEC!$F:$F,$B$2,
    TINH_TEC!$G:$G,$D$2
  ),0)
)</f>
        <v>0</v>
      </c>
      <c r="E28" s="222">
        <f>IF($B28="","",
  IFERROR(SUMIFS(DATA_GOC!$H:$H,
    DATA_GOC!$A:$A,"BOM",
    DATA_GOC!$D:$D,$B28,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TINH_TEC!$H:$H,$B28,
    TINH_TEC!$F:$F,$B$2,
    TINH_TEC!$G:$G,$D$2
  ),0)
  -
  IFERROR(SUMIFS(TINH_TEC!$K:$K,
    TINH_TEC!$B:$B,"Đã chốt",
    TINH_TEC!$C:$C,E$4,
    TINH_TEC!$H:$H,$B28,
    TINH_TEC!$F:$F,$B$2,
    TINH_TEC!$G:$G,$D$2
  ),0)
)</f>
        <v>0</v>
      </c>
      <c r="F28" s="222">
        <f>SUMIFS(DATA_GOC!$H:$H,DATA_GOC!$A:$A,"BOM",DATA_GOC!$D:$D,$B28,DATA_GOC!$F:$F,"Xuất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8" s="222">
        <f>SUMIFS(DATA_GOC!$H:$H,DATA_GOC!$A:$A,"BOM",DATA_GOC!$D:$D,$B28,DATA_GOC!$F:$F,"Bơm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8" s="263">
        <f t="shared" si="2"/>
        <v>0</v>
      </c>
      <c r="I28" s="222">
        <f>SUMIFS(DATA_GOC!$H:$H,DATA_GOC!$A:$A,"BOM",DATA_GOC!$D:$D,$B28,DATA_GOC!$G:$G,"Dầu động cơ",DATA_GOC!$B:$B,"&gt;="&amp;DATE($D$2,$B$2,1),DATA_GOC!$B:$B,"&lt;"&amp;EDATE(DATE($D$2,$B$2,1),1))+SUMIFS(DATA_GOC!$H:$H,DATA_GOC!$A:$A,"BOM",DATA_GOC!$D:$D,$B28,DATA_GOC!$E:$E,"Dầu động cơ",DATA_GOC!$G:$G,"&lt;&gt;Dầu động cơ",DATA_GOC!$B:$B,"&gt;="&amp;DATE($D$2,$B$2,1),DATA_GOC!$B:$B,"&lt;"&amp;EDATE(DATE($D$2,$B$2,1),1))</f>
        <v>0</v>
      </c>
      <c r="J28" s="222">
        <f>SUMIFS(DATA_GOC!$H:$H,DATA_GOC!$A:$A,"BOM",DATA_GOC!$D:$D,$B28,DATA_GOC!$G:$G,"Dầu thủy lực",DATA_GOC!$B:$B,"&gt;="&amp;DATE($D$2,$B$2,1),DATA_GOC!$B:$B,"&lt;"&amp;EDATE(DATE($D$2,$B$2,1),1))+SUMIFS(DATA_GOC!$H:$H,DATA_GOC!$A:$A,"BOM",DATA_GOC!$D:$D,$B28,DATA_GOC!$E:$E,"Dầu thủy lực",DATA_GOC!$G:$G,"&lt;&gt;Dầu thủy lực",DATA_GOC!$B:$B,"&gt;="&amp;DATE($D$2,$B$2,1),DATA_GOC!$B:$B,"&lt;"&amp;EDATE(DATE($D$2,$B$2,1),1))</f>
        <v>0</v>
      </c>
      <c r="K28" s="222">
        <f>SUMIFS(DATA_GOC!$H:$H,DATA_GOC!$A:$A,"BOM",DATA_GOC!$D:$D,$B28,DATA_GOC!$G:$G,"Dầu cầu",DATA_GOC!$B:$B,"&gt;="&amp;DATE($D$2,$B$2,1),DATA_GOC!$B:$B,"&lt;"&amp;EDATE(DATE($D$2,$B$2,1),1))+SUMIFS(DATA_GOC!$H:$H,DATA_GOC!$A:$A,"BOM",DATA_GOC!$D:$D,$B28,DATA_GOC!$E:$E,"Dầu cầu",DATA_GOC!$G:$G,"&lt;&gt;Dầu cầu",DATA_GOC!$B:$B,"&gt;="&amp;DATE($D$2,$B$2,1),DATA_GOC!$B:$B,"&lt;"&amp;EDATE(DATE($D$2,$B$2,1),1))</f>
        <v>0</v>
      </c>
      <c r="L28" s="222">
        <f>SUMIFS(DATA_GOC!$H:$H,DATA_GOC!$A:$A,"BOM",DATA_GOC!$D:$D,$B28,DATA_GOC!$G:$G,"Dầu số",DATA_GOC!$B:$B,"&gt;="&amp;DATE($D$2,$B$2,1),DATA_GOC!$B:$B,"&lt;"&amp;EDATE(DATE($D$2,$B$2,1),1))+SUMIFS(DATA_GOC!$H:$H,DATA_GOC!$A:$A,"BOM",DATA_GOC!$D:$D,$B28,DATA_GOC!$E:$E,"Dầu số",DATA_GOC!$G:$G,"&lt;&gt;Dầu số",DATA_GOC!$B:$B,"&gt;="&amp;DATE($D$2,$B$2,1),DATA_GOC!$B:$B,"&lt;"&amp;EDATE(DATE($D$2,$B$2,1),1))</f>
        <v>0</v>
      </c>
      <c r="M28" s="263">
        <f t="shared" si="3"/>
        <v>0</v>
      </c>
      <c r="N28" s="222">
        <f>SUMIFS(DATA_GOC!$K:$K,DATA_GOC!$A:$A,"BOM",DATA_GOC!$D:$D,$B28,DATA_GOC!$G:$G,"DO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28" s="222" t="str">
        <f t="shared" si="4"/>
        <v/>
      </c>
      <c r="P28" s="221"/>
    </row>
    <row r="29" ht="15.75" customHeight="1">
      <c r="A29" s="222">
        <f t="shared" si="1"/>
        <v>25</v>
      </c>
      <c r="B29" s="221" t="str">
        <f t="array" ref="B29">IFERROR(INDEX(DANH_MUC!$E:$E,ROW()-1),"")</f>
        <v>28C04576</v>
      </c>
      <c r="C29" s="222">
        <f>IF($B29="","",
  IFERROR(SUMIFS(DATA_GOC!$H:$H,
    DATA_GOC!$A:$A,"BOM",
    DATA_GOC!$D:$D,$B29,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TINH_TEC!$H:$H,$B29,
    TINH_TEC!$F:$F,$B$2,
    TINH_TEC!$G:$G,$D$2
  ),0)
  -
  IFERROR(SUMIFS(TINH_TEC!$K:$K,
    TINH_TEC!$B:$B,"Đã chốt",
    TINH_TEC!$C:$C,C$4,
    TINH_TEC!$H:$H,$B29,
    TINH_TEC!$F:$F,$B$2,
    TINH_TEC!$G:$G,$D$2
  ),0)
)</f>
        <v>0</v>
      </c>
      <c r="D29" s="222">
        <f>IF($B29="","",
  IFERROR(SUMIFS(DATA_GOC!$H:$H,
    DATA_GOC!$A:$A,"BOM",
    DATA_GOC!$D:$D,$B29,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TINH_TEC!$H:$H,$B29,
    TINH_TEC!$F:$F,$B$2,
    TINH_TEC!$G:$G,$D$2
  ),0)
  -
  IFERROR(SUMIFS(TINH_TEC!$K:$K,
    TINH_TEC!$B:$B,"Đã chốt",
    TINH_TEC!$C:$C,D$4,
    TINH_TEC!$H:$H,$B29,
    TINH_TEC!$F:$F,$B$2,
    TINH_TEC!$G:$G,$D$2
  ),0)
)</f>
        <v>261.731</v>
      </c>
      <c r="E29" s="222">
        <f>IF($B29="","",
  IFERROR(SUMIFS(DATA_GOC!$H:$H,
    DATA_GOC!$A:$A,"BOM",
    DATA_GOC!$D:$D,$B29,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TINH_TEC!$H:$H,$B29,
    TINH_TEC!$F:$F,$B$2,
    TINH_TEC!$G:$G,$D$2
  ),0)
  -
  IFERROR(SUMIFS(TINH_TEC!$K:$K,
    TINH_TEC!$B:$B,"Đã chốt",
    TINH_TEC!$C:$C,E$4,
    TINH_TEC!$H:$H,$B29,
    TINH_TEC!$F:$F,$B$2,
    TINH_TEC!$G:$G,$D$2
  ),0)
)</f>
        <v>0</v>
      </c>
      <c r="F29" s="222">
        <f>SUMIFS(DATA_GOC!$H:$H,DATA_GOC!$A:$A,"BOM",DATA_GOC!$D:$D,$B29,DATA_GOC!$F:$F,"Xuất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29" s="222">
        <f>SUMIFS(DATA_GOC!$H:$H,DATA_GOC!$A:$A,"BOM",DATA_GOC!$D:$D,$B29,DATA_GOC!$F:$F,"Bơm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29" s="263">
        <f t="shared" si="2"/>
        <v>261.731</v>
      </c>
      <c r="I29" s="222">
        <f>SUMIFS(DATA_GOC!$H:$H,DATA_GOC!$A:$A,"BOM",DATA_GOC!$D:$D,$B29,DATA_GOC!$G:$G,"Dầu động cơ",DATA_GOC!$B:$B,"&gt;="&amp;DATE($D$2,$B$2,1),DATA_GOC!$B:$B,"&lt;"&amp;EDATE(DATE($D$2,$B$2,1),1))+SUMIFS(DATA_GOC!$H:$H,DATA_GOC!$A:$A,"BOM",DATA_GOC!$D:$D,$B29,DATA_GOC!$E:$E,"Dầu động cơ",DATA_GOC!$G:$G,"&lt;&gt;Dầu động cơ",DATA_GOC!$B:$B,"&gt;="&amp;DATE($D$2,$B$2,1),DATA_GOC!$B:$B,"&lt;"&amp;EDATE(DATE($D$2,$B$2,1),1))</f>
        <v>0</v>
      </c>
      <c r="J29" s="222">
        <f>SUMIFS(DATA_GOC!$H:$H,DATA_GOC!$A:$A,"BOM",DATA_GOC!$D:$D,$B29,DATA_GOC!$G:$G,"Dầu thủy lực",DATA_GOC!$B:$B,"&gt;="&amp;DATE($D$2,$B$2,1),DATA_GOC!$B:$B,"&lt;"&amp;EDATE(DATE($D$2,$B$2,1),1))+SUMIFS(DATA_GOC!$H:$H,DATA_GOC!$A:$A,"BOM",DATA_GOC!$D:$D,$B29,DATA_GOC!$E:$E,"Dầu thủy lực",DATA_GOC!$G:$G,"&lt;&gt;Dầu thủy lực",DATA_GOC!$B:$B,"&gt;="&amp;DATE($D$2,$B$2,1),DATA_GOC!$B:$B,"&lt;"&amp;EDATE(DATE($D$2,$B$2,1),1))</f>
        <v>0</v>
      </c>
      <c r="K29" s="222">
        <f>SUMIFS(DATA_GOC!$H:$H,DATA_GOC!$A:$A,"BOM",DATA_GOC!$D:$D,$B29,DATA_GOC!$G:$G,"Dầu cầu",DATA_GOC!$B:$B,"&gt;="&amp;DATE($D$2,$B$2,1),DATA_GOC!$B:$B,"&lt;"&amp;EDATE(DATE($D$2,$B$2,1),1))+SUMIFS(DATA_GOC!$H:$H,DATA_GOC!$A:$A,"BOM",DATA_GOC!$D:$D,$B29,DATA_GOC!$E:$E,"Dầu cầu",DATA_GOC!$G:$G,"&lt;&gt;Dầu cầu",DATA_GOC!$B:$B,"&gt;="&amp;DATE($D$2,$B$2,1),DATA_GOC!$B:$B,"&lt;"&amp;EDATE(DATE($D$2,$B$2,1),1))</f>
        <v>0</v>
      </c>
      <c r="L29" s="222">
        <f>SUMIFS(DATA_GOC!$H:$H,DATA_GOC!$A:$A,"BOM",DATA_GOC!$D:$D,$B29,DATA_GOC!$G:$G,"Dầu số",DATA_GOC!$B:$B,"&gt;="&amp;DATE($D$2,$B$2,1),DATA_GOC!$B:$B,"&lt;"&amp;EDATE(DATE($D$2,$B$2,1),1))+SUMIFS(DATA_GOC!$H:$H,DATA_GOC!$A:$A,"BOM",DATA_GOC!$D:$D,$B29,DATA_GOC!$E:$E,"Dầu số",DATA_GOC!$G:$G,"&lt;&gt;Dầu số",DATA_GOC!$B:$B,"&gt;="&amp;DATE($D$2,$B$2,1),DATA_GOC!$B:$B,"&lt;"&amp;EDATE(DATE($D$2,$B$2,1),1))</f>
        <v>0</v>
      </c>
      <c r="M29" s="263">
        <f t="shared" si="3"/>
        <v>0</v>
      </c>
      <c r="N29" s="222">
        <f>SUMIFS(DATA_GOC!$K:$K,DATA_GOC!$A:$A,"BOM",DATA_GOC!$D:$D,$B29,DATA_GOC!$G:$G,"DO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504</v>
      </c>
      <c r="O29" s="222">
        <f t="shared" si="4"/>
        <v>51.93075397</v>
      </c>
      <c r="P29" s="221"/>
    </row>
    <row r="30" ht="15.75" customHeight="1">
      <c r="A30" s="222">
        <f t="shared" si="1"/>
        <v>26</v>
      </c>
      <c r="B30" s="221" t="str">
        <f t="array" ref="B30">IFERROR(INDEX(DANH_MUC!$E:$E,ROW()-1),"")</f>
        <v>28C05090</v>
      </c>
      <c r="C30" s="222">
        <f>IF($B30="","",
  IFERROR(SUMIFS(DATA_GOC!$H:$H,
    DATA_GOC!$A:$A,"BOM",
    DATA_GOC!$D:$D,$B30,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TINH_TEC!$H:$H,$B30,
    TINH_TEC!$F:$F,$B$2,
    TINH_TEC!$G:$G,$D$2
  ),0)
  -
  IFERROR(SUMIFS(TINH_TEC!$K:$K,
    TINH_TEC!$B:$B,"Đã chốt",
    TINH_TEC!$C:$C,C$4,
    TINH_TEC!$H:$H,$B30,
    TINH_TEC!$F:$F,$B$2,
    TINH_TEC!$G:$G,$D$2
  ),0)
)</f>
        <v>0</v>
      </c>
      <c r="D30" s="222">
        <f>IF($B30="","",
  IFERROR(SUMIFS(DATA_GOC!$H:$H,
    DATA_GOC!$A:$A,"BOM",
    DATA_GOC!$D:$D,$B30,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TINH_TEC!$H:$H,$B30,
    TINH_TEC!$F:$F,$B$2,
    TINH_TEC!$G:$G,$D$2
  ),0)
  -
  IFERROR(SUMIFS(TINH_TEC!$K:$K,
    TINH_TEC!$B:$B,"Đã chốt",
    TINH_TEC!$C:$C,D$4,
    TINH_TEC!$H:$H,$B30,
    TINH_TEC!$F:$F,$B$2,
    TINH_TEC!$G:$G,$D$2
  ),0)
)</f>
        <v>0</v>
      </c>
      <c r="E30" s="222">
        <f>IF($B30="","",
  IFERROR(SUMIFS(DATA_GOC!$H:$H,
    DATA_GOC!$A:$A,"BOM",
    DATA_GOC!$D:$D,$B30,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TINH_TEC!$H:$H,$B30,
    TINH_TEC!$F:$F,$B$2,
    TINH_TEC!$G:$G,$D$2
  ),0)
  -
  IFERROR(SUMIFS(TINH_TEC!$K:$K,
    TINH_TEC!$B:$B,"Đã chốt",
    TINH_TEC!$C:$C,E$4,
    TINH_TEC!$H:$H,$B30,
    TINH_TEC!$F:$F,$B$2,
    TINH_TEC!$G:$G,$D$2
  ),0)
)</f>
        <v>0</v>
      </c>
      <c r="F30" s="222">
        <f>SUMIFS(DATA_GOC!$H:$H,DATA_GOC!$A:$A,"BOM",DATA_GOC!$D:$D,$B30,DATA_GOC!$F:$F,"Xuất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0" s="222">
        <f>SUMIFS(DATA_GOC!$H:$H,DATA_GOC!$A:$A,"BOM",DATA_GOC!$D:$D,$B30,DATA_GOC!$F:$F,"Bơm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0" s="263">
        <f t="shared" si="2"/>
        <v>0</v>
      </c>
      <c r="I30" s="222">
        <f>SUMIFS(DATA_GOC!$H:$H,DATA_GOC!$A:$A,"BOM",DATA_GOC!$D:$D,$B30,DATA_GOC!$G:$G,"Dầu động cơ",DATA_GOC!$B:$B,"&gt;="&amp;DATE($D$2,$B$2,1),DATA_GOC!$B:$B,"&lt;"&amp;EDATE(DATE($D$2,$B$2,1),1))+SUMIFS(DATA_GOC!$H:$H,DATA_GOC!$A:$A,"BOM",DATA_GOC!$D:$D,$B30,DATA_GOC!$E:$E,"Dầu động cơ",DATA_GOC!$G:$G,"&lt;&gt;Dầu động cơ",DATA_GOC!$B:$B,"&gt;="&amp;DATE($D$2,$B$2,1),DATA_GOC!$B:$B,"&lt;"&amp;EDATE(DATE($D$2,$B$2,1),1))</f>
        <v>0</v>
      </c>
      <c r="J30" s="222">
        <f>SUMIFS(DATA_GOC!$H:$H,DATA_GOC!$A:$A,"BOM",DATA_GOC!$D:$D,$B30,DATA_GOC!$G:$G,"Dầu thủy lực",DATA_GOC!$B:$B,"&gt;="&amp;DATE($D$2,$B$2,1),DATA_GOC!$B:$B,"&lt;"&amp;EDATE(DATE($D$2,$B$2,1),1))+SUMIFS(DATA_GOC!$H:$H,DATA_GOC!$A:$A,"BOM",DATA_GOC!$D:$D,$B30,DATA_GOC!$E:$E,"Dầu thủy lực",DATA_GOC!$G:$G,"&lt;&gt;Dầu thủy lực",DATA_GOC!$B:$B,"&gt;="&amp;DATE($D$2,$B$2,1),DATA_GOC!$B:$B,"&lt;"&amp;EDATE(DATE($D$2,$B$2,1),1))</f>
        <v>0</v>
      </c>
      <c r="K30" s="222">
        <f>SUMIFS(DATA_GOC!$H:$H,DATA_GOC!$A:$A,"BOM",DATA_GOC!$D:$D,$B30,DATA_GOC!$G:$G,"Dầu cầu",DATA_GOC!$B:$B,"&gt;="&amp;DATE($D$2,$B$2,1),DATA_GOC!$B:$B,"&lt;"&amp;EDATE(DATE($D$2,$B$2,1),1))+SUMIFS(DATA_GOC!$H:$H,DATA_GOC!$A:$A,"BOM",DATA_GOC!$D:$D,$B30,DATA_GOC!$E:$E,"Dầu cầu",DATA_GOC!$G:$G,"&lt;&gt;Dầu cầu",DATA_GOC!$B:$B,"&gt;="&amp;DATE($D$2,$B$2,1),DATA_GOC!$B:$B,"&lt;"&amp;EDATE(DATE($D$2,$B$2,1),1))</f>
        <v>0</v>
      </c>
      <c r="L30" s="222">
        <f>SUMIFS(DATA_GOC!$H:$H,DATA_GOC!$A:$A,"BOM",DATA_GOC!$D:$D,$B30,DATA_GOC!$G:$G,"Dầu số",DATA_GOC!$B:$B,"&gt;="&amp;DATE($D$2,$B$2,1),DATA_GOC!$B:$B,"&lt;"&amp;EDATE(DATE($D$2,$B$2,1),1))+SUMIFS(DATA_GOC!$H:$H,DATA_GOC!$A:$A,"BOM",DATA_GOC!$D:$D,$B30,DATA_GOC!$E:$E,"Dầu số",DATA_GOC!$G:$G,"&lt;&gt;Dầu số",DATA_GOC!$B:$B,"&gt;="&amp;DATE($D$2,$B$2,1),DATA_GOC!$B:$B,"&lt;"&amp;EDATE(DATE($D$2,$B$2,1),1))</f>
        <v>0</v>
      </c>
      <c r="M30" s="263">
        <f t="shared" si="3"/>
        <v>0</v>
      </c>
      <c r="N30" s="222">
        <f>SUMIFS(DATA_GOC!$K:$K,DATA_GOC!$A:$A,"BOM",DATA_GOC!$D:$D,$B30,DATA_GOC!$G:$G,"DO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30" s="222" t="str">
        <f t="shared" si="4"/>
        <v/>
      </c>
      <c r="P30" s="221"/>
    </row>
    <row r="31" ht="15.75" customHeight="1">
      <c r="A31" s="222">
        <f t="shared" si="1"/>
        <v>27</v>
      </c>
      <c r="B31" s="221" t="str">
        <f t="array" ref="B31">IFERROR(INDEX(DANH_MUC!$E:$E,ROW()-1),"")</f>
        <v>28C05345</v>
      </c>
      <c r="C31" s="222">
        <f>IF($B31="","",
  IFERROR(SUMIFS(DATA_GOC!$H:$H,
    DATA_GOC!$A:$A,"BOM",
    DATA_GOC!$D:$D,$B31,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TINH_TEC!$H:$H,$B31,
    TINH_TEC!$F:$F,$B$2,
    TINH_TEC!$G:$G,$D$2
  ),0)
  -
  IFERROR(SUMIFS(TINH_TEC!$K:$K,
    TINH_TEC!$B:$B,"Đã chốt",
    TINH_TEC!$C:$C,C$4,
    TINH_TEC!$H:$H,$B31,
    TINH_TEC!$F:$F,$B$2,
    TINH_TEC!$G:$G,$D$2
  ),0)
)</f>
        <v>0</v>
      </c>
      <c r="D31" s="222">
        <f>IF($B31="","",
  IFERROR(SUMIFS(DATA_GOC!$H:$H,
    DATA_GOC!$A:$A,"BOM",
    DATA_GOC!$D:$D,$B31,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TINH_TEC!$H:$H,$B31,
    TINH_TEC!$F:$F,$B$2,
    TINH_TEC!$G:$G,$D$2
  ),0)
  -
  IFERROR(SUMIFS(TINH_TEC!$K:$K,
    TINH_TEC!$B:$B,"Đã chốt",
    TINH_TEC!$C:$C,D$4,
    TINH_TEC!$H:$H,$B31,
    TINH_TEC!$F:$F,$B$2,
    TINH_TEC!$G:$G,$D$2
  ),0)
)</f>
        <v>156.18</v>
      </c>
      <c r="E31" s="222">
        <f>IF($B31="","",
  IFERROR(SUMIFS(DATA_GOC!$H:$H,
    DATA_GOC!$A:$A,"BOM",
    DATA_GOC!$D:$D,$B31,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TINH_TEC!$H:$H,$B31,
    TINH_TEC!$F:$F,$B$2,
    TINH_TEC!$G:$G,$D$2
  ),0)
  -
  IFERROR(SUMIFS(TINH_TEC!$K:$K,
    TINH_TEC!$B:$B,"Đã chốt",
    TINH_TEC!$C:$C,E$4,
    TINH_TEC!$H:$H,$B31,
    TINH_TEC!$F:$F,$B$2,
    TINH_TEC!$G:$G,$D$2
  ),0)
)</f>
        <v>0</v>
      </c>
      <c r="F31" s="222">
        <f>SUMIFS(DATA_GOC!$H:$H,DATA_GOC!$A:$A,"BOM",DATA_GOC!$D:$D,$B31,DATA_GOC!$F:$F,"Xuất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1" s="222">
        <f>SUMIFS(DATA_GOC!$H:$H,DATA_GOC!$A:$A,"BOM",DATA_GOC!$D:$D,$B31,DATA_GOC!$F:$F,"Bơm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1" s="263">
        <f t="shared" si="2"/>
        <v>156.18</v>
      </c>
      <c r="I31" s="222">
        <f>SUMIFS(DATA_GOC!$H:$H,DATA_GOC!$A:$A,"BOM",DATA_GOC!$D:$D,$B31,DATA_GOC!$G:$G,"Dầu động cơ",DATA_GOC!$B:$B,"&gt;="&amp;DATE($D$2,$B$2,1),DATA_GOC!$B:$B,"&lt;"&amp;EDATE(DATE($D$2,$B$2,1),1))+SUMIFS(DATA_GOC!$H:$H,DATA_GOC!$A:$A,"BOM",DATA_GOC!$D:$D,$B31,DATA_GOC!$E:$E,"Dầu động cơ",DATA_GOC!$G:$G,"&lt;&gt;Dầu động cơ",DATA_GOC!$B:$B,"&gt;="&amp;DATE($D$2,$B$2,1),DATA_GOC!$B:$B,"&lt;"&amp;EDATE(DATE($D$2,$B$2,1),1))</f>
        <v>0</v>
      </c>
      <c r="J31" s="222">
        <f>SUMIFS(DATA_GOC!$H:$H,DATA_GOC!$A:$A,"BOM",DATA_GOC!$D:$D,$B31,DATA_GOC!$G:$G,"Dầu thủy lực",DATA_GOC!$B:$B,"&gt;="&amp;DATE($D$2,$B$2,1),DATA_GOC!$B:$B,"&lt;"&amp;EDATE(DATE($D$2,$B$2,1),1))+SUMIFS(DATA_GOC!$H:$H,DATA_GOC!$A:$A,"BOM",DATA_GOC!$D:$D,$B31,DATA_GOC!$E:$E,"Dầu thủy lực",DATA_GOC!$G:$G,"&lt;&gt;Dầu thủy lực",DATA_GOC!$B:$B,"&gt;="&amp;DATE($D$2,$B$2,1),DATA_GOC!$B:$B,"&lt;"&amp;EDATE(DATE($D$2,$B$2,1),1))</f>
        <v>0</v>
      </c>
      <c r="K31" s="222">
        <f>SUMIFS(DATA_GOC!$H:$H,DATA_GOC!$A:$A,"BOM",DATA_GOC!$D:$D,$B31,DATA_GOC!$G:$G,"Dầu cầu",DATA_GOC!$B:$B,"&gt;="&amp;DATE($D$2,$B$2,1),DATA_GOC!$B:$B,"&lt;"&amp;EDATE(DATE($D$2,$B$2,1),1))+SUMIFS(DATA_GOC!$H:$H,DATA_GOC!$A:$A,"BOM",DATA_GOC!$D:$D,$B31,DATA_GOC!$E:$E,"Dầu cầu",DATA_GOC!$G:$G,"&lt;&gt;Dầu cầu",DATA_GOC!$B:$B,"&gt;="&amp;DATE($D$2,$B$2,1),DATA_GOC!$B:$B,"&lt;"&amp;EDATE(DATE($D$2,$B$2,1),1))</f>
        <v>0</v>
      </c>
      <c r="L31" s="222">
        <f>SUMIFS(DATA_GOC!$H:$H,DATA_GOC!$A:$A,"BOM",DATA_GOC!$D:$D,$B31,DATA_GOC!$G:$G,"Dầu số",DATA_GOC!$B:$B,"&gt;="&amp;DATE($D$2,$B$2,1),DATA_GOC!$B:$B,"&lt;"&amp;EDATE(DATE($D$2,$B$2,1),1))+SUMIFS(DATA_GOC!$H:$H,DATA_GOC!$A:$A,"BOM",DATA_GOC!$D:$D,$B31,DATA_GOC!$E:$E,"Dầu số",DATA_GOC!$G:$G,"&lt;&gt;Dầu số",DATA_GOC!$B:$B,"&gt;="&amp;DATE($D$2,$B$2,1),DATA_GOC!$B:$B,"&lt;"&amp;EDATE(DATE($D$2,$B$2,1),1))</f>
        <v>0</v>
      </c>
      <c r="M31" s="263">
        <f t="shared" si="3"/>
        <v>0</v>
      </c>
      <c r="N31" s="222">
        <f>SUMIFS(DATA_GOC!$K:$K,DATA_GOC!$A:$A,"BOM",DATA_GOC!$D:$D,$B31,DATA_GOC!$G:$G,"DO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111</v>
      </c>
      <c r="O31" s="222">
        <f t="shared" si="4"/>
        <v>140.7027027</v>
      </c>
      <c r="P31" s="221"/>
    </row>
    <row r="32" ht="15.75" customHeight="1">
      <c r="A32" s="222">
        <f t="shared" si="1"/>
        <v>28</v>
      </c>
      <c r="B32" s="221" t="str">
        <f t="array" ref="B32">IFERROR(INDEX(DANH_MUC!$E:$E,ROW()-1),"")</f>
        <v>28C05661</v>
      </c>
      <c r="C32" s="222">
        <f>IF($B32="","",
  IFERROR(SUMIFS(DATA_GOC!$H:$H,
    DATA_GOC!$A:$A,"BOM",
    DATA_GOC!$D:$D,$B32,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TINH_TEC!$H:$H,$B32,
    TINH_TEC!$F:$F,$B$2,
    TINH_TEC!$G:$G,$D$2
  ),0)
  -
  IFERROR(SUMIFS(TINH_TEC!$K:$K,
    TINH_TEC!$B:$B,"Đã chốt",
    TINH_TEC!$C:$C,C$4,
    TINH_TEC!$H:$H,$B32,
    TINH_TEC!$F:$F,$B$2,
    TINH_TEC!$G:$G,$D$2
  ),0)
)</f>
        <v>0</v>
      </c>
      <c r="D32" s="222">
        <f>IF($B32="","",
  IFERROR(SUMIFS(DATA_GOC!$H:$H,
    DATA_GOC!$A:$A,"BOM",
    DATA_GOC!$D:$D,$B32,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TINH_TEC!$H:$H,$B32,
    TINH_TEC!$F:$F,$B$2,
    TINH_TEC!$G:$G,$D$2
  ),0)
  -
  IFERROR(SUMIFS(TINH_TEC!$K:$K,
    TINH_TEC!$B:$B,"Đã chốt",
    TINH_TEC!$C:$C,D$4,
    TINH_TEC!$H:$H,$B32,
    TINH_TEC!$F:$F,$B$2,
    TINH_TEC!$G:$G,$D$2
  ),0)
)</f>
        <v>0</v>
      </c>
      <c r="E32" s="222">
        <f>IF($B32="","",
  IFERROR(SUMIFS(DATA_GOC!$H:$H,
    DATA_GOC!$A:$A,"BOM",
    DATA_GOC!$D:$D,$B32,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TINH_TEC!$H:$H,$B32,
    TINH_TEC!$F:$F,$B$2,
    TINH_TEC!$G:$G,$D$2
  ),0)
  -
  IFERROR(SUMIFS(TINH_TEC!$K:$K,
    TINH_TEC!$B:$B,"Đã chốt",
    TINH_TEC!$C:$C,E$4,
    TINH_TEC!$H:$H,$B32,
    TINH_TEC!$F:$F,$B$2,
    TINH_TEC!$G:$G,$D$2
  ),0)
)</f>
        <v>0</v>
      </c>
      <c r="F32" s="222">
        <f>SUMIFS(DATA_GOC!$H:$H,DATA_GOC!$A:$A,"BOM",DATA_GOC!$D:$D,$B32,DATA_GOC!$F:$F,"Xuất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2" s="222">
        <f>SUMIFS(DATA_GOC!$H:$H,DATA_GOC!$A:$A,"BOM",DATA_GOC!$D:$D,$B32,DATA_GOC!$F:$F,"Bơm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2" s="263">
        <f t="shared" si="2"/>
        <v>0</v>
      </c>
      <c r="I32" s="222">
        <f>SUMIFS(DATA_GOC!$H:$H,DATA_GOC!$A:$A,"BOM",DATA_GOC!$D:$D,$B32,DATA_GOC!$G:$G,"Dầu động cơ",DATA_GOC!$B:$B,"&gt;="&amp;DATE($D$2,$B$2,1),DATA_GOC!$B:$B,"&lt;"&amp;EDATE(DATE($D$2,$B$2,1),1))+SUMIFS(DATA_GOC!$H:$H,DATA_GOC!$A:$A,"BOM",DATA_GOC!$D:$D,$B32,DATA_GOC!$E:$E,"Dầu động cơ",DATA_GOC!$G:$G,"&lt;&gt;Dầu động cơ",DATA_GOC!$B:$B,"&gt;="&amp;DATE($D$2,$B$2,1),DATA_GOC!$B:$B,"&lt;"&amp;EDATE(DATE($D$2,$B$2,1),1))</f>
        <v>0</v>
      </c>
      <c r="J32" s="222">
        <f>SUMIFS(DATA_GOC!$H:$H,DATA_GOC!$A:$A,"BOM",DATA_GOC!$D:$D,$B32,DATA_GOC!$G:$G,"Dầu thủy lực",DATA_GOC!$B:$B,"&gt;="&amp;DATE($D$2,$B$2,1),DATA_GOC!$B:$B,"&lt;"&amp;EDATE(DATE($D$2,$B$2,1),1))+SUMIFS(DATA_GOC!$H:$H,DATA_GOC!$A:$A,"BOM",DATA_GOC!$D:$D,$B32,DATA_GOC!$E:$E,"Dầu thủy lực",DATA_GOC!$G:$G,"&lt;&gt;Dầu thủy lực",DATA_GOC!$B:$B,"&gt;="&amp;DATE($D$2,$B$2,1),DATA_GOC!$B:$B,"&lt;"&amp;EDATE(DATE($D$2,$B$2,1),1))</f>
        <v>0</v>
      </c>
      <c r="K32" s="222">
        <f>SUMIFS(DATA_GOC!$H:$H,DATA_GOC!$A:$A,"BOM",DATA_GOC!$D:$D,$B32,DATA_GOC!$G:$G,"Dầu cầu",DATA_GOC!$B:$B,"&gt;="&amp;DATE($D$2,$B$2,1),DATA_GOC!$B:$B,"&lt;"&amp;EDATE(DATE($D$2,$B$2,1),1))+SUMIFS(DATA_GOC!$H:$H,DATA_GOC!$A:$A,"BOM",DATA_GOC!$D:$D,$B32,DATA_GOC!$E:$E,"Dầu cầu",DATA_GOC!$G:$G,"&lt;&gt;Dầu cầu",DATA_GOC!$B:$B,"&gt;="&amp;DATE($D$2,$B$2,1),DATA_GOC!$B:$B,"&lt;"&amp;EDATE(DATE($D$2,$B$2,1),1))</f>
        <v>0</v>
      </c>
      <c r="L32" s="222">
        <f>SUMIFS(DATA_GOC!$H:$H,DATA_GOC!$A:$A,"BOM",DATA_GOC!$D:$D,$B32,DATA_GOC!$G:$G,"Dầu số",DATA_GOC!$B:$B,"&gt;="&amp;DATE($D$2,$B$2,1),DATA_GOC!$B:$B,"&lt;"&amp;EDATE(DATE($D$2,$B$2,1),1))+SUMIFS(DATA_GOC!$H:$H,DATA_GOC!$A:$A,"BOM",DATA_GOC!$D:$D,$B32,DATA_GOC!$E:$E,"Dầu số",DATA_GOC!$G:$G,"&lt;&gt;Dầu số",DATA_GOC!$B:$B,"&gt;="&amp;DATE($D$2,$B$2,1),DATA_GOC!$B:$B,"&lt;"&amp;EDATE(DATE($D$2,$B$2,1),1))</f>
        <v>0</v>
      </c>
      <c r="M32" s="263">
        <f t="shared" si="3"/>
        <v>0</v>
      </c>
      <c r="N32" s="222">
        <f>SUMIFS(DATA_GOC!$K:$K,DATA_GOC!$A:$A,"BOM",DATA_GOC!$D:$D,$B32,DATA_GOC!$G:$G,"DO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32" s="222" t="str">
        <f t="shared" si="4"/>
        <v/>
      </c>
      <c r="P32" s="221"/>
    </row>
    <row r="33" ht="15.75" customHeight="1">
      <c r="A33" s="222">
        <f t="shared" si="1"/>
        <v>29</v>
      </c>
      <c r="B33" s="221" t="str">
        <f t="array" ref="B33">IFERROR(INDEX(DANH_MUC!$E:$E,ROW()-1),"")</f>
        <v>28C05739</v>
      </c>
      <c r="C33" s="222">
        <f>IF($B33="","",
  IFERROR(SUMIFS(DATA_GOC!$H:$H,
    DATA_GOC!$A:$A,"BOM",
    DATA_GOC!$D:$D,$B33,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TINH_TEC!$H:$H,$B33,
    TINH_TEC!$F:$F,$B$2,
    TINH_TEC!$G:$G,$D$2
  ),0)
  -
  IFERROR(SUMIFS(TINH_TEC!$K:$K,
    TINH_TEC!$B:$B,"Đã chốt",
    TINH_TEC!$C:$C,C$4,
    TINH_TEC!$H:$H,$B33,
    TINH_TEC!$F:$F,$B$2,
    TINH_TEC!$G:$G,$D$2
  ),0)
)</f>
        <v>0</v>
      </c>
      <c r="D33" s="222">
        <f>IF($B33="","",
  IFERROR(SUMIFS(DATA_GOC!$H:$H,
    DATA_GOC!$A:$A,"BOM",
    DATA_GOC!$D:$D,$B33,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TINH_TEC!$H:$H,$B33,
    TINH_TEC!$F:$F,$B$2,
    TINH_TEC!$G:$G,$D$2
  ),0)
  -
  IFERROR(SUMIFS(TINH_TEC!$K:$K,
    TINH_TEC!$B:$B,"Đã chốt",
    TINH_TEC!$C:$C,D$4,
    TINH_TEC!$H:$H,$B33,
    TINH_TEC!$F:$F,$B$2,
    TINH_TEC!$G:$G,$D$2
  ),0)
)</f>
        <v>261.78</v>
      </c>
      <c r="E33" s="222">
        <f>IF($B33="","",
  IFERROR(SUMIFS(DATA_GOC!$H:$H,
    DATA_GOC!$A:$A,"BOM",
    DATA_GOC!$D:$D,$B33,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TINH_TEC!$H:$H,$B33,
    TINH_TEC!$F:$F,$B$2,
    TINH_TEC!$G:$G,$D$2
  ),0)
  -
  IFERROR(SUMIFS(TINH_TEC!$K:$K,
    TINH_TEC!$B:$B,"Đã chốt",
    TINH_TEC!$C:$C,E$4,
    TINH_TEC!$H:$H,$B33,
    TINH_TEC!$F:$F,$B$2,
    TINH_TEC!$G:$G,$D$2
  ),0)
)</f>
        <v>0</v>
      </c>
      <c r="F33" s="222">
        <f>SUMIFS(DATA_GOC!$H:$H,DATA_GOC!$A:$A,"BOM",DATA_GOC!$D:$D,$B33,DATA_GOC!$F:$F,"Xuất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3" s="222">
        <f>SUMIFS(DATA_GOC!$H:$H,DATA_GOC!$A:$A,"BOM",DATA_GOC!$D:$D,$B33,DATA_GOC!$F:$F,"Bơm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3" s="263">
        <f t="shared" si="2"/>
        <v>261.78</v>
      </c>
      <c r="I33" s="222">
        <f>SUMIFS(DATA_GOC!$H:$H,DATA_GOC!$A:$A,"BOM",DATA_GOC!$D:$D,$B33,DATA_GOC!$G:$G,"Dầu động cơ",DATA_GOC!$B:$B,"&gt;="&amp;DATE($D$2,$B$2,1),DATA_GOC!$B:$B,"&lt;"&amp;EDATE(DATE($D$2,$B$2,1),1))+SUMIFS(DATA_GOC!$H:$H,DATA_GOC!$A:$A,"BOM",DATA_GOC!$D:$D,$B33,DATA_GOC!$E:$E,"Dầu động cơ",DATA_GOC!$G:$G,"&lt;&gt;Dầu động cơ",DATA_GOC!$B:$B,"&gt;="&amp;DATE($D$2,$B$2,1),DATA_GOC!$B:$B,"&lt;"&amp;EDATE(DATE($D$2,$B$2,1),1))</f>
        <v>0</v>
      </c>
      <c r="J33" s="222">
        <f>SUMIFS(DATA_GOC!$H:$H,DATA_GOC!$A:$A,"BOM",DATA_GOC!$D:$D,$B33,DATA_GOC!$G:$G,"Dầu thủy lực",DATA_GOC!$B:$B,"&gt;="&amp;DATE($D$2,$B$2,1),DATA_GOC!$B:$B,"&lt;"&amp;EDATE(DATE($D$2,$B$2,1),1))+SUMIFS(DATA_GOC!$H:$H,DATA_GOC!$A:$A,"BOM",DATA_GOC!$D:$D,$B33,DATA_GOC!$E:$E,"Dầu thủy lực",DATA_GOC!$G:$G,"&lt;&gt;Dầu thủy lực",DATA_GOC!$B:$B,"&gt;="&amp;DATE($D$2,$B$2,1),DATA_GOC!$B:$B,"&lt;"&amp;EDATE(DATE($D$2,$B$2,1),1))</f>
        <v>0</v>
      </c>
      <c r="K33" s="222">
        <f>SUMIFS(DATA_GOC!$H:$H,DATA_GOC!$A:$A,"BOM",DATA_GOC!$D:$D,$B33,DATA_GOC!$G:$G,"Dầu cầu",DATA_GOC!$B:$B,"&gt;="&amp;DATE($D$2,$B$2,1),DATA_GOC!$B:$B,"&lt;"&amp;EDATE(DATE($D$2,$B$2,1),1))+SUMIFS(DATA_GOC!$H:$H,DATA_GOC!$A:$A,"BOM",DATA_GOC!$D:$D,$B33,DATA_GOC!$E:$E,"Dầu cầu",DATA_GOC!$G:$G,"&lt;&gt;Dầu cầu",DATA_GOC!$B:$B,"&gt;="&amp;DATE($D$2,$B$2,1),DATA_GOC!$B:$B,"&lt;"&amp;EDATE(DATE($D$2,$B$2,1),1))</f>
        <v>0</v>
      </c>
      <c r="L33" s="222">
        <f>SUMIFS(DATA_GOC!$H:$H,DATA_GOC!$A:$A,"BOM",DATA_GOC!$D:$D,$B33,DATA_GOC!$G:$G,"Dầu số",DATA_GOC!$B:$B,"&gt;="&amp;DATE($D$2,$B$2,1),DATA_GOC!$B:$B,"&lt;"&amp;EDATE(DATE($D$2,$B$2,1),1))+SUMIFS(DATA_GOC!$H:$H,DATA_GOC!$A:$A,"BOM",DATA_GOC!$D:$D,$B33,DATA_GOC!$E:$E,"Dầu số",DATA_GOC!$G:$G,"&lt;&gt;Dầu số",DATA_GOC!$B:$B,"&gt;="&amp;DATE($D$2,$B$2,1),DATA_GOC!$B:$B,"&lt;"&amp;EDATE(DATE($D$2,$B$2,1),1))</f>
        <v>0</v>
      </c>
      <c r="M33" s="263">
        <f t="shared" si="3"/>
        <v>0</v>
      </c>
      <c r="N33" s="222">
        <f>SUMIFS(DATA_GOC!$K:$K,DATA_GOC!$A:$A,"BOM",DATA_GOC!$D:$D,$B33,DATA_GOC!$G:$G,"DO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494</v>
      </c>
      <c r="O33" s="222">
        <f t="shared" si="4"/>
        <v>52.99190283</v>
      </c>
      <c r="P33" s="221"/>
    </row>
    <row r="34" ht="15.75" customHeight="1">
      <c r="A34" s="222">
        <f t="shared" si="1"/>
        <v>30</v>
      </c>
      <c r="B34" s="221" t="str">
        <f t="array" ref="B34">IFERROR(INDEX(DANH_MUC!$E:$E,ROW()-1),"")</f>
        <v>28C06369</v>
      </c>
      <c r="C34" s="222">
        <f>IF($B34="","",
  IFERROR(SUMIFS(DATA_GOC!$H:$H,
    DATA_GOC!$A:$A,"BOM",
    DATA_GOC!$D:$D,$B34,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TINH_TEC!$H:$H,$B34,
    TINH_TEC!$F:$F,$B$2,
    TINH_TEC!$G:$G,$D$2
  ),0)
  -
  IFERROR(SUMIFS(TINH_TEC!$K:$K,
    TINH_TEC!$B:$B,"Đã chốt",
    TINH_TEC!$C:$C,C$4,
    TINH_TEC!$H:$H,$B34,
    TINH_TEC!$F:$F,$B$2,
    TINH_TEC!$G:$G,$D$2
  ),0)
)</f>
        <v>0</v>
      </c>
      <c r="D34" s="222">
        <f>IF($B34="","",
  IFERROR(SUMIFS(DATA_GOC!$H:$H,
    DATA_GOC!$A:$A,"BOM",
    DATA_GOC!$D:$D,$B34,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TINH_TEC!$H:$H,$B34,
    TINH_TEC!$F:$F,$B$2,
    TINH_TEC!$G:$G,$D$2
  ),0)
  -
  IFERROR(SUMIFS(TINH_TEC!$K:$K,
    TINH_TEC!$B:$B,"Đã chốt",
    TINH_TEC!$C:$C,D$4,
    TINH_TEC!$H:$H,$B34,
    TINH_TEC!$F:$F,$B$2,
    TINH_TEC!$G:$G,$D$2
  ),0)
)</f>
        <v>245.644</v>
      </c>
      <c r="E34" s="222">
        <f>IF($B34="","",
  IFERROR(SUMIFS(DATA_GOC!$H:$H,
    DATA_GOC!$A:$A,"BOM",
    DATA_GOC!$D:$D,$B34,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TINH_TEC!$H:$H,$B34,
    TINH_TEC!$F:$F,$B$2,
    TINH_TEC!$G:$G,$D$2
  ),0)
  -
  IFERROR(SUMIFS(TINH_TEC!$K:$K,
    TINH_TEC!$B:$B,"Đã chốt",
    TINH_TEC!$C:$C,E$4,
    TINH_TEC!$H:$H,$B34,
    TINH_TEC!$F:$F,$B$2,
    TINH_TEC!$G:$G,$D$2
  ),0)
)</f>
        <v>0</v>
      </c>
      <c r="F34" s="222">
        <f>SUMIFS(DATA_GOC!$H:$H,DATA_GOC!$A:$A,"BOM",DATA_GOC!$D:$D,$B34,DATA_GOC!$F:$F,"Xuất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4" s="222">
        <f>SUMIFS(DATA_GOC!$H:$H,DATA_GOC!$A:$A,"BOM",DATA_GOC!$D:$D,$B34,DATA_GOC!$F:$F,"Bơm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4" s="263">
        <f t="shared" si="2"/>
        <v>245.644</v>
      </c>
      <c r="I34" s="222">
        <f>SUMIFS(DATA_GOC!$H:$H,DATA_GOC!$A:$A,"BOM",DATA_GOC!$D:$D,$B34,DATA_GOC!$G:$G,"Dầu động cơ",DATA_GOC!$B:$B,"&gt;="&amp;DATE($D$2,$B$2,1),DATA_GOC!$B:$B,"&lt;"&amp;EDATE(DATE($D$2,$B$2,1),1))+SUMIFS(DATA_GOC!$H:$H,DATA_GOC!$A:$A,"BOM",DATA_GOC!$D:$D,$B34,DATA_GOC!$E:$E,"Dầu động cơ",DATA_GOC!$G:$G,"&lt;&gt;Dầu động cơ",DATA_GOC!$B:$B,"&gt;="&amp;DATE($D$2,$B$2,1),DATA_GOC!$B:$B,"&lt;"&amp;EDATE(DATE($D$2,$B$2,1),1))</f>
        <v>0</v>
      </c>
      <c r="J34" s="222">
        <f>SUMIFS(DATA_GOC!$H:$H,DATA_GOC!$A:$A,"BOM",DATA_GOC!$D:$D,$B34,DATA_GOC!$G:$G,"Dầu thủy lực",DATA_GOC!$B:$B,"&gt;="&amp;DATE($D$2,$B$2,1),DATA_GOC!$B:$B,"&lt;"&amp;EDATE(DATE($D$2,$B$2,1),1))+SUMIFS(DATA_GOC!$H:$H,DATA_GOC!$A:$A,"BOM",DATA_GOC!$D:$D,$B34,DATA_GOC!$E:$E,"Dầu thủy lực",DATA_GOC!$G:$G,"&lt;&gt;Dầu thủy lực",DATA_GOC!$B:$B,"&gt;="&amp;DATE($D$2,$B$2,1),DATA_GOC!$B:$B,"&lt;"&amp;EDATE(DATE($D$2,$B$2,1),1))</f>
        <v>0</v>
      </c>
      <c r="K34" s="222">
        <f>SUMIFS(DATA_GOC!$H:$H,DATA_GOC!$A:$A,"BOM",DATA_GOC!$D:$D,$B34,DATA_GOC!$G:$G,"Dầu cầu",DATA_GOC!$B:$B,"&gt;="&amp;DATE($D$2,$B$2,1),DATA_GOC!$B:$B,"&lt;"&amp;EDATE(DATE($D$2,$B$2,1),1))+SUMIFS(DATA_GOC!$H:$H,DATA_GOC!$A:$A,"BOM",DATA_GOC!$D:$D,$B34,DATA_GOC!$E:$E,"Dầu cầu",DATA_GOC!$G:$G,"&lt;&gt;Dầu cầu",DATA_GOC!$B:$B,"&gt;="&amp;DATE($D$2,$B$2,1),DATA_GOC!$B:$B,"&lt;"&amp;EDATE(DATE($D$2,$B$2,1),1))</f>
        <v>0</v>
      </c>
      <c r="L34" s="222">
        <f>SUMIFS(DATA_GOC!$H:$H,DATA_GOC!$A:$A,"BOM",DATA_GOC!$D:$D,$B34,DATA_GOC!$G:$G,"Dầu số",DATA_GOC!$B:$B,"&gt;="&amp;DATE($D$2,$B$2,1),DATA_GOC!$B:$B,"&lt;"&amp;EDATE(DATE($D$2,$B$2,1),1))+SUMIFS(DATA_GOC!$H:$H,DATA_GOC!$A:$A,"BOM",DATA_GOC!$D:$D,$B34,DATA_GOC!$E:$E,"Dầu số",DATA_GOC!$G:$G,"&lt;&gt;Dầu số",DATA_GOC!$B:$B,"&gt;="&amp;DATE($D$2,$B$2,1),DATA_GOC!$B:$B,"&lt;"&amp;EDATE(DATE($D$2,$B$2,1),1))</f>
        <v>0</v>
      </c>
      <c r="M34" s="263">
        <f t="shared" si="3"/>
        <v>0</v>
      </c>
      <c r="N34" s="222">
        <f>SUMIFS(DATA_GOC!$K:$K,DATA_GOC!$A:$A,"BOM",DATA_GOC!$D:$D,$B34,DATA_GOC!$G:$G,"DO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503</v>
      </c>
      <c r="O34" s="222">
        <f t="shared" si="4"/>
        <v>48.83578529</v>
      </c>
      <c r="P34" s="221"/>
    </row>
    <row r="35" ht="15.75" customHeight="1">
      <c r="A35" s="222">
        <f t="shared" si="1"/>
        <v>31</v>
      </c>
      <c r="B35" s="221" t="str">
        <f t="array" ref="B35">IFERROR(INDEX(DANH_MUC!$E:$E,ROW()-1),"")</f>
        <v>28C06447</v>
      </c>
      <c r="C35" s="222">
        <f>IF($B35="","",
  IFERROR(SUMIFS(DATA_GOC!$H:$H,
    DATA_GOC!$A:$A,"BOM",
    DATA_GOC!$D:$D,$B35,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TINH_TEC!$H:$H,$B35,
    TINH_TEC!$F:$F,$B$2,
    TINH_TEC!$G:$G,$D$2
  ),0)
  -
  IFERROR(SUMIFS(TINH_TEC!$K:$K,
    TINH_TEC!$B:$B,"Đã chốt",
    TINH_TEC!$C:$C,C$4,
    TINH_TEC!$H:$H,$B35,
    TINH_TEC!$F:$F,$B$2,
    TINH_TEC!$G:$G,$D$2
  ),0)
)</f>
        <v>0</v>
      </c>
      <c r="D35" s="222">
        <f>IF($B35="","",
  IFERROR(SUMIFS(DATA_GOC!$H:$H,
    DATA_GOC!$A:$A,"BOM",
    DATA_GOC!$D:$D,$B35,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TINH_TEC!$H:$H,$B35,
    TINH_TEC!$F:$F,$B$2,
    TINH_TEC!$G:$G,$D$2
  ),0)
  -
  IFERROR(SUMIFS(TINH_TEC!$K:$K,
    TINH_TEC!$B:$B,"Đã chốt",
    TINH_TEC!$C:$C,D$4,
    TINH_TEC!$H:$H,$B35,
    TINH_TEC!$F:$F,$B$2,
    TINH_TEC!$G:$G,$D$2
  ),0)
)</f>
        <v>366.787</v>
      </c>
      <c r="E35" s="222">
        <f>IF($B35="","",
  IFERROR(SUMIFS(DATA_GOC!$H:$H,
    DATA_GOC!$A:$A,"BOM",
    DATA_GOC!$D:$D,$B35,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TINH_TEC!$H:$H,$B35,
    TINH_TEC!$F:$F,$B$2,
    TINH_TEC!$G:$G,$D$2
  ),0)
  -
  IFERROR(SUMIFS(TINH_TEC!$K:$K,
    TINH_TEC!$B:$B,"Đã chốt",
    TINH_TEC!$C:$C,E$4,
    TINH_TEC!$H:$H,$B35,
    TINH_TEC!$F:$F,$B$2,
    TINH_TEC!$G:$G,$D$2
  ),0)
)</f>
        <v>0</v>
      </c>
      <c r="F35" s="222">
        <f>SUMIFS(DATA_GOC!$H:$H,DATA_GOC!$A:$A,"BOM",DATA_GOC!$D:$D,$B35,DATA_GOC!$F:$F,"Xuất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5" s="222">
        <f>SUMIFS(DATA_GOC!$H:$H,DATA_GOC!$A:$A,"BOM",DATA_GOC!$D:$D,$B35,DATA_GOC!$F:$F,"Bơm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5" s="263">
        <f t="shared" si="2"/>
        <v>366.787</v>
      </c>
      <c r="I35" s="222">
        <f>SUMIFS(DATA_GOC!$H:$H,DATA_GOC!$A:$A,"BOM",DATA_GOC!$D:$D,$B35,DATA_GOC!$G:$G,"Dầu động cơ",DATA_GOC!$B:$B,"&gt;="&amp;DATE($D$2,$B$2,1),DATA_GOC!$B:$B,"&lt;"&amp;EDATE(DATE($D$2,$B$2,1),1))+SUMIFS(DATA_GOC!$H:$H,DATA_GOC!$A:$A,"BOM",DATA_GOC!$D:$D,$B35,DATA_GOC!$E:$E,"Dầu động cơ",DATA_GOC!$G:$G,"&lt;&gt;Dầu động cơ",DATA_GOC!$B:$B,"&gt;="&amp;DATE($D$2,$B$2,1),DATA_GOC!$B:$B,"&lt;"&amp;EDATE(DATE($D$2,$B$2,1),1))</f>
        <v>0</v>
      </c>
      <c r="J35" s="222">
        <f>SUMIFS(DATA_GOC!$H:$H,DATA_GOC!$A:$A,"BOM",DATA_GOC!$D:$D,$B35,DATA_GOC!$G:$G,"Dầu thủy lực",DATA_GOC!$B:$B,"&gt;="&amp;DATE($D$2,$B$2,1),DATA_GOC!$B:$B,"&lt;"&amp;EDATE(DATE($D$2,$B$2,1),1))+SUMIFS(DATA_GOC!$H:$H,DATA_GOC!$A:$A,"BOM",DATA_GOC!$D:$D,$B35,DATA_GOC!$E:$E,"Dầu thủy lực",DATA_GOC!$G:$G,"&lt;&gt;Dầu thủy lực",DATA_GOC!$B:$B,"&gt;="&amp;DATE($D$2,$B$2,1),DATA_GOC!$B:$B,"&lt;"&amp;EDATE(DATE($D$2,$B$2,1),1))</f>
        <v>0</v>
      </c>
      <c r="K35" s="222">
        <f>SUMIFS(DATA_GOC!$H:$H,DATA_GOC!$A:$A,"BOM",DATA_GOC!$D:$D,$B35,DATA_GOC!$G:$G,"Dầu cầu",DATA_GOC!$B:$B,"&gt;="&amp;DATE($D$2,$B$2,1),DATA_GOC!$B:$B,"&lt;"&amp;EDATE(DATE($D$2,$B$2,1),1))+SUMIFS(DATA_GOC!$H:$H,DATA_GOC!$A:$A,"BOM",DATA_GOC!$D:$D,$B35,DATA_GOC!$E:$E,"Dầu cầu",DATA_GOC!$G:$G,"&lt;&gt;Dầu cầu",DATA_GOC!$B:$B,"&gt;="&amp;DATE($D$2,$B$2,1),DATA_GOC!$B:$B,"&lt;"&amp;EDATE(DATE($D$2,$B$2,1),1))</f>
        <v>0</v>
      </c>
      <c r="L35" s="222">
        <f>SUMIFS(DATA_GOC!$H:$H,DATA_GOC!$A:$A,"BOM",DATA_GOC!$D:$D,$B35,DATA_GOC!$G:$G,"Dầu số",DATA_GOC!$B:$B,"&gt;="&amp;DATE($D$2,$B$2,1),DATA_GOC!$B:$B,"&lt;"&amp;EDATE(DATE($D$2,$B$2,1),1))+SUMIFS(DATA_GOC!$H:$H,DATA_GOC!$A:$A,"BOM",DATA_GOC!$D:$D,$B35,DATA_GOC!$E:$E,"Dầu số",DATA_GOC!$G:$G,"&lt;&gt;Dầu số",DATA_GOC!$B:$B,"&gt;="&amp;DATE($D$2,$B$2,1),DATA_GOC!$B:$B,"&lt;"&amp;EDATE(DATE($D$2,$B$2,1),1))</f>
        <v>0</v>
      </c>
      <c r="M35" s="263">
        <f t="shared" si="3"/>
        <v>0</v>
      </c>
      <c r="N35" s="222">
        <f>SUMIFS(DATA_GOC!$K:$K,DATA_GOC!$A:$A,"BOM",DATA_GOC!$D:$D,$B35,DATA_GOC!$G:$G,"DO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757</v>
      </c>
      <c r="O35" s="222">
        <f t="shared" si="4"/>
        <v>48.45270806</v>
      </c>
      <c r="P35" s="221"/>
    </row>
    <row r="36" ht="15.75" customHeight="1">
      <c r="A36" s="222">
        <f t="shared" si="1"/>
        <v>32</v>
      </c>
      <c r="B36" s="221" t="str">
        <f t="array" ref="B36">IFERROR(INDEX(DANH_MUC!$E:$E,ROW()-1),"")</f>
        <v>28H00003</v>
      </c>
      <c r="C36" s="222">
        <f>IF($B36="","",
  IFERROR(SUMIFS(DATA_GOC!$H:$H,
    DATA_GOC!$A:$A,"BOM",
    DATA_GOC!$D:$D,$B36,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TINH_TEC!$H:$H,$B36,
    TINH_TEC!$F:$F,$B$2,
    TINH_TEC!$G:$G,$D$2
  ),0)
  -
  IFERROR(SUMIFS(TINH_TEC!$K:$K,
    TINH_TEC!$B:$B,"Đã chốt",
    TINH_TEC!$C:$C,C$4,
    TINH_TEC!$H:$H,$B36,
    TINH_TEC!$F:$F,$B$2,
    TINH_TEC!$G:$G,$D$2
  ),0)
)</f>
        <v>0</v>
      </c>
      <c r="D36" s="222">
        <f>IF($B36="","",
  IFERROR(SUMIFS(DATA_GOC!$H:$H,
    DATA_GOC!$A:$A,"BOM",
    DATA_GOC!$D:$D,$B36,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TINH_TEC!$H:$H,$B36,
    TINH_TEC!$F:$F,$B$2,
    TINH_TEC!$G:$G,$D$2
  ),0)
  -
  IFERROR(SUMIFS(TINH_TEC!$K:$K,
    TINH_TEC!$B:$B,"Đã chốt",
    TINH_TEC!$C:$C,D$4,
    TINH_TEC!$H:$H,$B36,
    TINH_TEC!$F:$F,$B$2,
    TINH_TEC!$G:$G,$D$2
  ),0)
)</f>
        <v>435.249</v>
      </c>
      <c r="E36" s="222">
        <f>IF($B36="","",
  IFERROR(SUMIFS(DATA_GOC!$H:$H,
    DATA_GOC!$A:$A,"BOM",
    DATA_GOC!$D:$D,$B36,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TINH_TEC!$H:$H,$B36,
    TINH_TEC!$F:$F,$B$2,
    TINH_TEC!$G:$G,$D$2
  ),0)
  -
  IFERROR(SUMIFS(TINH_TEC!$K:$K,
    TINH_TEC!$B:$B,"Đã chốt",
    TINH_TEC!$C:$C,E$4,
    TINH_TEC!$H:$H,$B36,
    TINH_TEC!$F:$F,$B$2,
    TINH_TEC!$G:$G,$D$2
  ),0)
)</f>
        <v>0</v>
      </c>
      <c r="F36" s="222">
        <f>SUMIFS(DATA_GOC!$H:$H,DATA_GOC!$A:$A,"BOM",DATA_GOC!$D:$D,$B36,DATA_GOC!$F:$F,"Xuất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6" s="222">
        <f>SUMIFS(DATA_GOC!$H:$H,DATA_GOC!$A:$A,"BOM",DATA_GOC!$D:$D,$B36,DATA_GOC!$F:$F,"Bơm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6" s="263">
        <f t="shared" si="2"/>
        <v>435.249</v>
      </c>
      <c r="I36" s="222">
        <f>SUMIFS(DATA_GOC!$H:$H,DATA_GOC!$A:$A,"BOM",DATA_GOC!$D:$D,$B36,DATA_GOC!$G:$G,"Dầu động cơ",DATA_GOC!$B:$B,"&gt;="&amp;DATE($D$2,$B$2,1),DATA_GOC!$B:$B,"&lt;"&amp;EDATE(DATE($D$2,$B$2,1),1))+SUMIFS(DATA_GOC!$H:$H,DATA_GOC!$A:$A,"BOM",DATA_GOC!$D:$D,$B36,DATA_GOC!$E:$E,"Dầu động cơ",DATA_GOC!$G:$G,"&lt;&gt;Dầu động cơ",DATA_GOC!$B:$B,"&gt;="&amp;DATE($D$2,$B$2,1),DATA_GOC!$B:$B,"&lt;"&amp;EDATE(DATE($D$2,$B$2,1),1))</f>
        <v>0</v>
      </c>
      <c r="J36" s="222">
        <f>SUMIFS(DATA_GOC!$H:$H,DATA_GOC!$A:$A,"BOM",DATA_GOC!$D:$D,$B36,DATA_GOC!$G:$G,"Dầu thủy lực",DATA_GOC!$B:$B,"&gt;="&amp;DATE($D$2,$B$2,1),DATA_GOC!$B:$B,"&lt;"&amp;EDATE(DATE($D$2,$B$2,1),1))+SUMIFS(DATA_GOC!$H:$H,DATA_GOC!$A:$A,"BOM",DATA_GOC!$D:$D,$B36,DATA_GOC!$E:$E,"Dầu thủy lực",DATA_GOC!$G:$G,"&lt;&gt;Dầu thủy lực",DATA_GOC!$B:$B,"&gt;="&amp;DATE($D$2,$B$2,1),DATA_GOC!$B:$B,"&lt;"&amp;EDATE(DATE($D$2,$B$2,1),1))</f>
        <v>0</v>
      </c>
      <c r="K36" s="222">
        <f>SUMIFS(DATA_GOC!$H:$H,DATA_GOC!$A:$A,"BOM",DATA_GOC!$D:$D,$B36,DATA_GOC!$G:$G,"Dầu cầu",DATA_GOC!$B:$B,"&gt;="&amp;DATE($D$2,$B$2,1),DATA_GOC!$B:$B,"&lt;"&amp;EDATE(DATE($D$2,$B$2,1),1))+SUMIFS(DATA_GOC!$H:$H,DATA_GOC!$A:$A,"BOM",DATA_GOC!$D:$D,$B36,DATA_GOC!$E:$E,"Dầu cầu",DATA_GOC!$G:$G,"&lt;&gt;Dầu cầu",DATA_GOC!$B:$B,"&gt;="&amp;DATE($D$2,$B$2,1),DATA_GOC!$B:$B,"&lt;"&amp;EDATE(DATE($D$2,$B$2,1),1))</f>
        <v>0</v>
      </c>
      <c r="L36" s="222">
        <f>SUMIFS(DATA_GOC!$H:$H,DATA_GOC!$A:$A,"BOM",DATA_GOC!$D:$D,$B36,DATA_GOC!$G:$G,"Dầu số",DATA_GOC!$B:$B,"&gt;="&amp;DATE($D$2,$B$2,1),DATA_GOC!$B:$B,"&lt;"&amp;EDATE(DATE($D$2,$B$2,1),1))+SUMIFS(DATA_GOC!$H:$H,DATA_GOC!$A:$A,"BOM",DATA_GOC!$D:$D,$B36,DATA_GOC!$E:$E,"Dầu số",DATA_GOC!$G:$G,"&lt;&gt;Dầu số",DATA_GOC!$B:$B,"&gt;="&amp;DATE($D$2,$B$2,1),DATA_GOC!$B:$B,"&lt;"&amp;EDATE(DATE($D$2,$B$2,1),1))</f>
        <v>0</v>
      </c>
      <c r="M36" s="263">
        <f t="shared" si="3"/>
        <v>0</v>
      </c>
      <c r="N36" s="222">
        <f>SUMIFS(DATA_GOC!$K:$K,DATA_GOC!$A:$A,"BOM",DATA_GOC!$D:$D,$B36,DATA_GOC!$G:$G,"DO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816</v>
      </c>
      <c r="O36" s="222">
        <f t="shared" si="4"/>
        <v>53.33933824</v>
      </c>
      <c r="P36" s="221"/>
    </row>
    <row r="37" ht="15.75" customHeight="1">
      <c r="A37" s="222">
        <f t="shared" si="1"/>
        <v>33</v>
      </c>
      <c r="B37" s="221" t="str">
        <f t="array" ref="B37">IFERROR(INDEX(DANH_MUC!$E:$E,ROW()-1),"")</f>
        <v>28H00061</v>
      </c>
      <c r="C37" s="222">
        <f>IF($B37="","",
  IFERROR(SUMIFS(DATA_GOC!$H:$H,
    DATA_GOC!$A:$A,"BOM",
    DATA_GOC!$D:$D,$B37,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TINH_TEC!$H:$H,$B37,
    TINH_TEC!$F:$F,$B$2,
    TINH_TEC!$G:$G,$D$2
  ),0)
  -
  IFERROR(SUMIFS(TINH_TEC!$K:$K,
    TINH_TEC!$B:$B,"Đã chốt",
    TINH_TEC!$C:$C,C$4,
    TINH_TEC!$H:$H,$B37,
    TINH_TEC!$F:$F,$B$2,
    TINH_TEC!$G:$G,$D$2
  ),0)
)</f>
        <v>0</v>
      </c>
      <c r="D37" s="222">
        <f>IF($B37="","",
  IFERROR(SUMIFS(DATA_GOC!$H:$H,
    DATA_GOC!$A:$A,"BOM",
    DATA_GOC!$D:$D,$B37,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TINH_TEC!$H:$H,$B37,
    TINH_TEC!$F:$F,$B$2,
    TINH_TEC!$G:$G,$D$2
  ),0)
  -
  IFERROR(SUMIFS(TINH_TEC!$K:$K,
    TINH_TEC!$B:$B,"Đã chốt",
    TINH_TEC!$C:$C,D$4,
    TINH_TEC!$H:$H,$B37,
    TINH_TEC!$F:$F,$B$2,
    TINH_TEC!$G:$G,$D$2
  ),0)
)</f>
        <v>201.101</v>
      </c>
      <c r="E37" s="222">
        <f>IF($B37="","",
  IFERROR(SUMIFS(DATA_GOC!$H:$H,
    DATA_GOC!$A:$A,"BOM",
    DATA_GOC!$D:$D,$B37,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TINH_TEC!$H:$H,$B37,
    TINH_TEC!$F:$F,$B$2,
    TINH_TEC!$G:$G,$D$2
  ),0)
  -
  IFERROR(SUMIFS(TINH_TEC!$K:$K,
    TINH_TEC!$B:$B,"Đã chốt",
    TINH_TEC!$C:$C,E$4,
    TINH_TEC!$H:$H,$B37,
    TINH_TEC!$F:$F,$B$2,
    TINH_TEC!$G:$G,$D$2
  ),0)
)</f>
        <v>0</v>
      </c>
      <c r="F37" s="222">
        <f>SUMIFS(DATA_GOC!$H:$H,DATA_GOC!$A:$A,"BOM",DATA_GOC!$D:$D,$B37,DATA_GOC!$F:$F,"Xuất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7" s="222">
        <f>SUMIFS(DATA_GOC!$H:$H,DATA_GOC!$A:$A,"BOM",DATA_GOC!$D:$D,$B37,DATA_GOC!$F:$F,"Bơm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7" s="263">
        <f t="shared" si="2"/>
        <v>201.101</v>
      </c>
      <c r="I37" s="222">
        <f>SUMIFS(DATA_GOC!$H:$H,DATA_GOC!$A:$A,"BOM",DATA_GOC!$D:$D,$B37,DATA_GOC!$G:$G,"Dầu động cơ",DATA_GOC!$B:$B,"&gt;="&amp;DATE($D$2,$B$2,1),DATA_GOC!$B:$B,"&lt;"&amp;EDATE(DATE($D$2,$B$2,1),1))+SUMIFS(DATA_GOC!$H:$H,DATA_GOC!$A:$A,"BOM",DATA_GOC!$D:$D,$B37,DATA_GOC!$E:$E,"Dầu động cơ",DATA_GOC!$G:$G,"&lt;&gt;Dầu động cơ",DATA_GOC!$B:$B,"&gt;="&amp;DATE($D$2,$B$2,1),DATA_GOC!$B:$B,"&lt;"&amp;EDATE(DATE($D$2,$B$2,1),1))</f>
        <v>22</v>
      </c>
      <c r="J37" s="222">
        <f>SUMIFS(DATA_GOC!$H:$H,DATA_GOC!$A:$A,"BOM",DATA_GOC!$D:$D,$B37,DATA_GOC!$G:$G,"Dầu thủy lực",DATA_GOC!$B:$B,"&gt;="&amp;DATE($D$2,$B$2,1),DATA_GOC!$B:$B,"&lt;"&amp;EDATE(DATE($D$2,$B$2,1),1))+SUMIFS(DATA_GOC!$H:$H,DATA_GOC!$A:$A,"BOM",DATA_GOC!$D:$D,$B37,DATA_GOC!$E:$E,"Dầu thủy lực",DATA_GOC!$G:$G,"&lt;&gt;Dầu thủy lực",DATA_GOC!$B:$B,"&gt;="&amp;DATE($D$2,$B$2,1),DATA_GOC!$B:$B,"&lt;"&amp;EDATE(DATE($D$2,$B$2,1),1))</f>
        <v>0</v>
      </c>
      <c r="K37" s="222">
        <f>SUMIFS(DATA_GOC!$H:$H,DATA_GOC!$A:$A,"BOM",DATA_GOC!$D:$D,$B37,DATA_GOC!$G:$G,"Dầu cầu",DATA_GOC!$B:$B,"&gt;="&amp;DATE($D$2,$B$2,1),DATA_GOC!$B:$B,"&lt;"&amp;EDATE(DATE($D$2,$B$2,1),1))+SUMIFS(DATA_GOC!$H:$H,DATA_GOC!$A:$A,"BOM",DATA_GOC!$D:$D,$B37,DATA_GOC!$E:$E,"Dầu cầu",DATA_GOC!$G:$G,"&lt;&gt;Dầu cầu",DATA_GOC!$B:$B,"&gt;="&amp;DATE($D$2,$B$2,1),DATA_GOC!$B:$B,"&lt;"&amp;EDATE(DATE($D$2,$B$2,1),1))</f>
        <v>0</v>
      </c>
      <c r="L37" s="222">
        <f>SUMIFS(DATA_GOC!$H:$H,DATA_GOC!$A:$A,"BOM",DATA_GOC!$D:$D,$B37,DATA_GOC!$G:$G,"Dầu số",DATA_GOC!$B:$B,"&gt;="&amp;DATE($D$2,$B$2,1),DATA_GOC!$B:$B,"&lt;"&amp;EDATE(DATE($D$2,$B$2,1),1))+SUMIFS(DATA_GOC!$H:$H,DATA_GOC!$A:$A,"BOM",DATA_GOC!$D:$D,$B37,DATA_GOC!$E:$E,"Dầu số",DATA_GOC!$G:$G,"&lt;&gt;Dầu số",DATA_GOC!$B:$B,"&gt;="&amp;DATE($D$2,$B$2,1),DATA_GOC!$B:$B,"&lt;"&amp;EDATE(DATE($D$2,$B$2,1),1))</f>
        <v>0</v>
      </c>
      <c r="M37" s="263">
        <f t="shared" si="3"/>
        <v>22</v>
      </c>
      <c r="N37" s="222">
        <f>SUMIFS(DATA_GOC!$K:$K,DATA_GOC!$A:$A,"BOM",DATA_GOC!$D:$D,$B37,DATA_GOC!$G:$G,"DO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400</v>
      </c>
      <c r="O37" s="222">
        <f t="shared" si="4"/>
        <v>50.27525</v>
      </c>
      <c r="P37" s="221"/>
    </row>
    <row r="38" ht="15.75" customHeight="1">
      <c r="A38" s="222">
        <f t="shared" si="1"/>
        <v>34</v>
      </c>
      <c r="B38" s="221" t="str">
        <f t="array" ref="B38">IFERROR(INDEX(DANH_MUC!$E:$E,ROW()-1),"")</f>
        <v>28H00354</v>
      </c>
      <c r="C38" s="222">
        <f>IF($B38="","",
  IFERROR(SUMIFS(DATA_GOC!$H:$H,
    DATA_GOC!$A:$A,"BOM",
    DATA_GOC!$D:$D,$B38,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TINH_TEC!$H:$H,$B38,
    TINH_TEC!$F:$F,$B$2,
    TINH_TEC!$G:$G,$D$2
  ),0)
  -
  IFERROR(SUMIFS(TINH_TEC!$K:$K,
    TINH_TEC!$B:$B,"Đã chốt",
    TINH_TEC!$C:$C,C$4,
    TINH_TEC!$H:$H,$B38,
    TINH_TEC!$F:$F,$B$2,
    TINH_TEC!$G:$G,$D$2
  ),0)
)</f>
        <v>0</v>
      </c>
      <c r="D38" s="222">
        <f>IF($B38="","",
  IFERROR(SUMIFS(DATA_GOC!$H:$H,
    DATA_GOC!$A:$A,"BOM",
    DATA_GOC!$D:$D,$B38,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TINH_TEC!$H:$H,$B38,
    TINH_TEC!$F:$F,$B$2,
    TINH_TEC!$G:$G,$D$2
  ),0)
  -
  IFERROR(SUMIFS(TINH_TEC!$K:$K,
    TINH_TEC!$B:$B,"Đã chốt",
    TINH_TEC!$C:$C,D$4,
    TINH_TEC!$H:$H,$B38,
    TINH_TEC!$F:$F,$B$2,
    TINH_TEC!$G:$G,$D$2
  ),0)
)</f>
        <v>25.685</v>
      </c>
      <c r="E38" s="222">
        <f>IF($B38="","",
  IFERROR(SUMIFS(DATA_GOC!$H:$H,
    DATA_GOC!$A:$A,"BOM",
    DATA_GOC!$D:$D,$B38,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TINH_TEC!$H:$H,$B38,
    TINH_TEC!$F:$F,$B$2,
    TINH_TEC!$G:$G,$D$2
  ),0)
  -
  IFERROR(SUMIFS(TINH_TEC!$K:$K,
    TINH_TEC!$B:$B,"Đã chốt",
    TINH_TEC!$C:$C,E$4,
    TINH_TEC!$H:$H,$B38,
    TINH_TEC!$F:$F,$B$2,
    TINH_TEC!$G:$G,$D$2
  ),0)
)</f>
        <v>0</v>
      </c>
      <c r="F38" s="222">
        <f>SUMIFS(DATA_GOC!$H:$H,DATA_GOC!$A:$A,"BOM",DATA_GOC!$D:$D,$B38,DATA_GOC!$F:$F,"Xuất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8" s="222">
        <f>SUMIFS(DATA_GOC!$H:$H,DATA_GOC!$A:$A,"BOM",DATA_GOC!$D:$D,$B38,DATA_GOC!$F:$F,"Bơm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259.806</v>
      </c>
      <c r="H38" s="263">
        <f t="shared" si="2"/>
        <v>285.491</v>
      </c>
      <c r="I38" s="222">
        <f>SUMIFS(DATA_GOC!$H:$H,DATA_GOC!$A:$A,"BOM",DATA_GOC!$D:$D,$B38,DATA_GOC!$G:$G,"Dầu động cơ",DATA_GOC!$B:$B,"&gt;="&amp;DATE($D$2,$B$2,1),DATA_GOC!$B:$B,"&lt;"&amp;EDATE(DATE($D$2,$B$2,1),1))+SUMIFS(DATA_GOC!$H:$H,DATA_GOC!$A:$A,"BOM",DATA_GOC!$D:$D,$B38,DATA_GOC!$E:$E,"Dầu động cơ",DATA_GOC!$G:$G,"&lt;&gt;Dầu động cơ",DATA_GOC!$B:$B,"&gt;="&amp;DATE($D$2,$B$2,1),DATA_GOC!$B:$B,"&lt;"&amp;EDATE(DATE($D$2,$B$2,1),1))</f>
        <v>0</v>
      </c>
      <c r="J38" s="222">
        <f>SUMIFS(DATA_GOC!$H:$H,DATA_GOC!$A:$A,"BOM",DATA_GOC!$D:$D,$B38,DATA_GOC!$G:$G,"Dầu thủy lực",DATA_GOC!$B:$B,"&gt;="&amp;DATE($D$2,$B$2,1),DATA_GOC!$B:$B,"&lt;"&amp;EDATE(DATE($D$2,$B$2,1),1))+SUMIFS(DATA_GOC!$H:$H,DATA_GOC!$A:$A,"BOM",DATA_GOC!$D:$D,$B38,DATA_GOC!$E:$E,"Dầu thủy lực",DATA_GOC!$G:$G,"&lt;&gt;Dầu thủy lực",DATA_GOC!$B:$B,"&gt;="&amp;DATE($D$2,$B$2,1),DATA_GOC!$B:$B,"&lt;"&amp;EDATE(DATE($D$2,$B$2,1),1))</f>
        <v>0</v>
      </c>
      <c r="K38" s="222">
        <f>SUMIFS(DATA_GOC!$H:$H,DATA_GOC!$A:$A,"BOM",DATA_GOC!$D:$D,$B38,DATA_GOC!$G:$G,"Dầu cầu",DATA_GOC!$B:$B,"&gt;="&amp;DATE($D$2,$B$2,1),DATA_GOC!$B:$B,"&lt;"&amp;EDATE(DATE($D$2,$B$2,1),1))+SUMIFS(DATA_GOC!$H:$H,DATA_GOC!$A:$A,"BOM",DATA_GOC!$D:$D,$B38,DATA_GOC!$E:$E,"Dầu cầu",DATA_GOC!$G:$G,"&lt;&gt;Dầu cầu",DATA_GOC!$B:$B,"&gt;="&amp;DATE($D$2,$B$2,1),DATA_GOC!$B:$B,"&lt;"&amp;EDATE(DATE($D$2,$B$2,1),1))</f>
        <v>0</v>
      </c>
      <c r="L38" s="222">
        <f>SUMIFS(DATA_GOC!$H:$H,DATA_GOC!$A:$A,"BOM",DATA_GOC!$D:$D,$B38,DATA_GOC!$G:$G,"Dầu số",DATA_GOC!$B:$B,"&gt;="&amp;DATE($D$2,$B$2,1),DATA_GOC!$B:$B,"&lt;"&amp;EDATE(DATE($D$2,$B$2,1),1))+SUMIFS(DATA_GOC!$H:$H,DATA_GOC!$A:$A,"BOM",DATA_GOC!$D:$D,$B38,DATA_GOC!$E:$E,"Dầu số",DATA_GOC!$G:$G,"&lt;&gt;Dầu số",DATA_GOC!$B:$B,"&gt;="&amp;DATE($D$2,$B$2,1),DATA_GOC!$B:$B,"&lt;"&amp;EDATE(DATE($D$2,$B$2,1),1))</f>
        <v>0</v>
      </c>
      <c r="M38" s="263">
        <f t="shared" si="3"/>
        <v>0</v>
      </c>
      <c r="N38" s="222">
        <f>SUMIFS(DATA_GOC!$K:$K,DATA_GOC!$A:$A,"BOM",DATA_GOC!$D:$D,$B38,DATA_GOC!$G:$G,"DO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602</v>
      </c>
      <c r="O38" s="222">
        <f t="shared" si="4"/>
        <v>47.42375415</v>
      </c>
      <c r="P38" s="221"/>
    </row>
    <row r="39" ht="15.75" customHeight="1">
      <c r="A39" s="222">
        <f t="shared" si="1"/>
        <v>35</v>
      </c>
      <c r="B39" s="221" t="str">
        <f t="array" ref="B39">IFERROR(INDEX(DANH_MUC!$E:$E,ROW()-1),"")</f>
        <v>28H00603</v>
      </c>
      <c r="C39" s="222">
        <f>IF($B39="","",
  IFERROR(SUMIFS(DATA_GOC!$H:$H,
    DATA_GOC!$A:$A,"BOM",
    DATA_GOC!$D:$D,$B39,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TINH_TEC!$H:$H,$B39,
    TINH_TEC!$F:$F,$B$2,
    TINH_TEC!$G:$G,$D$2
  ),0)
  -
  IFERROR(SUMIFS(TINH_TEC!$K:$K,
    TINH_TEC!$B:$B,"Đã chốt",
    TINH_TEC!$C:$C,C$4,
    TINH_TEC!$H:$H,$B39,
    TINH_TEC!$F:$F,$B$2,
    TINH_TEC!$G:$G,$D$2
  ),0)
)</f>
        <v>0</v>
      </c>
      <c r="D39" s="222">
        <f>IF($B39="","",
  IFERROR(SUMIFS(DATA_GOC!$H:$H,
    DATA_GOC!$A:$A,"BOM",
    DATA_GOC!$D:$D,$B39,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TINH_TEC!$H:$H,$B39,
    TINH_TEC!$F:$F,$B$2,
    TINH_TEC!$G:$G,$D$2
  ),0)
  -
  IFERROR(SUMIFS(TINH_TEC!$K:$K,
    TINH_TEC!$B:$B,"Đã chốt",
    TINH_TEC!$C:$C,D$4,
    TINH_TEC!$H:$H,$B39,
    TINH_TEC!$F:$F,$B$2,
    TINH_TEC!$G:$G,$D$2
  ),0)
)</f>
        <v>266.489</v>
      </c>
      <c r="E39" s="222">
        <f>IF($B39="","",
  IFERROR(SUMIFS(DATA_GOC!$H:$H,
    DATA_GOC!$A:$A,"BOM",
    DATA_GOC!$D:$D,$B39,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TINH_TEC!$H:$H,$B39,
    TINH_TEC!$F:$F,$B$2,
    TINH_TEC!$G:$G,$D$2
  ),0)
  -
  IFERROR(SUMIFS(TINH_TEC!$K:$K,
    TINH_TEC!$B:$B,"Đã chốt",
    TINH_TEC!$C:$C,E$4,
    TINH_TEC!$H:$H,$B39,
    TINH_TEC!$F:$F,$B$2,
    TINH_TEC!$G:$G,$D$2
  ),0)
)</f>
        <v>0</v>
      </c>
      <c r="F39" s="222">
        <f>SUMIFS(DATA_GOC!$H:$H,DATA_GOC!$A:$A,"BOM",DATA_GOC!$D:$D,$B39,DATA_GOC!$F:$F,"Xuất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39" s="222">
        <f>SUMIFS(DATA_GOC!$H:$H,DATA_GOC!$A:$A,"BOM",DATA_GOC!$D:$D,$B39,DATA_GOC!$F:$F,"Bơm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39" s="263">
        <f t="shared" si="2"/>
        <v>266.489</v>
      </c>
      <c r="I39" s="222">
        <f>SUMIFS(DATA_GOC!$H:$H,DATA_GOC!$A:$A,"BOM",DATA_GOC!$D:$D,$B39,DATA_GOC!$G:$G,"Dầu động cơ",DATA_GOC!$B:$B,"&gt;="&amp;DATE($D$2,$B$2,1),DATA_GOC!$B:$B,"&lt;"&amp;EDATE(DATE($D$2,$B$2,1),1))+SUMIFS(DATA_GOC!$H:$H,DATA_GOC!$A:$A,"BOM",DATA_GOC!$D:$D,$B39,DATA_GOC!$E:$E,"Dầu động cơ",DATA_GOC!$G:$G,"&lt;&gt;Dầu động cơ",DATA_GOC!$B:$B,"&gt;="&amp;DATE($D$2,$B$2,1),DATA_GOC!$B:$B,"&lt;"&amp;EDATE(DATE($D$2,$B$2,1),1))</f>
        <v>0</v>
      </c>
      <c r="J39" s="222">
        <f>SUMIFS(DATA_GOC!$H:$H,DATA_GOC!$A:$A,"BOM",DATA_GOC!$D:$D,$B39,DATA_GOC!$G:$G,"Dầu thủy lực",DATA_GOC!$B:$B,"&gt;="&amp;DATE($D$2,$B$2,1),DATA_GOC!$B:$B,"&lt;"&amp;EDATE(DATE($D$2,$B$2,1),1))+SUMIFS(DATA_GOC!$H:$H,DATA_GOC!$A:$A,"BOM",DATA_GOC!$D:$D,$B39,DATA_GOC!$E:$E,"Dầu thủy lực",DATA_GOC!$G:$G,"&lt;&gt;Dầu thủy lực",DATA_GOC!$B:$B,"&gt;="&amp;DATE($D$2,$B$2,1),DATA_GOC!$B:$B,"&lt;"&amp;EDATE(DATE($D$2,$B$2,1),1))</f>
        <v>0</v>
      </c>
      <c r="K39" s="222">
        <f>SUMIFS(DATA_GOC!$H:$H,DATA_GOC!$A:$A,"BOM",DATA_GOC!$D:$D,$B39,DATA_GOC!$G:$G,"Dầu cầu",DATA_GOC!$B:$B,"&gt;="&amp;DATE($D$2,$B$2,1),DATA_GOC!$B:$B,"&lt;"&amp;EDATE(DATE($D$2,$B$2,1),1))+SUMIFS(DATA_GOC!$H:$H,DATA_GOC!$A:$A,"BOM",DATA_GOC!$D:$D,$B39,DATA_GOC!$E:$E,"Dầu cầu",DATA_GOC!$G:$G,"&lt;&gt;Dầu cầu",DATA_GOC!$B:$B,"&gt;="&amp;DATE($D$2,$B$2,1),DATA_GOC!$B:$B,"&lt;"&amp;EDATE(DATE($D$2,$B$2,1),1))</f>
        <v>0</v>
      </c>
      <c r="L39" s="222">
        <f>SUMIFS(DATA_GOC!$H:$H,DATA_GOC!$A:$A,"BOM",DATA_GOC!$D:$D,$B39,DATA_GOC!$G:$G,"Dầu số",DATA_GOC!$B:$B,"&gt;="&amp;DATE($D$2,$B$2,1),DATA_GOC!$B:$B,"&lt;"&amp;EDATE(DATE($D$2,$B$2,1),1))+SUMIFS(DATA_GOC!$H:$H,DATA_GOC!$A:$A,"BOM",DATA_GOC!$D:$D,$B39,DATA_GOC!$E:$E,"Dầu số",DATA_GOC!$G:$G,"&lt;&gt;Dầu số",DATA_GOC!$B:$B,"&gt;="&amp;DATE($D$2,$B$2,1),DATA_GOC!$B:$B,"&lt;"&amp;EDATE(DATE($D$2,$B$2,1),1))</f>
        <v>0</v>
      </c>
      <c r="M39" s="263">
        <f t="shared" si="3"/>
        <v>0</v>
      </c>
      <c r="N39" s="222">
        <f>SUMIFS(DATA_GOC!$K:$K,DATA_GOC!$A:$A,"BOM",DATA_GOC!$D:$D,$B39,DATA_GOC!$G:$G,"DO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569</v>
      </c>
      <c r="O39" s="222">
        <f t="shared" si="4"/>
        <v>46.83462214</v>
      </c>
      <c r="P39" s="221"/>
    </row>
    <row r="40" ht="15.75" customHeight="1">
      <c r="A40" s="222">
        <f t="shared" si="1"/>
        <v>36</v>
      </c>
      <c r="B40" s="221" t="str">
        <f t="array" ref="B40">IFERROR(INDEX(DANH_MUC!$E:$E,ROW()-1),"")</f>
        <v>28H00609</v>
      </c>
      <c r="C40" s="222">
        <f>IF($B40="","",
  IFERROR(SUMIFS(DATA_GOC!$H:$H,
    DATA_GOC!$A:$A,"BOM",
    DATA_GOC!$D:$D,$B40,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TINH_TEC!$H:$H,$B40,
    TINH_TEC!$F:$F,$B$2,
    TINH_TEC!$G:$G,$D$2
  ),0)
  -
  IFERROR(SUMIFS(TINH_TEC!$K:$K,
    TINH_TEC!$B:$B,"Đã chốt",
    TINH_TEC!$C:$C,C$4,
    TINH_TEC!$H:$H,$B40,
    TINH_TEC!$F:$F,$B$2,
    TINH_TEC!$G:$G,$D$2
  ),0)
)</f>
        <v>0</v>
      </c>
      <c r="D40" s="222">
        <f>IF($B40="","",
  IFERROR(SUMIFS(DATA_GOC!$H:$H,
    DATA_GOC!$A:$A,"BOM",
    DATA_GOC!$D:$D,$B40,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TINH_TEC!$H:$H,$B40,
    TINH_TEC!$F:$F,$B$2,
    TINH_TEC!$G:$G,$D$2
  ),0)
  -
  IFERROR(SUMIFS(TINH_TEC!$K:$K,
    TINH_TEC!$B:$B,"Đã chốt",
    TINH_TEC!$C:$C,D$4,
    TINH_TEC!$H:$H,$B40,
    TINH_TEC!$F:$F,$B$2,
    TINH_TEC!$G:$G,$D$2
  ),0)
)</f>
        <v>25.044</v>
      </c>
      <c r="E40" s="222">
        <f>IF($B40="","",
  IFERROR(SUMIFS(DATA_GOC!$H:$H,
    DATA_GOC!$A:$A,"BOM",
    DATA_GOC!$D:$D,$B40,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TINH_TEC!$H:$H,$B40,
    TINH_TEC!$F:$F,$B$2,
    TINH_TEC!$G:$G,$D$2
  ),0)
  -
  IFERROR(SUMIFS(TINH_TEC!$K:$K,
    TINH_TEC!$B:$B,"Đã chốt",
    TINH_TEC!$C:$C,E$4,
    TINH_TEC!$H:$H,$B40,
    TINH_TEC!$F:$F,$B$2,
    TINH_TEC!$G:$G,$D$2
  ),0)
)</f>
        <v>0</v>
      </c>
      <c r="F40" s="222">
        <f>SUMIFS(DATA_GOC!$H:$H,DATA_GOC!$A:$A,"BOM",DATA_GOC!$D:$D,$B40,DATA_GOC!$F:$F,"Xuất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0" s="222">
        <f>SUMIFS(DATA_GOC!$H:$H,DATA_GOC!$A:$A,"BOM",DATA_GOC!$D:$D,$B40,DATA_GOC!$F:$F,"Bơm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0" s="263">
        <f t="shared" si="2"/>
        <v>25.044</v>
      </c>
      <c r="I40" s="222">
        <f>SUMIFS(DATA_GOC!$H:$H,DATA_GOC!$A:$A,"BOM",DATA_GOC!$D:$D,$B40,DATA_GOC!$G:$G,"Dầu động cơ",DATA_GOC!$B:$B,"&gt;="&amp;DATE($D$2,$B$2,1),DATA_GOC!$B:$B,"&lt;"&amp;EDATE(DATE($D$2,$B$2,1),1))+SUMIFS(DATA_GOC!$H:$H,DATA_GOC!$A:$A,"BOM",DATA_GOC!$D:$D,$B40,DATA_GOC!$E:$E,"Dầu động cơ",DATA_GOC!$G:$G,"&lt;&gt;Dầu động cơ",DATA_GOC!$B:$B,"&gt;="&amp;DATE($D$2,$B$2,1),DATA_GOC!$B:$B,"&lt;"&amp;EDATE(DATE($D$2,$B$2,1),1))</f>
        <v>0</v>
      </c>
      <c r="J40" s="222">
        <f>SUMIFS(DATA_GOC!$H:$H,DATA_GOC!$A:$A,"BOM",DATA_GOC!$D:$D,$B40,DATA_GOC!$G:$G,"Dầu thủy lực",DATA_GOC!$B:$B,"&gt;="&amp;DATE($D$2,$B$2,1),DATA_GOC!$B:$B,"&lt;"&amp;EDATE(DATE($D$2,$B$2,1),1))+SUMIFS(DATA_GOC!$H:$H,DATA_GOC!$A:$A,"BOM",DATA_GOC!$D:$D,$B40,DATA_GOC!$E:$E,"Dầu thủy lực",DATA_GOC!$G:$G,"&lt;&gt;Dầu thủy lực",DATA_GOC!$B:$B,"&gt;="&amp;DATE($D$2,$B$2,1),DATA_GOC!$B:$B,"&lt;"&amp;EDATE(DATE($D$2,$B$2,1),1))</f>
        <v>0</v>
      </c>
      <c r="K40" s="222">
        <f>SUMIFS(DATA_GOC!$H:$H,DATA_GOC!$A:$A,"BOM",DATA_GOC!$D:$D,$B40,DATA_GOC!$G:$G,"Dầu cầu",DATA_GOC!$B:$B,"&gt;="&amp;DATE($D$2,$B$2,1),DATA_GOC!$B:$B,"&lt;"&amp;EDATE(DATE($D$2,$B$2,1),1))+SUMIFS(DATA_GOC!$H:$H,DATA_GOC!$A:$A,"BOM",DATA_GOC!$D:$D,$B40,DATA_GOC!$E:$E,"Dầu cầu",DATA_GOC!$G:$G,"&lt;&gt;Dầu cầu",DATA_GOC!$B:$B,"&gt;="&amp;DATE($D$2,$B$2,1),DATA_GOC!$B:$B,"&lt;"&amp;EDATE(DATE($D$2,$B$2,1),1))</f>
        <v>0</v>
      </c>
      <c r="L40" s="222">
        <f>SUMIFS(DATA_GOC!$H:$H,DATA_GOC!$A:$A,"BOM",DATA_GOC!$D:$D,$B40,DATA_GOC!$G:$G,"Dầu số",DATA_GOC!$B:$B,"&gt;="&amp;DATE($D$2,$B$2,1),DATA_GOC!$B:$B,"&lt;"&amp;EDATE(DATE($D$2,$B$2,1),1))+SUMIFS(DATA_GOC!$H:$H,DATA_GOC!$A:$A,"BOM",DATA_GOC!$D:$D,$B40,DATA_GOC!$E:$E,"Dầu số",DATA_GOC!$G:$G,"&lt;&gt;Dầu số",DATA_GOC!$B:$B,"&gt;="&amp;DATE($D$2,$B$2,1),DATA_GOC!$B:$B,"&lt;"&amp;EDATE(DATE($D$2,$B$2,1),1))</f>
        <v>0</v>
      </c>
      <c r="M40" s="263">
        <f t="shared" si="3"/>
        <v>0</v>
      </c>
      <c r="N40" s="222">
        <f>SUMIFS(DATA_GOC!$K:$K,DATA_GOC!$A:$A,"BOM",DATA_GOC!$D:$D,$B40,DATA_GOC!$G:$G,"DO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40" s="222" t="str">
        <f t="shared" si="4"/>
        <v/>
      </c>
      <c r="P40" s="221"/>
    </row>
    <row r="41" ht="15.75" customHeight="1">
      <c r="A41" s="222">
        <f t="shared" si="1"/>
        <v>37</v>
      </c>
      <c r="B41" s="221" t="str">
        <f t="array" ref="B41">IFERROR(INDEX(DANH_MUC!$E:$E,ROW()-1),"")</f>
        <v>28H00669</v>
      </c>
      <c r="C41" s="222">
        <f>IF($B41="","",
  IFERROR(SUMIFS(DATA_GOC!$H:$H,
    DATA_GOC!$A:$A,"BOM",
    DATA_GOC!$D:$D,$B41,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TINH_TEC!$H:$H,$B41,
    TINH_TEC!$F:$F,$B$2,
    TINH_TEC!$G:$G,$D$2
  ),0)
  -
  IFERROR(SUMIFS(TINH_TEC!$K:$K,
    TINH_TEC!$B:$B,"Đã chốt",
    TINH_TEC!$C:$C,C$4,
    TINH_TEC!$H:$H,$B41,
    TINH_TEC!$F:$F,$B$2,
    TINH_TEC!$G:$G,$D$2
  ),0)
)</f>
        <v>0</v>
      </c>
      <c r="D41" s="222">
        <f>IF($B41="","",
  IFERROR(SUMIFS(DATA_GOC!$H:$H,
    DATA_GOC!$A:$A,"BOM",
    DATA_GOC!$D:$D,$B41,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TINH_TEC!$H:$H,$B41,
    TINH_TEC!$F:$F,$B$2,
    TINH_TEC!$G:$G,$D$2
  ),0)
  -
  IFERROR(SUMIFS(TINH_TEC!$K:$K,
    TINH_TEC!$B:$B,"Đã chốt",
    TINH_TEC!$C:$C,D$4,
    TINH_TEC!$H:$H,$B41,
    TINH_TEC!$F:$F,$B$2,
    TINH_TEC!$G:$G,$D$2
  ),0)
)</f>
        <v>449.844</v>
      </c>
      <c r="E41" s="222">
        <f>IF($B41="","",
  IFERROR(SUMIFS(DATA_GOC!$H:$H,
    DATA_GOC!$A:$A,"BOM",
    DATA_GOC!$D:$D,$B41,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TINH_TEC!$H:$H,$B41,
    TINH_TEC!$F:$F,$B$2,
    TINH_TEC!$G:$G,$D$2
  ),0)
  -
  IFERROR(SUMIFS(TINH_TEC!$K:$K,
    TINH_TEC!$B:$B,"Đã chốt",
    TINH_TEC!$C:$C,E$4,
    TINH_TEC!$H:$H,$B41,
    TINH_TEC!$F:$F,$B$2,
    TINH_TEC!$G:$G,$D$2
  ),0)
)</f>
        <v>0</v>
      </c>
      <c r="F41" s="222">
        <f>SUMIFS(DATA_GOC!$H:$H,DATA_GOC!$A:$A,"BOM",DATA_GOC!$D:$D,$B41,DATA_GOC!$F:$F,"Xuất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1" s="222">
        <f>SUMIFS(DATA_GOC!$H:$H,DATA_GOC!$A:$A,"BOM",DATA_GOC!$D:$D,$B41,DATA_GOC!$F:$F,"Bơm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1" s="263">
        <f t="shared" si="2"/>
        <v>449.844</v>
      </c>
      <c r="I41" s="222">
        <f>SUMIFS(DATA_GOC!$H:$H,DATA_GOC!$A:$A,"BOM",DATA_GOC!$D:$D,$B41,DATA_GOC!$G:$G,"Dầu động cơ",DATA_GOC!$B:$B,"&gt;="&amp;DATE($D$2,$B$2,1),DATA_GOC!$B:$B,"&lt;"&amp;EDATE(DATE($D$2,$B$2,1),1))+SUMIFS(DATA_GOC!$H:$H,DATA_GOC!$A:$A,"BOM",DATA_GOC!$D:$D,$B41,DATA_GOC!$E:$E,"Dầu động cơ",DATA_GOC!$G:$G,"&lt;&gt;Dầu động cơ",DATA_GOC!$B:$B,"&gt;="&amp;DATE($D$2,$B$2,1),DATA_GOC!$B:$B,"&lt;"&amp;EDATE(DATE($D$2,$B$2,1),1))</f>
        <v>0</v>
      </c>
      <c r="J41" s="222">
        <f>SUMIFS(DATA_GOC!$H:$H,DATA_GOC!$A:$A,"BOM",DATA_GOC!$D:$D,$B41,DATA_GOC!$G:$G,"Dầu thủy lực",DATA_GOC!$B:$B,"&gt;="&amp;DATE($D$2,$B$2,1),DATA_GOC!$B:$B,"&lt;"&amp;EDATE(DATE($D$2,$B$2,1),1))+SUMIFS(DATA_GOC!$H:$H,DATA_GOC!$A:$A,"BOM",DATA_GOC!$D:$D,$B41,DATA_GOC!$E:$E,"Dầu thủy lực",DATA_GOC!$G:$G,"&lt;&gt;Dầu thủy lực",DATA_GOC!$B:$B,"&gt;="&amp;DATE($D$2,$B$2,1),DATA_GOC!$B:$B,"&lt;"&amp;EDATE(DATE($D$2,$B$2,1),1))</f>
        <v>0</v>
      </c>
      <c r="K41" s="222">
        <f>SUMIFS(DATA_GOC!$H:$H,DATA_GOC!$A:$A,"BOM",DATA_GOC!$D:$D,$B41,DATA_GOC!$G:$G,"Dầu cầu",DATA_GOC!$B:$B,"&gt;="&amp;DATE($D$2,$B$2,1),DATA_GOC!$B:$B,"&lt;"&amp;EDATE(DATE($D$2,$B$2,1),1))+SUMIFS(DATA_GOC!$H:$H,DATA_GOC!$A:$A,"BOM",DATA_GOC!$D:$D,$B41,DATA_GOC!$E:$E,"Dầu cầu",DATA_GOC!$G:$G,"&lt;&gt;Dầu cầu",DATA_GOC!$B:$B,"&gt;="&amp;DATE($D$2,$B$2,1),DATA_GOC!$B:$B,"&lt;"&amp;EDATE(DATE($D$2,$B$2,1),1))</f>
        <v>0</v>
      </c>
      <c r="L41" s="222">
        <f>SUMIFS(DATA_GOC!$H:$H,DATA_GOC!$A:$A,"BOM",DATA_GOC!$D:$D,$B41,DATA_GOC!$G:$G,"Dầu số",DATA_GOC!$B:$B,"&gt;="&amp;DATE($D$2,$B$2,1),DATA_GOC!$B:$B,"&lt;"&amp;EDATE(DATE($D$2,$B$2,1),1))+SUMIFS(DATA_GOC!$H:$H,DATA_GOC!$A:$A,"BOM",DATA_GOC!$D:$D,$B41,DATA_GOC!$E:$E,"Dầu số",DATA_GOC!$G:$G,"&lt;&gt;Dầu số",DATA_GOC!$B:$B,"&gt;="&amp;DATE($D$2,$B$2,1),DATA_GOC!$B:$B,"&lt;"&amp;EDATE(DATE($D$2,$B$2,1),1))</f>
        <v>0</v>
      </c>
      <c r="M41" s="263">
        <f t="shared" si="3"/>
        <v>0</v>
      </c>
      <c r="N41" s="222">
        <f>SUMIFS(DATA_GOC!$K:$K,DATA_GOC!$A:$A,"BOM",DATA_GOC!$D:$D,$B41,DATA_GOC!$G:$G,"DO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760</v>
      </c>
      <c r="O41" s="222">
        <f t="shared" si="4"/>
        <v>59.19</v>
      </c>
      <c r="P41" s="221"/>
    </row>
    <row r="42" ht="15.75" customHeight="1">
      <c r="A42" s="222">
        <f t="shared" si="1"/>
        <v>38</v>
      </c>
      <c r="B42" s="221" t="str">
        <f t="array" ref="B42">IFERROR(INDEX(DANH_MUC!$E:$E,ROW()-1),"")</f>
        <v>28H00680</v>
      </c>
      <c r="C42" s="222">
        <f>IF($B42="","",
  IFERROR(SUMIFS(DATA_GOC!$H:$H,
    DATA_GOC!$A:$A,"BOM",
    DATA_GOC!$D:$D,$B42,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TINH_TEC!$H:$H,$B42,
    TINH_TEC!$F:$F,$B$2,
    TINH_TEC!$G:$G,$D$2
  ),0)
  -
  IFERROR(SUMIFS(TINH_TEC!$K:$K,
    TINH_TEC!$B:$B,"Đã chốt",
    TINH_TEC!$C:$C,C$4,
    TINH_TEC!$H:$H,$B42,
    TINH_TEC!$F:$F,$B$2,
    TINH_TEC!$G:$G,$D$2
  ),0)
)</f>
        <v>0</v>
      </c>
      <c r="D42" s="222">
        <f>IF($B42="","",
  IFERROR(SUMIFS(DATA_GOC!$H:$H,
    DATA_GOC!$A:$A,"BOM",
    DATA_GOC!$D:$D,$B42,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TINH_TEC!$H:$H,$B42,
    TINH_TEC!$F:$F,$B$2,
    TINH_TEC!$G:$G,$D$2
  ),0)
  -
  IFERROR(SUMIFS(TINH_TEC!$K:$K,
    TINH_TEC!$B:$B,"Đã chốt",
    TINH_TEC!$C:$C,D$4,
    TINH_TEC!$H:$H,$B42,
    TINH_TEC!$F:$F,$B$2,
    TINH_TEC!$G:$G,$D$2
  ),0)
)</f>
        <v>544.452</v>
      </c>
      <c r="E42" s="222">
        <f>IF($B42="","",
  IFERROR(SUMIFS(DATA_GOC!$H:$H,
    DATA_GOC!$A:$A,"BOM",
    DATA_GOC!$D:$D,$B42,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TINH_TEC!$H:$H,$B42,
    TINH_TEC!$F:$F,$B$2,
    TINH_TEC!$G:$G,$D$2
  ),0)
  -
  IFERROR(SUMIFS(TINH_TEC!$K:$K,
    TINH_TEC!$B:$B,"Đã chốt",
    TINH_TEC!$C:$C,E$4,
    TINH_TEC!$H:$H,$B42,
    TINH_TEC!$F:$F,$B$2,
    TINH_TEC!$G:$G,$D$2
  ),0)
)</f>
        <v>0</v>
      </c>
      <c r="F42" s="222">
        <f>SUMIFS(DATA_GOC!$H:$H,DATA_GOC!$A:$A,"BOM",DATA_GOC!$D:$D,$B42,DATA_GOC!$F:$F,"Xuất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2" s="222">
        <f>SUMIFS(DATA_GOC!$H:$H,DATA_GOC!$A:$A,"BOM",DATA_GOC!$D:$D,$B42,DATA_GOC!$F:$F,"Bơm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2" s="263">
        <f t="shared" si="2"/>
        <v>544.452</v>
      </c>
      <c r="I42" s="222">
        <f>SUMIFS(DATA_GOC!$H:$H,DATA_GOC!$A:$A,"BOM",DATA_GOC!$D:$D,$B42,DATA_GOC!$G:$G,"Dầu động cơ",DATA_GOC!$B:$B,"&gt;="&amp;DATE($D$2,$B$2,1),DATA_GOC!$B:$B,"&lt;"&amp;EDATE(DATE($D$2,$B$2,1),1))+SUMIFS(DATA_GOC!$H:$H,DATA_GOC!$A:$A,"BOM",DATA_GOC!$D:$D,$B42,DATA_GOC!$E:$E,"Dầu động cơ",DATA_GOC!$G:$G,"&lt;&gt;Dầu động cơ",DATA_GOC!$B:$B,"&gt;="&amp;DATE($D$2,$B$2,1),DATA_GOC!$B:$B,"&lt;"&amp;EDATE(DATE($D$2,$B$2,1),1))</f>
        <v>0</v>
      </c>
      <c r="J42" s="222">
        <f>SUMIFS(DATA_GOC!$H:$H,DATA_GOC!$A:$A,"BOM",DATA_GOC!$D:$D,$B42,DATA_GOC!$G:$G,"Dầu thủy lực",DATA_GOC!$B:$B,"&gt;="&amp;DATE($D$2,$B$2,1),DATA_GOC!$B:$B,"&lt;"&amp;EDATE(DATE($D$2,$B$2,1),1))+SUMIFS(DATA_GOC!$H:$H,DATA_GOC!$A:$A,"BOM",DATA_GOC!$D:$D,$B42,DATA_GOC!$E:$E,"Dầu thủy lực",DATA_GOC!$G:$G,"&lt;&gt;Dầu thủy lực",DATA_GOC!$B:$B,"&gt;="&amp;DATE($D$2,$B$2,1),DATA_GOC!$B:$B,"&lt;"&amp;EDATE(DATE($D$2,$B$2,1),1))</f>
        <v>0</v>
      </c>
      <c r="K42" s="222">
        <f>SUMIFS(DATA_GOC!$H:$H,DATA_GOC!$A:$A,"BOM",DATA_GOC!$D:$D,$B42,DATA_GOC!$G:$G,"Dầu cầu",DATA_GOC!$B:$B,"&gt;="&amp;DATE($D$2,$B$2,1),DATA_GOC!$B:$B,"&lt;"&amp;EDATE(DATE($D$2,$B$2,1),1))+SUMIFS(DATA_GOC!$H:$H,DATA_GOC!$A:$A,"BOM",DATA_GOC!$D:$D,$B42,DATA_GOC!$E:$E,"Dầu cầu",DATA_GOC!$G:$G,"&lt;&gt;Dầu cầu",DATA_GOC!$B:$B,"&gt;="&amp;DATE($D$2,$B$2,1),DATA_GOC!$B:$B,"&lt;"&amp;EDATE(DATE($D$2,$B$2,1),1))</f>
        <v>0</v>
      </c>
      <c r="L42" s="222">
        <f>SUMIFS(DATA_GOC!$H:$H,DATA_GOC!$A:$A,"BOM",DATA_GOC!$D:$D,$B42,DATA_GOC!$G:$G,"Dầu số",DATA_GOC!$B:$B,"&gt;="&amp;DATE($D$2,$B$2,1),DATA_GOC!$B:$B,"&lt;"&amp;EDATE(DATE($D$2,$B$2,1),1))+SUMIFS(DATA_GOC!$H:$H,DATA_GOC!$A:$A,"BOM",DATA_GOC!$D:$D,$B42,DATA_GOC!$E:$E,"Dầu số",DATA_GOC!$G:$G,"&lt;&gt;Dầu số",DATA_GOC!$B:$B,"&gt;="&amp;DATE($D$2,$B$2,1),DATA_GOC!$B:$B,"&lt;"&amp;EDATE(DATE($D$2,$B$2,1),1))</f>
        <v>0</v>
      </c>
      <c r="M42" s="263">
        <f t="shared" si="3"/>
        <v>0</v>
      </c>
      <c r="N42" s="222">
        <f>SUMIFS(DATA_GOC!$K:$K,DATA_GOC!$A:$A,"BOM",DATA_GOC!$D:$D,$B42,DATA_GOC!$G:$G,"DO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947</v>
      </c>
      <c r="O42" s="222">
        <f t="shared" si="4"/>
        <v>57.49229145</v>
      </c>
      <c r="P42" s="221"/>
    </row>
    <row r="43" ht="15.75" customHeight="1">
      <c r="A43" s="222">
        <f t="shared" si="1"/>
        <v>39</v>
      </c>
      <c r="B43" s="221" t="str">
        <f t="array" ref="B43">IFERROR(INDEX(DANH_MUC!$E:$E,ROW()-1),"")</f>
        <v>28H01070</v>
      </c>
      <c r="C43" s="222">
        <f>IF($B43="","",
  IFERROR(SUMIFS(DATA_GOC!$H:$H,
    DATA_GOC!$A:$A,"BOM",
    DATA_GOC!$D:$D,$B43,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TINH_TEC!$H:$H,$B43,
    TINH_TEC!$F:$F,$B$2,
    TINH_TEC!$G:$G,$D$2
  ),0)
  -
  IFERROR(SUMIFS(TINH_TEC!$K:$K,
    TINH_TEC!$B:$B,"Đã chốt",
    TINH_TEC!$C:$C,C$4,
    TINH_TEC!$H:$H,$B43,
    TINH_TEC!$F:$F,$B$2,
    TINH_TEC!$G:$G,$D$2
  ),0)
)</f>
        <v>0</v>
      </c>
      <c r="D43" s="222">
        <f>IF($B43="","",
  IFERROR(SUMIFS(DATA_GOC!$H:$H,
    DATA_GOC!$A:$A,"BOM",
    DATA_GOC!$D:$D,$B43,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TINH_TEC!$H:$H,$B43,
    TINH_TEC!$F:$F,$B$2,
    TINH_TEC!$G:$G,$D$2
  ),0)
  -
  IFERROR(SUMIFS(TINH_TEC!$K:$K,
    TINH_TEC!$B:$B,"Đã chốt",
    TINH_TEC!$C:$C,D$4,
    TINH_TEC!$H:$H,$B43,
    TINH_TEC!$F:$F,$B$2,
    TINH_TEC!$G:$G,$D$2
  ),0)
)</f>
        <v>390.5</v>
      </c>
      <c r="E43" s="222">
        <f>IF($B43="","",
  IFERROR(SUMIFS(DATA_GOC!$H:$H,
    DATA_GOC!$A:$A,"BOM",
    DATA_GOC!$D:$D,$B43,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TINH_TEC!$H:$H,$B43,
    TINH_TEC!$F:$F,$B$2,
    TINH_TEC!$G:$G,$D$2
  ),0)
  -
  IFERROR(SUMIFS(TINH_TEC!$K:$K,
    TINH_TEC!$B:$B,"Đã chốt",
    TINH_TEC!$C:$C,E$4,
    TINH_TEC!$H:$H,$B43,
    TINH_TEC!$F:$F,$B$2,
    TINH_TEC!$G:$G,$D$2
  ),0)
)</f>
        <v>0</v>
      </c>
      <c r="F43" s="222">
        <f>SUMIFS(DATA_GOC!$H:$H,DATA_GOC!$A:$A,"BOM",DATA_GOC!$D:$D,$B43,DATA_GOC!$F:$F,"Xuất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3" s="222">
        <f>SUMIFS(DATA_GOC!$H:$H,DATA_GOC!$A:$A,"BOM",DATA_GOC!$D:$D,$B43,DATA_GOC!$F:$F,"Bơm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3" s="263">
        <f t="shared" si="2"/>
        <v>390.5</v>
      </c>
      <c r="I43" s="222">
        <f>SUMIFS(DATA_GOC!$H:$H,DATA_GOC!$A:$A,"BOM",DATA_GOC!$D:$D,$B43,DATA_GOC!$G:$G,"Dầu động cơ",DATA_GOC!$B:$B,"&gt;="&amp;DATE($D$2,$B$2,1),DATA_GOC!$B:$B,"&lt;"&amp;EDATE(DATE($D$2,$B$2,1),1))+SUMIFS(DATA_GOC!$H:$H,DATA_GOC!$A:$A,"BOM",DATA_GOC!$D:$D,$B43,DATA_GOC!$E:$E,"Dầu động cơ",DATA_GOC!$G:$G,"&lt;&gt;Dầu động cơ",DATA_GOC!$B:$B,"&gt;="&amp;DATE($D$2,$B$2,1),DATA_GOC!$B:$B,"&lt;"&amp;EDATE(DATE($D$2,$B$2,1),1))</f>
        <v>0</v>
      </c>
      <c r="J43" s="222">
        <f>SUMIFS(DATA_GOC!$H:$H,DATA_GOC!$A:$A,"BOM",DATA_GOC!$D:$D,$B43,DATA_GOC!$G:$G,"Dầu thủy lực",DATA_GOC!$B:$B,"&gt;="&amp;DATE($D$2,$B$2,1),DATA_GOC!$B:$B,"&lt;"&amp;EDATE(DATE($D$2,$B$2,1),1))+SUMIFS(DATA_GOC!$H:$H,DATA_GOC!$A:$A,"BOM",DATA_GOC!$D:$D,$B43,DATA_GOC!$E:$E,"Dầu thủy lực",DATA_GOC!$G:$G,"&lt;&gt;Dầu thủy lực",DATA_GOC!$B:$B,"&gt;="&amp;DATE($D$2,$B$2,1),DATA_GOC!$B:$B,"&lt;"&amp;EDATE(DATE($D$2,$B$2,1),1))</f>
        <v>0</v>
      </c>
      <c r="K43" s="222">
        <f>SUMIFS(DATA_GOC!$H:$H,DATA_GOC!$A:$A,"BOM",DATA_GOC!$D:$D,$B43,DATA_GOC!$G:$G,"Dầu cầu",DATA_GOC!$B:$B,"&gt;="&amp;DATE($D$2,$B$2,1),DATA_GOC!$B:$B,"&lt;"&amp;EDATE(DATE($D$2,$B$2,1),1))+SUMIFS(DATA_GOC!$H:$H,DATA_GOC!$A:$A,"BOM",DATA_GOC!$D:$D,$B43,DATA_GOC!$E:$E,"Dầu cầu",DATA_GOC!$G:$G,"&lt;&gt;Dầu cầu",DATA_GOC!$B:$B,"&gt;="&amp;DATE($D$2,$B$2,1),DATA_GOC!$B:$B,"&lt;"&amp;EDATE(DATE($D$2,$B$2,1),1))</f>
        <v>0</v>
      </c>
      <c r="L43" s="222">
        <f>SUMIFS(DATA_GOC!$H:$H,DATA_GOC!$A:$A,"BOM",DATA_GOC!$D:$D,$B43,DATA_GOC!$G:$G,"Dầu số",DATA_GOC!$B:$B,"&gt;="&amp;DATE($D$2,$B$2,1),DATA_GOC!$B:$B,"&lt;"&amp;EDATE(DATE($D$2,$B$2,1),1))+SUMIFS(DATA_GOC!$H:$H,DATA_GOC!$A:$A,"BOM",DATA_GOC!$D:$D,$B43,DATA_GOC!$E:$E,"Dầu số",DATA_GOC!$G:$G,"&lt;&gt;Dầu số",DATA_GOC!$B:$B,"&gt;="&amp;DATE($D$2,$B$2,1),DATA_GOC!$B:$B,"&lt;"&amp;EDATE(DATE($D$2,$B$2,1),1))</f>
        <v>0</v>
      </c>
      <c r="M43" s="263">
        <f t="shared" si="3"/>
        <v>0</v>
      </c>
      <c r="N43" s="222">
        <f>SUMIFS(DATA_GOC!$K:$K,DATA_GOC!$A:$A,"BOM",DATA_GOC!$D:$D,$B43,DATA_GOC!$G:$G,"DO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749</v>
      </c>
      <c r="O43" s="222">
        <f t="shared" si="4"/>
        <v>52.13618158</v>
      </c>
      <c r="P43" s="221"/>
    </row>
    <row r="44" ht="15.75" customHeight="1">
      <c r="A44" s="222">
        <f t="shared" si="1"/>
        <v>40</v>
      </c>
      <c r="B44" s="221" t="str">
        <f t="array" ref="B44">IFERROR(INDEX(DANH_MUC!$E:$E,ROW()-1),"")</f>
        <v>28H01364</v>
      </c>
      <c r="C44" s="222">
        <f>IF($B44="","",
  IFERROR(SUMIFS(DATA_GOC!$H:$H,
    DATA_GOC!$A:$A,"BOM",
    DATA_GOC!$D:$D,$B44,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TINH_TEC!$H:$H,$B44,
    TINH_TEC!$F:$F,$B$2,
    TINH_TEC!$G:$G,$D$2
  ),0)
  -
  IFERROR(SUMIFS(TINH_TEC!$K:$K,
    TINH_TEC!$B:$B,"Đã chốt",
    TINH_TEC!$C:$C,C$4,
    TINH_TEC!$H:$H,$B44,
    TINH_TEC!$F:$F,$B$2,
    TINH_TEC!$G:$G,$D$2
  ),0)
)</f>
        <v>0</v>
      </c>
      <c r="D44" s="222">
        <f>IF($B44="","",
  IFERROR(SUMIFS(DATA_GOC!$H:$H,
    DATA_GOC!$A:$A,"BOM",
    DATA_GOC!$D:$D,$B44,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TINH_TEC!$H:$H,$B44,
    TINH_TEC!$F:$F,$B$2,
    TINH_TEC!$G:$G,$D$2
  ),0)
  -
  IFERROR(SUMIFS(TINH_TEC!$K:$K,
    TINH_TEC!$B:$B,"Đã chốt",
    TINH_TEC!$C:$C,D$4,
    TINH_TEC!$H:$H,$B44,
    TINH_TEC!$F:$F,$B$2,
    TINH_TEC!$G:$G,$D$2
  ),0)
)</f>
        <v>25.627</v>
      </c>
      <c r="E44" s="222">
        <f>IF($B44="","",
  IFERROR(SUMIFS(DATA_GOC!$H:$H,
    DATA_GOC!$A:$A,"BOM",
    DATA_GOC!$D:$D,$B44,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TINH_TEC!$H:$H,$B44,
    TINH_TEC!$F:$F,$B$2,
    TINH_TEC!$G:$G,$D$2
  ),0)
  -
  IFERROR(SUMIFS(TINH_TEC!$K:$K,
    TINH_TEC!$B:$B,"Đã chốt",
    TINH_TEC!$C:$C,E$4,
    TINH_TEC!$H:$H,$B44,
    TINH_TEC!$F:$F,$B$2,
    TINH_TEC!$G:$G,$D$2
  ),0)
)</f>
        <v>0</v>
      </c>
      <c r="F44" s="222">
        <f>SUMIFS(DATA_GOC!$H:$H,DATA_GOC!$A:$A,"BOM",DATA_GOC!$D:$D,$B44,DATA_GOC!$F:$F,"Xuất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4" s="222">
        <f>SUMIFS(DATA_GOC!$H:$H,DATA_GOC!$A:$A,"BOM",DATA_GOC!$D:$D,$B44,DATA_GOC!$F:$F,"Bơm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4" s="263">
        <f t="shared" si="2"/>
        <v>25.627</v>
      </c>
      <c r="I44" s="222">
        <f>SUMIFS(DATA_GOC!$H:$H,DATA_GOC!$A:$A,"BOM",DATA_GOC!$D:$D,$B44,DATA_GOC!$G:$G,"Dầu động cơ",DATA_GOC!$B:$B,"&gt;="&amp;DATE($D$2,$B$2,1),DATA_GOC!$B:$B,"&lt;"&amp;EDATE(DATE($D$2,$B$2,1),1))+SUMIFS(DATA_GOC!$H:$H,DATA_GOC!$A:$A,"BOM",DATA_GOC!$D:$D,$B44,DATA_GOC!$E:$E,"Dầu động cơ",DATA_GOC!$G:$G,"&lt;&gt;Dầu động cơ",DATA_GOC!$B:$B,"&gt;="&amp;DATE($D$2,$B$2,1),DATA_GOC!$B:$B,"&lt;"&amp;EDATE(DATE($D$2,$B$2,1),1))</f>
        <v>0</v>
      </c>
      <c r="J44" s="222">
        <f>SUMIFS(DATA_GOC!$H:$H,DATA_GOC!$A:$A,"BOM",DATA_GOC!$D:$D,$B44,DATA_GOC!$G:$G,"Dầu thủy lực",DATA_GOC!$B:$B,"&gt;="&amp;DATE($D$2,$B$2,1),DATA_GOC!$B:$B,"&lt;"&amp;EDATE(DATE($D$2,$B$2,1),1))+SUMIFS(DATA_GOC!$H:$H,DATA_GOC!$A:$A,"BOM",DATA_GOC!$D:$D,$B44,DATA_GOC!$E:$E,"Dầu thủy lực",DATA_GOC!$G:$G,"&lt;&gt;Dầu thủy lực",DATA_GOC!$B:$B,"&gt;="&amp;DATE($D$2,$B$2,1),DATA_GOC!$B:$B,"&lt;"&amp;EDATE(DATE($D$2,$B$2,1),1))</f>
        <v>0</v>
      </c>
      <c r="K44" s="222">
        <f>SUMIFS(DATA_GOC!$H:$H,DATA_GOC!$A:$A,"BOM",DATA_GOC!$D:$D,$B44,DATA_GOC!$G:$G,"Dầu cầu",DATA_GOC!$B:$B,"&gt;="&amp;DATE($D$2,$B$2,1),DATA_GOC!$B:$B,"&lt;"&amp;EDATE(DATE($D$2,$B$2,1),1))+SUMIFS(DATA_GOC!$H:$H,DATA_GOC!$A:$A,"BOM",DATA_GOC!$D:$D,$B44,DATA_GOC!$E:$E,"Dầu cầu",DATA_GOC!$G:$G,"&lt;&gt;Dầu cầu",DATA_GOC!$B:$B,"&gt;="&amp;DATE($D$2,$B$2,1),DATA_GOC!$B:$B,"&lt;"&amp;EDATE(DATE($D$2,$B$2,1),1))</f>
        <v>0</v>
      </c>
      <c r="L44" s="222">
        <f>SUMIFS(DATA_GOC!$H:$H,DATA_GOC!$A:$A,"BOM",DATA_GOC!$D:$D,$B44,DATA_GOC!$G:$G,"Dầu số",DATA_GOC!$B:$B,"&gt;="&amp;DATE($D$2,$B$2,1),DATA_GOC!$B:$B,"&lt;"&amp;EDATE(DATE($D$2,$B$2,1),1))+SUMIFS(DATA_GOC!$H:$H,DATA_GOC!$A:$A,"BOM",DATA_GOC!$D:$D,$B44,DATA_GOC!$E:$E,"Dầu số",DATA_GOC!$G:$G,"&lt;&gt;Dầu số",DATA_GOC!$B:$B,"&gt;="&amp;DATE($D$2,$B$2,1),DATA_GOC!$B:$B,"&lt;"&amp;EDATE(DATE($D$2,$B$2,1),1))</f>
        <v>0</v>
      </c>
      <c r="M44" s="263">
        <f t="shared" si="3"/>
        <v>0</v>
      </c>
      <c r="N44" s="222">
        <f>SUMIFS(DATA_GOC!$K:$K,DATA_GOC!$A:$A,"BOM",DATA_GOC!$D:$D,$B44,DATA_GOC!$G:$G,"DO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44" s="222" t="str">
        <f t="shared" si="4"/>
        <v/>
      </c>
      <c r="P44" s="221"/>
    </row>
    <row r="45" ht="15.75" customHeight="1">
      <c r="A45" s="222">
        <f t="shared" si="1"/>
        <v>41</v>
      </c>
      <c r="B45" s="221" t="str">
        <f t="array" ref="B45">IFERROR(INDEX(DANH_MUC!$E:$E,ROW()-1),"")</f>
        <v>29E17269</v>
      </c>
      <c r="C45" s="222">
        <f>IF($B45="","",
  IFERROR(SUMIFS(DATA_GOC!$H:$H,
    DATA_GOC!$A:$A,"BOM",
    DATA_GOC!$D:$D,$B45,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TINH_TEC!$H:$H,$B45,
    TINH_TEC!$F:$F,$B$2,
    TINH_TEC!$G:$G,$D$2
  ),0)
  -
  IFERROR(SUMIFS(TINH_TEC!$K:$K,
    TINH_TEC!$B:$B,"Đã chốt",
    TINH_TEC!$C:$C,C$4,
    TINH_TEC!$H:$H,$B45,
    TINH_TEC!$F:$F,$B$2,
    TINH_TEC!$G:$G,$D$2
  ),0)
)</f>
        <v>0</v>
      </c>
      <c r="D45" s="222">
        <f>IF($B45="","",
  IFERROR(SUMIFS(DATA_GOC!$H:$H,
    DATA_GOC!$A:$A,"BOM",
    DATA_GOC!$D:$D,$B45,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TINH_TEC!$H:$H,$B45,
    TINH_TEC!$F:$F,$B$2,
    TINH_TEC!$G:$G,$D$2
  ),0)
  -
  IFERROR(SUMIFS(TINH_TEC!$K:$K,
    TINH_TEC!$B:$B,"Đã chốt",
    TINH_TEC!$C:$C,D$4,
    TINH_TEC!$H:$H,$B45,
    TINH_TEC!$F:$F,$B$2,
    TINH_TEC!$G:$G,$D$2
  ),0)
)</f>
        <v>20.56</v>
      </c>
      <c r="E45" s="222">
        <f>IF($B45="","",
  IFERROR(SUMIFS(DATA_GOC!$H:$H,
    DATA_GOC!$A:$A,"BOM",
    DATA_GOC!$D:$D,$B45,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TINH_TEC!$H:$H,$B45,
    TINH_TEC!$F:$F,$B$2,
    TINH_TEC!$G:$G,$D$2
  ),0)
  -
  IFERROR(SUMIFS(TINH_TEC!$K:$K,
    TINH_TEC!$B:$B,"Đã chốt",
    TINH_TEC!$C:$C,E$4,
    TINH_TEC!$H:$H,$B45,
    TINH_TEC!$F:$F,$B$2,
    TINH_TEC!$G:$G,$D$2
  ),0)
)</f>
        <v>0</v>
      </c>
      <c r="F45" s="222">
        <f>SUMIFS(DATA_GOC!$H:$H,DATA_GOC!$A:$A,"BOM",DATA_GOC!$D:$D,$B45,DATA_GOC!$F:$F,"Xuất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5" s="222">
        <f>SUMIFS(DATA_GOC!$H:$H,DATA_GOC!$A:$A,"BOM",DATA_GOC!$D:$D,$B45,DATA_GOC!$F:$F,"Bơm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5" s="263">
        <f t="shared" si="2"/>
        <v>20.56</v>
      </c>
      <c r="I45" s="222">
        <f>SUMIFS(DATA_GOC!$H:$H,DATA_GOC!$A:$A,"BOM",DATA_GOC!$D:$D,$B45,DATA_GOC!$G:$G,"Dầu động cơ",DATA_GOC!$B:$B,"&gt;="&amp;DATE($D$2,$B$2,1),DATA_GOC!$B:$B,"&lt;"&amp;EDATE(DATE($D$2,$B$2,1),1))+SUMIFS(DATA_GOC!$H:$H,DATA_GOC!$A:$A,"BOM",DATA_GOC!$D:$D,$B45,DATA_GOC!$E:$E,"Dầu động cơ",DATA_GOC!$G:$G,"&lt;&gt;Dầu động cơ",DATA_GOC!$B:$B,"&gt;="&amp;DATE($D$2,$B$2,1),DATA_GOC!$B:$B,"&lt;"&amp;EDATE(DATE($D$2,$B$2,1),1))</f>
        <v>0</v>
      </c>
      <c r="J45" s="222">
        <f>SUMIFS(DATA_GOC!$H:$H,DATA_GOC!$A:$A,"BOM",DATA_GOC!$D:$D,$B45,DATA_GOC!$G:$G,"Dầu thủy lực",DATA_GOC!$B:$B,"&gt;="&amp;DATE($D$2,$B$2,1),DATA_GOC!$B:$B,"&lt;"&amp;EDATE(DATE($D$2,$B$2,1),1))+SUMIFS(DATA_GOC!$H:$H,DATA_GOC!$A:$A,"BOM",DATA_GOC!$D:$D,$B45,DATA_GOC!$E:$E,"Dầu thủy lực",DATA_GOC!$G:$G,"&lt;&gt;Dầu thủy lực",DATA_GOC!$B:$B,"&gt;="&amp;DATE($D$2,$B$2,1),DATA_GOC!$B:$B,"&lt;"&amp;EDATE(DATE($D$2,$B$2,1),1))</f>
        <v>0</v>
      </c>
      <c r="K45" s="222">
        <f>SUMIFS(DATA_GOC!$H:$H,DATA_GOC!$A:$A,"BOM",DATA_GOC!$D:$D,$B45,DATA_GOC!$G:$G,"Dầu cầu",DATA_GOC!$B:$B,"&gt;="&amp;DATE($D$2,$B$2,1),DATA_GOC!$B:$B,"&lt;"&amp;EDATE(DATE($D$2,$B$2,1),1))+SUMIFS(DATA_GOC!$H:$H,DATA_GOC!$A:$A,"BOM",DATA_GOC!$D:$D,$B45,DATA_GOC!$E:$E,"Dầu cầu",DATA_GOC!$G:$G,"&lt;&gt;Dầu cầu",DATA_GOC!$B:$B,"&gt;="&amp;DATE($D$2,$B$2,1),DATA_GOC!$B:$B,"&lt;"&amp;EDATE(DATE($D$2,$B$2,1),1))</f>
        <v>0</v>
      </c>
      <c r="L45" s="222">
        <f>SUMIFS(DATA_GOC!$H:$H,DATA_GOC!$A:$A,"BOM",DATA_GOC!$D:$D,$B45,DATA_GOC!$G:$G,"Dầu số",DATA_GOC!$B:$B,"&gt;="&amp;DATE($D$2,$B$2,1),DATA_GOC!$B:$B,"&lt;"&amp;EDATE(DATE($D$2,$B$2,1),1))+SUMIFS(DATA_GOC!$H:$H,DATA_GOC!$A:$A,"BOM",DATA_GOC!$D:$D,$B45,DATA_GOC!$E:$E,"Dầu số",DATA_GOC!$G:$G,"&lt;&gt;Dầu số",DATA_GOC!$B:$B,"&gt;="&amp;DATE($D$2,$B$2,1),DATA_GOC!$B:$B,"&lt;"&amp;EDATE(DATE($D$2,$B$2,1),1))</f>
        <v>0</v>
      </c>
      <c r="M45" s="263">
        <f t="shared" si="3"/>
        <v>0</v>
      </c>
      <c r="N45" s="222">
        <f>SUMIFS(DATA_GOC!$K:$K,DATA_GOC!$A:$A,"BOM",DATA_GOC!$D:$D,$B45,DATA_GOC!$G:$G,"DO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45" s="222" t="str">
        <f t="shared" si="4"/>
        <v/>
      </c>
      <c r="P45" s="221"/>
    </row>
    <row r="46" ht="15.75" customHeight="1">
      <c r="A46" s="222">
        <f t="shared" si="1"/>
        <v>42</v>
      </c>
      <c r="B46" s="221" t="str">
        <f t="array" ref="B46">IFERROR(INDEX(DANH_MUC!$E:$E,ROW()-1),"")</f>
        <v>29E17273</v>
      </c>
      <c r="C46" s="222">
        <f>IF($B46="","",
  IFERROR(SUMIFS(DATA_GOC!$H:$H,
    DATA_GOC!$A:$A,"BOM",
    DATA_GOC!$D:$D,$B46,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TINH_TEC!$H:$H,$B46,
    TINH_TEC!$F:$F,$B$2,
    TINH_TEC!$G:$G,$D$2
  ),0)
  -
  IFERROR(SUMIFS(TINH_TEC!$K:$K,
    TINH_TEC!$B:$B,"Đã chốt",
    TINH_TEC!$C:$C,C$4,
    TINH_TEC!$H:$H,$B46,
    TINH_TEC!$F:$F,$B$2,
    TINH_TEC!$G:$G,$D$2
  ),0)
)</f>
        <v>0</v>
      </c>
      <c r="D46" s="222">
        <f>IF($B46="","",
  IFERROR(SUMIFS(DATA_GOC!$H:$H,
    DATA_GOC!$A:$A,"BOM",
    DATA_GOC!$D:$D,$B46,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TINH_TEC!$H:$H,$B46,
    TINH_TEC!$F:$F,$B$2,
    TINH_TEC!$G:$G,$D$2
  ),0)
  -
  IFERROR(SUMIFS(TINH_TEC!$K:$K,
    TINH_TEC!$B:$B,"Đã chốt",
    TINH_TEC!$C:$C,D$4,
    TINH_TEC!$H:$H,$B46,
    TINH_TEC!$F:$F,$B$2,
    TINH_TEC!$G:$G,$D$2
  ),0)
)</f>
        <v>16.89</v>
      </c>
      <c r="E46" s="222">
        <f>IF($B46="","",
  IFERROR(SUMIFS(DATA_GOC!$H:$H,
    DATA_GOC!$A:$A,"BOM",
    DATA_GOC!$D:$D,$B46,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TINH_TEC!$H:$H,$B46,
    TINH_TEC!$F:$F,$B$2,
    TINH_TEC!$G:$G,$D$2
  ),0)
  -
  IFERROR(SUMIFS(TINH_TEC!$K:$K,
    TINH_TEC!$B:$B,"Đã chốt",
    TINH_TEC!$C:$C,E$4,
    TINH_TEC!$H:$H,$B46,
    TINH_TEC!$F:$F,$B$2,
    TINH_TEC!$G:$G,$D$2
  ),0)
)</f>
        <v>0</v>
      </c>
      <c r="F46" s="222">
        <f>SUMIFS(DATA_GOC!$H:$H,DATA_GOC!$A:$A,"BOM",DATA_GOC!$D:$D,$B46,DATA_GOC!$F:$F,"Xuất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6" s="222">
        <f>SUMIFS(DATA_GOC!$H:$H,DATA_GOC!$A:$A,"BOM",DATA_GOC!$D:$D,$B46,DATA_GOC!$F:$F,"Bơm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6" s="263">
        <f t="shared" si="2"/>
        <v>16.89</v>
      </c>
      <c r="I46" s="222">
        <f>SUMIFS(DATA_GOC!$H:$H,DATA_GOC!$A:$A,"BOM",DATA_GOC!$D:$D,$B46,DATA_GOC!$G:$G,"Dầu động cơ",DATA_GOC!$B:$B,"&gt;="&amp;DATE($D$2,$B$2,1),DATA_GOC!$B:$B,"&lt;"&amp;EDATE(DATE($D$2,$B$2,1),1))+SUMIFS(DATA_GOC!$H:$H,DATA_GOC!$A:$A,"BOM",DATA_GOC!$D:$D,$B46,DATA_GOC!$E:$E,"Dầu động cơ",DATA_GOC!$G:$G,"&lt;&gt;Dầu động cơ",DATA_GOC!$B:$B,"&gt;="&amp;DATE($D$2,$B$2,1),DATA_GOC!$B:$B,"&lt;"&amp;EDATE(DATE($D$2,$B$2,1),1))</f>
        <v>0</v>
      </c>
      <c r="J46" s="222">
        <f>SUMIFS(DATA_GOC!$H:$H,DATA_GOC!$A:$A,"BOM",DATA_GOC!$D:$D,$B46,DATA_GOC!$G:$G,"Dầu thủy lực",DATA_GOC!$B:$B,"&gt;="&amp;DATE($D$2,$B$2,1),DATA_GOC!$B:$B,"&lt;"&amp;EDATE(DATE($D$2,$B$2,1),1))+SUMIFS(DATA_GOC!$H:$H,DATA_GOC!$A:$A,"BOM",DATA_GOC!$D:$D,$B46,DATA_GOC!$E:$E,"Dầu thủy lực",DATA_GOC!$G:$G,"&lt;&gt;Dầu thủy lực",DATA_GOC!$B:$B,"&gt;="&amp;DATE($D$2,$B$2,1),DATA_GOC!$B:$B,"&lt;"&amp;EDATE(DATE($D$2,$B$2,1),1))</f>
        <v>0</v>
      </c>
      <c r="K46" s="222">
        <f>SUMIFS(DATA_GOC!$H:$H,DATA_GOC!$A:$A,"BOM",DATA_GOC!$D:$D,$B46,DATA_GOC!$G:$G,"Dầu cầu",DATA_GOC!$B:$B,"&gt;="&amp;DATE($D$2,$B$2,1),DATA_GOC!$B:$B,"&lt;"&amp;EDATE(DATE($D$2,$B$2,1),1))+SUMIFS(DATA_GOC!$H:$H,DATA_GOC!$A:$A,"BOM",DATA_GOC!$D:$D,$B46,DATA_GOC!$E:$E,"Dầu cầu",DATA_GOC!$G:$G,"&lt;&gt;Dầu cầu",DATA_GOC!$B:$B,"&gt;="&amp;DATE($D$2,$B$2,1),DATA_GOC!$B:$B,"&lt;"&amp;EDATE(DATE($D$2,$B$2,1),1))</f>
        <v>0</v>
      </c>
      <c r="L46" s="222">
        <f>SUMIFS(DATA_GOC!$H:$H,DATA_GOC!$A:$A,"BOM",DATA_GOC!$D:$D,$B46,DATA_GOC!$G:$G,"Dầu số",DATA_GOC!$B:$B,"&gt;="&amp;DATE($D$2,$B$2,1),DATA_GOC!$B:$B,"&lt;"&amp;EDATE(DATE($D$2,$B$2,1),1))+SUMIFS(DATA_GOC!$H:$H,DATA_GOC!$A:$A,"BOM",DATA_GOC!$D:$D,$B46,DATA_GOC!$E:$E,"Dầu số",DATA_GOC!$G:$G,"&lt;&gt;Dầu số",DATA_GOC!$B:$B,"&gt;="&amp;DATE($D$2,$B$2,1),DATA_GOC!$B:$B,"&lt;"&amp;EDATE(DATE($D$2,$B$2,1),1))</f>
        <v>0</v>
      </c>
      <c r="M46" s="263">
        <f t="shared" si="3"/>
        <v>0</v>
      </c>
      <c r="N46" s="222">
        <f>SUMIFS(DATA_GOC!$K:$K,DATA_GOC!$A:$A,"BOM",DATA_GOC!$D:$D,$B46,DATA_GOC!$G:$G,"DO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46" s="222" t="str">
        <f t="shared" si="4"/>
        <v/>
      </c>
      <c r="P46" s="221"/>
    </row>
    <row r="47" ht="15.75" customHeight="1">
      <c r="A47" s="222">
        <f t="shared" si="1"/>
        <v>43</v>
      </c>
      <c r="B47" s="221" t="str">
        <f t="array" ref="B47">IFERROR(INDEX(DANH_MUC!$E:$E,ROW()-1),"")</f>
        <v>29E17410</v>
      </c>
      <c r="C47" s="222">
        <f>IF($B47="","",
  IFERROR(SUMIFS(DATA_GOC!$H:$H,
    DATA_GOC!$A:$A,"BOM",
    DATA_GOC!$D:$D,$B47,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TINH_TEC!$H:$H,$B47,
    TINH_TEC!$F:$F,$B$2,
    TINH_TEC!$G:$G,$D$2
  ),0)
  -
  IFERROR(SUMIFS(TINH_TEC!$K:$K,
    TINH_TEC!$B:$B,"Đã chốt",
    TINH_TEC!$C:$C,C$4,
    TINH_TEC!$H:$H,$B47,
    TINH_TEC!$F:$F,$B$2,
    TINH_TEC!$G:$G,$D$2
  ),0)
)</f>
        <v>0</v>
      </c>
      <c r="D47" s="222">
        <f>IF($B47="","",
  IFERROR(SUMIFS(DATA_GOC!$H:$H,
    DATA_GOC!$A:$A,"BOM",
    DATA_GOC!$D:$D,$B47,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TINH_TEC!$H:$H,$B47,
    TINH_TEC!$F:$F,$B$2,
    TINH_TEC!$G:$G,$D$2
  ),0)
  -
  IFERROR(SUMIFS(TINH_TEC!$K:$K,
    TINH_TEC!$B:$B,"Đã chốt",
    TINH_TEC!$C:$C,D$4,
    TINH_TEC!$H:$H,$B47,
    TINH_TEC!$F:$F,$B$2,
    TINH_TEC!$G:$G,$D$2
  ),0)
)</f>
        <v>22.598</v>
      </c>
      <c r="E47" s="222">
        <f>IF($B47="","",
  IFERROR(SUMIFS(DATA_GOC!$H:$H,
    DATA_GOC!$A:$A,"BOM",
    DATA_GOC!$D:$D,$B47,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TINH_TEC!$H:$H,$B47,
    TINH_TEC!$F:$F,$B$2,
    TINH_TEC!$G:$G,$D$2
  ),0)
  -
  IFERROR(SUMIFS(TINH_TEC!$K:$K,
    TINH_TEC!$B:$B,"Đã chốt",
    TINH_TEC!$C:$C,E$4,
    TINH_TEC!$H:$H,$B47,
    TINH_TEC!$F:$F,$B$2,
    TINH_TEC!$G:$G,$D$2
  ),0)
)</f>
        <v>0</v>
      </c>
      <c r="F47" s="222">
        <f>SUMIFS(DATA_GOC!$H:$H,DATA_GOC!$A:$A,"BOM",DATA_GOC!$D:$D,$B47,DATA_GOC!$F:$F,"Xuất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7" s="222">
        <f>SUMIFS(DATA_GOC!$H:$H,DATA_GOC!$A:$A,"BOM",DATA_GOC!$D:$D,$B47,DATA_GOC!$F:$F,"Bơm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7" s="263">
        <f t="shared" si="2"/>
        <v>22.598</v>
      </c>
      <c r="I47" s="222">
        <f>SUMIFS(DATA_GOC!$H:$H,DATA_GOC!$A:$A,"BOM",DATA_GOC!$D:$D,$B47,DATA_GOC!$G:$G,"Dầu động cơ",DATA_GOC!$B:$B,"&gt;="&amp;DATE($D$2,$B$2,1),DATA_GOC!$B:$B,"&lt;"&amp;EDATE(DATE($D$2,$B$2,1),1))+SUMIFS(DATA_GOC!$H:$H,DATA_GOC!$A:$A,"BOM",DATA_GOC!$D:$D,$B47,DATA_GOC!$E:$E,"Dầu động cơ",DATA_GOC!$G:$G,"&lt;&gt;Dầu động cơ",DATA_GOC!$B:$B,"&gt;="&amp;DATE($D$2,$B$2,1),DATA_GOC!$B:$B,"&lt;"&amp;EDATE(DATE($D$2,$B$2,1),1))</f>
        <v>0</v>
      </c>
      <c r="J47" s="222">
        <f>SUMIFS(DATA_GOC!$H:$H,DATA_GOC!$A:$A,"BOM",DATA_GOC!$D:$D,$B47,DATA_GOC!$G:$G,"Dầu thủy lực",DATA_GOC!$B:$B,"&gt;="&amp;DATE($D$2,$B$2,1),DATA_GOC!$B:$B,"&lt;"&amp;EDATE(DATE($D$2,$B$2,1),1))+SUMIFS(DATA_GOC!$H:$H,DATA_GOC!$A:$A,"BOM",DATA_GOC!$D:$D,$B47,DATA_GOC!$E:$E,"Dầu thủy lực",DATA_GOC!$G:$G,"&lt;&gt;Dầu thủy lực",DATA_GOC!$B:$B,"&gt;="&amp;DATE($D$2,$B$2,1),DATA_GOC!$B:$B,"&lt;"&amp;EDATE(DATE($D$2,$B$2,1),1))</f>
        <v>0</v>
      </c>
      <c r="K47" s="222">
        <f>SUMIFS(DATA_GOC!$H:$H,DATA_GOC!$A:$A,"BOM",DATA_GOC!$D:$D,$B47,DATA_GOC!$G:$G,"Dầu cầu",DATA_GOC!$B:$B,"&gt;="&amp;DATE($D$2,$B$2,1),DATA_GOC!$B:$B,"&lt;"&amp;EDATE(DATE($D$2,$B$2,1),1))+SUMIFS(DATA_GOC!$H:$H,DATA_GOC!$A:$A,"BOM",DATA_GOC!$D:$D,$B47,DATA_GOC!$E:$E,"Dầu cầu",DATA_GOC!$G:$G,"&lt;&gt;Dầu cầu",DATA_GOC!$B:$B,"&gt;="&amp;DATE($D$2,$B$2,1),DATA_GOC!$B:$B,"&lt;"&amp;EDATE(DATE($D$2,$B$2,1),1))</f>
        <v>0</v>
      </c>
      <c r="L47" s="222">
        <f>SUMIFS(DATA_GOC!$H:$H,DATA_GOC!$A:$A,"BOM",DATA_GOC!$D:$D,$B47,DATA_GOC!$G:$G,"Dầu số",DATA_GOC!$B:$B,"&gt;="&amp;DATE($D$2,$B$2,1),DATA_GOC!$B:$B,"&lt;"&amp;EDATE(DATE($D$2,$B$2,1),1))+SUMIFS(DATA_GOC!$H:$H,DATA_GOC!$A:$A,"BOM",DATA_GOC!$D:$D,$B47,DATA_GOC!$E:$E,"Dầu số",DATA_GOC!$G:$G,"&lt;&gt;Dầu số",DATA_GOC!$B:$B,"&gt;="&amp;DATE($D$2,$B$2,1),DATA_GOC!$B:$B,"&lt;"&amp;EDATE(DATE($D$2,$B$2,1),1))</f>
        <v>0</v>
      </c>
      <c r="M47" s="263">
        <f t="shared" si="3"/>
        <v>0</v>
      </c>
      <c r="N47" s="222">
        <f>SUMIFS(DATA_GOC!$K:$K,DATA_GOC!$A:$A,"BOM",DATA_GOC!$D:$D,$B47,DATA_GOC!$G:$G,"DO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47" s="222" t="str">
        <f t="shared" si="4"/>
        <v/>
      </c>
      <c r="P47" s="221"/>
    </row>
    <row r="48" ht="15.75" customHeight="1">
      <c r="A48" s="222">
        <f t="shared" si="1"/>
        <v>44</v>
      </c>
      <c r="B48" s="221" t="str">
        <f t="array" ref="B48">IFERROR(INDEX(DANH_MUC!$E:$E,ROW()-1),"")</f>
        <v>29E17417</v>
      </c>
      <c r="C48" s="222">
        <f>IF($B48="","",
  IFERROR(SUMIFS(DATA_GOC!$H:$H,
    DATA_GOC!$A:$A,"BOM",
    DATA_GOC!$D:$D,$B48,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TINH_TEC!$H:$H,$B48,
    TINH_TEC!$F:$F,$B$2,
    TINH_TEC!$G:$G,$D$2
  ),0)
  -
  IFERROR(SUMIFS(TINH_TEC!$K:$K,
    TINH_TEC!$B:$B,"Đã chốt",
    TINH_TEC!$C:$C,C$4,
    TINH_TEC!$H:$H,$B48,
    TINH_TEC!$F:$F,$B$2,
    TINH_TEC!$G:$G,$D$2
  ),0)
)</f>
        <v>0</v>
      </c>
      <c r="D48" s="222">
        <f>IF($B48="","",
  IFERROR(SUMIFS(DATA_GOC!$H:$H,
    DATA_GOC!$A:$A,"BOM",
    DATA_GOC!$D:$D,$B48,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TINH_TEC!$H:$H,$B48,
    TINH_TEC!$F:$F,$B$2,
    TINH_TEC!$G:$G,$D$2
  ),0)
  -
  IFERROR(SUMIFS(TINH_TEC!$K:$K,
    TINH_TEC!$B:$B,"Đã chốt",
    TINH_TEC!$C:$C,D$4,
    TINH_TEC!$H:$H,$B48,
    TINH_TEC!$F:$F,$B$2,
    TINH_TEC!$G:$G,$D$2
  ),0)
)</f>
        <v>19.686</v>
      </c>
      <c r="E48" s="222">
        <f>IF($B48="","",
  IFERROR(SUMIFS(DATA_GOC!$H:$H,
    DATA_GOC!$A:$A,"BOM",
    DATA_GOC!$D:$D,$B48,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TINH_TEC!$H:$H,$B48,
    TINH_TEC!$F:$F,$B$2,
    TINH_TEC!$G:$G,$D$2
  ),0)
  -
  IFERROR(SUMIFS(TINH_TEC!$K:$K,
    TINH_TEC!$B:$B,"Đã chốt",
    TINH_TEC!$C:$C,E$4,
    TINH_TEC!$H:$H,$B48,
    TINH_TEC!$F:$F,$B$2,
    TINH_TEC!$G:$G,$D$2
  ),0)
)</f>
        <v>0</v>
      </c>
      <c r="F48" s="222">
        <f>SUMIFS(DATA_GOC!$H:$H,DATA_GOC!$A:$A,"BOM",DATA_GOC!$D:$D,$B48,DATA_GOC!$F:$F,"Xuất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8" s="222">
        <f>SUMIFS(DATA_GOC!$H:$H,DATA_GOC!$A:$A,"BOM",DATA_GOC!$D:$D,$B48,DATA_GOC!$F:$F,"Bơm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8" s="263">
        <f t="shared" si="2"/>
        <v>19.686</v>
      </c>
      <c r="I48" s="222">
        <f>SUMIFS(DATA_GOC!$H:$H,DATA_GOC!$A:$A,"BOM",DATA_GOC!$D:$D,$B48,DATA_GOC!$G:$G,"Dầu động cơ",DATA_GOC!$B:$B,"&gt;="&amp;DATE($D$2,$B$2,1),DATA_GOC!$B:$B,"&lt;"&amp;EDATE(DATE($D$2,$B$2,1),1))+SUMIFS(DATA_GOC!$H:$H,DATA_GOC!$A:$A,"BOM",DATA_GOC!$D:$D,$B48,DATA_GOC!$E:$E,"Dầu động cơ",DATA_GOC!$G:$G,"&lt;&gt;Dầu động cơ",DATA_GOC!$B:$B,"&gt;="&amp;DATE($D$2,$B$2,1),DATA_GOC!$B:$B,"&lt;"&amp;EDATE(DATE($D$2,$B$2,1),1))</f>
        <v>0</v>
      </c>
      <c r="J48" s="222">
        <f>SUMIFS(DATA_GOC!$H:$H,DATA_GOC!$A:$A,"BOM",DATA_GOC!$D:$D,$B48,DATA_GOC!$G:$G,"Dầu thủy lực",DATA_GOC!$B:$B,"&gt;="&amp;DATE($D$2,$B$2,1),DATA_GOC!$B:$B,"&lt;"&amp;EDATE(DATE($D$2,$B$2,1),1))+SUMIFS(DATA_GOC!$H:$H,DATA_GOC!$A:$A,"BOM",DATA_GOC!$D:$D,$B48,DATA_GOC!$E:$E,"Dầu thủy lực",DATA_GOC!$G:$G,"&lt;&gt;Dầu thủy lực",DATA_GOC!$B:$B,"&gt;="&amp;DATE($D$2,$B$2,1),DATA_GOC!$B:$B,"&lt;"&amp;EDATE(DATE($D$2,$B$2,1),1))</f>
        <v>0</v>
      </c>
      <c r="K48" s="222">
        <f>SUMIFS(DATA_GOC!$H:$H,DATA_GOC!$A:$A,"BOM",DATA_GOC!$D:$D,$B48,DATA_GOC!$G:$G,"Dầu cầu",DATA_GOC!$B:$B,"&gt;="&amp;DATE($D$2,$B$2,1),DATA_GOC!$B:$B,"&lt;"&amp;EDATE(DATE($D$2,$B$2,1),1))+SUMIFS(DATA_GOC!$H:$H,DATA_GOC!$A:$A,"BOM",DATA_GOC!$D:$D,$B48,DATA_GOC!$E:$E,"Dầu cầu",DATA_GOC!$G:$G,"&lt;&gt;Dầu cầu",DATA_GOC!$B:$B,"&gt;="&amp;DATE($D$2,$B$2,1),DATA_GOC!$B:$B,"&lt;"&amp;EDATE(DATE($D$2,$B$2,1),1))</f>
        <v>0</v>
      </c>
      <c r="L48" s="222">
        <f>SUMIFS(DATA_GOC!$H:$H,DATA_GOC!$A:$A,"BOM",DATA_GOC!$D:$D,$B48,DATA_GOC!$G:$G,"Dầu số",DATA_GOC!$B:$B,"&gt;="&amp;DATE($D$2,$B$2,1),DATA_GOC!$B:$B,"&lt;"&amp;EDATE(DATE($D$2,$B$2,1),1))+SUMIFS(DATA_GOC!$H:$H,DATA_GOC!$A:$A,"BOM",DATA_GOC!$D:$D,$B48,DATA_GOC!$E:$E,"Dầu số",DATA_GOC!$G:$G,"&lt;&gt;Dầu số",DATA_GOC!$B:$B,"&gt;="&amp;DATE($D$2,$B$2,1),DATA_GOC!$B:$B,"&lt;"&amp;EDATE(DATE($D$2,$B$2,1),1))</f>
        <v>0</v>
      </c>
      <c r="M48" s="263">
        <f t="shared" si="3"/>
        <v>0</v>
      </c>
      <c r="N48" s="222">
        <f>SUMIFS(DATA_GOC!$K:$K,DATA_GOC!$A:$A,"BOM",DATA_GOC!$D:$D,$B48,DATA_GOC!$G:$G,"DO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48" s="222" t="str">
        <f t="shared" si="4"/>
        <v/>
      </c>
      <c r="P48" s="221"/>
    </row>
    <row r="49" ht="15.75" customHeight="1">
      <c r="A49" s="222">
        <f t="shared" si="1"/>
        <v>45</v>
      </c>
      <c r="B49" s="221" t="str">
        <f t="array" ref="B49">IFERROR(INDEX(DANH_MUC!$E:$E,ROW()-1),"")</f>
        <v>29E17539</v>
      </c>
      <c r="C49" s="222">
        <f>IF($B49="","",
  IFERROR(SUMIFS(DATA_GOC!$H:$H,
    DATA_GOC!$A:$A,"BOM",
    DATA_GOC!$D:$D,$B49,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TINH_TEC!$H:$H,$B49,
    TINH_TEC!$F:$F,$B$2,
    TINH_TEC!$G:$G,$D$2
  ),0)
  -
  IFERROR(SUMIFS(TINH_TEC!$K:$K,
    TINH_TEC!$B:$B,"Đã chốt",
    TINH_TEC!$C:$C,C$4,
    TINH_TEC!$H:$H,$B49,
    TINH_TEC!$F:$F,$B$2,
    TINH_TEC!$G:$G,$D$2
  ),0)
)</f>
        <v>0</v>
      </c>
      <c r="D49" s="222">
        <f>IF($B49="","",
  IFERROR(SUMIFS(DATA_GOC!$H:$H,
    DATA_GOC!$A:$A,"BOM",
    DATA_GOC!$D:$D,$B49,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TINH_TEC!$H:$H,$B49,
    TINH_TEC!$F:$F,$B$2,
    TINH_TEC!$G:$G,$D$2
  ),0)
  -
  IFERROR(SUMIFS(TINH_TEC!$K:$K,
    TINH_TEC!$B:$B,"Đã chốt",
    TINH_TEC!$C:$C,D$4,
    TINH_TEC!$H:$H,$B49,
    TINH_TEC!$F:$F,$B$2,
    TINH_TEC!$G:$G,$D$2
  ),0)
)</f>
        <v>15.143</v>
      </c>
      <c r="E49" s="222">
        <f>IF($B49="","",
  IFERROR(SUMIFS(DATA_GOC!$H:$H,
    DATA_GOC!$A:$A,"BOM",
    DATA_GOC!$D:$D,$B49,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TINH_TEC!$H:$H,$B49,
    TINH_TEC!$F:$F,$B$2,
    TINH_TEC!$G:$G,$D$2
  ),0)
  -
  IFERROR(SUMIFS(TINH_TEC!$K:$K,
    TINH_TEC!$B:$B,"Đã chốt",
    TINH_TEC!$C:$C,E$4,
    TINH_TEC!$H:$H,$B49,
    TINH_TEC!$F:$F,$B$2,
    TINH_TEC!$G:$G,$D$2
  ),0)
)</f>
        <v>0</v>
      </c>
      <c r="F49" s="222">
        <f>SUMIFS(DATA_GOC!$H:$H,DATA_GOC!$A:$A,"BOM",DATA_GOC!$D:$D,$B49,DATA_GOC!$F:$F,"Xuất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49" s="222">
        <f>SUMIFS(DATA_GOC!$H:$H,DATA_GOC!$A:$A,"BOM",DATA_GOC!$D:$D,$B49,DATA_GOC!$F:$F,"Bơm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49" s="263">
        <f t="shared" si="2"/>
        <v>15.143</v>
      </c>
      <c r="I49" s="222">
        <f>SUMIFS(DATA_GOC!$H:$H,DATA_GOC!$A:$A,"BOM",DATA_GOC!$D:$D,$B49,DATA_GOC!$G:$G,"Dầu động cơ",DATA_GOC!$B:$B,"&gt;="&amp;DATE($D$2,$B$2,1),DATA_GOC!$B:$B,"&lt;"&amp;EDATE(DATE($D$2,$B$2,1),1))+SUMIFS(DATA_GOC!$H:$H,DATA_GOC!$A:$A,"BOM",DATA_GOC!$D:$D,$B49,DATA_GOC!$E:$E,"Dầu động cơ",DATA_GOC!$G:$G,"&lt;&gt;Dầu động cơ",DATA_GOC!$B:$B,"&gt;="&amp;DATE($D$2,$B$2,1),DATA_GOC!$B:$B,"&lt;"&amp;EDATE(DATE($D$2,$B$2,1),1))</f>
        <v>0</v>
      </c>
      <c r="J49" s="222">
        <f>SUMIFS(DATA_GOC!$H:$H,DATA_GOC!$A:$A,"BOM",DATA_GOC!$D:$D,$B49,DATA_GOC!$G:$G,"Dầu thủy lực",DATA_GOC!$B:$B,"&gt;="&amp;DATE($D$2,$B$2,1),DATA_GOC!$B:$B,"&lt;"&amp;EDATE(DATE($D$2,$B$2,1),1))+SUMIFS(DATA_GOC!$H:$H,DATA_GOC!$A:$A,"BOM",DATA_GOC!$D:$D,$B49,DATA_GOC!$E:$E,"Dầu thủy lực",DATA_GOC!$G:$G,"&lt;&gt;Dầu thủy lực",DATA_GOC!$B:$B,"&gt;="&amp;DATE($D$2,$B$2,1),DATA_GOC!$B:$B,"&lt;"&amp;EDATE(DATE($D$2,$B$2,1),1))</f>
        <v>0</v>
      </c>
      <c r="K49" s="222">
        <f>SUMIFS(DATA_GOC!$H:$H,DATA_GOC!$A:$A,"BOM",DATA_GOC!$D:$D,$B49,DATA_GOC!$G:$G,"Dầu cầu",DATA_GOC!$B:$B,"&gt;="&amp;DATE($D$2,$B$2,1),DATA_GOC!$B:$B,"&lt;"&amp;EDATE(DATE($D$2,$B$2,1),1))+SUMIFS(DATA_GOC!$H:$H,DATA_GOC!$A:$A,"BOM",DATA_GOC!$D:$D,$B49,DATA_GOC!$E:$E,"Dầu cầu",DATA_GOC!$G:$G,"&lt;&gt;Dầu cầu",DATA_GOC!$B:$B,"&gt;="&amp;DATE($D$2,$B$2,1),DATA_GOC!$B:$B,"&lt;"&amp;EDATE(DATE($D$2,$B$2,1),1))</f>
        <v>0</v>
      </c>
      <c r="L49" s="222">
        <f>SUMIFS(DATA_GOC!$H:$H,DATA_GOC!$A:$A,"BOM",DATA_GOC!$D:$D,$B49,DATA_GOC!$G:$G,"Dầu số",DATA_GOC!$B:$B,"&gt;="&amp;DATE($D$2,$B$2,1),DATA_GOC!$B:$B,"&lt;"&amp;EDATE(DATE($D$2,$B$2,1),1))+SUMIFS(DATA_GOC!$H:$H,DATA_GOC!$A:$A,"BOM",DATA_GOC!$D:$D,$B49,DATA_GOC!$E:$E,"Dầu số",DATA_GOC!$G:$G,"&lt;&gt;Dầu số",DATA_GOC!$B:$B,"&gt;="&amp;DATE($D$2,$B$2,1),DATA_GOC!$B:$B,"&lt;"&amp;EDATE(DATE($D$2,$B$2,1),1))</f>
        <v>0</v>
      </c>
      <c r="M49" s="263">
        <f t="shared" si="3"/>
        <v>0</v>
      </c>
      <c r="N49" s="222">
        <f>SUMIFS(DATA_GOC!$K:$K,DATA_GOC!$A:$A,"BOM",DATA_GOC!$D:$D,$B49,DATA_GOC!$G:$G,"DO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49" s="222" t="str">
        <f t="shared" si="4"/>
        <v/>
      </c>
      <c r="P49" s="221"/>
    </row>
    <row r="50" ht="15.75" customHeight="1">
      <c r="A50" s="222">
        <f t="shared" si="1"/>
        <v>46</v>
      </c>
      <c r="B50" s="221" t="str">
        <f t="array" ref="B50">IFERROR(INDEX(DANH_MUC!$E:$E,ROW()-1),"")</f>
        <v>29E18160</v>
      </c>
      <c r="C50" s="222">
        <f>IF($B50="","",
  IFERROR(SUMIFS(DATA_GOC!$H:$H,
    DATA_GOC!$A:$A,"BOM",
    DATA_GOC!$D:$D,$B50,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TINH_TEC!$H:$H,$B50,
    TINH_TEC!$F:$F,$B$2,
    TINH_TEC!$G:$G,$D$2
  ),0)
  -
  IFERROR(SUMIFS(TINH_TEC!$K:$K,
    TINH_TEC!$B:$B,"Đã chốt",
    TINH_TEC!$C:$C,C$4,
    TINH_TEC!$H:$H,$B50,
    TINH_TEC!$F:$F,$B$2,
    TINH_TEC!$G:$G,$D$2
  ),0)
)</f>
        <v>0</v>
      </c>
      <c r="D50" s="222">
        <f>IF($B50="","",
  IFERROR(SUMIFS(DATA_GOC!$H:$H,
    DATA_GOC!$A:$A,"BOM",
    DATA_GOC!$D:$D,$B50,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TINH_TEC!$H:$H,$B50,
    TINH_TEC!$F:$F,$B$2,
    TINH_TEC!$G:$G,$D$2
  ),0)
  -
  IFERROR(SUMIFS(TINH_TEC!$K:$K,
    TINH_TEC!$B:$B,"Đã chốt",
    TINH_TEC!$C:$C,D$4,
    TINH_TEC!$H:$H,$B50,
    TINH_TEC!$F:$F,$B$2,
    TINH_TEC!$G:$G,$D$2
  ),0)
)</f>
        <v>7.863</v>
      </c>
      <c r="E50" s="222">
        <f>IF($B50="","",
  IFERROR(SUMIFS(DATA_GOC!$H:$H,
    DATA_GOC!$A:$A,"BOM",
    DATA_GOC!$D:$D,$B50,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TINH_TEC!$H:$H,$B50,
    TINH_TEC!$F:$F,$B$2,
    TINH_TEC!$G:$G,$D$2
  ),0)
  -
  IFERROR(SUMIFS(TINH_TEC!$K:$K,
    TINH_TEC!$B:$B,"Đã chốt",
    TINH_TEC!$C:$C,E$4,
    TINH_TEC!$H:$H,$B50,
    TINH_TEC!$F:$F,$B$2,
    TINH_TEC!$G:$G,$D$2
  ),0)
)</f>
        <v>0</v>
      </c>
      <c r="F50" s="222">
        <f>SUMIFS(DATA_GOC!$H:$H,DATA_GOC!$A:$A,"BOM",DATA_GOC!$D:$D,$B50,DATA_GOC!$F:$F,"Xuất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0" s="222">
        <f>SUMIFS(DATA_GOC!$H:$H,DATA_GOC!$A:$A,"BOM",DATA_GOC!$D:$D,$B50,DATA_GOC!$F:$F,"Bơm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0" s="263">
        <f t="shared" si="2"/>
        <v>7.863</v>
      </c>
      <c r="I50" s="222">
        <f>SUMIFS(DATA_GOC!$H:$H,DATA_GOC!$A:$A,"BOM",DATA_GOC!$D:$D,$B50,DATA_GOC!$G:$G,"Dầu động cơ",DATA_GOC!$B:$B,"&gt;="&amp;DATE($D$2,$B$2,1),DATA_GOC!$B:$B,"&lt;"&amp;EDATE(DATE($D$2,$B$2,1),1))+SUMIFS(DATA_GOC!$H:$H,DATA_GOC!$A:$A,"BOM",DATA_GOC!$D:$D,$B50,DATA_GOC!$E:$E,"Dầu động cơ",DATA_GOC!$G:$G,"&lt;&gt;Dầu động cơ",DATA_GOC!$B:$B,"&gt;="&amp;DATE($D$2,$B$2,1),DATA_GOC!$B:$B,"&lt;"&amp;EDATE(DATE($D$2,$B$2,1),1))</f>
        <v>0</v>
      </c>
      <c r="J50" s="222">
        <f>SUMIFS(DATA_GOC!$H:$H,DATA_GOC!$A:$A,"BOM",DATA_GOC!$D:$D,$B50,DATA_GOC!$G:$G,"Dầu thủy lực",DATA_GOC!$B:$B,"&gt;="&amp;DATE($D$2,$B$2,1),DATA_GOC!$B:$B,"&lt;"&amp;EDATE(DATE($D$2,$B$2,1),1))+SUMIFS(DATA_GOC!$H:$H,DATA_GOC!$A:$A,"BOM",DATA_GOC!$D:$D,$B50,DATA_GOC!$E:$E,"Dầu thủy lực",DATA_GOC!$G:$G,"&lt;&gt;Dầu thủy lực",DATA_GOC!$B:$B,"&gt;="&amp;DATE($D$2,$B$2,1),DATA_GOC!$B:$B,"&lt;"&amp;EDATE(DATE($D$2,$B$2,1),1))</f>
        <v>0</v>
      </c>
      <c r="K50" s="222">
        <f>SUMIFS(DATA_GOC!$H:$H,DATA_GOC!$A:$A,"BOM",DATA_GOC!$D:$D,$B50,DATA_GOC!$G:$G,"Dầu cầu",DATA_GOC!$B:$B,"&gt;="&amp;DATE($D$2,$B$2,1),DATA_GOC!$B:$B,"&lt;"&amp;EDATE(DATE($D$2,$B$2,1),1))+SUMIFS(DATA_GOC!$H:$H,DATA_GOC!$A:$A,"BOM",DATA_GOC!$D:$D,$B50,DATA_GOC!$E:$E,"Dầu cầu",DATA_GOC!$G:$G,"&lt;&gt;Dầu cầu",DATA_GOC!$B:$B,"&gt;="&amp;DATE($D$2,$B$2,1),DATA_GOC!$B:$B,"&lt;"&amp;EDATE(DATE($D$2,$B$2,1),1))</f>
        <v>0</v>
      </c>
      <c r="L50" s="222">
        <f>SUMIFS(DATA_GOC!$H:$H,DATA_GOC!$A:$A,"BOM",DATA_GOC!$D:$D,$B50,DATA_GOC!$G:$G,"Dầu số",DATA_GOC!$B:$B,"&gt;="&amp;DATE($D$2,$B$2,1),DATA_GOC!$B:$B,"&lt;"&amp;EDATE(DATE($D$2,$B$2,1),1))+SUMIFS(DATA_GOC!$H:$H,DATA_GOC!$A:$A,"BOM",DATA_GOC!$D:$D,$B50,DATA_GOC!$E:$E,"Dầu số",DATA_GOC!$G:$G,"&lt;&gt;Dầu số",DATA_GOC!$B:$B,"&gt;="&amp;DATE($D$2,$B$2,1),DATA_GOC!$B:$B,"&lt;"&amp;EDATE(DATE($D$2,$B$2,1),1))</f>
        <v>0</v>
      </c>
      <c r="M50" s="263">
        <f t="shared" si="3"/>
        <v>0</v>
      </c>
      <c r="N50" s="222">
        <f>SUMIFS(DATA_GOC!$K:$K,DATA_GOC!$A:$A,"BOM",DATA_GOC!$D:$D,$B50,DATA_GOC!$G:$G,"DO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0" s="222" t="str">
        <f t="shared" si="4"/>
        <v/>
      </c>
      <c r="P50" s="221"/>
    </row>
    <row r="51" ht="15.75" customHeight="1">
      <c r="A51" s="222">
        <f t="shared" si="1"/>
        <v>47</v>
      </c>
      <c r="B51" s="221" t="str">
        <f t="array" ref="B51">IFERROR(INDEX(DANH_MUC!$E:$E,ROW()-1),"")</f>
        <v>Công trình Asphalt</v>
      </c>
      <c r="C51" s="222">
        <f>IF($B51="","",
  IFERROR(SUMIFS(DATA_GOC!$H:$H,
    DATA_GOC!$A:$A,"BOM",
    DATA_GOC!$D:$D,$B51,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TINH_TEC!$H:$H,$B51,
    TINH_TEC!$F:$F,$B$2,
    TINH_TEC!$G:$G,$D$2
  ),0)
  -
  IFERROR(SUMIFS(TINH_TEC!$K:$K,
    TINH_TEC!$B:$B,"Đã chốt",
    TINH_TEC!$C:$C,C$4,
    TINH_TEC!$H:$H,$B51,
    TINH_TEC!$F:$F,$B$2,
    TINH_TEC!$G:$G,$D$2
  ),0)
)</f>
        <v>0</v>
      </c>
      <c r="D51" s="222">
        <f>IF($B51="","",
  IFERROR(SUMIFS(DATA_GOC!$H:$H,
    DATA_GOC!$A:$A,"BOM",
    DATA_GOC!$D:$D,$B51,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TINH_TEC!$H:$H,$B51,
    TINH_TEC!$F:$F,$B$2,
    TINH_TEC!$G:$G,$D$2
  ),0)
  -
  IFERROR(SUMIFS(TINH_TEC!$K:$K,
    TINH_TEC!$B:$B,"Đã chốt",
    TINH_TEC!$C:$C,D$4,
    TINH_TEC!$H:$H,$B51,
    TINH_TEC!$F:$F,$B$2,
    TINH_TEC!$G:$G,$D$2
  ),0)
)</f>
        <v>10.891</v>
      </c>
      <c r="E51" s="222">
        <f>IF($B51="","",
  IFERROR(SUMIFS(DATA_GOC!$H:$H,
    DATA_GOC!$A:$A,"BOM",
    DATA_GOC!$D:$D,$B51,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TINH_TEC!$H:$H,$B51,
    TINH_TEC!$F:$F,$B$2,
    TINH_TEC!$G:$G,$D$2
  ),0)
  -
  IFERROR(SUMIFS(TINH_TEC!$K:$K,
    TINH_TEC!$B:$B,"Đã chốt",
    TINH_TEC!$C:$C,E$4,
    TINH_TEC!$H:$H,$B51,
    TINH_TEC!$F:$F,$B$2,
    TINH_TEC!$G:$G,$D$2
  ),0)
)</f>
        <v>0</v>
      </c>
      <c r="F51" s="222">
        <f>SUMIFS(DATA_GOC!$H:$H,DATA_GOC!$A:$A,"BOM",DATA_GOC!$D:$D,$B51,DATA_GOC!$F:$F,"Xuất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1" s="222">
        <f>SUMIFS(DATA_GOC!$H:$H,DATA_GOC!$A:$A,"BOM",DATA_GOC!$D:$D,$B51,DATA_GOC!$F:$F,"Bơm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1" s="263">
        <f t="shared" si="2"/>
        <v>10.891</v>
      </c>
      <c r="I51" s="222">
        <f>SUMIFS(DATA_GOC!$H:$H,DATA_GOC!$A:$A,"BOM",DATA_GOC!$D:$D,$B51,DATA_GOC!$G:$G,"Dầu động cơ",DATA_GOC!$B:$B,"&gt;="&amp;DATE($D$2,$B$2,1),DATA_GOC!$B:$B,"&lt;"&amp;EDATE(DATE($D$2,$B$2,1),1))+SUMIFS(DATA_GOC!$H:$H,DATA_GOC!$A:$A,"BOM",DATA_GOC!$D:$D,$B51,DATA_GOC!$E:$E,"Dầu động cơ",DATA_GOC!$G:$G,"&lt;&gt;Dầu động cơ",DATA_GOC!$B:$B,"&gt;="&amp;DATE($D$2,$B$2,1),DATA_GOC!$B:$B,"&lt;"&amp;EDATE(DATE($D$2,$B$2,1),1))</f>
        <v>0</v>
      </c>
      <c r="J51" s="222">
        <f>SUMIFS(DATA_GOC!$H:$H,DATA_GOC!$A:$A,"BOM",DATA_GOC!$D:$D,$B51,DATA_GOC!$G:$G,"Dầu thủy lực",DATA_GOC!$B:$B,"&gt;="&amp;DATE($D$2,$B$2,1),DATA_GOC!$B:$B,"&lt;"&amp;EDATE(DATE($D$2,$B$2,1),1))+SUMIFS(DATA_GOC!$H:$H,DATA_GOC!$A:$A,"BOM",DATA_GOC!$D:$D,$B51,DATA_GOC!$E:$E,"Dầu thủy lực",DATA_GOC!$G:$G,"&lt;&gt;Dầu thủy lực",DATA_GOC!$B:$B,"&gt;="&amp;DATE($D$2,$B$2,1),DATA_GOC!$B:$B,"&lt;"&amp;EDATE(DATE($D$2,$B$2,1),1))</f>
        <v>0</v>
      </c>
      <c r="K51" s="222">
        <f>SUMIFS(DATA_GOC!$H:$H,DATA_GOC!$A:$A,"BOM",DATA_GOC!$D:$D,$B51,DATA_GOC!$G:$G,"Dầu cầu",DATA_GOC!$B:$B,"&gt;="&amp;DATE($D$2,$B$2,1),DATA_GOC!$B:$B,"&lt;"&amp;EDATE(DATE($D$2,$B$2,1),1))+SUMIFS(DATA_GOC!$H:$H,DATA_GOC!$A:$A,"BOM",DATA_GOC!$D:$D,$B51,DATA_GOC!$E:$E,"Dầu cầu",DATA_GOC!$G:$G,"&lt;&gt;Dầu cầu",DATA_GOC!$B:$B,"&gt;="&amp;DATE($D$2,$B$2,1),DATA_GOC!$B:$B,"&lt;"&amp;EDATE(DATE($D$2,$B$2,1),1))</f>
        <v>0</v>
      </c>
      <c r="L51" s="222">
        <f>SUMIFS(DATA_GOC!$H:$H,DATA_GOC!$A:$A,"BOM",DATA_GOC!$D:$D,$B51,DATA_GOC!$G:$G,"Dầu số",DATA_GOC!$B:$B,"&gt;="&amp;DATE($D$2,$B$2,1),DATA_GOC!$B:$B,"&lt;"&amp;EDATE(DATE($D$2,$B$2,1),1))+SUMIFS(DATA_GOC!$H:$H,DATA_GOC!$A:$A,"BOM",DATA_GOC!$D:$D,$B51,DATA_GOC!$E:$E,"Dầu số",DATA_GOC!$G:$G,"&lt;&gt;Dầu số",DATA_GOC!$B:$B,"&gt;="&amp;DATE($D$2,$B$2,1),DATA_GOC!$B:$B,"&lt;"&amp;EDATE(DATE($D$2,$B$2,1),1))</f>
        <v>0</v>
      </c>
      <c r="M51" s="263">
        <f t="shared" si="3"/>
        <v>0</v>
      </c>
      <c r="N51" s="222">
        <f>SUMIFS(DATA_GOC!$K:$K,DATA_GOC!$A:$A,"BOM",DATA_GOC!$D:$D,$B51,DATA_GOC!$G:$G,"DO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1" s="222" t="str">
        <f t="shared" si="4"/>
        <v/>
      </c>
      <c r="P51" s="221"/>
    </row>
    <row r="52" ht="15.75" customHeight="1">
      <c r="A52" s="222">
        <f t="shared" si="1"/>
        <v>48</v>
      </c>
      <c r="B52" s="221" t="str">
        <f t="array" ref="B52">IFERROR(INDEX(DANH_MUC!$E:$E,ROW()-1),"")</f>
        <v>LG53F</v>
      </c>
      <c r="C52" s="222">
        <f>IF($B52="","",
  IFERROR(SUMIFS(DATA_GOC!$H:$H,
    DATA_GOC!$A:$A,"BOM",
    DATA_GOC!$D:$D,$B52,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TINH_TEC!$H:$H,$B52,
    TINH_TEC!$F:$F,$B$2,
    TINH_TEC!$G:$G,$D$2
  ),0)
  -
  IFERROR(SUMIFS(TINH_TEC!$K:$K,
    TINH_TEC!$B:$B,"Đã chốt",
    TINH_TEC!$C:$C,C$4,
    TINH_TEC!$H:$H,$B52,
    TINH_TEC!$F:$F,$B$2,
    TINH_TEC!$G:$G,$D$2
  ),0)
)</f>
        <v>0</v>
      </c>
      <c r="D52" s="222">
        <f>IF($B52="","",
  IFERROR(SUMIFS(DATA_GOC!$H:$H,
    DATA_GOC!$A:$A,"BOM",
    DATA_GOC!$D:$D,$B52,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TINH_TEC!$H:$H,$B52,
    TINH_TEC!$F:$F,$B$2,
    TINH_TEC!$G:$G,$D$2
  ),0)
  -
  IFERROR(SUMIFS(TINH_TEC!$K:$K,
    TINH_TEC!$B:$B,"Đã chốt",
    TINH_TEC!$C:$C,D$4,
    TINH_TEC!$H:$H,$B52,
    TINH_TEC!$F:$F,$B$2,
    TINH_TEC!$G:$G,$D$2
  ),0)
)</f>
        <v>0</v>
      </c>
      <c r="E52" s="222">
        <f>IF($B52="","",
  IFERROR(SUMIFS(DATA_GOC!$H:$H,
    DATA_GOC!$A:$A,"BOM",
    DATA_GOC!$D:$D,$B52,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TINH_TEC!$H:$H,$B52,
    TINH_TEC!$F:$F,$B$2,
    TINH_TEC!$G:$G,$D$2
  ),0)
  -
  IFERROR(SUMIFS(TINH_TEC!$K:$K,
    TINH_TEC!$B:$B,"Đã chốt",
    TINH_TEC!$C:$C,E$4,
    TINH_TEC!$H:$H,$B52,
    TINH_TEC!$F:$F,$B$2,
    TINH_TEC!$G:$G,$D$2
  ),0)
)</f>
        <v>0</v>
      </c>
      <c r="F52" s="222">
        <f>SUMIFS(DATA_GOC!$H:$H,DATA_GOC!$A:$A,"BOM",DATA_GOC!$D:$D,$B52,DATA_GOC!$F:$F,"Xuất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2" s="222">
        <f>SUMIFS(DATA_GOC!$H:$H,DATA_GOC!$A:$A,"BOM",DATA_GOC!$D:$D,$B52,DATA_GOC!$F:$F,"Bơm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2" s="263">
        <f t="shared" si="2"/>
        <v>0</v>
      </c>
      <c r="I52" s="222">
        <f>SUMIFS(DATA_GOC!$H:$H,DATA_GOC!$A:$A,"BOM",DATA_GOC!$D:$D,$B52,DATA_GOC!$G:$G,"Dầu động cơ",DATA_GOC!$B:$B,"&gt;="&amp;DATE($D$2,$B$2,1),DATA_GOC!$B:$B,"&lt;"&amp;EDATE(DATE($D$2,$B$2,1),1))+SUMIFS(DATA_GOC!$H:$H,DATA_GOC!$A:$A,"BOM",DATA_GOC!$D:$D,$B52,DATA_GOC!$E:$E,"Dầu động cơ",DATA_GOC!$G:$G,"&lt;&gt;Dầu động cơ",DATA_GOC!$B:$B,"&gt;="&amp;DATE($D$2,$B$2,1),DATA_GOC!$B:$B,"&lt;"&amp;EDATE(DATE($D$2,$B$2,1),1))</f>
        <v>0</v>
      </c>
      <c r="J52" s="222">
        <f>SUMIFS(DATA_GOC!$H:$H,DATA_GOC!$A:$A,"BOM",DATA_GOC!$D:$D,$B52,DATA_GOC!$G:$G,"Dầu thủy lực",DATA_GOC!$B:$B,"&gt;="&amp;DATE($D$2,$B$2,1),DATA_GOC!$B:$B,"&lt;"&amp;EDATE(DATE($D$2,$B$2,1),1))+SUMIFS(DATA_GOC!$H:$H,DATA_GOC!$A:$A,"BOM",DATA_GOC!$D:$D,$B52,DATA_GOC!$E:$E,"Dầu thủy lực",DATA_GOC!$G:$G,"&lt;&gt;Dầu thủy lực",DATA_GOC!$B:$B,"&gt;="&amp;DATE($D$2,$B$2,1),DATA_GOC!$B:$B,"&lt;"&amp;EDATE(DATE($D$2,$B$2,1),1))</f>
        <v>0</v>
      </c>
      <c r="K52" s="222">
        <f>SUMIFS(DATA_GOC!$H:$H,DATA_GOC!$A:$A,"BOM",DATA_GOC!$D:$D,$B52,DATA_GOC!$G:$G,"Dầu cầu",DATA_GOC!$B:$B,"&gt;="&amp;DATE($D$2,$B$2,1),DATA_GOC!$B:$B,"&lt;"&amp;EDATE(DATE($D$2,$B$2,1),1))+SUMIFS(DATA_GOC!$H:$H,DATA_GOC!$A:$A,"BOM",DATA_GOC!$D:$D,$B52,DATA_GOC!$E:$E,"Dầu cầu",DATA_GOC!$G:$G,"&lt;&gt;Dầu cầu",DATA_GOC!$B:$B,"&gt;="&amp;DATE($D$2,$B$2,1),DATA_GOC!$B:$B,"&lt;"&amp;EDATE(DATE($D$2,$B$2,1),1))</f>
        <v>0</v>
      </c>
      <c r="L52" s="222">
        <f>SUMIFS(DATA_GOC!$H:$H,DATA_GOC!$A:$A,"BOM",DATA_GOC!$D:$D,$B52,DATA_GOC!$G:$G,"Dầu số",DATA_GOC!$B:$B,"&gt;="&amp;DATE($D$2,$B$2,1),DATA_GOC!$B:$B,"&lt;"&amp;EDATE(DATE($D$2,$B$2,1),1))+SUMIFS(DATA_GOC!$H:$H,DATA_GOC!$A:$A,"BOM",DATA_GOC!$D:$D,$B52,DATA_GOC!$E:$E,"Dầu số",DATA_GOC!$G:$G,"&lt;&gt;Dầu số",DATA_GOC!$B:$B,"&gt;="&amp;DATE($D$2,$B$2,1),DATA_GOC!$B:$B,"&lt;"&amp;EDATE(DATE($D$2,$B$2,1),1))</f>
        <v>0</v>
      </c>
      <c r="M52" s="263">
        <f t="shared" si="3"/>
        <v>0</v>
      </c>
      <c r="N52" s="222">
        <f>SUMIFS(DATA_GOC!$K:$K,DATA_GOC!$A:$A,"BOM",DATA_GOC!$D:$D,$B52,DATA_GOC!$G:$G,"DO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2" s="222" t="str">
        <f t="shared" si="4"/>
        <v/>
      </c>
      <c r="P52" s="221"/>
    </row>
    <row r="53" ht="15.75" customHeight="1">
      <c r="A53" s="222">
        <f t="shared" si="1"/>
        <v>49</v>
      </c>
      <c r="B53" s="221" t="str">
        <f t="array" ref="B53">IFERROR(INDEX(DANH_MUC!$E:$E,ROW()-1),"")</f>
        <v>Máy phát điện</v>
      </c>
      <c r="C53" s="222">
        <f>IF($B53="","",
  IFERROR(SUMIFS(DATA_GOC!$H:$H,
    DATA_GOC!$A:$A,"BOM",
    DATA_GOC!$D:$D,$B53,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TINH_TEC!$H:$H,$B53,
    TINH_TEC!$F:$F,$B$2,
    TINH_TEC!$G:$G,$D$2
  ),0)
  -
  IFERROR(SUMIFS(TINH_TEC!$K:$K,
    TINH_TEC!$B:$B,"Đã chốt",
    TINH_TEC!$C:$C,C$4,
    TINH_TEC!$H:$H,$B53,
    TINH_TEC!$F:$F,$B$2,
    TINH_TEC!$G:$G,$D$2
  ),0)
)</f>
        <v>0</v>
      </c>
      <c r="D53" s="222">
        <f>IF($B53="","",
  IFERROR(SUMIFS(DATA_GOC!$H:$H,
    DATA_GOC!$A:$A,"BOM",
    DATA_GOC!$D:$D,$B53,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TINH_TEC!$H:$H,$B53,
    TINH_TEC!$F:$F,$B$2,
    TINH_TEC!$G:$G,$D$2
  ),0)
  -
  IFERROR(SUMIFS(TINH_TEC!$K:$K,
    TINH_TEC!$B:$B,"Đã chốt",
    TINH_TEC!$C:$C,D$4,
    TINH_TEC!$H:$H,$B53,
    TINH_TEC!$F:$F,$B$2,
    TINH_TEC!$G:$G,$D$2
  ),0)
)</f>
        <v>0</v>
      </c>
      <c r="E53" s="222">
        <f>IF($B53="","",
  IFERROR(SUMIFS(DATA_GOC!$H:$H,
    DATA_GOC!$A:$A,"BOM",
    DATA_GOC!$D:$D,$B53,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TINH_TEC!$H:$H,$B53,
    TINH_TEC!$F:$F,$B$2,
    TINH_TEC!$G:$G,$D$2
  ),0)
  -
  IFERROR(SUMIFS(TINH_TEC!$K:$K,
    TINH_TEC!$B:$B,"Đã chốt",
    TINH_TEC!$C:$C,E$4,
    TINH_TEC!$H:$H,$B53,
    TINH_TEC!$F:$F,$B$2,
    TINH_TEC!$G:$G,$D$2
  ),0)
)</f>
        <v>0</v>
      </c>
      <c r="F53" s="222">
        <f>SUMIFS(DATA_GOC!$H:$H,DATA_GOC!$A:$A,"BOM",DATA_GOC!$D:$D,$B53,DATA_GOC!$F:$F,"Xuất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3" s="222">
        <f>SUMIFS(DATA_GOC!$H:$H,DATA_GOC!$A:$A,"BOM",DATA_GOC!$D:$D,$B53,DATA_GOC!$F:$F,"Bơm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3" s="263">
        <f t="shared" si="2"/>
        <v>0</v>
      </c>
      <c r="I53" s="222">
        <f>SUMIFS(DATA_GOC!$H:$H,DATA_GOC!$A:$A,"BOM",DATA_GOC!$D:$D,$B53,DATA_GOC!$G:$G,"Dầu động cơ",DATA_GOC!$B:$B,"&gt;="&amp;DATE($D$2,$B$2,1),DATA_GOC!$B:$B,"&lt;"&amp;EDATE(DATE($D$2,$B$2,1),1))+SUMIFS(DATA_GOC!$H:$H,DATA_GOC!$A:$A,"BOM",DATA_GOC!$D:$D,$B53,DATA_GOC!$E:$E,"Dầu động cơ",DATA_GOC!$G:$G,"&lt;&gt;Dầu động cơ",DATA_GOC!$B:$B,"&gt;="&amp;DATE($D$2,$B$2,1),DATA_GOC!$B:$B,"&lt;"&amp;EDATE(DATE($D$2,$B$2,1),1))</f>
        <v>0</v>
      </c>
      <c r="J53" s="222">
        <f>SUMIFS(DATA_GOC!$H:$H,DATA_GOC!$A:$A,"BOM",DATA_GOC!$D:$D,$B53,DATA_GOC!$G:$G,"Dầu thủy lực",DATA_GOC!$B:$B,"&gt;="&amp;DATE($D$2,$B$2,1),DATA_GOC!$B:$B,"&lt;"&amp;EDATE(DATE($D$2,$B$2,1),1))+SUMIFS(DATA_GOC!$H:$H,DATA_GOC!$A:$A,"BOM",DATA_GOC!$D:$D,$B53,DATA_GOC!$E:$E,"Dầu thủy lực",DATA_GOC!$G:$G,"&lt;&gt;Dầu thủy lực",DATA_GOC!$B:$B,"&gt;="&amp;DATE($D$2,$B$2,1),DATA_GOC!$B:$B,"&lt;"&amp;EDATE(DATE($D$2,$B$2,1),1))</f>
        <v>0</v>
      </c>
      <c r="K53" s="222">
        <f>SUMIFS(DATA_GOC!$H:$H,DATA_GOC!$A:$A,"BOM",DATA_GOC!$D:$D,$B53,DATA_GOC!$G:$G,"Dầu cầu",DATA_GOC!$B:$B,"&gt;="&amp;DATE($D$2,$B$2,1),DATA_GOC!$B:$B,"&lt;"&amp;EDATE(DATE($D$2,$B$2,1),1))+SUMIFS(DATA_GOC!$H:$H,DATA_GOC!$A:$A,"BOM",DATA_GOC!$D:$D,$B53,DATA_GOC!$E:$E,"Dầu cầu",DATA_GOC!$G:$G,"&lt;&gt;Dầu cầu",DATA_GOC!$B:$B,"&gt;="&amp;DATE($D$2,$B$2,1),DATA_GOC!$B:$B,"&lt;"&amp;EDATE(DATE($D$2,$B$2,1),1))</f>
        <v>0</v>
      </c>
      <c r="L53" s="222">
        <f>SUMIFS(DATA_GOC!$H:$H,DATA_GOC!$A:$A,"BOM",DATA_GOC!$D:$D,$B53,DATA_GOC!$G:$G,"Dầu số",DATA_GOC!$B:$B,"&gt;="&amp;DATE($D$2,$B$2,1),DATA_GOC!$B:$B,"&lt;"&amp;EDATE(DATE($D$2,$B$2,1),1))+SUMIFS(DATA_GOC!$H:$H,DATA_GOC!$A:$A,"BOM",DATA_GOC!$D:$D,$B53,DATA_GOC!$E:$E,"Dầu số",DATA_GOC!$G:$G,"&lt;&gt;Dầu số",DATA_GOC!$B:$B,"&gt;="&amp;DATE($D$2,$B$2,1),DATA_GOC!$B:$B,"&lt;"&amp;EDATE(DATE($D$2,$B$2,1),1))</f>
        <v>0</v>
      </c>
      <c r="M53" s="263">
        <f t="shared" si="3"/>
        <v>0</v>
      </c>
      <c r="N53" s="222">
        <f>SUMIFS(DATA_GOC!$K:$K,DATA_GOC!$A:$A,"BOM",DATA_GOC!$D:$D,$B53,DATA_GOC!$G:$G,"DO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3" s="222" t="str">
        <f t="shared" si="4"/>
        <v/>
      </c>
      <c r="P53" s="221"/>
    </row>
    <row r="54" ht="15.75" customHeight="1">
      <c r="A54" s="222">
        <f t="shared" si="1"/>
        <v>50</v>
      </c>
      <c r="B54" s="221" t="str">
        <f t="array" ref="B54">IFERROR(INDEX(DANH_MUC!$E:$E,ROW()-1),"")</f>
        <v>Máy rải thảm</v>
      </c>
      <c r="C54" s="222">
        <f>IF($B54="","",
  IFERROR(SUMIFS(DATA_GOC!$H:$H,
    DATA_GOC!$A:$A,"BOM",
    DATA_GOC!$D:$D,$B54,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TINH_TEC!$H:$H,$B54,
    TINH_TEC!$F:$F,$B$2,
    TINH_TEC!$G:$G,$D$2
  ),0)
  -
  IFERROR(SUMIFS(TINH_TEC!$K:$K,
    TINH_TEC!$B:$B,"Đã chốt",
    TINH_TEC!$C:$C,C$4,
    TINH_TEC!$H:$H,$B54,
    TINH_TEC!$F:$F,$B$2,
    TINH_TEC!$G:$G,$D$2
  ),0)
)</f>
        <v>0</v>
      </c>
      <c r="D54" s="222">
        <f>IF($B54="","",
  IFERROR(SUMIFS(DATA_GOC!$H:$H,
    DATA_GOC!$A:$A,"BOM",
    DATA_GOC!$D:$D,$B54,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TINH_TEC!$H:$H,$B54,
    TINH_TEC!$F:$F,$B$2,
    TINH_TEC!$G:$G,$D$2
  ),0)
  -
  IFERROR(SUMIFS(TINH_TEC!$K:$K,
    TINH_TEC!$B:$B,"Đã chốt",
    TINH_TEC!$C:$C,D$4,
    TINH_TEC!$H:$H,$B54,
    TINH_TEC!$F:$F,$B$2,
    TINH_TEC!$G:$G,$D$2
  ),0)
)</f>
        <v>0</v>
      </c>
      <c r="E54" s="222">
        <f>IF($B54="","",
  IFERROR(SUMIFS(DATA_GOC!$H:$H,
    DATA_GOC!$A:$A,"BOM",
    DATA_GOC!$D:$D,$B54,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TINH_TEC!$H:$H,$B54,
    TINH_TEC!$F:$F,$B$2,
    TINH_TEC!$G:$G,$D$2
  ),0)
  -
  IFERROR(SUMIFS(TINH_TEC!$K:$K,
    TINH_TEC!$B:$B,"Đã chốt",
    TINH_TEC!$C:$C,E$4,
    TINH_TEC!$H:$H,$B54,
    TINH_TEC!$F:$F,$B$2,
    TINH_TEC!$G:$G,$D$2
  ),0)
)</f>
        <v>0</v>
      </c>
      <c r="F54" s="222">
        <f>SUMIFS(DATA_GOC!$H:$H,DATA_GOC!$A:$A,"BOM",DATA_GOC!$D:$D,$B54,DATA_GOC!$F:$F,"Xuất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4" s="222">
        <f>SUMIFS(DATA_GOC!$H:$H,DATA_GOC!$A:$A,"BOM",DATA_GOC!$D:$D,$B54,DATA_GOC!$F:$F,"Bơm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4" s="263">
        <f t="shared" si="2"/>
        <v>0</v>
      </c>
      <c r="I54" s="222">
        <f>SUMIFS(DATA_GOC!$H:$H,DATA_GOC!$A:$A,"BOM",DATA_GOC!$D:$D,$B54,DATA_GOC!$G:$G,"Dầu động cơ",DATA_GOC!$B:$B,"&gt;="&amp;DATE($D$2,$B$2,1),DATA_GOC!$B:$B,"&lt;"&amp;EDATE(DATE($D$2,$B$2,1),1))+SUMIFS(DATA_GOC!$H:$H,DATA_GOC!$A:$A,"BOM",DATA_GOC!$D:$D,$B54,DATA_GOC!$E:$E,"Dầu động cơ",DATA_GOC!$G:$G,"&lt;&gt;Dầu động cơ",DATA_GOC!$B:$B,"&gt;="&amp;DATE($D$2,$B$2,1),DATA_GOC!$B:$B,"&lt;"&amp;EDATE(DATE($D$2,$B$2,1),1))</f>
        <v>0</v>
      </c>
      <c r="J54" s="222">
        <f>SUMIFS(DATA_GOC!$H:$H,DATA_GOC!$A:$A,"BOM",DATA_GOC!$D:$D,$B54,DATA_GOC!$G:$G,"Dầu thủy lực",DATA_GOC!$B:$B,"&gt;="&amp;DATE($D$2,$B$2,1),DATA_GOC!$B:$B,"&lt;"&amp;EDATE(DATE($D$2,$B$2,1),1))+SUMIFS(DATA_GOC!$H:$H,DATA_GOC!$A:$A,"BOM",DATA_GOC!$D:$D,$B54,DATA_GOC!$E:$E,"Dầu thủy lực",DATA_GOC!$G:$G,"&lt;&gt;Dầu thủy lực",DATA_GOC!$B:$B,"&gt;="&amp;DATE($D$2,$B$2,1),DATA_GOC!$B:$B,"&lt;"&amp;EDATE(DATE($D$2,$B$2,1),1))</f>
        <v>0</v>
      </c>
      <c r="K54" s="222">
        <f>SUMIFS(DATA_GOC!$H:$H,DATA_GOC!$A:$A,"BOM",DATA_GOC!$D:$D,$B54,DATA_GOC!$G:$G,"Dầu cầu",DATA_GOC!$B:$B,"&gt;="&amp;DATE($D$2,$B$2,1),DATA_GOC!$B:$B,"&lt;"&amp;EDATE(DATE($D$2,$B$2,1),1))+SUMIFS(DATA_GOC!$H:$H,DATA_GOC!$A:$A,"BOM",DATA_GOC!$D:$D,$B54,DATA_GOC!$E:$E,"Dầu cầu",DATA_GOC!$G:$G,"&lt;&gt;Dầu cầu",DATA_GOC!$B:$B,"&gt;="&amp;DATE($D$2,$B$2,1),DATA_GOC!$B:$B,"&lt;"&amp;EDATE(DATE($D$2,$B$2,1),1))</f>
        <v>0</v>
      </c>
      <c r="L54" s="222">
        <f>SUMIFS(DATA_GOC!$H:$H,DATA_GOC!$A:$A,"BOM",DATA_GOC!$D:$D,$B54,DATA_GOC!$G:$G,"Dầu số",DATA_GOC!$B:$B,"&gt;="&amp;DATE($D$2,$B$2,1),DATA_GOC!$B:$B,"&lt;"&amp;EDATE(DATE($D$2,$B$2,1),1))+SUMIFS(DATA_GOC!$H:$H,DATA_GOC!$A:$A,"BOM",DATA_GOC!$D:$D,$B54,DATA_GOC!$E:$E,"Dầu số",DATA_GOC!$G:$G,"&lt;&gt;Dầu số",DATA_GOC!$B:$B,"&gt;="&amp;DATE($D$2,$B$2,1),DATA_GOC!$B:$B,"&lt;"&amp;EDATE(DATE($D$2,$B$2,1),1))</f>
        <v>0</v>
      </c>
      <c r="M54" s="263">
        <f t="shared" si="3"/>
        <v>0</v>
      </c>
      <c r="N54" s="222">
        <f>SUMIFS(DATA_GOC!$K:$K,DATA_GOC!$A:$A,"BOM",DATA_GOC!$D:$D,$B54,DATA_GOC!$G:$G,"DO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4" s="222" t="str">
        <f t="shared" si="4"/>
        <v/>
      </c>
      <c r="P54" s="221"/>
    </row>
    <row r="55" ht="15.75" customHeight="1">
      <c r="A55" s="222">
        <f t="shared" si="1"/>
        <v>51</v>
      </c>
      <c r="B55" s="221" t="str">
        <f t="array" ref="B55">IFERROR(INDEX(DANH_MUC!$E:$E,ROW()-1),"")</f>
        <v>Xúc Đào</v>
      </c>
      <c r="C55" s="222">
        <f>IF($B55="","",
  IFERROR(SUMIFS(DATA_GOC!$H:$H,
    DATA_GOC!$A:$A,"BOM",
    DATA_GOC!$D:$D,$B55,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TINH_TEC!$H:$H,$B55,
    TINH_TEC!$F:$F,$B$2,
    TINH_TEC!$G:$G,$D$2
  ),0)
  -
  IFERROR(SUMIFS(TINH_TEC!$K:$K,
    TINH_TEC!$B:$B,"Đã chốt",
    TINH_TEC!$C:$C,C$4,
    TINH_TEC!$H:$H,$B55,
    TINH_TEC!$F:$F,$B$2,
    TINH_TEC!$G:$G,$D$2
  ),0)
)</f>
        <v>0</v>
      </c>
      <c r="D55" s="222">
        <f>IF($B55="","",
  IFERROR(SUMIFS(DATA_GOC!$H:$H,
    DATA_GOC!$A:$A,"BOM",
    DATA_GOC!$D:$D,$B55,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TINH_TEC!$H:$H,$B55,
    TINH_TEC!$F:$F,$B$2,
    TINH_TEC!$G:$G,$D$2
  ),0)
  -
  IFERROR(SUMIFS(TINH_TEC!$K:$K,
    TINH_TEC!$B:$B,"Đã chốt",
    TINH_TEC!$C:$C,D$4,
    TINH_TEC!$H:$H,$B55,
    TINH_TEC!$F:$F,$B$2,
    TINH_TEC!$G:$G,$D$2
  ),0)
)</f>
        <v>0</v>
      </c>
      <c r="E55" s="222">
        <f>IF($B55="","",
  IFERROR(SUMIFS(DATA_GOC!$H:$H,
    DATA_GOC!$A:$A,"BOM",
    DATA_GOC!$D:$D,$B55,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TINH_TEC!$H:$H,$B55,
    TINH_TEC!$F:$F,$B$2,
    TINH_TEC!$G:$G,$D$2
  ),0)
  -
  IFERROR(SUMIFS(TINH_TEC!$K:$K,
    TINH_TEC!$B:$B,"Đã chốt",
    TINH_TEC!$C:$C,E$4,
    TINH_TEC!$H:$H,$B55,
    TINH_TEC!$F:$F,$B$2,
    TINH_TEC!$G:$G,$D$2
  ),0)
)</f>
        <v>0</v>
      </c>
      <c r="F55" s="222">
        <f>SUMIFS(DATA_GOC!$H:$H,DATA_GOC!$A:$A,"BOM",DATA_GOC!$D:$D,$B55,DATA_GOC!$F:$F,"Xuất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5" s="222">
        <f>SUMIFS(DATA_GOC!$H:$H,DATA_GOC!$A:$A,"BOM",DATA_GOC!$D:$D,$B55,DATA_GOC!$F:$F,"Bơm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5" s="263">
        <f t="shared" si="2"/>
        <v>0</v>
      </c>
      <c r="I55" s="222">
        <f>SUMIFS(DATA_GOC!$H:$H,DATA_GOC!$A:$A,"BOM",DATA_GOC!$D:$D,$B55,DATA_GOC!$G:$G,"Dầu động cơ",DATA_GOC!$B:$B,"&gt;="&amp;DATE($D$2,$B$2,1),DATA_GOC!$B:$B,"&lt;"&amp;EDATE(DATE($D$2,$B$2,1),1))+SUMIFS(DATA_GOC!$H:$H,DATA_GOC!$A:$A,"BOM",DATA_GOC!$D:$D,$B55,DATA_GOC!$E:$E,"Dầu động cơ",DATA_GOC!$G:$G,"&lt;&gt;Dầu động cơ",DATA_GOC!$B:$B,"&gt;="&amp;DATE($D$2,$B$2,1),DATA_GOC!$B:$B,"&lt;"&amp;EDATE(DATE($D$2,$B$2,1),1))</f>
        <v>0</v>
      </c>
      <c r="J55" s="222">
        <f>SUMIFS(DATA_GOC!$H:$H,DATA_GOC!$A:$A,"BOM",DATA_GOC!$D:$D,$B55,DATA_GOC!$G:$G,"Dầu thủy lực",DATA_GOC!$B:$B,"&gt;="&amp;DATE($D$2,$B$2,1),DATA_GOC!$B:$B,"&lt;"&amp;EDATE(DATE($D$2,$B$2,1),1))+SUMIFS(DATA_GOC!$H:$H,DATA_GOC!$A:$A,"BOM",DATA_GOC!$D:$D,$B55,DATA_GOC!$E:$E,"Dầu thủy lực",DATA_GOC!$G:$G,"&lt;&gt;Dầu thủy lực",DATA_GOC!$B:$B,"&gt;="&amp;DATE($D$2,$B$2,1),DATA_GOC!$B:$B,"&lt;"&amp;EDATE(DATE($D$2,$B$2,1),1))</f>
        <v>0</v>
      </c>
      <c r="K55" s="222">
        <f>SUMIFS(DATA_GOC!$H:$H,DATA_GOC!$A:$A,"BOM",DATA_GOC!$D:$D,$B55,DATA_GOC!$G:$G,"Dầu cầu",DATA_GOC!$B:$B,"&gt;="&amp;DATE($D$2,$B$2,1),DATA_GOC!$B:$B,"&lt;"&amp;EDATE(DATE($D$2,$B$2,1),1))+SUMIFS(DATA_GOC!$H:$H,DATA_GOC!$A:$A,"BOM",DATA_GOC!$D:$D,$B55,DATA_GOC!$E:$E,"Dầu cầu",DATA_GOC!$G:$G,"&lt;&gt;Dầu cầu",DATA_GOC!$B:$B,"&gt;="&amp;DATE($D$2,$B$2,1),DATA_GOC!$B:$B,"&lt;"&amp;EDATE(DATE($D$2,$B$2,1),1))</f>
        <v>0</v>
      </c>
      <c r="L55" s="222">
        <f>SUMIFS(DATA_GOC!$H:$H,DATA_GOC!$A:$A,"BOM",DATA_GOC!$D:$D,$B55,DATA_GOC!$G:$G,"Dầu số",DATA_GOC!$B:$B,"&gt;="&amp;DATE($D$2,$B$2,1),DATA_GOC!$B:$B,"&lt;"&amp;EDATE(DATE($D$2,$B$2,1),1))+SUMIFS(DATA_GOC!$H:$H,DATA_GOC!$A:$A,"BOM",DATA_GOC!$D:$D,$B55,DATA_GOC!$E:$E,"Dầu số",DATA_GOC!$G:$G,"&lt;&gt;Dầu số",DATA_GOC!$B:$B,"&gt;="&amp;DATE($D$2,$B$2,1),DATA_GOC!$B:$B,"&lt;"&amp;EDATE(DATE($D$2,$B$2,1),1))</f>
        <v>0</v>
      </c>
      <c r="M55" s="263">
        <f t="shared" si="3"/>
        <v>0</v>
      </c>
      <c r="N55" s="222">
        <f>SUMIFS(DATA_GOC!$K:$K,DATA_GOC!$A:$A,"BOM",DATA_GOC!$D:$D,$B55,DATA_GOC!$G:$G,"DO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5" s="222" t="str">
        <f t="shared" si="4"/>
        <v/>
      </c>
      <c r="P55" s="221"/>
    </row>
    <row r="56" ht="15.75" customHeight="1">
      <c r="A56" s="222">
        <f t="shared" si="1"/>
        <v>52</v>
      </c>
      <c r="B56" s="221" t="str">
        <f t="array" ref="B56">IFERROR(INDEX(DANH_MUC!$E:$E,ROW()-1),"")</f>
        <v>Xúclật asphalt</v>
      </c>
      <c r="C56" s="222">
        <f>IF($B56="","",
  IFERROR(SUMIFS(DATA_GOC!$H:$H,
    DATA_GOC!$A:$A,"BOM",
    DATA_GOC!$D:$D,$B56,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TINH_TEC!$H:$H,$B56,
    TINH_TEC!$F:$F,$B$2,
    TINH_TEC!$G:$G,$D$2
  ),0)
  -
  IFERROR(SUMIFS(TINH_TEC!$K:$K,
    TINH_TEC!$B:$B,"Đã chốt",
    TINH_TEC!$C:$C,C$4,
    TINH_TEC!$H:$H,$B56,
    TINH_TEC!$F:$F,$B$2,
    TINH_TEC!$G:$G,$D$2
  ),0)
)</f>
        <v>0</v>
      </c>
      <c r="D56" s="222">
        <f>IF($B56="","",
  IFERROR(SUMIFS(DATA_GOC!$H:$H,
    DATA_GOC!$A:$A,"BOM",
    DATA_GOC!$D:$D,$B56,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TINH_TEC!$H:$H,$B56,
    TINH_TEC!$F:$F,$B$2,
    TINH_TEC!$G:$G,$D$2
  ),0)
  -
  IFERROR(SUMIFS(TINH_TEC!$K:$K,
    TINH_TEC!$B:$B,"Đã chốt",
    TINH_TEC!$C:$C,D$4,
    TINH_TEC!$H:$H,$B56,
    TINH_TEC!$F:$F,$B$2,
    TINH_TEC!$G:$G,$D$2
  ),0)
)</f>
        <v>0</v>
      </c>
      <c r="E56" s="222">
        <f>IF($B56="","",
  IFERROR(SUMIFS(DATA_GOC!$H:$H,
    DATA_GOC!$A:$A,"BOM",
    DATA_GOC!$D:$D,$B56,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TINH_TEC!$H:$H,$B56,
    TINH_TEC!$F:$F,$B$2,
    TINH_TEC!$G:$G,$D$2
  ),0)
  -
  IFERROR(SUMIFS(TINH_TEC!$K:$K,
    TINH_TEC!$B:$B,"Đã chốt",
    TINH_TEC!$C:$C,E$4,
    TINH_TEC!$H:$H,$B56,
    TINH_TEC!$F:$F,$B$2,
    TINH_TEC!$G:$G,$D$2
  ),0)
)</f>
        <v>0</v>
      </c>
      <c r="F56" s="222">
        <f>SUMIFS(DATA_GOC!$H:$H,DATA_GOC!$A:$A,"BOM",DATA_GOC!$D:$D,$B56,DATA_GOC!$F:$F,"Xuất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6" s="222">
        <f>SUMIFS(DATA_GOC!$H:$H,DATA_GOC!$A:$A,"BOM",DATA_GOC!$D:$D,$B56,DATA_GOC!$F:$F,"Bơm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6" s="263">
        <f t="shared" si="2"/>
        <v>0</v>
      </c>
      <c r="I56" s="222">
        <f>SUMIFS(DATA_GOC!$H:$H,DATA_GOC!$A:$A,"BOM",DATA_GOC!$D:$D,$B56,DATA_GOC!$G:$G,"Dầu động cơ",DATA_GOC!$B:$B,"&gt;="&amp;DATE($D$2,$B$2,1),DATA_GOC!$B:$B,"&lt;"&amp;EDATE(DATE($D$2,$B$2,1),1))+SUMIFS(DATA_GOC!$H:$H,DATA_GOC!$A:$A,"BOM",DATA_GOC!$D:$D,$B56,DATA_GOC!$E:$E,"Dầu động cơ",DATA_GOC!$G:$G,"&lt;&gt;Dầu động cơ",DATA_GOC!$B:$B,"&gt;="&amp;DATE($D$2,$B$2,1),DATA_GOC!$B:$B,"&lt;"&amp;EDATE(DATE($D$2,$B$2,1),1))</f>
        <v>0</v>
      </c>
      <c r="J56" s="222">
        <f>SUMIFS(DATA_GOC!$H:$H,DATA_GOC!$A:$A,"BOM",DATA_GOC!$D:$D,$B56,DATA_GOC!$G:$G,"Dầu thủy lực",DATA_GOC!$B:$B,"&gt;="&amp;DATE($D$2,$B$2,1),DATA_GOC!$B:$B,"&lt;"&amp;EDATE(DATE($D$2,$B$2,1),1))+SUMIFS(DATA_GOC!$H:$H,DATA_GOC!$A:$A,"BOM",DATA_GOC!$D:$D,$B56,DATA_GOC!$E:$E,"Dầu thủy lực",DATA_GOC!$G:$G,"&lt;&gt;Dầu thủy lực",DATA_GOC!$B:$B,"&gt;="&amp;DATE($D$2,$B$2,1),DATA_GOC!$B:$B,"&lt;"&amp;EDATE(DATE($D$2,$B$2,1),1))</f>
        <v>0</v>
      </c>
      <c r="K56" s="222">
        <f>SUMIFS(DATA_GOC!$H:$H,DATA_GOC!$A:$A,"BOM",DATA_GOC!$D:$D,$B56,DATA_GOC!$G:$G,"Dầu cầu",DATA_GOC!$B:$B,"&gt;="&amp;DATE($D$2,$B$2,1),DATA_GOC!$B:$B,"&lt;"&amp;EDATE(DATE($D$2,$B$2,1),1))+SUMIFS(DATA_GOC!$H:$H,DATA_GOC!$A:$A,"BOM",DATA_GOC!$D:$D,$B56,DATA_GOC!$E:$E,"Dầu cầu",DATA_GOC!$G:$G,"&lt;&gt;Dầu cầu",DATA_GOC!$B:$B,"&gt;="&amp;DATE($D$2,$B$2,1),DATA_GOC!$B:$B,"&lt;"&amp;EDATE(DATE($D$2,$B$2,1),1))</f>
        <v>0</v>
      </c>
      <c r="L56" s="222">
        <f>SUMIFS(DATA_GOC!$H:$H,DATA_GOC!$A:$A,"BOM",DATA_GOC!$D:$D,$B56,DATA_GOC!$G:$G,"Dầu số",DATA_GOC!$B:$B,"&gt;="&amp;DATE($D$2,$B$2,1),DATA_GOC!$B:$B,"&lt;"&amp;EDATE(DATE($D$2,$B$2,1),1))+SUMIFS(DATA_GOC!$H:$H,DATA_GOC!$A:$A,"BOM",DATA_GOC!$D:$D,$B56,DATA_GOC!$E:$E,"Dầu số",DATA_GOC!$G:$G,"&lt;&gt;Dầu số",DATA_GOC!$B:$B,"&gt;="&amp;DATE($D$2,$B$2,1),DATA_GOC!$B:$B,"&lt;"&amp;EDATE(DATE($D$2,$B$2,1),1))</f>
        <v>0</v>
      </c>
      <c r="M56" s="263">
        <f t="shared" si="3"/>
        <v>0</v>
      </c>
      <c r="N56" s="222">
        <f>SUMIFS(DATA_GOC!$K:$K,DATA_GOC!$A:$A,"BOM",DATA_GOC!$D:$D,$B56,DATA_GOC!$G:$G,"DO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6" s="222" t="str">
        <f t="shared" si="4"/>
        <v/>
      </c>
      <c r="P56" s="221"/>
    </row>
    <row r="57" ht="15.75" customHeight="1">
      <c r="A57" s="222">
        <f t="shared" si="1"/>
        <v>53</v>
      </c>
      <c r="B57" s="221" t="str">
        <f t="array" ref="B57">IFERROR(INDEX(DANH_MUC!$E:$E,ROW()-1),"")</f>
        <v>Xúclật855H</v>
      </c>
      <c r="C57" s="222">
        <f>IF($B57="","",
  IFERROR(SUMIFS(DATA_GOC!$H:$H,
    DATA_GOC!$A:$A,"BOM",
    DATA_GOC!$D:$D,$B57,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TINH_TEC!$H:$H,$B57,
    TINH_TEC!$F:$F,$B$2,
    TINH_TEC!$G:$G,$D$2
  ),0)
  -
  IFERROR(SUMIFS(TINH_TEC!$K:$K,
    TINH_TEC!$B:$B,"Đã chốt",
    TINH_TEC!$C:$C,C$4,
    TINH_TEC!$H:$H,$B57,
    TINH_TEC!$F:$F,$B$2,
    TINH_TEC!$G:$G,$D$2
  ),0)
)</f>
        <v>0</v>
      </c>
      <c r="D57" s="222">
        <f>IF($B57="","",
  IFERROR(SUMIFS(DATA_GOC!$H:$H,
    DATA_GOC!$A:$A,"BOM",
    DATA_GOC!$D:$D,$B57,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TINH_TEC!$H:$H,$B57,
    TINH_TEC!$F:$F,$B$2,
    TINH_TEC!$G:$G,$D$2
  ),0)
  -
  IFERROR(SUMIFS(TINH_TEC!$K:$K,
    TINH_TEC!$B:$B,"Đã chốt",
    TINH_TEC!$C:$C,D$4,
    TINH_TEC!$H:$H,$B57,
    TINH_TEC!$F:$F,$B$2,
    TINH_TEC!$G:$G,$D$2
  ),0)
)</f>
        <v>29.005</v>
      </c>
      <c r="E57" s="222">
        <f>IF($B57="","",
  IFERROR(SUMIFS(DATA_GOC!$H:$H,
    DATA_GOC!$A:$A,"BOM",
    DATA_GOC!$D:$D,$B57,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TINH_TEC!$H:$H,$B57,
    TINH_TEC!$F:$F,$B$2,
    TINH_TEC!$G:$G,$D$2
  ),0)
  -
  IFERROR(SUMIFS(TINH_TEC!$K:$K,
    TINH_TEC!$B:$B,"Đã chốt",
    TINH_TEC!$C:$C,E$4,
    TINH_TEC!$H:$H,$B57,
    TINH_TEC!$F:$F,$B$2,
    TINH_TEC!$G:$G,$D$2
  ),0)
)</f>
        <v>0</v>
      </c>
      <c r="F57" s="222">
        <f>SUMIFS(DATA_GOC!$H:$H,DATA_GOC!$A:$A,"BOM",DATA_GOC!$D:$D,$B57,DATA_GOC!$F:$F,"Xuất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7" s="222">
        <f>SUMIFS(DATA_GOC!$H:$H,DATA_GOC!$A:$A,"BOM",DATA_GOC!$D:$D,$B57,DATA_GOC!$F:$F,"Bơm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7" s="263">
        <f t="shared" si="2"/>
        <v>29.005</v>
      </c>
      <c r="I57" s="222">
        <f>SUMIFS(DATA_GOC!$H:$H,DATA_GOC!$A:$A,"BOM",DATA_GOC!$D:$D,$B57,DATA_GOC!$G:$G,"Dầu động cơ",DATA_GOC!$B:$B,"&gt;="&amp;DATE($D$2,$B$2,1),DATA_GOC!$B:$B,"&lt;"&amp;EDATE(DATE($D$2,$B$2,1),1))+SUMIFS(DATA_GOC!$H:$H,DATA_GOC!$A:$A,"BOM",DATA_GOC!$D:$D,$B57,DATA_GOC!$E:$E,"Dầu động cơ",DATA_GOC!$G:$G,"&lt;&gt;Dầu động cơ",DATA_GOC!$B:$B,"&gt;="&amp;DATE($D$2,$B$2,1),DATA_GOC!$B:$B,"&lt;"&amp;EDATE(DATE($D$2,$B$2,1),1))</f>
        <v>0</v>
      </c>
      <c r="J57" s="222">
        <f>SUMIFS(DATA_GOC!$H:$H,DATA_GOC!$A:$A,"BOM",DATA_GOC!$D:$D,$B57,DATA_GOC!$G:$G,"Dầu thủy lực",DATA_GOC!$B:$B,"&gt;="&amp;DATE($D$2,$B$2,1),DATA_GOC!$B:$B,"&lt;"&amp;EDATE(DATE($D$2,$B$2,1),1))+SUMIFS(DATA_GOC!$H:$H,DATA_GOC!$A:$A,"BOM",DATA_GOC!$D:$D,$B57,DATA_GOC!$E:$E,"Dầu thủy lực",DATA_GOC!$G:$G,"&lt;&gt;Dầu thủy lực",DATA_GOC!$B:$B,"&gt;="&amp;DATE($D$2,$B$2,1),DATA_GOC!$B:$B,"&lt;"&amp;EDATE(DATE($D$2,$B$2,1),1))</f>
        <v>0</v>
      </c>
      <c r="K57" s="222">
        <f>SUMIFS(DATA_GOC!$H:$H,DATA_GOC!$A:$A,"BOM",DATA_GOC!$D:$D,$B57,DATA_GOC!$G:$G,"Dầu cầu",DATA_GOC!$B:$B,"&gt;="&amp;DATE($D$2,$B$2,1),DATA_GOC!$B:$B,"&lt;"&amp;EDATE(DATE($D$2,$B$2,1),1))+SUMIFS(DATA_GOC!$H:$H,DATA_GOC!$A:$A,"BOM",DATA_GOC!$D:$D,$B57,DATA_GOC!$E:$E,"Dầu cầu",DATA_GOC!$G:$G,"&lt;&gt;Dầu cầu",DATA_GOC!$B:$B,"&gt;="&amp;DATE($D$2,$B$2,1),DATA_GOC!$B:$B,"&lt;"&amp;EDATE(DATE($D$2,$B$2,1),1))</f>
        <v>0</v>
      </c>
      <c r="L57" s="222">
        <f>SUMIFS(DATA_GOC!$H:$H,DATA_GOC!$A:$A,"BOM",DATA_GOC!$D:$D,$B57,DATA_GOC!$G:$G,"Dầu số",DATA_GOC!$B:$B,"&gt;="&amp;DATE($D$2,$B$2,1),DATA_GOC!$B:$B,"&lt;"&amp;EDATE(DATE($D$2,$B$2,1),1))+SUMIFS(DATA_GOC!$H:$H,DATA_GOC!$A:$A,"BOM",DATA_GOC!$D:$D,$B57,DATA_GOC!$E:$E,"Dầu số",DATA_GOC!$G:$G,"&lt;&gt;Dầu số",DATA_GOC!$B:$B,"&gt;="&amp;DATE($D$2,$B$2,1),DATA_GOC!$B:$B,"&lt;"&amp;EDATE(DATE($D$2,$B$2,1),1))</f>
        <v>0</v>
      </c>
      <c r="M57" s="263">
        <f t="shared" si="3"/>
        <v>0</v>
      </c>
      <c r="N57" s="222">
        <f>SUMIFS(DATA_GOC!$K:$K,DATA_GOC!$A:$A,"BOM",DATA_GOC!$D:$D,$B57,DATA_GOC!$G:$G,"DO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7" s="222" t="str">
        <f t="shared" si="4"/>
        <v/>
      </c>
      <c r="P57" s="221"/>
    </row>
    <row r="58" ht="15.75" customHeight="1">
      <c r="A58" s="222">
        <f t="shared" si="1"/>
        <v>54</v>
      </c>
      <c r="B58" s="221" t="str">
        <f t="array" ref="B58">IFERROR(INDEX(DANH_MUC!$E:$E,ROW()-1),"")</f>
        <v>Xúclật855N</v>
      </c>
      <c r="C58" s="222">
        <f>IF($B58="","",
  IFERROR(SUMIFS(DATA_GOC!$H:$H,
    DATA_GOC!$A:$A,"BOM",
    DATA_GOC!$D:$D,$B58,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TINH_TEC!$H:$H,$B58,
    TINH_TEC!$F:$F,$B$2,
    TINH_TEC!$G:$G,$D$2
  ),0)
  -
  IFERROR(SUMIFS(TINH_TEC!$K:$K,
    TINH_TEC!$B:$B,"Đã chốt",
    TINH_TEC!$C:$C,C$4,
    TINH_TEC!$H:$H,$B58,
    TINH_TEC!$F:$F,$B$2,
    TINH_TEC!$G:$G,$D$2
  ),0)
)</f>
        <v>0</v>
      </c>
      <c r="D58" s="222">
        <f>IF($B58="","",
  IFERROR(SUMIFS(DATA_GOC!$H:$H,
    DATA_GOC!$A:$A,"BOM",
    DATA_GOC!$D:$D,$B58,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TINH_TEC!$H:$H,$B58,
    TINH_TEC!$F:$F,$B$2,
    TINH_TEC!$G:$G,$D$2
  ),0)
  -
  IFERROR(SUMIFS(TINH_TEC!$K:$K,
    TINH_TEC!$B:$B,"Đã chốt",
    TINH_TEC!$C:$C,D$4,
    TINH_TEC!$H:$H,$B58,
    TINH_TEC!$F:$F,$B$2,
    TINH_TEC!$G:$G,$D$2
  ),0)
)</f>
        <v>181.151</v>
      </c>
      <c r="E58" s="222">
        <f>IF($B58="","",
  IFERROR(SUMIFS(DATA_GOC!$H:$H,
    DATA_GOC!$A:$A,"BOM",
    DATA_GOC!$D:$D,$B58,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TINH_TEC!$H:$H,$B58,
    TINH_TEC!$F:$F,$B$2,
    TINH_TEC!$G:$G,$D$2
  ),0)
  -
  IFERROR(SUMIFS(TINH_TEC!$K:$K,
    TINH_TEC!$B:$B,"Đã chốt",
    TINH_TEC!$C:$C,E$4,
    TINH_TEC!$H:$H,$B58,
    TINH_TEC!$F:$F,$B$2,
    TINH_TEC!$G:$G,$D$2
  ),0)
)</f>
        <v>0</v>
      </c>
      <c r="F58" s="222">
        <f>SUMIFS(DATA_GOC!$H:$H,DATA_GOC!$A:$A,"BOM",DATA_GOC!$D:$D,$B58,DATA_GOC!$F:$F,"Xuất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8" s="222">
        <f>SUMIFS(DATA_GOC!$H:$H,DATA_GOC!$A:$A,"BOM",DATA_GOC!$D:$D,$B58,DATA_GOC!$F:$F,"Bơm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8" s="263">
        <f t="shared" si="2"/>
        <v>181.151</v>
      </c>
      <c r="I58" s="222">
        <f>SUMIFS(DATA_GOC!$H:$H,DATA_GOC!$A:$A,"BOM",DATA_GOC!$D:$D,$B58,DATA_GOC!$G:$G,"Dầu động cơ",DATA_GOC!$B:$B,"&gt;="&amp;DATE($D$2,$B$2,1),DATA_GOC!$B:$B,"&lt;"&amp;EDATE(DATE($D$2,$B$2,1),1))+SUMIFS(DATA_GOC!$H:$H,DATA_GOC!$A:$A,"BOM",DATA_GOC!$D:$D,$B58,DATA_GOC!$E:$E,"Dầu động cơ",DATA_GOC!$G:$G,"&lt;&gt;Dầu động cơ",DATA_GOC!$B:$B,"&gt;="&amp;DATE($D$2,$B$2,1),DATA_GOC!$B:$B,"&lt;"&amp;EDATE(DATE($D$2,$B$2,1),1))</f>
        <v>0</v>
      </c>
      <c r="J58" s="222">
        <f>SUMIFS(DATA_GOC!$H:$H,DATA_GOC!$A:$A,"BOM",DATA_GOC!$D:$D,$B58,DATA_GOC!$G:$G,"Dầu thủy lực",DATA_GOC!$B:$B,"&gt;="&amp;DATE($D$2,$B$2,1),DATA_GOC!$B:$B,"&lt;"&amp;EDATE(DATE($D$2,$B$2,1),1))+SUMIFS(DATA_GOC!$H:$H,DATA_GOC!$A:$A,"BOM",DATA_GOC!$D:$D,$B58,DATA_GOC!$E:$E,"Dầu thủy lực",DATA_GOC!$G:$G,"&lt;&gt;Dầu thủy lực",DATA_GOC!$B:$B,"&gt;="&amp;DATE($D$2,$B$2,1),DATA_GOC!$B:$B,"&lt;"&amp;EDATE(DATE($D$2,$B$2,1),1))</f>
        <v>0</v>
      </c>
      <c r="K58" s="222">
        <f>SUMIFS(DATA_GOC!$H:$H,DATA_GOC!$A:$A,"BOM",DATA_GOC!$D:$D,$B58,DATA_GOC!$G:$G,"Dầu cầu",DATA_GOC!$B:$B,"&gt;="&amp;DATE($D$2,$B$2,1),DATA_GOC!$B:$B,"&lt;"&amp;EDATE(DATE($D$2,$B$2,1),1))+SUMIFS(DATA_GOC!$H:$H,DATA_GOC!$A:$A,"BOM",DATA_GOC!$D:$D,$B58,DATA_GOC!$E:$E,"Dầu cầu",DATA_GOC!$G:$G,"&lt;&gt;Dầu cầu",DATA_GOC!$B:$B,"&gt;="&amp;DATE($D$2,$B$2,1),DATA_GOC!$B:$B,"&lt;"&amp;EDATE(DATE($D$2,$B$2,1),1))</f>
        <v>0</v>
      </c>
      <c r="L58" s="222">
        <f>SUMIFS(DATA_GOC!$H:$H,DATA_GOC!$A:$A,"BOM",DATA_GOC!$D:$D,$B58,DATA_GOC!$G:$G,"Dầu số",DATA_GOC!$B:$B,"&gt;="&amp;DATE($D$2,$B$2,1),DATA_GOC!$B:$B,"&lt;"&amp;EDATE(DATE($D$2,$B$2,1),1))+SUMIFS(DATA_GOC!$H:$H,DATA_GOC!$A:$A,"BOM",DATA_GOC!$D:$D,$B58,DATA_GOC!$E:$E,"Dầu số",DATA_GOC!$G:$G,"&lt;&gt;Dầu số",DATA_GOC!$B:$B,"&gt;="&amp;DATE($D$2,$B$2,1),DATA_GOC!$B:$B,"&lt;"&amp;EDATE(DATE($D$2,$B$2,1),1))</f>
        <v>0</v>
      </c>
      <c r="M58" s="263">
        <f t="shared" si="3"/>
        <v>0</v>
      </c>
      <c r="N58" s="222">
        <f>SUMIFS(DATA_GOC!$K:$K,DATA_GOC!$A:$A,"BOM",DATA_GOC!$D:$D,$B58,DATA_GOC!$G:$G,"DO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13</v>
      </c>
      <c r="O58" s="222">
        <f t="shared" si="4"/>
        <v>1393.469231</v>
      </c>
      <c r="P58" s="221"/>
    </row>
    <row r="59" ht="15.75" customHeight="1">
      <c r="A59" s="222">
        <f t="shared" si="1"/>
        <v>55</v>
      </c>
      <c r="B59" s="221" t="str">
        <f t="array" ref="B59">IFERROR(INDEX(DANH_MUC!$E:$E,ROW()-1),"")</f>
        <v>Cát nghiền</v>
      </c>
      <c r="C59" s="222">
        <f>IF($B59="","",
  IFERROR(SUMIFS(DATA_GOC!$H:$H,
    DATA_GOC!$A:$A,"BOM",
    DATA_GOC!$D:$D,$B59,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TINH_TEC!$H:$H,$B59,
    TINH_TEC!$F:$F,$B$2,
    TINH_TEC!$G:$G,$D$2
  ),0)
  -
  IFERROR(SUMIFS(TINH_TEC!$K:$K,
    TINH_TEC!$B:$B,"Đã chốt",
    TINH_TEC!$C:$C,C$4,
    TINH_TEC!$H:$H,$B59,
    TINH_TEC!$F:$F,$B$2,
    TINH_TEC!$G:$G,$D$2
  ),0)
)</f>
        <v>0</v>
      </c>
      <c r="D59" s="222">
        <f>IF($B59="","",
  IFERROR(SUMIFS(DATA_GOC!$H:$H,
    DATA_GOC!$A:$A,"BOM",
    DATA_GOC!$D:$D,$B59,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TINH_TEC!$H:$H,$B59,
    TINH_TEC!$F:$F,$B$2,
    TINH_TEC!$G:$G,$D$2
  ),0)
  -
  IFERROR(SUMIFS(TINH_TEC!$K:$K,
    TINH_TEC!$B:$B,"Đã chốt",
    TINH_TEC!$C:$C,D$4,
    TINH_TEC!$H:$H,$B59,
    TINH_TEC!$F:$F,$B$2,
    TINH_TEC!$G:$G,$D$2
  ),0)
)</f>
        <v>0</v>
      </c>
      <c r="E59" s="222">
        <f>IF($B59="","",
  IFERROR(SUMIFS(DATA_GOC!$H:$H,
    DATA_GOC!$A:$A,"BOM",
    DATA_GOC!$D:$D,$B59,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TINH_TEC!$H:$H,$B59,
    TINH_TEC!$F:$F,$B$2,
    TINH_TEC!$G:$G,$D$2
  ),0)
  -
  IFERROR(SUMIFS(TINH_TEC!$K:$K,
    TINH_TEC!$B:$B,"Đã chốt",
    TINH_TEC!$C:$C,E$4,
    TINH_TEC!$H:$H,$B59,
    TINH_TEC!$F:$F,$B$2,
    TINH_TEC!$G:$G,$D$2
  ),0)
)</f>
        <v>0</v>
      </c>
      <c r="F59" s="222">
        <f>SUMIFS(DATA_GOC!$H:$H,DATA_GOC!$A:$A,"BOM",DATA_GOC!$D:$D,$B59,DATA_GOC!$F:$F,"Xuất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59" s="222">
        <f>SUMIFS(DATA_GOC!$H:$H,DATA_GOC!$A:$A,"BOM",DATA_GOC!$D:$D,$B59,DATA_GOC!$F:$F,"Bơm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59" s="263">
        <f t="shared" si="2"/>
        <v>0</v>
      </c>
      <c r="I59" s="222">
        <f>SUMIFS(DATA_GOC!$H:$H,DATA_GOC!$A:$A,"BOM",DATA_GOC!$D:$D,$B59,DATA_GOC!$G:$G,"Dầu động cơ",DATA_GOC!$B:$B,"&gt;="&amp;DATE($D$2,$B$2,1),DATA_GOC!$B:$B,"&lt;"&amp;EDATE(DATE($D$2,$B$2,1),1))+SUMIFS(DATA_GOC!$H:$H,DATA_GOC!$A:$A,"BOM",DATA_GOC!$D:$D,$B59,DATA_GOC!$E:$E,"Dầu động cơ",DATA_GOC!$G:$G,"&lt;&gt;Dầu động cơ",DATA_GOC!$B:$B,"&gt;="&amp;DATE($D$2,$B$2,1),DATA_GOC!$B:$B,"&lt;"&amp;EDATE(DATE($D$2,$B$2,1),1))</f>
        <v>0</v>
      </c>
      <c r="J59" s="222">
        <f>SUMIFS(DATA_GOC!$H:$H,DATA_GOC!$A:$A,"BOM",DATA_GOC!$D:$D,$B59,DATA_GOC!$G:$G,"Dầu thủy lực",DATA_GOC!$B:$B,"&gt;="&amp;DATE($D$2,$B$2,1),DATA_GOC!$B:$B,"&lt;"&amp;EDATE(DATE($D$2,$B$2,1),1))+SUMIFS(DATA_GOC!$H:$H,DATA_GOC!$A:$A,"BOM",DATA_GOC!$D:$D,$B59,DATA_GOC!$E:$E,"Dầu thủy lực",DATA_GOC!$G:$G,"&lt;&gt;Dầu thủy lực",DATA_GOC!$B:$B,"&gt;="&amp;DATE($D$2,$B$2,1),DATA_GOC!$B:$B,"&lt;"&amp;EDATE(DATE($D$2,$B$2,1),1))</f>
        <v>0</v>
      </c>
      <c r="K59" s="222">
        <f>SUMIFS(DATA_GOC!$H:$H,DATA_GOC!$A:$A,"BOM",DATA_GOC!$D:$D,$B59,DATA_GOC!$G:$G,"Dầu cầu",DATA_GOC!$B:$B,"&gt;="&amp;DATE($D$2,$B$2,1),DATA_GOC!$B:$B,"&lt;"&amp;EDATE(DATE($D$2,$B$2,1),1))+SUMIFS(DATA_GOC!$H:$H,DATA_GOC!$A:$A,"BOM",DATA_GOC!$D:$D,$B59,DATA_GOC!$E:$E,"Dầu cầu",DATA_GOC!$G:$G,"&lt;&gt;Dầu cầu",DATA_GOC!$B:$B,"&gt;="&amp;DATE($D$2,$B$2,1),DATA_GOC!$B:$B,"&lt;"&amp;EDATE(DATE($D$2,$B$2,1),1))</f>
        <v>0</v>
      </c>
      <c r="L59" s="222">
        <f>SUMIFS(DATA_GOC!$H:$H,DATA_GOC!$A:$A,"BOM",DATA_GOC!$D:$D,$B59,DATA_GOC!$G:$G,"Dầu số",DATA_GOC!$B:$B,"&gt;="&amp;DATE($D$2,$B$2,1),DATA_GOC!$B:$B,"&lt;"&amp;EDATE(DATE($D$2,$B$2,1),1))+SUMIFS(DATA_GOC!$H:$H,DATA_GOC!$A:$A,"BOM",DATA_GOC!$D:$D,$B59,DATA_GOC!$E:$E,"Dầu số",DATA_GOC!$G:$G,"&lt;&gt;Dầu số",DATA_GOC!$B:$B,"&gt;="&amp;DATE($D$2,$B$2,1),DATA_GOC!$B:$B,"&lt;"&amp;EDATE(DATE($D$2,$B$2,1),1))</f>
        <v>0</v>
      </c>
      <c r="M59" s="263">
        <f t="shared" si="3"/>
        <v>0</v>
      </c>
      <c r="N59" s="222">
        <f>SUMIFS(DATA_GOC!$K:$K,DATA_GOC!$A:$A,"BOM",DATA_GOC!$D:$D,$B59,DATA_GOC!$G:$G,"DO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59" s="222" t="str">
        <f t="shared" si="4"/>
        <v/>
      </c>
      <c r="P59" s="221"/>
    </row>
    <row r="60" ht="15.75" customHeight="1">
      <c r="A60" s="222">
        <f t="shared" si="1"/>
        <v>56</v>
      </c>
      <c r="B60" s="221" t="str">
        <f t="array" ref="B60">IFERROR(INDEX(DANH_MUC!$E:$E,ROW()-1),"")</f>
        <v>28C02973</v>
      </c>
      <c r="C60" s="222">
        <f>IF($B60="","",
  IFERROR(SUMIFS(DATA_GOC!$H:$H,
    DATA_GOC!$A:$A,"BOM",
    DATA_GOC!$D:$D,$B60,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TINH_TEC!$H:$H,$B60,
    TINH_TEC!$F:$F,$B$2,
    TINH_TEC!$G:$G,$D$2
  ),0)
  -
  IFERROR(SUMIFS(TINH_TEC!$K:$K,
    TINH_TEC!$B:$B,"Đã chốt",
    TINH_TEC!$C:$C,C$4,
    TINH_TEC!$H:$H,$B60,
    TINH_TEC!$F:$F,$B$2,
    TINH_TEC!$G:$G,$D$2
  ),0)
)</f>
        <v>0</v>
      </c>
      <c r="D60" s="222">
        <f>IF($B60="","",
  IFERROR(SUMIFS(DATA_GOC!$H:$H,
    DATA_GOC!$A:$A,"BOM",
    DATA_GOC!$D:$D,$B60,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TINH_TEC!$H:$H,$B60,
    TINH_TEC!$F:$F,$B$2,
    TINH_TEC!$G:$G,$D$2
  ),0)
  -
  IFERROR(SUMIFS(TINH_TEC!$K:$K,
    TINH_TEC!$B:$B,"Đã chốt",
    TINH_TEC!$C:$C,D$4,
    TINH_TEC!$H:$H,$B60,
    TINH_TEC!$F:$F,$B$2,
    TINH_TEC!$G:$G,$D$2
  ),0)
)</f>
        <v>291.11</v>
      </c>
      <c r="E60" s="222">
        <f>IF($B60="","",
  IFERROR(SUMIFS(DATA_GOC!$H:$H,
    DATA_GOC!$A:$A,"BOM",
    DATA_GOC!$D:$D,$B60,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TINH_TEC!$H:$H,$B60,
    TINH_TEC!$F:$F,$B$2,
    TINH_TEC!$G:$G,$D$2
  ),0)
  -
  IFERROR(SUMIFS(TINH_TEC!$K:$K,
    TINH_TEC!$B:$B,"Đã chốt",
    TINH_TEC!$C:$C,E$4,
    TINH_TEC!$H:$H,$B60,
    TINH_TEC!$F:$F,$B$2,
    TINH_TEC!$G:$G,$D$2
  ),0)
)</f>
        <v>0</v>
      </c>
      <c r="F60" s="222">
        <f>SUMIFS(DATA_GOC!$H:$H,DATA_GOC!$A:$A,"BOM",DATA_GOC!$D:$D,$B60,DATA_GOC!$F:$F,"Xuất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60" s="222">
        <f>SUMIFS(DATA_GOC!$H:$H,DATA_GOC!$A:$A,"BOM",DATA_GOC!$D:$D,$B60,DATA_GOC!$F:$F,"Bơm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60" s="263">
        <f t="shared" si="2"/>
        <v>291.11</v>
      </c>
      <c r="I60" s="222">
        <f>SUMIFS(DATA_GOC!$H:$H,DATA_GOC!$A:$A,"BOM",DATA_GOC!$D:$D,$B60,DATA_GOC!$G:$G,"Dầu động cơ",DATA_GOC!$B:$B,"&gt;="&amp;DATE($D$2,$B$2,1),DATA_GOC!$B:$B,"&lt;"&amp;EDATE(DATE($D$2,$B$2,1),1))+SUMIFS(DATA_GOC!$H:$H,DATA_GOC!$A:$A,"BOM",DATA_GOC!$D:$D,$B60,DATA_GOC!$E:$E,"Dầu động cơ",DATA_GOC!$G:$G,"&lt;&gt;Dầu động cơ",DATA_GOC!$B:$B,"&gt;="&amp;DATE($D$2,$B$2,1),DATA_GOC!$B:$B,"&lt;"&amp;EDATE(DATE($D$2,$B$2,1),1))</f>
        <v>0</v>
      </c>
      <c r="J60" s="222">
        <f>SUMIFS(DATA_GOC!$H:$H,DATA_GOC!$A:$A,"BOM",DATA_GOC!$D:$D,$B60,DATA_GOC!$G:$G,"Dầu thủy lực",DATA_GOC!$B:$B,"&gt;="&amp;DATE($D$2,$B$2,1),DATA_GOC!$B:$B,"&lt;"&amp;EDATE(DATE($D$2,$B$2,1),1))+SUMIFS(DATA_GOC!$H:$H,DATA_GOC!$A:$A,"BOM",DATA_GOC!$D:$D,$B60,DATA_GOC!$E:$E,"Dầu thủy lực",DATA_GOC!$G:$G,"&lt;&gt;Dầu thủy lực",DATA_GOC!$B:$B,"&gt;="&amp;DATE($D$2,$B$2,1),DATA_GOC!$B:$B,"&lt;"&amp;EDATE(DATE($D$2,$B$2,1),1))</f>
        <v>0</v>
      </c>
      <c r="K60" s="222">
        <f>SUMIFS(DATA_GOC!$H:$H,DATA_GOC!$A:$A,"BOM",DATA_GOC!$D:$D,$B60,DATA_GOC!$G:$G,"Dầu cầu",DATA_GOC!$B:$B,"&gt;="&amp;DATE($D$2,$B$2,1),DATA_GOC!$B:$B,"&lt;"&amp;EDATE(DATE($D$2,$B$2,1),1))+SUMIFS(DATA_GOC!$H:$H,DATA_GOC!$A:$A,"BOM",DATA_GOC!$D:$D,$B60,DATA_GOC!$E:$E,"Dầu cầu",DATA_GOC!$G:$G,"&lt;&gt;Dầu cầu",DATA_GOC!$B:$B,"&gt;="&amp;DATE($D$2,$B$2,1),DATA_GOC!$B:$B,"&lt;"&amp;EDATE(DATE($D$2,$B$2,1),1))</f>
        <v>0</v>
      </c>
      <c r="L60" s="222">
        <f>SUMIFS(DATA_GOC!$H:$H,DATA_GOC!$A:$A,"BOM",DATA_GOC!$D:$D,$B60,DATA_GOC!$G:$G,"Dầu số",DATA_GOC!$B:$B,"&gt;="&amp;DATE($D$2,$B$2,1),DATA_GOC!$B:$B,"&lt;"&amp;EDATE(DATE($D$2,$B$2,1),1))+SUMIFS(DATA_GOC!$H:$H,DATA_GOC!$A:$A,"BOM",DATA_GOC!$D:$D,$B60,DATA_GOC!$E:$E,"Dầu số",DATA_GOC!$G:$G,"&lt;&gt;Dầu số",DATA_GOC!$B:$B,"&gt;="&amp;DATE($D$2,$B$2,1),DATA_GOC!$B:$B,"&lt;"&amp;EDATE(DATE($D$2,$B$2,1),1))</f>
        <v>0</v>
      </c>
      <c r="M60" s="263">
        <f t="shared" si="3"/>
        <v>0</v>
      </c>
      <c r="N60" s="222">
        <f>SUMIFS(DATA_GOC!$K:$K,DATA_GOC!$A:$A,"BOM",DATA_GOC!$D:$D,$B60,DATA_GOC!$G:$G,"DO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681</v>
      </c>
      <c r="O60" s="222">
        <f t="shared" si="4"/>
        <v>42.74743025</v>
      </c>
      <c r="P60" s="221"/>
    </row>
    <row r="61" ht="15.75" customHeight="1">
      <c r="A61" s="222">
        <f t="shared" si="1"/>
        <v>57</v>
      </c>
      <c r="B61" s="221" t="str">
        <f t="array" ref="B61">IFERROR(INDEX(DANH_MUC!$E:$E,ROW()-1),"")</f>
        <v>28C03044</v>
      </c>
      <c r="C61" s="222">
        <f>IF($B61="","",
  IFERROR(SUMIFS(DATA_GOC!$H:$H,
    DATA_GOC!$A:$A,"BOM",
    DATA_GOC!$D:$D,$B61,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TINH_TEC!$H:$H,$B61,
    TINH_TEC!$F:$F,$B$2,
    TINH_TEC!$G:$G,$D$2
  ),0)
  -
  IFERROR(SUMIFS(TINH_TEC!$K:$K,
    TINH_TEC!$B:$B,"Đã chốt",
    TINH_TEC!$C:$C,C$4,
    TINH_TEC!$H:$H,$B61,
    TINH_TEC!$F:$F,$B$2,
    TINH_TEC!$G:$G,$D$2
  ),0)
)</f>
        <v>0</v>
      </c>
      <c r="D61" s="222">
        <f>IF($B61="","",
  IFERROR(SUMIFS(DATA_GOC!$H:$H,
    DATA_GOC!$A:$A,"BOM",
    DATA_GOC!$D:$D,$B61,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TINH_TEC!$H:$H,$B61,
    TINH_TEC!$F:$F,$B$2,
    TINH_TEC!$G:$G,$D$2
  ),0)
  -
  IFERROR(SUMIFS(TINH_TEC!$K:$K,
    TINH_TEC!$B:$B,"Đã chốt",
    TINH_TEC!$C:$C,D$4,
    TINH_TEC!$H:$H,$B61,
    TINH_TEC!$F:$F,$B$2,
    TINH_TEC!$G:$G,$D$2
  ),0)
)</f>
        <v>370.385</v>
      </c>
      <c r="E61" s="222">
        <f>IF($B61="","",
  IFERROR(SUMIFS(DATA_GOC!$H:$H,
    DATA_GOC!$A:$A,"BOM",
    DATA_GOC!$D:$D,$B61,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TINH_TEC!$H:$H,$B61,
    TINH_TEC!$F:$F,$B$2,
    TINH_TEC!$G:$G,$D$2
  ),0)
  -
  IFERROR(SUMIFS(TINH_TEC!$K:$K,
    TINH_TEC!$B:$B,"Đã chốt",
    TINH_TEC!$C:$C,E$4,
    TINH_TEC!$H:$H,$B61,
    TINH_TEC!$F:$F,$B$2,
    TINH_TEC!$G:$G,$D$2
  ),0)
)</f>
        <v>0</v>
      </c>
      <c r="F61" s="222">
        <f>SUMIFS(DATA_GOC!$H:$H,DATA_GOC!$A:$A,"BOM",DATA_GOC!$D:$D,$B61,DATA_GOC!$F:$F,"Xuất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61" s="222">
        <f>SUMIFS(DATA_GOC!$H:$H,DATA_GOC!$A:$A,"BOM",DATA_GOC!$D:$D,$B61,DATA_GOC!$F:$F,"Bơm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61" s="263">
        <f t="shared" si="2"/>
        <v>370.385</v>
      </c>
      <c r="I61" s="222">
        <f>SUMIFS(DATA_GOC!$H:$H,DATA_GOC!$A:$A,"BOM",DATA_GOC!$D:$D,$B61,DATA_GOC!$G:$G,"Dầu động cơ",DATA_GOC!$B:$B,"&gt;="&amp;DATE($D$2,$B$2,1),DATA_GOC!$B:$B,"&lt;"&amp;EDATE(DATE($D$2,$B$2,1),1))+SUMIFS(DATA_GOC!$H:$H,DATA_GOC!$A:$A,"BOM",DATA_GOC!$D:$D,$B61,DATA_GOC!$E:$E,"Dầu động cơ",DATA_GOC!$G:$G,"&lt;&gt;Dầu động cơ",DATA_GOC!$B:$B,"&gt;="&amp;DATE($D$2,$B$2,1),DATA_GOC!$B:$B,"&lt;"&amp;EDATE(DATE($D$2,$B$2,1),1))</f>
        <v>0</v>
      </c>
      <c r="J61" s="222">
        <f>SUMIFS(DATA_GOC!$H:$H,DATA_GOC!$A:$A,"BOM",DATA_GOC!$D:$D,$B61,DATA_GOC!$G:$G,"Dầu thủy lực",DATA_GOC!$B:$B,"&gt;="&amp;DATE($D$2,$B$2,1),DATA_GOC!$B:$B,"&lt;"&amp;EDATE(DATE($D$2,$B$2,1),1))+SUMIFS(DATA_GOC!$H:$H,DATA_GOC!$A:$A,"BOM",DATA_GOC!$D:$D,$B61,DATA_GOC!$E:$E,"Dầu thủy lực",DATA_GOC!$G:$G,"&lt;&gt;Dầu thủy lực",DATA_GOC!$B:$B,"&gt;="&amp;DATE($D$2,$B$2,1),DATA_GOC!$B:$B,"&lt;"&amp;EDATE(DATE($D$2,$B$2,1),1))</f>
        <v>0</v>
      </c>
      <c r="K61" s="222">
        <f>SUMIFS(DATA_GOC!$H:$H,DATA_GOC!$A:$A,"BOM",DATA_GOC!$D:$D,$B61,DATA_GOC!$G:$G,"Dầu cầu",DATA_GOC!$B:$B,"&gt;="&amp;DATE($D$2,$B$2,1),DATA_GOC!$B:$B,"&lt;"&amp;EDATE(DATE($D$2,$B$2,1),1))+SUMIFS(DATA_GOC!$H:$H,DATA_GOC!$A:$A,"BOM",DATA_GOC!$D:$D,$B61,DATA_GOC!$E:$E,"Dầu cầu",DATA_GOC!$G:$G,"&lt;&gt;Dầu cầu",DATA_GOC!$B:$B,"&gt;="&amp;DATE($D$2,$B$2,1),DATA_GOC!$B:$B,"&lt;"&amp;EDATE(DATE($D$2,$B$2,1),1))</f>
        <v>0</v>
      </c>
      <c r="L61" s="222">
        <f>SUMIFS(DATA_GOC!$H:$H,DATA_GOC!$A:$A,"BOM",DATA_GOC!$D:$D,$B61,DATA_GOC!$G:$G,"Dầu số",DATA_GOC!$B:$B,"&gt;="&amp;DATE($D$2,$B$2,1),DATA_GOC!$B:$B,"&lt;"&amp;EDATE(DATE($D$2,$B$2,1),1))+SUMIFS(DATA_GOC!$H:$H,DATA_GOC!$A:$A,"BOM",DATA_GOC!$D:$D,$B61,DATA_GOC!$E:$E,"Dầu số",DATA_GOC!$G:$G,"&lt;&gt;Dầu số",DATA_GOC!$B:$B,"&gt;="&amp;DATE($D$2,$B$2,1),DATA_GOC!$B:$B,"&lt;"&amp;EDATE(DATE($D$2,$B$2,1),1))</f>
        <v>0</v>
      </c>
      <c r="M61" s="263">
        <f t="shared" si="3"/>
        <v>0</v>
      </c>
      <c r="N61" s="222">
        <f>SUMIFS(DATA_GOC!$K:$K,DATA_GOC!$A:$A,"BOM",DATA_GOC!$D:$D,$B61,DATA_GOC!$G:$G,"DO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269</v>
      </c>
      <c r="O61" s="222">
        <f t="shared" si="4"/>
        <v>137.6895911</v>
      </c>
      <c r="P61" s="221"/>
    </row>
    <row r="62" ht="15.75" customHeight="1">
      <c r="A62" s="222">
        <f t="shared" si="1"/>
        <v>58</v>
      </c>
      <c r="B62" s="221" t="str">
        <f t="array" ref="B62">IFERROR(INDEX(DANH_MUC!$E:$E,ROW()-1),"")</f>
        <v>Máy lu lốp</v>
      </c>
      <c r="C62" s="222">
        <f>IF($B62="","",
  IFERROR(SUMIFS(DATA_GOC!$H:$H,
    DATA_GOC!$A:$A,"BOM",
    DATA_GOC!$D:$D,$B62,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TINH_TEC!$H:$H,$B62,
    TINH_TEC!$F:$F,$B$2,
    TINH_TEC!$G:$G,$D$2
  ),0)
  -
  IFERROR(SUMIFS(TINH_TEC!$K:$K,
    TINH_TEC!$B:$B,"Đã chốt",
    TINH_TEC!$C:$C,C$4,
    TINH_TEC!$H:$H,$B62,
    TINH_TEC!$F:$F,$B$2,
    TINH_TEC!$G:$G,$D$2
  ),0)
)</f>
        <v>0</v>
      </c>
      <c r="D62" s="222">
        <f>IF($B62="","",
  IFERROR(SUMIFS(DATA_GOC!$H:$H,
    DATA_GOC!$A:$A,"BOM",
    DATA_GOC!$D:$D,$B62,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TINH_TEC!$H:$H,$B62,
    TINH_TEC!$F:$F,$B$2,
    TINH_TEC!$G:$G,$D$2
  ),0)
  -
  IFERROR(SUMIFS(TINH_TEC!$K:$K,
    TINH_TEC!$B:$B,"Đã chốt",
    TINH_TEC!$C:$C,D$4,
    TINH_TEC!$H:$H,$B62,
    TINH_TEC!$F:$F,$B$2,
    TINH_TEC!$G:$G,$D$2
  ),0)
)</f>
        <v>0</v>
      </c>
      <c r="E62" s="222">
        <f>IF($B62="","",
  IFERROR(SUMIFS(DATA_GOC!$H:$H,
    DATA_GOC!$A:$A,"BOM",
    DATA_GOC!$D:$D,$B62,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TINH_TEC!$H:$H,$B62,
    TINH_TEC!$F:$F,$B$2,
    TINH_TEC!$G:$G,$D$2
  ),0)
  -
  IFERROR(SUMIFS(TINH_TEC!$K:$K,
    TINH_TEC!$B:$B,"Đã chốt",
    TINH_TEC!$C:$C,E$4,
    TINH_TEC!$H:$H,$B62,
    TINH_TEC!$F:$F,$B$2,
    TINH_TEC!$G:$G,$D$2
  ),0)
)</f>
        <v>0</v>
      </c>
      <c r="F62" s="222">
        <f>SUMIFS(DATA_GOC!$H:$H,DATA_GOC!$A:$A,"BOM",DATA_GOC!$D:$D,$B62,DATA_GOC!$F:$F,"Xuất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62" s="222">
        <f>SUMIFS(DATA_GOC!$H:$H,DATA_GOC!$A:$A,"BOM",DATA_GOC!$D:$D,$B62,DATA_GOC!$F:$F,"Bơm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62" s="263">
        <f t="shared" si="2"/>
        <v>0</v>
      </c>
      <c r="I62" s="222">
        <f>SUMIFS(DATA_GOC!$H:$H,DATA_GOC!$A:$A,"BOM",DATA_GOC!$D:$D,$B62,DATA_GOC!$G:$G,"Dầu động cơ",DATA_GOC!$B:$B,"&gt;="&amp;DATE($D$2,$B$2,1),DATA_GOC!$B:$B,"&lt;"&amp;EDATE(DATE($D$2,$B$2,1),1))+SUMIFS(DATA_GOC!$H:$H,DATA_GOC!$A:$A,"BOM",DATA_GOC!$D:$D,$B62,DATA_GOC!$E:$E,"Dầu động cơ",DATA_GOC!$G:$G,"&lt;&gt;Dầu động cơ",DATA_GOC!$B:$B,"&gt;="&amp;DATE($D$2,$B$2,1),DATA_GOC!$B:$B,"&lt;"&amp;EDATE(DATE($D$2,$B$2,1),1))</f>
        <v>0</v>
      </c>
      <c r="J62" s="222">
        <f>SUMIFS(DATA_GOC!$H:$H,DATA_GOC!$A:$A,"BOM",DATA_GOC!$D:$D,$B62,DATA_GOC!$G:$G,"Dầu thủy lực",DATA_GOC!$B:$B,"&gt;="&amp;DATE($D$2,$B$2,1),DATA_GOC!$B:$B,"&lt;"&amp;EDATE(DATE($D$2,$B$2,1),1))+SUMIFS(DATA_GOC!$H:$H,DATA_GOC!$A:$A,"BOM",DATA_GOC!$D:$D,$B62,DATA_GOC!$E:$E,"Dầu thủy lực",DATA_GOC!$G:$G,"&lt;&gt;Dầu thủy lực",DATA_GOC!$B:$B,"&gt;="&amp;DATE($D$2,$B$2,1),DATA_GOC!$B:$B,"&lt;"&amp;EDATE(DATE($D$2,$B$2,1),1))</f>
        <v>0</v>
      </c>
      <c r="K62" s="222">
        <f>SUMIFS(DATA_GOC!$H:$H,DATA_GOC!$A:$A,"BOM",DATA_GOC!$D:$D,$B62,DATA_GOC!$G:$G,"Dầu cầu",DATA_GOC!$B:$B,"&gt;="&amp;DATE($D$2,$B$2,1),DATA_GOC!$B:$B,"&lt;"&amp;EDATE(DATE($D$2,$B$2,1),1))+SUMIFS(DATA_GOC!$H:$H,DATA_GOC!$A:$A,"BOM",DATA_GOC!$D:$D,$B62,DATA_GOC!$E:$E,"Dầu cầu",DATA_GOC!$G:$G,"&lt;&gt;Dầu cầu",DATA_GOC!$B:$B,"&gt;="&amp;DATE($D$2,$B$2,1),DATA_GOC!$B:$B,"&lt;"&amp;EDATE(DATE($D$2,$B$2,1),1))</f>
        <v>0</v>
      </c>
      <c r="L62" s="222">
        <f>SUMIFS(DATA_GOC!$H:$H,DATA_GOC!$A:$A,"BOM",DATA_GOC!$D:$D,$B62,DATA_GOC!$G:$G,"Dầu số",DATA_GOC!$B:$B,"&gt;="&amp;DATE($D$2,$B$2,1),DATA_GOC!$B:$B,"&lt;"&amp;EDATE(DATE($D$2,$B$2,1),1))+SUMIFS(DATA_GOC!$H:$H,DATA_GOC!$A:$A,"BOM",DATA_GOC!$D:$D,$B62,DATA_GOC!$E:$E,"Dầu số",DATA_GOC!$G:$G,"&lt;&gt;Dầu số",DATA_GOC!$B:$B,"&gt;="&amp;DATE($D$2,$B$2,1),DATA_GOC!$B:$B,"&lt;"&amp;EDATE(DATE($D$2,$B$2,1),1))</f>
        <v>0</v>
      </c>
      <c r="M62" s="263">
        <f t="shared" si="3"/>
        <v>0</v>
      </c>
      <c r="N62" s="222">
        <f>SUMIFS(DATA_GOC!$K:$K,DATA_GOC!$A:$A,"BOM",DATA_GOC!$D:$D,$B62,DATA_GOC!$G:$G,"DO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62" s="222" t="str">
        <f t="shared" si="4"/>
        <v/>
      </c>
      <c r="P62" s="221"/>
    </row>
    <row r="63" ht="15.75" customHeight="1">
      <c r="A63" s="222">
        <f t="shared" si="1"/>
        <v>59</v>
      </c>
      <c r="B63" s="221" t="str">
        <f t="array" ref="B63">IFERROR(INDEX(DANH_MUC!$E:$E,ROW()-1),"")</f>
        <v>Xe 600148</v>
      </c>
      <c r="C63" s="222">
        <f>IF($B63="","",
  IFERROR(SUMIFS(DATA_GOC!$H:$H,
    DATA_GOC!$A:$A,"BOM",
    DATA_GOC!$D:$D,$B63,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TINH_TEC!$H:$H,$B63,
    TINH_TEC!$F:$F,$B$2,
    TINH_TEC!$G:$G,$D$2
  ),0)
  -
  IFERROR(SUMIFS(TINH_TEC!$K:$K,
    TINH_TEC!$B:$B,"Đã chốt",
    TINH_TEC!$C:$C,C$4,
    TINH_TEC!$H:$H,$B63,
    TINH_TEC!$F:$F,$B$2,
    TINH_TEC!$G:$G,$D$2
  ),0)
)</f>
        <v>0</v>
      </c>
      <c r="D63" s="222">
        <f>IF($B63="","",
  IFERROR(SUMIFS(DATA_GOC!$H:$H,
    DATA_GOC!$A:$A,"BOM",
    DATA_GOC!$D:$D,$B63,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TINH_TEC!$H:$H,$B63,
    TINH_TEC!$F:$F,$B$2,
    TINH_TEC!$G:$G,$D$2
  ),0)
  -
  IFERROR(SUMIFS(TINH_TEC!$K:$K,
    TINH_TEC!$B:$B,"Đã chốt",
    TINH_TEC!$C:$C,D$4,
    TINH_TEC!$H:$H,$B63,
    TINH_TEC!$F:$F,$B$2,
    TINH_TEC!$G:$G,$D$2
  ),0)
)</f>
        <v>0</v>
      </c>
      <c r="E63" s="222">
        <f>IF($B63="","",
  IFERROR(SUMIFS(DATA_GOC!$H:$H,
    DATA_GOC!$A:$A,"BOM",
    DATA_GOC!$D:$D,$B63,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TINH_TEC!$H:$H,$B63,
    TINH_TEC!$F:$F,$B$2,
    TINH_TEC!$G:$G,$D$2
  ),0)
  -
  IFERROR(SUMIFS(TINH_TEC!$K:$K,
    TINH_TEC!$B:$B,"Đã chốt",
    TINH_TEC!$C:$C,E$4,
    TINH_TEC!$H:$H,$B63,
    TINH_TEC!$F:$F,$B$2,
    TINH_TEC!$G:$G,$D$2
  ),0)
)</f>
        <v>0</v>
      </c>
      <c r="F63" s="222">
        <f>SUMIFS(DATA_GOC!$H:$H,DATA_GOC!$A:$A,"BOM",DATA_GOC!$D:$D,$B63,DATA_GOC!$F:$F,"Xuất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63" s="222">
        <f>SUMIFS(DATA_GOC!$H:$H,DATA_GOC!$A:$A,"BOM",DATA_GOC!$D:$D,$B63,DATA_GOC!$F:$F,"Bơm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63" s="263">
        <f t="shared" si="2"/>
        <v>0</v>
      </c>
      <c r="I63" s="222">
        <f>SUMIFS(DATA_GOC!$H:$H,DATA_GOC!$A:$A,"BOM",DATA_GOC!$D:$D,$B63,DATA_GOC!$G:$G,"Dầu động cơ",DATA_GOC!$B:$B,"&gt;="&amp;DATE($D$2,$B$2,1),DATA_GOC!$B:$B,"&lt;"&amp;EDATE(DATE($D$2,$B$2,1),1))+SUMIFS(DATA_GOC!$H:$H,DATA_GOC!$A:$A,"BOM",DATA_GOC!$D:$D,$B63,DATA_GOC!$E:$E,"Dầu động cơ",DATA_GOC!$G:$G,"&lt;&gt;Dầu động cơ",DATA_GOC!$B:$B,"&gt;="&amp;DATE($D$2,$B$2,1),DATA_GOC!$B:$B,"&lt;"&amp;EDATE(DATE($D$2,$B$2,1),1))</f>
        <v>0</v>
      </c>
      <c r="J63" s="222">
        <f>SUMIFS(DATA_GOC!$H:$H,DATA_GOC!$A:$A,"BOM",DATA_GOC!$D:$D,$B63,DATA_GOC!$G:$G,"Dầu thủy lực",DATA_GOC!$B:$B,"&gt;="&amp;DATE($D$2,$B$2,1),DATA_GOC!$B:$B,"&lt;"&amp;EDATE(DATE($D$2,$B$2,1),1))+SUMIFS(DATA_GOC!$H:$H,DATA_GOC!$A:$A,"BOM",DATA_GOC!$D:$D,$B63,DATA_GOC!$E:$E,"Dầu thủy lực",DATA_GOC!$G:$G,"&lt;&gt;Dầu thủy lực",DATA_GOC!$B:$B,"&gt;="&amp;DATE($D$2,$B$2,1),DATA_GOC!$B:$B,"&lt;"&amp;EDATE(DATE($D$2,$B$2,1),1))</f>
        <v>0</v>
      </c>
      <c r="K63" s="222">
        <f>SUMIFS(DATA_GOC!$H:$H,DATA_GOC!$A:$A,"BOM",DATA_GOC!$D:$D,$B63,DATA_GOC!$G:$G,"Dầu cầu",DATA_GOC!$B:$B,"&gt;="&amp;DATE($D$2,$B$2,1),DATA_GOC!$B:$B,"&lt;"&amp;EDATE(DATE($D$2,$B$2,1),1))+SUMIFS(DATA_GOC!$H:$H,DATA_GOC!$A:$A,"BOM",DATA_GOC!$D:$D,$B63,DATA_GOC!$E:$E,"Dầu cầu",DATA_GOC!$G:$G,"&lt;&gt;Dầu cầu",DATA_GOC!$B:$B,"&gt;="&amp;DATE($D$2,$B$2,1),DATA_GOC!$B:$B,"&lt;"&amp;EDATE(DATE($D$2,$B$2,1),1))</f>
        <v>0</v>
      </c>
      <c r="L63" s="222">
        <f>SUMIFS(DATA_GOC!$H:$H,DATA_GOC!$A:$A,"BOM",DATA_GOC!$D:$D,$B63,DATA_GOC!$G:$G,"Dầu số",DATA_GOC!$B:$B,"&gt;="&amp;DATE($D$2,$B$2,1),DATA_GOC!$B:$B,"&lt;"&amp;EDATE(DATE($D$2,$B$2,1),1))+SUMIFS(DATA_GOC!$H:$H,DATA_GOC!$A:$A,"BOM",DATA_GOC!$D:$D,$B63,DATA_GOC!$E:$E,"Dầu số",DATA_GOC!$G:$G,"&lt;&gt;Dầu số",DATA_GOC!$B:$B,"&gt;="&amp;DATE($D$2,$B$2,1),DATA_GOC!$B:$B,"&lt;"&amp;EDATE(DATE($D$2,$B$2,1),1))</f>
        <v>0</v>
      </c>
      <c r="M63" s="263">
        <f t="shared" si="3"/>
        <v>0</v>
      </c>
      <c r="N63" s="222">
        <f>SUMIFS(DATA_GOC!$K:$K,DATA_GOC!$A:$A,"BOM",DATA_GOC!$D:$D,$B63,DATA_GOC!$G:$G,"DO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63" s="222" t="str">
        <f t="shared" si="4"/>
        <v/>
      </c>
      <c r="P63" s="221"/>
    </row>
    <row r="64" ht="15.75" customHeight="1">
      <c r="A64" s="222">
        <f t="shared" si="1"/>
        <v>60</v>
      </c>
      <c r="B64" s="221" t="str">
        <f t="array" ref="B64">IFERROR(INDEX(DANH_MUC!$E:$E,ROW()-1),"")</f>
        <v>Xe ben mới</v>
      </c>
      <c r="C64" s="222">
        <f>IF($B64="","",
  IFERROR(SUMIFS(DATA_GOC!$H:$H,
    DATA_GOC!$A:$A,"BOM",
    DATA_GOC!$D:$D,$B64,
    DATA_GOC!$F:$F,"Xuất nội bộ từ téc",
    DATA_GOC!$E:$E,C$4,
    DATA_GOC!$G:$G,"DO 0.05S",
    DATA_GOC!$B:$B,"&gt;="&amp;DATE($D$2,$B$2,1),
    DATA_GOC!$B:$B,"&lt;"&amp;EDATE(DATE($D$2,$B$2,1),1)
  ),0)
  +
  IFERROR(SUMIFS(TINH_TEC!$J:$J,
    TINH_TEC!$B:$B,"Đã chốt",
    TINH_TEC!$C:$C,C$4,
    TINH_TEC!$H:$H,$B64,
    TINH_TEC!$F:$F,$B$2,
    TINH_TEC!$G:$G,$D$2
  ),0)
  -
  IFERROR(SUMIFS(TINH_TEC!$K:$K,
    TINH_TEC!$B:$B,"Đã chốt",
    TINH_TEC!$C:$C,C$4,
    TINH_TEC!$H:$H,$B64,
    TINH_TEC!$F:$F,$B$2,
    TINH_TEC!$G:$G,$D$2
  ),0)
)</f>
        <v>0</v>
      </c>
      <c r="D64" s="222">
        <f>IF($B64="","",
  IFERROR(SUMIFS(DATA_GOC!$H:$H,
    DATA_GOC!$A:$A,"BOM",
    DATA_GOC!$D:$D,$B64,
    DATA_GOC!$F:$F,"Xuất nội bộ từ téc",
    DATA_GOC!$E:$E,D$4,
    DATA_GOC!$G:$G,"DO 0.05S",
    DATA_GOC!$B:$B,"&gt;="&amp;DATE($D$2,$B$2,1),
    DATA_GOC!$B:$B,"&lt;"&amp;EDATE(DATE($D$2,$B$2,1),1)
  ),0)
  +
  IFERROR(SUMIFS(TINH_TEC!$J:$J,
    TINH_TEC!$B:$B,"Đã chốt",
    TINH_TEC!$C:$C,D$4,
    TINH_TEC!$H:$H,$B64,
    TINH_TEC!$F:$F,$B$2,
    TINH_TEC!$G:$G,$D$2
  ),0)
  -
  IFERROR(SUMIFS(TINH_TEC!$K:$K,
    TINH_TEC!$B:$B,"Đã chốt",
    TINH_TEC!$C:$C,D$4,
    TINH_TEC!$H:$H,$B64,
    TINH_TEC!$F:$F,$B$2,
    TINH_TEC!$G:$G,$D$2
  ),0)
)</f>
        <v>42.33</v>
      </c>
      <c r="E64" s="222">
        <f>IF($B64="","",
  IFERROR(SUMIFS(DATA_GOC!$H:$H,
    DATA_GOC!$A:$A,"BOM",
    DATA_GOC!$D:$D,$B64,
    DATA_GOC!$F:$F,"Xuất nội bộ từ téc",
    DATA_GOC!$E:$E,E$4,
    DATA_GOC!$G:$G,"DO 0.05S",
    DATA_GOC!$B:$B,"&gt;="&amp;DATE($D$2,$B$2,1),
    DATA_GOC!$B:$B,"&lt;"&amp;EDATE(DATE($D$2,$B$2,1),1)
  ),0)
  +
  IFERROR(SUMIFS(TINH_TEC!$J:$J,
    TINH_TEC!$B:$B,"Đã chốt",
    TINH_TEC!$C:$C,E$4,
    TINH_TEC!$H:$H,$B64,
    TINH_TEC!$F:$F,$B$2,
    TINH_TEC!$G:$G,$D$2
  ),0)
  -
  IFERROR(SUMIFS(TINH_TEC!$K:$K,
    TINH_TEC!$B:$B,"Đã chốt",
    TINH_TEC!$C:$C,E$4,
    TINH_TEC!$H:$H,$B64,
    TINH_TEC!$F:$F,$B$2,
    TINH_TEC!$G:$G,$D$2
  ),0)
)</f>
        <v>0</v>
      </c>
      <c r="F64" s="222">
        <f>SUMIFS(DATA_GOC!$H:$H,DATA_GOC!$A:$A,"BOM",DATA_GOC!$D:$D,$B64,DATA_GOC!$F:$F,"Xuất nội bộ từ téc",DATA_GOC!$E:$E,"Téc cát nghiền",DATA_GOC!$G:$G,"DO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G64" s="222">
        <f>SUMIFS(DATA_GOC!$H:$H,DATA_GOC!$A:$A,"BOM",DATA_GOC!$D:$D,$B64,DATA_GOC!$F:$F,"Bơm ngoài",DATA_GOC!$G:$G,"DO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H64" s="263">
        <f t="shared" si="2"/>
        <v>42.33</v>
      </c>
      <c r="I64" s="222">
        <f>SUMIFS(DATA_GOC!$H:$H,DATA_GOC!$A:$A,"BOM",DATA_GOC!$D:$D,$B64,DATA_GOC!$G:$G,"Dầu động cơ",DATA_GOC!$B:$B,"&gt;="&amp;DATE($D$2,$B$2,1),DATA_GOC!$B:$B,"&lt;"&amp;EDATE(DATE($D$2,$B$2,1),1))+SUMIFS(DATA_GOC!$H:$H,DATA_GOC!$A:$A,"BOM",DATA_GOC!$D:$D,$B64,DATA_GOC!$E:$E,"Dầu động cơ",DATA_GOC!$G:$G,"&lt;&gt;Dầu động cơ",DATA_GOC!$B:$B,"&gt;="&amp;DATE($D$2,$B$2,1),DATA_GOC!$B:$B,"&lt;"&amp;EDATE(DATE($D$2,$B$2,1),1))</f>
        <v>0</v>
      </c>
      <c r="J64" s="222">
        <f>SUMIFS(DATA_GOC!$H:$H,DATA_GOC!$A:$A,"BOM",DATA_GOC!$D:$D,$B64,DATA_GOC!$G:$G,"Dầu thủy lực",DATA_GOC!$B:$B,"&gt;="&amp;DATE($D$2,$B$2,1),DATA_GOC!$B:$B,"&lt;"&amp;EDATE(DATE($D$2,$B$2,1),1))+SUMIFS(DATA_GOC!$H:$H,DATA_GOC!$A:$A,"BOM",DATA_GOC!$D:$D,$B64,DATA_GOC!$E:$E,"Dầu thủy lực",DATA_GOC!$G:$G,"&lt;&gt;Dầu thủy lực",DATA_GOC!$B:$B,"&gt;="&amp;DATE($D$2,$B$2,1),DATA_GOC!$B:$B,"&lt;"&amp;EDATE(DATE($D$2,$B$2,1),1))</f>
        <v>0</v>
      </c>
      <c r="K64" s="222">
        <f>SUMIFS(DATA_GOC!$H:$H,DATA_GOC!$A:$A,"BOM",DATA_GOC!$D:$D,$B64,DATA_GOC!$G:$G,"Dầu cầu",DATA_GOC!$B:$B,"&gt;="&amp;DATE($D$2,$B$2,1),DATA_GOC!$B:$B,"&lt;"&amp;EDATE(DATE($D$2,$B$2,1),1))+SUMIFS(DATA_GOC!$H:$H,DATA_GOC!$A:$A,"BOM",DATA_GOC!$D:$D,$B64,DATA_GOC!$E:$E,"Dầu cầu",DATA_GOC!$G:$G,"&lt;&gt;Dầu cầu",DATA_GOC!$B:$B,"&gt;="&amp;DATE($D$2,$B$2,1),DATA_GOC!$B:$B,"&lt;"&amp;EDATE(DATE($D$2,$B$2,1),1))</f>
        <v>0</v>
      </c>
      <c r="L64" s="222">
        <f>SUMIFS(DATA_GOC!$H:$H,DATA_GOC!$A:$A,"BOM",DATA_GOC!$D:$D,$B64,DATA_GOC!$G:$G,"Dầu số",DATA_GOC!$B:$B,"&gt;="&amp;DATE($D$2,$B$2,1),DATA_GOC!$B:$B,"&lt;"&amp;EDATE(DATE($D$2,$B$2,1),1))+SUMIFS(DATA_GOC!$H:$H,DATA_GOC!$A:$A,"BOM",DATA_GOC!$D:$D,$B64,DATA_GOC!$E:$E,"Dầu số",DATA_GOC!$G:$G,"&lt;&gt;Dầu số",DATA_GOC!$B:$B,"&gt;="&amp;DATE($D$2,$B$2,1),DATA_GOC!$B:$B,"&lt;"&amp;EDATE(DATE($D$2,$B$2,1),1))</f>
        <v>0</v>
      </c>
      <c r="M64" s="263">
        <f t="shared" si="3"/>
        <v>0</v>
      </c>
      <c r="N64" s="222">
        <f>SUMIFS(DATA_GOC!$K:$K,DATA_GOC!$A:$A,"BOM",DATA_GOC!$D:$D,$B64,DATA_GOC!$G:$G,"DO 0.05S",DATA_GOC!$E:$E,"&lt;&gt;Dầu động cơ",DATA_GOC!$E:$E,"&lt;&gt;Dầu thủy lực",DATA_GOC!$E:$E,"&lt;&gt;Dầu cầu",DATA_GOC!$E:$E,"&lt;&gt;Dầu số",DATA_GOC!$B:$B,"&gt;="&amp;DATE($D$2,$B$2,1),DATA_GOC!$B:$B,"&lt;"&amp;EDATE(DATE($D$2,$B$2,1),1))</f>
        <v>0</v>
      </c>
      <c r="O64" s="222" t="str">
        <f t="shared" si="4"/>
        <v/>
      </c>
      <c r="P64" s="221"/>
    </row>
    <row r="65" ht="21.75" customHeight="1">
      <c r="B65" s="201" t="s">
        <v>300</v>
      </c>
      <c r="C65" s="201">
        <f t="shared" ref="C65:H65" si="5">SUM(C5:C64)</f>
        <v>0</v>
      </c>
      <c r="D65" s="201">
        <f t="shared" si="5"/>
        <v>6740.999</v>
      </c>
      <c r="E65" s="201">
        <f t="shared" si="5"/>
        <v>0</v>
      </c>
      <c r="F65" s="201">
        <f t="shared" si="5"/>
        <v>0</v>
      </c>
      <c r="G65" s="201">
        <f t="shared" si="5"/>
        <v>1150.242</v>
      </c>
      <c r="H65" s="201">
        <f t="shared" si="5"/>
        <v>7891.241</v>
      </c>
      <c r="I65" s="201">
        <f>SUMIFS(DATA_GOC!$H:$H,DATA_GOC!$A:$A,"BOM",DATA_GOC!$D:$D,$B65,DATA_GOC!$G:$G,"Dầu động cơ",DATA_GOC!$B:$B,"&gt;="&amp;DATE($D$2,$B$2,1),DATA_GOC!$B:$B,"&lt;"&amp;EDATE(DATE($D$2,$B$2,1),1))+SUMIFS(DATA_GOC!$H:$H,DATA_GOC!$A:$A,"BOM",DATA_GOC!$D:$D,$B65,DATA_GOC!$E:$E,"Dầu động cơ",DATA_GOC!$G:$G,"&lt;&gt;Dầu động cơ",DATA_GOC!$B:$B,"&gt;="&amp;DATE($D$2,$B$2,1),DATA_GOC!$B:$B,"&lt;"&amp;EDATE(DATE($D$2,$B$2,1),1))</f>
        <v>0</v>
      </c>
      <c r="J65" s="201">
        <f>SUMIFS(DATA_GOC!$H:$H,DATA_GOC!$A:$A,"BOM",DATA_GOC!$D:$D,$B65,DATA_GOC!$G:$G,"Dầu thủy lực",DATA_GOC!$B:$B,"&gt;="&amp;DATE($D$2,$B$2,1),DATA_GOC!$B:$B,"&lt;"&amp;EDATE(DATE($D$2,$B$2,1),1))+SUMIFS(DATA_GOC!$H:$H,DATA_GOC!$A:$A,"BOM",DATA_GOC!$D:$D,$B65,DATA_GOC!$E:$E,"Dầu thủy lực",DATA_GOC!$G:$G,"&lt;&gt;Dầu thủy lực",DATA_GOC!$B:$B,"&gt;="&amp;DATE($D$2,$B$2,1),DATA_GOC!$B:$B,"&lt;"&amp;EDATE(DATE($D$2,$B$2,1),1))</f>
        <v>0</v>
      </c>
      <c r="K65" s="201">
        <f>SUMIFS(DATA_GOC!$H:$H,DATA_GOC!$A:$A,"BOM",DATA_GOC!$D:$D,$B65,DATA_GOC!$G:$G,"Dầu cầu",DATA_GOC!$B:$B,"&gt;="&amp;DATE($D$2,$B$2,1),DATA_GOC!$B:$B,"&lt;"&amp;EDATE(DATE($D$2,$B$2,1),1))+SUMIFS(DATA_GOC!$H:$H,DATA_GOC!$A:$A,"BOM",DATA_GOC!$D:$D,$B65,DATA_GOC!$E:$E,"Dầu cầu",DATA_GOC!$G:$G,"&lt;&gt;Dầu cầu",DATA_GOC!$B:$B,"&gt;="&amp;DATE($D$2,$B$2,1),DATA_GOC!$B:$B,"&lt;"&amp;EDATE(DATE($D$2,$B$2,1),1))</f>
        <v>0</v>
      </c>
      <c r="L65" s="201">
        <f>SUMIFS(DATA_GOC!$H:$H,DATA_GOC!$A:$A,"BOM",DATA_GOC!$D:$D,$B65,DATA_GOC!$G:$G,"Dầu số",DATA_GOC!$B:$B,"&gt;="&amp;DATE($D$2,$B$2,1),DATA_GOC!$B:$B,"&lt;"&amp;EDATE(DATE($D$2,$B$2,1),1))+SUMIFS(DATA_GOC!$H:$H,DATA_GOC!$A:$A,"BOM",DATA_GOC!$D:$D,$B65,DATA_GOC!$E:$E,"Dầu số",DATA_GOC!$G:$G,"&lt;&gt;Dầu số",DATA_GOC!$B:$B,"&gt;="&amp;DATE($D$2,$B$2,1),DATA_GOC!$B:$B,"&lt;"&amp;EDATE(DATE($D$2,$B$2,1),1))</f>
        <v>0</v>
      </c>
      <c r="M65" s="201">
        <f t="shared" ref="M65:N65" si="6">SUM(M5:M64)</f>
        <v>80</v>
      </c>
      <c r="N65" s="201">
        <f t="shared" si="6"/>
        <v>14254</v>
      </c>
      <c r="O65" s="201">
        <f t="shared" si="4"/>
        <v>55.36158973</v>
      </c>
      <c r="P65" s="201" t="s">
        <v>559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P1"/>
    <mergeCell ref="E2:P2"/>
  </mergeCells>
  <dataValidations>
    <dataValidation type="decimal" allowBlank="1" showErrorMessage="1" sqref="B2">
      <formula1>1.0</formula1>
      <formula2>12.0</formula2>
    </dataValidation>
    <dataValidation type="decimal" allowBlank="1" showErrorMessage="1" sqref="D2">
      <formula1>2020.0</formula1>
      <formula2>2035.0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12.71"/>
    <col customWidth="1" min="3" max="3" width="16.71"/>
    <col customWidth="1" min="4" max="6" width="22.71"/>
    <col customWidth="1" min="7" max="8" width="14.71"/>
    <col customWidth="1" min="9" max="11" width="12.71"/>
    <col customWidth="1" min="12" max="12" width="24.71"/>
    <col customWidth="1" min="13" max="14" width="14.71"/>
    <col customWidth="1" min="15" max="15" width="42.71"/>
    <col customWidth="1" min="16" max="16" width="20.71"/>
    <col customWidth="1" hidden="1" min="17" max="18" width="13.0"/>
  </cols>
  <sheetData>
    <row r="1" ht="30.0" customHeight="1">
      <c r="A1" s="1" t="s">
        <v>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3.5" customHeight="1">
      <c r="A2" s="4" t="s">
        <v>561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21.75" customHeight="1">
      <c r="A3" s="264" t="s">
        <v>52</v>
      </c>
      <c r="B3" s="265" t="s">
        <v>54</v>
      </c>
      <c r="C3" s="264" t="s">
        <v>55</v>
      </c>
      <c r="D3" s="264" t="s">
        <v>562</v>
      </c>
      <c r="E3" s="264" t="s">
        <v>57</v>
      </c>
      <c r="F3" s="264" t="s">
        <v>58</v>
      </c>
      <c r="G3" s="264" t="s">
        <v>59</v>
      </c>
      <c r="H3" s="266" t="s">
        <v>60</v>
      </c>
      <c r="I3" s="266" t="s">
        <v>61</v>
      </c>
      <c r="J3" s="266" t="s">
        <v>62</v>
      </c>
      <c r="K3" s="266" t="s">
        <v>63</v>
      </c>
      <c r="L3" s="266" t="s">
        <v>563</v>
      </c>
      <c r="M3" s="266" t="s">
        <v>64</v>
      </c>
      <c r="N3" s="266" t="s">
        <v>65</v>
      </c>
      <c r="O3" s="264" t="s">
        <v>66</v>
      </c>
      <c r="P3" s="267" t="s">
        <v>49</v>
      </c>
      <c r="Q3" s="264" t="s">
        <v>564</v>
      </c>
      <c r="R3" s="264" t="s">
        <v>564</v>
      </c>
    </row>
    <row r="4" ht="15.0" customHeight="1">
      <c r="A4" s="268" t="s">
        <v>12</v>
      </c>
      <c r="B4" s="269">
        <v>46023.0</v>
      </c>
      <c r="C4" s="268"/>
      <c r="D4" s="268" t="s">
        <v>102</v>
      </c>
      <c r="E4" s="268" t="s">
        <v>83</v>
      </c>
      <c r="F4" s="268" t="s">
        <v>79</v>
      </c>
      <c r="G4" s="268" t="s">
        <v>80</v>
      </c>
      <c r="H4" s="270">
        <v>250.0</v>
      </c>
      <c r="I4" s="270"/>
      <c r="J4" s="270"/>
      <c r="K4" s="270"/>
      <c r="L4" s="270"/>
      <c r="M4" s="270"/>
      <c r="N4" s="270"/>
      <c r="O4" s="268"/>
      <c r="P4" s="271"/>
    </row>
    <row r="5" ht="15.0" customHeight="1">
      <c r="A5" s="268" t="s">
        <v>12</v>
      </c>
      <c r="B5" s="269">
        <v>46023.0</v>
      </c>
      <c r="C5" s="268"/>
      <c r="D5" s="268" t="s">
        <v>98</v>
      </c>
      <c r="E5" s="268" t="s">
        <v>83</v>
      </c>
      <c r="F5" s="268" t="s">
        <v>79</v>
      </c>
      <c r="G5" s="268" t="s">
        <v>80</v>
      </c>
      <c r="H5" s="270">
        <v>190.0</v>
      </c>
      <c r="I5" s="270"/>
      <c r="J5" s="270"/>
      <c r="K5" s="270"/>
      <c r="L5" s="270"/>
      <c r="M5" s="270"/>
      <c r="N5" s="270"/>
      <c r="O5" s="268"/>
      <c r="P5" s="271"/>
    </row>
    <row r="6" ht="15.0" customHeight="1">
      <c r="A6" s="268" t="s">
        <v>12</v>
      </c>
      <c r="B6" s="269">
        <v>46024.0</v>
      </c>
      <c r="C6" s="268"/>
      <c r="D6" s="268" t="s">
        <v>159</v>
      </c>
      <c r="E6" s="268" t="s">
        <v>83</v>
      </c>
      <c r="F6" s="268" t="s">
        <v>79</v>
      </c>
      <c r="G6" s="268" t="s">
        <v>80</v>
      </c>
      <c r="H6" s="270">
        <v>130.0</v>
      </c>
      <c r="I6" s="270"/>
      <c r="J6" s="270"/>
      <c r="K6" s="270"/>
      <c r="L6" s="270"/>
      <c r="M6" s="270"/>
      <c r="N6" s="270"/>
      <c r="O6" s="268"/>
      <c r="P6" s="271"/>
    </row>
    <row r="7" ht="15.0" customHeight="1">
      <c r="A7" s="268" t="s">
        <v>12</v>
      </c>
      <c r="B7" s="269">
        <v>46024.0</v>
      </c>
      <c r="C7" s="268"/>
      <c r="D7" s="268" t="s">
        <v>88</v>
      </c>
      <c r="E7" s="268" t="s">
        <v>83</v>
      </c>
      <c r="F7" s="268" t="s">
        <v>79</v>
      </c>
      <c r="G7" s="268" t="s">
        <v>80</v>
      </c>
      <c r="H7" s="270">
        <v>305.0</v>
      </c>
      <c r="I7" s="270"/>
      <c r="J7" s="270"/>
      <c r="K7" s="270"/>
      <c r="L7" s="270"/>
      <c r="M7" s="270"/>
      <c r="N7" s="270"/>
      <c r="O7" s="268"/>
      <c r="P7" s="271"/>
    </row>
    <row r="8" ht="15.0" customHeight="1">
      <c r="A8" s="268" t="s">
        <v>12</v>
      </c>
      <c r="B8" s="269">
        <v>46024.0</v>
      </c>
      <c r="C8" s="268"/>
      <c r="D8" s="268" t="s">
        <v>84</v>
      </c>
      <c r="E8" s="268" t="s">
        <v>83</v>
      </c>
      <c r="F8" s="268" t="s">
        <v>79</v>
      </c>
      <c r="G8" s="268" t="s">
        <v>80</v>
      </c>
      <c r="H8" s="270">
        <v>45.0</v>
      </c>
      <c r="I8" s="270"/>
      <c r="J8" s="270"/>
      <c r="K8" s="270"/>
      <c r="L8" s="270"/>
      <c r="M8" s="270"/>
      <c r="N8" s="270"/>
      <c r="O8" s="268"/>
      <c r="P8" s="271"/>
    </row>
    <row r="9" ht="15.0" customHeight="1">
      <c r="A9" s="268" t="s">
        <v>12</v>
      </c>
      <c r="B9" s="269">
        <v>46024.0</v>
      </c>
      <c r="C9" s="268"/>
      <c r="D9" s="268" t="s">
        <v>334</v>
      </c>
      <c r="E9" s="268" t="s">
        <v>83</v>
      </c>
      <c r="F9" s="268" t="s">
        <v>79</v>
      </c>
      <c r="G9" s="268" t="s">
        <v>80</v>
      </c>
      <c r="H9" s="270">
        <v>55.0</v>
      </c>
      <c r="I9" s="270"/>
      <c r="J9" s="270"/>
      <c r="K9" s="270"/>
      <c r="L9" s="270"/>
      <c r="M9" s="270"/>
      <c r="N9" s="270"/>
      <c r="O9" s="268"/>
      <c r="P9" s="271"/>
    </row>
    <row r="10" ht="15.0" customHeight="1">
      <c r="A10" s="268" t="s">
        <v>12</v>
      </c>
      <c r="B10" s="269">
        <v>46024.0</v>
      </c>
      <c r="C10" s="268"/>
      <c r="D10" s="268" t="s">
        <v>336</v>
      </c>
      <c r="E10" s="268" t="s">
        <v>83</v>
      </c>
      <c r="F10" s="268" t="s">
        <v>79</v>
      </c>
      <c r="G10" s="268" t="s">
        <v>80</v>
      </c>
      <c r="H10" s="270">
        <v>205.0</v>
      </c>
      <c r="I10" s="270"/>
      <c r="J10" s="270"/>
      <c r="K10" s="270"/>
      <c r="L10" s="270"/>
      <c r="M10" s="270"/>
      <c r="N10" s="270"/>
      <c r="O10" s="268"/>
      <c r="P10" s="271"/>
    </row>
    <row r="11" ht="15.0" customHeight="1">
      <c r="A11" s="268" t="s">
        <v>12</v>
      </c>
      <c r="B11" s="269">
        <v>46024.0</v>
      </c>
      <c r="C11" s="268"/>
      <c r="D11" s="268" t="s">
        <v>86</v>
      </c>
      <c r="E11" s="268" t="s">
        <v>83</v>
      </c>
      <c r="F11" s="268" t="s">
        <v>79</v>
      </c>
      <c r="G11" s="268" t="s">
        <v>80</v>
      </c>
      <c r="H11" s="270">
        <v>250.0</v>
      </c>
      <c r="I11" s="270"/>
      <c r="J11" s="270"/>
      <c r="K11" s="270"/>
      <c r="L11" s="270"/>
      <c r="M11" s="270"/>
      <c r="N11" s="270"/>
      <c r="O11" s="268"/>
      <c r="P11" s="271"/>
    </row>
    <row r="12" ht="15.0" customHeight="1">
      <c r="A12" s="268" t="s">
        <v>12</v>
      </c>
      <c r="B12" s="269">
        <v>46024.0</v>
      </c>
      <c r="C12" s="268"/>
      <c r="D12" s="268" t="s">
        <v>113</v>
      </c>
      <c r="E12" s="268" t="s">
        <v>83</v>
      </c>
      <c r="F12" s="268" t="s">
        <v>79</v>
      </c>
      <c r="G12" s="268" t="s">
        <v>80</v>
      </c>
      <c r="H12" s="270">
        <v>220.0</v>
      </c>
      <c r="I12" s="270"/>
      <c r="J12" s="270"/>
      <c r="K12" s="270"/>
      <c r="L12" s="270"/>
      <c r="M12" s="270"/>
      <c r="N12" s="270"/>
      <c r="O12" s="268"/>
      <c r="P12" s="271"/>
    </row>
    <row r="13" ht="15.0" customHeight="1">
      <c r="A13" s="268" t="s">
        <v>12</v>
      </c>
      <c r="B13" s="269">
        <v>46024.0</v>
      </c>
      <c r="C13" s="268"/>
      <c r="D13" s="268" t="s">
        <v>138</v>
      </c>
      <c r="E13" s="268" t="s">
        <v>83</v>
      </c>
      <c r="F13" s="268" t="s">
        <v>79</v>
      </c>
      <c r="G13" s="268" t="s">
        <v>80</v>
      </c>
      <c r="H13" s="270">
        <v>235.0</v>
      </c>
      <c r="I13" s="270"/>
      <c r="J13" s="270"/>
      <c r="K13" s="270"/>
      <c r="L13" s="270"/>
      <c r="M13" s="270"/>
      <c r="N13" s="270"/>
      <c r="O13" s="268"/>
      <c r="P13" s="271"/>
    </row>
    <row r="14" ht="15.0" customHeight="1">
      <c r="A14" s="268" t="s">
        <v>12</v>
      </c>
      <c r="B14" s="269">
        <v>46024.0</v>
      </c>
      <c r="C14" s="268"/>
      <c r="D14" s="268" t="s">
        <v>101</v>
      </c>
      <c r="E14" s="268" t="s">
        <v>83</v>
      </c>
      <c r="F14" s="268" t="s">
        <v>79</v>
      </c>
      <c r="G14" s="268" t="s">
        <v>80</v>
      </c>
      <c r="H14" s="270">
        <v>225.0</v>
      </c>
      <c r="I14" s="270"/>
      <c r="J14" s="270"/>
      <c r="K14" s="270"/>
      <c r="L14" s="270"/>
      <c r="M14" s="270"/>
      <c r="N14" s="270"/>
      <c r="O14" s="268"/>
      <c r="P14" s="271"/>
    </row>
    <row r="15" ht="15.0" customHeight="1">
      <c r="A15" s="268" t="s">
        <v>12</v>
      </c>
      <c r="B15" s="269">
        <v>46024.0</v>
      </c>
      <c r="C15" s="268"/>
      <c r="D15" s="268" t="s">
        <v>159</v>
      </c>
      <c r="E15" s="268" t="s">
        <v>93</v>
      </c>
      <c r="F15" s="268" t="s">
        <v>79</v>
      </c>
      <c r="G15" s="268" t="s">
        <v>93</v>
      </c>
      <c r="H15" s="270">
        <v>3.0</v>
      </c>
      <c r="I15" s="270"/>
      <c r="J15" s="270"/>
      <c r="K15" s="270"/>
      <c r="L15" s="270"/>
      <c r="M15" s="270"/>
      <c r="N15" s="270"/>
      <c r="O15" s="268"/>
      <c r="P15" s="271"/>
    </row>
    <row r="16" ht="15.0" customHeight="1">
      <c r="A16" s="268" t="s">
        <v>12</v>
      </c>
      <c r="B16" s="269">
        <v>46025.0</v>
      </c>
      <c r="C16" s="268"/>
      <c r="D16" s="268" t="s">
        <v>127</v>
      </c>
      <c r="E16" s="268" t="s">
        <v>83</v>
      </c>
      <c r="F16" s="268" t="s">
        <v>79</v>
      </c>
      <c r="G16" s="268" t="s">
        <v>80</v>
      </c>
      <c r="H16" s="270">
        <v>200.0</v>
      </c>
      <c r="I16" s="270"/>
      <c r="J16" s="270"/>
      <c r="K16" s="270"/>
      <c r="L16" s="270"/>
      <c r="M16" s="270"/>
      <c r="N16" s="270"/>
      <c r="O16" s="268"/>
      <c r="P16" s="271"/>
    </row>
    <row r="17" ht="15.0" customHeight="1">
      <c r="A17" s="268" t="s">
        <v>12</v>
      </c>
      <c r="B17" s="269">
        <v>46025.0</v>
      </c>
      <c r="C17" s="268"/>
      <c r="D17" s="268" t="s">
        <v>103</v>
      </c>
      <c r="E17" s="268" t="s">
        <v>83</v>
      </c>
      <c r="F17" s="268" t="s">
        <v>79</v>
      </c>
      <c r="G17" s="268" t="s">
        <v>80</v>
      </c>
      <c r="H17" s="270">
        <v>156.0</v>
      </c>
      <c r="I17" s="270"/>
      <c r="J17" s="270"/>
      <c r="K17" s="270"/>
      <c r="L17" s="270"/>
      <c r="M17" s="270"/>
      <c r="N17" s="270"/>
      <c r="O17" s="268"/>
      <c r="P17" s="271"/>
    </row>
    <row r="18" ht="15.0" customHeight="1">
      <c r="A18" s="268" t="s">
        <v>12</v>
      </c>
      <c r="B18" s="269">
        <v>46025.0</v>
      </c>
      <c r="C18" s="268"/>
      <c r="D18" s="268" t="s">
        <v>145</v>
      </c>
      <c r="E18" s="268" t="s">
        <v>83</v>
      </c>
      <c r="F18" s="268" t="s">
        <v>79</v>
      </c>
      <c r="G18" s="268" t="s">
        <v>80</v>
      </c>
      <c r="H18" s="270">
        <v>222.0</v>
      </c>
      <c r="I18" s="270"/>
      <c r="J18" s="270"/>
      <c r="K18" s="270"/>
      <c r="L18" s="270"/>
      <c r="M18" s="270"/>
      <c r="N18" s="270"/>
      <c r="O18" s="268"/>
      <c r="P18" s="271"/>
    </row>
    <row r="19" ht="15.0" customHeight="1">
      <c r="A19" s="268" t="s">
        <v>12</v>
      </c>
      <c r="B19" s="269">
        <v>46026.0</v>
      </c>
      <c r="C19" s="268"/>
      <c r="D19" s="268" t="s">
        <v>118</v>
      </c>
      <c r="E19" s="268" t="s">
        <v>141</v>
      </c>
      <c r="F19" s="268" t="s">
        <v>79</v>
      </c>
      <c r="G19" s="268" t="s">
        <v>80</v>
      </c>
      <c r="H19" s="270">
        <v>225.0</v>
      </c>
      <c r="I19" s="270"/>
      <c r="J19" s="270"/>
      <c r="K19" s="270"/>
      <c r="L19" s="270"/>
      <c r="M19" s="270"/>
      <c r="N19" s="270"/>
      <c r="O19" s="268"/>
      <c r="P19" s="271"/>
    </row>
    <row r="20" ht="15.0" customHeight="1">
      <c r="A20" s="268" t="s">
        <v>12</v>
      </c>
      <c r="B20" s="269">
        <v>46026.0</v>
      </c>
      <c r="C20" s="268"/>
      <c r="D20" s="268" t="s">
        <v>133</v>
      </c>
      <c r="E20" s="268" t="s">
        <v>141</v>
      </c>
      <c r="F20" s="268" t="s">
        <v>79</v>
      </c>
      <c r="G20" s="268" t="s">
        <v>80</v>
      </c>
      <c r="H20" s="270">
        <v>104.0</v>
      </c>
      <c r="I20" s="270"/>
      <c r="J20" s="270"/>
      <c r="K20" s="270"/>
      <c r="L20" s="270"/>
      <c r="M20" s="270"/>
      <c r="N20" s="270"/>
      <c r="O20" s="268"/>
      <c r="P20" s="271"/>
    </row>
    <row r="21" ht="15.0" customHeight="1">
      <c r="A21" s="268" t="s">
        <v>12</v>
      </c>
      <c r="B21" s="269">
        <v>46026.0</v>
      </c>
      <c r="C21" s="268"/>
      <c r="D21" s="268" t="s">
        <v>154</v>
      </c>
      <c r="E21" s="268" t="s">
        <v>83</v>
      </c>
      <c r="F21" s="268" t="s">
        <v>79</v>
      </c>
      <c r="G21" s="268" t="s">
        <v>80</v>
      </c>
      <c r="H21" s="270">
        <v>157.0</v>
      </c>
      <c r="I21" s="270"/>
      <c r="J21" s="270"/>
      <c r="K21" s="270"/>
      <c r="L21" s="270"/>
      <c r="M21" s="270"/>
      <c r="N21" s="270"/>
      <c r="O21" s="268"/>
      <c r="P21" s="271"/>
    </row>
    <row r="22" ht="15.0" customHeight="1">
      <c r="A22" s="268" t="s">
        <v>12</v>
      </c>
      <c r="B22" s="269">
        <v>46026.0</v>
      </c>
      <c r="C22" s="268"/>
      <c r="D22" s="268" t="s">
        <v>130</v>
      </c>
      <c r="E22" s="268" t="s">
        <v>83</v>
      </c>
      <c r="F22" s="268" t="s">
        <v>79</v>
      </c>
      <c r="G22" s="268" t="s">
        <v>80</v>
      </c>
      <c r="H22" s="270">
        <v>160.0</v>
      </c>
      <c r="I22" s="270"/>
      <c r="J22" s="270"/>
      <c r="K22" s="270"/>
      <c r="L22" s="270"/>
      <c r="M22" s="270"/>
      <c r="N22" s="270"/>
      <c r="O22" s="268"/>
      <c r="P22" s="271"/>
    </row>
    <row r="23" ht="15.0" customHeight="1">
      <c r="A23" s="268" t="s">
        <v>12</v>
      </c>
      <c r="B23" s="269">
        <v>46026.0</v>
      </c>
      <c r="C23" s="268"/>
      <c r="D23" s="268" t="s">
        <v>82</v>
      </c>
      <c r="E23" s="268" t="s">
        <v>83</v>
      </c>
      <c r="F23" s="268" t="s">
        <v>79</v>
      </c>
      <c r="G23" s="268" t="s">
        <v>80</v>
      </c>
      <c r="H23" s="270">
        <v>370.0</v>
      </c>
      <c r="I23" s="270"/>
      <c r="J23" s="270"/>
      <c r="K23" s="270"/>
      <c r="L23" s="270"/>
      <c r="M23" s="270"/>
      <c r="N23" s="270"/>
      <c r="O23" s="268"/>
      <c r="P23" s="271"/>
    </row>
    <row r="24" ht="15.0" customHeight="1">
      <c r="A24" s="268" t="s">
        <v>12</v>
      </c>
      <c r="B24" s="269">
        <v>46026.0</v>
      </c>
      <c r="C24" s="268"/>
      <c r="D24" s="268" t="s">
        <v>334</v>
      </c>
      <c r="E24" s="268" t="s">
        <v>83</v>
      </c>
      <c r="F24" s="268" t="s">
        <v>79</v>
      </c>
      <c r="G24" s="268" t="s">
        <v>80</v>
      </c>
      <c r="H24" s="270">
        <v>50.0</v>
      </c>
      <c r="I24" s="270"/>
      <c r="J24" s="270"/>
      <c r="K24" s="270"/>
      <c r="L24" s="270"/>
      <c r="M24" s="270"/>
      <c r="N24" s="270"/>
      <c r="O24" s="268"/>
      <c r="P24" s="271"/>
    </row>
    <row r="25" ht="15.0" customHeight="1">
      <c r="A25" s="268" t="s">
        <v>12</v>
      </c>
      <c r="B25" s="269">
        <v>46026.0</v>
      </c>
      <c r="C25" s="268"/>
      <c r="D25" s="268" t="s">
        <v>99</v>
      </c>
      <c r="E25" s="268" t="s">
        <v>83</v>
      </c>
      <c r="F25" s="268" t="s">
        <v>79</v>
      </c>
      <c r="G25" s="268" t="s">
        <v>80</v>
      </c>
      <c r="H25" s="270">
        <v>380.0</v>
      </c>
      <c r="I25" s="270"/>
      <c r="J25" s="270"/>
      <c r="K25" s="270"/>
      <c r="L25" s="270"/>
      <c r="M25" s="270"/>
      <c r="N25" s="270"/>
      <c r="O25" s="268"/>
      <c r="P25" s="271"/>
    </row>
    <row r="26" ht="15.0" customHeight="1">
      <c r="A26" s="268" t="s">
        <v>12</v>
      </c>
      <c r="B26" s="269">
        <v>46026.0</v>
      </c>
      <c r="C26" s="268"/>
      <c r="D26" s="268" t="s">
        <v>87</v>
      </c>
      <c r="E26" s="268" t="s">
        <v>83</v>
      </c>
      <c r="F26" s="268" t="s">
        <v>79</v>
      </c>
      <c r="G26" s="268" t="s">
        <v>80</v>
      </c>
      <c r="H26" s="270">
        <v>260.0</v>
      </c>
      <c r="I26" s="270"/>
      <c r="J26" s="270"/>
      <c r="K26" s="270"/>
      <c r="L26" s="270"/>
      <c r="M26" s="270"/>
      <c r="N26" s="270"/>
      <c r="O26" s="268"/>
      <c r="P26" s="271"/>
    </row>
    <row r="27" ht="15.0" customHeight="1">
      <c r="A27" s="268" t="s">
        <v>12</v>
      </c>
      <c r="B27" s="269">
        <v>46026.0</v>
      </c>
      <c r="C27" s="268"/>
      <c r="D27" s="268" t="s">
        <v>86</v>
      </c>
      <c r="E27" s="268" t="s">
        <v>83</v>
      </c>
      <c r="F27" s="268" t="s">
        <v>79</v>
      </c>
      <c r="G27" s="268" t="s">
        <v>80</v>
      </c>
      <c r="H27" s="270">
        <v>250.0</v>
      </c>
      <c r="I27" s="270"/>
      <c r="J27" s="270"/>
      <c r="K27" s="270"/>
      <c r="L27" s="270"/>
      <c r="M27" s="270"/>
      <c r="N27" s="270"/>
      <c r="O27" s="268"/>
      <c r="P27" s="271"/>
    </row>
    <row r="28" ht="15.0" customHeight="1">
      <c r="A28" s="268" t="s">
        <v>12</v>
      </c>
      <c r="B28" s="269">
        <v>46026.0</v>
      </c>
      <c r="C28" s="268"/>
      <c r="D28" s="268" t="s">
        <v>98</v>
      </c>
      <c r="E28" s="268" t="s">
        <v>83</v>
      </c>
      <c r="F28" s="268" t="s">
        <v>79</v>
      </c>
      <c r="G28" s="268" t="s">
        <v>80</v>
      </c>
      <c r="H28" s="270">
        <v>202.0</v>
      </c>
      <c r="I28" s="270"/>
      <c r="J28" s="270"/>
      <c r="K28" s="270"/>
      <c r="L28" s="270"/>
      <c r="M28" s="270"/>
      <c r="N28" s="270"/>
      <c r="O28" s="268"/>
      <c r="P28" s="271"/>
    </row>
    <row r="29" ht="15.0" customHeight="1">
      <c r="A29" s="268" t="s">
        <v>12</v>
      </c>
      <c r="B29" s="269">
        <v>46026.0</v>
      </c>
      <c r="C29" s="268"/>
      <c r="D29" s="268" t="s">
        <v>112</v>
      </c>
      <c r="E29" s="268" t="s">
        <v>83</v>
      </c>
      <c r="F29" s="268" t="s">
        <v>79</v>
      </c>
      <c r="G29" s="268" t="s">
        <v>80</v>
      </c>
      <c r="H29" s="270">
        <v>248.0</v>
      </c>
      <c r="I29" s="270"/>
      <c r="J29" s="270"/>
      <c r="K29" s="270"/>
      <c r="L29" s="270"/>
      <c r="M29" s="270"/>
      <c r="N29" s="270"/>
      <c r="O29" s="268"/>
      <c r="P29" s="271"/>
    </row>
    <row r="30" ht="15.0" customHeight="1">
      <c r="A30" s="268" t="s">
        <v>12</v>
      </c>
      <c r="B30" s="269">
        <v>46026.0</v>
      </c>
      <c r="C30" s="268"/>
      <c r="D30" s="268" t="s">
        <v>87</v>
      </c>
      <c r="E30" s="268" t="s">
        <v>110</v>
      </c>
      <c r="F30" s="268" t="s">
        <v>79</v>
      </c>
      <c r="G30" s="268" t="s">
        <v>110</v>
      </c>
      <c r="H30" s="270">
        <v>32.0</v>
      </c>
      <c r="I30" s="270"/>
      <c r="J30" s="270"/>
      <c r="K30" s="270"/>
      <c r="L30" s="270"/>
      <c r="M30" s="270"/>
      <c r="N30" s="270"/>
      <c r="O30" s="268"/>
      <c r="P30" s="271"/>
    </row>
    <row r="31" ht="15.0" customHeight="1">
      <c r="A31" s="268" t="s">
        <v>12</v>
      </c>
      <c r="B31" s="269">
        <v>46026.0</v>
      </c>
      <c r="C31" s="268"/>
      <c r="D31" s="268" t="s">
        <v>87</v>
      </c>
      <c r="E31" s="268" t="s">
        <v>93</v>
      </c>
      <c r="F31" s="268" t="s">
        <v>79</v>
      </c>
      <c r="G31" s="268" t="s">
        <v>93</v>
      </c>
      <c r="H31" s="270">
        <v>4.0</v>
      </c>
      <c r="I31" s="270"/>
      <c r="J31" s="270"/>
      <c r="K31" s="270"/>
      <c r="L31" s="270"/>
      <c r="M31" s="270"/>
      <c r="N31" s="270"/>
      <c r="O31" s="268"/>
      <c r="P31" s="271"/>
    </row>
    <row r="32" ht="15.0" customHeight="1">
      <c r="A32" s="268" t="s">
        <v>12</v>
      </c>
      <c r="B32" s="269">
        <v>46026.0</v>
      </c>
      <c r="C32" s="268"/>
      <c r="D32" s="268" t="s">
        <v>336</v>
      </c>
      <c r="E32" s="268" t="s">
        <v>107</v>
      </c>
      <c r="F32" s="268" t="s">
        <v>79</v>
      </c>
      <c r="G32" s="268" t="s">
        <v>107</v>
      </c>
      <c r="H32" s="270">
        <v>3.0</v>
      </c>
      <c r="I32" s="270"/>
      <c r="J32" s="270"/>
      <c r="K32" s="270"/>
      <c r="L32" s="270"/>
      <c r="M32" s="270"/>
      <c r="N32" s="270"/>
      <c r="O32" s="268"/>
      <c r="P32" s="271"/>
    </row>
    <row r="33" ht="15.0" customHeight="1">
      <c r="A33" s="268" t="s">
        <v>12</v>
      </c>
      <c r="B33" s="269">
        <v>46027.0</v>
      </c>
      <c r="C33" s="268"/>
      <c r="D33" s="268" t="s">
        <v>123</v>
      </c>
      <c r="E33" s="268" t="s">
        <v>141</v>
      </c>
      <c r="F33" s="268" t="s">
        <v>79</v>
      </c>
      <c r="G33" s="268" t="s">
        <v>80</v>
      </c>
      <c r="H33" s="270">
        <v>299.0</v>
      </c>
      <c r="I33" s="270"/>
      <c r="J33" s="270"/>
      <c r="K33" s="270"/>
      <c r="L33" s="270"/>
      <c r="M33" s="270"/>
      <c r="N33" s="270"/>
      <c r="O33" s="268"/>
      <c r="P33" s="271"/>
    </row>
    <row r="34" ht="15.0" customHeight="1">
      <c r="A34" s="268" t="s">
        <v>12</v>
      </c>
      <c r="B34" s="269">
        <v>46027.0</v>
      </c>
      <c r="C34" s="268"/>
      <c r="D34" s="268" t="s">
        <v>334</v>
      </c>
      <c r="E34" s="268" t="s">
        <v>141</v>
      </c>
      <c r="F34" s="268" t="s">
        <v>79</v>
      </c>
      <c r="G34" s="268" t="s">
        <v>80</v>
      </c>
      <c r="H34" s="270">
        <v>343.0</v>
      </c>
      <c r="I34" s="270"/>
      <c r="J34" s="270"/>
      <c r="K34" s="270"/>
      <c r="L34" s="270"/>
      <c r="M34" s="270"/>
      <c r="N34" s="270"/>
      <c r="O34" s="268"/>
      <c r="P34" s="271"/>
    </row>
    <row r="35" ht="15.0" customHeight="1">
      <c r="A35" s="268" t="s">
        <v>12</v>
      </c>
      <c r="B35" s="269">
        <v>46027.0</v>
      </c>
      <c r="C35" s="268"/>
      <c r="D35" s="268" t="s">
        <v>100</v>
      </c>
      <c r="E35" s="268" t="s">
        <v>141</v>
      </c>
      <c r="F35" s="268" t="s">
        <v>79</v>
      </c>
      <c r="G35" s="268" t="s">
        <v>80</v>
      </c>
      <c r="H35" s="270">
        <v>359.0</v>
      </c>
      <c r="I35" s="270"/>
      <c r="J35" s="270"/>
      <c r="K35" s="270"/>
      <c r="L35" s="270"/>
      <c r="M35" s="270"/>
      <c r="N35" s="270"/>
      <c r="O35" s="268"/>
      <c r="P35" s="271"/>
    </row>
    <row r="36" ht="15.0" customHeight="1">
      <c r="A36" s="268" t="s">
        <v>12</v>
      </c>
      <c r="B36" s="269">
        <v>46027.0</v>
      </c>
      <c r="C36" s="268"/>
      <c r="D36" s="268" t="s">
        <v>337</v>
      </c>
      <c r="E36" s="268" t="s">
        <v>141</v>
      </c>
      <c r="F36" s="268" t="s">
        <v>79</v>
      </c>
      <c r="G36" s="268" t="s">
        <v>80</v>
      </c>
      <c r="H36" s="270">
        <v>390.0</v>
      </c>
      <c r="I36" s="270"/>
      <c r="J36" s="270"/>
      <c r="K36" s="270"/>
      <c r="L36" s="270"/>
      <c r="M36" s="270"/>
      <c r="N36" s="270"/>
      <c r="O36" s="268"/>
      <c r="P36" s="271"/>
    </row>
    <row r="37" ht="15.0" customHeight="1">
      <c r="A37" s="268" t="s">
        <v>12</v>
      </c>
      <c r="B37" s="269">
        <v>46027.0</v>
      </c>
      <c r="C37" s="268"/>
      <c r="D37" s="268" t="s">
        <v>117</v>
      </c>
      <c r="E37" s="268" t="s">
        <v>141</v>
      </c>
      <c r="F37" s="268" t="s">
        <v>79</v>
      </c>
      <c r="G37" s="268" t="s">
        <v>80</v>
      </c>
      <c r="H37" s="270">
        <v>177.0</v>
      </c>
      <c r="I37" s="270"/>
      <c r="J37" s="270"/>
      <c r="K37" s="270"/>
      <c r="L37" s="270"/>
      <c r="M37" s="270"/>
      <c r="N37" s="270"/>
      <c r="O37" s="268"/>
      <c r="P37" s="271"/>
    </row>
    <row r="38" ht="15.0" customHeight="1">
      <c r="A38" s="268" t="s">
        <v>12</v>
      </c>
      <c r="B38" s="269">
        <v>46027.0</v>
      </c>
      <c r="C38" s="268"/>
      <c r="D38" s="268" t="s">
        <v>135</v>
      </c>
      <c r="E38" s="268" t="s">
        <v>141</v>
      </c>
      <c r="F38" s="268" t="s">
        <v>79</v>
      </c>
      <c r="G38" s="268" t="s">
        <v>80</v>
      </c>
      <c r="H38" s="270">
        <v>50.0</v>
      </c>
      <c r="I38" s="270"/>
      <c r="J38" s="270"/>
      <c r="K38" s="270"/>
      <c r="L38" s="270"/>
      <c r="M38" s="270"/>
      <c r="N38" s="270"/>
      <c r="O38" s="268"/>
      <c r="P38" s="271"/>
    </row>
    <row r="39" ht="15.0" customHeight="1">
      <c r="A39" s="268" t="s">
        <v>12</v>
      </c>
      <c r="B39" s="269">
        <v>46027.0</v>
      </c>
      <c r="C39" s="268"/>
      <c r="D39" s="268" t="s">
        <v>102</v>
      </c>
      <c r="E39" s="268" t="s">
        <v>141</v>
      </c>
      <c r="F39" s="268" t="s">
        <v>79</v>
      </c>
      <c r="G39" s="268" t="s">
        <v>80</v>
      </c>
      <c r="H39" s="270">
        <v>230.0</v>
      </c>
      <c r="I39" s="270"/>
      <c r="J39" s="270"/>
      <c r="K39" s="270"/>
      <c r="L39" s="270"/>
      <c r="M39" s="270"/>
      <c r="N39" s="270"/>
      <c r="O39" s="268"/>
      <c r="P39" s="271"/>
    </row>
    <row r="40" ht="15.0" customHeight="1">
      <c r="A40" s="268" t="s">
        <v>12</v>
      </c>
      <c r="B40" s="269">
        <v>46027.0</v>
      </c>
      <c r="C40" s="268"/>
      <c r="D40" s="268" t="s">
        <v>336</v>
      </c>
      <c r="E40" s="268" t="s">
        <v>141</v>
      </c>
      <c r="F40" s="268" t="s">
        <v>79</v>
      </c>
      <c r="G40" s="268" t="s">
        <v>80</v>
      </c>
      <c r="H40" s="270">
        <v>225.0</v>
      </c>
      <c r="I40" s="270"/>
      <c r="J40" s="270"/>
      <c r="K40" s="270"/>
      <c r="L40" s="270"/>
      <c r="M40" s="270"/>
      <c r="N40" s="270"/>
      <c r="O40" s="268"/>
      <c r="P40" s="271"/>
    </row>
    <row r="41" ht="15.0" customHeight="1">
      <c r="A41" s="268" t="s">
        <v>12</v>
      </c>
      <c r="B41" s="269">
        <v>46027.0</v>
      </c>
      <c r="C41" s="268"/>
      <c r="D41" s="268" t="s">
        <v>113</v>
      </c>
      <c r="E41" s="268" t="s">
        <v>141</v>
      </c>
      <c r="F41" s="268" t="s">
        <v>79</v>
      </c>
      <c r="G41" s="268" t="s">
        <v>80</v>
      </c>
      <c r="H41" s="270">
        <v>200.0</v>
      </c>
      <c r="I41" s="270"/>
      <c r="J41" s="270"/>
      <c r="K41" s="270"/>
      <c r="L41" s="270"/>
      <c r="M41" s="270"/>
      <c r="N41" s="270"/>
      <c r="O41" s="268"/>
      <c r="P41" s="271"/>
    </row>
    <row r="42" ht="15.0" customHeight="1">
      <c r="A42" s="268" t="s">
        <v>12</v>
      </c>
      <c r="B42" s="269">
        <v>46027.0</v>
      </c>
      <c r="C42" s="268"/>
      <c r="D42" s="268" t="s">
        <v>138</v>
      </c>
      <c r="E42" s="268" t="s">
        <v>141</v>
      </c>
      <c r="F42" s="268" t="s">
        <v>79</v>
      </c>
      <c r="G42" s="268" t="s">
        <v>80</v>
      </c>
      <c r="H42" s="270">
        <v>245.0</v>
      </c>
      <c r="I42" s="270"/>
      <c r="J42" s="270"/>
      <c r="K42" s="270"/>
      <c r="L42" s="270"/>
      <c r="M42" s="270"/>
      <c r="N42" s="270"/>
      <c r="O42" s="268"/>
      <c r="P42" s="271"/>
    </row>
    <row r="43" ht="15.0" customHeight="1">
      <c r="A43" s="268" t="s">
        <v>12</v>
      </c>
      <c r="B43" s="269">
        <v>46027.0</v>
      </c>
      <c r="C43" s="268"/>
      <c r="D43" s="268" t="s">
        <v>118</v>
      </c>
      <c r="E43" s="268" t="s">
        <v>83</v>
      </c>
      <c r="F43" s="268" t="s">
        <v>79</v>
      </c>
      <c r="G43" s="268" t="s">
        <v>80</v>
      </c>
      <c r="H43" s="270">
        <v>170.0</v>
      </c>
      <c r="I43" s="270"/>
      <c r="J43" s="270"/>
      <c r="K43" s="270"/>
      <c r="L43" s="270"/>
      <c r="M43" s="270"/>
      <c r="N43" s="270"/>
      <c r="O43" s="268"/>
      <c r="P43" s="271"/>
    </row>
    <row r="44" ht="15.0" customHeight="1">
      <c r="A44" s="268" t="s">
        <v>12</v>
      </c>
      <c r="B44" s="269">
        <v>46027.0</v>
      </c>
      <c r="C44" s="268"/>
      <c r="D44" s="268" t="s">
        <v>96</v>
      </c>
      <c r="E44" s="268" t="s">
        <v>83</v>
      </c>
      <c r="F44" s="268" t="s">
        <v>79</v>
      </c>
      <c r="G44" s="268" t="s">
        <v>80</v>
      </c>
      <c r="H44" s="270">
        <v>460.0</v>
      </c>
      <c r="I44" s="270"/>
      <c r="J44" s="270"/>
      <c r="K44" s="270"/>
      <c r="L44" s="270"/>
      <c r="M44" s="270"/>
      <c r="N44" s="270"/>
      <c r="O44" s="268"/>
      <c r="P44" s="271"/>
    </row>
    <row r="45" ht="15.0" customHeight="1">
      <c r="A45" s="268" t="s">
        <v>12</v>
      </c>
      <c r="B45" s="269">
        <v>46028.0</v>
      </c>
      <c r="C45" s="268"/>
      <c r="D45" s="268" t="s">
        <v>153</v>
      </c>
      <c r="E45" s="268" t="s">
        <v>141</v>
      </c>
      <c r="F45" s="268" t="s">
        <v>79</v>
      </c>
      <c r="G45" s="268" t="s">
        <v>80</v>
      </c>
      <c r="H45" s="270">
        <v>129.0</v>
      </c>
      <c r="I45" s="270"/>
      <c r="J45" s="270"/>
      <c r="K45" s="270"/>
      <c r="L45" s="270"/>
      <c r="M45" s="270"/>
      <c r="N45" s="270"/>
      <c r="O45" s="268"/>
      <c r="P45" s="271"/>
    </row>
    <row r="46" ht="15.0" customHeight="1">
      <c r="A46" s="268" t="s">
        <v>12</v>
      </c>
      <c r="B46" s="269">
        <v>46028.0</v>
      </c>
      <c r="C46" s="268"/>
      <c r="D46" s="268" t="s">
        <v>126</v>
      </c>
      <c r="E46" s="268" t="s">
        <v>141</v>
      </c>
      <c r="F46" s="268" t="s">
        <v>79</v>
      </c>
      <c r="G46" s="268" t="s">
        <v>80</v>
      </c>
      <c r="H46" s="270">
        <v>210.0</v>
      </c>
      <c r="I46" s="270"/>
      <c r="J46" s="270"/>
      <c r="K46" s="270"/>
      <c r="L46" s="270"/>
      <c r="M46" s="270"/>
      <c r="N46" s="270"/>
      <c r="O46" s="268"/>
      <c r="P46" s="271"/>
    </row>
    <row r="47" ht="15.0" customHeight="1">
      <c r="A47" s="268" t="s">
        <v>12</v>
      </c>
      <c r="B47" s="269">
        <v>46028.0</v>
      </c>
      <c r="C47" s="268"/>
      <c r="D47" s="268" t="s">
        <v>84</v>
      </c>
      <c r="E47" s="268" t="s">
        <v>141</v>
      </c>
      <c r="F47" s="268" t="s">
        <v>79</v>
      </c>
      <c r="G47" s="268" t="s">
        <v>80</v>
      </c>
      <c r="H47" s="270">
        <v>461.0</v>
      </c>
      <c r="I47" s="270"/>
      <c r="J47" s="270"/>
      <c r="K47" s="270"/>
      <c r="L47" s="270"/>
      <c r="M47" s="270"/>
      <c r="N47" s="270"/>
      <c r="O47" s="268"/>
      <c r="P47" s="271"/>
    </row>
    <row r="48" ht="15.0" customHeight="1">
      <c r="A48" s="268" t="s">
        <v>12</v>
      </c>
      <c r="B48" s="269">
        <v>46028.0</v>
      </c>
      <c r="C48" s="268"/>
      <c r="D48" s="268" t="s">
        <v>339</v>
      </c>
      <c r="E48" s="268" t="s">
        <v>141</v>
      </c>
      <c r="F48" s="268" t="s">
        <v>79</v>
      </c>
      <c r="G48" s="268" t="s">
        <v>80</v>
      </c>
      <c r="H48" s="270">
        <v>400.0</v>
      </c>
      <c r="I48" s="270"/>
      <c r="J48" s="270"/>
      <c r="K48" s="270"/>
      <c r="L48" s="270"/>
      <c r="M48" s="270"/>
      <c r="N48" s="270"/>
      <c r="O48" s="268"/>
      <c r="P48" s="271"/>
    </row>
    <row r="49" ht="15.0" customHeight="1">
      <c r="A49" s="268" t="s">
        <v>12</v>
      </c>
      <c r="B49" s="269">
        <v>46028.0</v>
      </c>
      <c r="C49" s="268"/>
      <c r="D49" s="268" t="s">
        <v>103</v>
      </c>
      <c r="E49" s="268" t="s">
        <v>141</v>
      </c>
      <c r="F49" s="268" t="s">
        <v>79</v>
      </c>
      <c r="G49" s="268" t="s">
        <v>80</v>
      </c>
      <c r="H49" s="270">
        <v>158.0</v>
      </c>
      <c r="I49" s="270"/>
      <c r="J49" s="270"/>
      <c r="K49" s="270"/>
      <c r="L49" s="270"/>
      <c r="M49" s="270"/>
      <c r="N49" s="270"/>
      <c r="O49" s="268"/>
      <c r="P49" s="271"/>
    </row>
    <row r="50" ht="15.0" customHeight="1">
      <c r="A50" s="268" t="s">
        <v>12</v>
      </c>
      <c r="B50" s="269">
        <v>46028.0</v>
      </c>
      <c r="C50" s="268"/>
      <c r="D50" s="268" t="s">
        <v>145</v>
      </c>
      <c r="E50" s="268" t="s">
        <v>141</v>
      </c>
      <c r="F50" s="268" t="s">
        <v>79</v>
      </c>
      <c r="G50" s="268" t="s">
        <v>80</v>
      </c>
      <c r="H50" s="270">
        <v>230.0</v>
      </c>
      <c r="I50" s="270"/>
      <c r="J50" s="270"/>
      <c r="K50" s="270"/>
      <c r="L50" s="270"/>
      <c r="M50" s="270"/>
      <c r="N50" s="270"/>
      <c r="O50" s="268"/>
      <c r="P50" s="271"/>
    </row>
    <row r="51" ht="15.0" customHeight="1">
      <c r="A51" s="268" t="s">
        <v>12</v>
      </c>
      <c r="B51" s="269">
        <v>46028.0</v>
      </c>
      <c r="C51" s="268"/>
      <c r="D51" s="268" t="s">
        <v>98</v>
      </c>
      <c r="E51" s="268" t="s">
        <v>141</v>
      </c>
      <c r="F51" s="268" t="s">
        <v>79</v>
      </c>
      <c r="G51" s="268" t="s">
        <v>80</v>
      </c>
      <c r="H51" s="270">
        <v>171.0</v>
      </c>
      <c r="I51" s="270"/>
      <c r="J51" s="270"/>
      <c r="K51" s="270"/>
      <c r="L51" s="270"/>
      <c r="M51" s="270"/>
      <c r="N51" s="270"/>
      <c r="O51" s="268"/>
      <c r="P51" s="271"/>
    </row>
    <row r="52" ht="15.0" customHeight="1">
      <c r="A52" s="268" t="s">
        <v>12</v>
      </c>
      <c r="B52" s="269">
        <v>46028.0</v>
      </c>
      <c r="C52" s="268"/>
      <c r="D52" s="268" t="s">
        <v>101</v>
      </c>
      <c r="E52" s="268" t="s">
        <v>141</v>
      </c>
      <c r="F52" s="268" t="s">
        <v>79</v>
      </c>
      <c r="G52" s="268" t="s">
        <v>80</v>
      </c>
      <c r="H52" s="270">
        <v>235.0</v>
      </c>
      <c r="I52" s="270"/>
      <c r="J52" s="270"/>
      <c r="K52" s="270"/>
      <c r="L52" s="270"/>
      <c r="M52" s="270"/>
      <c r="N52" s="270"/>
      <c r="O52" s="268"/>
      <c r="P52" s="271"/>
    </row>
    <row r="53" ht="15.0" customHeight="1">
      <c r="A53" s="268" t="s">
        <v>12</v>
      </c>
      <c r="B53" s="269">
        <v>46028.0</v>
      </c>
      <c r="C53" s="268"/>
      <c r="D53" s="268" t="s">
        <v>84</v>
      </c>
      <c r="E53" s="268" t="s">
        <v>110</v>
      </c>
      <c r="F53" s="268" t="s">
        <v>79</v>
      </c>
      <c r="G53" s="268" t="s">
        <v>110</v>
      </c>
      <c r="H53" s="270">
        <v>5.0</v>
      </c>
      <c r="I53" s="270"/>
      <c r="J53" s="270"/>
      <c r="K53" s="270"/>
      <c r="L53" s="270"/>
      <c r="M53" s="270"/>
      <c r="N53" s="270"/>
      <c r="O53" s="268"/>
      <c r="P53" s="271"/>
    </row>
    <row r="54" ht="15.0" customHeight="1">
      <c r="A54" s="268" t="s">
        <v>12</v>
      </c>
      <c r="B54" s="269">
        <v>46028.0</v>
      </c>
      <c r="C54" s="268"/>
      <c r="D54" s="268" t="s">
        <v>145</v>
      </c>
      <c r="E54" s="268" t="s">
        <v>110</v>
      </c>
      <c r="F54" s="268" t="s">
        <v>79</v>
      </c>
      <c r="G54" s="268" t="s">
        <v>110</v>
      </c>
      <c r="H54" s="270">
        <v>32.0</v>
      </c>
      <c r="I54" s="270"/>
      <c r="J54" s="270"/>
      <c r="K54" s="270"/>
      <c r="L54" s="270"/>
      <c r="M54" s="270"/>
      <c r="N54" s="270"/>
      <c r="O54" s="268"/>
      <c r="P54" s="271"/>
    </row>
    <row r="55" ht="15.0" customHeight="1">
      <c r="A55" s="268" t="s">
        <v>12</v>
      </c>
      <c r="B55" s="269">
        <v>46028.0</v>
      </c>
      <c r="C55" s="268"/>
      <c r="D55" s="268" t="s">
        <v>145</v>
      </c>
      <c r="E55" s="268" t="s">
        <v>93</v>
      </c>
      <c r="F55" s="268" t="s">
        <v>79</v>
      </c>
      <c r="G55" s="268" t="s">
        <v>93</v>
      </c>
      <c r="H55" s="270">
        <v>3.0</v>
      </c>
      <c r="I55" s="270"/>
      <c r="J55" s="270"/>
      <c r="K55" s="270"/>
      <c r="L55" s="270"/>
      <c r="M55" s="270"/>
      <c r="N55" s="270"/>
      <c r="O55" s="268"/>
      <c r="P55" s="271"/>
    </row>
    <row r="56" ht="15.0" customHeight="1">
      <c r="A56" s="268" t="s">
        <v>12</v>
      </c>
      <c r="B56" s="269">
        <v>46028.0</v>
      </c>
      <c r="C56" s="268"/>
      <c r="D56" s="268" t="s">
        <v>145</v>
      </c>
      <c r="E56" s="268" t="s">
        <v>298</v>
      </c>
      <c r="F56" s="268" t="s">
        <v>79</v>
      </c>
      <c r="G56" s="268" t="s">
        <v>298</v>
      </c>
      <c r="H56" s="270">
        <v>5.0</v>
      </c>
      <c r="I56" s="270"/>
      <c r="J56" s="270"/>
      <c r="K56" s="270"/>
      <c r="L56" s="270"/>
      <c r="M56" s="270"/>
      <c r="N56" s="270"/>
      <c r="O56" s="268"/>
      <c r="P56" s="271"/>
    </row>
    <row r="57" ht="15.0" customHeight="1">
      <c r="A57" s="268" t="s">
        <v>12</v>
      </c>
      <c r="B57" s="269">
        <v>46029.0</v>
      </c>
      <c r="C57" s="268"/>
      <c r="D57" s="268" t="s">
        <v>130</v>
      </c>
      <c r="E57" s="268" t="s">
        <v>141</v>
      </c>
      <c r="F57" s="268" t="s">
        <v>79</v>
      </c>
      <c r="G57" s="268" t="s">
        <v>80</v>
      </c>
      <c r="H57" s="270">
        <v>142.0</v>
      </c>
      <c r="I57" s="270"/>
      <c r="J57" s="270"/>
      <c r="K57" s="270"/>
      <c r="L57" s="270"/>
      <c r="M57" s="270"/>
      <c r="N57" s="270"/>
      <c r="O57" s="268"/>
      <c r="P57" s="271"/>
    </row>
    <row r="58" ht="15.0" customHeight="1">
      <c r="A58" s="268" t="s">
        <v>12</v>
      </c>
      <c r="B58" s="269">
        <v>46029.0</v>
      </c>
      <c r="C58" s="268"/>
      <c r="D58" s="268" t="s">
        <v>88</v>
      </c>
      <c r="E58" s="268" t="s">
        <v>141</v>
      </c>
      <c r="F58" s="268" t="s">
        <v>79</v>
      </c>
      <c r="G58" s="268" t="s">
        <v>80</v>
      </c>
      <c r="H58" s="270">
        <v>480.0</v>
      </c>
      <c r="I58" s="270"/>
      <c r="J58" s="270"/>
      <c r="K58" s="270"/>
      <c r="L58" s="270"/>
      <c r="M58" s="270"/>
      <c r="N58" s="270"/>
      <c r="O58" s="268"/>
      <c r="P58" s="271"/>
    </row>
    <row r="59" ht="15.0" customHeight="1">
      <c r="A59" s="268" t="s">
        <v>12</v>
      </c>
      <c r="B59" s="269">
        <v>46029.0</v>
      </c>
      <c r="C59" s="268"/>
      <c r="D59" s="268" t="s">
        <v>334</v>
      </c>
      <c r="E59" s="268" t="s">
        <v>141</v>
      </c>
      <c r="F59" s="268" t="s">
        <v>79</v>
      </c>
      <c r="G59" s="268" t="s">
        <v>80</v>
      </c>
      <c r="H59" s="270">
        <v>52.0</v>
      </c>
      <c r="I59" s="270"/>
      <c r="J59" s="270"/>
      <c r="K59" s="270"/>
      <c r="L59" s="270"/>
      <c r="M59" s="270"/>
      <c r="N59" s="270"/>
      <c r="O59" s="268"/>
      <c r="P59" s="271"/>
    </row>
    <row r="60" ht="15.0" customHeight="1">
      <c r="A60" s="268" t="s">
        <v>12</v>
      </c>
      <c r="B60" s="269">
        <v>46029.0</v>
      </c>
      <c r="C60" s="268"/>
      <c r="D60" s="268" t="s">
        <v>136</v>
      </c>
      <c r="E60" s="268" t="s">
        <v>141</v>
      </c>
      <c r="F60" s="268" t="s">
        <v>79</v>
      </c>
      <c r="G60" s="268" t="s">
        <v>80</v>
      </c>
      <c r="H60" s="270">
        <v>46.0</v>
      </c>
      <c r="I60" s="270"/>
      <c r="J60" s="270"/>
      <c r="K60" s="270"/>
      <c r="L60" s="270"/>
      <c r="M60" s="270"/>
      <c r="N60" s="270"/>
      <c r="O60" s="268"/>
      <c r="P60" s="271"/>
    </row>
    <row r="61" ht="15.0" customHeight="1">
      <c r="A61" s="268" t="s">
        <v>12</v>
      </c>
      <c r="B61" s="269">
        <v>46029.0</v>
      </c>
      <c r="C61" s="268"/>
      <c r="D61" s="268" t="s">
        <v>336</v>
      </c>
      <c r="E61" s="268" t="s">
        <v>141</v>
      </c>
      <c r="F61" s="268" t="s">
        <v>79</v>
      </c>
      <c r="G61" s="268" t="s">
        <v>80</v>
      </c>
      <c r="H61" s="270">
        <v>220.0</v>
      </c>
      <c r="I61" s="270"/>
      <c r="J61" s="270"/>
      <c r="K61" s="270"/>
      <c r="L61" s="270"/>
      <c r="M61" s="270"/>
      <c r="N61" s="270"/>
      <c r="O61" s="268"/>
      <c r="P61" s="271"/>
    </row>
    <row r="62" ht="15.0" customHeight="1">
      <c r="A62" s="268" t="s">
        <v>12</v>
      </c>
      <c r="B62" s="269">
        <v>46029.0</v>
      </c>
      <c r="C62" s="268"/>
      <c r="D62" s="268" t="s">
        <v>86</v>
      </c>
      <c r="E62" s="268" t="s">
        <v>141</v>
      </c>
      <c r="F62" s="268" t="s">
        <v>79</v>
      </c>
      <c r="G62" s="268" t="s">
        <v>80</v>
      </c>
      <c r="H62" s="270">
        <v>260.0</v>
      </c>
      <c r="I62" s="270"/>
      <c r="J62" s="270"/>
      <c r="K62" s="270"/>
      <c r="L62" s="270"/>
      <c r="M62" s="270"/>
      <c r="N62" s="270"/>
      <c r="O62" s="268"/>
      <c r="P62" s="271"/>
    </row>
    <row r="63" ht="15.0" customHeight="1">
      <c r="A63" s="268" t="s">
        <v>12</v>
      </c>
      <c r="B63" s="269">
        <v>46029.0</v>
      </c>
      <c r="C63" s="268"/>
      <c r="D63" s="268" t="s">
        <v>113</v>
      </c>
      <c r="E63" s="268" t="s">
        <v>141</v>
      </c>
      <c r="F63" s="268" t="s">
        <v>79</v>
      </c>
      <c r="G63" s="268" t="s">
        <v>80</v>
      </c>
      <c r="H63" s="270">
        <v>210.0</v>
      </c>
      <c r="I63" s="270"/>
      <c r="J63" s="270"/>
      <c r="K63" s="270"/>
      <c r="L63" s="270"/>
      <c r="M63" s="270"/>
      <c r="N63" s="270"/>
      <c r="O63" s="268"/>
      <c r="P63" s="271"/>
    </row>
    <row r="64" ht="15.0" customHeight="1">
      <c r="A64" s="268" t="s">
        <v>12</v>
      </c>
      <c r="B64" s="269">
        <v>46029.0</v>
      </c>
      <c r="C64" s="268"/>
      <c r="D64" s="268" t="s">
        <v>97</v>
      </c>
      <c r="E64" s="268" t="s">
        <v>141</v>
      </c>
      <c r="F64" s="268" t="s">
        <v>79</v>
      </c>
      <c r="G64" s="268" t="s">
        <v>80</v>
      </c>
      <c r="H64" s="270">
        <v>157.0</v>
      </c>
      <c r="I64" s="270"/>
      <c r="J64" s="270"/>
      <c r="K64" s="270"/>
      <c r="L64" s="270"/>
      <c r="M64" s="270"/>
      <c r="N64" s="270"/>
      <c r="O64" s="268"/>
      <c r="P64" s="271"/>
    </row>
    <row r="65" ht="15.0" customHeight="1">
      <c r="A65" s="268" t="s">
        <v>12</v>
      </c>
      <c r="B65" s="269">
        <v>46029.0</v>
      </c>
      <c r="C65" s="268"/>
      <c r="D65" s="268" t="s">
        <v>84</v>
      </c>
      <c r="E65" s="268" t="s">
        <v>110</v>
      </c>
      <c r="F65" s="268" t="s">
        <v>79</v>
      </c>
      <c r="G65" s="268" t="s">
        <v>110</v>
      </c>
      <c r="H65" s="270">
        <v>4.0</v>
      </c>
      <c r="I65" s="270"/>
      <c r="J65" s="270"/>
      <c r="K65" s="270"/>
      <c r="L65" s="270"/>
      <c r="M65" s="270"/>
      <c r="N65" s="270"/>
      <c r="O65" s="268"/>
      <c r="P65" s="271"/>
    </row>
    <row r="66" ht="15.0" customHeight="1">
      <c r="A66" s="268" t="s">
        <v>12</v>
      </c>
      <c r="B66" s="269">
        <v>46029.0</v>
      </c>
      <c r="C66" s="268"/>
      <c r="D66" s="268" t="s">
        <v>103</v>
      </c>
      <c r="E66" s="268" t="s">
        <v>110</v>
      </c>
      <c r="F66" s="268" t="s">
        <v>79</v>
      </c>
      <c r="G66" s="268" t="s">
        <v>110</v>
      </c>
      <c r="H66" s="270">
        <v>25.0</v>
      </c>
      <c r="I66" s="270"/>
      <c r="J66" s="270"/>
      <c r="K66" s="270"/>
      <c r="L66" s="270"/>
      <c r="M66" s="270"/>
      <c r="N66" s="270"/>
      <c r="O66" s="268"/>
      <c r="P66" s="271"/>
    </row>
    <row r="67" ht="15.0" customHeight="1">
      <c r="A67" s="268" t="s">
        <v>12</v>
      </c>
      <c r="B67" s="269">
        <v>46030.0</v>
      </c>
      <c r="C67" s="268"/>
      <c r="D67" s="268" t="s">
        <v>82</v>
      </c>
      <c r="E67" s="268" t="s">
        <v>141</v>
      </c>
      <c r="F67" s="268" t="s">
        <v>79</v>
      </c>
      <c r="G67" s="268" t="s">
        <v>80</v>
      </c>
      <c r="H67" s="270">
        <v>372.0</v>
      </c>
      <c r="I67" s="270"/>
      <c r="J67" s="270"/>
      <c r="K67" s="270"/>
      <c r="L67" s="270"/>
      <c r="M67" s="270"/>
      <c r="N67" s="270"/>
      <c r="O67" s="268"/>
      <c r="P67" s="271"/>
    </row>
    <row r="68" ht="15.0" customHeight="1">
      <c r="A68" s="268" t="s">
        <v>12</v>
      </c>
      <c r="B68" s="269">
        <v>46030.0</v>
      </c>
      <c r="C68" s="268"/>
      <c r="D68" s="268" t="s">
        <v>99</v>
      </c>
      <c r="E68" s="268" t="s">
        <v>141</v>
      </c>
      <c r="F68" s="268" t="s">
        <v>79</v>
      </c>
      <c r="G68" s="268" t="s">
        <v>80</v>
      </c>
      <c r="H68" s="270">
        <v>309.0</v>
      </c>
      <c r="I68" s="270"/>
      <c r="J68" s="270"/>
      <c r="K68" s="270"/>
      <c r="L68" s="270"/>
      <c r="M68" s="270"/>
      <c r="N68" s="270"/>
      <c r="O68" s="268"/>
      <c r="P68" s="271"/>
    </row>
    <row r="69" ht="15.0" customHeight="1">
      <c r="A69" s="268" t="s">
        <v>12</v>
      </c>
      <c r="B69" s="269">
        <v>46030.0</v>
      </c>
      <c r="C69" s="268"/>
      <c r="D69" s="268" t="s">
        <v>127</v>
      </c>
      <c r="E69" s="268" t="s">
        <v>141</v>
      </c>
      <c r="F69" s="268" t="s">
        <v>79</v>
      </c>
      <c r="G69" s="268" t="s">
        <v>80</v>
      </c>
      <c r="H69" s="270">
        <v>150.0</v>
      </c>
      <c r="I69" s="270"/>
      <c r="J69" s="270"/>
      <c r="K69" s="270"/>
      <c r="L69" s="270"/>
      <c r="M69" s="270"/>
      <c r="N69" s="270"/>
      <c r="O69" s="268"/>
      <c r="P69" s="271"/>
    </row>
    <row r="70" ht="15.0" customHeight="1">
      <c r="A70" s="268" t="s">
        <v>12</v>
      </c>
      <c r="B70" s="269">
        <v>46030.0</v>
      </c>
      <c r="C70" s="268"/>
      <c r="D70" s="268" t="s">
        <v>102</v>
      </c>
      <c r="E70" s="268" t="s">
        <v>141</v>
      </c>
      <c r="F70" s="268" t="s">
        <v>79</v>
      </c>
      <c r="G70" s="268" t="s">
        <v>80</v>
      </c>
      <c r="H70" s="270">
        <v>200.0</v>
      </c>
      <c r="I70" s="270"/>
      <c r="J70" s="270"/>
      <c r="K70" s="270"/>
      <c r="L70" s="270"/>
      <c r="M70" s="270"/>
      <c r="N70" s="270"/>
      <c r="O70" s="268"/>
      <c r="P70" s="271"/>
    </row>
    <row r="71" ht="15.0" customHeight="1">
      <c r="A71" s="268" t="s">
        <v>12</v>
      </c>
      <c r="B71" s="269">
        <v>46030.0</v>
      </c>
      <c r="C71" s="268"/>
      <c r="D71" s="268" t="s">
        <v>98</v>
      </c>
      <c r="E71" s="268" t="s">
        <v>141</v>
      </c>
      <c r="F71" s="268" t="s">
        <v>79</v>
      </c>
      <c r="G71" s="268" t="s">
        <v>80</v>
      </c>
      <c r="H71" s="270">
        <v>177.0</v>
      </c>
      <c r="I71" s="270"/>
      <c r="J71" s="270"/>
      <c r="K71" s="270"/>
      <c r="L71" s="270"/>
      <c r="M71" s="270"/>
      <c r="N71" s="270"/>
      <c r="O71" s="268"/>
      <c r="P71" s="271"/>
    </row>
    <row r="72" ht="15.0" customHeight="1">
      <c r="A72" s="268" t="s">
        <v>12</v>
      </c>
      <c r="B72" s="269">
        <v>46030.0</v>
      </c>
      <c r="C72" s="268"/>
      <c r="D72" s="268" t="s">
        <v>112</v>
      </c>
      <c r="E72" s="268" t="s">
        <v>141</v>
      </c>
      <c r="F72" s="268" t="s">
        <v>79</v>
      </c>
      <c r="G72" s="268" t="s">
        <v>80</v>
      </c>
      <c r="H72" s="270">
        <v>263.0</v>
      </c>
      <c r="I72" s="270"/>
      <c r="J72" s="270"/>
      <c r="K72" s="270"/>
      <c r="L72" s="270"/>
      <c r="M72" s="270"/>
      <c r="N72" s="270"/>
      <c r="O72" s="268"/>
      <c r="P72" s="271"/>
    </row>
    <row r="73" ht="15.0" customHeight="1">
      <c r="A73" s="268" t="s">
        <v>12</v>
      </c>
      <c r="B73" s="269">
        <v>46030.0</v>
      </c>
      <c r="C73" s="268"/>
      <c r="D73" s="268" t="s">
        <v>138</v>
      </c>
      <c r="E73" s="268" t="s">
        <v>141</v>
      </c>
      <c r="F73" s="268" t="s">
        <v>79</v>
      </c>
      <c r="G73" s="268" t="s">
        <v>80</v>
      </c>
      <c r="H73" s="270">
        <v>242.0</v>
      </c>
      <c r="I73" s="270"/>
      <c r="J73" s="270"/>
      <c r="K73" s="270"/>
      <c r="L73" s="270"/>
      <c r="M73" s="270"/>
      <c r="N73" s="270"/>
      <c r="O73" s="268"/>
      <c r="P73" s="271"/>
    </row>
    <row r="74" ht="15.0" customHeight="1">
      <c r="A74" s="268" t="s">
        <v>12</v>
      </c>
      <c r="B74" s="269">
        <v>46031.0</v>
      </c>
      <c r="C74" s="268"/>
      <c r="D74" s="268" t="s">
        <v>159</v>
      </c>
      <c r="E74" s="268" t="s">
        <v>141</v>
      </c>
      <c r="F74" s="268" t="s">
        <v>79</v>
      </c>
      <c r="G74" s="268" t="s">
        <v>80</v>
      </c>
      <c r="H74" s="270">
        <v>130.0</v>
      </c>
      <c r="I74" s="270"/>
      <c r="J74" s="270"/>
      <c r="K74" s="270"/>
      <c r="L74" s="270"/>
      <c r="M74" s="270"/>
      <c r="N74" s="270"/>
      <c r="O74" s="268"/>
      <c r="P74" s="271"/>
    </row>
    <row r="75" ht="15.0" customHeight="1">
      <c r="A75" s="268" t="s">
        <v>12</v>
      </c>
      <c r="B75" s="269">
        <v>46031.0</v>
      </c>
      <c r="C75" s="268"/>
      <c r="D75" s="268" t="s">
        <v>123</v>
      </c>
      <c r="E75" s="268" t="s">
        <v>141</v>
      </c>
      <c r="F75" s="268" t="s">
        <v>79</v>
      </c>
      <c r="G75" s="268" t="s">
        <v>80</v>
      </c>
      <c r="H75" s="270">
        <v>471.0</v>
      </c>
      <c r="I75" s="270"/>
      <c r="J75" s="270"/>
      <c r="K75" s="270"/>
      <c r="L75" s="270"/>
      <c r="M75" s="270"/>
      <c r="N75" s="270"/>
      <c r="O75" s="268"/>
      <c r="P75" s="271"/>
    </row>
    <row r="76" ht="15.0" customHeight="1">
      <c r="A76" s="268" t="s">
        <v>12</v>
      </c>
      <c r="B76" s="269">
        <v>46031.0</v>
      </c>
      <c r="C76" s="268"/>
      <c r="D76" s="268" t="s">
        <v>77</v>
      </c>
      <c r="E76" s="268" t="s">
        <v>141</v>
      </c>
      <c r="F76" s="268" t="s">
        <v>79</v>
      </c>
      <c r="G76" s="268" t="s">
        <v>80</v>
      </c>
      <c r="H76" s="270">
        <v>480.0</v>
      </c>
      <c r="I76" s="270"/>
      <c r="J76" s="270"/>
      <c r="K76" s="270"/>
      <c r="L76" s="270"/>
      <c r="M76" s="270"/>
      <c r="N76" s="270"/>
      <c r="O76" s="268"/>
      <c r="P76" s="271"/>
    </row>
    <row r="77" ht="15.0" customHeight="1">
      <c r="A77" s="268" t="s">
        <v>12</v>
      </c>
      <c r="B77" s="269">
        <v>46031.0</v>
      </c>
      <c r="C77" s="268"/>
      <c r="D77" s="268" t="s">
        <v>118</v>
      </c>
      <c r="E77" s="268" t="s">
        <v>141</v>
      </c>
      <c r="F77" s="268" t="s">
        <v>79</v>
      </c>
      <c r="G77" s="268" t="s">
        <v>80</v>
      </c>
      <c r="H77" s="270">
        <v>410.0</v>
      </c>
      <c r="I77" s="270"/>
      <c r="J77" s="270"/>
      <c r="K77" s="270"/>
      <c r="L77" s="270"/>
      <c r="M77" s="270"/>
      <c r="N77" s="270"/>
      <c r="O77" s="268"/>
      <c r="P77" s="271"/>
    </row>
    <row r="78" ht="15.0" customHeight="1">
      <c r="A78" s="268" t="s">
        <v>12</v>
      </c>
      <c r="B78" s="269">
        <v>46031.0</v>
      </c>
      <c r="C78" s="268"/>
      <c r="D78" s="268" t="s">
        <v>96</v>
      </c>
      <c r="E78" s="268" t="s">
        <v>141</v>
      </c>
      <c r="F78" s="268" t="s">
        <v>79</v>
      </c>
      <c r="G78" s="268" t="s">
        <v>80</v>
      </c>
      <c r="H78" s="270">
        <v>430.0</v>
      </c>
      <c r="I78" s="270"/>
      <c r="J78" s="270"/>
      <c r="K78" s="270"/>
      <c r="L78" s="270"/>
      <c r="M78" s="270"/>
      <c r="N78" s="270"/>
      <c r="O78" s="268"/>
      <c r="P78" s="271"/>
    </row>
    <row r="79" ht="15.0" customHeight="1">
      <c r="A79" s="268" t="s">
        <v>12</v>
      </c>
      <c r="B79" s="269">
        <v>46031.0</v>
      </c>
      <c r="C79" s="268"/>
      <c r="D79" s="268" t="s">
        <v>117</v>
      </c>
      <c r="E79" s="268" t="s">
        <v>141</v>
      </c>
      <c r="F79" s="268" t="s">
        <v>79</v>
      </c>
      <c r="G79" s="268" t="s">
        <v>80</v>
      </c>
      <c r="H79" s="270">
        <v>148.0</v>
      </c>
      <c r="I79" s="270"/>
      <c r="J79" s="270"/>
      <c r="K79" s="270"/>
      <c r="L79" s="270"/>
      <c r="M79" s="270"/>
      <c r="N79" s="270"/>
      <c r="O79" s="268"/>
      <c r="P79" s="271"/>
    </row>
    <row r="80" ht="15.0" customHeight="1">
      <c r="A80" s="268" t="s">
        <v>12</v>
      </c>
      <c r="B80" s="269">
        <v>46031.0</v>
      </c>
      <c r="C80" s="268"/>
      <c r="D80" s="268" t="s">
        <v>103</v>
      </c>
      <c r="E80" s="268" t="s">
        <v>141</v>
      </c>
      <c r="F80" s="268" t="s">
        <v>79</v>
      </c>
      <c r="G80" s="268" t="s">
        <v>80</v>
      </c>
      <c r="H80" s="270">
        <v>170.0</v>
      </c>
      <c r="I80" s="270"/>
      <c r="J80" s="270"/>
      <c r="K80" s="270"/>
      <c r="L80" s="270"/>
      <c r="M80" s="270"/>
      <c r="N80" s="270"/>
      <c r="O80" s="268"/>
      <c r="P80" s="271"/>
    </row>
    <row r="81" ht="15.0" customHeight="1">
      <c r="A81" s="268" t="s">
        <v>12</v>
      </c>
      <c r="B81" s="269">
        <v>46031.0</v>
      </c>
      <c r="C81" s="268"/>
      <c r="D81" s="268" t="s">
        <v>145</v>
      </c>
      <c r="E81" s="268" t="s">
        <v>141</v>
      </c>
      <c r="F81" s="268" t="s">
        <v>79</v>
      </c>
      <c r="G81" s="268" t="s">
        <v>80</v>
      </c>
      <c r="H81" s="270">
        <v>210.0</v>
      </c>
      <c r="I81" s="270"/>
      <c r="J81" s="270"/>
      <c r="K81" s="270"/>
      <c r="L81" s="270"/>
      <c r="M81" s="270"/>
      <c r="N81" s="270"/>
      <c r="O81" s="268"/>
      <c r="P81" s="271"/>
    </row>
    <row r="82" ht="15.0" customHeight="1">
      <c r="A82" s="268" t="s">
        <v>12</v>
      </c>
      <c r="B82" s="269">
        <v>46031.0</v>
      </c>
      <c r="C82" s="268"/>
      <c r="D82" s="268" t="s">
        <v>87</v>
      </c>
      <c r="E82" s="268" t="s">
        <v>141</v>
      </c>
      <c r="F82" s="268" t="s">
        <v>79</v>
      </c>
      <c r="G82" s="268" t="s">
        <v>80</v>
      </c>
      <c r="H82" s="270">
        <v>242.0</v>
      </c>
      <c r="I82" s="270"/>
      <c r="J82" s="270"/>
      <c r="K82" s="270"/>
      <c r="L82" s="270"/>
      <c r="M82" s="270"/>
      <c r="N82" s="270"/>
      <c r="O82" s="268"/>
      <c r="P82" s="271"/>
    </row>
    <row r="83" ht="15.0" customHeight="1">
      <c r="A83" s="268" t="s">
        <v>12</v>
      </c>
      <c r="B83" s="269">
        <v>46031.0</v>
      </c>
      <c r="C83" s="268"/>
      <c r="D83" s="268" t="s">
        <v>336</v>
      </c>
      <c r="E83" s="268" t="s">
        <v>141</v>
      </c>
      <c r="F83" s="268" t="s">
        <v>79</v>
      </c>
      <c r="G83" s="268" t="s">
        <v>80</v>
      </c>
      <c r="H83" s="270">
        <v>210.0</v>
      </c>
      <c r="I83" s="270"/>
      <c r="J83" s="270"/>
      <c r="K83" s="270"/>
      <c r="L83" s="270"/>
      <c r="M83" s="270"/>
      <c r="N83" s="270"/>
      <c r="O83" s="268"/>
      <c r="P83" s="271"/>
    </row>
    <row r="84" ht="15.0" customHeight="1">
      <c r="A84" s="268" t="s">
        <v>12</v>
      </c>
      <c r="B84" s="269">
        <v>46031.0</v>
      </c>
      <c r="C84" s="268"/>
      <c r="D84" s="268" t="s">
        <v>101</v>
      </c>
      <c r="E84" s="268" t="s">
        <v>141</v>
      </c>
      <c r="F84" s="268" t="s">
        <v>79</v>
      </c>
      <c r="G84" s="268" t="s">
        <v>80</v>
      </c>
      <c r="H84" s="270">
        <v>245.0</v>
      </c>
      <c r="I84" s="270"/>
      <c r="J84" s="270"/>
      <c r="K84" s="270"/>
      <c r="L84" s="270"/>
      <c r="M84" s="270"/>
      <c r="N84" s="270"/>
      <c r="O84" s="268"/>
      <c r="P84" s="271"/>
    </row>
    <row r="85" ht="15.0" customHeight="1">
      <c r="A85" s="268" t="s">
        <v>12</v>
      </c>
      <c r="B85" s="269">
        <v>46031.0</v>
      </c>
      <c r="C85" s="268"/>
      <c r="D85" s="268" t="s">
        <v>117</v>
      </c>
      <c r="E85" s="268" t="s">
        <v>110</v>
      </c>
      <c r="F85" s="268" t="s">
        <v>79</v>
      </c>
      <c r="G85" s="268" t="s">
        <v>110</v>
      </c>
      <c r="H85" s="270">
        <v>5.0</v>
      </c>
      <c r="I85" s="270"/>
      <c r="J85" s="270"/>
      <c r="K85" s="270"/>
      <c r="L85" s="270"/>
      <c r="M85" s="270"/>
      <c r="N85" s="270"/>
      <c r="O85" s="268"/>
      <c r="P85" s="271"/>
    </row>
    <row r="86" ht="15.0" customHeight="1">
      <c r="A86" s="268" t="s">
        <v>12</v>
      </c>
      <c r="B86" s="269">
        <v>46032.0</v>
      </c>
      <c r="C86" s="268"/>
      <c r="D86" s="268" t="s">
        <v>88</v>
      </c>
      <c r="E86" s="268" t="s">
        <v>141</v>
      </c>
      <c r="F86" s="268" t="s">
        <v>79</v>
      </c>
      <c r="G86" s="268" t="s">
        <v>80</v>
      </c>
      <c r="H86" s="270">
        <v>485.0</v>
      </c>
      <c r="I86" s="270"/>
      <c r="J86" s="270"/>
      <c r="K86" s="270"/>
      <c r="L86" s="270"/>
      <c r="M86" s="270"/>
      <c r="N86" s="270"/>
      <c r="O86" s="268"/>
      <c r="P86" s="271"/>
    </row>
    <row r="87" ht="15.0" customHeight="1">
      <c r="A87" s="268" t="s">
        <v>12</v>
      </c>
      <c r="B87" s="269">
        <v>46032.0</v>
      </c>
      <c r="C87" s="268"/>
      <c r="D87" s="268" t="s">
        <v>82</v>
      </c>
      <c r="E87" s="268" t="s">
        <v>141</v>
      </c>
      <c r="F87" s="268" t="s">
        <v>79</v>
      </c>
      <c r="G87" s="268" t="s">
        <v>80</v>
      </c>
      <c r="H87" s="270">
        <v>329.0</v>
      </c>
      <c r="I87" s="270"/>
      <c r="J87" s="270"/>
      <c r="K87" s="270"/>
      <c r="L87" s="270"/>
      <c r="M87" s="270"/>
      <c r="N87" s="270"/>
      <c r="O87" s="268"/>
      <c r="P87" s="271"/>
    </row>
    <row r="88" ht="15.0" customHeight="1">
      <c r="A88" s="268" t="s">
        <v>12</v>
      </c>
      <c r="B88" s="269">
        <v>46032.0</v>
      </c>
      <c r="C88" s="268"/>
      <c r="D88" s="268" t="s">
        <v>334</v>
      </c>
      <c r="E88" s="268" t="s">
        <v>141</v>
      </c>
      <c r="F88" s="268" t="s">
        <v>79</v>
      </c>
      <c r="G88" s="268" t="s">
        <v>80</v>
      </c>
      <c r="H88" s="270">
        <v>398.0</v>
      </c>
      <c r="I88" s="270"/>
      <c r="J88" s="270"/>
      <c r="K88" s="270"/>
      <c r="L88" s="270"/>
      <c r="M88" s="270"/>
      <c r="N88" s="270"/>
      <c r="O88" s="268"/>
      <c r="P88" s="271"/>
    </row>
    <row r="89" ht="15.0" customHeight="1">
      <c r="A89" s="268" t="s">
        <v>12</v>
      </c>
      <c r="B89" s="269">
        <v>46032.0</v>
      </c>
      <c r="C89" s="268"/>
      <c r="D89" s="268" t="s">
        <v>119</v>
      </c>
      <c r="E89" s="268" t="s">
        <v>141</v>
      </c>
      <c r="F89" s="268" t="s">
        <v>79</v>
      </c>
      <c r="G89" s="268" t="s">
        <v>80</v>
      </c>
      <c r="H89" s="270">
        <v>226.0</v>
      </c>
      <c r="I89" s="270"/>
      <c r="J89" s="270"/>
      <c r="K89" s="270"/>
      <c r="L89" s="270"/>
      <c r="M89" s="270"/>
      <c r="N89" s="270"/>
      <c r="O89" s="268"/>
      <c r="P89" s="271"/>
    </row>
    <row r="90" ht="15.0" customHeight="1">
      <c r="A90" s="268" t="s">
        <v>12</v>
      </c>
      <c r="B90" s="269">
        <v>46032.0</v>
      </c>
      <c r="C90" s="268"/>
      <c r="D90" s="268" t="s">
        <v>100</v>
      </c>
      <c r="E90" s="268" t="s">
        <v>141</v>
      </c>
      <c r="F90" s="268" t="s">
        <v>79</v>
      </c>
      <c r="G90" s="268" t="s">
        <v>80</v>
      </c>
      <c r="H90" s="270">
        <v>376.0</v>
      </c>
      <c r="I90" s="270"/>
      <c r="J90" s="270"/>
      <c r="K90" s="270"/>
      <c r="L90" s="270"/>
      <c r="M90" s="270"/>
      <c r="N90" s="270"/>
      <c r="O90" s="268"/>
      <c r="P90" s="271"/>
    </row>
    <row r="91" ht="15.0" customHeight="1">
      <c r="A91" s="268" t="s">
        <v>12</v>
      </c>
      <c r="B91" s="269">
        <v>46032.0</v>
      </c>
      <c r="C91" s="268"/>
      <c r="D91" s="268" t="s">
        <v>337</v>
      </c>
      <c r="E91" s="268" t="s">
        <v>141</v>
      </c>
      <c r="F91" s="268" t="s">
        <v>79</v>
      </c>
      <c r="G91" s="268" t="s">
        <v>80</v>
      </c>
      <c r="H91" s="270">
        <v>415.0</v>
      </c>
      <c r="I91" s="270"/>
      <c r="J91" s="270"/>
      <c r="K91" s="270"/>
      <c r="L91" s="270"/>
      <c r="M91" s="270"/>
      <c r="N91" s="270"/>
      <c r="O91" s="268"/>
      <c r="P91" s="271"/>
    </row>
    <row r="92" ht="15.0" customHeight="1">
      <c r="A92" s="268" t="s">
        <v>12</v>
      </c>
      <c r="B92" s="269">
        <v>46032.0</v>
      </c>
      <c r="C92" s="268"/>
      <c r="D92" s="268" t="s">
        <v>135</v>
      </c>
      <c r="E92" s="268" t="s">
        <v>141</v>
      </c>
      <c r="F92" s="268" t="s">
        <v>79</v>
      </c>
      <c r="G92" s="268" t="s">
        <v>80</v>
      </c>
      <c r="H92" s="270">
        <v>43.0</v>
      </c>
      <c r="I92" s="270"/>
      <c r="J92" s="270"/>
      <c r="K92" s="270"/>
      <c r="L92" s="270"/>
      <c r="M92" s="270"/>
      <c r="N92" s="270"/>
      <c r="O92" s="268"/>
      <c r="P92" s="271"/>
    </row>
    <row r="93" ht="15.0" customHeight="1">
      <c r="A93" s="268" t="s">
        <v>12</v>
      </c>
      <c r="B93" s="269">
        <v>46032.0</v>
      </c>
      <c r="C93" s="268"/>
      <c r="D93" s="268" t="s">
        <v>86</v>
      </c>
      <c r="E93" s="268" t="s">
        <v>141</v>
      </c>
      <c r="F93" s="268" t="s">
        <v>79</v>
      </c>
      <c r="G93" s="268" t="s">
        <v>80</v>
      </c>
      <c r="H93" s="270">
        <v>260.0</v>
      </c>
      <c r="I93" s="270"/>
      <c r="J93" s="270"/>
      <c r="K93" s="270"/>
      <c r="L93" s="270"/>
      <c r="M93" s="270"/>
      <c r="N93" s="270"/>
      <c r="O93" s="268"/>
      <c r="P93" s="271"/>
    </row>
    <row r="94" ht="15.0" customHeight="1">
      <c r="A94" s="268" t="s">
        <v>12</v>
      </c>
      <c r="B94" s="269">
        <v>46032.0</v>
      </c>
      <c r="C94" s="268"/>
      <c r="D94" s="268" t="s">
        <v>113</v>
      </c>
      <c r="E94" s="268" t="s">
        <v>141</v>
      </c>
      <c r="F94" s="268" t="s">
        <v>79</v>
      </c>
      <c r="G94" s="268" t="s">
        <v>80</v>
      </c>
      <c r="H94" s="270">
        <v>237.0</v>
      </c>
      <c r="I94" s="270"/>
      <c r="J94" s="270"/>
      <c r="K94" s="270"/>
      <c r="L94" s="270"/>
      <c r="M94" s="270"/>
      <c r="N94" s="270"/>
      <c r="O94" s="268"/>
      <c r="P94" s="271"/>
    </row>
    <row r="95" ht="15.0" customHeight="1">
      <c r="A95" s="268" t="s">
        <v>12</v>
      </c>
      <c r="B95" s="269">
        <v>46032.0</v>
      </c>
      <c r="C95" s="268"/>
      <c r="D95" s="268" t="s">
        <v>98</v>
      </c>
      <c r="E95" s="268" t="s">
        <v>141</v>
      </c>
      <c r="F95" s="268" t="s">
        <v>79</v>
      </c>
      <c r="G95" s="268" t="s">
        <v>80</v>
      </c>
      <c r="H95" s="270">
        <v>177.0</v>
      </c>
      <c r="I95" s="270"/>
      <c r="J95" s="270"/>
      <c r="K95" s="270"/>
      <c r="L95" s="270"/>
      <c r="M95" s="270"/>
      <c r="N95" s="270"/>
      <c r="O95" s="268"/>
      <c r="P95" s="271"/>
    </row>
    <row r="96" ht="15.0" customHeight="1">
      <c r="A96" s="268" t="s">
        <v>12</v>
      </c>
      <c r="B96" s="269">
        <v>46032.0</v>
      </c>
      <c r="C96" s="268"/>
      <c r="D96" s="268" t="s">
        <v>92</v>
      </c>
      <c r="E96" s="268" t="s">
        <v>110</v>
      </c>
      <c r="F96" s="268" t="s">
        <v>79</v>
      </c>
      <c r="G96" s="268" t="s">
        <v>110</v>
      </c>
      <c r="H96" s="270">
        <v>5.0</v>
      </c>
      <c r="I96" s="270"/>
      <c r="J96" s="270"/>
      <c r="K96" s="270"/>
      <c r="L96" s="270"/>
      <c r="M96" s="270"/>
      <c r="N96" s="270"/>
      <c r="O96" s="268"/>
      <c r="P96" s="271"/>
    </row>
    <row r="97" ht="15.0" customHeight="1">
      <c r="A97" s="268" t="s">
        <v>16</v>
      </c>
      <c r="B97" s="269">
        <v>46032.0</v>
      </c>
      <c r="C97" s="268"/>
      <c r="D97" s="268"/>
      <c r="E97" s="268" t="s">
        <v>83</v>
      </c>
      <c r="F97" s="268" t="s">
        <v>565</v>
      </c>
      <c r="G97" s="268" t="s">
        <v>80</v>
      </c>
      <c r="H97" s="270">
        <v>22335.0</v>
      </c>
      <c r="I97" s="270"/>
      <c r="J97" s="270"/>
      <c r="K97" s="270"/>
      <c r="L97" s="270"/>
      <c r="M97" s="270"/>
      <c r="N97" s="270"/>
      <c r="O97" s="268"/>
      <c r="P97" s="271"/>
    </row>
    <row r="98" ht="15.0" customHeight="1">
      <c r="A98" s="268" t="s">
        <v>12</v>
      </c>
      <c r="B98" s="269">
        <v>46033.0</v>
      </c>
      <c r="C98" s="268"/>
      <c r="D98" s="268" t="s">
        <v>158</v>
      </c>
      <c r="E98" s="268" t="s">
        <v>141</v>
      </c>
      <c r="F98" s="268" t="s">
        <v>79</v>
      </c>
      <c r="G98" s="268" t="s">
        <v>80</v>
      </c>
      <c r="H98" s="270">
        <v>225.0</v>
      </c>
      <c r="I98" s="270"/>
      <c r="J98" s="270"/>
      <c r="K98" s="270"/>
      <c r="L98" s="270"/>
      <c r="M98" s="270"/>
      <c r="N98" s="270"/>
      <c r="O98" s="268"/>
      <c r="P98" s="271"/>
    </row>
    <row r="99" ht="15.0" customHeight="1">
      <c r="A99" s="268" t="s">
        <v>12</v>
      </c>
      <c r="B99" s="269">
        <v>46033.0</v>
      </c>
      <c r="C99" s="268"/>
      <c r="D99" s="268" t="s">
        <v>84</v>
      </c>
      <c r="E99" s="268" t="s">
        <v>141</v>
      </c>
      <c r="F99" s="268" t="s">
        <v>79</v>
      </c>
      <c r="G99" s="268" t="s">
        <v>80</v>
      </c>
      <c r="H99" s="270">
        <v>446.0</v>
      </c>
      <c r="I99" s="270"/>
      <c r="J99" s="270"/>
      <c r="K99" s="270"/>
      <c r="L99" s="270"/>
      <c r="M99" s="270"/>
      <c r="N99" s="270"/>
      <c r="O99" s="268"/>
      <c r="P99" s="271"/>
    </row>
    <row r="100" ht="15.0" customHeight="1">
      <c r="A100" s="268" t="s">
        <v>12</v>
      </c>
      <c r="B100" s="269">
        <v>46033.0</v>
      </c>
      <c r="C100" s="268"/>
      <c r="D100" s="268" t="s">
        <v>99</v>
      </c>
      <c r="E100" s="268" t="s">
        <v>141</v>
      </c>
      <c r="F100" s="268" t="s">
        <v>79</v>
      </c>
      <c r="G100" s="268" t="s">
        <v>80</v>
      </c>
      <c r="H100" s="270">
        <v>290.0</v>
      </c>
      <c r="I100" s="270"/>
      <c r="J100" s="270"/>
      <c r="K100" s="270"/>
      <c r="L100" s="270"/>
      <c r="M100" s="270"/>
      <c r="N100" s="270"/>
      <c r="O100" s="268"/>
      <c r="P100" s="271"/>
    </row>
    <row r="101" ht="15.0" customHeight="1">
      <c r="A101" s="268" t="s">
        <v>12</v>
      </c>
      <c r="B101" s="269">
        <v>46033.0</v>
      </c>
      <c r="C101" s="268"/>
      <c r="D101" s="268" t="s">
        <v>117</v>
      </c>
      <c r="E101" s="268" t="s">
        <v>141</v>
      </c>
      <c r="F101" s="268" t="s">
        <v>79</v>
      </c>
      <c r="G101" s="268" t="s">
        <v>80</v>
      </c>
      <c r="H101" s="270">
        <v>161.0</v>
      </c>
      <c r="I101" s="270"/>
      <c r="J101" s="270"/>
      <c r="K101" s="270"/>
      <c r="L101" s="270"/>
      <c r="M101" s="270"/>
      <c r="N101" s="270"/>
      <c r="O101" s="268"/>
      <c r="P101" s="271"/>
    </row>
    <row r="102" ht="15.0" customHeight="1">
      <c r="A102" s="268" t="s">
        <v>12</v>
      </c>
      <c r="B102" s="269">
        <v>46033.0</v>
      </c>
      <c r="C102" s="268"/>
      <c r="D102" s="268" t="s">
        <v>103</v>
      </c>
      <c r="E102" s="268" t="s">
        <v>141</v>
      </c>
      <c r="F102" s="268" t="s">
        <v>79</v>
      </c>
      <c r="G102" s="268" t="s">
        <v>80</v>
      </c>
      <c r="H102" s="270">
        <v>154.0</v>
      </c>
      <c r="I102" s="270"/>
      <c r="J102" s="270"/>
      <c r="K102" s="270"/>
      <c r="L102" s="270"/>
      <c r="M102" s="270"/>
      <c r="N102" s="270"/>
      <c r="O102" s="268"/>
      <c r="P102" s="271"/>
    </row>
    <row r="103" ht="15.0" customHeight="1">
      <c r="A103" s="268" t="s">
        <v>12</v>
      </c>
      <c r="B103" s="269">
        <v>46033.0</v>
      </c>
      <c r="C103" s="268"/>
      <c r="D103" s="268" t="s">
        <v>92</v>
      </c>
      <c r="E103" s="268" t="s">
        <v>141</v>
      </c>
      <c r="F103" s="268" t="s">
        <v>79</v>
      </c>
      <c r="G103" s="268" t="s">
        <v>80</v>
      </c>
      <c r="H103" s="270">
        <v>210.0</v>
      </c>
      <c r="I103" s="270"/>
      <c r="J103" s="270"/>
      <c r="K103" s="270"/>
      <c r="L103" s="270"/>
      <c r="M103" s="270"/>
      <c r="N103" s="270"/>
      <c r="O103" s="268"/>
      <c r="P103" s="271"/>
    </row>
    <row r="104" ht="15.0" customHeight="1">
      <c r="A104" s="268" t="s">
        <v>12</v>
      </c>
      <c r="B104" s="269">
        <v>46033.0</v>
      </c>
      <c r="C104" s="268"/>
      <c r="D104" s="268" t="s">
        <v>87</v>
      </c>
      <c r="E104" s="268" t="s">
        <v>141</v>
      </c>
      <c r="F104" s="268" t="s">
        <v>79</v>
      </c>
      <c r="G104" s="268" t="s">
        <v>80</v>
      </c>
      <c r="H104" s="270">
        <v>225.0</v>
      </c>
      <c r="I104" s="270"/>
      <c r="J104" s="270"/>
      <c r="K104" s="270"/>
      <c r="L104" s="270"/>
      <c r="M104" s="270"/>
      <c r="N104" s="270"/>
      <c r="O104" s="268"/>
      <c r="P104" s="271"/>
    </row>
    <row r="105" ht="15.0" customHeight="1">
      <c r="A105" s="268" t="s">
        <v>12</v>
      </c>
      <c r="B105" s="269">
        <v>46033.0</v>
      </c>
      <c r="C105" s="268"/>
      <c r="D105" s="268" t="s">
        <v>102</v>
      </c>
      <c r="E105" s="268" t="s">
        <v>141</v>
      </c>
      <c r="F105" s="268" t="s">
        <v>79</v>
      </c>
      <c r="G105" s="268" t="s">
        <v>80</v>
      </c>
      <c r="H105" s="270">
        <v>230.0</v>
      </c>
      <c r="I105" s="270"/>
      <c r="J105" s="270"/>
      <c r="K105" s="270"/>
      <c r="L105" s="270"/>
      <c r="M105" s="270"/>
      <c r="N105" s="270"/>
      <c r="O105" s="268"/>
      <c r="P105" s="271"/>
    </row>
    <row r="106" ht="15.0" customHeight="1">
      <c r="A106" s="268" t="s">
        <v>12</v>
      </c>
      <c r="B106" s="269">
        <v>46033.0</v>
      </c>
      <c r="C106" s="268"/>
      <c r="D106" s="268" t="s">
        <v>112</v>
      </c>
      <c r="E106" s="268" t="s">
        <v>141</v>
      </c>
      <c r="F106" s="268" t="s">
        <v>79</v>
      </c>
      <c r="G106" s="268" t="s">
        <v>80</v>
      </c>
      <c r="H106" s="270">
        <v>254.0</v>
      </c>
      <c r="I106" s="270"/>
      <c r="J106" s="270"/>
      <c r="K106" s="270"/>
      <c r="L106" s="270"/>
      <c r="M106" s="270"/>
      <c r="N106" s="270"/>
      <c r="O106" s="268"/>
      <c r="P106" s="271"/>
    </row>
    <row r="107" ht="15.0" customHeight="1">
      <c r="A107" s="268" t="s">
        <v>12</v>
      </c>
      <c r="B107" s="269">
        <v>46033.0</v>
      </c>
      <c r="C107" s="268"/>
      <c r="D107" s="268" t="s">
        <v>138</v>
      </c>
      <c r="E107" s="268" t="s">
        <v>141</v>
      </c>
      <c r="F107" s="268" t="s">
        <v>79</v>
      </c>
      <c r="G107" s="268" t="s">
        <v>80</v>
      </c>
      <c r="H107" s="270">
        <v>230.0</v>
      </c>
      <c r="I107" s="270"/>
      <c r="J107" s="270"/>
      <c r="K107" s="270"/>
      <c r="L107" s="270"/>
      <c r="M107" s="270"/>
      <c r="N107" s="270"/>
      <c r="O107" s="268"/>
      <c r="P107" s="271"/>
    </row>
    <row r="108" ht="15.0" customHeight="1">
      <c r="A108" s="268" t="s">
        <v>12</v>
      </c>
      <c r="B108" s="269">
        <v>46033.0</v>
      </c>
      <c r="C108" s="268"/>
      <c r="D108" s="268" t="s">
        <v>334</v>
      </c>
      <c r="E108" s="268" t="s">
        <v>110</v>
      </c>
      <c r="F108" s="268" t="s">
        <v>79</v>
      </c>
      <c r="G108" s="268" t="s">
        <v>110</v>
      </c>
      <c r="H108" s="270">
        <v>30.0</v>
      </c>
      <c r="I108" s="270"/>
      <c r="J108" s="270"/>
      <c r="K108" s="270"/>
      <c r="L108" s="270"/>
      <c r="M108" s="270"/>
      <c r="N108" s="270"/>
      <c r="O108" s="268"/>
      <c r="P108" s="271"/>
    </row>
    <row r="109" ht="15.0" customHeight="1">
      <c r="A109" s="268" t="s">
        <v>12</v>
      </c>
      <c r="B109" s="269">
        <v>46034.0</v>
      </c>
      <c r="C109" s="268"/>
      <c r="D109" s="268" t="s">
        <v>130</v>
      </c>
      <c r="E109" s="268" t="s">
        <v>141</v>
      </c>
      <c r="F109" s="268" t="s">
        <v>79</v>
      </c>
      <c r="G109" s="268" t="s">
        <v>80</v>
      </c>
      <c r="H109" s="270">
        <v>207.0</v>
      </c>
      <c r="I109" s="270"/>
      <c r="J109" s="270"/>
      <c r="K109" s="270"/>
      <c r="L109" s="270"/>
      <c r="M109" s="270"/>
      <c r="N109" s="270"/>
      <c r="O109" s="268"/>
      <c r="P109" s="271"/>
    </row>
    <row r="110" ht="15.0" customHeight="1">
      <c r="A110" s="268" t="s">
        <v>12</v>
      </c>
      <c r="B110" s="269">
        <v>46034.0</v>
      </c>
      <c r="C110" s="268"/>
      <c r="D110" s="268" t="s">
        <v>123</v>
      </c>
      <c r="E110" s="268" t="s">
        <v>141</v>
      </c>
      <c r="F110" s="268" t="s">
        <v>79</v>
      </c>
      <c r="G110" s="268" t="s">
        <v>80</v>
      </c>
      <c r="H110" s="270">
        <v>395.0</v>
      </c>
      <c r="I110" s="270"/>
      <c r="J110" s="270"/>
      <c r="K110" s="270"/>
      <c r="L110" s="270"/>
      <c r="M110" s="270"/>
      <c r="N110" s="270"/>
      <c r="O110" s="268"/>
      <c r="P110" s="271"/>
    </row>
    <row r="111" ht="15.0" customHeight="1">
      <c r="A111" s="268" t="s">
        <v>12</v>
      </c>
      <c r="B111" s="269">
        <v>46034.0</v>
      </c>
      <c r="C111" s="268"/>
      <c r="D111" s="268" t="s">
        <v>100</v>
      </c>
      <c r="E111" s="268" t="s">
        <v>141</v>
      </c>
      <c r="F111" s="268" t="s">
        <v>79</v>
      </c>
      <c r="G111" s="268" t="s">
        <v>80</v>
      </c>
      <c r="H111" s="270">
        <v>369.0</v>
      </c>
      <c r="I111" s="270"/>
      <c r="J111" s="270"/>
      <c r="K111" s="270"/>
      <c r="L111" s="270"/>
      <c r="M111" s="270"/>
      <c r="N111" s="270"/>
      <c r="O111" s="268"/>
      <c r="P111" s="271"/>
    </row>
    <row r="112" ht="15.0" customHeight="1">
      <c r="A112" s="268" t="s">
        <v>12</v>
      </c>
      <c r="B112" s="269">
        <v>46034.0</v>
      </c>
      <c r="C112" s="268"/>
      <c r="D112" s="268" t="s">
        <v>337</v>
      </c>
      <c r="E112" s="268" t="s">
        <v>141</v>
      </c>
      <c r="F112" s="268" t="s">
        <v>79</v>
      </c>
      <c r="G112" s="268" t="s">
        <v>80</v>
      </c>
      <c r="H112" s="270">
        <v>340.0</v>
      </c>
      <c r="I112" s="270"/>
      <c r="J112" s="270"/>
      <c r="K112" s="270"/>
      <c r="L112" s="270"/>
      <c r="M112" s="270"/>
      <c r="N112" s="270"/>
      <c r="O112" s="268"/>
      <c r="P112" s="271"/>
    </row>
    <row r="113" ht="15.0" customHeight="1">
      <c r="A113" s="268" t="s">
        <v>12</v>
      </c>
      <c r="B113" s="269">
        <v>46034.0</v>
      </c>
      <c r="C113" s="268"/>
      <c r="D113" s="268" t="s">
        <v>99</v>
      </c>
      <c r="E113" s="268" t="s">
        <v>141</v>
      </c>
      <c r="F113" s="268" t="s">
        <v>79</v>
      </c>
      <c r="G113" s="268" t="s">
        <v>80</v>
      </c>
      <c r="H113" s="270">
        <v>290.0</v>
      </c>
      <c r="I113" s="270"/>
      <c r="J113" s="270"/>
      <c r="K113" s="270"/>
      <c r="L113" s="270"/>
      <c r="M113" s="270"/>
      <c r="N113" s="270"/>
      <c r="O113" s="268"/>
      <c r="P113" s="271"/>
    </row>
    <row r="114" ht="15.0" customHeight="1">
      <c r="A114" s="268" t="s">
        <v>12</v>
      </c>
      <c r="B114" s="269">
        <v>46034.0</v>
      </c>
      <c r="C114" s="268"/>
      <c r="D114" s="268" t="s">
        <v>118</v>
      </c>
      <c r="E114" s="268" t="s">
        <v>141</v>
      </c>
      <c r="F114" s="268" t="s">
        <v>79</v>
      </c>
      <c r="G114" s="268" t="s">
        <v>80</v>
      </c>
      <c r="H114" s="270">
        <v>418.0</v>
      </c>
      <c r="I114" s="270"/>
      <c r="J114" s="270"/>
      <c r="K114" s="270"/>
      <c r="L114" s="270"/>
      <c r="M114" s="270"/>
      <c r="N114" s="270"/>
      <c r="O114" s="268"/>
      <c r="P114" s="271"/>
    </row>
    <row r="115" ht="15.0" customHeight="1">
      <c r="A115" s="268" t="s">
        <v>12</v>
      </c>
      <c r="B115" s="269">
        <v>46034.0</v>
      </c>
      <c r="C115" s="268"/>
      <c r="D115" s="268" t="s">
        <v>96</v>
      </c>
      <c r="E115" s="268" t="s">
        <v>141</v>
      </c>
      <c r="F115" s="268" t="s">
        <v>79</v>
      </c>
      <c r="G115" s="268" t="s">
        <v>80</v>
      </c>
      <c r="H115" s="270">
        <v>387.0</v>
      </c>
      <c r="I115" s="270"/>
      <c r="J115" s="270"/>
      <c r="K115" s="270"/>
      <c r="L115" s="270"/>
      <c r="M115" s="270"/>
      <c r="N115" s="270"/>
      <c r="O115" s="268"/>
      <c r="P115" s="271"/>
    </row>
    <row r="116" ht="15.0" customHeight="1">
      <c r="A116" s="268" t="s">
        <v>12</v>
      </c>
      <c r="B116" s="269">
        <v>46034.0</v>
      </c>
      <c r="C116" s="268"/>
      <c r="D116" s="268" t="s">
        <v>145</v>
      </c>
      <c r="E116" s="268" t="s">
        <v>141</v>
      </c>
      <c r="F116" s="268" t="s">
        <v>79</v>
      </c>
      <c r="G116" s="268" t="s">
        <v>80</v>
      </c>
      <c r="H116" s="270">
        <v>10.0</v>
      </c>
      <c r="I116" s="270"/>
      <c r="J116" s="270"/>
      <c r="K116" s="270"/>
      <c r="L116" s="270"/>
      <c r="M116" s="270"/>
      <c r="N116" s="270"/>
      <c r="O116" s="268"/>
      <c r="P116" s="271"/>
    </row>
    <row r="117" ht="15.0" customHeight="1">
      <c r="A117" s="268" t="s">
        <v>12</v>
      </c>
      <c r="B117" s="269">
        <v>46034.0</v>
      </c>
      <c r="C117" s="268"/>
      <c r="D117" s="268" t="s">
        <v>336</v>
      </c>
      <c r="E117" s="268" t="s">
        <v>141</v>
      </c>
      <c r="F117" s="268" t="s">
        <v>79</v>
      </c>
      <c r="G117" s="268" t="s">
        <v>80</v>
      </c>
      <c r="H117" s="270">
        <v>200.0</v>
      </c>
      <c r="I117" s="270"/>
      <c r="J117" s="270"/>
      <c r="K117" s="270"/>
      <c r="L117" s="270"/>
      <c r="M117" s="270"/>
      <c r="N117" s="270"/>
      <c r="O117" s="268"/>
      <c r="P117" s="271"/>
    </row>
    <row r="118" ht="15.0" customHeight="1">
      <c r="A118" s="268" t="s">
        <v>12</v>
      </c>
      <c r="B118" s="269">
        <v>46034.0</v>
      </c>
      <c r="C118" s="268"/>
      <c r="D118" s="268" t="s">
        <v>86</v>
      </c>
      <c r="E118" s="268" t="s">
        <v>141</v>
      </c>
      <c r="F118" s="268" t="s">
        <v>79</v>
      </c>
      <c r="G118" s="268" t="s">
        <v>80</v>
      </c>
      <c r="H118" s="270">
        <v>235.0</v>
      </c>
      <c r="I118" s="270"/>
      <c r="J118" s="270"/>
      <c r="K118" s="270"/>
      <c r="L118" s="270"/>
      <c r="M118" s="270"/>
      <c r="N118" s="270"/>
      <c r="O118" s="268"/>
      <c r="P118" s="271"/>
    </row>
    <row r="119" ht="15.0" customHeight="1">
      <c r="A119" s="268" t="s">
        <v>12</v>
      </c>
      <c r="B119" s="269">
        <v>46034.0</v>
      </c>
      <c r="C119" s="268"/>
      <c r="D119" s="268" t="s">
        <v>113</v>
      </c>
      <c r="E119" s="268" t="s">
        <v>141</v>
      </c>
      <c r="F119" s="268" t="s">
        <v>79</v>
      </c>
      <c r="G119" s="268" t="s">
        <v>80</v>
      </c>
      <c r="H119" s="270">
        <v>220.0</v>
      </c>
      <c r="I119" s="270"/>
      <c r="J119" s="270"/>
      <c r="K119" s="270"/>
      <c r="L119" s="270"/>
      <c r="M119" s="270"/>
      <c r="N119" s="270"/>
      <c r="O119" s="268"/>
      <c r="P119" s="271"/>
    </row>
    <row r="120" ht="15.0" customHeight="1">
      <c r="A120" s="268" t="s">
        <v>12</v>
      </c>
      <c r="B120" s="269">
        <v>46034.0</v>
      </c>
      <c r="C120" s="268"/>
      <c r="D120" s="268" t="s">
        <v>98</v>
      </c>
      <c r="E120" s="268" t="s">
        <v>141</v>
      </c>
      <c r="F120" s="268" t="s">
        <v>79</v>
      </c>
      <c r="G120" s="268" t="s">
        <v>80</v>
      </c>
      <c r="H120" s="270">
        <v>173.0</v>
      </c>
      <c r="I120" s="270"/>
      <c r="J120" s="270"/>
      <c r="K120" s="270"/>
      <c r="L120" s="270"/>
      <c r="M120" s="270"/>
      <c r="N120" s="270"/>
      <c r="O120" s="268"/>
      <c r="P120" s="271"/>
    </row>
    <row r="121" ht="15.0" customHeight="1">
      <c r="A121" s="268" t="s">
        <v>12</v>
      </c>
      <c r="B121" s="269">
        <v>46034.0</v>
      </c>
      <c r="C121" s="268"/>
      <c r="D121" s="268" t="s">
        <v>101</v>
      </c>
      <c r="E121" s="268" t="s">
        <v>141</v>
      </c>
      <c r="F121" s="268" t="s">
        <v>79</v>
      </c>
      <c r="G121" s="268" t="s">
        <v>80</v>
      </c>
      <c r="H121" s="270">
        <v>230.0</v>
      </c>
      <c r="I121" s="270"/>
      <c r="J121" s="270"/>
      <c r="K121" s="270"/>
      <c r="L121" s="270"/>
      <c r="M121" s="270"/>
      <c r="N121" s="270"/>
      <c r="O121" s="268"/>
      <c r="P121" s="271"/>
    </row>
    <row r="122" ht="15.0" customHeight="1">
      <c r="A122" s="268" t="s">
        <v>12</v>
      </c>
      <c r="B122" s="269">
        <v>46035.0</v>
      </c>
      <c r="C122" s="268"/>
      <c r="D122" s="268" t="s">
        <v>153</v>
      </c>
      <c r="E122" s="268" t="s">
        <v>141</v>
      </c>
      <c r="F122" s="268" t="s">
        <v>79</v>
      </c>
      <c r="G122" s="268" t="s">
        <v>80</v>
      </c>
      <c r="H122" s="270">
        <v>123.0</v>
      </c>
      <c r="I122" s="270"/>
      <c r="J122" s="270"/>
      <c r="K122" s="270"/>
      <c r="L122" s="270"/>
      <c r="M122" s="270"/>
      <c r="N122" s="270"/>
      <c r="O122" s="268"/>
      <c r="P122" s="271"/>
    </row>
    <row r="123" ht="15.0" customHeight="1">
      <c r="A123" s="268" t="s">
        <v>12</v>
      </c>
      <c r="B123" s="269">
        <v>46035.0</v>
      </c>
      <c r="C123" s="268"/>
      <c r="D123" s="268" t="s">
        <v>126</v>
      </c>
      <c r="E123" s="268" t="s">
        <v>141</v>
      </c>
      <c r="F123" s="268" t="s">
        <v>79</v>
      </c>
      <c r="G123" s="268" t="s">
        <v>80</v>
      </c>
      <c r="H123" s="270">
        <v>214.0</v>
      </c>
      <c r="I123" s="270"/>
      <c r="J123" s="270"/>
      <c r="K123" s="270"/>
      <c r="L123" s="270"/>
      <c r="M123" s="270"/>
      <c r="N123" s="270"/>
      <c r="O123" s="268"/>
      <c r="P123" s="271"/>
    </row>
    <row r="124" ht="15.0" customHeight="1">
      <c r="A124" s="268" t="s">
        <v>12</v>
      </c>
      <c r="B124" s="269">
        <v>46035.0</v>
      </c>
      <c r="C124" s="268"/>
      <c r="D124" s="268" t="s">
        <v>82</v>
      </c>
      <c r="E124" s="268" t="s">
        <v>141</v>
      </c>
      <c r="F124" s="268" t="s">
        <v>79</v>
      </c>
      <c r="G124" s="268" t="s">
        <v>80</v>
      </c>
      <c r="H124" s="270">
        <v>71.0</v>
      </c>
      <c r="I124" s="270"/>
      <c r="J124" s="270"/>
      <c r="K124" s="270"/>
      <c r="L124" s="270"/>
      <c r="M124" s="270"/>
      <c r="N124" s="270"/>
      <c r="O124" s="268"/>
      <c r="P124" s="271"/>
    </row>
    <row r="125" ht="15.0" customHeight="1">
      <c r="A125" s="268" t="s">
        <v>12</v>
      </c>
      <c r="B125" s="269">
        <v>46035.0</v>
      </c>
      <c r="C125" s="268"/>
      <c r="D125" s="268" t="s">
        <v>334</v>
      </c>
      <c r="E125" s="268" t="s">
        <v>141</v>
      </c>
      <c r="F125" s="268" t="s">
        <v>79</v>
      </c>
      <c r="G125" s="268" t="s">
        <v>80</v>
      </c>
      <c r="H125" s="270">
        <v>56.0</v>
      </c>
      <c r="I125" s="270"/>
      <c r="J125" s="270"/>
      <c r="K125" s="270"/>
      <c r="L125" s="270"/>
      <c r="M125" s="270"/>
      <c r="N125" s="270"/>
      <c r="O125" s="268"/>
      <c r="P125" s="271"/>
    </row>
    <row r="126" ht="15.0" customHeight="1">
      <c r="A126" s="268" t="s">
        <v>12</v>
      </c>
      <c r="B126" s="269">
        <v>46035.0</v>
      </c>
      <c r="C126" s="268"/>
      <c r="D126" s="268" t="s">
        <v>136</v>
      </c>
      <c r="E126" s="268" t="s">
        <v>141</v>
      </c>
      <c r="F126" s="268" t="s">
        <v>79</v>
      </c>
      <c r="G126" s="268" t="s">
        <v>80</v>
      </c>
      <c r="H126" s="270">
        <v>41.0</v>
      </c>
      <c r="I126" s="270"/>
      <c r="J126" s="270"/>
      <c r="K126" s="270"/>
      <c r="L126" s="270"/>
      <c r="M126" s="270"/>
      <c r="N126" s="270"/>
      <c r="O126" s="268"/>
      <c r="P126" s="271"/>
    </row>
    <row r="127" ht="15.0" customHeight="1">
      <c r="A127" s="268" t="s">
        <v>12</v>
      </c>
      <c r="B127" s="269">
        <v>46035.0</v>
      </c>
      <c r="C127" s="268"/>
      <c r="D127" s="268" t="s">
        <v>82</v>
      </c>
      <c r="E127" s="268" t="s">
        <v>83</v>
      </c>
      <c r="F127" s="268" t="s">
        <v>79</v>
      </c>
      <c r="G127" s="268" t="s">
        <v>80</v>
      </c>
      <c r="H127" s="270">
        <v>291.0</v>
      </c>
      <c r="I127" s="270"/>
      <c r="J127" s="270"/>
      <c r="K127" s="270"/>
      <c r="L127" s="270"/>
      <c r="M127" s="270"/>
      <c r="N127" s="270"/>
      <c r="O127" s="268"/>
      <c r="P127" s="271"/>
    </row>
    <row r="128" ht="15.0" customHeight="1">
      <c r="A128" s="268" t="s">
        <v>12</v>
      </c>
      <c r="B128" s="269">
        <v>46035.0</v>
      </c>
      <c r="C128" s="268"/>
      <c r="D128" s="268" t="s">
        <v>87</v>
      </c>
      <c r="E128" s="268" t="s">
        <v>83</v>
      </c>
      <c r="F128" s="268" t="s">
        <v>79</v>
      </c>
      <c r="G128" s="268" t="s">
        <v>80</v>
      </c>
      <c r="H128" s="270">
        <v>230.0</v>
      </c>
      <c r="I128" s="270"/>
      <c r="J128" s="270"/>
      <c r="K128" s="270"/>
      <c r="L128" s="270"/>
      <c r="M128" s="270"/>
      <c r="N128" s="270"/>
      <c r="O128" s="268"/>
      <c r="P128" s="271"/>
    </row>
    <row r="129" ht="15.0" customHeight="1">
      <c r="A129" s="268" t="s">
        <v>12</v>
      </c>
      <c r="B129" s="269">
        <v>46035.0</v>
      </c>
      <c r="C129" s="268"/>
      <c r="D129" s="268" t="s">
        <v>102</v>
      </c>
      <c r="E129" s="268" t="s">
        <v>83</v>
      </c>
      <c r="F129" s="268" t="s">
        <v>79</v>
      </c>
      <c r="G129" s="268" t="s">
        <v>80</v>
      </c>
      <c r="H129" s="270">
        <v>240.0</v>
      </c>
      <c r="I129" s="270"/>
      <c r="J129" s="270"/>
      <c r="K129" s="270"/>
      <c r="L129" s="270"/>
      <c r="M129" s="270"/>
      <c r="N129" s="270"/>
      <c r="O129" s="268"/>
      <c r="P129" s="271"/>
    </row>
    <row r="130" ht="15.0" customHeight="1">
      <c r="A130" s="268" t="s">
        <v>12</v>
      </c>
      <c r="B130" s="269">
        <v>46035.0</v>
      </c>
      <c r="C130" s="268"/>
      <c r="D130" s="268" t="s">
        <v>138</v>
      </c>
      <c r="E130" s="268" t="s">
        <v>83</v>
      </c>
      <c r="F130" s="268" t="s">
        <v>79</v>
      </c>
      <c r="G130" s="268" t="s">
        <v>80</v>
      </c>
      <c r="H130" s="270">
        <v>200.0</v>
      </c>
      <c r="I130" s="270"/>
      <c r="J130" s="270"/>
      <c r="K130" s="270"/>
      <c r="L130" s="270"/>
      <c r="M130" s="270"/>
      <c r="N130" s="270"/>
      <c r="O130" s="268"/>
      <c r="P130" s="271"/>
    </row>
    <row r="131" ht="15.0" customHeight="1">
      <c r="A131" s="268" t="s">
        <v>12</v>
      </c>
      <c r="B131" s="269">
        <v>46035.0</v>
      </c>
      <c r="C131" s="268"/>
      <c r="D131" s="268" t="s">
        <v>97</v>
      </c>
      <c r="E131" s="268" t="s">
        <v>83</v>
      </c>
      <c r="F131" s="268" t="s">
        <v>79</v>
      </c>
      <c r="G131" s="268" t="s">
        <v>80</v>
      </c>
      <c r="H131" s="270">
        <v>131.0</v>
      </c>
      <c r="I131" s="270"/>
      <c r="J131" s="270"/>
      <c r="K131" s="270"/>
      <c r="L131" s="270"/>
      <c r="M131" s="270"/>
      <c r="N131" s="270"/>
      <c r="O131" s="268"/>
      <c r="P131" s="271"/>
    </row>
    <row r="132" ht="15.0" customHeight="1">
      <c r="A132" s="268" t="s">
        <v>12</v>
      </c>
      <c r="B132" s="269">
        <v>46035.0</v>
      </c>
      <c r="C132" s="268"/>
      <c r="D132" s="268" t="s">
        <v>158</v>
      </c>
      <c r="E132" s="268" t="s">
        <v>110</v>
      </c>
      <c r="F132" s="268" t="s">
        <v>79</v>
      </c>
      <c r="G132" s="268" t="s">
        <v>110</v>
      </c>
      <c r="H132" s="270">
        <v>6.0</v>
      </c>
      <c r="I132" s="270"/>
      <c r="J132" s="270"/>
      <c r="K132" s="270"/>
      <c r="L132" s="270"/>
      <c r="M132" s="270"/>
      <c r="N132" s="270"/>
      <c r="O132" s="268"/>
      <c r="P132" s="271"/>
    </row>
    <row r="133" ht="15.0" customHeight="1">
      <c r="A133" s="268" t="s">
        <v>12</v>
      </c>
      <c r="B133" s="269">
        <v>46035.0</v>
      </c>
      <c r="C133" s="268"/>
      <c r="D133" s="268" t="s">
        <v>96</v>
      </c>
      <c r="E133" s="268" t="s">
        <v>110</v>
      </c>
      <c r="F133" s="268" t="s">
        <v>79</v>
      </c>
      <c r="G133" s="268" t="s">
        <v>110</v>
      </c>
      <c r="H133" s="270">
        <v>32.0</v>
      </c>
      <c r="I133" s="270"/>
      <c r="J133" s="270"/>
      <c r="K133" s="270"/>
      <c r="L133" s="270"/>
      <c r="M133" s="270"/>
      <c r="N133" s="270"/>
      <c r="O133" s="268"/>
      <c r="P133" s="271"/>
    </row>
    <row r="134" ht="15.0" customHeight="1">
      <c r="A134" s="268" t="s">
        <v>12</v>
      </c>
      <c r="B134" s="269">
        <v>46035.0</v>
      </c>
      <c r="C134" s="268"/>
      <c r="D134" s="268" t="s">
        <v>96</v>
      </c>
      <c r="E134" s="268" t="s">
        <v>93</v>
      </c>
      <c r="F134" s="268" t="s">
        <v>79</v>
      </c>
      <c r="G134" s="268" t="s">
        <v>93</v>
      </c>
      <c r="H134" s="270">
        <v>10.0</v>
      </c>
      <c r="I134" s="270"/>
      <c r="J134" s="270"/>
      <c r="K134" s="270"/>
      <c r="L134" s="270"/>
      <c r="M134" s="270"/>
      <c r="N134" s="270"/>
      <c r="O134" s="268"/>
      <c r="P134" s="271"/>
    </row>
    <row r="135" ht="15.0" customHeight="1">
      <c r="A135" s="268" t="s">
        <v>12</v>
      </c>
      <c r="B135" s="269">
        <v>46036.0</v>
      </c>
      <c r="C135" s="268"/>
      <c r="D135" s="268" t="s">
        <v>159</v>
      </c>
      <c r="E135" s="268" t="s">
        <v>83</v>
      </c>
      <c r="F135" s="268" t="s">
        <v>79</v>
      </c>
      <c r="G135" s="268" t="s">
        <v>80</v>
      </c>
      <c r="H135" s="270">
        <v>127.0</v>
      </c>
      <c r="I135" s="270"/>
      <c r="J135" s="270"/>
      <c r="K135" s="270"/>
      <c r="L135" s="270"/>
      <c r="M135" s="270"/>
      <c r="N135" s="270"/>
      <c r="O135" s="268"/>
      <c r="P135" s="271"/>
    </row>
    <row r="136" ht="15.0" customHeight="1">
      <c r="A136" s="268" t="s">
        <v>12</v>
      </c>
      <c r="B136" s="269">
        <v>46036.0</v>
      </c>
      <c r="C136" s="268"/>
      <c r="D136" s="268" t="s">
        <v>84</v>
      </c>
      <c r="E136" s="268" t="s">
        <v>83</v>
      </c>
      <c r="F136" s="268" t="s">
        <v>79</v>
      </c>
      <c r="G136" s="268" t="s">
        <v>80</v>
      </c>
      <c r="H136" s="270">
        <v>49.0</v>
      </c>
      <c r="I136" s="270"/>
      <c r="J136" s="270"/>
      <c r="K136" s="270"/>
      <c r="L136" s="270"/>
      <c r="M136" s="270"/>
      <c r="N136" s="270"/>
      <c r="O136" s="268"/>
      <c r="P136" s="271"/>
    </row>
    <row r="137" ht="15.0" customHeight="1">
      <c r="A137" s="268" t="s">
        <v>12</v>
      </c>
      <c r="B137" s="269">
        <v>46036.0</v>
      </c>
      <c r="C137" s="268"/>
      <c r="D137" s="268" t="s">
        <v>334</v>
      </c>
      <c r="E137" s="268" t="s">
        <v>83</v>
      </c>
      <c r="F137" s="268" t="s">
        <v>79</v>
      </c>
      <c r="G137" s="268" t="s">
        <v>80</v>
      </c>
      <c r="H137" s="270">
        <v>48.0</v>
      </c>
      <c r="I137" s="270"/>
      <c r="J137" s="270"/>
      <c r="K137" s="270"/>
      <c r="L137" s="270"/>
      <c r="M137" s="270"/>
      <c r="N137" s="270"/>
      <c r="O137" s="268"/>
      <c r="P137" s="271"/>
    </row>
    <row r="138" ht="15.0" customHeight="1">
      <c r="A138" s="268" t="s">
        <v>12</v>
      </c>
      <c r="B138" s="269">
        <v>46036.0</v>
      </c>
      <c r="C138" s="268"/>
      <c r="D138" s="268" t="s">
        <v>117</v>
      </c>
      <c r="E138" s="268" t="s">
        <v>83</v>
      </c>
      <c r="F138" s="268" t="s">
        <v>79</v>
      </c>
      <c r="G138" s="268" t="s">
        <v>80</v>
      </c>
      <c r="H138" s="270">
        <v>146.0</v>
      </c>
      <c r="I138" s="270"/>
      <c r="J138" s="270"/>
      <c r="K138" s="270"/>
      <c r="L138" s="270"/>
      <c r="M138" s="270"/>
      <c r="N138" s="270"/>
      <c r="O138" s="268"/>
      <c r="P138" s="271"/>
    </row>
    <row r="139" ht="15.0" customHeight="1">
      <c r="A139" s="268" t="s">
        <v>12</v>
      </c>
      <c r="B139" s="269">
        <v>46036.0</v>
      </c>
      <c r="C139" s="268"/>
      <c r="D139" s="268" t="s">
        <v>103</v>
      </c>
      <c r="E139" s="268" t="s">
        <v>83</v>
      </c>
      <c r="F139" s="268" t="s">
        <v>79</v>
      </c>
      <c r="G139" s="268" t="s">
        <v>80</v>
      </c>
      <c r="H139" s="270">
        <v>159.0</v>
      </c>
      <c r="I139" s="270"/>
      <c r="J139" s="270"/>
      <c r="K139" s="270"/>
      <c r="L139" s="270"/>
      <c r="M139" s="270"/>
      <c r="N139" s="270"/>
      <c r="O139" s="268"/>
      <c r="P139" s="271"/>
    </row>
    <row r="140" ht="15.0" customHeight="1">
      <c r="A140" s="268" t="s">
        <v>12</v>
      </c>
      <c r="B140" s="269">
        <v>46036.0</v>
      </c>
      <c r="C140" s="268"/>
      <c r="D140" s="268" t="s">
        <v>336</v>
      </c>
      <c r="E140" s="268" t="s">
        <v>83</v>
      </c>
      <c r="F140" s="268" t="s">
        <v>79</v>
      </c>
      <c r="G140" s="268" t="s">
        <v>80</v>
      </c>
      <c r="H140" s="270">
        <v>240.0</v>
      </c>
      <c r="I140" s="270"/>
      <c r="J140" s="270"/>
      <c r="K140" s="270"/>
      <c r="L140" s="270"/>
      <c r="M140" s="270"/>
      <c r="N140" s="270"/>
      <c r="O140" s="268"/>
      <c r="P140" s="271"/>
    </row>
    <row r="141" ht="15.0" customHeight="1">
      <c r="A141" s="268" t="s">
        <v>12</v>
      </c>
      <c r="B141" s="269">
        <v>46036.0</v>
      </c>
      <c r="C141" s="268"/>
      <c r="D141" s="268" t="s">
        <v>98</v>
      </c>
      <c r="E141" s="268" t="s">
        <v>83</v>
      </c>
      <c r="F141" s="268" t="s">
        <v>79</v>
      </c>
      <c r="G141" s="268" t="s">
        <v>80</v>
      </c>
      <c r="H141" s="270">
        <v>181.0</v>
      </c>
      <c r="I141" s="270"/>
      <c r="J141" s="270"/>
      <c r="K141" s="270"/>
      <c r="L141" s="270"/>
      <c r="M141" s="270"/>
      <c r="N141" s="270"/>
      <c r="O141" s="268"/>
      <c r="P141" s="271"/>
    </row>
    <row r="142" ht="15.0" customHeight="1">
      <c r="A142" s="268" t="s">
        <v>12</v>
      </c>
      <c r="B142" s="269">
        <v>46036.0</v>
      </c>
      <c r="C142" s="268"/>
      <c r="D142" s="268" t="s">
        <v>112</v>
      </c>
      <c r="E142" s="268" t="s">
        <v>83</v>
      </c>
      <c r="F142" s="268" t="s">
        <v>79</v>
      </c>
      <c r="G142" s="268" t="s">
        <v>80</v>
      </c>
      <c r="H142" s="270">
        <v>240.0</v>
      </c>
      <c r="I142" s="270"/>
      <c r="J142" s="270"/>
      <c r="K142" s="270"/>
      <c r="L142" s="270"/>
      <c r="M142" s="270"/>
      <c r="N142" s="270"/>
      <c r="O142" s="268"/>
      <c r="P142" s="271"/>
    </row>
    <row r="143" ht="15.0" customHeight="1">
      <c r="A143" s="268" t="s">
        <v>12</v>
      </c>
      <c r="B143" s="269">
        <v>46037.0</v>
      </c>
      <c r="C143" s="268"/>
      <c r="D143" s="268" t="s">
        <v>154</v>
      </c>
      <c r="E143" s="268" t="s">
        <v>83</v>
      </c>
      <c r="F143" s="268" t="s">
        <v>79</v>
      </c>
      <c r="G143" s="268" t="s">
        <v>80</v>
      </c>
      <c r="H143" s="270">
        <v>160.0</v>
      </c>
      <c r="I143" s="270"/>
      <c r="J143" s="270"/>
      <c r="K143" s="270"/>
      <c r="L143" s="270"/>
      <c r="M143" s="270"/>
      <c r="N143" s="270"/>
      <c r="O143" s="268"/>
      <c r="P143" s="271"/>
    </row>
    <row r="144" ht="15.0" customHeight="1">
      <c r="A144" s="268" t="s">
        <v>12</v>
      </c>
      <c r="B144" s="269">
        <v>46037.0</v>
      </c>
      <c r="C144" s="268"/>
      <c r="D144" s="268" t="s">
        <v>100</v>
      </c>
      <c r="E144" s="268" t="s">
        <v>83</v>
      </c>
      <c r="F144" s="268" t="s">
        <v>79</v>
      </c>
      <c r="G144" s="268" t="s">
        <v>80</v>
      </c>
      <c r="H144" s="270">
        <v>315.0</v>
      </c>
      <c r="I144" s="270"/>
      <c r="J144" s="270"/>
      <c r="K144" s="270"/>
      <c r="L144" s="270"/>
      <c r="M144" s="270"/>
      <c r="N144" s="270"/>
      <c r="O144" s="268"/>
      <c r="P144" s="271"/>
    </row>
    <row r="145" ht="15.0" customHeight="1">
      <c r="A145" s="268" t="s">
        <v>12</v>
      </c>
      <c r="B145" s="269">
        <v>46037.0</v>
      </c>
      <c r="C145" s="268"/>
      <c r="D145" s="268" t="s">
        <v>337</v>
      </c>
      <c r="E145" s="268" t="s">
        <v>83</v>
      </c>
      <c r="F145" s="268" t="s">
        <v>79</v>
      </c>
      <c r="G145" s="268" t="s">
        <v>80</v>
      </c>
      <c r="H145" s="270">
        <v>350.0</v>
      </c>
      <c r="I145" s="270"/>
      <c r="J145" s="270"/>
      <c r="K145" s="270"/>
      <c r="L145" s="270"/>
      <c r="M145" s="270"/>
      <c r="N145" s="270"/>
      <c r="O145" s="268"/>
      <c r="P145" s="271"/>
    </row>
    <row r="146" ht="15.0" customHeight="1">
      <c r="A146" s="268" t="s">
        <v>12</v>
      </c>
      <c r="B146" s="269">
        <v>46037.0</v>
      </c>
      <c r="C146" s="268"/>
      <c r="D146" s="268" t="s">
        <v>99</v>
      </c>
      <c r="E146" s="268" t="s">
        <v>83</v>
      </c>
      <c r="F146" s="268" t="s">
        <v>79</v>
      </c>
      <c r="G146" s="268" t="s">
        <v>80</v>
      </c>
      <c r="H146" s="270">
        <v>360.0</v>
      </c>
      <c r="I146" s="270"/>
      <c r="J146" s="270"/>
      <c r="K146" s="270"/>
      <c r="L146" s="270"/>
      <c r="M146" s="270"/>
      <c r="N146" s="270"/>
      <c r="O146" s="268"/>
      <c r="P146" s="271"/>
    </row>
    <row r="147" ht="15.0" customHeight="1">
      <c r="A147" s="268" t="s">
        <v>12</v>
      </c>
      <c r="B147" s="269">
        <v>46037.0</v>
      </c>
      <c r="C147" s="268"/>
      <c r="D147" s="268" t="s">
        <v>96</v>
      </c>
      <c r="E147" s="268" t="s">
        <v>83</v>
      </c>
      <c r="F147" s="268" t="s">
        <v>79</v>
      </c>
      <c r="G147" s="268" t="s">
        <v>80</v>
      </c>
      <c r="H147" s="270">
        <v>370.0</v>
      </c>
      <c r="I147" s="270"/>
      <c r="J147" s="270"/>
      <c r="K147" s="270"/>
      <c r="L147" s="270"/>
      <c r="M147" s="270"/>
      <c r="N147" s="270"/>
      <c r="O147" s="268"/>
      <c r="P147" s="271"/>
    </row>
    <row r="148" ht="15.0" customHeight="1">
      <c r="A148" s="268" t="s">
        <v>12</v>
      </c>
      <c r="B148" s="269">
        <v>46037.0</v>
      </c>
      <c r="C148" s="268"/>
      <c r="D148" s="268" t="s">
        <v>145</v>
      </c>
      <c r="E148" s="268" t="s">
        <v>83</v>
      </c>
      <c r="F148" s="268" t="s">
        <v>79</v>
      </c>
      <c r="G148" s="268" t="s">
        <v>80</v>
      </c>
      <c r="H148" s="270">
        <v>220.0</v>
      </c>
      <c r="I148" s="270"/>
      <c r="J148" s="270"/>
      <c r="K148" s="270"/>
      <c r="L148" s="270"/>
      <c r="M148" s="270"/>
      <c r="N148" s="270"/>
      <c r="O148" s="268"/>
      <c r="P148" s="271"/>
    </row>
    <row r="149" ht="15.0" customHeight="1">
      <c r="A149" s="268" t="s">
        <v>12</v>
      </c>
      <c r="B149" s="269">
        <v>46037.0</v>
      </c>
      <c r="C149" s="268"/>
      <c r="D149" s="268" t="s">
        <v>86</v>
      </c>
      <c r="E149" s="268" t="s">
        <v>83</v>
      </c>
      <c r="F149" s="268" t="s">
        <v>79</v>
      </c>
      <c r="G149" s="268" t="s">
        <v>80</v>
      </c>
      <c r="H149" s="270">
        <v>286.0</v>
      </c>
      <c r="I149" s="270"/>
      <c r="J149" s="270"/>
      <c r="K149" s="270"/>
      <c r="L149" s="270"/>
      <c r="M149" s="270"/>
      <c r="N149" s="270"/>
      <c r="O149" s="268"/>
      <c r="P149" s="271"/>
    </row>
    <row r="150" ht="15.0" customHeight="1">
      <c r="A150" s="268" t="s">
        <v>12</v>
      </c>
      <c r="B150" s="269">
        <v>46037.0</v>
      </c>
      <c r="C150" s="268"/>
      <c r="D150" s="268" t="s">
        <v>101</v>
      </c>
      <c r="E150" s="268" t="s">
        <v>83</v>
      </c>
      <c r="F150" s="268" t="s">
        <v>79</v>
      </c>
      <c r="G150" s="268" t="s">
        <v>80</v>
      </c>
      <c r="H150" s="270">
        <v>223.0</v>
      </c>
      <c r="I150" s="270"/>
      <c r="J150" s="270"/>
      <c r="K150" s="270"/>
      <c r="L150" s="270"/>
      <c r="M150" s="270"/>
      <c r="N150" s="270"/>
      <c r="O150" s="268"/>
      <c r="P150" s="271"/>
    </row>
    <row r="151" ht="15.0" customHeight="1">
      <c r="A151" s="268" t="s">
        <v>12</v>
      </c>
      <c r="B151" s="269">
        <v>46037.0</v>
      </c>
      <c r="C151" s="268"/>
      <c r="D151" s="268" t="s">
        <v>84</v>
      </c>
      <c r="E151" s="268" t="s">
        <v>107</v>
      </c>
      <c r="F151" s="268" t="s">
        <v>79</v>
      </c>
      <c r="G151" s="268" t="s">
        <v>107</v>
      </c>
      <c r="H151" s="270">
        <v>26.0</v>
      </c>
      <c r="I151" s="270"/>
      <c r="J151" s="270"/>
      <c r="K151" s="270"/>
      <c r="L151" s="270"/>
      <c r="M151" s="270"/>
      <c r="N151" s="270"/>
      <c r="O151" s="268"/>
      <c r="P151" s="271"/>
    </row>
    <row r="152" ht="15.0" customHeight="1">
      <c r="A152" s="268" t="s">
        <v>12</v>
      </c>
      <c r="B152" s="269">
        <v>46037.0</v>
      </c>
      <c r="C152" s="268"/>
      <c r="D152" s="268" t="s">
        <v>84</v>
      </c>
      <c r="E152" s="268" t="s">
        <v>298</v>
      </c>
      <c r="F152" s="268" t="s">
        <v>79</v>
      </c>
      <c r="G152" s="268" t="s">
        <v>298</v>
      </c>
      <c r="H152" s="270">
        <v>18.0</v>
      </c>
      <c r="I152" s="270"/>
      <c r="J152" s="270"/>
      <c r="K152" s="270"/>
      <c r="L152" s="270"/>
      <c r="M152" s="270"/>
      <c r="N152" s="270"/>
      <c r="O152" s="268"/>
      <c r="P152" s="271"/>
    </row>
    <row r="153" ht="15.0" customHeight="1">
      <c r="A153" s="268" t="s">
        <v>12</v>
      </c>
      <c r="B153" s="269">
        <v>46038.0</v>
      </c>
      <c r="C153" s="268"/>
      <c r="D153" s="268" t="s">
        <v>130</v>
      </c>
      <c r="E153" s="268" t="s">
        <v>83</v>
      </c>
      <c r="F153" s="268" t="s">
        <v>79</v>
      </c>
      <c r="G153" s="268" t="s">
        <v>80</v>
      </c>
      <c r="H153" s="270">
        <v>175.0</v>
      </c>
      <c r="I153" s="270"/>
      <c r="J153" s="270"/>
      <c r="K153" s="270"/>
      <c r="L153" s="270"/>
      <c r="M153" s="270"/>
      <c r="N153" s="270"/>
      <c r="O153" s="268"/>
      <c r="P153" s="271"/>
    </row>
    <row r="154" ht="15.0" customHeight="1">
      <c r="A154" s="268" t="s">
        <v>12</v>
      </c>
      <c r="B154" s="269">
        <v>46038.0</v>
      </c>
      <c r="C154" s="268"/>
      <c r="D154" s="268" t="s">
        <v>88</v>
      </c>
      <c r="E154" s="268" t="s">
        <v>83</v>
      </c>
      <c r="F154" s="268" t="s">
        <v>79</v>
      </c>
      <c r="G154" s="268" t="s">
        <v>80</v>
      </c>
      <c r="H154" s="270">
        <v>450.0</v>
      </c>
      <c r="I154" s="270"/>
      <c r="J154" s="270"/>
      <c r="K154" s="270"/>
      <c r="L154" s="270"/>
      <c r="M154" s="270"/>
      <c r="N154" s="270"/>
      <c r="O154" s="268"/>
      <c r="P154" s="271"/>
    </row>
    <row r="155" ht="15.0" customHeight="1">
      <c r="A155" s="268" t="s">
        <v>12</v>
      </c>
      <c r="B155" s="269">
        <v>46038.0</v>
      </c>
      <c r="C155" s="268"/>
      <c r="D155" s="268" t="s">
        <v>123</v>
      </c>
      <c r="E155" s="268" t="s">
        <v>83</v>
      </c>
      <c r="F155" s="268" t="s">
        <v>79</v>
      </c>
      <c r="G155" s="268" t="s">
        <v>80</v>
      </c>
      <c r="H155" s="270">
        <v>518.0</v>
      </c>
      <c r="I155" s="270"/>
      <c r="J155" s="270"/>
      <c r="K155" s="270"/>
      <c r="L155" s="270"/>
      <c r="M155" s="270"/>
      <c r="N155" s="270"/>
      <c r="O155" s="268"/>
      <c r="P155" s="271"/>
    </row>
    <row r="156" ht="15.0" customHeight="1">
      <c r="A156" s="268" t="s">
        <v>12</v>
      </c>
      <c r="B156" s="269">
        <v>46038.0</v>
      </c>
      <c r="C156" s="268"/>
      <c r="D156" s="268" t="s">
        <v>82</v>
      </c>
      <c r="E156" s="268" t="s">
        <v>83</v>
      </c>
      <c r="F156" s="268" t="s">
        <v>79</v>
      </c>
      <c r="G156" s="268" t="s">
        <v>80</v>
      </c>
      <c r="H156" s="270">
        <v>405.0</v>
      </c>
      <c r="I156" s="270"/>
      <c r="J156" s="270"/>
      <c r="K156" s="270"/>
      <c r="L156" s="270"/>
      <c r="M156" s="270"/>
      <c r="N156" s="270"/>
      <c r="O156" s="268"/>
      <c r="P156" s="271"/>
    </row>
    <row r="157" ht="15.0" customHeight="1">
      <c r="A157" s="268" t="s">
        <v>12</v>
      </c>
      <c r="B157" s="269">
        <v>46038.0</v>
      </c>
      <c r="C157" s="268"/>
      <c r="D157" s="268" t="s">
        <v>334</v>
      </c>
      <c r="E157" s="268" t="s">
        <v>83</v>
      </c>
      <c r="F157" s="268" t="s">
        <v>79</v>
      </c>
      <c r="G157" s="268" t="s">
        <v>80</v>
      </c>
      <c r="H157" s="270">
        <v>353.0</v>
      </c>
      <c r="I157" s="270"/>
      <c r="J157" s="270"/>
      <c r="K157" s="270"/>
      <c r="L157" s="270"/>
      <c r="M157" s="270"/>
      <c r="N157" s="270"/>
      <c r="O157" s="268"/>
      <c r="P157" s="271"/>
    </row>
    <row r="158" ht="15.0" customHeight="1">
      <c r="A158" s="268" t="s">
        <v>12</v>
      </c>
      <c r="B158" s="269">
        <v>46038.0</v>
      </c>
      <c r="C158" s="268"/>
      <c r="D158" s="268" t="s">
        <v>118</v>
      </c>
      <c r="E158" s="268" t="s">
        <v>83</v>
      </c>
      <c r="F158" s="268" t="s">
        <v>79</v>
      </c>
      <c r="G158" s="268" t="s">
        <v>80</v>
      </c>
      <c r="H158" s="270">
        <v>481.0</v>
      </c>
      <c r="I158" s="270"/>
      <c r="J158" s="270"/>
      <c r="K158" s="270"/>
      <c r="L158" s="270"/>
      <c r="M158" s="270"/>
      <c r="N158" s="270"/>
      <c r="O158" s="268"/>
      <c r="P158" s="271"/>
    </row>
    <row r="159" ht="15.0" customHeight="1">
      <c r="A159" s="268" t="s">
        <v>12</v>
      </c>
      <c r="B159" s="269">
        <v>46038.0</v>
      </c>
      <c r="C159" s="268"/>
      <c r="D159" s="268" t="s">
        <v>136</v>
      </c>
      <c r="E159" s="268" t="s">
        <v>83</v>
      </c>
      <c r="F159" s="268" t="s">
        <v>79</v>
      </c>
      <c r="G159" s="268" t="s">
        <v>80</v>
      </c>
      <c r="H159" s="270">
        <v>48.0</v>
      </c>
      <c r="I159" s="270"/>
      <c r="J159" s="270"/>
      <c r="K159" s="270"/>
      <c r="L159" s="270"/>
      <c r="M159" s="270"/>
      <c r="N159" s="270"/>
      <c r="O159" s="268"/>
      <c r="P159" s="271"/>
    </row>
    <row r="160" ht="15.0" customHeight="1">
      <c r="A160" s="268" t="s">
        <v>12</v>
      </c>
      <c r="B160" s="269">
        <v>46038.0</v>
      </c>
      <c r="C160" s="268"/>
      <c r="D160" s="268" t="s">
        <v>127</v>
      </c>
      <c r="E160" s="268" t="s">
        <v>83</v>
      </c>
      <c r="F160" s="268" t="s">
        <v>79</v>
      </c>
      <c r="G160" s="268" t="s">
        <v>80</v>
      </c>
      <c r="H160" s="270">
        <v>165.0</v>
      </c>
      <c r="I160" s="270"/>
      <c r="J160" s="270"/>
      <c r="K160" s="270"/>
      <c r="L160" s="270"/>
      <c r="M160" s="270"/>
      <c r="N160" s="270"/>
      <c r="O160" s="268"/>
      <c r="P160" s="271"/>
    </row>
    <row r="161" ht="15.0" customHeight="1">
      <c r="A161" s="268" t="s">
        <v>12</v>
      </c>
      <c r="B161" s="269">
        <v>46038.0</v>
      </c>
      <c r="C161" s="268"/>
      <c r="D161" s="268" t="s">
        <v>103</v>
      </c>
      <c r="E161" s="268" t="s">
        <v>83</v>
      </c>
      <c r="F161" s="268" t="s">
        <v>79</v>
      </c>
      <c r="G161" s="268" t="s">
        <v>80</v>
      </c>
      <c r="H161" s="270">
        <v>152.0</v>
      </c>
      <c r="I161" s="270"/>
      <c r="J161" s="270"/>
      <c r="K161" s="270"/>
      <c r="L161" s="270"/>
      <c r="M161" s="270"/>
      <c r="N161" s="270"/>
      <c r="O161" s="268"/>
      <c r="P161" s="271"/>
    </row>
    <row r="162" ht="15.0" customHeight="1">
      <c r="A162" s="268" t="s">
        <v>12</v>
      </c>
      <c r="B162" s="269">
        <v>46038.0</v>
      </c>
      <c r="C162" s="268"/>
      <c r="D162" s="268" t="s">
        <v>87</v>
      </c>
      <c r="E162" s="268" t="s">
        <v>83</v>
      </c>
      <c r="F162" s="268" t="s">
        <v>79</v>
      </c>
      <c r="G162" s="268" t="s">
        <v>80</v>
      </c>
      <c r="H162" s="270">
        <v>230.0</v>
      </c>
      <c r="I162" s="270"/>
      <c r="J162" s="270"/>
      <c r="K162" s="270"/>
      <c r="L162" s="270"/>
      <c r="M162" s="270"/>
      <c r="N162" s="270"/>
      <c r="O162" s="268"/>
      <c r="P162" s="271"/>
    </row>
    <row r="163" ht="15.0" customHeight="1">
      <c r="A163" s="268" t="s">
        <v>12</v>
      </c>
      <c r="B163" s="269">
        <v>46038.0</v>
      </c>
      <c r="C163" s="268"/>
      <c r="D163" s="268" t="s">
        <v>102</v>
      </c>
      <c r="E163" s="268" t="s">
        <v>83</v>
      </c>
      <c r="F163" s="268" t="s">
        <v>79</v>
      </c>
      <c r="G163" s="268" t="s">
        <v>80</v>
      </c>
      <c r="H163" s="270">
        <v>240.0</v>
      </c>
      <c r="I163" s="270"/>
      <c r="J163" s="270"/>
      <c r="K163" s="270"/>
      <c r="L163" s="270"/>
      <c r="M163" s="270"/>
      <c r="N163" s="270"/>
      <c r="O163" s="268"/>
      <c r="P163" s="271"/>
    </row>
    <row r="164" ht="15.0" customHeight="1">
      <c r="A164" s="268" t="s">
        <v>12</v>
      </c>
      <c r="B164" s="269">
        <v>46038.0</v>
      </c>
      <c r="C164" s="268"/>
      <c r="D164" s="268" t="s">
        <v>336</v>
      </c>
      <c r="E164" s="268" t="s">
        <v>83</v>
      </c>
      <c r="F164" s="268" t="s">
        <v>79</v>
      </c>
      <c r="G164" s="268" t="s">
        <v>80</v>
      </c>
      <c r="H164" s="270">
        <v>215.0</v>
      </c>
      <c r="I164" s="270"/>
      <c r="J164" s="270"/>
      <c r="K164" s="270"/>
      <c r="L164" s="270"/>
      <c r="M164" s="270"/>
      <c r="N164" s="270"/>
      <c r="O164" s="268"/>
      <c r="P164" s="271"/>
    </row>
    <row r="165" ht="15.0" customHeight="1">
      <c r="A165" s="268" t="s">
        <v>12</v>
      </c>
      <c r="B165" s="269">
        <v>46038.0</v>
      </c>
      <c r="C165" s="268"/>
      <c r="D165" s="268" t="s">
        <v>113</v>
      </c>
      <c r="E165" s="268" t="s">
        <v>83</v>
      </c>
      <c r="F165" s="268" t="s">
        <v>79</v>
      </c>
      <c r="G165" s="268" t="s">
        <v>80</v>
      </c>
      <c r="H165" s="270">
        <v>220.0</v>
      </c>
      <c r="I165" s="270"/>
      <c r="J165" s="270"/>
      <c r="K165" s="270"/>
      <c r="L165" s="270"/>
      <c r="M165" s="270"/>
      <c r="N165" s="270"/>
      <c r="O165" s="268"/>
      <c r="P165" s="271"/>
    </row>
    <row r="166" ht="15.0" customHeight="1">
      <c r="A166" s="268" t="s">
        <v>12</v>
      </c>
      <c r="B166" s="269">
        <v>46038.0</v>
      </c>
      <c r="C166" s="268"/>
      <c r="D166" s="268" t="s">
        <v>98</v>
      </c>
      <c r="E166" s="268" t="s">
        <v>83</v>
      </c>
      <c r="F166" s="268" t="s">
        <v>79</v>
      </c>
      <c r="G166" s="268" t="s">
        <v>80</v>
      </c>
      <c r="H166" s="270">
        <v>195.0</v>
      </c>
      <c r="I166" s="270"/>
      <c r="J166" s="270"/>
      <c r="K166" s="270"/>
      <c r="L166" s="270"/>
      <c r="M166" s="270"/>
      <c r="N166" s="270"/>
      <c r="O166" s="268"/>
      <c r="P166" s="271"/>
    </row>
    <row r="167" ht="15.0" customHeight="1">
      <c r="A167" s="268" t="s">
        <v>12</v>
      </c>
      <c r="B167" s="269">
        <v>46038.0</v>
      </c>
      <c r="C167" s="268"/>
      <c r="D167" s="268" t="s">
        <v>112</v>
      </c>
      <c r="E167" s="268" t="s">
        <v>83</v>
      </c>
      <c r="F167" s="268" t="s">
        <v>79</v>
      </c>
      <c r="G167" s="268" t="s">
        <v>80</v>
      </c>
      <c r="H167" s="270">
        <v>239.0</v>
      </c>
      <c r="I167" s="270"/>
      <c r="J167" s="270"/>
      <c r="K167" s="270"/>
      <c r="L167" s="270"/>
      <c r="M167" s="270"/>
      <c r="N167" s="270"/>
      <c r="O167" s="268"/>
      <c r="P167" s="271"/>
    </row>
    <row r="168" ht="15.0" customHeight="1">
      <c r="A168" s="268" t="s">
        <v>12</v>
      </c>
      <c r="B168" s="269">
        <v>46038.0</v>
      </c>
      <c r="C168" s="268"/>
      <c r="D168" s="268" t="s">
        <v>164</v>
      </c>
      <c r="E168" s="268" t="s">
        <v>110</v>
      </c>
      <c r="F168" s="268" t="s">
        <v>79</v>
      </c>
      <c r="G168" s="268" t="s">
        <v>110</v>
      </c>
      <c r="H168" s="270">
        <v>5.0</v>
      </c>
      <c r="I168" s="270"/>
      <c r="J168" s="270"/>
      <c r="K168" s="270"/>
      <c r="L168" s="270"/>
      <c r="M168" s="270"/>
      <c r="N168" s="270"/>
      <c r="O168" s="268"/>
      <c r="P168" s="271"/>
    </row>
    <row r="169" ht="15.0" customHeight="1">
      <c r="A169" s="268" t="s">
        <v>12</v>
      </c>
      <c r="B169" s="269">
        <v>46038.0</v>
      </c>
      <c r="C169" s="268"/>
      <c r="D169" s="268" t="s">
        <v>130</v>
      </c>
      <c r="E169" s="268" t="s">
        <v>93</v>
      </c>
      <c r="F169" s="268" t="s">
        <v>79</v>
      </c>
      <c r="G169" s="268" t="s">
        <v>93</v>
      </c>
      <c r="H169" s="270">
        <v>10.0</v>
      </c>
      <c r="I169" s="270"/>
      <c r="J169" s="270"/>
      <c r="K169" s="270"/>
      <c r="L169" s="270"/>
      <c r="M169" s="270"/>
      <c r="N169" s="270"/>
      <c r="O169" s="268"/>
      <c r="P169" s="271"/>
    </row>
    <row r="170" ht="15.0" customHeight="1">
      <c r="A170" s="268" t="s">
        <v>12</v>
      </c>
      <c r="B170" s="269">
        <v>46039.0</v>
      </c>
      <c r="C170" s="268"/>
      <c r="D170" s="268" t="s">
        <v>158</v>
      </c>
      <c r="E170" s="268" t="s">
        <v>83</v>
      </c>
      <c r="F170" s="268" t="s">
        <v>79</v>
      </c>
      <c r="G170" s="268" t="s">
        <v>80</v>
      </c>
      <c r="H170" s="270">
        <v>200.0</v>
      </c>
      <c r="I170" s="270"/>
      <c r="J170" s="270"/>
      <c r="K170" s="270"/>
      <c r="L170" s="270"/>
      <c r="M170" s="270"/>
      <c r="N170" s="270"/>
      <c r="O170" s="268"/>
      <c r="P170" s="271"/>
    </row>
    <row r="171" ht="15.0" customHeight="1">
      <c r="A171" s="268" t="s">
        <v>12</v>
      </c>
      <c r="B171" s="269">
        <v>46039.0</v>
      </c>
      <c r="C171" s="268"/>
      <c r="D171" s="268" t="s">
        <v>84</v>
      </c>
      <c r="E171" s="268" t="s">
        <v>83</v>
      </c>
      <c r="F171" s="268" t="s">
        <v>79</v>
      </c>
      <c r="G171" s="268" t="s">
        <v>80</v>
      </c>
      <c r="H171" s="270">
        <v>53.0</v>
      </c>
      <c r="I171" s="270"/>
      <c r="J171" s="270"/>
      <c r="K171" s="270"/>
      <c r="L171" s="270"/>
      <c r="M171" s="270"/>
      <c r="N171" s="270"/>
      <c r="O171" s="268"/>
      <c r="P171" s="271"/>
    </row>
    <row r="172" ht="15.0" customHeight="1">
      <c r="A172" s="268" t="s">
        <v>12</v>
      </c>
      <c r="B172" s="269">
        <v>46039.0</v>
      </c>
      <c r="C172" s="268"/>
      <c r="D172" s="268" t="s">
        <v>117</v>
      </c>
      <c r="E172" s="268" t="s">
        <v>83</v>
      </c>
      <c r="F172" s="268" t="s">
        <v>79</v>
      </c>
      <c r="G172" s="268" t="s">
        <v>80</v>
      </c>
      <c r="H172" s="270">
        <v>159.0</v>
      </c>
      <c r="I172" s="270"/>
      <c r="J172" s="270"/>
      <c r="K172" s="270"/>
      <c r="L172" s="270"/>
      <c r="M172" s="270"/>
      <c r="N172" s="270"/>
      <c r="O172" s="268"/>
      <c r="P172" s="271"/>
    </row>
    <row r="173" ht="15.0" customHeight="1">
      <c r="A173" s="268" t="s">
        <v>12</v>
      </c>
      <c r="B173" s="269">
        <v>46039.0</v>
      </c>
      <c r="C173" s="268"/>
      <c r="D173" s="268" t="s">
        <v>138</v>
      </c>
      <c r="E173" s="268" t="s">
        <v>83</v>
      </c>
      <c r="F173" s="268" t="s">
        <v>79</v>
      </c>
      <c r="G173" s="268" t="s">
        <v>80</v>
      </c>
      <c r="H173" s="270">
        <v>182.0</v>
      </c>
      <c r="I173" s="270"/>
      <c r="J173" s="270"/>
      <c r="K173" s="270"/>
      <c r="L173" s="270"/>
      <c r="M173" s="270"/>
      <c r="N173" s="270"/>
      <c r="O173" s="268"/>
      <c r="P173" s="271"/>
    </row>
    <row r="174" ht="15.0" customHeight="1">
      <c r="A174" s="268" t="s">
        <v>12</v>
      </c>
      <c r="B174" s="269">
        <v>46040.0</v>
      </c>
      <c r="C174" s="268"/>
      <c r="D174" s="268" t="s">
        <v>126</v>
      </c>
      <c r="E174" s="268" t="s">
        <v>83</v>
      </c>
      <c r="F174" s="268" t="s">
        <v>79</v>
      </c>
      <c r="G174" s="268" t="s">
        <v>80</v>
      </c>
      <c r="H174" s="270">
        <v>213.0</v>
      </c>
      <c r="I174" s="270"/>
      <c r="J174" s="270"/>
      <c r="K174" s="270"/>
      <c r="L174" s="270"/>
      <c r="M174" s="270"/>
      <c r="N174" s="270"/>
      <c r="O174" s="268"/>
      <c r="P174" s="271"/>
    </row>
    <row r="175" ht="15.0" customHeight="1">
      <c r="A175" s="268" t="s">
        <v>12</v>
      </c>
      <c r="B175" s="269">
        <v>46040.0</v>
      </c>
      <c r="C175" s="268"/>
      <c r="D175" s="268" t="s">
        <v>84</v>
      </c>
      <c r="E175" s="268" t="s">
        <v>83</v>
      </c>
      <c r="F175" s="268" t="s">
        <v>79</v>
      </c>
      <c r="G175" s="268" t="s">
        <v>80</v>
      </c>
      <c r="H175" s="270">
        <v>430.0</v>
      </c>
      <c r="I175" s="270"/>
      <c r="J175" s="270"/>
      <c r="K175" s="270"/>
      <c r="L175" s="270"/>
      <c r="M175" s="270"/>
      <c r="N175" s="270"/>
      <c r="O175" s="268"/>
      <c r="P175" s="271"/>
    </row>
    <row r="176" ht="15.0" customHeight="1">
      <c r="A176" s="268" t="s">
        <v>12</v>
      </c>
      <c r="B176" s="269">
        <v>46040.0</v>
      </c>
      <c r="C176" s="268"/>
      <c r="D176" s="268" t="s">
        <v>334</v>
      </c>
      <c r="E176" s="268" t="s">
        <v>83</v>
      </c>
      <c r="F176" s="268" t="s">
        <v>79</v>
      </c>
      <c r="G176" s="268" t="s">
        <v>80</v>
      </c>
      <c r="H176" s="270">
        <v>46.0</v>
      </c>
      <c r="I176" s="270"/>
      <c r="J176" s="270"/>
      <c r="K176" s="270"/>
      <c r="L176" s="270"/>
      <c r="M176" s="270"/>
      <c r="N176" s="270"/>
      <c r="O176" s="268"/>
      <c r="P176" s="271"/>
    </row>
    <row r="177" ht="15.0" customHeight="1">
      <c r="A177" s="268" t="s">
        <v>12</v>
      </c>
      <c r="B177" s="269">
        <v>46040.0</v>
      </c>
      <c r="C177" s="268"/>
      <c r="D177" s="268" t="s">
        <v>100</v>
      </c>
      <c r="E177" s="268" t="s">
        <v>83</v>
      </c>
      <c r="F177" s="268" t="s">
        <v>79</v>
      </c>
      <c r="G177" s="268" t="s">
        <v>80</v>
      </c>
      <c r="H177" s="270">
        <v>310.0</v>
      </c>
      <c r="I177" s="270"/>
      <c r="J177" s="270"/>
      <c r="K177" s="270"/>
      <c r="L177" s="270"/>
      <c r="M177" s="270"/>
      <c r="N177" s="270"/>
      <c r="O177" s="268"/>
      <c r="P177" s="271"/>
    </row>
    <row r="178" ht="15.0" customHeight="1">
      <c r="A178" s="268" t="s">
        <v>12</v>
      </c>
      <c r="B178" s="269">
        <v>46040.0</v>
      </c>
      <c r="C178" s="268"/>
      <c r="D178" s="268" t="s">
        <v>99</v>
      </c>
      <c r="E178" s="268" t="s">
        <v>83</v>
      </c>
      <c r="F178" s="268" t="s">
        <v>79</v>
      </c>
      <c r="G178" s="268" t="s">
        <v>80</v>
      </c>
      <c r="H178" s="270">
        <v>330.0</v>
      </c>
      <c r="I178" s="270"/>
      <c r="J178" s="270"/>
      <c r="K178" s="270"/>
      <c r="L178" s="270"/>
      <c r="M178" s="270"/>
      <c r="N178" s="270"/>
      <c r="O178" s="268"/>
      <c r="P178" s="271"/>
    </row>
    <row r="179" ht="15.0" customHeight="1">
      <c r="A179" s="268" t="s">
        <v>12</v>
      </c>
      <c r="B179" s="269">
        <v>46040.0</v>
      </c>
      <c r="C179" s="268"/>
      <c r="D179" s="268" t="s">
        <v>96</v>
      </c>
      <c r="E179" s="268" t="s">
        <v>83</v>
      </c>
      <c r="F179" s="268" t="s">
        <v>79</v>
      </c>
      <c r="G179" s="268" t="s">
        <v>80</v>
      </c>
      <c r="H179" s="270">
        <v>325.0</v>
      </c>
      <c r="I179" s="270"/>
      <c r="J179" s="270"/>
      <c r="K179" s="270"/>
      <c r="L179" s="270"/>
      <c r="M179" s="270"/>
      <c r="N179" s="270"/>
      <c r="O179" s="268"/>
      <c r="P179" s="271"/>
    </row>
    <row r="180" ht="15.0" customHeight="1">
      <c r="A180" s="268" t="s">
        <v>12</v>
      </c>
      <c r="B180" s="269">
        <v>46040.0</v>
      </c>
      <c r="C180" s="268"/>
      <c r="D180" s="268" t="s">
        <v>145</v>
      </c>
      <c r="E180" s="268" t="s">
        <v>83</v>
      </c>
      <c r="F180" s="268" t="s">
        <v>79</v>
      </c>
      <c r="G180" s="268" t="s">
        <v>80</v>
      </c>
      <c r="H180" s="270">
        <v>225.0</v>
      </c>
      <c r="I180" s="270"/>
      <c r="J180" s="270"/>
      <c r="K180" s="270"/>
      <c r="L180" s="270"/>
      <c r="M180" s="270"/>
      <c r="N180" s="270"/>
      <c r="O180" s="268"/>
      <c r="P180" s="271"/>
    </row>
    <row r="181" ht="15.0" customHeight="1">
      <c r="A181" s="268" t="s">
        <v>12</v>
      </c>
      <c r="B181" s="269">
        <v>46040.0</v>
      </c>
      <c r="C181" s="268"/>
      <c r="D181" s="268" t="s">
        <v>87</v>
      </c>
      <c r="E181" s="268" t="s">
        <v>83</v>
      </c>
      <c r="F181" s="268" t="s">
        <v>79</v>
      </c>
      <c r="G181" s="268" t="s">
        <v>80</v>
      </c>
      <c r="H181" s="270">
        <v>220.0</v>
      </c>
      <c r="I181" s="270"/>
      <c r="J181" s="270"/>
      <c r="K181" s="270"/>
      <c r="L181" s="270"/>
      <c r="M181" s="270"/>
      <c r="N181" s="270"/>
      <c r="O181" s="268"/>
      <c r="P181" s="271"/>
    </row>
    <row r="182" ht="15.0" customHeight="1">
      <c r="A182" s="268" t="s">
        <v>12</v>
      </c>
      <c r="B182" s="269">
        <v>46040.0</v>
      </c>
      <c r="C182" s="268"/>
      <c r="D182" s="268" t="s">
        <v>101</v>
      </c>
      <c r="E182" s="268" t="s">
        <v>83</v>
      </c>
      <c r="F182" s="268" t="s">
        <v>79</v>
      </c>
      <c r="G182" s="268" t="s">
        <v>80</v>
      </c>
      <c r="H182" s="270">
        <v>220.0</v>
      </c>
      <c r="I182" s="270"/>
      <c r="J182" s="270"/>
      <c r="K182" s="270"/>
      <c r="L182" s="270"/>
      <c r="M182" s="270"/>
      <c r="N182" s="270"/>
      <c r="O182" s="268"/>
      <c r="P182" s="271"/>
    </row>
    <row r="183" ht="15.0" customHeight="1">
      <c r="A183" s="268" t="s">
        <v>12</v>
      </c>
      <c r="B183" s="269">
        <v>46040.0</v>
      </c>
      <c r="C183" s="268"/>
      <c r="D183" s="268" t="s">
        <v>97</v>
      </c>
      <c r="E183" s="268" t="s">
        <v>83</v>
      </c>
      <c r="F183" s="268" t="s">
        <v>79</v>
      </c>
      <c r="G183" s="268" t="s">
        <v>80</v>
      </c>
      <c r="H183" s="270">
        <v>199.0</v>
      </c>
      <c r="I183" s="270"/>
      <c r="J183" s="270"/>
      <c r="K183" s="270"/>
      <c r="L183" s="270"/>
      <c r="M183" s="270"/>
      <c r="N183" s="270"/>
      <c r="O183" s="268"/>
      <c r="P183" s="271"/>
    </row>
    <row r="184" ht="15.0" customHeight="1">
      <c r="A184" s="268" t="s">
        <v>16</v>
      </c>
      <c r="B184" s="269">
        <v>46040.0</v>
      </c>
      <c r="C184" s="268"/>
      <c r="D184" s="268"/>
      <c r="E184" s="268" t="s">
        <v>163</v>
      </c>
      <c r="F184" s="268" t="s">
        <v>565</v>
      </c>
      <c r="G184" s="268" t="s">
        <v>80</v>
      </c>
      <c r="H184" s="270">
        <v>5664.0</v>
      </c>
      <c r="I184" s="270"/>
      <c r="J184" s="270"/>
      <c r="K184" s="270"/>
      <c r="L184" s="270"/>
      <c r="M184" s="270"/>
      <c r="N184" s="270"/>
      <c r="O184" s="268"/>
      <c r="P184" s="271"/>
    </row>
    <row r="185" ht="15.0" customHeight="1">
      <c r="A185" s="268" t="s">
        <v>12</v>
      </c>
      <c r="B185" s="269">
        <v>46041.0</v>
      </c>
      <c r="C185" s="268"/>
      <c r="D185" s="268" t="s">
        <v>153</v>
      </c>
      <c r="E185" s="268" t="s">
        <v>83</v>
      </c>
      <c r="F185" s="268" t="s">
        <v>79</v>
      </c>
      <c r="G185" s="268" t="s">
        <v>80</v>
      </c>
      <c r="H185" s="270">
        <v>122.0</v>
      </c>
      <c r="I185" s="270"/>
      <c r="J185" s="270"/>
      <c r="K185" s="270"/>
      <c r="L185" s="270"/>
      <c r="M185" s="270"/>
      <c r="N185" s="270"/>
      <c r="O185" s="268"/>
      <c r="P185" s="271"/>
    </row>
    <row r="186" ht="15.0" customHeight="1">
      <c r="A186" s="268" t="s">
        <v>12</v>
      </c>
      <c r="B186" s="269">
        <v>46041.0</v>
      </c>
      <c r="C186" s="268"/>
      <c r="D186" s="268" t="s">
        <v>88</v>
      </c>
      <c r="E186" s="268" t="s">
        <v>83</v>
      </c>
      <c r="F186" s="268" t="s">
        <v>79</v>
      </c>
      <c r="G186" s="268" t="s">
        <v>80</v>
      </c>
      <c r="H186" s="270">
        <v>463.0</v>
      </c>
      <c r="I186" s="270"/>
      <c r="J186" s="270"/>
      <c r="K186" s="270"/>
      <c r="L186" s="270"/>
      <c r="M186" s="270"/>
      <c r="N186" s="270"/>
      <c r="O186" s="268"/>
      <c r="P186" s="271"/>
    </row>
    <row r="187" ht="15.0" customHeight="1">
      <c r="A187" s="268" t="s">
        <v>12</v>
      </c>
      <c r="B187" s="269">
        <v>46041.0</v>
      </c>
      <c r="C187" s="268"/>
      <c r="D187" s="268" t="s">
        <v>77</v>
      </c>
      <c r="E187" s="268" t="s">
        <v>83</v>
      </c>
      <c r="F187" s="268" t="s">
        <v>79</v>
      </c>
      <c r="G187" s="268" t="s">
        <v>80</v>
      </c>
      <c r="H187" s="270">
        <v>452.0</v>
      </c>
      <c r="I187" s="270"/>
      <c r="J187" s="270"/>
      <c r="K187" s="270"/>
      <c r="L187" s="270"/>
      <c r="M187" s="270"/>
      <c r="N187" s="270"/>
      <c r="O187" s="268"/>
      <c r="P187" s="271"/>
    </row>
    <row r="188" ht="15.0" customHeight="1">
      <c r="A188" s="268" t="s">
        <v>12</v>
      </c>
      <c r="B188" s="269">
        <v>46041.0</v>
      </c>
      <c r="C188" s="268"/>
      <c r="D188" s="268" t="s">
        <v>337</v>
      </c>
      <c r="E188" s="268" t="s">
        <v>83</v>
      </c>
      <c r="F188" s="268" t="s">
        <v>79</v>
      </c>
      <c r="G188" s="268" t="s">
        <v>80</v>
      </c>
      <c r="H188" s="270">
        <v>300.0</v>
      </c>
      <c r="I188" s="270"/>
      <c r="J188" s="270"/>
      <c r="K188" s="270"/>
      <c r="L188" s="270"/>
      <c r="M188" s="270"/>
      <c r="N188" s="270"/>
      <c r="O188" s="268"/>
      <c r="P188" s="271"/>
    </row>
    <row r="189" ht="15.0" customHeight="1">
      <c r="A189" s="268" t="s">
        <v>12</v>
      </c>
      <c r="B189" s="269">
        <v>46041.0</v>
      </c>
      <c r="C189" s="268"/>
      <c r="D189" s="268" t="s">
        <v>103</v>
      </c>
      <c r="E189" s="268" t="s">
        <v>83</v>
      </c>
      <c r="F189" s="268" t="s">
        <v>79</v>
      </c>
      <c r="G189" s="268" t="s">
        <v>80</v>
      </c>
      <c r="H189" s="270">
        <v>169.0</v>
      </c>
      <c r="I189" s="270"/>
      <c r="J189" s="270"/>
      <c r="K189" s="270"/>
      <c r="L189" s="270"/>
      <c r="M189" s="270"/>
      <c r="N189" s="270"/>
      <c r="O189" s="268"/>
      <c r="P189" s="271"/>
    </row>
    <row r="190" ht="15.0" customHeight="1">
      <c r="A190" s="268" t="s">
        <v>12</v>
      </c>
      <c r="B190" s="269">
        <v>46041.0</v>
      </c>
      <c r="C190" s="268"/>
      <c r="D190" s="268" t="s">
        <v>86</v>
      </c>
      <c r="E190" s="268" t="s">
        <v>83</v>
      </c>
      <c r="F190" s="268" t="s">
        <v>79</v>
      </c>
      <c r="G190" s="268" t="s">
        <v>80</v>
      </c>
      <c r="H190" s="270">
        <v>256.0</v>
      </c>
      <c r="I190" s="270"/>
      <c r="J190" s="270"/>
      <c r="K190" s="270"/>
      <c r="L190" s="270"/>
      <c r="M190" s="270"/>
      <c r="N190" s="270"/>
      <c r="O190" s="268"/>
      <c r="P190" s="271"/>
    </row>
    <row r="191" ht="15.0" customHeight="1">
      <c r="A191" s="268" t="s">
        <v>12</v>
      </c>
      <c r="B191" s="269">
        <v>46041.0</v>
      </c>
      <c r="C191" s="268"/>
      <c r="D191" s="268" t="s">
        <v>113</v>
      </c>
      <c r="E191" s="268" t="s">
        <v>83</v>
      </c>
      <c r="F191" s="268" t="s">
        <v>79</v>
      </c>
      <c r="G191" s="268" t="s">
        <v>80</v>
      </c>
      <c r="H191" s="270">
        <v>205.0</v>
      </c>
      <c r="I191" s="270"/>
      <c r="J191" s="270"/>
      <c r="K191" s="270"/>
      <c r="L191" s="270"/>
      <c r="M191" s="270"/>
      <c r="N191" s="270"/>
      <c r="O191" s="268"/>
      <c r="P191" s="271"/>
    </row>
    <row r="192" ht="15.0" customHeight="1">
      <c r="A192" s="268" t="s">
        <v>12</v>
      </c>
      <c r="B192" s="269">
        <v>46041.0</v>
      </c>
      <c r="C192" s="268"/>
      <c r="D192" s="268" t="s">
        <v>98</v>
      </c>
      <c r="E192" s="268" t="s">
        <v>83</v>
      </c>
      <c r="F192" s="268" t="s">
        <v>79</v>
      </c>
      <c r="G192" s="268" t="s">
        <v>80</v>
      </c>
      <c r="H192" s="270">
        <v>185.0</v>
      </c>
      <c r="I192" s="270"/>
      <c r="J192" s="270"/>
      <c r="K192" s="270"/>
      <c r="L192" s="270"/>
      <c r="M192" s="270"/>
      <c r="N192" s="270"/>
      <c r="O192" s="268"/>
      <c r="P192" s="271"/>
    </row>
    <row r="193" ht="15.0" customHeight="1">
      <c r="A193" s="268" t="s">
        <v>12</v>
      </c>
      <c r="B193" s="269">
        <v>46041.0</v>
      </c>
      <c r="C193" s="268"/>
      <c r="D193" s="268" t="s">
        <v>112</v>
      </c>
      <c r="E193" s="268" t="s">
        <v>83</v>
      </c>
      <c r="F193" s="268" t="s">
        <v>79</v>
      </c>
      <c r="G193" s="268" t="s">
        <v>80</v>
      </c>
      <c r="H193" s="270">
        <v>223.0</v>
      </c>
      <c r="I193" s="270"/>
      <c r="J193" s="270"/>
      <c r="K193" s="270"/>
      <c r="L193" s="270"/>
      <c r="M193" s="270"/>
      <c r="N193" s="270"/>
      <c r="O193" s="268"/>
      <c r="P193" s="271"/>
    </row>
    <row r="194" ht="15.0" customHeight="1">
      <c r="A194" s="268" t="s">
        <v>12</v>
      </c>
      <c r="B194" s="269">
        <v>46041.0</v>
      </c>
      <c r="C194" s="268"/>
      <c r="D194" s="268" t="s">
        <v>138</v>
      </c>
      <c r="E194" s="268" t="s">
        <v>83</v>
      </c>
      <c r="F194" s="268" t="s">
        <v>79</v>
      </c>
      <c r="G194" s="268" t="s">
        <v>80</v>
      </c>
      <c r="H194" s="270">
        <v>240.0</v>
      </c>
      <c r="I194" s="270"/>
      <c r="J194" s="270"/>
      <c r="K194" s="270"/>
      <c r="L194" s="270"/>
      <c r="M194" s="270"/>
      <c r="N194" s="270"/>
      <c r="O194" s="268"/>
      <c r="P194" s="271"/>
    </row>
    <row r="195" ht="15.0" customHeight="1">
      <c r="A195" s="268" t="s">
        <v>12</v>
      </c>
      <c r="B195" s="269">
        <v>46042.0</v>
      </c>
      <c r="C195" s="268"/>
      <c r="D195" s="268" t="s">
        <v>154</v>
      </c>
      <c r="E195" s="268" t="s">
        <v>83</v>
      </c>
      <c r="F195" s="268" t="s">
        <v>79</v>
      </c>
      <c r="G195" s="268" t="s">
        <v>80</v>
      </c>
      <c r="H195" s="270">
        <v>150.0</v>
      </c>
      <c r="I195" s="270"/>
      <c r="J195" s="270"/>
      <c r="K195" s="270"/>
      <c r="L195" s="270"/>
      <c r="M195" s="270"/>
      <c r="N195" s="270"/>
      <c r="O195" s="268"/>
      <c r="P195" s="271"/>
    </row>
    <row r="196" ht="15.0" customHeight="1">
      <c r="A196" s="268" t="s">
        <v>12</v>
      </c>
      <c r="B196" s="269">
        <v>46042.0</v>
      </c>
      <c r="C196" s="268"/>
      <c r="D196" s="268" t="s">
        <v>159</v>
      </c>
      <c r="E196" s="268" t="s">
        <v>83</v>
      </c>
      <c r="F196" s="268" t="s">
        <v>79</v>
      </c>
      <c r="G196" s="268" t="s">
        <v>80</v>
      </c>
      <c r="H196" s="270">
        <v>125.0</v>
      </c>
      <c r="I196" s="270"/>
      <c r="J196" s="270"/>
      <c r="K196" s="270"/>
      <c r="L196" s="270"/>
      <c r="M196" s="270"/>
      <c r="N196" s="270"/>
      <c r="O196" s="268"/>
      <c r="P196" s="271"/>
    </row>
    <row r="197" ht="15.0" customHeight="1">
      <c r="A197" s="268" t="s">
        <v>12</v>
      </c>
      <c r="B197" s="269">
        <v>46042.0</v>
      </c>
      <c r="C197" s="268"/>
      <c r="D197" s="268" t="s">
        <v>123</v>
      </c>
      <c r="E197" s="268" t="s">
        <v>83</v>
      </c>
      <c r="F197" s="268" t="s">
        <v>79</v>
      </c>
      <c r="G197" s="268" t="s">
        <v>80</v>
      </c>
      <c r="H197" s="270">
        <v>325.0</v>
      </c>
      <c r="I197" s="270"/>
      <c r="J197" s="270"/>
      <c r="K197" s="270"/>
      <c r="L197" s="270"/>
      <c r="M197" s="270"/>
      <c r="N197" s="270"/>
      <c r="O197" s="268"/>
      <c r="P197" s="271"/>
    </row>
    <row r="198" ht="15.0" customHeight="1">
      <c r="A198" s="268" t="s">
        <v>12</v>
      </c>
      <c r="B198" s="269">
        <v>46042.0</v>
      </c>
      <c r="C198" s="268"/>
      <c r="D198" s="268" t="s">
        <v>77</v>
      </c>
      <c r="E198" s="268" t="s">
        <v>83</v>
      </c>
      <c r="F198" s="268" t="s">
        <v>79</v>
      </c>
      <c r="G198" s="268" t="s">
        <v>80</v>
      </c>
      <c r="H198" s="270">
        <v>10.0</v>
      </c>
      <c r="I198" s="270"/>
      <c r="J198" s="270"/>
      <c r="K198" s="270"/>
      <c r="L198" s="270"/>
      <c r="M198" s="270"/>
      <c r="N198" s="270"/>
      <c r="O198" s="268"/>
      <c r="P198" s="271"/>
    </row>
    <row r="199" ht="15.0" customHeight="1">
      <c r="A199" s="268" t="s">
        <v>12</v>
      </c>
      <c r="B199" s="269">
        <v>46042.0</v>
      </c>
      <c r="C199" s="268"/>
      <c r="D199" s="268" t="s">
        <v>84</v>
      </c>
      <c r="E199" s="268" t="s">
        <v>83</v>
      </c>
      <c r="F199" s="268" t="s">
        <v>79</v>
      </c>
      <c r="G199" s="268" t="s">
        <v>80</v>
      </c>
      <c r="H199" s="270">
        <v>53.0</v>
      </c>
      <c r="I199" s="270"/>
      <c r="J199" s="270"/>
      <c r="K199" s="270"/>
      <c r="L199" s="270"/>
      <c r="M199" s="270"/>
      <c r="N199" s="270"/>
      <c r="O199" s="268"/>
      <c r="P199" s="271"/>
    </row>
    <row r="200" ht="15.0" customHeight="1">
      <c r="A200" s="268" t="s">
        <v>12</v>
      </c>
      <c r="B200" s="269">
        <v>46042.0</v>
      </c>
      <c r="C200" s="268"/>
      <c r="D200" s="268" t="s">
        <v>334</v>
      </c>
      <c r="E200" s="268" t="s">
        <v>83</v>
      </c>
      <c r="F200" s="268" t="s">
        <v>79</v>
      </c>
      <c r="G200" s="268" t="s">
        <v>80</v>
      </c>
      <c r="H200" s="270">
        <v>51.0</v>
      </c>
      <c r="I200" s="270"/>
      <c r="J200" s="270"/>
      <c r="K200" s="270"/>
      <c r="L200" s="270"/>
      <c r="M200" s="270"/>
      <c r="N200" s="270"/>
      <c r="O200" s="268"/>
      <c r="P200" s="271"/>
    </row>
    <row r="201" ht="15.0" customHeight="1">
      <c r="A201" s="268" t="s">
        <v>12</v>
      </c>
      <c r="B201" s="269">
        <v>46042.0</v>
      </c>
      <c r="C201" s="268"/>
      <c r="D201" s="268" t="s">
        <v>127</v>
      </c>
      <c r="E201" s="268" t="s">
        <v>83</v>
      </c>
      <c r="F201" s="268" t="s">
        <v>79</v>
      </c>
      <c r="G201" s="268" t="s">
        <v>80</v>
      </c>
      <c r="H201" s="270">
        <v>200.0</v>
      </c>
      <c r="I201" s="270"/>
      <c r="J201" s="270"/>
      <c r="K201" s="270"/>
      <c r="L201" s="270"/>
      <c r="M201" s="270"/>
      <c r="N201" s="270"/>
      <c r="O201" s="268"/>
      <c r="P201" s="271"/>
    </row>
    <row r="202" ht="15.0" customHeight="1">
      <c r="A202" s="268" t="s">
        <v>12</v>
      </c>
      <c r="B202" s="269">
        <v>46042.0</v>
      </c>
      <c r="C202" s="268"/>
      <c r="D202" s="268" t="s">
        <v>102</v>
      </c>
      <c r="E202" s="268" t="s">
        <v>83</v>
      </c>
      <c r="F202" s="268" t="s">
        <v>79</v>
      </c>
      <c r="G202" s="268" t="s">
        <v>80</v>
      </c>
      <c r="H202" s="270">
        <v>260.0</v>
      </c>
      <c r="I202" s="270"/>
      <c r="J202" s="270"/>
      <c r="K202" s="270"/>
      <c r="L202" s="270"/>
      <c r="M202" s="270"/>
      <c r="N202" s="270"/>
      <c r="O202" s="268"/>
      <c r="P202" s="271"/>
    </row>
    <row r="203" ht="15.0" customHeight="1">
      <c r="A203" s="268" t="s">
        <v>12</v>
      </c>
      <c r="B203" s="269">
        <v>46042.0</v>
      </c>
      <c r="C203" s="268"/>
      <c r="D203" s="268" t="s">
        <v>336</v>
      </c>
      <c r="E203" s="268" t="s">
        <v>83</v>
      </c>
      <c r="F203" s="268" t="s">
        <v>79</v>
      </c>
      <c r="G203" s="268" t="s">
        <v>80</v>
      </c>
      <c r="H203" s="270">
        <v>230.0</v>
      </c>
      <c r="I203" s="270"/>
      <c r="J203" s="270"/>
      <c r="K203" s="270"/>
      <c r="L203" s="270"/>
      <c r="M203" s="270"/>
      <c r="N203" s="270"/>
      <c r="O203" s="268"/>
      <c r="P203" s="271"/>
    </row>
    <row r="204" ht="15.0" customHeight="1">
      <c r="A204" s="268" t="s">
        <v>12</v>
      </c>
      <c r="B204" s="269">
        <v>46042.0</v>
      </c>
      <c r="C204" s="268"/>
      <c r="D204" s="268" t="s">
        <v>333</v>
      </c>
      <c r="E204" s="268" t="s">
        <v>110</v>
      </c>
      <c r="F204" s="268" t="s">
        <v>79</v>
      </c>
      <c r="G204" s="268" t="s">
        <v>110</v>
      </c>
      <c r="H204" s="270">
        <v>5.0</v>
      </c>
      <c r="I204" s="270"/>
      <c r="J204" s="270"/>
      <c r="K204" s="270"/>
      <c r="L204" s="270"/>
      <c r="M204" s="270"/>
      <c r="N204" s="270"/>
      <c r="O204" s="268"/>
      <c r="P204" s="271"/>
    </row>
    <row r="205" ht="15.0" customHeight="1">
      <c r="A205" s="268" t="s">
        <v>12</v>
      </c>
      <c r="B205" s="269">
        <v>46042.0</v>
      </c>
      <c r="C205" s="268"/>
      <c r="D205" s="268" t="s">
        <v>117</v>
      </c>
      <c r="E205" s="268" t="s">
        <v>110</v>
      </c>
      <c r="F205" s="268" t="s">
        <v>79</v>
      </c>
      <c r="G205" s="268" t="s">
        <v>110</v>
      </c>
      <c r="H205" s="270">
        <v>20.0</v>
      </c>
      <c r="I205" s="270"/>
      <c r="J205" s="270"/>
      <c r="K205" s="270"/>
      <c r="L205" s="270"/>
      <c r="M205" s="270"/>
      <c r="N205" s="270"/>
      <c r="O205" s="268"/>
      <c r="P205" s="271"/>
    </row>
    <row r="206" ht="15.0" customHeight="1">
      <c r="A206" s="268" t="s">
        <v>12</v>
      </c>
      <c r="B206" s="269">
        <v>46043.0</v>
      </c>
      <c r="C206" s="268"/>
      <c r="D206" s="268" t="s">
        <v>164</v>
      </c>
      <c r="E206" s="268" t="s">
        <v>83</v>
      </c>
      <c r="F206" s="268" t="s">
        <v>79</v>
      </c>
      <c r="G206" s="268" t="s">
        <v>80</v>
      </c>
      <c r="H206" s="270">
        <v>232.0</v>
      </c>
      <c r="I206" s="270"/>
      <c r="J206" s="270"/>
      <c r="K206" s="270"/>
      <c r="L206" s="270"/>
      <c r="M206" s="270"/>
      <c r="N206" s="270"/>
      <c r="O206" s="268"/>
      <c r="P206" s="271"/>
    </row>
    <row r="207" ht="15.0" customHeight="1">
      <c r="A207" s="268" t="s">
        <v>12</v>
      </c>
      <c r="B207" s="269">
        <v>46043.0</v>
      </c>
      <c r="C207" s="268"/>
      <c r="D207" s="268" t="s">
        <v>82</v>
      </c>
      <c r="E207" s="268" t="s">
        <v>83</v>
      </c>
      <c r="F207" s="268" t="s">
        <v>79</v>
      </c>
      <c r="G207" s="268" t="s">
        <v>80</v>
      </c>
      <c r="H207" s="270">
        <v>440.0</v>
      </c>
      <c r="I207" s="270"/>
      <c r="J207" s="270"/>
      <c r="K207" s="270"/>
      <c r="L207" s="270"/>
      <c r="M207" s="270"/>
      <c r="N207" s="270"/>
      <c r="O207" s="268"/>
      <c r="P207" s="271"/>
    </row>
    <row r="208" ht="15.0" customHeight="1">
      <c r="A208" s="268" t="s">
        <v>12</v>
      </c>
      <c r="B208" s="269">
        <v>46043.0</v>
      </c>
      <c r="C208" s="268"/>
      <c r="D208" s="268" t="s">
        <v>103</v>
      </c>
      <c r="E208" s="268" t="s">
        <v>83</v>
      </c>
      <c r="F208" s="268" t="s">
        <v>79</v>
      </c>
      <c r="G208" s="268" t="s">
        <v>80</v>
      </c>
      <c r="H208" s="270">
        <v>163.0</v>
      </c>
      <c r="I208" s="270"/>
      <c r="J208" s="270"/>
      <c r="K208" s="270"/>
      <c r="L208" s="270"/>
      <c r="M208" s="270"/>
      <c r="N208" s="270"/>
      <c r="O208" s="268"/>
      <c r="P208" s="271"/>
    </row>
    <row r="209" ht="15.0" customHeight="1">
      <c r="A209" s="268" t="s">
        <v>12</v>
      </c>
      <c r="B209" s="269">
        <v>46043.0</v>
      </c>
      <c r="C209" s="268"/>
      <c r="D209" s="268" t="s">
        <v>145</v>
      </c>
      <c r="E209" s="268" t="s">
        <v>83</v>
      </c>
      <c r="F209" s="268" t="s">
        <v>79</v>
      </c>
      <c r="G209" s="268" t="s">
        <v>80</v>
      </c>
      <c r="H209" s="270">
        <v>210.0</v>
      </c>
      <c r="I209" s="270"/>
      <c r="J209" s="270"/>
      <c r="K209" s="270"/>
      <c r="L209" s="270"/>
      <c r="M209" s="270"/>
      <c r="N209" s="270"/>
      <c r="O209" s="268"/>
      <c r="P209" s="271"/>
    </row>
    <row r="210" ht="15.0" customHeight="1">
      <c r="A210" s="268" t="s">
        <v>12</v>
      </c>
      <c r="B210" s="269">
        <v>46043.0</v>
      </c>
      <c r="C210" s="268"/>
      <c r="D210" s="268" t="s">
        <v>101</v>
      </c>
      <c r="E210" s="268" t="s">
        <v>83</v>
      </c>
      <c r="F210" s="268" t="s">
        <v>79</v>
      </c>
      <c r="G210" s="268" t="s">
        <v>80</v>
      </c>
      <c r="H210" s="270">
        <v>210.0</v>
      </c>
      <c r="I210" s="270"/>
      <c r="J210" s="270"/>
      <c r="K210" s="270"/>
      <c r="L210" s="270"/>
      <c r="M210" s="270"/>
      <c r="N210" s="270"/>
      <c r="O210" s="268"/>
      <c r="P210" s="271"/>
    </row>
    <row r="211" ht="15.0" customHeight="1">
      <c r="A211" s="268" t="s">
        <v>12</v>
      </c>
      <c r="B211" s="269">
        <v>46043.0</v>
      </c>
      <c r="C211" s="268"/>
      <c r="D211" s="268" t="s">
        <v>133</v>
      </c>
      <c r="E211" s="268" t="s">
        <v>163</v>
      </c>
      <c r="F211" s="268" t="s">
        <v>79</v>
      </c>
      <c r="G211" s="268" t="s">
        <v>80</v>
      </c>
      <c r="H211" s="270">
        <v>260.0</v>
      </c>
      <c r="I211" s="270"/>
      <c r="J211" s="270"/>
      <c r="K211" s="270"/>
      <c r="L211" s="270"/>
      <c r="M211" s="270"/>
      <c r="N211" s="270"/>
      <c r="O211" s="268"/>
      <c r="P211" s="271"/>
    </row>
    <row r="212" ht="15.0" customHeight="1">
      <c r="A212" s="268" t="s">
        <v>12</v>
      </c>
      <c r="B212" s="269">
        <v>46044.0</v>
      </c>
      <c r="C212" s="268"/>
      <c r="D212" s="268" t="s">
        <v>130</v>
      </c>
      <c r="E212" s="268" t="s">
        <v>83</v>
      </c>
      <c r="F212" s="268" t="s">
        <v>79</v>
      </c>
      <c r="G212" s="268" t="s">
        <v>80</v>
      </c>
      <c r="H212" s="270">
        <v>139.0</v>
      </c>
      <c r="I212" s="270"/>
      <c r="J212" s="270"/>
      <c r="K212" s="270"/>
      <c r="L212" s="270"/>
      <c r="M212" s="270"/>
      <c r="N212" s="270"/>
      <c r="O212" s="268"/>
      <c r="P212" s="271"/>
    </row>
    <row r="213" ht="15.0" customHeight="1">
      <c r="A213" s="268" t="s">
        <v>12</v>
      </c>
      <c r="B213" s="269">
        <v>46044.0</v>
      </c>
      <c r="C213" s="268"/>
      <c r="D213" s="268" t="s">
        <v>84</v>
      </c>
      <c r="E213" s="268" t="s">
        <v>83</v>
      </c>
      <c r="F213" s="268" t="s">
        <v>79</v>
      </c>
      <c r="G213" s="268" t="s">
        <v>80</v>
      </c>
      <c r="H213" s="270">
        <v>45.0</v>
      </c>
      <c r="I213" s="270"/>
      <c r="J213" s="270"/>
      <c r="K213" s="270"/>
      <c r="L213" s="270"/>
      <c r="M213" s="270"/>
      <c r="N213" s="270"/>
      <c r="O213" s="268"/>
      <c r="P213" s="271"/>
    </row>
    <row r="214" ht="15.0" customHeight="1">
      <c r="A214" s="268" t="s">
        <v>12</v>
      </c>
      <c r="B214" s="269">
        <v>46044.0</v>
      </c>
      <c r="C214" s="268"/>
      <c r="D214" s="268" t="s">
        <v>334</v>
      </c>
      <c r="E214" s="268" t="s">
        <v>83</v>
      </c>
      <c r="F214" s="268" t="s">
        <v>79</v>
      </c>
      <c r="G214" s="268" t="s">
        <v>80</v>
      </c>
      <c r="H214" s="270">
        <v>280.0</v>
      </c>
      <c r="I214" s="270"/>
      <c r="J214" s="270"/>
      <c r="K214" s="270"/>
      <c r="L214" s="270"/>
      <c r="M214" s="270"/>
      <c r="N214" s="270"/>
      <c r="O214" s="268"/>
      <c r="P214" s="271"/>
    </row>
    <row r="215" ht="15.0" customHeight="1">
      <c r="A215" s="268" t="s">
        <v>12</v>
      </c>
      <c r="B215" s="269">
        <v>46044.0</v>
      </c>
      <c r="C215" s="268"/>
      <c r="D215" s="268" t="s">
        <v>100</v>
      </c>
      <c r="E215" s="268" t="s">
        <v>83</v>
      </c>
      <c r="F215" s="268" t="s">
        <v>79</v>
      </c>
      <c r="G215" s="268" t="s">
        <v>80</v>
      </c>
      <c r="H215" s="270">
        <v>335.0</v>
      </c>
      <c r="I215" s="270"/>
      <c r="J215" s="270"/>
      <c r="K215" s="270"/>
      <c r="L215" s="270"/>
      <c r="M215" s="270"/>
      <c r="N215" s="270"/>
      <c r="O215" s="268"/>
      <c r="P215" s="271"/>
    </row>
    <row r="216" ht="15.0" customHeight="1">
      <c r="A216" s="268" t="s">
        <v>12</v>
      </c>
      <c r="B216" s="269">
        <v>46044.0</v>
      </c>
      <c r="C216" s="268"/>
      <c r="D216" s="268" t="s">
        <v>337</v>
      </c>
      <c r="E216" s="268" t="s">
        <v>83</v>
      </c>
      <c r="F216" s="268" t="s">
        <v>79</v>
      </c>
      <c r="G216" s="268" t="s">
        <v>80</v>
      </c>
      <c r="H216" s="270">
        <v>370.0</v>
      </c>
      <c r="I216" s="270"/>
      <c r="J216" s="270"/>
      <c r="K216" s="270"/>
      <c r="L216" s="270"/>
      <c r="M216" s="270"/>
      <c r="N216" s="270"/>
      <c r="O216" s="268"/>
      <c r="P216" s="271"/>
    </row>
    <row r="217" ht="15.0" customHeight="1">
      <c r="A217" s="268" t="s">
        <v>12</v>
      </c>
      <c r="B217" s="269">
        <v>46044.0</v>
      </c>
      <c r="C217" s="268"/>
      <c r="D217" s="268" t="s">
        <v>118</v>
      </c>
      <c r="E217" s="268" t="s">
        <v>83</v>
      </c>
      <c r="F217" s="268" t="s">
        <v>79</v>
      </c>
      <c r="G217" s="268" t="s">
        <v>80</v>
      </c>
      <c r="H217" s="270">
        <v>432.0</v>
      </c>
      <c r="I217" s="270"/>
      <c r="J217" s="270"/>
      <c r="K217" s="270"/>
      <c r="L217" s="270"/>
      <c r="M217" s="270"/>
      <c r="N217" s="270"/>
      <c r="O217" s="268"/>
      <c r="P217" s="271"/>
    </row>
    <row r="218" ht="15.0" customHeight="1">
      <c r="A218" s="268" t="s">
        <v>12</v>
      </c>
      <c r="B218" s="269">
        <v>46044.0</v>
      </c>
      <c r="C218" s="268"/>
      <c r="D218" s="268" t="s">
        <v>96</v>
      </c>
      <c r="E218" s="268" t="s">
        <v>83</v>
      </c>
      <c r="F218" s="268" t="s">
        <v>79</v>
      </c>
      <c r="G218" s="268" t="s">
        <v>80</v>
      </c>
      <c r="H218" s="270">
        <v>420.0</v>
      </c>
      <c r="I218" s="270"/>
      <c r="J218" s="270"/>
      <c r="K218" s="270"/>
      <c r="L218" s="270"/>
      <c r="M218" s="270"/>
      <c r="N218" s="270"/>
      <c r="O218" s="268"/>
      <c r="P218" s="271"/>
    </row>
    <row r="219" ht="15.0" customHeight="1">
      <c r="A219" s="268" t="s">
        <v>12</v>
      </c>
      <c r="B219" s="269">
        <v>46044.0</v>
      </c>
      <c r="C219" s="268"/>
      <c r="D219" s="268" t="s">
        <v>117</v>
      </c>
      <c r="E219" s="268" t="s">
        <v>83</v>
      </c>
      <c r="F219" s="268" t="s">
        <v>79</v>
      </c>
      <c r="G219" s="268" t="s">
        <v>80</v>
      </c>
      <c r="H219" s="270">
        <v>154.0</v>
      </c>
      <c r="I219" s="270"/>
      <c r="J219" s="270"/>
      <c r="K219" s="270"/>
      <c r="L219" s="270"/>
      <c r="M219" s="270"/>
      <c r="N219" s="270"/>
      <c r="O219" s="268"/>
      <c r="P219" s="271"/>
    </row>
    <row r="220" ht="15.0" customHeight="1">
      <c r="A220" s="268" t="s">
        <v>12</v>
      </c>
      <c r="B220" s="269">
        <v>46044.0</v>
      </c>
      <c r="C220" s="268"/>
      <c r="D220" s="268" t="s">
        <v>138</v>
      </c>
      <c r="E220" s="268" t="s">
        <v>83</v>
      </c>
      <c r="F220" s="268" t="s">
        <v>79</v>
      </c>
      <c r="G220" s="268" t="s">
        <v>80</v>
      </c>
      <c r="H220" s="270">
        <v>230.0</v>
      </c>
      <c r="I220" s="270"/>
      <c r="J220" s="270"/>
      <c r="K220" s="270"/>
      <c r="L220" s="270"/>
      <c r="M220" s="270"/>
      <c r="N220" s="270"/>
      <c r="O220" s="268"/>
      <c r="P220" s="271"/>
    </row>
    <row r="221" ht="15.0" customHeight="1">
      <c r="A221" s="268" t="s">
        <v>12</v>
      </c>
      <c r="B221" s="269">
        <v>46044.0</v>
      </c>
      <c r="C221" s="268"/>
      <c r="D221" s="268" t="s">
        <v>84</v>
      </c>
      <c r="E221" s="268" t="s">
        <v>110</v>
      </c>
      <c r="F221" s="268" t="s">
        <v>79</v>
      </c>
      <c r="G221" s="268" t="s">
        <v>110</v>
      </c>
      <c r="H221" s="270">
        <v>5.0</v>
      </c>
      <c r="I221" s="270"/>
      <c r="J221" s="270"/>
      <c r="K221" s="270"/>
      <c r="L221" s="270"/>
      <c r="M221" s="270"/>
      <c r="N221" s="270"/>
      <c r="O221" s="268"/>
      <c r="P221" s="271"/>
    </row>
    <row r="222" ht="15.0" customHeight="1">
      <c r="A222" s="268" t="s">
        <v>12</v>
      </c>
      <c r="B222" s="269">
        <v>46045.0</v>
      </c>
      <c r="C222" s="268"/>
      <c r="D222" s="268" t="s">
        <v>153</v>
      </c>
      <c r="E222" s="268" t="s">
        <v>83</v>
      </c>
      <c r="F222" s="268" t="s">
        <v>79</v>
      </c>
      <c r="G222" s="268" t="s">
        <v>80</v>
      </c>
      <c r="H222" s="270">
        <v>98.0</v>
      </c>
      <c r="I222" s="270"/>
      <c r="J222" s="270"/>
      <c r="K222" s="270"/>
      <c r="L222" s="270"/>
      <c r="M222" s="270"/>
      <c r="N222" s="270"/>
      <c r="O222" s="268"/>
      <c r="P222" s="271"/>
    </row>
    <row r="223" ht="15.0" customHeight="1">
      <c r="A223" s="268" t="s">
        <v>12</v>
      </c>
      <c r="B223" s="269">
        <v>46045.0</v>
      </c>
      <c r="C223" s="268"/>
      <c r="D223" s="268" t="s">
        <v>158</v>
      </c>
      <c r="E223" s="268" t="s">
        <v>83</v>
      </c>
      <c r="F223" s="268" t="s">
        <v>79</v>
      </c>
      <c r="G223" s="268" t="s">
        <v>80</v>
      </c>
      <c r="H223" s="270">
        <v>200.0</v>
      </c>
      <c r="I223" s="270"/>
      <c r="J223" s="270"/>
      <c r="K223" s="270"/>
      <c r="L223" s="270"/>
      <c r="M223" s="270"/>
      <c r="N223" s="270"/>
      <c r="O223" s="268"/>
      <c r="P223" s="271"/>
    </row>
    <row r="224" ht="15.0" customHeight="1">
      <c r="A224" s="268" t="s">
        <v>12</v>
      </c>
      <c r="B224" s="269">
        <v>46045.0</v>
      </c>
      <c r="C224" s="268"/>
      <c r="D224" s="268" t="s">
        <v>126</v>
      </c>
      <c r="E224" s="268" t="s">
        <v>83</v>
      </c>
      <c r="F224" s="268" t="s">
        <v>79</v>
      </c>
      <c r="G224" s="268" t="s">
        <v>80</v>
      </c>
      <c r="H224" s="270">
        <v>198.0</v>
      </c>
      <c r="I224" s="270"/>
      <c r="J224" s="270"/>
      <c r="K224" s="270"/>
      <c r="L224" s="270"/>
      <c r="M224" s="270"/>
      <c r="N224" s="270"/>
      <c r="O224" s="268"/>
      <c r="P224" s="271"/>
    </row>
    <row r="225" ht="15.0" customHeight="1">
      <c r="A225" s="268" t="s">
        <v>12</v>
      </c>
      <c r="B225" s="269">
        <v>46045.0</v>
      </c>
      <c r="C225" s="268"/>
      <c r="D225" s="268" t="s">
        <v>99</v>
      </c>
      <c r="E225" s="268" t="s">
        <v>83</v>
      </c>
      <c r="F225" s="268" t="s">
        <v>79</v>
      </c>
      <c r="G225" s="268" t="s">
        <v>80</v>
      </c>
      <c r="H225" s="270">
        <v>400.0</v>
      </c>
      <c r="I225" s="270"/>
      <c r="J225" s="270"/>
      <c r="K225" s="270"/>
      <c r="L225" s="270"/>
      <c r="M225" s="270"/>
      <c r="N225" s="270"/>
      <c r="O225" s="268"/>
      <c r="P225" s="271"/>
    </row>
    <row r="226" ht="15.0" customHeight="1">
      <c r="A226" s="268" t="s">
        <v>12</v>
      </c>
      <c r="B226" s="269">
        <v>46045.0</v>
      </c>
      <c r="C226" s="268"/>
      <c r="D226" s="268" t="s">
        <v>136</v>
      </c>
      <c r="E226" s="268" t="s">
        <v>83</v>
      </c>
      <c r="F226" s="268" t="s">
        <v>79</v>
      </c>
      <c r="G226" s="268" t="s">
        <v>80</v>
      </c>
      <c r="H226" s="270">
        <v>68.0</v>
      </c>
      <c r="I226" s="270"/>
      <c r="J226" s="270"/>
      <c r="K226" s="270"/>
      <c r="L226" s="270"/>
      <c r="M226" s="270"/>
      <c r="N226" s="270"/>
      <c r="O226" s="268"/>
      <c r="P226" s="271"/>
    </row>
    <row r="227" ht="15.0" customHeight="1">
      <c r="A227" s="268" t="s">
        <v>12</v>
      </c>
      <c r="B227" s="269">
        <v>46045.0</v>
      </c>
      <c r="C227" s="268"/>
      <c r="D227" s="268" t="s">
        <v>91</v>
      </c>
      <c r="E227" s="268" t="s">
        <v>83</v>
      </c>
      <c r="F227" s="268" t="s">
        <v>79</v>
      </c>
      <c r="G227" s="268" t="s">
        <v>80</v>
      </c>
      <c r="H227" s="270">
        <v>35.0</v>
      </c>
      <c r="I227" s="270"/>
      <c r="J227" s="270"/>
      <c r="K227" s="270"/>
      <c r="L227" s="270"/>
      <c r="M227" s="270"/>
      <c r="N227" s="270"/>
      <c r="O227" s="268"/>
      <c r="P227" s="271"/>
    </row>
    <row r="228" ht="15.0" customHeight="1">
      <c r="A228" s="268" t="s">
        <v>12</v>
      </c>
      <c r="B228" s="269">
        <v>46045.0</v>
      </c>
      <c r="C228" s="268"/>
      <c r="D228" s="268" t="s">
        <v>100</v>
      </c>
      <c r="E228" s="268" t="s">
        <v>110</v>
      </c>
      <c r="F228" s="268" t="s">
        <v>79</v>
      </c>
      <c r="G228" s="268" t="s">
        <v>110</v>
      </c>
      <c r="H228" s="270">
        <v>32.0</v>
      </c>
      <c r="I228" s="270"/>
      <c r="J228" s="270"/>
      <c r="K228" s="270"/>
      <c r="L228" s="270"/>
      <c r="M228" s="270"/>
      <c r="N228" s="270"/>
      <c r="O228" s="268"/>
      <c r="P228" s="271"/>
    </row>
    <row r="229" ht="15.0" customHeight="1">
      <c r="A229" s="268" t="s">
        <v>12</v>
      </c>
      <c r="B229" s="269">
        <v>46046.0</v>
      </c>
      <c r="C229" s="268"/>
      <c r="D229" s="268" t="s">
        <v>123</v>
      </c>
      <c r="E229" s="268" t="s">
        <v>83</v>
      </c>
      <c r="F229" s="268" t="s">
        <v>79</v>
      </c>
      <c r="G229" s="268" t="s">
        <v>80</v>
      </c>
      <c r="H229" s="270">
        <v>530.0</v>
      </c>
      <c r="I229" s="270"/>
      <c r="J229" s="270"/>
      <c r="K229" s="270"/>
      <c r="L229" s="270"/>
      <c r="M229" s="270"/>
      <c r="N229" s="270"/>
      <c r="O229" s="268"/>
      <c r="P229" s="271"/>
    </row>
    <row r="230" ht="15.0" customHeight="1">
      <c r="A230" s="268" t="s">
        <v>12</v>
      </c>
      <c r="B230" s="269">
        <v>46046.0</v>
      </c>
      <c r="C230" s="268"/>
      <c r="D230" s="268" t="s">
        <v>334</v>
      </c>
      <c r="E230" s="268" t="s">
        <v>83</v>
      </c>
      <c r="F230" s="268" t="s">
        <v>79</v>
      </c>
      <c r="G230" s="268" t="s">
        <v>80</v>
      </c>
      <c r="H230" s="270">
        <v>42.0</v>
      </c>
      <c r="I230" s="270"/>
      <c r="J230" s="270"/>
      <c r="K230" s="270"/>
      <c r="L230" s="270"/>
      <c r="M230" s="270"/>
      <c r="N230" s="270"/>
      <c r="O230" s="268"/>
      <c r="P230" s="271"/>
    </row>
    <row r="231" ht="15.0" customHeight="1">
      <c r="A231" s="268" t="s">
        <v>12</v>
      </c>
      <c r="B231" s="269">
        <v>46046.0</v>
      </c>
      <c r="C231" s="268"/>
      <c r="D231" s="268" t="s">
        <v>135</v>
      </c>
      <c r="E231" s="268" t="s">
        <v>83</v>
      </c>
      <c r="F231" s="268" t="s">
        <v>79</v>
      </c>
      <c r="G231" s="268" t="s">
        <v>80</v>
      </c>
      <c r="H231" s="270">
        <v>55.0</v>
      </c>
      <c r="I231" s="270"/>
      <c r="J231" s="270"/>
      <c r="K231" s="270"/>
      <c r="L231" s="270"/>
      <c r="M231" s="270"/>
      <c r="N231" s="270"/>
      <c r="O231" s="268"/>
      <c r="P231" s="271"/>
    </row>
    <row r="232" ht="15.0" customHeight="1">
      <c r="A232" s="268" t="s">
        <v>12</v>
      </c>
      <c r="B232" s="269">
        <v>46046.0</v>
      </c>
      <c r="C232" s="268"/>
      <c r="D232" s="268" t="s">
        <v>87</v>
      </c>
      <c r="E232" s="268" t="s">
        <v>83</v>
      </c>
      <c r="F232" s="268" t="s">
        <v>79</v>
      </c>
      <c r="G232" s="268" t="s">
        <v>80</v>
      </c>
      <c r="H232" s="270">
        <v>41.0</v>
      </c>
      <c r="I232" s="270"/>
      <c r="J232" s="270"/>
      <c r="K232" s="270"/>
      <c r="L232" s="270"/>
      <c r="M232" s="270"/>
      <c r="N232" s="270"/>
      <c r="O232" s="268"/>
      <c r="P232" s="271"/>
    </row>
    <row r="233" ht="15.0" customHeight="1">
      <c r="A233" s="268" t="s">
        <v>12</v>
      </c>
      <c r="B233" s="269">
        <v>46046.0</v>
      </c>
      <c r="C233" s="268"/>
      <c r="D233" s="268" t="s">
        <v>113</v>
      </c>
      <c r="E233" s="268" t="s">
        <v>83</v>
      </c>
      <c r="F233" s="268" t="s">
        <v>79</v>
      </c>
      <c r="G233" s="268" t="s">
        <v>80</v>
      </c>
      <c r="H233" s="270">
        <v>220.0</v>
      </c>
      <c r="I233" s="270"/>
      <c r="J233" s="270"/>
      <c r="K233" s="270"/>
      <c r="L233" s="270"/>
      <c r="M233" s="270"/>
      <c r="N233" s="270"/>
      <c r="O233" s="268"/>
      <c r="P233" s="271"/>
    </row>
    <row r="234" ht="15.0" customHeight="1">
      <c r="A234" s="268" t="s">
        <v>12</v>
      </c>
      <c r="B234" s="269">
        <v>46046.0</v>
      </c>
      <c r="C234" s="268"/>
      <c r="D234" s="268" t="s">
        <v>98</v>
      </c>
      <c r="E234" s="268" t="s">
        <v>83</v>
      </c>
      <c r="F234" s="268" t="s">
        <v>79</v>
      </c>
      <c r="G234" s="268" t="s">
        <v>80</v>
      </c>
      <c r="H234" s="270">
        <v>179.0</v>
      </c>
      <c r="I234" s="270"/>
      <c r="J234" s="270"/>
      <c r="K234" s="270"/>
      <c r="L234" s="270"/>
      <c r="M234" s="270"/>
      <c r="N234" s="270"/>
      <c r="O234" s="268"/>
      <c r="P234" s="271"/>
    </row>
    <row r="235" ht="15.0" customHeight="1">
      <c r="A235" s="268" t="s">
        <v>16</v>
      </c>
      <c r="B235" s="269">
        <v>46046.0</v>
      </c>
      <c r="C235" s="268"/>
      <c r="D235" s="268"/>
      <c r="E235" s="268" t="s">
        <v>141</v>
      </c>
      <c r="F235" s="268" t="s">
        <v>565</v>
      </c>
      <c r="G235" s="268" t="s">
        <v>80</v>
      </c>
      <c r="H235" s="270">
        <v>8745.0</v>
      </c>
      <c r="I235" s="270"/>
      <c r="J235" s="270"/>
      <c r="K235" s="270"/>
      <c r="L235" s="270"/>
      <c r="M235" s="270"/>
      <c r="N235" s="270"/>
      <c r="O235" s="268"/>
      <c r="P235" s="271"/>
    </row>
    <row r="236" ht="15.0" customHeight="1">
      <c r="A236" s="268" t="s">
        <v>12</v>
      </c>
      <c r="B236" s="269">
        <v>46047.0</v>
      </c>
      <c r="C236" s="268"/>
      <c r="D236" s="268" t="s">
        <v>159</v>
      </c>
      <c r="E236" s="268" t="s">
        <v>141</v>
      </c>
      <c r="F236" s="268" t="s">
        <v>79</v>
      </c>
      <c r="G236" s="268" t="s">
        <v>80</v>
      </c>
      <c r="H236" s="270">
        <v>150.0</v>
      </c>
      <c r="I236" s="270"/>
      <c r="J236" s="270"/>
      <c r="K236" s="270"/>
      <c r="L236" s="270"/>
      <c r="M236" s="270"/>
      <c r="N236" s="270"/>
      <c r="O236" s="268"/>
      <c r="P236" s="271"/>
    </row>
    <row r="237" ht="15.0" customHeight="1">
      <c r="A237" s="268" t="s">
        <v>12</v>
      </c>
      <c r="B237" s="269">
        <v>46047.0</v>
      </c>
      <c r="C237" s="268"/>
      <c r="D237" s="268" t="s">
        <v>88</v>
      </c>
      <c r="E237" s="268" t="s">
        <v>141</v>
      </c>
      <c r="F237" s="268" t="s">
        <v>79</v>
      </c>
      <c r="G237" s="268" t="s">
        <v>80</v>
      </c>
      <c r="H237" s="270">
        <v>475.0</v>
      </c>
      <c r="I237" s="270"/>
      <c r="J237" s="270"/>
      <c r="K237" s="270"/>
      <c r="L237" s="270"/>
      <c r="M237" s="270"/>
      <c r="N237" s="270"/>
      <c r="O237" s="268"/>
      <c r="P237" s="271"/>
    </row>
    <row r="238" ht="15.0" customHeight="1">
      <c r="A238" s="268" t="s">
        <v>12</v>
      </c>
      <c r="B238" s="269">
        <v>46047.0</v>
      </c>
      <c r="C238" s="268"/>
      <c r="D238" s="268" t="s">
        <v>82</v>
      </c>
      <c r="E238" s="268" t="s">
        <v>141</v>
      </c>
      <c r="F238" s="268" t="s">
        <v>79</v>
      </c>
      <c r="G238" s="268" t="s">
        <v>80</v>
      </c>
      <c r="H238" s="270">
        <v>478.0</v>
      </c>
      <c r="I238" s="270"/>
      <c r="J238" s="270"/>
      <c r="K238" s="270"/>
      <c r="L238" s="270"/>
      <c r="M238" s="270"/>
      <c r="N238" s="270"/>
      <c r="O238" s="268"/>
      <c r="P238" s="271"/>
    </row>
    <row r="239" ht="15.0" customHeight="1">
      <c r="A239" s="268" t="s">
        <v>12</v>
      </c>
      <c r="B239" s="269">
        <v>46047.0</v>
      </c>
      <c r="C239" s="268"/>
      <c r="D239" s="268" t="s">
        <v>84</v>
      </c>
      <c r="E239" s="268" t="s">
        <v>141</v>
      </c>
      <c r="F239" s="268" t="s">
        <v>79</v>
      </c>
      <c r="G239" s="268" t="s">
        <v>80</v>
      </c>
      <c r="H239" s="270">
        <v>46.0</v>
      </c>
      <c r="I239" s="270"/>
      <c r="J239" s="270"/>
      <c r="K239" s="270"/>
      <c r="L239" s="270"/>
      <c r="M239" s="270"/>
      <c r="N239" s="270"/>
      <c r="O239" s="268"/>
      <c r="P239" s="271"/>
    </row>
    <row r="240" ht="15.0" customHeight="1">
      <c r="A240" s="268" t="s">
        <v>12</v>
      </c>
      <c r="B240" s="269">
        <v>46047.0</v>
      </c>
      <c r="C240" s="268"/>
      <c r="D240" s="268" t="s">
        <v>334</v>
      </c>
      <c r="E240" s="268" t="s">
        <v>141</v>
      </c>
      <c r="F240" s="268" t="s">
        <v>79</v>
      </c>
      <c r="G240" s="268" t="s">
        <v>80</v>
      </c>
      <c r="H240" s="270">
        <v>279.0</v>
      </c>
      <c r="I240" s="270"/>
      <c r="J240" s="270"/>
      <c r="K240" s="270"/>
      <c r="L240" s="270"/>
      <c r="M240" s="270"/>
      <c r="N240" s="270"/>
      <c r="O240" s="268"/>
      <c r="P240" s="271"/>
    </row>
    <row r="241" ht="15.0" customHeight="1">
      <c r="A241" s="268" t="s">
        <v>12</v>
      </c>
      <c r="B241" s="269">
        <v>46047.0</v>
      </c>
      <c r="C241" s="268"/>
      <c r="D241" s="268" t="s">
        <v>100</v>
      </c>
      <c r="E241" s="268" t="s">
        <v>141</v>
      </c>
      <c r="F241" s="268" t="s">
        <v>79</v>
      </c>
      <c r="G241" s="268" t="s">
        <v>80</v>
      </c>
      <c r="H241" s="270">
        <v>324.0</v>
      </c>
      <c r="I241" s="270"/>
      <c r="J241" s="270"/>
      <c r="K241" s="270"/>
      <c r="L241" s="270"/>
      <c r="M241" s="270"/>
      <c r="N241" s="270"/>
      <c r="O241" s="268"/>
      <c r="P241" s="271"/>
    </row>
    <row r="242" ht="15.0" customHeight="1">
      <c r="A242" s="268" t="s">
        <v>12</v>
      </c>
      <c r="B242" s="269">
        <v>46047.0</v>
      </c>
      <c r="C242" s="268"/>
      <c r="D242" s="268" t="s">
        <v>337</v>
      </c>
      <c r="E242" s="268" t="s">
        <v>141</v>
      </c>
      <c r="F242" s="268" t="s">
        <v>79</v>
      </c>
      <c r="G242" s="268" t="s">
        <v>80</v>
      </c>
      <c r="H242" s="270">
        <v>351.0</v>
      </c>
      <c r="I242" s="270"/>
      <c r="J242" s="270"/>
      <c r="K242" s="270"/>
      <c r="L242" s="270"/>
      <c r="M242" s="270"/>
      <c r="N242" s="270"/>
      <c r="O242" s="268"/>
      <c r="P242" s="271"/>
    </row>
    <row r="243" ht="15.0" customHeight="1">
      <c r="A243" s="268" t="s">
        <v>12</v>
      </c>
      <c r="B243" s="269">
        <v>46047.0</v>
      </c>
      <c r="C243" s="268"/>
      <c r="D243" s="268" t="s">
        <v>117</v>
      </c>
      <c r="E243" s="268" t="s">
        <v>141</v>
      </c>
      <c r="F243" s="268" t="s">
        <v>79</v>
      </c>
      <c r="G243" s="268" t="s">
        <v>80</v>
      </c>
      <c r="H243" s="270">
        <v>177.0</v>
      </c>
      <c r="I243" s="270"/>
      <c r="J243" s="270"/>
      <c r="K243" s="270"/>
      <c r="L243" s="270"/>
      <c r="M243" s="270"/>
      <c r="N243" s="270"/>
      <c r="O243" s="268"/>
      <c r="P243" s="271"/>
    </row>
    <row r="244" ht="15.0" customHeight="1">
      <c r="A244" s="268" t="s">
        <v>12</v>
      </c>
      <c r="B244" s="269">
        <v>46047.0</v>
      </c>
      <c r="C244" s="268"/>
      <c r="D244" s="268" t="s">
        <v>127</v>
      </c>
      <c r="E244" s="268" t="s">
        <v>141</v>
      </c>
      <c r="F244" s="268" t="s">
        <v>79</v>
      </c>
      <c r="G244" s="268" t="s">
        <v>80</v>
      </c>
      <c r="H244" s="270">
        <v>100.0</v>
      </c>
      <c r="I244" s="270"/>
      <c r="J244" s="270"/>
      <c r="K244" s="270"/>
      <c r="L244" s="270"/>
      <c r="M244" s="270"/>
      <c r="N244" s="270"/>
      <c r="O244" s="268"/>
      <c r="P244" s="271"/>
    </row>
    <row r="245" ht="15.0" customHeight="1">
      <c r="A245" s="268" t="s">
        <v>12</v>
      </c>
      <c r="B245" s="269">
        <v>46047.0</v>
      </c>
      <c r="C245" s="268"/>
      <c r="D245" s="268" t="s">
        <v>87</v>
      </c>
      <c r="E245" s="268" t="s">
        <v>141</v>
      </c>
      <c r="F245" s="268" t="s">
        <v>79</v>
      </c>
      <c r="G245" s="268" t="s">
        <v>80</v>
      </c>
      <c r="H245" s="270">
        <v>241.0</v>
      </c>
      <c r="I245" s="270"/>
      <c r="J245" s="270"/>
      <c r="K245" s="270"/>
      <c r="L245" s="270"/>
      <c r="M245" s="270"/>
      <c r="N245" s="270"/>
      <c r="O245" s="268"/>
      <c r="P245" s="271"/>
    </row>
    <row r="246" ht="15.0" customHeight="1">
      <c r="A246" s="268" t="s">
        <v>12</v>
      </c>
      <c r="B246" s="269">
        <v>46047.0</v>
      </c>
      <c r="C246" s="268"/>
      <c r="D246" s="268" t="s">
        <v>336</v>
      </c>
      <c r="E246" s="268" t="s">
        <v>141</v>
      </c>
      <c r="F246" s="268" t="s">
        <v>79</v>
      </c>
      <c r="G246" s="268" t="s">
        <v>80</v>
      </c>
      <c r="H246" s="270">
        <v>266.0</v>
      </c>
      <c r="I246" s="270"/>
      <c r="J246" s="270"/>
      <c r="K246" s="270"/>
      <c r="L246" s="270"/>
      <c r="M246" s="270"/>
      <c r="N246" s="270"/>
      <c r="O246" s="268"/>
      <c r="P246" s="271"/>
    </row>
    <row r="247" ht="15.0" customHeight="1">
      <c r="A247" s="268" t="s">
        <v>12</v>
      </c>
      <c r="B247" s="269">
        <v>46047.0</v>
      </c>
      <c r="C247" s="268"/>
      <c r="D247" s="268" t="s">
        <v>86</v>
      </c>
      <c r="E247" s="268" t="s">
        <v>141</v>
      </c>
      <c r="F247" s="268" t="s">
        <v>79</v>
      </c>
      <c r="G247" s="268" t="s">
        <v>80</v>
      </c>
      <c r="H247" s="270">
        <v>260.0</v>
      </c>
      <c r="I247" s="270"/>
      <c r="J247" s="270"/>
      <c r="K247" s="270"/>
      <c r="L247" s="270"/>
      <c r="M247" s="270"/>
      <c r="N247" s="270"/>
      <c r="O247" s="268"/>
      <c r="P247" s="271"/>
    </row>
    <row r="248" ht="15.0" customHeight="1">
      <c r="A248" s="268" t="s">
        <v>12</v>
      </c>
      <c r="B248" s="269">
        <v>46047.0</v>
      </c>
      <c r="C248" s="268"/>
      <c r="D248" s="268" t="s">
        <v>112</v>
      </c>
      <c r="E248" s="268" t="s">
        <v>141</v>
      </c>
      <c r="F248" s="268" t="s">
        <v>79</v>
      </c>
      <c r="G248" s="268" t="s">
        <v>80</v>
      </c>
      <c r="H248" s="270">
        <v>231.0</v>
      </c>
      <c r="I248" s="270"/>
      <c r="J248" s="270"/>
      <c r="K248" s="270"/>
      <c r="L248" s="270"/>
      <c r="M248" s="270"/>
      <c r="N248" s="270"/>
      <c r="O248" s="268"/>
      <c r="P248" s="271"/>
    </row>
    <row r="249" ht="15.0" customHeight="1">
      <c r="A249" s="268" t="s">
        <v>12</v>
      </c>
      <c r="B249" s="269">
        <v>46047.0</v>
      </c>
      <c r="C249" s="268"/>
      <c r="D249" s="268" t="s">
        <v>97</v>
      </c>
      <c r="E249" s="268" t="s">
        <v>141</v>
      </c>
      <c r="F249" s="268" t="s">
        <v>79</v>
      </c>
      <c r="G249" s="268" t="s">
        <v>80</v>
      </c>
      <c r="H249" s="270">
        <v>186.0</v>
      </c>
      <c r="I249" s="270"/>
      <c r="J249" s="270"/>
      <c r="K249" s="270"/>
      <c r="L249" s="270"/>
      <c r="M249" s="270"/>
      <c r="N249" s="270"/>
      <c r="O249" s="268"/>
      <c r="P249" s="271"/>
    </row>
    <row r="250" ht="15.0" customHeight="1">
      <c r="A250" s="268" t="s">
        <v>12</v>
      </c>
      <c r="B250" s="269">
        <v>46047.0</v>
      </c>
      <c r="C250" s="268"/>
      <c r="D250" s="268" t="s">
        <v>88</v>
      </c>
      <c r="E250" s="268" t="s">
        <v>110</v>
      </c>
      <c r="F250" s="268" t="s">
        <v>79</v>
      </c>
      <c r="G250" s="268" t="s">
        <v>110</v>
      </c>
      <c r="H250" s="270">
        <v>30.0</v>
      </c>
      <c r="I250" s="270"/>
      <c r="J250" s="270"/>
      <c r="K250" s="270"/>
      <c r="L250" s="270"/>
      <c r="M250" s="270"/>
      <c r="N250" s="270"/>
      <c r="O250" s="268"/>
      <c r="P250" s="271"/>
    </row>
    <row r="251" ht="15.0" customHeight="1">
      <c r="A251" s="268" t="s">
        <v>12</v>
      </c>
      <c r="B251" s="269">
        <v>46048.0</v>
      </c>
      <c r="C251" s="268"/>
      <c r="D251" s="268" t="s">
        <v>84</v>
      </c>
      <c r="E251" s="268" t="s">
        <v>141</v>
      </c>
      <c r="F251" s="268" t="s">
        <v>79</v>
      </c>
      <c r="G251" s="268" t="s">
        <v>80</v>
      </c>
      <c r="H251" s="270">
        <v>442.0</v>
      </c>
      <c r="I251" s="270"/>
      <c r="J251" s="270"/>
      <c r="K251" s="270"/>
      <c r="L251" s="270"/>
      <c r="M251" s="270"/>
      <c r="N251" s="270"/>
      <c r="O251" s="268"/>
      <c r="P251" s="271"/>
    </row>
    <row r="252" ht="15.0" customHeight="1">
      <c r="A252" s="268" t="s">
        <v>12</v>
      </c>
      <c r="B252" s="269">
        <v>46048.0</v>
      </c>
      <c r="C252" s="268"/>
      <c r="D252" s="268" t="s">
        <v>119</v>
      </c>
      <c r="E252" s="268" t="s">
        <v>141</v>
      </c>
      <c r="F252" s="268" t="s">
        <v>79</v>
      </c>
      <c r="G252" s="268" t="s">
        <v>80</v>
      </c>
      <c r="H252" s="270">
        <v>350.0</v>
      </c>
      <c r="I252" s="270"/>
      <c r="J252" s="270"/>
      <c r="K252" s="270"/>
      <c r="L252" s="270"/>
      <c r="M252" s="270"/>
      <c r="N252" s="270"/>
      <c r="O252" s="268"/>
      <c r="P252" s="271"/>
    </row>
    <row r="253" ht="15.0" customHeight="1">
      <c r="A253" s="268" t="s">
        <v>12</v>
      </c>
      <c r="B253" s="269">
        <v>46048.0</v>
      </c>
      <c r="C253" s="268"/>
      <c r="D253" s="268" t="s">
        <v>118</v>
      </c>
      <c r="E253" s="268" t="s">
        <v>141</v>
      </c>
      <c r="F253" s="268" t="s">
        <v>79</v>
      </c>
      <c r="G253" s="268" t="s">
        <v>80</v>
      </c>
      <c r="H253" s="270">
        <v>405.0</v>
      </c>
      <c r="I253" s="270"/>
      <c r="J253" s="270"/>
      <c r="K253" s="270"/>
      <c r="L253" s="270"/>
      <c r="M253" s="270"/>
      <c r="N253" s="270"/>
      <c r="O253" s="268"/>
      <c r="P253" s="271"/>
    </row>
    <row r="254" ht="15.0" customHeight="1">
      <c r="A254" s="268" t="s">
        <v>12</v>
      </c>
      <c r="B254" s="269">
        <v>46048.0</v>
      </c>
      <c r="C254" s="268"/>
      <c r="D254" s="268" t="s">
        <v>96</v>
      </c>
      <c r="E254" s="268" t="s">
        <v>141</v>
      </c>
      <c r="F254" s="268" t="s">
        <v>79</v>
      </c>
      <c r="G254" s="268" t="s">
        <v>80</v>
      </c>
      <c r="H254" s="270">
        <v>365.0</v>
      </c>
      <c r="I254" s="270"/>
      <c r="J254" s="270"/>
      <c r="K254" s="270"/>
      <c r="L254" s="270"/>
      <c r="M254" s="270"/>
      <c r="N254" s="270"/>
      <c r="O254" s="268"/>
      <c r="P254" s="271"/>
    </row>
    <row r="255" ht="15.0" customHeight="1">
      <c r="A255" s="268" t="s">
        <v>12</v>
      </c>
      <c r="B255" s="269">
        <v>46048.0</v>
      </c>
      <c r="C255" s="268"/>
      <c r="D255" s="268" t="s">
        <v>102</v>
      </c>
      <c r="E255" s="268" t="s">
        <v>141</v>
      </c>
      <c r="F255" s="268" t="s">
        <v>79</v>
      </c>
      <c r="G255" s="268" t="s">
        <v>80</v>
      </c>
      <c r="H255" s="270">
        <v>250.0</v>
      </c>
      <c r="I255" s="270"/>
      <c r="J255" s="270"/>
      <c r="K255" s="270"/>
      <c r="L255" s="270"/>
      <c r="M255" s="270"/>
      <c r="N255" s="270"/>
      <c r="O255" s="268"/>
      <c r="P255" s="271"/>
    </row>
    <row r="256" ht="15.0" customHeight="1">
      <c r="A256" s="268" t="s">
        <v>12</v>
      </c>
      <c r="B256" s="269">
        <v>46049.0</v>
      </c>
      <c r="C256" s="268"/>
      <c r="D256" s="268" t="s">
        <v>153</v>
      </c>
      <c r="E256" s="268" t="s">
        <v>141</v>
      </c>
      <c r="F256" s="268" t="s">
        <v>79</v>
      </c>
      <c r="G256" s="268" t="s">
        <v>80</v>
      </c>
      <c r="H256" s="270">
        <v>122.0</v>
      </c>
      <c r="I256" s="270"/>
      <c r="J256" s="270"/>
      <c r="K256" s="270"/>
      <c r="L256" s="270"/>
      <c r="M256" s="270"/>
      <c r="N256" s="270"/>
      <c r="O256" s="268"/>
      <c r="P256" s="271"/>
    </row>
    <row r="257" ht="15.0" customHeight="1">
      <c r="A257" s="268" t="s">
        <v>12</v>
      </c>
      <c r="B257" s="269">
        <v>46049.0</v>
      </c>
      <c r="C257" s="268"/>
      <c r="D257" s="268" t="s">
        <v>123</v>
      </c>
      <c r="E257" s="268" t="s">
        <v>141</v>
      </c>
      <c r="F257" s="268" t="s">
        <v>79</v>
      </c>
      <c r="G257" s="268" t="s">
        <v>80</v>
      </c>
      <c r="H257" s="270">
        <v>410.0</v>
      </c>
      <c r="I257" s="270"/>
      <c r="J257" s="270"/>
      <c r="K257" s="270"/>
      <c r="L257" s="270"/>
      <c r="M257" s="270"/>
      <c r="N257" s="270"/>
      <c r="O257" s="268"/>
      <c r="P257" s="271"/>
    </row>
    <row r="258" ht="15.0" customHeight="1">
      <c r="A258" s="268" t="s">
        <v>12</v>
      </c>
      <c r="B258" s="269">
        <v>46049.0</v>
      </c>
      <c r="C258" s="268"/>
      <c r="D258" s="268" t="s">
        <v>339</v>
      </c>
      <c r="E258" s="268" t="s">
        <v>141</v>
      </c>
      <c r="F258" s="268" t="s">
        <v>79</v>
      </c>
      <c r="G258" s="268" t="s">
        <v>80</v>
      </c>
      <c r="H258" s="270">
        <v>78.0</v>
      </c>
      <c r="I258" s="270"/>
      <c r="J258" s="270"/>
      <c r="K258" s="270"/>
      <c r="L258" s="270"/>
      <c r="M258" s="270"/>
      <c r="N258" s="270"/>
      <c r="O258" s="268"/>
      <c r="P258" s="271"/>
    </row>
    <row r="259" ht="15.0" customHeight="1">
      <c r="A259" s="268" t="s">
        <v>12</v>
      </c>
      <c r="B259" s="269">
        <v>46049.0</v>
      </c>
      <c r="C259" s="268"/>
      <c r="D259" s="268" t="s">
        <v>127</v>
      </c>
      <c r="E259" s="268" t="s">
        <v>141</v>
      </c>
      <c r="F259" s="268" t="s">
        <v>79</v>
      </c>
      <c r="G259" s="268" t="s">
        <v>80</v>
      </c>
      <c r="H259" s="270">
        <v>200.0</v>
      </c>
      <c r="I259" s="270"/>
      <c r="J259" s="270"/>
      <c r="K259" s="270"/>
      <c r="L259" s="270"/>
      <c r="M259" s="270"/>
      <c r="N259" s="270"/>
      <c r="O259" s="268"/>
      <c r="P259" s="271"/>
    </row>
    <row r="260" ht="15.0" customHeight="1">
      <c r="A260" s="268" t="s">
        <v>12</v>
      </c>
      <c r="B260" s="269">
        <v>46049.0</v>
      </c>
      <c r="C260" s="268"/>
      <c r="D260" s="268" t="s">
        <v>103</v>
      </c>
      <c r="E260" s="268" t="s">
        <v>141</v>
      </c>
      <c r="F260" s="268" t="s">
        <v>79</v>
      </c>
      <c r="G260" s="268" t="s">
        <v>80</v>
      </c>
      <c r="H260" s="270">
        <v>151.0</v>
      </c>
      <c r="I260" s="270"/>
      <c r="J260" s="270"/>
      <c r="K260" s="270"/>
      <c r="L260" s="270"/>
      <c r="M260" s="270"/>
      <c r="N260" s="270"/>
      <c r="O260" s="268"/>
      <c r="P260" s="271"/>
    </row>
    <row r="261" ht="15.0" customHeight="1">
      <c r="A261" s="268" t="s">
        <v>12</v>
      </c>
      <c r="B261" s="269">
        <v>46049.0</v>
      </c>
      <c r="C261" s="268"/>
      <c r="D261" s="268" t="s">
        <v>145</v>
      </c>
      <c r="E261" s="268" t="s">
        <v>141</v>
      </c>
      <c r="F261" s="268" t="s">
        <v>79</v>
      </c>
      <c r="G261" s="268" t="s">
        <v>80</v>
      </c>
      <c r="H261" s="270">
        <v>200.0</v>
      </c>
      <c r="I261" s="270"/>
      <c r="J261" s="270"/>
      <c r="K261" s="270"/>
      <c r="L261" s="270"/>
      <c r="M261" s="270"/>
      <c r="N261" s="270"/>
      <c r="O261" s="268"/>
      <c r="P261" s="271"/>
    </row>
    <row r="262" ht="15.0" customHeight="1">
      <c r="A262" s="268" t="s">
        <v>12</v>
      </c>
      <c r="B262" s="269">
        <v>46049.0</v>
      </c>
      <c r="C262" s="268"/>
      <c r="D262" s="268" t="s">
        <v>334</v>
      </c>
      <c r="E262" s="268" t="s">
        <v>110</v>
      </c>
      <c r="F262" s="268" t="s">
        <v>79</v>
      </c>
      <c r="G262" s="268" t="s">
        <v>110</v>
      </c>
      <c r="H262" s="270">
        <v>4.0</v>
      </c>
      <c r="I262" s="270"/>
      <c r="J262" s="270"/>
      <c r="K262" s="270"/>
      <c r="L262" s="270"/>
      <c r="M262" s="270"/>
      <c r="N262" s="270"/>
      <c r="O262" s="268"/>
      <c r="P262" s="271"/>
    </row>
    <row r="263" ht="15.0" customHeight="1">
      <c r="A263" s="268" t="s">
        <v>12</v>
      </c>
      <c r="B263" s="269">
        <v>46049.0</v>
      </c>
      <c r="C263" s="268"/>
      <c r="D263" s="268" t="s">
        <v>99</v>
      </c>
      <c r="E263" s="268" t="s">
        <v>110</v>
      </c>
      <c r="F263" s="268" t="s">
        <v>79</v>
      </c>
      <c r="G263" s="268" t="s">
        <v>110</v>
      </c>
      <c r="H263" s="270">
        <v>28.0</v>
      </c>
      <c r="I263" s="270"/>
      <c r="J263" s="270"/>
      <c r="K263" s="270"/>
      <c r="L263" s="270"/>
      <c r="M263" s="270"/>
      <c r="N263" s="270"/>
      <c r="O263" s="268"/>
      <c r="P263" s="271"/>
    </row>
    <row r="264" ht="15.0" customHeight="1">
      <c r="A264" s="268" t="s">
        <v>12</v>
      </c>
      <c r="B264" s="269">
        <v>46049.0</v>
      </c>
      <c r="C264" s="268"/>
      <c r="D264" s="268" t="s">
        <v>153</v>
      </c>
      <c r="E264" s="268" t="s">
        <v>93</v>
      </c>
      <c r="F264" s="268" t="s">
        <v>79</v>
      </c>
      <c r="G264" s="268" t="s">
        <v>93</v>
      </c>
      <c r="H264" s="270">
        <v>2.0</v>
      </c>
      <c r="I264" s="270"/>
      <c r="J264" s="270"/>
      <c r="K264" s="270"/>
      <c r="L264" s="270"/>
      <c r="M264" s="270"/>
      <c r="N264" s="270"/>
      <c r="O264" s="268"/>
      <c r="P264" s="271"/>
    </row>
    <row r="265" ht="15.0" customHeight="1">
      <c r="A265" s="268" t="s">
        <v>16</v>
      </c>
      <c r="B265" s="269">
        <v>46049.0</v>
      </c>
      <c r="C265" s="268"/>
      <c r="D265" s="268"/>
      <c r="E265" s="268" t="s">
        <v>141</v>
      </c>
      <c r="F265" s="268" t="s">
        <v>565</v>
      </c>
      <c r="G265" s="268" t="s">
        <v>80</v>
      </c>
      <c r="H265" s="270">
        <v>14185.0</v>
      </c>
      <c r="I265" s="270"/>
      <c r="J265" s="270"/>
      <c r="K265" s="270"/>
      <c r="L265" s="270"/>
      <c r="M265" s="270"/>
      <c r="N265" s="270"/>
      <c r="O265" s="268"/>
      <c r="P265" s="271"/>
    </row>
    <row r="266" ht="15.0" customHeight="1">
      <c r="A266" s="268" t="s">
        <v>12</v>
      </c>
      <c r="B266" s="269">
        <v>46050.0</v>
      </c>
      <c r="C266" s="268"/>
      <c r="D266" s="268" t="s">
        <v>154</v>
      </c>
      <c r="E266" s="268" t="s">
        <v>141</v>
      </c>
      <c r="F266" s="268" t="s">
        <v>79</v>
      </c>
      <c r="G266" s="268" t="s">
        <v>80</v>
      </c>
      <c r="H266" s="270">
        <v>165.0</v>
      </c>
      <c r="I266" s="270"/>
      <c r="J266" s="270"/>
      <c r="K266" s="270"/>
      <c r="L266" s="270"/>
      <c r="M266" s="270"/>
      <c r="N266" s="270"/>
      <c r="O266" s="268"/>
      <c r="P266" s="271"/>
    </row>
    <row r="267" ht="15.0" customHeight="1">
      <c r="A267" s="268" t="s">
        <v>12</v>
      </c>
      <c r="B267" s="269">
        <v>46050.0</v>
      </c>
      <c r="C267" s="268"/>
      <c r="D267" s="268" t="s">
        <v>130</v>
      </c>
      <c r="E267" s="268" t="s">
        <v>141</v>
      </c>
      <c r="F267" s="268" t="s">
        <v>79</v>
      </c>
      <c r="G267" s="268" t="s">
        <v>80</v>
      </c>
      <c r="H267" s="270">
        <v>140.0</v>
      </c>
      <c r="I267" s="270"/>
      <c r="J267" s="270"/>
      <c r="K267" s="270"/>
      <c r="L267" s="270"/>
      <c r="M267" s="270"/>
      <c r="N267" s="270"/>
      <c r="O267" s="268"/>
      <c r="P267" s="271"/>
    </row>
    <row r="268" ht="15.0" customHeight="1">
      <c r="A268" s="268" t="s">
        <v>12</v>
      </c>
      <c r="B268" s="269">
        <v>46050.0</v>
      </c>
      <c r="C268" s="268"/>
      <c r="D268" s="268" t="s">
        <v>77</v>
      </c>
      <c r="E268" s="268" t="s">
        <v>141</v>
      </c>
      <c r="F268" s="268" t="s">
        <v>79</v>
      </c>
      <c r="G268" s="268" t="s">
        <v>80</v>
      </c>
      <c r="H268" s="270">
        <v>475.0</v>
      </c>
      <c r="I268" s="270"/>
      <c r="J268" s="270"/>
      <c r="K268" s="270"/>
      <c r="L268" s="270"/>
      <c r="M268" s="270"/>
      <c r="N268" s="270"/>
      <c r="O268" s="268"/>
      <c r="P268" s="271"/>
    </row>
    <row r="269" ht="15.0" customHeight="1">
      <c r="A269" s="268" t="s">
        <v>12</v>
      </c>
      <c r="B269" s="269">
        <v>46050.0</v>
      </c>
      <c r="C269" s="268"/>
      <c r="D269" s="268" t="s">
        <v>84</v>
      </c>
      <c r="E269" s="268" t="s">
        <v>141</v>
      </c>
      <c r="F269" s="268" t="s">
        <v>79</v>
      </c>
      <c r="G269" s="268" t="s">
        <v>80</v>
      </c>
      <c r="H269" s="270">
        <v>52.0</v>
      </c>
      <c r="I269" s="270"/>
      <c r="J269" s="270"/>
      <c r="K269" s="270"/>
      <c r="L269" s="270"/>
      <c r="M269" s="270"/>
      <c r="N269" s="270"/>
      <c r="O269" s="268"/>
      <c r="P269" s="271"/>
    </row>
    <row r="270" ht="15.0" customHeight="1">
      <c r="A270" s="268" t="s">
        <v>12</v>
      </c>
      <c r="B270" s="269">
        <v>46050.0</v>
      </c>
      <c r="C270" s="268"/>
      <c r="D270" s="268" t="s">
        <v>334</v>
      </c>
      <c r="E270" s="268" t="s">
        <v>141</v>
      </c>
      <c r="F270" s="268" t="s">
        <v>79</v>
      </c>
      <c r="G270" s="268" t="s">
        <v>80</v>
      </c>
      <c r="H270" s="270">
        <v>44.0</v>
      </c>
      <c r="I270" s="270"/>
      <c r="J270" s="270"/>
      <c r="K270" s="270"/>
      <c r="L270" s="270"/>
      <c r="M270" s="270"/>
      <c r="N270" s="270"/>
      <c r="O270" s="268"/>
      <c r="P270" s="271"/>
    </row>
    <row r="271" ht="15.0" customHeight="1">
      <c r="A271" s="268" t="s">
        <v>12</v>
      </c>
      <c r="B271" s="269">
        <v>46050.0</v>
      </c>
      <c r="C271" s="268"/>
      <c r="D271" s="268" t="s">
        <v>99</v>
      </c>
      <c r="E271" s="268" t="s">
        <v>141</v>
      </c>
      <c r="F271" s="268" t="s">
        <v>79</v>
      </c>
      <c r="G271" s="268" t="s">
        <v>80</v>
      </c>
      <c r="H271" s="270">
        <v>365.0</v>
      </c>
      <c r="I271" s="270"/>
      <c r="J271" s="270"/>
      <c r="K271" s="270"/>
      <c r="L271" s="270"/>
      <c r="M271" s="270"/>
      <c r="N271" s="270"/>
      <c r="O271" s="268"/>
      <c r="P271" s="271"/>
    </row>
    <row r="272" ht="15.0" customHeight="1">
      <c r="A272" s="268" t="s">
        <v>12</v>
      </c>
      <c r="B272" s="269">
        <v>46050.0</v>
      </c>
      <c r="C272" s="268"/>
      <c r="D272" s="268" t="s">
        <v>86</v>
      </c>
      <c r="E272" s="268" t="s">
        <v>141</v>
      </c>
      <c r="F272" s="268" t="s">
        <v>79</v>
      </c>
      <c r="G272" s="268" t="s">
        <v>80</v>
      </c>
      <c r="H272" s="270">
        <v>211.0</v>
      </c>
      <c r="I272" s="270"/>
      <c r="J272" s="270"/>
      <c r="K272" s="270"/>
      <c r="L272" s="270"/>
      <c r="M272" s="270"/>
      <c r="N272" s="270"/>
      <c r="O272" s="268"/>
      <c r="P272" s="271"/>
    </row>
    <row r="273" ht="15.0" customHeight="1">
      <c r="A273" s="268" t="s">
        <v>12</v>
      </c>
      <c r="B273" s="269">
        <v>46050.0</v>
      </c>
      <c r="C273" s="268"/>
      <c r="D273" s="268" t="s">
        <v>113</v>
      </c>
      <c r="E273" s="268" t="s">
        <v>141</v>
      </c>
      <c r="F273" s="268" t="s">
        <v>79</v>
      </c>
      <c r="G273" s="268" t="s">
        <v>80</v>
      </c>
      <c r="H273" s="270">
        <v>230.0</v>
      </c>
      <c r="I273" s="270"/>
      <c r="J273" s="270"/>
      <c r="K273" s="270"/>
      <c r="L273" s="270"/>
      <c r="M273" s="270"/>
      <c r="N273" s="270"/>
      <c r="O273" s="268"/>
      <c r="P273" s="271"/>
    </row>
    <row r="274" ht="15.0" customHeight="1">
      <c r="A274" s="268" t="s">
        <v>12</v>
      </c>
      <c r="B274" s="269">
        <v>46050.0</v>
      </c>
      <c r="C274" s="268"/>
      <c r="D274" s="268" t="s">
        <v>98</v>
      </c>
      <c r="E274" s="268" t="s">
        <v>141</v>
      </c>
      <c r="F274" s="268" t="s">
        <v>79</v>
      </c>
      <c r="G274" s="268" t="s">
        <v>80</v>
      </c>
      <c r="H274" s="270">
        <v>200.0</v>
      </c>
      <c r="I274" s="270"/>
      <c r="J274" s="270"/>
      <c r="K274" s="270"/>
      <c r="L274" s="270"/>
      <c r="M274" s="270"/>
      <c r="N274" s="270"/>
      <c r="O274" s="268"/>
      <c r="P274" s="271"/>
    </row>
    <row r="275" ht="15.0" customHeight="1">
      <c r="A275" s="268" t="s">
        <v>12</v>
      </c>
      <c r="B275" s="269">
        <v>46050.0</v>
      </c>
      <c r="C275" s="268"/>
      <c r="D275" s="268" t="s">
        <v>101</v>
      </c>
      <c r="E275" s="268" t="s">
        <v>141</v>
      </c>
      <c r="F275" s="268" t="s">
        <v>79</v>
      </c>
      <c r="G275" s="268" t="s">
        <v>80</v>
      </c>
      <c r="H275" s="270">
        <v>206.0</v>
      </c>
      <c r="I275" s="270"/>
      <c r="J275" s="270"/>
      <c r="K275" s="270"/>
      <c r="L275" s="270"/>
      <c r="M275" s="270"/>
      <c r="N275" s="270"/>
      <c r="O275" s="268"/>
      <c r="P275" s="271"/>
    </row>
    <row r="276" ht="15.0" customHeight="1">
      <c r="A276" s="268" t="s">
        <v>12</v>
      </c>
      <c r="B276" s="269">
        <v>46050.0</v>
      </c>
      <c r="C276" s="268"/>
      <c r="D276" s="268" t="s">
        <v>97</v>
      </c>
      <c r="E276" s="268" t="s">
        <v>141</v>
      </c>
      <c r="F276" s="268" t="s">
        <v>79</v>
      </c>
      <c r="G276" s="268" t="s">
        <v>80</v>
      </c>
      <c r="H276" s="270">
        <v>170.0</v>
      </c>
      <c r="I276" s="270"/>
      <c r="J276" s="270"/>
      <c r="K276" s="270"/>
      <c r="L276" s="270"/>
      <c r="M276" s="270"/>
      <c r="N276" s="270"/>
      <c r="O276" s="268"/>
      <c r="P276" s="271"/>
    </row>
    <row r="277" ht="15.0" customHeight="1">
      <c r="A277" s="268" t="s">
        <v>12</v>
      </c>
      <c r="B277" s="269">
        <v>46050.0</v>
      </c>
      <c r="C277" s="268"/>
      <c r="D277" s="268" t="s">
        <v>154</v>
      </c>
      <c r="E277" s="268" t="s">
        <v>93</v>
      </c>
      <c r="F277" s="268" t="s">
        <v>79</v>
      </c>
      <c r="G277" s="268" t="s">
        <v>93</v>
      </c>
      <c r="H277" s="270">
        <v>3.0</v>
      </c>
      <c r="I277" s="270"/>
      <c r="J277" s="270"/>
      <c r="K277" s="270"/>
      <c r="L277" s="270"/>
      <c r="M277" s="270"/>
      <c r="N277" s="270"/>
      <c r="O277" s="268"/>
      <c r="P277" s="271"/>
    </row>
    <row r="278" ht="15.0" customHeight="1">
      <c r="A278" s="268" t="s">
        <v>12</v>
      </c>
      <c r="B278" s="269">
        <v>46051.0</v>
      </c>
      <c r="C278" s="268"/>
      <c r="D278" s="268" t="s">
        <v>334</v>
      </c>
      <c r="E278" s="268" t="s">
        <v>141</v>
      </c>
      <c r="F278" s="268" t="s">
        <v>79</v>
      </c>
      <c r="G278" s="268" t="s">
        <v>80</v>
      </c>
      <c r="H278" s="270">
        <v>354.0</v>
      </c>
      <c r="I278" s="270"/>
      <c r="J278" s="270"/>
      <c r="K278" s="270"/>
      <c r="L278" s="270"/>
      <c r="M278" s="270"/>
      <c r="N278" s="270"/>
      <c r="O278" s="268"/>
      <c r="P278" s="271"/>
    </row>
    <row r="279" ht="15.0" customHeight="1">
      <c r="A279" s="268" t="s">
        <v>12</v>
      </c>
      <c r="B279" s="269">
        <v>46051.0</v>
      </c>
      <c r="C279" s="268"/>
      <c r="D279" s="268" t="s">
        <v>119</v>
      </c>
      <c r="E279" s="268" t="s">
        <v>141</v>
      </c>
      <c r="F279" s="268" t="s">
        <v>79</v>
      </c>
      <c r="G279" s="268" t="s">
        <v>80</v>
      </c>
      <c r="H279" s="270">
        <v>363.0</v>
      </c>
      <c r="I279" s="270"/>
      <c r="J279" s="270"/>
      <c r="K279" s="270"/>
      <c r="L279" s="270"/>
      <c r="M279" s="270"/>
      <c r="N279" s="270"/>
      <c r="O279" s="268"/>
      <c r="P279" s="271"/>
    </row>
    <row r="280" ht="15.0" customHeight="1">
      <c r="A280" s="268" t="s">
        <v>12</v>
      </c>
      <c r="B280" s="269">
        <v>46051.0</v>
      </c>
      <c r="C280" s="268"/>
      <c r="D280" s="268" t="s">
        <v>100</v>
      </c>
      <c r="E280" s="268" t="s">
        <v>141</v>
      </c>
      <c r="F280" s="268" t="s">
        <v>79</v>
      </c>
      <c r="G280" s="268" t="s">
        <v>80</v>
      </c>
      <c r="H280" s="270">
        <v>322.0</v>
      </c>
      <c r="I280" s="270"/>
      <c r="J280" s="270"/>
      <c r="K280" s="270"/>
      <c r="L280" s="270"/>
      <c r="M280" s="270"/>
      <c r="N280" s="270"/>
      <c r="O280" s="268"/>
      <c r="P280" s="271"/>
    </row>
    <row r="281" ht="15.0" customHeight="1">
      <c r="A281" s="268" t="s">
        <v>12</v>
      </c>
      <c r="B281" s="269">
        <v>46051.0</v>
      </c>
      <c r="C281" s="268"/>
      <c r="D281" s="268" t="s">
        <v>117</v>
      </c>
      <c r="E281" s="268" t="s">
        <v>141</v>
      </c>
      <c r="F281" s="268" t="s">
        <v>79</v>
      </c>
      <c r="G281" s="268" t="s">
        <v>80</v>
      </c>
      <c r="H281" s="270">
        <v>164.0</v>
      </c>
      <c r="I281" s="270"/>
      <c r="J281" s="270"/>
      <c r="K281" s="270"/>
      <c r="L281" s="270"/>
      <c r="M281" s="270"/>
      <c r="N281" s="270"/>
      <c r="O281" s="268"/>
      <c r="P281" s="271"/>
    </row>
    <row r="282" ht="15.0" customHeight="1">
      <c r="A282" s="268" t="s">
        <v>12</v>
      </c>
      <c r="B282" s="269">
        <v>46051.0</v>
      </c>
      <c r="C282" s="268"/>
      <c r="D282" s="268" t="s">
        <v>135</v>
      </c>
      <c r="E282" s="268" t="s">
        <v>141</v>
      </c>
      <c r="F282" s="268" t="s">
        <v>79</v>
      </c>
      <c r="G282" s="268" t="s">
        <v>80</v>
      </c>
      <c r="H282" s="270">
        <v>52.0</v>
      </c>
      <c r="I282" s="270"/>
      <c r="J282" s="270"/>
      <c r="K282" s="270"/>
      <c r="L282" s="270"/>
      <c r="M282" s="270"/>
      <c r="N282" s="270"/>
      <c r="O282" s="268"/>
      <c r="P282" s="271"/>
    </row>
    <row r="283" ht="15.0" customHeight="1">
      <c r="A283" s="268" t="s">
        <v>12</v>
      </c>
      <c r="B283" s="269">
        <v>46051.0</v>
      </c>
      <c r="C283" s="268"/>
      <c r="D283" s="268" t="s">
        <v>127</v>
      </c>
      <c r="E283" s="268" t="s">
        <v>141</v>
      </c>
      <c r="F283" s="268" t="s">
        <v>79</v>
      </c>
      <c r="G283" s="268" t="s">
        <v>80</v>
      </c>
      <c r="H283" s="270">
        <v>150.0</v>
      </c>
      <c r="I283" s="270"/>
      <c r="J283" s="270"/>
      <c r="K283" s="270"/>
      <c r="L283" s="270"/>
      <c r="M283" s="270"/>
      <c r="N283" s="270"/>
      <c r="O283" s="268"/>
      <c r="P283" s="271"/>
    </row>
    <row r="284" ht="15.0" customHeight="1">
      <c r="A284" s="268" t="s">
        <v>12</v>
      </c>
      <c r="B284" s="269">
        <v>46051.0</v>
      </c>
      <c r="C284" s="268"/>
      <c r="D284" s="268" t="s">
        <v>103</v>
      </c>
      <c r="E284" s="268" t="s">
        <v>141</v>
      </c>
      <c r="F284" s="268" t="s">
        <v>79</v>
      </c>
      <c r="G284" s="268" t="s">
        <v>80</v>
      </c>
      <c r="H284" s="270">
        <v>129.0</v>
      </c>
      <c r="I284" s="270"/>
      <c r="J284" s="270"/>
      <c r="K284" s="270"/>
      <c r="L284" s="270"/>
      <c r="M284" s="270"/>
      <c r="N284" s="270"/>
      <c r="O284" s="268"/>
      <c r="P284" s="271"/>
    </row>
    <row r="285" ht="15.0" customHeight="1">
      <c r="A285" s="268" t="s">
        <v>12</v>
      </c>
      <c r="B285" s="269">
        <v>46051.0</v>
      </c>
      <c r="C285" s="268"/>
      <c r="D285" s="268" t="s">
        <v>112</v>
      </c>
      <c r="E285" s="268" t="s">
        <v>141</v>
      </c>
      <c r="F285" s="268" t="s">
        <v>79</v>
      </c>
      <c r="G285" s="268" t="s">
        <v>80</v>
      </c>
      <c r="H285" s="270">
        <v>230.0</v>
      </c>
      <c r="I285" s="270"/>
      <c r="J285" s="270"/>
      <c r="K285" s="270"/>
      <c r="L285" s="270"/>
      <c r="M285" s="270"/>
      <c r="N285" s="270"/>
      <c r="O285" s="268"/>
      <c r="P285" s="271"/>
    </row>
    <row r="286" ht="15.0" customHeight="1">
      <c r="A286" s="268" t="s">
        <v>12</v>
      </c>
      <c r="B286" s="269">
        <v>46051.0</v>
      </c>
      <c r="C286" s="268"/>
      <c r="D286" s="268" t="s">
        <v>138</v>
      </c>
      <c r="E286" s="268" t="s">
        <v>141</v>
      </c>
      <c r="F286" s="268" t="s">
        <v>79</v>
      </c>
      <c r="G286" s="268" t="s">
        <v>80</v>
      </c>
      <c r="H286" s="270">
        <v>230.0</v>
      </c>
      <c r="I286" s="270"/>
      <c r="J286" s="270"/>
      <c r="K286" s="270"/>
      <c r="L286" s="270"/>
      <c r="M286" s="270"/>
      <c r="N286" s="270"/>
      <c r="O286" s="268"/>
      <c r="P286" s="271"/>
    </row>
    <row r="287" ht="15.0" customHeight="1">
      <c r="A287" s="268" t="s">
        <v>12</v>
      </c>
      <c r="B287" s="269">
        <v>46051.0</v>
      </c>
      <c r="C287" s="268"/>
      <c r="D287" s="268" t="s">
        <v>123</v>
      </c>
      <c r="E287" s="268" t="s">
        <v>110</v>
      </c>
      <c r="F287" s="268" t="s">
        <v>79</v>
      </c>
      <c r="G287" s="268" t="s">
        <v>110</v>
      </c>
      <c r="H287" s="270">
        <v>4.0</v>
      </c>
      <c r="I287" s="270"/>
      <c r="J287" s="270"/>
      <c r="K287" s="270"/>
      <c r="L287" s="270"/>
      <c r="M287" s="270"/>
      <c r="N287" s="270"/>
      <c r="O287" s="268"/>
      <c r="P287" s="271"/>
    </row>
    <row r="288" ht="15.0" customHeight="1">
      <c r="A288" s="268" t="s">
        <v>12</v>
      </c>
      <c r="B288" s="269">
        <v>46052.0</v>
      </c>
      <c r="C288" s="268"/>
      <c r="D288" s="268" t="s">
        <v>158</v>
      </c>
      <c r="E288" s="268" t="s">
        <v>141</v>
      </c>
      <c r="F288" s="268" t="s">
        <v>79</v>
      </c>
      <c r="G288" s="268" t="s">
        <v>80</v>
      </c>
      <c r="H288" s="270">
        <v>182.0</v>
      </c>
      <c r="I288" s="270"/>
      <c r="J288" s="270"/>
      <c r="K288" s="270"/>
      <c r="L288" s="270"/>
      <c r="M288" s="270"/>
      <c r="N288" s="270"/>
      <c r="O288" s="268"/>
      <c r="P288" s="271"/>
    </row>
    <row r="289" ht="15.0" customHeight="1">
      <c r="A289" s="268" t="s">
        <v>12</v>
      </c>
      <c r="B289" s="269">
        <v>46052.0</v>
      </c>
      <c r="C289" s="268"/>
      <c r="D289" s="268" t="s">
        <v>126</v>
      </c>
      <c r="E289" s="268" t="s">
        <v>141</v>
      </c>
      <c r="F289" s="268" t="s">
        <v>79</v>
      </c>
      <c r="G289" s="268" t="s">
        <v>80</v>
      </c>
      <c r="H289" s="270">
        <v>223.0</v>
      </c>
      <c r="I289" s="270"/>
      <c r="J289" s="270"/>
      <c r="K289" s="270"/>
      <c r="L289" s="270"/>
      <c r="M289" s="270"/>
      <c r="N289" s="270"/>
      <c r="O289" s="268"/>
      <c r="P289" s="271"/>
    </row>
    <row r="290" ht="15.0" customHeight="1">
      <c r="A290" s="268" t="s">
        <v>12</v>
      </c>
      <c r="B290" s="269">
        <v>46052.0</v>
      </c>
      <c r="C290" s="268"/>
      <c r="D290" s="268" t="s">
        <v>82</v>
      </c>
      <c r="E290" s="268" t="s">
        <v>141</v>
      </c>
      <c r="F290" s="268" t="s">
        <v>79</v>
      </c>
      <c r="G290" s="268" t="s">
        <v>80</v>
      </c>
      <c r="H290" s="270">
        <v>420.0</v>
      </c>
      <c r="I290" s="270"/>
      <c r="J290" s="270"/>
      <c r="K290" s="270"/>
      <c r="L290" s="270"/>
      <c r="M290" s="270"/>
      <c r="N290" s="270"/>
      <c r="O290" s="268"/>
      <c r="P290" s="271"/>
    </row>
    <row r="291" ht="15.0" customHeight="1">
      <c r="A291" s="268" t="s">
        <v>12</v>
      </c>
      <c r="B291" s="269">
        <v>46052.0</v>
      </c>
      <c r="C291" s="268"/>
      <c r="D291" s="268" t="s">
        <v>84</v>
      </c>
      <c r="E291" s="268" t="s">
        <v>141</v>
      </c>
      <c r="F291" s="268" t="s">
        <v>79</v>
      </c>
      <c r="G291" s="268" t="s">
        <v>80</v>
      </c>
      <c r="H291" s="270">
        <v>370.0</v>
      </c>
      <c r="I291" s="270"/>
      <c r="J291" s="270"/>
      <c r="K291" s="270"/>
      <c r="L291" s="270"/>
      <c r="M291" s="270"/>
      <c r="N291" s="270"/>
      <c r="O291" s="268"/>
      <c r="P291" s="271"/>
    </row>
    <row r="292" ht="15.0" customHeight="1">
      <c r="A292" s="268" t="s">
        <v>12</v>
      </c>
      <c r="B292" s="269">
        <v>46052.0</v>
      </c>
      <c r="C292" s="268"/>
      <c r="D292" s="268" t="s">
        <v>337</v>
      </c>
      <c r="E292" s="268" t="s">
        <v>141</v>
      </c>
      <c r="F292" s="268" t="s">
        <v>79</v>
      </c>
      <c r="G292" s="268" t="s">
        <v>80</v>
      </c>
      <c r="H292" s="270">
        <v>400.0</v>
      </c>
      <c r="I292" s="270"/>
      <c r="J292" s="270"/>
      <c r="K292" s="270"/>
      <c r="L292" s="270"/>
      <c r="M292" s="270"/>
      <c r="N292" s="270"/>
      <c r="O292" s="268"/>
      <c r="P292" s="271"/>
    </row>
    <row r="293" ht="15.0" customHeight="1">
      <c r="A293" s="268" t="s">
        <v>12</v>
      </c>
      <c r="B293" s="269">
        <v>46052.0</v>
      </c>
      <c r="C293" s="268"/>
      <c r="D293" s="268" t="s">
        <v>96</v>
      </c>
      <c r="E293" s="268" t="s">
        <v>141</v>
      </c>
      <c r="F293" s="268" t="s">
        <v>79</v>
      </c>
      <c r="G293" s="268" t="s">
        <v>80</v>
      </c>
      <c r="H293" s="270">
        <v>385.0</v>
      </c>
      <c r="I293" s="270"/>
      <c r="J293" s="270"/>
      <c r="K293" s="270"/>
      <c r="L293" s="270"/>
      <c r="M293" s="270"/>
      <c r="N293" s="270"/>
      <c r="O293" s="268"/>
      <c r="P293" s="271"/>
    </row>
    <row r="294" ht="15.0" customHeight="1">
      <c r="A294" s="268" t="s">
        <v>12</v>
      </c>
      <c r="B294" s="269">
        <v>46052.0</v>
      </c>
      <c r="C294" s="268"/>
      <c r="D294" s="268" t="s">
        <v>136</v>
      </c>
      <c r="E294" s="268" t="s">
        <v>141</v>
      </c>
      <c r="F294" s="268" t="s">
        <v>79</v>
      </c>
      <c r="G294" s="268" t="s">
        <v>80</v>
      </c>
      <c r="H294" s="270">
        <v>56.0</v>
      </c>
      <c r="I294" s="270"/>
      <c r="J294" s="270"/>
      <c r="K294" s="270"/>
      <c r="L294" s="270"/>
      <c r="M294" s="270"/>
      <c r="N294" s="270"/>
      <c r="O294" s="268"/>
      <c r="P294" s="271"/>
    </row>
    <row r="295" ht="15.0" customHeight="1">
      <c r="A295" s="268" t="s">
        <v>12</v>
      </c>
      <c r="B295" s="269">
        <v>46052.0</v>
      </c>
      <c r="C295" s="268"/>
      <c r="D295" s="268" t="s">
        <v>91</v>
      </c>
      <c r="E295" s="268" t="s">
        <v>141</v>
      </c>
      <c r="F295" s="268" t="s">
        <v>79</v>
      </c>
      <c r="G295" s="268" t="s">
        <v>80</v>
      </c>
      <c r="H295" s="270">
        <v>41.0</v>
      </c>
      <c r="I295" s="270"/>
      <c r="J295" s="270"/>
      <c r="K295" s="270"/>
      <c r="L295" s="270"/>
      <c r="M295" s="270"/>
      <c r="N295" s="270"/>
      <c r="O295" s="268"/>
      <c r="P295" s="271"/>
    </row>
    <row r="296" ht="15.0" customHeight="1">
      <c r="A296" s="268" t="s">
        <v>12</v>
      </c>
      <c r="B296" s="269">
        <v>46052.0</v>
      </c>
      <c r="C296" s="268"/>
      <c r="D296" s="268" t="s">
        <v>339</v>
      </c>
      <c r="E296" s="268" t="s">
        <v>141</v>
      </c>
      <c r="F296" s="268" t="s">
        <v>79</v>
      </c>
      <c r="G296" s="268" t="s">
        <v>80</v>
      </c>
      <c r="H296" s="270">
        <v>40.0</v>
      </c>
      <c r="I296" s="270"/>
      <c r="J296" s="270"/>
      <c r="K296" s="270"/>
      <c r="L296" s="270"/>
      <c r="M296" s="270"/>
      <c r="N296" s="270"/>
      <c r="O296" s="268"/>
      <c r="P296" s="271"/>
    </row>
    <row r="297" ht="15.0" customHeight="1">
      <c r="A297" s="268" t="s">
        <v>12</v>
      </c>
      <c r="B297" s="269">
        <v>46052.0</v>
      </c>
      <c r="C297" s="268"/>
      <c r="D297" s="268" t="s">
        <v>87</v>
      </c>
      <c r="E297" s="268" t="s">
        <v>141</v>
      </c>
      <c r="F297" s="268" t="s">
        <v>79</v>
      </c>
      <c r="G297" s="268" t="s">
        <v>80</v>
      </c>
      <c r="H297" s="270">
        <v>257.0</v>
      </c>
      <c r="I297" s="270"/>
      <c r="J297" s="270"/>
      <c r="K297" s="270"/>
      <c r="L297" s="270"/>
      <c r="M297" s="270"/>
      <c r="N297" s="270"/>
      <c r="O297" s="268"/>
      <c r="P297" s="271"/>
    </row>
    <row r="298" ht="15.0" customHeight="1">
      <c r="A298" s="268" t="s">
        <v>12</v>
      </c>
      <c r="B298" s="269">
        <v>46052.0</v>
      </c>
      <c r="C298" s="268"/>
      <c r="D298" s="268" t="s">
        <v>102</v>
      </c>
      <c r="E298" s="268" t="s">
        <v>141</v>
      </c>
      <c r="F298" s="268" t="s">
        <v>79</v>
      </c>
      <c r="G298" s="268" t="s">
        <v>80</v>
      </c>
      <c r="H298" s="270">
        <v>210.0</v>
      </c>
      <c r="I298" s="270"/>
      <c r="J298" s="270"/>
      <c r="K298" s="270"/>
      <c r="L298" s="270"/>
      <c r="M298" s="270"/>
      <c r="N298" s="270"/>
      <c r="O298" s="268"/>
      <c r="P298" s="271"/>
    </row>
    <row r="299" ht="15.0" customHeight="1">
      <c r="A299" s="268" t="s">
        <v>12</v>
      </c>
      <c r="B299" s="269">
        <v>46052.0</v>
      </c>
      <c r="C299" s="268"/>
      <c r="D299" s="268" t="s">
        <v>336</v>
      </c>
      <c r="E299" s="268" t="s">
        <v>141</v>
      </c>
      <c r="F299" s="268" t="s">
        <v>79</v>
      </c>
      <c r="G299" s="268" t="s">
        <v>80</v>
      </c>
      <c r="H299" s="270">
        <v>240.0</v>
      </c>
      <c r="I299" s="270"/>
      <c r="J299" s="270"/>
      <c r="K299" s="270"/>
      <c r="L299" s="270"/>
      <c r="M299" s="270"/>
      <c r="N299" s="270"/>
      <c r="O299" s="268"/>
      <c r="P299" s="271"/>
    </row>
    <row r="300" ht="15.0" customHeight="1">
      <c r="A300" s="268" t="s">
        <v>12</v>
      </c>
      <c r="B300" s="269">
        <v>46052.0</v>
      </c>
      <c r="C300" s="268"/>
      <c r="D300" s="268" t="s">
        <v>98</v>
      </c>
      <c r="E300" s="268" t="s">
        <v>141</v>
      </c>
      <c r="F300" s="268" t="s">
        <v>79</v>
      </c>
      <c r="G300" s="268" t="s">
        <v>80</v>
      </c>
      <c r="H300" s="270">
        <v>177.0</v>
      </c>
      <c r="I300" s="270"/>
      <c r="J300" s="270"/>
      <c r="K300" s="270"/>
      <c r="L300" s="270"/>
      <c r="M300" s="270"/>
      <c r="N300" s="270"/>
      <c r="O300" s="268"/>
      <c r="P300" s="271"/>
    </row>
    <row r="301" ht="15.0" customHeight="1">
      <c r="A301" s="268" t="s">
        <v>12</v>
      </c>
      <c r="B301" s="269">
        <v>46052.0</v>
      </c>
      <c r="C301" s="268"/>
      <c r="D301" s="268" t="s">
        <v>158</v>
      </c>
      <c r="E301" s="268" t="s">
        <v>110</v>
      </c>
      <c r="F301" s="268" t="s">
        <v>79</v>
      </c>
      <c r="G301" s="268" t="s">
        <v>110</v>
      </c>
      <c r="H301" s="270">
        <v>6.0</v>
      </c>
      <c r="I301" s="270"/>
      <c r="J301" s="270"/>
      <c r="K301" s="270"/>
      <c r="L301" s="270"/>
      <c r="M301" s="270"/>
      <c r="N301" s="270"/>
      <c r="O301" s="268"/>
      <c r="P301" s="271"/>
    </row>
    <row r="302" ht="15.0" customHeight="1">
      <c r="A302" s="268" t="s">
        <v>12</v>
      </c>
      <c r="B302" s="269">
        <v>46053.0</v>
      </c>
      <c r="C302" s="268"/>
      <c r="D302" s="268" t="s">
        <v>154</v>
      </c>
      <c r="E302" s="268" t="s">
        <v>141</v>
      </c>
      <c r="F302" s="268" t="s">
        <v>79</v>
      </c>
      <c r="G302" s="268" t="s">
        <v>80</v>
      </c>
      <c r="H302" s="270">
        <v>95.0</v>
      </c>
      <c r="I302" s="270"/>
      <c r="J302" s="270"/>
      <c r="K302" s="270"/>
      <c r="L302" s="270"/>
      <c r="M302" s="270"/>
      <c r="N302" s="270"/>
      <c r="O302" s="268"/>
      <c r="P302" s="271"/>
    </row>
    <row r="303" ht="15.0" customHeight="1">
      <c r="A303" s="268" t="s">
        <v>12</v>
      </c>
      <c r="B303" s="269">
        <v>46053.0</v>
      </c>
      <c r="C303" s="268"/>
      <c r="D303" s="268" t="s">
        <v>153</v>
      </c>
      <c r="E303" s="268" t="s">
        <v>141</v>
      </c>
      <c r="F303" s="268" t="s">
        <v>79</v>
      </c>
      <c r="G303" s="268" t="s">
        <v>80</v>
      </c>
      <c r="H303" s="270">
        <v>107.0</v>
      </c>
      <c r="I303" s="270"/>
      <c r="J303" s="270"/>
      <c r="K303" s="270"/>
      <c r="L303" s="270"/>
      <c r="M303" s="270"/>
      <c r="N303" s="270"/>
      <c r="O303" s="268"/>
      <c r="P303" s="271"/>
    </row>
    <row r="304" ht="15.0" customHeight="1">
      <c r="A304" s="268" t="s">
        <v>12</v>
      </c>
      <c r="B304" s="269">
        <v>46053.0</v>
      </c>
      <c r="C304" s="268"/>
      <c r="D304" s="268" t="s">
        <v>159</v>
      </c>
      <c r="E304" s="268" t="s">
        <v>141</v>
      </c>
      <c r="F304" s="268" t="s">
        <v>79</v>
      </c>
      <c r="G304" s="268" t="s">
        <v>80</v>
      </c>
      <c r="H304" s="270">
        <v>146.0</v>
      </c>
      <c r="I304" s="270"/>
      <c r="J304" s="270"/>
      <c r="K304" s="270"/>
      <c r="L304" s="270"/>
      <c r="M304" s="270"/>
      <c r="N304" s="270"/>
      <c r="O304" s="268"/>
      <c r="P304" s="271"/>
    </row>
    <row r="305" ht="15.0" customHeight="1">
      <c r="A305" s="268" t="s">
        <v>12</v>
      </c>
      <c r="B305" s="269">
        <v>46053.0</v>
      </c>
      <c r="C305" s="268"/>
      <c r="D305" s="268" t="s">
        <v>130</v>
      </c>
      <c r="E305" s="268" t="s">
        <v>141</v>
      </c>
      <c r="F305" s="268" t="s">
        <v>79</v>
      </c>
      <c r="G305" s="268" t="s">
        <v>80</v>
      </c>
      <c r="H305" s="270">
        <v>119.0</v>
      </c>
      <c r="I305" s="270"/>
      <c r="J305" s="270"/>
      <c r="K305" s="270"/>
      <c r="L305" s="270"/>
      <c r="M305" s="270"/>
      <c r="N305" s="270"/>
      <c r="O305" s="268"/>
      <c r="P305" s="271"/>
    </row>
    <row r="306" ht="15.0" customHeight="1">
      <c r="A306" s="268" t="s">
        <v>12</v>
      </c>
      <c r="B306" s="269">
        <v>46053.0</v>
      </c>
      <c r="C306" s="268"/>
      <c r="D306" s="268" t="s">
        <v>88</v>
      </c>
      <c r="E306" s="268" t="s">
        <v>141</v>
      </c>
      <c r="F306" s="268" t="s">
        <v>79</v>
      </c>
      <c r="G306" s="268" t="s">
        <v>80</v>
      </c>
      <c r="H306" s="270">
        <v>380.0</v>
      </c>
      <c r="I306" s="270"/>
      <c r="J306" s="270"/>
      <c r="K306" s="270"/>
      <c r="L306" s="270"/>
      <c r="M306" s="270"/>
      <c r="N306" s="270"/>
      <c r="O306" s="268"/>
      <c r="P306" s="271"/>
    </row>
    <row r="307" ht="15.0" customHeight="1">
      <c r="A307" s="268" t="s">
        <v>12</v>
      </c>
      <c r="B307" s="269">
        <v>46053.0</v>
      </c>
      <c r="C307" s="268"/>
      <c r="D307" s="268" t="s">
        <v>88</v>
      </c>
      <c r="E307" s="268" t="s">
        <v>149</v>
      </c>
      <c r="F307" s="268" t="s">
        <v>150</v>
      </c>
      <c r="G307" s="268" t="s">
        <v>80</v>
      </c>
      <c r="H307" s="270">
        <v>900.0</v>
      </c>
      <c r="I307" s="270"/>
      <c r="J307" s="270"/>
      <c r="K307" s="270"/>
      <c r="L307" s="270"/>
      <c r="M307" s="270"/>
      <c r="N307" s="270"/>
      <c r="O307" s="268" t="s">
        <v>566</v>
      </c>
      <c r="P307" s="271"/>
    </row>
    <row r="308" ht="15.0" customHeight="1">
      <c r="A308" s="268" t="s">
        <v>12</v>
      </c>
      <c r="B308" s="269">
        <v>46053.0</v>
      </c>
      <c r="C308" s="268"/>
      <c r="D308" s="268" t="s">
        <v>123</v>
      </c>
      <c r="E308" s="268" t="s">
        <v>141</v>
      </c>
      <c r="F308" s="268" t="s">
        <v>79</v>
      </c>
      <c r="G308" s="268" t="s">
        <v>80</v>
      </c>
      <c r="H308" s="270">
        <v>440.0</v>
      </c>
      <c r="I308" s="270"/>
      <c r="J308" s="270"/>
      <c r="K308" s="270"/>
      <c r="L308" s="270"/>
      <c r="M308" s="270"/>
      <c r="N308" s="270"/>
      <c r="O308" s="268"/>
      <c r="P308" s="271"/>
    </row>
    <row r="309" ht="15.0" customHeight="1">
      <c r="A309" s="268" t="s">
        <v>12</v>
      </c>
      <c r="B309" s="269">
        <v>46053.0</v>
      </c>
      <c r="C309" s="268"/>
      <c r="D309" s="268" t="s">
        <v>123</v>
      </c>
      <c r="E309" s="268" t="s">
        <v>149</v>
      </c>
      <c r="F309" s="268" t="s">
        <v>150</v>
      </c>
      <c r="G309" s="268" t="s">
        <v>80</v>
      </c>
      <c r="H309" s="270">
        <v>200.0</v>
      </c>
      <c r="I309" s="270"/>
      <c r="J309" s="270"/>
      <c r="K309" s="270"/>
      <c r="L309" s="270"/>
      <c r="M309" s="270"/>
      <c r="N309" s="270"/>
      <c r="O309" s="268" t="s">
        <v>566</v>
      </c>
      <c r="P309" s="271"/>
    </row>
    <row r="310" ht="15.0" customHeight="1">
      <c r="A310" s="268" t="s">
        <v>12</v>
      </c>
      <c r="B310" s="269">
        <v>46053.0</v>
      </c>
      <c r="C310" s="268"/>
      <c r="D310" s="268" t="s">
        <v>334</v>
      </c>
      <c r="E310" s="268" t="s">
        <v>141</v>
      </c>
      <c r="F310" s="268" t="s">
        <v>79</v>
      </c>
      <c r="G310" s="268" t="s">
        <v>80</v>
      </c>
      <c r="H310" s="270">
        <v>323.0</v>
      </c>
      <c r="I310" s="270"/>
      <c r="J310" s="270"/>
      <c r="K310" s="270"/>
      <c r="L310" s="270"/>
      <c r="M310" s="270"/>
      <c r="N310" s="270"/>
      <c r="O310" s="268"/>
      <c r="P310" s="271"/>
    </row>
    <row r="311" ht="15.0" customHeight="1">
      <c r="A311" s="268" t="s">
        <v>12</v>
      </c>
      <c r="B311" s="269">
        <v>46053.0</v>
      </c>
      <c r="C311" s="268"/>
      <c r="D311" s="268" t="s">
        <v>119</v>
      </c>
      <c r="E311" s="268" t="s">
        <v>141</v>
      </c>
      <c r="F311" s="268" t="s">
        <v>79</v>
      </c>
      <c r="G311" s="268" t="s">
        <v>80</v>
      </c>
      <c r="H311" s="270">
        <v>161.0</v>
      </c>
      <c r="I311" s="270"/>
      <c r="J311" s="270"/>
      <c r="K311" s="270"/>
      <c r="L311" s="270"/>
      <c r="M311" s="270"/>
      <c r="N311" s="270"/>
      <c r="O311" s="268"/>
      <c r="P311" s="271"/>
    </row>
    <row r="312" ht="15.0" customHeight="1">
      <c r="A312" s="268" t="s">
        <v>12</v>
      </c>
      <c r="B312" s="269">
        <v>46053.0</v>
      </c>
      <c r="C312" s="268"/>
      <c r="D312" s="268" t="s">
        <v>119</v>
      </c>
      <c r="E312" s="268" t="s">
        <v>149</v>
      </c>
      <c r="F312" s="268" t="s">
        <v>150</v>
      </c>
      <c r="G312" s="268" t="s">
        <v>80</v>
      </c>
      <c r="H312" s="270">
        <v>1250.0</v>
      </c>
      <c r="I312" s="270"/>
      <c r="J312" s="270"/>
      <c r="K312" s="270"/>
      <c r="L312" s="270"/>
      <c r="M312" s="270"/>
      <c r="N312" s="270"/>
      <c r="O312" s="268" t="s">
        <v>566</v>
      </c>
      <c r="P312" s="271"/>
    </row>
    <row r="313" ht="15.0" customHeight="1">
      <c r="A313" s="268" t="s">
        <v>12</v>
      </c>
      <c r="B313" s="269">
        <v>46053.0</v>
      </c>
      <c r="C313" s="268"/>
      <c r="D313" s="268" t="s">
        <v>100</v>
      </c>
      <c r="E313" s="268" t="s">
        <v>141</v>
      </c>
      <c r="F313" s="268" t="s">
        <v>79</v>
      </c>
      <c r="G313" s="268" t="s">
        <v>80</v>
      </c>
      <c r="H313" s="270">
        <v>192.0</v>
      </c>
      <c r="I313" s="270"/>
      <c r="J313" s="270"/>
      <c r="K313" s="270"/>
      <c r="L313" s="270"/>
      <c r="M313" s="270"/>
      <c r="N313" s="270"/>
      <c r="O313" s="268"/>
      <c r="P313" s="271"/>
    </row>
    <row r="314" ht="15.0" customHeight="1">
      <c r="A314" s="268" t="s">
        <v>12</v>
      </c>
      <c r="B314" s="269">
        <v>46053.0</v>
      </c>
      <c r="C314" s="268"/>
      <c r="D314" s="268" t="s">
        <v>99</v>
      </c>
      <c r="E314" s="268" t="s">
        <v>141</v>
      </c>
      <c r="F314" s="268" t="s">
        <v>79</v>
      </c>
      <c r="G314" s="268" t="s">
        <v>80</v>
      </c>
      <c r="H314" s="270">
        <v>251.0</v>
      </c>
      <c r="I314" s="270"/>
      <c r="J314" s="270"/>
      <c r="K314" s="270"/>
      <c r="L314" s="270"/>
      <c r="M314" s="270"/>
      <c r="N314" s="270"/>
      <c r="O314" s="268"/>
      <c r="P314" s="271"/>
    </row>
    <row r="315" ht="15.0" customHeight="1">
      <c r="A315" s="268" t="s">
        <v>12</v>
      </c>
      <c r="B315" s="269">
        <v>46053.0</v>
      </c>
      <c r="C315" s="268"/>
      <c r="D315" s="268" t="s">
        <v>118</v>
      </c>
      <c r="E315" s="268" t="s">
        <v>141</v>
      </c>
      <c r="F315" s="268" t="s">
        <v>79</v>
      </c>
      <c r="G315" s="268" t="s">
        <v>80</v>
      </c>
      <c r="H315" s="270">
        <v>408.0</v>
      </c>
      <c r="I315" s="270"/>
      <c r="J315" s="270"/>
      <c r="K315" s="270"/>
      <c r="L315" s="270"/>
      <c r="M315" s="270"/>
      <c r="N315" s="270"/>
      <c r="O315" s="268"/>
      <c r="P315" s="271"/>
    </row>
    <row r="316" ht="15.0" customHeight="1">
      <c r="A316" s="268" t="s">
        <v>12</v>
      </c>
      <c r="B316" s="269">
        <v>46053.0</v>
      </c>
      <c r="C316" s="268"/>
      <c r="D316" s="268" t="s">
        <v>133</v>
      </c>
      <c r="E316" s="268" t="s">
        <v>141</v>
      </c>
      <c r="F316" s="268" t="s">
        <v>79</v>
      </c>
      <c r="G316" s="268" t="s">
        <v>80</v>
      </c>
      <c r="H316" s="270">
        <v>191.0</v>
      </c>
      <c r="I316" s="270"/>
      <c r="J316" s="270"/>
      <c r="K316" s="270"/>
      <c r="L316" s="270"/>
      <c r="M316" s="270"/>
      <c r="N316" s="270"/>
      <c r="O316" s="268"/>
      <c r="P316" s="271"/>
    </row>
    <row r="317" ht="15.0" customHeight="1">
      <c r="A317" s="268" t="s">
        <v>12</v>
      </c>
      <c r="B317" s="269">
        <v>46053.0</v>
      </c>
      <c r="C317" s="268"/>
      <c r="D317" s="268" t="s">
        <v>339</v>
      </c>
      <c r="E317" s="268" t="s">
        <v>141</v>
      </c>
      <c r="F317" s="268" t="s">
        <v>79</v>
      </c>
      <c r="G317" s="268" t="s">
        <v>80</v>
      </c>
      <c r="H317" s="270">
        <v>240.0</v>
      </c>
      <c r="I317" s="270"/>
      <c r="J317" s="270"/>
      <c r="K317" s="270"/>
      <c r="L317" s="270"/>
      <c r="M317" s="270"/>
      <c r="N317" s="270"/>
      <c r="O317" s="268"/>
      <c r="P317" s="271"/>
    </row>
    <row r="318" ht="15.0" customHeight="1">
      <c r="A318" s="268" t="s">
        <v>12</v>
      </c>
      <c r="B318" s="269">
        <v>46053.0</v>
      </c>
      <c r="C318" s="268"/>
      <c r="D318" s="268" t="s">
        <v>103</v>
      </c>
      <c r="E318" s="268" t="s">
        <v>141</v>
      </c>
      <c r="F318" s="268" t="s">
        <v>79</v>
      </c>
      <c r="G318" s="268" t="s">
        <v>80</v>
      </c>
      <c r="H318" s="270">
        <v>107.0</v>
      </c>
      <c r="I318" s="270"/>
      <c r="J318" s="270"/>
      <c r="K318" s="270"/>
      <c r="L318" s="270"/>
      <c r="M318" s="270"/>
      <c r="N318" s="270"/>
      <c r="O318" s="268"/>
      <c r="P318" s="271"/>
    </row>
    <row r="319" ht="15.0" customHeight="1">
      <c r="A319" s="268" t="s">
        <v>12</v>
      </c>
      <c r="B319" s="269">
        <v>46053.0</v>
      </c>
      <c r="C319" s="268"/>
      <c r="D319" s="268" t="s">
        <v>145</v>
      </c>
      <c r="E319" s="268" t="s">
        <v>141</v>
      </c>
      <c r="F319" s="268" t="s">
        <v>79</v>
      </c>
      <c r="G319" s="268" t="s">
        <v>80</v>
      </c>
      <c r="H319" s="270">
        <v>230.0</v>
      </c>
      <c r="I319" s="270"/>
      <c r="J319" s="270"/>
      <c r="K319" s="270"/>
      <c r="L319" s="270"/>
      <c r="M319" s="270"/>
      <c r="N319" s="270"/>
      <c r="O319" s="268"/>
      <c r="P319" s="271"/>
    </row>
    <row r="320" ht="15.0" customHeight="1">
      <c r="A320" s="268" t="s">
        <v>12</v>
      </c>
      <c r="B320" s="269">
        <v>46053.0</v>
      </c>
      <c r="C320" s="268"/>
      <c r="D320" s="268" t="s">
        <v>86</v>
      </c>
      <c r="E320" s="268" t="s">
        <v>141</v>
      </c>
      <c r="F320" s="268" t="s">
        <v>79</v>
      </c>
      <c r="G320" s="268" t="s">
        <v>80</v>
      </c>
      <c r="H320" s="270">
        <v>258.0</v>
      </c>
      <c r="I320" s="270"/>
      <c r="J320" s="270"/>
      <c r="K320" s="270"/>
      <c r="L320" s="270"/>
      <c r="M320" s="270"/>
      <c r="N320" s="270"/>
      <c r="O320" s="268"/>
      <c r="P320" s="271"/>
    </row>
    <row r="321" ht="15.0" customHeight="1">
      <c r="A321" s="268" t="s">
        <v>12</v>
      </c>
      <c r="B321" s="269">
        <v>46053.0</v>
      </c>
      <c r="C321" s="268"/>
      <c r="D321" s="268" t="s">
        <v>113</v>
      </c>
      <c r="E321" s="268" t="s">
        <v>141</v>
      </c>
      <c r="F321" s="268" t="s">
        <v>79</v>
      </c>
      <c r="G321" s="268" t="s">
        <v>80</v>
      </c>
      <c r="H321" s="270">
        <v>240.0</v>
      </c>
      <c r="I321" s="270"/>
      <c r="J321" s="270"/>
      <c r="K321" s="270"/>
      <c r="L321" s="270"/>
      <c r="M321" s="270"/>
      <c r="N321" s="270"/>
      <c r="O321" s="268"/>
      <c r="P321" s="271"/>
    </row>
    <row r="322" ht="15.0" customHeight="1">
      <c r="A322" s="268" t="s">
        <v>12</v>
      </c>
      <c r="B322" s="269">
        <v>46053.0</v>
      </c>
      <c r="C322" s="268"/>
      <c r="D322" s="268" t="s">
        <v>112</v>
      </c>
      <c r="E322" s="268" t="s">
        <v>141</v>
      </c>
      <c r="F322" s="268" t="s">
        <v>79</v>
      </c>
      <c r="G322" s="268" t="s">
        <v>80</v>
      </c>
      <c r="H322" s="270">
        <v>257.0</v>
      </c>
      <c r="I322" s="270"/>
      <c r="J322" s="270"/>
      <c r="K322" s="270"/>
      <c r="L322" s="270"/>
      <c r="M322" s="270"/>
      <c r="N322" s="270"/>
      <c r="O322" s="268"/>
      <c r="P322" s="271"/>
    </row>
    <row r="323" ht="15.0" customHeight="1">
      <c r="A323" s="268" t="s">
        <v>12</v>
      </c>
      <c r="B323" s="269">
        <v>46053.0</v>
      </c>
      <c r="C323" s="268"/>
      <c r="D323" s="268" t="s">
        <v>138</v>
      </c>
      <c r="E323" s="268" t="s">
        <v>141</v>
      </c>
      <c r="F323" s="268" t="s">
        <v>79</v>
      </c>
      <c r="G323" s="268" t="s">
        <v>80</v>
      </c>
      <c r="H323" s="270">
        <v>248.0</v>
      </c>
      <c r="I323" s="270"/>
      <c r="J323" s="270"/>
      <c r="K323" s="270"/>
      <c r="L323" s="270"/>
      <c r="M323" s="270"/>
      <c r="N323" s="270"/>
      <c r="O323" s="268"/>
      <c r="P323" s="271"/>
    </row>
    <row r="324" ht="15.0" customHeight="1">
      <c r="A324" s="268" t="s">
        <v>12</v>
      </c>
      <c r="B324" s="269">
        <v>46053.0</v>
      </c>
      <c r="C324" s="268"/>
      <c r="D324" s="268" t="s">
        <v>101</v>
      </c>
      <c r="E324" s="268" t="s">
        <v>141</v>
      </c>
      <c r="F324" s="268" t="s">
        <v>79</v>
      </c>
      <c r="G324" s="268" t="s">
        <v>80</v>
      </c>
      <c r="H324" s="270">
        <v>199.0</v>
      </c>
      <c r="I324" s="270"/>
      <c r="J324" s="270"/>
      <c r="K324" s="270"/>
      <c r="L324" s="270"/>
      <c r="M324" s="270"/>
      <c r="N324" s="270"/>
      <c r="O324" s="268"/>
      <c r="P324" s="271"/>
    </row>
    <row r="325" ht="15.0" customHeight="1">
      <c r="A325" s="268" t="s">
        <v>12</v>
      </c>
      <c r="B325" s="269">
        <v>46053.0</v>
      </c>
      <c r="C325" s="268"/>
      <c r="D325" s="268" t="s">
        <v>97</v>
      </c>
      <c r="E325" s="268" t="s">
        <v>141</v>
      </c>
      <c r="F325" s="268" t="s">
        <v>79</v>
      </c>
      <c r="G325" s="268" t="s">
        <v>80</v>
      </c>
      <c r="H325" s="270">
        <v>111.0</v>
      </c>
      <c r="I325" s="270"/>
      <c r="J325" s="270"/>
      <c r="K325" s="270"/>
      <c r="L325" s="270"/>
      <c r="M325" s="270"/>
      <c r="N325" s="270"/>
      <c r="O325" s="268"/>
      <c r="P325" s="271"/>
    </row>
    <row r="326" ht="15.0" customHeight="1">
      <c r="A326" s="268" t="s">
        <v>12</v>
      </c>
      <c r="B326" s="269">
        <v>46053.0</v>
      </c>
      <c r="C326" s="268"/>
      <c r="D326" s="268" t="s">
        <v>164</v>
      </c>
      <c r="E326" s="268" t="s">
        <v>163</v>
      </c>
      <c r="F326" s="268" t="s">
        <v>79</v>
      </c>
      <c r="G326" s="268" t="s">
        <v>80</v>
      </c>
      <c r="H326" s="270">
        <v>200.0</v>
      </c>
      <c r="I326" s="270"/>
      <c r="J326" s="270"/>
      <c r="K326" s="270"/>
      <c r="L326" s="270"/>
      <c r="M326" s="270"/>
      <c r="N326" s="270"/>
      <c r="O326" s="268"/>
      <c r="P326" s="271"/>
    </row>
    <row r="327" ht="15.0" customHeight="1">
      <c r="A327" s="268" t="s">
        <v>12</v>
      </c>
      <c r="B327" s="269">
        <v>46053.0</v>
      </c>
      <c r="C327" s="268"/>
      <c r="D327" s="268" t="s">
        <v>333</v>
      </c>
      <c r="E327" s="268" t="s">
        <v>163</v>
      </c>
      <c r="F327" s="268" t="s">
        <v>79</v>
      </c>
      <c r="G327" s="268" t="s">
        <v>80</v>
      </c>
      <c r="H327" s="270">
        <v>1468.0</v>
      </c>
      <c r="I327" s="270"/>
      <c r="J327" s="270"/>
      <c r="K327" s="270"/>
      <c r="L327" s="270"/>
      <c r="M327" s="270"/>
      <c r="N327" s="270"/>
      <c r="O327" s="268"/>
      <c r="P327" s="271"/>
    </row>
    <row r="328" ht="15.0" customHeight="1">
      <c r="A328" s="268" t="s">
        <v>12</v>
      </c>
      <c r="B328" s="269">
        <v>46053.0</v>
      </c>
      <c r="C328" s="268"/>
      <c r="D328" s="268" t="s">
        <v>162</v>
      </c>
      <c r="E328" s="268" t="s">
        <v>163</v>
      </c>
      <c r="F328" s="268" t="s">
        <v>79</v>
      </c>
      <c r="G328" s="268" t="s">
        <v>80</v>
      </c>
      <c r="H328" s="270">
        <v>1777.0</v>
      </c>
      <c r="I328" s="270"/>
      <c r="J328" s="270"/>
      <c r="K328" s="270"/>
      <c r="L328" s="270"/>
      <c r="M328" s="270"/>
      <c r="N328" s="270"/>
      <c r="O328" s="268"/>
      <c r="P328" s="271"/>
    </row>
    <row r="329" ht="15.0" customHeight="1">
      <c r="A329" s="268" t="s">
        <v>12</v>
      </c>
      <c r="B329" s="269">
        <v>46053.0</v>
      </c>
      <c r="C329" s="268"/>
      <c r="D329" s="268" t="s">
        <v>133</v>
      </c>
      <c r="E329" s="268" t="s">
        <v>93</v>
      </c>
      <c r="F329" s="268" t="s">
        <v>79</v>
      </c>
      <c r="G329" s="268" t="s">
        <v>93</v>
      </c>
      <c r="H329" s="270">
        <v>20.0</v>
      </c>
      <c r="I329" s="270"/>
      <c r="J329" s="270"/>
      <c r="K329" s="270"/>
      <c r="L329" s="270"/>
      <c r="M329" s="270"/>
      <c r="N329" s="270"/>
      <c r="O329" s="268"/>
      <c r="P329" s="271"/>
    </row>
    <row r="330" ht="15.0" customHeight="1">
      <c r="A330" s="268" t="s">
        <v>12</v>
      </c>
      <c r="B330" s="269">
        <v>46054.0</v>
      </c>
      <c r="C330" s="268"/>
      <c r="D330" s="268" t="s">
        <v>127</v>
      </c>
      <c r="E330" s="268" t="s">
        <v>141</v>
      </c>
      <c r="F330" s="268" t="s">
        <v>79</v>
      </c>
      <c r="G330" s="268" t="s">
        <v>80</v>
      </c>
      <c r="H330" s="270">
        <v>198.0</v>
      </c>
      <c r="I330" s="270"/>
      <c r="J330" s="270"/>
      <c r="K330" s="270"/>
      <c r="L330" s="270"/>
      <c r="M330" s="270"/>
      <c r="N330" s="270"/>
      <c r="O330" s="268"/>
      <c r="P330" s="271"/>
    </row>
    <row r="331" ht="15.0" customHeight="1">
      <c r="A331" s="268" t="s">
        <v>12</v>
      </c>
      <c r="B331" s="269">
        <v>46055.0</v>
      </c>
      <c r="C331" s="268"/>
      <c r="D331" s="268" t="s">
        <v>82</v>
      </c>
      <c r="E331" s="268" t="s">
        <v>141</v>
      </c>
      <c r="F331" s="268" t="s">
        <v>79</v>
      </c>
      <c r="G331" s="268" t="s">
        <v>80</v>
      </c>
      <c r="H331" s="270">
        <v>392.0</v>
      </c>
      <c r="I331" s="270"/>
      <c r="J331" s="270"/>
      <c r="K331" s="270"/>
      <c r="L331" s="270"/>
      <c r="M331" s="270"/>
      <c r="N331" s="270"/>
      <c r="O331" s="268"/>
      <c r="P331" s="271"/>
    </row>
    <row r="332" ht="15.0" customHeight="1">
      <c r="A332" s="268" t="s">
        <v>12</v>
      </c>
      <c r="B332" s="269">
        <v>46055.0</v>
      </c>
      <c r="C332" s="268"/>
      <c r="D332" s="268" t="s">
        <v>99</v>
      </c>
      <c r="E332" s="268" t="s">
        <v>141</v>
      </c>
      <c r="F332" s="268" t="s">
        <v>79</v>
      </c>
      <c r="G332" s="268" t="s">
        <v>80</v>
      </c>
      <c r="H332" s="270">
        <v>360.0</v>
      </c>
      <c r="I332" s="270"/>
      <c r="J332" s="270"/>
      <c r="K332" s="270"/>
      <c r="L332" s="270"/>
      <c r="M332" s="270"/>
      <c r="N332" s="270"/>
      <c r="O332" s="268"/>
      <c r="P332" s="271"/>
    </row>
    <row r="333" ht="15.0" customHeight="1">
      <c r="A333" s="268" t="s">
        <v>12</v>
      </c>
      <c r="B333" s="269">
        <v>46055.0</v>
      </c>
      <c r="C333" s="268"/>
      <c r="D333" s="268" t="s">
        <v>117</v>
      </c>
      <c r="E333" s="268" t="s">
        <v>141</v>
      </c>
      <c r="F333" s="268" t="s">
        <v>79</v>
      </c>
      <c r="G333" s="268" t="s">
        <v>80</v>
      </c>
      <c r="H333" s="270">
        <v>224.0</v>
      </c>
      <c r="I333" s="270"/>
      <c r="J333" s="270"/>
      <c r="K333" s="270"/>
      <c r="L333" s="270"/>
      <c r="M333" s="270"/>
      <c r="N333" s="270"/>
      <c r="O333" s="268"/>
      <c r="P333" s="271"/>
    </row>
    <row r="334" ht="15.0" customHeight="1">
      <c r="A334" s="268" t="s">
        <v>12</v>
      </c>
      <c r="B334" s="269">
        <v>46055.0</v>
      </c>
      <c r="C334" s="268"/>
      <c r="D334" s="268" t="s">
        <v>91</v>
      </c>
      <c r="E334" s="268" t="s">
        <v>141</v>
      </c>
      <c r="F334" s="268" t="s">
        <v>79</v>
      </c>
      <c r="G334" s="268" t="s">
        <v>80</v>
      </c>
      <c r="H334" s="270">
        <v>40.0</v>
      </c>
      <c r="I334" s="270"/>
      <c r="J334" s="270"/>
      <c r="K334" s="270"/>
      <c r="L334" s="270"/>
      <c r="M334" s="270"/>
      <c r="N334" s="270"/>
      <c r="O334" s="268"/>
      <c r="P334" s="271"/>
    </row>
    <row r="335" ht="15.0" customHeight="1">
      <c r="A335" s="268" t="s">
        <v>12</v>
      </c>
      <c r="B335" s="269">
        <v>46055.0</v>
      </c>
      <c r="C335" s="268"/>
      <c r="D335" s="268" t="s">
        <v>127</v>
      </c>
      <c r="E335" s="268" t="s">
        <v>141</v>
      </c>
      <c r="F335" s="268" t="s">
        <v>79</v>
      </c>
      <c r="G335" s="268" t="s">
        <v>80</v>
      </c>
      <c r="H335" s="270">
        <v>120.0</v>
      </c>
      <c r="I335" s="270"/>
      <c r="J335" s="270"/>
      <c r="K335" s="270"/>
      <c r="L335" s="270"/>
      <c r="M335" s="270"/>
      <c r="N335" s="270"/>
      <c r="O335" s="268"/>
      <c r="P335" s="271"/>
    </row>
    <row r="336" ht="15.0" customHeight="1">
      <c r="A336" s="268" t="s">
        <v>12</v>
      </c>
      <c r="B336" s="269">
        <v>46055.0</v>
      </c>
      <c r="C336" s="268"/>
      <c r="D336" s="268" t="s">
        <v>102</v>
      </c>
      <c r="E336" s="268" t="s">
        <v>141</v>
      </c>
      <c r="F336" s="268" t="s">
        <v>79</v>
      </c>
      <c r="G336" s="268" t="s">
        <v>80</v>
      </c>
      <c r="H336" s="270">
        <v>220.0</v>
      </c>
      <c r="I336" s="270"/>
      <c r="J336" s="270"/>
      <c r="K336" s="270"/>
      <c r="L336" s="270"/>
      <c r="M336" s="270"/>
      <c r="N336" s="270"/>
      <c r="O336" s="268"/>
      <c r="P336" s="271"/>
    </row>
    <row r="337" ht="15.0" customHeight="1">
      <c r="A337" s="268" t="s">
        <v>12</v>
      </c>
      <c r="B337" s="269">
        <v>46055.0</v>
      </c>
      <c r="C337" s="268"/>
      <c r="D337" s="268" t="s">
        <v>336</v>
      </c>
      <c r="E337" s="268" t="s">
        <v>141</v>
      </c>
      <c r="F337" s="268" t="s">
        <v>79</v>
      </c>
      <c r="G337" s="268" t="s">
        <v>80</v>
      </c>
      <c r="H337" s="270">
        <v>220.0</v>
      </c>
      <c r="I337" s="270"/>
      <c r="J337" s="270"/>
      <c r="K337" s="270"/>
      <c r="L337" s="270"/>
      <c r="M337" s="270"/>
      <c r="N337" s="270"/>
      <c r="O337" s="268"/>
      <c r="P337" s="271"/>
    </row>
    <row r="338" ht="15.0" customHeight="1">
      <c r="A338" s="268" t="s">
        <v>12</v>
      </c>
      <c r="B338" s="269">
        <v>46055.0</v>
      </c>
      <c r="C338" s="268"/>
      <c r="D338" s="268" t="s">
        <v>98</v>
      </c>
      <c r="E338" s="268" t="s">
        <v>141</v>
      </c>
      <c r="F338" s="268" t="s">
        <v>79</v>
      </c>
      <c r="G338" s="268" t="s">
        <v>80</v>
      </c>
      <c r="H338" s="270">
        <v>175.0</v>
      </c>
      <c r="I338" s="270"/>
      <c r="J338" s="270"/>
      <c r="K338" s="270"/>
      <c r="L338" s="270"/>
      <c r="M338" s="270"/>
      <c r="N338" s="270"/>
      <c r="O338" s="268"/>
      <c r="P338" s="271"/>
    </row>
    <row r="339" ht="15.0" customHeight="1">
      <c r="A339" s="268" t="s">
        <v>12</v>
      </c>
      <c r="B339" s="269">
        <v>46056.0</v>
      </c>
      <c r="C339" s="268"/>
      <c r="D339" s="268" t="s">
        <v>84</v>
      </c>
      <c r="E339" s="268" t="s">
        <v>141</v>
      </c>
      <c r="F339" s="268" t="s">
        <v>79</v>
      </c>
      <c r="G339" s="268" t="s">
        <v>80</v>
      </c>
      <c r="H339" s="270">
        <v>54.0</v>
      </c>
      <c r="I339" s="270"/>
      <c r="J339" s="270"/>
      <c r="K339" s="270"/>
      <c r="L339" s="270"/>
      <c r="M339" s="270"/>
      <c r="N339" s="270"/>
      <c r="O339" s="268"/>
      <c r="P339" s="271"/>
    </row>
    <row r="340" ht="15.0" customHeight="1">
      <c r="A340" s="268" t="s">
        <v>12</v>
      </c>
      <c r="B340" s="269">
        <v>46056.0</v>
      </c>
      <c r="C340" s="268"/>
      <c r="D340" s="268" t="s">
        <v>337</v>
      </c>
      <c r="E340" s="268" t="s">
        <v>141</v>
      </c>
      <c r="F340" s="268" t="s">
        <v>79</v>
      </c>
      <c r="G340" s="268" t="s">
        <v>80</v>
      </c>
      <c r="H340" s="270">
        <v>387.0</v>
      </c>
      <c r="I340" s="270"/>
      <c r="J340" s="270"/>
      <c r="K340" s="270"/>
      <c r="L340" s="270"/>
      <c r="M340" s="270"/>
      <c r="N340" s="270"/>
      <c r="O340" s="268"/>
      <c r="P340" s="271"/>
    </row>
    <row r="341" ht="15.0" customHeight="1">
      <c r="A341" s="268" t="s">
        <v>12</v>
      </c>
      <c r="B341" s="269">
        <v>46056.0</v>
      </c>
      <c r="C341" s="268"/>
      <c r="D341" s="268" t="s">
        <v>96</v>
      </c>
      <c r="E341" s="268" t="s">
        <v>141</v>
      </c>
      <c r="F341" s="268" t="s">
        <v>79</v>
      </c>
      <c r="G341" s="268" t="s">
        <v>80</v>
      </c>
      <c r="H341" s="270">
        <v>470.0</v>
      </c>
      <c r="I341" s="270"/>
      <c r="J341" s="270"/>
      <c r="K341" s="270"/>
      <c r="L341" s="270"/>
      <c r="M341" s="270"/>
      <c r="N341" s="270"/>
      <c r="O341" s="268"/>
      <c r="P341" s="271"/>
    </row>
    <row r="342" ht="15.0" customHeight="1">
      <c r="A342" s="268" t="s">
        <v>12</v>
      </c>
      <c r="B342" s="269">
        <v>46056.0</v>
      </c>
      <c r="C342" s="268"/>
      <c r="D342" s="268" t="s">
        <v>136</v>
      </c>
      <c r="E342" s="268" t="s">
        <v>141</v>
      </c>
      <c r="F342" s="268" t="s">
        <v>79</v>
      </c>
      <c r="G342" s="268" t="s">
        <v>80</v>
      </c>
      <c r="H342" s="270">
        <v>52.0</v>
      </c>
      <c r="I342" s="270"/>
      <c r="J342" s="270"/>
      <c r="K342" s="270"/>
      <c r="L342" s="270"/>
      <c r="M342" s="270"/>
      <c r="N342" s="270"/>
      <c r="O342" s="268"/>
      <c r="P342" s="271"/>
    </row>
    <row r="343" ht="15.0" customHeight="1">
      <c r="A343" s="268" t="s">
        <v>12</v>
      </c>
      <c r="B343" s="269">
        <v>46056.0</v>
      </c>
      <c r="C343" s="268"/>
      <c r="D343" s="268" t="s">
        <v>103</v>
      </c>
      <c r="E343" s="268" t="s">
        <v>141</v>
      </c>
      <c r="F343" s="268" t="s">
        <v>79</v>
      </c>
      <c r="G343" s="268" t="s">
        <v>80</v>
      </c>
      <c r="H343" s="270">
        <v>164.0</v>
      </c>
      <c r="I343" s="270"/>
      <c r="J343" s="270"/>
      <c r="K343" s="270"/>
      <c r="L343" s="270"/>
      <c r="M343" s="270"/>
      <c r="N343" s="270"/>
      <c r="O343" s="268"/>
      <c r="P343" s="271"/>
    </row>
    <row r="344" ht="15.0" customHeight="1">
      <c r="A344" s="268" t="s">
        <v>12</v>
      </c>
      <c r="B344" s="269">
        <v>46056.0</v>
      </c>
      <c r="C344" s="268"/>
      <c r="D344" s="268" t="s">
        <v>87</v>
      </c>
      <c r="E344" s="268" t="s">
        <v>141</v>
      </c>
      <c r="F344" s="268" t="s">
        <v>79</v>
      </c>
      <c r="G344" s="268" t="s">
        <v>80</v>
      </c>
      <c r="H344" s="270">
        <v>250.0</v>
      </c>
      <c r="I344" s="270"/>
      <c r="J344" s="270"/>
      <c r="K344" s="270"/>
      <c r="L344" s="270"/>
      <c r="M344" s="270"/>
      <c r="N344" s="270"/>
      <c r="O344" s="268"/>
      <c r="P344" s="271"/>
    </row>
    <row r="345" ht="15.0" customHeight="1">
      <c r="A345" s="268" t="s">
        <v>12</v>
      </c>
      <c r="B345" s="269">
        <v>46056.0</v>
      </c>
      <c r="C345" s="268"/>
      <c r="D345" s="268" t="s">
        <v>86</v>
      </c>
      <c r="E345" s="268" t="s">
        <v>141</v>
      </c>
      <c r="F345" s="268" t="s">
        <v>79</v>
      </c>
      <c r="G345" s="268" t="s">
        <v>80</v>
      </c>
      <c r="H345" s="270">
        <v>258.0</v>
      </c>
      <c r="I345" s="270"/>
      <c r="J345" s="270"/>
      <c r="K345" s="270"/>
      <c r="L345" s="270"/>
      <c r="M345" s="270"/>
      <c r="N345" s="270"/>
      <c r="O345" s="268"/>
      <c r="P345" s="271"/>
    </row>
    <row r="346" ht="15.0" customHeight="1">
      <c r="A346" s="268" t="s">
        <v>12</v>
      </c>
      <c r="B346" s="269">
        <v>46056.0</v>
      </c>
      <c r="C346" s="268"/>
      <c r="D346" s="268" t="s">
        <v>113</v>
      </c>
      <c r="E346" s="268" t="s">
        <v>141</v>
      </c>
      <c r="F346" s="268" t="s">
        <v>79</v>
      </c>
      <c r="G346" s="268" t="s">
        <v>80</v>
      </c>
      <c r="H346" s="270">
        <v>231.0</v>
      </c>
      <c r="I346" s="270"/>
      <c r="J346" s="270"/>
      <c r="K346" s="270"/>
      <c r="L346" s="270"/>
      <c r="M346" s="270"/>
      <c r="N346" s="270"/>
      <c r="O346" s="268"/>
      <c r="P346" s="271"/>
    </row>
    <row r="347" ht="15.0" customHeight="1">
      <c r="A347" s="268" t="s">
        <v>12</v>
      </c>
      <c r="B347" s="269">
        <v>46056.0</v>
      </c>
      <c r="C347" s="268"/>
      <c r="D347" s="268" t="s">
        <v>112</v>
      </c>
      <c r="E347" s="268" t="s">
        <v>141</v>
      </c>
      <c r="F347" s="268" t="s">
        <v>79</v>
      </c>
      <c r="G347" s="268" t="s">
        <v>80</v>
      </c>
      <c r="H347" s="270">
        <v>257.0</v>
      </c>
      <c r="I347" s="270"/>
      <c r="J347" s="270"/>
      <c r="K347" s="270"/>
      <c r="L347" s="270"/>
      <c r="M347" s="270"/>
      <c r="N347" s="270"/>
      <c r="O347" s="268"/>
      <c r="P347" s="271"/>
    </row>
    <row r="348" ht="15.0" customHeight="1">
      <c r="A348" s="268" t="s">
        <v>16</v>
      </c>
      <c r="B348" s="269">
        <v>46056.0</v>
      </c>
      <c r="C348" s="268"/>
      <c r="D348" s="268"/>
      <c r="E348" s="268" t="s">
        <v>78</v>
      </c>
      <c r="F348" s="268" t="s">
        <v>565</v>
      </c>
      <c r="G348" s="268" t="s">
        <v>80</v>
      </c>
      <c r="H348" s="270">
        <v>11173.0</v>
      </c>
      <c r="I348" s="270"/>
      <c r="J348" s="270"/>
      <c r="K348" s="270"/>
      <c r="L348" s="270"/>
      <c r="M348" s="270"/>
      <c r="N348" s="270"/>
      <c r="O348" s="268"/>
      <c r="P348" s="271"/>
    </row>
    <row r="349" ht="15.0" customHeight="1">
      <c r="A349" s="268" t="s">
        <v>12</v>
      </c>
      <c r="B349" s="269">
        <v>46057.0</v>
      </c>
      <c r="C349" s="268"/>
      <c r="D349" s="268" t="s">
        <v>130</v>
      </c>
      <c r="E349" s="268" t="s">
        <v>78</v>
      </c>
      <c r="F349" s="268" t="s">
        <v>79</v>
      </c>
      <c r="G349" s="268" t="s">
        <v>80</v>
      </c>
      <c r="H349" s="270">
        <v>116.0</v>
      </c>
      <c r="I349" s="270"/>
      <c r="J349" s="270"/>
      <c r="K349" s="270"/>
      <c r="L349" s="270"/>
      <c r="M349" s="270"/>
      <c r="N349" s="270"/>
      <c r="O349" s="268"/>
      <c r="P349" s="271"/>
    </row>
    <row r="350" ht="15.0" customHeight="1">
      <c r="A350" s="268" t="s">
        <v>12</v>
      </c>
      <c r="B350" s="269">
        <v>46057.0</v>
      </c>
      <c r="C350" s="268"/>
      <c r="D350" s="268" t="s">
        <v>126</v>
      </c>
      <c r="E350" s="268" t="s">
        <v>78</v>
      </c>
      <c r="F350" s="268" t="s">
        <v>79</v>
      </c>
      <c r="G350" s="268" t="s">
        <v>80</v>
      </c>
      <c r="H350" s="270">
        <v>217.0</v>
      </c>
      <c r="I350" s="270"/>
      <c r="J350" s="270"/>
      <c r="K350" s="270"/>
      <c r="L350" s="270"/>
      <c r="M350" s="270"/>
      <c r="N350" s="270"/>
      <c r="O350" s="268"/>
      <c r="P350" s="271"/>
    </row>
    <row r="351" ht="15.0" customHeight="1">
      <c r="A351" s="268" t="s">
        <v>12</v>
      </c>
      <c r="B351" s="269">
        <v>46057.0</v>
      </c>
      <c r="C351" s="268"/>
      <c r="D351" s="268" t="s">
        <v>123</v>
      </c>
      <c r="E351" s="268" t="s">
        <v>78</v>
      </c>
      <c r="F351" s="268" t="s">
        <v>79</v>
      </c>
      <c r="G351" s="268" t="s">
        <v>80</v>
      </c>
      <c r="H351" s="270">
        <v>420.0</v>
      </c>
      <c r="I351" s="270"/>
      <c r="J351" s="270"/>
      <c r="K351" s="270"/>
      <c r="L351" s="270"/>
      <c r="M351" s="270"/>
      <c r="N351" s="270"/>
      <c r="O351" s="268"/>
      <c r="P351" s="271"/>
    </row>
    <row r="352" ht="15.0" customHeight="1">
      <c r="A352" s="268" t="s">
        <v>12</v>
      </c>
      <c r="B352" s="269">
        <v>46057.0</v>
      </c>
      <c r="C352" s="268"/>
      <c r="D352" s="268" t="s">
        <v>84</v>
      </c>
      <c r="E352" s="268" t="s">
        <v>78</v>
      </c>
      <c r="F352" s="268" t="s">
        <v>79</v>
      </c>
      <c r="G352" s="268" t="s">
        <v>80</v>
      </c>
      <c r="H352" s="270">
        <v>395.0</v>
      </c>
      <c r="I352" s="270"/>
      <c r="J352" s="270"/>
      <c r="K352" s="270"/>
      <c r="L352" s="270"/>
      <c r="M352" s="270"/>
      <c r="N352" s="270"/>
      <c r="O352" s="268"/>
      <c r="P352" s="271"/>
    </row>
    <row r="353" ht="15.0" customHeight="1">
      <c r="A353" s="268" t="s">
        <v>12</v>
      </c>
      <c r="B353" s="269">
        <v>46057.0</v>
      </c>
      <c r="C353" s="268"/>
      <c r="D353" s="268" t="s">
        <v>334</v>
      </c>
      <c r="E353" s="268" t="s">
        <v>78</v>
      </c>
      <c r="F353" s="268" t="s">
        <v>79</v>
      </c>
      <c r="G353" s="268" t="s">
        <v>80</v>
      </c>
      <c r="H353" s="270">
        <v>55.0</v>
      </c>
      <c r="I353" s="270"/>
      <c r="J353" s="270"/>
      <c r="K353" s="270"/>
      <c r="L353" s="270"/>
      <c r="M353" s="270"/>
      <c r="N353" s="270"/>
      <c r="O353" s="268"/>
      <c r="P353" s="271"/>
    </row>
    <row r="354" ht="15.0" customHeight="1">
      <c r="A354" s="268" t="s">
        <v>12</v>
      </c>
      <c r="B354" s="269">
        <v>46057.0</v>
      </c>
      <c r="C354" s="268"/>
      <c r="D354" s="268" t="s">
        <v>100</v>
      </c>
      <c r="E354" s="268" t="s">
        <v>78</v>
      </c>
      <c r="F354" s="268" t="s">
        <v>79</v>
      </c>
      <c r="G354" s="268" t="s">
        <v>80</v>
      </c>
      <c r="H354" s="270">
        <v>292.0</v>
      </c>
      <c r="I354" s="270"/>
      <c r="J354" s="270"/>
      <c r="K354" s="270"/>
      <c r="L354" s="270"/>
      <c r="M354" s="270"/>
      <c r="N354" s="270"/>
      <c r="O354" s="268"/>
      <c r="P354" s="271"/>
    </row>
    <row r="355" ht="15.0" customHeight="1">
      <c r="A355" s="268" t="s">
        <v>12</v>
      </c>
      <c r="B355" s="269">
        <v>46057.0</v>
      </c>
      <c r="C355" s="268"/>
      <c r="D355" s="268" t="s">
        <v>118</v>
      </c>
      <c r="E355" s="268" t="s">
        <v>78</v>
      </c>
      <c r="F355" s="268" t="s">
        <v>79</v>
      </c>
      <c r="G355" s="268" t="s">
        <v>80</v>
      </c>
      <c r="H355" s="270">
        <v>390.0</v>
      </c>
      <c r="I355" s="270"/>
      <c r="J355" s="270"/>
      <c r="K355" s="270"/>
      <c r="L355" s="270"/>
      <c r="M355" s="270"/>
      <c r="N355" s="270"/>
      <c r="O355" s="268"/>
      <c r="P355" s="271"/>
    </row>
    <row r="356" ht="15.0" customHeight="1">
      <c r="A356" s="268" t="s">
        <v>12</v>
      </c>
      <c r="B356" s="269">
        <v>46057.0</v>
      </c>
      <c r="C356" s="268"/>
      <c r="D356" s="268" t="s">
        <v>336</v>
      </c>
      <c r="E356" s="268" t="s">
        <v>78</v>
      </c>
      <c r="F356" s="268" t="s">
        <v>79</v>
      </c>
      <c r="G356" s="268" t="s">
        <v>80</v>
      </c>
      <c r="H356" s="270">
        <v>262.0</v>
      </c>
      <c r="I356" s="270"/>
      <c r="J356" s="270"/>
      <c r="K356" s="270"/>
      <c r="L356" s="270"/>
      <c r="M356" s="270"/>
      <c r="N356" s="270"/>
      <c r="O356" s="268"/>
      <c r="P356" s="271"/>
    </row>
    <row r="357" ht="15.0" customHeight="1">
      <c r="A357" s="268" t="s">
        <v>12</v>
      </c>
      <c r="B357" s="269">
        <v>46057.0</v>
      </c>
      <c r="C357" s="268"/>
      <c r="D357" s="268" t="s">
        <v>98</v>
      </c>
      <c r="E357" s="268" t="s">
        <v>78</v>
      </c>
      <c r="F357" s="268" t="s">
        <v>79</v>
      </c>
      <c r="G357" s="268" t="s">
        <v>80</v>
      </c>
      <c r="H357" s="270">
        <v>175.0</v>
      </c>
      <c r="I357" s="270"/>
      <c r="J357" s="270"/>
      <c r="K357" s="270"/>
      <c r="L357" s="270"/>
      <c r="M357" s="270"/>
      <c r="N357" s="270"/>
      <c r="O357" s="268"/>
      <c r="P357" s="271"/>
    </row>
    <row r="358" ht="15.0" customHeight="1">
      <c r="A358" s="268" t="s">
        <v>12</v>
      </c>
      <c r="B358" s="269">
        <v>46057.0</v>
      </c>
      <c r="C358" s="268"/>
      <c r="D358" s="268" t="s">
        <v>138</v>
      </c>
      <c r="E358" s="268" t="s">
        <v>78</v>
      </c>
      <c r="F358" s="268" t="s">
        <v>79</v>
      </c>
      <c r="G358" s="268" t="s">
        <v>80</v>
      </c>
      <c r="H358" s="270">
        <v>235.0</v>
      </c>
      <c r="I358" s="270"/>
      <c r="J358" s="270"/>
      <c r="K358" s="270"/>
      <c r="L358" s="270"/>
      <c r="M358" s="270"/>
      <c r="N358" s="270"/>
      <c r="O358" s="268"/>
      <c r="P358" s="271"/>
    </row>
    <row r="359" ht="15.0" customHeight="1">
      <c r="A359" s="268" t="s">
        <v>12</v>
      </c>
      <c r="B359" s="269">
        <v>46057.0</v>
      </c>
      <c r="C359" s="268"/>
      <c r="D359" s="268" t="s">
        <v>101</v>
      </c>
      <c r="E359" s="268" t="s">
        <v>78</v>
      </c>
      <c r="F359" s="268" t="s">
        <v>79</v>
      </c>
      <c r="G359" s="268" t="s">
        <v>80</v>
      </c>
      <c r="H359" s="270">
        <v>225.0</v>
      </c>
      <c r="I359" s="270"/>
      <c r="J359" s="270"/>
      <c r="K359" s="270"/>
      <c r="L359" s="270"/>
      <c r="M359" s="270"/>
      <c r="N359" s="270"/>
      <c r="O359" s="268"/>
      <c r="P359" s="271"/>
    </row>
    <row r="360" ht="15.0" customHeight="1">
      <c r="A360" s="268" t="s">
        <v>12</v>
      </c>
      <c r="B360" s="269">
        <v>46057.0</v>
      </c>
      <c r="C360" s="268"/>
      <c r="D360" s="268" t="s">
        <v>97</v>
      </c>
      <c r="E360" s="268" t="s">
        <v>78</v>
      </c>
      <c r="F360" s="268" t="s">
        <v>79</v>
      </c>
      <c r="G360" s="268" t="s">
        <v>80</v>
      </c>
      <c r="H360" s="270">
        <v>179.0</v>
      </c>
      <c r="I360" s="270"/>
      <c r="J360" s="270"/>
      <c r="K360" s="270"/>
      <c r="L360" s="270"/>
      <c r="M360" s="270"/>
      <c r="N360" s="270"/>
      <c r="O360" s="268"/>
      <c r="P360" s="271"/>
    </row>
    <row r="361" ht="15.0" customHeight="1">
      <c r="A361" s="268" t="s">
        <v>12</v>
      </c>
      <c r="B361" s="269">
        <v>46057.0</v>
      </c>
      <c r="C361" s="268"/>
      <c r="D361" s="268" t="s">
        <v>100</v>
      </c>
      <c r="E361" s="268" t="s">
        <v>141</v>
      </c>
      <c r="F361" s="268" t="s">
        <v>79</v>
      </c>
      <c r="G361" s="268" t="s">
        <v>80</v>
      </c>
      <c r="H361" s="270">
        <v>9.0</v>
      </c>
      <c r="I361" s="270"/>
      <c r="J361" s="270"/>
      <c r="K361" s="270"/>
      <c r="L361" s="270"/>
      <c r="M361" s="270"/>
      <c r="N361" s="270"/>
      <c r="O361" s="268"/>
      <c r="P361" s="271"/>
    </row>
    <row r="362" ht="15.0" customHeight="1">
      <c r="A362" s="268" t="s">
        <v>12</v>
      </c>
      <c r="B362" s="269">
        <v>46057.0</v>
      </c>
      <c r="C362" s="268"/>
      <c r="D362" s="268" t="s">
        <v>84</v>
      </c>
      <c r="E362" s="268" t="s">
        <v>110</v>
      </c>
      <c r="F362" s="268" t="s">
        <v>79</v>
      </c>
      <c r="G362" s="268" t="s">
        <v>110</v>
      </c>
      <c r="H362" s="270">
        <v>30.0</v>
      </c>
      <c r="I362" s="270"/>
      <c r="J362" s="270"/>
      <c r="K362" s="270"/>
      <c r="L362" s="270"/>
      <c r="M362" s="270"/>
      <c r="N362" s="270"/>
      <c r="O362" s="268"/>
      <c r="P362" s="271"/>
    </row>
    <row r="363" ht="15.0" customHeight="1">
      <c r="A363" s="268" t="s">
        <v>12</v>
      </c>
      <c r="B363" s="269">
        <v>46057.0</v>
      </c>
      <c r="C363" s="268"/>
      <c r="D363" s="268" t="s">
        <v>334</v>
      </c>
      <c r="E363" s="268" t="s">
        <v>93</v>
      </c>
      <c r="F363" s="268" t="s">
        <v>79</v>
      </c>
      <c r="G363" s="268" t="s">
        <v>93</v>
      </c>
      <c r="H363" s="270">
        <v>3.0</v>
      </c>
      <c r="I363" s="270"/>
      <c r="J363" s="270"/>
      <c r="K363" s="270"/>
      <c r="L363" s="270"/>
      <c r="M363" s="270"/>
      <c r="N363" s="270"/>
      <c r="O363" s="268"/>
      <c r="P363" s="271"/>
    </row>
    <row r="364" ht="15.0" customHeight="1">
      <c r="A364" s="268" t="s">
        <v>12</v>
      </c>
      <c r="B364" s="269">
        <v>46057.0</v>
      </c>
      <c r="C364" s="268"/>
      <c r="D364" s="268" t="s">
        <v>84</v>
      </c>
      <c r="E364" s="268" t="s">
        <v>107</v>
      </c>
      <c r="F364" s="268" t="s">
        <v>79</v>
      </c>
      <c r="G364" s="268" t="s">
        <v>107</v>
      </c>
      <c r="H364" s="270">
        <v>3.0</v>
      </c>
      <c r="I364" s="270"/>
      <c r="J364" s="270"/>
      <c r="K364" s="270"/>
      <c r="L364" s="270"/>
      <c r="M364" s="270"/>
      <c r="N364" s="270"/>
      <c r="O364" s="268"/>
      <c r="P364" s="271"/>
    </row>
    <row r="365" ht="15.0" customHeight="1">
      <c r="A365" s="268" t="s">
        <v>12</v>
      </c>
      <c r="B365" s="269">
        <v>46058.0</v>
      </c>
      <c r="C365" s="268"/>
      <c r="D365" s="268" t="s">
        <v>164</v>
      </c>
      <c r="E365" s="268" t="s">
        <v>78</v>
      </c>
      <c r="F365" s="268" t="s">
        <v>79</v>
      </c>
      <c r="G365" s="268" t="s">
        <v>80</v>
      </c>
      <c r="H365" s="270">
        <v>210.0</v>
      </c>
      <c r="I365" s="270"/>
      <c r="J365" s="270"/>
      <c r="K365" s="270"/>
      <c r="L365" s="270"/>
      <c r="M365" s="270"/>
      <c r="N365" s="270"/>
      <c r="O365" s="268"/>
      <c r="P365" s="271"/>
    </row>
    <row r="366" ht="15.0" customHeight="1">
      <c r="A366" s="268" t="s">
        <v>12</v>
      </c>
      <c r="B366" s="269">
        <v>46058.0</v>
      </c>
      <c r="C366" s="268"/>
      <c r="D366" s="268" t="s">
        <v>334</v>
      </c>
      <c r="E366" s="268" t="s">
        <v>78</v>
      </c>
      <c r="F366" s="268" t="s">
        <v>79</v>
      </c>
      <c r="G366" s="268" t="s">
        <v>80</v>
      </c>
      <c r="H366" s="270">
        <v>278.0</v>
      </c>
      <c r="I366" s="270"/>
      <c r="J366" s="270"/>
      <c r="K366" s="270"/>
      <c r="L366" s="270"/>
      <c r="M366" s="270"/>
      <c r="N366" s="270"/>
      <c r="O366" s="268"/>
      <c r="P366" s="271"/>
    </row>
    <row r="367" ht="15.0" customHeight="1">
      <c r="A367" s="268" t="s">
        <v>12</v>
      </c>
      <c r="B367" s="269">
        <v>46058.0</v>
      </c>
      <c r="C367" s="268"/>
      <c r="D367" s="268" t="s">
        <v>111</v>
      </c>
      <c r="E367" s="268" t="s">
        <v>78</v>
      </c>
      <c r="F367" s="268" t="s">
        <v>79</v>
      </c>
      <c r="G367" s="268" t="s">
        <v>80</v>
      </c>
      <c r="H367" s="270">
        <v>170.0</v>
      </c>
      <c r="I367" s="270"/>
      <c r="J367" s="270"/>
      <c r="K367" s="270"/>
      <c r="L367" s="270"/>
      <c r="M367" s="270"/>
      <c r="N367" s="270"/>
      <c r="O367" s="268"/>
      <c r="P367" s="271"/>
    </row>
    <row r="368" ht="15.0" customHeight="1">
      <c r="A368" s="268" t="s">
        <v>12</v>
      </c>
      <c r="B368" s="269">
        <v>46058.0</v>
      </c>
      <c r="C368" s="268"/>
      <c r="D368" s="268" t="s">
        <v>127</v>
      </c>
      <c r="E368" s="268" t="s">
        <v>78</v>
      </c>
      <c r="F368" s="268" t="s">
        <v>79</v>
      </c>
      <c r="G368" s="268" t="s">
        <v>80</v>
      </c>
      <c r="H368" s="270">
        <v>155.0</v>
      </c>
      <c r="I368" s="270"/>
      <c r="J368" s="270"/>
      <c r="K368" s="270"/>
      <c r="L368" s="270"/>
      <c r="M368" s="270"/>
      <c r="N368" s="270"/>
      <c r="O368" s="268"/>
      <c r="P368" s="271"/>
    </row>
    <row r="369" ht="15.0" customHeight="1">
      <c r="A369" s="268" t="s">
        <v>12</v>
      </c>
      <c r="B369" s="269">
        <v>46058.0</v>
      </c>
      <c r="C369" s="268"/>
      <c r="D369" s="268" t="s">
        <v>92</v>
      </c>
      <c r="E369" s="268" t="s">
        <v>78</v>
      </c>
      <c r="F369" s="268" t="s">
        <v>79</v>
      </c>
      <c r="G369" s="268" t="s">
        <v>80</v>
      </c>
      <c r="H369" s="270">
        <v>260.0</v>
      </c>
      <c r="I369" s="270"/>
      <c r="J369" s="270"/>
      <c r="K369" s="270"/>
      <c r="L369" s="270"/>
      <c r="M369" s="270"/>
      <c r="N369" s="270"/>
      <c r="O369" s="268"/>
      <c r="P369" s="271"/>
    </row>
    <row r="370" ht="15.0" customHeight="1">
      <c r="A370" s="268" t="s">
        <v>12</v>
      </c>
      <c r="B370" s="269">
        <v>46058.0</v>
      </c>
      <c r="C370" s="268"/>
      <c r="D370" s="268" t="s">
        <v>87</v>
      </c>
      <c r="E370" s="268" t="s">
        <v>78</v>
      </c>
      <c r="F370" s="268" t="s">
        <v>79</v>
      </c>
      <c r="G370" s="268" t="s">
        <v>80</v>
      </c>
      <c r="H370" s="270">
        <v>245.0</v>
      </c>
      <c r="I370" s="270"/>
      <c r="J370" s="270"/>
      <c r="K370" s="270"/>
      <c r="L370" s="270"/>
      <c r="M370" s="270"/>
      <c r="N370" s="270"/>
      <c r="O370" s="268"/>
      <c r="P370" s="271"/>
    </row>
    <row r="371" ht="15.0" customHeight="1">
      <c r="A371" s="268" t="s">
        <v>12</v>
      </c>
      <c r="B371" s="269">
        <v>46058.0</v>
      </c>
      <c r="C371" s="268"/>
      <c r="D371" s="268" t="s">
        <v>102</v>
      </c>
      <c r="E371" s="268" t="s">
        <v>78</v>
      </c>
      <c r="F371" s="268" t="s">
        <v>79</v>
      </c>
      <c r="G371" s="268" t="s">
        <v>80</v>
      </c>
      <c r="H371" s="270">
        <v>240.0</v>
      </c>
      <c r="I371" s="270"/>
      <c r="J371" s="270"/>
      <c r="K371" s="270"/>
      <c r="L371" s="270"/>
      <c r="M371" s="270"/>
      <c r="N371" s="270"/>
      <c r="O371" s="268"/>
      <c r="P371" s="271"/>
    </row>
    <row r="372" ht="15.0" customHeight="1">
      <c r="A372" s="268" t="s">
        <v>12</v>
      </c>
      <c r="B372" s="269">
        <v>46058.0</v>
      </c>
      <c r="C372" s="268"/>
      <c r="D372" s="268" t="s">
        <v>86</v>
      </c>
      <c r="E372" s="268" t="s">
        <v>78</v>
      </c>
      <c r="F372" s="268" t="s">
        <v>79</v>
      </c>
      <c r="G372" s="268" t="s">
        <v>80</v>
      </c>
      <c r="H372" s="270">
        <v>260.0</v>
      </c>
      <c r="I372" s="270"/>
      <c r="J372" s="270"/>
      <c r="K372" s="270"/>
      <c r="L372" s="270"/>
      <c r="M372" s="270"/>
      <c r="N372" s="270"/>
      <c r="O372" s="268"/>
      <c r="P372" s="271"/>
    </row>
    <row r="373" ht="15.0" customHeight="1">
      <c r="A373" s="268" t="s">
        <v>12</v>
      </c>
      <c r="B373" s="269">
        <v>46058.0</v>
      </c>
      <c r="C373" s="268"/>
      <c r="D373" s="268" t="s">
        <v>113</v>
      </c>
      <c r="E373" s="268" t="s">
        <v>78</v>
      </c>
      <c r="F373" s="268" t="s">
        <v>79</v>
      </c>
      <c r="G373" s="268" t="s">
        <v>80</v>
      </c>
      <c r="H373" s="270">
        <v>220.0</v>
      </c>
      <c r="I373" s="270"/>
      <c r="J373" s="270"/>
      <c r="K373" s="270"/>
      <c r="L373" s="270"/>
      <c r="M373" s="270"/>
      <c r="N373" s="270"/>
      <c r="O373" s="268"/>
      <c r="P373" s="271"/>
    </row>
    <row r="374" ht="15.0" customHeight="1">
      <c r="A374" s="268" t="s">
        <v>12</v>
      </c>
      <c r="B374" s="269">
        <v>46058.0</v>
      </c>
      <c r="C374" s="268"/>
      <c r="D374" s="268" t="s">
        <v>98</v>
      </c>
      <c r="E374" s="268" t="s">
        <v>78</v>
      </c>
      <c r="F374" s="268" t="s">
        <v>79</v>
      </c>
      <c r="G374" s="268" t="s">
        <v>80</v>
      </c>
      <c r="H374" s="270">
        <v>175.0</v>
      </c>
      <c r="I374" s="270"/>
      <c r="J374" s="270"/>
      <c r="K374" s="270"/>
      <c r="L374" s="270"/>
      <c r="M374" s="270"/>
      <c r="N374" s="270"/>
      <c r="O374" s="268"/>
      <c r="P374" s="271"/>
    </row>
    <row r="375" ht="15.0" customHeight="1">
      <c r="A375" s="268" t="s">
        <v>12</v>
      </c>
      <c r="B375" s="269">
        <v>46058.0</v>
      </c>
      <c r="C375" s="268"/>
      <c r="D375" s="268" t="s">
        <v>112</v>
      </c>
      <c r="E375" s="268" t="s">
        <v>78</v>
      </c>
      <c r="F375" s="268" t="s">
        <v>79</v>
      </c>
      <c r="G375" s="268" t="s">
        <v>80</v>
      </c>
      <c r="H375" s="270">
        <v>250.0</v>
      </c>
      <c r="I375" s="270"/>
      <c r="J375" s="270"/>
      <c r="K375" s="270"/>
      <c r="L375" s="270"/>
      <c r="M375" s="270"/>
      <c r="N375" s="270"/>
      <c r="O375" s="268"/>
      <c r="P375" s="271"/>
    </row>
    <row r="376" ht="15.0" customHeight="1">
      <c r="A376" s="268" t="s">
        <v>12</v>
      </c>
      <c r="B376" s="269">
        <v>46058.0</v>
      </c>
      <c r="C376" s="268"/>
      <c r="D376" s="268" t="s">
        <v>82</v>
      </c>
      <c r="E376" s="268" t="s">
        <v>110</v>
      </c>
      <c r="F376" s="268" t="s">
        <v>79</v>
      </c>
      <c r="G376" s="268" t="s">
        <v>110</v>
      </c>
      <c r="H376" s="270">
        <v>32.0</v>
      </c>
      <c r="I376" s="270"/>
      <c r="J376" s="270"/>
      <c r="K376" s="270"/>
      <c r="L376" s="270"/>
      <c r="M376" s="270"/>
      <c r="N376" s="270"/>
      <c r="O376" s="268"/>
      <c r="P376" s="271"/>
    </row>
    <row r="377" ht="15.0" customHeight="1">
      <c r="A377" s="268" t="s">
        <v>16</v>
      </c>
      <c r="B377" s="269">
        <v>46058.0</v>
      </c>
      <c r="C377" s="268"/>
      <c r="D377" s="268"/>
      <c r="E377" s="268" t="s">
        <v>141</v>
      </c>
      <c r="F377" s="268" t="s">
        <v>565</v>
      </c>
      <c r="G377" s="268" t="s">
        <v>80</v>
      </c>
      <c r="H377" s="270">
        <v>8745.0</v>
      </c>
      <c r="I377" s="270"/>
      <c r="J377" s="270"/>
      <c r="K377" s="270"/>
      <c r="L377" s="270"/>
      <c r="M377" s="270"/>
      <c r="N377" s="270"/>
      <c r="O377" s="268"/>
      <c r="P377" s="271"/>
    </row>
    <row r="378" ht="15.0" customHeight="1">
      <c r="A378" s="268" t="s">
        <v>12</v>
      </c>
      <c r="B378" s="269">
        <v>46059.0</v>
      </c>
      <c r="C378" s="268"/>
      <c r="D378" s="268" t="s">
        <v>153</v>
      </c>
      <c r="E378" s="268" t="s">
        <v>78</v>
      </c>
      <c r="F378" s="268" t="s">
        <v>79</v>
      </c>
      <c r="G378" s="268" t="s">
        <v>80</v>
      </c>
      <c r="H378" s="270">
        <v>110.0</v>
      </c>
      <c r="I378" s="270"/>
      <c r="J378" s="270"/>
      <c r="K378" s="270"/>
      <c r="L378" s="270"/>
      <c r="M378" s="270"/>
      <c r="N378" s="270"/>
      <c r="O378" s="268"/>
      <c r="P378" s="271"/>
    </row>
    <row r="379" ht="15.0" customHeight="1">
      <c r="A379" s="268" t="s">
        <v>12</v>
      </c>
      <c r="B379" s="269">
        <v>46059.0</v>
      </c>
      <c r="C379" s="268"/>
      <c r="D379" s="268" t="s">
        <v>82</v>
      </c>
      <c r="E379" s="268" t="s">
        <v>78</v>
      </c>
      <c r="F379" s="268" t="s">
        <v>79</v>
      </c>
      <c r="G379" s="268" t="s">
        <v>80</v>
      </c>
      <c r="H379" s="270">
        <v>406.0</v>
      </c>
      <c r="I379" s="270"/>
      <c r="J379" s="270"/>
      <c r="K379" s="270"/>
      <c r="L379" s="270"/>
      <c r="M379" s="270"/>
      <c r="N379" s="270"/>
      <c r="O379" s="268"/>
      <c r="P379" s="271"/>
    </row>
    <row r="380" ht="15.0" customHeight="1">
      <c r="A380" s="268" t="s">
        <v>12</v>
      </c>
      <c r="B380" s="269">
        <v>46059.0</v>
      </c>
      <c r="C380" s="268"/>
      <c r="D380" s="268" t="s">
        <v>119</v>
      </c>
      <c r="E380" s="268" t="s">
        <v>78</v>
      </c>
      <c r="F380" s="268" t="s">
        <v>79</v>
      </c>
      <c r="G380" s="268" t="s">
        <v>80</v>
      </c>
      <c r="H380" s="270">
        <v>457.0</v>
      </c>
      <c r="I380" s="270"/>
      <c r="J380" s="270"/>
      <c r="K380" s="270"/>
      <c r="L380" s="270"/>
      <c r="M380" s="270"/>
      <c r="N380" s="270"/>
      <c r="O380" s="268"/>
      <c r="P380" s="271"/>
    </row>
    <row r="381" ht="15.0" customHeight="1">
      <c r="A381" s="268" t="s">
        <v>12</v>
      </c>
      <c r="B381" s="269">
        <v>46059.0</v>
      </c>
      <c r="C381" s="268"/>
      <c r="D381" s="268" t="s">
        <v>99</v>
      </c>
      <c r="E381" s="268" t="s">
        <v>78</v>
      </c>
      <c r="F381" s="268" t="s">
        <v>79</v>
      </c>
      <c r="G381" s="268" t="s">
        <v>80</v>
      </c>
      <c r="H381" s="270">
        <v>400.0</v>
      </c>
      <c r="I381" s="270"/>
      <c r="J381" s="270"/>
      <c r="K381" s="270"/>
      <c r="L381" s="270"/>
      <c r="M381" s="270"/>
      <c r="N381" s="270"/>
      <c r="O381" s="268"/>
      <c r="P381" s="271"/>
    </row>
    <row r="382" ht="15.0" customHeight="1">
      <c r="A382" s="268" t="s">
        <v>12</v>
      </c>
      <c r="B382" s="269">
        <v>46059.0</v>
      </c>
      <c r="C382" s="268"/>
      <c r="D382" s="268" t="s">
        <v>136</v>
      </c>
      <c r="E382" s="268" t="s">
        <v>78</v>
      </c>
      <c r="F382" s="268" t="s">
        <v>79</v>
      </c>
      <c r="G382" s="268" t="s">
        <v>80</v>
      </c>
      <c r="H382" s="270">
        <v>65.0</v>
      </c>
      <c r="I382" s="270"/>
      <c r="J382" s="270"/>
      <c r="K382" s="270"/>
      <c r="L382" s="270"/>
      <c r="M382" s="270"/>
      <c r="N382" s="270"/>
      <c r="O382" s="268"/>
      <c r="P382" s="271"/>
    </row>
    <row r="383" ht="15.0" customHeight="1">
      <c r="A383" s="268" t="s">
        <v>12</v>
      </c>
      <c r="B383" s="269">
        <v>46059.0</v>
      </c>
      <c r="C383" s="268"/>
      <c r="D383" s="268" t="s">
        <v>103</v>
      </c>
      <c r="E383" s="268" t="s">
        <v>78</v>
      </c>
      <c r="F383" s="268" t="s">
        <v>79</v>
      </c>
      <c r="G383" s="268" t="s">
        <v>80</v>
      </c>
      <c r="H383" s="270">
        <v>173.0</v>
      </c>
      <c r="I383" s="270"/>
      <c r="J383" s="270"/>
      <c r="K383" s="270"/>
      <c r="L383" s="270"/>
      <c r="M383" s="270"/>
      <c r="N383" s="270"/>
      <c r="O383" s="268"/>
      <c r="P383" s="271"/>
    </row>
    <row r="384" ht="15.0" customHeight="1">
      <c r="A384" s="268" t="s">
        <v>12</v>
      </c>
      <c r="B384" s="269">
        <v>46059.0</v>
      </c>
      <c r="C384" s="268"/>
      <c r="D384" s="268" t="s">
        <v>101</v>
      </c>
      <c r="E384" s="268" t="s">
        <v>78</v>
      </c>
      <c r="F384" s="268" t="s">
        <v>79</v>
      </c>
      <c r="G384" s="268" t="s">
        <v>80</v>
      </c>
      <c r="H384" s="270">
        <v>215.0</v>
      </c>
      <c r="I384" s="270"/>
      <c r="J384" s="270"/>
      <c r="K384" s="270"/>
      <c r="L384" s="270"/>
      <c r="M384" s="270"/>
      <c r="N384" s="270"/>
      <c r="O384" s="268"/>
      <c r="P384" s="271"/>
    </row>
    <row r="385" ht="15.0" customHeight="1">
      <c r="A385" s="268" t="s">
        <v>12</v>
      </c>
      <c r="B385" s="269">
        <v>46060.0</v>
      </c>
      <c r="C385" s="268"/>
      <c r="D385" s="268" t="s">
        <v>77</v>
      </c>
      <c r="E385" s="268" t="s">
        <v>78</v>
      </c>
      <c r="F385" s="268" t="s">
        <v>79</v>
      </c>
      <c r="G385" s="268" t="s">
        <v>80</v>
      </c>
      <c r="H385" s="270">
        <v>450.0</v>
      </c>
      <c r="I385" s="270"/>
      <c r="J385" s="270"/>
      <c r="K385" s="270"/>
      <c r="L385" s="270"/>
      <c r="M385" s="270"/>
      <c r="N385" s="270"/>
      <c r="O385" s="268"/>
      <c r="P385" s="271"/>
    </row>
    <row r="386" ht="15.0" customHeight="1">
      <c r="A386" s="268" t="s">
        <v>12</v>
      </c>
      <c r="B386" s="269">
        <v>46060.0</v>
      </c>
      <c r="C386" s="268"/>
      <c r="D386" s="268" t="s">
        <v>334</v>
      </c>
      <c r="E386" s="268" t="s">
        <v>78</v>
      </c>
      <c r="F386" s="268" t="s">
        <v>79</v>
      </c>
      <c r="G386" s="268" t="s">
        <v>80</v>
      </c>
      <c r="H386" s="270">
        <v>56.0</v>
      </c>
      <c r="I386" s="270"/>
      <c r="J386" s="270"/>
      <c r="K386" s="270"/>
      <c r="L386" s="270"/>
      <c r="M386" s="270"/>
      <c r="N386" s="270"/>
      <c r="O386" s="268"/>
      <c r="P386" s="271"/>
    </row>
    <row r="387" ht="15.0" customHeight="1">
      <c r="A387" s="268" t="s">
        <v>12</v>
      </c>
      <c r="B387" s="269">
        <v>46060.0</v>
      </c>
      <c r="C387" s="268"/>
      <c r="D387" s="268" t="s">
        <v>100</v>
      </c>
      <c r="E387" s="268" t="s">
        <v>78</v>
      </c>
      <c r="F387" s="268" t="s">
        <v>79</v>
      </c>
      <c r="G387" s="268" t="s">
        <v>80</v>
      </c>
      <c r="H387" s="270">
        <v>326.0</v>
      </c>
      <c r="I387" s="270"/>
      <c r="J387" s="270"/>
      <c r="K387" s="270"/>
      <c r="L387" s="270"/>
      <c r="M387" s="270"/>
      <c r="N387" s="270"/>
      <c r="O387" s="268"/>
      <c r="P387" s="271"/>
    </row>
    <row r="388" ht="15.0" customHeight="1">
      <c r="A388" s="268" t="s">
        <v>12</v>
      </c>
      <c r="B388" s="269">
        <v>46060.0</v>
      </c>
      <c r="C388" s="268"/>
      <c r="D388" s="268" t="s">
        <v>337</v>
      </c>
      <c r="E388" s="268" t="s">
        <v>78</v>
      </c>
      <c r="F388" s="268" t="s">
        <v>79</v>
      </c>
      <c r="G388" s="268" t="s">
        <v>80</v>
      </c>
      <c r="H388" s="270">
        <v>390.0</v>
      </c>
      <c r="I388" s="270"/>
      <c r="J388" s="270"/>
      <c r="K388" s="270"/>
      <c r="L388" s="270"/>
      <c r="M388" s="270"/>
      <c r="N388" s="270"/>
      <c r="O388" s="268"/>
      <c r="P388" s="271"/>
    </row>
    <row r="389" ht="15.0" customHeight="1">
      <c r="A389" s="268" t="s">
        <v>12</v>
      </c>
      <c r="B389" s="269">
        <v>46060.0</v>
      </c>
      <c r="C389" s="268"/>
      <c r="D389" s="268" t="s">
        <v>117</v>
      </c>
      <c r="E389" s="268" t="s">
        <v>78</v>
      </c>
      <c r="F389" s="268" t="s">
        <v>79</v>
      </c>
      <c r="G389" s="268" t="s">
        <v>80</v>
      </c>
      <c r="H389" s="270">
        <v>170.0</v>
      </c>
      <c r="I389" s="270"/>
      <c r="J389" s="270"/>
      <c r="K389" s="270"/>
      <c r="L389" s="270"/>
      <c r="M389" s="270"/>
      <c r="N389" s="270"/>
      <c r="O389" s="268"/>
      <c r="P389" s="271"/>
    </row>
    <row r="390" ht="15.0" customHeight="1">
      <c r="A390" s="268" t="s">
        <v>12</v>
      </c>
      <c r="B390" s="269">
        <v>46060.0</v>
      </c>
      <c r="C390" s="268"/>
      <c r="D390" s="268" t="s">
        <v>102</v>
      </c>
      <c r="E390" s="268" t="s">
        <v>78</v>
      </c>
      <c r="F390" s="268" t="s">
        <v>79</v>
      </c>
      <c r="G390" s="268" t="s">
        <v>80</v>
      </c>
      <c r="H390" s="270">
        <v>200.0</v>
      </c>
      <c r="I390" s="270"/>
      <c r="J390" s="270"/>
      <c r="K390" s="270"/>
      <c r="L390" s="270"/>
      <c r="M390" s="270"/>
      <c r="N390" s="270"/>
      <c r="O390" s="268"/>
      <c r="P390" s="271"/>
    </row>
    <row r="391" ht="15.0" customHeight="1">
      <c r="A391" s="268" t="s">
        <v>12</v>
      </c>
      <c r="B391" s="269">
        <v>46060.0</v>
      </c>
      <c r="C391" s="268"/>
      <c r="D391" s="268" t="s">
        <v>336</v>
      </c>
      <c r="E391" s="268" t="s">
        <v>78</v>
      </c>
      <c r="F391" s="268" t="s">
        <v>79</v>
      </c>
      <c r="G391" s="268" t="s">
        <v>80</v>
      </c>
      <c r="H391" s="270">
        <v>245.0</v>
      </c>
      <c r="I391" s="270"/>
      <c r="J391" s="270"/>
      <c r="K391" s="270"/>
      <c r="L391" s="270"/>
      <c r="M391" s="270"/>
      <c r="N391" s="270"/>
      <c r="O391" s="268"/>
      <c r="P391" s="271"/>
    </row>
    <row r="392" ht="15.0" customHeight="1">
      <c r="A392" s="268" t="s">
        <v>12</v>
      </c>
      <c r="B392" s="269">
        <v>46060.0</v>
      </c>
      <c r="C392" s="268"/>
      <c r="D392" s="268" t="s">
        <v>138</v>
      </c>
      <c r="E392" s="268" t="s">
        <v>78</v>
      </c>
      <c r="F392" s="268" t="s">
        <v>79</v>
      </c>
      <c r="G392" s="268" t="s">
        <v>80</v>
      </c>
      <c r="H392" s="270">
        <v>265.0</v>
      </c>
      <c r="I392" s="270"/>
      <c r="J392" s="270"/>
      <c r="K392" s="270"/>
      <c r="L392" s="270"/>
      <c r="M392" s="270"/>
      <c r="N392" s="270"/>
      <c r="O392" s="268"/>
      <c r="P392" s="271"/>
    </row>
    <row r="393" ht="15.0" customHeight="1">
      <c r="A393" s="268" t="s">
        <v>12</v>
      </c>
      <c r="B393" s="269">
        <v>46060.0</v>
      </c>
      <c r="C393" s="268"/>
      <c r="D393" s="268" t="s">
        <v>77</v>
      </c>
      <c r="E393" s="268" t="s">
        <v>110</v>
      </c>
      <c r="F393" s="268" t="s">
        <v>79</v>
      </c>
      <c r="G393" s="268" t="s">
        <v>110</v>
      </c>
      <c r="H393" s="270">
        <v>5.0</v>
      </c>
      <c r="I393" s="270"/>
      <c r="J393" s="270"/>
      <c r="K393" s="270"/>
      <c r="L393" s="270"/>
      <c r="M393" s="270"/>
      <c r="N393" s="270"/>
      <c r="O393" s="268"/>
      <c r="P393" s="271"/>
    </row>
    <row r="394" ht="15.0" customHeight="1">
      <c r="A394" s="268" t="s">
        <v>12</v>
      </c>
      <c r="B394" s="269">
        <v>46061.0</v>
      </c>
      <c r="C394" s="268"/>
      <c r="D394" s="268" t="s">
        <v>158</v>
      </c>
      <c r="E394" s="268" t="s">
        <v>78</v>
      </c>
      <c r="F394" s="268" t="s">
        <v>79</v>
      </c>
      <c r="G394" s="268" t="s">
        <v>80</v>
      </c>
      <c r="H394" s="270">
        <v>190.0</v>
      </c>
      <c r="I394" s="270"/>
      <c r="J394" s="270"/>
      <c r="K394" s="270"/>
      <c r="L394" s="270"/>
      <c r="M394" s="270"/>
      <c r="N394" s="270"/>
      <c r="O394" s="268"/>
      <c r="P394" s="271"/>
    </row>
    <row r="395" ht="15.0" customHeight="1">
      <c r="A395" s="268" t="s">
        <v>12</v>
      </c>
      <c r="B395" s="269">
        <v>46061.0</v>
      </c>
      <c r="C395" s="268"/>
      <c r="D395" s="268" t="s">
        <v>96</v>
      </c>
      <c r="E395" s="268" t="s">
        <v>78</v>
      </c>
      <c r="F395" s="268" t="s">
        <v>79</v>
      </c>
      <c r="G395" s="268" t="s">
        <v>80</v>
      </c>
      <c r="H395" s="270">
        <v>420.0</v>
      </c>
      <c r="I395" s="270"/>
      <c r="J395" s="270"/>
      <c r="K395" s="270"/>
      <c r="L395" s="270"/>
      <c r="M395" s="270"/>
      <c r="N395" s="270"/>
      <c r="O395" s="268"/>
      <c r="P395" s="271"/>
    </row>
    <row r="396" ht="15.0" customHeight="1">
      <c r="A396" s="268" t="s">
        <v>12</v>
      </c>
      <c r="B396" s="269">
        <v>46061.0</v>
      </c>
      <c r="C396" s="268"/>
      <c r="D396" s="268" t="s">
        <v>135</v>
      </c>
      <c r="E396" s="268" t="s">
        <v>78</v>
      </c>
      <c r="F396" s="268" t="s">
        <v>79</v>
      </c>
      <c r="G396" s="268" t="s">
        <v>80</v>
      </c>
      <c r="H396" s="270">
        <v>60.0</v>
      </c>
      <c r="I396" s="270"/>
      <c r="J396" s="270"/>
      <c r="K396" s="270"/>
      <c r="L396" s="270"/>
      <c r="M396" s="270"/>
      <c r="N396" s="270"/>
      <c r="O396" s="268"/>
      <c r="P396" s="271"/>
    </row>
    <row r="397" ht="15.0" customHeight="1">
      <c r="A397" s="268" t="s">
        <v>12</v>
      </c>
      <c r="B397" s="269">
        <v>46061.0</v>
      </c>
      <c r="C397" s="268"/>
      <c r="D397" s="268" t="s">
        <v>145</v>
      </c>
      <c r="E397" s="268" t="s">
        <v>78</v>
      </c>
      <c r="F397" s="268" t="s">
        <v>79</v>
      </c>
      <c r="G397" s="268" t="s">
        <v>80</v>
      </c>
      <c r="H397" s="270">
        <v>235.0</v>
      </c>
      <c r="I397" s="270"/>
      <c r="J397" s="270"/>
      <c r="K397" s="270"/>
      <c r="L397" s="270"/>
      <c r="M397" s="270"/>
      <c r="N397" s="270"/>
      <c r="O397" s="268"/>
      <c r="P397" s="271"/>
    </row>
    <row r="398" ht="15.0" customHeight="1">
      <c r="A398" s="268" t="s">
        <v>12</v>
      </c>
      <c r="B398" s="269">
        <v>46061.0</v>
      </c>
      <c r="C398" s="268"/>
      <c r="D398" s="268" t="s">
        <v>86</v>
      </c>
      <c r="E398" s="268" t="s">
        <v>78</v>
      </c>
      <c r="F398" s="268" t="s">
        <v>79</v>
      </c>
      <c r="G398" s="268" t="s">
        <v>80</v>
      </c>
      <c r="H398" s="270">
        <v>247.0</v>
      </c>
      <c r="I398" s="270"/>
      <c r="J398" s="270"/>
      <c r="K398" s="270"/>
      <c r="L398" s="270"/>
      <c r="M398" s="270"/>
      <c r="N398" s="270"/>
      <c r="O398" s="268"/>
      <c r="P398" s="271"/>
    </row>
    <row r="399" ht="15.0" customHeight="1">
      <c r="A399" s="268" t="s">
        <v>12</v>
      </c>
      <c r="B399" s="269">
        <v>46061.0</v>
      </c>
      <c r="C399" s="268"/>
      <c r="D399" s="268" t="s">
        <v>98</v>
      </c>
      <c r="E399" s="268" t="s">
        <v>78</v>
      </c>
      <c r="F399" s="268" t="s">
        <v>79</v>
      </c>
      <c r="G399" s="268" t="s">
        <v>80</v>
      </c>
      <c r="H399" s="270">
        <v>190.0</v>
      </c>
      <c r="I399" s="270"/>
      <c r="J399" s="270"/>
      <c r="K399" s="270"/>
      <c r="L399" s="270"/>
      <c r="M399" s="270"/>
      <c r="N399" s="270"/>
      <c r="O399" s="268"/>
      <c r="P399" s="271"/>
    </row>
    <row r="400" ht="15.0" customHeight="1">
      <c r="A400" s="268" t="s">
        <v>12</v>
      </c>
      <c r="B400" s="269">
        <v>46062.0</v>
      </c>
      <c r="C400" s="268"/>
      <c r="D400" s="268" t="s">
        <v>119</v>
      </c>
      <c r="E400" s="268" t="s">
        <v>78</v>
      </c>
      <c r="F400" s="268" t="s">
        <v>79</v>
      </c>
      <c r="G400" s="268" t="s">
        <v>80</v>
      </c>
      <c r="H400" s="270">
        <v>129.0</v>
      </c>
      <c r="I400" s="270"/>
      <c r="J400" s="270"/>
      <c r="K400" s="270"/>
      <c r="L400" s="270"/>
      <c r="M400" s="270"/>
      <c r="N400" s="270"/>
      <c r="O400" s="268"/>
      <c r="P400" s="271"/>
    </row>
    <row r="401" ht="15.0" customHeight="1">
      <c r="A401" s="268" t="s">
        <v>12</v>
      </c>
      <c r="B401" s="269">
        <v>46062.0</v>
      </c>
      <c r="C401" s="268"/>
      <c r="D401" s="268" t="s">
        <v>123</v>
      </c>
      <c r="E401" s="268" t="s">
        <v>141</v>
      </c>
      <c r="F401" s="268" t="s">
        <v>79</v>
      </c>
      <c r="G401" s="268" t="s">
        <v>80</v>
      </c>
      <c r="H401" s="270">
        <v>339.0</v>
      </c>
      <c r="I401" s="270"/>
      <c r="J401" s="270"/>
      <c r="K401" s="270"/>
      <c r="L401" s="270"/>
      <c r="M401" s="270"/>
      <c r="N401" s="270"/>
      <c r="O401" s="268"/>
      <c r="P401" s="271"/>
    </row>
    <row r="402" ht="15.0" customHeight="1">
      <c r="A402" s="268" t="s">
        <v>12</v>
      </c>
      <c r="B402" s="269">
        <v>46062.0</v>
      </c>
      <c r="C402" s="268"/>
      <c r="D402" s="268" t="s">
        <v>119</v>
      </c>
      <c r="E402" s="268" t="s">
        <v>141</v>
      </c>
      <c r="F402" s="268" t="s">
        <v>79</v>
      </c>
      <c r="G402" s="268" t="s">
        <v>80</v>
      </c>
      <c r="H402" s="270">
        <v>141.0</v>
      </c>
      <c r="I402" s="270"/>
      <c r="J402" s="270"/>
      <c r="K402" s="270"/>
      <c r="L402" s="270"/>
      <c r="M402" s="270"/>
      <c r="N402" s="270"/>
      <c r="O402" s="268"/>
      <c r="P402" s="271"/>
    </row>
    <row r="403" ht="15.0" customHeight="1">
      <c r="A403" s="268" t="s">
        <v>12</v>
      </c>
      <c r="B403" s="269">
        <v>46062.0</v>
      </c>
      <c r="C403" s="268"/>
      <c r="D403" s="268" t="s">
        <v>103</v>
      </c>
      <c r="E403" s="268" t="s">
        <v>141</v>
      </c>
      <c r="F403" s="268" t="s">
        <v>79</v>
      </c>
      <c r="G403" s="268" t="s">
        <v>80</v>
      </c>
      <c r="H403" s="270">
        <v>166.0</v>
      </c>
      <c r="I403" s="270"/>
      <c r="J403" s="270"/>
      <c r="K403" s="270"/>
      <c r="L403" s="270"/>
      <c r="M403" s="270"/>
      <c r="N403" s="270"/>
      <c r="O403" s="268"/>
      <c r="P403" s="271"/>
    </row>
    <row r="404" ht="15.0" customHeight="1">
      <c r="A404" s="268" t="s">
        <v>12</v>
      </c>
      <c r="B404" s="269">
        <v>46062.0</v>
      </c>
      <c r="C404" s="268"/>
      <c r="D404" s="268" t="s">
        <v>87</v>
      </c>
      <c r="E404" s="268" t="s">
        <v>141</v>
      </c>
      <c r="F404" s="268" t="s">
        <v>79</v>
      </c>
      <c r="G404" s="268" t="s">
        <v>80</v>
      </c>
      <c r="H404" s="270">
        <v>275.0</v>
      </c>
      <c r="I404" s="270"/>
      <c r="J404" s="270"/>
      <c r="K404" s="270"/>
      <c r="L404" s="270"/>
      <c r="M404" s="270"/>
      <c r="N404" s="270"/>
      <c r="O404" s="268"/>
      <c r="P404" s="271"/>
    </row>
    <row r="405" ht="15.0" customHeight="1">
      <c r="A405" s="268" t="s">
        <v>12</v>
      </c>
      <c r="B405" s="269">
        <v>46062.0</v>
      </c>
      <c r="C405" s="268"/>
      <c r="D405" s="268" t="s">
        <v>336</v>
      </c>
      <c r="E405" s="268" t="s">
        <v>141</v>
      </c>
      <c r="F405" s="268" t="s">
        <v>79</v>
      </c>
      <c r="G405" s="268" t="s">
        <v>80</v>
      </c>
      <c r="H405" s="270">
        <v>233.0</v>
      </c>
      <c r="I405" s="270"/>
      <c r="J405" s="270"/>
      <c r="K405" s="270"/>
      <c r="L405" s="270"/>
      <c r="M405" s="270"/>
      <c r="N405" s="270"/>
      <c r="O405" s="268"/>
      <c r="P405" s="271"/>
    </row>
    <row r="406" ht="15.0" customHeight="1">
      <c r="A406" s="268" t="s">
        <v>12</v>
      </c>
      <c r="B406" s="269">
        <v>46062.0</v>
      </c>
      <c r="C406" s="268"/>
      <c r="D406" s="268" t="s">
        <v>101</v>
      </c>
      <c r="E406" s="268" t="s">
        <v>141</v>
      </c>
      <c r="F406" s="268" t="s">
        <v>79</v>
      </c>
      <c r="G406" s="268" t="s">
        <v>80</v>
      </c>
      <c r="H406" s="270">
        <v>235.0</v>
      </c>
      <c r="I406" s="270"/>
      <c r="J406" s="270"/>
      <c r="K406" s="270"/>
      <c r="L406" s="270"/>
      <c r="M406" s="270"/>
      <c r="N406" s="270"/>
      <c r="O406" s="268"/>
      <c r="P406" s="271"/>
    </row>
    <row r="407" ht="15.0" customHeight="1">
      <c r="A407" s="268" t="s">
        <v>12</v>
      </c>
      <c r="B407" s="269">
        <v>46062.0</v>
      </c>
      <c r="C407" s="268"/>
      <c r="D407" s="268" t="s">
        <v>337</v>
      </c>
      <c r="E407" s="268" t="s">
        <v>110</v>
      </c>
      <c r="F407" s="268" t="s">
        <v>79</v>
      </c>
      <c r="G407" s="268" t="s">
        <v>110</v>
      </c>
      <c r="H407" s="270">
        <v>24.0</v>
      </c>
      <c r="I407" s="270"/>
      <c r="J407" s="270"/>
      <c r="K407" s="270"/>
      <c r="L407" s="270"/>
      <c r="M407" s="270"/>
      <c r="N407" s="270"/>
      <c r="O407" s="268"/>
      <c r="P407" s="271"/>
    </row>
    <row r="408" ht="15.0" customHeight="1">
      <c r="A408" s="268" t="s">
        <v>12</v>
      </c>
      <c r="B408" s="269">
        <v>46062.0</v>
      </c>
      <c r="C408" s="268"/>
      <c r="D408" s="268" t="s">
        <v>333</v>
      </c>
      <c r="E408" s="268" t="s">
        <v>107</v>
      </c>
      <c r="F408" s="268" t="s">
        <v>79</v>
      </c>
      <c r="G408" s="268" t="s">
        <v>107</v>
      </c>
      <c r="H408" s="270">
        <v>18.0</v>
      </c>
      <c r="I408" s="270"/>
      <c r="J408" s="270"/>
      <c r="K408" s="270"/>
      <c r="L408" s="270"/>
      <c r="M408" s="270"/>
      <c r="N408" s="270"/>
      <c r="O408" s="268"/>
      <c r="P408" s="271"/>
    </row>
    <row r="409" ht="15.0" customHeight="1">
      <c r="A409" s="268" t="s">
        <v>12</v>
      </c>
      <c r="B409" s="269">
        <v>46063.0</v>
      </c>
      <c r="C409" s="268"/>
      <c r="D409" s="268" t="s">
        <v>130</v>
      </c>
      <c r="E409" s="268" t="s">
        <v>141</v>
      </c>
      <c r="F409" s="268" t="s">
        <v>79</v>
      </c>
      <c r="G409" s="268" t="s">
        <v>80</v>
      </c>
      <c r="H409" s="270">
        <v>153.0</v>
      </c>
      <c r="I409" s="270"/>
      <c r="J409" s="270"/>
      <c r="K409" s="270"/>
      <c r="L409" s="270"/>
      <c r="M409" s="270"/>
      <c r="N409" s="270"/>
      <c r="O409" s="268"/>
      <c r="P409" s="271"/>
    </row>
    <row r="410" ht="15.0" customHeight="1">
      <c r="A410" s="268" t="s">
        <v>12</v>
      </c>
      <c r="B410" s="269">
        <v>46063.0</v>
      </c>
      <c r="C410" s="268"/>
      <c r="D410" s="268" t="s">
        <v>82</v>
      </c>
      <c r="E410" s="268" t="s">
        <v>141</v>
      </c>
      <c r="F410" s="268" t="s">
        <v>79</v>
      </c>
      <c r="G410" s="268" t="s">
        <v>80</v>
      </c>
      <c r="H410" s="270">
        <v>405.0</v>
      </c>
      <c r="I410" s="270"/>
      <c r="J410" s="270"/>
      <c r="K410" s="270"/>
      <c r="L410" s="270"/>
      <c r="M410" s="270"/>
      <c r="N410" s="270"/>
      <c r="O410" s="268"/>
      <c r="P410" s="271"/>
    </row>
    <row r="411" ht="15.0" customHeight="1">
      <c r="A411" s="268" t="s">
        <v>12</v>
      </c>
      <c r="B411" s="269">
        <v>46063.0</v>
      </c>
      <c r="C411" s="268"/>
      <c r="D411" s="268" t="s">
        <v>334</v>
      </c>
      <c r="E411" s="268" t="s">
        <v>141</v>
      </c>
      <c r="F411" s="268" t="s">
        <v>79</v>
      </c>
      <c r="G411" s="268" t="s">
        <v>80</v>
      </c>
      <c r="H411" s="270">
        <v>343.0</v>
      </c>
      <c r="I411" s="270"/>
      <c r="J411" s="270"/>
      <c r="K411" s="270"/>
      <c r="L411" s="270"/>
      <c r="M411" s="270"/>
      <c r="N411" s="270"/>
      <c r="O411" s="268"/>
      <c r="P411" s="271"/>
    </row>
    <row r="412" ht="15.0" customHeight="1">
      <c r="A412" s="268" t="s">
        <v>12</v>
      </c>
      <c r="B412" s="269">
        <v>46063.0</v>
      </c>
      <c r="C412" s="268"/>
      <c r="D412" s="268" t="s">
        <v>99</v>
      </c>
      <c r="E412" s="268" t="s">
        <v>141</v>
      </c>
      <c r="F412" s="268" t="s">
        <v>79</v>
      </c>
      <c r="G412" s="268" t="s">
        <v>80</v>
      </c>
      <c r="H412" s="270">
        <v>400.0</v>
      </c>
      <c r="I412" s="270"/>
      <c r="J412" s="270"/>
      <c r="K412" s="270"/>
      <c r="L412" s="270"/>
      <c r="M412" s="270"/>
      <c r="N412" s="270"/>
      <c r="O412" s="268"/>
      <c r="P412" s="271"/>
    </row>
    <row r="413" ht="15.0" customHeight="1">
      <c r="A413" s="268" t="s">
        <v>12</v>
      </c>
      <c r="B413" s="269">
        <v>46063.0</v>
      </c>
      <c r="C413" s="268"/>
      <c r="D413" s="268" t="s">
        <v>118</v>
      </c>
      <c r="E413" s="268" t="s">
        <v>141</v>
      </c>
      <c r="F413" s="268" t="s">
        <v>79</v>
      </c>
      <c r="G413" s="268" t="s">
        <v>80</v>
      </c>
      <c r="H413" s="270">
        <v>465.0</v>
      </c>
      <c r="I413" s="270"/>
      <c r="J413" s="270"/>
      <c r="K413" s="270"/>
      <c r="L413" s="270"/>
      <c r="M413" s="270"/>
      <c r="N413" s="270"/>
      <c r="O413" s="268"/>
      <c r="P413" s="271"/>
    </row>
    <row r="414" ht="15.0" customHeight="1">
      <c r="A414" s="268" t="s">
        <v>12</v>
      </c>
      <c r="B414" s="269">
        <v>46063.0</v>
      </c>
      <c r="C414" s="268"/>
      <c r="D414" s="268" t="s">
        <v>91</v>
      </c>
      <c r="E414" s="268" t="s">
        <v>141</v>
      </c>
      <c r="F414" s="268" t="s">
        <v>79</v>
      </c>
      <c r="G414" s="268" t="s">
        <v>80</v>
      </c>
      <c r="H414" s="270">
        <v>41.0</v>
      </c>
      <c r="I414" s="270"/>
      <c r="J414" s="270"/>
      <c r="K414" s="270"/>
      <c r="L414" s="270"/>
      <c r="M414" s="270"/>
      <c r="N414" s="270"/>
      <c r="O414" s="268"/>
      <c r="P414" s="271"/>
    </row>
    <row r="415" ht="15.0" customHeight="1">
      <c r="A415" s="268" t="s">
        <v>12</v>
      </c>
      <c r="B415" s="269">
        <v>46063.0</v>
      </c>
      <c r="C415" s="268"/>
      <c r="D415" s="268" t="s">
        <v>102</v>
      </c>
      <c r="E415" s="268" t="s">
        <v>141</v>
      </c>
      <c r="F415" s="268" t="s">
        <v>79</v>
      </c>
      <c r="G415" s="268" t="s">
        <v>80</v>
      </c>
      <c r="H415" s="270">
        <v>220.0</v>
      </c>
      <c r="I415" s="270"/>
      <c r="J415" s="270"/>
      <c r="K415" s="270"/>
      <c r="L415" s="270"/>
      <c r="M415" s="270"/>
      <c r="N415" s="270"/>
      <c r="O415" s="268"/>
      <c r="P415" s="271"/>
    </row>
    <row r="416" ht="15.0" customHeight="1">
      <c r="A416" s="268" t="s">
        <v>12</v>
      </c>
      <c r="B416" s="269">
        <v>46063.0</v>
      </c>
      <c r="C416" s="268"/>
      <c r="D416" s="268" t="s">
        <v>113</v>
      </c>
      <c r="E416" s="268" t="s">
        <v>141</v>
      </c>
      <c r="F416" s="268" t="s">
        <v>79</v>
      </c>
      <c r="G416" s="268" t="s">
        <v>80</v>
      </c>
      <c r="H416" s="270">
        <v>220.0</v>
      </c>
      <c r="I416" s="270"/>
      <c r="J416" s="270"/>
      <c r="K416" s="270"/>
      <c r="L416" s="270"/>
      <c r="M416" s="270"/>
      <c r="N416" s="270"/>
      <c r="O416" s="268"/>
      <c r="P416" s="271"/>
    </row>
    <row r="417" ht="15.0" customHeight="1">
      <c r="A417" s="268" t="s">
        <v>12</v>
      </c>
      <c r="B417" s="269">
        <v>46063.0</v>
      </c>
      <c r="C417" s="268"/>
      <c r="D417" s="268" t="s">
        <v>338</v>
      </c>
      <c r="E417" s="268" t="s">
        <v>141</v>
      </c>
      <c r="F417" s="268" t="s">
        <v>79</v>
      </c>
      <c r="G417" s="268" t="s">
        <v>80</v>
      </c>
      <c r="H417" s="270">
        <v>60.0</v>
      </c>
      <c r="I417" s="270"/>
      <c r="J417" s="270"/>
      <c r="K417" s="270"/>
      <c r="L417" s="270"/>
      <c r="M417" s="270"/>
      <c r="N417" s="270"/>
      <c r="O417" s="268"/>
      <c r="P417" s="271"/>
    </row>
    <row r="418" ht="15.0" customHeight="1">
      <c r="A418" s="268" t="s">
        <v>12</v>
      </c>
      <c r="B418" s="269">
        <v>46063.0</v>
      </c>
      <c r="C418" s="268"/>
      <c r="D418" s="268" t="s">
        <v>339</v>
      </c>
      <c r="E418" s="268" t="s">
        <v>110</v>
      </c>
      <c r="F418" s="268" t="s">
        <v>79</v>
      </c>
      <c r="G418" s="268" t="s">
        <v>110</v>
      </c>
      <c r="H418" s="270">
        <v>30.0</v>
      </c>
      <c r="I418" s="270"/>
      <c r="J418" s="270"/>
      <c r="K418" s="270"/>
      <c r="L418" s="270"/>
      <c r="M418" s="270"/>
      <c r="N418" s="270"/>
      <c r="O418" s="268"/>
      <c r="P418" s="271"/>
    </row>
    <row r="419" ht="15.0" customHeight="1">
      <c r="A419" s="268" t="s">
        <v>12</v>
      </c>
      <c r="B419" s="269">
        <v>46063.0</v>
      </c>
      <c r="C419" s="268"/>
      <c r="D419" s="268" t="s">
        <v>333</v>
      </c>
      <c r="E419" s="268" t="s">
        <v>107</v>
      </c>
      <c r="F419" s="268" t="s">
        <v>79</v>
      </c>
      <c r="G419" s="268" t="s">
        <v>107</v>
      </c>
      <c r="H419" s="270">
        <v>4.0</v>
      </c>
      <c r="I419" s="270"/>
      <c r="J419" s="270"/>
      <c r="K419" s="270"/>
      <c r="L419" s="270"/>
      <c r="M419" s="270"/>
      <c r="N419" s="270"/>
      <c r="O419" s="268"/>
      <c r="P419" s="271"/>
    </row>
    <row r="420" ht="15.0" customHeight="1">
      <c r="A420" s="268" t="s">
        <v>12</v>
      </c>
      <c r="B420" s="269">
        <v>46064.0</v>
      </c>
      <c r="C420" s="268"/>
      <c r="D420" s="268" t="s">
        <v>159</v>
      </c>
      <c r="E420" s="268" t="s">
        <v>141</v>
      </c>
      <c r="F420" s="268" t="s">
        <v>79</v>
      </c>
      <c r="G420" s="268" t="s">
        <v>80</v>
      </c>
      <c r="H420" s="270">
        <v>153.0</v>
      </c>
      <c r="I420" s="270"/>
      <c r="J420" s="270"/>
      <c r="K420" s="270"/>
      <c r="L420" s="270"/>
      <c r="M420" s="270"/>
      <c r="N420" s="270"/>
      <c r="O420" s="268"/>
      <c r="P420" s="271"/>
    </row>
    <row r="421" ht="15.0" customHeight="1">
      <c r="A421" s="268" t="s">
        <v>12</v>
      </c>
      <c r="B421" s="269">
        <v>46064.0</v>
      </c>
      <c r="C421" s="268"/>
      <c r="D421" s="268" t="s">
        <v>126</v>
      </c>
      <c r="E421" s="268" t="s">
        <v>141</v>
      </c>
      <c r="F421" s="268" t="s">
        <v>79</v>
      </c>
      <c r="G421" s="268" t="s">
        <v>80</v>
      </c>
      <c r="H421" s="270">
        <v>213.0</v>
      </c>
      <c r="I421" s="270"/>
      <c r="J421" s="270"/>
      <c r="K421" s="270"/>
      <c r="L421" s="270"/>
      <c r="M421" s="270"/>
      <c r="N421" s="270"/>
      <c r="O421" s="268"/>
      <c r="P421" s="271"/>
    </row>
    <row r="422" ht="15.0" customHeight="1">
      <c r="A422" s="268" t="s">
        <v>12</v>
      </c>
      <c r="B422" s="269">
        <v>46064.0</v>
      </c>
      <c r="C422" s="268"/>
      <c r="D422" s="268" t="s">
        <v>84</v>
      </c>
      <c r="E422" s="268" t="s">
        <v>141</v>
      </c>
      <c r="F422" s="268" t="s">
        <v>79</v>
      </c>
      <c r="G422" s="268" t="s">
        <v>80</v>
      </c>
      <c r="H422" s="270">
        <v>51.0</v>
      </c>
      <c r="I422" s="270"/>
      <c r="J422" s="270"/>
      <c r="K422" s="270"/>
      <c r="L422" s="270"/>
      <c r="M422" s="270"/>
      <c r="N422" s="270"/>
      <c r="O422" s="268"/>
      <c r="P422" s="271"/>
    </row>
    <row r="423" ht="15.0" customHeight="1">
      <c r="A423" s="268" t="s">
        <v>12</v>
      </c>
      <c r="B423" s="269">
        <v>46064.0</v>
      </c>
      <c r="C423" s="268"/>
      <c r="D423" s="268" t="s">
        <v>100</v>
      </c>
      <c r="E423" s="268" t="s">
        <v>141</v>
      </c>
      <c r="F423" s="268" t="s">
        <v>79</v>
      </c>
      <c r="G423" s="268" t="s">
        <v>80</v>
      </c>
      <c r="H423" s="270">
        <v>350.0</v>
      </c>
      <c r="I423" s="270"/>
      <c r="J423" s="270"/>
      <c r="K423" s="270"/>
      <c r="L423" s="270"/>
      <c r="M423" s="270"/>
      <c r="N423" s="270"/>
      <c r="O423" s="268"/>
      <c r="P423" s="271"/>
    </row>
    <row r="424" ht="15.0" customHeight="1">
      <c r="A424" s="268" t="s">
        <v>12</v>
      </c>
      <c r="B424" s="269">
        <v>46064.0</v>
      </c>
      <c r="C424" s="268"/>
      <c r="D424" s="268" t="s">
        <v>337</v>
      </c>
      <c r="E424" s="268" t="s">
        <v>141</v>
      </c>
      <c r="F424" s="268" t="s">
        <v>79</v>
      </c>
      <c r="G424" s="268" t="s">
        <v>80</v>
      </c>
      <c r="H424" s="270">
        <v>390.0</v>
      </c>
      <c r="I424" s="270"/>
      <c r="J424" s="270"/>
      <c r="K424" s="270"/>
      <c r="L424" s="270"/>
      <c r="M424" s="270"/>
      <c r="N424" s="270"/>
      <c r="O424" s="268"/>
      <c r="P424" s="271"/>
    </row>
    <row r="425" ht="15.0" customHeight="1">
      <c r="A425" s="268" t="s">
        <v>12</v>
      </c>
      <c r="B425" s="269">
        <v>46064.0</v>
      </c>
      <c r="C425" s="268"/>
      <c r="D425" s="268" t="s">
        <v>92</v>
      </c>
      <c r="E425" s="268" t="s">
        <v>141</v>
      </c>
      <c r="F425" s="268" t="s">
        <v>79</v>
      </c>
      <c r="G425" s="268" t="s">
        <v>80</v>
      </c>
      <c r="H425" s="270">
        <v>240.0</v>
      </c>
      <c r="I425" s="270"/>
      <c r="J425" s="270"/>
      <c r="K425" s="270"/>
      <c r="L425" s="270"/>
      <c r="M425" s="270"/>
      <c r="N425" s="270"/>
      <c r="O425" s="268"/>
      <c r="P425" s="271"/>
    </row>
    <row r="426" ht="15.0" customHeight="1">
      <c r="A426" s="268" t="s">
        <v>12</v>
      </c>
      <c r="B426" s="269">
        <v>46064.0</v>
      </c>
      <c r="C426" s="268"/>
      <c r="D426" s="268" t="s">
        <v>86</v>
      </c>
      <c r="E426" s="268" t="s">
        <v>141</v>
      </c>
      <c r="F426" s="268" t="s">
        <v>79</v>
      </c>
      <c r="G426" s="268" t="s">
        <v>80</v>
      </c>
      <c r="H426" s="270">
        <v>247.0</v>
      </c>
      <c r="I426" s="270"/>
      <c r="J426" s="270"/>
      <c r="K426" s="270"/>
      <c r="L426" s="270"/>
      <c r="M426" s="270"/>
      <c r="N426" s="270"/>
      <c r="O426" s="268"/>
      <c r="P426" s="271"/>
    </row>
    <row r="427" ht="15.0" customHeight="1">
      <c r="A427" s="268" t="s">
        <v>12</v>
      </c>
      <c r="B427" s="269">
        <v>46064.0</v>
      </c>
      <c r="C427" s="268"/>
      <c r="D427" s="268" t="s">
        <v>112</v>
      </c>
      <c r="E427" s="268" t="s">
        <v>141</v>
      </c>
      <c r="F427" s="268" t="s">
        <v>79</v>
      </c>
      <c r="G427" s="268" t="s">
        <v>80</v>
      </c>
      <c r="H427" s="270">
        <v>262.0</v>
      </c>
      <c r="I427" s="270"/>
      <c r="J427" s="270"/>
      <c r="K427" s="270"/>
      <c r="L427" s="270"/>
      <c r="M427" s="270"/>
      <c r="N427" s="270"/>
      <c r="O427" s="268"/>
      <c r="P427" s="271"/>
    </row>
    <row r="428" ht="15.0" customHeight="1">
      <c r="A428" s="268" t="s">
        <v>12</v>
      </c>
      <c r="B428" s="269">
        <v>46064.0</v>
      </c>
      <c r="C428" s="268"/>
      <c r="D428" s="268" t="s">
        <v>138</v>
      </c>
      <c r="E428" s="268" t="s">
        <v>141</v>
      </c>
      <c r="F428" s="268" t="s">
        <v>79</v>
      </c>
      <c r="G428" s="268" t="s">
        <v>80</v>
      </c>
      <c r="H428" s="270">
        <v>240.0</v>
      </c>
      <c r="I428" s="270"/>
      <c r="J428" s="270"/>
      <c r="K428" s="270"/>
      <c r="L428" s="270"/>
      <c r="M428" s="270"/>
      <c r="N428" s="270"/>
      <c r="O428" s="268"/>
      <c r="P428" s="271"/>
    </row>
    <row r="429" ht="15.0" customHeight="1">
      <c r="A429" s="268" t="s">
        <v>12</v>
      </c>
      <c r="B429" s="269">
        <v>46064.0</v>
      </c>
      <c r="C429" s="268"/>
      <c r="D429" s="268" t="s">
        <v>97</v>
      </c>
      <c r="E429" s="268" t="s">
        <v>141</v>
      </c>
      <c r="F429" s="268" t="s">
        <v>79</v>
      </c>
      <c r="G429" s="268" t="s">
        <v>80</v>
      </c>
      <c r="H429" s="270">
        <v>126.0</v>
      </c>
      <c r="I429" s="270"/>
      <c r="J429" s="270"/>
      <c r="K429" s="270"/>
      <c r="L429" s="270"/>
      <c r="M429" s="270"/>
      <c r="N429" s="270"/>
      <c r="O429" s="268"/>
      <c r="P429" s="271"/>
    </row>
    <row r="430" ht="15.0" customHeight="1">
      <c r="A430" s="268" t="s">
        <v>12</v>
      </c>
      <c r="B430" s="269">
        <v>46065.0</v>
      </c>
      <c r="C430" s="268"/>
      <c r="D430" s="268" t="s">
        <v>119</v>
      </c>
      <c r="E430" s="268" t="s">
        <v>141</v>
      </c>
      <c r="F430" s="268" t="s">
        <v>79</v>
      </c>
      <c r="G430" s="268" t="s">
        <v>80</v>
      </c>
      <c r="H430" s="270">
        <v>475.0</v>
      </c>
      <c r="I430" s="270"/>
      <c r="J430" s="270"/>
      <c r="K430" s="270"/>
      <c r="L430" s="270"/>
      <c r="M430" s="270"/>
      <c r="N430" s="270"/>
      <c r="O430" s="268"/>
      <c r="P430" s="271"/>
    </row>
    <row r="431" ht="15.0" customHeight="1">
      <c r="A431" s="268" t="s">
        <v>12</v>
      </c>
      <c r="B431" s="269">
        <v>46065.0</v>
      </c>
      <c r="C431" s="268"/>
      <c r="D431" s="268" t="s">
        <v>96</v>
      </c>
      <c r="E431" s="268" t="s">
        <v>141</v>
      </c>
      <c r="F431" s="268" t="s">
        <v>79</v>
      </c>
      <c r="G431" s="268" t="s">
        <v>80</v>
      </c>
      <c r="H431" s="270">
        <v>400.0</v>
      </c>
      <c r="I431" s="270"/>
      <c r="J431" s="270"/>
      <c r="K431" s="270"/>
      <c r="L431" s="270"/>
      <c r="M431" s="270"/>
      <c r="N431" s="270"/>
      <c r="O431" s="268"/>
      <c r="P431" s="271"/>
    </row>
    <row r="432" ht="15.0" customHeight="1">
      <c r="A432" s="268" t="s">
        <v>12</v>
      </c>
      <c r="B432" s="269">
        <v>46065.0</v>
      </c>
      <c r="C432" s="268"/>
      <c r="D432" s="268" t="s">
        <v>117</v>
      </c>
      <c r="E432" s="268" t="s">
        <v>141</v>
      </c>
      <c r="F432" s="268" t="s">
        <v>79</v>
      </c>
      <c r="G432" s="268" t="s">
        <v>80</v>
      </c>
      <c r="H432" s="270">
        <v>204.0</v>
      </c>
      <c r="I432" s="270"/>
      <c r="J432" s="270"/>
      <c r="K432" s="270"/>
      <c r="L432" s="270"/>
      <c r="M432" s="270"/>
      <c r="N432" s="270"/>
      <c r="O432" s="268"/>
      <c r="P432" s="271"/>
    </row>
    <row r="433" ht="15.0" customHeight="1">
      <c r="A433" s="268" t="s">
        <v>12</v>
      </c>
      <c r="B433" s="269">
        <v>46065.0</v>
      </c>
      <c r="C433" s="268"/>
      <c r="D433" s="268" t="s">
        <v>136</v>
      </c>
      <c r="E433" s="268" t="s">
        <v>141</v>
      </c>
      <c r="F433" s="268" t="s">
        <v>79</v>
      </c>
      <c r="G433" s="268" t="s">
        <v>80</v>
      </c>
      <c r="H433" s="270">
        <v>52.0</v>
      </c>
      <c r="I433" s="270"/>
      <c r="J433" s="270"/>
      <c r="K433" s="270"/>
      <c r="L433" s="270"/>
      <c r="M433" s="270"/>
      <c r="N433" s="270"/>
      <c r="O433" s="268"/>
      <c r="P433" s="271"/>
    </row>
    <row r="434" ht="15.0" customHeight="1">
      <c r="A434" s="268" t="s">
        <v>12</v>
      </c>
      <c r="B434" s="269">
        <v>46065.0</v>
      </c>
      <c r="C434" s="268"/>
      <c r="D434" s="268" t="s">
        <v>103</v>
      </c>
      <c r="E434" s="268" t="s">
        <v>141</v>
      </c>
      <c r="F434" s="268" t="s">
        <v>79</v>
      </c>
      <c r="G434" s="268" t="s">
        <v>80</v>
      </c>
      <c r="H434" s="270">
        <v>169.0</v>
      </c>
      <c r="I434" s="270"/>
      <c r="J434" s="270"/>
      <c r="K434" s="270"/>
      <c r="L434" s="270"/>
      <c r="M434" s="270"/>
      <c r="N434" s="270"/>
      <c r="O434" s="268"/>
      <c r="P434" s="271"/>
    </row>
    <row r="435" ht="15.0" customHeight="1">
      <c r="A435" s="268" t="s">
        <v>12</v>
      </c>
      <c r="B435" s="269">
        <v>46065.0</v>
      </c>
      <c r="C435" s="268"/>
      <c r="D435" s="268" t="s">
        <v>98</v>
      </c>
      <c r="E435" s="268" t="s">
        <v>141</v>
      </c>
      <c r="F435" s="268" t="s">
        <v>79</v>
      </c>
      <c r="G435" s="268" t="s">
        <v>80</v>
      </c>
      <c r="H435" s="270">
        <v>173.0</v>
      </c>
      <c r="I435" s="270"/>
      <c r="J435" s="270"/>
      <c r="K435" s="270"/>
      <c r="L435" s="270"/>
      <c r="M435" s="270"/>
      <c r="N435" s="270"/>
      <c r="O435" s="268"/>
      <c r="P435" s="271"/>
    </row>
    <row r="436" ht="15.0" customHeight="1">
      <c r="A436" s="268" t="s">
        <v>12</v>
      </c>
      <c r="B436" s="269">
        <v>46065.0</v>
      </c>
      <c r="C436" s="268"/>
      <c r="D436" s="268" t="s">
        <v>106</v>
      </c>
      <c r="E436" s="268" t="s">
        <v>107</v>
      </c>
      <c r="F436" s="268" t="s">
        <v>79</v>
      </c>
      <c r="G436" s="268" t="s">
        <v>107</v>
      </c>
      <c r="H436" s="270">
        <v>20.0</v>
      </c>
      <c r="I436" s="270"/>
      <c r="J436" s="270"/>
      <c r="K436" s="270"/>
      <c r="L436" s="270"/>
      <c r="M436" s="270"/>
      <c r="N436" s="270"/>
      <c r="O436" s="268"/>
      <c r="P436" s="271"/>
    </row>
    <row r="437" ht="15.0" customHeight="1">
      <c r="A437" s="268" t="s">
        <v>12</v>
      </c>
      <c r="B437" s="269">
        <v>46065.0</v>
      </c>
      <c r="C437" s="268"/>
      <c r="D437" s="268" t="s">
        <v>138</v>
      </c>
      <c r="E437" s="268" t="s">
        <v>107</v>
      </c>
      <c r="F437" s="268" t="s">
        <v>79</v>
      </c>
      <c r="G437" s="268" t="s">
        <v>107</v>
      </c>
      <c r="H437" s="270">
        <v>8.0</v>
      </c>
      <c r="I437" s="270"/>
      <c r="J437" s="270"/>
      <c r="K437" s="270"/>
      <c r="L437" s="270"/>
      <c r="M437" s="270"/>
      <c r="N437" s="270"/>
      <c r="O437" s="268"/>
      <c r="P437" s="271"/>
    </row>
    <row r="438" ht="15.0" customHeight="1">
      <c r="A438" s="268" t="s">
        <v>16</v>
      </c>
      <c r="B438" s="269">
        <v>46065.0</v>
      </c>
      <c r="C438" s="268"/>
      <c r="D438" s="268"/>
      <c r="E438" s="268" t="s">
        <v>83</v>
      </c>
      <c r="F438" s="268" t="s">
        <v>565</v>
      </c>
      <c r="G438" s="268" t="s">
        <v>80</v>
      </c>
      <c r="H438" s="270">
        <v>15850.0</v>
      </c>
      <c r="I438" s="270"/>
      <c r="J438" s="270"/>
      <c r="K438" s="270"/>
      <c r="L438" s="270"/>
      <c r="M438" s="270"/>
      <c r="N438" s="270"/>
      <c r="O438" s="268"/>
      <c r="P438" s="271"/>
    </row>
    <row r="439" ht="15.0" customHeight="1">
      <c r="A439" s="268" t="s">
        <v>16</v>
      </c>
      <c r="B439" s="269">
        <v>46065.0</v>
      </c>
      <c r="C439" s="268"/>
      <c r="D439" s="268"/>
      <c r="E439" s="268" t="s">
        <v>110</v>
      </c>
      <c r="F439" s="268" t="s">
        <v>565</v>
      </c>
      <c r="G439" s="268" t="s">
        <v>110</v>
      </c>
      <c r="H439" s="270">
        <v>410.0</v>
      </c>
      <c r="I439" s="270"/>
      <c r="J439" s="270"/>
      <c r="K439" s="270"/>
      <c r="L439" s="270"/>
      <c r="M439" s="270"/>
      <c r="N439" s="270"/>
      <c r="O439" s="268"/>
      <c r="P439" s="271"/>
    </row>
    <row r="440" ht="15.0" customHeight="1">
      <c r="A440" s="268" t="s">
        <v>12</v>
      </c>
      <c r="B440" s="269">
        <v>46067.0</v>
      </c>
      <c r="C440" s="268"/>
      <c r="D440" s="268" t="s">
        <v>123</v>
      </c>
      <c r="E440" s="268" t="s">
        <v>141</v>
      </c>
      <c r="F440" s="268" t="s">
        <v>79</v>
      </c>
      <c r="G440" s="268" t="s">
        <v>80</v>
      </c>
      <c r="H440" s="270">
        <v>480.0</v>
      </c>
      <c r="I440" s="270"/>
      <c r="J440" s="270"/>
      <c r="K440" s="270"/>
      <c r="L440" s="270"/>
      <c r="M440" s="270"/>
      <c r="N440" s="270"/>
      <c r="O440" s="268"/>
      <c r="P440" s="271"/>
    </row>
    <row r="441" ht="15.0" customHeight="1">
      <c r="A441" s="268" t="s">
        <v>12</v>
      </c>
      <c r="B441" s="269">
        <v>46067.0</v>
      </c>
      <c r="C441" s="268"/>
      <c r="D441" s="268" t="s">
        <v>91</v>
      </c>
      <c r="E441" s="268" t="s">
        <v>141</v>
      </c>
      <c r="F441" s="268" t="s">
        <v>79</v>
      </c>
      <c r="G441" s="268" t="s">
        <v>80</v>
      </c>
      <c r="H441" s="270">
        <v>29.0</v>
      </c>
      <c r="I441" s="270"/>
      <c r="J441" s="270"/>
      <c r="K441" s="270"/>
      <c r="L441" s="270"/>
      <c r="M441" s="270"/>
      <c r="N441" s="270"/>
      <c r="O441" s="268"/>
      <c r="P441" s="271"/>
    </row>
    <row r="442" ht="15.0" customHeight="1">
      <c r="A442" s="268" t="s">
        <v>12</v>
      </c>
      <c r="B442" s="269">
        <v>46075.0</v>
      </c>
      <c r="C442" s="268"/>
      <c r="D442" s="268" t="s">
        <v>136</v>
      </c>
      <c r="E442" s="268" t="s">
        <v>141</v>
      </c>
      <c r="F442" s="268" t="s">
        <v>79</v>
      </c>
      <c r="G442" s="268" t="s">
        <v>80</v>
      </c>
      <c r="H442" s="270">
        <v>75.0</v>
      </c>
      <c r="I442" s="270"/>
      <c r="J442" s="270"/>
      <c r="K442" s="270"/>
      <c r="L442" s="270"/>
      <c r="M442" s="270"/>
      <c r="N442" s="270"/>
      <c r="O442" s="268"/>
      <c r="P442" s="271"/>
    </row>
    <row r="443" ht="15.0" customHeight="1">
      <c r="A443" s="268" t="s">
        <v>12</v>
      </c>
      <c r="B443" s="269">
        <v>46075.0</v>
      </c>
      <c r="C443" s="268"/>
      <c r="D443" s="268" t="s">
        <v>91</v>
      </c>
      <c r="E443" s="268" t="s">
        <v>141</v>
      </c>
      <c r="F443" s="268" t="s">
        <v>79</v>
      </c>
      <c r="G443" s="268" t="s">
        <v>80</v>
      </c>
      <c r="H443" s="270">
        <v>36.0</v>
      </c>
      <c r="I443" s="270"/>
      <c r="J443" s="270"/>
      <c r="K443" s="270"/>
      <c r="L443" s="270"/>
      <c r="M443" s="270"/>
      <c r="N443" s="270"/>
      <c r="O443" s="268"/>
      <c r="P443" s="271"/>
    </row>
    <row r="444" ht="15.0" customHeight="1">
      <c r="A444" s="268" t="s">
        <v>12</v>
      </c>
      <c r="B444" s="269">
        <v>46076.0</v>
      </c>
      <c r="C444" s="268"/>
      <c r="D444" s="268" t="s">
        <v>127</v>
      </c>
      <c r="E444" s="268" t="s">
        <v>141</v>
      </c>
      <c r="F444" s="268" t="s">
        <v>79</v>
      </c>
      <c r="G444" s="268" t="s">
        <v>80</v>
      </c>
      <c r="H444" s="270">
        <v>132.0</v>
      </c>
      <c r="I444" s="270"/>
      <c r="J444" s="270"/>
      <c r="K444" s="270"/>
      <c r="L444" s="270"/>
      <c r="M444" s="270"/>
      <c r="N444" s="270"/>
      <c r="O444" s="268"/>
      <c r="P444" s="271"/>
    </row>
    <row r="445" ht="15.0" customHeight="1">
      <c r="A445" s="268" t="s">
        <v>12</v>
      </c>
      <c r="B445" s="269">
        <v>46077.0</v>
      </c>
      <c r="C445" s="268"/>
      <c r="D445" s="268" t="s">
        <v>99</v>
      </c>
      <c r="E445" s="268" t="s">
        <v>141</v>
      </c>
      <c r="F445" s="268" t="s">
        <v>79</v>
      </c>
      <c r="G445" s="268" t="s">
        <v>80</v>
      </c>
      <c r="H445" s="270">
        <v>270.0</v>
      </c>
      <c r="I445" s="270"/>
      <c r="J445" s="270"/>
      <c r="K445" s="270"/>
      <c r="L445" s="270"/>
      <c r="M445" s="270"/>
      <c r="N445" s="270"/>
      <c r="O445" s="268"/>
      <c r="P445" s="271"/>
    </row>
    <row r="446" ht="15.0" customHeight="1">
      <c r="A446" s="268" t="s">
        <v>12</v>
      </c>
      <c r="B446" s="269">
        <v>46078.0</v>
      </c>
      <c r="C446" s="268"/>
      <c r="D446" s="268" t="s">
        <v>123</v>
      </c>
      <c r="E446" s="268" t="s">
        <v>141</v>
      </c>
      <c r="F446" s="268" t="s">
        <v>79</v>
      </c>
      <c r="G446" s="268" t="s">
        <v>80</v>
      </c>
      <c r="H446" s="270">
        <v>10.0</v>
      </c>
      <c r="I446" s="270"/>
      <c r="J446" s="270"/>
      <c r="K446" s="270"/>
      <c r="L446" s="270"/>
      <c r="M446" s="270"/>
      <c r="N446" s="270"/>
      <c r="O446" s="268"/>
      <c r="P446" s="271"/>
    </row>
    <row r="447" ht="15.0" customHeight="1">
      <c r="A447" s="268" t="s">
        <v>12</v>
      </c>
      <c r="B447" s="269">
        <v>46078.0</v>
      </c>
      <c r="C447" s="268"/>
      <c r="D447" s="268" t="s">
        <v>123</v>
      </c>
      <c r="E447" s="268" t="s">
        <v>83</v>
      </c>
      <c r="F447" s="268" t="s">
        <v>79</v>
      </c>
      <c r="G447" s="268" t="s">
        <v>80</v>
      </c>
      <c r="H447" s="270">
        <v>276.0</v>
      </c>
      <c r="I447" s="270"/>
      <c r="J447" s="270"/>
      <c r="K447" s="270"/>
      <c r="L447" s="270"/>
      <c r="M447" s="270"/>
      <c r="N447" s="270"/>
      <c r="O447" s="268"/>
      <c r="P447" s="271"/>
    </row>
    <row r="448" ht="15.0" customHeight="1">
      <c r="A448" s="268" t="s">
        <v>12</v>
      </c>
      <c r="B448" s="269">
        <v>46079.0</v>
      </c>
      <c r="C448" s="268"/>
      <c r="D448" s="268" t="s">
        <v>154</v>
      </c>
      <c r="E448" s="268" t="s">
        <v>83</v>
      </c>
      <c r="F448" s="268" t="s">
        <v>79</v>
      </c>
      <c r="G448" s="268" t="s">
        <v>80</v>
      </c>
      <c r="H448" s="270">
        <v>165.0</v>
      </c>
      <c r="I448" s="270"/>
      <c r="J448" s="270"/>
      <c r="K448" s="270"/>
      <c r="L448" s="270"/>
      <c r="M448" s="270"/>
      <c r="N448" s="270"/>
      <c r="O448" s="268"/>
      <c r="P448" s="271"/>
    </row>
    <row r="449" ht="15.0" customHeight="1">
      <c r="A449" s="268" t="s">
        <v>12</v>
      </c>
      <c r="B449" s="269">
        <v>46079.0</v>
      </c>
      <c r="C449" s="268"/>
      <c r="D449" s="268" t="s">
        <v>82</v>
      </c>
      <c r="E449" s="268" t="s">
        <v>83</v>
      </c>
      <c r="F449" s="268" t="s">
        <v>79</v>
      </c>
      <c r="G449" s="268" t="s">
        <v>80</v>
      </c>
      <c r="H449" s="270">
        <v>390.0</v>
      </c>
      <c r="I449" s="270"/>
      <c r="J449" s="270"/>
      <c r="K449" s="270"/>
      <c r="L449" s="270"/>
      <c r="M449" s="270"/>
      <c r="N449" s="270"/>
      <c r="O449" s="268"/>
      <c r="P449" s="271"/>
    </row>
    <row r="450" ht="15.0" customHeight="1">
      <c r="A450" s="268" t="s">
        <v>12</v>
      </c>
      <c r="B450" s="269">
        <v>46079.0</v>
      </c>
      <c r="C450" s="268"/>
      <c r="D450" s="268" t="s">
        <v>334</v>
      </c>
      <c r="E450" s="268" t="s">
        <v>83</v>
      </c>
      <c r="F450" s="268" t="s">
        <v>79</v>
      </c>
      <c r="G450" s="268" t="s">
        <v>80</v>
      </c>
      <c r="H450" s="270">
        <v>55.0</v>
      </c>
      <c r="I450" s="270"/>
      <c r="J450" s="270"/>
      <c r="K450" s="270"/>
      <c r="L450" s="270"/>
      <c r="M450" s="270"/>
      <c r="N450" s="270"/>
      <c r="O450" s="268"/>
      <c r="P450" s="271"/>
    </row>
    <row r="451" ht="15.0" customHeight="1">
      <c r="A451" s="268" t="s">
        <v>12</v>
      </c>
      <c r="B451" s="269">
        <v>46079.0</v>
      </c>
      <c r="C451" s="268"/>
      <c r="D451" s="268" t="s">
        <v>100</v>
      </c>
      <c r="E451" s="268" t="s">
        <v>83</v>
      </c>
      <c r="F451" s="268" t="s">
        <v>79</v>
      </c>
      <c r="G451" s="268" t="s">
        <v>80</v>
      </c>
      <c r="H451" s="270">
        <v>310.0</v>
      </c>
      <c r="I451" s="270"/>
      <c r="J451" s="270"/>
      <c r="K451" s="270"/>
      <c r="L451" s="270"/>
      <c r="M451" s="270"/>
      <c r="N451" s="270"/>
      <c r="O451" s="268"/>
      <c r="P451" s="271"/>
    </row>
    <row r="452" ht="15.0" customHeight="1">
      <c r="A452" s="268" t="s">
        <v>12</v>
      </c>
      <c r="B452" s="269">
        <v>46079.0</v>
      </c>
      <c r="C452" s="268"/>
      <c r="D452" s="268" t="s">
        <v>118</v>
      </c>
      <c r="E452" s="268" t="s">
        <v>83</v>
      </c>
      <c r="F452" s="268" t="s">
        <v>79</v>
      </c>
      <c r="G452" s="268" t="s">
        <v>80</v>
      </c>
      <c r="H452" s="270">
        <v>410.0</v>
      </c>
      <c r="I452" s="270"/>
      <c r="J452" s="270"/>
      <c r="K452" s="270"/>
      <c r="L452" s="270"/>
      <c r="M452" s="270"/>
      <c r="N452" s="270"/>
      <c r="O452" s="268"/>
      <c r="P452" s="271"/>
    </row>
    <row r="453" ht="15.0" customHeight="1">
      <c r="A453" s="268" t="s">
        <v>12</v>
      </c>
      <c r="B453" s="269">
        <v>46080.0</v>
      </c>
      <c r="C453" s="268"/>
      <c r="D453" s="268" t="s">
        <v>337</v>
      </c>
      <c r="E453" s="268" t="s">
        <v>83</v>
      </c>
      <c r="F453" s="268" t="s">
        <v>79</v>
      </c>
      <c r="G453" s="268" t="s">
        <v>80</v>
      </c>
      <c r="H453" s="270">
        <v>412.0</v>
      </c>
      <c r="I453" s="270"/>
      <c r="J453" s="270"/>
      <c r="K453" s="270"/>
      <c r="L453" s="270"/>
      <c r="M453" s="270"/>
      <c r="N453" s="270"/>
      <c r="O453" s="268"/>
      <c r="P453" s="271"/>
    </row>
    <row r="454" ht="15.0" customHeight="1">
      <c r="A454" s="268" t="s">
        <v>12</v>
      </c>
      <c r="B454" s="269">
        <v>46080.0</v>
      </c>
      <c r="C454" s="268"/>
      <c r="D454" s="268" t="s">
        <v>135</v>
      </c>
      <c r="E454" s="268" t="s">
        <v>83</v>
      </c>
      <c r="F454" s="268" t="s">
        <v>79</v>
      </c>
      <c r="G454" s="268" t="s">
        <v>80</v>
      </c>
      <c r="H454" s="270">
        <v>56.0</v>
      </c>
      <c r="I454" s="270"/>
      <c r="J454" s="270"/>
      <c r="K454" s="270"/>
      <c r="L454" s="270"/>
      <c r="M454" s="270"/>
      <c r="N454" s="270"/>
      <c r="O454" s="268"/>
      <c r="P454" s="271"/>
    </row>
    <row r="455" ht="15.0" customHeight="1">
      <c r="A455" s="268" t="s">
        <v>12</v>
      </c>
      <c r="B455" s="269">
        <v>46081.0</v>
      </c>
      <c r="C455" s="268"/>
      <c r="D455" s="268" t="s">
        <v>123</v>
      </c>
      <c r="E455" s="268" t="s">
        <v>149</v>
      </c>
      <c r="F455" s="268" t="s">
        <v>150</v>
      </c>
      <c r="G455" s="268" t="s">
        <v>80</v>
      </c>
      <c r="H455" s="270">
        <v>880.003</v>
      </c>
      <c r="I455" s="270"/>
      <c r="J455" s="270"/>
      <c r="K455" s="270"/>
      <c r="L455" s="270"/>
      <c r="M455" s="270"/>
      <c r="N455" s="270"/>
      <c r="O455" s="268" t="s">
        <v>567</v>
      </c>
      <c r="P455" s="271"/>
    </row>
    <row r="456" ht="15.0" customHeight="1">
      <c r="A456" s="268" t="s">
        <v>12</v>
      </c>
      <c r="B456" s="269">
        <v>46081.0</v>
      </c>
      <c r="C456" s="268"/>
      <c r="D456" s="268" t="s">
        <v>119</v>
      </c>
      <c r="E456" s="268" t="s">
        <v>149</v>
      </c>
      <c r="F456" s="268" t="s">
        <v>150</v>
      </c>
      <c r="G456" s="268" t="s">
        <v>80</v>
      </c>
      <c r="H456" s="270">
        <v>1050.0</v>
      </c>
      <c r="I456" s="270"/>
      <c r="J456" s="270"/>
      <c r="K456" s="270"/>
      <c r="L456" s="270"/>
      <c r="M456" s="270"/>
      <c r="N456" s="270"/>
      <c r="O456" s="268" t="s">
        <v>567</v>
      </c>
      <c r="P456" s="271"/>
    </row>
    <row r="457" ht="15.0" customHeight="1">
      <c r="A457" s="268" t="s">
        <v>12</v>
      </c>
      <c r="B457" s="269">
        <v>46081.0</v>
      </c>
      <c r="C457" s="268"/>
      <c r="D457" s="268" t="s">
        <v>153</v>
      </c>
      <c r="E457" s="268" t="s">
        <v>83</v>
      </c>
      <c r="F457" s="268" t="s">
        <v>79</v>
      </c>
      <c r="G457" s="268" t="s">
        <v>80</v>
      </c>
      <c r="H457" s="270">
        <v>127.0</v>
      </c>
      <c r="I457" s="270"/>
      <c r="J457" s="270"/>
      <c r="K457" s="270"/>
      <c r="L457" s="270"/>
      <c r="M457" s="270"/>
      <c r="N457" s="270"/>
      <c r="O457" s="268"/>
      <c r="P457" s="271"/>
    </row>
    <row r="458" ht="15.0" customHeight="1">
      <c r="A458" s="268" t="s">
        <v>12</v>
      </c>
      <c r="B458" s="269">
        <v>46081.0</v>
      </c>
      <c r="C458" s="268"/>
      <c r="D458" s="268" t="s">
        <v>159</v>
      </c>
      <c r="E458" s="268" t="s">
        <v>83</v>
      </c>
      <c r="F458" s="268" t="s">
        <v>79</v>
      </c>
      <c r="G458" s="268" t="s">
        <v>80</v>
      </c>
      <c r="H458" s="270">
        <v>147.0</v>
      </c>
      <c r="I458" s="270"/>
      <c r="J458" s="270"/>
      <c r="K458" s="270"/>
      <c r="L458" s="270"/>
      <c r="M458" s="270"/>
      <c r="N458" s="270"/>
      <c r="O458" s="268"/>
      <c r="P458" s="271"/>
    </row>
    <row r="459" ht="15.0" customHeight="1">
      <c r="A459" s="268" t="s">
        <v>12</v>
      </c>
      <c r="B459" s="269">
        <v>46081.0</v>
      </c>
      <c r="C459" s="268"/>
      <c r="D459" s="268" t="s">
        <v>158</v>
      </c>
      <c r="E459" s="268" t="s">
        <v>83</v>
      </c>
      <c r="F459" s="268" t="s">
        <v>79</v>
      </c>
      <c r="G459" s="268" t="s">
        <v>80</v>
      </c>
      <c r="H459" s="270">
        <v>156.0</v>
      </c>
      <c r="I459" s="270"/>
      <c r="J459" s="270"/>
      <c r="K459" s="270"/>
      <c r="L459" s="270"/>
      <c r="M459" s="270"/>
      <c r="N459" s="270"/>
      <c r="O459" s="268"/>
      <c r="P459" s="271"/>
    </row>
    <row r="460" ht="15.0" customHeight="1">
      <c r="A460" s="268" t="s">
        <v>12</v>
      </c>
      <c r="B460" s="269">
        <v>46081.0</v>
      </c>
      <c r="C460" s="268"/>
      <c r="D460" s="268" t="s">
        <v>130</v>
      </c>
      <c r="E460" s="268" t="s">
        <v>83</v>
      </c>
      <c r="F460" s="268" t="s">
        <v>79</v>
      </c>
      <c r="G460" s="268" t="s">
        <v>80</v>
      </c>
      <c r="H460" s="270">
        <v>150.0</v>
      </c>
      <c r="I460" s="270"/>
      <c r="J460" s="270"/>
      <c r="K460" s="270"/>
      <c r="L460" s="270"/>
      <c r="M460" s="270"/>
      <c r="N460" s="270"/>
      <c r="O460" s="268"/>
      <c r="P460" s="271"/>
    </row>
    <row r="461" ht="15.0" customHeight="1">
      <c r="A461" s="268" t="s">
        <v>12</v>
      </c>
      <c r="B461" s="269">
        <v>46081.0</v>
      </c>
      <c r="C461" s="268"/>
      <c r="D461" s="268" t="s">
        <v>126</v>
      </c>
      <c r="E461" s="268" t="s">
        <v>83</v>
      </c>
      <c r="F461" s="268" t="s">
        <v>79</v>
      </c>
      <c r="G461" s="268" t="s">
        <v>80</v>
      </c>
      <c r="H461" s="270">
        <v>100.0</v>
      </c>
      <c r="I461" s="270"/>
      <c r="J461" s="270"/>
      <c r="K461" s="270"/>
      <c r="L461" s="270"/>
      <c r="M461" s="270"/>
      <c r="N461" s="270"/>
      <c r="O461" s="268"/>
      <c r="P461" s="271"/>
    </row>
    <row r="462" ht="15.0" customHeight="1">
      <c r="A462" s="268" t="s">
        <v>12</v>
      </c>
      <c r="B462" s="269">
        <v>46081.0</v>
      </c>
      <c r="C462" s="268"/>
      <c r="D462" s="268" t="s">
        <v>123</v>
      </c>
      <c r="E462" s="268" t="s">
        <v>83</v>
      </c>
      <c r="F462" s="268" t="s">
        <v>79</v>
      </c>
      <c r="G462" s="268" t="s">
        <v>80</v>
      </c>
      <c r="H462" s="270">
        <v>460.0</v>
      </c>
      <c r="I462" s="270"/>
      <c r="J462" s="270"/>
      <c r="K462" s="270"/>
      <c r="L462" s="270"/>
      <c r="M462" s="270"/>
      <c r="N462" s="270"/>
      <c r="O462" s="268"/>
      <c r="P462" s="271"/>
    </row>
    <row r="463" ht="15.0" customHeight="1">
      <c r="A463" s="268" t="s">
        <v>12</v>
      </c>
      <c r="B463" s="269">
        <v>46081.0</v>
      </c>
      <c r="C463" s="268"/>
      <c r="D463" s="268" t="s">
        <v>82</v>
      </c>
      <c r="E463" s="268" t="s">
        <v>83</v>
      </c>
      <c r="F463" s="268" t="s">
        <v>79</v>
      </c>
      <c r="G463" s="268" t="s">
        <v>80</v>
      </c>
      <c r="H463" s="270">
        <v>150.0</v>
      </c>
      <c r="I463" s="270"/>
      <c r="J463" s="270"/>
      <c r="K463" s="270"/>
      <c r="L463" s="270"/>
      <c r="M463" s="270"/>
      <c r="N463" s="270"/>
      <c r="O463" s="268"/>
      <c r="P463" s="271"/>
    </row>
    <row r="464" ht="15.0" customHeight="1">
      <c r="A464" s="268" t="s">
        <v>12</v>
      </c>
      <c r="B464" s="269">
        <v>46081.0</v>
      </c>
      <c r="C464" s="268"/>
      <c r="D464" s="268" t="s">
        <v>77</v>
      </c>
      <c r="E464" s="268" t="s">
        <v>83</v>
      </c>
      <c r="F464" s="268" t="s">
        <v>79</v>
      </c>
      <c r="G464" s="268" t="s">
        <v>80</v>
      </c>
      <c r="H464" s="270">
        <v>500.0</v>
      </c>
      <c r="I464" s="270"/>
      <c r="J464" s="270"/>
      <c r="K464" s="270"/>
      <c r="L464" s="270"/>
      <c r="M464" s="270"/>
      <c r="N464" s="270"/>
      <c r="O464" s="268"/>
      <c r="P464" s="271"/>
    </row>
    <row r="465" ht="15.0" customHeight="1">
      <c r="A465" s="268" t="s">
        <v>12</v>
      </c>
      <c r="B465" s="269">
        <v>46081.0</v>
      </c>
      <c r="C465" s="268"/>
      <c r="D465" s="268" t="s">
        <v>84</v>
      </c>
      <c r="E465" s="268" t="s">
        <v>83</v>
      </c>
      <c r="F465" s="268" t="s">
        <v>79</v>
      </c>
      <c r="G465" s="268" t="s">
        <v>80</v>
      </c>
      <c r="H465" s="270">
        <v>350.0</v>
      </c>
      <c r="I465" s="270"/>
      <c r="J465" s="270"/>
      <c r="K465" s="270"/>
      <c r="L465" s="270"/>
      <c r="M465" s="270"/>
      <c r="N465" s="270"/>
      <c r="O465" s="268"/>
      <c r="P465" s="271"/>
    </row>
    <row r="466" ht="15.0" customHeight="1">
      <c r="A466" s="268" t="s">
        <v>12</v>
      </c>
      <c r="B466" s="269">
        <v>46081.0</v>
      </c>
      <c r="C466" s="268"/>
      <c r="D466" s="268" t="s">
        <v>334</v>
      </c>
      <c r="E466" s="268" t="s">
        <v>83</v>
      </c>
      <c r="F466" s="268" t="s">
        <v>79</v>
      </c>
      <c r="G466" s="268" t="s">
        <v>80</v>
      </c>
      <c r="H466" s="270">
        <v>234.0</v>
      </c>
      <c r="I466" s="270"/>
      <c r="J466" s="270"/>
      <c r="K466" s="270"/>
      <c r="L466" s="270"/>
      <c r="M466" s="270"/>
      <c r="N466" s="270"/>
      <c r="O466" s="268"/>
      <c r="P466" s="271"/>
    </row>
    <row r="467" ht="15.0" customHeight="1">
      <c r="A467" s="268" t="s">
        <v>12</v>
      </c>
      <c r="B467" s="269">
        <v>46081.0</v>
      </c>
      <c r="C467" s="268"/>
      <c r="D467" s="268" t="s">
        <v>119</v>
      </c>
      <c r="E467" s="268" t="s">
        <v>83</v>
      </c>
      <c r="F467" s="268" t="s">
        <v>79</v>
      </c>
      <c r="G467" s="268" t="s">
        <v>80</v>
      </c>
      <c r="H467" s="270">
        <v>348.0</v>
      </c>
      <c r="I467" s="270"/>
      <c r="J467" s="270"/>
      <c r="K467" s="270"/>
      <c r="L467" s="270"/>
      <c r="M467" s="270"/>
      <c r="N467" s="270"/>
      <c r="O467" s="268"/>
      <c r="P467" s="271"/>
    </row>
    <row r="468" ht="15.0" customHeight="1">
      <c r="A468" s="268" t="s">
        <v>12</v>
      </c>
      <c r="B468" s="269">
        <v>46081.0</v>
      </c>
      <c r="C468" s="268"/>
      <c r="D468" s="268" t="s">
        <v>100</v>
      </c>
      <c r="E468" s="268" t="s">
        <v>83</v>
      </c>
      <c r="F468" s="268" t="s">
        <v>79</v>
      </c>
      <c r="G468" s="268" t="s">
        <v>80</v>
      </c>
      <c r="H468" s="270">
        <v>136.0</v>
      </c>
      <c r="I468" s="270"/>
      <c r="J468" s="270"/>
      <c r="K468" s="270"/>
      <c r="L468" s="270"/>
      <c r="M468" s="270"/>
      <c r="N468" s="270"/>
      <c r="O468" s="268"/>
      <c r="P468" s="271"/>
    </row>
    <row r="469" ht="15.0" customHeight="1">
      <c r="A469" s="268" t="s">
        <v>12</v>
      </c>
      <c r="B469" s="269">
        <v>46081.0</v>
      </c>
      <c r="C469" s="268"/>
      <c r="D469" s="268" t="s">
        <v>99</v>
      </c>
      <c r="E469" s="268" t="s">
        <v>83</v>
      </c>
      <c r="F469" s="268" t="s">
        <v>79</v>
      </c>
      <c r="G469" s="268" t="s">
        <v>80</v>
      </c>
      <c r="H469" s="270">
        <v>314.0</v>
      </c>
      <c r="I469" s="270"/>
      <c r="J469" s="270"/>
      <c r="K469" s="270"/>
      <c r="L469" s="270"/>
      <c r="M469" s="270"/>
      <c r="N469" s="270"/>
      <c r="O469" s="268"/>
      <c r="P469" s="271"/>
    </row>
    <row r="470" ht="15.0" customHeight="1">
      <c r="A470" s="268" t="s">
        <v>12</v>
      </c>
      <c r="B470" s="269">
        <v>46081.0</v>
      </c>
      <c r="C470" s="268"/>
      <c r="D470" s="268" t="s">
        <v>118</v>
      </c>
      <c r="E470" s="268" t="s">
        <v>83</v>
      </c>
      <c r="F470" s="268" t="s">
        <v>79</v>
      </c>
      <c r="G470" s="268" t="s">
        <v>80</v>
      </c>
      <c r="H470" s="270">
        <v>145.0</v>
      </c>
      <c r="I470" s="270"/>
      <c r="J470" s="270"/>
      <c r="K470" s="270"/>
      <c r="L470" s="270"/>
      <c r="M470" s="270"/>
      <c r="N470" s="270"/>
      <c r="O470" s="268"/>
      <c r="P470" s="271"/>
    </row>
    <row r="471" ht="15.0" customHeight="1">
      <c r="A471" s="268" t="s">
        <v>12</v>
      </c>
      <c r="B471" s="269">
        <v>46081.0</v>
      </c>
      <c r="C471" s="268"/>
      <c r="D471" s="268" t="s">
        <v>96</v>
      </c>
      <c r="E471" s="268" t="s">
        <v>83</v>
      </c>
      <c r="F471" s="268" t="s">
        <v>79</v>
      </c>
      <c r="G471" s="268" t="s">
        <v>80</v>
      </c>
      <c r="H471" s="270">
        <v>380.0</v>
      </c>
      <c r="I471" s="270"/>
      <c r="J471" s="270"/>
      <c r="K471" s="270"/>
      <c r="L471" s="270"/>
      <c r="M471" s="270"/>
      <c r="N471" s="270"/>
      <c r="O471" s="268"/>
      <c r="P471" s="271"/>
    </row>
    <row r="472" ht="15.0" customHeight="1">
      <c r="A472" s="268" t="s">
        <v>12</v>
      </c>
      <c r="B472" s="269">
        <v>46081.0</v>
      </c>
      <c r="C472" s="268"/>
      <c r="D472" s="268" t="s">
        <v>133</v>
      </c>
      <c r="E472" s="268" t="s">
        <v>83</v>
      </c>
      <c r="F472" s="268" t="s">
        <v>79</v>
      </c>
      <c r="G472" s="268" t="s">
        <v>80</v>
      </c>
      <c r="H472" s="270">
        <v>105.0</v>
      </c>
      <c r="I472" s="270"/>
      <c r="J472" s="270"/>
      <c r="K472" s="270"/>
      <c r="L472" s="270"/>
      <c r="M472" s="270"/>
      <c r="N472" s="270"/>
      <c r="O472" s="268"/>
      <c r="P472" s="271"/>
    </row>
    <row r="473" ht="15.0" customHeight="1">
      <c r="A473" s="268" t="s">
        <v>12</v>
      </c>
      <c r="B473" s="269">
        <v>46081.0</v>
      </c>
      <c r="C473" s="268"/>
      <c r="D473" s="268" t="s">
        <v>117</v>
      </c>
      <c r="E473" s="268" t="s">
        <v>83</v>
      </c>
      <c r="F473" s="268" t="s">
        <v>79</v>
      </c>
      <c r="G473" s="268" t="s">
        <v>80</v>
      </c>
      <c r="H473" s="270">
        <v>143.0</v>
      </c>
      <c r="I473" s="270"/>
      <c r="J473" s="270"/>
      <c r="K473" s="270"/>
      <c r="L473" s="270"/>
      <c r="M473" s="270"/>
      <c r="N473" s="270"/>
      <c r="O473" s="268"/>
      <c r="P473" s="271"/>
    </row>
    <row r="474" ht="15.0" customHeight="1">
      <c r="A474" s="268" t="s">
        <v>12</v>
      </c>
      <c r="B474" s="269">
        <v>46081.0</v>
      </c>
      <c r="C474" s="268"/>
      <c r="D474" s="268" t="s">
        <v>339</v>
      </c>
      <c r="E474" s="268" t="s">
        <v>83</v>
      </c>
      <c r="F474" s="268" t="s">
        <v>79</v>
      </c>
      <c r="G474" s="268" t="s">
        <v>80</v>
      </c>
      <c r="H474" s="270">
        <v>170.0</v>
      </c>
      <c r="I474" s="270"/>
      <c r="J474" s="270"/>
      <c r="K474" s="270"/>
      <c r="L474" s="270"/>
      <c r="M474" s="270"/>
      <c r="N474" s="270"/>
      <c r="O474" s="268"/>
      <c r="P474" s="271"/>
    </row>
    <row r="475" ht="15.0" customHeight="1">
      <c r="A475" s="268" t="s">
        <v>12</v>
      </c>
      <c r="B475" s="269">
        <v>46081.0</v>
      </c>
      <c r="C475" s="268"/>
      <c r="D475" s="268" t="s">
        <v>103</v>
      </c>
      <c r="E475" s="268" t="s">
        <v>83</v>
      </c>
      <c r="F475" s="268" t="s">
        <v>79</v>
      </c>
      <c r="G475" s="268" t="s">
        <v>80</v>
      </c>
      <c r="H475" s="270">
        <v>60.0</v>
      </c>
      <c r="I475" s="270"/>
      <c r="J475" s="270"/>
      <c r="K475" s="270"/>
      <c r="L475" s="270"/>
      <c r="M475" s="270"/>
      <c r="N475" s="270"/>
      <c r="O475" s="268"/>
      <c r="P475" s="271"/>
    </row>
    <row r="476" ht="15.0" customHeight="1">
      <c r="A476" s="268" t="s">
        <v>12</v>
      </c>
      <c r="B476" s="269">
        <v>46081.0</v>
      </c>
      <c r="C476" s="268"/>
      <c r="D476" s="268" t="s">
        <v>92</v>
      </c>
      <c r="E476" s="268" t="s">
        <v>83</v>
      </c>
      <c r="F476" s="268" t="s">
        <v>79</v>
      </c>
      <c r="G476" s="268" t="s">
        <v>80</v>
      </c>
      <c r="H476" s="270">
        <v>85.0</v>
      </c>
      <c r="I476" s="270"/>
      <c r="J476" s="270"/>
      <c r="K476" s="270"/>
      <c r="L476" s="270"/>
      <c r="M476" s="270"/>
      <c r="N476" s="270"/>
      <c r="O476" s="268"/>
      <c r="P476" s="271"/>
    </row>
    <row r="477" ht="15.0" customHeight="1">
      <c r="A477" s="268" t="s">
        <v>12</v>
      </c>
      <c r="B477" s="269">
        <v>46081.0</v>
      </c>
      <c r="C477" s="268"/>
      <c r="D477" s="268" t="s">
        <v>145</v>
      </c>
      <c r="E477" s="268" t="s">
        <v>83</v>
      </c>
      <c r="F477" s="268" t="s">
        <v>79</v>
      </c>
      <c r="G477" s="268" t="s">
        <v>80</v>
      </c>
      <c r="H477" s="270">
        <v>125.0</v>
      </c>
      <c r="I477" s="270"/>
      <c r="J477" s="270"/>
      <c r="K477" s="270"/>
      <c r="L477" s="270"/>
      <c r="M477" s="270"/>
      <c r="N477" s="270"/>
      <c r="O477" s="268"/>
      <c r="P477" s="271"/>
    </row>
    <row r="478" ht="15.0" customHeight="1">
      <c r="A478" s="268" t="s">
        <v>12</v>
      </c>
      <c r="B478" s="269">
        <v>46081.0</v>
      </c>
      <c r="C478" s="268"/>
      <c r="D478" s="268" t="s">
        <v>87</v>
      </c>
      <c r="E478" s="268" t="s">
        <v>83</v>
      </c>
      <c r="F478" s="268" t="s">
        <v>79</v>
      </c>
      <c r="G478" s="268" t="s">
        <v>80</v>
      </c>
      <c r="H478" s="270">
        <v>141.0</v>
      </c>
      <c r="I478" s="270"/>
      <c r="J478" s="270"/>
      <c r="K478" s="270"/>
      <c r="L478" s="270"/>
      <c r="M478" s="270"/>
      <c r="N478" s="270"/>
      <c r="O478" s="268"/>
      <c r="P478" s="271"/>
    </row>
    <row r="479" ht="15.0" customHeight="1">
      <c r="A479" s="268" t="s">
        <v>12</v>
      </c>
      <c r="B479" s="269">
        <v>46081.0</v>
      </c>
      <c r="C479" s="268"/>
      <c r="D479" s="268" t="s">
        <v>102</v>
      </c>
      <c r="E479" s="268" t="s">
        <v>83</v>
      </c>
      <c r="F479" s="268" t="s">
        <v>79</v>
      </c>
      <c r="G479" s="268" t="s">
        <v>80</v>
      </c>
      <c r="H479" s="270">
        <v>160.0</v>
      </c>
      <c r="I479" s="270"/>
      <c r="J479" s="270"/>
      <c r="K479" s="270"/>
      <c r="L479" s="270"/>
      <c r="M479" s="270"/>
      <c r="N479" s="270"/>
      <c r="O479" s="268"/>
      <c r="P479" s="271"/>
    </row>
    <row r="480" ht="15.0" customHeight="1">
      <c r="A480" s="268" t="s">
        <v>12</v>
      </c>
      <c r="B480" s="269">
        <v>46081.0</v>
      </c>
      <c r="C480" s="268"/>
      <c r="D480" s="268" t="s">
        <v>336</v>
      </c>
      <c r="E480" s="268" t="s">
        <v>83</v>
      </c>
      <c r="F480" s="268" t="s">
        <v>79</v>
      </c>
      <c r="G480" s="268" t="s">
        <v>80</v>
      </c>
      <c r="H480" s="270">
        <v>215.0</v>
      </c>
      <c r="I480" s="270"/>
      <c r="J480" s="270"/>
      <c r="K480" s="270"/>
      <c r="L480" s="270"/>
      <c r="M480" s="270"/>
      <c r="N480" s="270"/>
      <c r="O480" s="268"/>
      <c r="P480" s="271"/>
    </row>
    <row r="481" ht="15.0" customHeight="1">
      <c r="A481" s="268" t="s">
        <v>12</v>
      </c>
      <c r="B481" s="269">
        <v>46081.0</v>
      </c>
      <c r="C481" s="268"/>
      <c r="D481" s="268" t="s">
        <v>86</v>
      </c>
      <c r="E481" s="268" t="s">
        <v>83</v>
      </c>
      <c r="F481" s="268" t="s">
        <v>79</v>
      </c>
      <c r="G481" s="268" t="s">
        <v>80</v>
      </c>
      <c r="H481" s="270">
        <v>99.0</v>
      </c>
      <c r="I481" s="270"/>
      <c r="J481" s="270"/>
      <c r="K481" s="270"/>
      <c r="L481" s="270"/>
      <c r="M481" s="270"/>
      <c r="N481" s="270"/>
      <c r="O481" s="268"/>
      <c r="P481" s="271"/>
    </row>
    <row r="482" ht="15.0" customHeight="1">
      <c r="A482" s="268" t="s">
        <v>12</v>
      </c>
      <c r="B482" s="269">
        <v>46081.0</v>
      </c>
      <c r="C482" s="268"/>
      <c r="D482" s="268" t="s">
        <v>113</v>
      </c>
      <c r="E482" s="268" t="s">
        <v>83</v>
      </c>
      <c r="F482" s="268" t="s">
        <v>79</v>
      </c>
      <c r="G482" s="268" t="s">
        <v>80</v>
      </c>
      <c r="H482" s="270">
        <v>160.0</v>
      </c>
      <c r="I482" s="270"/>
      <c r="J482" s="270"/>
      <c r="K482" s="270"/>
      <c r="L482" s="270"/>
      <c r="M482" s="270"/>
      <c r="N482" s="270"/>
      <c r="O482" s="268"/>
      <c r="P482" s="271"/>
    </row>
    <row r="483" ht="15.0" customHeight="1">
      <c r="A483" s="268" t="s">
        <v>12</v>
      </c>
      <c r="B483" s="269">
        <v>46081.0</v>
      </c>
      <c r="C483" s="268"/>
      <c r="D483" s="268" t="s">
        <v>98</v>
      </c>
      <c r="E483" s="268" t="s">
        <v>83</v>
      </c>
      <c r="F483" s="268" t="s">
        <v>79</v>
      </c>
      <c r="G483" s="268" t="s">
        <v>80</v>
      </c>
      <c r="H483" s="270">
        <v>63.0</v>
      </c>
      <c r="I483" s="270"/>
      <c r="J483" s="270"/>
      <c r="K483" s="270"/>
      <c r="L483" s="270"/>
      <c r="M483" s="270"/>
      <c r="N483" s="270"/>
      <c r="O483" s="268"/>
      <c r="P483" s="271"/>
    </row>
    <row r="484" ht="15.0" customHeight="1">
      <c r="A484" s="268" t="s">
        <v>12</v>
      </c>
      <c r="B484" s="269">
        <v>46081.0</v>
      </c>
      <c r="C484" s="268"/>
      <c r="D484" s="268" t="s">
        <v>112</v>
      </c>
      <c r="E484" s="268" t="s">
        <v>83</v>
      </c>
      <c r="F484" s="268" t="s">
        <v>79</v>
      </c>
      <c r="G484" s="268" t="s">
        <v>80</v>
      </c>
      <c r="H484" s="270">
        <v>138.0</v>
      </c>
      <c r="I484" s="270"/>
      <c r="J484" s="270"/>
      <c r="K484" s="270"/>
      <c r="L484" s="270"/>
      <c r="M484" s="270"/>
      <c r="N484" s="270"/>
      <c r="O484" s="268"/>
      <c r="P484" s="271"/>
    </row>
    <row r="485" ht="15.0" customHeight="1">
      <c r="A485" s="268" t="s">
        <v>12</v>
      </c>
      <c r="B485" s="269">
        <v>46081.0</v>
      </c>
      <c r="C485" s="268"/>
      <c r="D485" s="268" t="s">
        <v>138</v>
      </c>
      <c r="E485" s="268" t="s">
        <v>83</v>
      </c>
      <c r="F485" s="268" t="s">
        <v>79</v>
      </c>
      <c r="G485" s="268" t="s">
        <v>80</v>
      </c>
      <c r="H485" s="270">
        <v>84.0</v>
      </c>
      <c r="I485" s="270"/>
      <c r="J485" s="270"/>
      <c r="K485" s="270"/>
      <c r="L485" s="270"/>
      <c r="M485" s="270"/>
      <c r="N485" s="270"/>
      <c r="O485" s="268"/>
      <c r="P485" s="271"/>
    </row>
    <row r="486" ht="15.0" customHeight="1">
      <c r="A486" s="268" t="s">
        <v>12</v>
      </c>
      <c r="B486" s="269">
        <v>46081.0</v>
      </c>
      <c r="C486" s="268"/>
      <c r="D486" s="268" t="s">
        <v>101</v>
      </c>
      <c r="E486" s="268" t="s">
        <v>83</v>
      </c>
      <c r="F486" s="268" t="s">
        <v>79</v>
      </c>
      <c r="G486" s="268" t="s">
        <v>80</v>
      </c>
      <c r="H486" s="270">
        <v>110.0</v>
      </c>
      <c r="I486" s="270"/>
      <c r="J486" s="270"/>
      <c r="K486" s="270"/>
      <c r="L486" s="270"/>
      <c r="M486" s="270"/>
      <c r="N486" s="270"/>
      <c r="O486" s="268"/>
      <c r="P486" s="271"/>
    </row>
    <row r="487" ht="15.0" customHeight="1">
      <c r="A487" s="268" t="s">
        <v>12</v>
      </c>
      <c r="B487" s="269">
        <v>46081.0</v>
      </c>
      <c r="C487" s="268"/>
      <c r="D487" s="268" t="s">
        <v>333</v>
      </c>
      <c r="E487" s="268" t="s">
        <v>163</v>
      </c>
      <c r="F487" s="268" t="s">
        <v>79</v>
      </c>
      <c r="G487" s="268" t="s">
        <v>80</v>
      </c>
      <c r="H487" s="270">
        <v>220.0</v>
      </c>
      <c r="I487" s="270"/>
      <c r="J487" s="270"/>
      <c r="K487" s="270"/>
      <c r="L487" s="270"/>
      <c r="M487" s="270"/>
      <c r="N487" s="270"/>
      <c r="O487" s="268"/>
      <c r="P487" s="271"/>
    </row>
    <row r="488" ht="15.0" customHeight="1">
      <c r="A488" s="268" t="s">
        <v>12</v>
      </c>
      <c r="B488" s="269">
        <v>46081.0</v>
      </c>
      <c r="C488" s="268"/>
      <c r="D488" s="268" t="s">
        <v>162</v>
      </c>
      <c r="E488" s="268" t="s">
        <v>163</v>
      </c>
      <c r="F488" s="268" t="s">
        <v>79</v>
      </c>
      <c r="G488" s="268" t="s">
        <v>80</v>
      </c>
      <c r="H488" s="270">
        <v>783.0</v>
      </c>
      <c r="I488" s="270"/>
      <c r="J488" s="270"/>
      <c r="K488" s="270"/>
      <c r="L488" s="270"/>
      <c r="M488" s="270"/>
      <c r="N488" s="270"/>
      <c r="O488" s="268"/>
      <c r="P488" s="271"/>
    </row>
    <row r="489" ht="15.0" customHeight="1">
      <c r="A489" s="268" t="s">
        <v>12</v>
      </c>
      <c r="B489" s="269">
        <v>46081.0</v>
      </c>
      <c r="C489" s="268"/>
      <c r="D489" s="268" t="s">
        <v>118</v>
      </c>
      <c r="E489" s="268" t="s">
        <v>110</v>
      </c>
      <c r="F489" s="268" t="s">
        <v>79</v>
      </c>
      <c r="G489" s="268" t="s">
        <v>110</v>
      </c>
      <c r="H489" s="270">
        <v>32.0</v>
      </c>
      <c r="I489" s="270"/>
      <c r="J489" s="270"/>
      <c r="K489" s="270"/>
      <c r="L489" s="270"/>
      <c r="M489" s="270"/>
      <c r="N489" s="270"/>
      <c r="O489" s="268"/>
      <c r="P489" s="271"/>
    </row>
    <row r="490" ht="15.0" customHeight="1">
      <c r="A490" s="268" t="s">
        <v>12</v>
      </c>
      <c r="B490" s="269">
        <v>46081.0</v>
      </c>
      <c r="C490" s="268"/>
      <c r="D490" s="268" t="s">
        <v>333</v>
      </c>
      <c r="E490" s="268" t="s">
        <v>110</v>
      </c>
      <c r="F490" s="268" t="s">
        <v>79</v>
      </c>
      <c r="G490" s="268" t="s">
        <v>110</v>
      </c>
      <c r="H490" s="270">
        <v>5.0</v>
      </c>
      <c r="I490" s="270"/>
      <c r="J490" s="270"/>
      <c r="K490" s="270"/>
      <c r="L490" s="270"/>
      <c r="M490" s="270"/>
      <c r="N490" s="270"/>
      <c r="O490" s="268"/>
      <c r="P490" s="271"/>
    </row>
    <row r="491" ht="15.0" customHeight="1">
      <c r="A491" s="268" t="s">
        <v>12</v>
      </c>
      <c r="B491" s="269">
        <v>46082.0</v>
      </c>
      <c r="C491" s="268"/>
      <c r="D491" s="268" t="s">
        <v>116</v>
      </c>
      <c r="E491" s="268" t="s">
        <v>83</v>
      </c>
      <c r="F491" s="268" t="s">
        <v>79</v>
      </c>
      <c r="G491" s="268" t="s">
        <v>80</v>
      </c>
      <c r="H491" s="270">
        <v>348.0</v>
      </c>
      <c r="I491" s="270"/>
      <c r="J491" s="270"/>
      <c r="K491" s="270"/>
      <c r="L491" s="270"/>
      <c r="M491" s="270"/>
      <c r="N491" s="270"/>
      <c r="O491" s="268"/>
      <c r="P491" s="271"/>
    </row>
    <row r="492" ht="15.0" customHeight="1">
      <c r="A492" s="268" t="s">
        <v>16</v>
      </c>
      <c r="B492" s="269">
        <v>46082.0</v>
      </c>
      <c r="C492" s="268"/>
      <c r="D492" s="268"/>
      <c r="E492" s="268" t="s">
        <v>78</v>
      </c>
      <c r="F492" s="268" t="s">
        <v>565</v>
      </c>
      <c r="G492" s="268" t="s">
        <v>80</v>
      </c>
      <c r="H492" s="270">
        <v>8745.0</v>
      </c>
      <c r="I492" s="270"/>
      <c r="J492" s="270"/>
      <c r="K492" s="270"/>
      <c r="L492" s="270"/>
      <c r="M492" s="270"/>
      <c r="N492" s="270"/>
      <c r="O492" s="268"/>
      <c r="P492" s="271"/>
    </row>
    <row r="493" ht="15.0" customHeight="1">
      <c r="A493" s="268" t="s">
        <v>16</v>
      </c>
      <c r="B493" s="269">
        <v>46082.0</v>
      </c>
      <c r="C493" s="268"/>
      <c r="D493" s="268"/>
      <c r="E493" s="268" t="s">
        <v>141</v>
      </c>
      <c r="F493" s="268" t="s">
        <v>565</v>
      </c>
      <c r="G493" s="268" t="s">
        <v>80</v>
      </c>
      <c r="H493" s="270">
        <v>29435.0</v>
      </c>
      <c r="I493" s="270"/>
      <c r="J493" s="270"/>
      <c r="K493" s="270"/>
      <c r="L493" s="270"/>
      <c r="M493" s="270"/>
      <c r="N493" s="270"/>
      <c r="O493" s="268"/>
      <c r="P493" s="271"/>
    </row>
    <row r="494" ht="15.0" customHeight="1">
      <c r="A494" s="268" t="s">
        <v>12</v>
      </c>
      <c r="B494" s="269">
        <v>46083.0</v>
      </c>
      <c r="C494" s="268"/>
      <c r="D494" s="268" t="s">
        <v>123</v>
      </c>
      <c r="E494" s="268" t="s">
        <v>83</v>
      </c>
      <c r="F494" s="268" t="s">
        <v>79</v>
      </c>
      <c r="G494" s="268" t="s">
        <v>80</v>
      </c>
      <c r="H494" s="270">
        <v>296.0</v>
      </c>
      <c r="I494" s="270"/>
      <c r="J494" s="270"/>
      <c r="K494" s="270"/>
      <c r="L494" s="270"/>
      <c r="M494" s="270"/>
      <c r="N494" s="270"/>
      <c r="O494" s="268"/>
      <c r="P494" s="271"/>
    </row>
    <row r="495" ht="15.0" customHeight="1">
      <c r="A495" s="268" t="s">
        <v>16</v>
      </c>
      <c r="B495" s="269">
        <v>46083.0</v>
      </c>
      <c r="C495" s="268"/>
      <c r="D495" s="268"/>
      <c r="E495" s="268" t="s">
        <v>83</v>
      </c>
      <c r="F495" s="268" t="s">
        <v>565</v>
      </c>
      <c r="G495" s="268" t="s">
        <v>80</v>
      </c>
      <c r="H495" s="270">
        <v>14280.0</v>
      </c>
      <c r="I495" s="270"/>
      <c r="J495" s="270"/>
      <c r="K495" s="270"/>
      <c r="L495" s="270"/>
      <c r="M495" s="270"/>
      <c r="N495" s="270"/>
      <c r="O495" s="268"/>
      <c r="P495" s="271"/>
    </row>
    <row r="496" ht="15.0" customHeight="1">
      <c r="A496" s="268" t="s">
        <v>12</v>
      </c>
      <c r="B496" s="269">
        <v>46084.0</v>
      </c>
      <c r="C496" s="268"/>
      <c r="D496" s="268" t="s">
        <v>91</v>
      </c>
      <c r="E496" s="268" t="s">
        <v>83</v>
      </c>
      <c r="F496" s="268" t="s">
        <v>79</v>
      </c>
      <c r="G496" s="268" t="s">
        <v>80</v>
      </c>
      <c r="H496" s="270">
        <v>39.0</v>
      </c>
      <c r="I496" s="270"/>
      <c r="J496" s="270"/>
      <c r="K496" s="270"/>
      <c r="L496" s="270"/>
      <c r="M496" s="270"/>
      <c r="N496" s="270"/>
      <c r="O496" s="268"/>
      <c r="P496" s="271"/>
    </row>
    <row r="497" ht="15.0" customHeight="1">
      <c r="A497" s="268" t="s">
        <v>12</v>
      </c>
      <c r="B497" s="269">
        <v>46085.0</v>
      </c>
      <c r="C497" s="268"/>
      <c r="D497" s="268" t="s">
        <v>84</v>
      </c>
      <c r="E497" s="268" t="s">
        <v>83</v>
      </c>
      <c r="F497" s="268" t="s">
        <v>79</v>
      </c>
      <c r="G497" s="268" t="s">
        <v>80</v>
      </c>
      <c r="H497" s="270">
        <v>46.0</v>
      </c>
      <c r="I497" s="270"/>
      <c r="J497" s="270"/>
      <c r="K497" s="270"/>
      <c r="L497" s="270"/>
      <c r="M497" s="270"/>
      <c r="N497" s="270"/>
      <c r="O497" s="268"/>
      <c r="P497" s="271"/>
    </row>
    <row r="498" ht="15.0" customHeight="1">
      <c r="A498" s="268" t="s">
        <v>12</v>
      </c>
      <c r="B498" s="269">
        <v>46085.0</v>
      </c>
      <c r="C498" s="268"/>
      <c r="D498" s="268" t="s">
        <v>104</v>
      </c>
      <c r="E498" s="268" t="s">
        <v>83</v>
      </c>
      <c r="F498" s="268" t="s">
        <v>79</v>
      </c>
      <c r="G498" s="268" t="s">
        <v>80</v>
      </c>
      <c r="H498" s="270">
        <v>347.0</v>
      </c>
      <c r="I498" s="270"/>
      <c r="J498" s="270"/>
      <c r="K498" s="270"/>
      <c r="L498" s="270"/>
      <c r="M498" s="270"/>
      <c r="N498" s="270"/>
      <c r="O498" s="268"/>
      <c r="P498" s="271"/>
    </row>
    <row r="499" ht="15.0" customHeight="1">
      <c r="A499" s="268" t="s">
        <v>12</v>
      </c>
      <c r="B499" s="269">
        <v>46085.0</v>
      </c>
      <c r="C499" s="268"/>
      <c r="D499" s="268" t="s">
        <v>122</v>
      </c>
      <c r="E499" s="268" t="s">
        <v>83</v>
      </c>
      <c r="F499" s="268" t="s">
        <v>79</v>
      </c>
      <c r="G499" s="268" t="s">
        <v>80</v>
      </c>
      <c r="H499" s="270">
        <v>345.0</v>
      </c>
      <c r="I499" s="270"/>
      <c r="J499" s="270"/>
      <c r="K499" s="270"/>
      <c r="L499" s="270"/>
      <c r="M499" s="270"/>
      <c r="N499" s="270"/>
      <c r="O499" s="268"/>
      <c r="P499" s="271"/>
    </row>
    <row r="500" ht="15.0" customHeight="1">
      <c r="A500" s="268" t="s">
        <v>12</v>
      </c>
      <c r="B500" s="269">
        <v>46085.0</v>
      </c>
      <c r="C500" s="268"/>
      <c r="D500" s="268" t="s">
        <v>99</v>
      </c>
      <c r="E500" s="268" t="s">
        <v>110</v>
      </c>
      <c r="F500" s="268" t="s">
        <v>79</v>
      </c>
      <c r="G500" s="268" t="s">
        <v>110</v>
      </c>
      <c r="H500" s="270">
        <v>30.0</v>
      </c>
      <c r="I500" s="270"/>
      <c r="J500" s="270"/>
      <c r="K500" s="270"/>
      <c r="L500" s="270"/>
      <c r="M500" s="270"/>
      <c r="N500" s="270"/>
      <c r="O500" s="268"/>
      <c r="P500" s="271"/>
    </row>
    <row r="501" ht="15.0" customHeight="1">
      <c r="A501" s="268" t="s">
        <v>12</v>
      </c>
      <c r="B501" s="269">
        <v>46085.0</v>
      </c>
      <c r="C501" s="268"/>
      <c r="D501" s="268" t="s">
        <v>98</v>
      </c>
      <c r="E501" s="268" t="s">
        <v>110</v>
      </c>
      <c r="F501" s="268" t="s">
        <v>79</v>
      </c>
      <c r="G501" s="268" t="s">
        <v>110</v>
      </c>
      <c r="H501" s="270">
        <v>22.0</v>
      </c>
      <c r="I501" s="270"/>
      <c r="J501" s="270"/>
      <c r="K501" s="270"/>
      <c r="L501" s="270"/>
      <c r="M501" s="270"/>
      <c r="N501" s="270"/>
      <c r="O501" s="268"/>
      <c r="P501" s="271"/>
    </row>
    <row r="502" ht="15.0" customHeight="1">
      <c r="A502" s="268" t="s">
        <v>12</v>
      </c>
      <c r="B502" s="269">
        <v>46086.0</v>
      </c>
      <c r="C502" s="268"/>
      <c r="D502" s="268" t="s">
        <v>116</v>
      </c>
      <c r="E502" s="268" t="s">
        <v>83</v>
      </c>
      <c r="F502" s="268" t="s">
        <v>79</v>
      </c>
      <c r="G502" s="268" t="s">
        <v>80</v>
      </c>
      <c r="H502" s="270">
        <v>335.0</v>
      </c>
      <c r="I502" s="270"/>
      <c r="J502" s="270"/>
      <c r="K502" s="270"/>
      <c r="L502" s="270"/>
      <c r="M502" s="270"/>
      <c r="N502" s="270"/>
      <c r="O502" s="268"/>
      <c r="P502" s="271"/>
    </row>
    <row r="503" ht="15.0" customHeight="1">
      <c r="A503" s="268" t="s">
        <v>12</v>
      </c>
      <c r="B503" s="269">
        <v>46087.0</v>
      </c>
      <c r="C503" s="268"/>
      <c r="D503" s="268" t="s">
        <v>154</v>
      </c>
      <c r="E503" s="268" t="s">
        <v>83</v>
      </c>
      <c r="F503" s="268" t="s">
        <v>79</v>
      </c>
      <c r="G503" s="268" t="s">
        <v>80</v>
      </c>
      <c r="H503" s="270">
        <v>162.0</v>
      </c>
      <c r="I503" s="270"/>
      <c r="J503" s="270"/>
      <c r="K503" s="270"/>
      <c r="L503" s="270"/>
      <c r="M503" s="270"/>
      <c r="N503" s="270"/>
      <c r="O503" s="268"/>
      <c r="P503" s="271"/>
    </row>
    <row r="504" ht="15.0" customHeight="1">
      <c r="A504" s="268" t="s">
        <v>12</v>
      </c>
      <c r="B504" s="269">
        <v>46087.0</v>
      </c>
      <c r="C504" s="268"/>
      <c r="D504" s="268" t="s">
        <v>82</v>
      </c>
      <c r="E504" s="268" t="s">
        <v>83</v>
      </c>
      <c r="F504" s="268" t="s">
        <v>79</v>
      </c>
      <c r="G504" s="268" t="s">
        <v>80</v>
      </c>
      <c r="H504" s="270">
        <v>338.0</v>
      </c>
      <c r="I504" s="270"/>
      <c r="J504" s="270"/>
      <c r="K504" s="270"/>
      <c r="L504" s="270"/>
      <c r="M504" s="270"/>
      <c r="N504" s="270"/>
      <c r="O504" s="268"/>
      <c r="P504" s="271"/>
    </row>
    <row r="505" ht="15.0" customHeight="1">
      <c r="A505" s="268" t="s">
        <v>12</v>
      </c>
      <c r="B505" s="269">
        <v>46090.0</v>
      </c>
      <c r="C505" s="268"/>
      <c r="D505" s="268" t="s">
        <v>103</v>
      </c>
      <c r="E505" s="268" t="s">
        <v>83</v>
      </c>
      <c r="F505" s="268" t="s">
        <v>79</v>
      </c>
      <c r="G505" s="268" t="s">
        <v>80</v>
      </c>
      <c r="H505" s="270">
        <v>158.0</v>
      </c>
      <c r="I505" s="270"/>
      <c r="J505" s="270"/>
      <c r="K505" s="270"/>
      <c r="L505" s="270"/>
      <c r="M505" s="270"/>
      <c r="N505" s="270"/>
      <c r="O505" s="268"/>
      <c r="P505" s="271"/>
    </row>
    <row r="506" ht="15.0" customHeight="1">
      <c r="A506" s="268" t="s">
        <v>12</v>
      </c>
      <c r="B506" s="269">
        <v>46090.0</v>
      </c>
      <c r="C506" s="268"/>
      <c r="D506" s="268" t="s">
        <v>123</v>
      </c>
      <c r="E506" s="268" t="s">
        <v>110</v>
      </c>
      <c r="F506" s="268" t="s">
        <v>79</v>
      </c>
      <c r="G506" s="268" t="s">
        <v>110</v>
      </c>
      <c r="H506" s="270">
        <v>30.0</v>
      </c>
      <c r="I506" s="270"/>
      <c r="J506" s="270"/>
      <c r="K506" s="270"/>
      <c r="L506" s="270"/>
      <c r="M506" s="270"/>
      <c r="N506" s="270"/>
      <c r="O506" s="268"/>
      <c r="P506" s="271"/>
    </row>
    <row r="507" ht="15.0" customHeight="1">
      <c r="A507" s="268" t="s">
        <v>12</v>
      </c>
      <c r="B507" s="269">
        <v>46092.0</v>
      </c>
      <c r="C507" s="268"/>
      <c r="D507" s="268" t="s">
        <v>337</v>
      </c>
      <c r="E507" s="268" t="s">
        <v>83</v>
      </c>
      <c r="F507" s="268" t="s">
        <v>79</v>
      </c>
      <c r="G507" s="268" t="s">
        <v>80</v>
      </c>
      <c r="H507" s="270">
        <v>120.0</v>
      </c>
      <c r="I507" s="270"/>
      <c r="J507" s="270"/>
      <c r="K507" s="270"/>
      <c r="L507" s="270"/>
      <c r="M507" s="270"/>
      <c r="N507" s="270"/>
      <c r="O507" s="268"/>
      <c r="P507" s="271"/>
    </row>
    <row r="508" ht="15.0" customHeight="1">
      <c r="A508" s="268" t="s">
        <v>12</v>
      </c>
      <c r="B508" s="269">
        <v>46092.0</v>
      </c>
      <c r="C508" s="268"/>
      <c r="D508" s="268" t="s">
        <v>99</v>
      </c>
      <c r="E508" s="268" t="s">
        <v>83</v>
      </c>
      <c r="F508" s="268" t="s">
        <v>79</v>
      </c>
      <c r="G508" s="268" t="s">
        <v>80</v>
      </c>
      <c r="H508" s="270">
        <v>315.0</v>
      </c>
      <c r="I508" s="270"/>
      <c r="J508" s="270"/>
      <c r="K508" s="270"/>
      <c r="L508" s="270"/>
      <c r="M508" s="270"/>
      <c r="N508" s="270"/>
      <c r="O508" s="268"/>
      <c r="P508" s="271"/>
    </row>
    <row r="509" ht="15.0" customHeight="1">
      <c r="A509" s="268" t="s">
        <v>12</v>
      </c>
      <c r="B509" s="269">
        <v>46092.0</v>
      </c>
      <c r="C509" s="268"/>
      <c r="D509" s="268" t="s">
        <v>118</v>
      </c>
      <c r="E509" s="268" t="s">
        <v>83</v>
      </c>
      <c r="F509" s="268" t="s">
        <v>79</v>
      </c>
      <c r="G509" s="268" t="s">
        <v>80</v>
      </c>
      <c r="H509" s="270">
        <v>355.0</v>
      </c>
      <c r="I509" s="270"/>
      <c r="J509" s="270"/>
      <c r="K509" s="270"/>
      <c r="L509" s="270"/>
      <c r="M509" s="270"/>
      <c r="N509" s="270"/>
      <c r="O509" s="268"/>
      <c r="P509" s="271"/>
    </row>
    <row r="510" ht="15.0" customHeight="1">
      <c r="A510" s="268" t="s">
        <v>12</v>
      </c>
      <c r="B510" s="269">
        <v>46092.0</v>
      </c>
      <c r="C510" s="268"/>
      <c r="D510" s="268" t="s">
        <v>96</v>
      </c>
      <c r="E510" s="268" t="s">
        <v>83</v>
      </c>
      <c r="F510" s="268" t="s">
        <v>79</v>
      </c>
      <c r="G510" s="268" t="s">
        <v>80</v>
      </c>
      <c r="H510" s="270">
        <v>160.0</v>
      </c>
      <c r="I510" s="270"/>
      <c r="J510" s="270"/>
      <c r="K510" s="270"/>
      <c r="L510" s="270"/>
      <c r="M510" s="270"/>
      <c r="N510" s="270"/>
      <c r="O510" s="268"/>
      <c r="P510" s="271"/>
    </row>
    <row r="511" ht="15.0" customHeight="1">
      <c r="A511" s="268" t="s">
        <v>12</v>
      </c>
      <c r="B511" s="269">
        <v>46092.0</v>
      </c>
      <c r="C511" s="268"/>
      <c r="D511" s="268" t="s">
        <v>117</v>
      </c>
      <c r="E511" s="268" t="s">
        <v>83</v>
      </c>
      <c r="F511" s="268" t="s">
        <v>79</v>
      </c>
      <c r="G511" s="268" t="s">
        <v>80</v>
      </c>
      <c r="H511" s="270">
        <v>175.0</v>
      </c>
      <c r="I511" s="270"/>
      <c r="J511" s="270"/>
      <c r="K511" s="270"/>
      <c r="L511" s="270"/>
      <c r="M511" s="270"/>
      <c r="N511" s="270"/>
      <c r="O511" s="268"/>
      <c r="P511" s="271"/>
    </row>
    <row r="512" ht="15.0" customHeight="1">
      <c r="A512" s="268" t="s">
        <v>12</v>
      </c>
      <c r="B512" s="269">
        <v>46092.0</v>
      </c>
      <c r="C512" s="268"/>
      <c r="D512" s="268" t="s">
        <v>127</v>
      </c>
      <c r="E512" s="268" t="s">
        <v>83</v>
      </c>
      <c r="F512" s="268" t="s">
        <v>79</v>
      </c>
      <c r="G512" s="268" t="s">
        <v>80</v>
      </c>
      <c r="H512" s="270">
        <v>200.0</v>
      </c>
      <c r="I512" s="270"/>
      <c r="J512" s="270"/>
      <c r="K512" s="270"/>
      <c r="L512" s="270"/>
      <c r="M512" s="270"/>
      <c r="N512" s="270"/>
      <c r="O512" s="268"/>
      <c r="P512" s="271"/>
    </row>
    <row r="513" ht="15.0" customHeight="1">
      <c r="A513" s="268" t="s">
        <v>12</v>
      </c>
      <c r="B513" s="269">
        <v>46092.0</v>
      </c>
      <c r="C513" s="268"/>
      <c r="D513" s="268" t="s">
        <v>97</v>
      </c>
      <c r="E513" s="268" t="s">
        <v>83</v>
      </c>
      <c r="F513" s="268" t="s">
        <v>79</v>
      </c>
      <c r="G513" s="268" t="s">
        <v>80</v>
      </c>
      <c r="H513" s="270">
        <v>196.0</v>
      </c>
      <c r="I513" s="270"/>
      <c r="J513" s="270"/>
      <c r="K513" s="270"/>
      <c r="L513" s="270"/>
      <c r="M513" s="270"/>
      <c r="N513" s="270"/>
      <c r="O513" s="268"/>
      <c r="P513" s="271"/>
    </row>
    <row r="514" ht="15.0" customHeight="1">
      <c r="A514" s="268" t="s">
        <v>12</v>
      </c>
      <c r="B514" s="269">
        <v>46092.0</v>
      </c>
      <c r="C514" s="268"/>
      <c r="D514" s="268" t="s">
        <v>159</v>
      </c>
      <c r="E514" s="268" t="s">
        <v>110</v>
      </c>
      <c r="F514" s="268" t="s">
        <v>79</v>
      </c>
      <c r="G514" s="268" t="s">
        <v>110</v>
      </c>
      <c r="H514" s="270">
        <v>18.0</v>
      </c>
      <c r="I514" s="270"/>
      <c r="J514" s="270"/>
      <c r="K514" s="270"/>
      <c r="L514" s="270"/>
      <c r="M514" s="270"/>
      <c r="N514" s="270"/>
      <c r="O514" s="268"/>
      <c r="P514" s="271"/>
    </row>
    <row r="515" ht="15.0" customHeight="1">
      <c r="A515" s="268" t="s">
        <v>12</v>
      </c>
      <c r="B515" s="269">
        <v>46093.0</v>
      </c>
      <c r="C515" s="268"/>
      <c r="D515" s="268" t="s">
        <v>159</v>
      </c>
      <c r="E515" s="268" t="s">
        <v>83</v>
      </c>
      <c r="F515" s="268" t="s">
        <v>79</v>
      </c>
      <c r="G515" s="268" t="s">
        <v>80</v>
      </c>
      <c r="H515" s="270">
        <v>130.0</v>
      </c>
      <c r="I515" s="270"/>
      <c r="J515" s="270"/>
      <c r="K515" s="270"/>
      <c r="L515" s="270"/>
      <c r="M515" s="270"/>
      <c r="N515" s="270"/>
      <c r="O515" s="268"/>
      <c r="P515" s="271"/>
    </row>
    <row r="516" ht="15.0" customHeight="1">
      <c r="A516" s="268" t="s">
        <v>12</v>
      </c>
      <c r="B516" s="269">
        <v>46093.0</v>
      </c>
      <c r="C516" s="268"/>
      <c r="D516" s="268" t="s">
        <v>88</v>
      </c>
      <c r="E516" s="268" t="s">
        <v>83</v>
      </c>
      <c r="F516" s="268" t="s">
        <v>79</v>
      </c>
      <c r="G516" s="268" t="s">
        <v>80</v>
      </c>
      <c r="H516" s="270">
        <v>489.0</v>
      </c>
      <c r="I516" s="270"/>
      <c r="J516" s="270"/>
      <c r="K516" s="270"/>
      <c r="L516" s="270"/>
      <c r="M516" s="270"/>
      <c r="N516" s="270"/>
      <c r="O516" s="268"/>
      <c r="P516" s="271"/>
    </row>
    <row r="517" ht="15.0" customHeight="1">
      <c r="A517" s="268" t="s">
        <v>12</v>
      </c>
      <c r="B517" s="269">
        <v>46093.0</v>
      </c>
      <c r="C517" s="268"/>
      <c r="D517" s="268" t="s">
        <v>334</v>
      </c>
      <c r="E517" s="268" t="s">
        <v>83</v>
      </c>
      <c r="F517" s="268" t="s">
        <v>79</v>
      </c>
      <c r="G517" s="268" t="s">
        <v>80</v>
      </c>
      <c r="H517" s="270">
        <v>50.0</v>
      </c>
      <c r="I517" s="270"/>
      <c r="J517" s="270"/>
      <c r="K517" s="270"/>
      <c r="L517" s="270"/>
      <c r="M517" s="270"/>
      <c r="N517" s="270"/>
      <c r="O517" s="268"/>
      <c r="P517" s="271"/>
    </row>
    <row r="518" ht="15.0" customHeight="1">
      <c r="A518" s="268" t="s">
        <v>12</v>
      </c>
      <c r="B518" s="269">
        <v>46093.0</v>
      </c>
      <c r="C518" s="268"/>
      <c r="D518" s="268" t="s">
        <v>98</v>
      </c>
      <c r="E518" s="268" t="s">
        <v>83</v>
      </c>
      <c r="F518" s="268" t="s">
        <v>79</v>
      </c>
      <c r="G518" s="268" t="s">
        <v>80</v>
      </c>
      <c r="H518" s="270">
        <v>168.0</v>
      </c>
      <c r="I518" s="270"/>
      <c r="J518" s="270"/>
      <c r="K518" s="270"/>
      <c r="L518" s="270"/>
      <c r="M518" s="270"/>
      <c r="N518" s="270"/>
      <c r="O518" s="268"/>
      <c r="P518" s="271"/>
    </row>
    <row r="519" ht="15.0" customHeight="1">
      <c r="A519" s="268" t="s">
        <v>12</v>
      </c>
      <c r="B519" s="269">
        <v>46093.0</v>
      </c>
      <c r="C519" s="268"/>
      <c r="D519" s="268" t="s">
        <v>88</v>
      </c>
      <c r="E519" s="268" t="s">
        <v>110</v>
      </c>
      <c r="F519" s="268" t="s">
        <v>79</v>
      </c>
      <c r="G519" s="268" t="s">
        <v>110</v>
      </c>
      <c r="H519" s="270">
        <v>14.0</v>
      </c>
      <c r="I519" s="270"/>
      <c r="J519" s="270"/>
      <c r="K519" s="270"/>
      <c r="L519" s="270"/>
      <c r="M519" s="270"/>
      <c r="N519" s="270"/>
      <c r="O519" s="268"/>
      <c r="P519" s="271"/>
    </row>
    <row r="520" ht="15.0" customHeight="1">
      <c r="A520" s="268" t="s">
        <v>12</v>
      </c>
      <c r="B520" s="269">
        <v>46093.0</v>
      </c>
      <c r="C520" s="268"/>
      <c r="D520" s="268" t="s">
        <v>117</v>
      </c>
      <c r="E520" s="268" t="s">
        <v>93</v>
      </c>
      <c r="F520" s="268" t="s">
        <v>79</v>
      </c>
      <c r="G520" s="268" t="s">
        <v>93</v>
      </c>
      <c r="H520" s="270">
        <v>5.0</v>
      </c>
      <c r="I520" s="270"/>
      <c r="J520" s="270"/>
      <c r="K520" s="270"/>
      <c r="L520" s="270"/>
      <c r="M520" s="270"/>
      <c r="N520" s="270"/>
      <c r="O520" s="268"/>
      <c r="P520" s="271"/>
    </row>
    <row r="521" ht="15.0" customHeight="1">
      <c r="A521" s="268" t="s">
        <v>12</v>
      </c>
      <c r="B521" s="269">
        <v>46093.0</v>
      </c>
      <c r="C521" s="268"/>
      <c r="D521" s="268" t="s">
        <v>117</v>
      </c>
      <c r="E521" s="268" t="s">
        <v>107</v>
      </c>
      <c r="F521" s="268" t="s">
        <v>79</v>
      </c>
      <c r="G521" s="268" t="s">
        <v>107</v>
      </c>
      <c r="H521" s="270">
        <v>12.0</v>
      </c>
      <c r="I521" s="270"/>
      <c r="J521" s="270"/>
      <c r="K521" s="270"/>
      <c r="L521" s="270"/>
      <c r="M521" s="270"/>
      <c r="N521" s="270"/>
      <c r="O521" s="268"/>
      <c r="P521" s="271"/>
    </row>
    <row r="522" ht="15.0" customHeight="1">
      <c r="A522" s="268" t="s">
        <v>12</v>
      </c>
      <c r="B522" s="269">
        <v>46094.0</v>
      </c>
      <c r="C522" s="268"/>
      <c r="D522" s="268" t="s">
        <v>153</v>
      </c>
      <c r="E522" s="268" t="s">
        <v>83</v>
      </c>
      <c r="F522" s="268" t="s">
        <v>79</v>
      </c>
      <c r="G522" s="268" t="s">
        <v>80</v>
      </c>
      <c r="H522" s="270">
        <v>153.0</v>
      </c>
      <c r="I522" s="270"/>
      <c r="J522" s="270"/>
      <c r="K522" s="270"/>
      <c r="L522" s="270"/>
      <c r="M522" s="270"/>
      <c r="N522" s="270"/>
      <c r="O522" s="268"/>
      <c r="P522" s="271"/>
    </row>
    <row r="523" ht="15.0" customHeight="1">
      <c r="A523" s="268" t="s">
        <v>12</v>
      </c>
      <c r="B523" s="269">
        <v>46094.0</v>
      </c>
      <c r="C523" s="268"/>
      <c r="D523" s="268" t="s">
        <v>130</v>
      </c>
      <c r="E523" s="268" t="s">
        <v>83</v>
      </c>
      <c r="F523" s="268" t="s">
        <v>79</v>
      </c>
      <c r="G523" s="268" t="s">
        <v>80</v>
      </c>
      <c r="H523" s="270">
        <v>132.0</v>
      </c>
      <c r="I523" s="270"/>
      <c r="J523" s="270"/>
      <c r="K523" s="270"/>
      <c r="L523" s="270"/>
      <c r="M523" s="270"/>
      <c r="N523" s="270"/>
      <c r="O523" s="268"/>
      <c r="P523" s="271"/>
    </row>
    <row r="524" ht="15.0" customHeight="1">
      <c r="A524" s="268" t="s">
        <v>12</v>
      </c>
      <c r="B524" s="269">
        <v>46094.0</v>
      </c>
      <c r="C524" s="268"/>
      <c r="D524" s="268" t="s">
        <v>126</v>
      </c>
      <c r="E524" s="268" t="s">
        <v>83</v>
      </c>
      <c r="F524" s="268" t="s">
        <v>79</v>
      </c>
      <c r="G524" s="268" t="s">
        <v>80</v>
      </c>
      <c r="H524" s="270">
        <v>190.0</v>
      </c>
      <c r="I524" s="270"/>
      <c r="J524" s="270"/>
      <c r="K524" s="270"/>
      <c r="L524" s="270"/>
      <c r="M524" s="270"/>
      <c r="N524" s="270"/>
      <c r="O524" s="268"/>
      <c r="P524" s="271"/>
    </row>
    <row r="525" ht="15.0" customHeight="1">
      <c r="A525" s="268" t="s">
        <v>12</v>
      </c>
      <c r="B525" s="269">
        <v>46094.0</v>
      </c>
      <c r="C525" s="268"/>
      <c r="D525" s="268" t="s">
        <v>84</v>
      </c>
      <c r="E525" s="268" t="s">
        <v>83</v>
      </c>
      <c r="F525" s="268" t="s">
        <v>79</v>
      </c>
      <c r="G525" s="268" t="s">
        <v>80</v>
      </c>
      <c r="H525" s="270">
        <v>285.0</v>
      </c>
      <c r="I525" s="270"/>
      <c r="J525" s="270"/>
      <c r="K525" s="270"/>
      <c r="L525" s="270"/>
      <c r="M525" s="270"/>
      <c r="N525" s="270"/>
      <c r="O525" s="268"/>
      <c r="P525" s="271"/>
    </row>
    <row r="526" ht="15.0" customHeight="1">
      <c r="A526" s="268" t="s">
        <v>12</v>
      </c>
      <c r="B526" s="269">
        <v>46094.0</v>
      </c>
      <c r="C526" s="268"/>
      <c r="D526" s="268" t="s">
        <v>145</v>
      </c>
      <c r="E526" s="268" t="s">
        <v>83</v>
      </c>
      <c r="F526" s="268" t="s">
        <v>79</v>
      </c>
      <c r="G526" s="268" t="s">
        <v>80</v>
      </c>
      <c r="H526" s="270">
        <v>220.0</v>
      </c>
      <c r="I526" s="270"/>
      <c r="J526" s="270"/>
      <c r="K526" s="270"/>
      <c r="L526" s="270"/>
      <c r="M526" s="270"/>
      <c r="N526" s="270"/>
      <c r="O526" s="268"/>
      <c r="P526" s="271"/>
    </row>
    <row r="527" ht="15.0" customHeight="1">
      <c r="A527" s="268" t="s">
        <v>12</v>
      </c>
      <c r="B527" s="269">
        <v>46094.0</v>
      </c>
      <c r="C527" s="268"/>
      <c r="D527" s="268" t="s">
        <v>112</v>
      </c>
      <c r="E527" s="268" t="s">
        <v>83</v>
      </c>
      <c r="F527" s="268" t="s">
        <v>79</v>
      </c>
      <c r="G527" s="268" t="s">
        <v>80</v>
      </c>
      <c r="H527" s="270">
        <v>233.0</v>
      </c>
      <c r="I527" s="270"/>
      <c r="J527" s="270"/>
      <c r="K527" s="270"/>
      <c r="L527" s="270"/>
      <c r="M527" s="270"/>
      <c r="N527" s="270"/>
      <c r="O527" s="268"/>
      <c r="P527" s="271"/>
    </row>
    <row r="528" ht="15.0" customHeight="1">
      <c r="A528" s="268" t="s">
        <v>12</v>
      </c>
      <c r="B528" s="269">
        <v>46094.0</v>
      </c>
      <c r="C528" s="268"/>
      <c r="D528" s="268" t="s">
        <v>153</v>
      </c>
      <c r="E528" s="268" t="s">
        <v>93</v>
      </c>
      <c r="F528" s="268" t="s">
        <v>79</v>
      </c>
      <c r="G528" s="268" t="s">
        <v>93</v>
      </c>
      <c r="H528" s="270">
        <v>2.0</v>
      </c>
      <c r="I528" s="270"/>
      <c r="J528" s="270"/>
      <c r="K528" s="270"/>
      <c r="L528" s="270"/>
      <c r="M528" s="270"/>
      <c r="N528" s="270"/>
      <c r="O528" s="268"/>
      <c r="P528" s="271"/>
    </row>
    <row r="529" ht="15.0" customHeight="1">
      <c r="A529" s="268" t="s">
        <v>12</v>
      </c>
      <c r="B529" s="269">
        <v>46094.0</v>
      </c>
      <c r="C529" s="268"/>
      <c r="D529" s="268" t="s">
        <v>336</v>
      </c>
      <c r="E529" s="268" t="s">
        <v>93</v>
      </c>
      <c r="F529" s="268" t="s">
        <v>79</v>
      </c>
      <c r="G529" s="268" t="s">
        <v>93</v>
      </c>
      <c r="H529" s="270">
        <v>5.0</v>
      </c>
      <c r="I529" s="270"/>
      <c r="J529" s="270"/>
      <c r="K529" s="270"/>
      <c r="L529" s="270"/>
      <c r="M529" s="270"/>
      <c r="N529" s="270"/>
      <c r="O529" s="268"/>
      <c r="P529" s="271"/>
    </row>
    <row r="530" ht="15.0" customHeight="1">
      <c r="A530" s="268" t="s">
        <v>12</v>
      </c>
      <c r="B530" s="269">
        <v>46095.0</v>
      </c>
      <c r="C530" s="268"/>
      <c r="D530" s="268" t="s">
        <v>123</v>
      </c>
      <c r="E530" s="268" t="s">
        <v>83</v>
      </c>
      <c r="F530" s="268" t="s">
        <v>79</v>
      </c>
      <c r="G530" s="268" t="s">
        <v>80</v>
      </c>
      <c r="H530" s="270">
        <v>403.0</v>
      </c>
      <c r="I530" s="270"/>
      <c r="J530" s="270"/>
      <c r="K530" s="270"/>
      <c r="L530" s="270"/>
      <c r="M530" s="270"/>
      <c r="N530" s="270"/>
      <c r="O530" s="268"/>
      <c r="P530" s="271"/>
    </row>
    <row r="531" ht="15.0" customHeight="1">
      <c r="A531" s="268" t="s">
        <v>12</v>
      </c>
      <c r="B531" s="269">
        <v>46095.0</v>
      </c>
      <c r="C531" s="268"/>
      <c r="D531" s="268" t="s">
        <v>77</v>
      </c>
      <c r="E531" s="268" t="s">
        <v>83</v>
      </c>
      <c r="F531" s="268" t="s">
        <v>79</v>
      </c>
      <c r="G531" s="268" t="s">
        <v>80</v>
      </c>
      <c r="H531" s="270">
        <v>445.0</v>
      </c>
      <c r="I531" s="270"/>
      <c r="J531" s="270"/>
      <c r="K531" s="270"/>
      <c r="L531" s="270"/>
      <c r="M531" s="270"/>
      <c r="N531" s="270"/>
      <c r="O531" s="268"/>
      <c r="P531" s="271"/>
    </row>
    <row r="532" ht="15.0" customHeight="1">
      <c r="A532" s="268" t="s">
        <v>12</v>
      </c>
      <c r="B532" s="269">
        <v>46095.0</v>
      </c>
      <c r="C532" s="268"/>
      <c r="D532" s="268" t="s">
        <v>334</v>
      </c>
      <c r="E532" s="268" t="s">
        <v>83</v>
      </c>
      <c r="F532" s="268" t="s">
        <v>79</v>
      </c>
      <c r="G532" s="268" t="s">
        <v>80</v>
      </c>
      <c r="H532" s="270">
        <v>46.0</v>
      </c>
      <c r="I532" s="270"/>
      <c r="J532" s="270"/>
      <c r="K532" s="270"/>
      <c r="L532" s="270"/>
      <c r="M532" s="270"/>
      <c r="N532" s="270"/>
      <c r="O532" s="268"/>
      <c r="P532" s="271"/>
    </row>
    <row r="533" ht="15.0" customHeight="1">
      <c r="A533" s="268" t="s">
        <v>12</v>
      </c>
      <c r="B533" s="269">
        <v>46095.0</v>
      </c>
      <c r="C533" s="268"/>
      <c r="D533" s="268" t="s">
        <v>87</v>
      </c>
      <c r="E533" s="268" t="s">
        <v>83</v>
      </c>
      <c r="F533" s="268" t="s">
        <v>79</v>
      </c>
      <c r="G533" s="268" t="s">
        <v>80</v>
      </c>
      <c r="H533" s="270">
        <v>200.0</v>
      </c>
      <c r="I533" s="270"/>
      <c r="J533" s="270"/>
      <c r="K533" s="270"/>
      <c r="L533" s="270"/>
      <c r="M533" s="270"/>
      <c r="N533" s="270"/>
      <c r="O533" s="268"/>
      <c r="P533" s="271"/>
    </row>
    <row r="534" ht="15.0" customHeight="1">
      <c r="A534" s="268" t="s">
        <v>12</v>
      </c>
      <c r="B534" s="269">
        <v>46095.0</v>
      </c>
      <c r="C534" s="268"/>
      <c r="D534" s="268" t="s">
        <v>102</v>
      </c>
      <c r="E534" s="268" t="s">
        <v>83</v>
      </c>
      <c r="F534" s="268" t="s">
        <v>79</v>
      </c>
      <c r="G534" s="268" t="s">
        <v>80</v>
      </c>
      <c r="H534" s="270">
        <v>210.0</v>
      </c>
      <c r="I534" s="270"/>
      <c r="J534" s="270"/>
      <c r="K534" s="270"/>
      <c r="L534" s="270"/>
      <c r="M534" s="270"/>
      <c r="N534" s="270"/>
      <c r="O534" s="268"/>
      <c r="P534" s="271"/>
    </row>
    <row r="535" ht="15.0" customHeight="1">
      <c r="A535" s="268" t="s">
        <v>12</v>
      </c>
      <c r="B535" s="269">
        <v>46095.0</v>
      </c>
      <c r="C535" s="268"/>
      <c r="D535" s="268" t="s">
        <v>86</v>
      </c>
      <c r="E535" s="268" t="s">
        <v>83</v>
      </c>
      <c r="F535" s="268" t="s">
        <v>79</v>
      </c>
      <c r="G535" s="268" t="s">
        <v>80</v>
      </c>
      <c r="H535" s="270">
        <v>250.0</v>
      </c>
      <c r="I535" s="270"/>
      <c r="J535" s="270"/>
      <c r="K535" s="270"/>
      <c r="L535" s="270"/>
      <c r="M535" s="270"/>
      <c r="N535" s="270"/>
      <c r="O535" s="268"/>
      <c r="P535" s="271"/>
    </row>
    <row r="536" ht="15.0" customHeight="1">
      <c r="A536" s="268" t="s">
        <v>12</v>
      </c>
      <c r="B536" s="269">
        <v>46095.0</v>
      </c>
      <c r="C536" s="268"/>
      <c r="D536" s="268" t="s">
        <v>113</v>
      </c>
      <c r="E536" s="268" t="s">
        <v>83</v>
      </c>
      <c r="F536" s="268" t="s">
        <v>79</v>
      </c>
      <c r="G536" s="268" t="s">
        <v>80</v>
      </c>
      <c r="H536" s="270">
        <v>220.0</v>
      </c>
      <c r="I536" s="270"/>
      <c r="J536" s="270"/>
      <c r="K536" s="270"/>
      <c r="L536" s="270"/>
      <c r="M536" s="270"/>
      <c r="N536" s="270"/>
      <c r="O536" s="268"/>
      <c r="P536" s="271"/>
    </row>
    <row r="537" ht="15.0" customHeight="1">
      <c r="A537" s="268" t="s">
        <v>12</v>
      </c>
      <c r="B537" s="269">
        <v>46095.0</v>
      </c>
      <c r="C537" s="268"/>
      <c r="D537" s="268" t="s">
        <v>97</v>
      </c>
      <c r="E537" s="268" t="s">
        <v>83</v>
      </c>
      <c r="F537" s="268" t="s">
        <v>79</v>
      </c>
      <c r="G537" s="268" t="s">
        <v>80</v>
      </c>
      <c r="H537" s="270">
        <v>233.0</v>
      </c>
      <c r="I537" s="270"/>
      <c r="J537" s="270"/>
      <c r="K537" s="270"/>
      <c r="L537" s="270"/>
      <c r="M537" s="270"/>
      <c r="N537" s="270"/>
      <c r="O537" s="268"/>
      <c r="P537" s="271"/>
    </row>
    <row r="538" ht="15.0" customHeight="1">
      <c r="A538" s="268" t="s">
        <v>12</v>
      </c>
      <c r="B538" s="269">
        <v>46096.0</v>
      </c>
      <c r="C538" s="268"/>
      <c r="D538" s="268" t="s">
        <v>154</v>
      </c>
      <c r="E538" s="268" t="s">
        <v>83</v>
      </c>
      <c r="F538" s="268" t="s">
        <v>79</v>
      </c>
      <c r="G538" s="268" t="s">
        <v>80</v>
      </c>
      <c r="H538" s="270">
        <v>173.0</v>
      </c>
      <c r="I538" s="270"/>
      <c r="J538" s="270"/>
      <c r="K538" s="270"/>
      <c r="L538" s="270"/>
      <c r="M538" s="270"/>
      <c r="N538" s="270"/>
      <c r="O538" s="268"/>
      <c r="P538" s="271"/>
    </row>
    <row r="539" ht="15.0" customHeight="1">
      <c r="A539" s="268" t="s">
        <v>12</v>
      </c>
      <c r="B539" s="269">
        <v>46096.0</v>
      </c>
      <c r="C539" s="268"/>
      <c r="D539" s="268" t="s">
        <v>158</v>
      </c>
      <c r="E539" s="268" t="s">
        <v>83</v>
      </c>
      <c r="F539" s="268" t="s">
        <v>79</v>
      </c>
      <c r="G539" s="268" t="s">
        <v>80</v>
      </c>
      <c r="H539" s="270">
        <v>195.0</v>
      </c>
      <c r="I539" s="270"/>
      <c r="J539" s="270"/>
      <c r="K539" s="270"/>
      <c r="L539" s="270"/>
      <c r="M539" s="270"/>
      <c r="N539" s="270"/>
      <c r="O539" s="268"/>
      <c r="P539" s="271"/>
    </row>
    <row r="540" ht="15.0" customHeight="1">
      <c r="A540" s="268" t="s">
        <v>12</v>
      </c>
      <c r="B540" s="269">
        <v>46096.0</v>
      </c>
      <c r="C540" s="268"/>
      <c r="D540" s="268" t="s">
        <v>82</v>
      </c>
      <c r="E540" s="268" t="s">
        <v>83</v>
      </c>
      <c r="F540" s="268" t="s">
        <v>79</v>
      </c>
      <c r="G540" s="268" t="s">
        <v>80</v>
      </c>
      <c r="H540" s="270">
        <v>390.0</v>
      </c>
      <c r="I540" s="270"/>
      <c r="J540" s="270"/>
      <c r="K540" s="270"/>
      <c r="L540" s="270"/>
      <c r="M540" s="270"/>
      <c r="N540" s="270"/>
      <c r="O540" s="268"/>
      <c r="P540" s="271"/>
    </row>
    <row r="541" ht="15.0" customHeight="1">
      <c r="A541" s="268" t="s">
        <v>12</v>
      </c>
      <c r="B541" s="269">
        <v>46096.0</v>
      </c>
      <c r="C541" s="268"/>
      <c r="D541" s="268" t="s">
        <v>100</v>
      </c>
      <c r="E541" s="268" t="s">
        <v>83</v>
      </c>
      <c r="F541" s="268" t="s">
        <v>79</v>
      </c>
      <c r="G541" s="268" t="s">
        <v>80</v>
      </c>
      <c r="H541" s="270">
        <v>247.0</v>
      </c>
      <c r="I541" s="270"/>
      <c r="J541" s="270"/>
      <c r="K541" s="270"/>
      <c r="L541" s="270"/>
      <c r="M541" s="270"/>
      <c r="N541" s="270"/>
      <c r="O541" s="268"/>
      <c r="P541" s="271"/>
    </row>
    <row r="542" ht="15.0" customHeight="1">
      <c r="A542" s="268" t="s">
        <v>12</v>
      </c>
      <c r="B542" s="269">
        <v>46097.0</v>
      </c>
      <c r="C542" s="268"/>
      <c r="D542" s="268" t="s">
        <v>159</v>
      </c>
      <c r="E542" s="268" t="s">
        <v>83</v>
      </c>
      <c r="F542" s="268" t="s">
        <v>79</v>
      </c>
      <c r="G542" s="268" t="s">
        <v>80</v>
      </c>
      <c r="H542" s="270">
        <v>140.0</v>
      </c>
      <c r="I542" s="270"/>
      <c r="J542" s="270"/>
      <c r="K542" s="270"/>
      <c r="L542" s="270"/>
      <c r="M542" s="270"/>
      <c r="N542" s="270"/>
      <c r="O542" s="268"/>
      <c r="P542" s="271"/>
    </row>
    <row r="543" ht="15.0" customHeight="1">
      <c r="A543" s="268" t="s">
        <v>12</v>
      </c>
      <c r="B543" s="269">
        <v>46097.0</v>
      </c>
      <c r="C543" s="268"/>
      <c r="D543" s="268" t="s">
        <v>123</v>
      </c>
      <c r="E543" s="268" t="s">
        <v>83</v>
      </c>
      <c r="F543" s="268" t="s">
        <v>79</v>
      </c>
      <c r="G543" s="268" t="s">
        <v>80</v>
      </c>
      <c r="H543" s="270">
        <v>480.0</v>
      </c>
      <c r="I543" s="270"/>
      <c r="J543" s="270"/>
      <c r="K543" s="270"/>
      <c r="L543" s="270"/>
      <c r="M543" s="270"/>
      <c r="N543" s="270"/>
      <c r="O543" s="268"/>
      <c r="P543" s="271"/>
    </row>
    <row r="544" ht="15.0" customHeight="1">
      <c r="A544" s="268" t="s">
        <v>12</v>
      </c>
      <c r="B544" s="269">
        <v>46097.0</v>
      </c>
      <c r="C544" s="268"/>
      <c r="D544" s="268" t="s">
        <v>334</v>
      </c>
      <c r="E544" s="268" t="s">
        <v>83</v>
      </c>
      <c r="F544" s="268" t="s">
        <v>79</v>
      </c>
      <c r="G544" s="268" t="s">
        <v>80</v>
      </c>
      <c r="H544" s="270">
        <v>320.0</v>
      </c>
      <c r="I544" s="270"/>
      <c r="J544" s="270"/>
      <c r="K544" s="270"/>
      <c r="L544" s="270"/>
      <c r="M544" s="270"/>
      <c r="N544" s="270"/>
      <c r="O544" s="268"/>
      <c r="P544" s="271"/>
    </row>
    <row r="545" ht="15.0" customHeight="1">
      <c r="A545" s="268" t="s">
        <v>12</v>
      </c>
      <c r="B545" s="269">
        <v>46097.0</v>
      </c>
      <c r="C545" s="268"/>
      <c r="D545" s="268" t="s">
        <v>99</v>
      </c>
      <c r="E545" s="268" t="s">
        <v>83</v>
      </c>
      <c r="F545" s="268" t="s">
        <v>79</v>
      </c>
      <c r="G545" s="268" t="s">
        <v>80</v>
      </c>
      <c r="H545" s="270">
        <v>360.0</v>
      </c>
      <c r="I545" s="270"/>
      <c r="J545" s="270"/>
      <c r="K545" s="270"/>
      <c r="L545" s="270"/>
      <c r="M545" s="270"/>
      <c r="N545" s="270"/>
      <c r="O545" s="268"/>
      <c r="P545" s="271"/>
    </row>
    <row r="546" ht="15.0" customHeight="1">
      <c r="A546" s="268" t="s">
        <v>12</v>
      </c>
      <c r="B546" s="269">
        <v>46097.0</v>
      </c>
      <c r="C546" s="268"/>
      <c r="D546" s="268" t="s">
        <v>116</v>
      </c>
      <c r="E546" s="268" t="s">
        <v>83</v>
      </c>
      <c r="F546" s="268" t="s">
        <v>79</v>
      </c>
      <c r="G546" s="268" t="s">
        <v>80</v>
      </c>
      <c r="H546" s="270">
        <v>422.0</v>
      </c>
      <c r="I546" s="270"/>
      <c r="J546" s="270"/>
      <c r="K546" s="270"/>
      <c r="L546" s="270"/>
      <c r="M546" s="270"/>
      <c r="N546" s="270"/>
      <c r="O546" s="268"/>
      <c r="P546" s="271"/>
    </row>
    <row r="547" ht="15.0" customHeight="1">
      <c r="A547" s="268" t="s">
        <v>12</v>
      </c>
      <c r="B547" s="269">
        <v>46097.0</v>
      </c>
      <c r="C547" s="268"/>
      <c r="D547" s="268" t="s">
        <v>103</v>
      </c>
      <c r="E547" s="268" t="s">
        <v>83</v>
      </c>
      <c r="F547" s="268" t="s">
        <v>79</v>
      </c>
      <c r="G547" s="268" t="s">
        <v>80</v>
      </c>
      <c r="H547" s="270">
        <v>178.0</v>
      </c>
      <c r="I547" s="270"/>
      <c r="J547" s="270"/>
      <c r="K547" s="270"/>
      <c r="L547" s="270"/>
      <c r="M547" s="270"/>
      <c r="N547" s="270"/>
      <c r="O547" s="268"/>
      <c r="P547" s="271"/>
    </row>
    <row r="548" ht="15.0" customHeight="1">
      <c r="A548" s="268" t="s">
        <v>12</v>
      </c>
      <c r="B548" s="269">
        <v>46097.0</v>
      </c>
      <c r="C548" s="268"/>
      <c r="D548" s="268" t="s">
        <v>336</v>
      </c>
      <c r="E548" s="268" t="s">
        <v>83</v>
      </c>
      <c r="F548" s="268" t="s">
        <v>79</v>
      </c>
      <c r="G548" s="268" t="s">
        <v>80</v>
      </c>
      <c r="H548" s="270">
        <v>210.0</v>
      </c>
      <c r="I548" s="270"/>
      <c r="J548" s="270"/>
      <c r="K548" s="270"/>
      <c r="L548" s="270"/>
      <c r="M548" s="270"/>
      <c r="N548" s="270"/>
      <c r="O548" s="268"/>
      <c r="P548" s="271"/>
    </row>
    <row r="549" ht="15.0" customHeight="1">
      <c r="A549" s="268" t="s">
        <v>12</v>
      </c>
      <c r="B549" s="269">
        <v>46097.0</v>
      </c>
      <c r="C549" s="268"/>
      <c r="D549" s="268" t="s">
        <v>138</v>
      </c>
      <c r="E549" s="268" t="s">
        <v>83</v>
      </c>
      <c r="F549" s="268" t="s">
        <v>79</v>
      </c>
      <c r="G549" s="268" t="s">
        <v>80</v>
      </c>
      <c r="H549" s="270">
        <v>240.0</v>
      </c>
      <c r="I549" s="270"/>
      <c r="J549" s="270"/>
      <c r="K549" s="270"/>
      <c r="L549" s="270"/>
      <c r="M549" s="270"/>
      <c r="N549" s="270"/>
      <c r="O549" s="268"/>
      <c r="P549" s="271"/>
    </row>
    <row r="550" ht="15.0" customHeight="1">
      <c r="A550" s="268" t="s">
        <v>12</v>
      </c>
      <c r="B550" s="269">
        <v>46097.0</v>
      </c>
      <c r="C550" s="268"/>
      <c r="D550" s="268" t="s">
        <v>101</v>
      </c>
      <c r="E550" s="268" t="s">
        <v>83</v>
      </c>
      <c r="F550" s="268" t="s">
        <v>79</v>
      </c>
      <c r="G550" s="268" t="s">
        <v>80</v>
      </c>
      <c r="H550" s="270">
        <v>220.0</v>
      </c>
      <c r="I550" s="270"/>
      <c r="J550" s="270"/>
      <c r="K550" s="270"/>
      <c r="L550" s="270"/>
      <c r="M550" s="270"/>
      <c r="N550" s="270"/>
      <c r="O550" s="268"/>
      <c r="P550" s="271"/>
    </row>
    <row r="551" ht="15.0" customHeight="1">
      <c r="A551" s="268" t="s">
        <v>12</v>
      </c>
      <c r="B551" s="269">
        <v>46098.0</v>
      </c>
      <c r="C551" s="268"/>
      <c r="D551" s="268" t="s">
        <v>88</v>
      </c>
      <c r="E551" s="268" t="s">
        <v>83</v>
      </c>
      <c r="F551" s="268" t="s">
        <v>79</v>
      </c>
      <c r="G551" s="268" t="s">
        <v>80</v>
      </c>
      <c r="H551" s="270">
        <v>491.0</v>
      </c>
      <c r="I551" s="270"/>
      <c r="J551" s="270"/>
      <c r="K551" s="270"/>
      <c r="L551" s="270"/>
      <c r="M551" s="270"/>
      <c r="N551" s="270"/>
      <c r="O551" s="268"/>
      <c r="P551" s="271"/>
    </row>
    <row r="552" ht="15.0" customHeight="1">
      <c r="A552" s="268" t="s">
        <v>12</v>
      </c>
      <c r="B552" s="269">
        <v>46098.0</v>
      </c>
      <c r="C552" s="268"/>
      <c r="D552" s="268" t="s">
        <v>117</v>
      </c>
      <c r="E552" s="268" t="s">
        <v>83</v>
      </c>
      <c r="F552" s="268" t="s">
        <v>79</v>
      </c>
      <c r="G552" s="268" t="s">
        <v>80</v>
      </c>
      <c r="H552" s="270">
        <v>159.0</v>
      </c>
      <c r="I552" s="270"/>
      <c r="J552" s="270"/>
      <c r="K552" s="270"/>
      <c r="L552" s="270"/>
      <c r="M552" s="270"/>
      <c r="N552" s="270"/>
      <c r="O552" s="268"/>
      <c r="P552" s="271"/>
    </row>
    <row r="553" ht="15.0" customHeight="1">
      <c r="A553" s="268" t="s">
        <v>12</v>
      </c>
      <c r="B553" s="269">
        <v>46098.0</v>
      </c>
      <c r="C553" s="268"/>
      <c r="D553" s="268" t="s">
        <v>136</v>
      </c>
      <c r="E553" s="268" t="s">
        <v>83</v>
      </c>
      <c r="F553" s="268" t="s">
        <v>79</v>
      </c>
      <c r="G553" s="268" t="s">
        <v>80</v>
      </c>
      <c r="H553" s="270">
        <v>58.0</v>
      </c>
      <c r="I553" s="270"/>
      <c r="J553" s="270"/>
      <c r="K553" s="270"/>
      <c r="L553" s="270"/>
      <c r="M553" s="270"/>
      <c r="N553" s="270"/>
      <c r="O553" s="268"/>
      <c r="P553" s="271"/>
    </row>
    <row r="554" ht="15.0" customHeight="1">
      <c r="A554" s="268" t="s">
        <v>12</v>
      </c>
      <c r="B554" s="269">
        <v>46098.0</v>
      </c>
      <c r="C554" s="268"/>
      <c r="D554" s="268" t="s">
        <v>91</v>
      </c>
      <c r="E554" s="268" t="s">
        <v>83</v>
      </c>
      <c r="F554" s="268" t="s">
        <v>79</v>
      </c>
      <c r="G554" s="268" t="s">
        <v>80</v>
      </c>
      <c r="H554" s="270">
        <v>39.0</v>
      </c>
      <c r="I554" s="270"/>
      <c r="J554" s="270"/>
      <c r="K554" s="270"/>
      <c r="L554" s="270"/>
      <c r="M554" s="270"/>
      <c r="N554" s="270"/>
      <c r="O554" s="268"/>
      <c r="P554" s="271"/>
    </row>
    <row r="555" ht="15.0" customHeight="1">
      <c r="A555" s="268" t="s">
        <v>12</v>
      </c>
      <c r="B555" s="269">
        <v>46098.0</v>
      </c>
      <c r="C555" s="268"/>
      <c r="D555" s="268" t="s">
        <v>102</v>
      </c>
      <c r="E555" s="268" t="s">
        <v>83</v>
      </c>
      <c r="F555" s="268" t="s">
        <v>79</v>
      </c>
      <c r="G555" s="268" t="s">
        <v>80</v>
      </c>
      <c r="H555" s="270">
        <v>240.0</v>
      </c>
      <c r="I555" s="270"/>
      <c r="J555" s="270"/>
      <c r="K555" s="270"/>
      <c r="L555" s="270"/>
      <c r="M555" s="270"/>
      <c r="N555" s="270"/>
      <c r="O555" s="268"/>
      <c r="P555" s="271"/>
    </row>
    <row r="556" ht="15.0" customHeight="1">
      <c r="A556" s="268" t="s">
        <v>12</v>
      </c>
      <c r="B556" s="269">
        <v>46098.0</v>
      </c>
      <c r="C556" s="268"/>
      <c r="D556" s="268" t="s">
        <v>98</v>
      </c>
      <c r="E556" s="268" t="s">
        <v>83</v>
      </c>
      <c r="F556" s="268" t="s">
        <v>79</v>
      </c>
      <c r="G556" s="268" t="s">
        <v>80</v>
      </c>
      <c r="H556" s="270">
        <v>181.0</v>
      </c>
      <c r="I556" s="270"/>
      <c r="J556" s="270"/>
      <c r="K556" s="270"/>
      <c r="L556" s="270"/>
      <c r="M556" s="270"/>
      <c r="N556" s="270"/>
      <c r="O556" s="268"/>
      <c r="P556" s="271"/>
    </row>
    <row r="557" ht="15.0" customHeight="1">
      <c r="A557" s="268" t="s">
        <v>12</v>
      </c>
      <c r="B557" s="269">
        <v>46098.0</v>
      </c>
      <c r="C557" s="268"/>
      <c r="D557" s="268" t="s">
        <v>97</v>
      </c>
      <c r="E557" s="268" t="s">
        <v>83</v>
      </c>
      <c r="F557" s="268" t="s">
        <v>79</v>
      </c>
      <c r="G557" s="268" t="s">
        <v>80</v>
      </c>
      <c r="H557" s="270">
        <v>162.0</v>
      </c>
      <c r="I557" s="270"/>
      <c r="J557" s="270"/>
      <c r="K557" s="270"/>
      <c r="L557" s="270"/>
      <c r="M557" s="270"/>
      <c r="N557" s="270"/>
      <c r="O557" s="268"/>
      <c r="P557" s="271"/>
    </row>
    <row r="558" ht="15.0" customHeight="1">
      <c r="A558" s="268" t="s">
        <v>12</v>
      </c>
      <c r="B558" s="269">
        <v>46098.0</v>
      </c>
      <c r="C558" s="268"/>
      <c r="D558" s="268" t="s">
        <v>117</v>
      </c>
      <c r="E558" s="268" t="s">
        <v>93</v>
      </c>
      <c r="F558" s="268" t="s">
        <v>79</v>
      </c>
      <c r="G558" s="268" t="s">
        <v>93</v>
      </c>
      <c r="H558" s="270">
        <v>10.0</v>
      </c>
      <c r="I558" s="270"/>
      <c r="J558" s="270"/>
      <c r="K558" s="270"/>
      <c r="L558" s="270"/>
      <c r="M558" s="270"/>
      <c r="N558" s="270"/>
      <c r="O558" s="268"/>
      <c r="P558" s="271"/>
    </row>
    <row r="559" ht="15.0" customHeight="1">
      <c r="A559" s="268" t="s">
        <v>12</v>
      </c>
      <c r="B559" s="269">
        <v>46099.0</v>
      </c>
      <c r="C559" s="268"/>
      <c r="D559" s="268" t="s">
        <v>153</v>
      </c>
      <c r="E559" s="268" t="s">
        <v>83</v>
      </c>
      <c r="F559" s="268" t="s">
        <v>79</v>
      </c>
      <c r="G559" s="268" t="s">
        <v>80</v>
      </c>
      <c r="H559" s="270">
        <v>136.0</v>
      </c>
      <c r="I559" s="270"/>
      <c r="J559" s="270"/>
      <c r="K559" s="270"/>
      <c r="L559" s="270"/>
      <c r="M559" s="270"/>
      <c r="N559" s="270"/>
      <c r="O559" s="268"/>
      <c r="P559" s="271"/>
    </row>
    <row r="560" ht="15.0" customHeight="1">
      <c r="A560" s="268" t="s">
        <v>12</v>
      </c>
      <c r="B560" s="269">
        <v>46099.0</v>
      </c>
      <c r="C560" s="268"/>
      <c r="D560" s="268" t="s">
        <v>130</v>
      </c>
      <c r="E560" s="268" t="s">
        <v>83</v>
      </c>
      <c r="F560" s="268" t="s">
        <v>79</v>
      </c>
      <c r="G560" s="268" t="s">
        <v>80</v>
      </c>
      <c r="H560" s="270">
        <v>177.0</v>
      </c>
      <c r="I560" s="270"/>
      <c r="J560" s="270"/>
      <c r="K560" s="270"/>
      <c r="L560" s="270"/>
      <c r="M560" s="270"/>
      <c r="N560" s="270"/>
      <c r="O560" s="268"/>
      <c r="P560" s="271"/>
    </row>
    <row r="561" ht="15.0" customHeight="1">
      <c r="A561" s="268" t="s">
        <v>12</v>
      </c>
      <c r="B561" s="269">
        <v>46099.0</v>
      </c>
      <c r="C561" s="268"/>
      <c r="D561" s="268" t="s">
        <v>84</v>
      </c>
      <c r="E561" s="268" t="s">
        <v>83</v>
      </c>
      <c r="F561" s="268" t="s">
        <v>79</v>
      </c>
      <c r="G561" s="268" t="s">
        <v>80</v>
      </c>
      <c r="H561" s="270">
        <v>46.0</v>
      </c>
      <c r="I561" s="270"/>
      <c r="J561" s="270"/>
      <c r="K561" s="270"/>
      <c r="L561" s="270"/>
      <c r="M561" s="270"/>
      <c r="N561" s="270"/>
      <c r="O561" s="268"/>
      <c r="P561" s="271"/>
    </row>
    <row r="562" ht="15.0" customHeight="1">
      <c r="A562" s="268" t="s">
        <v>12</v>
      </c>
      <c r="B562" s="269">
        <v>46099.0</v>
      </c>
      <c r="C562" s="268"/>
      <c r="D562" s="268" t="s">
        <v>334</v>
      </c>
      <c r="E562" s="268" t="s">
        <v>83</v>
      </c>
      <c r="F562" s="268" t="s">
        <v>79</v>
      </c>
      <c r="G562" s="268" t="s">
        <v>80</v>
      </c>
      <c r="H562" s="270">
        <v>41.0</v>
      </c>
      <c r="I562" s="270"/>
      <c r="J562" s="270"/>
      <c r="K562" s="270"/>
      <c r="L562" s="270"/>
      <c r="M562" s="270"/>
      <c r="N562" s="270"/>
      <c r="O562" s="268"/>
      <c r="P562" s="271"/>
    </row>
    <row r="563" ht="15.0" customHeight="1">
      <c r="A563" s="268" t="s">
        <v>12</v>
      </c>
      <c r="B563" s="269">
        <v>46099.0</v>
      </c>
      <c r="C563" s="268"/>
      <c r="D563" s="268" t="s">
        <v>100</v>
      </c>
      <c r="E563" s="268" t="s">
        <v>83</v>
      </c>
      <c r="F563" s="268" t="s">
        <v>79</v>
      </c>
      <c r="G563" s="268" t="s">
        <v>80</v>
      </c>
      <c r="H563" s="270">
        <v>315.0</v>
      </c>
      <c r="I563" s="270"/>
      <c r="J563" s="270"/>
      <c r="K563" s="270"/>
      <c r="L563" s="270"/>
      <c r="M563" s="270"/>
      <c r="N563" s="270"/>
      <c r="O563" s="268"/>
      <c r="P563" s="271"/>
    </row>
    <row r="564" ht="15.0" customHeight="1">
      <c r="A564" s="268" t="s">
        <v>12</v>
      </c>
      <c r="B564" s="269">
        <v>46099.0</v>
      </c>
      <c r="C564" s="268"/>
      <c r="D564" s="268" t="s">
        <v>337</v>
      </c>
      <c r="E564" s="268" t="s">
        <v>83</v>
      </c>
      <c r="F564" s="268" t="s">
        <v>79</v>
      </c>
      <c r="G564" s="268" t="s">
        <v>80</v>
      </c>
      <c r="H564" s="270">
        <v>378.0</v>
      </c>
      <c r="I564" s="270"/>
      <c r="J564" s="270"/>
      <c r="K564" s="270"/>
      <c r="L564" s="270"/>
      <c r="M564" s="270"/>
      <c r="N564" s="270"/>
      <c r="O564" s="268"/>
      <c r="P564" s="271"/>
    </row>
    <row r="565" ht="15.0" customHeight="1">
      <c r="A565" s="268" t="s">
        <v>12</v>
      </c>
      <c r="B565" s="269">
        <v>46099.0</v>
      </c>
      <c r="C565" s="268"/>
      <c r="D565" s="268" t="s">
        <v>118</v>
      </c>
      <c r="E565" s="268" t="s">
        <v>83</v>
      </c>
      <c r="F565" s="268" t="s">
        <v>79</v>
      </c>
      <c r="G565" s="268" t="s">
        <v>80</v>
      </c>
      <c r="H565" s="270">
        <v>395.0</v>
      </c>
      <c r="I565" s="270"/>
      <c r="J565" s="270"/>
      <c r="K565" s="270"/>
      <c r="L565" s="270"/>
      <c r="M565" s="270"/>
      <c r="N565" s="270"/>
      <c r="O565" s="268"/>
      <c r="P565" s="271"/>
    </row>
    <row r="566" ht="15.0" customHeight="1">
      <c r="A566" s="268" t="s">
        <v>12</v>
      </c>
      <c r="B566" s="269">
        <v>46099.0</v>
      </c>
      <c r="C566" s="268"/>
      <c r="D566" s="268" t="s">
        <v>96</v>
      </c>
      <c r="E566" s="268" t="s">
        <v>83</v>
      </c>
      <c r="F566" s="268" t="s">
        <v>79</v>
      </c>
      <c r="G566" s="268" t="s">
        <v>80</v>
      </c>
      <c r="H566" s="270">
        <v>361.0</v>
      </c>
      <c r="I566" s="270"/>
      <c r="J566" s="270"/>
      <c r="K566" s="270"/>
      <c r="L566" s="270"/>
      <c r="M566" s="270"/>
      <c r="N566" s="270"/>
      <c r="O566" s="268"/>
      <c r="P566" s="271"/>
    </row>
    <row r="567" ht="15.0" customHeight="1">
      <c r="A567" s="268" t="s">
        <v>12</v>
      </c>
      <c r="B567" s="269">
        <v>46099.0</v>
      </c>
      <c r="C567" s="268"/>
      <c r="D567" s="268" t="s">
        <v>116</v>
      </c>
      <c r="E567" s="268" t="s">
        <v>83</v>
      </c>
      <c r="F567" s="268" t="s">
        <v>79</v>
      </c>
      <c r="G567" s="268" t="s">
        <v>80</v>
      </c>
      <c r="H567" s="270">
        <v>355.0</v>
      </c>
      <c r="I567" s="270"/>
      <c r="J567" s="270"/>
      <c r="K567" s="270"/>
      <c r="L567" s="270"/>
      <c r="M567" s="270"/>
      <c r="N567" s="270"/>
      <c r="O567" s="268"/>
      <c r="P567" s="271"/>
    </row>
    <row r="568" ht="15.0" customHeight="1">
      <c r="A568" s="268" t="s">
        <v>12</v>
      </c>
      <c r="B568" s="269">
        <v>46099.0</v>
      </c>
      <c r="C568" s="268"/>
      <c r="D568" s="268" t="s">
        <v>339</v>
      </c>
      <c r="E568" s="268" t="s">
        <v>83</v>
      </c>
      <c r="F568" s="268" t="s">
        <v>79</v>
      </c>
      <c r="G568" s="268" t="s">
        <v>80</v>
      </c>
      <c r="H568" s="270">
        <v>200.0</v>
      </c>
      <c r="I568" s="270"/>
      <c r="J568" s="270"/>
      <c r="K568" s="270"/>
      <c r="L568" s="270"/>
      <c r="M568" s="270"/>
      <c r="N568" s="270"/>
      <c r="O568" s="268"/>
      <c r="P568" s="271"/>
    </row>
    <row r="569" ht="15.0" customHeight="1">
      <c r="A569" s="268" t="s">
        <v>12</v>
      </c>
      <c r="B569" s="269">
        <v>46099.0</v>
      </c>
      <c r="C569" s="268"/>
      <c r="D569" s="268" t="s">
        <v>112</v>
      </c>
      <c r="E569" s="268" t="s">
        <v>83</v>
      </c>
      <c r="F569" s="268" t="s">
        <v>79</v>
      </c>
      <c r="G569" s="268" t="s">
        <v>80</v>
      </c>
      <c r="H569" s="270">
        <v>241.0</v>
      </c>
      <c r="I569" s="270"/>
      <c r="J569" s="270"/>
      <c r="K569" s="270"/>
      <c r="L569" s="270"/>
      <c r="M569" s="270"/>
      <c r="N569" s="270"/>
      <c r="O569" s="268"/>
      <c r="P569" s="271"/>
    </row>
    <row r="570" ht="15.0" customHeight="1">
      <c r="A570" s="268" t="s">
        <v>12</v>
      </c>
      <c r="B570" s="269">
        <v>46100.0</v>
      </c>
      <c r="C570" s="268"/>
      <c r="D570" s="268" t="s">
        <v>126</v>
      </c>
      <c r="E570" s="268" t="s">
        <v>83</v>
      </c>
      <c r="F570" s="268" t="s">
        <v>79</v>
      </c>
      <c r="G570" s="268" t="s">
        <v>80</v>
      </c>
      <c r="H570" s="270">
        <v>202.0</v>
      </c>
      <c r="I570" s="270"/>
      <c r="J570" s="270"/>
      <c r="K570" s="270"/>
      <c r="L570" s="270"/>
      <c r="M570" s="270"/>
      <c r="N570" s="270"/>
      <c r="O570" s="268"/>
      <c r="P570" s="271"/>
    </row>
    <row r="571" ht="15.0" customHeight="1">
      <c r="A571" s="268" t="s">
        <v>12</v>
      </c>
      <c r="B571" s="269">
        <v>46100.0</v>
      </c>
      <c r="C571" s="268"/>
      <c r="D571" s="268" t="s">
        <v>123</v>
      </c>
      <c r="E571" s="268" t="s">
        <v>83</v>
      </c>
      <c r="F571" s="268" t="s">
        <v>79</v>
      </c>
      <c r="G571" s="268" t="s">
        <v>80</v>
      </c>
      <c r="H571" s="270">
        <v>489.0</v>
      </c>
      <c r="I571" s="270"/>
      <c r="J571" s="270"/>
      <c r="K571" s="270"/>
      <c r="L571" s="270"/>
      <c r="M571" s="270"/>
      <c r="N571" s="270"/>
      <c r="O571" s="268"/>
      <c r="P571" s="271"/>
    </row>
    <row r="572" ht="15.0" customHeight="1">
      <c r="A572" s="268" t="s">
        <v>12</v>
      </c>
      <c r="B572" s="269">
        <v>46100.0</v>
      </c>
      <c r="C572" s="268"/>
      <c r="D572" s="268" t="s">
        <v>82</v>
      </c>
      <c r="E572" s="268" t="s">
        <v>83</v>
      </c>
      <c r="F572" s="268" t="s">
        <v>79</v>
      </c>
      <c r="G572" s="268" t="s">
        <v>80</v>
      </c>
      <c r="H572" s="270">
        <v>321.0</v>
      </c>
      <c r="I572" s="270"/>
      <c r="J572" s="270"/>
      <c r="K572" s="270"/>
      <c r="L572" s="270"/>
      <c r="M572" s="270"/>
      <c r="N572" s="270"/>
      <c r="O572" s="268"/>
      <c r="P572" s="271"/>
    </row>
    <row r="573" ht="15.0" customHeight="1">
      <c r="A573" s="268" t="s">
        <v>12</v>
      </c>
      <c r="B573" s="269">
        <v>46100.0</v>
      </c>
      <c r="C573" s="268"/>
      <c r="D573" s="268" t="s">
        <v>97</v>
      </c>
      <c r="E573" s="268" t="s">
        <v>93</v>
      </c>
      <c r="F573" s="268" t="s">
        <v>79</v>
      </c>
      <c r="G573" s="268" t="s">
        <v>93</v>
      </c>
      <c r="H573" s="270">
        <v>104.0</v>
      </c>
      <c r="I573" s="270"/>
      <c r="J573" s="270"/>
      <c r="K573" s="270"/>
      <c r="L573" s="270"/>
      <c r="M573" s="270"/>
      <c r="N573" s="270"/>
      <c r="O573" s="268"/>
      <c r="P573" s="271"/>
    </row>
    <row r="574" ht="15.0" customHeight="1">
      <c r="A574" s="268" t="s">
        <v>12</v>
      </c>
      <c r="B574" s="269">
        <v>46101.0</v>
      </c>
      <c r="C574" s="268"/>
      <c r="D574" s="268" t="s">
        <v>84</v>
      </c>
      <c r="E574" s="268" t="s">
        <v>83</v>
      </c>
      <c r="F574" s="268" t="s">
        <v>79</v>
      </c>
      <c r="G574" s="268" t="s">
        <v>80</v>
      </c>
      <c r="H574" s="270">
        <v>47.0</v>
      </c>
      <c r="I574" s="270"/>
      <c r="J574" s="270"/>
      <c r="K574" s="270"/>
      <c r="L574" s="270"/>
      <c r="M574" s="270"/>
      <c r="N574" s="270"/>
      <c r="O574" s="268"/>
      <c r="P574" s="271"/>
    </row>
    <row r="575" ht="15.0" customHeight="1">
      <c r="A575" s="268" t="s">
        <v>12</v>
      </c>
      <c r="B575" s="269">
        <v>46101.0</v>
      </c>
      <c r="C575" s="268"/>
      <c r="D575" s="268" t="s">
        <v>99</v>
      </c>
      <c r="E575" s="268" t="s">
        <v>83</v>
      </c>
      <c r="F575" s="268" t="s">
        <v>79</v>
      </c>
      <c r="G575" s="268" t="s">
        <v>80</v>
      </c>
      <c r="H575" s="270">
        <v>320.0</v>
      </c>
      <c r="I575" s="270"/>
      <c r="J575" s="270"/>
      <c r="K575" s="270"/>
      <c r="L575" s="270"/>
      <c r="M575" s="270"/>
      <c r="N575" s="270"/>
      <c r="O575" s="268"/>
      <c r="P575" s="271"/>
    </row>
    <row r="576" ht="15.0" customHeight="1">
      <c r="A576" s="268" t="s">
        <v>12</v>
      </c>
      <c r="B576" s="269">
        <v>46101.0</v>
      </c>
      <c r="C576" s="268"/>
      <c r="D576" s="268" t="s">
        <v>117</v>
      </c>
      <c r="E576" s="268" t="s">
        <v>83</v>
      </c>
      <c r="F576" s="268" t="s">
        <v>79</v>
      </c>
      <c r="G576" s="268" t="s">
        <v>80</v>
      </c>
      <c r="H576" s="270">
        <v>177.0</v>
      </c>
      <c r="I576" s="270"/>
      <c r="J576" s="270"/>
      <c r="K576" s="270"/>
      <c r="L576" s="270"/>
      <c r="M576" s="270"/>
      <c r="N576" s="270"/>
      <c r="O576" s="268"/>
      <c r="P576" s="271"/>
    </row>
    <row r="577" ht="15.0" customHeight="1">
      <c r="A577" s="268" t="s">
        <v>12</v>
      </c>
      <c r="B577" s="269">
        <v>46101.0</v>
      </c>
      <c r="C577" s="268"/>
      <c r="D577" s="268" t="s">
        <v>115</v>
      </c>
      <c r="E577" s="268" t="s">
        <v>83</v>
      </c>
      <c r="F577" s="268" t="s">
        <v>79</v>
      </c>
      <c r="G577" s="268" t="s">
        <v>80</v>
      </c>
      <c r="H577" s="270">
        <v>545.0</v>
      </c>
      <c r="I577" s="270"/>
      <c r="J577" s="270"/>
      <c r="K577" s="270"/>
      <c r="L577" s="270"/>
      <c r="M577" s="270"/>
      <c r="N577" s="270"/>
      <c r="O577" s="268"/>
      <c r="P577" s="271"/>
    </row>
    <row r="578" ht="15.0" customHeight="1">
      <c r="A578" s="268" t="s">
        <v>12</v>
      </c>
      <c r="B578" s="269">
        <v>46101.0</v>
      </c>
      <c r="C578" s="268"/>
      <c r="D578" s="268" t="s">
        <v>336</v>
      </c>
      <c r="E578" s="268" t="s">
        <v>83</v>
      </c>
      <c r="F578" s="268" t="s">
        <v>79</v>
      </c>
      <c r="G578" s="268" t="s">
        <v>80</v>
      </c>
      <c r="H578" s="270">
        <v>245.0</v>
      </c>
      <c r="I578" s="270"/>
      <c r="J578" s="270"/>
      <c r="K578" s="270"/>
      <c r="L578" s="270"/>
      <c r="M578" s="270"/>
      <c r="N578" s="270"/>
      <c r="O578" s="268"/>
      <c r="P578" s="271"/>
    </row>
    <row r="579" ht="15.0" customHeight="1">
      <c r="A579" s="268" t="s">
        <v>12</v>
      </c>
      <c r="B579" s="269">
        <v>46101.0</v>
      </c>
      <c r="C579" s="268"/>
      <c r="D579" s="268" t="s">
        <v>138</v>
      </c>
      <c r="E579" s="268" t="s">
        <v>83</v>
      </c>
      <c r="F579" s="268" t="s">
        <v>79</v>
      </c>
      <c r="G579" s="268" t="s">
        <v>80</v>
      </c>
      <c r="H579" s="270">
        <v>230.0</v>
      </c>
      <c r="I579" s="270"/>
      <c r="J579" s="270"/>
      <c r="K579" s="270"/>
      <c r="L579" s="270"/>
      <c r="M579" s="270"/>
      <c r="N579" s="270"/>
      <c r="O579" s="268"/>
      <c r="P579" s="271"/>
    </row>
    <row r="580" ht="15.0" customHeight="1">
      <c r="A580" s="268" t="s">
        <v>12</v>
      </c>
      <c r="B580" s="269">
        <v>46101.0</v>
      </c>
      <c r="C580" s="268"/>
      <c r="D580" s="268" t="s">
        <v>101</v>
      </c>
      <c r="E580" s="268" t="s">
        <v>83</v>
      </c>
      <c r="F580" s="268" t="s">
        <v>79</v>
      </c>
      <c r="G580" s="268" t="s">
        <v>80</v>
      </c>
      <c r="H580" s="270">
        <v>205.0</v>
      </c>
      <c r="I580" s="270"/>
      <c r="J580" s="270"/>
      <c r="K580" s="270"/>
      <c r="L580" s="270"/>
      <c r="M580" s="270"/>
      <c r="N580" s="270"/>
      <c r="O580" s="268"/>
      <c r="P580" s="271"/>
    </row>
    <row r="581" ht="15.0" customHeight="1">
      <c r="A581" s="268" t="s">
        <v>12</v>
      </c>
      <c r="B581" s="269">
        <v>46101.0</v>
      </c>
      <c r="C581" s="268"/>
      <c r="D581" s="268" t="s">
        <v>84</v>
      </c>
      <c r="E581" s="268" t="s">
        <v>110</v>
      </c>
      <c r="F581" s="268" t="s">
        <v>79</v>
      </c>
      <c r="G581" s="268" t="s">
        <v>110</v>
      </c>
      <c r="H581" s="270">
        <v>5.0</v>
      </c>
      <c r="I581" s="270"/>
      <c r="J581" s="270"/>
      <c r="K581" s="270"/>
      <c r="L581" s="270"/>
      <c r="M581" s="270"/>
      <c r="N581" s="270"/>
      <c r="O581" s="268"/>
      <c r="P581" s="271"/>
    </row>
    <row r="582" ht="15.0" customHeight="1">
      <c r="A582" s="268" t="s">
        <v>12</v>
      </c>
      <c r="B582" s="269">
        <v>46102.0</v>
      </c>
      <c r="C582" s="268"/>
      <c r="D582" s="268" t="s">
        <v>88</v>
      </c>
      <c r="E582" s="268" t="s">
        <v>83</v>
      </c>
      <c r="F582" s="268" t="s">
        <v>79</v>
      </c>
      <c r="G582" s="268" t="s">
        <v>80</v>
      </c>
      <c r="H582" s="270">
        <v>467.0</v>
      </c>
      <c r="I582" s="270"/>
      <c r="J582" s="270"/>
      <c r="K582" s="270"/>
      <c r="L582" s="270"/>
      <c r="M582" s="270"/>
      <c r="N582" s="270"/>
      <c r="O582" s="268"/>
      <c r="P582" s="271"/>
    </row>
    <row r="583" ht="15.0" customHeight="1">
      <c r="A583" s="268" t="s">
        <v>12</v>
      </c>
      <c r="B583" s="269">
        <v>46102.0</v>
      </c>
      <c r="C583" s="268"/>
      <c r="D583" s="268" t="s">
        <v>123</v>
      </c>
      <c r="E583" s="268" t="s">
        <v>83</v>
      </c>
      <c r="F583" s="268" t="s">
        <v>79</v>
      </c>
      <c r="G583" s="268" t="s">
        <v>80</v>
      </c>
      <c r="H583" s="270">
        <v>360.0</v>
      </c>
      <c r="I583" s="270"/>
      <c r="J583" s="270"/>
      <c r="K583" s="270"/>
      <c r="L583" s="270"/>
      <c r="M583" s="270"/>
      <c r="N583" s="270"/>
      <c r="O583" s="268"/>
      <c r="P583" s="271"/>
    </row>
    <row r="584" ht="15.0" customHeight="1">
      <c r="A584" s="268" t="s">
        <v>12</v>
      </c>
      <c r="B584" s="269">
        <v>46102.0</v>
      </c>
      <c r="C584" s="268"/>
      <c r="D584" s="268" t="s">
        <v>84</v>
      </c>
      <c r="E584" s="268" t="s">
        <v>83</v>
      </c>
      <c r="F584" s="268" t="s">
        <v>79</v>
      </c>
      <c r="G584" s="268" t="s">
        <v>80</v>
      </c>
      <c r="H584" s="270">
        <v>39.0</v>
      </c>
      <c r="I584" s="270"/>
      <c r="J584" s="270"/>
      <c r="K584" s="270"/>
      <c r="L584" s="270"/>
      <c r="M584" s="270"/>
      <c r="N584" s="270"/>
      <c r="O584" s="268"/>
      <c r="P584" s="271"/>
    </row>
    <row r="585" ht="15.0" customHeight="1">
      <c r="A585" s="268" t="s">
        <v>12</v>
      </c>
      <c r="B585" s="269">
        <v>46102.0</v>
      </c>
      <c r="C585" s="268"/>
      <c r="D585" s="268" t="s">
        <v>100</v>
      </c>
      <c r="E585" s="268" t="s">
        <v>83</v>
      </c>
      <c r="F585" s="268" t="s">
        <v>79</v>
      </c>
      <c r="G585" s="268" t="s">
        <v>80</v>
      </c>
      <c r="H585" s="270">
        <v>284.0</v>
      </c>
      <c r="I585" s="270"/>
      <c r="J585" s="270"/>
      <c r="K585" s="270"/>
      <c r="L585" s="270"/>
      <c r="M585" s="270"/>
      <c r="N585" s="270"/>
      <c r="O585" s="268"/>
      <c r="P585" s="271"/>
    </row>
    <row r="586" ht="15.0" customHeight="1">
      <c r="A586" s="268" t="s">
        <v>12</v>
      </c>
      <c r="B586" s="269">
        <v>46102.0</v>
      </c>
      <c r="C586" s="268"/>
      <c r="D586" s="268" t="s">
        <v>116</v>
      </c>
      <c r="E586" s="268" t="s">
        <v>83</v>
      </c>
      <c r="F586" s="268" t="s">
        <v>79</v>
      </c>
      <c r="G586" s="268" t="s">
        <v>80</v>
      </c>
      <c r="H586" s="270">
        <v>321.0</v>
      </c>
      <c r="I586" s="270"/>
      <c r="J586" s="270"/>
      <c r="K586" s="270"/>
      <c r="L586" s="270"/>
      <c r="M586" s="270"/>
      <c r="N586" s="270"/>
      <c r="O586" s="268"/>
      <c r="P586" s="271"/>
    </row>
    <row r="587" ht="15.0" customHeight="1">
      <c r="A587" s="268" t="s">
        <v>12</v>
      </c>
      <c r="B587" s="269">
        <v>46102.0</v>
      </c>
      <c r="C587" s="268"/>
      <c r="D587" s="268" t="s">
        <v>89</v>
      </c>
      <c r="E587" s="268" t="s">
        <v>83</v>
      </c>
      <c r="F587" s="268" t="s">
        <v>79</v>
      </c>
      <c r="G587" s="268" t="s">
        <v>80</v>
      </c>
      <c r="H587" s="270">
        <v>543.0</v>
      </c>
      <c r="I587" s="270"/>
      <c r="J587" s="270"/>
      <c r="K587" s="270"/>
      <c r="L587" s="270"/>
      <c r="M587" s="270"/>
      <c r="N587" s="270"/>
      <c r="O587" s="268"/>
      <c r="P587" s="271"/>
    </row>
    <row r="588" ht="15.0" customHeight="1">
      <c r="A588" s="268" t="s">
        <v>12</v>
      </c>
      <c r="B588" s="269">
        <v>46102.0</v>
      </c>
      <c r="C588" s="268"/>
      <c r="D588" s="268" t="s">
        <v>103</v>
      </c>
      <c r="E588" s="268" t="s">
        <v>83</v>
      </c>
      <c r="F588" s="268" t="s">
        <v>79</v>
      </c>
      <c r="G588" s="268" t="s">
        <v>80</v>
      </c>
      <c r="H588" s="270">
        <v>167.0</v>
      </c>
      <c r="I588" s="270"/>
      <c r="J588" s="270"/>
      <c r="K588" s="270"/>
      <c r="L588" s="270"/>
      <c r="M588" s="270"/>
      <c r="N588" s="270"/>
      <c r="O588" s="268"/>
      <c r="P588" s="271"/>
    </row>
    <row r="589" ht="15.0" customHeight="1">
      <c r="A589" s="268" t="s">
        <v>12</v>
      </c>
      <c r="B589" s="269">
        <v>46102.0</v>
      </c>
      <c r="C589" s="268"/>
      <c r="D589" s="268" t="s">
        <v>86</v>
      </c>
      <c r="E589" s="268" t="s">
        <v>83</v>
      </c>
      <c r="F589" s="268" t="s">
        <v>79</v>
      </c>
      <c r="G589" s="268" t="s">
        <v>80</v>
      </c>
      <c r="H589" s="270">
        <v>268.0</v>
      </c>
      <c r="I589" s="270"/>
      <c r="J589" s="270"/>
      <c r="K589" s="270"/>
      <c r="L589" s="270"/>
      <c r="M589" s="270"/>
      <c r="N589" s="270"/>
      <c r="O589" s="268"/>
      <c r="P589" s="271"/>
    </row>
    <row r="590" ht="15.0" customHeight="1">
      <c r="A590" s="268" t="s">
        <v>12</v>
      </c>
      <c r="B590" s="269">
        <v>46103.0</v>
      </c>
      <c r="C590" s="268"/>
      <c r="D590" s="268" t="s">
        <v>82</v>
      </c>
      <c r="E590" s="268" t="s">
        <v>141</v>
      </c>
      <c r="F590" s="268" t="s">
        <v>79</v>
      </c>
      <c r="G590" s="268" t="s">
        <v>80</v>
      </c>
      <c r="H590" s="270">
        <v>450.0</v>
      </c>
      <c r="I590" s="270"/>
      <c r="J590" s="270"/>
      <c r="K590" s="270"/>
      <c r="L590" s="270"/>
      <c r="M590" s="270"/>
      <c r="N590" s="270"/>
      <c r="O590" s="268"/>
      <c r="P590" s="271"/>
    </row>
    <row r="591" ht="15.0" customHeight="1">
      <c r="A591" s="268" t="s">
        <v>12</v>
      </c>
      <c r="B591" s="269">
        <v>46103.0</v>
      </c>
      <c r="C591" s="268"/>
      <c r="D591" s="268" t="s">
        <v>337</v>
      </c>
      <c r="E591" s="268" t="s">
        <v>141</v>
      </c>
      <c r="F591" s="268" t="s">
        <v>79</v>
      </c>
      <c r="G591" s="268" t="s">
        <v>80</v>
      </c>
      <c r="H591" s="270">
        <v>200.0</v>
      </c>
      <c r="I591" s="270"/>
      <c r="J591" s="270"/>
      <c r="K591" s="270"/>
      <c r="L591" s="270"/>
      <c r="M591" s="270"/>
      <c r="N591" s="270"/>
      <c r="O591" s="268"/>
      <c r="P591" s="271"/>
    </row>
    <row r="592" ht="15.0" customHeight="1">
      <c r="A592" s="268" t="s">
        <v>12</v>
      </c>
      <c r="B592" s="269">
        <v>46103.0</v>
      </c>
      <c r="C592" s="268"/>
      <c r="D592" s="268" t="s">
        <v>87</v>
      </c>
      <c r="E592" s="268" t="s">
        <v>141</v>
      </c>
      <c r="F592" s="268" t="s">
        <v>79</v>
      </c>
      <c r="G592" s="268" t="s">
        <v>80</v>
      </c>
      <c r="H592" s="270">
        <v>270.0</v>
      </c>
      <c r="I592" s="270"/>
      <c r="J592" s="270"/>
      <c r="K592" s="270"/>
      <c r="L592" s="270"/>
      <c r="M592" s="270"/>
      <c r="N592" s="270"/>
      <c r="O592" s="268"/>
      <c r="P592" s="271"/>
    </row>
    <row r="593" ht="15.0" customHeight="1">
      <c r="A593" s="268" t="s">
        <v>12</v>
      </c>
      <c r="B593" s="269">
        <v>46103.0</v>
      </c>
      <c r="C593" s="268"/>
      <c r="D593" s="268" t="s">
        <v>102</v>
      </c>
      <c r="E593" s="268" t="s">
        <v>141</v>
      </c>
      <c r="F593" s="268" t="s">
        <v>79</v>
      </c>
      <c r="G593" s="268" t="s">
        <v>80</v>
      </c>
      <c r="H593" s="270">
        <v>200.0</v>
      </c>
      <c r="I593" s="270"/>
      <c r="J593" s="270"/>
      <c r="K593" s="270"/>
      <c r="L593" s="270"/>
      <c r="M593" s="270"/>
      <c r="N593" s="270"/>
      <c r="O593" s="268"/>
      <c r="P593" s="271"/>
    </row>
    <row r="594" ht="15.0" customHeight="1">
      <c r="A594" s="268" t="s">
        <v>12</v>
      </c>
      <c r="B594" s="269">
        <v>46103.0</v>
      </c>
      <c r="C594" s="268"/>
      <c r="D594" s="268" t="s">
        <v>97</v>
      </c>
      <c r="E594" s="268" t="s">
        <v>141</v>
      </c>
      <c r="F594" s="268" t="s">
        <v>79</v>
      </c>
      <c r="G594" s="268" t="s">
        <v>80</v>
      </c>
      <c r="H594" s="270">
        <v>120.0</v>
      </c>
      <c r="I594" s="270"/>
      <c r="J594" s="270"/>
      <c r="K594" s="270"/>
      <c r="L594" s="270"/>
      <c r="M594" s="270"/>
      <c r="N594" s="270"/>
      <c r="O594" s="268"/>
      <c r="P594" s="271"/>
    </row>
    <row r="595" ht="15.0" customHeight="1">
      <c r="A595" s="268" t="s">
        <v>12</v>
      </c>
      <c r="B595" s="269">
        <v>46103.0</v>
      </c>
      <c r="C595" s="268"/>
      <c r="D595" s="268" t="s">
        <v>159</v>
      </c>
      <c r="E595" s="268" t="s">
        <v>83</v>
      </c>
      <c r="F595" s="268" t="s">
        <v>79</v>
      </c>
      <c r="G595" s="268" t="s">
        <v>80</v>
      </c>
      <c r="H595" s="270">
        <v>150.0</v>
      </c>
      <c r="I595" s="270"/>
      <c r="J595" s="270"/>
      <c r="K595" s="270"/>
      <c r="L595" s="270"/>
      <c r="M595" s="270"/>
      <c r="N595" s="270"/>
      <c r="O595" s="268"/>
      <c r="P595" s="271"/>
    </row>
    <row r="596" ht="15.0" customHeight="1">
      <c r="A596" s="268" t="s">
        <v>12</v>
      </c>
      <c r="B596" s="269">
        <v>46103.0</v>
      </c>
      <c r="C596" s="268"/>
      <c r="D596" s="268" t="s">
        <v>118</v>
      </c>
      <c r="E596" s="268" t="s">
        <v>83</v>
      </c>
      <c r="F596" s="268" t="s">
        <v>79</v>
      </c>
      <c r="G596" s="268" t="s">
        <v>80</v>
      </c>
      <c r="H596" s="270">
        <v>184.0</v>
      </c>
      <c r="I596" s="270"/>
      <c r="J596" s="270"/>
      <c r="K596" s="270"/>
      <c r="L596" s="270"/>
      <c r="M596" s="270"/>
      <c r="N596" s="270"/>
      <c r="O596" s="268"/>
      <c r="P596" s="271"/>
    </row>
    <row r="597" ht="15.0" customHeight="1">
      <c r="A597" s="268" t="s">
        <v>12</v>
      </c>
      <c r="B597" s="269">
        <v>46103.0</v>
      </c>
      <c r="C597" s="268"/>
      <c r="D597" s="268" t="s">
        <v>96</v>
      </c>
      <c r="E597" s="268" t="s">
        <v>83</v>
      </c>
      <c r="F597" s="268" t="s">
        <v>79</v>
      </c>
      <c r="G597" s="268" t="s">
        <v>80</v>
      </c>
      <c r="H597" s="270">
        <v>390.0</v>
      </c>
      <c r="I597" s="270"/>
      <c r="J597" s="270"/>
      <c r="K597" s="270"/>
      <c r="L597" s="270"/>
      <c r="M597" s="270"/>
      <c r="N597" s="270"/>
      <c r="O597" s="268"/>
      <c r="P597" s="271"/>
    </row>
    <row r="598" ht="15.0" customHeight="1">
      <c r="A598" s="268" t="s">
        <v>12</v>
      </c>
      <c r="B598" s="269">
        <v>46104.0</v>
      </c>
      <c r="C598" s="268"/>
      <c r="D598" s="268" t="s">
        <v>154</v>
      </c>
      <c r="E598" s="268" t="s">
        <v>141</v>
      </c>
      <c r="F598" s="268" t="s">
        <v>79</v>
      </c>
      <c r="G598" s="268" t="s">
        <v>80</v>
      </c>
      <c r="H598" s="270">
        <v>148.0</v>
      </c>
      <c r="I598" s="270"/>
      <c r="J598" s="270"/>
      <c r="K598" s="270"/>
      <c r="L598" s="270"/>
      <c r="M598" s="270"/>
      <c r="N598" s="270"/>
      <c r="O598" s="268"/>
      <c r="P598" s="271"/>
    </row>
    <row r="599" ht="15.0" customHeight="1">
      <c r="A599" s="268" t="s">
        <v>12</v>
      </c>
      <c r="B599" s="269">
        <v>46104.0</v>
      </c>
      <c r="C599" s="268"/>
      <c r="D599" s="268" t="s">
        <v>158</v>
      </c>
      <c r="E599" s="268" t="s">
        <v>141</v>
      </c>
      <c r="F599" s="268" t="s">
        <v>79</v>
      </c>
      <c r="G599" s="268" t="s">
        <v>80</v>
      </c>
      <c r="H599" s="270">
        <v>177.0</v>
      </c>
      <c r="I599" s="270"/>
      <c r="J599" s="270"/>
      <c r="K599" s="270"/>
      <c r="L599" s="270"/>
      <c r="M599" s="270"/>
      <c r="N599" s="270"/>
      <c r="O599" s="268"/>
      <c r="P599" s="271"/>
    </row>
    <row r="600" ht="15.0" customHeight="1">
      <c r="A600" s="268" t="s">
        <v>12</v>
      </c>
      <c r="B600" s="269">
        <v>46104.0</v>
      </c>
      <c r="C600" s="268"/>
      <c r="D600" s="268" t="s">
        <v>130</v>
      </c>
      <c r="E600" s="268" t="s">
        <v>141</v>
      </c>
      <c r="F600" s="268" t="s">
        <v>79</v>
      </c>
      <c r="G600" s="268" t="s">
        <v>80</v>
      </c>
      <c r="H600" s="270">
        <v>147.0</v>
      </c>
      <c r="I600" s="270"/>
      <c r="J600" s="270"/>
      <c r="K600" s="270"/>
      <c r="L600" s="270"/>
      <c r="M600" s="270"/>
      <c r="N600" s="270"/>
      <c r="O600" s="268"/>
      <c r="P600" s="271"/>
    </row>
    <row r="601" ht="15.0" customHeight="1">
      <c r="A601" s="268" t="s">
        <v>12</v>
      </c>
      <c r="B601" s="269">
        <v>46104.0</v>
      </c>
      <c r="C601" s="268"/>
      <c r="D601" s="268" t="s">
        <v>88</v>
      </c>
      <c r="E601" s="268" t="s">
        <v>141</v>
      </c>
      <c r="F601" s="268" t="s">
        <v>79</v>
      </c>
      <c r="G601" s="268" t="s">
        <v>80</v>
      </c>
      <c r="H601" s="270">
        <v>345.0</v>
      </c>
      <c r="I601" s="270"/>
      <c r="J601" s="270"/>
      <c r="K601" s="270"/>
      <c r="L601" s="270"/>
      <c r="M601" s="270"/>
      <c r="N601" s="270"/>
      <c r="O601" s="268"/>
      <c r="P601" s="271"/>
    </row>
    <row r="602" ht="15.0" customHeight="1">
      <c r="A602" s="268" t="s">
        <v>12</v>
      </c>
      <c r="B602" s="269">
        <v>46104.0</v>
      </c>
      <c r="C602" s="268"/>
      <c r="D602" s="268" t="s">
        <v>118</v>
      </c>
      <c r="E602" s="268" t="s">
        <v>141</v>
      </c>
      <c r="F602" s="268" t="s">
        <v>79</v>
      </c>
      <c r="G602" s="268" t="s">
        <v>80</v>
      </c>
      <c r="H602" s="270">
        <v>450.0</v>
      </c>
      <c r="I602" s="270"/>
      <c r="J602" s="270"/>
      <c r="K602" s="270"/>
      <c r="L602" s="270"/>
      <c r="M602" s="270"/>
      <c r="N602" s="270"/>
      <c r="O602" s="268"/>
      <c r="P602" s="271"/>
    </row>
    <row r="603" ht="15.0" customHeight="1">
      <c r="A603" s="268" t="s">
        <v>12</v>
      </c>
      <c r="B603" s="269">
        <v>46104.0</v>
      </c>
      <c r="C603" s="268"/>
      <c r="D603" s="268" t="s">
        <v>116</v>
      </c>
      <c r="E603" s="268" t="s">
        <v>141</v>
      </c>
      <c r="F603" s="268" t="s">
        <v>79</v>
      </c>
      <c r="G603" s="268" t="s">
        <v>80</v>
      </c>
      <c r="H603" s="270">
        <v>330.0</v>
      </c>
      <c r="I603" s="270"/>
      <c r="J603" s="270"/>
      <c r="K603" s="270"/>
      <c r="L603" s="270"/>
      <c r="M603" s="270"/>
      <c r="N603" s="270"/>
      <c r="O603" s="268"/>
      <c r="P603" s="271"/>
    </row>
    <row r="604" ht="15.0" customHeight="1">
      <c r="A604" s="268" t="s">
        <v>12</v>
      </c>
      <c r="B604" s="269">
        <v>46104.0</v>
      </c>
      <c r="C604" s="268"/>
      <c r="D604" s="268" t="s">
        <v>98</v>
      </c>
      <c r="E604" s="268" t="s">
        <v>141</v>
      </c>
      <c r="F604" s="268" t="s">
        <v>79</v>
      </c>
      <c r="G604" s="268" t="s">
        <v>80</v>
      </c>
      <c r="H604" s="270">
        <v>182.0</v>
      </c>
      <c r="I604" s="270"/>
      <c r="J604" s="270"/>
      <c r="K604" s="270"/>
      <c r="L604" s="270"/>
      <c r="M604" s="270"/>
      <c r="N604" s="270"/>
      <c r="O604" s="268"/>
      <c r="P604" s="271"/>
    </row>
    <row r="605" ht="15.0" customHeight="1">
      <c r="A605" s="268" t="s">
        <v>12</v>
      </c>
      <c r="B605" s="269">
        <v>46104.0</v>
      </c>
      <c r="C605" s="268"/>
      <c r="D605" s="268" t="s">
        <v>97</v>
      </c>
      <c r="E605" s="268" t="s">
        <v>141</v>
      </c>
      <c r="F605" s="268" t="s">
        <v>79</v>
      </c>
      <c r="G605" s="268" t="s">
        <v>80</v>
      </c>
      <c r="H605" s="270">
        <v>140.0</v>
      </c>
      <c r="I605" s="270"/>
      <c r="J605" s="270"/>
      <c r="K605" s="270"/>
      <c r="L605" s="270"/>
      <c r="M605" s="270"/>
      <c r="N605" s="270"/>
      <c r="O605" s="268"/>
      <c r="P605" s="271"/>
    </row>
    <row r="606" ht="15.0" customHeight="1">
      <c r="A606" s="268" t="s">
        <v>12</v>
      </c>
      <c r="B606" s="269">
        <v>46105.0</v>
      </c>
      <c r="C606" s="268"/>
      <c r="D606" s="268" t="s">
        <v>84</v>
      </c>
      <c r="E606" s="268" t="s">
        <v>141</v>
      </c>
      <c r="F606" s="268" t="s">
        <v>79</v>
      </c>
      <c r="G606" s="268" t="s">
        <v>80</v>
      </c>
      <c r="H606" s="270">
        <v>382.0</v>
      </c>
      <c r="I606" s="270"/>
      <c r="J606" s="270"/>
      <c r="K606" s="270"/>
      <c r="L606" s="270"/>
      <c r="M606" s="270"/>
      <c r="N606" s="270"/>
      <c r="O606" s="268"/>
      <c r="P606" s="271"/>
    </row>
    <row r="607" ht="15.0" customHeight="1">
      <c r="A607" s="268" t="s">
        <v>12</v>
      </c>
      <c r="B607" s="269">
        <v>46105.0</v>
      </c>
      <c r="C607" s="268"/>
      <c r="D607" s="268" t="s">
        <v>119</v>
      </c>
      <c r="E607" s="268" t="s">
        <v>141</v>
      </c>
      <c r="F607" s="268" t="s">
        <v>79</v>
      </c>
      <c r="G607" s="268" t="s">
        <v>80</v>
      </c>
      <c r="H607" s="270">
        <v>530.0</v>
      </c>
      <c r="I607" s="270"/>
      <c r="J607" s="270"/>
      <c r="K607" s="270"/>
      <c r="L607" s="270"/>
      <c r="M607" s="270"/>
      <c r="N607" s="270"/>
      <c r="O607" s="268"/>
      <c r="P607" s="271"/>
    </row>
    <row r="608" ht="15.0" customHeight="1">
      <c r="A608" s="268" t="s">
        <v>12</v>
      </c>
      <c r="B608" s="269">
        <v>46105.0</v>
      </c>
      <c r="C608" s="268"/>
      <c r="D608" s="268" t="s">
        <v>100</v>
      </c>
      <c r="E608" s="268" t="s">
        <v>141</v>
      </c>
      <c r="F608" s="268" t="s">
        <v>79</v>
      </c>
      <c r="G608" s="268" t="s">
        <v>80</v>
      </c>
      <c r="H608" s="270">
        <v>268.0</v>
      </c>
      <c r="I608" s="270"/>
      <c r="J608" s="270"/>
      <c r="K608" s="270"/>
      <c r="L608" s="270"/>
      <c r="M608" s="270"/>
      <c r="N608" s="270"/>
      <c r="O608" s="268"/>
      <c r="P608" s="271"/>
    </row>
    <row r="609" ht="15.0" customHeight="1">
      <c r="A609" s="268" t="s">
        <v>12</v>
      </c>
      <c r="B609" s="269">
        <v>46105.0</v>
      </c>
      <c r="C609" s="268"/>
      <c r="D609" s="268" t="s">
        <v>337</v>
      </c>
      <c r="E609" s="268" t="s">
        <v>141</v>
      </c>
      <c r="F609" s="268" t="s">
        <v>79</v>
      </c>
      <c r="G609" s="268" t="s">
        <v>80</v>
      </c>
      <c r="H609" s="270">
        <v>300.0</v>
      </c>
      <c r="I609" s="270"/>
      <c r="J609" s="270"/>
      <c r="K609" s="270"/>
      <c r="L609" s="270"/>
      <c r="M609" s="270"/>
      <c r="N609" s="270"/>
      <c r="O609" s="268"/>
      <c r="P609" s="271"/>
    </row>
    <row r="610" ht="15.0" customHeight="1">
      <c r="A610" s="268" t="s">
        <v>12</v>
      </c>
      <c r="B610" s="269">
        <v>46105.0</v>
      </c>
      <c r="C610" s="268"/>
      <c r="D610" s="268" t="s">
        <v>99</v>
      </c>
      <c r="E610" s="268" t="s">
        <v>141</v>
      </c>
      <c r="F610" s="268" t="s">
        <v>79</v>
      </c>
      <c r="G610" s="268" t="s">
        <v>80</v>
      </c>
      <c r="H610" s="270">
        <v>450.0</v>
      </c>
      <c r="I610" s="270"/>
      <c r="J610" s="270"/>
      <c r="K610" s="270"/>
      <c r="L610" s="270"/>
      <c r="M610" s="270"/>
      <c r="N610" s="270"/>
      <c r="O610" s="268"/>
      <c r="P610" s="271"/>
    </row>
    <row r="611" ht="15.0" customHeight="1">
      <c r="A611" s="268" t="s">
        <v>12</v>
      </c>
      <c r="B611" s="269">
        <v>46105.0</v>
      </c>
      <c r="C611" s="268"/>
      <c r="D611" s="268" t="s">
        <v>136</v>
      </c>
      <c r="E611" s="268" t="s">
        <v>141</v>
      </c>
      <c r="F611" s="268" t="s">
        <v>79</v>
      </c>
      <c r="G611" s="268" t="s">
        <v>80</v>
      </c>
      <c r="H611" s="270">
        <v>68.0</v>
      </c>
      <c r="I611" s="270"/>
      <c r="J611" s="270"/>
      <c r="K611" s="270"/>
      <c r="L611" s="270"/>
      <c r="M611" s="270"/>
      <c r="N611" s="270"/>
      <c r="O611" s="268"/>
      <c r="P611" s="271"/>
    </row>
    <row r="612" ht="15.0" customHeight="1">
      <c r="A612" s="268" t="s">
        <v>12</v>
      </c>
      <c r="B612" s="269">
        <v>46105.0</v>
      </c>
      <c r="C612" s="268"/>
      <c r="D612" s="268" t="s">
        <v>135</v>
      </c>
      <c r="E612" s="268" t="s">
        <v>141</v>
      </c>
      <c r="F612" s="268" t="s">
        <v>79</v>
      </c>
      <c r="G612" s="268" t="s">
        <v>80</v>
      </c>
      <c r="H612" s="270">
        <v>51.0</v>
      </c>
      <c r="I612" s="270"/>
      <c r="J612" s="270"/>
      <c r="K612" s="270"/>
      <c r="L612" s="270"/>
      <c r="M612" s="270"/>
      <c r="N612" s="270"/>
      <c r="O612" s="268"/>
      <c r="P612" s="271"/>
    </row>
    <row r="613" ht="15.0" customHeight="1">
      <c r="A613" s="268" t="s">
        <v>12</v>
      </c>
      <c r="B613" s="269">
        <v>46105.0</v>
      </c>
      <c r="C613" s="268"/>
      <c r="D613" s="268" t="s">
        <v>127</v>
      </c>
      <c r="E613" s="268" t="s">
        <v>141</v>
      </c>
      <c r="F613" s="268" t="s">
        <v>79</v>
      </c>
      <c r="G613" s="268" t="s">
        <v>80</v>
      </c>
      <c r="H613" s="270">
        <v>150.0</v>
      </c>
      <c r="I613" s="270"/>
      <c r="J613" s="270"/>
      <c r="K613" s="270"/>
      <c r="L613" s="270"/>
      <c r="M613" s="270"/>
      <c r="N613" s="270"/>
      <c r="O613" s="268"/>
      <c r="P613" s="271"/>
    </row>
    <row r="614" ht="15.0" customHeight="1">
      <c r="A614" s="268" t="s">
        <v>12</v>
      </c>
      <c r="B614" s="269">
        <v>46105.0</v>
      </c>
      <c r="C614" s="268"/>
      <c r="D614" s="268" t="s">
        <v>336</v>
      </c>
      <c r="E614" s="268" t="s">
        <v>141</v>
      </c>
      <c r="F614" s="268" t="s">
        <v>79</v>
      </c>
      <c r="G614" s="268" t="s">
        <v>80</v>
      </c>
      <c r="H614" s="270">
        <v>242.0</v>
      </c>
      <c r="I614" s="270"/>
      <c r="J614" s="270"/>
      <c r="K614" s="270"/>
      <c r="L614" s="270"/>
      <c r="M614" s="270"/>
      <c r="N614" s="270"/>
      <c r="O614" s="268"/>
      <c r="P614" s="271"/>
    </row>
    <row r="615" ht="15.0" customHeight="1">
      <c r="A615" s="268" t="s">
        <v>12</v>
      </c>
      <c r="B615" s="269">
        <v>46105.0</v>
      </c>
      <c r="C615" s="268"/>
      <c r="D615" s="268" t="s">
        <v>113</v>
      </c>
      <c r="E615" s="268" t="s">
        <v>141</v>
      </c>
      <c r="F615" s="268" t="s">
        <v>79</v>
      </c>
      <c r="G615" s="268" t="s">
        <v>80</v>
      </c>
      <c r="H615" s="270">
        <v>235.0</v>
      </c>
      <c r="I615" s="270"/>
      <c r="J615" s="270"/>
      <c r="K615" s="270"/>
      <c r="L615" s="270"/>
      <c r="M615" s="270"/>
      <c r="N615" s="270"/>
      <c r="O615" s="268"/>
      <c r="P615" s="271"/>
    </row>
    <row r="616" ht="15.0" customHeight="1">
      <c r="A616" s="268" t="s">
        <v>12</v>
      </c>
      <c r="B616" s="269">
        <v>46105.0</v>
      </c>
      <c r="C616" s="268"/>
      <c r="D616" s="268" t="s">
        <v>138</v>
      </c>
      <c r="E616" s="268" t="s">
        <v>141</v>
      </c>
      <c r="F616" s="268" t="s">
        <v>79</v>
      </c>
      <c r="G616" s="268" t="s">
        <v>80</v>
      </c>
      <c r="H616" s="270">
        <v>230.0</v>
      </c>
      <c r="I616" s="270"/>
      <c r="J616" s="270"/>
      <c r="K616" s="270"/>
      <c r="L616" s="270"/>
      <c r="M616" s="270"/>
      <c r="N616" s="270"/>
      <c r="O616" s="268"/>
      <c r="P616" s="271"/>
    </row>
    <row r="617" ht="15.0" customHeight="1">
      <c r="A617" s="268" t="s">
        <v>12</v>
      </c>
      <c r="B617" s="269">
        <v>46106.0</v>
      </c>
      <c r="C617" s="268"/>
      <c r="D617" s="268" t="s">
        <v>123</v>
      </c>
      <c r="E617" s="268" t="s">
        <v>141</v>
      </c>
      <c r="F617" s="268" t="s">
        <v>79</v>
      </c>
      <c r="G617" s="268" t="s">
        <v>80</v>
      </c>
      <c r="H617" s="270">
        <v>508.0</v>
      </c>
      <c r="I617" s="270"/>
      <c r="J617" s="270"/>
      <c r="K617" s="270"/>
      <c r="L617" s="270"/>
      <c r="M617" s="270"/>
      <c r="N617" s="270"/>
      <c r="O617" s="268"/>
      <c r="P617" s="271"/>
    </row>
    <row r="618" ht="15.0" customHeight="1">
      <c r="A618" s="268" t="s">
        <v>12</v>
      </c>
      <c r="B618" s="269">
        <v>46106.0</v>
      </c>
      <c r="C618" s="268"/>
      <c r="D618" s="268" t="s">
        <v>84</v>
      </c>
      <c r="E618" s="268" t="s">
        <v>141</v>
      </c>
      <c r="F618" s="268" t="s">
        <v>79</v>
      </c>
      <c r="G618" s="268" t="s">
        <v>80</v>
      </c>
      <c r="H618" s="270">
        <v>42.0</v>
      </c>
      <c r="I618" s="270"/>
      <c r="J618" s="270"/>
      <c r="K618" s="270"/>
      <c r="L618" s="270"/>
      <c r="M618" s="270"/>
      <c r="N618" s="270"/>
      <c r="O618" s="268"/>
      <c r="P618" s="271"/>
    </row>
    <row r="619" ht="15.0" customHeight="1">
      <c r="A619" s="268" t="s">
        <v>12</v>
      </c>
      <c r="B619" s="269">
        <v>46106.0</v>
      </c>
      <c r="C619" s="268"/>
      <c r="D619" s="268" t="s">
        <v>334</v>
      </c>
      <c r="E619" s="268" t="s">
        <v>141</v>
      </c>
      <c r="F619" s="268" t="s">
        <v>79</v>
      </c>
      <c r="G619" s="268" t="s">
        <v>80</v>
      </c>
      <c r="H619" s="270">
        <v>150.0</v>
      </c>
      <c r="I619" s="270"/>
      <c r="J619" s="270"/>
      <c r="K619" s="270"/>
      <c r="L619" s="270"/>
      <c r="M619" s="270"/>
      <c r="N619" s="270"/>
      <c r="O619" s="268"/>
      <c r="P619" s="271"/>
    </row>
    <row r="620" ht="15.0" customHeight="1">
      <c r="A620" s="268" t="s">
        <v>12</v>
      </c>
      <c r="B620" s="269">
        <v>46106.0</v>
      </c>
      <c r="C620" s="268"/>
      <c r="D620" s="268" t="s">
        <v>96</v>
      </c>
      <c r="E620" s="268" t="s">
        <v>141</v>
      </c>
      <c r="F620" s="268" t="s">
        <v>79</v>
      </c>
      <c r="G620" s="268" t="s">
        <v>80</v>
      </c>
      <c r="H620" s="270">
        <v>338.0</v>
      </c>
      <c r="I620" s="270"/>
      <c r="J620" s="270"/>
      <c r="K620" s="270"/>
      <c r="L620" s="270"/>
      <c r="M620" s="270"/>
      <c r="N620" s="270"/>
      <c r="O620" s="268"/>
      <c r="P620" s="271"/>
    </row>
    <row r="621" ht="15.0" customHeight="1">
      <c r="A621" s="268" t="s">
        <v>12</v>
      </c>
      <c r="B621" s="269">
        <v>46106.0</v>
      </c>
      <c r="C621" s="268"/>
      <c r="D621" s="268" t="s">
        <v>117</v>
      </c>
      <c r="E621" s="268" t="s">
        <v>141</v>
      </c>
      <c r="F621" s="268" t="s">
        <v>79</v>
      </c>
      <c r="G621" s="268" t="s">
        <v>80</v>
      </c>
      <c r="H621" s="270">
        <v>157.0</v>
      </c>
      <c r="I621" s="270"/>
      <c r="J621" s="270"/>
      <c r="K621" s="270"/>
      <c r="L621" s="270"/>
      <c r="M621" s="270"/>
      <c r="N621" s="270"/>
      <c r="O621" s="268"/>
      <c r="P621" s="271"/>
    </row>
    <row r="622" ht="15.0" customHeight="1">
      <c r="A622" s="268" t="s">
        <v>12</v>
      </c>
      <c r="B622" s="269">
        <v>46106.0</v>
      </c>
      <c r="C622" s="268"/>
      <c r="D622" s="268" t="s">
        <v>116</v>
      </c>
      <c r="E622" s="268" t="s">
        <v>141</v>
      </c>
      <c r="F622" s="268" t="s">
        <v>79</v>
      </c>
      <c r="G622" s="268" t="s">
        <v>80</v>
      </c>
      <c r="H622" s="270">
        <v>330.0</v>
      </c>
      <c r="I622" s="270"/>
      <c r="J622" s="270"/>
      <c r="K622" s="270"/>
      <c r="L622" s="270"/>
      <c r="M622" s="270"/>
      <c r="N622" s="270"/>
      <c r="O622" s="268"/>
      <c r="P622" s="271"/>
    </row>
    <row r="623" ht="15.0" customHeight="1">
      <c r="A623" s="268" t="s">
        <v>12</v>
      </c>
      <c r="B623" s="269">
        <v>46106.0</v>
      </c>
      <c r="C623" s="268"/>
      <c r="D623" s="268" t="s">
        <v>148</v>
      </c>
      <c r="E623" s="268" t="s">
        <v>141</v>
      </c>
      <c r="F623" s="268" t="s">
        <v>79</v>
      </c>
      <c r="G623" s="268" t="s">
        <v>80</v>
      </c>
      <c r="H623" s="270">
        <v>362.0</v>
      </c>
      <c r="I623" s="270"/>
      <c r="J623" s="270"/>
      <c r="K623" s="270"/>
      <c r="L623" s="270"/>
      <c r="M623" s="270"/>
      <c r="N623" s="270"/>
      <c r="O623" s="268"/>
      <c r="P623" s="271"/>
    </row>
    <row r="624" ht="15.0" customHeight="1">
      <c r="A624" s="268" t="s">
        <v>12</v>
      </c>
      <c r="B624" s="269">
        <v>46106.0</v>
      </c>
      <c r="C624" s="268"/>
      <c r="D624" s="268" t="s">
        <v>103</v>
      </c>
      <c r="E624" s="268" t="s">
        <v>141</v>
      </c>
      <c r="F624" s="268" t="s">
        <v>79</v>
      </c>
      <c r="G624" s="268" t="s">
        <v>80</v>
      </c>
      <c r="H624" s="270">
        <v>159.0</v>
      </c>
      <c r="I624" s="270"/>
      <c r="J624" s="270"/>
      <c r="K624" s="270"/>
      <c r="L624" s="270"/>
      <c r="M624" s="270"/>
      <c r="N624" s="270"/>
      <c r="O624" s="268"/>
      <c r="P624" s="271"/>
    </row>
    <row r="625" ht="15.0" customHeight="1">
      <c r="A625" s="268" t="s">
        <v>12</v>
      </c>
      <c r="B625" s="269">
        <v>46106.0</v>
      </c>
      <c r="C625" s="268"/>
      <c r="D625" s="268" t="s">
        <v>92</v>
      </c>
      <c r="E625" s="268" t="s">
        <v>141</v>
      </c>
      <c r="F625" s="268" t="s">
        <v>79</v>
      </c>
      <c r="G625" s="268" t="s">
        <v>80</v>
      </c>
      <c r="H625" s="270">
        <v>285.0</v>
      </c>
      <c r="I625" s="270"/>
      <c r="J625" s="270"/>
      <c r="K625" s="270"/>
      <c r="L625" s="270"/>
      <c r="M625" s="270"/>
      <c r="N625" s="270"/>
      <c r="O625" s="268"/>
      <c r="P625" s="271"/>
    </row>
    <row r="626" ht="15.0" customHeight="1">
      <c r="A626" s="268" t="s">
        <v>12</v>
      </c>
      <c r="B626" s="269">
        <v>46106.0</v>
      </c>
      <c r="C626" s="268"/>
      <c r="D626" s="268" t="s">
        <v>145</v>
      </c>
      <c r="E626" s="268" t="s">
        <v>141</v>
      </c>
      <c r="F626" s="268" t="s">
        <v>79</v>
      </c>
      <c r="G626" s="268" t="s">
        <v>80</v>
      </c>
      <c r="H626" s="270">
        <v>215.0</v>
      </c>
      <c r="I626" s="270"/>
      <c r="J626" s="270"/>
      <c r="K626" s="270"/>
      <c r="L626" s="270"/>
      <c r="M626" s="270"/>
      <c r="N626" s="270"/>
      <c r="O626" s="268"/>
      <c r="P626" s="271"/>
    </row>
    <row r="627" ht="15.0" customHeight="1">
      <c r="A627" s="268" t="s">
        <v>12</v>
      </c>
      <c r="B627" s="269">
        <v>46106.0</v>
      </c>
      <c r="C627" s="268"/>
      <c r="D627" s="268" t="s">
        <v>86</v>
      </c>
      <c r="E627" s="268" t="s">
        <v>141</v>
      </c>
      <c r="F627" s="268" t="s">
        <v>79</v>
      </c>
      <c r="G627" s="268" t="s">
        <v>80</v>
      </c>
      <c r="H627" s="270">
        <v>268.0</v>
      </c>
      <c r="I627" s="270"/>
      <c r="J627" s="270"/>
      <c r="K627" s="270"/>
      <c r="L627" s="270"/>
      <c r="M627" s="270"/>
      <c r="N627" s="270"/>
      <c r="O627" s="268"/>
      <c r="P627" s="271"/>
    </row>
    <row r="628" ht="15.0" customHeight="1">
      <c r="A628" s="268" t="s">
        <v>12</v>
      </c>
      <c r="B628" s="269">
        <v>46106.0</v>
      </c>
      <c r="C628" s="268"/>
      <c r="D628" s="268" t="s">
        <v>98</v>
      </c>
      <c r="E628" s="268" t="s">
        <v>141</v>
      </c>
      <c r="F628" s="268" t="s">
        <v>79</v>
      </c>
      <c r="G628" s="268" t="s">
        <v>80</v>
      </c>
      <c r="H628" s="270">
        <v>169.0</v>
      </c>
      <c r="I628" s="270"/>
      <c r="J628" s="270"/>
      <c r="K628" s="270"/>
      <c r="L628" s="270"/>
      <c r="M628" s="270"/>
      <c r="N628" s="270"/>
      <c r="O628" s="268"/>
      <c r="P628" s="271"/>
    </row>
    <row r="629" ht="15.0" customHeight="1">
      <c r="A629" s="268" t="s">
        <v>12</v>
      </c>
      <c r="B629" s="269">
        <v>46106.0</v>
      </c>
      <c r="C629" s="268"/>
      <c r="D629" s="268" t="s">
        <v>112</v>
      </c>
      <c r="E629" s="268" t="s">
        <v>141</v>
      </c>
      <c r="F629" s="268" t="s">
        <v>79</v>
      </c>
      <c r="G629" s="268" t="s">
        <v>80</v>
      </c>
      <c r="H629" s="270">
        <v>261.0</v>
      </c>
      <c r="I629" s="270"/>
      <c r="J629" s="270"/>
      <c r="K629" s="270"/>
      <c r="L629" s="270"/>
      <c r="M629" s="270"/>
      <c r="N629" s="270"/>
      <c r="O629" s="268"/>
      <c r="P629" s="271"/>
    </row>
    <row r="630" ht="15.0" customHeight="1">
      <c r="A630" s="268" t="s">
        <v>12</v>
      </c>
      <c r="B630" s="269">
        <v>46106.0</v>
      </c>
      <c r="C630" s="268"/>
      <c r="D630" s="268" t="s">
        <v>101</v>
      </c>
      <c r="E630" s="268" t="s">
        <v>141</v>
      </c>
      <c r="F630" s="268" t="s">
        <v>79</v>
      </c>
      <c r="G630" s="268" t="s">
        <v>80</v>
      </c>
      <c r="H630" s="270">
        <v>225.0</v>
      </c>
      <c r="I630" s="270"/>
      <c r="J630" s="270"/>
      <c r="K630" s="270"/>
      <c r="L630" s="270"/>
      <c r="M630" s="270"/>
      <c r="N630" s="270"/>
      <c r="O630" s="268"/>
      <c r="P630" s="271"/>
    </row>
    <row r="631" ht="15.0" customHeight="1">
      <c r="A631" s="268" t="s">
        <v>16</v>
      </c>
      <c r="B631" s="269">
        <v>46106.0</v>
      </c>
      <c r="C631" s="268"/>
      <c r="D631" s="268"/>
      <c r="E631" s="268" t="s">
        <v>110</v>
      </c>
      <c r="F631" s="268" t="s">
        <v>565</v>
      </c>
      <c r="G631" s="268" t="s">
        <v>110</v>
      </c>
      <c r="H631" s="270">
        <v>205.0</v>
      </c>
      <c r="I631" s="270"/>
      <c r="J631" s="270"/>
      <c r="K631" s="270"/>
      <c r="L631" s="270"/>
      <c r="M631" s="270"/>
      <c r="N631" s="270"/>
      <c r="O631" s="268"/>
      <c r="P631" s="271"/>
    </row>
    <row r="632" ht="15.0" customHeight="1">
      <c r="A632" s="268" t="s">
        <v>16</v>
      </c>
      <c r="B632" s="269">
        <v>46106.0</v>
      </c>
      <c r="C632" s="268"/>
      <c r="D632" s="268"/>
      <c r="E632" s="268" t="s">
        <v>93</v>
      </c>
      <c r="F632" s="268" t="s">
        <v>565</v>
      </c>
      <c r="G632" s="268" t="s">
        <v>93</v>
      </c>
      <c r="H632" s="270">
        <v>410.0</v>
      </c>
      <c r="I632" s="270"/>
      <c r="J632" s="270"/>
      <c r="K632" s="270"/>
      <c r="L632" s="270"/>
      <c r="M632" s="270"/>
      <c r="N632" s="270"/>
      <c r="O632" s="268"/>
      <c r="P632" s="271"/>
    </row>
    <row r="633" ht="15.0" customHeight="1">
      <c r="A633" s="268" t="s">
        <v>12</v>
      </c>
      <c r="B633" s="269">
        <v>46107.0</v>
      </c>
      <c r="C633" s="268"/>
      <c r="D633" s="268" t="s">
        <v>130</v>
      </c>
      <c r="E633" s="268" t="s">
        <v>141</v>
      </c>
      <c r="F633" s="268" t="s">
        <v>79</v>
      </c>
      <c r="G633" s="268" t="s">
        <v>80</v>
      </c>
      <c r="H633" s="270">
        <v>161.0</v>
      </c>
      <c r="I633" s="270"/>
      <c r="J633" s="270"/>
      <c r="K633" s="270"/>
      <c r="L633" s="270"/>
      <c r="M633" s="270"/>
      <c r="N633" s="270"/>
      <c r="O633" s="268"/>
      <c r="P633" s="271"/>
    </row>
    <row r="634" ht="15.0" customHeight="1">
      <c r="A634" s="268" t="s">
        <v>12</v>
      </c>
      <c r="B634" s="269">
        <v>46107.0</v>
      </c>
      <c r="C634" s="268"/>
      <c r="D634" s="268" t="s">
        <v>126</v>
      </c>
      <c r="E634" s="268" t="s">
        <v>141</v>
      </c>
      <c r="F634" s="268" t="s">
        <v>79</v>
      </c>
      <c r="G634" s="268" t="s">
        <v>80</v>
      </c>
      <c r="H634" s="270">
        <v>200.0</v>
      </c>
      <c r="I634" s="270"/>
      <c r="J634" s="270"/>
      <c r="K634" s="270"/>
      <c r="L634" s="270"/>
      <c r="M634" s="270"/>
      <c r="N634" s="270"/>
      <c r="O634" s="268"/>
      <c r="P634" s="271"/>
    </row>
    <row r="635" ht="15.0" customHeight="1">
      <c r="A635" s="268" t="s">
        <v>12</v>
      </c>
      <c r="B635" s="269">
        <v>46107.0</v>
      </c>
      <c r="C635" s="268"/>
      <c r="D635" s="268" t="s">
        <v>334</v>
      </c>
      <c r="E635" s="268" t="s">
        <v>141</v>
      </c>
      <c r="F635" s="268" t="s">
        <v>79</v>
      </c>
      <c r="G635" s="268" t="s">
        <v>80</v>
      </c>
      <c r="H635" s="270">
        <v>100.0</v>
      </c>
      <c r="I635" s="270"/>
      <c r="J635" s="270"/>
      <c r="K635" s="270"/>
      <c r="L635" s="270"/>
      <c r="M635" s="270"/>
      <c r="N635" s="270"/>
      <c r="O635" s="268"/>
      <c r="P635" s="271"/>
    </row>
    <row r="636" ht="15.0" customHeight="1">
      <c r="A636" s="268" t="s">
        <v>12</v>
      </c>
      <c r="B636" s="269">
        <v>46107.0</v>
      </c>
      <c r="C636" s="268"/>
      <c r="D636" s="268" t="s">
        <v>99</v>
      </c>
      <c r="E636" s="268" t="s">
        <v>141</v>
      </c>
      <c r="F636" s="268" t="s">
        <v>79</v>
      </c>
      <c r="G636" s="268" t="s">
        <v>80</v>
      </c>
      <c r="H636" s="270">
        <v>260.0</v>
      </c>
      <c r="I636" s="270"/>
      <c r="J636" s="270"/>
      <c r="K636" s="270"/>
      <c r="L636" s="270"/>
      <c r="M636" s="270"/>
      <c r="N636" s="270"/>
      <c r="O636" s="268"/>
      <c r="P636" s="271"/>
    </row>
    <row r="637" ht="15.0" customHeight="1">
      <c r="A637" s="268" t="s">
        <v>12</v>
      </c>
      <c r="B637" s="269">
        <v>46107.0</v>
      </c>
      <c r="C637" s="268"/>
      <c r="D637" s="268" t="s">
        <v>104</v>
      </c>
      <c r="E637" s="268" t="s">
        <v>141</v>
      </c>
      <c r="F637" s="268" t="s">
        <v>79</v>
      </c>
      <c r="G637" s="268" t="s">
        <v>80</v>
      </c>
      <c r="H637" s="270">
        <v>300.0</v>
      </c>
      <c r="I637" s="270"/>
      <c r="J637" s="270"/>
      <c r="K637" s="270"/>
      <c r="L637" s="270"/>
      <c r="M637" s="270"/>
      <c r="N637" s="270"/>
      <c r="O637" s="268"/>
      <c r="P637" s="271"/>
    </row>
    <row r="638" ht="15.0" customHeight="1">
      <c r="A638" s="268" t="s">
        <v>12</v>
      </c>
      <c r="B638" s="269">
        <v>46107.0</v>
      </c>
      <c r="C638" s="268"/>
      <c r="D638" s="268" t="s">
        <v>87</v>
      </c>
      <c r="E638" s="268" t="s">
        <v>141</v>
      </c>
      <c r="F638" s="268" t="s">
        <v>79</v>
      </c>
      <c r="G638" s="268" t="s">
        <v>80</v>
      </c>
      <c r="H638" s="270">
        <v>223.0</v>
      </c>
      <c r="I638" s="270"/>
      <c r="J638" s="270"/>
      <c r="K638" s="270"/>
      <c r="L638" s="270"/>
      <c r="M638" s="270"/>
      <c r="N638" s="270"/>
      <c r="O638" s="268"/>
      <c r="P638" s="271"/>
    </row>
    <row r="639" ht="15.0" customHeight="1">
      <c r="A639" s="268" t="s">
        <v>12</v>
      </c>
      <c r="B639" s="269">
        <v>46107.0</v>
      </c>
      <c r="C639" s="268"/>
      <c r="D639" s="268" t="s">
        <v>102</v>
      </c>
      <c r="E639" s="268" t="s">
        <v>141</v>
      </c>
      <c r="F639" s="268" t="s">
        <v>79</v>
      </c>
      <c r="G639" s="268" t="s">
        <v>80</v>
      </c>
      <c r="H639" s="270">
        <v>220.0</v>
      </c>
      <c r="I639" s="270"/>
      <c r="J639" s="270"/>
      <c r="K639" s="270"/>
      <c r="L639" s="270"/>
      <c r="M639" s="270"/>
      <c r="N639" s="270"/>
      <c r="O639" s="268"/>
      <c r="P639" s="271"/>
    </row>
    <row r="640" ht="15.0" customHeight="1">
      <c r="A640" s="268" t="s">
        <v>12</v>
      </c>
      <c r="B640" s="269">
        <v>46107.0</v>
      </c>
      <c r="C640" s="268"/>
      <c r="D640" s="268" t="s">
        <v>334</v>
      </c>
      <c r="E640" s="268" t="s">
        <v>110</v>
      </c>
      <c r="F640" s="268" t="s">
        <v>79</v>
      </c>
      <c r="G640" s="268" t="s">
        <v>110</v>
      </c>
      <c r="H640" s="270">
        <v>4.0</v>
      </c>
      <c r="I640" s="270"/>
      <c r="J640" s="270"/>
      <c r="K640" s="270"/>
      <c r="L640" s="270"/>
      <c r="M640" s="270"/>
      <c r="N640" s="270"/>
      <c r="O640" s="268"/>
      <c r="P640" s="271"/>
    </row>
    <row r="641" ht="15.0" customHeight="1">
      <c r="A641" s="268" t="s">
        <v>12</v>
      </c>
      <c r="B641" s="269">
        <v>46108.0</v>
      </c>
      <c r="C641" s="268"/>
      <c r="D641" s="268" t="s">
        <v>88</v>
      </c>
      <c r="E641" s="268" t="s">
        <v>141</v>
      </c>
      <c r="F641" s="268" t="s">
        <v>79</v>
      </c>
      <c r="G641" s="268" t="s">
        <v>80</v>
      </c>
      <c r="H641" s="270">
        <v>488.0</v>
      </c>
      <c r="I641" s="270"/>
      <c r="J641" s="270"/>
      <c r="K641" s="270"/>
      <c r="L641" s="270"/>
      <c r="M641" s="270"/>
      <c r="N641" s="270"/>
      <c r="O641" s="268"/>
      <c r="P641" s="271"/>
    </row>
    <row r="642" ht="15.0" customHeight="1">
      <c r="A642" s="268" t="s">
        <v>12</v>
      </c>
      <c r="B642" s="269">
        <v>46108.0</v>
      </c>
      <c r="C642" s="268"/>
      <c r="D642" s="268" t="s">
        <v>82</v>
      </c>
      <c r="E642" s="268" t="s">
        <v>141</v>
      </c>
      <c r="F642" s="268" t="s">
        <v>79</v>
      </c>
      <c r="G642" s="268" t="s">
        <v>80</v>
      </c>
      <c r="H642" s="270">
        <v>432.0</v>
      </c>
      <c r="I642" s="270"/>
      <c r="J642" s="270"/>
      <c r="K642" s="270"/>
      <c r="L642" s="270"/>
      <c r="M642" s="270"/>
      <c r="N642" s="270"/>
      <c r="O642" s="268"/>
      <c r="P642" s="271"/>
    </row>
    <row r="643" ht="15.0" customHeight="1">
      <c r="A643" s="268" t="s">
        <v>12</v>
      </c>
      <c r="B643" s="269">
        <v>46108.0</v>
      </c>
      <c r="C643" s="268"/>
      <c r="D643" s="268" t="s">
        <v>77</v>
      </c>
      <c r="E643" s="268" t="s">
        <v>141</v>
      </c>
      <c r="F643" s="268" t="s">
        <v>79</v>
      </c>
      <c r="G643" s="268" t="s">
        <v>80</v>
      </c>
      <c r="H643" s="270">
        <v>400.0</v>
      </c>
      <c r="I643" s="270"/>
      <c r="J643" s="270"/>
      <c r="K643" s="270"/>
      <c r="L643" s="270"/>
      <c r="M643" s="270"/>
      <c r="N643" s="270"/>
      <c r="O643" s="268"/>
      <c r="P643" s="271"/>
    </row>
    <row r="644" ht="15.0" customHeight="1">
      <c r="A644" s="268" t="s">
        <v>12</v>
      </c>
      <c r="B644" s="269">
        <v>46108.0</v>
      </c>
      <c r="C644" s="268"/>
      <c r="D644" s="268" t="s">
        <v>84</v>
      </c>
      <c r="E644" s="268" t="s">
        <v>141</v>
      </c>
      <c r="F644" s="268" t="s">
        <v>79</v>
      </c>
      <c r="G644" s="268" t="s">
        <v>80</v>
      </c>
      <c r="H644" s="270">
        <v>50.0</v>
      </c>
      <c r="I644" s="270"/>
      <c r="J644" s="270"/>
      <c r="K644" s="270"/>
      <c r="L644" s="270"/>
      <c r="M644" s="270"/>
      <c r="N644" s="270"/>
      <c r="O644" s="268"/>
      <c r="P644" s="271"/>
    </row>
    <row r="645" ht="15.0" customHeight="1">
      <c r="A645" s="268" t="s">
        <v>12</v>
      </c>
      <c r="B645" s="269">
        <v>46108.0</v>
      </c>
      <c r="C645" s="268"/>
      <c r="D645" s="268" t="s">
        <v>119</v>
      </c>
      <c r="E645" s="268" t="s">
        <v>141</v>
      </c>
      <c r="F645" s="268" t="s">
        <v>79</v>
      </c>
      <c r="G645" s="268" t="s">
        <v>80</v>
      </c>
      <c r="H645" s="270">
        <v>451.0</v>
      </c>
      <c r="I645" s="270"/>
      <c r="J645" s="270"/>
      <c r="K645" s="270"/>
      <c r="L645" s="270"/>
      <c r="M645" s="270"/>
      <c r="N645" s="270"/>
      <c r="O645" s="268"/>
      <c r="P645" s="271"/>
    </row>
    <row r="646" ht="15.0" customHeight="1">
      <c r="A646" s="268" t="s">
        <v>12</v>
      </c>
      <c r="B646" s="269">
        <v>46108.0</v>
      </c>
      <c r="C646" s="268"/>
      <c r="D646" s="268" t="s">
        <v>100</v>
      </c>
      <c r="E646" s="268" t="s">
        <v>141</v>
      </c>
      <c r="F646" s="268" t="s">
        <v>79</v>
      </c>
      <c r="G646" s="268" t="s">
        <v>80</v>
      </c>
      <c r="H646" s="270">
        <v>345.0</v>
      </c>
      <c r="I646" s="270"/>
      <c r="J646" s="270"/>
      <c r="K646" s="270"/>
      <c r="L646" s="270"/>
      <c r="M646" s="270"/>
      <c r="N646" s="270"/>
      <c r="O646" s="268"/>
      <c r="P646" s="271"/>
    </row>
    <row r="647" ht="15.0" customHeight="1">
      <c r="A647" s="268" t="s">
        <v>12</v>
      </c>
      <c r="B647" s="269">
        <v>46108.0</v>
      </c>
      <c r="C647" s="268"/>
      <c r="D647" s="268" t="s">
        <v>337</v>
      </c>
      <c r="E647" s="268" t="s">
        <v>141</v>
      </c>
      <c r="F647" s="268" t="s">
        <v>79</v>
      </c>
      <c r="G647" s="268" t="s">
        <v>80</v>
      </c>
      <c r="H647" s="270">
        <v>350.0</v>
      </c>
      <c r="I647" s="270"/>
      <c r="J647" s="270"/>
      <c r="K647" s="270"/>
      <c r="L647" s="270"/>
      <c r="M647" s="270"/>
      <c r="N647" s="270"/>
      <c r="O647" s="268"/>
      <c r="P647" s="271"/>
    </row>
    <row r="648" ht="15.0" customHeight="1">
      <c r="A648" s="268" t="s">
        <v>12</v>
      </c>
      <c r="B648" s="269">
        <v>46108.0</v>
      </c>
      <c r="C648" s="268"/>
      <c r="D648" s="268" t="s">
        <v>91</v>
      </c>
      <c r="E648" s="268" t="s">
        <v>141</v>
      </c>
      <c r="F648" s="268" t="s">
        <v>79</v>
      </c>
      <c r="G648" s="268" t="s">
        <v>80</v>
      </c>
      <c r="H648" s="270">
        <v>40.0</v>
      </c>
      <c r="I648" s="270"/>
      <c r="J648" s="270"/>
      <c r="K648" s="270"/>
      <c r="L648" s="270"/>
      <c r="M648" s="270"/>
      <c r="N648" s="270"/>
      <c r="O648" s="268"/>
      <c r="P648" s="271"/>
    </row>
    <row r="649" ht="15.0" customHeight="1">
      <c r="A649" s="268" t="s">
        <v>12</v>
      </c>
      <c r="B649" s="269">
        <v>46108.0</v>
      </c>
      <c r="C649" s="268"/>
      <c r="D649" s="268" t="s">
        <v>339</v>
      </c>
      <c r="E649" s="268" t="s">
        <v>141</v>
      </c>
      <c r="F649" s="268" t="s">
        <v>79</v>
      </c>
      <c r="G649" s="268" t="s">
        <v>80</v>
      </c>
      <c r="H649" s="270">
        <v>200.0</v>
      </c>
      <c r="I649" s="270"/>
      <c r="J649" s="270"/>
      <c r="K649" s="270"/>
      <c r="L649" s="270"/>
      <c r="M649" s="270"/>
      <c r="N649" s="270"/>
      <c r="O649" s="268"/>
      <c r="P649" s="271"/>
    </row>
    <row r="650" ht="15.0" customHeight="1">
      <c r="A650" s="268" t="s">
        <v>12</v>
      </c>
      <c r="B650" s="269">
        <v>46108.0</v>
      </c>
      <c r="C650" s="268"/>
      <c r="D650" s="268" t="s">
        <v>122</v>
      </c>
      <c r="E650" s="268" t="s">
        <v>141</v>
      </c>
      <c r="F650" s="268" t="s">
        <v>79</v>
      </c>
      <c r="G650" s="268" t="s">
        <v>80</v>
      </c>
      <c r="H650" s="270">
        <v>300.0</v>
      </c>
      <c r="I650" s="270"/>
      <c r="J650" s="270"/>
      <c r="K650" s="270"/>
      <c r="L650" s="270"/>
      <c r="M650" s="270"/>
      <c r="N650" s="270"/>
      <c r="O650" s="268"/>
      <c r="P650" s="271"/>
    </row>
    <row r="651" ht="15.0" customHeight="1">
      <c r="A651" s="268" t="s">
        <v>12</v>
      </c>
      <c r="B651" s="269">
        <v>46108.0</v>
      </c>
      <c r="C651" s="268"/>
      <c r="D651" s="268" t="s">
        <v>103</v>
      </c>
      <c r="E651" s="268" t="s">
        <v>141</v>
      </c>
      <c r="F651" s="268" t="s">
        <v>79</v>
      </c>
      <c r="G651" s="268" t="s">
        <v>80</v>
      </c>
      <c r="H651" s="270">
        <v>161.0</v>
      </c>
      <c r="I651" s="270"/>
      <c r="J651" s="270"/>
      <c r="K651" s="270"/>
      <c r="L651" s="270"/>
      <c r="M651" s="270"/>
      <c r="N651" s="270"/>
      <c r="O651" s="268"/>
      <c r="P651" s="271"/>
    </row>
    <row r="652" ht="15.0" customHeight="1">
      <c r="A652" s="268" t="s">
        <v>12</v>
      </c>
      <c r="B652" s="269">
        <v>46108.0</v>
      </c>
      <c r="C652" s="268"/>
      <c r="D652" s="268" t="s">
        <v>336</v>
      </c>
      <c r="E652" s="268" t="s">
        <v>141</v>
      </c>
      <c r="F652" s="268" t="s">
        <v>79</v>
      </c>
      <c r="G652" s="268" t="s">
        <v>80</v>
      </c>
      <c r="H652" s="270">
        <v>250.0</v>
      </c>
      <c r="I652" s="270"/>
      <c r="J652" s="270"/>
      <c r="K652" s="270"/>
      <c r="L652" s="270"/>
      <c r="M652" s="270"/>
      <c r="N652" s="270"/>
      <c r="O652" s="268"/>
      <c r="P652" s="271"/>
    </row>
    <row r="653" ht="15.0" customHeight="1">
      <c r="A653" s="268" t="s">
        <v>12</v>
      </c>
      <c r="B653" s="269">
        <v>46108.0</v>
      </c>
      <c r="C653" s="268"/>
      <c r="D653" s="268" t="s">
        <v>113</v>
      </c>
      <c r="E653" s="268" t="s">
        <v>141</v>
      </c>
      <c r="F653" s="268" t="s">
        <v>79</v>
      </c>
      <c r="G653" s="268" t="s">
        <v>80</v>
      </c>
      <c r="H653" s="270">
        <v>220.0</v>
      </c>
      <c r="I653" s="270"/>
      <c r="J653" s="270"/>
      <c r="K653" s="270"/>
      <c r="L653" s="270"/>
      <c r="M653" s="270"/>
      <c r="N653" s="270"/>
      <c r="O653" s="268"/>
      <c r="P653" s="271"/>
    </row>
    <row r="654" ht="15.0" customHeight="1">
      <c r="A654" s="268" t="s">
        <v>12</v>
      </c>
      <c r="B654" s="269">
        <v>46108.0</v>
      </c>
      <c r="C654" s="268"/>
      <c r="D654" s="268" t="s">
        <v>138</v>
      </c>
      <c r="E654" s="268" t="s">
        <v>141</v>
      </c>
      <c r="F654" s="268" t="s">
        <v>79</v>
      </c>
      <c r="G654" s="268" t="s">
        <v>80</v>
      </c>
      <c r="H654" s="270">
        <v>215.0</v>
      </c>
      <c r="I654" s="270"/>
      <c r="J654" s="270"/>
      <c r="K654" s="270"/>
      <c r="L654" s="270"/>
      <c r="M654" s="270"/>
      <c r="N654" s="270"/>
      <c r="O654" s="268"/>
      <c r="P654" s="271"/>
    </row>
    <row r="655" ht="15.0" customHeight="1">
      <c r="A655" s="268" t="s">
        <v>12</v>
      </c>
      <c r="B655" s="269">
        <v>46108.0</v>
      </c>
      <c r="C655" s="268"/>
      <c r="D655" s="268" t="s">
        <v>97</v>
      </c>
      <c r="E655" s="268" t="s">
        <v>141</v>
      </c>
      <c r="F655" s="268" t="s">
        <v>79</v>
      </c>
      <c r="G655" s="268" t="s">
        <v>80</v>
      </c>
      <c r="H655" s="270">
        <v>231.0</v>
      </c>
      <c r="I655" s="270"/>
      <c r="J655" s="270"/>
      <c r="K655" s="270"/>
      <c r="L655" s="270"/>
      <c r="M655" s="270"/>
      <c r="N655" s="270"/>
      <c r="O655" s="268"/>
      <c r="P655" s="271"/>
    </row>
    <row r="656" ht="15.0" customHeight="1">
      <c r="A656" s="268" t="s">
        <v>12</v>
      </c>
      <c r="B656" s="269">
        <v>46109.0</v>
      </c>
      <c r="C656" s="268"/>
      <c r="D656" s="268" t="s">
        <v>153</v>
      </c>
      <c r="E656" s="268" t="s">
        <v>141</v>
      </c>
      <c r="F656" s="268" t="s">
        <v>79</v>
      </c>
      <c r="G656" s="268" t="s">
        <v>80</v>
      </c>
      <c r="H656" s="270">
        <v>150.0</v>
      </c>
      <c r="I656" s="270"/>
      <c r="J656" s="270"/>
      <c r="K656" s="270"/>
      <c r="L656" s="270"/>
      <c r="M656" s="270"/>
      <c r="N656" s="270"/>
      <c r="O656" s="268"/>
      <c r="P656" s="271"/>
    </row>
    <row r="657" ht="15.0" customHeight="1">
      <c r="A657" s="268" t="s">
        <v>12</v>
      </c>
      <c r="B657" s="269">
        <v>46109.0</v>
      </c>
      <c r="C657" s="268"/>
      <c r="D657" s="268" t="s">
        <v>123</v>
      </c>
      <c r="E657" s="268" t="s">
        <v>141</v>
      </c>
      <c r="F657" s="268" t="s">
        <v>79</v>
      </c>
      <c r="G657" s="268" t="s">
        <v>80</v>
      </c>
      <c r="H657" s="270">
        <v>500.0</v>
      </c>
      <c r="I657" s="270"/>
      <c r="J657" s="270"/>
      <c r="K657" s="270"/>
      <c r="L657" s="270"/>
      <c r="M657" s="270"/>
      <c r="N657" s="270"/>
      <c r="O657" s="268"/>
      <c r="P657" s="271"/>
    </row>
    <row r="658" ht="15.0" customHeight="1">
      <c r="A658" s="268" t="s">
        <v>12</v>
      </c>
      <c r="B658" s="269">
        <v>46109.0</v>
      </c>
      <c r="C658" s="268"/>
      <c r="D658" s="268" t="s">
        <v>118</v>
      </c>
      <c r="E658" s="268" t="s">
        <v>141</v>
      </c>
      <c r="F658" s="268" t="s">
        <v>79</v>
      </c>
      <c r="G658" s="268" t="s">
        <v>80</v>
      </c>
      <c r="H658" s="270">
        <v>385.0</v>
      </c>
      <c r="I658" s="270"/>
      <c r="J658" s="270"/>
      <c r="K658" s="270"/>
      <c r="L658" s="270"/>
      <c r="M658" s="270"/>
      <c r="N658" s="270"/>
      <c r="O658" s="268"/>
      <c r="P658" s="271"/>
    </row>
    <row r="659" ht="15.0" customHeight="1">
      <c r="A659" s="268" t="s">
        <v>12</v>
      </c>
      <c r="B659" s="269">
        <v>46109.0</v>
      </c>
      <c r="C659" s="268"/>
      <c r="D659" s="268" t="s">
        <v>145</v>
      </c>
      <c r="E659" s="268" t="s">
        <v>141</v>
      </c>
      <c r="F659" s="268" t="s">
        <v>79</v>
      </c>
      <c r="G659" s="268" t="s">
        <v>80</v>
      </c>
      <c r="H659" s="270">
        <v>215.0</v>
      </c>
      <c r="I659" s="270"/>
      <c r="J659" s="270"/>
      <c r="K659" s="270"/>
      <c r="L659" s="270"/>
      <c r="M659" s="270"/>
      <c r="N659" s="270"/>
      <c r="O659" s="268"/>
      <c r="P659" s="271"/>
    </row>
    <row r="660" ht="15.0" customHeight="1">
      <c r="A660" s="268" t="s">
        <v>12</v>
      </c>
      <c r="B660" s="269">
        <v>46110.0</v>
      </c>
      <c r="C660" s="268"/>
      <c r="D660" s="268" t="s">
        <v>159</v>
      </c>
      <c r="E660" s="268" t="s">
        <v>141</v>
      </c>
      <c r="F660" s="268" t="s">
        <v>79</v>
      </c>
      <c r="G660" s="268" t="s">
        <v>80</v>
      </c>
      <c r="H660" s="270">
        <v>150.0</v>
      </c>
      <c r="I660" s="270"/>
      <c r="J660" s="270"/>
      <c r="K660" s="270"/>
      <c r="L660" s="270"/>
      <c r="M660" s="270"/>
      <c r="N660" s="270"/>
      <c r="O660" s="268"/>
      <c r="P660" s="271"/>
    </row>
    <row r="661" ht="15.0" customHeight="1">
      <c r="A661" s="268" t="s">
        <v>12</v>
      </c>
      <c r="B661" s="269">
        <v>46110.0</v>
      </c>
      <c r="C661" s="268"/>
      <c r="D661" s="268" t="s">
        <v>99</v>
      </c>
      <c r="E661" s="268" t="s">
        <v>141</v>
      </c>
      <c r="F661" s="268" t="s">
        <v>79</v>
      </c>
      <c r="G661" s="268" t="s">
        <v>80</v>
      </c>
      <c r="H661" s="270">
        <v>282.0</v>
      </c>
      <c r="I661" s="270"/>
      <c r="J661" s="270"/>
      <c r="K661" s="270"/>
      <c r="L661" s="270"/>
      <c r="M661" s="270"/>
      <c r="N661" s="270"/>
      <c r="O661" s="268"/>
      <c r="P661" s="271"/>
    </row>
    <row r="662" ht="15.0" customHeight="1">
      <c r="A662" s="268" t="s">
        <v>12</v>
      </c>
      <c r="B662" s="269">
        <v>46110.0</v>
      </c>
      <c r="C662" s="268"/>
      <c r="D662" s="268" t="s">
        <v>96</v>
      </c>
      <c r="E662" s="268" t="s">
        <v>141</v>
      </c>
      <c r="F662" s="268" t="s">
        <v>79</v>
      </c>
      <c r="G662" s="268" t="s">
        <v>80</v>
      </c>
      <c r="H662" s="270">
        <v>365.0</v>
      </c>
      <c r="I662" s="270"/>
      <c r="J662" s="270"/>
      <c r="K662" s="270"/>
      <c r="L662" s="270"/>
      <c r="M662" s="270"/>
      <c r="N662" s="270"/>
      <c r="O662" s="268"/>
      <c r="P662" s="271"/>
    </row>
    <row r="663" ht="15.0" customHeight="1">
      <c r="A663" s="268" t="s">
        <v>12</v>
      </c>
      <c r="B663" s="269">
        <v>46110.0</v>
      </c>
      <c r="C663" s="268"/>
      <c r="D663" s="268" t="s">
        <v>116</v>
      </c>
      <c r="E663" s="268" t="s">
        <v>141</v>
      </c>
      <c r="F663" s="268" t="s">
        <v>79</v>
      </c>
      <c r="G663" s="268" t="s">
        <v>80</v>
      </c>
      <c r="H663" s="270">
        <v>316.0</v>
      </c>
      <c r="I663" s="270"/>
      <c r="J663" s="270"/>
      <c r="K663" s="270"/>
      <c r="L663" s="270"/>
      <c r="M663" s="270"/>
      <c r="N663" s="270"/>
      <c r="O663" s="268"/>
      <c r="P663" s="271"/>
    </row>
    <row r="664" ht="15.0" customHeight="1">
      <c r="A664" s="268" t="s">
        <v>12</v>
      </c>
      <c r="B664" s="269">
        <v>46110.0</v>
      </c>
      <c r="C664" s="268"/>
      <c r="D664" s="268" t="s">
        <v>102</v>
      </c>
      <c r="E664" s="268" t="s">
        <v>141</v>
      </c>
      <c r="F664" s="268" t="s">
        <v>79</v>
      </c>
      <c r="G664" s="268" t="s">
        <v>80</v>
      </c>
      <c r="H664" s="270">
        <v>230.0</v>
      </c>
      <c r="I664" s="270"/>
      <c r="J664" s="270"/>
      <c r="K664" s="270"/>
      <c r="L664" s="270"/>
      <c r="M664" s="270"/>
      <c r="N664" s="270"/>
      <c r="O664" s="268"/>
      <c r="P664" s="271"/>
    </row>
    <row r="665" ht="15.0" customHeight="1">
      <c r="A665" s="268" t="s">
        <v>12</v>
      </c>
      <c r="B665" s="269">
        <v>46110.0</v>
      </c>
      <c r="C665" s="268"/>
      <c r="D665" s="268" t="s">
        <v>98</v>
      </c>
      <c r="E665" s="268" t="s">
        <v>141</v>
      </c>
      <c r="F665" s="268" t="s">
        <v>79</v>
      </c>
      <c r="G665" s="268" t="s">
        <v>80</v>
      </c>
      <c r="H665" s="270">
        <v>188.0</v>
      </c>
      <c r="I665" s="270"/>
      <c r="J665" s="270"/>
      <c r="K665" s="270"/>
      <c r="L665" s="270"/>
      <c r="M665" s="270"/>
      <c r="N665" s="270"/>
      <c r="O665" s="268"/>
      <c r="P665" s="271"/>
    </row>
    <row r="666" ht="15.0" customHeight="1">
      <c r="A666" s="268" t="s">
        <v>12</v>
      </c>
      <c r="B666" s="269">
        <v>46110.0</v>
      </c>
      <c r="C666" s="268"/>
      <c r="D666" s="268" t="s">
        <v>112</v>
      </c>
      <c r="E666" s="268" t="s">
        <v>141</v>
      </c>
      <c r="F666" s="268" t="s">
        <v>79</v>
      </c>
      <c r="G666" s="268" t="s">
        <v>80</v>
      </c>
      <c r="H666" s="270">
        <v>254.0</v>
      </c>
      <c r="I666" s="270"/>
      <c r="J666" s="270"/>
      <c r="K666" s="270"/>
      <c r="L666" s="270"/>
      <c r="M666" s="270"/>
      <c r="N666" s="270"/>
      <c r="O666" s="268"/>
      <c r="P666" s="271"/>
    </row>
    <row r="667" ht="15.0" customHeight="1">
      <c r="A667" s="268" t="s">
        <v>12</v>
      </c>
      <c r="B667" s="269">
        <v>46111.0</v>
      </c>
      <c r="C667" s="268"/>
      <c r="D667" s="268" t="s">
        <v>123</v>
      </c>
      <c r="E667" s="268" t="s">
        <v>141</v>
      </c>
      <c r="F667" s="268" t="s">
        <v>79</v>
      </c>
      <c r="G667" s="268" t="s">
        <v>80</v>
      </c>
      <c r="H667" s="270">
        <v>483.0</v>
      </c>
      <c r="I667" s="270"/>
      <c r="J667" s="270"/>
      <c r="K667" s="270"/>
      <c r="L667" s="270"/>
      <c r="M667" s="270"/>
      <c r="N667" s="270"/>
      <c r="O667" s="268"/>
      <c r="P667" s="271"/>
    </row>
    <row r="668" ht="15.0" customHeight="1">
      <c r="A668" s="268" t="s">
        <v>12</v>
      </c>
      <c r="B668" s="269">
        <v>46111.0</v>
      </c>
      <c r="C668" s="268"/>
      <c r="D668" s="268" t="s">
        <v>133</v>
      </c>
      <c r="E668" s="268" t="s">
        <v>141</v>
      </c>
      <c r="F668" s="268" t="s">
        <v>79</v>
      </c>
      <c r="G668" s="268" t="s">
        <v>80</v>
      </c>
      <c r="H668" s="270">
        <v>40.0</v>
      </c>
      <c r="I668" s="270"/>
      <c r="J668" s="270"/>
      <c r="K668" s="270"/>
      <c r="L668" s="270"/>
      <c r="M668" s="270"/>
      <c r="N668" s="270"/>
      <c r="O668" s="268"/>
      <c r="P668" s="271"/>
    </row>
    <row r="669" ht="15.0" customHeight="1">
      <c r="A669" s="268" t="s">
        <v>12</v>
      </c>
      <c r="B669" s="269">
        <v>46111.0</v>
      </c>
      <c r="C669" s="268"/>
      <c r="D669" s="268" t="s">
        <v>117</v>
      </c>
      <c r="E669" s="268" t="s">
        <v>141</v>
      </c>
      <c r="F669" s="268" t="s">
        <v>79</v>
      </c>
      <c r="G669" s="268" t="s">
        <v>80</v>
      </c>
      <c r="H669" s="270">
        <v>174.0</v>
      </c>
      <c r="I669" s="270"/>
      <c r="J669" s="270"/>
      <c r="K669" s="270"/>
      <c r="L669" s="270"/>
      <c r="M669" s="270"/>
      <c r="N669" s="270"/>
      <c r="O669" s="268"/>
      <c r="P669" s="271"/>
    </row>
    <row r="670" ht="15.0" customHeight="1">
      <c r="A670" s="268" t="s">
        <v>12</v>
      </c>
      <c r="B670" s="269">
        <v>46111.0</v>
      </c>
      <c r="C670" s="268"/>
      <c r="D670" s="268" t="s">
        <v>136</v>
      </c>
      <c r="E670" s="268" t="s">
        <v>141</v>
      </c>
      <c r="F670" s="268" t="s">
        <v>79</v>
      </c>
      <c r="G670" s="268" t="s">
        <v>80</v>
      </c>
      <c r="H670" s="270">
        <v>58.0</v>
      </c>
      <c r="I670" s="270"/>
      <c r="J670" s="270"/>
      <c r="K670" s="270"/>
      <c r="L670" s="270"/>
      <c r="M670" s="270"/>
      <c r="N670" s="270"/>
      <c r="O670" s="268"/>
      <c r="P670" s="271"/>
    </row>
    <row r="671" ht="15.0" customHeight="1">
      <c r="A671" s="268" t="s">
        <v>12</v>
      </c>
      <c r="B671" s="269">
        <v>46111.0</v>
      </c>
      <c r="C671" s="268"/>
      <c r="D671" s="268" t="s">
        <v>164</v>
      </c>
      <c r="E671" s="268" t="s">
        <v>163</v>
      </c>
      <c r="F671" s="268" t="s">
        <v>79</v>
      </c>
      <c r="G671" s="268" t="s">
        <v>80</v>
      </c>
      <c r="H671" s="270">
        <v>185.0</v>
      </c>
      <c r="I671" s="270"/>
      <c r="J671" s="270"/>
      <c r="K671" s="270"/>
      <c r="L671" s="270"/>
      <c r="M671" s="270"/>
      <c r="N671" s="270"/>
      <c r="O671" s="268"/>
      <c r="P671" s="271"/>
    </row>
    <row r="672" ht="15.0" customHeight="1">
      <c r="A672" s="268" t="s">
        <v>12</v>
      </c>
      <c r="B672" s="269">
        <v>46111.0</v>
      </c>
      <c r="C672" s="268"/>
      <c r="D672" s="268" t="s">
        <v>333</v>
      </c>
      <c r="E672" s="268" t="s">
        <v>163</v>
      </c>
      <c r="F672" s="268" t="s">
        <v>79</v>
      </c>
      <c r="G672" s="268" t="s">
        <v>80</v>
      </c>
      <c r="H672" s="270">
        <v>647.0</v>
      </c>
      <c r="I672" s="270"/>
      <c r="J672" s="270"/>
      <c r="K672" s="270"/>
      <c r="L672" s="270"/>
      <c r="M672" s="270"/>
      <c r="N672" s="270"/>
      <c r="O672" s="268"/>
      <c r="P672" s="271"/>
    </row>
    <row r="673" ht="15.0" customHeight="1">
      <c r="A673" s="268" t="s">
        <v>12</v>
      </c>
      <c r="B673" s="269">
        <v>46111.0</v>
      </c>
      <c r="C673" s="268"/>
      <c r="D673" s="268" t="s">
        <v>162</v>
      </c>
      <c r="E673" s="268" t="s">
        <v>163</v>
      </c>
      <c r="F673" s="268" t="s">
        <v>79</v>
      </c>
      <c r="G673" s="268" t="s">
        <v>80</v>
      </c>
      <c r="H673" s="270">
        <v>1600.0</v>
      </c>
      <c r="I673" s="270"/>
      <c r="J673" s="270"/>
      <c r="K673" s="270"/>
      <c r="L673" s="270"/>
      <c r="M673" s="270"/>
      <c r="N673" s="270"/>
      <c r="O673" s="268"/>
      <c r="P673" s="271"/>
    </row>
    <row r="674" ht="15.0" customHeight="1">
      <c r="A674" s="268" t="s">
        <v>12</v>
      </c>
      <c r="B674" s="269">
        <v>46111.0</v>
      </c>
      <c r="C674" s="268"/>
      <c r="D674" s="268" t="s">
        <v>133</v>
      </c>
      <c r="E674" s="268" t="s">
        <v>93</v>
      </c>
      <c r="F674" s="268" t="s">
        <v>79</v>
      </c>
      <c r="G674" s="268" t="s">
        <v>93</v>
      </c>
      <c r="H674" s="270">
        <v>20.0</v>
      </c>
      <c r="I674" s="270"/>
      <c r="J674" s="270"/>
      <c r="K674" s="270"/>
      <c r="L674" s="270"/>
      <c r="M674" s="270"/>
      <c r="N674" s="270"/>
      <c r="O674" s="268"/>
      <c r="P674" s="271"/>
    </row>
    <row r="675" ht="15.0" customHeight="1">
      <c r="A675" s="268" t="s">
        <v>16</v>
      </c>
      <c r="B675" s="269">
        <v>46111.0</v>
      </c>
      <c r="C675" s="268"/>
      <c r="D675" s="268"/>
      <c r="E675" s="268" t="s">
        <v>83</v>
      </c>
      <c r="F675" s="268" t="s">
        <v>565</v>
      </c>
      <c r="G675" s="268" t="s">
        <v>80</v>
      </c>
      <c r="H675" s="270">
        <v>15850.0</v>
      </c>
      <c r="I675" s="270"/>
      <c r="J675" s="270"/>
      <c r="K675" s="270"/>
      <c r="L675" s="270"/>
      <c r="M675" s="270"/>
      <c r="N675" s="270"/>
      <c r="O675" s="268"/>
      <c r="P675" s="271"/>
    </row>
    <row r="676" ht="15.0" customHeight="1">
      <c r="A676" s="268" t="s">
        <v>12</v>
      </c>
      <c r="B676" s="269">
        <v>46112.0</v>
      </c>
      <c r="C676" s="268"/>
      <c r="D676" s="268" t="s">
        <v>88</v>
      </c>
      <c r="E676" s="268" t="s">
        <v>149</v>
      </c>
      <c r="F676" s="268" t="s">
        <v>150</v>
      </c>
      <c r="G676" s="268" t="s">
        <v>80</v>
      </c>
      <c r="H676" s="270">
        <v>1595.316</v>
      </c>
      <c r="I676" s="270"/>
      <c r="J676" s="270"/>
      <c r="K676" s="270"/>
      <c r="L676" s="270"/>
      <c r="M676" s="270"/>
      <c r="N676" s="270"/>
      <c r="O676" s="268" t="s">
        <v>568</v>
      </c>
      <c r="P676" s="271"/>
    </row>
    <row r="677" ht="15.0" customHeight="1">
      <c r="A677" s="268" t="s">
        <v>12</v>
      </c>
      <c r="B677" s="269">
        <v>46112.0</v>
      </c>
      <c r="C677" s="268"/>
      <c r="D677" s="268" t="s">
        <v>123</v>
      </c>
      <c r="E677" s="268" t="s">
        <v>149</v>
      </c>
      <c r="F677" s="268" t="s">
        <v>150</v>
      </c>
      <c r="G677" s="268" t="s">
        <v>80</v>
      </c>
      <c r="H677" s="270">
        <v>1215.003</v>
      </c>
      <c r="I677" s="270"/>
      <c r="J677" s="270"/>
      <c r="K677" s="270"/>
      <c r="L677" s="270"/>
      <c r="M677" s="270"/>
      <c r="N677" s="270"/>
      <c r="O677" s="268" t="s">
        <v>568</v>
      </c>
      <c r="P677" s="271"/>
    </row>
    <row r="678" ht="15.0" customHeight="1">
      <c r="A678" s="268" t="s">
        <v>12</v>
      </c>
      <c r="B678" s="269">
        <v>46112.0</v>
      </c>
      <c r="C678" s="268"/>
      <c r="D678" s="268" t="s">
        <v>116</v>
      </c>
      <c r="E678" s="268" t="s">
        <v>149</v>
      </c>
      <c r="F678" s="268" t="s">
        <v>150</v>
      </c>
      <c r="G678" s="268" t="s">
        <v>80</v>
      </c>
      <c r="H678" s="270">
        <v>1435.454</v>
      </c>
      <c r="I678" s="270"/>
      <c r="J678" s="270"/>
      <c r="K678" s="270"/>
      <c r="L678" s="270"/>
      <c r="M678" s="270"/>
      <c r="N678" s="270"/>
      <c r="O678" s="268" t="s">
        <v>568</v>
      </c>
      <c r="P678" s="271"/>
    </row>
    <row r="679" ht="15.0" customHeight="1">
      <c r="A679" s="268" t="s">
        <v>12</v>
      </c>
      <c r="B679" s="269">
        <v>46112.0</v>
      </c>
      <c r="C679" s="268"/>
      <c r="D679" s="268" t="s">
        <v>103</v>
      </c>
      <c r="E679" s="268" t="s">
        <v>141</v>
      </c>
      <c r="F679" s="268" t="s">
        <v>79</v>
      </c>
      <c r="G679" s="268" t="s">
        <v>80</v>
      </c>
      <c r="H679" s="270">
        <v>85.0</v>
      </c>
      <c r="I679" s="270"/>
      <c r="J679" s="270"/>
      <c r="K679" s="270"/>
      <c r="L679" s="270"/>
      <c r="M679" s="270"/>
      <c r="N679" s="270"/>
      <c r="O679" s="268"/>
      <c r="P679" s="271"/>
    </row>
    <row r="680" ht="15.0" customHeight="1">
      <c r="A680" s="268" t="s">
        <v>12</v>
      </c>
      <c r="B680" s="269">
        <v>46112.0</v>
      </c>
      <c r="C680" s="268"/>
      <c r="D680" s="268" t="s">
        <v>106</v>
      </c>
      <c r="E680" s="268" t="s">
        <v>110</v>
      </c>
      <c r="F680" s="268" t="s">
        <v>79</v>
      </c>
      <c r="G680" s="268" t="s">
        <v>110</v>
      </c>
      <c r="H680" s="270">
        <v>20.0</v>
      </c>
      <c r="I680" s="270"/>
      <c r="J680" s="270"/>
      <c r="K680" s="270"/>
      <c r="L680" s="270"/>
      <c r="M680" s="270"/>
      <c r="N680" s="270"/>
      <c r="O680" s="268"/>
      <c r="P680" s="271"/>
    </row>
    <row r="681" ht="15.0" customHeight="1">
      <c r="A681" s="268" t="s">
        <v>12</v>
      </c>
      <c r="B681" s="269">
        <v>46113.0</v>
      </c>
      <c r="C681" s="268"/>
      <c r="D681" s="268" t="s">
        <v>97</v>
      </c>
      <c r="E681" s="268" t="s">
        <v>141</v>
      </c>
      <c r="F681" s="268" t="s">
        <v>79</v>
      </c>
      <c r="G681" s="268" t="s">
        <v>80</v>
      </c>
      <c r="H681" s="270">
        <v>188.0</v>
      </c>
      <c r="I681" s="270"/>
      <c r="J681" s="270"/>
      <c r="K681" s="270"/>
      <c r="L681" s="270"/>
      <c r="M681" s="270"/>
      <c r="N681" s="270"/>
      <c r="O681" s="268"/>
      <c r="P681" s="271"/>
    </row>
    <row r="682" ht="15.0" customHeight="1">
      <c r="A682" s="268" t="s">
        <v>12</v>
      </c>
      <c r="B682" s="269">
        <v>46114.0</v>
      </c>
      <c r="C682" s="268"/>
      <c r="D682" s="268" t="s">
        <v>123</v>
      </c>
      <c r="E682" s="268" t="s">
        <v>141</v>
      </c>
      <c r="F682" s="268" t="s">
        <v>79</v>
      </c>
      <c r="G682" s="268" t="s">
        <v>80</v>
      </c>
      <c r="H682" s="270">
        <v>500.0</v>
      </c>
      <c r="I682" s="270"/>
      <c r="J682" s="270"/>
      <c r="K682" s="270"/>
      <c r="L682" s="270"/>
      <c r="M682" s="270"/>
      <c r="N682" s="270"/>
      <c r="O682" s="268"/>
      <c r="P682" s="271"/>
    </row>
    <row r="683" ht="15.0" customHeight="1">
      <c r="A683" s="268" t="s">
        <v>12</v>
      </c>
      <c r="B683" s="269">
        <v>46114.0</v>
      </c>
      <c r="C683" s="268"/>
      <c r="D683" s="268" t="s">
        <v>89</v>
      </c>
      <c r="E683" s="268" t="s">
        <v>141</v>
      </c>
      <c r="F683" s="268" t="s">
        <v>79</v>
      </c>
      <c r="G683" s="268" t="s">
        <v>80</v>
      </c>
      <c r="H683" s="270">
        <v>46.0</v>
      </c>
      <c r="I683" s="270"/>
      <c r="J683" s="270"/>
      <c r="K683" s="270"/>
      <c r="L683" s="270"/>
      <c r="M683" s="270"/>
      <c r="N683" s="270"/>
      <c r="O683" s="268"/>
      <c r="P683" s="271"/>
    </row>
    <row r="684" ht="15.0" customHeight="1">
      <c r="A684" s="268" t="s">
        <v>12</v>
      </c>
      <c r="B684" s="269">
        <v>46114.0</v>
      </c>
      <c r="C684" s="268"/>
      <c r="D684" s="268" t="s">
        <v>114</v>
      </c>
      <c r="E684" s="268" t="s">
        <v>141</v>
      </c>
      <c r="F684" s="268" t="s">
        <v>79</v>
      </c>
      <c r="G684" s="268" t="s">
        <v>80</v>
      </c>
      <c r="H684" s="270">
        <v>225.0</v>
      </c>
      <c r="I684" s="270"/>
      <c r="J684" s="270"/>
      <c r="K684" s="270"/>
      <c r="L684" s="270"/>
      <c r="M684" s="270"/>
      <c r="N684" s="270"/>
      <c r="O684" s="268"/>
      <c r="P684" s="271"/>
    </row>
    <row r="685" ht="15.0" customHeight="1">
      <c r="A685" s="268" t="s">
        <v>12</v>
      </c>
      <c r="B685" s="269">
        <v>46115.0</v>
      </c>
      <c r="C685" s="268"/>
      <c r="D685" s="268" t="s">
        <v>88</v>
      </c>
      <c r="E685" s="268" t="s">
        <v>141</v>
      </c>
      <c r="F685" s="268" t="s">
        <v>79</v>
      </c>
      <c r="G685" s="268" t="s">
        <v>80</v>
      </c>
      <c r="H685" s="270">
        <v>343.0</v>
      </c>
      <c r="I685" s="270"/>
      <c r="J685" s="270"/>
      <c r="K685" s="270"/>
      <c r="L685" s="270"/>
      <c r="M685" s="270"/>
      <c r="N685" s="270"/>
      <c r="O685" s="268"/>
      <c r="P685" s="271"/>
    </row>
    <row r="686" ht="15.0" customHeight="1">
      <c r="A686" s="268" t="s">
        <v>12</v>
      </c>
      <c r="B686" s="269">
        <v>46115.0</v>
      </c>
      <c r="C686" s="268"/>
      <c r="D686" s="268" t="s">
        <v>84</v>
      </c>
      <c r="E686" s="268" t="s">
        <v>141</v>
      </c>
      <c r="F686" s="268" t="s">
        <v>79</v>
      </c>
      <c r="G686" s="268" t="s">
        <v>80</v>
      </c>
      <c r="H686" s="270">
        <v>42.0</v>
      </c>
      <c r="I686" s="270"/>
      <c r="J686" s="270"/>
      <c r="K686" s="270"/>
      <c r="L686" s="270"/>
      <c r="M686" s="270"/>
      <c r="N686" s="270"/>
      <c r="O686" s="268"/>
      <c r="P686" s="271"/>
    </row>
    <row r="687" ht="15.0" customHeight="1">
      <c r="A687" s="268" t="s">
        <v>12</v>
      </c>
      <c r="B687" s="269">
        <v>46115.0</v>
      </c>
      <c r="C687" s="268"/>
      <c r="D687" s="268" t="s">
        <v>336</v>
      </c>
      <c r="E687" s="268" t="s">
        <v>141</v>
      </c>
      <c r="F687" s="268" t="s">
        <v>79</v>
      </c>
      <c r="G687" s="268" t="s">
        <v>80</v>
      </c>
      <c r="H687" s="270">
        <v>195.0</v>
      </c>
      <c r="I687" s="270"/>
      <c r="J687" s="270"/>
      <c r="K687" s="270"/>
      <c r="L687" s="270"/>
      <c r="M687" s="270"/>
      <c r="N687" s="270"/>
      <c r="O687" s="268"/>
      <c r="P687" s="271"/>
    </row>
    <row r="688" ht="15.0" customHeight="1">
      <c r="A688" s="268" t="s">
        <v>12</v>
      </c>
      <c r="B688" s="269">
        <v>46115.0</v>
      </c>
      <c r="C688" s="268"/>
      <c r="D688" s="268" t="s">
        <v>86</v>
      </c>
      <c r="E688" s="268" t="s">
        <v>141</v>
      </c>
      <c r="F688" s="268" t="s">
        <v>79</v>
      </c>
      <c r="G688" s="268" t="s">
        <v>80</v>
      </c>
      <c r="H688" s="270">
        <v>238.0</v>
      </c>
      <c r="I688" s="270"/>
      <c r="J688" s="270"/>
      <c r="K688" s="270"/>
      <c r="L688" s="270"/>
      <c r="M688" s="270"/>
      <c r="N688" s="270"/>
      <c r="O688" s="268"/>
      <c r="P688" s="271"/>
    </row>
    <row r="689" ht="15.0" customHeight="1">
      <c r="A689" s="268" t="s">
        <v>12</v>
      </c>
      <c r="B689" s="269">
        <v>46115.0</v>
      </c>
      <c r="C689" s="268"/>
      <c r="D689" s="268" t="s">
        <v>113</v>
      </c>
      <c r="E689" s="268" t="s">
        <v>141</v>
      </c>
      <c r="F689" s="268" t="s">
        <v>79</v>
      </c>
      <c r="G689" s="268" t="s">
        <v>80</v>
      </c>
      <c r="H689" s="270">
        <v>220.0</v>
      </c>
      <c r="I689" s="270"/>
      <c r="J689" s="270"/>
      <c r="K689" s="270"/>
      <c r="L689" s="270"/>
      <c r="M689" s="270"/>
      <c r="N689" s="270"/>
      <c r="O689" s="268"/>
      <c r="P689" s="271"/>
    </row>
    <row r="690" ht="15.0" customHeight="1">
      <c r="A690" s="268" t="s">
        <v>12</v>
      </c>
      <c r="B690" s="269">
        <v>46115.0</v>
      </c>
      <c r="C690" s="268"/>
      <c r="D690" s="268" t="s">
        <v>98</v>
      </c>
      <c r="E690" s="268" t="s">
        <v>141</v>
      </c>
      <c r="F690" s="268" t="s">
        <v>79</v>
      </c>
      <c r="G690" s="268" t="s">
        <v>80</v>
      </c>
      <c r="H690" s="270">
        <v>164.0</v>
      </c>
      <c r="I690" s="270"/>
      <c r="J690" s="270"/>
      <c r="K690" s="270"/>
      <c r="L690" s="270"/>
      <c r="M690" s="270"/>
      <c r="N690" s="270"/>
      <c r="O690" s="268"/>
      <c r="P690" s="271"/>
    </row>
    <row r="691" ht="15.0" customHeight="1">
      <c r="A691" s="268" t="s">
        <v>12</v>
      </c>
      <c r="B691" s="269">
        <v>46115.0</v>
      </c>
      <c r="C691" s="268"/>
      <c r="D691" s="268" t="s">
        <v>101</v>
      </c>
      <c r="E691" s="268" t="s">
        <v>141</v>
      </c>
      <c r="F691" s="268" t="s">
        <v>79</v>
      </c>
      <c r="G691" s="268" t="s">
        <v>80</v>
      </c>
      <c r="H691" s="270">
        <v>210.0</v>
      </c>
      <c r="I691" s="270"/>
      <c r="J691" s="270"/>
      <c r="K691" s="270"/>
      <c r="L691" s="270"/>
      <c r="M691" s="270"/>
      <c r="N691" s="270"/>
      <c r="O691" s="268"/>
      <c r="P691" s="271"/>
    </row>
    <row r="692" ht="15.0" customHeight="1">
      <c r="A692" s="268" t="s">
        <v>12</v>
      </c>
      <c r="B692" s="269">
        <v>46116.0</v>
      </c>
      <c r="C692" s="268"/>
      <c r="D692" s="268" t="s">
        <v>159</v>
      </c>
      <c r="E692" s="268" t="s">
        <v>141</v>
      </c>
      <c r="F692" s="268" t="s">
        <v>79</v>
      </c>
      <c r="G692" s="268" t="s">
        <v>80</v>
      </c>
      <c r="H692" s="270">
        <v>130.0</v>
      </c>
      <c r="I692" s="270"/>
      <c r="J692" s="270"/>
      <c r="K692" s="270"/>
      <c r="L692" s="270"/>
      <c r="M692" s="270"/>
      <c r="N692" s="270"/>
      <c r="O692" s="268"/>
      <c r="P692" s="271"/>
    </row>
    <row r="693" ht="15.0" customHeight="1">
      <c r="A693" s="268" t="s">
        <v>12</v>
      </c>
      <c r="B693" s="269">
        <v>46116.0</v>
      </c>
      <c r="C693" s="268"/>
      <c r="D693" s="268" t="s">
        <v>82</v>
      </c>
      <c r="E693" s="268" t="s">
        <v>141</v>
      </c>
      <c r="F693" s="268" t="s">
        <v>79</v>
      </c>
      <c r="G693" s="268" t="s">
        <v>80</v>
      </c>
      <c r="H693" s="270">
        <v>320.0</v>
      </c>
      <c r="I693" s="270"/>
      <c r="J693" s="270"/>
      <c r="K693" s="270"/>
      <c r="L693" s="270"/>
      <c r="M693" s="270"/>
      <c r="N693" s="270"/>
      <c r="O693" s="268"/>
      <c r="P693" s="271"/>
    </row>
    <row r="694" ht="15.0" customHeight="1">
      <c r="A694" s="268" t="s">
        <v>12</v>
      </c>
      <c r="B694" s="269">
        <v>46116.0</v>
      </c>
      <c r="C694" s="268"/>
      <c r="D694" s="268" t="s">
        <v>100</v>
      </c>
      <c r="E694" s="268" t="s">
        <v>141</v>
      </c>
      <c r="F694" s="268" t="s">
        <v>79</v>
      </c>
      <c r="G694" s="268" t="s">
        <v>80</v>
      </c>
      <c r="H694" s="270">
        <v>271.0</v>
      </c>
      <c r="I694" s="270"/>
      <c r="J694" s="270"/>
      <c r="K694" s="270"/>
      <c r="L694" s="270"/>
      <c r="M694" s="270"/>
      <c r="N694" s="270"/>
      <c r="O694" s="268"/>
      <c r="P694" s="271"/>
    </row>
    <row r="695" ht="15.0" customHeight="1">
      <c r="A695" s="268" t="s">
        <v>12</v>
      </c>
      <c r="B695" s="269">
        <v>46116.0</v>
      </c>
      <c r="C695" s="268"/>
      <c r="D695" s="268" t="s">
        <v>99</v>
      </c>
      <c r="E695" s="268" t="s">
        <v>141</v>
      </c>
      <c r="F695" s="268" t="s">
        <v>79</v>
      </c>
      <c r="G695" s="268" t="s">
        <v>80</v>
      </c>
      <c r="H695" s="270">
        <v>280.0</v>
      </c>
      <c r="I695" s="270"/>
      <c r="J695" s="270"/>
      <c r="K695" s="270"/>
      <c r="L695" s="270"/>
      <c r="M695" s="270"/>
      <c r="N695" s="270"/>
      <c r="O695" s="268"/>
      <c r="P695" s="271"/>
    </row>
    <row r="696" ht="15.0" customHeight="1">
      <c r="A696" s="268" t="s">
        <v>12</v>
      </c>
      <c r="B696" s="269">
        <v>46116.0</v>
      </c>
      <c r="C696" s="268"/>
      <c r="D696" s="268" t="s">
        <v>121</v>
      </c>
      <c r="E696" s="268" t="s">
        <v>141</v>
      </c>
      <c r="F696" s="268" t="s">
        <v>79</v>
      </c>
      <c r="G696" s="268" t="s">
        <v>80</v>
      </c>
      <c r="H696" s="270">
        <v>241.0</v>
      </c>
      <c r="I696" s="270"/>
      <c r="J696" s="270"/>
      <c r="K696" s="270"/>
      <c r="L696" s="270"/>
      <c r="M696" s="270"/>
      <c r="N696" s="270"/>
      <c r="O696" s="268"/>
      <c r="P696" s="271"/>
    </row>
    <row r="697" ht="15.0" customHeight="1">
      <c r="A697" s="268" t="s">
        <v>12</v>
      </c>
      <c r="B697" s="269">
        <v>46116.0</v>
      </c>
      <c r="C697" s="268"/>
      <c r="D697" s="268" t="s">
        <v>129</v>
      </c>
      <c r="E697" s="268" t="s">
        <v>141</v>
      </c>
      <c r="F697" s="268" t="s">
        <v>79</v>
      </c>
      <c r="G697" s="268" t="s">
        <v>80</v>
      </c>
      <c r="H697" s="270">
        <v>258.0</v>
      </c>
      <c r="I697" s="270"/>
      <c r="J697" s="270"/>
      <c r="K697" s="270"/>
      <c r="L697" s="270"/>
      <c r="M697" s="270"/>
      <c r="N697" s="270"/>
      <c r="O697" s="268"/>
      <c r="P697" s="271"/>
    </row>
    <row r="698" ht="15.0" customHeight="1">
      <c r="A698" s="268" t="s">
        <v>12</v>
      </c>
      <c r="B698" s="269">
        <v>46116.0</v>
      </c>
      <c r="C698" s="268"/>
      <c r="D698" s="268" t="s">
        <v>103</v>
      </c>
      <c r="E698" s="268" t="s">
        <v>141</v>
      </c>
      <c r="F698" s="268" t="s">
        <v>79</v>
      </c>
      <c r="G698" s="268" t="s">
        <v>80</v>
      </c>
      <c r="H698" s="270">
        <v>176.0</v>
      </c>
      <c r="I698" s="270"/>
      <c r="J698" s="270"/>
      <c r="K698" s="270"/>
      <c r="L698" s="270"/>
      <c r="M698" s="270"/>
      <c r="N698" s="270"/>
      <c r="O698" s="268"/>
      <c r="P698" s="271"/>
    </row>
    <row r="699" ht="15.0" customHeight="1">
      <c r="A699" s="268" t="s">
        <v>12</v>
      </c>
      <c r="B699" s="269">
        <v>46116.0</v>
      </c>
      <c r="C699" s="268"/>
      <c r="D699" s="268" t="s">
        <v>145</v>
      </c>
      <c r="E699" s="268" t="s">
        <v>141</v>
      </c>
      <c r="F699" s="268" t="s">
        <v>79</v>
      </c>
      <c r="G699" s="268" t="s">
        <v>80</v>
      </c>
      <c r="H699" s="270">
        <v>245.0</v>
      </c>
      <c r="I699" s="270"/>
      <c r="J699" s="270"/>
      <c r="K699" s="270"/>
      <c r="L699" s="270"/>
      <c r="M699" s="270"/>
      <c r="N699" s="270"/>
      <c r="O699" s="268"/>
      <c r="P699" s="271"/>
    </row>
    <row r="700" ht="15.0" customHeight="1">
      <c r="A700" s="268" t="s">
        <v>12</v>
      </c>
      <c r="B700" s="269">
        <v>46116.0</v>
      </c>
      <c r="C700" s="268"/>
      <c r="D700" s="268" t="s">
        <v>102</v>
      </c>
      <c r="E700" s="268" t="s">
        <v>141</v>
      </c>
      <c r="F700" s="268" t="s">
        <v>79</v>
      </c>
      <c r="G700" s="268" t="s">
        <v>80</v>
      </c>
      <c r="H700" s="270">
        <v>230.0</v>
      </c>
      <c r="I700" s="270"/>
      <c r="J700" s="270"/>
      <c r="K700" s="270"/>
      <c r="L700" s="270"/>
      <c r="M700" s="270"/>
      <c r="N700" s="270"/>
      <c r="O700" s="268"/>
      <c r="P700" s="271"/>
    </row>
    <row r="701" ht="15.0" customHeight="1">
      <c r="A701" s="268" t="s">
        <v>12</v>
      </c>
      <c r="B701" s="269">
        <v>46116.0</v>
      </c>
      <c r="C701" s="268"/>
      <c r="D701" s="268" t="s">
        <v>97</v>
      </c>
      <c r="E701" s="268" t="s">
        <v>141</v>
      </c>
      <c r="F701" s="268" t="s">
        <v>79</v>
      </c>
      <c r="G701" s="268" t="s">
        <v>80</v>
      </c>
      <c r="H701" s="270">
        <v>207.0</v>
      </c>
      <c r="I701" s="270"/>
      <c r="J701" s="270"/>
      <c r="K701" s="270"/>
      <c r="L701" s="270"/>
      <c r="M701" s="270"/>
      <c r="N701" s="270"/>
      <c r="O701" s="268"/>
      <c r="P701" s="271"/>
    </row>
    <row r="702" ht="15.0" customHeight="1">
      <c r="A702" s="268" t="s">
        <v>12</v>
      </c>
      <c r="B702" s="269">
        <v>46117.0</v>
      </c>
      <c r="C702" s="268"/>
      <c r="D702" s="268" t="s">
        <v>130</v>
      </c>
      <c r="E702" s="268" t="s">
        <v>141</v>
      </c>
      <c r="F702" s="268" t="s">
        <v>79</v>
      </c>
      <c r="G702" s="268" t="s">
        <v>80</v>
      </c>
      <c r="H702" s="270">
        <v>168.0</v>
      </c>
      <c r="I702" s="270"/>
      <c r="J702" s="270"/>
      <c r="K702" s="270"/>
      <c r="L702" s="270"/>
      <c r="M702" s="270"/>
      <c r="N702" s="270"/>
      <c r="O702" s="268"/>
      <c r="P702" s="271"/>
    </row>
    <row r="703" ht="15.0" customHeight="1">
      <c r="A703" s="268" t="s">
        <v>12</v>
      </c>
      <c r="B703" s="269">
        <v>46117.0</v>
      </c>
      <c r="C703" s="268"/>
      <c r="D703" s="268" t="s">
        <v>123</v>
      </c>
      <c r="E703" s="268" t="s">
        <v>141</v>
      </c>
      <c r="F703" s="268" t="s">
        <v>79</v>
      </c>
      <c r="G703" s="268" t="s">
        <v>80</v>
      </c>
      <c r="H703" s="270">
        <v>500.0</v>
      </c>
      <c r="I703" s="270"/>
      <c r="J703" s="270"/>
      <c r="K703" s="270"/>
      <c r="L703" s="270"/>
      <c r="M703" s="270"/>
      <c r="N703" s="270"/>
      <c r="O703" s="268"/>
      <c r="P703" s="271"/>
    </row>
    <row r="704" ht="15.0" customHeight="1">
      <c r="A704" s="268" t="s">
        <v>12</v>
      </c>
      <c r="B704" s="269">
        <v>46117.0</v>
      </c>
      <c r="C704" s="268"/>
      <c r="D704" s="268" t="s">
        <v>84</v>
      </c>
      <c r="E704" s="268" t="s">
        <v>141</v>
      </c>
      <c r="F704" s="268" t="s">
        <v>79</v>
      </c>
      <c r="G704" s="268" t="s">
        <v>80</v>
      </c>
      <c r="H704" s="270">
        <v>44.0</v>
      </c>
      <c r="I704" s="270"/>
      <c r="J704" s="270"/>
      <c r="K704" s="270"/>
      <c r="L704" s="270"/>
      <c r="M704" s="270"/>
      <c r="N704" s="270"/>
      <c r="O704" s="268"/>
      <c r="P704" s="271"/>
    </row>
    <row r="705" ht="15.0" customHeight="1">
      <c r="A705" s="268" t="s">
        <v>12</v>
      </c>
      <c r="B705" s="269">
        <v>46117.0</v>
      </c>
      <c r="C705" s="268"/>
      <c r="D705" s="268" t="s">
        <v>96</v>
      </c>
      <c r="E705" s="268" t="s">
        <v>141</v>
      </c>
      <c r="F705" s="268" t="s">
        <v>79</v>
      </c>
      <c r="G705" s="268" t="s">
        <v>80</v>
      </c>
      <c r="H705" s="270">
        <v>100.0</v>
      </c>
      <c r="I705" s="270"/>
      <c r="J705" s="270"/>
      <c r="K705" s="270"/>
      <c r="L705" s="270"/>
      <c r="M705" s="270"/>
      <c r="N705" s="270"/>
      <c r="O705" s="268"/>
      <c r="P705" s="271"/>
    </row>
    <row r="706" ht="15.0" customHeight="1">
      <c r="A706" s="268" t="s">
        <v>12</v>
      </c>
      <c r="B706" s="269">
        <v>46117.0</v>
      </c>
      <c r="C706" s="268"/>
      <c r="D706" s="268" t="s">
        <v>133</v>
      </c>
      <c r="E706" s="268" t="s">
        <v>141</v>
      </c>
      <c r="F706" s="268" t="s">
        <v>79</v>
      </c>
      <c r="G706" s="268" t="s">
        <v>80</v>
      </c>
      <c r="H706" s="270">
        <v>251.0</v>
      </c>
      <c r="I706" s="270"/>
      <c r="J706" s="270"/>
      <c r="K706" s="270"/>
      <c r="L706" s="270"/>
      <c r="M706" s="270"/>
      <c r="N706" s="270"/>
      <c r="O706" s="268"/>
      <c r="P706" s="271"/>
    </row>
    <row r="707" ht="15.0" customHeight="1">
      <c r="A707" s="268" t="s">
        <v>12</v>
      </c>
      <c r="B707" s="269">
        <v>46117.0</v>
      </c>
      <c r="C707" s="268"/>
      <c r="D707" s="268" t="s">
        <v>117</v>
      </c>
      <c r="E707" s="268" t="s">
        <v>141</v>
      </c>
      <c r="F707" s="268" t="s">
        <v>79</v>
      </c>
      <c r="G707" s="268" t="s">
        <v>80</v>
      </c>
      <c r="H707" s="270">
        <v>178.0</v>
      </c>
      <c r="I707" s="270"/>
      <c r="J707" s="270"/>
      <c r="K707" s="270"/>
      <c r="L707" s="270"/>
      <c r="M707" s="270"/>
      <c r="N707" s="270"/>
      <c r="O707" s="268"/>
      <c r="P707" s="271"/>
    </row>
    <row r="708" ht="15.0" customHeight="1">
      <c r="A708" s="268" t="s">
        <v>12</v>
      </c>
      <c r="B708" s="269">
        <v>46117.0</v>
      </c>
      <c r="C708" s="268"/>
      <c r="D708" s="268" t="s">
        <v>116</v>
      </c>
      <c r="E708" s="268" t="s">
        <v>141</v>
      </c>
      <c r="F708" s="268" t="s">
        <v>79</v>
      </c>
      <c r="G708" s="268" t="s">
        <v>80</v>
      </c>
      <c r="H708" s="270">
        <v>293.0</v>
      </c>
      <c r="I708" s="270"/>
      <c r="J708" s="270"/>
      <c r="K708" s="270"/>
      <c r="L708" s="270"/>
      <c r="M708" s="270"/>
      <c r="N708" s="270"/>
      <c r="O708" s="268"/>
      <c r="P708" s="271"/>
    </row>
    <row r="709" ht="15.0" customHeight="1">
      <c r="A709" s="268" t="s">
        <v>12</v>
      </c>
      <c r="B709" s="269">
        <v>46117.0</v>
      </c>
      <c r="C709" s="268"/>
      <c r="D709" s="268" t="s">
        <v>132</v>
      </c>
      <c r="E709" s="268" t="s">
        <v>141</v>
      </c>
      <c r="F709" s="268" t="s">
        <v>79</v>
      </c>
      <c r="G709" s="268" t="s">
        <v>80</v>
      </c>
      <c r="H709" s="270">
        <v>229.0</v>
      </c>
      <c r="I709" s="270"/>
      <c r="J709" s="270"/>
      <c r="K709" s="270"/>
      <c r="L709" s="270"/>
      <c r="M709" s="270"/>
      <c r="N709" s="270"/>
      <c r="O709" s="268"/>
      <c r="P709" s="271"/>
    </row>
    <row r="710" ht="15.0" customHeight="1">
      <c r="A710" s="268" t="s">
        <v>12</v>
      </c>
      <c r="B710" s="269">
        <v>46117.0</v>
      </c>
      <c r="C710" s="268"/>
      <c r="D710" s="268" t="s">
        <v>92</v>
      </c>
      <c r="E710" s="268" t="s">
        <v>141</v>
      </c>
      <c r="F710" s="268" t="s">
        <v>79</v>
      </c>
      <c r="G710" s="268" t="s">
        <v>80</v>
      </c>
      <c r="H710" s="270">
        <v>270.0</v>
      </c>
      <c r="I710" s="270"/>
      <c r="J710" s="270"/>
      <c r="K710" s="270"/>
      <c r="L710" s="270"/>
      <c r="M710" s="270"/>
      <c r="N710" s="270"/>
      <c r="O710" s="268"/>
      <c r="P710" s="271"/>
    </row>
    <row r="711" ht="15.0" customHeight="1">
      <c r="A711" s="268" t="s">
        <v>12</v>
      </c>
      <c r="B711" s="269">
        <v>46117.0</v>
      </c>
      <c r="C711" s="268"/>
      <c r="D711" s="268" t="s">
        <v>114</v>
      </c>
      <c r="E711" s="268" t="s">
        <v>141</v>
      </c>
      <c r="F711" s="268" t="s">
        <v>79</v>
      </c>
      <c r="G711" s="268" t="s">
        <v>80</v>
      </c>
      <c r="H711" s="270">
        <v>230.0</v>
      </c>
      <c r="I711" s="270"/>
      <c r="J711" s="270"/>
      <c r="K711" s="270"/>
      <c r="L711" s="270"/>
      <c r="M711" s="270"/>
      <c r="N711" s="270"/>
      <c r="O711" s="268"/>
      <c r="P711" s="271"/>
    </row>
    <row r="712" ht="15.0" customHeight="1">
      <c r="A712" s="268" t="s">
        <v>12</v>
      </c>
      <c r="B712" s="269">
        <v>46117.0</v>
      </c>
      <c r="C712" s="268"/>
      <c r="D712" s="268" t="s">
        <v>138</v>
      </c>
      <c r="E712" s="268" t="s">
        <v>141</v>
      </c>
      <c r="F712" s="268" t="s">
        <v>79</v>
      </c>
      <c r="G712" s="268" t="s">
        <v>80</v>
      </c>
      <c r="H712" s="270">
        <v>260.0</v>
      </c>
      <c r="I712" s="270"/>
      <c r="J712" s="270"/>
      <c r="K712" s="270"/>
      <c r="L712" s="270"/>
      <c r="M712" s="270"/>
      <c r="N712" s="270"/>
      <c r="O712" s="268"/>
      <c r="P712" s="271"/>
    </row>
    <row r="713" ht="15.0" customHeight="1">
      <c r="A713" s="268" t="s">
        <v>12</v>
      </c>
      <c r="B713" s="269">
        <v>46118.0</v>
      </c>
      <c r="C713" s="268"/>
      <c r="D713" s="268" t="s">
        <v>158</v>
      </c>
      <c r="E713" s="268" t="s">
        <v>78</v>
      </c>
      <c r="F713" s="268" t="s">
        <v>79</v>
      </c>
      <c r="G713" s="268" t="s">
        <v>80</v>
      </c>
      <c r="H713" s="270">
        <v>188.0</v>
      </c>
      <c r="I713" s="270"/>
      <c r="J713" s="270"/>
      <c r="K713" s="270"/>
      <c r="L713" s="270"/>
      <c r="M713" s="270"/>
      <c r="N713" s="270"/>
      <c r="O713" s="268"/>
      <c r="P713" s="271"/>
    </row>
    <row r="714" ht="15.0" customHeight="1">
      <c r="A714" s="268" t="s">
        <v>12</v>
      </c>
      <c r="B714" s="269">
        <v>46118.0</v>
      </c>
      <c r="C714" s="268"/>
      <c r="D714" s="268" t="s">
        <v>99</v>
      </c>
      <c r="E714" s="268" t="s">
        <v>78</v>
      </c>
      <c r="F714" s="268" t="s">
        <v>79</v>
      </c>
      <c r="G714" s="268" t="s">
        <v>80</v>
      </c>
      <c r="H714" s="270">
        <v>190.0</v>
      </c>
      <c r="I714" s="270"/>
      <c r="J714" s="270"/>
      <c r="K714" s="270"/>
      <c r="L714" s="270"/>
      <c r="M714" s="270"/>
      <c r="N714" s="270"/>
      <c r="O714" s="268"/>
      <c r="P714" s="271"/>
    </row>
    <row r="715" ht="15.0" customHeight="1">
      <c r="A715" s="268" t="s">
        <v>12</v>
      </c>
      <c r="B715" s="269">
        <v>46118.0</v>
      </c>
      <c r="C715" s="268"/>
      <c r="D715" s="268" t="s">
        <v>89</v>
      </c>
      <c r="E715" s="268" t="s">
        <v>78</v>
      </c>
      <c r="F715" s="268" t="s">
        <v>79</v>
      </c>
      <c r="G715" s="268" t="s">
        <v>80</v>
      </c>
      <c r="H715" s="270">
        <v>46.0</v>
      </c>
      <c r="I715" s="270"/>
      <c r="J715" s="270"/>
      <c r="K715" s="270"/>
      <c r="L715" s="270"/>
      <c r="M715" s="270"/>
      <c r="N715" s="270"/>
      <c r="O715" s="268"/>
      <c r="P715" s="271"/>
    </row>
    <row r="716" ht="15.0" customHeight="1">
      <c r="A716" s="268" t="s">
        <v>12</v>
      </c>
      <c r="B716" s="269">
        <v>46118.0</v>
      </c>
      <c r="C716" s="268"/>
      <c r="D716" s="268" t="s">
        <v>103</v>
      </c>
      <c r="E716" s="268" t="s">
        <v>78</v>
      </c>
      <c r="F716" s="268" t="s">
        <v>79</v>
      </c>
      <c r="G716" s="268" t="s">
        <v>80</v>
      </c>
      <c r="H716" s="270">
        <v>161.0</v>
      </c>
      <c r="I716" s="270"/>
      <c r="J716" s="270"/>
      <c r="K716" s="270"/>
      <c r="L716" s="270"/>
      <c r="M716" s="270"/>
      <c r="N716" s="270"/>
      <c r="O716" s="268"/>
      <c r="P716" s="271"/>
    </row>
    <row r="717" ht="15.0" customHeight="1">
      <c r="A717" s="268" t="s">
        <v>12</v>
      </c>
      <c r="B717" s="269">
        <v>46118.0</v>
      </c>
      <c r="C717" s="268"/>
      <c r="D717" s="268" t="s">
        <v>86</v>
      </c>
      <c r="E717" s="268" t="s">
        <v>78</v>
      </c>
      <c r="F717" s="268" t="s">
        <v>79</v>
      </c>
      <c r="G717" s="268" t="s">
        <v>80</v>
      </c>
      <c r="H717" s="270">
        <v>268.0</v>
      </c>
      <c r="I717" s="270"/>
      <c r="J717" s="270"/>
      <c r="K717" s="270"/>
      <c r="L717" s="270"/>
      <c r="M717" s="270"/>
      <c r="N717" s="270"/>
      <c r="O717" s="268"/>
      <c r="P717" s="271"/>
    </row>
    <row r="718" ht="15.0" customHeight="1">
      <c r="A718" s="268" t="s">
        <v>12</v>
      </c>
      <c r="B718" s="269">
        <v>46118.0</v>
      </c>
      <c r="C718" s="268"/>
      <c r="D718" s="268" t="s">
        <v>113</v>
      </c>
      <c r="E718" s="268" t="s">
        <v>78</v>
      </c>
      <c r="F718" s="268" t="s">
        <v>79</v>
      </c>
      <c r="G718" s="268" t="s">
        <v>80</v>
      </c>
      <c r="H718" s="270">
        <v>240.0</v>
      </c>
      <c r="I718" s="270"/>
      <c r="J718" s="270"/>
      <c r="K718" s="270"/>
      <c r="L718" s="270"/>
      <c r="M718" s="270"/>
      <c r="N718" s="270"/>
      <c r="O718" s="268"/>
      <c r="P718" s="271"/>
    </row>
    <row r="719" ht="15.0" customHeight="1">
      <c r="A719" s="268" t="s">
        <v>12</v>
      </c>
      <c r="B719" s="269">
        <v>46118.0</v>
      </c>
      <c r="C719" s="268"/>
      <c r="D719" s="268" t="s">
        <v>98</v>
      </c>
      <c r="E719" s="268" t="s">
        <v>78</v>
      </c>
      <c r="F719" s="268" t="s">
        <v>79</v>
      </c>
      <c r="G719" s="268" t="s">
        <v>80</v>
      </c>
      <c r="H719" s="270">
        <v>173.0</v>
      </c>
      <c r="I719" s="270"/>
      <c r="J719" s="270"/>
      <c r="K719" s="270"/>
      <c r="L719" s="270"/>
      <c r="M719" s="270"/>
      <c r="N719" s="270"/>
      <c r="O719" s="268"/>
      <c r="P719" s="271"/>
    </row>
    <row r="720" ht="15.0" customHeight="1">
      <c r="A720" s="268" t="s">
        <v>12</v>
      </c>
      <c r="B720" s="269">
        <v>46118.0</v>
      </c>
      <c r="C720" s="268"/>
      <c r="D720" s="268" t="s">
        <v>126</v>
      </c>
      <c r="E720" s="268" t="s">
        <v>141</v>
      </c>
      <c r="F720" s="268" t="s">
        <v>79</v>
      </c>
      <c r="G720" s="268" t="s">
        <v>80</v>
      </c>
      <c r="H720" s="270">
        <v>219.0</v>
      </c>
      <c r="I720" s="270"/>
      <c r="J720" s="270"/>
      <c r="K720" s="270"/>
      <c r="L720" s="270"/>
      <c r="M720" s="270"/>
      <c r="N720" s="270"/>
      <c r="O720" s="268"/>
      <c r="P720" s="271"/>
    </row>
    <row r="721" ht="15.0" customHeight="1">
      <c r="A721" s="268" t="s">
        <v>12</v>
      </c>
      <c r="B721" s="269">
        <v>46118.0</v>
      </c>
      <c r="C721" s="268"/>
      <c r="D721" s="268" t="s">
        <v>82</v>
      </c>
      <c r="E721" s="268" t="s">
        <v>141</v>
      </c>
      <c r="F721" s="268" t="s">
        <v>79</v>
      </c>
      <c r="G721" s="268" t="s">
        <v>80</v>
      </c>
      <c r="H721" s="270">
        <v>322.0</v>
      </c>
      <c r="I721" s="270"/>
      <c r="J721" s="270"/>
      <c r="K721" s="270"/>
      <c r="L721" s="270"/>
      <c r="M721" s="270"/>
      <c r="N721" s="270"/>
      <c r="O721" s="268"/>
      <c r="P721" s="271"/>
    </row>
    <row r="722" ht="15.0" customHeight="1">
      <c r="A722" s="268" t="s">
        <v>12</v>
      </c>
      <c r="B722" s="269">
        <v>46118.0</v>
      </c>
      <c r="C722" s="268"/>
      <c r="D722" s="268" t="s">
        <v>100</v>
      </c>
      <c r="E722" s="268" t="s">
        <v>141</v>
      </c>
      <c r="F722" s="268" t="s">
        <v>79</v>
      </c>
      <c r="G722" s="268" t="s">
        <v>80</v>
      </c>
      <c r="H722" s="270">
        <v>280.0</v>
      </c>
      <c r="I722" s="270"/>
      <c r="J722" s="270"/>
      <c r="K722" s="270"/>
      <c r="L722" s="270"/>
      <c r="M722" s="270"/>
      <c r="N722" s="270"/>
      <c r="O722" s="268"/>
      <c r="P722" s="271"/>
    </row>
    <row r="723" ht="15.0" customHeight="1">
      <c r="A723" s="268" t="s">
        <v>12</v>
      </c>
      <c r="B723" s="269">
        <v>46118.0</v>
      </c>
      <c r="C723" s="268"/>
      <c r="D723" s="268" t="s">
        <v>99</v>
      </c>
      <c r="E723" s="268" t="s">
        <v>141</v>
      </c>
      <c r="F723" s="268" t="s">
        <v>79</v>
      </c>
      <c r="G723" s="268" t="s">
        <v>80</v>
      </c>
      <c r="H723" s="270">
        <v>197.0</v>
      </c>
      <c r="I723" s="270"/>
      <c r="J723" s="270"/>
      <c r="K723" s="270"/>
      <c r="L723" s="270"/>
      <c r="M723" s="270"/>
      <c r="N723" s="270"/>
      <c r="O723" s="268"/>
      <c r="P723" s="271"/>
    </row>
    <row r="724" ht="15.0" customHeight="1">
      <c r="A724" s="268" t="s">
        <v>12</v>
      </c>
      <c r="B724" s="269">
        <v>46118.0</v>
      </c>
      <c r="C724" s="268"/>
      <c r="D724" s="268" t="s">
        <v>96</v>
      </c>
      <c r="E724" s="268" t="s">
        <v>141</v>
      </c>
      <c r="F724" s="268" t="s">
        <v>79</v>
      </c>
      <c r="G724" s="268" t="s">
        <v>80</v>
      </c>
      <c r="H724" s="270">
        <v>390.0</v>
      </c>
      <c r="I724" s="270"/>
      <c r="J724" s="270"/>
      <c r="K724" s="270"/>
      <c r="L724" s="270"/>
      <c r="M724" s="270"/>
      <c r="N724" s="270"/>
      <c r="O724" s="268"/>
      <c r="P724" s="271"/>
    </row>
    <row r="725" ht="15.0" customHeight="1">
      <c r="A725" s="268" t="s">
        <v>12</v>
      </c>
      <c r="B725" s="269">
        <v>46118.0</v>
      </c>
      <c r="C725" s="268"/>
      <c r="D725" s="268" t="s">
        <v>136</v>
      </c>
      <c r="E725" s="268" t="s">
        <v>141</v>
      </c>
      <c r="F725" s="268" t="s">
        <v>79</v>
      </c>
      <c r="G725" s="268" t="s">
        <v>80</v>
      </c>
      <c r="H725" s="270">
        <v>65.0</v>
      </c>
      <c r="I725" s="270"/>
      <c r="J725" s="270"/>
      <c r="K725" s="270"/>
      <c r="L725" s="270"/>
      <c r="M725" s="270"/>
      <c r="N725" s="270"/>
      <c r="O725" s="268"/>
      <c r="P725" s="271"/>
    </row>
    <row r="726" ht="15.0" customHeight="1">
      <c r="A726" s="268" t="s">
        <v>12</v>
      </c>
      <c r="B726" s="269">
        <v>46118.0</v>
      </c>
      <c r="C726" s="268"/>
      <c r="D726" s="268" t="s">
        <v>336</v>
      </c>
      <c r="E726" s="268" t="s">
        <v>141</v>
      </c>
      <c r="F726" s="268" t="s">
        <v>79</v>
      </c>
      <c r="G726" s="268" t="s">
        <v>80</v>
      </c>
      <c r="H726" s="270">
        <v>235.0</v>
      </c>
      <c r="I726" s="270"/>
      <c r="J726" s="270"/>
      <c r="K726" s="270"/>
      <c r="L726" s="270"/>
      <c r="M726" s="270"/>
      <c r="N726" s="270"/>
      <c r="O726" s="268"/>
      <c r="P726" s="271"/>
    </row>
    <row r="727" ht="15.0" customHeight="1">
      <c r="A727" s="268" t="s">
        <v>12</v>
      </c>
      <c r="B727" s="269">
        <v>46118.0</v>
      </c>
      <c r="C727" s="268"/>
      <c r="D727" s="268" t="s">
        <v>112</v>
      </c>
      <c r="E727" s="268" t="s">
        <v>141</v>
      </c>
      <c r="F727" s="268" t="s">
        <v>79</v>
      </c>
      <c r="G727" s="268" t="s">
        <v>80</v>
      </c>
      <c r="H727" s="270">
        <v>245.0</v>
      </c>
      <c r="I727" s="270"/>
      <c r="J727" s="270"/>
      <c r="K727" s="270"/>
      <c r="L727" s="270"/>
      <c r="M727" s="270"/>
      <c r="N727" s="270"/>
      <c r="O727" s="268"/>
      <c r="P727" s="271"/>
    </row>
    <row r="728" ht="15.0" customHeight="1">
      <c r="A728" s="268" t="s">
        <v>12</v>
      </c>
      <c r="B728" s="269">
        <v>46118.0</v>
      </c>
      <c r="C728" s="268"/>
      <c r="D728" s="268" t="s">
        <v>101</v>
      </c>
      <c r="E728" s="268" t="s">
        <v>141</v>
      </c>
      <c r="F728" s="268" t="s">
        <v>79</v>
      </c>
      <c r="G728" s="268" t="s">
        <v>80</v>
      </c>
      <c r="H728" s="270">
        <v>215.0</v>
      </c>
      <c r="I728" s="270"/>
      <c r="J728" s="270"/>
      <c r="K728" s="270"/>
      <c r="L728" s="270"/>
      <c r="M728" s="270"/>
      <c r="N728" s="270"/>
      <c r="O728" s="268"/>
      <c r="P728" s="271"/>
    </row>
    <row r="729" ht="15.0" customHeight="1">
      <c r="A729" s="268" t="s">
        <v>12</v>
      </c>
      <c r="B729" s="269">
        <v>46118.0</v>
      </c>
      <c r="C729" s="268"/>
      <c r="D729" s="268" t="s">
        <v>117</v>
      </c>
      <c r="E729" s="268" t="s">
        <v>110</v>
      </c>
      <c r="F729" s="268" t="s">
        <v>79</v>
      </c>
      <c r="G729" s="268" t="s">
        <v>110</v>
      </c>
      <c r="H729" s="270">
        <v>10.0</v>
      </c>
      <c r="I729" s="270"/>
      <c r="J729" s="270"/>
      <c r="K729" s="270"/>
      <c r="L729" s="270"/>
      <c r="M729" s="270"/>
      <c r="N729" s="270"/>
      <c r="O729" s="268"/>
      <c r="P729" s="271"/>
    </row>
    <row r="730" ht="15.0" customHeight="1">
      <c r="A730" s="268" t="s">
        <v>12</v>
      </c>
      <c r="B730" s="269">
        <v>46118.0</v>
      </c>
      <c r="C730" s="268"/>
      <c r="D730" s="268" t="s">
        <v>113</v>
      </c>
      <c r="E730" s="268" t="s">
        <v>110</v>
      </c>
      <c r="F730" s="268" t="s">
        <v>79</v>
      </c>
      <c r="G730" s="268" t="s">
        <v>110</v>
      </c>
      <c r="H730" s="270">
        <v>32.0</v>
      </c>
      <c r="I730" s="270"/>
      <c r="J730" s="270"/>
      <c r="K730" s="270"/>
      <c r="L730" s="270"/>
      <c r="M730" s="270"/>
      <c r="N730" s="270"/>
      <c r="O730" s="268"/>
      <c r="P730" s="271"/>
    </row>
    <row r="731" ht="15.0" customHeight="1">
      <c r="A731" s="268" t="s">
        <v>12</v>
      </c>
      <c r="B731" s="269">
        <v>46119.0</v>
      </c>
      <c r="C731" s="268"/>
      <c r="D731" s="268" t="s">
        <v>153</v>
      </c>
      <c r="E731" s="268" t="s">
        <v>78</v>
      </c>
      <c r="F731" s="268" t="s">
        <v>79</v>
      </c>
      <c r="G731" s="268" t="s">
        <v>80</v>
      </c>
      <c r="H731" s="270">
        <v>134.0</v>
      </c>
      <c r="I731" s="270"/>
      <c r="J731" s="270"/>
      <c r="K731" s="270"/>
      <c r="L731" s="270"/>
      <c r="M731" s="270"/>
      <c r="N731" s="270"/>
      <c r="O731" s="268"/>
      <c r="P731" s="271"/>
    </row>
    <row r="732" ht="15.0" customHeight="1">
      <c r="A732" s="268" t="s">
        <v>12</v>
      </c>
      <c r="B732" s="269">
        <v>46119.0</v>
      </c>
      <c r="C732" s="268"/>
      <c r="D732" s="268" t="s">
        <v>130</v>
      </c>
      <c r="E732" s="268" t="s">
        <v>78</v>
      </c>
      <c r="F732" s="268" t="s">
        <v>79</v>
      </c>
      <c r="G732" s="268" t="s">
        <v>80</v>
      </c>
      <c r="H732" s="270">
        <v>182.0</v>
      </c>
      <c r="I732" s="270"/>
      <c r="J732" s="270"/>
      <c r="K732" s="270"/>
      <c r="L732" s="270"/>
      <c r="M732" s="270"/>
      <c r="N732" s="270"/>
      <c r="O732" s="268"/>
      <c r="P732" s="271"/>
    </row>
    <row r="733" ht="15.0" customHeight="1">
      <c r="A733" s="268" t="s">
        <v>12</v>
      </c>
      <c r="B733" s="269">
        <v>46119.0</v>
      </c>
      <c r="C733" s="268"/>
      <c r="D733" s="268" t="s">
        <v>123</v>
      </c>
      <c r="E733" s="268" t="s">
        <v>78</v>
      </c>
      <c r="F733" s="268" t="s">
        <v>79</v>
      </c>
      <c r="G733" s="268" t="s">
        <v>80</v>
      </c>
      <c r="H733" s="270">
        <v>36.0</v>
      </c>
      <c r="I733" s="270"/>
      <c r="J733" s="270"/>
      <c r="K733" s="270"/>
      <c r="L733" s="270"/>
      <c r="M733" s="270"/>
      <c r="N733" s="270"/>
      <c r="O733" s="268"/>
      <c r="P733" s="271"/>
    </row>
    <row r="734" ht="15.0" customHeight="1">
      <c r="A734" s="268" t="s">
        <v>12</v>
      </c>
      <c r="B734" s="269">
        <v>46119.0</v>
      </c>
      <c r="C734" s="268"/>
      <c r="D734" s="268" t="s">
        <v>84</v>
      </c>
      <c r="E734" s="268" t="s">
        <v>78</v>
      </c>
      <c r="F734" s="268" t="s">
        <v>79</v>
      </c>
      <c r="G734" s="268" t="s">
        <v>80</v>
      </c>
      <c r="H734" s="270">
        <v>44.0</v>
      </c>
      <c r="I734" s="270"/>
      <c r="J734" s="270"/>
      <c r="K734" s="270"/>
      <c r="L734" s="270"/>
      <c r="M734" s="270"/>
      <c r="N734" s="270"/>
      <c r="O734" s="268"/>
      <c r="P734" s="271"/>
    </row>
    <row r="735" ht="15.0" customHeight="1">
      <c r="A735" s="268" t="s">
        <v>12</v>
      </c>
      <c r="B735" s="269">
        <v>46119.0</v>
      </c>
      <c r="C735" s="268"/>
      <c r="D735" s="268" t="s">
        <v>104</v>
      </c>
      <c r="E735" s="268" t="s">
        <v>78</v>
      </c>
      <c r="F735" s="268" t="s">
        <v>79</v>
      </c>
      <c r="G735" s="268" t="s">
        <v>80</v>
      </c>
      <c r="H735" s="270">
        <v>294.0</v>
      </c>
      <c r="I735" s="270"/>
      <c r="J735" s="270"/>
      <c r="K735" s="270"/>
      <c r="L735" s="270"/>
      <c r="M735" s="270"/>
      <c r="N735" s="270"/>
      <c r="O735" s="268"/>
      <c r="P735" s="271"/>
    </row>
    <row r="736" ht="15.0" customHeight="1">
      <c r="A736" s="268" t="s">
        <v>12</v>
      </c>
      <c r="B736" s="269">
        <v>46119.0</v>
      </c>
      <c r="C736" s="268"/>
      <c r="D736" s="268" t="s">
        <v>145</v>
      </c>
      <c r="E736" s="268" t="s">
        <v>78</v>
      </c>
      <c r="F736" s="268" t="s">
        <v>79</v>
      </c>
      <c r="G736" s="268" t="s">
        <v>80</v>
      </c>
      <c r="H736" s="270">
        <v>230.0</v>
      </c>
      <c r="I736" s="270"/>
      <c r="J736" s="270"/>
      <c r="K736" s="270"/>
      <c r="L736" s="270"/>
      <c r="M736" s="270"/>
      <c r="N736" s="270"/>
      <c r="O736" s="268"/>
      <c r="P736" s="271"/>
    </row>
    <row r="737" ht="15.0" customHeight="1">
      <c r="A737" s="268" t="s">
        <v>12</v>
      </c>
      <c r="B737" s="269">
        <v>46119.0</v>
      </c>
      <c r="C737" s="268"/>
      <c r="D737" s="268" t="s">
        <v>102</v>
      </c>
      <c r="E737" s="268" t="s">
        <v>78</v>
      </c>
      <c r="F737" s="268" t="s">
        <v>79</v>
      </c>
      <c r="G737" s="268" t="s">
        <v>80</v>
      </c>
      <c r="H737" s="270">
        <v>230.0</v>
      </c>
      <c r="I737" s="270"/>
      <c r="J737" s="270"/>
      <c r="K737" s="270"/>
      <c r="L737" s="270"/>
      <c r="M737" s="270"/>
      <c r="N737" s="270"/>
      <c r="O737" s="268"/>
      <c r="P737" s="271"/>
    </row>
    <row r="738" ht="15.0" customHeight="1">
      <c r="A738" s="268" t="s">
        <v>12</v>
      </c>
      <c r="B738" s="269">
        <v>46119.0</v>
      </c>
      <c r="C738" s="268"/>
      <c r="D738" s="268" t="s">
        <v>138</v>
      </c>
      <c r="E738" s="268" t="s">
        <v>78</v>
      </c>
      <c r="F738" s="268" t="s">
        <v>79</v>
      </c>
      <c r="G738" s="268" t="s">
        <v>80</v>
      </c>
      <c r="H738" s="270">
        <v>205.0</v>
      </c>
      <c r="I738" s="270"/>
      <c r="J738" s="270"/>
      <c r="K738" s="270"/>
      <c r="L738" s="270"/>
      <c r="M738" s="270"/>
      <c r="N738" s="270"/>
      <c r="O738" s="268"/>
      <c r="P738" s="271"/>
    </row>
    <row r="739" ht="15.0" customHeight="1">
      <c r="A739" s="268" t="s">
        <v>12</v>
      </c>
      <c r="B739" s="269">
        <v>46119.0</v>
      </c>
      <c r="C739" s="268"/>
      <c r="D739" s="268" t="s">
        <v>97</v>
      </c>
      <c r="E739" s="268" t="s">
        <v>78</v>
      </c>
      <c r="F739" s="268" t="s">
        <v>79</v>
      </c>
      <c r="G739" s="268" t="s">
        <v>80</v>
      </c>
      <c r="H739" s="270">
        <v>230.0</v>
      </c>
      <c r="I739" s="270"/>
      <c r="J739" s="270"/>
      <c r="K739" s="270"/>
      <c r="L739" s="270"/>
      <c r="M739" s="270"/>
      <c r="N739" s="270"/>
      <c r="O739" s="268"/>
      <c r="P739" s="271"/>
    </row>
    <row r="740" ht="15.0" customHeight="1">
      <c r="A740" s="268" t="s">
        <v>12</v>
      </c>
      <c r="B740" s="269">
        <v>46119.0</v>
      </c>
      <c r="C740" s="268"/>
      <c r="D740" s="268" t="s">
        <v>162</v>
      </c>
      <c r="E740" s="268" t="s">
        <v>110</v>
      </c>
      <c r="F740" s="268" t="s">
        <v>79</v>
      </c>
      <c r="G740" s="268" t="s">
        <v>110</v>
      </c>
      <c r="H740" s="270">
        <v>20.0</v>
      </c>
      <c r="I740" s="270"/>
      <c r="J740" s="270"/>
      <c r="K740" s="270"/>
      <c r="L740" s="270"/>
      <c r="M740" s="270"/>
      <c r="N740" s="270"/>
      <c r="O740" s="268"/>
      <c r="P740" s="271"/>
    </row>
    <row r="741" ht="15.0" customHeight="1">
      <c r="A741" s="268" t="s">
        <v>12</v>
      </c>
      <c r="B741" s="269">
        <v>46119.0</v>
      </c>
      <c r="C741" s="268"/>
      <c r="D741" s="268" t="s">
        <v>153</v>
      </c>
      <c r="E741" s="268" t="s">
        <v>93</v>
      </c>
      <c r="F741" s="268" t="s">
        <v>79</v>
      </c>
      <c r="G741" s="268" t="s">
        <v>93</v>
      </c>
      <c r="H741" s="270">
        <v>2.0</v>
      </c>
      <c r="I741" s="270"/>
      <c r="J741" s="270"/>
      <c r="K741" s="270"/>
      <c r="L741" s="270"/>
      <c r="M741" s="270"/>
      <c r="N741" s="270"/>
      <c r="O741" s="268"/>
      <c r="P741" s="271"/>
    </row>
    <row r="742" ht="15.0" customHeight="1">
      <c r="A742" s="268" t="s">
        <v>12</v>
      </c>
      <c r="B742" s="269">
        <v>46120.0</v>
      </c>
      <c r="C742" s="268"/>
      <c r="D742" s="268" t="s">
        <v>82</v>
      </c>
      <c r="E742" s="268" t="s">
        <v>78</v>
      </c>
      <c r="F742" s="268" t="s">
        <v>79</v>
      </c>
      <c r="G742" s="268" t="s">
        <v>80</v>
      </c>
      <c r="H742" s="270">
        <v>330.0</v>
      </c>
      <c r="I742" s="270"/>
      <c r="J742" s="270"/>
      <c r="K742" s="270"/>
      <c r="L742" s="270"/>
      <c r="M742" s="270"/>
      <c r="N742" s="270"/>
      <c r="O742" s="268"/>
      <c r="P742" s="271"/>
    </row>
    <row r="743" ht="15.0" customHeight="1">
      <c r="A743" s="268" t="s">
        <v>12</v>
      </c>
      <c r="B743" s="269">
        <v>46120.0</v>
      </c>
      <c r="C743" s="268"/>
      <c r="D743" s="268" t="s">
        <v>100</v>
      </c>
      <c r="E743" s="268" t="s">
        <v>78</v>
      </c>
      <c r="F743" s="268" t="s">
        <v>79</v>
      </c>
      <c r="G743" s="268" t="s">
        <v>80</v>
      </c>
      <c r="H743" s="270">
        <v>331.0</v>
      </c>
      <c r="I743" s="270"/>
      <c r="J743" s="270"/>
      <c r="K743" s="270"/>
      <c r="L743" s="270"/>
      <c r="M743" s="270"/>
      <c r="N743" s="270"/>
      <c r="O743" s="268"/>
      <c r="P743" s="271"/>
    </row>
    <row r="744" ht="15.0" customHeight="1">
      <c r="A744" s="268" t="s">
        <v>12</v>
      </c>
      <c r="B744" s="269">
        <v>46120.0</v>
      </c>
      <c r="C744" s="268"/>
      <c r="D744" s="268" t="s">
        <v>99</v>
      </c>
      <c r="E744" s="268" t="s">
        <v>78</v>
      </c>
      <c r="F744" s="268" t="s">
        <v>79</v>
      </c>
      <c r="G744" s="268" t="s">
        <v>80</v>
      </c>
      <c r="H744" s="270">
        <v>345.0</v>
      </c>
      <c r="I744" s="270"/>
      <c r="J744" s="270"/>
      <c r="K744" s="270"/>
      <c r="L744" s="270"/>
      <c r="M744" s="270"/>
      <c r="N744" s="270"/>
      <c r="O744" s="268"/>
      <c r="P744" s="271"/>
    </row>
    <row r="745" ht="15.0" customHeight="1">
      <c r="A745" s="268" t="s">
        <v>12</v>
      </c>
      <c r="B745" s="269">
        <v>46120.0</v>
      </c>
      <c r="C745" s="268"/>
      <c r="D745" s="268" t="s">
        <v>118</v>
      </c>
      <c r="E745" s="268" t="s">
        <v>78</v>
      </c>
      <c r="F745" s="268" t="s">
        <v>79</v>
      </c>
      <c r="G745" s="268" t="s">
        <v>80</v>
      </c>
      <c r="H745" s="270">
        <v>440.0</v>
      </c>
      <c r="I745" s="270"/>
      <c r="J745" s="270"/>
      <c r="K745" s="270"/>
      <c r="L745" s="270"/>
      <c r="M745" s="270"/>
      <c r="N745" s="270"/>
      <c r="O745" s="268"/>
      <c r="P745" s="271"/>
    </row>
    <row r="746" ht="15.0" customHeight="1">
      <c r="A746" s="268" t="s">
        <v>12</v>
      </c>
      <c r="B746" s="269">
        <v>46120.0</v>
      </c>
      <c r="C746" s="268"/>
      <c r="D746" s="268" t="s">
        <v>96</v>
      </c>
      <c r="E746" s="268" t="s">
        <v>78</v>
      </c>
      <c r="F746" s="268" t="s">
        <v>79</v>
      </c>
      <c r="G746" s="268" t="s">
        <v>80</v>
      </c>
      <c r="H746" s="270">
        <v>376.0</v>
      </c>
      <c r="I746" s="270"/>
      <c r="J746" s="270"/>
      <c r="K746" s="270"/>
      <c r="L746" s="270"/>
      <c r="M746" s="270"/>
      <c r="N746" s="270"/>
      <c r="O746" s="268"/>
      <c r="P746" s="271"/>
    </row>
    <row r="747" ht="15.0" customHeight="1">
      <c r="A747" s="268" t="s">
        <v>12</v>
      </c>
      <c r="B747" s="269">
        <v>46120.0</v>
      </c>
      <c r="C747" s="268"/>
      <c r="D747" s="268" t="s">
        <v>117</v>
      </c>
      <c r="E747" s="268" t="s">
        <v>78</v>
      </c>
      <c r="F747" s="268" t="s">
        <v>79</v>
      </c>
      <c r="G747" s="268" t="s">
        <v>80</v>
      </c>
      <c r="H747" s="270">
        <v>156.0</v>
      </c>
      <c r="I747" s="270"/>
      <c r="J747" s="270"/>
      <c r="K747" s="270"/>
      <c r="L747" s="270"/>
      <c r="M747" s="270"/>
      <c r="N747" s="270"/>
      <c r="O747" s="268"/>
      <c r="P747" s="271"/>
    </row>
    <row r="748" ht="15.0" customHeight="1">
      <c r="A748" s="268" t="s">
        <v>12</v>
      </c>
      <c r="B748" s="269">
        <v>46120.0</v>
      </c>
      <c r="C748" s="268"/>
      <c r="D748" s="268" t="s">
        <v>89</v>
      </c>
      <c r="E748" s="268" t="s">
        <v>78</v>
      </c>
      <c r="F748" s="268" t="s">
        <v>79</v>
      </c>
      <c r="G748" s="268" t="s">
        <v>80</v>
      </c>
      <c r="H748" s="270">
        <v>44.0</v>
      </c>
      <c r="I748" s="270"/>
      <c r="J748" s="270"/>
      <c r="K748" s="270"/>
      <c r="L748" s="270"/>
      <c r="M748" s="270"/>
      <c r="N748" s="270"/>
      <c r="O748" s="268"/>
      <c r="P748" s="271"/>
    </row>
    <row r="749" ht="15.0" customHeight="1">
      <c r="A749" s="268" t="s">
        <v>12</v>
      </c>
      <c r="B749" s="269">
        <v>46120.0</v>
      </c>
      <c r="C749" s="268"/>
      <c r="D749" s="268" t="s">
        <v>103</v>
      </c>
      <c r="E749" s="268" t="s">
        <v>78</v>
      </c>
      <c r="F749" s="268" t="s">
        <v>79</v>
      </c>
      <c r="G749" s="268" t="s">
        <v>80</v>
      </c>
      <c r="H749" s="270">
        <v>152.0</v>
      </c>
      <c r="I749" s="270"/>
      <c r="J749" s="270"/>
      <c r="K749" s="270"/>
      <c r="L749" s="270"/>
      <c r="M749" s="270"/>
      <c r="N749" s="270"/>
      <c r="O749" s="268"/>
      <c r="P749" s="271"/>
    </row>
    <row r="750" ht="15.0" customHeight="1">
      <c r="A750" s="268" t="s">
        <v>12</v>
      </c>
      <c r="B750" s="269">
        <v>46120.0</v>
      </c>
      <c r="C750" s="268"/>
      <c r="D750" s="268" t="s">
        <v>114</v>
      </c>
      <c r="E750" s="268" t="s">
        <v>78</v>
      </c>
      <c r="F750" s="268" t="s">
        <v>79</v>
      </c>
      <c r="G750" s="268" t="s">
        <v>80</v>
      </c>
      <c r="H750" s="270">
        <v>240.0</v>
      </c>
      <c r="I750" s="270"/>
      <c r="J750" s="270"/>
      <c r="K750" s="270"/>
      <c r="L750" s="270"/>
      <c r="M750" s="270"/>
      <c r="N750" s="270"/>
      <c r="O750" s="268"/>
      <c r="P750" s="271"/>
    </row>
    <row r="751" ht="15.0" customHeight="1">
      <c r="A751" s="268" t="s">
        <v>12</v>
      </c>
      <c r="B751" s="269">
        <v>46120.0</v>
      </c>
      <c r="C751" s="268"/>
      <c r="D751" s="268" t="s">
        <v>336</v>
      </c>
      <c r="E751" s="268" t="s">
        <v>78</v>
      </c>
      <c r="F751" s="268" t="s">
        <v>79</v>
      </c>
      <c r="G751" s="268" t="s">
        <v>80</v>
      </c>
      <c r="H751" s="270">
        <v>212.0</v>
      </c>
      <c r="I751" s="270"/>
      <c r="J751" s="270"/>
      <c r="K751" s="270"/>
      <c r="L751" s="270"/>
      <c r="M751" s="270"/>
      <c r="N751" s="270"/>
      <c r="O751" s="268"/>
      <c r="P751" s="271"/>
    </row>
    <row r="752" ht="15.0" customHeight="1">
      <c r="A752" s="268" t="s">
        <v>12</v>
      </c>
      <c r="B752" s="269">
        <v>46120.0</v>
      </c>
      <c r="C752" s="268"/>
      <c r="D752" s="268" t="s">
        <v>101</v>
      </c>
      <c r="E752" s="268" t="s">
        <v>78</v>
      </c>
      <c r="F752" s="268" t="s">
        <v>79</v>
      </c>
      <c r="G752" s="268" t="s">
        <v>80</v>
      </c>
      <c r="H752" s="270">
        <v>225.0</v>
      </c>
      <c r="I752" s="270"/>
      <c r="J752" s="270"/>
      <c r="K752" s="270"/>
      <c r="L752" s="270"/>
      <c r="M752" s="270"/>
      <c r="N752" s="270"/>
      <c r="O752" s="268"/>
      <c r="P752" s="271"/>
    </row>
    <row r="753" ht="15.0" customHeight="1">
      <c r="A753" s="268" t="s">
        <v>12</v>
      </c>
      <c r="B753" s="269">
        <v>46120.0</v>
      </c>
      <c r="C753" s="268"/>
      <c r="D753" s="268" t="s">
        <v>333</v>
      </c>
      <c r="E753" s="268" t="s">
        <v>110</v>
      </c>
      <c r="F753" s="268" t="s">
        <v>79</v>
      </c>
      <c r="G753" s="268" t="s">
        <v>110</v>
      </c>
      <c r="H753" s="270">
        <v>10.0</v>
      </c>
      <c r="I753" s="270"/>
      <c r="J753" s="270"/>
      <c r="K753" s="270"/>
      <c r="L753" s="270"/>
      <c r="M753" s="270"/>
      <c r="N753" s="270"/>
      <c r="O753" s="268"/>
      <c r="P753" s="271"/>
    </row>
    <row r="754" ht="15.0" customHeight="1">
      <c r="A754" s="268" t="s">
        <v>12</v>
      </c>
      <c r="B754" s="269">
        <v>46121.0</v>
      </c>
      <c r="C754" s="268"/>
      <c r="D754" s="268" t="s">
        <v>154</v>
      </c>
      <c r="E754" s="268" t="s">
        <v>78</v>
      </c>
      <c r="F754" s="268" t="s">
        <v>79</v>
      </c>
      <c r="G754" s="268" t="s">
        <v>80</v>
      </c>
      <c r="H754" s="270">
        <v>163.0</v>
      </c>
      <c r="I754" s="270"/>
      <c r="J754" s="270"/>
      <c r="K754" s="270"/>
      <c r="L754" s="270"/>
      <c r="M754" s="270"/>
      <c r="N754" s="270"/>
      <c r="O754" s="268"/>
      <c r="P754" s="271"/>
    </row>
    <row r="755" ht="15.0" customHeight="1">
      <c r="A755" s="268" t="s">
        <v>12</v>
      </c>
      <c r="B755" s="269">
        <v>46121.0</v>
      </c>
      <c r="C755" s="268"/>
      <c r="D755" s="268" t="s">
        <v>161</v>
      </c>
      <c r="E755" s="268" t="s">
        <v>78</v>
      </c>
      <c r="F755" s="268" t="s">
        <v>79</v>
      </c>
      <c r="G755" s="268" t="s">
        <v>80</v>
      </c>
      <c r="H755" s="270">
        <v>156.0</v>
      </c>
      <c r="I755" s="270"/>
      <c r="J755" s="270"/>
      <c r="K755" s="270"/>
      <c r="L755" s="270"/>
      <c r="M755" s="270"/>
      <c r="N755" s="270"/>
      <c r="O755" s="268"/>
      <c r="P755" s="271"/>
    </row>
    <row r="756" ht="15.0" customHeight="1">
      <c r="A756" s="268" t="s">
        <v>12</v>
      </c>
      <c r="B756" s="269">
        <v>46121.0</v>
      </c>
      <c r="C756" s="268"/>
      <c r="D756" s="268" t="s">
        <v>123</v>
      </c>
      <c r="E756" s="268" t="s">
        <v>78</v>
      </c>
      <c r="F756" s="268" t="s">
        <v>79</v>
      </c>
      <c r="G756" s="268" t="s">
        <v>80</v>
      </c>
      <c r="H756" s="270">
        <v>247.0</v>
      </c>
      <c r="I756" s="270"/>
      <c r="J756" s="270"/>
      <c r="K756" s="270"/>
      <c r="L756" s="270"/>
      <c r="M756" s="270"/>
      <c r="N756" s="270"/>
      <c r="O756" s="268"/>
      <c r="P756" s="271"/>
    </row>
    <row r="757" ht="15.0" customHeight="1">
      <c r="A757" s="268" t="s">
        <v>12</v>
      </c>
      <c r="B757" s="269">
        <v>46121.0</v>
      </c>
      <c r="C757" s="268"/>
      <c r="D757" s="268" t="s">
        <v>77</v>
      </c>
      <c r="E757" s="268" t="s">
        <v>78</v>
      </c>
      <c r="F757" s="268" t="s">
        <v>79</v>
      </c>
      <c r="G757" s="268" t="s">
        <v>80</v>
      </c>
      <c r="H757" s="270">
        <v>470.0</v>
      </c>
      <c r="I757" s="270"/>
      <c r="J757" s="270"/>
      <c r="K757" s="270"/>
      <c r="L757" s="270"/>
      <c r="M757" s="270"/>
      <c r="N757" s="270"/>
      <c r="O757" s="268"/>
      <c r="P757" s="271"/>
    </row>
    <row r="758" ht="15.0" customHeight="1">
      <c r="A758" s="268" t="s">
        <v>12</v>
      </c>
      <c r="B758" s="269">
        <v>46121.0</v>
      </c>
      <c r="C758" s="268"/>
      <c r="D758" s="268" t="s">
        <v>84</v>
      </c>
      <c r="E758" s="268" t="s">
        <v>78</v>
      </c>
      <c r="F758" s="268" t="s">
        <v>79</v>
      </c>
      <c r="G758" s="268" t="s">
        <v>80</v>
      </c>
      <c r="H758" s="270">
        <v>460.0</v>
      </c>
      <c r="I758" s="270"/>
      <c r="J758" s="270"/>
      <c r="K758" s="270"/>
      <c r="L758" s="270"/>
      <c r="M758" s="270"/>
      <c r="N758" s="270"/>
      <c r="O758" s="268"/>
      <c r="P758" s="271"/>
    </row>
    <row r="759" ht="15.0" customHeight="1">
      <c r="A759" s="268" t="s">
        <v>12</v>
      </c>
      <c r="B759" s="269">
        <v>46121.0</v>
      </c>
      <c r="C759" s="268"/>
      <c r="D759" s="268" t="s">
        <v>91</v>
      </c>
      <c r="E759" s="268" t="s">
        <v>78</v>
      </c>
      <c r="F759" s="268" t="s">
        <v>79</v>
      </c>
      <c r="G759" s="268" t="s">
        <v>80</v>
      </c>
      <c r="H759" s="270">
        <v>50.0</v>
      </c>
      <c r="I759" s="270"/>
      <c r="J759" s="270"/>
      <c r="K759" s="270"/>
      <c r="L759" s="270"/>
      <c r="M759" s="270"/>
      <c r="N759" s="270"/>
      <c r="O759" s="268"/>
      <c r="P759" s="271"/>
    </row>
    <row r="760" ht="15.0" customHeight="1">
      <c r="A760" s="268" t="s">
        <v>12</v>
      </c>
      <c r="B760" s="269">
        <v>46121.0</v>
      </c>
      <c r="C760" s="268"/>
      <c r="D760" s="268" t="s">
        <v>89</v>
      </c>
      <c r="E760" s="268" t="s">
        <v>78</v>
      </c>
      <c r="F760" s="268" t="s">
        <v>79</v>
      </c>
      <c r="G760" s="268" t="s">
        <v>80</v>
      </c>
      <c r="H760" s="270">
        <v>30.0</v>
      </c>
      <c r="I760" s="270"/>
      <c r="J760" s="270"/>
      <c r="K760" s="270"/>
      <c r="L760" s="270"/>
      <c r="M760" s="270"/>
      <c r="N760" s="270"/>
      <c r="O760" s="268"/>
      <c r="P760" s="271"/>
    </row>
    <row r="761" ht="15.0" customHeight="1">
      <c r="A761" s="268" t="s">
        <v>12</v>
      </c>
      <c r="B761" s="269">
        <v>46121.0</v>
      </c>
      <c r="C761" s="268"/>
      <c r="D761" s="268" t="s">
        <v>92</v>
      </c>
      <c r="E761" s="268" t="s">
        <v>78</v>
      </c>
      <c r="F761" s="268" t="s">
        <v>79</v>
      </c>
      <c r="G761" s="268" t="s">
        <v>80</v>
      </c>
      <c r="H761" s="270">
        <v>260.0</v>
      </c>
      <c r="I761" s="270"/>
      <c r="J761" s="270"/>
      <c r="K761" s="270"/>
      <c r="L761" s="270"/>
      <c r="M761" s="270"/>
      <c r="N761" s="270"/>
      <c r="O761" s="268"/>
      <c r="P761" s="271"/>
    </row>
    <row r="762" ht="15.0" customHeight="1">
      <c r="A762" s="268" t="s">
        <v>12</v>
      </c>
      <c r="B762" s="269">
        <v>46121.0</v>
      </c>
      <c r="C762" s="268"/>
      <c r="D762" s="268" t="s">
        <v>145</v>
      </c>
      <c r="E762" s="268" t="s">
        <v>78</v>
      </c>
      <c r="F762" s="268" t="s">
        <v>79</v>
      </c>
      <c r="G762" s="268" t="s">
        <v>80</v>
      </c>
      <c r="H762" s="270">
        <v>250.0</v>
      </c>
      <c r="I762" s="270"/>
      <c r="J762" s="270"/>
      <c r="K762" s="270"/>
      <c r="L762" s="270"/>
      <c r="M762" s="270"/>
      <c r="N762" s="270"/>
      <c r="O762" s="268"/>
      <c r="P762" s="271"/>
    </row>
    <row r="763" ht="15.0" customHeight="1">
      <c r="A763" s="268" t="s">
        <v>12</v>
      </c>
      <c r="B763" s="269">
        <v>46121.0</v>
      </c>
      <c r="C763" s="268"/>
      <c r="D763" s="268" t="s">
        <v>86</v>
      </c>
      <c r="E763" s="268" t="s">
        <v>78</v>
      </c>
      <c r="F763" s="268" t="s">
        <v>79</v>
      </c>
      <c r="G763" s="268" t="s">
        <v>80</v>
      </c>
      <c r="H763" s="270">
        <v>255.0</v>
      </c>
      <c r="I763" s="270"/>
      <c r="J763" s="270"/>
      <c r="K763" s="270"/>
      <c r="L763" s="270"/>
      <c r="M763" s="270"/>
      <c r="N763" s="270"/>
      <c r="O763" s="268"/>
      <c r="P763" s="271"/>
    </row>
    <row r="764" ht="15.0" customHeight="1">
      <c r="A764" s="268" t="s">
        <v>12</v>
      </c>
      <c r="B764" s="269">
        <v>46121.0</v>
      </c>
      <c r="C764" s="268"/>
      <c r="D764" s="268" t="s">
        <v>113</v>
      </c>
      <c r="E764" s="268" t="s">
        <v>78</v>
      </c>
      <c r="F764" s="268" t="s">
        <v>79</v>
      </c>
      <c r="G764" s="268" t="s">
        <v>80</v>
      </c>
      <c r="H764" s="270">
        <v>214.0</v>
      </c>
      <c r="I764" s="270"/>
      <c r="J764" s="270"/>
      <c r="K764" s="270"/>
      <c r="L764" s="270"/>
      <c r="M764" s="270"/>
      <c r="N764" s="270"/>
      <c r="O764" s="268"/>
      <c r="P764" s="271"/>
    </row>
    <row r="765" ht="15.0" customHeight="1">
      <c r="A765" s="268" t="s">
        <v>12</v>
      </c>
      <c r="B765" s="269">
        <v>46121.0</v>
      </c>
      <c r="C765" s="268"/>
      <c r="D765" s="268" t="s">
        <v>98</v>
      </c>
      <c r="E765" s="268" t="s">
        <v>78</v>
      </c>
      <c r="F765" s="268" t="s">
        <v>79</v>
      </c>
      <c r="G765" s="268" t="s">
        <v>80</v>
      </c>
      <c r="H765" s="270">
        <v>187.0</v>
      </c>
      <c r="I765" s="270"/>
      <c r="J765" s="270"/>
      <c r="K765" s="270"/>
      <c r="L765" s="270"/>
      <c r="M765" s="270"/>
      <c r="N765" s="270"/>
      <c r="O765" s="268"/>
      <c r="P765" s="271"/>
    </row>
    <row r="766" ht="15.0" customHeight="1">
      <c r="A766" s="268" t="s">
        <v>12</v>
      </c>
      <c r="B766" s="269">
        <v>46121.0</v>
      </c>
      <c r="C766" s="268"/>
      <c r="D766" s="268" t="s">
        <v>112</v>
      </c>
      <c r="E766" s="268" t="s">
        <v>78</v>
      </c>
      <c r="F766" s="268" t="s">
        <v>79</v>
      </c>
      <c r="G766" s="268" t="s">
        <v>80</v>
      </c>
      <c r="H766" s="270">
        <v>236.0</v>
      </c>
      <c r="I766" s="270"/>
      <c r="J766" s="270"/>
      <c r="K766" s="270"/>
      <c r="L766" s="270"/>
      <c r="M766" s="270"/>
      <c r="N766" s="270"/>
      <c r="O766" s="268"/>
      <c r="P766" s="271"/>
    </row>
    <row r="767" ht="15.0" customHeight="1">
      <c r="A767" s="268" t="s">
        <v>12</v>
      </c>
      <c r="B767" s="269">
        <v>46121.0</v>
      </c>
      <c r="C767" s="268"/>
      <c r="D767" s="268" t="s">
        <v>123</v>
      </c>
      <c r="E767" s="268" t="s">
        <v>83</v>
      </c>
      <c r="F767" s="268" t="s">
        <v>79</v>
      </c>
      <c r="G767" s="268" t="s">
        <v>80</v>
      </c>
      <c r="H767" s="270">
        <v>167.0</v>
      </c>
      <c r="I767" s="270"/>
      <c r="J767" s="270"/>
      <c r="K767" s="270"/>
      <c r="L767" s="270"/>
      <c r="M767" s="270"/>
      <c r="N767" s="270"/>
      <c r="O767" s="268"/>
      <c r="P767" s="271"/>
    </row>
    <row r="768" ht="15.0" customHeight="1">
      <c r="A768" s="268" t="s">
        <v>12</v>
      </c>
      <c r="B768" s="269">
        <v>46121.0</v>
      </c>
      <c r="C768" s="268"/>
      <c r="D768" s="268" t="s">
        <v>115</v>
      </c>
      <c r="E768" s="268" t="s">
        <v>83</v>
      </c>
      <c r="F768" s="268" t="s">
        <v>79</v>
      </c>
      <c r="G768" s="268" t="s">
        <v>80</v>
      </c>
      <c r="H768" s="270">
        <v>420.0</v>
      </c>
      <c r="I768" s="270"/>
      <c r="J768" s="270"/>
      <c r="K768" s="270"/>
      <c r="L768" s="270"/>
      <c r="M768" s="270"/>
      <c r="N768" s="270"/>
      <c r="O768" s="268"/>
      <c r="P768" s="271"/>
    </row>
    <row r="769" ht="15.0" customHeight="1">
      <c r="A769" s="268" t="s">
        <v>12</v>
      </c>
      <c r="B769" s="269">
        <v>46121.0</v>
      </c>
      <c r="C769" s="268"/>
      <c r="D769" s="268" t="s">
        <v>84</v>
      </c>
      <c r="E769" s="268" t="s">
        <v>110</v>
      </c>
      <c r="F769" s="268" t="s">
        <v>79</v>
      </c>
      <c r="G769" s="268" t="s">
        <v>110</v>
      </c>
      <c r="H769" s="270">
        <v>5.0</v>
      </c>
      <c r="I769" s="270"/>
      <c r="J769" s="270"/>
      <c r="K769" s="270"/>
      <c r="L769" s="270"/>
      <c r="M769" s="270"/>
      <c r="N769" s="270"/>
      <c r="O769" s="268"/>
      <c r="P769" s="271"/>
    </row>
    <row r="770" ht="15.0" customHeight="1">
      <c r="A770" s="268" t="s">
        <v>12</v>
      </c>
      <c r="B770" s="269">
        <v>46121.0</v>
      </c>
      <c r="C770" s="268"/>
      <c r="D770" s="268" t="s">
        <v>102</v>
      </c>
      <c r="E770" s="268" t="s">
        <v>107</v>
      </c>
      <c r="F770" s="268" t="s">
        <v>79</v>
      </c>
      <c r="G770" s="268" t="s">
        <v>107</v>
      </c>
      <c r="H770" s="270">
        <v>14.0</v>
      </c>
      <c r="I770" s="270"/>
      <c r="J770" s="270"/>
      <c r="K770" s="270"/>
      <c r="L770" s="270"/>
      <c r="M770" s="270"/>
      <c r="N770" s="270"/>
      <c r="O770" s="268"/>
      <c r="P770" s="271"/>
    </row>
    <row r="771" ht="15.0" customHeight="1">
      <c r="A771" s="268" t="s">
        <v>12</v>
      </c>
      <c r="B771" s="269">
        <v>46122.0</v>
      </c>
      <c r="C771" s="268"/>
      <c r="D771" s="268" t="s">
        <v>159</v>
      </c>
      <c r="E771" s="268" t="s">
        <v>83</v>
      </c>
      <c r="F771" s="268" t="s">
        <v>79</v>
      </c>
      <c r="G771" s="268" t="s">
        <v>80</v>
      </c>
      <c r="H771" s="270">
        <v>150.0</v>
      </c>
      <c r="I771" s="270"/>
      <c r="J771" s="270"/>
      <c r="K771" s="270"/>
      <c r="L771" s="270"/>
      <c r="M771" s="270"/>
      <c r="N771" s="270"/>
      <c r="O771" s="268"/>
      <c r="P771" s="271"/>
    </row>
    <row r="772" ht="15.0" customHeight="1">
      <c r="A772" s="268" t="s">
        <v>12</v>
      </c>
      <c r="B772" s="269">
        <v>46122.0</v>
      </c>
      <c r="C772" s="268"/>
      <c r="D772" s="268" t="s">
        <v>126</v>
      </c>
      <c r="E772" s="268" t="s">
        <v>83</v>
      </c>
      <c r="F772" s="268" t="s">
        <v>79</v>
      </c>
      <c r="G772" s="268" t="s">
        <v>80</v>
      </c>
      <c r="H772" s="270">
        <v>215.0</v>
      </c>
      <c r="I772" s="270"/>
      <c r="J772" s="270"/>
      <c r="K772" s="270"/>
      <c r="L772" s="270"/>
      <c r="M772" s="270"/>
      <c r="N772" s="270"/>
      <c r="O772" s="268"/>
      <c r="P772" s="271"/>
    </row>
    <row r="773" ht="15.0" customHeight="1">
      <c r="A773" s="268" t="s">
        <v>12</v>
      </c>
      <c r="B773" s="269">
        <v>46122.0</v>
      </c>
      <c r="C773" s="268"/>
      <c r="D773" s="268" t="s">
        <v>82</v>
      </c>
      <c r="E773" s="268" t="s">
        <v>83</v>
      </c>
      <c r="F773" s="268" t="s">
        <v>79</v>
      </c>
      <c r="G773" s="268" t="s">
        <v>80</v>
      </c>
      <c r="H773" s="270">
        <v>338.0</v>
      </c>
      <c r="I773" s="270"/>
      <c r="J773" s="270"/>
      <c r="K773" s="270"/>
      <c r="L773" s="270"/>
      <c r="M773" s="270"/>
      <c r="N773" s="270"/>
      <c r="O773" s="268"/>
      <c r="P773" s="271"/>
    </row>
    <row r="774" ht="15.0" customHeight="1">
      <c r="A774" s="268" t="s">
        <v>12</v>
      </c>
      <c r="B774" s="269">
        <v>46122.0</v>
      </c>
      <c r="C774" s="268"/>
      <c r="D774" s="268" t="s">
        <v>84</v>
      </c>
      <c r="E774" s="268" t="s">
        <v>83</v>
      </c>
      <c r="F774" s="268" t="s">
        <v>79</v>
      </c>
      <c r="G774" s="268" t="s">
        <v>80</v>
      </c>
      <c r="H774" s="270">
        <v>53.0</v>
      </c>
      <c r="I774" s="270"/>
      <c r="J774" s="270"/>
      <c r="K774" s="270"/>
      <c r="L774" s="270"/>
      <c r="M774" s="270"/>
      <c r="N774" s="270"/>
      <c r="O774" s="268"/>
      <c r="P774" s="271"/>
    </row>
    <row r="775" ht="15.0" customHeight="1">
      <c r="A775" s="268" t="s">
        <v>12</v>
      </c>
      <c r="B775" s="269">
        <v>46122.0</v>
      </c>
      <c r="C775" s="268"/>
      <c r="D775" s="268" t="s">
        <v>119</v>
      </c>
      <c r="E775" s="268" t="s">
        <v>83</v>
      </c>
      <c r="F775" s="268" t="s">
        <v>79</v>
      </c>
      <c r="G775" s="268" t="s">
        <v>80</v>
      </c>
      <c r="H775" s="270">
        <v>422.0</v>
      </c>
      <c r="I775" s="270"/>
      <c r="J775" s="270"/>
      <c r="K775" s="270"/>
      <c r="L775" s="270"/>
      <c r="M775" s="270"/>
      <c r="N775" s="270"/>
      <c r="O775" s="268"/>
      <c r="P775" s="271"/>
    </row>
    <row r="776" ht="15.0" customHeight="1">
      <c r="A776" s="268" t="s">
        <v>12</v>
      </c>
      <c r="B776" s="269">
        <v>46122.0</v>
      </c>
      <c r="C776" s="268"/>
      <c r="D776" s="268" t="s">
        <v>100</v>
      </c>
      <c r="E776" s="268" t="s">
        <v>83</v>
      </c>
      <c r="F776" s="268" t="s">
        <v>79</v>
      </c>
      <c r="G776" s="268" t="s">
        <v>80</v>
      </c>
      <c r="H776" s="270">
        <v>309.0</v>
      </c>
      <c r="I776" s="270"/>
      <c r="J776" s="270"/>
      <c r="K776" s="270"/>
      <c r="L776" s="270"/>
      <c r="M776" s="270"/>
      <c r="N776" s="270"/>
      <c r="O776" s="268"/>
      <c r="P776" s="271"/>
    </row>
    <row r="777" ht="15.0" customHeight="1">
      <c r="A777" s="268" t="s">
        <v>12</v>
      </c>
      <c r="B777" s="269">
        <v>46122.0</v>
      </c>
      <c r="C777" s="268"/>
      <c r="D777" s="268" t="s">
        <v>99</v>
      </c>
      <c r="E777" s="268" t="s">
        <v>83</v>
      </c>
      <c r="F777" s="268" t="s">
        <v>79</v>
      </c>
      <c r="G777" s="268" t="s">
        <v>80</v>
      </c>
      <c r="H777" s="270">
        <v>400.0</v>
      </c>
      <c r="I777" s="270"/>
      <c r="J777" s="270"/>
      <c r="K777" s="270"/>
      <c r="L777" s="270"/>
      <c r="M777" s="270"/>
      <c r="N777" s="270"/>
      <c r="O777" s="268"/>
      <c r="P777" s="271"/>
    </row>
    <row r="778" ht="15.0" customHeight="1">
      <c r="A778" s="268" t="s">
        <v>12</v>
      </c>
      <c r="B778" s="269">
        <v>46122.0</v>
      </c>
      <c r="C778" s="268"/>
      <c r="D778" s="268" t="s">
        <v>118</v>
      </c>
      <c r="E778" s="268" t="s">
        <v>83</v>
      </c>
      <c r="F778" s="268" t="s">
        <v>79</v>
      </c>
      <c r="G778" s="268" t="s">
        <v>80</v>
      </c>
      <c r="H778" s="270">
        <v>403.0</v>
      </c>
      <c r="I778" s="270"/>
      <c r="J778" s="270"/>
      <c r="K778" s="270"/>
      <c r="L778" s="270"/>
      <c r="M778" s="270"/>
      <c r="N778" s="270"/>
      <c r="O778" s="268"/>
      <c r="P778" s="271"/>
    </row>
    <row r="779" ht="15.0" customHeight="1">
      <c r="A779" s="268" t="s">
        <v>12</v>
      </c>
      <c r="B779" s="269">
        <v>46122.0</v>
      </c>
      <c r="C779" s="268"/>
      <c r="D779" s="268" t="s">
        <v>96</v>
      </c>
      <c r="E779" s="268" t="s">
        <v>83</v>
      </c>
      <c r="F779" s="268" t="s">
        <v>79</v>
      </c>
      <c r="G779" s="268" t="s">
        <v>80</v>
      </c>
      <c r="H779" s="270">
        <v>391.0</v>
      </c>
      <c r="I779" s="270"/>
      <c r="J779" s="270"/>
      <c r="K779" s="270"/>
      <c r="L779" s="270"/>
      <c r="M779" s="270"/>
      <c r="N779" s="270"/>
      <c r="O779" s="268"/>
      <c r="P779" s="271"/>
    </row>
    <row r="780" ht="15.0" customHeight="1">
      <c r="A780" s="268" t="s">
        <v>12</v>
      </c>
      <c r="B780" s="269">
        <v>46122.0</v>
      </c>
      <c r="C780" s="268"/>
      <c r="D780" s="268" t="s">
        <v>103</v>
      </c>
      <c r="E780" s="268" t="s">
        <v>83</v>
      </c>
      <c r="F780" s="268" t="s">
        <v>79</v>
      </c>
      <c r="G780" s="268" t="s">
        <v>80</v>
      </c>
      <c r="H780" s="270">
        <v>159.0</v>
      </c>
      <c r="I780" s="270"/>
      <c r="J780" s="270"/>
      <c r="K780" s="270"/>
      <c r="L780" s="270"/>
      <c r="M780" s="270"/>
      <c r="N780" s="270"/>
      <c r="O780" s="268"/>
      <c r="P780" s="271"/>
    </row>
    <row r="781" ht="15.0" customHeight="1">
      <c r="A781" s="268" t="s">
        <v>12</v>
      </c>
      <c r="B781" s="269">
        <v>46122.0</v>
      </c>
      <c r="C781" s="268"/>
      <c r="D781" s="268" t="s">
        <v>114</v>
      </c>
      <c r="E781" s="268" t="s">
        <v>83</v>
      </c>
      <c r="F781" s="268" t="s">
        <v>79</v>
      </c>
      <c r="G781" s="268" t="s">
        <v>80</v>
      </c>
      <c r="H781" s="270">
        <v>210.0</v>
      </c>
      <c r="I781" s="270"/>
      <c r="J781" s="270"/>
      <c r="K781" s="270"/>
      <c r="L781" s="270"/>
      <c r="M781" s="270"/>
      <c r="N781" s="270"/>
      <c r="O781" s="268"/>
      <c r="P781" s="271"/>
    </row>
    <row r="782" ht="15.0" customHeight="1">
      <c r="A782" s="268" t="s">
        <v>12</v>
      </c>
      <c r="B782" s="269">
        <v>46122.0</v>
      </c>
      <c r="C782" s="268"/>
      <c r="D782" s="268" t="s">
        <v>336</v>
      </c>
      <c r="E782" s="268" t="s">
        <v>83</v>
      </c>
      <c r="F782" s="268" t="s">
        <v>79</v>
      </c>
      <c r="G782" s="268" t="s">
        <v>80</v>
      </c>
      <c r="H782" s="270">
        <v>245.0</v>
      </c>
      <c r="I782" s="270"/>
      <c r="J782" s="270"/>
      <c r="K782" s="270"/>
      <c r="L782" s="270"/>
      <c r="M782" s="270"/>
      <c r="N782" s="270"/>
      <c r="O782" s="268"/>
      <c r="P782" s="271"/>
    </row>
    <row r="783" ht="15.0" customHeight="1">
      <c r="A783" s="268" t="s">
        <v>12</v>
      </c>
      <c r="B783" s="269">
        <v>46122.0</v>
      </c>
      <c r="C783" s="268"/>
      <c r="D783" s="268" t="s">
        <v>138</v>
      </c>
      <c r="E783" s="268" t="s">
        <v>83</v>
      </c>
      <c r="F783" s="268" t="s">
        <v>79</v>
      </c>
      <c r="G783" s="268" t="s">
        <v>80</v>
      </c>
      <c r="H783" s="270">
        <v>260.0</v>
      </c>
      <c r="I783" s="270"/>
      <c r="J783" s="270"/>
      <c r="K783" s="270"/>
      <c r="L783" s="270"/>
      <c r="M783" s="270"/>
      <c r="N783" s="270"/>
      <c r="O783" s="268"/>
      <c r="P783" s="271"/>
    </row>
    <row r="784" ht="15.0" customHeight="1">
      <c r="A784" s="268" t="s">
        <v>12</v>
      </c>
      <c r="B784" s="269">
        <v>46122.0</v>
      </c>
      <c r="C784" s="268"/>
      <c r="D784" s="268" t="s">
        <v>103</v>
      </c>
      <c r="E784" s="268" t="s">
        <v>110</v>
      </c>
      <c r="F784" s="268" t="s">
        <v>79</v>
      </c>
      <c r="G784" s="268" t="s">
        <v>110</v>
      </c>
      <c r="H784" s="270">
        <v>3.0</v>
      </c>
      <c r="I784" s="270"/>
      <c r="J784" s="270"/>
      <c r="K784" s="270"/>
      <c r="L784" s="270"/>
      <c r="M784" s="270"/>
      <c r="N784" s="270"/>
      <c r="O784" s="268"/>
      <c r="P784" s="271"/>
    </row>
    <row r="785" ht="15.0" customHeight="1">
      <c r="A785" s="268" t="s">
        <v>12</v>
      </c>
      <c r="B785" s="269">
        <v>46122.0</v>
      </c>
      <c r="C785" s="268"/>
      <c r="D785" s="268" t="s">
        <v>333</v>
      </c>
      <c r="E785" s="268" t="s">
        <v>298</v>
      </c>
      <c r="F785" s="268" t="s">
        <v>79</v>
      </c>
      <c r="G785" s="268" t="s">
        <v>298</v>
      </c>
      <c r="H785" s="270">
        <v>20.0</v>
      </c>
      <c r="I785" s="270"/>
      <c r="J785" s="270"/>
      <c r="K785" s="270"/>
      <c r="L785" s="270"/>
      <c r="M785" s="270"/>
      <c r="N785" s="270"/>
      <c r="O785" s="268"/>
      <c r="P785" s="271"/>
    </row>
    <row r="786" ht="15.0" customHeight="1">
      <c r="A786" s="268" t="s">
        <v>16</v>
      </c>
      <c r="B786" s="269">
        <v>46122.0</v>
      </c>
      <c r="C786" s="268"/>
      <c r="D786" s="268"/>
      <c r="E786" s="268" t="s">
        <v>163</v>
      </c>
      <c r="F786" s="268" t="s">
        <v>565</v>
      </c>
      <c r="G786" s="268" t="s">
        <v>80</v>
      </c>
      <c r="H786" s="270">
        <v>5664.0</v>
      </c>
      <c r="I786" s="270"/>
      <c r="J786" s="270"/>
      <c r="K786" s="270"/>
      <c r="L786" s="270"/>
      <c r="M786" s="270"/>
      <c r="N786" s="270"/>
      <c r="O786" s="268"/>
      <c r="P786" s="271"/>
    </row>
    <row r="787" ht="15.0" customHeight="1">
      <c r="A787" s="268" t="s">
        <v>12</v>
      </c>
      <c r="B787" s="269">
        <v>46123.0</v>
      </c>
      <c r="C787" s="268"/>
      <c r="D787" s="268" t="s">
        <v>153</v>
      </c>
      <c r="E787" s="268" t="s">
        <v>83</v>
      </c>
      <c r="F787" s="268" t="s">
        <v>79</v>
      </c>
      <c r="G787" s="268" t="s">
        <v>80</v>
      </c>
      <c r="H787" s="270">
        <v>105.0</v>
      </c>
      <c r="I787" s="270"/>
      <c r="J787" s="270"/>
      <c r="K787" s="270"/>
      <c r="L787" s="270"/>
      <c r="M787" s="270"/>
      <c r="N787" s="270"/>
      <c r="O787" s="268"/>
      <c r="P787" s="271"/>
    </row>
    <row r="788" ht="15.0" customHeight="1">
      <c r="A788" s="268" t="s">
        <v>12</v>
      </c>
      <c r="B788" s="269">
        <v>46123.0</v>
      </c>
      <c r="C788" s="268"/>
      <c r="D788" s="268" t="s">
        <v>89</v>
      </c>
      <c r="E788" s="268" t="s">
        <v>83</v>
      </c>
      <c r="F788" s="268" t="s">
        <v>79</v>
      </c>
      <c r="G788" s="268" t="s">
        <v>80</v>
      </c>
      <c r="H788" s="270">
        <v>51.0</v>
      </c>
      <c r="I788" s="270"/>
      <c r="J788" s="270"/>
      <c r="K788" s="270"/>
      <c r="L788" s="270"/>
      <c r="M788" s="270"/>
      <c r="N788" s="270"/>
      <c r="O788" s="268"/>
      <c r="P788" s="271"/>
    </row>
    <row r="789" ht="15.0" customHeight="1">
      <c r="A789" s="268" t="s">
        <v>12</v>
      </c>
      <c r="B789" s="269">
        <v>46123.0</v>
      </c>
      <c r="C789" s="268"/>
      <c r="D789" s="268" t="s">
        <v>87</v>
      </c>
      <c r="E789" s="268" t="s">
        <v>83</v>
      </c>
      <c r="F789" s="268" t="s">
        <v>79</v>
      </c>
      <c r="G789" s="268" t="s">
        <v>80</v>
      </c>
      <c r="H789" s="270">
        <v>210.0</v>
      </c>
      <c r="I789" s="270"/>
      <c r="J789" s="270"/>
      <c r="K789" s="270"/>
      <c r="L789" s="270"/>
      <c r="M789" s="270"/>
      <c r="N789" s="270"/>
      <c r="O789" s="268"/>
      <c r="P789" s="271"/>
    </row>
    <row r="790" ht="15.0" customHeight="1">
      <c r="A790" s="268" t="s">
        <v>12</v>
      </c>
      <c r="B790" s="269">
        <v>46123.0</v>
      </c>
      <c r="C790" s="268"/>
      <c r="D790" s="268" t="s">
        <v>86</v>
      </c>
      <c r="E790" s="268" t="s">
        <v>83</v>
      </c>
      <c r="F790" s="268" t="s">
        <v>79</v>
      </c>
      <c r="G790" s="268" t="s">
        <v>80</v>
      </c>
      <c r="H790" s="270">
        <v>258.0</v>
      </c>
      <c r="I790" s="270"/>
      <c r="J790" s="270"/>
      <c r="K790" s="270"/>
      <c r="L790" s="270"/>
      <c r="M790" s="270"/>
      <c r="N790" s="270"/>
      <c r="O790" s="268"/>
      <c r="P790" s="271"/>
    </row>
    <row r="791" ht="15.0" customHeight="1">
      <c r="A791" s="268" t="s">
        <v>12</v>
      </c>
      <c r="B791" s="269">
        <v>46123.0</v>
      </c>
      <c r="C791" s="268"/>
      <c r="D791" s="268" t="s">
        <v>113</v>
      </c>
      <c r="E791" s="268" t="s">
        <v>83</v>
      </c>
      <c r="F791" s="268" t="s">
        <v>79</v>
      </c>
      <c r="G791" s="268" t="s">
        <v>80</v>
      </c>
      <c r="H791" s="270">
        <v>230.0</v>
      </c>
      <c r="I791" s="270"/>
      <c r="J791" s="270"/>
      <c r="K791" s="270"/>
      <c r="L791" s="270"/>
      <c r="M791" s="270"/>
      <c r="N791" s="270"/>
      <c r="O791" s="268"/>
      <c r="P791" s="271"/>
    </row>
    <row r="792" ht="15.0" customHeight="1">
      <c r="A792" s="268" t="s">
        <v>12</v>
      </c>
      <c r="B792" s="269">
        <v>46123.0</v>
      </c>
      <c r="C792" s="268"/>
      <c r="D792" s="268" t="s">
        <v>98</v>
      </c>
      <c r="E792" s="268" t="s">
        <v>83</v>
      </c>
      <c r="F792" s="268" t="s">
        <v>79</v>
      </c>
      <c r="G792" s="268" t="s">
        <v>80</v>
      </c>
      <c r="H792" s="270">
        <v>185.0</v>
      </c>
      <c r="I792" s="270"/>
      <c r="J792" s="270"/>
      <c r="K792" s="270"/>
      <c r="L792" s="270"/>
      <c r="M792" s="270"/>
      <c r="N792" s="270"/>
      <c r="O792" s="268"/>
      <c r="P792" s="271"/>
    </row>
    <row r="793" ht="15.0" customHeight="1">
      <c r="A793" s="268" t="s">
        <v>12</v>
      </c>
      <c r="B793" s="269">
        <v>46123.0</v>
      </c>
      <c r="C793" s="268"/>
      <c r="D793" s="268" t="s">
        <v>112</v>
      </c>
      <c r="E793" s="268" t="s">
        <v>83</v>
      </c>
      <c r="F793" s="268" t="s">
        <v>79</v>
      </c>
      <c r="G793" s="268" t="s">
        <v>80</v>
      </c>
      <c r="H793" s="270">
        <v>252.0</v>
      </c>
      <c r="I793" s="270"/>
      <c r="J793" s="270"/>
      <c r="K793" s="270"/>
      <c r="L793" s="270"/>
      <c r="M793" s="270"/>
      <c r="N793" s="270"/>
      <c r="O793" s="268"/>
      <c r="P793" s="271"/>
    </row>
    <row r="794" ht="15.0" customHeight="1">
      <c r="A794" s="268" t="s">
        <v>12</v>
      </c>
      <c r="B794" s="269">
        <v>46123.0</v>
      </c>
      <c r="C794" s="268"/>
      <c r="D794" s="268" t="s">
        <v>101</v>
      </c>
      <c r="E794" s="268" t="s">
        <v>83</v>
      </c>
      <c r="F794" s="268" t="s">
        <v>79</v>
      </c>
      <c r="G794" s="268" t="s">
        <v>80</v>
      </c>
      <c r="H794" s="270">
        <v>205.0</v>
      </c>
      <c r="I794" s="270"/>
      <c r="J794" s="270"/>
      <c r="K794" s="270"/>
      <c r="L794" s="270"/>
      <c r="M794" s="270"/>
      <c r="N794" s="270"/>
      <c r="O794" s="268"/>
      <c r="P794" s="271"/>
    </row>
    <row r="795" ht="15.0" customHeight="1">
      <c r="A795" s="268" t="s">
        <v>12</v>
      </c>
      <c r="B795" s="269">
        <v>46123.0</v>
      </c>
      <c r="C795" s="268"/>
      <c r="D795" s="268" t="s">
        <v>97</v>
      </c>
      <c r="E795" s="268" t="s">
        <v>83</v>
      </c>
      <c r="F795" s="268" t="s">
        <v>79</v>
      </c>
      <c r="G795" s="268" t="s">
        <v>80</v>
      </c>
      <c r="H795" s="270">
        <v>192.0</v>
      </c>
      <c r="I795" s="270"/>
      <c r="J795" s="270"/>
      <c r="K795" s="270"/>
      <c r="L795" s="270"/>
      <c r="M795" s="270"/>
      <c r="N795" s="270"/>
      <c r="O795" s="268"/>
      <c r="P795" s="271"/>
    </row>
    <row r="796" ht="15.0" customHeight="1">
      <c r="A796" s="268" t="s">
        <v>16</v>
      </c>
      <c r="B796" s="269">
        <v>46123.0</v>
      </c>
      <c r="C796" s="268"/>
      <c r="D796" s="268"/>
      <c r="E796" s="268" t="s">
        <v>141</v>
      </c>
      <c r="F796" s="268" t="s">
        <v>565</v>
      </c>
      <c r="G796" s="268" t="s">
        <v>80</v>
      </c>
      <c r="H796" s="270">
        <v>15850.0</v>
      </c>
      <c r="I796" s="270"/>
      <c r="J796" s="270"/>
      <c r="K796" s="270"/>
      <c r="L796" s="270"/>
      <c r="M796" s="270"/>
      <c r="N796" s="270"/>
      <c r="O796" s="268"/>
      <c r="P796" s="271"/>
    </row>
    <row r="797" ht="15.0" customHeight="1">
      <c r="A797" s="268" t="s">
        <v>12</v>
      </c>
      <c r="B797" s="269">
        <v>46124.0</v>
      </c>
      <c r="C797" s="268"/>
      <c r="D797" s="268" t="s">
        <v>130</v>
      </c>
      <c r="E797" s="268" t="s">
        <v>83</v>
      </c>
      <c r="F797" s="268" t="s">
        <v>79</v>
      </c>
      <c r="G797" s="268" t="s">
        <v>80</v>
      </c>
      <c r="H797" s="270">
        <v>170.0</v>
      </c>
      <c r="I797" s="270"/>
      <c r="J797" s="270"/>
      <c r="K797" s="270"/>
      <c r="L797" s="270"/>
      <c r="M797" s="270"/>
      <c r="N797" s="270"/>
      <c r="O797" s="268"/>
      <c r="P797" s="271"/>
    </row>
    <row r="798" ht="15.0" customHeight="1">
      <c r="A798" s="268" t="s">
        <v>12</v>
      </c>
      <c r="B798" s="269">
        <v>46124.0</v>
      </c>
      <c r="C798" s="268"/>
      <c r="D798" s="268" t="s">
        <v>89</v>
      </c>
      <c r="E798" s="268" t="s">
        <v>83</v>
      </c>
      <c r="F798" s="268" t="s">
        <v>79</v>
      </c>
      <c r="G798" s="268" t="s">
        <v>80</v>
      </c>
      <c r="H798" s="270">
        <v>46.0</v>
      </c>
      <c r="I798" s="270"/>
      <c r="J798" s="270"/>
      <c r="K798" s="270"/>
      <c r="L798" s="270"/>
      <c r="M798" s="270"/>
      <c r="N798" s="270"/>
      <c r="O798" s="268"/>
      <c r="P798" s="271"/>
    </row>
    <row r="799" ht="15.0" customHeight="1">
      <c r="A799" s="268" t="s">
        <v>12</v>
      </c>
      <c r="B799" s="269">
        <v>46124.0</v>
      </c>
      <c r="C799" s="268"/>
      <c r="D799" s="268" t="s">
        <v>103</v>
      </c>
      <c r="E799" s="268" t="s">
        <v>83</v>
      </c>
      <c r="F799" s="268" t="s">
        <v>79</v>
      </c>
      <c r="G799" s="268" t="s">
        <v>80</v>
      </c>
      <c r="H799" s="270">
        <v>166.0</v>
      </c>
      <c r="I799" s="270"/>
      <c r="J799" s="270"/>
      <c r="K799" s="270"/>
      <c r="L799" s="270"/>
      <c r="M799" s="270"/>
      <c r="N799" s="270"/>
      <c r="O799" s="268"/>
      <c r="P799" s="271"/>
    </row>
    <row r="800" ht="15.0" customHeight="1">
      <c r="A800" s="268" t="s">
        <v>12</v>
      </c>
      <c r="B800" s="269">
        <v>46124.0</v>
      </c>
      <c r="C800" s="268"/>
      <c r="D800" s="268" t="s">
        <v>145</v>
      </c>
      <c r="E800" s="268" t="s">
        <v>83</v>
      </c>
      <c r="F800" s="268" t="s">
        <v>79</v>
      </c>
      <c r="G800" s="268" t="s">
        <v>80</v>
      </c>
      <c r="H800" s="270">
        <v>200.0</v>
      </c>
      <c r="I800" s="270"/>
      <c r="J800" s="270"/>
      <c r="K800" s="270"/>
      <c r="L800" s="270"/>
      <c r="M800" s="270"/>
      <c r="N800" s="270"/>
      <c r="O800" s="268"/>
      <c r="P800" s="271"/>
    </row>
    <row r="801" ht="15.0" customHeight="1">
      <c r="A801" s="268" t="s">
        <v>12</v>
      </c>
      <c r="B801" s="269">
        <v>46124.0</v>
      </c>
      <c r="C801" s="268"/>
      <c r="D801" s="268" t="s">
        <v>161</v>
      </c>
      <c r="E801" s="268" t="s">
        <v>110</v>
      </c>
      <c r="F801" s="268" t="s">
        <v>79</v>
      </c>
      <c r="G801" s="268" t="s">
        <v>110</v>
      </c>
      <c r="H801" s="270">
        <v>20.0</v>
      </c>
      <c r="I801" s="270"/>
      <c r="J801" s="270"/>
      <c r="K801" s="270"/>
      <c r="L801" s="270"/>
      <c r="M801" s="270"/>
      <c r="N801" s="270"/>
      <c r="O801" s="268"/>
      <c r="P801" s="271"/>
    </row>
    <row r="802" ht="15.0" customHeight="1">
      <c r="A802" s="268" t="s">
        <v>12</v>
      </c>
      <c r="B802" s="269">
        <v>46125.0</v>
      </c>
      <c r="C802" s="268"/>
      <c r="D802" s="268" t="s">
        <v>117</v>
      </c>
      <c r="E802" s="268" t="s">
        <v>83</v>
      </c>
      <c r="F802" s="268" t="s">
        <v>79</v>
      </c>
      <c r="G802" s="268" t="s">
        <v>80</v>
      </c>
      <c r="H802" s="270">
        <v>157.0</v>
      </c>
      <c r="I802" s="270"/>
      <c r="J802" s="270"/>
      <c r="K802" s="270"/>
      <c r="L802" s="270"/>
      <c r="M802" s="270"/>
      <c r="N802" s="270"/>
      <c r="O802" s="268"/>
      <c r="P802" s="271"/>
    </row>
    <row r="803" ht="15.0" customHeight="1">
      <c r="A803" s="268" t="s">
        <v>12</v>
      </c>
      <c r="B803" s="269">
        <v>46125.0</v>
      </c>
      <c r="C803" s="268"/>
      <c r="D803" s="268" t="s">
        <v>121</v>
      </c>
      <c r="E803" s="268" t="s">
        <v>83</v>
      </c>
      <c r="F803" s="268" t="s">
        <v>79</v>
      </c>
      <c r="G803" s="268" t="s">
        <v>80</v>
      </c>
      <c r="H803" s="270">
        <v>298.0</v>
      </c>
      <c r="I803" s="270"/>
      <c r="J803" s="270"/>
      <c r="K803" s="270"/>
      <c r="L803" s="270"/>
      <c r="M803" s="270"/>
      <c r="N803" s="270"/>
      <c r="O803" s="268"/>
      <c r="P803" s="271"/>
    </row>
    <row r="804" ht="15.0" customHeight="1">
      <c r="A804" s="268" t="s">
        <v>12</v>
      </c>
      <c r="B804" s="269">
        <v>46125.0</v>
      </c>
      <c r="C804" s="268"/>
      <c r="D804" s="268" t="s">
        <v>89</v>
      </c>
      <c r="E804" s="268" t="s">
        <v>83</v>
      </c>
      <c r="F804" s="268" t="s">
        <v>79</v>
      </c>
      <c r="G804" s="268" t="s">
        <v>80</v>
      </c>
      <c r="H804" s="270">
        <v>41.0</v>
      </c>
      <c r="I804" s="270"/>
      <c r="J804" s="270"/>
      <c r="K804" s="270"/>
      <c r="L804" s="270"/>
      <c r="M804" s="270"/>
      <c r="N804" s="270"/>
      <c r="O804" s="268"/>
      <c r="P804" s="271"/>
    </row>
    <row r="805" ht="15.0" customHeight="1">
      <c r="A805" s="268" t="s">
        <v>12</v>
      </c>
      <c r="B805" s="269">
        <v>46125.0</v>
      </c>
      <c r="C805" s="268"/>
      <c r="D805" s="268" t="s">
        <v>92</v>
      </c>
      <c r="E805" s="268" t="s">
        <v>83</v>
      </c>
      <c r="F805" s="268" t="s">
        <v>79</v>
      </c>
      <c r="G805" s="268" t="s">
        <v>80</v>
      </c>
      <c r="H805" s="270">
        <v>265.0</v>
      </c>
      <c r="I805" s="270"/>
      <c r="J805" s="270"/>
      <c r="K805" s="270"/>
      <c r="L805" s="270"/>
      <c r="M805" s="270"/>
      <c r="N805" s="270"/>
      <c r="O805" s="268"/>
      <c r="P805" s="271"/>
    </row>
    <row r="806" ht="15.0" customHeight="1">
      <c r="A806" s="268" t="s">
        <v>12</v>
      </c>
      <c r="B806" s="269">
        <v>46125.0</v>
      </c>
      <c r="C806" s="268"/>
      <c r="D806" s="268" t="s">
        <v>97</v>
      </c>
      <c r="E806" s="268" t="s">
        <v>83</v>
      </c>
      <c r="F806" s="268" t="s">
        <v>79</v>
      </c>
      <c r="G806" s="268" t="s">
        <v>80</v>
      </c>
      <c r="H806" s="270">
        <v>198.0</v>
      </c>
      <c r="I806" s="270"/>
      <c r="J806" s="270"/>
      <c r="K806" s="270"/>
      <c r="L806" s="270"/>
      <c r="M806" s="270"/>
      <c r="N806" s="270"/>
      <c r="O806" s="268"/>
      <c r="P806" s="271"/>
    </row>
    <row r="807" ht="15.0" customHeight="1">
      <c r="A807" s="268" t="s">
        <v>12</v>
      </c>
      <c r="B807" s="269">
        <v>46125.0</v>
      </c>
      <c r="C807" s="268"/>
      <c r="D807" s="268" t="s">
        <v>119</v>
      </c>
      <c r="E807" s="268" t="s">
        <v>110</v>
      </c>
      <c r="F807" s="268" t="s">
        <v>79</v>
      </c>
      <c r="G807" s="268" t="s">
        <v>110</v>
      </c>
      <c r="H807" s="270">
        <v>30.0</v>
      </c>
      <c r="I807" s="270"/>
      <c r="J807" s="270"/>
      <c r="K807" s="270"/>
      <c r="L807" s="270"/>
      <c r="M807" s="270"/>
      <c r="N807" s="270"/>
      <c r="O807" s="268"/>
      <c r="P807" s="271"/>
    </row>
    <row r="808" ht="15.0" customHeight="1">
      <c r="A808" s="268" t="s">
        <v>12</v>
      </c>
      <c r="B808" s="269">
        <v>46126.0</v>
      </c>
      <c r="C808" s="268"/>
      <c r="D808" s="268" t="s">
        <v>161</v>
      </c>
      <c r="E808" s="268" t="s">
        <v>83</v>
      </c>
      <c r="F808" s="268" t="s">
        <v>79</v>
      </c>
      <c r="G808" s="268" t="s">
        <v>80</v>
      </c>
      <c r="H808" s="270">
        <v>130.0</v>
      </c>
      <c r="I808" s="270"/>
      <c r="J808" s="270"/>
      <c r="K808" s="270"/>
      <c r="L808" s="270"/>
      <c r="M808" s="270"/>
      <c r="N808" s="270"/>
      <c r="O808" s="268"/>
      <c r="P808" s="271"/>
    </row>
    <row r="809" ht="15.0" customHeight="1">
      <c r="A809" s="268" t="s">
        <v>12</v>
      </c>
      <c r="B809" s="269">
        <v>46126.0</v>
      </c>
      <c r="C809" s="268"/>
      <c r="D809" s="268" t="s">
        <v>123</v>
      </c>
      <c r="E809" s="268" t="s">
        <v>83</v>
      </c>
      <c r="F809" s="268" t="s">
        <v>79</v>
      </c>
      <c r="G809" s="268" t="s">
        <v>80</v>
      </c>
      <c r="H809" s="270">
        <v>530.0</v>
      </c>
      <c r="I809" s="270"/>
      <c r="J809" s="270"/>
      <c r="K809" s="270"/>
      <c r="L809" s="270"/>
      <c r="M809" s="270"/>
      <c r="N809" s="270"/>
      <c r="O809" s="268"/>
      <c r="P809" s="271"/>
    </row>
    <row r="810" ht="15.0" customHeight="1">
      <c r="A810" s="268" t="s">
        <v>12</v>
      </c>
      <c r="B810" s="269">
        <v>46126.0</v>
      </c>
      <c r="C810" s="268"/>
      <c r="D810" s="268" t="s">
        <v>82</v>
      </c>
      <c r="E810" s="268" t="s">
        <v>83</v>
      </c>
      <c r="F810" s="268" t="s">
        <v>79</v>
      </c>
      <c r="G810" s="268" t="s">
        <v>80</v>
      </c>
      <c r="H810" s="270">
        <v>385.0</v>
      </c>
      <c r="I810" s="270"/>
      <c r="J810" s="270"/>
      <c r="K810" s="270"/>
      <c r="L810" s="270"/>
      <c r="M810" s="270"/>
      <c r="N810" s="270"/>
      <c r="O810" s="268"/>
      <c r="P810" s="271"/>
    </row>
    <row r="811" ht="15.0" customHeight="1">
      <c r="A811" s="268" t="s">
        <v>12</v>
      </c>
      <c r="B811" s="269">
        <v>46126.0</v>
      </c>
      <c r="C811" s="268"/>
      <c r="D811" s="268" t="s">
        <v>84</v>
      </c>
      <c r="E811" s="268" t="s">
        <v>83</v>
      </c>
      <c r="F811" s="268" t="s">
        <v>79</v>
      </c>
      <c r="G811" s="268" t="s">
        <v>80</v>
      </c>
      <c r="H811" s="270">
        <v>37.0</v>
      </c>
      <c r="I811" s="270"/>
      <c r="J811" s="270"/>
      <c r="K811" s="270"/>
      <c r="L811" s="270"/>
      <c r="M811" s="270"/>
      <c r="N811" s="270"/>
      <c r="O811" s="268"/>
      <c r="P811" s="271"/>
    </row>
    <row r="812" ht="15.0" customHeight="1">
      <c r="A812" s="268" t="s">
        <v>12</v>
      </c>
      <c r="B812" s="269">
        <v>46126.0</v>
      </c>
      <c r="C812" s="268"/>
      <c r="D812" s="268" t="s">
        <v>118</v>
      </c>
      <c r="E812" s="268" t="s">
        <v>83</v>
      </c>
      <c r="F812" s="268" t="s">
        <v>79</v>
      </c>
      <c r="G812" s="268" t="s">
        <v>80</v>
      </c>
      <c r="H812" s="270">
        <v>390.0</v>
      </c>
      <c r="I812" s="270"/>
      <c r="J812" s="270"/>
      <c r="K812" s="270"/>
      <c r="L812" s="270"/>
      <c r="M812" s="270"/>
      <c r="N812" s="270"/>
      <c r="O812" s="268"/>
      <c r="P812" s="271"/>
    </row>
    <row r="813" ht="15.0" customHeight="1">
      <c r="A813" s="268" t="s">
        <v>12</v>
      </c>
      <c r="B813" s="269">
        <v>46126.0</v>
      </c>
      <c r="C813" s="268"/>
      <c r="D813" s="268" t="s">
        <v>96</v>
      </c>
      <c r="E813" s="268" t="s">
        <v>83</v>
      </c>
      <c r="F813" s="268" t="s">
        <v>79</v>
      </c>
      <c r="G813" s="268" t="s">
        <v>80</v>
      </c>
      <c r="H813" s="270">
        <v>429.0</v>
      </c>
      <c r="I813" s="270"/>
      <c r="J813" s="270"/>
      <c r="K813" s="270"/>
      <c r="L813" s="270"/>
      <c r="M813" s="270"/>
      <c r="N813" s="270"/>
      <c r="O813" s="268"/>
      <c r="P813" s="271"/>
    </row>
    <row r="814" ht="15.0" customHeight="1">
      <c r="A814" s="268" t="s">
        <v>12</v>
      </c>
      <c r="B814" s="269">
        <v>46126.0</v>
      </c>
      <c r="C814" s="268"/>
      <c r="D814" s="268" t="s">
        <v>136</v>
      </c>
      <c r="E814" s="268" t="s">
        <v>83</v>
      </c>
      <c r="F814" s="268" t="s">
        <v>79</v>
      </c>
      <c r="G814" s="268" t="s">
        <v>80</v>
      </c>
      <c r="H814" s="270">
        <v>60.0</v>
      </c>
      <c r="I814" s="270"/>
      <c r="J814" s="270"/>
      <c r="K814" s="270"/>
      <c r="L814" s="270"/>
      <c r="M814" s="270"/>
      <c r="N814" s="270"/>
      <c r="O814" s="268"/>
      <c r="P814" s="271"/>
    </row>
    <row r="815" ht="15.0" customHeight="1">
      <c r="A815" s="268" t="s">
        <v>12</v>
      </c>
      <c r="B815" s="269">
        <v>46126.0</v>
      </c>
      <c r="C815" s="268"/>
      <c r="D815" s="268" t="s">
        <v>91</v>
      </c>
      <c r="E815" s="268" t="s">
        <v>83</v>
      </c>
      <c r="F815" s="268" t="s">
        <v>79</v>
      </c>
      <c r="G815" s="268" t="s">
        <v>80</v>
      </c>
      <c r="H815" s="270">
        <v>40.0</v>
      </c>
      <c r="I815" s="270"/>
      <c r="J815" s="270"/>
      <c r="K815" s="270"/>
      <c r="L815" s="270"/>
      <c r="M815" s="270"/>
      <c r="N815" s="270"/>
      <c r="O815" s="268"/>
      <c r="P815" s="271"/>
    </row>
    <row r="816" ht="15.0" customHeight="1">
      <c r="A816" s="268" t="s">
        <v>12</v>
      </c>
      <c r="B816" s="269">
        <v>46126.0</v>
      </c>
      <c r="C816" s="268"/>
      <c r="D816" s="268" t="s">
        <v>103</v>
      </c>
      <c r="E816" s="268" t="s">
        <v>83</v>
      </c>
      <c r="F816" s="268" t="s">
        <v>79</v>
      </c>
      <c r="G816" s="268" t="s">
        <v>80</v>
      </c>
      <c r="H816" s="270">
        <v>145.0</v>
      </c>
      <c r="I816" s="270"/>
      <c r="J816" s="270"/>
      <c r="K816" s="270"/>
      <c r="L816" s="270"/>
      <c r="M816" s="270"/>
      <c r="N816" s="270"/>
      <c r="O816" s="268"/>
      <c r="P816" s="271"/>
    </row>
    <row r="817" ht="15.0" customHeight="1">
      <c r="A817" s="268" t="s">
        <v>12</v>
      </c>
      <c r="B817" s="269">
        <v>46126.0</v>
      </c>
      <c r="C817" s="268"/>
      <c r="D817" s="268" t="s">
        <v>87</v>
      </c>
      <c r="E817" s="268" t="s">
        <v>83</v>
      </c>
      <c r="F817" s="268" t="s">
        <v>79</v>
      </c>
      <c r="G817" s="268" t="s">
        <v>80</v>
      </c>
      <c r="H817" s="270">
        <v>220.0</v>
      </c>
      <c r="I817" s="270"/>
      <c r="J817" s="270"/>
      <c r="K817" s="270"/>
      <c r="L817" s="270"/>
      <c r="M817" s="270"/>
      <c r="N817" s="270"/>
      <c r="O817" s="268"/>
      <c r="P817" s="271"/>
    </row>
    <row r="818" ht="15.0" customHeight="1">
      <c r="A818" s="268" t="s">
        <v>12</v>
      </c>
      <c r="B818" s="269">
        <v>46126.0</v>
      </c>
      <c r="C818" s="268"/>
      <c r="D818" s="268" t="s">
        <v>336</v>
      </c>
      <c r="E818" s="268" t="s">
        <v>83</v>
      </c>
      <c r="F818" s="268" t="s">
        <v>79</v>
      </c>
      <c r="G818" s="268" t="s">
        <v>80</v>
      </c>
      <c r="H818" s="270">
        <v>255.0</v>
      </c>
      <c r="I818" s="270"/>
      <c r="J818" s="270"/>
      <c r="K818" s="270"/>
      <c r="L818" s="270"/>
      <c r="M818" s="270"/>
      <c r="N818" s="270"/>
      <c r="O818" s="268"/>
      <c r="P818" s="271"/>
    </row>
    <row r="819" ht="15.0" customHeight="1">
      <c r="A819" s="268" t="s">
        <v>12</v>
      </c>
      <c r="B819" s="269">
        <v>46126.0</v>
      </c>
      <c r="C819" s="268"/>
      <c r="D819" s="268" t="s">
        <v>113</v>
      </c>
      <c r="E819" s="268" t="s">
        <v>83</v>
      </c>
      <c r="F819" s="268" t="s">
        <v>79</v>
      </c>
      <c r="G819" s="268" t="s">
        <v>80</v>
      </c>
      <c r="H819" s="270">
        <v>220.0</v>
      </c>
      <c r="I819" s="270"/>
      <c r="J819" s="270"/>
      <c r="K819" s="270"/>
      <c r="L819" s="270"/>
      <c r="M819" s="270"/>
      <c r="N819" s="270"/>
      <c r="O819" s="268"/>
      <c r="P819" s="271"/>
    </row>
    <row r="820" ht="15.0" customHeight="1">
      <c r="A820" s="268" t="s">
        <v>12</v>
      </c>
      <c r="B820" s="269">
        <v>46126.0</v>
      </c>
      <c r="C820" s="268"/>
      <c r="D820" s="268" t="s">
        <v>98</v>
      </c>
      <c r="E820" s="268" t="s">
        <v>83</v>
      </c>
      <c r="F820" s="268" t="s">
        <v>79</v>
      </c>
      <c r="G820" s="268" t="s">
        <v>80</v>
      </c>
      <c r="H820" s="270">
        <v>183.0</v>
      </c>
      <c r="I820" s="270"/>
      <c r="J820" s="270"/>
      <c r="K820" s="270"/>
      <c r="L820" s="270"/>
      <c r="M820" s="270"/>
      <c r="N820" s="270"/>
      <c r="O820" s="268"/>
      <c r="P820" s="271"/>
    </row>
    <row r="821" ht="15.0" customHeight="1">
      <c r="A821" s="268" t="s">
        <v>12</v>
      </c>
      <c r="B821" s="269">
        <v>46126.0</v>
      </c>
      <c r="C821" s="268"/>
      <c r="D821" s="268" t="s">
        <v>138</v>
      </c>
      <c r="E821" s="268" t="s">
        <v>83</v>
      </c>
      <c r="F821" s="268" t="s">
        <v>79</v>
      </c>
      <c r="G821" s="268" t="s">
        <v>80</v>
      </c>
      <c r="H821" s="270">
        <v>258.0</v>
      </c>
      <c r="I821" s="270"/>
      <c r="J821" s="270"/>
      <c r="K821" s="270"/>
      <c r="L821" s="270"/>
      <c r="M821" s="270"/>
      <c r="N821" s="270"/>
      <c r="O821" s="268"/>
      <c r="P821" s="271"/>
    </row>
    <row r="822" ht="15.0" customHeight="1">
      <c r="A822" s="268" t="s">
        <v>12</v>
      </c>
      <c r="B822" s="269">
        <v>46126.0</v>
      </c>
      <c r="C822" s="268"/>
      <c r="D822" s="268" t="s">
        <v>101</v>
      </c>
      <c r="E822" s="268" t="s">
        <v>83</v>
      </c>
      <c r="F822" s="268" t="s">
        <v>79</v>
      </c>
      <c r="G822" s="268" t="s">
        <v>80</v>
      </c>
      <c r="H822" s="270">
        <v>230.0</v>
      </c>
      <c r="I822" s="270"/>
      <c r="J822" s="270"/>
      <c r="K822" s="270"/>
      <c r="L822" s="270"/>
      <c r="M822" s="270"/>
      <c r="N822" s="270"/>
      <c r="O822" s="268"/>
      <c r="P822" s="271"/>
    </row>
    <row r="823" ht="15.0" customHeight="1">
      <c r="A823" s="268" t="s">
        <v>12</v>
      </c>
      <c r="B823" s="269">
        <v>46126.0</v>
      </c>
      <c r="C823" s="268"/>
      <c r="D823" s="268" t="s">
        <v>154</v>
      </c>
      <c r="E823" s="268" t="s">
        <v>93</v>
      </c>
      <c r="F823" s="268" t="s">
        <v>79</v>
      </c>
      <c r="G823" s="268" t="s">
        <v>93</v>
      </c>
      <c r="H823" s="270">
        <v>3.0</v>
      </c>
      <c r="I823" s="270"/>
      <c r="J823" s="270"/>
      <c r="K823" s="270"/>
      <c r="L823" s="270"/>
      <c r="M823" s="270"/>
      <c r="N823" s="270"/>
      <c r="O823" s="268"/>
      <c r="P823" s="271"/>
    </row>
    <row r="824" ht="15.0" customHeight="1">
      <c r="A824" s="268" t="s">
        <v>12</v>
      </c>
      <c r="B824" s="269">
        <v>46126.0</v>
      </c>
      <c r="C824" s="268"/>
      <c r="D824" s="268" t="s">
        <v>106</v>
      </c>
      <c r="E824" s="268" t="s">
        <v>298</v>
      </c>
      <c r="F824" s="268" t="s">
        <v>79</v>
      </c>
      <c r="G824" s="268" t="s">
        <v>298</v>
      </c>
      <c r="H824" s="270">
        <v>20.0</v>
      </c>
      <c r="I824" s="270"/>
      <c r="J824" s="270"/>
      <c r="K824" s="270"/>
      <c r="L824" s="270"/>
      <c r="M824" s="270"/>
      <c r="N824" s="270"/>
      <c r="O824" s="268"/>
      <c r="P824" s="271"/>
    </row>
    <row r="825" ht="15.0" customHeight="1">
      <c r="A825" s="268" t="s">
        <v>12</v>
      </c>
      <c r="B825" s="269">
        <v>46126.0</v>
      </c>
      <c r="C825" s="268"/>
      <c r="D825" s="268" t="s">
        <v>102</v>
      </c>
      <c r="E825" s="268" t="s">
        <v>298</v>
      </c>
      <c r="F825" s="268" t="s">
        <v>79</v>
      </c>
      <c r="G825" s="268" t="s">
        <v>298</v>
      </c>
      <c r="H825" s="270">
        <v>6.0</v>
      </c>
      <c r="I825" s="270"/>
      <c r="J825" s="270"/>
      <c r="K825" s="270"/>
      <c r="L825" s="270"/>
      <c r="M825" s="270"/>
      <c r="N825" s="270"/>
      <c r="O825" s="268"/>
      <c r="P825" s="271"/>
    </row>
    <row r="826" ht="15.0" customHeight="1">
      <c r="A826" s="268" t="s">
        <v>12</v>
      </c>
      <c r="B826" s="269">
        <v>46127.0</v>
      </c>
      <c r="C826" s="268"/>
      <c r="D826" s="268" t="s">
        <v>126</v>
      </c>
      <c r="E826" s="268" t="s">
        <v>83</v>
      </c>
      <c r="F826" s="268" t="s">
        <v>79</v>
      </c>
      <c r="G826" s="268" t="s">
        <v>80</v>
      </c>
      <c r="H826" s="270">
        <v>218.0</v>
      </c>
      <c r="I826" s="270"/>
      <c r="J826" s="270"/>
      <c r="K826" s="270"/>
      <c r="L826" s="270"/>
      <c r="M826" s="270"/>
      <c r="N826" s="270"/>
      <c r="O826" s="268"/>
      <c r="P826" s="271"/>
    </row>
    <row r="827" ht="15.0" customHeight="1">
      <c r="A827" s="268" t="s">
        <v>12</v>
      </c>
      <c r="B827" s="269">
        <v>46127.0</v>
      </c>
      <c r="C827" s="268"/>
      <c r="D827" s="268" t="s">
        <v>88</v>
      </c>
      <c r="E827" s="268" t="s">
        <v>83</v>
      </c>
      <c r="F827" s="268" t="s">
        <v>79</v>
      </c>
      <c r="G827" s="268" t="s">
        <v>80</v>
      </c>
      <c r="H827" s="270">
        <v>532.0</v>
      </c>
      <c r="I827" s="270"/>
      <c r="J827" s="270"/>
      <c r="K827" s="270"/>
      <c r="L827" s="270"/>
      <c r="M827" s="270"/>
      <c r="N827" s="270"/>
      <c r="O827" s="268"/>
      <c r="P827" s="271"/>
    </row>
    <row r="828" ht="15.0" customHeight="1">
      <c r="A828" s="268" t="s">
        <v>12</v>
      </c>
      <c r="B828" s="269">
        <v>46127.0</v>
      </c>
      <c r="C828" s="268"/>
      <c r="D828" s="268" t="s">
        <v>100</v>
      </c>
      <c r="E828" s="268" t="s">
        <v>83</v>
      </c>
      <c r="F828" s="268" t="s">
        <v>79</v>
      </c>
      <c r="G828" s="268" t="s">
        <v>80</v>
      </c>
      <c r="H828" s="270">
        <v>295.0</v>
      </c>
      <c r="I828" s="270"/>
      <c r="J828" s="270"/>
      <c r="K828" s="270"/>
      <c r="L828" s="270"/>
      <c r="M828" s="270"/>
      <c r="N828" s="270"/>
      <c r="O828" s="268"/>
      <c r="P828" s="271"/>
    </row>
    <row r="829" ht="15.0" customHeight="1">
      <c r="A829" s="268" t="s">
        <v>12</v>
      </c>
      <c r="B829" s="269">
        <v>46127.0</v>
      </c>
      <c r="C829" s="268"/>
      <c r="D829" s="268" t="s">
        <v>122</v>
      </c>
      <c r="E829" s="268" t="s">
        <v>83</v>
      </c>
      <c r="F829" s="268" t="s">
        <v>79</v>
      </c>
      <c r="G829" s="268" t="s">
        <v>80</v>
      </c>
      <c r="H829" s="270">
        <v>336.0</v>
      </c>
      <c r="I829" s="270"/>
      <c r="J829" s="270"/>
      <c r="K829" s="270"/>
      <c r="L829" s="270"/>
      <c r="M829" s="270"/>
      <c r="N829" s="270"/>
      <c r="O829" s="268"/>
      <c r="P829" s="271"/>
    </row>
    <row r="830" ht="15.0" customHeight="1">
      <c r="A830" s="268" t="s">
        <v>12</v>
      </c>
      <c r="B830" s="269">
        <v>46127.0</v>
      </c>
      <c r="C830" s="268"/>
      <c r="D830" s="268" t="s">
        <v>148</v>
      </c>
      <c r="E830" s="268" t="s">
        <v>83</v>
      </c>
      <c r="F830" s="268" t="s">
        <v>79</v>
      </c>
      <c r="G830" s="268" t="s">
        <v>80</v>
      </c>
      <c r="H830" s="270">
        <v>318.0</v>
      </c>
      <c r="I830" s="270"/>
      <c r="J830" s="270"/>
      <c r="K830" s="270"/>
      <c r="L830" s="270"/>
      <c r="M830" s="270"/>
      <c r="N830" s="270"/>
      <c r="O830" s="268"/>
      <c r="P830" s="271"/>
    </row>
    <row r="831" ht="15.0" customHeight="1">
      <c r="A831" s="268" t="s">
        <v>12</v>
      </c>
      <c r="B831" s="269">
        <v>46127.0</v>
      </c>
      <c r="C831" s="268"/>
      <c r="D831" s="268" t="s">
        <v>115</v>
      </c>
      <c r="E831" s="268" t="s">
        <v>83</v>
      </c>
      <c r="F831" s="268" t="s">
        <v>79</v>
      </c>
      <c r="G831" s="268" t="s">
        <v>80</v>
      </c>
      <c r="H831" s="270">
        <v>432.0</v>
      </c>
      <c r="I831" s="270"/>
      <c r="J831" s="270"/>
      <c r="K831" s="270"/>
      <c r="L831" s="270"/>
      <c r="M831" s="270"/>
      <c r="N831" s="270"/>
      <c r="O831" s="268"/>
      <c r="P831" s="271"/>
    </row>
    <row r="832" ht="15.0" customHeight="1">
      <c r="A832" s="268" t="s">
        <v>12</v>
      </c>
      <c r="B832" s="269">
        <v>46127.0</v>
      </c>
      <c r="C832" s="268"/>
      <c r="D832" s="268" t="s">
        <v>114</v>
      </c>
      <c r="E832" s="268" t="s">
        <v>83</v>
      </c>
      <c r="F832" s="268" t="s">
        <v>79</v>
      </c>
      <c r="G832" s="268" t="s">
        <v>80</v>
      </c>
      <c r="H832" s="270">
        <v>255.0</v>
      </c>
      <c r="I832" s="270"/>
      <c r="J832" s="270"/>
      <c r="K832" s="270"/>
      <c r="L832" s="270"/>
      <c r="M832" s="270"/>
      <c r="N832" s="270"/>
      <c r="O832" s="268"/>
      <c r="P832" s="271"/>
    </row>
    <row r="833" ht="15.0" customHeight="1">
      <c r="A833" s="268" t="s">
        <v>12</v>
      </c>
      <c r="B833" s="269">
        <v>46127.0</v>
      </c>
      <c r="C833" s="268"/>
      <c r="D833" s="268" t="s">
        <v>145</v>
      </c>
      <c r="E833" s="268" t="s">
        <v>83</v>
      </c>
      <c r="F833" s="268" t="s">
        <v>79</v>
      </c>
      <c r="G833" s="268" t="s">
        <v>80</v>
      </c>
      <c r="H833" s="270">
        <v>230.0</v>
      </c>
      <c r="I833" s="270"/>
      <c r="J833" s="270"/>
      <c r="K833" s="270"/>
      <c r="L833" s="270"/>
      <c r="M833" s="270"/>
      <c r="N833" s="270"/>
      <c r="O833" s="268"/>
      <c r="P833" s="271"/>
    </row>
    <row r="834" ht="15.0" customHeight="1">
      <c r="A834" s="268" t="s">
        <v>12</v>
      </c>
      <c r="B834" s="269">
        <v>46127.0</v>
      </c>
      <c r="C834" s="268"/>
      <c r="D834" s="268" t="s">
        <v>112</v>
      </c>
      <c r="E834" s="268" t="s">
        <v>83</v>
      </c>
      <c r="F834" s="268" t="s">
        <v>79</v>
      </c>
      <c r="G834" s="268" t="s">
        <v>80</v>
      </c>
      <c r="H834" s="270">
        <v>261.0</v>
      </c>
      <c r="I834" s="270"/>
      <c r="J834" s="270"/>
      <c r="K834" s="270"/>
      <c r="L834" s="270"/>
      <c r="M834" s="270"/>
      <c r="N834" s="270"/>
      <c r="O834" s="268"/>
      <c r="P834" s="271"/>
    </row>
    <row r="835" ht="15.0" customHeight="1">
      <c r="A835" s="268" t="s">
        <v>12</v>
      </c>
      <c r="B835" s="269">
        <v>46127.0</v>
      </c>
      <c r="C835" s="268"/>
      <c r="D835" s="268" t="s">
        <v>88</v>
      </c>
      <c r="E835" s="268" t="s">
        <v>110</v>
      </c>
      <c r="F835" s="268" t="s">
        <v>79</v>
      </c>
      <c r="G835" s="268" t="s">
        <v>110</v>
      </c>
      <c r="H835" s="270">
        <v>30.0</v>
      </c>
      <c r="I835" s="270"/>
      <c r="J835" s="270"/>
      <c r="K835" s="270"/>
      <c r="L835" s="270"/>
      <c r="M835" s="270"/>
      <c r="N835" s="270"/>
      <c r="O835" s="268"/>
      <c r="P835" s="271"/>
    </row>
    <row r="836" ht="15.0" customHeight="1">
      <c r="A836" s="268" t="s">
        <v>12</v>
      </c>
      <c r="B836" s="269">
        <v>46128.0</v>
      </c>
      <c r="C836" s="268"/>
      <c r="D836" s="268" t="s">
        <v>113</v>
      </c>
      <c r="E836" s="268" t="s">
        <v>141</v>
      </c>
      <c r="F836" s="268" t="s">
        <v>79</v>
      </c>
      <c r="G836" s="268" t="s">
        <v>80</v>
      </c>
      <c r="H836" s="270">
        <v>175.0</v>
      </c>
      <c r="I836" s="270"/>
      <c r="J836" s="270"/>
      <c r="K836" s="270"/>
      <c r="L836" s="270"/>
      <c r="M836" s="270"/>
      <c r="N836" s="270"/>
      <c r="O836" s="268"/>
      <c r="P836" s="271"/>
    </row>
    <row r="837" ht="15.0" customHeight="1">
      <c r="A837" s="268" t="s">
        <v>12</v>
      </c>
      <c r="B837" s="269">
        <v>46128.0</v>
      </c>
      <c r="C837" s="268"/>
      <c r="D837" s="268" t="s">
        <v>153</v>
      </c>
      <c r="E837" s="268" t="s">
        <v>83</v>
      </c>
      <c r="F837" s="268" t="s">
        <v>79</v>
      </c>
      <c r="G837" s="268" t="s">
        <v>80</v>
      </c>
      <c r="H837" s="270">
        <v>118.0</v>
      </c>
      <c r="I837" s="270"/>
      <c r="J837" s="270"/>
      <c r="K837" s="270"/>
      <c r="L837" s="270"/>
      <c r="M837" s="270"/>
      <c r="N837" s="270"/>
      <c r="O837" s="268"/>
      <c r="P837" s="271"/>
    </row>
    <row r="838" ht="15.0" customHeight="1">
      <c r="A838" s="268" t="s">
        <v>12</v>
      </c>
      <c r="B838" s="269">
        <v>46128.0</v>
      </c>
      <c r="C838" s="268"/>
      <c r="D838" s="268" t="s">
        <v>159</v>
      </c>
      <c r="E838" s="268" t="s">
        <v>83</v>
      </c>
      <c r="F838" s="268" t="s">
        <v>79</v>
      </c>
      <c r="G838" s="268" t="s">
        <v>80</v>
      </c>
      <c r="H838" s="270">
        <v>130.0</v>
      </c>
      <c r="I838" s="270"/>
      <c r="J838" s="270"/>
      <c r="K838" s="270"/>
      <c r="L838" s="270"/>
      <c r="M838" s="270"/>
      <c r="N838" s="270"/>
      <c r="O838" s="268"/>
      <c r="P838" s="271"/>
    </row>
    <row r="839" ht="15.0" customHeight="1">
      <c r="A839" s="268" t="s">
        <v>12</v>
      </c>
      <c r="B839" s="269">
        <v>46128.0</v>
      </c>
      <c r="C839" s="268"/>
      <c r="D839" s="268" t="s">
        <v>123</v>
      </c>
      <c r="E839" s="268" t="s">
        <v>83</v>
      </c>
      <c r="F839" s="268" t="s">
        <v>79</v>
      </c>
      <c r="G839" s="268" t="s">
        <v>80</v>
      </c>
      <c r="H839" s="270">
        <v>328.0</v>
      </c>
      <c r="I839" s="270"/>
      <c r="J839" s="270"/>
      <c r="K839" s="270"/>
      <c r="L839" s="270"/>
      <c r="M839" s="270"/>
      <c r="N839" s="270"/>
      <c r="O839" s="268"/>
      <c r="P839" s="271"/>
    </row>
    <row r="840" ht="15.0" customHeight="1">
      <c r="A840" s="268" t="s">
        <v>12</v>
      </c>
      <c r="B840" s="269">
        <v>46128.0</v>
      </c>
      <c r="C840" s="268"/>
      <c r="D840" s="268" t="s">
        <v>82</v>
      </c>
      <c r="E840" s="268" t="s">
        <v>83</v>
      </c>
      <c r="F840" s="268" t="s">
        <v>79</v>
      </c>
      <c r="G840" s="268" t="s">
        <v>80</v>
      </c>
      <c r="H840" s="270">
        <v>361.0</v>
      </c>
      <c r="I840" s="270"/>
      <c r="J840" s="270"/>
      <c r="K840" s="270"/>
      <c r="L840" s="270"/>
      <c r="M840" s="270"/>
      <c r="N840" s="270"/>
      <c r="O840" s="268"/>
      <c r="P840" s="271"/>
    </row>
    <row r="841" ht="15.0" customHeight="1">
      <c r="A841" s="268" t="s">
        <v>12</v>
      </c>
      <c r="B841" s="269">
        <v>46128.0</v>
      </c>
      <c r="C841" s="268"/>
      <c r="D841" s="268" t="s">
        <v>84</v>
      </c>
      <c r="E841" s="268" t="s">
        <v>83</v>
      </c>
      <c r="F841" s="268" t="s">
        <v>79</v>
      </c>
      <c r="G841" s="268" t="s">
        <v>80</v>
      </c>
      <c r="H841" s="270">
        <v>39.0</v>
      </c>
      <c r="I841" s="270"/>
      <c r="J841" s="270"/>
      <c r="K841" s="270"/>
      <c r="L841" s="270"/>
      <c r="M841" s="270"/>
      <c r="N841" s="270"/>
      <c r="O841" s="268"/>
      <c r="P841" s="271"/>
    </row>
    <row r="842" ht="15.0" customHeight="1">
      <c r="A842" s="268" t="s">
        <v>12</v>
      </c>
      <c r="B842" s="269">
        <v>46128.0</v>
      </c>
      <c r="C842" s="268"/>
      <c r="D842" s="268" t="s">
        <v>99</v>
      </c>
      <c r="E842" s="268" t="s">
        <v>83</v>
      </c>
      <c r="F842" s="268" t="s">
        <v>79</v>
      </c>
      <c r="G842" s="268" t="s">
        <v>80</v>
      </c>
      <c r="H842" s="270">
        <v>330.0</v>
      </c>
      <c r="I842" s="270"/>
      <c r="J842" s="270"/>
      <c r="K842" s="270"/>
      <c r="L842" s="270"/>
      <c r="M842" s="270"/>
      <c r="N842" s="270"/>
      <c r="O842" s="268"/>
      <c r="P842" s="271"/>
    </row>
    <row r="843" ht="15.0" customHeight="1">
      <c r="A843" s="268" t="s">
        <v>12</v>
      </c>
      <c r="B843" s="269">
        <v>46128.0</v>
      </c>
      <c r="C843" s="268"/>
      <c r="D843" s="268" t="s">
        <v>89</v>
      </c>
      <c r="E843" s="268" t="s">
        <v>83</v>
      </c>
      <c r="F843" s="268" t="s">
        <v>79</v>
      </c>
      <c r="G843" s="268" t="s">
        <v>80</v>
      </c>
      <c r="H843" s="270">
        <v>50.0</v>
      </c>
      <c r="I843" s="270"/>
      <c r="J843" s="270"/>
      <c r="K843" s="270"/>
      <c r="L843" s="270"/>
      <c r="M843" s="270"/>
      <c r="N843" s="270"/>
      <c r="O843" s="268"/>
      <c r="P843" s="271"/>
    </row>
    <row r="844" ht="15.0" customHeight="1">
      <c r="A844" s="268" t="s">
        <v>12</v>
      </c>
      <c r="B844" s="269">
        <v>46128.0</v>
      </c>
      <c r="C844" s="268"/>
      <c r="D844" s="268" t="s">
        <v>103</v>
      </c>
      <c r="E844" s="268" t="s">
        <v>83</v>
      </c>
      <c r="F844" s="268" t="s">
        <v>79</v>
      </c>
      <c r="G844" s="268" t="s">
        <v>80</v>
      </c>
      <c r="H844" s="270">
        <v>160.0</v>
      </c>
      <c r="I844" s="270"/>
      <c r="J844" s="270"/>
      <c r="K844" s="270"/>
      <c r="L844" s="270"/>
      <c r="M844" s="270"/>
      <c r="N844" s="270"/>
      <c r="O844" s="268"/>
      <c r="P844" s="271"/>
    </row>
    <row r="845" ht="15.0" customHeight="1">
      <c r="A845" s="268" t="s">
        <v>12</v>
      </c>
      <c r="B845" s="269">
        <v>46128.0</v>
      </c>
      <c r="C845" s="268"/>
      <c r="D845" s="268" t="s">
        <v>336</v>
      </c>
      <c r="E845" s="268" t="s">
        <v>83</v>
      </c>
      <c r="F845" s="268" t="s">
        <v>79</v>
      </c>
      <c r="G845" s="268" t="s">
        <v>80</v>
      </c>
      <c r="H845" s="270">
        <v>222.0</v>
      </c>
      <c r="I845" s="270"/>
      <c r="J845" s="270"/>
      <c r="K845" s="270"/>
      <c r="L845" s="270"/>
      <c r="M845" s="270"/>
      <c r="N845" s="270"/>
      <c r="O845" s="268"/>
      <c r="P845" s="271"/>
    </row>
    <row r="846" ht="15.0" customHeight="1">
      <c r="A846" s="268" t="s">
        <v>12</v>
      </c>
      <c r="B846" s="269">
        <v>46128.0</v>
      </c>
      <c r="C846" s="268"/>
      <c r="D846" s="268" t="s">
        <v>113</v>
      </c>
      <c r="E846" s="268" t="s">
        <v>83</v>
      </c>
      <c r="F846" s="268" t="s">
        <v>79</v>
      </c>
      <c r="G846" s="268" t="s">
        <v>80</v>
      </c>
      <c r="H846" s="270">
        <v>47.0</v>
      </c>
      <c r="I846" s="270"/>
      <c r="J846" s="270"/>
      <c r="K846" s="270"/>
      <c r="L846" s="270"/>
      <c r="M846" s="270"/>
      <c r="N846" s="270"/>
      <c r="O846" s="268"/>
      <c r="P846" s="271"/>
    </row>
    <row r="847" ht="15.0" customHeight="1">
      <c r="A847" s="268" t="s">
        <v>12</v>
      </c>
      <c r="B847" s="269">
        <v>46128.0</v>
      </c>
      <c r="C847" s="268"/>
      <c r="D847" s="268" t="s">
        <v>98</v>
      </c>
      <c r="E847" s="268" t="s">
        <v>83</v>
      </c>
      <c r="F847" s="268" t="s">
        <v>79</v>
      </c>
      <c r="G847" s="268" t="s">
        <v>80</v>
      </c>
      <c r="H847" s="270">
        <v>165.0</v>
      </c>
      <c r="I847" s="270"/>
      <c r="J847" s="270"/>
      <c r="K847" s="270"/>
      <c r="L847" s="270"/>
      <c r="M847" s="270"/>
      <c r="N847" s="270"/>
      <c r="O847" s="268"/>
      <c r="P847" s="271"/>
    </row>
    <row r="848" ht="15.0" customHeight="1">
      <c r="A848" s="268" t="s">
        <v>12</v>
      </c>
      <c r="B848" s="269">
        <v>46128.0</v>
      </c>
      <c r="C848" s="268"/>
      <c r="D848" s="268" t="s">
        <v>115</v>
      </c>
      <c r="E848" s="268" t="s">
        <v>110</v>
      </c>
      <c r="F848" s="268" t="s">
        <v>79</v>
      </c>
      <c r="G848" s="268" t="s">
        <v>110</v>
      </c>
      <c r="H848" s="270">
        <v>30.0</v>
      </c>
      <c r="I848" s="270"/>
      <c r="J848" s="270"/>
      <c r="K848" s="270"/>
      <c r="L848" s="270"/>
      <c r="M848" s="270"/>
      <c r="N848" s="270"/>
      <c r="O848" s="268"/>
      <c r="P848" s="271"/>
    </row>
    <row r="849" ht="15.0" customHeight="1">
      <c r="A849" s="268" t="s">
        <v>12</v>
      </c>
      <c r="B849" s="269">
        <v>46129.0</v>
      </c>
      <c r="C849" s="268"/>
      <c r="D849" s="268" t="s">
        <v>154</v>
      </c>
      <c r="E849" s="268" t="s">
        <v>141</v>
      </c>
      <c r="F849" s="268" t="s">
        <v>79</v>
      </c>
      <c r="G849" s="268" t="s">
        <v>80</v>
      </c>
      <c r="H849" s="270">
        <v>167.0</v>
      </c>
      <c r="I849" s="270"/>
      <c r="J849" s="270"/>
      <c r="K849" s="270"/>
      <c r="L849" s="270"/>
      <c r="M849" s="270"/>
      <c r="N849" s="270"/>
      <c r="O849" s="268"/>
      <c r="P849" s="271"/>
    </row>
    <row r="850" ht="15.0" customHeight="1">
      <c r="A850" s="268" t="s">
        <v>12</v>
      </c>
      <c r="B850" s="269">
        <v>46129.0</v>
      </c>
      <c r="C850" s="268"/>
      <c r="D850" s="268" t="s">
        <v>158</v>
      </c>
      <c r="E850" s="268" t="s">
        <v>141</v>
      </c>
      <c r="F850" s="268" t="s">
        <v>79</v>
      </c>
      <c r="G850" s="268" t="s">
        <v>80</v>
      </c>
      <c r="H850" s="270">
        <v>170.0</v>
      </c>
      <c r="I850" s="270"/>
      <c r="J850" s="270"/>
      <c r="K850" s="270"/>
      <c r="L850" s="270"/>
      <c r="M850" s="270"/>
      <c r="N850" s="270"/>
      <c r="O850" s="268"/>
      <c r="P850" s="271"/>
    </row>
    <row r="851" ht="15.0" customHeight="1">
      <c r="A851" s="268" t="s">
        <v>12</v>
      </c>
      <c r="B851" s="269">
        <v>46129.0</v>
      </c>
      <c r="C851" s="268"/>
      <c r="D851" s="268" t="s">
        <v>130</v>
      </c>
      <c r="E851" s="268" t="s">
        <v>141</v>
      </c>
      <c r="F851" s="268" t="s">
        <v>79</v>
      </c>
      <c r="G851" s="268" t="s">
        <v>80</v>
      </c>
      <c r="H851" s="270">
        <v>169.0</v>
      </c>
      <c r="I851" s="270"/>
      <c r="J851" s="270"/>
      <c r="K851" s="270"/>
      <c r="L851" s="270"/>
      <c r="M851" s="270"/>
      <c r="N851" s="270"/>
      <c r="O851" s="268"/>
      <c r="P851" s="271"/>
    </row>
    <row r="852" ht="15.0" customHeight="1">
      <c r="A852" s="268" t="s">
        <v>12</v>
      </c>
      <c r="B852" s="269">
        <v>46129.0</v>
      </c>
      <c r="C852" s="268"/>
      <c r="D852" s="268" t="s">
        <v>100</v>
      </c>
      <c r="E852" s="268" t="s">
        <v>141</v>
      </c>
      <c r="F852" s="268" t="s">
        <v>79</v>
      </c>
      <c r="G852" s="268" t="s">
        <v>80</v>
      </c>
      <c r="H852" s="270">
        <v>358.0</v>
      </c>
      <c r="I852" s="270"/>
      <c r="J852" s="270"/>
      <c r="K852" s="270"/>
      <c r="L852" s="270"/>
      <c r="M852" s="270"/>
      <c r="N852" s="270"/>
      <c r="O852" s="268"/>
      <c r="P852" s="271"/>
    </row>
    <row r="853" ht="15.0" customHeight="1">
      <c r="A853" s="268" t="s">
        <v>12</v>
      </c>
      <c r="B853" s="269">
        <v>46129.0</v>
      </c>
      <c r="C853" s="268"/>
      <c r="D853" s="268" t="s">
        <v>99</v>
      </c>
      <c r="E853" s="268" t="s">
        <v>141</v>
      </c>
      <c r="F853" s="268" t="s">
        <v>79</v>
      </c>
      <c r="G853" s="268" t="s">
        <v>80</v>
      </c>
      <c r="H853" s="270">
        <v>268.0</v>
      </c>
      <c r="I853" s="270"/>
      <c r="J853" s="270"/>
      <c r="K853" s="270"/>
      <c r="L853" s="270"/>
      <c r="M853" s="270"/>
      <c r="N853" s="270"/>
      <c r="O853" s="268"/>
      <c r="P853" s="271"/>
    </row>
    <row r="854" ht="15.0" customHeight="1">
      <c r="A854" s="268" t="s">
        <v>12</v>
      </c>
      <c r="B854" s="269">
        <v>46129.0</v>
      </c>
      <c r="C854" s="268"/>
      <c r="D854" s="268" t="s">
        <v>118</v>
      </c>
      <c r="E854" s="268" t="s">
        <v>141</v>
      </c>
      <c r="F854" s="268" t="s">
        <v>79</v>
      </c>
      <c r="G854" s="268" t="s">
        <v>80</v>
      </c>
      <c r="H854" s="270">
        <v>420.0</v>
      </c>
      <c r="I854" s="270"/>
      <c r="J854" s="270"/>
      <c r="K854" s="270"/>
      <c r="L854" s="270"/>
      <c r="M854" s="270"/>
      <c r="N854" s="270"/>
      <c r="O854" s="268"/>
      <c r="P854" s="271"/>
    </row>
    <row r="855" ht="15.0" customHeight="1">
      <c r="A855" s="268" t="s">
        <v>12</v>
      </c>
      <c r="B855" s="269">
        <v>46129.0</v>
      </c>
      <c r="C855" s="268"/>
      <c r="D855" s="268" t="s">
        <v>96</v>
      </c>
      <c r="E855" s="268" t="s">
        <v>141</v>
      </c>
      <c r="F855" s="268" t="s">
        <v>79</v>
      </c>
      <c r="G855" s="268" t="s">
        <v>80</v>
      </c>
      <c r="H855" s="270">
        <v>380.0</v>
      </c>
      <c r="I855" s="270"/>
      <c r="J855" s="270"/>
      <c r="K855" s="270"/>
      <c r="L855" s="270"/>
      <c r="M855" s="270"/>
      <c r="N855" s="270"/>
      <c r="O855" s="268"/>
      <c r="P855" s="271"/>
    </row>
    <row r="856" ht="15.0" customHeight="1">
      <c r="A856" s="268" t="s">
        <v>12</v>
      </c>
      <c r="B856" s="269">
        <v>46129.0</v>
      </c>
      <c r="C856" s="268"/>
      <c r="D856" s="268" t="s">
        <v>117</v>
      </c>
      <c r="E856" s="268" t="s">
        <v>141</v>
      </c>
      <c r="F856" s="268" t="s">
        <v>79</v>
      </c>
      <c r="G856" s="268" t="s">
        <v>80</v>
      </c>
      <c r="H856" s="270">
        <v>169.0</v>
      </c>
      <c r="I856" s="270"/>
      <c r="J856" s="270"/>
      <c r="K856" s="270"/>
      <c r="L856" s="270"/>
      <c r="M856" s="270"/>
      <c r="N856" s="270"/>
      <c r="O856" s="268"/>
      <c r="P856" s="271"/>
    </row>
    <row r="857" ht="15.0" customHeight="1">
      <c r="A857" s="268" t="s">
        <v>12</v>
      </c>
      <c r="B857" s="269">
        <v>46129.0</v>
      </c>
      <c r="C857" s="268"/>
      <c r="D857" s="268" t="s">
        <v>104</v>
      </c>
      <c r="E857" s="268" t="s">
        <v>141</v>
      </c>
      <c r="F857" s="268" t="s">
        <v>79</v>
      </c>
      <c r="G857" s="268" t="s">
        <v>80</v>
      </c>
      <c r="H857" s="270">
        <v>310.0</v>
      </c>
      <c r="I857" s="270"/>
      <c r="J857" s="270"/>
      <c r="K857" s="270"/>
      <c r="L857" s="270"/>
      <c r="M857" s="270"/>
      <c r="N857" s="270"/>
      <c r="O857" s="268"/>
      <c r="P857" s="271"/>
    </row>
    <row r="858" ht="15.0" customHeight="1">
      <c r="A858" s="268" t="s">
        <v>12</v>
      </c>
      <c r="B858" s="269">
        <v>46129.0</v>
      </c>
      <c r="C858" s="268"/>
      <c r="D858" s="268" t="s">
        <v>87</v>
      </c>
      <c r="E858" s="268" t="s">
        <v>141</v>
      </c>
      <c r="F858" s="268" t="s">
        <v>79</v>
      </c>
      <c r="G858" s="268" t="s">
        <v>80</v>
      </c>
      <c r="H858" s="270">
        <v>200.0</v>
      </c>
      <c r="I858" s="270"/>
      <c r="J858" s="270"/>
      <c r="K858" s="270"/>
      <c r="L858" s="270"/>
      <c r="M858" s="270"/>
      <c r="N858" s="270"/>
      <c r="O858" s="268"/>
      <c r="P858" s="271"/>
    </row>
    <row r="859" ht="15.0" customHeight="1">
      <c r="A859" s="268" t="s">
        <v>12</v>
      </c>
      <c r="B859" s="269">
        <v>46129.0</v>
      </c>
      <c r="C859" s="268"/>
      <c r="D859" s="268" t="s">
        <v>101</v>
      </c>
      <c r="E859" s="268" t="s">
        <v>141</v>
      </c>
      <c r="F859" s="268" t="s">
        <v>79</v>
      </c>
      <c r="G859" s="268" t="s">
        <v>80</v>
      </c>
      <c r="H859" s="270">
        <v>225.0</v>
      </c>
      <c r="I859" s="270"/>
      <c r="J859" s="270"/>
      <c r="K859" s="270"/>
      <c r="L859" s="270"/>
      <c r="M859" s="270"/>
      <c r="N859" s="270"/>
      <c r="O859" s="268"/>
      <c r="P859" s="271"/>
    </row>
    <row r="860" ht="15.0" customHeight="1">
      <c r="A860" s="268" t="s">
        <v>12</v>
      </c>
      <c r="B860" s="269">
        <v>46129.0</v>
      </c>
      <c r="C860" s="268"/>
      <c r="D860" s="268" t="s">
        <v>97</v>
      </c>
      <c r="E860" s="268" t="s">
        <v>141</v>
      </c>
      <c r="F860" s="268" t="s">
        <v>79</v>
      </c>
      <c r="G860" s="268" t="s">
        <v>80</v>
      </c>
      <c r="H860" s="270">
        <v>210.0</v>
      </c>
      <c r="I860" s="270"/>
      <c r="J860" s="270"/>
      <c r="K860" s="270"/>
      <c r="L860" s="270"/>
      <c r="M860" s="270"/>
      <c r="N860" s="270"/>
      <c r="O860" s="268"/>
      <c r="P860" s="271"/>
    </row>
    <row r="861" ht="15.0" customHeight="1">
      <c r="A861" s="268" t="s">
        <v>12</v>
      </c>
      <c r="B861" s="269">
        <v>46129.0</v>
      </c>
      <c r="C861" s="268"/>
      <c r="D861" s="268" t="s">
        <v>158</v>
      </c>
      <c r="E861" s="268" t="s">
        <v>110</v>
      </c>
      <c r="F861" s="268" t="s">
        <v>79</v>
      </c>
      <c r="G861" s="268" t="s">
        <v>110</v>
      </c>
      <c r="H861" s="270">
        <v>26.0</v>
      </c>
      <c r="I861" s="270"/>
      <c r="J861" s="270"/>
      <c r="K861" s="270"/>
      <c r="L861" s="270"/>
      <c r="M861" s="270"/>
      <c r="N861" s="270"/>
      <c r="O861" s="268"/>
      <c r="P861" s="271"/>
    </row>
    <row r="862" ht="15.0" customHeight="1">
      <c r="A862" s="268" t="s">
        <v>12</v>
      </c>
      <c r="B862" s="269">
        <v>46129.0</v>
      </c>
      <c r="C862" s="268"/>
      <c r="D862" s="268" t="s">
        <v>96</v>
      </c>
      <c r="E862" s="268" t="s">
        <v>110</v>
      </c>
      <c r="F862" s="268" t="s">
        <v>79</v>
      </c>
      <c r="G862" s="268" t="s">
        <v>110</v>
      </c>
      <c r="H862" s="270">
        <v>30.0</v>
      </c>
      <c r="I862" s="270"/>
      <c r="J862" s="270"/>
      <c r="K862" s="270"/>
      <c r="L862" s="270"/>
      <c r="M862" s="270"/>
      <c r="N862" s="270"/>
      <c r="O862" s="268"/>
      <c r="P862" s="271"/>
    </row>
    <row r="863" ht="15.0" customHeight="1">
      <c r="A863" s="268" t="s">
        <v>12</v>
      </c>
      <c r="B863" s="269">
        <v>46129.0</v>
      </c>
      <c r="C863" s="268"/>
      <c r="D863" s="268" t="s">
        <v>133</v>
      </c>
      <c r="E863" s="268" t="s">
        <v>110</v>
      </c>
      <c r="F863" s="268" t="s">
        <v>79</v>
      </c>
      <c r="G863" s="268" t="s">
        <v>110</v>
      </c>
      <c r="H863" s="270">
        <v>3.0</v>
      </c>
      <c r="I863" s="270"/>
      <c r="J863" s="270"/>
      <c r="K863" s="270"/>
      <c r="L863" s="270"/>
      <c r="M863" s="270"/>
      <c r="N863" s="270"/>
      <c r="O863" s="268"/>
      <c r="P863" s="271"/>
    </row>
    <row r="864" ht="15.0" customHeight="1">
      <c r="A864" s="268" t="s">
        <v>12</v>
      </c>
      <c r="B864" s="269">
        <v>46129.0</v>
      </c>
      <c r="C864" s="268"/>
      <c r="D864" s="268" t="s">
        <v>89</v>
      </c>
      <c r="E864" s="268" t="s">
        <v>110</v>
      </c>
      <c r="F864" s="268" t="s">
        <v>79</v>
      </c>
      <c r="G864" s="268" t="s">
        <v>110</v>
      </c>
      <c r="H864" s="270">
        <v>28.0</v>
      </c>
      <c r="I864" s="270"/>
      <c r="J864" s="270"/>
      <c r="K864" s="270"/>
      <c r="L864" s="270"/>
      <c r="M864" s="270"/>
      <c r="N864" s="270"/>
      <c r="O864" s="268"/>
      <c r="P864" s="271"/>
    </row>
    <row r="865" ht="15.0" customHeight="1">
      <c r="A865" s="268" t="s">
        <v>12</v>
      </c>
      <c r="B865" s="269">
        <v>46129.0</v>
      </c>
      <c r="C865" s="268"/>
      <c r="D865" s="268" t="s">
        <v>102</v>
      </c>
      <c r="E865" s="268" t="s">
        <v>93</v>
      </c>
      <c r="F865" s="268" t="s">
        <v>79</v>
      </c>
      <c r="G865" s="268" t="s">
        <v>93</v>
      </c>
      <c r="H865" s="270">
        <v>3.0</v>
      </c>
      <c r="I865" s="270"/>
      <c r="J865" s="270"/>
      <c r="K865" s="270"/>
      <c r="L865" s="270"/>
      <c r="M865" s="270"/>
      <c r="N865" s="270"/>
      <c r="O865" s="268"/>
      <c r="P865" s="271"/>
    </row>
    <row r="866" ht="15.0" customHeight="1">
      <c r="A866" s="268" t="s">
        <v>12</v>
      </c>
      <c r="B866" s="269">
        <v>46129.0</v>
      </c>
      <c r="C866" s="268"/>
      <c r="D866" s="268" t="s">
        <v>102</v>
      </c>
      <c r="E866" s="268" t="s">
        <v>298</v>
      </c>
      <c r="F866" s="268" t="s">
        <v>79</v>
      </c>
      <c r="G866" s="268" t="s">
        <v>298</v>
      </c>
      <c r="H866" s="270">
        <v>2.0</v>
      </c>
      <c r="I866" s="270"/>
      <c r="J866" s="270"/>
      <c r="K866" s="270"/>
      <c r="L866" s="270"/>
      <c r="M866" s="270"/>
      <c r="N866" s="270"/>
      <c r="O866" s="268"/>
      <c r="P866" s="271"/>
    </row>
    <row r="867" ht="15.0" customHeight="1">
      <c r="A867" s="268" t="s">
        <v>12</v>
      </c>
      <c r="B867" s="269">
        <v>46129.0</v>
      </c>
      <c r="C867" s="268"/>
      <c r="D867" s="268" t="s">
        <v>86</v>
      </c>
      <c r="E867" s="268" t="s">
        <v>298</v>
      </c>
      <c r="F867" s="268" t="s">
        <v>79</v>
      </c>
      <c r="G867" s="268" t="s">
        <v>298</v>
      </c>
      <c r="H867" s="270">
        <v>18.0</v>
      </c>
      <c r="I867" s="270"/>
      <c r="J867" s="270"/>
      <c r="K867" s="270"/>
      <c r="L867" s="270"/>
      <c r="M867" s="270"/>
      <c r="N867" s="270"/>
      <c r="O867" s="268"/>
      <c r="P867" s="271"/>
    </row>
    <row r="868" ht="15.0" customHeight="1">
      <c r="A868" s="268" t="s">
        <v>12</v>
      </c>
      <c r="B868" s="269">
        <v>46130.0</v>
      </c>
      <c r="C868" s="268"/>
      <c r="D868" s="268" t="s">
        <v>88</v>
      </c>
      <c r="E868" s="268" t="s">
        <v>141</v>
      </c>
      <c r="F868" s="268" t="s">
        <v>79</v>
      </c>
      <c r="G868" s="268" t="s">
        <v>80</v>
      </c>
      <c r="H868" s="270">
        <v>458.0</v>
      </c>
      <c r="I868" s="270"/>
      <c r="J868" s="270"/>
      <c r="K868" s="270"/>
      <c r="L868" s="270"/>
      <c r="M868" s="270"/>
      <c r="N868" s="270"/>
      <c r="O868" s="268"/>
      <c r="P868" s="271"/>
    </row>
    <row r="869" ht="15.0" customHeight="1">
      <c r="A869" s="268" t="s">
        <v>12</v>
      </c>
      <c r="B869" s="269">
        <v>46130.0</v>
      </c>
      <c r="C869" s="268"/>
      <c r="D869" s="268" t="s">
        <v>123</v>
      </c>
      <c r="E869" s="268" t="s">
        <v>141</v>
      </c>
      <c r="F869" s="268" t="s">
        <v>79</v>
      </c>
      <c r="G869" s="268" t="s">
        <v>80</v>
      </c>
      <c r="H869" s="270">
        <v>346.0</v>
      </c>
      <c r="I869" s="270"/>
      <c r="J869" s="270"/>
      <c r="K869" s="270"/>
      <c r="L869" s="270"/>
      <c r="M869" s="270"/>
      <c r="N869" s="270"/>
      <c r="O869" s="268"/>
      <c r="P869" s="271"/>
    </row>
    <row r="870" ht="15.0" customHeight="1">
      <c r="A870" s="268" t="s">
        <v>12</v>
      </c>
      <c r="B870" s="269">
        <v>46130.0</v>
      </c>
      <c r="C870" s="268"/>
      <c r="D870" s="268" t="s">
        <v>89</v>
      </c>
      <c r="E870" s="268" t="s">
        <v>141</v>
      </c>
      <c r="F870" s="268" t="s">
        <v>79</v>
      </c>
      <c r="G870" s="268" t="s">
        <v>80</v>
      </c>
      <c r="H870" s="270">
        <v>535.0</v>
      </c>
      <c r="I870" s="270"/>
      <c r="J870" s="270"/>
      <c r="K870" s="270"/>
      <c r="L870" s="270"/>
      <c r="M870" s="270"/>
      <c r="N870" s="270"/>
      <c r="O870" s="268"/>
      <c r="P870" s="271"/>
    </row>
    <row r="871" ht="15.0" customHeight="1">
      <c r="A871" s="268" t="s">
        <v>12</v>
      </c>
      <c r="B871" s="269">
        <v>46130.0</v>
      </c>
      <c r="C871" s="268"/>
      <c r="D871" s="268" t="s">
        <v>92</v>
      </c>
      <c r="E871" s="268" t="s">
        <v>141</v>
      </c>
      <c r="F871" s="268" t="s">
        <v>79</v>
      </c>
      <c r="G871" s="268" t="s">
        <v>80</v>
      </c>
      <c r="H871" s="270">
        <v>275.0</v>
      </c>
      <c r="I871" s="270"/>
      <c r="J871" s="270"/>
      <c r="K871" s="270"/>
      <c r="L871" s="270"/>
      <c r="M871" s="270"/>
      <c r="N871" s="270"/>
      <c r="O871" s="268"/>
      <c r="P871" s="271"/>
    </row>
    <row r="872" ht="15.0" customHeight="1">
      <c r="A872" s="268" t="s">
        <v>12</v>
      </c>
      <c r="B872" s="269">
        <v>46130.0</v>
      </c>
      <c r="C872" s="268"/>
      <c r="D872" s="268" t="s">
        <v>114</v>
      </c>
      <c r="E872" s="268" t="s">
        <v>141</v>
      </c>
      <c r="F872" s="268" t="s">
        <v>79</v>
      </c>
      <c r="G872" s="268" t="s">
        <v>80</v>
      </c>
      <c r="H872" s="270">
        <v>255.0</v>
      </c>
      <c r="I872" s="270"/>
      <c r="J872" s="270"/>
      <c r="K872" s="270"/>
      <c r="L872" s="270"/>
      <c r="M872" s="270"/>
      <c r="N872" s="270"/>
      <c r="O872" s="268"/>
      <c r="P872" s="271"/>
    </row>
    <row r="873" ht="15.0" customHeight="1">
      <c r="A873" s="268" t="s">
        <v>12</v>
      </c>
      <c r="B873" s="269">
        <v>46130.0</v>
      </c>
      <c r="C873" s="268"/>
      <c r="D873" s="268" t="s">
        <v>86</v>
      </c>
      <c r="E873" s="268" t="s">
        <v>141</v>
      </c>
      <c r="F873" s="268" t="s">
        <v>79</v>
      </c>
      <c r="G873" s="268" t="s">
        <v>80</v>
      </c>
      <c r="H873" s="270">
        <v>268.0</v>
      </c>
      <c r="I873" s="270"/>
      <c r="J873" s="270"/>
      <c r="K873" s="270"/>
      <c r="L873" s="270"/>
      <c r="M873" s="270"/>
      <c r="N873" s="270"/>
      <c r="O873" s="268"/>
      <c r="P873" s="271"/>
    </row>
    <row r="874" ht="15.0" customHeight="1">
      <c r="A874" s="268" t="s">
        <v>12</v>
      </c>
      <c r="B874" s="269">
        <v>46130.0</v>
      </c>
      <c r="C874" s="268"/>
      <c r="D874" s="268" t="s">
        <v>112</v>
      </c>
      <c r="E874" s="268" t="s">
        <v>141</v>
      </c>
      <c r="F874" s="268" t="s">
        <v>79</v>
      </c>
      <c r="G874" s="268" t="s">
        <v>80</v>
      </c>
      <c r="H874" s="270">
        <v>240.0</v>
      </c>
      <c r="I874" s="270"/>
      <c r="J874" s="270"/>
      <c r="K874" s="270"/>
      <c r="L874" s="270"/>
      <c r="M874" s="270"/>
      <c r="N874" s="270"/>
      <c r="O874" s="268"/>
      <c r="P874" s="271"/>
    </row>
    <row r="875" ht="15.0" customHeight="1">
      <c r="A875" s="268" t="s">
        <v>12</v>
      </c>
      <c r="B875" s="269">
        <v>46130.0</v>
      </c>
      <c r="C875" s="268"/>
      <c r="D875" s="268" t="s">
        <v>138</v>
      </c>
      <c r="E875" s="268" t="s">
        <v>141</v>
      </c>
      <c r="F875" s="268" t="s">
        <v>79</v>
      </c>
      <c r="G875" s="268" t="s">
        <v>80</v>
      </c>
      <c r="H875" s="270">
        <v>260.0</v>
      </c>
      <c r="I875" s="270"/>
      <c r="J875" s="270"/>
      <c r="K875" s="270"/>
      <c r="L875" s="270"/>
      <c r="M875" s="270"/>
      <c r="N875" s="270"/>
      <c r="O875" s="268"/>
      <c r="P875" s="271"/>
    </row>
    <row r="876" ht="15.0" customHeight="1">
      <c r="A876" s="268" t="s">
        <v>12</v>
      </c>
      <c r="B876" s="269">
        <v>46131.0</v>
      </c>
      <c r="C876" s="268"/>
      <c r="D876" s="268" t="s">
        <v>84</v>
      </c>
      <c r="E876" s="268" t="s">
        <v>141</v>
      </c>
      <c r="F876" s="268" t="s">
        <v>79</v>
      </c>
      <c r="G876" s="268" t="s">
        <v>80</v>
      </c>
      <c r="H876" s="270">
        <v>51.0</v>
      </c>
      <c r="I876" s="270"/>
      <c r="J876" s="270"/>
      <c r="K876" s="270"/>
      <c r="L876" s="270"/>
      <c r="M876" s="270"/>
      <c r="N876" s="270"/>
      <c r="O876" s="268"/>
      <c r="P876" s="271"/>
    </row>
    <row r="877" ht="15.0" customHeight="1">
      <c r="A877" s="268" t="s">
        <v>12</v>
      </c>
      <c r="B877" s="269">
        <v>46131.0</v>
      </c>
      <c r="C877" s="268"/>
      <c r="D877" s="268" t="s">
        <v>115</v>
      </c>
      <c r="E877" s="268" t="s">
        <v>141</v>
      </c>
      <c r="F877" s="268" t="s">
        <v>79</v>
      </c>
      <c r="G877" s="268" t="s">
        <v>80</v>
      </c>
      <c r="H877" s="270">
        <v>433.0</v>
      </c>
      <c r="I877" s="270"/>
      <c r="J877" s="270"/>
      <c r="K877" s="270"/>
      <c r="L877" s="270"/>
      <c r="M877" s="270"/>
      <c r="N877" s="270"/>
      <c r="O877" s="268"/>
      <c r="P877" s="271"/>
    </row>
    <row r="878" ht="15.0" customHeight="1">
      <c r="A878" s="268" t="s">
        <v>12</v>
      </c>
      <c r="B878" s="269">
        <v>46131.0</v>
      </c>
      <c r="C878" s="268"/>
      <c r="D878" s="268" t="s">
        <v>98</v>
      </c>
      <c r="E878" s="268" t="s">
        <v>141</v>
      </c>
      <c r="F878" s="268" t="s">
        <v>79</v>
      </c>
      <c r="G878" s="268" t="s">
        <v>80</v>
      </c>
      <c r="H878" s="270">
        <v>182.0</v>
      </c>
      <c r="I878" s="270"/>
      <c r="J878" s="270"/>
      <c r="K878" s="270"/>
      <c r="L878" s="270"/>
      <c r="M878" s="270"/>
      <c r="N878" s="270"/>
      <c r="O878" s="268"/>
      <c r="P878" s="271"/>
    </row>
    <row r="879" ht="15.0" customHeight="1">
      <c r="A879" s="268" t="s">
        <v>12</v>
      </c>
      <c r="B879" s="269">
        <v>46131.0</v>
      </c>
      <c r="C879" s="268"/>
      <c r="D879" s="268" t="s">
        <v>97</v>
      </c>
      <c r="E879" s="268" t="s">
        <v>141</v>
      </c>
      <c r="F879" s="268" t="s">
        <v>79</v>
      </c>
      <c r="G879" s="268" t="s">
        <v>80</v>
      </c>
      <c r="H879" s="270">
        <v>160.0</v>
      </c>
      <c r="I879" s="270"/>
      <c r="J879" s="270"/>
      <c r="K879" s="270"/>
      <c r="L879" s="270"/>
      <c r="M879" s="270"/>
      <c r="N879" s="270"/>
      <c r="O879" s="268"/>
      <c r="P879" s="271"/>
    </row>
    <row r="880" ht="15.0" customHeight="1">
      <c r="A880" s="268" t="s">
        <v>12</v>
      </c>
      <c r="B880" s="269">
        <v>46131.0</v>
      </c>
      <c r="C880" s="268"/>
      <c r="D880" s="268" t="s">
        <v>92</v>
      </c>
      <c r="E880" s="268" t="s">
        <v>93</v>
      </c>
      <c r="F880" s="268" t="s">
        <v>79</v>
      </c>
      <c r="G880" s="268" t="s">
        <v>93</v>
      </c>
      <c r="H880" s="270">
        <v>10.0</v>
      </c>
      <c r="I880" s="270"/>
      <c r="J880" s="270"/>
      <c r="K880" s="270"/>
      <c r="L880" s="270"/>
      <c r="M880" s="270"/>
      <c r="N880" s="270"/>
      <c r="O880" s="268"/>
      <c r="P880" s="271"/>
    </row>
    <row r="881" ht="15.0" customHeight="1">
      <c r="A881" s="268" t="s">
        <v>12</v>
      </c>
      <c r="B881" s="269">
        <v>46131.0</v>
      </c>
      <c r="C881" s="268"/>
      <c r="D881" s="268" t="s">
        <v>98</v>
      </c>
      <c r="E881" s="268" t="s">
        <v>93</v>
      </c>
      <c r="F881" s="268" t="s">
        <v>79</v>
      </c>
      <c r="G881" s="268" t="s">
        <v>93</v>
      </c>
      <c r="H881" s="270">
        <v>5.0</v>
      </c>
      <c r="I881" s="270"/>
      <c r="J881" s="270"/>
      <c r="K881" s="270"/>
      <c r="L881" s="270"/>
      <c r="M881" s="270"/>
      <c r="N881" s="270"/>
      <c r="O881" s="268"/>
      <c r="P881" s="271"/>
    </row>
    <row r="882" ht="15.0" customHeight="1">
      <c r="A882" s="268" t="s">
        <v>16</v>
      </c>
      <c r="B882" s="269">
        <v>46131.0</v>
      </c>
      <c r="C882" s="268"/>
      <c r="D882" s="268"/>
      <c r="E882" s="268" t="s">
        <v>83</v>
      </c>
      <c r="F882" s="268" t="s">
        <v>565</v>
      </c>
      <c r="G882" s="268" t="s">
        <v>80</v>
      </c>
      <c r="H882" s="270">
        <v>15825.0</v>
      </c>
      <c r="I882" s="270"/>
      <c r="J882" s="270"/>
      <c r="K882" s="270"/>
      <c r="L882" s="270"/>
      <c r="M882" s="270"/>
      <c r="N882" s="270"/>
      <c r="O882" s="268"/>
      <c r="P882" s="271"/>
    </row>
    <row r="883" ht="15.0" customHeight="1">
      <c r="A883" s="268" t="s">
        <v>12</v>
      </c>
      <c r="B883" s="269">
        <v>46132.0</v>
      </c>
      <c r="C883" s="268"/>
      <c r="D883" s="268" t="s">
        <v>82</v>
      </c>
      <c r="E883" s="268" t="s">
        <v>141</v>
      </c>
      <c r="F883" s="268" t="s">
        <v>79</v>
      </c>
      <c r="G883" s="268" t="s">
        <v>80</v>
      </c>
      <c r="H883" s="270">
        <v>370.0</v>
      </c>
      <c r="I883" s="270"/>
      <c r="J883" s="270"/>
      <c r="K883" s="270"/>
      <c r="L883" s="270"/>
      <c r="M883" s="270"/>
      <c r="N883" s="270"/>
      <c r="O883" s="268"/>
      <c r="P883" s="271"/>
    </row>
    <row r="884" ht="15.0" customHeight="1">
      <c r="A884" s="268" t="s">
        <v>12</v>
      </c>
      <c r="B884" s="269">
        <v>46132.0</v>
      </c>
      <c r="C884" s="268"/>
      <c r="D884" s="268" t="s">
        <v>77</v>
      </c>
      <c r="E884" s="268" t="s">
        <v>141</v>
      </c>
      <c r="F884" s="268" t="s">
        <v>79</v>
      </c>
      <c r="G884" s="268" t="s">
        <v>80</v>
      </c>
      <c r="H884" s="270">
        <v>530.0</v>
      </c>
      <c r="I884" s="270"/>
      <c r="J884" s="270"/>
      <c r="K884" s="270"/>
      <c r="L884" s="270"/>
      <c r="M884" s="270"/>
      <c r="N884" s="270"/>
      <c r="O884" s="268"/>
      <c r="P884" s="271"/>
    </row>
    <row r="885" ht="15.0" customHeight="1">
      <c r="A885" s="268" t="s">
        <v>12</v>
      </c>
      <c r="B885" s="269">
        <v>46132.0</v>
      </c>
      <c r="C885" s="268"/>
      <c r="D885" s="268" t="s">
        <v>100</v>
      </c>
      <c r="E885" s="268" t="s">
        <v>141</v>
      </c>
      <c r="F885" s="268" t="s">
        <v>79</v>
      </c>
      <c r="G885" s="268" t="s">
        <v>80</v>
      </c>
      <c r="H885" s="270">
        <v>334.0</v>
      </c>
      <c r="I885" s="270"/>
      <c r="J885" s="270"/>
      <c r="K885" s="270"/>
      <c r="L885" s="270"/>
      <c r="M885" s="270"/>
      <c r="N885" s="270"/>
      <c r="O885" s="268"/>
      <c r="P885" s="271"/>
    </row>
    <row r="886" ht="15.0" customHeight="1">
      <c r="A886" s="268" t="s">
        <v>12</v>
      </c>
      <c r="B886" s="269">
        <v>46132.0</v>
      </c>
      <c r="C886" s="268"/>
      <c r="D886" s="268" t="s">
        <v>129</v>
      </c>
      <c r="E886" s="268" t="s">
        <v>141</v>
      </c>
      <c r="F886" s="268" t="s">
        <v>79</v>
      </c>
      <c r="G886" s="268" t="s">
        <v>80</v>
      </c>
      <c r="H886" s="270">
        <v>215.0</v>
      </c>
      <c r="I886" s="270"/>
      <c r="J886" s="270"/>
      <c r="K886" s="270"/>
      <c r="L886" s="270"/>
      <c r="M886" s="270"/>
      <c r="N886" s="270"/>
      <c r="O886" s="268"/>
      <c r="P886" s="271"/>
    </row>
    <row r="887" ht="15.0" customHeight="1">
      <c r="A887" s="268" t="s">
        <v>12</v>
      </c>
      <c r="B887" s="269">
        <v>46132.0</v>
      </c>
      <c r="C887" s="268"/>
      <c r="D887" s="268" t="s">
        <v>89</v>
      </c>
      <c r="E887" s="268" t="s">
        <v>141</v>
      </c>
      <c r="F887" s="268" t="s">
        <v>79</v>
      </c>
      <c r="G887" s="268" t="s">
        <v>80</v>
      </c>
      <c r="H887" s="270">
        <v>45.0</v>
      </c>
      <c r="I887" s="270"/>
      <c r="J887" s="270"/>
      <c r="K887" s="270"/>
      <c r="L887" s="270"/>
      <c r="M887" s="270"/>
      <c r="N887" s="270"/>
      <c r="O887" s="268"/>
      <c r="P887" s="271"/>
    </row>
    <row r="888" ht="15.0" customHeight="1">
      <c r="A888" s="268" t="s">
        <v>12</v>
      </c>
      <c r="B888" s="269">
        <v>46132.0</v>
      </c>
      <c r="C888" s="268"/>
      <c r="D888" s="268" t="s">
        <v>103</v>
      </c>
      <c r="E888" s="268" t="s">
        <v>141</v>
      </c>
      <c r="F888" s="268" t="s">
        <v>79</v>
      </c>
      <c r="G888" s="268" t="s">
        <v>80</v>
      </c>
      <c r="H888" s="270">
        <v>166.0</v>
      </c>
      <c r="I888" s="270"/>
      <c r="J888" s="270"/>
      <c r="K888" s="270"/>
      <c r="L888" s="270"/>
      <c r="M888" s="270"/>
      <c r="N888" s="270"/>
      <c r="O888" s="268"/>
      <c r="P888" s="271"/>
    </row>
    <row r="889" ht="15.0" customHeight="1">
      <c r="A889" s="268" t="s">
        <v>12</v>
      </c>
      <c r="B889" s="269">
        <v>46132.0</v>
      </c>
      <c r="C889" s="268"/>
      <c r="D889" s="268" t="s">
        <v>87</v>
      </c>
      <c r="E889" s="268" t="s">
        <v>141</v>
      </c>
      <c r="F889" s="268" t="s">
        <v>79</v>
      </c>
      <c r="G889" s="268" t="s">
        <v>80</v>
      </c>
      <c r="H889" s="270">
        <v>205.0</v>
      </c>
      <c r="I889" s="270"/>
      <c r="J889" s="270"/>
      <c r="K889" s="270"/>
      <c r="L889" s="270"/>
      <c r="M889" s="270"/>
      <c r="N889" s="270"/>
      <c r="O889" s="268"/>
      <c r="P889" s="271"/>
    </row>
    <row r="890" ht="15.0" customHeight="1">
      <c r="A890" s="268" t="s">
        <v>12</v>
      </c>
      <c r="B890" s="269">
        <v>46132.0</v>
      </c>
      <c r="C890" s="268"/>
      <c r="D890" s="268" t="s">
        <v>336</v>
      </c>
      <c r="E890" s="268" t="s">
        <v>141</v>
      </c>
      <c r="F890" s="268" t="s">
        <v>79</v>
      </c>
      <c r="G890" s="268" t="s">
        <v>80</v>
      </c>
      <c r="H890" s="270">
        <v>235.0</v>
      </c>
      <c r="I890" s="270"/>
      <c r="J890" s="270"/>
      <c r="K890" s="270"/>
      <c r="L890" s="270"/>
      <c r="M890" s="270"/>
      <c r="N890" s="270"/>
      <c r="O890" s="268"/>
      <c r="P890" s="271"/>
    </row>
    <row r="891" ht="15.0" customHeight="1">
      <c r="A891" s="268" t="s">
        <v>12</v>
      </c>
      <c r="B891" s="269">
        <v>46132.0</v>
      </c>
      <c r="C891" s="268"/>
      <c r="D891" s="268" t="s">
        <v>86</v>
      </c>
      <c r="E891" s="268" t="s">
        <v>141</v>
      </c>
      <c r="F891" s="268" t="s">
        <v>79</v>
      </c>
      <c r="G891" s="268" t="s">
        <v>80</v>
      </c>
      <c r="H891" s="270">
        <v>192.0</v>
      </c>
      <c r="I891" s="270"/>
      <c r="J891" s="270"/>
      <c r="K891" s="270"/>
      <c r="L891" s="270"/>
      <c r="M891" s="270"/>
      <c r="N891" s="270"/>
      <c r="O891" s="268"/>
      <c r="P891" s="271"/>
    </row>
    <row r="892" ht="15.0" customHeight="1">
      <c r="A892" s="268" t="s">
        <v>12</v>
      </c>
      <c r="B892" s="269">
        <v>46132.0</v>
      </c>
      <c r="C892" s="268"/>
      <c r="D892" s="268" t="s">
        <v>113</v>
      </c>
      <c r="E892" s="268" t="s">
        <v>141</v>
      </c>
      <c r="F892" s="268" t="s">
        <v>79</v>
      </c>
      <c r="G892" s="268" t="s">
        <v>80</v>
      </c>
      <c r="H892" s="270">
        <v>240.0</v>
      </c>
      <c r="I892" s="270"/>
      <c r="J892" s="270"/>
      <c r="K892" s="270"/>
      <c r="L892" s="270"/>
      <c r="M892" s="270"/>
      <c r="N892" s="270"/>
      <c r="O892" s="268"/>
      <c r="P892" s="271"/>
    </row>
    <row r="893" ht="15.0" customHeight="1">
      <c r="A893" s="268" t="s">
        <v>12</v>
      </c>
      <c r="B893" s="269">
        <v>46132.0</v>
      </c>
      <c r="C893" s="268"/>
      <c r="D893" s="268" t="s">
        <v>138</v>
      </c>
      <c r="E893" s="268" t="s">
        <v>141</v>
      </c>
      <c r="F893" s="268" t="s">
        <v>79</v>
      </c>
      <c r="G893" s="268" t="s">
        <v>80</v>
      </c>
      <c r="H893" s="270">
        <v>112.0</v>
      </c>
      <c r="I893" s="270"/>
      <c r="J893" s="270"/>
      <c r="K893" s="270"/>
      <c r="L893" s="270"/>
      <c r="M893" s="270"/>
      <c r="N893" s="270"/>
      <c r="O893" s="268"/>
      <c r="P893" s="271"/>
    </row>
    <row r="894" ht="15.0" customHeight="1">
      <c r="A894" s="268" t="s">
        <v>12</v>
      </c>
      <c r="B894" s="269">
        <v>46132.0</v>
      </c>
      <c r="C894" s="268"/>
      <c r="D894" s="268" t="s">
        <v>101</v>
      </c>
      <c r="E894" s="268" t="s">
        <v>141</v>
      </c>
      <c r="F894" s="268" t="s">
        <v>79</v>
      </c>
      <c r="G894" s="268" t="s">
        <v>80</v>
      </c>
      <c r="H894" s="270">
        <v>210.0</v>
      </c>
      <c r="I894" s="270"/>
      <c r="J894" s="270"/>
      <c r="K894" s="270"/>
      <c r="L894" s="270"/>
      <c r="M894" s="270"/>
      <c r="N894" s="270"/>
      <c r="O894" s="268"/>
      <c r="P894" s="271"/>
    </row>
    <row r="895" ht="15.0" customHeight="1">
      <c r="A895" s="268" t="s">
        <v>12</v>
      </c>
      <c r="B895" s="269">
        <v>46132.0</v>
      </c>
      <c r="C895" s="268"/>
      <c r="D895" s="268" t="s">
        <v>338</v>
      </c>
      <c r="E895" s="268" t="s">
        <v>141</v>
      </c>
      <c r="F895" s="268" t="s">
        <v>79</v>
      </c>
      <c r="G895" s="268" t="s">
        <v>80</v>
      </c>
      <c r="H895" s="270">
        <v>120.0</v>
      </c>
      <c r="I895" s="270"/>
      <c r="J895" s="270"/>
      <c r="K895" s="270"/>
      <c r="L895" s="270"/>
      <c r="M895" s="270"/>
      <c r="N895" s="270"/>
      <c r="O895" s="268"/>
      <c r="P895" s="271"/>
    </row>
    <row r="896" ht="15.0" customHeight="1">
      <c r="A896" s="268" t="s">
        <v>16</v>
      </c>
      <c r="B896" s="269">
        <v>46132.0</v>
      </c>
      <c r="C896" s="268"/>
      <c r="D896" s="268"/>
      <c r="E896" s="268" t="s">
        <v>78</v>
      </c>
      <c r="F896" s="268" t="s">
        <v>565</v>
      </c>
      <c r="G896" s="268" t="s">
        <v>80</v>
      </c>
      <c r="H896" s="270">
        <v>7080.0</v>
      </c>
      <c r="I896" s="270"/>
      <c r="J896" s="270"/>
      <c r="K896" s="270"/>
      <c r="L896" s="270"/>
      <c r="M896" s="270"/>
      <c r="N896" s="270"/>
      <c r="O896" s="268"/>
      <c r="P896" s="271"/>
    </row>
    <row r="897" ht="15.0" customHeight="1">
      <c r="A897" s="268" t="s">
        <v>16</v>
      </c>
      <c r="B897" s="269">
        <v>46132.0</v>
      </c>
      <c r="C897" s="268"/>
      <c r="D897" s="268"/>
      <c r="E897" s="268" t="s">
        <v>141</v>
      </c>
      <c r="F897" s="268" t="s">
        <v>565</v>
      </c>
      <c r="G897" s="268" t="s">
        <v>80</v>
      </c>
      <c r="H897" s="270">
        <v>15850.0</v>
      </c>
      <c r="I897" s="270"/>
      <c r="J897" s="270"/>
      <c r="K897" s="270"/>
      <c r="L897" s="270"/>
      <c r="M897" s="270"/>
      <c r="N897" s="270"/>
      <c r="O897" s="268"/>
      <c r="P897" s="271"/>
    </row>
    <row r="898" ht="15.0" customHeight="1">
      <c r="A898" s="268" t="s">
        <v>12</v>
      </c>
      <c r="B898" s="269">
        <v>46133.0</v>
      </c>
      <c r="C898" s="268"/>
      <c r="D898" s="268" t="s">
        <v>159</v>
      </c>
      <c r="E898" s="268" t="s">
        <v>141</v>
      </c>
      <c r="F898" s="268" t="s">
        <v>79</v>
      </c>
      <c r="G898" s="268" t="s">
        <v>80</v>
      </c>
      <c r="H898" s="270">
        <v>145.0</v>
      </c>
      <c r="I898" s="270"/>
      <c r="J898" s="270"/>
      <c r="K898" s="270"/>
      <c r="L898" s="270"/>
      <c r="M898" s="270"/>
      <c r="N898" s="270"/>
      <c r="O898" s="268"/>
      <c r="P898" s="271"/>
    </row>
    <row r="899" ht="15.0" customHeight="1">
      <c r="A899" s="268" t="s">
        <v>12</v>
      </c>
      <c r="B899" s="269">
        <v>46133.0</v>
      </c>
      <c r="C899" s="268"/>
      <c r="D899" s="268" t="s">
        <v>123</v>
      </c>
      <c r="E899" s="268" t="s">
        <v>141</v>
      </c>
      <c r="F899" s="268" t="s">
        <v>79</v>
      </c>
      <c r="G899" s="268" t="s">
        <v>80</v>
      </c>
      <c r="H899" s="270">
        <v>515.0</v>
      </c>
      <c r="I899" s="270"/>
      <c r="J899" s="270"/>
      <c r="K899" s="270"/>
      <c r="L899" s="270"/>
      <c r="M899" s="270"/>
      <c r="N899" s="270"/>
      <c r="O899" s="268"/>
      <c r="P899" s="271"/>
    </row>
    <row r="900" ht="15.0" customHeight="1">
      <c r="A900" s="268" t="s">
        <v>12</v>
      </c>
      <c r="B900" s="269">
        <v>46133.0</v>
      </c>
      <c r="C900" s="268"/>
      <c r="D900" s="268" t="s">
        <v>84</v>
      </c>
      <c r="E900" s="268" t="s">
        <v>141</v>
      </c>
      <c r="F900" s="268" t="s">
        <v>79</v>
      </c>
      <c r="G900" s="268" t="s">
        <v>80</v>
      </c>
      <c r="H900" s="270">
        <v>48.0</v>
      </c>
      <c r="I900" s="270"/>
      <c r="J900" s="270"/>
      <c r="K900" s="270"/>
      <c r="L900" s="270"/>
      <c r="M900" s="270"/>
      <c r="N900" s="270"/>
      <c r="O900" s="268"/>
      <c r="P900" s="271"/>
    </row>
    <row r="901" ht="15.0" customHeight="1">
      <c r="A901" s="268" t="s">
        <v>12</v>
      </c>
      <c r="B901" s="269">
        <v>46133.0</v>
      </c>
      <c r="C901" s="268"/>
      <c r="D901" s="268" t="s">
        <v>99</v>
      </c>
      <c r="E901" s="268" t="s">
        <v>141</v>
      </c>
      <c r="F901" s="268" t="s">
        <v>79</v>
      </c>
      <c r="G901" s="268" t="s">
        <v>80</v>
      </c>
      <c r="H901" s="270">
        <v>430.0</v>
      </c>
      <c r="I901" s="270"/>
      <c r="J901" s="270"/>
      <c r="K901" s="270"/>
      <c r="L901" s="270"/>
      <c r="M901" s="270"/>
      <c r="N901" s="270"/>
      <c r="O901" s="268"/>
      <c r="P901" s="271"/>
    </row>
    <row r="902" ht="15.0" customHeight="1">
      <c r="A902" s="268" t="s">
        <v>12</v>
      </c>
      <c r="B902" s="269">
        <v>46133.0</v>
      </c>
      <c r="C902" s="268"/>
      <c r="D902" s="268" t="s">
        <v>96</v>
      </c>
      <c r="E902" s="268" t="s">
        <v>141</v>
      </c>
      <c r="F902" s="268" t="s">
        <v>79</v>
      </c>
      <c r="G902" s="268" t="s">
        <v>80</v>
      </c>
      <c r="H902" s="270">
        <v>500.0</v>
      </c>
      <c r="I902" s="270"/>
      <c r="J902" s="270"/>
      <c r="K902" s="270"/>
      <c r="L902" s="270"/>
      <c r="M902" s="270"/>
      <c r="N902" s="270"/>
      <c r="O902" s="268"/>
      <c r="P902" s="271"/>
    </row>
    <row r="903" ht="15.0" customHeight="1">
      <c r="A903" s="268" t="s">
        <v>12</v>
      </c>
      <c r="B903" s="269">
        <v>46133.0</v>
      </c>
      <c r="C903" s="268"/>
      <c r="D903" s="268" t="s">
        <v>103</v>
      </c>
      <c r="E903" s="268" t="s">
        <v>141</v>
      </c>
      <c r="F903" s="268" t="s">
        <v>79</v>
      </c>
      <c r="G903" s="268" t="s">
        <v>80</v>
      </c>
      <c r="H903" s="270">
        <v>148.0</v>
      </c>
      <c r="I903" s="270"/>
      <c r="J903" s="270"/>
      <c r="K903" s="270"/>
      <c r="L903" s="270"/>
      <c r="M903" s="270"/>
      <c r="N903" s="270"/>
      <c r="O903" s="268"/>
      <c r="P903" s="271"/>
    </row>
    <row r="904" ht="15.0" customHeight="1">
      <c r="A904" s="268" t="s">
        <v>12</v>
      </c>
      <c r="B904" s="269">
        <v>46133.0</v>
      </c>
      <c r="C904" s="268"/>
      <c r="D904" s="268" t="s">
        <v>114</v>
      </c>
      <c r="E904" s="268" t="s">
        <v>141</v>
      </c>
      <c r="F904" s="268" t="s">
        <v>79</v>
      </c>
      <c r="G904" s="268" t="s">
        <v>80</v>
      </c>
      <c r="H904" s="270">
        <v>155.0</v>
      </c>
      <c r="I904" s="270"/>
      <c r="J904" s="270"/>
      <c r="K904" s="270"/>
      <c r="L904" s="270"/>
      <c r="M904" s="270"/>
      <c r="N904" s="270"/>
      <c r="O904" s="268"/>
      <c r="P904" s="271"/>
    </row>
    <row r="905" ht="15.0" customHeight="1">
      <c r="A905" s="268" t="s">
        <v>12</v>
      </c>
      <c r="B905" s="269">
        <v>46133.0</v>
      </c>
      <c r="C905" s="268"/>
      <c r="D905" s="268" t="s">
        <v>102</v>
      </c>
      <c r="E905" s="268" t="s">
        <v>141</v>
      </c>
      <c r="F905" s="268" t="s">
        <v>79</v>
      </c>
      <c r="G905" s="268" t="s">
        <v>80</v>
      </c>
      <c r="H905" s="270">
        <v>240.0</v>
      </c>
      <c r="I905" s="270"/>
      <c r="J905" s="270"/>
      <c r="K905" s="270"/>
      <c r="L905" s="270"/>
      <c r="M905" s="270"/>
      <c r="N905" s="270"/>
      <c r="O905" s="268"/>
      <c r="P905" s="271"/>
    </row>
    <row r="906" ht="15.0" customHeight="1">
      <c r="A906" s="268" t="s">
        <v>12</v>
      </c>
      <c r="B906" s="269">
        <v>46133.0</v>
      </c>
      <c r="C906" s="268"/>
      <c r="D906" s="268" t="s">
        <v>97</v>
      </c>
      <c r="E906" s="268" t="s">
        <v>141</v>
      </c>
      <c r="F906" s="268" t="s">
        <v>79</v>
      </c>
      <c r="G906" s="268" t="s">
        <v>80</v>
      </c>
      <c r="H906" s="270">
        <v>155.0</v>
      </c>
      <c r="I906" s="270"/>
      <c r="J906" s="270"/>
      <c r="K906" s="270"/>
      <c r="L906" s="270"/>
      <c r="M906" s="270"/>
      <c r="N906" s="270"/>
      <c r="O906" s="268"/>
      <c r="P906" s="271"/>
    </row>
    <row r="907" ht="15.0" customHeight="1">
      <c r="A907" s="268" t="s">
        <v>12</v>
      </c>
      <c r="B907" s="269">
        <v>46134.0</v>
      </c>
      <c r="C907" s="268"/>
      <c r="D907" s="268" t="s">
        <v>130</v>
      </c>
      <c r="E907" s="268" t="s">
        <v>141</v>
      </c>
      <c r="F907" s="268" t="s">
        <v>79</v>
      </c>
      <c r="G907" s="268" t="s">
        <v>80</v>
      </c>
      <c r="H907" s="270">
        <v>163.0</v>
      </c>
      <c r="I907" s="270"/>
      <c r="J907" s="270"/>
      <c r="K907" s="270"/>
      <c r="L907" s="270"/>
      <c r="M907" s="270"/>
      <c r="N907" s="270"/>
      <c r="O907" s="268"/>
      <c r="P907" s="271"/>
    </row>
    <row r="908" ht="15.0" customHeight="1">
      <c r="A908" s="268" t="s">
        <v>12</v>
      </c>
      <c r="B908" s="269">
        <v>46134.0</v>
      </c>
      <c r="C908" s="268"/>
      <c r="D908" s="268" t="s">
        <v>126</v>
      </c>
      <c r="E908" s="268" t="s">
        <v>141</v>
      </c>
      <c r="F908" s="268" t="s">
        <v>79</v>
      </c>
      <c r="G908" s="268" t="s">
        <v>80</v>
      </c>
      <c r="H908" s="270">
        <v>193.0</v>
      </c>
      <c r="I908" s="270"/>
      <c r="J908" s="270"/>
      <c r="K908" s="270"/>
      <c r="L908" s="270"/>
      <c r="M908" s="270"/>
      <c r="N908" s="270"/>
      <c r="O908" s="268"/>
      <c r="P908" s="271"/>
    </row>
    <row r="909" ht="15.0" customHeight="1">
      <c r="A909" s="268" t="s">
        <v>12</v>
      </c>
      <c r="B909" s="269">
        <v>46134.0</v>
      </c>
      <c r="C909" s="268"/>
      <c r="D909" s="268" t="s">
        <v>82</v>
      </c>
      <c r="E909" s="268" t="s">
        <v>141</v>
      </c>
      <c r="F909" s="268" t="s">
        <v>79</v>
      </c>
      <c r="G909" s="268" t="s">
        <v>80</v>
      </c>
      <c r="H909" s="270">
        <v>358.0</v>
      </c>
      <c r="I909" s="270"/>
      <c r="J909" s="270"/>
      <c r="K909" s="270"/>
      <c r="L909" s="270"/>
      <c r="M909" s="270"/>
      <c r="N909" s="270"/>
      <c r="O909" s="268"/>
      <c r="P909" s="271"/>
    </row>
    <row r="910" ht="15.0" customHeight="1">
      <c r="A910" s="268" t="s">
        <v>12</v>
      </c>
      <c r="B910" s="269">
        <v>46134.0</v>
      </c>
      <c r="C910" s="268"/>
      <c r="D910" s="268" t="s">
        <v>119</v>
      </c>
      <c r="E910" s="268" t="s">
        <v>141</v>
      </c>
      <c r="F910" s="268" t="s">
        <v>79</v>
      </c>
      <c r="G910" s="268" t="s">
        <v>80</v>
      </c>
      <c r="H910" s="270">
        <v>327.0</v>
      </c>
      <c r="I910" s="270"/>
      <c r="J910" s="270"/>
      <c r="K910" s="270"/>
      <c r="L910" s="270"/>
      <c r="M910" s="270"/>
      <c r="N910" s="270"/>
      <c r="O910" s="268"/>
      <c r="P910" s="271"/>
    </row>
    <row r="911" ht="15.0" customHeight="1">
      <c r="A911" s="268" t="s">
        <v>12</v>
      </c>
      <c r="B911" s="269">
        <v>46134.0</v>
      </c>
      <c r="C911" s="268"/>
      <c r="D911" s="268" t="s">
        <v>118</v>
      </c>
      <c r="E911" s="268" t="s">
        <v>141</v>
      </c>
      <c r="F911" s="268" t="s">
        <v>79</v>
      </c>
      <c r="G911" s="268" t="s">
        <v>80</v>
      </c>
      <c r="H911" s="270">
        <v>463.0</v>
      </c>
      <c r="I911" s="270"/>
      <c r="J911" s="270"/>
      <c r="K911" s="270"/>
      <c r="L911" s="270"/>
      <c r="M911" s="270"/>
      <c r="N911" s="270"/>
      <c r="O911" s="268"/>
      <c r="P911" s="271"/>
    </row>
    <row r="912" ht="15.0" customHeight="1">
      <c r="A912" s="268" t="s">
        <v>12</v>
      </c>
      <c r="B912" s="269">
        <v>46134.0</v>
      </c>
      <c r="C912" s="268"/>
      <c r="D912" s="268" t="s">
        <v>116</v>
      </c>
      <c r="E912" s="268" t="s">
        <v>141</v>
      </c>
      <c r="F912" s="268" t="s">
        <v>79</v>
      </c>
      <c r="G912" s="268" t="s">
        <v>80</v>
      </c>
      <c r="H912" s="270">
        <v>390.0</v>
      </c>
      <c r="I912" s="270"/>
      <c r="J912" s="270"/>
      <c r="K912" s="270"/>
      <c r="L912" s="270"/>
      <c r="M912" s="270"/>
      <c r="N912" s="270"/>
      <c r="O912" s="268"/>
      <c r="P912" s="271"/>
    </row>
    <row r="913" ht="15.0" customHeight="1">
      <c r="A913" s="268" t="s">
        <v>12</v>
      </c>
      <c r="B913" s="269">
        <v>46134.0</v>
      </c>
      <c r="C913" s="268"/>
      <c r="D913" s="268" t="s">
        <v>89</v>
      </c>
      <c r="E913" s="268" t="s">
        <v>141</v>
      </c>
      <c r="F913" s="268" t="s">
        <v>79</v>
      </c>
      <c r="G913" s="268" t="s">
        <v>80</v>
      </c>
      <c r="H913" s="270">
        <v>43.0</v>
      </c>
      <c r="I913" s="270"/>
      <c r="J913" s="270"/>
      <c r="K913" s="270"/>
      <c r="L913" s="270"/>
      <c r="M913" s="270"/>
      <c r="N913" s="270"/>
      <c r="O913" s="268"/>
      <c r="P913" s="271"/>
    </row>
    <row r="914" ht="15.0" customHeight="1">
      <c r="A914" s="59" t="s">
        <v>12</v>
      </c>
      <c r="B914" s="272">
        <v>46134.0</v>
      </c>
      <c r="D914" s="59" t="s">
        <v>92</v>
      </c>
      <c r="E914" s="59" t="s">
        <v>141</v>
      </c>
      <c r="F914" s="59" t="s">
        <v>79</v>
      </c>
      <c r="G914" s="59" t="s">
        <v>80</v>
      </c>
      <c r="H914" s="273">
        <v>260.0</v>
      </c>
      <c r="I914" s="274"/>
      <c r="J914" s="274"/>
      <c r="K914" s="274"/>
      <c r="L914" s="274"/>
      <c r="M914" s="274"/>
      <c r="N914" s="274"/>
      <c r="P914" s="275"/>
    </row>
    <row r="915" ht="15.0" customHeight="1">
      <c r="A915" s="59" t="s">
        <v>12</v>
      </c>
      <c r="B915" s="272">
        <v>46134.0</v>
      </c>
      <c r="D915" s="59" t="s">
        <v>145</v>
      </c>
      <c r="E915" s="59" t="s">
        <v>141</v>
      </c>
      <c r="F915" s="59" t="s">
        <v>79</v>
      </c>
      <c r="G915" s="59" t="s">
        <v>80</v>
      </c>
      <c r="H915" s="273">
        <v>215.0</v>
      </c>
      <c r="I915" s="274"/>
      <c r="J915" s="274"/>
      <c r="K915" s="274"/>
      <c r="L915" s="274"/>
      <c r="M915" s="274"/>
      <c r="N915" s="274"/>
      <c r="P915" s="275"/>
    </row>
    <row r="916" ht="15.0" customHeight="1">
      <c r="A916" s="59" t="s">
        <v>12</v>
      </c>
      <c r="B916" s="272">
        <v>46134.0</v>
      </c>
      <c r="D916" s="59" t="s">
        <v>336</v>
      </c>
      <c r="E916" s="59" t="s">
        <v>141</v>
      </c>
      <c r="F916" s="59" t="s">
        <v>79</v>
      </c>
      <c r="G916" s="59" t="s">
        <v>80</v>
      </c>
      <c r="H916" s="273">
        <v>260.0</v>
      </c>
      <c r="I916" s="274"/>
      <c r="J916" s="274"/>
      <c r="K916" s="274"/>
      <c r="L916" s="274"/>
      <c r="M916" s="274"/>
      <c r="N916" s="274"/>
      <c r="P916" s="275"/>
    </row>
    <row r="917" ht="15.0" customHeight="1">
      <c r="A917" s="59" t="s">
        <v>12</v>
      </c>
      <c r="B917" s="272">
        <v>46134.0</v>
      </c>
      <c r="D917" s="59" t="s">
        <v>98</v>
      </c>
      <c r="E917" s="59" t="s">
        <v>141</v>
      </c>
      <c r="F917" s="59" t="s">
        <v>79</v>
      </c>
      <c r="G917" s="59" t="s">
        <v>80</v>
      </c>
      <c r="H917" s="273">
        <v>163.0</v>
      </c>
      <c r="I917" s="274"/>
      <c r="J917" s="274"/>
      <c r="K917" s="274"/>
      <c r="L917" s="274"/>
      <c r="M917" s="274"/>
      <c r="N917" s="274"/>
      <c r="P917" s="275"/>
    </row>
    <row r="918" ht="15.0" customHeight="1">
      <c r="A918" s="59" t="s">
        <v>12</v>
      </c>
      <c r="B918" s="272">
        <v>46134.0</v>
      </c>
      <c r="D918" s="59" t="s">
        <v>112</v>
      </c>
      <c r="E918" s="59" t="s">
        <v>141</v>
      </c>
      <c r="F918" s="59" t="s">
        <v>79</v>
      </c>
      <c r="G918" s="59" t="s">
        <v>80</v>
      </c>
      <c r="H918" s="273">
        <v>226.0</v>
      </c>
      <c r="I918" s="274"/>
      <c r="J918" s="274"/>
      <c r="K918" s="274"/>
      <c r="L918" s="274"/>
      <c r="M918" s="274"/>
      <c r="N918" s="274"/>
      <c r="P918" s="275"/>
    </row>
    <row r="919" ht="15.0" customHeight="1">
      <c r="A919" s="59" t="s">
        <v>12</v>
      </c>
      <c r="B919" s="272">
        <v>46134.0</v>
      </c>
      <c r="D919" s="59" t="s">
        <v>130</v>
      </c>
      <c r="E919" s="59" t="s">
        <v>93</v>
      </c>
      <c r="F919" s="59" t="s">
        <v>79</v>
      </c>
      <c r="G919" s="59" t="s">
        <v>93</v>
      </c>
      <c r="H919" s="273">
        <v>10.0</v>
      </c>
      <c r="I919" s="274"/>
      <c r="J919" s="274"/>
      <c r="K919" s="274"/>
      <c r="L919" s="274"/>
      <c r="M919" s="274"/>
      <c r="N919" s="274"/>
      <c r="P919" s="275"/>
    </row>
    <row r="920" ht="15.0" customHeight="1">
      <c r="A920" s="59" t="s">
        <v>12</v>
      </c>
      <c r="B920" s="272">
        <v>46135.0</v>
      </c>
      <c r="D920" s="59" t="s">
        <v>161</v>
      </c>
      <c r="E920" s="59" t="s">
        <v>141</v>
      </c>
      <c r="F920" s="59" t="s">
        <v>79</v>
      </c>
      <c r="G920" s="59" t="s">
        <v>80</v>
      </c>
      <c r="H920" s="273">
        <v>135.0</v>
      </c>
      <c r="I920" s="274"/>
      <c r="J920" s="274"/>
      <c r="K920" s="274"/>
      <c r="L920" s="274"/>
      <c r="M920" s="274"/>
      <c r="N920" s="274"/>
      <c r="P920" s="275"/>
    </row>
    <row r="921" ht="15.0" customHeight="1">
      <c r="A921" s="59" t="s">
        <v>12</v>
      </c>
      <c r="B921" s="272">
        <v>46135.0</v>
      </c>
      <c r="D921" s="59" t="s">
        <v>153</v>
      </c>
      <c r="E921" s="59" t="s">
        <v>141</v>
      </c>
      <c r="F921" s="59" t="s">
        <v>79</v>
      </c>
      <c r="G921" s="59" t="s">
        <v>80</v>
      </c>
      <c r="H921" s="273">
        <v>151.0</v>
      </c>
      <c r="I921" s="274"/>
      <c r="J921" s="274"/>
      <c r="K921" s="274"/>
      <c r="L921" s="274"/>
      <c r="M921" s="274"/>
      <c r="N921" s="274"/>
      <c r="P921" s="275"/>
    </row>
    <row r="922" ht="15.0" customHeight="1">
      <c r="A922" s="59" t="s">
        <v>12</v>
      </c>
      <c r="B922" s="272">
        <v>46135.0</v>
      </c>
      <c r="D922" s="59" t="s">
        <v>100</v>
      </c>
      <c r="E922" s="59" t="s">
        <v>141</v>
      </c>
      <c r="F922" s="59" t="s">
        <v>79</v>
      </c>
      <c r="G922" s="59" t="s">
        <v>80</v>
      </c>
      <c r="H922" s="273">
        <v>303.0</v>
      </c>
      <c r="I922" s="274"/>
      <c r="J922" s="274"/>
      <c r="K922" s="274"/>
      <c r="L922" s="274"/>
      <c r="M922" s="274"/>
      <c r="N922" s="274"/>
      <c r="P922" s="275"/>
    </row>
    <row r="923" ht="15.0" customHeight="1">
      <c r="A923" s="59" t="s">
        <v>12</v>
      </c>
      <c r="B923" s="272">
        <v>46135.0</v>
      </c>
      <c r="D923" s="59" t="s">
        <v>99</v>
      </c>
      <c r="E923" s="59" t="s">
        <v>141</v>
      </c>
      <c r="F923" s="59" t="s">
        <v>79</v>
      </c>
      <c r="G923" s="59" t="s">
        <v>80</v>
      </c>
      <c r="H923" s="273">
        <v>320.0</v>
      </c>
      <c r="I923" s="274"/>
      <c r="J923" s="274"/>
      <c r="K923" s="274"/>
      <c r="L923" s="274"/>
      <c r="M923" s="274"/>
      <c r="N923" s="274"/>
      <c r="P923" s="275"/>
    </row>
    <row r="924" ht="15.0" customHeight="1">
      <c r="A924" s="59" t="s">
        <v>12</v>
      </c>
      <c r="B924" s="272">
        <v>46135.0</v>
      </c>
      <c r="D924" s="59" t="s">
        <v>117</v>
      </c>
      <c r="E924" s="59" t="s">
        <v>141</v>
      </c>
      <c r="F924" s="59" t="s">
        <v>79</v>
      </c>
      <c r="G924" s="59" t="s">
        <v>80</v>
      </c>
      <c r="H924" s="273">
        <v>154.0</v>
      </c>
      <c r="I924" s="274"/>
      <c r="J924" s="274"/>
      <c r="K924" s="274"/>
      <c r="L924" s="274"/>
      <c r="M924" s="274"/>
      <c r="N924" s="274"/>
      <c r="P924" s="275"/>
    </row>
    <row r="925" ht="15.0" customHeight="1">
      <c r="A925" s="59" t="s">
        <v>12</v>
      </c>
      <c r="B925" s="272">
        <v>46135.0</v>
      </c>
      <c r="D925" s="59" t="s">
        <v>116</v>
      </c>
      <c r="E925" s="59" t="s">
        <v>141</v>
      </c>
      <c r="F925" s="59" t="s">
        <v>79</v>
      </c>
      <c r="G925" s="59" t="s">
        <v>80</v>
      </c>
      <c r="H925" s="273">
        <v>328.0</v>
      </c>
      <c r="I925" s="274"/>
      <c r="J925" s="274"/>
      <c r="K925" s="274"/>
      <c r="L925" s="274"/>
      <c r="M925" s="274"/>
      <c r="N925" s="274"/>
      <c r="P925" s="275"/>
    </row>
    <row r="926" ht="15.0" customHeight="1">
      <c r="A926" s="59" t="s">
        <v>12</v>
      </c>
      <c r="B926" s="272">
        <v>46135.0</v>
      </c>
      <c r="D926" s="59" t="s">
        <v>136</v>
      </c>
      <c r="E926" s="59" t="s">
        <v>141</v>
      </c>
      <c r="F926" s="59" t="s">
        <v>79</v>
      </c>
      <c r="G926" s="59" t="s">
        <v>80</v>
      </c>
      <c r="H926" s="273">
        <v>55.0</v>
      </c>
      <c r="I926" s="274"/>
      <c r="J926" s="274"/>
      <c r="K926" s="274"/>
      <c r="L926" s="274"/>
      <c r="M926" s="274"/>
      <c r="N926" s="274"/>
      <c r="P926" s="275"/>
    </row>
    <row r="927" ht="15.0" customHeight="1">
      <c r="A927" s="59" t="s">
        <v>12</v>
      </c>
      <c r="B927" s="272">
        <v>46135.0</v>
      </c>
      <c r="D927" s="59" t="s">
        <v>148</v>
      </c>
      <c r="E927" s="59" t="s">
        <v>141</v>
      </c>
      <c r="F927" s="59" t="s">
        <v>79</v>
      </c>
      <c r="G927" s="59" t="s">
        <v>80</v>
      </c>
      <c r="H927" s="273">
        <v>300.0</v>
      </c>
      <c r="I927" s="274"/>
      <c r="J927" s="274"/>
      <c r="K927" s="274"/>
      <c r="L927" s="274"/>
      <c r="M927" s="274"/>
      <c r="N927" s="274"/>
      <c r="P927" s="275"/>
    </row>
    <row r="928" ht="15.0" customHeight="1">
      <c r="A928" s="59" t="s">
        <v>12</v>
      </c>
      <c r="B928" s="272">
        <v>46135.0</v>
      </c>
      <c r="D928" s="59" t="s">
        <v>115</v>
      </c>
      <c r="E928" s="59" t="s">
        <v>141</v>
      </c>
      <c r="F928" s="59" t="s">
        <v>79</v>
      </c>
      <c r="G928" s="59" t="s">
        <v>80</v>
      </c>
      <c r="H928" s="273">
        <v>430.0</v>
      </c>
      <c r="I928" s="274"/>
      <c r="J928" s="274"/>
      <c r="K928" s="274"/>
      <c r="L928" s="274"/>
      <c r="M928" s="274"/>
      <c r="N928" s="274"/>
      <c r="P928" s="275"/>
    </row>
    <row r="929" ht="15.0" customHeight="1">
      <c r="A929" s="59" t="s">
        <v>12</v>
      </c>
      <c r="B929" s="272">
        <v>46135.0</v>
      </c>
      <c r="D929" s="59" t="s">
        <v>113</v>
      </c>
      <c r="E929" s="59" t="s">
        <v>141</v>
      </c>
      <c r="F929" s="59" t="s">
        <v>79</v>
      </c>
      <c r="G929" s="59" t="s">
        <v>80</v>
      </c>
      <c r="H929" s="273">
        <v>210.0</v>
      </c>
      <c r="I929" s="274"/>
      <c r="J929" s="274"/>
      <c r="K929" s="274"/>
      <c r="L929" s="274"/>
      <c r="M929" s="274"/>
      <c r="N929" s="274"/>
      <c r="P929" s="275"/>
    </row>
    <row r="930" ht="15.0" customHeight="1">
      <c r="A930" s="59" t="s">
        <v>12</v>
      </c>
      <c r="B930" s="272">
        <v>46135.0</v>
      </c>
      <c r="D930" s="59" t="s">
        <v>101</v>
      </c>
      <c r="E930" s="59" t="s">
        <v>141</v>
      </c>
      <c r="F930" s="59" t="s">
        <v>79</v>
      </c>
      <c r="G930" s="59" t="s">
        <v>80</v>
      </c>
      <c r="H930" s="273">
        <v>240.0</v>
      </c>
      <c r="I930" s="274"/>
      <c r="J930" s="274"/>
      <c r="K930" s="274"/>
      <c r="L930" s="274"/>
      <c r="M930" s="274"/>
      <c r="N930" s="274"/>
      <c r="P930" s="275"/>
    </row>
    <row r="931" ht="15.0" customHeight="1">
      <c r="A931" s="59" t="s">
        <v>12</v>
      </c>
      <c r="B931" s="272">
        <v>46135.0</v>
      </c>
      <c r="D931" s="59" t="s">
        <v>153</v>
      </c>
      <c r="E931" s="59" t="s">
        <v>93</v>
      </c>
      <c r="F931" s="59" t="s">
        <v>79</v>
      </c>
      <c r="G931" s="59" t="s">
        <v>93</v>
      </c>
      <c r="H931" s="273">
        <v>3.0</v>
      </c>
      <c r="I931" s="274"/>
      <c r="J931" s="274"/>
      <c r="K931" s="274"/>
      <c r="L931" s="274"/>
      <c r="M931" s="274"/>
      <c r="N931" s="274"/>
      <c r="P931" s="275"/>
    </row>
    <row r="932" ht="15.0" customHeight="1">
      <c r="A932" s="59" t="s">
        <v>12</v>
      </c>
      <c r="B932" s="272">
        <v>46136.0</v>
      </c>
      <c r="D932" s="59" t="s">
        <v>84</v>
      </c>
      <c r="E932" s="59" t="s">
        <v>141</v>
      </c>
      <c r="F932" s="59" t="s">
        <v>79</v>
      </c>
      <c r="G932" s="59" t="s">
        <v>80</v>
      </c>
      <c r="H932" s="273">
        <v>480.0</v>
      </c>
      <c r="I932" s="274"/>
      <c r="J932" s="274"/>
      <c r="K932" s="274"/>
      <c r="L932" s="274"/>
      <c r="M932" s="274"/>
      <c r="N932" s="274"/>
      <c r="P932" s="275"/>
    </row>
    <row r="933" ht="15.0" customHeight="1">
      <c r="A933" s="59" t="s">
        <v>12</v>
      </c>
      <c r="B933" s="272">
        <v>46136.0</v>
      </c>
      <c r="D933" s="59" t="s">
        <v>129</v>
      </c>
      <c r="E933" s="59" t="s">
        <v>141</v>
      </c>
      <c r="F933" s="59" t="s">
        <v>79</v>
      </c>
      <c r="G933" s="59" t="s">
        <v>80</v>
      </c>
      <c r="H933" s="273">
        <v>290.0</v>
      </c>
      <c r="I933" s="274"/>
      <c r="J933" s="274"/>
      <c r="K933" s="274"/>
      <c r="L933" s="274"/>
      <c r="M933" s="274"/>
      <c r="N933" s="274"/>
      <c r="P933" s="275"/>
    </row>
    <row r="934" ht="15.0" customHeight="1">
      <c r="A934" s="59" t="s">
        <v>12</v>
      </c>
      <c r="B934" s="272">
        <v>46136.0</v>
      </c>
      <c r="D934" s="59" t="s">
        <v>103</v>
      </c>
      <c r="E934" s="59" t="s">
        <v>141</v>
      </c>
      <c r="F934" s="59" t="s">
        <v>79</v>
      </c>
      <c r="G934" s="59" t="s">
        <v>80</v>
      </c>
      <c r="H934" s="273">
        <v>151.0</v>
      </c>
      <c r="I934" s="274"/>
      <c r="J934" s="274"/>
      <c r="K934" s="274"/>
      <c r="L934" s="274"/>
      <c r="M934" s="274"/>
      <c r="N934" s="274"/>
      <c r="P934" s="275"/>
    </row>
    <row r="935" ht="15.0" customHeight="1">
      <c r="A935" s="59" t="s">
        <v>12</v>
      </c>
      <c r="B935" s="272">
        <v>46137.0</v>
      </c>
      <c r="D935" s="59" t="s">
        <v>154</v>
      </c>
      <c r="E935" s="59" t="s">
        <v>141</v>
      </c>
      <c r="F935" s="59" t="s">
        <v>79</v>
      </c>
      <c r="G935" s="59" t="s">
        <v>80</v>
      </c>
      <c r="H935" s="273">
        <v>155.0</v>
      </c>
      <c r="I935" s="274"/>
      <c r="J935" s="274"/>
      <c r="K935" s="274"/>
      <c r="L935" s="274"/>
      <c r="M935" s="274"/>
      <c r="N935" s="274"/>
      <c r="P935" s="275"/>
    </row>
    <row r="936" ht="15.0" customHeight="1">
      <c r="A936" s="59" t="s">
        <v>12</v>
      </c>
      <c r="B936" s="272">
        <v>46137.0</v>
      </c>
      <c r="D936" s="59" t="s">
        <v>96</v>
      </c>
      <c r="E936" s="59" t="s">
        <v>141</v>
      </c>
      <c r="F936" s="59" t="s">
        <v>79</v>
      </c>
      <c r="G936" s="59" t="s">
        <v>80</v>
      </c>
      <c r="H936" s="273">
        <v>415.0</v>
      </c>
      <c r="I936" s="274"/>
      <c r="J936" s="274"/>
      <c r="K936" s="274"/>
      <c r="L936" s="274"/>
      <c r="M936" s="274"/>
      <c r="N936" s="274"/>
      <c r="P936" s="275"/>
    </row>
    <row r="937" ht="15.0" customHeight="1">
      <c r="A937" s="59" t="s">
        <v>12</v>
      </c>
      <c r="B937" s="272">
        <v>46137.0</v>
      </c>
      <c r="D937" s="59" t="s">
        <v>116</v>
      </c>
      <c r="E937" s="59" t="s">
        <v>141</v>
      </c>
      <c r="F937" s="59" t="s">
        <v>79</v>
      </c>
      <c r="G937" s="59" t="s">
        <v>80</v>
      </c>
      <c r="H937" s="273">
        <v>325.0</v>
      </c>
      <c r="I937" s="274"/>
      <c r="J937" s="274"/>
      <c r="K937" s="274"/>
      <c r="L937" s="274"/>
      <c r="M937" s="274"/>
      <c r="N937" s="274"/>
      <c r="P937" s="275"/>
    </row>
    <row r="938" ht="15.0" customHeight="1">
      <c r="A938" s="59" t="s">
        <v>12</v>
      </c>
      <c r="B938" s="272">
        <v>46137.0</v>
      </c>
      <c r="D938" s="59" t="s">
        <v>122</v>
      </c>
      <c r="E938" s="59" t="s">
        <v>141</v>
      </c>
      <c r="F938" s="59" t="s">
        <v>79</v>
      </c>
      <c r="G938" s="59" t="s">
        <v>80</v>
      </c>
      <c r="H938" s="273">
        <v>298.0</v>
      </c>
      <c r="I938" s="274"/>
      <c r="J938" s="274"/>
      <c r="K938" s="274"/>
      <c r="L938" s="274"/>
      <c r="M938" s="274"/>
      <c r="N938" s="274"/>
      <c r="P938" s="275"/>
    </row>
    <row r="939" ht="15.0" customHeight="1">
      <c r="A939" s="59" t="s">
        <v>12</v>
      </c>
      <c r="B939" s="272">
        <v>46137.0</v>
      </c>
      <c r="D939" s="59" t="s">
        <v>89</v>
      </c>
      <c r="E939" s="59" t="s">
        <v>141</v>
      </c>
      <c r="F939" s="59" t="s">
        <v>79</v>
      </c>
      <c r="G939" s="59" t="s">
        <v>80</v>
      </c>
      <c r="H939" s="273">
        <v>48.0</v>
      </c>
      <c r="I939" s="274"/>
      <c r="J939" s="274"/>
      <c r="K939" s="274"/>
      <c r="L939" s="274"/>
      <c r="M939" s="274"/>
      <c r="N939" s="274"/>
      <c r="P939" s="275"/>
    </row>
    <row r="940" ht="15.0" customHeight="1">
      <c r="A940" s="59" t="s">
        <v>12</v>
      </c>
      <c r="B940" s="272">
        <v>46137.0</v>
      </c>
      <c r="D940" s="59" t="s">
        <v>114</v>
      </c>
      <c r="E940" s="59" t="s">
        <v>141</v>
      </c>
      <c r="F940" s="59" t="s">
        <v>79</v>
      </c>
      <c r="G940" s="59" t="s">
        <v>80</v>
      </c>
      <c r="H940" s="273">
        <v>200.0</v>
      </c>
      <c r="I940" s="274"/>
      <c r="J940" s="274"/>
      <c r="K940" s="274"/>
      <c r="L940" s="274"/>
      <c r="M940" s="274"/>
      <c r="N940" s="274"/>
      <c r="P940" s="275"/>
    </row>
    <row r="941" ht="15.0" customHeight="1">
      <c r="A941" s="59" t="s">
        <v>12</v>
      </c>
      <c r="B941" s="272">
        <v>46137.0</v>
      </c>
      <c r="D941" s="59" t="s">
        <v>98</v>
      </c>
      <c r="E941" s="59" t="s">
        <v>141</v>
      </c>
      <c r="F941" s="59" t="s">
        <v>79</v>
      </c>
      <c r="G941" s="59" t="s">
        <v>80</v>
      </c>
      <c r="H941" s="273">
        <v>180.0</v>
      </c>
      <c r="I941" s="274"/>
      <c r="J941" s="274"/>
      <c r="K941" s="274"/>
      <c r="L941" s="274"/>
      <c r="M941" s="274"/>
      <c r="N941" s="274"/>
      <c r="P941" s="275"/>
    </row>
    <row r="942" ht="15.0" customHeight="1">
      <c r="A942" s="59" t="s">
        <v>12</v>
      </c>
      <c r="B942" s="272">
        <v>46137.0</v>
      </c>
      <c r="D942" s="59" t="s">
        <v>97</v>
      </c>
      <c r="E942" s="59" t="s">
        <v>141</v>
      </c>
      <c r="F942" s="59" t="s">
        <v>79</v>
      </c>
      <c r="G942" s="59" t="s">
        <v>80</v>
      </c>
      <c r="H942" s="273">
        <v>201.0</v>
      </c>
      <c r="I942" s="274"/>
      <c r="J942" s="274"/>
      <c r="K942" s="274"/>
      <c r="L942" s="274"/>
      <c r="M942" s="274"/>
      <c r="N942" s="274"/>
      <c r="P942" s="275"/>
    </row>
    <row r="943" ht="15.0" customHeight="1">
      <c r="A943" s="59" t="s">
        <v>12</v>
      </c>
      <c r="B943" s="272">
        <v>46137.0</v>
      </c>
      <c r="D943" s="59" t="s">
        <v>126</v>
      </c>
      <c r="E943" s="59" t="s">
        <v>110</v>
      </c>
      <c r="F943" s="59" t="s">
        <v>79</v>
      </c>
      <c r="G943" s="59" t="s">
        <v>110</v>
      </c>
      <c r="H943" s="273">
        <v>5.0</v>
      </c>
      <c r="I943" s="274"/>
      <c r="J943" s="274"/>
      <c r="K943" s="274"/>
      <c r="L943" s="274"/>
      <c r="M943" s="274"/>
      <c r="N943" s="274"/>
      <c r="P943" s="275"/>
    </row>
    <row r="944" ht="15.0" customHeight="1">
      <c r="A944" s="59" t="s">
        <v>12</v>
      </c>
      <c r="B944" s="272">
        <v>46137.0</v>
      </c>
      <c r="D944" s="59" t="s">
        <v>116</v>
      </c>
      <c r="E944" s="59" t="s">
        <v>110</v>
      </c>
      <c r="F944" s="59" t="s">
        <v>79</v>
      </c>
      <c r="G944" s="59" t="s">
        <v>110</v>
      </c>
      <c r="H944" s="273">
        <v>30.0</v>
      </c>
      <c r="I944" s="274"/>
      <c r="J944" s="274"/>
      <c r="K944" s="274"/>
      <c r="L944" s="274"/>
      <c r="M944" s="274"/>
      <c r="N944" s="274"/>
      <c r="P944" s="275"/>
    </row>
    <row r="945" ht="15.0" customHeight="1">
      <c r="A945" s="59" t="s">
        <v>12</v>
      </c>
      <c r="B945" s="272">
        <v>46137.0</v>
      </c>
      <c r="D945" s="59" t="s">
        <v>96</v>
      </c>
      <c r="E945" s="59" t="s">
        <v>93</v>
      </c>
      <c r="F945" s="59" t="s">
        <v>79</v>
      </c>
      <c r="G945" s="59" t="s">
        <v>93</v>
      </c>
      <c r="H945" s="273">
        <v>5.0</v>
      </c>
      <c r="I945" s="274"/>
      <c r="J945" s="274"/>
      <c r="K945" s="274"/>
      <c r="L945" s="274"/>
      <c r="M945" s="274"/>
      <c r="N945" s="274"/>
      <c r="P945" s="275"/>
    </row>
    <row r="946" ht="15.0" customHeight="1">
      <c r="A946" s="59" t="s">
        <v>12</v>
      </c>
      <c r="B946" s="272">
        <v>46138.0</v>
      </c>
      <c r="D946" s="59" t="s">
        <v>100</v>
      </c>
      <c r="E946" s="59" t="s">
        <v>141</v>
      </c>
      <c r="F946" s="59" t="s">
        <v>79</v>
      </c>
      <c r="G946" s="59" t="s">
        <v>80</v>
      </c>
      <c r="H946" s="273">
        <v>270.0</v>
      </c>
      <c r="I946" s="274"/>
      <c r="J946" s="274"/>
      <c r="K946" s="274"/>
      <c r="L946" s="274"/>
      <c r="M946" s="274"/>
      <c r="N946" s="274"/>
      <c r="P946" s="275"/>
    </row>
    <row r="947" ht="15.0" customHeight="1">
      <c r="A947" s="59" t="s">
        <v>12</v>
      </c>
      <c r="B947" s="272">
        <v>46138.0</v>
      </c>
      <c r="D947" s="59" t="s">
        <v>86</v>
      </c>
      <c r="E947" s="59" t="s">
        <v>141</v>
      </c>
      <c r="F947" s="59" t="s">
        <v>79</v>
      </c>
      <c r="G947" s="59" t="s">
        <v>80</v>
      </c>
      <c r="H947" s="273">
        <v>258.0</v>
      </c>
      <c r="I947" s="274"/>
      <c r="J947" s="274"/>
      <c r="K947" s="274"/>
      <c r="L947" s="274"/>
      <c r="M947" s="274"/>
      <c r="N947" s="274"/>
      <c r="P947" s="275"/>
    </row>
    <row r="948" ht="15.0" customHeight="1">
      <c r="A948" s="59" t="s">
        <v>12</v>
      </c>
      <c r="B948" s="272">
        <v>46139.0</v>
      </c>
      <c r="D948" s="59" t="s">
        <v>130</v>
      </c>
      <c r="E948" s="59" t="s">
        <v>141</v>
      </c>
      <c r="F948" s="59" t="s">
        <v>79</v>
      </c>
      <c r="G948" s="59" t="s">
        <v>80</v>
      </c>
      <c r="H948" s="273">
        <v>172.0</v>
      </c>
      <c r="I948" s="274"/>
      <c r="J948" s="274"/>
      <c r="K948" s="274"/>
      <c r="L948" s="274"/>
      <c r="M948" s="274"/>
      <c r="N948" s="274"/>
      <c r="P948" s="275"/>
    </row>
    <row r="949" ht="15.0" customHeight="1">
      <c r="A949" s="59" t="s">
        <v>12</v>
      </c>
      <c r="B949" s="272">
        <v>46139.0</v>
      </c>
      <c r="D949" s="59" t="s">
        <v>84</v>
      </c>
      <c r="E949" s="59" t="s">
        <v>141</v>
      </c>
      <c r="F949" s="59" t="s">
        <v>79</v>
      </c>
      <c r="G949" s="59" t="s">
        <v>80</v>
      </c>
      <c r="H949" s="273">
        <v>51.0</v>
      </c>
      <c r="I949" s="274"/>
      <c r="J949" s="274"/>
      <c r="K949" s="274"/>
      <c r="L949" s="274"/>
      <c r="M949" s="274"/>
      <c r="N949" s="274"/>
      <c r="P949" s="275"/>
    </row>
    <row r="950" ht="15.0" customHeight="1">
      <c r="A950" s="59" t="s">
        <v>12</v>
      </c>
      <c r="B950" s="272">
        <v>46139.0</v>
      </c>
      <c r="D950" s="59" t="s">
        <v>145</v>
      </c>
      <c r="E950" s="59" t="s">
        <v>141</v>
      </c>
      <c r="F950" s="59" t="s">
        <v>79</v>
      </c>
      <c r="G950" s="59" t="s">
        <v>80</v>
      </c>
      <c r="H950" s="273">
        <v>210.0</v>
      </c>
      <c r="I950" s="274"/>
      <c r="J950" s="274"/>
      <c r="K950" s="274"/>
      <c r="L950" s="274"/>
      <c r="M950" s="274"/>
      <c r="N950" s="274"/>
      <c r="P950" s="275"/>
    </row>
    <row r="951" ht="15.0" customHeight="1">
      <c r="A951" s="59" t="s">
        <v>12</v>
      </c>
      <c r="B951" s="272">
        <v>46139.0</v>
      </c>
      <c r="D951" s="59" t="s">
        <v>102</v>
      </c>
      <c r="E951" s="59" t="s">
        <v>141</v>
      </c>
      <c r="F951" s="59" t="s">
        <v>79</v>
      </c>
      <c r="G951" s="59" t="s">
        <v>80</v>
      </c>
      <c r="H951" s="273">
        <v>220.0</v>
      </c>
      <c r="I951" s="274"/>
      <c r="J951" s="274"/>
      <c r="K951" s="274"/>
      <c r="L951" s="274"/>
      <c r="M951" s="274"/>
      <c r="N951" s="274"/>
      <c r="P951" s="275"/>
    </row>
    <row r="952" ht="15.0" customHeight="1">
      <c r="A952" s="59" t="s">
        <v>12</v>
      </c>
      <c r="B952" s="272">
        <v>46139.0</v>
      </c>
      <c r="D952" s="59" t="s">
        <v>336</v>
      </c>
      <c r="E952" s="59" t="s">
        <v>141</v>
      </c>
      <c r="F952" s="59" t="s">
        <v>79</v>
      </c>
      <c r="G952" s="59" t="s">
        <v>80</v>
      </c>
      <c r="H952" s="273">
        <v>240.0</v>
      </c>
      <c r="I952" s="274"/>
      <c r="J952" s="274"/>
      <c r="K952" s="274"/>
      <c r="L952" s="274"/>
      <c r="M952" s="274"/>
      <c r="N952" s="274"/>
      <c r="P952" s="275"/>
    </row>
    <row r="953" ht="15.0" customHeight="1">
      <c r="A953" s="59" t="s">
        <v>12</v>
      </c>
      <c r="B953" s="272">
        <v>46139.0</v>
      </c>
      <c r="D953" s="59" t="s">
        <v>113</v>
      </c>
      <c r="E953" s="59" t="s">
        <v>141</v>
      </c>
      <c r="F953" s="59" t="s">
        <v>79</v>
      </c>
      <c r="G953" s="59" t="s">
        <v>80</v>
      </c>
      <c r="H953" s="273">
        <v>200.0</v>
      </c>
      <c r="I953" s="274"/>
      <c r="J953" s="274"/>
      <c r="K953" s="274"/>
      <c r="L953" s="274"/>
      <c r="M953" s="274"/>
      <c r="N953" s="274"/>
      <c r="P953" s="275"/>
    </row>
    <row r="954" ht="15.0" customHeight="1">
      <c r="A954" s="59" t="s">
        <v>12</v>
      </c>
      <c r="B954" s="272">
        <v>46139.0</v>
      </c>
      <c r="D954" s="59" t="s">
        <v>112</v>
      </c>
      <c r="E954" s="59" t="s">
        <v>141</v>
      </c>
      <c r="F954" s="59" t="s">
        <v>79</v>
      </c>
      <c r="G954" s="59" t="s">
        <v>80</v>
      </c>
      <c r="H954" s="273">
        <v>241.0</v>
      </c>
      <c r="I954" s="274"/>
      <c r="J954" s="274"/>
      <c r="K954" s="274"/>
      <c r="L954" s="274"/>
      <c r="M954" s="274"/>
      <c r="N954" s="274"/>
      <c r="P954" s="275"/>
    </row>
    <row r="955" ht="15.0" customHeight="1">
      <c r="A955" s="59" t="s">
        <v>12</v>
      </c>
      <c r="B955" s="272">
        <v>46139.0</v>
      </c>
      <c r="D955" s="59" t="s">
        <v>154</v>
      </c>
      <c r="E955" s="59" t="s">
        <v>110</v>
      </c>
      <c r="F955" s="59" t="s">
        <v>79</v>
      </c>
      <c r="G955" s="59" t="s">
        <v>110</v>
      </c>
      <c r="H955" s="273">
        <v>18.0</v>
      </c>
      <c r="I955" s="274"/>
      <c r="J955" s="274"/>
      <c r="K955" s="274"/>
      <c r="L955" s="274"/>
      <c r="M955" s="274"/>
      <c r="N955" s="274"/>
      <c r="P955" s="275"/>
    </row>
    <row r="956" ht="15.0" customHeight="1">
      <c r="A956" s="59" t="s">
        <v>12</v>
      </c>
      <c r="B956" s="272">
        <v>46139.0</v>
      </c>
      <c r="D956" s="59" t="s">
        <v>336</v>
      </c>
      <c r="E956" s="59" t="s">
        <v>110</v>
      </c>
      <c r="F956" s="59" t="s">
        <v>79</v>
      </c>
      <c r="G956" s="59" t="s">
        <v>110</v>
      </c>
      <c r="H956" s="273">
        <v>32.0</v>
      </c>
      <c r="I956" s="274"/>
      <c r="J956" s="274"/>
      <c r="K956" s="274"/>
      <c r="L956" s="274"/>
      <c r="M956" s="274"/>
      <c r="N956" s="274"/>
      <c r="P956" s="275"/>
    </row>
    <row r="957" ht="15.0" customHeight="1">
      <c r="A957" s="59" t="s">
        <v>12</v>
      </c>
      <c r="B957" s="272">
        <v>46140.0</v>
      </c>
      <c r="D957" s="59" t="s">
        <v>89</v>
      </c>
      <c r="E957" s="59" t="s">
        <v>141</v>
      </c>
      <c r="F957" s="59" t="s">
        <v>79</v>
      </c>
      <c r="G957" s="59" t="s">
        <v>80</v>
      </c>
      <c r="H957" s="273">
        <v>42.0</v>
      </c>
      <c r="I957" s="274"/>
      <c r="J957" s="274"/>
      <c r="K957" s="274"/>
      <c r="L957" s="274"/>
      <c r="M957" s="274"/>
      <c r="N957" s="274"/>
      <c r="P957" s="275"/>
    </row>
    <row r="958" ht="15.0" customHeight="1">
      <c r="A958" s="59" t="s">
        <v>12</v>
      </c>
      <c r="B958" s="272">
        <v>46140.0</v>
      </c>
      <c r="D958" s="59" t="s">
        <v>98</v>
      </c>
      <c r="E958" s="59" t="s">
        <v>141</v>
      </c>
      <c r="F958" s="59" t="s">
        <v>79</v>
      </c>
      <c r="G958" s="59" t="s">
        <v>80</v>
      </c>
      <c r="H958" s="273">
        <v>173.0</v>
      </c>
      <c r="I958" s="274"/>
      <c r="J958" s="274"/>
      <c r="K958" s="274"/>
      <c r="L958" s="274"/>
      <c r="M958" s="274"/>
      <c r="N958" s="274"/>
      <c r="P958" s="275"/>
    </row>
    <row r="959" ht="15.0" customHeight="1">
      <c r="A959" s="59" t="s">
        <v>12</v>
      </c>
      <c r="B959" s="272">
        <v>46140.0</v>
      </c>
      <c r="D959" s="59" t="s">
        <v>138</v>
      </c>
      <c r="E959" s="59" t="s">
        <v>141</v>
      </c>
      <c r="F959" s="59" t="s">
        <v>79</v>
      </c>
      <c r="G959" s="59" t="s">
        <v>80</v>
      </c>
      <c r="H959" s="273">
        <v>260.0</v>
      </c>
      <c r="I959" s="274"/>
      <c r="J959" s="274"/>
      <c r="K959" s="274"/>
      <c r="L959" s="274"/>
      <c r="M959" s="274"/>
      <c r="N959" s="274"/>
      <c r="P959" s="275"/>
    </row>
    <row r="960" ht="15.0" customHeight="1">
      <c r="A960" s="59" t="s">
        <v>12</v>
      </c>
      <c r="B960" s="272">
        <v>46140.0</v>
      </c>
      <c r="D960" s="59" t="s">
        <v>101</v>
      </c>
      <c r="E960" s="59" t="s">
        <v>141</v>
      </c>
      <c r="F960" s="59" t="s">
        <v>79</v>
      </c>
      <c r="G960" s="59" t="s">
        <v>80</v>
      </c>
      <c r="H960" s="273">
        <v>230.0</v>
      </c>
      <c r="I960" s="274"/>
      <c r="J960" s="274"/>
      <c r="K960" s="274"/>
      <c r="L960" s="274"/>
      <c r="M960" s="274"/>
      <c r="N960" s="274"/>
      <c r="P960" s="275"/>
    </row>
    <row r="961" ht="15.0" customHeight="1">
      <c r="A961" s="59" t="s">
        <v>12</v>
      </c>
      <c r="B961" s="272">
        <v>46141.0</v>
      </c>
      <c r="D961" s="59" t="s">
        <v>82</v>
      </c>
      <c r="E961" s="59" t="s">
        <v>78</v>
      </c>
      <c r="F961" s="59" t="s">
        <v>79</v>
      </c>
      <c r="G961" s="59" t="s">
        <v>80</v>
      </c>
      <c r="H961" s="273">
        <v>310.0</v>
      </c>
      <c r="I961" s="274"/>
      <c r="J961" s="274"/>
      <c r="K961" s="274"/>
      <c r="L961" s="274"/>
      <c r="M961" s="274"/>
      <c r="N961" s="274"/>
      <c r="P961" s="275"/>
    </row>
    <row r="962" ht="15.0" customHeight="1">
      <c r="A962" s="59" t="s">
        <v>12</v>
      </c>
      <c r="B962" s="272">
        <v>46141.0</v>
      </c>
      <c r="D962" s="59" t="s">
        <v>100</v>
      </c>
      <c r="E962" s="59" t="s">
        <v>78</v>
      </c>
      <c r="F962" s="59" t="s">
        <v>79</v>
      </c>
      <c r="G962" s="59" t="s">
        <v>80</v>
      </c>
      <c r="H962" s="273">
        <v>167.0</v>
      </c>
      <c r="I962" s="274"/>
      <c r="J962" s="274"/>
      <c r="K962" s="274"/>
      <c r="L962" s="274"/>
      <c r="M962" s="274"/>
      <c r="N962" s="274"/>
      <c r="P962" s="275"/>
    </row>
    <row r="963" ht="15.0" customHeight="1">
      <c r="A963" s="59" t="s">
        <v>12</v>
      </c>
      <c r="B963" s="272">
        <v>46141.0</v>
      </c>
      <c r="D963" s="59" t="s">
        <v>96</v>
      </c>
      <c r="E963" s="59" t="s">
        <v>78</v>
      </c>
      <c r="F963" s="59" t="s">
        <v>79</v>
      </c>
      <c r="G963" s="59" t="s">
        <v>80</v>
      </c>
      <c r="H963" s="273">
        <v>140.0</v>
      </c>
      <c r="I963" s="274"/>
      <c r="J963" s="274"/>
      <c r="K963" s="274"/>
      <c r="L963" s="274"/>
      <c r="M963" s="274"/>
      <c r="N963" s="274"/>
      <c r="P963" s="275"/>
    </row>
    <row r="964" ht="15.0" customHeight="1">
      <c r="A964" s="59" t="s">
        <v>12</v>
      </c>
      <c r="B964" s="272">
        <v>46141.0</v>
      </c>
      <c r="D964" s="59" t="s">
        <v>118</v>
      </c>
      <c r="E964" s="59" t="s">
        <v>141</v>
      </c>
      <c r="F964" s="59" t="s">
        <v>79</v>
      </c>
      <c r="G964" s="59" t="s">
        <v>80</v>
      </c>
      <c r="H964" s="273">
        <v>267.0</v>
      </c>
      <c r="I964" s="274"/>
      <c r="J964" s="274"/>
      <c r="K964" s="274"/>
      <c r="L964" s="274"/>
      <c r="M964" s="274"/>
      <c r="N964" s="274"/>
      <c r="P964" s="275"/>
    </row>
    <row r="965" ht="15.0" customHeight="1">
      <c r="A965" s="59" t="s">
        <v>12</v>
      </c>
      <c r="B965" s="272">
        <v>46141.0</v>
      </c>
      <c r="D965" s="59" t="s">
        <v>103</v>
      </c>
      <c r="E965" s="59" t="s">
        <v>141</v>
      </c>
      <c r="F965" s="59" t="s">
        <v>79</v>
      </c>
      <c r="G965" s="59" t="s">
        <v>80</v>
      </c>
      <c r="H965" s="273">
        <v>169.0</v>
      </c>
      <c r="I965" s="274"/>
      <c r="J965" s="274"/>
      <c r="K965" s="274"/>
      <c r="L965" s="274"/>
      <c r="M965" s="274"/>
      <c r="N965" s="274"/>
      <c r="P965" s="275"/>
    </row>
    <row r="966" ht="15.0" customHeight="1">
      <c r="A966" s="59" t="s">
        <v>12</v>
      </c>
      <c r="B966" s="272">
        <v>46141.0</v>
      </c>
      <c r="D966" s="59" t="s">
        <v>86</v>
      </c>
      <c r="E966" s="59" t="s">
        <v>141</v>
      </c>
      <c r="F966" s="59" t="s">
        <v>79</v>
      </c>
      <c r="G966" s="59" t="s">
        <v>80</v>
      </c>
      <c r="H966" s="273">
        <v>258.0</v>
      </c>
      <c r="I966" s="274"/>
      <c r="J966" s="274"/>
      <c r="K966" s="274"/>
      <c r="L966" s="274"/>
      <c r="M966" s="274"/>
      <c r="N966" s="274"/>
      <c r="P966" s="275"/>
    </row>
    <row r="967" ht="15.0" customHeight="1">
      <c r="A967" s="59" t="s">
        <v>12</v>
      </c>
      <c r="B967" s="272">
        <v>46141.0</v>
      </c>
      <c r="D967" s="59" t="s">
        <v>164</v>
      </c>
      <c r="E967" s="59" t="s">
        <v>163</v>
      </c>
      <c r="F967" s="59" t="s">
        <v>79</v>
      </c>
      <c r="G967" s="59" t="s">
        <v>80</v>
      </c>
      <c r="H967" s="273">
        <v>180.0</v>
      </c>
      <c r="I967" s="274"/>
      <c r="J967" s="274"/>
      <c r="K967" s="274"/>
      <c r="L967" s="274"/>
      <c r="M967" s="274"/>
      <c r="N967" s="274"/>
      <c r="P967" s="275"/>
    </row>
    <row r="968" ht="15.0" customHeight="1">
      <c r="A968" s="59" t="s">
        <v>12</v>
      </c>
      <c r="B968" s="272">
        <v>46141.0</v>
      </c>
      <c r="D968" s="59" t="s">
        <v>162</v>
      </c>
      <c r="E968" s="59" t="s">
        <v>163</v>
      </c>
      <c r="F968" s="59" t="s">
        <v>79</v>
      </c>
      <c r="G968" s="59" t="s">
        <v>80</v>
      </c>
      <c r="H968" s="273">
        <v>1469.0</v>
      </c>
      <c r="I968" s="274"/>
      <c r="J968" s="274"/>
      <c r="K968" s="274"/>
      <c r="L968" s="274"/>
      <c r="M968" s="274"/>
      <c r="N968" s="274"/>
      <c r="P968" s="275"/>
    </row>
    <row r="969" ht="15.0" customHeight="1">
      <c r="A969" s="59" t="s">
        <v>12</v>
      </c>
      <c r="B969" s="272">
        <v>46141.0</v>
      </c>
      <c r="D969" s="59" t="s">
        <v>84</v>
      </c>
      <c r="E969" s="59" t="s">
        <v>110</v>
      </c>
      <c r="F969" s="59" t="s">
        <v>79</v>
      </c>
      <c r="G969" s="59" t="s">
        <v>110</v>
      </c>
      <c r="H969" s="273">
        <v>5.0</v>
      </c>
      <c r="I969" s="274"/>
      <c r="J969" s="274"/>
      <c r="K969" s="274"/>
      <c r="L969" s="274"/>
      <c r="M969" s="274"/>
      <c r="N969" s="274"/>
      <c r="P969" s="275"/>
    </row>
    <row r="970" ht="15.0" customHeight="1">
      <c r="A970" s="59" t="s">
        <v>12</v>
      </c>
      <c r="B970" s="272">
        <v>46141.0</v>
      </c>
      <c r="D970" s="59" t="s">
        <v>102</v>
      </c>
      <c r="E970" s="59" t="s">
        <v>110</v>
      </c>
      <c r="F970" s="59" t="s">
        <v>79</v>
      </c>
      <c r="G970" s="59" t="s">
        <v>110</v>
      </c>
      <c r="H970" s="273">
        <v>32.0</v>
      </c>
      <c r="I970" s="274"/>
      <c r="J970" s="274"/>
      <c r="K970" s="274"/>
      <c r="L970" s="274"/>
      <c r="M970" s="274"/>
      <c r="N970" s="274"/>
      <c r="P970" s="275"/>
    </row>
    <row r="971" ht="15.0" customHeight="1">
      <c r="A971" s="59" t="s">
        <v>16</v>
      </c>
      <c r="B971" s="272">
        <v>46141.0</v>
      </c>
      <c r="E971" s="59" t="s">
        <v>78</v>
      </c>
      <c r="F971" s="59" t="s">
        <v>565</v>
      </c>
      <c r="G971" s="59" t="s">
        <v>80</v>
      </c>
      <c r="H971" s="273">
        <v>7080.0</v>
      </c>
      <c r="I971" s="274"/>
      <c r="J971" s="274"/>
      <c r="K971" s="274"/>
      <c r="L971" s="274"/>
      <c r="M971" s="274"/>
      <c r="N971" s="274"/>
      <c r="P971" s="275"/>
    </row>
    <row r="972" ht="15.0" customHeight="1">
      <c r="A972" s="59" t="s">
        <v>16</v>
      </c>
      <c r="B972" s="272">
        <v>46141.0</v>
      </c>
      <c r="E972" s="59" t="s">
        <v>83</v>
      </c>
      <c r="F972" s="59" t="s">
        <v>565</v>
      </c>
      <c r="G972" s="59" t="s">
        <v>80</v>
      </c>
      <c r="H972" s="273">
        <v>14190.0</v>
      </c>
      <c r="I972" s="274"/>
      <c r="J972" s="274"/>
      <c r="K972" s="274"/>
      <c r="L972" s="274"/>
      <c r="M972" s="274"/>
      <c r="N972" s="274"/>
      <c r="P972" s="275"/>
    </row>
    <row r="973" ht="15.0" customHeight="1">
      <c r="A973" s="59" t="s">
        <v>12</v>
      </c>
      <c r="B973" s="272">
        <v>46142.0</v>
      </c>
      <c r="D973" s="59" t="s">
        <v>153</v>
      </c>
      <c r="E973" s="59" t="s">
        <v>78</v>
      </c>
      <c r="F973" s="59" t="s">
        <v>79</v>
      </c>
      <c r="G973" s="59" t="s">
        <v>80</v>
      </c>
      <c r="H973" s="273">
        <v>120.0</v>
      </c>
      <c r="I973" s="274"/>
      <c r="J973" s="274"/>
      <c r="K973" s="274"/>
      <c r="L973" s="274"/>
      <c r="M973" s="274"/>
      <c r="N973" s="274"/>
      <c r="P973" s="275"/>
    </row>
    <row r="974" ht="15.0" customHeight="1">
      <c r="A974" s="59" t="s">
        <v>12</v>
      </c>
      <c r="B974" s="272">
        <v>46142.0</v>
      </c>
      <c r="D974" s="59" t="s">
        <v>88</v>
      </c>
      <c r="E974" s="59" t="s">
        <v>78</v>
      </c>
      <c r="F974" s="59" t="s">
        <v>79</v>
      </c>
      <c r="G974" s="59" t="s">
        <v>80</v>
      </c>
      <c r="H974" s="273">
        <v>403.0</v>
      </c>
      <c r="I974" s="274"/>
      <c r="J974" s="274"/>
      <c r="K974" s="274"/>
      <c r="L974" s="274"/>
      <c r="M974" s="274"/>
      <c r="N974" s="274"/>
      <c r="P974" s="275"/>
    </row>
    <row r="975" ht="15.0" customHeight="1">
      <c r="A975" s="59" t="s">
        <v>12</v>
      </c>
      <c r="B975" s="272">
        <v>46142.0</v>
      </c>
      <c r="D975" s="59" t="s">
        <v>119</v>
      </c>
      <c r="E975" s="59" t="s">
        <v>78</v>
      </c>
      <c r="F975" s="59" t="s">
        <v>79</v>
      </c>
      <c r="G975" s="59" t="s">
        <v>80</v>
      </c>
      <c r="H975" s="273">
        <v>360.0</v>
      </c>
      <c r="I975" s="274"/>
      <c r="J975" s="274"/>
      <c r="K975" s="274"/>
      <c r="L975" s="274"/>
      <c r="M975" s="274"/>
      <c r="N975" s="274"/>
      <c r="P975" s="275"/>
    </row>
    <row r="976" ht="15.0" customHeight="1">
      <c r="A976" s="59" t="s">
        <v>12</v>
      </c>
      <c r="B976" s="272">
        <v>46142.0</v>
      </c>
      <c r="D976" s="59" t="s">
        <v>135</v>
      </c>
      <c r="E976" s="59" t="s">
        <v>78</v>
      </c>
      <c r="F976" s="59" t="s">
        <v>79</v>
      </c>
      <c r="G976" s="59" t="s">
        <v>80</v>
      </c>
      <c r="H976" s="273">
        <v>46.0</v>
      </c>
      <c r="I976" s="274"/>
      <c r="J976" s="274"/>
      <c r="K976" s="274"/>
      <c r="L976" s="274"/>
      <c r="M976" s="274"/>
      <c r="N976" s="274"/>
      <c r="P976" s="275"/>
    </row>
    <row r="977" ht="15.0" customHeight="1">
      <c r="A977" s="59" t="s">
        <v>12</v>
      </c>
      <c r="B977" s="272">
        <v>46142.0</v>
      </c>
      <c r="D977" s="59" t="s">
        <v>91</v>
      </c>
      <c r="E977" s="59" t="s">
        <v>78</v>
      </c>
      <c r="F977" s="59" t="s">
        <v>79</v>
      </c>
      <c r="G977" s="59" t="s">
        <v>80</v>
      </c>
      <c r="H977" s="273">
        <v>35.0</v>
      </c>
      <c r="I977" s="274"/>
      <c r="J977" s="274"/>
      <c r="K977" s="274"/>
      <c r="L977" s="274"/>
      <c r="M977" s="274"/>
      <c r="N977" s="274"/>
      <c r="P977" s="275"/>
    </row>
    <row r="978" ht="15.0" customHeight="1">
      <c r="A978" s="59" t="s">
        <v>12</v>
      </c>
      <c r="B978" s="272">
        <v>46142.0</v>
      </c>
      <c r="D978" s="59" t="s">
        <v>132</v>
      </c>
      <c r="E978" s="59" t="s">
        <v>78</v>
      </c>
      <c r="F978" s="59" t="s">
        <v>79</v>
      </c>
      <c r="G978" s="59" t="s">
        <v>80</v>
      </c>
      <c r="H978" s="273">
        <v>240.0</v>
      </c>
      <c r="I978" s="274"/>
      <c r="J978" s="274"/>
      <c r="K978" s="274"/>
      <c r="L978" s="274"/>
      <c r="M978" s="274"/>
      <c r="N978" s="274"/>
      <c r="P978" s="275"/>
    </row>
    <row r="979" ht="15.0" customHeight="1">
      <c r="A979" s="59" t="s">
        <v>12</v>
      </c>
      <c r="B979" s="272">
        <v>46142.0</v>
      </c>
      <c r="D979" s="59" t="s">
        <v>129</v>
      </c>
      <c r="E979" s="59" t="s">
        <v>78</v>
      </c>
      <c r="F979" s="59" t="s">
        <v>79</v>
      </c>
      <c r="G979" s="59" t="s">
        <v>80</v>
      </c>
      <c r="H979" s="273">
        <v>69.0</v>
      </c>
      <c r="I979" s="274"/>
      <c r="J979" s="274"/>
      <c r="K979" s="274"/>
      <c r="L979" s="274"/>
      <c r="M979" s="274"/>
      <c r="N979" s="274"/>
      <c r="P979" s="275"/>
    </row>
    <row r="980" ht="15.0" customHeight="1">
      <c r="A980" s="59" t="s">
        <v>12</v>
      </c>
      <c r="B980" s="272">
        <v>46142.0</v>
      </c>
      <c r="D980" s="59" t="s">
        <v>97</v>
      </c>
      <c r="E980" s="59" t="s">
        <v>78</v>
      </c>
      <c r="F980" s="59" t="s">
        <v>79</v>
      </c>
      <c r="G980" s="59" t="s">
        <v>80</v>
      </c>
      <c r="H980" s="273">
        <v>147.0</v>
      </c>
      <c r="I980" s="274"/>
      <c r="J980" s="274"/>
      <c r="K980" s="274"/>
      <c r="L980" s="274"/>
      <c r="M980" s="274"/>
      <c r="N980" s="274"/>
      <c r="P980" s="275"/>
    </row>
    <row r="981" ht="15.0" customHeight="1">
      <c r="A981" s="59" t="s">
        <v>12</v>
      </c>
      <c r="B981" s="272">
        <v>46142.0</v>
      </c>
      <c r="D981" s="59" t="s">
        <v>154</v>
      </c>
      <c r="E981" s="59" t="s">
        <v>141</v>
      </c>
      <c r="F981" s="59" t="s">
        <v>79</v>
      </c>
      <c r="G981" s="59" t="s">
        <v>80</v>
      </c>
      <c r="H981" s="273">
        <v>65.0</v>
      </c>
      <c r="I981" s="274"/>
      <c r="J981" s="274"/>
      <c r="K981" s="274"/>
      <c r="L981" s="274"/>
      <c r="M981" s="274"/>
      <c r="N981" s="274"/>
      <c r="P981" s="275"/>
    </row>
    <row r="982" ht="15.0" customHeight="1">
      <c r="A982" s="59" t="s">
        <v>12</v>
      </c>
      <c r="B982" s="272">
        <v>46142.0</v>
      </c>
      <c r="D982" s="59" t="s">
        <v>161</v>
      </c>
      <c r="E982" s="59" t="s">
        <v>141</v>
      </c>
      <c r="F982" s="59" t="s">
        <v>79</v>
      </c>
      <c r="G982" s="59" t="s">
        <v>80</v>
      </c>
      <c r="H982" s="273">
        <v>91.0</v>
      </c>
      <c r="I982" s="274"/>
      <c r="J982" s="274"/>
      <c r="K982" s="274"/>
      <c r="L982" s="274"/>
      <c r="M982" s="274"/>
      <c r="N982" s="274"/>
      <c r="P982" s="275"/>
    </row>
    <row r="983" ht="15.0" customHeight="1">
      <c r="A983" s="59" t="s">
        <v>12</v>
      </c>
      <c r="B983" s="272">
        <v>46142.0</v>
      </c>
      <c r="D983" s="59" t="s">
        <v>159</v>
      </c>
      <c r="E983" s="59" t="s">
        <v>141</v>
      </c>
      <c r="F983" s="59" t="s">
        <v>79</v>
      </c>
      <c r="G983" s="59" t="s">
        <v>80</v>
      </c>
      <c r="H983" s="273">
        <v>160.0</v>
      </c>
      <c r="I983" s="274"/>
      <c r="J983" s="274"/>
      <c r="K983" s="274"/>
      <c r="L983" s="274"/>
      <c r="M983" s="274"/>
      <c r="N983" s="274"/>
      <c r="P983" s="275"/>
    </row>
    <row r="984" ht="15.0" customHeight="1">
      <c r="A984" s="59" t="s">
        <v>12</v>
      </c>
      <c r="B984" s="272">
        <v>46142.0</v>
      </c>
      <c r="D984" s="59" t="s">
        <v>158</v>
      </c>
      <c r="E984" s="59" t="s">
        <v>141</v>
      </c>
      <c r="F984" s="59" t="s">
        <v>79</v>
      </c>
      <c r="G984" s="59" t="s">
        <v>80</v>
      </c>
      <c r="H984" s="273">
        <v>190.0</v>
      </c>
      <c r="I984" s="274"/>
      <c r="J984" s="274"/>
      <c r="K984" s="274"/>
      <c r="L984" s="274"/>
      <c r="M984" s="274"/>
      <c r="N984" s="274"/>
      <c r="P984" s="275"/>
    </row>
    <row r="985" ht="15.0" customHeight="1">
      <c r="A985" s="59" t="s">
        <v>12</v>
      </c>
      <c r="B985" s="272">
        <v>46142.0</v>
      </c>
      <c r="D985" s="59" t="s">
        <v>130</v>
      </c>
      <c r="E985" s="59" t="s">
        <v>141</v>
      </c>
      <c r="F985" s="59" t="s">
        <v>79</v>
      </c>
      <c r="G985" s="59" t="s">
        <v>80</v>
      </c>
      <c r="H985" s="273">
        <v>78.0</v>
      </c>
      <c r="I985" s="274"/>
      <c r="J985" s="274"/>
      <c r="K985" s="274"/>
      <c r="L985" s="274"/>
      <c r="M985" s="274"/>
      <c r="N985" s="274"/>
      <c r="P985" s="275"/>
    </row>
    <row r="986" ht="15.0" customHeight="1">
      <c r="A986" s="59" t="s">
        <v>12</v>
      </c>
      <c r="B986" s="272">
        <v>46142.0</v>
      </c>
      <c r="D986" s="59" t="s">
        <v>126</v>
      </c>
      <c r="E986" s="59" t="s">
        <v>141</v>
      </c>
      <c r="F986" s="59" t="s">
        <v>79</v>
      </c>
      <c r="G986" s="59" t="s">
        <v>80</v>
      </c>
      <c r="H986" s="273">
        <v>183.0</v>
      </c>
      <c r="I986" s="274"/>
      <c r="J986" s="274"/>
      <c r="K986" s="274"/>
      <c r="L986" s="274"/>
      <c r="M986" s="274"/>
      <c r="N986" s="274"/>
      <c r="P986" s="275"/>
    </row>
    <row r="987" ht="15.0" customHeight="1">
      <c r="A987" s="59" t="s">
        <v>12</v>
      </c>
      <c r="B987" s="272">
        <v>46142.0</v>
      </c>
      <c r="D987" s="59" t="s">
        <v>88</v>
      </c>
      <c r="E987" s="59" t="s">
        <v>149</v>
      </c>
      <c r="F987" s="59" t="s">
        <v>150</v>
      </c>
      <c r="G987" s="59" t="s">
        <v>80</v>
      </c>
      <c r="H987" s="273">
        <v>2719.154</v>
      </c>
      <c r="I987" s="274"/>
      <c r="J987" s="274"/>
      <c r="K987" s="274"/>
      <c r="L987" s="274"/>
      <c r="M987" s="274"/>
      <c r="N987" s="274"/>
      <c r="O987" s="59" t="s">
        <v>569</v>
      </c>
      <c r="P987" s="275"/>
    </row>
    <row r="988" ht="15.0" customHeight="1">
      <c r="A988" s="59" t="s">
        <v>12</v>
      </c>
      <c r="B988" s="272">
        <v>46142.0</v>
      </c>
      <c r="D988" s="59" t="s">
        <v>123</v>
      </c>
      <c r="E988" s="59" t="s">
        <v>141</v>
      </c>
      <c r="F988" s="59" t="s">
        <v>79</v>
      </c>
      <c r="G988" s="59" t="s">
        <v>80</v>
      </c>
      <c r="H988" s="273">
        <v>196.0</v>
      </c>
      <c r="I988" s="274"/>
      <c r="J988" s="274"/>
      <c r="K988" s="274"/>
      <c r="L988" s="274"/>
      <c r="M988" s="274"/>
      <c r="N988" s="274"/>
      <c r="P988" s="275"/>
    </row>
    <row r="989" ht="15.0" customHeight="1">
      <c r="A989" s="59" t="s">
        <v>12</v>
      </c>
      <c r="B989" s="272">
        <v>46142.0</v>
      </c>
      <c r="D989" s="59" t="s">
        <v>77</v>
      </c>
      <c r="E989" s="59" t="s">
        <v>141</v>
      </c>
      <c r="F989" s="59" t="s">
        <v>79</v>
      </c>
      <c r="G989" s="59" t="s">
        <v>80</v>
      </c>
      <c r="H989" s="273">
        <v>416.0</v>
      </c>
      <c r="I989" s="274"/>
      <c r="J989" s="274"/>
      <c r="K989" s="274"/>
      <c r="L989" s="274"/>
      <c r="M989" s="274"/>
      <c r="N989" s="274"/>
      <c r="P989" s="275"/>
    </row>
    <row r="990" ht="15.0" customHeight="1">
      <c r="A990" s="59" t="s">
        <v>12</v>
      </c>
      <c r="B990" s="272">
        <v>46142.0</v>
      </c>
      <c r="D990" s="59" t="s">
        <v>84</v>
      </c>
      <c r="E990" s="59" t="s">
        <v>141</v>
      </c>
      <c r="F990" s="59" t="s">
        <v>79</v>
      </c>
      <c r="G990" s="59" t="s">
        <v>80</v>
      </c>
      <c r="H990" s="273">
        <v>218.0</v>
      </c>
      <c r="I990" s="274"/>
      <c r="J990" s="274"/>
      <c r="K990" s="274"/>
      <c r="L990" s="274"/>
      <c r="M990" s="274"/>
      <c r="N990" s="274"/>
      <c r="P990" s="275"/>
    </row>
    <row r="991" ht="15.0" customHeight="1">
      <c r="A991" s="59" t="s">
        <v>12</v>
      </c>
      <c r="B991" s="272">
        <v>46142.0</v>
      </c>
      <c r="D991" s="59" t="s">
        <v>119</v>
      </c>
      <c r="E991" s="59" t="s">
        <v>149</v>
      </c>
      <c r="F991" s="59" t="s">
        <v>150</v>
      </c>
      <c r="G991" s="59" t="s">
        <v>80</v>
      </c>
      <c r="H991" s="273">
        <v>1825.0</v>
      </c>
      <c r="I991" s="274"/>
      <c r="J991" s="274"/>
      <c r="K991" s="274"/>
      <c r="L991" s="274"/>
      <c r="M991" s="274"/>
      <c r="N991" s="274"/>
      <c r="O991" s="59" t="s">
        <v>569</v>
      </c>
      <c r="P991" s="275"/>
    </row>
    <row r="992" ht="15.0" customHeight="1">
      <c r="A992" s="59" t="s">
        <v>12</v>
      </c>
      <c r="B992" s="272">
        <v>46142.0</v>
      </c>
      <c r="D992" s="59" t="s">
        <v>99</v>
      </c>
      <c r="E992" s="59" t="s">
        <v>141</v>
      </c>
      <c r="F992" s="59" t="s">
        <v>79</v>
      </c>
      <c r="G992" s="59" t="s">
        <v>80</v>
      </c>
      <c r="H992" s="273">
        <v>420.0</v>
      </c>
      <c r="I992" s="274"/>
      <c r="J992" s="274"/>
      <c r="K992" s="274"/>
      <c r="L992" s="274"/>
      <c r="M992" s="274"/>
      <c r="N992" s="274"/>
      <c r="P992" s="275"/>
    </row>
    <row r="993" ht="15.0" customHeight="1">
      <c r="A993" s="59" t="s">
        <v>12</v>
      </c>
      <c r="B993" s="272">
        <v>46142.0</v>
      </c>
      <c r="D993" s="59" t="s">
        <v>118</v>
      </c>
      <c r="E993" s="59" t="s">
        <v>141</v>
      </c>
      <c r="F993" s="59" t="s">
        <v>79</v>
      </c>
      <c r="G993" s="59" t="s">
        <v>80</v>
      </c>
      <c r="H993" s="273">
        <v>230.0</v>
      </c>
      <c r="I993" s="274"/>
      <c r="J993" s="274"/>
      <c r="K993" s="274"/>
      <c r="L993" s="274"/>
      <c r="M993" s="274"/>
      <c r="N993" s="274"/>
      <c r="P993" s="275"/>
    </row>
    <row r="994" ht="15.0" customHeight="1">
      <c r="A994" s="59" t="s">
        <v>12</v>
      </c>
      <c r="B994" s="272">
        <v>46142.0</v>
      </c>
      <c r="D994" s="59" t="s">
        <v>96</v>
      </c>
      <c r="E994" s="59" t="s">
        <v>141</v>
      </c>
      <c r="F994" s="59" t="s">
        <v>79</v>
      </c>
      <c r="G994" s="59" t="s">
        <v>80</v>
      </c>
      <c r="H994" s="273">
        <v>65.0</v>
      </c>
      <c r="I994" s="274"/>
      <c r="J994" s="274"/>
      <c r="K994" s="274"/>
      <c r="L994" s="274"/>
      <c r="M994" s="274"/>
      <c r="N994" s="274"/>
      <c r="P994" s="275"/>
    </row>
    <row r="995" ht="15.0" customHeight="1">
      <c r="A995" s="59" t="s">
        <v>12</v>
      </c>
      <c r="B995" s="272">
        <v>46142.0</v>
      </c>
      <c r="D995" s="59" t="s">
        <v>117</v>
      </c>
      <c r="E995" s="59" t="s">
        <v>141</v>
      </c>
      <c r="F995" s="59" t="s">
        <v>79</v>
      </c>
      <c r="G995" s="59" t="s">
        <v>80</v>
      </c>
      <c r="H995" s="273">
        <v>166.0</v>
      </c>
      <c r="I995" s="274"/>
      <c r="J995" s="274"/>
      <c r="K995" s="274"/>
      <c r="L995" s="274"/>
      <c r="M995" s="274"/>
      <c r="N995" s="274"/>
      <c r="P995" s="275"/>
    </row>
    <row r="996" ht="15.0" customHeight="1">
      <c r="A996" s="59" t="s">
        <v>12</v>
      </c>
      <c r="B996" s="272">
        <v>46142.0</v>
      </c>
      <c r="D996" s="59" t="s">
        <v>116</v>
      </c>
      <c r="E996" s="59" t="s">
        <v>141</v>
      </c>
      <c r="F996" s="59" t="s">
        <v>79</v>
      </c>
      <c r="G996" s="59" t="s">
        <v>80</v>
      </c>
      <c r="H996" s="273">
        <v>340.0</v>
      </c>
      <c r="I996" s="274"/>
      <c r="J996" s="274"/>
      <c r="K996" s="274"/>
      <c r="L996" s="274"/>
      <c r="M996" s="274"/>
      <c r="N996" s="274"/>
      <c r="P996" s="275"/>
    </row>
    <row r="997" ht="15.0" customHeight="1">
      <c r="A997" s="59" t="s">
        <v>12</v>
      </c>
      <c r="B997" s="272">
        <v>46142.0</v>
      </c>
      <c r="D997" s="59" t="s">
        <v>116</v>
      </c>
      <c r="E997" s="59" t="s">
        <v>149</v>
      </c>
      <c r="F997" s="59" t="s">
        <v>150</v>
      </c>
      <c r="G997" s="59" t="s">
        <v>80</v>
      </c>
      <c r="H997" s="273">
        <v>2990.367</v>
      </c>
      <c r="I997" s="274"/>
      <c r="J997" s="274"/>
      <c r="K997" s="274"/>
      <c r="L997" s="274"/>
      <c r="M997" s="274"/>
      <c r="N997" s="274"/>
      <c r="O997" s="59" t="s">
        <v>569</v>
      </c>
      <c r="P997" s="275"/>
    </row>
    <row r="998" ht="15.0" customHeight="1">
      <c r="A998" s="59" t="s">
        <v>12</v>
      </c>
      <c r="B998" s="272">
        <v>46142.0</v>
      </c>
      <c r="D998" s="59" t="s">
        <v>136</v>
      </c>
      <c r="E998" s="59" t="s">
        <v>141</v>
      </c>
      <c r="F998" s="59" t="s">
        <v>79</v>
      </c>
      <c r="G998" s="59" t="s">
        <v>80</v>
      </c>
      <c r="H998" s="273">
        <v>40.0</v>
      </c>
      <c r="I998" s="274"/>
      <c r="J998" s="274"/>
      <c r="K998" s="274"/>
      <c r="L998" s="274"/>
      <c r="M998" s="274"/>
      <c r="N998" s="274"/>
      <c r="P998" s="275"/>
    </row>
    <row r="999" ht="15.0" customHeight="1">
      <c r="A999" s="59" t="s">
        <v>12</v>
      </c>
      <c r="B999" s="272">
        <v>46142.0</v>
      </c>
      <c r="D999" s="59" t="s">
        <v>339</v>
      </c>
      <c r="E999" s="59" t="s">
        <v>141</v>
      </c>
      <c r="F999" s="59" t="s">
        <v>79</v>
      </c>
      <c r="G999" s="59" t="s">
        <v>80</v>
      </c>
      <c r="H999" s="273">
        <v>120.0</v>
      </c>
      <c r="I999" s="274"/>
      <c r="J999" s="274"/>
      <c r="K999" s="274"/>
      <c r="L999" s="274"/>
      <c r="M999" s="274"/>
      <c r="N999" s="274"/>
      <c r="P999" s="275"/>
    </row>
    <row r="1000" ht="15.0" customHeight="1">
      <c r="A1000" s="59" t="s">
        <v>12</v>
      </c>
      <c r="B1000" s="272">
        <v>46142.0</v>
      </c>
      <c r="D1000" s="59" t="s">
        <v>122</v>
      </c>
      <c r="E1000" s="59" t="s">
        <v>141</v>
      </c>
      <c r="F1000" s="59" t="s">
        <v>79</v>
      </c>
      <c r="G1000" s="59" t="s">
        <v>80</v>
      </c>
      <c r="H1000" s="273">
        <v>148.0</v>
      </c>
      <c r="I1000" s="274"/>
      <c r="J1000" s="274"/>
      <c r="K1000" s="274"/>
      <c r="L1000" s="274"/>
      <c r="M1000" s="274"/>
      <c r="N1000" s="274"/>
      <c r="P1000" s="275"/>
    </row>
    <row r="1001" ht="15.0" customHeight="1">
      <c r="A1001" s="59" t="s">
        <v>12</v>
      </c>
      <c r="B1001" s="272">
        <v>46142.0</v>
      </c>
      <c r="D1001" s="59" t="s">
        <v>148</v>
      </c>
      <c r="E1001" s="59" t="s">
        <v>141</v>
      </c>
      <c r="F1001" s="59" t="s">
        <v>79</v>
      </c>
      <c r="G1001" s="59" t="s">
        <v>80</v>
      </c>
      <c r="H1001" s="273">
        <v>145.0</v>
      </c>
      <c r="I1001" s="274"/>
      <c r="J1001" s="274"/>
      <c r="K1001" s="274"/>
      <c r="L1001" s="274"/>
      <c r="M1001" s="274"/>
      <c r="N1001" s="274"/>
      <c r="P1001" s="275"/>
    </row>
    <row r="1002" ht="15.0" customHeight="1">
      <c r="A1002" s="59" t="s">
        <v>12</v>
      </c>
      <c r="B1002" s="272">
        <v>46142.0</v>
      </c>
      <c r="D1002" s="59" t="s">
        <v>121</v>
      </c>
      <c r="E1002" s="59" t="s">
        <v>141</v>
      </c>
      <c r="F1002" s="59" t="s">
        <v>79</v>
      </c>
      <c r="G1002" s="59" t="s">
        <v>80</v>
      </c>
      <c r="H1002" s="273">
        <v>222.0</v>
      </c>
      <c r="I1002" s="274"/>
      <c r="J1002" s="274"/>
      <c r="K1002" s="274"/>
      <c r="L1002" s="274"/>
      <c r="M1002" s="274"/>
      <c r="N1002" s="274"/>
      <c r="P1002" s="275"/>
    </row>
    <row r="1003" ht="15.0" customHeight="1">
      <c r="A1003" s="59" t="s">
        <v>12</v>
      </c>
      <c r="B1003" s="272">
        <v>46142.0</v>
      </c>
      <c r="D1003" s="59" t="s">
        <v>89</v>
      </c>
      <c r="E1003" s="59" t="s">
        <v>141</v>
      </c>
      <c r="F1003" s="59" t="s">
        <v>79</v>
      </c>
      <c r="G1003" s="59" t="s">
        <v>80</v>
      </c>
      <c r="H1003" s="273">
        <v>268.0</v>
      </c>
      <c r="I1003" s="274"/>
      <c r="J1003" s="274"/>
      <c r="K1003" s="274"/>
      <c r="L1003" s="274"/>
      <c r="M1003" s="274"/>
      <c r="N1003" s="274"/>
      <c r="P1003" s="275"/>
    </row>
    <row r="1004" ht="15.0" customHeight="1">
      <c r="A1004" s="59" t="s">
        <v>12</v>
      </c>
      <c r="B1004" s="272">
        <v>46142.0</v>
      </c>
      <c r="D1004" s="59" t="s">
        <v>115</v>
      </c>
      <c r="E1004" s="59" t="s">
        <v>141</v>
      </c>
      <c r="F1004" s="59" t="s">
        <v>79</v>
      </c>
      <c r="G1004" s="59" t="s">
        <v>80</v>
      </c>
      <c r="H1004" s="273">
        <v>490.0</v>
      </c>
      <c r="I1004" s="274"/>
      <c r="J1004" s="274"/>
      <c r="K1004" s="274"/>
      <c r="L1004" s="274"/>
      <c r="M1004" s="274"/>
      <c r="N1004" s="274"/>
      <c r="P1004" s="275"/>
    </row>
    <row r="1005" ht="15.0" customHeight="1">
      <c r="A1005" s="59" t="s">
        <v>12</v>
      </c>
      <c r="B1005" s="272">
        <v>46142.0</v>
      </c>
      <c r="D1005" s="59" t="s">
        <v>103</v>
      </c>
      <c r="E1005" s="59" t="s">
        <v>141</v>
      </c>
      <c r="F1005" s="59" t="s">
        <v>79</v>
      </c>
      <c r="G1005" s="59" t="s">
        <v>80</v>
      </c>
      <c r="H1005" s="273">
        <v>84.0</v>
      </c>
      <c r="I1005" s="274"/>
      <c r="J1005" s="274"/>
      <c r="K1005" s="274"/>
      <c r="L1005" s="274"/>
      <c r="M1005" s="274"/>
      <c r="N1005" s="274"/>
      <c r="P1005" s="275"/>
    </row>
    <row r="1006" ht="15.0" customHeight="1">
      <c r="A1006" s="59" t="s">
        <v>12</v>
      </c>
      <c r="B1006" s="272">
        <v>46142.0</v>
      </c>
      <c r="D1006" s="59" t="s">
        <v>92</v>
      </c>
      <c r="E1006" s="59" t="s">
        <v>141</v>
      </c>
      <c r="F1006" s="59" t="s">
        <v>79</v>
      </c>
      <c r="G1006" s="59" t="s">
        <v>80</v>
      </c>
      <c r="H1006" s="273">
        <v>300.0</v>
      </c>
      <c r="I1006" s="274"/>
      <c r="J1006" s="274"/>
      <c r="K1006" s="274"/>
      <c r="L1006" s="274"/>
      <c r="M1006" s="274"/>
      <c r="N1006" s="274"/>
      <c r="P1006" s="275"/>
    </row>
    <row r="1007" ht="15.0" customHeight="1">
      <c r="A1007" s="59" t="s">
        <v>12</v>
      </c>
      <c r="B1007" s="272">
        <v>46142.0</v>
      </c>
      <c r="D1007" s="59" t="s">
        <v>114</v>
      </c>
      <c r="E1007" s="59" t="s">
        <v>141</v>
      </c>
      <c r="F1007" s="59" t="s">
        <v>79</v>
      </c>
      <c r="G1007" s="59" t="s">
        <v>80</v>
      </c>
      <c r="H1007" s="273">
        <v>230.0</v>
      </c>
      <c r="I1007" s="274"/>
      <c r="J1007" s="274"/>
      <c r="K1007" s="274"/>
      <c r="L1007" s="274"/>
      <c r="M1007" s="274"/>
      <c r="N1007" s="274"/>
      <c r="P1007" s="275"/>
    </row>
    <row r="1008" ht="15.0" customHeight="1">
      <c r="A1008" s="59" t="s">
        <v>12</v>
      </c>
      <c r="B1008" s="272">
        <v>46142.0</v>
      </c>
      <c r="D1008" s="59" t="s">
        <v>145</v>
      </c>
      <c r="E1008" s="59" t="s">
        <v>141</v>
      </c>
      <c r="F1008" s="59" t="s">
        <v>79</v>
      </c>
      <c r="G1008" s="59" t="s">
        <v>80</v>
      </c>
      <c r="H1008" s="273">
        <v>240.0</v>
      </c>
      <c r="I1008" s="274"/>
      <c r="J1008" s="274"/>
      <c r="K1008" s="274"/>
      <c r="L1008" s="274"/>
      <c r="M1008" s="274"/>
      <c r="N1008" s="274"/>
      <c r="P1008" s="275"/>
    </row>
    <row r="1009" ht="15.0" customHeight="1">
      <c r="A1009" s="59" t="s">
        <v>12</v>
      </c>
      <c r="B1009" s="272">
        <v>46142.0</v>
      </c>
      <c r="D1009" s="59" t="s">
        <v>102</v>
      </c>
      <c r="E1009" s="59" t="s">
        <v>141</v>
      </c>
      <c r="F1009" s="59" t="s">
        <v>79</v>
      </c>
      <c r="G1009" s="59" t="s">
        <v>80</v>
      </c>
      <c r="H1009" s="273">
        <v>180.0</v>
      </c>
      <c r="I1009" s="274"/>
      <c r="J1009" s="274"/>
      <c r="K1009" s="274"/>
      <c r="L1009" s="274"/>
      <c r="M1009" s="274"/>
      <c r="N1009" s="274"/>
      <c r="P1009" s="275"/>
    </row>
    <row r="1010" ht="15.0" customHeight="1">
      <c r="A1010" s="59" t="s">
        <v>12</v>
      </c>
      <c r="B1010" s="272">
        <v>46142.0</v>
      </c>
      <c r="D1010" s="59" t="s">
        <v>336</v>
      </c>
      <c r="E1010" s="59" t="s">
        <v>141</v>
      </c>
      <c r="F1010" s="59" t="s">
        <v>79</v>
      </c>
      <c r="G1010" s="59" t="s">
        <v>80</v>
      </c>
      <c r="H1010" s="273">
        <v>160.0</v>
      </c>
      <c r="I1010" s="274"/>
      <c r="J1010" s="274"/>
      <c r="K1010" s="274"/>
      <c r="L1010" s="274"/>
      <c r="M1010" s="274"/>
      <c r="N1010" s="274"/>
      <c r="P1010" s="275"/>
    </row>
    <row r="1011" ht="15.0" customHeight="1">
      <c r="A1011" s="59" t="s">
        <v>12</v>
      </c>
      <c r="B1011" s="272">
        <v>46142.0</v>
      </c>
      <c r="D1011" s="59" t="s">
        <v>86</v>
      </c>
      <c r="E1011" s="59" t="s">
        <v>141</v>
      </c>
      <c r="F1011" s="59" t="s">
        <v>79</v>
      </c>
      <c r="G1011" s="59" t="s">
        <v>80</v>
      </c>
      <c r="H1011" s="273">
        <v>128.0</v>
      </c>
      <c r="I1011" s="274"/>
      <c r="J1011" s="274"/>
      <c r="K1011" s="274"/>
      <c r="L1011" s="274"/>
      <c r="M1011" s="274"/>
      <c r="N1011" s="274"/>
      <c r="P1011" s="275"/>
    </row>
    <row r="1012" ht="15.0" customHeight="1">
      <c r="A1012" s="59" t="s">
        <v>12</v>
      </c>
      <c r="B1012" s="272">
        <v>46142.0</v>
      </c>
      <c r="D1012" s="59" t="s">
        <v>113</v>
      </c>
      <c r="E1012" s="59" t="s">
        <v>141</v>
      </c>
      <c r="F1012" s="59" t="s">
        <v>79</v>
      </c>
      <c r="G1012" s="59" t="s">
        <v>80</v>
      </c>
      <c r="H1012" s="273">
        <v>215.0</v>
      </c>
      <c r="I1012" s="274"/>
      <c r="J1012" s="274"/>
      <c r="K1012" s="274"/>
      <c r="L1012" s="274"/>
      <c r="M1012" s="274"/>
      <c r="N1012" s="274"/>
      <c r="P1012" s="275"/>
    </row>
    <row r="1013" ht="15.0" customHeight="1">
      <c r="A1013" s="59" t="s">
        <v>12</v>
      </c>
      <c r="B1013" s="272">
        <v>46142.0</v>
      </c>
      <c r="D1013" s="59" t="s">
        <v>98</v>
      </c>
      <c r="E1013" s="59" t="s">
        <v>141</v>
      </c>
      <c r="F1013" s="59" t="s">
        <v>79</v>
      </c>
      <c r="G1013" s="59" t="s">
        <v>80</v>
      </c>
      <c r="H1013" s="273">
        <v>158.0</v>
      </c>
      <c r="I1013" s="274"/>
      <c r="J1013" s="274"/>
      <c r="K1013" s="274"/>
      <c r="L1013" s="274"/>
      <c r="M1013" s="274"/>
      <c r="N1013" s="274"/>
      <c r="P1013" s="275"/>
    </row>
    <row r="1014" ht="15.0" customHeight="1">
      <c r="A1014" s="59" t="s">
        <v>12</v>
      </c>
      <c r="B1014" s="272">
        <v>46142.0</v>
      </c>
      <c r="D1014" s="59" t="s">
        <v>112</v>
      </c>
      <c r="E1014" s="59" t="s">
        <v>141</v>
      </c>
      <c r="F1014" s="59" t="s">
        <v>79</v>
      </c>
      <c r="G1014" s="59" t="s">
        <v>80</v>
      </c>
      <c r="H1014" s="273">
        <v>254.0</v>
      </c>
      <c r="I1014" s="274"/>
      <c r="J1014" s="274"/>
      <c r="K1014" s="274"/>
      <c r="L1014" s="274"/>
      <c r="M1014" s="274"/>
      <c r="N1014" s="274"/>
      <c r="P1014" s="275"/>
    </row>
    <row r="1015" ht="15.0" customHeight="1">
      <c r="A1015" s="59" t="s">
        <v>12</v>
      </c>
      <c r="B1015" s="272">
        <v>46142.0</v>
      </c>
      <c r="D1015" s="59" t="s">
        <v>138</v>
      </c>
      <c r="E1015" s="59" t="s">
        <v>141</v>
      </c>
      <c r="F1015" s="59" t="s">
        <v>79</v>
      </c>
      <c r="G1015" s="59" t="s">
        <v>80</v>
      </c>
      <c r="H1015" s="273">
        <v>142.0</v>
      </c>
      <c r="I1015" s="274"/>
      <c r="J1015" s="274"/>
      <c r="K1015" s="274"/>
      <c r="L1015" s="274"/>
      <c r="M1015" s="274"/>
      <c r="N1015" s="274"/>
      <c r="P1015" s="275"/>
    </row>
    <row r="1016" ht="15.0" customHeight="1">
      <c r="A1016" s="59" t="s">
        <v>12</v>
      </c>
      <c r="B1016" s="272">
        <v>46142.0</v>
      </c>
      <c r="D1016" s="59" t="s">
        <v>101</v>
      </c>
      <c r="E1016" s="59" t="s">
        <v>141</v>
      </c>
      <c r="F1016" s="59" t="s">
        <v>79</v>
      </c>
      <c r="G1016" s="59" t="s">
        <v>80</v>
      </c>
      <c r="H1016" s="273">
        <v>120.0</v>
      </c>
      <c r="I1016" s="274"/>
      <c r="J1016" s="274"/>
      <c r="K1016" s="274"/>
      <c r="L1016" s="274"/>
      <c r="M1016" s="274"/>
      <c r="N1016" s="274"/>
      <c r="P1016" s="275"/>
    </row>
    <row r="1017" ht="15.0" customHeight="1">
      <c r="A1017" s="59" t="s">
        <v>12</v>
      </c>
      <c r="B1017" s="272">
        <v>46142.0</v>
      </c>
      <c r="D1017" s="59" t="s">
        <v>97</v>
      </c>
      <c r="E1017" s="59" t="s">
        <v>141</v>
      </c>
      <c r="F1017" s="59" t="s">
        <v>79</v>
      </c>
      <c r="G1017" s="59" t="s">
        <v>80</v>
      </c>
      <c r="H1017" s="273">
        <v>254.0</v>
      </c>
      <c r="I1017" s="274"/>
      <c r="J1017" s="274"/>
      <c r="K1017" s="274"/>
      <c r="L1017" s="274"/>
      <c r="M1017" s="274"/>
      <c r="N1017" s="274"/>
      <c r="P1017" s="275"/>
    </row>
    <row r="1018" ht="15.0" customHeight="1">
      <c r="A1018" s="59" t="s">
        <v>12</v>
      </c>
      <c r="B1018" s="272">
        <v>46142.0</v>
      </c>
      <c r="D1018" s="59" t="s">
        <v>153</v>
      </c>
      <c r="E1018" s="59" t="s">
        <v>93</v>
      </c>
      <c r="F1018" s="59" t="s">
        <v>79</v>
      </c>
      <c r="G1018" s="59" t="s">
        <v>93</v>
      </c>
      <c r="H1018" s="273">
        <v>1.0</v>
      </c>
      <c r="I1018" s="274"/>
      <c r="J1018" s="274"/>
      <c r="K1018" s="274"/>
      <c r="L1018" s="274"/>
      <c r="M1018" s="274"/>
      <c r="N1018" s="274"/>
      <c r="P1018" s="275"/>
    </row>
    <row r="1019" ht="15.0" customHeight="1">
      <c r="A1019" s="59" t="s">
        <v>12</v>
      </c>
      <c r="B1019" s="272">
        <v>46144.0</v>
      </c>
      <c r="D1019" s="59" t="s">
        <v>112</v>
      </c>
      <c r="E1019" s="59" t="s">
        <v>110</v>
      </c>
      <c r="F1019" s="59" t="s">
        <v>79</v>
      </c>
      <c r="G1019" s="59" t="s">
        <v>110</v>
      </c>
      <c r="H1019" s="273">
        <v>24.0</v>
      </c>
      <c r="I1019" s="274"/>
      <c r="J1019" s="274"/>
      <c r="K1019" s="274"/>
      <c r="L1019" s="274"/>
      <c r="M1019" s="274"/>
      <c r="N1019" s="274"/>
      <c r="P1019" s="275"/>
    </row>
    <row r="1020" ht="15.0" customHeight="1">
      <c r="A1020" s="59" t="s">
        <v>12</v>
      </c>
      <c r="B1020" s="272">
        <v>46145.0</v>
      </c>
      <c r="D1020" s="59" t="s">
        <v>82</v>
      </c>
      <c r="E1020" s="59" t="s">
        <v>78</v>
      </c>
      <c r="F1020" s="59" t="s">
        <v>79</v>
      </c>
      <c r="G1020" s="59" t="s">
        <v>80</v>
      </c>
      <c r="H1020" s="273">
        <v>300.0</v>
      </c>
      <c r="I1020" s="274"/>
      <c r="J1020" s="274"/>
      <c r="K1020" s="274"/>
      <c r="L1020" s="274"/>
      <c r="M1020" s="274"/>
      <c r="N1020" s="274"/>
      <c r="P1020" s="275"/>
    </row>
    <row r="1021" ht="15.0" customHeight="1">
      <c r="A1021" s="59" t="s">
        <v>12</v>
      </c>
      <c r="B1021" s="272">
        <v>46145.0</v>
      </c>
      <c r="D1021" s="59" t="s">
        <v>97</v>
      </c>
      <c r="E1021" s="59" t="s">
        <v>78</v>
      </c>
      <c r="F1021" s="59" t="s">
        <v>79</v>
      </c>
      <c r="G1021" s="59" t="s">
        <v>80</v>
      </c>
      <c r="H1021" s="273">
        <v>191.0</v>
      </c>
      <c r="I1021" s="274"/>
      <c r="J1021" s="274"/>
      <c r="K1021" s="274"/>
      <c r="L1021" s="274"/>
      <c r="M1021" s="274"/>
      <c r="N1021" s="274"/>
      <c r="P1021" s="275"/>
    </row>
    <row r="1022" ht="15.0" customHeight="1">
      <c r="A1022" s="59" t="s">
        <v>12</v>
      </c>
      <c r="B1022" s="272">
        <v>46145.0</v>
      </c>
      <c r="D1022" s="59" t="s">
        <v>130</v>
      </c>
      <c r="E1022" s="59" t="s">
        <v>93</v>
      </c>
      <c r="F1022" s="59" t="s">
        <v>79</v>
      </c>
      <c r="G1022" s="59" t="s">
        <v>93</v>
      </c>
      <c r="H1022" s="273">
        <v>20.0</v>
      </c>
      <c r="I1022" s="274"/>
      <c r="J1022" s="274"/>
      <c r="K1022" s="274"/>
      <c r="L1022" s="274"/>
      <c r="M1022" s="274"/>
      <c r="N1022" s="274"/>
      <c r="P1022" s="275"/>
    </row>
    <row r="1023" ht="15.0" customHeight="1">
      <c r="A1023" s="59" t="s">
        <v>12</v>
      </c>
      <c r="B1023" s="272">
        <v>46146.0</v>
      </c>
      <c r="D1023" s="59" t="s">
        <v>88</v>
      </c>
      <c r="E1023" s="59" t="s">
        <v>78</v>
      </c>
      <c r="F1023" s="59" t="s">
        <v>79</v>
      </c>
      <c r="G1023" s="59" t="s">
        <v>80</v>
      </c>
      <c r="H1023" s="273">
        <v>325.0</v>
      </c>
      <c r="I1023" s="274"/>
      <c r="J1023" s="274"/>
      <c r="K1023" s="274"/>
      <c r="L1023" s="274"/>
      <c r="M1023" s="274"/>
      <c r="N1023" s="274"/>
      <c r="P1023" s="275"/>
    </row>
    <row r="1024" ht="15.0" customHeight="1">
      <c r="A1024" s="59" t="s">
        <v>12</v>
      </c>
      <c r="B1024" s="272">
        <v>46146.0</v>
      </c>
      <c r="D1024" s="59" t="s">
        <v>117</v>
      </c>
      <c r="E1024" s="59" t="s">
        <v>78</v>
      </c>
      <c r="F1024" s="59" t="s">
        <v>79</v>
      </c>
      <c r="G1024" s="59" t="s">
        <v>80</v>
      </c>
      <c r="H1024" s="273">
        <v>170.0</v>
      </c>
      <c r="I1024" s="274"/>
      <c r="J1024" s="274"/>
      <c r="K1024" s="274"/>
      <c r="L1024" s="274"/>
      <c r="M1024" s="274"/>
      <c r="N1024" s="274"/>
      <c r="P1024" s="275"/>
    </row>
    <row r="1025" ht="15.0" customHeight="1">
      <c r="A1025" s="59" t="s">
        <v>12</v>
      </c>
      <c r="B1025" s="272">
        <v>46146.0</v>
      </c>
      <c r="D1025" s="59" t="s">
        <v>89</v>
      </c>
      <c r="E1025" s="59" t="s">
        <v>78</v>
      </c>
      <c r="F1025" s="59" t="s">
        <v>79</v>
      </c>
      <c r="G1025" s="59" t="s">
        <v>80</v>
      </c>
      <c r="H1025" s="273">
        <v>54.0</v>
      </c>
      <c r="I1025" s="274"/>
      <c r="J1025" s="274"/>
      <c r="K1025" s="274"/>
      <c r="L1025" s="274"/>
      <c r="M1025" s="274"/>
      <c r="N1025" s="274"/>
      <c r="P1025" s="275"/>
    </row>
    <row r="1026" ht="15.0" customHeight="1">
      <c r="A1026" s="59" t="s">
        <v>12</v>
      </c>
      <c r="B1026" s="272">
        <v>46147.0</v>
      </c>
      <c r="D1026" s="59" t="s">
        <v>84</v>
      </c>
      <c r="E1026" s="59" t="s">
        <v>78</v>
      </c>
      <c r="F1026" s="59" t="s">
        <v>79</v>
      </c>
      <c r="G1026" s="59" t="s">
        <v>80</v>
      </c>
      <c r="H1026" s="273">
        <v>51.0</v>
      </c>
      <c r="I1026" s="274"/>
      <c r="J1026" s="274"/>
      <c r="K1026" s="274"/>
      <c r="L1026" s="274"/>
      <c r="M1026" s="274"/>
      <c r="N1026" s="274"/>
      <c r="P1026" s="275"/>
    </row>
    <row r="1027" ht="15.0" customHeight="1">
      <c r="A1027" s="59" t="s">
        <v>12</v>
      </c>
      <c r="B1027" s="272">
        <v>46147.0</v>
      </c>
      <c r="D1027" s="59" t="s">
        <v>100</v>
      </c>
      <c r="E1027" s="59" t="s">
        <v>78</v>
      </c>
      <c r="F1027" s="59" t="s">
        <v>79</v>
      </c>
      <c r="G1027" s="59" t="s">
        <v>80</v>
      </c>
      <c r="H1027" s="273">
        <v>366.0</v>
      </c>
      <c r="I1027" s="274"/>
      <c r="J1027" s="274"/>
      <c r="K1027" s="274"/>
      <c r="L1027" s="274"/>
      <c r="M1027" s="274"/>
      <c r="N1027" s="274"/>
      <c r="P1027" s="275"/>
    </row>
    <row r="1028" ht="15.0" customHeight="1">
      <c r="A1028" s="59" t="s">
        <v>12</v>
      </c>
      <c r="B1028" s="272">
        <v>46147.0</v>
      </c>
      <c r="D1028" s="59" t="s">
        <v>99</v>
      </c>
      <c r="E1028" s="59" t="s">
        <v>78</v>
      </c>
      <c r="F1028" s="59" t="s">
        <v>79</v>
      </c>
      <c r="G1028" s="59" t="s">
        <v>80</v>
      </c>
      <c r="H1028" s="273">
        <v>430.0</v>
      </c>
      <c r="I1028" s="274"/>
      <c r="J1028" s="274"/>
      <c r="K1028" s="274"/>
      <c r="L1028" s="274"/>
      <c r="M1028" s="274"/>
      <c r="N1028" s="274"/>
      <c r="P1028" s="275"/>
    </row>
    <row r="1029" ht="15.0" customHeight="1">
      <c r="A1029" s="59" t="s">
        <v>12</v>
      </c>
      <c r="B1029" s="272">
        <v>46147.0</v>
      </c>
      <c r="D1029" s="59" t="s">
        <v>136</v>
      </c>
      <c r="E1029" s="59" t="s">
        <v>78</v>
      </c>
      <c r="F1029" s="59" t="s">
        <v>79</v>
      </c>
      <c r="G1029" s="59" t="s">
        <v>80</v>
      </c>
      <c r="H1029" s="273">
        <v>46.0</v>
      </c>
      <c r="I1029" s="274"/>
      <c r="J1029" s="274"/>
      <c r="K1029" s="274"/>
      <c r="L1029" s="274"/>
      <c r="M1029" s="274"/>
      <c r="N1029" s="274"/>
      <c r="P1029" s="275"/>
    </row>
    <row r="1030" ht="15.0" customHeight="1">
      <c r="A1030" s="59" t="s">
        <v>12</v>
      </c>
      <c r="B1030" s="272">
        <v>46147.0</v>
      </c>
      <c r="D1030" s="59" t="s">
        <v>99</v>
      </c>
      <c r="E1030" s="59" t="s">
        <v>93</v>
      </c>
      <c r="F1030" s="59" t="s">
        <v>79</v>
      </c>
      <c r="G1030" s="59" t="s">
        <v>93</v>
      </c>
      <c r="H1030" s="273">
        <v>110.0</v>
      </c>
      <c r="I1030" s="274"/>
      <c r="J1030" s="274"/>
      <c r="K1030" s="274"/>
      <c r="L1030" s="274"/>
      <c r="M1030" s="274"/>
      <c r="N1030" s="274"/>
      <c r="P1030" s="275"/>
    </row>
    <row r="1031" ht="15.0" customHeight="1">
      <c r="A1031" s="59" t="s">
        <v>16</v>
      </c>
      <c r="B1031" s="272">
        <v>46147.0</v>
      </c>
      <c r="E1031" s="59" t="s">
        <v>110</v>
      </c>
      <c r="F1031" s="59" t="s">
        <v>565</v>
      </c>
      <c r="G1031" s="59" t="s">
        <v>110</v>
      </c>
      <c r="H1031" s="273">
        <v>410.0</v>
      </c>
      <c r="I1031" s="274"/>
      <c r="J1031" s="274"/>
      <c r="K1031" s="274"/>
      <c r="L1031" s="274"/>
      <c r="M1031" s="274"/>
      <c r="N1031" s="274"/>
      <c r="P1031" s="275"/>
    </row>
    <row r="1032" ht="15.0" customHeight="1">
      <c r="A1032" s="59" t="s">
        <v>12</v>
      </c>
      <c r="B1032" s="272">
        <v>46148.0</v>
      </c>
      <c r="D1032" s="59" t="s">
        <v>118</v>
      </c>
      <c r="E1032" s="59" t="s">
        <v>78</v>
      </c>
      <c r="F1032" s="59" t="s">
        <v>79</v>
      </c>
      <c r="G1032" s="59" t="s">
        <v>80</v>
      </c>
      <c r="H1032" s="273">
        <v>444.0</v>
      </c>
      <c r="I1032" s="274"/>
      <c r="J1032" s="274"/>
      <c r="K1032" s="274"/>
      <c r="L1032" s="274"/>
      <c r="M1032" s="274"/>
      <c r="N1032" s="274"/>
      <c r="P1032" s="275"/>
    </row>
    <row r="1033" ht="15.0" customHeight="1">
      <c r="A1033" s="59" t="s">
        <v>12</v>
      </c>
      <c r="B1033" s="272">
        <v>46148.0</v>
      </c>
      <c r="D1033" s="59" t="s">
        <v>89</v>
      </c>
      <c r="E1033" s="59" t="s">
        <v>78</v>
      </c>
      <c r="F1033" s="59" t="s">
        <v>79</v>
      </c>
      <c r="G1033" s="59" t="s">
        <v>80</v>
      </c>
      <c r="H1033" s="273">
        <v>49.0</v>
      </c>
      <c r="I1033" s="274"/>
      <c r="J1033" s="274"/>
      <c r="K1033" s="274"/>
      <c r="L1033" s="274"/>
      <c r="M1033" s="274"/>
      <c r="N1033" s="274"/>
      <c r="P1033" s="275"/>
    </row>
    <row r="1034" ht="15.0" customHeight="1">
      <c r="A1034" s="59" t="s">
        <v>12</v>
      </c>
      <c r="B1034" s="272">
        <v>46148.0</v>
      </c>
      <c r="D1034" s="59" t="s">
        <v>115</v>
      </c>
      <c r="E1034" s="59" t="s">
        <v>78</v>
      </c>
      <c r="F1034" s="59" t="s">
        <v>79</v>
      </c>
      <c r="G1034" s="59" t="s">
        <v>80</v>
      </c>
      <c r="H1034" s="273">
        <v>370.0</v>
      </c>
      <c r="I1034" s="274"/>
      <c r="J1034" s="274"/>
      <c r="K1034" s="274"/>
      <c r="L1034" s="274"/>
      <c r="M1034" s="274"/>
      <c r="N1034" s="274"/>
      <c r="P1034" s="275"/>
    </row>
    <row r="1035" ht="15.0" customHeight="1">
      <c r="A1035" s="59" t="s">
        <v>12</v>
      </c>
      <c r="B1035" s="272">
        <v>46148.0</v>
      </c>
      <c r="D1035" s="59" t="s">
        <v>103</v>
      </c>
      <c r="E1035" s="59" t="s">
        <v>78</v>
      </c>
      <c r="F1035" s="59" t="s">
        <v>79</v>
      </c>
      <c r="G1035" s="59" t="s">
        <v>80</v>
      </c>
      <c r="H1035" s="273">
        <v>167.0</v>
      </c>
      <c r="I1035" s="274"/>
      <c r="J1035" s="274"/>
      <c r="K1035" s="274"/>
      <c r="L1035" s="274"/>
      <c r="M1035" s="274"/>
      <c r="N1035" s="274"/>
      <c r="P1035" s="275"/>
    </row>
    <row r="1036" ht="15.0" customHeight="1">
      <c r="A1036" s="59" t="s">
        <v>12</v>
      </c>
      <c r="B1036" s="272">
        <v>46148.0</v>
      </c>
      <c r="D1036" s="59" t="s">
        <v>145</v>
      </c>
      <c r="E1036" s="59" t="s">
        <v>78</v>
      </c>
      <c r="F1036" s="59" t="s">
        <v>79</v>
      </c>
      <c r="G1036" s="59" t="s">
        <v>80</v>
      </c>
      <c r="H1036" s="273">
        <v>222.0</v>
      </c>
      <c r="I1036" s="274"/>
      <c r="J1036" s="274"/>
      <c r="K1036" s="274"/>
      <c r="L1036" s="274"/>
      <c r="M1036" s="274"/>
      <c r="N1036" s="274"/>
      <c r="P1036" s="275"/>
    </row>
    <row r="1037" ht="15.0" customHeight="1">
      <c r="A1037" s="59" t="s">
        <v>12</v>
      </c>
      <c r="B1037" s="272">
        <v>46148.0</v>
      </c>
      <c r="D1037" s="59" t="s">
        <v>336</v>
      </c>
      <c r="E1037" s="59" t="s">
        <v>78</v>
      </c>
      <c r="F1037" s="59" t="s">
        <v>79</v>
      </c>
      <c r="G1037" s="59" t="s">
        <v>80</v>
      </c>
      <c r="H1037" s="273">
        <v>230.0</v>
      </c>
      <c r="I1037" s="274"/>
      <c r="J1037" s="274"/>
      <c r="K1037" s="274"/>
      <c r="L1037" s="274"/>
      <c r="M1037" s="274"/>
      <c r="N1037" s="274"/>
      <c r="P1037" s="275"/>
    </row>
    <row r="1038" ht="15.0" customHeight="1">
      <c r="A1038" s="59" t="s">
        <v>12</v>
      </c>
      <c r="B1038" s="272">
        <v>46148.0</v>
      </c>
      <c r="D1038" s="59" t="s">
        <v>113</v>
      </c>
      <c r="E1038" s="59" t="s">
        <v>78</v>
      </c>
      <c r="F1038" s="59" t="s">
        <v>79</v>
      </c>
      <c r="G1038" s="59" t="s">
        <v>80</v>
      </c>
      <c r="H1038" s="273">
        <v>220.0</v>
      </c>
      <c r="I1038" s="274"/>
      <c r="J1038" s="274"/>
      <c r="K1038" s="274"/>
      <c r="L1038" s="274"/>
      <c r="M1038" s="274"/>
      <c r="N1038" s="274"/>
      <c r="P1038" s="275"/>
    </row>
    <row r="1039" ht="15.0" customHeight="1">
      <c r="A1039" s="59" t="s">
        <v>12</v>
      </c>
      <c r="B1039" s="272">
        <v>46148.0</v>
      </c>
      <c r="D1039" s="59" t="s">
        <v>98</v>
      </c>
      <c r="E1039" s="59" t="s">
        <v>78</v>
      </c>
      <c r="F1039" s="59" t="s">
        <v>79</v>
      </c>
      <c r="G1039" s="59" t="s">
        <v>80</v>
      </c>
      <c r="H1039" s="273">
        <v>195.0</v>
      </c>
      <c r="I1039" s="274"/>
      <c r="J1039" s="274"/>
      <c r="K1039" s="274"/>
      <c r="L1039" s="274"/>
      <c r="M1039" s="274"/>
      <c r="N1039" s="274"/>
      <c r="P1039" s="275"/>
    </row>
    <row r="1040" ht="15.0" customHeight="1">
      <c r="A1040" s="59" t="s">
        <v>12</v>
      </c>
      <c r="B1040" s="272">
        <v>46148.0</v>
      </c>
      <c r="D1040" s="59" t="s">
        <v>112</v>
      </c>
      <c r="E1040" s="59" t="s">
        <v>78</v>
      </c>
      <c r="F1040" s="59" t="s">
        <v>79</v>
      </c>
      <c r="G1040" s="59" t="s">
        <v>80</v>
      </c>
      <c r="H1040" s="273">
        <v>216.0</v>
      </c>
      <c r="I1040" s="274"/>
      <c r="J1040" s="274"/>
      <c r="K1040" s="274"/>
      <c r="L1040" s="274"/>
      <c r="M1040" s="274"/>
      <c r="N1040" s="274"/>
      <c r="P1040" s="275"/>
    </row>
    <row r="1041" ht="15.0" customHeight="1">
      <c r="A1041" s="59" t="s">
        <v>12</v>
      </c>
      <c r="B1041" s="272">
        <v>46148.0</v>
      </c>
      <c r="D1041" s="59" t="s">
        <v>97</v>
      </c>
      <c r="E1041" s="59" t="s">
        <v>78</v>
      </c>
      <c r="F1041" s="59" t="s">
        <v>79</v>
      </c>
      <c r="G1041" s="59" t="s">
        <v>80</v>
      </c>
      <c r="H1041" s="273">
        <v>247.0</v>
      </c>
      <c r="I1041" s="274"/>
      <c r="J1041" s="274"/>
      <c r="K1041" s="274"/>
      <c r="L1041" s="274"/>
      <c r="M1041" s="274"/>
      <c r="N1041" s="274"/>
      <c r="P1041" s="275"/>
    </row>
    <row r="1042" ht="15.0" customHeight="1">
      <c r="A1042" s="59" t="s">
        <v>12</v>
      </c>
      <c r="B1042" s="272">
        <v>46148.0</v>
      </c>
      <c r="D1042" s="59" t="s">
        <v>100</v>
      </c>
      <c r="E1042" s="59" t="s">
        <v>110</v>
      </c>
      <c r="F1042" s="59" t="s">
        <v>79</v>
      </c>
      <c r="G1042" s="59" t="s">
        <v>110</v>
      </c>
      <c r="H1042" s="273">
        <v>30.0</v>
      </c>
      <c r="I1042" s="274"/>
      <c r="J1042" s="274"/>
      <c r="K1042" s="274"/>
      <c r="L1042" s="274"/>
      <c r="M1042" s="274"/>
      <c r="N1042" s="274"/>
      <c r="P1042" s="275"/>
    </row>
    <row r="1043" ht="15.0" customHeight="1">
      <c r="A1043" s="59" t="s">
        <v>12</v>
      </c>
      <c r="B1043" s="272">
        <v>46148.0</v>
      </c>
      <c r="D1043" s="59" t="s">
        <v>89</v>
      </c>
      <c r="E1043" s="59" t="s">
        <v>110</v>
      </c>
      <c r="F1043" s="59" t="s">
        <v>79</v>
      </c>
      <c r="G1043" s="59" t="s">
        <v>110</v>
      </c>
      <c r="H1043" s="273">
        <v>4.0</v>
      </c>
      <c r="I1043" s="274"/>
      <c r="J1043" s="274"/>
      <c r="K1043" s="274"/>
      <c r="L1043" s="274"/>
      <c r="M1043" s="274"/>
      <c r="N1043" s="274"/>
      <c r="P1043" s="275"/>
    </row>
    <row r="1044" ht="15.0" customHeight="1">
      <c r="A1044" s="59" t="s">
        <v>12</v>
      </c>
      <c r="B1044" s="272">
        <v>46149.0</v>
      </c>
      <c r="D1044" s="59" t="s">
        <v>153</v>
      </c>
      <c r="E1044" s="59" t="s">
        <v>78</v>
      </c>
      <c r="F1044" s="59" t="s">
        <v>79</v>
      </c>
      <c r="G1044" s="59" t="s">
        <v>80</v>
      </c>
      <c r="H1044" s="273">
        <v>127.0</v>
      </c>
      <c r="I1044" s="274"/>
      <c r="J1044" s="274"/>
      <c r="K1044" s="274"/>
      <c r="L1044" s="274"/>
      <c r="M1044" s="274"/>
      <c r="N1044" s="274"/>
      <c r="P1044" s="275"/>
    </row>
    <row r="1045" ht="15.0" customHeight="1">
      <c r="A1045" s="59" t="s">
        <v>12</v>
      </c>
      <c r="B1045" s="272">
        <v>46149.0</v>
      </c>
      <c r="D1045" s="59" t="s">
        <v>159</v>
      </c>
      <c r="E1045" s="59" t="s">
        <v>78</v>
      </c>
      <c r="F1045" s="59" t="s">
        <v>79</v>
      </c>
      <c r="G1045" s="59" t="s">
        <v>80</v>
      </c>
      <c r="H1045" s="273">
        <v>140.0</v>
      </c>
      <c r="I1045" s="274"/>
      <c r="J1045" s="274"/>
      <c r="K1045" s="274"/>
      <c r="L1045" s="274"/>
      <c r="M1045" s="274"/>
      <c r="N1045" s="274"/>
      <c r="P1045" s="275"/>
    </row>
    <row r="1046" ht="15.0" customHeight="1">
      <c r="A1046" s="59" t="s">
        <v>12</v>
      </c>
      <c r="B1046" s="272">
        <v>46149.0</v>
      </c>
      <c r="D1046" s="59" t="s">
        <v>158</v>
      </c>
      <c r="E1046" s="59" t="s">
        <v>78</v>
      </c>
      <c r="F1046" s="59" t="s">
        <v>79</v>
      </c>
      <c r="G1046" s="59" t="s">
        <v>80</v>
      </c>
      <c r="H1046" s="273">
        <v>211.0</v>
      </c>
      <c r="I1046" s="274"/>
      <c r="J1046" s="274"/>
      <c r="K1046" s="274"/>
      <c r="L1046" s="274"/>
      <c r="M1046" s="274"/>
      <c r="N1046" s="274"/>
      <c r="P1046" s="275"/>
    </row>
    <row r="1047" ht="15.0" customHeight="1">
      <c r="A1047" s="59" t="s">
        <v>12</v>
      </c>
      <c r="B1047" s="272">
        <v>46149.0</v>
      </c>
      <c r="D1047" s="59" t="s">
        <v>130</v>
      </c>
      <c r="E1047" s="59" t="s">
        <v>78</v>
      </c>
      <c r="F1047" s="59" t="s">
        <v>79</v>
      </c>
      <c r="G1047" s="59" t="s">
        <v>80</v>
      </c>
      <c r="H1047" s="273">
        <v>163.0</v>
      </c>
      <c r="I1047" s="274"/>
      <c r="J1047" s="274"/>
      <c r="K1047" s="274"/>
      <c r="L1047" s="274"/>
      <c r="M1047" s="274"/>
      <c r="N1047" s="274"/>
      <c r="P1047" s="275"/>
    </row>
    <row r="1048" ht="15.0" customHeight="1">
      <c r="A1048" s="59" t="s">
        <v>12</v>
      </c>
      <c r="B1048" s="272">
        <v>46149.0</v>
      </c>
      <c r="D1048" s="59" t="s">
        <v>82</v>
      </c>
      <c r="E1048" s="59" t="s">
        <v>78</v>
      </c>
      <c r="F1048" s="59" t="s">
        <v>79</v>
      </c>
      <c r="G1048" s="59" t="s">
        <v>80</v>
      </c>
      <c r="H1048" s="273">
        <v>320.0</v>
      </c>
      <c r="I1048" s="274"/>
      <c r="J1048" s="274"/>
      <c r="K1048" s="274"/>
      <c r="L1048" s="274"/>
      <c r="M1048" s="274"/>
      <c r="N1048" s="274"/>
      <c r="P1048" s="275"/>
    </row>
    <row r="1049" ht="15.0" customHeight="1">
      <c r="A1049" s="59" t="s">
        <v>12</v>
      </c>
      <c r="B1049" s="272">
        <v>46149.0</v>
      </c>
      <c r="D1049" s="59" t="s">
        <v>96</v>
      </c>
      <c r="E1049" s="59" t="s">
        <v>78</v>
      </c>
      <c r="F1049" s="59" t="s">
        <v>79</v>
      </c>
      <c r="G1049" s="59" t="s">
        <v>80</v>
      </c>
      <c r="H1049" s="273">
        <v>406.0</v>
      </c>
      <c r="I1049" s="274"/>
      <c r="J1049" s="274"/>
      <c r="K1049" s="274"/>
      <c r="L1049" s="274"/>
      <c r="M1049" s="274"/>
      <c r="N1049" s="274"/>
      <c r="P1049" s="275"/>
    </row>
    <row r="1050" ht="15.0" customHeight="1">
      <c r="A1050" s="59" t="s">
        <v>12</v>
      </c>
      <c r="B1050" s="272">
        <v>46149.0</v>
      </c>
      <c r="D1050" s="59" t="s">
        <v>117</v>
      </c>
      <c r="E1050" s="59" t="s">
        <v>78</v>
      </c>
      <c r="F1050" s="59" t="s">
        <v>79</v>
      </c>
      <c r="G1050" s="59" t="s">
        <v>80</v>
      </c>
      <c r="H1050" s="273">
        <v>150.0</v>
      </c>
      <c r="I1050" s="274"/>
      <c r="J1050" s="274"/>
      <c r="K1050" s="274"/>
      <c r="L1050" s="274"/>
      <c r="M1050" s="274"/>
      <c r="N1050" s="274"/>
      <c r="P1050" s="275"/>
    </row>
    <row r="1051" ht="15.0" customHeight="1">
      <c r="A1051" s="59" t="s">
        <v>12</v>
      </c>
      <c r="B1051" s="272">
        <v>46149.0</v>
      </c>
      <c r="D1051" s="59" t="s">
        <v>104</v>
      </c>
      <c r="E1051" s="59" t="s">
        <v>78</v>
      </c>
      <c r="F1051" s="59" t="s">
        <v>79</v>
      </c>
      <c r="G1051" s="59" t="s">
        <v>80</v>
      </c>
      <c r="H1051" s="273">
        <v>298.0</v>
      </c>
      <c r="I1051" s="274"/>
      <c r="J1051" s="274"/>
      <c r="K1051" s="274"/>
      <c r="L1051" s="274"/>
      <c r="M1051" s="274"/>
      <c r="N1051" s="274"/>
      <c r="P1051" s="275"/>
    </row>
    <row r="1052" ht="15.0" customHeight="1">
      <c r="A1052" s="59" t="s">
        <v>12</v>
      </c>
      <c r="B1052" s="272">
        <v>46149.0</v>
      </c>
      <c r="D1052" s="59" t="s">
        <v>92</v>
      </c>
      <c r="E1052" s="59" t="s">
        <v>78</v>
      </c>
      <c r="F1052" s="59" t="s">
        <v>79</v>
      </c>
      <c r="G1052" s="59" t="s">
        <v>80</v>
      </c>
      <c r="H1052" s="273">
        <v>300.0</v>
      </c>
      <c r="I1052" s="274"/>
      <c r="J1052" s="274"/>
      <c r="K1052" s="274"/>
      <c r="L1052" s="274"/>
      <c r="M1052" s="274"/>
      <c r="N1052" s="274"/>
      <c r="P1052" s="275"/>
    </row>
    <row r="1053" ht="15.0" customHeight="1">
      <c r="A1053" s="59" t="s">
        <v>12</v>
      </c>
      <c r="B1053" s="272">
        <v>46149.0</v>
      </c>
      <c r="D1053" s="59" t="s">
        <v>114</v>
      </c>
      <c r="E1053" s="59" t="s">
        <v>78</v>
      </c>
      <c r="F1053" s="59" t="s">
        <v>79</v>
      </c>
      <c r="G1053" s="59" t="s">
        <v>80</v>
      </c>
      <c r="H1053" s="273">
        <v>220.0</v>
      </c>
      <c r="I1053" s="274"/>
      <c r="J1053" s="274"/>
      <c r="K1053" s="274"/>
      <c r="L1053" s="274"/>
      <c r="M1053" s="274"/>
      <c r="N1053" s="274"/>
      <c r="P1053" s="275"/>
    </row>
    <row r="1054" ht="15.0" customHeight="1">
      <c r="A1054" s="59" t="s">
        <v>12</v>
      </c>
      <c r="B1054" s="272">
        <v>46149.0</v>
      </c>
      <c r="D1054" s="59" t="s">
        <v>102</v>
      </c>
      <c r="E1054" s="59" t="s">
        <v>78</v>
      </c>
      <c r="F1054" s="59" t="s">
        <v>79</v>
      </c>
      <c r="G1054" s="59" t="s">
        <v>80</v>
      </c>
      <c r="H1054" s="273">
        <v>240.0</v>
      </c>
      <c r="I1054" s="274"/>
      <c r="J1054" s="274"/>
      <c r="K1054" s="274"/>
      <c r="L1054" s="274"/>
      <c r="M1054" s="274"/>
      <c r="N1054" s="274"/>
      <c r="P1054" s="275"/>
    </row>
    <row r="1055" ht="15.0" customHeight="1">
      <c r="A1055" s="59" t="s">
        <v>12</v>
      </c>
      <c r="B1055" s="272">
        <v>46149.0</v>
      </c>
      <c r="D1055" s="59" t="s">
        <v>86</v>
      </c>
      <c r="E1055" s="59" t="s">
        <v>78</v>
      </c>
      <c r="F1055" s="59" t="s">
        <v>79</v>
      </c>
      <c r="G1055" s="59" t="s">
        <v>80</v>
      </c>
      <c r="H1055" s="273">
        <v>218.0</v>
      </c>
      <c r="I1055" s="274"/>
      <c r="J1055" s="274"/>
      <c r="K1055" s="274"/>
      <c r="L1055" s="274"/>
      <c r="M1055" s="274"/>
      <c r="N1055" s="274"/>
      <c r="P1055" s="275"/>
    </row>
    <row r="1056" ht="15.0" customHeight="1">
      <c r="A1056" s="59" t="s">
        <v>12</v>
      </c>
      <c r="B1056" s="272">
        <v>46149.0</v>
      </c>
      <c r="D1056" s="59" t="s">
        <v>138</v>
      </c>
      <c r="E1056" s="59" t="s">
        <v>78</v>
      </c>
      <c r="F1056" s="59" t="s">
        <v>79</v>
      </c>
      <c r="G1056" s="59" t="s">
        <v>80</v>
      </c>
      <c r="H1056" s="273">
        <v>240.0</v>
      </c>
      <c r="I1056" s="274"/>
      <c r="J1056" s="274"/>
      <c r="K1056" s="274"/>
      <c r="L1056" s="274"/>
      <c r="M1056" s="274"/>
      <c r="N1056" s="274"/>
      <c r="P1056" s="275"/>
    </row>
    <row r="1057" ht="15.0" customHeight="1">
      <c r="A1057" s="59" t="s">
        <v>12</v>
      </c>
      <c r="B1057" s="272">
        <v>46149.0</v>
      </c>
      <c r="D1057" s="59" t="s">
        <v>101</v>
      </c>
      <c r="E1057" s="59" t="s">
        <v>78</v>
      </c>
      <c r="F1057" s="59" t="s">
        <v>79</v>
      </c>
      <c r="G1057" s="59" t="s">
        <v>80</v>
      </c>
      <c r="H1057" s="273">
        <v>220.0</v>
      </c>
      <c r="I1057" s="274"/>
      <c r="J1057" s="274"/>
      <c r="K1057" s="274"/>
      <c r="L1057" s="274"/>
      <c r="M1057" s="274"/>
      <c r="N1057" s="274"/>
      <c r="P1057" s="275"/>
    </row>
    <row r="1058" ht="15.0" customHeight="1">
      <c r="A1058" s="59" t="s">
        <v>12</v>
      </c>
      <c r="B1058" s="272">
        <v>46149.0</v>
      </c>
      <c r="D1058" s="59" t="s">
        <v>82</v>
      </c>
      <c r="E1058" s="59" t="s">
        <v>110</v>
      </c>
      <c r="F1058" s="59" t="s">
        <v>79</v>
      </c>
      <c r="G1058" s="59" t="s">
        <v>110</v>
      </c>
      <c r="H1058" s="273">
        <v>30.0</v>
      </c>
      <c r="I1058" s="274"/>
      <c r="J1058" s="274"/>
      <c r="K1058" s="274"/>
      <c r="L1058" s="274"/>
      <c r="M1058" s="274"/>
      <c r="N1058" s="274"/>
      <c r="P1058" s="275"/>
    </row>
    <row r="1059" ht="15.0" customHeight="1">
      <c r="A1059" s="59" t="s">
        <v>12</v>
      </c>
      <c r="B1059" s="272">
        <v>46149.0</v>
      </c>
      <c r="D1059" s="59" t="s">
        <v>104</v>
      </c>
      <c r="E1059" s="59" t="s">
        <v>110</v>
      </c>
      <c r="F1059" s="59" t="s">
        <v>79</v>
      </c>
      <c r="G1059" s="59" t="s">
        <v>110</v>
      </c>
      <c r="H1059" s="273">
        <v>45.0</v>
      </c>
      <c r="I1059" s="274"/>
      <c r="J1059" s="274"/>
      <c r="K1059" s="274"/>
      <c r="L1059" s="274"/>
      <c r="M1059" s="274"/>
      <c r="N1059" s="274"/>
      <c r="P1059" s="275"/>
    </row>
    <row r="1060" ht="15.0" customHeight="1">
      <c r="A1060" s="59" t="s">
        <v>12</v>
      </c>
      <c r="B1060" s="272">
        <v>46149.0</v>
      </c>
      <c r="D1060" s="59" t="s">
        <v>122</v>
      </c>
      <c r="E1060" s="59" t="s">
        <v>110</v>
      </c>
      <c r="F1060" s="59" t="s">
        <v>79</v>
      </c>
      <c r="G1060" s="59" t="s">
        <v>110</v>
      </c>
      <c r="H1060" s="273">
        <v>45.0</v>
      </c>
      <c r="I1060" s="274"/>
      <c r="J1060" s="274"/>
      <c r="K1060" s="274"/>
      <c r="L1060" s="274"/>
      <c r="M1060" s="274"/>
      <c r="N1060" s="274"/>
      <c r="P1060" s="275"/>
    </row>
    <row r="1061" ht="15.0" customHeight="1">
      <c r="A1061" s="59" t="s">
        <v>12</v>
      </c>
      <c r="B1061" s="272">
        <v>46149.0</v>
      </c>
      <c r="D1061" s="59" t="s">
        <v>132</v>
      </c>
      <c r="E1061" s="59" t="s">
        <v>110</v>
      </c>
      <c r="F1061" s="59" t="s">
        <v>79</v>
      </c>
      <c r="G1061" s="59" t="s">
        <v>110</v>
      </c>
      <c r="H1061" s="273">
        <v>28.0</v>
      </c>
      <c r="I1061" s="274"/>
      <c r="J1061" s="274"/>
      <c r="K1061" s="274"/>
      <c r="L1061" s="274"/>
      <c r="M1061" s="274"/>
      <c r="N1061" s="274"/>
      <c r="P1061" s="275"/>
    </row>
    <row r="1062" ht="15.0" customHeight="1">
      <c r="A1062" s="59" t="s">
        <v>12</v>
      </c>
      <c r="B1062" s="272">
        <v>46149.0</v>
      </c>
      <c r="D1062" s="59" t="s">
        <v>129</v>
      </c>
      <c r="E1062" s="59" t="s">
        <v>110</v>
      </c>
      <c r="F1062" s="59" t="s">
        <v>79</v>
      </c>
      <c r="G1062" s="59" t="s">
        <v>110</v>
      </c>
      <c r="H1062" s="273">
        <v>28.0</v>
      </c>
      <c r="I1062" s="274"/>
      <c r="J1062" s="274"/>
      <c r="K1062" s="274"/>
      <c r="L1062" s="274"/>
      <c r="M1062" s="274"/>
      <c r="N1062" s="274"/>
      <c r="P1062" s="275"/>
    </row>
    <row r="1063" ht="15.0" customHeight="1">
      <c r="A1063" s="59" t="s">
        <v>12</v>
      </c>
      <c r="B1063" s="272">
        <v>46150.0</v>
      </c>
      <c r="D1063" s="59" t="s">
        <v>88</v>
      </c>
      <c r="E1063" s="59" t="s">
        <v>78</v>
      </c>
      <c r="F1063" s="59" t="s">
        <v>79</v>
      </c>
      <c r="G1063" s="59" t="s">
        <v>80</v>
      </c>
      <c r="H1063" s="273">
        <v>520.0</v>
      </c>
      <c r="I1063" s="274"/>
      <c r="J1063" s="274"/>
      <c r="K1063" s="274"/>
      <c r="L1063" s="274"/>
      <c r="M1063" s="274"/>
      <c r="N1063" s="274"/>
      <c r="P1063" s="275"/>
    </row>
    <row r="1064" ht="15.0" customHeight="1">
      <c r="A1064" s="59" t="s">
        <v>12</v>
      </c>
      <c r="B1064" s="272">
        <v>46150.0</v>
      </c>
      <c r="D1064" s="59" t="s">
        <v>77</v>
      </c>
      <c r="E1064" s="59" t="s">
        <v>78</v>
      </c>
      <c r="F1064" s="59" t="s">
        <v>79</v>
      </c>
      <c r="G1064" s="59" t="s">
        <v>80</v>
      </c>
      <c r="H1064" s="273">
        <v>480.0</v>
      </c>
      <c r="I1064" s="274"/>
      <c r="J1064" s="274"/>
      <c r="K1064" s="274"/>
      <c r="L1064" s="274"/>
      <c r="M1064" s="274"/>
      <c r="N1064" s="274"/>
      <c r="P1064" s="275"/>
    </row>
    <row r="1065" ht="15.0" customHeight="1">
      <c r="A1065" s="59" t="s">
        <v>12</v>
      </c>
      <c r="B1065" s="272">
        <v>46150.0</v>
      </c>
      <c r="D1065" s="59" t="s">
        <v>84</v>
      </c>
      <c r="E1065" s="59" t="s">
        <v>78</v>
      </c>
      <c r="F1065" s="59" t="s">
        <v>79</v>
      </c>
      <c r="G1065" s="59" t="s">
        <v>80</v>
      </c>
      <c r="H1065" s="273">
        <v>56.0</v>
      </c>
      <c r="I1065" s="274"/>
      <c r="J1065" s="274"/>
      <c r="K1065" s="274"/>
      <c r="L1065" s="274"/>
      <c r="M1065" s="274"/>
      <c r="N1065" s="274"/>
      <c r="P1065" s="275"/>
    </row>
    <row r="1066" ht="15.0" customHeight="1">
      <c r="A1066" s="59" t="s">
        <v>12</v>
      </c>
      <c r="B1066" s="272">
        <v>46150.0</v>
      </c>
      <c r="D1066" s="59" t="s">
        <v>99</v>
      </c>
      <c r="E1066" s="59" t="s">
        <v>78</v>
      </c>
      <c r="F1066" s="59" t="s">
        <v>79</v>
      </c>
      <c r="G1066" s="59" t="s">
        <v>80</v>
      </c>
      <c r="H1066" s="273">
        <v>310.0</v>
      </c>
      <c r="I1066" s="274"/>
      <c r="J1066" s="274"/>
      <c r="K1066" s="274"/>
      <c r="L1066" s="274"/>
      <c r="M1066" s="274"/>
      <c r="N1066" s="274"/>
      <c r="P1066" s="275"/>
    </row>
    <row r="1067" ht="15.0" customHeight="1">
      <c r="A1067" s="59" t="s">
        <v>12</v>
      </c>
      <c r="B1067" s="272">
        <v>46150.0</v>
      </c>
      <c r="D1067" s="59" t="s">
        <v>132</v>
      </c>
      <c r="E1067" s="59" t="s">
        <v>78</v>
      </c>
      <c r="F1067" s="59" t="s">
        <v>79</v>
      </c>
      <c r="G1067" s="59" t="s">
        <v>80</v>
      </c>
      <c r="H1067" s="273">
        <v>187.0</v>
      </c>
      <c r="I1067" s="274"/>
      <c r="J1067" s="274"/>
      <c r="K1067" s="274"/>
      <c r="L1067" s="274"/>
      <c r="M1067" s="274"/>
      <c r="N1067" s="274"/>
      <c r="P1067" s="275"/>
    </row>
    <row r="1068" ht="15.0" customHeight="1">
      <c r="A1068" s="59" t="s">
        <v>12</v>
      </c>
      <c r="B1068" s="272">
        <v>46150.0</v>
      </c>
      <c r="D1068" s="59" t="s">
        <v>129</v>
      </c>
      <c r="E1068" s="59" t="s">
        <v>78</v>
      </c>
      <c r="F1068" s="59" t="s">
        <v>79</v>
      </c>
      <c r="G1068" s="59" t="s">
        <v>80</v>
      </c>
      <c r="H1068" s="273">
        <v>232.0</v>
      </c>
      <c r="I1068" s="274"/>
      <c r="J1068" s="274"/>
      <c r="K1068" s="274"/>
      <c r="L1068" s="274"/>
      <c r="M1068" s="274"/>
      <c r="N1068" s="274"/>
      <c r="P1068" s="275"/>
    </row>
    <row r="1069" ht="15.0" customHeight="1">
      <c r="A1069" s="59" t="s">
        <v>12</v>
      </c>
      <c r="B1069" s="272">
        <v>46150.0</v>
      </c>
      <c r="D1069" s="59" t="s">
        <v>97</v>
      </c>
      <c r="E1069" s="59" t="s">
        <v>78</v>
      </c>
      <c r="F1069" s="59" t="s">
        <v>79</v>
      </c>
      <c r="G1069" s="59" t="s">
        <v>80</v>
      </c>
      <c r="H1069" s="273">
        <v>199.0</v>
      </c>
      <c r="I1069" s="274"/>
      <c r="J1069" s="274"/>
      <c r="K1069" s="274"/>
      <c r="L1069" s="274"/>
      <c r="M1069" s="274"/>
      <c r="N1069" s="274"/>
      <c r="P1069" s="275"/>
    </row>
    <row r="1070" ht="15.0" customHeight="1">
      <c r="A1070" s="59" t="s">
        <v>12</v>
      </c>
      <c r="B1070" s="272">
        <v>46150.0</v>
      </c>
      <c r="D1070" s="59" t="s">
        <v>77</v>
      </c>
      <c r="E1070" s="59" t="s">
        <v>110</v>
      </c>
      <c r="F1070" s="59" t="s">
        <v>79</v>
      </c>
      <c r="G1070" s="59" t="s">
        <v>110</v>
      </c>
      <c r="H1070" s="273">
        <v>30.0</v>
      </c>
      <c r="I1070" s="274"/>
      <c r="J1070" s="274"/>
      <c r="K1070" s="274"/>
      <c r="L1070" s="274"/>
      <c r="M1070" s="274"/>
      <c r="N1070" s="274"/>
      <c r="P1070" s="275"/>
    </row>
    <row r="1071" ht="15.0" customHeight="1">
      <c r="A1071" s="59" t="s">
        <v>12</v>
      </c>
      <c r="B1071" s="272">
        <v>46150.0</v>
      </c>
      <c r="D1071" s="59" t="s">
        <v>106</v>
      </c>
      <c r="E1071" s="59" t="s">
        <v>107</v>
      </c>
      <c r="F1071" s="59" t="s">
        <v>79</v>
      </c>
      <c r="G1071" s="59" t="s">
        <v>107</v>
      </c>
      <c r="H1071" s="273">
        <v>16.0</v>
      </c>
      <c r="I1071" s="274"/>
      <c r="J1071" s="274"/>
      <c r="K1071" s="274"/>
      <c r="L1071" s="274"/>
      <c r="M1071" s="274"/>
      <c r="N1071" s="274"/>
      <c r="P1071" s="275"/>
    </row>
    <row r="1072" ht="15.0" customHeight="1">
      <c r="A1072" s="59" t="s">
        <v>12</v>
      </c>
      <c r="B1072" s="272">
        <v>46150.0</v>
      </c>
      <c r="D1072" s="59" t="s">
        <v>106</v>
      </c>
      <c r="E1072" s="59" t="s">
        <v>298</v>
      </c>
      <c r="F1072" s="59" t="s">
        <v>79</v>
      </c>
      <c r="G1072" s="59" t="s">
        <v>298</v>
      </c>
      <c r="H1072" s="273">
        <v>14.0</v>
      </c>
      <c r="I1072" s="274"/>
      <c r="J1072" s="274"/>
      <c r="K1072" s="274"/>
      <c r="L1072" s="274"/>
      <c r="M1072" s="274"/>
      <c r="N1072" s="274"/>
      <c r="P1072" s="275"/>
    </row>
    <row r="1073" ht="15.0" customHeight="1">
      <c r="A1073" s="59" t="s">
        <v>16</v>
      </c>
      <c r="B1073" s="272">
        <v>46150.0</v>
      </c>
      <c r="E1073" s="59" t="s">
        <v>110</v>
      </c>
      <c r="F1073" s="59" t="s">
        <v>565</v>
      </c>
      <c r="G1073" s="59" t="s">
        <v>110</v>
      </c>
      <c r="H1073" s="273">
        <v>410.0</v>
      </c>
      <c r="I1073" s="274"/>
      <c r="J1073" s="274"/>
      <c r="K1073" s="274"/>
      <c r="L1073" s="274"/>
      <c r="M1073" s="274"/>
      <c r="N1073" s="274"/>
      <c r="P1073" s="275"/>
    </row>
    <row r="1074" ht="15.0" customHeight="1">
      <c r="A1074" s="59" t="s">
        <v>12</v>
      </c>
      <c r="B1074" s="272">
        <v>46151.0</v>
      </c>
      <c r="D1074" s="59" t="s">
        <v>119</v>
      </c>
      <c r="E1074" s="59" t="s">
        <v>78</v>
      </c>
      <c r="F1074" s="59" t="s">
        <v>79</v>
      </c>
      <c r="G1074" s="59" t="s">
        <v>80</v>
      </c>
      <c r="H1074" s="273">
        <v>350.0</v>
      </c>
      <c r="I1074" s="274"/>
      <c r="J1074" s="274"/>
      <c r="K1074" s="274"/>
      <c r="L1074" s="274"/>
      <c r="M1074" s="274"/>
      <c r="N1074" s="274"/>
      <c r="P1074" s="275"/>
    </row>
    <row r="1075" ht="15.0" customHeight="1">
      <c r="A1075" s="59" t="s">
        <v>12</v>
      </c>
      <c r="B1075" s="272">
        <v>46151.0</v>
      </c>
      <c r="D1075" s="59" t="s">
        <v>100</v>
      </c>
      <c r="E1075" s="59" t="s">
        <v>78</v>
      </c>
      <c r="F1075" s="59" t="s">
        <v>79</v>
      </c>
      <c r="G1075" s="59" t="s">
        <v>80</v>
      </c>
      <c r="H1075" s="273">
        <v>380.0</v>
      </c>
      <c r="I1075" s="274"/>
      <c r="J1075" s="274"/>
      <c r="K1075" s="274"/>
      <c r="L1075" s="274"/>
      <c r="M1075" s="274"/>
      <c r="N1075" s="274"/>
      <c r="P1075" s="275"/>
    </row>
    <row r="1076" ht="15.0" customHeight="1">
      <c r="A1076" s="59" t="s">
        <v>12</v>
      </c>
      <c r="B1076" s="272">
        <v>46151.0</v>
      </c>
      <c r="D1076" s="59" t="s">
        <v>122</v>
      </c>
      <c r="E1076" s="59" t="s">
        <v>78</v>
      </c>
      <c r="F1076" s="59" t="s">
        <v>79</v>
      </c>
      <c r="G1076" s="59" t="s">
        <v>80</v>
      </c>
      <c r="H1076" s="273">
        <v>274.0</v>
      </c>
      <c r="I1076" s="274"/>
      <c r="J1076" s="274"/>
      <c r="K1076" s="274"/>
      <c r="L1076" s="274"/>
      <c r="M1076" s="274"/>
      <c r="N1076" s="274"/>
      <c r="P1076" s="275"/>
    </row>
    <row r="1077" ht="15.0" customHeight="1">
      <c r="A1077" s="59" t="s">
        <v>12</v>
      </c>
      <c r="B1077" s="272">
        <v>46151.0</v>
      </c>
      <c r="D1077" s="59" t="s">
        <v>89</v>
      </c>
      <c r="E1077" s="59" t="s">
        <v>78</v>
      </c>
      <c r="F1077" s="59" t="s">
        <v>79</v>
      </c>
      <c r="G1077" s="59" t="s">
        <v>80</v>
      </c>
      <c r="H1077" s="273">
        <v>60.0</v>
      </c>
      <c r="I1077" s="274"/>
      <c r="J1077" s="274"/>
      <c r="K1077" s="274"/>
      <c r="L1077" s="274"/>
      <c r="M1077" s="274"/>
      <c r="N1077" s="274"/>
      <c r="P1077" s="275"/>
    </row>
    <row r="1078" ht="15.0" customHeight="1">
      <c r="A1078" s="59" t="s">
        <v>12</v>
      </c>
      <c r="B1078" s="272">
        <v>46151.0</v>
      </c>
      <c r="D1078" s="59" t="s">
        <v>103</v>
      </c>
      <c r="E1078" s="59" t="s">
        <v>78</v>
      </c>
      <c r="F1078" s="59" t="s">
        <v>79</v>
      </c>
      <c r="G1078" s="59" t="s">
        <v>80</v>
      </c>
      <c r="H1078" s="273">
        <v>157.0</v>
      </c>
      <c r="I1078" s="274"/>
      <c r="J1078" s="274"/>
      <c r="K1078" s="274"/>
      <c r="L1078" s="274"/>
      <c r="M1078" s="274"/>
      <c r="N1078" s="274"/>
      <c r="P1078" s="275"/>
    </row>
    <row r="1079" ht="15.0" customHeight="1">
      <c r="A1079" s="59" t="s">
        <v>12</v>
      </c>
      <c r="B1079" s="272">
        <v>46152.0</v>
      </c>
      <c r="D1079" s="59" t="s">
        <v>121</v>
      </c>
      <c r="E1079" s="59" t="s">
        <v>78</v>
      </c>
      <c r="F1079" s="59" t="s">
        <v>79</v>
      </c>
      <c r="G1079" s="59" t="s">
        <v>80</v>
      </c>
      <c r="H1079" s="273">
        <v>311.0</v>
      </c>
      <c r="I1079" s="274"/>
      <c r="J1079" s="274"/>
      <c r="K1079" s="274"/>
      <c r="L1079" s="274"/>
      <c r="M1079" s="274"/>
      <c r="N1079" s="274"/>
      <c r="P1079" s="275"/>
    </row>
    <row r="1080" ht="15.0" customHeight="1">
      <c r="A1080" s="59" t="s">
        <v>12</v>
      </c>
      <c r="B1080" s="272">
        <v>46152.0</v>
      </c>
      <c r="D1080" s="59" t="s">
        <v>336</v>
      </c>
      <c r="E1080" s="59" t="s">
        <v>78</v>
      </c>
      <c r="F1080" s="59" t="s">
        <v>79</v>
      </c>
      <c r="G1080" s="59" t="s">
        <v>80</v>
      </c>
      <c r="H1080" s="273">
        <v>45.0</v>
      </c>
      <c r="I1080" s="274"/>
      <c r="J1080" s="274"/>
      <c r="K1080" s="274"/>
      <c r="L1080" s="274"/>
      <c r="M1080" s="274"/>
      <c r="N1080" s="274"/>
      <c r="P1080" s="275"/>
    </row>
    <row r="1081" ht="15.0" customHeight="1">
      <c r="A1081" s="59" t="s">
        <v>12</v>
      </c>
      <c r="B1081" s="272">
        <v>46152.0</v>
      </c>
      <c r="D1081" s="59" t="s">
        <v>113</v>
      </c>
      <c r="E1081" s="59" t="s">
        <v>78</v>
      </c>
      <c r="F1081" s="59" t="s">
        <v>79</v>
      </c>
      <c r="G1081" s="59" t="s">
        <v>80</v>
      </c>
      <c r="H1081" s="273">
        <v>210.0</v>
      </c>
      <c r="I1081" s="274"/>
      <c r="J1081" s="274"/>
      <c r="K1081" s="274"/>
      <c r="L1081" s="274"/>
      <c r="M1081" s="274"/>
      <c r="N1081" s="274"/>
      <c r="P1081" s="275"/>
    </row>
    <row r="1082" ht="15.0" customHeight="1">
      <c r="A1082" s="59" t="s">
        <v>12</v>
      </c>
      <c r="B1082" s="272">
        <v>46152.0</v>
      </c>
      <c r="D1082" s="59" t="s">
        <v>98</v>
      </c>
      <c r="E1082" s="59" t="s">
        <v>78</v>
      </c>
      <c r="F1082" s="59" t="s">
        <v>79</v>
      </c>
      <c r="G1082" s="59" t="s">
        <v>80</v>
      </c>
      <c r="H1082" s="273">
        <v>171.0</v>
      </c>
      <c r="I1082" s="274"/>
      <c r="J1082" s="274"/>
      <c r="K1082" s="274"/>
      <c r="L1082" s="274"/>
      <c r="M1082" s="274"/>
      <c r="N1082" s="274"/>
      <c r="P1082" s="275"/>
    </row>
    <row r="1083" ht="15.0" customHeight="1">
      <c r="A1083" s="59" t="s">
        <v>12</v>
      </c>
      <c r="B1083" s="272">
        <v>46152.0</v>
      </c>
      <c r="D1083" s="59" t="s">
        <v>112</v>
      </c>
      <c r="E1083" s="59" t="s">
        <v>78</v>
      </c>
      <c r="F1083" s="59" t="s">
        <v>79</v>
      </c>
      <c r="G1083" s="59" t="s">
        <v>80</v>
      </c>
      <c r="H1083" s="273">
        <v>264.0</v>
      </c>
      <c r="I1083" s="274"/>
      <c r="J1083" s="274"/>
      <c r="K1083" s="274"/>
      <c r="L1083" s="274"/>
      <c r="M1083" s="274"/>
      <c r="N1083" s="274"/>
      <c r="P1083" s="275"/>
    </row>
    <row r="1084" ht="15.0" customHeight="1">
      <c r="A1084" s="59" t="s">
        <v>12</v>
      </c>
      <c r="B1084" s="272">
        <v>46152.0</v>
      </c>
      <c r="D1084" s="59" t="s">
        <v>118</v>
      </c>
      <c r="E1084" s="59" t="s">
        <v>83</v>
      </c>
      <c r="F1084" s="59" t="s">
        <v>79</v>
      </c>
      <c r="G1084" s="59" t="s">
        <v>80</v>
      </c>
      <c r="H1084" s="273">
        <v>392.0</v>
      </c>
      <c r="I1084" s="274"/>
      <c r="J1084" s="274"/>
      <c r="K1084" s="274"/>
      <c r="L1084" s="274"/>
      <c r="M1084" s="274"/>
      <c r="N1084" s="274"/>
      <c r="P1084" s="275"/>
    </row>
    <row r="1085" ht="15.0" customHeight="1">
      <c r="A1085" s="59" t="s">
        <v>12</v>
      </c>
      <c r="B1085" s="272">
        <v>46152.0</v>
      </c>
      <c r="D1085" s="59" t="s">
        <v>115</v>
      </c>
      <c r="E1085" s="59" t="s">
        <v>83</v>
      </c>
      <c r="F1085" s="59" t="s">
        <v>79</v>
      </c>
      <c r="G1085" s="59" t="s">
        <v>80</v>
      </c>
      <c r="H1085" s="273">
        <v>390.0</v>
      </c>
      <c r="I1085" s="274"/>
      <c r="J1085" s="274"/>
      <c r="K1085" s="274"/>
      <c r="L1085" s="274"/>
      <c r="M1085" s="274"/>
      <c r="N1085" s="274"/>
      <c r="P1085" s="275"/>
    </row>
    <row r="1086" ht="15.0" customHeight="1">
      <c r="A1086" s="59" t="s">
        <v>12</v>
      </c>
      <c r="B1086" s="272">
        <v>46152.0</v>
      </c>
      <c r="D1086" s="59" t="s">
        <v>336</v>
      </c>
      <c r="E1086" s="59" t="s">
        <v>83</v>
      </c>
      <c r="F1086" s="59" t="s">
        <v>79</v>
      </c>
      <c r="G1086" s="59" t="s">
        <v>80</v>
      </c>
      <c r="H1086" s="273">
        <v>200.0</v>
      </c>
      <c r="I1086" s="274"/>
      <c r="J1086" s="274"/>
      <c r="K1086" s="274"/>
      <c r="L1086" s="274"/>
      <c r="M1086" s="274"/>
      <c r="N1086" s="274"/>
      <c r="P1086" s="275"/>
    </row>
    <row r="1087" ht="15.0" customHeight="1">
      <c r="A1087" s="59" t="s">
        <v>12</v>
      </c>
      <c r="B1087" s="272">
        <v>46152.0</v>
      </c>
      <c r="D1087" s="59" t="s">
        <v>113</v>
      </c>
      <c r="E1087" s="59" t="s">
        <v>298</v>
      </c>
      <c r="F1087" s="59" t="s">
        <v>79</v>
      </c>
      <c r="G1087" s="59" t="s">
        <v>298</v>
      </c>
      <c r="H1087" s="273">
        <v>4.0</v>
      </c>
      <c r="I1087" s="274"/>
      <c r="J1087" s="274"/>
      <c r="K1087" s="274"/>
      <c r="L1087" s="274"/>
      <c r="M1087" s="274"/>
      <c r="N1087" s="274"/>
      <c r="P1087" s="275"/>
    </row>
    <row r="1088" ht="15.0" customHeight="1">
      <c r="A1088" s="59" t="s">
        <v>12</v>
      </c>
      <c r="B1088" s="272">
        <v>46153.0</v>
      </c>
      <c r="D1088" s="59" t="s">
        <v>154</v>
      </c>
      <c r="E1088" s="59" t="s">
        <v>83</v>
      </c>
      <c r="F1088" s="59" t="s">
        <v>79</v>
      </c>
      <c r="G1088" s="59" t="s">
        <v>80</v>
      </c>
      <c r="H1088" s="273">
        <v>160.0</v>
      </c>
      <c r="I1088" s="274"/>
      <c r="J1088" s="274"/>
      <c r="K1088" s="274"/>
      <c r="L1088" s="274"/>
      <c r="M1088" s="274"/>
      <c r="N1088" s="274"/>
      <c r="P1088" s="275"/>
    </row>
    <row r="1089" ht="15.0" customHeight="1">
      <c r="A1089" s="59" t="s">
        <v>12</v>
      </c>
      <c r="B1089" s="272">
        <v>46153.0</v>
      </c>
      <c r="D1089" s="59" t="s">
        <v>161</v>
      </c>
      <c r="E1089" s="59" t="s">
        <v>83</v>
      </c>
      <c r="F1089" s="59" t="s">
        <v>79</v>
      </c>
      <c r="G1089" s="59" t="s">
        <v>80</v>
      </c>
      <c r="H1089" s="273">
        <v>150.0</v>
      </c>
      <c r="I1089" s="274"/>
      <c r="J1089" s="274"/>
      <c r="K1089" s="274"/>
      <c r="L1089" s="274"/>
      <c r="M1089" s="274"/>
      <c r="N1089" s="274"/>
      <c r="P1089" s="275"/>
    </row>
    <row r="1090" ht="15.0" customHeight="1">
      <c r="A1090" s="59" t="s">
        <v>12</v>
      </c>
      <c r="B1090" s="272">
        <v>46153.0</v>
      </c>
      <c r="D1090" s="59" t="s">
        <v>123</v>
      </c>
      <c r="E1090" s="59" t="s">
        <v>83</v>
      </c>
      <c r="F1090" s="59" t="s">
        <v>79</v>
      </c>
      <c r="G1090" s="59" t="s">
        <v>80</v>
      </c>
      <c r="H1090" s="273">
        <v>368.0</v>
      </c>
      <c r="I1090" s="274"/>
      <c r="J1090" s="274"/>
      <c r="K1090" s="274"/>
      <c r="L1090" s="274"/>
      <c r="M1090" s="274"/>
      <c r="N1090" s="274"/>
      <c r="P1090" s="275"/>
    </row>
    <row r="1091" ht="15.0" customHeight="1">
      <c r="A1091" s="59" t="s">
        <v>12</v>
      </c>
      <c r="B1091" s="272">
        <v>46153.0</v>
      </c>
      <c r="D1091" s="59" t="s">
        <v>84</v>
      </c>
      <c r="E1091" s="59" t="s">
        <v>83</v>
      </c>
      <c r="F1091" s="59" t="s">
        <v>79</v>
      </c>
      <c r="G1091" s="59" t="s">
        <v>80</v>
      </c>
      <c r="H1091" s="273">
        <v>47.0</v>
      </c>
      <c r="I1091" s="274"/>
      <c r="J1091" s="274"/>
      <c r="K1091" s="274"/>
      <c r="L1091" s="274"/>
      <c r="M1091" s="274"/>
      <c r="N1091" s="274"/>
      <c r="P1091" s="275"/>
    </row>
    <row r="1092" ht="15.0" customHeight="1">
      <c r="A1092" s="59" t="s">
        <v>12</v>
      </c>
      <c r="B1092" s="272">
        <v>46153.0</v>
      </c>
      <c r="D1092" s="59" t="s">
        <v>82</v>
      </c>
      <c r="E1092" s="59" t="s">
        <v>83</v>
      </c>
      <c r="F1092" s="59" t="s">
        <v>79</v>
      </c>
      <c r="G1092" s="59" t="s">
        <v>80</v>
      </c>
      <c r="H1092" s="273">
        <v>340.0</v>
      </c>
      <c r="I1092" s="274"/>
      <c r="J1092" s="274"/>
      <c r="K1092" s="274"/>
      <c r="L1092" s="274"/>
      <c r="M1092" s="274"/>
      <c r="N1092" s="274"/>
      <c r="P1092" s="275"/>
    </row>
    <row r="1093" ht="15.0" customHeight="1">
      <c r="A1093" s="59" t="s">
        <v>12</v>
      </c>
      <c r="B1093" s="272">
        <v>46153.0</v>
      </c>
      <c r="D1093" s="59" t="s">
        <v>96</v>
      </c>
      <c r="E1093" s="59" t="s">
        <v>83</v>
      </c>
      <c r="F1093" s="59" t="s">
        <v>79</v>
      </c>
      <c r="G1093" s="59" t="s">
        <v>80</v>
      </c>
      <c r="H1093" s="273">
        <v>425.0</v>
      </c>
      <c r="I1093" s="274"/>
      <c r="J1093" s="274"/>
      <c r="K1093" s="274"/>
      <c r="L1093" s="274"/>
      <c r="M1093" s="274"/>
      <c r="N1093" s="274"/>
      <c r="P1093" s="275"/>
    </row>
    <row r="1094" ht="15.0" customHeight="1">
      <c r="A1094" s="59" t="s">
        <v>12</v>
      </c>
      <c r="B1094" s="272">
        <v>46153.0</v>
      </c>
      <c r="D1094" s="59" t="s">
        <v>117</v>
      </c>
      <c r="E1094" s="59" t="s">
        <v>83</v>
      </c>
      <c r="F1094" s="59" t="s">
        <v>79</v>
      </c>
      <c r="G1094" s="59" t="s">
        <v>80</v>
      </c>
      <c r="H1094" s="273">
        <v>166.0</v>
      </c>
      <c r="I1094" s="274"/>
      <c r="J1094" s="274"/>
      <c r="K1094" s="274"/>
      <c r="L1094" s="274"/>
      <c r="M1094" s="274"/>
      <c r="N1094" s="274"/>
      <c r="P1094" s="275"/>
    </row>
    <row r="1095" ht="15.0" customHeight="1">
      <c r="A1095" s="59" t="s">
        <v>12</v>
      </c>
      <c r="B1095" s="272">
        <v>46153.0</v>
      </c>
      <c r="D1095" s="59" t="s">
        <v>148</v>
      </c>
      <c r="E1095" s="59" t="s">
        <v>83</v>
      </c>
      <c r="F1095" s="59" t="s">
        <v>79</v>
      </c>
      <c r="G1095" s="59" t="s">
        <v>80</v>
      </c>
      <c r="H1095" s="273">
        <v>310.0</v>
      </c>
      <c r="I1095" s="274"/>
      <c r="J1095" s="274"/>
      <c r="K1095" s="274"/>
      <c r="L1095" s="274"/>
      <c r="M1095" s="274"/>
      <c r="N1095" s="274"/>
      <c r="P1095" s="275"/>
    </row>
    <row r="1096" ht="15.0" customHeight="1">
      <c r="A1096" s="59" t="s">
        <v>12</v>
      </c>
      <c r="B1096" s="272">
        <v>46153.0</v>
      </c>
      <c r="D1096" s="59" t="s">
        <v>92</v>
      </c>
      <c r="E1096" s="59" t="s">
        <v>83</v>
      </c>
      <c r="F1096" s="59" t="s">
        <v>79</v>
      </c>
      <c r="G1096" s="59" t="s">
        <v>80</v>
      </c>
      <c r="H1096" s="273">
        <v>265.0</v>
      </c>
      <c r="I1096" s="274"/>
      <c r="J1096" s="274"/>
      <c r="K1096" s="274"/>
      <c r="L1096" s="274"/>
      <c r="M1096" s="274"/>
      <c r="N1096" s="274"/>
      <c r="P1096" s="275"/>
    </row>
    <row r="1097" ht="15.0" customHeight="1">
      <c r="A1097" s="59" t="s">
        <v>12</v>
      </c>
      <c r="B1097" s="272">
        <v>46153.0</v>
      </c>
      <c r="D1097" s="59" t="s">
        <v>114</v>
      </c>
      <c r="E1097" s="59" t="s">
        <v>83</v>
      </c>
      <c r="F1097" s="59" t="s">
        <v>79</v>
      </c>
      <c r="G1097" s="59" t="s">
        <v>80</v>
      </c>
      <c r="H1097" s="273">
        <v>183.0</v>
      </c>
      <c r="I1097" s="274"/>
      <c r="J1097" s="274"/>
      <c r="K1097" s="274"/>
      <c r="L1097" s="274"/>
      <c r="M1097" s="274"/>
      <c r="N1097" s="274"/>
      <c r="P1097" s="275"/>
    </row>
    <row r="1098" ht="15.0" customHeight="1">
      <c r="A1098" s="59" t="s">
        <v>12</v>
      </c>
      <c r="B1098" s="272">
        <v>46153.0</v>
      </c>
      <c r="D1098" s="59" t="s">
        <v>145</v>
      </c>
      <c r="E1098" s="59" t="s">
        <v>83</v>
      </c>
      <c r="F1098" s="59" t="s">
        <v>79</v>
      </c>
      <c r="G1098" s="59" t="s">
        <v>80</v>
      </c>
      <c r="H1098" s="273">
        <v>220.0</v>
      </c>
      <c r="I1098" s="274"/>
      <c r="J1098" s="274"/>
      <c r="K1098" s="274"/>
      <c r="L1098" s="274"/>
      <c r="M1098" s="274"/>
      <c r="N1098" s="274"/>
      <c r="P1098" s="275"/>
    </row>
    <row r="1099" ht="15.0" customHeight="1">
      <c r="A1099" s="59" t="s">
        <v>12</v>
      </c>
      <c r="B1099" s="272">
        <v>46153.0</v>
      </c>
      <c r="D1099" s="59" t="s">
        <v>102</v>
      </c>
      <c r="E1099" s="59" t="s">
        <v>83</v>
      </c>
      <c r="F1099" s="59" t="s">
        <v>79</v>
      </c>
      <c r="G1099" s="59" t="s">
        <v>80</v>
      </c>
      <c r="H1099" s="273">
        <v>200.0</v>
      </c>
      <c r="I1099" s="274"/>
      <c r="J1099" s="274"/>
      <c r="K1099" s="274"/>
      <c r="L1099" s="274"/>
      <c r="M1099" s="274"/>
      <c r="N1099" s="274"/>
      <c r="P1099" s="275"/>
    </row>
    <row r="1100" ht="15.0" customHeight="1">
      <c r="A1100" s="59" t="s">
        <v>12</v>
      </c>
      <c r="B1100" s="272">
        <v>46153.0</v>
      </c>
      <c r="D1100" s="59" t="s">
        <v>86</v>
      </c>
      <c r="E1100" s="59" t="s">
        <v>83</v>
      </c>
      <c r="F1100" s="59" t="s">
        <v>79</v>
      </c>
      <c r="G1100" s="59" t="s">
        <v>80</v>
      </c>
      <c r="H1100" s="273">
        <v>236.0</v>
      </c>
      <c r="I1100" s="274"/>
      <c r="J1100" s="274"/>
      <c r="K1100" s="274"/>
      <c r="L1100" s="274"/>
      <c r="M1100" s="274"/>
      <c r="N1100" s="274"/>
      <c r="P1100" s="275"/>
    </row>
    <row r="1101" ht="15.0" customHeight="1">
      <c r="A1101" s="59" t="s">
        <v>12</v>
      </c>
      <c r="B1101" s="272">
        <v>46153.0</v>
      </c>
      <c r="D1101" s="59" t="s">
        <v>98</v>
      </c>
      <c r="E1101" s="59" t="s">
        <v>83</v>
      </c>
      <c r="F1101" s="59" t="s">
        <v>79</v>
      </c>
      <c r="G1101" s="59" t="s">
        <v>80</v>
      </c>
      <c r="H1101" s="273">
        <v>171.0</v>
      </c>
      <c r="I1101" s="274"/>
      <c r="J1101" s="274"/>
      <c r="K1101" s="274"/>
      <c r="L1101" s="274"/>
      <c r="M1101" s="274"/>
      <c r="N1101" s="274"/>
      <c r="P1101" s="275"/>
    </row>
    <row r="1102" ht="15.0" customHeight="1">
      <c r="A1102" s="59" t="s">
        <v>12</v>
      </c>
      <c r="B1102" s="272">
        <v>46153.0</v>
      </c>
      <c r="D1102" s="59" t="s">
        <v>148</v>
      </c>
      <c r="E1102" s="59" t="s">
        <v>110</v>
      </c>
      <c r="F1102" s="59" t="s">
        <v>79</v>
      </c>
      <c r="G1102" s="59" t="s">
        <v>110</v>
      </c>
      <c r="H1102" s="273">
        <v>42.0</v>
      </c>
      <c r="I1102" s="274"/>
      <c r="J1102" s="274"/>
      <c r="K1102" s="274"/>
      <c r="L1102" s="274"/>
      <c r="M1102" s="274"/>
      <c r="N1102" s="274"/>
      <c r="P1102" s="275"/>
    </row>
    <row r="1103" ht="15.0" customHeight="1">
      <c r="A1103" s="59" t="s">
        <v>16</v>
      </c>
      <c r="B1103" s="272">
        <v>46025.0</v>
      </c>
      <c r="E1103" s="59" t="s">
        <v>141</v>
      </c>
      <c r="F1103" s="59" t="s">
        <v>565</v>
      </c>
      <c r="G1103" s="59" t="s">
        <v>80</v>
      </c>
      <c r="H1103" s="273">
        <v>21270.0</v>
      </c>
      <c r="I1103" s="274"/>
      <c r="J1103" s="274"/>
      <c r="K1103" s="274"/>
      <c r="L1103" s="274"/>
      <c r="M1103" s="274"/>
      <c r="N1103" s="274"/>
      <c r="P1103" s="276">
        <v>46155.7524305556</v>
      </c>
    </row>
    <row r="1104" ht="15.0" customHeight="1">
      <c r="A1104" s="59" t="s">
        <v>12</v>
      </c>
      <c r="B1104" s="272">
        <v>46154.0</v>
      </c>
      <c r="D1104" s="59" t="s">
        <v>89</v>
      </c>
      <c r="E1104" s="59" t="s">
        <v>83</v>
      </c>
      <c r="F1104" s="59" t="s">
        <v>79</v>
      </c>
      <c r="G1104" s="59" t="s">
        <v>80</v>
      </c>
      <c r="H1104" s="273">
        <v>42.0</v>
      </c>
      <c r="I1104" s="274"/>
      <c r="J1104" s="274"/>
      <c r="K1104" s="274"/>
      <c r="L1104" s="274"/>
      <c r="M1104" s="274"/>
      <c r="N1104" s="274"/>
      <c r="P1104" s="276">
        <v>46155.8244791667</v>
      </c>
    </row>
    <row r="1105" ht="15.0" customHeight="1">
      <c r="A1105" s="59" t="s">
        <v>12</v>
      </c>
      <c r="B1105" s="272">
        <v>46154.0</v>
      </c>
      <c r="D1105" s="59" t="s">
        <v>103</v>
      </c>
      <c r="E1105" s="59" t="s">
        <v>83</v>
      </c>
      <c r="F1105" s="59" t="s">
        <v>79</v>
      </c>
      <c r="G1105" s="59" t="s">
        <v>80</v>
      </c>
      <c r="H1105" s="273">
        <v>164.0</v>
      </c>
      <c r="I1105" s="274"/>
      <c r="J1105" s="274"/>
      <c r="K1105" s="274"/>
      <c r="L1105" s="274"/>
      <c r="M1105" s="274"/>
      <c r="N1105" s="274"/>
      <c r="P1105" s="276">
        <v>46155.8245023148</v>
      </c>
    </row>
    <row r="1106" ht="15.0" customHeight="1">
      <c r="A1106" s="59" t="s">
        <v>12</v>
      </c>
      <c r="B1106" s="272">
        <v>46154.0</v>
      </c>
      <c r="D1106" s="59" t="s">
        <v>87</v>
      </c>
      <c r="E1106" s="59" t="s">
        <v>83</v>
      </c>
      <c r="F1106" s="59" t="s">
        <v>79</v>
      </c>
      <c r="G1106" s="59" t="s">
        <v>80</v>
      </c>
      <c r="H1106" s="273">
        <v>220.0</v>
      </c>
      <c r="I1106" s="274"/>
      <c r="J1106" s="274"/>
      <c r="K1106" s="274"/>
      <c r="L1106" s="274"/>
      <c r="M1106" s="274"/>
      <c r="N1106" s="274"/>
      <c r="P1106" s="276">
        <v>46155.824525463</v>
      </c>
    </row>
    <row r="1107" ht="15.0" customHeight="1">
      <c r="A1107" s="59" t="s">
        <v>12</v>
      </c>
      <c r="B1107" s="272">
        <v>46154.0</v>
      </c>
      <c r="D1107" s="46" t="s">
        <v>132</v>
      </c>
      <c r="E1107" s="59" t="s">
        <v>83</v>
      </c>
      <c r="F1107" s="59" t="s">
        <v>79</v>
      </c>
      <c r="G1107" s="59" t="s">
        <v>80</v>
      </c>
      <c r="H1107" s="273">
        <v>195.0</v>
      </c>
      <c r="I1107" s="274"/>
      <c r="J1107" s="274"/>
      <c r="K1107" s="274"/>
      <c r="L1107" s="274"/>
      <c r="M1107" s="274"/>
      <c r="N1107" s="274"/>
      <c r="P1107" s="276">
        <v>46155.8245486111</v>
      </c>
    </row>
    <row r="1108" ht="15.0" customHeight="1">
      <c r="A1108" s="59" t="s">
        <v>12</v>
      </c>
      <c r="B1108" s="272">
        <v>46154.0</v>
      </c>
      <c r="D1108" s="59" t="s">
        <v>100</v>
      </c>
      <c r="E1108" s="59" t="s">
        <v>83</v>
      </c>
      <c r="F1108" s="59" t="s">
        <v>79</v>
      </c>
      <c r="G1108" s="59" t="s">
        <v>80</v>
      </c>
      <c r="H1108" s="273">
        <v>324.0</v>
      </c>
      <c r="I1108" s="274"/>
      <c r="J1108" s="274"/>
      <c r="K1108" s="274"/>
      <c r="L1108" s="274"/>
      <c r="M1108" s="274"/>
      <c r="N1108" s="274"/>
      <c r="P1108" s="276">
        <v>46155.8245717593</v>
      </c>
    </row>
    <row r="1109" ht="15.0" customHeight="1">
      <c r="A1109" s="59" t="s">
        <v>12</v>
      </c>
      <c r="B1109" s="272">
        <v>46155.0</v>
      </c>
      <c r="D1109" s="59" t="s">
        <v>116</v>
      </c>
      <c r="E1109" s="59" t="s">
        <v>83</v>
      </c>
      <c r="F1109" s="59" t="s">
        <v>79</v>
      </c>
      <c r="G1109" s="59" t="s">
        <v>80</v>
      </c>
      <c r="H1109" s="273">
        <v>444.0</v>
      </c>
      <c r="I1109" s="274"/>
      <c r="J1109" s="274"/>
      <c r="K1109" s="274"/>
      <c r="L1109" s="274"/>
      <c r="M1109" s="274"/>
      <c r="N1109" s="274"/>
      <c r="P1109" s="276">
        <v>46155.8245949074</v>
      </c>
    </row>
    <row r="1110" ht="15.0" customHeight="1">
      <c r="A1110" s="59" t="s">
        <v>12</v>
      </c>
      <c r="B1110" s="272">
        <v>46155.0</v>
      </c>
      <c r="D1110" s="59" t="s">
        <v>102</v>
      </c>
      <c r="E1110" s="59" t="s">
        <v>83</v>
      </c>
      <c r="F1110" s="59" t="s">
        <v>79</v>
      </c>
      <c r="G1110" s="59" t="s">
        <v>80</v>
      </c>
      <c r="H1110" s="273">
        <v>180.0</v>
      </c>
      <c r="I1110" s="274"/>
      <c r="J1110" s="274"/>
      <c r="K1110" s="274"/>
      <c r="L1110" s="274"/>
      <c r="M1110" s="274"/>
      <c r="N1110" s="274"/>
      <c r="P1110" s="276">
        <v>46155.8246180556</v>
      </c>
    </row>
    <row r="1111" ht="15.0" customHeight="1">
      <c r="A1111" s="59" t="s">
        <v>12</v>
      </c>
      <c r="B1111" s="272">
        <v>46155.0</v>
      </c>
      <c r="D1111" s="59" t="s">
        <v>136</v>
      </c>
      <c r="E1111" s="59" t="s">
        <v>83</v>
      </c>
      <c r="F1111" s="59" t="s">
        <v>79</v>
      </c>
      <c r="G1111" s="59" t="s">
        <v>80</v>
      </c>
      <c r="H1111" s="273">
        <v>54.0</v>
      </c>
      <c r="I1111" s="274"/>
      <c r="J1111" s="274"/>
      <c r="K1111" s="274"/>
      <c r="L1111" s="274"/>
      <c r="M1111" s="274"/>
      <c r="N1111" s="274"/>
      <c r="P1111" s="276">
        <v>46155.8246412037</v>
      </c>
    </row>
    <row r="1112" ht="15.0" customHeight="1">
      <c r="A1112" s="59" t="s">
        <v>12</v>
      </c>
      <c r="B1112" s="272">
        <v>46155.0</v>
      </c>
      <c r="D1112" s="59" t="s">
        <v>112</v>
      </c>
      <c r="E1112" s="59" t="s">
        <v>83</v>
      </c>
      <c r="F1112" s="59" t="s">
        <v>79</v>
      </c>
      <c r="G1112" s="59" t="s">
        <v>80</v>
      </c>
      <c r="H1112" s="273">
        <v>254.0</v>
      </c>
      <c r="I1112" s="274"/>
      <c r="J1112" s="274"/>
      <c r="K1112" s="274"/>
      <c r="L1112" s="274"/>
      <c r="M1112" s="274"/>
      <c r="N1112" s="274"/>
      <c r="P1112" s="276">
        <v>46155.8246643519</v>
      </c>
    </row>
    <row r="1113" ht="15.0" customHeight="1">
      <c r="A1113" s="59" t="s">
        <v>12</v>
      </c>
      <c r="B1113" s="272">
        <v>46155.0</v>
      </c>
      <c r="D1113" s="59" t="s">
        <v>113</v>
      </c>
      <c r="E1113" s="59" t="s">
        <v>83</v>
      </c>
      <c r="F1113" s="59" t="s">
        <v>79</v>
      </c>
      <c r="G1113" s="59" t="s">
        <v>80</v>
      </c>
      <c r="H1113" s="273">
        <v>235.0</v>
      </c>
      <c r="I1113" s="274"/>
      <c r="J1113" s="274"/>
      <c r="K1113" s="274"/>
      <c r="L1113" s="274"/>
      <c r="M1113" s="274"/>
      <c r="N1113" s="274"/>
      <c r="P1113" s="276">
        <v>46155.8246875</v>
      </c>
    </row>
    <row r="1114" ht="15.0" customHeight="1">
      <c r="A1114" s="59" t="s">
        <v>12</v>
      </c>
      <c r="B1114" s="272">
        <v>46155.0</v>
      </c>
      <c r="D1114" s="59" t="s">
        <v>336</v>
      </c>
      <c r="E1114" s="59" t="s">
        <v>83</v>
      </c>
      <c r="F1114" s="59" t="s">
        <v>79</v>
      </c>
      <c r="G1114" s="59" t="s">
        <v>80</v>
      </c>
      <c r="H1114" s="273">
        <v>255.0</v>
      </c>
      <c r="I1114" s="274"/>
      <c r="J1114" s="274"/>
      <c r="K1114" s="274"/>
      <c r="L1114" s="274"/>
      <c r="M1114" s="274"/>
      <c r="N1114" s="274"/>
      <c r="P1114" s="276">
        <v>46155.8247106482</v>
      </c>
    </row>
    <row r="1115" ht="15.0" customHeight="1">
      <c r="A1115" s="59" t="s">
        <v>12</v>
      </c>
      <c r="B1115" s="272">
        <v>46155.0</v>
      </c>
      <c r="D1115" s="59" t="s">
        <v>145</v>
      </c>
      <c r="E1115" s="59" t="s">
        <v>83</v>
      </c>
      <c r="F1115" s="59" t="s">
        <v>79</v>
      </c>
      <c r="G1115" s="59" t="s">
        <v>80</v>
      </c>
      <c r="H1115" s="273">
        <v>225.0</v>
      </c>
      <c r="I1115" s="274"/>
      <c r="J1115" s="274"/>
      <c r="K1115" s="274"/>
      <c r="L1115" s="274"/>
      <c r="M1115" s="274"/>
      <c r="N1115" s="274"/>
      <c r="P1115" s="276">
        <v>46155.8247337963</v>
      </c>
    </row>
    <row r="1116" ht="15.0" customHeight="1">
      <c r="A1116" s="59" t="s">
        <v>12</v>
      </c>
      <c r="B1116" s="272">
        <v>46155.0</v>
      </c>
      <c r="D1116" s="59" t="s">
        <v>99</v>
      </c>
      <c r="E1116" s="59" t="s">
        <v>83</v>
      </c>
      <c r="F1116" s="59" t="s">
        <v>79</v>
      </c>
      <c r="G1116" s="59" t="s">
        <v>80</v>
      </c>
      <c r="H1116" s="273">
        <v>406.0</v>
      </c>
      <c r="I1116" s="274"/>
      <c r="J1116" s="274"/>
      <c r="K1116" s="274"/>
      <c r="L1116" s="274"/>
      <c r="M1116" s="274"/>
      <c r="N1116" s="274"/>
      <c r="P1116" s="276">
        <v>46155.8247569444</v>
      </c>
    </row>
    <row r="1117" ht="15.0" customHeight="1">
      <c r="A1117" s="59" t="s">
        <v>12</v>
      </c>
      <c r="B1117" s="272">
        <v>46155.0</v>
      </c>
      <c r="D1117" s="59" t="s">
        <v>84</v>
      </c>
      <c r="E1117" s="59" t="s">
        <v>83</v>
      </c>
      <c r="F1117" s="59" t="s">
        <v>79</v>
      </c>
      <c r="G1117" s="59" t="s">
        <v>80</v>
      </c>
      <c r="H1117" s="273">
        <v>46.0</v>
      </c>
      <c r="I1117" s="274"/>
      <c r="J1117" s="274"/>
      <c r="K1117" s="274"/>
      <c r="L1117" s="274"/>
      <c r="M1117" s="274"/>
      <c r="N1117" s="274"/>
      <c r="P1117" s="276">
        <v>46155.8247800926</v>
      </c>
    </row>
    <row r="1118" ht="15.0" customHeight="1">
      <c r="A1118" s="59" t="s">
        <v>12</v>
      </c>
      <c r="B1118" s="272">
        <v>46155.0</v>
      </c>
      <c r="D1118" s="59" t="s">
        <v>138</v>
      </c>
      <c r="E1118" s="59" t="s">
        <v>83</v>
      </c>
      <c r="F1118" s="59" t="s">
        <v>79</v>
      </c>
      <c r="G1118" s="59" t="s">
        <v>80</v>
      </c>
      <c r="H1118" s="273">
        <v>290.0</v>
      </c>
      <c r="I1118" s="274"/>
      <c r="J1118" s="274"/>
      <c r="K1118" s="274"/>
      <c r="L1118" s="274"/>
      <c r="M1118" s="274"/>
      <c r="N1118" s="274"/>
      <c r="P1118" s="276">
        <v>46155.8248032407</v>
      </c>
    </row>
    <row r="1119" ht="15.0" customHeight="1">
      <c r="A1119" s="59" t="s">
        <v>12</v>
      </c>
      <c r="B1119" s="272">
        <v>46155.0</v>
      </c>
      <c r="D1119" s="59" t="s">
        <v>88</v>
      </c>
      <c r="E1119" s="59" t="s">
        <v>83</v>
      </c>
      <c r="F1119" s="59" t="s">
        <v>79</v>
      </c>
      <c r="G1119" s="59" t="s">
        <v>80</v>
      </c>
      <c r="H1119" s="273">
        <v>525.0</v>
      </c>
      <c r="I1119" s="274"/>
      <c r="J1119" s="274"/>
      <c r="K1119" s="274"/>
      <c r="L1119" s="274"/>
      <c r="M1119" s="274"/>
      <c r="N1119" s="274"/>
      <c r="P1119" s="276">
        <v>46155.8248263889</v>
      </c>
    </row>
    <row r="1120" ht="15.0" customHeight="1">
      <c r="A1120" s="59" t="s">
        <v>12</v>
      </c>
      <c r="B1120" s="272">
        <v>46155.0</v>
      </c>
      <c r="D1120" s="59" t="s">
        <v>97</v>
      </c>
      <c r="E1120" s="59" t="s">
        <v>83</v>
      </c>
      <c r="F1120" s="59" t="s">
        <v>79</v>
      </c>
      <c r="G1120" s="59" t="s">
        <v>80</v>
      </c>
      <c r="H1120" s="273">
        <v>192.0</v>
      </c>
      <c r="I1120" s="274"/>
      <c r="J1120" s="274"/>
      <c r="K1120" s="274"/>
      <c r="L1120" s="274"/>
      <c r="M1120" s="274"/>
      <c r="N1120" s="274"/>
      <c r="P1120" s="276">
        <v>46155.824849537</v>
      </c>
    </row>
    <row r="1121" ht="15.0" customHeight="1">
      <c r="A1121" s="59" t="s">
        <v>12</v>
      </c>
      <c r="B1121" s="272">
        <v>46155.0</v>
      </c>
      <c r="D1121" s="59" t="s">
        <v>119</v>
      </c>
      <c r="E1121" s="59" t="s">
        <v>83</v>
      </c>
      <c r="F1121" s="59" t="s">
        <v>79</v>
      </c>
      <c r="G1121" s="59" t="s">
        <v>80</v>
      </c>
      <c r="H1121" s="273">
        <v>422.0</v>
      </c>
      <c r="I1121" s="274"/>
      <c r="J1121" s="274"/>
      <c r="K1121" s="274"/>
      <c r="L1121" s="274"/>
      <c r="M1121" s="274"/>
      <c r="N1121" s="274"/>
      <c r="P1121" s="276">
        <v>46155.8248842593</v>
      </c>
    </row>
    <row r="1122" ht="15.0" customHeight="1">
      <c r="A1122" s="59" t="s">
        <v>12</v>
      </c>
      <c r="B1122" s="272">
        <v>46155.0</v>
      </c>
      <c r="D1122" s="59" t="s">
        <v>101</v>
      </c>
      <c r="E1122" s="59" t="s">
        <v>110</v>
      </c>
      <c r="F1122" s="59" t="s">
        <v>79</v>
      </c>
      <c r="G1122" s="59" t="s">
        <v>110</v>
      </c>
      <c r="H1122" s="273">
        <v>24.0</v>
      </c>
      <c r="I1122" s="274"/>
      <c r="J1122" s="274"/>
      <c r="K1122" s="274"/>
      <c r="L1122" s="274"/>
      <c r="M1122" s="274"/>
      <c r="N1122" s="274"/>
      <c r="P1122" s="275"/>
    </row>
    <row r="1123" ht="15.0" customHeight="1">
      <c r="A1123" s="59" t="s">
        <v>12</v>
      </c>
      <c r="B1123" s="272">
        <v>46155.0</v>
      </c>
      <c r="D1123" s="59" t="s">
        <v>97</v>
      </c>
      <c r="E1123" s="59" t="s">
        <v>93</v>
      </c>
      <c r="F1123" s="59" t="s">
        <v>79</v>
      </c>
      <c r="G1123" s="59" t="s">
        <v>93</v>
      </c>
      <c r="H1123" s="273">
        <v>130.0</v>
      </c>
      <c r="I1123" s="274"/>
      <c r="J1123" s="274"/>
      <c r="K1123" s="274"/>
      <c r="L1123" s="274"/>
      <c r="M1123" s="274"/>
      <c r="N1123" s="274"/>
      <c r="P1123" s="275"/>
    </row>
    <row r="1124" ht="15.0" customHeight="1">
      <c r="A1124" s="59" t="s">
        <v>12</v>
      </c>
      <c r="B1124" s="272">
        <v>46155.0</v>
      </c>
      <c r="D1124" s="59" t="s">
        <v>101</v>
      </c>
      <c r="E1124" s="59" t="s">
        <v>298</v>
      </c>
      <c r="F1124" s="59" t="s">
        <v>79</v>
      </c>
      <c r="G1124" s="59" t="s">
        <v>298</v>
      </c>
      <c r="H1124" s="273">
        <v>18.0</v>
      </c>
      <c r="I1124" s="274"/>
      <c r="J1124" s="274"/>
      <c r="K1124" s="274"/>
      <c r="L1124" s="274"/>
      <c r="M1124" s="274"/>
      <c r="N1124" s="274"/>
      <c r="P1124" s="275"/>
    </row>
    <row r="1125" ht="15.0" customHeight="1">
      <c r="A1125" s="59" t="s">
        <v>12</v>
      </c>
      <c r="B1125" s="272">
        <v>46156.0</v>
      </c>
      <c r="D1125" s="59" t="s">
        <v>135</v>
      </c>
      <c r="E1125" s="59" t="s">
        <v>83</v>
      </c>
      <c r="F1125" s="59" t="s">
        <v>79</v>
      </c>
      <c r="G1125" s="59" t="s">
        <v>80</v>
      </c>
      <c r="H1125" s="273">
        <v>44.0</v>
      </c>
      <c r="I1125" s="274">
        <v>475151.0</v>
      </c>
      <c r="J1125" s="274">
        <v>475701.0</v>
      </c>
      <c r="K1125" s="274">
        <v>550.0</v>
      </c>
      <c r="L1125" s="274"/>
      <c r="M1125" s="274"/>
      <c r="N1125" s="274"/>
      <c r="P1125" s="275"/>
    </row>
    <row r="1126" ht="15.0" customHeight="1">
      <c r="A1126" s="59" t="s">
        <v>12</v>
      </c>
      <c r="B1126" s="272">
        <v>46156.0</v>
      </c>
      <c r="D1126" s="268" t="s">
        <v>127</v>
      </c>
      <c r="E1126" s="59" t="s">
        <v>83</v>
      </c>
      <c r="F1126" s="59" t="s">
        <v>79</v>
      </c>
      <c r="G1126" s="59" t="s">
        <v>80</v>
      </c>
      <c r="H1126" s="273">
        <v>200.0</v>
      </c>
      <c r="I1126" s="274"/>
      <c r="J1126" s="274"/>
      <c r="K1126" s="274"/>
      <c r="L1126" s="274"/>
      <c r="M1126" s="274"/>
      <c r="N1126" s="274"/>
      <c r="P1126" s="275"/>
    </row>
    <row r="1127" ht="15.0" customHeight="1">
      <c r="A1127" s="59" t="s">
        <v>12</v>
      </c>
      <c r="B1127" s="272">
        <v>46156.0</v>
      </c>
      <c r="D1127" s="59" t="s">
        <v>114</v>
      </c>
      <c r="E1127" s="59" t="s">
        <v>83</v>
      </c>
      <c r="F1127" s="59" t="s">
        <v>79</v>
      </c>
      <c r="G1127" s="59" t="s">
        <v>80</v>
      </c>
      <c r="H1127" s="273">
        <v>245.0</v>
      </c>
      <c r="I1127" s="274">
        <v>271370.0</v>
      </c>
      <c r="J1127" s="274">
        <v>271973.0</v>
      </c>
      <c r="K1127" s="274">
        <v>603.0</v>
      </c>
      <c r="L1127" s="274"/>
      <c r="M1127" s="274"/>
      <c r="N1127" s="274"/>
      <c r="P1127" s="275"/>
    </row>
    <row r="1128" ht="15.0" customHeight="1">
      <c r="A1128" s="59" t="s">
        <v>12</v>
      </c>
      <c r="B1128" s="272">
        <v>46156.0</v>
      </c>
      <c r="D1128" s="59" t="s">
        <v>86</v>
      </c>
      <c r="E1128" s="59" t="s">
        <v>83</v>
      </c>
      <c r="F1128" s="59" t="s">
        <v>79</v>
      </c>
      <c r="G1128" s="59" t="s">
        <v>80</v>
      </c>
      <c r="H1128" s="273">
        <v>236.0</v>
      </c>
      <c r="I1128" s="274">
        <v>187122.0</v>
      </c>
      <c r="J1128" s="274">
        <v>187598.0</v>
      </c>
      <c r="K1128" s="274">
        <v>476.0</v>
      </c>
      <c r="L1128" s="274"/>
      <c r="M1128" s="274"/>
      <c r="N1128" s="274"/>
      <c r="P1128" s="275"/>
    </row>
    <row r="1129" ht="15.0" customHeight="1">
      <c r="A1129" s="59" t="s">
        <v>12</v>
      </c>
      <c r="B1129" s="272">
        <v>46156.0</v>
      </c>
      <c r="D1129" s="59" t="s">
        <v>153</v>
      </c>
      <c r="E1129" s="59" t="s">
        <v>83</v>
      </c>
      <c r="F1129" s="59" t="s">
        <v>79</v>
      </c>
      <c r="G1129" s="59" t="s">
        <v>80</v>
      </c>
      <c r="H1129" s="273">
        <v>125.0</v>
      </c>
      <c r="I1129" s="274">
        <v>359390.0</v>
      </c>
      <c r="J1129" s="274">
        <v>359846.0</v>
      </c>
      <c r="K1129" s="274">
        <v>456.0</v>
      </c>
      <c r="L1129" s="274"/>
      <c r="M1129" s="274"/>
      <c r="N1129" s="274"/>
      <c r="P1129" s="275"/>
    </row>
    <row r="1130" ht="15.0" customHeight="1">
      <c r="A1130" s="59" t="s">
        <v>12</v>
      </c>
      <c r="B1130" s="272">
        <v>46156.0</v>
      </c>
      <c r="D1130" s="59" t="s">
        <v>98</v>
      </c>
      <c r="E1130" s="59" t="s">
        <v>83</v>
      </c>
      <c r="F1130" s="59" t="s">
        <v>79</v>
      </c>
      <c r="G1130" s="59" t="s">
        <v>80</v>
      </c>
      <c r="H1130" s="273">
        <v>186.0</v>
      </c>
      <c r="I1130" s="274">
        <v>162817.0</v>
      </c>
      <c r="J1130" s="274">
        <v>163252.0</v>
      </c>
      <c r="K1130" s="274">
        <v>435.0</v>
      </c>
      <c r="L1130" s="274"/>
      <c r="M1130" s="274"/>
      <c r="N1130" s="274"/>
      <c r="P1130" s="276">
        <v>46156.65875</v>
      </c>
    </row>
    <row r="1131" ht="15.0" customHeight="1">
      <c r="A1131" s="59" t="s">
        <v>12</v>
      </c>
      <c r="B1131" s="272">
        <v>46156.0</v>
      </c>
      <c r="D1131" s="59" t="s">
        <v>101</v>
      </c>
      <c r="E1131" s="59" t="s">
        <v>83</v>
      </c>
      <c r="F1131" s="59" t="s">
        <v>79</v>
      </c>
      <c r="G1131" s="59" t="s">
        <v>80</v>
      </c>
      <c r="H1131" s="273">
        <v>230.0</v>
      </c>
      <c r="I1131" s="274">
        <v>112601.0</v>
      </c>
      <c r="J1131" s="274">
        <v>113126.0</v>
      </c>
      <c r="K1131" s="274">
        <v>525.0</v>
      </c>
      <c r="L1131" s="274"/>
      <c r="M1131" s="274"/>
      <c r="N1131" s="274"/>
      <c r="P1131" s="276">
        <v>46156.6593981482</v>
      </c>
    </row>
    <row r="1132" ht="15.0" customHeight="1">
      <c r="A1132" s="59" t="s">
        <v>12</v>
      </c>
      <c r="B1132" s="272">
        <v>46156.0</v>
      </c>
      <c r="D1132" s="46" t="s">
        <v>129</v>
      </c>
      <c r="E1132" s="59" t="s">
        <v>83</v>
      </c>
      <c r="F1132" s="59" t="s">
        <v>79</v>
      </c>
      <c r="G1132" s="59" t="s">
        <v>80</v>
      </c>
      <c r="H1132" s="273">
        <v>233.0</v>
      </c>
      <c r="I1132" s="274">
        <v>4226.0</v>
      </c>
      <c r="J1132" s="274">
        <v>4687.0</v>
      </c>
      <c r="K1132" s="274">
        <v>461.0</v>
      </c>
      <c r="L1132" s="274"/>
      <c r="M1132" s="274"/>
      <c r="N1132" s="274"/>
      <c r="P1132" s="276">
        <v>46156.6608217593</v>
      </c>
    </row>
    <row r="1133" ht="15.0" customHeight="1">
      <c r="A1133" s="59" t="s">
        <v>12</v>
      </c>
      <c r="B1133" s="272">
        <v>46156.0</v>
      </c>
      <c r="D1133" s="59" t="s">
        <v>159</v>
      </c>
      <c r="E1133" s="59" t="s">
        <v>83</v>
      </c>
      <c r="F1133" s="59" t="s">
        <v>79</v>
      </c>
      <c r="G1133" s="59" t="s">
        <v>80</v>
      </c>
      <c r="H1133" s="273">
        <v>135.0</v>
      </c>
      <c r="I1133" s="274">
        <v>75835.0</v>
      </c>
      <c r="J1133" s="274">
        <v>76312.0</v>
      </c>
      <c r="K1133" s="274">
        <v>477.0</v>
      </c>
      <c r="L1133" s="274"/>
      <c r="M1133" s="274"/>
      <c r="N1133" s="274"/>
      <c r="P1133" s="276">
        <v>46156.6636805556</v>
      </c>
    </row>
    <row r="1134" ht="15.0" customHeight="1">
      <c r="A1134" s="59" t="s">
        <v>12</v>
      </c>
      <c r="B1134" s="272">
        <v>46156.0</v>
      </c>
      <c r="D1134" s="59" t="s">
        <v>118</v>
      </c>
      <c r="E1134" s="59" t="s">
        <v>83</v>
      </c>
      <c r="F1134" s="59" t="s">
        <v>79</v>
      </c>
      <c r="G1134" s="59" t="s">
        <v>80</v>
      </c>
      <c r="H1134" s="273">
        <v>469.0</v>
      </c>
      <c r="I1134" s="274">
        <v>145232.0</v>
      </c>
      <c r="J1134" s="274">
        <v>146244.0</v>
      </c>
      <c r="K1134" s="274">
        <v>1012.0</v>
      </c>
      <c r="L1134" s="274"/>
      <c r="M1134" s="274"/>
      <c r="N1134" s="274"/>
      <c r="P1134" s="276">
        <v>46157.7415046296</v>
      </c>
    </row>
    <row r="1135" ht="15.0" customHeight="1">
      <c r="A1135" s="59" t="s">
        <v>12</v>
      </c>
      <c r="B1135" s="272">
        <v>46156.0</v>
      </c>
      <c r="D1135" s="59" t="s">
        <v>82</v>
      </c>
      <c r="E1135" s="59" t="s">
        <v>83</v>
      </c>
      <c r="F1135" s="59" t="s">
        <v>79</v>
      </c>
      <c r="G1135" s="59" t="s">
        <v>80</v>
      </c>
      <c r="H1135" s="273">
        <v>400.0</v>
      </c>
      <c r="I1135" s="274">
        <v>89548.0</v>
      </c>
      <c r="J1135" s="274">
        <v>90400.0</v>
      </c>
      <c r="K1135" s="274">
        <v>852.0</v>
      </c>
      <c r="L1135" s="274"/>
      <c r="M1135" s="274"/>
      <c r="N1135" s="274"/>
      <c r="P1135" s="276">
        <v>46157.7420138889</v>
      </c>
    </row>
    <row r="1136" ht="15.0" customHeight="1">
      <c r="A1136" s="59" t="s">
        <v>12</v>
      </c>
      <c r="B1136" s="272">
        <v>46157.0</v>
      </c>
      <c r="D1136" s="59" t="s">
        <v>96</v>
      </c>
      <c r="E1136" s="59" t="s">
        <v>83</v>
      </c>
      <c r="F1136" s="59" t="s">
        <v>79</v>
      </c>
      <c r="G1136" s="59" t="s">
        <v>80</v>
      </c>
      <c r="H1136" s="273">
        <v>460.0</v>
      </c>
      <c r="I1136" s="274">
        <v>72891.0</v>
      </c>
      <c r="J1136" s="274">
        <v>73807.0</v>
      </c>
      <c r="K1136" s="274">
        <v>916.0</v>
      </c>
      <c r="L1136" s="274"/>
      <c r="M1136" s="274"/>
      <c r="N1136" s="274"/>
      <c r="P1136" s="276">
        <v>46157.7439351852</v>
      </c>
    </row>
    <row r="1137" ht="15.0" customHeight="1">
      <c r="A1137" s="59" t="s">
        <v>12</v>
      </c>
      <c r="B1137" s="272">
        <v>46157.0</v>
      </c>
      <c r="D1137" s="59" t="s">
        <v>116</v>
      </c>
      <c r="E1137" s="59" t="s">
        <v>83</v>
      </c>
      <c r="F1137" s="59" t="s">
        <v>79</v>
      </c>
      <c r="G1137" s="59" t="s">
        <v>80</v>
      </c>
      <c r="H1137" s="273">
        <v>400.0</v>
      </c>
      <c r="I1137" s="274">
        <v>73061.0</v>
      </c>
      <c r="J1137" s="274">
        <v>73887.0</v>
      </c>
      <c r="K1137" s="274">
        <v>826.0</v>
      </c>
      <c r="L1137" s="274"/>
      <c r="M1137" s="274"/>
      <c r="N1137" s="274"/>
      <c r="P1137" s="276">
        <v>46157.7444097222</v>
      </c>
    </row>
    <row r="1138" ht="15.0" customHeight="1">
      <c r="A1138" s="59" t="s">
        <v>12</v>
      </c>
      <c r="B1138" s="272">
        <v>46157.0</v>
      </c>
      <c r="D1138" s="46" t="s">
        <v>122</v>
      </c>
      <c r="E1138" s="59" t="s">
        <v>83</v>
      </c>
      <c r="F1138" s="59" t="s">
        <v>79</v>
      </c>
      <c r="G1138" s="59" t="s">
        <v>80</v>
      </c>
      <c r="H1138" s="273">
        <v>275.0</v>
      </c>
      <c r="I1138" s="274">
        <v>3576.0</v>
      </c>
      <c r="J1138" s="274">
        <v>4169.0</v>
      </c>
      <c r="K1138" s="274">
        <v>593.0</v>
      </c>
      <c r="L1138" s="274"/>
      <c r="M1138" s="274"/>
      <c r="N1138" s="274"/>
      <c r="P1138" s="276">
        <v>46157.744849537</v>
      </c>
    </row>
    <row r="1139" ht="15.0" customHeight="1">
      <c r="A1139" s="59" t="s">
        <v>12</v>
      </c>
      <c r="B1139" s="272">
        <v>46157.0</v>
      </c>
      <c r="D1139" s="59" t="s">
        <v>103</v>
      </c>
      <c r="E1139" s="59" t="s">
        <v>83</v>
      </c>
      <c r="F1139" s="59" t="s">
        <v>79</v>
      </c>
      <c r="G1139" s="59" t="s">
        <v>80</v>
      </c>
      <c r="H1139" s="273">
        <v>163.0</v>
      </c>
      <c r="I1139" s="274">
        <v>4187.0</v>
      </c>
      <c r="J1139" s="274">
        <v>4200.0</v>
      </c>
      <c r="K1139" s="274">
        <v>13.0</v>
      </c>
      <c r="L1139" s="274"/>
      <c r="M1139" s="274"/>
      <c r="N1139" s="274"/>
      <c r="P1139" s="276">
        <v>46157.7453009259</v>
      </c>
    </row>
    <row r="1140" ht="15.0" customHeight="1">
      <c r="A1140" s="59" t="s">
        <v>12</v>
      </c>
      <c r="B1140" s="272">
        <v>46157.0</v>
      </c>
      <c r="D1140" s="59" t="s">
        <v>103</v>
      </c>
      <c r="E1140" s="59" t="s">
        <v>110</v>
      </c>
      <c r="F1140" s="59" t="s">
        <v>79</v>
      </c>
      <c r="G1140" s="59" t="s">
        <v>110</v>
      </c>
      <c r="H1140" s="273">
        <v>26.0</v>
      </c>
      <c r="I1140" s="274"/>
      <c r="J1140" s="274">
        <v>4205.0</v>
      </c>
      <c r="K1140" s="274"/>
      <c r="L1140" s="274"/>
      <c r="M1140" s="274"/>
      <c r="N1140" s="274"/>
      <c r="P1140" s="276">
        <v>46157.7459143519</v>
      </c>
    </row>
    <row r="1141" ht="15.0" customHeight="1">
      <c r="A1141" s="59" t="s">
        <v>12</v>
      </c>
      <c r="B1141" s="272">
        <v>46157.0</v>
      </c>
      <c r="D1141" s="59" t="s">
        <v>100</v>
      </c>
      <c r="E1141" s="59" t="s">
        <v>83</v>
      </c>
      <c r="F1141" s="59" t="s">
        <v>79</v>
      </c>
      <c r="G1141" s="59" t="s">
        <v>80</v>
      </c>
      <c r="H1141" s="273">
        <v>340.0</v>
      </c>
      <c r="I1141" s="274">
        <v>401721.0</v>
      </c>
      <c r="J1141" s="274">
        <v>402479.0</v>
      </c>
      <c r="K1141" s="274">
        <v>758.0</v>
      </c>
      <c r="L1141" s="274"/>
      <c r="M1141" s="274"/>
      <c r="N1141" s="274"/>
      <c r="P1141" s="276">
        <v>46157.7465625</v>
      </c>
    </row>
    <row r="1142" ht="15.0" customHeight="1">
      <c r="A1142" s="59" t="s">
        <v>12</v>
      </c>
      <c r="B1142" s="272">
        <v>46157.0</v>
      </c>
      <c r="D1142" s="59" t="s">
        <v>89</v>
      </c>
      <c r="E1142" s="59" t="s">
        <v>83</v>
      </c>
      <c r="F1142" s="59" t="s">
        <v>79</v>
      </c>
      <c r="G1142" s="59" t="s">
        <v>80</v>
      </c>
      <c r="H1142" s="273">
        <v>53.0</v>
      </c>
      <c r="I1142" s="274"/>
      <c r="J1142" s="274"/>
      <c r="K1142" s="274"/>
      <c r="L1142" s="274"/>
      <c r="M1142" s="274"/>
      <c r="N1142" s="274"/>
      <c r="P1142" s="276">
        <v>46157.7468865741</v>
      </c>
    </row>
    <row r="1143" ht="15.0" customHeight="1">
      <c r="A1143" s="59" t="s">
        <v>12</v>
      </c>
      <c r="B1143" s="272">
        <v>46157.0</v>
      </c>
      <c r="D1143" s="59" t="s">
        <v>97</v>
      </c>
      <c r="E1143" s="59" t="s">
        <v>110</v>
      </c>
      <c r="F1143" s="59" t="s">
        <v>79</v>
      </c>
      <c r="G1143" s="59" t="s">
        <v>110</v>
      </c>
      <c r="H1143" s="273">
        <v>40.0</v>
      </c>
      <c r="I1143" s="274">
        <v>171442.0</v>
      </c>
      <c r="J1143" s="274">
        <v>180761.0</v>
      </c>
      <c r="K1143" s="274">
        <v>9319.0</v>
      </c>
      <c r="L1143" s="274"/>
      <c r="M1143" s="274"/>
      <c r="N1143" s="274"/>
      <c r="P1143" s="276">
        <v>46157.7474074074</v>
      </c>
    </row>
    <row r="1144" ht="15.0" customHeight="1">
      <c r="A1144" s="59" t="s">
        <v>12</v>
      </c>
      <c r="B1144" s="272">
        <v>46157.0</v>
      </c>
      <c r="D1144" s="46" t="s">
        <v>121</v>
      </c>
      <c r="E1144" s="59" t="s">
        <v>83</v>
      </c>
      <c r="F1144" s="59" t="s">
        <v>79</v>
      </c>
      <c r="G1144" s="59" t="s">
        <v>80</v>
      </c>
      <c r="H1144" s="273">
        <v>328.0</v>
      </c>
      <c r="I1144" s="274">
        <v>1542.0</v>
      </c>
      <c r="J1144" s="274">
        <v>2298.0</v>
      </c>
      <c r="K1144" s="274">
        <v>756.0</v>
      </c>
      <c r="L1144" s="274"/>
      <c r="M1144" s="274"/>
      <c r="N1144" s="274"/>
      <c r="P1144" s="276">
        <v>46158.6337384259</v>
      </c>
    </row>
    <row r="1145" ht="15.0" customHeight="1">
      <c r="A1145" s="59" t="s">
        <v>12</v>
      </c>
      <c r="B1145" s="272">
        <v>46158.0</v>
      </c>
      <c r="D1145" s="59" t="s">
        <v>102</v>
      </c>
      <c r="E1145" s="59" t="s">
        <v>83</v>
      </c>
      <c r="F1145" s="59" t="s">
        <v>79</v>
      </c>
      <c r="G1145" s="59" t="s">
        <v>80</v>
      </c>
      <c r="H1145" s="273">
        <v>220.0</v>
      </c>
      <c r="I1145" s="274">
        <v>251593.0</v>
      </c>
      <c r="J1145" s="274">
        <v>252115.0</v>
      </c>
      <c r="K1145" s="274">
        <v>522.0</v>
      </c>
      <c r="L1145" s="274"/>
      <c r="M1145" s="274"/>
      <c r="N1145" s="274"/>
      <c r="P1145" s="276">
        <v>46158.6343981482</v>
      </c>
    </row>
    <row r="1146" ht="15.0" customHeight="1">
      <c r="A1146" s="59" t="s">
        <v>12</v>
      </c>
      <c r="B1146" s="272">
        <v>46158.0</v>
      </c>
      <c r="D1146" s="59" t="s">
        <v>112</v>
      </c>
      <c r="E1146" s="59" t="s">
        <v>83</v>
      </c>
      <c r="F1146" s="59" t="s">
        <v>79</v>
      </c>
      <c r="G1146" s="59" t="s">
        <v>80</v>
      </c>
      <c r="H1146" s="273">
        <v>251.0</v>
      </c>
      <c r="I1146" s="274">
        <v>96422.0</v>
      </c>
      <c r="J1146" s="274">
        <v>96978.0</v>
      </c>
      <c r="K1146" s="274">
        <v>556.0</v>
      </c>
      <c r="L1146" s="274"/>
      <c r="M1146" s="274"/>
      <c r="N1146" s="274"/>
      <c r="P1146" s="276">
        <v>46158.6381712963</v>
      </c>
    </row>
    <row r="1147" ht="15.0" customHeight="1">
      <c r="A1147" s="59" t="s">
        <v>12</v>
      </c>
      <c r="B1147" s="272">
        <v>46158.0</v>
      </c>
      <c r="D1147" s="59" t="s">
        <v>113</v>
      </c>
      <c r="E1147" s="59" t="s">
        <v>83</v>
      </c>
      <c r="F1147" s="59" t="s">
        <v>79</v>
      </c>
      <c r="G1147" s="59" t="s">
        <v>80</v>
      </c>
      <c r="H1147" s="273">
        <v>236.0</v>
      </c>
      <c r="I1147" s="274">
        <v>168452.0</v>
      </c>
      <c r="J1147" s="274">
        <v>168989.0</v>
      </c>
      <c r="K1147" s="274">
        <v>537.0</v>
      </c>
      <c r="L1147" s="274"/>
      <c r="M1147" s="274"/>
      <c r="N1147" s="274"/>
      <c r="P1147" s="276">
        <v>46158.6391666667</v>
      </c>
    </row>
    <row r="1148" ht="15.0" customHeight="1">
      <c r="A1148" s="59" t="s">
        <v>12</v>
      </c>
      <c r="B1148" s="272">
        <v>46158.0</v>
      </c>
      <c r="D1148" s="59" t="s">
        <v>336</v>
      </c>
      <c r="E1148" s="59" t="s">
        <v>83</v>
      </c>
      <c r="F1148" s="59" t="s">
        <v>79</v>
      </c>
      <c r="G1148" s="59" t="s">
        <v>80</v>
      </c>
      <c r="H1148" s="273">
        <v>210.0</v>
      </c>
      <c r="I1148" s="274">
        <v>267806.0</v>
      </c>
      <c r="J1148" s="274">
        <v>268227.0</v>
      </c>
      <c r="K1148" s="274">
        <v>421.0</v>
      </c>
      <c r="L1148" s="274"/>
      <c r="M1148" s="274"/>
      <c r="N1148" s="274"/>
      <c r="P1148" s="276">
        <v>46158.6396180556</v>
      </c>
    </row>
    <row r="1149" ht="15.0" customHeight="1">
      <c r="A1149" s="59" t="s">
        <v>12</v>
      </c>
      <c r="B1149" s="272">
        <v>46158.0</v>
      </c>
      <c r="D1149" s="59" t="s">
        <v>92</v>
      </c>
      <c r="E1149" s="59" t="s">
        <v>83</v>
      </c>
      <c r="F1149" s="59" t="s">
        <v>79</v>
      </c>
      <c r="G1149" s="59" t="s">
        <v>80</v>
      </c>
      <c r="H1149" s="273">
        <v>265.0</v>
      </c>
      <c r="I1149" s="274">
        <v>238867.0</v>
      </c>
      <c r="J1149" s="274">
        <v>239461.0</v>
      </c>
      <c r="K1149" s="274">
        <v>594.0</v>
      </c>
      <c r="L1149" s="274"/>
      <c r="M1149" s="274"/>
      <c r="N1149" s="274"/>
      <c r="P1149" s="276">
        <v>46158.6460648148</v>
      </c>
    </row>
    <row r="1150" ht="15.0" customHeight="1">
      <c r="A1150" s="59" t="s">
        <v>12</v>
      </c>
      <c r="B1150" s="272">
        <v>46158.0</v>
      </c>
      <c r="D1150" s="59" t="s">
        <v>115</v>
      </c>
      <c r="E1150" s="59" t="s">
        <v>83</v>
      </c>
      <c r="F1150" s="59" t="s">
        <v>79</v>
      </c>
      <c r="G1150" s="59" t="s">
        <v>80</v>
      </c>
      <c r="H1150" s="273">
        <v>433.0</v>
      </c>
      <c r="I1150" s="274">
        <v>9261.0</v>
      </c>
      <c r="J1150" s="274">
        <v>10298.0</v>
      </c>
      <c r="K1150" s="274">
        <v>1037.0</v>
      </c>
      <c r="L1150" s="274"/>
      <c r="M1150" s="274"/>
      <c r="N1150" s="274"/>
      <c r="P1150" s="276">
        <v>46158.6460763889</v>
      </c>
    </row>
    <row r="1151" ht="15.0" customHeight="1">
      <c r="A1151" s="59" t="s">
        <v>12</v>
      </c>
      <c r="B1151" s="272">
        <v>46158.0</v>
      </c>
      <c r="D1151" s="46" t="s">
        <v>104</v>
      </c>
      <c r="E1151" s="59" t="s">
        <v>83</v>
      </c>
      <c r="F1151" s="59" t="s">
        <v>79</v>
      </c>
      <c r="G1151" s="59" t="s">
        <v>80</v>
      </c>
      <c r="H1151" s="273">
        <v>324.0</v>
      </c>
      <c r="I1151" s="274">
        <v>3003.0</v>
      </c>
      <c r="J1151" s="274">
        <v>3567.0</v>
      </c>
      <c r="K1151" s="274">
        <v>564.0</v>
      </c>
      <c r="L1151" s="274"/>
      <c r="M1151" s="274"/>
      <c r="N1151" s="274"/>
      <c r="P1151" s="276">
        <v>46158.646087963</v>
      </c>
    </row>
    <row r="1152" ht="15.0" customHeight="1">
      <c r="A1152" s="59" t="s">
        <v>12</v>
      </c>
      <c r="B1152" s="272">
        <v>46158.0</v>
      </c>
      <c r="D1152" s="59" t="s">
        <v>117</v>
      </c>
      <c r="E1152" s="59" t="s">
        <v>83</v>
      </c>
      <c r="F1152" s="59" t="s">
        <v>79</v>
      </c>
      <c r="G1152" s="59" t="s">
        <v>80</v>
      </c>
      <c r="H1152" s="273">
        <v>168.0</v>
      </c>
      <c r="I1152" s="274">
        <v>8247.0</v>
      </c>
      <c r="J1152" s="274">
        <v>8261.0</v>
      </c>
      <c r="K1152" s="274">
        <v>14.0</v>
      </c>
      <c r="L1152" s="274"/>
      <c r="M1152" s="274"/>
      <c r="N1152" s="274"/>
      <c r="P1152" s="276">
        <v>46158.646099537</v>
      </c>
    </row>
    <row r="1153" ht="15.0" customHeight="1">
      <c r="A1153" s="59" t="s">
        <v>12</v>
      </c>
      <c r="B1153" s="272">
        <v>46158.0</v>
      </c>
      <c r="D1153" s="59" t="s">
        <v>84</v>
      </c>
      <c r="E1153" s="59" t="s">
        <v>83</v>
      </c>
      <c r="F1153" s="59" t="s">
        <v>79</v>
      </c>
      <c r="G1153" s="59" t="s">
        <v>80</v>
      </c>
      <c r="H1153" s="273">
        <v>467.0</v>
      </c>
      <c r="I1153" s="274">
        <v>43543.0</v>
      </c>
      <c r="J1153" s="274">
        <v>44451.0</v>
      </c>
      <c r="K1153" s="274">
        <v>908.0</v>
      </c>
      <c r="L1153" s="274"/>
      <c r="M1153" s="274"/>
      <c r="N1153" s="274"/>
      <c r="P1153" s="276">
        <v>46158.6461111111</v>
      </c>
    </row>
    <row r="1154" ht="15.0" customHeight="1">
      <c r="A1154" s="59" t="s">
        <v>12</v>
      </c>
      <c r="B1154" s="272">
        <v>46158.0</v>
      </c>
      <c r="D1154" s="59" t="s">
        <v>130</v>
      </c>
      <c r="E1154" s="59" t="s">
        <v>83</v>
      </c>
      <c r="F1154" s="59" t="s">
        <v>79</v>
      </c>
      <c r="G1154" s="59" t="s">
        <v>80</v>
      </c>
      <c r="H1154" s="273">
        <v>143.0</v>
      </c>
      <c r="I1154" s="274"/>
      <c r="J1154" s="274"/>
      <c r="K1154" s="274"/>
      <c r="L1154" s="274"/>
      <c r="M1154" s="274"/>
      <c r="N1154" s="274"/>
      <c r="O1154" s="59" t="s">
        <v>570</v>
      </c>
      <c r="P1154" s="276">
        <v>46158.6461226852</v>
      </c>
    </row>
    <row r="1155" ht="15.0" customHeight="1">
      <c r="A1155" s="59" t="s">
        <v>12</v>
      </c>
      <c r="B1155" s="272">
        <v>46158.0</v>
      </c>
      <c r="D1155" s="59" t="s">
        <v>97</v>
      </c>
      <c r="E1155" s="59" t="s">
        <v>83</v>
      </c>
      <c r="F1155" s="59" t="s">
        <v>79</v>
      </c>
      <c r="G1155" s="59" t="s">
        <v>80</v>
      </c>
      <c r="H1155" s="273">
        <v>190.0</v>
      </c>
      <c r="I1155" s="274">
        <v>180588.0</v>
      </c>
      <c r="J1155" s="274">
        <v>180791.0</v>
      </c>
      <c r="K1155" s="274">
        <v>203.0</v>
      </c>
      <c r="L1155" s="274"/>
      <c r="M1155" s="274"/>
      <c r="N1155" s="274"/>
      <c r="P1155" s="276">
        <v>46160.6978472222</v>
      </c>
    </row>
    <row r="1156" ht="15.0" customHeight="1">
      <c r="A1156" s="59" t="s">
        <v>12</v>
      </c>
      <c r="B1156" s="272">
        <v>46160.0</v>
      </c>
      <c r="D1156" s="59" t="s">
        <v>101</v>
      </c>
      <c r="E1156" s="59" t="s">
        <v>83</v>
      </c>
      <c r="F1156" s="59" t="s">
        <v>79</v>
      </c>
      <c r="G1156" s="59" t="s">
        <v>80</v>
      </c>
      <c r="H1156" s="273">
        <v>220.0</v>
      </c>
      <c r="I1156" s="274">
        <v>113126.0</v>
      </c>
      <c r="J1156" s="274">
        <v>113619.0</v>
      </c>
      <c r="K1156" s="274">
        <v>493.0</v>
      </c>
      <c r="L1156" s="274"/>
      <c r="M1156" s="274"/>
      <c r="N1156" s="274"/>
      <c r="P1156" s="276">
        <v>46160.6986689815</v>
      </c>
    </row>
    <row r="1157" ht="15.0" customHeight="1">
      <c r="A1157" s="59" t="s">
        <v>12</v>
      </c>
      <c r="B1157" s="272">
        <v>46159.0</v>
      </c>
      <c r="D1157" s="59" t="s">
        <v>138</v>
      </c>
      <c r="E1157" s="59" t="s">
        <v>83</v>
      </c>
      <c r="F1157" s="59" t="s">
        <v>79</v>
      </c>
      <c r="G1157" s="59" t="s">
        <v>80</v>
      </c>
      <c r="H1157" s="273">
        <v>230.0</v>
      </c>
      <c r="I1157" s="274">
        <v>102894.0</v>
      </c>
      <c r="J1157" s="274">
        <v>103413.0</v>
      </c>
      <c r="K1157" s="274">
        <v>519.0</v>
      </c>
      <c r="L1157" s="274"/>
      <c r="M1157" s="274"/>
      <c r="N1157" s="274"/>
      <c r="P1157" s="276">
        <v>46160.7030671296</v>
      </c>
    </row>
    <row r="1158" ht="15.0" customHeight="1">
      <c r="A1158" s="59" t="s">
        <v>12</v>
      </c>
      <c r="B1158" s="272">
        <v>46159.0</v>
      </c>
      <c r="D1158" s="59" t="s">
        <v>98</v>
      </c>
      <c r="E1158" s="59" t="s">
        <v>83</v>
      </c>
      <c r="F1158" s="59" t="s">
        <v>79</v>
      </c>
      <c r="G1158" s="59" t="s">
        <v>80</v>
      </c>
      <c r="H1158" s="273">
        <v>177.0</v>
      </c>
      <c r="I1158" s="274">
        <v>163252.0</v>
      </c>
      <c r="J1158" s="274">
        <v>163670.0</v>
      </c>
      <c r="K1158" s="274">
        <v>418.0</v>
      </c>
      <c r="L1158" s="274"/>
      <c r="M1158" s="274"/>
      <c r="N1158" s="274"/>
      <c r="P1158" s="276">
        <v>46160.7030787037</v>
      </c>
    </row>
    <row r="1159" ht="15.0" customHeight="1">
      <c r="A1159" s="59" t="s">
        <v>12</v>
      </c>
      <c r="B1159" s="272">
        <v>46159.0</v>
      </c>
      <c r="D1159" s="59" t="s">
        <v>145</v>
      </c>
      <c r="E1159" s="59" t="s">
        <v>83</v>
      </c>
      <c r="F1159" s="59" t="s">
        <v>79</v>
      </c>
      <c r="G1159" s="59" t="s">
        <v>80</v>
      </c>
      <c r="H1159" s="273">
        <v>237.0</v>
      </c>
      <c r="I1159" s="274">
        <v>262544.0</v>
      </c>
      <c r="J1159" s="274">
        <v>263030.0</v>
      </c>
      <c r="K1159" s="274">
        <v>486.0</v>
      </c>
      <c r="L1159" s="274"/>
      <c r="M1159" s="274"/>
      <c r="N1159" s="274"/>
      <c r="P1159" s="276">
        <v>46160.7030902778</v>
      </c>
    </row>
    <row r="1160" ht="15.0" customHeight="1">
      <c r="A1160" s="59" t="s">
        <v>12</v>
      </c>
      <c r="B1160" s="272">
        <v>46159.0</v>
      </c>
      <c r="D1160" s="59" t="s">
        <v>89</v>
      </c>
      <c r="E1160" s="59" t="s">
        <v>83</v>
      </c>
      <c r="F1160" s="59" t="s">
        <v>79</v>
      </c>
      <c r="G1160" s="59" t="s">
        <v>80</v>
      </c>
      <c r="H1160" s="273">
        <v>504.0</v>
      </c>
      <c r="I1160" s="274">
        <v>4013.0</v>
      </c>
      <c r="J1160" s="274">
        <v>5006.0</v>
      </c>
      <c r="K1160" s="274">
        <v>993.0</v>
      </c>
      <c r="L1160" s="274"/>
      <c r="M1160" s="274"/>
      <c r="N1160" s="274"/>
      <c r="P1160" s="276">
        <v>46160.7031018519</v>
      </c>
    </row>
    <row r="1161" ht="15.0" customHeight="1">
      <c r="A1161" s="59" t="s">
        <v>12</v>
      </c>
      <c r="B1161" s="272">
        <v>46159.0</v>
      </c>
      <c r="D1161" s="59" t="s">
        <v>123</v>
      </c>
      <c r="E1161" s="59" t="s">
        <v>83</v>
      </c>
      <c r="F1161" s="59" t="s">
        <v>79</v>
      </c>
      <c r="G1161" s="59" t="s">
        <v>80</v>
      </c>
      <c r="H1161" s="273">
        <v>488.0</v>
      </c>
      <c r="I1161" s="274"/>
      <c r="J1161" s="274">
        <v>195203.0</v>
      </c>
      <c r="K1161" s="274"/>
      <c r="L1161" s="274"/>
      <c r="M1161" s="274"/>
      <c r="N1161" s="274"/>
      <c r="P1161" s="276">
        <v>46160.7031134259</v>
      </c>
    </row>
    <row r="1162" ht="15.0" customHeight="1">
      <c r="A1162" s="59" t="s">
        <v>12</v>
      </c>
      <c r="B1162" s="272">
        <v>46159.0</v>
      </c>
      <c r="D1162" s="59" t="s">
        <v>130</v>
      </c>
      <c r="E1162" s="59" t="s">
        <v>110</v>
      </c>
      <c r="F1162" s="59" t="s">
        <v>79</v>
      </c>
      <c r="G1162" s="59" t="s">
        <v>110</v>
      </c>
      <c r="H1162" s="273">
        <v>30.0</v>
      </c>
      <c r="I1162" s="274"/>
      <c r="J1162" s="274"/>
      <c r="K1162" s="274"/>
      <c r="L1162" s="274"/>
      <c r="M1162" s="274"/>
      <c r="N1162" s="274"/>
      <c r="O1162" s="59" t="s">
        <v>571</v>
      </c>
      <c r="P1162" s="276">
        <v>46160.703125</v>
      </c>
    </row>
    <row r="1163" ht="15.0" customHeight="1">
      <c r="A1163" s="59" t="s">
        <v>12</v>
      </c>
      <c r="B1163" s="272">
        <v>46160.0</v>
      </c>
      <c r="D1163" s="59" t="s">
        <v>114</v>
      </c>
      <c r="E1163" s="59" t="s">
        <v>83</v>
      </c>
      <c r="F1163" s="59" t="s">
        <v>79</v>
      </c>
      <c r="G1163" s="59" t="s">
        <v>80</v>
      </c>
      <c r="H1163" s="273">
        <v>260.0</v>
      </c>
      <c r="I1163" s="274">
        <v>271973.0</v>
      </c>
      <c r="J1163" s="274">
        <v>272551.0</v>
      </c>
      <c r="K1163" s="274">
        <v>578.0</v>
      </c>
      <c r="L1163" s="274"/>
      <c r="M1163" s="274"/>
      <c r="N1163" s="274"/>
      <c r="P1163" s="276">
        <v>46160.7038078704</v>
      </c>
    </row>
    <row r="1164" ht="15.0" customHeight="1">
      <c r="A1164" s="59" t="s">
        <v>12</v>
      </c>
      <c r="B1164" s="272">
        <v>46159.0</v>
      </c>
      <c r="D1164" s="59" t="s">
        <v>103</v>
      </c>
      <c r="E1164" s="59" t="s">
        <v>83</v>
      </c>
      <c r="F1164" s="59" t="s">
        <v>79</v>
      </c>
      <c r="G1164" s="59" t="s">
        <v>80</v>
      </c>
      <c r="H1164" s="273">
        <v>160.0</v>
      </c>
      <c r="I1164" s="274">
        <v>4200.0</v>
      </c>
      <c r="J1164" s="274">
        <v>4213.0</v>
      </c>
      <c r="K1164" s="274">
        <v>13.0</v>
      </c>
      <c r="L1164" s="274"/>
      <c r="M1164" s="274"/>
      <c r="N1164" s="274"/>
      <c r="P1164" s="276">
        <v>46160.704525463</v>
      </c>
    </row>
    <row r="1165" ht="15.0" customHeight="1">
      <c r="A1165" s="59" t="s">
        <v>12</v>
      </c>
      <c r="B1165" s="272">
        <v>46160.0</v>
      </c>
      <c r="D1165" s="46" t="s">
        <v>148</v>
      </c>
      <c r="E1165" s="59" t="s">
        <v>83</v>
      </c>
      <c r="F1165" s="59" t="s">
        <v>79</v>
      </c>
      <c r="G1165" s="59" t="s">
        <v>80</v>
      </c>
      <c r="H1165" s="273">
        <v>326.0</v>
      </c>
      <c r="I1165" s="274">
        <v>2714.0</v>
      </c>
      <c r="J1165" s="274">
        <v>3325.0</v>
      </c>
      <c r="K1165" s="274">
        <v>611.0</v>
      </c>
      <c r="L1165" s="274"/>
      <c r="M1165" s="274"/>
      <c r="N1165" s="274"/>
      <c r="P1165" s="276">
        <v>46160.7075347222</v>
      </c>
    </row>
    <row r="1166" ht="15.0" customHeight="1">
      <c r="A1166" s="59" t="s">
        <v>12</v>
      </c>
      <c r="B1166" s="272">
        <v>46160.0</v>
      </c>
      <c r="D1166" s="59" t="s">
        <v>96</v>
      </c>
      <c r="E1166" s="59" t="s">
        <v>83</v>
      </c>
      <c r="F1166" s="59" t="s">
        <v>79</v>
      </c>
      <c r="G1166" s="59" t="s">
        <v>80</v>
      </c>
      <c r="H1166" s="273">
        <v>330.0</v>
      </c>
      <c r="I1166" s="274">
        <v>73807.0</v>
      </c>
      <c r="J1166" s="274">
        <v>74593.0</v>
      </c>
      <c r="K1166" s="274">
        <v>786.0</v>
      </c>
      <c r="L1166" s="274"/>
      <c r="M1166" s="274"/>
      <c r="N1166" s="274"/>
      <c r="P1166" s="276">
        <v>46160.7075462963</v>
      </c>
    </row>
    <row r="1167" ht="15.0" customHeight="1">
      <c r="A1167" s="59" t="s">
        <v>12</v>
      </c>
      <c r="B1167" s="272">
        <v>46160.0</v>
      </c>
      <c r="D1167" s="59" t="s">
        <v>99</v>
      </c>
      <c r="E1167" s="59" t="s">
        <v>83</v>
      </c>
      <c r="F1167" s="59" t="s">
        <v>79</v>
      </c>
      <c r="G1167" s="59" t="s">
        <v>80</v>
      </c>
      <c r="H1167" s="273">
        <v>400.0</v>
      </c>
      <c r="I1167" s="274">
        <v>147433.0</v>
      </c>
      <c r="J1167" s="274">
        <v>148314.0</v>
      </c>
      <c r="K1167" s="274">
        <v>881.0</v>
      </c>
      <c r="L1167" s="274"/>
      <c r="M1167" s="274"/>
      <c r="N1167" s="274"/>
      <c r="P1167" s="276">
        <v>46160.7075694444</v>
      </c>
    </row>
    <row r="1168" ht="15.0" customHeight="1">
      <c r="A1168" s="59" t="s">
        <v>12</v>
      </c>
      <c r="B1168" s="272">
        <v>46160.0</v>
      </c>
      <c r="D1168" s="59" t="s">
        <v>100</v>
      </c>
      <c r="E1168" s="59" t="s">
        <v>83</v>
      </c>
      <c r="F1168" s="59" t="s">
        <v>79</v>
      </c>
      <c r="G1168" s="59" t="s">
        <v>80</v>
      </c>
      <c r="H1168" s="273">
        <v>340.0</v>
      </c>
      <c r="I1168" s="274">
        <v>402479.0</v>
      </c>
      <c r="J1168" s="274">
        <v>403265.0</v>
      </c>
      <c r="K1168" s="274">
        <v>786.0</v>
      </c>
      <c r="L1168" s="274"/>
      <c r="M1168" s="274"/>
      <c r="N1168" s="274"/>
      <c r="P1168" s="276">
        <v>46160.7075810185</v>
      </c>
    </row>
    <row r="1169" ht="15.0" customHeight="1">
      <c r="A1169" s="59" t="s">
        <v>12</v>
      </c>
      <c r="B1169" s="272">
        <v>46160.0</v>
      </c>
      <c r="D1169" s="59" t="s">
        <v>158</v>
      </c>
      <c r="E1169" s="59" t="s">
        <v>83</v>
      </c>
      <c r="F1169" s="59" t="s">
        <v>79</v>
      </c>
      <c r="G1169" s="59" t="s">
        <v>80</v>
      </c>
      <c r="H1169" s="273">
        <v>187.0</v>
      </c>
      <c r="I1169" s="274">
        <v>247018.0</v>
      </c>
      <c r="J1169" s="274">
        <v>247571.0</v>
      </c>
      <c r="K1169" s="274">
        <v>553.0</v>
      </c>
      <c r="L1169" s="274"/>
      <c r="M1169" s="274"/>
      <c r="N1169" s="274"/>
      <c r="P1169" s="276">
        <v>46160.7075925926</v>
      </c>
    </row>
    <row r="1170" ht="15.0" customHeight="1">
      <c r="A1170" s="59" t="s">
        <v>12</v>
      </c>
      <c r="B1170" s="272">
        <v>46159.0</v>
      </c>
      <c r="D1170" s="59" t="s">
        <v>82</v>
      </c>
      <c r="E1170" s="59" t="s">
        <v>83</v>
      </c>
      <c r="F1170" s="59" t="s">
        <v>79</v>
      </c>
      <c r="G1170" s="59" t="s">
        <v>80</v>
      </c>
      <c r="H1170" s="273">
        <v>280.0</v>
      </c>
      <c r="I1170" s="274">
        <v>90400.0</v>
      </c>
      <c r="J1170" s="274">
        <v>91024.0</v>
      </c>
      <c r="K1170" s="274">
        <v>624.0</v>
      </c>
      <c r="L1170" s="274"/>
      <c r="M1170" s="274"/>
      <c r="N1170" s="274"/>
      <c r="P1170" s="276">
        <v>46160.7082060185</v>
      </c>
    </row>
    <row r="1171" ht="15.0" customHeight="1">
      <c r="A1171" s="59" t="s">
        <v>16</v>
      </c>
      <c r="B1171" s="272">
        <v>46160.0</v>
      </c>
      <c r="E1171" s="59" t="s">
        <v>141</v>
      </c>
      <c r="F1171" s="59" t="s">
        <v>565</v>
      </c>
      <c r="G1171" s="59" t="s">
        <v>80</v>
      </c>
      <c r="H1171" s="273">
        <v>15225.0</v>
      </c>
      <c r="I1171" s="274"/>
      <c r="J1171" s="274"/>
      <c r="K1171" s="274"/>
      <c r="L1171" s="274" t="s">
        <v>140</v>
      </c>
      <c r="M1171" s="274">
        <v>27220.0</v>
      </c>
      <c r="N1171" s="274">
        <v>4.144245E8</v>
      </c>
      <c r="P1171" s="276">
        <v>46160.7114351852</v>
      </c>
    </row>
    <row r="1172" ht="15.0" customHeight="1">
      <c r="A1172" s="59" t="s">
        <v>12</v>
      </c>
      <c r="B1172" s="272">
        <v>46160.0</v>
      </c>
      <c r="D1172" s="59" t="s">
        <v>118</v>
      </c>
      <c r="E1172" s="59" t="s">
        <v>83</v>
      </c>
      <c r="F1172" s="59" t="s">
        <v>79</v>
      </c>
      <c r="G1172" s="59" t="s">
        <v>80</v>
      </c>
      <c r="H1172" s="273">
        <v>450.0</v>
      </c>
      <c r="I1172" s="274">
        <v>146244.0</v>
      </c>
      <c r="J1172" s="274">
        <v>147275.0</v>
      </c>
      <c r="K1172" s="274">
        <v>1031.0</v>
      </c>
      <c r="L1172" s="274"/>
      <c r="M1172" s="274"/>
      <c r="N1172" s="274"/>
      <c r="P1172" s="276">
        <v>46160.7161574074</v>
      </c>
    </row>
    <row r="1173" ht="15.0" customHeight="1">
      <c r="A1173" s="59" t="s">
        <v>12</v>
      </c>
      <c r="B1173" s="272">
        <v>46161.0</v>
      </c>
      <c r="D1173" s="46" t="s">
        <v>129</v>
      </c>
      <c r="E1173" s="59" t="s">
        <v>83</v>
      </c>
      <c r="F1173" s="59" t="s">
        <v>79</v>
      </c>
      <c r="G1173" s="59" t="s">
        <v>80</v>
      </c>
      <c r="H1173" s="273">
        <v>227.0</v>
      </c>
      <c r="I1173" s="274">
        <v>4687.0</v>
      </c>
      <c r="J1173" s="274">
        <v>5215.0</v>
      </c>
      <c r="K1173" s="274">
        <v>528.0</v>
      </c>
      <c r="L1173" s="274"/>
      <c r="M1173" s="274"/>
      <c r="N1173" s="274"/>
      <c r="P1173" s="276">
        <v>46162.2955787037</v>
      </c>
    </row>
    <row r="1174" ht="15.0" customHeight="1">
      <c r="A1174" s="59" t="s">
        <v>12</v>
      </c>
      <c r="B1174" s="272">
        <v>46161.0</v>
      </c>
      <c r="D1174" s="59" t="s">
        <v>116</v>
      </c>
      <c r="E1174" s="59" t="s">
        <v>83</v>
      </c>
      <c r="F1174" s="59" t="s">
        <v>79</v>
      </c>
      <c r="G1174" s="59" t="s">
        <v>80</v>
      </c>
      <c r="H1174" s="273">
        <v>333.0</v>
      </c>
      <c r="I1174" s="274">
        <v>73887.0</v>
      </c>
      <c r="J1174" s="274">
        <v>74582.0</v>
      </c>
      <c r="K1174" s="274">
        <v>695.0</v>
      </c>
      <c r="L1174" s="274"/>
      <c r="M1174" s="274"/>
      <c r="N1174" s="274"/>
      <c r="P1174" s="276">
        <v>46162.2955902778</v>
      </c>
    </row>
    <row r="1175" ht="15.0" customHeight="1">
      <c r="A1175" s="59" t="s">
        <v>12</v>
      </c>
      <c r="B1175" s="272">
        <v>46161.0</v>
      </c>
      <c r="D1175" s="59" t="s">
        <v>117</v>
      </c>
      <c r="E1175" s="59" t="s">
        <v>83</v>
      </c>
      <c r="F1175" s="59" t="s">
        <v>79</v>
      </c>
      <c r="G1175" s="59" t="s">
        <v>80</v>
      </c>
      <c r="H1175" s="273">
        <v>153.0</v>
      </c>
      <c r="I1175" s="274">
        <v>8261.0</v>
      </c>
      <c r="J1175" s="274">
        <v>8274.0</v>
      </c>
      <c r="K1175" s="274">
        <v>13.0</v>
      </c>
      <c r="L1175" s="274"/>
      <c r="M1175" s="274"/>
      <c r="N1175" s="274"/>
      <c r="P1175" s="276">
        <v>46162.2956018519</v>
      </c>
    </row>
    <row r="1176" ht="15.0" customHeight="1">
      <c r="A1176" s="59" t="s">
        <v>12</v>
      </c>
      <c r="B1176" s="272">
        <v>46161.0</v>
      </c>
      <c r="D1176" s="59" t="s">
        <v>117</v>
      </c>
      <c r="E1176" s="59" t="s">
        <v>110</v>
      </c>
      <c r="F1176" s="59" t="s">
        <v>79</v>
      </c>
      <c r="G1176" s="59" t="s">
        <v>110</v>
      </c>
      <c r="H1176" s="273">
        <v>5.0</v>
      </c>
      <c r="I1176" s="274"/>
      <c r="J1176" s="274"/>
      <c r="K1176" s="274"/>
      <c r="L1176" s="274"/>
      <c r="M1176" s="274"/>
      <c r="N1176" s="274"/>
      <c r="O1176" s="59" t="s">
        <v>572</v>
      </c>
      <c r="P1176" s="276">
        <v>46162.2956134259</v>
      </c>
    </row>
    <row r="1177" ht="15.0" customHeight="1">
      <c r="A1177" s="59" t="s">
        <v>12</v>
      </c>
      <c r="B1177" s="272">
        <v>46161.0</v>
      </c>
      <c r="D1177" s="59" t="s">
        <v>84</v>
      </c>
      <c r="E1177" s="59" t="s">
        <v>83</v>
      </c>
      <c r="F1177" s="59" t="s">
        <v>79</v>
      </c>
      <c r="G1177" s="59" t="s">
        <v>80</v>
      </c>
      <c r="H1177" s="273">
        <v>49.0</v>
      </c>
      <c r="I1177" s="274"/>
      <c r="J1177" s="274"/>
      <c r="K1177" s="274"/>
      <c r="L1177" s="274"/>
      <c r="M1177" s="274"/>
      <c r="N1177" s="274"/>
      <c r="O1177" s="59" t="s">
        <v>124</v>
      </c>
      <c r="P1177" s="276">
        <v>46162.295625</v>
      </c>
    </row>
    <row r="1178" ht="15.0" customHeight="1">
      <c r="A1178" s="59" t="s">
        <v>12</v>
      </c>
      <c r="B1178" s="272">
        <v>46161.0</v>
      </c>
      <c r="D1178" s="59" t="s">
        <v>86</v>
      </c>
      <c r="E1178" s="59" t="s">
        <v>83</v>
      </c>
      <c r="F1178" s="59" t="s">
        <v>79</v>
      </c>
      <c r="G1178" s="59" t="s">
        <v>80</v>
      </c>
      <c r="H1178" s="273">
        <v>265.0</v>
      </c>
      <c r="I1178" s="274">
        <v>187122.0</v>
      </c>
      <c r="J1178" s="274">
        <v>188094.0</v>
      </c>
      <c r="K1178" s="274">
        <v>972.0</v>
      </c>
      <c r="L1178" s="274"/>
      <c r="M1178" s="274"/>
      <c r="N1178" s="274"/>
      <c r="P1178" s="276">
        <v>46162.2956365741</v>
      </c>
    </row>
    <row r="1179" ht="15.0" customHeight="1">
      <c r="A1179" s="59" t="s">
        <v>12</v>
      </c>
      <c r="B1179" s="272">
        <v>46161.0</v>
      </c>
      <c r="D1179" s="46" t="s">
        <v>132</v>
      </c>
      <c r="E1179" s="59" t="s">
        <v>83</v>
      </c>
      <c r="F1179" s="59" t="s">
        <v>79</v>
      </c>
      <c r="G1179" s="59" t="s">
        <v>80</v>
      </c>
      <c r="H1179" s="273">
        <v>222.0</v>
      </c>
      <c r="I1179" s="274">
        <v>3888.0</v>
      </c>
      <c r="J1179" s="274">
        <v>4298.0</v>
      </c>
      <c r="K1179" s="274">
        <v>410.0</v>
      </c>
      <c r="L1179" s="274"/>
      <c r="M1179" s="274"/>
      <c r="N1179" s="274"/>
      <c r="P1179" s="276">
        <v>46162.2956481481</v>
      </c>
    </row>
    <row r="1180" ht="15.0" customHeight="1">
      <c r="A1180" s="59" t="s">
        <v>12</v>
      </c>
      <c r="B1180" s="272">
        <v>46161.0</v>
      </c>
      <c r="D1180" s="59" t="s">
        <v>119</v>
      </c>
      <c r="E1180" s="59" t="s">
        <v>110</v>
      </c>
      <c r="F1180" s="59" t="s">
        <v>79</v>
      </c>
      <c r="G1180" s="59" t="s">
        <v>110</v>
      </c>
      <c r="H1180" s="273">
        <v>10.0</v>
      </c>
      <c r="I1180" s="274"/>
      <c r="J1180" s="274"/>
      <c r="K1180" s="274"/>
      <c r="L1180" s="274"/>
      <c r="M1180" s="274"/>
      <c r="N1180" s="274"/>
      <c r="O1180" s="59" t="s">
        <v>572</v>
      </c>
      <c r="P1180" s="276">
        <v>46162.2956597222</v>
      </c>
    </row>
    <row r="1181" ht="15.0" customHeight="1">
      <c r="A1181" s="59" t="s">
        <v>16</v>
      </c>
      <c r="B1181" s="272">
        <v>46162.0</v>
      </c>
      <c r="E1181" s="59" t="s">
        <v>78</v>
      </c>
      <c r="F1181" s="59" t="s">
        <v>565</v>
      </c>
      <c r="G1181" s="59" t="s">
        <v>80</v>
      </c>
      <c r="H1181" s="273">
        <v>8134.0</v>
      </c>
      <c r="I1181" s="274"/>
      <c r="J1181" s="274"/>
      <c r="K1181" s="274"/>
      <c r="L1181" s="274" t="s">
        <v>140</v>
      </c>
      <c r="M1181" s="274">
        <v>27420.0</v>
      </c>
      <c r="N1181" s="274">
        <v>2.2303428E8</v>
      </c>
      <c r="O1181" s="59" t="s">
        <v>573</v>
      </c>
      <c r="P1181" s="276">
        <v>46163.2784490741</v>
      </c>
    </row>
    <row r="1182" ht="15.0" customHeight="1">
      <c r="A1182" s="59" t="s">
        <v>16</v>
      </c>
      <c r="B1182" s="272">
        <v>46162.0</v>
      </c>
      <c r="E1182" s="59" t="s">
        <v>141</v>
      </c>
      <c r="F1182" s="59" t="s">
        <v>565</v>
      </c>
      <c r="G1182" s="59" t="s">
        <v>80</v>
      </c>
      <c r="H1182" s="273">
        <v>13666.0</v>
      </c>
      <c r="I1182" s="274"/>
      <c r="J1182" s="274"/>
      <c r="K1182" s="274"/>
      <c r="L1182" s="274" t="s">
        <v>140</v>
      </c>
      <c r="M1182" s="274">
        <v>27420.0</v>
      </c>
      <c r="N1182" s="274">
        <v>3.7472172E8</v>
      </c>
      <c r="O1182" s="59" t="s">
        <v>573</v>
      </c>
      <c r="P1182" s="276">
        <v>46163.2784606482</v>
      </c>
    </row>
    <row r="1183" ht="15.0" customHeight="1">
      <c r="A1183" s="59" t="s">
        <v>12</v>
      </c>
      <c r="B1183" s="272">
        <v>46162.0</v>
      </c>
      <c r="D1183" s="59" t="s">
        <v>115</v>
      </c>
      <c r="E1183" s="59" t="s">
        <v>83</v>
      </c>
      <c r="F1183" s="59" t="s">
        <v>79</v>
      </c>
      <c r="G1183" s="59" t="s">
        <v>80</v>
      </c>
      <c r="H1183" s="273">
        <v>420.0</v>
      </c>
      <c r="I1183" s="274">
        <v>10298.0</v>
      </c>
      <c r="J1183" s="274">
        <v>11409.0</v>
      </c>
      <c r="K1183" s="274">
        <v>1111.0</v>
      </c>
      <c r="L1183" s="274"/>
      <c r="M1183" s="274"/>
      <c r="N1183" s="274"/>
      <c r="P1183" s="276">
        <v>46163.2941087963</v>
      </c>
    </row>
    <row r="1184" ht="15.0" customHeight="1">
      <c r="A1184" s="59" t="s">
        <v>12</v>
      </c>
      <c r="B1184" s="272">
        <v>46162.0</v>
      </c>
      <c r="D1184" s="59" t="s">
        <v>77</v>
      </c>
      <c r="E1184" s="59" t="s">
        <v>83</v>
      </c>
      <c r="F1184" s="59" t="s">
        <v>79</v>
      </c>
      <c r="G1184" s="59" t="s">
        <v>80</v>
      </c>
      <c r="H1184" s="273">
        <v>480.0</v>
      </c>
      <c r="I1184" s="274">
        <v>21729.0</v>
      </c>
      <c r="J1184" s="274">
        <v>22770.0</v>
      </c>
      <c r="K1184" s="274">
        <v>1041.0</v>
      </c>
      <c r="L1184" s="274"/>
      <c r="M1184" s="274"/>
      <c r="N1184" s="274"/>
      <c r="P1184" s="276">
        <v>46163.2941203704</v>
      </c>
    </row>
    <row r="1185" ht="15.0" customHeight="1">
      <c r="A1185" s="59" t="s">
        <v>12</v>
      </c>
      <c r="B1185" s="272">
        <v>46162.0</v>
      </c>
      <c r="D1185" s="59" t="s">
        <v>82</v>
      </c>
      <c r="E1185" s="59" t="s">
        <v>83</v>
      </c>
      <c r="F1185" s="59" t="s">
        <v>79</v>
      </c>
      <c r="G1185" s="59" t="s">
        <v>80</v>
      </c>
      <c r="H1185" s="273">
        <v>332.0</v>
      </c>
      <c r="I1185" s="274">
        <v>91024.0</v>
      </c>
      <c r="J1185" s="274">
        <v>91767.0</v>
      </c>
      <c r="K1185" s="274">
        <v>743.0</v>
      </c>
      <c r="L1185" s="274"/>
      <c r="M1185" s="274"/>
      <c r="N1185" s="274"/>
      <c r="P1185" s="276">
        <v>46163.2941319444</v>
      </c>
    </row>
    <row r="1186" ht="15.0" customHeight="1">
      <c r="A1186" s="59" t="s">
        <v>12</v>
      </c>
      <c r="B1186" s="272">
        <v>46162.0</v>
      </c>
      <c r="D1186" s="59" t="s">
        <v>97</v>
      </c>
      <c r="E1186" s="59" t="s">
        <v>83</v>
      </c>
      <c r="F1186" s="59" t="s">
        <v>79</v>
      </c>
      <c r="G1186" s="59" t="s">
        <v>80</v>
      </c>
      <c r="H1186" s="273">
        <v>197.0</v>
      </c>
      <c r="I1186" s="274">
        <v>180791.0</v>
      </c>
      <c r="J1186" s="274">
        <v>181018.0</v>
      </c>
      <c r="K1186" s="274">
        <v>227.0</v>
      </c>
      <c r="L1186" s="274"/>
      <c r="M1186" s="274"/>
      <c r="N1186" s="274"/>
      <c r="P1186" s="276">
        <v>46163.2941435185</v>
      </c>
    </row>
    <row r="1187" ht="15.0" customHeight="1">
      <c r="A1187" s="59" t="s">
        <v>12</v>
      </c>
      <c r="B1187" s="272">
        <v>46162.0</v>
      </c>
      <c r="D1187" s="46" t="s">
        <v>122</v>
      </c>
      <c r="E1187" s="59" t="s">
        <v>83</v>
      </c>
      <c r="F1187" s="59" t="s">
        <v>79</v>
      </c>
      <c r="G1187" s="59" t="s">
        <v>80</v>
      </c>
      <c r="H1187" s="273">
        <v>298.0</v>
      </c>
      <c r="I1187" s="274">
        <v>4169.0</v>
      </c>
      <c r="J1187" s="274">
        <v>4813.0</v>
      </c>
      <c r="K1187" s="274">
        <v>644.0</v>
      </c>
      <c r="L1187" s="274"/>
      <c r="M1187" s="274"/>
      <c r="N1187" s="274"/>
      <c r="P1187" s="276">
        <v>46163.2941550926</v>
      </c>
    </row>
    <row r="1188" ht="15.0" customHeight="1">
      <c r="A1188" s="59" t="s">
        <v>12</v>
      </c>
      <c r="B1188" s="272">
        <v>46162.0</v>
      </c>
      <c r="D1188" s="59" t="s">
        <v>91</v>
      </c>
      <c r="E1188" s="59" t="s">
        <v>83</v>
      </c>
      <c r="F1188" s="59" t="s">
        <v>79</v>
      </c>
      <c r="G1188" s="59" t="s">
        <v>80</v>
      </c>
      <c r="H1188" s="273">
        <v>42.0</v>
      </c>
      <c r="I1188" s="274">
        <v>10575.0</v>
      </c>
      <c r="J1188" s="274">
        <v>11305.0</v>
      </c>
      <c r="K1188" s="274">
        <v>730.0</v>
      </c>
      <c r="L1188" s="274"/>
      <c r="M1188" s="274"/>
      <c r="N1188" s="274"/>
      <c r="P1188" s="276">
        <v>46163.2941666667</v>
      </c>
    </row>
    <row r="1189" ht="15.0" customHeight="1">
      <c r="A1189" s="59" t="s">
        <v>12</v>
      </c>
      <c r="B1189" s="272">
        <v>46162.0</v>
      </c>
      <c r="D1189" s="59" t="s">
        <v>136</v>
      </c>
      <c r="E1189" s="59" t="s">
        <v>83</v>
      </c>
      <c r="F1189" s="59" t="s">
        <v>79</v>
      </c>
      <c r="G1189" s="59" t="s">
        <v>80</v>
      </c>
      <c r="H1189" s="273">
        <v>48.0</v>
      </c>
      <c r="I1189" s="274">
        <v>316493.0</v>
      </c>
      <c r="J1189" s="274">
        <v>317002.0</v>
      </c>
      <c r="K1189" s="274">
        <v>509.0</v>
      </c>
      <c r="L1189" s="274"/>
      <c r="M1189" s="274"/>
      <c r="N1189" s="274"/>
      <c r="P1189" s="276">
        <v>46163.2941782407</v>
      </c>
    </row>
    <row r="1190" ht="15.0" customHeight="1">
      <c r="A1190" s="59" t="s">
        <v>12</v>
      </c>
      <c r="B1190" s="272">
        <v>46162.0</v>
      </c>
      <c r="D1190" s="59" t="s">
        <v>118</v>
      </c>
      <c r="E1190" s="59" t="s">
        <v>110</v>
      </c>
      <c r="F1190" s="59" t="s">
        <v>79</v>
      </c>
      <c r="G1190" s="59" t="s">
        <v>110</v>
      </c>
      <c r="H1190" s="273">
        <v>30.0</v>
      </c>
      <c r="I1190" s="274">
        <v>131000.0</v>
      </c>
      <c r="J1190" s="274">
        <v>147700.0</v>
      </c>
      <c r="K1190" s="274">
        <v>16700.0</v>
      </c>
      <c r="L1190" s="274"/>
      <c r="M1190" s="274"/>
      <c r="N1190" s="274"/>
      <c r="P1190" s="276">
        <v>46163.2941898148</v>
      </c>
    </row>
    <row r="1191" ht="15.0" customHeight="1">
      <c r="A1191" s="59" t="s">
        <v>16</v>
      </c>
      <c r="B1191" s="272">
        <v>46163.0</v>
      </c>
      <c r="E1191" s="59" t="s">
        <v>93</v>
      </c>
      <c r="F1191" s="59" t="s">
        <v>565</v>
      </c>
      <c r="G1191" s="59" t="s">
        <v>93</v>
      </c>
      <c r="H1191" s="273">
        <v>410.0</v>
      </c>
      <c r="I1191" s="274"/>
      <c r="J1191" s="274"/>
      <c r="K1191" s="274"/>
      <c r="L1191" s="274" t="s">
        <v>574</v>
      </c>
      <c r="M1191" s="274">
        <v>81951.221</v>
      </c>
      <c r="N1191" s="274">
        <v>3.360000061E7</v>
      </c>
      <c r="P1191" s="276">
        <v>46163.7114467593</v>
      </c>
    </row>
    <row r="1192" ht="15.0" customHeight="1">
      <c r="A1192" s="59" t="s">
        <v>16</v>
      </c>
      <c r="B1192" s="272">
        <v>46163.0</v>
      </c>
      <c r="E1192" s="59" t="s">
        <v>107</v>
      </c>
      <c r="F1192" s="59" t="s">
        <v>565</v>
      </c>
      <c r="G1192" s="59" t="s">
        <v>107</v>
      </c>
      <c r="H1192" s="273">
        <v>410.0</v>
      </c>
      <c r="I1192" s="274"/>
      <c r="J1192" s="274"/>
      <c r="K1192" s="274"/>
      <c r="L1192" s="274" t="s">
        <v>574</v>
      </c>
      <c r="M1192" s="274">
        <v>109756.094</v>
      </c>
      <c r="N1192" s="274">
        <v>4.499999854E7</v>
      </c>
      <c r="P1192" s="276">
        <v>46163.7114583333</v>
      </c>
    </row>
    <row r="1193" ht="15.0" customHeight="1">
      <c r="A1193" s="59" t="s">
        <v>12</v>
      </c>
      <c r="B1193" s="272">
        <v>46163.0</v>
      </c>
      <c r="D1193" s="59" t="s">
        <v>102</v>
      </c>
      <c r="E1193" s="59" t="s">
        <v>83</v>
      </c>
      <c r="F1193" s="59" t="s">
        <v>79</v>
      </c>
      <c r="G1193" s="59" t="s">
        <v>80</v>
      </c>
      <c r="H1193" s="273">
        <v>200.0</v>
      </c>
      <c r="I1193" s="274">
        <v>252115.0</v>
      </c>
      <c r="J1193" s="274">
        <v>252552.0</v>
      </c>
      <c r="K1193" s="274">
        <v>437.0</v>
      </c>
      <c r="L1193" s="274"/>
      <c r="M1193" s="274"/>
      <c r="N1193" s="274"/>
      <c r="P1193" s="276">
        <v>46163.7332291667</v>
      </c>
    </row>
    <row r="1194" ht="15.0" customHeight="1">
      <c r="A1194" s="59" t="s">
        <v>12</v>
      </c>
      <c r="B1194" s="272">
        <v>46163.0</v>
      </c>
      <c r="D1194" s="59" t="s">
        <v>112</v>
      </c>
      <c r="E1194" s="59" t="s">
        <v>83</v>
      </c>
      <c r="F1194" s="59" t="s">
        <v>79</v>
      </c>
      <c r="G1194" s="59" t="s">
        <v>80</v>
      </c>
      <c r="H1194" s="273">
        <v>228.0</v>
      </c>
      <c r="I1194" s="274">
        <v>96978.0</v>
      </c>
      <c r="J1194" s="274">
        <v>97507.0</v>
      </c>
      <c r="K1194" s="274">
        <v>529.0</v>
      </c>
      <c r="L1194" s="274"/>
      <c r="M1194" s="274"/>
      <c r="N1194" s="274"/>
      <c r="P1194" s="276">
        <v>46163.7332407407</v>
      </c>
    </row>
    <row r="1195" ht="15.0" customHeight="1">
      <c r="A1195" s="59" t="s">
        <v>12</v>
      </c>
      <c r="B1195" s="272">
        <v>46163.0</v>
      </c>
      <c r="D1195" s="59" t="s">
        <v>113</v>
      </c>
      <c r="E1195" s="59" t="s">
        <v>83</v>
      </c>
      <c r="F1195" s="59" t="s">
        <v>79</v>
      </c>
      <c r="G1195" s="59" t="s">
        <v>80</v>
      </c>
      <c r="H1195" s="273">
        <v>214.0</v>
      </c>
      <c r="I1195" s="274">
        <v>168990.0</v>
      </c>
      <c r="J1195" s="274">
        <v>169423.0</v>
      </c>
      <c r="K1195" s="274">
        <v>433.0</v>
      </c>
      <c r="L1195" s="274"/>
      <c r="M1195" s="274"/>
      <c r="N1195" s="274"/>
      <c r="P1195" s="276">
        <v>46163.7332523148</v>
      </c>
    </row>
    <row r="1196" ht="15.0" customHeight="1">
      <c r="A1196" s="59" t="s">
        <v>12</v>
      </c>
      <c r="B1196" s="272">
        <v>46163.0</v>
      </c>
      <c r="D1196" s="59" t="s">
        <v>89</v>
      </c>
      <c r="E1196" s="59" t="s">
        <v>83</v>
      </c>
      <c r="F1196" s="59" t="s">
        <v>79</v>
      </c>
      <c r="G1196" s="59" t="s">
        <v>80</v>
      </c>
      <c r="H1196" s="273">
        <v>51.0</v>
      </c>
      <c r="I1196" s="274"/>
      <c r="J1196" s="274"/>
      <c r="K1196" s="274"/>
      <c r="L1196" s="274"/>
      <c r="M1196" s="274"/>
      <c r="N1196" s="274"/>
      <c r="O1196" s="59" t="s">
        <v>124</v>
      </c>
      <c r="P1196" s="276">
        <v>46163.7332638889</v>
      </c>
    </row>
    <row r="1197" ht="15.0" customHeight="1">
      <c r="A1197" s="59" t="s">
        <v>12</v>
      </c>
      <c r="B1197" s="272">
        <v>46163.0</v>
      </c>
      <c r="D1197" s="59" t="s">
        <v>99</v>
      </c>
      <c r="E1197" s="59" t="s">
        <v>83</v>
      </c>
      <c r="F1197" s="59" t="s">
        <v>79</v>
      </c>
      <c r="G1197" s="59" t="s">
        <v>80</v>
      </c>
      <c r="H1197" s="273">
        <v>340.0</v>
      </c>
      <c r="I1197" s="274">
        <v>148314.0</v>
      </c>
      <c r="J1197" s="274">
        <v>148938.0</v>
      </c>
      <c r="K1197" s="274">
        <v>624.0</v>
      </c>
      <c r="L1197" s="274"/>
      <c r="M1197" s="274"/>
      <c r="N1197" s="274"/>
      <c r="P1197" s="276">
        <v>46163.733275463</v>
      </c>
    </row>
    <row r="1198" ht="15.0" customHeight="1">
      <c r="A1198" s="59" t="s">
        <v>12</v>
      </c>
      <c r="B1198" s="272">
        <v>46163.0</v>
      </c>
      <c r="D1198" s="59" t="s">
        <v>158</v>
      </c>
      <c r="E1198" s="59" t="s">
        <v>83</v>
      </c>
      <c r="F1198" s="59" t="s">
        <v>79</v>
      </c>
      <c r="G1198" s="59" t="s">
        <v>80</v>
      </c>
      <c r="H1198" s="273">
        <v>10.0</v>
      </c>
      <c r="I1198" s="274"/>
      <c r="J1198" s="274"/>
      <c r="K1198" s="274"/>
      <c r="L1198" s="274"/>
      <c r="M1198" s="274"/>
      <c r="N1198" s="274"/>
      <c r="O1198" s="59" t="s">
        <v>575</v>
      </c>
      <c r="P1198" s="276">
        <v>46163.733287037</v>
      </c>
    </row>
    <row r="1199" ht="15.0" customHeight="1">
      <c r="A1199" s="59" t="s">
        <v>12</v>
      </c>
      <c r="B1199" s="272">
        <v>46163.0</v>
      </c>
      <c r="D1199" s="59" t="s">
        <v>161</v>
      </c>
      <c r="E1199" s="59" t="s">
        <v>83</v>
      </c>
      <c r="F1199" s="59" t="s">
        <v>79</v>
      </c>
      <c r="G1199" s="59" t="s">
        <v>80</v>
      </c>
      <c r="H1199" s="273">
        <v>155.0</v>
      </c>
      <c r="I1199" s="274">
        <v>59545.0</v>
      </c>
      <c r="J1199" s="274">
        <v>59992.0</v>
      </c>
      <c r="K1199" s="274">
        <v>447.0</v>
      </c>
      <c r="L1199" s="274"/>
      <c r="M1199" s="274"/>
      <c r="N1199" s="274"/>
      <c r="P1199" s="276">
        <v>46163.7332986111</v>
      </c>
    </row>
    <row r="1200" ht="15.0" customHeight="1">
      <c r="A1200" s="59" t="s">
        <v>12</v>
      </c>
      <c r="B1200" s="272">
        <v>46163.0</v>
      </c>
      <c r="D1200" s="59" t="s">
        <v>336</v>
      </c>
      <c r="E1200" s="59" t="s">
        <v>83</v>
      </c>
      <c r="F1200" s="59" t="s">
        <v>79</v>
      </c>
      <c r="G1200" s="59" t="s">
        <v>80</v>
      </c>
      <c r="H1200" s="273">
        <v>240.0</v>
      </c>
      <c r="I1200" s="274">
        <v>268227.0</v>
      </c>
      <c r="J1200" s="274">
        <v>268703.0</v>
      </c>
      <c r="K1200" s="274">
        <v>476.0</v>
      </c>
      <c r="L1200" s="274"/>
      <c r="M1200" s="274"/>
      <c r="N1200" s="274"/>
      <c r="P1200" s="276">
        <v>46165.2586921296</v>
      </c>
    </row>
    <row r="1201" ht="15.0" customHeight="1">
      <c r="A1201" s="59" t="s">
        <v>12</v>
      </c>
      <c r="B1201" s="272">
        <v>46164.0</v>
      </c>
      <c r="D1201" s="59" t="s">
        <v>138</v>
      </c>
      <c r="E1201" s="59" t="s">
        <v>83</v>
      </c>
      <c r="F1201" s="59" t="s">
        <v>79</v>
      </c>
      <c r="G1201" s="59" t="s">
        <v>80</v>
      </c>
      <c r="H1201" s="273">
        <v>240.0</v>
      </c>
      <c r="I1201" s="274">
        <v>103413.0</v>
      </c>
      <c r="J1201" s="274">
        <v>103932.0</v>
      </c>
      <c r="K1201" s="274">
        <v>519.0</v>
      </c>
      <c r="L1201" s="274"/>
      <c r="M1201" s="274"/>
      <c r="N1201" s="274"/>
      <c r="P1201" s="276">
        <v>46165.2622569444</v>
      </c>
    </row>
    <row r="1202" ht="15.0" customHeight="1">
      <c r="A1202" s="59" t="s">
        <v>12</v>
      </c>
      <c r="B1202" s="272">
        <v>46164.0</v>
      </c>
      <c r="D1202" s="59" t="s">
        <v>98</v>
      </c>
      <c r="E1202" s="59" t="s">
        <v>83</v>
      </c>
      <c r="F1202" s="59" t="s">
        <v>79</v>
      </c>
      <c r="G1202" s="59" t="s">
        <v>80</v>
      </c>
      <c r="H1202" s="273">
        <v>174.0</v>
      </c>
      <c r="I1202" s="274">
        <v>163670.0</v>
      </c>
      <c r="J1202" s="274">
        <v>164055.0</v>
      </c>
      <c r="K1202" s="274">
        <v>385.0</v>
      </c>
      <c r="L1202" s="274"/>
      <c r="M1202" s="274"/>
      <c r="N1202" s="274"/>
      <c r="P1202" s="276">
        <v>46165.2622685185</v>
      </c>
    </row>
    <row r="1203" ht="15.0" customHeight="1">
      <c r="A1203" s="59" t="s">
        <v>12</v>
      </c>
      <c r="B1203" s="272">
        <v>46164.0</v>
      </c>
      <c r="D1203" s="59" t="s">
        <v>103</v>
      </c>
      <c r="E1203" s="59" t="s">
        <v>83</v>
      </c>
      <c r="F1203" s="59" t="s">
        <v>79</v>
      </c>
      <c r="G1203" s="59" t="s">
        <v>80</v>
      </c>
      <c r="H1203" s="273">
        <v>166.0</v>
      </c>
      <c r="I1203" s="274">
        <v>4213.0</v>
      </c>
      <c r="J1203" s="274">
        <v>4226.0</v>
      </c>
      <c r="K1203" s="274">
        <v>13.0</v>
      </c>
      <c r="L1203" s="274"/>
      <c r="M1203" s="274"/>
      <c r="N1203" s="274"/>
      <c r="P1203" s="276">
        <v>46165.2622800926</v>
      </c>
    </row>
    <row r="1204" ht="15.0" customHeight="1">
      <c r="A1204" s="59" t="s">
        <v>12</v>
      </c>
      <c r="B1204" s="272">
        <v>46164.0</v>
      </c>
      <c r="D1204" s="59" t="s">
        <v>135</v>
      </c>
      <c r="E1204" s="59" t="s">
        <v>83</v>
      </c>
      <c r="F1204" s="59" t="s">
        <v>79</v>
      </c>
      <c r="G1204" s="59" t="s">
        <v>80</v>
      </c>
      <c r="H1204" s="273">
        <v>63.0</v>
      </c>
      <c r="I1204" s="274">
        <v>475701.0</v>
      </c>
      <c r="J1204" s="274">
        <v>476445.0</v>
      </c>
      <c r="K1204" s="274">
        <v>744.0</v>
      </c>
      <c r="L1204" s="274"/>
      <c r="M1204" s="274"/>
      <c r="N1204" s="274"/>
      <c r="P1204" s="276">
        <v>46165.2622916667</v>
      </c>
    </row>
    <row r="1205" ht="15.0" customHeight="1">
      <c r="A1205" s="59" t="s">
        <v>12</v>
      </c>
      <c r="B1205" s="272">
        <v>46164.0</v>
      </c>
      <c r="D1205" s="59" t="s">
        <v>116</v>
      </c>
      <c r="E1205" s="59" t="s">
        <v>83</v>
      </c>
      <c r="F1205" s="59" t="s">
        <v>79</v>
      </c>
      <c r="G1205" s="59" t="s">
        <v>80</v>
      </c>
      <c r="H1205" s="273">
        <v>488.0</v>
      </c>
      <c r="I1205" s="274">
        <v>74582.0</v>
      </c>
      <c r="J1205" s="274">
        <v>75617.0</v>
      </c>
      <c r="K1205" s="274">
        <v>1035.0</v>
      </c>
      <c r="L1205" s="274"/>
      <c r="M1205" s="274"/>
      <c r="N1205" s="274"/>
      <c r="P1205" s="276">
        <v>46165.2623032407</v>
      </c>
    </row>
    <row r="1206" ht="15.0" customHeight="1">
      <c r="A1206" s="59" t="s">
        <v>12</v>
      </c>
      <c r="B1206" s="272">
        <v>46164.0</v>
      </c>
      <c r="D1206" s="59" t="s">
        <v>96</v>
      </c>
      <c r="E1206" s="59" t="s">
        <v>83</v>
      </c>
      <c r="F1206" s="59" t="s">
        <v>79</v>
      </c>
      <c r="G1206" s="59" t="s">
        <v>80</v>
      </c>
      <c r="H1206" s="273">
        <v>400.0</v>
      </c>
      <c r="I1206" s="274">
        <v>74593.0</v>
      </c>
      <c r="J1206" s="274">
        <v>75381.0</v>
      </c>
      <c r="K1206" s="274">
        <v>788.0</v>
      </c>
      <c r="L1206" s="274"/>
      <c r="M1206" s="274"/>
      <c r="N1206" s="274"/>
      <c r="P1206" s="276">
        <v>46165.2623148148</v>
      </c>
    </row>
    <row r="1207" ht="15.0" customHeight="1">
      <c r="A1207" s="59" t="s">
        <v>12</v>
      </c>
      <c r="B1207" s="272">
        <v>46164.0</v>
      </c>
      <c r="D1207" s="59" t="s">
        <v>84</v>
      </c>
      <c r="E1207" s="59" t="s">
        <v>83</v>
      </c>
      <c r="F1207" s="59" t="s">
        <v>79</v>
      </c>
      <c r="G1207" s="59" t="s">
        <v>80</v>
      </c>
      <c r="H1207" s="273">
        <v>56.0</v>
      </c>
      <c r="I1207" s="274"/>
      <c r="J1207" s="274"/>
      <c r="K1207" s="274"/>
      <c r="L1207" s="274"/>
      <c r="M1207" s="274"/>
      <c r="N1207" s="274"/>
      <c r="O1207" s="59" t="s">
        <v>85</v>
      </c>
      <c r="P1207" s="276">
        <v>46165.2623263889</v>
      </c>
    </row>
    <row r="1208" ht="15.0" customHeight="1">
      <c r="A1208" s="59" t="s">
        <v>12</v>
      </c>
      <c r="B1208" s="272">
        <v>46164.0</v>
      </c>
      <c r="D1208" s="59" t="s">
        <v>123</v>
      </c>
      <c r="E1208" s="59" t="s">
        <v>83</v>
      </c>
      <c r="F1208" s="59" t="s">
        <v>79</v>
      </c>
      <c r="G1208" s="59" t="s">
        <v>80</v>
      </c>
      <c r="H1208" s="273">
        <v>519.0</v>
      </c>
      <c r="I1208" s="274">
        <v>195203.0</v>
      </c>
      <c r="J1208" s="274">
        <v>196226.0</v>
      </c>
      <c r="K1208" s="274">
        <v>1023.0</v>
      </c>
      <c r="L1208" s="274"/>
      <c r="M1208" s="274"/>
      <c r="N1208" s="274"/>
      <c r="P1208" s="276">
        <v>46165.262337963</v>
      </c>
    </row>
    <row r="1209" ht="15.0" customHeight="1">
      <c r="A1209" s="59" t="s">
        <v>12</v>
      </c>
      <c r="B1209" s="272">
        <v>46165.0</v>
      </c>
      <c r="D1209" s="59" t="s">
        <v>92</v>
      </c>
      <c r="E1209" s="59" t="s">
        <v>83</v>
      </c>
      <c r="F1209" s="59" t="s">
        <v>79</v>
      </c>
      <c r="G1209" s="59" t="s">
        <v>80</v>
      </c>
      <c r="H1209" s="273">
        <v>260.0</v>
      </c>
      <c r="I1209" s="274">
        <v>239461.0</v>
      </c>
      <c r="J1209" s="274">
        <v>240015.0</v>
      </c>
      <c r="K1209" s="274">
        <v>554.0</v>
      </c>
      <c r="L1209" s="274"/>
      <c r="M1209" s="274"/>
      <c r="N1209" s="274"/>
      <c r="P1209" s="276">
        <v>46165.6419097222</v>
      </c>
    </row>
    <row r="1210" ht="15.0" customHeight="1">
      <c r="A1210" s="59" t="s">
        <v>12</v>
      </c>
      <c r="B1210" s="272">
        <v>46165.0</v>
      </c>
      <c r="D1210" s="59" t="s">
        <v>89</v>
      </c>
      <c r="E1210" s="59" t="s">
        <v>83</v>
      </c>
      <c r="F1210" s="59" t="s">
        <v>79</v>
      </c>
      <c r="G1210" s="59" t="s">
        <v>80</v>
      </c>
      <c r="H1210" s="273">
        <v>50.0</v>
      </c>
      <c r="I1210" s="274"/>
      <c r="J1210" s="274"/>
      <c r="K1210" s="274"/>
      <c r="L1210" s="274"/>
      <c r="M1210" s="274"/>
      <c r="N1210" s="274"/>
      <c r="O1210" s="59" t="s">
        <v>85</v>
      </c>
      <c r="P1210" s="276">
        <v>46165.6419212963</v>
      </c>
    </row>
    <row r="1211" ht="15.0" customHeight="1">
      <c r="A1211" s="59" t="s">
        <v>12</v>
      </c>
      <c r="B1211" s="272">
        <v>46165.0</v>
      </c>
      <c r="D1211" s="59" t="s">
        <v>86</v>
      </c>
      <c r="E1211" s="59" t="s">
        <v>83</v>
      </c>
      <c r="F1211" s="59" t="s">
        <v>79</v>
      </c>
      <c r="G1211" s="59" t="s">
        <v>80</v>
      </c>
      <c r="H1211" s="273">
        <v>236.0</v>
      </c>
      <c r="I1211" s="274">
        <v>188197.0</v>
      </c>
      <c r="J1211" s="274">
        <v>188604.0</v>
      </c>
      <c r="K1211" s="274">
        <v>407.0</v>
      </c>
      <c r="L1211" s="274"/>
      <c r="M1211" s="274"/>
      <c r="N1211" s="274"/>
      <c r="P1211" s="276">
        <v>46165.6419328704</v>
      </c>
    </row>
    <row r="1212" ht="15.0" customHeight="1">
      <c r="A1212" s="59" t="s">
        <v>12</v>
      </c>
      <c r="B1212" s="272">
        <v>46165.0</v>
      </c>
      <c r="D1212" s="59" t="s">
        <v>114</v>
      </c>
      <c r="E1212" s="59" t="s">
        <v>83</v>
      </c>
      <c r="F1212" s="59" t="s">
        <v>79</v>
      </c>
      <c r="G1212" s="59" t="s">
        <v>80</v>
      </c>
      <c r="H1212" s="273">
        <v>200.0</v>
      </c>
      <c r="I1212" s="274">
        <v>272551.0</v>
      </c>
      <c r="J1212" s="274">
        <v>272950.0</v>
      </c>
      <c r="K1212" s="274">
        <v>399.0</v>
      </c>
      <c r="L1212" s="274"/>
      <c r="M1212" s="274"/>
      <c r="N1212" s="274"/>
      <c r="P1212" s="276">
        <v>46165.6419444445</v>
      </c>
    </row>
    <row r="1213" ht="15.0" customHeight="1">
      <c r="A1213" s="59" t="s">
        <v>12</v>
      </c>
      <c r="B1213" s="272">
        <v>46165.0</v>
      </c>
      <c r="D1213" s="59" t="s">
        <v>114</v>
      </c>
      <c r="E1213" s="59" t="s">
        <v>110</v>
      </c>
      <c r="F1213" s="59" t="s">
        <v>79</v>
      </c>
      <c r="G1213" s="59" t="s">
        <v>110</v>
      </c>
      <c r="H1213" s="273">
        <v>5.0</v>
      </c>
      <c r="I1213" s="274"/>
      <c r="J1213" s="274"/>
      <c r="K1213" s="274"/>
      <c r="L1213" s="274"/>
      <c r="M1213" s="274"/>
      <c r="N1213" s="274"/>
      <c r="O1213" s="59" t="s">
        <v>572</v>
      </c>
      <c r="P1213" s="276">
        <v>46165.6419560185</v>
      </c>
    </row>
    <row r="1214" ht="15.0" customHeight="1">
      <c r="A1214" s="59" t="s">
        <v>12</v>
      </c>
      <c r="B1214" s="272">
        <v>46165.0</v>
      </c>
      <c r="D1214" s="59" t="s">
        <v>118</v>
      </c>
      <c r="E1214" s="59" t="s">
        <v>83</v>
      </c>
      <c r="F1214" s="59" t="s">
        <v>79</v>
      </c>
      <c r="G1214" s="59" t="s">
        <v>80</v>
      </c>
      <c r="H1214" s="273">
        <v>460.0</v>
      </c>
      <c r="I1214" s="274">
        <v>147275.0</v>
      </c>
      <c r="J1214" s="274">
        <v>148365.0</v>
      </c>
      <c r="K1214" s="274">
        <v>1090.0</v>
      </c>
      <c r="L1214" s="274"/>
      <c r="M1214" s="274"/>
      <c r="N1214" s="274"/>
      <c r="P1214" s="276">
        <v>46165.6419675926</v>
      </c>
    </row>
    <row r="1215" ht="15.0" customHeight="1">
      <c r="A1215" s="59" t="s">
        <v>12</v>
      </c>
      <c r="B1215" s="272">
        <v>46165.0</v>
      </c>
      <c r="D1215" s="59" t="s">
        <v>119</v>
      </c>
      <c r="E1215" s="59" t="s">
        <v>83</v>
      </c>
      <c r="F1215" s="59" t="s">
        <v>79</v>
      </c>
      <c r="G1215" s="59" t="s">
        <v>80</v>
      </c>
      <c r="H1215" s="273">
        <v>241.0</v>
      </c>
      <c r="I1215" s="274">
        <v>48452.4</v>
      </c>
      <c r="J1215" s="274">
        <v>51642.1</v>
      </c>
      <c r="K1215" s="274">
        <v>3189.7</v>
      </c>
      <c r="L1215" s="274"/>
      <c r="M1215" s="274"/>
      <c r="N1215" s="274"/>
      <c r="P1215" s="276">
        <v>46165.6419791667</v>
      </c>
    </row>
    <row r="1216" ht="15.0" customHeight="1">
      <c r="A1216" s="59" t="s">
        <v>12</v>
      </c>
      <c r="B1216" s="272">
        <v>46165.0</v>
      </c>
      <c r="D1216" s="59" t="s">
        <v>130</v>
      </c>
      <c r="E1216" s="59" t="s">
        <v>83</v>
      </c>
      <c r="F1216" s="59" t="s">
        <v>79</v>
      </c>
      <c r="G1216" s="59" t="s">
        <v>80</v>
      </c>
      <c r="H1216" s="273">
        <v>185.0</v>
      </c>
      <c r="I1216" s="274"/>
      <c r="J1216" s="274"/>
      <c r="K1216" s="274"/>
      <c r="L1216" s="274"/>
      <c r="M1216" s="274"/>
      <c r="N1216" s="274"/>
      <c r="O1216" s="59" t="s">
        <v>570</v>
      </c>
      <c r="P1216" s="276">
        <v>46165.6419907407</v>
      </c>
    </row>
    <row r="1217" ht="15.0" customHeight="1">
      <c r="A1217" s="59" t="s">
        <v>12</v>
      </c>
      <c r="B1217" s="272">
        <v>46165.0</v>
      </c>
      <c r="D1217" s="59" t="s">
        <v>100</v>
      </c>
      <c r="E1217" s="59" t="s">
        <v>83</v>
      </c>
      <c r="F1217" s="59" t="s">
        <v>79</v>
      </c>
      <c r="G1217" s="59" t="s">
        <v>80</v>
      </c>
      <c r="H1217" s="273">
        <v>121.0</v>
      </c>
      <c r="I1217" s="274">
        <v>403265.0</v>
      </c>
      <c r="J1217" s="274">
        <v>404191.0</v>
      </c>
      <c r="K1217" s="274">
        <v>926.0</v>
      </c>
      <c r="L1217" s="274"/>
      <c r="M1217" s="274"/>
      <c r="N1217" s="274"/>
      <c r="P1217" s="276">
        <v>46165.6420138889</v>
      </c>
    </row>
    <row r="1218" ht="15.0" customHeight="1">
      <c r="A1218" s="59" t="s">
        <v>12</v>
      </c>
      <c r="B1218" s="272">
        <v>46165.0</v>
      </c>
      <c r="D1218" s="59" t="s">
        <v>100</v>
      </c>
      <c r="E1218" s="59" t="s">
        <v>78</v>
      </c>
      <c r="F1218" s="59" t="s">
        <v>79</v>
      </c>
      <c r="G1218" s="59" t="s">
        <v>80</v>
      </c>
      <c r="H1218" s="273">
        <v>248.0</v>
      </c>
      <c r="I1218" s="274">
        <v>403265.0</v>
      </c>
      <c r="J1218" s="274">
        <v>404191.0</v>
      </c>
      <c r="K1218" s="274">
        <v>926.0</v>
      </c>
      <c r="L1218" s="274"/>
      <c r="M1218" s="274"/>
      <c r="N1218" s="274"/>
      <c r="P1218" s="276">
        <v>46165.642025463</v>
      </c>
    </row>
    <row r="1219" ht="15.0" customHeight="1">
      <c r="A1219" s="59" t="s">
        <v>12</v>
      </c>
      <c r="B1219" s="272">
        <v>46165.0</v>
      </c>
      <c r="D1219" s="59" t="s">
        <v>117</v>
      </c>
      <c r="E1219" s="59" t="s">
        <v>78</v>
      </c>
      <c r="F1219" s="59" t="s">
        <v>79</v>
      </c>
      <c r="G1219" s="59" t="s">
        <v>80</v>
      </c>
      <c r="H1219" s="273">
        <v>154.0</v>
      </c>
      <c r="I1219" s="274">
        <v>8274.0</v>
      </c>
      <c r="J1219" s="274">
        <v>8286.0</v>
      </c>
      <c r="K1219" s="274">
        <v>12.0</v>
      </c>
      <c r="L1219" s="274"/>
      <c r="M1219" s="274"/>
      <c r="N1219" s="274"/>
      <c r="P1219" s="276">
        <v>46165.642037037</v>
      </c>
    </row>
    <row r="1220" ht="15.0" customHeight="1">
      <c r="A1220" s="59" t="s">
        <v>12</v>
      </c>
      <c r="B1220" s="272">
        <v>46165.0</v>
      </c>
      <c r="D1220" s="59" t="s">
        <v>145</v>
      </c>
      <c r="E1220" s="59" t="s">
        <v>78</v>
      </c>
      <c r="F1220" s="59" t="s">
        <v>79</v>
      </c>
      <c r="G1220" s="59" t="s">
        <v>80</v>
      </c>
      <c r="H1220" s="273">
        <v>235.0</v>
      </c>
      <c r="I1220" s="274">
        <v>263030.0</v>
      </c>
      <c r="J1220" s="274">
        <v>263532.0</v>
      </c>
      <c r="K1220" s="274">
        <v>502.0</v>
      </c>
      <c r="L1220" s="274"/>
      <c r="M1220" s="274"/>
      <c r="N1220" s="274"/>
      <c r="P1220" s="276">
        <v>46165.6420486111</v>
      </c>
    </row>
    <row r="1221" ht="15.0" customHeight="1">
      <c r="A1221" s="59" t="s">
        <v>12</v>
      </c>
      <c r="B1221" s="272">
        <v>46165.0</v>
      </c>
      <c r="D1221" s="59" t="s">
        <v>99</v>
      </c>
      <c r="E1221" s="59" t="s">
        <v>78</v>
      </c>
      <c r="F1221" s="59" t="s">
        <v>79</v>
      </c>
      <c r="G1221" s="59" t="s">
        <v>80</v>
      </c>
      <c r="H1221" s="273">
        <v>360.0</v>
      </c>
      <c r="I1221" s="274">
        <v>148938.0</v>
      </c>
      <c r="J1221" s="274">
        <v>149702.0</v>
      </c>
      <c r="K1221" s="274">
        <v>764.0</v>
      </c>
      <c r="L1221" s="274"/>
      <c r="M1221" s="274"/>
      <c r="N1221" s="274"/>
      <c r="P1221" s="276">
        <v>46167.2503935185</v>
      </c>
    </row>
    <row r="1222" ht="15.0" customHeight="1">
      <c r="A1222" s="59" t="s">
        <v>12</v>
      </c>
      <c r="B1222" s="272">
        <v>46165.0</v>
      </c>
      <c r="D1222" s="59" t="s">
        <v>82</v>
      </c>
      <c r="E1222" s="59" t="s">
        <v>78</v>
      </c>
      <c r="F1222" s="59" t="s">
        <v>79</v>
      </c>
      <c r="G1222" s="59" t="s">
        <v>80</v>
      </c>
      <c r="H1222" s="273">
        <v>430.0</v>
      </c>
      <c r="I1222" s="274">
        <v>91767.0</v>
      </c>
      <c r="J1222" s="274">
        <v>92758.0</v>
      </c>
      <c r="K1222" s="274">
        <v>991.0</v>
      </c>
      <c r="L1222" s="274"/>
      <c r="M1222" s="274"/>
      <c r="N1222" s="274"/>
      <c r="P1222" s="276">
        <v>46167.2504050926</v>
      </c>
    </row>
    <row r="1223" ht="15.0" customHeight="1">
      <c r="A1223" s="59" t="s">
        <v>12</v>
      </c>
      <c r="B1223" s="272">
        <v>46165.0</v>
      </c>
      <c r="D1223" s="59" t="s">
        <v>101</v>
      </c>
      <c r="E1223" s="59" t="s">
        <v>78</v>
      </c>
      <c r="F1223" s="59" t="s">
        <v>79</v>
      </c>
      <c r="G1223" s="59" t="s">
        <v>80</v>
      </c>
      <c r="H1223" s="273">
        <v>205.0</v>
      </c>
      <c r="I1223" s="274">
        <v>113619.0</v>
      </c>
      <c r="J1223" s="274">
        <v>114044.0</v>
      </c>
      <c r="K1223" s="274">
        <v>425.0</v>
      </c>
      <c r="L1223" s="274"/>
      <c r="M1223" s="274"/>
      <c r="N1223" s="274"/>
      <c r="P1223" s="276">
        <v>46167.2504282407</v>
      </c>
    </row>
    <row r="1224" ht="15.0" customHeight="1">
      <c r="A1224" s="59" t="s">
        <v>12</v>
      </c>
      <c r="B1224" s="272">
        <v>46166.0</v>
      </c>
      <c r="D1224" s="59" t="s">
        <v>98</v>
      </c>
      <c r="E1224" s="59" t="s">
        <v>78</v>
      </c>
      <c r="F1224" s="59" t="s">
        <v>79</v>
      </c>
      <c r="G1224" s="59" t="s">
        <v>80</v>
      </c>
      <c r="H1224" s="273">
        <v>166.0</v>
      </c>
      <c r="I1224" s="274">
        <v>164055.0</v>
      </c>
      <c r="J1224" s="274">
        <v>164460.0</v>
      </c>
      <c r="K1224" s="274">
        <v>405.0</v>
      </c>
      <c r="L1224" s="274"/>
      <c r="M1224" s="274"/>
      <c r="N1224" s="274"/>
      <c r="P1224" s="276">
        <v>46167.2563078704</v>
      </c>
    </row>
    <row r="1225" ht="15.0" customHeight="1">
      <c r="A1225" s="59" t="s">
        <v>12</v>
      </c>
      <c r="B1225" s="272">
        <v>46166.0</v>
      </c>
      <c r="D1225" s="59" t="s">
        <v>336</v>
      </c>
      <c r="E1225" s="59" t="s">
        <v>78</v>
      </c>
      <c r="F1225" s="59" t="s">
        <v>79</v>
      </c>
      <c r="G1225" s="59" t="s">
        <v>80</v>
      </c>
      <c r="H1225" s="273">
        <v>215.0</v>
      </c>
      <c r="I1225" s="274">
        <v>268703.0</v>
      </c>
      <c r="J1225" s="274">
        <v>269152.0</v>
      </c>
      <c r="K1225" s="274">
        <v>449.0</v>
      </c>
      <c r="L1225" s="274"/>
      <c r="M1225" s="274"/>
      <c r="N1225" s="274"/>
      <c r="P1225" s="276">
        <v>46167.2563194444</v>
      </c>
    </row>
    <row r="1226" ht="15.0" customHeight="1">
      <c r="A1226" s="59" t="s">
        <v>12</v>
      </c>
      <c r="B1226" s="272">
        <v>46166.0</v>
      </c>
      <c r="D1226" s="59" t="s">
        <v>102</v>
      </c>
      <c r="E1226" s="59" t="s">
        <v>78</v>
      </c>
      <c r="F1226" s="59" t="s">
        <v>79</v>
      </c>
      <c r="G1226" s="59" t="s">
        <v>80</v>
      </c>
      <c r="H1226" s="273">
        <v>200.0</v>
      </c>
      <c r="I1226" s="274">
        <v>252552.0</v>
      </c>
      <c r="J1226" s="274">
        <v>253005.0</v>
      </c>
      <c r="K1226" s="274">
        <v>453.0</v>
      </c>
      <c r="L1226" s="274"/>
      <c r="M1226" s="274"/>
      <c r="N1226" s="274"/>
      <c r="P1226" s="276">
        <v>46167.2563310185</v>
      </c>
    </row>
    <row r="1227" ht="15.0" customHeight="1">
      <c r="A1227" s="59" t="s">
        <v>12</v>
      </c>
      <c r="B1227" s="272">
        <v>46166.0</v>
      </c>
      <c r="D1227" s="59" t="s">
        <v>84</v>
      </c>
      <c r="E1227" s="59" t="s">
        <v>78</v>
      </c>
      <c r="F1227" s="59" t="s">
        <v>79</v>
      </c>
      <c r="G1227" s="59" t="s">
        <v>80</v>
      </c>
      <c r="H1227" s="273">
        <v>55.0</v>
      </c>
      <c r="I1227" s="274"/>
      <c r="J1227" s="274"/>
      <c r="K1227" s="274"/>
      <c r="L1227" s="274"/>
      <c r="M1227" s="274"/>
      <c r="N1227" s="274"/>
      <c r="O1227" s="59" t="s">
        <v>124</v>
      </c>
      <c r="P1227" s="276">
        <v>46167.2563425926</v>
      </c>
    </row>
    <row r="1228" ht="15.0" customHeight="1">
      <c r="A1228" s="59" t="s">
        <v>12</v>
      </c>
      <c r="B1228" s="272">
        <v>46166.0</v>
      </c>
      <c r="D1228" s="59" t="s">
        <v>154</v>
      </c>
      <c r="E1228" s="59" t="s">
        <v>78</v>
      </c>
      <c r="F1228" s="59" t="s">
        <v>79</v>
      </c>
      <c r="G1228" s="59" t="s">
        <v>80</v>
      </c>
      <c r="H1228" s="273">
        <v>160.0</v>
      </c>
      <c r="I1228" s="274">
        <v>366086.0</v>
      </c>
      <c r="J1228" s="274">
        <v>366595.0</v>
      </c>
      <c r="K1228" s="274">
        <v>509.0</v>
      </c>
      <c r="L1228" s="274"/>
      <c r="M1228" s="274"/>
      <c r="N1228" s="274"/>
      <c r="P1228" s="276">
        <v>46167.2563541667</v>
      </c>
    </row>
    <row r="1229" ht="15.0" customHeight="1">
      <c r="A1229" s="59" t="s">
        <v>12</v>
      </c>
      <c r="B1229" s="272">
        <v>46166.0</v>
      </c>
      <c r="D1229" s="59" t="s">
        <v>113</v>
      </c>
      <c r="E1229" s="59" t="s">
        <v>78</v>
      </c>
      <c r="F1229" s="59" t="s">
        <v>79</v>
      </c>
      <c r="G1229" s="59" t="s">
        <v>80</v>
      </c>
      <c r="H1229" s="273">
        <v>240.0</v>
      </c>
      <c r="I1229" s="274">
        <v>169423.0</v>
      </c>
      <c r="J1229" s="274">
        <v>169965.0</v>
      </c>
      <c r="K1229" s="274">
        <v>542.0</v>
      </c>
      <c r="L1229" s="274"/>
      <c r="M1229" s="274"/>
      <c r="N1229" s="274"/>
      <c r="P1229" s="276">
        <v>46167.256400463</v>
      </c>
    </row>
    <row r="1230" ht="15.0" customHeight="1">
      <c r="A1230" s="59" t="s">
        <v>12</v>
      </c>
      <c r="B1230" s="272">
        <v>46166.0</v>
      </c>
      <c r="D1230" s="59" t="s">
        <v>115</v>
      </c>
      <c r="E1230" s="59" t="s">
        <v>78</v>
      </c>
      <c r="F1230" s="59" t="s">
        <v>79</v>
      </c>
      <c r="G1230" s="59" t="s">
        <v>80</v>
      </c>
      <c r="H1230" s="273">
        <v>400.0</v>
      </c>
      <c r="I1230" s="274">
        <v>11409.0</v>
      </c>
      <c r="J1230" s="274">
        <v>12435.0</v>
      </c>
      <c r="K1230" s="274">
        <v>1026.0</v>
      </c>
      <c r="L1230" s="274"/>
      <c r="M1230" s="274"/>
      <c r="N1230" s="274"/>
      <c r="P1230" s="276">
        <v>46167.2564236111</v>
      </c>
    </row>
    <row r="1231" ht="15.0" customHeight="1">
      <c r="A1231" s="59" t="s">
        <v>12</v>
      </c>
      <c r="B1231" s="272">
        <v>46166.0</v>
      </c>
      <c r="D1231" s="46" t="s">
        <v>104</v>
      </c>
      <c r="E1231" s="59" t="s">
        <v>78</v>
      </c>
      <c r="F1231" s="59" t="s">
        <v>79</v>
      </c>
      <c r="G1231" s="59" t="s">
        <v>80</v>
      </c>
      <c r="H1231" s="273">
        <v>298.0</v>
      </c>
      <c r="I1231" s="274">
        <v>3567.0</v>
      </c>
      <c r="J1231" s="274">
        <v>4211.0</v>
      </c>
      <c r="K1231" s="274">
        <v>644.0</v>
      </c>
      <c r="L1231" s="274"/>
      <c r="M1231" s="274"/>
      <c r="N1231" s="274"/>
      <c r="P1231" s="276">
        <v>46167.2564467593</v>
      </c>
    </row>
    <row r="1232" ht="15.0" customHeight="1">
      <c r="A1232" s="59" t="s">
        <v>12</v>
      </c>
      <c r="B1232" s="272">
        <v>46166.0</v>
      </c>
      <c r="D1232" s="59" t="s">
        <v>96</v>
      </c>
      <c r="E1232" s="59" t="s">
        <v>78</v>
      </c>
      <c r="F1232" s="59" t="s">
        <v>79</v>
      </c>
      <c r="G1232" s="59" t="s">
        <v>80</v>
      </c>
      <c r="H1232" s="273">
        <v>254.0</v>
      </c>
      <c r="I1232" s="274">
        <v>75381.0</v>
      </c>
      <c r="J1232" s="274">
        <v>76040.0</v>
      </c>
      <c r="K1232" s="274">
        <v>659.0</v>
      </c>
      <c r="L1232" s="274"/>
      <c r="M1232" s="274"/>
      <c r="N1232" s="274"/>
      <c r="P1232" s="276">
        <v>46167.2564583333</v>
      </c>
    </row>
    <row r="1233" ht="15.0" customHeight="1">
      <c r="A1233" s="59" t="s">
        <v>12</v>
      </c>
      <c r="B1233" s="272">
        <v>46167.0</v>
      </c>
      <c r="D1233" s="59" t="s">
        <v>97</v>
      </c>
      <c r="E1233" s="59" t="s">
        <v>78</v>
      </c>
      <c r="F1233" s="59" t="s">
        <v>79</v>
      </c>
      <c r="G1233" s="59" t="s">
        <v>80</v>
      </c>
      <c r="H1233" s="273">
        <v>249.0</v>
      </c>
      <c r="I1233" s="274">
        <v>181018.0</v>
      </c>
      <c r="J1233" s="274">
        <v>181220.0</v>
      </c>
      <c r="K1233" s="274">
        <v>202.0</v>
      </c>
      <c r="L1233" s="274"/>
      <c r="M1233" s="274"/>
      <c r="N1233" s="274"/>
      <c r="P1233" s="276">
        <v>46168.7028819444</v>
      </c>
    </row>
    <row r="1234" ht="15.0" customHeight="1">
      <c r="A1234" s="59" t="s">
        <v>12</v>
      </c>
      <c r="B1234" s="272">
        <v>46167.0</v>
      </c>
      <c r="D1234" s="59" t="s">
        <v>101</v>
      </c>
      <c r="E1234" s="59" t="s">
        <v>78</v>
      </c>
      <c r="F1234" s="59" t="s">
        <v>79</v>
      </c>
      <c r="G1234" s="59" t="s">
        <v>80</v>
      </c>
      <c r="H1234" s="273">
        <v>205.0</v>
      </c>
      <c r="I1234" s="274">
        <v>114044.0</v>
      </c>
      <c r="J1234" s="274">
        <v>114544.0</v>
      </c>
      <c r="K1234" s="274">
        <v>500.0</v>
      </c>
      <c r="L1234" s="274"/>
      <c r="M1234" s="274"/>
      <c r="N1234" s="274"/>
      <c r="P1234" s="276">
        <v>46168.7028935185</v>
      </c>
    </row>
    <row r="1235" ht="15.0" customHeight="1">
      <c r="A1235" s="59" t="s">
        <v>12</v>
      </c>
      <c r="B1235" s="272">
        <v>46167.0</v>
      </c>
      <c r="D1235" s="59" t="s">
        <v>84</v>
      </c>
      <c r="E1235" s="59" t="s">
        <v>78</v>
      </c>
      <c r="F1235" s="59" t="s">
        <v>79</v>
      </c>
      <c r="G1235" s="59" t="s">
        <v>80</v>
      </c>
      <c r="H1235" s="273">
        <v>453.0</v>
      </c>
      <c r="I1235" s="274">
        <v>44451.0</v>
      </c>
      <c r="J1235" s="274">
        <v>45405.0</v>
      </c>
      <c r="K1235" s="274">
        <v>954.0</v>
      </c>
      <c r="L1235" s="274"/>
      <c r="M1235" s="274"/>
      <c r="N1235" s="274"/>
      <c r="P1235" s="276">
        <v>46168.7029050926</v>
      </c>
    </row>
    <row r="1236" ht="15.0" customHeight="1">
      <c r="A1236" s="59" t="s">
        <v>12</v>
      </c>
      <c r="B1236" s="272">
        <v>46167.0</v>
      </c>
      <c r="D1236" s="59" t="s">
        <v>138</v>
      </c>
      <c r="E1236" s="59" t="s">
        <v>78</v>
      </c>
      <c r="F1236" s="59" t="s">
        <v>79</v>
      </c>
      <c r="G1236" s="59" t="s">
        <v>80</v>
      </c>
      <c r="H1236" s="273">
        <v>248.0</v>
      </c>
      <c r="I1236" s="274">
        <v>103937.0</v>
      </c>
      <c r="J1236" s="274">
        <v>104483.0</v>
      </c>
      <c r="K1236" s="274">
        <v>546.0</v>
      </c>
      <c r="L1236" s="274"/>
      <c r="M1236" s="274"/>
      <c r="N1236" s="274"/>
      <c r="P1236" s="276">
        <v>46168.7029166667</v>
      </c>
    </row>
    <row r="1237" ht="15.0" customHeight="1">
      <c r="A1237" s="59" t="s">
        <v>12</v>
      </c>
      <c r="B1237" s="272">
        <v>46167.0</v>
      </c>
      <c r="D1237" s="59" t="s">
        <v>112</v>
      </c>
      <c r="E1237" s="59" t="s">
        <v>78</v>
      </c>
      <c r="F1237" s="59" t="s">
        <v>79</v>
      </c>
      <c r="G1237" s="59" t="s">
        <v>80</v>
      </c>
      <c r="H1237" s="273">
        <v>237.0</v>
      </c>
      <c r="I1237" s="274">
        <v>97507.0</v>
      </c>
      <c r="J1237" s="274">
        <v>98088.0</v>
      </c>
      <c r="K1237" s="274">
        <v>581.0</v>
      </c>
      <c r="L1237" s="274"/>
      <c r="M1237" s="274"/>
      <c r="N1237" s="274"/>
      <c r="P1237" s="276">
        <v>46168.7029282407</v>
      </c>
    </row>
    <row r="1238" ht="15.0" customHeight="1">
      <c r="A1238" s="59" t="s">
        <v>12</v>
      </c>
      <c r="B1238" s="272">
        <v>46167.0</v>
      </c>
      <c r="D1238" s="59" t="s">
        <v>98</v>
      </c>
      <c r="E1238" s="59" t="s">
        <v>78</v>
      </c>
      <c r="F1238" s="59" t="s">
        <v>79</v>
      </c>
      <c r="G1238" s="59" t="s">
        <v>80</v>
      </c>
      <c r="H1238" s="273">
        <v>163.0</v>
      </c>
      <c r="I1238" s="274">
        <v>164460.0</v>
      </c>
      <c r="J1238" s="274">
        <v>164878.0</v>
      </c>
      <c r="K1238" s="274">
        <v>418.0</v>
      </c>
      <c r="L1238" s="274"/>
      <c r="M1238" s="274"/>
      <c r="N1238" s="274"/>
      <c r="P1238" s="276">
        <v>46168.7029398148</v>
      </c>
    </row>
    <row r="1239" ht="15.0" customHeight="1">
      <c r="A1239" s="59" t="s">
        <v>12</v>
      </c>
      <c r="B1239" s="272">
        <v>46167.0</v>
      </c>
      <c r="D1239" s="59" t="s">
        <v>86</v>
      </c>
      <c r="E1239" s="59" t="s">
        <v>78</v>
      </c>
      <c r="F1239" s="59" t="s">
        <v>79</v>
      </c>
      <c r="G1239" s="59" t="s">
        <v>80</v>
      </c>
      <c r="H1239" s="273">
        <v>236.0</v>
      </c>
      <c r="I1239" s="274">
        <v>188652.0</v>
      </c>
      <c r="J1239" s="274">
        <v>189134.0</v>
      </c>
      <c r="K1239" s="274">
        <v>482.0</v>
      </c>
      <c r="L1239" s="274"/>
      <c r="M1239" s="274"/>
      <c r="N1239" s="274"/>
      <c r="P1239" s="276">
        <v>46168.7029513889</v>
      </c>
    </row>
    <row r="1240" ht="15.0" customHeight="1">
      <c r="A1240" s="59" t="s">
        <v>12</v>
      </c>
      <c r="B1240" s="272">
        <v>46167.0</v>
      </c>
      <c r="D1240" s="59" t="s">
        <v>87</v>
      </c>
      <c r="E1240" s="59" t="s">
        <v>78</v>
      </c>
      <c r="F1240" s="59" t="s">
        <v>79</v>
      </c>
      <c r="G1240" s="59" t="s">
        <v>80</v>
      </c>
      <c r="H1240" s="273">
        <v>200.0</v>
      </c>
      <c r="I1240" s="274"/>
      <c r="J1240" s="274">
        <v>262776.0</v>
      </c>
      <c r="K1240" s="274"/>
      <c r="L1240" s="274"/>
      <c r="M1240" s="274"/>
      <c r="N1240" s="274"/>
      <c r="P1240" s="276">
        <v>46168.702962963</v>
      </c>
    </row>
    <row r="1241" ht="15.0" customHeight="1">
      <c r="A1241" s="59" t="s">
        <v>12</v>
      </c>
      <c r="B1241" s="272">
        <v>46167.0</v>
      </c>
      <c r="D1241" s="59" t="s">
        <v>145</v>
      </c>
      <c r="E1241" s="59" t="s">
        <v>78</v>
      </c>
      <c r="F1241" s="59" t="s">
        <v>79</v>
      </c>
      <c r="G1241" s="59" t="s">
        <v>80</v>
      </c>
      <c r="H1241" s="273">
        <v>225.0</v>
      </c>
      <c r="I1241" s="274">
        <v>263532.0</v>
      </c>
      <c r="J1241" s="274">
        <v>264039.0</v>
      </c>
      <c r="K1241" s="274">
        <v>507.0</v>
      </c>
      <c r="L1241" s="274"/>
      <c r="M1241" s="274"/>
      <c r="N1241" s="274"/>
      <c r="P1241" s="276">
        <v>46168.702974537</v>
      </c>
    </row>
    <row r="1242" ht="15.0" customHeight="1">
      <c r="A1242" s="59" t="s">
        <v>12</v>
      </c>
      <c r="B1242" s="272">
        <v>46167.0</v>
      </c>
      <c r="D1242" s="59" t="s">
        <v>114</v>
      </c>
      <c r="E1242" s="59" t="s">
        <v>78</v>
      </c>
      <c r="F1242" s="59" t="s">
        <v>79</v>
      </c>
      <c r="G1242" s="59" t="s">
        <v>80</v>
      </c>
      <c r="H1242" s="273">
        <v>245.0</v>
      </c>
      <c r="I1242" s="274">
        <v>272950.0</v>
      </c>
      <c r="J1242" s="274">
        <v>273521.0</v>
      </c>
      <c r="K1242" s="274">
        <v>571.0</v>
      </c>
      <c r="L1242" s="274"/>
      <c r="M1242" s="274"/>
      <c r="N1242" s="274"/>
      <c r="P1242" s="276">
        <v>46168.7029861111</v>
      </c>
    </row>
    <row r="1243" ht="15.0" customHeight="1">
      <c r="A1243" s="59" t="s">
        <v>12</v>
      </c>
      <c r="B1243" s="272">
        <v>46167.0</v>
      </c>
      <c r="D1243" s="59" t="s">
        <v>103</v>
      </c>
      <c r="E1243" s="59" t="s">
        <v>78</v>
      </c>
      <c r="F1243" s="59" t="s">
        <v>79</v>
      </c>
      <c r="G1243" s="59" t="s">
        <v>80</v>
      </c>
      <c r="H1243" s="273">
        <v>155.0</v>
      </c>
      <c r="I1243" s="274">
        <v>4226.0</v>
      </c>
      <c r="J1243" s="274">
        <v>4239.0</v>
      </c>
      <c r="K1243" s="274">
        <v>13.0</v>
      </c>
      <c r="L1243" s="274"/>
      <c r="M1243" s="274"/>
      <c r="N1243" s="274"/>
      <c r="P1243" s="276">
        <v>46168.7029976852</v>
      </c>
    </row>
    <row r="1244" ht="15.0" customHeight="1">
      <c r="A1244" s="59" t="s">
        <v>12</v>
      </c>
      <c r="B1244" s="272">
        <v>46167.0</v>
      </c>
      <c r="D1244" s="46" t="s">
        <v>132</v>
      </c>
      <c r="E1244" s="59" t="s">
        <v>78</v>
      </c>
      <c r="F1244" s="59" t="s">
        <v>79</v>
      </c>
      <c r="G1244" s="59" t="s">
        <v>80</v>
      </c>
      <c r="H1244" s="273">
        <v>205.0</v>
      </c>
      <c r="I1244" s="274">
        <v>4298.0</v>
      </c>
      <c r="J1244" s="274">
        <v>4676.0</v>
      </c>
      <c r="K1244" s="274">
        <v>378.0</v>
      </c>
      <c r="L1244" s="274"/>
      <c r="M1244" s="274"/>
      <c r="N1244" s="274"/>
      <c r="P1244" s="276">
        <v>46168.7030092593</v>
      </c>
    </row>
    <row r="1245" ht="15.0" customHeight="1">
      <c r="A1245" s="59" t="s">
        <v>12</v>
      </c>
      <c r="B1245" s="272">
        <v>46167.0</v>
      </c>
      <c r="D1245" s="59" t="s">
        <v>127</v>
      </c>
      <c r="E1245" s="59" t="s">
        <v>78</v>
      </c>
      <c r="F1245" s="59" t="s">
        <v>79</v>
      </c>
      <c r="G1245" s="59" t="s">
        <v>80</v>
      </c>
      <c r="H1245" s="273">
        <v>199.0</v>
      </c>
      <c r="I1245" s="274"/>
      <c r="J1245" s="274"/>
      <c r="K1245" s="274"/>
      <c r="L1245" s="274"/>
      <c r="M1245" s="274"/>
      <c r="N1245" s="274"/>
      <c r="O1245" s="59" t="s">
        <v>576</v>
      </c>
      <c r="P1245" s="276">
        <v>46168.7030324074</v>
      </c>
    </row>
    <row r="1246" ht="15.0" customHeight="1">
      <c r="A1246" s="59" t="s">
        <v>12</v>
      </c>
      <c r="B1246" s="272">
        <v>46167.0</v>
      </c>
      <c r="D1246" s="59" t="s">
        <v>339</v>
      </c>
      <c r="E1246" s="59" t="s">
        <v>78</v>
      </c>
      <c r="F1246" s="59" t="s">
        <v>79</v>
      </c>
      <c r="G1246" s="59" t="s">
        <v>80</v>
      </c>
      <c r="H1246" s="273">
        <v>150.0</v>
      </c>
      <c r="I1246" s="274"/>
      <c r="J1246" s="274"/>
      <c r="K1246" s="274"/>
      <c r="L1246" s="274"/>
      <c r="M1246" s="274"/>
      <c r="N1246" s="274"/>
      <c r="P1246" s="276">
        <v>46168.7030439815</v>
      </c>
    </row>
    <row r="1247" ht="15.0" customHeight="1">
      <c r="A1247" s="59" t="s">
        <v>12</v>
      </c>
      <c r="B1247" s="272">
        <v>46167.0</v>
      </c>
      <c r="D1247" s="59" t="s">
        <v>100</v>
      </c>
      <c r="E1247" s="59" t="s">
        <v>78</v>
      </c>
      <c r="F1247" s="59" t="s">
        <v>79</v>
      </c>
      <c r="G1247" s="59" t="s">
        <v>80</v>
      </c>
      <c r="H1247" s="273">
        <v>281.0</v>
      </c>
      <c r="I1247" s="274">
        <v>404191.0</v>
      </c>
      <c r="J1247" s="274">
        <v>404798.0</v>
      </c>
      <c r="K1247" s="274">
        <v>607.0</v>
      </c>
      <c r="L1247" s="274"/>
      <c r="M1247" s="274"/>
      <c r="N1247" s="274"/>
      <c r="P1247" s="276">
        <v>46168.7030555556</v>
      </c>
    </row>
    <row r="1248" ht="15.0" customHeight="1">
      <c r="A1248" s="59" t="s">
        <v>12</v>
      </c>
      <c r="B1248" s="272">
        <v>46167.0</v>
      </c>
      <c r="D1248" s="59" t="s">
        <v>159</v>
      </c>
      <c r="E1248" s="59" t="s">
        <v>78</v>
      </c>
      <c r="F1248" s="59" t="s">
        <v>79</v>
      </c>
      <c r="G1248" s="59" t="s">
        <v>80</v>
      </c>
      <c r="H1248" s="273">
        <v>150.0</v>
      </c>
      <c r="I1248" s="274">
        <v>76312.0</v>
      </c>
      <c r="J1248" s="274">
        <v>76805.0</v>
      </c>
      <c r="K1248" s="274">
        <v>493.0</v>
      </c>
      <c r="L1248" s="274"/>
      <c r="M1248" s="274"/>
      <c r="N1248" s="274"/>
      <c r="P1248" s="276">
        <v>46168.7030671296</v>
      </c>
    </row>
    <row r="1249" ht="15.0" customHeight="1">
      <c r="A1249" s="59" t="s">
        <v>12</v>
      </c>
      <c r="B1249" s="272">
        <v>46167.0</v>
      </c>
      <c r="D1249" s="59" t="s">
        <v>153</v>
      </c>
      <c r="E1249" s="59" t="s">
        <v>78</v>
      </c>
      <c r="F1249" s="59" t="s">
        <v>79</v>
      </c>
      <c r="G1249" s="59" t="s">
        <v>80</v>
      </c>
      <c r="H1249" s="273">
        <v>130.0</v>
      </c>
      <c r="I1249" s="274">
        <v>359864.0</v>
      </c>
      <c r="J1249" s="274">
        <v>360241.0</v>
      </c>
      <c r="K1249" s="274">
        <v>377.0</v>
      </c>
      <c r="L1249" s="274"/>
      <c r="M1249" s="274"/>
      <c r="N1249" s="274"/>
      <c r="P1249" s="276">
        <v>46168.7030787037</v>
      </c>
    </row>
    <row r="1250" ht="15.0" customHeight="1">
      <c r="A1250" s="59" t="s">
        <v>12</v>
      </c>
      <c r="B1250" s="272">
        <v>46167.0</v>
      </c>
      <c r="D1250" s="59" t="s">
        <v>123</v>
      </c>
      <c r="E1250" s="59" t="s">
        <v>110</v>
      </c>
      <c r="F1250" s="59" t="s">
        <v>79</v>
      </c>
      <c r="G1250" s="59" t="s">
        <v>110</v>
      </c>
      <c r="H1250" s="273">
        <v>28.0</v>
      </c>
      <c r="I1250" s="274">
        <v>177159.0</v>
      </c>
      <c r="J1250" s="274">
        <v>197552.0</v>
      </c>
      <c r="K1250" s="274">
        <v>20393.0</v>
      </c>
      <c r="L1250" s="274"/>
      <c r="M1250" s="274"/>
      <c r="N1250" s="274"/>
      <c r="P1250" s="276">
        <v>46168.7030902778</v>
      </c>
    </row>
    <row r="1251" ht="15.0" customHeight="1">
      <c r="A1251" s="59" t="s">
        <v>12</v>
      </c>
      <c r="B1251" s="272">
        <v>46167.0</v>
      </c>
      <c r="D1251" s="46" t="s">
        <v>121</v>
      </c>
      <c r="E1251" s="59" t="s">
        <v>110</v>
      </c>
      <c r="F1251" s="59" t="s">
        <v>79</v>
      </c>
      <c r="G1251" s="59" t="s">
        <v>110</v>
      </c>
      <c r="H1251" s="273">
        <v>42.0</v>
      </c>
      <c r="I1251" s="274"/>
      <c r="J1251" s="274">
        <v>3000.0</v>
      </c>
      <c r="K1251" s="274"/>
      <c r="L1251" s="274"/>
      <c r="M1251" s="274"/>
      <c r="N1251" s="274"/>
      <c r="P1251" s="276">
        <v>46168.7031018519</v>
      </c>
    </row>
    <row r="1252" ht="15.0" customHeight="1">
      <c r="A1252" s="59" t="s">
        <v>12</v>
      </c>
      <c r="B1252" s="272">
        <v>46168.0</v>
      </c>
      <c r="D1252" s="59" t="s">
        <v>123</v>
      </c>
      <c r="E1252" s="59" t="s">
        <v>78</v>
      </c>
      <c r="F1252" s="59" t="s">
        <v>79</v>
      </c>
      <c r="G1252" s="59" t="s">
        <v>80</v>
      </c>
      <c r="H1252" s="273">
        <v>372.0</v>
      </c>
      <c r="I1252" s="274">
        <v>196226.0</v>
      </c>
      <c r="J1252" s="274">
        <v>197906.0</v>
      </c>
      <c r="K1252" s="274">
        <v>1680.0</v>
      </c>
      <c r="L1252" s="274"/>
      <c r="M1252" s="274"/>
      <c r="N1252" s="274"/>
      <c r="P1252" s="276">
        <v>46168.7051041667</v>
      </c>
    </row>
    <row r="1253" ht="15.0" customHeight="1">
      <c r="A1253" s="59" t="s">
        <v>12</v>
      </c>
      <c r="B1253" s="272">
        <v>46168.0</v>
      </c>
      <c r="D1253" s="59" t="s">
        <v>116</v>
      </c>
      <c r="E1253" s="59" t="s">
        <v>78</v>
      </c>
      <c r="F1253" s="59" t="s">
        <v>79</v>
      </c>
      <c r="G1253" s="59" t="s">
        <v>80</v>
      </c>
      <c r="H1253" s="273">
        <v>32.0</v>
      </c>
      <c r="I1253" s="274">
        <v>75617.0</v>
      </c>
      <c r="J1253" s="274">
        <v>76327.0</v>
      </c>
      <c r="K1253" s="274">
        <v>710.0</v>
      </c>
      <c r="L1253" s="274"/>
      <c r="M1253" s="274"/>
      <c r="N1253" s="274"/>
      <c r="P1253" s="276">
        <v>46168.7051273148</v>
      </c>
    </row>
    <row r="1254" ht="15.0" customHeight="1">
      <c r="A1254" s="59" t="s">
        <v>12</v>
      </c>
      <c r="B1254" s="272">
        <v>46168.0</v>
      </c>
      <c r="D1254" s="59" t="s">
        <v>89</v>
      </c>
      <c r="E1254" s="59" t="s">
        <v>141</v>
      </c>
      <c r="F1254" s="59" t="s">
        <v>79</v>
      </c>
      <c r="G1254" s="59" t="s">
        <v>80</v>
      </c>
      <c r="H1254" s="273">
        <v>54.0</v>
      </c>
      <c r="I1254" s="274"/>
      <c r="J1254" s="274"/>
      <c r="K1254" s="274"/>
      <c r="L1254" s="274"/>
      <c r="M1254" s="274"/>
      <c r="N1254" s="274"/>
      <c r="O1254" s="59" t="s">
        <v>124</v>
      </c>
      <c r="P1254" s="276">
        <v>46169.6259953704</v>
      </c>
    </row>
    <row r="1255" ht="15.0" customHeight="1">
      <c r="A1255" s="59" t="s">
        <v>12</v>
      </c>
      <c r="B1255" s="272">
        <v>46168.0</v>
      </c>
      <c r="D1255" s="59" t="s">
        <v>96</v>
      </c>
      <c r="E1255" s="59" t="s">
        <v>141</v>
      </c>
      <c r="F1255" s="59" t="s">
        <v>79</v>
      </c>
      <c r="G1255" s="59" t="s">
        <v>80</v>
      </c>
      <c r="H1255" s="273">
        <v>300.0</v>
      </c>
      <c r="I1255" s="274">
        <v>76040.0</v>
      </c>
      <c r="J1255" s="274">
        <v>76711.0</v>
      </c>
      <c r="K1255" s="274">
        <v>671.0</v>
      </c>
      <c r="L1255" s="274"/>
      <c r="M1255" s="274"/>
      <c r="N1255" s="274"/>
      <c r="P1255" s="276">
        <v>46169.6260069445</v>
      </c>
    </row>
    <row r="1256" ht="15.0" customHeight="1">
      <c r="A1256" s="59" t="s">
        <v>12</v>
      </c>
      <c r="B1256" s="272">
        <v>46168.0</v>
      </c>
      <c r="D1256" s="59" t="s">
        <v>99</v>
      </c>
      <c r="E1256" s="59" t="s">
        <v>141</v>
      </c>
      <c r="F1256" s="59" t="s">
        <v>79</v>
      </c>
      <c r="G1256" s="59" t="s">
        <v>80</v>
      </c>
      <c r="H1256" s="273">
        <v>300.0</v>
      </c>
      <c r="I1256" s="274">
        <v>149702.0</v>
      </c>
      <c r="J1256" s="274">
        <v>150376.0</v>
      </c>
      <c r="K1256" s="274">
        <v>674.0</v>
      </c>
      <c r="L1256" s="274"/>
      <c r="M1256" s="274"/>
      <c r="N1256" s="274"/>
      <c r="P1256" s="276">
        <v>46169.6260185185</v>
      </c>
    </row>
    <row r="1257" ht="15.0" customHeight="1">
      <c r="A1257" s="59" t="s">
        <v>12</v>
      </c>
      <c r="B1257" s="272">
        <v>46168.0</v>
      </c>
      <c r="D1257" s="46" t="s">
        <v>129</v>
      </c>
      <c r="E1257" s="59" t="s">
        <v>141</v>
      </c>
      <c r="F1257" s="59" t="s">
        <v>79</v>
      </c>
      <c r="G1257" s="59" t="s">
        <v>80</v>
      </c>
      <c r="H1257" s="273">
        <v>250.0</v>
      </c>
      <c r="I1257" s="274">
        <v>5215.0</v>
      </c>
      <c r="J1257" s="274">
        <v>5680.0</v>
      </c>
      <c r="K1257" s="274">
        <v>465.0</v>
      </c>
      <c r="L1257" s="274"/>
      <c r="M1257" s="274"/>
      <c r="N1257" s="274"/>
      <c r="P1257" s="276">
        <v>46169.6260416667</v>
      </c>
    </row>
    <row r="1258" ht="15.0" customHeight="1">
      <c r="A1258" s="59" t="s">
        <v>12</v>
      </c>
      <c r="B1258" s="272">
        <v>46168.0</v>
      </c>
      <c r="D1258" s="59" t="s">
        <v>116</v>
      </c>
      <c r="E1258" s="59" t="s">
        <v>141</v>
      </c>
      <c r="F1258" s="59" t="s">
        <v>79</v>
      </c>
      <c r="G1258" s="59" t="s">
        <v>80</v>
      </c>
      <c r="H1258" s="273">
        <v>324.0</v>
      </c>
      <c r="I1258" s="274">
        <v>75617.0</v>
      </c>
      <c r="J1258" s="274">
        <v>76327.0</v>
      </c>
      <c r="K1258" s="274">
        <v>710.0</v>
      </c>
      <c r="L1258" s="274"/>
      <c r="M1258" s="274"/>
      <c r="N1258" s="274"/>
      <c r="P1258" s="276">
        <v>46169.6260532407</v>
      </c>
    </row>
    <row r="1259" ht="15.0" customHeight="1">
      <c r="A1259" s="59" t="s">
        <v>12</v>
      </c>
      <c r="B1259" s="272">
        <v>46169.0</v>
      </c>
      <c r="D1259" s="46" t="s">
        <v>122</v>
      </c>
      <c r="E1259" s="59" t="s">
        <v>141</v>
      </c>
      <c r="F1259" s="59" t="s">
        <v>79</v>
      </c>
      <c r="G1259" s="59" t="s">
        <v>80</v>
      </c>
      <c r="H1259" s="273">
        <v>263.0</v>
      </c>
      <c r="I1259" s="274">
        <v>4813.0</v>
      </c>
      <c r="J1259" s="274">
        <v>5356.0</v>
      </c>
      <c r="K1259" s="274">
        <v>543.0</v>
      </c>
      <c r="L1259" s="274"/>
      <c r="M1259" s="274"/>
      <c r="N1259" s="274"/>
      <c r="P1259" s="276">
        <v>46169.6281365741</v>
      </c>
    </row>
    <row r="1260" ht="15.0" customHeight="1">
      <c r="A1260" s="59" t="s">
        <v>12</v>
      </c>
      <c r="B1260" s="272">
        <v>46169.0</v>
      </c>
      <c r="D1260" s="59" t="s">
        <v>136</v>
      </c>
      <c r="E1260" s="59" t="s">
        <v>141</v>
      </c>
      <c r="F1260" s="59" t="s">
        <v>79</v>
      </c>
      <c r="G1260" s="59" t="s">
        <v>80</v>
      </c>
      <c r="H1260" s="273">
        <v>72.0</v>
      </c>
      <c r="I1260" s="274">
        <v>316493.0</v>
      </c>
      <c r="J1260" s="274">
        <v>317793.0</v>
      </c>
      <c r="K1260" s="274">
        <v>1300.0</v>
      </c>
      <c r="L1260" s="274"/>
      <c r="M1260" s="274"/>
      <c r="N1260" s="274"/>
      <c r="P1260" s="276">
        <v>46169.6281481482</v>
      </c>
    </row>
    <row r="1261" ht="15.0" customHeight="1">
      <c r="A1261" s="59" t="s">
        <v>12</v>
      </c>
      <c r="B1261" s="272">
        <v>46169.0</v>
      </c>
      <c r="D1261" s="59" t="s">
        <v>118</v>
      </c>
      <c r="E1261" s="59" t="s">
        <v>141</v>
      </c>
      <c r="F1261" s="59" t="s">
        <v>79</v>
      </c>
      <c r="G1261" s="59" t="s">
        <v>80</v>
      </c>
      <c r="H1261" s="273">
        <v>366.0</v>
      </c>
      <c r="I1261" s="274">
        <v>148365.0</v>
      </c>
      <c r="J1261" s="274">
        <v>149211.0</v>
      </c>
      <c r="K1261" s="274">
        <v>846.0</v>
      </c>
      <c r="L1261" s="274"/>
      <c r="M1261" s="274"/>
      <c r="N1261" s="274"/>
      <c r="P1261" s="276">
        <v>46169.6281597222</v>
      </c>
    </row>
    <row r="1262" ht="15.0" customHeight="1">
      <c r="A1262" s="59" t="s">
        <v>12</v>
      </c>
      <c r="B1262" s="272">
        <v>46169.0</v>
      </c>
      <c r="D1262" s="59" t="s">
        <v>112</v>
      </c>
      <c r="E1262" s="59" t="s">
        <v>141</v>
      </c>
      <c r="F1262" s="59" t="s">
        <v>79</v>
      </c>
      <c r="G1262" s="59" t="s">
        <v>80</v>
      </c>
      <c r="H1262" s="273">
        <v>217.0</v>
      </c>
      <c r="I1262" s="274">
        <v>98088.0</v>
      </c>
      <c r="J1262" s="274">
        <v>98615.0</v>
      </c>
      <c r="K1262" s="274">
        <v>527.0</v>
      </c>
      <c r="L1262" s="274"/>
      <c r="M1262" s="274"/>
      <c r="N1262" s="274"/>
      <c r="P1262" s="276">
        <v>46170.6074074074</v>
      </c>
    </row>
    <row r="1263" ht="15.0" customHeight="1">
      <c r="A1263" s="59" t="s">
        <v>12</v>
      </c>
      <c r="B1263" s="272">
        <v>46169.0</v>
      </c>
      <c r="D1263" s="59" t="s">
        <v>113</v>
      </c>
      <c r="E1263" s="59" t="s">
        <v>141</v>
      </c>
      <c r="F1263" s="59" t="s">
        <v>79</v>
      </c>
      <c r="G1263" s="59" t="s">
        <v>80</v>
      </c>
      <c r="H1263" s="273">
        <v>210.0</v>
      </c>
      <c r="I1263" s="274">
        <v>170025.0</v>
      </c>
      <c r="J1263" s="274">
        <v>170413.0</v>
      </c>
      <c r="K1263" s="274">
        <v>388.0</v>
      </c>
      <c r="L1263" s="274"/>
      <c r="M1263" s="274"/>
      <c r="N1263" s="274"/>
      <c r="P1263" s="276">
        <v>46170.6074189815</v>
      </c>
    </row>
    <row r="1264" ht="15.0" customHeight="1">
      <c r="A1264" s="59" t="s">
        <v>12</v>
      </c>
      <c r="B1264" s="272">
        <v>46169.0</v>
      </c>
      <c r="D1264" s="59" t="s">
        <v>102</v>
      </c>
      <c r="E1264" s="59" t="s">
        <v>141</v>
      </c>
      <c r="F1264" s="59" t="s">
        <v>79</v>
      </c>
      <c r="G1264" s="59" t="s">
        <v>80</v>
      </c>
      <c r="H1264" s="273">
        <v>220.0</v>
      </c>
      <c r="I1264" s="274">
        <v>253005.0</v>
      </c>
      <c r="J1264" s="274">
        <v>253467.0</v>
      </c>
      <c r="K1264" s="274">
        <v>462.0</v>
      </c>
      <c r="L1264" s="274"/>
      <c r="M1264" s="274"/>
      <c r="N1264" s="274"/>
      <c r="P1264" s="276">
        <v>46170.6074305556</v>
      </c>
    </row>
    <row r="1265" ht="15.0" customHeight="1">
      <c r="A1265" s="59" t="s">
        <v>12</v>
      </c>
      <c r="B1265" s="272">
        <v>46169.0</v>
      </c>
      <c r="D1265" s="59" t="s">
        <v>127</v>
      </c>
      <c r="E1265" s="59" t="s">
        <v>141</v>
      </c>
      <c r="F1265" s="59" t="s">
        <v>79</v>
      </c>
      <c r="G1265" s="59" t="s">
        <v>80</v>
      </c>
      <c r="H1265" s="273">
        <v>200.0</v>
      </c>
      <c r="I1265" s="274"/>
      <c r="J1265" s="274"/>
      <c r="K1265" s="274"/>
      <c r="L1265" s="274"/>
      <c r="M1265" s="274"/>
      <c r="N1265" s="274"/>
      <c r="O1265" s="59" t="s">
        <v>576</v>
      </c>
      <c r="P1265" s="276">
        <v>46170.6074421296</v>
      </c>
    </row>
    <row r="1266" ht="15.0" customHeight="1">
      <c r="A1266" s="59" t="s">
        <v>12</v>
      </c>
      <c r="B1266" s="272">
        <v>46169.0</v>
      </c>
      <c r="D1266" s="59" t="s">
        <v>117</v>
      </c>
      <c r="E1266" s="59" t="s">
        <v>141</v>
      </c>
      <c r="F1266" s="59" t="s">
        <v>79</v>
      </c>
      <c r="G1266" s="59" t="s">
        <v>80</v>
      </c>
      <c r="H1266" s="273">
        <v>162.0</v>
      </c>
      <c r="I1266" s="274">
        <v>8286.0</v>
      </c>
      <c r="J1266" s="274">
        <v>8301.0</v>
      </c>
      <c r="K1266" s="274">
        <v>15.0</v>
      </c>
      <c r="L1266" s="274"/>
      <c r="M1266" s="274"/>
      <c r="N1266" s="274"/>
      <c r="P1266" s="276">
        <v>46170.6074537037</v>
      </c>
    </row>
    <row r="1267" ht="15.0" customHeight="1">
      <c r="A1267" s="59" t="s">
        <v>12</v>
      </c>
      <c r="B1267" s="272">
        <v>46169.0</v>
      </c>
      <c r="D1267" s="59" t="s">
        <v>82</v>
      </c>
      <c r="E1267" s="59" t="s">
        <v>141</v>
      </c>
      <c r="F1267" s="59" t="s">
        <v>79</v>
      </c>
      <c r="G1267" s="59" t="s">
        <v>80</v>
      </c>
      <c r="H1267" s="273">
        <v>270.0</v>
      </c>
      <c r="I1267" s="274">
        <v>92758.0</v>
      </c>
      <c r="J1267" s="274">
        <v>93399.0</v>
      </c>
      <c r="K1267" s="274">
        <v>641.0</v>
      </c>
      <c r="L1267" s="274"/>
      <c r="M1267" s="274"/>
      <c r="N1267" s="274"/>
      <c r="P1267" s="276">
        <v>46170.6074652778</v>
      </c>
    </row>
    <row r="1268" ht="15.0" customHeight="1">
      <c r="A1268" s="59" t="s">
        <v>12</v>
      </c>
      <c r="B1268" s="272">
        <v>46170.0</v>
      </c>
      <c r="D1268" s="59" t="s">
        <v>97</v>
      </c>
      <c r="E1268" s="59" t="s">
        <v>141</v>
      </c>
      <c r="F1268" s="59" t="s">
        <v>79</v>
      </c>
      <c r="G1268" s="59" t="s">
        <v>80</v>
      </c>
      <c r="H1268" s="273">
        <v>218.0</v>
      </c>
      <c r="I1268" s="274">
        <v>181220.0</v>
      </c>
      <c r="J1268" s="274">
        <v>181434.0</v>
      </c>
      <c r="K1268" s="274">
        <v>214.0</v>
      </c>
      <c r="L1268" s="274"/>
      <c r="M1268" s="274"/>
      <c r="N1268" s="274"/>
      <c r="P1268" s="276">
        <v>46170.6199305556</v>
      </c>
    </row>
    <row r="1269" ht="15.0" customHeight="1">
      <c r="A1269" s="59" t="s">
        <v>12</v>
      </c>
      <c r="B1269" s="272">
        <v>46170.0</v>
      </c>
      <c r="D1269" s="59" t="s">
        <v>101</v>
      </c>
      <c r="E1269" s="59" t="s">
        <v>141</v>
      </c>
      <c r="F1269" s="59" t="s">
        <v>79</v>
      </c>
      <c r="G1269" s="59" t="s">
        <v>80</v>
      </c>
      <c r="H1269" s="273">
        <v>210.0</v>
      </c>
      <c r="I1269" s="274">
        <v>114544.0</v>
      </c>
      <c r="J1269" s="274">
        <v>115003.0</v>
      </c>
      <c r="K1269" s="274">
        <v>459.0</v>
      </c>
      <c r="L1269" s="274"/>
      <c r="M1269" s="274"/>
      <c r="N1269" s="274"/>
      <c r="P1269" s="276">
        <v>46170.6199421296</v>
      </c>
    </row>
    <row r="1270" ht="15.0" customHeight="1">
      <c r="A1270" s="59" t="s">
        <v>12</v>
      </c>
      <c r="B1270" s="272">
        <v>46170.0</v>
      </c>
      <c r="D1270" s="59" t="s">
        <v>138</v>
      </c>
      <c r="E1270" s="59" t="s">
        <v>141</v>
      </c>
      <c r="F1270" s="59" t="s">
        <v>79</v>
      </c>
      <c r="G1270" s="59" t="s">
        <v>80</v>
      </c>
      <c r="H1270" s="273">
        <v>237.0</v>
      </c>
      <c r="I1270" s="274">
        <v>104483.0</v>
      </c>
      <c r="J1270" s="274">
        <v>105043.0</v>
      </c>
      <c r="K1270" s="274">
        <v>560.0</v>
      </c>
      <c r="L1270" s="274"/>
      <c r="M1270" s="274"/>
      <c r="N1270" s="274"/>
      <c r="P1270" s="276">
        <v>46170.6199537037</v>
      </c>
    </row>
    <row r="1271" ht="15.0" customHeight="1">
      <c r="A1271" s="59" t="s">
        <v>12</v>
      </c>
      <c r="B1271" s="272">
        <v>46170.0</v>
      </c>
      <c r="D1271" s="59" t="s">
        <v>98</v>
      </c>
      <c r="E1271" s="59" t="s">
        <v>141</v>
      </c>
      <c r="F1271" s="59" t="s">
        <v>79</v>
      </c>
      <c r="G1271" s="59" t="s">
        <v>80</v>
      </c>
      <c r="H1271" s="273">
        <v>180.0</v>
      </c>
      <c r="I1271" s="274">
        <v>164878.0</v>
      </c>
      <c r="J1271" s="274">
        <v>165380.0</v>
      </c>
      <c r="K1271" s="274">
        <v>502.0</v>
      </c>
      <c r="L1271" s="274"/>
      <c r="M1271" s="274"/>
      <c r="N1271" s="274"/>
      <c r="P1271" s="276">
        <v>46170.6199652778</v>
      </c>
    </row>
    <row r="1272" ht="15.0" customHeight="1">
      <c r="A1272" s="59" t="s">
        <v>12</v>
      </c>
      <c r="B1272" s="272">
        <v>46170.0</v>
      </c>
      <c r="D1272" s="59" t="s">
        <v>86</v>
      </c>
      <c r="E1272" s="59" t="s">
        <v>141</v>
      </c>
      <c r="F1272" s="59" t="s">
        <v>79</v>
      </c>
      <c r="G1272" s="59" t="s">
        <v>80</v>
      </c>
      <c r="H1272" s="273">
        <v>216.0</v>
      </c>
      <c r="I1272" s="274">
        <v>189206.0</v>
      </c>
      <c r="J1272" s="274">
        <v>189555.0</v>
      </c>
      <c r="K1272" s="274">
        <v>349.0</v>
      </c>
      <c r="L1272" s="274"/>
      <c r="M1272" s="274"/>
      <c r="N1272" s="274"/>
      <c r="P1272" s="276">
        <v>46170.6199768519</v>
      </c>
    </row>
    <row r="1273" ht="15.0" customHeight="1">
      <c r="A1273" s="59" t="s">
        <v>12</v>
      </c>
      <c r="B1273" s="272">
        <v>46170.0</v>
      </c>
      <c r="D1273" s="59" t="s">
        <v>145</v>
      </c>
      <c r="E1273" s="59" t="s">
        <v>141</v>
      </c>
      <c r="F1273" s="59" t="s">
        <v>79</v>
      </c>
      <c r="G1273" s="59" t="s">
        <v>80</v>
      </c>
      <c r="H1273" s="273">
        <v>230.0</v>
      </c>
      <c r="I1273" s="274">
        <v>264039.0</v>
      </c>
      <c r="J1273" s="274">
        <v>264584.0</v>
      </c>
      <c r="K1273" s="274">
        <v>545.0</v>
      </c>
      <c r="L1273" s="274"/>
      <c r="M1273" s="274"/>
      <c r="N1273" s="274"/>
      <c r="P1273" s="276">
        <v>46170.6199884259</v>
      </c>
    </row>
    <row r="1274" ht="15.0" customHeight="1">
      <c r="A1274" s="59" t="s">
        <v>12</v>
      </c>
      <c r="B1274" s="272">
        <v>46170.0</v>
      </c>
      <c r="D1274" s="59" t="s">
        <v>114</v>
      </c>
      <c r="E1274" s="59" t="s">
        <v>141</v>
      </c>
      <c r="F1274" s="59" t="s">
        <v>79</v>
      </c>
      <c r="G1274" s="59" t="s">
        <v>80</v>
      </c>
      <c r="H1274" s="273">
        <v>246.0</v>
      </c>
      <c r="I1274" s="274">
        <v>273521.0</v>
      </c>
      <c r="J1274" s="274">
        <v>274114.0</v>
      </c>
      <c r="K1274" s="274">
        <v>593.0</v>
      </c>
      <c r="L1274" s="274"/>
      <c r="M1274" s="274"/>
      <c r="N1274" s="274"/>
      <c r="P1274" s="276">
        <v>46170.62</v>
      </c>
    </row>
    <row r="1275" ht="15.0" customHeight="1">
      <c r="A1275" s="59" t="s">
        <v>12</v>
      </c>
      <c r="B1275" s="272">
        <v>46170.0</v>
      </c>
      <c r="D1275" s="59" t="s">
        <v>92</v>
      </c>
      <c r="E1275" s="59" t="s">
        <v>141</v>
      </c>
      <c r="F1275" s="59" t="s">
        <v>79</v>
      </c>
      <c r="G1275" s="59" t="s">
        <v>80</v>
      </c>
      <c r="H1275" s="273">
        <v>268.0</v>
      </c>
      <c r="I1275" s="274">
        <v>240015.0</v>
      </c>
      <c r="J1275" s="274">
        <v>240629.0</v>
      </c>
      <c r="K1275" s="274">
        <v>614.0</v>
      </c>
      <c r="L1275" s="274"/>
      <c r="M1275" s="274"/>
      <c r="N1275" s="274"/>
      <c r="P1275" s="276">
        <v>46170.6200115741</v>
      </c>
    </row>
    <row r="1276" ht="15.0" customHeight="1">
      <c r="A1276" s="59" t="s">
        <v>12</v>
      </c>
      <c r="B1276" s="272">
        <v>46170.0</v>
      </c>
      <c r="D1276" s="59" t="s">
        <v>92</v>
      </c>
      <c r="E1276" s="59" t="s">
        <v>93</v>
      </c>
      <c r="F1276" s="59" t="s">
        <v>79</v>
      </c>
      <c r="G1276" s="59" t="s">
        <v>93</v>
      </c>
      <c r="H1276" s="273">
        <v>2.0</v>
      </c>
      <c r="I1276" s="274"/>
      <c r="J1276" s="274"/>
      <c r="K1276" s="274"/>
      <c r="L1276" s="274"/>
      <c r="M1276" s="274"/>
      <c r="N1276" s="274"/>
      <c r="O1276" s="59" t="s">
        <v>572</v>
      </c>
      <c r="P1276" s="276">
        <v>46170.6200231482</v>
      </c>
    </row>
    <row r="1277" ht="15.0" customHeight="1">
      <c r="A1277" s="59" t="s">
        <v>12</v>
      </c>
      <c r="B1277" s="272">
        <v>46170.0</v>
      </c>
      <c r="D1277" s="46" t="s">
        <v>121</v>
      </c>
      <c r="E1277" s="59" t="s">
        <v>141</v>
      </c>
      <c r="F1277" s="59" t="s">
        <v>79</v>
      </c>
      <c r="G1277" s="59" t="s">
        <v>80</v>
      </c>
      <c r="H1277" s="273">
        <v>303.0</v>
      </c>
      <c r="I1277" s="274">
        <v>2298.0</v>
      </c>
      <c r="J1277" s="274">
        <v>3133.0</v>
      </c>
      <c r="K1277" s="274">
        <v>835.0</v>
      </c>
      <c r="L1277" s="274"/>
      <c r="M1277" s="274"/>
      <c r="N1277" s="274"/>
      <c r="P1277" s="276">
        <v>46170.6200347222</v>
      </c>
    </row>
    <row r="1278" ht="15.0" customHeight="1">
      <c r="A1278" s="59" t="s">
        <v>12</v>
      </c>
      <c r="B1278" s="272">
        <v>46170.0</v>
      </c>
      <c r="D1278" s="46" t="s">
        <v>148</v>
      </c>
      <c r="E1278" s="59" t="s">
        <v>141</v>
      </c>
      <c r="F1278" s="59" t="s">
        <v>79</v>
      </c>
      <c r="G1278" s="59" t="s">
        <v>80</v>
      </c>
      <c r="H1278" s="273">
        <v>305.0</v>
      </c>
      <c r="I1278" s="274">
        <v>3325.0</v>
      </c>
      <c r="J1278" s="274">
        <v>3950.0</v>
      </c>
      <c r="K1278" s="274">
        <v>625.0</v>
      </c>
      <c r="L1278" s="274"/>
      <c r="M1278" s="274"/>
      <c r="N1278" s="274"/>
      <c r="P1278" s="276">
        <v>46170.6200578704</v>
      </c>
    </row>
    <row r="1279" ht="15.0" customHeight="1">
      <c r="A1279" s="59" t="s">
        <v>12</v>
      </c>
      <c r="B1279" s="272">
        <v>46170.0</v>
      </c>
      <c r="D1279" s="59" t="s">
        <v>135</v>
      </c>
      <c r="E1279" s="59" t="s">
        <v>141</v>
      </c>
      <c r="F1279" s="59" t="s">
        <v>79</v>
      </c>
      <c r="G1279" s="59" t="s">
        <v>80</v>
      </c>
      <c r="H1279" s="273">
        <v>58.0</v>
      </c>
      <c r="I1279" s="274">
        <v>476445.0</v>
      </c>
      <c r="J1279" s="274">
        <v>477094.0</v>
      </c>
      <c r="K1279" s="274">
        <v>649.0</v>
      </c>
      <c r="L1279" s="274"/>
      <c r="M1279" s="274"/>
      <c r="N1279" s="274"/>
      <c r="P1279" s="276">
        <v>46170.6200694444</v>
      </c>
    </row>
    <row r="1280" ht="15.0" customHeight="1">
      <c r="A1280" s="59" t="s">
        <v>12</v>
      </c>
      <c r="B1280" s="272">
        <v>46170.0</v>
      </c>
      <c r="D1280" s="59" t="s">
        <v>87</v>
      </c>
      <c r="E1280" s="59" t="s">
        <v>141</v>
      </c>
      <c r="F1280" s="59" t="s">
        <v>79</v>
      </c>
      <c r="G1280" s="59" t="s">
        <v>80</v>
      </c>
      <c r="H1280" s="273">
        <v>200.0</v>
      </c>
      <c r="I1280" s="274">
        <v>262776.0</v>
      </c>
      <c r="J1280" s="274">
        <v>263199.0</v>
      </c>
      <c r="K1280" s="274">
        <v>423.0</v>
      </c>
      <c r="L1280" s="274"/>
      <c r="M1280" s="274"/>
      <c r="N1280" s="274"/>
      <c r="P1280" s="276">
        <v>46171.6386805556</v>
      </c>
    </row>
    <row r="1281" ht="15.0" customHeight="1">
      <c r="A1281" s="59" t="s">
        <v>12</v>
      </c>
      <c r="B1281" s="272">
        <v>46170.0</v>
      </c>
      <c r="D1281" s="59" t="s">
        <v>88</v>
      </c>
      <c r="E1281" s="59" t="s">
        <v>141</v>
      </c>
      <c r="F1281" s="59" t="s">
        <v>79</v>
      </c>
      <c r="G1281" s="59" t="s">
        <v>80</v>
      </c>
      <c r="H1281" s="273">
        <v>485.0</v>
      </c>
      <c r="I1281" s="274"/>
      <c r="J1281" s="274">
        <v>239787.0</v>
      </c>
      <c r="K1281" s="274"/>
      <c r="L1281" s="274"/>
      <c r="M1281" s="274"/>
      <c r="N1281" s="274"/>
      <c r="P1281" s="276">
        <v>46171.6386921296</v>
      </c>
    </row>
    <row r="1282" ht="15.0" customHeight="1">
      <c r="A1282" s="59" t="s">
        <v>12</v>
      </c>
      <c r="B1282" s="272">
        <v>46170.0</v>
      </c>
      <c r="D1282" s="59" t="s">
        <v>103</v>
      </c>
      <c r="E1282" s="59" t="s">
        <v>141</v>
      </c>
      <c r="F1282" s="59" t="s">
        <v>79</v>
      </c>
      <c r="G1282" s="59" t="s">
        <v>80</v>
      </c>
      <c r="H1282" s="273">
        <v>167.0</v>
      </c>
      <c r="I1282" s="274">
        <v>4239.0</v>
      </c>
      <c r="J1282" s="274">
        <v>4254.0</v>
      </c>
      <c r="K1282" s="274">
        <v>15.0</v>
      </c>
      <c r="L1282" s="274"/>
      <c r="M1282" s="274"/>
      <c r="N1282" s="274"/>
      <c r="P1282" s="276">
        <v>46171.6387037037</v>
      </c>
    </row>
    <row r="1283" ht="15.0" customHeight="1">
      <c r="A1283" s="59" t="s">
        <v>12</v>
      </c>
      <c r="B1283" s="272">
        <v>46170.0</v>
      </c>
      <c r="D1283" s="59" t="s">
        <v>339</v>
      </c>
      <c r="E1283" s="59" t="s">
        <v>141</v>
      </c>
      <c r="F1283" s="59" t="s">
        <v>79</v>
      </c>
      <c r="G1283" s="59" t="s">
        <v>80</v>
      </c>
      <c r="H1283" s="273">
        <v>170.0</v>
      </c>
      <c r="I1283" s="274"/>
      <c r="J1283" s="274"/>
      <c r="K1283" s="274"/>
      <c r="L1283" s="274"/>
      <c r="M1283" s="274"/>
      <c r="N1283" s="274"/>
      <c r="O1283" s="59" t="s">
        <v>577</v>
      </c>
      <c r="P1283" s="276">
        <v>46171.6387152778</v>
      </c>
    </row>
    <row r="1284" ht="15.0" customHeight="1">
      <c r="A1284" s="59" t="s">
        <v>12</v>
      </c>
      <c r="B1284" s="272">
        <v>46170.0</v>
      </c>
      <c r="D1284" s="59" t="s">
        <v>133</v>
      </c>
      <c r="E1284" s="59" t="s">
        <v>141</v>
      </c>
      <c r="F1284" s="59" t="s">
        <v>79</v>
      </c>
      <c r="G1284" s="59" t="s">
        <v>80</v>
      </c>
      <c r="H1284" s="273">
        <v>212.0</v>
      </c>
      <c r="I1284" s="274"/>
      <c r="J1284" s="274"/>
      <c r="K1284" s="274"/>
      <c r="L1284" s="274"/>
      <c r="M1284" s="274"/>
      <c r="N1284" s="274"/>
      <c r="O1284" s="59" t="s">
        <v>165</v>
      </c>
      <c r="P1284" s="276">
        <v>46171.6387268519</v>
      </c>
    </row>
    <row r="1285" ht="15.0" customHeight="1">
      <c r="A1285" s="59" t="s">
        <v>12</v>
      </c>
      <c r="B1285" s="272">
        <v>46170.0</v>
      </c>
      <c r="D1285" s="59" t="s">
        <v>84</v>
      </c>
      <c r="E1285" s="59" t="s">
        <v>141</v>
      </c>
      <c r="F1285" s="59" t="s">
        <v>79</v>
      </c>
      <c r="G1285" s="59" t="s">
        <v>80</v>
      </c>
      <c r="H1285" s="273">
        <v>49.0</v>
      </c>
      <c r="I1285" s="274"/>
      <c r="J1285" s="274"/>
      <c r="K1285" s="274"/>
      <c r="L1285" s="274"/>
      <c r="M1285" s="274"/>
      <c r="N1285" s="274"/>
      <c r="O1285" s="59" t="s">
        <v>124</v>
      </c>
      <c r="P1285" s="276">
        <v>46171.63875</v>
      </c>
    </row>
    <row r="1286" ht="15.0" customHeight="1">
      <c r="A1286" s="59" t="s">
        <v>12</v>
      </c>
      <c r="B1286" s="272">
        <v>46171.0</v>
      </c>
      <c r="D1286" s="59" t="s">
        <v>97</v>
      </c>
      <c r="E1286" s="59" t="s">
        <v>141</v>
      </c>
      <c r="F1286" s="59" t="s">
        <v>79</v>
      </c>
      <c r="G1286" s="59" t="s">
        <v>80</v>
      </c>
      <c r="H1286" s="273">
        <v>175.0</v>
      </c>
      <c r="I1286" s="274">
        <v>181434.0</v>
      </c>
      <c r="J1286" s="274">
        <v>181633.0</v>
      </c>
      <c r="K1286" s="274">
        <v>199.0</v>
      </c>
      <c r="L1286" s="274"/>
      <c r="M1286" s="274"/>
      <c r="N1286" s="274"/>
      <c r="P1286" s="276">
        <v>46171.6417708333</v>
      </c>
    </row>
    <row r="1287" ht="15.0" customHeight="1">
      <c r="A1287" s="59" t="s">
        <v>12</v>
      </c>
      <c r="B1287" s="272">
        <v>46171.0</v>
      </c>
      <c r="D1287" s="59" t="s">
        <v>336</v>
      </c>
      <c r="E1287" s="59" t="s">
        <v>141</v>
      </c>
      <c r="F1287" s="59" t="s">
        <v>79</v>
      </c>
      <c r="G1287" s="59" t="s">
        <v>80</v>
      </c>
      <c r="H1287" s="273">
        <v>230.0</v>
      </c>
      <c r="I1287" s="274">
        <v>169152.0</v>
      </c>
      <c r="J1287" s="274">
        <v>169606.0</v>
      </c>
      <c r="K1287" s="274">
        <v>454.0</v>
      </c>
      <c r="L1287" s="274"/>
      <c r="M1287" s="274"/>
      <c r="N1287" s="274"/>
      <c r="P1287" s="276">
        <v>46171.6417824074</v>
      </c>
    </row>
    <row r="1288" ht="15.0" customHeight="1">
      <c r="A1288" s="59" t="s">
        <v>12</v>
      </c>
      <c r="B1288" s="272">
        <v>46171.0</v>
      </c>
      <c r="D1288" s="59" t="s">
        <v>113</v>
      </c>
      <c r="E1288" s="59" t="s">
        <v>141</v>
      </c>
      <c r="F1288" s="59" t="s">
        <v>79</v>
      </c>
      <c r="G1288" s="59" t="s">
        <v>80</v>
      </c>
      <c r="H1288" s="273">
        <v>213.0</v>
      </c>
      <c r="I1288" s="274">
        <v>170484.0</v>
      </c>
      <c r="J1288" s="274">
        <v>170897.0</v>
      </c>
      <c r="K1288" s="274">
        <v>413.0</v>
      </c>
      <c r="L1288" s="274"/>
      <c r="M1288" s="274"/>
      <c r="N1288" s="274"/>
      <c r="P1288" s="276">
        <v>46171.6417939815</v>
      </c>
    </row>
    <row r="1289" ht="15.0" customHeight="1">
      <c r="A1289" s="59" t="s">
        <v>12</v>
      </c>
      <c r="B1289" s="272">
        <v>46171.0</v>
      </c>
      <c r="D1289" s="59" t="s">
        <v>115</v>
      </c>
      <c r="E1289" s="59" t="s">
        <v>141</v>
      </c>
      <c r="F1289" s="59" t="s">
        <v>79</v>
      </c>
      <c r="G1289" s="59" t="s">
        <v>80</v>
      </c>
      <c r="H1289" s="273">
        <v>343.0</v>
      </c>
      <c r="I1289" s="274">
        <v>12435.0</v>
      </c>
      <c r="J1289" s="274">
        <v>13592.0</v>
      </c>
      <c r="K1289" s="274">
        <v>1157.0</v>
      </c>
      <c r="L1289" s="274"/>
      <c r="M1289" s="274"/>
      <c r="N1289" s="274"/>
      <c r="P1289" s="276">
        <v>46171.6418171296</v>
      </c>
    </row>
    <row r="1290" ht="15.0" customHeight="1">
      <c r="A1290" s="59" t="s">
        <v>12</v>
      </c>
      <c r="B1290" s="272">
        <v>46171.0</v>
      </c>
      <c r="D1290" s="59" t="s">
        <v>89</v>
      </c>
      <c r="E1290" s="59" t="s">
        <v>141</v>
      </c>
      <c r="F1290" s="59" t="s">
        <v>79</v>
      </c>
      <c r="G1290" s="59" t="s">
        <v>80</v>
      </c>
      <c r="H1290" s="273">
        <v>54.0</v>
      </c>
      <c r="I1290" s="274"/>
      <c r="J1290" s="274"/>
      <c r="K1290" s="274"/>
      <c r="L1290" s="274"/>
      <c r="M1290" s="274"/>
      <c r="N1290" s="274"/>
      <c r="O1290" s="59" t="s">
        <v>124</v>
      </c>
      <c r="P1290" s="276">
        <v>46171.6418287037</v>
      </c>
    </row>
    <row r="1291" ht="15.0" customHeight="1">
      <c r="A1291" s="59" t="s">
        <v>12</v>
      </c>
      <c r="B1291" s="272">
        <v>46171.0</v>
      </c>
      <c r="D1291" s="59" t="s">
        <v>99</v>
      </c>
      <c r="E1291" s="59" t="s">
        <v>141</v>
      </c>
      <c r="F1291" s="59" t="s">
        <v>79</v>
      </c>
      <c r="G1291" s="59" t="s">
        <v>80</v>
      </c>
      <c r="H1291" s="273">
        <v>267.0</v>
      </c>
      <c r="I1291" s="274">
        <v>150378.0</v>
      </c>
      <c r="J1291" s="274">
        <v>150928.0</v>
      </c>
      <c r="K1291" s="274">
        <v>550.0</v>
      </c>
      <c r="L1291" s="274"/>
      <c r="M1291" s="274"/>
      <c r="N1291" s="274"/>
      <c r="P1291" s="276">
        <v>46171.6418402778</v>
      </c>
    </row>
    <row r="1292" ht="15.0" customHeight="1">
      <c r="A1292" s="59" t="s">
        <v>12</v>
      </c>
      <c r="B1292" s="272">
        <v>46171.0</v>
      </c>
      <c r="D1292" s="59" t="s">
        <v>130</v>
      </c>
      <c r="E1292" s="59" t="s">
        <v>141</v>
      </c>
      <c r="F1292" s="59" t="s">
        <v>79</v>
      </c>
      <c r="G1292" s="59" t="s">
        <v>80</v>
      </c>
      <c r="H1292" s="273">
        <v>177.0</v>
      </c>
      <c r="I1292" s="274"/>
      <c r="J1292" s="274"/>
      <c r="K1292" s="274"/>
      <c r="L1292" s="274"/>
      <c r="M1292" s="274"/>
      <c r="N1292" s="274"/>
      <c r="O1292" s="59" t="s">
        <v>131</v>
      </c>
      <c r="P1292" s="276">
        <v>46171.6418518519</v>
      </c>
    </row>
    <row r="1293" ht="15.0" customHeight="1">
      <c r="A1293" s="59" t="s">
        <v>12</v>
      </c>
      <c r="B1293" s="272">
        <v>46171.0</v>
      </c>
      <c r="D1293" s="59" t="s">
        <v>88</v>
      </c>
      <c r="E1293" s="59" t="s">
        <v>110</v>
      </c>
      <c r="F1293" s="59" t="s">
        <v>79</v>
      </c>
      <c r="G1293" s="59" t="s">
        <v>110</v>
      </c>
      <c r="H1293" s="273">
        <v>30.0</v>
      </c>
      <c r="I1293" s="274"/>
      <c r="J1293" s="274"/>
      <c r="K1293" s="274"/>
      <c r="L1293" s="274"/>
      <c r="M1293" s="274"/>
      <c r="N1293" s="274"/>
      <c r="P1293" s="276">
        <v>46173.5187731482</v>
      </c>
    </row>
    <row r="1294" ht="15.0" customHeight="1">
      <c r="A1294" s="59" t="s">
        <v>12</v>
      </c>
      <c r="B1294" s="272">
        <v>46172.0</v>
      </c>
      <c r="D1294" s="59" t="s">
        <v>99</v>
      </c>
      <c r="E1294" s="59" t="s">
        <v>110</v>
      </c>
      <c r="F1294" s="59" t="s">
        <v>79</v>
      </c>
      <c r="G1294" s="59" t="s">
        <v>110</v>
      </c>
      <c r="H1294" s="273">
        <v>28.0</v>
      </c>
      <c r="I1294" s="274">
        <v>134496.0</v>
      </c>
      <c r="J1294" s="274">
        <v>151111.0</v>
      </c>
      <c r="K1294" s="274">
        <v>16615.0</v>
      </c>
      <c r="L1294" s="274"/>
      <c r="M1294" s="274"/>
      <c r="N1294" s="274"/>
      <c r="P1294" s="276">
        <v>46173.519525463</v>
      </c>
    </row>
    <row r="1295" ht="15.0" customHeight="1">
      <c r="A1295" s="59" t="s">
        <v>12</v>
      </c>
      <c r="B1295" s="272">
        <v>46173.0</v>
      </c>
      <c r="D1295" s="59" t="s">
        <v>116</v>
      </c>
      <c r="E1295" s="59" t="s">
        <v>110</v>
      </c>
      <c r="F1295" s="59" t="s">
        <v>79</v>
      </c>
      <c r="G1295" s="59" t="s">
        <v>110</v>
      </c>
      <c r="H1295" s="273">
        <v>15.0</v>
      </c>
      <c r="I1295" s="274"/>
      <c r="J1295" s="274"/>
      <c r="K1295" s="274"/>
      <c r="L1295" s="274"/>
      <c r="M1295" s="274"/>
      <c r="N1295" s="274"/>
      <c r="P1295" s="276">
        <v>46173.5233333333</v>
      </c>
    </row>
    <row r="1296" ht="15.0" customHeight="1">
      <c r="A1296" s="59" t="s">
        <v>12</v>
      </c>
      <c r="B1296" s="272">
        <v>46173.0</v>
      </c>
      <c r="D1296" s="59" t="s">
        <v>138</v>
      </c>
      <c r="E1296" s="59" t="s">
        <v>141</v>
      </c>
      <c r="F1296" s="59" t="s">
        <v>79</v>
      </c>
      <c r="G1296" s="59" t="s">
        <v>80</v>
      </c>
      <c r="H1296" s="273">
        <v>250.0</v>
      </c>
      <c r="I1296" s="274">
        <v>105043.0</v>
      </c>
      <c r="J1296" s="274">
        <v>105627.0</v>
      </c>
      <c r="K1296" s="274">
        <v>584.0</v>
      </c>
      <c r="L1296" s="274"/>
      <c r="M1296" s="274"/>
      <c r="N1296" s="274"/>
      <c r="P1296" s="276">
        <v>46173.5284606482</v>
      </c>
    </row>
    <row r="1297" ht="15.0" customHeight="1">
      <c r="A1297" s="59" t="s">
        <v>12</v>
      </c>
      <c r="B1297" s="272">
        <v>46173.0</v>
      </c>
      <c r="D1297" s="59" t="s">
        <v>89</v>
      </c>
      <c r="E1297" s="59" t="s">
        <v>141</v>
      </c>
      <c r="F1297" s="59" t="s">
        <v>79</v>
      </c>
      <c r="G1297" s="59" t="s">
        <v>80</v>
      </c>
      <c r="H1297" s="273">
        <v>515.0</v>
      </c>
      <c r="I1297" s="274">
        <v>5006.0</v>
      </c>
      <c r="J1297" s="274">
        <v>6175.0</v>
      </c>
      <c r="K1297" s="274">
        <v>1169.0</v>
      </c>
      <c r="L1297" s="274"/>
      <c r="M1297" s="274"/>
      <c r="N1297" s="274"/>
      <c r="P1297" s="276">
        <v>46173.5284722222</v>
      </c>
    </row>
    <row r="1298" ht="15.0" customHeight="1">
      <c r="A1298" s="59" t="s">
        <v>12</v>
      </c>
      <c r="B1298" s="272">
        <v>46173.0</v>
      </c>
      <c r="D1298" s="46" t="s">
        <v>121</v>
      </c>
      <c r="E1298" s="59" t="s">
        <v>141</v>
      </c>
      <c r="F1298" s="59" t="s">
        <v>79</v>
      </c>
      <c r="G1298" s="59" t="s">
        <v>80</v>
      </c>
      <c r="H1298" s="273">
        <v>78.0</v>
      </c>
      <c r="I1298" s="274">
        <v>3133.0</v>
      </c>
      <c r="J1298" s="274">
        <v>3259.0</v>
      </c>
      <c r="K1298" s="274">
        <v>126.0</v>
      </c>
      <c r="L1298" s="274"/>
      <c r="M1298" s="274"/>
      <c r="N1298" s="274"/>
      <c r="P1298" s="276">
        <v>46173.5284837963</v>
      </c>
    </row>
    <row r="1299" ht="15.0" customHeight="1">
      <c r="A1299" s="59" t="s">
        <v>12</v>
      </c>
      <c r="B1299" s="272">
        <v>46172.0</v>
      </c>
      <c r="D1299" s="46" t="s">
        <v>132</v>
      </c>
      <c r="E1299" s="59" t="s">
        <v>141</v>
      </c>
      <c r="F1299" s="59" t="s">
        <v>79</v>
      </c>
      <c r="G1299" s="59" t="s">
        <v>80</v>
      </c>
      <c r="H1299" s="273">
        <v>216.0</v>
      </c>
      <c r="I1299" s="274">
        <v>4676.0</v>
      </c>
      <c r="J1299" s="274">
        <v>5038.0</v>
      </c>
      <c r="K1299" s="274">
        <v>362.0</v>
      </c>
      <c r="L1299" s="274"/>
      <c r="M1299" s="274"/>
      <c r="N1299" s="274"/>
      <c r="P1299" s="276">
        <v>46173.5293402778</v>
      </c>
    </row>
    <row r="1300" ht="15.0" customHeight="1">
      <c r="A1300" s="59" t="s">
        <v>12</v>
      </c>
      <c r="B1300" s="272">
        <v>46172.0</v>
      </c>
      <c r="D1300" s="59" t="s">
        <v>127</v>
      </c>
      <c r="E1300" s="59" t="s">
        <v>141</v>
      </c>
      <c r="F1300" s="59" t="s">
        <v>79</v>
      </c>
      <c r="G1300" s="59" t="s">
        <v>80</v>
      </c>
      <c r="H1300" s="273">
        <v>200.0</v>
      </c>
      <c r="I1300" s="274"/>
      <c r="J1300" s="274"/>
      <c r="K1300" s="274"/>
      <c r="L1300" s="274"/>
      <c r="M1300" s="274"/>
      <c r="N1300" s="274"/>
      <c r="O1300" s="59" t="s">
        <v>578</v>
      </c>
      <c r="P1300" s="276">
        <v>46173.5293518519</v>
      </c>
    </row>
    <row r="1301" ht="15.0" customHeight="1">
      <c r="A1301" s="59" t="s">
        <v>12</v>
      </c>
      <c r="B1301" s="272">
        <v>46172.0</v>
      </c>
      <c r="D1301" s="59" t="s">
        <v>98</v>
      </c>
      <c r="E1301" s="59" t="s">
        <v>141</v>
      </c>
      <c r="F1301" s="59" t="s">
        <v>79</v>
      </c>
      <c r="G1301" s="59" t="s">
        <v>80</v>
      </c>
      <c r="H1301" s="273">
        <v>166.0</v>
      </c>
      <c r="I1301" s="274">
        <v>165380.0</v>
      </c>
      <c r="J1301" s="274">
        <v>165695.0</v>
      </c>
      <c r="K1301" s="274">
        <v>315.0</v>
      </c>
      <c r="L1301" s="274"/>
      <c r="M1301" s="274"/>
      <c r="N1301" s="274"/>
      <c r="P1301" s="276">
        <v>46173.5362268519</v>
      </c>
    </row>
    <row r="1302" ht="15.0" customHeight="1">
      <c r="A1302" s="59" t="s">
        <v>12</v>
      </c>
      <c r="B1302" s="272">
        <v>46172.0</v>
      </c>
      <c r="D1302" s="59" t="s">
        <v>102</v>
      </c>
      <c r="E1302" s="59" t="s">
        <v>141</v>
      </c>
      <c r="F1302" s="59" t="s">
        <v>79</v>
      </c>
      <c r="G1302" s="59" t="s">
        <v>80</v>
      </c>
      <c r="H1302" s="273">
        <v>210.0</v>
      </c>
      <c r="I1302" s="274">
        <v>253467.0</v>
      </c>
      <c r="J1302" s="274">
        <v>253946.0</v>
      </c>
      <c r="K1302" s="274">
        <v>479.0</v>
      </c>
      <c r="L1302" s="274"/>
      <c r="M1302" s="274"/>
      <c r="N1302" s="274"/>
      <c r="P1302" s="276">
        <v>46173.53625</v>
      </c>
    </row>
    <row r="1303" ht="15.0" customHeight="1">
      <c r="A1303" s="59" t="s">
        <v>12</v>
      </c>
      <c r="B1303" s="272">
        <v>46172.0</v>
      </c>
      <c r="D1303" s="59" t="s">
        <v>116</v>
      </c>
      <c r="E1303" s="59" t="s">
        <v>141</v>
      </c>
      <c r="F1303" s="59" t="s">
        <v>79</v>
      </c>
      <c r="G1303" s="59" t="s">
        <v>80</v>
      </c>
      <c r="H1303" s="273">
        <v>320.0</v>
      </c>
      <c r="I1303" s="274">
        <v>76327.0</v>
      </c>
      <c r="J1303" s="274">
        <v>77015.0</v>
      </c>
      <c r="K1303" s="274">
        <v>688.0</v>
      </c>
      <c r="L1303" s="274"/>
      <c r="M1303" s="274"/>
      <c r="N1303" s="274"/>
      <c r="P1303" s="276">
        <v>46173.5362615741</v>
      </c>
    </row>
    <row r="1304" ht="15.0" customHeight="1">
      <c r="A1304" s="59" t="s">
        <v>12</v>
      </c>
      <c r="B1304" s="272">
        <v>46172.0</v>
      </c>
      <c r="D1304" s="59" t="s">
        <v>100</v>
      </c>
      <c r="E1304" s="59" t="s">
        <v>141</v>
      </c>
      <c r="F1304" s="59" t="s">
        <v>79</v>
      </c>
      <c r="G1304" s="59" t="s">
        <v>80</v>
      </c>
      <c r="H1304" s="273">
        <v>325.0</v>
      </c>
      <c r="I1304" s="274">
        <v>404798.0</v>
      </c>
      <c r="J1304" s="274">
        <v>405557.0</v>
      </c>
      <c r="K1304" s="274">
        <v>759.0</v>
      </c>
      <c r="L1304" s="274"/>
      <c r="M1304" s="274"/>
      <c r="N1304" s="274"/>
      <c r="P1304" s="276">
        <v>46173.5362731482</v>
      </c>
    </row>
    <row r="1305" ht="15.0" customHeight="1">
      <c r="A1305" s="59" t="s">
        <v>12</v>
      </c>
      <c r="B1305" s="272">
        <v>46172.0</v>
      </c>
      <c r="D1305" s="59" t="s">
        <v>119</v>
      </c>
      <c r="E1305" s="59" t="s">
        <v>141</v>
      </c>
      <c r="F1305" s="59" t="s">
        <v>79</v>
      </c>
      <c r="G1305" s="59" t="s">
        <v>80</v>
      </c>
      <c r="H1305" s="273">
        <v>330.0</v>
      </c>
      <c r="I1305" s="274">
        <v>51642.0</v>
      </c>
      <c r="J1305" s="274">
        <v>53733.0</v>
      </c>
      <c r="K1305" s="274">
        <v>2091.0</v>
      </c>
      <c r="L1305" s="274"/>
      <c r="M1305" s="274"/>
      <c r="N1305" s="274"/>
      <c r="P1305" s="276">
        <v>46173.5362847222</v>
      </c>
    </row>
    <row r="1306" ht="15.0" customHeight="1">
      <c r="A1306" s="59" t="s">
        <v>12</v>
      </c>
      <c r="B1306" s="272">
        <v>46172.0</v>
      </c>
      <c r="D1306" s="59" t="s">
        <v>84</v>
      </c>
      <c r="E1306" s="59" t="s">
        <v>141</v>
      </c>
      <c r="F1306" s="59" t="s">
        <v>79</v>
      </c>
      <c r="G1306" s="59" t="s">
        <v>80</v>
      </c>
      <c r="H1306" s="273">
        <v>235.0</v>
      </c>
      <c r="I1306" s="274">
        <v>45404.0</v>
      </c>
      <c r="J1306" s="274">
        <v>45835.0</v>
      </c>
      <c r="K1306" s="274">
        <v>431.0</v>
      </c>
      <c r="L1306" s="274"/>
      <c r="M1306" s="274"/>
      <c r="N1306" s="274"/>
      <c r="P1306" s="276">
        <v>46173.5362962963</v>
      </c>
    </row>
    <row r="1307" ht="15.0" customHeight="1">
      <c r="A1307" s="59" t="s">
        <v>12</v>
      </c>
      <c r="B1307" s="272">
        <v>46171.0</v>
      </c>
      <c r="D1307" s="59" t="s">
        <v>91</v>
      </c>
      <c r="E1307" s="59" t="s">
        <v>141</v>
      </c>
      <c r="F1307" s="59" t="s">
        <v>79</v>
      </c>
      <c r="G1307" s="59" t="s">
        <v>80</v>
      </c>
      <c r="H1307" s="273">
        <v>35.0</v>
      </c>
      <c r="I1307" s="274">
        <v>11305.0</v>
      </c>
      <c r="J1307" s="274">
        <v>11871.0</v>
      </c>
      <c r="K1307" s="274">
        <v>566.0</v>
      </c>
      <c r="L1307" s="274"/>
      <c r="M1307" s="274"/>
      <c r="N1307" s="274"/>
      <c r="P1307" s="276">
        <v>46173.5372916667</v>
      </c>
    </row>
    <row r="1308" ht="15.0" customHeight="1">
      <c r="A1308" s="59" t="s">
        <v>12</v>
      </c>
      <c r="B1308" s="272">
        <v>46173.0</v>
      </c>
      <c r="D1308" s="59" t="s">
        <v>86</v>
      </c>
      <c r="E1308" s="59" t="s">
        <v>141</v>
      </c>
      <c r="F1308" s="59" t="s">
        <v>79</v>
      </c>
      <c r="G1308" s="59" t="s">
        <v>80</v>
      </c>
      <c r="H1308" s="273">
        <v>228.0</v>
      </c>
      <c r="I1308" s="274">
        <v>189555.0</v>
      </c>
      <c r="J1308" s="274">
        <v>190036.0</v>
      </c>
      <c r="K1308" s="274">
        <v>481.0</v>
      </c>
      <c r="L1308" s="274"/>
      <c r="M1308" s="274"/>
      <c r="N1308" s="274"/>
      <c r="P1308" s="276">
        <v>46173.5396180556</v>
      </c>
    </row>
    <row r="1309" ht="15.0" customHeight="1">
      <c r="A1309" s="59" t="s">
        <v>12</v>
      </c>
      <c r="B1309" s="272">
        <v>46173.0</v>
      </c>
      <c r="D1309" s="59" t="s">
        <v>114</v>
      </c>
      <c r="E1309" s="59" t="s">
        <v>141</v>
      </c>
      <c r="F1309" s="59" t="s">
        <v>79</v>
      </c>
      <c r="G1309" s="59" t="s">
        <v>80</v>
      </c>
      <c r="H1309" s="273">
        <v>183.0</v>
      </c>
      <c r="I1309" s="274">
        <v>274114.0</v>
      </c>
      <c r="J1309" s="274">
        <v>274531.0</v>
      </c>
      <c r="K1309" s="274">
        <v>417.0</v>
      </c>
      <c r="L1309" s="274"/>
      <c r="M1309" s="274"/>
      <c r="N1309" s="274"/>
      <c r="P1309" s="276">
        <v>46173.5396412037</v>
      </c>
    </row>
    <row r="1310" ht="15.0" customHeight="1">
      <c r="A1310" s="59" t="s">
        <v>12</v>
      </c>
      <c r="B1310" s="272">
        <v>46173.0</v>
      </c>
      <c r="D1310" s="46" t="s">
        <v>129</v>
      </c>
      <c r="E1310" s="59" t="s">
        <v>141</v>
      </c>
      <c r="F1310" s="59" t="s">
        <v>79</v>
      </c>
      <c r="G1310" s="59" t="s">
        <v>80</v>
      </c>
      <c r="H1310" s="273">
        <v>210.0</v>
      </c>
      <c r="I1310" s="274">
        <v>5680.0</v>
      </c>
      <c r="J1310" s="274">
        <v>6104.0</v>
      </c>
      <c r="K1310" s="274">
        <v>424.0</v>
      </c>
      <c r="L1310" s="274"/>
      <c r="M1310" s="274"/>
      <c r="N1310" s="274"/>
      <c r="P1310" s="276">
        <v>46173.5396527778</v>
      </c>
    </row>
    <row r="1311" ht="15.0" customHeight="1">
      <c r="A1311" s="59" t="s">
        <v>12</v>
      </c>
      <c r="B1311" s="272">
        <v>46173.0</v>
      </c>
      <c r="D1311" s="59" t="s">
        <v>96</v>
      </c>
      <c r="E1311" s="59" t="s">
        <v>141</v>
      </c>
      <c r="F1311" s="59" t="s">
        <v>79</v>
      </c>
      <c r="G1311" s="59" t="s">
        <v>80</v>
      </c>
      <c r="H1311" s="273">
        <v>344.0</v>
      </c>
      <c r="I1311" s="274">
        <v>76711.0</v>
      </c>
      <c r="J1311" s="274">
        <v>77562.0</v>
      </c>
      <c r="K1311" s="274">
        <v>851.0</v>
      </c>
      <c r="L1311" s="274"/>
      <c r="M1311" s="274"/>
      <c r="N1311" s="274"/>
      <c r="P1311" s="276">
        <v>46173.5396643519</v>
      </c>
    </row>
    <row r="1312" ht="15.0" customHeight="1">
      <c r="A1312" s="59" t="s">
        <v>12</v>
      </c>
      <c r="B1312" s="272">
        <v>46173.0</v>
      </c>
      <c r="D1312" s="59" t="s">
        <v>118</v>
      </c>
      <c r="E1312" s="59" t="s">
        <v>141</v>
      </c>
      <c r="F1312" s="59" t="s">
        <v>79</v>
      </c>
      <c r="G1312" s="59" t="s">
        <v>80</v>
      </c>
      <c r="H1312" s="273">
        <v>320.0</v>
      </c>
      <c r="I1312" s="274">
        <v>149211.0</v>
      </c>
      <c r="J1312" s="274">
        <v>150079.0</v>
      </c>
      <c r="K1312" s="274">
        <v>868.0</v>
      </c>
      <c r="L1312" s="274"/>
      <c r="M1312" s="274"/>
      <c r="N1312" s="274"/>
      <c r="P1312" s="276">
        <v>46173.5396759259</v>
      </c>
    </row>
    <row r="1313" ht="15.0" customHeight="1">
      <c r="A1313" s="59" t="s">
        <v>12</v>
      </c>
      <c r="B1313" s="272">
        <v>46173.0</v>
      </c>
      <c r="D1313" s="59" t="s">
        <v>123</v>
      </c>
      <c r="E1313" s="59" t="s">
        <v>141</v>
      </c>
      <c r="F1313" s="59" t="s">
        <v>79</v>
      </c>
      <c r="G1313" s="59" t="s">
        <v>80</v>
      </c>
      <c r="H1313" s="273">
        <v>525.0</v>
      </c>
      <c r="I1313" s="274">
        <v>197906.0</v>
      </c>
      <c r="J1313" s="274">
        <v>198915.0</v>
      </c>
      <c r="K1313" s="274">
        <v>1009.0</v>
      </c>
      <c r="L1313" s="274"/>
      <c r="M1313" s="274"/>
      <c r="N1313" s="274"/>
      <c r="P1313" s="276">
        <v>46173.5396875</v>
      </c>
    </row>
    <row r="1314" ht="15.0" customHeight="1">
      <c r="A1314" s="59" t="s">
        <v>12</v>
      </c>
      <c r="B1314" s="272">
        <v>46173.0</v>
      </c>
      <c r="D1314" s="59" t="s">
        <v>158</v>
      </c>
      <c r="E1314" s="59" t="s">
        <v>141</v>
      </c>
      <c r="F1314" s="59" t="s">
        <v>79</v>
      </c>
      <c r="G1314" s="59" t="s">
        <v>80</v>
      </c>
      <c r="H1314" s="273">
        <v>176.0</v>
      </c>
      <c r="I1314" s="274">
        <v>247571.0</v>
      </c>
      <c r="J1314" s="274">
        <v>248068.0</v>
      </c>
      <c r="K1314" s="274">
        <v>497.0</v>
      </c>
      <c r="L1314" s="274"/>
      <c r="M1314" s="274"/>
      <c r="N1314" s="274"/>
      <c r="P1314" s="276">
        <v>46173.5396990741</v>
      </c>
    </row>
    <row r="1315" ht="15.0" customHeight="1">
      <c r="A1315" s="59" t="s">
        <v>12</v>
      </c>
      <c r="B1315" s="272">
        <v>46173.0</v>
      </c>
      <c r="D1315" s="59" t="s">
        <v>101</v>
      </c>
      <c r="E1315" s="59" t="s">
        <v>141</v>
      </c>
      <c r="F1315" s="59" t="s">
        <v>79</v>
      </c>
      <c r="G1315" s="59" t="s">
        <v>80</v>
      </c>
      <c r="H1315" s="273">
        <v>210.0</v>
      </c>
      <c r="I1315" s="274">
        <v>115003.0</v>
      </c>
      <c r="J1315" s="274">
        <v>115433.0</v>
      </c>
      <c r="K1315" s="274">
        <v>430.0</v>
      </c>
      <c r="L1315" s="274"/>
      <c r="M1315" s="274"/>
      <c r="N1315" s="274"/>
      <c r="P1315" s="276">
        <v>46173.7468518519</v>
      </c>
    </row>
    <row r="1316" ht="15.0" customHeight="1">
      <c r="A1316" s="59" t="s">
        <v>12</v>
      </c>
      <c r="B1316" s="272">
        <v>46173.0</v>
      </c>
      <c r="D1316" s="59" t="s">
        <v>87</v>
      </c>
      <c r="E1316" s="59" t="s">
        <v>141</v>
      </c>
      <c r="F1316" s="59" t="s">
        <v>79</v>
      </c>
      <c r="G1316" s="59" t="s">
        <v>80</v>
      </c>
      <c r="H1316" s="273">
        <v>235.0</v>
      </c>
      <c r="I1316" s="274">
        <v>263199.0</v>
      </c>
      <c r="J1316" s="274">
        <v>263665.0</v>
      </c>
      <c r="K1316" s="274">
        <v>466.0</v>
      </c>
      <c r="L1316" s="274"/>
      <c r="M1316" s="274"/>
      <c r="N1316" s="274"/>
      <c r="P1316" s="276">
        <v>46173.7468634259</v>
      </c>
    </row>
    <row r="1317" ht="15.0" customHeight="1">
      <c r="A1317" s="59" t="s">
        <v>12</v>
      </c>
      <c r="B1317" s="272">
        <v>46173.0</v>
      </c>
      <c r="D1317" s="59" t="s">
        <v>145</v>
      </c>
      <c r="E1317" s="59" t="s">
        <v>141</v>
      </c>
      <c r="F1317" s="59" t="s">
        <v>79</v>
      </c>
      <c r="G1317" s="59" t="s">
        <v>80</v>
      </c>
      <c r="H1317" s="273">
        <v>225.0</v>
      </c>
      <c r="I1317" s="274">
        <v>264584.0</v>
      </c>
      <c r="J1317" s="274">
        <v>265087.0</v>
      </c>
      <c r="K1317" s="274">
        <v>503.0</v>
      </c>
      <c r="L1317" s="274"/>
      <c r="M1317" s="274"/>
      <c r="N1317" s="274"/>
      <c r="P1317" s="276">
        <v>46173.746875</v>
      </c>
    </row>
    <row r="1318" ht="15.0" customHeight="1">
      <c r="A1318" s="59" t="s">
        <v>12</v>
      </c>
      <c r="B1318" s="272">
        <v>46173.0</v>
      </c>
      <c r="D1318" s="59" t="s">
        <v>103</v>
      </c>
      <c r="E1318" s="59" t="s">
        <v>141</v>
      </c>
      <c r="F1318" s="59" t="s">
        <v>79</v>
      </c>
      <c r="G1318" s="59" t="s">
        <v>80</v>
      </c>
      <c r="H1318" s="273">
        <v>157.0</v>
      </c>
      <c r="I1318" s="274">
        <v>4254.0</v>
      </c>
      <c r="J1318" s="274">
        <v>4267.0</v>
      </c>
      <c r="K1318" s="274">
        <v>13.0</v>
      </c>
      <c r="L1318" s="274"/>
      <c r="M1318" s="274"/>
      <c r="N1318" s="274"/>
      <c r="P1318" s="276">
        <v>46173.7468865741</v>
      </c>
    </row>
    <row r="1319" ht="15.0" customHeight="1">
      <c r="A1319" s="59" t="s">
        <v>12</v>
      </c>
      <c r="B1319" s="272">
        <v>46173.0</v>
      </c>
      <c r="D1319" s="59" t="s">
        <v>115</v>
      </c>
      <c r="E1319" s="59" t="s">
        <v>141</v>
      </c>
      <c r="F1319" s="59" t="s">
        <v>79</v>
      </c>
      <c r="G1319" s="59" t="s">
        <v>80</v>
      </c>
      <c r="H1319" s="273">
        <v>300.0</v>
      </c>
      <c r="I1319" s="274">
        <v>13592.0</v>
      </c>
      <c r="J1319" s="274">
        <v>14045.0</v>
      </c>
      <c r="K1319" s="274">
        <v>453.0</v>
      </c>
      <c r="L1319" s="274"/>
      <c r="M1319" s="274"/>
      <c r="N1319" s="274"/>
      <c r="P1319" s="276">
        <v>46173.7468981482</v>
      </c>
    </row>
    <row r="1320" ht="15.0" customHeight="1">
      <c r="A1320" s="59" t="s">
        <v>12</v>
      </c>
      <c r="B1320" s="272">
        <v>46173.0</v>
      </c>
      <c r="D1320" s="46" t="s">
        <v>148</v>
      </c>
      <c r="E1320" s="59" t="s">
        <v>141</v>
      </c>
      <c r="F1320" s="59" t="s">
        <v>79</v>
      </c>
      <c r="G1320" s="59" t="s">
        <v>80</v>
      </c>
      <c r="H1320" s="273">
        <v>110.0</v>
      </c>
      <c r="I1320" s="274">
        <v>3950.0</v>
      </c>
      <c r="J1320" s="274">
        <v>4163.0</v>
      </c>
      <c r="K1320" s="274">
        <v>213.0</v>
      </c>
      <c r="L1320" s="274"/>
      <c r="M1320" s="274"/>
      <c r="N1320" s="274"/>
      <c r="P1320" s="276">
        <v>46173.7469097222</v>
      </c>
    </row>
    <row r="1321" ht="15.0" customHeight="1">
      <c r="A1321" s="59" t="s">
        <v>12</v>
      </c>
      <c r="B1321" s="272">
        <v>46173.0</v>
      </c>
      <c r="D1321" s="46" t="s">
        <v>122</v>
      </c>
      <c r="E1321" s="59" t="s">
        <v>141</v>
      </c>
      <c r="F1321" s="59" t="s">
        <v>79</v>
      </c>
      <c r="G1321" s="59" t="s">
        <v>80</v>
      </c>
      <c r="H1321" s="273">
        <v>184.0</v>
      </c>
      <c r="I1321" s="274">
        <v>5336.0</v>
      </c>
      <c r="J1321" s="274">
        <v>5794.0</v>
      </c>
      <c r="K1321" s="274">
        <v>458.0</v>
      </c>
      <c r="L1321" s="274"/>
      <c r="M1321" s="274"/>
      <c r="N1321" s="274"/>
      <c r="P1321" s="276">
        <v>46173.7469328704</v>
      </c>
    </row>
    <row r="1322" ht="15.0" customHeight="1">
      <c r="A1322" s="59" t="s">
        <v>12</v>
      </c>
      <c r="B1322" s="272">
        <v>46173.0</v>
      </c>
      <c r="D1322" s="46" t="s">
        <v>104</v>
      </c>
      <c r="E1322" s="59" t="s">
        <v>141</v>
      </c>
      <c r="F1322" s="59" t="s">
        <v>79</v>
      </c>
      <c r="G1322" s="59" t="s">
        <v>80</v>
      </c>
      <c r="H1322" s="273">
        <v>266.0</v>
      </c>
      <c r="I1322" s="274">
        <v>4211.0</v>
      </c>
      <c r="J1322" s="274">
        <v>4691.0</v>
      </c>
      <c r="K1322" s="274">
        <v>480.0</v>
      </c>
      <c r="L1322" s="274"/>
      <c r="M1322" s="274"/>
      <c r="N1322" s="274"/>
      <c r="P1322" s="276">
        <v>46173.7469444444</v>
      </c>
    </row>
    <row r="1323" ht="15.0" customHeight="1">
      <c r="A1323" s="59" t="s">
        <v>12</v>
      </c>
      <c r="B1323" s="272">
        <v>46173.0</v>
      </c>
      <c r="D1323" s="59" t="s">
        <v>99</v>
      </c>
      <c r="E1323" s="59" t="s">
        <v>141</v>
      </c>
      <c r="F1323" s="59" t="s">
        <v>79</v>
      </c>
      <c r="G1323" s="59" t="s">
        <v>80</v>
      </c>
      <c r="H1323" s="273">
        <v>330.0</v>
      </c>
      <c r="I1323" s="274">
        <v>150928.0</v>
      </c>
      <c r="J1323" s="274">
        <v>151355.0</v>
      </c>
      <c r="K1323" s="274">
        <v>427.0</v>
      </c>
      <c r="L1323" s="274"/>
      <c r="M1323" s="274"/>
      <c r="N1323" s="274"/>
      <c r="P1323" s="276">
        <v>46173.7469560185</v>
      </c>
    </row>
    <row r="1324" ht="15.0" customHeight="1">
      <c r="A1324" s="59" t="s">
        <v>12</v>
      </c>
      <c r="B1324" s="272">
        <v>46173.0</v>
      </c>
      <c r="D1324" s="59" t="s">
        <v>82</v>
      </c>
      <c r="E1324" s="59" t="s">
        <v>141</v>
      </c>
      <c r="F1324" s="59" t="s">
        <v>79</v>
      </c>
      <c r="G1324" s="59" t="s">
        <v>80</v>
      </c>
      <c r="H1324" s="273">
        <v>330.0</v>
      </c>
      <c r="I1324" s="274">
        <v>93399.0</v>
      </c>
      <c r="J1324" s="274">
        <v>94166.0</v>
      </c>
      <c r="K1324" s="274">
        <v>767.0</v>
      </c>
      <c r="L1324" s="274"/>
      <c r="M1324" s="274"/>
      <c r="N1324" s="274"/>
      <c r="P1324" s="276">
        <v>46173.7469791667</v>
      </c>
    </row>
    <row r="1325" ht="15.0" customHeight="1">
      <c r="A1325" s="59" t="s">
        <v>12</v>
      </c>
      <c r="B1325" s="272">
        <v>46173.0</v>
      </c>
      <c r="D1325" s="59" t="s">
        <v>159</v>
      </c>
      <c r="E1325" s="59" t="s">
        <v>141</v>
      </c>
      <c r="F1325" s="59" t="s">
        <v>79</v>
      </c>
      <c r="G1325" s="59" t="s">
        <v>80</v>
      </c>
      <c r="H1325" s="273">
        <v>125.0</v>
      </c>
      <c r="I1325" s="274">
        <v>76805.0</v>
      </c>
      <c r="J1325" s="274">
        <v>77261.0</v>
      </c>
      <c r="K1325" s="274">
        <v>456.0</v>
      </c>
      <c r="L1325" s="274"/>
      <c r="M1325" s="274"/>
      <c r="N1325" s="274"/>
      <c r="P1325" s="276">
        <v>46173.7469907407</v>
      </c>
    </row>
    <row r="1326" ht="15.0" customHeight="1">
      <c r="A1326" s="59" t="s">
        <v>12</v>
      </c>
      <c r="B1326" s="272">
        <v>46173.0</v>
      </c>
      <c r="D1326" s="59" t="s">
        <v>336</v>
      </c>
      <c r="E1326" s="59" t="s">
        <v>141</v>
      </c>
      <c r="F1326" s="59" t="s">
        <v>79</v>
      </c>
      <c r="G1326" s="59" t="s">
        <v>80</v>
      </c>
      <c r="H1326" s="273">
        <v>125.0</v>
      </c>
      <c r="I1326" s="274">
        <v>269606.0</v>
      </c>
      <c r="J1326" s="274">
        <v>269866.0</v>
      </c>
      <c r="K1326" s="274">
        <v>260.0</v>
      </c>
      <c r="L1326" s="274"/>
      <c r="M1326" s="274"/>
      <c r="N1326" s="274"/>
      <c r="P1326" s="276">
        <v>46173.7470023148</v>
      </c>
    </row>
    <row r="1327" ht="15.0" customHeight="1">
      <c r="A1327" s="59" t="s">
        <v>12</v>
      </c>
      <c r="B1327" s="272">
        <v>46173.0</v>
      </c>
      <c r="D1327" s="59" t="s">
        <v>92</v>
      </c>
      <c r="E1327" s="59" t="s">
        <v>141</v>
      </c>
      <c r="F1327" s="59" t="s">
        <v>79</v>
      </c>
      <c r="G1327" s="59" t="s">
        <v>80</v>
      </c>
      <c r="H1327" s="273">
        <v>127.0</v>
      </c>
      <c r="I1327" s="274">
        <v>240629.0</v>
      </c>
      <c r="J1327" s="274">
        <v>240912.0</v>
      </c>
      <c r="K1327" s="274">
        <v>283.0</v>
      </c>
      <c r="L1327" s="274"/>
      <c r="M1327" s="274"/>
      <c r="N1327" s="274"/>
      <c r="P1327" s="276">
        <v>46174.6378703704</v>
      </c>
    </row>
    <row r="1328" ht="15.0" customHeight="1">
      <c r="A1328" s="59" t="s">
        <v>12</v>
      </c>
      <c r="B1328" s="272">
        <v>46173.0</v>
      </c>
      <c r="D1328" s="59" t="s">
        <v>127</v>
      </c>
      <c r="E1328" s="59" t="s">
        <v>141</v>
      </c>
      <c r="F1328" s="59" t="s">
        <v>79</v>
      </c>
      <c r="G1328" s="59" t="s">
        <v>80</v>
      </c>
      <c r="H1328" s="273">
        <v>185.0</v>
      </c>
      <c r="I1328" s="274"/>
      <c r="J1328" s="274"/>
      <c r="K1328" s="274"/>
      <c r="L1328" s="274"/>
      <c r="M1328" s="274"/>
      <c r="N1328" s="274"/>
      <c r="O1328" s="59" t="s">
        <v>579</v>
      </c>
      <c r="P1328" s="276">
        <v>46174.6378819444</v>
      </c>
    </row>
    <row r="1329" ht="15.0" customHeight="1">
      <c r="A1329" s="59" t="s">
        <v>12</v>
      </c>
      <c r="B1329" s="272">
        <v>46173.0</v>
      </c>
      <c r="D1329" s="59" t="s">
        <v>77</v>
      </c>
      <c r="E1329" s="59" t="s">
        <v>141</v>
      </c>
      <c r="F1329" s="59" t="s">
        <v>79</v>
      </c>
      <c r="G1329" s="59" t="s">
        <v>80</v>
      </c>
      <c r="H1329" s="273">
        <v>325.0</v>
      </c>
      <c r="I1329" s="274">
        <v>22770.0</v>
      </c>
      <c r="J1329" s="274">
        <v>23404.0</v>
      </c>
      <c r="K1329" s="274">
        <v>634.0</v>
      </c>
      <c r="L1329" s="274"/>
      <c r="M1329" s="274"/>
      <c r="N1329" s="274"/>
      <c r="P1329" s="276">
        <v>46174.6379050926</v>
      </c>
    </row>
    <row r="1330" ht="15.0" customHeight="1">
      <c r="A1330" s="59" t="s">
        <v>12</v>
      </c>
      <c r="B1330" s="272">
        <v>46173.0</v>
      </c>
      <c r="D1330" s="59" t="s">
        <v>88</v>
      </c>
      <c r="E1330" s="59" t="s">
        <v>141</v>
      </c>
      <c r="F1330" s="59" t="s">
        <v>79</v>
      </c>
      <c r="G1330" s="59" t="s">
        <v>80</v>
      </c>
      <c r="H1330" s="273">
        <v>520.0</v>
      </c>
      <c r="I1330" s="274"/>
      <c r="J1330" s="274">
        <v>240882.0</v>
      </c>
      <c r="K1330" s="274"/>
      <c r="L1330" s="274"/>
      <c r="M1330" s="274"/>
      <c r="N1330" s="274"/>
      <c r="P1330" s="276">
        <v>46174.6379166667</v>
      </c>
    </row>
    <row r="1331" ht="15.0" customHeight="1">
      <c r="A1331" s="59" t="s">
        <v>12</v>
      </c>
      <c r="B1331" s="272">
        <v>46173.0</v>
      </c>
      <c r="D1331" s="59" t="s">
        <v>126</v>
      </c>
      <c r="E1331" s="59" t="s">
        <v>141</v>
      </c>
      <c r="F1331" s="59" t="s">
        <v>79</v>
      </c>
      <c r="G1331" s="59" t="s">
        <v>80</v>
      </c>
      <c r="H1331" s="273">
        <v>182.0</v>
      </c>
      <c r="I1331" s="277">
        <v>586508.0</v>
      </c>
      <c r="J1331" s="274">
        <v>586820.0</v>
      </c>
      <c r="K1331" s="277">
        <v>312.0</v>
      </c>
      <c r="L1331" s="274"/>
      <c r="M1331" s="274"/>
      <c r="N1331" s="274"/>
      <c r="P1331" s="276">
        <v>46174.6379398148</v>
      </c>
    </row>
    <row r="1332" ht="15.0" customHeight="1">
      <c r="A1332" s="59" t="s">
        <v>12</v>
      </c>
      <c r="B1332" s="272">
        <v>46173.0</v>
      </c>
      <c r="D1332" s="59" t="s">
        <v>153</v>
      </c>
      <c r="E1332" s="59" t="s">
        <v>141</v>
      </c>
      <c r="F1332" s="59" t="s">
        <v>79</v>
      </c>
      <c r="G1332" s="59" t="s">
        <v>80</v>
      </c>
      <c r="H1332" s="273">
        <v>84.0</v>
      </c>
      <c r="I1332" s="274">
        <v>360241.0</v>
      </c>
      <c r="J1332" s="274">
        <v>360567.0</v>
      </c>
      <c r="K1332" s="274">
        <v>326.0</v>
      </c>
      <c r="L1332" s="274"/>
      <c r="M1332" s="274"/>
      <c r="N1332" s="274"/>
      <c r="P1332" s="276">
        <v>46174.6379513889</v>
      </c>
    </row>
    <row r="1333" ht="15.0" customHeight="1">
      <c r="A1333" s="59" t="s">
        <v>12</v>
      </c>
      <c r="B1333" s="272">
        <v>46173.0</v>
      </c>
      <c r="D1333" s="59" t="s">
        <v>154</v>
      </c>
      <c r="E1333" s="59" t="s">
        <v>141</v>
      </c>
      <c r="F1333" s="59" t="s">
        <v>79</v>
      </c>
      <c r="G1333" s="59" t="s">
        <v>80</v>
      </c>
      <c r="H1333" s="273">
        <v>111.0</v>
      </c>
      <c r="I1333" s="274">
        <v>366595.0</v>
      </c>
      <c r="J1333" s="274">
        <v>366996.0</v>
      </c>
      <c r="K1333" s="274">
        <v>401.0</v>
      </c>
      <c r="L1333" s="274"/>
      <c r="M1333" s="274"/>
      <c r="N1333" s="274"/>
      <c r="P1333" s="276">
        <v>46174.637962963</v>
      </c>
    </row>
    <row r="1334" ht="15.0" customHeight="1">
      <c r="A1334" s="59" t="s">
        <v>12</v>
      </c>
      <c r="B1334" s="272">
        <v>46173.0</v>
      </c>
      <c r="D1334" s="59" t="s">
        <v>113</v>
      </c>
      <c r="E1334" s="59" t="s">
        <v>141</v>
      </c>
      <c r="F1334" s="59" t="s">
        <v>79</v>
      </c>
      <c r="G1334" s="59" t="s">
        <v>80</v>
      </c>
      <c r="H1334" s="273">
        <v>190.0</v>
      </c>
      <c r="I1334" s="274">
        <v>170897.0</v>
      </c>
      <c r="J1334" s="274">
        <v>171318.0</v>
      </c>
      <c r="K1334" s="274">
        <v>421.0</v>
      </c>
      <c r="L1334" s="274"/>
      <c r="M1334" s="274"/>
      <c r="N1334" s="274"/>
      <c r="P1334" s="276">
        <v>46175.41074074074</v>
      </c>
    </row>
    <row r="1335" ht="15.0" customHeight="1">
      <c r="A1335" s="59" t="s">
        <v>12</v>
      </c>
      <c r="B1335" s="272">
        <v>46173.0</v>
      </c>
      <c r="D1335" s="59" t="s">
        <v>117</v>
      </c>
      <c r="E1335" s="59" t="s">
        <v>141</v>
      </c>
      <c r="F1335" s="59" t="s">
        <v>79</v>
      </c>
      <c r="G1335" s="59" t="s">
        <v>80</v>
      </c>
      <c r="H1335" s="273">
        <v>133.0</v>
      </c>
      <c r="I1335" s="274">
        <v>8301.0</v>
      </c>
      <c r="J1335" s="274">
        <v>8312.0</v>
      </c>
      <c r="K1335" s="274">
        <v>11.0</v>
      </c>
      <c r="L1335" s="274"/>
      <c r="M1335" s="274"/>
      <c r="N1335" s="274"/>
      <c r="P1335" s="276">
        <v>46175.41075231481</v>
      </c>
    </row>
    <row r="1336" ht="15.0" customHeight="1">
      <c r="A1336" s="59" t="s">
        <v>12</v>
      </c>
      <c r="B1336" s="272">
        <v>46173.0</v>
      </c>
      <c r="D1336" s="59" t="s">
        <v>161</v>
      </c>
      <c r="E1336" s="59" t="s">
        <v>141</v>
      </c>
      <c r="F1336" s="59" t="s">
        <v>79</v>
      </c>
      <c r="G1336" s="59" t="s">
        <v>80</v>
      </c>
      <c r="H1336" s="273">
        <v>100.0</v>
      </c>
      <c r="I1336" s="274">
        <v>59992.0</v>
      </c>
      <c r="J1336" s="274">
        <v>60319.0</v>
      </c>
      <c r="K1336" s="274">
        <v>327.0</v>
      </c>
      <c r="L1336" s="274"/>
      <c r="M1336" s="274"/>
      <c r="N1336" s="274"/>
      <c r="P1336" s="276">
        <v>46175.41076388889</v>
      </c>
    </row>
    <row r="1337" ht="15.0" customHeight="1">
      <c r="A1337" s="59" t="s">
        <v>12</v>
      </c>
      <c r="B1337" s="272">
        <v>46144.0</v>
      </c>
      <c r="D1337" s="59" t="s">
        <v>123</v>
      </c>
      <c r="E1337" s="59" t="s">
        <v>149</v>
      </c>
      <c r="F1337" s="59" t="s">
        <v>150</v>
      </c>
      <c r="G1337" s="59" t="s">
        <v>80</v>
      </c>
      <c r="H1337" s="273">
        <v>351.653</v>
      </c>
      <c r="I1337" s="274"/>
      <c r="J1337" s="274"/>
      <c r="K1337" s="274"/>
      <c r="L1337" s="274"/>
      <c r="M1337" s="274"/>
      <c r="N1337" s="274"/>
      <c r="P1337" s="276">
        <v>46175.586493055554</v>
      </c>
    </row>
    <row r="1338" ht="15.0" customHeight="1">
      <c r="A1338" s="59" t="s">
        <v>12</v>
      </c>
      <c r="B1338" s="272">
        <v>46147.0</v>
      </c>
      <c r="D1338" s="59" t="s">
        <v>123</v>
      </c>
      <c r="E1338" s="59" t="s">
        <v>149</v>
      </c>
      <c r="F1338" s="59" t="s">
        <v>150</v>
      </c>
      <c r="G1338" s="59" t="s">
        <v>80</v>
      </c>
      <c r="H1338" s="273">
        <v>351.545</v>
      </c>
      <c r="I1338" s="274"/>
      <c r="J1338" s="274"/>
      <c r="K1338" s="274"/>
      <c r="L1338" s="274"/>
      <c r="M1338" s="274"/>
      <c r="N1338" s="274"/>
      <c r="P1338" s="276">
        <v>46175.58835648148</v>
      </c>
    </row>
    <row r="1339" ht="15.0" customHeight="1">
      <c r="A1339" s="59" t="s">
        <v>12</v>
      </c>
      <c r="B1339" s="272">
        <v>46148.0</v>
      </c>
      <c r="D1339" s="59" t="s">
        <v>88</v>
      </c>
      <c r="E1339" s="59" t="s">
        <v>149</v>
      </c>
      <c r="F1339" s="59" t="s">
        <v>150</v>
      </c>
      <c r="G1339" s="59" t="s">
        <v>80</v>
      </c>
      <c r="H1339" s="273">
        <v>300.0</v>
      </c>
      <c r="I1339" s="274"/>
      <c r="J1339" s="274"/>
      <c r="K1339" s="274"/>
      <c r="L1339" s="274"/>
      <c r="M1339" s="274"/>
      <c r="N1339" s="274"/>
      <c r="P1339" s="276">
        <v>46175.589583333334</v>
      </c>
    </row>
    <row r="1340" ht="15.0" customHeight="1">
      <c r="A1340" s="59" t="s">
        <v>12</v>
      </c>
      <c r="B1340" s="272">
        <v>46148.0</v>
      </c>
      <c r="D1340" s="59" t="s">
        <v>119</v>
      </c>
      <c r="E1340" s="59" t="s">
        <v>149</v>
      </c>
      <c r="F1340" s="59" t="s">
        <v>150</v>
      </c>
      <c r="G1340" s="59" t="s">
        <v>80</v>
      </c>
      <c r="H1340" s="273">
        <v>250.0</v>
      </c>
      <c r="I1340" s="274"/>
      <c r="J1340" s="274"/>
      <c r="K1340" s="274"/>
      <c r="L1340" s="274"/>
      <c r="M1340" s="274"/>
      <c r="N1340" s="274"/>
      <c r="P1340" s="276">
        <v>46175.589594907404</v>
      </c>
    </row>
    <row r="1341" ht="15.0" customHeight="1">
      <c r="A1341" s="59" t="s">
        <v>12</v>
      </c>
      <c r="B1341" s="272">
        <v>46150.0</v>
      </c>
      <c r="D1341" s="59" t="s">
        <v>119</v>
      </c>
      <c r="E1341" s="59" t="s">
        <v>149</v>
      </c>
      <c r="F1341" s="59" t="s">
        <v>150</v>
      </c>
      <c r="G1341" s="59" t="s">
        <v>80</v>
      </c>
      <c r="H1341" s="273">
        <v>150.0</v>
      </c>
      <c r="I1341" s="274"/>
      <c r="J1341" s="274"/>
      <c r="K1341" s="274"/>
      <c r="L1341" s="274"/>
      <c r="M1341" s="274"/>
      <c r="N1341" s="274"/>
      <c r="P1341" s="276">
        <v>46175.59033564815</v>
      </c>
    </row>
    <row r="1342" ht="15.0" customHeight="1">
      <c r="A1342" s="59" t="s">
        <v>12</v>
      </c>
      <c r="B1342" s="272">
        <v>46153.0</v>
      </c>
      <c r="D1342" s="59" t="s">
        <v>88</v>
      </c>
      <c r="E1342" s="59" t="s">
        <v>149</v>
      </c>
      <c r="F1342" s="59" t="s">
        <v>150</v>
      </c>
      <c r="G1342" s="59" t="s">
        <v>80</v>
      </c>
      <c r="H1342" s="273">
        <v>300.0</v>
      </c>
      <c r="I1342" s="274"/>
      <c r="J1342" s="274"/>
      <c r="K1342" s="274"/>
      <c r="L1342" s="274"/>
      <c r="M1342" s="274"/>
      <c r="N1342" s="274"/>
      <c r="P1342" s="276">
        <v>46175.598599537036</v>
      </c>
    </row>
    <row r="1343" ht="15.0" customHeight="1">
      <c r="A1343" s="59" t="s">
        <v>12</v>
      </c>
      <c r="B1343" s="272">
        <v>46157.0</v>
      </c>
      <c r="D1343" s="59" t="s">
        <v>123</v>
      </c>
      <c r="E1343" s="59" t="s">
        <v>149</v>
      </c>
      <c r="F1343" s="59" t="s">
        <v>150</v>
      </c>
      <c r="G1343" s="59" t="s">
        <v>80</v>
      </c>
      <c r="H1343" s="273">
        <v>175.443</v>
      </c>
      <c r="I1343" s="274"/>
      <c r="J1343" s="274"/>
      <c r="K1343" s="274"/>
      <c r="L1343" s="274"/>
      <c r="M1343" s="274"/>
      <c r="N1343" s="274"/>
      <c r="P1343" s="276">
        <v>46175.59976851852</v>
      </c>
    </row>
    <row r="1344" ht="15.0" customHeight="1">
      <c r="A1344" s="59" t="s">
        <v>12</v>
      </c>
      <c r="B1344" s="272">
        <v>46158.0</v>
      </c>
      <c r="D1344" s="59" t="s">
        <v>88</v>
      </c>
      <c r="E1344" s="59" t="s">
        <v>149</v>
      </c>
      <c r="F1344" s="59" t="s">
        <v>150</v>
      </c>
      <c r="G1344" s="59" t="s">
        <v>80</v>
      </c>
      <c r="H1344" s="273">
        <v>300.0</v>
      </c>
      <c r="I1344" s="274"/>
      <c r="J1344" s="274"/>
      <c r="K1344" s="274"/>
      <c r="L1344" s="274"/>
      <c r="M1344" s="274"/>
      <c r="N1344" s="274"/>
      <c r="P1344" s="276">
        <v>46175.60047453704</v>
      </c>
    </row>
    <row r="1345" ht="15.0" customHeight="1">
      <c r="A1345" s="59" t="s">
        <v>12</v>
      </c>
      <c r="B1345" s="272">
        <v>46159.0</v>
      </c>
      <c r="D1345" s="59" t="s">
        <v>119</v>
      </c>
      <c r="E1345" s="59" t="s">
        <v>149</v>
      </c>
      <c r="F1345" s="59" t="s">
        <v>150</v>
      </c>
      <c r="G1345" s="59" t="s">
        <v>80</v>
      </c>
      <c r="H1345" s="273">
        <v>300.0</v>
      </c>
      <c r="I1345" s="274"/>
      <c r="J1345" s="274"/>
      <c r="K1345" s="274"/>
      <c r="L1345" s="274"/>
      <c r="M1345" s="274"/>
      <c r="N1345" s="274"/>
      <c r="P1345" s="276">
        <v>46175.60366898148</v>
      </c>
    </row>
    <row r="1346" ht="15.0" customHeight="1">
      <c r="A1346" s="59" t="s">
        <v>12</v>
      </c>
      <c r="B1346" s="272">
        <v>46159.0</v>
      </c>
      <c r="D1346" s="59" t="s">
        <v>88</v>
      </c>
      <c r="E1346" s="59" t="s">
        <v>149</v>
      </c>
      <c r="F1346" s="59" t="s">
        <v>150</v>
      </c>
      <c r="G1346" s="59" t="s">
        <v>80</v>
      </c>
      <c r="H1346" s="273">
        <v>300.0</v>
      </c>
      <c r="I1346" s="274"/>
      <c r="J1346" s="274"/>
      <c r="K1346" s="274"/>
      <c r="L1346" s="274"/>
      <c r="M1346" s="274"/>
      <c r="N1346" s="274"/>
      <c r="P1346" s="276">
        <v>46175.603680555556</v>
      </c>
    </row>
    <row r="1347" ht="15.0" customHeight="1">
      <c r="A1347" s="59" t="s">
        <v>12</v>
      </c>
      <c r="B1347" s="272">
        <v>46160.0</v>
      </c>
      <c r="D1347" s="59" t="s">
        <v>88</v>
      </c>
      <c r="E1347" s="59" t="s">
        <v>149</v>
      </c>
      <c r="F1347" s="59" t="s">
        <v>150</v>
      </c>
      <c r="G1347" s="59" t="s">
        <v>80</v>
      </c>
      <c r="H1347" s="273">
        <v>300.0</v>
      </c>
      <c r="I1347" s="274"/>
      <c r="J1347" s="274"/>
      <c r="K1347" s="274"/>
      <c r="L1347" s="274"/>
      <c r="M1347" s="274"/>
      <c r="N1347" s="274"/>
      <c r="P1347" s="276">
        <v>46175.60459490741</v>
      </c>
    </row>
    <row r="1348" ht="15.0" customHeight="1">
      <c r="A1348" s="59" t="s">
        <v>12</v>
      </c>
      <c r="B1348" s="272">
        <v>46160.0</v>
      </c>
      <c r="D1348" s="59" t="s">
        <v>119</v>
      </c>
      <c r="E1348" s="59" t="s">
        <v>149</v>
      </c>
      <c r="F1348" s="59" t="s">
        <v>150</v>
      </c>
      <c r="G1348" s="59" t="s">
        <v>80</v>
      </c>
      <c r="H1348" s="273">
        <v>250.0</v>
      </c>
      <c r="I1348" s="274"/>
      <c r="J1348" s="274"/>
      <c r="K1348" s="274"/>
      <c r="L1348" s="274"/>
      <c r="M1348" s="274"/>
      <c r="N1348" s="274"/>
      <c r="P1348" s="276">
        <v>46175.60461805556</v>
      </c>
    </row>
    <row r="1349" ht="15.0" customHeight="1">
      <c r="A1349" s="59" t="s">
        <v>12</v>
      </c>
      <c r="B1349" s="272">
        <v>46162.0</v>
      </c>
      <c r="D1349" s="59" t="s">
        <v>88</v>
      </c>
      <c r="E1349" s="59" t="s">
        <v>149</v>
      </c>
      <c r="F1349" s="59" t="s">
        <v>150</v>
      </c>
      <c r="G1349" s="59" t="s">
        <v>80</v>
      </c>
      <c r="H1349" s="273">
        <v>300.0</v>
      </c>
      <c r="I1349" s="274"/>
      <c r="J1349" s="274"/>
      <c r="K1349" s="274"/>
      <c r="L1349" s="274"/>
      <c r="M1349" s="274"/>
      <c r="N1349" s="274"/>
      <c r="P1349" s="276">
        <v>46175.60550925926</v>
      </c>
    </row>
    <row r="1350" ht="15.0" customHeight="1">
      <c r="A1350" s="59" t="s">
        <v>12</v>
      </c>
      <c r="B1350" s="272">
        <v>46162.0</v>
      </c>
      <c r="D1350" s="59" t="s">
        <v>119</v>
      </c>
      <c r="E1350" s="59" t="s">
        <v>149</v>
      </c>
      <c r="F1350" s="59" t="s">
        <v>150</v>
      </c>
      <c r="G1350" s="59" t="s">
        <v>80</v>
      </c>
      <c r="H1350" s="273">
        <v>300.0</v>
      </c>
      <c r="I1350" s="274"/>
      <c r="J1350" s="274"/>
      <c r="K1350" s="274"/>
      <c r="L1350" s="274"/>
      <c r="M1350" s="274"/>
      <c r="N1350" s="274"/>
      <c r="P1350" s="276">
        <v>46175.605520833335</v>
      </c>
    </row>
    <row r="1351" ht="15.0" customHeight="1">
      <c r="A1351" s="59" t="s">
        <v>12</v>
      </c>
      <c r="B1351" s="272">
        <v>46164.0</v>
      </c>
      <c r="D1351" s="59" t="s">
        <v>88</v>
      </c>
      <c r="E1351" s="59" t="s">
        <v>149</v>
      </c>
      <c r="F1351" s="59" t="s">
        <v>150</v>
      </c>
      <c r="G1351" s="59" t="s">
        <v>80</v>
      </c>
      <c r="H1351" s="273">
        <v>300.0</v>
      </c>
      <c r="I1351" s="274"/>
      <c r="J1351" s="274"/>
      <c r="K1351" s="274"/>
      <c r="L1351" s="274"/>
      <c r="M1351" s="274"/>
      <c r="N1351" s="274"/>
      <c r="P1351" s="276">
        <v>46175.606261574074</v>
      </c>
    </row>
    <row r="1352" ht="15.0" customHeight="1">
      <c r="A1352" s="59" t="s">
        <v>12</v>
      </c>
      <c r="B1352" s="272">
        <v>46164.0</v>
      </c>
      <c r="D1352" s="59" t="s">
        <v>119</v>
      </c>
      <c r="E1352" s="59" t="s">
        <v>149</v>
      </c>
      <c r="F1352" s="59" t="s">
        <v>150</v>
      </c>
      <c r="G1352" s="59" t="s">
        <v>80</v>
      </c>
      <c r="H1352" s="273">
        <v>300.0</v>
      </c>
      <c r="I1352" s="274"/>
      <c r="J1352" s="274"/>
      <c r="K1352" s="274"/>
      <c r="L1352" s="274"/>
      <c r="M1352" s="274"/>
      <c r="N1352" s="274"/>
      <c r="P1352" s="276">
        <v>46175.60628472222</v>
      </c>
    </row>
    <row r="1353" ht="15.0" customHeight="1">
      <c r="A1353" s="59" t="s">
        <v>12</v>
      </c>
      <c r="B1353" s="272">
        <v>46165.0</v>
      </c>
      <c r="D1353" s="59" t="s">
        <v>123</v>
      </c>
      <c r="E1353" s="59" t="s">
        <v>149</v>
      </c>
      <c r="F1353" s="59" t="s">
        <v>150</v>
      </c>
      <c r="G1353" s="59" t="s">
        <v>80</v>
      </c>
      <c r="H1353" s="273">
        <v>300.0</v>
      </c>
      <c r="I1353" s="274"/>
      <c r="J1353" s="274"/>
      <c r="K1353" s="274"/>
      <c r="L1353" s="274"/>
      <c r="M1353" s="274"/>
      <c r="N1353" s="274"/>
      <c r="P1353" s="276">
        <v>46175.60701388889</v>
      </c>
    </row>
    <row r="1354" ht="15.0" customHeight="1">
      <c r="A1354" s="59" t="s">
        <v>12</v>
      </c>
      <c r="B1354" s="272">
        <v>46166.0</v>
      </c>
      <c r="D1354" s="59" t="s">
        <v>88</v>
      </c>
      <c r="E1354" s="59" t="s">
        <v>149</v>
      </c>
      <c r="F1354" s="59" t="s">
        <v>150</v>
      </c>
      <c r="G1354" s="59" t="s">
        <v>80</v>
      </c>
      <c r="H1354" s="273">
        <v>300.0</v>
      </c>
      <c r="I1354" s="274"/>
      <c r="J1354" s="274"/>
      <c r="K1354" s="274"/>
      <c r="L1354" s="274"/>
      <c r="M1354" s="274"/>
      <c r="N1354" s="274"/>
      <c r="P1354" s="276">
        <v>46175.6075462963</v>
      </c>
    </row>
    <row r="1355" ht="15.0" customHeight="1">
      <c r="A1355" s="59" t="s">
        <v>12</v>
      </c>
      <c r="B1355" s="272">
        <v>46167.0</v>
      </c>
      <c r="D1355" s="59" t="s">
        <v>88</v>
      </c>
      <c r="E1355" s="59" t="s">
        <v>149</v>
      </c>
      <c r="F1355" s="59" t="s">
        <v>150</v>
      </c>
      <c r="G1355" s="59" t="s">
        <v>80</v>
      </c>
      <c r="H1355" s="273">
        <v>300.0</v>
      </c>
      <c r="I1355" s="274"/>
      <c r="J1355" s="274"/>
      <c r="K1355" s="274"/>
      <c r="L1355" s="274"/>
      <c r="M1355" s="274"/>
      <c r="N1355" s="274"/>
      <c r="P1355" s="276">
        <v>46175.60837962963</v>
      </c>
    </row>
    <row r="1356" ht="15.0" customHeight="1">
      <c r="A1356" s="59" t="s">
        <v>12</v>
      </c>
      <c r="B1356" s="272">
        <v>46167.0</v>
      </c>
      <c r="D1356" s="59" t="s">
        <v>123</v>
      </c>
      <c r="E1356" s="59" t="s">
        <v>149</v>
      </c>
      <c r="F1356" s="59" t="s">
        <v>150</v>
      </c>
      <c r="G1356" s="59" t="s">
        <v>80</v>
      </c>
      <c r="H1356" s="273">
        <v>200.0</v>
      </c>
      <c r="I1356" s="274"/>
      <c r="J1356" s="274"/>
      <c r="K1356" s="274"/>
      <c r="L1356" s="274"/>
      <c r="M1356" s="274"/>
      <c r="N1356" s="274"/>
      <c r="P1356" s="276">
        <v>46175.60839120371</v>
      </c>
    </row>
    <row r="1357" ht="15.0" customHeight="1">
      <c r="A1357" s="59" t="s">
        <v>12</v>
      </c>
      <c r="B1357" s="272">
        <v>46169.0</v>
      </c>
      <c r="D1357" s="59" t="s">
        <v>88</v>
      </c>
      <c r="E1357" s="59" t="s">
        <v>149</v>
      </c>
      <c r="F1357" s="59" t="s">
        <v>150</v>
      </c>
      <c r="G1357" s="59" t="s">
        <v>80</v>
      </c>
      <c r="H1357" s="273">
        <v>300.0</v>
      </c>
      <c r="I1357" s="274"/>
      <c r="J1357" s="274"/>
      <c r="K1357" s="274"/>
      <c r="L1357" s="274"/>
      <c r="M1357" s="274"/>
      <c r="N1357" s="274"/>
      <c r="P1357" s="276">
        <v>46175.60912037037</v>
      </c>
    </row>
    <row r="1358" ht="15.0" customHeight="1">
      <c r="A1358" s="59" t="s">
        <v>12</v>
      </c>
      <c r="B1358" s="272">
        <v>46169.0</v>
      </c>
      <c r="D1358" s="59" t="s">
        <v>119</v>
      </c>
      <c r="E1358" s="59" t="s">
        <v>149</v>
      </c>
      <c r="F1358" s="59" t="s">
        <v>150</v>
      </c>
      <c r="G1358" s="59" t="s">
        <v>80</v>
      </c>
      <c r="H1358" s="273">
        <v>250.0</v>
      </c>
      <c r="I1358" s="274"/>
      <c r="J1358" s="274"/>
      <c r="K1358" s="274"/>
      <c r="L1358" s="274"/>
      <c r="M1358" s="274"/>
      <c r="N1358" s="274"/>
      <c r="P1358" s="276">
        <v>46175.609131944446</v>
      </c>
    </row>
    <row r="1359" ht="15.0" customHeight="1">
      <c r="A1359" s="59" t="s">
        <v>12</v>
      </c>
      <c r="B1359" s="272">
        <v>46171.0</v>
      </c>
      <c r="D1359" s="59" t="s">
        <v>119</v>
      </c>
      <c r="E1359" s="59" t="s">
        <v>149</v>
      </c>
      <c r="F1359" s="59" t="s">
        <v>150</v>
      </c>
      <c r="G1359" s="59" t="s">
        <v>80</v>
      </c>
      <c r="H1359" s="273">
        <v>320.003</v>
      </c>
      <c r="I1359" s="274"/>
      <c r="J1359" s="274"/>
      <c r="K1359" s="274"/>
      <c r="L1359" s="274"/>
      <c r="M1359" s="274"/>
      <c r="N1359" s="274"/>
      <c r="P1359" s="276">
        <v>46175.60974537037</v>
      </c>
    </row>
    <row r="1360" ht="15.0" customHeight="1">
      <c r="A1360" s="59" t="s">
        <v>12</v>
      </c>
      <c r="B1360" s="272">
        <v>46173.0</v>
      </c>
      <c r="D1360" s="59" t="s">
        <v>162</v>
      </c>
      <c r="E1360" s="59" t="s">
        <v>163</v>
      </c>
      <c r="F1360" s="59" t="s">
        <v>79</v>
      </c>
      <c r="G1360" s="59" t="s">
        <v>80</v>
      </c>
      <c r="H1360" s="273">
        <v>1726.0</v>
      </c>
      <c r="I1360" s="274"/>
      <c r="J1360" s="274"/>
      <c r="K1360" s="274"/>
      <c r="L1360" s="274"/>
      <c r="M1360" s="274"/>
      <c r="N1360" s="274"/>
      <c r="P1360" s="276">
        <v>46176.39791666667</v>
      </c>
    </row>
    <row r="1361" ht="15.0" customHeight="1">
      <c r="A1361" s="59" t="s">
        <v>12</v>
      </c>
      <c r="B1361" s="272">
        <v>46174.0</v>
      </c>
      <c r="D1361" s="59" t="s">
        <v>105</v>
      </c>
      <c r="E1361" s="59" t="s">
        <v>141</v>
      </c>
      <c r="F1361" s="59" t="s">
        <v>79</v>
      </c>
      <c r="G1361" s="59" t="s">
        <v>80</v>
      </c>
      <c r="H1361" s="273">
        <v>340.0</v>
      </c>
      <c r="I1361" s="274"/>
      <c r="J1361" s="274">
        <v>259.0</v>
      </c>
      <c r="K1361" s="274"/>
      <c r="L1361" s="274"/>
      <c r="M1361" s="274"/>
      <c r="N1361" s="274"/>
      <c r="P1361" s="276">
        <v>46176.41475694445</v>
      </c>
    </row>
    <row r="1362" ht="15.0" customHeight="1">
      <c r="A1362" s="59" t="s">
        <v>12</v>
      </c>
      <c r="B1362" s="272">
        <v>46174.0</v>
      </c>
      <c r="D1362" s="59" t="s">
        <v>339</v>
      </c>
      <c r="E1362" s="59" t="s">
        <v>141</v>
      </c>
      <c r="F1362" s="59" t="s">
        <v>79</v>
      </c>
      <c r="G1362" s="59" t="s">
        <v>80</v>
      </c>
      <c r="H1362" s="273">
        <v>503.0</v>
      </c>
      <c r="I1362" s="274">
        <v>236.0</v>
      </c>
      <c r="J1362" s="274"/>
      <c r="K1362" s="274"/>
      <c r="L1362" s="274"/>
      <c r="M1362" s="274"/>
      <c r="N1362" s="274"/>
      <c r="P1362" s="276">
        <v>46176.414768518516</v>
      </c>
    </row>
    <row r="1363" ht="15.0" customHeight="1">
      <c r="A1363" s="59" t="s">
        <v>12</v>
      </c>
      <c r="B1363" s="272">
        <v>46175.0</v>
      </c>
      <c r="D1363" s="59" t="s">
        <v>98</v>
      </c>
      <c r="E1363" s="59" t="s">
        <v>141</v>
      </c>
      <c r="F1363" s="59" t="s">
        <v>79</v>
      </c>
      <c r="G1363" s="59" t="s">
        <v>80</v>
      </c>
      <c r="H1363" s="273">
        <v>154.0</v>
      </c>
      <c r="I1363" s="274">
        <v>165695.0</v>
      </c>
      <c r="J1363" s="274">
        <v>166049.0</v>
      </c>
      <c r="K1363" s="274">
        <v>354.0</v>
      </c>
      <c r="L1363" s="274"/>
      <c r="M1363" s="274"/>
      <c r="N1363" s="274"/>
      <c r="P1363" s="276">
        <v>46176.41724537037</v>
      </c>
    </row>
    <row r="1364" ht="15.0" customHeight="1">
      <c r="A1364" s="59" t="s">
        <v>12</v>
      </c>
      <c r="B1364" s="272">
        <v>46175.0</v>
      </c>
      <c r="D1364" s="59" t="s">
        <v>127</v>
      </c>
      <c r="E1364" s="59" t="s">
        <v>141</v>
      </c>
      <c r="F1364" s="59" t="s">
        <v>79</v>
      </c>
      <c r="G1364" s="59" t="s">
        <v>80</v>
      </c>
      <c r="H1364" s="273">
        <v>272.0</v>
      </c>
      <c r="I1364" s="274"/>
      <c r="J1364" s="274"/>
      <c r="K1364" s="274"/>
      <c r="L1364" s="274"/>
      <c r="M1364" s="274"/>
      <c r="N1364" s="274"/>
      <c r="O1364" s="59" t="s">
        <v>580</v>
      </c>
      <c r="P1364" s="276">
        <v>46176.41726851852</v>
      </c>
    </row>
    <row r="1365" ht="15.0" customHeight="1">
      <c r="A1365" s="59" t="s">
        <v>12</v>
      </c>
      <c r="B1365" s="272">
        <v>46175.0</v>
      </c>
      <c r="D1365" s="59" t="s">
        <v>136</v>
      </c>
      <c r="E1365" s="59" t="s">
        <v>141</v>
      </c>
      <c r="F1365" s="59" t="s">
        <v>79</v>
      </c>
      <c r="G1365" s="59" t="s">
        <v>80</v>
      </c>
      <c r="H1365" s="273">
        <v>68.0</v>
      </c>
      <c r="I1365" s="274">
        <v>317793.0</v>
      </c>
      <c r="J1365" s="274">
        <v>318709.0</v>
      </c>
      <c r="K1365" s="274">
        <v>916.0</v>
      </c>
      <c r="L1365" s="274"/>
      <c r="M1365" s="274"/>
      <c r="N1365" s="274"/>
      <c r="P1365" s="276">
        <v>46176.417280092595</v>
      </c>
    </row>
    <row r="1366" ht="15.0" customHeight="1">
      <c r="A1366" s="59" t="s">
        <v>12</v>
      </c>
      <c r="B1366" s="272">
        <v>46175.0</v>
      </c>
      <c r="D1366" s="59" t="s">
        <v>135</v>
      </c>
      <c r="E1366" s="59" t="s">
        <v>141</v>
      </c>
      <c r="F1366" s="59" t="s">
        <v>79</v>
      </c>
      <c r="G1366" s="59" t="s">
        <v>80</v>
      </c>
      <c r="H1366" s="273">
        <v>46.0</v>
      </c>
      <c r="I1366" s="274">
        <v>477094.0</v>
      </c>
      <c r="J1366" s="274">
        <v>477678.0</v>
      </c>
      <c r="K1366" s="274">
        <v>584.0</v>
      </c>
      <c r="L1366" s="274"/>
      <c r="M1366" s="274"/>
      <c r="N1366" s="274"/>
      <c r="P1366" s="276">
        <v>46176.417291666665</v>
      </c>
    </row>
    <row r="1367" ht="15.0" customHeight="1">
      <c r="A1367" s="59" t="s">
        <v>12</v>
      </c>
      <c r="B1367" s="272">
        <v>46175.0</v>
      </c>
      <c r="D1367" s="59" t="s">
        <v>100</v>
      </c>
      <c r="E1367" s="59" t="s">
        <v>141</v>
      </c>
      <c r="F1367" s="59" t="s">
        <v>79</v>
      </c>
      <c r="G1367" s="59" t="s">
        <v>80</v>
      </c>
      <c r="H1367" s="273">
        <v>310.0</v>
      </c>
      <c r="I1367" s="274">
        <v>405557.0</v>
      </c>
      <c r="J1367" s="274">
        <v>406294.0</v>
      </c>
      <c r="K1367" s="274">
        <v>737.0</v>
      </c>
      <c r="L1367" s="274"/>
      <c r="M1367" s="274"/>
      <c r="N1367" s="274"/>
      <c r="P1367" s="276">
        <v>46176.41730324074</v>
      </c>
    </row>
    <row r="1368" ht="15.0" customHeight="1">
      <c r="A1368" s="59" t="s">
        <v>12</v>
      </c>
      <c r="B1368" s="272">
        <v>46176.0</v>
      </c>
      <c r="D1368" s="59" t="s">
        <v>116</v>
      </c>
      <c r="E1368" s="59" t="s">
        <v>141</v>
      </c>
      <c r="F1368" s="59" t="s">
        <v>79</v>
      </c>
      <c r="G1368" s="59" t="s">
        <v>80</v>
      </c>
      <c r="H1368" s="273">
        <v>346.0</v>
      </c>
      <c r="I1368" s="274">
        <v>77015.0</v>
      </c>
      <c r="J1368" s="274">
        <v>77759.0</v>
      </c>
      <c r="K1368" s="274">
        <v>744.0</v>
      </c>
      <c r="L1368" s="274"/>
      <c r="M1368" s="274"/>
      <c r="N1368" s="274"/>
      <c r="P1368" s="276">
        <v>46176.41939814815</v>
      </c>
    </row>
    <row r="1369" ht="15.0" customHeight="1">
      <c r="A1369" s="59" t="s">
        <v>12</v>
      </c>
      <c r="B1369" s="272">
        <v>46176.0</v>
      </c>
      <c r="D1369" s="59" t="s">
        <v>97</v>
      </c>
      <c r="E1369" s="59" t="s">
        <v>141</v>
      </c>
      <c r="F1369" s="59" t="s">
        <v>79</v>
      </c>
      <c r="G1369" s="59" t="s">
        <v>80</v>
      </c>
      <c r="H1369" s="273">
        <v>205.0</v>
      </c>
      <c r="I1369" s="274">
        <v>181633.0</v>
      </c>
      <c r="J1369" s="274">
        <v>181826.0</v>
      </c>
      <c r="K1369" s="274">
        <v>193.0</v>
      </c>
      <c r="L1369" s="274"/>
      <c r="M1369" s="274"/>
      <c r="N1369" s="274"/>
      <c r="P1369" s="276">
        <v>46176.41940972222</v>
      </c>
    </row>
    <row r="1370" ht="15.0" customHeight="1">
      <c r="A1370" s="59" t="s">
        <v>12</v>
      </c>
      <c r="B1370" s="272">
        <v>46176.0</v>
      </c>
      <c r="D1370" s="59" t="s">
        <v>119</v>
      </c>
      <c r="E1370" s="59" t="s">
        <v>141</v>
      </c>
      <c r="F1370" s="59" t="s">
        <v>79</v>
      </c>
      <c r="G1370" s="59" t="s">
        <v>80</v>
      </c>
      <c r="H1370" s="273">
        <v>370.0</v>
      </c>
      <c r="I1370" s="274">
        <v>53733.0</v>
      </c>
      <c r="J1370" s="274">
        <v>55212.0</v>
      </c>
      <c r="K1370" s="274">
        <v>1479.0</v>
      </c>
      <c r="L1370" s="274"/>
      <c r="M1370" s="274"/>
      <c r="N1370" s="274"/>
      <c r="P1370" s="276">
        <v>46176.4194212963</v>
      </c>
    </row>
    <row r="1371" ht="15.0" customHeight="1">
      <c r="A1371" s="59" t="s">
        <v>12</v>
      </c>
      <c r="B1371" s="272">
        <v>46176.0</v>
      </c>
      <c r="D1371" s="59" t="s">
        <v>84</v>
      </c>
      <c r="E1371" s="59" t="s">
        <v>141</v>
      </c>
      <c r="F1371" s="59" t="s">
        <v>79</v>
      </c>
      <c r="G1371" s="59" t="s">
        <v>80</v>
      </c>
      <c r="H1371" s="273">
        <v>45.0</v>
      </c>
      <c r="I1371" s="274"/>
      <c r="J1371" s="274"/>
      <c r="K1371" s="274"/>
      <c r="L1371" s="274"/>
      <c r="M1371" s="274"/>
      <c r="N1371" s="274"/>
      <c r="O1371" s="59" t="s">
        <v>124</v>
      </c>
      <c r="P1371" s="276">
        <v>46176.41943287037</v>
      </c>
    </row>
    <row r="1372" ht="15.0" customHeight="1">
      <c r="A1372" s="59" t="s">
        <v>12</v>
      </c>
      <c r="B1372" s="272">
        <v>46176.0</v>
      </c>
      <c r="D1372" s="59" t="s">
        <v>84</v>
      </c>
      <c r="E1372" s="59" t="s">
        <v>110</v>
      </c>
      <c r="F1372" s="59" t="s">
        <v>79</v>
      </c>
      <c r="G1372" s="59" t="s">
        <v>110</v>
      </c>
      <c r="H1372" s="273">
        <v>5.0</v>
      </c>
      <c r="I1372" s="274"/>
      <c r="J1372" s="274"/>
      <c r="K1372" s="274"/>
      <c r="L1372" s="274"/>
      <c r="M1372" s="274"/>
      <c r="N1372" s="274"/>
      <c r="P1372" s="276">
        <v>46176.419444444444</v>
      </c>
    </row>
    <row r="1373" ht="15.0" customHeight="1">
      <c r="A1373" s="59" t="s">
        <v>12</v>
      </c>
      <c r="B1373" s="272">
        <v>46176.0</v>
      </c>
      <c r="D1373" s="59" t="s">
        <v>89</v>
      </c>
      <c r="E1373" s="59" t="s">
        <v>141</v>
      </c>
      <c r="F1373" s="59" t="s">
        <v>79</v>
      </c>
      <c r="G1373" s="59" t="s">
        <v>80</v>
      </c>
      <c r="H1373" s="273">
        <v>50.0</v>
      </c>
      <c r="I1373" s="274"/>
      <c r="J1373" s="274"/>
      <c r="K1373" s="274"/>
      <c r="L1373" s="274"/>
      <c r="M1373" s="274"/>
      <c r="N1373" s="274"/>
      <c r="O1373" s="59" t="s">
        <v>124</v>
      </c>
      <c r="P1373" s="276">
        <v>46178.32201388889</v>
      </c>
    </row>
    <row r="1374" ht="15.0" customHeight="1">
      <c r="A1374" s="59" t="s">
        <v>12</v>
      </c>
      <c r="B1374" s="272">
        <v>46176.0</v>
      </c>
      <c r="D1374" s="59" t="s">
        <v>82</v>
      </c>
      <c r="E1374" s="59" t="s">
        <v>141</v>
      </c>
      <c r="F1374" s="59" t="s">
        <v>79</v>
      </c>
      <c r="G1374" s="59" t="s">
        <v>80</v>
      </c>
      <c r="H1374" s="273">
        <v>380.0</v>
      </c>
      <c r="I1374" s="274">
        <v>94166.0</v>
      </c>
      <c r="J1374" s="274">
        <v>94967.0</v>
      </c>
      <c r="K1374" s="274">
        <v>801.0</v>
      </c>
      <c r="L1374" s="274"/>
      <c r="M1374" s="274"/>
      <c r="N1374" s="274"/>
      <c r="P1374" s="276">
        <v>46178.32208333333</v>
      </c>
    </row>
    <row r="1375" ht="15.0" customHeight="1">
      <c r="A1375" s="59" t="s">
        <v>12</v>
      </c>
      <c r="B1375" s="272">
        <v>46176.0</v>
      </c>
      <c r="D1375" s="59" t="s">
        <v>127</v>
      </c>
      <c r="E1375" s="59" t="s">
        <v>141</v>
      </c>
      <c r="F1375" s="59" t="s">
        <v>79</v>
      </c>
      <c r="G1375" s="59" t="s">
        <v>80</v>
      </c>
      <c r="H1375" s="273">
        <v>200.0</v>
      </c>
      <c r="I1375" s="274"/>
      <c r="J1375" s="274"/>
      <c r="K1375" s="274"/>
      <c r="L1375" s="274"/>
      <c r="M1375" s="274"/>
      <c r="N1375" s="274"/>
      <c r="O1375" s="59" t="s">
        <v>581</v>
      </c>
      <c r="P1375" s="276">
        <v>46178.322164351855</v>
      </c>
    </row>
    <row r="1376" ht="15.0" customHeight="1">
      <c r="A1376" s="59" t="s">
        <v>12</v>
      </c>
      <c r="B1376" s="272">
        <v>46176.0</v>
      </c>
      <c r="D1376" s="59" t="s">
        <v>96</v>
      </c>
      <c r="E1376" s="59" t="s">
        <v>141</v>
      </c>
      <c r="F1376" s="59" t="s">
        <v>79</v>
      </c>
      <c r="G1376" s="59" t="s">
        <v>80</v>
      </c>
      <c r="H1376" s="273">
        <v>437.0</v>
      </c>
      <c r="I1376" s="274">
        <v>77562.0</v>
      </c>
      <c r="J1376" s="274">
        <v>78394.0</v>
      </c>
      <c r="K1376" s="274">
        <v>832.0</v>
      </c>
      <c r="L1376" s="274"/>
      <c r="M1376" s="274"/>
      <c r="N1376" s="274"/>
      <c r="P1376" s="276">
        <v>46178.322233796294</v>
      </c>
    </row>
    <row r="1377" ht="15.0" customHeight="1">
      <c r="A1377" s="59" t="s">
        <v>12</v>
      </c>
      <c r="B1377" s="272">
        <v>46176.0</v>
      </c>
      <c r="D1377" s="59" t="s">
        <v>118</v>
      </c>
      <c r="E1377" s="59" t="s">
        <v>141</v>
      </c>
      <c r="F1377" s="59" t="s">
        <v>79</v>
      </c>
      <c r="G1377" s="59" t="s">
        <v>80</v>
      </c>
      <c r="H1377" s="273">
        <v>448.0</v>
      </c>
      <c r="I1377" s="274">
        <v>150079.0</v>
      </c>
      <c r="J1377" s="274">
        <v>150901.0</v>
      </c>
      <c r="K1377" s="274">
        <v>822.0</v>
      </c>
      <c r="L1377" s="274"/>
      <c r="M1377" s="274"/>
      <c r="N1377" s="274"/>
      <c r="P1377" s="276">
        <v>46178.32230324074</v>
      </c>
    </row>
    <row r="1378" ht="15.0" customHeight="1">
      <c r="A1378" s="59" t="s">
        <v>12</v>
      </c>
      <c r="B1378" s="272">
        <v>46176.0</v>
      </c>
      <c r="D1378" s="59" t="s">
        <v>130</v>
      </c>
      <c r="E1378" s="59" t="s">
        <v>141</v>
      </c>
      <c r="F1378" s="59" t="s">
        <v>79</v>
      </c>
      <c r="G1378" s="59" t="s">
        <v>80</v>
      </c>
      <c r="H1378" s="273">
        <v>133.0</v>
      </c>
      <c r="I1378" s="274"/>
      <c r="J1378" s="274"/>
      <c r="K1378" s="274"/>
      <c r="L1378" s="274"/>
      <c r="M1378" s="274"/>
      <c r="N1378" s="274"/>
      <c r="O1378" s="59" t="s">
        <v>131</v>
      </c>
      <c r="P1378" s="276">
        <v>46178.32237268519</v>
      </c>
    </row>
    <row r="1379" ht="15.0" customHeight="1">
      <c r="A1379" s="59" t="s">
        <v>12</v>
      </c>
      <c r="B1379" s="272">
        <v>46177.0</v>
      </c>
      <c r="D1379" s="59" t="s">
        <v>101</v>
      </c>
      <c r="E1379" s="59" t="s">
        <v>141</v>
      </c>
      <c r="F1379" s="59" t="s">
        <v>79</v>
      </c>
      <c r="G1379" s="59" t="s">
        <v>80</v>
      </c>
      <c r="H1379" s="273">
        <v>220.0</v>
      </c>
      <c r="I1379" s="274">
        <v>115433.0</v>
      </c>
      <c r="J1379" s="274">
        <v>115903.0</v>
      </c>
      <c r="K1379" s="274">
        <v>470.0</v>
      </c>
      <c r="L1379" s="274"/>
      <c r="M1379" s="274"/>
      <c r="N1379" s="274"/>
      <c r="P1379" s="276">
        <v>46178.36519675926</v>
      </c>
    </row>
    <row r="1380" ht="15.0" customHeight="1">
      <c r="A1380" s="59" t="s">
        <v>12</v>
      </c>
      <c r="B1380" s="272">
        <v>46177.0</v>
      </c>
      <c r="D1380" s="59" t="s">
        <v>86</v>
      </c>
      <c r="E1380" s="59" t="s">
        <v>141</v>
      </c>
      <c r="F1380" s="59" t="s">
        <v>79</v>
      </c>
      <c r="G1380" s="59" t="s">
        <v>80</v>
      </c>
      <c r="H1380" s="273">
        <v>228.0</v>
      </c>
      <c r="I1380" s="274">
        <v>190036.0</v>
      </c>
      <c r="J1380" s="274">
        <v>190441.0</v>
      </c>
      <c r="K1380" s="274">
        <v>405.0</v>
      </c>
      <c r="L1380" s="274"/>
      <c r="M1380" s="274"/>
      <c r="N1380" s="274"/>
      <c r="P1380" s="276">
        <v>46178.365266203706</v>
      </c>
    </row>
    <row r="1381" ht="15.0" customHeight="1">
      <c r="A1381" s="59" t="s">
        <v>12</v>
      </c>
      <c r="B1381" s="272">
        <v>46177.0</v>
      </c>
      <c r="D1381" s="59" t="s">
        <v>114</v>
      </c>
      <c r="E1381" s="59" t="s">
        <v>141</v>
      </c>
      <c r="F1381" s="59" t="s">
        <v>79</v>
      </c>
      <c r="G1381" s="59" t="s">
        <v>80</v>
      </c>
      <c r="H1381" s="273">
        <v>220.0</v>
      </c>
      <c r="I1381" s="274">
        <v>274531.0</v>
      </c>
      <c r="J1381" s="274">
        <v>275020.0</v>
      </c>
      <c r="K1381" s="274">
        <v>489.0</v>
      </c>
      <c r="L1381" s="274"/>
      <c r="M1381" s="274"/>
      <c r="N1381" s="274"/>
      <c r="P1381" s="276">
        <v>46178.365335648145</v>
      </c>
    </row>
    <row r="1382" ht="15.0" customHeight="1">
      <c r="A1382" s="59" t="s">
        <v>12</v>
      </c>
      <c r="B1382" s="272">
        <v>46177.0</v>
      </c>
      <c r="D1382" s="59" t="s">
        <v>99</v>
      </c>
      <c r="E1382" s="59" t="s">
        <v>141</v>
      </c>
      <c r="F1382" s="59" t="s">
        <v>79</v>
      </c>
      <c r="G1382" s="59" t="s">
        <v>80</v>
      </c>
      <c r="H1382" s="273">
        <v>430.0</v>
      </c>
      <c r="I1382" s="274">
        <v>151355.0</v>
      </c>
      <c r="J1382" s="274">
        <v>152185.0</v>
      </c>
      <c r="K1382" s="274">
        <v>830.0</v>
      </c>
      <c r="L1382" s="274"/>
      <c r="M1382" s="274"/>
      <c r="N1382" s="274"/>
      <c r="P1382" s="276">
        <v>46178.36540509259</v>
      </c>
    </row>
    <row r="1383" ht="15.0" customHeight="1">
      <c r="A1383" s="59" t="s">
        <v>12</v>
      </c>
      <c r="B1383" s="272">
        <v>46177.0</v>
      </c>
      <c r="D1383" s="59" t="s">
        <v>88</v>
      </c>
      <c r="E1383" s="59" t="s">
        <v>141</v>
      </c>
      <c r="F1383" s="59" t="s">
        <v>79</v>
      </c>
      <c r="G1383" s="59" t="s">
        <v>80</v>
      </c>
      <c r="H1383" s="273">
        <v>490.0</v>
      </c>
      <c r="I1383" s="274">
        <v>240882.0</v>
      </c>
      <c r="J1383" s="274">
        <v>241962.0</v>
      </c>
      <c r="K1383" s="274">
        <v>1080.0</v>
      </c>
      <c r="L1383" s="274"/>
      <c r="M1383" s="274"/>
      <c r="N1383" s="274"/>
      <c r="P1383" s="276">
        <v>46178.36547453704</v>
      </c>
    </row>
    <row r="1384" ht="15.0" customHeight="1">
      <c r="A1384" s="59" t="s">
        <v>12</v>
      </c>
      <c r="B1384" s="272">
        <v>46178.0</v>
      </c>
      <c r="D1384" s="59" t="s">
        <v>117</v>
      </c>
      <c r="E1384" s="59" t="s">
        <v>110</v>
      </c>
      <c r="F1384" s="59" t="s">
        <v>79</v>
      </c>
      <c r="G1384" s="59" t="s">
        <v>110</v>
      </c>
      <c r="H1384" s="273">
        <v>5.0</v>
      </c>
      <c r="I1384" s="274"/>
      <c r="J1384" s="274"/>
      <c r="K1384" s="274"/>
      <c r="L1384" s="274"/>
      <c r="M1384" s="274"/>
      <c r="N1384" s="274"/>
      <c r="O1384" s="59" t="s">
        <v>572</v>
      </c>
      <c r="P1384" s="276">
        <v>46178.45515046296</v>
      </c>
    </row>
    <row r="1385" ht="15.0" customHeight="1">
      <c r="A1385" s="59" t="s">
        <v>12</v>
      </c>
      <c r="B1385" s="272">
        <v>46178.0</v>
      </c>
      <c r="D1385" s="59" t="s">
        <v>117</v>
      </c>
      <c r="E1385" s="59" t="s">
        <v>141</v>
      </c>
      <c r="F1385" s="59" t="s">
        <v>79</v>
      </c>
      <c r="G1385" s="59" t="s">
        <v>80</v>
      </c>
      <c r="H1385" s="273">
        <v>146.0</v>
      </c>
      <c r="I1385" s="274">
        <v>8312.0</v>
      </c>
      <c r="J1385" s="274">
        <v>8324.0</v>
      </c>
      <c r="K1385" s="274">
        <v>12.0</v>
      </c>
      <c r="L1385" s="274"/>
      <c r="M1385" s="274"/>
      <c r="N1385" s="274"/>
      <c r="P1385" s="276">
        <v>46178.45521990741</v>
      </c>
    </row>
    <row r="1386" ht="15.0" customHeight="1">
      <c r="A1386" s="59" t="s">
        <v>12</v>
      </c>
      <c r="B1386" s="272">
        <v>46178.0</v>
      </c>
      <c r="D1386" s="46" t="s">
        <v>132</v>
      </c>
      <c r="E1386" s="59" t="s">
        <v>141</v>
      </c>
      <c r="F1386" s="59" t="s">
        <v>79</v>
      </c>
      <c r="G1386" s="59" t="s">
        <v>80</v>
      </c>
      <c r="H1386" s="273">
        <v>223.0</v>
      </c>
      <c r="I1386" s="274">
        <v>5038.0</v>
      </c>
      <c r="J1386" s="274">
        <v>5438.0</v>
      </c>
      <c r="K1386" s="274">
        <v>400.0</v>
      </c>
      <c r="L1386" s="274"/>
      <c r="M1386" s="274"/>
      <c r="N1386" s="274"/>
      <c r="P1386" s="276">
        <v>46178.45528935185</v>
      </c>
    </row>
    <row r="1387" ht="15.0" customHeight="1">
      <c r="A1387" s="59" t="s">
        <v>12</v>
      </c>
      <c r="B1387" s="272">
        <v>46178.0</v>
      </c>
      <c r="D1387" s="59" t="s">
        <v>89</v>
      </c>
      <c r="E1387" s="59" t="s">
        <v>141</v>
      </c>
      <c r="F1387" s="59" t="s">
        <v>79</v>
      </c>
      <c r="G1387" s="59" t="s">
        <v>80</v>
      </c>
      <c r="H1387" s="273">
        <v>514.0</v>
      </c>
      <c r="I1387" s="274">
        <v>6175.0</v>
      </c>
      <c r="J1387" s="274">
        <v>7401.0</v>
      </c>
      <c r="K1387" s="274">
        <v>1226.0</v>
      </c>
      <c r="L1387" s="274"/>
      <c r="M1387" s="274"/>
      <c r="N1387" s="274"/>
      <c r="P1387" s="276">
        <v>46178.45537037037</v>
      </c>
    </row>
    <row r="1388" ht="15.0" customHeight="1">
      <c r="A1388" s="59" t="s">
        <v>16</v>
      </c>
      <c r="B1388" s="272">
        <v>46178.0</v>
      </c>
      <c r="E1388" s="59" t="s">
        <v>78</v>
      </c>
      <c r="F1388" s="59" t="s">
        <v>565</v>
      </c>
      <c r="G1388" s="59" t="s">
        <v>80</v>
      </c>
      <c r="H1388" s="273">
        <v>8745.0</v>
      </c>
      <c r="I1388" s="274"/>
      <c r="J1388" s="274"/>
      <c r="K1388" s="274"/>
      <c r="L1388" s="274" t="s">
        <v>140</v>
      </c>
      <c r="M1388" s="274">
        <v>27260.0</v>
      </c>
      <c r="N1388" s="274">
        <v>2.383887E8</v>
      </c>
      <c r="O1388" s="59" t="s">
        <v>143</v>
      </c>
      <c r="P1388" s="276">
        <v>46181.404444444444</v>
      </c>
    </row>
    <row r="1389" ht="15.0" customHeight="1">
      <c r="A1389" s="59" t="s">
        <v>16</v>
      </c>
      <c r="B1389" s="272">
        <v>46178.0</v>
      </c>
      <c r="E1389" s="59" t="s">
        <v>141</v>
      </c>
      <c r="F1389" s="59" t="s">
        <v>565</v>
      </c>
      <c r="G1389" s="59" t="s">
        <v>80</v>
      </c>
      <c r="H1389" s="273">
        <v>7105.0</v>
      </c>
      <c r="I1389" s="274"/>
      <c r="J1389" s="274"/>
      <c r="K1389" s="274"/>
      <c r="L1389" s="274" t="s">
        <v>140</v>
      </c>
      <c r="M1389" s="274">
        <v>27260.0</v>
      </c>
      <c r="N1389" s="274">
        <v>1.936823E8</v>
      </c>
      <c r="O1389" s="59" t="s">
        <v>143</v>
      </c>
      <c r="P1389" s="276">
        <v>46181.40452546296</v>
      </c>
    </row>
    <row r="1390" ht="15.0" customHeight="1">
      <c r="A1390" s="59" t="s">
        <v>16</v>
      </c>
      <c r="B1390" s="272">
        <v>46178.0</v>
      </c>
      <c r="E1390" s="59" t="s">
        <v>83</v>
      </c>
      <c r="F1390" s="59" t="s">
        <v>565</v>
      </c>
      <c r="G1390" s="59" t="s">
        <v>80</v>
      </c>
      <c r="H1390" s="273">
        <v>29415.0</v>
      </c>
      <c r="I1390" s="274"/>
      <c r="J1390" s="274"/>
      <c r="K1390" s="274"/>
      <c r="L1390" s="274" t="s">
        <v>140</v>
      </c>
      <c r="M1390" s="274">
        <v>27260.0</v>
      </c>
      <c r="N1390" s="274">
        <v>8.018529E8</v>
      </c>
      <c r="O1390" s="59" t="s">
        <v>143</v>
      </c>
      <c r="P1390" s="276">
        <v>46181.404594907406</v>
      </c>
    </row>
    <row r="1391" ht="15.0" customHeight="1">
      <c r="A1391" s="59" t="s">
        <v>12</v>
      </c>
      <c r="B1391" s="272">
        <v>46178.0</v>
      </c>
      <c r="D1391" s="59" t="s">
        <v>89</v>
      </c>
      <c r="E1391" s="59" t="s">
        <v>110</v>
      </c>
      <c r="F1391" s="59" t="s">
        <v>79</v>
      </c>
      <c r="G1391" s="59" t="s">
        <v>110</v>
      </c>
      <c r="H1391" s="273">
        <v>4.0</v>
      </c>
      <c r="I1391" s="274"/>
      <c r="J1391" s="274"/>
      <c r="K1391" s="274"/>
      <c r="L1391" s="274"/>
      <c r="M1391" s="274"/>
      <c r="N1391" s="274"/>
      <c r="O1391" s="59" t="s">
        <v>125</v>
      </c>
      <c r="P1391" s="276">
        <v>46181.40694444445</v>
      </c>
    </row>
    <row r="1392" ht="15.0" customHeight="1">
      <c r="A1392" s="59" t="s">
        <v>12</v>
      </c>
      <c r="B1392" s="272">
        <v>46178.0</v>
      </c>
      <c r="D1392" s="59" t="s">
        <v>84</v>
      </c>
      <c r="E1392" s="59" t="s">
        <v>141</v>
      </c>
      <c r="F1392" s="59" t="s">
        <v>79</v>
      </c>
      <c r="G1392" s="59" t="s">
        <v>80</v>
      </c>
      <c r="H1392" s="273">
        <v>503.0</v>
      </c>
      <c r="I1392" s="274">
        <v>45835.0</v>
      </c>
      <c r="J1392" s="274">
        <v>46952.0</v>
      </c>
      <c r="K1392" s="274">
        <v>1117.0</v>
      </c>
      <c r="L1392" s="274"/>
      <c r="M1392" s="274"/>
      <c r="N1392" s="274"/>
      <c r="P1392" s="276">
        <v>46181.40702546296</v>
      </c>
    </row>
    <row r="1393" ht="15.0" customHeight="1">
      <c r="A1393" s="59" t="s">
        <v>12</v>
      </c>
      <c r="B1393" s="272">
        <v>46179.0</v>
      </c>
      <c r="D1393" s="59" t="s">
        <v>97</v>
      </c>
      <c r="E1393" s="59" t="s">
        <v>141</v>
      </c>
      <c r="F1393" s="59" t="s">
        <v>79</v>
      </c>
      <c r="G1393" s="59" t="s">
        <v>80</v>
      </c>
      <c r="H1393" s="273">
        <v>159.0</v>
      </c>
      <c r="I1393" s="274">
        <v>181826.0</v>
      </c>
      <c r="J1393" s="277">
        <v>181985.0</v>
      </c>
      <c r="K1393" s="277">
        <v>159.0</v>
      </c>
      <c r="L1393" s="274"/>
      <c r="M1393" s="274"/>
      <c r="N1393" s="274"/>
      <c r="P1393" s="276">
        <v>46181.411458333336</v>
      </c>
    </row>
    <row r="1394" ht="15.0" customHeight="1">
      <c r="A1394" s="59" t="s">
        <v>12</v>
      </c>
      <c r="B1394" s="272">
        <v>46179.0</v>
      </c>
      <c r="D1394" s="59" t="s">
        <v>98</v>
      </c>
      <c r="E1394" s="59" t="s">
        <v>141</v>
      </c>
      <c r="F1394" s="59" t="s">
        <v>79</v>
      </c>
      <c r="G1394" s="59" t="s">
        <v>80</v>
      </c>
      <c r="H1394" s="273">
        <v>160.0</v>
      </c>
      <c r="I1394" s="274">
        <v>166049.0</v>
      </c>
      <c r="J1394" s="274">
        <v>166415.0</v>
      </c>
      <c r="K1394" s="274">
        <v>366.0</v>
      </c>
      <c r="L1394" s="274"/>
      <c r="M1394" s="274"/>
      <c r="N1394" s="274"/>
      <c r="P1394" s="276">
        <v>46181.41153935185</v>
      </c>
    </row>
    <row r="1395" ht="15.0" customHeight="1">
      <c r="A1395" s="59" t="s">
        <v>12</v>
      </c>
      <c r="B1395" s="272">
        <v>46179.0</v>
      </c>
      <c r="D1395" s="59" t="s">
        <v>113</v>
      </c>
      <c r="E1395" s="59" t="s">
        <v>141</v>
      </c>
      <c r="F1395" s="59" t="s">
        <v>79</v>
      </c>
      <c r="G1395" s="59" t="s">
        <v>80</v>
      </c>
      <c r="H1395" s="273">
        <v>205.0</v>
      </c>
      <c r="I1395" s="277">
        <v>171318.0</v>
      </c>
      <c r="J1395" s="274">
        <v>171693.0</v>
      </c>
      <c r="K1395" s="277">
        <v>375.0</v>
      </c>
      <c r="L1395" s="274"/>
      <c r="M1395" s="274"/>
      <c r="N1395" s="274"/>
      <c r="P1395" s="276">
        <v>46181.4116087963</v>
      </c>
    </row>
    <row r="1396" ht="15.0" customHeight="1">
      <c r="A1396" s="59" t="s">
        <v>12</v>
      </c>
      <c r="B1396" s="272">
        <v>46179.0</v>
      </c>
      <c r="D1396" s="59" t="s">
        <v>336</v>
      </c>
      <c r="E1396" s="59" t="s">
        <v>141</v>
      </c>
      <c r="F1396" s="59" t="s">
        <v>79</v>
      </c>
      <c r="G1396" s="59" t="s">
        <v>80</v>
      </c>
      <c r="H1396" s="273">
        <v>240.0</v>
      </c>
      <c r="I1396" s="274">
        <v>269866.0</v>
      </c>
      <c r="J1396" s="274">
        <v>270339.0</v>
      </c>
      <c r="K1396" s="274">
        <v>473.0</v>
      </c>
      <c r="L1396" s="274"/>
      <c r="M1396" s="274"/>
      <c r="N1396" s="274"/>
      <c r="P1396" s="276">
        <v>46181.411678240744</v>
      </c>
    </row>
    <row r="1397" ht="15.0" customHeight="1">
      <c r="A1397" s="59" t="s">
        <v>12</v>
      </c>
      <c r="B1397" s="272">
        <v>46179.0</v>
      </c>
      <c r="D1397" s="59" t="s">
        <v>87</v>
      </c>
      <c r="E1397" s="59" t="s">
        <v>141</v>
      </c>
      <c r="F1397" s="59" t="s">
        <v>79</v>
      </c>
      <c r="G1397" s="59" t="s">
        <v>80</v>
      </c>
      <c r="H1397" s="273">
        <v>232.0</v>
      </c>
      <c r="I1397" s="277">
        <v>263665.0</v>
      </c>
      <c r="J1397" s="274">
        <v>264070.0</v>
      </c>
      <c r="K1397" s="277">
        <v>405.0</v>
      </c>
      <c r="L1397" s="274"/>
      <c r="M1397" s="274"/>
      <c r="N1397" s="274"/>
      <c r="P1397" s="276">
        <v>46181.41174768518</v>
      </c>
    </row>
    <row r="1398" ht="15.0" customHeight="1">
      <c r="A1398" s="59" t="s">
        <v>12</v>
      </c>
      <c r="B1398" s="272">
        <v>46179.0</v>
      </c>
      <c r="D1398" s="59" t="s">
        <v>92</v>
      </c>
      <c r="E1398" s="59" t="s">
        <v>141</v>
      </c>
      <c r="F1398" s="59" t="s">
        <v>79</v>
      </c>
      <c r="G1398" s="59" t="s">
        <v>80</v>
      </c>
      <c r="H1398" s="273">
        <v>235.0</v>
      </c>
      <c r="I1398" s="274">
        <v>240912.0</v>
      </c>
      <c r="J1398" s="274">
        <v>241371.0</v>
      </c>
      <c r="K1398" s="274">
        <v>459.0</v>
      </c>
      <c r="L1398" s="274"/>
      <c r="M1398" s="274"/>
      <c r="N1398" s="274"/>
      <c r="P1398" s="276">
        <v>46181.411828703705</v>
      </c>
    </row>
    <row r="1399" ht="15.0" customHeight="1">
      <c r="A1399" s="59" t="s">
        <v>12</v>
      </c>
      <c r="B1399" s="272">
        <v>46179.0</v>
      </c>
      <c r="D1399" s="59" t="s">
        <v>103</v>
      </c>
      <c r="E1399" s="59" t="s">
        <v>141</v>
      </c>
      <c r="F1399" s="59" t="s">
        <v>79</v>
      </c>
      <c r="G1399" s="59" t="s">
        <v>80</v>
      </c>
      <c r="H1399" s="273">
        <v>166.0</v>
      </c>
      <c r="I1399" s="277">
        <v>4267.0</v>
      </c>
      <c r="J1399" s="274">
        <v>4282.0</v>
      </c>
      <c r="K1399" s="277">
        <v>15.0</v>
      </c>
      <c r="L1399" s="274"/>
      <c r="M1399" s="274"/>
      <c r="N1399" s="274"/>
      <c r="P1399" s="276">
        <v>46181.41189814815</v>
      </c>
    </row>
    <row r="1400" ht="15.0" customHeight="1">
      <c r="A1400" s="59" t="s">
        <v>12</v>
      </c>
      <c r="B1400" s="272">
        <v>46179.0</v>
      </c>
      <c r="D1400" s="46" t="s">
        <v>122</v>
      </c>
      <c r="E1400" s="59" t="s">
        <v>141</v>
      </c>
      <c r="F1400" s="59" t="s">
        <v>79</v>
      </c>
      <c r="G1400" s="59" t="s">
        <v>80</v>
      </c>
      <c r="H1400" s="273">
        <v>267.0</v>
      </c>
      <c r="I1400" s="274">
        <v>5794.0</v>
      </c>
      <c r="J1400" s="274">
        <v>6384.0</v>
      </c>
      <c r="K1400" s="274">
        <v>590.0</v>
      </c>
      <c r="L1400" s="274"/>
      <c r="M1400" s="274"/>
      <c r="N1400" s="274"/>
      <c r="P1400" s="276">
        <v>46181.41196759259</v>
      </c>
    </row>
    <row r="1401" ht="15.0" customHeight="1">
      <c r="A1401" s="59" t="s">
        <v>12</v>
      </c>
      <c r="B1401" s="272">
        <v>46180.0</v>
      </c>
      <c r="D1401" s="59" t="s">
        <v>115</v>
      </c>
      <c r="E1401" s="59" t="s">
        <v>141</v>
      </c>
      <c r="F1401" s="59" t="s">
        <v>79</v>
      </c>
      <c r="G1401" s="59" t="s">
        <v>80</v>
      </c>
      <c r="H1401" s="273">
        <v>430.0</v>
      </c>
      <c r="I1401" s="277">
        <v>14045.0</v>
      </c>
      <c r="J1401" s="274">
        <v>15076.0</v>
      </c>
      <c r="K1401" s="277">
        <v>1031.0</v>
      </c>
      <c r="L1401" s="274"/>
      <c r="M1401" s="274"/>
      <c r="N1401" s="274"/>
      <c r="P1401" s="276">
        <v>46181.416446759256</v>
      </c>
    </row>
    <row r="1402" ht="15.0" customHeight="1">
      <c r="A1402" s="59" t="s">
        <v>12</v>
      </c>
      <c r="B1402" s="272">
        <v>46180.0</v>
      </c>
      <c r="D1402" s="46" t="s">
        <v>129</v>
      </c>
      <c r="E1402" s="59" t="s">
        <v>141</v>
      </c>
      <c r="F1402" s="59" t="s">
        <v>79</v>
      </c>
      <c r="G1402" s="59" t="s">
        <v>80</v>
      </c>
      <c r="H1402" s="273">
        <v>208.0</v>
      </c>
      <c r="I1402" s="274">
        <v>6104.0</v>
      </c>
      <c r="J1402" s="274">
        <v>6557.0</v>
      </c>
      <c r="K1402" s="274">
        <v>453.0</v>
      </c>
      <c r="L1402" s="274"/>
      <c r="M1402" s="274"/>
      <c r="N1402" s="274"/>
      <c r="P1402" s="276">
        <v>46181.41652777778</v>
      </c>
    </row>
    <row r="1403" ht="15.0" customHeight="1">
      <c r="A1403" s="59" t="s">
        <v>12</v>
      </c>
      <c r="B1403" s="272">
        <v>46180.0</v>
      </c>
      <c r="D1403" s="46" t="s">
        <v>148</v>
      </c>
      <c r="E1403" s="59" t="s">
        <v>141</v>
      </c>
      <c r="F1403" s="59" t="s">
        <v>79</v>
      </c>
      <c r="G1403" s="59" t="s">
        <v>80</v>
      </c>
      <c r="H1403" s="273">
        <v>300.0</v>
      </c>
      <c r="I1403" s="274">
        <v>4163.0</v>
      </c>
      <c r="J1403" s="274">
        <v>4786.0</v>
      </c>
      <c r="K1403" s="274">
        <v>623.0</v>
      </c>
      <c r="L1403" s="274"/>
      <c r="M1403" s="274"/>
      <c r="N1403" s="274"/>
      <c r="P1403" s="276">
        <v>46181.416597222225</v>
      </c>
    </row>
    <row r="1404" ht="15.0" customHeight="1">
      <c r="A1404" s="59" t="s">
        <v>12</v>
      </c>
      <c r="B1404" s="272">
        <v>46180.0</v>
      </c>
      <c r="D1404" s="59" t="s">
        <v>127</v>
      </c>
      <c r="E1404" s="59" t="s">
        <v>141</v>
      </c>
      <c r="F1404" s="59" t="s">
        <v>79</v>
      </c>
      <c r="G1404" s="59" t="s">
        <v>80</v>
      </c>
      <c r="H1404" s="273">
        <v>250.0</v>
      </c>
      <c r="I1404" s="274"/>
      <c r="J1404" s="274"/>
      <c r="K1404" s="274"/>
      <c r="L1404" s="274"/>
      <c r="M1404" s="274"/>
      <c r="N1404" s="274"/>
      <c r="O1404" s="59" t="s">
        <v>582</v>
      </c>
      <c r="P1404" s="276">
        <v>46181.416666666664</v>
      </c>
    </row>
    <row r="1405" ht="15.0" customHeight="1">
      <c r="A1405" s="59" t="s">
        <v>12</v>
      </c>
      <c r="B1405" s="272">
        <v>46180.0</v>
      </c>
      <c r="D1405" s="59" t="s">
        <v>126</v>
      </c>
      <c r="E1405" s="59" t="s">
        <v>141</v>
      </c>
      <c r="F1405" s="59" t="s">
        <v>79</v>
      </c>
      <c r="G1405" s="59" t="s">
        <v>80</v>
      </c>
      <c r="H1405" s="273">
        <v>204.0</v>
      </c>
      <c r="I1405" s="274">
        <v>586820.0</v>
      </c>
      <c r="J1405" s="274">
        <v>587153.0</v>
      </c>
      <c r="K1405" s="274">
        <v>333.0</v>
      </c>
      <c r="L1405" s="274"/>
      <c r="M1405" s="274"/>
      <c r="N1405" s="274"/>
      <c r="P1405" s="276">
        <v>46181.41674768519</v>
      </c>
    </row>
    <row r="1406" ht="15.0" customHeight="1">
      <c r="A1406" s="59" t="s">
        <v>12</v>
      </c>
      <c r="B1406" s="272">
        <v>46181.0</v>
      </c>
      <c r="D1406" s="59" t="s">
        <v>92</v>
      </c>
      <c r="E1406" s="59" t="s">
        <v>93</v>
      </c>
      <c r="F1406" s="59" t="s">
        <v>79</v>
      </c>
      <c r="G1406" s="59" t="s">
        <v>93</v>
      </c>
      <c r="H1406" s="273">
        <v>10.0</v>
      </c>
      <c r="I1406" s="274"/>
      <c r="J1406" s="274"/>
      <c r="K1406" s="274"/>
      <c r="L1406" s="274"/>
      <c r="M1406" s="274"/>
      <c r="N1406" s="274"/>
      <c r="O1406" s="59" t="s">
        <v>583</v>
      </c>
      <c r="P1406" s="276">
        <v>46181.423159722224</v>
      </c>
    </row>
    <row r="1407" ht="15.0" customHeight="1">
      <c r="A1407" s="59" t="s">
        <v>12</v>
      </c>
      <c r="B1407" s="272">
        <v>46181.0</v>
      </c>
      <c r="D1407" s="59" t="s">
        <v>89</v>
      </c>
      <c r="E1407" s="59" t="s">
        <v>141</v>
      </c>
      <c r="F1407" s="59" t="s">
        <v>79</v>
      </c>
      <c r="G1407" s="59" t="s">
        <v>80</v>
      </c>
      <c r="H1407" s="273">
        <v>54.0</v>
      </c>
      <c r="I1407" s="274"/>
      <c r="J1407" s="274"/>
      <c r="K1407" s="274"/>
      <c r="L1407" s="274"/>
      <c r="M1407" s="274"/>
      <c r="N1407" s="274"/>
      <c r="O1407" s="59" t="s">
        <v>124</v>
      </c>
      <c r="P1407" s="276">
        <v>46181.42322916666</v>
      </c>
    </row>
    <row r="1408" ht="15.0" customHeight="1">
      <c r="A1408" s="59" t="s">
        <v>12</v>
      </c>
      <c r="B1408" s="272">
        <v>46181.0</v>
      </c>
      <c r="D1408" s="46" t="s">
        <v>104</v>
      </c>
      <c r="E1408" s="59" t="s">
        <v>141</v>
      </c>
      <c r="F1408" s="59" t="s">
        <v>79</v>
      </c>
      <c r="G1408" s="59" t="s">
        <v>80</v>
      </c>
      <c r="H1408" s="273">
        <v>314.0</v>
      </c>
      <c r="I1408" s="274">
        <v>4691.0</v>
      </c>
      <c r="J1408" s="274">
        <v>5305.0</v>
      </c>
      <c r="K1408" s="274">
        <v>614.0</v>
      </c>
      <c r="L1408" s="274"/>
      <c r="M1408" s="274"/>
      <c r="N1408" s="274"/>
      <c r="P1408" s="276">
        <v>46181.423310185186</v>
      </c>
    </row>
    <row r="1409" ht="15.0" customHeight="1">
      <c r="A1409" s="59" t="s">
        <v>12</v>
      </c>
      <c r="B1409" s="272">
        <v>46181.0</v>
      </c>
      <c r="D1409" s="59" t="s">
        <v>127</v>
      </c>
      <c r="E1409" s="59" t="s">
        <v>141</v>
      </c>
      <c r="F1409" s="59" t="s">
        <v>79</v>
      </c>
      <c r="G1409" s="59" t="s">
        <v>80</v>
      </c>
      <c r="H1409" s="273">
        <v>200.0</v>
      </c>
      <c r="I1409" s="274"/>
      <c r="J1409" s="274"/>
      <c r="K1409" s="274"/>
      <c r="L1409" s="274"/>
      <c r="M1409" s="274"/>
      <c r="N1409" s="274"/>
      <c r="O1409" s="59" t="s">
        <v>584</v>
      </c>
      <c r="P1409" s="276">
        <v>46181.42337962963</v>
      </c>
    </row>
    <row r="1410" ht="15.0" customHeight="1">
      <c r="A1410" s="59" t="s">
        <v>12</v>
      </c>
      <c r="B1410" s="272">
        <v>46181.0</v>
      </c>
      <c r="D1410" s="59" t="s">
        <v>135</v>
      </c>
      <c r="E1410" s="59" t="s">
        <v>141</v>
      </c>
      <c r="F1410" s="59" t="s">
        <v>79</v>
      </c>
      <c r="G1410" s="59" t="s">
        <v>80</v>
      </c>
      <c r="H1410" s="273">
        <v>56.0</v>
      </c>
      <c r="I1410" s="274">
        <v>477678.0</v>
      </c>
      <c r="J1410" s="274">
        <v>478299.0</v>
      </c>
      <c r="K1410" s="274">
        <v>621.0</v>
      </c>
      <c r="L1410" s="274"/>
      <c r="M1410" s="274"/>
      <c r="N1410" s="274"/>
      <c r="P1410" s="276">
        <v>46181.42346064815</v>
      </c>
    </row>
    <row r="1411" ht="15.0" customHeight="1">
      <c r="A1411" s="59" t="s">
        <v>12</v>
      </c>
      <c r="B1411" s="272">
        <v>46181.0</v>
      </c>
      <c r="D1411" s="59" t="s">
        <v>105</v>
      </c>
      <c r="E1411" s="59" t="s">
        <v>141</v>
      </c>
      <c r="F1411" s="59" t="s">
        <v>79</v>
      </c>
      <c r="G1411" s="59" t="s">
        <v>80</v>
      </c>
      <c r="H1411" s="273">
        <v>215.0</v>
      </c>
      <c r="I1411" s="274">
        <v>259.0</v>
      </c>
      <c r="J1411" s="274">
        <v>785.0</v>
      </c>
      <c r="K1411" s="274">
        <v>526.0</v>
      </c>
      <c r="L1411" s="274"/>
      <c r="M1411" s="274"/>
      <c r="N1411" s="274"/>
      <c r="P1411" s="276">
        <v>46181.423530092594</v>
      </c>
    </row>
    <row r="1412" ht="15.0" customHeight="1">
      <c r="A1412" s="59" t="s">
        <v>12</v>
      </c>
      <c r="B1412" s="272">
        <v>46181.0</v>
      </c>
      <c r="D1412" s="59" t="s">
        <v>119</v>
      </c>
      <c r="E1412" s="59" t="s">
        <v>141</v>
      </c>
      <c r="F1412" s="59" t="s">
        <v>79</v>
      </c>
      <c r="G1412" s="59" t="s">
        <v>80</v>
      </c>
      <c r="H1412" s="273">
        <v>280.0</v>
      </c>
      <c r="I1412" s="274">
        <v>55212.0</v>
      </c>
      <c r="J1412" s="274">
        <v>56709.0</v>
      </c>
      <c r="K1412" s="274">
        <v>1497.0</v>
      </c>
      <c r="L1412" s="274"/>
      <c r="M1412" s="274"/>
      <c r="N1412" s="274"/>
      <c r="P1412" s="276">
        <v>46181.42361111111</v>
      </c>
    </row>
    <row r="1413" ht="15.0" customHeight="1">
      <c r="A1413" s="59" t="s">
        <v>12</v>
      </c>
      <c r="B1413" s="272">
        <v>46181.0</v>
      </c>
      <c r="D1413" s="59" t="s">
        <v>119</v>
      </c>
      <c r="E1413" s="59" t="s">
        <v>110</v>
      </c>
      <c r="F1413" s="59" t="s">
        <v>79</v>
      </c>
      <c r="G1413" s="59" t="s">
        <v>110</v>
      </c>
      <c r="H1413" s="273">
        <v>30.0</v>
      </c>
      <c r="I1413" s="274">
        <v>41062.0</v>
      </c>
      <c r="J1413" s="274">
        <v>56709.0</v>
      </c>
      <c r="K1413" s="274">
        <v>15647.0</v>
      </c>
      <c r="L1413" s="274"/>
      <c r="M1413" s="274"/>
      <c r="N1413" s="274"/>
      <c r="P1413" s="276">
        <v>46181.423680555556</v>
      </c>
    </row>
    <row r="1414" ht="15.0" customHeight="1">
      <c r="A1414" s="59" t="s">
        <v>12</v>
      </c>
      <c r="B1414" s="272">
        <v>46181.0</v>
      </c>
      <c r="D1414" s="59" t="s">
        <v>123</v>
      </c>
      <c r="E1414" s="59" t="s">
        <v>141</v>
      </c>
      <c r="F1414" s="59" t="s">
        <v>79</v>
      </c>
      <c r="G1414" s="59" t="s">
        <v>80</v>
      </c>
      <c r="H1414" s="273">
        <v>544.0</v>
      </c>
      <c r="I1414" s="274">
        <v>198915.0</v>
      </c>
      <c r="J1414" s="274">
        <v>200016.0</v>
      </c>
      <c r="K1414" s="274">
        <v>1101.0</v>
      </c>
      <c r="L1414" s="274"/>
      <c r="M1414" s="274"/>
      <c r="N1414" s="274"/>
      <c r="P1414" s="276">
        <v>46181.42376157407</v>
      </c>
    </row>
    <row r="1415" ht="15.0" customHeight="1">
      <c r="A1415" s="59" t="s">
        <v>12</v>
      </c>
      <c r="B1415" s="272">
        <v>46181.0</v>
      </c>
      <c r="D1415" s="46" t="s">
        <v>121</v>
      </c>
      <c r="E1415" s="59" t="s">
        <v>141</v>
      </c>
      <c r="F1415" s="59" t="s">
        <v>79</v>
      </c>
      <c r="G1415" s="59" t="s">
        <v>80</v>
      </c>
      <c r="H1415" s="273">
        <v>285.0</v>
      </c>
      <c r="I1415" s="277">
        <v>3259.0</v>
      </c>
      <c r="J1415" s="274">
        <v>3767.0</v>
      </c>
      <c r="K1415" s="277">
        <v>508.0</v>
      </c>
      <c r="L1415" s="274"/>
      <c r="M1415" s="274"/>
      <c r="N1415" s="274"/>
      <c r="P1415" s="276">
        <v>46181.66633101852</v>
      </c>
    </row>
    <row r="1416" ht="15.0" customHeight="1">
      <c r="A1416" s="59" t="s">
        <v>12</v>
      </c>
      <c r="B1416" s="272">
        <v>46181.0</v>
      </c>
      <c r="D1416" s="59" t="s">
        <v>339</v>
      </c>
      <c r="E1416" s="59" t="s">
        <v>141</v>
      </c>
      <c r="F1416" s="59" t="s">
        <v>79</v>
      </c>
      <c r="G1416" s="59" t="s">
        <v>80</v>
      </c>
      <c r="H1416" s="273">
        <v>320.0</v>
      </c>
      <c r="I1416" s="277"/>
      <c r="J1416" s="277"/>
      <c r="K1416" s="274"/>
      <c r="L1416" s="274"/>
      <c r="M1416" s="274"/>
      <c r="N1416" s="274"/>
      <c r="O1416" s="59" t="s">
        <v>585</v>
      </c>
      <c r="P1416" s="276">
        <v>46181.66641203704</v>
      </c>
    </row>
    <row r="1417" ht="15.0" customHeight="1">
      <c r="A1417" s="59" t="s">
        <v>12</v>
      </c>
      <c r="B1417" s="272">
        <v>46181.0</v>
      </c>
      <c r="D1417" s="59" t="s">
        <v>84</v>
      </c>
      <c r="E1417" s="59" t="s">
        <v>141</v>
      </c>
      <c r="F1417" s="59" t="s">
        <v>79</v>
      </c>
      <c r="G1417" s="59" t="s">
        <v>80</v>
      </c>
      <c r="H1417" s="273">
        <v>46.0</v>
      </c>
      <c r="I1417" s="274"/>
      <c r="J1417" s="274"/>
      <c r="K1417" s="274"/>
      <c r="L1417" s="274"/>
      <c r="M1417" s="274"/>
      <c r="N1417" s="274"/>
      <c r="O1417" s="59" t="s">
        <v>85</v>
      </c>
      <c r="P1417" s="276">
        <v>46181.66648148148</v>
      </c>
    </row>
    <row r="1418" ht="15.0" customHeight="1">
      <c r="A1418" s="59" t="s">
        <v>12</v>
      </c>
      <c r="B1418" s="272">
        <v>46181.0</v>
      </c>
      <c r="D1418" s="59" t="s">
        <v>97</v>
      </c>
      <c r="E1418" s="59" t="s">
        <v>141</v>
      </c>
      <c r="F1418" s="59" t="s">
        <v>79</v>
      </c>
      <c r="G1418" s="59" t="s">
        <v>80</v>
      </c>
      <c r="H1418" s="273">
        <v>162.0</v>
      </c>
      <c r="I1418" s="274">
        <v>181985.0</v>
      </c>
      <c r="J1418" s="274">
        <v>182146.0</v>
      </c>
      <c r="K1418" s="274">
        <v>161.0</v>
      </c>
      <c r="L1418" s="274"/>
      <c r="M1418" s="274"/>
      <c r="N1418" s="274"/>
      <c r="P1418" s="276">
        <v>46182.385196759256</v>
      </c>
    </row>
    <row r="1419" ht="15.0" customHeight="1">
      <c r="A1419" s="59" t="s">
        <v>12</v>
      </c>
      <c r="B1419" s="272">
        <v>46181.0</v>
      </c>
      <c r="D1419" s="59" t="s">
        <v>86</v>
      </c>
      <c r="E1419" s="59" t="s">
        <v>141</v>
      </c>
      <c r="F1419" s="59" t="s">
        <v>79</v>
      </c>
      <c r="G1419" s="59" t="s">
        <v>80</v>
      </c>
      <c r="H1419" s="273">
        <v>238.0</v>
      </c>
      <c r="I1419" s="274">
        <v>190441.0</v>
      </c>
      <c r="J1419" s="274">
        <v>190890.0</v>
      </c>
      <c r="K1419" s="274">
        <v>449.0</v>
      </c>
      <c r="L1419" s="274"/>
      <c r="M1419" s="274"/>
      <c r="N1419" s="274"/>
      <c r="P1419" s="276">
        <v>46182.3852662037</v>
      </c>
    </row>
    <row r="1420" ht="15.0" customHeight="1">
      <c r="A1420" s="59" t="s">
        <v>12</v>
      </c>
      <c r="B1420" s="272">
        <v>46182.0</v>
      </c>
      <c r="D1420" s="59" t="s">
        <v>136</v>
      </c>
      <c r="E1420" s="59" t="s">
        <v>141</v>
      </c>
      <c r="F1420" s="59" t="s">
        <v>79</v>
      </c>
      <c r="G1420" s="59" t="s">
        <v>80</v>
      </c>
      <c r="H1420" s="273">
        <v>55.0</v>
      </c>
      <c r="I1420" s="274">
        <v>318709.0</v>
      </c>
      <c r="J1420" s="274">
        <v>319390.0</v>
      </c>
      <c r="K1420" s="274">
        <v>681.0</v>
      </c>
      <c r="L1420" s="274"/>
      <c r="M1420" s="274"/>
      <c r="N1420" s="274"/>
      <c r="P1420" s="276">
        <v>46182.388287037036</v>
      </c>
    </row>
    <row r="1421" ht="15.0" customHeight="1">
      <c r="A1421" s="59" t="s">
        <v>12</v>
      </c>
      <c r="B1421" s="272">
        <v>46182.0</v>
      </c>
      <c r="D1421" s="59" t="s">
        <v>130</v>
      </c>
      <c r="E1421" s="59" t="s">
        <v>141</v>
      </c>
      <c r="F1421" s="59" t="s">
        <v>79</v>
      </c>
      <c r="G1421" s="59" t="s">
        <v>80</v>
      </c>
      <c r="H1421" s="273">
        <v>174.0</v>
      </c>
      <c r="I1421" s="274"/>
      <c r="J1421" s="274"/>
      <c r="K1421" s="274"/>
      <c r="L1421" s="274"/>
      <c r="M1421" s="274"/>
      <c r="N1421" s="274"/>
      <c r="O1421" s="59" t="s">
        <v>131</v>
      </c>
      <c r="P1421" s="276">
        <v>46182.38835648148</v>
      </c>
    </row>
    <row r="1422" ht="15.0" customHeight="1">
      <c r="A1422" s="59" t="s">
        <v>12</v>
      </c>
      <c r="B1422" s="272">
        <v>46182.0</v>
      </c>
      <c r="D1422" s="59" t="s">
        <v>98</v>
      </c>
      <c r="E1422" s="59" t="s">
        <v>141</v>
      </c>
      <c r="F1422" s="59" t="s">
        <v>79</v>
      </c>
      <c r="G1422" s="59" t="s">
        <v>80</v>
      </c>
      <c r="H1422" s="273">
        <v>174.0</v>
      </c>
      <c r="I1422" s="274">
        <v>166415.0</v>
      </c>
      <c r="J1422" s="274">
        <v>166768.0</v>
      </c>
      <c r="K1422" s="274">
        <v>353.0</v>
      </c>
      <c r="L1422" s="274"/>
      <c r="M1422" s="274"/>
      <c r="N1422" s="274"/>
      <c r="P1422" s="276">
        <v>46184.264814814815</v>
      </c>
    </row>
    <row r="1423" ht="15.0" customHeight="1">
      <c r="A1423" s="59" t="s">
        <v>12</v>
      </c>
      <c r="B1423" s="272">
        <v>46182.0</v>
      </c>
      <c r="D1423" s="59" t="s">
        <v>117</v>
      </c>
      <c r="E1423" s="59" t="s">
        <v>141</v>
      </c>
      <c r="F1423" s="59" t="s">
        <v>79</v>
      </c>
      <c r="G1423" s="59" t="s">
        <v>80</v>
      </c>
      <c r="H1423" s="273">
        <v>150.0</v>
      </c>
      <c r="I1423" s="274">
        <v>8324.0</v>
      </c>
      <c r="J1423" s="274">
        <v>8336.0</v>
      </c>
      <c r="K1423" s="274">
        <v>12.0</v>
      </c>
      <c r="L1423" s="274"/>
      <c r="M1423" s="274"/>
      <c r="N1423" s="274"/>
      <c r="P1423" s="276">
        <v>46184.26488425926</v>
      </c>
    </row>
    <row r="1424" ht="15.0" customHeight="1">
      <c r="A1424" s="59" t="s">
        <v>12</v>
      </c>
      <c r="B1424" s="272">
        <v>46182.0</v>
      </c>
      <c r="D1424" s="59" t="s">
        <v>89</v>
      </c>
      <c r="E1424" s="59" t="s">
        <v>141</v>
      </c>
      <c r="F1424" s="59" t="s">
        <v>79</v>
      </c>
      <c r="G1424" s="59" t="s">
        <v>80</v>
      </c>
      <c r="H1424" s="273">
        <v>52.0</v>
      </c>
      <c r="I1424" s="274"/>
      <c r="J1424" s="274"/>
      <c r="K1424" s="274"/>
      <c r="L1424" s="274"/>
      <c r="M1424" s="274"/>
      <c r="N1424" s="274"/>
      <c r="O1424" s="59" t="s">
        <v>124</v>
      </c>
      <c r="P1424" s="276">
        <v>46184.264965277776</v>
      </c>
    </row>
    <row r="1425" ht="15.0" customHeight="1">
      <c r="A1425" s="59" t="s">
        <v>12</v>
      </c>
      <c r="B1425" s="272">
        <v>46182.0</v>
      </c>
      <c r="D1425" s="59" t="s">
        <v>100</v>
      </c>
      <c r="E1425" s="59" t="s">
        <v>141</v>
      </c>
      <c r="F1425" s="59" t="s">
        <v>79</v>
      </c>
      <c r="G1425" s="59" t="s">
        <v>80</v>
      </c>
      <c r="H1425" s="273">
        <v>349.0</v>
      </c>
      <c r="I1425" s="274">
        <v>406294.0</v>
      </c>
      <c r="J1425" s="274">
        <v>406936.0</v>
      </c>
      <c r="K1425" s="274">
        <v>642.0</v>
      </c>
      <c r="L1425" s="274"/>
      <c r="M1425" s="274"/>
      <c r="N1425" s="274"/>
      <c r="P1425" s="276">
        <v>46184.2650462963</v>
      </c>
    </row>
    <row r="1426" ht="15.0" customHeight="1">
      <c r="A1426" s="59" t="s">
        <v>12</v>
      </c>
      <c r="B1426" s="272">
        <v>46183.0</v>
      </c>
      <c r="D1426" s="59" t="s">
        <v>97</v>
      </c>
      <c r="E1426" s="59" t="s">
        <v>141</v>
      </c>
      <c r="F1426" s="59" t="s">
        <v>79</v>
      </c>
      <c r="G1426" s="59" t="s">
        <v>80</v>
      </c>
      <c r="H1426" s="273">
        <v>163.0</v>
      </c>
      <c r="I1426" s="274">
        <v>182146.0</v>
      </c>
      <c r="J1426" s="274">
        <v>182334.0</v>
      </c>
      <c r="K1426" s="274">
        <v>188.0</v>
      </c>
      <c r="L1426" s="274"/>
      <c r="M1426" s="274"/>
      <c r="N1426" s="274"/>
      <c r="P1426" s="276">
        <v>46184.26875</v>
      </c>
    </row>
    <row r="1427" ht="15.0" customHeight="1">
      <c r="A1427" s="59" t="s">
        <v>12</v>
      </c>
      <c r="B1427" s="272">
        <v>46183.0</v>
      </c>
      <c r="D1427" s="59" t="s">
        <v>112</v>
      </c>
      <c r="E1427" s="59" t="s">
        <v>141</v>
      </c>
      <c r="F1427" s="59" t="s">
        <v>79</v>
      </c>
      <c r="G1427" s="59" t="s">
        <v>80</v>
      </c>
      <c r="H1427" s="273">
        <v>137.0</v>
      </c>
      <c r="I1427" s="274">
        <v>98615.0</v>
      </c>
      <c r="J1427" s="274">
        <v>98867.0</v>
      </c>
      <c r="K1427" s="274">
        <v>252.0</v>
      </c>
      <c r="L1427" s="274"/>
      <c r="M1427" s="274"/>
      <c r="N1427" s="274"/>
      <c r="P1427" s="276">
        <v>46184.26883101852</v>
      </c>
    </row>
    <row r="1428" ht="15.0" customHeight="1">
      <c r="A1428" s="59" t="s">
        <v>12</v>
      </c>
      <c r="B1428" s="272">
        <v>46183.0</v>
      </c>
      <c r="D1428" s="59" t="s">
        <v>336</v>
      </c>
      <c r="E1428" s="59" t="s">
        <v>141</v>
      </c>
      <c r="F1428" s="59" t="s">
        <v>79</v>
      </c>
      <c r="G1428" s="59" t="s">
        <v>80</v>
      </c>
      <c r="H1428" s="273">
        <v>210.0</v>
      </c>
      <c r="I1428" s="274">
        <v>270339.0</v>
      </c>
      <c r="J1428" s="274">
        <v>270716.0</v>
      </c>
      <c r="K1428" s="274">
        <v>377.0</v>
      </c>
      <c r="L1428" s="274"/>
      <c r="M1428" s="274"/>
      <c r="N1428" s="274"/>
      <c r="P1428" s="276">
        <v>46184.268912037034</v>
      </c>
    </row>
    <row r="1429" ht="15.0" customHeight="1">
      <c r="A1429" s="59" t="s">
        <v>12</v>
      </c>
      <c r="B1429" s="272">
        <v>46183.0</v>
      </c>
      <c r="D1429" s="59" t="s">
        <v>114</v>
      </c>
      <c r="E1429" s="59" t="s">
        <v>141</v>
      </c>
      <c r="F1429" s="59" t="s">
        <v>79</v>
      </c>
      <c r="G1429" s="59" t="s">
        <v>80</v>
      </c>
      <c r="H1429" s="273">
        <v>258.0</v>
      </c>
      <c r="I1429" s="274">
        <v>275020.0</v>
      </c>
      <c r="J1429" s="274">
        <v>275592.0</v>
      </c>
      <c r="K1429" s="274">
        <v>572.0</v>
      </c>
      <c r="L1429" s="274"/>
      <c r="M1429" s="274"/>
      <c r="N1429" s="274"/>
      <c r="P1429" s="276">
        <v>46184.26898148148</v>
      </c>
    </row>
    <row r="1430" ht="15.0" customHeight="1">
      <c r="A1430" s="59" t="s">
        <v>12</v>
      </c>
      <c r="B1430" s="272">
        <v>46183.0</v>
      </c>
      <c r="D1430" s="59" t="s">
        <v>103</v>
      </c>
      <c r="E1430" s="59" t="s">
        <v>141</v>
      </c>
      <c r="F1430" s="59" t="s">
        <v>79</v>
      </c>
      <c r="G1430" s="59" t="s">
        <v>80</v>
      </c>
      <c r="H1430" s="273">
        <v>169.0</v>
      </c>
      <c r="I1430" s="274">
        <v>4282.0</v>
      </c>
      <c r="J1430" s="274">
        <v>4297.0</v>
      </c>
      <c r="K1430" s="274">
        <v>15.0</v>
      </c>
      <c r="L1430" s="274"/>
      <c r="M1430" s="274"/>
      <c r="N1430" s="274"/>
      <c r="P1430" s="276">
        <v>46184.2690625</v>
      </c>
    </row>
    <row r="1431" ht="15.0" customHeight="1">
      <c r="A1431" s="59" t="s">
        <v>12</v>
      </c>
      <c r="B1431" s="272">
        <v>46183.0</v>
      </c>
      <c r="D1431" s="59" t="s">
        <v>96</v>
      </c>
      <c r="E1431" s="59" t="s">
        <v>141</v>
      </c>
      <c r="F1431" s="59" t="s">
        <v>79</v>
      </c>
      <c r="G1431" s="59" t="s">
        <v>80</v>
      </c>
      <c r="H1431" s="273">
        <v>270.0</v>
      </c>
      <c r="I1431" s="274">
        <v>78394.0</v>
      </c>
      <c r="J1431" s="274">
        <v>79150.0</v>
      </c>
      <c r="K1431" s="274">
        <v>756.0</v>
      </c>
      <c r="L1431" s="274"/>
      <c r="M1431" s="274"/>
      <c r="N1431" s="274"/>
      <c r="P1431" s="276">
        <v>46184.26913194444</v>
      </c>
    </row>
    <row r="1432" ht="15.0" customHeight="1">
      <c r="A1432" s="59" t="s">
        <v>12</v>
      </c>
      <c r="B1432" s="272">
        <v>46183.0</v>
      </c>
      <c r="D1432" s="59" t="s">
        <v>88</v>
      </c>
      <c r="E1432" s="59" t="s">
        <v>141</v>
      </c>
      <c r="F1432" s="59" t="s">
        <v>79</v>
      </c>
      <c r="G1432" s="59" t="s">
        <v>80</v>
      </c>
      <c r="H1432" s="273">
        <v>490.0</v>
      </c>
      <c r="I1432" s="274">
        <v>241962.0</v>
      </c>
      <c r="J1432" s="274">
        <v>242811.0</v>
      </c>
      <c r="K1432" s="274">
        <v>849.0</v>
      </c>
      <c r="L1432" s="274"/>
      <c r="M1432" s="274"/>
      <c r="N1432" s="274"/>
      <c r="P1432" s="276">
        <v>46184.269212962965</v>
      </c>
    </row>
    <row r="1433" ht="15.0" customHeight="1">
      <c r="A1433" s="59" t="s">
        <v>12</v>
      </c>
      <c r="B1433" s="272">
        <v>46184.0</v>
      </c>
      <c r="D1433" s="59" t="s">
        <v>99</v>
      </c>
      <c r="E1433" s="59" t="s">
        <v>141</v>
      </c>
      <c r="F1433" s="59" t="s">
        <v>79</v>
      </c>
      <c r="G1433" s="59" t="s">
        <v>80</v>
      </c>
      <c r="H1433" s="273">
        <v>250.0</v>
      </c>
      <c r="I1433" s="274">
        <v>152185.0</v>
      </c>
      <c r="J1433" s="274">
        <v>152698.0</v>
      </c>
      <c r="K1433" s="274">
        <v>513.0</v>
      </c>
      <c r="L1433" s="274"/>
      <c r="M1433" s="274"/>
      <c r="N1433" s="274"/>
      <c r="P1433" s="276">
        <v>46185.287141203706</v>
      </c>
    </row>
    <row r="1434" ht="15.0" customHeight="1">
      <c r="A1434" s="59" t="s">
        <v>12</v>
      </c>
      <c r="B1434" s="272">
        <v>46184.0</v>
      </c>
      <c r="D1434" s="59" t="s">
        <v>82</v>
      </c>
      <c r="E1434" s="59" t="s">
        <v>141</v>
      </c>
      <c r="F1434" s="59" t="s">
        <v>79</v>
      </c>
      <c r="G1434" s="59" t="s">
        <v>80</v>
      </c>
      <c r="H1434" s="273">
        <v>310.0</v>
      </c>
      <c r="I1434" s="274">
        <v>94967.0</v>
      </c>
      <c r="J1434" s="274">
        <v>95589.0</v>
      </c>
      <c r="K1434" s="274">
        <v>622.0</v>
      </c>
      <c r="L1434" s="274"/>
      <c r="M1434" s="274"/>
      <c r="N1434" s="274"/>
      <c r="P1434" s="276">
        <v>46185.287210648145</v>
      </c>
    </row>
    <row r="1435" ht="15.0" customHeight="1">
      <c r="A1435" s="59" t="s">
        <v>12</v>
      </c>
      <c r="B1435" s="272">
        <v>46184.0</v>
      </c>
      <c r="D1435" s="59" t="s">
        <v>113</v>
      </c>
      <c r="E1435" s="59" t="s">
        <v>141</v>
      </c>
      <c r="F1435" s="59" t="s">
        <v>79</v>
      </c>
      <c r="G1435" s="59" t="s">
        <v>80</v>
      </c>
      <c r="H1435" s="273">
        <v>235.0</v>
      </c>
      <c r="I1435" s="274">
        <v>171693.0</v>
      </c>
      <c r="J1435" s="274">
        <v>172155.0</v>
      </c>
      <c r="K1435" s="277">
        <v>462.0</v>
      </c>
      <c r="L1435" s="274"/>
      <c r="M1435" s="274"/>
      <c r="N1435" s="274"/>
      <c r="P1435" s="276">
        <v>46185.28729166667</v>
      </c>
    </row>
    <row r="1436" ht="15.0" customHeight="1">
      <c r="A1436" s="59" t="s">
        <v>12</v>
      </c>
      <c r="B1436" s="272">
        <v>46184.0</v>
      </c>
      <c r="D1436" s="59" t="s">
        <v>87</v>
      </c>
      <c r="E1436" s="59" t="s">
        <v>141</v>
      </c>
      <c r="F1436" s="59" t="s">
        <v>79</v>
      </c>
      <c r="G1436" s="59" t="s">
        <v>80</v>
      </c>
      <c r="H1436" s="273">
        <v>28.0</v>
      </c>
      <c r="I1436" s="274"/>
      <c r="J1436" s="274"/>
      <c r="K1436" s="274"/>
      <c r="L1436" s="274"/>
      <c r="M1436" s="274"/>
      <c r="N1436" s="274"/>
      <c r="P1436" s="276">
        <v>46185.28736111111</v>
      </c>
    </row>
    <row r="1437" ht="15.0" customHeight="1">
      <c r="A1437" s="59" t="s">
        <v>12</v>
      </c>
      <c r="B1437" s="272">
        <v>46184.0</v>
      </c>
      <c r="D1437" s="59" t="s">
        <v>87</v>
      </c>
      <c r="E1437" s="59" t="s">
        <v>78</v>
      </c>
      <c r="F1437" s="59" t="s">
        <v>79</v>
      </c>
      <c r="G1437" s="59" t="s">
        <v>80</v>
      </c>
      <c r="H1437" s="273">
        <v>194.0</v>
      </c>
      <c r="I1437" s="274">
        <v>264070.0</v>
      </c>
      <c r="J1437" s="274">
        <v>264541.0</v>
      </c>
      <c r="K1437" s="274">
        <v>471.0</v>
      </c>
      <c r="L1437" s="274"/>
      <c r="M1437" s="274"/>
      <c r="N1437" s="274"/>
      <c r="P1437" s="276">
        <v>46185.28744212963</v>
      </c>
    </row>
    <row r="1438" ht="15.0" customHeight="1">
      <c r="A1438" s="59" t="s">
        <v>12</v>
      </c>
      <c r="B1438" s="272">
        <v>46184.0</v>
      </c>
      <c r="D1438" s="59" t="s">
        <v>117</v>
      </c>
      <c r="E1438" s="59" t="s">
        <v>110</v>
      </c>
      <c r="F1438" s="59" t="s">
        <v>79</v>
      </c>
      <c r="G1438" s="59" t="s">
        <v>110</v>
      </c>
      <c r="H1438" s="273">
        <v>60.0</v>
      </c>
      <c r="I1438" s="274"/>
      <c r="J1438" s="274"/>
      <c r="K1438" s="274"/>
      <c r="L1438" s="274"/>
      <c r="M1438" s="274"/>
      <c r="N1438" s="274"/>
      <c r="O1438" s="59" t="s">
        <v>586</v>
      </c>
      <c r="P1438" s="276">
        <v>46185.287511574075</v>
      </c>
    </row>
    <row r="1439" ht="15.0" customHeight="1">
      <c r="A1439" s="18" t="s">
        <v>12</v>
      </c>
      <c r="B1439" s="278">
        <v>46184.0</v>
      </c>
      <c r="D1439" s="18" t="s">
        <v>84</v>
      </c>
      <c r="E1439" s="18" t="s">
        <v>78</v>
      </c>
      <c r="F1439" s="18" t="s">
        <v>79</v>
      </c>
      <c r="G1439" s="18" t="s">
        <v>80</v>
      </c>
      <c r="H1439" s="279">
        <v>51.0</v>
      </c>
      <c r="I1439" s="274"/>
      <c r="J1439" s="274"/>
      <c r="K1439" s="274"/>
      <c r="L1439" s="274"/>
      <c r="M1439" s="274"/>
      <c r="N1439" s="274"/>
      <c r="O1439" s="18" t="s">
        <v>124</v>
      </c>
      <c r="P1439" s="280">
        <v>46185.71078956018</v>
      </c>
    </row>
    <row r="1440" ht="15.0" customHeight="1">
      <c r="A1440" s="18" t="s">
        <v>12</v>
      </c>
      <c r="B1440" s="278">
        <v>46185.0</v>
      </c>
      <c r="D1440" s="18" t="s">
        <v>91</v>
      </c>
      <c r="E1440" s="18" t="s">
        <v>78</v>
      </c>
      <c r="F1440" s="18" t="s">
        <v>79</v>
      </c>
      <c r="G1440" s="18" t="s">
        <v>80</v>
      </c>
      <c r="H1440" s="279">
        <v>40.0</v>
      </c>
      <c r="I1440" s="277">
        <v>11871.0</v>
      </c>
      <c r="J1440" s="277">
        <v>12493.0</v>
      </c>
      <c r="K1440" s="277">
        <v>622.0</v>
      </c>
      <c r="L1440" s="277"/>
      <c r="M1440" s="274"/>
      <c r="N1440" s="274"/>
      <c r="P1440" s="280">
        <v>46186.34980836806</v>
      </c>
    </row>
    <row r="1441" ht="15.0" customHeight="1">
      <c r="A1441" s="18" t="s">
        <v>12</v>
      </c>
      <c r="B1441" s="278">
        <v>46185.0</v>
      </c>
      <c r="D1441" s="18" t="s">
        <v>587</v>
      </c>
      <c r="E1441" s="18" t="s">
        <v>78</v>
      </c>
      <c r="F1441" s="18" t="s">
        <v>79</v>
      </c>
      <c r="G1441" s="18" t="s">
        <v>80</v>
      </c>
      <c r="H1441" s="279">
        <v>230.0</v>
      </c>
      <c r="I1441" s="277">
        <v>115903.0</v>
      </c>
      <c r="J1441" s="277">
        <v>116388.0</v>
      </c>
      <c r="K1441" s="277">
        <v>485.0</v>
      </c>
      <c r="L1441" s="274"/>
      <c r="M1441" s="274"/>
      <c r="N1441" s="274"/>
      <c r="P1441" s="280">
        <v>46186.34980836806</v>
      </c>
    </row>
    <row r="1442" ht="15.0" customHeight="1">
      <c r="A1442" s="18" t="s">
        <v>12</v>
      </c>
      <c r="B1442" s="278">
        <v>46185.0</v>
      </c>
      <c r="D1442" s="18" t="s">
        <v>119</v>
      </c>
      <c r="E1442" s="18" t="s">
        <v>78</v>
      </c>
      <c r="F1442" s="18" t="s">
        <v>79</v>
      </c>
      <c r="G1442" s="18" t="s">
        <v>80</v>
      </c>
      <c r="H1442" s="279">
        <v>340.0</v>
      </c>
      <c r="I1442" s="277">
        <v>57479.0</v>
      </c>
      <c r="J1442" s="277">
        <v>58250.0</v>
      </c>
      <c r="K1442" s="277">
        <v>771.0</v>
      </c>
      <c r="L1442" s="277"/>
      <c r="M1442" s="274"/>
      <c r="N1442" s="274"/>
      <c r="P1442" s="280">
        <v>46186.34980836806</v>
      </c>
    </row>
    <row r="1443" ht="15.0" customHeight="1">
      <c r="A1443" s="18" t="s">
        <v>12</v>
      </c>
      <c r="B1443" s="278">
        <v>46185.0</v>
      </c>
      <c r="D1443" s="18" t="s">
        <v>116</v>
      </c>
      <c r="E1443" s="18" t="s">
        <v>78</v>
      </c>
      <c r="F1443" s="18" t="s">
        <v>79</v>
      </c>
      <c r="G1443" s="18" t="s">
        <v>80</v>
      </c>
      <c r="H1443" s="279">
        <v>315.0</v>
      </c>
      <c r="I1443" s="277">
        <v>79298.0</v>
      </c>
      <c r="J1443" s="277">
        <v>79888.0</v>
      </c>
      <c r="K1443" s="277">
        <v>590.0</v>
      </c>
      <c r="L1443" s="274"/>
      <c r="M1443" s="274"/>
      <c r="N1443" s="274"/>
      <c r="P1443" s="280">
        <v>46186.34980836806</v>
      </c>
    </row>
    <row r="1444" ht="15.0" customHeight="1">
      <c r="A1444" s="18" t="s">
        <v>12</v>
      </c>
      <c r="B1444" s="278">
        <v>46185.0</v>
      </c>
      <c r="D1444" s="18" t="s">
        <v>98</v>
      </c>
      <c r="E1444" s="18" t="s">
        <v>78</v>
      </c>
      <c r="F1444" s="18" t="s">
        <v>79</v>
      </c>
      <c r="G1444" s="18" t="s">
        <v>80</v>
      </c>
      <c r="H1444" s="279">
        <v>172.0</v>
      </c>
      <c r="I1444" s="277">
        <v>166768.0</v>
      </c>
      <c r="J1444" s="277">
        <v>167170.0</v>
      </c>
      <c r="K1444" s="277">
        <v>402.0</v>
      </c>
      <c r="L1444" s="274"/>
      <c r="M1444" s="274"/>
      <c r="N1444" s="274"/>
      <c r="P1444" s="280">
        <v>46186.34980836806</v>
      </c>
    </row>
    <row r="1445" ht="15.0" customHeight="1">
      <c r="A1445" s="18" t="s">
        <v>12</v>
      </c>
      <c r="B1445" s="278">
        <v>46185.0</v>
      </c>
      <c r="D1445" s="18" t="s">
        <v>122</v>
      </c>
      <c r="E1445" s="18" t="s">
        <v>78</v>
      </c>
      <c r="F1445" s="18" t="s">
        <v>79</v>
      </c>
      <c r="G1445" s="18" t="s">
        <v>80</v>
      </c>
      <c r="H1445" s="279">
        <v>268.0</v>
      </c>
      <c r="I1445" s="277">
        <v>6384.0</v>
      </c>
      <c r="J1445" s="277">
        <v>6953.0</v>
      </c>
      <c r="K1445" s="277">
        <v>569.0</v>
      </c>
      <c r="L1445" s="274"/>
      <c r="M1445" s="274"/>
      <c r="N1445" s="274"/>
      <c r="P1445" s="280">
        <v>46186.34980836806</v>
      </c>
    </row>
    <row r="1446" ht="15.0" customHeight="1">
      <c r="A1446" s="18" t="s">
        <v>12</v>
      </c>
      <c r="B1446" s="278">
        <v>46185.0</v>
      </c>
      <c r="D1446" s="18" t="s">
        <v>89</v>
      </c>
      <c r="E1446" s="18" t="s">
        <v>78</v>
      </c>
      <c r="F1446" s="18" t="s">
        <v>79</v>
      </c>
      <c r="G1446" s="18" t="s">
        <v>80</v>
      </c>
      <c r="H1446" s="279">
        <v>50.0</v>
      </c>
      <c r="I1446" s="274"/>
      <c r="J1446" s="274"/>
      <c r="K1446" s="274"/>
      <c r="L1446" s="274"/>
      <c r="M1446" s="274"/>
      <c r="N1446" s="274"/>
      <c r="O1446" s="18" t="s">
        <v>124</v>
      </c>
      <c r="P1446" s="280">
        <v>46186.34980836806</v>
      </c>
    </row>
    <row r="1447" ht="15.0" customHeight="1">
      <c r="A1447" s="18" t="s">
        <v>12</v>
      </c>
      <c r="B1447" s="278">
        <v>46185.0</v>
      </c>
      <c r="D1447" s="18" t="s">
        <v>158</v>
      </c>
      <c r="E1447" s="18" t="s">
        <v>78</v>
      </c>
      <c r="F1447" s="18" t="s">
        <v>79</v>
      </c>
      <c r="G1447" s="18" t="s">
        <v>80</v>
      </c>
      <c r="H1447" s="279">
        <v>203.0</v>
      </c>
      <c r="I1447" s="277">
        <v>248068.0</v>
      </c>
      <c r="J1447" s="277">
        <v>248583.0</v>
      </c>
      <c r="K1447" s="277">
        <v>515.0</v>
      </c>
      <c r="L1447" s="274"/>
      <c r="M1447" s="274"/>
      <c r="N1447" s="274"/>
      <c r="P1447" s="280">
        <v>46186.34980836806</v>
      </c>
    </row>
    <row r="1448" ht="15.0" customHeight="1">
      <c r="A1448" s="18" t="s">
        <v>12</v>
      </c>
      <c r="B1448" s="278">
        <v>46186.0</v>
      </c>
      <c r="D1448" s="18" t="s">
        <v>86</v>
      </c>
      <c r="E1448" s="18" t="s">
        <v>78</v>
      </c>
      <c r="F1448" s="18" t="s">
        <v>79</v>
      </c>
      <c r="G1448" s="18" t="s">
        <v>80</v>
      </c>
      <c r="H1448" s="279">
        <v>238.0</v>
      </c>
      <c r="I1448" s="277">
        <v>190890.0</v>
      </c>
      <c r="J1448" s="277">
        <v>191346.0</v>
      </c>
      <c r="K1448" s="277">
        <v>456.0</v>
      </c>
      <c r="L1448" s="274"/>
      <c r="M1448" s="274"/>
      <c r="N1448" s="274"/>
      <c r="P1448" s="280">
        <v>46186.35236708334</v>
      </c>
    </row>
    <row r="1449" ht="15.0" customHeight="1">
      <c r="A1449" s="18" t="s">
        <v>12</v>
      </c>
      <c r="B1449" s="278">
        <v>46186.0</v>
      </c>
      <c r="D1449" s="18" t="s">
        <v>88</v>
      </c>
      <c r="E1449" s="18" t="s">
        <v>78</v>
      </c>
      <c r="F1449" s="18" t="s">
        <v>79</v>
      </c>
      <c r="G1449" s="18" t="s">
        <v>80</v>
      </c>
      <c r="H1449" s="279">
        <v>484.0</v>
      </c>
      <c r="I1449" s="277">
        <v>242811.0</v>
      </c>
      <c r="J1449" s="277">
        <v>243778.0</v>
      </c>
      <c r="K1449" s="277">
        <v>967.0</v>
      </c>
      <c r="L1449" s="274"/>
      <c r="M1449" s="274"/>
      <c r="N1449" s="274"/>
      <c r="P1449" s="280">
        <v>46186.35236708334</v>
      </c>
    </row>
    <row r="1450" ht="15.0" customHeight="1">
      <c r="A1450" s="18" t="s">
        <v>16</v>
      </c>
      <c r="B1450" s="278">
        <v>46185.0</v>
      </c>
      <c r="E1450" s="18" t="s">
        <v>110</v>
      </c>
      <c r="F1450" s="18" t="s">
        <v>142</v>
      </c>
      <c r="G1450" s="18" t="s">
        <v>110</v>
      </c>
      <c r="H1450" s="279">
        <v>410.0</v>
      </c>
      <c r="I1450" s="274"/>
      <c r="J1450" s="274"/>
      <c r="K1450" s="274"/>
      <c r="L1450" s="277" t="s">
        <v>574</v>
      </c>
      <c r="M1450" s="277">
        <v>95882.927</v>
      </c>
      <c r="N1450" s="277">
        <v>3.931200007E7</v>
      </c>
      <c r="P1450" s="280">
        <v>46186.7249780787</v>
      </c>
    </row>
    <row r="1451" ht="15.0" customHeight="1">
      <c r="A1451" s="18" t="s">
        <v>12</v>
      </c>
      <c r="B1451" s="278">
        <v>46186.0</v>
      </c>
      <c r="D1451" s="18" t="s">
        <v>159</v>
      </c>
      <c r="E1451" s="18" t="s">
        <v>78</v>
      </c>
      <c r="F1451" s="18" t="s">
        <v>79</v>
      </c>
      <c r="G1451" s="18" t="s">
        <v>80</v>
      </c>
      <c r="H1451" s="279">
        <v>140.0</v>
      </c>
      <c r="I1451" s="277">
        <v>77261.0</v>
      </c>
      <c r="J1451" s="277">
        <v>77715.0</v>
      </c>
      <c r="K1451" s="277">
        <v>454.0</v>
      </c>
      <c r="L1451" s="274"/>
      <c r="M1451" s="274"/>
      <c r="N1451" s="274"/>
      <c r="P1451" s="280">
        <v>46186.74813241899</v>
      </c>
    </row>
    <row r="1452" ht="15.0" customHeight="1">
      <c r="A1452" s="18" t="s">
        <v>12</v>
      </c>
      <c r="B1452" s="278">
        <v>46186.0</v>
      </c>
      <c r="D1452" s="18" t="s">
        <v>84</v>
      </c>
      <c r="E1452" s="18" t="s">
        <v>78</v>
      </c>
      <c r="F1452" s="18" t="s">
        <v>79</v>
      </c>
      <c r="G1452" s="18" t="s">
        <v>80</v>
      </c>
      <c r="H1452" s="279">
        <v>419.0</v>
      </c>
      <c r="I1452" s="277">
        <v>46952.0</v>
      </c>
      <c r="J1452" s="277">
        <v>47711.0</v>
      </c>
      <c r="K1452" s="277">
        <v>759.0</v>
      </c>
      <c r="L1452" s="274"/>
      <c r="M1452" s="274"/>
      <c r="N1452" s="274"/>
      <c r="P1452" s="280">
        <v>46186.74813241899</v>
      </c>
    </row>
    <row r="1453" ht="15.0" customHeight="1">
      <c r="A1453" s="18" t="s">
        <v>12</v>
      </c>
      <c r="B1453" s="278">
        <v>46186.0</v>
      </c>
      <c r="D1453" s="18" t="s">
        <v>96</v>
      </c>
      <c r="E1453" s="18" t="s">
        <v>78</v>
      </c>
      <c r="F1453" s="18" t="s">
        <v>79</v>
      </c>
      <c r="G1453" s="18" t="s">
        <v>80</v>
      </c>
      <c r="H1453" s="279">
        <v>270.0</v>
      </c>
      <c r="I1453" s="277">
        <v>79150.0</v>
      </c>
      <c r="J1453" s="277">
        <v>79455.0</v>
      </c>
      <c r="K1453" s="277">
        <v>305.0</v>
      </c>
      <c r="L1453" s="274"/>
      <c r="M1453" s="274"/>
      <c r="N1453" s="274"/>
      <c r="P1453" s="280">
        <v>46186.7722425463</v>
      </c>
    </row>
    <row r="1454" ht="15.0" customHeight="1">
      <c r="A1454" s="18" t="s">
        <v>12</v>
      </c>
      <c r="B1454" s="278">
        <v>46186.0</v>
      </c>
      <c r="D1454" s="18" t="s">
        <v>129</v>
      </c>
      <c r="E1454" s="18" t="s">
        <v>78</v>
      </c>
      <c r="F1454" s="18" t="s">
        <v>79</v>
      </c>
      <c r="G1454" s="18" t="s">
        <v>80</v>
      </c>
      <c r="H1454" s="279">
        <v>222.0</v>
      </c>
      <c r="I1454" s="277">
        <v>6557.0</v>
      </c>
      <c r="J1454" s="277">
        <v>7059.0</v>
      </c>
      <c r="K1454" s="277">
        <v>502.0</v>
      </c>
      <c r="L1454" s="274"/>
      <c r="M1454" s="274"/>
      <c r="N1454" s="274"/>
      <c r="P1454" s="280">
        <v>46186.7722425463</v>
      </c>
    </row>
    <row r="1455" ht="15.0" customHeight="1">
      <c r="A1455" s="18" t="s">
        <v>12</v>
      </c>
      <c r="B1455" s="278">
        <v>46186.0</v>
      </c>
      <c r="D1455" s="18" t="s">
        <v>153</v>
      </c>
      <c r="E1455" s="18" t="s">
        <v>78</v>
      </c>
      <c r="F1455" s="18" t="s">
        <v>79</v>
      </c>
      <c r="G1455" s="18" t="s">
        <v>80</v>
      </c>
      <c r="H1455" s="279">
        <v>130.0</v>
      </c>
      <c r="I1455" s="277">
        <v>360567.0</v>
      </c>
      <c r="J1455" s="277">
        <v>361033.0</v>
      </c>
      <c r="K1455" s="277">
        <v>466.0</v>
      </c>
      <c r="L1455" s="274"/>
      <c r="M1455" s="274"/>
      <c r="N1455" s="274"/>
      <c r="P1455" s="280">
        <v>46186.7722425463</v>
      </c>
    </row>
    <row r="1456" ht="15.0" customHeight="1">
      <c r="A1456" s="18" t="s">
        <v>12</v>
      </c>
      <c r="B1456" s="278">
        <v>46186.0</v>
      </c>
      <c r="D1456" s="18" t="s">
        <v>118</v>
      </c>
      <c r="E1456" s="18" t="s">
        <v>78</v>
      </c>
      <c r="F1456" s="18" t="s">
        <v>79</v>
      </c>
      <c r="G1456" s="18" t="s">
        <v>80</v>
      </c>
      <c r="H1456" s="279">
        <v>435.0</v>
      </c>
      <c r="I1456" s="277">
        <v>150901.0</v>
      </c>
      <c r="J1456" s="277">
        <v>151814.0</v>
      </c>
      <c r="K1456" s="277">
        <v>913.0</v>
      </c>
      <c r="L1456" s="274"/>
      <c r="M1456" s="274"/>
      <c r="N1456" s="274"/>
      <c r="P1456" s="280">
        <v>46186.7722425463</v>
      </c>
    </row>
    <row r="1457" ht="15.0" customHeight="1">
      <c r="A1457" s="18" t="s">
        <v>12</v>
      </c>
      <c r="B1457" s="278">
        <v>46187.0</v>
      </c>
      <c r="D1457" s="18" t="s">
        <v>97</v>
      </c>
      <c r="E1457" s="18" t="s">
        <v>78</v>
      </c>
      <c r="F1457" s="18" t="s">
        <v>79</v>
      </c>
      <c r="G1457" s="18" t="s">
        <v>80</v>
      </c>
      <c r="H1457" s="279">
        <v>176.0</v>
      </c>
      <c r="I1457" s="277">
        <v>182334.0</v>
      </c>
      <c r="J1457" s="277">
        <v>182478.0</v>
      </c>
      <c r="K1457" s="277">
        <v>144.0</v>
      </c>
      <c r="L1457" s="274"/>
      <c r="M1457" s="274"/>
      <c r="N1457" s="274"/>
      <c r="P1457" s="280">
        <v>46187.278385</v>
      </c>
    </row>
    <row r="1458" ht="15.0" customHeight="1">
      <c r="A1458" s="18" t="s">
        <v>12</v>
      </c>
      <c r="B1458" s="278">
        <v>46187.0</v>
      </c>
      <c r="D1458" s="18" t="s">
        <v>117</v>
      </c>
      <c r="E1458" s="18" t="s">
        <v>78</v>
      </c>
      <c r="F1458" s="18" t="s">
        <v>79</v>
      </c>
      <c r="G1458" s="18" t="s">
        <v>80</v>
      </c>
      <c r="H1458" s="279">
        <v>171.0</v>
      </c>
      <c r="I1458" s="277">
        <v>8336.0</v>
      </c>
      <c r="J1458" s="277">
        <v>8350.0</v>
      </c>
      <c r="K1458" s="277">
        <v>14.0</v>
      </c>
      <c r="L1458" s="274"/>
      <c r="M1458" s="274"/>
      <c r="N1458" s="274"/>
      <c r="P1458" s="280">
        <v>46187.494182650466</v>
      </c>
    </row>
    <row r="1459" ht="15.0" customHeight="1">
      <c r="A1459" s="18" t="s">
        <v>12</v>
      </c>
      <c r="B1459" s="278">
        <v>46187.0</v>
      </c>
      <c r="D1459" s="18" t="s">
        <v>119</v>
      </c>
      <c r="E1459" s="18" t="s">
        <v>78</v>
      </c>
      <c r="F1459" s="18" t="s">
        <v>79</v>
      </c>
      <c r="G1459" s="18" t="s">
        <v>80</v>
      </c>
      <c r="H1459" s="279">
        <v>304.0</v>
      </c>
      <c r="I1459" s="277">
        <v>58250.0</v>
      </c>
      <c r="J1459" s="277">
        <v>58993.0</v>
      </c>
      <c r="K1459" s="277">
        <v>743.0</v>
      </c>
      <c r="L1459" s="274"/>
      <c r="M1459" s="274"/>
      <c r="N1459" s="274"/>
      <c r="P1459" s="280">
        <v>46187.494182650466</v>
      </c>
    </row>
    <row r="1460" ht="15.0" customHeight="1">
      <c r="A1460" s="18" t="s">
        <v>12</v>
      </c>
      <c r="B1460" s="278">
        <v>46187.0</v>
      </c>
      <c r="D1460" s="18" t="s">
        <v>99</v>
      </c>
      <c r="E1460" s="18" t="s">
        <v>78</v>
      </c>
      <c r="F1460" s="18" t="s">
        <v>79</v>
      </c>
      <c r="G1460" s="18" t="s">
        <v>80</v>
      </c>
      <c r="H1460" s="279">
        <v>325.0</v>
      </c>
      <c r="I1460" s="277">
        <v>152698.0</v>
      </c>
      <c r="J1460" s="277">
        <v>153251.0</v>
      </c>
      <c r="K1460" s="277">
        <v>553.0</v>
      </c>
      <c r="L1460" s="274"/>
      <c r="M1460" s="274"/>
      <c r="N1460" s="274"/>
      <c r="P1460" s="280">
        <v>46187.494182650466</v>
      </c>
    </row>
    <row r="1461" ht="15.0" customHeight="1">
      <c r="A1461" s="18" t="s">
        <v>12</v>
      </c>
      <c r="B1461" s="278">
        <v>46187.0</v>
      </c>
      <c r="D1461" s="18" t="s">
        <v>102</v>
      </c>
      <c r="E1461" s="18" t="s">
        <v>78</v>
      </c>
      <c r="F1461" s="18" t="s">
        <v>79</v>
      </c>
      <c r="G1461" s="18" t="s">
        <v>80</v>
      </c>
      <c r="H1461" s="279">
        <v>210.0</v>
      </c>
      <c r="I1461" s="277">
        <v>253946.0</v>
      </c>
      <c r="J1461" s="277">
        <v>254395.0</v>
      </c>
      <c r="K1461" s="277">
        <v>449.0</v>
      </c>
      <c r="L1461" s="274"/>
      <c r="M1461" s="274"/>
      <c r="N1461" s="274"/>
      <c r="O1461" s="18" t="s">
        <v>131</v>
      </c>
      <c r="P1461" s="280">
        <v>46187.494182650466</v>
      </c>
    </row>
    <row r="1462" ht="15.0" customHeight="1">
      <c r="A1462" s="18" t="s">
        <v>12</v>
      </c>
      <c r="B1462" s="278">
        <v>46187.0</v>
      </c>
      <c r="D1462" s="18" t="s">
        <v>132</v>
      </c>
      <c r="E1462" s="18" t="s">
        <v>78</v>
      </c>
      <c r="F1462" s="18" t="s">
        <v>79</v>
      </c>
      <c r="G1462" s="18" t="s">
        <v>80</v>
      </c>
      <c r="H1462" s="279">
        <v>222.0</v>
      </c>
      <c r="I1462" s="277">
        <v>5438.0</v>
      </c>
      <c r="J1462" s="277">
        <v>5829.0</v>
      </c>
      <c r="K1462" s="277">
        <v>391.0</v>
      </c>
      <c r="L1462" s="274"/>
      <c r="M1462" s="274"/>
      <c r="N1462" s="274"/>
      <c r="P1462" s="280">
        <v>46187.63713295139</v>
      </c>
    </row>
    <row r="1463" ht="15.0" customHeight="1">
      <c r="A1463" s="18" t="s">
        <v>12</v>
      </c>
      <c r="B1463" s="278">
        <v>46187.0</v>
      </c>
      <c r="D1463" s="18" t="s">
        <v>105</v>
      </c>
      <c r="E1463" s="18" t="s">
        <v>78</v>
      </c>
      <c r="F1463" s="18" t="s">
        <v>79</v>
      </c>
      <c r="G1463" s="18" t="s">
        <v>80</v>
      </c>
      <c r="H1463" s="279">
        <v>267.0</v>
      </c>
      <c r="I1463" s="277">
        <v>785.0</v>
      </c>
      <c r="J1463" s="277">
        <v>1447.0</v>
      </c>
      <c r="K1463" s="277">
        <v>662.0</v>
      </c>
      <c r="L1463" s="274"/>
      <c r="M1463" s="274"/>
      <c r="N1463" s="274"/>
      <c r="P1463" s="280">
        <v>46187.63713295139</v>
      </c>
    </row>
    <row r="1464" ht="15.0" customHeight="1">
      <c r="A1464" s="18" t="s">
        <v>12</v>
      </c>
      <c r="B1464" s="278">
        <v>46187.0</v>
      </c>
      <c r="D1464" s="18" t="s">
        <v>123</v>
      </c>
      <c r="E1464" s="18" t="s">
        <v>78</v>
      </c>
      <c r="F1464" s="18" t="s">
        <v>79</v>
      </c>
      <c r="G1464" s="18" t="s">
        <v>80</v>
      </c>
      <c r="H1464" s="279">
        <v>500.0</v>
      </c>
      <c r="I1464" s="277">
        <v>200016.0</v>
      </c>
      <c r="J1464" s="277">
        <v>201054.0</v>
      </c>
      <c r="K1464" s="277">
        <v>1038.0</v>
      </c>
      <c r="L1464" s="274"/>
      <c r="M1464" s="274"/>
      <c r="N1464" s="274"/>
      <c r="P1464" s="280">
        <v>46187.63713295139</v>
      </c>
    </row>
    <row r="1465" ht="15.0" customHeight="1">
      <c r="A1465" s="18" t="s">
        <v>12</v>
      </c>
      <c r="B1465" s="278">
        <v>46187.0</v>
      </c>
      <c r="D1465" s="18" t="s">
        <v>100</v>
      </c>
      <c r="E1465" s="18" t="s">
        <v>78</v>
      </c>
      <c r="F1465" s="18" t="s">
        <v>79</v>
      </c>
      <c r="G1465" s="18" t="s">
        <v>80</v>
      </c>
      <c r="H1465" s="279">
        <v>300.0</v>
      </c>
      <c r="I1465" s="277">
        <v>406936.0</v>
      </c>
      <c r="J1465" s="277">
        <v>407553.0</v>
      </c>
      <c r="K1465" s="277">
        <v>617.0</v>
      </c>
      <c r="L1465" s="274"/>
      <c r="M1465" s="274"/>
      <c r="N1465" s="274"/>
      <c r="P1465" s="280">
        <v>46187.69123541667</v>
      </c>
    </row>
    <row r="1466" ht="15.0" customHeight="1">
      <c r="A1466" s="18" t="s">
        <v>12</v>
      </c>
      <c r="B1466" s="278">
        <v>46187.0</v>
      </c>
      <c r="D1466" s="18" t="s">
        <v>103</v>
      </c>
      <c r="E1466" s="18" t="s">
        <v>78</v>
      </c>
      <c r="F1466" s="18" t="s">
        <v>79</v>
      </c>
      <c r="G1466" s="18" t="s">
        <v>80</v>
      </c>
      <c r="H1466" s="279">
        <v>164.0</v>
      </c>
      <c r="I1466" s="277">
        <v>4297.0</v>
      </c>
      <c r="J1466" s="277">
        <v>4312.0</v>
      </c>
      <c r="K1466" s="277">
        <v>15.0</v>
      </c>
      <c r="L1466" s="274"/>
      <c r="M1466" s="274"/>
      <c r="N1466" s="274"/>
      <c r="P1466" s="280">
        <v>46187.69123541667</v>
      </c>
    </row>
    <row r="1467" ht="15.0" customHeight="1">
      <c r="A1467" s="18" t="s">
        <v>12</v>
      </c>
      <c r="B1467" s="278">
        <v>46187.0</v>
      </c>
      <c r="D1467" s="18" t="s">
        <v>126</v>
      </c>
      <c r="E1467" s="18" t="s">
        <v>78</v>
      </c>
      <c r="F1467" s="18" t="s">
        <v>79</v>
      </c>
      <c r="G1467" s="18" t="s">
        <v>80</v>
      </c>
      <c r="H1467" s="279">
        <v>200.0</v>
      </c>
      <c r="I1467" s="277">
        <v>587153.0</v>
      </c>
      <c r="J1467" s="277">
        <v>587496.0</v>
      </c>
      <c r="K1467" s="277">
        <v>343.0</v>
      </c>
      <c r="L1467" s="274"/>
      <c r="M1467" s="274"/>
      <c r="N1467" s="274"/>
      <c r="P1467" s="280">
        <v>46187.75767099537</v>
      </c>
    </row>
    <row r="1468" ht="15.0" customHeight="1">
      <c r="A1468" s="18" t="s">
        <v>12</v>
      </c>
      <c r="B1468" s="278">
        <v>46187.0</v>
      </c>
      <c r="D1468" s="18" t="s">
        <v>115</v>
      </c>
      <c r="E1468" s="18" t="s">
        <v>78</v>
      </c>
      <c r="F1468" s="18" t="s">
        <v>79</v>
      </c>
      <c r="G1468" s="18" t="s">
        <v>80</v>
      </c>
      <c r="H1468" s="279">
        <v>404.0</v>
      </c>
      <c r="I1468" s="277">
        <v>15076.0</v>
      </c>
      <c r="J1468" s="277">
        <v>15973.0</v>
      </c>
      <c r="K1468" s="277">
        <v>897.0</v>
      </c>
      <c r="L1468" s="274"/>
      <c r="M1468" s="274"/>
      <c r="N1468" s="274"/>
      <c r="P1468" s="280">
        <v>46187.79443407407</v>
      </c>
    </row>
    <row r="1469" ht="15.0" customHeight="1">
      <c r="A1469" s="18" t="s">
        <v>12</v>
      </c>
      <c r="B1469" s="278">
        <v>46188.0</v>
      </c>
      <c r="D1469" s="18" t="s">
        <v>98</v>
      </c>
      <c r="E1469" s="18" t="s">
        <v>78</v>
      </c>
      <c r="F1469" s="18" t="s">
        <v>79</v>
      </c>
      <c r="G1469" s="18" t="s">
        <v>80</v>
      </c>
      <c r="H1469" s="279">
        <v>158.0</v>
      </c>
      <c r="I1469" s="277">
        <v>167170.0</v>
      </c>
      <c r="J1469" s="277">
        <v>167544.0</v>
      </c>
      <c r="K1469" s="277">
        <v>374.0</v>
      </c>
      <c r="L1469" s="274"/>
      <c r="M1469" s="274"/>
      <c r="N1469" s="274"/>
      <c r="P1469" s="280">
        <v>46188.2708446412</v>
      </c>
    </row>
    <row r="1470" ht="15.0" customHeight="1">
      <c r="A1470" s="18" t="s">
        <v>12</v>
      </c>
      <c r="B1470" s="278">
        <v>46188.0</v>
      </c>
      <c r="D1470" s="18" t="s">
        <v>114</v>
      </c>
      <c r="E1470" s="18" t="s">
        <v>78</v>
      </c>
      <c r="F1470" s="18" t="s">
        <v>79</v>
      </c>
      <c r="G1470" s="18" t="s">
        <v>80</v>
      </c>
      <c r="H1470" s="279">
        <v>260.0</v>
      </c>
      <c r="I1470" s="277">
        <v>275592.0</v>
      </c>
      <c r="J1470" s="277">
        <v>276140.0</v>
      </c>
      <c r="K1470" s="277">
        <v>548.0</v>
      </c>
      <c r="L1470" s="274"/>
      <c r="M1470" s="274"/>
      <c r="N1470" s="274"/>
      <c r="P1470" s="280">
        <v>46188.28297188657</v>
      </c>
    </row>
    <row r="1471" ht="15.0" customHeight="1">
      <c r="A1471" s="18" t="s">
        <v>12</v>
      </c>
      <c r="B1471" s="278">
        <v>46188.0</v>
      </c>
      <c r="D1471" s="18" t="s">
        <v>116</v>
      </c>
      <c r="E1471" s="18" t="s">
        <v>78</v>
      </c>
      <c r="F1471" s="18" t="s">
        <v>79</v>
      </c>
      <c r="G1471" s="18" t="s">
        <v>80</v>
      </c>
      <c r="H1471" s="279">
        <v>295.0</v>
      </c>
      <c r="I1471" s="277">
        <v>79880.0</v>
      </c>
      <c r="J1471" s="277">
        <v>80579.0</v>
      </c>
      <c r="K1471" s="277">
        <v>699.0</v>
      </c>
      <c r="L1471" s="274"/>
      <c r="M1471" s="274"/>
      <c r="N1471" s="274"/>
      <c r="P1471" s="280">
        <v>46188.3100975</v>
      </c>
    </row>
    <row r="1472" ht="15.0" customHeight="1">
      <c r="A1472" s="18" t="s">
        <v>12</v>
      </c>
      <c r="B1472" s="278">
        <v>46188.0</v>
      </c>
      <c r="D1472" s="18" t="s">
        <v>161</v>
      </c>
      <c r="E1472" s="18" t="s">
        <v>78</v>
      </c>
      <c r="F1472" s="18" t="s">
        <v>79</v>
      </c>
      <c r="G1472" s="18" t="s">
        <v>80</v>
      </c>
      <c r="H1472" s="279">
        <v>106.0</v>
      </c>
      <c r="I1472" s="277">
        <v>60319.0</v>
      </c>
      <c r="J1472" s="277">
        <v>60609.0</v>
      </c>
      <c r="K1472" s="277">
        <v>290.0</v>
      </c>
      <c r="L1472" s="274"/>
      <c r="M1472" s="274"/>
      <c r="N1472" s="274"/>
      <c r="P1472" s="280">
        <v>46188.617533240744</v>
      </c>
    </row>
    <row r="1473" ht="15.0" customHeight="1">
      <c r="A1473" s="18" t="s">
        <v>12</v>
      </c>
      <c r="B1473" s="278">
        <v>46188.0</v>
      </c>
      <c r="D1473" s="18" t="s">
        <v>89</v>
      </c>
      <c r="E1473" s="18" t="s">
        <v>78</v>
      </c>
      <c r="F1473" s="18" t="s">
        <v>79</v>
      </c>
      <c r="G1473" s="18" t="s">
        <v>80</v>
      </c>
      <c r="H1473" s="279">
        <v>50.0</v>
      </c>
      <c r="I1473" s="274"/>
      <c r="J1473" s="274"/>
      <c r="K1473" s="274"/>
      <c r="L1473" s="274"/>
      <c r="M1473" s="274"/>
      <c r="N1473" s="274"/>
      <c r="O1473" s="18" t="s">
        <v>124</v>
      </c>
      <c r="P1473" s="280">
        <v>46188.617533240744</v>
      </c>
    </row>
    <row r="1474" ht="15.0" customHeight="1">
      <c r="A1474" s="18" t="s">
        <v>12</v>
      </c>
      <c r="B1474" s="278">
        <v>46188.0</v>
      </c>
      <c r="D1474" s="18" t="s">
        <v>136</v>
      </c>
      <c r="E1474" s="18" t="s">
        <v>78</v>
      </c>
      <c r="F1474" s="18" t="s">
        <v>79</v>
      </c>
      <c r="G1474" s="18" t="s">
        <v>80</v>
      </c>
      <c r="H1474" s="279">
        <v>64.0</v>
      </c>
      <c r="I1474" s="277">
        <v>319390.0</v>
      </c>
      <c r="J1474" s="277">
        <v>320053.0</v>
      </c>
      <c r="K1474" s="277">
        <v>663.0</v>
      </c>
      <c r="L1474" s="274"/>
      <c r="M1474" s="274"/>
      <c r="N1474" s="274"/>
      <c r="P1474" s="280">
        <v>46188.617533240744</v>
      </c>
    </row>
    <row r="1475" ht="15.0" customHeight="1">
      <c r="A1475" s="18" t="s">
        <v>12</v>
      </c>
      <c r="B1475" s="278">
        <v>46188.0</v>
      </c>
      <c r="D1475" s="18" t="s">
        <v>161</v>
      </c>
      <c r="E1475" s="18" t="s">
        <v>83</v>
      </c>
      <c r="F1475" s="18" t="s">
        <v>79</v>
      </c>
      <c r="G1475" s="18" t="s">
        <v>80</v>
      </c>
      <c r="H1475" s="279">
        <v>40.0</v>
      </c>
      <c r="I1475" s="277"/>
      <c r="J1475" s="277"/>
      <c r="K1475" s="277"/>
      <c r="L1475" s="274"/>
      <c r="M1475" s="274"/>
      <c r="N1475" s="274"/>
      <c r="P1475" s="280">
        <v>46188.622672060184</v>
      </c>
    </row>
    <row r="1476" ht="15.0" customHeight="1">
      <c r="A1476" s="18" t="s">
        <v>12</v>
      </c>
      <c r="B1476" s="278">
        <v>46188.0</v>
      </c>
      <c r="D1476" s="18" t="s">
        <v>101</v>
      </c>
      <c r="E1476" s="18" t="s">
        <v>83</v>
      </c>
      <c r="F1476" s="18" t="s">
        <v>79</v>
      </c>
      <c r="G1476" s="18" t="s">
        <v>80</v>
      </c>
      <c r="H1476" s="279">
        <v>240.0</v>
      </c>
      <c r="I1476" s="277">
        <v>116388.0</v>
      </c>
      <c r="J1476" s="277">
        <v>116959.0</v>
      </c>
      <c r="K1476" s="277">
        <v>571.0</v>
      </c>
      <c r="L1476" s="274"/>
      <c r="M1476" s="274"/>
      <c r="N1476" s="274"/>
      <c r="P1476" s="280">
        <v>46188.622672060184</v>
      </c>
    </row>
    <row r="1477" ht="15.0" customHeight="1">
      <c r="A1477" s="18" t="s">
        <v>12</v>
      </c>
      <c r="B1477" s="278">
        <v>46188.0</v>
      </c>
      <c r="D1477" s="18" t="s">
        <v>112</v>
      </c>
      <c r="E1477" s="18" t="s">
        <v>83</v>
      </c>
      <c r="F1477" s="18" t="s">
        <v>79</v>
      </c>
      <c r="G1477" s="18" t="s">
        <v>80</v>
      </c>
      <c r="H1477" s="279">
        <v>238.0</v>
      </c>
      <c r="I1477" s="277">
        <v>98867.0</v>
      </c>
      <c r="J1477" s="277">
        <v>99407.0</v>
      </c>
      <c r="K1477" s="277">
        <v>540.0</v>
      </c>
      <c r="L1477" s="274"/>
      <c r="M1477" s="274"/>
      <c r="N1477" s="274"/>
      <c r="P1477" s="280">
        <v>46188.622672060184</v>
      </c>
    </row>
    <row r="1478" ht="15.0" customHeight="1">
      <c r="A1478" s="18" t="s">
        <v>12</v>
      </c>
      <c r="B1478" s="278">
        <v>46188.0</v>
      </c>
      <c r="D1478" s="18" t="s">
        <v>113</v>
      </c>
      <c r="E1478" s="18" t="s">
        <v>83</v>
      </c>
      <c r="F1478" s="18" t="s">
        <v>79</v>
      </c>
      <c r="G1478" s="18" t="s">
        <v>80</v>
      </c>
      <c r="H1478" s="279">
        <v>230.0</v>
      </c>
      <c r="I1478" s="277">
        <v>172155.0</v>
      </c>
      <c r="J1478" s="277">
        <v>172660.0</v>
      </c>
      <c r="K1478" s="277">
        <v>505.0</v>
      </c>
      <c r="L1478" s="274"/>
      <c r="M1478" s="274"/>
      <c r="N1478" s="274"/>
      <c r="P1478" s="280">
        <v>46188.622672060184</v>
      </c>
    </row>
    <row r="1479" ht="15.0" customHeight="1">
      <c r="A1479" s="18" t="s">
        <v>12</v>
      </c>
      <c r="B1479" s="278">
        <v>46188.0</v>
      </c>
      <c r="D1479" s="18" t="s">
        <v>148</v>
      </c>
      <c r="E1479" s="18" t="s">
        <v>83</v>
      </c>
      <c r="F1479" s="18" t="s">
        <v>79</v>
      </c>
      <c r="G1479" s="18" t="s">
        <v>80</v>
      </c>
      <c r="H1479" s="279">
        <v>290.0</v>
      </c>
      <c r="I1479" s="277">
        <v>4786.0</v>
      </c>
      <c r="J1479" s="277">
        <v>5415.0</v>
      </c>
      <c r="K1479" s="277">
        <v>629.0</v>
      </c>
      <c r="L1479" s="274"/>
      <c r="M1479" s="274"/>
      <c r="N1479" s="274"/>
      <c r="P1479" s="280">
        <v>46188.622672060184</v>
      </c>
    </row>
    <row r="1480" ht="15.0" customHeight="1">
      <c r="A1480" s="18" t="s">
        <v>12</v>
      </c>
      <c r="B1480" s="278">
        <v>46188.0</v>
      </c>
      <c r="D1480" s="18" t="s">
        <v>130</v>
      </c>
      <c r="E1480" s="18" t="s">
        <v>83</v>
      </c>
      <c r="F1480" s="18" t="s">
        <v>79</v>
      </c>
      <c r="G1480" s="18" t="s">
        <v>80</v>
      </c>
      <c r="H1480" s="279">
        <v>170.0</v>
      </c>
      <c r="I1480" s="274"/>
      <c r="J1480" s="274"/>
      <c r="K1480" s="274"/>
      <c r="L1480" s="274"/>
      <c r="M1480" s="274"/>
      <c r="N1480" s="274"/>
      <c r="O1480" s="18" t="s">
        <v>131</v>
      </c>
      <c r="P1480" s="280">
        <v>46188.622672060184</v>
      </c>
    </row>
    <row r="1481" ht="15.0" customHeight="1">
      <c r="A1481" s="18" t="s">
        <v>12</v>
      </c>
      <c r="B1481" s="278">
        <v>46188.0</v>
      </c>
      <c r="D1481" s="18" t="s">
        <v>82</v>
      </c>
      <c r="E1481" s="18" t="s">
        <v>83</v>
      </c>
      <c r="F1481" s="18" t="s">
        <v>79</v>
      </c>
      <c r="G1481" s="18" t="s">
        <v>80</v>
      </c>
      <c r="H1481" s="279">
        <v>415.0</v>
      </c>
      <c r="I1481" s="277">
        <v>95589.0</v>
      </c>
      <c r="J1481" s="277">
        <v>96491.0</v>
      </c>
      <c r="K1481" s="277">
        <v>902.0</v>
      </c>
      <c r="L1481" s="274"/>
      <c r="M1481" s="274"/>
      <c r="N1481" s="274"/>
      <c r="P1481" s="280">
        <v>46189.40577387731</v>
      </c>
    </row>
    <row r="1482" ht="15.0" customHeight="1">
      <c r="A1482" s="18" t="s">
        <v>12</v>
      </c>
      <c r="B1482" s="278">
        <v>46188.0</v>
      </c>
      <c r="D1482" s="18" t="s">
        <v>77</v>
      </c>
      <c r="E1482" s="18" t="s">
        <v>83</v>
      </c>
      <c r="F1482" s="18" t="s">
        <v>79</v>
      </c>
      <c r="G1482" s="18" t="s">
        <v>80</v>
      </c>
      <c r="H1482" s="279">
        <v>460.0</v>
      </c>
      <c r="I1482" s="277">
        <v>23404.0</v>
      </c>
      <c r="J1482" s="277">
        <v>24367.0</v>
      </c>
      <c r="K1482" s="277">
        <v>963.0</v>
      </c>
      <c r="L1482" s="274"/>
      <c r="M1482" s="274"/>
      <c r="N1482" s="274"/>
      <c r="P1482" s="280">
        <v>46189.40577387731</v>
      </c>
    </row>
    <row r="1483" ht="15.0" customHeight="1">
      <c r="A1483" s="18" t="s">
        <v>12</v>
      </c>
      <c r="B1483" s="278">
        <v>46188.0</v>
      </c>
      <c r="D1483" s="18" t="s">
        <v>84</v>
      </c>
      <c r="E1483" s="18" t="s">
        <v>83</v>
      </c>
      <c r="F1483" s="18" t="s">
        <v>79</v>
      </c>
      <c r="G1483" s="18" t="s">
        <v>80</v>
      </c>
      <c r="H1483" s="279">
        <v>36.0</v>
      </c>
      <c r="I1483" s="274"/>
      <c r="J1483" s="274"/>
      <c r="K1483" s="274"/>
      <c r="L1483" s="274"/>
      <c r="M1483" s="274"/>
      <c r="N1483" s="274"/>
      <c r="O1483" s="18" t="s">
        <v>85</v>
      </c>
      <c r="P1483" s="280">
        <v>46189.40577387731</v>
      </c>
    </row>
    <row r="1484" ht="15.0" customHeight="1">
      <c r="A1484" s="18" t="s">
        <v>12</v>
      </c>
      <c r="B1484" s="278">
        <v>46189.0</v>
      </c>
      <c r="D1484" s="18" t="s">
        <v>86</v>
      </c>
      <c r="E1484" s="18" t="s">
        <v>83</v>
      </c>
      <c r="F1484" s="18" t="s">
        <v>79</v>
      </c>
      <c r="G1484" s="18" t="s">
        <v>80</v>
      </c>
      <c r="H1484" s="279">
        <v>238.0</v>
      </c>
      <c r="I1484" s="277">
        <v>191346.0</v>
      </c>
      <c r="J1484" s="277">
        <v>191860.0</v>
      </c>
      <c r="K1484" s="277">
        <v>514.0</v>
      </c>
      <c r="L1484" s="274"/>
      <c r="M1484" s="274"/>
      <c r="N1484" s="274"/>
      <c r="P1484" s="280">
        <v>46189.67212195601</v>
      </c>
    </row>
    <row r="1485" ht="15.0" customHeight="1">
      <c r="A1485" s="18" t="s">
        <v>12</v>
      </c>
      <c r="B1485" s="278">
        <v>46189.0</v>
      </c>
      <c r="D1485" s="18" t="s">
        <v>87</v>
      </c>
      <c r="E1485" s="18" t="s">
        <v>83</v>
      </c>
      <c r="F1485" s="18" t="s">
        <v>79</v>
      </c>
      <c r="G1485" s="18" t="s">
        <v>80</v>
      </c>
      <c r="H1485" s="279">
        <v>244.0</v>
      </c>
      <c r="I1485" s="277">
        <v>264541.0</v>
      </c>
      <c r="J1485" s="277">
        <v>265070.0</v>
      </c>
      <c r="K1485" s="277">
        <v>529.0</v>
      </c>
      <c r="L1485" s="274"/>
      <c r="M1485" s="274"/>
      <c r="N1485" s="274"/>
      <c r="P1485" s="280">
        <v>46189.67212195601</v>
      </c>
    </row>
    <row r="1486" ht="15.0" customHeight="1">
      <c r="A1486" s="18" t="s">
        <v>12</v>
      </c>
      <c r="B1486" s="278">
        <v>46189.0</v>
      </c>
      <c r="D1486" s="18" t="s">
        <v>88</v>
      </c>
      <c r="E1486" s="18" t="s">
        <v>83</v>
      </c>
      <c r="F1486" s="18" t="s">
        <v>79</v>
      </c>
      <c r="G1486" s="18" t="s">
        <v>80</v>
      </c>
      <c r="H1486" s="279">
        <v>477.0</v>
      </c>
      <c r="I1486" s="277">
        <v>243778.0</v>
      </c>
      <c r="J1486" s="277">
        <v>244724.0</v>
      </c>
      <c r="K1486" s="277">
        <v>946.0</v>
      </c>
      <c r="L1486" s="274"/>
      <c r="M1486" s="274"/>
      <c r="N1486" s="274"/>
      <c r="P1486" s="280">
        <v>46189.67212195601</v>
      </c>
    </row>
    <row r="1487" ht="15.0" customHeight="1">
      <c r="A1487" s="18" t="s">
        <v>12</v>
      </c>
      <c r="B1487" s="278">
        <v>46189.0</v>
      </c>
      <c r="D1487" s="18" t="s">
        <v>89</v>
      </c>
      <c r="E1487" s="18" t="s">
        <v>83</v>
      </c>
      <c r="F1487" s="18" t="s">
        <v>79</v>
      </c>
      <c r="G1487" s="18" t="s">
        <v>80</v>
      </c>
      <c r="H1487" s="279">
        <v>512.0</v>
      </c>
      <c r="I1487" s="277">
        <v>7401.0</v>
      </c>
      <c r="J1487" s="277">
        <v>8378.0</v>
      </c>
      <c r="K1487" s="277">
        <v>977.0</v>
      </c>
      <c r="L1487" s="274"/>
      <c r="M1487" s="274"/>
      <c r="N1487" s="274"/>
      <c r="P1487" s="280">
        <v>46189.67212195601</v>
      </c>
    </row>
    <row r="1488" ht="15.0" customHeight="1">
      <c r="A1488" s="18" t="s">
        <v>12</v>
      </c>
      <c r="B1488" s="278">
        <v>46189.0</v>
      </c>
      <c r="D1488" s="18" t="s">
        <v>92</v>
      </c>
      <c r="E1488" s="18" t="s">
        <v>93</v>
      </c>
      <c r="F1488" s="18" t="s">
        <v>79</v>
      </c>
      <c r="G1488" s="18" t="s">
        <v>93</v>
      </c>
      <c r="H1488" s="279">
        <v>3.0</v>
      </c>
      <c r="I1488" s="277"/>
      <c r="J1488" s="277"/>
      <c r="K1488" s="277"/>
      <c r="L1488" s="274"/>
      <c r="M1488" s="274"/>
      <c r="N1488" s="274"/>
      <c r="O1488" s="18" t="s">
        <v>94</v>
      </c>
      <c r="P1488" s="280">
        <v>46190.247038912035</v>
      </c>
    </row>
    <row r="1489" ht="15.0" customHeight="1">
      <c r="A1489" s="18" t="s">
        <v>12</v>
      </c>
      <c r="B1489" s="278">
        <v>46189.0</v>
      </c>
      <c r="D1489" s="18" t="s">
        <v>92</v>
      </c>
      <c r="E1489" s="18" t="s">
        <v>83</v>
      </c>
      <c r="F1489" s="18" t="s">
        <v>79</v>
      </c>
      <c r="G1489" s="18" t="s">
        <v>80</v>
      </c>
      <c r="H1489" s="279">
        <v>30.0</v>
      </c>
      <c r="I1489" s="274"/>
      <c r="J1489" s="274"/>
      <c r="K1489" s="274"/>
      <c r="L1489" s="274"/>
      <c r="M1489" s="274"/>
      <c r="N1489" s="274"/>
      <c r="O1489" s="18" t="s">
        <v>95</v>
      </c>
      <c r="P1489" s="280">
        <v>46190.247038912035</v>
      </c>
    </row>
    <row r="1490" ht="15.0" customHeight="1">
      <c r="A1490" s="18" t="s">
        <v>12</v>
      </c>
      <c r="B1490" s="278">
        <v>46189.0</v>
      </c>
      <c r="D1490" s="18" t="s">
        <v>96</v>
      </c>
      <c r="E1490" s="18" t="s">
        <v>83</v>
      </c>
      <c r="F1490" s="18" t="s">
        <v>79</v>
      </c>
      <c r="G1490" s="18" t="s">
        <v>80</v>
      </c>
      <c r="H1490" s="279">
        <v>370.0</v>
      </c>
      <c r="I1490" s="277">
        <v>79455.0</v>
      </c>
      <c r="J1490" s="277">
        <v>80207.0</v>
      </c>
      <c r="K1490" s="277">
        <v>752.0</v>
      </c>
      <c r="L1490" s="274"/>
      <c r="M1490" s="274"/>
      <c r="N1490" s="274"/>
      <c r="P1490" s="280">
        <v>46190.247038912035</v>
      </c>
    </row>
    <row r="1491" ht="15.0" customHeight="1">
      <c r="A1491" s="18" t="s">
        <v>12</v>
      </c>
      <c r="B1491" s="278">
        <v>46189.0</v>
      </c>
      <c r="D1491" s="18" t="s">
        <v>97</v>
      </c>
      <c r="E1491" s="18" t="s">
        <v>83</v>
      </c>
      <c r="F1491" s="18" t="s">
        <v>79</v>
      </c>
      <c r="G1491" s="18" t="s">
        <v>80</v>
      </c>
      <c r="H1491" s="279">
        <v>306.0</v>
      </c>
      <c r="I1491" s="277">
        <v>182478.0</v>
      </c>
      <c r="J1491" s="277">
        <v>182743.0</v>
      </c>
      <c r="K1491" s="277">
        <v>265.0</v>
      </c>
      <c r="L1491" s="274"/>
      <c r="M1491" s="274"/>
      <c r="N1491" s="274"/>
      <c r="P1491" s="280">
        <v>46190.247038912035</v>
      </c>
    </row>
    <row r="1492" ht="15.0" customHeight="1">
      <c r="A1492" s="18" t="s">
        <v>12</v>
      </c>
      <c r="B1492" s="278">
        <v>46189.0</v>
      </c>
      <c r="D1492" s="18" t="s">
        <v>98</v>
      </c>
      <c r="E1492" s="18" t="s">
        <v>83</v>
      </c>
      <c r="F1492" s="18" t="s">
        <v>79</v>
      </c>
      <c r="G1492" s="18" t="s">
        <v>80</v>
      </c>
      <c r="H1492" s="279">
        <v>164.0</v>
      </c>
      <c r="I1492" s="277">
        <v>167544.0</v>
      </c>
      <c r="J1492" s="277">
        <v>167916.0</v>
      </c>
      <c r="K1492" s="277">
        <v>372.0</v>
      </c>
      <c r="L1492" s="274"/>
      <c r="M1492" s="274"/>
      <c r="N1492" s="274"/>
      <c r="P1492" s="280">
        <v>46190.247038912035</v>
      </c>
    </row>
    <row r="1493" ht="15.0" customHeight="1">
      <c r="A1493" s="18" t="s">
        <v>12</v>
      </c>
      <c r="B1493" s="278">
        <v>46189.0</v>
      </c>
      <c r="D1493" s="18" t="s">
        <v>99</v>
      </c>
      <c r="E1493" s="18" t="s">
        <v>83</v>
      </c>
      <c r="F1493" s="18" t="s">
        <v>79</v>
      </c>
      <c r="G1493" s="18" t="s">
        <v>80</v>
      </c>
      <c r="H1493" s="279">
        <v>350.0</v>
      </c>
      <c r="I1493" s="277">
        <v>153251.0</v>
      </c>
      <c r="J1493" s="277">
        <v>153934.0</v>
      </c>
      <c r="K1493" s="277">
        <v>683.0</v>
      </c>
      <c r="L1493" s="274"/>
      <c r="M1493" s="274"/>
      <c r="N1493" s="274"/>
      <c r="P1493" s="280">
        <v>46190.247038912035</v>
      </c>
    </row>
    <row r="1494" ht="15.0" customHeight="1">
      <c r="A1494" s="18" t="s">
        <v>12</v>
      </c>
      <c r="B1494" s="278">
        <v>46189.0</v>
      </c>
      <c r="D1494" s="18" t="s">
        <v>100</v>
      </c>
      <c r="E1494" s="18" t="s">
        <v>83</v>
      </c>
      <c r="F1494" s="18" t="s">
        <v>79</v>
      </c>
      <c r="G1494" s="18" t="s">
        <v>80</v>
      </c>
      <c r="H1494" s="279">
        <v>315.0</v>
      </c>
      <c r="I1494" s="277">
        <v>407553.0</v>
      </c>
      <c r="J1494" s="277">
        <v>408237.0</v>
      </c>
      <c r="K1494" s="277">
        <v>684.0</v>
      </c>
      <c r="L1494" s="274"/>
      <c r="M1494" s="274"/>
      <c r="N1494" s="274"/>
      <c r="P1494" s="280">
        <v>46190.247038912035</v>
      </c>
    </row>
    <row r="1495" ht="15.0" customHeight="1">
      <c r="A1495" s="18" t="s">
        <v>12</v>
      </c>
      <c r="B1495" s="278">
        <v>46190.0</v>
      </c>
      <c r="D1495" s="18" t="s">
        <v>101</v>
      </c>
      <c r="E1495" s="18" t="s">
        <v>83</v>
      </c>
      <c r="F1495" s="18" t="s">
        <v>79</v>
      </c>
      <c r="G1495" s="18" t="s">
        <v>80</v>
      </c>
      <c r="H1495" s="279">
        <v>239.0</v>
      </c>
      <c r="I1495" s="277">
        <v>116959.0</v>
      </c>
      <c r="J1495" s="277">
        <v>117559.0</v>
      </c>
      <c r="K1495" s="277">
        <v>600.0</v>
      </c>
      <c r="L1495" s="274"/>
      <c r="M1495" s="274"/>
      <c r="N1495" s="274"/>
      <c r="P1495" s="280">
        <v>46190.723550925926</v>
      </c>
    </row>
    <row r="1496" ht="15.0" customHeight="1">
      <c r="A1496" s="18" t="s">
        <v>12</v>
      </c>
      <c r="B1496" s="278">
        <v>46190.0</v>
      </c>
      <c r="D1496" s="18" t="s">
        <v>102</v>
      </c>
      <c r="E1496" s="18" t="s">
        <v>83</v>
      </c>
      <c r="F1496" s="18" t="s">
        <v>79</v>
      </c>
      <c r="G1496" s="18" t="s">
        <v>80</v>
      </c>
      <c r="H1496" s="279">
        <v>235.0</v>
      </c>
      <c r="I1496" s="277">
        <v>254395.0</v>
      </c>
      <c r="J1496" s="277">
        <v>254856.0</v>
      </c>
      <c r="K1496" s="277">
        <v>461.0</v>
      </c>
      <c r="L1496" s="274"/>
      <c r="M1496" s="274"/>
      <c r="N1496" s="274"/>
      <c r="P1496" s="280">
        <v>46190.723550925926</v>
      </c>
    </row>
    <row r="1497" ht="15.0" customHeight="1">
      <c r="A1497" s="18" t="s">
        <v>12</v>
      </c>
      <c r="B1497" s="278">
        <v>46190.0</v>
      </c>
      <c r="D1497" s="18" t="s">
        <v>103</v>
      </c>
      <c r="E1497" s="18" t="s">
        <v>83</v>
      </c>
      <c r="F1497" s="18" t="s">
        <v>79</v>
      </c>
      <c r="G1497" s="18" t="s">
        <v>80</v>
      </c>
      <c r="H1497" s="279">
        <v>158.0</v>
      </c>
      <c r="I1497" s="277">
        <v>4312.0</v>
      </c>
      <c r="J1497" s="277">
        <v>4326.0</v>
      </c>
      <c r="K1497" s="277">
        <v>14.0</v>
      </c>
      <c r="L1497" s="274"/>
      <c r="M1497" s="274"/>
      <c r="N1497" s="274"/>
      <c r="P1497" s="280">
        <v>46190.723550925926</v>
      </c>
    </row>
    <row r="1498" ht="15.0" customHeight="1">
      <c r="A1498" s="18" t="s">
        <v>12</v>
      </c>
      <c r="B1498" s="278">
        <v>46190.0</v>
      </c>
      <c r="D1498" s="18" t="s">
        <v>104</v>
      </c>
      <c r="E1498" s="18" t="s">
        <v>83</v>
      </c>
      <c r="F1498" s="18" t="s">
        <v>79</v>
      </c>
      <c r="G1498" s="18" t="s">
        <v>80</v>
      </c>
      <c r="H1498" s="279">
        <v>309.0</v>
      </c>
      <c r="I1498" s="277">
        <v>5305.0</v>
      </c>
      <c r="J1498" s="277">
        <v>5936.0</v>
      </c>
      <c r="K1498" s="277">
        <v>631.0</v>
      </c>
      <c r="L1498" s="274"/>
      <c r="M1498" s="274"/>
      <c r="N1498" s="274"/>
      <c r="P1498" s="280">
        <v>46190.723550925926</v>
      </c>
    </row>
    <row r="1499" ht="15.0" customHeight="1">
      <c r="A1499" s="18" t="s">
        <v>12</v>
      </c>
      <c r="B1499" s="278">
        <v>46190.0</v>
      </c>
      <c r="D1499" s="18" t="s">
        <v>105</v>
      </c>
      <c r="E1499" s="18" t="s">
        <v>83</v>
      </c>
      <c r="F1499" s="18" t="s">
        <v>79</v>
      </c>
      <c r="G1499" s="18" t="s">
        <v>80</v>
      </c>
      <c r="H1499" s="279">
        <v>230.0</v>
      </c>
      <c r="I1499" s="277">
        <v>1447.0</v>
      </c>
      <c r="J1499" s="277">
        <v>2052.0</v>
      </c>
      <c r="K1499" s="277">
        <v>605.0</v>
      </c>
      <c r="L1499" s="274"/>
      <c r="M1499" s="274"/>
      <c r="N1499" s="274"/>
      <c r="P1499" s="280">
        <v>46190.723550925926</v>
      </c>
    </row>
    <row r="1500" ht="15.0" customHeight="1">
      <c r="A1500" s="18" t="s">
        <v>12</v>
      </c>
      <c r="B1500" s="278">
        <v>46190.0</v>
      </c>
      <c r="D1500" s="18" t="s">
        <v>77</v>
      </c>
      <c r="E1500" s="18" t="s">
        <v>83</v>
      </c>
      <c r="F1500" s="18" t="s">
        <v>79</v>
      </c>
      <c r="G1500" s="18" t="s">
        <v>80</v>
      </c>
      <c r="H1500" s="279">
        <v>30.0</v>
      </c>
      <c r="I1500" s="274"/>
      <c r="J1500" s="274"/>
      <c r="K1500" s="274"/>
      <c r="L1500" s="274"/>
      <c r="M1500" s="274"/>
      <c r="N1500" s="274"/>
      <c r="O1500" s="18" t="s">
        <v>85</v>
      </c>
      <c r="P1500" s="280">
        <v>46190.723550925926</v>
      </c>
    </row>
    <row r="1501" ht="15.0" customHeight="1">
      <c r="A1501" s="18" t="s">
        <v>12</v>
      </c>
      <c r="B1501" s="278">
        <v>46190.0</v>
      </c>
      <c r="D1501" s="18" t="s">
        <v>106</v>
      </c>
      <c r="E1501" s="18" t="s">
        <v>107</v>
      </c>
      <c r="F1501" s="18" t="s">
        <v>79</v>
      </c>
      <c r="G1501" s="18" t="s">
        <v>107</v>
      </c>
      <c r="H1501" s="279">
        <v>20.0</v>
      </c>
      <c r="I1501" s="274"/>
      <c r="J1501" s="274"/>
      <c r="K1501" s="274"/>
      <c r="L1501" s="274"/>
      <c r="M1501" s="274"/>
      <c r="N1501" s="274"/>
      <c r="O1501" s="18" t="s">
        <v>108</v>
      </c>
      <c r="P1501" s="280">
        <v>46190.723550925926</v>
      </c>
    </row>
    <row r="1502" ht="15.0" customHeight="1">
      <c r="A1502" s="18" t="s">
        <v>12</v>
      </c>
      <c r="B1502" s="278">
        <v>46191.0</v>
      </c>
      <c r="D1502" s="18" t="s">
        <v>109</v>
      </c>
      <c r="E1502" s="18" t="s">
        <v>110</v>
      </c>
      <c r="F1502" s="18" t="s">
        <v>79</v>
      </c>
      <c r="G1502" s="18" t="s">
        <v>110</v>
      </c>
      <c r="H1502" s="279">
        <v>40.0</v>
      </c>
      <c r="I1502" s="274"/>
      <c r="J1502" s="274"/>
      <c r="K1502" s="274"/>
      <c r="L1502" s="274"/>
      <c r="M1502" s="274"/>
      <c r="N1502" s="274"/>
      <c r="P1502" s="280">
        <v>46191.68933329861</v>
      </c>
    </row>
    <row r="1503" ht="15.0" customHeight="1">
      <c r="A1503" s="18" t="s">
        <v>12</v>
      </c>
      <c r="B1503" s="278">
        <v>46191.0</v>
      </c>
      <c r="D1503" s="18" t="s">
        <v>111</v>
      </c>
      <c r="E1503" s="18" t="s">
        <v>93</v>
      </c>
      <c r="F1503" s="18" t="s">
        <v>79</v>
      </c>
      <c r="G1503" s="18" t="s">
        <v>93</v>
      </c>
      <c r="H1503" s="279">
        <v>60.0</v>
      </c>
      <c r="I1503" s="274"/>
      <c r="J1503" s="274"/>
      <c r="K1503" s="274"/>
      <c r="L1503" s="274"/>
      <c r="M1503" s="274"/>
      <c r="N1503" s="274"/>
      <c r="P1503" s="280">
        <v>46191.68933329861</v>
      </c>
    </row>
    <row r="1504" ht="15.0" customHeight="1">
      <c r="A1504" s="18" t="s">
        <v>12</v>
      </c>
      <c r="B1504" s="278">
        <v>46191.0</v>
      </c>
      <c r="D1504" s="18" t="s">
        <v>97</v>
      </c>
      <c r="E1504" s="18" t="s">
        <v>93</v>
      </c>
      <c r="F1504" s="18" t="s">
        <v>79</v>
      </c>
      <c r="G1504" s="18" t="s">
        <v>93</v>
      </c>
      <c r="H1504" s="279">
        <v>176.0</v>
      </c>
      <c r="I1504" s="274"/>
      <c r="J1504" s="274"/>
      <c r="K1504" s="274"/>
      <c r="L1504" s="274"/>
      <c r="M1504" s="274"/>
      <c r="N1504" s="274"/>
      <c r="P1504" s="280">
        <v>46191.68933329861</v>
      </c>
    </row>
    <row r="1505" ht="15.0" customHeight="1">
      <c r="A1505" s="18" t="s">
        <v>12</v>
      </c>
      <c r="B1505" s="278">
        <v>46191.0</v>
      </c>
      <c r="D1505" s="18" t="s">
        <v>112</v>
      </c>
      <c r="E1505" s="18" t="s">
        <v>83</v>
      </c>
      <c r="F1505" s="18" t="s">
        <v>79</v>
      </c>
      <c r="G1505" s="18" t="s">
        <v>80</v>
      </c>
      <c r="H1505" s="279">
        <v>257.0</v>
      </c>
      <c r="I1505" s="277">
        <v>99407.0</v>
      </c>
      <c r="J1505" s="277">
        <v>100007.0</v>
      </c>
      <c r="K1505" s="277">
        <v>600.0</v>
      </c>
      <c r="L1505" s="274"/>
      <c r="M1505" s="274"/>
      <c r="N1505" s="274"/>
      <c r="P1505" s="280">
        <v>46191.68933329861</v>
      </c>
    </row>
    <row r="1506" ht="15.0" customHeight="1">
      <c r="A1506" s="18" t="s">
        <v>12</v>
      </c>
      <c r="B1506" s="278">
        <v>46191.0</v>
      </c>
      <c r="D1506" s="18" t="s">
        <v>113</v>
      </c>
      <c r="E1506" s="18" t="s">
        <v>83</v>
      </c>
      <c r="F1506" s="18" t="s">
        <v>79</v>
      </c>
      <c r="G1506" s="18" t="s">
        <v>80</v>
      </c>
      <c r="H1506" s="279">
        <v>230.0</v>
      </c>
      <c r="I1506" s="277">
        <v>172660.0</v>
      </c>
      <c r="J1506" s="277">
        <v>173173.0</v>
      </c>
      <c r="K1506" s="277">
        <v>513.0</v>
      </c>
      <c r="L1506" s="274"/>
      <c r="M1506" s="274"/>
      <c r="N1506" s="274"/>
      <c r="P1506" s="280">
        <v>46191.68933329861</v>
      </c>
    </row>
    <row r="1507" ht="15.0" customHeight="1">
      <c r="A1507" s="18" t="s">
        <v>12</v>
      </c>
      <c r="B1507" s="278">
        <v>46191.0</v>
      </c>
      <c r="D1507" s="18" t="s">
        <v>114</v>
      </c>
      <c r="E1507" s="18" t="s">
        <v>83</v>
      </c>
      <c r="F1507" s="18" t="s">
        <v>79</v>
      </c>
      <c r="G1507" s="18" t="s">
        <v>80</v>
      </c>
      <c r="H1507" s="279">
        <v>260.0</v>
      </c>
      <c r="I1507" s="277">
        <v>276140.0</v>
      </c>
      <c r="J1507" s="277">
        <v>276819.0</v>
      </c>
      <c r="K1507" s="277">
        <v>679.0</v>
      </c>
      <c r="L1507" s="274"/>
      <c r="M1507" s="274"/>
      <c r="N1507" s="274"/>
      <c r="P1507" s="280">
        <v>46191.68933329861</v>
      </c>
    </row>
    <row r="1508" ht="15.0" customHeight="1">
      <c r="A1508" s="18" t="s">
        <v>12</v>
      </c>
      <c r="B1508" s="278">
        <v>46191.0</v>
      </c>
      <c r="D1508" s="18" t="s">
        <v>115</v>
      </c>
      <c r="E1508" s="18" t="s">
        <v>83</v>
      </c>
      <c r="F1508" s="18" t="s">
        <v>79</v>
      </c>
      <c r="G1508" s="18" t="s">
        <v>80</v>
      </c>
      <c r="H1508" s="279">
        <v>460.0</v>
      </c>
      <c r="I1508" s="277">
        <v>15973.0</v>
      </c>
      <c r="J1508" s="277">
        <v>17185.0</v>
      </c>
      <c r="K1508" s="277">
        <v>1212.0</v>
      </c>
      <c r="L1508" s="274"/>
      <c r="M1508" s="274"/>
      <c r="N1508" s="274"/>
      <c r="P1508" s="280">
        <v>46191.68933329861</v>
      </c>
    </row>
    <row r="1509" ht="15.0" customHeight="1">
      <c r="A1509" s="18" t="s">
        <v>12</v>
      </c>
      <c r="B1509" s="278">
        <v>46191.0</v>
      </c>
      <c r="D1509" s="18" t="s">
        <v>116</v>
      </c>
      <c r="E1509" s="18" t="s">
        <v>83</v>
      </c>
      <c r="F1509" s="18" t="s">
        <v>79</v>
      </c>
      <c r="G1509" s="18" t="s">
        <v>80</v>
      </c>
      <c r="H1509" s="279">
        <v>305.0</v>
      </c>
      <c r="I1509" s="277">
        <v>80579.0</v>
      </c>
      <c r="J1509" s="277">
        <v>81275.0</v>
      </c>
      <c r="K1509" s="277">
        <v>696.0</v>
      </c>
      <c r="L1509" s="274"/>
      <c r="M1509" s="274"/>
      <c r="N1509" s="274"/>
      <c r="P1509" s="280">
        <v>46191.68933329861</v>
      </c>
    </row>
    <row r="1510" ht="15.0" customHeight="1">
      <c r="A1510" s="18" t="s">
        <v>12</v>
      </c>
      <c r="B1510" s="278">
        <v>46191.0</v>
      </c>
      <c r="D1510" s="18" t="s">
        <v>117</v>
      </c>
      <c r="E1510" s="18" t="s">
        <v>83</v>
      </c>
      <c r="F1510" s="18" t="s">
        <v>79</v>
      </c>
      <c r="G1510" s="18" t="s">
        <v>80</v>
      </c>
      <c r="H1510" s="279">
        <v>176.0</v>
      </c>
      <c r="I1510" s="277">
        <v>8350.0</v>
      </c>
      <c r="J1510" s="277">
        <v>8365.0</v>
      </c>
      <c r="K1510" s="277">
        <v>15.0</v>
      </c>
      <c r="L1510" s="274"/>
      <c r="M1510" s="274"/>
      <c r="N1510" s="274"/>
      <c r="P1510" s="280">
        <v>46191.68933329861</v>
      </c>
    </row>
    <row r="1511" ht="15.0" customHeight="1">
      <c r="A1511" s="18" t="s">
        <v>12</v>
      </c>
      <c r="B1511" s="278">
        <v>46191.0</v>
      </c>
      <c r="D1511" s="18" t="s">
        <v>118</v>
      </c>
      <c r="E1511" s="18" t="s">
        <v>83</v>
      </c>
      <c r="F1511" s="18" t="s">
        <v>79</v>
      </c>
      <c r="G1511" s="18" t="s">
        <v>80</v>
      </c>
      <c r="H1511" s="279">
        <v>435.0</v>
      </c>
      <c r="I1511" s="277">
        <v>151814.0</v>
      </c>
      <c r="J1511" s="277">
        <v>152853.0</v>
      </c>
      <c r="K1511" s="277">
        <v>1039.0</v>
      </c>
      <c r="L1511" s="274"/>
      <c r="M1511" s="274"/>
      <c r="N1511" s="274"/>
      <c r="P1511" s="280">
        <v>46191.68933329861</v>
      </c>
    </row>
    <row r="1512" ht="15.0" customHeight="1">
      <c r="A1512" s="18" t="s">
        <v>12</v>
      </c>
      <c r="B1512" s="278">
        <v>46191.0</v>
      </c>
      <c r="D1512" s="18" t="s">
        <v>99</v>
      </c>
      <c r="E1512" s="18" t="s">
        <v>83</v>
      </c>
      <c r="F1512" s="18" t="s">
        <v>79</v>
      </c>
      <c r="G1512" s="18" t="s">
        <v>80</v>
      </c>
      <c r="H1512" s="279">
        <v>200.0</v>
      </c>
      <c r="I1512" s="277">
        <v>153934.0</v>
      </c>
      <c r="J1512" s="277">
        <v>154468.0</v>
      </c>
      <c r="K1512" s="277">
        <v>534.0</v>
      </c>
      <c r="L1512" s="274"/>
      <c r="M1512" s="274"/>
      <c r="N1512" s="274"/>
      <c r="P1512" s="280">
        <v>46191.68933329861</v>
      </c>
    </row>
    <row r="1513" ht="15.0" customHeight="1">
      <c r="A1513" s="18" t="s">
        <v>12</v>
      </c>
      <c r="B1513" s="278">
        <v>46191.0</v>
      </c>
      <c r="D1513" s="18" t="s">
        <v>119</v>
      </c>
      <c r="E1513" s="18" t="s">
        <v>83</v>
      </c>
      <c r="F1513" s="18" t="s">
        <v>79</v>
      </c>
      <c r="G1513" s="18" t="s">
        <v>80</v>
      </c>
      <c r="H1513" s="279">
        <v>445.0</v>
      </c>
      <c r="I1513" s="277">
        <v>59989.0</v>
      </c>
      <c r="J1513" s="277">
        <v>60879.0</v>
      </c>
      <c r="K1513" s="277">
        <v>890.0</v>
      </c>
      <c r="L1513" s="274"/>
      <c r="M1513" s="274"/>
      <c r="N1513" s="274"/>
      <c r="P1513" s="280">
        <v>46191.68933329861</v>
      </c>
    </row>
    <row r="1514" ht="15.0" customHeight="1">
      <c r="A1514" s="18" t="s">
        <v>12</v>
      </c>
      <c r="B1514" s="278">
        <v>46191.0</v>
      </c>
      <c r="D1514" s="18" t="s">
        <v>97</v>
      </c>
      <c r="E1514" s="18" t="s">
        <v>83</v>
      </c>
      <c r="F1514" s="18" t="s">
        <v>79</v>
      </c>
      <c r="G1514" s="18" t="s">
        <v>80</v>
      </c>
      <c r="H1514" s="279">
        <v>136.0</v>
      </c>
      <c r="I1514" s="277">
        <v>182743.0</v>
      </c>
      <c r="J1514" s="277">
        <v>182820.0</v>
      </c>
      <c r="K1514" s="277">
        <v>77.0</v>
      </c>
      <c r="L1514" s="274"/>
      <c r="M1514" s="274"/>
      <c r="N1514" s="274"/>
      <c r="P1514" s="280">
        <v>46191.68933329861</v>
      </c>
    </row>
    <row r="1515" ht="15.0" customHeight="1">
      <c r="A1515" s="18" t="s">
        <v>12</v>
      </c>
      <c r="B1515" s="278">
        <v>46190.0</v>
      </c>
      <c r="D1515" s="18" t="s">
        <v>84</v>
      </c>
      <c r="E1515" s="18" t="s">
        <v>83</v>
      </c>
      <c r="F1515" s="18" t="s">
        <v>79</v>
      </c>
      <c r="G1515" s="18" t="s">
        <v>80</v>
      </c>
      <c r="H1515" s="279">
        <v>45.0</v>
      </c>
      <c r="I1515" s="274"/>
      <c r="J1515" s="274"/>
      <c r="K1515" s="274"/>
      <c r="L1515" s="274"/>
      <c r="M1515" s="274"/>
      <c r="N1515" s="274"/>
      <c r="O1515" s="18" t="s">
        <v>120</v>
      </c>
      <c r="P1515" s="280">
        <v>46191.69035417824</v>
      </c>
    </row>
    <row r="1516" ht="15.0" customHeight="1">
      <c r="A1516" s="18" t="s">
        <v>12</v>
      </c>
      <c r="B1516" s="278">
        <v>46191.0</v>
      </c>
      <c r="D1516" s="18" t="s">
        <v>82</v>
      </c>
      <c r="E1516" s="18" t="s">
        <v>83</v>
      </c>
      <c r="F1516" s="18" t="s">
        <v>79</v>
      </c>
      <c r="G1516" s="18" t="s">
        <v>80</v>
      </c>
      <c r="H1516" s="279">
        <v>390.0</v>
      </c>
      <c r="I1516" s="277">
        <v>96491.0</v>
      </c>
      <c r="J1516" s="277">
        <v>97444.0</v>
      </c>
      <c r="K1516" s="277">
        <v>953.0</v>
      </c>
      <c r="L1516" s="274"/>
      <c r="M1516" s="274"/>
      <c r="N1516" s="274"/>
      <c r="P1516" s="280">
        <v>46192.562343391204</v>
      </c>
    </row>
    <row r="1517" ht="15.0" customHeight="1">
      <c r="A1517" s="18" t="s">
        <v>12</v>
      </c>
      <c r="B1517" s="278">
        <v>46192.0</v>
      </c>
      <c r="D1517" s="18" t="s">
        <v>98</v>
      </c>
      <c r="E1517" s="18" t="s">
        <v>83</v>
      </c>
      <c r="F1517" s="18" t="s">
        <v>79</v>
      </c>
      <c r="G1517" s="18" t="s">
        <v>80</v>
      </c>
      <c r="H1517" s="279">
        <v>155.0</v>
      </c>
      <c r="I1517" s="277">
        <v>167916.0</v>
      </c>
      <c r="J1517" s="277">
        <v>168271.0</v>
      </c>
      <c r="K1517" s="277">
        <v>355.0</v>
      </c>
      <c r="L1517" s="274"/>
      <c r="M1517" s="274"/>
      <c r="N1517" s="274"/>
      <c r="P1517" s="280">
        <v>46192.56740803241</v>
      </c>
    </row>
    <row r="1518" ht="15.0" customHeight="1">
      <c r="A1518" s="18" t="s">
        <v>12</v>
      </c>
      <c r="B1518" s="278">
        <v>46192.0</v>
      </c>
      <c r="D1518" s="18" t="s">
        <v>121</v>
      </c>
      <c r="E1518" s="18" t="s">
        <v>83</v>
      </c>
      <c r="F1518" s="18" t="s">
        <v>79</v>
      </c>
      <c r="G1518" s="18" t="s">
        <v>80</v>
      </c>
      <c r="H1518" s="279">
        <v>300.0</v>
      </c>
      <c r="I1518" s="277">
        <v>3767.0</v>
      </c>
      <c r="J1518" s="277">
        <v>4304.0</v>
      </c>
      <c r="K1518" s="277">
        <v>537.0</v>
      </c>
      <c r="L1518" s="274"/>
      <c r="M1518" s="274"/>
      <c r="N1518" s="274"/>
      <c r="P1518" s="280">
        <v>46192.56740803241</v>
      </c>
    </row>
    <row r="1519" ht="15.0" customHeight="1">
      <c r="A1519" s="18" t="s">
        <v>12</v>
      </c>
      <c r="B1519" s="278">
        <v>46192.0</v>
      </c>
      <c r="D1519" s="18" t="s">
        <v>122</v>
      </c>
      <c r="E1519" s="18" t="s">
        <v>83</v>
      </c>
      <c r="F1519" s="18" t="s">
        <v>79</v>
      </c>
      <c r="G1519" s="18" t="s">
        <v>80</v>
      </c>
      <c r="H1519" s="279">
        <v>283.0</v>
      </c>
      <c r="I1519" s="277">
        <v>6953.0</v>
      </c>
      <c r="J1519" s="277">
        <v>7481.0</v>
      </c>
      <c r="K1519" s="277">
        <v>528.0</v>
      </c>
      <c r="L1519" s="274"/>
      <c r="M1519" s="274"/>
      <c r="N1519" s="274"/>
      <c r="P1519" s="280">
        <v>46192.56740803241</v>
      </c>
    </row>
    <row r="1520" ht="15.0" customHeight="1">
      <c r="A1520" s="18" t="s">
        <v>12</v>
      </c>
      <c r="B1520" s="278">
        <v>46192.0</v>
      </c>
      <c r="D1520" s="18" t="s">
        <v>91</v>
      </c>
      <c r="E1520" s="18" t="s">
        <v>83</v>
      </c>
      <c r="F1520" s="18" t="s">
        <v>79</v>
      </c>
      <c r="G1520" s="18" t="s">
        <v>80</v>
      </c>
      <c r="H1520" s="279">
        <v>23.0</v>
      </c>
      <c r="I1520" s="277">
        <v>12493.0</v>
      </c>
      <c r="J1520" s="277">
        <v>12735.0</v>
      </c>
      <c r="K1520" s="277">
        <v>242.0</v>
      </c>
      <c r="L1520" s="274"/>
      <c r="M1520" s="274"/>
      <c r="N1520" s="274"/>
      <c r="P1520" s="280">
        <v>46192.56740803241</v>
      </c>
    </row>
    <row r="1521" ht="15.0" customHeight="1">
      <c r="A1521" s="18" t="s">
        <v>12</v>
      </c>
      <c r="B1521" s="278">
        <v>46192.0</v>
      </c>
      <c r="D1521" s="18" t="s">
        <v>123</v>
      </c>
      <c r="E1521" s="18" t="s">
        <v>83</v>
      </c>
      <c r="F1521" s="18" t="s">
        <v>79</v>
      </c>
      <c r="G1521" s="18" t="s">
        <v>80</v>
      </c>
      <c r="H1521" s="279">
        <v>527.0</v>
      </c>
      <c r="I1521" s="277">
        <v>201054.0</v>
      </c>
      <c r="J1521" s="277">
        <v>202105.0</v>
      </c>
      <c r="K1521" s="277">
        <v>1051.0</v>
      </c>
      <c r="L1521" s="274"/>
      <c r="M1521" s="274"/>
      <c r="N1521" s="274"/>
      <c r="P1521" s="280">
        <v>46192.56740803241</v>
      </c>
    </row>
    <row r="1522" ht="15.0" customHeight="1">
      <c r="A1522" s="18" t="s">
        <v>12</v>
      </c>
      <c r="B1522" s="278">
        <v>46192.0</v>
      </c>
      <c r="D1522" s="18" t="s">
        <v>77</v>
      </c>
      <c r="E1522" s="18" t="s">
        <v>83</v>
      </c>
      <c r="F1522" s="18" t="s">
        <v>79</v>
      </c>
      <c r="G1522" s="18" t="s">
        <v>80</v>
      </c>
      <c r="H1522" s="279">
        <v>45.0</v>
      </c>
      <c r="I1522" s="274"/>
      <c r="J1522" s="274"/>
      <c r="K1522" s="274"/>
      <c r="L1522" s="274"/>
      <c r="M1522" s="274"/>
      <c r="N1522" s="274"/>
      <c r="O1522" s="18" t="s">
        <v>124</v>
      </c>
      <c r="P1522" s="275"/>
    </row>
    <row r="1523" ht="15.0" customHeight="1">
      <c r="A1523" s="18" t="s">
        <v>12</v>
      </c>
      <c r="B1523" s="278">
        <v>46192.0</v>
      </c>
      <c r="D1523" s="18" t="s">
        <v>77</v>
      </c>
      <c r="E1523" s="18" t="s">
        <v>110</v>
      </c>
      <c r="F1523" s="18" t="s">
        <v>79</v>
      </c>
      <c r="G1523" s="18" t="s">
        <v>110</v>
      </c>
      <c r="H1523" s="279">
        <v>5.0</v>
      </c>
      <c r="I1523" s="274"/>
      <c r="J1523" s="274"/>
      <c r="K1523" s="274"/>
      <c r="L1523" s="274"/>
      <c r="M1523" s="274"/>
      <c r="N1523" s="274"/>
      <c r="O1523" s="18" t="s">
        <v>125</v>
      </c>
      <c r="P1523" s="275"/>
    </row>
    <row r="1524" ht="15.0" customHeight="1">
      <c r="A1524" s="18" t="s">
        <v>12</v>
      </c>
      <c r="B1524" s="278">
        <v>46192.0</v>
      </c>
      <c r="D1524" s="18" t="s">
        <v>84</v>
      </c>
      <c r="E1524" s="18" t="s">
        <v>83</v>
      </c>
      <c r="F1524" s="18" t="s">
        <v>79</v>
      </c>
      <c r="G1524" s="18" t="s">
        <v>80</v>
      </c>
      <c r="H1524" s="279">
        <v>456.0</v>
      </c>
      <c r="I1524" s="277">
        <v>47711.0</v>
      </c>
      <c r="J1524" s="277">
        <v>48609.0</v>
      </c>
      <c r="K1524" s="277">
        <v>898.0</v>
      </c>
      <c r="L1524" s="274"/>
      <c r="M1524" s="274"/>
      <c r="N1524" s="274"/>
      <c r="P1524" s="280">
        <v>46192.71528446759</v>
      </c>
    </row>
    <row r="1525" ht="15.0" customHeight="1">
      <c r="A1525" s="18" t="s">
        <v>12</v>
      </c>
      <c r="B1525" s="278">
        <v>46192.0</v>
      </c>
      <c r="D1525" s="18" t="s">
        <v>84</v>
      </c>
      <c r="E1525" s="18" t="s">
        <v>110</v>
      </c>
      <c r="F1525" s="18" t="s">
        <v>79</v>
      </c>
      <c r="G1525" s="18" t="s">
        <v>110</v>
      </c>
      <c r="H1525" s="279">
        <v>5.0</v>
      </c>
      <c r="I1525" s="274"/>
      <c r="J1525" s="274"/>
      <c r="K1525" s="274"/>
      <c r="L1525" s="274"/>
      <c r="M1525" s="274"/>
      <c r="N1525" s="274"/>
      <c r="O1525" s="18" t="s">
        <v>125</v>
      </c>
      <c r="P1525" s="280">
        <v>46192.71528446759</v>
      </c>
    </row>
    <row r="1526" ht="15.0" customHeight="1">
      <c r="A1526" s="18" t="s">
        <v>12</v>
      </c>
      <c r="B1526" s="278">
        <v>46192.0</v>
      </c>
      <c r="D1526" s="18" t="s">
        <v>126</v>
      </c>
      <c r="E1526" s="18" t="s">
        <v>83</v>
      </c>
      <c r="F1526" s="18" t="s">
        <v>79</v>
      </c>
      <c r="G1526" s="18" t="s">
        <v>80</v>
      </c>
      <c r="H1526" s="279">
        <v>180.0</v>
      </c>
      <c r="I1526" s="277">
        <v>587496.0</v>
      </c>
      <c r="J1526" s="277">
        <v>587794.0</v>
      </c>
      <c r="K1526" s="277">
        <v>298.0</v>
      </c>
      <c r="L1526" s="274"/>
      <c r="M1526" s="274"/>
      <c r="N1526" s="274"/>
      <c r="P1526" s="280">
        <v>46192.72838851852</v>
      </c>
    </row>
    <row r="1527" ht="15.0" customHeight="1">
      <c r="A1527" s="18" t="s">
        <v>12</v>
      </c>
      <c r="B1527" s="278">
        <v>46192.0</v>
      </c>
      <c r="D1527" s="18" t="s">
        <v>96</v>
      </c>
      <c r="E1527" s="18" t="s">
        <v>83</v>
      </c>
      <c r="F1527" s="18" t="s">
        <v>79</v>
      </c>
      <c r="G1527" s="18" t="s">
        <v>80</v>
      </c>
      <c r="H1527" s="279">
        <v>362.0</v>
      </c>
      <c r="I1527" s="277">
        <v>80207.0</v>
      </c>
      <c r="J1527" s="277">
        <v>81166.0</v>
      </c>
      <c r="K1527" s="277">
        <v>959.0</v>
      </c>
      <c r="L1527" s="274"/>
      <c r="M1527" s="274"/>
      <c r="N1527" s="274"/>
      <c r="P1527" s="280">
        <v>46193.30510212963</v>
      </c>
    </row>
    <row r="1528" ht="15.0" customHeight="1">
      <c r="A1528" s="18" t="s">
        <v>12</v>
      </c>
      <c r="B1528" s="278">
        <v>46192.0</v>
      </c>
      <c r="D1528" s="18" t="s">
        <v>127</v>
      </c>
      <c r="E1528" s="18" t="s">
        <v>83</v>
      </c>
      <c r="F1528" s="18" t="s">
        <v>79</v>
      </c>
      <c r="G1528" s="18" t="s">
        <v>80</v>
      </c>
      <c r="H1528" s="279">
        <v>191.0</v>
      </c>
      <c r="I1528" s="274"/>
      <c r="J1528" s="274"/>
      <c r="K1528" s="274"/>
      <c r="L1528" s="274"/>
      <c r="M1528" s="274"/>
      <c r="N1528" s="274"/>
      <c r="O1528" s="18" t="s">
        <v>128</v>
      </c>
      <c r="P1528" s="280">
        <v>46193.30510212963</v>
      </c>
    </row>
    <row r="1529" ht="15.0" customHeight="1">
      <c r="A1529" s="18" t="s">
        <v>12</v>
      </c>
      <c r="B1529" s="278">
        <v>46193.0</v>
      </c>
      <c r="D1529" s="18" t="s">
        <v>88</v>
      </c>
      <c r="E1529" s="18" t="s">
        <v>83</v>
      </c>
      <c r="F1529" s="18" t="s">
        <v>79</v>
      </c>
      <c r="G1529" s="18" t="s">
        <v>80</v>
      </c>
      <c r="H1529" s="279">
        <v>490.0</v>
      </c>
      <c r="I1529" s="277">
        <v>244724.0</v>
      </c>
      <c r="J1529" s="277">
        <v>245687.0</v>
      </c>
      <c r="K1529" s="277">
        <v>963.0</v>
      </c>
      <c r="L1529" s="274"/>
      <c r="M1529" s="274"/>
      <c r="N1529" s="274"/>
      <c r="P1529" s="280">
        <v>46193.41574232639</v>
      </c>
    </row>
    <row r="1530" ht="15.0" customHeight="1">
      <c r="A1530" s="18" t="s">
        <v>12</v>
      </c>
      <c r="B1530" s="278">
        <v>46193.0</v>
      </c>
      <c r="D1530" s="18" t="s">
        <v>101</v>
      </c>
      <c r="E1530" s="18" t="s">
        <v>83</v>
      </c>
      <c r="F1530" s="18" t="s">
        <v>79</v>
      </c>
      <c r="G1530" s="18" t="s">
        <v>80</v>
      </c>
      <c r="H1530" s="279">
        <v>220.0</v>
      </c>
      <c r="I1530" s="277">
        <v>117559.0</v>
      </c>
      <c r="J1530" s="277">
        <v>118036.0</v>
      </c>
      <c r="K1530" s="277">
        <v>477.0</v>
      </c>
      <c r="L1530" s="274"/>
      <c r="M1530" s="274"/>
      <c r="N1530" s="274"/>
      <c r="P1530" s="280">
        <v>46193.41574232639</v>
      </c>
    </row>
    <row r="1531" ht="15.0" customHeight="1">
      <c r="A1531" s="18" t="s">
        <v>12</v>
      </c>
      <c r="B1531" s="278">
        <v>46193.0</v>
      </c>
      <c r="D1531" s="18" t="s">
        <v>87</v>
      </c>
      <c r="E1531" s="18" t="s">
        <v>83</v>
      </c>
      <c r="F1531" s="18" t="s">
        <v>79</v>
      </c>
      <c r="G1531" s="18" t="s">
        <v>80</v>
      </c>
      <c r="H1531" s="279">
        <v>240.0</v>
      </c>
      <c r="I1531" s="277">
        <v>265070.0</v>
      </c>
      <c r="J1531" s="277">
        <v>265572.0</v>
      </c>
      <c r="K1531" s="277">
        <v>502.0</v>
      </c>
      <c r="L1531" s="274"/>
      <c r="M1531" s="274"/>
      <c r="N1531" s="274"/>
      <c r="P1531" s="280">
        <v>46193.41574232639</v>
      </c>
    </row>
    <row r="1532" ht="15.0" customHeight="1">
      <c r="A1532" s="18" t="s">
        <v>12</v>
      </c>
      <c r="B1532" s="278">
        <v>46193.0</v>
      </c>
      <c r="D1532" s="18" t="s">
        <v>119</v>
      </c>
      <c r="E1532" s="18" t="s">
        <v>83</v>
      </c>
      <c r="F1532" s="18" t="s">
        <v>79</v>
      </c>
      <c r="G1532" s="18" t="s">
        <v>80</v>
      </c>
      <c r="H1532" s="279">
        <v>305.0</v>
      </c>
      <c r="I1532" s="277">
        <v>60879.0</v>
      </c>
      <c r="J1532" s="277">
        <v>61619.0</v>
      </c>
      <c r="K1532" s="277">
        <v>740.0</v>
      </c>
      <c r="L1532" s="274"/>
      <c r="M1532" s="274"/>
      <c r="N1532" s="274"/>
      <c r="P1532" s="280">
        <v>46193.41574232639</v>
      </c>
    </row>
    <row r="1533" ht="15.0" customHeight="1">
      <c r="A1533" s="18" t="s">
        <v>12</v>
      </c>
      <c r="B1533" s="278">
        <v>46193.0</v>
      </c>
      <c r="D1533" s="18" t="s">
        <v>102</v>
      </c>
      <c r="E1533" s="18" t="s">
        <v>83</v>
      </c>
      <c r="F1533" s="18" t="s">
        <v>79</v>
      </c>
      <c r="G1533" s="18" t="s">
        <v>80</v>
      </c>
      <c r="H1533" s="279">
        <v>220.0</v>
      </c>
      <c r="I1533" s="277">
        <v>254856.0</v>
      </c>
      <c r="J1533" s="277">
        <v>255278.0</v>
      </c>
      <c r="K1533" s="277">
        <v>422.0</v>
      </c>
      <c r="L1533" s="274"/>
      <c r="M1533" s="274"/>
      <c r="N1533" s="274"/>
      <c r="P1533" s="280">
        <v>46193.41574232639</v>
      </c>
    </row>
    <row r="1534" ht="15.0" customHeight="1">
      <c r="A1534" s="18" t="s">
        <v>12</v>
      </c>
      <c r="B1534" s="278">
        <v>46193.0</v>
      </c>
      <c r="D1534" s="18" t="s">
        <v>105</v>
      </c>
      <c r="E1534" s="18" t="s">
        <v>83</v>
      </c>
      <c r="F1534" s="18" t="s">
        <v>79</v>
      </c>
      <c r="G1534" s="18" t="s">
        <v>80</v>
      </c>
      <c r="H1534" s="279">
        <v>235.0</v>
      </c>
      <c r="I1534" s="277">
        <v>2052.0</v>
      </c>
      <c r="J1534" s="277">
        <v>2633.0</v>
      </c>
      <c r="K1534" s="277">
        <v>581.0</v>
      </c>
      <c r="L1534" s="274"/>
      <c r="M1534" s="274"/>
      <c r="N1534" s="274"/>
      <c r="P1534" s="280">
        <v>46193.41574232639</v>
      </c>
    </row>
    <row r="1535" ht="15.0" customHeight="1">
      <c r="A1535" s="18" t="s">
        <v>12</v>
      </c>
      <c r="B1535" s="278">
        <v>46192.0</v>
      </c>
      <c r="D1535" s="18" t="s">
        <v>86</v>
      </c>
      <c r="E1535" s="18" t="s">
        <v>83</v>
      </c>
      <c r="F1535" s="18" t="s">
        <v>79</v>
      </c>
      <c r="G1535" s="18" t="s">
        <v>80</v>
      </c>
      <c r="H1535" s="279">
        <v>263.0</v>
      </c>
      <c r="I1535" s="277">
        <v>191860.0</v>
      </c>
      <c r="J1535" s="277">
        <v>192346.0</v>
      </c>
      <c r="K1535" s="277">
        <v>486.0</v>
      </c>
      <c r="L1535" s="274"/>
      <c r="M1535" s="274"/>
      <c r="N1535" s="274"/>
      <c r="P1535" s="280">
        <v>46193.669530405095</v>
      </c>
    </row>
    <row r="1536" ht="15.0" customHeight="1">
      <c r="A1536" s="18" t="s">
        <v>12</v>
      </c>
      <c r="B1536" s="278">
        <v>46193.0</v>
      </c>
      <c r="D1536" s="18" t="s">
        <v>129</v>
      </c>
      <c r="E1536" s="18" t="s">
        <v>83</v>
      </c>
      <c r="F1536" s="18" t="s">
        <v>79</v>
      </c>
      <c r="G1536" s="18" t="s">
        <v>80</v>
      </c>
      <c r="H1536" s="279">
        <v>226.0</v>
      </c>
      <c r="I1536" s="277">
        <v>7059.0</v>
      </c>
      <c r="J1536" s="277">
        <v>7510.0</v>
      </c>
      <c r="K1536" s="277">
        <v>451.0</v>
      </c>
      <c r="L1536" s="274"/>
      <c r="M1536" s="274"/>
      <c r="N1536" s="274"/>
      <c r="P1536" s="280">
        <v>46193.671731724535</v>
      </c>
    </row>
    <row r="1537" ht="15.0" customHeight="1">
      <c r="A1537" s="18" t="s">
        <v>12</v>
      </c>
      <c r="B1537" s="278">
        <v>46194.0</v>
      </c>
      <c r="D1537" s="18" t="s">
        <v>130</v>
      </c>
      <c r="E1537" s="18" t="s">
        <v>83</v>
      </c>
      <c r="F1537" s="18" t="s">
        <v>79</v>
      </c>
      <c r="G1537" s="18" t="s">
        <v>80</v>
      </c>
      <c r="H1537" s="279">
        <v>182.0</v>
      </c>
      <c r="I1537" s="274"/>
      <c r="J1537" s="274"/>
      <c r="K1537" s="274"/>
      <c r="L1537" s="274"/>
      <c r="M1537" s="274"/>
      <c r="N1537" s="274"/>
      <c r="O1537" s="18" t="s">
        <v>131</v>
      </c>
      <c r="P1537" s="280">
        <v>46195.33489704861</v>
      </c>
    </row>
    <row r="1538" ht="15.0" customHeight="1">
      <c r="A1538" s="18" t="s">
        <v>12</v>
      </c>
      <c r="B1538" s="278">
        <v>46194.0</v>
      </c>
      <c r="D1538" s="18" t="s">
        <v>100</v>
      </c>
      <c r="E1538" s="18" t="s">
        <v>83</v>
      </c>
      <c r="F1538" s="18" t="s">
        <v>79</v>
      </c>
      <c r="G1538" s="18" t="s">
        <v>80</v>
      </c>
      <c r="H1538" s="279">
        <v>372.0</v>
      </c>
      <c r="I1538" s="277">
        <v>408237.0</v>
      </c>
      <c r="J1538" s="277">
        <v>409248.0</v>
      </c>
      <c r="K1538" s="277">
        <v>1011.0</v>
      </c>
      <c r="L1538" s="274"/>
      <c r="M1538" s="274"/>
      <c r="N1538" s="274"/>
      <c r="P1538" s="280">
        <v>46195.33489704861</v>
      </c>
    </row>
    <row r="1539" ht="15.0" customHeight="1">
      <c r="A1539" s="18" t="s">
        <v>12</v>
      </c>
      <c r="B1539" s="278">
        <v>46194.0</v>
      </c>
      <c r="D1539" s="18" t="s">
        <v>118</v>
      </c>
      <c r="E1539" s="18" t="s">
        <v>83</v>
      </c>
      <c r="F1539" s="18" t="s">
        <v>79</v>
      </c>
      <c r="G1539" s="18" t="s">
        <v>80</v>
      </c>
      <c r="H1539" s="279">
        <v>380.0</v>
      </c>
      <c r="I1539" s="277">
        <v>152853.0</v>
      </c>
      <c r="J1539" s="277">
        <v>153859.0</v>
      </c>
      <c r="K1539" s="277">
        <v>1006.0</v>
      </c>
      <c r="L1539" s="274"/>
      <c r="M1539" s="274"/>
      <c r="N1539" s="274"/>
      <c r="P1539" s="280">
        <v>46195.33489704861</v>
      </c>
    </row>
    <row r="1540" ht="15.0" customHeight="1">
      <c r="A1540" s="18" t="s">
        <v>12</v>
      </c>
      <c r="B1540" s="278">
        <v>46194.0</v>
      </c>
      <c r="D1540" s="18" t="s">
        <v>132</v>
      </c>
      <c r="E1540" s="18" t="s">
        <v>83</v>
      </c>
      <c r="F1540" s="18" t="s">
        <v>79</v>
      </c>
      <c r="G1540" s="18" t="s">
        <v>80</v>
      </c>
      <c r="H1540" s="279">
        <v>213.0</v>
      </c>
      <c r="I1540" s="277">
        <v>5829.0</v>
      </c>
      <c r="J1540" s="277">
        <v>6248.0</v>
      </c>
      <c r="K1540" s="277">
        <v>419.0</v>
      </c>
      <c r="L1540" s="274"/>
      <c r="M1540" s="274"/>
      <c r="N1540" s="274"/>
      <c r="P1540" s="280">
        <v>46195.33489704861</v>
      </c>
    </row>
    <row r="1541" ht="15.0" customHeight="1">
      <c r="A1541" s="18" t="s">
        <v>12</v>
      </c>
      <c r="B1541" s="278">
        <v>46194.0</v>
      </c>
      <c r="D1541" s="18" t="s">
        <v>113</v>
      </c>
      <c r="E1541" s="18" t="s">
        <v>83</v>
      </c>
      <c r="F1541" s="18" t="s">
        <v>79</v>
      </c>
      <c r="G1541" s="18" t="s">
        <v>80</v>
      </c>
      <c r="H1541" s="279">
        <v>209.0</v>
      </c>
      <c r="I1541" s="277">
        <v>173173.0</v>
      </c>
      <c r="J1541" s="277">
        <v>173617.0</v>
      </c>
      <c r="K1541" s="277">
        <v>444.0</v>
      </c>
      <c r="L1541" s="274"/>
      <c r="M1541" s="274"/>
      <c r="N1541" s="274"/>
      <c r="P1541" s="280">
        <v>46195.33489704861</v>
      </c>
    </row>
    <row r="1542" ht="15.0" customHeight="1">
      <c r="A1542" s="18" t="s">
        <v>12</v>
      </c>
      <c r="B1542" s="278">
        <v>46194.0</v>
      </c>
      <c r="D1542" s="18" t="s">
        <v>114</v>
      </c>
      <c r="E1542" s="18" t="s">
        <v>83</v>
      </c>
      <c r="F1542" s="18" t="s">
        <v>79</v>
      </c>
      <c r="G1542" s="18" t="s">
        <v>80</v>
      </c>
      <c r="H1542" s="279">
        <v>210.0</v>
      </c>
      <c r="I1542" s="277">
        <v>276819.0</v>
      </c>
      <c r="J1542" s="277">
        <v>277275.0</v>
      </c>
      <c r="K1542" s="277">
        <v>456.0</v>
      </c>
      <c r="L1542" s="274"/>
      <c r="M1542" s="274"/>
      <c r="N1542" s="274"/>
      <c r="P1542" s="280">
        <v>46195.33489704861</v>
      </c>
    </row>
    <row r="1543" ht="15.0" customHeight="1">
      <c r="A1543" s="18" t="s">
        <v>12</v>
      </c>
      <c r="B1543" s="278">
        <v>46195.0</v>
      </c>
      <c r="D1543" s="18" t="s">
        <v>89</v>
      </c>
      <c r="E1543" s="18" t="s">
        <v>83</v>
      </c>
      <c r="F1543" s="18" t="s">
        <v>79</v>
      </c>
      <c r="G1543" s="18" t="s">
        <v>80</v>
      </c>
      <c r="H1543" s="279">
        <v>50.0</v>
      </c>
      <c r="I1543" s="274"/>
      <c r="J1543" s="274"/>
      <c r="K1543" s="274"/>
      <c r="L1543" s="274"/>
      <c r="M1543" s="274"/>
      <c r="N1543" s="274"/>
      <c r="O1543" s="18" t="s">
        <v>85</v>
      </c>
      <c r="P1543" s="280">
        <v>46195.3380874537</v>
      </c>
    </row>
    <row r="1544" ht="15.0" customHeight="1">
      <c r="A1544" s="18" t="s">
        <v>12</v>
      </c>
      <c r="B1544" s="278">
        <v>46195.0</v>
      </c>
      <c r="D1544" s="18" t="s">
        <v>82</v>
      </c>
      <c r="E1544" s="18" t="s">
        <v>83</v>
      </c>
      <c r="F1544" s="18" t="s">
        <v>79</v>
      </c>
      <c r="G1544" s="18" t="s">
        <v>80</v>
      </c>
      <c r="H1544" s="279">
        <v>378.0</v>
      </c>
      <c r="I1544" s="277">
        <v>97444.0</v>
      </c>
      <c r="J1544" s="277">
        <v>98427.0</v>
      </c>
      <c r="K1544" s="277">
        <v>983.0</v>
      </c>
      <c r="L1544" s="274"/>
      <c r="M1544" s="274"/>
      <c r="N1544" s="274"/>
      <c r="P1544" s="280">
        <v>46195.3380874537</v>
      </c>
    </row>
    <row r="1545" ht="15.0" customHeight="1">
      <c r="A1545" s="18" t="s">
        <v>12</v>
      </c>
      <c r="B1545" s="278">
        <v>46195.0</v>
      </c>
      <c r="D1545" s="18" t="s">
        <v>97</v>
      </c>
      <c r="E1545" s="18" t="s">
        <v>83</v>
      </c>
      <c r="F1545" s="18" t="s">
        <v>79</v>
      </c>
      <c r="G1545" s="18" t="s">
        <v>80</v>
      </c>
      <c r="H1545" s="279">
        <v>246.0</v>
      </c>
      <c r="I1545" s="277">
        <v>182820.0</v>
      </c>
      <c r="J1545" s="277">
        <v>183113.0</v>
      </c>
      <c r="K1545" s="277">
        <v>293.0</v>
      </c>
      <c r="L1545" s="274"/>
      <c r="M1545" s="274"/>
      <c r="N1545" s="274"/>
      <c r="P1545" s="280">
        <v>46195.3380874537</v>
      </c>
    </row>
    <row r="1546" ht="15.0" customHeight="1">
      <c r="A1546" s="18" t="s">
        <v>12</v>
      </c>
      <c r="B1546" s="278">
        <v>46195.0</v>
      </c>
      <c r="D1546" s="18" t="s">
        <v>115</v>
      </c>
      <c r="E1546" s="18" t="s">
        <v>83</v>
      </c>
      <c r="F1546" s="18" t="s">
        <v>79</v>
      </c>
      <c r="G1546" s="18" t="s">
        <v>80</v>
      </c>
      <c r="H1546" s="279">
        <v>360.0</v>
      </c>
      <c r="I1546" s="277">
        <v>17185.0</v>
      </c>
      <c r="J1546" s="277">
        <v>18263.0</v>
      </c>
      <c r="K1546" s="277">
        <v>1078.0</v>
      </c>
      <c r="L1546" s="274"/>
      <c r="M1546" s="274"/>
      <c r="N1546" s="274"/>
      <c r="P1546" s="280">
        <v>46195.3380874537</v>
      </c>
    </row>
    <row r="1547" ht="15.0" customHeight="1">
      <c r="A1547" s="18" t="s">
        <v>12</v>
      </c>
      <c r="B1547" s="278">
        <v>46195.0</v>
      </c>
      <c r="D1547" s="18" t="s">
        <v>103</v>
      </c>
      <c r="E1547" s="18" t="s">
        <v>83</v>
      </c>
      <c r="F1547" s="18" t="s">
        <v>79</v>
      </c>
      <c r="G1547" s="18" t="s">
        <v>80</v>
      </c>
      <c r="H1547" s="279">
        <v>175.0</v>
      </c>
      <c r="I1547" s="277">
        <v>4326.0</v>
      </c>
      <c r="J1547" s="277">
        <v>4340.0</v>
      </c>
      <c r="K1547" s="277">
        <v>14.0</v>
      </c>
      <c r="L1547" s="274"/>
      <c r="M1547" s="274"/>
      <c r="N1547" s="274"/>
      <c r="P1547" s="280">
        <v>46195.3380874537</v>
      </c>
    </row>
    <row r="1548" ht="15.0" customHeight="1">
      <c r="A1548" s="18" t="s">
        <v>12</v>
      </c>
      <c r="B1548" s="278">
        <v>46195.0</v>
      </c>
      <c r="D1548" s="18" t="s">
        <v>133</v>
      </c>
      <c r="E1548" s="18" t="s">
        <v>93</v>
      </c>
      <c r="F1548" s="18" t="s">
        <v>79</v>
      </c>
      <c r="G1548" s="18" t="s">
        <v>93</v>
      </c>
      <c r="H1548" s="279">
        <v>30.0</v>
      </c>
      <c r="I1548" s="274"/>
      <c r="J1548" s="274"/>
      <c r="K1548" s="274"/>
      <c r="L1548" s="274"/>
      <c r="M1548" s="274"/>
      <c r="N1548" s="274"/>
      <c r="O1548" s="18" t="s">
        <v>134</v>
      </c>
      <c r="P1548" s="280">
        <v>46195.3380874537</v>
      </c>
    </row>
    <row r="1549" ht="15.0" customHeight="1">
      <c r="A1549" s="18" t="s">
        <v>12</v>
      </c>
      <c r="B1549" s="278">
        <v>46195.0</v>
      </c>
      <c r="D1549" s="18" t="s">
        <v>116</v>
      </c>
      <c r="E1549" s="18" t="s">
        <v>83</v>
      </c>
      <c r="F1549" s="18" t="s">
        <v>79</v>
      </c>
      <c r="G1549" s="18" t="s">
        <v>80</v>
      </c>
      <c r="H1549" s="279">
        <v>350.0</v>
      </c>
      <c r="I1549" s="277">
        <v>81275.0</v>
      </c>
      <c r="J1549" s="277">
        <v>82028.0</v>
      </c>
      <c r="K1549" s="277">
        <v>753.0</v>
      </c>
      <c r="L1549" s="274"/>
      <c r="M1549" s="274"/>
      <c r="N1549" s="274"/>
      <c r="P1549" s="280">
        <v>46195.3380874537</v>
      </c>
    </row>
    <row r="1550" ht="15.0" customHeight="1">
      <c r="A1550" s="18" t="s">
        <v>12</v>
      </c>
      <c r="B1550" s="278">
        <v>46195.0</v>
      </c>
      <c r="D1550" s="18" t="s">
        <v>135</v>
      </c>
      <c r="E1550" s="18" t="s">
        <v>83</v>
      </c>
      <c r="F1550" s="18" t="s">
        <v>79</v>
      </c>
      <c r="G1550" s="18" t="s">
        <v>80</v>
      </c>
      <c r="H1550" s="279">
        <v>56.0</v>
      </c>
      <c r="I1550" s="277">
        <v>478299.0</v>
      </c>
      <c r="J1550" s="277">
        <v>479019.0</v>
      </c>
      <c r="K1550" s="277">
        <v>720.0</v>
      </c>
      <c r="L1550" s="274"/>
      <c r="M1550" s="274"/>
      <c r="N1550" s="274"/>
      <c r="P1550" s="280">
        <v>46195.3380874537</v>
      </c>
    </row>
    <row r="1551" ht="15.0" customHeight="1">
      <c r="A1551" s="18" t="s">
        <v>12</v>
      </c>
      <c r="B1551" s="278">
        <v>46195.0</v>
      </c>
      <c r="D1551" s="18" t="s">
        <v>98</v>
      </c>
      <c r="E1551" s="18" t="s">
        <v>83</v>
      </c>
      <c r="F1551" s="18" t="s">
        <v>79</v>
      </c>
      <c r="G1551" s="18" t="s">
        <v>80</v>
      </c>
      <c r="H1551" s="279">
        <v>160.0</v>
      </c>
      <c r="I1551" s="277">
        <v>168271.0</v>
      </c>
      <c r="J1551" s="277">
        <v>168604.0</v>
      </c>
      <c r="K1551" s="277">
        <v>333.0</v>
      </c>
      <c r="L1551" s="274"/>
      <c r="M1551" s="274"/>
      <c r="N1551" s="274"/>
      <c r="P1551" s="280">
        <v>46195.3380874537</v>
      </c>
    </row>
    <row r="1552" ht="15.0" customHeight="1">
      <c r="A1552" s="18" t="s">
        <v>12</v>
      </c>
      <c r="B1552" s="278">
        <v>46195.0</v>
      </c>
      <c r="D1552" s="18" t="s">
        <v>136</v>
      </c>
      <c r="E1552" s="18" t="s">
        <v>83</v>
      </c>
      <c r="F1552" s="18" t="s">
        <v>79</v>
      </c>
      <c r="G1552" s="18" t="s">
        <v>80</v>
      </c>
      <c r="H1552" s="279">
        <v>74.0</v>
      </c>
      <c r="I1552" s="277">
        <v>320053.0</v>
      </c>
      <c r="J1552" s="277">
        <v>321012.0</v>
      </c>
      <c r="K1552" s="277">
        <v>959.0</v>
      </c>
      <c r="L1552" s="274"/>
      <c r="M1552" s="274"/>
      <c r="N1552" s="274"/>
      <c r="P1552" s="280">
        <v>46195.3380874537</v>
      </c>
    </row>
    <row r="1553" ht="15.0" customHeight="1">
      <c r="A1553" s="18" t="s">
        <v>12</v>
      </c>
      <c r="B1553" s="278">
        <v>46195.0</v>
      </c>
      <c r="D1553" s="18" t="s">
        <v>84</v>
      </c>
      <c r="E1553" s="18" t="s">
        <v>83</v>
      </c>
      <c r="F1553" s="18" t="s">
        <v>79</v>
      </c>
      <c r="G1553" s="18" t="s">
        <v>80</v>
      </c>
      <c r="H1553" s="279">
        <v>40.0</v>
      </c>
      <c r="I1553" s="274"/>
      <c r="J1553" s="274"/>
      <c r="K1553" s="274"/>
      <c r="L1553" s="274"/>
      <c r="M1553" s="274"/>
      <c r="N1553" s="274"/>
      <c r="O1553" s="18" t="s">
        <v>85</v>
      </c>
      <c r="P1553" s="280">
        <v>46195.41750431713</v>
      </c>
    </row>
    <row r="1554" ht="15.0" customHeight="1">
      <c r="A1554" s="18" t="s">
        <v>12</v>
      </c>
      <c r="B1554" s="278">
        <v>46195.0</v>
      </c>
      <c r="D1554" s="18" t="s">
        <v>119</v>
      </c>
      <c r="E1554" s="18" t="s">
        <v>83</v>
      </c>
      <c r="F1554" s="18" t="s">
        <v>79</v>
      </c>
      <c r="G1554" s="18" t="s">
        <v>80</v>
      </c>
      <c r="H1554" s="279">
        <v>328.0</v>
      </c>
      <c r="I1554" s="277">
        <v>61619.0</v>
      </c>
      <c r="J1554" s="277">
        <v>62390.0</v>
      </c>
      <c r="K1554" s="277">
        <v>771.0</v>
      </c>
      <c r="L1554" s="274"/>
      <c r="M1554" s="274"/>
      <c r="N1554" s="274"/>
      <c r="P1554" s="280">
        <v>46195.41750431713</v>
      </c>
    </row>
    <row r="1555" ht="15.0" customHeight="1">
      <c r="A1555" s="18" t="s">
        <v>12</v>
      </c>
      <c r="B1555" s="278">
        <v>46195.0</v>
      </c>
      <c r="D1555" s="18" t="s">
        <v>127</v>
      </c>
      <c r="E1555" s="18" t="s">
        <v>83</v>
      </c>
      <c r="F1555" s="18" t="s">
        <v>79</v>
      </c>
      <c r="G1555" s="18" t="s">
        <v>80</v>
      </c>
      <c r="H1555" s="279">
        <v>150.0</v>
      </c>
      <c r="I1555" s="274"/>
      <c r="J1555" s="274"/>
      <c r="K1555" s="274"/>
      <c r="L1555" s="274"/>
      <c r="M1555" s="274"/>
      <c r="N1555" s="274"/>
      <c r="O1555" s="18" t="s">
        <v>137</v>
      </c>
      <c r="P1555" s="280">
        <v>46196.28588952546</v>
      </c>
    </row>
    <row r="1556" ht="15.0" customHeight="1">
      <c r="A1556" s="18" t="s">
        <v>12</v>
      </c>
      <c r="B1556" s="278">
        <v>46195.0</v>
      </c>
      <c r="D1556" s="18" t="s">
        <v>112</v>
      </c>
      <c r="E1556" s="18" t="s">
        <v>83</v>
      </c>
      <c r="F1556" s="18" t="s">
        <v>79</v>
      </c>
      <c r="G1556" s="18" t="s">
        <v>80</v>
      </c>
      <c r="H1556" s="279">
        <v>227.0</v>
      </c>
      <c r="I1556" s="277">
        <v>100007.0</v>
      </c>
      <c r="J1556" s="277">
        <v>100470.0</v>
      </c>
      <c r="K1556" s="277">
        <v>463.0</v>
      </c>
      <c r="L1556" s="274"/>
      <c r="M1556" s="274"/>
      <c r="N1556" s="274"/>
      <c r="P1556" s="280">
        <v>46196.28588952546</v>
      </c>
    </row>
    <row r="1557" ht="15.0" customHeight="1">
      <c r="A1557" s="18" t="s">
        <v>12</v>
      </c>
      <c r="B1557" s="278">
        <v>46195.0</v>
      </c>
      <c r="D1557" s="18" t="s">
        <v>123</v>
      </c>
      <c r="E1557" s="18" t="s">
        <v>83</v>
      </c>
      <c r="F1557" s="18" t="s">
        <v>79</v>
      </c>
      <c r="G1557" s="18" t="s">
        <v>80</v>
      </c>
      <c r="H1557" s="279">
        <v>370.0</v>
      </c>
      <c r="I1557" s="277">
        <v>202105.0</v>
      </c>
      <c r="J1557" s="277">
        <v>202829.0</v>
      </c>
      <c r="K1557" s="277">
        <v>724.0</v>
      </c>
      <c r="L1557" s="274"/>
      <c r="M1557" s="274"/>
      <c r="N1557" s="274"/>
      <c r="P1557" s="280">
        <v>46196.28588952546</v>
      </c>
    </row>
    <row r="1558" ht="15.0" customHeight="1">
      <c r="A1558" s="18" t="s">
        <v>12</v>
      </c>
      <c r="B1558" s="278">
        <v>46195.0</v>
      </c>
      <c r="D1558" s="18" t="s">
        <v>106</v>
      </c>
      <c r="E1558" s="18" t="s">
        <v>107</v>
      </c>
      <c r="F1558" s="18" t="s">
        <v>79</v>
      </c>
      <c r="G1558" s="18" t="s">
        <v>107</v>
      </c>
      <c r="H1558" s="279">
        <v>20.0</v>
      </c>
      <c r="I1558" s="274"/>
      <c r="J1558" s="274"/>
      <c r="K1558" s="274"/>
      <c r="L1558" s="274"/>
      <c r="M1558" s="274"/>
      <c r="N1558" s="274"/>
      <c r="O1558" s="18" t="s">
        <v>108</v>
      </c>
      <c r="P1558" s="280">
        <v>46196.28588952546</v>
      </c>
    </row>
    <row r="1559" ht="15.0" customHeight="1">
      <c r="A1559" s="18" t="s">
        <v>12</v>
      </c>
      <c r="B1559" s="278">
        <v>46196.0</v>
      </c>
      <c r="D1559" s="18" t="s">
        <v>117</v>
      </c>
      <c r="E1559" s="18" t="s">
        <v>83</v>
      </c>
      <c r="F1559" s="18" t="s">
        <v>79</v>
      </c>
      <c r="G1559" s="18" t="s">
        <v>80</v>
      </c>
      <c r="H1559" s="279">
        <v>163.0</v>
      </c>
      <c r="I1559" s="277">
        <v>8365.0</v>
      </c>
      <c r="J1559" s="277">
        <v>8378.0</v>
      </c>
      <c r="K1559" s="277">
        <v>13.0</v>
      </c>
      <c r="L1559" s="274"/>
      <c r="M1559" s="274"/>
      <c r="N1559" s="274"/>
      <c r="P1559" s="280">
        <v>46196.42424596065</v>
      </c>
    </row>
    <row r="1560" ht="15.0" customHeight="1">
      <c r="A1560" s="18" t="s">
        <v>12</v>
      </c>
      <c r="B1560" s="278">
        <v>46196.0</v>
      </c>
      <c r="D1560" s="18" t="s">
        <v>88</v>
      </c>
      <c r="E1560" s="18" t="s">
        <v>83</v>
      </c>
      <c r="F1560" s="18" t="s">
        <v>79</v>
      </c>
      <c r="G1560" s="18" t="s">
        <v>80</v>
      </c>
      <c r="H1560" s="279">
        <v>477.0</v>
      </c>
      <c r="I1560" s="277">
        <v>245687.0</v>
      </c>
      <c r="J1560" s="277">
        <v>246656.0</v>
      </c>
      <c r="K1560" s="277">
        <v>969.0</v>
      </c>
      <c r="L1560" s="274"/>
      <c r="M1560" s="274"/>
      <c r="N1560" s="274"/>
      <c r="P1560" s="280">
        <v>46196.42424596065</v>
      </c>
    </row>
    <row r="1561" ht="15.0" customHeight="1">
      <c r="A1561" s="18" t="s">
        <v>12</v>
      </c>
      <c r="B1561" s="278">
        <v>46196.0</v>
      </c>
      <c r="D1561" s="18" t="s">
        <v>97</v>
      </c>
      <c r="E1561" s="18" t="s">
        <v>83</v>
      </c>
      <c r="F1561" s="18" t="s">
        <v>79</v>
      </c>
      <c r="G1561" s="18" t="s">
        <v>80</v>
      </c>
      <c r="H1561" s="279">
        <v>172.0</v>
      </c>
      <c r="I1561" s="277">
        <v>183113.0</v>
      </c>
      <c r="J1561" s="277">
        <v>183141.0</v>
      </c>
      <c r="K1561" s="277">
        <v>28.0</v>
      </c>
      <c r="L1561" s="274"/>
      <c r="M1561" s="274"/>
      <c r="N1561" s="274"/>
      <c r="P1561" s="280">
        <v>46197.31219618056</v>
      </c>
    </row>
    <row r="1562" ht="15.0" customHeight="1">
      <c r="A1562" s="18" t="s">
        <v>12</v>
      </c>
      <c r="B1562" s="278">
        <v>46196.0</v>
      </c>
      <c r="D1562" s="18" t="s">
        <v>99</v>
      </c>
      <c r="E1562" s="18" t="s">
        <v>83</v>
      </c>
      <c r="F1562" s="18" t="s">
        <v>79</v>
      </c>
      <c r="G1562" s="18" t="s">
        <v>80</v>
      </c>
      <c r="H1562" s="279">
        <v>370.0</v>
      </c>
      <c r="I1562" s="277">
        <v>154468.0</v>
      </c>
      <c r="J1562" s="277">
        <v>155180.0</v>
      </c>
      <c r="K1562" s="277">
        <v>712.0</v>
      </c>
      <c r="L1562" s="274"/>
      <c r="M1562" s="274"/>
      <c r="N1562" s="274"/>
      <c r="P1562" s="280">
        <v>46197.31219618056</v>
      </c>
    </row>
    <row r="1563" ht="15.0" customHeight="1">
      <c r="A1563" s="18" t="s">
        <v>12</v>
      </c>
      <c r="B1563" s="278">
        <v>46196.0</v>
      </c>
      <c r="D1563" s="18" t="s">
        <v>138</v>
      </c>
      <c r="E1563" s="18" t="s">
        <v>83</v>
      </c>
      <c r="F1563" s="18" t="s">
        <v>79</v>
      </c>
      <c r="G1563" s="18" t="s">
        <v>80</v>
      </c>
      <c r="H1563" s="279">
        <v>220.0</v>
      </c>
      <c r="I1563" s="277">
        <v>105627.0</v>
      </c>
      <c r="J1563" s="277">
        <v>106188.0</v>
      </c>
      <c r="K1563" s="277">
        <v>561.0</v>
      </c>
      <c r="L1563" s="274"/>
      <c r="M1563" s="274"/>
      <c r="N1563" s="274"/>
      <c r="P1563" s="280">
        <v>46197.31219618056</v>
      </c>
    </row>
    <row r="1564" ht="15.0" customHeight="1">
      <c r="A1564" s="18" t="s">
        <v>12</v>
      </c>
      <c r="B1564" s="278">
        <v>46196.0</v>
      </c>
      <c r="D1564" s="18" t="s">
        <v>96</v>
      </c>
      <c r="E1564" s="18" t="s">
        <v>83</v>
      </c>
      <c r="F1564" s="18" t="s">
        <v>79</v>
      </c>
      <c r="G1564" s="18" t="s">
        <v>80</v>
      </c>
      <c r="H1564" s="279">
        <v>400.0</v>
      </c>
      <c r="I1564" s="277">
        <v>81166.0</v>
      </c>
      <c r="J1564" s="277">
        <v>82258.0</v>
      </c>
      <c r="K1564" s="277">
        <v>1092.0</v>
      </c>
      <c r="L1564" s="274"/>
      <c r="M1564" s="274"/>
      <c r="N1564" s="274"/>
      <c r="P1564" s="280">
        <v>46197.31219618056</v>
      </c>
    </row>
    <row r="1565" ht="15.0" customHeight="1">
      <c r="A1565" s="18" t="s">
        <v>12</v>
      </c>
      <c r="B1565" s="278">
        <v>46196.0</v>
      </c>
      <c r="D1565" s="18" t="s">
        <v>96</v>
      </c>
      <c r="E1565" s="18" t="s">
        <v>93</v>
      </c>
      <c r="F1565" s="18" t="s">
        <v>79</v>
      </c>
      <c r="G1565" s="18" t="s">
        <v>93</v>
      </c>
      <c r="H1565" s="279">
        <v>15.0</v>
      </c>
      <c r="I1565" s="274"/>
      <c r="J1565" s="274"/>
      <c r="K1565" s="274"/>
      <c r="L1565" s="274"/>
      <c r="M1565" s="274"/>
      <c r="N1565" s="274"/>
      <c r="O1565" s="18" t="s">
        <v>139</v>
      </c>
      <c r="P1565" s="280">
        <v>46197.31219618056</v>
      </c>
    </row>
    <row r="1566" ht="15.0" customHeight="1">
      <c r="A1566" s="18" t="s">
        <v>16</v>
      </c>
      <c r="B1566" s="278">
        <v>46196.0</v>
      </c>
      <c r="E1566" s="18" t="s">
        <v>141</v>
      </c>
      <c r="F1566" s="18" t="s">
        <v>142</v>
      </c>
      <c r="G1566" s="18" t="s">
        <v>80</v>
      </c>
      <c r="H1566" s="279">
        <v>22930.0</v>
      </c>
      <c r="I1566" s="274"/>
      <c r="J1566" s="274"/>
      <c r="K1566" s="274"/>
      <c r="L1566" s="277" t="s">
        <v>140</v>
      </c>
      <c r="M1566" s="277">
        <v>23830.0</v>
      </c>
      <c r="N1566" s="277">
        <v>5.464219E8</v>
      </c>
      <c r="O1566" s="18" t="s">
        <v>143</v>
      </c>
      <c r="P1566" s="280">
        <v>46197.315309224534</v>
      </c>
    </row>
    <row r="1567" ht="15.0" customHeight="1">
      <c r="A1567" s="18" t="s">
        <v>12</v>
      </c>
      <c r="B1567" s="278">
        <v>46197.0</v>
      </c>
      <c r="D1567" s="18" t="s">
        <v>101</v>
      </c>
      <c r="E1567" s="18" t="s">
        <v>83</v>
      </c>
      <c r="F1567" s="18" t="s">
        <v>79</v>
      </c>
      <c r="G1567" s="18" t="s">
        <v>80</v>
      </c>
      <c r="H1567" s="279">
        <v>230.0</v>
      </c>
      <c r="I1567" s="277">
        <v>118036.0</v>
      </c>
      <c r="J1567" s="277">
        <v>118501.0</v>
      </c>
      <c r="K1567" s="277">
        <v>465.0</v>
      </c>
      <c r="L1567" s="274"/>
      <c r="M1567" s="274"/>
      <c r="N1567" s="274"/>
      <c r="P1567" s="280">
        <v>46197.64902997685</v>
      </c>
    </row>
    <row r="1568" ht="15.0" customHeight="1">
      <c r="A1568" s="18" t="s">
        <v>12</v>
      </c>
      <c r="B1568" s="278">
        <v>46197.0</v>
      </c>
      <c r="D1568" s="18" t="s">
        <v>98</v>
      </c>
      <c r="E1568" s="18" t="s">
        <v>83</v>
      </c>
      <c r="F1568" s="18" t="s">
        <v>79</v>
      </c>
      <c r="G1568" s="18" t="s">
        <v>80</v>
      </c>
      <c r="H1568" s="279">
        <v>161.0</v>
      </c>
      <c r="I1568" s="277">
        <v>168604.0</v>
      </c>
      <c r="J1568" s="277">
        <v>168960.0</v>
      </c>
      <c r="K1568" s="277">
        <v>356.0</v>
      </c>
      <c r="L1568" s="274"/>
      <c r="M1568" s="274"/>
      <c r="N1568" s="274"/>
      <c r="P1568" s="280">
        <v>46197.64902997685</v>
      </c>
    </row>
    <row r="1569" ht="15.0" customHeight="1">
      <c r="A1569" s="18" t="s">
        <v>12</v>
      </c>
      <c r="B1569" s="278">
        <v>46197.0</v>
      </c>
      <c r="D1569" s="18" t="s">
        <v>113</v>
      </c>
      <c r="E1569" s="18" t="s">
        <v>83</v>
      </c>
      <c r="F1569" s="18" t="s">
        <v>79</v>
      </c>
      <c r="G1569" s="18" t="s">
        <v>80</v>
      </c>
      <c r="H1569" s="279">
        <v>208.0</v>
      </c>
      <c r="I1569" s="277">
        <v>173617.0</v>
      </c>
      <c r="J1569" s="277">
        <v>174042.0</v>
      </c>
      <c r="K1569" s="277">
        <v>425.0</v>
      </c>
      <c r="L1569" s="274"/>
      <c r="M1569" s="274"/>
      <c r="N1569" s="274"/>
      <c r="P1569" s="280">
        <v>46197.64902997685</v>
      </c>
    </row>
    <row r="1570" ht="15.0" customHeight="1">
      <c r="A1570" s="18" t="s">
        <v>12</v>
      </c>
      <c r="B1570" s="278">
        <v>46197.0</v>
      </c>
      <c r="D1570" s="18" t="s">
        <v>86</v>
      </c>
      <c r="E1570" s="18" t="s">
        <v>83</v>
      </c>
      <c r="F1570" s="18" t="s">
        <v>79</v>
      </c>
      <c r="G1570" s="18" t="s">
        <v>80</v>
      </c>
      <c r="H1570" s="279">
        <v>226.0</v>
      </c>
      <c r="I1570" s="277">
        <v>192346.0</v>
      </c>
      <c r="J1570" s="277">
        <v>192786.0</v>
      </c>
      <c r="K1570" s="277">
        <v>440.0</v>
      </c>
      <c r="L1570" s="274"/>
      <c r="M1570" s="274"/>
      <c r="N1570" s="274"/>
      <c r="P1570" s="280">
        <v>46197.64902997685</v>
      </c>
    </row>
    <row r="1571" ht="15.0" customHeight="1">
      <c r="A1571" s="18" t="s">
        <v>12</v>
      </c>
      <c r="B1571" s="278">
        <v>46197.0</v>
      </c>
      <c r="D1571" s="18" t="s">
        <v>102</v>
      </c>
      <c r="E1571" s="18" t="s">
        <v>83</v>
      </c>
      <c r="F1571" s="18" t="s">
        <v>79</v>
      </c>
      <c r="G1571" s="18" t="s">
        <v>80</v>
      </c>
      <c r="H1571" s="279">
        <v>237.0</v>
      </c>
      <c r="I1571" s="277">
        <v>255278.0</v>
      </c>
      <c r="J1571" s="277">
        <v>255810.0</v>
      </c>
      <c r="K1571" s="277">
        <v>532.0</v>
      </c>
      <c r="L1571" s="274"/>
      <c r="M1571" s="274"/>
      <c r="N1571" s="274"/>
      <c r="P1571" s="280">
        <v>46197.64902997685</v>
      </c>
    </row>
    <row r="1572" ht="15.0" customHeight="1">
      <c r="A1572" s="18" t="s">
        <v>12</v>
      </c>
      <c r="B1572" s="278">
        <v>46197.0</v>
      </c>
      <c r="D1572" s="18" t="s">
        <v>145</v>
      </c>
      <c r="E1572" s="18" t="s">
        <v>83</v>
      </c>
      <c r="F1572" s="18" t="s">
        <v>79</v>
      </c>
      <c r="G1572" s="18" t="s">
        <v>80</v>
      </c>
      <c r="H1572" s="279">
        <v>250.0</v>
      </c>
      <c r="I1572" s="277">
        <v>265087.0</v>
      </c>
      <c r="J1572" s="277">
        <v>265552.0</v>
      </c>
      <c r="K1572" s="277">
        <v>465.0</v>
      </c>
      <c r="L1572" s="274"/>
      <c r="M1572" s="274"/>
      <c r="N1572" s="274"/>
      <c r="P1572" s="280">
        <v>46197.64902997685</v>
      </c>
    </row>
    <row r="1573" ht="15.0" customHeight="1">
      <c r="A1573" s="18" t="s">
        <v>12</v>
      </c>
      <c r="B1573" s="278">
        <v>46197.0</v>
      </c>
      <c r="D1573" s="18" t="s">
        <v>103</v>
      </c>
      <c r="E1573" s="18" t="s">
        <v>83</v>
      </c>
      <c r="F1573" s="18" t="s">
        <v>79</v>
      </c>
      <c r="G1573" s="18" t="s">
        <v>80</v>
      </c>
      <c r="H1573" s="279">
        <v>164.0</v>
      </c>
      <c r="I1573" s="277">
        <v>4340.0</v>
      </c>
      <c r="J1573" s="277">
        <v>4355.0</v>
      </c>
      <c r="K1573" s="277">
        <v>15.0</v>
      </c>
      <c r="L1573" s="274"/>
      <c r="M1573" s="274"/>
      <c r="N1573" s="274"/>
      <c r="P1573" s="280">
        <v>46197.64902997685</v>
      </c>
    </row>
    <row r="1574" ht="15.0" customHeight="1">
      <c r="A1574" s="18" t="s">
        <v>12</v>
      </c>
      <c r="B1574" s="278">
        <v>46197.0</v>
      </c>
      <c r="D1574" s="18" t="s">
        <v>91</v>
      </c>
      <c r="E1574" s="18" t="s">
        <v>83</v>
      </c>
      <c r="F1574" s="18" t="s">
        <v>79</v>
      </c>
      <c r="G1574" s="18" t="s">
        <v>80</v>
      </c>
      <c r="H1574" s="279">
        <v>46.0</v>
      </c>
      <c r="I1574" s="277">
        <v>12735.0</v>
      </c>
      <c r="J1574" s="277">
        <v>13492.0</v>
      </c>
      <c r="K1574" s="277">
        <v>757.0</v>
      </c>
      <c r="L1574" s="274"/>
      <c r="M1574" s="274"/>
      <c r="N1574" s="274"/>
      <c r="P1574" s="280">
        <v>46197.64902997685</v>
      </c>
    </row>
    <row r="1575" ht="15.0" customHeight="1">
      <c r="A1575" s="18" t="s">
        <v>12</v>
      </c>
      <c r="B1575" s="278">
        <v>46197.0</v>
      </c>
      <c r="D1575" s="18" t="s">
        <v>105</v>
      </c>
      <c r="E1575" s="18" t="s">
        <v>83</v>
      </c>
      <c r="F1575" s="18" t="s">
        <v>79</v>
      </c>
      <c r="G1575" s="18" t="s">
        <v>80</v>
      </c>
      <c r="H1575" s="279">
        <v>235.0</v>
      </c>
      <c r="I1575" s="277">
        <v>2633.0</v>
      </c>
      <c r="J1575" s="277">
        <v>3203.0</v>
      </c>
      <c r="K1575" s="277">
        <v>570.0</v>
      </c>
      <c r="L1575" s="274"/>
      <c r="M1575" s="274"/>
      <c r="N1575" s="274"/>
      <c r="P1575" s="280">
        <v>46197.649029988424</v>
      </c>
    </row>
    <row r="1576" ht="15.0" customHeight="1">
      <c r="A1576" s="18" t="s">
        <v>12</v>
      </c>
      <c r="B1576" s="278">
        <v>46197.0</v>
      </c>
      <c r="D1576" s="18" t="s">
        <v>119</v>
      </c>
      <c r="E1576" s="18" t="s">
        <v>83</v>
      </c>
      <c r="F1576" s="18" t="s">
        <v>79</v>
      </c>
      <c r="G1576" s="18" t="s">
        <v>80</v>
      </c>
      <c r="H1576" s="279">
        <v>448.0</v>
      </c>
      <c r="I1576" s="277">
        <v>62390.0</v>
      </c>
      <c r="J1576" s="277">
        <v>63509.0</v>
      </c>
      <c r="K1576" s="277">
        <v>1119.0</v>
      </c>
      <c r="L1576" s="274"/>
      <c r="M1576" s="274"/>
      <c r="N1576" s="274"/>
      <c r="P1576" s="280">
        <v>46197.649029988424</v>
      </c>
    </row>
    <row r="1577" ht="15.0" customHeight="1">
      <c r="A1577" s="18" t="s">
        <v>12</v>
      </c>
      <c r="B1577" s="278">
        <v>46197.0</v>
      </c>
      <c r="D1577" s="18" t="s">
        <v>84</v>
      </c>
      <c r="E1577" s="18" t="s">
        <v>83</v>
      </c>
      <c r="F1577" s="18" t="s">
        <v>79</v>
      </c>
      <c r="G1577" s="18" t="s">
        <v>80</v>
      </c>
      <c r="H1577" s="279">
        <v>55.0</v>
      </c>
      <c r="I1577" s="274"/>
      <c r="J1577" s="274"/>
      <c r="K1577" s="274"/>
      <c r="L1577" s="274"/>
      <c r="M1577" s="274"/>
      <c r="N1577" s="274"/>
      <c r="O1577" s="18" t="s">
        <v>124</v>
      </c>
      <c r="P1577" s="280">
        <v>46197.649029988424</v>
      </c>
    </row>
    <row r="1578" ht="15.0" customHeight="1">
      <c r="A1578" s="18" t="s">
        <v>12</v>
      </c>
      <c r="B1578" s="278">
        <v>46197.0</v>
      </c>
      <c r="D1578" s="18" t="s">
        <v>146</v>
      </c>
      <c r="E1578" s="18" t="s">
        <v>83</v>
      </c>
      <c r="F1578" s="18" t="s">
        <v>79</v>
      </c>
      <c r="G1578" s="18" t="s">
        <v>80</v>
      </c>
      <c r="H1578" s="279">
        <v>20.0</v>
      </c>
      <c r="I1578" s="274"/>
      <c r="J1578" s="274"/>
      <c r="K1578" s="274"/>
      <c r="L1578" s="274"/>
      <c r="M1578" s="274"/>
      <c r="N1578" s="274"/>
      <c r="O1578" s="18" t="s">
        <v>147</v>
      </c>
      <c r="P1578" s="280">
        <v>46197.65961554398</v>
      </c>
    </row>
    <row r="1579" ht="15.0" customHeight="1">
      <c r="A1579" s="18" t="s">
        <v>12</v>
      </c>
      <c r="B1579" s="278">
        <v>46197.0</v>
      </c>
      <c r="D1579" s="18" t="s">
        <v>114</v>
      </c>
      <c r="E1579" s="18" t="s">
        <v>83</v>
      </c>
      <c r="F1579" s="18" t="s">
        <v>79</v>
      </c>
      <c r="G1579" s="18" t="s">
        <v>80</v>
      </c>
      <c r="H1579" s="279">
        <v>200.0</v>
      </c>
      <c r="I1579" s="277">
        <v>277275.0</v>
      </c>
      <c r="J1579" s="277">
        <v>277699.0</v>
      </c>
      <c r="K1579" s="277">
        <v>424.0</v>
      </c>
      <c r="L1579" s="274"/>
      <c r="M1579" s="274"/>
      <c r="N1579" s="274"/>
      <c r="P1579" s="280">
        <v>46198.4276420949</v>
      </c>
    </row>
    <row r="1580" ht="15.0" customHeight="1">
      <c r="A1580" s="18" t="s">
        <v>12</v>
      </c>
      <c r="B1580" s="278">
        <v>46197.0</v>
      </c>
      <c r="D1580" s="18" t="s">
        <v>100</v>
      </c>
      <c r="E1580" s="18" t="s">
        <v>83</v>
      </c>
      <c r="F1580" s="18" t="s">
        <v>79</v>
      </c>
      <c r="G1580" s="18" t="s">
        <v>80</v>
      </c>
      <c r="H1580" s="279">
        <v>355.0</v>
      </c>
      <c r="I1580" s="277">
        <v>409248.0</v>
      </c>
      <c r="J1580" s="277">
        <v>409982.0</v>
      </c>
      <c r="K1580" s="277">
        <v>734.0</v>
      </c>
      <c r="L1580" s="274"/>
      <c r="M1580" s="274"/>
      <c r="N1580" s="274"/>
      <c r="P1580" s="280">
        <v>46198.4276420949</v>
      </c>
    </row>
    <row r="1581" ht="15.0" customHeight="1">
      <c r="A1581" s="18" t="s">
        <v>12</v>
      </c>
      <c r="B1581" s="278">
        <v>46198.0</v>
      </c>
      <c r="D1581" s="18" t="s">
        <v>112</v>
      </c>
      <c r="E1581" s="18" t="s">
        <v>83</v>
      </c>
      <c r="F1581" s="18" t="s">
        <v>79</v>
      </c>
      <c r="G1581" s="18" t="s">
        <v>80</v>
      </c>
      <c r="H1581" s="279">
        <v>248.0</v>
      </c>
      <c r="I1581" s="277">
        <v>100470.0</v>
      </c>
      <c r="J1581" s="277">
        <v>101064.0</v>
      </c>
      <c r="K1581" s="277">
        <v>594.0</v>
      </c>
      <c r="L1581" s="274"/>
      <c r="M1581" s="274"/>
      <c r="N1581" s="274"/>
      <c r="P1581" s="280">
        <v>46198.43165435185</v>
      </c>
    </row>
    <row r="1582" ht="15.0" customHeight="1">
      <c r="A1582" s="18" t="s">
        <v>12</v>
      </c>
      <c r="B1582" s="278">
        <v>46198.0</v>
      </c>
      <c r="D1582" s="18" t="s">
        <v>148</v>
      </c>
      <c r="E1582" s="18" t="s">
        <v>83</v>
      </c>
      <c r="F1582" s="18" t="s">
        <v>79</v>
      </c>
      <c r="G1582" s="18" t="s">
        <v>80</v>
      </c>
      <c r="H1582" s="279">
        <v>305.0</v>
      </c>
      <c r="I1582" s="277">
        <v>5415.0</v>
      </c>
      <c r="J1582" s="277">
        <v>5954.0</v>
      </c>
      <c r="K1582" s="277">
        <v>539.0</v>
      </c>
      <c r="L1582" s="274"/>
      <c r="M1582" s="274"/>
      <c r="N1582" s="274"/>
      <c r="P1582" s="280">
        <v>46198.43165435185</v>
      </c>
    </row>
    <row r="1583" ht="15.0" customHeight="1">
      <c r="A1583" s="18" t="s">
        <v>12</v>
      </c>
      <c r="B1583" s="278">
        <v>46198.0</v>
      </c>
      <c r="D1583" s="18" t="s">
        <v>116</v>
      </c>
      <c r="E1583" s="18" t="s">
        <v>83</v>
      </c>
      <c r="F1583" s="18" t="s">
        <v>79</v>
      </c>
      <c r="G1583" s="18" t="s">
        <v>80</v>
      </c>
      <c r="H1583" s="279">
        <v>335.0</v>
      </c>
      <c r="I1583" s="277">
        <v>82028.0</v>
      </c>
      <c r="J1583" s="277">
        <v>82757.0</v>
      </c>
      <c r="K1583" s="277">
        <v>729.0</v>
      </c>
      <c r="L1583" s="274"/>
      <c r="M1583" s="274"/>
      <c r="N1583" s="274"/>
      <c r="P1583" s="280">
        <v>46198.43165435185</v>
      </c>
    </row>
    <row r="1584" ht="15.0" customHeight="1">
      <c r="A1584" s="18" t="s">
        <v>12</v>
      </c>
      <c r="B1584" s="278">
        <v>46198.0</v>
      </c>
      <c r="D1584" s="18" t="s">
        <v>118</v>
      </c>
      <c r="E1584" s="18" t="s">
        <v>83</v>
      </c>
      <c r="F1584" s="18" t="s">
        <v>79</v>
      </c>
      <c r="G1584" s="18" t="s">
        <v>80</v>
      </c>
      <c r="H1584" s="279">
        <v>423.0</v>
      </c>
      <c r="I1584" s="277">
        <v>153859.0</v>
      </c>
      <c r="J1584" s="277">
        <v>154829.0</v>
      </c>
      <c r="K1584" s="277">
        <v>970.0</v>
      </c>
      <c r="L1584" s="274"/>
      <c r="M1584" s="274"/>
      <c r="N1584" s="274"/>
      <c r="P1584" s="280">
        <v>46198.43165435185</v>
      </c>
    </row>
    <row r="1585" ht="15.0" customHeight="1">
      <c r="A1585" s="18" t="s">
        <v>12</v>
      </c>
      <c r="B1585" s="278">
        <v>46198.0</v>
      </c>
      <c r="D1585" s="18" t="s">
        <v>123</v>
      </c>
      <c r="E1585" s="18" t="s">
        <v>149</v>
      </c>
      <c r="F1585" s="18" t="s">
        <v>150</v>
      </c>
      <c r="G1585" s="18" t="s">
        <v>80</v>
      </c>
      <c r="H1585" s="279">
        <v>100.0</v>
      </c>
      <c r="I1585" s="277">
        <v>202829.0</v>
      </c>
      <c r="J1585" s="277">
        <v>203721.0</v>
      </c>
      <c r="K1585" s="277">
        <v>892.0</v>
      </c>
      <c r="L1585" s="274"/>
      <c r="M1585" s="274"/>
      <c r="N1585" s="274"/>
      <c r="P1585" s="280">
        <v>46199.21128861111</v>
      </c>
    </row>
    <row r="1586" ht="15.0" customHeight="1">
      <c r="A1586" s="18" t="s">
        <v>12</v>
      </c>
      <c r="B1586" s="278">
        <v>46198.0</v>
      </c>
      <c r="D1586" s="18" t="s">
        <v>97</v>
      </c>
      <c r="E1586" s="18" t="s">
        <v>83</v>
      </c>
      <c r="F1586" s="18" t="s">
        <v>79</v>
      </c>
      <c r="G1586" s="18" t="s">
        <v>80</v>
      </c>
      <c r="H1586" s="279">
        <v>203.0</v>
      </c>
      <c r="I1586" s="277">
        <v>183141.0</v>
      </c>
      <c r="J1586" s="277">
        <v>183447.0</v>
      </c>
      <c r="K1586" s="277">
        <v>306.0</v>
      </c>
      <c r="L1586" s="274"/>
      <c r="M1586" s="274"/>
      <c r="N1586" s="274"/>
      <c r="P1586" s="280">
        <v>46199.2441621412</v>
      </c>
    </row>
    <row r="1587" ht="15.0" customHeight="1">
      <c r="A1587" s="18" t="s">
        <v>12</v>
      </c>
      <c r="B1587" s="278">
        <v>46198.0</v>
      </c>
      <c r="D1587" s="18" t="s">
        <v>98</v>
      </c>
      <c r="E1587" s="18" t="s">
        <v>83</v>
      </c>
      <c r="F1587" s="18" t="s">
        <v>79</v>
      </c>
      <c r="G1587" s="18" t="s">
        <v>80</v>
      </c>
      <c r="H1587" s="279">
        <v>143.0</v>
      </c>
      <c r="I1587" s="277">
        <v>168960.0</v>
      </c>
      <c r="J1587" s="277">
        <v>169311.0</v>
      </c>
      <c r="K1587" s="277">
        <v>351.0</v>
      </c>
      <c r="L1587" s="274"/>
      <c r="M1587" s="274"/>
      <c r="N1587" s="274"/>
      <c r="P1587" s="280">
        <v>46199.2441621412</v>
      </c>
    </row>
    <row r="1588" ht="15.0" customHeight="1">
      <c r="A1588" s="18" t="s">
        <v>12</v>
      </c>
      <c r="B1588" s="278">
        <v>46198.0</v>
      </c>
      <c r="D1588" s="18" t="s">
        <v>86</v>
      </c>
      <c r="E1588" s="18" t="s">
        <v>83</v>
      </c>
      <c r="F1588" s="18" t="s">
        <v>79</v>
      </c>
      <c r="G1588" s="18" t="s">
        <v>80</v>
      </c>
      <c r="H1588" s="279">
        <v>226.0</v>
      </c>
      <c r="I1588" s="277">
        <v>192786.0</v>
      </c>
      <c r="J1588" s="277">
        <v>193309.0</v>
      </c>
      <c r="K1588" s="277">
        <v>523.0</v>
      </c>
      <c r="L1588" s="274"/>
      <c r="M1588" s="274"/>
      <c r="N1588" s="274"/>
      <c r="P1588" s="280">
        <v>46199.2441621412</v>
      </c>
    </row>
    <row r="1589" ht="15.0" customHeight="1">
      <c r="A1589" s="18" t="s">
        <v>12</v>
      </c>
      <c r="B1589" s="278">
        <v>46198.0</v>
      </c>
      <c r="D1589" s="18" t="s">
        <v>89</v>
      </c>
      <c r="E1589" s="18" t="s">
        <v>83</v>
      </c>
      <c r="F1589" s="18" t="s">
        <v>79</v>
      </c>
      <c r="G1589" s="18" t="s">
        <v>80</v>
      </c>
      <c r="H1589" s="279">
        <v>54.0</v>
      </c>
      <c r="I1589" s="274"/>
      <c r="J1589" s="274"/>
      <c r="K1589" s="274"/>
      <c r="L1589" s="274"/>
      <c r="M1589" s="274"/>
      <c r="N1589" s="274"/>
      <c r="O1589" s="18" t="s">
        <v>85</v>
      </c>
      <c r="P1589" s="280">
        <v>46199.2441621412</v>
      </c>
    </row>
    <row r="1590" ht="15.0" customHeight="1">
      <c r="A1590" s="18" t="s">
        <v>12</v>
      </c>
      <c r="B1590" s="278">
        <v>46198.0</v>
      </c>
      <c r="D1590" s="18" t="s">
        <v>123</v>
      </c>
      <c r="E1590" s="18" t="s">
        <v>83</v>
      </c>
      <c r="F1590" s="18" t="s">
        <v>79</v>
      </c>
      <c r="G1590" s="18" t="s">
        <v>80</v>
      </c>
      <c r="H1590" s="279">
        <v>434.0</v>
      </c>
      <c r="I1590" s="277">
        <v>203721.0</v>
      </c>
      <c r="J1590" s="277">
        <v>203880.0</v>
      </c>
      <c r="K1590" s="277">
        <v>159.0</v>
      </c>
      <c r="L1590" s="274"/>
      <c r="M1590" s="274"/>
      <c r="N1590" s="274"/>
      <c r="P1590" s="280">
        <v>46199.2441621412</v>
      </c>
    </row>
    <row r="1591" ht="15.0" customHeight="1">
      <c r="A1591" s="18" t="s">
        <v>12</v>
      </c>
      <c r="B1591" s="278">
        <v>46199.0</v>
      </c>
      <c r="D1591" s="18" t="s">
        <v>82</v>
      </c>
      <c r="E1591" s="18" t="s">
        <v>83</v>
      </c>
      <c r="F1591" s="18" t="s">
        <v>79</v>
      </c>
      <c r="G1591" s="18" t="s">
        <v>80</v>
      </c>
      <c r="H1591" s="279">
        <v>390.0</v>
      </c>
      <c r="I1591" s="277">
        <v>98427.0</v>
      </c>
      <c r="J1591" s="277">
        <v>99391.0</v>
      </c>
      <c r="K1591" s="277">
        <v>964.0</v>
      </c>
      <c r="L1591" s="274"/>
      <c r="M1591" s="274"/>
      <c r="N1591" s="274"/>
      <c r="P1591" s="280">
        <v>46199.244973356486</v>
      </c>
    </row>
    <row r="1592" ht="15.0" customHeight="1">
      <c r="A1592" s="18" t="s">
        <v>12</v>
      </c>
      <c r="B1592" s="278">
        <v>46199.0</v>
      </c>
      <c r="D1592" s="18" t="s">
        <v>138</v>
      </c>
      <c r="E1592" s="18" t="s">
        <v>83</v>
      </c>
      <c r="F1592" s="18" t="s">
        <v>79</v>
      </c>
      <c r="G1592" s="18" t="s">
        <v>80</v>
      </c>
      <c r="H1592" s="279">
        <v>240.0</v>
      </c>
      <c r="I1592" s="277">
        <v>106188.0</v>
      </c>
      <c r="J1592" s="277">
        <v>106660.0</v>
      </c>
      <c r="K1592" s="277">
        <v>472.0</v>
      </c>
      <c r="L1592" s="274"/>
      <c r="M1592" s="274"/>
      <c r="N1592" s="274"/>
      <c r="P1592" s="280">
        <v>46199.69096391204</v>
      </c>
    </row>
    <row r="1593" ht="15.0" customHeight="1">
      <c r="A1593" s="18" t="s">
        <v>12</v>
      </c>
      <c r="B1593" s="278">
        <v>46199.0</v>
      </c>
      <c r="D1593" s="18" t="s">
        <v>145</v>
      </c>
      <c r="E1593" s="18" t="s">
        <v>83</v>
      </c>
      <c r="F1593" s="18" t="s">
        <v>79</v>
      </c>
      <c r="G1593" s="18" t="s">
        <v>80</v>
      </c>
      <c r="H1593" s="279">
        <v>215.0</v>
      </c>
      <c r="I1593" s="277">
        <v>265552.0</v>
      </c>
      <c r="J1593" s="277">
        <v>266028.0</v>
      </c>
      <c r="K1593" s="277">
        <v>476.0</v>
      </c>
      <c r="L1593" s="274"/>
      <c r="M1593" s="274"/>
      <c r="N1593" s="274"/>
      <c r="P1593" s="280">
        <v>46199.69096391204</v>
      </c>
    </row>
    <row r="1594" ht="15.0" customHeight="1">
      <c r="A1594" s="18" t="s">
        <v>12</v>
      </c>
      <c r="B1594" s="278">
        <v>46199.0</v>
      </c>
      <c r="D1594" s="18" t="s">
        <v>136</v>
      </c>
      <c r="E1594" s="18" t="s">
        <v>83</v>
      </c>
      <c r="F1594" s="18" t="s">
        <v>79</v>
      </c>
      <c r="G1594" s="18" t="s">
        <v>80</v>
      </c>
      <c r="H1594" s="279">
        <v>50.0</v>
      </c>
      <c r="I1594" s="277">
        <v>321012.0</v>
      </c>
      <c r="J1594" s="277">
        <v>321689.0</v>
      </c>
      <c r="K1594" s="277">
        <v>677.0</v>
      </c>
      <c r="L1594" s="274"/>
      <c r="M1594" s="274"/>
      <c r="N1594" s="274"/>
      <c r="P1594" s="280">
        <v>46199.69096391204</v>
      </c>
    </row>
    <row r="1595" ht="15.0" customHeight="1">
      <c r="A1595" s="18" t="s">
        <v>12</v>
      </c>
      <c r="B1595" s="278">
        <v>46199.0</v>
      </c>
      <c r="D1595" s="18" t="s">
        <v>84</v>
      </c>
      <c r="E1595" s="18" t="s">
        <v>83</v>
      </c>
      <c r="F1595" s="18" t="s">
        <v>79</v>
      </c>
      <c r="G1595" s="18" t="s">
        <v>80</v>
      </c>
      <c r="H1595" s="279">
        <v>356.0</v>
      </c>
      <c r="I1595" s="277">
        <v>48609.0</v>
      </c>
      <c r="J1595" s="277">
        <v>49224.0</v>
      </c>
      <c r="K1595" s="277">
        <v>615.0</v>
      </c>
      <c r="L1595" s="274"/>
      <c r="M1595" s="274"/>
      <c r="N1595" s="274"/>
      <c r="P1595" s="280">
        <v>46199.69096391204</v>
      </c>
    </row>
    <row r="1596" ht="15.0" customHeight="1">
      <c r="A1596" s="18" t="s">
        <v>12</v>
      </c>
      <c r="B1596" s="278">
        <v>46199.0</v>
      </c>
      <c r="D1596" s="18" t="s">
        <v>88</v>
      </c>
      <c r="E1596" s="18" t="s">
        <v>83</v>
      </c>
      <c r="F1596" s="18" t="s">
        <v>79</v>
      </c>
      <c r="G1596" s="18" t="s">
        <v>80</v>
      </c>
      <c r="H1596" s="279">
        <v>498.0</v>
      </c>
      <c r="I1596" s="277">
        <v>246656.0</v>
      </c>
      <c r="J1596" s="277">
        <v>247721.0</v>
      </c>
      <c r="K1596" s="277">
        <v>1065.0</v>
      </c>
      <c r="L1596" s="274"/>
      <c r="M1596" s="274"/>
      <c r="N1596" s="274"/>
      <c r="P1596" s="280">
        <v>46199.69096391204</v>
      </c>
    </row>
    <row r="1597" ht="15.0" customHeight="1">
      <c r="A1597" s="18" t="s">
        <v>12</v>
      </c>
      <c r="B1597" s="278">
        <v>46199.0</v>
      </c>
      <c r="D1597" s="18" t="s">
        <v>126</v>
      </c>
      <c r="E1597" s="18" t="s">
        <v>83</v>
      </c>
      <c r="F1597" s="18" t="s">
        <v>79</v>
      </c>
      <c r="G1597" s="18" t="s">
        <v>80</v>
      </c>
      <c r="H1597" s="279">
        <v>159.0</v>
      </c>
      <c r="I1597" s="277">
        <v>587794.0</v>
      </c>
      <c r="J1597" s="277">
        <v>588140.0</v>
      </c>
      <c r="K1597" s="277">
        <v>346.0</v>
      </c>
      <c r="L1597" s="274"/>
      <c r="M1597" s="274"/>
      <c r="N1597" s="274"/>
      <c r="P1597" s="280">
        <v>46199.69096391204</v>
      </c>
    </row>
    <row r="1598" ht="15.0" customHeight="1">
      <c r="A1598" s="18" t="s">
        <v>12</v>
      </c>
      <c r="B1598" s="278">
        <v>46199.0</v>
      </c>
      <c r="D1598" s="18" t="s">
        <v>130</v>
      </c>
      <c r="E1598" s="18" t="s">
        <v>83</v>
      </c>
      <c r="F1598" s="18" t="s">
        <v>79</v>
      </c>
      <c r="G1598" s="18" t="s">
        <v>80</v>
      </c>
      <c r="H1598" s="279">
        <v>155.0</v>
      </c>
      <c r="I1598" s="274"/>
      <c r="J1598" s="274"/>
      <c r="K1598" s="274"/>
      <c r="L1598" s="274"/>
      <c r="M1598" s="274"/>
      <c r="N1598" s="274"/>
      <c r="O1598" s="18" t="s">
        <v>151</v>
      </c>
      <c r="P1598" s="280">
        <v>46199.69096391204</v>
      </c>
    </row>
    <row r="1599" ht="15.0" customHeight="1">
      <c r="A1599" s="18" t="s">
        <v>12</v>
      </c>
      <c r="B1599" s="278">
        <v>46199.0</v>
      </c>
      <c r="D1599" s="18" t="s">
        <v>126</v>
      </c>
      <c r="E1599" s="18" t="s">
        <v>141</v>
      </c>
      <c r="F1599" s="18" t="s">
        <v>79</v>
      </c>
      <c r="G1599" s="18" t="s">
        <v>80</v>
      </c>
      <c r="H1599" s="279">
        <v>48.0</v>
      </c>
      <c r="I1599" s="277"/>
      <c r="J1599" s="277"/>
      <c r="K1599" s="277"/>
      <c r="L1599" s="274"/>
      <c r="M1599" s="274"/>
      <c r="N1599" s="274"/>
      <c r="P1599" s="280">
        <v>46199.69841123842</v>
      </c>
    </row>
    <row r="1600" ht="15.0" customHeight="1">
      <c r="A1600" s="18" t="s">
        <v>12</v>
      </c>
      <c r="B1600" s="278">
        <v>46199.0</v>
      </c>
      <c r="D1600" s="18" t="s">
        <v>101</v>
      </c>
      <c r="E1600" s="18" t="s">
        <v>141</v>
      </c>
      <c r="F1600" s="18" t="s">
        <v>79</v>
      </c>
      <c r="G1600" s="18" t="s">
        <v>80</v>
      </c>
      <c r="H1600" s="279">
        <v>235.0</v>
      </c>
      <c r="I1600" s="277">
        <v>118501.0</v>
      </c>
      <c r="J1600" s="277">
        <v>119035.0</v>
      </c>
      <c r="K1600" s="277">
        <v>534.0</v>
      </c>
      <c r="L1600" s="274"/>
      <c r="M1600" s="274"/>
      <c r="N1600" s="274"/>
      <c r="P1600" s="280">
        <v>46199.69841123842</v>
      </c>
    </row>
    <row r="1601" ht="15.0" customHeight="1">
      <c r="A1601" s="18" t="s">
        <v>12</v>
      </c>
      <c r="B1601" s="278">
        <v>46199.0</v>
      </c>
      <c r="D1601" s="18" t="s">
        <v>113</v>
      </c>
      <c r="E1601" s="18" t="s">
        <v>141</v>
      </c>
      <c r="F1601" s="18" t="s">
        <v>79</v>
      </c>
      <c r="G1601" s="18" t="s">
        <v>80</v>
      </c>
      <c r="H1601" s="279">
        <v>200.0</v>
      </c>
      <c r="I1601" s="277">
        <v>174042.0</v>
      </c>
      <c r="J1601" s="277">
        <v>174516.0</v>
      </c>
      <c r="K1601" s="277">
        <v>474.0</v>
      </c>
      <c r="L1601" s="274"/>
      <c r="M1601" s="274"/>
      <c r="N1601" s="274"/>
      <c r="P1601" s="280">
        <v>46199.69841123842</v>
      </c>
    </row>
    <row r="1602" ht="15.0" customHeight="1">
      <c r="A1602" s="18" t="s">
        <v>12</v>
      </c>
      <c r="B1602" s="278">
        <v>46199.0</v>
      </c>
      <c r="D1602" s="18" t="s">
        <v>114</v>
      </c>
      <c r="E1602" s="18" t="s">
        <v>141</v>
      </c>
      <c r="F1602" s="18" t="s">
        <v>79</v>
      </c>
      <c r="G1602" s="18" t="s">
        <v>80</v>
      </c>
      <c r="H1602" s="279">
        <v>205.0</v>
      </c>
      <c r="I1602" s="277">
        <v>277699.0</v>
      </c>
      <c r="J1602" s="277">
        <v>278171.0</v>
      </c>
      <c r="K1602" s="277">
        <v>472.0</v>
      </c>
      <c r="L1602" s="274"/>
      <c r="M1602" s="274"/>
      <c r="N1602" s="274"/>
      <c r="P1602" s="280">
        <v>46199.69841123842</v>
      </c>
    </row>
    <row r="1603" ht="15.0" customHeight="1">
      <c r="A1603" s="18" t="s">
        <v>12</v>
      </c>
      <c r="B1603" s="278">
        <v>46199.0</v>
      </c>
      <c r="D1603" s="18" t="s">
        <v>103</v>
      </c>
      <c r="E1603" s="18" t="s">
        <v>141</v>
      </c>
      <c r="F1603" s="18" t="s">
        <v>79</v>
      </c>
      <c r="G1603" s="18" t="s">
        <v>80</v>
      </c>
      <c r="H1603" s="279">
        <v>167.0</v>
      </c>
      <c r="I1603" s="277">
        <v>4355.0</v>
      </c>
      <c r="J1603" s="277">
        <v>4371.0</v>
      </c>
      <c r="K1603" s="277">
        <v>16.0</v>
      </c>
      <c r="L1603" s="274"/>
      <c r="M1603" s="274"/>
      <c r="N1603" s="274"/>
      <c r="P1603" s="280">
        <v>46199.69841123842</v>
      </c>
    </row>
    <row r="1604" ht="15.0" customHeight="1">
      <c r="A1604" s="18" t="s">
        <v>12</v>
      </c>
      <c r="B1604" s="278">
        <v>46199.0</v>
      </c>
      <c r="D1604" s="18" t="s">
        <v>115</v>
      </c>
      <c r="E1604" s="18" t="s">
        <v>141</v>
      </c>
      <c r="F1604" s="18" t="s">
        <v>79</v>
      </c>
      <c r="G1604" s="18" t="s">
        <v>80</v>
      </c>
      <c r="H1604" s="279">
        <v>410.0</v>
      </c>
      <c r="I1604" s="277">
        <v>18263.0</v>
      </c>
      <c r="J1604" s="277">
        <v>19397.0</v>
      </c>
      <c r="K1604" s="277">
        <v>1134.0</v>
      </c>
      <c r="L1604" s="274"/>
      <c r="M1604" s="274"/>
      <c r="N1604" s="274"/>
      <c r="P1604" s="280">
        <v>46199.69841123842</v>
      </c>
    </row>
    <row r="1605" ht="15.0" customHeight="1">
      <c r="A1605" s="18" t="s">
        <v>12</v>
      </c>
      <c r="B1605" s="278">
        <v>46199.0</v>
      </c>
      <c r="D1605" s="18" t="s">
        <v>122</v>
      </c>
      <c r="E1605" s="18" t="s">
        <v>141</v>
      </c>
      <c r="F1605" s="18" t="s">
        <v>79</v>
      </c>
      <c r="G1605" s="18" t="s">
        <v>80</v>
      </c>
      <c r="H1605" s="279">
        <v>236.0</v>
      </c>
      <c r="I1605" s="277">
        <v>7481.0</v>
      </c>
      <c r="J1605" s="277">
        <v>7985.0</v>
      </c>
      <c r="K1605" s="277">
        <v>504.0</v>
      </c>
      <c r="L1605" s="274"/>
      <c r="M1605" s="274"/>
      <c r="N1605" s="274"/>
      <c r="P1605" s="280">
        <v>46199.69841123842</v>
      </c>
    </row>
    <row r="1606" ht="15.0" customHeight="1">
      <c r="A1606" s="18" t="s">
        <v>12</v>
      </c>
      <c r="B1606" s="278">
        <v>46199.0</v>
      </c>
      <c r="D1606" s="18" t="s">
        <v>96</v>
      </c>
      <c r="E1606" s="18" t="s">
        <v>141</v>
      </c>
      <c r="F1606" s="18" t="s">
        <v>79</v>
      </c>
      <c r="G1606" s="18" t="s">
        <v>80</v>
      </c>
      <c r="H1606" s="279">
        <v>372.0</v>
      </c>
      <c r="I1606" s="277">
        <v>82258.0</v>
      </c>
      <c r="J1606" s="277">
        <v>83160.0</v>
      </c>
      <c r="K1606" s="277">
        <v>902.0</v>
      </c>
      <c r="L1606" s="274"/>
      <c r="M1606" s="274"/>
      <c r="N1606" s="274"/>
      <c r="P1606" s="280">
        <v>46199.69841123842</v>
      </c>
    </row>
    <row r="1607" ht="15.0" customHeight="1">
      <c r="A1607" s="18" t="s">
        <v>12</v>
      </c>
      <c r="B1607" s="278">
        <v>46199.0</v>
      </c>
      <c r="D1607" s="18" t="s">
        <v>105</v>
      </c>
      <c r="E1607" s="18" t="s">
        <v>141</v>
      </c>
      <c r="F1607" s="18" t="s">
        <v>79</v>
      </c>
      <c r="G1607" s="18" t="s">
        <v>80</v>
      </c>
      <c r="H1607" s="279">
        <v>230.0</v>
      </c>
      <c r="I1607" s="277">
        <v>3203.0</v>
      </c>
      <c r="J1607" s="277">
        <v>3852.0</v>
      </c>
      <c r="K1607" s="277">
        <v>649.0</v>
      </c>
      <c r="L1607" s="274"/>
      <c r="M1607" s="274"/>
      <c r="N1607" s="274"/>
      <c r="P1607" s="280">
        <v>46199.69841123842</v>
      </c>
    </row>
    <row r="1608" ht="15.0" customHeight="1">
      <c r="A1608" s="18" t="s">
        <v>12</v>
      </c>
      <c r="B1608" s="278">
        <v>46200.0</v>
      </c>
      <c r="D1608" s="18" t="s">
        <v>98</v>
      </c>
      <c r="E1608" s="18" t="s">
        <v>141</v>
      </c>
      <c r="F1608" s="18" t="s">
        <v>79</v>
      </c>
      <c r="G1608" s="18" t="s">
        <v>80</v>
      </c>
      <c r="H1608" s="279">
        <v>169.0</v>
      </c>
      <c r="I1608" s="277">
        <v>169311.0</v>
      </c>
      <c r="J1608" s="277">
        <v>169715.0</v>
      </c>
      <c r="K1608" s="277">
        <v>404.0</v>
      </c>
      <c r="L1608" s="274"/>
      <c r="M1608" s="274"/>
      <c r="N1608" s="274"/>
      <c r="P1608" s="280">
        <v>46200.663159930555</v>
      </c>
    </row>
    <row r="1609" ht="15.0" customHeight="1">
      <c r="A1609" s="18" t="s">
        <v>12</v>
      </c>
      <c r="B1609" s="278">
        <v>46200.0</v>
      </c>
      <c r="D1609" s="18" t="s">
        <v>87</v>
      </c>
      <c r="E1609" s="18" t="s">
        <v>141</v>
      </c>
      <c r="F1609" s="18" t="s">
        <v>79</v>
      </c>
      <c r="G1609" s="18" t="s">
        <v>80</v>
      </c>
      <c r="H1609" s="279">
        <v>220.0</v>
      </c>
      <c r="I1609" s="277">
        <v>265572.0</v>
      </c>
      <c r="J1609" s="277">
        <v>266027.0</v>
      </c>
      <c r="K1609" s="277">
        <v>455.0</v>
      </c>
      <c r="L1609" s="274"/>
      <c r="M1609" s="274"/>
      <c r="N1609" s="274"/>
      <c r="P1609" s="280">
        <v>46200.663159930555</v>
      </c>
    </row>
    <row r="1610" ht="15.0" customHeight="1">
      <c r="A1610" s="18" t="s">
        <v>12</v>
      </c>
      <c r="B1610" s="278">
        <v>46200.0</v>
      </c>
      <c r="D1610" s="18" t="s">
        <v>102</v>
      </c>
      <c r="E1610" s="18" t="s">
        <v>141</v>
      </c>
      <c r="F1610" s="18" t="s">
        <v>79</v>
      </c>
      <c r="G1610" s="18" t="s">
        <v>80</v>
      </c>
      <c r="H1610" s="279">
        <v>230.0</v>
      </c>
      <c r="I1610" s="277">
        <v>255810.0</v>
      </c>
      <c r="J1610" s="277">
        <v>256364.0</v>
      </c>
      <c r="K1610" s="277">
        <v>554.0</v>
      </c>
      <c r="L1610" s="274"/>
      <c r="M1610" s="274"/>
      <c r="N1610" s="274"/>
      <c r="P1610" s="280">
        <v>46200.663159930555</v>
      </c>
    </row>
    <row r="1611" ht="15.0" customHeight="1">
      <c r="A1611" s="18" t="s">
        <v>12</v>
      </c>
      <c r="B1611" s="278">
        <v>46200.0</v>
      </c>
      <c r="D1611" s="18" t="s">
        <v>89</v>
      </c>
      <c r="E1611" s="18" t="s">
        <v>141</v>
      </c>
      <c r="F1611" s="18" t="s">
        <v>79</v>
      </c>
      <c r="G1611" s="18" t="s">
        <v>80</v>
      </c>
      <c r="H1611" s="279">
        <v>525.0</v>
      </c>
      <c r="I1611" s="277">
        <v>8378.0</v>
      </c>
      <c r="J1611" s="277">
        <v>9639.0</v>
      </c>
      <c r="K1611" s="277">
        <v>1261.0</v>
      </c>
      <c r="L1611" s="274"/>
      <c r="M1611" s="274"/>
      <c r="N1611" s="274"/>
      <c r="P1611" s="280">
        <v>46200.663159930555</v>
      </c>
    </row>
    <row r="1612" ht="15.0" customHeight="1">
      <c r="A1612" s="18" t="s">
        <v>12</v>
      </c>
      <c r="B1612" s="278">
        <v>46200.0</v>
      </c>
      <c r="D1612" s="18" t="s">
        <v>119</v>
      </c>
      <c r="E1612" s="18" t="s">
        <v>141</v>
      </c>
      <c r="F1612" s="18" t="s">
        <v>79</v>
      </c>
      <c r="G1612" s="18" t="s">
        <v>80</v>
      </c>
      <c r="H1612" s="279">
        <v>440.0</v>
      </c>
      <c r="I1612" s="277">
        <v>63509.0</v>
      </c>
      <c r="J1612" s="277">
        <v>64637.0</v>
      </c>
      <c r="K1612" s="277">
        <v>1128.0</v>
      </c>
      <c r="L1612" s="274"/>
      <c r="M1612" s="274"/>
      <c r="N1612" s="274"/>
      <c r="P1612" s="280">
        <v>46200.663159930555</v>
      </c>
    </row>
    <row r="1613" ht="15.0" customHeight="1">
      <c r="A1613" s="18" t="s">
        <v>12</v>
      </c>
      <c r="B1613" s="278">
        <v>46200.0</v>
      </c>
      <c r="D1613" s="18" t="s">
        <v>129</v>
      </c>
      <c r="E1613" s="18" t="s">
        <v>141</v>
      </c>
      <c r="F1613" s="18" t="s">
        <v>79</v>
      </c>
      <c r="G1613" s="18" t="s">
        <v>80</v>
      </c>
      <c r="H1613" s="279">
        <v>220.0</v>
      </c>
      <c r="I1613" s="277">
        <v>7510.0</v>
      </c>
      <c r="J1613" s="277">
        <v>7971.0</v>
      </c>
      <c r="K1613" s="277">
        <v>461.0</v>
      </c>
      <c r="L1613" s="274"/>
      <c r="M1613" s="274"/>
      <c r="N1613" s="274"/>
      <c r="P1613" s="280">
        <v>46200.67852256945</v>
      </c>
    </row>
    <row r="1614" ht="15.0" customHeight="1">
      <c r="A1614" s="18" t="s">
        <v>12</v>
      </c>
      <c r="B1614" s="278">
        <v>46200.0</v>
      </c>
      <c r="D1614" s="18" t="s">
        <v>77</v>
      </c>
      <c r="E1614" s="18" t="s">
        <v>141</v>
      </c>
      <c r="F1614" s="18" t="s">
        <v>79</v>
      </c>
      <c r="G1614" s="18" t="s">
        <v>80</v>
      </c>
      <c r="H1614" s="279">
        <v>415.0</v>
      </c>
      <c r="I1614" s="277">
        <v>24367.0</v>
      </c>
      <c r="J1614" s="277">
        <v>25163.0</v>
      </c>
      <c r="K1614" s="277">
        <v>796.0</v>
      </c>
      <c r="L1614" s="274"/>
      <c r="M1614" s="274"/>
      <c r="N1614" s="274"/>
      <c r="P1614" s="280">
        <v>46200.67852256945</v>
      </c>
    </row>
    <row r="1615" ht="15.0" customHeight="1">
      <c r="A1615" s="18" t="s">
        <v>12</v>
      </c>
      <c r="B1615" s="278">
        <v>46200.0</v>
      </c>
      <c r="D1615" s="18" t="s">
        <v>117</v>
      </c>
      <c r="E1615" s="18" t="s">
        <v>141</v>
      </c>
      <c r="F1615" s="18" t="s">
        <v>79</v>
      </c>
      <c r="G1615" s="18" t="s">
        <v>80</v>
      </c>
      <c r="H1615" s="279">
        <v>148.0</v>
      </c>
      <c r="I1615" s="277">
        <v>8378.0</v>
      </c>
      <c r="J1615" s="277">
        <v>8392.0</v>
      </c>
      <c r="K1615" s="277">
        <v>14.0</v>
      </c>
      <c r="L1615" s="274"/>
      <c r="M1615" s="274"/>
      <c r="N1615" s="274"/>
      <c r="P1615" s="280">
        <v>46200.69461144676</v>
      </c>
    </row>
    <row r="1616" ht="15.0" customHeight="1">
      <c r="A1616" s="18" t="s">
        <v>12</v>
      </c>
      <c r="B1616" s="278">
        <v>46200.0</v>
      </c>
      <c r="D1616" s="18" t="s">
        <v>117</v>
      </c>
      <c r="E1616" s="18" t="s">
        <v>110</v>
      </c>
      <c r="F1616" s="18" t="s">
        <v>79</v>
      </c>
      <c r="G1616" s="18" t="s">
        <v>110</v>
      </c>
      <c r="H1616" s="279">
        <v>5.0</v>
      </c>
      <c r="I1616" s="274"/>
      <c r="J1616" s="274"/>
      <c r="K1616" s="274"/>
      <c r="L1616" s="274"/>
      <c r="M1616" s="274"/>
      <c r="N1616" s="274"/>
      <c r="O1616" s="18" t="s">
        <v>152</v>
      </c>
      <c r="P1616" s="280">
        <v>46200.69461144676</v>
      </c>
    </row>
    <row r="1617" ht="15.0" customHeight="1">
      <c r="A1617" s="18" t="s">
        <v>12</v>
      </c>
      <c r="B1617" s="278">
        <v>46201.0</v>
      </c>
      <c r="D1617" s="18" t="s">
        <v>97</v>
      </c>
      <c r="E1617" s="18" t="s">
        <v>141</v>
      </c>
      <c r="F1617" s="18" t="s">
        <v>79</v>
      </c>
      <c r="G1617" s="18" t="s">
        <v>80</v>
      </c>
      <c r="H1617" s="279">
        <v>141.0</v>
      </c>
      <c r="I1617" s="277">
        <v>183447.0</v>
      </c>
      <c r="J1617" s="277">
        <v>183614.0</v>
      </c>
      <c r="K1617" s="277">
        <v>167.0</v>
      </c>
      <c r="L1617" s="274"/>
      <c r="M1617" s="274"/>
      <c r="N1617" s="274"/>
      <c r="P1617" s="280">
        <v>46202.2517168287</v>
      </c>
    </row>
    <row r="1618" ht="15.0" customHeight="1">
      <c r="A1618" s="18" t="s">
        <v>12</v>
      </c>
      <c r="B1618" s="278">
        <v>46201.0</v>
      </c>
      <c r="D1618" s="18" t="s">
        <v>138</v>
      </c>
      <c r="E1618" s="18" t="s">
        <v>141</v>
      </c>
      <c r="F1618" s="18" t="s">
        <v>79</v>
      </c>
      <c r="G1618" s="18" t="s">
        <v>80</v>
      </c>
      <c r="H1618" s="279">
        <v>240.0</v>
      </c>
      <c r="I1618" s="277">
        <v>106660.0</v>
      </c>
      <c r="J1618" s="277">
        <v>107266.0</v>
      </c>
      <c r="K1618" s="277">
        <v>606.0</v>
      </c>
      <c r="L1618" s="274"/>
      <c r="M1618" s="274"/>
      <c r="N1618" s="274"/>
      <c r="P1618" s="280">
        <v>46202.25171684028</v>
      </c>
    </row>
    <row r="1619" ht="15.0" customHeight="1">
      <c r="A1619" s="18" t="s">
        <v>12</v>
      </c>
      <c r="B1619" s="278">
        <v>46201.0</v>
      </c>
      <c r="D1619" s="18" t="s">
        <v>112</v>
      </c>
      <c r="E1619" s="18" t="s">
        <v>141</v>
      </c>
      <c r="F1619" s="18" t="s">
        <v>79</v>
      </c>
      <c r="G1619" s="18" t="s">
        <v>80</v>
      </c>
      <c r="H1619" s="279">
        <v>237.0</v>
      </c>
      <c r="I1619" s="277">
        <v>101064.0</v>
      </c>
      <c r="J1619" s="277">
        <v>101619.0</v>
      </c>
      <c r="K1619" s="277">
        <v>555.0</v>
      </c>
      <c r="L1619" s="274"/>
      <c r="M1619" s="274"/>
      <c r="N1619" s="274"/>
      <c r="P1619" s="280">
        <v>46202.25171684028</v>
      </c>
    </row>
    <row r="1620" ht="15.0" customHeight="1">
      <c r="A1620" s="18" t="s">
        <v>12</v>
      </c>
      <c r="B1620" s="278">
        <v>46201.0</v>
      </c>
      <c r="D1620" s="18" t="s">
        <v>113</v>
      </c>
      <c r="E1620" s="18" t="s">
        <v>141</v>
      </c>
      <c r="F1620" s="18" t="s">
        <v>79</v>
      </c>
      <c r="G1620" s="18" t="s">
        <v>80</v>
      </c>
      <c r="H1620" s="279">
        <v>200.0</v>
      </c>
      <c r="I1620" s="277">
        <v>174516.0</v>
      </c>
      <c r="J1620" s="277">
        <v>174989.0</v>
      </c>
      <c r="K1620" s="277">
        <v>473.0</v>
      </c>
      <c r="L1620" s="274"/>
      <c r="M1620" s="274"/>
      <c r="N1620" s="274"/>
      <c r="P1620" s="280">
        <v>46202.25171684028</v>
      </c>
    </row>
    <row r="1621" ht="15.0" customHeight="1">
      <c r="A1621" s="18" t="s">
        <v>12</v>
      </c>
      <c r="B1621" s="278">
        <v>46201.0</v>
      </c>
      <c r="D1621" s="18" t="s">
        <v>86</v>
      </c>
      <c r="E1621" s="18" t="s">
        <v>141</v>
      </c>
      <c r="F1621" s="18" t="s">
        <v>79</v>
      </c>
      <c r="G1621" s="18" t="s">
        <v>80</v>
      </c>
      <c r="H1621" s="279">
        <v>239.0</v>
      </c>
      <c r="I1621" s="277">
        <v>193309.0</v>
      </c>
      <c r="J1621" s="277">
        <v>193790.0</v>
      </c>
      <c r="K1621" s="277">
        <v>481.0</v>
      </c>
      <c r="L1621" s="274"/>
      <c r="M1621" s="274"/>
      <c r="N1621" s="274"/>
      <c r="P1621" s="280">
        <v>46202.25171684028</v>
      </c>
    </row>
    <row r="1622" ht="15.0" customHeight="1">
      <c r="A1622" s="18" t="s">
        <v>12</v>
      </c>
      <c r="B1622" s="278">
        <v>46201.0</v>
      </c>
      <c r="D1622" s="18" t="s">
        <v>145</v>
      </c>
      <c r="E1622" s="18" t="s">
        <v>141</v>
      </c>
      <c r="F1622" s="18" t="s">
        <v>79</v>
      </c>
      <c r="G1622" s="18" t="s">
        <v>80</v>
      </c>
      <c r="H1622" s="279">
        <v>211.0</v>
      </c>
      <c r="I1622" s="277">
        <v>266028.0</v>
      </c>
      <c r="J1622" s="277">
        <v>266529.0</v>
      </c>
      <c r="K1622" s="277">
        <v>501.0</v>
      </c>
      <c r="L1622" s="274"/>
      <c r="M1622" s="274"/>
      <c r="N1622" s="274"/>
      <c r="P1622" s="280">
        <v>46202.25171684028</v>
      </c>
    </row>
    <row r="1623" ht="15.0" customHeight="1">
      <c r="A1623" s="18" t="s">
        <v>12</v>
      </c>
      <c r="B1623" s="278">
        <v>46201.0</v>
      </c>
      <c r="D1623" s="18" t="s">
        <v>121</v>
      </c>
      <c r="E1623" s="18" t="s">
        <v>141</v>
      </c>
      <c r="F1623" s="18" t="s">
        <v>79</v>
      </c>
      <c r="G1623" s="18" t="s">
        <v>80</v>
      </c>
      <c r="H1623" s="279">
        <v>268.0</v>
      </c>
      <c r="I1623" s="277">
        <v>4304.0</v>
      </c>
      <c r="J1623" s="277">
        <v>4760.0</v>
      </c>
      <c r="K1623" s="277">
        <v>456.0</v>
      </c>
      <c r="L1623" s="274"/>
      <c r="M1623" s="274"/>
      <c r="N1623" s="274"/>
      <c r="P1623" s="280">
        <v>46202.25171684028</v>
      </c>
    </row>
    <row r="1624" ht="15.0" customHeight="1">
      <c r="A1624" s="18" t="s">
        <v>12</v>
      </c>
      <c r="B1624" s="278">
        <v>46201.0</v>
      </c>
      <c r="D1624" s="18" t="s">
        <v>132</v>
      </c>
      <c r="E1624" s="18" t="s">
        <v>141</v>
      </c>
      <c r="F1624" s="18" t="s">
        <v>79</v>
      </c>
      <c r="G1624" s="18" t="s">
        <v>80</v>
      </c>
      <c r="H1624" s="279">
        <v>212.0</v>
      </c>
      <c r="I1624" s="277">
        <v>6248.0</v>
      </c>
      <c r="J1624" s="277">
        <v>6702.0</v>
      </c>
      <c r="K1624" s="277">
        <v>454.0</v>
      </c>
      <c r="L1624" s="274"/>
      <c r="M1624" s="274"/>
      <c r="N1624" s="274"/>
      <c r="P1624" s="280">
        <v>46202.25171684028</v>
      </c>
    </row>
    <row r="1625" ht="15.0" customHeight="1">
      <c r="A1625" s="18" t="s">
        <v>12</v>
      </c>
      <c r="B1625" s="278">
        <v>46201.0</v>
      </c>
      <c r="D1625" s="18" t="s">
        <v>104</v>
      </c>
      <c r="E1625" s="18" t="s">
        <v>141</v>
      </c>
      <c r="F1625" s="18" t="s">
        <v>79</v>
      </c>
      <c r="G1625" s="18" t="s">
        <v>80</v>
      </c>
      <c r="H1625" s="279">
        <v>301.0</v>
      </c>
      <c r="I1625" s="277">
        <v>5936.0</v>
      </c>
      <c r="J1625" s="277">
        <v>6494.0</v>
      </c>
      <c r="K1625" s="277">
        <v>558.0</v>
      </c>
      <c r="L1625" s="274"/>
      <c r="M1625" s="274"/>
      <c r="N1625" s="274"/>
      <c r="P1625" s="280">
        <v>46202.25171684028</v>
      </c>
    </row>
    <row r="1626" ht="15.0" customHeight="1">
      <c r="A1626" s="18" t="s">
        <v>12</v>
      </c>
      <c r="B1626" s="278">
        <v>46201.0</v>
      </c>
      <c r="D1626" s="18" t="s">
        <v>100</v>
      </c>
      <c r="E1626" s="18" t="s">
        <v>141</v>
      </c>
      <c r="F1626" s="18" t="s">
        <v>79</v>
      </c>
      <c r="G1626" s="18" t="s">
        <v>80</v>
      </c>
      <c r="H1626" s="279">
        <v>333.0</v>
      </c>
      <c r="I1626" s="277">
        <v>409982.0</v>
      </c>
      <c r="J1626" s="277">
        <v>410764.0</v>
      </c>
      <c r="K1626" s="277">
        <v>782.0</v>
      </c>
      <c r="L1626" s="274"/>
      <c r="M1626" s="274"/>
      <c r="N1626" s="274"/>
      <c r="P1626" s="280">
        <v>46202.25171684028</v>
      </c>
    </row>
    <row r="1627" ht="15.0" customHeight="1">
      <c r="A1627" s="18" t="s">
        <v>12</v>
      </c>
      <c r="B1627" s="278">
        <v>46201.0</v>
      </c>
      <c r="D1627" s="18" t="s">
        <v>153</v>
      </c>
      <c r="E1627" s="18" t="s">
        <v>141</v>
      </c>
      <c r="F1627" s="18" t="s">
        <v>79</v>
      </c>
      <c r="G1627" s="18" t="s">
        <v>80</v>
      </c>
      <c r="H1627" s="279">
        <v>120.0</v>
      </c>
      <c r="I1627" s="277">
        <v>361033.0</v>
      </c>
      <c r="J1627" s="277">
        <v>361432.0</v>
      </c>
      <c r="K1627" s="277">
        <v>399.0</v>
      </c>
      <c r="L1627" s="274"/>
      <c r="M1627" s="274"/>
      <c r="N1627" s="274"/>
      <c r="P1627" s="280">
        <v>46202.25171684028</v>
      </c>
    </row>
    <row r="1628" ht="15.0" customHeight="1">
      <c r="A1628" s="18" t="s">
        <v>12</v>
      </c>
      <c r="B1628" s="278">
        <v>46201.0</v>
      </c>
      <c r="D1628" s="18" t="s">
        <v>153</v>
      </c>
      <c r="E1628" s="18" t="s">
        <v>93</v>
      </c>
      <c r="F1628" s="18" t="s">
        <v>79</v>
      </c>
      <c r="G1628" s="18" t="s">
        <v>93</v>
      </c>
      <c r="H1628" s="279">
        <v>3.0</v>
      </c>
      <c r="I1628" s="274"/>
      <c r="J1628" s="274"/>
      <c r="K1628" s="274"/>
      <c r="L1628" s="274"/>
      <c r="M1628" s="274"/>
      <c r="N1628" s="274"/>
      <c r="O1628" s="18" t="s">
        <v>134</v>
      </c>
      <c r="P1628" s="280">
        <v>46202.25171684028</v>
      </c>
    </row>
    <row r="1629" ht="15.0" customHeight="1">
      <c r="A1629" s="18" t="s">
        <v>12</v>
      </c>
      <c r="B1629" s="278">
        <v>46201.0</v>
      </c>
      <c r="D1629" s="18" t="s">
        <v>154</v>
      </c>
      <c r="E1629" s="18" t="s">
        <v>141</v>
      </c>
      <c r="F1629" s="18" t="s">
        <v>79</v>
      </c>
      <c r="G1629" s="18" t="s">
        <v>80</v>
      </c>
      <c r="H1629" s="279">
        <v>156.0</v>
      </c>
      <c r="I1629" s="277">
        <v>366996.0</v>
      </c>
      <c r="J1629" s="277">
        <v>367500.0</v>
      </c>
      <c r="K1629" s="277">
        <v>504.0</v>
      </c>
      <c r="L1629" s="274"/>
      <c r="M1629" s="274"/>
      <c r="N1629" s="274"/>
      <c r="P1629" s="280">
        <v>46202.25171684028</v>
      </c>
    </row>
    <row r="1630" ht="15.0" customHeight="1">
      <c r="A1630" s="18" t="s">
        <v>12</v>
      </c>
      <c r="B1630" s="278">
        <v>46201.0</v>
      </c>
      <c r="D1630" s="18" t="s">
        <v>154</v>
      </c>
      <c r="E1630" s="18" t="s">
        <v>93</v>
      </c>
      <c r="F1630" s="18" t="s">
        <v>79</v>
      </c>
      <c r="G1630" s="18" t="s">
        <v>93</v>
      </c>
      <c r="H1630" s="279">
        <v>3.0</v>
      </c>
      <c r="I1630" s="274"/>
      <c r="J1630" s="274"/>
      <c r="K1630" s="274"/>
      <c r="L1630" s="274"/>
      <c r="M1630" s="274"/>
      <c r="N1630" s="274"/>
      <c r="O1630" s="18" t="s">
        <v>134</v>
      </c>
      <c r="P1630" s="280">
        <v>46202.25171684028</v>
      </c>
    </row>
    <row r="1631" ht="15.0" customHeight="1">
      <c r="A1631" s="18" t="s">
        <v>12</v>
      </c>
      <c r="B1631" s="278">
        <v>46202.0</v>
      </c>
      <c r="D1631" s="18" t="s">
        <v>103</v>
      </c>
      <c r="E1631" s="18" t="s">
        <v>141</v>
      </c>
      <c r="F1631" s="18" t="s">
        <v>79</v>
      </c>
      <c r="G1631" s="18" t="s">
        <v>80</v>
      </c>
      <c r="H1631" s="279">
        <v>166.0</v>
      </c>
      <c r="I1631" s="277">
        <v>4371.0</v>
      </c>
      <c r="J1631" s="277">
        <v>4386.0</v>
      </c>
      <c r="K1631" s="277">
        <v>15.0</v>
      </c>
      <c r="L1631" s="274"/>
      <c r="M1631" s="274"/>
      <c r="N1631" s="274"/>
      <c r="P1631" s="280">
        <v>46202.42990891203</v>
      </c>
    </row>
    <row r="1632" ht="15.0" customHeight="1">
      <c r="A1632" s="18" t="s">
        <v>12</v>
      </c>
      <c r="B1632" s="278">
        <v>46202.0</v>
      </c>
      <c r="D1632" s="18" t="s">
        <v>89</v>
      </c>
      <c r="E1632" s="18" t="s">
        <v>141</v>
      </c>
      <c r="F1632" s="18" t="s">
        <v>79</v>
      </c>
      <c r="G1632" s="18" t="s">
        <v>80</v>
      </c>
      <c r="H1632" s="279">
        <v>47.0</v>
      </c>
      <c r="I1632" s="274"/>
      <c r="J1632" s="274"/>
      <c r="K1632" s="274"/>
      <c r="L1632" s="274"/>
      <c r="M1632" s="274"/>
      <c r="N1632" s="274"/>
      <c r="O1632" s="18" t="s">
        <v>85</v>
      </c>
      <c r="P1632" s="280">
        <v>46202.42990891203</v>
      </c>
    </row>
    <row r="1633" ht="15.0" customHeight="1">
      <c r="A1633" s="18" t="s">
        <v>12</v>
      </c>
      <c r="B1633" s="278">
        <v>46202.0</v>
      </c>
      <c r="D1633" s="18" t="s">
        <v>127</v>
      </c>
      <c r="E1633" s="18" t="s">
        <v>141</v>
      </c>
      <c r="F1633" s="18" t="s">
        <v>79</v>
      </c>
      <c r="G1633" s="18" t="s">
        <v>80</v>
      </c>
      <c r="H1633" s="279">
        <v>187.0</v>
      </c>
      <c r="I1633" s="274"/>
      <c r="J1633" s="274"/>
      <c r="K1633" s="274"/>
      <c r="L1633" s="274"/>
      <c r="M1633" s="274"/>
      <c r="N1633" s="274"/>
      <c r="O1633" s="18" t="s">
        <v>155</v>
      </c>
      <c r="P1633" s="280">
        <v>46202.42990891203</v>
      </c>
    </row>
    <row r="1634" ht="15.0" customHeight="1">
      <c r="A1634" s="18" t="s">
        <v>12</v>
      </c>
      <c r="B1634" s="278">
        <v>46202.0</v>
      </c>
      <c r="D1634" s="18" t="s">
        <v>99</v>
      </c>
      <c r="E1634" s="18" t="s">
        <v>141</v>
      </c>
      <c r="F1634" s="18" t="s">
        <v>79</v>
      </c>
      <c r="G1634" s="18" t="s">
        <v>80</v>
      </c>
      <c r="H1634" s="279">
        <v>350.0</v>
      </c>
      <c r="I1634" s="277">
        <v>155180.0</v>
      </c>
      <c r="J1634" s="277">
        <v>155997.0</v>
      </c>
      <c r="K1634" s="277">
        <v>817.0</v>
      </c>
      <c r="L1634" s="274"/>
      <c r="M1634" s="274"/>
      <c r="N1634" s="274"/>
      <c r="P1634" s="280">
        <v>46202.42990891203</v>
      </c>
    </row>
    <row r="1635" ht="15.0" customHeight="1">
      <c r="A1635" s="18" t="s">
        <v>12</v>
      </c>
      <c r="B1635" s="278">
        <v>46202.0</v>
      </c>
      <c r="D1635" s="18" t="s">
        <v>123</v>
      </c>
      <c r="E1635" s="18" t="s">
        <v>141</v>
      </c>
      <c r="F1635" s="18" t="s">
        <v>79</v>
      </c>
      <c r="G1635" s="18" t="s">
        <v>80</v>
      </c>
      <c r="H1635" s="279">
        <v>497.0</v>
      </c>
      <c r="I1635" s="277">
        <v>203880.0</v>
      </c>
      <c r="J1635" s="277">
        <v>204911.0</v>
      </c>
      <c r="K1635" s="277">
        <v>1031.0</v>
      </c>
      <c r="L1635" s="274"/>
      <c r="M1635" s="274"/>
      <c r="N1635" s="274"/>
      <c r="P1635" s="280">
        <v>46202.42990891203</v>
      </c>
    </row>
    <row r="1636" ht="15.0" customHeight="1">
      <c r="A1636" s="18" t="s">
        <v>12</v>
      </c>
      <c r="B1636" s="278">
        <v>46202.0</v>
      </c>
      <c r="D1636" s="18" t="s">
        <v>88</v>
      </c>
      <c r="E1636" s="18" t="s">
        <v>141</v>
      </c>
      <c r="F1636" s="18" t="s">
        <v>79</v>
      </c>
      <c r="G1636" s="18" t="s">
        <v>80</v>
      </c>
      <c r="H1636" s="279">
        <v>481.0</v>
      </c>
      <c r="I1636" s="277">
        <v>247721.0</v>
      </c>
      <c r="J1636" s="277">
        <v>248686.0</v>
      </c>
      <c r="K1636" s="277">
        <v>965.0</v>
      </c>
      <c r="L1636" s="274"/>
      <c r="M1636" s="274"/>
      <c r="N1636" s="274"/>
      <c r="P1636" s="280">
        <v>46202.42990891203</v>
      </c>
    </row>
    <row r="1637" ht="15.0" customHeight="1">
      <c r="A1637" s="18" t="s">
        <v>12</v>
      </c>
      <c r="B1637" s="278">
        <v>46202.0</v>
      </c>
      <c r="D1637" s="18" t="s">
        <v>101</v>
      </c>
      <c r="E1637" s="18" t="s">
        <v>141</v>
      </c>
      <c r="F1637" s="18" t="s">
        <v>79</v>
      </c>
      <c r="G1637" s="18" t="s">
        <v>80</v>
      </c>
      <c r="H1637" s="279">
        <v>230.0</v>
      </c>
      <c r="I1637" s="277">
        <v>119035.0</v>
      </c>
      <c r="J1637" s="277">
        <v>119571.0</v>
      </c>
      <c r="K1637" s="277">
        <v>536.0</v>
      </c>
      <c r="L1637" s="274"/>
      <c r="M1637" s="274"/>
      <c r="N1637" s="274"/>
      <c r="P1637" s="280">
        <v>46203.26765483797</v>
      </c>
    </row>
    <row r="1638" ht="15.0" customHeight="1">
      <c r="A1638" s="18" t="s">
        <v>12</v>
      </c>
      <c r="B1638" s="278">
        <v>46202.0</v>
      </c>
      <c r="D1638" s="18" t="s">
        <v>98</v>
      </c>
      <c r="E1638" s="18" t="s">
        <v>141</v>
      </c>
      <c r="F1638" s="18" t="s">
        <v>79</v>
      </c>
      <c r="G1638" s="18" t="s">
        <v>80</v>
      </c>
      <c r="H1638" s="279">
        <v>179.0</v>
      </c>
      <c r="I1638" s="277">
        <v>169715.0</v>
      </c>
      <c r="J1638" s="277">
        <v>170130.0</v>
      </c>
      <c r="K1638" s="277">
        <v>415.0</v>
      </c>
      <c r="L1638" s="274"/>
      <c r="M1638" s="274"/>
      <c r="N1638" s="274"/>
      <c r="P1638" s="280">
        <v>46203.26765483797</v>
      </c>
    </row>
    <row r="1639" ht="15.75" customHeight="1">
      <c r="A1639" s="18" t="s">
        <v>12</v>
      </c>
      <c r="B1639" s="281">
        <v>46202.0</v>
      </c>
      <c r="D1639" s="18" t="s">
        <v>114</v>
      </c>
      <c r="E1639" s="18" t="s">
        <v>141</v>
      </c>
      <c r="F1639" s="18" t="s">
        <v>79</v>
      </c>
      <c r="G1639" s="18" t="s">
        <v>80</v>
      </c>
      <c r="H1639" s="279">
        <v>235.0</v>
      </c>
      <c r="I1639" s="277">
        <v>278171.0</v>
      </c>
      <c r="J1639" s="277">
        <v>278741.0</v>
      </c>
      <c r="K1639" s="277">
        <v>570.0</v>
      </c>
      <c r="L1639" s="274"/>
      <c r="M1639" s="274"/>
      <c r="N1639" s="274"/>
      <c r="P1639" s="280">
        <v>46203.26765483797</v>
      </c>
    </row>
    <row r="1640" ht="15.75" customHeight="1">
      <c r="A1640" s="18" t="s">
        <v>12</v>
      </c>
      <c r="B1640" s="281">
        <v>46202.0</v>
      </c>
      <c r="D1640" s="18" t="s">
        <v>96</v>
      </c>
      <c r="E1640" s="18" t="s">
        <v>141</v>
      </c>
      <c r="F1640" s="18" t="s">
        <v>79</v>
      </c>
      <c r="G1640" s="18" t="s">
        <v>80</v>
      </c>
      <c r="H1640" s="279">
        <v>360.0</v>
      </c>
      <c r="I1640" s="277">
        <v>83160.0</v>
      </c>
      <c r="J1640" s="277">
        <v>83862.0</v>
      </c>
      <c r="K1640" s="277">
        <v>702.0</v>
      </c>
      <c r="L1640" s="274"/>
      <c r="M1640" s="274"/>
      <c r="N1640" s="274"/>
      <c r="P1640" s="280">
        <v>46203.26765483797</v>
      </c>
    </row>
    <row r="1641" ht="15.75" customHeight="1">
      <c r="A1641" s="18" t="s">
        <v>12</v>
      </c>
      <c r="B1641" s="281">
        <v>46202.0</v>
      </c>
      <c r="D1641" s="18" t="s">
        <v>118</v>
      </c>
      <c r="E1641" s="18" t="s">
        <v>141</v>
      </c>
      <c r="F1641" s="18" t="s">
        <v>79</v>
      </c>
      <c r="G1641" s="18" t="s">
        <v>80</v>
      </c>
      <c r="H1641" s="279">
        <v>470.0</v>
      </c>
      <c r="I1641" s="277">
        <v>154829.0</v>
      </c>
      <c r="J1641" s="277">
        <v>155924.0</v>
      </c>
      <c r="K1641" s="277">
        <v>1095.0</v>
      </c>
      <c r="L1641" s="274"/>
      <c r="M1641" s="274"/>
      <c r="N1641" s="274"/>
      <c r="P1641" s="280">
        <v>46203.26765483797</v>
      </c>
    </row>
    <row r="1642" ht="15.75" customHeight="1">
      <c r="A1642" s="18" t="s">
        <v>12</v>
      </c>
      <c r="B1642" s="281">
        <v>46202.0</v>
      </c>
      <c r="D1642" s="18" t="s">
        <v>105</v>
      </c>
      <c r="E1642" s="18" t="s">
        <v>141</v>
      </c>
      <c r="F1642" s="18" t="s">
        <v>79</v>
      </c>
      <c r="G1642" s="18" t="s">
        <v>80</v>
      </c>
      <c r="H1642" s="279">
        <v>230.0</v>
      </c>
      <c r="I1642" s="277">
        <v>3852.0</v>
      </c>
      <c r="J1642" s="277">
        <v>4447.0</v>
      </c>
      <c r="K1642" s="277">
        <v>595.0</v>
      </c>
      <c r="L1642" s="274"/>
      <c r="M1642" s="274"/>
      <c r="N1642" s="274"/>
      <c r="P1642" s="280">
        <v>46203.26765483797</v>
      </c>
    </row>
    <row r="1643" ht="15.75" customHeight="1">
      <c r="A1643" s="18" t="s">
        <v>12</v>
      </c>
      <c r="B1643" s="281">
        <v>46202.0</v>
      </c>
      <c r="D1643" s="18" t="s">
        <v>105</v>
      </c>
      <c r="E1643" s="18" t="s">
        <v>110</v>
      </c>
      <c r="F1643" s="18" t="s">
        <v>79</v>
      </c>
      <c r="G1643" s="18" t="s">
        <v>110</v>
      </c>
      <c r="H1643" s="279">
        <v>22.0</v>
      </c>
      <c r="I1643" s="274"/>
      <c r="J1643" s="274"/>
      <c r="K1643" s="274"/>
      <c r="L1643" s="274"/>
      <c r="M1643" s="274"/>
      <c r="N1643" s="274"/>
      <c r="O1643" s="18" t="s">
        <v>156</v>
      </c>
      <c r="P1643" s="280">
        <v>46203.26765483797</v>
      </c>
    </row>
    <row r="1644" ht="15.75" customHeight="1">
      <c r="A1644" s="18" t="s">
        <v>12</v>
      </c>
      <c r="B1644" s="281">
        <v>46202.0</v>
      </c>
      <c r="D1644" s="18" t="s">
        <v>82</v>
      </c>
      <c r="E1644" s="18" t="s">
        <v>141</v>
      </c>
      <c r="F1644" s="18" t="s">
        <v>79</v>
      </c>
      <c r="G1644" s="18" t="s">
        <v>80</v>
      </c>
      <c r="H1644" s="279">
        <v>340.0</v>
      </c>
      <c r="I1644" s="277">
        <v>99391.0</v>
      </c>
      <c r="J1644" s="277">
        <v>100218.0</v>
      </c>
      <c r="K1644" s="277">
        <v>827.0</v>
      </c>
      <c r="L1644" s="274"/>
      <c r="M1644" s="274"/>
      <c r="N1644" s="274"/>
      <c r="P1644" s="280">
        <v>46203.26765483797</v>
      </c>
    </row>
    <row r="1645" ht="15.75" customHeight="1">
      <c r="A1645" s="18" t="s">
        <v>12</v>
      </c>
      <c r="B1645" s="281">
        <v>46203.0</v>
      </c>
      <c r="D1645" s="18" t="s">
        <v>101</v>
      </c>
      <c r="E1645" s="18" t="s">
        <v>141</v>
      </c>
      <c r="F1645" s="18" t="s">
        <v>79</v>
      </c>
      <c r="G1645" s="18" t="s">
        <v>80</v>
      </c>
      <c r="H1645" s="279">
        <v>110.0</v>
      </c>
      <c r="I1645" s="277">
        <v>119571.0</v>
      </c>
      <c r="J1645" s="277">
        <v>119806.0</v>
      </c>
      <c r="K1645" s="277">
        <v>235.0</v>
      </c>
      <c r="L1645" s="274"/>
      <c r="M1645" s="274"/>
      <c r="N1645" s="274"/>
      <c r="P1645" s="280">
        <v>46204.270878888885</v>
      </c>
    </row>
    <row r="1646" ht="15.75" customHeight="1">
      <c r="A1646" s="18" t="s">
        <v>12</v>
      </c>
      <c r="B1646" s="281">
        <v>46203.0</v>
      </c>
      <c r="D1646" s="18" t="s">
        <v>138</v>
      </c>
      <c r="E1646" s="18" t="s">
        <v>141</v>
      </c>
      <c r="F1646" s="18" t="s">
        <v>79</v>
      </c>
      <c r="G1646" s="18" t="s">
        <v>80</v>
      </c>
      <c r="H1646" s="279">
        <v>190.0</v>
      </c>
      <c r="I1646" s="277">
        <v>107266.0</v>
      </c>
      <c r="J1646" s="277">
        <v>107693.0</v>
      </c>
      <c r="K1646" s="277">
        <v>427.0</v>
      </c>
      <c r="L1646" s="274"/>
      <c r="M1646" s="274"/>
      <c r="N1646" s="274"/>
      <c r="P1646" s="280">
        <v>46204.270878888885</v>
      </c>
    </row>
    <row r="1647" ht="15.75" customHeight="1">
      <c r="A1647" s="18" t="s">
        <v>12</v>
      </c>
      <c r="B1647" s="281">
        <v>46203.0</v>
      </c>
      <c r="D1647" s="18" t="s">
        <v>145</v>
      </c>
      <c r="E1647" s="18" t="s">
        <v>141</v>
      </c>
      <c r="F1647" s="18" t="s">
        <v>79</v>
      </c>
      <c r="G1647" s="18" t="s">
        <v>80</v>
      </c>
      <c r="H1647" s="279">
        <v>165.0</v>
      </c>
      <c r="I1647" s="277">
        <v>266529.0</v>
      </c>
      <c r="J1647" s="277">
        <v>266911.0</v>
      </c>
      <c r="K1647" s="277">
        <v>382.0</v>
      </c>
      <c r="L1647" s="274"/>
      <c r="M1647" s="274"/>
      <c r="N1647" s="274"/>
      <c r="P1647" s="280">
        <v>46204.270878888885</v>
      </c>
    </row>
    <row r="1648" ht="15.75" customHeight="1">
      <c r="A1648" s="18" t="s">
        <v>12</v>
      </c>
      <c r="B1648" s="281">
        <v>46203.0</v>
      </c>
      <c r="D1648" s="18" t="s">
        <v>96</v>
      </c>
      <c r="E1648" s="18" t="s">
        <v>141</v>
      </c>
      <c r="F1648" s="18" t="s">
        <v>79</v>
      </c>
      <c r="G1648" s="18" t="s">
        <v>80</v>
      </c>
      <c r="H1648" s="279">
        <v>200.0</v>
      </c>
      <c r="I1648" s="277">
        <v>83862.0</v>
      </c>
      <c r="J1648" s="277">
        <v>84323.0</v>
      </c>
      <c r="K1648" s="277">
        <v>461.0</v>
      </c>
      <c r="L1648" s="274"/>
      <c r="M1648" s="274"/>
      <c r="N1648" s="274"/>
      <c r="P1648" s="280">
        <v>46204.270878888885</v>
      </c>
    </row>
    <row r="1649" ht="15.75" customHeight="1">
      <c r="A1649" s="18" t="s">
        <v>12</v>
      </c>
      <c r="B1649" s="281">
        <v>46203.0</v>
      </c>
      <c r="D1649" s="18" t="s">
        <v>118</v>
      </c>
      <c r="E1649" s="18" t="s">
        <v>141</v>
      </c>
      <c r="F1649" s="18" t="s">
        <v>79</v>
      </c>
      <c r="G1649" s="18" t="s">
        <v>80</v>
      </c>
      <c r="H1649" s="279">
        <v>140.0</v>
      </c>
      <c r="I1649" s="277">
        <v>155924.0</v>
      </c>
      <c r="J1649" s="277">
        <v>156239.0</v>
      </c>
      <c r="K1649" s="277">
        <v>315.0</v>
      </c>
      <c r="L1649" s="274"/>
      <c r="M1649" s="274"/>
      <c r="N1649" s="274"/>
      <c r="P1649" s="280">
        <v>46204.270878888885</v>
      </c>
    </row>
    <row r="1650" ht="15.75" customHeight="1">
      <c r="A1650" s="18" t="s">
        <v>12</v>
      </c>
      <c r="B1650" s="281">
        <v>46203.0</v>
      </c>
      <c r="D1650" s="18" t="s">
        <v>123</v>
      </c>
      <c r="E1650" s="18" t="s">
        <v>141</v>
      </c>
      <c r="F1650" s="18" t="s">
        <v>79</v>
      </c>
      <c r="G1650" s="18" t="s">
        <v>80</v>
      </c>
      <c r="H1650" s="279">
        <v>195.0</v>
      </c>
      <c r="I1650" s="277">
        <v>204911.0</v>
      </c>
      <c r="J1650" s="277">
        <v>205274.0</v>
      </c>
      <c r="K1650" s="277">
        <v>363.0</v>
      </c>
      <c r="L1650" s="274"/>
      <c r="M1650" s="274"/>
      <c r="N1650" s="274"/>
      <c r="P1650" s="280">
        <v>46204.270878888885</v>
      </c>
    </row>
    <row r="1651" ht="15.75" customHeight="1">
      <c r="A1651" s="18" t="s">
        <v>12</v>
      </c>
      <c r="B1651" s="281">
        <v>46203.0</v>
      </c>
      <c r="D1651" s="18" t="s">
        <v>97</v>
      </c>
      <c r="E1651" s="18" t="s">
        <v>141</v>
      </c>
      <c r="F1651" s="18" t="s">
        <v>79</v>
      </c>
      <c r="G1651" s="18" t="s">
        <v>80</v>
      </c>
      <c r="H1651" s="279">
        <v>233.0</v>
      </c>
      <c r="I1651" s="277">
        <v>183614.0</v>
      </c>
      <c r="J1651" s="277">
        <v>183860.0</v>
      </c>
      <c r="K1651" s="277">
        <v>246.0</v>
      </c>
      <c r="L1651" s="274"/>
      <c r="M1651" s="274"/>
      <c r="N1651" s="274"/>
      <c r="P1651" s="280">
        <v>46204.28594649305</v>
      </c>
    </row>
    <row r="1652" ht="15.75" customHeight="1">
      <c r="A1652" s="18" t="s">
        <v>12</v>
      </c>
      <c r="B1652" s="281">
        <v>46203.0</v>
      </c>
      <c r="D1652" s="18" t="s">
        <v>112</v>
      </c>
      <c r="E1652" s="18" t="s">
        <v>141</v>
      </c>
      <c r="F1652" s="18" t="s">
        <v>79</v>
      </c>
      <c r="G1652" s="18" t="s">
        <v>80</v>
      </c>
      <c r="H1652" s="279">
        <v>204.0</v>
      </c>
      <c r="I1652" s="277">
        <v>101619.0</v>
      </c>
      <c r="J1652" s="277">
        <v>102063.0</v>
      </c>
      <c r="K1652" s="277">
        <v>444.0</v>
      </c>
      <c r="L1652" s="274"/>
      <c r="M1652" s="274"/>
      <c r="N1652" s="274"/>
      <c r="P1652" s="280">
        <v>46204.28594649305</v>
      </c>
    </row>
    <row r="1653" ht="15.75" customHeight="1">
      <c r="A1653" s="18" t="s">
        <v>12</v>
      </c>
      <c r="B1653" s="281">
        <v>46203.0</v>
      </c>
      <c r="D1653" s="18" t="s">
        <v>98</v>
      </c>
      <c r="E1653" s="18" t="s">
        <v>141</v>
      </c>
      <c r="F1653" s="18" t="s">
        <v>79</v>
      </c>
      <c r="G1653" s="18" t="s">
        <v>80</v>
      </c>
      <c r="H1653" s="279">
        <v>125.0</v>
      </c>
      <c r="I1653" s="277">
        <v>170130.0</v>
      </c>
      <c r="J1653" s="277">
        <v>170471.0</v>
      </c>
      <c r="K1653" s="277">
        <v>341.0</v>
      </c>
      <c r="L1653" s="274"/>
      <c r="M1653" s="274"/>
      <c r="N1653" s="274"/>
      <c r="P1653" s="280">
        <v>46204.28594649305</v>
      </c>
    </row>
    <row r="1654" ht="15.75" customHeight="1">
      <c r="A1654" s="18" t="s">
        <v>12</v>
      </c>
      <c r="B1654" s="281">
        <v>46203.0</v>
      </c>
      <c r="D1654" s="18" t="s">
        <v>113</v>
      </c>
      <c r="E1654" s="18" t="s">
        <v>141</v>
      </c>
      <c r="F1654" s="18" t="s">
        <v>79</v>
      </c>
      <c r="G1654" s="18" t="s">
        <v>80</v>
      </c>
      <c r="H1654" s="279">
        <v>212.0</v>
      </c>
      <c r="I1654" s="277">
        <v>174989.0</v>
      </c>
      <c r="J1654" s="277">
        <v>175455.0</v>
      </c>
      <c r="K1654" s="277">
        <v>466.0</v>
      </c>
      <c r="L1654" s="274"/>
      <c r="M1654" s="274"/>
      <c r="N1654" s="274"/>
      <c r="P1654" s="280">
        <v>46204.28594649305</v>
      </c>
    </row>
    <row r="1655" ht="15.75" customHeight="1">
      <c r="A1655" s="18" t="s">
        <v>12</v>
      </c>
      <c r="B1655" s="281">
        <v>46203.0</v>
      </c>
      <c r="D1655" s="18" t="s">
        <v>86</v>
      </c>
      <c r="E1655" s="18" t="s">
        <v>141</v>
      </c>
      <c r="F1655" s="18" t="s">
        <v>79</v>
      </c>
      <c r="G1655" s="18" t="s">
        <v>80</v>
      </c>
      <c r="H1655" s="279">
        <v>222.0</v>
      </c>
      <c r="I1655" s="277">
        <v>193790.0</v>
      </c>
      <c r="J1655" s="277">
        <v>194252.0</v>
      </c>
      <c r="K1655" s="277">
        <v>462.0</v>
      </c>
      <c r="L1655" s="274"/>
      <c r="M1655" s="274"/>
      <c r="N1655" s="274"/>
      <c r="P1655" s="280">
        <v>46204.28594649305</v>
      </c>
    </row>
    <row r="1656" ht="15.75" customHeight="1">
      <c r="A1656" s="18" t="s">
        <v>12</v>
      </c>
      <c r="B1656" s="281">
        <v>46203.0</v>
      </c>
      <c r="D1656" s="18" t="s">
        <v>102</v>
      </c>
      <c r="E1656" s="18" t="s">
        <v>141</v>
      </c>
      <c r="F1656" s="18" t="s">
        <v>79</v>
      </c>
      <c r="G1656" s="18" t="s">
        <v>80</v>
      </c>
      <c r="H1656" s="279">
        <v>212.0</v>
      </c>
      <c r="I1656" s="277">
        <v>256364.0</v>
      </c>
      <c r="J1656" s="277">
        <v>256859.0</v>
      </c>
      <c r="K1656" s="277">
        <v>495.0</v>
      </c>
      <c r="L1656" s="274"/>
      <c r="M1656" s="274"/>
      <c r="N1656" s="274"/>
      <c r="P1656" s="280">
        <v>46204.28594649305</v>
      </c>
    </row>
    <row r="1657" ht="15.75" customHeight="1">
      <c r="A1657" s="18" t="s">
        <v>12</v>
      </c>
      <c r="B1657" s="281">
        <v>46203.0</v>
      </c>
      <c r="D1657" s="18" t="s">
        <v>115</v>
      </c>
      <c r="E1657" s="18" t="s">
        <v>141</v>
      </c>
      <c r="F1657" s="18" t="s">
        <v>79</v>
      </c>
      <c r="G1657" s="18" t="s">
        <v>80</v>
      </c>
      <c r="H1657" s="279">
        <v>400.0</v>
      </c>
      <c r="I1657" s="277">
        <v>19397.0</v>
      </c>
      <c r="J1657" s="277">
        <v>20321.0</v>
      </c>
      <c r="K1657" s="277">
        <v>924.0</v>
      </c>
      <c r="L1657" s="274"/>
      <c r="M1657" s="274"/>
      <c r="N1657" s="274"/>
      <c r="P1657" s="280">
        <v>46204.28594649305</v>
      </c>
    </row>
    <row r="1658" ht="15.75" customHeight="1">
      <c r="A1658" s="18" t="s">
        <v>12</v>
      </c>
      <c r="B1658" s="281">
        <v>46203.0</v>
      </c>
      <c r="D1658" s="18" t="s">
        <v>89</v>
      </c>
      <c r="E1658" s="18" t="s">
        <v>110</v>
      </c>
      <c r="F1658" s="18" t="s">
        <v>79</v>
      </c>
      <c r="G1658" s="18" t="s">
        <v>110</v>
      </c>
      <c r="H1658" s="279">
        <v>4.0</v>
      </c>
      <c r="I1658" s="274"/>
      <c r="J1658" s="274"/>
      <c r="K1658" s="274"/>
      <c r="L1658" s="274"/>
      <c r="M1658" s="274"/>
      <c r="N1658" s="274"/>
      <c r="O1658" s="18" t="s">
        <v>157</v>
      </c>
      <c r="P1658" s="280">
        <v>46204.285946504635</v>
      </c>
    </row>
    <row r="1659" ht="15.75" customHeight="1">
      <c r="A1659" s="18" t="s">
        <v>12</v>
      </c>
      <c r="B1659" s="281">
        <v>46203.0</v>
      </c>
      <c r="D1659" s="18" t="s">
        <v>89</v>
      </c>
      <c r="E1659" s="18" t="s">
        <v>141</v>
      </c>
      <c r="F1659" s="18" t="s">
        <v>79</v>
      </c>
      <c r="G1659" s="18" t="s">
        <v>80</v>
      </c>
      <c r="H1659" s="279">
        <v>238.0</v>
      </c>
      <c r="I1659" s="277">
        <v>9639.0</v>
      </c>
      <c r="J1659" s="277">
        <v>10108.0</v>
      </c>
      <c r="K1659" s="277">
        <v>469.0</v>
      </c>
      <c r="L1659" s="274"/>
      <c r="M1659" s="274"/>
      <c r="N1659" s="274"/>
      <c r="P1659" s="280">
        <v>46204.285946504635</v>
      </c>
    </row>
    <row r="1660" ht="15.75" customHeight="1">
      <c r="A1660" s="18" t="s">
        <v>12</v>
      </c>
      <c r="B1660" s="281">
        <v>46203.0</v>
      </c>
      <c r="D1660" s="18" t="s">
        <v>121</v>
      </c>
      <c r="E1660" s="18" t="s">
        <v>141</v>
      </c>
      <c r="F1660" s="18" t="s">
        <v>79</v>
      </c>
      <c r="G1660" s="18" t="s">
        <v>80</v>
      </c>
      <c r="H1660" s="279">
        <v>70.0</v>
      </c>
      <c r="I1660" s="277">
        <v>4760.0</v>
      </c>
      <c r="J1660" s="277">
        <v>4869.0</v>
      </c>
      <c r="K1660" s="277">
        <v>109.0</v>
      </c>
      <c r="L1660" s="274"/>
      <c r="M1660" s="274"/>
      <c r="N1660" s="274"/>
      <c r="P1660" s="280">
        <v>46204.285946504635</v>
      </c>
    </row>
    <row r="1661" ht="15.75" customHeight="1">
      <c r="A1661" s="18" t="s">
        <v>12</v>
      </c>
      <c r="B1661" s="281">
        <v>46203.0</v>
      </c>
      <c r="D1661" s="18" t="s">
        <v>129</v>
      </c>
      <c r="E1661" s="18" t="s">
        <v>141</v>
      </c>
      <c r="F1661" s="18" t="s">
        <v>79</v>
      </c>
      <c r="G1661" s="18" t="s">
        <v>80</v>
      </c>
      <c r="H1661" s="279">
        <v>70.0</v>
      </c>
      <c r="I1661" s="277">
        <v>7971.0</v>
      </c>
      <c r="J1661" s="277">
        <v>8140.0</v>
      </c>
      <c r="K1661" s="277">
        <v>169.0</v>
      </c>
      <c r="L1661" s="274"/>
      <c r="M1661" s="274"/>
      <c r="N1661" s="274"/>
      <c r="P1661" s="280">
        <v>46204.285946504635</v>
      </c>
    </row>
    <row r="1662" ht="15.75" customHeight="1">
      <c r="A1662" s="18" t="s">
        <v>12</v>
      </c>
      <c r="B1662" s="281">
        <v>46203.0</v>
      </c>
      <c r="D1662" s="18" t="s">
        <v>132</v>
      </c>
      <c r="E1662" s="18" t="s">
        <v>141</v>
      </c>
      <c r="F1662" s="18" t="s">
        <v>79</v>
      </c>
      <c r="G1662" s="18" t="s">
        <v>80</v>
      </c>
      <c r="H1662" s="279">
        <v>48.0</v>
      </c>
      <c r="I1662" s="277">
        <v>6702.0</v>
      </c>
      <c r="J1662" s="277">
        <v>6810.0</v>
      </c>
      <c r="K1662" s="277">
        <v>108.0</v>
      </c>
      <c r="L1662" s="274"/>
      <c r="M1662" s="274"/>
      <c r="N1662" s="274"/>
      <c r="P1662" s="280">
        <v>46204.285946504635</v>
      </c>
    </row>
    <row r="1663" ht="15.75" customHeight="1">
      <c r="A1663" s="18" t="s">
        <v>12</v>
      </c>
      <c r="B1663" s="281">
        <v>46203.0</v>
      </c>
      <c r="D1663" s="18" t="s">
        <v>104</v>
      </c>
      <c r="E1663" s="18" t="s">
        <v>141</v>
      </c>
      <c r="F1663" s="18" t="s">
        <v>79</v>
      </c>
      <c r="G1663" s="18" t="s">
        <v>80</v>
      </c>
      <c r="H1663" s="279">
        <v>87.0</v>
      </c>
      <c r="I1663" s="277">
        <v>6494.0</v>
      </c>
      <c r="J1663" s="277">
        <v>6683.0</v>
      </c>
      <c r="K1663" s="277">
        <v>189.0</v>
      </c>
      <c r="L1663" s="274"/>
      <c r="M1663" s="274"/>
      <c r="N1663" s="274"/>
      <c r="P1663" s="280">
        <v>46204.285946504635</v>
      </c>
    </row>
    <row r="1664" ht="15.75" customHeight="1">
      <c r="A1664" s="18" t="s">
        <v>12</v>
      </c>
      <c r="B1664" s="281">
        <v>46203.0</v>
      </c>
      <c r="D1664" s="18" t="s">
        <v>148</v>
      </c>
      <c r="E1664" s="18" t="s">
        <v>141</v>
      </c>
      <c r="F1664" s="18" t="s">
        <v>79</v>
      </c>
      <c r="G1664" s="18" t="s">
        <v>80</v>
      </c>
      <c r="H1664" s="279">
        <v>135.0</v>
      </c>
      <c r="I1664" s="277">
        <v>5954.0</v>
      </c>
      <c r="J1664" s="277">
        <v>6233.0</v>
      </c>
      <c r="K1664" s="277">
        <v>279.0</v>
      </c>
      <c r="L1664" s="274"/>
      <c r="M1664" s="274"/>
      <c r="N1664" s="274"/>
      <c r="P1664" s="280">
        <v>46204.285946504635</v>
      </c>
    </row>
    <row r="1665" ht="15.75" customHeight="1">
      <c r="A1665" s="18" t="s">
        <v>12</v>
      </c>
      <c r="B1665" s="281">
        <v>46203.0</v>
      </c>
      <c r="D1665" s="18" t="s">
        <v>122</v>
      </c>
      <c r="E1665" s="18" t="s">
        <v>141</v>
      </c>
      <c r="F1665" s="18" t="s">
        <v>79</v>
      </c>
      <c r="G1665" s="18" t="s">
        <v>80</v>
      </c>
      <c r="H1665" s="279">
        <v>117.0</v>
      </c>
      <c r="I1665" s="277">
        <v>7985.0</v>
      </c>
      <c r="J1665" s="277">
        <v>8237.0</v>
      </c>
      <c r="K1665" s="277">
        <v>252.0</v>
      </c>
      <c r="L1665" s="274"/>
      <c r="M1665" s="274"/>
      <c r="N1665" s="274"/>
      <c r="P1665" s="280">
        <v>46204.285946504635</v>
      </c>
    </row>
    <row r="1666" ht="15.75" customHeight="1">
      <c r="A1666" s="18" t="s">
        <v>12</v>
      </c>
      <c r="B1666" s="281">
        <v>46203.0</v>
      </c>
      <c r="D1666" s="18" t="s">
        <v>91</v>
      </c>
      <c r="E1666" s="18" t="s">
        <v>141</v>
      </c>
      <c r="F1666" s="18" t="s">
        <v>79</v>
      </c>
      <c r="G1666" s="18" t="s">
        <v>80</v>
      </c>
      <c r="H1666" s="279">
        <v>37.0</v>
      </c>
      <c r="I1666" s="277">
        <v>13492.0</v>
      </c>
      <c r="J1666" s="277">
        <v>14114.0</v>
      </c>
      <c r="K1666" s="277">
        <v>622.0</v>
      </c>
      <c r="L1666" s="274"/>
      <c r="M1666" s="274"/>
      <c r="N1666" s="274"/>
      <c r="P1666" s="280">
        <v>46204.285946504635</v>
      </c>
    </row>
    <row r="1667" ht="15.75" customHeight="1">
      <c r="A1667" s="18" t="s">
        <v>12</v>
      </c>
      <c r="B1667" s="281">
        <v>46203.0</v>
      </c>
      <c r="D1667" s="18" t="s">
        <v>136</v>
      </c>
      <c r="E1667" s="18" t="s">
        <v>141</v>
      </c>
      <c r="F1667" s="18" t="s">
        <v>79</v>
      </c>
      <c r="G1667" s="18" t="s">
        <v>80</v>
      </c>
      <c r="H1667" s="279">
        <v>56.0</v>
      </c>
      <c r="I1667" s="277">
        <v>321689.0</v>
      </c>
      <c r="J1667" s="277">
        <v>322294.0</v>
      </c>
      <c r="K1667" s="277">
        <v>605.0</v>
      </c>
      <c r="L1667" s="274"/>
      <c r="M1667" s="274"/>
      <c r="N1667" s="274"/>
      <c r="P1667" s="280">
        <v>46204.285946504635</v>
      </c>
    </row>
    <row r="1668" ht="15.75" customHeight="1">
      <c r="A1668" s="18" t="s">
        <v>12</v>
      </c>
      <c r="B1668" s="281">
        <v>46203.0</v>
      </c>
      <c r="D1668" s="18" t="s">
        <v>116</v>
      </c>
      <c r="E1668" s="18" t="s">
        <v>141</v>
      </c>
      <c r="F1668" s="18" t="s">
        <v>79</v>
      </c>
      <c r="G1668" s="18" t="s">
        <v>80</v>
      </c>
      <c r="H1668" s="279">
        <v>455.0</v>
      </c>
      <c r="I1668" s="277">
        <v>82757.0</v>
      </c>
      <c r="J1668" s="277">
        <v>83845.0</v>
      </c>
      <c r="K1668" s="277">
        <v>1088.0</v>
      </c>
      <c r="L1668" s="274"/>
      <c r="M1668" s="274"/>
      <c r="N1668" s="274"/>
      <c r="P1668" s="280">
        <v>46204.285946504635</v>
      </c>
    </row>
    <row r="1669" ht="15.75" customHeight="1">
      <c r="A1669" s="18" t="s">
        <v>12</v>
      </c>
      <c r="B1669" s="281">
        <v>46203.0</v>
      </c>
      <c r="D1669" s="18" t="s">
        <v>99</v>
      </c>
      <c r="E1669" s="18" t="s">
        <v>141</v>
      </c>
      <c r="F1669" s="18" t="s">
        <v>79</v>
      </c>
      <c r="G1669" s="18" t="s">
        <v>80</v>
      </c>
      <c r="H1669" s="279">
        <v>290.0</v>
      </c>
      <c r="I1669" s="277">
        <v>155997.0</v>
      </c>
      <c r="J1669" s="277">
        <v>156601.0</v>
      </c>
      <c r="K1669" s="277">
        <v>604.0</v>
      </c>
      <c r="L1669" s="274"/>
      <c r="M1669" s="274"/>
      <c r="N1669" s="274"/>
      <c r="P1669" s="280">
        <v>46204.285946504635</v>
      </c>
    </row>
    <row r="1670" ht="15.75" customHeight="1">
      <c r="A1670" s="18" t="s">
        <v>12</v>
      </c>
      <c r="B1670" s="281">
        <v>46203.0</v>
      </c>
      <c r="D1670" s="18" t="s">
        <v>100</v>
      </c>
      <c r="E1670" s="18" t="s">
        <v>141</v>
      </c>
      <c r="F1670" s="18" t="s">
        <v>79</v>
      </c>
      <c r="G1670" s="18" t="s">
        <v>80</v>
      </c>
      <c r="H1670" s="279">
        <v>332.0</v>
      </c>
      <c r="I1670" s="277">
        <v>410764.0</v>
      </c>
      <c r="J1670" s="277">
        <v>411589.0</v>
      </c>
      <c r="K1670" s="277">
        <v>825.0</v>
      </c>
      <c r="L1670" s="274"/>
      <c r="M1670" s="274"/>
      <c r="N1670" s="274"/>
      <c r="P1670" s="280">
        <v>46204.285946504635</v>
      </c>
    </row>
    <row r="1671" ht="15.75" customHeight="1">
      <c r="A1671" s="18" t="s">
        <v>12</v>
      </c>
      <c r="B1671" s="281">
        <v>46203.0</v>
      </c>
      <c r="D1671" s="18" t="s">
        <v>84</v>
      </c>
      <c r="E1671" s="18" t="s">
        <v>141</v>
      </c>
      <c r="F1671" s="18" t="s">
        <v>79</v>
      </c>
      <c r="G1671" s="18" t="s">
        <v>80</v>
      </c>
      <c r="H1671" s="279">
        <v>110.0</v>
      </c>
      <c r="I1671" s="277">
        <v>49224.0</v>
      </c>
      <c r="J1671" s="277">
        <v>49348.0</v>
      </c>
      <c r="K1671" s="277">
        <v>124.0</v>
      </c>
      <c r="L1671" s="274"/>
      <c r="M1671" s="274"/>
      <c r="N1671" s="274"/>
      <c r="P1671" s="280">
        <v>46204.285946504635</v>
      </c>
    </row>
    <row r="1672" ht="15.75" customHeight="1">
      <c r="A1672" s="18" t="s">
        <v>12</v>
      </c>
      <c r="B1672" s="281">
        <v>46203.0</v>
      </c>
      <c r="D1672" s="18" t="s">
        <v>82</v>
      </c>
      <c r="E1672" s="18" t="s">
        <v>141</v>
      </c>
      <c r="F1672" s="18" t="s">
        <v>79</v>
      </c>
      <c r="G1672" s="18" t="s">
        <v>80</v>
      </c>
      <c r="H1672" s="279">
        <v>175.0</v>
      </c>
      <c r="I1672" s="277">
        <v>100218.0</v>
      </c>
      <c r="J1672" s="277">
        <v>100593.0</v>
      </c>
      <c r="K1672" s="277">
        <v>375.0</v>
      </c>
      <c r="L1672" s="274"/>
      <c r="M1672" s="274"/>
      <c r="N1672" s="274"/>
      <c r="P1672" s="280">
        <v>46204.285946504635</v>
      </c>
    </row>
    <row r="1673" ht="15.75" customHeight="1">
      <c r="A1673" s="18" t="s">
        <v>12</v>
      </c>
      <c r="B1673" s="281">
        <v>46203.0</v>
      </c>
      <c r="D1673" s="18" t="s">
        <v>126</v>
      </c>
      <c r="E1673" s="18" t="s">
        <v>141</v>
      </c>
      <c r="F1673" s="18" t="s">
        <v>79</v>
      </c>
      <c r="G1673" s="18" t="s">
        <v>80</v>
      </c>
      <c r="H1673" s="279">
        <v>135.0</v>
      </c>
      <c r="I1673" s="277">
        <v>588140.0</v>
      </c>
      <c r="J1673" s="277">
        <v>588367.0</v>
      </c>
      <c r="K1673" s="277">
        <v>227.0</v>
      </c>
      <c r="L1673" s="274"/>
      <c r="M1673" s="274"/>
      <c r="N1673" s="274"/>
      <c r="P1673" s="280">
        <v>46204.285946504635</v>
      </c>
    </row>
    <row r="1674" ht="15.75" customHeight="1">
      <c r="A1674" s="18" t="s">
        <v>12</v>
      </c>
      <c r="B1674" s="281">
        <v>46203.0</v>
      </c>
      <c r="D1674" s="18" t="s">
        <v>130</v>
      </c>
      <c r="E1674" s="18" t="s">
        <v>141</v>
      </c>
      <c r="F1674" s="18" t="s">
        <v>79</v>
      </c>
      <c r="G1674" s="18" t="s">
        <v>80</v>
      </c>
      <c r="H1674" s="279">
        <v>115.0</v>
      </c>
      <c r="I1674" s="274"/>
      <c r="J1674" s="274"/>
      <c r="K1674" s="274"/>
      <c r="L1674" s="274"/>
      <c r="M1674" s="274"/>
      <c r="N1674" s="274"/>
      <c r="O1674" s="18" t="s">
        <v>131</v>
      </c>
      <c r="P1674" s="280">
        <v>46204.285946504635</v>
      </c>
    </row>
    <row r="1675" ht="15.75" customHeight="1">
      <c r="A1675" s="18" t="s">
        <v>12</v>
      </c>
      <c r="B1675" s="281">
        <v>46203.0</v>
      </c>
      <c r="D1675" s="18" t="s">
        <v>158</v>
      </c>
      <c r="E1675" s="18" t="s">
        <v>141</v>
      </c>
      <c r="F1675" s="18" t="s">
        <v>79</v>
      </c>
      <c r="G1675" s="18" t="s">
        <v>80</v>
      </c>
      <c r="H1675" s="279">
        <v>127.0</v>
      </c>
      <c r="I1675" s="277">
        <v>248583.0</v>
      </c>
      <c r="J1675" s="277">
        <v>248979.0</v>
      </c>
      <c r="K1675" s="277">
        <v>396.0</v>
      </c>
      <c r="L1675" s="274"/>
      <c r="M1675" s="274"/>
      <c r="N1675" s="274"/>
      <c r="P1675" s="280">
        <v>46204.285946504635</v>
      </c>
    </row>
    <row r="1676" ht="15.75" customHeight="1">
      <c r="A1676" s="18" t="s">
        <v>12</v>
      </c>
      <c r="B1676" s="281">
        <v>46203.0</v>
      </c>
      <c r="D1676" s="18" t="s">
        <v>159</v>
      </c>
      <c r="E1676" s="18" t="s">
        <v>141</v>
      </c>
      <c r="F1676" s="18" t="s">
        <v>79</v>
      </c>
      <c r="G1676" s="18" t="s">
        <v>80</v>
      </c>
      <c r="H1676" s="279">
        <v>140.0</v>
      </c>
      <c r="I1676" s="277">
        <v>77715.0</v>
      </c>
      <c r="J1676" s="277">
        <v>78234.0</v>
      </c>
      <c r="K1676" s="277">
        <v>519.0</v>
      </c>
      <c r="L1676" s="274"/>
      <c r="M1676" s="274"/>
      <c r="N1676" s="274"/>
      <c r="P1676" s="280">
        <v>46204.285946504635</v>
      </c>
    </row>
    <row r="1677" ht="15.75" customHeight="1">
      <c r="A1677" s="18" t="s">
        <v>12</v>
      </c>
      <c r="B1677" s="281">
        <v>46203.0</v>
      </c>
      <c r="D1677" s="18" t="s">
        <v>159</v>
      </c>
      <c r="E1677" s="18" t="s">
        <v>93</v>
      </c>
      <c r="F1677" s="18" t="s">
        <v>79</v>
      </c>
      <c r="G1677" s="18" t="s">
        <v>93</v>
      </c>
      <c r="H1677" s="279">
        <v>3.0</v>
      </c>
      <c r="I1677" s="274"/>
      <c r="J1677" s="274"/>
      <c r="K1677" s="274"/>
      <c r="L1677" s="274"/>
      <c r="M1677" s="274"/>
      <c r="N1677" s="274"/>
      <c r="O1677" s="18" t="s">
        <v>160</v>
      </c>
      <c r="P1677" s="280">
        <v>46204.285946504635</v>
      </c>
    </row>
    <row r="1678" ht="15.75" customHeight="1">
      <c r="A1678" s="18" t="s">
        <v>12</v>
      </c>
      <c r="B1678" s="281">
        <v>46203.0</v>
      </c>
      <c r="D1678" s="18" t="s">
        <v>161</v>
      </c>
      <c r="E1678" s="18" t="s">
        <v>141</v>
      </c>
      <c r="F1678" s="18" t="s">
        <v>79</v>
      </c>
      <c r="G1678" s="18" t="s">
        <v>80</v>
      </c>
      <c r="H1678" s="279">
        <v>94.0</v>
      </c>
      <c r="I1678" s="277">
        <v>60609.0</v>
      </c>
      <c r="J1678" s="277">
        <v>60980.0</v>
      </c>
      <c r="K1678" s="277">
        <v>371.0</v>
      </c>
      <c r="L1678" s="274"/>
      <c r="M1678" s="274"/>
      <c r="N1678" s="274"/>
      <c r="P1678" s="280">
        <v>46204.285946504635</v>
      </c>
    </row>
    <row r="1679" ht="15.75" customHeight="1">
      <c r="A1679" s="18" t="s">
        <v>12</v>
      </c>
      <c r="B1679" s="281">
        <v>46203.0</v>
      </c>
      <c r="D1679" s="18" t="s">
        <v>154</v>
      </c>
      <c r="E1679" s="18" t="s">
        <v>141</v>
      </c>
      <c r="F1679" s="18" t="s">
        <v>79</v>
      </c>
      <c r="G1679" s="18" t="s">
        <v>80</v>
      </c>
      <c r="H1679" s="279">
        <v>54.0</v>
      </c>
      <c r="I1679" s="277">
        <v>367500.0</v>
      </c>
      <c r="J1679" s="277">
        <v>367710.0</v>
      </c>
      <c r="K1679" s="277">
        <v>210.0</v>
      </c>
      <c r="L1679" s="274"/>
      <c r="M1679" s="274"/>
      <c r="N1679" s="274"/>
      <c r="P1679" s="280">
        <v>46204.285946504635</v>
      </c>
    </row>
    <row r="1680" ht="15.75" customHeight="1">
      <c r="A1680" s="18" t="s">
        <v>12</v>
      </c>
      <c r="B1680" s="281">
        <v>46203.0</v>
      </c>
      <c r="D1680" s="18" t="s">
        <v>162</v>
      </c>
      <c r="E1680" s="18" t="s">
        <v>163</v>
      </c>
      <c r="F1680" s="18" t="s">
        <v>79</v>
      </c>
      <c r="G1680" s="18" t="s">
        <v>80</v>
      </c>
      <c r="H1680" s="279">
        <v>1701.0</v>
      </c>
      <c r="I1680" s="274"/>
      <c r="J1680" s="277">
        <v>4356.0</v>
      </c>
      <c r="K1680" s="274"/>
      <c r="L1680" s="274"/>
      <c r="M1680" s="274"/>
      <c r="N1680" s="274"/>
      <c r="P1680" s="280">
        <v>46204.285946504635</v>
      </c>
    </row>
    <row r="1681" ht="15.75" customHeight="1">
      <c r="A1681" s="18" t="s">
        <v>12</v>
      </c>
      <c r="B1681" s="281">
        <v>46203.0</v>
      </c>
      <c r="D1681" s="18" t="s">
        <v>164</v>
      </c>
      <c r="E1681" s="18" t="s">
        <v>163</v>
      </c>
      <c r="F1681" s="18" t="s">
        <v>79</v>
      </c>
      <c r="G1681" s="18" t="s">
        <v>80</v>
      </c>
      <c r="H1681" s="279">
        <v>180.0</v>
      </c>
      <c r="I1681" s="274"/>
      <c r="J1681" s="274"/>
      <c r="K1681" s="274"/>
      <c r="L1681" s="274"/>
      <c r="M1681" s="274"/>
      <c r="N1681" s="274"/>
      <c r="O1681" s="18" t="s">
        <v>131</v>
      </c>
      <c r="P1681" s="280">
        <v>46204.285946504635</v>
      </c>
    </row>
    <row r="1682" ht="15.75" customHeight="1">
      <c r="A1682" s="18" t="s">
        <v>12</v>
      </c>
      <c r="B1682" s="281">
        <v>46203.0</v>
      </c>
      <c r="D1682" s="18" t="s">
        <v>117</v>
      </c>
      <c r="E1682" s="18" t="s">
        <v>141</v>
      </c>
      <c r="F1682" s="18" t="s">
        <v>79</v>
      </c>
      <c r="G1682" s="18" t="s">
        <v>80</v>
      </c>
      <c r="H1682" s="279">
        <v>146.0</v>
      </c>
      <c r="I1682" s="277">
        <v>8392.0</v>
      </c>
      <c r="J1682" s="277">
        <v>8404.0</v>
      </c>
      <c r="K1682" s="277">
        <v>12.0</v>
      </c>
      <c r="L1682" s="274"/>
      <c r="M1682" s="274"/>
      <c r="N1682" s="274"/>
      <c r="P1682" s="280">
        <v>46204.31643175926</v>
      </c>
    </row>
    <row r="1683" ht="15.75" customHeight="1">
      <c r="A1683" s="18" t="s">
        <v>12</v>
      </c>
      <c r="B1683" s="281">
        <v>46203.0</v>
      </c>
      <c r="D1683" s="18" t="s">
        <v>114</v>
      </c>
      <c r="E1683" s="18" t="s">
        <v>141</v>
      </c>
      <c r="F1683" s="18" t="s">
        <v>79</v>
      </c>
      <c r="G1683" s="18" t="s">
        <v>80</v>
      </c>
      <c r="H1683" s="279">
        <v>100.0</v>
      </c>
      <c r="I1683" s="277">
        <v>278741.0</v>
      </c>
      <c r="J1683" s="277">
        <v>278970.0</v>
      </c>
      <c r="K1683" s="277">
        <v>229.0</v>
      </c>
      <c r="L1683" s="274"/>
      <c r="M1683" s="274"/>
      <c r="N1683" s="274"/>
      <c r="P1683" s="280">
        <v>46204.31643175926</v>
      </c>
    </row>
    <row r="1684" ht="15.75" customHeight="1">
      <c r="A1684" s="18" t="s">
        <v>12</v>
      </c>
      <c r="B1684" s="281">
        <v>46179.0</v>
      </c>
      <c r="D1684" s="18" t="s">
        <v>116</v>
      </c>
      <c r="E1684" s="18" t="s">
        <v>149</v>
      </c>
      <c r="F1684" s="18" t="s">
        <v>150</v>
      </c>
      <c r="G1684" s="18" t="s">
        <v>80</v>
      </c>
      <c r="H1684" s="279">
        <v>368.6</v>
      </c>
      <c r="I1684" s="274"/>
      <c r="J1684" s="274"/>
      <c r="K1684" s="274"/>
      <c r="L1684" s="274"/>
      <c r="M1684" s="274"/>
      <c r="N1684" s="274"/>
      <c r="P1684" s="280">
        <v>46204.33377710648</v>
      </c>
    </row>
    <row r="1685" ht="15.75" customHeight="1">
      <c r="A1685" s="18" t="s">
        <v>12</v>
      </c>
      <c r="B1685" s="281">
        <v>46182.0</v>
      </c>
      <c r="D1685" s="18" t="s">
        <v>116</v>
      </c>
      <c r="E1685" s="18" t="s">
        <v>149</v>
      </c>
      <c r="F1685" s="18" t="s">
        <v>150</v>
      </c>
      <c r="G1685" s="18" t="s">
        <v>80</v>
      </c>
      <c r="H1685" s="279">
        <v>336.003</v>
      </c>
      <c r="I1685" s="274"/>
      <c r="J1685" s="274"/>
      <c r="K1685" s="274"/>
      <c r="L1685" s="274"/>
      <c r="M1685" s="274"/>
      <c r="N1685" s="274"/>
      <c r="P1685" s="280">
        <v>46204.33429054398</v>
      </c>
    </row>
    <row r="1686" ht="15.75" customHeight="1">
      <c r="A1686" s="18" t="s">
        <v>12</v>
      </c>
      <c r="B1686" s="281">
        <v>46202.0</v>
      </c>
      <c r="D1686" s="18" t="s">
        <v>116</v>
      </c>
      <c r="E1686" s="18" t="s">
        <v>149</v>
      </c>
      <c r="F1686" s="18" t="s">
        <v>150</v>
      </c>
      <c r="G1686" s="18" t="s">
        <v>80</v>
      </c>
      <c r="H1686" s="279">
        <v>50.0</v>
      </c>
      <c r="I1686" s="274"/>
      <c r="J1686" s="274"/>
      <c r="K1686" s="274"/>
      <c r="L1686" s="274"/>
      <c r="M1686" s="274"/>
      <c r="N1686" s="274"/>
      <c r="P1686" s="280">
        <v>46204.33549329861</v>
      </c>
    </row>
    <row r="1687" ht="15.75" customHeight="1">
      <c r="A1687" s="18" t="s">
        <v>12</v>
      </c>
      <c r="B1687" s="281">
        <v>46203.0</v>
      </c>
      <c r="D1687" s="18" t="s">
        <v>135</v>
      </c>
      <c r="E1687" s="18" t="s">
        <v>141</v>
      </c>
      <c r="F1687" s="18" t="s">
        <v>79</v>
      </c>
      <c r="G1687" s="18" t="s">
        <v>80</v>
      </c>
      <c r="H1687" s="279">
        <v>43.0</v>
      </c>
      <c r="I1687" s="277">
        <v>479019.0</v>
      </c>
      <c r="J1687" s="277">
        <v>479520.0</v>
      </c>
      <c r="K1687" s="277">
        <v>501.0</v>
      </c>
      <c r="L1687" s="274"/>
      <c r="M1687" s="274"/>
      <c r="N1687" s="274"/>
      <c r="P1687" s="280">
        <v>46204.64816880787</v>
      </c>
    </row>
    <row r="1688" ht="15.75" customHeight="1">
      <c r="A1688" s="18" t="s">
        <v>12</v>
      </c>
      <c r="B1688" s="281">
        <v>46203.0</v>
      </c>
      <c r="D1688" s="18" t="s">
        <v>88</v>
      </c>
      <c r="E1688" s="18" t="s">
        <v>141</v>
      </c>
      <c r="F1688" s="18" t="s">
        <v>79</v>
      </c>
      <c r="G1688" s="18" t="s">
        <v>80</v>
      </c>
      <c r="H1688" s="279">
        <v>509.0</v>
      </c>
      <c r="I1688" s="277">
        <v>248686.0</v>
      </c>
      <c r="J1688" s="277">
        <v>249661.0</v>
      </c>
      <c r="K1688" s="277">
        <v>975.0</v>
      </c>
      <c r="L1688" s="274"/>
      <c r="M1688" s="274"/>
      <c r="N1688" s="274"/>
      <c r="P1688" s="280">
        <v>46204.64816880787</v>
      </c>
    </row>
    <row r="1689" ht="15.75" customHeight="1">
      <c r="A1689" s="18" t="s">
        <v>12</v>
      </c>
      <c r="B1689" s="281">
        <v>46203.0</v>
      </c>
      <c r="D1689" s="18" t="s">
        <v>153</v>
      </c>
      <c r="E1689" s="18" t="s">
        <v>141</v>
      </c>
      <c r="F1689" s="18" t="s">
        <v>79</v>
      </c>
      <c r="G1689" s="18" t="s">
        <v>80</v>
      </c>
      <c r="H1689" s="279">
        <v>75.0</v>
      </c>
      <c r="I1689" s="277">
        <v>361432.0</v>
      </c>
      <c r="J1689" s="277">
        <v>361697.0</v>
      </c>
      <c r="K1689" s="277">
        <v>265.0</v>
      </c>
      <c r="L1689" s="274"/>
      <c r="M1689" s="274"/>
      <c r="N1689" s="274"/>
      <c r="P1689" s="280">
        <v>46204.65649601852</v>
      </c>
    </row>
    <row r="1690" ht="15.75" customHeight="1">
      <c r="A1690" s="18" t="s">
        <v>12</v>
      </c>
      <c r="B1690" s="281">
        <v>46203.0</v>
      </c>
      <c r="D1690" s="18" t="s">
        <v>77</v>
      </c>
      <c r="E1690" s="18" t="s">
        <v>141</v>
      </c>
      <c r="F1690" s="18" t="s">
        <v>79</v>
      </c>
      <c r="G1690" s="18" t="s">
        <v>80</v>
      </c>
      <c r="H1690" s="279">
        <v>100.0</v>
      </c>
      <c r="I1690" s="277">
        <v>25163.0</v>
      </c>
      <c r="J1690" s="277">
        <v>25442.0</v>
      </c>
      <c r="K1690" s="277">
        <v>279.0</v>
      </c>
      <c r="L1690" s="274"/>
      <c r="M1690" s="274"/>
      <c r="N1690" s="274"/>
      <c r="P1690" s="280">
        <v>46204.65649601852</v>
      </c>
    </row>
    <row r="1691" ht="15.75" customHeight="1">
      <c r="A1691" s="18" t="s">
        <v>12</v>
      </c>
      <c r="B1691" s="281">
        <v>46203.0</v>
      </c>
      <c r="D1691" s="18" t="s">
        <v>105</v>
      </c>
      <c r="E1691" s="18" t="s">
        <v>141</v>
      </c>
      <c r="F1691" s="18" t="s">
        <v>79</v>
      </c>
      <c r="G1691" s="18" t="s">
        <v>80</v>
      </c>
      <c r="H1691" s="279">
        <v>160.0</v>
      </c>
      <c r="I1691" s="277">
        <v>4447.0</v>
      </c>
      <c r="J1691" s="277">
        <v>4834.0</v>
      </c>
      <c r="K1691" s="277">
        <v>387.0</v>
      </c>
      <c r="L1691" s="274"/>
      <c r="M1691" s="274"/>
      <c r="N1691" s="274"/>
      <c r="P1691" s="280">
        <v>46204.65649601852</v>
      </c>
    </row>
    <row r="1692" ht="15.75" customHeight="1">
      <c r="A1692" s="18" t="s">
        <v>12</v>
      </c>
      <c r="B1692" s="281">
        <v>46203.0</v>
      </c>
      <c r="D1692" s="18" t="s">
        <v>103</v>
      </c>
      <c r="E1692" s="18" t="s">
        <v>141</v>
      </c>
      <c r="F1692" s="18" t="s">
        <v>79</v>
      </c>
      <c r="G1692" s="18" t="s">
        <v>80</v>
      </c>
      <c r="H1692" s="279">
        <v>165.0</v>
      </c>
      <c r="I1692" s="277">
        <v>4386.0</v>
      </c>
      <c r="J1692" s="277">
        <v>4401.0</v>
      </c>
      <c r="K1692" s="277">
        <v>15.0</v>
      </c>
      <c r="L1692" s="274"/>
      <c r="M1692" s="274"/>
      <c r="N1692" s="274"/>
      <c r="P1692" s="280">
        <v>46204.65649601852</v>
      </c>
    </row>
    <row r="1693" ht="15.75" customHeight="1">
      <c r="A1693" s="18" t="s">
        <v>12</v>
      </c>
      <c r="B1693" s="281">
        <v>46203.0</v>
      </c>
      <c r="D1693" s="18" t="s">
        <v>133</v>
      </c>
      <c r="E1693" s="18" t="s">
        <v>163</v>
      </c>
      <c r="F1693" s="18" t="s">
        <v>79</v>
      </c>
      <c r="G1693" s="18" t="s">
        <v>80</v>
      </c>
      <c r="H1693" s="279">
        <v>215.0</v>
      </c>
      <c r="I1693" s="274"/>
      <c r="J1693" s="274"/>
      <c r="K1693" s="274"/>
      <c r="L1693" s="274"/>
      <c r="M1693" s="274"/>
      <c r="N1693" s="274"/>
      <c r="O1693" s="18" t="s">
        <v>165</v>
      </c>
      <c r="P1693" s="280">
        <v>46204.65649601852</v>
      </c>
    </row>
    <row r="1694" ht="15.75" customHeight="1">
      <c r="A1694" s="18" t="s">
        <v>12</v>
      </c>
      <c r="B1694" s="281">
        <v>46174.0</v>
      </c>
      <c r="D1694" s="18" t="s">
        <v>119</v>
      </c>
      <c r="E1694" s="18" t="s">
        <v>149</v>
      </c>
      <c r="F1694" s="18" t="s">
        <v>150</v>
      </c>
      <c r="G1694" s="18" t="s">
        <v>80</v>
      </c>
      <c r="H1694" s="279">
        <v>250.0</v>
      </c>
      <c r="I1694" s="274"/>
      <c r="J1694" s="274"/>
      <c r="K1694" s="274"/>
      <c r="L1694" s="274"/>
      <c r="M1694" s="274"/>
      <c r="N1694" s="274"/>
      <c r="P1694" s="280">
        <v>46204.664613368055</v>
      </c>
    </row>
    <row r="1695" ht="15.75" customHeight="1">
      <c r="A1695" s="18" t="s">
        <v>12</v>
      </c>
      <c r="B1695" s="281">
        <v>46180.0</v>
      </c>
      <c r="D1695" s="18" t="s">
        <v>119</v>
      </c>
      <c r="E1695" s="18" t="s">
        <v>149</v>
      </c>
      <c r="F1695" s="18" t="s">
        <v>150</v>
      </c>
      <c r="G1695" s="18" t="s">
        <v>80</v>
      </c>
      <c r="H1695" s="279">
        <v>300.0</v>
      </c>
      <c r="I1695" s="274"/>
      <c r="J1695" s="274"/>
      <c r="K1695" s="274"/>
      <c r="L1695" s="274"/>
      <c r="M1695" s="274"/>
      <c r="N1695" s="274"/>
      <c r="P1695" s="280">
        <v>46204.66529949074</v>
      </c>
    </row>
    <row r="1696" ht="15.75" customHeight="1">
      <c r="A1696" s="18" t="s">
        <v>12</v>
      </c>
      <c r="B1696" s="281">
        <v>46183.0</v>
      </c>
      <c r="D1696" s="18" t="s">
        <v>119</v>
      </c>
      <c r="E1696" s="18" t="s">
        <v>149</v>
      </c>
      <c r="F1696" s="18" t="s">
        <v>150</v>
      </c>
      <c r="G1696" s="18" t="s">
        <v>80</v>
      </c>
      <c r="H1696" s="279">
        <v>300.0</v>
      </c>
      <c r="I1696" s="274"/>
      <c r="J1696" s="274"/>
      <c r="K1696" s="274"/>
      <c r="L1696" s="274"/>
      <c r="M1696" s="274"/>
      <c r="N1696" s="274"/>
      <c r="P1696" s="280">
        <v>46204.66570950231</v>
      </c>
    </row>
    <row r="1697" ht="15.75" customHeight="1">
      <c r="A1697" s="18" t="s">
        <v>12</v>
      </c>
      <c r="B1697" s="281">
        <v>46189.0</v>
      </c>
      <c r="D1697" s="18" t="s">
        <v>119</v>
      </c>
      <c r="E1697" s="18" t="s">
        <v>149</v>
      </c>
      <c r="F1697" s="18" t="s">
        <v>150</v>
      </c>
      <c r="G1697" s="18" t="s">
        <v>80</v>
      </c>
      <c r="H1697" s="279">
        <v>300.0</v>
      </c>
      <c r="I1697" s="274"/>
      <c r="J1697" s="274"/>
      <c r="K1697" s="274"/>
      <c r="L1697" s="274"/>
      <c r="M1697" s="274"/>
      <c r="N1697" s="274"/>
      <c r="P1697" s="280">
        <v>46204.66600074074</v>
      </c>
    </row>
    <row r="1698" ht="15.75" customHeight="1">
      <c r="A1698" s="18" t="s">
        <v>12</v>
      </c>
      <c r="B1698" s="281">
        <v>46205.0</v>
      </c>
      <c r="D1698" s="18" t="s">
        <v>98</v>
      </c>
      <c r="E1698" s="18" t="s">
        <v>110</v>
      </c>
      <c r="F1698" s="18" t="s">
        <v>79</v>
      </c>
      <c r="G1698" s="18" t="s">
        <v>110</v>
      </c>
      <c r="H1698" s="279">
        <v>22.0</v>
      </c>
      <c r="I1698" s="277">
        <v>154543.0</v>
      </c>
      <c r="J1698" s="277">
        <v>170789.0</v>
      </c>
      <c r="K1698" s="277">
        <v>16246.0</v>
      </c>
      <c r="L1698" s="274"/>
      <c r="M1698" s="274"/>
      <c r="N1698" s="274"/>
      <c r="P1698" s="280">
        <v>46205.63206315972</v>
      </c>
    </row>
    <row r="1699" ht="15.75" customHeight="1">
      <c r="A1699" s="18" t="s">
        <v>12</v>
      </c>
      <c r="B1699" s="281">
        <v>46205.0</v>
      </c>
      <c r="D1699" s="18" t="s">
        <v>97</v>
      </c>
      <c r="E1699" s="18" t="s">
        <v>141</v>
      </c>
      <c r="F1699" s="18" t="s">
        <v>79</v>
      </c>
      <c r="G1699" s="18" t="s">
        <v>80</v>
      </c>
      <c r="H1699" s="279">
        <v>127.0</v>
      </c>
      <c r="I1699" s="277">
        <v>183860.0</v>
      </c>
      <c r="J1699" s="277">
        <v>183971.0</v>
      </c>
      <c r="K1699" s="277">
        <v>111.0</v>
      </c>
      <c r="L1699" s="274"/>
      <c r="M1699" s="274"/>
      <c r="N1699" s="274"/>
      <c r="P1699" s="280">
        <v>46205.63206315972</v>
      </c>
    </row>
    <row r="1700" ht="15.75" customHeight="1">
      <c r="A1700" s="18" t="s">
        <v>12</v>
      </c>
      <c r="B1700" s="281">
        <v>46205.0</v>
      </c>
      <c r="D1700" s="18" t="s">
        <v>166</v>
      </c>
      <c r="E1700" s="18" t="s">
        <v>141</v>
      </c>
      <c r="F1700" s="18" t="s">
        <v>79</v>
      </c>
      <c r="G1700" s="18" t="s">
        <v>80</v>
      </c>
      <c r="H1700" s="279">
        <v>350.0</v>
      </c>
      <c r="I1700" s="277">
        <v>0.0</v>
      </c>
      <c r="J1700" s="277">
        <v>269.0</v>
      </c>
      <c r="K1700" s="277">
        <v>269.0</v>
      </c>
      <c r="L1700" s="274"/>
      <c r="M1700" s="274"/>
      <c r="N1700" s="274"/>
      <c r="P1700" s="280">
        <v>46205.63206315972</v>
      </c>
    </row>
    <row r="1701" ht="15.75" customHeight="1">
      <c r="A1701" s="18" t="s">
        <v>12</v>
      </c>
      <c r="B1701" s="281">
        <v>46205.0</v>
      </c>
      <c r="D1701" s="18" t="s">
        <v>115</v>
      </c>
      <c r="E1701" s="18" t="s">
        <v>110</v>
      </c>
      <c r="F1701" s="18" t="s">
        <v>79</v>
      </c>
      <c r="G1701" s="18" t="s">
        <v>110</v>
      </c>
      <c r="H1701" s="279">
        <v>30.0</v>
      </c>
      <c r="I1701" s="277">
        <v>4500.0</v>
      </c>
      <c r="J1701" s="277">
        <v>21051.0</v>
      </c>
      <c r="K1701" s="277">
        <v>16551.0</v>
      </c>
      <c r="L1701" s="274"/>
      <c r="M1701" s="274"/>
      <c r="N1701" s="274"/>
      <c r="P1701" s="280">
        <v>46206.26436789352</v>
      </c>
    </row>
    <row r="1702" ht="15.75" customHeight="1">
      <c r="A1702" s="18" t="s">
        <v>12</v>
      </c>
      <c r="B1702" s="281">
        <v>46206.0</v>
      </c>
      <c r="D1702" s="18" t="s">
        <v>123</v>
      </c>
      <c r="E1702" s="18" t="s">
        <v>141</v>
      </c>
      <c r="F1702" s="18" t="s">
        <v>79</v>
      </c>
      <c r="G1702" s="18" t="s">
        <v>80</v>
      </c>
      <c r="H1702" s="279">
        <v>387.0</v>
      </c>
      <c r="I1702" s="277">
        <v>205274.0</v>
      </c>
      <c r="J1702" s="277">
        <v>206034.0</v>
      </c>
      <c r="K1702" s="277">
        <v>760.0</v>
      </c>
      <c r="L1702" s="274"/>
      <c r="M1702" s="274"/>
      <c r="N1702" s="274"/>
      <c r="P1702" s="280">
        <v>46206.429293124995</v>
      </c>
    </row>
    <row r="1703" ht="15.75" customHeight="1">
      <c r="A1703" s="18" t="s">
        <v>12</v>
      </c>
      <c r="B1703" s="281">
        <v>46206.0</v>
      </c>
      <c r="D1703" s="18" t="s">
        <v>167</v>
      </c>
      <c r="E1703" s="18" t="s">
        <v>141</v>
      </c>
      <c r="F1703" s="18" t="s">
        <v>79</v>
      </c>
      <c r="G1703" s="18" t="s">
        <v>80</v>
      </c>
      <c r="H1703" s="279">
        <v>40.0</v>
      </c>
      <c r="I1703" s="274"/>
      <c r="J1703" s="274"/>
      <c r="K1703" s="274"/>
      <c r="L1703" s="274"/>
      <c r="M1703" s="274"/>
      <c r="N1703" s="274"/>
      <c r="P1703" s="280">
        <v>46206.65041141203</v>
      </c>
    </row>
    <row r="1704" ht="15.75" customHeight="1">
      <c r="A1704" s="18" t="s">
        <v>12</v>
      </c>
      <c r="B1704" s="281">
        <v>46206.0</v>
      </c>
      <c r="D1704" s="18" t="s">
        <v>77</v>
      </c>
      <c r="E1704" s="18" t="s">
        <v>141</v>
      </c>
      <c r="F1704" s="18" t="s">
        <v>79</v>
      </c>
      <c r="G1704" s="18" t="s">
        <v>80</v>
      </c>
      <c r="H1704" s="279">
        <v>45.0</v>
      </c>
      <c r="I1704" s="274"/>
      <c r="J1704" s="274"/>
      <c r="K1704" s="274"/>
      <c r="L1704" s="274"/>
      <c r="M1704" s="274"/>
      <c r="N1704" s="274"/>
      <c r="O1704" s="18" t="s">
        <v>85</v>
      </c>
      <c r="P1704" s="280">
        <v>46206.65041141203</v>
      </c>
    </row>
    <row r="1705" ht="15.75" customHeight="1">
      <c r="A1705" s="18" t="s">
        <v>12</v>
      </c>
      <c r="B1705" s="281">
        <v>46206.0</v>
      </c>
      <c r="D1705" s="18" t="s">
        <v>115</v>
      </c>
      <c r="E1705" s="18" t="s">
        <v>141</v>
      </c>
      <c r="F1705" s="18" t="s">
        <v>79</v>
      </c>
      <c r="G1705" s="18" t="s">
        <v>80</v>
      </c>
      <c r="H1705" s="279">
        <v>390.0</v>
      </c>
      <c r="I1705" s="277">
        <v>20321.0</v>
      </c>
      <c r="J1705" s="277">
        <v>21396.0</v>
      </c>
      <c r="K1705" s="277">
        <v>1075.0</v>
      </c>
      <c r="L1705" s="274"/>
      <c r="M1705" s="274"/>
      <c r="N1705" s="274"/>
      <c r="P1705" s="280">
        <v>46207.26334754629</v>
      </c>
    </row>
    <row r="1706" ht="15.75" customHeight="1">
      <c r="A1706" s="18" t="s">
        <v>12</v>
      </c>
      <c r="B1706" s="281">
        <v>46206.0</v>
      </c>
      <c r="D1706" s="18" t="s">
        <v>100</v>
      </c>
      <c r="E1706" s="18" t="s">
        <v>141</v>
      </c>
      <c r="F1706" s="18" t="s">
        <v>79</v>
      </c>
      <c r="G1706" s="18" t="s">
        <v>80</v>
      </c>
      <c r="H1706" s="279">
        <v>310.0</v>
      </c>
      <c r="I1706" s="277">
        <v>411589.0</v>
      </c>
      <c r="J1706" s="277">
        <v>412346.0</v>
      </c>
      <c r="K1706" s="277">
        <v>757.0</v>
      </c>
      <c r="L1706" s="274"/>
      <c r="M1706" s="274"/>
      <c r="N1706" s="274"/>
      <c r="P1706" s="280">
        <v>46207.26334754629</v>
      </c>
    </row>
    <row r="1707" ht="15.75" customHeight="1">
      <c r="A1707" s="18" t="s">
        <v>12</v>
      </c>
      <c r="B1707" s="281">
        <v>46206.0</v>
      </c>
      <c r="D1707" s="18" t="s">
        <v>96</v>
      </c>
      <c r="E1707" s="18" t="s">
        <v>141</v>
      </c>
      <c r="F1707" s="18" t="s">
        <v>79</v>
      </c>
      <c r="G1707" s="18" t="s">
        <v>80</v>
      </c>
      <c r="H1707" s="279">
        <v>360.0</v>
      </c>
      <c r="I1707" s="277">
        <v>84323.0</v>
      </c>
      <c r="J1707" s="277">
        <v>85139.0</v>
      </c>
      <c r="K1707" s="277">
        <v>816.0</v>
      </c>
      <c r="L1707" s="274"/>
      <c r="M1707" s="274"/>
      <c r="N1707" s="274"/>
      <c r="P1707" s="280">
        <v>46207.26334754629</v>
      </c>
    </row>
    <row r="1708" ht="15.75" customHeight="1">
      <c r="A1708" s="18" t="s">
        <v>12</v>
      </c>
      <c r="B1708" s="281">
        <v>46206.0</v>
      </c>
      <c r="D1708" s="18" t="s">
        <v>99</v>
      </c>
      <c r="E1708" s="18" t="s">
        <v>141</v>
      </c>
      <c r="F1708" s="18" t="s">
        <v>79</v>
      </c>
      <c r="G1708" s="18" t="s">
        <v>80</v>
      </c>
      <c r="H1708" s="279">
        <v>390.0</v>
      </c>
      <c r="I1708" s="277">
        <v>156601.0</v>
      </c>
      <c r="J1708" s="277">
        <v>157445.0</v>
      </c>
      <c r="K1708" s="277">
        <v>844.0</v>
      </c>
      <c r="L1708" s="274"/>
      <c r="M1708" s="274"/>
      <c r="N1708" s="274"/>
      <c r="P1708" s="280">
        <v>46207.26334754629</v>
      </c>
    </row>
    <row r="1709" ht="15.75" customHeight="1">
      <c r="A1709" s="18" t="s">
        <v>12</v>
      </c>
      <c r="B1709" s="281">
        <v>46206.0</v>
      </c>
      <c r="D1709" s="18" t="s">
        <v>98</v>
      </c>
      <c r="E1709" s="18" t="s">
        <v>141</v>
      </c>
      <c r="F1709" s="18" t="s">
        <v>79</v>
      </c>
      <c r="G1709" s="18" t="s">
        <v>80</v>
      </c>
      <c r="H1709" s="279">
        <v>164.0</v>
      </c>
      <c r="I1709" s="277">
        <v>170471.0</v>
      </c>
      <c r="J1709" s="277">
        <v>170871.0</v>
      </c>
      <c r="K1709" s="277">
        <v>400.0</v>
      </c>
      <c r="L1709" s="274"/>
      <c r="M1709" s="274"/>
      <c r="N1709" s="274"/>
      <c r="P1709" s="280">
        <v>46207.26334754629</v>
      </c>
    </row>
    <row r="1710" ht="15.75" customHeight="1">
      <c r="A1710" s="18" t="s">
        <v>12</v>
      </c>
      <c r="B1710" s="281">
        <v>46207.0</v>
      </c>
      <c r="D1710" s="18" t="s">
        <v>84</v>
      </c>
      <c r="E1710" s="18" t="s">
        <v>141</v>
      </c>
      <c r="F1710" s="18" t="s">
        <v>79</v>
      </c>
      <c r="G1710" s="18" t="s">
        <v>80</v>
      </c>
      <c r="H1710" s="279">
        <v>46.0</v>
      </c>
      <c r="I1710" s="274"/>
      <c r="J1710" s="274"/>
      <c r="K1710" s="274"/>
      <c r="L1710" s="274"/>
      <c r="M1710" s="274"/>
      <c r="N1710" s="274"/>
      <c r="O1710" s="18" t="s">
        <v>85</v>
      </c>
      <c r="P1710" s="280">
        <v>46207.41507609954</v>
      </c>
    </row>
    <row r="1711" ht="15.75" customHeight="1">
      <c r="A1711" s="18" t="s">
        <v>12</v>
      </c>
      <c r="B1711" s="281">
        <v>46207.0</v>
      </c>
      <c r="D1711" s="18" t="s">
        <v>88</v>
      </c>
      <c r="E1711" s="18" t="s">
        <v>141</v>
      </c>
      <c r="F1711" s="18" t="s">
        <v>79</v>
      </c>
      <c r="G1711" s="18" t="s">
        <v>80</v>
      </c>
      <c r="H1711" s="279">
        <v>460.0</v>
      </c>
      <c r="I1711" s="277">
        <v>249661.0</v>
      </c>
      <c r="J1711" s="277">
        <v>250608.0</v>
      </c>
      <c r="K1711" s="277">
        <v>947.0</v>
      </c>
      <c r="L1711" s="274"/>
      <c r="M1711" s="274"/>
      <c r="N1711" s="274"/>
      <c r="P1711" s="280">
        <v>46207.41507609954</v>
      </c>
    </row>
    <row r="1712" ht="15.75" customHeight="1">
      <c r="A1712" s="18" t="s">
        <v>12</v>
      </c>
      <c r="B1712" s="281">
        <v>46207.0</v>
      </c>
      <c r="D1712" s="18" t="s">
        <v>136</v>
      </c>
      <c r="E1712" s="18" t="s">
        <v>141</v>
      </c>
      <c r="F1712" s="18" t="s">
        <v>79</v>
      </c>
      <c r="G1712" s="18" t="s">
        <v>80</v>
      </c>
      <c r="H1712" s="279">
        <v>63.0</v>
      </c>
      <c r="I1712" s="277">
        <v>322294.0</v>
      </c>
      <c r="J1712" s="277">
        <v>323179.0</v>
      </c>
      <c r="K1712" s="277">
        <v>885.0</v>
      </c>
      <c r="L1712" s="274"/>
      <c r="M1712" s="274"/>
      <c r="N1712" s="274"/>
      <c r="P1712" s="280">
        <v>46207.41507609954</v>
      </c>
    </row>
    <row r="1713" ht="15.75" customHeight="1">
      <c r="A1713" s="18" t="s">
        <v>12</v>
      </c>
      <c r="B1713" s="281">
        <v>46207.0</v>
      </c>
      <c r="D1713" s="18" t="s">
        <v>130</v>
      </c>
      <c r="E1713" s="18" t="s">
        <v>141</v>
      </c>
      <c r="F1713" s="18" t="s">
        <v>79</v>
      </c>
      <c r="G1713" s="18" t="s">
        <v>80</v>
      </c>
      <c r="H1713" s="279">
        <v>157.0</v>
      </c>
      <c r="I1713" s="274"/>
      <c r="J1713" s="274"/>
      <c r="K1713" s="274"/>
      <c r="L1713" s="274"/>
      <c r="M1713" s="274"/>
      <c r="N1713" s="274"/>
      <c r="O1713" s="18" t="s">
        <v>131</v>
      </c>
      <c r="P1713" s="280">
        <v>46207.41507609954</v>
      </c>
    </row>
    <row r="1714" ht="15.75" customHeight="1">
      <c r="A1714" s="18" t="s">
        <v>12</v>
      </c>
      <c r="B1714" s="281">
        <v>46207.0</v>
      </c>
      <c r="D1714" s="18" t="s">
        <v>86</v>
      </c>
      <c r="E1714" s="18" t="s">
        <v>141</v>
      </c>
      <c r="F1714" s="18" t="s">
        <v>79</v>
      </c>
      <c r="G1714" s="18" t="s">
        <v>80</v>
      </c>
      <c r="H1714" s="279">
        <v>222.0</v>
      </c>
      <c r="I1714" s="277">
        <v>194252.0</v>
      </c>
      <c r="J1714" s="277">
        <v>194746.0</v>
      </c>
      <c r="K1714" s="277">
        <v>494.0</v>
      </c>
      <c r="L1714" s="274"/>
      <c r="M1714" s="274"/>
      <c r="N1714" s="274"/>
      <c r="P1714" s="280">
        <v>46207.41507609954</v>
      </c>
    </row>
    <row r="1715" ht="15.75" customHeight="1">
      <c r="A1715" s="18" t="s">
        <v>12</v>
      </c>
      <c r="B1715" s="281">
        <v>46207.0</v>
      </c>
      <c r="D1715" s="18" t="s">
        <v>117</v>
      </c>
      <c r="E1715" s="18" t="s">
        <v>141</v>
      </c>
      <c r="F1715" s="18" t="s">
        <v>79</v>
      </c>
      <c r="G1715" s="18" t="s">
        <v>80</v>
      </c>
      <c r="H1715" s="279">
        <v>155.0</v>
      </c>
      <c r="I1715" s="277">
        <v>8404.0</v>
      </c>
      <c r="J1715" s="277">
        <v>8417.0</v>
      </c>
      <c r="K1715" s="277">
        <v>13.0</v>
      </c>
      <c r="L1715" s="274"/>
      <c r="M1715" s="274"/>
      <c r="N1715" s="274"/>
      <c r="P1715" s="280">
        <v>46207.41507609954</v>
      </c>
    </row>
    <row r="1716" ht="15.75" customHeight="1">
      <c r="A1716" s="18" t="s">
        <v>12</v>
      </c>
      <c r="B1716" s="281">
        <v>46207.0</v>
      </c>
      <c r="D1716" s="18" t="s">
        <v>102</v>
      </c>
      <c r="E1716" s="18" t="s">
        <v>141</v>
      </c>
      <c r="F1716" s="18" t="s">
        <v>79</v>
      </c>
      <c r="G1716" s="18" t="s">
        <v>80</v>
      </c>
      <c r="H1716" s="279">
        <v>223.0</v>
      </c>
      <c r="I1716" s="277">
        <v>256859.0</v>
      </c>
      <c r="J1716" s="277">
        <v>257363.0</v>
      </c>
      <c r="K1716" s="277">
        <v>504.0</v>
      </c>
      <c r="L1716" s="274"/>
      <c r="M1716" s="274"/>
      <c r="N1716" s="274"/>
      <c r="P1716" s="280">
        <v>46207.68432493055</v>
      </c>
    </row>
    <row r="1717" ht="15.75" customHeight="1">
      <c r="A1717" s="18" t="s">
        <v>12</v>
      </c>
      <c r="B1717" s="281">
        <v>46207.0</v>
      </c>
      <c r="D1717" s="18" t="s">
        <v>82</v>
      </c>
      <c r="E1717" s="18" t="s">
        <v>141</v>
      </c>
      <c r="F1717" s="18" t="s">
        <v>79</v>
      </c>
      <c r="G1717" s="18" t="s">
        <v>80</v>
      </c>
      <c r="H1717" s="279">
        <v>88.0</v>
      </c>
      <c r="I1717" s="277">
        <v>100593.0</v>
      </c>
      <c r="J1717" s="277">
        <v>101689.0</v>
      </c>
      <c r="K1717" s="277">
        <v>1096.0</v>
      </c>
      <c r="L1717" s="274"/>
      <c r="M1717" s="274"/>
      <c r="N1717" s="274"/>
      <c r="P1717" s="280">
        <v>46207.68432493055</v>
      </c>
    </row>
    <row r="1718" ht="15.75" customHeight="1">
      <c r="A1718" s="18" t="s">
        <v>12</v>
      </c>
      <c r="B1718" s="281">
        <v>46207.0</v>
      </c>
      <c r="D1718" s="18" t="s">
        <v>82</v>
      </c>
      <c r="E1718" s="18" t="s">
        <v>110</v>
      </c>
      <c r="F1718" s="18" t="s">
        <v>79</v>
      </c>
      <c r="G1718" s="18" t="s">
        <v>110</v>
      </c>
      <c r="H1718" s="279">
        <v>28.0</v>
      </c>
      <c r="I1718" s="277">
        <v>88807.0</v>
      </c>
      <c r="J1718" s="277">
        <v>101774.0</v>
      </c>
      <c r="K1718" s="277">
        <v>12967.0</v>
      </c>
      <c r="L1718" s="274"/>
      <c r="M1718" s="274"/>
      <c r="N1718" s="274"/>
      <c r="P1718" s="275"/>
    </row>
    <row r="1719" ht="15.75" customHeight="1">
      <c r="A1719" s="18" t="s">
        <v>12</v>
      </c>
      <c r="B1719" s="281">
        <v>46208.0</v>
      </c>
      <c r="D1719" s="18" t="s">
        <v>118</v>
      </c>
      <c r="E1719" s="18" t="s">
        <v>168</v>
      </c>
      <c r="F1719" s="18" t="s">
        <v>150</v>
      </c>
      <c r="G1719" s="18" t="s">
        <v>80</v>
      </c>
      <c r="H1719" s="279">
        <v>458.218</v>
      </c>
      <c r="I1719" s="277">
        <v>156239.0</v>
      </c>
      <c r="J1719" s="277">
        <v>157316.0</v>
      </c>
      <c r="K1719" s="277">
        <v>1077.0</v>
      </c>
      <c r="L1719" s="274"/>
      <c r="M1719" s="274"/>
      <c r="N1719" s="274"/>
      <c r="P1719" s="275"/>
    </row>
    <row r="1720" ht="15.75" customHeight="1">
      <c r="A1720" s="18" t="s">
        <v>12</v>
      </c>
      <c r="B1720" s="281">
        <v>46208.0</v>
      </c>
      <c r="D1720" s="18" t="s">
        <v>82</v>
      </c>
      <c r="E1720" s="18" t="s">
        <v>168</v>
      </c>
      <c r="F1720" s="18" t="s">
        <v>150</v>
      </c>
      <c r="G1720" s="18" t="s">
        <v>80</v>
      </c>
      <c r="H1720" s="279">
        <v>432.218</v>
      </c>
      <c r="I1720" s="277">
        <v>101689.0</v>
      </c>
      <c r="J1720" s="277">
        <v>101859.0</v>
      </c>
      <c r="K1720" s="277">
        <v>170.0</v>
      </c>
      <c r="L1720" s="274"/>
      <c r="M1720" s="274"/>
      <c r="N1720" s="274"/>
      <c r="P1720" s="275"/>
    </row>
    <row r="1721" ht="15.75" customHeight="1">
      <c r="A1721" s="18" t="s">
        <v>12</v>
      </c>
      <c r="B1721" s="281">
        <v>46208.0</v>
      </c>
      <c r="D1721" s="18" t="s">
        <v>112</v>
      </c>
      <c r="E1721" s="18" t="s">
        <v>168</v>
      </c>
      <c r="F1721" s="18" t="s">
        <v>150</v>
      </c>
      <c r="G1721" s="18" t="s">
        <v>80</v>
      </c>
      <c r="H1721" s="279">
        <v>259.806</v>
      </c>
      <c r="I1721" s="277">
        <v>102063.0</v>
      </c>
      <c r="J1721" s="277">
        <v>102665.0</v>
      </c>
      <c r="K1721" s="277">
        <v>602.0</v>
      </c>
      <c r="L1721" s="274"/>
      <c r="M1721" s="274"/>
      <c r="N1721" s="274"/>
      <c r="P1721" s="275"/>
    </row>
    <row r="1722" ht="15.75" customHeight="1">
      <c r="A1722" s="18" t="s">
        <v>16</v>
      </c>
      <c r="B1722" s="281">
        <v>46208.0</v>
      </c>
      <c r="E1722" s="18" t="s">
        <v>141</v>
      </c>
      <c r="F1722" s="18" t="s">
        <v>142</v>
      </c>
      <c r="G1722" s="18" t="s">
        <v>80</v>
      </c>
      <c r="H1722" s="279">
        <v>22935.0</v>
      </c>
      <c r="I1722" s="274"/>
      <c r="J1722" s="274"/>
      <c r="K1722" s="274"/>
      <c r="L1722" s="277" t="s">
        <v>140</v>
      </c>
      <c r="M1722" s="277">
        <v>21670.0</v>
      </c>
      <c r="N1722" s="277">
        <v>4.9700145E8</v>
      </c>
      <c r="O1722" s="18" t="s">
        <v>169</v>
      </c>
      <c r="P1722" s="280">
        <v>46208.758598368055</v>
      </c>
    </row>
    <row r="1723" ht="15.75" customHeight="1">
      <c r="A1723" s="18" t="s">
        <v>12</v>
      </c>
      <c r="B1723" s="281">
        <v>46208.0</v>
      </c>
      <c r="D1723" s="18" t="s">
        <v>114</v>
      </c>
      <c r="E1723" s="18" t="s">
        <v>141</v>
      </c>
      <c r="F1723" s="18" t="s">
        <v>79</v>
      </c>
      <c r="G1723" s="18" t="s">
        <v>80</v>
      </c>
      <c r="H1723" s="279">
        <v>230.0</v>
      </c>
      <c r="I1723" s="277">
        <v>278970.0</v>
      </c>
      <c r="J1723" s="277">
        <v>279519.0</v>
      </c>
      <c r="K1723" s="277">
        <v>549.0</v>
      </c>
      <c r="L1723" s="274"/>
      <c r="M1723" s="274"/>
      <c r="N1723" s="274"/>
      <c r="P1723" s="280">
        <v>46208.75942379629</v>
      </c>
    </row>
    <row r="1724" ht="15.75" customHeight="1">
      <c r="A1724" s="18" t="s">
        <v>12</v>
      </c>
      <c r="B1724" s="281">
        <v>46209.0</v>
      </c>
      <c r="D1724" s="18" t="s">
        <v>116</v>
      </c>
      <c r="E1724" s="18" t="s">
        <v>141</v>
      </c>
      <c r="F1724" s="18" t="s">
        <v>79</v>
      </c>
      <c r="G1724" s="18" t="s">
        <v>80</v>
      </c>
      <c r="H1724" s="279">
        <v>364.0</v>
      </c>
      <c r="I1724" s="277">
        <v>83845.0</v>
      </c>
      <c r="J1724" s="277">
        <v>84594.0</v>
      </c>
      <c r="K1724" s="277">
        <v>749.0</v>
      </c>
      <c r="L1724" s="274"/>
      <c r="M1724" s="274"/>
      <c r="N1724" s="274"/>
      <c r="P1724" s="280">
        <v>46209.31743542824</v>
      </c>
    </row>
    <row r="1725" ht="15.75" customHeight="1">
      <c r="A1725" s="18" t="s">
        <v>12</v>
      </c>
      <c r="B1725" s="281">
        <v>46209.0</v>
      </c>
      <c r="D1725" s="18" t="s">
        <v>113</v>
      </c>
      <c r="E1725" s="18" t="s">
        <v>141</v>
      </c>
      <c r="F1725" s="18" t="s">
        <v>79</v>
      </c>
      <c r="G1725" s="18" t="s">
        <v>80</v>
      </c>
      <c r="H1725" s="279">
        <v>210.0</v>
      </c>
      <c r="I1725" s="277">
        <v>175455.0</v>
      </c>
      <c r="J1725" s="277">
        <v>175958.0</v>
      </c>
      <c r="K1725" s="277">
        <v>503.0</v>
      </c>
      <c r="L1725" s="274"/>
      <c r="M1725" s="274"/>
      <c r="N1725" s="274"/>
      <c r="P1725" s="280">
        <v>46209.31743542824</v>
      </c>
    </row>
    <row r="1726" ht="15.75" customHeight="1">
      <c r="A1726" s="18" t="s">
        <v>12</v>
      </c>
      <c r="B1726" s="281">
        <v>46209.0</v>
      </c>
      <c r="D1726" s="18" t="s">
        <v>101</v>
      </c>
      <c r="E1726" s="18" t="s">
        <v>141</v>
      </c>
      <c r="F1726" s="18" t="s">
        <v>79</v>
      </c>
      <c r="G1726" s="18" t="s">
        <v>80</v>
      </c>
      <c r="H1726" s="279">
        <v>233.0</v>
      </c>
      <c r="I1726" s="277">
        <v>119806.0</v>
      </c>
      <c r="J1726" s="277">
        <v>120375.0</v>
      </c>
      <c r="K1726" s="277">
        <v>569.0</v>
      </c>
      <c r="L1726" s="274"/>
      <c r="M1726" s="274"/>
      <c r="N1726" s="274"/>
      <c r="P1726" s="280">
        <v>46209.63338712963</v>
      </c>
    </row>
    <row r="1727" ht="15.75" customHeight="1">
      <c r="A1727" s="18" t="s">
        <v>12</v>
      </c>
      <c r="B1727" s="281">
        <v>46209.0</v>
      </c>
      <c r="D1727" s="18" t="s">
        <v>105</v>
      </c>
      <c r="E1727" s="18" t="s">
        <v>141</v>
      </c>
      <c r="F1727" s="18" t="s">
        <v>79</v>
      </c>
      <c r="G1727" s="18" t="s">
        <v>80</v>
      </c>
      <c r="H1727" s="279">
        <v>255.0</v>
      </c>
      <c r="I1727" s="277">
        <v>4834.0</v>
      </c>
      <c r="J1727" s="277">
        <v>5515.0</v>
      </c>
      <c r="K1727" s="277">
        <v>681.0</v>
      </c>
      <c r="L1727" s="274"/>
      <c r="M1727" s="274"/>
      <c r="N1727" s="274"/>
      <c r="P1727" s="280">
        <v>46209.63338712963</v>
      </c>
    </row>
    <row r="1728" ht="15.75" customHeight="1">
      <c r="A1728" s="18" t="s">
        <v>12</v>
      </c>
      <c r="B1728" s="281">
        <v>46209.0</v>
      </c>
      <c r="D1728" s="18" t="s">
        <v>126</v>
      </c>
      <c r="E1728" s="18" t="s">
        <v>141</v>
      </c>
      <c r="F1728" s="18" t="s">
        <v>79</v>
      </c>
      <c r="G1728" s="18" t="s">
        <v>80</v>
      </c>
      <c r="H1728" s="279">
        <v>210.0</v>
      </c>
      <c r="I1728" s="277">
        <v>588367.0</v>
      </c>
      <c r="J1728" s="277">
        <v>588750.0</v>
      </c>
      <c r="K1728" s="277">
        <v>383.0</v>
      </c>
      <c r="L1728" s="274"/>
      <c r="M1728" s="274"/>
      <c r="N1728" s="274"/>
      <c r="P1728" s="280">
        <v>46209.63338712963</v>
      </c>
    </row>
    <row r="1729" ht="15.75" customHeight="1">
      <c r="B1729" s="282"/>
      <c r="H1729" s="273"/>
      <c r="I1729" s="274"/>
      <c r="J1729" s="274"/>
      <c r="K1729" s="274"/>
      <c r="L1729" s="274"/>
      <c r="M1729" s="274"/>
      <c r="N1729" s="274"/>
      <c r="P1729" s="275"/>
    </row>
    <row r="1730" ht="15.75" customHeight="1">
      <c r="B1730" s="282"/>
      <c r="H1730" s="273"/>
      <c r="I1730" s="274"/>
      <c r="J1730" s="274"/>
      <c r="K1730" s="274"/>
      <c r="L1730" s="274"/>
      <c r="M1730" s="274"/>
      <c r="N1730" s="274"/>
      <c r="P1730" s="275"/>
    </row>
    <row r="1731" ht="15.75" customHeight="1">
      <c r="B1731" s="282"/>
      <c r="H1731" s="273"/>
      <c r="I1731" s="274"/>
      <c r="J1731" s="274"/>
      <c r="K1731" s="274"/>
      <c r="L1731" s="274"/>
      <c r="M1731" s="274"/>
      <c r="N1731" s="274"/>
      <c r="P1731" s="275"/>
    </row>
    <row r="1732" ht="15.75" customHeight="1">
      <c r="B1732" s="282"/>
      <c r="H1732" s="273"/>
      <c r="I1732" s="274"/>
      <c r="J1732" s="274"/>
      <c r="K1732" s="274"/>
      <c r="L1732" s="274"/>
      <c r="M1732" s="274"/>
      <c r="N1732" s="274"/>
      <c r="P1732" s="275"/>
    </row>
    <row r="1733" ht="15.75" customHeight="1">
      <c r="B1733" s="282"/>
      <c r="H1733" s="273"/>
      <c r="I1733" s="274"/>
      <c r="J1733" s="274"/>
      <c r="K1733" s="274"/>
      <c r="L1733" s="274"/>
      <c r="M1733" s="274"/>
      <c r="N1733" s="274"/>
      <c r="P1733" s="275"/>
    </row>
    <row r="1734" ht="15.75" customHeight="1">
      <c r="B1734" s="282"/>
      <c r="H1734" s="273"/>
      <c r="I1734" s="274"/>
      <c r="J1734" s="274"/>
      <c r="K1734" s="274"/>
      <c r="L1734" s="274"/>
      <c r="M1734" s="274"/>
      <c r="N1734" s="274"/>
      <c r="P1734" s="275"/>
    </row>
    <row r="1735" ht="15.75" customHeight="1">
      <c r="B1735" s="282"/>
      <c r="H1735" s="273"/>
      <c r="I1735" s="274"/>
      <c r="J1735" s="274"/>
      <c r="K1735" s="274"/>
      <c r="L1735" s="274"/>
      <c r="M1735" s="274"/>
      <c r="N1735" s="274"/>
      <c r="P1735" s="275"/>
    </row>
    <row r="1736" ht="15.75" customHeight="1">
      <c r="B1736" s="282"/>
      <c r="H1736" s="273"/>
      <c r="I1736" s="274"/>
      <c r="J1736" s="274"/>
      <c r="K1736" s="274"/>
      <c r="L1736" s="274"/>
      <c r="M1736" s="274"/>
      <c r="N1736" s="274"/>
      <c r="P1736" s="275"/>
    </row>
    <row r="1737" ht="15.75" customHeight="1">
      <c r="B1737" s="282"/>
      <c r="H1737" s="273"/>
      <c r="I1737" s="274"/>
      <c r="J1737" s="274"/>
      <c r="K1737" s="274"/>
      <c r="L1737" s="274"/>
      <c r="M1737" s="274"/>
      <c r="N1737" s="274"/>
      <c r="P1737" s="275"/>
    </row>
    <row r="1738" ht="15.75" customHeight="1">
      <c r="B1738" s="282"/>
      <c r="H1738" s="273"/>
      <c r="I1738" s="274"/>
      <c r="J1738" s="274"/>
      <c r="K1738" s="274"/>
      <c r="L1738" s="274"/>
      <c r="M1738" s="274"/>
      <c r="N1738" s="274"/>
      <c r="P1738" s="275"/>
    </row>
    <row r="1739" ht="15.75" customHeight="1">
      <c r="B1739" s="282"/>
      <c r="H1739" s="273"/>
      <c r="I1739" s="274"/>
      <c r="J1739" s="274"/>
      <c r="K1739" s="274"/>
      <c r="L1739" s="274"/>
      <c r="M1739" s="274"/>
      <c r="N1739" s="274"/>
      <c r="P1739" s="275"/>
    </row>
    <row r="1740" ht="15.75" customHeight="1">
      <c r="B1740" s="282"/>
      <c r="H1740" s="273"/>
      <c r="I1740" s="274"/>
      <c r="J1740" s="274"/>
      <c r="K1740" s="274"/>
      <c r="L1740" s="274"/>
      <c r="M1740" s="274"/>
      <c r="N1740" s="274"/>
      <c r="P1740" s="275"/>
    </row>
    <row r="1741" ht="15.75" customHeight="1">
      <c r="B1741" s="282"/>
      <c r="H1741" s="273"/>
      <c r="I1741" s="274"/>
      <c r="J1741" s="274"/>
      <c r="K1741" s="274"/>
      <c r="L1741" s="274"/>
      <c r="M1741" s="274"/>
      <c r="N1741" s="274"/>
      <c r="P1741" s="275"/>
    </row>
    <row r="1742" ht="15.75" customHeight="1">
      <c r="B1742" s="282"/>
      <c r="H1742" s="273"/>
      <c r="I1742" s="274"/>
      <c r="J1742" s="274"/>
      <c r="K1742" s="274"/>
      <c r="L1742" s="274"/>
      <c r="M1742" s="274"/>
      <c r="N1742" s="274"/>
      <c r="P1742" s="275"/>
    </row>
    <row r="1743" ht="15.75" customHeight="1">
      <c r="B1743" s="282"/>
      <c r="H1743" s="273"/>
      <c r="I1743" s="274"/>
      <c r="J1743" s="274"/>
      <c r="K1743" s="274"/>
      <c r="L1743" s="274"/>
      <c r="M1743" s="274"/>
      <c r="N1743" s="274"/>
      <c r="P1743" s="275"/>
    </row>
    <row r="1744" ht="15.75" customHeight="1">
      <c r="B1744" s="282"/>
      <c r="H1744" s="273"/>
      <c r="I1744" s="274"/>
      <c r="J1744" s="274"/>
      <c r="K1744" s="274"/>
      <c r="L1744" s="274"/>
      <c r="M1744" s="274"/>
      <c r="N1744" s="274"/>
      <c r="P1744" s="275"/>
    </row>
    <row r="1745" ht="15.75" customHeight="1">
      <c r="B1745" s="282"/>
      <c r="H1745" s="273"/>
      <c r="I1745" s="274"/>
      <c r="J1745" s="274"/>
      <c r="K1745" s="274"/>
      <c r="L1745" s="274"/>
      <c r="M1745" s="274"/>
      <c r="N1745" s="274"/>
      <c r="P1745" s="275"/>
    </row>
    <row r="1746" ht="15.75" customHeight="1">
      <c r="B1746" s="282"/>
      <c r="H1746" s="273"/>
      <c r="I1746" s="274"/>
      <c r="J1746" s="274"/>
      <c r="K1746" s="274"/>
      <c r="L1746" s="274"/>
      <c r="M1746" s="274"/>
      <c r="N1746" s="274"/>
      <c r="P1746" s="275"/>
    </row>
    <row r="1747" ht="15.75" customHeight="1">
      <c r="B1747" s="282"/>
      <c r="H1747" s="273"/>
      <c r="I1747" s="274"/>
      <c r="J1747" s="274"/>
      <c r="K1747" s="274"/>
      <c r="L1747" s="274"/>
      <c r="M1747" s="274"/>
      <c r="N1747" s="274"/>
      <c r="P1747" s="275"/>
    </row>
    <row r="1748" ht="15.75" customHeight="1">
      <c r="B1748" s="282"/>
      <c r="H1748" s="273"/>
      <c r="I1748" s="274"/>
      <c r="J1748" s="274"/>
      <c r="K1748" s="274"/>
      <c r="L1748" s="274"/>
      <c r="M1748" s="274"/>
      <c r="N1748" s="274"/>
      <c r="P1748" s="275"/>
    </row>
    <row r="1749" ht="15.75" customHeight="1">
      <c r="B1749" s="282"/>
      <c r="H1749" s="273"/>
      <c r="I1749" s="274"/>
      <c r="J1749" s="274"/>
      <c r="K1749" s="274"/>
      <c r="L1749" s="274"/>
      <c r="M1749" s="274"/>
      <c r="N1749" s="274"/>
      <c r="P1749" s="275"/>
    </row>
    <row r="1750" ht="15.75" customHeight="1">
      <c r="B1750" s="282"/>
      <c r="H1750" s="273"/>
      <c r="I1750" s="274"/>
      <c r="J1750" s="274"/>
      <c r="K1750" s="274"/>
      <c r="L1750" s="274"/>
      <c r="M1750" s="274"/>
      <c r="N1750" s="274"/>
      <c r="P1750" s="275"/>
    </row>
    <row r="1751" ht="15.75" customHeight="1">
      <c r="B1751" s="282"/>
      <c r="H1751" s="273"/>
      <c r="I1751" s="274"/>
      <c r="J1751" s="274"/>
      <c r="K1751" s="274"/>
      <c r="L1751" s="274"/>
      <c r="M1751" s="274"/>
      <c r="N1751" s="274"/>
      <c r="P1751" s="275"/>
    </row>
    <row r="1752" ht="15.75" customHeight="1">
      <c r="B1752" s="282"/>
      <c r="H1752" s="273"/>
      <c r="I1752" s="274"/>
      <c r="J1752" s="274"/>
      <c r="K1752" s="274"/>
      <c r="L1752" s="274"/>
      <c r="M1752" s="274"/>
      <c r="N1752" s="274"/>
      <c r="P1752" s="275"/>
    </row>
    <row r="1753" ht="15.75" customHeight="1">
      <c r="B1753" s="282"/>
      <c r="H1753" s="273"/>
      <c r="I1753" s="274"/>
      <c r="J1753" s="274"/>
      <c r="K1753" s="274"/>
      <c r="L1753" s="274"/>
      <c r="M1753" s="274"/>
      <c r="N1753" s="274"/>
      <c r="P1753" s="275"/>
    </row>
    <row r="1754" ht="15.75" customHeight="1">
      <c r="B1754" s="282"/>
      <c r="H1754" s="273"/>
      <c r="I1754" s="274"/>
      <c r="J1754" s="274"/>
      <c r="K1754" s="274"/>
      <c r="L1754" s="274"/>
      <c r="M1754" s="274"/>
      <c r="N1754" s="274"/>
      <c r="P1754" s="275"/>
    </row>
    <row r="1755" ht="15.75" customHeight="1">
      <c r="B1755" s="282"/>
      <c r="H1755" s="273"/>
      <c r="I1755" s="274"/>
      <c r="J1755" s="274"/>
      <c r="K1755" s="274"/>
      <c r="L1755" s="274"/>
      <c r="M1755" s="274"/>
      <c r="N1755" s="274"/>
      <c r="P1755" s="275"/>
    </row>
    <row r="1756" ht="15.75" customHeight="1">
      <c r="B1756" s="282"/>
      <c r="H1756" s="273"/>
      <c r="I1756" s="274"/>
      <c r="J1756" s="274"/>
      <c r="K1756" s="274"/>
      <c r="L1756" s="274"/>
      <c r="M1756" s="274"/>
      <c r="N1756" s="274"/>
      <c r="P1756" s="275"/>
    </row>
    <row r="1757" ht="15.75" customHeight="1">
      <c r="B1757" s="282"/>
      <c r="H1757" s="273"/>
      <c r="I1757" s="274"/>
      <c r="J1757" s="274"/>
      <c r="K1757" s="274"/>
      <c r="L1757" s="274"/>
      <c r="M1757" s="274"/>
      <c r="N1757" s="274"/>
      <c r="P1757" s="275"/>
    </row>
    <row r="1758" ht="15.75" customHeight="1">
      <c r="B1758" s="282"/>
      <c r="H1758" s="273"/>
      <c r="I1758" s="274"/>
      <c r="J1758" s="274"/>
      <c r="K1758" s="274"/>
      <c r="L1758" s="274"/>
      <c r="M1758" s="274"/>
      <c r="N1758" s="274"/>
      <c r="P1758" s="275"/>
    </row>
    <row r="1759" ht="15.75" customHeight="1">
      <c r="B1759" s="282"/>
      <c r="H1759" s="273"/>
      <c r="I1759" s="274"/>
      <c r="J1759" s="274"/>
      <c r="K1759" s="274"/>
      <c r="L1759" s="274"/>
      <c r="M1759" s="274"/>
      <c r="N1759" s="274"/>
      <c r="P1759" s="275"/>
    </row>
    <row r="1760" ht="15.75" customHeight="1">
      <c r="B1760" s="282"/>
      <c r="H1760" s="273"/>
      <c r="I1760" s="274"/>
      <c r="J1760" s="274"/>
      <c r="K1760" s="274"/>
      <c r="L1760" s="274"/>
      <c r="M1760" s="274"/>
      <c r="N1760" s="274"/>
      <c r="P1760" s="275"/>
    </row>
    <row r="1761" ht="15.75" customHeight="1">
      <c r="B1761" s="282"/>
      <c r="H1761" s="273"/>
      <c r="I1761" s="274"/>
      <c r="J1761" s="274"/>
      <c r="K1761" s="274"/>
      <c r="L1761" s="274"/>
      <c r="M1761" s="274"/>
      <c r="N1761" s="274"/>
      <c r="P1761" s="275"/>
    </row>
    <row r="1762" ht="15.75" customHeight="1">
      <c r="B1762" s="282"/>
      <c r="H1762" s="273"/>
      <c r="I1762" s="274"/>
      <c r="J1762" s="274"/>
      <c r="K1762" s="274"/>
      <c r="L1762" s="274"/>
      <c r="M1762" s="274"/>
      <c r="N1762" s="274"/>
      <c r="P1762" s="275"/>
    </row>
    <row r="1763" ht="15.75" customHeight="1">
      <c r="B1763" s="282"/>
      <c r="H1763" s="273"/>
      <c r="I1763" s="274"/>
      <c r="J1763" s="274"/>
      <c r="K1763" s="274"/>
      <c r="L1763" s="274"/>
      <c r="M1763" s="274"/>
      <c r="N1763" s="274"/>
      <c r="P1763" s="275"/>
    </row>
    <row r="1764" ht="15.75" customHeight="1">
      <c r="B1764" s="282"/>
      <c r="H1764" s="273"/>
      <c r="I1764" s="274"/>
      <c r="J1764" s="274"/>
      <c r="K1764" s="274"/>
      <c r="L1764" s="274"/>
      <c r="M1764" s="274"/>
      <c r="N1764" s="274"/>
      <c r="P1764" s="275"/>
    </row>
    <row r="1765" ht="15.75" customHeight="1">
      <c r="B1765" s="282"/>
      <c r="H1765" s="273"/>
      <c r="I1765" s="274"/>
      <c r="J1765" s="274"/>
      <c r="K1765" s="274"/>
      <c r="L1765" s="274"/>
      <c r="M1765" s="274"/>
      <c r="N1765" s="274"/>
      <c r="P1765" s="275"/>
    </row>
    <row r="1766" ht="15.75" customHeight="1">
      <c r="B1766" s="282"/>
      <c r="H1766" s="273"/>
      <c r="I1766" s="274"/>
      <c r="J1766" s="274"/>
      <c r="K1766" s="274"/>
      <c r="L1766" s="274"/>
      <c r="M1766" s="274"/>
      <c r="N1766" s="274"/>
      <c r="P1766" s="275"/>
    </row>
    <row r="1767" ht="15.75" customHeight="1">
      <c r="B1767" s="282"/>
      <c r="H1767" s="273"/>
      <c r="I1767" s="274"/>
      <c r="J1767" s="274"/>
      <c r="K1767" s="274"/>
      <c r="L1767" s="274"/>
      <c r="M1767" s="274"/>
      <c r="N1767" s="274"/>
      <c r="P1767" s="275"/>
    </row>
    <row r="1768" ht="15.75" customHeight="1">
      <c r="B1768" s="282"/>
      <c r="H1768" s="273"/>
      <c r="I1768" s="274"/>
      <c r="J1768" s="274"/>
      <c r="K1768" s="274"/>
      <c r="L1768" s="274"/>
      <c r="M1768" s="274"/>
      <c r="N1768" s="274"/>
      <c r="P1768" s="275"/>
    </row>
    <row r="1769" ht="15.75" customHeight="1">
      <c r="B1769" s="282"/>
      <c r="H1769" s="273"/>
      <c r="I1769" s="274"/>
      <c r="J1769" s="274"/>
      <c r="K1769" s="274"/>
      <c r="L1769" s="274"/>
      <c r="M1769" s="274"/>
      <c r="N1769" s="274"/>
      <c r="P1769" s="275"/>
    </row>
    <row r="1770" ht="15.75" customHeight="1">
      <c r="B1770" s="282"/>
      <c r="H1770" s="273"/>
      <c r="I1770" s="274"/>
      <c r="J1770" s="274"/>
      <c r="K1770" s="274"/>
      <c r="L1770" s="274"/>
      <c r="M1770" s="274"/>
      <c r="N1770" s="274"/>
      <c r="P1770" s="275"/>
    </row>
    <row r="1771" ht="15.75" customHeight="1">
      <c r="B1771" s="282"/>
      <c r="H1771" s="273"/>
      <c r="I1771" s="274"/>
      <c r="J1771" s="274"/>
      <c r="K1771" s="274"/>
      <c r="L1771" s="274"/>
      <c r="M1771" s="274"/>
      <c r="N1771" s="274"/>
      <c r="P1771" s="275"/>
    </row>
    <row r="1772" ht="15.75" customHeight="1">
      <c r="B1772" s="282"/>
      <c r="H1772" s="273"/>
      <c r="I1772" s="274"/>
      <c r="J1772" s="274"/>
      <c r="K1772" s="274"/>
      <c r="L1772" s="274"/>
      <c r="M1772" s="274"/>
      <c r="N1772" s="274"/>
      <c r="P1772" s="275"/>
    </row>
    <row r="1773" ht="15.75" customHeight="1">
      <c r="B1773" s="282"/>
      <c r="H1773" s="273"/>
      <c r="I1773" s="274"/>
      <c r="J1773" s="274"/>
      <c r="K1773" s="274"/>
      <c r="L1773" s="274"/>
      <c r="M1773" s="274"/>
      <c r="N1773" s="274"/>
      <c r="P1773" s="275"/>
    </row>
    <row r="1774" ht="15.75" customHeight="1">
      <c r="B1774" s="282"/>
      <c r="H1774" s="273"/>
      <c r="I1774" s="274"/>
      <c r="J1774" s="274"/>
      <c r="K1774" s="274"/>
      <c r="L1774" s="274"/>
      <c r="M1774" s="274"/>
      <c r="N1774" s="274"/>
      <c r="P1774" s="275"/>
    </row>
    <row r="1775" ht="15.75" customHeight="1">
      <c r="B1775" s="282"/>
      <c r="H1775" s="273"/>
      <c r="I1775" s="274"/>
      <c r="J1775" s="274"/>
      <c r="K1775" s="274"/>
      <c r="L1775" s="274"/>
      <c r="M1775" s="274"/>
      <c r="N1775" s="274"/>
      <c r="P1775" s="275"/>
    </row>
    <row r="1776" ht="15.75" customHeight="1">
      <c r="B1776" s="282"/>
      <c r="H1776" s="273"/>
      <c r="I1776" s="274"/>
      <c r="J1776" s="274"/>
      <c r="K1776" s="274"/>
      <c r="L1776" s="274"/>
      <c r="M1776" s="274"/>
      <c r="N1776" s="274"/>
      <c r="P1776" s="275"/>
    </row>
    <row r="1777" ht="15.75" customHeight="1">
      <c r="B1777" s="282"/>
      <c r="H1777" s="273"/>
      <c r="I1777" s="274"/>
      <c r="J1777" s="274"/>
      <c r="K1777" s="274"/>
      <c r="L1777" s="274"/>
      <c r="M1777" s="274"/>
      <c r="N1777" s="274"/>
      <c r="P1777" s="275"/>
    </row>
    <row r="1778" ht="15.75" customHeight="1">
      <c r="B1778" s="282"/>
      <c r="H1778" s="273"/>
      <c r="I1778" s="274"/>
      <c r="J1778" s="274"/>
      <c r="K1778" s="274"/>
      <c r="L1778" s="274"/>
      <c r="M1778" s="274"/>
      <c r="N1778" s="274"/>
      <c r="P1778" s="275"/>
    </row>
    <row r="1779" ht="15.75" customHeight="1">
      <c r="B1779" s="282"/>
      <c r="H1779" s="273"/>
      <c r="I1779" s="274"/>
      <c r="J1779" s="274"/>
      <c r="K1779" s="274"/>
      <c r="L1779" s="274"/>
      <c r="M1779" s="274"/>
      <c r="N1779" s="274"/>
      <c r="P1779" s="275"/>
    </row>
    <row r="1780" ht="15.75" customHeight="1">
      <c r="B1780" s="282"/>
      <c r="H1780" s="273"/>
      <c r="I1780" s="274"/>
      <c r="J1780" s="274"/>
      <c r="K1780" s="274"/>
      <c r="L1780" s="274"/>
      <c r="M1780" s="274"/>
      <c r="N1780" s="274"/>
      <c r="P1780" s="275"/>
    </row>
    <row r="1781" ht="15.75" customHeight="1">
      <c r="B1781" s="282"/>
      <c r="H1781" s="273"/>
      <c r="I1781" s="274"/>
      <c r="J1781" s="274"/>
      <c r="K1781" s="274"/>
      <c r="L1781" s="274"/>
      <c r="M1781" s="274"/>
      <c r="N1781" s="274"/>
      <c r="P1781" s="275"/>
    </row>
    <row r="1782" ht="15.75" customHeight="1">
      <c r="B1782" s="282"/>
      <c r="H1782" s="273"/>
      <c r="I1782" s="274"/>
      <c r="J1782" s="274"/>
      <c r="K1782" s="274"/>
      <c r="L1782" s="274"/>
      <c r="M1782" s="274"/>
      <c r="N1782" s="274"/>
      <c r="P1782" s="275"/>
    </row>
    <row r="1783" ht="15.75" customHeight="1">
      <c r="B1783" s="282"/>
      <c r="H1783" s="273"/>
      <c r="I1783" s="274"/>
      <c r="J1783" s="274"/>
      <c r="K1783" s="274"/>
      <c r="L1783" s="274"/>
      <c r="M1783" s="274"/>
      <c r="N1783" s="274"/>
      <c r="P1783" s="275"/>
    </row>
    <row r="1784" ht="15.75" customHeight="1">
      <c r="B1784" s="282"/>
      <c r="H1784" s="273"/>
      <c r="I1784" s="274"/>
      <c r="J1784" s="274"/>
      <c r="K1784" s="274"/>
      <c r="L1784" s="274"/>
      <c r="M1784" s="274"/>
      <c r="N1784" s="274"/>
      <c r="P1784" s="275"/>
    </row>
    <row r="1785" ht="15.75" customHeight="1">
      <c r="B1785" s="282"/>
      <c r="H1785" s="273"/>
      <c r="I1785" s="274"/>
      <c r="J1785" s="274"/>
      <c r="K1785" s="274"/>
      <c r="L1785" s="274"/>
      <c r="M1785" s="274"/>
      <c r="N1785" s="274"/>
      <c r="P1785" s="275"/>
    </row>
    <row r="1786" ht="15.75" customHeight="1">
      <c r="B1786" s="282"/>
      <c r="H1786" s="273"/>
      <c r="I1786" s="274"/>
      <c r="J1786" s="274"/>
      <c r="K1786" s="274"/>
      <c r="L1786" s="274"/>
      <c r="M1786" s="274"/>
      <c r="N1786" s="274"/>
      <c r="P1786" s="275"/>
    </row>
    <row r="1787" ht="15.75" customHeight="1">
      <c r="B1787" s="282"/>
      <c r="H1787" s="273"/>
      <c r="I1787" s="274"/>
      <c r="J1787" s="274"/>
      <c r="K1787" s="274"/>
      <c r="L1787" s="274"/>
      <c r="M1787" s="274"/>
      <c r="N1787" s="274"/>
      <c r="P1787" s="275"/>
    </row>
    <row r="1788" ht="15.75" customHeight="1">
      <c r="B1788" s="282"/>
      <c r="H1788" s="273"/>
      <c r="I1788" s="274"/>
      <c r="J1788" s="274"/>
      <c r="K1788" s="274"/>
      <c r="L1788" s="274"/>
      <c r="M1788" s="274"/>
      <c r="N1788" s="274"/>
      <c r="P1788" s="275"/>
    </row>
    <row r="1789" ht="15.75" customHeight="1">
      <c r="B1789" s="282"/>
      <c r="H1789" s="273"/>
      <c r="I1789" s="274"/>
      <c r="J1789" s="274"/>
      <c r="K1789" s="274"/>
      <c r="L1789" s="274"/>
      <c r="M1789" s="274"/>
      <c r="N1789" s="274"/>
      <c r="P1789" s="275"/>
    </row>
    <row r="1790" ht="15.75" customHeight="1">
      <c r="B1790" s="282"/>
      <c r="H1790" s="273"/>
      <c r="I1790" s="274"/>
      <c r="J1790" s="274"/>
      <c r="K1790" s="274"/>
      <c r="L1790" s="274"/>
      <c r="M1790" s="274"/>
      <c r="N1790" s="274"/>
      <c r="P1790" s="275"/>
    </row>
    <row r="1791" ht="15.75" customHeight="1">
      <c r="B1791" s="282"/>
      <c r="H1791" s="273"/>
      <c r="I1791" s="274"/>
      <c r="J1791" s="274"/>
      <c r="K1791" s="274"/>
      <c r="L1791" s="274"/>
      <c r="M1791" s="274"/>
      <c r="N1791" s="274"/>
      <c r="P1791" s="275"/>
    </row>
    <row r="1792" ht="15.75" customHeight="1">
      <c r="B1792" s="282"/>
      <c r="H1792" s="273"/>
      <c r="I1792" s="274"/>
      <c r="J1792" s="274"/>
      <c r="K1792" s="274"/>
      <c r="L1792" s="274"/>
      <c r="M1792" s="274"/>
      <c r="N1792" s="274"/>
      <c r="P1792" s="275"/>
    </row>
    <row r="1793" ht="15.75" customHeight="1">
      <c r="B1793" s="282"/>
      <c r="H1793" s="273"/>
      <c r="I1793" s="274"/>
      <c r="J1793" s="274"/>
      <c r="K1793" s="274"/>
      <c r="L1793" s="274"/>
      <c r="M1793" s="274"/>
      <c r="N1793" s="274"/>
      <c r="P1793" s="275"/>
    </row>
    <row r="1794" ht="15.75" customHeight="1">
      <c r="B1794" s="282"/>
      <c r="H1794" s="273"/>
      <c r="I1794" s="274"/>
      <c r="J1794" s="274"/>
      <c r="K1794" s="274"/>
      <c r="L1794" s="274"/>
      <c r="M1794" s="274"/>
      <c r="N1794" s="274"/>
      <c r="P1794" s="275"/>
    </row>
    <row r="1795" ht="15.75" customHeight="1">
      <c r="B1795" s="282"/>
      <c r="H1795" s="273"/>
      <c r="I1795" s="274"/>
      <c r="J1795" s="274"/>
      <c r="K1795" s="274"/>
      <c r="L1795" s="274"/>
      <c r="M1795" s="274"/>
      <c r="N1795" s="274"/>
      <c r="P1795" s="275"/>
    </row>
    <row r="1796" ht="15.75" customHeight="1">
      <c r="B1796" s="282"/>
      <c r="H1796" s="273"/>
      <c r="I1796" s="274"/>
      <c r="J1796" s="274"/>
      <c r="K1796" s="274"/>
      <c r="L1796" s="274"/>
      <c r="M1796" s="274"/>
      <c r="N1796" s="274"/>
      <c r="P1796" s="275"/>
    </row>
    <row r="1797" ht="15.75" customHeight="1">
      <c r="B1797" s="282"/>
      <c r="H1797" s="273"/>
      <c r="I1797" s="274"/>
      <c r="J1797" s="274"/>
      <c r="K1797" s="274"/>
      <c r="L1797" s="274"/>
      <c r="M1797" s="274"/>
      <c r="N1797" s="274"/>
      <c r="P1797" s="275"/>
    </row>
    <row r="1798" ht="15.75" customHeight="1">
      <c r="B1798" s="282"/>
      <c r="H1798" s="273"/>
      <c r="I1798" s="274"/>
      <c r="J1798" s="274"/>
      <c r="K1798" s="274"/>
      <c r="L1798" s="274"/>
      <c r="M1798" s="274"/>
      <c r="N1798" s="274"/>
      <c r="P1798" s="275"/>
    </row>
    <row r="1799" ht="15.75" customHeight="1">
      <c r="B1799" s="282"/>
      <c r="H1799" s="273"/>
      <c r="I1799" s="274"/>
      <c r="J1799" s="274"/>
      <c r="K1799" s="274"/>
      <c r="L1799" s="274"/>
      <c r="M1799" s="274"/>
      <c r="N1799" s="274"/>
      <c r="P1799" s="275"/>
    </row>
    <row r="1800" ht="15.75" customHeight="1">
      <c r="B1800" s="282"/>
      <c r="H1800" s="273"/>
      <c r="I1800" s="274"/>
      <c r="J1800" s="274"/>
      <c r="K1800" s="274"/>
      <c r="L1800" s="274"/>
      <c r="M1800" s="274"/>
      <c r="N1800" s="274"/>
      <c r="P1800" s="275"/>
    </row>
    <row r="1801" ht="15.75" customHeight="1">
      <c r="B1801" s="282"/>
      <c r="H1801" s="273"/>
      <c r="I1801" s="274"/>
      <c r="J1801" s="274"/>
      <c r="K1801" s="274"/>
      <c r="L1801" s="274"/>
      <c r="M1801" s="274"/>
      <c r="N1801" s="274"/>
      <c r="P1801" s="275"/>
    </row>
    <row r="1802" ht="15.75" customHeight="1">
      <c r="B1802" s="282"/>
      <c r="H1802" s="273"/>
      <c r="I1802" s="274"/>
      <c r="J1802" s="274"/>
      <c r="K1802" s="274"/>
      <c r="L1802" s="274"/>
      <c r="M1802" s="274"/>
      <c r="N1802" s="274"/>
      <c r="P1802" s="275"/>
    </row>
    <row r="1803" ht="15.75" customHeight="1">
      <c r="B1803" s="282"/>
      <c r="H1803" s="273"/>
      <c r="I1803" s="274"/>
      <c r="J1803" s="274"/>
      <c r="K1803" s="274"/>
      <c r="L1803" s="274"/>
      <c r="M1803" s="274"/>
      <c r="N1803" s="274"/>
      <c r="P1803" s="275"/>
    </row>
    <row r="1804" ht="15.75" customHeight="1">
      <c r="B1804" s="282"/>
      <c r="H1804" s="273"/>
      <c r="I1804" s="274"/>
      <c r="J1804" s="274"/>
      <c r="K1804" s="274"/>
      <c r="L1804" s="274"/>
      <c r="M1804" s="274"/>
      <c r="N1804" s="274"/>
      <c r="P1804" s="275"/>
    </row>
    <row r="1805" ht="15.75" customHeight="1">
      <c r="B1805" s="282"/>
      <c r="H1805" s="273"/>
      <c r="I1805" s="274"/>
      <c r="J1805" s="274"/>
      <c r="K1805" s="274"/>
      <c r="L1805" s="274"/>
      <c r="M1805" s="274"/>
      <c r="N1805" s="274"/>
      <c r="P1805" s="275"/>
    </row>
    <row r="1806" ht="15.75" customHeight="1">
      <c r="B1806" s="282"/>
      <c r="H1806" s="273"/>
      <c r="I1806" s="274"/>
      <c r="J1806" s="274"/>
      <c r="K1806" s="274"/>
      <c r="L1806" s="274"/>
      <c r="M1806" s="274"/>
      <c r="N1806" s="274"/>
      <c r="P1806" s="275"/>
    </row>
    <row r="1807" ht="15.75" customHeight="1">
      <c r="B1807" s="282"/>
      <c r="H1807" s="273"/>
      <c r="I1807" s="274"/>
      <c r="J1807" s="274"/>
      <c r="K1807" s="274"/>
      <c r="L1807" s="274"/>
      <c r="M1807" s="274"/>
      <c r="N1807" s="274"/>
      <c r="P1807" s="275"/>
    </row>
    <row r="1808" ht="15.75" customHeight="1">
      <c r="B1808" s="282"/>
      <c r="H1808" s="273"/>
      <c r="I1808" s="274"/>
      <c r="J1808" s="274"/>
      <c r="K1808" s="274"/>
      <c r="L1808" s="274"/>
      <c r="M1808" s="274"/>
      <c r="N1808" s="274"/>
      <c r="P1808" s="275"/>
    </row>
    <row r="1809" ht="15.75" customHeight="1">
      <c r="B1809" s="282"/>
      <c r="H1809" s="273"/>
      <c r="I1809" s="274"/>
      <c r="J1809" s="274"/>
      <c r="K1809" s="274"/>
      <c r="L1809" s="274"/>
      <c r="M1809" s="274"/>
      <c r="N1809" s="274"/>
      <c r="P1809" s="275"/>
    </row>
    <row r="1810" ht="15.75" customHeight="1">
      <c r="B1810" s="282"/>
      <c r="H1810" s="273"/>
      <c r="I1810" s="274"/>
      <c r="J1810" s="274"/>
      <c r="K1810" s="274"/>
      <c r="L1810" s="274"/>
      <c r="M1810" s="274"/>
      <c r="N1810" s="274"/>
      <c r="P1810" s="275"/>
    </row>
    <row r="1811" ht="15.75" customHeight="1">
      <c r="B1811" s="282"/>
      <c r="H1811" s="273"/>
      <c r="I1811" s="274"/>
      <c r="J1811" s="274"/>
      <c r="K1811" s="274"/>
      <c r="L1811" s="274"/>
      <c r="M1811" s="274"/>
      <c r="N1811" s="274"/>
      <c r="P1811" s="275"/>
    </row>
    <row r="1812" ht="15.75" customHeight="1">
      <c r="B1812" s="282"/>
      <c r="H1812" s="273"/>
      <c r="I1812" s="274"/>
      <c r="J1812" s="274"/>
      <c r="K1812" s="274"/>
      <c r="L1812" s="274"/>
      <c r="M1812" s="274"/>
      <c r="N1812" s="274"/>
      <c r="P1812" s="275"/>
    </row>
    <row r="1813" ht="15.75" customHeight="1">
      <c r="B1813" s="282"/>
      <c r="H1813" s="273"/>
      <c r="I1813" s="274"/>
      <c r="J1813" s="274"/>
      <c r="K1813" s="274"/>
      <c r="L1813" s="274"/>
      <c r="M1813" s="274"/>
      <c r="N1813" s="274"/>
      <c r="P1813" s="275"/>
    </row>
    <row r="1814" ht="15.75" customHeight="1">
      <c r="B1814" s="282"/>
      <c r="H1814" s="273"/>
      <c r="I1814" s="274"/>
      <c r="J1814" s="274"/>
      <c r="K1814" s="274"/>
      <c r="L1814" s="274"/>
      <c r="M1814" s="274"/>
      <c r="N1814" s="274"/>
      <c r="P1814" s="275"/>
    </row>
    <row r="1815" ht="15.75" customHeight="1">
      <c r="B1815" s="282"/>
      <c r="H1815" s="273"/>
      <c r="I1815" s="274"/>
      <c r="J1815" s="274"/>
      <c r="K1815" s="274"/>
      <c r="L1815" s="274"/>
      <c r="M1815" s="274"/>
      <c r="N1815" s="274"/>
      <c r="P1815" s="275"/>
    </row>
    <row r="1816" ht="15.75" customHeight="1">
      <c r="B1816" s="282"/>
      <c r="H1816" s="273"/>
      <c r="I1816" s="274"/>
      <c r="J1816" s="274"/>
      <c r="K1816" s="274"/>
      <c r="L1816" s="274"/>
      <c r="M1816" s="274"/>
      <c r="N1816" s="274"/>
      <c r="P1816" s="275"/>
    </row>
    <row r="1817" ht="15.75" customHeight="1">
      <c r="B1817" s="282"/>
      <c r="H1817" s="273"/>
      <c r="I1817" s="274"/>
      <c r="J1817" s="274"/>
      <c r="K1817" s="274"/>
      <c r="L1817" s="274"/>
      <c r="M1817" s="274"/>
      <c r="N1817" s="274"/>
      <c r="P1817" s="275"/>
    </row>
    <row r="1818" ht="15.75" customHeight="1">
      <c r="B1818" s="282"/>
      <c r="H1818" s="273"/>
      <c r="I1818" s="274"/>
      <c r="J1818" s="274"/>
      <c r="K1818" s="274"/>
      <c r="L1818" s="274"/>
      <c r="M1818" s="274"/>
      <c r="N1818" s="274"/>
      <c r="P1818" s="275"/>
    </row>
    <row r="1819" ht="15.75" customHeight="1">
      <c r="B1819" s="282"/>
      <c r="H1819" s="273"/>
      <c r="I1819" s="274"/>
      <c r="J1819" s="274"/>
      <c r="K1819" s="274"/>
      <c r="L1819" s="274"/>
      <c r="M1819" s="274"/>
      <c r="N1819" s="274"/>
      <c r="P1819" s="275"/>
    </row>
    <row r="1820" ht="15.75" customHeight="1">
      <c r="B1820" s="282"/>
      <c r="H1820" s="273"/>
      <c r="I1820" s="274"/>
      <c r="J1820" s="274"/>
      <c r="K1820" s="274"/>
      <c r="L1820" s="274"/>
      <c r="M1820" s="274"/>
      <c r="N1820" s="274"/>
      <c r="P1820" s="275"/>
    </row>
    <row r="1821" ht="15.75" customHeight="1">
      <c r="B1821" s="282"/>
      <c r="H1821" s="273"/>
      <c r="I1821" s="274"/>
      <c r="J1821" s="274"/>
      <c r="K1821" s="274"/>
      <c r="L1821" s="274"/>
      <c r="M1821" s="274"/>
      <c r="N1821" s="274"/>
      <c r="P1821" s="275"/>
    </row>
    <row r="1822" ht="15.75" customHeight="1">
      <c r="B1822" s="282"/>
      <c r="H1822" s="273"/>
      <c r="I1822" s="274"/>
      <c r="J1822" s="274"/>
      <c r="K1822" s="274"/>
      <c r="L1822" s="274"/>
      <c r="M1822" s="274"/>
      <c r="N1822" s="274"/>
      <c r="P1822" s="275"/>
    </row>
    <row r="1823" ht="15.75" customHeight="1">
      <c r="B1823" s="282"/>
      <c r="H1823" s="273"/>
      <c r="I1823" s="274"/>
      <c r="J1823" s="274"/>
      <c r="K1823" s="274"/>
      <c r="L1823" s="274"/>
      <c r="M1823" s="274"/>
      <c r="N1823" s="274"/>
      <c r="P1823" s="275"/>
    </row>
    <row r="1824" ht="15.75" customHeight="1">
      <c r="B1824" s="282"/>
      <c r="H1824" s="273"/>
      <c r="I1824" s="274"/>
      <c r="J1824" s="274"/>
      <c r="K1824" s="274"/>
      <c r="L1824" s="274"/>
      <c r="M1824" s="274"/>
      <c r="N1824" s="274"/>
      <c r="P1824" s="275"/>
    </row>
    <row r="1825" ht="15.75" customHeight="1">
      <c r="B1825" s="282"/>
      <c r="H1825" s="273"/>
      <c r="I1825" s="274"/>
      <c r="J1825" s="274"/>
      <c r="K1825" s="274"/>
      <c r="L1825" s="274"/>
      <c r="M1825" s="274"/>
      <c r="N1825" s="274"/>
      <c r="P1825" s="275"/>
    </row>
    <row r="1826" ht="15.75" customHeight="1">
      <c r="B1826" s="282"/>
      <c r="H1826" s="273"/>
      <c r="I1826" s="274"/>
      <c r="J1826" s="274"/>
      <c r="K1826" s="274"/>
      <c r="L1826" s="274"/>
      <c r="M1826" s="274"/>
      <c r="N1826" s="274"/>
      <c r="P1826" s="275"/>
    </row>
    <row r="1827" ht="15.75" customHeight="1">
      <c r="B1827" s="282"/>
      <c r="H1827" s="273"/>
      <c r="I1827" s="274"/>
      <c r="J1827" s="274"/>
      <c r="K1827" s="274"/>
      <c r="L1827" s="274"/>
      <c r="M1827" s="274"/>
      <c r="N1827" s="274"/>
      <c r="P1827" s="275"/>
    </row>
    <row r="1828" ht="15.75" customHeight="1">
      <c r="B1828" s="282"/>
      <c r="H1828" s="273"/>
      <c r="I1828" s="274"/>
      <c r="J1828" s="274"/>
      <c r="K1828" s="274"/>
      <c r="L1828" s="274"/>
      <c r="M1828" s="274"/>
      <c r="N1828" s="274"/>
      <c r="P1828" s="275"/>
    </row>
    <row r="1829" ht="15.75" customHeight="1">
      <c r="B1829" s="282"/>
      <c r="H1829" s="273"/>
      <c r="I1829" s="274"/>
      <c r="J1829" s="274"/>
      <c r="K1829" s="274"/>
      <c r="L1829" s="274"/>
      <c r="M1829" s="274"/>
      <c r="N1829" s="274"/>
      <c r="P1829" s="275"/>
    </row>
    <row r="1830" ht="15.75" customHeight="1">
      <c r="B1830" s="282"/>
      <c r="H1830" s="273"/>
      <c r="I1830" s="274"/>
      <c r="J1830" s="274"/>
      <c r="K1830" s="274"/>
      <c r="L1830" s="274"/>
      <c r="M1830" s="274"/>
      <c r="N1830" s="274"/>
      <c r="P1830" s="275"/>
    </row>
    <row r="1831" ht="15.75" customHeight="1">
      <c r="B1831" s="282"/>
      <c r="H1831" s="273"/>
      <c r="I1831" s="274"/>
      <c r="J1831" s="274"/>
      <c r="K1831" s="274"/>
      <c r="L1831" s="274"/>
      <c r="M1831" s="274"/>
      <c r="N1831" s="274"/>
      <c r="P1831" s="275"/>
    </row>
    <row r="1832" ht="15.75" customHeight="1">
      <c r="B1832" s="282"/>
      <c r="H1832" s="273"/>
      <c r="I1832" s="274"/>
      <c r="J1832" s="274"/>
      <c r="K1832" s="274"/>
      <c r="L1832" s="274"/>
      <c r="M1832" s="274"/>
      <c r="N1832" s="274"/>
      <c r="P1832" s="275"/>
    </row>
    <row r="1833" ht="15.75" customHeight="1">
      <c r="B1833" s="282"/>
      <c r="H1833" s="273"/>
      <c r="I1833" s="274"/>
      <c r="J1833" s="274"/>
      <c r="K1833" s="274"/>
      <c r="L1833" s="274"/>
      <c r="M1833" s="274"/>
      <c r="N1833" s="274"/>
      <c r="P1833" s="275"/>
    </row>
    <row r="1834" ht="15.75" customHeight="1">
      <c r="B1834" s="282"/>
      <c r="H1834" s="273"/>
      <c r="I1834" s="274"/>
      <c r="J1834" s="274"/>
      <c r="K1834" s="274"/>
      <c r="L1834" s="274"/>
      <c r="M1834" s="274"/>
      <c r="N1834" s="274"/>
      <c r="P1834" s="275"/>
    </row>
    <row r="1835" ht="15.75" customHeight="1">
      <c r="B1835" s="282"/>
      <c r="H1835" s="273"/>
      <c r="I1835" s="274"/>
      <c r="J1835" s="274"/>
      <c r="K1835" s="274"/>
      <c r="L1835" s="274"/>
      <c r="M1835" s="274"/>
      <c r="N1835" s="274"/>
      <c r="P1835" s="275"/>
    </row>
    <row r="1836" ht="15.75" customHeight="1">
      <c r="B1836" s="282"/>
      <c r="H1836" s="273"/>
      <c r="I1836" s="274"/>
      <c r="J1836" s="274"/>
      <c r="K1836" s="274"/>
      <c r="L1836" s="274"/>
      <c r="M1836" s="274"/>
      <c r="N1836" s="274"/>
      <c r="P1836" s="275"/>
    </row>
    <row r="1837" ht="15.75" customHeight="1">
      <c r="B1837" s="282"/>
      <c r="H1837" s="273"/>
      <c r="I1837" s="274"/>
      <c r="J1837" s="274"/>
      <c r="K1837" s="274"/>
      <c r="L1837" s="274"/>
      <c r="M1837" s="274"/>
      <c r="N1837" s="274"/>
      <c r="P1837" s="275"/>
    </row>
    <row r="1838" ht="15.75" customHeight="1">
      <c r="B1838" s="282"/>
      <c r="H1838" s="273"/>
      <c r="I1838" s="274"/>
      <c r="J1838" s="274"/>
      <c r="K1838" s="274"/>
      <c r="L1838" s="274"/>
      <c r="M1838" s="274"/>
      <c r="N1838" s="274"/>
      <c r="P1838" s="275"/>
    </row>
    <row r="1839" ht="15.75" customHeight="1">
      <c r="B1839" s="282"/>
      <c r="H1839" s="273"/>
      <c r="I1839" s="274"/>
      <c r="J1839" s="274"/>
      <c r="K1839" s="274"/>
      <c r="L1839" s="274"/>
      <c r="M1839" s="274"/>
      <c r="N1839" s="274"/>
      <c r="P1839" s="275"/>
    </row>
    <row r="1840" ht="15.75" customHeight="1">
      <c r="B1840" s="282"/>
      <c r="H1840" s="273"/>
      <c r="I1840" s="274"/>
      <c r="J1840" s="274"/>
      <c r="K1840" s="274"/>
      <c r="L1840" s="274"/>
      <c r="M1840" s="274"/>
      <c r="N1840" s="274"/>
      <c r="P1840" s="275"/>
    </row>
    <row r="1841" ht="15.75" customHeight="1">
      <c r="B1841" s="282"/>
      <c r="H1841" s="273"/>
      <c r="I1841" s="274"/>
      <c r="J1841" s="274"/>
      <c r="K1841" s="274"/>
      <c r="L1841" s="274"/>
      <c r="M1841" s="274"/>
      <c r="N1841" s="274"/>
      <c r="P1841" s="275"/>
    </row>
    <row r="1842" ht="15.75" customHeight="1">
      <c r="B1842" s="282"/>
      <c r="H1842" s="273"/>
      <c r="I1842" s="274"/>
      <c r="J1842" s="274"/>
      <c r="K1842" s="274"/>
      <c r="L1842" s="274"/>
      <c r="M1842" s="274"/>
      <c r="N1842" s="274"/>
      <c r="P1842" s="275"/>
    </row>
    <row r="1843" ht="15.75" customHeight="1">
      <c r="B1843" s="282"/>
      <c r="H1843" s="273"/>
      <c r="I1843" s="274"/>
      <c r="J1843" s="274"/>
      <c r="K1843" s="274"/>
      <c r="L1843" s="274"/>
      <c r="M1843" s="274"/>
      <c r="N1843" s="274"/>
      <c r="P1843" s="275"/>
    </row>
    <row r="1844" ht="15.75" customHeight="1">
      <c r="B1844" s="282"/>
      <c r="H1844" s="273"/>
      <c r="I1844" s="274"/>
      <c r="J1844" s="274"/>
      <c r="K1844" s="274"/>
      <c r="L1844" s="274"/>
      <c r="M1844" s="274"/>
      <c r="N1844" s="274"/>
      <c r="P1844" s="275"/>
    </row>
    <row r="1845" ht="15.75" customHeight="1">
      <c r="B1845" s="282"/>
      <c r="H1845" s="273"/>
      <c r="I1845" s="274"/>
      <c r="J1845" s="274"/>
      <c r="K1845" s="274"/>
      <c r="L1845" s="274"/>
      <c r="M1845" s="274"/>
      <c r="N1845" s="274"/>
      <c r="P1845" s="275"/>
    </row>
    <row r="1846" ht="15.75" customHeight="1">
      <c r="B1846" s="282"/>
      <c r="H1846" s="273"/>
      <c r="I1846" s="274"/>
      <c r="J1846" s="274"/>
      <c r="K1846" s="274"/>
      <c r="L1846" s="274"/>
      <c r="M1846" s="274"/>
      <c r="N1846" s="274"/>
      <c r="P1846" s="275"/>
    </row>
    <row r="1847" ht="15.75" customHeight="1">
      <c r="B1847" s="282"/>
      <c r="H1847" s="273"/>
      <c r="I1847" s="274"/>
      <c r="J1847" s="274"/>
      <c r="K1847" s="274"/>
      <c r="L1847" s="274"/>
      <c r="M1847" s="274"/>
      <c r="N1847" s="274"/>
      <c r="P1847" s="275"/>
    </row>
    <row r="1848" ht="15.75" customHeight="1">
      <c r="B1848" s="282"/>
      <c r="H1848" s="273"/>
      <c r="I1848" s="274"/>
      <c r="J1848" s="274"/>
      <c r="K1848" s="274"/>
      <c r="L1848" s="274"/>
      <c r="M1848" s="274"/>
      <c r="N1848" s="274"/>
      <c r="P1848" s="275"/>
    </row>
    <row r="1849" ht="15.75" customHeight="1">
      <c r="B1849" s="282"/>
      <c r="H1849" s="273"/>
      <c r="I1849" s="274"/>
      <c r="J1849" s="274"/>
      <c r="K1849" s="274"/>
      <c r="L1849" s="274"/>
      <c r="M1849" s="274"/>
      <c r="N1849" s="274"/>
      <c r="P1849" s="275"/>
    </row>
    <row r="1850" ht="15.75" customHeight="1">
      <c r="B1850" s="282"/>
      <c r="H1850" s="273"/>
      <c r="I1850" s="274"/>
      <c r="J1850" s="274"/>
      <c r="K1850" s="274"/>
      <c r="L1850" s="274"/>
      <c r="M1850" s="274"/>
      <c r="N1850" s="274"/>
      <c r="P1850" s="275"/>
    </row>
    <row r="1851" ht="15.75" customHeight="1">
      <c r="B1851" s="282"/>
      <c r="H1851" s="273"/>
      <c r="I1851" s="274"/>
      <c r="J1851" s="274"/>
      <c r="K1851" s="274"/>
      <c r="L1851" s="274"/>
      <c r="M1851" s="274"/>
      <c r="N1851" s="274"/>
      <c r="P1851" s="275"/>
    </row>
    <row r="1852" ht="15.75" customHeight="1">
      <c r="B1852" s="282"/>
      <c r="H1852" s="273"/>
      <c r="I1852" s="274"/>
      <c r="J1852" s="274"/>
      <c r="K1852" s="274"/>
      <c r="L1852" s="274"/>
      <c r="M1852" s="274"/>
      <c r="N1852" s="274"/>
      <c r="P1852" s="275"/>
    </row>
    <row r="1853" ht="15.75" customHeight="1">
      <c r="B1853" s="282"/>
      <c r="H1853" s="273"/>
      <c r="I1853" s="274"/>
      <c r="J1853" s="274"/>
      <c r="K1853" s="274"/>
      <c r="L1853" s="274"/>
      <c r="M1853" s="274"/>
      <c r="N1853" s="274"/>
      <c r="P1853" s="275"/>
    </row>
    <row r="1854" ht="15.75" customHeight="1">
      <c r="B1854" s="282"/>
      <c r="H1854" s="273"/>
      <c r="I1854" s="274"/>
      <c r="J1854" s="274"/>
      <c r="K1854" s="274"/>
      <c r="L1854" s="274"/>
      <c r="M1854" s="274"/>
      <c r="N1854" s="274"/>
      <c r="P1854" s="275"/>
    </row>
    <row r="1855" ht="15.75" customHeight="1">
      <c r="B1855" s="282"/>
      <c r="H1855" s="273"/>
      <c r="I1855" s="274"/>
      <c r="J1855" s="274"/>
      <c r="K1855" s="274"/>
      <c r="L1855" s="274"/>
      <c r="M1855" s="274"/>
      <c r="N1855" s="274"/>
      <c r="P1855" s="275"/>
    </row>
    <row r="1856" ht="15.75" customHeight="1">
      <c r="B1856" s="282"/>
      <c r="H1856" s="273"/>
      <c r="I1856" s="274"/>
      <c r="J1856" s="274"/>
      <c r="K1856" s="274"/>
      <c r="L1856" s="274"/>
      <c r="M1856" s="274"/>
      <c r="N1856" s="274"/>
      <c r="P1856" s="275"/>
    </row>
    <row r="1857" ht="15.75" customHeight="1">
      <c r="B1857" s="282"/>
      <c r="H1857" s="273"/>
      <c r="I1857" s="274"/>
      <c r="J1857" s="274"/>
      <c r="K1857" s="274"/>
      <c r="L1857" s="274"/>
      <c r="M1857" s="274"/>
      <c r="N1857" s="274"/>
      <c r="P1857" s="275"/>
    </row>
    <row r="1858" ht="15.75" customHeight="1">
      <c r="B1858" s="282"/>
      <c r="H1858" s="273"/>
      <c r="I1858" s="274"/>
      <c r="J1858" s="274"/>
      <c r="K1858" s="274"/>
      <c r="L1858" s="274"/>
      <c r="M1858" s="274"/>
      <c r="N1858" s="274"/>
      <c r="P1858" s="275"/>
    </row>
    <row r="1859" ht="15.75" customHeight="1">
      <c r="B1859" s="282"/>
      <c r="H1859" s="273"/>
      <c r="I1859" s="274"/>
      <c r="J1859" s="274"/>
      <c r="K1859" s="274"/>
      <c r="L1859" s="274"/>
      <c r="M1859" s="274"/>
      <c r="N1859" s="274"/>
      <c r="P1859" s="275"/>
    </row>
    <row r="1860" ht="15.75" customHeight="1">
      <c r="B1860" s="282"/>
      <c r="H1860" s="273"/>
      <c r="I1860" s="274"/>
      <c r="J1860" s="274"/>
      <c r="K1860" s="274"/>
      <c r="L1860" s="274"/>
      <c r="M1860" s="274"/>
      <c r="N1860" s="274"/>
      <c r="P1860" s="275"/>
    </row>
    <row r="1861" ht="15.75" customHeight="1">
      <c r="B1861" s="282"/>
      <c r="H1861" s="273"/>
      <c r="I1861" s="274"/>
      <c r="J1861" s="274"/>
      <c r="K1861" s="274"/>
      <c r="L1861" s="274"/>
      <c r="M1861" s="274"/>
      <c r="N1861" s="274"/>
      <c r="P1861" s="275"/>
    </row>
    <row r="1862" ht="15.75" customHeight="1">
      <c r="B1862" s="282"/>
      <c r="H1862" s="273"/>
      <c r="I1862" s="274"/>
      <c r="J1862" s="274"/>
      <c r="K1862" s="274"/>
      <c r="L1862" s="274"/>
      <c r="M1862" s="274"/>
      <c r="N1862" s="274"/>
      <c r="P1862" s="275"/>
    </row>
    <row r="1863" ht="15.75" customHeight="1">
      <c r="B1863" s="282"/>
      <c r="H1863" s="273"/>
      <c r="I1863" s="274"/>
      <c r="J1863" s="274"/>
      <c r="K1863" s="274"/>
      <c r="L1863" s="274"/>
      <c r="M1863" s="274"/>
      <c r="N1863" s="274"/>
      <c r="P1863" s="275"/>
    </row>
    <row r="1864" ht="15.75" customHeight="1">
      <c r="B1864" s="282"/>
      <c r="H1864" s="273"/>
      <c r="I1864" s="274"/>
      <c r="J1864" s="274"/>
      <c r="K1864" s="274"/>
      <c r="L1864" s="274"/>
      <c r="M1864" s="274"/>
      <c r="N1864" s="274"/>
      <c r="P1864" s="275"/>
    </row>
    <row r="1865" ht="15.75" customHeight="1">
      <c r="B1865" s="282"/>
      <c r="H1865" s="273"/>
      <c r="I1865" s="274"/>
      <c r="J1865" s="274"/>
      <c r="K1865" s="274"/>
      <c r="L1865" s="274"/>
      <c r="M1865" s="274"/>
      <c r="N1865" s="274"/>
      <c r="P1865" s="275"/>
    </row>
    <row r="1866" ht="15.75" customHeight="1">
      <c r="B1866" s="282"/>
      <c r="H1866" s="273"/>
      <c r="I1866" s="274"/>
      <c r="J1866" s="274"/>
      <c r="K1866" s="274"/>
      <c r="L1866" s="274"/>
      <c r="M1866" s="274"/>
      <c r="N1866" s="274"/>
      <c r="P1866" s="275"/>
    </row>
    <row r="1867" ht="15.75" customHeight="1">
      <c r="B1867" s="282"/>
      <c r="H1867" s="273"/>
      <c r="I1867" s="274"/>
      <c r="J1867" s="274"/>
      <c r="K1867" s="274"/>
      <c r="L1867" s="274"/>
      <c r="M1867" s="274"/>
      <c r="N1867" s="274"/>
      <c r="P1867" s="275"/>
    </row>
    <row r="1868" ht="15.75" customHeight="1">
      <c r="B1868" s="282"/>
      <c r="H1868" s="273"/>
      <c r="I1868" s="274"/>
      <c r="J1868" s="274"/>
      <c r="K1868" s="274"/>
      <c r="L1868" s="274"/>
      <c r="M1868" s="274"/>
      <c r="N1868" s="274"/>
      <c r="P1868" s="275"/>
    </row>
    <row r="1869" ht="15.75" customHeight="1">
      <c r="B1869" s="282"/>
      <c r="H1869" s="273"/>
      <c r="I1869" s="274"/>
      <c r="J1869" s="274"/>
      <c r="K1869" s="274"/>
      <c r="L1869" s="274"/>
      <c r="M1869" s="274"/>
      <c r="N1869" s="274"/>
      <c r="P1869" s="275"/>
    </row>
    <row r="1870" ht="15.75" customHeight="1">
      <c r="B1870" s="282"/>
      <c r="H1870" s="273"/>
      <c r="I1870" s="274"/>
      <c r="J1870" s="274"/>
      <c r="K1870" s="274"/>
      <c r="L1870" s="274"/>
      <c r="M1870" s="274"/>
      <c r="N1870" s="274"/>
      <c r="P1870" s="275"/>
    </row>
    <row r="1871" ht="15.75" customHeight="1">
      <c r="B1871" s="282"/>
      <c r="H1871" s="273"/>
      <c r="I1871" s="274"/>
      <c r="J1871" s="274"/>
      <c r="K1871" s="274"/>
      <c r="L1871" s="274"/>
      <c r="M1871" s="274"/>
      <c r="N1871" s="274"/>
      <c r="P1871" s="275"/>
    </row>
    <row r="1872" ht="15.75" customHeight="1">
      <c r="B1872" s="282"/>
      <c r="H1872" s="273"/>
      <c r="I1872" s="274"/>
      <c r="J1872" s="274"/>
      <c r="K1872" s="274"/>
      <c r="L1872" s="274"/>
      <c r="M1872" s="274"/>
      <c r="N1872" s="274"/>
      <c r="P1872" s="275"/>
    </row>
    <row r="1873" ht="15.75" customHeight="1">
      <c r="B1873" s="282"/>
      <c r="H1873" s="273"/>
      <c r="I1873" s="274"/>
      <c r="J1873" s="274"/>
      <c r="K1873" s="274"/>
      <c r="L1873" s="274"/>
      <c r="M1873" s="274"/>
      <c r="N1873" s="274"/>
      <c r="P1873" s="275"/>
    </row>
    <row r="1874" ht="15.75" customHeight="1">
      <c r="B1874" s="282"/>
      <c r="H1874" s="273"/>
      <c r="I1874" s="274"/>
      <c r="J1874" s="274"/>
      <c r="K1874" s="274"/>
      <c r="L1874" s="274"/>
      <c r="M1874" s="274"/>
      <c r="N1874" s="274"/>
      <c r="P1874" s="275"/>
    </row>
    <row r="1875" ht="15.75" customHeight="1">
      <c r="B1875" s="282"/>
      <c r="H1875" s="273"/>
      <c r="I1875" s="274"/>
      <c r="J1875" s="274"/>
      <c r="K1875" s="274"/>
      <c r="L1875" s="274"/>
      <c r="M1875" s="274"/>
      <c r="N1875" s="274"/>
      <c r="P1875" s="275"/>
    </row>
    <row r="1876" ht="15.75" customHeight="1">
      <c r="B1876" s="282"/>
      <c r="H1876" s="273"/>
      <c r="I1876" s="274"/>
      <c r="J1876" s="274"/>
      <c r="K1876" s="274"/>
      <c r="L1876" s="274"/>
      <c r="M1876" s="274"/>
      <c r="N1876" s="274"/>
      <c r="P1876" s="275"/>
    </row>
    <row r="1877" ht="15.75" customHeight="1">
      <c r="B1877" s="282"/>
      <c r="H1877" s="273"/>
      <c r="I1877" s="274"/>
      <c r="J1877" s="274"/>
      <c r="K1877" s="274"/>
      <c r="L1877" s="274"/>
      <c r="M1877" s="274"/>
      <c r="N1877" s="274"/>
      <c r="P1877" s="275"/>
    </row>
    <row r="1878" ht="15.75" customHeight="1">
      <c r="B1878" s="282"/>
      <c r="H1878" s="273"/>
      <c r="I1878" s="274"/>
      <c r="J1878" s="274"/>
      <c r="K1878" s="274"/>
      <c r="L1878" s="274"/>
      <c r="M1878" s="274"/>
      <c r="N1878" s="274"/>
      <c r="P1878" s="275"/>
    </row>
    <row r="1879" ht="15.75" customHeight="1">
      <c r="B1879" s="282"/>
      <c r="H1879" s="273"/>
      <c r="I1879" s="274"/>
      <c r="J1879" s="274"/>
      <c r="K1879" s="274"/>
      <c r="L1879" s="274"/>
      <c r="M1879" s="274"/>
      <c r="N1879" s="274"/>
      <c r="P1879" s="275"/>
    </row>
    <row r="1880" ht="15.75" customHeight="1">
      <c r="B1880" s="282"/>
      <c r="H1880" s="273"/>
      <c r="I1880" s="274"/>
      <c r="J1880" s="274"/>
      <c r="K1880" s="274"/>
      <c r="L1880" s="274"/>
      <c r="M1880" s="274"/>
      <c r="N1880" s="274"/>
      <c r="P1880" s="275"/>
    </row>
    <row r="1881" ht="15.75" customHeight="1">
      <c r="B1881" s="282"/>
      <c r="H1881" s="273"/>
      <c r="I1881" s="274"/>
      <c r="J1881" s="274"/>
      <c r="K1881" s="274"/>
      <c r="L1881" s="274"/>
      <c r="M1881" s="274"/>
      <c r="N1881" s="274"/>
      <c r="P1881" s="275"/>
    </row>
    <row r="1882" ht="15.75" customHeight="1">
      <c r="B1882" s="282"/>
      <c r="H1882" s="273"/>
      <c r="I1882" s="274"/>
      <c r="J1882" s="274"/>
      <c r="K1882" s="274"/>
      <c r="L1882" s="274"/>
      <c r="M1882" s="274"/>
      <c r="N1882" s="274"/>
      <c r="P1882" s="275"/>
    </row>
    <row r="1883" ht="15.75" customHeight="1">
      <c r="B1883" s="282"/>
      <c r="H1883" s="273"/>
      <c r="I1883" s="274"/>
      <c r="J1883" s="274"/>
      <c r="K1883" s="274"/>
      <c r="L1883" s="274"/>
      <c r="M1883" s="274"/>
      <c r="N1883" s="274"/>
      <c r="P1883" s="275"/>
    </row>
    <row r="1884" ht="15.75" customHeight="1">
      <c r="B1884" s="282"/>
      <c r="H1884" s="273"/>
      <c r="I1884" s="274"/>
      <c r="J1884" s="274"/>
      <c r="K1884" s="274"/>
      <c r="L1884" s="274"/>
      <c r="M1884" s="274"/>
      <c r="N1884" s="274"/>
      <c r="P1884" s="275"/>
    </row>
    <row r="1885" ht="15.75" customHeight="1">
      <c r="B1885" s="282"/>
      <c r="H1885" s="273"/>
      <c r="I1885" s="274"/>
      <c r="J1885" s="274"/>
      <c r="K1885" s="274"/>
      <c r="L1885" s="274"/>
      <c r="M1885" s="274"/>
      <c r="N1885" s="274"/>
      <c r="P1885" s="275"/>
    </row>
    <row r="1886" ht="15.75" customHeight="1">
      <c r="B1886" s="282"/>
      <c r="H1886" s="273"/>
      <c r="I1886" s="274"/>
      <c r="J1886" s="274"/>
      <c r="K1886" s="274"/>
      <c r="L1886" s="274"/>
      <c r="M1886" s="274"/>
      <c r="N1886" s="274"/>
      <c r="P1886" s="275"/>
    </row>
    <row r="1887" ht="15.75" customHeight="1">
      <c r="B1887" s="282"/>
      <c r="H1887" s="273"/>
      <c r="I1887" s="274"/>
      <c r="J1887" s="274"/>
      <c r="K1887" s="274"/>
      <c r="L1887" s="274"/>
      <c r="M1887" s="274"/>
      <c r="N1887" s="274"/>
      <c r="P1887" s="275"/>
    </row>
    <row r="1888" ht="15.75" customHeight="1">
      <c r="B1888" s="282"/>
      <c r="H1888" s="273"/>
      <c r="I1888" s="274"/>
      <c r="J1888" s="274"/>
      <c r="K1888" s="274"/>
      <c r="L1888" s="274"/>
      <c r="M1888" s="274"/>
      <c r="N1888" s="274"/>
      <c r="P1888" s="275"/>
    </row>
    <row r="1889" ht="15.75" customHeight="1">
      <c r="B1889" s="282"/>
      <c r="H1889" s="273"/>
      <c r="I1889" s="274"/>
      <c r="J1889" s="274"/>
      <c r="K1889" s="274"/>
      <c r="L1889" s="274"/>
      <c r="M1889" s="274"/>
      <c r="N1889" s="274"/>
      <c r="P1889" s="275"/>
    </row>
    <row r="1890" ht="15.75" customHeight="1">
      <c r="B1890" s="282"/>
      <c r="H1890" s="273"/>
      <c r="I1890" s="274"/>
      <c r="J1890" s="274"/>
      <c r="K1890" s="274"/>
      <c r="L1890" s="274"/>
      <c r="M1890" s="274"/>
      <c r="N1890" s="274"/>
      <c r="P1890" s="275"/>
    </row>
    <row r="1891" ht="15.75" customHeight="1">
      <c r="B1891" s="282"/>
      <c r="H1891" s="273"/>
      <c r="I1891" s="274"/>
      <c r="J1891" s="274"/>
      <c r="K1891" s="274"/>
      <c r="L1891" s="274"/>
      <c r="M1891" s="274"/>
      <c r="N1891" s="274"/>
      <c r="P1891" s="275"/>
    </row>
    <row r="1892" ht="15.75" customHeight="1">
      <c r="B1892" s="282"/>
      <c r="H1892" s="273"/>
      <c r="I1892" s="274"/>
      <c r="J1892" s="274"/>
      <c r="K1892" s="274"/>
      <c r="L1892" s="274"/>
      <c r="M1892" s="274"/>
      <c r="N1892" s="274"/>
      <c r="P1892" s="275"/>
    </row>
    <row r="1893" ht="15.75" customHeight="1">
      <c r="B1893" s="282"/>
      <c r="H1893" s="273"/>
      <c r="I1893" s="274"/>
      <c r="J1893" s="274"/>
      <c r="K1893" s="274"/>
      <c r="L1893" s="274"/>
      <c r="M1893" s="274"/>
      <c r="N1893" s="274"/>
      <c r="P1893" s="275"/>
    </row>
    <row r="1894" ht="15.75" customHeight="1">
      <c r="B1894" s="282"/>
      <c r="H1894" s="273"/>
      <c r="I1894" s="274"/>
      <c r="J1894" s="274"/>
      <c r="K1894" s="274"/>
      <c r="L1894" s="274"/>
      <c r="M1894" s="274"/>
      <c r="N1894" s="274"/>
      <c r="P1894" s="275"/>
    </row>
    <row r="1895" ht="15.75" customHeight="1">
      <c r="B1895" s="282"/>
      <c r="H1895" s="273"/>
      <c r="I1895" s="274"/>
      <c r="J1895" s="274"/>
      <c r="K1895" s="274"/>
      <c r="L1895" s="274"/>
      <c r="M1895" s="274"/>
      <c r="N1895" s="274"/>
      <c r="P1895" s="275"/>
    </row>
    <row r="1896" ht="15.75" customHeight="1">
      <c r="B1896" s="282"/>
      <c r="H1896" s="273"/>
      <c r="I1896" s="274"/>
      <c r="J1896" s="274"/>
      <c r="K1896" s="274"/>
      <c r="L1896" s="274"/>
      <c r="M1896" s="274"/>
      <c r="N1896" s="274"/>
      <c r="P1896" s="275"/>
    </row>
    <row r="1897" ht="15.75" customHeight="1">
      <c r="B1897" s="282"/>
      <c r="H1897" s="273"/>
      <c r="I1897" s="274"/>
      <c r="J1897" s="274"/>
      <c r="K1897" s="274"/>
      <c r="L1897" s="274"/>
      <c r="M1897" s="274"/>
      <c r="N1897" s="274"/>
      <c r="P1897" s="275"/>
    </row>
    <row r="1898" ht="15.75" customHeight="1">
      <c r="B1898" s="282"/>
      <c r="H1898" s="273"/>
      <c r="I1898" s="274"/>
      <c r="J1898" s="274"/>
      <c r="K1898" s="274"/>
      <c r="L1898" s="274"/>
      <c r="M1898" s="274"/>
      <c r="N1898" s="274"/>
      <c r="P1898" s="275"/>
    </row>
    <row r="1899" ht="15.75" customHeight="1">
      <c r="B1899" s="282"/>
      <c r="H1899" s="273"/>
      <c r="I1899" s="274"/>
      <c r="J1899" s="274"/>
      <c r="K1899" s="274"/>
      <c r="L1899" s="274"/>
      <c r="M1899" s="274"/>
      <c r="N1899" s="274"/>
      <c r="P1899" s="275"/>
    </row>
    <row r="1900" ht="15.75" customHeight="1">
      <c r="B1900" s="282"/>
      <c r="H1900" s="273"/>
      <c r="I1900" s="274"/>
      <c r="J1900" s="274"/>
      <c r="K1900" s="274"/>
      <c r="L1900" s="274"/>
      <c r="M1900" s="274"/>
      <c r="N1900" s="274"/>
      <c r="P1900" s="275"/>
    </row>
    <row r="1901" ht="15.75" customHeight="1">
      <c r="B1901" s="282"/>
      <c r="H1901" s="273"/>
      <c r="I1901" s="274"/>
      <c r="J1901" s="274"/>
      <c r="K1901" s="274"/>
      <c r="L1901" s="274"/>
      <c r="M1901" s="274"/>
      <c r="N1901" s="274"/>
      <c r="P1901" s="275"/>
    </row>
    <row r="1902" ht="15.75" customHeight="1">
      <c r="B1902" s="282"/>
      <c r="H1902" s="273"/>
      <c r="I1902" s="274"/>
      <c r="J1902" s="274"/>
      <c r="K1902" s="274"/>
      <c r="L1902" s="274"/>
      <c r="M1902" s="274"/>
      <c r="N1902" s="274"/>
      <c r="P1902" s="275"/>
    </row>
    <row r="1903" ht="15.75" customHeight="1">
      <c r="B1903" s="282"/>
      <c r="H1903" s="273"/>
      <c r="I1903" s="274"/>
      <c r="J1903" s="274"/>
      <c r="K1903" s="274"/>
      <c r="L1903" s="274"/>
      <c r="M1903" s="274"/>
      <c r="N1903" s="274"/>
      <c r="P1903" s="275"/>
    </row>
    <row r="1904" ht="15.75" customHeight="1">
      <c r="B1904" s="282"/>
      <c r="H1904" s="273"/>
      <c r="I1904" s="274"/>
      <c r="J1904" s="274"/>
      <c r="K1904" s="274"/>
      <c r="L1904" s="274"/>
      <c r="M1904" s="274"/>
      <c r="N1904" s="274"/>
      <c r="P1904" s="275"/>
    </row>
    <row r="1905" ht="15.75" customHeight="1">
      <c r="B1905" s="282"/>
      <c r="H1905" s="273"/>
      <c r="I1905" s="274"/>
      <c r="J1905" s="274"/>
      <c r="K1905" s="274"/>
      <c r="L1905" s="274"/>
      <c r="M1905" s="274"/>
      <c r="N1905" s="274"/>
      <c r="P1905" s="275"/>
    </row>
    <row r="1906" ht="15.75" customHeight="1">
      <c r="B1906" s="282"/>
      <c r="H1906" s="273"/>
      <c r="I1906" s="274"/>
      <c r="J1906" s="274"/>
      <c r="K1906" s="274"/>
      <c r="L1906" s="274"/>
      <c r="M1906" s="274"/>
      <c r="N1906" s="274"/>
      <c r="P1906" s="275"/>
    </row>
    <row r="1907" ht="15.75" customHeight="1">
      <c r="B1907" s="282"/>
      <c r="H1907" s="273"/>
      <c r="I1907" s="274"/>
      <c r="J1907" s="274"/>
      <c r="K1907" s="274"/>
      <c r="L1907" s="274"/>
      <c r="M1907" s="274"/>
      <c r="N1907" s="274"/>
      <c r="P1907" s="275"/>
    </row>
    <row r="1908" ht="15.75" customHeight="1">
      <c r="B1908" s="282"/>
      <c r="H1908" s="273"/>
      <c r="I1908" s="274"/>
      <c r="J1908" s="274"/>
      <c r="K1908" s="274"/>
      <c r="L1908" s="274"/>
      <c r="M1908" s="274"/>
      <c r="N1908" s="274"/>
      <c r="P1908" s="275"/>
    </row>
    <row r="1909" ht="15.75" customHeight="1">
      <c r="B1909" s="282"/>
      <c r="H1909" s="273"/>
      <c r="I1909" s="274"/>
      <c r="J1909" s="274"/>
      <c r="K1909" s="274"/>
      <c r="L1909" s="274"/>
      <c r="M1909" s="274"/>
      <c r="N1909" s="274"/>
      <c r="P1909" s="275"/>
    </row>
    <row r="1910" ht="15.75" customHeight="1">
      <c r="B1910" s="282"/>
      <c r="H1910" s="273"/>
      <c r="I1910" s="274"/>
      <c r="J1910" s="274"/>
      <c r="K1910" s="274"/>
      <c r="L1910" s="274"/>
      <c r="M1910" s="274"/>
      <c r="N1910" s="274"/>
      <c r="P1910" s="275"/>
    </row>
    <row r="1911" ht="15.75" customHeight="1">
      <c r="B1911" s="282"/>
      <c r="H1911" s="273"/>
      <c r="I1911" s="274"/>
      <c r="J1911" s="274"/>
      <c r="K1911" s="274"/>
      <c r="L1911" s="274"/>
      <c r="M1911" s="274"/>
      <c r="N1911" s="274"/>
      <c r="P1911" s="275"/>
    </row>
    <row r="1912" ht="15.75" customHeight="1">
      <c r="B1912" s="282"/>
      <c r="H1912" s="273"/>
      <c r="I1912" s="274"/>
      <c r="J1912" s="274"/>
      <c r="K1912" s="274"/>
      <c r="L1912" s="274"/>
      <c r="M1912" s="274"/>
      <c r="N1912" s="274"/>
      <c r="P1912" s="275"/>
    </row>
    <row r="1913" ht="15.75" customHeight="1">
      <c r="B1913" s="282"/>
      <c r="H1913" s="273"/>
      <c r="I1913" s="274"/>
      <c r="J1913" s="274"/>
      <c r="K1913" s="274"/>
      <c r="L1913" s="274"/>
      <c r="M1913" s="274"/>
      <c r="N1913" s="274"/>
      <c r="P1913" s="275"/>
    </row>
    <row r="1914" ht="15.75" customHeight="1">
      <c r="B1914" s="282"/>
      <c r="H1914" s="273"/>
      <c r="I1914" s="274"/>
      <c r="J1914" s="274"/>
      <c r="K1914" s="274"/>
      <c r="L1914" s="274"/>
      <c r="M1914" s="274"/>
      <c r="N1914" s="274"/>
      <c r="P1914" s="275"/>
    </row>
    <row r="1915" ht="15.75" customHeight="1">
      <c r="B1915" s="282"/>
      <c r="H1915" s="273"/>
      <c r="I1915" s="274"/>
      <c r="J1915" s="274"/>
      <c r="K1915" s="274"/>
      <c r="L1915" s="274"/>
      <c r="M1915" s="274"/>
      <c r="N1915" s="274"/>
      <c r="P1915" s="275"/>
    </row>
    <row r="1916" ht="15.75" customHeight="1">
      <c r="B1916" s="282"/>
      <c r="H1916" s="273"/>
      <c r="I1916" s="274"/>
      <c r="J1916" s="274"/>
      <c r="K1916" s="274"/>
      <c r="L1916" s="274"/>
      <c r="M1916" s="274"/>
      <c r="N1916" s="274"/>
      <c r="P1916" s="275"/>
    </row>
    <row r="1917" ht="15.75" customHeight="1">
      <c r="B1917" s="282"/>
      <c r="H1917" s="273"/>
      <c r="I1917" s="274"/>
      <c r="J1917" s="274"/>
      <c r="K1917" s="274"/>
      <c r="L1917" s="274"/>
      <c r="M1917" s="274"/>
      <c r="N1917" s="274"/>
      <c r="P1917" s="275"/>
    </row>
    <row r="1918" ht="15.75" customHeight="1">
      <c r="B1918" s="282"/>
      <c r="H1918" s="273"/>
      <c r="I1918" s="274"/>
      <c r="J1918" s="274"/>
      <c r="K1918" s="274"/>
      <c r="L1918" s="274"/>
      <c r="M1918" s="274"/>
      <c r="N1918" s="274"/>
      <c r="P1918" s="275"/>
    </row>
    <row r="1919" ht="15.75" customHeight="1">
      <c r="B1919" s="282"/>
      <c r="H1919" s="273"/>
      <c r="I1919" s="274"/>
      <c r="J1919" s="274"/>
      <c r="K1919" s="274"/>
      <c r="L1919" s="274"/>
      <c r="M1919" s="274"/>
      <c r="N1919" s="274"/>
      <c r="P1919" s="275"/>
    </row>
    <row r="1920" ht="15.75" customHeight="1">
      <c r="B1920" s="282"/>
      <c r="H1920" s="273"/>
      <c r="I1920" s="274"/>
      <c r="J1920" s="274"/>
      <c r="K1920" s="274"/>
      <c r="L1920" s="274"/>
      <c r="M1920" s="274"/>
      <c r="N1920" s="274"/>
      <c r="P1920" s="275"/>
    </row>
    <row r="1921" ht="15.75" customHeight="1">
      <c r="B1921" s="282"/>
      <c r="H1921" s="273"/>
      <c r="I1921" s="274"/>
      <c r="J1921" s="274"/>
      <c r="K1921" s="274"/>
      <c r="L1921" s="274"/>
      <c r="M1921" s="274"/>
      <c r="N1921" s="274"/>
      <c r="P1921" s="275"/>
    </row>
    <row r="1922" ht="15.75" customHeight="1">
      <c r="B1922" s="282"/>
      <c r="H1922" s="273"/>
      <c r="I1922" s="274"/>
      <c r="J1922" s="274"/>
      <c r="K1922" s="274"/>
      <c r="L1922" s="274"/>
      <c r="M1922" s="274"/>
      <c r="N1922" s="274"/>
      <c r="P1922" s="275"/>
    </row>
    <row r="1923" ht="15.75" customHeight="1">
      <c r="B1923" s="282"/>
      <c r="H1923" s="273"/>
      <c r="I1923" s="274"/>
      <c r="J1923" s="274"/>
      <c r="K1923" s="274"/>
      <c r="L1923" s="274"/>
      <c r="M1923" s="274"/>
      <c r="N1923" s="274"/>
      <c r="P1923" s="275"/>
    </row>
    <row r="1924" ht="15.75" customHeight="1">
      <c r="B1924" s="282"/>
      <c r="H1924" s="273"/>
      <c r="I1924" s="274"/>
      <c r="J1924" s="274"/>
      <c r="K1924" s="274"/>
      <c r="L1924" s="274"/>
      <c r="M1924" s="274"/>
      <c r="N1924" s="274"/>
      <c r="P1924" s="275"/>
    </row>
    <row r="1925" ht="15.75" customHeight="1">
      <c r="B1925" s="282"/>
      <c r="H1925" s="273"/>
      <c r="I1925" s="274"/>
      <c r="J1925" s="274"/>
      <c r="K1925" s="274"/>
      <c r="L1925" s="274"/>
      <c r="M1925" s="274"/>
      <c r="N1925" s="274"/>
      <c r="P1925" s="275"/>
    </row>
    <row r="1926" ht="15.75" customHeight="1">
      <c r="B1926" s="282"/>
      <c r="H1926" s="273"/>
      <c r="I1926" s="274"/>
      <c r="J1926" s="274"/>
      <c r="K1926" s="274"/>
      <c r="L1926" s="274"/>
      <c r="M1926" s="274"/>
      <c r="N1926" s="274"/>
      <c r="P1926" s="275"/>
    </row>
    <row r="1927" ht="15.75" customHeight="1">
      <c r="B1927" s="282"/>
      <c r="H1927" s="273"/>
      <c r="I1927" s="274"/>
      <c r="J1927" s="274"/>
      <c r="K1927" s="274"/>
      <c r="L1927" s="274"/>
      <c r="M1927" s="274"/>
      <c r="N1927" s="274"/>
      <c r="P1927" s="275"/>
    </row>
    <row r="1928" ht="15.75" customHeight="1">
      <c r="B1928" s="282"/>
      <c r="H1928" s="273"/>
      <c r="I1928" s="274"/>
      <c r="J1928" s="274"/>
      <c r="K1928" s="274"/>
      <c r="L1928" s="274"/>
      <c r="M1928" s="274"/>
      <c r="N1928" s="274"/>
      <c r="P1928" s="275"/>
    </row>
    <row r="1929" ht="15.75" customHeight="1">
      <c r="B1929" s="282"/>
      <c r="H1929" s="273"/>
      <c r="I1929" s="274"/>
      <c r="J1929" s="274"/>
      <c r="K1929" s="274"/>
      <c r="L1929" s="274"/>
      <c r="M1929" s="274"/>
      <c r="N1929" s="274"/>
      <c r="P1929" s="275"/>
    </row>
    <row r="1930" ht="15.75" customHeight="1">
      <c r="B1930" s="282"/>
      <c r="H1930" s="273"/>
      <c r="I1930" s="274"/>
      <c r="J1930" s="274"/>
      <c r="K1930" s="274"/>
      <c r="L1930" s="274"/>
      <c r="M1930" s="274"/>
      <c r="N1930" s="274"/>
      <c r="P1930" s="275"/>
    </row>
    <row r="1931" ht="15.75" customHeight="1">
      <c r="B1931" s="282"/>
      <c r="H1931" s="273"/>
      <c r="I1931" s="274"/>
      <c r="J1931" s="274"/>
      <c r="K1931" s="274"/>
      <c r="L1931" s="274"/>
      <c r="M1931" s="274"/>
      <c r="N1931" s="274"/>
      <c r="P1931" s="275"/>
    </row>
    <row r="1932" ht="15.75" customHeight="1">
      <c r="B1932" s="282"/>
      <c r="H1932" s="273"/>
      <c r="I1932" s="274"/>
      <c r="J1932" s="274"/>
      <c r="K1932" s="274"/>
      <c r="L1932" s="274"/>
      <c r="M1932" s="274"/>
      <c r="N1932" s="274"/>
      <c r="P1932" s="275"/>
    </row>
    <row r="1933" ht="15.75" customHeight="1">
      <c r="B1933" s="282"/>
      <c r="H1933" s="273"/>
      <c r="I1933" s="274"/>
      <c r="J1933" s="274"/>
      <c r="K1933" s="274"/>
      <c r="L1933" s="274"/>
      <c r="M1933" s="274"/>
      <c r="N1933" s="274"/>
      <c r="P1933" s="275"/>
    </row>
    <row r="1934" ht="15.75" customHeight="1">
      <c r="B1934" s="282"/>
      <c r="H1934" s="273"/>
      <c r="I1934" s="274"/>
      <c r="J1934" s="274"/>
      <c r="K1934" s="274"/>
      <c r="L1934" s="274"/>
      <c r="M1934" s="274"/>
      <c r="N1934" s="274"/>
      <c r="P1934" s="275"/>
    </row>
    <row r="1935" ht="15.75" customHeight="1">
      <c r="B1935" s="282"/>
      <c r="H1935" s="273"/>
      <c r="I1935" s="274"/>
      <c r="J1935" s="274"/>
      <c r="K1935" s="274"/>
      <c r="L1935" s="274"/>
      <c r="M1935" s="274"/>
      <c r="N1935" s="274"/>
      <c r="P1935" s="275"/>
    </row>
    <row r="1936" ht="15.75" customHeight="1">
      <c r="B1936" s="282"/>
      <c r="H1936" s="273"/>
      <c r="I1936" s="274"/>
      <c r="J1936" s="274"/>
      <c r="K1936" s="274"/>
      <c r="L1936" s="274"/>
      <c r="M1936" s="274"/>
      <c r="N1936" s="274"/>
      <c r="P1936" s="275"/>
    </row>
    <row r="1937" ht="15.75" customHeight="1">
      <c r="B1937" s="282"/>
      <c r="H1937" s="273"/>
      <c r="I1937" s="274"/>
      <c r="J1937" s="274"/>
      <c r="K1937" s="274"/>
      <c r="L1937" s="274"/>
      <c r="M1937" s="274"/>
      <c r="N1937" s="274"/>
      <c r="P1937" s="275"/>
    </row>
    <row r="1938" ht="15.75" customHeight="1">
      <c r="B1938" s="282"/>
      <c r="H1938" s="273"/>
      <c r="I1938" s="274"/>
      <c r="J1938" s="274"/>
      <c r="K1938" s="274"/>
      <c r="L1938" s="274"/>
      <c r="M1938" s="274"/>
      <c r="N1938" s="274"/>
      <c r="P1938" s="275"/>
    </row>
    <row r="1939" ht="15.75" customHeight="1">
      <c r="B1939" s="282"/>
      <c r="H1939" s="273"/>
      <c r="I1939" s="274"/>
      <c r="J1939" s="274"/>
      <c r="K1939" s="274"/>
      <c r="L1939" s="274"/>
      <c r="M1939" s="274"/>
      <c r="N1939" s="274"/>
      <c r="P1939" s="275"/>
    </row>
    <row r="1940" ht="15.75" customHeight="1">
      <c r="B1940" s="282"/>
      <c r="H1940" s="273"/>
      <c r="I1940" s="274"/>
      <c r="J1940" s="274"/>
      <c r="K1940" s="274"/>
      <c r="L1940" s="274"/>
      <c r="M1940" s="274"/>
      <c r="N1940" s="274"/>
      <c r="P1940" s="275"/>
    </row>
    <row r="1941" ht="15.75" customHeight="1">
      <c r="B1941" s="282"/>
      <c r="H1941" s="273"/>
      <c r="I1941" s="274"/>
      <c r="J1941" s="274"/>
      <c r="K1941" s="274"/>
      <c r="L1941" s="274"/>
      <c r="M1941" s="274"/>
      <c r="N1941" s="274"/>
      <c r="P1941" s="275"/>
    </row>
    <row r="1942" ht="15.75" customHeight="1">
      <c r="B1942" s="282"/>
      <c r="H1942" s="273"/>
      <c r="I1942" s="274"/>
      <c r="J1942" s="274"/>
      <c r="K1942" s="274"/>
      <c r="L1942" s="274"/>
      <c r="M1942" s="274"/>
      <c r="N1942" s="274"/>
      <c r="P1942" s="275"/>
    </row>
    <row r="1943" ht="15.75" customHeight="1">
      <c r="B1943" s="282"/>
      <c r="H1943" s="273"/>
      <c r="I1943" s="274"/>
      <c r="J1943" s="274"/>
      <c r="K1943" s="274"/>
      <c r="L1943" s="274"/>
      <c r="M1943" s="274"/>
      <c r="N1943" s="274"/>
      <c r="P1943" s="275"/>
    </row>
    <row r="1944" ht="15.75" customHeight="1">
      <c r="B1944" s="282"/>
      <c r="H1944" s="273"/>
      <c r="I1944" s="274"/>
      <c r="J1944" s="274"/>
      <c r="K1944" s="274"/>
      <c r="L1944" s="274"/>
      <c r="M1944" s="274"/>
      <c r="N1944" s="274"/>
      <c r="P1944" s="275"/>
    </row>
    <row r="1945" ht="15.75" customHeight="1">
      <c r="B1945" s="282"/>
      <c r="H1945" s="273"/>
      <c r="I1945" s="274"/>
      <c r="J1945" s="274"/>
      <c r="K1945" s="274"/>
      <c r="L1945" s="274"/>
      <c r="M1945" s="274"/>
      <c r="N1945" s="274"/>
      <c r="P1945" s="275"/>
    </row>
    <row r="1946" ht="15.75" customHeight="1">
      <c r="B1946" s="282"/>
      <c r="H1946" s="273"/>
      <c r="I1946" s="274"/>
      <c r="J1946" s="274"/>
      <c r="K1946" s="274"/>
      <c r="L1946" s="274"/>
      <c r="M1946" s="274"/>
      <c r="N1946" s="274"/>
      <c r="P1946" s="275"/>
    </row>
    <row r="1947" ht="15.75" customHeight="1">
      <c r="B1947" s="282"/>
      <c r="H1947" s="273"/>
      <c r="I1947" s="274"/>
      <c r="J1947" s="274"/>
      <c r="K1947" s="274"/>
      <c r="L1947" s="274"/>
      <c r="M1947" s="274"/>
      <c r="N1947" s="274"/>
      <c r="P1947" s="275"/>
    </row>
    <row r="1948" ht="15.75" customHeight="1">
      <c r="B1948" s="282"/>
      <c r="H1948" s="273"/>
      <c r="I1948" s="274"/>
      <c r="J1948" s="274"/>
      <c r="K1948" s="274"/>
      <c r="L1948" s="274"/>
      <c r="M1948" s="274"/>
      <c r="N1948" s="274"/>
      <c r="P1948" s="275"/>
    </row>
    <row r="1949" ht="15.75" customHeight="1">
      <c r="B1949" s="282"/>
      <c r="H1949" s="273"/>
      <c r="I1949" s="274"/>
      <c r="J1949" s="274"/>
      <c r="K1949" s="274"/>
      <c r="L1949" s="274"/>
      <c r="M1949" s="274"/>
      <c r="N1949" s="274"/>
      <c r="P1949" s="275"/>
    </row>
    <row r="1950" ht="15.75" customHeight="1">
      <c r="B1950" s="282"/>
      <c r="H1950" s="273"/>
      <c r="I1950" s="274"/>
      <c r="J1950" s="274"/>
      <c r="K1950" s="274"/>
      <c r="L1950" s="274"/>
      <c r="M1950" s="274"/>
      <c r="N1950" s="274"/>
      <c r="P1950" s="275"/>
    </row>
    <row r="1951" ht="15.75" customHeight="1">
      <c r="B1951" s="282"/>
      <c r="H1951" s="273"/>
      <c r="I1951" s="274"/>
      <c r="J1951" s="274"/>
      <c r="K1951" s="274"/>
      <c r="L1951" s="274"/>
      <c r="M1951" s="274"/>
      <c r="N1951" s="274"/>
      <c r="P1951" s="275"/>
    </row>
    <row r="1952" ht="15.75" customHeight="1">
      <c r="B1952" s="282"/>
      <c r="H1952" s="273"/>
      <c r="I1952" s="274"/>
      <c r="J1952" s="274"/>
      <c r="K1952" s="274"/>
      <c r="L1952" s="274"/>
      <c r="M1952" s="274"/>
      <c r="N1952" s="274"/>
      <c r="P1952" s="275"/>
    </row>
    <row r="1953" ht="15.75" customHeight="1">
      <c r="B1953" s="282"/>
      <c r="H1953" s="273"/>
      <c r="I1953" s="274"/>
      <c r="J1953" s="274"/>
      <c r="K1953" s="274"/>
      <c r="L1953" s="274"/>
      <c r="M1953" s="274"/>
      <c r="N1953" s="274"/>
      <c r="P1953" s="275"/>
    </row>
    <row r="1954" ht="15.75" customHeight="1">
      <c r="B1954" s="282"/>
      <c r="H1954" s="273"/>
      <c r="I1954" s="274"/>
      <c r="J1954" s="274"/>
      <c r="K1954" s="274"/>
      <c r="L1954" s="274"/>
      <c r="M1954" s="274"/>
      <c r="N1954" s="274"/>
      <c r="P1954" s="275"/>
    </row>
    <row r="1955" ht="15.75" customHeight="1">
      <c r="B1955" s="282"/>
      <c r="H1955" s="273"/>
      <c r="I1955" s="274"/>
      <c r="J1955" s="274"/>
      <c r="K1955" s="274"/>
      <c r="L1955" s="274"/>
      <c r="M1955" s="274"/>
      <c r="N1955" s="274"/>
      <c r="P1955" s="275"/>
    </row>
    <row r="1956" ht="15.75" customHeight="1">
      <c r="B1956" s="282"/>
      <c r="H1956" s="273"/>
      <c r="I1956" s="274"/>
      <c r="J1956" s="274"/>
      <c r="K1956" s="274"/>
      <c r="L1956" s="274"/>
      <c r="M1956" s="274"/>
      <c r="N1956" s="274"/>
      <c r="P1956" s="275"/>
    </row>
    <row r="1957" ht="15.75" customHeight="1">
      <c r="B1957" s="282"/>
      <c r="H1957" s="273"/>
      <c r="I1957" s="274"/>
      <c r="J1957" s="274"/>
      <c r="K1957" s="274"/>
      <c r="L1957" s="274"/>
      <c r="M1957" s="274"/>
      <c r="N1957" s="274"/>
      <c r="P1957" s="275"/>
    </row>
    <row r="1958" ht="15.75" customHeight="1">
      <c r="B1958" s="282"/>
      <c r="H1958" s="273"/>
      <c r="I1958" s="274"/>
      <c r="J1958" s="274"/>
      <c r="K1958" s="274"/>
      <c r="L1958" s="274"/>
      <c r="M1958" s="274"/>
      <c r="N1958" s="274"/>
      <c r="P1958" s="275"/>
    </row>
    <row r="1959" ht="15.75" customHeight="1">
      <c r="B1959" s="282"/>
      <c r="H1959" s="273"/>
      <c r="I1959" s="274"/>
      <c r="J1959" s="274"/>
      <c r="K1959" s="274"/>
      <c r="L1959" s="274"/>
      <c r="M1959" s="274"/>
      <c r="N1959" s="274"/>
      <c r="P1959" s="275"/>
    </row>
    <row r="1960" ht="15.75" customHeight="1">
      <c r="B1960" s="282"/>
      <c r="H1960" s="273"/>
      <c r="I1960" s="274"/>
      <c r="J1960" s="274"/>
      <c r="K1960" s="274"/>
      <c r="L1960" s="274"/>
      <c r="M1960" s="274"/>
      <c r="N1960" s="274"/>
      <c r="P1960" s="275"/>
    </row>
    <row r="1961" ht="15.75" customHeight="1">
      <c r="B1961" s="282"/>
      <c r="H1961" s="273"/>
      <c r="I1961" s="274"/>
      <c r="J1961" s="274"/>
      <c r="K1961" s="274"/>
      <c r="L1961" s="274"/>
      <c r="M1961" s="274"/>
      <c r="N1961" s="274"/>
      <c r="P1961" s="275"/>
    </row>
    <row r="1962" ht="15.75" customHeight="1">
      <c r="B1962" s="282"/>
      <c r="H1962" s="273"/>
      <c r="I1962" s="274"/>
      <c r="J1962" s="274"/>
      <c r="K1962" s="274"/>
      <c r="L1962" s="274"/>
      <c r="M1962" s="274"/>
      <c r="N1962" s="274"/>
      <c r="P1962" s="275"/>
    </row>
    <row r="1963" ht="15.75" customHeight="1">
      <c r="B1963" s="282"/>
      <c r="H1963" s="273"/>
      <c r="I1963" s="274"/>
      <c r="J1963" s="274"/>
      <c r="K1963" s="274"/>
      <c r="L1963" s="274"/>
      <c r="M1963" s="274"/>
      <c r="N1963" s="274"/>
      <c r="P1963" s="275"/>
    </row>
    <row r="1964" ht="15.75" customHeight="1">
      <c r="B1964" s="282"/>
      <c r="H1964" s="273"/>
      <c r="I1964" s="274"/>
      <c r="J1964" s="274"/>
      <c r="K1964" s="274"/>
      <c r="L1964" s="274"/>
      <c r="M1964" s="274"/>
      <c r="N1964" s="274"/>
      <c r="P1964" s="275"/>
    </row>
    <row r="1965" ht="15.75" customHeight="1">
      <c r="B1965" s="282"/>
      <c r="H1965" s="273"/>
      <c r="I1965" s="274"/>
      <c r="J1965" s="274"/>
      <c r="K1965" s="274"/>
      <c r="L1965" s="274"/>
      <c r="M1965" s="274"/>
      <c r="N1965" s="274"/>
      <c r="P1965" s="275"/>
    </row>
    <row r="1966" ht="15.75" customHeight="1">
      <c r="B1966" s="282"/>
      <c r="H1966" s="273"/>
      <c r="I1966" s="274"/>
      <c r="J1966" s="274"/>
      <c r="K1966" s="274"/>
      <c r="L1966" s="274"/>
      <c r="M1966" s="274"/>
      <c r="N1966" s="274"/>
      <c r="P1966" s="275"/>
    </row>
    <row r="1967" ht="15.75" customHeight="1">
      <c r="B1967" s="282"/>
      <c r="H1967" s="273"/>
      <c r="I1967" s="274"/>
      <c r="J1967" s="274"/>
      <c r="K1967" s="274"/>
      <c r="L1967" s="274"/>
      <c r="M1967" s="274"/>
      <c r="N1967" s="274"/>
      <c r="P1967" s="275"/>
    </row>
    <row r="1968" ht="15.75" customHeight="1">
      <c r="B1968" s="282"/>
      <c r="H1968" s="273"/>
      <c r="I1968" s="274"/>
      <c r="J1968" s="274"/>
      <c r="K1968" s="274"/>
      <c r="L1968" s="274"/>
      <c r="M1968" s="274"/>
      <c r="N1968" s="274"/>
      <c r="P1968" s="275"/>
    </row>
    <row r="1969" ht="15.75" customHeight="1">
      <c r="B1969" s="282"/>
      <c r="H1969" s="273"/>
      <c r="I1969" s="274"/>
      <c r="J1969" s="274"/>
      <c r="K1969" s="274"/>
      <c r="L1969" s="274"/>
      <c r="M1969" s="274"/>
      <c r="N1969" s="274"/>
      <c r="P1969" s="275"/>
    </row>
    <row r="1970" ht="15.75" customHeight="1">
      <c r="B1970" s="282"/>
      <c r="H1970" s="273"/>
      <c r="I1970" s="274"/>
      <c r="J1970" s="274"/>
      <c r="K1970" s="274"/>
      <c r="L1970" s="274"/>
      <c r="M1970" s="274"/>
      <c r="N1970" s="274"/>
      <c r="P1970" s="275"/>
    </row>
    <row r="1971" ht="15.75" customHeight="1">
      <c r="B1971" s="282"/>
      <c r="H1971" s="273"/>
      <c r="I1971" s="274"/>
      <c r="J1971" s="274"/>
      <c r="K1971" s="274"/>
      <c r="L1971" s="274"/>
      <c r="M1971" s="274"/>
      <c r="N1971" s="274"/>
      <c r="P1971" s="275"/>
    </row>
    <row r="1972" ht="15.75" customHeight="1">
      <c r="B1972" s="282"/>
      <c r="H1972" s="273"/>
      <c r="I1972" s="274"/>
      <c r="J1972" s="274"/>
      <c r="K1972" s="274"/>
      <c r="L1972" s="274"/>
      <c r="M1972" s="274"/>
      <c r="N1972" s="274"/>
      <c r="P1972" s="275"/>
    </row>
    <row r="1973" ht="15.75" customHeight="1">
      <c r="B1973" s="282"/>
      <c r="H1973" s="273"/>
      <c r="I1973" s="274"/>
      <c r="J1973" s="274"/>
      <c r="K1973" s="274"/>
      <c r="L1973" s="274"/>
      <c r="M1973" s="274"/>
      <c r="N1973" s="274"/>
      <c r="P1973" s="275"/>
    </row>
    <row r="1974" ht="15.75" customHeight="1">
      <c r="B1974" s="282"/>
      <c r="H1974" s="273"/>
      <c r="I1974" s="274"/>
      <c r="J1974" s="274"/>
      <c r="K1974" s="274"/>
      <c r="L1974" s="274"/>
      <c r="M1974" s="274"/>
      <c r="N1974" s="274"/>
      <c r="P1974" s="275"/>
    </row>
    <row r="1975" ht="15.75" customHeight="1">
      <c r="B1975" s="282"/>
      <c r="H1975" s="273"/>
      <c r="I1975" s="274"/>
      <c r="J1975" s="274"/>
      <c r="K1975" s="274"/>
      <c r="L1975" s="274"/>
      <c r="M1975" s="274"/>
      <c r="N1975" s="274"/>
      <c r="P1975" s="275"/>
    </row>
    <row r="1976" ht="15.75" customHeight="1">
      <c r="B1976" s="282"/>
      <c r="H1976" s="273"/>
      <c r="I1976" s="274"/>
      <c r="J1976" s="274"/>
      <c r="K1976" s="274"/>
      <c r="L1976" s="274"/>
      <c r="M1976" s="274"/>
      <c r="N1976" s="274"/>
      <c r="P1976" s="275"/>
    </row>
    <row r="1977" ht="15.75" customHeight="1">
      <c r="B1977" s="282"/>
      <c r="H1977" s="273"/>
      <c r="I1977" s="274"/>
      <c r="J1977" s="274"/>
      <c r="K1977" s="274"/>
      <c r="L1977" s="274"/>
      <c r="M1977" s="274"/>
      <c r="N1977" s="274"/>
      <c r="P1977" s="275"/>
    </row>
    <row r="1978" ht="15.75" customHeight="1">
      <c r="B1978" s="282"/>
      <c r="H1978" s="273"/>
      <c r="I1978" s="274"/>
      <c r="J1978" s="274"/>
      <c r="K1978" s="274"/>
      <c r="L1978" s="274"/>
      <c r="M1978" s="274"/>
      <c r="N1978" s="274"/>
      <c r="P1978" s="275"/>
    </row>
    <row r="1979" ht="15.75" customHeight="1">
      <c r="B1979" s="282"/>
      <c r="H1979" s="273"/>
      <c r="I1979" s="274"/>
      <c r="J1979" s="274"/>
      <c r="K1979" s="274"/>
      <c r="L1979" s="274"/>
      <c r="M1979" s="274"/>
      <c r="N1979" s="274"/>
      <c r="P1979" s="275"/>
    </row>
    <row r="1980" ht="15.75" customHeight="1">
      <c r="B1980" s="282"/>
      <c r="H1980" s="273"/>
      <c r="I1980" s="274"/>
      <c r="J1980" s="274"/>
      <c r="K1980" s="274"/>
      <c r="L1980" s="274"/>
      <c r="M1980" s="274"/>
      <c r="N1980" s="274"/>
      <c r="P1980" s="275"/>
    </row>
    <row r="1981" ht="15.75" customHeight="1">
      <c r="B1981" s="282"/>
      <c r="H1981" s="273"/>
      <c r="I1981" s="274"/>
      <c r="J1981" s="274"/>
      <c r="K1981" s="274"/>
      <c r="L1981" s="274"/>
      <c r="M1981" s="274"/>
      <c r="N1981" s="274"/>
      <c r="P1981" s="275"/>
    </row>
    <row r="1982" ht="15.75" customHeight="1">
      <c r="B1982" s="282"/>
      <c r="H1982" s="273"/>
      <c r="I1982" s="274"/>
      <c r="J1982" s="274"/>
      <c r="K1982" s="274"/>
      <c r="L1982" s="274"/>
      <c r="M1982" s="274"/>
      <c r="N1982" s="274"/>
      <c r="P1982" s="275"/>
    </row>
    <row r="1983" ht="15.75" customHeight="1">
      <c r="B1983" s="282"/>
      <c r="H1983" s="273"/>
      <c r="I1983" s="274"/>
      <c r="J1983" s="274"/>
      <c r="K1983" s="274"/>
      <c r="L1983" s="274"/>
      <c r="M1983" s="274"/>
      <c r="N1983" s="274"/>
      <c r="P1983" s="275"/>
    </row>
    <row r="1984" ht="15.75" customHeight="1">
      <c r="B1984" s="282"/>
      <c r="H1984" s="273"/>
      <c r="I1984" s="274"/>
      <c r="J1984" s="274"/>
      <c r="K1984" s="274"/>
      <c r="L1984" s="274"/>
      <c r="M1984" s="274"/>
      <c r="N1984" s="274"/>
      <c r="P1984" s="275"/>
    </row>
    <row r="1985" ht="15.75" customHeight="1">
      <c r="B1985" s="282"/>
      <c r="H1985" s="273"/>
      <c r="I1985" s="274"/>
      <c r="J1985" s="274"/>
      <c r="K1985" s="274"/>
      <c r="L1985" s="274"/>
      <c r="M1985" s="274"/>
      <c r="N1985" s="274"/>
      <c r="P1985" s="275"/>
    </row>
    <row r="1986" ht="15.75" customHeight="1">
      <c r="B1986" s="282"/>
      <c r="H1986" s="273"/>
      <c r="I1986" s="274"/>
      <c r="J1986" s="274"/>
      <c r="K1986" s="274"/>
      <c r="L1986" s="274"/>
      <c r="M1986" s="274"/>
      <c r="N1986" s="274"/>
      <c r="P1986" s="275"/>
    </row>
    <row r="1987" ht="15.75" customHeight="1">
      <c r="B1987" s="282"/>
      <c r="H1987" s="273"/>
      <c r="I1987" s="274"/>
      <c r="J1987" s="274"/>
      <c r="K1987" s="274"/>
      <c r="L1987" s="274"/>
      <c r="M1987" s="274"/>
      <c r="N1987" s="274"/>
      <c r="P1987" s="275"/>
    </row>
    <row r="1988" ht="15.75" customHeight="1">
      <c r="B1988" s="282"/>
      <c r="H1988" s="273"/>
      <c r="I1988" s="274"/>
      <c r="J1988" s="274"/>
      <c r="K1988" s="274"/>
      <c r="L1988" s="274"/>
      <c r="M1988" s="274"/>
      <c r="N1988" s="274"/>
      <c r="P1988" s="275"/>
    </row>
    <row r="1989" ht="15.75" customHeight="1">
      <c r="B1989" s="282"/>
      <c r="H1989" s="273"/>
      <c r="I1989" s="274"/>
      <c r="J1989" s="274"/>
      <c r="K1989" s="274"/>
      <c r="L1989" s="274"/>
      <c r="M1989" s="274"/>
      <c r="N1989" s="274"/>
      <c r="P1989" s="275"/>
    </row>
    <row r="1990" ht="15.75" customHeight="1">
      <c r="B1990" s="282"/>
      <c r="H1990" s="273"/>
      <c r="I1990" s="274"/>
      <c r="J1990" s="274"/>
      <c r="K1990" s="274"/>
      <c r="L1990" s="274"/>
      <c r="M1990" s="274"/>
      <c r="N1990" s="274"/>
      <c r="P1990" s="275"/>
    </row>
    <row r="1991" ht="15.75" customHeight="1">
      <c r="B1991" s="282"/>
      <c r="H1991" s="273"/>
      <c r="I1991" s="274"/>
      <c r="J1991" s="274"/>
      <c r="K1991" s="274"/>
      <c r="L1991" s="274"/>
      <c r="M1991" s="274"/>
      <c r="N1991" s="274"/>
      <c r="P1991" s="275"/>
    </row>
    <row r="1992" ht="15.75" customHeight="1">
      <c r="B1992" s="282"/>
      <c r="H1992" s="273"/>
      <c r="I1992" s="274"/>
      <c r="J1992" s="274"/>
      <c r="K1992" s="274"/>
      <c r="L1992" s="274"/>
      <c r="M1992" s="274"/>
      <c r="N1992" s="274"/>
      <c r="P1992" s="275"/>
    </row>
    <row r="1993" ht="15.75" customHeight="1">
      <c r="B1993" s="282"/>
      <c r="H1993" s="273"/>
      <c r="I1993" s="274"/>
      <c r="J1993" s="274"/>
      <c r="K1993" s="274"/>
      <c r="L1993" s="274"/>
      <c r="M1993" s="274"/>
      <c r="N1993" s="274"/>
      <c r="P1993" s="275"/>
    </row>
    <row r="1994" ht="15.75" customHeight="1">
      <c r="B1994" s="282"/>
      <c r="H1994" s="273"/>
      <c r="I1994" s="274"/>
      <c r="J1994" s="274"/>
      <c r="K1994" s="274"/>
      <c r="L1994" s="274"/>
      <c r="M1994" s="274"/>
      <c r="N1994" s="274"/>
      <c r="P1994" s="275"/>
    </row>
    <row r="1995" ht="15.75" customHeight="1">
      <c r="B1995" s="282"/>
      <c r="H1995" s="273"/>
      <c r="I1995" s="274"/>
      <c r="J1995" s="274"/>
      <c r="K1995" s="274"/>
      <c r="L1995" s="274"/>
      <c r="M1995" s="274"/>
      <c r="N1995" s="274"/>
      <c r="P1995" s="275"/>
    </row>
    <row r="1996" ht="15.75" customHeight="1">
      <c r="B1996" s="282"/>
      <c r="H1996" s="273"/>
      <c r="I1996" s="274"/>
      <c r="J1996" s="274"/>
      <c r="K1996" s="274"/>
      <c r="L1996" s="274"/>
      <c r="M1996" s="274"/>
      <c r="N1996" s="274"/>
      <c r="P1996" s="275"/>
    </row>
    <row r="1997" ht="15.75" customHeight="1">
      <c r="B1997" s="282"/>
      <c r="H1997" s="273"/>
      <c r="I1997" s="274"/>
      <c r="J1997" s="274"/>
      <c r="K1997" s="274"/>
      <c r="L1997" s="274"/>
      <c r="M1997" s="274"/>
      <c r="N1997" s="274"/>
      <c r="P1997" s="275"/>
    </row>
    <row r="1998" ht="15.75" customHeight="1">
      <c r="B1998" s="282"/>
      <c r="H1998" s="273"/>
      <c r="I1998" s="274"/>
      <c r="J1998" s="274"/>
      <c r="K1998" s="274"/>
      <c r="L1998" s="274"/>
      <c r="M1998" s="274"/>
      <c r="N1998" s="274"/>
      <c r="P1998" s="275"/>
    </row>
    <row r="1999" ht="15.75" customHeight="1">
      <c r="B1999" s="282"/>
      <c r="H1999" s="273"/>
      <c r="I1999" s="274"/>
      <c r="J1999" s="274"/>
      <c r="K1999" s="274"/>
      <c r="L1999" s="274"/>
      <c r="M1999" s="274"/>
      <c r="N1999" s="274"/>
      <c r="P1999" s="275"/>
    </row>
    <row r="2000" ht="15.75" customHeight="1">
      <c r="B2000" s="282"/>
      <c r="H2000" s="273"/>
      <c r="I2000" s="274"/>
      <c r="J2000" s="274"/>
      <c r="K2000" s="274"/>
      <c r="L2000" s="274"/>
      <c r="M2000" s="274"/>
      <c r="N2000" s="274"/>
      <c r="P2000" s="275"/>
    </row>
    <row r="2001" ht="15.75" customHeight="1">
      <c r="B2001" s="282"/>
      <c r="H2001" s="273"/>
      <c r="I2001" s="274"/>
      <c r="J2001" s="274"/>
      <c r="K2001" s="274"/>
      <c r="L2001" s="274"/>
      <c r="M2001" s="274"/>
      <c r="N2001" s="274"/>
      <c r="P2001" s="275"/>
    </row>
    <row r="2002" ht="15.75" customHeight="1">
      <c r="B2002" s="282"/>
      <c r="H2002" s="273"/>
      <c r="I2002" s="274"/>
      <c r="J2002" s="274"/>
      <c r="K2002" s="274"/>
      <c r="L2002" s="274"/>
      <c r="M2002" s="274"/>
      <c r="N2002" s="274"/>
      <c r="P2002" s="275"/>
    </row>
    <row r="2003" ht="15.75" customHeight="1">
      <c r="B2003" s="282"/>
      <c r="H2003" s="273"/>
      <c r="I2003" s="274"/>
      <c r="J2003" s="274"/>
      <c r="K2003" s="274"/>
      <c r="L2003" s="274"/>
      <c r="M2003" s="274"/>
      <c r="N2003" s="274"/>
      <c r="P2003" s="275"/>
    </row>
    <row r="2004" ht="15.75" customHeight="1">
      <c r="B2004" s="282"/>
      <c r="H2004" s="273"/>
      <c r="I2004" s="274"/>
      <c r="J2004" s="274"/>
      <c r="K2004" s="274"/>
      <c r="L2004" s="274"/>
      <c r="M2004" s="274"/>
      <c r="N2004" s="274"/>
      <c r="P2004" s="275"/>
    </row>
    <row r="2005" ht="15.75" customHeight="1">
      <c r="B2005" s="282"/>
      <c r="H2005" s="273"/>
      <c r="I2005" s="274"/>
      <c r="J2005" s="274"/>
      <c r="K2005" s="274"/>
      <c r="L2005" s="274"/>
      <c r="M2005" s="274"/>
      <c r="N2005" s="274"/>
      <c r="P2005" s="275"/>
    </row>
    <row r="2006" ht="15.75" customHeight="1">
      <c r="B2006" s="282"/>
      <c r="H2006" s="273"/>
      <c r="I2006" s="274"/>
      <c r="J2006" s="274"/>
      <c r="K2006" s="274"/>
      <c r="L2006" s="274"/>
      <c r="M2006" s="274"/>
      <c r="N2006" s="274"/>
      <c r="P2006" s="275"/>
    </row>
    <row r="2007" ht="15.75" customHeight="1">
      <c r="B2007" s="282"/>
      <c r="H2007" s="273"/>
      <c r="I2007" s="274"/>
      <c r="J2007" s="274"/>
      <c r="K2007" s="274"/>
      <c r="L2007" s="274"/>
      <c r="M2007" s="274"/>
      <c r="N2007" s="274"/>
      <c r="P2007" s="275"/>
    </row>
    <row r="2008" ht="15.75" customHeight="1">
      <c r="B2008" s="282"/>
      <c r="H2008" s="273"/>
      <c r="I2008" s="274"/>
      <c r="J2008" s="274"/>
      <c r="K2008" s="274"/>
      <c r="L2008" s="274"/>
      <c r="M2008" s="274"/>
      <c r="N2008" s="274"/>
      <c r="P2008" s="275"/>
    </row>
    <row r="2009" ht="15.75" customHeight="1">
      <c r="B2009" s="282"/>
      <c r="H2009" s="273"/>
      <c r="I2009" s="274"/>
      <c r="J2009" s="274"/>
      <c r="K2009" s="274"/>
      <c r="L2009" s="274"/>
      <c r="M2009" s="274"/>
      <c r="N2009" s="274"/>
      <c r="P2009" s="275"/>
    </row>
    <row r="2010" ht="15.75" customHeight="1">
      <c r="B2010" s="282"/>
      <c r="H2010" s="273"/>
      <c r="I2010" s="274"/>
      <c r="J2010" s="274"/>
      <c r="K2010" s="274"/>
      <c r="L2010" s="274"/>
      <c r="M2010" s="274"/>
      <c r="N2010" s="274"/>
      <c r="P2010" s="275"/>
    </row>
    <row r="2011" ht="15.75" customHeight="1">
      <c r="B2011" s="282"/>
      <c r="H2011" s="273"/>
      <c r="I2011" s="274"/>
      <c r="J2011" s="274"/>
      <c r="K2011" s="274"/>
      <c r="L2011" s="274"/>
      <c r="M2011" s="274"/>
      <c r="N2011" s="274"/>
      <c r="P2011" s="275"/>
    </row>
    <row r="2012" ht="15.75" customHeight="1">
      <c r="B2012" s="282"/>
      <c r="H2012" s="273"/>
      <c r="I2012" s="274"/>
      <c r="J2012" s="274"/>
      <c r="K2012" s="274"/>
      <c r="L2012" s="274"/>
      <c r="M2012" s="274"/>
      <c r="N2012" s="274"/>
      <c r="P2012" s="275"/>
    </row>
    <row r="2013" ht="15.75" customHeight="1">
      <c r="B2013" s="282"/>
      <c r="H2013" s="273"/>
      <c r="I2013" s="274"/>
      <c r="J2013" s="274"/>
      <c r="K2013" s="274"/>
      <c r="L2013" s="274"/>
      <c r="M2013" s="274"/>
      <c r="N2013" s="274"/>
      <c r="P2013" s="275"/>
    </row>
    <row r="2014" ht="15.75" customHeight="1">
      <c r="B2014" s="282"/>
      <c r="H2014" s="273"/>
      <c r="I2014" s="274"/>
      <c r="J2014" s="274"/>
      <c r="K2014" s="274"/>
      <c r="L2014" s="274"/>
      <c r="M2014" s="274"/>
      <c r="N2014" s="274"/>
      <c r="P2014" s="275"/>
    </row>
    <row r="2015" ht="15.75" customHeight="1">
      <c r="B2015" s="282"/>
      <c r="H2015" s="273"/>
      <c r="I2015" s="274"/>
      <c r="J2015" s="274"/>
      <c r="K2015" s="274"/>
      <c r="L2015" s="274"/>
      <c r="M2015" s="274"/>
      <c r="N2015" s="274"/>
      <c r="P2015" s="275"/>
    </row>
    <row r="2016" ht="15.75" customHeight="1">
      <c r="B2016" s="282"/>
      <c r="H2016" s="273"/>
      <c r="I2016" s="274"/>
      <c r="J2016" s="274"/>
      <c r="K2016" s="274"/>
      <c r="L2016" s="274"/>
      <c r="M2016" s="274"/>
      <c r="N2016" s="274"/>
      <c r="P2016" s="275"/>
    </row>
    <row r="2017" ht="15.75" customHeight="1">
      <c r="B2017" s="282"/>
      <c r="H2017" s="273"/>
      <c r="I2017" s="274"/>
      <c r="J2017" s="274"/>
      <c r="K2017" s="274"/>
      <c r="L2017" s="274"/>
      <c r="M2017" s="274"/>
      <c r="N2017" s="274"/>
      <c r="P2017" s="275"/>
    </row>
    <row r="2018" ht="15.75" customHeight="1">
      <c r="B2018" s="282"/>
      <c r="H2018" s="273"/>
      <c r="I2018" s="274"/>
      <c r="J2018" s="274"/>
      <c r="K2018" s="274"/>
      <c r="L2018" s="274"/>
      <c r="M2018" s="274"/>
      <c r="N2018" s="274"/>
      <c r="P2018" s="275"/>
    </row>
    <row r="2019" ht="15.75" customHeight="1">
      <c r="B2019" s="282"/>
      <c r="H2019" s="273"/>
      <c r="I2019" s="274"/>
      <c r="J2019" s="274"/>
      <c r="K2019" s="274"/>
      <c r="L2019" s="274"/>
      <c r="M2019" s="274"/>
      <c r="N2019" s="274"/>
      <c r="P2019" s="275"/>
    </row>
    <row r="2020" ht="15.75" customHeight="1">
      <c r="B2020" s="282"/>
      <c r="H2020" s="273"/>
      <c r="I2020" s="274"/>
      <c r="J2020" s="274"/>
      <c r="K2020" s="274"/>
      <c r="L2020" s="274"/>
      <c r="M2020" s="274"/>
      <c r="N2020" s="274"/>
      <c r="P2020" s="275"/>
    </row>
    <row r="2021" ht="15.75" customHeight="1">
      <c r="B2021" s="282"/>
      <c r="H2021" s="273"/>
      <c r="I2021" s="274"/>
      <c r="J2021" s="274"/>
      <c r="K2021" s="274"/>
      <c r="L2021" s="274"/>
      <c r="M2021" s="274"/>
      <c r="N2021" s="274"/>
      <c r="P2021" s="275"/>
    </row>
    <row r="2022" ht="15.75" customHeight="1">
      <c r="B2022" s="282"/>
      <c r="H2022" s="273"/>
      <c r="I2022" s="274"/>
      <c r="J2022" s="274"/>
      <c r="K2022" s="274"/>
      <c r="L2022" s="274"/>
      <c r="M2022" s="274"/>
      <c r="N2022" s="274"/>
      <c r="P2022" s="275"/>
    </row>
    <row r="2023" ht="15.75" customHeight="1">
      <c r="B2023" s="282"/>
      <c r="H2023" s="273"/>
      <c r="I2023" s="274"/>
      <c r="J2023" s="274"/>
      <c r="K2023" s="274"/>
      <c r="L2023" s="274"/>
      <c r="M2023" s="274"/>
      <c r="N2023" s="274"/>
      <c r="P2023" s="275"/>
    </row>
    <row r="2024" ht="15.75" customHeight="1">
      <c r="B2024" s="282"/>
      <c r="H2024" s="273"/>
      <c r="I2024" s="274"/>
      <c r="J2024" s="274"/>
      <c r="K2024" s="274"/>
      <c r="L2024" s="274"/>
      <c r="M2024" s="274"/>
      <c r="N2024" s="274"/>
      <c r="P2024" s="275"/>
    </row>
    <row r="2025" ht="15.75" customHeight="1">
      <c r="B2025" s="282"/>
      <c r="H2025" s="273"/>
      <c r="I2025" s="274"/>
      <c r="J2025" s="274"/>
      <c r="K2025" s="274"/>
      <c r="L2025" s="274"/>
      <c r="M2025" s="274"/>
      <c r="N2025" s="274"/>
      <c r="P2025" s="275"/>
    </row>
    <row r="2026" ht="15.75" customHeight="1">
      <c r="B2026" s="282"/>
      <c r="H2026" s="273"/>
      <c r="I2026" s="274"/>
      <c r="J2026" s="274"/>
      <c r="K2026" s="274"/>
      <c r="L2026" s="274"/>
      <c r="M2026" s="274"/>
      <c r="N2026" s="274"/>
      <c r="P2026" s="275"/>
    </row>
    <row r="2027" ht="15.75" customHeight="1">
      <c r="B2027" s="282"/>
      <c r="H2027" s="273"/>
      <c r="I2027" s="274"/>
      <c r="J2027" s="274"/>
      <c r="K2027" s="274"/>
      <c r="L2027" s="274"/>
      <c r="M2027" s="274"/>
      <c r="N2027" s="274"/>
      <c r="P2027" s="275"/>
    </row>
    <row r="2028" ht="15.75" customHeight="1">
      <c r="B2028" s="282"/>
      <c r="H2028" s="273"/>
      <c r="I2028" s="274"/>
      <c r="J2028" s="274"/>
      <c r="K2028" s="274"/>
      <c r="L2028" s="274"/>
      <c r="M2028" s="274"/>
      <c r="N2028" s="274"/>
      <c r="P2028" s="275"/>
    </row>
    <row r="2029" ht="15.75" customHeight="1">
      <c r="B2029" s="282"/>
      <c r="H2029" s="273"/>
      <c r="I2029" s="274"/>
      <c r="J2029" s="274"/>
      <c r="K2029" s="274"/>
      <c r="L2029" s="274"/>
      <c r="M2029" s="274"/>
      <c r="N2029" s="274"/>
      <c r="P2029" s="275"/>
    </row>
    <row r="2030" ht="15.75" customHeight="1">
      <c r="B2030" s="282"/>
      <c r="H2030" s="273"/>
      <c r="I2030" s="274"/>
      <c r="J2030" s="274"/>
      <c r="K2030" s="274"/>
      <c r="L2030" s="274"/>
      <c r="M2030" s="274"/>
      <c r="N2030" s="274"/>
      <c r="P2030" s="275"/>
    </row>
    <row r="2031" ht="15.75" customHeight="1">
      <c r="B2031" s="282"/>
      <c r="H2031" s="273"/>
      <c r="I2031" s="274"/>
      <c r="J2031" s="274"/>
      <c r="K2031" s="274"/>
      <c r="L2031" s="274"/>
      <c r="M2031" s="274"/>
      <c r="N2031" s="274"/>
      <c r="P2031" s="275"/>
    </row>
    <row r="2032" ht="15.75" customHeight="1">
      <c r="B2032" s="282"/>
      <c r="H2032" s="273"/>
      <c r="I2032" s="274"/>
      <c r="J2032" s="274"/>
      <c r="K2032" s="274"/>
      <c r="L2032" s="274"/>
      <c r="M2032" s="274"/>
      <c r="N2032" s="274"/>
      <c r="P2032" s="275"/>
    </row>
    <row r="2033" ht="15.75" customHeight="1">
      <c r="B2033" s="282"/>
      <c r="H2033" s="273"/>
      <c r="I2033" s="274"/>
      <c r="J2033" s="274"/>
      <c r="K2033" s="274"/>
      <c r="L2033" s="274"/>
      <c r="M2033" s="274"/>
      <c r="N2033" s="274"/>
      <c r="P2033" s="275"/>
    </row>
    <row r="2034" ht="15.75" customHeight="1">
      <c r="B2034" s="282"/>
      <c r="H2034" s="273"/>
      <c r="I2034" s="274"/>
      <c r="J2034" s="274"/>
      <c r="K2034" s="274"/>
      <c r="L2034" s="274"/>
      <c r="M2034" s="274"/>
      <c r="N2034" s="274"/>
      <c r="P2034" s="275"/>
    </row>
    <row r="2035" ht="15.75" customHeight="1">
      <c r="B2035" s="282"/>
      <c r="H2035" s="273"/>
      <c r="I2035" s="274"/>
      <c r="J2035" s="274"/>
      <c r="K2035" s="274"/>
      <c r="L2035" s="274"/>
      <c r="M2035" s="274"/>
      <c r="N2035" s="274"/>
      <c r="P2035" s="275"/>
    </row>
    <row r="2036" ht="15.75" customHeight="1">
      <c r="B2036" s="282"/>
      <c r="H2036" s="273"/>
      <c r="I2036" s="274"/>
      <c r="J2036" s="274"/>
      <c r="K2036" s="274"/>
      <c r="L2036" s="274"/>
      <c r="M2036" s="274"/>
      <c r="N2036" s="274"/>
      <c r="P2036" s="275"/>
    </row>
    <row r="2037" ht="15.75" customHeight="1">
      <c r="B2037" s="282"/>
      <c r="H2037" s="273"/>
      <c r="I2037" s="274"/>
      <c r="J2037" s="274"/>
      <c r="K2037" s="274"/>
      <c r="L2037" s="274"/>
      <c r="M2037" s="274"/>
      <c r="N2037" s="274"/>
      <c r="P2037" s="275"/>
    </row>
    <row r="2038" ht="15.75" customHeight="1">
      <c r="B2038" s="282"/>
      <c r="H2038" s="273"/>
      <c r="I2038" s="274"/>
      <c r="J2038" s="274"/>
      <c r="K2038" s="274"/>
      <c r="L2038" s="274"/>
      <c r="M2038" s="274"/>
      <c r="N2038" s="274"/>
      <c r="P2038" s="275"/>
    </row>
    <row r="2039" ht="15.75" customHeight="1">
      <c r="B2039" s="282"/>
      <c r="H2039" s="273"/>
      <c r="I2039" s="274"/>
      <c r="J2039" s="274"/>
      <c r="K2039" s="274"/>
      <c r="L2039" s="274"/>
      <c r="M2039" s="274"/>
      <c r="N2039" s="274"/>
      <c r="P2039" s="275"/>
    </row>
    <row r="2040" ht="15.75" customHeight="1">
      <c r="B2040" s="282"/>
      <c r="H2040" s="273"/>
      <c r="I2040" s="274"/>
      <c r="J2040" s="274"/>
      <c r="K2040" s="274"/>
      <c r="L2040" s="274"/>
      <c r="M2040" s="274"/>
      <c r="N2040" s="274"/>
      <c r="P2040" s="275"/>
    </row>
    <row r="2041" ht="15.75" customHeight="1">
      <c r="B2041" s="282"/>
      <c r="H2041" s="273"/>
      <c r="I2041" s="274"/>
      <c r="J2041" s="274"/>
      <c r="K2041" s="274"/>
      <c r="L2041" s="274"/>
      <c r="M2041" s="274"/>
      <c r="N2041" s="274"/>
      <c r="P2041" s="275"/>
    </row>
    <row r="2042" ht="15.75" customHeight="1">
      <c r="B2042" s="282"/>
      <c r="H2042" s="273"/>
      <c r="I2042" s="274"/>
      <c r="J2042" s="274"/>
      <c r="K2042" s="274"/>
      <c r="L2042" s="274"/>
      <c r="M2042" s="274"/>
      <c r="N2042" s="274"/>
      <c r="P2042" s="275"/>
    </row>
    <row r="2043" ht="15.75" customHeight="1">
      <c r="B2043" s="282"/>
      <c r="H2043" s="273"/>
      <c r="I2043" s="274"/>
      <c r="J2043" s="274"/>
      <c r="K2043" s="274"/>
      <c r="L2043" s="274"/>
      <c r="M2043" s="274"/>
      <c r="N2043" s="274"/>
      <c r="P2043" s="275"/>
    </row>
    <row r="2044" ht="15.75" customHeight="1">
      <c r="B2044" s="282"/>
      <c r="H2044" s="273"/>
      <c r="I2044" s="274"/>
      <c r="J2044" s="274"/>
      <c r="K2044" s="274"/>
      <c r="L2044" s="274"/>
      <c r="M2044" s="274"/>
      <c r="N2044" s="274"/>
      <c r="P2044" s="275"/>
    </row>
    <row r="2045" ht="15.75" customHeight="1">
      <c r="B2045" s="282"/>
      <c r="H2045" s="273"/>
      <c r="I2045" s="274"/>
      <c r="J2045" s="274"/>
      <c r="K2045" s="274"/>
      <c r="L2045" s="274"/>
      <c r="M2045" s="274"/>
      <c r="N2045" s="274"/>
      <c r="P2045" s="275"/>
    </row>
    <row r="2046" ht="15.75" customHeight="1">
      <c r="B2046" s="282"/>
      <c r="H2046" s="273"/>
      <c r="I2046" s="274"/>
      <c r="J2046" s="274"/>
      <c r="K2046" s="274"/>
      <c r="L2046" s="274"/>
      <c r="M2046" s="274"/>
      <c r="N2046" s="274"/>
      <c r="P2046" s="275"/>
    </row>
    <row r="2047" ht="15.75" customHeight="1">
      <c r="B2047" s="282"/>
      <c r="H2047" s="273"/>
      <c r="I2047" s="274"/>
      <c r="J2047" s="274"/>
      <c r="K2047" s="274"/>
      <c r="L2047" s="274"/>
      <c r="M2047" s="274"/>
      <c r="N2047" s="274"/>
      <c r="P2047" s="275"/>
    </row>
    <row r="2048" ht="15.75" customHeight="1">
      <c r="B2048" s="282"/>
      <c r="H2048" s="273"/>
      <c r="I2048" s="274"/>
      <c r="J2048" s="274"/>
      <c r="K2048" s="274"/>
      <c r="L2048" s="274"/>
      <c r="M2048" s="274"/>
      <c r="N2048" s="274"/>
      <c r="P2048" s="275"/>
    </row>
    <row r="2049" ht="15.75" customHeight="1">
      <c r="B2049" s="282"/>
      <c r="H2049" s="273"/>
      <c r="I2049" s="274"/>
      <c r="J2049" s="274"/>
      <c r="K2049" s="274"/>
      <c r="L2049" s="274"/>
      <c r="M2049" s="274"/>
      <c r="N2049" s="274"/>
      <c r="P2049" s="275"/>
    </row>
    <row r="2050" ht="15.75" customHeight="1">
      <c r="B2050" s="282"/>
      <c r="H2050" s="273"/>
      <c r="I2050" s="274"/>
      <c r="J2050" s="274"/>
      <c r="K2050" s="274"/>
      <c r="L2050" s="274"/>
      <c r="M2050" s="274"/>
      <c r="N2050" s="274"/>
      <c r="P2050" s="275"/>
    </row>
    <row r="2051" ht="15.75" customHeight="1">
      <c r="B2051" s="282"/>
      <c r="H2051" s="273"/>
      <c r="I2051" s="274"/>
      <c r="J2051" s="274"/>
      <c r="K2051" s="274"/>
      <c r="L2051" s="274"/>
      <c r="M2051" s="274"/>
      <c r="N2051" s="274"/>
      <c r="P2051" s="275"/>
    </row>
    <row r="2052" ht="15.75" customHeight="1">
      <c r="B2052" s="282"/>
      <c r="H2052" s="273"/>
      <c r="I2052" s="274"/>
      <c r="J2052" s="274"/>
      <c r="K2052" s="274"/>
      <c r="L2052" s="274"/>
      <c r="M2052" s="274"/>
      <c r="N2052" s="274"/>
      <c r="P2052" s="275"/>
    </row>
    <row r="2053" ht="15.75" customHeight="1">
      <c r="B2053" s="282"/>
      <c r="H2053" s="273"/>
      <c r="I2053" s="274"/>
      <c r="J2053" s="274"/>
      <c r="K2053" s="274"/>
      <c r="L2053" s="274"/>
      <c r="M2053" s="274"/>
      <c r="N2053" s="274"/>
      <c r="P2053" s="275"/>
    </row>
    <row r="2054" ht="15.75" customHeight="1">
      <c r="B2054" s="282"/>
      <c r="H2054" s="273"/>
      <c r="I2054" s="274"/>
      <c r="J2054" s="274"/>
      <c r="K2054" s="274"/>
      <c r="L2054" s="274"/>
      <c r="M2054" s="274"/>
      <c r="N2054" s="274"/>
      <c r="P2054" s="275"/>
    </row>
    <row r="2055" ht="15.75" customHeight="1">
      <c r="B2055" s="282"/>
      <c r="H2055" s="273"/>
      <c r="I2055" s="274"/>
      <c r="J2055" s="274"/>
      <c r="K2055" s="274"/>
      <c r="L2055" s="274"/>
      <c r="M2055" s="274"/>
      <c r="N2055" s="274"/>
      <c r="P2055" s="275"/>
    </row>
    <row r="2056" ht="15.75" customHeight="1">
      <c r="B2056" s="282"/>
      <c r="H2056" s="273"/>
      <c r="I2056" s="274"/>
      <c r="J2056" s="274"/>
      <c r="K2056" s="274"/>
      <c r="L2056" s="274"/>
      <c r="M2056" s="274"/>
      <c r="N2056" s="274"/>
      <c r="P2056" s="275"/>
    </row>
    <row r="2057" ht="15.75" customHeight="1">
      <c r="B2057" s="282"/>
      <c r="H2057" s="273"/>
      <c r="I2057" s="274"/>
      <c r="J2057" s="274"/>
      <c r="K2057" s="274"/>
      <c r="L2057" s="274"/>
      <c r="M2057" s="274"/>
      <c r="N2057" s="274"/>
      <c r="P2057" s="275"/>
    </row>
    <row r="2058" ht="15.75" customHeight="1">
      <c r="B2058" s="282"/>
      <c r="H2058" s="273"/>
      <c r="I2058" s="274"/>
      <c r="J2058" s="274"/>
      <c r="K2058" s="274"/>
      <c r="L2058" s="274"/>
      <c r="M2058" s="274"/>
      <c r="N2058" s="274"/>
      <c r="P2058" s="275"/>
    </row>
    <row r="2059" ht="15.75" customHeight="1">
      <c r="B2059" s="282"/>
      <c r="H2059" s="273"/>
      <c r="I2059" s="274"/>
      <c r="J2059" s="274"/>
      <c r="K2059" s="274"/>
      <c r="L2059" s="274"/>
      <c r="M2059" s="274"/>
      <c r="N2059" s="274"/>
      <c r="P2059" s="275"/>
    </row>
    <row r="2060" ht="15.75" customHeight="1">
      <c r="B2060" s="282"/>
      <c r="H2060" s="273"/>
      <c r="I2060" s="274"/>
      <c r="J2060" s="274"/>
      <c r="K2060" s="274"/>
      <c r="L2060" s="274"/>
      <c r="M2060" s="274"/>
      <c r="N2060" s="274"/>
      <c r="P2060" s="275"/>
    </row>
    <row r="2061" ht="15.75" customHeight="1">
      <c r="B2061" s="282"/>
      <c r="H2061" s="273"/>
      <c r="I2061" s="274"/>
      <c r="J2061" s="274"/>
      <c r="K2061" s="274"/>
      <c r="L2061" s="274"/>
      <c r="M2061" s="274"/>
      <c r="N2061" s="274"/>
      <c r="P2061" s="275"/>
    </row>
    <row r="2062" ht="15.75" customHeight="1">
      <c r="B2062" s="282"/>
      <c r="H2062" s="273"/>
      <c r="I2062" s="274"/>
      <c r="J2062" s="274"/>
      <c r="K2062" s="274"/>
      <c r="L2062" s="274"/>
      <c r="M2062" s="274"/>
      <c r="N2062" s="274"/>
      <c r="P2062" s="275"/>
    </row>
    <row r="2063" ht="15.75" customHeight="1">
      <c r="B2063" s="282"/>
      <c r="H2063" s="273"/>
      <c r="I2063" s="274"/>
      <c r="J2063" s="274"/>
      <c r="K2063" s="274"/>
      <c r="L2063" s="274"/>
      <c r="M2063" s="274"/>
      <c r="N2063" s="274"/>
      <c r="P2063" s="275"/>
    </row>
    <row r="2064" ht="15.75" customHeight="1">
      <c r="B2064" s="282"/>
      <c r="H2064" s="273"/>
      <c r="I2064" s="274"/>
      <c r="J2064" s="274"/>
      <c r="K2064" s="274"/>
      <c r="L2064" s="274"/>
      <c r="M2064" s="274"/>
      <c r="N2064" s="274"/>
      <c r="P2064" s="275"/>
    </row>
    <row r="2065" ht="15.75" customHeight="1">
      <c r="B2065" s="282"/>
      <c r="H2065" s="273"/>
      <c r="I2065" s="274"/>
      <c r="J2065" s="274"/>
      <c r="K2065" s="274"/>
      <c r="L2065" s="274"/>
      <c r="M2065" s="274"/>
      <c r="N2065" s="274"/>
      <c r="P2065" s="275"/>
    </row>
    <row r="2066" ht="15.75" customHeight="1">
      <c r="B2066" s="282"/>
      <c r="H2066" s="273"/>
      <c r="I2066" s="274"/>
      <c r="J2066" s="274"/>
      <c r="K2066" s="274"/>
      <c r="L2066" s="274"/>
      <c r="M2066" s="274"/>
      <c r="N2066" s="274"/>
      <c r="P2066" s="275"/>
    </row>
    <row r="2067" ht="15.75" customHeight="1">
      <c r="B2067" s="282"/>
      <c r="H2067" s="273"/>
      <c r="I2067" s="274"/>
      <c r="J2067" s="274"/>
      <c r="K2067" s="274"/>
      <c r="L2067" s="274"/>
      <c r="M2067" s="274"/>
      <c r="N2067" s="274"/>
      <c r="P2067" s="275"/>
    </row>
    <row r="2068" ht="15.75" customHeight="1">
      <c r="B2068" s="282"/>
      <c r="H2068" s="273"/>
      <c r="I2068" s="274"/>
      <c r="J2068" s="274"/>
      <c r="K2068" s="274"/>
      <c r="L2068" s="274"/>
      <c r="M2068" s="274"/>
      <c r="N2068" s="274"/>
      <c r="P2068" s="275"/>
    </row>
    <row r="2069" ht="15.75" customHeight="1">
      <c r="B2069" s="282"/>
      <c r="H2069" s="273"/>
      <c r="I2069" s="274"/>
      <c r="J2069" s="274"/>
      <c r="K2069" s="274"/>
      <c r="L2069" s="274"/>
      <c r="M2069" s="274"/>
      <c r="N2069" s="274"/>
      <c r="P2069" s="275"/>
    </row>
    <row r="2070" ht="15.75" customHeight="1">
      <c r="B2070" s="282"/>
      <c r="H2070" s="273"/>
      <c r="I2070" s="274"/>
      <c r="J2070" s="274"/>
      <c r="K2070" s="274"/>
      <c r="L2070" s="274"/>
      <c r="M2070" s="274"/>
      <c r="N2070" s="274"/>
      <c r="P2070" s="275"/>
    </row>
    <row r="2071" ht="15.75" customHeight="1">
      <c r="B2071" s="282"/>
      <c r="H2071" s="273"/>
      <c r="I2071" s="274"/>
      <c r="J2071" s="274"/>
      <c r="K2071" s="274"/>
      <c r="L2071" s="274"/>
      <c r="M2071" s="274"/>
      <c r="N2071" s="274"/>
      <c r="P2071" s="275"/>
    </row>
    <row r="2072" ht="15.75" customHeight="1">
      <c r="B2072" s="282"/>
      <c r="H2072" s="273"/>
      <c r="I2072" s="274"/>
      <c r="J2072" s="274"/>
      <c r="K2072" s="274"/>
      <c r="L2072" s="274"/>
      <c r="M2072" s="274"/>
      <c r="N2072" s="274"/>
      <c r="P2072" s="275"/>
    </row>
    <row r="2073" ht="15.75" customHeight="1">
      <c r="B2073" s="282"/>
      <c r="H2073" s="273"/>
      <c r="I2073" s="274"/>
      <c r="J2073" s="274"/>
      <c r="K2073" s="274"/>
      <c r="L2073" s="274"/>
      <c r="M2073" s="274"/>
      <c r="N2073" s="274"/>
      <c r="P2073" s="275"/>
    </row>
    <row r="2074" ht="15.75" customHeight="1">
      <c r="B2074" s="282"/>
      <c r="H2074" s="273"/>
      <c r="I2074" s="274"/>
      <c r="J2074" s="274"/>
      <c r="K2074" s="274"/>
      <c r="L2074" s="274"/>
      <c r="M2074" s="274"/>
      <c r="N2074" s="274"/>
      <c r="P2074" s="275"/>
    </row>
    <row r="2075" ht="15.75" customHeight="1">
      <c r="B2075" s="282"/>
      <c r="H2075" s="273"/>
      <c r="I2075" s="274"/>
      <c r="J2075" s="274"/>
      <c r="K2075" s="274"/>
      <c r="L2075" s="274"/>
      <c r="M2075" s="274"/>
      <c r="N2075" s="274"/>
      <c r="P2075" s="275"/>
    </row>
    <row r="2076" ht="15.75" customHeight="1">
      <c r="B2076" s="282"/>
      <c r="H2076" s="273"/>
      <c r="I2076" s="274"/>
      <c r="J2076" s="274"/>
      <c r="K2076" s="274"/>
      <c r="L2076" s="274"/>
      <c r="M2076" s="274"/>
      <c r="N2076" s="274"/>
      <c r="P2076" s="275"/>
    </row>
    <row r="2077" ht="15.75" customHeight="1">
      <c r="B2077" s="282"/>
      <c r="H2077" s="273"/>
      <c r="I2077" s="274"/>
      <c r="J2077" s="274"/>
      <c r="K2077" s="274"/>
      <c r="L2077" s="274"/>
      <c r="M2077" s="274"/>
      <c r="N2077" s="274"/>
      <c r="P2077" s="275"/>
    </row>
    <row r="2078" ht="15.75" customHeight="1">
      <c r="B2078" s="282"/>
      <c r="H2078" s="273"/>
      <c r="I2078" s="274"/>
      <c r="J2078" s="274"/>
      <c r="K2078" s="274"/>
      <c r="L2078" s="274"/>
      <c r="M2078" s="274"/>
      <c r="N2078" s="274"/>
      <c r="P2078" s="275"/>
    </row>
    <row r="2079" ht="15.75" customHeight="1">
      <c r="B2079" s="282"/>
      <c r="H2079" s="273"/>
      <c r="I2079" s="274"/>
      <c r="J2079" s="274"/>
      <c r="K2079" s="274"/>
      <c r="L2079" s="274"/>
      <c r="M2079" s="274"/>
      <c r="N2079" s="274"/>
      <c r="P2079" s="275"/>
    </row>
    <row r="2080" ht="15.75" customHeight="1">
      <c r="B2080" s="282"/>
      <c r="H2080" s="273"/>
      <c r="I2080" s="274"/>
      <c r="J2080" s="274"/>
      <c r="K2080" s="274"/>
      <c r="L2080" s="274"/>
      <c r="M2080" s="274"/>
      <c r="N2080" s="274"/>
      <c r="P2080" s="275"/>
    </row>
    <row r="2081" ht="15.75" customHeight="1">
      <c r="B2081" s="282"/>
      <c r="H2081" s="273"/>
      <c r="I2081" s="274"/>
      <c r="J2081" s="274"/>
      <c r="K2081" s="274"/>
      <c r="L2081" s="274"/>
      <c r="M2081" s="274"/>
      <c r="N2081" s="274"/>
      <c r="P2081" s="275"/>
    </row>
    <row r="2082" ht="15.75" customHeight="1">
      <c r="B2082" s="282"/>
      <c r="H2082" s="273"/>
      <c r="I2082" s="274"/>
      <c r="J2082" s="274"/>
      <c r="K2082" s="274"/>
      <c r="L2082" s="274"/>
      <c r="M2082" s="274"/>
      <c r="N2082" s="274"/>
      <c r="P2082" s="275"/>
    </row>
    <row r="2083" ht="15.75" customHeight="1">
      <c r="B2083" s="282"/>
      <c r="H2083" s="273"/>
      <c r="I2083" s="274"/>
      <c r="J2083" s="274"/>
      <c r="K2083" s="274"/>
      <c r="L2083" s="274"/>
      <c r="M2083" s="274"/>
      <c r="N2083" s="274"/>
      <c r="P2083" s="275"/>
    </row>
    <row r="2084" ht="15.75" customHeight="1">
      <c r="B2084" s="282"/>
      <c r="H2084" s="273"/>
      <c r="I2084" s="274"/>
      <c r="J2084" s="274"/>
      <c r="K2084" s="274"/>
      <c r="L2084" s="274"/>
      <c r="M2084" s="274"/>
      <c r="N2084" s="274"/>
      <c r="P2084" s="275"/>
    </row>
    <row r="2085" ht="15.75" customHeight="1">
      <c r="B2085" s="282"/>
      <c r="H2085" s="273"/>
      <c r="I2085" s="274"/>
      <c r="J2085" s="274"/>
      <c r="K2085" s="274"/>
      <c r="L2085" s="274"/>
      <c r="M2085" s="274"/>
      <c r="N2085" s="274"/>
      <c r="P2085" s="275"/>
    </row>
    <row r="2086" ht="15.75" customHeight="1">
      <c r="B2086" s="282"/>
      <c r="H2086" s="273"/>
      <c r="I2086" s="274"/>
      <c r="J2086" s="274"/>
      <c r="K2086" s="274"/>
      <c r="L2086" s="274"/>
      <c r="M2086" s="274"/>
      <c r="N2086" s="274"/>
      <c r="P2086" s="275"/>
    </row>
    <row r="2087" ht="15.75" customHeight="1">
      <c r="B2087" s="282"/>
      <c r="H2087" s="273"/>
      <c r="I2087" s="274"/>
      <c r="J2087" s="274"/>
      <c r="K2087" s="274"/>
      <c r="L2087" s="274"/>
      <c r="M2087" s="274"/>
      <c r="N2087" s="274"/>
      <c r="P2087" s="275"/>
    </row>
    <row r="2088" ht="15.75" customHeight="1">
      <c r="B2088" s="282"/>
      <c r="H2088" s="273"/>
      <c r="I2088" s="274"/>
      <c r="J2088" s="274"/>
      <c r="K2088" s="274"/>
      <c r="L2088" s="274"/>
      <c r="M2088" s="274"/>
      <c r="N2088" s="274"/>
      <c r="P2088" s="275"/>
    </row>
    <row r="2089" ht="15.75" customHeight="1">
      <c r="B2089" s="282"/>
      <c r="H2089" s="273"/>
      <c r="I2089" s="274"/>
      <c r="J2089" s="274"/>
      <c r="K2089" s="274"/>
      <c r="L2089" s="274"/>
      <c r="M2089" s="274"/>
      <c r="N2089" s="274"/>
      <c r="P2089" s="275"/>
    </row>
    <row r="2090" ht="15.75" customHeight="1">
      <c r="B2090" s="282"/>
      <c r="H2090" s="273"/>
      <c r="I2090" s="274"/>
      <c r="J2090" s="274"/>
      <c r="K2090" s="274"/>
      <c r="L2090" s="274"/>
      <c r="M2090" s="274"/>
      <c r="N2090" s="274"/>
      <c r="P2090" s="275"/>
    </row>
    <row r="2091" ht="15.75" customHeight="1">
      <c r="B2091" s="282"/>
      <c r="H2091" s="273"/>
      <c r="I2091" s="274"/>
      <c r="J2091" s="274"/>
      <c r="K2091" s="274"/>
      <c r="L2091" s="274"/>
      <c r="M2091" s="274"/>
      <c r="N2091" s="274"/>
      <c r="P2091" s="275"/>
    </row>
    <row r="2092" ht="15.75" customHeight="1">
      <c r="B2092" s="282"/>
      <c r="H2092" s="273"/>
      <c r="I2092" s="274"/>
      <c r="J2092" s="274"/>
      <c r="K2092" s="274"/>
      <c r="L2092" s="274"/>
      <c r="M2092" s="274"/>
      <c r="N2092" s="274"/>
      <c r="P2092" s="275"/>
    </row>
    <row r="2093" ht="15.75" customHeight="1">
      <c r="B2093" s="282"/>
      <c r="H2093" s="273"/>
      <c r="I2093" s="274"/>
      <c r="J2093" s="274"/>
      <c r="K2093" s="274"/>
      <c r="L2093" s="274"/>
      <c r="M2093" s="274"/>
      <c r="N2093" s="274"/>
      <c r="P2093" s="275"/>
    </row>
    <row r="2094" ht="15.75" customHeight="1">
      <c r="B2094" s="282"/>
      <c r="H2094" s="273"/>
      <c r="I2094" s="274"/>
      <c r="J2094" s="274"/>
      <c r="K2094" s="274"/>
      <c r="L2094" s="274"/>
      <c r="M2094" s="274"/>
      <c r="N2094" s="274"/>
      <c r="P2094" s="275"/>
    </row>
    <row r="2095" ht="15.75" customHeight="1">
      <c r="B2095" s="282"/>
      <c r="H2095" s="273"/>
      <c r="I2095" s="274"/>
      <c r="J2095" s="274"/>
      <c r="K2095" s="274"/>
      <c r="L2095" s="274"/>
      <c r="M2095" s="274"/>
      <c r="N2095" s="274"/>
      <c r="P2095" s="275"/>
    </row>
    <row r="2096" ht="15.75" customHeight="1">
      <c r="B2096" s="282"/>
      <c r="H2096" s="273"/>
      <c r="I2096" s="274"/>
      <c r="J2096" s="274"/>
      <c r="K2096" s="274"/>
      <c r="L2096" s="274"/>
      <c r="M2096" s="274"/>
      <c r="N2096" s="274"/>
      <c r="P2096" s="275"/>
    </row>
    <row r="2097" ht="15.75" customHeight="1">
      <c r="B2097" s="282"/>
      <c r="H2097" s="273"/>
      <c r="I2097" s="274"/>
      <c r="J2097" s="274"/>
      <c r="K2097" s="274"/>
      <c r="L2097" s="274"/>
      <c r="M2097" s="274"/>
      <c r="N2097" s="274"/>
      <c r="P2097" s="275"/>
    </row>
    <row r="2098" ht="15.75" customHeight="1">
      <c r="B2098" s="282"/>
      <c r="H2098" s="273"/>
      <c r="I2098" s="274"/>
      <c r="J2098" s="274"/>
      <c r="K2098" s="274"/>
      <c r="L2098" s="274"/>
      <c r="M2098" s="274"/>
      <c r="N2098" s="274"/>
      <c r="P2098" s="275"/>
    </row>
    <row r="2099" ht="15.75" customHeight="1">
      <c r="B2099" s="282"/>
      <c r="H2099" s="273"/>
      <c r="I2099" s="274"/>
      <c r="J2099" s="274"/>
      <c r="K2099" s="274"/>
      <c r="L2099" s="274"/>
      <c r="M2099" s="274"/>
      <c r="N2099" s="274"/>
      <c r="P2099" s="275"/>
    </row>
    <row r="2100" ht="15.75" customHeight="1">
      <c r="B2100" s="282"/>
      <c r="H2100" s="273"/>
      <c r="I2100" s="274"/>
      <c r="J2100" s="274"/>
      <c r="K2100" s="274"/>
      <c r="L2100" s="274"/>
      <c r="M2100" s="274"/>
      <c r="N2100" s="274"/>
      <c r="P2100" s="275"/>
    </row>
    <row r="2101" ht="15.75" customHeight="1">
      <c r="B2101" s="282"/>
      <c r="H2101" s="273"/>
      <c r="I2101" s="274"/>
      <c r="J2101" s="274"/>
      <c r="K2101" s="274"/>
      <c r="L2101" s="274"/>
      <c r="M2101" s="274"/>
      <c r="N2101" s="274"/>
      <c r="P2101" s="275"/>
    </row>
    <row r="2102" ht="15.75" customHeight="1">
      <c r="B2102" s="282"/>
      <c r="H2102" s="273"/>
      <c r="I2102" s="274"/>
      <c r="J2102" s="274"/>
      <c r="K2102" s="274"/>
      <c r="L2102" s="274"/>
      <c r="M2102" s="274"/>
      <c r="N2102" s="274"/>
      <c r="P2102" s="275"/>
    </row>
    <row r="2103" ht="15.75" customHeight="1">
      <c r="B2103" s="282"/>
      <c r="H2103" s="273"/>
      <c r="I2103" s="274"/>
      <c r="J2103" s="274"/>
      <c r="K2103" s="274"/>
      <c r="L2103" s="274"/>
      <c r="M2103" s="274"/>
      <c r="N2103" s="274"/>
      <c r="P2103" s="275"/>
    </row>
    <row r="2104" ht="15.75" customHeight="1">
      <c r="B2104" s="282"/>
      <c r="H2104" s="273"/>
      <c r="I2104" s="274"/>
      <c r="J2104" s="274"/>
      <c r="K2104" s="274"/>
      <c r="L2104" s="274"/>
      <c r="M2104" s="274"/>
      <c r="N2104" s="274"/>
      <c r="P2104" s="275"/>
    </row>
    <row r="2105" ht="15.75" customHeight="1">
      <c r="B2105" s="282"/>
      <c r="H2105" s="273"/>
      <c r="I2105" s="274"/>
      <c r="J2105" s="274"/>
      <c r="K2105" s="274"/>
      <c r="L2105" s="274"/>
      <c r="M2105" s="274"/>
      <c r="N2105" s="274"/>
      <c r="P2105" s="275"/>
    </row>
    <row r="2106" ht="15.75" customHeight="1">
      <c r="B2106" s="282"/>
      <c r="H2106" s="273"/>
      <c r="I2106" s="274"/>
      <c r="J2106" s="274"/>
      <c r="K2106" s="274"/>
      <c r="L2106" s="274"/>
      <c r="M2106" s="274"/>
      <c r="N2106" s="274"/>
      <c r="P2106" s="275"/>
    </row>
    <row r="2107" ht="15.75" customHeight="1">
      <c r="B2107" s="282"/>
      <c r="H2107" s="273"/>
      <c r="I2107" s="274"/>
      <c r="J2107" s="274"/>
      <c r="K2107" s="274"/>
      <c r="L2107" s="274"/>
      <c r="M2107" s="274"/>
      <c r="N2107" s="274"/>
      <c r="P2107" s="275"/>
    </row>
    <row r="2108" ht="15.75" customHeight="1">
      <c r="B2108" s="282"/>
      <c r="H2108" s="273"/>
      <c r="I2108" s="274"/>
      <c r="J2108" s="274"/>
      <c r="K2108" s="274"/>
      <c r="L2108" s="274"/>
      <c r="M2108" s="274"/>
      <c r="N2108" s="274"/>
      <c r="P2108" s="275"/>
    </row>
    <row r="2109" ht="15.75" customHeight="1">
      <c r="B2109" s="282"/>
      <c r="H2109" s="273"/>
      <c r="I2109" s="274"/>
      <c r="J2109" s="274"/>
      <c r="K2109" s="274"/>
      <c r="L2109" s="274"/>
      <c r="M2109" s="274"/>
      <c r="N2109" s="274"/>
      <c r="P2109" s="275"/>
    </row>
    <row r="2110" ht="15.75" customHeight="1">
      <c r="B2110" s="282"/>
      <c r="H2110" s="273"/>
      <c r="I2110" s="274"/>
      <c r="J2110" s="274"/>
      <c r="K2110" s="274"/>
      <c r="L2110" s="274"/>
      <c r="M2110" s="274"/>
      <c r="N2110" s="274"/>
      <c r="P2110" s="275"/>
    </row>
    <row r="2111" ht="15.75" customHeight="1">
      <c r="B2111" s="282"/>
      <c r="H2111" s="273"/>
      <c r="I2111" s="274"/>
      <c r="J2111" s="274"/>
      <c r="K2111" s="274"/>
      <c r="L2111" s="274"/>
      <c r="M2111" s="274"/>
      <c r="N2111" s="274"/>
      <c r="P2111" s="275"/>
    </row>
    <row r="2112" ht="15.75" customHeight="1">
      <c r="B2112" s="282"/>
      <c r="H2112" s="273"/>
      <c r="I2112" s="274"/>
      <c r="J2112" s="274"/>
      <c r="K2112" s="274"/>
      <c r="L2112" s="274"/>
      <c r="M2112" s="274"/>
      <c r="N2112" s="274"/>
      <c r="P2112" s="275"/>
    </row>
    <row r="2113" ht="15.75" customHeight="1">
      <c r="B2113" s="282"/>
      <c r="H2113" s="273"/>
      <c r="I2113" s="274"/>
      <c r="J2113" s="274"/>
      <c r="K2113" s="274"/>
      <c r="L2113" s="274"/>
      <c r="M2113" s="274"/>
      <c r="N2113" s="274"/>
      <c r="P2113" s="275"/>
    </row>
    <row r="2114" ht="15.75" customHeight="1">
      <c r="B2114" s="282"/>
      <c r="H2114" s="273"/>
      <c r="I2114" s="274"/>
      <c r="J2114" s="274"/>
      <c r="K2114" s="274"/>
      <c r="L2114" s="274"/>
      <c r="M2114" s="274"/>
      <c r="N2114" s="274"/>
      <c r="P2114" s="275"/>
    </row>
    <row r="2115" ht="15.75" customHeight="1">
      <c r="B2115" s="282"/>
      <c r="H2115" s="273"/>
      <c r="I2115" s="274"/>
      <c r="J2115" s="274"/>
      <c r="K2115" s="274"/>
      <c r="L2115" s="274"/>
      <c r="M2115" s="274"/>
      <c r="N2115" s="274"/>
      <c r="P2115" s="275"/>
    </row>
    <row r="2116" ht="15.75" customHeight="1">
      <c r="B2116" s="282"/>
      <c r="H2116" s="273"/>
      <c r="I2116" s="274"/>
      <c r="J2116" s="274"/>
      <c r="K2116" s="274"/>
      <c r="L2116" s="274"/>
      <c r="M2116" s="274"/>
      <c r="N2116" s="274"/>
      <c r="P2116" s="275"/>
    </row>
    <row r="2117" ht="15.75" customHeight="1">
      <c r="B2117" s="282"/>
      <c r="H2117" s="273"/>
      <c r="I2117" s="274"/>
      <c r="J2117" s="274"/>
      <c r="K2117" s="274"/>
      <c r="L2117" s="274"/>
      <c r="M2117" s="274"/>
      <c r="N2117" s="274"/>
      <c r="P2117" s="275"/>
    </row>
    <row r="2118" ht="15.75" customHeight="1">
      <c r="B2118" s="282"/>
      <c r="H2118" s="273"/>
      <c r="I2118" s="274"/>
      <c r="J2118" s="274"/>
      <c r="K2118" s="274"/>
      <c r="L2118" s="274"/>
      <c r="M2118" s="274"/>
      <c r="N2118" s="274"/>
      <c r="P2118" s="275"/>
    </row>
    <row r="2119" ht="15.75" customHeight="1">
      <c r="B2119" s="282"/>
      <c r="H2119" s="273"/>
      <c r="I2119" s="274"/>
      <c r="J2119" s="274"/>
      <c r="K2119" s="274"/>
      <c r="L2119" s="274"/>
      <c r="M2119" s="274"/>
      <c r="N2119" s="274"/>
      <c r="P2119" s="275"/>
    </row>
    <row r="2120" ht="15.75" customHeight="1">
      <c r="B2120" s="282"/>
      <c r="H2120" s="273"/>
      <c r="I2120" s="274"/>
      <c r="J2120" s="274"/>
      <c r="K2120" s="274"/>
      <c r="L2120" s="274"/>
      <c r="M2120" s="274"/>
      <c r="N2120" s="274"/>
      <c r="P2120" s="275"/>
    </row>
    <row r="2121" ht="15.75" customHeight="1">
      <c r="B2121" s="282"/>
      <c r="H2121" s="273"/>
      <c r="I2121" s="274"/>
      <c r="J2121" s="274"/>
      <c r="K2121" s="274"/>
      <c r="L2121" s="274"/>
      <c r="M2121" s="274"/>
      <c r="N2121" s="274"/>
      <c r="P2121" s="275"/>
    </row>
    <row r="2122" ht="15.75" customHeight="1">
      <c r="B2122" s="282"/>
      <c r="H2122" s="273"/>
      <c r="I2122" s="274"/>
      <c r="J2122" s="274"/>
      <c r="K2122" s="274"/>
      <c r="L2122" s="274"/>
      <c r="M2122" s="274"/>
      <c r="N2122" s="274"/>
      <c r="P2122" s="275"/>
    </row>
    <row r="2123" ht="15.75" customHeight="1">
      <c r="B2123" s="282"/>
      <c r="H2123" s="273"/>
      <c r="I2123" s="274"/>
      <c r="J2123" s="274"/>
      <c r="K2123" s="274"/>
      <c r="L2123" s="274"/>
      <c r="M2123" s="274"/>
      <c r="N2123" s="274"/>
      <c r="P2123" s="275"/>
    </row>
    <row r="2124" ht="15.75" customHeight="1">
      <c r="B2124" s="282"/>
      <c r="H2124" s="273"/>
      <c r="I2124" s="274"/>
      <c r="J2124" s="274"/>
      <c r="K2124" s="274"/>
      <c r="L2124" s="274"/>
      <c r="M2124" s="274"/>
      <c r="N2124" s="274"/>
      <c r="P2124" s="275"/>
    </row>
    <row r="2125" ht="15.75" customHeight="1">
      <c r="B2125" s="282"/>
      <c r="H2125" s="273"/>
      <c r="I2125" s="274"/>
      <c r="J2125" s="274"/>
      <c r="K2125" s="274"/>
      <c r="L2125" s="274"/>
      <c r="M2125" s="274"/>
      <c r="N2125" s="274"/>
      <c r="P2125" s="275"/>
    </row>
    <row r="2126" ht="15.75" customHeight="1">
      <c r="B2126" s="282"/>
      <c r="H2126" s="273"/>
      <c r="I2126" s="274"/>
      <c r="J2126" s="274"/>
      <c r="K2126" s="274"/>
      <c r="L2126" s="274"/>
      <c r="M2126" s="274"/>
      <c r="N2126" s="274"/>
      <c r="P2126" s="275"/>
    </row>
    <row r="2127" ht="15.75" customHeight="1">
      <c r="B2127" s="282"/>
      <c r="H2127" s="273"/>
      <c r="I2127" s="274"/>
      <c r="J2127" s="274"/>
      <c r="K2127" s="274"/>
      <c r="L2127" s="274"/>
      <c r="M2127" s="274"/>
      <c r="N2127" s="274"/>
      <c r="P2127" s="275"/>
    </row>
    <row r="2128" ht="15.75" customHeight="1">
      <c r="B2128" s="282"/>
      <c r="H2128" s="273"/>
      <c r="I2128" s="274"/>
      <c r="J2128" s="274"/>
      <c r="K2128" s="274"/>
      <c r="L2128" s="274"/>
      <c r="M2128" s="274"/>
      <c r="N2128" s="274"/>
      <c r="P2128" s="275"/>
    </row>
    <row r="2129" ht="15.75" customHeight="1">
      <c r="B2129" s="282"/>
      <c r="H2129" s="273"/>
      <c r="I2129" s="274"/>
      <c r="J2129" s="274"/>
      <c r="K2129" s="274"/>
      <c r="L2129" s="274"/>
      <c r="M2129" s="274"/>
      <c r="N2129" s="274"/>
      <c r="P2129" s="275"/>
    </row>
    <row r="2130" ht="15.75" customHeight="1">
      <c r="B2130" s="282"/>
      <c r="H2130" s="273"/>
      <c r="I2130" s="274"/>
      <c r="J2130" s="274"/>
      <c r="K2130" s="274"/>
      <c r="L2130" s="274"/>
      <c r="M2130" s="274"/>
      <c r="N2130" s="274"/>
      <c r="P2130" s="275"/>
    </row>
    <row r="2131" ht="15.75" customHeight="1">
      <c r="B2131" s="282"/>
      <c r="H2131" s="273"/>
      <c r="I2131" s="274"/>
      <c r="J2131" s="274"/>
      <c r="K2131" s="274"/>
      <c r="L2131" s="274"/>
      <c r="M2131" s="274"/>
      <c r="N2131" s="274"/>
      <c r="P2131" s="275"/>
    </row>
    <row r="2132" ht="15.75" customHeight="1">
      <c r="B2132" s="282"/>
      <c r="H2132" s="273"/>
      <c r="I2132" s="274"/>
      <c r="J2132" s="274"/>
      <c r="K2132" s="274"/>
      <c r="L2132" s="274"/>
      <c r="M2132" s="274"/>
      <c r="N2132" s="274"/>
      <c r="P2132" s="275"/>
    </row>
    <row r="2133" ht="15.75" customHeight="1">
      <c r="B2133" s="282"/>
      <c r="H2133" s="273"/>
      <c r="I2133" s="274"/>
      <c r="J2133" s="274"/>
      <c r="K2133" s="274"/>
      <c r="L2133" s="274"/>
      <c r="M2133" s="274"/>
      <c r="N2133" s="274"/>
      <c r="P2133" s="275"/>
    </row>
    <row r="2134" ht="15.75" customHeight="1">
      <c r="B2134" s="282"/>
      <c r="H2134" s="273"/>
      <c r="I2134" s="274"/>
      <c r="J2134" s="274"/>
      <c r="K2134" s="274"/>
      <c r="L2134" s="274"/>
      <c r="M2134" s="274"/>
      <c r="N2134" s="274"/>
      <c r="P2134" s="275"/>
    </row>
    <row r="2135" ht="15.75" customHeight="1">
      <c r="B2135" s="282"/>
      <c r="H2135" s="273"/>
      <c r="I2135" s="274"/>
      <c r="J2135" s="274"/>
      <c r="K2135" s="274"/>
      <c r="L2135" s="274"/>
      <c r="M2135" s="274"/>
      <c r="N2135" s="274"/>
      <c r="P2135" s="275"/>
    </row>
    <row r="2136" ht="15.75" customHeight="1">
      <c r="B2136" s="282"/>
      <c r="H2136" s="273"/>
      <c r="I2136" s="274"/>
      <c r="J2136" s="274"/>
      <c r="K2136" s="274"/>
      <c r="L2136" s="274"/>
      <c r="M2136" s="274"/>
      <c r="N2136" s="274"/>
      <c r="P2136" s="275"/>
    </row>
    <row r="2137" ht="15.75" customHeight="1">
      <c r="B2137" s="282"/>
      <c r="H2137" s="273"/>
      <c r="I2137" s="274"/>
      <c r="J2137" s="274"/>
      <c r="K2137" s="274"/>
      <c r="L2137" s="274"/>
      <c r="M2137" s="274"/>
      <c r="N2137" s="274"/>
      <c r="P2137" s="275"/>
    </row>
    <row r="2138" ht="15.75" customHeight="1">
      <c r="B2138" s="282"/>
      <c r="H2138" s="273"/>
      <c r="I2138" s="274"/>
      <c r="J2138" s="274"/>
      <c r="K2138" s="274"/>
      <c r="L2138" s="274"/>
      <c r="M2138" s="274"/>
      <c r="N2138" s="274"/>
      <c r="P2138" s="275"/>
    </row>
    <row r="2139" ht="15.75" customHeight="1">
      <c r="B2139" s="282"/>
      <c r="H2139" s="273"/>
      <c r="I2139" s="274"/>
      <c r="J2139" s="274"/>
      <c r="K2139" s="274"/>
      <c r="L2139" s="274"/>
      <c r="M2139" s="274"/>
      <c r="N2139" s="274"/>
      <c r="P2139" s="275"/>
    </row>
    <row r="2140" ht="15.75" customHeight="1">
      <c r="B2140" s="282"/>
      <c r="H2140" s="273"/>
      <c r="I2140" s="274"/>
      <c r="J2140" s="274"/>
      <c r="K2140" s="274"/>
      <c r="L2140" s="274"/>
      <c r="M2140" s="274"/>
      <c r="N2140" s="274"/>
      <c r="P2140" s="275"/>
    </row>
    <row r="2141" ht="15.75" customHeight="1">
      <c r="B2141" s="282"/>
      <c r="H2141" s="273"/>
      <c r="I2141" s="274"/>
      <c r="J2141" s="274"/>
      <c r="K2141" s="274"/>
      <c r="L2141" s="274"/>
      <c r="M2141" s="274"/>
      <c r="N2141" s="274"/>
      <c r="P2141" s="275"/>
    </row>
    <row r="2142" ht="15.75" customHeight="1">
      <c r="B2142" s="282"/>
      <c r="H2142" s="273"/>
      <c r="I2142" s="274"/>
      <c r="J2142" s="274"/>
      <c r="K2142" s="274"/>
      <c r="L2142" s="274"/>
      <c r="M2142" s="274"/>
      <c r="N2142" s="274"/>
      <c r="P2142" s="275"/>
    </row>
    <row r="2143" ht="15.75" customHeight="1">
      <c r="B2143" s="282"/>
      <c r="H2143" s="273"/>
      <c r="I2143" s="274"/>
      <c r="J2143" s="274"/>
      <c r="K2143" s="274"/>
      <c r="L2143" s="274"/>
      <c r="M2143" s="274"/>
      <c r="N2143" s="274"/>
      <c r="P2143" s="275"/>
    </row>
    <row r="2144" ht="15.75" customHeight="1">
      <c r="B2144" s="282"/>
      <c r="H2144" s="273"/>
      <c r="I2144" s="274"/>
      <c r="J2144" s="274"/>
      <c r="K2144" s="274"/>
      <c r="L2144" s="274"/>
      <c r="M2144" s="274"/>
      <c r="N2144" s="274"/>
      <c r="P2144" s="275"/>
    </row>
    <row r="2145" ht="15.75" customHeight="1">
      <c r="B2145" s="282"/>
      <c r="H2145" s="273"/>
      <c r="I2145" s="274"/>
      <c r="J2145" s="274"/>
      <c r="K2145" s="274"/>
      <c r="L2145" s="274"/>
      <c r="M2145" s="274"/>
      <c r="N2145" s="274"/>
      <c r="P2145" s="275"/>
    </row>
    <row r="2146" ht="15.75" customHeight="1">
      <c r="B2146" s="282"/>
      <c r="H2146" s="273"/>
      <c r="I2146" s="274"/>
      <c r="J2146" s="274"/>
      <c r="K2146" s="274"/>
      <c r="L2146" s="274"/>
      <c r="M2146" s="274"/>
      <c r="N2146" s="274"/>
      <c r="P2146" s="275"/>
    </row>
    <row r="2147" ht="15.75" customHeight="1">
      <c r="B2147" s="282"/>
      <c r="H2147" s="273"/>
      <c r="I2147" s="274"/>
      <c r="J2147" s="274"/>
      <c r="K2147" s="274"/>
      <c r="L2147" s="274"/>
      <c r="M2147" s="274"/>
      <c r="N2147" s="274"/>
      <c r="P2147" s="275"/>
    </row>
    <row r="2148" ht="15.75" customHeight="1">
      <c r="B2148" s="282"/>
      <c r="H2148" s="273"/>
      <c r="I2148" s="274"/>
      <c r="J2148" s="274"/>
      <c r="K2148" s="274"/>
      <c r="L2148" s="274"/>
      <c r="M2148" s="274"/>
      <c r="N2148" s="274"/>
      <c r="P2148" s="275"/>
    </row>
    <row r="2149" ht="15.75" customHeight="1">
      <c r="B2149" s="282"/>
      <c r="H2149" s="273"/>
      <c r="I2149" s="274"/>
      <c r="J2149" s="274"/>
      <c r="K2149" s="274"/>
      <c r="L2149" s="274"/>
      <c r="M2149" s="274"/>
      <c r="N2149" s="274"/>
      <c r="P2149" s="275"/>
    </row>
    <row r="2150" ht="15.75" customHeight="1">
      <c r="B2150" s="282"/>
      <c r="H2150" s="273"/>
      <c r="I2150" s="274"/>
      <c r="J2150" s="274"/>
      <c r="K2150" s="274"/>
      <c r="L2150" s="274"/>
      <c r="M2150" s="274"/>
      <c r="N2150" s="274"/>
      <c r="P2150" s="275"/>
    </row>
    <row r="2151" ht="15.75" customHeight="1">
      <c r="B2151" s="282"/>
      <c r="H2151" s="273"/>
      <c r="I2151" s="274"/>
      <c r="J2151" s="274"/>
      <c r="K2151" s="274"/>
      <c r="L2151" s="274"/>
      <c r="M2151" s="274"/>
      <c r="N2151" s="274"/>
      <c r="P2151" s="275"/>
    </row>
    <row r="2152" ht="15.75" customHeight="1">
      <c r="B2152" s="282"/>
      <c r="H2152" s="273"/>
      <c r="I2152" s="274"/>
      <c r="J2152" s="274"/>
      <c r="K2152" s="274"/>
      <c r="L2152" s="274"/>
      <c r="M2152" s="274"/>
      <c r="N2152" s="274"/>
      <c r="P2152" s="275"/>
    </row>
    <row r="2153" ht="15.75" customHeight="1">
      <c r="B2153" s="282"/>
      <c r="H2153" s="273"/>
      <c r="I2153" s="274"/>
      <c r="J2153" s="274"/>
      <c r="K2153" s="274"/>
      <c r="L2153" s="274"/>
      <c r="M2153" s="274"/>
      <c r="N2153" s="274"/>
      <c r="P2153" s="275"/>
    </row>
    <row r="2154" ht="15.75" customHeight="1">
      <c r="B2154" s="282"/>
      <c r="H2154" s="273"/>
      <c r="I2154" s="274"/>
      <c r="J2154" s="274"/>
      <c r="K2154" s="274"/>
      <c r="L2154" s="274"/>
      <c r="M2154" s="274"/>
      <c r="N2154" s="274"/>
      <c r="P2154" s="275"/>
    </row>
    <row r="2155" ht="15.75" customHeight="1">
      <c r="B2155" s="282"/>
      <c r="H2155" s="273"/>
      <c r="I2155" s="274"/>
      <c r="J2155" s="274"/>
      <c r="K2155" s="274"/>
      <c r="L2155" s="274"/>
      <c r="M2155" s="274"/>
      <c r="N2155" s="274"/>
      <c r="P2155" s="275"/>
    </row>
    <row r="2156" ht="15.75" customHeight="1">
      <c r="B2156" s="282"/>
      <c r="H2156" s="273"/>
      <c r="I2156" s="274"/>
      <c r="J2156" s="274"/>
      <c r="K2156" s="274"/>
      <c r="L2156" s="274"/>
      <c r="M2156" s="274"/>
      <c r="N2156" s="274"/>
      <c r="P2156" s="275"/>
    </row>
    <row r="2157" ht="15.75" customHeight="1">
      <c r="B2157" s="282"/>
      <c r="H2157" s="273"/>
      <c r="I2157" s="274"/>
      <c r="J2157" s="274"/>
      <c r="K2157" s="274"/>
      <c r="L2157" s="274"/>
      <c r="M2157" s="274"/>
      <c r="N2157" s="274"/>
      <c r="P2157" s="275"/>
    </row>
    <row r="2158" ht="15.75" customHeight="1">
      <c r="B2158" s="282"/>
      <c r="H2158" s="273"/>
      <c r="I2158" s="274"/>
      <c r="J2158" s="274"/>
      <c r="K2158" s="274"/>
      <c r="L2158" s="274"/>
      <c r="M2158" s="274"/>
      <c r="N2158" s="274"/>
      <c r="P2158" s="275"/>
    </row>
    <row r="2159" ht="15.75" customHeight="1">
      <c r="B2159" s="282"/>
      <c r="H2159" s="273"/>
      <c r="I2159" s="274"/>
      <c r="J2159" s="274"/>
      <c r="K2159" s="274"/>
      <c r="L2159" s="274"/>
      <c r="M2159" s="274"/>
      <c r="N2159" s="274"/>
      <c r="P2159" s="275"/>
    </row>
    <row r="2160" ht="15.75" customHeight="1">
      <c r="B2160" s="282"/>
      <c r="H2160" s="273"/>
      <c r="I2160" s="274"/>
      <c r="J2160" s="274"/>
      <c r="K2160" s="274"/>
      <c r="L2160" s="274"/>
      <c r="M2160" s="274"/>
      <c r="N2160" s="274"/>
      <c r="P2160" s="275"/>
    </row>
    <row r="2161" ht="15.75" customHeight="1">
      <c r="B2161" s="282"/>
      <c r="H2161" s="273"/>
      <c r="I2161" s="274"/>
      <c r="J2161" s="274"/>
      <c r="K2161" s="274"/>
      <c r="L2161" s="274"/>
      <c r="M2161" s="274"/>
      <c r="N2161" s="274"/>
      <c r="P2161" s="275"/>
    </row>
    <row r="2162" ht="15.75" customHeight="1">
      <c r="B2162" s="282"/>
      <c r="H2162" s="273"/>
      <c r="I2162" s="274"/>
      <c r="J2162" s="274"/>
      <c r="K2162" s="274"/>
      <c r="L2162" s="274"/>
      <c r="M2162" s="274"/>
      <c r="N2162" s="274"/>
      <c r="P2162" s="275"/>
    </row>
    <row r="2163" ht="15.75" customHeight="1">
      <c r="B2163" s="282"/>
      <c r="H2163" s="273"/>
      <c r="I2163" s="274"/>
      <c r="J2163" s="274"/>
      <c r="K2163" s="274"/>
      <c r="L2163" s="274"/>
      <c r="M2163" s="274"/>
      <c r="N2163" s="274"/>
      <c r="P2163" s="275"/>
    </row>
    <row r="2164" ht="15.75" customHeight="1">
      <c r="B2164" s="282"/>
      <c r="H2164" s="273"/>
      <c r="I2164" s="274"/>
      <c r="J2164" s="274"/>
      <c r="K2164" s="274"/>
      <c r="L2164" s="274"/>
      <c r="M2164" s="274"/>
      <c r="N2164" s="274"/>
      <c r="P2164" s="275"/>
    </row>
    <row r="2165" ht="15.75" customHeight="1">
      <c r="B2165" s="282"/>
      <c r="H2165" s="273"/>
      <c r="I2165" s="274"/>
      <c r="J2165" s="274"/>
      <c r="K2165" s="274"/>
      <c r="L2165" s="274"/>
      <c r="M2165" s="274"/>
      <c r="N2165" s="274"/>
      <c r="P2165" s="275"/>
    </row>
    <row r="2166" ht="15.75" customHeight="1">
      <c r="B2166" s="282"/>
      <c r="H2166" s="273"/>
      <c r="I2166" s="274"/>
      <c r="J2166" s="274"/>
      <c r="K2166" s="274"/>
      <c r="L2166" s="274"/>
      <c r="M2166" s="274"/>
      <c r="N2166" s="274"/>
      <c r="P2166" s="275"/>
    </row>
    <row r="2167" ht="15.75" customHeight="1">
      <c r="B2167" s="282"/>
      <c r="H2167" s="273"/>
      <c r="I2167" s="274"/>
      <c r="J2167" s="274"/>
      <c r="K2167" s="274"/>
      <c r="L2167" s="274"/>
      <c r="M2167" s="274"/>
      <c r="N2167" s="274"/>
      <c r="P2167" s="275"/>
    </row>
    <row r="2168" ht="15.75" customHeight="1">
      <c r="B2168" s="282"/>
      <c r="H2168" s="273"/>
      <c r="I2168" s="274"/>
      <c r="J2168" s="274"/>
      <c r="K2168" s="274"/>
      <c r="L2168" s="274"/>
      <c r="M2168" s="274"/>
      <c r="N2168" s="274"/>
      <c r="P2168" s="275"/>
    </row>
    <row r="2169" ht="15.75" customHeight="1">
      <c r="B2169" s="282"/>
      <c r="H2169" s="273"/>
      <c r="I2169" s="274"/>
      <c r="J2169" s="274"/>
      <c r="K2169" s="274"/>
      <c r="L2169" s="274"/>
      <c r="M2169" s="274"/>
      <c r="N2169" s="274"/>
      <c r="P2169" s="275"/>
    </row>
    <row r="2170" ht="15.75" customHeight="1">
      <c r="B2170" s="282"/>
      <c r="H2170" s="273"/>
      <c r="I2170" s="274"/>
      <c r="J2170" s="274"/>
      <c r="K2170" s="274"/>
      <c r="L2170" s="274"/>
      <c r="M2170" s="274"/>
      <c r="N2170" s="274"/>
      <c r="P2170" s="275"/>
    </row>
    <row r="2171" ht="15.75" customHeight="1">
      <c r="B2171" s="282"/>
      <c r="H2171" s="273"/>
      <c r="I2171" s="274"/>
      <c r="J2171" s="274"/>
      <c r="K2171" s="274"/>
      <c r="L2171" s="274"/>
      <c r="M2171" s="274"/>
      <c r="N2171" s="274"/>
      <c r="P2171" s="275"/>
    </row>
    <row r="2172" ht="15.75" customHeight="1">
      <c r="B2172" s="282"/>
      <c r="H2172" s="273"/>
      <c r="I2172" s="274"/>
      <c r="J2172" s="274"/>
      <c r="K2172" s="274"/>
      <c r="L2172" s="274"/>
      <c r="M2172" s="274"/>
      <c r="N2172" s="274"/>
      <c r="P2172" s="275"/>
    </row>
    <row r="2173" ht="15.75" customHeight="1">
      <c r="B2173" s="282"/>
      <c r="H2173" s="273"/>
      <c r="I2173" s="274"/>
      <c r="J2173" s="274"/>
      <c r="K2173" s="274"/>
      <c r="L2173" s="274"/>
      <c r="M2173" s="274"/>
      <c r="N2173" s="274"/>
      <c r="P2173" s="275"/>
    </row>
    <row r="2174" ht="15.75" customHeight="1">
      <c r="B2174" s="282"/>
      <c r="H2174" s="273"/>
      <c r="I2174" s="274"/>
      <c r="J2174" s="274"/>
      <c r="K2174" s="274"/>
      <c r="L2174" s="274"/>
      <c r="M2174" s="274"/>
      <c r="N2174" s="274"/>
      <c r="P2174" s="275"/>
    </row>
    <row r="2175" ht="15.75" customHeight="1">
      <c r="B2175" s="282"/>
      <c r="H2175" s="273"/>
      <c r="I2175" s="274"/>
      <c r="J2175" s="274"/>
      <c r="K2175" s="274"/>
      <c r="L2175" s="274"/>
      <c r="M2175" s="274"/>
      <c r="N2175" s="274"/>
      <c r="P2175" s="275"/>
    </row>
    <row r="2176" ht="15.75" customHeight="1">
      <c r="B2176" s="282"/>
      <c r="H2176" s="273"/>
      <c r="I2176" s="274"/>
      <c r="J2176" s="274"/>
      <c r="K2176" s="274"/>
      <c r="L2176" s="274"/>
      <c r="M2176" s="274"/>
      <c r="N2176" s="274"/>
      <c r="P2176" s="275"/>
    </row>
    <row r="2177" ht="15.75" customHeight="1">
      <c r="B2177" s="282"/>
      <c r="H2177" s="273"/>
      <c r="I2177" s="274"/>
      <c r="J2177" s="274"/>
      <c r="K2177" s="274"/>
      <c r="L2177" s="274"/>
      <c r="M2177" s="274"/>
      <c r="N2177" s="274"/>
      <c r="P2177" s="275"/>
    </row>
    <row r="2178" ht="15.75" customHeight="1">
      <c r="B2178" s="282"/>
      <c r="H2178" s="273"/>
      <c r="I2178" s="274"/>
      <c r="J2178" s="274"/>
      <c r="K2178" s="274"/>
      <c r="L2178" s="274"/>
      <c r="M2178" s="274"/>
      <c r="N2178" s="274"/>
      <c r="P2178" s="275"/>
    </row>
    <row r="2179" ht="15.75" customHeight="1">
      <c r="B2179" s="282"/>
      <c r="H2179" s="273"/>
      <c r="I2179" s="274"/>
      <c r="J2179" s="274"/>
      <c r="K2179" s="274"/>
      <c r="L2179" s="274"/>
      <c r="M2179" s="274"/>
      <c r="N2179" s="274"/>
      <c r="P2179" s="275"/>
    </row>
    <row r="2180" ht="15.75" customHeight="1">
      <c r="B2180" s="282"/>
      <c r="H2180" s="273"/>
      <c r="I2180" s="274"/>
      <c r="J2180" s="274"/>
      <c r="K2180" s="274"/>
      <c r="L2180" s="274"/>
      <c r="M2180" s="274"/>
      <c r="N2180" s="274"/>
      <c r="P2180" s="275"/>
    </row>
    <row r="2181" ht="15.75" customHeight="1">
      <c r="B2181" s="282"/>
      <c r="H2181" s="273"/>
      <c r="I2181" s="274"/>
      <c r="J2181" s="274"/>
      <c r="K2181" s="274"/>
      <c r="L2181" s="274"/>
      <c r="M2181" s="274"/>
      <c r="N2181" s="274"/>
      <c r="P2181" s="275"/>
    </row>
    <row r="2182" ht="15.75" customHeight="1">
      <c r="B2182" s="282"/>
      <c r="H2182" s="273"/>
      <c r="I2182" s="274"/>
      <c r="J2182" s="274"/>
      <c r="K2182" s="274"/>
      <c r="L2182" s="274"/>
      <c r="M2182" s="274"/>
      <c r="N2182" s="274"/>
      <c r="P2182" s="275"/>
    </row>
    <row r="2183" ht="15.75" customHeight="1">
      <c r="B2183" s="282"/>
      <c r="H2183" s="273"/>
      <c r="I2183" s="274"/>
      <c r="J2183" s="274"/>
      <c r="K2183" s="274"/>
      <c r="L2183" s="274"/>
      <c r="M2183" s="274"/>
      <c r="N2183" s="274"/>
      <c r="P2183" s="275"/>
    </row>
    <row r="2184" ht="15.75" customHeight="1">
      <c r="B2184" s="282"/>
      <c r="H2184" s="273"/>
      <c r="I2184" s="274"/>
      <c r="J2184" s="274"/>
      <c r="K2184" s="274"/>
      <c r="L2184" s="274"/>
      <c r="M2184" s="274"/>
      <c r="N2184" s="274"/>
      <c r="P2184" s="275"/>
    </row>
    <row r="2185" ht="15.75" customHeight="1">
      <c r="B2185" s="282"/>
      <c r="H2185" s="273"/>
      <c r="I2185" s="274"/>
      <c r="J2185" s="274"/>
      <c r="K2185" s="274"/>
      <c r="L2185" s="274"/>
      <c r="M2185" s="274"/>
      <c r="N2185" s="274"/>
      <c r="P2185" s="275"/>
    </row>
    <row r="2186" ht="15.75" customHeight="1">
      <c r="B2186" s="282"/>
      <c r="H2186" s="273"/>
      <c r="I2186" s="274"/>
      <c r="J2186" s="274"/>
      <c r="K2186" s="274"/>
      <c r="L2186" s="274"/>
      <c r="M2186" s="274"/>
      <c r="N2186" s="274"/>
      <c r="P2186" s="275"/>
    </row>
    <row r="2187" ht="15.75" customHeight="1">
      <c r="B2187" s="282"/>
      <c r="H2187" s="273"/>
      <c r="I2187" s="274"/>
      <c r="J2187" s="274"/>
      <c r="K2187" s="274"/>
      <c r="L2187" s="274"/>
      <c r="M2187" s="274"/>
      <c r="N2187" s="274"/>
      <c r="P2187" s="275"/>
    </row>
    <row r="2188" ht="15.75" customHeight="1">
      <c r="B2188" s="282"/>
      <c r="H2188" s="273"/>
      <c r="I2188" s="274"/>
      <c r="J2188" s="274"/>
      <c r="K2188" s="274"/>
      <c r="L2188" s="274"/>
      <c r="M2188" s="274"/>
      <c r="N2188" s="274"/>
      <c r="P2188" s="275"/>
    </row>
    <row r="2189" ht="15.75" customHeight="1">
      <c r="B2189" s="282"/>
      <c r="H2189" s="273"/>
      <c r="I2189" s="274"/>
      <c r="J2189" s="274"/>
      <c r="K2189" s="274"/>
      <c r="L2189" s="274"/>
      <c r="M2189" s="274"/>
      <c r="N2189" s="274"/>
      <c r="P2189" s="275"/>
    </row>
    <row r="2190" ht="15.75" customHeight="1">
      <c r="B2190" s="282"/>
      <c r="H2190" s="273"/>
      <c r="I2190" s="274"/>
      <c r="J2190" s="274"/>
      <c r="K2190" s="274"/>
      <c r="L2190" s="274"/>
      <c r="M2190" s="274"/>
      <c r="N2190" s="274"/>
      <c r="P2190" s="275"/>
    </row>
    <row r="2191" ht="15.75" customHeight="1">
      <c r="B2191" s="282"/>
      <c r="H2191" s="273"/>
      <c r="I2191" s="274"/>
      <c r="J2191" s="274"/>
      <c r="K2191" s="274"/>
      <c r="L2191" s="274"/>
      <c r="M2191" s="274"/>
      <c r="N2191" s="274"/>
      <c r="P2191" s="275"/>
    </row>
    <row r="2192" ht="15.75" customHeight="1">
      <c r="B2192" s="282"/>
      <c r="H2192" s="273"/>
      <c r="I2192" s="274"/>
      <c r="J2192" s="274"/>
      <c r="K2192" s="274"/>
      <c r="L2192" s="274"/>
      <c r="M2192" s="274"/>
      <c r="N2192" s="274"/>
      <c r="P2192" s="275"/>
    </row>
    <row r="2193" ht="15.75" customHeight="1">
      <c r="B2193" s="282"/>
      <c r="H2193" s="273"/>
      <c r="I2193" s="274"/>
      <c r="J2193" s="274"/>
      <c r="K2193" s="274"/>
      <c r="L2193" s="274"/>
      <c r="M2193" s="274"/>
      <c r="N2193" s="274"/>
      <c r="P2193" s="275"/>
    </row>
    <row r="2194" ht="15.75" customHeight="1">
      <c r="B2194" s="282"/>
      <c r="H2194" s="273"/>
      <c r="I2194" s="274"/>
      <c r="J2194" s="274"/>
      <c r="K2194" s="274"/>
      <c r="L2194" s="274"/>
      <c r="M2194" s="274"/>
      <c r="N2194" s="274"/>
      <c r="P2194" s="275"/>
    </row>
    <row r="2195" ht="15.75" customHeight="1">
      <c r="B2195" s="282"/>
      <c r="H2195" s="273"/>
      <c r="I2195" s="274"/>
      <c r="J2195" s="274"/>
      <c r="K2195" s="274"/>
      <c r="L2195" s="274"/>
      <c r="M2195" s="274"/>
      <c r="N2195" s="274"/>
      <c r="P2195" s="275"/>
    </row>
    <row r="2196" ht="15.75" customHeight="1">
      <c r="B2196" s="282"/>
      <c r="H2196" s="273"/>
      <c r="I2196" s="274"/>
      <c r="J2196" s="274"/>
      <c r="K2196" s="274"/>
      <c r="L2196" s="274"/>
      <c r="M2196" s="274"/>
      <c r="N2196" s="274"/>
      <c r="P2196" s="275"/>
    </row>
    <row r="2197" ht="15.75" customHeight="1">
      <c r="B2197" s="282"/>
      <c r="H2197" s="273"/>
      <c r="I2197" s="274"/>
      <c r="J2197" s="274"/>
      <c r="K2197" s="274"/>
      <c r="L2197" s="274"/>
      <c r="M2197" s="274"/>
      <c r="N2197" s="274"/>
      <c r="P2197" s="275"/>
    </row>
    <row r="2198" ht="15.75" customHeight="1">
      <c r="B2198" s="282"/>
      <c r="H2198" s="273"/>
      <c r="I2198" s="274"/>
      <c r="J2198" s="274"/>
      <c r="K2198" s="274"/>
      <c r="L2198" s="274"/>
      <c r="M2198" s="274"/>
      <c r="N2198" s="274"/>
      <c r="P2198" s="275"/>
    </row>
    <row r="2199" ht="15.75" customHeight="1">
      <c r="B2199" s="282"/>
      <c r="H2199" s="273"/>
      <c r="I2199" s="274"/>
      <c r="J2199" s="274"/>
      <c r="K2199" s="274"/>
      <c r="L2199" s="274"/>
      <c r="M2199" s="274"/>
      <c r="N2199" s="274"/>
      <c r="P2199" s="275"/>
    </row>
    <row r="2200" ht="15.75" customHeight="1">
      <c r="B2200" s="282"/>
      <c r="H2200" s="273"/>
      <c r="I2200" s="274"/>
      <c r="J2200" s="274"/>
      <c r="K2200" s="274"/>
      <c r="L2200" s="274"/>
      <c r="M2200" s="274"/>
      <c r="N2200" s="274"/>
      <c r="P2200" s="275"/>
    </row>
    <row r="2201" ht="15.75" customHeight="1">
      <c r="B2201" s="282"/>
      <c r="H2201" s="273"/>
      <c r="I2201" s="274"/>
      <c r="J2201" s="274"/>
      <c r="K2201" s="274"/>
      <c r="L2201" s="274"/>
      <c r="M2201" s="274"/>
      <c r="N2201" s="274"/>
      <c r="P2201" s="275"/>
    </row>
    <row r="2202" ht="15.75" customHeight="1">
      <c r="B2202" s="282"/>
      <c r="H2202" s="273"/>
      <c r="I2202" s="274"/>
      <c r="J2202" s="274"/>
      <c r="K2202" s="274"/>
      <c r="L2202" s="274"/>
      <c r="M2202" s="274"/>
      <c r="N2202" s="274"/>
      <c r="P2202" s="275"/>
    </row>
    <row r="2203" ht="15.75" customHeight="1">
      <c r="B2203" s="282"/>
      <c r="H2203" s="273"/>
      <c r="I2203" s="274"/>
      <c r="J2203" s="274"/>
      <c r="K2203" s="274"/>
      <c r="L2203" s="274"/>
      <c r="M2203" s="274"/>
      <c r="N2203" s="274"/>
      <c r="P2203" s="275"/>
    </row>
    <row r="2204" ht="15.75" customHeight="1">
      <c r="B2204" s="282"/>
      <c r="H2204" s="273"/>
      <c r="I2204" s="274"/>
      <c r="J2204" s="274"/>
      <c r="K2204" s="274"/>
      <c r="L2204" s="274"/>
      <c r="M2204" s="274"/>
      <c r="N2204" s="274"/>
      <c r="P2204" s="275"/>
    </row>
    <row r="2205" ht="15.75" customHeight="1">
      <c r="B2205" s="282"/>
      <c r="H2205" s="273"/>
      <c r="I2205" s="274"/>
      <c r="J2205" s="274"/>
      <c r="K2205" s="274"/>
      <c r="L2205" s="274"/>
      <c r="M2205" s="274"/>
      <c r="N2205" s="274"/>
      <c r="P2205" s="275"/>
    </row>
    <row r="2206" ht="15.75" customHeight="1">
      <c r="B2206" s="282"/>
      <c r="H2206" s="273"/>
      <c r="I2206" s="274"/>
      <c r="J2206" s="274"/>
      <c r="K2206" s="274"/>
      <c r="L2206" s="274"/>
      <c r="M2206" s="274"/>
      <c r="N2206" s="274"/>
      <c r="P2206" s="275"/>
    </row>
    <row r="2207" ht="15.75" customHeight="1">
      <c r="B2207" s="282"/>
      <c r="H2207" s="273"/>
      <c r="I2207" s="274"/>
      <c r="J2207" s="274"/>
      <c r="K2207" s="274"/>
      <c r="L2207" s="274"/>
      <c r="M2207" s="274"/>
      <c r="N2207" s="274"/>
      <c r="P2207" s="275"/>
    </row>
    <row r="2208" ht="15.75" customHeight="1">
      <c r="B2208" s="282"/>
      <c r="H2208" s="273"/>
      <c r="I2208" s="274"/>
      <c r="J2208" s="274"/>
      <c r="K2208" s="274"/>
      <c r="L2208" s="274"/>
      <c r="M2208" s="274"/>
      <c r="N2208" s="274"/>
      <c r="P2208" s="275"/>
    </row>
    <row r="2209" ht="15.75" customHeight="1">
      <c r="B2209" s="282"/>
      <c r="H2209" s="273"/>
      <c r="I2209" s="274"/>
      <c r="J2209" s="274"/>
      <c r="K2209" s="274"/>
      <c r="L2209" s="274"/>
      <c r="M2209" s="274"/>
      <c r="N2209" s="274"/>
      <c r="P2209" s="275"/>
    </row>
    <row r="2210" ht="15.75" customHeight="1">
      <c r="B2210" s="282"/>
      <c r="H2210" s="273"/>
      <c r="I2210" s="274"/>
      <c r="J2210" s="274"/>
      <c r="K2210" s="274"/>
      <c r="L2210" s="274"/>
      <c r="M2210" s="274"/>
      <c r="N2210" s="274"/>
      <c r="P2210" s="275"/>
    </row>
    <row r="2211" ht="15.75" customHeight="1">
      <c r="B2211" s="282"/>
      <c r="H2211" s="273"/>
      <c r="I2211" s="274"/>
      <c r="J2211" s="274"/>
      <c r="K2211" s="274"/>
      <c r="L2211" s="274"/>
      <c r="M2211" s="274"/>
      <c r="N2211" s="274"/>
      <c r="P2211" s="275"/>
    </row>
    <row r="2212" ht="15.75" customHeight="1">
      <c r="B2212" s="282"/>
      <c r="H2212" s="273"/>
      <c r="I2212" s="274"/>
      <c r="J2212" s="274"/>
      <c r="K2212" s="274"/>
      <c r="L2212" s="274"/>
      <c r="M2212" s="274"/>
      <c r="N2212" s="274"/>
      <c r="P2212" s="275"/>
    </row>
    <row r="2213" ht="15.75" customHeight="1">
      <c r="B2213" s="282"/>
      <c r="H2213" s="273"/>
      <c r="I2213" s="274"/>
      <c r="J2213" s="274"/>
      <c r="K2213" s="274"/>
      <c r="L2213" s="274"/>
      <c r="M2213" s="274"/>
      <c r="N2213" s="274"/>
      <c r="P2213" s="275"/>
    </row>
    <row r="2214" ht="15.75" customHeight="1">
      <c r="B2214" s="282"/>
      <c r="H2214" s="273"/>
      <c r="I2214" s="274"/>
      <c r="J2214" s="274"/>
      <c r="K2214" s="274"/>
      <c r="L2214" s="274"/>
      <c r="M2214" s="274"/>
      <c r="N2214" s="274"/>
      <c r="P2214" s="275"/>
    </row>
    <row r="2215" ht="15.75" customHeight="1">
      <c r="B2215" s="282"/>
      <c r="H2215" s="273"/>
      <c r="I2215" s="274"/>
      <c r="J2215" s="274"/>
      <c r="K2215" s="274"/>
      <c r="L2215" s="274"/>
      <c r="M2215" s="274"/>
      <c r="N2215" s="274"/>
      <c r="P2215" s="275"/>
    </row>
    <row r="2216" ht="15.75" customHeight="1">
      <c r="B2216" s="282"/>
      <c r="H2216" s="273"/>
      <c r="I2216" s="274"/>
      <c r="J2216" s="274"/>
      <c r="K2216" s="274"/>
      <c r="L2216" s="274"/>
      <c r="M2216" s="274"/>
      <c r="N2216" s="274"/>
      <c r="P2216" s="275"/>
    </row>
    <row r="2217" ht="15.75" customHeight="1">
      <c r="B2217" s="282"/>
      <c r="H2217" s="273"/>
      <c r="I2217" s="274"/>
      <c r="J2217" s="274"/>
      <c r="K2217" s="274"/>
      <c r="L2217" s="274"/>
      <c r="M2217" s="274"/>
      <c r="N2217" s="274"/>
      <c r="P2217" s="275"/>
    </row>
    <row r="2218" ht="15.75" customHeight="1">
      <c r="B2218" s="282"/>
      <c r="H2218" s="273"/>
      <c r="I2218" s="274"/>
      <c r="J2218" s="274"/>
      <c r="K2218" s="274"/>
      <c r="L2218" s="274"/>
      <c r="M2218" s="274"/>
      <c r="N2218" s="274"/>
      <c r="P2218" s="275"/>
    </row>
    <row r="2219" ht="15.75" customHeight="1">
      <c r="B2219" s="282"/>
      <c r="H2219" s="273"/>
      <c r="I2219" s="274"/>
      <c r="J2219" s="274"/>
      <c r="K2219" s="274"/>
      <c r="L2219" s="274"/>
      <c r="M2219" s="274"/>
      <c r="N2219" s="274"/>
      <c r="P2219" s="275"/>
    </row>
    <row r="2220" ht="15.75" customHeight="1">
      <c r="B2220" s="282"/>
      <c r="H2220" s="273"/>
      <c r="I2220" s="274"/>
      <c r="J2220" s="274"/>
      <c r="K2220" s="274"/>
      <c r="L2220" s="274"/>
      <c r="M2220" s="274"/>
      <c r="N2220" s="274"/>
      <c r="P2220" s="275"/>
    </row>
    <row r="2221" ht="15.75" customHeight="1">
      <c r="B2221" s="282"/>
      <c r="H2221" s="273"/>
      <c r="I2221" s="274"/>
      <c r="J2221" s="274"/>
      <c r="K2221" s="274"/>
      <c r="L2221" s="274"/>
      <c r="M2221" s="274"/>
      <c r="N2221" s="274"/>
      <c r="P2221" s="275"/>
    </row>
    <row r="2222" ht="15.75" customHeight="1">
      <c r="B2222" s="282"/>
      <c r="H2222" s="273"/>
      <c r="I2222" s="274"/>
      <c r="J2222" s="274"/>
      <c r="K2222" s="274"/>
      <c r="L2222" s="274"/>
      <c r="M2222" s="274"/>
      <c r="N2222" s="274"/>
      <c r="P2222" s="275"/>
    </row>
    <row r="2223" ht="15.75" customHeight="1">
      <c r="B2223" s="282"/>
      <c r="H2223" s="273"/>
      <c r="I2223" s="274"/>
      <c r="J2223" s="274"/>
      <c r="K2223" s="274"/>
      <c r="L2223" s="274"/>
      <c r="M2223" s="274"/>
      <c r="N2223" s="274"/>
      <c r="P2223" s="275"/>
    </row>
    <row r="2224" ht="15.75" customHeight="1">
      <c r="B2224" s="282"/>
      <c r="H2224" s="273"/>
      <c r="I2224" s="274"/>
      <c r="J2224" s="274"/>
      <c r="K2224" s="274"/>
      <c r="L2224" s="274"/>
      <c r="M2224" s="274"/>
      <c r="N2224" s="274"/>
      <c r="P2224" s="275"/>
    </row>
    <row r="2225" ht="15.75" customHeight="1">
      <c r="B2225" s="282"/>
      <c r="H2225" s="273"/>
      <c r="I2225" s="274"/>
      <c r="J2225" s="274"/>
      <c r="K2225" s="274"/>
      <c r="L2225" s="274"/>
      <c r="M2225" s="274"/>
      <c r="N2225" s="274"/>
      <c r="P2225" s="275"/>
    </row>
    <row r="2226" ht="15.75" customHeight="1">
      <c r="B2226" s="282"/>
      <c r="H2226" s="273"/>
      <c r="I2226" s="274"/>
      <c r="J2226" s="274"/>
      <c r="K2226" s="274"/>
      <c r="L2226" s="274"/>
      <c r="M2226" s="274"/>
      <c r="N2226" s="274"/>
      <c r="P2226" s="275"/>
    </row>
    <row r="2227" ht="15.75" customHeight="1">
      <c r="B2227" s="282"/>
      <c r="H2227" s="273"/>
      <c r="I2227" s="274"/>
      <c r="J2227" s="274"/>
      <c r="K2227" s="274"/>
      <c r="L2227" s="274"/>
      <c r="M2227" s="274"/>
      <c r="N2227" s="274"/>
      <c r="P2227" s="275"/>
    </row>
    <row r="2228" ht="15.75" customHeight="1">
      <c r="B2228" s="282"/>
      <c r="H2228" s="273"/>
      <c r="I2228" s="274"/>
      <c r="J2228" s="274"/>
      <c r="K2228" s="274"/>
      <c r="L2228" s="274"/>
      <c r="M2228" s="274"/>
      <c r="N2228" s="274"/>
      <c r="P2228" s="275"/>
    </row>
    <row r="2229" ht="15.75" customHeight="1">
      <c r="B2229" s="282"/>
      <c r="H2229" s="273"/>
      <c r="I2229" s="274"/>
      <c r="J2229" s="274"/>
      <c r="K2229" s="274"/>
      <c r="L2229" s="274"/>
      <c r="M2229" s="274"/>
      <c r="N2229" s="274"/>
      <c r="P2229" s="275"/>
    </row>
    <row r="2230" ht="15.75" customHeight="1">
      <c r="B2230" s="282"/>
      <c r="H2230" s="273"/>
      <c r="I2230" s="274"/>
      <c r="J2230" s="274"/>
      <c r="K2230" s="274"/>
      <c r="L2230" s="274"/>
      <c r="M2230" s="274"/>
      <c r="N2230" s="274"/>
      <c r="P2230" s="275"/>
    </row>
    <row r="2231" ht="15.75" customHeight="1">
      <c r="B2231" s="282"/>
      <c r="H2231" s="273"/>
      <c r="I2231" s="274"/>
      <c r="J2231" s="274"/>
      <c r="K2231" s="274"/>
      <c r="L2231" s="274"/>
      <c r="M2231" s="274"/>
      <c r="N2231" s="274"/>
      <c r="P2231" s="275"/>
    </row>
    <row r="2232" ht="15.75" customHeight="1">
      <c r="B2232" s="282"/>
      <c r="H2232" s="273"/>
      <c r="I2232" s="274"/>
      <c r="J2232" s="274"/>
      <c r="K2232" s="274"/>
      <c r="L2232" s="274"/>
      <c r="M2232" s="274"/>
      <c r="N2232" s="274"/>
      <c r="P2232" s="275"/>
    </row>
    <row r="2233" ht="15.75" customHeight="1">
      <c r="B2233" s="282"/>
      <c r="H2233" s="273"/>
      <c r="I2233" s="274"/>
      <c r="J2233" s="274"/>
      <c r="K2233" s="274"/>
      <c r="L2233" s="274"/>
      <c r="M2233" s="274"/>
      <c r="N2233" s="274"/>
      <c r="P2233" s="275"/>
    </row>
    <row r="2234" ht="15.75" customHeight="1">
      <c r="B2234" s="282"/>
      <c r="H2234" s="273"/>
      <c r="I2234" s="274"/>
      <c r="J2234" s="274"/>
      <c r="K2234" s="274"/>
      <c r="L2234" s="274"/>
      <c r="M2234" s="274"/>
      <c r="N2234" s="274"/>
      <c r="P2234" s="275"/>
    </row>
    <row r="2235" ht="15.75" customHeight="1">
      <c r="B2235" s="282"/>
      <c r="H2235" s="273"/>
      <c r="I2235" s="274"/>
      <c r="J2235" s="274"/>
      <c r="K2235" s="274"/>
      <c r="L2235" s="274"/>
      <c r="M2235" s="274"/>
      <c r="N2235" s="274"/>
      <c r="P2235" s="275"/>
    </row>
    <row r="2236" ht="15.75" customHeight="1">
      <c r="B2236" s="282"/>
      <c r="H2236" s="273"/>
      <c r="I2236" s="274"/>
      <c r="J2236" s="274"/>
      <c r="K2236" s="274"/>
      <c r="L2236" s="274"/>
      <c r="M2236" s="274"/>
      <c r="N2236" s="274"/>
      <c r="P2236" s="275"/>
    </row>
    <row r="2237" ht="15.75" customHeight="1">
      <c r="B2237" s="282"/>
      <c r="H2237" s="273"/>
      <c r="I2237" s="274"/>
      <c r="J2237" s="274"/>
      <c r="K2237" s="274"/>
      <c r="L2237" s="274"/>
      <c r="M2237" s="274"/>
      <c r="N2237" s="274"/>
      <c r="P2237" s="275"/>
    </row>
    <row r="2238" ht="15.75" customHeight="1">
      <c r="B2238" s="282"/>
      <c r="H2238" s="273"/>
      <c r="I2238" s="274"/>
      <c r="J2238" s="274"/>
      <c r="K2238" s="274"/>
      <c r="L2238" s="274"/>
      <c r="M2238" s="274"/>
      <c r="N2238" s="274"/>
      <c r="P2238" s="275"/>
    </row>
    <row r="2239" ht="15.75" customHeight="1">
      <c r="B2239" s="282"/>
      <c r="H2239" s="273"/>
      <c r="I2239" s="274"/>
      <c r="J2239" s="274"/>
      <c r="K2239" s="274"/>
      <c r="L2239" s="274"/>
      <c r="M2239" s="274"/>
      <c r="N2239" s="274"/>
      <c r="P2239" s="275"/>
    </row>
    <row r="2240" ht="15.75" customHeight="1">
      <c r="B2240" s="282"/>
      <c r="H2240" s="273"/>
      <c r="I2240" s="274"/>
      <c r="J2240" s="274"/>
      <c r="K2240" s="274"/>
      <c r="L2240" s="274"/>
      <c r="M2240" s="274"/>
      <c r="N2240" s="274"/>
      <c r="P2240" s="275"/>
    </row>
    <row r="2241" ht="15.75" customHeight="1">
      <c r="B2241" s="282"/>
      <c r="H2241" s="273"/>
      <c r="I2241" s="274"/>
      <c r="J2241" s="274"/>
      <c r="K2241" s="274"/>
      <c r="L2241" s="274"/>
      <c r="M2241" s="274"/>
      <c r="N2241" s="274"/>
      <c r="P2241" s="275"/>
    </row>
    <row r="2242" ht="15.75" customHeight="1">
      <c r="B2242" s="282"/>
      <c r="H2242" s="273"/>
      <c r="I2242" s="274"/>
      <c r="J2242" s="274"/>
      <c r="K2242" s="274"/>
      <c r="L2242" s="274"/>
      <c r="M2242" s="274"/>
      <c r="N2242" s="274"/>
      <c r="P2242" s="275"/>
    </row>
    <row r="2243" ht="15.75" customHeight="1">
      <c r="B2243" s="282"/>
      <c r="H2243" s="273"/>
      <c r="I2243" s="274"/>
      <c r="J2243" s="274"/>
      <c r="K2243" s="274"/>
      <c r="L2243" s="274"/>
      <c r="M2243" s="274"/>
      <c r="N2243" s="274"/>
      <c r="P2243" s="275"/>
    </row>
    <row r="2244" ht="15.75" customHeight="1">
      <c r="B2244" s="282"/>
      <c r="H2244" s="273"/>
      <c r="I2244" s="274"/>
      <c r="J2244" s="274"/>
      <c r="K2244" s="274"/>
      <c r="L2244" s="274"/>
      <c r="M2244" s="274"/>
      <c r="N2244" s="274"/>
      <c r="P2244" s="275"/>
    </row>
    <row r="2245" ht="15.75" customHeight="1">
      <c r="B2245" s="282"/>
      <c r="H2245" s="273"/>
      <c r="I2245" s="274"/>
      <c r="J2245" s="274"/>
      <c r="K2245" s="274"/>
      <c r="L2245" s="274"/>
      <c r="M2245" s="274"/>
      <c r="N2245" s="274"/>
      <c r="P2245" s="275"/>
    </row>
    <row r="2246" ht="15.75" customHeight="1">
      <c r="B2246" s="282"/>
      <c r="H2246" s="273"/>
      <c r="I2246" s="274"/>
      <c r="J2246" s="274"/>
      <c r="K2246" s="274"/>
      <c r="L2246" s="274"/>
      <c r="M2246" s="274"/>
      <c r="N2246" s="274"/>
      <c r="P2246" s="275"/>
    </row>
    <row r="2247" ht="15.75" customHeight="1">
      <c r="B2247" s="282"/>
      <c r="H2247" s="273"/>
      <c r="I2247" s="274"/>
      <c r="J2247" s="274"/>
      <c r="K2247" s="274"/>
      <c r="L2247" s="274"/>
      <c r="M2247" s="274"/>
      <c r="N2247" s="274"/>
      <c r="P2247" s="275"/>
    </row>
    <row r="2248" ht="15.75" customHeight="1">
      <c r="B2248" s="282"/>
      <c r="H2248" s="273"/>
      <c r="I2248" s="274"/>
      <c r="J2248" s="274"/>
      <c r="K2248" s="274"/>
      <c r="L2248" s="274"/>
      <c r="M2248" s="274"/>
      <c r="N2248" s="274"/>
      <c r="P2248" s="275"/>
    </row>
    <row r="2249" ht="15.75" customHeight="1">
      <c r="B2249" s="282"/>
      <c r="H2249" s="273"/>
      <c r="I2249" s="274"/>
      <c r="J2249" s="274"/>
      <c r="K2249" s="274"/>
      <c r="L2249" s="274"/>
      <c r="M2249" s="274"/>
      <c r="N2249" s="274"/>
      <c r="P2249" s="275"/>
    </row>
    <row r="2250" ht="15.75" customHeight="1">
      <c r="B2250" s="282"/>
      <c r="H2250" s="273"/>
      <c r="I2250" s="274"/>
      <c r="J2250" s="274"/>
      <c r="K2250" s="274"/>
      <c r="L2250" s="274"/>
      <c r="M2250" s="274"/>
      <c r="N2250" s="274"/>
      <c r="P2250" s="275"/>
    </row>
    <row r="2251" ht="15.75" customHeight="1">
      <c r="B2251" s="282"/>
      <c r="H2251" s="273"/>
      <c r="I2251" s="274"/>
      <c r="J2251" s="274"/>
      <c r="K2251" s="274"/>
      <c r="L2251" s="274"/>
      <c r="M2251" s="274"/>
      <c r="N2251" s="274"/>
      <c r="P2251" s="275"/>
    </row>
    <row r="2252" ht="15.75" customHeight="1">
      <c r="B2252" s="282"/>
      <c r="H2252" s="273"/>
      <c r="I2252" s="274"/>
      <c r="J2252" s="274"/>
      <c r="K2252" s="274"/>
      <c r="L2252" s="274"/>
      <c r="M2252" s="274"/>
      <c r="N2252" s="274"/>
      <c r="P2252" s="275"/>
    </row>
    <row r="2253" ht="15.75" customHeight="1">
      <c r="B2253" s="282"/>
      <c r="H2253" s="273"/>
      <c r="I2253" s="274"/>
      <c r="J2253" s="274"/>
      <c r="K2253" s="274"/>
      <c r="L2253" s="274"/>
      <c r="M2253" s="274"/>
      <c r="N2253" s="274"/>
      <c r="P2253" s="275"/>
    </row>
    <row r="2254" ht="15.75" customHeight="1">
      <c r="B2254" s="282"/>
      <c r="H2254" s="273"/>
      <c r="I2254" s="274"/>
      <c r="J2254" s="274"/>
      <c r="K2254" s="274"/>
      <c r="L2254" s="274"/>
      <c r="M2254" s="274"/>
      <c r="N2254" s="274"/>
      <c r="P2254" s="275"/>
    </row>
    <row r="2255" ht="15.75" customHeight="1">
      <c r="B2255" s="282"/>
      <c r="H2255" s="273"/>
      <c r="I2255" s="274"/>
      <c r="J2255" s="274"/>
      <c r="K2255" s="274"/>
      <c r="L2255" s="274"/>
      <c r="M2255" s="274"/>
      <c r="N2255" s="274"/>
      <c r="P2255" s="275"/>
    </row>
    <row r="2256" ht="15.75" customHeight="1">
      <c r="B2256" s="282"/>
      <c r="H2256" s="273"/>
      <c r="I2256" s="274"/>
      <c r="J2256" s="274"/>
      <c r="K2256" s="274"/>
      <c r="L2256" s="274"/>
      <c r="M2256" s="274"/>
      <c r="N2256" s="274"/>
      <c r="P2256" s="275"/>
    </row>
    <row r="2257" ht="15.75" customHeight="1">
      <c r="B2257" s="282"/>
      <c r="H2257" s="273"/>
      <c r="I2257" s="274"/>
      <c r="J2257" s="274"/>
      <c r="K2257" s="274"/>
      <c r="L2257" s="274"/>
      <c r="M2257" s="274"/>
      <c r="N2257" s="274"/>
      <c r="P2257" s="275"/>
    </row>
    <row r="2258" ht="15.75" customHeight="1">
      <c r="B2258" s="282"/>
      <c r="H2258" s="273"/>
      <c r="I2258" s="274"/>
      <c r="J2258" s="274"/>
      <c r="K2258" s="274"/>
      <c r="L2258" s="274"/>
      <c r="M2258" s="274"/>
      <c r="N2258" s="274"/>
      <c r="P2258" s="275"/>
    </row>
    <row r="2259" ht="15.75" customHeight="1">
      <c r="B2259" s="282"/>
      <c r="H2259" s="273"/>
      <c r="I2259" s="274"/>
      <c r="J2259" s="274"/>
      <c r="K2259" s="274"/>
      <c r="L2259" s="274"/>
      <c r="M2259" s="274"/>
      <c r="N2259" s="274"/>
      <c r="P2259" s="275"/>
    </row>
    <row r="2260" ht="15.75" customHeight="1">
      <c r="B2260" s="282"/>
      <c r="H2260" s="273"/>
      <c r="I2260" s="274"/>
      <c r="J2260" s="274"/>
      <c r="K2260" s="274"/>
      <c r="L2260" s="274"/>
      <c r="M2260" s="274"/>
      <c r="N2260" s="274"/>
      <c r="P2260" s="275"/>
    </row>
    <row r="2261" ht="15.75" customHeight="1">
      <c r="B2261" s="282"/>
      <c r="H2261" s="273"/>
      <c r="I2261" s="274"/>
      <c r="J2261" s="274"/>
      <c r="K2261" s="274"/>
      <c r="L2261" s="274"/>
      <c r="M2261" s="274"/>
      <c r="N2261" s="274"/>
      <c r="P2261" s="275"/>
    </row>
    <row r="2262" ht="15.75" customHeight="1">
      <c r="B2262" s="282"/>
      <c r="H2262" s="273"/>
      <c r="I2262" s="274"/>
      <c r="J2262" s="274"/>
      <c r="K2262" s="274"/>
      <c r="L2262" s="274"/>
      <c r="M2262" s="274"/>
      <c r="N2262" s="274"/>
      <c r="P2262" s="275"/>
    </row>
    <row r="2263" ht="15.75" customHeight="1">
      <c r="B2263" s="282"/>
      <c r="H2263" s="273"/>
      <c r="I2263" s="274"/>
      <c r="J2263" s="274"/>
      <c r="K2263" s="274"/>
      <c r="L2263" s="274"/>
      <c r="M2263" s="274"/>
      <c r="N2263" s="274"/>
      <c r="P2263" s="275"/>
    </row>
    <row r="2264" ht="15.75" customHeight="1">
      <c r="B2264" s="282"/>
      <c r="H2264" s="273"/>
      <c r="I2264" s="274"/>
      <c r="J2264" s="274"/>
      <c r="K2264" s="274"/>
      <c r="L2264" s="274"/>
      <c r="M2264" s="274"/>
      <c r="N2264" s="274"/>
      <c r="P2264" s="275"/>
    </row>
    <row r="2265" ht="15.75" customHeight="1">
      <c r="B2265" s="282"/>
      <c r="H2265" s="273"/>
      <c r="I2265" s="274"/>
      <c r="J2265" s="274"/>
      <c r="K2265" s="274"/>
      <c r="L2265" s="274"/>
      <c r="M2265" s="274"/>
      <c r="N2265" s="274"/>
      <c r="P2265" s="275"/>
    </row>
    <row r="2266" ht="15.75" customHeight="1">
      <c r="B2266" s="282"/>
      <c r="H2266" s="273"/>
      <c r="I2266" s="274"/>
      <c r="J2266" s="274"/>
      <c r="K2266" s="274"/>
      <c r="L2266" s="274"/>
      <c r="M2266" s="274"/>
      <c r="N2266" s="274"/>
      <c r="P2266" s="275"/>
    </row>
    <row r="2267" ht="15.75" customHeight="1">
      <c r="B2267" s="282"/>
      <c r="H2267" s="273"/>
      <c r="I2267" s="274"/>
      <c r="J2267" s="274"/>
      <c r="K2267" s="274"/>
      <c r="L2267" s="274"/>
      <c r="M2267" s="274"/>
      <c r="N2267" s="274"/>
      <c r="P2267" s="275"/>
    </row>
    <row r="2268" ht="15.75" customHeight="1">
      <c r="B2268" s="282"/>
      <c r="H2268" s="273"/>
      <c r="I2268" s="274"/>
      <c r="J2268" s="274"/>
      <c r="K2268" s="274"/>
      <c r="L2268" s="274"/>
      <c r="M2268" s="274"/>
      <c r="N2268" s="274"/>
      <c r="P2268" s="275"/>
    </row>
    <row r="2269" ht="15.75" customHeight="1">
      <c r="B2269" s="282"/>
      <c r="H2269" s="273"/>
      <c r="I2269" s="274"/>
      <c r="J2269" s="274"/>
      <c r="K2269" s="274"/>
      <c r="L2269" s="274"/>
      <c r="M2269" s="274"/>
      <c r="N2269" s="274"/>
      <c r="P2269" s="275"/>
    </row>
    <row r="2270" ht="15.75" customHeight="1">
      <c r="B2270" s="282"/>
      <c r="H2270" s="273"/>
      <c r="I2270" s="274"/>
      <c r="J2270" s="274"/>
      <c r="K2270" s="274"/>
      <c r="L2270" s="274"/>
      <c r="M2270" s="274"/>
      <c r="N2270" s="274"/>
      <c r="P2270" s="275"/>
    </row>
    <row r="2271" ht="15.75" customHeight="1">
      <c r="B2271" s="282"/>
      <c r="H2271" s="273"/>
      <c r="I2271" s="274"/>
      <c r="J2271" s="274"/>
      <c r="K2271" s="274"/>
      <c r="L2271" s="274"/>
      <c r="M2271" s="274"/>
      <c r="N2271" s="274"/>
      <c r="P2271" s="275"/>
    </row>
    <row r="2272" ht="15.75" customHeight="1">
      <c r="B2272" s="282"/>
      <c r="H2272" s="273"/>
      <c r="I2272" s="274"/>
      <c r="J2272" s="274"/>
      <c r="K2272" s="274"/>
      <c r="L2272" s="274"/>
      <c r="M2272" s="274"/>
      <c r="N2272" s="274"/>
      <c r="P2272" s="275"/>
    </row>
    <row r="2273" ht="15.75" customHeight="1">
      <c r="B2273" s="282"/>
      <c r="H2273" s="273"/>
      <c r="I2273" s="274"/>
      <c r="J2273" s="274"/>
      <c r="K2273" s="274"/>
      <c r="L2273" s="274"/>
      <c r="M2273" s="274"/>
      <c r="N2273" s="274"/>
      <c r="P2273" s="275"/>
    </row>
    <row r="2274" ht="15.75" customHeight="1">
      <c r="B2274" s="282"/>
      <c r="H2274" s="273"/>
      <c r="I2274" s="274"/>
      <c r="J2274" s="274"/>
      <c r="K2274" s="274"/>
      <c r="L2274" s="274"/>
      <c r="M2274" s="274"/>
      <c r="N2274" s="274"/>
      <c r="P2274" s="275"/>
    </row>
    <row r="2275" ht="15.75" customHeight="1">
      <c r="B2275" s="282"/>
      <c r="H2275" s="273"/>
      <c r="I2275" s="274"/>
      <c r="J2275" s="274"/>
      <c r="K2275" s="274"/>
      <c r="L2275" s="274"/>
      <c r="M2275" s="274"/>
      <c r="N2275" s="274"/>
      <c r="P2275" s="275"/>
    </row>
    <row r="2276" ht="15.75" customHeight="1">
      <c r="B2276" s="282"/>
      <c r="H2276" s="273"/>
      <c r="I2276" s="274"/>
      <c r="J2276" s="274"/>
      <c r="K2276" s="274"/>
      <c r="L2276" s="274"/>
      <c r="M2276" s="274"/>
      <c r="N2276" s="274"/>
      <c r="P2276" s="275"/>
    </row>
    <row r="2277" ht="15.75" customHeight="1">
      <c r="B2277" s="282"/>
      <c r="H2277" s="273"/>
      <c r="I2277" s="274"/>
      <c r="J2277" s="274"/>
      <c r="K2277" s="274"/>
      <c r="L2277" s="274"/>
      <c r="M2277" s="274"/>
      <c r="N2277" s="274"/>
      <c r="P2277" s="275"/>
    </row>
    <row r="2278" ht="15.75" customHeight="1">
      <c r="B2278" s="282"/>
      <c r="H2278" s="273"/>
      <c r="I2278" s="274"/>
      <c r="J2278" s="274"/>
      <c r="K2278" s="274"/>
      <c r="L2278" s="274"/>
      <c r="M2278" s="274"/>
      <c r="N2278" s="274"/>
      <c r="P2278" s="275"/>
    </row>
    <row r="2279" ht="15.75" customHeight="1">
      <c r="B2279" s="282"/>
      <c r="H2279" s="273"/>
      <c r="I2279" s="274"/>
      <c r="J2279" s="274"/>
      <c r="K2279" s="274"/>
      <c r="L2279" s="274"/>
      <c r="M2279" s="274"/>
      <c r="N2279" s="274"/>
      <c r="P2279" s="275"/>
    </row>
    <row r="2280" ht="15.75" customHeight="1">
      <c r="B2280" s="282"/>
      <c r="H2280" s="273"/>
      <c r="I2280" s="274"/>
      <c r="J2280" s="274"/>
      <c r="K2280" s="274"/>
      <c r="L2280" s="274"/>
      <c r="M2280" s="274"/>
      <c r="N2280" s="274"/>
      <c r="P2280" s="275"/>
    </row>
    <row r="2281" ht="15.75" customHeight="1">
      <c r="B2281" s="282"/>
      <c r="H2281" s="273"/>
      <c r="I2281" s="274"/>
      <c r="J2281" s="274"/>
      <c r="K2281" s="274"/>
      <c r="L2281" s="274"/>
      <c r="M2281" s="274"/>
      <c r="N2281" s="274"/>
      <c r="P2281" s="275"/>
    </row>
    <row r="2282" ht="15.75" customHeight="1">
      <c r="B2282" s="282"/>
      <c r="H2282" s="273"/>
      <c r="I2282" s="274"/>
      <c r="J2282" s="274"/>
      <c r="K2282" s="274"/>
      <c r="L2282" s="274"/>
      <c r="M2282" s="274"/>
      <c r="N2282" s="274"/>
      <c r="P2282" s="275"/>
    </row>
    <row r="2283" ht="15.75" customHeight="1">
      <c r="B2283" s="282"/>
      <c r="H2283" s="273"/>
      <c r="I2283" s="274"/>
      <c r="J2283" s="274"/>
      <c r="K2283" s="274"/>
      <c r="L2283" s="274"/>
      <c r="M2283" s="274"/>
      <c r="N2283" s="274"/>
      <c r="P2283" s="275"/>
    </row>
    <row r="2284" ht="15.75" customHeight="1">
      <c r="B2284" s="282"/>
      <c r="H2284" s="273"/>
      <c r="I2284" s="274"/>
      <c r="J2284" s="274"/>
      <c r="K2284" s="274"/>
      <c r="L2284" s="274"/>
      <c r="M2284" s="274"/>
      <c r="N2284" s="274"/>
      <c r="P2284" s="275"/>
    </row>
    <row r="2285" ht="15.75" customHeight="1">
      <c r="B2285" s="282"/>
      <c r="H2285" s="273"/>
      <c r="I2285" s="274"/>
      <c r="J2285" s="274"/>
      <c r="K2285" s="274"/>
      <c r="L2285" s="274"/>
      <c r="M2285" s="274"/>
      <c r="N2285" s="274"/>
      <c r="P2285" s="275"/>
    </row>
    <row r="2286" ht="15.75" customHeight="1">
      <c r="B2286" s="282"/>
      <c r="H2286" s="273"/>
      <c r="I2286" s="274"/>
      <c r="J2286" s="274"/>
      <c r="K2286" s="274"/>
      <c r="L2286" s="274"/>
      <c r="M2286" s="274"/>
      <c r="N2286" s="274"/>
      <c r="P2286" s="275"/>
    </row>
    <row r="2287" ht="15.75" customHeight="1">
      <c r="B2287" s="282"/>
      <c r="H2287" s="273"/>
      <c r="I2287" s="274"/>
      <c r="J2287" s="274"/>
      <c r="K2287" s="274"/>
      <c r="L2287" s="274"/>
      <c r="M2287" s="274"/>
      <c r="N2287" s="274"/>
      <c r="P2287" s="275"/>
    </row>
    <row r="2288" ht="15.75" customHeight="1">
      <c r="B2288" s="282"/>
      <c r="H2288" s="273"/>
      <c r="I2288" s="274"/>
      <c r="J2288" s="274"/>
      <c r="K2288" s="274"/>
      <c r="L2288" s="274"/>
      <c r="M2288" s="274"/>
      <c r="N2288" s="274"/>
      <c r="P2288" s="275"/>
    </row>
    <row r="2289" ht="15.75" customHeight="1">
      <c r="B2289" s="282"/>
      <c r="H2289" s="273"/>
      <c r="I2289" s="274"/>
      <c r="J2289" s="274"/>
      <c r="K2289" s="274"/>
      <c r="L2289" s="274"/>
      <c r="M2289" s="274"/>
      <c r="N2289" s="274"/>
      <c r="P2289" s="275"/>
    </row>
    <row r="2290" ht="15.75" customHeight="1">
      <c r="B2290" s="282"/>
      <c r="H2290" s="273"/>
      <c r="I2290" s="274"/>
      <c r="J2290" s="274"/>
      <c r="K2290" s="274"/>
      <c r="L2290" s="274"/>
      <c r="M2290" s="274"/>
      <c r="N2290" s="274"/>
      <c r="P2290" s="275"/>
    </row>
    <row r="2291" ht="15.75" customHeight="1">
      <c r="B2291" s="282"/>
      <c r="H2291" s="273"/>
      <c r="I2291" s="274"/>
      <c r="J2291" s="274"/>
      <c r="K2291" s="274"/>
      <c r="L2291" s="274"/>
      <c r="M2291" s="274"/>
      <c r="N2291" s="274"/>
      <c r="P2291" s="275"/>
    </row>
    <row r="2292" ht="15.75" customHeight="1">
      <c r="B2292" s="282"/>
      <c r="H2292" s="273"/>
      <c r="I2292" s="274"/>
      <c r="J2292" s="274"/>
      <c r="K2292" s="274"/>
      <c r="L2292" s="274"/>
      <c r="M2292" s="274"/>
      <c r="N2292" s="274"/>
      <c r="P2292" s="275"/>
    </row>
    <row r="2293" ht="15.75" customHeight="1">
      <c r="B2293" s="282"/>
      <c r="H2293" s="273"/>
      <c r="I2293" s="274"/>
      <c r="J2293" s="274"/>
      <c r="K2293" s="274"/>
      <c r="L2293" s="274"/>
      <c r="M2293" s="274"/>
      <c r="N2293" s="274"/>
      <c r="P2293" s="275"/>
    </row>
    <row r="2294" ht="15.75" customHeight="1">
      <c r="B2294" s="282"/>
      <c r="H2294" s="273"/>
      <c r="I2294" s="274"/>
      <c r="J2294" s="274"/>
      <c r="K2294" s="274"/>
      <c r="L2294" s="274"/>
      <c r="M2294" s="274"/>
      <c r="N2294" s="274"/>
      <c r="P2294" s="275"/>
    </row>
    <row r="2295" ht="15.75" customHeight="1">
      <c r="B2295" s="282"/>
      <c r="H2295" s="273"/>
      <c r="I2295" s="274"/>
      <c r="J2295" s="274"/>
      <c r="K2295" s="274"/>
      <c r="L2295" s="274"/>
      <c r="M2295" s="274"/>
      <c r="N2295" s="274"/>
      <c r="P2295" s="275"/>
    </row>
    <row r="2296" ht="15.75" customHeight="1">
      <c r="B2296" s="282"/>
      <c r="H2296" s="273"/>
      <c r="I2296" s="274"/>
      <c r="J2296" s="274"/>
      <c r="K2296" s="274"/>
      <c r="L2296" s="274"/>
      <c r="M2296" s="274"/>
      <c r="N2296" s="274"/>
      <c r="P2296" s="275"/>
    </row>
    <row r="2297" ht="15.75" customHeight="1">
      <c r="B2297" s="282"/>
      <c r="H2297" s="273"/>
      <c r="I2297" s="274"/>
      <c r="J2297" s="274"/>
      <c r="K2297" s="274"/>
      <c r="L2297" s="274"/>
      <c r="M2297" s="274"/>
      <c r="N2297" s="274"/>
      <c r="P2297" s="275"/>
    </row>
    <row r="2298" ht="15.75" customHeight="1">
      <c r="B2298" s="282"/>
      <c r="H2298" s="273"/>
      <c r="I2298" s="274"/>
      <c r="J2298" s="274"/>
      <c r="K2298" s="274"/>
      <c r="L2298" s="274"/>
      <c r="M2298" s="274"/>
      <c r="N2298" s="274"/>
      <c r="P2298" s="275"/>
    </row>
    <row r="2299" ht="15.75" customHeight="1">
      <c r="B2299" s="282"/>
      <c r="H2299" s="273"/>
      <c r="I2299" s="274"/>
      <c r="J2299" s="274"/>
      <c r="K2299" s="274"/>
      <c r="L2299" s="274"/>
      <c r="M2299" s="274"/>
      <c r="N2299" s="274"/>
      <c r="P2299" s="275"/>
    </row>
    <row r="2300" ht="15.75" customHeight="1">
      <c r="B2300" s="282"/>
      <c r="H2300" s="273"/>
      <c r="I2300" s="274"/>
      <c r="J2300" s="274"/>
      <c r="K2300" s="274"/>
      <c r="L2300" s="274"/>
      <c r="M2300" s="274"/>
      <c r="N2300" s="274"/>
      <c r="P2300" s="275"/>
    </row>
    <row r="2301" ht="15.75" customHeight="1">
      <c r="B2301" s="282"/>
      <c r="H2301" s="273"/>
      <c r="I2301" s="274"/>
      <c r="J2301" s="274"/>
      <c r="K2301" s="274"/>
      <c r="L2301" s="274"/>
      <c r="M2301" s="274"/>
      <c r="N2301" s="274"/>
      <c r="P2301" s="275"/>
    </row>
    <row r="2302" ht="15.75" customHeight="1">
      <c r="B2302" s="282"/>
      <c r="H2302" s="273"/>
      <c r="I2302" s="274"/>
      <c r="J2302" s="274"/>
      <c r="K2302" s="274"/>
      <c r="L2302" s="274"/>
      <c r="M2302" s="274"/>
      <c r="N2302" s="274"/>
      <c r="P2302" s="275"/>
    </row>
    <row r="2303" ht="15.75" customHeight="1">
      <c r="B2303" s="282"/>
      <c r="H2303" s="273"/>
      <c r="I2303" s="274"/>
      <c r="J2303" s="274"/>
      <c r="K2303" s="274"/>
      <c r="L2303" s="274"/>
      <c r="M2303" s="274"/>
      <c r="N2303" s="274"/>
      <c r="P2303" s="275"/>
    </row>
    <row r="2304" ht="15.75" customHeight="1">
      <c r="B2304" s="282"/>
      <c r="H2304" s="273"/>
      <c r="I2304" s="274"/>
      <c r="J2304" s="274"/>
      <c r="K2304" s="274"/>
      <c r="L2304" s="274"/>
      <c r="M2304" s="274"/>
      <c r="N2304" s="274"/>
      <c r="P2304" s="275"/>
    </row>
    <row r="2305" ht="15.75" customHeight="1">
      <c r="B2305" s="282"/>
      <c r="H2305" s="273"/>
      <c r="I2305" s="274"/>
      <c r="J2305" s="274"/>
      <c r="K2305" s="274"/>
      <c r="L2305" s="274"/>
      <c r="M2305" s="274"/>
      <c r="N2305" s="274"/>
      <c r="P2305" s="275"/>
    </row>
    <row r="2306" ht="15.75" customHeight="1">
      <c r="B2306" s="282"/>
      <c r="H2306" s="273"/>
      <c r="I2306" s="274"/>
      <c r="J2306" s="274"/>
      <c r="K2306" s="274"/>
      <c r="L2306" s="274"/>
      <c r="M2306" s="274"/>
      <c r="N2306" s="274"/>
      <c r="P2306" s="275"/>
    </row>
    <row r="2307" ht="15.75" customHeight="1">
      <c r="B2307" s="282"/>
      <c r="H2307" s="273"/>
      <c r="I2307" s="274"/>
      <c r="J2307" s="274"/>
      <c r="K2307" s="274"/>
      <c r="L2307" s="274"/>
      <c r="M2307" s="274"/>
      <c r="N2307" s="274"/>
      <c r="P2307" s="275"/>
    </row>
    <row r="2308" ht="15.75" customHeight="1">
      <c r="B2308" s="282"/>
      <c r="H2308" s="273"/>
      <c r="I2308" s="274"/>
      <c r="J2308" s="274"/>
      <c r="K2308" s="274"/>
      <c r="L2308" s="274"/>
      <c r="M2308" s="274"/>
      <c r="N2308" s="274"/>
      <c r="P2308" s="275"/>
    </row>
    <row r="2309" ht="15.75" customHeight="1">
      <c r="B2309" s="282"/>
      <c r="H2309" s="273"/>
      <c r="I2309" s="274"/>
      <c r="J2309" s="274"/>
      <c r="K2309" s="274"/>
      <c r="L2309" s="274"/>
      <c r="M2309" s="274"/>
      <c r="N2309" s="274"/>
      <c r="P2309" s="275"/>
    </row>
    <row r="2310" ht="15.75" customHeight="1">
      <c r="B2310" s="282"/>
      <c r="H2310" s="273"/>
      <c r="I2310" s="274"/>
      <c r="J2310" s="274"/>
      <c r="K2310" s="274"/>
      <c r="L2310" s="274"/>
      <c r="M2310" s="274"/>
      <c r="N2310" s="274"/>
      <c r="P2310" s="275"/>
    </row>
    <row r="2311" ht="15.75" customHeight="1">
      <c r="B2311" s="282"/>
      <c r="H2311" s="273"/>
      <c r="I2311" s="274"/>
      <c r="J2311" s="274"/>
      <c r="K2311" s="274"/>
      <c r="L2311" s="274"/>
      <c r="M2311" s="274"/>
      <c r="N2311" s="274"/>
      <c r="P2311" s="275"/>
    </row>
    <row r="2312" ht="15.75" customHeight="1">
      <c r="B2312" s="282"/>
      <c r="H2312" s="273"/>
      <c r="I2312" s="274"/>
      <c r="J2312" s="274"/>
      <c r="K2312" s="274"/>
      <c r="L2312" s="274"/>
      <c r="M2312" s="274"/>
      <c r="N2312" s="274"/>
      <c r="P2312" s="275"/>
    </row>
    <row r="2313" ht="15.75" customHeight="1">
      <c r="B2313" s="282"/>
      <c r="H2313" s="273"/>
      <c r="I2313" s="274"/>
      <c r="J2313" s="274"/>
      <c r="K2313" s="274"/>
      <c r="L2313" s="274"/>
      <c r="M2313" s="274"/>
      <c r="N2313" s="274"/>
      <c r="P2313" s="275"/>
    </row>
    <row r="2314" ht="15.75" customHeight="1">
      <c r="B2314" s="282"/>
      <c r="H2314" s="273"/>
      <c r="I2314" s="274"/>
      <c r="J2314" s="274"/>
      <c r="K2314" s="274"/>
      <c r="L2314" s="274"/>
      <c r="M2314" s="274"/>
      <c r="N2314" s="274"/>
      <c r="P2314" s="275"/>
    </row>
    <row r="2315" ht="15.75" customHeight="1">
      <c r="B2315" s="282"/>
      <c r="H2315" s="273"/>
      <c r="I2315" s="274"/>
      <c r="J2315" s="274"/>
      <c r="K2315" s="274"/>
      <c r="L2315" s="274"/>
      <c r="M2315" s="274"/>
      <c r="N2315" s="274"/>
      <c r="P2315" s="275"/>
    </row>
    <row r="2316" ht="15.75" customHeight="1">
      <c r="B2316" s="282"/>
      <c r="H2316" s="273"/>
      <c r="I2316" s="274"/>
      <c r="J2316" s="274"/>
      <c r="K2316" s="274"/>
      <c r="L2316" s="274"/>
      <c r="M2316" s="274"/>
      <c r="N2316" s="274"/>
      <c r="P2316" s="275"/>
    </row>
    <row r="2317" ht="15.75" customHeight="1">
      <c r="B2317" s="282"/>
      <c r="H2317" s="273"/>
      <c r="I2317" s="274"/>
      <c r="J2317" s="274"/>
      <c r="K2317" s="274"/>
      <c r="L2317" s="274"/>
      <c r="M2317" s="274"/>
      <c r="N2317" s="274"/>
      <c r="P2317" s="275"/>
    </row>
    <row r="2318" ht="15.75" customHeight="1">
      <c r="B2318" s="282"/>
      <c r="H2318" s="273"/>
      <c r="I2318" s="274"/>
      <c r="J2318" s="274"/>
      <c r="K2318" s="274"/>
      <c r="L2318" s="274"/>
      <c r="M2318" s="274"/>
      <c r="N2318" s="274"/>
      <c r="P2318" s="275"/>
    </row>
    <row r="2319" ht="15.75" customHeight="1">
      <c r="B2319" s="282"/>
      <c r="H2319" s="273"/>
      <c r="I2319" s="274"/>
      <c r="J2319" s="274"/>
      <c r="K2319" s="274"/>
      <c r="L2319" s="274"/>
      <c r="M2319" s="274"/>
      <c r="N2319" s="274"/>
      <c r="P2319" s="275"/>
    </row>
    <row r="2320" ht="15.75" customHeight="1">
      <c r="B2320" s="282"/>
      <c r="H2320" s="273"/>
      <c r="I2320" s="274"/>
      <c r="J2320" s="274"/>
      <c r="K2320" s="274"/>
      <c r="L2320" s="274"/>
      <c r="M2320" s="274"/>
      <c r="N2320" s="274"/>
      <c r="P2320" s="275"/>
    </row>
    <row r="2321" ht="15.75" customHeight="1">
      <c r="B2321" s="282"/>
      <c r="H2321" s="273"/>
      <c r="I2321" s="274"/>
      <c r="J2321" s="274"/>
      <c r="K2321" s="274"/>
      <c r="L2321" s="274"/>
      <c r="M2321" s="274"/>
      <c r="N2321" s="274"/>
      <c r="P2321" s="275"/>
    </row>
    <row r="2322" ht="15.75" customHeight="1">
      <c r="B2322" s="282"/>
      <c r="H2322" s="273"/>
      <c r="I2322" s="274"/>
      <c r="J2322" s="274"/>
      <c r="K2322" s="274"/>
      <c r="L2322" s="274"/>
      <c r="M2322" s="274"/>
      <c r="N2322" s="274"/>
      <c r="P2322" s="275"/>
    </row>
    <row r="2323" ht="15.75" customHeight="1">
      <c r="B2323" s="282"/>
      <c r="H2323" s="273"/>
      <c r="I2323" s="274"/>
      <c r="J2323" s="274"/>
      <c r="K2323" s="274"/>
      <c r="L2323" s="274"/>
      <c r="M2323" s="274"/>
      <c r="N2323" s="274"/>
      <c r="P2323" s="275"/>
    </row>
    <row r="2324" ht="15.75" customHeight="1">
      <c r="B2324" s="282"/>
      <c r="H2324" s="273"/>
      <c r="I2324" s="274"/>
      <c r="J2324" s="274"/>
      <c r="K2324" s="274"/>
      <c r="L2324" s="274"/>
      <c r="M2324" s="274"/>
      <c r="N2324" s="274"/>
      <c r="P2324" s="275"/>
    </row>
    <row r="2325" ht="15.75" customHeight="1">
      <c r="B2325" s="282"/>
      <c r="H2325" s="273"/>
      <c r="I2325" s="274"/>
      <c r="J2325" s="274"/>
      <c r="K2325" s="274"/>
      <c r="L2325" s="274"/>
      <c r="M2325" s="274"/>
      <c r="N2325" s="274"/>
      <c r="P2325" s="275"/>
    </row>
    <row r="2326" ht="15.75" customHeight="1">
      <c r="B2326" s="282"/>
      <c r="H2326" s="273"/>
      <c r="I2326" s="274"/>
      <c r="J2326" s="274"/>
      <c r="K2326" s="274"/>
      <c r="L2326" s="274"/>
      <c r="M2326" s="274"/>
      <c r="N2326" s="274"/>
      <c r="P2326" s="275"/>
    </row>
    <row r="2327" ht="15.75" customHeight="1">
      <c r="B2327" s="282"/>
      <c r="H2327" s="273"/>
      <c r="I2327" s="274"/>
      <c r="J2327" s="274"/>
      <c r="K2327" s="274"/>
      <c r="L2327" s="274"/>
      <c r="M2327" s="274"/>
      <c r="N2327" s="274"/>
      <c r="P2327" s="275"/>
    </row>
    <row r="2328" ht="15.75" customHeight="1">
      <c r="B2328" s="282"/>
      <c r="H2328" s="273"/>
      <c r="I2328" s="274"/>
      <c r="J2328" s="274"/>
      <c r="K2328" s="274"/>
      <c r="L2328" s="274"/>
      <c r="M2328" s="274"/>
      <c r="N2328" s="274"/>
      <c r="P2328" s="275"/>
    </row>
    <row r="2329" ht="15.75" customHeight="1">
      <c r="B2329" s="282"/>
      <c r="H2329" s="273"/>
      <c r="I2329" s="274"/>
      <c r="J2329" s="274"/>
      <c r="K2329" s="274"/>
      <c r="L2329" s="274"/>
      <c r="M2329" s="274"/>
      <c r="N2329" s="274"/>
      <c r="P2329" s="275"/>
    </row>
    <row r="2330" ht="15.75" customHeight="1">
      <c r="B2330" s="282"/>
      <c r="H2330" s="273"/>
      <c r="I2330" s="274"/>
      <c r="J2330" s="274"/>
      <c r="K2330" s="274"/>
      <c r="L2330" s="274"/>
      <c r="M2330" s="274"/>
      <c r="N2330" s="274"/>
      <c r="P2330" s="275"/>
    </row>
    <row r="2331" ht="15.75" customHeight="1">
      <c r="B2331" s="282"/>
      <c r="H2331" s="273"/>
      <c r="I2331" s="274"/>
      <c r="J2331" s="274"/>
      <c r="K2331" s="274"/>
      <c r="L2331" s="274"/>
      <c r="M2331" s="274"/>
      <c r="N2331" s="274"/>
      <c r="P2331" s="275"/>
    </row>
    <row r="2332" ht="15.75" customHeight="1">
      <c r="B2332" s="282"/>
      <c r="H2332" s="273"/>
      <c r="I2332" s="274"/>
      <c r="J2332" s="274"/>
      <c r="K2332" s="274"/>
      <c r="L2332" s="274"/>
      <c r="M2332" s="274"/>
      <c r="N2332" s="274"/>
      <c r="P2332" s="275"/>
    </row>
    <row r="2333" ht="15.75" customHeight="1">
      <c r="B2333" s="282"/>
      <c r="H2333" s="273"/>
      <c r="I2333" s="274"/>
      <c r="J2333" s="274"/>
      <c r="K2333" s="274"/>
      <c r="L2333" s="274"/>
      <c r="M2333" s="274"/>
      <c r="N2333" s="274"/>
      <c r="P2333" s="275"/>
    </row>
    <row r="2334" ht="15.75" customHeight="1">
      <c r="B2334" s="282"/>
      <c r="H2334" s="273"/>
      <c r="I2334" s="274"/>
      <c r="J2334" s="274"/>
      <c r="K2334" s="274"/>
      <c r="L2334" s="274"/>
      <c r="M2334" s="274"/>
      <c r="N2334" s="274"/>
      <c r="P2334" s="275"/>
    </row>
    <row r="2335" ht="15.75" customHeight="1">
      <c r="B2335" s="282"/>
      <c r="H2335" s="273"/>
      <c r="I2335" s="274"/>
      <c r="J2335" s="274"/>
      <c r="K2335" s="274"/>
      <c r="L2335" s="274"/>
      <c r="M2335" s="274"/>
      <c r="N2335" s="274"/>
      <c r="P2335" s="275"/>
    </row>
    <row r="2336" ht="15.75" customHeight="1">
      <c r="B2336" s="282"/>
      <c r="H2336" s="273"/>
      <c r="I2336" s="274"/>
      <c r="J2336" s="274"/>
      <c r="K2336" s="274"/>
      <c r="L2336" s="274"/>
      <c r="M2336" s="274"/>
      <c r="N2336" s="274"/>
      <c r="P2336" s="275"/>
    </row>
    <row r="2337" ht="15.75" customHeight="1">
      <c r="B2337" s="282"/>
      <c r="H2337" s="273"/>
      <c r="I2337" s="274"/>
      <c r="J2337" s="274"/>
      <c r="K2337" s="274"/>
      <c r="L2337" s="274"/>
      <c r="M2337" s="274"/>
      <c r="N2337" s="274"/>
      <c r="P2337" s="275"/>
    </row>
    <row r="2338" ht="15.75" customHeight="1">
      <c r="B2338" s="282"/>
      <c r="H2338" s="273"/>
      <c r="I2338" s="274"/>
      <c r="J2338" s="274"/>
      <c r="K2338" s="274"/>
      <c r="L2338" s="274"/>
      <c r="M2338" s="274"/>
      <c r="N2338" s="274"/>
      <c r="P2338" s="275"/>
    </row>
    <row r="2339" ht="15.75" customHeight="1">
      <c r="B2339" s="282"/>
      <c r="H2339" s="273"/>
      <c r="I2339" s="274"/>
      <c r="J2339" s="274"/>
      <c r="K2339" s="274"/>
      <c r="L2339" s="274"/>
      <c r="M2339" s="274"/>
      <c r="N2339" s="274"/>
      <c r="P2339" s="275"/>
    </row>
    <row r="2340" ht="15.75" customHeight="1">
      <c r="B2340" s="282"/>
      <c r="H2340" s="273"/>
      <c r="I2340" s="274"/>
      <c r="J2340" s="274"/>
      <c r="K2340" s="274"/>
      <c r="L2340" s="274"/>
      <c r="M2340" s="274"/>
      <c r="N2340" s="274"/>
      <c r="P2340" s="275"/>
    </row>
    <row r="2341" ht="15.75" customHeight="1">
      <c r="B2341" s="282"/>
      <c r="H2341" s="273"/>
      <c r="I2341" s="274"/>
      <c r="J2341" s="274"/>
      <c r="K2341" s="274"/>
      <c r="L2341" s="274"/>
      <c r="M2341" s="274"/>
      <c r="N2341" s="274"/>
      <c r="P2341" s="275"/>
    </row>
    <row r="2342" ht="15.75" customHeight="1">
      <c r="B2342" s="282"/>
      <c r="H2342" s="273"/>
      <c r="I2342" s="274"/>
      <c r="J2342" s="274"/>
      <c r="K2342" s="274"/>
      <c r="L2342" s="274"/>
      <c r="M2342" s="274"/>
      <c r="N2342" s="274"/>
      <c r="P2342" s="275"/>
    </row>
    <row r="2343" ht="15.75" customHeight="1">
      <c r="B2343" s="282"/>
      <c r="H2343" s="273"/>
      <c r="I2343" s="274"/>
      <c r="J2343" s="274"/>
      <c r="K2343" s="274"/>
      <c r="L2343" s="274"/>
      <c r="M2343" s="274"/>
      <c r="N2343" s="274"/>
      <c r="P2343" s="275"/>
    </row>
    <row r="2344" ht="15.75" customHeight="1">
      <c r="B2344" s="282"/>
      <c r="H2344" s="273"/>
      <c r="I2344" s="274"/>
      <c r="J2344" s="274"/>
      <c r="K2344" s="274"/>
      <c r="L2344" s="274"/>
      <c r="M2344" s="274"/>
      <c r="N2344" s="274"/>
      <c r="P2344" s="275"/>
    </row>
    <row r="2345" ht="15.75" customHeight="1">
      <c r="B2345" s="282"/>
      <c r="H2345" s="273"/>
      <c r="I2345" s="274"/>
      <c r="J2345" s="274"/>
      <c r="K2345" s="274"/>
      <c r="L2345" s="274"/>
      <c r="M2345" s="274"/>
      <c r="N2345" s="274"/>
      <c r="P2345" s="275"/>
    </row>
    <row r="2346" ht="15.75" customHeight="1">
      <c r="B2346" s="282"/>
      <c r="H2346" s="273"/>
      <c r="I2346" s="274"/>
      <c r="J2346" s="274"/>
      <c r="K2346" s="274"/>
      <c r="L2346" s="274"/>
      <c r="M2346" s="274"/>
      <c r="N2346" s="274"/>
      <c r="P2346" s="275"/>
    </row>
    <row r="2347" ht="15.75" customHeight="1">
      <c r="B2347" s="282"/>
      <c r="H2347" s="273"/>
      <c r="I2347" s="274"/>
      <c r="J2347" s="274"/>
      <c r="K2347" s="274"/>
      <c r="L2347" s="274"/>
      <c r="M2347" s="274"/>
      <c r="N2347" s="274"/>
      <c r="P2347" s="275"/>
    </row>
    <row r="2348" ht="15.75" customHeight="1">
      <c r="B2348" s="282"/>
      <c r="H2348" s="273"/>
      <c r="I2348" s="274"/>
      <c r="J2348" s="274"/>
      <c r="K2348" s="274"/>
      <c r="L2348" s="274"/>
      <c r="M2348" s="274"/>
      <c r="N2348" s="274"/>
      <c r="P2348" s="275"/>
    </row>
    <row r="2349" ht="15.75" customHeight="1">
      <c r="B2349" s="282"/>
      <c r="H2349" s="273"/>
      <c r="I2349" s="274"/>
      <c r="J2349" s="274"/>
      <c r="K2349" s="274"/>
      <c r="L2349" s="274"/>
      <c r="M2349" s="274"/>
      <c r="N2349" s="274"/>
      <c r="P2349" s="275"/>
    </row>
    <row r="2350" ht="15.75" customHeight="1">
      <c r="B2350" s="282"/>
      <c r="H2350" s="273"/>
      <c r="I2350" s="274"/>
      <c r="J2350" s="274"/>
      <c r="K2350" s="274"/>
      <c r="L2350" s="274"/>
      <c r="M2350" s="274"/>
      <c r="N2350" s="274"/>
      <c r="P2350" s="275"/>
    </row>
    <row r="2351" ht="15.75" customHeight="1">
      <c r="B2351" s="282"/>
      <c r="H2351" s="273"/>
      <c r="I2351" s="274"/>
      <c r="J2351" s="274"/>
      <c r="K2351" s="274"/>
      <c r="L2351" s="274"/>
      <c r="M2351" s="274"/>
      <c r="N2351" s="274"/>
      <c r="P2351" s="275"/>
    </row>
    <row r="2352" ht="15.75" customHeight="1">
      <c r="B2352" s="282"/>
      <c r="H2352" s="273"/>
      <c r="I2352" s="274"/>
      <c r="J2352" s="274"/>
      <c r="K2352" s="274"/>
      <c r="L2352" s="274"/>
      <c r="M2352" s="274"/>
      <c r="N2352" s="274"/>
      <c r="P2352" s="275"/>
    </row>
    <row r="2353" ht="15.75" customHeight="1">
      <c r="B2353" s="282"/>
      <c r="H2353" s="273"/>
      <c r="I2353" s="274"/>
      <c r="J2353" s="274"/>
      <c r="K2353" s="274"/>
      <c r="L2353" s="274"/>
      <c r="M2353" s="274"/>
      <c r="N2353" s="274"/>
      <c r="P2353" s="275"/>
    </row>
    <row r="2354" ht="15.75" customHeight="1">
      <c r="B2354" s="282"/>
      <c r="H2354" s="273"/>
      <c r="I2354" s="274"/>
      <c r="J2354" s="274"/>
      <c r="K2354" s="274"/>
      <c r="L2354" s="274"/>
      <c r="M2354" s="274"/>
      <c r="N2354" s="274"/>
      <c r="P2354" s="275"/>
    </row>
    <row r="2355" ht="15.75" customHeight="1">
      <c r="B2355" s="282"/>
      <c r="H2355" s="273"/>
      <c r="I2355" s="274"/>
      <c r="J2355" s="274"/>
      <c r="K2355" s="274"/>
      <c r="L2355" s="274"/>
      <c r="M2355" s="274"/>
      <c r="N2355" s="274"/>
      <c r="P2355" s="275"/>
    </row>
    <row r="2356" ht="15.75" customHeight="1">
      <c r="B2356" s="282"/>
      <c r="H2356" s="273"/>
      <c r="I2356" s="274"/>
      <c r="J2356" s="274"/>
      <c r="K2356" s="274"/>
      <c r="L2356" s="274"/>
      <c r="M2356" s="274"/>
      <c r="N2356" s="274"/>
      <c r="P2356" s="275"/>
    </row>
    <row r="2357" ht="15.75" customHeight="1">
      <c r="B2357" s="282"/>
      <c r="H2357" s="273"/>
      <c r="I2357" s="274"/>
      <c r="J2357" s="274"/>
      <c r="K2357" s="274"/>
      <c r="L2357" s="274"/>
      <c r="M2357" s="274"/>
      <c r="N2357" s="274"/>
      <c r="P2357" s="275"/>
    </row>
    <row r="2358" ht="15.75" customHeight="1">
      <c r="B2358" s="282"/>
      <c r="H2358" s="273"/>
      <c r="I2358" s="274"/>
      <c r="J2358" s="274"/>
      <c r="K2358" s="274"/>
      <c r="L2358" s="274"/>
      <c r="M2358" s="274"/>
      <c r="N2358" s="274"/>
      <c r="P2358" s="275"/>
    </row>
    <row r="2359" ht="15.75" customHeight="1">
      <c r="B2359" s="282"/>
      <c r="H2359" s="273"/>
      <c r="I2359" s="274"/>
      <c r="J2359" s="274"/>
      <c r="K2359" s="274"/>
      <c r="L2359" s="274"/>
      <c r="M2359" s="274"/>
      <c r="N2359" s="274"/>
      <c r="P2359" s="275"/>
    </row>
    <row r="2360" ht="15.75" customHeight="1">
      <c r="B2360" s="282"/>
      <c r="H2360" s="273"/>
      <c r="I2360" s="274"/>
      <c r="J2360" s="274"/>
      <c r="K2360" s="274"/>
      <c r="L2360" s="274"/>
      <c r="M2360" s="274"/>
      <c r="N2360" s="274"/>
      <c r="P2360" s="275"/>
    </row>
    <row r="2361" ht="15.75" customHeight="1">
      <c r="B2361" s="282"/>
      <c r="H2361" s="273"/>
      <c r="I2361" s="274"/>
      <c r="J2361" s="274"/>
      <c r="K2361" s="274"/>
      <c r="L2361" s="274"/>
      <c r="M2361" s="274"/>
      <c r="N2361" s="274"/>
      <c r="P2361" s="275"/>
    </row>
    <row r="2362" ht="15.75" customHeight="1">
      <c r="B2362" s="282"/>
      <c r="H2362" s="273"/>
      <c r="I2362" s="274"/>
      <c r="J2362" s="274"/>
      <c r="K2362" s="274"/>
      <c r="L2362" s="274"/>
      <c r="M2362" s="274"/>
      <c r="N2362" s="274"/>
      <c r="P2362" s="275"/>
    </row>
    <row r="2363" ht="15.75" customHeight="1">
      <c r="B2363" s="282"/>
      <c r="H2363" s="273"/>
      <c r="I2363" s="274"/>
      <c r="J2363" s="274"/>
      <c r="K2363" s="274"/>
      <c r="L2363" s="274"/>
      <c r="M2363" s="274"/>
      <c r="N2363" s="274"/>
      <c r="P2363" s="275"/>
    </row>
    <row r="2364" ht="15.75" customHeight="1">
      <c r="B2364" s="282"/>
      <c r="H2364" s="273"/>
      <c r="I2364" s="274"/>
      <c r="J2364" s="274"/>
      <c r="K2364" s="274"/>
      <c r="L2364" s="274"/>
      <c r="M2364" s="274"/>
      <c r="N2364" s="274"/>
      <c r="P2364" s="275"/>
    </row>
    <row r="2365" ht="15.75" customHeight="1">
      <c r="B2365" s="282"/>
      <c r="H2365" s="273"/>
      <c r="I2365" s="274"/>
      <c r="J2365" s="274"/>
      <c r="K2365" s="274"/>
      <c r="L2365" s="274"/>
      <c r="M2365" s="274"/>
      <c r="N2365" s="274"/>
      <c r="P2365" s="275"/>
    </row>
    <row r="2366" ht="15.75" customHeight="1">
      <c r="B2366" s="282"/>
      <c r="H2366" s="273"/>
      <c r="I2366" s="274"/>
      <c r="J2366" s="274"/>
      <c r="K2366" s="274"/>
      <c r="L2366" s="274"/>
      <c r="M2366" s="274"/>
      <c r="N2366" s="274"/>
      <c r="P2366" s="275"/>
    </row>
    <row r="2367" ht="15.75" customHeight="1">
      <c r="B2367" s="282"/>
      <c r="H2367" s="273"/>
      <c r="I2367" s="274"/>
      <c r="J2367" s="274"/>
      <c r="K2367" s="274"/>
      <c r="L2367" s="274"/>
      <c r="M2367" s="274"/>
      <c r="N2367" s="274"/>
      <c r="P2367" s="275"/>
    </row>
    <row r="2368" ht="15.75" customHeight="1">
      <c r="B2368" s="282"/>
      <c r="H2368" s="273"/>
      <c r="I2368" s="274"/>
      <c r="J2368" s="274"/>
      <c r="K2368" s="274"/>
      <c r="L2368" s="274"/>
      <c r="M2368" s="274"/>
      <c r="N2368" s="274"/>
      <c r="P2368" s="275"/>
    </row>
    <row r="2369" ht="15.75" customHeight="1">
      <c r="B2369" s="282"/>
      <c r="H2369" s="273"/>
      <c r="I2369" s="274"/>
      <c r="J2369" s="274"/>
      <c r="K2369" s="274"/>
      <c r="L2369" s="274"/>
      <c r="M2369" s="274"/>
      <c r="N2369" s="274"/>
      <c r="P2369" s="275"/>
    </row>
    <row r="2370" ht="15.75" customHeight="1">
      <c r="B2370" s="282"/>
      <c r="H2370" s="273"/>
      <c r="I2370" s="274"/>
      <c r="J2370" s="274"/>
      <c r="K2370" s="274"/>
      <c r="L2370" s="274"/>
      <c r="M2370" s="274"/>
      <c r="N2370" s="274"/>
      <c r="P2370" s="275"/>
    </row>
    <row r="2371" ht="15.75" customHeight="1">
      <c r="B2371" s="282"/>
      <c r="H2371" s="273"/>
      <c r="I2371" s="274"/>
      <c r="J2371" s="274"/>
      <c r="K2371" s="274"/>
      <c r="L2371" s="274"/>
      <c r="M2371" s="274"/>
      <c r="N2371" s="274"/>
      <c r="P2371" s="275"/>
    </row>
    <row r="2372" ht="15.75" customHeight="1">
      <c r="B2372" s="282"/>
      <c r="H2372" s="273"/>
      <c r="I2372" s="274"/>
      <c r="J2372" s="274"/>
      <c r="K2372" s="274"/>
      <c r="L2372" s="274"/>
      <c r="M2372" s="274"/>
      <c r="N2372" s="274"/>
      <c r="P2372" s="275"/>
    </row>
    <row r="2373" ht="15.75" customHeight="1">
      <c r="B2373" s="282"/>
      <c r="H2373" s="273"/>
      <c r="I2373" s="274"/>
      <c r="J2373" s="274"/>
      <c r="K2373" s="274"/>
      <c r="L2373" s="274"/>
      <c r="M2373" s="274"/>
      <c r="N2373" s="274"/>
      <c r="P2373" s="275"/>
    </row>
    <row r="2374" ht="15.75" customHeight="1">
      <c r="B2374" s="282"/>
      <c r="H2374" s="273"/>
      <c r="I2374" s="274"/>
      <c r="J2374" s="274"/>
      <c r="K2374" s="274"/>
      <c r="L2374" s="274"/>
      <c r="M2374" s="274"/>
      <c r="N2374" s="274"/>
      <c r="P2374" s="275"/>
    </row>
    <row r="2375" ht="15.75" customHeight="1">
      <c r="B2375" s="282"/>
      <c r="H2375" s="273"/>
      <c r="I2375" s="274"/>
      <c r="J2375" s="274"/>
      <c r="K2375" s="274"/>
      <c r="L2375" s="274"/>
      <c r="M2375" s="274"/>
      <c r="N2375" s="274"/>
      <c r="P2375" s="275"/>
    </row>
    <row r="2376" ht="15.75" customHeight="1">
      <c r="B2376" s="282"/>
      <c r="H2376" s="273"/>
      <c r="I2376" s="274"/>
      <c r="J2376" s="274"/>
      <c r="K2376" s="274"/>
      <c r="L2376" s="274"/>
      <c r="M2376" s="274"/>
      <c r="N2376" s="274"/>
      <c r="P2376" s="275"/>
    </row>
    <row r="2377" ht="15.75" customHeight="1">
      <c r="B2377" s="282"/>
      <c r="H2377" s="273"/>
      <c r="I2377" s="274"/>
      <c r="J2377" s="274"/>
      <c r="K2377" s="274"/>
      <c r="L2377" s="274"/>
      <c r="M2377" s="274"/>
      <c r="N2377" s="274"/>
      <c r="P2377" s="275"/>
    </row>
    <row r="2378" ht="15.75" customHeight="1">
      <c r="B2378" s="282"/>
      <c r="H2378" s="273"/>
      <c r="I2378" s="274"/>
      <c r="J2378" s="274"/>
      <c r="K2378" s="274"/>
      <c r="L2378" s="274"/>
      <c r="M2378" s="274"/>
      <c r="N2378" s="274"/>
      <c r="P2378" s="275"/>
    </row>
    <row r="2379" ht="15.75" customHeight="1">
      <c r="B2379" s="282"/>
      <c r="H2379" s="273"/>
      <c r="I2379" s="274"/>
      <c r="J2379" s="274"/>
      <c r="K2379" s="274"/>
      <c r="L2379" s="274"/>
      <c r="M2379" s="274"/>
      <c r="N2379" s="274"/>
      <c r="P2379" s="275"/>
    </row>
    <row r="2380" ht="15.75" customHeight="1">
      <c r="B2380" s="282"/>
      <c r="H2380" s="273"/>
      <c r="I2380" s="274"/>
      <c r="J2380" s="274"/>
      <c r="K2380" s="274"/>
      <c r="L2380" s="274"/>
      <c r="M2380" s="274"/>
      <c r="N2380" s="274"/>
      <c r="P2380" s="275"/>
    </row>
    <row r="2381" ht="15.75" customHeight="1">
      <c r="B2381" s="282"/>
      <c r="H2381" s="273"/>
      <c r="I2381" s="274"/>
      <c r="J2381" s="274"/>
      <c r="K2381" s="274"/>
      <c r="L2381" s="274"/>
      <c r="M2381" s="274"/>
      <c r="N2381" s="274"/>
      <c r="P2381" s="275"/>
    </row>
    <row r="2382" ht="15.75" customHeight="1">
      <c r="B2382" s="282"/>
      <c r="H2382" s="273"/>
      <c r="I2382" s="274"/>
      <c r="J2382" s="274"/>
      <c r="K2382" s="274"/>
      <c r="L2382" s="274"/>
      <c r="M2382" s="274"/>
      <c r="N2382" s="274"/>
      <c r="P2382" s="275"/>
    </row>
    <row r="2383" ht="15.75" customHeight="1">
      <c r="B2383" s="282"/>
      <c r="H2383" s="273"/>
      <c r="I2383" s="274"/>
      <c r="J2383" s="274"/>
      <c r="K2383" s="274"/>
      <c r="L2383" s="274"/>
      <c r="M2383" s="274"/>
      <c r="N2383" s="274"/>
      <c r="P2383" s="275"/>
    </row>
    <row r="2384" ht="15.75" customHeight="1">
      <c r="B2384" s="282"/>
      <c r="H2384" s="273"/>
      <c r="I2384" s="274"/>
      <c r="J2384" s="274"/>
      <c r="K2384" s="274"/>
      <c r="L2384" s="274"/>
      <c r="M2384" s="274"/>
      <c r="N2384" s="274"/>
      <c r="P2384" s="275"/>
    </row>
    <row r="2385" ht="15.75" customHeight="1">
      <c r="B2385" s="282"/>
      <c r="H2385" s="273"/>
      <c r="I2385" s="274"/>
      <c r="J2385" s="274"/>
      <c r="K2385" s="274"/>
      <c r="L2385" s="274"/>
      <c r="M2385" s="274"/>
      <c r="N2385" s="274"/>
      <c r="P2385" s="275"/>
    </row>
    <row r="2386" ht="15.75" customHeight="1">
      <c r="B2386" s="282"/>
      <c r="H2386" s="273"/>
      <c r="I2386" s="274"/>
      <c r="J2386" s="274"/>
      <c r="K2386" s="274"/>
      <c r="L2386" s="274"/>
      <c r="M2386" s="274"/>
      <c r="N2386" s="274"/>
      <c r="P2386" s="275"/>
    </row>
    <row r="2387" ht="15.75" customHeight="1">
      <c r="B2387" s="282"/>
      <c r="H2387" s="273"/>
      <c r="I2387" s="274"/>
      <c r="J2387" s="274"/>
      <c r="K2387" s="274"/>
      <c r="L2387" s="274"/>
      <c r="M2387" s="274"/>
      <c r="N2387" s="274"/>
      <c r="P2387" s="275"/>
    </row>
    <row r="2388" ht="15.75" customHeight="1">
      <c r="B2388" s="282"/>
      <c r="H2388" s="273"/>
      <c r="I2388" s="274"/>
      <c r="J2388" s="274"/>
      <c r="K2388" s="274"/>
      <c r="L2388" s="274"/>
      <c r="M2388" s="274"/>
      <c r="N2388" s="274"/>
      <c r="P2388" s="275"/>
    </row>
    <row r="2389" ht="15.75" customHeight="1">
      <c r="B2389" s="282"/>
      <c r="H2389" s="273"/>
      <c r="I2389" s="274"/>
      <c r="J2389" s="274"/>
      <c r="K2389" s="274"/>
      <c r="L2389" s="274"/>
      <c r="M2389" s="274"/>
      <c r="N2389" s="274"/>
      <c r="P2389" s="275"/>
    </row>
    <row r="2390" ht="15.75" customHeight="1">
      <c r="B2390" s="282"/>
      <c r="H2390" s="273"/>
      <c r="I2390" s="274"/>
      <c r="J2390" s="274"/>
      <c r="K2390" s="274"/>
      <c r="L2390" s="274"/>
      <c r="M2390" s="274"/>
      <c r="N2390" s="274"/>
      <c r="P2390" s="275"/>
    </row>
    <row r="2391" ht="15.75" customHeight="1">
      <c r="B2391" s="282"/>
      <c r="H2391" s="273"/>
      <c r="I2391" s="274"/>
      <c r="J2391" s="274"/>
      <c r="K2391" s="274"/>
      <c r="L2391" s="274"/>
      <c r="M2391" s="274"/>
      <c r="N2391" s="274"/>
      <c r="P2391" s="275"/>
    </row>
    <row r="2392" ht="15.75" customHeight="1">
      <c r="B2392" s="282"/>
      <c r="H2392" s="273"/>
      <c r="I2392" s="274"/>
      <c r="J2392" s="274"/>
      <c r="K2392" s="274"/>
      <c r="L2392" s="274"/>
      <c r="M2392" s="274"/>
      <c r="N2392" s="274"/>
      <c r="P2392" s="275"/>
    </row>
    <row r="2393" ht="15.75" customHeight="1">
      <c r="B2393" s="282"/>
      <c r="H2393" s="273"/>
      <c r="I2393" s="274"/>
      <c r="J2393" s="274"/>
      <c r="K2393" s="274"/>
      <c r="L2393" s="274"/>
      <c r="M2393" s="274"/>
      <c r="N2393" s="274"/>
      <c r="P2393" s="275"/>
    </row>
    <row r="2394" ht="15.75" customHeight="1">
      <c r="B2394" s="282"/>
      <c r="H2394" s="273"/>
      <c r="I2394" s="274"/>
      <c r="J2394" s="274"/>
      <c r="K2394" s="274"/>
      <c r="L2394" s="274"/>
      <c r="M2394" s="274"/>
      <c r="N2394" s="274"/>
      <c r="P2394" s="275"/>
    </row>
    <row r="2395" ht="15.75" customHeight="1">
      <c r="B2395" s="282"/>
      <c r="H2395" s="273"/>
      <c r="I2395" s="274"/>
      <c r="J2395" s="274"/>
      <c r="K2395" s="274"/>
      <c r="L2395" s="274"/>
      <c r="M2395" s="274"/>
      <c r="N2395" s="274"/>
      <c r="P2395" s="275"/>
    </row>
    <row r="2396" ht="15.75" customHeight="1">
      <c r="B2396" s="282"/>
      <c r="H2396" s="273"/>
      <c r="I2396" s="274"/>
      <c r="J2396" s="274"/>
      <c r="K2396" s="274"/>
      <c r="L2396" s="274"/>
      <c r="M2396" s="274"/>
      <c r="N2396" s="274"/>
      <c r="P2396" s="275"/>
    </row>
    <row r="2397" ht="15.75" customHeight="1">
      <c r="B2397" s="282"/>
      <c r="H2397" s="273"/>
      <c r="I2397" s="274"/>
      <c r="J2397" s="274"/>
      <c r="K2397" s="274"/>
      <c r="L2397" s="274"/>
      <c r="M2397" s="274"/>
      <c r="N2397" s="274"/>
      <c r="P2397" s="275"/>
    </row>
    <row r="2398" ht="15.75" customHeight="1">
      <c r="B2398" s="282"/>
      <c r="H2398" s="273"/>
      <c r="I2398" s="274"/>
      <c r="J2398" s="274"/>
      <c r="K2398" s="274"/>
      <c r="L2398" s="274"/>
      <c r="M2398" s="274"/>
      <c r="N2398" s="274"/>
      <c r="P2398" s="275"/>
    </row>
    <row r="2399" ht="15.75" customHeight="1">
      <c r="B2399" s="282"/>
      <c r="H2399" s="273"/>
      <c r="I2399" s="274"/>
      <c r="J2399" s="274"/>
      <c r="K2399" s="274"/>
      <c r="L2399" s="274"/>
      <c r="M2399" s="274"/>
      <c r="N2399" s="274"/>
      <c r="P2399" s="275"/>
    </row>
    <row r="2400" ht="15.75" customHeight="1">
      <c r="B2400" s="282"/>
      <c r="H2400" s="273"/>
      <c r="I2400" s="274"/>
      <c r="J2400" s="274"/>
      <c r="K2400" s="274"/>
      <c r="L2400" s="274"/>
      <c r="M2400" s="274"/>
      <c r="N2400" s="274"/>
      <c r="P2400" s="275"/>
    </row>
    <row r="2401" ht="15.75" customHeight="1">
      <c r="B2401" s="282"/>
      <c r="H2401" s="273"/>
      <c r="I2401" s="274"/>
      <c r="J2401" s="274"/>
      <c r="K2401" s="274"/>
      <c r="L2401" s="274"/>
      <c r="M2401" s="274"/>
      <c r="N2401" s="274"/>
      <c r="P2401" s="275"/>
    </row>
    <row r="2402" ht="15.75" customHeight="1">
      <c r="B2402" s="282"/>
      <c r="H2402" s="273"/>
      <c r="I2402" s="274"/>
      <c r="J2402" s="274"/>
      <c r="K2402" s="274"/>
      <c r="L2402" s="274"/>
      <c r="M2402" s="274"/>
      <c r="N2402" s="274"/>
      <c r="P2402" s="275"/>
    </row>
    <row r="2403" ht="15.75" customHeight="1">
      <c r="B2403" s="282"/>
      <c r="H2403" s="273"/>
      <c r="I2403" s="274"/>
      <c r="J2403" s="274"/>
      <c r="K2403" s="274"/>
      <c r="L2403" s="274"/>
      <c r="M2403" s="274"/>
      <c r="N2403" s="274"/>
      <c r="P2403" s="275"/>
    </row>
    <row r="2404" ht="15.75" customHeight="1">
      <c r="B2404" s="282"/>
      <c r="H2404" s="273"/>
      <c r="I2404" s="274"/>
      <c r="J2404" s="274"/>
      <c r="K2404" s="274"/>
      <c r="L2404" s="274"/>
      <c r="M2404" s="274"/>
      <c r="N2404" s="274"/>
      <c r="P2404" s="275"/>
    </row>
    <row r="2405" ht="15.75" customHeight="1">
      <c r="B2405" s="282"/>
      <c r="H2405" s="273"/>
      <c r="I2405" s="274"/>
      <c r="J2405" s="274"/>
      <c r="K2405" s="274"/>
      <c r="L2405" s="274"/>
      <c r="M2405" s="274"/>
      <c r="N2405" s="274"/>
      <c r="P2405" s="275"/>
    </row>
    <row r="2406" ht="15.75" customHeight="1">
      <c r="B2406" s="282"/>
      <c r="H2406" s="273"/>
      <c r="I2406" s="274"/>
      <c r="J2406" s="274"/>
      <c r="K2406" s="274"/>
      <c r="L2406" s="274"/>
      <c r="M2406" s="274"/>
      <c r="N2406" s="274"/>
      <c r="P2406" s="275"/>
    </row>
    <row r="2407" ht="15.75" customHeight="1">
      <c r="B2407" s="282"/>
      <c r="H2407" s="273"/>
      <c r="I2407" s="274"/>
      <c r="J2407" s="274"/>
      <c r="K2407" s="274"/>
      <c r="L2407" s="274"/>
      <c r="M2407" s="274"/>
      <c r="N2407" s="274"/>
      <c r="P2407" s="275"/>
    </row>
    <row r="2408" ht="15.75" customHeight="1">
      <c r="B2408" s="282"/>
      <c r="H2408" s="273"/>
      <c r="I2408" s="274"/>
      <c r="J2408" s="274"/>
      <c r="K2408" s="274"/>
      <c r="L2408" s="274"/>
      <c r="M2408" s="274"/>
      <c r="N2408" s="274"/>
      <c r="P2408" s="275"/>
    </row>
    <row r="2409" ht="15.75" customHeight="1">
      <c r="B2409" s="282"/>
      <c r="H2409" s="273"/>
      <c r="I2409" s="274"/>
      <c r="J2409" s="274"/>
      <c r="K2409" s="274"/>
      <c r="L2409" s="274"/>
      <c r="M2409" s="274"/>
      <c r="N2409" s="274"/>
      <c r="P2409" s="275"/>
    </row>
    <row r="2410" ht="15.75" customHeight="1">
      <c r="B2410" s="282"/>
      <c r="H2410" s="273"/>
      <c r="I2410" s="274"/>
      <c r="J2410" s="274"/>
      <c r="K2410" s="274"/>
      <c r="L2410" s="274"/>
      <c r="M2410" s="274"/>
      <c r="N2410" s="274"/>
      <c r="P2410" s="275"/>
    </row>
    <row r="2411" ht="15.75" customHeight="1">
      <c r="B2411" s="282"/>
      <c r="H2411" s="273"/>
      <c r="I2411" s="274"/>
      <c r="J2411" s="274"/>
      <c r="K2411" s="274"/>
      <c r="L2411" s="274"/>
      <c r="M2411" s="274"/>
      <c r="N2411" s="274"/>
      <c r="P2411" s="275"/>
    </row>
    <row r="2412" ht="15.75" customHeight="1">
      <c r="B2412" s="282"/>
      <c r="H2412" s="273"/>
      <c r="I2412" s="274"/>
      <c r="J2412" s="274"/>
      <c r="K2412" s="274"/>
      <c r="L2412" s="274"/>
      <c r="M2412" s="274"/>
      <c r="N2412" s="274"/>
      <c r="P2412" s="275"/>
    </row>
    <row r="2413" ht="15.75" customHeight="1">
      <c r="B2413" s="282"/>
      <c r="H2413" s="273"/>
      <c r="I2413" s="274"/>
      <c r="J2413" s="274"/>
      <c r="K2413" s="274"/>
      <c r="L2413" s="274"/>
      <c r="M2413" s="274"/>
      <c r="N2413" s="274"/>
      <c r="P2413" s="275"/>
    </row>
    <row r="2414" ht="15.75" customHeight="1">
      <c r="B2414" s="282"/>
      <c r="H2414" s="273"/>
      <c r="I2414" s="274"/>
      <c r="J2414" s="274"/>
      <c r="K2414" s="274"/>
      <c r="L2414" s="274"/>
      <c r="M2414" s="274"/>
      <c r="N2414" s="274"/>
      <c r="P2414" s="275"/>
    </row>
    <row r="2415" ht="15.75" customHeight="1">
      <c r="B2415" s="282"/>
      <c r="H2415" s="273"/>
      <c r="I2415" s="274"/>
      <c r="J2415" s="274"/>
      <c r="K2415" s="274"/>
      <c r="L2415" s="274"/>
      <c r="M2415" s="274"/>
      <c r="N2415" s="274"/>
      <c r="P2415" s="275"/>
    </row>
    <row r="2416" ht="15.75" customHeight="1">
      <c r="B2416" s="282"/>
      <c r="H2416" s="273"/>
      <c r="I2416" s="274"/>
      <c r="J2416" s="274"/>
      <c r="K2416" s="274"/>
      <c r="L2416" s="274"/>
      <c r="M2416" s="274"/>
      <c r="N2416" s="274"/>
      <c r="P2416" s="275"/>
    </row>
    <row r="2417" ht="15.75" customHeight="1">
      <c r="B2417" s="282"/>
      <c r="H2417" s="273"/>
      <c r="I2417" s="274"/>
      <c r="J2417" s="274"/>
      <c r="K2417" s="274"/>
      <c r="L2417" s="274"/>
      <c r="M2417" s="274"/>
      <c r="N2417" s="274"/>
      <c r="P2417" s="275"/>
    </row>
    <row r="2418" ht="15.75" customHeight="1">
      <c r="B2418" s="282"/>
      <c r="H2418" s="273"/>
      <c r="I2418" s="274"/>
      <c r="J2418" s="274"/>
      <c r="K2418" s="274"/>
      <c r="L2418" s="274"/>
      <c r="M2418" s="274"/>
      <c r="N2418" s="274"/>
      <c r="P2418" s="275"/>
    </row>
    <row r="2419" ht="15.75" customHeight="1">
      <c r="B2419" s="282"/>
      <c r="H2419" s="273"/>
      <c r="I2419" s="274"/>
      <c r="J2419" s="274"/>
      <c r="K2419" s="274"/>
      <c r="L2419" s="274"/>
      <c r="M2419" s="274"/>
      <c r="N2419" s="274"/>
      <c r="P2419" s="275"/>
    </row>
    <row r="2420" ht="15.75" customHeight="1">
      <c r="B2420" s="282"/>
      <c r="H2420" s="273"/>
      <c r="I2420" s="274"/>
      <c r="J2420" s="274"/>
      <c r="K2420" s="274"/>
      <c r="L2420" s="274"/>
      <c r="M2420" s="274"/>
      <c r="N2420" s="274"/>
      <c r="P2420" s="275"/>
    </row>
    <row r="2421" ht="15.75" customHeight="1">
      <c r="B2421" s="282"/>
      <c r="H2421" s="273"/>
      <c r="I2421" s="274"/>
      <c r="J2421" s="274"/>
      <c r="K2421" s="274"/>
      <c r="L2421" s="274"/>
      <c r="M2421" s="274"/>
      <c r="N2421" s="274"/>
      <c r="P2421" s="275"/>
    </row>
    <row r="2422" ht="15.75" customHeight="1">
      <c r="B2422" s="282"/>
      <c r="H2422" s="273"/>
      <c r="I2422" s="274"/>
      <c r="J2422" s="274"/>
      <c r="K2422" s="274"/>
      <c r="L2422" s="274"/>
      <c r="M2422" s="274"/>
      <c r="N2422" s="274"/>
      <c r="P2422" s="275"/>
    </row>
    <row r="2423" ht="15.75" customHeight="1">
      <c r="B2423" s="282"/>
      <c r="H2423" s="273"/>
      <c r="I2423" s="274"/>
      <c r="J2423" s="274"/>
      <c r="K2423" s="274"/>
      <c r="L2423" s="274"/>
      <c r="M2423" s="274"/>
      <c r="N2423" s="274"/>
      <c r="P2423" s="275"/>
    </row>
    <row r="2424" ht="15.75" customHeight="1">
      <c r="B2424" s="282"/>
      <c r="H2424" s="273"/>
      <c r="I2424" s="274"/>
      <c r="J2424" s="274"/>
      <c r="K2424" s="274"/>
      <c r="L2424" s="274"/>
      <c r="M2424" s="274"/>
      <c r="N2424" s="274"/>
      <c r="P2424" s="275"/>
    </row>
    <row r="2425" ht="15.75" customHeight="1">
      <c r="B2425" s="282"/>
      <c r="H2425" s="273"/>
      <c r="I2425" s="274"/>
      <c r="J2425" s="274"/>
      <c r="K2425" s="274"/>
      <c r="L2425" s="274"/>
      <c r="M2425" s="274"/>
      <c r="N2425" s="274"/>
      <c r="P2425" s="275"/>
    </row>
    <row r="2426" ht="15.75" customHeight="1">
      <c r="B2426" s="282"/>
      <c r="H2426" s="273"/>
      <c r="I2426" s="274"/>
      <c r="J2426" s="274"/>
      <c r="K2426" s="274"/>
      <c r="L2426" s="274"/>
      <c r="M2426" s="274"/>
      <c r="N2426" s="274"/>
      <c r="P2426" s="275"/>
    </row>
    <row r="2427" ht="15.75" customHeight="1">
      <c r="B2427" s="282"/>
      <c r="H2427" s="273"/>
      <c r="I2427" s="274"/>
      <c r="J2427" s="274"/>
      <c r="K2427" s="274"/>
      <c r="L2427" s="274"/>
      <c r="M2427" s="274"/>
      <c r="N2427" s="274"/>
      <c r="P2427" s="275"/>
    </row>
    <row r="2428" ht="15.75" customHeight="1">
      <c r="B2428" s="282"/>
      <c r="H2428" s="273"/>
      <c r="I2428" s="274"/>
      <c r="J2428" s="274"/>
      <c r="K2428" s="274"/>
      <c r="L2428" s="274"/>
      <c r="M2428" s="274"/>
      <c r="N2428" s="274"/>
      <c r="P2428" s="275"/>
    </row>
    <row r="2429" ht="15.75" customHeight="1">
      <c r="B2429" s="282"/>
      <c r="H2429" s="273"/>
      <c r="I2429" s="274"/>
      <c r="J2429" s="274"/>
      <c r="K2429" s="274"/>
      <c r="L2429" s="274"/>
      <c r="M2429" s="274"/>
      <c r="N2429" s="274"/>
      <c r="P2429" s="275"/>
    </row>
    <row r="2430" ht="15.75" customHeight="1">
      <c r="B2430" s="282"/>
      <c r="H2430" s="273"/>
      <c r="I2430" s="274"/>
      <c r="J2430" s="274"/>
      <c r="K2430" s="274"/>
      <c r="L2430" s="274"/>
      <c r="M2430" s="274"/>
      <c r="N2430" s="274"/>
      <c r="P2430" s="275"/>
    </row>
    <row r="2431" ht="15.75" customHeight="1">
      <c r="B2431" s="282"/>
      <c r="H2431" s="273"/>
      <c r="I2431" s="274"/>
      <c r="J2431" s="274"/>
      <c r="K2431" s="274"/>
      <c r="L2431" s="274"/>
      <c r="M2431" s="274"/>
      <c r="N2431" s="274"/>
      <c r="P2431" s="275"/>
    </row>
    <row r="2432" ht="15.75" customHeight="1">
      <c r="B2432" s="282"/>
      <c r="H2432" s="273"/>
      <c r="I2432" s="274"/>
      <c r="J2432" s="274"/>
      <c r="K2432" s="274"/>
      <c r="L2432" s="274"/>
      <c r="M2432" s="274"/>
      <c r="N2432" s="274"/>
      <c r="P2432" s="275"/>
    </row>
    <row r="2433" ht="15.75" customHeight="1">
      <c r="B2433" s="282"/>
      <c r="H2433" s="273"/>
      <c r="I2433" s="274"/>
      <c r="J2433" s="274"/>
      <c r="K2433" s="274"/>
      <c r="L2433" s="274"/>
      <c r="M2433" s="274"/>
      <c r="N2433" s="274"/>
      <c r="P2433" s="275"/>
    </row>
    <row r="2434" ht="15.75" customHeight="1">
      <c r="B2434" s="282"/>
      <c r="H2434" s="273"/>
      <c r="I2434" s="274"/>
      <c r="J2434" s="274"/>
      <c r="K2434" s="274"/>
      <c r="L2434" s="274"/>
      <c r="M2434" s="274"/>
      <c r="N2434" s="274"/>
      <c r="P2434" s="275"/>
    </row>
    <row r="2435" ht="15.75" customHeight="1">
      <c r="B2435" s="282"/>
      <c r="H2435" s="273"/>
      <c r="I2435" s="274"/>
      <c r="J2435" s="274"/>
      <c r="K2435" s="274"/>
      <c r="L2435" s="274"/>
      <c r="M2435" s="274"/>
      <c r="N2435" s="274"/>
      <c r="P2435" s="275"/>
    </row>
    <row r="2436" ht="15.75" customHeight="1">
      <c r="B2436" s="282"/>
      <c r="H2436" s="273"/>
      <c r="I2436" s="274"/>
      <c r="J2436" s="274"/>
      <c r="K2436" s="274"/>
      <c r="L2436" s="274"/>
      <c r="M2436" s="274"/>
      <c r="N2436" s="274"/>
      <c r="P2436" s="275"/>
    </row>
    <row r="2437" ht="15.75" customHeight="1">
      <c r="B2437" s="282"/>
      <c r="H2437" s="273"/>
      <c r="I2437" s="274"/>
      <c r="J2437" s="274"/>
      <c r="K2437" s="274"/>
      <c r="L2437" s="274"/>
      <c r="M2437" s="274"/>
      <c r="N2437" s="274"/>
      <c r="P2437" s="275"/>
    </row>
    <row r="2438" ht="15.75" customHeight="1">
      <c r="B2438" s="282"/>
      <c r="H2438" s="273"/>
      <c r="I2438" s="274"/>
      <c r="J2438" s="274"/>
      <c r="K2438" s="274"/>
      <c r="L2438" s="274"/>
      <c r="M2438" s="274"/>
      <c r="N2438" s="274"/>
      <c r="P2438" s="275"/>
    </row>
    <row r="2439" ht="15.75" customHeight="1">
      <c r="B2439" s="282"/>
      <c r="H2439" s="273"/>
      <c r="I2439" s="274"/>
      <c r="J2439" s="274"/>
      <c r="K2439" s="274"/>
      <c r="L2439" s="274"/>
      <c r="M2439" s="274"/>
      <c r="N2439" s="274"/>
      <c r="P2439" s="275"/>
    </row>
    <row r="2440" ht="15.75" customHeight="1">
      <c r="B2440" s="282"/>
      <c r="H2440" s="273"/>
      <c r="I2440" s="274"/>
      <c r="J2440" s="274"/>
      <c r="K2440" s="274"/>
      <c r="L2440" s="274"/>
      <c r="M2440" s="274"/>
      <c r="N2440" s="274"/>
      <c r="P2440" s="275"/>
    </row>
    <row r="2441" ht="15.75" customHeight="1">
      <c r="B2441" s="282"/>
      <c r="H2441" s="273"/>
      <c r="I2441" s="274"/>
      <c r="J2441" s="274"/>
      <c r="K2441" s="274"/>
      <c r="L2441" s="274"/>
      <c r="M2441" s="274"/>
      <c r="N2441" s="274"/>
      <c r="P2441" s="275"/>
    </row>
    <row r="2442" ht="15.75" customHeight="1">
      <c r="B2442" s="282"/>
      <c r="H2442" s="273"/>
      <c r="I2442" s="274"/>
      <c r="J2442" s="274"/>
      <c r="K2442" s="274"/>
      <c r="L2442" s="274"/>
      <c r="M2442" s="274"/>
      <c r="N2442" s="274"/>
      <c r="P2442" s="275"/>
    </row>
    <row r="2443" ht="15.75" customHeight="1">
      <c r="B2443" s="282"/>
      <c r="H2443" s="273"/>
      <c r="I2443" s="274"/>
      <c r="J2443" s="274"/>
      <c r="K2443" s="274"/>
      <c r="L2443" s="274"/>
      <c r="M2443" s="274"/>
      <c r="N2443" s="274"/>
      <c r="P2443" s="275"/>
    </row>
    <row r="2444" ht="15.75" customHeight="1">
      <c r="B2444" s="282"/>
      <c r="H2444" s="273"/>
      <c r="I2444" s="274"/>
      <c r="J2444" s="274"/>
      <c r="K2444" s="274"/>
      <c r="L2444" s="274"/>
      <c r="M2444" s="274"/>
      <c r="N2444" s="274"/>
      <c r="P2444" s="275"/>
    </row>
    <row r="2445" ht="15.75" customHeight="1">
      <c r="B2445" s="282"/>
      <c r="H2445" s="273"/>
      <c r="I2445" s="274"/>
      <c r="J2445" s="274"/>
      <c r="K2445" s="274"/>
      <c r="L2445" s="274"/>
      <c r="M2445" s="274"/>
      <c r="N2445" s="274"/>
      <c r="P2445" s="275"/>
    </row>
    <row r="2446" ht="15.75" customHeight="1">
      <c r="B2446" s="282"/>
      <c r="H2446" s="273"/>
      <c r="I2446" s="274"/>
      <c r="J2446" s="274"/>
      <c r="K2446" s="274"/>
      <c r="L2446" s="274"/>
      <c r="M2446" s="274"/>
      <c r="N2446" s="274"/>
      <c r="P2446" s="275"/>
    </row>
    <row r="2447" ht="15.75" customHeight="1">
      <c r="B2447" s="282"/>
      <c r="H2447" s="273"/>
      <c r="I2447" s="274"/>
      <c r="J2447" s="274"/>
      <c r="K2447" s="274"/>
      <c r="L2447" s="274"/>
      <c r="M2447" s="274"/>
      <c r="N2447" s="274"/>
      <c r="P2447" s="275"/>
    </row>
    <row r="2448" ht="15.75" customHeight="1">
      <c r="B2448" s="282"/>
      <c r="H2448" s="273"/>
      <c r="I2448" s="274"/>
      <c r="J2448" s="274"/>
      <c r="K2448" s="274"/>
      <c r="L2448" s="274"/>
      <c r="M2448" s="274"/>
      <c r="N2448" s="274"/>
      <c r="P2448" s="275"/>
    </row>
    <row r="2449" ht="15.75" customHeight="1">
      <c r="B2449" s="282"/>
      <c r="H2449" s="273"/>
      <c r="I2449" s="274"/>
      <c r="J2449" s="274"/>
      <c r="K2449" s="274"/>
      <c r="L2449" s="274"/>
      <c r="M2449" s="274"/>
      <c r="N2449" s="274"/>
      <c r="P2449" s="275"/>
    </row>
    <row r="2450" ht="15.75" customHeight="1">
      <c r="B2450" s="282"/>
      <c r="H2450" s="273"/>
      <c r="I2450" s="274"/>
      <c r="J2450" s="274"/>
      <c r="K2450" s="274"/>
      <c r="L2450" s="274"/>
      <c r="M2450" s="274"/>
      <c r="N2450" s="274"/>
      <c r="P2450" s="275"/>
    </row>
    <row r="2451" ht="15.75" customHeight="1">
      <c r="B2451" s="282"/>
      <c r="H2451" s="273"/>
      <c r="I2451" s="274"/>
      <c r="J2451" s="274"/>
      <c r="K2451" s="274"/>
      <c r="L2451" s="274"/>
      <c r="M2451" s="274"/>
      <c r="N2451" s="274"/>
      <c r="P2451" s="275"/>
    </row>
    <row r="2452" ht="15.75" customHeight="1">
      <c r="B2452" s="282"/>
      <c r="H2452" s="273"/>
      <c r="I2452" s="274"/>
      <c r="J2452" s="274"/>
      <c r="K2452" s="274"/>
      <c r="L2452" s="274"/>
      <c r="M2452" s="274"/>
      <c r="N2452" s="274"/>
      <c r="P2452" s="275"/>
    </row>
    <row r="2453" ht="15.75" customHeight="1">
      <c r="B2453" s="282"/>
      <c r="H2453" s="273"/>
      <c r="I2453" s="274"/>
      <c r="J2453" s="274"/>
      <c r="K2453" s="274"/>
      <c r="L2453" s="274"/>
      <c r="M2453" s="274"/>
      <c r="N2453" s="274"/>
      <c r="P2453" s="275"/>
    </row>
    <row r="2454" ht="15.75" customHeight="1">
      <c r="B2454" s="282"/>
      <c r="H2454" s="273"/>
      <c r="I2454" s="274"/>
      <c r="J2454" s="274"/>
      <c r="K2454" s="274"/>
      <c r="L2454" s="274"/>
      <c r="M2454" s="274"/>
      <c r="N2454" s="274"/>
      <c r="P2454" s="275"/>
    </row>
    <row r="2455" ht="15.75" customHeight="1">
      <c r="B2455" s="282"/>
      <c r="H2455" s="273"/>
      <c r="I2455" s="274"/>
      <c r="J2455" s="274"/>
      <c r="K2455" s="274"/>
      <c r="L2455" s="274"/>
      <c r="M2455" s="274"/>
      <c r="N2455" s="274"/>
      <c r="P2455" s="275"/>
    </row>
    <row r="2456" ht="15.75" customHeight="1">
      <c r="B2456" s="282"/>
      <c r="H2456" s="273"/>
      <c r="I2456" s="274"/>
      <c r="J2456" s="274"/>
      <c r="K2456" s="274"/>
      <c r="L2456" s="274"/>
      <c r="M2456" s="274"/>
      <c r="N2456" s="274"/>
      <c r="P2456" s="275"/>
    </row>
    <row r="2457" ht="15.75" customHeight="1">
      <c r="B2457" s="282"/>
      <c r="H2457" s="273"/>
      <c r="I2457" s="274"/>
      <c r="J2457" s="274"/>
      <c r="K2457" s="274"/>
      <c r="L2457" s="274"/>
      <c r="M2457" s="274"/>
      <c r="N2457" s="274"/>
      <c r="P2457" s="275"/>
    </row>
    <row r="2458" ht="15.75" customHeight="1">
      <c r="B2458" s="282"/>
      <c r="H2458" s="273"/>
      <c r="I2458" s="274"/>
      <c r="J2458" s="274"/>
      <c r="K2458" s="274"/>
      <c r="L2458" s="274"/>
      <c r="M2458" s="274"/>
      <c r="N2458" s="274"/>
      <c r="P2458" s="275"/>
    </row>
    <row r="2459" ht="15.75" customHeight="1">
      <c r="B2459" s="282"/>
      <c r="H2459" s="273"/>
      <c r="I2459" s="274"/>
      <c r="J2459" s="274"/>
      <c r="K2459" s="274"/>
      <c r="L2459" s="274"/>
      <c r="M2459" s="274"/>
      <c r="N2459" s="274"/>
      <c r="P2459" s="275"/>
    </row>
    <row r="2460" ht="15.75" customHeight="1">
      <c r="B2460" s="282"/>
      <c r="H2460" s="273"/>
      <c r="I2460" s="274"/>
      <c r="J2460" s="274"/>
      <c r="K2460" s="274"/>
      <c r="L2460" s="274"/>
      <c r="M2460" s="274"/>
      <c r="N2460" s="274"/>
      <c r="P2460" s="275"/>
    </row>
    <row r="2461" ht="15.75" customHeight="1">
      <c r="B2461" s="282"/>
      <c r="H2461" s="273"/>
      <c r="I2461" s="274"/>
      <c r="J2461" s="274"/>
      <c r="K2461" s="274"/>
      <c r="L2461" s="274"/>
      <c r="M2461" s="274"/>
      <c r="N2461" s="274"/>
      <c r="P2461" s="275"/>
    </row>
    <row r="2462" ht="15.75" customHeight="1">
      <c r="B2462" s="282"/>
      <c r="H2462" s="273"/>
      <c r="I2462" s="274"/>
      <c r="J2462" s="274"/>
      <c r="K2462" s="274"/>
      <c r="L2462" s="274"/>
      <c r="M2462" s="274"/>
      <c r="N2462" s="274"/>
      <c r="P2462" s="275"/>
    </row>
    <row r="2463" ht="15.75" customHeight="1">
      <c r="B2463" s="282"/>
      <c r="H2463" s="273"/>
      <c r="I2463" s="274"/>
      <c r="J2463" s="274"/>
      <c r="K2463" s="274"/>
      <c r="L2463" s="274"/>
      <c r="M2463" s="274"/>
      <c r="N2463" s="274"/>
      <c r="P2463" s="275"/>
    </row>
    <row r="2464" ht="15.75" customHeight="1">
      <c r="B2464" s="282"/>
      <c r="H2464" s="273"/>
      <c r="I2464" s="274"/>
      <c r="J2464" s="274"/>
      <c r="K2464" s="274"/>
      <c r="L2464" s="274"/>
      <c r="M2464" s="274"/>
      <c r="N2464" s="274"/>
      <c r="P2464" s="275"/>
    </row>
    <row r="2465" ht="15.75" customHeight="1">
      <c r="B2465" s="282"/>
      <c r="H2465" s="273"/>
      <c r="I2465" s="274"/>
      <c r="J2465" s="274"/>
      <c r="K2465" s="274"/>
      <c r="L2465" s="274"/>
      <c r="M2465" s="274"/>
      <c r="N2465" s="274"/>
      <c r="P2465" s="275"/>
    </row>
    <row r="2466" ht="15.75" customHeight="1">
      <c r="B2466" s="282"/>
      <c r="H2466" s="273"/>
      <c r="I2466" s="274"/>
      <c r="J2466" s="274"/>
      <c r="K2466" s="274"/>
      <c r="L2466" s="274"/>
      <c r="M2466" s="274"/>
      <c r="N2466" s="274"/>
      <c r="P2466" s="275"/>
    </row>
    <row r="2467" ht="15.75" customHeight="1">
      <c r="B2467" s="282"/>
      <c r="H2467" s="273"/>
      <c r="I2467" s="274"/>
      <c r="J2467" s="274"/>
      <c r="K2467" s="274"/>
      <c r="L2467" s="274"/>
      <c r="M2467" s="274"/>
      <c r="N2467" s="274"/>
      <c r="P2467" s="275"/>
    </row>
    <row r="2468" ht="15.75" customHeight="1">
      <c r="B2468" s="282"/>
      <c r="H2468" s="273"/>
      <c r="I2468" s="274"/>
      <c r="J2468" s="274"/>
      <c r="K2468" s="274"/>
      <c r="L2468" s="274"/>
      <c r="M2468" s="274"/>
      <c r="N2468" s="274"/>
      <c r="P2468" s="275"/>
    </row>
    <row r="2469" ht="15.75" customHeight="1">
      <c r="B2469" s="282"/>
      <c r="H2469" s="273"/>
      <c r="I2469" s="274"/>
      <c r="J2469" s="274"/>
      <c r="K2469" s="274"/>
      <c r="L2469" s="274"/>
      <c r="M2469" s="274"/>
      <c r="N2469" s="274"/>
      <c r="P2469" s="275"/>
    </row>
    <row r="2470" ht="15.75" customHeight="1">
      <c r="B2470" s="282"/>
      <c r="H2470" s="273"/>
      <c r="I2470" s="274"/>
      <c r="J2470" s="274"/>
      <c r="K2470" s="274"/>
      <c r="L2470" s="274"/>
      <c r="M2470" s="274"/>
      <c r="N2470" s="274"/>
      <c r="P2470" s="275"/>
    </row>
    <row r="2471" ht="15.75" customHeight="1">
      <c r="B2471" s="282"/>
      <c r="H2471" s="273"/>
      <c r="I2471" s="274"/>
      <c r="J2471" s="274"/>
      <c r="K2471" s="274"/>
      <c r="L2471" s="274"/>
      <c r="M2471" s="274"/>
      <c r="N2471" s="274"/>
      <c r="P2471" s="275"/>
    </row>
    <row r="2472" ht="15.75" customHeight="1">
      <c r="B2472" s="282"/>
      <c r="H2472" s="273"/>
      <c r="I2472" s="274"/>
      <c r="J2472" s="274"/>
      <c r="K2472" s="274"/>
      <c r="L2472" s="274"/>
      <c r="M2472" s="274"/>
      <c r="N2472" s="274"/>
      <c r="P2472" s="275"/>
    </row>
    <row r="2473" ht="15.75" customHeight="1">
      <c r="B2473" s="282"/>
      <c r="H2473" s="273"/>
      <c r="I2473" s="274"/>
      <c r="J2473" s="274"/>
      <c r="K2473" s="274"/>
      <c r="L2473" s="274"/>
      <c r="M2473" s="274"/>
      <c r="N2473" s="274"/>
      <c r="P2473" s="275"/>
    </row>
    <row r="2474" ht="15.75" customHeight="1">
      <c r="B2474" s="282"/>
      <c r="H2474" s="273"/>
      <c r="I2474" s="274"/>
      <c r="J2474" s="274"/>
      <c r="K2474" s="274"/>
      <c r="L2474" s="274"/>
      <c r="M2474" s="274"/>
      <c r="N2474" s="274"/>
      <c r="P2474" s="275"/>
    </row>
    <row r="2475" ht="15.75" customHeight="1">
      <c r="B2475" s="282"/>
      <c r="H2475" s="273"/>
      <c r="I2475" s="274"/>
      <c r="J2475" s="274"/>
      <c r="K2475" s="274"/>
      <c r="L2475" s="274"/>
      <c r="M2475" s="274"/>
      <c r="N2475" s="274"/>
      <c r="P2475" s="275"/>
    </row>
    <row r="2476" ht="15.75" customHeight="1">
      <c r="B2476" s="282"/>
      <c r="H2476" s="273"/>
      <c r="I2476" s="274"/>
      <c r="J2476" s="274"/>
      <c r="K2476" s="274"/>
      <c r="L2476" s="274"/>
      <c r="M2476" s="274"/>
      <c r="N2476" s="274"/>
      <c r="P2476" s="275"/>
    </row>
    <row r="2477" ht="15.75" customHeight="1">
      <c r="B2477" s="282"/>
      <c r="H2477" s="273"/>
      <c r="I2477" s="274"/>
      <c r="J2477" s="274"/>
      <c r="K2477" s="274"/>
      <c r="L2477" s="274"/>
      <c r="M2477" s="274"/>
      <c r="N2477" s="274"/>
      <c r="P2477" s="275"/>
    </row>
    <row r="2478" ht="15.75" customHeight="1">
      <c r="B2478" s="282"/>
      <c r="H2478" s="273"/>
      <c r="I2478" s="274"/>
      <c r="J2478" s="274"/>
      <c r="K2478" s="274"/>
      <c r="L2478" s="274"/>
      <c r="M2478" s="274"/>
      <c r="N2478" s="274"/>
      <c r="P2478" s="275"/>
    </row>
    <row r="2479" ht="15.75" customHeight="1">
      <c r="B2479" s="282"/>
      <c r="H2479" s="273"/>
      <c r="I2479" s="274"/>
      <c r="J2479" s="274"/>
      <c r="K2479" s="274"/>
      <c r="L2479" s="274"/>
      <c r="M2479" s="274"/>
      <c r="N2479" s="274"/>
      <c r="P2479" s="275"/>
    </row>
    <row r="2480" ht="15.75" customHeight="1">
      <c r="B2480" s="282"/>
      <c r="H2480" s="273"/>
      <c r="I2480" s="274"/>
      <c r="J2480" s="274"/>
      <c r="K2480" s="274"/>
      <c r="L2480" s="274"/>
      <c r="M2480" s="274"/>
      <c r="N2480" s="274"/>
      <c r="P2480" s="275"/>
    </row>
    <row r="2481" ht="15.75" customHeight="1">
      <c r="B2481" s="282"/>
      <c r="H2481" s="273"/>
      <c r="I2481" s="274"/>
      <c r="J2481" s="274"/>
      <c r="K2481" s="274"/>
      <c r="L2481" s="274"/>
      <c r="M2481" s="274"/>
      <c r="N2481" s="274"/>
      <c r="P2481" s="275"/>
    </row>
    <row r="2482" ht="15.75" customHeight="1">
      <c r="B2482" s="282"/>
      <c r="H2482" s="273"/>
      <c r="I2482" s="274"/>
      <c r="J2482" s="274"/>
      <c r="K2482" s="274"/>
      <c r="L2482" s="274"/>
      <c r="M2482" s="274"/>
      <c r="N2482" s="274"/>
      <c r="P2482" s="275"/>
    </row>
    <row r="2483" ht="15.75" customHeight="1">
      <c r="B2483" s="282"/>
      <c r="H2483" s="273"/>
      <c r="I2483" s="274"/>
      <c r="J2483" s="274"/>
      <c r="K2483" s="274"/>
      <c r="L2483" s="274"/>
      <c r="M2483" s="274"/>
      <c r="N2483" s="274"/>
      <c r="P2483" s="275"/>
    </row>
    <row r="2484" ht="15.75" customHeight="1">
      <c r="B2484" s="282"/>
      <c r="H2484" s="273"/>
      <c r="I2484" s="274"/>
      <c r="J2484" s="274"/>
      <c r="K2484" s="274"/>
      <c r="L2484" s="274"/>
      <c r="M2484" s="274"/>
      <c r="N2484" s="274"/>
      <c r="P2484" s="275"/>
    </row>
    <row r="2485" ht="15.75" customHeight="1">
      <c r="B2485" s="282"/>
      <c r="H2485" s="273"/>
      <c r="I2485" s="274"/>
      <c r="J2485" s="274"/>
      <c r="K2485" s="274"/>
      <c r="L2485" s="274"/>
      <c r="M2485" s="274"/>
      <c r="N2485" s="274"/>
      <c r="P2485" s="275"/>
    </row>
    <row r="2486" ht="15.75" customHeight="1">
      <c r="B2486" s="282"/>
      <c r="H2486" s="273"/>
      <c r="I2486" s="274"/>
      <c r="J2486" s="274"/>
      <c r="K2486" s="274"/>
      <c r="L2486" s="274"/>
      <c r="M2486" s="274"/>
      <c r="N2486" s="274"/>
      <c r="P2486" s="275"/>
    </row>
    <row r="2487" ht="15.75" customHeight="1">
      <c r="B2487" s="282"/>
      <c r="H2487" s="273"/>
      <c r="I2487" s="274"/>
      <c r="J2487" s="274"/>
      <c r="K2487" s="274"/>
      <c r="L2487" s="274"/>
      <c r="M2487" s="274"/>
      <c r="N2487" s="274"/>
      <c r="P2487" s="275"/>
    </row>
    <row r="2488" ht="15.75" customHeight="1">
      <c r="B2488" s="282"/>
      <c r="H2488" s="273"/>
      <c r="I2488" s="274"/>
      <c r="J2488" s="274"/>
      <c r="K2488" s="274"/>
      <c r="L2488" s="274"/>
      <c r="M2488" s="274"/>
      <c r="N2488" s="274"/>
      <c r="P2488" s="275"/>
    </row>
    <row r="2489" ht="15.75" customHeight="1">
      <c r="B2489" s="282"/>
      <c r="H2489" s="273"/>
      <c r="I2489" s="274"/>
      <c r="J2489" s="274"/>
      <c r="K2489" s="274"/>
      <c r="L2489" s="274"/>
      <c r="M2489" s="274"/>
      <c r="N2489" s="274"/>
      <c r="P2489" s="275"/>
    </row>
    <row r="2490" ht="15.75" customHeight="1">
      <c r="B2490" s="282"/>
      <c r="H2490" s="273"/>
      <c r="I2490" s="274"/>
      <c r="J2490" s="274"/>
      <c r="K2490" s="274"/>
      <c r="L2490" s="274"/>
      <c r="M2490" s="274"/>
      <c r="N2490" s="274"/>
      <c r="P2490" s="275"/>
    </row>
    <row r="2491" ht="15.75" customHeight="1">
      <c r="B2491" s="282"/>
      <c r="H2491" s="273"/>
      <c r="I2491" s="274"/>
      <c r="J2491" s="274"/>
      <c r="K2491" s="274"/>
      <c r="L2491" s="274"/>
      <c r="M2491" s="274"/>
      <c r="N2491" s="274"/>
      <c r="P2491" s="275"/>
    </row>
    <row r="2492" ht="15.75" customHeight="1">
      <c r="B2492" s="282"/>
      <c r="H2492" s="273"/>
      <c r="I2492" s="274"/>
      <c r="J2492" s="274"/>
      <c r="K2492" s="274"/>
      <c r="L2492" s="274"/>
      <c r="M2492" s="274"/>
      <c r="N2492" s="274"/>
      <c r="P2492" s="275"/>
    </row>
    <row r="2493" ht="15.75" customHeight="1">
      <c r="B2493" s="282"/>
      <c r="H2493" s="273"/>
      <c r="I2493" s="274"/>
      <c r="J2493" s="274"/>
      <c r="K2493" s="274"/>
      <c r="L2493" s="274"/>
      <c r="M2493" s="274"/>
      <c r="N2493" s="274"/>
      <c r="P2493" s="275"/>
    </row>
    <row r="2494" ht="15.75" customHeight="1">
      <c r="B2494" s="282"/>
      <c r="H2494" s="273"/>
      <c r="I2494" s="274"/>
      <c r="J2494" s="274"/>
      <c r="K2494" s="274"/>
      <c r="L2494" s="274"/>
      <c r="M2494" s="274"/>
      <c r="N2494" s="274"/>
      <c r="P2494" s="275"/>
    </row>
    <row r="2495" ht="15.75" customHeight="1">
      <c r="B2495" s="282"/>
      <c r="H2495" s="273"/>
      <c r="I2495" s="274"/>
      <c r="J2495" s="274"/>
      <c r="K2495" s="274"/>
      <c r="L2495" s="274"/>
      <c r="M2495" s="274"/>
      <c r="N2495" s="274"/>
      <c r="P2495" s="275"/>
    </row>
    <row r="2496" ht="15.75" customHeight="1">
      <c r="B2496" s="282"/>
      <c r="H2496" s="273"/>
      <c r="I2496" s="274"/>
      <c r="J2496" s="274"/>
      <c r="K2496" s="274"/>
      <c r="L2496" s="274"/>
      <c r="M2496" s="274"/>
      <c r="N2496" s="274"/>
      <c r="P2496" s="275"/>
    </row>
    <row r="2497" ht="15.75" customHeight="1">
      <c r="B2497" s="282"/>
      <c r="H2497" s="273"/>
      <c r="I2497" s="274"/>
      <c r="J2497" s="274"/>
      <c r="K2497" s="274"/>
      <c r="L2497" s="274"/>
      <c r="M2497" s="274"/>
      <c r="N2497" s="274"/>
      <c r="P2497" s="275"/>
    </row>
    <row r="2498" ht="15.75" customHeight="1">
      <c r="B2498" s="282"/>
      <c r="H2498" s="273"/>
      <c r="I2498" s="274"/>
      <c r="J2498" s="274"/>
      <c r="K2498" s="274"/>
      <c r="L2498" s="274"/>
      <c r="M2498" s="274"/>
      <c r="N2498" s="274"/>
      <c r="P2498" s="275"/>
    </row>
    <row r="2499" ht="15.75" customHeight="1">
      <c r="B2499" s="282"/>
      <c r="H2499" s="273"/>
      <c r="I2499" s="274"/>
      <c r="J2499" s="274"/>
      <c r="K2499" s="274"/>
      <c r="L2499" s="274"/>
      <c r="M2499" s="274"/>
      <c r="N2499" s="274"/>
      <c r="P2499" s="275"/>
    </row>
    <row r="2500" ht="15.75" customHeight="1">
      <c r="B2500" s="282"/>
      <c r="H2500" s="273"/>
      <c r="I2500" s="274"/>
      <c r="J2500" s="274"/>
      <c r="K2500" s="274"/>
      <c r="L2500" s="274"/>
      <c r="M2500" s="274"/>
      <c r="N2500" s="274"/>
      <c r="P2500" s="275"/>
    </row>
    <row r="2501" ht="15.75" customHeight="1">
      <c r="B2501" s="282"/>
      <c r="H2501" s="273"/>
      <c r="I2501" s="274"/>
      <c r="J2501" s="274"/>
      <c r="K2501" s="274"/>
      <c r="L2501" s="274"/>
      <c r="M2501" s="274"/>
      <c r="N2501" s="274"/>
      <c r="P2501" s="275"/>
    </row>
    <row r="2502" ht="15.75" customHeight="1">
      <c r="B2502" s="282"/>
      <c r="H2502" s="273"/>
      <c r="I2502" s="274"/>
      <c r="J2502" s="274"/>
      <c r="K2502" s="274"/>
      <c r="L2502" s="274"/>
      <c r="M2502" s="274"/>
      <c r="N2502" s="274"/>
      <c r="P2502" s="275"/>
    </row>
    <row r="2503" ht="15.75" customHeight="1">
      <c r="B2503" s="282"/>
      <c r="H2503" s="273"/>
      <c r="I2503" s="274"/>
      <c r="J2503" s="274"/>
      <c r="K2503" s="274"/>
      <c r="L2503" s="274"/>
      <c r="M2503" s="274"/>
      <c r="N2503" s="274"/>
      <c r="P2503" s="275"/>
    </row>
    <row r="2504" ht="15.75" customHeight="1">
      <c r="B2504" s="282"/>
      <c r="H2504" s="273"/>
      <c r="I2504" s="274"/>
      <c r="J2504" s="274"/>
      <c r="K2504" s="274"/>
      <c r="L2504" s="274"/>
      <c r="M2504" s="274"/>
      <c r="N2504" s="274"/>
      <c r="P2504" s="275"/>
    </row>
    <row r="2505" ht="15.75" customHeight="1">
      <c r="B2505" s="282"/>
      <c r="H2505" s="273"/>
      <c r="I2505" s="274"/>
      <c r="J2505" s="274"/>
      <c r="K2505" s="274"/>
      <c r="L2505" s="274"/>
      <c r="M2505" s="274"/>
      <c r="N2505" s="274"/>
      <c r="P2505" s="275"/>
    </row>
    <row r="2506" ht="15.75" customHeight="1">
      <c r="B2506" s="282"/>
      <c r="H2506" s="273"/>
      <c r="I2506" s="274"/>
      <c r="J2506" s="274"/>
      <c r="K2506" s="274"/>
      <c r="L2506" s="274"/>
      <c r="M2506" s="274"/>
      <c r="N2506" s="274"/>
      <c r="P2506" s="275"/>
    </row>
    <row r="2507" ht="15.75" customHeight="1">
      <c r="B2507" s="282"/>
      <c r="H2507" s="273"/>
      <c r="I2507" s="274"/>
      <c r="J2507" s="274"/>
      <c r="K2507" s="274"/>
      <c r="L2507" s="274"/>
      <c r="M2507" s="274"/>
      <c r="N2507" s="274"/>
      <c r="P2507" s="275"/>
    </row>
    <row r="2508" ht="15.75" customHeight="1">
      <c r="B2508" s="282"/>
      <c r="H2508" s="273"/>
      <c r="I2508" s="274"/>
      <c r="J2508" s="274"/>
      <c r="K2508" s="274"/>
      <c r="L2508" s="274"/>
      <c r="M2508" s="274"/>
      <c r="N2508" s="274"/>
      <c r="P2508" s="275"/>
    </row>
    <row r="2509" ht="15.75" customHeight="1">
      <c r="B2509" s="282"/>
      <c r="H2509" s="273"/>
      <c r="I2509" s="274"/>
      <c r="J2509" s="274"/>
      <c r="K2509" s="274"/>
      <c r="L2509" s="274"/>
      <c r="M2509" s="274"/>
      <c r="N2509" s="274"/>
      <c r="P2509" s="275"/>
    </row>
    <row r="2510" ht="15.75" customHeight="1">
      <c r="B2510" s="282"/>
      <c r="H2510" s="273"/>
      <c r="I2510" s="274"/>
      <c r="J2510" s="274"/>
      <c r="K2510" s="274"/>
      <c r="L2510" s="274"/>
      <c r="M2510" s="274"/>
      <c r="N2510" s="274"/>
      <c r="P2510" s="275"/>
    </row>
    <row r="2511" ht="15.75" customHeight="1">
      <c r="B2511" s="282"/>
      <c r="H2511" s="273"/>
      <c r="I2511" s="274"/>
      <c r="J2511" s="274"/>
      <c r="K2511" s="274"/>
      <c r="L2511" s="274"/>
      <c r="M2511" s="274"/>
      <c r="N2511" s="274"/>
      <c r="P2511" s="275"/>
    </row>
    <row r="2512" ht="15.75" customHeight="1">
      <c r="B2512" s="282"/>
      <c r="H2512" s="273"/>
      <c r="I2512" s="274"/>
      <c r="J2512" s="274"/>
      <c r="K2512" s="274"/>
      <c r="L2512" s="274"/>
      <c r="M2512" s="274"/>
      <c r="N2512" s="274"/>
      <c r="P2512" s="275"/>
    </row>
    <row r="2513" ht="15.75" customHeight="1">
      <c r="B2513" s="282"/>
      <c r="H2513" s="273"/>
      <c r="I2513" s="274"/>
      <c r="J2513" s="274"/>
      <c r="K2513" s="274"/>
      <c r="L2513" s="274"/>
      <c r="M2513" s="274"/>
      <c r="N2513" s="274"/>
      <c r="P2513" s="275"/>
    </row>
    <row r="2514" ht="15.75" customHeight="1">
      <c r="B2514" s="282"/>
      <c r="H2514" s="273"/>
      <c r="I2514" s="274"/>
      <c r="J2514" s="274"/>
      <c r="K2514" s="274"/>
      <c r="L2514" s="274"/>
      <c r="M2514" s="274"/>
      <c r="N2514" s="274"/>
      <c r="P2514" s="275"/>
    </row>
    <row r="2515" ht="15.75" customHeight="1">
      <c r="B2515" s="282"/>
      <c r="H2515" s="273"/>
      <c r="I2515" s="274"/>
      <c r="J2515" s="274"/>
      <c r="K2515" s="274"/>
      <c r="L2515" s="274"/>
      <c r="M2515" s="274"/>
      <c r="N2515" s="274"/>
      <c r="P2515" s="275"/>
    </row>
    <row r="2516" ht="15.75" customHeight="1">
      <c r="B2516" s="282"/>
      <c r="H2516" s="273"/>
      <c r="I2516" s="274"/>
      <c r="J2516" s="274"/>
      <c r="K2516" s="274"/>
      <c r="L2516" s="274"/>
      <c r="M2516" s="274"/>
      <c r="N2516" s="274"/>
      <c r="P2516" s="275"/>
    </row>
    <row r="2517" ht="15.75" customHeight="1">
      <c r="B2517" s="282"/>
      <c r="H2517" s="273"/>
      <c r="I2517" s="274"/>
      <c r="J2517" s="274"/>
      <c r="K2517" s="274"/>
      <c r="L2517" s="274"/>
      <c r="M2517" s="274"/>
      <c r="N2517" s="274"/>
      <c r="P2517" s="275"/>
    </row>
    <row r="2518" ht="15.75" customHeight="1">
      <c r="B2518" s="282"/>
      <c r="H2518" s="273"/>
      <c r="I2518" s="274"/>
      <c r="J2518" s="274"/>
      <c r="K2518" s="274"/>
      <c r="L2518" s="274"/>
      <c r="M2518" s="274"/>
      <c r="N2518" s="274"/>
      <c r="P2518" s="275"/>
    </row>
    <row r="2519" ht="15.75" customHeight="1">
      <c r="B2519" s="282"/>
      <c r="H2519" s="273"/>
      <c r="I2519" s="274"/>
      <c r="J2519" s="274"/>
      <c r="K2519" s="274"/>
      <c r="L2519" s="274"/>
      <c r="M2519" s="274"/>
      <c r="N2519" s="274"/>
      <c r="P2519" s="275"/>
    </row>
    <row r="2520" ht="15.75" customHeight="1">
      <c r="B2520" s="282"/>
      <c r="H2520" s="273"/>
      <c r="I2520" s="274"/>
      <c r="J2520" s="274"/>
      <c r="K2520" s="274"/>
      <c r="L2520" s="274"/>
      <c r="M2520" s="274"/>
      <c r="N2520" s="274"/>
      <c r="P2520" s="275"/>
    </row>
    <row r="2521" ht="15.75" customHeight="1">
      <c r="B2521" s="282"/>
      <c r="H2521" s="273"/>
      <c r="I2521" s="274"/>
      <c r="J2521" s="274"/>
      <c r="K2521" s="274"/>
      <c r="L2521" s="274"/>
      <c r="M2521" s="274"/>
      <c r="N2521" s="274"/>
      <c r="P2521" s="275"/>
    </row>
    <row r="2522" ht="15.75" customHeight="1">
      <c r="B2522" s="282"/>
      <c r="H2522" s="273"/>
      <c r="I2522" s="274"/>
      <c r="J2522" s="274"/>
      <c r="K2522" s="274"/>
      <c r="L2522" s="274"/>
      <c r="M2522" s="274"/>
      <c r="N2522" s="274"/>
      <c r="P2522" s="275"/>
    </row>
    <row r="2523" ht="15.75" customHeight="1">
      <c r="B2523" s="282"/>
      <c r="H2523" s="273"/>
      <c r="I2523" s="274"/>
      <c r="J2523" s="274"/>
      <c r="K2523" s="274"/>
      <c r="L2523" s="274"/>
      <c r="M2523" s="274"/>
      <c r="N2523" s="274"/>
      <c r="P2523" s="275"/>
    </row>
    <row r="2524" ht="15.75" customHeight="1">
      <c r="B2524" s="282"/>
      <c r="H2524" s="273"/>
      <c r="I2524" s="274"/>
      <c r="J2524" s="274"/>
      <c r="K2524" s="274"/>
      <c r="L2524" s="274"/>
      <c r="M2524" s="274"/>
      <c r="N2524" s="274"/>
      <c r="P2524" s="275"/>
    </row>
    <row r="2525" ht="15.75" customHeight="1">
      <c r="B2525" s="282"/>
      <c r="H2525" s="273"/>
      <c r="I2525" s="274"/>
      <c r="J2525" s="274"/>
      <c r="K2525" s="274"/>
      <c r="L2525" s="274"/>
      <c r="M2525" s="274"/>
      <c r="N2525" s="274"/>
      <c r="P2525" s="275"/>
    </row>
    <row r="2526" ht="15.75" customHeight="1">
      <c r="B2526" s="282"/>
      <c r="H2526" s="273"/>
      <c r="I2526" s="274"/>
      <c r="J2526" s="274"/>
      <c r="K2526" s="274"/>
      <c r="L2526" s="274"/>
      <c r="M2526" s="274"/>
      <c r="N2526" s="274"/>
      <c r="P2526" s="275"/>
    </row>
    <row r="2527" ht="15.75" customHeight="1">
      <c r="B2527" s="282"/>
      <c r="H2527" s="273"/>
      <c r="I2527" s="274"/>
      <c r="J2527" s="274"/>
      <c r="K2527" s="274"/>
      <c r="L2527" s="274"/>
      <c r="M2527" s="274"/>
      <c r="N2527" s="274"/>
      <c r="P2527" s="275"/>
    </row>
    <row r="2528" ht="15.75" customHeight="1">
      <c r="B2528" s="282"/>
      <c r="H2528" s="273"/>
      <c r="I2528" s="274"/>
      <c r="J2528" s="274"/>
      <c r="K2528" s="274"/>
      <c r="L2528" s="274"/>
      <c r="M2528" s="274"/>
      <c r="N2528" s="274"/>
      <c r="P2528" s="275"/>
    </row>
    <row r="2529" ht="15.75" customHeight="1">
      <c r="B2529" s="282"/>
      <c r="H2529" s="273"/>
      <c r="I2529" s="274"/>
      <c r="J2529" s="274"/>
      <c r="K2529" s="274"/>
      <c r="L2529" s="274"/>
      <c r="M2529" s="274"/>
      <c r="N2529" s="274"/>
      <c r="P2529" s="275"/>
    </row>
    <row r="2530" ht="15.75" customHeight="1">
      <c r="B2530" s="282"/>
      <c r="H2530" s="273"/>
      <c r="I2530" s="274"/>
      <c r="J2530" s="274"/>
      <c r="K2530" s="274"/>
      <c r="L2530" s="274"/>
      <c r="M2530" s="274"/>
      <c r="N2530" s="274"/>
      <c r="P2530" s="275"/>
    </row>
    <row r="2531" ht="15.75" customHeight="1">
      <c r="B2531" s="282"/>
      <c r="H2531" s="273"/>
      <c r="I2531" s="274"/>
      <c r="J2531" s="274"/>
      <c r="K2531" s="274"/>
      <c r="L2531" s="274"/>
      <c r="M2531" s="274"/>
      <c r="N2531" s="274"/>
      <c r="P2531" s="275"/>
    </row>
    <row r="2532" ht="15.75" customHeight="1">
      <c r="B2532" s="282"/>
      <c r="H2532" s="273"/>
      <c r="I2532" s="274"/>
      <c r="J2532" s="274"/>
      <c r="K2532" s="274"/>
      <c r="L2532" s="274"/>
      <c r="M2532" s="274"/>
      <c r="N2532" s="274"/>
      <c r="P2532" s="275"/>
    </row>
    <row r="2533" ht="15.75" customHeight="1">
      <c r="B2533" s="282"/>
      <c r="H2533" s="273"/>
      <c r="I2533" s="274"/>
      <c r="J2533" s="274"/>
      <c r="K2533" s="274"/>
      <c r="L2533" s="274"/>
      <c r="M2533" s="274"/>
      <c r="N2533" s="274"/>
      <c r="P2533" s="275"/>
    </row>
    <row r="2534" ht="15.75" customHeight="1">
      <c r="B2534" s="282"/>
      <c r="H2534" s="273"/>
      <c r="I2534" s="274"/>
      <c r="J2534" s="274"/>
      <c r="K2534" s="274"/>
      <c r="L2534" s="274"/>
      <c r="M2534" s="274"/>
      <c r="N2534" s="274"/>
      <c r="P2534" s="275"/>
    </row>
    <row r="2535" ht="15.75" customHeight="1">
      <c r="B2535" s="282"/>
      <c r="H2535" s="273"/>
      <c r="I2535" s="274"/>
      <c r="J2535" s="274"/>
      <c r="K2535" s="274"/>
      <c r="L2535" s="274"/>
      <c r="M2535" s="274"/>
      <c r="N2535" s="274"/>
      <c r="P2535" s="275"/>
    </row>
    <row r="2536" ht="15.75" customHeight="1">
      <c r="B2536" s="282"/>
      <c r="H2536" s="273"/>
      <c r="I2536" s="274"/>
      <c r="J2536" s="274"/>
      <c r="K2536" s="274"/>
      <c r="L2536" s="274"/>
      <c r="M2536" s="274"/>
      <c r="N2536" s="274"/>
      <c r="P2536" s="275"/>
    </row>
    <row r="2537" ht="15.75" customHeight="1">
      <c r="B2537" s="282"/>
      <c r="H2537" s="273"/>
      <c r="I2537" s="274"/>
      <c r="J2537" s="274"/>
      <c r="K2537" s="274"/>
      <c r="L2537" s="274"/>
      <c r="M2537" s="274"/>
      <c r="N2537" s="274"/>
      <c r="P2537" s="275"/>
    </row>
    <row r="2538" ht="15.75" customHeight="1">
      <c r="B2538" s="282"/>
      <c r="H2538" s="273"/>
      <c r="I2538" s="274"/>
      <c r="J2538" s="274"/>
      <c r="K2538" s="274"/>
      <c r="L2538" s="274"/>
      <c r="M2538" s="274"/>
      <c r="N2538" s="274"/>
      <c r="P2538" s="275"/>
    </row>
    <row r="2539" ht="15.75" customHeight="1">
      <c r="B2539" s="282"/>
      <c r="H2539" s="273"/>
      <c r="I2539" s="274"/>
      <c r="J2539" s="274"/>
      <c r="K2539" s="274"/>
      <c r="L2539" s="274"/>
      <c r="M2539" s="274"/>
      <c r="N2539" s="274"/>
      <c r="P2539" s="275"/>
    </row>
    <row r="2540" ht="15.75" customHeight="1">
      <c r="B2540" s="282"/>
      <c r="H2540" s="273"/>
      <c r="I2540" s="274"/>
      <c r="J2540" s="274"/>
      <c r="K2540" s="274"/>
      <c r="L2540" s="274"/>
      <c r="M2540" s="274"/>
      <c r="N2540" s="274"/>
      <c r="P2540" s="275"/>
    </row>
    <row r="2541" ht="15.75" customHeight="1">
      <c r="B2541" s="282"/>
      <c r="H2541" s="273"/>
      <c r="I2541" s="274"/>
      <c r="J2541" s="274"/>
      <c r="K2541" s="274"/>
      <c r="L2541" s="274"/>
      <c r="M2541" s="274"/>
      <c r="N2541" s="274"/>
      <c r="P2541" s="275"/>
    </row>
    <row r="2542" ht="15.75" customHeight="1">
      <c r="B2542" s="282"/>
      <c r="H2542" s="273"/>
      <c r="I2542" s="274"/>
      <c r="J2542" s="274"/>
      <c r="K2542" s="274"/>
      <c r="L2542" s="274"/>
      <c r="M2542" s="274"/>
      <c r="N2542" s="274"/>
      <c r="P2542" s="275"/>
    </row>
    <row r="2543" ht="15.75" customHeight="1">
      <c r="B2543" s="282"/>
      <c r="H2543" s="273"/>
      <c r="I2543" s="274"/>
      <c r="J2543" s="274"/>
      <c r="K2543" s="274"/>
      <c r="L2543" s="274"/>
      <c r="M2543" s="274"/>
      <c r="N2543" s="274"/>
      <c r="P2543" s="275"/>
    </row>
    <row r="2544" ht="15.75" customHeight="1">
      <c r="B2544" s="282"/>
      <c r="H2544" s="273"/>
      <c r="I2544" s="274"/>
      <c r="J2544" s="274"/>
      <c r="K2544" s="274"/>
      <c r="L2544" s="274"/>
      <c r="M2544" s="274"/>
      <c r="N2544" s="274"/>
      <c r="P2544" s="275"/>
    </row>
    <row r="2545" ht="15.75" customHeight="1">
      <c r="B2545" s="282"/>
      <c r="H2545" s="273"/>
      <c r="I2545" s="274"/>
      <c r="J2545" s="274"/>
      <c r="K2545" s="274"/>
      <c r="L2545" s="274"/>
      <c r="M2545" s="274"/>
      <c r="N2545" s="274"/>
      <c r="P2545" s="275"/>
    </row>
    <row r="2546" ht="15.75" customHeight="1">
      <c r="B2546" s="282"/>
      <c r="H2546" s="273"/>
      <c r="I2546" s="274"/>
      <c r="J2546" s="274"/>
      <c r="K2546" s="274"/>
      <c r="L2546" s="274"/>
      <c r="M2546" s="274"/>
      <c r="N2546" s="274"/>
      <c r="P2546" s="275"/>
    </row>
    <row r="2547" ht="15.75" customHeight="1">
      <c r="B2547" s="282"/>
      <c r="H2547" s="273"/>
      <c r="I2547" s="274"/>
      <c r="J2547" s="274"/>
      <c r="K2547" s="274"/>
      <c r="L2547" s="274"/>
      <c r="M2547" s="274"/>
      <c r="N2547" s="274"/>
      <c r="P2547" s="275"/>
    </row>
    <row r="2548" ht="15.75" customHeight="1">
      <c r="B2548" s="282"/>
      <c r="H2548" s="273"/>
      <c r="I2548" s="274"/>
      <c r="J2548" s="274"/>
      <c r="K2548" s="274"/>
      <c r="L2548" s="274"/>
      <c r="M2548" s="274"/>
      <c r="N2548" s="274"/>
      <c r="P2548" s="275"/>
    </row>
    <row r="2549" ht="15.75" customHeight="1">
      <c r="B2549" s="282"/>
      <c r="H2549" s="273"/>
      <c r="I2549" s="274"/>
      <c r="J2549" s="274"/>
      <c r="K2549" s="274"/>
      <c r="L2549" s="274"/>
      <c r="M2549" s="274"/>
      <c r="N2549" s="274"/>
      <c r="P2549" s="275"/>
    </row>
    <row r="2550" ht="15.75" customHeight="1">
      <c r="B2550" s="282"/>
      <c r="H2550" s="273"/>
      <c r="I2550" s="274"/>
      <c r="J2550" s="274"/>
      <c r="K2550" s="274"/>
      <c r="L2550" s="274"/>
      <c r="M2550" s="274"/>
      <c r="N2550" s="274"/>
      <c r="P2550" s="275"/>
    </row>
    <row r="2551" ht="15.75" customHeight="1">
      <c r="B2551" s="282"/>
      <c r="H2551" s="273"/>
      <c r="I2551" s="274"/>
      <c r="J2551" s="274"/>
      <c r="K2551" s="274"/>
      <c r="L2551" s="274"/>
      <c r="M2551" s="274"/>
      <c r="N2551" s="274"/>
      <c r="P2551" s="275"/>
    </row>
    <row r="2552" ht="15.75" customHeight="1">
      <c r="B2552" s="282"/>
      <c r="H2552" s="273"/>
      <c r="I2552" s="274"/>
      <c r="J2552" s="274"/>
      <c r="K2552" s="274"/>
      <c r="L2552" s="274"/>
      <c r="M2552" s="274"/>
      <c r="N2552" s="274"/>
      <c r="P2552" s="275"/>
    </row>
    <row r="2553" ht="15.75" customHeight="1">
      <c r="B2553" s="282"/>
      <c r="H2553" s="273"/>
      <c r="I2553" s="274"/>
      <c r="J2553" s="274"/>
      <c r="K2553" s="274"/>
      <c r="L2553" s="274"/>
      <c r="M2553" s="274"/>
      <c r="N2553" s="274"/>
      <c r="P2553" s="275"/>
    </row>
    <row r="2554" ht="15.75" customHeight="1">
      <c r="B2554" s="282"/>
      <c r="H2554" s="273"/>
      <c r="I2554" s="274"/>
      <c r="J2554" s="274"/>
      <c r="K2554" s="274"/>
      <c r="L2554" s="274"/>
      <c r="M2554" s="274"/>
      <c r="N2554" s="274"/>
      <c r="P2554" s="275"/>
    </row>
    <row r="2555" ht="15.75" customHeight="1">
      <c r="B2555" s="282"/>
      <c r="H2555" s="273"/>
      <c r="I2555" s="274"/>
      <c r="J2555" s="274"/>
      <c r="K2555" s="274"/>
      <c r="L2555" s="274"/>
      <c r="M2555" s="274"/>
      <c r="N2555" s="274"/>
      <c r="P2555" s="275"/>
    </row>
    <row r="2556" ht="15.75" customHeight="1">
      <c r="B2556" s="282"/>
      <c r="H2556" s="273"/>
      <c r="I2556" s="274"/>
      <c r="J2556" s="274"/>
      <c r="K2556" s="274"/>
      <c r="L2556" s="274"/>
      <c r="M2556" s="274"/>
      <c r="N2556" s="274"/>
      <c r="P2556" s="275"/>
    </row>
    <row r="2557" ht="15.75" customHeight="1">
      <c r="B2557" s="282"/>
      <c r="H2557" s="273"/>
      <c r="I2557" s="274"/>
      <c r="J2557" s="274"/>
      <c r="K2557" s="274"/>
      <c r="L2557" s="274"/>
      <c r="M2557" s="274"/>
      <c r="N2557" s="274"/>
      <c r="P2557" s="275"/>
    </row>
    <row r="2558" ht="15.75" customHeight="1">
      <c r="B2558" s="282"/>
      <c r="H2558" s="273"/>
      <c r="I2558" s="274"/>
      <c r="J2558" s="274"/>
      <c r="K2558" s="274"/>
      <c r="L2558" s="274"/>
      <c r="M2558" s="274"/>
      <c r="N2558" s="274"/>
      <c r="P2558" s="275"/>
    </row>
    <row r="2559" ht="15.75" customHeight="1">
      <c r="B2559" s="282"/>
      <c r="H2559" s="273"/>
      <c r="I2559" s="274"/>
      <c r="J2559" s="274"/>
      <c r="K2559" s="274"/>
      <c r="L2559" s="274"/>
      <c r="M2559" s="274"/>
      <c r="N2559" s="274"/>
      <c r="P2559" s="275"/>
    </row>
    <row r="2560" ht="15.75" customHeight="1">
      <c r="B2560" s="282"/>
      <c r="H2560" s="273"/>
      <c r="I2560" s="274"/>
      <c r="J2560" s="274"/>
      <c r="K2560" s="274"/>
      <c r="L2560" s="274"/>
      <c r="M2560" s="274"/>
      <c r="N2560" s="274"/>
      <c r="P2560" s="275"/>
    </row>
    <row r="2561" ht="15.75" customHeight="1">
      <c r="B2561" s="282"/>
      <c r="H2561" s="273"/>
      <c r="I2561" s="274"/>
      <c r="J2561" s="274"/>
      <c r="K2561" s="274"/>
      <c r="L2561" s="274"/>
      <c r="M2561" s="274"/>
      <c r="N2561" s="274"/>
      <c r="P2561" s="275"/>
    </row>
    <row r="2562" ht="15.75" customHeight="1">
      <c r="B2562" s="282"/>
      <c r="H2562" s="273"/>
      <c r="I2562" s="274"/>
      <c r="J2562" s="274"/>
      <c r="K2562" s="274"/>
      <c r="L2562" s="274"/>
      <c r="M2562" s="274"/>
      <c r="N2562" s="274"/>
      <c r="P2562" s="275"/>
    </row>
    <row r="2563" ht="15.75" customHeight="1">
      <c r="B2563" s="282"/>
      <c r="H2563" s="273"/>
      <c r="I2563" s="274"/>
      <c r="J2563" s="274"/>
      <c r="K2563" s="274"/>
      <c r="L2563" s="274"/>
      <c r="M2563" s="274"/>
      <c r="N2563" s="274"/>
      <c r="P2563" s="275"/>
    </row>
    <row r="2564" ht="15.75" customHeight="1">
      <c r="B2564" s="282"/>
      <c r="H2564" s="273"/>
      <c r="I2564" s="274"/>
      <c r="J2564" s="274"/>
      <c r="K2564" s="274"/>
      <c r="L2564" s="274"/>
      <c r="M2564" s="274"/>
      <c r="N2564" s="274"/>
      <c r="P2564" s="275"/>
    </row>
    <row r="2565" ht="15.75" customHeight="1">
      <c r="B2565" s="282"/>
      <c r="H2565" s="273"/>
      <c r="I2565" s="274"/>
      <c r="J2565" s="274"/>
      <c r="K2565" s="274"/>
      <c r="L2565" s="274"/>
      <c r="M2565" s="274"/>
      <c r="N2565" s="274"/>
      <c r="P2565" s="275"/>
    </row>
    <row r="2566" ht="15.75" customHeight="1">
      <c r="B2566" s="282"/>
      <c r="H2566" s="273"/>
      <c r="I2566" s="274"/>
      <c r="J2566" s="274"/>
      <c r="K2566" s="274"/>
      <c r="L2566" s="274"/>
      <c r="M2566" s="274"/>
      <c r="N2566" s="274"/>
      <c r="P2566" s="275"/>
    </row>
    <row r="2567" ht="15.75" customHeight="1">
      <c r="B2567" s="282"/>
      <c r="H2567" s="273"/>
      <c r="I2567" s="274"/>
      <c r="J2567" s="274"/>
      <c r="K2567" s="274"/>
      <c r="L2567" s="274"/>
      <c r="M2567" s="274"/>
      <c r="N2567" s="274"/>
      <c r="P2567" s="275"/>
    </row>
    <row r="2568" ht="15.75" customHeight="1">
      <c r="B2568" s="282"/>
      <c r="H2568" s="273"/>
      <c r="I2568" s="274"/>
      <c r="J2568" s="274"/>
      <c r="K2568" s="274"/>
      <c r="L2568" s="274"/>
      <c r="M2568" s="274"/>
      <c r="N2568" s="274"/>
      <c r="P2568" s="275"/>
    </row>
    <row r="2569" ht="15.75" customHeight="1">
      <c r="B2569" s="282"/>
      <c r="H2569" s="273"/>
      <c r="I2569" s="274"/>
      <c r="J2569" s="274"/>
      <c r="K2569" s="274"/>
      <c r="L2569" s="274"/>
      <c r="M2569" s="274"/>
      <c r="N2569" s="274"/>
      <c r="P2569" s="275"/>
    </row>
    <row r="2570" ht="15.75" customHeight="1">
      <c r="B2570" s="282"/>
      <c r="H2570" s="273"/>
      <c r="I2570" s="274"/>
      <c r="J2570" s="274"/>
      <c r="K2570" s="274"/>
      <c r="L2570" s="274"/>
      <c r="M2570" s="274"/>
      <c r="N2570" s="274"/>
      <c r="P2570" s="275"/>
    </row>
    <row r="2571" ht="15.75" customHeight="1">
      <c r="B2571" s="282"/>
      <c r="H2571" s="273"/>
      <c r="I2571" s="274"/>
      <c r="J2571" s="274"/>
      <c r="K2571" s="274"/>
      <c r="L2571" s="274"/>
      <c r="M2571" s="274"/>
      <c r="N2571" s="274"/>
      <c r="P2571" s="275"/>
    </row>
    <row r="2572" ht="15.75" customHeight="1">
      <c r="B2572" s="282"/>
      <c r="H2572" s="273"/>
      <c r="I2572" s="274"/>
      <c r="J2572" s="274"/>
      <c r="K2572" s="274"/>
      <c r="L2572" s="274"/>
      <c r="M2572" s="274"/>
      <c r="N2572" s="274"/>
      <c r="P2572" s="275"/>
    </row>
    <row r="2573" ht="15.75" customHeight="1">
      <c r="B2573" s="282"/>
      <c r="H2573" s="273"/>
      <c r="I2573" s="274"/>
      <c r="J2573" s="274"/>
      <c r="K2573" s="274"/>
      <c r="L2573" s="274"/>
      <c r="M2573" s="274"/>
      <c r="N2573" s="274"/>
      <c r="P2573" s="275"/>
    </row>
    <row r="2574" ht="15.75" customHeight="1">
      <c r="B2574" s="282"/>
      <c r="H2574" s="273"/>
      <c r="I2574" s="274"/>
      <c r="J2574" s="274"/>
      <c r="K2574" s="274"/>
      <c r="L2574" s="274"/>
      <c r="M2574" s="274"/>
      <c r="N2574" s="274"/>
      <c r="P2574" s="275"/>
    </row>
    <row r="2575" ht="15.75" customHeight="1">
      <c r="B2575" s="282"/>
      <c r="H2575" s="273"/>
      <c r="I2575" s="274"/>
      <c r="J2575" s="274"/>
      <c r="K2575" s="274"/>
      <c r="L2575" s="274"/>
      <c r="M2575" s="274"/>
      <c r="N2575" s="274"/>
      <c r="P2575" s="275"/>
    </row>
    <row r="2576" ht="15.75" customHeight="1">
      <c r="B2576" s="282"/>
      <c r="H2576" s="273"/>
      <c r="I2576" s="274"/>
      <c r="J2576" s="274"/>
      <c r="K2576" s="274"/>
      <c r="L2576" s="274"/>
      <c r="M2576" s="274"/>
      <c r="N2576" s="274"/>
      <c r="P2576" s="275"/>
    </row>
    <row r="2577" ht="15.75" customHeight="1">
      <c r="B2577" s="282"/>
      <c r="H2577" s="273"/>
      <c r="I2577" s="274"/>
      <c r="J2577" s="274"/>
      <c r="K2577" s="274"/>
      <c r="L2577" s="274"/>
      <c r="M2577" s="274"/>
      <c r="N2577" s="274"/>
      <c r="P2577" s="275"/>
    </row>
    <row r="2578" ht="15.75" customHeight="1">
      <c r="B2578" s="282"/>
      <c r="H2578" s="273"/>
      <c r="I2578" s="274"/>
      <c r="J2578" s="274"/>
      <c r="K2578" s="274"/>
      <c r="L2578" s="274"/>
      <c r="M2578" s="274"/>
      <c r="N2578" s="274"/>
      <c r="P2578" s="275"/>
    </row>
    <row r="2579" ht="15.75" customHeight="1">
      <c r="B2579" s="282"/>
      <c r="H2579" s="273"/>
      <c r="I2579" s="274"/>
      <c r="J2579" s="274"/>
      <c r="K2579" s="274"/>
      <c r="L2579" s="274"/>
      <c r="M2579" s="274"/>
      <c r="N2579" s="274"/>
      <c r="P2579" s="275"/>
    </row>
    <row r="2580" ht="15.75" customHeight="1">
      <c r="B2580" s="282"/>
      <c r="H2580" s="273"/>
      <c r="I2580" s="274"/>
      <c r="J2580" s="274"/>
      <c r="K2580" s="274"/>
      <c r="L2580" s="274"/>
      <c r="M2580" s="274"/>
      <c r="N2580" s="274"/>
      <c r="P2580" s="275"/>
    </row>
    <row r="2581" ht="15.75" customHeight="1">
      <c r="B2581" s="282"/>
      <c r="H2581" s="273"/>
      <c r="I2581" s="274"/>
      <c r="J2581" s="274"/>
      <c r="K2581" s="274"/>
      <c r="L2581" s="274"/>
      <c r="M2581" s="274"/>
      <c r="N2581" s="274"/>
      <c r="P2581" s="275"/>
    </row>
    <row r="2582" ht="15.75" customHeight="1">
      <c r="B2582" s="282"/>
      <c r="H2582" s="273"/>
      <c r="I2582" s="274"/>
      <c r="J2582" s="274"/>
      <c r="K2582" s="274"/>
      <c r="L2582" s="274"/>
      <c r="M2582" s="274"/>
      <c r="N2582" s="274"/>
      <c r="P2582" s="275"/>
    </row>
    <row r="2583" ht="15.75" customHeight="1">
      <c r="B2583" s="282"/>
      <c r="H2583" s="273"/>
      <c r="I2583" s="274"/>
      <c r="J2583" s="274"/>
      <c r="K2583" s="274"/>
      <c r="L2583" s="274"/>
      <c r="M2583" s="274"/>
      <c r="N2583" s="274"/>
      <c r="P2583" s="275"/>
    </row>
    <row r="2584" ht="15.75" customHeight="1">
      <c r="B2584" s="282"/>
      <c r="H2584" s="273"/>
      <c r="I2584" s="274"/>
      <c r="J2584" s="274"/>
      <c r="K2584" s="274"/>
      <c r="L2584" s="274"/>
      <c r="M2584" s="274"/>
      <c r="N2584" s="274"/>
      <c r="P2584" s="275"/>
    </row>
    <row r="2585" ht="15.75" customHeight="1">
      <c r="B2585" s="282"/>
      <c r="H2585" s="273"/>
      <c r="I2585" s="274"/>
      <c r="J2585" s="274"/>
      <c r="K2585" s="274"/>
      <c r="L2585" s="274"/>
      <c r="M2585" s="274"/>
      <c r="N2585" s="274"/>
      <c r="P2585" s="275"/>
    </row>
    <row r="2586" ht="15.75" customHeight="1">
      <c r="B2586" s="282"/>
      <c r="H2586" s="273"/>
      <c r="I2586" s="274"/>
      <c r="J2586" s="274"/>
      <c r="K2586" s="274"/>
      <c r="L2586" s="274"/>
      <c r="M2586" s="274"/>
      <c r="N2586" s="274"/>
      <c r="P2586" s="275"/>
    </row>
    <row r="2587" ht="15.75" customHeight="1">
      <c r="B2587" s="282"/>
      <c r="H2587" s="273"/>
      <c r="I2587" s="274"/>
      <c r="J2587" s="274"/>
      <c r="K2587" s="274"/>
      <c r="L2587" s="274"/>
      <c r="M2587" s="274"/>
      <c r="N2587" s="274"/>
      <c r="P2587" s="275"/>
    </row>
    <row r="2588" ht="15.75" customHeight="1">
      <c r="B2588" s="282"/>
      <c r="H2588" s="273"/>
      <c r="I2588" s="274"/>
      <c r="J2588" s="274"/>
      <c r="K2588" s="274"/>
      <c r="L2588" s="274"/>
      <c r="M2588" s="274"/>
      <c r="N2588" s="274"/>
      <c r="P2588" s="275"/>
    </row>
    <row r="2589" ht="15.75" customHeight="1">
      <c r="B2589" s="282"/>
      <c r="H2589" s="273"/>
      <c r="I2589" s="274"/>
      <c r="J2589" s="274"/>
      <c r="K2589" s="274"/>
      <c r="L2589" s="274"/>
      <c r="M2589" s="274"/>
      <c r="N2589" s="274"/>
      <c r="P2589" s="275"/>
    </row>
    <row r="2590" ht="15.75" customHeight="1">
      <c r="B2590" s="282"/>
      <c r="H2590" s="273"/>
      <c r="I2590" s="274"/>
      <c r="J2590" s="274"/>
      <c r="K2590" s="274"/>
      <c r="L2590" s="274"/>
      <c r="M2590" s="274"/>
      <c r="N2590" s="274"/>
      <c r="P2590" s="275"/>
    </row>
    <row r="2591" ht="15.75" customHeight="1">
      <c r="B2591" s="282"/>
      <c r="H2591" s="273"/>
      <c r="I2591" s="274"/>
      <c r="J2591" s="274"/>
      <c r="K2591" s="274"/>
      <c r="L2591" s="274"/>
      <c r="M2591" s="274"/>
      <c r="N2591" s="274"/>
      <c r="P2591" s="275"/>
    </row>
    <row r="2592" ht="15.75" customHeight="1">
      <c r="B2592" s="282"/>
      <c r="H2592" s="273"/>
      <c r="I2592" s="274"/>
      <c r="J2592" s="274"/>
      <c r="K2592" s="274"/>
      <c r="L2592" s="274"/>
      <c r="M2592" s="274"/>
      <c r="N2592" s="274"/>
      <c r="P2592" s="275"/>
    </row>
    <row r="2593" ht="15.75" customHeight="1">
      <c r="B2593" s="282"/>
      <c r="H2593" s="273"/>
      <c r="I2593" s="274"/>
      <c r="J2593" s="274"/>
      <c r="K2593" s="274"/>
      <c r="L2593" s="274"/>
      <c r="M2593" s="274"/>
      <c r="N2593" s="274"/>
      <c r="P2593" s="275"/>
    </row>
    <row r="2594" ht="15.75" customHeight="1">
      <c r="B2594" s="282"/>
      <c r="H2594" s="273"/>
      <c r="I2594" s="274"/>
      <c r="J2594" s="274"/>
      <c r="K2594" s="274"/>
      <c r="L2594" s="274"/>
      <c r="M2594" s="274"/>
      <c r="N2594" s="274"/>
      <c r="P2594" s="275"/>
    </row>
    <row r="2595" ht="15.75" customHeight="1">
      <c r="B2595" s="282"/>
      <c r="H2595" s="273"/>
      <c r="I2595" s="274"/>
      <c r="J2595" s="274"/>
      <c r="K2595" s="274"/>
      <c r="L2595" s="274"/>
      <c r="M2595" s="274"/>
      <c r="N2595" s="274"/>
      <c r="P2595" s="275"/>
    </row>
    <row r="2596" ht="15.75" customHeight="1">
      <c r="B2596" s="282"/>
      <c r="H2596" s="273"/>
      <c r="I2596" s="274"/>
      <c r="J2596" s="274"/>
      <c r="K2596" s="274"/>
      <c r="L2596" s="274"/>
      <c r="M2596" s="274"/>
      <c r="N2596" s="274"/>
      <c r="P2596" s="275"/>
    </row>
    <row r="2597" ht="15.75" customHeight="1">
      <c r="B2597" s="282"/>
      <c r="H2597" s="273"/>
      <c r="I2597" s="274"/>
      <c r="J2597" s="274"/>
      <c r="K2597" s="274"/>
      <c r="L2597" s="274"/>
      <c r="M2597" s="274"/>
      <c r="N2597" s="274"/>
      <c r="P2597" s="275"/>
    </row>
    <row r="2598" ht="15.75" customHeight="1">
      <c r="B2598" s="282"/>
      <c r="H2598" s="273"/>
      <c r="I2598" s="274"/>
      <c r="J2598" s="274"/>
      <c r="K2598" s="274"/>
      <c r="L2598" s="274"/>
      <c r="M2598" s="274"/>
      <c r="N2598" s="274"/>
      <c r="P2598" s="275"/>
    </row>
    <row r="2599" ht="15.75" customHeight="1">
      <c r="B2599" s="282"/>
      <c r="H2599" s="273"/>
      <c r="I2599" s="274"/>
      <c r="J2599" s="274"/>
      <c r="K2599" s="274"/>
      <c r="L2599" s="274"/>
      <c r="M2599" s="274"/>
      <c r="N2599" s="274"/>
      <c r="P2599" s="275"/>
    </row>
    <row r="2600" ht="15.75" customHeight="1">
      <c r="B2600" s="282"/>
      <c r="H2600" s="273"/>
      <c r="I2600" s="274"/>
      <c r="J2600" s="274"/>
      <c r="K2600" s="274"/>
      <c r="L2600" s="274"/>
      <c r="M2600" s="274"/>
      <c r="N2600" s="274"/>
      <c r="P2600" s="275"/>
    </row>
    <row r="2601" ht="15.75" customHeight="1">
      <c r="B2601" s="282"/>
      <c r="H2601" s="273"/>
      <c r="I2601" s="274"/>
      <c r="J2601" s="274"/>
      <c r="K2601" s="274"/>
      <c r="L2601" s="274"/>
      <c r="M2601" s="274"/>
      <c r="N2601" s="274"/>
      <c r="P2601" s="275"/>
    </row>
    <row r="2602" ht="15.75" customHeight="1">
      <c r="B2602" s="282"/>
      <c r="H2602" s="273"/>
      <c r="I2602" s="274"/>
      <c r="J2602" s="274"/>
      <c r="K2602" s="274"/>
      <c r="L2602" s="274"/>
      <c r="M2602" s="274"/>
      <c r="N2602" s="274"/>
      <c r="P2602" s="275"/>
    </row>
    <row r="2603" ht="15.75" customHeight="1">
      <c r="B2603" s="282"/>
      <c r="H2603" s="273"/>
      <c r="I2603" s="274"/>
      <c r="J2603" s="274"/>
      <c r="K2603" s="274"/>
      <c r="L2603" s="274"/>
      <c r="M2603" s="274"/>
      <c r="N2603" s="274"/>
      <c r="P2603" s="275"/>
    </row>
    <row r="2604" ht="15.75" customHeight="1">
      <c r="B2604" s="282"/>
      <c r="H2604" s="273"/>
      <c r="I2604" s="274"/>
      <c r="J2604" s="274"/>
      <c r="K2604" s="274"/>
      <c r="L2604" s="274"/>
      <c r="M2604" s="274"/>
      <c r="N2604" s="274"/>
      <c r="P2604" s="275"/>
    </row>
    <row r="2605" ht="15.75" customHeight="1">
      <c r="B2605" s="282"/>
      <c r="H2605" s="273"/>
      <c r="I2605" s="274"/>
      <c r="J2605" s="274"/>
      <c r="K2605" s="274"/>
      <c r="L2605" s="274"/>
      <c r="M2605" s="274"/>
      <c r="N2605" s="274"/>
      <c r="P2605" s="275"/>
    </row>
    <row r="2606" ht="15.75" customHeight="1">
      <c r="B2606" s="282"/>
      <c r="H2606" s="273"/>
      <c r="I2606" s="274"/>
      <c r="J2606" s="274"/>
      <c r="K2606" s="274"/>
      <c r="L2606" s="274"/>
      <c r="M2606" s="274"/>
      <c r="N2606" s="274"/>
      <c r="P2606" s="275"/>
    </row>
    <row r="2607" ht="15.75" customHeight="1">
      <c r="B2607" s="282"/>
      <c r="H2607" s="273"/>
      <c r="I2607" s="274"/>
      <c r="J2607" s="274"/>
      <c r="K2607" s="274"/>
      <c r="L2607" s="274"/>
      <c r="M2607" s="274"/>
      <c r="N2607" s="274"/>
      <c r="P2607" s="275"/>
    </row>
    <row r="2608" ht="15.75" customHeight="1">
      <c r="B2608" s="282"/>
      <c r="H2608" s="273"/>
      <c r="I2608" s="274"/>
      <c r="J2608" s="274"/>
      <c r="K2608" s="274"/>
      <c r="L2608" s="274"/>
      <c r="M2608" s="274"/>
      <c r="N2608" s="274"/>
      <c r="P2608" s="275"/>
    </row>
    <row r="2609" ht="15.75" customHeight="1">
      <c r="B2609" s="282"/>
      <c r="H2609" s="273"/>
      <c r="I2609" s="274"/>
      <c r="J2609" s="274"/>
      <c r="K2609" s="274"/>
      <c r="L2609" s="274"/>
      <c r="M2609" s="274"/>
      <c r="N2609" s="274"/>
      <c r="P2609" s="275"/>
    </row>
    <row r="2610" ht="15.75" customHeight="1">
      <c r="B2610" s="282"/>
      <c r="H2610" s="273"/>
      <c r="I2610" s="274"/>
      <c r="J2610" s="274"/>
      <c r="K2610" s="274"/>
      <c r="L2610" s="274"/>
      <c r="M2610" s="274"/>
      <c r="N2610" s="274"/>
      <c r="P2610" s="275"/>
    </row>
    <row r="2611" ht="15.75" customHeight="1">
      <c r="B2611" s="282"/>
      <c r="H2611" s="273"/>
      <c r="I2611" s="274"/>
      <c r="J2611" s="274"/>
      <c r="K2611" s="274"/>
      <c r="L2611" s="274"/>
      <c r="M2611" s="274"/>
      <c r="N2611" s="274"/>
      <c r="P2611" s="275"/>
    </row>
    <row r="2612" ht="15.75" customHeight="1">
      <c r="B2612" s="282"/>
      <c r="H2612" s="273"/>
      <c r="I2612" s="274"/>
      <c r="J2612" s="274"/>
      <c r="K2612" s="274"/>
      <c r="L2612" s="274"/>
      <c r="M2612" s="274"/>
      <c r="N2612" s="274"/>
      <c r="P2612" s="275"/>
    </row>
    <row r="2613" ht="15.75" customHeight="1">
      <c r="B2613" s="282"/>
      <c r="H2613" s="273"/>
      <c r="I2613" s="274"/>
      <c r="J2613" s="274"/>
      <c r="K2613" s="274"/>
      <c r="L2613" s="274"/>
      <c r="M2613" s="274"/>
      <c r="N2613" s="274"/>
      <c r="P2613" s="275"/>
    </row>
    <row r="2614" ht="15.75" customHeight="1">
      <c r="B2614" s="282"/>
      <c r="H2614" s="273"/>
      <c r="I2614" s="274"/>
      <c r="J2614" s="274"/>
      <c r="K2614" s="274"/>
      <c r="L2614" s="274"/>
      <c r="M2614" s="274"/>
      <c r="N2614" s="274"/>
      <c r="P2614" s="275"/>
    </row>
    <row r="2615" ht="15.75" customHeight="1">
      <c r="B2615" s="282"/>
      <c r="H2615" s="273"/>
      <c r="I2615" s="274"/>
      <c r="J2615" s="274"/>
      <c r="K2615" s="274"/>
      <c r="L2615" s="274"/>
      <c r="M2615" s="274"/>
      <c r="N2615" s="274"/>
      <c r="P2615" s="275"/>
    </row>
    <row r="2616" ht="15.75" customHeight="1">
      <c r="B2616" s="282"/>
      <c r="H2616" s="273"/>
      <c r="I2616" s="274"/>
      <c r="J2616" s="274"/>
      <c r="K2616" s="274"/>
      <c r="L2616" s="274"/>
      <c r="M2616" s="274"/>
      <c r="N2616" s="274"/>
      <c r="P2616" s="275"/>
    </row>
    <row r="2617" ht="15.75" customHeight="1">
      <c r="B2617" s="282"/>
      <c r="H2617" s="273"/>
      <c r="I2617" s="274"/>
      <c r="J2617" s="274"/>
      <c r="K2617" s="274"/>
      <c r="L2617" s="274"/>
      <c r="M2617" s="274"/>
      <c r="N2617" s="274"/>
      <c r="P2617" s="275"/>
    </row>
    <row r="2618" ht="15.75" customHeight="1">
      <c r="B2618" s="282"/>
      <c r="H2618" s="273"/>
      <c r="I2618" s="274"/>
      <c r="J2618" s="274"/>
      <c r="K2618" s="274"/>
      <c r="L2618" s="274"/>
      <c r="M2618" s="274"/>
      <c r="N2618" s="274"/>
      <c r="P2618" s="275"/>
    </row>
    <row r="2619" ht="15.75" customHeight="1">
      <c r="B2619" s="282"/>
      <c r="H2619" s="273"/>
      <c r="I2619" s="274"/>
      <c r="J2619" s="274"/>
      <c r="K2619" s="274"/>
      <c r="L2619" s="274"/>
      <c r="M2619" s="274"/>
      <c r="N2619" s="274"/>
      <c r="P2619" s="275"/>
    </row>
    <row r="2620" ht="15.75" customHeight="1">
      <c r="B2620" s="282"/>
      <c r="H2620" s="273"/>
      <c r="I2620" s="274"/>
      <c r="J2620" s="274"/>
      <c r="K2620" s="274"/>
      <c r="L2620" s="274"/>
      <c r="M2620" s="274"/>
      <c r="N2620" s="274"/>
      <c r="P2620" s="275"/>
    </row>
    <row r="2621" ht="15.75" customHeight="1">
      <c r="B2621" s="282"/>
      <c r="H2621" s="273"/>
      <c r="I2621" s="274"/>
      <c r="J2621" s="274"/>
      <c r="K2621" s="274"/>
      <c r="L2621" s="274"/>
      <c r="M2621" s="274"/>
      <c r="N2621" s="274"/>
      <c r="P2621" s="275"/>
    </row>
    <row r="2622" ht="15.75" customHeight="1">
      <c r="B2622" s="282"/>
      <c r="H2622" s="273"/>
      <c r="I2622" s="274"/>
      <c r="J2622" s="274"/>
      <c r="K2622" s="274"/>
      <c r="L2622" s="274"/>
      <c r="M2622" s="274"/>
      <c r="N2622" s="274"/>
      <c r="P2622" s="275"/>
    </row>
    <row r="2623" ht="15.75" customHeight="1">
      <c r="B2623" s="282"/>
      <c r="H2623" s="273"/>
      <c r="I2623" s="274"/>
      <c r="J2623" s="274"/>
      <c r="K2623" s="274"/>
      <c r="L2623" s="274"/>
      <c r="M2623" s="274"/>
      <c r="N2623" s="274"/>
      <c r="P2623" s="275"/>
    </row>
    <row r="2624" ht="15.75" customHeight="1">
      <c r="B2624" s="282"/>
      <c r="H2624" s="273"/>
      <c r="I2624" s="274"/>
      <c r="J2624" s="274"/>
      <c r="K2624" s="274"/>
      <c r="L2624" s="274"/>
      <c r="M2624" s="274"/>
      <c r="N2624" s="274"/>
      <c r="P2624" s="275"/>
    </row>
    <row r="2625" ht="15.75" customHeight="1">
      <c r="B2625" s="282"/>
      <c r="H2625" s="273"/>
      <c r="I2625" s="274"/>
      <c r="J2625" s="274"/>
      <c r="K2625" s="274"/>
      <c r="L2625" s="274"/>
      <c r="M2625" s="274"/>
      <c r="N2625" s="274"/>
      <c r="P2625" s="275"/>
    </row>
    <row r="2626" ht="15.75" customHeight="1">
      <c r="B2626" s="282"/>
      <c r="H2626" s="273"/>
      <c r="I2626" s="274"/>
      <c r="J2626" s="274"/>
      <c r="K2626" s="274"/>
      <c r="L2626" s="274"/>
      <c r="M2626" s="274"/>
      <c r="N2626" s="274"/>
      <c r="P2626" s="275"/>
    </row>
    <row r="2627" ht="15.75" customHeight="1">
      <c r="B2627" s="282"/>
      <c r="H2627" s="273"/>
      <c r="I2627" s="274"/>
      <c r="J2627" s="274"/>
      <c r="K2627" s="274"/>
      <c r="L2627" s="274"/>
      <c r="M2627" s="274"/>
      <c r="N2627" s="274"/>
      <c r="P2627" s="275"/>
    </row>
    <row r="2628" ht="15.75" customHeight="1">
      <c r="B2628" s="282"/>
      <c r="H2628" s="273"/>
      <c r="I2628" s="274"/>
      <c r="J2628" s="274"/>
      <c r="K2628" s="274"/>
      <c r="L2628" s="274"/>
      <c r="M2628" s="274"/>
      <c r="N2628" s="274"/>
      <c r="P2628" s="275"/>
    </row>
    <row r="2629" ht="15.75" customHeight="1">
      <c r="B2629" s="282"/>
      <c r="H2629" s="273"/>
      <c r="I2629" s="274"/>
      <c r="J2629" s="274"/>
      <c r="K2629" s="274"/>
      <c r="L2629" s="274"/>
      <c r="M2629" s="274"/>
      <c r="N2629" s="274"/>
      <c r="P2629" s="275"/>
    </row>
    <row r="2630" ht="15.75" customHeight="1">
      <c r="B2630" s="282"/>
      <c r="H2630" s="273"/>
      <c r="I2630" s="274"/>
      <c r="J2630" s="274"/>
      <c r="K2630" s="274"/>
      <c r="L2630" s="274"/>
      <c r="M2630" s="274"/>
      <c r="N2630" s="274"/>
      <c r="P2630" s="275"/>
    </row>
    <row r="2631" ht="15.75" customHeight="1">
      <c r="B2631" s="282"/>
      <c r="H2631" s="273"/>
      <c r="I2631" s="274"/>
      <c r="J2631" s="274"/>
      <c r="K2631" s="274"/>
      <c r="L2631" s="274"/>
      <c r="M2631" s="274"/>
      <c r="N2631" s="274"/>
      <c r="P2631" s="275"/>
    </row>
    <row r="2632" ht="15.75" customHeight="1">
      <c r="B2632" s="282"/>
      <c r="H2632" s="273"/>
      <c r="I2632" s="274"/>
      <c r="J2632" s="274"/>
      <c r="K2632" s="274"/>
      <c r="L2632" s="274"/>
      <c r="M2632" s="274"/>
      <c r="N2632" s="274"/>
      <c r="P2632" s="275"/>
    </row>
    <row r="2633" ht="15.75" customHeight="1">
      <c r="B2633" s="282"/>
      <c r="H2633" s="273"/>
      <c r="I2633" s="274"/>
      <c r="J2633" s="274"/>
      <c r="K2633" s="274"/>
      <c r="L2633" s="274"/>
      <c r="M2633" s="274"/>
      <c r="N2633" s="274"/>
      <c r="P2633" s="275"/>
    </row>
    <row r="2634" ht="15.75" customHeight="1">
      <c r="B2634" s="282"/>
      <c r="H2634" s="273"/>
      <c r="I2634" s="274"/>
      <c r="J2634" s="274"/>
      <c r="K2634" s="274"/>
      <c r="L2634" s="274"/>
      <c r="M2634" s="274"/>
      <c r="N2634" s="274"/>
      <c r="P2634" s="275"/>
    </row>
    <row r="2635" ht="15.75" customHeight="1">
      <c r="B2635" s="282"/>
      <c r="H2635" s="273"/>
      <c r="I2635" s="274"/>
      <c r="J2635" s="274"/>
      <c r="K2635" s="274"/>
      <c r="L2635" s="274"/>
      <c r="M2635" s="274"/>
      <c r="N2635" s="274"/>
      <c r="P2635" s="275"/>
    </row>
    <row r="2636" ht="15.75" customHeight="1">
      <c r="B2636" s="282"/>
      <c r="H2636" s="273"/>
      <c r="I2636" s="274"/>
      <c r="J2636" s="274"/>
      <c r="K2636" s="274"/>
      <c r="L2636" s="274"/>
      <c r="M2636" s="274"/>
      <c r="N2636" s="274"/>
      <c r="P2636" s="275"/>
    </row>
    <row r="2637" ht="15.75" customHeight="1">
      <c r="B2637" s="282"/>
      <c r="H2637" s="273"/>
      <c r="I2637" s="274"/>
      <c r="J2637" s="274"/>
      <c r="K2637" s="274"/>
      <c r="L2637" s="274"/>
      <c r="M2637" s="274"/>
      <c r="N2637" s="274"/>
      <c r="P2637" s="275"/>
    </row>
    <row r="2638" ht="15.75" customHeight="1">
      <c r="B2638" s="282"/>
      <c r="H2638" s="273"/>
      <c r="I2638" s="274"/>
      <c r="J2638" s="274"/>
      <c r="K2638" s="274"/>
      <c r="L2638" s="274"/>
      <c r="M2638" s="274"/>
      <c r="N2638" s="274"/>
      <c r="P2638" s="275"/>
    </row>
    <row r="2639" ht="15.75" customHeight="1">
      <c r="B2639" s="282"/>
      <c r="H2639" s="273"/>
      <c r="I2639" s="274"/>
      <c r="J2639" s="274"/>
      <c r="K2639" s="274"/>
      <c r="L2639" s="274"/>
      <c r="M2639" s="274"/>
      <c r="N2639" s="274"/>
      <c r="P2639" s="275"/>
    </row>
    <row r="2640" ht="15.75" customHeight="1">
      <c r="B2640" s="282"/>
      <c r="H2640" s="273"/>
      <c r="I2640" s="274"/>
      <c r="J2640" s="274"/>
      <c r="K2640" s="274"/>
      <c r="L2640" s="274"/>
      <c r="M2640" s="274"/>
      <c r="N2640" s="274"/>
      <c r="P2640" s="275"/>
    </row>
    <row r="2641" ht="15.75" customHeight="1">
      <c r="B2641" s="282"/>
      <c r="H2641" s="273"/>
      <c r="I2641" s="274"/>
      <c r="J2641" s="274"/>
      <c r="K2641" s="274"/>
      <c r="L2641" s="274"/>
      <c r="M2641" s="274"/>
      <c r="N2641" s="274"/>
      <c r="P2641" s="275"/>
    </row>
    <row r="2642" ht="15.75" customHeight="1">
      <c r="B2642" s="282"/>
      <c r="H2642" s="273"/>
      <c r="I2642" s="274"/>
      <c r="J2642" s="274"/>
      <c r="K2642" s="274"/>
      <c r="L2642" s="274"/>
      <c r="M2642" s="274"/>
      <c r="N2642" s="274"/>
      <c r="P2642" s="275"/>
    </row>
    <row r="2643" ht="15.75" customHeight="1">
      <c r="B2643" s="282"/>
      <c r="H2643" s="273"/>
      <c r="I2643" s="274"/>
      <c r="J2643" s="274"/>
      <c r="K2643" s="274"/>
      <c r="L2643" s="274"/>
      <c r="M2643" s="274"/>
      <c r="N2643" s="274"/>
      <c r="P2643" s="275"/>
    </row>
    <row r="2644" ht="15.75" customHeight="1">
      <c r="B2644" s="282"/>
      <c r="H2644" s="273"/>
      <c r="I2644" s="274"/>
      <c r="J2644" s="274"/>
      <c r="K2644" s="274"/>
      <c r="L2644" s="274"/>
      <c r="M2644" s="274"/>
      <c r="N2644" s="274"/>
      <c r="P2644" s="275"/>
    </row>
    <row r="2645" ht="15.75" customHeight="1">
      <c r="B2645" s="282"/>
      <c r="H2645" s="273"/>
      <c r="I2645" s="274"/>
      <c r="J2645" s="274"/>
      <c r="K2645" s="274"/>
      <c r="L2645" s="274"/>
      <c r="M2645" s="274"/>
      <c r="N2645" s="274"/>
      <c r="P2645" s="275"/>
    </row>
    <row r="2646" ht="15.75" customHeight="1">
      <c r="B2646" s="282"/>
      <c r="H2646" s="273"/>
      <c r="I2646" s="274"/>
      <c r="J2646" s="274"/>
      <c r="K2646" s="274"/>
      <c r="L2646" s="274"/>
      <c r="M2646" s="274"/>
      <c r="N2646" s="274"/>
      <c r="P2646" s="275"/>
    </row>
    <row r="2647" ht="15.75" customHeight="1">
      <c r="B2647" s="282"/>
      <c r="H2647" s="273"/>
      <c r="I2647" s="274"/>
      <c r="J2647" s="274"/>
      <c r="K2647" s="274"/>
      <c r="L2647" s="274"/>
      <c r="M2647" s="274"/>
      <c r="N2647" s="274"/>
      <c r="P2647" s="275"/>
    </row>
    <row r="2648" ht="15.75" customHeight="1">
      <c r="B2648" s="282"/>
      <c r="H2648" s="273"/>
      <c r="I2648" s="274"/>
      <c r="J2648" s="274"/>
      <c r="K2648" s="274"/>
      <c r="L2648" s="274"/>
      <c r="M2648" s="274"/>
      <c r="N2648" s="274"/>
      <c r="P2648" s="275"/>
    </row>
    <row r="2649" ht="15.75" customHeight="1">
      <c r="B2649" s="282"/>
      <c r="H2649" s="273"/>
      <c r="I2649" s="274"/>
      <c r="J2649" s="274"/>
      <c r="K2649" s="274"/>
      <c r="L2649" s="274"/>
      <c r="M2649" s="274"/>
      <c r="N2649" s="274"/>
      <c r="P2649" s="275"/>
    </row>
    <row r="2650" ht="15.75" customHeight="1">
      <c r="B2650" s="282"/>
      <c r="H2650" s="273"/>
      <c r="I2650" s="274"/>
      <c r="J2650" s="274"/>
      <c r="K2650" s="274"/>
      <c r="L2650" s="274"/>
      <c r="M2650" s="274"/>
      <c r="N2650" s="274"/>
      <c r="P2650" s="275"/>
    </row>
    <row r="2651" ht="15.75" customHeight="1">
      <c r="B2651" s="282"/>
      <c r="H2651" s="273"/>
      <c r="I2651" s="274"/>
      <c r="J2651" s="274"/>
      <c r="K2651" s="274"/>
      <c r="L2651" s="274"/>
      <c r="M2651" s="274"/>
      <c r="N2651" s="274"/>
      <c r="P2651" s="275"/>
    </row>
    <row r="2652" ht="15.75" customHeight="1">
      <c r="B2652" s="282"/>
      <c r="H2652" s="273"/>
      <c r="I2652" s="274"/>
      <c r="J2652" s="274"/>
      <c r="K2652" s="274"/>
      <c r="L2652" s="274"/>
      <c r="M2652" s="274"/>
      <c r="N2652" s="274"/>
      <c r="P2652" s="275"/>
    </row>
    <row r="2653" ht="15.75" customHeight="1">
      <c r="B2653" s="282"/>
      <c r="H2653" s="273"/>
      <c r="I2653" s="274"/>
      <c r="J2653" s="274"/>
      <c r="K2653" s="274"/>
      <c r="L2653" s="274"/>
      <c r="M2653" s="274"/>
      <c r="N2653" s="274"/>
      <c r="P2653" s="275"/>
    </row>
    <row r="2654" ht="15.75" customHeight="1">
      <c r="B2654" s="282"/>
      <c r="H2654" s="273"/>
      <c r="I2654" s="274"/>
      <c r="J2654" s="274"/>
      <c r="K2654" s="274"/>
      <c r="L2654" s="274"/>
      <c r="M2654" s="274"/>
      <c r="N2654" s="274"/>
      <c r="P2654" s="275"/>
    </row>
    <row r="2655" ht="15.75" customHeight="1">
      <c r="B2655" s="282"/>
      <c r="H2655" s="273"/>
      <c r="I2655" s="274"/>
      <c r="J2655" s="274"/>
      <c r="K2655" s="274"/>
      <c r="L2655" s="274"/>
      <c r="M2655" s="274"/>
      <c r="N2655" s="274"/>
      <c r="P2655" s="275"/>
    </row>
    <row r="2656" ht="15.75" customHeight="1">
      <c r="B2656" s="282"/>
      <c r="H2656" s="273"/>
      <c r="I2656" s="274"/>
      <c r="J2656" s="274"/>
      <c r="K2656" s="274"/>
      <c r="L2656" s="274"/>
      <c r="M2656" s="274"/>
      <c r="N2656" s="274"/>
      <c r="P2656" s="275"/>
    </row>
    <row r="2657" ht="15.75" customHeight="1">
      <c r="B2657" s="282"/>
      <c r="H2657" s="273"/>
      <c r="I2657" s="274"/>
      <c r="J2657" s="274"/>
      <c r="K2657" s="274"/>
      <c r="L2657" s="274"/>
      <c r="M2657" s="274"/>
      <c r="N2657" s="274"/>
      <c r="P2657" s="275"/>
    </row>
    <row r="2658" ht="15.75" customHeight="1">
      <c r="B2658" s="282"/>
      <c r="H2658" s="273"/>
      <c r="I2658" s="274"/>
      <c r="J2658" s="274"/>
      <c r="K2658" s="274"/>
      <c r="L2658" s="274"/>
      <c r="M2658" s="274"/>
      <c r="N2658" s="274"/>
      <c r="P2658" s="275"/>
    </row>
    <row r="2659" ht="15.75" customHeight="1">
      <c r="B2659" s="282"/>
      <c r="H2659" s="273"/>
      <c r="I2659" s="274"/>
      <c r="J2659" s="274"/>
      <c r="K2659" s="274"/>
      <c r="L2659" s="274"/>
      <c r="M2659" s="274"/>
      <c r="N2659" s="274"/>
      <c r="P2659" s="275"/>
    </row>
    <row r="2660" ht="15.75" customHeight="1">
      <c r="B2660" s="282"/>
      <c r="H2660" s="273"/>
      <c r="I2660" s="274"/>
      <c r="J2660" s="274"/>
      <c r="K2660" s="274"/>
      <c r="L2660" s="274"/>
      <c r="M2660" s="274"/>
      <c r="N2660" s="274"/>
      <c r="P2660" s="275"/>
    </row>
    <row r="2661" ht="15.75" customHeight="1">
      <c r="B2661" s="282"/>
      <c r="H2661" s="273"/>
      <c r="I2661" s="274"/>
      <c r="J2661" s="274"/>
      <c r="K2661" s="274"/>
      <c r="L2661" s="274"/>
      <c r="M2661" s="274"/>
      <c r="N2661" s="274"/>
      <c r="P2661" s="275"/>
    </row>
    <row r="2662" ht="15.75" customHeight="1">
      <c r="B2662" s="282"/>
      <c r="H2662" s="273"/>
      <c r="I2662" s="274"/>
      <c r="J2662" s="274"/>
      <c r="K2662" s="274"/>
      <c r="L2662" s="274"/>
      <c r="M2662" s="274"/>
      <c r="N2662" s="274"/>
      <c r="P2662" s="275"/>
    </row>
    <row r="2663" ht="15.75" customHeight="1">
      <c r="B2663" s="282"/>
      <c r="H2663" s="273"/>
      <c r="I2663" s="274"/>
      <c r="J2663" s="274"/>
      <c r="K2663" s="274"/>
      <c r="L2663" s="274"/>
      <c r="M2663" s="274"/>
      <c r="N2663" s="274"/>
      <c r="P2663" s="275"/>
    </row>
    <row r="2664" ht="15.75" customHeight="1">
      <c r="B2664" s="282"/>
      <c r="H2664" s="273"/>
      <c r="I2664" s="274"/>
      <c r="J2664" s="274"/>
      <c r="K2664" s="274"/>
      <c r="L2664" s="274"/>
      <c r="M2664" s="274"/>
      <c r="N2664" s="274"/>
      <c r="P2664" s="275"/>
    </row>
    <row r="2665" ht="15.75" customHeight="1">
      <c r="B2665" s="282"/>
      <c r="H2665" s="273"/>
      <c r="I2665" s="274"/>
      <c r="J2665" s="274"/>
      <c r="K2665" s="274"/>
      <c r="L2665" s="274"/>
      <c r="M2665" s="274"/>
      <c r="N2665" s="274"/>
      <c r="P2665" s="275"/>
    </row>
    <row r="2666" ht="15.75" customHeight="1">
      <c r="B2666" s="282"/>
      <c r="H2666" s="273"/>
      <c r="I2666" s="274"/>
      <c r="J2666" s="274"/>
      <c r="K2666" s="274"/>
      <c r="L2666" s="274"/>
      <c r="M2666" s="274"/>
      <c r="N2666" s="274"/>
      <c r="P2666" s="275"/>
    </row>
    <row r="2667" ht="15.75" customHeight="1">
      <c r="B2667" s="282"/>
      <c r="H2667" s="273"/>
      <c r="I2667" s="274"/>
      <c r="J2667" s="274"/>
      <c r="K2667" s="274"/>
      <c r="L2667" s="274"/>
      <c r="M2667" s="274"/>
      <c r="N2667" s="274"/>
      <c r="P2667" s="275"/>
    </row>
    <row r="2668" ht="15.75" customHeight="1">
      <c r="B2668" s="282"/>
      <c r="H2668" s="273"/>
      <c r="I2668" s="274"/>
      <c r="J2668" s="274"/>
      <c r="K2668" s="274"/>
      <c r="L2668" s="274"/>
      <c r="M2668" s="274"/>
      <c r="N2668" s="274"/>
      <c r="P2668" s="275"/>
    </row>
    <row r="2669" ht="15.75" customHeight="1">
      <c r="B2669" s="282"/>
      <c r="H2669" s="273"/>
      <c r="I2669" s="274"/>
      <c r="J2669" s="274"/>
      <c r="K2669" s="274"/>
      <c r="L2669" s="274"/>
      <c r="M2669" s="274"/>
      <c r="N2669" s="274"/>
      <c r="P2669" s="275"/>
    </row>
    <row r="2670" ht="15.75" customHeight="1">
      <c r="B2670" s="282"/>
      <c r="H2670" s="273"/>
      <c r="I2670" s="274"/>
      <c r="J2670" s="274"/>
      <c r="K2670" s="274"/>
      <c r="L2670" s="274"/>
      <c r="M2670" s="274"/>
      <c r="N2670" s="274"/>
      <c r="P2670" s="275"/>
    </row>
    <row r="2671" ht="15.75" customHeight="1">
      <c r="B2671" s="282"/>
      <c r="H2671" s="273"/>
      <c r="I2671" s="274"/>
      <c r="J2671" s="274"/>
      <c r="K2671" s="274"/>
      <c r="L2671" s="274"/>
      <c r="M2671" s="274"/>
      <c r="N2671" s="274"/>
      <c r="P2671" s="275"/>
    </row>
    <row r="2672" ht="15.75" customHeight="1">
      <c r="B2672" s="282"/>
      <c r="H2672" s="273"/>
      <c r="I2672" s="274"/>
      <c r="J2672" s="274"/>
      <c r="K2672" s="274"/>
      <c r="L2672" s="274"/>
      <c r="M2672" s="274"/>
      <c r="N2672" s="274"/>
      <c r="P2672" s="275"/>
    </row>
    <row r="2673" ht="15.75" customHeight="1">
      <c r="B2673" s="282"/>
      <c r="H2673" s="273"/>
      <c r="I2673" s="274"/>
      <c r="J2673" s="274"/>
      <c r="K2673" s="274"/>
      <c r="L2673" s="274"/>
      <c r="M2673" s="274"/>
      <c r="N2673" s="274"/>
      <c r="P2673" s="275"/>
    </row>
    <row r="2674" ht="15.75" customHeight="1">
      <c r="B2674" s="282"/>
      <c r="H2674" s="273"/>
      <c r="I2674" s="274"/>
      <c r="J2674" s="274"/>
      <c r="K2674" s="274"/>
      <c r="L2674" s="274"/>
      <c r="M2674" s="274"/>
      <c r="N2674" s="274"/>
      <c r="P2674" s="275"/>
    </row>
    <row r="2675" ht="15.75" customHeight="1">
      <c r="B2675" s="282"/>
      <c r="H2675" s="273"/>
      <c r="I2675" s="274"/>
      <c r="J2675" s="274"/>
      <c r="K2675" s="274"/>
      <c r="L2675" s="274"/>
      <c r="M2675" s="274"/>
      <c r="N2675" s="274"/>
      <c r="P2675" s="275"/>
    </row>
    <row r="2676" ht="15.75" customHeight="1">
      <c r="B2676" s="282"/>
      <c r="H2676" s="273"/>
      <c r="I2676" s="274"/>
      <c r="J2676" s="274"/>
      <c r="K2676" s="274"/>
      <c r="L2676" s="274"/>
      <c r="M2676" s="274"/>
      <c r="N2676" s="274"/>
      <c r="P2676" s="275"/>
    </row>
    <row r="2677" ht="15.75" customHeight="1">
      <c r="B2677" s="282"/>
      <c r="H2677" s="273"/>
      <c r="I2677" s="274"/>
      <c r="J2677" s="274"/>
      <c r="K2677" s="274"/>
      <c r="L2677" s="274"/>
      <c r="M2677" s="274"/>
      <c r="N2677" s="274"/>
      <c r="P2677" s="275"/>
    </row>
    <row r="2678" ht="15.75" customHeight="1">
      <c r="B2678" s="282"/>
      <c r="H2678" s="273"/>
      <c r="I2678" s="274"/>
      <c r="J2678" s="274"/>
      <c r="K2678" s="274"/>
      <c r="L2678" s="274"/>
      <c r="M2678" s="274"/>
      <c r="N2678" s="274"/>
      <c r="P2678" s="275"/>
    </row>
    <row r="2679" ht="15.75" customHeight="1">
      <c r="B2679" s="282"/>
      <c r="H2679" s="273"/>
      <c r="I2679" s="274"/>
      <c r="J2679" s="274"/>
      <c r="K2679" s="274"/>
      <c r="L2679" s="274"/>
      <c r="M2679" s="274"/>
      <c r="N2679" s="274"/>
      <c r="P2679" s="275"/>
    </row>
    <row r="2680" ht="15.75" customHeight="1">
      <c r="B2680" s="282"/>
      <c r="H2680" s="273"/>
      <c r="I2680" s="274"/>
      <c r="J2680" s="274"/>
      <c r="K2680" s="274"/>
      <c r="L2680" s="274"/>
      <c r="M2680" s="274"/>
      <c r="N2680" s="274"/>
      <c r="P2680" s="275"/>
    </row>
    <row r="2681" ht="15.75" customHeight="1">
      <c r="B2681" s="282"/>
      <c r="H2681" s="273"/>
      <c r="I2681" s="274"/>
      <c r="J2681" s="274"/>
      <c r="K2681" s="274"/>
      <c r="L2681" s="274"/>
      <c r="M2681" s="274"/>
      <c r="N2681" s="274"/>
      <c r="P2681" s="275"/>
    </row>
    <row r="2682" ht="15.75" customHeight="1">
      <c r="B2682" s="282"/>
      <c r="H2682" s="273"/>
      <c r="I2682" s="274"/>
      <c r="J2682" s="274"/>
      <c r="K2682" s="274"/>
      <c r="L2682" s="274"/>
      <c r="M2682" s="274"/>
      <c r="N2682" s="274"/>
      <c r="P2682" s="275"/>
    </row>
    <row r="2683" ht="15.75" customHeight="1">
      <c r="B2683" s="282"/>
      <c r="H2683" s="273"/>
      <c r="I2683" s="274"/>
      <c r="J2683" s="274"/>
      <c r="K2683" s="274"/>
      <c r="L2683" s="274"/>
      <c r="M2683" s="274"/>
      <c r="N2683" s="274"/>
      <c r="P2683" s="275"/>
    </row>
    <row r="2684" ht="15.75" customHeight="1">
      <c r="B2684" s="282"/>
      <c r="H2684" s="273"/>
      <c r="I2684" s="274"/>
      <c r="J2684" s="274"/>
      <c r="K2684" s="274"/>
      <c r="L2684" s="274"/>
      <c r="M2684" s="274"/>
      <c r="N2684" s="274"/>
      <c r="P2684" s="275"/>
    </row>
    <row r="2685" ht="15.75" customHeight="1">
      <c r="B2685" s="282"/>
      <c r="H2685" s="273"/>
      <c r="I2685" s="274"/>
      <c r="J2685" s="274"/>
      <c r="K2685" s="274"/>
      <c r="L2685" s="274"/>
      <c r="M2685" s="274"/>
      <c r="N2685" s="274"/>
      <c r="P2685" s="275"/>
    </row>
    <row r="2686" ht="15.75" customHeight="1">
      <c r="B2686" s="282"/>
      <c r="H2686" s="273"/>
      <c r="I2686" s="274"/>
      <c r="J2686" s="274"/>
      <c r="K2686" s="274"/>
      <c r="L2686" s="274"/>
      <c r="M2686" s="274"/>
      <c r="N2686" s="274"/>
      <c r="P2686" s="275"/>
    </row>
    <row r="2687" ht="15.75" customHeight="1">
      <c r="B2687" s="282"/>
      <c r="H2687" s="273"/>
      <c r="I2687" s="274"/>
      <c r="J2687" s="274"/>
      <c r="K2687" s="274"/>
      <c r="L2687" s="274"/>
      <c r="M2687" s="274"/>
      <c r="N2687" s="274"/>
      <c r="P2687" s="275"/>
    </row>
    <row r="2688" ht="15.75" customHeight="1">
      <c r="B2688" s="282"/>
      <c r="H2688" s="273"/>
      <c r="I2688" s="274"/>
      <c r="J2688" s="274"/>
      <c r="K2688" s="274"/>
      <c r="L2688" s="274"/>
      <c r="M2688" s="274"/>
      <c r="N2688" s="274"/>
      <c r="P2688" s="275"/>
    </row>
    <row r="2689" ht="15.75" customHeight="1">
      <c r="B2689" s="282"/>
      <c r="H2689" s="273"/>
      <c r="I2689" s="274"/>
      <c r="J2689" s="274"/>
      <c r="K2689" s="274"/>
      <c r="L2689" s="274"/>
      <c r="M2689" s="274"/>
      <c r="N2689" s="274"/>
      <c r="P2689" s="275"/>
    </row>
    <row r="2690" ht="15.75" customHeight="1">
      <c r="B2690" s="282"/>
      <c r="H2690" s="273"/>
      <c r="I2690" s="274"/>
      <c r="J2690" s="274"/>
      <c r="K2690" s="274"/>
      <c r="L2690" s="274"/>
      <c r="M2690" s="274"/>
      <c r="N2690" s="274"/>
      <c r="P2690" s="275"/>
    </row>
    <row r="2691" ht="15.75" customHeight="1">
      <c r="B2691" s="282"/>
      <c r="H2691" s="273"/>
      <c r="I2691" s="274"/>
      <c r="J2691" s="274"/>
      <c r="K2691" s="274"/>
      <c r="L2691" s="274"/>
      <c r="M2691" s="274"/>
      <c r="N2691" s="274"/>
      <c r="P2691" s="275"/>
    </row>
    <row r="2692" ht="15.75" customHeight="1">
      <c r="B2692" s="282"/>
      <c r="H2692" s="273"/>
      <c r="I2692" s="274"/>
      <c r="J2692" s="274"/>
      <c r="K2692" s="274"/>
      <c r="L2692" s="274"/>
      <c r="M2692" s="274"/>
      <c r="N2692" s="274"/>
      <c r="P2692" s="275"/>
    </row>
    <row r="2693" ht="15.75" customHeight="1">
      <c r="B2693" s="282"/>
      <c r="H2693" s="273"/>
      <c r="I2693" s="274"/>
      <c r="J2693" s="274"/>
      <c r="K2693" s="274"/>
      <c r="L2693" s="274"/>
      <c r="M2693" s="274"/>
      <c r="N2693" s="274"/>
      <c r="P2693" s="275"/>
    </row>
    <row r="2694" ht="15.75" customHeight="1">
      <c r="B2694" s="282"/>
      <c r="H2694" s="273"/>
      <c r="I2694" s="274"/>
      <c r="J2694" s="274"/>
      <c r="K2694" s="274"/>
      <c r="L2694" s="274"/>
      <c r="M2694" s="274"/>
      <c r="N2694" s="274"/>
      <c r="P2694" s="275"/>
    </row>
    <row r="2695" ht="15.75" customHeight="1">
      <c r="B2695" s="282"/>
      <c r="H2695" s="273"/>
      <c r="I2695" s="274"/>
      <c r="J2695" s="274"/>
      <c r="K2695" s="274"/>
      <c r="L2695" s="274"/>
      <c r="M2695" s="274"/>
      <c r="N2695" s="274"/>
      <c r="P2695" s="275"/>
    </row>
    <row r="2696" ht="15.75" customHeight="1">
      <c r="B2696" s="282"/>
      <c r="H2696" s="273"/>
      <c r="I2696" s="274"/>
      <c r="J2696" s="274"/>
      <c r="K2696" s="274"/>
      <c r="L2696" s="274"/>
      <c r="M2696" s="274"/>
      <c r="N2696" s="274"/>
      <c r="P2696" s="275"/>
    </row>
    <row r="2697" ht="15.75" customHeight="1">
      <c r="B2697" s="282"/>
      <c r="H2697" s="273"/>
      <c r="I2697" s="274"/>
      <c r="J2697" s="274"/>
      <c r="K2697" s="274"/>
      <c r="L2697" s="274"/>
      <c r="M2697" s="274"/>
      <c r="N2697" s="274"/>
      <c r="P2697" s="275"/>
    </row>
    <row r="2698" ht="15.75" customHeight="1">
      <c r="B2698" s="282"/>
      <c r="H2698" s="273"/>
      <c r="I2698" s="274"/>
      <c r="J2698" s="274"/>
      <c r="K2698" s="274"/>
      <c r="L2698" s="274"/>
      <c r="M2698" s="274"/>
      <c r="N2698" s="274"/>
      <c r="P2698" s="275"/>
    </row>
    <row r="2699" ht="15.75" customHeight="1">
      <c r="B2699" s="282"/>
      <c r="H2699" s="273"/>
      <c r="I2699" s="274"/>
      <c r="J2699" s="274"/>
      <c r="K2699" s="274"/>
      <c r="L2699" s="274"/>
      <c r="M2699" s="274"/>
      <c r="N2699" s="274"/>
      <c r="P2699" s="275"/>
    </row>
    <row r="2700" ht="15.75" customHeight="1">
      <c r="B2700" s="282"/>
      <c r="H2700" s="273"/>
      <c r="I2700" s="274"/>
      <c r="J2700" s="274"/>
      <c r="K2700" s="274"/>
      <c r="L2700" s="274"/>
      <c r="M2700" s="274"/>
      <c r="N2700" s="274"/>
      <c r="P2700" s="275"/>
    </row>
    <row r="2701" ht="15.75" customHeight="1">
      <c r="B2701" s="282"/>
      <c r="H2701" s="273"/>
      <c r="I2701" s="274"/>
      <c r="J2701" s="274"/>
      <c r="K2701" s="274"/>
      <c r="L2701" s="274"/>
      <c r="M2701" s="274"/>
      <c r="N2701" s="274"/>
      <c r="P2701" s="275"/>
    </row>
    <row r="2702" ht="15.75" customHeight="1">
      <c r="B2702" s="282"/>
      <c r="H2702" s="273"/>
      <c r="I2702" s="274"/>
      <c r="J2702" s="274"/>
      <c r="K2702" s="274"/>
      <c r="L2702" s="274"/>
      <c r="M2702" s="274"/>
      <c r="N2702" s="274"/>
      <c r="P2702" s="275"/>
    </row>
    <row r="2703" ht="15.75" customHeight="1">
      <c r="B2703" s="282"/>
      <c r="H2703" s="273"/>
      <c r="I2703" s="274"/>
      <c r="J2703" s="274"/>
      <c r="K2703" s="274"/>
      <c r="L2703" s="274"/>
      <c r="M2703" s="274"/>
      <c r="N2703" s="274"/>
      <c r="P2703" s="275"/>
    </row>
    <row r="2704" ht="15.75" customHeight="1">
      <c r="B2704" s="282"/>
      <c r="H2704" s="273"/>
      <c r="I2704" s="274"/>
      <c r="J2704" s="274"/>
      <c r="K2704" s="274"/>
      <c r="L2704" s="274"/>
      <c r="M2704" s="274"/>
      <c r="N2704" s="274"/>
      <c r="P2704" s="275"/>
    </row>
    <row r="2705" ht="15.75" customHeight="1">
      <c r="B2705" s="282"/>
      <c r="H2705" s="273"/>
      <c r="I2705" s="274"/>
      <c r="J2705" s="274"/>
      <c r="K2705" s="274"/>
      <c r="L2705" s="274"/>
      <c r="M2705" s="274"/>
      <c r="N2705" s="274"/>
      <c r="P2705" s="275"/>
    </row>
    <row r="2706" ht="15.75" customHeight="1">
      <c r="B2706" s="282"/>
      <c r="H2706" s="273"/>
      <c r="I2706" s="274"/>
      <c r="J2706" s="274"/>
      <c r="K2706" s="274"/>
      <c r="L2706" s="274"/>
      <c r="M2706" s="274"/>
      <c r="N2706" s="274"/>
      <c r="P2706" s="275"/>
    </row>
    <row r="2707" ht="15.75" customHeight="1">
      <c r="B2707" s="282"/>
      <c r="H2707" s="273"/>
      <c r="I2707" s="274"/>
      <c r="J2707" s="274"/>
      <c r="K2707" s="274"/>
      <c r="L2707" s="274"/>
      <c r="M2707" s="274"/>
      <c r="N2707" s="274"/>
      <c r="P2707" s="275"/>
    </row>
    <row r="2708" ht="15.75" customHeight="1">
      <c r="B2708" s="282"/>
      <c r="H2708" s="273"/>
      <c r="I2708" s="274"/>
      <c r="J2708" s="274"/>
      <c r="K2708" s="274"/>
      <c r="L2708" s="274"/>
      <c r="M2708" s="274"/>
      <c r="N2708" s="274"/>
      <c r="P2708" s="275"/>
    </row>
    <row r="2709" ht="15.75" customHeight="1">
      <c r="B2709" s="282"/>
      <c r="H2709" s="273"/>
      <c r="I2709" s="274"/>
      <c r="J2709" s="274"/>
      <c r="K2709" s="274"/>
      <c r="L2709" s="274"/>
      <c r="M2709" s="274"/>
      <c r="N2709" s="274"/>
      <c r="P2709" s="275"/>
    </row>
    <row r="2710" ht="15.75" customHeight="1">
      <c r="B2710" s="282"/>
      <c r="H2710" s="273"/>
      <c r="I2710" s="274"/>
      <c r="J2710" s="274"/>
      <c r="K2710" s="274"/>
      <c r="L2710" s="274"/>
      <c r="M2710" s="274"/>
      <c r="N2710" s="274"/>
      <c r="P2710" s="275"/>
    </row>
    <row r="2711" ht="15.75" customHeight="1">
      <c r="B2711" s="282"/>
      <c r="H2711" s="273"/>
      <c r="I2711" s="274"/>
      <c r="J2711" s="274"/>
      <c r="K2711" s="274"/>
      <c r="L2711" s="274"/>
      <c r="M2711" s="274"/>
      <c r="N2711" s="274"/>
      <c r="P2711" s="275"/>
    </row>
    <row r="2712" ht="15.75" customHeight="1">
      <c r="B2712" s="282"/>
      <c r="H2712" s="273"/>
      <c r="I2712" s="274"/>
      <c r="J2712" s="274"/>
      <c r="K2712" s="274"/>
      <c r="L2712" s="274"/>
      <c r="M2712" s="274"/>
      <c r="N2712" s="274"/>
      <c r="P2712" s="275"/>
    </row>
    <row r="2713" ht="15.75" customHeight="1">
      <c r="B2713" s="282"/>
      <c r="H2713" s="273"/>
      <c r="I2713" s="274"/>
      <c r="J2713" s="274"/>
      <c r="K2713" s="274"/>
      <c r="L2713" s="274"/>
      <c r="M2713" s="274"/>
      <c r="N2713" s="274"/>
      <c r="P2713" s="275"/>
    </row>
    <row r="2714" ht="15.75" customHeight="1">
      <c r="B2714" s="282"/>
      <c r="H2714" s="273"/>
      <c r="I2714" s="274"/>
      <c r="J2714" s="274"/>
      <c r="K2714" s="274"/>
      <c r="L2714" s="274"/>
      <c r="M2714" s="274"/>
      <c r="N2714" s="274"/>
      <c r="P2714" s="275"/>
    </row>
    <row r="2715" ht="15.75" customHeight="1">
      <c r="B2715" s="282"/>
      <c r="H2715" s="273"/>
      <c r="I2715" s="274"/>
      <c r="J2715" s="274"/>
      <c r="K2715" s="274"/>
      <c r="L2715" s="274"/>
      <c r="M2715" s="274"/>
      <c r="N2715" s="274"/>
      <c r="P2715" s="275"/>
    </row>
    <row r="2716" ht="15.75" customHeight="1">
      <c r="B2716" s="282"/>
      <c r="H2716" s="273"/>
      <c r="I2716" s="274"/>
      <c r="J2716" s="274"/>
      <c r="K2716" s="274"/>
      <c r="L2716" s="274"/>
      <c r="M2716" s="274"/>
      <c r="N2716" s="274"/>
      <c r="P2716" s="275"/>
    </row>
    <row r="2717" ht="15.75" customHeight="1">
      <c r="B2717" s="282"/>
      <c r="H2717" s="273"/>
      <c r="I2717" s="274"/>
      <c r="J2717" s="274"/>
      <c r="K2717" s="274"/>
      <c r="L2717" s="274"/>
      <c r="M2717" s="274"/>
      <c r="N2717" s="274"/>
      <c r="P2717" s="275"/>
    </row>
    <row r="2718" ht="15.75" customHeight="1">
      <c r="B2718" s="282"/>
      <c r="H2718" s="273"/>
      <c r="I2718" s="274"/>
      <c r="J2718" s="274"/>
      <c r="K2718" s="274"/>
      <c r="L2718" s="274"/>
      <c r="M2718" s="274"/>
      <c r="N2718" s="274"/>
      <c r="P2718" s="275"/>
    </row>
    <row r="2719" ht="15.75" customHeight="1">
      <c r="B2719" s="282"/>
      <c r="H2719" s="273"/>
      <c r="I2719" s="274"/>
      <c r="J2719" s="274"/>
      <c r="K2719" s="274"/>
      <c r="L2719" s="274"/>
      <c r="M2719" s="274"/>
      <c r="N2719" s="274"/>
      <c r="P2719" s="275"/>
    </row>
    <row r="2720" ht="15.75" customHeight="1">
      <c r="B2720" s="282"/>
      <c r="H2720" s="273"/>
      <c r="I2720" s="274"/>
      <c r="J2720" s="274"/>
      <c r="K2720" s="274"/>
      <c r="L2720" s="274"/>
      <c r="M2720" s="274"/>
      <c r="N2720" s="274"/>
      <c r="P2720" s="275"/>
    </row>
    <row r="2721" ht="15.75" customHeight="1">
      <c r="B2721" s="282"/>
      <c r="H2721" s="273"/>
      <c r="I2721" s="274"/>
      <c r="J2721" s="274"/>
      <c r="K2721" s="274"/>
      <c r="L2721" s="274"/>
      <c r="M2721" s="274"/>
      <c r="N2721" s="274"/>
      <c r="P2721" s="275"/>
    </row>
    <row r="2722" ht="15.75" customHeight="1">
      <c r="B2722" s="282"/>
      <c r="H2722" s="273"/>
      <c r="I2722" s="274"/>
      <c r="J2722" s="274"/>
      <c r="K2722" s="274"/>
      <c r="L2722" s="274"/>
      <c r="M2722" s="274"/>
      <c r="N2722" s="274"/>
      <c r="P2722" s="275"/>
    </row>
    <row r="2723" ht="15.75" customHeight="1">
      <c r="B2723" s="282"/>
      <c r="H2723" s="273"/>
      <c r="I2723" s="274"/>
      <c r="J2723" s="274"/>
      <c r="K2723" s="274"/>
      <c r="L2723" s="274"/>
      <c r="M2723" s="274"/>
      <c r="N2723" s="274"/>
      <c r="P2723" s="275"/>
    </row>
    <row r="2724" ht="15.75" customHeight="1">
      <c r="B2724" s="282"/>
      <c r="H2724" s="273"/>
      <c r="I2724" s="274"/>
      <c r="J2724" s="274"/>
      <c r="K2724" s="274"/>
      <c r="L2724" s="274"/>
      <c r="M2724" s="274"/>
      <c r="N2724" s="274"/>
      <c r="P2724" s="275"/>
    </row>
    <row r="2725" ht="15.75" customHeight="1">
      <c r="B2725" s="282"/>
      <c r="H2725" s="273"/>
      <c r="I2725" s="274"/>
      <c r="J2725" s="274"/>
      <c r="K2725" s="274"/>
      <c r="L2725" s="274"/>
      <c r="M2725" s="274"/>
      <c r="N2725" s="274"/>
      <c r="P2725" s="275"/>
    </row>
    <row r="2726" ht="15.75" customHeight="1">
      <c r="B2726" s="282"/>
      <c r="H2726" s="273"/>
      <c r="I2726" s="274"/>
      <c r="J2726" s="274"/>
      <c r="K2726" s="274"/>
      <c r="L2726" s="274"/>
      <c r="M2726" s="274"/>
      <c r="N2726" s="274"/>
      <c r="P2726" s="275"/>
    </row>
    <row r="2727" ht="15.75" customHeight="1">
      <c r="B2727" s="282"/>
      <c r="H2727" s="273"/>
      <c r="I2727" s="274"/>
      <c r="J2727" s="274"/>
      <c r="K2727" s="274"/>
      <c r="L2727" s="274"/>
      <c r="M2727" s="274"/>
      <c r="N2727" s="274"/>
      <c r="P2727" s="275"/>
    </row>
    <row r="2728" ht="15.75" customHeight="1">
      <c r="B2728" s="282"/>
      <c r="H2728" s="273"/>
      <c r="I2728" s="274"/>
      <c r="J2728" s="274"/>
      <c r="K2728" s="274"/>
      <c r="L2728" s="274"/>
      <c r="M2728" s="274"/>
      <c r="N2728" s="274"/>
      <c r="P2728" s="275"/>
    </row>
    <row r="2729" ht="15.75" customHeight="1">
      <c r="B2729" s="282"/>
      <c r="H2729" s="273"/>
      <c r="I2729" s="274"/>
      <c r="J2729" s="274"/>
      <c r="K2729" s="274"/>
      <c r="L2729" s="274"/>
      <c r="M2729" s="274"/>
      <c r="N2729" s="274"/>
      <c r="P2729" s="275"/>
    </row>
    <row r="2730" ht="15.75" customHeight="1">
      <c r="B2730" s="282"/>
      <c r="H2730" s="273"/>
      <c r="I2730" s="274"/>
      <c r="J2730" s="274"/>
      <c r="K2730" s="274"/>
      <c r="L2730" s="274"/>
      <c r="M2730" s="274"/>
      <c r="N2730" s="274"/>
      <c r="P2730" s="275"/>
    </row>
    <row r="2731" ht="15.75" customHeight="1">
      <c r="B2731" s="282"/>
      <c r="H2731" s="273"/>
      <c r="I2731" s="274"/>
      <c r="J2731" s="274"/>
      <c r="K2731" s="274"/>
      <c r="L2731" s="274"/>
      <c r="M2731" s="274"/>
      <c r="N2731" s="274"/>
      <c r="P2731" s="275"/>
    </row>
    <row r="2732" ht="15.75" customHeight="1">
      <c r="B2732" s="282"/>
      <c r="H2732" s="273"/>
      <c r="I2732" s="274"/>
      <c r="J2732" s="274"/>
      <c r="K2732" s="274"/>
      <c r="L2732" s="274"/>
      <c r="M2732" s="274"/>
      <c r="N2732" s="274"/>
      <c r="P2732" s="275"/>
    </row>
    <row r="2733" ht="15.75" customHeight="1">
      <c r="B2733" s="282"/>
      <c r="H2733" s="273"/>
      <c r="I2733" s="274"/>
      <c r="J2733" s="274"/>
      <c r="K2733" s="274"/>
      <c r="L2733" s="274"/>
      <c r="M2733" s="274"/>
      <c r="N2733" s="274"/>
      <c r="P2733" s="275"/>
    </row>
    <row r="2734" ht="15.75" customHeight="1">
      <c r="B2734" s="282"/>
      <c r="H2734" s="273"/>
      <c r="I2734" s="274"/>
      <c r="J2734" s="274"/>
      <c r="K2734" s="274"/>
      <c r="L2734" s="274"/>
      <c r="M2734" s="274"/>
      <c r="N2734" s="274"/>
      <c r="P2734" s="275"/>
    </row>
    <row r="2735" ht="15.75" customHeight="1">
      <c r="B2735" s="282"/>
      <c r="H2735" s="273"/>
      <c r="I2735" s="274"/>
      <c r="J2735" s="274"/>
      <c r="K2735" s="274"/>
      <c r="L2735" s="274"/>
      <c r="M2735" s="274"/>
      <c r="N2735" s="274"/>
      <c r="P2735" s="275"/>
    </row>
    <row r="2736" ht="15.75" customHeight="1">
      <c r="B2736" s="282"/>
      <c r="H2736" s="273"/>
      <c r="I2736" s="274"/>
      <c r="J2736" s="274"/>
      <c r="K2736" s="274"/>
      <c r="L2736" s="274"/>
      <c r="M2736" s="274"/>
      <c r="N2736" s="274"/>
      <c r="P2736" s="275"/>
    </row>
    <row r="2737" ht="15.75" customHeight="1">
      <c r="B2737" s="282"/>
      <c r="H2737" s="273"/>
      <c r="I2737" s="274"/>
      <c r="J2737" s="274"/>
      <c r="K2737" s="274"/>
      <c r="L2737" s="274"/>
      <c r="M2737" s="274"/>
      <c r="N2737" s="274"/>
      <c r="P2737" s="275"/>
    </row>
    <row r="2738" ht="15.75" customHeight="1">
      <c r="B2738" s="282"/>
      <c r="H2738" s="273"/>
      <c r="I2738" s="274"/>
      <c r="J2738" s="274"/>
      <c r="K2738" s="274"/>
      <c r="L2738" s="274"/>
      <c r="M2738" s="274"/>
      <c r="N2738" s="274"/>
      <c r="P2738" s="275"/>
    </row>
    <row r="2739" ht="15.75" customHeight="1">
      <c r="B2739" s="282"/>
      <c r="H2739" s="273"/>
      <c r="I2739" s="274"/>
      <c r="J2739" s="274"/>
      <c r="K2739" s="274"/>
      <c r="L2739" s="274"/>
      <c r="M2739" s="274"/>
      <c r="N2739" s="274"/>
      <c r="P2739" s="275"/>
    </row>
    <row r="2740" ht="15.75" customHeight="1">
      <c r="B2740" s="282"/>
      <c r="H2740" s="273"/>
      <c r="I2740" s="274"/>
      <c r="J2740" s="274"/>
      <c r="K2740" s="274"/>
      <c r="L2740" s="274"/>
      <c r="M2740" s="274"/>
      <c r="N2740" s="274"/>
      <c r="P2740" s="275"/>
    </row>
    <row r="2741" ht="15.75" customHeight="1">
      <c r="B2741" s="282"/>
      <c r="H2741" s="273"/>
      <c r="I2741" s="274"/>
      <c r="J2741" s="274"/>
      <c r="K2741" s="274"/>
      <c r="L2741" s="274"/>
      <c r="M2741" s="274"/>
      <c r="N2741" s="274"/>
      <c r="P2741" s="275"/>
    </row>
    <row r="2742" ht="15.75" customHeight="1">
      <c r="B2742" s="282"/>
      <c r="H2742" s="273"/>
      <c r="I2742" s="274"/>
      <c r="J2742" s="274"/>
      <c r="K2742" s="274"/>
      <c r="L2742" s="274"/>
      <c r="M2742" s="274"/>
      <c r="N2742" s="274"/>
      <c r="P2742" s="275"/>
    </row>
    <row r="2743" ht="15.75" customHeight="1">
      <c r="B2743" s="282"/>
      <c r="H2743" s="273"/>
      <c r="I2743" s="274"/>
      <c r="J2743" s="274"/>
      <c r="K2743" s="274"/>
      <c r="L2743" s="274"/>
      <c r="M2743" s="274"/>
      <c r="N2743" s="274"/>
      <c r="P2743" s="275"/>
    </row>
    <row r="2744" ht="15.75" customHeight="1">
      <c r="B2744" s="282"/>
      <c r="H2744" s="273"/>
      <c r="I2744" s="274"/>
      <c r="J2744" s="274"/>
      <c r="K2744" s="274"/>
      <c r="L2744" s="274"/>
      <c r="M2744" s="274"/>
      <c r="N2744" s="274"/>
      <c r="P2744" s="275"/>
    </row>
    <row r="2745" ht="15.75" customHeight="1">
      <c r="B2745" s="282"/>
      <c r="H2745" s="273"/>
      <c r="I2745" s="274"/>
      <c r="J2745" s="274"/>
      <c r="K2745" s="274"/>
      <c r="L2745" s="274"/>
      <c r="M2745" s="274"/>
      <c r="N2745" s="274"/>
      <c r="P2745" s="275"/>
    </row>
    <row r="2746" ht="15.75" customHeight="1">
      <c r="B2746" s="282"/>
      <c r="H2746" s="273"/>
      <c r="I2746" s="274"/>
      <c r="J2746" s="274"/>
      <c r="K2746" s="274"/>
      <c r="L2746" s="274"/>
      <c r="M2746" s="274"/>
      <c r="N2746" s="274"/>
      <c r="P2746" s="275"/>
    </row>
    <row r="2747" ht="15.75" customHeight="1">
      <c r="B2747" s="282"/>
      <c r="H2747" s="273"/>
      <c r="I2747" s="274"/>
      <c r="J2747" s="274"/>
      <c r="K2747" s="274"/>
      <c r="L2747" s="274"/>
      <c r="M2747" s="274"/>
      <c r="N2747" s="274"/>
      <c r="P2747" s="275"/>
    </row>
    <row r="2748" ht="15.75" customHeight="1">
      <c r="B2748" s="282"/>
      <c r="H2748" s="273"/>
      <c r="I2748" s="274"/>
      <c r="J2748" s="274"/>
      <c r="K2748" s="274"/>
      <c r="L2748" s="274"/>
      <c r="M2748" s="274"/>
      <c r="N2748" s="274"/>
      <c r="P2748" s="275"/>
    </row>
    <row r="2749" ht="15.75" customHeight="1">
      <c r="B2749" s="282"/>
      <c r="H2749" s="273"/>
      <c r="I2749" s="274"/>
      <c r="J2749" s="274"/>
      <c r="K2749" s="274"/>
      <c r="L2749" s="274"/>
      <c r="M2749" s="274"/>
      <c r="N2749" s="274"/>
      <c r="P2749" s="275"/>
    </row>
    <row r="2750" ht="15.75" customHeight="1">
      <c r="B2750" s="282"/>
      <c r="H2750" s="273"/>
      <c r="I2750" s="274"/>
      <c r="J2750" s="274"/>
      <c r="K2750" s="274"/>
      <c r="L2750" s="274"/>
      <c r="M2750" s="274"/>
      <c r="N2750" s="274"/>
      <c r="P2750" s="275"/>
    </row>
    <row r="2751" ht="15.75" customHeight="1">
      <c r="B2751" s="282"/>
      <c r="H2751" s="273"/>
      <c r="I2751" s="274"/>
      <c r="J2751" s="274"/>
      <c r="K2751" s="274"/>
      <c r="L2751" s="274"/>
      <c r="M2751" s="274"/>
      <c r="N2751" s="274"/>
      <c r="P2751" s="275"/>
    </row>
    <row r="2752" ht="15.75" customHeight="1">
      <c r="B2752" s="282"/>
      <c r="H2752" s="273"/>
      <c r="I2752" s="274"/>
      <c r="J2752" s="274"/>
      <c r="K2752" s="274"/>
      <c r="L2752" s="274"/>
      <c r="M2752" s="274"/>
      <c r="N2752" s="274"/>
      <c r="P2752" s="275"/>
    </row>
    <row r="2753" ht="15.75" customHeight="1">
      <c r="B2753" s="282"/>
      <c r="H2753" s="273"/>
      <c r="I2753" s="274"/>
      <c r="J2753" s="274"/>
      <c r="K2753" s="274"/>
      <c r="L2753" s="274"/>
      <c r="M2753" s="274"/>
      <c r="N2753" s="274"/>
      <c r="P2753" s="275"/>
    </row>
    <row r="2754" ht="15.75" customHeight="1">
      <c r="B2754" s="282"/>
      <c r="H2754" s="273"/>
      <c r="I2754" s="274"/>
      <c r="J2754" s="274"/>
      <c r="K2754" s="274"/>
      <c r="L2754" s="274"/>
      <c r="M2754" s="274"/>
      <c r="N2754" s="274"/>
      <c r="P2754" s="275"/>
    </row>
    <row r="2755" ht="15.75" customHeight="1">
      <c r="B2755" s="282"/>
      <c r="H2755" s="273"/>
      <c r="I2755" s="274"/>
      <c r="J2755" s="274"/>
      <c r="K2755" s="274"/>
      <c r="L2755" s="274"/>
      <c r="M2755" s="274"/>
      <c r="N2755" s="274"/>
      <c r="P2755" s="275"/>
    </row>
    <row r="2756" ht="15.75" customHeight="1">
      <c r="B2756" s="282"/>
      <c r="H2756" s="273"/>
      <c r="I2756" s="274"/>
      <c r="J2756" s="274"/>
      <c r="K2756" s="274"/>
      <c r="L2756" s="274"/>
      <c r="M2756" s="274"/>
      <c r="N2756" s="274"/>
      <c r="P2756" s="275"/>
    </row>
    <row r="2757" ht="15.75" customHeight="1">
      <c r="B2757" s="282"/>
      <c r="H2757" s="273"/>
      <c r="I2757" s="274"/>
      <c r="J2757" s="274"/>
      <c r="K2757" s="274"/>
      <c r="L2757" s="274"/>
      <c r="M2757" s="274"/>
      <c r="N2757" s="274"/>
      <c r="P2757" s="275"/>
    </row>
    <row r="2758" ht="15.75" customHeight="1">
      <c r="B2758" s="282"/>
      <c r="H2758" s="273"/>
      <c r="I2758" s="274"/>
      <c r="J2758" s="274"/>
      <c r="K2758" s="274"/>
      <c r="L2758" s="274"/>
      <c r="M2758" s="274"/>
      <c r="N2758" s="274"/>
      <c r="P2758" s="275"/>
    </row>
    <row r="2759" ht="15.75" customHeight="1">
      <c r="B2759" s="282"/>
      <c r="H2759" s="273"/>
      <c r="I2759" s="274"/>
      <c r="J2759" s="274"/>
      <c r="K2759" s="274"/>
      <c r="L2759" s="274"/>
      <c r="M2759" s="274"/>
      <c r="N2759" s="274"/>
      <c r="P2759" s="275"/>
    </row>
    <row r="2760" ht="15.75" customHeight="1">
      <c r="B2760" s="282"/>
      <c r="H2760" s="273"/>
      <c r="I2760" s="274"/>
      <c r="J2760" s="274"/>
      <c r="K2760" s="274"/>
      <c r="L2760" s="274"/>
      <c r="M2760" s="274"/>
      <c r="N2760" s="274"/>
      <c r="P2760" s="275"/>
    </row>
    <row r="2761" ht="15.75" customHeight="1">
      <c r="B2761" s="282"/>
      <c r="H2761" s="273"/>
      <c r="I2761" s="274"/>
      <c r="J2761" s="274"/>
      <c r="K2761" s="274"/>
      <c r="L2761" s="274"/>
      <c r="M2761" s="274"/>
      <c r="N2761" s="274"/>
      <c r="P2761" s="275"/>
    </row>
    <row r="2762" ht="15.75" customHeight="1">
      <c r="B2762" s="282"/>
      <c r="H2762" s="273"/>
      <c r="I2762" s="274"/>
      <c r="J2762" s="274"/>
      <c r="K2762" s="274"/>
      <c r="L2762" s="274"/>
      <c r="M2762" s="274"/>
      <c r="N2762" s="274"/>
      <c r="P2762" s="275"/>
    </row>
    <row r="2763" ht="15.75" customHeight="1">
      <c r="B2763" s="282"/>
      <c r="H2763" s="273"/>
      <c r="I2763" s="274"/>
      <c r="J2763" s="274"/>
      <c r="K2763" s="274"/>
      <c r="L2763" s="274"/>
      <c r="M2763" s="274"/>
      <c r="N2763" s="274"/>
      <c r="P2763" s="275"/>
    </row>
    <row r="2764" ht="15.75" customHeight="1">
      <c r="B2764" s="282"/>
      <c r="H2764" s="273"/>
      <c r="I2764" s="274"/>
      <c r="J2764" s="274"/>
      <c r="K2764" s="274"/>
      <c r="L2764" s="274"/>
      <c r="M2764" s="274"/>
      <c r="N2764" s="274"/>
      <c r="P2764" s="275"/>
    </row>
    <row r="2765" ht="15.75" customHeight="1">
      <c r="B2765" s="282"/>
      <c r="H2765" s="273"/>
      <c r="I2765" s="274"/>
      <c r="J2765" s="274"/>
      <c r="K2765" s="274"/>
      <c r="L2765" s="274"/>
      <c r="M2765" s="274"/>
      <c r="N2765" s="274"/>
      <c r="P2765" s="275"/>
    </row>
    <row r="2766" ht="15.75" customHeight="1">
      <c r="B2766" s="282"/>
      <c r="H2766" s="273"/>
      <c r="I2766" s="274"/>
      <c r="J2766" s="274"/>
      <c r="K2766" s="274"/>
      <c r="L2766" s="274"/>
      <c r="M2766" s="274"/>
      <c r="N2766" s="274"/>
      <c r="P2766" s="275"/>
    </row>
    <row r="2767" ht="15.75" customHeight="1">
      <c r="B2767" s="282"/>
      <c r="H2767" s="273"/>
      <c r="I2767" s="274"/>
      <c r="J2767" s="274"/>
      <c r="K2767" s="274"/>
      <c r="L2767" s="274"/>
      <c r="M2767" s="274"/>
      <c r="N2767" s="274"/>
      <c r="P2767" s="275"/>
    </row>
    <row r="2768" ht="15.75" customHeight="1">
      <c r="B2768" s="282"/>
      <c r="H2768" s="273"/>
      <c r="I2768" s="274"/>
      <c r="J2768" s="274"/>
      <c r="K2768" s="274"/>
      <c r="L2768" s="274"/>
      <c r="M2768" s="274"/>
      <c r="N2768" s="274"/>
      <c r="P2768" s="275"/>
    </row>
    <row r="2769" ht="15.75" customHeight="1">
      <c r="B2769" s="282"/>
      <c r="H2769" s="273"/>
      <c r="I2769" s="274"/>
      <c r="J2769" s="274"/>
      <c r="K2769" s="274"/>
      <c r="L2769" s="274"/>
      <c r="M2769" s="274"/>
      <c r="N2769" s="274"/>
      <c r="P2769" s="275"/>
    </row>
    <row r="2770" ht="15.75" customHeight="1">
      <c r="B2770" s="282"/>
      <c r="H2770" s="273"/>
      <c r="I2770" s="274"/>
      <c r="J2770" s="274"/>
      <c r="K2770" s="274"/>
      <c r="L2770" s="274"/>
      <c r="M2770" s="274"/>
      <c r="N2770" s="274"/>
      <c r="P2770" s="275"/>
    </row>
    <row r="2771" ht="15.75" customHeight="1">
      <c r="B2771" s="282"/>
      <c r="H2771" s="273"/>
      <c r="I2771" s="274"/>
      <c r="J2771" s="274"/>
      <c r="K2771" s="274"/>
      <c r="L2771" s="274"/>
      <c r="M2771" s="274"/>
      <c r="N2771" s="274"/>
      <c r="P2771" s="275"/>
    </row>
    <row r="2772" ht="15.75" customHeight="1">
      <c r="B2772" s="282"/>
      <c r="H2772" s="273"/>
      <c r="I2772" s="274"/>
      <c r="J2772" s="274"/>
      <c r="K2772" s="274"/>
      <c r="L2772" s="274"/>
      <c r="M2772" s="274"/>
      <c r="N2772" s="274"/>
      <c r="P2772" s="275"/>
    </row>
    <row r="2773" ht="15.75" customHeight="1">
      <c r="B2773" s="282"/>
      <c r="H2773" s="273"/>
      <c r="I2773" s="274"/>
      <c r="J2773" s="274"/>
      <c r="K2773" s="274"/>
      <c r="L2773" s="274"/>
      <c r="M2773" s="274"/>
      <c r="N2773" s="274"/>
      <c r="P2773" s="275"/>
    </row>
    <row r="2774" ht="15.75" customHeight="1">
      <c r="B2774" s="282"/>
      <c r="H2774" s="273"/>
      <c r="I2774" s="274"/>
      <c r="J2774" s="274"/>
      <c r="K2774" s="274"/>
      <c r="L2774" s="274"/>
      <c r="M2774" s="274"/>
      <c r="N2774" s="274"/>
      <c r="P2774" s="275"/>
    </row>
    <row r="2775" ht="15.75" customHeight="1">
      <c r="B2775" s="282"/>
      <c r="H2775" s="273"/>
      <c r="I2775" s="274"/>
      <c r="J2775" s="274"/>
      <c r="K2775" s="274"/>
      <c r="L2775" s="274"/>
      <c r="M2775" s="274"/>
      <c r="N2775" s="274"/>
      <c r="P2775" s="275"/>
    </row>
    <row r="2776" ht="15.75" customHeight="1">
      <c r="B2776" s="282"/>
      <c r="H2776" s="273"/>
      <c r="I2776" s="274"/>
      <c r="J2776" s="274"/>
      <c r="K2776" s="274"/>
      <c r="L2776" s="274"/>
      <c r="M2776" s="274"/>
      <c r="N2776" s="274"/>
      <c r="P2776" s="275"/>
    </row>
    <row r="2777" ht="15.75" customHeight="1">
      <c r="B2777" s="282"/>
      <c r="H2777" s="273"/>
      <c r="I2777" s="274"/>
      <c r="J2777" s="274"/>
      <c r="K2777" s="274"/>
      <c r="L2777" s="274"/>
      <c r="M2777" s="274"/>
      <c r="N2777" s="274"/>
      <c r="P2777" s="275"/>
    </row>
    <row r="2778" ht="15.75" customHeight="1">
      <c r="B2778" s="282"/>
      <c r="H2778" s="273"/>
      <c r="I2778" s="274"/>
      <c r="J2778" s="274"/>
      <c r="K2778" s="274"/>
      <c r="L2778" s="274"/>
      <c r="M2778" s="274"/>
      <c r="N2778" s="274"/>
      <c r="P2778" s="275"/>
    </row>
    <row r="2779" ht="15.75" customHeight="1">
      <c r="B2779" s="282"/>
      <c r="H2779" s="273"/>
      <c r="I2779" s="274"/>
      <c r="J2779" s="274"/>
      <c r="K2779" s="274"/>
      <c r="L2779" s="274"/>
      <c r="M2779" s="274"/>
      <c r="N2779" s="274"/>
      <c r="P2779" s="275"/>
    </row>
    <row r="2780" ht="15.75" customHeight="1">
      <c r="B2780" s="282"/>
      <c r="H2780" s="273"/>
      <c r="I2780" s="274"/>
      <c r="J2780" s="274"/>
      <c r="K2780" s="274"/>
      <c r="L2780" s="274"/>
      <c r="M2780" s="274"/>
      <c r="N2780" s="274"/>
      <c r="P2780" s="275"/>
    </row>
    <row r="2781" ht="15.75" customHeight="1">
      <c r="B2781" s="282"/>
      <c r="H2781" s="273"/>
      <c r="I2781" s="274"/>
      <c r="J2781" s="274"/>
      <c r="K2781" s="274"/>
      <c r="L2781" s="274"/>
      <c r="M2781" s="274"/>
      <c r="N2781" s="274"/>
      <c r="P2781" s="275"/>
    </row>
    <row r="2782" ht="15.75" customHeight="1">
      <c r="B2782" s="282"/>
      <c r="H2782" s="273"/>
      <c r="I2782" s="274"/>
      <c r="J2782" s="274"/>
      <c r="K2782" s="274"/>
      <c r="L2782" s="274"/>
      <c r="M2782" s="274"/>
      <c r="N2782" s="274"/>
      <c r="P2782" s="275"/>
    </row>
    <row r="2783" ht="15.75" customHeight="1">
      <c r="B2783" s="282"/>
      <c r="H2783" s="273"/>
      <c r="I2783" s="274"/>
      <c r="J2783" s="274"/>
      <c r="K2783" s="274"/>
      <c r="L2783" s="274"/>
      <c r="M2783" s="274"/>
      <c r="N2783" s="274"/>
      <c r="P2783" s="275"/>
    </row>
    <row r="2784" ht="15.75" customHeight="1">
      <c r="B2784" s="282"/>
      <c r="H2784" s="273"/>
      <c r="I2784" s="274"/>
      <c r="J2784" s="274"/>
      <c r="K2784" s="274"/>
      <c r="L2784" s="274"/>
      <c r="M2784" s="274"/>
      <c r="N2784" s="274"/>
      <c r="P2784" s="275"/>
    </row>
    <row r="2785" ht="15.75" customHeight="1">
      <c r="B2785" s="282"/>
      <c r="H2785" s="273"/>
      <c r="I2785" s="274"/>
      <c r="J2785" s="274"/>
      <c r="K2785" s="274"/>
      <c r="L2785" s="274"/>
      <c r="M2785" s="274"/>
      <c r="N2785" s="274"/>
      <c r="P2785" s="275"/>
    </row>
    <row r="2786" ht="15.75" customHeight="1">
      <c r="B2786" s="282"/>
      <c r="H2786" s="273"/>
      <c r="I2786" s="274"/>
      <c r="J2786" s="274"/>
      <c r="K2786" s="274"/>
      <c r="L2786" s="274"/>
      <c r="M2786" s="274"/>
      <c r="N2786" s="274"/>
      <c r="P2786" s="275"/>
    </row>
    <row r="2787" ht="15.75" customHeight="1">
      <c r="B2787" s="282"/>
      <c r="H2787" s="273"/>
      <c r="I2787" s="274"/>
      <c r="J2787" s="274"/>
      <c r="K2787" s="274"/>
      <c r="L2787" s="274"/>
      <c r="M2787" s="274"/>
      <c r="N2787" s="274"/>
      <c r="P2787" s="275"/>
    </row>
    <row r="2788" ht="15.75" customHeight="1">
      <c r="B2788" s="282"/>
      <c r="H2788" s="273"/>
      <c r="I2788" s="274"/>
      <c r="J2788" s="274"/>
      <c r="K2788" s="274"/>
      <c r="L2788" s="274"/>
      <c r="M2788" s="274"/>
      <c r="N2788" s="274"/>
      <c r="P2788" s="275"/>
    </row>
    <row r="2789" ht="15.75" customHeight="1">
      <c r="B2789" s="282"/>
      <c r="H2789" s="273"/>
      <c r="I2789" s="274"/>
      <c r="J2789" s="274"/>
      <c r="K2789" s="274"/>
      <c r="L2789" s="274"/>
      <c r="M2789" s="274"/>
      <c r="N2789" s="274"/>
      <c r="P2789" s="275"/>
    </row>
    <row r="2790" ht="15.75" customHeight="1">
      <c r="B2790" s="282"/>
      <c r="H2790" s="273"/>
      <c r="I2790" s="274"/>
      <c r="J2790" s="274"/>
      <c r="K2790" s="274"/>
      <c r="L2790" s="274"/>
      <c r="M2790" s="274"/>
      <c r="N2790" s="274"/>
      <c r="P2790" s="275"/>
    </row>
    <row r="2791" ht="15.75" customHeight="1">
      <c r="B2791" s="282"/>
      <c r="H2791" s="273"/>
      <c r="I2791" s="274"/>
      <c r="J2791" s="274"/>
      <c r="K2791" s="274"/>
      <c r="L2791" s="274"/>
      <c r="M2791" s="274"/>
      <c r="N2791" s="274"/>
      <c r="P2791" s="275"/>
    </row>
    <row r="2792" ht="15.75" customHeight="1">
      <c r="B2792" s="282"/>
      <c r="H2792" s="273"/>
      <c r="I2792" s="274"/>
      <c r="J2792" s="274"/>
      <c r="K2792" s="274"/>
      <c r="L2792" s="274"/>
      <c r="M2792" s="274"/>
      <c r="N2792" s="274"/>
      <c r="P2792" s="275"/>
    </row>
    <row r="2793" ht="15.75" customHeight="1">
      <c r="B2793" s="282"/>
      <c r="H2793" s="273"/>
      <c r="I2793" s="274"/>
      <c r="J2793" s="274"/>
      <c r="K2793" s="274"/>
      <c r="L2793" s="274"/>
      <c r="M2793" s="274"/>
      <c r="N2793" s="274"/>
      <c r="P2793" s="275"/>
    </row>
    <row r="2794" ht="15.75" customHeight="1">
      <c r="B2794" s="282"/>
      <c r="H2794" s="273"/>
      <c r="I2794" s="274"/>
      <c r="J2794" s="274"/>
      <c r="K2794" s="274"/>
      <c r="L2794" s="274"/>
      <c r="M2794" s="274"/>
      <c r="N2794" s="274"/>
      <c r="P2794" s="275"/>
    </row>
    <row r="2795" ht="15.75" customHeight="1">
      <c r="B2795" s="282"/>
      <c r="H2795" s="273"/>
      <c r="I2795" s="274"/>
      <c r="J2795" s="274"/>
      <c r="K2795" s="274"/>
      <c r="L2795" s="274"/>
      <c r="M2795" s="274"/>
      <c r="N2795" s="274"/>
      <c r="P2795" s="275"/>
    </row>
    <row r="2796" ht="15.75" customHeight="1">
      <c r="B2796" s="282"/>
      <c r="H2796" s="273"/>
      <c r="I2796" s="274"/>
      <c r="J2796" s="274"/>
      <c r="K2796" s="274"/>
      <c r="L2796" s="274"/>
      <c r="M2796" s="274"/>
      <c r="N2796" s="274"/>
      <c r="P2796" s="275"/>
    </row>
    <row r="2797" ht="15.75" customHeight="1">
      <c r="B2797" s="282"/>
      <c r="H2797" s="273"/>
      <c r="I2797" s="274"/>
      <c r="J2797" s="274"/>
      <c r="K2797" s="274"/>
      <c r="L2797" s="274"/>
      <c r="M2797" s="274"/>
      <c r="N2797" s="274"/>
      <c r="P2797" s="275"/>
    </row>
    <row r="2798" ht="15.75" customHeight="1">
      <c r="B2798" s="282"/>
      <c r="H2798" s="273"/>
      <c r="I2798" s="274"/>
      <c r="J2798" s="274"/>
      <c r="K2798" s="274"/>
      <c r="L2798" s="274"/>
      <c r="M2798" s="274"/>
      <c r="N2798" s="274"/>
      <c r="P2798" s="275"/>
    </row>
    <row r="2799" ht="15.75" customHeight="1">
      <c r="B2799" s="282"/>
      <c r="H2799" s="273"/>
      <c r="I2799" s="274"/>
      <c r="J2799" s="274"/>
      <c r="K2799" s="274"/>
      <c r="L2799" s="274"/>
      <c r="M2799" s="274"/>
      <c r="N2799" s="274"/>
      <c r="P2799" s="275"/>
    </row>
    <row r="2800" ht="15.75" customHeight="1">
      <c r="B2800" s="282"/>
      <c r="H2800" s="273"/>
      <c r="I2800" s="274"/>
      <c r="J2800" s="274"/>
      <c r="K2800" s="274"/>
      <c r="L2800" s="274"/>
      <c r="M2800" s="274"/>
      <c r="N2800" s="274"/>
      <c r="P2800" s="275"/>
    </row>
    <row r="2801" ht="15.75" customHeight="1">
      <c r="B2801" s="282"/>
      <c r="H2801" s="273"/>
      <c r="I2801" s="274"/>
      <c r="J2801" s="274"/>
      <c r="K2801" s="274"/>
      <c r="L2801" s="274"/>
      <c r="M2801" s="274"/>
      <c r="N2801" s="274"/>
      <c r="P2801" s="275"/>
    </row>
    <row r="2802" ht="15.75" customHeight="1">
      <c r="B2802" s="282"/>
      <c r="H2802" s="273"/>
      <c r="I2802" s="274"/>
      <c r="J2802" s="274"/>
      <c r="K2802" s="274"/>
      <c r="L2802" s="274"/>
      <c r="M2802" s="274"/>
      <c r="N2802" s="274"/>
      <c r="P2802" s="275"/>
    </row>
    <row r="2803" ht="15.75" customHeight="1">
      <c r="B2803" s="282"/>
      <c r="H2803" s="273"/>
      <c r="I2803" s="274"/>
      <c r="J2803" s="274"/>
      <c r="K2803" s="274"/>
      <c r="L2803" s="274"/>
      <c r="M2803" s="274"/>
      <c r="N2803" s="274"/>
      <c r="P2803" s="275"/>
    </row>
    <row r="2804" ht="15.75" customHeight="1">
      <c r="B2804" s="282"/>
      <c r="H2804" s="273"/>
      <c r="I2804" s="274"/>
      <c r="J2804" s="274"/>
      <c r="K2804" s="274"/>
      <c r="L2804" s="274"/>
      <c r="M2804" s="274"/>
      <c r="N2804" s="274"/>
      <c r="P2804" s="275"/>
    </row>
    <row r="2805" ht="15.75" customHeight="1">
      <c r="B2805" s="282"/>
      <c r="H2805" s="273"/>
      <c r="I2805" s="274"/>
      <c r="J2805" s="274"/>
      <c r="K2805" s="274"/>
      <c r="L2805" s="274"/>
      <c r="M2805" s="274"/>
      <c r="N2805" s="274"/>
      <c r="P2805" s="275"/>
    </row>
    <row r="2806" ht="15.75" customHeight="1">
      <c r="B2806" s="282"/>
      <c r="H2806" s="273"/>
      <c r="I2806" s="274"/>
      <c r="J2806" s="274"/>
      <c r="K2806" s="274"/>
      <c r="L2806" s="274"/>
      <c r="M2806" s="274"/>
      <c r="N2806" s="274"/>
      <c r="P2806" s="275"/>
    </row>
    <row r="2807" ht="15.75" customHeight="1">
      <c r="B2807" s="282"/>
      <c r="H2807" s="273"/>
      <c r="I2807" s="274"/>
      <c r="J2807" s="274"/>
      <c r="K2807" s="274"/>
      <c r="L2807" s="274"/>
      <c r="M2807" s="274"/>
      <c r="N2807" s="274"/>
      <c r="P2807" s="275"/>
    </row>
    <row r="2808" ht="15.75" customHeight="1">
      <c r="B2808" s="282"/>
      <c r="H2808" s="273"/>
      <c r="I2808" s="274"/>
      <c r="J2808" s="274"/>
      <c r="K2808" s="274"/>
      <c r="L2808" s="274"/>
      <c r="M2808" s="274"/>
      <c r="N2808" s="274"/>
      <c r="P2808" s="275"/>
    </row>
    <row r="2809" ht="15.75" customHeight="1">
      <c r="B2809" s="282"/>
      <c r="H2809" s="273"/>
      <c r="I2809" s="274"/>
      <c r="J2809" s="274"/>
      <c r="K2809" s="274"/>
      <c r="L2809" s="274"/>
      <c r="M2809" s="274"/>
      <c r="N2809" s="274"/>
      <c r="P2809" s="275"/>
    </row>
    <row r="2810" ht="15.75" customHeight="1">
      <c r="B2810" s="282"/>
      <c r="H2810" s="273"/>
      <c r="I2810" s="274"/>
      <c r="J2810" s="274"/>
      <c r="K2810" s="274"/>
      <c r="L2810" s="274"/>
      <c r="M2810" s="274"/>
      <c r="N2810" s="274"/>
      <c r="P2810" s="275"/>
    </row>
    <row r="2811" ht="15.75" customHeight="1">
      <c r="B2811" s="282"/>
      <c r="H2811" s="273"/>
      <c r="I2811" s="274"/>
      <c r="J2811" s="274"/>
      <c r="K2811" s="274"/>
      <c r="L2811" s="274"/>
      <c r="M2811" s="274"/>
      <c r="N2811" s="274"/>
      <c r="P2811" s="275"/>
    </row>
    <row r="2812" ht="15.75" customHeight="1">
      <c r="B2812" s="282"/>
      <c r="H2812" s="273"/>
      <c r="I2812" s="274"/>
      <c r="J2812" s="274"/>
      <c r="K2812" s="274"/>
      <c r="L2812" s="274"/>
      <c r="M2812" s="274"/>
      <c r="N2812" s="274"/>
      <c r="P2812" s="275"/>
    </row>
    <row r="2813" ht="15.75" customHeight="1">
      <c r="B2813" s="282"/>
      <c r="H2813" s="273"/>
      <c r="I2813" s="274"/>
      <c r="J2813" s="274"/>
      <c r="K2813" s="274"/>
      <c r="L2813" s="274"/>
      <c r="M2813" s="274"/>
      <c r="N2813" s="274"/>
      <c r="P2813" s="275"/>
    </row>
    <row r="2814" ht="15.75" customHeight="1">
      <c r="B2814" s="282"/>
      <c r="H2814" s="273"/>
      <c r="I2814" s="274"/>
      <c r="J2814" s="274"/>
      <c r="K2814" s="274"/>
      <c r="L2814" s="274"/>
      <c r="M2814" s="274"/>
      <c r="N2814" s="274"/>
      <c r="P2814" s="275"/>
    </row>
    <row r="2815" ht="15.75" customHeight="1">
      <c r="B2815" s="282"/>
      <c r="H2815" s="273"/>
      <c r="I2815" s="274"/>
      <c r="J2815" s="274"/>
      <c r="K2815" s="274"/>
      <c r="L2815" s="274"/>
      <c r="M2815" s="274"/>
      <c r="N2815" s="274"/>
      <c r="P2815" s="275"/>
    </row>
    <row r="2816" ht="15.75" customHeight="1">
      <c r="B2816" s="282"/>
      <c r="H2816" s="273"/>
      <c r="I2816" s="274"/>
      <c r="J2816" s="274"/>
      <c r="K2816" s="274"/>
      <c r="L2816" s="274"/>
      <c r="M2816" s="274"/>
      <c r="N2816" s="274"/>
      <c r="P2816" s="275"/>
    </row>
    <row r="2817" ht="15.75" customHeight="1">
      <c r="B2817" s="282"/>
      <c r="H2817" s="273"/>
      <c r="I2817" s="274"/>
      <c r="J2817" s="274"/>
      <c r="K2817" s="274"/>
      <c r="L2817" s="274"/>
      <c r="M2817" s="274"/>
      <c r="N2817" s="274"/>
      <c r="P2817" s="275"/>
    </row>
    <row r="2818" ht="15.75" customHeight="1">
      <c r="B2818" s="282"/>
      <c r="H2818" s="273"/>
      <c r="I2818" s="274"/>
      <c r="J2818" s="274"/>
      <c r="K2818" s="274"/>
      <c r="L2818" s="274"/>
      <c r="M2818" s="274"/>
      <c r="N2818" s="274"/>
      <c r="P2818" s="275"/>
    </row>
    <row r="2819" ht="15.75" customHeight="1">
      <c r="B2819" s="282"/>
      <c r="H2819" s="273"/>
      <c r="I2819" s="274"/>
      <c r="J2819" s="274"/>
      <c r="K2819" s="274"/>
      <c r="L2819" s="274"/>
      <c r="M2819" s="274"/>
      <c r="N2819" s="274"/>
      <c r="P2819" s="275"/>
    </row>
    <row r="2820" ht="15.75" customHeight="1">
      <c r="B2820" s="282"/>
      <c r="H2820" s="273"/>
      <c r="I2820" s="274"/>
      <c r="J2820" s="274"/>
      <c r="K2820" s="274"/>
      <c r="L2820" s="274"/>
      <c r="M2820" s="274"/>
      <c r="N2820" s="274"/>
      <c r="P2820" s="275"/>
    </row>
    <row r="2821" ht="15.75" customHeight="1">
      <c r="B2821" s="282"/>
      <c r="H2821" s="273"/>
      <c r="I2821" s="274"/>
      <c r="J2821" s="274"/>
      <c r="K2821" s="274"/>
      <c r="L2821" s="274"/>
      <c r="M2821" s="274"/>
      <c r="N2821" s="274"/>
      <c r="P2821" s="275"/>
    </row>
    <row r="2822" ht="15.75" customHeight="1">
      <c r="B2822" s="282"/>
      <c r="H2822" s="273"/>
      <c r="I2822" s="274"/>
      <c r="J2822" s="274"/>
      <c r="K2822" s="274"/>
      <c r="L2822" s="274"/>
      <c r="M2822" s="274"/>
      <c r="N2822" s="274"/>
      <c r="P2822" s="275"/>
    </row>
    <row r="2823" ht="15.75" customHeight="1">
      <c r="B2823" s="282"/>
      <c r="H2823" s="273"/>
      <c r="I2823" s="274"/>
      <c r="J2823" s="274"/>
      <c r="K2823" s="274"/>
      <c r="L2823" s="274"/>
      <c r="M2823" s="274"/>
      <c r="N2823" s="274"/>
      <c r="P2823" s="275"/>
    </row>
    <row r="2824" ht="15.75" customHeight="1">
      <c r="B2824" s="282"/>
      <c r="H2824" s="273"/>
      <c r="I2824" s="274"/>
      <c r="J2824" s="274"/>
      <c r="K2824" s="274"/>
      <c r="L2824" s="274"/>
      <c r="M2824" s="274"/>
      <c r="N2824" s="274"/>
      <c r="P2824" s="275"/>
    </row>
    <row r="2825" ht="15.75" customHeight="1">
      <c r="B2825" s="282"/>
      <c r="H2825" s="273"/>
      <c r="I2825" s="274"/>
      <c r="J2825" s="274"/>
      <c r="K2825" s="274"/>
      <c r="L2825" s="274"/>
      <c r="M2825" s="274"/>
      <c r="N2825" s="274"/>
      <c r="P2825" s="275"/>
    </row>
    <row r="2826" ht="15.75" customHeight="1">
      <c r="B2826" s="282"/>
      <c r="H2826" s="273"/>
      <c r="I2826" s="274"/>
      <c r="J2826" s="274"/>
      <c r="K2826" s="274"/>
      <c r="L2826" s="274"/>
      <c r="M2826" s="274"/>
      <c r="N2826" s="274"/>
      <c r="P2826" s="275"/>
    </row>
    <row r="2827" ht="15.75" customHeight="1">
      <c r="B2827" s="282"/>
      <c r="H2827" s="273"/>
      <c r="I2827" s="274"/>
      <c r="J2827" s="274"/>
      <c r="K2827" s="274"/>
      <c r="L2827" s="274"/>
      <c r="M2827" s="274"/>
      <c r="N2827" s="274"/>
      <c r="P2827" s="275"/>
    </row>
    <row r="2828" ht="15.75" customHeight="1">
      <c r="B2828" s="282"/>
      <c r="H2828" s="273"/>
      <c r="I2828" s="274"/>
      <c r="J2828" s="274"/>
      <c r="K2828" s="274"/>
      <c r="L2828" s="274"/>
      <c r="M2828" s="274"/>
      <c r="N2828" s="274"/>
      <c r="P2828" s="275"/>
    </row>
    <row r="2829" ht="15.75" customHeight="1">
      <c r="B2829" s="282"/>
      <c r="H2829" s="273"/>
      <c r="I2829" s="274"/>
      <c r="J2829" s="274"/>
      <c r="K2829" s="274"/>
      <c r="L2829" s="274"/>
      <c r="M2829" s="274"/>
      <c r="N2829" s="274"/>
      <c r="P2829" s="275"/>
    </row>
    <row r="2830" ht="15.75" customHeight="1">
      <c r="B2830" s="282"/>
      <c r="H2830" s="273"/>
      <c r="I2830" s="274"/>
      <c r="J2830" s="274"/>
      <c r="K2830" s="274"/>
      <c r="L2830" s="274"/>
      <c r="M2830" s="274"/>
      <c r="N2830" s="274"/>
      <c r="P2830" s="275"/>
    </row>
    <row r="2831" ht="15.75" customHeight="1">
      <c r="B2831" s="282"/>
      <c r="H2831" s="273"/>
      <c r="I2831" s="274"/>
      <c r="J2831" s="274"/>
      <c r="K2831" s="274"/>
      <c r="L2831" s="274"/>
      <c r="M2831" s="274"/>
      <c r="N2831" s="274"/>
      <c r="P2831" s="275"/>
    </row>
    <row r="2832" ht="15.75" customHeight="1">
      <c r="B2832" s="282"/>
      <c r="H2832" s="273"/>
      <c r="I2832" s="274"/>
      <c r="J2832" s="274"/>
      <c r="K2832" s="274"/>
      <c r="L2832" s="274"/>
      <c r="M2832" s="274"/>
      <c r="N2832" s="274"/>
      <c r="P2832" s="275"/>
    </row>
    <row r="2833" ht="15.75" customHeight="1">
      <c r="B2833" s="282"/>
      <c r="H2833" s="273"/>
      <c r="I2833" s="274"/>
      <c r="J2833" s="274"/>
      <c r="K2833" s="274"/>
      <c r="L2833" s="274"/>
      <c r="M2833" s="274"/>
      <c r="N2833" s="274"/>
      <c r="P2833" s="275"/>
    </row>
    <row r="2834" ht="15.75" customHeight="1">
      <c r="B2834" s="282"/>
      <c r="H2834" s="273"/>
      <c r="I2834" s="274"/>
      <c r="J2834" s="274"/>
      <c r="K2834" s="274"/>
      <c r="L2834" s="274"/>
      <c r="M2834" s="274"/>
      <c r="N2834" s="274"/>
      <c r="P2834" s="275"/>
    </row>
    <row r="2835" ht="15.75" customHeight="1">
      <c r="B2835" s="282"/>
      <c r="H2835" s="273"/>
      <c r="I2835" s="274"/>
      <c r="J2835" s="274"/>
      <c r="K2835" s="274"/>
      <c r="L2835" s="274"/>
      <c r="M2835" s="274"/>
      <c r="N2835" s="274"/>
      <c r="P2835" s="275"/>
    </row>
    <row r="2836" ht="15.75" customHeight="1">
      <c r="B2836" s="282"/>
      <c r="H2836" s="273"/>
      <c r="I2836" s="274"/>
      <c r="J2836" s="274"/>
      <c r="K2836" s="274"/>
      <c r="L2836" s="274"/>
      <c r="M2836" s="274"/>
      <c r="N2836" s="274"/>
      <c r="P2836" s="275"/>
    </row>
    <row r="2837" ht="15.75" customHeight="1">
      <c r="B2837" s="282"/>
      <c r="H2837" s="273"/>
      <c r="I2837" s="274"/>
      <c r="J2837" s="274"/>
      <c r="K2837" s="274"/>
      <c r="L2837" s="274"/>
      <c r="M2837" s="274"/>
      <c r="N2837" s="274"/>
      <c r="P2837" s="275"/>
    </row>
    <row r="2838" ht="15.75" customHeight="1">
      <c r="B2838" s="282"/>
      <c r="H2838" s="273"/>
      <c r="I2838" s="274"/>
      <c r="J2838" s="274"/>
      <c r="K2838" s="274"/>
      <c r="L2838" s="274"/>
      <c r="M2838" s="274"/>
      <c r="N2838" s="274"/>
      <c r="P2838" s="275"/>
    </row>
    <row r="2839" ht="15.75" customHeight="1">
      <c r="B2839" s="282"/>
      <c r="H2839" s="273"/>
      <c r="I2839" s="274"/>
      <c r="J2839" s="274"/>
      <c r="K2839" s="274"/>
      <c r="L2839" s="274"/>
      <c r="M2839" s="274"/>
      <c r="N2839" s="274"/>
      <c r="P2839" s="275"/>
    </row>
    <row r="2840" ht="15.75" customHeight="1">
      <c r="B2840" s="282"/>
      <c r="H2840" s="273"/>
      <c r="I2840" s="274"/>
      <c r="J2840" s="274"/>
      <c r="K2840" s="274"/>
      <c r="L2840" s="274"/>
      <c r="M2840" s="274"/>
      <c r="N2840" s="274"/>
      <c r="P2840" s="275"/>
    </row>
    <row r="2841" ht="15.75" customHeight="1">
      <c r="B2841" s="282"/>
      <c r="H2841" s="273"/>
      <c r="I2841" s="274"/>
      <c r="J2841" s="274"/>
      <c r="K2841" s="274"/>
      <c r="L2841" s="274"/>
      <c r="M2841" s="274"/>
      <c r="N2841" s="274"/>
      <c r="P2841" s="275"/>
    </row>
    <row r="2842" ht="15.75" customHeight="1">
      <c r="B2842" s="282"/>
      <c r="H2842" s="273"/>
      <c r="I2842" s="274"/>
      <c r="J2842" s="274"/>
      <c r="K2842" s="274"/>
      <c r="L2842" s="274"/>
      <c r="M2842" s="274"/>
      <c r="N2842" s="274"/>
      <c r="P2842" s="275"/>
    </row>
    <row r="2843" ht="15.75" customHeight="1">
      <c r="B2843" s="282"/>
      <c r="H2843" s="273"/>
      <c r="I2843" s="274"/>
      <c r="J2843" s="274"/>
      <c r="K2843" s="274"/>
      <c r="L2843" s="274"/>
      <c r="M2843" s="274"/>
      <c r="N2843" s="274"/>
      <c r="P2843" s="275"/>
    </row>
    <row r="2844" ht="15.75" customHeight="1">
      <c r="B2844" s="282"/>
      <c r="H2844" s="273"/>
      <c r="I2844" s="274"/>
      <c r="J2844" s="274"/>
      <c r="K2844" s="274"/>
      <c r="L2844" s="274"/>
      <c r="M2844" s="274"/>
      <c r="N2844" s="274"/>
      <c r="P2844" s="275"/>
    </row>
    <row r="2845" ht="15.75" customHeight="1">
      <c r="B2845" s="282"/>
      <c r="H2845" s="273"/>
      <c r="I2845" s="274"/>
      <c r="J2845" s="274"/>
      <c r="K2845" s="274"/>
      <c r="L2845" s="274"/>
      <c r="M2845" s="274"/>
      <c r="N2845" s="274"/>
      <c r="P2845" s="275"/>
    </row>
    <row r="2846" ht="15.75" customHeight="1">
      <c r="B2846" s="282"/>
      <c r="H2846" s="273"/>
      <c r="I2846" s="274"/>
      <c r="J2846" s="274"/>
      <c r="K2846" s="274"/>
      <c r="L2846" s="274"/>
      <c r="M2846" s="274"/>
      <c r="N2846" s="274"/>
      <c r="P2846" s="275"/>
    </row>
    <row r="2847" ht="15.75" customHeight="1">
      <c r="B2847" s="282"/>
      <c r="H2847" s="273"/>
      <c r="I2847" s="274"/>
      <c r="J2847" s="274"/>
      <c r="K2847" s="274"/>
      <c r="L2847" s="274"/>
      <c r="M2847" s="274"/>
      <c r="N2847" s="274"/>
      <c r="P2847" s="275"/>
    </row>
    <row r="2848" ht="15.75" customHeight="1">
      <c r="B2848" s="282"/>
      <c r="H2848" s="273"/>
      <c r="I2848" s="274"/>
      <c r="J2848" s="274"/>
      <c r="K2848" s="274"/>
      <c r="L2848" s="274"/>
      <c r="M2848" s="274"/>
      <c r="N2848" s="274"/>
      <c r="P2848" s="275"/>
    </row>
    <row r="2849" ht="15.75" customHeight="1">
      <c r="B2849" s="282"/>
      <c r="H2849" s="273"/>
      <c r="I2849" s="274"/>
      <c r="J2849" s="274"/>
      <c r="K2849" s="274"/>
      <c r="L2849" s="274"/>
      <c r="M2849" s="274"/>
      <c r="N2849" s="274"/>
      <c r="P2849" s="275"/>
    </row>
    <row r="2850" ht="15.75" customHeight="1">
      <c r="B2850" s="282"/>
      <c r="H2850" s="273"/>
      <c r="I2850" s="274"/>
      <c r="J2850" s="274"/>
      <c r="K2850" s="274"/>
      <c r="L2850" s="274"/>
      <c r="M2850" s="274"/>
      <c r="N2850" s="274"/>
      <c r="P2850" s="275"/>
    </row>
    <row r="2851" ht="15.75" customHeight="1">
      <c r="B2851" s="282"/>
      <c r="H2851" s="273"/>
      <c r="I2851" s="274"/>
      <c r="J2851" s="274"/>
      <c r="K2851" s="274"/>
      <c r="L2851" s="274"/>
      <c r="M2851" s="274"/>
      <c r="N2851" s="274"/>
      <c r="P2851" s="275"/>
    </row>
    <row r="2852" ht="15.75" customHeight="1">
      <c r="B2852" s="282"/>
      <c r="H2852" s="273"/>
      <c r="I2852" s="274"/>
      <c r="J2852" s="274"/>
      <c r="K2852" s="274"/>
      <c r="L2852" s="274"/>
      <c r="M2852" s="274"/>
      <c r="N2852" s="274"/>
      <c r="P2852" s="275"/>
    </row>
    <row r="2853" ht="15.75" customHeight="1">
      <c r="B2853" s="282"/>
      <c r="H2853" s="273"/>
      <c r="I2853" s="274"/>
      <c r="J2853" s="274"/>
      <c r="K2853" s="274"/>
      <c r="L2853" s="274"/>
      <c r="M2853" s="274"/>
      <c r="N2853" s="274"/>
      <c r="P2853" s="275"/>
    </row>
    <row r="2854" ht="15.75" customHeight="1">
      <c r="B2854" s="282"/>
      <c r="H2854" s="273"/>
      <c r="I2854" s="274"/>
      <c r="J2854" s="274"/>
      <c r="K2854" s="274"/>
      <c r="L2854" s="274"/>
      <c r="M2854" s="274"/>
      <c r="N2854" s="274"/>
      <c r="P2854" s="275"/>
    </row>
    <row r="2855" ht="15.75" customHeight="1">
      <c r="B2855" s="282"/>
      <c r="H2855" s="273"/>
      <c r="I2855" s="274"/>
      <c r="J2855" s="274"/>
      <c r="K2855" s="274"/>
      <c r="L2855" s="274"/>
      <c r="M2855" s="274"/>
      <c r="N2855" s="274"/>
      <c r="P2855" s="275"/>
    </row>
    <row r="2856" ht="15.75" customHeight="1">
      <c r="B2856" s="282"/>
      <c r="H2856" s="273"/>
      <c r="I2856" s="274"/>
      <c r="J2856" s="274"/>
      <c r="K2856" s="274"/>
      <c r="L2856" s="274"/>
      <c r="M2856" s="274"/>
      <c r="N2856" s="274"/>
      <c r="P2856" s="275"/>
    </row>
    <row r="2857" ht="15.75" customHeight="1">
      <c r="B2857" s="282"/>
      <c r="H2857" s="273"/>
      <c r="I2857" s="274"/>
      <c r="J2857" s="274"/>
      <c r="K2857" s="274"/>
      <c r="L2857" s="274"/>
      <c r="M2857" s="274"/>
      <c r="N2857" s="274"/>
      <c r="P2857" s="275"/>
    </row>
    <row r="2858" ht="15.75" customHeight="1">
      <c r="B2858" s="282"/>
      <c r="H2858" s="273"/>
      <c r="I2858" s="274"/>
      <c r="J2858" s="274"/>
      <c r="K2858" s="274"/>
      <c r="L2858" s="274"/>
      <c r="M2858" s="274"/>
      <c r="N2858" s="274"/>
      <c r="P2858" s="275"/>
    </row>
    <row r="2859" ht="15.75" customHeight="1">
      <c r="B2859" s="282"/>
      <c r="H2859" s="273"/>
      <c r="I2859" s="274"/>
      <c r="J2859" s="274"/>
      <c r="K2859" s="274"/>
      <c r="L2859" s="274"/>
      <c r="M2859" s="274"/>
      <c r="N2859" s="274"/>
      <c r="P2859" s="275"/>
    </row>
    <row r="2860" ht="15.75" customHeight="1">
      <c r="B2860" s="282"/>
      <c r="H2860" s="273"/>
      <c r="I2860" s="274"/>
      <c r="J2860" s="274"/>
      <c r="K2860" s="274"/>
      <c r="L2860" s="274"/>
      <c r="M2860" s="274"/>
      <c r="N2860" s="274"/>
      <c r="P2860" s="275"/>
    </row>
    <row r="2861" ht="15.75" customHeight="1">
      <c r="B2861" s="282"/>
      <c r="H2861" s="273"/>
      <c r="I2861" s="274"/>
      <c r="J2861" s="274"/>
      <c r="K2861" s="274"/>
      <c r="L2861" s="274"/>
      <c r="M2861" s="274"/>
      <c r="N2861" s="274"/>
      <c r="P2861" s="275"/>
    </row>
    <row r="2862" ht="15.75" customHeight="1">
      <c r="B2862" s="282"/>
      <c r="H2862" s="273"/>
      <c r="I2862" s="274"/>
      <c r="J2862" s="274"/>
      <c r="K2862" s="274"/>
      <c r="L2862" s="274"/>
      <c r="M2862" s="274"/>
      <c r="N2862" s="274"/>
      <c r="P2862" s="275"/>
    </row>
    <row r="2863" ht="15.75" customHeight="1">
      <c r="B2863" s="282"/>
      <c r="H2863" s="273"/>
      <c r="I2863" s="274"/>
      <c r="J2863" s="274"/>
      <c r="K2863" s="274"/>
      <c r="L2863" s="274"/>
      <c r="M2863" s="274"/>
      <c r="N2863" s="274"/>
      <c r="P2863" s="275"/>
    </row>
    <row r="2864" ht="15.75" customHeight="1">
      <c r="B2864" s="282"/>
      <c r="H2864" s="273"/>
      <c r="I2864" s="274"/>
      <c r="J2864" s="274"/>
      <c r="K2864" s="274"/>
      <c r="L2864" s="274"/>
      <c r="M2864" s="274"/>
      <c r="N2864" s="274"/>
      <c r="P2864" s="275"/>
    </row>
    <row r="2865" ht="15.75" customHeight="1">
      <c r="B2865" s="282"/>
      <c r="H2865" s="273"/>
      <c r="I2865" s="274"/>
      <c r="J2865" s="274"/>
      <c r="K2865" s="274"/>
      <c r="L2865" s="274"/>
      <c r="M2865" s="274"/>
      <c r="N2865" s="274"/>
      <c r="P2865" s="275"/>
    </row>
    <row r="2866" ht="15.75" customHeight="1">
      <c r="B2866" s="282"/>
      <c r="H2866" s="273"/>
      <c r="I2866" s="274"/>
      <c r="J2866" s="274"/>
      <c r="K2866" s="274"/>
      <c r="L2866" s="274"/>
      <c r="M2866" s="274"/>
      <c r="N2866" s="274"/>
      <c r="P2866" s="275"/>
    </row>
    <row r="2867" ht="15.75" customHeight="1">
      <c r="B2867" s="282"/>
      <c r="H2867" s="273"/>
      <c r="I2867" s="274"/>
      <c r="J2867" s="274"/>
      <c r="K2867" s="274"/>
      <c r="L2867" s="274"/>
      <c r="M2867" s="274"/>
      <c r="N2867" s="274"/>
      <c r="P2867" s="275"/>
    </row>
    <row r="2868" ht="15.75" customHeight="1">
      <c r="B2868" s="282"/>
      <c r="H2868" s="273"/>
      <c r="I2868" s="274"/>
      <c r="J2868" s="274"/>
      <c r="K2868" s="274"/>
      <c r="L2868" s="274"/>
      <c r="M2868" s="274"/>
      <c r="N2868" s="274"/>
      <c r="P2868" s="275"/>
    </row>
    <row r="2869" ht="15.75" customHeight="1">
      <c r="B2869" s="282"/>
      <c r="H2869" s="273"/>
      <c r="I2869" s="274"/>
      <c r="J2869" s="274"/>
      <c r="K2869" s="274"/>
      <c r="L2869" s="274"/>
      <c r="M2869" s="274"/>
      <c r="N2869" s="274"/>
      <c r="P2869" s="275"/>
    </row>
    <row r="2870" ht="15.75" customHeight="1">
      <c r="B2870" s="282"/>
      <c r="H2870" s="273"/>
      <c r="I2870" s="274"/>
      <c r="J2870" s="274"/>
      <c r="K2870" s="274"/>
      <c r="L2870" s="274"/>
      <c r="M2870" s="274"/>
      <c r="N2870" s="274"/>
      <c r="P2870" s="275"/>
    </row>
    <row r="2871" ht="15.75" customHeight="1">
      <c r="B2871" s="282"/>
      <c r="H2871" s="273"/>
      <c r="I2871" s="274"/>
      <c r="J2871" s="274"/>
      <c r="K2871" s="274"/>
      <c r="L2871" s="274"/>
      <c r="M2871" s="274"/>
      <c r="N2871" s="274"/>
      <c r="P2871" s="275"/>
    </row>
    <row r="2872" ht="15.75" customHeight="1">
      <c r="B2872" s="282"/>
      <c r="H2872" s="273"/>
      <c r="I2872" s="274"/>
      <c r="J2872" s="274"/>
      <c r="K2872" s="274"/>
      <c r="L2872" s="274"/>
      <c r="M2872" s="274"/>
      <c r="N2872" s="274"/>
      <c r="P2872" s="275"/>
    </row>
    <row r="2873" ht="15.75" customHeight="1">
      <c r="B2873" s="282"/>
      <c r="H2873" s="273"/>
      <c r="I2873" s="274"/>
      <c r="J2873" s="274"/>
      <c r="K2873" s="274"/>
      <c r="L2873" s="274"/>
      <c r="M2873" s="274"/>
      <c r="N2873" s="274"/>
      <c r="P2873" s="275"/>
    </row>
    <row r="2874" ht="15.75" customHeight="1">
      <c r="B2874" s="282"/>
      <c r="H2874" s="273"/>
      <c r="I2874" s="274"/>
      <c r="J2874" s="274"/>
      <c r="K2874" s="274"/>
      <c r="L2874" s="274"/>
      <c r="M2874" s="274"/>
      <c r="N2874" s="274"/>
      <c r="P2874" s="275"/>
    </row>
    <row r="2875" ht="15.75" customHeight="1">
      <c r="B2875" s="282"/>
      <c r="H2875" s="273"/>
      <c r="I2875" s="274"/>
      <c r="J2875" s="274"/>
      <c r="K2875" s="274"/>
      <c r="L2875" s="274"/>
      <c r="M2875" s="274"/>
      <c r="N2875" s="274"/>
      <c r="P2875" s="275"/>
    </row>
    <row r="2876" ht="15.75" customHeight="1">
      <c r="B2876" s="282"/>
      <c r="H2876" s="273"/>
      <c r="I2876" s="274"/>
      <c r="J2876" s="274"/>
      <c r="K2876" s="274"/>
      <c r="L2876" s="274"/>
      <c r="M2876" s="274"/>
      <c r="N2876" s="274"/>
      <c r="P2876" s="275"/>
    </row>
    <row r="2877" ht="15.75" customHeight="1">
      <c r="B2877" s="282"/>
      <c r="H2877" s="273"/>
      <c r="I2877" s="274"/>
      <c r="J2877" s="274"/>
      <c r="K2877" s="274"/>
      <c r="L2877" s="274"/>
      <c r="M2877" s="274"/>
      <c r="N2877" s="274"/>
      <c r="P2877" s="275"/>
    </row>
    <row r="2878" ht="15.75" customHeight="1">
      <c r="B2878" s="282"/>
      <c r="H2878" s="273"/>
      <c r="I2878" s="274"/>
      <c r="J2878" s="274"/>
      <c r="K2878" s="274"/>
      <c r="L2878" s="274"/>
      <c r="M2878" s="274"/>
      <c r="N2878" s="274"/>
      <c r="P2878" s="275"/>
    </row>
    <row r="2879" ht="15.75" customHeight="1">
      <c r="B2879" s="282"/>
      <c r="H2879" s="273"/>
      <c r="I2879" s="274"/>
      <c r="J2879" s="274"/>
      <c r="K2879" s="274"/>
      <c r="L2879" s="274"/>
      <c r="M2879" s="274"/>
      <c r="N2879" s="274"/>
      <c r="P2879" s="275"/>
    </row>
    <row r="2880" ht="15.75" customHeight="1">
      <c r="B2880" s="282"/>
      <c r="H2880" s="273"/>
      <c r="I2880" s="274"/>
      <c r="J2880" s="274"/>
      <c r="K2880" s="274"/>
      <c r="L2880" s="274"/>
      <c r="M2880" s="274"/>
      <c r="N2880" s="274"/>
      <c r="P2880" s="275"/>
    </row>
    <row r="2881" ht="15.75" customHeight="1">
      <c r="B2881" s="282"/>
      <c r="H2881" s="273"/>
      <c r="I2881" s="274"/>
      <c r="J2881" s="274"/>
      <c r="K2881" s="274"/>
      <c r="L2881" s="274"/>
      <c r="M2881" s="274"/>
      <c r="N2881" s="274"/>
      <c r="P2881" s="275"/>
    </row>
    <row r="2882" ht="15.75" customHeight="1">
      <c r="B2882" s="282"/>
      <c r="H2882" s="273"/>
      <c r="I2882" s="274"/>
      <c r="J2882" s="274"/>
      <c r="K2882" s="274"/>
      <c r="L2882" s="274"/>
      <c r="M2882" s="274"/>
      <c r="N2882" s="274"/>
      <c r="P2882" s="275"/>
    </row>
    <row r="2883" ht="15.75" customHeight="1">
      <c r="B2883" s="282"/>
      <c r="H2883" s="273"/>
      <c r="I2883" s="274"/>
      <c r="J2883" s="274"/>
      <c r="K2883" s="274"/>
      <c r="L2883" s="274"/>
      <c r="M2883" s="274"/>
      <c r="N2883" s="274"/>
      <c r="P2883" s="275"/>
    </row>
    <row r="2884" ht="15.75" customHeight="1">
      <c r="B2884" s="282"/>
      <c r="H2884" s="273"/>
      <c r="I2884" s="274"/>
      <c r="J2884" s="274"/>
      <c r="K2884" s="274"/>
      <c r="L2884" s="274"/>
      <c r="M2884" s="274"/>
      <c r="N2884" s="274"/>
      <c r="P2884" s="275"/>
    </row>
    <row r="2885" ht="15.75" customHeight="1">
      <c r="B2885" s="282"/>
      <c r="H2885" s="273"/>
      <c r="I2885" s="274"/>
      <c r="J2885" s="274"/>
      <c r="K2885" s="274"/>
      <c r="L2885" s="274"/>
      <c r="M2885" s="274"/>
      <c r="N2885" s="274"/>
      <c r="P2885" s="275"/>
    </row>
    <row r="2886" ht="15.75" customHeight="1">
      <c r="B2886" s="282"/>
      <c r="H2886" s="273"/>
      <c r="I2886" s="274"/>
      <c r="J2886" s="274"/>
      <c r="K2886" s="274"/>
      <c r="L2886" s="274"/>
      <c r="M2886" s="274"/>
      <c r="N2886" s="274"/>
      <c r="P2886" s="275"/>
    </row>
    <row r="2887" ht="15.75" customHeight="1">
      <c r="B2887" s="282"/>
      <c r="H2887" s="273"/>
      <c r="I2887" s="274"/>
      <c r="J2887" s="274"/>
      <c r="K2887" s="274"/>
      <c r="L2887" s="274"/>
      <c r="M2887" s="274"/>
      <c r="N2887" s="274"/>
      <c r="P2887" s="275"/>
    </row>
    <row r="2888" ht="15.75" customHeight="1">
      <c r="B2888" s="282"/>
      <c r="H2888" s="273"/>
      <c r="I2888" s="274"/>
      <c r="J2888" s="274"/>
      <c r="K2888" s="274"/>
      <c r="L2888" s="274"/>
      <c r="M2888" s="274"/>
      <c r="N2888" s="274"/>
      <c r="P2888" s="275"/>
    </row>
    <row r="2889" ht="15.75" customHeight="1">
      <c r="B2889" s="282"/>
      <c r="H2889" s="273"/>
      <c r="I2889" s="274"/>
      <c r="J2889" s="274"/>
      <c r="K2889" s="274"/>
      <c r="L2889" s="274"/>
      <c r="M2889" s="274"/>
      <c r="N2889" s="274"/>
      <c r="P2889" s="275"/>
    </row>
    <row r="2890" ht="15.75" customHeight="1">
      <c r="B2890" s="282"/>
      <c r="H2890" s="273"/>
      <c r="I2890" s="274"/>
      <c r="J2890" s="274"/>
      <c r="K2890" s="274"/>
      <c r="L2890" s="274"/>
      <c r="M2890" s="274"/>
      <c r="N2890" s="274"/>
      <c r="P2890" s="275"/>
    </row>
    <row r="2891" ht="15.75" customHeight="1">
      <c r="B2891" s="282"/>
      <c r="H2891" s="273"/>
      <c r="I2891" s="274"/>
      <c r="J2891" s="274"/>
      <c r="K2891" s="274"/>
      <c r="L2891" s="274"/>
      <c r="M2891" s="274"/>
      <c r="N2891" s="274"/>
      <c r="P2891" s="275"/>
    </row>
    <row r="2892" ht="15.75" customHeight="1">
      <c r="B2892" s="282"/>
      <c r="H2892" s="273"/>
      <c r="I2892" s="274"/>
      <c r="J2892" s="274"/>
      <c r="K2892" s="274"/>
      <c r="L2892" s="274"/>
      <c r="M2892" s="274"/>
      <c r="N2892" s="274"/>
      <c r="P2892" s="275"/>
    </row>
    <row r="2893" ht="15.75" customHeight="1">
      <c r="B2893" s="282"/>
      <c r="H2893" s="273"/>
      <c r="I2893" s="274"/>
      <c r="J2893" s="274"/>
      <c r="K2893" s="274"/>
      <c r="L2893" s="274"/>
      <c r="M2893" s="274"/>
      <c r="N2893" s="274"/>
      <c r="P2893" s="275"/>
    </row>
    <row r="2894" ht="15.75" customHeight="1">
      <c r="B2894" s="282"/>
      <c r="H2894" s="273"/>
      <c r="I2894" s="274"/>
      <c r="J2894" s="274"/>
      <c r="K2894" s="274"/>
      <c r="L2894" s="274"/>
      <c r="M2894" s="274"/>
      <c r="N2894" s="274"/>
      <c r="P2894" s="275"/>
    </row>
    <row r="2895" ht="15.75" customHeight="1">
      <c r="B2895" s="282"/>
      <c r="H2895" s="273"/>
      <c r="I2895" s="274"/>
      <c r="J2895" s="274"/>
      <c r="K2895" s="274"/>
      <c r="L2895" s="274"/>
      <c r="M2895" s="274"/>
      <c r="N2895" s="274"/>
      <c r="P2895" s="275"/>
    </row>
    <row r="2896" ht="15.75" customHeight="1">
      <c r="B2896" s="282"/>
      <c r="H2896" s="273"/>
      <c r="I2896" s="274"/>
      <c r="J2896" s="274"/>
      <c r="K2896" s="274"/>
      <c r="L2896" s="274"/>
      <c r="M2896" s="274"/>
      <c r="N2896" s="274"/>
      <c r="P2896" s="275"/>
    </row>
    <row r="2897" ht="15.75" customHeight="1">
      <c r="B2897" s="282"/>
      <c r="H2897" s="273"/>
      <c r="I2897" s="274"/>
      <c r="J2897" s="274"/>
      <c r="K2897" s="274"/>
      <c r="L2897" s="274"/>
      <c r="M2897" s="274"/>
      <c r="N2897" s="274"/>
      <c r="P2897" s="275"/>
    </row>
    <row r="2898" ht="15.75" customHeight="1">
      <c r="B2898" s="282"/>
      <c r="H2898" s="273"/>
      <c r="I2898" s="274"/>
      <c r="J2898" s="274"/>
      <c r="K2898" s="274"/>
      <c r="L2898" s="274"/>
      <c r="M2898" s="274"/>
      <c r="N2898" s="274"/>
      <c r="P2898" s="275"/>
    </row>
    <row r="2899" ht="15.75" customHeight="1">
      <c r="B2899" s="282"/>
      <c r="H2899" s="273"/>
      <c r="I2899" s="274"/>
      <c r="J2899" s="274"/>
      <c r="K2899" s="274"/>
      <c r="L2899" s="274"/>
      <c r="M2899" s="274"/>
      <c r="N2899" s="274"/>
      <c r="P2899" s="275"/>
    </row>
    <row r="2900" ht="15.75" customHeight="1">
      <c r="B2900" s="282"/>
      <c r="H2900" s="273"/>
      <c r="I2900" s="274"/>
      <c r="J2900" s="274"/>
      <c r="K2900" s="274"/>
      <c r="L2900" s="274"/>
      <c r="M2900" s="274"/>
      <c r="N2900" s="274"/>
      <c r="P2900" s="275"/>
    </row>
    <row r="2901" ht="15.75" customHeight="1">
      <c r="B2901" s="282"/>
      <c r="H2901" s="273"/>
      <c r="I2901" s="274"/>
      <c r="J2901" s="274"/>
      <c r="K2901" s="274"/>
      <c r="L2901" s="274"/>
      <c r="M2901" s="274"/>
      <c r="N2901" s="274"/>
      <c r="P2901" s="275"/>
    </row>
    <row r="2902" ht="15.75" customHeight="1">
      <c r="B2902" s="282"/>
      <c r="H2902" s="273"/>
      <c r="I2902" s="274"/>
      <c r="J2902" s="274"/>
      <c r="K2902" s="274"/>
      <c r="L2902" s="274"/>
      <c r="M2902" s="274"/>
      <c r="N2902" s="274"/>
      <c r="P2902" s="275"/>
    </row>
    <row r="2903" ht="15.75" customHeight="1">
      <c r="B2903" s="282"/>
      <c r="H2903" s="273"/>
      <c r="I2903" s="274"/>
      <c r="J2903" s="274"/>
      <c r="K2903" s="274"/>
      <c r="L2903" s="274"/>
      <c r="M2903" s="274"/>
      <c r="N2903" s="274"/>
      <c r="P2903" s="275"/>
    </row>
    <row r="2904" ht="15.75" customHeight="1">
      <c r="B2904" s="282"/>
      <c r="H2904" s="273"/>
      <c r="I2904" s="274"/>
      <c r="J2904" s="274"/>
      <c r="K2904" s="274"/>
      <c r="L2904" s="274"/>
      <c r="M2904" s="274"/>
      <c r="N2904" s="274"/>
      <c r="P2904" s="275"/>
    </row>
    <row r="2905" ht="15.75" customHeight="1">
      <c r="B2905" s="282"/>
      <c r="H2905" s="273"/>
      <c r="I2905" s="274"/>
      <c r="J2905" s="274"/>
      <c r="K2905" s="274"/>
      <c r="L2905" s="274"/>
      <c r="M2905" s="274"/>
      <c r="N2905" s="274"/>
      <c r="P2905" s="275"/>
    </row>
    <row r="2906" ht="15.75" customHeight="1">
      <c r="B2906" s="282"/>
      <c r="H2906" s="273"/>
      <c r="I2906" s="274"/>
      <c r="J2906" s="274"/>
      <c r="K2906" s="274"/>
      <c r="L2906" s="274"/>
      <c r="M2906" s="274"/>
      <c r="N2906" s="274"/>
      <c r="P2906" s="275"/>
    </row>
    <row r="2907" ht="15.75" customHeight="1">
      <c r="B2907" s="282"/>
      <c r="H2907" s="273"/>
      <c r="I2907" s="274"/>
      <c r="J2907" s="274"/>
      <c r="K2907" s="274"/>
      <c r="L2907" s="274"/>
      <c r="M2907" s="274"/>
      <c r="N2907" s="274"/>
      <c r="P2907" s="275"/>
    </row>
    <row r="2908" ht="15.75" customHeight="1">
      <c r="B2908" s="282"/>
      <c r="H2908" s="273"/>
      <c r="I2908" s="274"/>
      <c r="J2908" s="274"/>
      <c r="K2908" s="274"/>
      <c r="L2908" s="274"/>
      <c r="M2908" s="274"/>
      <c r="N2908" s="274"/>
      <c r="P2908" s="275"/>
    </row>
    <row r="2909" ht="15.75" customHeight="1">
      <c r="B2909" s="282"/>
      <c r="H2909" s="273"/>
      <c r="I2909" s="274"/>
      <c r="J2909" s="274"/>
      <c r="K2909" s="274"/>
      <c r="L2909" s="274"/>
      <c r="M2909" s="274"/>
      <c r="N2909" s="274"/>
      <c r="P2909" s="275"/>
    </row>
    <row r="2910" ht="15.75" customHeight="1">
      <c r="B2910" s="282"/>
      <c r="H2910" s="273"/>
      <c r="I2910" s="274"/>
      <c r="J2910" s="274"/>
      <c r="K2910" s="274"/>
      <c r="L2910" s="274"/>
      <c r="M2910" s="274"/>
      <c r="N2910" s="274"/>
      <c r="P2910" s="275"/>
    </row>
    <row r="2911" ht="15.75" customHeight="1">
      <c r="B2911" s="282"/>
      <c r="H2911" s="273"/>
      <c r="I2911" s="274"/>
      <c r="J2911" s="274"/>
      <c r="K2911" s="274"/>
      <c r="L2911" s="274"/>
      <c r="M2911" s="274"/>
      <c r="N2911" s="274"/>
      <c r="P2911" s="275"/>
    </row>
    <row r="2912" ht="15.75" customHeight="1">
      <c r="B2912" s="282"/>
      <c r="H2912" s="273"/>
      <c r="I2912" s="274"/>
      <c r="J2912" s="274"/>
      <c r="K2912" s="274"/>
      <c r="L2912" s="274"/>
      <c r="M2912" s="274"/>
      <c r="N2912" s="274"/>
      <c r="P2912" s="275"/>
    </row>
    <row r="2913" ht="15.75" customHeight="1">
      <c r="B2913" s="282"/>
      <c r="H2913" s="273"/>
      <c r="I2913" s="274"/>
      <c r="J2913" s="274"/>
      <c r="K2913" s="274"/>
      <c r="L2913" s="274"/>
      <c r="M2913" s="274"/>
      <c r="N2913" s="274"/>
      <c r="P2913" s="275"/>
    </row>
    <row r="2914" ht="15.75" customHeight="1">
      <c r="B2914" s="282"/>
      <c r="H2914" s="273"/>
      <c r="I2914" s="274"/>
      <c r="J2914" s="274"/>
      <c r="K2914" s="274"/>
      <c r="L2914" s="274"/>
      <c r="M2914" s="274"/>
      <c r="N2914" s="274"/>
      <c r="P2914" s="275"/>
    </row>
    <row r="2915" ht="15.75" customHeight="1">
      <c r="B2915" s="282"/>
      <c r="H2915" s="273"/>
      <c r="I2915" s="274"/>
      <c r="J2915" s="274"/>
      <c r="K2915" s="274"/>
      <c r="L2915" s="274"/>
      <c r="M2915" s="274"/>
      <c r="N2915" s="274"/>
      <c r="P2915" s="275"/>
    </row>
    <row r="2916" ht="15.75" customHeight="1">
      <c r="B2916" s="282"/>
      <c r="H2916" s="273"/>
      <c r="I2916" s="274"/>
      <c r="J2916" s="274"/>
      <c r="K2916" s="274"/>
      <c r="L2916" s="274"/>
      <c r="M2916" s="274"/>
      <c r="N2916" s="274"/>
      <c r="P2916" s="275"/>
    </row>
    <row r="2917" ht="15.75" customHeight="1">
      <c r="B2917" s="282"/>
      <c r="H2917" s="273"/>
      <c r="I2917" s="274"/>
      <c r="J2917" s="274"/>
      <c r="K2917" s="274"/>
      <c r="L2917" s="274"/>
      <c r="M2917" s="274"/>
      <c r="N2917" s="274"/>
      <c r="P2917" s="275"/>
    </row>
    <row r="2918" ht="15.75" customHeight="1">
      <c r="B2918" s="282"/>
      <c r="H2918" s="273"/>
      <c r="I2918" s="274"/>
      <c r="J2918" s="274"/>
      <c r="K2918" s="274"/>
      <c r="L2918" s="274"/>
      <c r="M2918" s="274"/>
      <c r="N2918" s="274"/>
      <c r="P2918" s="275"/>
    </row>
    <row r="2919" ht="15.75" customHeight="1">
      <c r="B2919" s="282"/>
      <c r="H2919" s="273"/>
      <c r="I2919" s="274"/>
      <c r="J2919" s="274"/>
      <c r="K2919" s="274"/>
      <c r="L2919" s="274"/>
      <c r="M2919" s="274"/>
      <c r="N2919" s="274"/>
      <c r="P2919" s="275"/>
    </row>
    <row r="2920" ht="15.75" customHeight="1">
      <c r="B2920" s="282"/>
      <c r="H2920" s="273"/>
      <c r="I2920" s="274"/>
      <c r="J2920" s="274"/>
      <c r="K2920" s="274"/>
      <c r="L2920" s="274"/>
      <c r="M2920" s="274"/>
      <c r="N2920" s="274"/>
      <c r="P2920" s="275"/>
    </row>
    <row r="2921" ht="15.75" customHeight="1">
      <c r="B2921" s="282"/>
      <c r="H2921" s="273"/>
      <c r="I2921" s="274"/>
      <c r="J2921" s="274"/>
      <c r="K2921" s="274"/>
      <c r="L2921" s="274"/>
      <c r="M2921" s="274"/>
      <c r="N2921" s="274"/>
      <c r="P2921" s="275"/>
    </row>
    <row r="2922" ht="15.75" customHeight="1">
      <c r="B2922" s="282"/>
      <c r="H2922" s="273"/>
      <c r="I2922" s="274"/>
      <c r="J2922" s="274"/>
      <c r="K2922" s="274"/>
      <c r="L2922" s="274"/>
      <c r="M2922" s="274"/>
      <c r="N2922" s="274"/>
      <c r="P2922" s="275"/>
    </row>
    <row r="2923" ht="15.75" customHeight="1">
      <c r="B2923" s="282"/>
      <c r="H2923" s="273"/>
      <c r="I2923" s="274"/>
      <c r="J2923" s="274"/>
      <c r="K2923" s="274"/>
      <c r="L2923" s="274"/>
      <c r="M2923" s="274"/>
      <c r="N2923" s="274"/>
      <c r="P2923" s="275"/>
    </row>
    <row r="2924" ht="15.75" customHeight="1">
      <c r="B2924" s="282"/>
      <c r="H2924" s="273"/>
      <c r="I2924" s="274"/>
      <c r="J2924" s="274"/>
      <c r="K2924" s="274"/>
      <c r="L2924" s="274"/>
      <c r="M2924" s="274"/>
      <c r="N2924" s="274"/>
      <c r="P2924" s="275"/>
    </row>
    <row r="2925" ht="15.75" customHeight="1">
      <c r="B2925" s="282"/>
      <c r="H2925" s="273"/>
      <c r="I2925" s="274"/>
      <c r="J2925" s="274"/>
      <c r="K2925" s="274"/>
      <c r="L2925" s="274"/>
      <c r="M2925" s="274"/>
      <c r="N2925" s="274"/>
      <c r="P2925" s="275"/>
    </row>
    <row r="2926" ht="15.75" customHeight="1">
      <c r="B2926" s="282"/>
      <c r="H2926" s="273"/>
      <c r="I2926" s="274"/>
      <c r="J2926" s="274"/>
      <c r="K2926" s="274"/>
      <c r="L2926" s="274"/>
      <c r="M2926" s="274"/>
      <c r="N2926" s="274"/>
      <c r="P2926" s="275"/>
    </row>
    <row r="2927" ht="15.75" customHeight="1">
      <c r="B2927" s="282"/>
      <c r="H2927" s="273"/>
      <c r="I2927" s="274"/>
      <c r="J2927" s="274"/>
      <c r="K2927" s="274"/>
      <c r="L2927" s="274"/>
      <c r="M2927" s="274"/>
      <c r="N2927" s="274"/>
      <c r="P2927" s="275"/>
    </row>
    <row r="2928" ht="15.75" customHeight="1">
      <c r="B2928" s="282"/>
      <c r="H2928" s="273"/>
      <c r="I2928" s="274"/>
      <c r="J2928" s="274"/>
      <c r="K2928" s="274"/>
      <c r="L2928" s="274"/>
      <c r="M2928" s="274"/>
      <c r="N2928" s="274"/>
      <c r="P2928" s="275"/>
    </row>
    <row r="2929" ht="15.75" customHeight="1">
      <c r="B2929" s="282"/>
      <c r="H2929" s="273"/>
      <c r="I2929" s="274"/>
      <c r="J2929" s="274"/>
      <c r="K2929" s="274"/>
      <c r="L2929" s="274"/>
      <c r="M2929" s="274"/>
      <c r="N2929" s="274"/>
      <c r="P2929" s="275"/>
    </row>
    <row r="2930" ht="15.75" customHeight="1">
      <c r="B2930" s="282"/>
      <c r="H2930" s="273"/>
      <c r="I2930" s="274"/>
      <c r="J2930" s="274"/>
      <c r="K2930" s="274"/>
      <c r="L2930" s="274"/>
      <c r="M2930" s="274"/>
      <c r="N2930" s="274"/>
      <c r="P2930" s="275"/>
    </row>
    <row r="2931" ht="15.75" customHeight="1">
      <c r="B2931" s="282"/>
      <c r="H2931" s="273"/>
      <c r="I2931" s="274"/>
      <c r="J2931" s="274"/>
      <c r="K2931" s="274"/>
      <c r="L2931" s="274"/>
      <c r="M2931" s="274"/>
      <c r="N2931" s="274"/>
      <c r="P2931" s="275"/>
    </row>
    <row r="2932" ht="15.75" customHeight="1">
      <c r="B2932" s="282"/>
      <c r="H2932" s="273"/>
      <c r="I2932" s="274"/>
      <c r="J2932" s="274"/>
      <c r="K2932" s="274"/>
      <c r="L2932" s="274"/>
      <c r="M2932" s="274"/>
      <c r="N2932" s="274"/>
      <c r="P2932" s="275"/>
    </row>
    <row r="2933" ht="15.75" customHeight="1">
      <c r="B2933" s="282"/>
      <c r="H2933" s="273"/>
      <c r="I2933" s="274"/>
      <c r="J2933" s="274"/>
      <c r="K2933" s="274"/>
      <c r="L2933" s="274"/>
      <c r="M2933" s="274"/>
      <c r="N2933" s="274"/>
      <c r="P2933" s="275"/>
    </row>
    <row r="2934" ht="15.75" customHeight="1">
      <c r="B2934" s="282"/>
      <c r="H2934" s="273"/>
      <c r="I2934" s="274"/>
      <c r="J2934" s="274"/>
      <c r="K2934" s="274"/>
      <c r="L2934" s="274"/>
      <c r="M2934" s="274"/>
      <c r="N2934" s="274"/>
      <c r="P2934" s="275"/>
    </row>
    <row r="2935" ht="15.75" customHeight="1">
      <c r="B2935" s="282"/>
      <c r="H2935" s="273"/>
      <c r="I2935" s="274"/>
      <c r="J2935" s="274"/>
      <c r="K2935" s="274"/>
      <c r="L2935" s="274"/>
      <c r="M2935" s="274"/>
      <c r="N2935" s="274"/>
      <c r="P2935" s="275"/>
    </row>
    <row r="2936" ht="15.75" customHeight="1">
      <c r="B2936" s="282"/>
      <c r="H2936" s="273"/>
      <c r="I2936" s="274"/>
      <c r="J2936" s="274"/>
      <c r="K2936" s="274"/>
      <c r="L2936" s="274"/>
      <c r="M2936" s="274"/>
      <c r="N2936" s="274"/>
      <c r="P2936" s="275"/>
    </row>
    <row r="2937" ht="15.75" customHeight="1">
      <c r="B2937" s="282"/>
      <c r="H2937" s="273"/>
      <c r="I2937" s="274"/>
      <c r="J2937" s="274"/>
      <c r="K2937" s="274"/>
      <c r="L2937" s="274"/>
      <c r="M2937" s="274"/>
      <c r="N2937" s="274"/>
      <c r="P2937" s="275"/>
    </row>
    <row r="2938" ht="15.75" customHeight="1">
      <c r="B2938" s="282"/>
      <c r="H2938" s="273"/>
      <c r="I2938" s="274"/>
      <c r="J2938" s="274"/>
      <c r="K2938" s="274"/>
      <c r="L2938" s="274"/>
      <c r="M2938" s="274"/>
      <c r="N2938" s="274"/>
      <c r="P2938" s="275"/>
    </row>
    <row r="2939" ht="15.75" customHeight="1">
      <c r="B2939" s="282"/>
      <c r="H2939" s="273"/>
      <c r="I2939" s="274"/>
      <c r="J2939" s="274"/>
      <c r="K2939" s="274"/>
      <c r="L2939" s="274"/>
      <c r="M2939" s="274"/>
      <c r="N2939" s="274"/>
      <c r="P2939" s="275"/>
    </row>
    <row r="2940" ht="15.75" customHeight="1">
      <c r="B2940" s="282"/>
      <c r="H2940" s="273"/>
      <c r="I2940" s="274"/>
      <c r="J2940" s="274"/>
      <c r="K2940" s="274"/>
      <c r="L2940" s="274"/>
      <c r="M2940" s="274"/>
      <c r="N2940" s="274"/>
      <c r="P2940" s="275"/>
    </row>
    <row r="2941" ht="15.75" customHeight="1">
      <c r="B2941" s="282"/>
      <c r="H2941" s="273"/>
      <c r="I2941" s="274"/>
      <c r="J2941" s="274"/>
      <c r="K2941" s="274"/>
      <c r="L2941" s="274"/>
      <c r="M2941" s="274"/>
      <c r="N2941" s="274"/>
      <c r="P2941" s="275"/>
    </row>
    <row r="2942" ht="15.75" customHeight="1">
      <c r="B2942" s="282"/>
      <c r="H2942" s="273"/>
      <c r="I2942" s="274"/>
      <c r="J2942" s="274"/>
      <c r="K2942" s="274"/>
      <c r="L2942" s="274"/>
      <c r="M2942" s="274"/>
      <c r="N2942" s="274"/>
      <c r="P2942" s="275"/>
    </row>
    <row r="2943" ht="15.75" customHeight="1">
      <c r="B2943" s="282"/>
      <c r="H2943" s="273"/>
      <c r="I2943" s="274"/>
      <c r="J2943" s="274"/>
      <c r="K2943" s="274"/>
      <c r="L2943" s="274"/>
      <c r="M2943" s="274"/>
      <c r="N2943" s="274"/>
      <c r="P2943" s="275"/>
    </row>
    <row r="2944" ht="15.75" customHeight="1">
      <c r="B2944" s="282"/>
      <c r="H2944" s="273"/>
      <c r="I2944" s="274"/>
      <c r="J2944" s="274"/>
      <c r="K2944" s="274"/>
      <c r="L2944" s="274"/>
      <c r="M2944" s="274"/>
      <c r="N2944" s="274"/>
      <c r="P2944" s="275"/>
    </row>
    <row r="2945" ht="15.75" customHeight="1">
      <c r="B2945" s="282"/>
      <c r="H2945" s="273"/>
      <c r="I2945" s="274"/>
      <c r="J2945" s="274"/>
      <c r="K2945" s="274"/>
      <c r="L2945" s="274"/>
      <c r="M2945" s="274"/>
      <c r="N2945" s="274"/>
      <c r="P2945" s="275"/>
    </row>
    <row r="2946" ht="15.75" customHeight="1">
      <c r="B2946" s="282"/>
      <c r="H2946" s="273"/>
      <c r="I2946" s="274"/>
      <c r="J2946" s="274"/>
      <c r="K2946" s="274"/>
      <c r="L2946" s="274"/>
      <c r="M2946" s="274"/>
      <c r="N2946" s="274"/>
      <c r="P2946" s="275"/>
    </row>
    <row r="2947" ht="15.75" customHeight="1">
      <c r="B2947" s="282"/>
      <c r="H2947" s="273"/>
      <c r="I2947" s="274"/>
      <c r="J2947" s="274"/>
      <c r="K2947" s="274"/>
      <c r="L2947" s="274"/>
      <c r="M2947" s="274"/>
      <c r="N2947" s="274"/>
      <c r="P2947" s="275"/>
    </row>
    <row r="2948" ht="15.75" customHeight="1">
      <c r="B2948" s="282"/>
      <c r="H2948" s="273"/>
      <c r="I2948" s="274"/>
      <c r="J2948" s="274"/>
      <c r="K2948" s="274"/>
      <c r="L2948" s="274"/>
      <c r="M2948" s="274"/>
      <c r="N2948" s="274"/>
      <c r="P2948" s="275"/>
    </row>
    <row r="2949" ht="15.75" customHeight="1">
      <c r="B2949" s="282"/>
      <c r="H2949" s="273"/>
      <c r="I2949" s="274"/>
      <c r="J2949" s="274"/>
      <c r="K2949" s="274"/>
      <c r="L2949" s="274"/>
      <c r="M2949" s="274"/>
      <c r="N2949" s="274"/>
      <c r="P2949" s="275"/>
    </row>
    <row r="2950" ht="15.75" customHeight="1">
      <c r="B2950" s="282"/>
      <c r="H2950" s="273"/>
      <c r="I2950" s="274"/>
      <c r="J2950" s="274"/>
      <c r="K2950" s="274"/>
      <c r="L2950" s="274"/>
      <c r="M2950" s="274"/>
      <c r="N2950" s="274"/>
      <c r="P2950" s="275"/>
    </row>
    <row r="2951" ht="15.75" customHeight="1">
      <c r="B2951" s="282"/>
      <c r="H2951" s="273"/>
      <c r="I2951" s="274"/>
      <c r="J2951" s="274"/>
      <c r="K2951" s="274"/>
      <c r="L2951" s="274"/>
      <c r="M2951" s="274"/>
      <c r="N2951" s="274"/>
      <c r="P2951" s="275"/>
    </row>
    <row r="2952" ht="15.75" customHeight="1">
      <c r="B2952" s="282"/>
      <c r="H2952" s="273"/>
      <c r="I2952" s="274"/>
      <c r="J2952" s="274"/>
      <c r="K2952" s="274"/>
      <c r="L2952" s="274"/>
      <c r="M2952" s="274"/>
      <c r="N2952" s="274"/>
      <c r="P2952" s="275"/>
    </row>
    <row r="2953" ht="15.75" customHeight="1">
      <c r="B2953" s="282"/>
      <c r="H2953" s="273"/>
      <c r="I2953" s="274"/>
      <c r="J2953" s="274"/>
      <c r="K2953" s="274"/>
      <c r="L2953" s="274"/>
      <c r="M2953" s="274"/>
      <c r="N2953" s="274"/>
      <c r="P2953" s="275"/>
    </row>
    <row r="2954" ht="15.75" customHeight="1">
      <c r="B2954" s="282"/>
      <c r="H2954" s="273"/>
      <c r="I2954" s="274"/>
      <c r="J2954" s="274"/>
      <c r="K2954" s="274"/>
      <c r="L2954" s="274"/>
      <c r="M2954" s="274"/>
      <c r="N2954" s="274"/>
      <c r="P2954" s="275"/>
    </row>
    <row r="2955" ht="15.75" customHeight="1">
      <c r="B2955" s="282"/>
      <c r="H2955" s="273"/>
      <c r="I2955" s="274"/>
      <c r="J2955" s="274"/>
      <c r="K2955" s="274"/>
      <c r="L2955" s="274"/>
      <c r="M2955" s="274"/>
      <c r="N2955" s="274"/>
      <c r="P2955" s="275"/>
    </row>
    <row r="2956" ht="15.75" customHeight="1">
      <c r="B2956" s="282"/>
      <c r="H2956" s="273"/>
      <c r="I2956" s="274"/>
      <c r="J2956" s="274"/>
      <c r="K2956" s="274"/>
      <c r="L2956" s="274"/>
      <c r="M2956" s="274"/>
      <c r="N2956" s="274"/>
      <c r="P2956" s="275"/>
    </row>
    <row r="2957" ht="15.75" customHeight="1">
      <c r="B2957" s="282"/>
      <c r="H2957" s="273"/>
      <c r="I2957" s="274"/>
      <c r="J2957" s="274"/>
      <c r="K2957" s="274"/>
      <c r="L2957" s="274"/>
      <c r="M2957" s="274"/>
      <c r="N2957" s="274"/>
      <c r="P2957" s="275"/>
    </row>
    <row r="2958" ht="15.75" customHeight="1">
      <c r="B2958" s="282"/>
      <c r="H2958" s="273"/>
      <c r="I2958" s="274"/>
      <c r="J2958" s="274"/>
      <c r="K2958" s="274"/>
      <c r="L2958" s="274"/>
      <c r="M2958" s="274"/>
      <c r="N2958" s="274"/>
      <c r="P2958" s="275"/>
    </row>
    <row r="2959" ht="15.75" customHeight="1">
      <c r="B2959" s="282"/>
      <c r="H2959" s="273"/>
      <c r="I2959" s="274"/>
      <c r="J2959" s="274"/>
      <c r="K2959" s="274"/>
      <c r="L2959" s="274"/>
      <c r="M2959" s="274"/>
      <c r="N2959" s="274"/>
      <c r="P2959" s="275"/>
    </row>
    <row r="2960" ht="15.75" customHeight="1">
      <c r="B2960" s="282"/>
      <c r="H2960" s="273"/>
      <c r="I2960" s="274"/>
      <c r="J2960" s="274"/>
      <c r="K2960" s="274"/>
      <c r="L2960" s="274"/>
      <c r="M2960" s="274"/>
      <c r="N2960" s="274"/>
      <c r="P2960" s="275"/>
    </row>
    <row r="2961" ht="15.75" customHeight="1">
      <c r="B2961" s="282"/>
      <c r="H2961" s="273"/>
      <c r="I2961" s="274"/>
      <c r="J2961" s="274"/>
      <c r="K2961" s="274"/>
      <c r="L2961" s="274"/>
      <c r="M2961" s="274"/>
      <c r="N2961" s="274"/>
      <c r="P2961" s="275"/>
    </row>
    <row r="2962" ht="15.75" customHeight="1">
      <c r="B2962" s="282"/>
      <c r="H2962" s="273"/>
      <c r="I2962" s="274"/>
      <c r="J2962" s="274"/>
      <c r="K2962" s="274"/>
      <c r="L2962" s="274"/>
      <c r="M2962" s="274"/>
      <c r="N2962" s="274"/>
      <c r="P2962" s="275"/>
    </row>
    <row r="2963" ht="15.75" customHeight="1">
      <c r="B2963" s="282"/>
      <c r="H2963" s="273"/>
      <c r="I2963" s="274"/>
      <c r="J2963" s="274"/>
      <c r="K2963" s="274"/>
      <c r="L2963" s="274"/>
      <c r="M2963" s="274"/>
      <c r="N2963" s="274"/>
      <c r="P2963" s="275"/>
    </row>
    <row r="2964" ht="15.75" customHeight="1">
      <c r="B2964" s="282"/>
      <c r="H2964" s="273"/>
      <c r="I2964" s="274"/>
      <c r="J2964" s="274"/>
      <c r="K2964" s="274"/>
      <c r="L2964" s="274"/>
      <c r="M2964" s="274"/>
      <c r="N2964" s="274"/>
      <c r="P2964" s="275"/>
    </row>
    <row r="2965" ht="15.75" customHeight="1">
      <c r="B2965" s="282"/>
      <c r="H2965" s="273"/>
      <c r="I2965" s="274"/>
      <c r="J2965" s="274"/>
      <c r="K2965" s="274"/>
      <c r="L2965" s="274"/>
      <c r="M2965" s="274"/>
      <c r="N2965" s="274"/>
      <c r="P2965" s="275"/>
    </row>
    <row r="2966" ht="15.75" customHeight="1">
      <c r="B2966" s="282"/>
      <c r="H2966" s="273"/>
      <c r="I2966" s="274"/>
      <c r="J2966" s="274"/>
      <c r="K2966" s="274"/>
      <c r="L2966" s="274"/>
      <c r="M2966" s="274"/>
      <c r="N2966" s="274"/>
      <c r="P2966" s="275"/>
    </row>
    <row r="2967" ht="15.75" customHeight="1">
      <c r="B2967" s="282"/>
      <c r="H2967" s="273"/>
      <c r="I2967" s="274"/>
      <c r="J2967" s="274"/>
      <c r="K2967" s="274"/>
      <c r="L2967" s="274"/>
      <c r="M2967" s="274"/>
      <c r="N2967" s="274"/>
      <c r="P2967" s="275"/>
    </row>
    <row r="2968" ht="15.75" customHeight="1">
      <c r="B2968" s="282"/>
      <c r="H2968" s="273"/>
      <c r="I2968" s="274"/>
      <c r="J2968" s="274"/>
      <c r="K2968" s="274"/>
      <c r="L2968" s="274"/>
      <c r="M2968" s="274"/>
      <c r="N2968" s="274"/>
      <c r="P2968" s="275"/>
    </row>
    <row r="2969" ht="15.75" customHeight="1">
      <c r="B2969" s="282"/>
      <c r="H2969" s="273"/>
      <c r="I2969" s="274"/>
      <c r="J2969" s="274"/>
      <c r="K2969" s="274"/>
      <c r="L2969" s="274"/>
      <c r="M2969" s="274"/>
      <c r="N2969" s="274"/>
      <c r="P2969" s="275"/>
    </row>
    <row r="2970" ht="15.75" customHeight="1">
      <c r="B2970" s="282"/>
      <c r="H2970" s="273"/>
      <c r="I2970" s="274"/>
      <c r="J2970" s="274"/>
      <c r="K2970" s="274"/>
      <c r="L2970" s="274"/>
      <c r="M2970" s="274"/>
      <c r="N2970" s="274"/>
      <c r="P2970" s="275"/>
    </row>
    <row r="2971" ht="15.75" customHeight="1">
      <c r="B2971" s="282"/>
      <c r="H2971" s="273"/>
      <c r="I2971" s="274"/>
      <c r="J2971" s="274"/>
      <c r="K2971" s="274"/>
      <c r="L2971" s="274"/>
      <c r="M2971" s="274"/>
      <c r="N2971" s="274"/>
      <c r="P2971" s="275"/>
    </row>
    <row r="2972" ht="15.75" customHeight="1">
      <c r="B2972" s="282"/>
      <c r="H2972" s="273"/>
      <c r="I2972" s="274"/>
      <c r="J2972" s="274"/>
      <c r="K2972" s="274"/>
      <c r="L2972" s="274"/>
      <c r="M2972" s="274"/>
      <c r="N2972" s="274"/>
      <c r="P2972" s="275"/>
    </row>
    <row r="2973" ht="15.75" customHeight="1">
      <c r="B2973" s="282"/>
      <c r="H2973" s="273"/>
      <c r="I2973" s="274"/>
      <c r="J2973" s="274"/>
      <c r="K2973" s="274"/>
      <c r="L2973" s="274"/>
      <c r="M2973" s="274"/>
      <c r="N2973" s="274"/>
      <c r="P2973" s="275"/>
    </row>
    <row r="2974" ht="15.75" customHeight="1">
      <c r="B2974" s="282"/>
      <c r="H2974" s="273"/>
      <c r="I2974" s="274"/>
      <c r="J2974" s="274"/>
      <c r="K2974" s="274"/>
      <c r="L2974" s="274"/>
      <c r="M2974" s="274"/>
      <c r="N2974" s="274"/>
      <c r="P2974" s="275"/>
    </row>
    <row r="2975" ht="15.75" customHeight="1">
      <c r="B2975" s="282"/>
      <c r="H2975" s="273"/>
      <c r="I2975" s="274"/>
      <c r="J2975" s="274"/>
      <c r="K2975" s="274"/>
      <c r="L2975" s="274"/>
      <c r="M2975" s="274"/>
      <c r="N2975" s="274"/>
      <c r="P2975" s="275"/>
    </row>
    <row r="2976" ht="15.75" customHeight="1">
      <c r="B2976" s="282"/>
      <c r="H2976" s="273"/>
      <c r="I2976" s="274"/>
      <c r="J2976" s="274"/>
      <c r="K2976" s="274"/>
      <c r="L2976" s="274"/>
      <c r="M2976" s="274"/>
      <c r="N2976" s="274"/>
      <c r="P2976" s="275"/>
    </row>
    <row r="2977" ht="15.75" customHeight="1">
      <c r="B2977" s="282"/>
      <c r="H2977" s="273"/>
      <c r="I2977" s="274"/>
      <c r="J2977" s="274"/>
      <c r="K2977" s="274"/>
      <c r="L2977" s="274"/>
      <c r="M2977" s="274"/>
      <c r="N2977" s="274"/>
      <c r="P2977" s="275"/>
    </row>
    <row r="2978" ht="15.75" customHeight="1">
      <c r="B2978" s="282"/>
      <c r="H2978" s="273"/>
      <c r="I2978" s="274"/>
      <c r="J2978" s="274"/>
      <c r="K2978" s="274"/>
      <c r="L2978" s="274"/>
      <c r="M2978" s="274"/>
      <c r="N2978" s="274"/>
      <c r="P2978" s="275"/>
    </row>
    <row r="2979" ht="15.75" customHeight="1">
      <c r="B2979" s="282"/>
      <c r="H2979" s="273"/>
      <c r="I2979" s="274"/>
      <c r="J2979" s="274"/>
      <c r="K2979" s="274"/>
      <c r="L2979" s="274"/>
      <c r="M2979" s="274"/>
      <c r="N2979" s="274"/>
      <c r="P2979" s="275"/>
    </row>
    <row r="2980" ht="15.75" customHeight="1">
      <c r="B2980" s="282"/>
      <c r="H2980" s="273"/>
      <c r="I2980" s="274"/>
      <c r="J2980" s="274"/>
      <c r="K2980" s="274"/>
      <c r="L2980" s="274"/>
      <c r="M2980" s="274"/>
      <c r="N2980" s="274"/>
      <c r="P2980" s="275"/>
    </row>
    <row r="2981" ht="15.75" customHeight="1">
      <c r="B2981" s="282"/>
      <c r="H2981" s="273"/>
      <c r="I2981" s="274"/>
      <c r="J2981" s="274"/>
      <c r="K2981" s="274"/>
      <c r="L2981" s="274"/>
      <c r="M2981" s="274"/>
      <c r="N2981" s="274"/>
      <c r="P2981" s="275"/>
    </row>
    <row r="2982" ht="15.75" customHeight="1">
      <c r="B2982" s="282"/>
      <c r="H2982" s="273"/>
      <c r="I2982" s="274"/>
      <c r="J2982" s="274"/>
      <c r="K2982" s="274"/>
      <c r="L2982" s="274"/>
      <c r="M2982" s="274"/>
      <c r="N2982" s="274"/>
      <c r="P2982" s="275"/>
    </row>
    <row r="2983" ht="15.75" customHeight="1">
      <c r="B2983" s="282"/>
      <c r="H2983" s="273"/>
      <c r="I2983" s="274"/>
      <c r="J2983" s="274"/>
      <c r="K2983" s="274"/>
      <c r="L2983" s="274"/>
      <c r="M2983" s="274"/>
      <c r="N2983" s="274"/>
      <c r="P2983" s="275"/>
    </row>
    <row r="2984" ht="15.75" customHeight="1">
      <c r="B2984" s="282"/>
      <c r="H2984" s="273"/>
      <c r="I2984" s="274"/>
      <c r="J2984" s="274"/>
      <c r="K2984" s="274"/>
      <c r="L2984" s="274"/>
      <c r="M2984" s="274"/>
      <c r="N2984" s="274"/>
      <c r="P2984" s="275"/>
    </row>
    <row r="2985" ht="15.75" customHeight="1">
      <c r="B2985" s="282"/>
      <c r="H2985" s="273"/>
      <c r="I2985" s="274"/>
      <c r="J2985" s="274"/>
      <c r="K2985" s="274"/>
      <c r="L2985" s="274"/>
      <c r="M2985" s="274"/>
      <c r="N2985" s="274"/>
      <c r="P2985" s="275"/>
    </row>
    <row r="2986" ht="15.75" customHeight="1">
      <c r="B2986" s="282"/>
      <c r="H2986" s="273"/>
      <c r="I2986" s="274"/>
      <c r="J2986" s="274"/>
      <c r="K2986" s="274"/>
      <c r="L2986" s="274"/>
      <c r="M2986" s="274"/>
      <c r="N2986" s="274"/>
      <c r="P2986" s="275"/>
    </row>
    <row r="2987" ht="15.75" customHeight="1">
      <c r="B2987" s="282"/>
      <c r="H2987" s="273"/>
      <c r="I2987" s="274"/>
      <c r="J2987" s="274"/>
      <c r="K2987" s="274"/>
      <c r="L2987" s="274"/>
      <c r="M2987" s="274"/>
      <c r="N2987" s="274"/>
      <c r="P2987" s="275"/>
    </row>
    <row r="2988" ht="15.75" customHeight="1">
      <c r="B2988" s="282"/>
      <c r="H2988" s="273"/>
      <c r="I2988" s="274"/>
      <c r="J2988" s="274"/>
      <c r="K2988" s="274"/>
      <c r="L2988" s="274"/>
      <c r="M2988" s="274"/>
      <c r="N2988" s="274"/>
      <c r="P2988" s="275"/>
    </row>
    <row r="2989" ht="15.75" customHeight="1">
      <c r="B2989" s="282"/>
      <c r="H2989" s="273"/>
      <c r="I2989" s="274"/>
      <c r="J2989" s="274"/>
      <c r="K2989" s="274"/>
      <c r="L2989" s="274"/>
      <c r="M2989" s="274"/>
      <c r="N2989" s="274"/>
      <c r="P2989" s="275"/>
    </row>
    <row r="2990" ht="15.75" customHeight="1">
      <c r="B2990" s="282"/>
      <c r="H2990" s="273"/>
      <c r="I2990" s="274"/>
      <c r="J2990" s="274"/>
      <c r="K2990" s="274"/>
      <c r="L2990" s="274"/>
      <c r="M2990" s="274"/>
      <c r="N2990" s="274"/>
      <c r="P2990" s="275"/>
    </row>
    <row r="2991" ht="15.75" customHeight="1">
      <c r="B2991" s="282"/>
      <c r="H2991" s="273"/>
      <c r="I2991" s="274"/>
      <c r="J2991" s="274"/>
      <c r="K2991" s="274"/>
      <c r="L2991" s="274"/>
      <c r="M2991" s="274"/>
      <c r="N2991" s="274"/>
      <c r="P2991" s="275"/>
    </row>
    <row r="2992" ht="15.75" customHeight="1">
      <c r="B2992" s="282"/>
      <c r="H2992" s="273"/>
      <c r="I2992" s="274"/>
      <c r="J2992" s="274"/>
      <c r="K2992" s="274"/>
      <c r="L2992" s="274"/>
      <c r="M2992" s="274"/>
      <c r="N2992" s="274"/>
      <c r="P2992" s="275"/>
    </row>
    <row r="2993" ht="15.75" customHeight="1">
      <c r="B2993" s="282"/>
      <c r="H2993" s="273"/>
      <c r="I2993" s="274"/>
      <c r="J2993" s="274"/>
      <c r="K2993" s="274"/>
      <c r="L2993" s="274"/>
      <c r="M2993" s="274"/>
      <c r="N2993" s="274"/>
      <c r="P2993" s="275"/>
    </row>
    <row r="2994" ht="15.75" customHeight="1">
      <c r="B2994" s="282"/>
      <c r="H2994" s="273"/>
      <c r="I2994" s="274"/>
      <c r="J2994" s="274"/>
      <c r="K2994" s="274"/>
      <c r="L2994" s="274"/>
      <c r="M2994" s="274"/>
      <c r="N2994" s="274"/>
      <c r="P2994" s="275"/>
    </row>
    <row r="2995" ht="15.75" customHeight="1">
      <c r="B2995" s="282"/>
      <c r="H2995" s="273"/>
      <c r="I2995" s="274"/>
      <c r="J2995" s="274"/>
      <c r="K2995" s="274"/>
      <c r="L2995" s="274"/>
      <c r="M2995" s="274"/>
      <c r="N2995" s="274"/>
      <c r="P2995" s="275"/>
    </row>
    <row r="2996" ht="15.75" customHeight="1">
      <c r="B2996" s="282"/>
      <c r="H2996" s="273"/>
      <c r="I2996" s="274"/>
      <c r="J2996" s="274"/>
      <c r="K2996" s="274"/>
      <c r="L2996" s="274"/>
      <c r="M2996" s="274"/>
      <c r="N2996" s="274"/>
      <c r="P2996" s="275"/>
    </row>
    <row r="2997" ht="15.75" customHeight="1">
      <c r="B2997" s="282"/>
      <c r="H2997" s="273"/>
      <c r="I2997" s="274"/>
      <c r="J2997" s="274"/>
      <c r="K2997" s="274"/>
      <c r="L2997" s="274"/>
      <c r="M2997" s="274"/>
      <c r="N2997" s="274"/>
      <c r="P2997" s="275"/>
    </row>
    <row r="2998" ht="15.75" customHeight="1">
      <c r="B2998" s="282"/>
      <c r="H2998" s="273"/>
      <c r="I2998" s="274"/>
      <c r="J2998" s="274"/>
      <c r="K2998" s="274"/>
      <c r="L2998" s="274"/>
      <c r="M2998" s="274"/>
      <c r="N2998" s="274"/>
      <c r="P2998" s="275"/>
    </row>
    <row r="2999" ht="15.75" customHeight="1">
      <c r="B2999" s="282"/>
      <c r="H2999" s="273"/>
      <c r="I2999" s="274"/>
      <c r="J2999" s="274"/>
      <c r="K2999" s="274"/>
      <c r="L2999" s="274"/>
      <c r="M2999" s="274"/>
      <c r="N2999" s="274"/>
      <c r="P2999" s="275"/>
    </row>
    <row r="3000" ht="15.75" customHeight="1">
      <c r="B3000" s="282"/>
      <c r="H3000" s="273"/>
      <c r="I3000" s="274"/>
      <c r="J3000" s="274"/>
      <c r="K3000" s="274"/>
      <c r="L3000" s="274"/>
      <c r="M3000" s="274"/>
      <c r="N3000" s="274"/>
      <c r="P3000" s="275"/>
    </row>
    <row r="3001" ht="15.75" customHeight="1">
      <c r="B3001" s="282"/>
      <c r="H3001" s="273"/>
      <c r="I3001" s="274"/>
      <c r="J3001" s="274"/>
      <c r="K3001" s="274"/>
      <c r="L3001" s="274"/>
      <c r="M3001" s="274"/>
      <c r="N3001" s="274"/>
      <c r="P3001" s="275"/>
    </row>
    <row r="3002" ht="15.75" customHeight="1">
      <c r="B3002" s="282"/>
      <c r="H3002" s="273"/>
      <c r="I3002" s="274"/>
      <c r="J3002" s="274"/>
      <c r="K3002" s="274"/>
      <c r="L3002" s="274"/>
      <c r="M3002" s="274"/>
      <c r="N3002" s="274"/>
      <c r="P3002" s="275"/>
    </row>
    <row r="3003" ht="15.75" customHeight="1">
      <c r="B3003" s="282"/>
      <c r="H3003" s="273"/>
      <c r="I3003" s="274"/>
      <c r="J3003" s="274"/>
      <c r="K3003" s="274"/>
      <c r="L3003" s="274"/>
      <c r="M3003" s="274"/>
      <c r="N3003" s="274"/>
      <c r="P3003" s="275"/>
    </row>
    <row r="3004" ht="15.75" customHeight="1">
      <c r="B3004" s="282"/>
      <c r="H3004" s="273"/>
      <c r="I3004" s="274"/>
      <c r="J3004" s="274"/>
      <c r="K3004" s="274"/>
      <c r="L3004" s="274"/>
      <c r="M3004" s="274"/>
      <c r="N3004" s="274"/>
      <c r="P3004" s="275"/>
    </row>
    <row r="3005" ht="15.75" customHeight="1">
      <c r="B3005" s="282"/>
      <c r="H3005" s="273"/>
      <c r="I3005" s="274"/>
      <c r="J3005" s="274"/>
      <c r="K3005" s="274"/>
      <c r="L3005" s="274"/>
      <c r="M3005" s="274"/>
      <c r="N3005" s="274"/>
      <c r="P3005" s="275"/>
    </row>
    <row r="3006" ht="15.75" customHeight="1">
      <c r="B3006" s="282"/>
      <c r="H3006" s="273"/>
      <c r="I3006" s="274"/>
      <c r="J3006" s="274"/>
      <c r="K3006" s="274"/>
      <c r="L3006" s="274"/>
      <c r="M3006" s="274"/>
      <c r="N3006" s="274"/>
      <c r="P3006" s="275"/>
    </row>
    <row r="3007" ht="15.75" customHeight="1">
      <c r="B3007" s="282"/>
      <c r="H3007" s="273"/>
      <c r="I3007" s="274"/>
      <c r="J3007" s="274"/>
      <c r="K3007" s="274"/>
      <c r="L3007" s="274"/>
      <c r="M3007" s="274"/>
      <c r="N3007" s="274"/>
      <c r="P3007" s="275"/>
    </row>
    <row r="3008" ht="15.75" customHeight="1">
      <c r="B3008" s="282"/>
      <c r="H3008" s="273"/>
      <c r="I3008" s="274"/>
      <c r="J3008" s="274"/>
      <c r="K3008" s="274"/>
      <c r="L3008" s="274"/>
      <c r="M3008" s="274"/>
      <c r="N3008" s="274"/>
      <c r="P3008" s="275"/>
    </row>
    <row r="3009" ht="15.75" customHeight="1">
      <c r="B3009" s="282"/>
      <c r="H3009" s="273"/>
      <c r="I3009" s="274"/>
      <c r="J3009" s="274"/>
      <c r="K3009" s="274"/>
      <c r="L3009" s="274"/>
      <c r="M3009" s="274"/>
      <c r="N3009" s="274"/>
      <c r="P3009" s="275"/>
    </row>
    <row r="3010" ht="15.75" customHeight="1">
      <c r="B3010" s="282"/>
      <c r="H3010" s="273"/>
      <c r="I3010" s="274"/>
      <c r="J3010" s="274"/>
      <c r="K3010" s="274"/>
      <c r="L3010" s="274"/>
      <c r="M3010" s="274"/>
      <c r="N3010" s="274"/>
      <c r="P3010" s="275"/>
    </row>
    <row r="3011" ht="15.75" customHeight="1">
      <c r="B3011" s="282"/>
      <c r="H3011" s="273"/>
      <c r="I3011" s="274"/>
      <c r="J3011" s="274"/>
      <c r="K3011" s="274"/>
      <c r="L3011" s="274"/>
      <c r="M3011" s="274"/>
      <c r="N3011" s="274"/>
      <c r="P3011" s="275"/>
    </row>
    <row r="3012" ht="15.75" customHeight="1">
      <c r="B3012" s="282"/>
      <c r="H3012" s="273"/>
      <c r="I3012" s="274"/>
      <c r="J3012" s="274"/>
      <c r="K3012" s="274"/>
      <c r="L3012" s="274"/>
      <c r="M3012" s="274"/>
      <c r="N3012" s="274"/>
      <c r="P3012" s="275"/>
    </row>
    <row r="3013" ht="15.75" customHeight="1">
      <c r="B3013" s="282"/>
      <c r="H3013" s="273"/>
      <c r="I3013" s="274"/>
      <c r="J3013" s="274"/>
      <c r="K3013" s="274"/>
      <c r="L3013" s="274"/>
      <c r="M3013" s="274"/>
      <c r="N3013" s="274"/>
      <c r="P3013" s="275"/>
    </row>
    <row r="3014" ht="15.75" customHeight="1">
      <c r="B3014" s="282"/>
      <c r="H3014" s="273"/>
      <c r="I3014" s="274"/>
      <c r="J3014" s="274"/>
      <c r="K3014" s="274"/>
      <c r="L3014" s="274"/>
      <c r="M3014" s="274"/>
      <c r="N3014" s="274"/>
      <c r="P3014" s="275"/>
    </row>
    <row r="3015" ht="15.75" customHeight="1">
      <c r="B3015" s="282"/>
      <c r="H3015" s="273"/>
      <c r="I3015" s="274"/>
      <c r="J3015" s="274"/>
      <c r="K3015" s="274"/>
      <c r="L3015" s="274"/>
      <c r="M3015" s="274"/>
      <c r="N3015" s="274"/>
      <c r="P3015" s="275"/>
    </row>
    <row r="3016" ht="15.75" customHeight="1">
      <c r="B3016" s="282"/>
      <c r="H3016" s="273"/>
      <c r="I3016" s="274"/>
      <c r="J3016" s="274"/>
      <c r="K3016" s="274"/>
      <c r="L3016" s="274"/>
      <c r="M3016" s="274"/>
      <c r="N3016" s="274"/>
      <c r="P3016" s="275"/>
    </row>
    <row r="3017" ht="15.75" customHeight="1">
      <c r="B3017" s="282"/>
      <c r="H3017" s="273"/>
      <c r="I3017" s="274"/>
      <c r="J3017" s="274"/>
      <c r="K3017" s="274"/>
      <c r="L3017" s="274"/>
      <c r="M3017" s="274"/>
      <c r="N3017" s="274"/>
      <c r="P3017" s="275"/>
    </row>
    <row r="3018" ht="15.75" customHeight="1">
      <c r="B3018" s="282"/>
      <c r="H3018" s="273"/>
      <c r="I3018" s="274"/>
      <c r="J3018" s="274"/>
      <c r="K3018" s="274"/>
      <c r="L3018" s="274"/>
      <c r="M3018" s="274"/>
      <c r="N3018" s="274"/>
      <c r="P3018" s="275"/>
    </row>
    <row r="3019" ht="15.75" customHeight="1">
      <c r="B3019" s="282"/>
      <c r="H3019" s="273"/>
      <c r="I3019" s="274"/>
      <c r="J3019" s="274"/>
      <c r="K3019" s="274"/>
      <c r="L3019" s="274"/>
      <c r="M3019" s="274"/>
      <c r="N3019" s="274"/>
      <c r="P3019" s="275"/>
    </row>
    <row r="3020" ht="15.75" customHeight="1">
      <c r="B3020" s="282"/>
      <c r="H3020" s="273"/>
      <c r="I3020" s="274"/>
      <c r="J3020" s="274"/>
      <c r="K3020" s="274"/>
      <c r="L3020" s="274"/>
      <c r="M3020" s="274"/>
      <c r="N3020" s="274"/>
      <c r="P3020" s="275"/>
    </row>
    <row r="3021" ht="15.75" customHeight="1">
      <c r="B3021" s="282"/>
      <c r="H3021" s="273"/>
      <c r="I3021" s="274"/>
      <c r="J3021" s="274"/>
      <c r="K3021" s="274"/>
      <c r="L3021" s="274"/>
      <c r="M3021" s="274"/>
      <c r="N3021" s="274"/>
      <c r="P3021" s="275"/>
    </row>
    <row r="3022" ht="15.75" customHeight="1">
      <c r="B3022" s="282"/>
      <c r="H3022" s="273"/>
      <c r="I3022" s="274"/>
      <c r="J3022" s="274"/>
      <c r="K3022" s="274"/>
      <c r="L3022" s="274"/>
      <c r="M3022" s="274"/>
      <c r="N3022" s="274"/>
      <c r="P3022" s="275"/>
    </row>
    <row r="3023" ht="15.75" customHeight="1">
      <c r="B3023" s="282"/>
      <c r="H3023" s="273"/>
      <c r="I3023" s="274"/>
      <c r="J3023" s="274"/>
      <c r="K3023" s="274"/>
      <c r="L3023" s="274"/>
      <c r="M3023" s="274"/>
      <c r="N3023" s="274"/>
      <c r="P3023" s="275"/>
    </row>
    <row r="3024" ht="15.75" customHeight="1">
      <c r="B3024" s="282"/>
      <c r="H3024" s="273"/>
      <c r="I3024" s="274"/>
      <c r="J3024" s="274"/>
      <c r="K3024" s="274"/>
      <c r="L3024" s="274"/>
      <c r="M3024" s="274"/>
      <c r="N3024" s="274"/>
      <c r="P3024" s="275"/>
    </row>
    <row r="3025" ht="15.75" customHeight="1">
      <c r="B3025" s="282"/>
      <c r="H3025" s="273"/>
      <c r="I3025" s="274"/>
      <c r="J3025" s="274"/>
      <c r="K3025" s="274"/>
      <c r="L3025" s="274"/>
      <c r="M3025" s="274"/>
      <c r="N3025" s="274"/>
      <c r="P3025" s="275"/>
    </row>
    <row r="3026" ht="15.75" customHeight="1">
      <c r="B3026" s="282"/>
      <c r="H3026" s="273"/>
      <c r="I3026" s="274"/>
      <c r="J3026" s="274"/>
      <c r="K3026" s="274"/>
      <c r="L3026" s="274"/>
      <c r="M3026" s="274"/>
      <c r="N3026" s="274"/>
      <c r="P3026" s="275"/>
    </row>
    <row r="3027" ht="15.75" customHeight="1">
      <c r="B3027" s="282"/>
      <c r="H3027" s="273"/>
      <c r="I3027" s="274"/>
      <c r="J3027" s="274"/>
      <c r="K3027" s="274"/>
      <c r="L3027" s="274"/>
      <c r="M3027" s="274"/>
      <c r="N3027" s="274"/>
      <c r="P3027" s="275"/>
    </row>
    <row r="3028" ht="15.75" customHeight="1">
      <c r="B3028" s="282"/>
      <c r="H3028" s="273"/>
      <c r="I3028" s="274"/>
      <c r="J3028" s="274"/>
      <c r="K3028" s="274"/>
      <c r="L3028" s="274"/>
      <c r="M3028" s="274"/>
      <c r="N3028" s="274"/>
      <c r="P3028" s="275"/>
    </row>
    <row r="3029" ht="15.75" customHeight="1">
      <c r="B3029" s="282"/>
      <c r="H3029" s="273"/>
      <c r="I3029" s="274"/>
      <c r="J3029" s="274"/>
      <c r="K3029" s="274"/>
      <c r="L3029" s="274"/>
      <c r="M3029" s="274"/>
      <c r="N3029" s="274"/>
      <c r="P3029" s="275"/>
    </row>
    <row r="3030" ht="15.75" customHeight="1">
      <c r="B3030" s="282"/>
      <c r="H3030" s="273"/>
      <c r="I3030" s="274"/>
      <c r="J3030" s="274"/>
      <c r="K3030" s="274"/>
      <c r="L3030" s="274"/>
      <c r="M3030" s="274"/>
      <c r="N3030" s="274"/>
      <c r="P3030" s="275"/>
    </row>
    <row r="3031" ht="15.75" customHeight="1">
      <c r="B3031" s="282"/>
      <c r="H3031" s="273"/>
      <c r="I3031" s="274"/>
      <c r="J3031" s="274"/>
      <c r="K3031" s="274"/>
      <c r="L3031" s="274"/>
      <c r="M3031" s="274"/>
      <c r="N3031" s="274"/>
      <c r="P3031" s="275"/>
    </row>
    <row r="3032" ht="15.75" customHeight="1">
      <c r="B3032" s="282"/>
      <c r="H3032" s="273"/>
      <c r="I3032" s="274"/>
      <c r="J3032" s="274"/>
      <c r="K3032" s="274"/>
      <c r="L3032" s="274"/>
      <c r="M3032" s="274"/>
      <c r="N3032" s="274"/>
      <c r="P3032" s="275"/>
    </row>
    <row r="3033" ht="15.75" customHeight="1">
      <c r="B3033" s="282"/>
      <c r="H3033" s="273"/>
      <c r="I3033" s="274"/>
      <c r="J3033" s="274"/>
      <c r="K3033" s="274"/>
      <c r="L3033" s="274"/>
      <c r="M3033" s="274"/>
      <c r="N3033" s="274"/>
      <c r="P3033" s="275"/>
    </row>
    <row r="3034" ht="15.75" customHeight="1">
      <c r="B3034" s="282"/>
      <c r="H3034" s="273"/>
      <c r="I3034" s="274"/>
      <c r="J3034" s="274"/>
      <c r="K3034" s="274"/>
      <c r="L3034" s="274"/>
      <c r="M3034" s="274"/>
      <c r="N3034" s="274"/>
      <c r="P3034" s="275"/>
    </row>
    <row r="3035" ht="15.75" customHeight="1">
      <c r="B3035" s="282"/>
      <c r="H3035" s="273"/>
      <c r="I3035" s="274"/>
      <c r="J3035" s="274"/>
      <c r="K3035" s="274"/>
      <c r="L3035" s="274"/>
      <c r="M3035" s="274"/>
      <c r="N3035" s="274"/>
      <c r="P3035" s="275"/>
    </row>
    <row r="3036" ht="15.75" customHeight="1">
      <c r="B3036" s="282"/>
      <c r="H3036" s="273"/>
      <c r="I3036" s="274"/>
      <c r="J3036" s="274"/>
      <c r="K3036" s="274"/>
      <c r="L3036" s="274"/>
      <c r="M3036" s="274"/>
      <c r="N3036" s="274"/>
      <c r="P3036" s="275"/>
    </row>
    <row r="3037" ht="15.75" customHeight="1">
      <c r="B3037" s="282"/>
      <c r="H3037" s="273"/>
      <c r="I3037" s="274"/>
      <c r="J3037" s="274"/>
      <c r="K3037" s="274"/>
      <c r="L3037" s="274"/>
      <c r="M3037" s="274"/>
      <c r="N3037" s="274"/>
      <c r="P3037" s="275"/>
    </row>
    <row r="3038" ht="15.75" customHeight="1">
      <c r="B3038" s="282"/>
      <c r="H3038" s="273"/>
      <c r="I3038" s="274"/>
      <c r="J3038" s="274"/>
      <c r="K3038" s="274"/>
      <c r="L3038" s="274"/>
      <c r="M3038" s="274"/>
      <c r="N3038" s="274"/>
      <c r="P3038" s="275"/>
    </row>
    <row r="3039" ht="15.75" customHeight="1">
      <c r="B3039" s="282"/>
      <c r="H3039" s="273"/>
      <c r="I3039" s="274"/>
      <c r="J3039" s="274"/>
      <c r="K3039" s="274"/>
      <c r="L3039" s="274"/>
      <c r="M3039" s="274"/>
      <c r="N3039" s="274"/>
      <c r="P3039" s="275"/>
    </row>
    <row r="3040" ht="15.75" customHeight="1">
      <c r="B3040" s="282"/>
      <c r="H3040" s="273"/>
      <c r="I3040" s="274"/>
      <c r="J3040" s="274"/>
      <c r="K3040" s="274"/>
      <c r="L3040" s="274"/>
      <c r="M3040" s="274"/>
      <c r="N3040" s="274"/>
      <c r="P3040" s="275"/>
    </row>
    <row r="3041" ht="15.75" customHeight="1">
      <c r="B3041" s="282"/>
      <c r="H3041" s="273"/>
      <c r="I3041" s="274"/>
      <c r="J3041" s="274"/>
      <c r="K3041" s="274"/>
      <c r="L3041" s="274"/>
      <c r="M3041" s="274"/>
      <c r="N3041" s="274"/>
      <c r="P3041" s="275"/>
    </row>
    <row r="3042" ht="15.75" customHeight="1">
      <c r="B3042" s="282"/>
      <c r="H3042" s="273"/>
      <c r="I3042" s="274"/>
      <c r="J3042" s="274"/>
      <c r="K3042" s="274"/>
      <c r="L3042" s="274"/>
      <c r="M3042" s="274"/>
      <c r="N3042" s="274"/>
      <c r="P3042" s="275"/>
    </row>
    <row r="3043" ht="15.75" customHeight="1">
      <c r="B3043" s="282"/>
      <c r="H3043" s="273"/>
      <c r="I3043" s="274"/>
      <c r="J3043" s="274"/>
      <c r="K3043" s="274"/>
      <c r="L3043" s="274"/>
      <c r="M3043" s="274"/>
      <c r="N3043" s="274"/>
      <c r="P3043" s="275"/>
    </row>
    <row r="3044" ht="15.75" customHeight="1">
      <c r="B3044" s="282"/>
      <c r="H3044" s="273"/>
      <c r="I3044" s="274"/>
      <c r="J3044" s="274"/>
      <c r="K3044" s="274"/>
      <c r="L3044" s="274"/>
      <c r="M3044" s="274"/>
      <c r="N3044" s="274"/>
      <c r="P3044" s="275"/>
    </row>
    <row r="3045" ht="15.75" customHeight="1">
      <c r="B3045" s="282"/>
      <c r="H3045" s="273"/>
      <c r="I3045" s="274"/>
      <c r="J3045" s="274"/>
      <c r="K3045" s="274"/>
      <c r="L3045" s="274"/>
      <c r="M3045" s="274"/>
      <c r="N3045" s="274"/>
      <c r="P3045" s="275"/>
    </row>
    <row r="3046" ht="15.75" customHeight="1">
      <c r="B3046" s="282"/>
      <c r="H3046" s="273"/>
      <c r="I3046" s="274"/>
      <c r="J3046" s="274"/>
      <c r="K3046" s="274"/>
      <c r="L3046" s="274"/>
      <c r="M3046" s="274"/>
      <c r="N3046" s="274"/>
      <c r="P3046" s="275"/>
    </row>
    <row r="3047" ht="15.75" customHeight="1">
      <c r="B3047" s="282"/>
      <c r="H3047" s="273"/>
      <c r="I3047" s="274"/>
      <c r="J3047" s="274"/>
      <c r="K3047" s="274"/>
      <c r="L3047" s="274"/>
      <c r="M3047" s="274"/>
      <c r="N3047" s="274"/>
      <c r="P3047" s="275"/>
    </row>
    <row r="3048" ht="15.75" customHeight="1">
      <c r="B3048" s="282"/>
      <c r="H3048" s="273"/>
      <c r="I3048" s="274"/>
      <c r="J3048" s="274"/>
      <c r="K3048" s="274"/>
      <c r="L3048" s="274"/>
      <c r="M3048" s="274"/>
      <c r="N3048" s="274"/>
      <c r="P3048" s="275"/>
    </row>
    <row r="3049" ht="15.75" customHeight="1">
      <c r="B3049" s="282"/>
      <c r="H3049" s="273"/>
      <c r="I3049" s="274"/>
      <c r="J3049" s="274"/>
      <c r="K3049" s="274"/>
      <c r="L3049" s="274"/>
      <c r="M3049" s="274"/>
      <c r="N3049" s="274"/>
      <c r="P3049" s="275"/>
    </row>
    <row r="3050" ht="15.75" customHeight="1">
      <c r="B3050" s="282"/>
      <c r="H3050" s="273"/>
      <c r="I3050" s="274"/>
      <c r="J3050" s="274"/>
      <c r="K3050" s="274"/>
      <c r="L3050" s="274"/>
      <c r="M3050" s="274"/>
      <c r="N3050" s="274"/>
      <c r="P3050" s="275"/>
    </row>
    <row r="3051" ht="15.75" customHeight="1">
      <c r="B3051" s="282"/>
      <c r="H3051" s="273"/>
      <c r="I3051" s="274"/>
      <c r="J3051" s="274"/>
      <c r="K3051" s="274"/>
      <c r="L3051" s="274"/>
      <c r="M3051" s="274"/>
      <c r="N3051" s="274"/>
      <c r="P3051" s="275"/>
    </row>
    <row r="3052" ht="15.75" customHeight="1">
      <c r="B3052" s="282"/>
      <c r="H3052" s="273"/>
      <c r="I3052" s="274"/>
      <c r="J3052" s="274"/>
      <c r="K3052" s="274"/>
      <c r="L3052" s="274"/>
      <c r="M3052" s="274"/>
      <c r="N3052" s="274"/>
      <c r="P3052" s="275"/>
    </row>
    <row r="3053" ht="15.75" customHeight="1">
      <c r="B3053" s="282"/>
      <c r="H3053" s="273"/>
      <c r="I3053" s="274"/>
      <c r="J3053" s="274"/>
      <c r="K3053" s="274"/>
      <c r="L3053" s="274"/>
      <c r="M3053" s="274"/>
      <c r="N3053" s="274"/>
      <c r="P3053" s="275"/>
    </row>
    <row r="3054" ht="15.75" customHeight="1">
      <c r="B3054" s="282"/>
      <c r="H3054" s="273"/>
      <c r="I3054" s="274"/>
      <c r="J3054" s="274"/>
      <c r="K3054" s="274"/>
      <c r="L3054" s="274"/>
      <c r="M3054" s="274"/>
      <c r="N3054" s="274"/>
      <c r="P3054" s="275"/>
    </row>
    <row r="3055" ht="15.75" customHeight="1">
      <c r="B3055" s="282"/>
      <c r="H3055" s="273"/>
      <c r="I3055" s="274"/>
      <c r="J3055" s="274"/>
      <c r="K3055" s="274"/>
      <c r="L3055" s="274"/>
      <c r="M3055" s="274"/>
      <c r="N3055" s="274"/>
      <c r="P3055" s="275"/>
    </row>
    <row r="3056" ht="15.75" customHeight="1">
      <c r="B3056" s="282"/>
      <c r="H3056" s="273"/>
      <c r="I3056" s="274"/>
      <c r="J3056" s="274"/>
      <c r="K3056" s="274"/>
      <c r="L3056" s="274"/>
      <c r="M3056" s="274"/>
      <c r="N3056" s="274"/>
      <c r="P3056" s="275"/>
    </row>
    <row r="3057" ht="15.75" customHeight="1">
      <c r="B3057" s="282"/>
      <c r="H3057" s="273"/>
      <c r="I3057" s="274"/>
      <c r="J3057" s="274"/>
      <c r="K3057" s="274"/>
      <c r="L3057" s="274"/>
      <c r="M3057" s="274"/>
      <c r="N3057" s="274"/>
      <c r="P3057" s="275"/>
    </row>
    <row r="3058" ht="15.75" customHeight="1">
      <c r="B3058" s="282"/>
      <c r="H3058" s="273"/>
      <c r="I3058" s="274"/>
      <c r="J3058" s="274"/>
      <c r="K3058" s="274"/>
      <c r="L3058" s="274"/>
      <c r="M3058" s="274"/>
      <c r="N3058" s="274"/>
      <c r="P3058" s="275"/>
    </row>
    <row r="3059" ht="15.75" customHeight="1">
      <c r="B3059" s="282"/>
      <c r="H3059" s="273"/>
      <c r="I3059" s="274"/>
      <c r="J3059" s="274"/>
      <c r="K3059" s="274"/>
      <c r="L3059" s="274"/>
      <c r="M3059" s="274"/>
      <c r="N3059" s="274"/>
      <c r="P3059" s="275"/>
    </row>
    <row r="3060" ht="15.75" customHeight="1">
      <c r="B3060" s="282"/>
      <c r="H3060" s="273"/>
      <c r="I3060" s="274"/>
      <c r="J3060" s="274"/>
      <c r="K3060" s="274"/>
      <c r="L3060" s="274"/>
      <c r="M3060" s="274"/>
      <c r="N3060" s="274"/>
      <c r="P3060" s="275"/>
    </row>
    <row r="3061" ht="15.75" customHeight="1">
      <c r="B3061" s="282"/>
      <c r="H3061" s="273"/>
      <c r="I3061" s="274"/>
      <c r="J3061" s="274"/>
      <c r="K3061" s="274"/>
      <c r="L3061" s="274"/>
      <c r="M3061" s="274"/>
      <c r="N3061" s="274"/>
      <c r="P3061" s="275"/>
    </row>
    <row r="3062" ht="15.75" customHeight="1">
      <c r="B3062" s="282"/>
      <c r="H3062" s="273"/>
      <c r="I3062" s="274"/>
      <c r="J3062" s="274"/>
      <c r="K3062" s="274"/>
      <c r="L3062" s="274"/>
      <c r="M3062" s="274"/>
      <c r="N3062" s="274"/>
      <c r="P3062" s="275"/>
    </row>
    <row r="3063" ht="15.75" customHeight="1">
      <c r="B3063" s="282"/>
      <c r="H3063" s="273"/>
      <c r="I3063" s="274"/>
      <c r="J3063" s="274"/>
      <c r="K3063" s="274"/>
      <c r="L3063" s="274"/>
      <c r="M3063" s="274"/>
      <c r="N3063" s="274"/>
      <c r="P3063" s="275"/>
    </row>
    <row r="3064" ht="15.75" customHeight="1">
      <c r="B3064" s="282"/>
      <c r="H3064" s="273"/>
      <c r="I3064" s="274"/>
      <c r="J3064" s="274"/>
      <c r="K3064" s="274"/>
      <c r="L3064" s="274"/>
      <c r="M3064" s="274"/>
      <c r="N3064" s="274"/>
      <c r="P3064" s="275"/>
    </row>
    <row r="3065" ht="15.75" customHeight="1">
      <c r="B3065" s="282"/>
      <c r="H3065" s="273"/>
      <c r="I3065" s="274"/>
      <c r="J3065" s="274"/>
      <c r="K3065" s="274"/>
      <c r="L3065" s="274"/>
      <c r="M3065" s="274"/>
      <c r="N3065" s="274"/>
      <c r="P3065" s="275"/>
    </row>
    <row r="3066" ht="15.75" customHeight="1">
      <c r="B3066" s="282"/>
      <c r="H3066" s="273"/>
      <c r="I3066" s="274"/>
      <c r="J3066" s="274"/>
      <c r="K3066" s="274"/>
      <c r="L3066" s="274"/>
      <c r="M3066" s="274"/>
      <c r="N3066" s="274"/>
      <c r="P3066" s="275"/>
    </row>
    <row r="3067" ht="15.75" customHeight="1">
      <c r="B3067" s="282"/>
      <c r="H3067" s="273"/>
      <c r="I3067" s="274"/>
      <c r="J3067" s="274"/>
      <c r="K3067" s="274"/>
      <c r="L3067" s="274"/>
      <c r="M3067" s="274"/>
      <c r="N3067" s="274"/>
      <c r="P3067" s="275"/>
    </row>
    <row r="3068" ht="15.75" customHeight="1">
      <c r="B3068" s="282"/>
      <c r="H3068" s="273"/>
      <c r="I3068" s="274"/>
      <c r="J3068" s="274"/>
      <c r="K3068" s="274"/>
      <c r="L3068" s="274"/>
      <c r="M3068" s="274"/>
      <c r="N3068" s="274"/>
      <c r="P3068" s="275"/>
    </row>
    <row r="3069" ht="15.75" customHeight="1">
      <c r="B3069" s="282"/>
      <c r="H3069" s="273"/>
      <c r="I3069" s="274"/>
      <c r="J3069" s="274"/>
      <c r="K3069" s="274"/>
      <c r="L3069" s="274"/>
      <c r="M3069" s="274"/>
      <c r="N3069" s="274"/>
      <c r="P3069" s="275"/>
    </row>
    <row r="3070" ht="15.75" customHeight="1">
      <c r="B3070" s="282"/>
      <c r="H3070" s="273"/>
      <c r="I3070" s="274"/>
      <c r="J3070" s="274"/>
      <c r="K3070" s="274"/>
      <c r="L3070" s="274"/>
      <c r="M3070" s="274"/>
      <c r="N3070" s="274"/>
      <c r="P3070" s="275"/>
    </row>
    <row r="3071" ht="15.75" customHeight="1">
      <c r="B3071" s="282"/>
      <c r="H3071" s="273"/>
      <c r="I3071" s="274"/>
      <c r="J3071" s="274"/>
      <c r="K3071" s="274"/>
      <c r="L3071" s="274"/>
      <c r="M3071" s="274"/>
      <c r="N3071" s="274"/>
      <c r="P3071" s="275"/>
    </row>
    <row r="3072" ht="15.75" customHeight="1">
      <c r="B3072" s="282"/>
      <c r="H3072" s="273"/>
      <c r="I3072" s="274"/>
      <c r="J3072" s="274"/>
      <c r="K3072" s="274"/>
      <c r="L3072" s="274"/>
      <c r="M3072" s="274"/>
      <c r="N3072" s="274"/>
      <c r="P3072" s="275"/>
    </row>
    <row r="3073" ht="15.75" customHeight="1">
      <c r="B3073" s="282"/>
      <c r="H3073" s="273"/>
      <c r="I3073" s="274"/>
      <c r="J3073" s="274"/>
      <c r="K3073" s="274"/>
      <c r="L3073" s="274"/>
      <c r="M3073" s="274"/>
      <c r="N3073" s="274"/>
      <c r="P3073" s="275"/>
    </row>
    <row r="3074" ht="15.75" customHeight="1">
      <c r="B3074" s="282"/>
      <c r="H3074" s="273"/>
      <c r="I3074" s="274"/>
      <c r="J3074" s="274"/>
      <c r="K3074" s="274"/>
      <c r="L3074" s="274"/>
      <c r="M3074" s="274"/>
      <c r="N3074" s="274"/>
      <c r="P3074" s="275"/>
    </row>
    <row r="3075" ht="15.75" customHeight="1">
      <c r="B3075" s="282"/>
      <c r="H3075" s="273"/>
      <c r="I3075" s="274"/>
      <c r="J3075" s="274"/>
      <c r="K3075" s="274"/>
      <c r="L3075" s="274"/>
      <c r="M3075" s="274"/>
      <c r="N3075" s="274"/>
      <c r="P3075" s="275"/>
    </row>
    <row r="3076" ht="15.75" customHeight="1">
      <c r="B3076" s="282"/>
      <c r="H3076" s="273"/>
      <c r="I3076" s="274"/>
      <c r="J3076" s="274"/>
      <c r="K3076" s="274"/>
      <c r="L3076" s="274"/>
      <c r="M3076" s="274"/>
      <c r="N3076" s="274"/>
      <c r="P3076" s="275"/>
    </row>
    <row r="3077" ht="15.75" customHeight="1">
      <c r="B3077" s="282"/>
      <c r="H3077" s="273"/>
      <c r="I3077" s="274"/>
      <c r="J3077" s="274"/>
      <c r="K3077" s="274"/>
      <c r="L3077" s="274"/>
      <c r="M3077" s="274"/>
      <c r="N3077" s="274"/>
      <c r="P3077" s="275"/>
    </row>
    <row r="3078" ht="15.75" customHeight="1">
      <c r="B3078" s="282"/>
      <c r="H3078" s="273"/>
      <c r="I3078" s="274"/>
      <c r="J3078" s="274"/>
      <c r="K3078" s="274"/>
      <c r="L3078" s="274"/>
      <c r="M3078" s="274"/>
      <c r="N3078" s="274"/>
      <c r="P3078" s="275"/>
    </row>
    <row r="3079" ht="15.75" customHeight="1">
      <c r="B3079" s="282"/>
      <c r="H3079" s="273"/>
      <c r="I3079" s="274"/>
      <c r="J3079" s="274"/>
      <c r="K3079" s="274"/>
      <c r="L3079" s="274"/>
      <c r="M3079" s="274"/>
      <c r="N3079" s="274"/>
      <c r="P3079" s="275"/>
    </row>
    <row r="3080" ht="15.75" customHeight="1">
      <c r="B3080" s="282"/>
      <c r="H3080" s="273"/>
      <c r="I3080" s="274"/>
      <c r="J3080" s="274"/>
      <c r="K3080" s="274"/>
      <c r="L3080" s="274"/>
      <c r="M3080" s="274"/>
      <c r="N3080" s="274"/>
      <c r="P3080" s="275"/>
    </row>
    <row r="3081" ht="15.75" customHeight="1">
      <c r="B3081" s="282"/>
      <c r="H3081" s="273"/>
      <c r="I3081" s="274"/>
      <c r="J3081" s="274"/>
      <c r="K3081" s="274"/>
      <c r="L3081" s="274"/>
      <c r="M3081" s="274"/>
      <c r="N3081" s="274"/>
      <c r="P3081" s="275"/>
    </row>
    <row r="3082" ht="15.75" customHeight="1">
      <c r="B3082" s="282"/>
      <c r="H3082" s="273"/>
      <c r="I3082" s="274"/>
      <c r="J3082" s="274"/>
      <c r="K3082" s="274"/>
      <c r="L3082" s="274"/>
      <c r="M3082" s="274"/>
      <c r="N3082" s="274"/>
      <c r="P3082" s="275"/>
    </row>
    <row r="3083" ht="15.75" customHeight="1">
      <c r="B3083" s="282"/>
      <c r="H3083" s="273"/>
      <c r="I3083" s="274"/>
      <c r="J3083" s="274"/>
      <c r="K3083" s="274"/>
      <c r="L3083" s="274"/>
      <c r="M3083" s="274"/>
      <c r="N3083" s="274"/>
      <c r="P3083" s="275"/>
    </row>
    <row r="3084" ht="15.75" customHeight="1">
      <c r="B3084" s="282"/>
      <c r="H3084" s="273"/>
      <c r="I3084" s="274"/>
      <c r="J3084" s="274"/>
      <c r="K3084" s="274"/>
      <c r="L3084" s="274"/>
      <c r="M3084" s="274"/>
      <c r="N3084" s="274"/>
      <c r="P3084" s="275"/>
    </row>
    <row r="3085" ht="15.75" customHeight="1">
      <c r="B3085" s="282"/>
      <c r="H3085" s="273"/>
      <c r="I3085" s="274"/>
      <c r="J3085" s="274"/>
      <c r="K3085" s="274"/>
      <c r="L3085" s="274"/>
      <c r="M3085" s="274"/>
      <c r="N3085" s="274"/>
      <c r="P3085" s="275"/>
    </row>
    <row r="3086" ht="15.75" customHeight="1">
      <c r="B3086" s="282"/>
      <c r="H3086" s="273"/>
      <c r="I3086" s="274"/>
      <c r="J3086" s="274"/>
      <c r="K3086" s="274"/>
      <c r="L3086" s="274"/>
      <c r="M3086" s="274"/>
      <c r="N3086" s="274"/>
      <c r="P3086" s="275"/>
    </row>
    <row r="3087" ht="15.75" customHeight="1">
      <c r="B3087" s="282"/>
      <c r="H3087" s="273"/>
      <c r="I3087" s="274"/>
      <c r="J3087" s="274"/>
      <c r="K3087" s="274"/>
      <c r="L3087" s="274"/>
      <c r="M3087" s="274"/>
      <c r="N3087" s="274"/>
      <c r="P3087" s="275"/>
    </row>
    <row r="3088" ht="15.75" customHeight="1">
      <c r="B3088" s="282"/>
      <c r="H3088" s="273"/>
      <c r="I3088" s="274"/>
      <c r="J3088" s="274"/>
      <c r="K3088" s="274"/>
      <c r="L3088" s="274"/>
      <c r="M3088" s="274"/>
      <c r="N3088" s="274"/>
      <c r="P3088" s="275"/>
    </row>
    <row r="3089" ht="15.75" customHeight="1">
      <c r="B3089" s="282"/>
      <c r="H3089" s="273"/>
      <c r="I3089" s="274"/>
      <c r="J3089" s="274"/>
      <c r="K3089" s="274"/>
      <c r="L3089" s="274"/>
      <c r="M3089" s="274"/>
      <c r="N3089" s="274"/>
      <c r="P3089" s="275"/>
    </row>
    <row r="3090" ht="15.75" customHeight="1">
      <c r="B3090" s="282"/>
      <c r="H3090" s="273"/>
      <c r="I3090" s="274"/>
      <c r="J3090" s="274"/>
      <c r="K3090" s="274"/>
      <c r="L3090" s="274"/>
      <c r="M3090" s="274"/>
      <c r="N3090" s="274"/>
      <c r="P3090" s="275"/>
    </row>
    <row r="3091" ht="15.75" customHeight="1">
      <c r="B3091" s="282"/>
      <c r="H3091" s="273"/>
      <c r="I3091" s="274"/>
      <c r="J3091" s="274"/>
      <c r="K3091" s="274"/>
      <c r="L3091" s="274"/>
      <c r="M3091" s="274"/>
      <c r="N3091" s="274"/>
      <c r="P3091" s="275"/>
    </row>
    <row r="3092" ht="15.75" customHeight="1">
      <c r="B3092" s="282"/>
      <c r="H3092" s="273"/>
      <c r="I3092" s="274"/>
      <c r="J3092" s="274"/>
      <c r="K3092" s="274"/>
      <c r="L3092" s="274"/>
      <c r="M3092" s="274"/>
      <c r="N3092" s="274"/>
      <c r="P3092" s="275"/>
    </row>
    <row r="3093" ht="15.75" customHeight="1">
      <c r="B3093" s="282"/>
      <c r="H3093" s="273"/>
      <c r="I3093" s="274"/>
      <c r="J3093" s="274"/>
      <c r="K3093" s="274"/>
      <c r="L3093" s="274"/>
      <c r="M3093" s="274"/>
      <c r="N3093" s="274"/>
      <c r="P3093" s="275"/>
    </row>
    <row r="3094" ht="15.75" customHeight="1">
      <c r="B3094" s="282"/>
      <c r="H3094" s="273"/>
      <c r="I3094" s="274"/>
      <c r="J3094" s="274"/>
      <c r="K3094" s="274"/>
      <c r="L3094" s="274"/>
      <c r="M3094" s="274"/>
      <c r="N3094" s="274"/>
      <c r="P3094" s="275"/>
    </row>
    <row r="3095" ht="15.75" customHeight="1">
      <c r="B3095" s="282"/>
      <c r="H3095" s="273"/>
      <c r="I3095" s="274"/>
      <c r="J3095" s="274"/>
      <c r="K3095" s="274"/>
      <c r="L3095" s="274"/>
      <c r="M3095" s="274"/>
      <c r="N3095" s="274"/>
      <c r="P3095" s="275"/>
    </row>
    <row r="3096" ht="15.75" customHeight="1">
      <c r="B3096" s="282"/>
      <c r="H3096" s="273"/>
      <c r="I3096" s="274"/>
      <c r="J3096" s="274"/>
      <c r="K3096" s="274"/>
      <c r="L3096" s="274"/>
      <c r="M3096" s="274"/>
      <c r="N3096" s="274"/>
      <c r="P3096" s="275"/>
    </row>
    <row r="3097" ht="15.75" customHeight="1">
      <c r="B3097" s="282"/>
      <c r="H3097" s="273"/>
      <c r="I3097" s="274"/>
      <c r="J3097" s="274"/>
      <c r="K3097" s="274"/>
      <c r="L3097" s="274"/>
      <c r="M3097" s="274"/>
      <c r="N3097" s="274"/>
      <c r="P3097" s="275"/>
    </row>
    <row r="3098" ht="15.75" customHeight="1">
      <c r="B3098" s="282"/>
      <c r="H3098" s="273"/>
      <c r="I3098" s="274"/>
      <c r="J3098" s="274"/>
      <c r="K3098" s="274"/>
      <c r="L3098" s="274"/>
      <c r="M3098" s="274"/>
      <c r="N3098" s="274"/>
      <c r="P3098" s="275"/>
    </row>
    <row r="3099" ht="15.75" customHeight="1">
      <c r="B3099" s="282"/>
      <c r="H3099" s="273"/>
      <c r="I3099" s="274"/>
      <c r="J3099" s="274"/>
      <c r="K3099" s="274"/>
      <c r="L3099" s="274"/>
      <c r="M3099" s="274"/>
      <c r="N3099" s="274"/>
      <c r="P3099" s="275"/>
    </row>
    <row r="3100" ht="15.75" customHeight="1">
      <c r="B3100" s="282"/>
      <c r="H3100" s="273"/>
      <c r="I3100" s="274"/>
      <c r="J3100" s="274"/>
      <c r="K3100" s="274"/>
      <c r="L3100" s="274"/>
      <c r="M3100" s="274"/>
      <c r="N3100" s="274"/>
      <c r="P3100" s="275"/>
    </row>
    <row r="3101" ht="15.75" customHeight="1">
      <c r="B3101" s="282"/>
      <c r="H3101" s="273"/>
      <c r="I3101" s="274"/>
      <c r="J3101" s="274"/>
      <c r="K3101" s="274"/>
      <c r="L3101" s="274"/>
      <c r="M3101" s="274"/>
      <c r="N3101" s="274"/>
      <c r="P3101" s="275"/>
    </row>
    <row r="3102" ht="15.75" customHeight="1">
      <c r="B3102" s="282"/>
      <c r="H3102" s="273"/>
      <c r="I3102" s="274"/>
      <c r="J3102" s="274"/>
      <c r="K3102" s="274"/>
      <c r="L3102" s="274"/>
      <c r="M3102" s="274"/>
      <c r="N3102" s="274"/>
      <c r="P3102" s="275"/>
    </row>
    <row r="3103" ht="15.75" customHeight="1">
      <c r="B3103" s="282"/>
      <c r="H3103" s="273"/>
      <c r="I3103" s="274"/>
      <c r="J3103" s="274"/>
      <c r="K3103" s="274"/>
      <c r="L3103" s="274"/>
      <c r="M3103" s="274"/>
      <c r="N3103" s="274"/>
      <c r="P3103" s="275"/>
    </row>
    <row r="3104" ht="15.75" customHeight="1">
      <c r="B3104" s="282"/>
      <c r="H3104" s="273"/>
      <c r="I3104" s="274"/>
      <c r="J3104" s="274"/>
      <c r="K3104" s="274"/>
      <c r="L3104" s="274"/>
      <c r="M3104" s="274"/>
      <c r="N3104" s="274"/>
      <c r="P3104" s="275"/>
    </row>
    <row r="3105" ht="15.75" customHeight="1">
      <c r="B3105" s="282"/>
      <c r="H3105" s="273"/>
      <c r="I3105" s="274"/>
      <c r="J3105" s="274"/>
      <c r="K3105" s="274"/>
      <c r="L3105" s="274"/>
      <c r="M3105" s="274"/>
      <c r="N3105" s="274"/>
      <c r="P3105" s="275"/>
    </row>
    <row r="3106" ht="15.75" customHeight="1">
      <c r="B3106" s="282"/>
      <c r="H3106" s="273"/>
      <c r="I3106" s="274"/>
      <c r="J3106" s="274"/>
      <c r="K3106" s="274"/>
      <c r="L3106" s="274"/>
      <c r="M3106" s="274"/>
      <c r="N3106" s="274"/>
      <c r="P3106" s="275"/>
    </row>
    <row r="3107" ht="15.75" customHeight="1">
      <c r="B3107" s="282"/>
      <c r="H3107" s="273"/>
      <c r="I3107" s="274"/>
      <c r="J3107" s="274"/>
      <c r="K3107" s="274"/>
      <c r="L3107" s="274"/>
      <c r="M3107" s="274"/>
      <c r="N3107" s="274"/>
      <c r="P3107" s="275"/>
    </row>
    <row r="3108" ht="15.75" customHeight="1">
      <c r="B3108" s="282"/>
      <c r="H3108" s="273"/>
      <c r="I3108" s="274"/>
      <c r="J3108" s="274"/>
      <c r="K3108" s="274"/>
      <c r="L3108" s="274"/>
      <c r="M3108" s="274"/>
      <c r="N3108" s="274"/>
      <c r="P3108" s="275"/>
    </row>
    <row r="3109" ht="15.75" customHeight="1">
      <c r="B3109" s="282"/>
      <c r="H3109" s="273"/>
      <c r="I3109" s="274"/>
      <c r="J3109" s="274"/>
      <c r="K3109" s="274"/>
      <c r="L3109" s="274"/>
      <c r="M3109" s="274"/>
      <c r="N3109" s="274"/>
      <c r="P3109" s="275"/>
    </row>
    <row r="3110" ht="15.75" customHeight="1">
      <c r="B3110" s="282"/>
      <c r="H3110" s="273"/>
      <c r="I3110" s="274"/>
      <c r="J3110" s="274"/>
      <c r="K3110" s="274"/>
      <c r="L3110" s="274"/>
      <c r="M3110" s="274"/>
      <c r="N3110" s="274"/>
      <c r="P3110" s="275"/>
    </row>
    <row r="3111" ht="15.75" customHeight="1">
      <c r="B3111" s="282"/>
      <c r="H3111" s="273"/>
      <c r="I3111" s="274"/>
      <c r="J3111" s="274"/>
      <c r="K3111" s="274"/>
      <c r="L3111" s="274"/>
      <c r="M3111" s="274"/>
      <c r="N3111" s="274"/>
      <c r="P3111" s="275"/>
    </row>
    <row r="3112" ht="15.75" customHeight="1">
      <c r="B3112" s="282"/>
      <c r="H3112" s="273"/>
      <c r="I3112" s="274"/>
      <c r="J3112" s="274"/>
      <c r="K3112" s="274"/>
      <c r="L3112" s="274"/>
      <c r="M3112" s="274"/>
      <c r="N3112" s="274"/>
      <c r="P3112" s="275"/>
    </row>
    <row r="3113" ht="15.75" customHeight="1">
      <c r="B3113" s="282"/>
      <c r="H3113" s="273"/>
      <c r="I3113" s="274"/>
      <c r="J3113" s="274"/>
      <c r="K3113" s="274"/>
      <c r="L3113" s="274"/>
      <c r="M3113" s="274"/>
      <c r="N3113" s="274"/>
      <c r="P3113" s="275"/>
    </row>
    <row r="3114" ht="15.75" customHeight="1">
      <c r="B3114" s="282"/>
      <c r="H3114" s="273"/>
      <c r="I3114" s="274"/>
      <c r="J3114" s="274"/>
      <c r="K3114" s="274"/>
      <c r="L3114" s="274"/>
      <c r="M3114" s="274"/>
      <c r="N3114" s="274"/>
      <c r="P3114" s="275"/>
    </row>
    <row r="3115" ht="15.75" customHeight="1">
      <c r="B3115" s="282"/>
      <c r="H3115" s="273"/>
      <c r="I3115" s="274"/>
      <c r="J3115" s="274"/>
      <c r="K3115" s="274"/>
      <c r="L3115" s="274"/>
      <c r="M3115" s="274"/>
      <c r="N3115" s="274"/>
      <c r="P3115" s="275"/>
    </row>
    <row r="3116" ht="15.75" customHeight="1">
      <c r="B3116" s="282"/>
      <c r="H3116" s="273"/>
      <c r="I3116" s="274"/>
      <c r="J3116" s="274"/>
      <c r="K3116" s="274"/>
      <c r="L3116" s="274"/>
      <c r="M3116" s="274"/>
      <c r="N3116" s="274"/>
      <c r="P3116" s="275"/>
    </row>
    <row r="3117" ht="15.75" customHeight="1">
      <c r="B3117" s="282"/>
      <c r="H3117" s="273"/>
      <c r="I3117" s="274"/>
      <c r="J3117" s="274"/>
      <c r="K3117" s="274"/>
      <c r="L3117" s="274"/>
      <c r="M3117" s="274"/>
      <c r="N3117" s="274"/>
      <c r="P3117" s="275"/>
    </row>
    <row r="3118" ht="15.75" customHeight="1">
      <c r="B3118" s="282"/>
      <c r="H3118" s="273"/>
      <c r="I3118" s="274"/>
      <c r="J3118" s="274"/>
      <c r="K3118" s="274"/>
      <c r="L3118" s="274"/>
      <c r="M3118" s="274"/>
      <c r="N3118" s="274"/>
      <c r="P3118" s="275"/>
    </row>
    <row r="3119" ht="15.75" customHeight="1">
      <c r="B3119" s="282"/>
      <c r="H3119" s="273"/>
      <c r="I3119" s="274"/>
      <c r="J3119" s="274"/>
      <c r="K3119" s="274"/>
      <c r="L3119" s="274"/>
      <c r="M3119" s="274"/>
      <c r="N3119" s="274"/>
      <c r="P3119" s="275"/>
    </row>
    <row r="3120" ht="15.75" customHeight="1">
      <c r="B3120" s="282"/>
      <c r="H3120" s="273"/>
      <c r="I3120" s="274"/>
      <c r="J3120" s="274"/>
      <c r="K3120" s="274"/>
      <c r="L3120" s="274"/>
      <c r="M3120" s="274"/>
      <c r="N3120" s="274"/>
      <c r="P3120" s="275"/>
    </row>
    <row r="3121" ht="15.75" customHeight="1">
      <c r="B3121" s="282"/>
      <c r="H3121" s="273"/>
      <c r="I3121" s="274"/>
      <c r="J3121" s="274"/>
      <c r="K3121" s="274"/>
      <c r="L3121" s="274"/>
      <c r="M3121" s="274"/>
      <c r="N3121" s="274"/>
      <c r="P3121" s="275"/>
    </row>
    <row r="3122" ht="15.75" customHeight="1">
      <c r="B3122" s="282"/>
      <c r="H3122" s="273"/>
      <c r="I3122" s="274"/>
      <c r="J3122" s="274"/>
      <c r="K3122" s="274"/>
      <c r="L3122" s="274"/>
      <c r="M3122" s="274"/>
      <c r="N3122" s="274"/>
      <c r="P3122" s="275"/>
    </row>
    <row r="3123" ht="15.75" customHeight="1">
      <c r="B3123" s="282"/>
      <c r="H3123" s="273"/>
      <c r="I3123" s="274"/>
      <c r="J3123" s="274"/>
      <c r="K3123" s="274"/>
      <c r="L3123" s="274"/>
      <c r="M3123" s="274"/>
      <c r="N3123" s="274"/>
      <c r="P3123" s="275"/>
    </row>
    <row r="3124" ht="15.75" customHeight="1">
      <c r="B3124" s="282"/>
      <c r="H3124" s="273"/>
      <c r="I3124" s="274"/>
      <c r="J3124" s="274"/>
      <c r="K3124" s="274"/>
      <c r="L3124" s="274"/>
      <c r="M3124" s="274"/>
      <c r="N3124" s="274"/>
      <c r="P3124" s="275"/>
    </row>
    <row r="3125" ht="15.75" customHeight="1">
      <c r="B3125" s="282"/>
      <c r="H3125" s="273"/>
      <c r="I3125" s="274"/>
      <c r="J3125" s="274"/>
      <c r="K3125" s="274"/>
      <c r="L3125" s="274"/>
      <c r="M3125" s="274"/>
      <c r="N3125" s="274"/>
      <c r="P3125" s="275"/>
    </row>
    <row r="3126" ht="15.75" customHeight="1">
      <c r="B3126" s="282"/>
      <c r="H3126" s="273"/>
      <c r="I3126" s="274"/>
      <c r="J3126" s="274"/>
      <c r="K3126" s="274"/>
      <c r="L3126" s="274"/>
      <c r="M3126" s="274"/>
      <c r="N3126" s="274"/>
      <c r="P3126" s="275"/>
    </row>
    <row r="3127" ht="15.75" customHeight="1">
      <c r="B3127" s="282"/>
      <c r="H3127" s="273"/>
      <c r="I3127" s="274"/>
      <c r="J3127" s="274"/>
      <c r="K3127" s="274"/>
      <c r="L3127" s="274"/>
      <c r="M3127" s="274"/>
      <c r="N3127" s="274"/>
      <c r="P3127" s="275"/>
    </row>
    <row r="3128" ht="15.75" customHeight="1">
      <c r="B3128" s="282"/>
      <c r="H3128" s="273"/>
      <c r="I3128" s="274"/>
      <c r="J3128" s="274"/>
      <c r="K3128" s="274"/>
      <c r="L3128" s="274"/>
      <c r="M3128" s="274"/>
      <c r="N3128" s="274"/>
      <c r="P3128" s="275"/>
    </row>
    <row r="3129" ht="15.75" customHeight="1">
      <c r="B3129" s="282"/>
      <c r="H3129" s="273"/>
      <c r="I3129" s="274"/>
      <c r="J3129" s="274"/>
      <c r="K3129" s="274"/>
      <c r="L3129" s="274"/>
      <c r="M3129" s="274"/>
      <c r="N3129" s="274"/>
      <c r="P3129" s="275"/>
    </row>
    <row r="3130" ht="15.75" customHeight="1">
      <c r="B3130" s="282"/>
      <c r="H3130" s="273"/>
      <c r="I3130" s="274"/>
      <c r="J3130" s="274"/>
      <c r="K3130" s="274"/>
      <c r="L3130" s="274"/>
      <c r="M3130" s="274"/>
      <c r="N3130" s="274"/>
      <c r="P3130" s="275"/>
    </row>
    <row r="3131" ht="15.75" customHeight="1">
      <c r="B3131" s="282"/>
      <c r="H3131" s="273"/>
      <c r="I3131" s="274"/>
      <c r="J3131" s="274"/>
      <c r="K3131" s="274"/>
      <c r="L3131" s="274"/>
      <c r="M3131" s="274"/>
      <c r="N3131" s="274"/>
      <c r="P3131" s="275"/>
    </row>
    <row r="3132" ht="15.75" customHeight="1">
      <c r="B3132" s="282"/>
      <c r="H3132" s="273"/>
      <c r="I3132" s="274"/>
      <c r="J3132" s="274"/>
      <c r="K3132" s="274"/>
      <c r="L3132" s="274"/>
      <c r="M3132" s="274"/>
      <c r="N3132" s="274"/>
      <c r="P3132" s="275"/>
    </row>
    <row r="3133" ht="15.75" customHeight="1">
      <c r="B3133" s="282"/>
      <c r="H3133" s="273"/>
      <c r="I3133" s="274"/>
      <c r="J3133" s="274"/>
      <c r="K3133" s="274"/>
      <c r="L3133" s="274"/>
      <c r="M3133" s="274"/>
      <c r="N3133" s="274"/>
      <c r="P3133" s="275"/>
    </row>
    <row r="3134" ht="15.75" customHeight="1">
      <c r="B3134" s="282"/>
      <c r="H3134" s="273"/>
      <c r="I3134" s="274"/>
      <c r="J3134" s="274"/>
      <c r="K3134" s="274"/>
      <c r="L3134" s="274"/>
      <c r="M3134" s="274"/>
      <c r="N3134" s="274"/>
      <c r="P3134" s="275"/>
    </row>
    <row r="3135" ht="15.75" customHeight="1">
      <c r="B3135" s="282"/>
      <c r="H3135" s="273"/>
      <c r="I3135" s="274"/>
      <c r="J3135" s="274"/>
      <c r="K3135" s="274"/>
      <c r="L3135" s="274"/>
      <c r="M3135" s="274"/>
      <c r="N3135" s="274"/>
      <c r="P3135" s="275"/>
    </row>
    <row r="3136" ht="15.75" customHeight="1">
      <c r="B3136" s="282"/>
      <c r="H3136" s="273"/>
      <c r="I3136" s="274"/>
      <c r="J3136" s="274"/>
      <c r="K3136" s="274"/>
      <c r="L3136" s="274"/>
      <c r="M3136" s="274"/>
      <c r="N3136" s="274"/>
      <c r="P3136" s="275"/>
    </row>
    <row r="3137" ht="15.75" customHeight="1">
      <c r="B3137" s="282"/>
      <c r="H3137" s="273"/>
      <c r="I3137" s="274"/>
      <c r="J3137" s="274"/>
      <c r="K3137" s="274"/>
      <c r="L3137" s="274"/>
      <c r="M3137" s="274"/>
      <c r="N3137" s="274"/>
      <c r="P3137" s="275"/>
    </row>
    <row r="3138" ht="15.75" customHeight="1">
      <c r="B3138" s="282"/>
      <c r="H3138" s="273"/>
      <c r="I3138" s="274"/>
      <c r="J3138" s="274"/>
      <c r="K3138" s="274"/>
      <c r="L3138" s="274"/>
      <c r="M3138" s="274"/>
      <c r="N3138" s="274"/>
      <c r="P3138" s="275"/>
    </row>
    <row r="3139" ht="15.75" customHeight="1">
      <c r="B3139" s="282"/>
      <c r="H3139" s="273"/>
      <c r="I3139" s="274"/>
      <c r="J3139" s="274"/>
      <c r="K3139" s="274"/>
      <c r="L3139" s="274"/>
      <c r="M3139" s="274"/>
      <c r="N3139" s="274"/>
      <c r="P3139" s="275"/>
    </row>
    <row r="3140" ht="15.75" customHeight="1">
      <c r="B3140" s="282"/>
      <c r="H3140" s="273"/>
      <c r="I3140" s="274"/>
      <c r="J3140" s="274"/>
      <c r="K3140" s="274"/>
      <c r="L3140" s="274"/>
      <c r="M3140" s="274"/>
      <c r="N3140" s="274"/>
      <c r="P3140" s="275"/>
    </row>
    <row r="3141" ht="15.75" customHeight="1">
      <c r="B3141" s="282"/>
      <c r="H3141" s="273"/>
      <c r="I3141" s="274"/>
      <c r="J3141" s="274"/>
      <c r="K3141" s="274"/>
      <c r="L3141" s="274"/>
      <c r="M3141" s="274"/>
      <c r="N3141" s="274"/>
      <c r="P3141" s="275"/>
    </row>
    <row r="3142" ht="15.75" customHeight="1">
      <c r="B3142" s="282"/>
      <c r="H3142" s="273"/>
      <c r="I3142" s="274"/>
      <c r="J3142" s="274"/>
      <c r="K3142" s="274"/>
      <c r="L3142" s="274"/>
      <c r="M3142" s="274"/>
      <c r="N3142" s="274"/>
      <c r="P3142" s="275"/>
    </row>
    <row r="3143" ht="15.75" customHeight="1">
      <c r="B3143" s="282"/>
      <c r="H3143" s="273"/>
      <c r="I3143" s="274"/>
      <c r="J3143" s="274"/>
      <c r="K3143" s="274"/>
      <c r="L3143" s="274"/>
      <c r="M3143" s="274"/>
      <c r="N3143" s="274"/>
      <c r="P3143" s="275"/>
    </row>
    <row r="3144" ht="15.75" customHeight="1">
      <c r="B3144" s="282"/>
      <c r="H3144" s="273"/>
      <c r="I3144" s="274"/>
      <c r="J3144" s="274"/>
      <c r="K3144" s="274"/>
      <c r="L3144" s="274"/>
      <c r="M3144" s="274"/>
      <c r="N3144" s="274"/>
      <c r="P3144" s="275"/>
    </row>
    <row r="3145" ht="15.75" customHeight="1">
      <c r="B3145" s="282"/>
      <c r="H3145" s="273"/>
      <c r="I3145" s="274"/>
      <c r="J3145" s="274"/>
      <c r="K3145" s="274"/>
      <c r="L3145" s="274"/>
      <c r="M3145" s="274"/>
      <c r="N3145" s="274"/>
      <c r="P3145" s="275"/>
    </row>
    <row r="3146" ht="15.75" customHeight="1">
      <c r="B3146" s="282"/>
      <c r="H3146" s="273"/>
      <c r="I3146" s="274"/>
      <c r="J3146" s="274"/>
      <c r="K3146" s="274"/>
      <c r="L3146" s="274"/>
      <c r="M3146" s="274"/>
      <c r="N3146" s="274"/>
      <c r="P3146" s="275"/>
    </row>
    <row r="3147" ht="15.75" customHeight="1">
      <c r="B3147" s="282"/>
      <c r="H3147" s="273"/>
      <c r="I3147" s="274"/>
      <c r="J3147" s="274"/>
      <c r="K3147" s="274"/>
      <c r="L3147" s="274"/>
      <c r="M3147" s="274"/>
      <c r="N3147" s="274"/>
      <c r="P3147" s="275"/>
    </row>
    <row r="3148" ht="15.75" customHeight="1">
      <c r="B3148" s="282"/>
      <c r="H3148" s="273"/>
      <c r="I3148" s="274"/>
      <c r="J3148" s="274"/>
      <c r="K3148" s="274"/>
      <c r="L3148" s="274"/>
      <c r="M3148" s="274"/>
      <c r="N3148" s="274"/>
      <c r="P3148" s="275"/>
    </row>
    <row r="3149" ht="15.75" customHeight="1">
      <c r="B3149" s="282"/>
      <c r="H3149" s="273"/>
      <c r="I3149" s="274"/>
      <c r="J3149" s="274"/>
      <c r="K3149" s="274"/>
      <c r="L3149" s="274"/>
      <c r="M3149" s="274"/>
      <c r="N3149" s="274"/>
      <c r="P3149" s="275"/>
    </row>
    <row r="3150" ht="15.75" customHeight="1">
      <c r="B3150" s="282"/>
      <c r="H3150" s="273"/>
      <c r="I3150" s="274"/>
      <c r="J3150" s="274"/>
      <c r="K3150" s="274"/>
      <c r="L3150" s="274"/>
      <c r="M3150" s="274"/>
      <c r="N3150" s="274"/>
      <c r="P3150" s="275"/>
    </row>
    <row r="3151" ht="15.75" customHeight="1">
      <c r="B3151" s="282"/>
      <c r="H3151" s="273"/>
      <c r="I3151" s="274"/>
      <c r="J3151" s="274"/>
      <c r="K3151" s="274"/>
      <c r="L3151" s="274"/>
      <c r="M3151" s="274"/>
      <c r="N3151" s="274"/>
      <c r="P3151" s="275"/>
    </row>
    <row r="3152" ht="15.75" customHeight="1">
      <c r="B3152" s="282"/>
      <c r="H3152" s="273"/>
      <c r="I3152" s="274"/>
      <c r="J3152" s="274"/>
      <c r="K3152" s="274"/>
      <c r="L3152" s="274"/>
      <c r="M3152" s="274"/>
      <c r="N3152" s="274"/>
      <c r="P3152" s="275"/>
    </row>
    <row r="3153" ht="15.75" customHeight="1">
      <c r="B3153" s="282"/>
      <c r="H3153" s="273"/>
      <c r="I3153" s="274"/>
      <c r="J3153" s="274"/>
      <c r="K3153" s="274"/>
      <c r="L3153" s="274"/>
      <c r="M3153" s="274"/>
      <c r="N3153" s="274"/>
      <c r="P3153" s="275"/>
    </row>
    <row r="3154" ht="15.75" customHeight="1">
      <c r="B3154" s="282"/>
      <c r="H3154" s="273"/>
      <c r="I3154" s="274"/>
      <c r="J3154" s="274"/>
      <c r="K3154" s="274"/>
      <c r="L3154" s="274"/>
      <c r="M3154" s="274"/>
      <c r="N3154" s="274"/>
      <c r="P3154" s="275"/>
    </row>
    <row r="3155" ht="15.75" customHeight="1">
      <c r="B3155" s="282"/>
      <c r="H3155" s="273"/>
      <c r="I3155" s="274"/>
      <c r="J3155" s="274"/>
      <c r="K3155" s="274"/>
      <c r="L3155" s="274"/>
      <c r="M3155" s="274"/>
      <c r="N3155" s="274"/>
      <c r="P3155" s="275"/>
    </row>
    <row r="3156" ht="15.75" customHeight="1">
      <c r="B3156" s="282"/>
      <c r="H3156" s="273"/>
      <c r="I3156" s="274"/>
      <c r="J3156" s="274"/>
      <c r="K3156" s="274"/>
      <c r="L3156" s="274"/>
      <c r="M3156" s="274"/>
      <c r="N3156" s="274"/>
      <c r="P3156" s="275"/>
    </row>
    <row r="3157" ht="15.75" customHeight="1">
      <c r="B3157" s="282"/>
      <c r="H3157" s="273"/>
      <c r="I3157" s="274"/>
      <c r="J3157" s="274"/>
      <c r="K3157" s="274"/>
      <c r="L3157" s="274"/>
      <c r="M3157" s="274"/>
      <c r="N3157" s="274"/>
      <c r="P3157" s="275"/>
    </row>
    <row r="3158" ht="15.75" customHeight="1">
      <c r="B3158" s="282"/>
      <c r="H3158" s="273"/>
      <c r="I3158" s="274"/>
      <c r="J3158" s="274"/>
      <c r="K3158" s="274"/>
      <c r="L3158" s="274"/>
      <c r="M3158" s="274"/>
      <c r="N3158" s="274"/>
      <c r="P3158" s="275"/>
    </row>
    <row r="3159" ht="15.75" customHeight="1">
      <c r="B3159" s="282"/>
      <c r="H3159" s="273"/>
      <c r="I3159" s="274"/>
      <c r="J3159" s="274"/>
      <c r="K3159" s="274"/>
      <c r="L3159" s="274"/>
      <c r="M3159" s="274"/>
      <c r="N3159" s="274"/>
      <c r="P3159" s="275"/>
    </row>
    <row r="3160" ht="15.75" customHeight="1">
      <c r="B3160" s="282"/>
      <c r="H3160" s="273"/>
      <c r="I3160" s="274"/>
      <c r="J3160" s="274"/>
      <c r="K3160" s="274"/>
      <c r="L3160" s="274"/>
      <c r="M3160" s="274"/>
      <c r="N3160" s="274"/>
      <c r="P3160" s="275"/>
    </row>
    <row r="3161" ht="15.75" customHeight="1">
      <c r="B3161" s="282"/>
      <c r="H3161" s="273"/>
      <c r="I3161" s="274"/>
      <c r="J3161" s="274"/>
      <c r="K3161" s="274"/>
      <c r="L3161" s="274"/>
      <c r="M3161" s="274"/>
      <c r="N3161" s="274"/>
      <c r="P3161" s="275"/>
    </row>
    <row r="3162" ht="15.75" customHeight="1">
      <c r="B3162" s="282"/>
      <c r="H3162" s="273"/>
      <c r="I3162" s="274"/>
      <c r="J3162" s="274"/>
      <c r="K3162" s="274"/>
      <c r="L3162" s="274"/>
      <c r="M3162" s="274"/>
      <c r="N3162" s="274"/>
      <c r="P3162" s="275"/>
    </row>
    <row r="3163" ht="15.75" customHeight="1">
      <c r="B3163" s="282"/>
      <c r="H3163" s="273"/>
      <c r="I3163" s="274"/>
      <c r="J3163" s="274"/>
      <c r="K3163" s="274"/>
      <c r="L3163" s="274"/>
      <c r="M3163" s="274"/>
      <c r="N3163" s="274"/>
      <c r="P3163" s="275"/>
    </row>
    <row r="3164" ht="15.75" customHeight="1">
      <c r="B3164" s="282"/>
      <c r="H3164" s="273"/>
      <c r="I3164" s="274"/>
      <c r="J3164" s="274"/>
      <c r="K3164" s="274"/>
      <c r="L3164" s="274"/>
      <c r="M3164" s="274"/>
      <c r="N3164" s="274"/>
      <c r="P3164" s="275"/>
    </row>
    <row r="3165" ht="15.75" customHeight="1">
      <c r="B3165" s="282"/>
      <c r="H3165" s="273"/>
      <c r="I3165" s="274"/>
      <c r="J3165" s="274"/>
      <c r="K3165" s="274"/>
      <c r="L3165" s="274"/>
      <c r="M3165" s="274"/>
      <c r="N3165" s="274"/>
      <c r="P3165" s="275"/>
    </row>
    <row r="3166" ht="15.75" customHeight="1">
      <c r="B3166" s="282"/>
      <c r="H3166" s="273"/>
      <c r="I3166" s="274"/>
      <c r="J3166" s="274"/>
      <c r="K3166" s="274"/>
      <c r="L3166" s="274"/>
      <c r="M3166" s="274"/>
      <c r="N3166" s="274"/>
      <c r="P3166" s="275"/>
    </row>
    <row r="3167" ht="15.75" customHeight="1">
      <c r="B3167" s="282"/>
      <c r="H3167" s="273"/>
      <c r="I3167" s="274"/>
      <c r="J3167" s="274"/>
      <c r="K3167" s="274"/>
      <c r="L3167" s="274"/>
      <c r="M3167" s="274"/>
      <c r="N3167" s="274"/>
      <c r="P3167" s="275"/>
    </row>
    <row r="3168" ht="15.75" customHeight="1">
      <c r="B3168" s="282"/>
      <c r="H3168" s="273"/>
      <c r="I3168" s="274"/>
      <c r="J3168" s="274"/>
      <c r="K3168" s="274"/>
      <c r="L3168" s="274"/>
      <c r="M3168" s="274"/>
      <c r="N3168" s="274"/>
      <c r="P3168" s="275"/>
    </row>
    <row r="3169" ht="15.75" customHeight="1">
      <c r="B3169" s="282"/>
      <c r="H3169" s="273"/>
      <c r="I3169" s="274"/>
      <c r="J3169" s="274"/>
      <c r="K3169" s="274"/>
      <c r="L3169" s="274"/>
      <c r="M3169" s="274"/>
      <c r="N3169" s="274"/>
      <c r="P3169" s="275"/>
    </row>
    <row r="3170" ht="15.75" customHeight="1">
      <c r="B3170" s="282"/>
      <c r="H3170" s="273"/>
      <c r="I3170" s="274"/>
      <c r="J3170" s="274"/>
      <c r="K3170" s="274"/>
      <c r="L3170" s="274"/>
      <c r="M3170" s="274"/>
      <c r="N3170" s="274"/>
      <c r="P3170" s="275"/>
    </row>
    <row r="3171" ht="15.75" customHeight="1">
      <c r="B3171" s="282"/>
      <c r="H3171" s="273"/>
      <c r="I3171" s="274"/>
      <c r="J3171" s="274"/>
      <c r="K3171" s="274"/>
      <c r="L3171" s="274"/>
      <c r="M3171" s="274"/>
      <c r="N3171" s="274"/>
      <c r="P3171" s="275"/>
    </row>
    <row r="3172" ht="15.75" customHeight="1">
      <c r="B3172" s="282"/>
      <c r="H3172" s="273"/>
      <c r="I3172" s="274"/>
      <c r="J3172" s="274"/>
      <c r="K3172" s="274"/>
      <c r="L3172" s="274"/>
      <c r="M3172" s="274"/>
      <c r="N3172" s="274"/>
      <c r="P3172" s="275"/>
    </row>
    <row r="3173" ht="15.75" customHeight="1">
      <c r="B3173" s="282"/>
      <c r="H3173" s="273"/>
      <c r="I3173" s="274"/>
      <c r="J3173" s="274"/>
      <c r="K3173" s="274"/>
      <c r="L3173" s="274"/>
      <c r="M3173" s="274"/>
      <c r="N3173" s="274"/>
      <c r="P3173" s="275"/>
    </row>
    <row r="3174" ht="15.75" customHeight="1">
      <c r="B3174" s="282"/>
      <c r="H3174" s="273"/>
      <c r="I3174" s="274"/>
      <c r="J3174" s="274"/>
      <c r="K3174" s="274"/>
      <c r="L3174" s="274"/>
      <c r="M3174" s="274"/>
      <c r="N3174" s="274"/>
      <c r="P3174" s="275"/>
    </row>
    <row r="3175" ht="15.75" customHeight="1">
      <c r="B3175" s="282"/>
      <c r="H3175" s="273"/>
      <c r="I3175" s="274"/>
      <c r="J3175" s="274"/>
      <c r="K3175" s="274"/>
      <c r="L3175" s="274"/>
      <c r="M3175" s="274"/>
      <c r="N3175" s="274"/>
      <c r="P3175" s="275"/>
    </row>
    <row r="3176" ht="15.75" customHeight="1">
      <c r="B3176" s="282"/>
      <c r="H3176" s="273"/>
      <c r="I3176" s="274"/>
      <c r="J3176" s="274"/>
      <c r="K3176" s="274"/>
      <c r="L3176" s="274"/>
      <c r="M3176" s="274"/>
      <c r="N3176" s="274"/>
      <c r="P3176" s="275"/>
    </row>
    <row r="3177" ht="15.75" customHeight="1">
      <c r="B3177" s="282"/>
      <c r="H3177" s="273"/>
      <c r="I3177" s="274"/>
      <c r="J3177" s="274"/>
      <c r="K3177" s="274"/>
      <c r="L3177" s="274"/>
      <c r="M3177" s="274"/>
      <c r="N3177" s="274"/>
      <c r="P3177" s="275"/>
    </row>
    <row r="3178" ht="15.75" customHeight="1">
      <c r="B3178" s="282"/>
      <c r="H3178" s="273"/>
      <c r="I3178" s="274"/>
      <c r="J3178" s="274"/>
      <c r="K3178" s="274"/>
      <c r="L3178" s="274"/>
      <c r="M3178" s="274"/>
      <c r="N3178" s="274"/>
      <c r="P3178" s="275"/>
    </row>
    <row r="3179" ht="15.75" customHeight="1">
      <c r="B3179" s="282"/>
      <c r="H3179" s="273"/>
      <c r="I3179" s="274"/>
      <c r="J3179" s="274"/>
      <c r="K3179" s="274"/>
      <c r="L3179" s="274"/>
      <c r="M3179" s="274"/>
      <c r="N3179" s="274"/>
      <c r="P3179" s="275"/>
    </row>
    <row r="3180" ht="15.75" customHeight="1">
      <c r="B3180" s="282"/>
      <c r="H3180" s="273"/>
      <c r="I3180" s="274"/>
      <c r="J3180" s="274"/>
      <c r="K3180" s="274"/>
      <c r="L3180" s="274"/>
      <c r="M3180" s="274"/>
      <c r="N3180" s="274"/>
      <c r="P3180" s="275"/>
    </row>
    <row r="3181" ht="15.75" customHeight="1">
      <c r="B3181" s="282"/>
      <c r="H3181" s="273"/>
      <c r="I3181" s="274"/>
      <c r="J3181" s="274"/>
      <c r="K3181" s="274"/>
      <c r="L3181" s="274"/>
      <c r="M3181" s="274"/>
      <c r="N3181" s="274"/>
      <c r="P3181" s="275"/>
    </row>
    <row r="3182" ht="15.75" customHeight="1">
      <c r="B3182" s="282"/>
      <c r="H3182" s="273"/>
      <c r="I3182" s="274"/>
      <c r="J3182" s="274"/>
      <c r="K3182" s="274"/>
      <c r="L3182" s="274"/>
      <c r="M3182" s="274"/>
      <c r="N3182" s="274"/>
      <c r="P3182" s="275"/>
    </row>
    <row r="3183" ht="15.75" customHeight="1">
      <c r="B3183" s="282"/>
      <c r="H3183" s="273"/>
      <c r="I3183" s="274"/>
      <c r="J3183" s="274"/>
      <c r="K3183" s="274"/>
      <c r="L3183" s="274"/>
      <c r="M3183" s="274"/>
      <c r="N3183" s="274"/>
      <c r="P3183" s="275"/>
    </row>
    <row r="3184" ht="15.75" customHeight="1">
      <c r="B3184" s="282"/>
      <c r="H3184" s="273"/>
      <c r="I3184" s="274"/>
      <c r="J3184" s="274"/>
      <c r="K3184" s="274"/>
      <c r="L3184" s="274"/>
      <c r="M3184" s="274"/>
      <c r="N3184" s="274"/>
      <c r="P3184" s="275"/>
    </row>
    <row r="3185" ht="15.75" customHeight="1">
      <c r="B3185" s="282"/>
      <c r="H3185" s="273"/>
      <c r="I3185" s="274"/>
      <c r="J3185" s="274"/>
      <c r="K3185" s="274"/>
      <c r="L3185" s="274"/>
      <c r="M3185" s="274"/>
      <c r="N3185" s="274"/>
      <c r="P3185" s="275"/>
    </row>
    <row r="3186" ht="15.75" customHeight="1">
      <c r="B3186" s="282"/>
      <c r="H3186" s="273"/>
      <c r="I3186" s="274"/>
      <c r="J3186" s="274"/>
      <c r="K3186" s="274"/>
      <c r="L3186" s="274"/>
      <c r="M3186" s="274"/>
      <c r="N3186" s="274"/>
      <c r="P3186" s="275"/>
    </row>
    <row r="3187" ht="15.75" customHeight="1">
      <c r="B3187" s="282"/>
      <c r="H3187" s="273"/>
      <c r="I3187" s="274"/>
      <c r="J3187" s="274"/>
      <c r="K3187" s="274"/>
      <c r="L3187" s="274"/>
      <c r="M3187" s="274"/>
      <c r="N3187" s="274"/>
      <c r="P3187" s="275"/>
    </row>
    <row r="3188" ht="15.75" customHeight="1">
      <c r="B3188" s="282"/>
      <c r="H3188" s="273"/>
      <c r="I3188" s="274"/>
      <c r="J3188" s="274"/>
      <c r="K3188" s="274"/>
      <c r="L3188" s="274"/>
      <c r="M3188" s="274"/>
      <c r="N3188" s="274"/>
      <c r="P3188" s="275"/>
    </row>
    <row r="3189" ht="15.75" customHeight="1">
      <c r="B3189" s="282"/>
      <c r="H3189" s="273"/>
      <c r="I3189" s="274"/>
      <c r="J3189" s="274"/>
      <c r="K3189" s="274"/>
      <c r="L3189" s="274"/>
      <c r="M3189" s="274"/>
      <c r="N3189" s="274"/>
      <c r="P3189" s="275"/>
    </row>
    <row r="3190" ht="15.75" customHeight="1">
      <c r="B3190" s="282"/>
      <c r="H3190" s="273"/>
      <c r="I3190" s="274"/>
      <c r="J3190" s="274"/>
      <c r="K3190" s="274"/>
      <c r="L3190" s="274"/>
      <c r="M3190" s="274"/>
      <c r="N3190" s="274"/>
      <c r="P3190" s="275"/>
    </row>
    <row r="3191" ht="15.75" customHeight="1">
      <c r="B3191" s="282"/>
      <c r="H3191" s="273"/>
      <c r="I3191" s="274"/>
      <c r="J3191" s="274"/>
      <c r="K3191" s="274"/>
      <c r="L3191" s="274"/>
      <c r="M3191" s="274"/>
      <c r="N3191" s="274"/>
      <c r="P3191" s="275"/>
    </row>
    <row r="3192" ht="15.75" customHeight="1">
      <c r="B3192" s="282"/>
      <c r="H3192" s="273"/>
      <c r="I3192" s="274"/>
      <c r="J3192" s="274"/>
      <c r="K3192" s="274"/>
      <c r="L3192" s="274"/>
      <c r="M3192" s="274"/>
      <c r="N3192" s="274"/>
      <c r="P3192" s="275"/>
    </row>
    <row r="3193" ht="15.75" customHeight="1">
      <c r="B3193" s="282"/>
      <c r="H3193" s="273"/>
      <c r="I3193" s="274"/>
      <c r="J3193" s="274"/>
      <c r="K3193" s="274"/>
      <c r="L3193" s="274"/>
      <c r="M3193" s="274"/>
      <c r="N3193" s="274"/>
      <c r="P3193" s="275"/>
    </row>
    <row r="3194" ht="15.75" customHeight="1">
      <c r="B3194" s="282"/>
      <c r="H3194" s="273"/>
      <c r="I3194" s="274"/>
      <c r="J3194" s="274"/>
      <c r="K3194" s="274"/>
      <c r="L3194" s="274"/>
      <c r="M3194" s="274"/>
      <c r="N3194" s="274"/>
      <c r="P3194" s="275"/>
    </row>
    <row r="3195" ht="15.75" customHeight="1">
      <c r="B3195" s="282"/>
      <c r="H3195" s="273"/>
      <c r="I3195" s="274"/>
      <c r="J3195" s="274"/>
      <c r="K3195" s="274"/>
      <c r="L3195" s="274"/>
      <c r="M3195" s="274"/>
      <c r="N3195" s="274"/>
      <c r="P3195" s="275"/>
    </row>
    <row r="3196" ht="15.75" customHeight="1">
      <c r="B3196" s="282"/>
      <c r="H3196" s="273"/>
      <c r="I3196" s="274"/>
      <c r="J3196" s="274"/>
      <c r="K3196" s="274"/>
      <c r="L3196" s="274"/>
      <c r="M3196" s="274"/>
      <c r="N3196" s="274"/>
      <c r="P3196" s="275"/>
    </row>
    <row r="3197" ht="15.75" customHeight="1">
      <c r="B3197" s="282"/>
      <c r="H3197" s="273"/>
      <c r="I3197" s="274"/>
      <c r="J3197" s="274"/>
      <c r="K3197" s="274"/>
      <c r="L3197" s="274"/>
      <c r="M3197" s="274"/>
      <c r="N3197" s="274"/>
      <c r="P3197" s="275"/>
    </row>
    <row r="3198" ht="15.75" customHeight="1">
      <c r="B3198" s="282"/>
      <c r="H3198" s="273"/>
      <c r="I3198" s="274"/>
      <c r="J3198" s="274"/>
      <c r="K3198" s="274"/>
      <c r="L3198" s="274"/>
      <c r="M3198" s="274"/>
      <c r="N3198" s="274"/>
      <c r="P3198" s="275"/>
    </row>
    <row r="3199" ht="15.75" customHeight="1">
      <c r="B3199" s="282"/>
      <c r="H3199" s="273"/>
      <c r="I3199" s="274"/>
      <c r="J3199" s="274"/>
      <c r="K3199" s="274"/>
      <c r="L3199" s="274"/>
      <c r="M3199" s="274"/>
      <c r="N3199" s="274"/>
      <c r="P3199" s="275"/>
    </row>
    <row r="3200" ht="15.75" customHeight="1">
      <c r="B3200" s="282"/>
      <c r="H3200" s="273"/>
      <c r="I3200" s="274"/>
      <c r="J3200" s="274"/>
      <c r="K3200" s="274"/>
      <c r="L3200" s="274"/>
      <c r="M3200" s="274"/>
      <c r="N3200" s="274"/>
      <c r="P3200" s="275"/>
    </row>
    <row r="3201" ht="15.75" customHeight="1">
      <c r="B3201" s="282"/>
      <c r="H3201" s="273"/>
      <c r="I3201" s="274"/>
      <c r="J3201" s="274"/>
      <c r="K3201" s="274"/>
      <c r="L3201" s="274"/>
      <c r="M3201" s="274"/>
      <c r="N3201" s="274"/>
      <c r="P3201" s="275"/>
    </row>
    <row r="3202" ht="15.75" customHeight="1">
      <c r="B3202" s="282"/>
      <c r="H3202" s="273"/>
      <c r="I3202" s="274"/>
      <c r="J3202" s="274"/>
      <c r="K3202" s="274"/>
      <c r="L3202" s="274"/>
      <c r="M3202" s="274"/>
      <c r="N3202" s="274"/>
      <c r="P3202" s="275"/>
    </row>
    <row r="3203" ht="15.75" customHeight="1">
      <c r="B3203" s="282"/>
      <c r="H3203" s="273"/>
      <c r="I3203" s="274"/>
      <c r="J3203" s="274"/>
      <c r="K3203" s="274"/>
      <c r="L3203" s="274"/>
      <c r="M3203" s="274"/>
      <c r="N3203" s="274"/>
      <c r="P3203" s="275"/>
    </row>
    <row r="3204" ht="15.75" customHeight="1">
      <c r="B3204" s="282"/>
      <c r="H3204" s="273"/>
      <c r="I3204" s="274"/>
      <c r="J3204" s="274"/>
      <c r="K3204" s="274"/>
      <c r="L3204" s="274"/>
      <c r="M3204" s="274"/>
      <c r="N3204" s="274"/>
      <c r="P3204" s="275"/>
    </row>
    <row r="3205" ht="15.75" customHeight="1">
      <c r="B3205" s="282"/>
      <c r="H3205" s="273"/>
      <c r="I3205" s="274"/>
      <c r="J3205" s="274"/>
      <c r="K3205" s="274"/>
      <c r="L3205" s="274"/>
      <c r="M3205" s="274"/>
      <c r="N3205" s="274"/>
      <c r="P3205" s="275"/>
    </row>
    <row r="3206" ht="15.75" customHeight="1">
      <c r="B3206" s="282"/>
      <c r="H3206" s="273"/>
      <c r="I3206" s="274"/>
      <c r="J3206" s="274"/>
      <c r="K3206" s="274"/>
      <c r="L3206" s="274"/>
      <c r="M3206" s="274"/>
      <c r="N3206" s="274"/>
      <c r="P3206" s="275"/>
    </row>
    <row r="3207" ht="15.75" customHeight="1">
      <c r="B3207" s="282"/>
      <c r="H3207" s="273"/>
      <c r="I3207" s="274"/>
      <c r="J3207" s="274"/>
      <c r="K3207" s="274"/>
      <c r="L3207" s="274"/>
      <c r="M3207" s="274"/>
      <c r="N3207" s="274"/>
      <c r="P3207" s="275"/>
    </row>
    <row r="3208" ht="15.75" customHeight="1">
      <c r="B3208" s="282"/>
      <c r="H3208" s="273"/>
      <c r="I3208" s="274"/>
      <c r="J3208" s="274"/>
      <c r="K3208" s="274"/>
      <c r="L3208" s="274"/>
      <c r="M3208" s="274"/>
      <c r="N3208" s="274"/>
      <c r="P3208" s="275"/>
    </row>
    <row r="3209" ht="15.75" customHeight="1">
      <c r="B3209" s="282"/>
      <c r="H3209" s="273"/>
      <c r="I3209" s="274"/>
      <c r="J3209" s="274"/>
      <c r="K3209" s="274"/>
      <c r="L3209" s="274"/>
      <c r="M3209" s="274"/>
      <c r="N3209" s="274"/>
      <c r="P3209" s="275"/>
    </row>
    <row r="3210" ht="15.75" customHeight="1">
      <c r="B3210" s="282"/>
      <c r="H3210" s="273"/>
      <c r="I3210" s="274"/>
      <c r="J3210" s="274"/>
      <c r="K3210" s="274"/>
      <c r="L3210" s="274"/>
      <c r="M3210" s="274"/>
      <c r="N3210" s="274"/>
      <c r="P3210" s="275"/>
    </row>
    <row r="3211" ht="15.75" customHeight="1">
      <c r="B3211" s="282"/>
      <c r="H3211" s="273"/>
      <c r="I3211" s="274"/>
      <c r="J3211" s="274"/>
      <c r="K3211" s="274"/>
      <c r="L3211" s="274"/>
      <c r="M3211" s="274"/>
      <c r="N3211" s="274"/>
      <c r="P3211" s="275"/>
    </row>
    <row r="3212" ht="15.75" customHeight="1">
      <c r="B3212" s="282"/>
      <c r="H3212" s="273"/>
      <c r="I3212" s="274"/>
      <c r="J3212" s="274"/>
      <c r="K3212" s="274"/>
      <c r="L3212" s="274"/>
      <c r="M3212" s="274"/>
      <c r="N3212" s="274"/>
      <c r="P3212" s="275"/>
    </row>
    <row r="3213" ht="15.75" customHeight="1">
      <c r="B3213" s="282"/>
      <c r="H3213" s="273"/>
      <c r="I3213" s="274"/>
      <c r="J3213" s="274"/>
      <c r="K3213" s="274"/>
      <c r="L3213" s="274"/>
      <c r="M3213" s="274"/>
      <c r="N3213" s="274"/>
      <c r="P3213" s="275"/>
    </row>
    <row r="3214" ht="15.75" customHeight="1">
      <c r="B3214" s="282"/>
      <c r="H3214" s="273"/>
      <c r="I3214" s="274"/>
      <c r="J3214" s="274"/>
      <c r="K3214" s="274"/>
      <c r="L3214" s="274"/>
      <c r="M3214" s="274"/>
      <c r="N3214" s="274"/>
      <c r="P3214" s="275"/>
    </row>
    <row r="3215" ht="15.75" customHeight="1">
      <c r="B3215" s="282"/>
      <c r="H3215" s="273"/>
      <c r="I3215" s="274"/>
      <c r="J3215" s="274"/>
      <c r="K3215" s="274"/>
      <c r="L3215" s="274"/>
      <c r="M3215" s="274"/>
      <c r="N3215" s="274"/>
      <c r="P3215" s="275"/>
    </row>
    <row r="3216" ht="15.75" customHeight="1">
      <c r="B3216" s="282"/>
      <c r="H3216" s="273"/>
      <c r="I3216" s="274"/>
      <c r="J3216" s="274"/>
      <c r="K3216" s="274"/>
      <c r="L3216" s="274"/>
      <c r="M3216" s="274"/>
      <c r="N3216" s="274"/>
      <c r="P3216" s="275"/>
    </row>
    <row r="3217" ht="15.75" customHeight="1">
      <c r="B3217" s="282"/>
      <c r="H3217" s="273"/>
      <c r="I3217" s="274"/>
      <c r="J3217" s="274"/>
      <c r="K3217" s="274"/>
      <c r="L3217" s="274"/>
      <c r="M3217" s="274"/>
      <c r="N3217" s="274"/>
      <c r="P3217" s="275"/>
    </row>
    <row r="3218" ht="15.75" customHeight="1">
      <c r="B3218" s="282"/>
      <c r="H3218" s="273"/>
      <c r="I3218" s="274"/>
      <c r="J3218" s="274"/>
      <c r="K3218" s="274"/>
      <c r="L3218" s="274"/>
      <c r="M3218" s="274"/>
      <c r="N3218" s="274"/>
      <c r="P3218" s="275"/>
    </row>
    <row r="3219" ht="15.75" customHeight="1">
      <c r="B3219" s="282"/>
      <c r="H3219" s="273"/>
      <c r="I3219" s="274"/>
      <c r="J3219" s="274"/>
      <c r="K3219" s="274"/>
      <c r="L3219" s="274"/>
      <c r="M3219" s="274"/>
      <c r="N3219" s="274"/>
      <c r="P3219" s="275"/>
    </row>
    <row r="3220" ht="15.75" customHeight="1">
      <c r="B3220" s="282"/>
      <c r="H3220" s="273"/>
      <c r="I3220" s="274"/>
      <c r="J3220" s="274"/>
      <c r="K3220" s="274"/>
      <c r="L3220" s="274"/>
      <c r="M3220" s="274"/>
      <c r="N3220" s="274"/>
      <c r="P3220" s="275"/>
    </row>
    <row r="3221" ht="15.75" customHeight="1">
      <c r="B3221" s="282"/>
      <c r="H3221" s="273"/>
      <c r="I3221" s="274"/>
      <c r="J3221" s="274"/>
      <c r="K3221" s="274"/>
      <c r="L3221" s="274"/>
      <c r="M3221" s="274"/>
      <c r="N3221" s="274"/>
      <c r="P3221" s="275"/>
    </row>
    <row r="3222" ht="15.75" customHeight="1">
      <c r="B3222" s="282"/>
      <c r="H3222" s="273"/>
      <c r="I3222" s="274"/>
      <c r="J3222" s="274"/>
      <c r="K3222" s="274"/>
      <c r="L3222" s="274"/>
      <c r="M3222" s="274"/>
      <c r="N3222" s="274"/>
      <c r="P3222" s="275"/>
    </row>
    <row r="3223" ht="15.75" customHeight="1">
      <c r="B3223" s="282"/>
      <c r="H3223" s="273"/>
      <c r="I3223" s="274"/>
      <c r="J3223" s="274"/>
      <c r="K3223" s="274"/>
      <c r="L3223" s="274"/>
      <c r="M3223" s="274"/>
      <c r="N3223" s="274"/>
      <c r="P3223" s="275"/>
    </row>
    <row r="3224" ht="15.75" customHeight="1">
      <c r="B3224" s="282"/>
      <c r="H3224" s="273"/>
      <c r="I3224" s="274"/>
      <c r="J3224" s="274"/>
      <c r="K3224" s="274"/>
      <c r="L3224" s="274"/>
      <c r="M3224" s="274"/>
      <c r="N3224" s="274"/>
      <c r="P3224" s="275"/>
    </row>
    <row r="3225" ht="15.75" customHeight="1">
      <c r="B3225" s="282"/>
      <c r="H3225" s="273"/>
      <c r="I3225" s="274"/>
      <c r="J3225" s="274"/>
      <c r="K3225" s="274"/>
      <c r="L3225" s="274"/>
      <c r="M3225" s="274"/>
      <c r="N3225" s="274"/>
      <c r="P3225" s="275"/>
    </row>
    <row r="3226" ht="15.75" customHeight="1">
      <c r="B3226" s="282"/>
      <c r="H3226" s="273"/>
      <c r="I3226" s="274"/>
      <c r="J3226" s="274"/>
      <c r="K3226" s="274"/>
      <c r="L3226" s="274"/>
      <c r="M3226" s="274"/>
      <c r="N3226" s="274"/>
      <c r="P3226" s="275"/>
    </row>
    <row r="3227" ht="15.75" customHeight="1">
      <c r="B3227" s="282"/>
      <c r="H3227" s="273"/>
      <c r="I3227" s="274"/>
      <c r="J3227" s="274"/>
      <c r="K3227" s="274"/>
      <c r="L3227" s="274"/>
      <c r="M3227" s="274"/>
      <c r="N3227" s="274"/>
      <c r="P3227" s="275"/>
    </row>
    <row r="3228" ht="15.75" customHeight="1">
      <c r="B3228" s="282"/>
      <c r="H3228" s="273"/>
      <c r="I3228" s="274"/>
      <c r="J3228" s="274"/>
      <c r="K3228" s="274"/>
      <c r="L3228" s="274"/>
      <c r="M3228" s="274"/>
      <c r="N3228" s="274"/>
      <c r="P3228" s="275"/>
    </row>
    <row r="3229" ht="15.75" customHeight="1">
      <c r="B3229" s="282"/>
      <c r="H3229" s="273"/>
      <c r="I3229" s="274"/>
      <c r="J3229" s="274"/>
      <c r="K3229" s="274"/>
      <c r="L3229" s="274"/>
      <c r="M3229" s="274"/>
      <c r="N3229" s="274"/>
      <c r="P3229" s="275"/>
    </row>
    <row r="3230" ht="15.75" customHeight="1">
      <c r="B3230" s="282"/>
      <c r="H3230" s="273"/>
      <c r="I3230" s="274"/>
      <c r="J3230" s="274"/>
      <c r="K3230" s="274"/>
      <c r="L3230" s="274"/>
      <c r="M3230" s="274"/>
      <c r="N3230" s="274"/>
      <c r="P3230" s="275"/>
    </row>
    <row r="3231" ht="15.75" customHeight="1">
      <c r="B3231" s="282"/>
      <c r="H3231" s="273"/>
      <c r="I3231" s="274"/>
      <c r="J3231" s="274"/>
      <c r="K3231" s="274"/>
      <c r="L3231" s="274"/>
      <c r="M3231" s="274"/>
      <c r="N3231" s="274"/>
      <c r="P3231" s="275"/>
    </row>
    <row r="3232" ht="15.75" customHeight="1">
      <c r="B3232" s="282"/>
      <c r="H3232" s="273"/>
      <c r="I3232" s="274"/>
      <c r="J3232" s="274"/>
      <c r="K3232" s="274"/>
      <c r="L3232" s="274"/>
      <c r="M3232" s="274"/>
      <c r="N3232" s="274"/>
      <c r="P3232" s="275"/>
    </row>
    <row r="3233" ht="15.75" customHeight="1">
      <c r="B3233" s="282"/>
      <c r="H3233" s="273"/>
      <c r="I3233" s="274"/>
      <c r="J3233" s="274"/>
      <c r="K3233" s="274"/>
      <c r="L3233" s="274"/>
      <c r="M3233" s="274"/>
      <c r="N3233" s="274"/>
      <c r="P3233" s="275"/>
    </row>
    <row r="3234" ht="15.75" customHeight="1">
      <c r="B3234" s="282"/>
      <c r="H3234" s="273"/>
      <c r="I3234" s="274"/>
      <c r="J3234" s="274"/>
      <c r="K3234" s="274"/>
      <c r="L3234" s="274"/>
      <c r="M3234" s="274"/>
      <c r="N3234" s="274"/>
      <c r="P3234" s="275"/>
    </row>
    <row r="3235" ht="15.75" customHeight="1">
      <c r="B3235" s="282"/>
      <c r="H3235" s="273"/>
      <c r="I3235" s="274"/>
      <c r="J3235" s="274"/>
      <c r="K3235" s="274"/>
      <c r="L3235" s="274"/>
      <c r="M3235" s="274"/>
      <c r="N3235" s="274"/>
      <c r="P3235" s="275"/>
    </row>
    <row r="3236" ht="15.75" customHeight="1">
      <c r="B3236" s="282"/>
      <c r="H3236" s="273"/>
      <c r="I3236" s="274"/>
      <c r="J3236" s="274"/>
      <c r="K3236" s="274"/>
      <c r="L3236" s="274"/>
      <c r="M3236" s="274"/>
      <c r="N3236" s="274"/>
      <c r="P3236" s="275"/>
    </row>
    <row r="3237" ht="15.75" customHeight="1">
      <c r="B3237" s="282"/>
      <c r="H3237" s="273"/>
      <c r="I3237" s="274"/>
      <c r="J3237" s="274"/>
      <c r="K3237" s="274"/>
      <c r="L3237" s="274"/>
      <c r="M3237" s="274"/>
      <c r="N3237" s="274"/>
      <c r="P3237" s="275"/>
    </row>
    <row r="3238" ht="15.75" customHeight="1">
      <c r="B3238" s="282"/>
      <c r="H3238" s="273"/>
      <c r="I3238" s="274"/>
      <c r="J3238" s="274"/>
      <c r="K3238" s="274"/>
      <c r="L3238" s="274"/>
      <c r="M3238" s="274"/>
      <c r="N3238" s="274"/>
      <c r="P3238" s="275"/>
    </row>
    <row r="3239" ht="15.75" customHeight="1">
      <c r="B3239" s="282"/>
      <c r="H3239" s="273"/>
      <c r="I3239" s="274"/>
      <c r="J3239" s="274"/>
      <c r="K3239" s="274"/>
      <c r="L3239" s="274"/>
      <c r="M3239" s="274"/>
      <c r="N3239" s="274"/>
      <c r="P3239" s="275"/>
    </row>
    <row r="3240" ht="15.75" customHeight="1">
      <c r="B3240" s="282"/>
      <c r="H3240" s="273"/>
      <c r="I3240" s="274"/>
      <c r="J3240" s="274"/>
      <c r="K3240" s="274"/>
      <c r="L3240" s="274"/>
      <c r="M3240" s="274"/>
      <c r="N3240" s="274"/>
      <c r="P3240" s="275"/>
    </row>
    <row r="3241" ht="15.75" customHeight="1">
      <c r="B3241" s="282"/>
      <c r="H3241" s="273"/>
      <c r="I3241" s="274"/>
      <c r="J3241" s="274"/>
      <c r="K3241" s="274"/>
      <c r="L3241" s="274"/>
      <c r="M3241" s="274"/>
      <c r="N3241" s="274"/>
      <c r="P3241" s="275"/>
    </row>
    <row r="3242" ht="15.75" customHeight="1">
      <c r="B3242" s="282"/>
      <c r="H3242" s="273"/>
      <c r="I3242" s="274"/>
      <c r="J3242" s="274"/>
      <c r="K3242" s="274"/>
      <c r="L3242" s="274"/>
      <c r="M3242" s="274"/>
      <c r="N3242" s="274"/>
      <c r="P3242" s="275"/>
    </row>
    <row r="3243" ht="15.75" customHeight="1">
      <c r="B3243" s="282"/>
      <c r="H3243" s="273"/>
      <c r="I3243" s="274"/>
      <c r="J3243" s="274"/>
      <c r="K3243" s="274"/>
      <c r="L3243" s="274"/>
      <c r="M3243" s="274"/>
      <c r="N3243" s="274"/>
      <c r="P3243" s="275"/>
    </row>
    <row r="3244" ht="15.75" customHeight="1">
      <c r="B3244" s="282"/>
      <c r="H3244" s="273"/>
      <c r="I3244" s="274"/>
      <c r="J3244" s="274"/>
      <c r="K3244" s="274"/>
      <c r="L3244" s="274"/>
      <c r="M3244" s="274"/>
      <c r="N3244" s="274"/>
      <c r="P3244" s="275"/>
    </row>
    <row r="3245" ht="15.75" customHeight="1">
      <c r="B3245" s="282"/>
      <c r="H3245" s="273"/>
      <c r="I3245" s="274"/>
      <c r="J3245" s="274"/>
      <c r="K3245" s="274"/>
      <c r="L3245" s="274"/>
      <c r="M3245" s="274"/>
      <c r="N3245" s="274"/>
      <c r="P3245" s="275"/>
    </row>
    <row r="3246" ht="15.75" customHeight="1">
      <c r="B3246" s="282"/>
      <c r="H3246" s="273"/>
      <c r="I3246" s="274"/>
      <c r="J3246" s="274"/>
      <c r="K3246" s="274"/>
      <c r="L3246" s="274"/>
      <c r="M3246" s="274"/>
      <c r="N3246" s="274"/>
      <c r="P3246" s="275"/>
    </row>
    <row r="3247" ht="15.75" customHeight="1">
      <c r="B3247" s="282"/>
      <c r="H3247" s="273"/>
      <c r="I3247" s="274"/>
      <c r="J3247" s="274"/>
      <c r="K3247" s="274"/>
      <c r="L3247" s="274"/>
      <c r="M3247" s="274"/>
      <c r="N3247" s="274"/>
      <c r="P3247" s="275"/>
    </row>
    <row r="3248" ht="15.75" customHeight="1">
      <c r="B3248" s="282"/>
      <c r="H3248" s="273"/>
      <c r="I3248" s="274"/>
      <c r="J3248" s="274"/>
      <c r="K3248" s="274"/>
      <c r="L3248" s="274"/>
      <c r="M3248" s="274"/>
      <c r="N3248" s="274"/>
      <c r="P3248" s="275"/>
    </row>
    <row r="3249" ht="15.75" customHeight="1">
      <c r="B3249" s="282"/>
      <c r="H3249" s="273"/>
      <c r="I3249" s="274"/>
      <c r="J3249" s="274"/>
      <c r="K3249" s="274"/>
      <c r="L3249" s="274"/>
      <c r="M3249" s="274"/>
      <c r="N3249" s="274"/>
      <c r="P3249" s="275"/>
    </row>
    <row r="3250" ht="15.75" customHeight="1">
      <c r="B3250" s="282"/>
      <c r="H3250" s="273"/>
      <c r="I3250" s="274"/>
      <c r="J3250" s="274"/>
      <c r="K3250" s="274"/>
      <c r="L3250" s="274"/>
      <c r="M3250" s="274"/>
      <c r="N3250" s="274"/>
      <c r="P3250" s="275"/>
    </row>
    <row r="3251" ht="15.75" customHeight="1">
      <c r="B3251" s="282"/>
      <c r="H3251" s="273"/>
      <c r="I3251" s="274"/>
      <c r="J3251" s="274"/>
      <c r="K3251" s="274"/>
      <c r="L3251" s="274"/>
      <c r="M3251" s="274"/>
      <c r="N3251" s="274"/>
      <c r="P3251" s="275"/>
    </row>
    <row r="3252" ht="15.75" customHeight="1">
      <c r="B3252" s="282"/>
      <c r="H3252" s="273"/>
      <c r="I3252" s="274"/>
      <c r="J3252" s="274"/>
      <c r="K3252" s="274"/>
      <c r="L3252" s="274"/>
      <c r="M3252" s="274"/>
      <c r="N3252" s="274"/>
      <c r="P3252" s="275"/>
    </row>
    <row r="3253" ht="15.75" customHeight="1">
      <c r="B3253" s="282"/>
      <c r="H3253" s="273"/>
      <c r="I3253" s="274"/>
      <c r="J3253" s="274"/>
      <c r="K3253" s="274"/>
      <c r="L3253" s="274"/>
      <c r="M3253" s="274"/>
      <c r="N3253" s="274"/>
      <c r="P3253" s="275"/>
    </row>
    <row r="3254" ht="15.75" customHeight="1">
      <c r="B3254" s="282"/>
      <c r="H3254" s="273"/>
      <c r="I3254" s="274"/>
      <c r="J3254" s="274"/>
      <c r="K3254" s="274"/>
      <c r="L3254" s="274"/>
      <c r="M3254" s="274"/>
      <c r="N3254" s="274"/>
      <c r="P3254" s="275"/>
    </row>
    <row r="3255" ht="15.75" customHeight="1">
      <c r="B3255" s="282"/>
      <c r="H3255" s="273"/>
      <c r="I3255" s="274"/>
      <c r="J3255" s="274"/>
      <c r="K3255" s="274"/>
      <c r="L3255" s="274"/>
      <c r="M3255" s="274"/>
      <c r="N3255" s="274"/>
      <c r="P3255" s="275"/>
    </row>
    <row r="3256" ht="15.75" customHeight="1">
      <c r="B3256" s="282"/>
      <c r="H3256" s="273"/>
      <c r="I3256" s="274"/>
      <c r="J3256" s="274"/>
      <c r="K3256" s="274"/>
      <c r="L3256" s="274"/>
      <c r="M3256" s="274"/>
      <c r="N3256" s="274"/>
      <c r="P3256" s="275"/>
    </row>
    <row r="3257" ht="15.75" customHeight="1">
      <c r="B3257" s="282"/>
      <c r="H3257" s="273"/>
      <c r="I3257" s="274"/>
      <c r="J3257" s="274"/>
      <c r="K3257" s="274"/>
      <c r="L3257" s="274"/>
      <c r="M3257" s="274"/>
      <c r="N3257" s="274"/>
      <c r="P3257" s="275"/>
    </row>
    <row r="3258" ht="15.75" customHeight="1">
      <c r="B3258" s="282"/>
      <c r="H3258" s="273"/>
      <c r="I3258" s="274"/>
      <c r="J3258" s="274"/>
      <c r="K3258" s="274"/>
      <c r="L3258" s="274"/>
      <c r="M3258" s="274"/>
      <c r="N3258" s="274"/>
      <c r="P3258" s="275"/>
    </row>
    <row r="3259" ht="15.75" customHeight="1">
      <c r="B3259" s="282"/>
      <c r="H3259" s="273"/>
      <c r="I3259" s="274"/>
      <c r="J3259" s="274"/>
      <c r="K3259" s="274"/>
      <c r="L3259" s="274"/>
      <c r="M3259" s="274"/>
      <c r="N3259" s="274"/>
      <c r="P3259" s="275"/>
    </row>
    <row r="3260" ht="15.75" customHeight="1">
      <c r="B3260" s="282"/>
      <c r="H3260" s="273"/>
      <c r="I3260" s="274"/>
      <c r="J3260" s="274"/>
      <c r="K3260" s="274"/>
      <c r="L3260" s="274"/>
      <c r="M3260" s="274"/>
      <c r="N3260" s="274"/>
      <c r="P3260" s="275"/>
    </row>
    <row r="3261" ht="15.75" customHeight="1">
      <c r="B3261" s="282"/>
      <c r="H3261" s="273"/>
      <c r="I3261" s="274"/>
      <c r="J3261" s="274"/>
      <c r="K3261" s="274"/>
      <c r="L3261" s="274"/>
      <c r="M3261" s="274"/>
      <c r="N3261" s="274"/>
      <c r="P3261" s="275"/>
    </row>
    <row r="3262" ht="15.75" customHeight="1">
      <c r="B3262" s="282"/>
      <c r="H3262" s="273"/>
      <c r="I3262" s="274"/>
      <c r="J3262" s="274"/>
      <c r="K3262" s="274"/>
      <c r="L3262" s="274"/>
      <c r="M3262" s="274"/>
      <c r="N3262" s="274"/>
      <c r="P3262" s="275"/>
    </row>
    <row r="3263" ht="15.75" customHeight="1">
      <c r="B3263" s="282"/>
      <c r="H3263" s="273"/>
      <c r="I3263" s="274"/>
      <c r="J3263" s="274"/>
      <c r="K3263" s="274"/>
      <c r="L3263" s="274"/>
      <c r="M3263" s="274"/>
      <c r="N3263" s="274"/>
      <c r="P3263" s="275"/>
    </row>
    <row r="3264" ht="15.75" customHeight="1">
      <c r="B3264" s="282"/>
      <c r="H3264" s="273"/>
      <c r="I3264" s="274"/>
      <c r="J3264" s="274"/>
      <c r="K3264" s="274"/>
      <c r="L3264" s="274"/>
      <c r="M3264" s="274"/>
      <c r="N3264" s="274"/>
      <c r="P3264" s="275"/>
    </row>
    <row r="3265" ht="15.75" customHeight="1">
      <c r="B3265" s="282"/>
      <c r="H3265" s="273"/>
      <c r="I3265" s="274"/>
      <c r="J3265" s="274"/>
      <c r="K3265" s="274"/>
      <c r="L3265" s="274"/>
      <c r="M3265" s="274"/>
      <c r="N3265" s="274"/>
      <c r="P3265" s="275"/>
    </row>
    <row r="3266" ht="15.75" customHeight="1">
      <c r="B3266" s="282"/>
      <c r="H3266" s="273"/>
      <c r="I3266" s="274"/>
      <c r="J3266" s="274"/>
      <c r="K3266" s="274"/>
      <c r="L3266" s="274"/>
      <c r="M3266" s="274"/>
      <c r="N3266" s="274"/>
      <c r="P3266" s="275"/>
    </row>
    <row r="3267" ht="15.75" customHeight="1">
      <c r="B3267" s="282"/>
      <c r="H3267" s="273"/>
      <c r="I3267" s="274"/>
      <c r="J3267" s="274"/>
      <c r="K3267" s="274"/>
      <c r="L3267" s="274"/>
      <c r="M3267" s="274"/>
      <c r="N3267" s="274"/>
      <c r="P3267" s="275"/>
    </row>
    <row r="3268" ht="15.75" customHeight="1">
      <c r="B3268" s="282"/>
      <c r="H3268" s="273"/>
      <c r="I3268" s="274"/>
      <c r="J3268" s="274"/>
      <c r="K3268" s="274"/>
      <c r="L3268" s="274"/>
      <c r="M3268" s="274"/>
      <c r="N3268" s="274"/>
      <c r="P3268" s="275"/>
    </row>
    <row r="3269" ht="15.75" customHeight="1">
      <c r="B3269" s="282"/>
      <c r="H3269" s="273"/>
      <c r="I3269" s="274"/>
      <c r="J3269" s="274"/>
      <c r="K3269" s="274"/>
      <c r="L3269" s="274"/>
      <c r="M3269" s="274"/>
      <c r="N3269" s="274"/>
      <c r="P3269" s="275"/>
    </row>
    <row r="3270" ht="15.75" customHeight="1">
      <c r="B3270" s="282"/>
      <c r="H3270" s="273"/>
      <c r="I3270" s="274"/>
      <c r="J3270" s="274"/>
      <c r="K3270" s="274"/>
      <c r="L3270" s="274"/>
      <c r="M3270" s="274"/>
      <c r="N3270" s="274"/>
      <c r="P3270" s="275"/>
    </row>
    <row r="3271" ht="15.75" customHeight="1">
      <c r="B3271" s="282"/>
      <c r="H3271" s="273"/>
      <c r="I3271" s="274"/>
      <c r="J3271" s="274"/>
      <c r="K3271" s="274"/>
      <c r="L3271" s="274"/>
      <c r="M3271" s="274"/>
      <c r="N3271" s="274"/>
      <c r="P3271" s="275"/>
    </row>
    <row r="3272" ht="15.75" customHeight="1">
      <c r="B3272" s="282"/>
      <c r="H3272" s="273"/>
      <c r="I3272" s="274"/>
      <c r="J3272" s="274"/>
      <c r="K3272" s="274"/>
      <c r="L3272" s="274"/>
      <c r="M3272" s="274"/>
      <c r="N3272" s="274"/>
      <c r="P3272" s="275"/>
    </row>
    <row r="3273" ht="15.75" customHeight="1">
      <c r="B3273" s="282"/>
      <c r="H3273" s="273"/>
      <c r="I3273" s="274"/>
      <c r="J3273" s="274"/>
      <c r="K3273" s="274"/>
      <c r="L3273" s="274"/>
      <c r="M3273" s="274"/>
      <c r="N3273" s="274"/>
      <c r="P3273" s="275"/>
    </row>
    <row r="3274" ht="15.75" customHeight="1">
      <c r="B3274" s="282"/>
      <c r="H3274" s="273"/>
      <c r="I3274" s="274"/>
      <c r="J3274" s="274"/>
      <c r="K3274" s="274"/>
      <c r="L3274" s="274"/>
      <c r="M3274" s="274"/>
      <c r="N3274" s="274"/>
      <c r="P3274" s="275"/>
    </row>
    <row r="3275" ht="15.75" customHeight="1">
      <c r="B3275" s="282"/>
      <c r="H3275" s="273"/>
      <c r="I3275" s="274"/>
      <c r="J3275" s="274"/>
      <c r="K3275" s="274"/>
      <c r="L3275" s="274"/>
      <c r="M3275" s="274"/>
      <c r="N3275" s="274"/>
      <c r="P3275" s="275"/>
    </row>
    <row r="3276" ht="15.75" customHeight="1">
      <c r="B3276" s="282"/>
      <c r="H3276" s="273"/>
      <c r="I3276" s="274"/>
      <c r="J3276" s="274"/>
      <c r="K3276" s="274"/>
      <c r="L3276" s="274"/>
      <c r="M3276" s="274"/>
      <c r="N3276" s="274"/>
      <c r="P3276" s="275"/>
    </row>
    <row r="3277" ht="15.75" customHeight="1">
      <c r="B3277" s="282"/>
      <c r="H3277" s="273"/>
      <c r="I3277" s="274"/>
      <c r="J3277" s="274"/>
      <c r="K3277" s="274"/>
      <c r="L3277" s="274"/>
      <c r="M3277" s="274"/>
      <c r="N3277" s="274"/>
      <c r="P3277" s="275"/>
    </row>
    <row r="3278" ht="15.75" customHeight="1">
      <c r="B3278" s="282"/>
      <c r="H3278" s="273"/>
      <c r="I3278" s="274"/>
      <c r="J3278" s="274"/>
      <c r="K3278" s="274"/>
      <c r="L3278" s="274"/>
      <c r="M3278" s="274"/>
      <c r="N3278" s="274"/>
      <c r="P3278" s="275"/>
    </row>
    <row r="3279" ht="15.75" customHeight="1">
      <c r="B3279" s="282"/>
      <c r="H3279" s="273"/>
      <c r="I3279" s="274"/>
      <c r="J3279" s="274"/>
      <c r="K3279" s="274"/>
      <c r="L3279" s="274"/>
      <c r="M3279" s="274"/>
      <c r="N3279" s="274"/>
      <c r="P3279" s="275"/>
    </row>
    <row r="3280" ht="15.75" customHeight="1">
      <c r="B3280" s="282"/>
      <c r="H3280" s="273"/>
      <c r="I3280" s="274"/>
      <c r="J3280" s="274"/>
      <c r="K3280" s="274"/>
      <c r="L3280" s="274"/>
      <c r="M3280" s="274"/>
      <c r="N3280" s="274"/>
      <c r="P3280" s="275"/>
    </row>
    <row r="3281" ht="15.75" customHeight="1">
      <c r="B3281" s="282"/>
      <c r="H3281" s="273"/>
      <c r="I3281" s="274"/>
      <c r="J3281" s="274"/>
      <c r="K3281" s="274"/>
      <c r="L3281" s="274"/>
      <c r="M3281" s="274"/>
      <c r="N3281" s="274"/>
      <c r="P3281" s="275"/>
    </row>
    <row r="3282" ht="15.75" customHeight="1">
      <c r="B3282" s="282"/>
      <c r="H3282" s="273"/>
      <c r="I3282" s="274"/>
      <c r="J3282" s="274"/>
      <c r="K3282" s="274"/>
      <c r="L3282" s="274"/>
      <c r="M3282" s="274"/>
      <c r="N3282" s="274"/>
      <c r="P3282" s="275"/>
    </row>
    <row r="3283" ht="15.75" customHeight="1">
      <c r="B3283" s="282"/>
      <c r="H3283" s="273"/>
      <c r="I3283" s="274"/>
      <c r="J3283" s="274"/>
      <c r="K3283" s="274"/>
      <c r="L3283" s="274"/>
      <c r="M3283" s="274"/>
      <c r="N3283" s="274"/>
      <c r="P3283" s="275"/>
    </row>
    <row r="3284" ht="15.75" customHeight="1">
      <c r="B3284" s="282"/>
      <c r="H3284" s="273"/>
      <c r="I3284" s="274"/>
      <c r="J3284" s="274"/>
      <c r="K3284" s="274"/>
      <c r="L3284" s="274"/>
      <c r="M3284" s="274"/>
      <c r="N3284" s="274"/>
      <c r="P3284" s="275"/>
    </row>
    <row r="3285" ht="15.75" customHeight="1">
      <c r="B3285" s="282"/>
      <c r="H3285" s="273"/>
      <c r="I3285" s="274"/>
      <c r="J3285" s="274"/>
      <c r="K3285" s="274"/>
      <c r="L3285" s="274"/>
      <c r="M3285" s="274"/>
      <c r="N3285" s="274"/>
      <c r="P3285" s="275"/>
    </row>
    <row r="3286" ht="15.75" customHeight="1">
      <c r="B3286" s="282"/>
      <c r="H3286" s="273"/>
      <c r="I3286" s="274"/>
      <c r="J3286" s="274"/>
      <c r="K3286" s="274"/>
      <c r="L3286" s="274"/>
      <c r="M3286" s="274"/>
      <c r="N3286" s="274"/>
      <c r="P3286" s="275"/>
    </row>
    <row r="3287" ht="15.75" customHeight="1">
      <c r="B3287" s="282"/>
      <c r="H3287" s="273"/>
      <c r="I3287" s="274"/>
      <c r="J3287" s="274"/>
      <c r="K3287" s="274"/>
      <c r="L3287" s="274"/>
      <c r="M3287" s="274"/>
      <c r="N3287" s="274"/>
      <c r="P3287" s="275"/>
    </row>
    <row r="3288" ht="15.75" customHeight="1">
      <c r="B3288" s="282"/>
      <c r="H3288" s="273"/>
      <c r="I3288" s="274"/>
      <c r="J3288" s="274"/>
      <c r="K3288" s="274"/>
      <c r="L3288" s="274"/>
      <c r="M3288" s="274"/>
      <c r="N3288" s="274"/>
      <c r="P3288" s="275"/>
    </row>
    <row r="3289" ht="15.75" customHeight="1">
      <c r="B3289" s="282"/>
      <c r="H3289" s="273"/>
      <c r="I3289" s="274"/>
      <c r="J3289" s="274"/>
      <c r="K3289" s="274"/>
      <c r="L3289" s="274"/>
      <c r="M3289" s="274"/>
      <c r="N3289" s="274"/>
      <c r="P3289" s="275"/>
    </row>
    <row r="3290" ht="15.75" customHeight="1">
      <c r="B3290" s="282"/>
      <c r="H3290" s="273"/>
      <c r="I3290" s="274"/>
      <c r="J3290" s="274"/>
      <c r="K3290" s="274"/>
      <c r="L3290" s="274"/>
      <c r="M3290" s="274"/>
      <c r="N3290" s="274"/>
      <c r="P3290" s="275"/>
    </row>
    <row r="3291" ht="15.75" customHeight="1">
      <c r="B3291" s="282"/>
      <c r="H3291" s="273"/>
      <c r="I3291" s="274"/>
      <c r="J3291" s="274"/>
      <c r="K3291" s="274"/>
      <c r="L3291" s="274"/>
      <c r="M3291" s="274"/>
      <c r="N3291" s="274"/>
      <c r="P3291" s="275"/>
    </row>
    <row r="3292" ht="15.75" customHeight="1">
      <c r="B3292" s="282"/>
      <c r="H3292" s="273"/>
      <c r="I3292" s="274"/>
      <c r="J3292" s="274"/>
      <c r="K3292" s="274"/>
      <c r="L3292" s="274"/>
      <c r="M3292" s="274"/>
      <c r="N3292" s="274"/>
      <c r="P3292" s="275"/>
    </row>
    <row r="3293" ht="15.75" customHeight="1">
      <c r="B3293" s="282"/>
      <c r="H3293" s="273"/>
      <c r="I3293" s="274"/>
      <c r="J3293" s="274"/>
      <c r="K3293" s="274"/>
      <c r="L3293" s="274"/>
      <c r="M3293" s="274"/>
      <c r="N3293" s="274"/>
      <c r="P3293" s="275"/>
    </row>
    <row r="3294" ht="15.75" customHeight="1">
      <c r="B3294" s="282"/>
      <c r="H3294" s="273"/>
      <c r="I3294" s="274"/>
      <c r="J3294" s="274"/>
      <c r="K3294" s="274"/>
      <c r="L3294" s="274"/>
      <c r="M3294" s="274"/>
      <c r="N3294" s="274"/>
      <c r="P3294" s="275"/>
    </row>
    <row r="3295" ht="15.75" customHeight="1">
      <c r="B3295" s="282"/>
      <c r="H3295" s="273"/>
      <c r="I3295" s="274"/>
      <c r="J3295" s="274"/>
      <c r="K3295" s="274"/>
      <c r="L3295" s="274"/>
      <c r="M3295" s="274"/>
      <c r="N3295" s="274"/>
      <c r="P3295" s="275"/>
    </row>
    <row r="3296" ht="15.75" customHeight="1">
      <c r="B3296" s="282"/>
      <c r="H3296" s="273"/>
      <c r="I3296" s="274"/>
      <c r="J3296" s="274"/>
      <c r="K3296" s="274"/>
      <c r="L3296" s="274"/>
      <c r="M3296" s="274"/>
      <c r="N3296" s="274"/>
      <c r="P3296" s="275"/>
    </row>
    <row r="3297" ht="15.75" customHeight="1">
      <c r="B3297" s="282"/>
      <c r="H3297" s="273"/>
      <c r="I3297" s="274"/>
      <c r="J3297" s="274"/>
      <c r="K3297" s="274"/>
      <c r="L3297" s="274"/>
      <c r="M3297" s="274"/>
      <c r="N3297" s="274"/>
      <c r="P3297" s="275"/>
    </row>
    <row r="3298" ht="15.75" customHeight="1">
      <c r="B3298" s="282"/>
      <c r="H3298" s="273"/>
      <c r="I3298" s="274"/>
      <c r="J3298" s="274"/>
      <c r="K3298" s="274"/>
      <c r="L3298" s="274"/>
      <c r="M3298" s="274"/>
      <c r="N3298" s="274"/>
      <c r="P3298" s="275"/>
    </row>
    <row r="3299" ht="15.75" customHeight="1">
      <c r="B3299" s="282"/>
      <c r="H3299" s="273"/>
      <c r="I3299" s="274"/>
      <c r="J3299" s="274"/>
      <c r="K3299" s="274"/>
      <c r="L3299" s="274"/>
      <c r="M3299" s="274"/>
      <c r="N3299" s="274"/>
      <c r="P3299" s="275"/>
    </row>
    <row r="3300" ht="15.75" customHeight="1">
      <c r="B3300" s="282"/>
      <c r="H3300" s="273"/>
      <c r="I3300" s="274"/>
      <c r="J3300" s="274"/>
      <c r="K3300" s="274"/>
      <c r="L3300" s="274"/>
      <c r="M3300" s="274"/>
      <c r="N3300" s="274"/>
      <c r="P3300" s="275"/>
    </row>
    <row r="3301" ht="15.75" customHeight="1">
      <c r="B3301" s="282"/>
      <c r="H3301" s="273"/>
      <c r="I3301" s="274"/>
      <c r="J3301" s="274"/>
      <c r="K3301" s="274"/>
      <c r="L3301" s="274"/>
      <c r="M3301" s="274"/>
      <c r="N3301" s="274"/>
      <c r="P3301" s="275"/>
    </row>
    <row r="3302" ht="15.75" customHeight="1">
      <c r="B3302" s="282"/>
      <c r="H3302" s="273"/>
      <c r="I3302" s="274"/>
      <c r="J3302" s="274"/>
      <c r="K3302" s="274"/>
      <c r="L3302" s="274"/>
      <c r="M3302" s="274"/>
      <c r="N3302" s="274"/>
      <c r="P3302" s="275"/>
    </row>
    <row r="3303" ht="15.75" customHeight="1">
      <c r="B3303" s="282"/>
      <c r="H3303" s="273"/>
      <c r="I3303" s="274"/>
      <c r="J3303" s="274"/>
      <c r="K3303" s="274"/>
      <c r="L3303" s="274"/>
      <c r="M3303" s="274"/>
      <c r="N3303" s="274"/>
      <c r="P3303" s="275"/>
    </row>
    <row r="3304" ht="15.75" customHeight="1">
      <c r="B3304" s="282"/>
      <c r="H3304" s="273"/>
      <c r="I3304" s="274"/>
      <c r="J3304" s="274"/>
      <c r="K3304" s="274"/>
      <c r="L3304" s="274"/>
      <c r="M3304" s="274"/>
      <c r="N3304" s="274"/>
      <c r="P3304" s="275"/>
    </row>
    <row r="3305" ht="15.75" customHeight="1">
      <c r="B3305" s="282"/>
      <c r="H3305" s="273"/>
      <c r="I3305" s="274"/>
      <c r="J3305" s="274"/>
      <c r="K3305" s="274"/>
      <c r="L3305" s="274"/>
      <c r="M3305" s="274"/>
      <c r="N3305" s="274"/>
      <c r="P3305" s="275"/>
    </row>
    <row r="3306" ht="15.75" customHeight="1">
      <c r="B3306" s="282"/>
      <c r="H3306" s="273"/>
      <c r="I3306" s="274"/>
      <c r="J3306" s="274"/>
      <c r="K3306" s="274"/>
      <c r="L3306" s="274"/>
      <c r="M3306" s="274"/>
      <c r="N3306" s="274"/>
      <c r="P3306" s="275"/>
    </row>
    <row r="3307" ht="15.75" customHeight="1">
      <c r="B3307" s="282"/>
      <c r="H3307" s="273"/>
      <c r="I3307" s="274"/>
      <c r="J3307" s="274"/>
      <c r="K3307" s="274"/>
      <c r="L3307" s="274"/>
      <c r="M3307" s="274"/>
      <c r="N3307" s="274"/>
      <c r="P3307" s="275"/>
    </row>
    <row r="3308" ht="15.75" customHeight="1">
      <c r="B3308" s="282"/>
      <c r="H3308" s="273"/>
      <c r="I3308" s="274"/>
      <c r="J3308" s="274"/>
      <c r="K3308" s="274"/>
      <c r="L3308" s="274"/>
      <c r="M3308" s="274"/>
      <c r="N3308" s="274"/>
      <c r="P3308" s="275"/>
    </row>
    <row r="3309" ht="15.75" customHeight="1">
      <c r="B3309" s="282"/>
      <c r="H3309" s="273"/>
      <c r="I3309" s="274"/>
      <c r="J3309" s="274"/>
      <c r="K3309" s="274"/>
      <c r="L3309" s="274"/>
      <c r="M3309" s="274"/>
      <c r="N3309" s="274"/>
      <c r="P3309" s="275"/>
    </row>
    <row r="3310" ht="15.75" customHeight="1">
      <c r="B3310" s="282"/>
      <c r="H3310" s="273"/>
      <c r="I3310" s="274"/>
      <c r="J3310" s="274"/>
      <c r="K3310" s="274"/>
      <c r="L3310" s="274"/>
      <c r="M3310" s="274"/>
      <c r="N3310" s="274"/>
      <c r="P3310" s="275"/>
    </row>
    <row r="3311" ht="15.75" customHeight="1">
      <c r="B3311" s="282"/>
      <c r="H3311" s="273"/>
      <c r="I3311" s="274"/>
      <c r="J3311" s="274"/>
      <c r="K3311" s="274"/>
      <c r="L3311" s="274"/>
      <c r="M3311" s="274"/>
      <c r="N3311" s="274"/>
      <c r="P3311" s="275"/>
    </row>
    <row r="3312" ht="15.75" customHeight="1">
      <c r="B3312" s="282"/>
      <c r="H3312" s="273"/>
      <c r="I3312" s="274"/>
      <c r="J3312" s="274"/>
      <c r="K3312" s="274"/>
      <c r="L3312" s="274"/>
      <c r="M3312" s="274"/>
      <c r="N3312" s="274"/>
      <c r="P3312" s="275"/>
    </row>
    <row r="3313" ht="15.75" customHeight="1">
      <c r="B3313" s="282"/>
      <c r="H3313" s="273"/>
      <c r="I3313" s="274"/>
      <c r="J3313" s="274"/>
      <c r="K3313" s="274"/>
      <c r="L3313" s="274"/>
      <c r="M3313" s="274"/>
      <c r="N3313" s="274"/>
      <c r="P3313" s="275"/>
    </row>
    <row r="3314" ht="15.75" customHeight="1">
      <c r="B3314" s="282"/>
      <c r="H3314" s="273"/>
      <c r="I3314" s="274"/>
      <c r="J3314" s="274"/>
      <c r="K3314" s="274"/>
      <c r="L3314" s="274"/>
      <c r="M3314" s="274"/>
      <c r="N3314" s="274"/>
      <c r="P3314" s="275"/>
    </row>
    <row r="3315" ht="15.75" customHeight="1">
      <c r="B3315" s="282"/>
      <c r="H3315" s="273"/>
      <c r="I3315" s="274"/>
      <c r="J3315" s="274"/>
      <c r="K3315" s="274"/>
      <c r="L3315" s="274"/>
      <c r="M3315" s="274"/>
      <c r="N3315" s="274"/>
      <c r="P3315" s="275"/>
    </row>
    <row r="3316" ht="15.75" customHeight="1">
      <c r="B3316" s="282"/>
      <c r="H3316" s="273"/>
      <c r="I3316" s="274"/>
      <c r="J3316" s="274"/>
      <c r="K3316" s="274"/>
      <c r="L3316" s="274"/>
      <c r="M3316" s="274"/>
      <c r="N3316" s="274"/>
      <c r="P3316" s="275"/>
    </row>
    <row r="3317" ht="15.75" customHeight="1">
      <c r="B3317" s="282"/>
      <c r="H3317" s="273"/>
      <c r="I3317" s="274"/>
      <c r="J3317" s="274"/>
      <c r="K3317" s="274"/>
      <c r="L3317" s="274"/>
      <c r="M3317" s="274"/>
      <c r="N3317" s="274"/>
      <c r="P3317" s="275"/>
    </row>
    <row r="3318" ht="15.75" customHeight="1">
      <c r="B3318" s="282"/>
      <c r="H3318" s="273"/>
      <c r="I3318" s="274"/>
      <c r="J3318" s="274"/>
      <c r="K3318" s="274"/>
      <c r="L3318" s="274"/>
      <c r="M3318" s="274"/>
      <c r="N3318" s="274"/>
      <c r="P3318" s="275"/>
    </row>
    <row r="3319" ht="15.75" customHeight="1">
      <c r="B3319" s="282"/>
      <c r="H3319" s="273"/>
      <c r="I3319" s="274"/>
      <c r="J3319" s="274"/>
      <c r="K3319" s="274"/>
      <c r="L3319" s="274"/>
      <c r="M3319" s="274"/>
      <c r="N3319" s="274"/>
      <c r="P3319" s="275"/>
    </row>
    <row r="3320" ht="15.75" customHeight="1">
      <c r="B3320" s="282"/>
      <c r="H3320" s="273"/>
      <c r="I3320" s="274"/>
      <c r="J3320" s="274"/>
      <c r="K3320" s="274"/>
      <c r="L3320" s="274"/>
      <c r="M3320" s="274"/>
      <c r="N3320" s="274"/>
      <c r="P3320" s="275"/>
    </row>
    <row r="3321" ht="15.75" customHeight="1">
      <c r="B3321" s="282"/>
      <c r="H3321" s="273"/>
      <c r="I3321" s="274"/>
      <c r="J3321" s="274"/>
      <c r="K3321" s="274"/>
      <c r="L3321" s="274"/>
      <c r="M3321" s="274"/>
      <c r="N3321" s="274"/>
      <c r="P3321" s="275"/>
    </row>
    <row r="3322" ht="15.75" customHeight="1">
      <c r="B3322" s="282"/>
      <c r="H3322" s="273"/>
      <c r="I3322" s="274"/>
      <c r="J3322" s="274"/>
      <c r="K3322" s="274"/>
      <c r="L3322" s="274"/>
      <c r="M3322" s="274"/>
      <c r="N3322" s="274"/>
      <c r="P3322" s="275"/>
    </row>
    <row r="3323" ht="15.75" customHeight="1">
      <c r="B3323" s="282"/>
      <c r="H3323" s="273"/>
      <c r="I3323" s="274"/>
      <c r="J3323" s="274"/>
      <c r="K3323" s="274"/>
      <c r="L3323" s="274"/>
      <c r="M3323" s="274"/>
      <c r="N3323" s="274"/>
      <c r="P3323" s="275"/>
    </row>
    <row r="3324" ht="15.75" customHeight="1">
      <c r="B3324" s="282"/>
      <c r="H3324" s="273"/>
      <c r="I3324" s="274"/>
      <c r="J3324" s="274"/>
      <c r="K3324" s="274"/>
      <c r="L3324" s="274"/>
      <c r="M3324" s="274"/>
      <c r="N3324" s="274"/>
      <c r="P3324" s="275"/>
    </row>
    <row r="3325" ht="15.75" customHeight="1">
      <c r="B3325" s="282"/>
      <c r="H3325" s="273"/>
      <c r="I3325" s="274"/>
      <c r="J3325" s="274"/>
      <c r="K3325" s="274"/>
      <c r="L3325" s="274"/>
      <c r="M3325" s="274"/>
      <c r="N3325" s="274"/>
      <c r="P3325" s="275"/>
    </row>
    <row r="3326" ht="15.75" customHeight="1">
      <c r="B3326" s="282"/>
      <c r="H3326" s="273"/>
      <c r="I3326" s="274"/>
      <c r="J3326" s="274"/>
      <c r="K3326" s="274"/>
      <c r="L3326" s="274"/>
      <c r="M3326" s="274"/>
      <c r="N3326" s="274"/>
      <c r="P3326" s="275"/>
    </row>
    <row r="3327" ht="15.75" customHeight="1">
      <c r="B3327" s="282"/>
      <c r="H3327" s="273"/>
      <c r="I3327" s="274"/>
      <c r="J3327" s="274"/>
      <c r="K3327" s="274"/>
      <c r="L3327" s="274"/>
      <c r="M3327" s="274"/>
      <c r="N3327" s="274"/>
      <c r="P3327" s="275"/>
    </row>
    <row r="3328" ht="15.75" customHeight="1">
      <c r="B3328" s="282"/>
      <c r="H3328" s="273"/>
      <c r="I3328" s="274"/>
      <c r="J3328" s="274"/>
      <c r="K3328" s="274"/>
      <c r="L3328" s="274"/>
      <c r="M3328" s="274"/>
      <c r="N3328" s="274"/>
      <c r="P3328" s="275"/>
    </row>
    <row r="3329" ht="15.75" customHeight="1">
      <c r="B3329" s="282"/>
      <c r="H3329" s="273"/>
      <c r="I3329" s="274"/>
      <c r="J3329" s="274"/>
      <c r="K3329" s="274"/>
      <c r="L3329" s="274"/>
      <c r="M3329" s="274"/>
      <c r="N3329" s="274"/>
      <c r="P3329" s="275"/>
    </row>
    <row r="3330" ht="15.75" customHeight="1">
      <c r="B3330" s="282"/>
      <c r="H3330" s="273"/>
      <c r="I3330" s="274"/>
      <c r="J3330" s="274"/>
      <c r="K3330" s="274"/>
      <c r="L3330" s="274"/>
      <c r="M3330" s="274"/>
      <c r="N3330" s="274"/>
      <c r="P3330" s="275"/>
    </row>
    <row r="3331" ht="15.75" customHeight="1">
      <c r="B3331" s="282"/>
      <c r="H3331" s="273"/>
      <c r="I3331" s="274"/>
      <c r="J3331" s="274"/>
      <c r="K3331" s="274"/>
      <c r="L3331" s="274"/>
      <c r="M3331" s="274"/>
      <c r="N3331" s="274"/>
      <c r="P3331" s="275"/>
    </row>
    <row r="3332" ht="15.75" customHeight="1">
      <c r="B3332" s="282"/>
      <c r="H3332" s="273"/>
      <c r="I3332" s="274"/>
      <c r="J3332" s="274"/>
      <c r="K3332" s="274"/>
      <c r="L3332" s="274"/>
      <c r="M3332" s="274"/>
      <c r="N3332" s="274"/>
      <c r="P3332" s="275"/>
    </row>
    <row r="3333" ht="15.75" customHeight="1">
      <c r="B3333" s="282"/>
      <c r="H3333" s="273"/>
      <c r="I3333" s="274"/>
      <c r="J3333" s="274"/>
      <c r="K3333" s="274"/>
      <c r="L3333" s="274"/>
      <c r="M3333" s="274"/>
      <c r="N3333" s="274"/>
      <c r="P3333" s="275"/>
    </row>
    <row r="3334" ht="15.75" customHeight="1">
      <c r="B3334" s="282"/>
      <c r="H3334" s="273"/>
      <c r="I3334" s="274"/>
      <c r="J3334" s="274"/>
      <c r="K3334" s="274"/>
      <c r="L3334" s="274"/>
      <c r="M3334" s="274"/>
      <c r="N3334" s="274"/>
      <c r="P3334" s="275"/>
    </row>
    <row r="3335" ht="15.75" customHeight="1">
      <c r="B3335" s="282"/>
      <c r="H3335" s="273"/>
      <c r="I3335" s="274"/>
      <c r="J3335" s="274"/>
      <c r="K3335" s="274"/>
      <c r="L3335" s="274"/>
      <c r="M3335" s="274"/>
      <c r="N3335" s="274"/>
      <c r="P3335" s="275"/>
    </row>
    <row r="3336" ht="15.75" customHeight="1">
      <c r="B3336" s="282"/>
      <c r="H3336" s="273"/>
      <c r="I3336" s="274"/>
      <c r="J3336" s="274"/>
      <c r="K3336" s="274"/>
      <c r="L3336" s="274"/>
      <c r="M3336" s="274"/>
      <c r="N3336" s="274"/>
      <c r="P3336" s="275"/>
    </row>
    <row r="3337" ht="15.75" customHeight="1">
      <c r="B3337" s="282"/>
      <c r="H3337" s="273"/>
      <c r="I3337" s="274"/>
      <c r="J3337" s="274"/>
      <c r="K3337" s="274"/>
      <c r="L3337" s="274"/>
      <c r="M3337" s="274"/>
      <c r="N3337" s="274"/>
      <c r="P3337" s="275"/>
    </row>
    <row r="3338" ht="15.75" customHeight="1">
      <c r="B3338" s="282"/>
      <c r="H3338" s="273"/>
      <c r="I3338" s="274"/>
      <c r="J3338" s="274"/>
      <c r="K3338" s="274"/>
      <c r="L3338" s="274"/>
      <c r="M3338" s="274"/>
      <c r="N3338" s="274"/>
      <c r="P3338" s="275"/>
    </row>
    <row r="3339" ht="15.75" customHeight="1">
      <c r="B3339" s="282"/>
      <c r="H3339" s="273"/>
      <c r="I3339" s="274"/>
      <c r="J3339" s="274"/>
      <c r="K3339" s="274"/>
      <c r="L3339" s="274"/>
      <c r="M3339" s="274"/>
      <c r="N3339" s="274"/>
      <c r="P3339" s="275"/>
    </row>
    <row r="3340" ht="15.75" customHeight="1">
      <c r="B3340" s="282"/>
      <c r="H3340" s="273"/>
      <c r="I3340" s="274"/>
      <c r="J3340" s="274"/>
      <c r="K3340" s="274"/>
      <c r="L3340" s="274"/>
      <c r="M3340" s="274"/>
      <c r="N3340" s="274"/>
      <c r="P3340" s="275"/>
    </row>
    <row r="3341" ht="15.75" customHeight="1">
      <c r="B3341" s="282"/>
      <c r="H3341" s="273"/>
      <c r="I3341" s="274"/>
      <c r="J3341" s="274"/>
      <c r="K3341" s="274"/>
      <c r="L3341" s="274"/>
      <c r="M3341" s="274"/>
      <c r="N3341" s="274"/>
      <c r="P3341" s="275"/>
    </row>
    <row r="3342" ht="15.75" customHeight="1">
      <c r="B3342" s="282"/>
      <c r="H3342" s="273"/>
      <c r="I3342" s="274"/>
      <c r="J3342" s="274"/>
      <c r="K3342" s="274"/>
      <c r="L3342" s="274"/>
      <c r="M3342" s="274"/>
      <c r="N3342" s="274"/>
      <c r="P3342" s="275"/>
    </row>
    <row r="3343" ht="15.75" customHeight="1">
      <c r="B3343" s="282"/>
      <c r="H3343" s="273"/>
      <c r="I3343" s="274"/>
      <c r="J3343" s="274"/>
      <c r="K3343" s="274"/>
      <c r="L3343" s="274"/>
      <c r="M3343" s="274"/>
      <c r="N3343" s="274"/>
      <c r="P3343" s="275"/>
    </row>
    <row r="3344" ht="15.75" customHeight="1">
      <c r="B3344" s="282"/>
      <c r="H3344" s="273"/>
      <c r="I3344" s="274"/>
      <c r="J3344" s="274"/>
      <c r="K3344" s="274"/>
      <c r="L3344" s="274"/>
      <c r="M3344" s="274"/>
      <c r="N3344" s="274"/>
      <c r="P3344" s="275"/>
    </row>
    <row r="3345" ht="15.75" customHeight="1">
      <c r="B3345" s="282"/>
      <c r="H3345" s="273"/>
      <c r="I3345" s="274"/>
      <c r="J3345" s="274"/>
      <c r="K3345" s="274"/>
      <c r="L3345" s="274"/>
      <c r="M3345" s="274"/>
      <c r="N3345" s="274"/>
      <c r="P3345" s="275"/>
    </row>
    <row r="3346" ht="15.75" customHeight="1">
      <c r="B3346" s="282"/>
      <c r="H3346" s="273"/>
      <c r="I3346" s="274"/>
      <c r="J3346" s="274"/>
      <c r="K3346" s="274"/>
      <c r="L3346" s="274"/>
      <c r="M3346" s="274"/>
      <c r="N3346" s="274"/>
      <c r="P3346" s="275"/>
    </row>
    <row r="3347" ht="15.75" customHeight="1">
      <c r="B3347" s="282"/>
      <c r="H3347" s="273"/>
      <c r="I3347" s="274"/>
      <c r="J3347" s="274"/>
      <c r="K3347" s="274"/>
      <c r="L3347" s="274"/>
      <c r="M3347" s="274"/>
      <c r="N3347" s="274"/>
      <c r="P3347" s="275"/>
    </row>
    <row r="3348" ht="15.75" customHeight="1">
      <c r="B3348" s="282"/>
      <c r="H3348" s="273"/>
      <c r="I3348" s="274"/>
      <c r="J3348" s="274"/>
      <c r="K3348" s="274"/>
      <c r="L3348" s="274"/>
      <c r="M3348" s="274"/>
      <c r="N3348" s="274"/>
      <c r="P3348" s="275"/>
    </row>
    <row r="3349" ht="15.75" customHeight="1">
      <c r="B3349" s="282"/>
      <c r="H3349" s="273"/>
      <c r="I3349" s="274"/>
      <c r="J3349" s="274"/>
      <c r="K3349" s="274"/>
      <c r="L3349" s="274"/>
      <c r="M3349" s="274"/>
      <c r="N3349" s="274"/>
      <c r="P3349" s="275"/>
    </row>
    <row r="3350" ht="15.75" customHeight="1">
      <c r="B3350" s="282"/>
      <c r="H3350" s="273"/>
      <c r="I3350" s="274"/>
      <c r="J3350" s="274"/>
      <c r="K3350" s="274"/>
      <c r="L3350" s="274"/>
      <c r="M3350" s="274"/>
      <c r="N3350" s="274"/>
      <c r="P3350" s="275"/>
    </row>
    <row r="3351" ht="15.75" customHeight="1">
      <c r="B3351" s="282"/>
      <c r="H3351" s="273"/>
      <c r="I3351" s="274"/>
      <c r="J3351" s="274"/>
      <c r="K3351" s="274"/>
      <c r="L3351" s="274"/>
      <c r="M3351" s="274"/>
      <c r="N3351" s="274"/>
      <c r="P3351" s="275"/>
    </row>
    <row r="3352" ht="15.75" customHeight="1">
      <c r="B3352" s="282"/>
      <c r="H3352" s="273"/>
      <c r="I3352" s="274"/>
      <c r="J3352" s="274"/>
      <c r="K3352" s="274"/>
      <c r="L3352" s="274"/>
      <c r="M3352" s="274"/>
      <c r="N3352" s="274"/>
      <c r="P3352" s="275"/>
    </row>
    <row r="3353" ht="15.75" customHeight="1">
      <c r="B3353" s="282"/>
      <c r="H3353" s="273"/>
      <c r="I3353" s="274"/>
      <c r="J3353" s="274"/>
      <c r="K3353" s="274"/>
      <c r="L3353" s="274"/>
      <c r="M3353" s="274"/>
      <c r="N3353" s="274"/>
      <c r="P3353" s="275"/>
    </row>
    <row r="3354" ht="15.75" customHeight="1">
      <c r="B3354" s="282"/>
      <c r="H3354" s="273"/>
      <c r="I3354" s="274"/>
      <c r="J3354" s="274"/>
      <c r="K3354" s="274"/>
      <c r="L3354" s="274"/>
      <c r="M3354" s="274"/>
      <c r="N3354" s="274"/>
      <c r="P3354" s="275"/>
    </row>
    <row r="3355" ht="15.75" customHeight="1">
      <c r="B3355" s="282"/>
      <c r="H3355" s="273"/>
      <c r="I3355" s="274"/>
      <c r="J3355" s="274"/>
      <c r="K3355" s="274"/>
      <c r="L3355" s="274"/>
      <c r="M3355" s="274"/>
      <c r="N3355" s="274"/>
      <c r="P3355" s="275"/>
    </row>
    <row r="3356" ht="15.75" customHeight="1">
      <c r="B3356" s="282"/>
      <c r="H3356" s="273"/>
      <c r="I3356" s="274"/>
      <c r="J3356" s="274"/>
      <c r="K3356" s="274"/>
      <c r="L3356" s="274"/>
      <c r="M3356" s="274"/>
      <c r="N3356" s="274"/>
      <c r="P3356" s="275"/>
    </row>
    <row r="3357" ht="15.75" customHeight="1">
      <c r="B3357" s="282"/>
      <c r="H3357" s="273"/>
      <c r="I3357" s="274"/>
      <c r="J3357" s="274"/>
      <c r="K3357" s="274"/>
      <c r="L3357" s="274"/>
      <c r="M3357" s="274"/>
      <c r="N3357" s="274"/>
      <c r="P3357" s="275"/>
    </row>
    <row r="3358" ht="15.75" customHeight="1">
      <c r="B3358" s="282"/>
      <c r="H3358" s="273"/>
      <c r="I3358" s="274"/>
      <c r="J3358" s="274"/>
      <c r="K3358" s="274"/>
      <c r="L3358" s="274"/>
      <c r="M3358" s="274"/>
      <c r="N3358" s="274"/>
      <c r="P3358" s="275"/>
    </row>
    <row r="3359" ht="15.75" customHeight="1">
      <c r="B3359" s="282"/>
      <c r="H3359" s="273"/>
      <c r="I3359" s="274"/>
      <c r="J3359" s="274"/>
      <c r="K3359" s="274"/>
      <c r="L3359" s="274"/>
      <c r="M3359" s="274"/>
      <c r="N3359" s="274"/>
      <c r="P3359" s="275"/>
    </row>
    <row r="3360" ht="15.75" customHeight="1">
      <c r="B3360" s="282"/>
      <c r="H3360" s="273"/>
      <c r="I3360" s="274"/>
      <c r="J3360" s="274"/>
      <c r="K3360" s="274"/>
      <c r="L3360" s="274"/>
      <c r="M3360" s="274"/>
      <c r="N3360" s="274"/>
      <c r="P3360" s="275"/>
    </row>
    <row r="3361" ht="15.75" customHeight="1">
      <c r="B3361" s="282"/>
      <c r="H3361" s="273"/>
      <c r="I3361" s="274"/>
      <c r="J3361" s="274"/>
      <c r="K3361" s="274"/>
      <c r="L3361" s="274"/>
      <c r="M3361" s="274"/>
      <c r="N3361" s="274"/>
      <c r="P3361" s="275"/>
    </row>
    <row r="3362" ht="15.75" customHeight="1">
      <c r="B3362" s="282"/>
      <c r="H3362" s="273"/>
      <c r="I3362" s="274"/>
      <c r="J3362" s="274"/>
      <c r="K3362" s="274"/>
      <c r="L3362" s="274"/>
      <c r="M3362" s="274"/>
      <c r="N3362" s="274"/>
      <c r="P3362" s="275"/>
    </row>
    <row r="3363" ht="15.75" customHeight="1">
      <c r="B3363" s="282"/>
      <c r="H3363" s="273"/>
      <c r="I3363" s="274"/>
      <c r="J3363" s="274"/>
      <c r="K3363" s="274"/>
      <c r="L3363" s="274"/>
      <c r="M3363" s="274"/>
      <c r="N3363" s="274"/>
      <c r="P3363" s="275"/>
    </row>
    <row r="3364" ht="15.75" customHeight="1">
      <c r="B3364" s="282"/>
      <c r="H3364" s="273"/>
      <c r="I3364" s="274"/>
      <c r="J3364" s="274"/>
      <c r="K3364" s="274"/>
      <c r="L3364" s="274"/>
      <c r="M3364" s="274"/>
      <c r="N3364" s="274"/>
      <c r="P3364" s="275"/>
    </row>
    <row r="3365" ht="15.75" customHeight="1">
      <c r="B3365" s="282"/>
      <c r="H3365" s="273"/>
      <c r="I3365" s="274"/>
      <c r="J3365" s="274"/>
      <c r="K3365" s="274"/>
      <c r="L3365" s="274"/>
      <c r="M3365" s="274"/>
      <c r="N3365" s="274"/>
      <c r="P3365" s="275"/>
    </row>
    <row r="3366" ht="15.75" customHeight="1">
      <c r="B3366" s="282"/>
      <c r="H3366" s="273"/>
      <c r="I3366" s="274"/>
      <c r="J3366" s="274"/>
      <c r="K3366" s="274"/>
      <c r="L3366" s="274"/>
      <c r="M3366" s="274"/>
      <c r="N3366" s="274"/>
      <c r="P3366" s="275"/>
    </row>
    <row r="3367" ht="15.75" customHeight="1">
      <c r="B3367" s="282"/>
      <c r="H3367" s="273"/>
      <c r="I3367" s="274"/>
      <c r="J3367" s="274"/>
      <c r="K3367" s="274"/>
      <c r="L3367" s="274"/>
      <c r="M3367" s="274"/>
      <c r="N3367" s="274"/>
      <c r="P3367" s="275"/>
    </row>
    <row r="3368" ht="15.75" customHeight="1">
      <c r="B3368" s="282"/>
      <c r="H3368" s="273"/>
      <c r="I3368" s="274"/>
      <c r="J3368" s="274"/>
      <c r="K3368" s="274"/>
      <c r="L3368" s="274"/>
      <c r="M3368" s="274"/>
      <c r="N3368" s="274"/>
      <c r="P3368" s="275"/>
    </row>
    <row r="3369" ht="15.75" customHeight="1">
      <c r="B3369" s="282"/>
      <c r="H3369" s="273"/>
      <c r="I3369" s="274"/>
      <c r="J3369" s="274"/>
      <c r="K3369" s="274"/>
      <c r="L3369" s="274"/>
      <c r="M3369" s="274"/>
      <c r="N3369" s="274"/>
      <c r="P3369" s="275"/>
    </row>
    <row r="3370" ht="15.75" customHeight="1">
      <c r="B3370" s="282"/>
      <c r="H3370" s="273"/>
      <c r="I3370" s="274"/>
      <c r="J3370" s="274"/>
      <c r="K3370" s="274"/>
      <c r="L3370" s="274"/>
      <c r="M3370" s="274"/>
      <c r="N3370" s="274"/>
      <c r="P3370" s="275"/>
    </row>
    <row r="3371" ht="15.75" customHeight="1">
      <c r="B3371" s="282"/>
      <c r="H3371" s="273"/>
      <c r="I3371" s="274"/>
      <c r="J3371" s="274"/>
      <c r="K3371" s="274"/>
      <c r="L3371" s="274"/>
      <c r="M3371" s="274"/>
      <c r="N3371" s="274"/>
      <c r="P3371" s="275"/>
    </row>
    <row r="3372" ht="15.75" customHeight="1">
      <c r="B3372" s="282"/>
      <c r="H3372" s="273"/>
      <c r="I3372" s="274"/>
      <c r="J3372" s="274"/>
      <c r="K3372" s="274"/>
      <c r="L3372" s="274"/>
      <c r="M3372" s="274"/>
      <c r="N3372" s="274"/>
      <c r="P3372" s="275"/>
    </row>
    <row r="3373" ht="15.75" customHeight="1">
      <c r="B3373" s="282"/>
      <c r="H3373" s="273"/>
      <c r="I3373" s="274"/>
      <c r="J3373" s="274"/>
      <c r="K3373" s="274"/>
      <c r="L3373" s="274"/>
      <c r="M3373" s="274"/>
      <c r="N3373" s="274"/>
      <c r="P3373" s="275"/>
    </row>
    <row r="3374" ht="15.75" customHeight="1">
      <c r="B3374" s="282"/>
      <c r="H3374" s="273"/>
      <c r="I3374" s="274"/>
      <c r="J3374" s="274"/>
      <c r="K3374" s="274"/>
      <c r="L3374" s="274"/>
      <c r="M3374" s="274"/>
      <c r="N3374" s="274"/>
      <c r="P3374" s="275"/>
    </row>
    <row r="3375" ht="15.75" customHeight="1">
      <c r="B3375" s="282"/>
      <c r="H3375" s="273"/>
      <c r="I3375" s="274"/>
      <c r="J3375" s="274"/>
      <c r="K3375" s="274"/>
      <c r="L3375" s="274"/>
      <c r="M3375" s="274"/>
      <c r="N3375" s="274"/>
      <c r="P3375" s="275"/>
    </row>
    <row r="3376" ht="15.75" customHeight="1">
      <c r="B3376" s="282"/>
      <c r="H3376" s="273"/>
      <c r="I3376" s="274"/>
      <c r="J3376" s="274"/>
      <c r="K3376" s="274"/>
      <c r="L3376" s="274"/>
      <c r="M3376" s="274"/>
      <c r="N3376" s="274"/>
      <c r="P3376" s="275"/>
    </row>
    <row r="3377" ht="15.75" customHeight="1">
      <c r="B3377" s="282"/>
      <c r="H3377" s="273"/>
      <c r="I3377" s="274"/>
      <c r="J3377" s="274"/>
      <c r="K3377" s="274"/>
      <c r="L3377" s="274"/>
      <c r="M3377" s="274"/>
      <c r="N3377" s="274"/>
      <c r="P3377" s="275"/>
    </row>
    <row r="3378" ht="15.75" customHeight="1">
      <c r="B3378" s="282"/>
      <c r="H3378" s="273"/>
      <c r="I3378" s="274"/>
      <c r="J3378" s="274"/>
      <c r="K3378" s="274"/>
      <c r="L3378" s="274"/>
      <c r="M3378" s="274"/>
      <c r="N3378" s="274"/>
      <c r="P3378" s="275"/>
    </row>
    <row r="3379" ht="15.75" customHeight="1">
      <c r="B3379" s="282"/>
      <c r="H3379" s="273"/>
      <c r="I3379" s="274"/>
      <c r="J3379" s="274"/>
      <c r="K3379" s="274"/>
      <c r="L3379" s="274"/>
      <c r="M3379" s="274"/>
      <c r="N3379" s="274"/>
      <c r="P3379" s="275"/>
    </row>
    <row r="3380" ht="15.75" customHeight="1">
      <c r="B3380" s="282"/>
      <c r="H3380" s="273"/>
      <c r="I3380" s="274"/>
      <c r="J3380" s="274"/>
      <c r="K3380" s="274"/>
      <c r="L3380" s="274"/>
      <c r="M3380" s="274"/>
      <c r="N3380" s="274"/>
      <c r="P3380" s="275"/>
    </row>
    <row r="3381" ht="15.75" customHeight="1">
      <c r="B3381" s="282"/>
      <c r="H3381" s="273"/>
      <c r="I3381" s="274"/>
      <c r="J3381" s="274"/>
      <c r="K3381" s="274"/>
      <c r="L3381" s="274"/>
      <c r="M3381" s="274"/>
      <c r="N3381" s="274"/>
      <c r="P3381" s="275"/>
    </row>
    <row r="3382" ht="15.75" customHeight="1">
      <c r="B3382" s="282"/>
      <c r="H3382" s="273"/>
      <c r="I3382" s="274"/>
      <c r="J3382" s="274"/>
      <c r="K3382" s="274"/>
      <c r="L3382" s="274"/>
      <c r="M3382" s="274"/>
      <c r="N3382" s="274"/>
      <c r="P3382" s="275"/>
    </row>
    <row r="3383" ht="15.75" customHeight="1">
      <c r="B3383" s="282"/>
      <c r="H3383" s="273"/>
      <c r="I3383" s="274"/>
      <c r="J3383" s="274"/>
      <c r="K3383" s="274"/>
      <c r="L3383" s="274"/>
      <c r="M3383" s="274"/>
      <c r="N3383" s="274"/>
      <c r="P3383" s="275"/>
    </row>
    <row r="3384" ht="15.75" customHeight="1">
      <c r="B3384" s="282"/>
      <c r="H3384" s="273"/>
      <c r="I3384" s="274"/>
      <c r="J3384" s="274"/>
      <c r="K3384" s="274"/>
      <c r="L3384" s="274"/>
      <c r="M3384" s="274"/>
      <c r="N3384" s="274"/>
      <c r="P3384" s="275"/>
    </row>
    <row r="3385" ht="15.75" customHeight="1">
      <c r="B3385" s="282"/>
      <c r="H3385" s="273"/>
      <c r="I3385" s="274"/>
      <c r="J3385" s="274"/>
      <c r="K3385" s="274"/>
      <c r="L3385" s="274"/>
      <c r="M3385" s="274"/>
      <c r="N3385" s="274"/>
      <c r="P3385" s="275"/>
    </row>
    <row r="3386" ht="15.75" customHeight="1">
      <c r="B3386" s="282"/>
      <c r="H3386" s="273"/>
      <c r="I3386" s="274"/>
      <c r="J3386" s="274"/>
      <c r="K3386" s="274"/>
      <c r="L3386" s="274"/>
      <c r="M3386" s="274"/>
      <c r="N3386" s="274"/>
      <c r="P3386" s="275"/>
    </row>
    <row r="3387" ht="15.75" customHeight="1">
      <c r="B3387" s="282"/>
      <c r="H3387" s="273"/>
      <c r="I3387" s="274"/>
      <c r="J3387" s="274"/>
      <c r="K3387" s="274"/>
      <c r="L3387" s="274"/>
      <c r="M3387" s="274"/>
      <c r="N3387" s="274"/>
      <c r="P3387" s="275"/>
    </row>
    <row r="3388" ht="15.75" customHeight="1">
      <c r="B3388" s="282"/>
      <c r="H3388" s="273"/>
      <c r="I3388" s="274"/>
      <c r="J3388" s="274"/>
      <c r="K3388" s="274"/>
      <c r="L3388" s="274"/>
      <c r="M3388" s="274"/>
      <c r="N3388" s="274"/>
      <c r="P3388" s="275"/>
    </row>
    <row r="3389" ht="15.75" customHeight="1">
      <c r="B3389" s="282"/>
      <c r="H3389" s="273"/>
      <c r="I3389" s="274"/>
      <c r="J3389" s="274"/>
      <c r="K3389" s="274"/>
      <c r="L3389" s="274"/>
      <c r="M3389" s="274"/>
      <c r="N3389" s="274"/>
      <c r="P3389" s="275"/>
    </row>
    <row r="3390" ht="15.75" customHeight="1">
      <c r="B3390" s="282"/>
      <c r="H3390" s="273"/>
      <c r="I3390" s="274"/>
      <c r="J3390" s="274"/>
      <c r="K3390" s="274"/>
      <c r="L3390" s="274"/>
      <c r="M3390" s="274"/>
      <c r="N3390" s="274"/>
      <c r="P3390" s="275"/>
    </row>
    <row r="3391" ht="15.75" customHeight="1">
      <c r="B3391" s="282"/>
      <c r="H3391" s="273"/>
      <c r="I3391" s="274"/>
      <c r="J3391" s="274"/>
      <c r="K3391" s="274"/>
      <c r="L3391" s="274"/>
      <c r="M3391" s="274"/>
      <c r="N3391" s="274"/>
      <c r="P3391" s="275"/>
    </row>
    <row r="3392" ht="15.75" customHeight="1">
      <c r="B3392" s="282"/>
      <c r="H3392" s="273"/>
      <c r="I3392" s="274"/>
      <c r="J3392" s="274"/>
      <c r="K3392" s="274"/>
      <c r="L3392" s="274"/>
      <c r="M3392" s="274"/>
      <c r="N3392" s="274"/>
      <c r="P3392" s="275"/>
    </row>
    <row r="3393" ht="15.75" customHeight="1">
      <c r="B3393" s="282"/>
      <c r="H3393" s="273"/>
      <c r="I3393" s="274"/>
      <c r="J3393" s="274"/>
      <c r="K3393" s="274"/>
      <c r="L3393" s="274"/>
      <c r="M3393" s="274"/>
      <c r="N3393" s="274"/>
      <c r="P3393" s="275"/>
    </row>
    <row r="3394" ht="15.75" customHeight="1">
      <c r="B3394" s="282"/>
      <c r="H3394" s="273"/>
      <c r="I3394" s="274"/>
      <c r="J3394" s="274"/>
      <c r="K3394" s="274"/>
      <c r="L3394" s="274"/>
      <c r="M3394" s="274"/>
      <c r="N3394" s="274"/>
      <c r="P3394" s="275"/>
    </row>
    <row r="3395" ht="15.75" customHeight="1">
      <c r="B3395" s="282"/>
      <c r="H3395" s="273"/>
      <c r="I3395" s="274"/>
      <c r="J3395" s="274"/>
      <c r="K3395" s="274"/>
      <c r="L3395" s="274"/>
      <c r="M3395" s="274"/>
      <c r="N3395" s="274"/>
      <c r="P3395" s="275"/>
    </row>
    <row r="3396" ht="15.75" customHeight="1">
      <c r="B3396" s="282"/>
      <c r="H3396" s="273"/>
      <c r="I3396" s="274"/>
      <c r="J3396" s="274"/>
      <c r="K3396" s="274"/>
      <c r="L3396" s="274"/>
      <c r="M3396" s="274"/>
      <c r="N3396" s="274"/>
      <c r="P3396" s="275"/>
    </row>
    <row r="3397" ht="15.75" customHeight="1">
      <c r="B3397" s="282"/>
      <c r="H3397" s="273"/>
      <c r="I3397" s="274"/>
      <c r="J3397" s="274"/>
      <c r="K3397" s="274"/>
      <c r="L3397" s="274"/>
      <c r="M3397" s="274"/>
      <c r="N3397" s="274"/>
      <c r="P3397" s="275"/>
    </row>
    <row r="3398" ht="15.75" customHeight="1">
      <c r="B3398" s="282"/>
      <c r="H3398" s="273"/>
      <c r="I3398" s="274"/>
      <c r="J3398" s="274"/>
      <c r="K3398" s="274"/>
      <c r="L3398" s="274"/>
      <c r="M3398" s="274"/>
      <c r="N3398" s="274"/>
      <c r="P3398" s="275"/>
    </row>
    <row r="3399" ht="15.75" customHeight="1">
      <c r="B3399" s="282"/>
      <c r="H3399" s="273"/>
      <c r="I3399" s="274"/>
      <c r="J3399" s="274"/>
      <c r="K3399" s="274"/>
      <c r="L3399" s="274"/>
      <c r="M3399" s="274"/>
      <c r="N3399" s="274"/>
      <c r="P3399" s="275"/>
    </row>
    <row r="3400" ht="15.75" customHeight="1">
      <c r="B3400" s="282"/>
      <c r="H3400" s="273"/>
      <c r="I3400" s="274"/>
      <c r="J3400" s="274"/>
      <c r="K3400" s="274"/>
      <c r="L3400" s="274"/>
      <c r="M3400" s="274"/>
      <c r="N3400" s="274"/>
      <c r="P3400" s="275"/>
    </row>
    <row r="3401" ht="15.75" customHeight="1">
      <c r="B3401" s="282"/>
      <c r="H3401" s="273"/>
      <c r="I3401" s="274"/>
      <c r="J3401" s="274"/>
      <c r="K3401" s="274"/>
      <c r="L3401" s="274"/>
      <c r="M3401" s="274"/>
      <c r="N3401" s="274"/>
      <c r="P3401" s="275"/>
    </row>
    <row r="3402" ht="15.75" customHeight="1">
      <c r="B3402" s="282"/>
      <c r="H3402" s="273"/>
      <c r="I3402" s="274"/>
      <c r="J3402" s="274"/>
      <c r="K3402" s="274"/>
      <c r="L3402" s="274"/>
      <c r="M3402" s="274"/>
      <c r="N3402" s="274"/>
      <c r="P3402" s="275"/>
    </row>
    <row r="3403" ht="15.75" customHeight="1">
      <c r="B3403" s="282"/>
      <c r="H3403" s="273"/>
      <c r="I3403" s="274"/>
      <c r="J3403" s="274"/>
      <c r="K3403" s="274"/>
      <c r="L3403" s="274"/>
      <c r="M3403" s="274"/>
      <c r="N3403" s="274"/>
      <c r="P3403" s="275"/>
    </row>
    <row r="3404" ht="15.75" customHeight="1">
      <c r="B3404" s="282"/>
      <c r="H3404" s="273"/>
      <c r="I3404" s="274"/>
      <c r="J3404" s="274"/>
      <c r="K3404" s="274"/>
      <c r="L3404" s="274"/>
      <c r="M3404" s="274"/>
      <c r="N3404" s="274"/>
      <c r="P3404" s="275"/>
    </row>
    <row r="3405" ht="15.75" customHeight="1">
      <c r="B3405" s="282"/>
      <c r="H3405" s="273"/>
      <c r="I3405" s="274"/>
      <c r="J3405" s="274"/>
      <c r="K3405" s="274"/>
      <c r="L3405" s="274"/>
      <c r="M3405" s="274"/>
      <c r="N3405" s="274"/>
      <c r="P3405" s="275"/>
    </row>
    <row r="3406" ht="15.75" customHeight="1">
      <c r="B3406" s="282"/>
      <c r="H3406" s="273"/>
      <c r="I3406" s="274"/>
      <c r="J3406" s="274"/>
      <c r="K3406" s="274"/>
      <c r="L3406" s="274"/>
      <c r="M3406" s="274"/>
      <c r="N3406" s="274"/>
      <c r="P3406" s="275"/>
    </row>
    <row r="3407" ht="15.75" customHeight="1">
      <c r="B3407" s="282"/>
      <c r="H3407" s="273"/>
      <c r="I3407" s="274"/>
      <c r="J3407" s="274"/>
      <c r="K3407" s="274"/>
      <c r="L3407" s="274"/>
      <c r="M3407" s="274"/>
      <c r="N3407" s="274"/>
      <c r="P3407" s="275"/>
    </row>
    <row r="3408" ht="15.75" customHeight="1">
      <c r="B3408" s="282"/>
      <c r="H3408" s="273"/>
      <c r="I3408" s="274"/>
      <c r="J3408" s="274"/>
      <c r="K3408" s="274"/>
      <c r="L3408" s="274"/>
      <c r="M3408" s="274"/>
      <c r="N3408" s="274"/>
      <c r="P3408" s="275"/>
    </row>
    <row r="3409" ht="15.75" customHeight="1">
      <c r="B3409" s="282"/>
      <c r="H3409" s="273"/>
      <c r="I3409" s="274"/>
      <c r="J3409" s="274"/>
      <c r="K3409" s="274"/>
      <c r="L3409" s="274"/>
      <c r="M3409" s="274"/>
      <c r="N3409" s="274"/>
      <c r="P3409" s="275"/>
    </row>
    <row r="3410" ht="15.75" customHeight="1">
      <c r="B3410" s="282"/>
      <c r="H3410" s="273"/>
      <c r="I3410" s="274"/>
      <c r="J3410" s="274"/>
      <c r="K3410" s="274"/>
      <c r="L3410" s="274"/>
      <c r="M3410" s="274"/>
      <c r="N3410" s="274"/>
      <c r="P3410" s="275"/>
    </row>
    <row r="3411" ht="15.75" customHeight="1">
      <c r="B3411" s="282"/>
      <c r="H3411" s="273"/>
      <c r="I3411" s="274"/>
      <c r="J3411" s="274"/>
      <c r="K3411" s="274"/>
      <c r="L3411" s="274"/>
      <c r="M3411" s="274"/>
      <c r="N3411" s="274"/>
      <c r="P3411" s="275"/>
    </row>
    <row r="3412" ht="15.75" customHeight="1">
      <c r="B3412" s="282"/>
      <c r="H3412" s="273"/>
      <c r="I3412" s="274"/>
      <c r="J3412" s="274"/>
      <c r="K3412" s="274"/>
      <c r="L3412" s="274"/>
      <c r="M3412" s="274"/>
      <c r="N3412" s="274"/>
      <c r="P3412" s="275"/>
    </row>
    <row r="3413" ht="15.75" customHeight="1">
      <c r="B3413" s="282"/>
      <c r="H3413" s="273"/>
      <c r="I3413" s="274"/>
      <c r="J3413" s="274"/>
      <c r="K3413" s="274"/>
      <c r="L3413" s="274"/>
      <c r="M3413" s="274"/>
      <c r="N3413" s="274"/>
      <c r="P3413" s="275"/>
    </row>
    <row r="3414" ht="15.75" customHeight="1">
      <c r="B3414" s="282"/>
      <c r="H3414" s="273"/>
      <c r="I3414" s="274"/>
      <c r="J3414" s="274"/>
      <c r="K3414" s="274"/>
      <c r="L3414" s="274"/>
      <c r="M3414" s="274"/>
      <c r="N3414" s="274"/>
      <c r="P3414" s="275"/>
    </row>
    <row r="3415" ht="15.75" customHeight="1">
      <c r="B3415" s="282"/>
      <c r="H3415" s="273"/>
      <c r="I3415" s="274"/>
      <c r="J3415" s="274"/>
      <c r="K3415" s="274"/>
      <c r="L3415" s="274"/>
      <c r="M3415" s="274"/>
      <c r="N3415" s="274"/>
      <c r="P3415" s="275"/>
    </row>
    <row r="3416" ht="15.75" customHeight="1">
      <c r="B3416" s="282"/>
      <c r="H3416" s="273"/>
      <c r="I3416" s="274"/>
      <c r="J3416" s="274"/>
      <c r="K3416" s="274"/>
      <c r="L3416" s="274"/>
      <c r="M3416" s="274"/>
      <c r="N3416" s="274"/>
      <c r="P3416" s="275"/>
    </row>
    <row r="3417" ht="15.75" customHeight="1">
      <c r="B3417" s="282"/>
      <c r="H3417" s="273"/>
      <c r="I3417" s="274"/>
      <c r="J3417" s="274"/>
      <c r="K3417" s="274"/>
      <c r="L3417" s="274"/>
      <c r="M3417" s="274"/>
      <c r="N3417" s="274"/>
      <c r="P3417" s="275"/>
    </row>
    <row r="3418" ht="15.75" customHeight="1">
      <c r="B3418" s="282"/>
      <c r="H3418" s="273"/>
      <c r="I3418" s="274"/>
      <c r="J3418" s="274"/>
      <c r="K3418" s="274"/>
      <c r="L3418" s="274"/>
      <c r="M3418" s="274"/>
      <c r="N3418" s="274"/>
      <c r="P3418" s="275"/>
    </row>
    <row r="3419" ht="15.75" customHeight="1">
      <c r="B3419" s="282"/>
      <c r="H3419" s="273"/>
      <c r="I3419" s="274"/>
      <c r="J3419" s="274"/>
      <c r="K3419" s="274"/>
      <c r="L3419" s="274"/>
      <c r="M3419" s="274"/>
      <c r="N3419" s="274"/>
      <c r="P3419" s="275"/>
    </row>
    <row r="3420" ht="15.75" customHeight="1">
      <c r="B3420" s="282"/>
      <c r="H3420" s="273"/>
      <c r="I3420" s="274"/>
      <c r="J3420" s="274"/>
      <c r="K3420" s="274"/>
      <c r="L3420" s="274"/>
      <c r="M3420" s="274"/>
      <c r="N3420" s="274"/>
      <c r="P3420" s="275"/>
    </row>
    <row r="3421" ht="15.75" customHeight="1">
      <c r="B3421" s="282"/>
      <c r="H3421" s="273"/>
      <c r="I3421" s="274"/>
      <c r="J3421" s="274"/>
      <c r="K3421" s="274"/>
      <c r="L3421" s="274"/>
      <c r="M3421" s="274"/>
      <c r="N3421" s="274"/>
      <c r="P3421" s="275"/>
    </row>
    <row r="3422" ht="15.75" customHeight="1">
      <c r="B3422" s="282"/>
      <c r="H3422" s="273"/>
      <c r="I3422" s="274"/>
      <c r="J3422" s="274"/>
      <c r="K3422" s="274"/>
      <c r="L3422" s="274"/>
      <c r="M3422" s="274"/>
      <c r="N3422" s="274"/>
      <c r="P3422" s="275"/>
    </row>
    <row r="3423" ht="15.75" customHeight="1">
      <c r="B3423" s="282"/>
      <c r="H3423" s="273"/>
      <c r="I3423" s="274"/>
      <c r="J3423" s="274"/>
      <c r="K3423" s="274"/>
      <c r="L3423" s="274"/>
      <c r="M3423" s="274"/>
      <c r="N3423" s="274"/>
      <c r="P3423" s="275"/>
    </row>
    <row r="3424" ht="15.75" customHeight="1">
      <c r="B3424" s="282"/>
      <c r="H3424" s="273"/>
      <c r="I3424" s="274"/>
      <c r="J3424" s="274"/>
      <c r="K3424" s="274"/>
      <c r="L3424" s="274"/>
      <c r="M3424" s="274"/>
      <c r="N3424" s="274"/>
      <c r="P3424" s="275"/>
    </row>
    <row r="3425" ht="15.75" customHeight="1">
      <c r="B3425" s="282"/>
      <c r="H3425" s="273"/>
      <c r="I3425" s="274"/>
      <c r="J3425" s="274"/>
      <c r="K3425" s="274"/>
      <c r="L3425" s="274"/>
      <c r="M3425" s="274"/>
      <c r="N3425" s="274"/>
      <c r="P3425" s="275"/>
    </row>
    <row r="3426" ht="15.75" customHeight="1">
      <c r="B3426" s="282"/>
      <c r="H3426" s="273"/>
      <c r="I3426" s="274"/>
      <c r="J3426" s="274"/>
      <c r="K3426" s="274"/>
      <c r="L3426" s="274"/>
      <c r="M3426" s="274"/>
      <c r="N3426" s="274"/>
      <c r="P3426" s="275"/>
    </row>
    <row r="3427" ht="15.75" customHeight="1">
      <c r="B3427" s="282"/>
      <c r="H3427" s="273"/>
      <c r="I3427" s="274"/>
      <c r="J3427" s="274"/>
      <c r="K3427" s="274"/>
      <c r="L3427" s="274"/>
      <c r="M3427" s="274"/>
      <c r="N3427" s="274"/>
      <c r="P3427" s="275"/>
    </row>
    <row r="3428" ht="15.75" customHeight="1">
      <c r="B3428" s="282"/>
      <c r="H3428" s="273"/>
      <c r="I3428" s="274"/>
      <c r="J3428" s="274"/>
      <c r="K3428" s="274"/>
      <c r="L3428" s="274"/>
      <c r="M3428" s="274"/>
      <c r="N3428" s="274"/>
      <c r="P3428" s="275"/>
    </row>
    <row r="3429" ht="15.75" customHeight="1">
      <c r="B3429" s="282"/>
      <c r="H3429" s="273"/>
      <c r="I3429" s="274"/>
      <c r="J3429" s="274"/>
      <c r="K3429" s="274"/>
      <c r="L3429" s="274"/>
      <c r="M3429" s="274"/>
      <c r="N3429" s="274"/>
      <c r="P3429" s="275"/>
    </row>
    <row r="3430" ht="15.75" customHeight="1">
      <c r="B3430" s="282"/>
      <c r="H3430" s="273"/>
      <c r="I3430" s="274"/>
      <c r="J3430" s="274"/>
      <c r="K3430" s="274"/>
      <c r="L3430" s="274"/>
      <c r="M3430" s="274"/>
      <c r="N3430" s="274"/>
      <c r="P3430" s="275"/>
    </row>
    <row r="3431" ht="15.75" customHeight="1">
      <c r="B3431" s="282"/>
      <c r="H3431" s="273"/>
      <c r="I3431" s="274"/>
      <c r="J3431" s="274"/>
      <c r="K3431" s="274"/>
      <c r="L3431" s="274"/>
      <c r="M3431" s="274"/>
      <c r="N3431" s="274"/>
      <c r="P3431" s="275"/>
    </row>
    <row r="3432" ht="15.75" customHeight="1">
      <c r="B3432" s="282"/>
      <c r="H3432" s="273"/>
      <c r="I3432" s="274"/>
      <c r="J3432" s="274"/>
      <c r="K3432" s="274"/>
      <c r="L3432" s="274"/>
      <c r="M3432" s="274"/>
      <c r="N3432" s="274"/>
      <c r="P3432" s="275"/>
    </row>
    <row r="3433" ht="15.75" customHeight="1">
      <c r="B3433" s="282"/>
      <c r="H3433" s="273"/>
      <c r="I3433" s="274"/>
      <c r="J3433" s="274"/>
      <c r="K3433" s="274"/>
      <c r="L3433" s="274"/>
      <c r="M3433" s="274"/>
      <c r="N3433" s="274"/>
      <c r="P3433" s="275"/>
    </row>
    <row r="3434" ht="15.75" customHeight="1">
      <c r="B3434" s="282"/>
      <c r="H3434" s="273"/>
      <c r="I3434" s="274"/>
      <c r="J3434" s="274"/>
      <c r="K3434" s="274"/>
      <c r="L3434" s="274"/>
      <c r="M3434" s="274"/>
      <c r="N3434" s="274"/>
      <c r="P3434" s="275"/>
    </row>
    <row r="3435" ht="15.75" customHeight="1">
      <c r="B3435" s="282"/>
      <c r="H3435" s="273"/>
      <c r="I3435" s="274"/>
      <c r="J3435" s="274"/>
      <c r="K3435" s="274"/>
      <c r="L3435" s="274"/>
      <c r="M3435" s="274"/>
      <c r="N3435" s="274"/>
      <c r="P3435" s="275"/>
    </row>
    <row r="3436" ht="15.75" customHeight="1">
      <c r="B3436" s="282"/>
      <c r="H3436" s="273"/>
      <c r="I3436" s="274"/>
      <c r="J3436" s="274"/>
      <c r="K3436" s="274"/>
      <c r="L3436" s="274"/>
      <c r="M3436" s="274"/>
      <c r="N3436" s="274"/>
      <c r="P3436" s="275"/>
    </row>
    <row r="3437" ht="15.75" customHeight="1">
      <c r="B3437" s="282"/>
      <c r="H3437" s="273"/>
      <c r="I3437" s="274"/>
      <c r="J3437" s="274"/>
      <c r="K3437" s="274"/>
      <c r="L3437" s="274"/>
      <c r="M3437" s="274"/>
      <c r="N3437" s="274"/>
      <c r="P3437" s="275"/>
    </row>
    <row r="3438" ht="15.75" customHeight="1">
      <c r="B3438" s="282"/>
      <c r="H3438" s="273"/>
      <c r="I3438" s="274"/>
      <c r="J3438" s="274"/>
      <c r="K3438" s="274"/>
      <c r="L3438" s="274"/>
      <c r="M3438" s="274"/>
      <c r="N3438" s="274"/>
      <c r="P3438" s="275"/>
    </row>
    <row r="3439" ht="15.75" customHeight="1">
      <c r="B3439" s="282"/>
      <c r="H3439" s="273"/>
      <c r="I3439" s="274"/>
      <c r="J3439" s="274"/>
      <c r="K3439" s="274"/>
      <c r="L3439" s="274"/>
      <c r="M3439" s="274"/>
      <c r="N3439" s="274"/>
      <c r="P3439" s="275"/>
    </row>
    <row r="3440" ht="15.75" customHeight="1">
      <c r="B3440" s="282"/>
      <c r="H3440" s="273"/>
      <c r="I3440" s="274"/>
      <c r="J3440" s="274"/>
      <c r="K3440" s="274"/>
      <c r="L3440" s="274"/>
      <c r="M3440" s="274"/>
      <c r="N3440" s="274"/>
      <c r="P3440" s="275"/>
    </row>
    <row r="3441" ht="15.75" customHeight="1">
      <c r="B3441" s="282"/>
      <c r="H3441" s="273"/>
      <c r="I3441" s="274"/>
      <c r="J3441" s="274"/>
      <c r="K3441" s="274"/>
      <c r="L3441" s="274"/>
      <c r="M3441" s="274"/>
      <c r="N3441" s="274"/>
      <c r="P3441" s="275"/>
    </row>
    <row r="3442" ht="15.75" customHeight="1">
      <c r="B3442" s="282"/>
      <c r="H3442" s="273"/>
      <c r="I3442" s="274"/>
      <c r="J3442" s="274"/>
      <c r="K3442" s="274"/>
      <c r="L3442" s="274"/>
      <c r="M3442" s="274"/>
      <c r="N3442" s="274"/>
      <c r="P3442" s="275"/>
    </row>
    <row r="3443" ht="15.75" customHeight="1">
      <c r="B3443" s="282"/>
      <c r="H3443" s="273"/>
      <c r="I3443" s="274"/>
      <c r="J3443" s="274"/>
      <c r="K3443" s="274"/>
      <c r="L3443" s="274"/>
      <c r="M3443" s="274"/>
      <c r="N3443" s="274"/>
      <c r="P3443" s="275"/>
    </row>
    <row r="3444" ht="15.75" customHeight="1">
      <c r="B3444" s="282"/>
      <c r="H3444" s="273"/>
      <c r="I3444" s="274"/>
      <c r="J3444" s="274"/>
      <c r="K3444" s="274"/>
      <c r="L3444" s="274"/>
      <c r="M3444" s="274"/>
      <c r="N3444" s="274"/>
      <c r="P3444" s="275"/>
    </row>
    <row r="3445" ht="15.75" customHeight="1">
      <c r="B3445" s="282"/>
      <c r="H3445" s="273"/>
      <c r="I3445" s="274"/>
      <c r="J3445" s="274"/>
      <c r="K3445" s="274"/>
      <c r="L3445" s="274"/>
      <c r="M3445" s="274"/>
      <c r="N3445" s="274"/>
      <c r="P3445" s="275"/>
    </row>
    <row r="3446" ht="15.75" customHeight="1">
      <c r="B3446" s="282"/>
      <c r="H3446" s="273"/>
      <c r="I3446" s="274"/>
      <c r="J3446" s="274"/>
      <c r="K3446" s="274"/>
      <c r="L3446" s="274"/>
      <c r="M3446" s="274"/>
      <c r="N3446" s="274"/>
      <c r="P3446" s="275"/>
    </row>
    <row r="3447" ht="15.75" customHeight="1">
      <c r="B3447" s="282"/>
      <c r="H3447" s="273"/>
      <c r="I3447" s="274"/>
      <c r="J3447" s="274"/>
      <c r="K3447" s="274"/>
      <c r="L3447" s="274"/>
      <c r="M3447" s="274"/>
      <c r="N3447" s="274"/>
      <c r="P3447" s="275"/>
    </row>
    <row r="3448" ht="15.75" customHeight="1">
      <c r="B3448" s="282"/>
      <c r="H3448" s="273"/>
      <c r="I3448" s="274"/>
      <c r="J3448" s="274"/>
      <c r="K3448" s="274"/>
      <c r="L3448" s="274"/>
      <c r="M3448" s="274"/>
      <c r="N3448" s="274"/>
      <c r="P3448" s="275"/>
    </row>
    <row r="3449" ht="15.75" customHeight="1">
      <c r="B3449" s="282"/>
      <c r="H3449" s="273"/>
      <c r="I3449" s="274"/>
      <c r="J3449" s="274"/>
      <c r="K3449" s="274"/>
      <c r="L3449" s="274"/>
      <c r="M3449" s="274"/>
      <c r="N3449" s="274"/>
      <c r="P3449" s="275"/>
    </row>
    <row r="3450" ht="15.75" customHeight="1">
      <c r="B3450" s="282"/>
      <c r="H3450" s="273"/>
      <c r="I3450" s="274"/>
      <c r="J3450" s="274"/>
      <c r="K3450" s="274"/>
      <c r="L3450" s="274"/>
      <c r="M3450" s="274"/>
      <c r="N3450" s="274"/>
      <c r="P3450" s="275"/>
    </row>
    <row r="3451" ht="15.75" customHeight="1">
      <c r="B3451" s="282"/>
      <c r="H3451" s="273"/>
      <c r="I3451" s="274"/>
      <c r="J3451" s="274"/>
      <c r="K3451" s="274"/>
      <c r="L3451" s="274"/>
      <c r="M3451" s="274"/>
      <c r="N3451" s="274"/>
      <c r="P3451" s="275"/>
    </row>
    <row r="3452" ht="15.75" customHeight="1">
      <c r="B3452" s="282"/>
      <c r="H3452" s="273"/>
      <c r="I3452" s="274"/>
      <c r="J3452" s="274"/>
      <c r="K3452" s="274"/>
      <c r="L3452" s="274"/>
      <c r="M3452" s="274"/>
      <c r="N3452" s="274"/>
      <c r="P3452" s="275"/>
    </row>
    <row r="3453" ht="15.75" customHeight="1">
      <c r="B3453" s="282"/>
      <c r="H3453" s="273"/>
      <c r="I3453" s="274"/>
      <c r="J3453" s="274"/>
      <c r="K3453" s="274"/>
      <c r="L3453" s="274"/>
      <c r="M3453" s="274"/>
      <c r="N3453" s="274"/>
      <c r="P3453" s="275"/>
    </row>
    <row r="3454" ht="15.75" customHeight="1">
      <c r="B3454" s="282"/>
      <c r="H3454" s="273"/>
      <c r="I3454" s="274"/>
      <c r="J3454" s="274"/>
      <c r="K3454" s="274"/>
      <c r="L3454" s="274"/>
      <c r="M3454" s="274"/>
      <c r="N3454" s="274"/>
      <c r="P3454" s="275"/>
    </row>
    <row r="3455" ht="15.75" customHeight="1">
      <c r="B3455" s="282"/>
      <c r="H3455" s="273"/>
      <c r="I3455" s="274"/>
      <c r="J3455" s="274"/>
      <c r="K3455" s="274"/>
      <c r="L3455" s="274"/>
      <c r="M3455" s="274"/>
      <c r="N3455" s="274"/>
      <c r="P3455" s="275"/>
    </row>
    <row r="3456" ht="15.75" customHeight="1">
      <c r="B3456" s="282"/>
      <c r="H3456" s="273"/>
      <c r="I3456" s="274"/>
      <c r="J3456" s="274"/>
      <c r="K3456" s="274"/>
      <c r="L3456" s="274"/>
      <c r="M3456" s="274"/>
      <c r="N3456" s="274"/>
      <c r="P3456" s="275"/>
    </row>
    <row r="3457" ht="15.75" customHeight="1">
      <c r="B3457" s="282"/>
      <c r="H3457" s="273"/>
      <c r="I3457" s="274"/>
      <c r="J3457" s="274"/>
      <c r="K3457" s="274"/>
      <c r="L3457" s="274"/>
      <c r="M3457" s="274"/>
      <c r="N3457" s="274"/>
      <c r="P3457" s="275"/>
    </row>
    <row r="3458" ht="15.75" customHeight="1">
      <c r="B3458" s="282"/>
      <c r="H3458" s="273"/>
      <c r="I3458" s="274"/>
      <c r="J3458" s="274"/>
      <c r="K3458" s="274"/>
      <c r="L3458" s="274"/>
      <c r="M3458" s="274"/>
      <c r="N3458" s="274"/>
      <c r="P3458" s="275"/>
    </row>
    <row r="3459" ht="15.75" customHeight="1">
      <c r="B3459" s="282"/>
      <c r="H3459" s="273"/>
      <c r="I3459" s="274"/>
      <c r="J3459" s="274"/>
      <c r="K3459" s="274"/>
      <c r="L3459" s="274"/>
      <c r="M3459" s="274"/>
      <c r="N3459" s="274"/>
      <c r="P3459" s="275"/>
    </row>
    <row r="3460" ht="15.75" customHeight="1">
      <c r="B3460" s="282"/>
      <c r="H3460" s="273"/>
      <c r="I3460" s="274"/>
      <c r="J3460" s="274"/>
      <c r="K3460" s="274"/>
      <c r="L3460" s="274"/>
      <c r="M3460" s="274"/>
      <c r="N3460" s="274"/>
      <c r="P3460" s="275"/>
    </row>
    <row r="3461" ht="15.75" customHeight="1">
      <c r="B3461" s="282"/>
      <c r="H3461" s="273"/>
      <c r="I3461" s="274"/>
      <c r="J3461" s="274"/>
      <c r="K3461" s="274"/>
      <c r="L3461" s="274"/>
      <c r="M3461" s="274"/>
      <c r="N3461" s="274"/>
      <c r="P3461" s="275"/>
    </row>
    <row r="3462" ht="15.75" customHeight="1">
      <c r="B3462" s="282"/>
      <c r="H3462" s="273"/>
      <c r="I3462" s="274"/>
      <c r="J3462" s="274"/>
      <c r="K3462" s="274"/>
      <c r="L3462" s="274"/>
      <c r="M3462" s="274"/>
      <c r="N3462" s="274"/>
      <c r="P3462" s="275"/>
    </row>
    <row r="3463" ht="15.75" customHeight="1">
      <c r="B3463" s="282"/>
      <c r="H3463" s="273"/>
      <c r="I3463" s="274"/>
      <c r="J3463" s="274"/>
      <c r="K3463" s="274"/>
      <c r="L3463" s="274"/>
      <c r="M3463" s="274"/>
      <c r="N3463" s="274"/>
      <c r="P3463" s="275"/>
    </row>
    <row r="3464" ht="15.75" customHeight="1">
      <c r="B3464" s="282"/>
      <c r="H3464" s="273"/>
      <c r="I3464" s="274"/>
      <c r="J3464" s="274"/>
      <c r="K3464" s="274"/>
      <c r="L3464" s="274"/>
      <c r="M3464" s="274"/>
      <c r="N3464" s="274"/>
      <c r="P3464" s="275"/>
    </row>
    <row r="3465" ht="15.75" customHeight="1">
      <c r="B3465" s="282"/>
      <c r="H3465" s="273"/>
      <c r="I3465" s="274"/>
      <c r="J3465" s="274"/>
      <c r="K3465" s="274"/>
      <c r="L3465" s="274"/>
      <c r="M3465" s="274"/>
      <c r="N3465" s="274"/>
      <c r="P3465" s="275"/>
    </row>
    <row r="3466" ht="15.75" customHeight="1">
      <c r="B3466" s="282"/>
      <c r="H3466" s="273"/>
      <c r="I3466" s="274"/>
      <c r="J3466" s="274"/>
      <c r="K3466" s="274"/>
      <c r="L3466" s="274"/>
      <c r="M3466" s="274"/>
      <c r="N3466" s="274"/>
      <c r="P3466" s="275"/>
    </row>
    <row r="3467" ht="15.75" customHeight="1">
      <c r="B3467" s="282"/>
      <c r="H3467" s="273"/>
      <c r="I3467" s="274"/>
      <c r="J3467" s="274"/>
      <c r="K3467" s="274"/>
      <c r="L3467" s="274"/>
      <c r="M3467" s="274"/>
      <c r="N3467" s="274"/>
      <c r="P3467" s="275"/>
    </row>
    <row r="3468" ht="15.75" customHeight="1">
      <c r="B3468" s="282"/>
      <c r="H3468" s="273"/>
      <c r="I3468" s="274"/>
      <c r="J3468" s="274"/>
      <c r="K3468" s="274"/>
      <c r="L3468" s="274"/>
      <c r="M3468" s="274"/>
      <c r="N3468" s="274"/>
      <c r="P3468" s="275"/>
    </row>
    <row r="3469" ht="15.75" customHeight="1">
      <c r="B3469" s="282"/>
      <c r="H3469" s="273"/>
      <c r="I3469" s="274"/>
      <c r="J3469" s="274"/>
      <c r="K3469" s="274"/>
      <c r="L3469" s="274"/>
      <c r="M3469" s="274"/>
      <c r="N3469" s="274"/>
      <c r="P3469" s="275"/>
    </row>
    <row r="3470" ht="15.75" customHeight="1">
      <c r="B3470" s="282"/>
      <c r="H3470" s="273"/>
      <c r="I3470" s="274"/>
      <c r="J3470" s="274"/>
      <c r="K3470" s="274"/>
      <c r="L3470" s="274"/>
      <c r="M3470" s="274"/>
      <c r="N3470" s="274"/>
      <c r="P3470" s="275"/>
    </row>
    <row r="3471" ht="15.75" customHeight="1">
      <c r="B3471" s="282"/>
      <c r="H3471" s="273"/>
      <c r="I3471" s="274"/>
      <c r="J3471" s="274"/>
      <c r="K3471" s="274"/>
      <c r="L3471" s="274"/>
      <c r="M3471" s="274"/>
      <c r="N3471" s="274"/>
      <c r="P3471" s="275"/>
    </row>
    <row r="3472" ht="15.75" customHeight="1">
      <c r="B3472" s="282"/>
      <c r="H3472" s="273"/>
      <c r="I3472" s="274"/>
      <c r="J3472" s="274"/>
      <c r="K3472" s="274"/>
      <c r="L3472" s="274"/>
      <c r="M3472" s="274"/>
      <c r="N3472" s="274"/>
      <c r="P3472" s="275"/>
    </row>
    <row r="3473" ht="15.75" customHeight="1">
      <c r="B3473" s="282"/>
      <c r="H3473" s="273"/>
      <c r="I3473" s="274"/>
      <c r="J3473" s="274"/>
      <c r="K3473" s="274"/>
      <c r="L3473" s="274"/>
      <c r="M3473" s="274"/>
      <c r="N3473" s="274"/>
      <c r="P3473" s="275"/>
    </row>
    <row r="3474" ht="15.75" customHeight="1">
      <c r="B3474" s="282"/>
      <c r="H3474" s="273"/>
      <c r="I3474" s="274"/>
      <c r="J3474" s="274"/>
      <c r="K3474" s="274"/>
      <c r="L3474" s="274"/>
      <c r="M3474" s="274"/>
      <c r="N3474" s="274"/>
      <c r="P3474" s="275"/>
    </row>
    <row r="3475" ht="15.75" customHeight="1">
      <c r="B3475" s="282"/>
      <c r="H3475" s="273"/>
      <c r="I3475" s="274"/>
      <c r="J3475" s="274"/>
      <c r="K3475" s="274"/>
      <c r="L3475" s="274"/>
      <c r="M3475" s="274"/>
      <c r="N3475" s="274"/>
      <c r="P3475" s="275"/>
    </row>
    <row r="3476" ht="15.75" customHeight="1">
      <c r="B3476" s="282"/>
      <c r="H3476" s="273"/>
      <c r="I3476" s="274"/>
      <c r="J3476" s="274"/>
      <c r="K3476" s="274"/>
      <c r="L3476" s="274"/>
      <c r="M3476" s="274"/>
      <c r="N3476" s="274"/>
      <c r="P3476" s="275"/>
    </row>
    <row r="3477" ht="15.75" customHeight="1">
      <c r="B3477" s="282"/>
      <c r="H3477" s="273"/>
      <c r="I3477" s="274"/>
      <c r="J3477" s="274"/>
      <c r="K3477" s="274"/>
      <c r="L3477" s="274"/>
      <c r="M3477" s="274"/>
      <c r="N3477" s="274"/>
      <c r="P3477" s="275"/>
    </row>
    <row r="3478" ht="15.75" customHeight="1">
      <c r="B3478" s="282"/>
      <c r="H3478" s="273"/>
      <c r="I3478" s="274"/>
      <c r="J3478" s="274"/>
      <c r="K3478" s="274"/>
      <c r="L3478" s="274"/>
      <c r="M3478" s="274"/>
      <c r="N3478" s="274"/>
      <c r="P3478" s="275"/>
    </row>
    <row r="3479" ht="15.75" customHeight="1">
      <c r="B3479" s="282"/>
      <c r="H3479" s="273"/>
      <c r="I3479" s="274"/>
      <c r="J3479" s="274"/>
      <c r="K3479" s="274"/>
      <c r="L3479" s="274"/>
      <c r="M3479" s="274"/>
      <c r="N3479" s="274"/>
      <c r="P3479" s="275"/>
    </row>
    <row r="3480" ht="15.75" customHeight="1">
      <c r="B3480" s="282"/>
      <c r="H3480" s="273"/>
      <c r="I3480" s="274"/>
      <c r="J3480" s="274"/>
      <c r="K3480" s="274"/>
      <c r="L3480" s="274"/>
      <c r="M3480" s="274"/>
      <c r="N3480" s="274"/>
      <c r="P3480" s="275"/>
    </row>
    <row r="3481" ht="15.75" customHeight="1">
      <c r="B3481" s="282"/>
      <c r="H3481" s="273"/>
      <c r="I3481" s="274"/>
      <c r="J3481" s="274"/>
      <c r="K3481" s="274"/>
      <c r="L3481" s="274"/>
      <c r="M3481" s="274"/>
      <c r="N3481" s="274"/>
      <c r="P3481" s="275"/>
    </row>
    <row r="3482" ht="15.75" customHeight="1">
      <c r="B3482" s="282"/>
      <c r="H3482" s="273"/>
      <c r="I3482" s="274"/>
      <c r="J3482" s="274"/>
      <c r="K3482" s="274"/>
      <c r="L3482" s="274"/>
      <c r="M3482" s="274"/>
      <c r="N3482" s="274"/>
      <c r="P3482" s="275"/>
    </row>
    <row r="3483" ht="15.75" customHeight="1">
      <c r="B3483" s="282"/>
      <c r="H3483" s="273"/>
      <c r="I3483" s="274"/>
      <c r="J3483" s="274"/>
      <c r="K3483" s="274"/>
      <c r="L3483" s="274"/>
      <c r="M3483" s="274"/>
      <c r="N3483" s="274"/>
      <c r="P3483" s="275"/>
    </row>
    <row r="3484" ht="15.75" customHeight="1">
      <c r="B3484" s="282"/>
      <c r="H3484" s="273"/>
      <c r="I3484" s="274"/>
      <c r="J3484" s="274"/>
      <c r="K3484" s="274"/>
      <c r="L3484" s="274"/>
      <c r="M3484" s="274"/>
      <c r="N3484" s="274"/>
      <c r="P3484" s="275"/>
    </row>
    <row r="3485" ht="15.75" customHeight="1">
      <c r="B3485" s="282"/>
      <c r="H3485" s="273"/>
      <c r="I3485" s="274"/>
      <c r="J3485" s="274"/>
      <c r="K3485" s="274"/>
      <c r="L3485" s="274"/>
      <c r="M3485" s="274"/>
      <c r="N3485" s="274"/>
      <c r="P3485" s="275"/>
    </row>
    <row r="3486" ht="15.75" customHeight="1">
      <c r="B3486" s="282"/>
      <c r="H3486" s="273"/>
      <c r="I3486" s="274"/>
      <c r="J3486" s="274"/>
      <c r="K3486" s="274"/>
      <c r="L3486" s="274"/>
      <c r="M3486" s="274"/>
      <c r="N3486" s="274"/>
      <c r="P3486" s="275"/>
    </row>
    <row r="3487" ht="15.75" customHeight="1">
      <c r="B3487" s="282"/>
      <c r="H3487" s="273"/>
      <c r="I3487" s="274"/>
      <c r="J3487" s="274"/>
      <c r="K3487" s="274"/>
      <c r="L3487" s="274"/>
      <c r="M3487" s="274"/>
      <c r="N3487" s="274"/>
      <c r="P3487" s="275"/>
    </row>
    <row r="3488" ht="15.75" customHeight="1">
      <c r="B3488" s="282"/>
      <c r="H3488" s="273"/>
      <c r="I3488" s="274"/>
      <c r="J3488" s="274"/>
      <c r="K3488" s="274"/>
      <c r="L3488" s="274"/>
      <c r="M3488" s="274"/>
      <c r="N3488" s="274"/>
      <c r="P3488" s="275"/>
    </row>
    <row r="3489" ht="15.75" customHeight="1">
      <c r="B3489" s="282"/>
      <c r="H3489" s="273"/>
      <c r="I3489" s="274"/>
      <c r="J3489" s="274"/>
      <c r="K3489" s="274"/>
      <c r="L3489" s="274"/>
      <c r="M3489" s="274"/>
      <c r="N3489" s="274"/>
      <c r="P3489" s="275"/>
    </row>
    <row r="3490" ht="15.75" customHeight="1">
      <c r="B3490" s="282"/>
      <c r="H3490" s="273"/>
      <c r="I3490" s="274"/>
      <c r="J3490" s="274"/>
      <c r="K3490" s="274"/>
      <c r="L3490" s="274"/>
      <c r="M3490" s="274"/>
      <c r="N3490" s="274"/>
      <c r="P3490" s="275"/>
    </row>
    <row r="3491" ht="15.75" customHeight="1">
      <c r="B3491" s="282"/>
      <c r="H3491" s="273"/>
      <c r="I3491" s="274"/>
      <c r="J3491" s="274"/>
      <c r="K3491" s="274"/>
      <c r="L3491" s="274"/>
      <c r="M3491" s="274"/>
      <c r="N3491" s="274"/>
      <c r="P3491" s="275"/>
    </row>
    <row r="3492" ht="15.75" customHeight="1">
      <c r="B3492" s="282"/>
      <c r="H3492" s="273"/>
      <c r="I3492" s="274"/>
      <c r="J3492" s="274"/>
      <c r="K3492" s="274"/>
      <c r="L3492" s="274"/>
      <c r="M3492" s="274"/>
      <c r="N3492" s="274"/>
      <c r="P3492" s="275"/>
    </row>
    <row r="3493" ht="15.75" customHeight="1">
      <c r="B3493" s="282"/>
      <c r="H3493" s="273"/>
      <c r="I3493" s="274"/>
      <c r="J3493" s="274"/>
      <c r="K3493" s="274"/>
      <c r="L3493" s="274"/>
      <c r="M3493" s="274"/>
      <c r="N3493" s="274"/>
      <c r="P3493" s="275"/>
    </row>
    <row r="3494" ht="15.75" customHeight="1">
      <c r="B3494" s="282"/>
      <c r="H3494" s="273"/>
      <c r="I3494" s="274"/>
      <c r="J3494" s="274"/>
      <c r="K3494" s="274"/>
      <c r="L3494" s="274"/>
      <c r="M3494" s="274"/>
      <c r="N3494" s="274"/>
      <c r="P3494" s="275"/>
    </row>
    <row r="3495" ht="15.75" customHeight="1">
      <c r="B3495" s="282"/>
      <c r="H3495" s="273"/>
      <c r="I3495" s="274"/>
      <c r="J3495" s="274"/>
      <c r="K3495" s="274"/>
      <c r="L3495" s="274"/>
      <c r="M3495" s="274"/>
      <c r="N3495" s="274"/>
      <c r="P3495" s="275"/>
    </row>
    <row r="3496" ht="15.75" customHeight="1">
      <c r="B3496" s="282"/>
      <c r="H3496" s="273"/>
      <c r="I3496" s="274"/>
      <c r="J3496" s="274"/>
      <c r="K3496" s="274"/>
      <c r="L3496" s="274"/>
      <c r="M3496" s="274"/>
      <c r="N3496" s="274"/>
      <c r="P3496" s="275"/>
    </row>
    <row r="3497" ht="15.75" customHeight="1">
      <c r="B3497" s="282"/>
      <c r="H3497" s="273"/>
      <c r="I3497" s="274"/>
      <c r="J3497" s="274"/>
      <c r="K3497" s="274"/>
      <c r="L3497" s="274"/>
      <c r="M3497" s="274"/>
      <c r="N3497" s="274"/>
      <c r="P3497" s="275"/>
    </row>
    <row r="3498" ht="15.75" customHeight="1">
      <c r="B3498" s="282"/>
      <c r="H3498" s="273"/>
      <c r="I3498" s="274"/>
      <c r="J3498" s="274"/>
      <c r="K3498" s="274"/>
      <c r="L3498" s="274"/>
      <c r="M3498" s="274"/>
      <c r="N3498" s="274"/>
      <c r="P3498" s="275"/>
    </row>
    <row r="3499" ht="15.75" customHeight="1">
      <c r="B3499" s="282"/>
      <c r="H3499" s="273"/>
      <c r="I3499" s="274"/>
      <c r="J3499" s="274"/>
      <c r="K3499" s="274"/>
      <c r="L3499" s="274"/>
      <c r="M3499" s="274"/>
      <c r="N3499" s="274"/>
      <c r="P3499" s="275"/>
    </row>
    <row r="3500" ht="15.75" customHeight="1">
      <c r="B3500" s="282"/>
      <c r="H3500" s="273"/>
      <c r="I3500" s="274"/>
      <c r="J3500" s="274"/>
      <c r="K3500" s="274"/>
      <c r="L3500" s="274"/>
      <c r="M3500" s="274"/>
      <c r="N3500" s="274"/>
      <c r="P3500" s="275"/>
    </row>
    <row r="3501" ht="15.75" customHeight="1">
      <c r="B3501" s="282"/>
      <c r="H3501" s="273"/>
      <c r="I3501" s="274"/>
      <c r="J3501" s="274"/>
      <c r="K3501" s="274"/>
      <c r="L3501" s="274"/>
      <c r="M3501" s="274"/>
      <c r="N3501" s="274"/>
      <c r="P3501" s="275"/>
    </row>
    <row r="3502" ht="15.75" customHeight="1">
      <c r="B3502" s="282"/>
      <c r="H3502" s="273"/>
      <c r="I3502" s="274"/>
      <c r="J3502" s="274"/>
      <c r="K3502" s="274"/>
      <c r="L3502" s="274"/>
      <c r="M3502" s="274"/>
      <c r="N3502" s="274"/>
      <c r="P3502" s="275"/>
    </row>
    <row r="3503" ht="15.75" customHeight="1">
      <c r="B3503" s="282"/>
      <c r="H3503" s="273"/>
      <c r="I3503" s="274"/>
      <c r="J3503" s="274"/>
      <c r="K3503" s="274"/>
      <c r="L3503" s="274"/>
      <c r="M3503" s="274"/>
      <c r="N3503" s="274"/>
      <c r="P3503" s="275"/>
    </row>
    <row r="3504" ht="15.75" customHeight="1">
      <c r="B3504" s="282"/>
      <c r="H3504" s="273"/>
      <c r="I3504" s="274"/>
      <c r="J3504" s="274"/>
      <c r="K3504" s="274"/>
      <c r="L3504" s="274"/>
      <c r="M3504" s="274"/>
      <c r="N3504" s="274"/>
      <c r="P3504" s="275"/>
    </row>
    <row r="3505" ht="15.75" customHeight="1">
      <c r="B3505" s="282"/>
      <c r="H3505" s="273"/>
      <c r="I3505" s="274"/>
      <c r="J3505" s="274"/>
      <c r="K3505" s="274"/>
      <c r="L3505" s="274"/>
      <c r="M3505" s="274"/>
      <c r="N3505" s="274"/>
      <c r="P3505" s="275"/>
    </row>
    <row r="3506" ht="15.75" customHeight="1">
      <c r="B3506" s="282"/>
      <c r="H3506" s="273"/>
      <c r="I3506" s="274"/>
      <c r="J3506" s="274"/>
      <c r="K3506" s="274"/>
      <c r="L3506" s="274"/>
      <c r="M3506" s="274"/>
      <c r="N3506" s="274"/>
      <c r="P3506" s="275"/>
    </row>
    <row r="3507" ht="15.75" customHeight="1">
      <c r="B3507" s="282"/>
      <c r="H3507" s="273"/>
      <c r="I3507" s="274"/>
      <c r="J3507" s="274"/>
      <c r="K3507" s="274"/>
      <c r="L3507" s="274"/>
      <c r="M3507" s="274"/>
      <c r="N3507" s="274"/>
      <c r="P3507" s="275"/>
    </row>
    <row r="3508" ht="15.75" customHeight="1">
      <c r="B3508" s="282"/>
      <c r="H3508" s="273"/>
      <c r="I3508" s="274"/>
      <c r="J3508" s="274"/>
      <c r="K3508" s="274"/>
      <c r="L3508" s="274"/>
      <c r="M3508" s="274"/>
      <c r="N3508" s="274"/>
      <c r="P3508" s="275"/>
    </row>
    <row r="3509" ht="15.75" customHeight="1">
      <c r="B3509" s="282"/>
      <c r="H3509" s="273"/>
      <c r="I3509" s="274"/>
      <c r="J3509" s="274"/>
      <c r="K3509" s="274"/>
      <c r="L3509" s="274"/>
      <c r="M3509" s="274"/>
      <c r="N3509" s="274"/>
      <c r="P3509" s="275"/>
    </row>
    <row r="3510" ht="15.75" customHeight="1">
      <c r="B3510" s="282"/>
      <c r="H3510" s="273"/>
      <c r="I3510" s="274"/>
      <c r="J3510" s="274"/>
      <c r="K3510" s="274"/>
      <c r="L3510" s="274"/>
      <c r="M3510" s="274"/>
      <c r="N3510" s="274"/>
      <c r="P3510" s="275"/>
    </row>
    <row r="3511" ht="15.75" customHeight="1">
      <c r="B3511" s="282"/>
      <c r="H3511" s="273"/>
      <c r="I3511" s="274"/>
      <c r="J3511" s="274"/>
      <c r="K3511" s="274"/>
      <c r="L3511" s="274"/>
      <c r="M3511" s="274"/>
      <c r="N3511" s="274"/>
      <c r="P3511" s="275"/>
    </row>
    <row r="3512" ht="15.75" customHeight="1">
      <c r="B3512" s="282"/>
      <c r="H3512" s="273"/>
      <c r="I3512" s="274"/>
      <c r="J3512" s="274"/>
      <c r="K3512" s="274"/>
      <c r="L3512" s="274"/>
      <c r="M3512" s="274"/>
      <c r="N3512" s="274"/>
      <c r="P3512" s="275"/>
    </row>
    <row r="3513" ht="15.75" customHeight="1">
      <c r="B3513" s="282"/>
      <c r="H3513" s="273"/>
      <c r="I3513" s="274"/>
      <c r="J3513" s="274"/>
      <c r="K3513" s="274"/>
      <c r="L3513" s="274"/>
      <c r="M3513" s="274"/>
      <c r="N3513" s="274"/>
      <c r="P3513" s="275"/>
    </row>
    <row r="3514" ht="15.75" customHeight="1">
      <c r="B3514" s="282"/>
      <c r="H3514" s="273"/>
      <c r="I3514" s="274"/>
      <c r="J3514" s="274"/>
      <c r="K3514" s="274"/>
      <c r="L3514" s="274"/>
      <c r="M3514" s="274"/>
      <c r="N3514" s="274"/>
      <c r="P3514" s="275"/>
    </row>
    <row r="3515" ht="15.75" customHeight="1">
      <c r="B3515" s="282"/>
      <c r="H3515" s="273"/>
      <c r="I3515" s="274"/>
      <c r="J3515" s="274"/>
      <c r="K3515" s="274"/>
      <c r="L3515" s="274"/>
      <c r="M3515" s="274"/>
      <c r="N3515" s="274"/>
      <c r="P3515" s="275"/>
    </row>
    <row r="3516" ht="15.75" customHeight="1">
      <c r="B3516" s="282"/>
      <c r="H3516" s="273"/>
      <c r="I3516" s="274"/>
      <c r="J3516" s="274"/>
      <c r="K3516" s="274"/>
      <c r="L3516" s="274"/>
      <c r="M3516" s="274"/>
      <c r="N3516" s="274"/>
      <c r="P3516" s="275"/>
    </row>
    <row r="3517" ht="15.75" customHeight="1">
      <c r="B3517" s="282"/>
      <c r="H3517" s="273"/>
      <c r="I3517" s="274"/>
      <c r="J3517" s="274"/>
      <c r="K3517" s="274"/>
      <c r="L3517" s="274"/>
      <c r="M3517" s="274"/>
      <c r="N3517" s="274"/>
      <c r="P3517" s="275"/>
    </row>
    <row r="3518" ht="15.75" customHeight="1">
      <c r="B3518" s="282"/>
      <c r="H3518" s="273"/>
      <c r="I3518" s="274"/>
      <c r="J3518" s="274"/>
      <c r="K3518" s="274"/>
      <c r="L3518" s="274"/>
      <c r="M3518" s="274"/>
      <c r="N3518" s="274"/>
      <c r="P3518" s="275"/>
    </row>
    <row r="3519" ht="15.75" customHeight="1">
      <c r="B3519" s="282"/>
      <c r="H3519" s="273"/>
      <c r="I3519" s="274"/>
      <c r="J3519" s="274"/>
      <c r="K3519" s="274"/>
      <c r="L3519" s="274"/>
      <c r="M3519" s="274"/>
      <c r="N3519" s="274"/>
      <c r="P3519" s="275"/>
    </row>
    <row r="3520" ht="15.75" customHeight="1">
      <c r="B3520" s="282"/>
      <c r="H3520" s="273"/>
      <c r="I3520" s="274"/>
      <c r="J3520" s="274"/>
      <c r="K3520" s="274"/>
      <c r="L3520" s="274"/>
      <c r="M3520" s="274"/>
      <c r="N3520" s="274"/>
      <c r="P3520" s="275"/>
    </row>
    <row r="3521" ht="15.75" customHeight="1">
      <c r="B3521" s="282"/>
      <c r="H3521" s="273"/>
      <c r="I3521" s="274"/>
      <c r="J3521" s="274"/>
      <c r="K3521" s="274"/>
      <c r="L3521" s="274"/>
      <c r="M3521" s="274"/>
      <c r="N3521" s="274"/>
      <c r="P3521" s="275"/>
    </row>
    <row r="3522" ht="15.75" customHeight="1">
      <c r="B3522" s="282"/>
      <c r="H3522" s="273"/>
      <c r="I3522" s="274"/>
      <c r="J3522" s="274"/>
      <c r="K3522" s="274"/>
      <c r="L3522" s="274"/>
      <c r="M3522" s="274"/>
      <c r="N3522" s="274"/>
      <c r="P3522" s="275"/>
    </row>
    <row r="3523" ht="15.75" customHeight="1">
      <c r="B3523" s="282"/>
      <c r="H3523" s="273"/>
      <c r="I3523" s="274"/>
      <c r="J3523" s="274"/>
      <c r="K3523" s="274"/>
      <c r="L3523" s="274"/>
      <c r="M3523" s="274"/>
      <c r="N3523" s="274"/>
      <c r="P3523" s="275"/>
    </row>
    <row r="3524" ht="15.75" customHeight="1">
      <c r="B3524" s="282"/>
      <c r="H3524" s="273"/>
      <c r="I3524" s="274"/>
      <c r="J3524" s="274"/>
      <c r="K3524" s="274"/>
      <c r="L3524" s="274"/>
      <c r="M3524" s="274"/>
      <c r="N3524" s="274"/>
      <c r="P3524" s="275"/>
    </row>
    <row r="3525" ht="15.75" customHeight="1">
      <c r="B3525" s="282"/>
      <c r="H3525" s="273"/>
      <c r="I3525" s="274"/>
      <c r="J3525" s="274"/>
      <c r="K3525" s="274"/>
      <c r="L3525" s="274"/>
      <c r="M3525" s="274"/>
      <c r="N3525" s="274"/>
      <c r="P3525" s="275"/>
    </row>
    <row r="3526" ht="15.75" customHeight="1">
      <c r="B3526" s="282"/>
      <c r="H3526" s="273"/>
      <c r="I3526" s="274"/>
      <c r="J3526" s="274"/>
      <c r="K3526" s="274"/>
      <c r="L3526" s="274"/>
      <c r="M3526" s="274"/>
      <c r="N3526" s="274"/>
      <c r="P3526" s="275"/>
    </row>
    <row r="3527" ht="15.75" customHeight="1">
      <c r="B3527" s="282"/>
      <c r="H3527" s="273"/>
      <c r="I3527" s="274"/>
      <c r="J3527" s="274"/>
      <c r="K3527" s="274"/>
      <c r="L3527" s="274"/>
      <c r="M3527" s="274"/>
      <c r="N3527" s="274"/>
      <c r="P3527" s="275"/>
    </row>
    <row r="3528" ht="15.75" customHeight="1">
      <c r="B3528" s="282"/>
      <c r="H3528" s="273"/>
      <c r="I3528" s="274"/>
      <c r="J3528" s="274"/>
      <c r="K3528" s="274"/>
      <c r="L3528" s="274"/>
      <c r="M3528" s="274"/>
      <c r="N3528" s="274"/>
      <c r="P3528" s="275"/>
    </row>
    <row r="3529" ht="15.75" customHeight="1">
      <c r="B3529" s="282"/>
      <c r="H3529" s="273"/>
      <c r="I3529" s="274"/>
      <c r="J3529" s="274"/>
      <c r="K3529" s="274"/>
      <c r="L3529" s="274"/>
      <c r="M3529" s="274"/>
      <c r="N3529" s="274"/>
      <c r="P3529" s="275"/>
    </row>
    <row r="3530" ht="15.75" customHeight="1">
      <c r="B3530" s="282"/>
      <c r="H3530" s="273"/>
      <c r="I3530" s="274"/>
      <c r="J3530" s="274"/>
      <c r="K3530" s="274"/>
      <c r="L3530" s="274"/>
      <c r="M3530" s="274"/>
      <c r="N3530" s="274"/>
      <c r="P3530" s="275"/>
    </row>
    <row r="3531" ht="15.75" customHeight="1">
      <c r="B3531" s="282"/>
      <c r="H3531" s="273"/>
      <c r="I3531" s="274"/>
      <c r="J3531" s="274"/>
      <c r="K3531" s="274"/>
      <c r="L3531" s="274"/>
      <c r="M3531" s="274"/>
      <c r="N3531" s="274"/>
      <c r="P3531" s="275"/>
    </row>
    <row r="3532" ht="15.75" customHeight="1">
      <c r="B3532" s="282"/>
      <c r="H3532" s="273"/>
      <c r="I3532" s="274"/>
      <c r="J3532" s="274"/>
      <c r="K3532" s="274"/>
      <c r="L3532" s="274"/>
      <c r="M3532" s="274"/>
      <c r="N3532" s="274"/>
      <c r="P3532" s="275"/>
    </row>
    <row r="3533" ht="15.75" customHeight="1">
      <c r="B3533" s="282"/>
      <c r="H3533" s="273"/>
      <c r="I3533" s="274"/>
      <c r="J3533" s="274"/>
      <c r="K3533" s="274"/>
      <c r="L3533" s="274"/>
      <c r="M3533" s="274"/>
      <c r="N3533" s="274"/>
      <c r="P3533" s="275"/>
    </row>
    <row r="3534" ht="15.75" customHeight="1">
      <c r="B3534" s="282"/>
      <c r="H3534" s="273"/>
      <c r="I3534" s="274"/>
      <c r="J3534" s="274"/>
      <c r="K3534" s="274"/>
      <c r="L3534" s="274"/>
      <c r="M3534" s="274"/>
      <c r="N3534" s="274"/>
      <c r="P3534" s="275"/>
    </row>
    <row r="3535" ht="15.75" customHeight="1">
      <c r="B3535" s="282"/>
      <c r="H3535" s="273"/>
      <c r="I3535" s="274"/>
      <c r="J3535" s="274"/>
      <c r="K3535" s="274"/>
      <c r="L3535" s="274"/>
      <c r="M3535" s="274"/>
      <c r="N3535" s="274"/>
      <c r="P3535" s="275"/>
    </row>
    <row r="3536" ht="15.75" customHeight="1">
      <c r="B3536" s="282"/>
      <c r="H3536" s="273"/>
      <c r="I3536" s="274"/>
      <c r="J3536" s="274"/>
      <c r="K3536" s="274"/>
      <c r="L3536" s="274"/>
      <c r="M3536" s="274"/>
      <c r="N3536" s="274"/>
      <c r="P3536" s="275"/>
    </row>
    <row r="3537" ht="15.75" customHeight="1">
      <c r="B3537" s="282"/>
      <c r="H3537" s="273"/>
      <c r="I3537" s="274"/>
      <c r="J3537" s="274"/>
      <c r="K3537" s="274"/>
      <c r="L3537" s="274"/>
      <c r="M3537" s="274"/>
      <c r="N3537" s="274"/>
      <c r="P3537" s="275"/>
    </row>
    <row r="3538" ht="15.75" customHeight="1">
      <c r="B3538" s="282"/>
      <c r="H3538" s="273"/>
      <c r="I3538" s="274"/>
      <c r="J3538" s="274"/>
      <c r="K3538" s="274"/>
      <c r="L3538" s="274"/>
      <c r="M3538" s="274"/>
      <c r="N3538" s="274"/>
      <c r="P3538" s="275"/>
    </row>
    <row r="3539" ht="15.75" customHeight="1">
      <c r="B3539" s="282"/>
      <c r="H3539" s="273"/>
      <c r="I3539" s="274"/>
      <c r="J3539" s="274"/>
      <c r="K3539" s="274"/>
      <c r="L3539" s="274"/>
      <c r="M3539" s="274"/>
      <c r="N3539" s="274"/>
      <c r="P3539" s="275"/>
    </row>
    <row r="3540" ht="15.75" customHeight="1">
      <c r="B3540" s="282"/>
      <c r="H3540" s="273"/>
      <c r="I3540" s="274"/>
      <c r="J3540" s="274"/>
      <c r="K3540" s="274"/>
      <c r="L3540" s="274"/>
      <c r="M3540" s="274"/>
      <c r="N3540" s="274"/>
      <c r="P3540" s="275"/>
    </row>
    <row r="3541" ht="15.75" customHeight="1">
      <c r="B3541" s="282"/>
      <c r="H3541" s="273"/>
      <c r="I3541" s="274"/>
      <c r="J3541" s="274"/>
      <c r="K3541" s="274"/>
      <c r="L3541" s="274"/>
      <c r="M3541" s="274"/>
      <c r="N3541" s="274"/>
      <c r="P3541" s="275"/>
    </row>
    <row r="3542" ht="15.75" customHeight="1">
      <c r="B3542" s="282"/>
      <c r="H3542" s="273"/>
      <c r="I3542" s="274"/>
      <c r="J3542" s="274"/>
      <c r="K3542" s="274"/>
      <c r="L3542" s="274"/>
      <c r="M3542" s="274"/>
      <c r="N3542" s="274"/>
      <c r="P3542" s="275"/>
    </row>
    <row r="3543" ht="15.75" customHeight="1">
      <c r="B3543" s="282"/>
      <c r="H3543" s="273"/>
      <c r="I3543" s="274"/>
      <c r="J3543" s="274"/>
      <c r="K3543" s="274"/>
      <c r="L3543" s="274"/>
      <c r="M3543" s="274"/>
      <c r="N3543" s="274"/>
      <c r="P3543" s="275"/>
    </row>
    <row r="3544" ht="15.75" customHeight="1">
      <c r="B3544" s="282"/>
      <c r="H3544" s="273"/>
      <c r="I3544" s="274"/>
      <c r="J3544" s="274"/>
      <c r="K3544" s="274"/>
      <c r="L3544" s="274"/>
      <c r="M3544" s="274"/>
      <c r="N3544" s="274"/>
      <c r="P3544" s="275"/>
    </row>
    <row r="3545" ht="15.75" customHeight="1">
      <c r="B3545" s="282"/>
      <c r="H3545" s="273"/>
      <c r="I3545" s="274"/>
      <c r="J3545" s="274"/>
      <c r="K3545" s="274"/>
      <c r="L3545" s="274"/>
      <c r="M3545" s="274"/>
      <c r="N3545" s="274"/>
      <c r="P3545" s="275"/>
    </row>
    <row r="3546" ht="15.75" customHeight="1">
      <c r="B3546" s="282"/>
      <c r="H3546" s="273"/>
      <c r="I3546" s="274"/>
      <c r="J3546" s="274"/>
      <c r="K3546" s="274"/>
      <c r="L3546" s="274"/>
      <c r="M3546" s="274"/>
      <c r="N3546" s="274"/>
      <c r="P3546" s="275"/>
    </row>
    <row r="3547" ht="15.75" customHeight="1">
      <c r="B3547" s="282"/>
      <c r="H3547" s="273"/>
      <c r="I3547" s="274"/>
      <c r="J3547" s="274"/>
      <c r="K3547" s="274"/>
      <c r="L3547" s="274"/>
      <c r="M3547" s="274"/>
      <c r="N3547" s="274"/>
      <c r="P3547" s="275"/>
    </row>
    <row r="3548" ht="15.75" customHeight="1">
      <c r="B3548" s="282"/>
      <c r="H3548" s="273"/>
      <c r="I3548" s="274"/>
      <c r="J3548" s="274"/>
      <c r="K3548" s="274"/>
      <c r="L3548" s="274"/>
      <c r="M3548" s="274"/>
      <c r="N3548" s="274"/>
      <c r="P3548" s="275"/>
    </row>
    <row r="3549" ht="15.75" customHeight="1">
      <c r="B3549" s="282"/>
      <c r="H3549" s="273"/>
      <c r="I3549" s="274"/>
      <c r="J3549" s="274"/>
      <c r="K3549" s="274"/>
      <c r="L3549" s="274"/>
      <c r="M3549" s="274"/>
      <c r="N3549" s="274"/>
      <c r="P3549" s="275"/>
    </row>
    <row r="3550" ht="15.75" customHeight="1">
      <c r="B3550" s="282"/>
      <c r="H3550" s="273"/>
      <c r="I3550" s="274"/>
      <c r="J3550" s="274"/>
      <c r="K3550" s="274"/>
      <c r="L3550" s="274"/>
      <c r="M3550" s="274"/>
      <c r="N3550" s="274"/>
      <c r="P3550" s="275"/>
    </row>
    <row r="3551" ht="15.75" customHeight="1">
      <c r="B3551" s="282"/>
      <c r="H3551" s="273"/>
      <c r="I3551" s="274"/>
      <c r="J3551" s="274"/>
      <c r="K3551" s="274"/>
      <c r="L3551" s="274"/>
      <c r="M3551" s="274"/>
      <c r="N3551" s="274"/>
      <c r="P3551" s="275"/>
    </row>
    <row r="3552" ht="15.75" customHeight="1">
      <c r="B3552" s="282"/>
      <c r="H3552" s="273"/>
      <c r="I3552" s="274"/>
      <c r="J3552" s="274"/>
      <c r="K3552" s="274"/>
      <c r="L3552" s="274"/>
      <c r="M3552" s="274"/>
      <c r="N3552" s="274"/>
      <c r="P3552" s="275"/>
    </row>
    <row r="3553" ht="15.75" customHeight="1">
      <c r="B3553" s="282"/>
      <c r="H3553" s="273"/>
      <c r="I3553" s="274"/>
      <c r="J3553" s="274"/>
      <c r="K3553" s="274"/>
      <c r="L3553" s="274"/>
      <c r="M3553" s="274"/>
      <c r="N3553" s="274"/>
      <c r="P3553" s="275"/>
    </row>
    <row r="3554" ht="15.75" customHeight="1">
      <c r="B3554" s="282"/>
      <c r="H3554" s="273"/>
      <c r="I3554" s="274"/>
      <c r="J3554" s="274"/>
      <c r="K3554" s="274"/>
      <c r="L3554" s="274"/>
      <c r="M3554" s="274"/>
      <c r="N3554" s="274"/>
      <c r="P3554" s="275"/>
    </row>
    <row r="3555" ht="15.75" customHeight="1">
      <c r="B3555" s="282"/>
      <c r="H3555" s="273"/>
      <c r="I3555" s="274"/>
      <c r="J3555" s="274"/>
      <c r="K3555" s="274"/>
      <c r="L3555" s="274"/>
      <c r="M3555" s="274"/>
      <c r="N3555" s="274"/>
      <c r="P3555" s="275"/>
    </row>
    <row r="3556" ht="15.75" customHeight="1">
      <c r="B3556" s="282"/>
      <c r="H3556" s="273"/>
      <c r="I3556" s="274"/>
      <c r="J3556" s="274"/>
      <c r="K3556" s="274"/>
      <c r="L3556" s="274"/>
      <c r="M3556" s="274"/>
      <c r="N3556" s="274"/>
      <c r="P3556" s="275"/>
    </row>
    <row r="3557" ht="15.75" customHeight="1">
      <c r="B3557" s="282"/>
      <c r="H3557" s="273"/>
      <c r="I3557" s="274"/>
      <c r="J3557" s="274"/>
      <c r="K3557" s="274"/>
      <c r="L3557" s="274"/>
      <c r="M3557" s="274"/>
      <c r="N3557" s="274"/>
      <c r="P3557" s="275"/>
    </row>
    <row r="3558" ht="15.75" customHeight="1">
      <c r="B3558" s="282"/>
      <c r="H3558" s="273"/>
      <c r="I3558" s="274"/>
      <c r="J3558" s="274"/>
      <c r="K3558" s="274"/>
      <c r="L3558" s="274"/>
      <c r="M3558" s="274"/>
      <c r="N3558" s="274"/>
      <c r="P3558" s="275"/>
    </row>
    <row r="3559" ht="15.75" customHeight="1">
      <c r="B3559" s="282"/>
      <c r="H3559" s="273"/>
      <c r="I3559" s="274"/>
      <c r="J3559" s="274"/>
      <c r="K3559" s="274"/>
      <c r="L3559" s="274"/>
      <c r="M3559" s="274"/>
      <c r="N3559" s="274"/>
      <c r="P3559" s="275"/>
    </row>
    <row r="3560" ht="15.75" customHeight="1">
      <c r="B3560" s="282"/>
      <c r="H3560" s="273"/>
      <c r="I3560" s="274"/>
      <c r="J3560" s="274"/>
      <c r="K3560" s="274"/>
      <c r="L3560" s="274"/>
      <c r="M3560" s="274"/>
      <c r="N3560" s="274"/>
      <c r="P3560" s="275"/>
    </row>
    <row r="3561" ht="15.75" customHeight="1">
      <c r="B3561" s="282"/>
      <c r="H3561" s="273"/>
      <c r="I3561" s="274"/>
      <c r="J3561" s="274"/>
      <c r="K3561" s="274"/>
      <c r="L3561" s="274"/>
      <c r="M3561" s="274"/>
      <c r="N3561" s="274"/>
      <c r="P3561" s="275"/>
    </row>
    <row r="3562" ht="15.75" customHeight="1">
      <c r="B3562" s="282"/>
      <c r="H3562" s="273"/>
      <c r="I3562" s="274"/>
      <c r="J3562" s="274"/>
      <c r="K3562" s="274"/>
      <c r="L3562" s="274"/>
      <c r="M3562" s="274"/>
      <c r="N3562" s="274"/>
      <c r="P3562" s="275"/>
    </row>
    <row r="3563" ht="15.75" customHeight="1">
      <c r="B3563" s="282"/>
      <c r="H3563" s="273"/>
      <c r="I3563" s="274"/>
      <c r="J3563" s="274"/>
      <c r="K3563" s="274"/>
      <c r="L3563" s="274"/>
      <c r="M3563" s="274"/>
      <c r="N3563" s="274"/>
      <c r="P3563" s="275"/>
    </row>
    <row r="3564" ht="15.75" customHeight="1">
      <c r="B3564" s="282"/>
      <c r="H3564" s="273"/>
      <c r="I3564" s="274"/>
      <c r="J3564" s="274"/>
      <c r="K3564" s="274"/>
      <c r="L3564" s="274"/>
      <c r="M3564" s="274"/>
      <c r="N3564" s="274"/>
      <c r="P3564" s="275"/>
    </row>
    <row r="3565" ht="15.75" customHeight="1">
      <c r="B3565" s="282"/>
      <c r="H3565" s="273"/>
      <c r="I3565" s="274"/>
      <c r="J3565" s="274"/>
      <c r="K3565" s="274"/>
      <c r="L3565" s="274"/>
      <c r="M3565" s="274"/>
      <c r="N3565" s="274"/>
      <c r="P3565" s="275"/>
    </row>
    <row r="3566" ht="15.75" customHeight="1">
      <c r="B3566" s="282"/>
      <c r="H3566" s="273"/>
      <c r="I3566" s="274"/>
      <c r="J3566" s="274"/>
      <c r="K3566" s="274"/>
      <c r="L3566" s="274"/>
      <c r="M3566" s="274"/>
      <c r="N3566" s="274"/>
      <c r="P3566" s="275"/>
    </row>
    <row r="3567" ht="15.75" customHeight="1">
      <c r="B3567" s="282"/>
      <c r="H3567" s="273"/>
      <c r="I3567" s="274"/>
      <c r="J3567" s="274"/>
      <c r="K3567" s="274"/>
      <c r="L3567" s="274"/>
      <c r="M3567" s="274"/>
      <c r="N3567" s="274"/>
      <c r="P3567" s="275"/>
    </row>
    <row r="3568" ht="15.75" customHeight="1">
      <c r="B3568" s="282"/>
      <c r="H3568" s="273"/>
      <c r="I3568" s="274"/>
      <c r="J3568" s="274"/>
      <c r="K3568" s="274"/>
      <c r="L3568" s="274"/>
      <c r="M3568" s="274"/>
      <c r="N3568" s="274"/>
      <c r="P3568" s="275"/>
    </row>
    <row r="3569" ht="15.75" customHeight="1">
      <c r="B3569" s="282"/>
      <c r="H3569" s="273"/>
      <c r="I3569" s="274"/>
      <c r="J3569" s="274"/>
      <c r="K3569" s="274"/>
      <c r="L3569" s="274"/>
      <c r="M3569" s="274"/>
      <c r="N3569" s="274"/>
      <c r="P3569" s="275"/>
    </row>
    <row r="3570" ht="15.75" customHeight="1">
      <c r="B3570" s="282"/>
      <c r="H3570" s="273"/>
      <c r="I3570" s="274"/>
      <c r="J3570" s="274"/>
      <c r="K3570" s="274"/>
      <c r="L3570" s="274"/>
      <c r="M3570" s="274"/>
      <c r="N3570" s="274"/>
      <c r="P3570" s="275"/>
    </row>
    <row r="3571" ht="15.75" customHeight="1">
      <c r="B3571" s="282"/>
      <c r="H3571" s="273"/>
      <c r="I3571" s="274"/>
      <c r="J3571" s="274"/>
      <c r="K3571" s="274"/>
      <c r="L3571" s="274"/>
      <c r="M3571" s="274"/>
      <c r="N3571" s="274"/>
      <c r="P3571" s="275"/>
    </row>
    <row r="3572" ht="15.75" customHeight="1">
      <c r="B3572" s="282"/>
      <c r="H3572" s="273"/>
      <c r="I3572" s="274"/>
      <c r="J3572" s="274"/>
      <c r="K3572" s="274"/>
      <c r="L3572" s="274"/>
      <c r="M3572" s="274"/>
      <c r="N3572" s="274"/>
      <c r="P3572" s="275"/>
    </row>
    <row r="3573" ht="15.75" customHeight="1">
      <c r="B3573" s="282"/>
      <c r="H3573" s="273"/>
      <c r="I3573" s="274"/>
      <c r="J3573" s="274"/>
      <c r="K3573" s="274"/>
      <c r="L3573" s="274"/>
      <c r="M3573" s="274"/>
      <c r="N3573" s="274"/>
      <c r="P3573" s="275"/>
    </row>
    <row r="3574" ht="15.75" customHeight="1">
      <c r="B3574" s="282"/>
      <c r="H3574" s="273"/>
      <c r="I3574" s="274"/>
      <c r="J3574" s="274"/>
      <c r="K3574" s="274"/>
      <c r="L3574" s="274"/>
      <c r="M3574" s="274"/>
      <c r="N3574" s="274"/>
      <c r="P3574" s="275"/>
    </row>
    <row r="3575" ht="15.75" customHeight="1">
      <c r="B3575" s="282"/>
      <c r="H3575" s="273"/>
      <c r="I3575" s="274"/>
      <c r="J3575" s="274"/>
      <c r="K3575" s="274"/>
      <c r="L3575" s="274"/>
      <c r="M3575" s="274"/>
      <c r="N3575" s="274"/>
      <c r="P3575" s="275"/>
    </row>
    <row r="3576" ht="15.75" customHeight="1">
      <c r="B3576" s="282"/>
      <c r="H3576" s="273"/>
      <c r="I3576" s="274"/>
      <c r="J3576" s="274"/>
      <c r="K3576" s="274"/>
      <c r="L3576" s="274"/>
      <c r="M3576" s="274"/>
      <c r="N3576" s="274"/>
      <c r="P3576" s="275"/>
    </row>
    <row r="3577" ht="15.75" customHeight="1">
      <c r="B3577" s="282"/>
      <c r="H3577" s="273"/>
      <c r="I3577" s="274"/>
      <c r="J3577" s="274"/>
      <c r="K3577" s="274"/>
      <c r="L3577" s="274"/>
      <c r="M3577" s="274"/>
      <c r="N3577" s="274"/>
      <c r="P3577" s="275"/>
    </row>
    <row r="3578" ht="15.75" customHeight="1">
      <c r="B3578" s="282"/>
      <c r="H3578" s="273"/>
      <c r="I3578" s="274"/>
      <c r="J3578" s="274"/>
      <c r="K3578" s="274"/>
      <c r="L3578" s="274"/>
      <c r="M3578" s="274"/>
      <c r="N3578" s="274"/>
      <c r="P3578" s="275"/>
    </row>
    <row r="3579" ht="15.75" customHeight="1">
      <c r="B3579" s="282"/>
      <c r="H3579" s="273"/>
      <c r="I3579" s="274"/>
      <c r="J3579" s="274"/>
      <c r="K3579" s="274"/>
      <c r="L3579" s="274"/>
      <c r="M3579" s="274"/>
      <c r="N3579" s="274"/>
      <c r="P3579" s="275"/>
    </row>
    <row r="3580" ht="15.75" customHeight="1">
      <c r="B3580" s="282"/>
      <c r="H3580" s="273"/>
      <c r="I3580" s="274"/>
      <c r="J3580" s="274"/>
      <c r="K3580" s="274"/>
      <c r="L3580" s="274"/>
      <c r="M3580" s="274"/>
      <c r="N3580" s="274"/>
      <c r="P3580" s="275"/>
    </row>
    <row r="3581" ht="15.75" customHeight="1">
      <c r="B3581" s="282"/>
      <c r="H3581" s="273"/>
      <c r="I3581" s="274"/>
      <c r="J3581" s="274"/>
      <c r="K3581" s="274"/>
      <c r="L3581" s="274"/>
      <c r="M3581" s="274"/>
      <c r="N3581" s="274"/>
      <c r="P3581" s="275"/>
    </row>
    <row r="3582" ht="15.75" customHeight="1">
      <c r="B3582" s="282"/>
      <c r="H3582" s="273"/>
      <c r="I3582" s="274"/>
      <c r="J3582" s="274"/>
      <c r="K3582" s="274"/>
      <c r="L3582" s="274"/>
      <c r="M3582" s="274"/>
      <c r="N3582" s="274"/>
      <c r="P3582" s="275"/>
    </row>
    <row r="3583" ht="15.75" customHeight="1">
      <c r="B3583" s="282"/>
      <c r="H3583" s="273"/>
      <c r="I3583" s="274"/>
      <c r="J3583" s="274"/>
      <c r="K3583" s="274"/>
      <c r="L3583" s="274"/>
      <c r="M3583" s="274"/>
      <c r="N3583" s="274"/>
      <c r="P3583" s="275"/>
    </row>
    <row r="3584" ht="15.75" customHeight="1">
      <c r="B3584" s="282"/>
      <c r="H3584" s="273"/>
      <c r="I3584" s="274"/>
      <c r="J3584" s="274"/>
      <c r="K3584" s="274"/>
      <c r="L3584" s="274"/>
      <c r="M3584" s="274"/>
      <c r="N3584" s="274"/>
      <c r="P3584" s="275"/>
    </row>
    <row r="3585" ht="15.75" customHeight="1">
      <c r="B3585" s="282"/>
      <c r="H3585" s="273"/>
      <c r="I3585" s="274"/>
      <c r="J3585" s="274"/>
      <c r="K3585" s="274"/>
      <c r="L3585" s="274"/>
      <c r="M3585" s="274"/>
      <c r="N3585" s="274"/>
      <c r="P3585" s="275"/>
    </row>
    <row r="3586" ht="15.75" customHeight="1">
      <c r="B3586" s="282"/>
      <c r="H3586" s="273"/>
      <c r="I3586" s="274"/>
      <c r="J3586" s="274"/>
      <c r="K3586" s="274"/>
      <c r="L3586" s="274"/>
      <c r="M3586" s="274"/>
      <c r="N3586" s="274"/>
      <c r="P3586" s="275"/>
    </row>
    <row r="3587" ht="15.75" customHeight="1">
      <c r="B3587" s="282"/>
      <c r="H3587" s="273"/>
      <c r="I3587" s="274"/>
      <c r="J3587" s="274"/>
      <c r="K3587" s="274"/>
      <c r="L3587" s="274"/>
      <c r="M3587" s="274"/>
      <c r="N3587" s="274"/>
      <c r="P3587" s="275"/>
    </row>
    <row r="3588" ht="15.75" customHeight="1">
      <c r="B3588" s="282"/>
      <c r="H3588" s="273"/>
      <c r="I3588" s="274"/>
      <c r="J3588" s="274"/>
      <c r="K3588" s="274"/>
      <c r="L3588" s="274"/>
      <c r="M3588" s="274"/>
      <c r="N3588" s="274"/>
      <c r="P3588" s="275"/>
    </row>
    <row r="3589" ht="15.75" customHeight="1">
      <c r="B3589" s="282"/>
      <c r="H3589" s="273"/>
      <c r="I3589" s="274"/>
      <c r="J3589" s="274"/>
      <c r="K3589" s="274"/>
      <c r="L3589" s="274"/>
      <c r="M3589" s="274"/>
      <c r="N3589" s="274"/>
      <c r="P3589" s="275"/>
    </row>
    <row r="3590" ht="15.75" customHeight="1">
      <c r="B3590" s="282"/>
      <c r="H3590" s="273"/>
      <c r="I3590" s="274"/>
      <c r="J3590" s="274"/>
      <c r="K3590" s="274"/>
      <c r="L3590" s="274"/>
      <c r="M3590" s="274"/>
      <c r="N3590" s="274"/>
      <c r="P3590" s="275"/>
    </row>
    <row r="3591" ht="15.75" customHeight="1">
      <c r="B3591" s="282"/>
      <c r="H3591" s="273"/>
      <c r="I3591" s="274"/>
      <c r="J3591" s="274"/>
      <c r="K3591" s="274"/>
      <c r="L3591" s="274"/>
      <c r="M3591" s="274"/>
      <c r="N3591" s="274"/>
      <c r="P3591" s="275"/>
    </row>
    <row r="3592" ht="15.75" customHeight="1">
      <c r="B3592" s="282"/>
      <c r="H3592" s="273"/>
      <c r="I3592" s="274"/>
      <c r="J3592" s="274"/>
      <c r="K3592" s="274"/>
      <c r="L3592" s="274"/>
      <c r="M3592" s="274"/>
      <c r="N3592" s="274"/>
      <c r="P3592" s="275"/>
    </row>
    <row r="3593" ht="15.75" customHeight="1">
      <c r="B3593" s="282"/>
      <c r="H3593" s="273"/>
      <c r="I3593" s="274"/>
      <c r="J3593" s="274"/>
      <c r="K3593" s="274"/>
      <c r="L3593" s="274"/>
      <c r="M3593" s="274"/>
      <c r="N3593" s="274"/>
      <c r="P3593" s="275"/>
    </row>
    <row r="3594" ht="15.75" customHeight="1">
      <c r="B3594" s="282"/>
      <c r="H3594" s="273"/>
      <c r="I3594" s="274"/>
      <c r="J3594" s="274"/>
      <c r="K3594" s="274"/>
      <c r="L3594" s="274"/>
      <c r="M3594" s="274"/>
      <c r="N3594" s="274"/>
      <c r="P3594" s="275"/>
    </row>
    <row r="3595" ht="15.75" customHeight="1">
      <c r="B3595" s="282"/>
      <c r="H3595" s="273"/>
      <c r="I3595" s="274"/>
      <c r="J3595" s="274"/>
      <c r="K3595" s="274"/>
      <c r="L3595" s="274"/>
      <c r="M3595" s="274"/>
      <c r="N3595" s="274"/>
      <c r="P3595" s="275"/>
    </row>
    <row r="3596" ht="15.75" customHeight="1">
      <c r="B3596" s="282"/>
      <c r="H3596" s="273"/>
      <c r="I3596" s="274"/>
      <c r="J3596" s="274"/>
      <c r="K3596" s="274"/>
      <c r="L3596" s="274"/>
      <c r="M3596" s="274"/>
      <c r="N3596" s="274"/>
      <c r="P3596" s="275"/>
    </row>
    <row r="3597" ht="15.75" customHeight="1">
      <c r="B3597" s="282"/>
      <c r="H3597" s="273"/>
      <c r="I3597" s="274"/>
      <c r="J3597" s="274"/>
      <c r="K3597" s="274"/>
      <c r="L3597" s="274"/>
      <c r="M3597" s="274"/>
      <c r="N3597" s="274"/>
      <c r="P3597" s="275"/>
    </row>
    <row r="3598" ht="15.75" customHeight="1">
      <c r="B3598" s="282"/>
      <c r="H3598" s="273"/>
      <c r="I3598" s="274"/>
      <c r="J3598" s="274"/>
      <c r="K3598" s="274"/>
      <c r="L3598" s="274"/>
      <c r="M3598" s="274"/>
      <c r="N3598" s="274"/>
      <c r="P3598" s="275"/>
    </row>
    <row r="3599" ht="15.75" customHeight="1">
      <c r="B3599" s="282"/>
      <c r="H3599" s="273"/>
      <c r="I3599" s="274"/>
      <c r="J3599" s="274"/>
      <c r="K3599" s="274"/>
      <c r="L3599" s="274"/>
      <c r="M3599" s="274"/>
      <c r="N3599" s="274"/>
      <c r="P3599" s="275"/>
    </row>
    <row r="3600" ht="15.75" customHeight="1">
      <c r="B3600" s="282"/>
      <c r="H3600" s="273"/>
      <c r="I3600" s="274"/>
      <c r="J3600" s="274"/>
      <c r="K3600" s="274"/>
      <c r="L3600" s="274"/>
      <c r="M3600" s="274"/>
      <c r="N3600" s="274"/>
      <c r="P3600" s="275"/>
    </row>
    <row r="3601" ht="15.75" customHeight="1">
      <c r="B3601" s="282"/>
      <c r="H3601" s="273"/>
      <c r="I3601" s="274"/>
      <c r="J3601" s="274"/>
      <c r="K3601" s="274"/>
      <c r="L3601" s="274"/>
      <c r="M3601" s="274"/>
      <c r="N3601" s="274"/>
      <c r="P3601" s="275"/>
    </row>
    <row r="3602" ht="15.75" customHeight="1">
      <c r="B3602" s="282"/>
      <c r="H3602" s="273"/>
      <c r="I3602" s="274"/>
      <c r="J3602" s="274"/>
      <c r="K3602" s="274"/>
      <c r="L3602" s="274"/>
      <c r="M3602" s="274"/>
      <c r="N3602" s="274"/>
      <c r="P3602" s="275"/>
    </row>
    <row r="3603" ht="15.75" customHeight="1">
      <c r="B3603" s="282"/>
      <c r="H3603" s="273"/>
      <c r="I3603" s="274"/>
      <c r="J3603" s="274"/>
      <c r="K3603" s="274"/>
      <c r="L3603" s="274"/>
      <c r="M3603" s="274"/>
      <c r="N3603" s="274"/>
      <c r="P3603" s="275"/>
    </row>
    <row r="3604" ht="15.75" customHeight="1">
      <c r="B3604" s="282"/>
      <c r="H3604" s="273"/>
      <c r="I3604" s="274"/>
      <c r="J3604" s="274"/>
      <c r="K3604" s="274"/>
      <c r="L3604" s="274"/>
      <c r="M3604" s="274"/>
      <c r="N3604" s="274"/>
      <c r="P3604" s="275"/>
    </row>
    <row r="3605" ht="15.75" customHeight="1">
      <c r="B3605" s="282"/>
      <c r="H3605" s="273"/>
      <c r="I3605" s="274"/>
      <c r="J3605" s="274"/>
      <c r="K3605" s="274"/>
      <c r="L3605" s="274"/>
      <c r="M3605" s="274"/>
      <c r="N3605" s="274"/>
      <c r="P3605" s="275"/>
    </row>
    <row r="3606" ht="15.75" customHeight="1">
      <c r="B3606" s="282"/>
      <c r="H3606" s="273"/>
      <c r="I3606" s="274"/>
      <c r="J3606" s="274"/>
      <c r="K3606" s="274"/>
      <c r="L3606" s="274"/>
      <c r="M3606" s="274"/>
      <c r="N3606" s="274"/>
      <c r="P3606" s="275"/>
    </row>
    <row r="3607" ht="15.75" customHeight="1">
      <c r="B3607" s="282"/>
      <c r="H3607" s="273"/>
      <c r="I3607" s="274"/>
      <c r="J3607" s="274"/>
      <c r="K3607" s="274"/>
      <c r="L3607" s="274"/>
      <c r="M3607" s="274"/>
      <c r="N3607" s="274"/>
      <c r="P3607" s="275"/>
    </row>
    <row r="3608" ht="15.75" customHeight="1">
      <c r="B3608" s="282"/>
      <c r="H3608" s="273"/>
      <c r="I3608" s="274"/>
      <c r="J3608" s="274"/>
      <c r="K3608" s="274"/>
      <c r="L3608" s="274"/>
      <c r="M3608" s="274"/>
      <c r="N3608" s="274"/>
      <c r="P3608" s="275"/>
    </row>
    <row r="3609" ht="15.75" customHeight="1">
      <c r="B3609" s="282"/>
      <c r="H3609" s="273"/>
      <c r="I3609" s="274"/>
      <c r="J3609" s="274"/>
      <c r="K3609" s="274"/>
      <c r="L3609" s="274"/>
      <c r="M3609" s="274"/>
      <c r="N3609" s="274"/>
      <c r="P3609" s="275"/>
    </row>
    <row r="3610" ht="15.75" customHeight="1">
      <c r="B3610" s="282"/>
      <c r="H3610" s="273"/>
      <c r="I3610" s="274"/>
      <c r="J3610" s="274"/>
      <c r="K3610" s="274"/>
      <c r="L3610" s="274"/>
      <c r="M3610" s="274"/>
      <c r="N3610" s="274"/>
      <c r="P3610" s="275"/>
    </row>
    <row r="3611" ht="15.75" customHeight="1">
      <c r="B3611" s="282"/>
      <c r="H3611" s="273"/>
      <c r="I3611" s="274"/>
      <c r="J3611" s="274"/>
      <c r="K3611" s="274"/>
      <c r="L3611" s="274"/>
      <c r="M3611" s="274"/>
      <c r="N3611" s="274"/>
      <c r="P3611" s="275"/>
    </row>
    <row r="3612" ht="15.75" customHeight="1">
      <c r="B3612" s="282"/>
      <c r="H3612" s="273"/>
      <c r="I3612" s="274"/>
      <c r="J3612" s="274"/>
      <c r="K3612" s="274"/>
      <c r="L3612" s="274"/>
      <c r="M3612" s="274"/>
      <c r="N3612" s="274"/>
      <c r="P3612" s="275"/>
    </row>
    <row r="3613" ht="15.75" customHeight="1">
      <c r="B3613" s="282"/>
      <c r="H3613" s="273"/>
      <c r="I3613" s="274"/>
      <c r="J3613" s="274"/>
      <c r="K3613" s="274"/>
      <c r="L3613" s="274"/>
      <c r="M3613" s="274"/>
      <c r="N3613" s="274"/>
      <c r="P3613" s="275"/>
    </row>
    <row r="3614" ht="15.75" customHeight="1">
      <c r="B3614" s="282"/>
      <c r="H3614" s="273"/>
      <c r="I3614" s="274"/>
      <c r="J3614" s="274"/>
      <c r="K3614" s="274"/>
      <c r="L3614" s="274"/>
      <c r="M3614" s="274"/>
      <c r="N3614" s="274"/>
      <c r="P3614" s="275"/>
    </row>
    <row r="3615" ht="15.75" customHeight="1">
      <c r="B3615" s="282"/>
      <c r="H3615" s="273"/>
      <c r="I3615" s="274"/>
      <c r="J3615" s="274"/>
      <c r="K3615" s="274"/>
      <c r="L3615" s="274"/>
      <c r="M3615" s="274"/>
      <c r="N3615" s="274"/>
      <c r="P3615" s="275"/>
    </row>
    <row r="3616" ht="15.75" customHeight="1">
      <c r="B3616" s="282"/>
      <c r="H3616" s="273"/>
      <c r="I3616" s="274"/>
      <c r="J3616" s="274"/>
      <c r="K3616" s="274"/>
      <c r="L3616" s="274"/>
      <c r="M3616" s="274"/>
      <c r="N3616" s="274"/>
      <c r="P3616" s="275"/>
    </row>
    <row r="3617" ht="15.75" customHeight="1">
      <c r="B3617" s="282"/>
      <c r="H3617" s="273"/>
      <c r="I3617" s="274"/>
      <c r="J3617" s="274"/>
      <c r="K3617" s="274"/>
      <c r="L3617" s="274"/>
      <c r="M3617" s="274"/>
      <c r="N3617" s="274"/>
      <c r="P3617" s="275"/>
    </row>
    <row r="3618" ht="15.75" customHeight="1">
      <c r="B3618" s="282"/>
      <c r="H3618" s="273"/>
      <c r="I3618" s="274"/>
      <c r="J3618" s="274"/>
      <c r="K3618" s="274"/>
      <c r="L3618" s="274"/>
      <c r="M3618" s="274"/>
      <c r="N3618" s="274"/>
      <c r="P3618" s="275"/>
    </row>
    <row r="3619" ht="15.75" customHeight="1">
      <c r="B3619" s="282"/>
      <c r="H3619" s="273"/>
      <c r="I3619" s="274"/>
      <c r="J3619" s="274"/>
      <c r="K3619" s="274"/>
      <c r="L3619" s="274"/>
      <c r="M3619" s="274"/>
      <c r="N3619" s="274"/>
      <c r="P3619" s="275"/>
    </row>
    <row r="3620" ht="15.75" customHeight="1">
      <c r="B3620" s="282"/>
      <c r="H3620" s="273"/>
      <c r="I3620" s="274"/>
      <c r="J3620" s="274"/>
      <c r="K3620" s="274"/>
      <c r="L3620" s="274"/>
      <c r="M3620" s="274"/>
      <c r="N3620" s="274"/>
      <c r="P3620" s="275"/>
    </row>
    <row r="3621" ht="15.75" customHeight="1">
      <c r="B3621" s="282"/>
      <c r="H3621" s="273"/>
      <c r="I3621" s="274"/>
      <c r="J3621" s="274"/>
      <c r="K3621" s="274"/>
      <c r="L3621" s="274"/>
      <c r="M3621" s="274"/>
      <c r="N3621" s="274"/>
      <c r="P3621" s="275"/>
    </row>
    <row r="3622" ht="15.75" customHeight="1">
      <c r="B3622" s="282"/>
      <c r="H3622" s="273"/>
      <c r="I3622" s="274"/>
      <c r="J3622" s="274"/>
      <c r="K3622" s="274"/>
      <c r="L3622" s="274"/>
      <c r="M3622" s="274"/>
      <c r="N3622" s="274"/>
      <c r="P3622" s="275"/>
    </row>
    <row r="3623" ht="15.75" customHeight="1">
      <c r="B3623" s="282"/>
      <c r="H3623" s="273"/>
      <c r="I3623" s="274"/>
      <c r="J3623" s="274"/>
      <c r="K3623" s="274"/>
      <c r="L3623" s="274"/>
      <c r="M3623" s="274"/>
      <c r="N3623" s="274"/>
      <c r="P3623" s="275"/>
    </row>
    <row r="3624" ht="15.75" customHeight="1">
      <c r="B3624" s="282"/>
      <c r="H3624" s="273"/>
      <c r="I3624" s="274"/>
      <c r="J3624" s="274"/>
      <c r="K3624" s="274"/>
      <c r="L3624" s="274"/>
      <c r="M3624" s="274"/>
      <c r="N3624" s="274"/>
      <c r="P3624" s="275"/>
    </row>
    <row r="3625" ht="15.75" customHeight="1">
      <c r="B3625" s="282"/>
      <c r="H3625" s="273"/>
      <c r="I3625" s="274"/>
      <c r="J3625" s="274"/>
      <c r="K3625" s="274"/>
      <c r="L3625" s="274"/>
      <c r="M3625" s="274"/>
      <c r="N3625" s="274"/>
      <c r="P3625" s="275"/>
    </row>
    <row r="3626" ht="15.75" customHeight="1">
      <c r="B3626" s="282"/>
      <c r="H3626" s="273"/>
      <c r="I3626" s="274"/>
      <c r="J3626" s="274"/>
      <c r="K3626" s="274"/>
      <c r="L3626" s="274"/>
      <c r="M3626" s="274"/>
      <c r="N3626" s="274"/>
      <c r="P3626" s="275"/>
    </row>
    <row r="3627" ht="15.75" customHeight="1">
      <c r="B3627" s="282"/>
      <c r="H3627" s="273"/>
      <c r="I3627" s="274"/>
      <c r="J3627" s="274"/>
      <c r="K3627" s="274"/>
      <c r="L3627" s="274"/>
      <c r="M3627" s="274"/>
      <c r="N3627" s="274"/>
      <c r="P3627" s="275"/>
    </row>
    <row r="3628" ht="15.75" customHeight="1">
      <c r="B3628" s="282"/>
      <c r="H3628" s="273"/>
      <c r="I3628" s="274"/>
      <c r="J3628" s="274"/>
      <c r="K3628" s="274"/>
      <c r="L3628" s="274"/>
      <c r="M3628" s="274"/>
      <c r="N3628" s="274"/>
      <c r="P3628" s="275"/>
    </row>
    <row r="3629" ht="15.75" customHeight="1">
      <c r="B3629" s="282"/>
      <c r="H3629" s="273"/>
      <c r="I3629" s="274"/>
      <c r="J3629" s="274"/>
      <c r="K3629" s="274"/>
      <c r="L3629" s="274"/>
      <c r="M3629" s="274"/>
      <c r="N3629" s="274"/>
      <c r="P3629" s="275"/>
    </row>
    <row r="3630" ht="15.75" customHeight="1">
      <c r="B3630" s="282"/>
      <c r="H3630" s="273"/>
      <c r="I3630" s="274"/>
      <c r="J3630" s="274"/>
      <c r="K3630" s="274"/>
      <c r="L3630" s="274"/>
      <c r="M3630" s="274"/>
      <c r="N3630" s="274"/>
      <c r="P3630" s="275"/>
    </row>
    <row r="3631" ht="15.75" customHeight="1">
      <c r="B3631" s="282"/>
      <c r="H3631" s="273"/>
      <c r="I3631" s="274"/>
      <c r="J3631" s="274"/>
      <c r="K3631" s="274"/>
      <c r="L3631" s="274"/>
      <c r="M3631" s="274"/>
      <c r="N3631" s="274"/>
      <c r="P3631" s="275"/>
    </row>
    <row r="3632" ht="15.75" customHeight="1">
      <c r="B3632" s="282"/>
      <c r="H3632" s="273"/>
      <c r="I3632" s="274"/>
      <c r="J3632" s="274"/>
      <c r="K3632" s="274"/>
      <c r="L3632" s="274"/>
      <c r="M3632" s="274"/>
      <c r="N3632" s="274"/>
      <c r="P3632" s="275"/>
    </row>
    <row r="3633" ht="15.75" customHeight="1">
      <c r="B3633" s="282"/>
      <c r="H3633" s="273"/>
      <c r="I3633" s="274"/>
      <c r="J3633" s="274"/>
      <c r="K3633" s="274"/>
      <c r="L3633" s="274"/>
      <c r="M3633" s="274"/>
      <c r="N3633" s="274"/>
      <c r="P3633" s="275"/>
    </row>
    <row r="3634" ht="15.75" customHeight="1">
      <c r="B3634" s="282"/>
      <c r="H3634" s="273"/>
      <c r="I3634" s="274"/>
      <c r="J3634" s="274"/>
      <c r="K3634" s="274"/>
      <c r="L3634" s="274"/>
      <c r="M3634" s="274"/>
      <c r="N3634" s="274"/>
      <c r="P3634" s="275"/>
    </row>
    <row r="3635" ht="15.75" customHeight="1">
      <c r="B3635" s="282"/>
      <c r="H3635" s="273"/>
      <c r="I3635" s="274"/>
      <c r="J3635" s="274"/>
      <c r="K3635" s="274"/>
      <c r="L3635" s="274"/>
      <c r="M3635" s="274"/>
      <c r="N3635" s="274"/>
      <c r="P3635" s="275"/>
    </row>
    <row r="3636" ht="15.75" customHeight="1">
      <c r="B3636" s="282"/>
      <c r="H3636" s="273"/>
      <c r="I3636" s="274"/>
      <c r="J3636" s="274"/>
      <c r="K3636" s="274"/>
      <c r="L3636" s="274"/>
      <c r="M3636" s="274"/>
      <c r="N3636" s="274"/>
      <c r="P3636" s="275"/>
    </row>
    <row r="3637" ht="15.75" customHeight="1">
      <c r="B3637" s="282"/>
      <c r="H3637" s="273"/>
      <c r="I3637" s="274"/>
      <c r="J3637" s="274"/>
      <c r="K3637" s="274"/>
      <c r="L3637" s="274"/>
      <c r="M3637" s="274"/>
      <c r="N3637" s="274"/>
      <c r="P3637" s="275"/>
    </row>
    <row r="3638" ht="15.75" customHeight="1">
      <c r="B3638" s="282"/>
      <c r="H3638" s="273"/>
      <c r="I3638" s="274"/>
      <c r="J3638" s="274"/>
      <c r="K3638" s="274"/>
      <c r="L3638" s="274"/>
      <c r="M3638" s="274"/>
      <c r="N3638" s="274"/>
      <c r="P3638" s="275"/>
    </row>
    <row r="3639" ht="15.75" customHeight="1">
      <c r="B3639" s="282"/>
      <c r="H3639" s="273"/>
      <c r="I3639" s="274"/>
      <c r="J3639" s="274"/>
      <c r="K3639" s="274"/>
      <c r="L3639" s="274"/>
      <c r="M3639" s="274"/>
      <c r="N3639" s="274"/>
      <c r="P3639" s="275"/>
    </row>
    <row r="3640" ht="15.75" customHeight="1">
      <c r="B3640" s="282"/>
      <c r="H3640" s="273"/>
      <c r="I3640" s="274"/>
      <c r="J3640" s="274"/>
      <c r="K3640" s="274"/>
      <c r="L3640" s="274"/>
      <c r="M3640" s="274"/>
      <c r="N3640" s="274"/>
      <c r="P3640" s="275"/>
    </row>
    <row r="3641" ht="15.75" customHeight="1">
      <c r="B3641" s="282"/>
      <c r="H3641" s="273"/>
      <c r="I3641" s="274"/>
      <c r="J3641" s="274"/>
      <c r="K3641" s="274"/>
      <c r="L3641" s="274"/>
      <c r="M3641" s="274"/>
      <c r="N3641" s="274"/>
      <c r="P3641" s="275"/>
    </row>
    <row r="3642" ht="15.75" customHeight="1">
      <c r="B3642" s="282"/>
      <c r="H3642" s="273"/>
      <c r="I3642" s="274"/>
      <c r="J3642" s="274"/>
      <c r="K3642" s="274"/>
      <c r="L3642" s="274"/>
      <c r="M3642" s="274"/>
      <c r="N3642" s="274"/>
      <c r="P3642" s="275"/>
    </row>
    <row r="3643" ht="15.75" customHeight="1">
      <c r="B3643" s="282"/>
      <c r="H3643" s="273"/>
      <c r="I3643" s="274"/>
      <c r="J3643" s="274"/>
      <c r="K3643" s="274"/>
      <c r="L3643" s="274"/>
      <c r="M3643" s="274"/>
      <c r="N3643" s="274"/>
      <c r="P3643" s="275"/>
    </row>
    <row r="3644" ht="15.75" customHeight="1">
      <c r="B3644" s="282"/>
      <c r="H3644" s="273"/>
      <c r="I3644" s="274"/>
      <c r="J3644" s="274"/>
      <c r="K3644" s="274"/>
      <c r="L3644" s="274"/>
      <c r="M3644" s="274"/>
      <c r="N3644" s="274"/>
      <c r="P3644" s="275"/>
    </row>
    <row r="3645" ht="15.75" customHeight="1">
      <c r="B3645" s="282"/>
      <c r="H3645" s="273"/>
      <c r="I3645" s="274"/>
      <c r="J3645" s="274"/>
      <c r="K3645" s="274"/>
      <c r="L3645" s="274"/>
      <c r="M3645" s="274"/>
      <c r="N3645" s="274"/>
      <c r="P3645" s="275"/>
    </row>
    <row r="3646" ht="15.75" customHeight="1">
      <c r="B3646" s="282"/>
      <c r="H3646" s="273"/>
      <c r="I3646" s="274"/>
      <c r="J3646" s="274"/>
      <c r="K3646" s="274"/>
      <c r="L3646" s="274"/>
      <c r="M3646" s="274"/>
      <c r="N3646" s="274"/>
      <c r="P3646" s="275"/>
    </row>
    <row r="3647" ht="15.75" customHeight="1">
      <c r="B3647" s="282"/>
      <c r="H3647" s="273"/>
      <c r="I3647" s="274"/>
      <c r="J3647" s="274"/>
      <c r="K3647" s="274"/>
      <c r="L3647" s="274"/>
      <c r="M3647" s="274"/>
      <c r="N3647" s="274"/>
      <c r="P3647" s="275"/>
    </row>
    <row r="3648" ht="15.75" customHeight="1">
      <c r="B3648" s="282"/>
      <c r="H3648" s="273"/>
      <c r="I3648" s="274"/>
      <c r="J3648" s="274"/>
      <c r="K3648" s="274"/>
      <c r="L3648" s="274"/>
      <c r="M3648" s="274"/>
      <c r="N3648" s="274"/>
      <c r="P3648" s="275"/>
    </row>
    <row r="3649" ht="15.75" customHeight="1">
      <c r="B3649" s="282"/>
      <c r="H3649" s="273"/>
      <c r="I3649" s="274"/>
      <c r="J3649" s="274"/>
      <c r="K3649" s="274"/>
      <c r="L3649" s="274"/>
      <c r="M3649" s="274"/>
      <c r="N3649" s="274"/>
      <c r="P3649" s="275"/>
    </row>
    <row r="3650" ht="15.75" customHeight="1">
      <c r="B3650" s="282"/>
      <c r="H3650" s="273"/>
      <c r="I3650" s="274"/>
      <c r="J3650" s="274"/>
      <c r="K3650" s="274"/>
      <c r="L3650" s="274"/>
      <c r="M3650" s="274"/>
      <c r="N3650" s="274"/>
      <c r="P3650" s="275"/>
    </row>
    <row r="3651" ht="15.75" customHeight="1">
      <c r="B3651" s="282"/>
      <c r="H3651" s="273"/>
      <c r="I3651" s="274"/>
      <c r="J3651" s="274"/>
      <c r="K3651" s="274"/>
      <c r="L3651" s="274"/>
      <c r="M3651" s="274"/>
      <c r="N3651" s="274"/>
      <c r="P3651" s="275"/>
    </row>
    <row r="3652" ht="15.75" customHeight="1">
      <c r="B3652" s="282"/>
      <c r="H3652" s="273"/>
      <c r="I3652" s="274"/>
      <c r="J3652" s="274"/>
      <c r="K3652" s="274"/>
      <c r="L3652" s="274"/>
      <c r="M3652" s="274"/>
      <c r="N3652" s="274"/>
      <c r="P3652" s="275"/>
    </row>
    <row r="3653" ht="15.75" customHeight="1">
      <c r="B3653" s="282"/>
      <c r="H3653" s="273"/>
      <c r="I3653" s="274"/>
      <c r="J3653" s="274"/>
      <c r="K3653" s="274"/>
      <c r="L3653" s="274"/>
      <c r="M3653" s="274"/>
      <c r="N3653" s="274"/>
      <c r="P3653" s="275"/>
    </row>
    <row r="3654" ht="15.75" customHeight="1">
      <c r="B3654" s="282"/>
      <c r="H3654" s="273"/>
      <c r="I3654" s="274"/>
      <c r="J3654" s="274"/>
      <c r="K3654" s="274"/>
      <c r="L3654" s="274"/>
      <c r="M3654" s="274"/>
      <c r="N3654" s="274"/>
      <c r="P3654" s="275"/>
    </row>
    <row r="3655" ht="15.75" customHeight="1">
      <c r="B3655" s="282"/>
      <c r="H3655" s="273"/>
      <c r="I3655" s="274"/>
      <c r="J3655" s="274"/>
      <c r="K3655" s="274"/>
      <c r="L3655" s="274"/>
      <c r="M3655" s="274"/>
      <c r="N3655" s="274"/>
      <c r="P3655" s="275"/>
    </row>
    <row r="3656" ht="15.75" customHeight="1">
      <c r="B3656" s="282"/>
      <c r="H3656" s="273"/>
      <c r="I3656" s="274"/>
      <c r="J3656" s="274"/>
      <c r="K3656" s="274"/>
      <c r="L3656" s="274"/>
      <c r="M3656" s="274"/>
      <c r="N3656" s="274"/>
      <c r="P3656" s="275"/>
    </row>
    <row r="3657" ht="15.75" customHeight="1">
      <c r="B3657" s="282"/>
      <c r="H3657" s="273"/>
      <c r="I3657" s="274"/>
      <c r="J3657" s="274"/>
      <c r="K3657" s="274"/>
      <c r="L3657" s="274"/>
      <c r="M3657" s="274"/>
      <c r="N3657" s="274"/>
      <c r="P3657" s="275"/>
    </row>
    <row r="3658" ht="15.75" customHeight="1">
      <c r="B3658" s="282"/>
      <c r="H3658" s="273"/>
      <c r="I3658" s="274"/>
      <c r="J3658" s="274"/>
      <c r="K3658" s="274"/>
      <c r="L3658" s="274"/>
      <c r="M3658" s="274"/>
      <c r="N3658" s="274"/>
      <c r="P3658" s="275"/>
    </row>
    <row r="3659" ht="15.75" customHeight="1">
      <c r="B3659" s="282"/>
      <c r="H3659" s="273"/>
      <c r="I3659" s="274"/>
      <c r="J3659" s="274"/>
      <c r="K3659" s="274"/>
      <c r="L3659" s="274"/>
      <c r="M3659" s="274"/>
      <c r="N3659" s="274"/>
      <c r="P3659" s="275"/>
    </row>
    <row r="3660" ht="15.75" customHeight="1">
      <c r="B3660" s="282"/>
      <c r="H3660" s="273"/>
      <c r="I3660" s="274"/>
      <c r="J3660" s="274"/>
      <c r="K3660" s="274"/>
      <c r="L3660" s="274"/>
      <c r="M3660" s="274"/>
      <c r="N3660" s="274"/>
      <c r="P3660" s="275"/>
    </row>
    <row r="3661" ht="15.75" customHeight="1">
      <c r="B3661" s="282"/>
      <c r="H3661" s="273"/>
      <c r="I3661" s="274"/>
      <c r="J3661" s="274"/>
      <c r="K3661" s="274"/>
      <c r="L3661" s="274"/>
      <c r="M3661" s="274"/>
      <c r="N3661" s="274"/>
      <c r="P3661" s="275"/>
    </row>
    <row r="3662" ht="15.75" customHeight="1">
      <c r="B3662" s="282"/>
      <c r="H3662" s="273"/>
      <c r="I3662" s="274"/>
      <c r="J3662" s="274"/>
      <c r="K3662" s="274"/>
      <c r="L3662" s="274"/>
      <c r="M3662" s="274"/>
      <c r="N3662" s="274"/>
      <c r="P3662" s="275"/>
    </row>
    <row r="3663" ht="15.75" customHeight="1">
      <c r="B3663" s="282"/>
      <c r="H3663" s="273"/>
      <c r="I3663" s="274"/>
      <c r="J3663" s="274"/>
      <c r="K3663" s="274"/>
      <c r="L3663" s="274"/>
      <c r="M3663" s="274"/>
      <c r="N3663" s="274"/>
      <c r="P3663" s="275"/>
    </row>
    <row r="3664" ht="15.75" customHeight="1">
      <c r="B3664" s="282"/>
      <c r="H3664" s="273"/>
      <c r="I3664" s="274"/>
      <c r="J3664" s="274"/>
      <c r="K3664" s="274"/>
      <c r="L3664" s="274"/>
      <c r="M3664" s="274"/>
      <c r="N3664" s="274"/>
      <c r="P3664" s="275"/>
    </row>
    <row r="3665" ht="15.75" customHeight="1">
      <c r="B3665" s="282"/>
      <c r="H3665" s="273"/>
      <c r="I3665" s="274"/>
      <c r="J3665" s="274"/>
      <c r="K3665" s="274"/>
      <c r="L3665" s="274"/>
      <c r="M3665" s="274"/>
      <c r="N3665" s="274"/>
      <c r="P3665" s="275"/>
    </row>
    <row r="3666" ht="15.75" customHeight="1">
      <c r="B3666" s="282"/>
      <c r="H3666" s="273"/>
      <c r="I3666" s="274"/>
      <c r="J3666" s="274"/>
      <c r="K3666" s="274"/>
      <c r="L3666" s="274"/>
      <c r="M3666" s="274"/>
      <c r="N3666" s="274"/>
      <c r="P3666" s="275"/>
    </row>
    <row r="3667" ht="15.75" customHeight="1">
      <c r="B3667" s="282"/>
      <c r="H3667" s="273"/>
      <c r="I3667" s="274"/>
      <c r="J3667" s="274"/>
      <c r="K3667" s="274"/>
      <c r="L3667" s="274"/>
      <c r="M3667" s="274"/>
      <c r="N3667" s="274"/>
      <c r="P3667" s="275"/>
    </row>
    <row r="3668" ht="15.75" customHeight="1">
      <c r="B3668" s="282"/>
      <c r="H3668" s="273"/>
      <c r="I3668" s="274"/>
      <c r="J3668" s="274"/>
      <c r="K3668" s="274"/>
      <c r="L3668" s="274"/>
      <c r="M3668" s="274"/>
      <c r="N3668" s="274"/>
      <c r="P3668" s="275"/>
    </row>
    <row r="3669" ht="15.75" customHeight="1">
      <c r="B3669" s="282"/>
      <c r="H3669" s="273"/>
      <c r="I3669" s="274"/>
      <c r="J3669" s="274"/>
      <c r="K3669" s="274"/>
      <c r="L3669" s="274"/>
      <c r="M3669" s="274"/>
      <c r="N3669" s="274"/>
      <c r="P3669" s="275"/>
    </row>
    <row r="3670" ht="15.75" customHeight="1">
      <c r="B3670" s="282"/>
      <c r="H3670" s="273"/>
      <c r="I3670" s="274"/>
      <c r="J3670" s="274"/>
      <c r="K3670" s="274"/>
      <c r="L3670" s="274"/>
      <c r="M3670" s="274"/>
      <c r="N3670" s="274"/>
      <c r="P3670" s="275"/>
    </row>
    <row r="3671" ht="15.75" customHeight="1">
      <c r="B3671" s="282"/>
      <c r="H3671" s="273"/>
      <c r="I3671" s="274"/>
      <c r="J3671" s="274"/>
      <c r="K3671" s="274"/>
      <c r="L3671" s="274"/>
      <c r="M3671" s="274"/>
      <c r="N3671" s="274"/>
      <c r="P3671" s="275"/>
    </row>
    <row r="3672" ht="15.75" customHeight="1">
      <c r="B3672" s="282"/>
      <c r="H3672" s="273"/>
      <c r="I3672" s="274"/>
      <c r="J3672" s="274"/>
      <c r="K3672" s="274"/>
      <c r="L3672" s="274"/>
      <c r="M3672" s="274"/>
      <c r="N3672" s="274"/>
      <c r="P3672" s="275"/>
    </row>
    <row r="3673" ht="15.75" customHeight="1">
      <c r="B3673" s="282"/>
      <c r="H3673" s="273"/>
      <c r="I3673" s="274"/>
      <c r="J3673" s="274"/>
      <c r="K3673" s="274"/>
      <c r="L3673" s="274"/>
      <c r="M3673" s="274"/>
      <c r="N3673" s="274"/>
      <c r="P3673" s="275"/>
    </row>
    <row r="3674" ht="15.75" customHeight="1">
      <c r="B3674" s="282"/>
      <c r="H3674" s="273"/>
      <c r="I3674" s="274"/>
      <c r="J3674" s="274"/>
      <c r="K3674" s="274"/>
      <c r="L3674" s="274"/>
      <c r="M3674" s="274"/>
      <c r="N3674" s="274"/>
      <c r="P3674" s="275"/>
    </row>
    <row r="3675" ht="15.75" customHeight="1">
      <c r="B3675" s="282"/>
      <c r="H3675" s="273"/>
      <c r="I3675" s="274"/>
      <c r="J3675" s="274"/>
      <c r="K3675" s="274"/>
      <c r="L3675" s="274"/>
      <c r="M3675" s="274"/>
      <c r="N3675" s="274"/>
      <c r="P3675" s="275"/>
    </row>
    <row r="3676" ht="15.75" customHeight="1">
      <c r="B3676" s="282"/>
      <c r="H3676" s="273"/>
      <c r="I3676" s="274"/>
      <c r="J3676" s="274"/>
      <c r="K3676" s="274"/>
      <c r="L3676" s="274"/>
      <c r="M3676" s="274"/>
      <c r="N3676" s="274"/>
      <c r="P3676" s="275"/>
    </row>
    <row r="3677" ht="15.75" customHeight="1">
      <c r="B3677" s="282"/>
      <c r="H3677" s="273"/>
      <c r="I3677" s="274"/>
      <c r="J3677" s="274"/>
      <c r="K3677" s="274"/>
      <c r="L3677" s="274"/>
      <c r="M3677" s="274"/>
      <c r="N3677" s="274"/>
      <c r="P3677" s="275"/>
    </row>
    <row r="3678" ht="15.75" customHeight="1">
      <c r="B3678" s="282"/>
      <c r="H3678" s="273"/>
      <c r="I3678" s="274"/>
      <c r="J3678" s="274"/>
      <c r="K3678" s="274"/>
      <c r="L3678" s="274"/>
      <c r="M3678" s="274"/>
      <c r="N3678" s="274"/>
      <c r="P3678" s="275"/>
    </row>
    <row r="3679" ht="15.75" customHeight="1">
      <c r="B3679" s="282"/>
      <c r="H3679" s="273"/>
      <c r="I3679" s="274"/>
      <c r="J3679" s="274"/>
      <c r="K3679" s="274"/>
      <c r="L3679" s="274"/>
      <c r="M3679" s="274"/>
      <c r="N3679" s="274"/>
      <c r="P3679" s="275"/>
    </row>
    <row r="3680" ht="15.75" customHeight="1">
      <c r="B3680" s="282"/>
      <c r="H3680" s="273"/>
      <c r="I3680" s="274"/>
      <c r="J3680" s="274"/>
      <c r="K3680" s="274"/>
      <c r="L3680" s="274"/>
      <c r="M3680" s="274"/>
      <c r="N3680" s="274"/>
      <c r="P3680" s="275"/>
    </row>
    <row r="3681" ht="15.75" customHeight="1">
      <c r="B3681" s="282"/>
      <c r="H3681" s="273"/>
      <c r="I3681" s="274"/>
      <c r="J3681" s="274"/>
      <c r="K3681" s="274"/>
      <c r="L3681" s="274"/>
      <c r="M3681" s="274"/>
      <c r="N3681" s="274"/>
      <c r="P3681" s="275"/>
    </row>
    <row r="3682" ht="15.75" customHeight="1">
      <c r="B3682" s="282"/>
      <c r="H3682" s="273"/>
      <c r="I3682" s="274"/>
      <c r="J3682" s="274"/>
      <c r="K3682" s="274"/>
      <c r="L3682" s="274"/>
      <c r="M3682" s="274"/>
      <c r="N3682" s="274"/>
      <c r="P3682" s="275"/>
    </row>
    <row r="3683" ht="15.75" customHeight="1">
      <c r="B3683" s="282"/>
      <c r="H3683" s="273"/>
      <c r="I3683" s="274"/>
      <c r="J3683" s="274"/>
      <c r="K3683" s="274"/>
      <c r="L3683" s="274"/>
      <c r="M3683" s="274"/>
      <c r="N3683" s="274"/>
      <c r="P3683" s="275"/>
    </row>
    <row r="3684" ht="15.75" customHeight="1">
      <c r="B3684" s="282"/>
      <c r="H3684" s="273"/>
      <c r="I3684" s="274"/>
      <c r="J3684" s="274"/>
      <c r="K3684" s="274"/>
      <c r="L3684" s="274"/>
      <c r="M3684" s="274"/>
      <c r="N3684" s="274"/>
      <c r="P3684" s="275"/>
    </row>
    <row r="3685" ht="15.75" customHeight="1">
      <c r="B3685" s="282"/>
      <c r="H3685" s="273"/>
      <c r="I3685" s="274"/>
      <c r="J3685" s="274"/>
      <c r="K3685" s="274"/>
      <c r="L3685" s="274"/>
      <c r="M3685" s="274"/>
      <c r="N3685" s="274"/>
      <c r="P3685" s="275"/>
    </row>
    <row r="3686" ht="15.75" customHeight="1">
      <c r="B3686" s="282"/>
      <c r="H3686" s="273"/>
      <c r="I3686" s="274"/>
      <c r="J3686" s="274"/>
      <c r="K3686" s="274"/>
      <c r="L3686" s="274"/>
      <c r="M3686" s="274"/>
      <c r="N3686" s="274"/>
      <c r="P3686" s="275"/>
    </row>
    <row r="3687" ht="15.75" customHeight="1">
      <c r="B3687" s="282"/>
      <c r="H3687" s="273"/>
      <c r="I3687" s="274"/>
      <c r="J3687" s="274"/>
      <c r="K3687" s="274"/>
      <c r="L3687" s="274"/>
      <c r="M3687" s="274"/>
      <c r="N3687" s="274"/>
      <c r="P3687" s="275"/>
    </row>
    <row r="3688" ht="15.75" customHeight="1">
      <c r="B3688" s="282"/>
      <c r="H3688" s="273"/>
      <c r="I3688" s="274"/>
      <c r="J3688" s="274"/>
      <c r="K3688" s="274"/>
      <c r="L3688" s="274"/>
      <c r="M3688" s="274"/>
      <c r="N3688" s="274"/>
      <c r="P3688" s="275"/>
    </row>
    <row r="3689" ht="15.75" customHeight="1">
      <c r="B3689" s="282"/>
      <c r="H3689" s="273"/>
      <c r="I3689" s="274"/>
      <c r="J3689" s="274"/>
      <c r="K3689" s="274"/>
      <c r="L3689" s="274"/>
      <c r="M3689" s="274"/>
      <c r="N3689" s="274"/>
      <c r="P3689" s="275"/>
    </row>
    <row r="3690" ht="15.75" customHeight="1">
      <c r="B3690" s="282"/>
      <c r="H3690" s="273"/>
      <c r="I3690" s="274"/>
      <c r="J3690" s="274"/>
      <c r="K3690" s="274"/>
      <c r="L3690" s="274"/>
      <c r="M3690" s="274"/>
      <c r="N3690" s="274"/>
      <c r="P3690" s="275"/>
    </row>
    <row r="3691" ht="15.75" customHeight="1">
      <c r="B3691" s="282"/>
      <c r="H3691" s="273"/>
      <c r="I3691" s="274"/>
      <c r="J3691" s="274"/>
      <c r="K3691" s="274"/>
      <c r="L3691" s="274"/>
      <c r="M3691" s="274"/>
      <c r="N3691" s="274"/>
      <c r="P3691" s="275"/>
    </row>
    <row r="3692" ht="15.75" customHeight="1">
      <c r="B3692" s="282"/>
      <c r="H3692" s="273"/>
      <c r="I3692" s="274"/>
      <c r="J3692" s="274"/>
      <c r="K3692" s="274"/>
      <c r="L3692" s="274"/>
      <c r="M3692" s="274"/>
      <c r="N3692" s="274"/>
      <c r="P3692" s="275"/>
    </row>
    <row r="3693" ht="15.75" customHeight="1">
      <c r="B3693" s="282"/>
      <c r="H3693" s="273"/>
      <c r="I3693" s="274"/>
      <c r="J3693" s="274"/>
      <c r="K3693" s="274"/>
      <c r="L3693" s="274"/>
      <c r="M3693" s="274"/>
      <c r="N3693" s="274"/>
      <c r="P3693" s="275"/>
    </row>
    <row r="3694" ht="15.75" customHeight="1">
      <c r="B3694" s="282"/>
      <c r="H3694" s="273"/>
      <c r="I3694" s="274"/>
      <c r="J3694" s="274"/>
      <c r="K3694" s="274"/>
      <c r="L3694" s="274"/>
      <c r="M3694" s="274"/>
      <c r="N3694" s="274"/>
      <c r="P3694" s="275"/>
    </row>
    <row r="3695" ht="15.75" customHeight="1">
      <c r="B3695" s="282"/>
      <c r="H3695" s="273"/>
      <c r="I3695" s="274"/>
      <c r="J3695" s="274"/>
      <c r="K3695" s="274"/>
      <c r="L3695" s="274"/>
      <c r="M3695" s="274"/>
      <c r="N3695" s="274"/>
      <c r="P3695" s="275"/>
    </row>
    <row r="3696" ht="15.75" customHeight="1">
      <c r="B3696" s="282"/>
      <c r="H3696" s="273"/>
      <c r="I3696" s="274"/>
      <c r="J3696" s="274"/>
      <c r="K3696" s="274"/>
      <c r="L3696" s="274"/>
      <c r="M3696" s="274"/>
      <c r="N3696" s="274"/>
      <c r="P3696" s="275"/>
    </row>
    <row r="3697" ht="15.75" customHeight="1">
      <c r="B3697" s="282"/>
      <c r="H3697" s="273"/>
      <c r="I3697" s="274"/>
      <c r="J3697" s="274"/>
      <c r="K3697" s="274"/>
      <c r="L3697" s="274"/>
      <c r="M3697" s="274"/>
      <c r="N3697" s="274"/>
      <c r="P3697" s="275"/>
    </row>
    <row r="3698" ht="15.75" customHeight="1">
      <c r="B3698" s="282"/>
      <c r="H3698" s="273"/>
      <c r="I3698" s="274"/>
      <c r="J3698" s="274"/>
      <c r="K3698" s="274"/>
      <c r="L3698" s="274"/>
      <c r="M3698" s="274"/>
      <c r="N3698" s="274"/>
      <c r="P3698" s="275"/>
    </row>
    <row r="3699" ht="15.75" customHeight="1">
      <c r="B3699" s="282"/>
      <c r="H3699" s="273"/>
      <c r="I3699" s="274"/>
      <c r="J3699" s="274"/>
      <c r="K3699" s="274"/>
      <c r="L3699" s="274"/>
      <c r="M3699" s="274"/>
      <c r="N3699" s="274"/>
      <c r="P3699" s="275"/>
    </row>
    <row r="3700" ht="15.75" customHeight="1">
      <c r="B3700" s="282"/>
      <c r="H3700" s="273"/>
      <c r="I3700" s="274"/>
      <c r="J3700" s="274"/>
      <c r="K3700" s="274"/>
      <c r="L3700" s="274"/>
      <c r="M3700" s="274"/>
      <c r="N3700" s="274"/>
      <c r="P3700" s="275"/>
    </row>
    <row r="3701" ht="15.75" customHeight="1">
      <c r="B3701" s="282"/>
      <c r="H3701" s="273"/>
      <c r="I3701" s="274"/>
      <c r="J3701" s="274"/>
      <c r="K3701" s="274"/>
      <c r="L3701" s="274"/>
      <c r="M3701" s="274"/>
      <c r="N3701" s="274"/>
      <c r="P3701" s="275"/>
    </row>
    <row r="3702" ht="15.75" customHeight="1">
      <c r="B3702" s="282"/>
      <c r="H3702" s="273"/>
      <c r="I3702" s="274"/>
      <c r="J3702" s="274"/>
      <c r="K3702" s="274"/>
      <c r="L3702" s="274"/>
      <c r="M3702" s="274"/>
      <c r="N3702" s="274"/>
      <c r="P3702" s="275"/>
    </row>
    <row r="3703" ht="15.75" customHeight="1">
      <c r="B3703" s="282"/>
      <c r="H3703" s="273"/>
      <c r="I3703" s="274"/>
      <c r="J3703" s="274"/>
      <c r="K3703" s="274"/>
      <c r="L3703" s="274"/>
      <c r="M3703" s="274"/>
      <c r="N3703" s="274"/>
      <c r="P3703" s="275"/>
    </row>
    <row r="3704" ht="15.75" customHeight="1">
      <c r="B3704" s="282"/>
      <c r="H3704" s="273"/>
      <c r="I3704" s="274"/>
      <c r="J3704" s="274"/>
      <c r="K3704" s="274"/>
      <c r="L3704" s="274"/>
      <c r="M3704" s="274"/>
      <c r="N3704" s="274"/>
      <c r="P3704" s="275"/>
    </row>
    <row r="3705" ht="15.75" customHeight="1">
      <c r="B3705" s="282"/>
      <c r="H3705" s="273"/>
      <c r="I3705" s="274"/>
      <c r="J3705" s="274"/>
      <c r="K3705" s="274"/>
      <c r="L3705" s="274"/>
      <c r="M3705" s="274"/>
      <c r="N3705" s="274"/>
      <c r="P3705" s="275"/>
    </row>
    <row r="3706" ht="15.75" customHeight="1">
      <c r="B3706" s="282"/>
      <c r="H3706" s="273"/>
      <c r="I3706" s="274"/>
      <c r="J3706" s="274"/>
      <c r="K3706" s="274"/>
      <c r="L3706" s="274"/>
      <c r="M3706" s="274"/>
      <c r="N3706" s="274"/>
      <c r="P3706" s="275"/>
    </row>
    <row r="3707" ht="15.75" customHeight="1">
      <c r="B3707" s="282"/>
      <c r="H3707" s="273"/>
      <c r="I3707" s="274"/>
      <c r="J3707" s="274"/>
      <c r="K3707" s="274"/>
      <c r="L3707" s="274"/>
      <c r="M3707" s="274"/>
      <c r="N3707" s="274"/>
      <c r="P3707" s="275"/>
    </row>
    <row r="3708" ht="15.75" customHeight="1">
      <c r="B3708" s="282"/>
      <c r="H3708" s="273"/>
      <c r="I3708" s="274"/>
      <c r="J3708" s="274"/>
      <c r="K3708" s="274"/>
      <c r="L3708" s="274"/>
      <c r="M3708" s="274"/>
      <c r="N3708" s="274"/>
      <c r="P3708" s="275"/>
    </row>
    <row r="3709" ht="15.75" customHeight="1">
      <c r="B3709" s="282"/>
      <c r="H3709" s="273"/>
      <c r="I3709" s="274"/>
      <c r="J3709" s="274"/>
      <c r="K3709" s="274"/>
      <c r="L3709" s="274"/>
      <c r="M3709" s="274"/>
      <c r="N3709" s="274"/>
      <c r="P3709" s="275"/>
    </row>
    <row r="3710" ht="15.75" customHeight="1">
      <c r="B3710" s="282"/>
      <c r="H3710" s="273"/>
      <c r="I3710" s="274"/>
      <c r="J3710" s="274"/>
      <c r="K3710" s="274"/>
      <c r="L3710" s="274"/>
      <c r="M3710" s="274"/>
      <c r="N3710" s="274"/>
      <c r="P3710" s="275"/>
    </row>
    <row r="3711" ht="15.75" customHeight="1">
      <c r="B3711" s="282"/>
      <c r="H3711" s="273"/>
      <c r="I3711" s="274"/>
      <c r="J3711" s="274"/>
      <c r="K3711" s="274"/>
      <c r="L3711" s="274"/>
      <c r="M3711" s="274"/>
      <c r="N3711" s="274"/>
      <c r="P3711" s="275"/>
    </row>
    <row r="3712" ht="15.75" customHeight="1">
      <c r="B3712" s="282"/>
      <c r="H3712" s="273"/>
      <c r="I3712" s="274"/>
      <c r="J3712" s="274"/>
      <c r="K3712" s="274"/>
      <c r="L3712" s="274"/>
      <c r="M3712" s="274"/>
      <c r="N3712" s="274"/>
      <c r="P3712" s="275"/>
    </row>
    <row r="3713" ht="15.75" customHeight="1">
      <c r="B3713" s="282"/>
      <c r="H3713" s="273"/>
      <c r="I3713" s="274"/>
      <c r="J3713" s="274"/>
      <c r="K3713" s="274"/>
      <c r="L3713" s="274"/>
      <c r="M3713" s="274"/>
      <c r="N3713" s="274"/>
      <c r="P3713" s="275"/>
    </row>
    <row r="3714" ht="15.75" customHeight="1">
      <c r="B3714" s="282"/>
      <c r="H3714" s="273"/>
      <c r="I3714" s="274"/>
      <c r="J3714" s="274"/>
      <c r="K3714" s="274"/>
      <c r="L3714" s="274"/>
      <c r="M3714" s="274"/>
      <c r="N3714" s="274"/>
      <c r="P3714" s="275"/>
    </row>
    <row r="3715" ht="15.75" customHeight="1">
      <c r="B3715" s="282"/>
      <c r="H3715" s="273"/>
      <c r="I3715" s="274"/>
      <c r="J3715" s="274"/>
      <c r="K3715" s="274"/>
      <c r="L3715" s="274"/>
      <c r="M3715" s="274"/>
      <c r="N3715" s="274"/>
      <c r="P3715" s="275"/>
    </row>
    <row r="3716" ht="15.75" customHeight="1">
      <c r="B3716" s="282"/>
      <c r="H3716" s="273"/>
      <c r="I3716" s="274"/>
      <c r="J3716" s="274"/>
      <c r="K3716" s="274"/>
      <c r="L3716" s="274"/>
      <c r="M3716" s="274"/>
      <c r="N3716" s="274"/>
      <c r="P3716" s="275"/>
    </row>
    <row r="3717" ht="15.75" customHeight="1">
      <c r="B3717" s="282"/>
      <c r="H3717" s="273"/>
      <c r="I3717" s="274"/>
      <c r="J3717" s="274"/>
      <c r="K3717" s="274"/>
      <c r="L3717" s="274"/>
      <c r="M3717" s="274"/>
      <c r="N3717" s="274"/>
      <c r="P3717" s="275"/>
    </row>
    <row r="3718" ht="15.75" customHeight="1">
      <c r="B3718" s="282"/>
      <c r="H3718" s="273"/>
      <c r="I3718" s="274"/>
      <c r="J3718" s="274"/>
      <c r="K3718" s="274"/>
      <c r="L3718" s="274"/>
      <c r="M3718" s="274"/>
      <c r="N3718" s="274"/>
      <c r="P3718" s="275"/>
    </row>
    <row r="3719" ht="15.75" customHeight="1">
      <c r="B3719" s="282"/>
      <c r="H3719" s="273"/>
      <c r="I3719" s="274"/>
      <c r="J3719" s="274"/>
      <c r="K3719" s="274"/>
      <c r="L3719" s="274"/>
      <c r="M3719" s="274"/>
      <c r="N3719" s="274"/>
      <c r="P3719" s="275"/>
    </row>
    <row r="3720" ht="15.75" customHeight="1">
      <c r="B3720" s="282"/>
      <c r="H3720" s="273"/>
      <c r="I3720" s="274"/>
      <c r="J3720" s="274"/>
      <c r="K3720" s="274"/>
      <c r="L3720" s="274"/>
      <c r="M3720" s="274"/>
      <c r="N3720" s="274"/>
      <c r="P3720" s="275"/>
    </row>
    <row r="3721" ht="15.75" customHeight="1">
      <c r="B3721" s="282"/>
      <c r="H3721" s="273"/>
      <c r="I3721" s="274"/>
      <c r="J3721" s="274"/>
      <c r="K3721" s="274"/>
      <c r="L3721" s="274"/>
      <c r="M3721" s="274"/>
      <c r="N3721" s="274"/>
      <c r="P3721" s="275"/>
    </row>
    <row r="3722" ht="15.75" customHeight="1">
      <c r="B3722" s="282"/>
      <c r="H3722" s="273"/>
      <c r="I3722" s="274"/>
      <c r="J3722" s="274"/>
      <c r="K3722" s="274"/>
      <c r="L3722" s="274"/>
      <c r="M3722" s="274"/>
      <c r="N3722" s="274"/>
      <c r="P3722" s="275"/>
    </row>
    <row r="3723" ht="15.75" customHeight="1">
      <c r="B3723" s="282"/>
      <c r="H3723" s="273"/>
      <c r="I3723" s="274"/>
      <c r="J3723" s="274"/>
      <c r="K3723" s="274"/>
      <c r="L3723" s="274"/>
      <c r="M3723" s="274"/>
      <c r="N3723" s="274"/>
      <c r="P3723" s="275"/>
    </row>
    <row r="3724" ht="15.75" customHeight="1">
      <c r="B3724" s="282"/>
      <c r="H3724" s="273"/>
      <c r="I3724" s="274"/>
      <c r="J3724" s="274"/>
      <c r="K3724" s="274"/>
      <c r="L3724" s="274"/>
      <c r="M3724" s="274"/>
      <c r="N3724" s="274"/>
      <c r="P3724" s="275"/>
    </row>
    <row r="3725" ht="15.75" customHeight="1">
      <c r="B3725" s="282"/>
      <c r="H3725" s="273"/>
      <c r="I3725" s="274"/>
      <c r="J3725" s="274"/>
      <c r="K3725" s="274"/>
      <c r="L3725" s="274"/>
      <c r="M3725" s="274"/>
      <c r="N3725" s="274"/>
      <c r="P3725" s="275"/>
    </row>
    <row r="3726" ht="15.75" customHeight="1">
      <c r="B3726" s="282"/>
      <c r="H3726" s="273"/>
      <c r="I3726" s="274"/>
      <c r="J3726" s="274"/>
      <c r="K3726" s="274"/>
      <c r="L3726" s="274"/>
      <c r="M3726" s="274"/>
      <c r="N3726" s="274"/>
      <c r="P3726" s="275"/>
    </row>
    <row r="3727" ht="15.75" customHeight="1">
      <c r="B3727" s="282"/>
      <c r="H3727" s="273"/>
      <c r="I3727" s="274"/>
      <c r="J3727" s="274"/>
      <c r="K3727" s="274"/>
      <c r="L3727" s="274"/>
      <c r="M3727" s="274"/>
      <c r="N3727" s="274"/>
      <c r="P3727" s="275"/>
    </row>
    <row r="3728" ht="15.75" customHeight="1">
      <c r="B3728" s="282"/>
      <c r="H3728" s="273"/>
      <c r="I3728" s="274"/>
      <c r="J3728" s="274"/>
      <c r="K3728" s="274"/>
      <c r="L3728" s="274"/>
      <c r="M3728" s="274"/>
      <c r="N3728" s="274"/>
      <c r="P3728" s="275"/>
    </row>
    <row r="3729" ht="15.75" customHeight="1">
      <c r="B3729" s="282"/>
      <c r="H3729" s="273"/>
      <c r="I3729" s="274"/>
      <c r="J3729" s="274"/>
      <c r="K3729" s="274"/>
      <c r="L3729" s="274"/>
      <c r="M3729" s="274"/>
      <c r="N3729" s="274"/>
      <c r="P3729" s="275"/>
    </row>
    <row r="3730" ht="15.75" customHeight="1">
      <c r="B3730" s="282"/>
      <c r="H3730" s="273"/>
      <c r="I3730" s="274"/>
      <c r="J3730" s="274"/>
      <c r="K3730" s="274"/>
      <c r="L3730" s="274"/>
      <c r="M3730" s="274"/>
      <c r="N3730" s="274"/>
      <c r="P3730" s="275"/>
    </row>
    <row r="3731" ht="15.75" customHeight="1">
      <c r="B3731" s="282"/>
      <c r="H3731" s="273"/>
      <c r="I3731" s="274"/>
      <c r="J3731" s="274"/>
      <c r="K3731" s="274"/>
      <c r="L3731" s="274"/>
      <c r="M3731" s="274"/>
      <c r="N3731" s="274"/>
      <c r="P3731" s="275"/>
    </row>
    <row r="3732" ht="15.75" customHeight="1">
      <c r="B3732" s="282"/>
      <c r="H3732" s="273"/>
      <c r="I3732" s="274"/>
      <c r="J3732" s="274"/>
      <c r="K3732" s="274"/>
      <c r="L3732" s="274"/>
      <c r="M3732" s="274"/>
      <c r="N3732" s="274"/>
      <c r="P3732" s="275"/>
    </row>
    <row r="3733" ht="15.75" customHeight="1">
      <c r="B3733" s="282"/>
      <c r="H3733" s="273"/>
      <c r="I3733" s="274"/>
      <c r="J3733" s="274"/>
      <c r="K3733" s="274"/>
      <c r="L3733" s="274"/>
      <c r="M3733" s="274"/>
      <c r="N3733" s="274"/>
      <c r="P3733" s="275"/>
    </row>
    <row r="3734" ht="15.75" customHeight="1">
      <c r="B3734" s="282"/>
      <c r="H3734" s="273"/>
      <c r="I3734" s="274"/>
      <c r="J3734" s="274"/>
      <c r="K3734" s="274"/>
      <c r="L3734" s="274"/>
      <c r="M3734" s="274"/>
      <c r="N3734" s="274"/>
      <c r="P3734" s="275"/>
    </row>
    <row r="3735" ht="15.75" customHeight="1">
      <c r="B3735" s="282"/>
      <c r="H3735" s="273"/>
      <c r="I3735" s="274"/>
      <c r="J3735" s="274"/>
      <c r="K3735" s="274"/>
      <c r="L3735" s="274"/>
      <c r="M3735" s="274"/>
      <c r="N3735" s="274"/>
      <c r="P3735" s="275"/>
    </row>
    <row r="3736" ht="15.75" customHeight="1">
      <c r="B3736" s="282"/>
      <c r="H3736" s="273"/>
      <c r="I3736" s="274"/>
      <c r="J3736" s="274"/>
      <c r="K3736" s="274"/>
      <c r="L3736" s="274"/>
      <c r="M3736" s="274"/>
      <c r="N3736" s="274"/>
      <c r="P3736" s="275"/>
    </row>
    <row r="3737" ht="15.75" customHeight="1">
      <c r="B3737" s="282"/>
      <c r="H3737" s="273"/>
      <c r="I3737" s="274"/>
      <c r="J3737" s="274"/>
      <c r="K3737" s="274"/>
      <c r="L3737" s="274"/>
      <c r="M3737" s="274"/>
      <c r="N3737" s="274"/>
      <c r="P3737" s="275"/>
    </row>
    <row r="3738" ht="15.75" customHeight="1">
      <c r="B3738" s="282"/>
      <c r="H3738" s="273"/>
      <c r="I3738" s="274"/>
      <c r="J3738" s="274"/>
      <c r="K3738" s="274"/>
      <c r="L3738" s="274"/>
      <c r="M3738" s="274"/>
      <c r="N3738" s="274"/>
      <c r="P3738" s="275"/>
    </row>
    <row r="3739" ht="15.75" customHeight="1">
      <c r="B3739" s="282"/>
      <c r="H3739" s="273"/>
      <c r="I3739" s="274"/>
      <c r="J3739" s="274"/>
      <c r="K3739" s="274"/>
      <c r="L3739" s="274"/>
      <c r="M3739" s="274"/>
      <c r="N3739" s="274"/>
      <c r="P3739" s="275"/>
    </row>
    <row r="3740" ht="15.75" customHeight="1">
      <c r="B3740" s="282"/>
      <c r="H3740" s="273"/>
      <c r="I3740" s="274"/>
      <c r="J3740" s="274"/>
      <c r="K3740" s="274"/>
      <c r="L3740" s="274"/>
      <c r="M3740" s="274"/>
      <c r="N3740" s="274"/>
      <c r="P3740" s="275"/>
    </row>
    <row r="3741" ht="15.75" customHeight="1">
      <c r="B3741" s="282"/>
      <c r="H3741" s="273"/>
      <c r="I3741" s="274"/>
      <c r="J3741" s="274"/>
      <c r="K3741" s="274"/>
      <c r="L3741" s="274"/>
      <c r="M3741" s="274"/>
      <c r="N3741" s="274"/>
      <c r="P3741" s="275"/>
    </row>
    <row r="3742" ht="15.75" customHeight="1">
      <c r="B3742" s="282"/>
      <c r="H3742" s="273"/>
      <c r="I3742" s="274"/>
      <c r="J3742" s="274"/>
      <c r="K3742" s="274"/>
      <c r="L3742" s="274"/>
      <c r="M3742" s="274"/>
      <c r="N3742" s="274"/>
      <c r="P3742" s="275"/>
    </row>
    <row r="3743" ht="15.75" customHeight="1">
      <c r="B3743" s="282"/>
      <c r="H3743" s="273"/>
      <c r="I3743" s="274"/>
      <c r="J3743" s="274"/>
      <c r="K3743" s="274"/>
      <c r="L3743" s="274"/>
      <c r="M3743" s="274"/>
      <c r="N3743" s="274"/>
      <c r="P3743" s="275"/>
    </row>
    <row r="3744" ht="15.75" customHeight="1">
      <c r="B3744" s="282"/>
      <c r="H3744" s="273"/>
      <c r="I3744" s="274"/>
      <c r="J3744" s="274"/>
      <c r="K3744" s="274"/>
      <c r="L3744" s="274"/>
      <c r="M3744" s="274"/>
      <c r="N3744" s="274"/>
      <c r="P3744" s="275"/>
    </row>
    <row r="3745" ht="15.75" customHeight="1">
      <c r="B3745" s="282"/>
      <c r="H3745" s="273"/>
      <c r="I3745" s="274"/>
      <c r="J3745" s="274"/>
      <c r="K3745" s="274"/>
      <c r="L3745" s="274"/>
      <c r="M3745" s="274"/>
      <c r="N3745" s="274"/>
      <c r="P3745" s="275"/>
    </row>
    <row r="3746" ht="15.75" customHeight="1">
      <c r="B3746" s="282"/>
      <c r="H3746" s="273"/>
      <c r="I3746" s="274"/>
      <c r="J3746" s="274"/>
      <c r="K3746" s="274"/>
      <c r="L3746" s="274"/>
      <c r="M3746" s="274"/>
      <c r="N3746" s="274"/>
      <c r="P3746" s="275"/>
    </row>
    <row r="3747" ht="15.75" customHeight="1">
      <c r="B3747" s="282"/>
      <c r="H3747" s="273"/>
      <c r="I3747" s="274"/>
      <c r="J3747" s="274"/>
      <c r="K3747" s="274"/>
      <c r="L3747" s="274"/>
      <c r="M3747" s="274"/>
      <c r="N3747" s="274"/>
      <c r="P3747" s="275"/>
    </row>
    <row r="3748" ht="15.75" customHeight="1">
      <c r="B3748" s="282"/>
      <c r="H3748" s="273"/>
      <c r="I3748" s="274"/>
      <c r="J3748" s="274"/>
      <c r="K3748" s="274"/>
      <c r="L3748" s="274"/>
      <c r="M3748" s="274"/>
      <c r="N3748" s="274"/>
      <c r="P3748" s="275"/>
    </row>
    <row r="3749" ht="15.75" customHeight="1">
      <c r="B3749" s="282"/>
      <c r="H3749" s="273"/>
      <c r="I3749" s="274"/>
      <c r="J3749" s="274"/>
      <c r="K3749" s="274"/>
      <c r="L3749" s="274"/>
      <c r="M3749" s="274"/>
      <c r="N3749" s="274"/>
      <c r="P3749" s="275"/>
    </row>
    <row r="3750" ht="15.75" customHeight="1">
      <c r="B3750" s="282"/>
      <c r="H3750" s="273"/>
      <c r="I3750" s="274"/>
      <c r="J3750" s="274"/>
      <c r="K3750" s="274"/>
      <c r="L3750" s="274"/>
      <c r="M3750" s="274"/>
      <c r="N3750" s="274"/>
      <c r="P3750" s="275"/>
    </row>
    <row r="3751" ht="15.75" customHeight="1">
      <c r="B3751" s="282"/>
      <c r="H3751" s="273"/>
      <c r="I3751" s="274"/>
      <c r="J3751" s="274"/>
      <c r="K3751" s="274"/>
      <c r="L3751" s="274"/>
      <c r="M3751" s="274"/>
      <c r="N3751" s="274"/>
      <c r="P3751" s="275"/>
    </row>
    <row r="3752" ht="15.75" customHeight="1">
      <c r="B3752" s="282"/>
      <c r="H3752" s="273"/>
      <c r="I3752" s="274"/>
      <c r="J3752" s="274"/>
      <c r="K3752" s="274"/>
      <c r="L3752" s="274"/>
      <c r="M3752" s="274"/>
      <c r="N3752" s="274"/>
      <c r="P3752" s="275"/>
    </row>
    <row r="3753" ht="15.75" customHeight="1">
      <c r="B3753" s="282"/>
      <c r="H3753" s="273"/>
      <c r="I3753" s="274"/>
      <c r="J3753" s="274"/>
      <c r="K3753" s="274"/>
      <c r="L3753" s="274"/>
      <c r="M3753" s="274"/>
      <c r="N3753" s="274"/>
      <c r="P3753" s="275"/>
    </row>
    <row r="3754" ht="15.75" customHeight="1">
      <c r="B3754" s="282"/>
      <c r="H3754" s="273"/>
      <c r="I3754" s="274"/>
      <c r="J3754" s="274"/>
      <c r="K3754" s="274"/>
      <c r="L3754" s="274"/>
      <c r="M3754" s="274"/>
      <c r="N3754" s="274"/>
      <c r="P3754" s="275"/>
    </row>
    <row r="3755" ht="15.75" customHeight="1">
      <c r="B3755" s="282"/>
      <c r="H3755" s="273"/>
      <c r="I3755" s="274"/>
      <c r="J3755" s="274"/>
      <c r="K3755" s="274"/>
      <c r="L3755" s="274"/>
      <c r="M3755" s="274"/>
      <c r="N3755" s="274"/>
      <c r="P3755" s="275"/>
    </row>
    <row r="3756" ht="15.75" customHeight="1">
      <c r="B3756" s="282"/>
      <c r="H3756" s="273"/>
      <c r="I3756" s="274"/>
      <c r="J3756" s="274"/>
      <c r="K3756" s="274"/>
      <c r="L3756" s="274"/>
      <c r="M3756" s="274"/>
      <c r="N3756" s="274"/>
      <c r="P3756" s="275"/>
    </row>
    <row r="3757" ht="15.75" customHeight="1">
      <c r="B3757" s="282"/>
      <c r="H3757" s="273"/>
      <c r="I3757" s="274"/>
      <c r="J3757" s="274"/>
      <c r="K3757" s="274"/>
      <c r="L3757" s="274"/>
      <c r="M3757" s="274"/>
      <c r="N3757" s="274"/>
      <c r="P3757" s="275"/>
    </row>
    <row r="3758" ht="15.75" customHeight="1">
      <c r="B3758" s="282"/>
      <c r="H3758" s="273"/>
      <c r="I3758" s="274"/>
      <c r="J3758" s="274"/>
      <c r="K3758" s="274"/>
      <c r="L3758" s="274"/>
      <c r="M3758" s="274"/>
      <c r="N3758" s="274"/>
      <c r="P3758" s="275"/>
    </row>
    <row r="3759" ht="15.75" customHeight="1">
      <c r="B3759" s="282"/>
      <c r="H3759" s="273"/>
      <c r="I3759" s="274"/>
      <c r="J3759" s="274"/>
      <c r="K3759" s="274"/>
      <c r="L3759" s="274"/>
      <c r="M3759" s="274"/>
      <c r="N3759" s="274"/>
      <c r="P3759" s="275"/>
    </row>
    <row r="3760" ht="15.75" customHeight="1">
      <c r="B3760" s="282"/>
      <c r="H3760" s="273"/>
      <c r="I3760" s="274"/>
      <c r="J3760" s="274"/>
      <c r="K3760" s="274"/>
      <c r="L3760" s="274"/>
      <c r="M3760" s="274"/>
      <c r="N3760" s="274"/>
      <c r="P3760" s="275"/>
    </row>
    <row r="3761" ht="15.75" customHeight="1">
      <c r="B3761" s="282"/>
      <c r="H3761" s="273"/>
      <c r="I3761" s="274"/>
      <c r="J3761" s="274"/>
      <c r="K3761" s="274"/>
      <c r="L3761" s="274"/>
      <c r="M3761" s="274"/>
      <c r="N3761" s="274"/>
      <c r="P3761" s="275"/>
    </row>
    <row r="3762" ht="15.75" customHeight="1">
      <c r="B3762" s="282"/>
      <c r="H3762" s="273"/>
      <c r="I3762" s="274"/>
      <c r="J3762" s="274"/>
      <c r="K3762" s="274"/>
      <c r="L3762" s="274"/>
      <c r="M3762" s="274"/>
      <c r="N3762" s="274"/>
      <c r="P3762" s="275"/>
    </row>
    <row r="3763" ht="15.75" customHeight="1">
      <c r="B3763" s="282"/>
      <c r="H3763" s="273"/>
      <c r="I3763" s="274"/>
      <c r="J3763" s="274"/>
      <c r="K3763" s="274"/>
      <c r="L3763" s="274"/>
      <c r="M3763" s="274"/>
      <c r="N3763" s="274"/>
      <c r="P3763" s="275"/>
    </row>
    <row r="3764" ht="15.75" customHeight="1">
      <c r="B3764" s="282"/>
      <c r="H3764" s="273"/>
      <c r="I3764" s="274"/>
      <c r="J3764" s="274"/>
      <c r="K3764" s="274"/>
      <c r="L3764" s="274"/>
      <c r="M3764" s="274"/>
      <c r="N3764" s="274"/>
      <c r="P3764" s="275"/>
    </row>
    <row r="3765" ht="15.75" customHeight="1">
      <c r="B3765" s="282"/>
      <c r="H3765" s="273"/>
      <c r="I3765" s="274"/>
      <c r="J3765" s="274"/>
      <c r="K3765" s="274"/>
      <c r="L3765" s="274"/>
      <c r="M3765" s="274"/>
      <c r="N3765" s="274"/>
      <c r="P3765" s="275"/>
    </row>
    <row r="3766" ht="15.75" customHeight="1">
      <c r="B3766" s="282"/>
      <c r="H3766" s="273"/>
      <c r="I3766" s="274"/>
      <c r="J3766" s="274"/>
      <c r="K3766" s="274"/>
      <c r="L3766" s="274"/>
      <c r="M3766" s="274"/>
      <c r="N3766" s="274"/>
      <c r="P3766" s="275"/>
    </row>
    <row r="3767" ht="15.75" customHeight="1">
      <c r="B3767" s="282"/>
      <c r="H3767" s="273"/>
      <c r="I3767" s="274"/>
      <c r="J3767" s="274"/>
      <c r="K3767" s="274"/>
      <c r="L3767" s="274"/>
      <c r="M3767" s="274"/>
      <c r="N3767" s="274"/>
      <c r="P3767" s="275"/>
    </row>
    <row r="3768" ht="15.75" customHeight="1">
      <c r="B3768" s="282"/>
      <c r="H3768" s="273"/>
      <c r="I3768" s="274"/>
      <c r="J3768" s="274"/>
      <c r="K3768" s="274"/>
      <c r="L3768" s="274"/>
      <c r="M3768" s="274"/>
      <c r="N3768" s="274"/>
      <c r="P3768" s="275"/>
    </row>
    <row r="3769" ht="15.75" customHeight="1">
      <c r="B3769" s="282"/>
      <c r="H3769" s="273"/>
      <c r="I3769" s="274"/>
      <c r="J3769" s="274"/>
      <c r="K3769" s="274"/>
      <c r="L3769" s="274"/>
      <c r="M3769" s="274"/>
      <c r="N3769" s="274"/>
      <c r="P3769" s="275"/>
    </row>
    <row r="3770" ht="15.75" customHeight="1">
      <c r="B3770" s="282"/>
      <c r="H3770" s="273"/>
      <c r="I3770" s="274"/>
      <c r="J3770" s="274"/>
      <c r="K3770" s="274"/>
      <c r="L3770" s="274"/>
      <c r="M3770" s="274"/>
      <c r="N3770" s="274"/>
      <c r="P3770" s="275"/>
    </row>
    <row r="3771" ht="15.75" customHeight="1">
      <c r="B3771" s="282"/>
      <c r="H3771" s="273"/>
      <c r="I3771" s="274"/>
      <c r="J3771" s="274"/>
      <c r="K3771" s="274"/>
      <c r="L3771" s="274"/>
      <c r="M3771" s="274"/>
      <c r="N3771" s="274"/>
      <c r="P3771" s="275"/>
    </row>
    <row r="3772" ht="15.75" customHeight="1">
      <c r="B3772" s="282"/>
      <c r="H3772" s="273"/>
      <c r="I3772" s="274"/>
      <c r="J3772" s="274"/>
      <c r="K3772" s="274"/>
      <c r="L3772" s="274"/>
      <c r="M3772" s="274"/>
      <c r="N3772" s="274"/>
      <c r="P3772" s="275"/>
    </row>
    <row r="3773" ht="15.75" customHeight="1">
      <c r="B3773" s="282"/>
      <c r="H3773" s="273"/>
      <c r="I3773" s="274"/>
      <c r="J3773" s="274"/>
      <c r="K3773" s="274"/>
      <c r="L3773" s="274"/>
      <c r="M3773" s="274"/>
      <c r="N3773" s="274"/>
      <c r="P3773" s="275"/>
    </row>
    <row r="3774" ht="15.75" customHeight="1">
      <c r="B3774" s="282"/>
      <c r="H3774" s="273"/>
      <c r="I3774" s="274"/>
      <c r="J3774" s="274"/>
      <c r="K3774" s="274"/>
      <c r="L3774" s="274"/>
      <c r="M3774" s="274"/>
      <c r="N3774" s="274"/>
      <c r="P3774" s="275"/>
    </row>
    <row r="3775" ht="15.75" customHeight="1">
      <c r="B3775" s="282"/>
      <c r="H3775" s="273"/>
      <c r="I3775" s="274"/>
      <c r="J3775" s="274"/>
      <c r="K3775" s="274"/>
      <c r="L3775" s="274"/>
      <c r="M3775" s="274"/>
      <c r="N3775" s="274"/>
      <c r="P3775" s="275"/>
    </row>
    <row r="3776" ht="15.75" customHeight="1">
      <c r="B3776" s="282"/>
      <c r="H3776" s="273"/>
      <c r="I3776" s="274"/>
      <c r="J3776" s="274"/>
      <c r="K3776" s="274"/>
      <c r="L3776" s="274"/>
      <c r="M3776" s="274"/>
      <c r="N3776" s="274"/>
      <c r="P3776" s="275"/>
    </row>
    <row r="3777" ht="15.75" customHeight="1">
      <c r="B3777" s="282"/>
      <c r="H3777" s="273"/>
      <c r="I3777" s="274"/>
      <c r="J3777" s="274"/>
      <c r="K3777" s="274"/>
      <c r="L3777" s="274"/>
      <c r="M3777" s="274"/>
      <c r="N3777" s="274"/>
      <c r="P3777" s="275"/>
    </row>
    <row r="3778" ht="15.75" customHeight="1">
      <c r="B3778" s="282"/>
      <c r="H3778" s="273"/>
      <c r="I3778" s="274"/>
      <c r="J3778" s="274"/>
      <c r="K3778" s="274"/>
      <c r="L3778" s="274"/>
      <c r="M3778" s="274"/>
      <c r="N3778" s="274"/>
      <c r="P3778" s="275"/>
    </row>
    <row r="3779" ht="15.75" customHeight="1">
      <c r="B3779" s="282"/>
      <c r="H3779" s="273"/>
      <c r="I3779" s="274"/>
      <c r="J3779" s="274"/>
      <c r="K3779" s="274"/>
      <c r="L3779" s="274"/>
      <c r="M3779" s="274"/>
      <c r="N3779" s="274"/>
      <c r="P3779" s="275"/>
    </row>
    <row r="3780" ht="15.75" customHeight="1">
      <c r="B3780" s="282"/>
      <c r="H3780" s="273"/>
      <c r="I3780" s="274"/>
      <c r="J3780" s="274"/>
      <c r="K3780" s="274"/>
      <c r="L3780" s="274"/>
      <c r="M3780" s="274"/>
      <c r="N3780" s="274"/>
      <c r="P3780" s="275"/>
    </row>
    <row r="3781" ht="15.75" customHeight="1">
      <c r="B3781" s="282"/>
      <c r="H3781" s="273"/>
      <c r="I3781" s="274"/>
      <c r="J3781" s="274"/>
      <c r="K3781" s="274"/>
      <c r="L3781" s="274"/>
      <c r="M3781" s="274"/>
      <c r="N3781" s="274"/>
      <c r="P3781" s="275"/>
    </row>
    <row r="3782" ht="15.75" customHeight="1">
      <c r="B3782" s="282"/>
      <c r="H3782" s="273"/>
      <c r="I3782" s="274"/>
      <c r="J3782" s="274"/>
      <c r="K3782" s="274"/>
      <c r="L3782" s="274"/>
      <c r="M3782" s="274"/>
      <c r="N3782" s="274"/>
      <c r="P3782" s="275"/>
    </row>
    <row r="3783" ht="15.75" customHeight="1">
      <c r="B3783" s="282"/>
      <c r="H3783" s="273"/>
      <c r="I3783" s="274"/>
      <c r="J3783" s="274"/>
      <c r="K3783" s="274"/>
      <c r="L3783" s="274"/>
      <c r="M3783" s="274"/>
      <c r="N3783" s="274"/>
      <c r="P3783" s="275"/>
    </row>
    <row r="3784" ht="15.75" customHeight="1">
      <c r="B3784" s="282"/>
      <c r="H3784" s="273"/>
      <c r="I3784" s="274"/>
      <c r="J3784" s="274"/>
      <c r="K3784" s="274"/>
      <c r="L3784" s="274"/>
      <c r="M3784" s="274"/>
      <c r="N3784" s="274"/>
      <c r="P3784" s="275"/>
    </row>
    <row r="3785" ht="15.75" customHeight="1">
      <c r="B3785" s="282"/>
      <c r="H3785" s="273"/>
      <c r="I3785" s="274"/>
      <c r="J3785" s="274"/>
      <c r="K3785" s="274"/>
      <c r="L3785" s="274"/>
      <c r="M3785" s="274"/>
      <c r="N3785" s="274"/>
      <c r="P3785" s="275"/>
    </row>
    <row r="3786" ht="15.75" customHeight="1">
      <c r="B3786" s="282"/>
      <c r="H3786" s="273"/>
      <c r="I3786" s="274"/>
      <c r="J3786" s="274"/>
      <c r="K3786" s="274"/>
      <c r="L3786" s="274"/>
      <c r="M3786" s="274"/>
      <c r="N3786" s="274"/>
      <c r="P3786" s="275"/>
    </row>
    <row r="3787" ht="15.75" customHeight="1">
      <c r="B3787" s="282"/>
      <c r="H3787" s="273"/>
      <c r="I3787" s="274"/>
      <c r="J3787" s="274"/>
      <c r="K3787" s="274"/>
      <c r="L3787" s="274"/>
      <c r="M3787" s="274"/>
      <c r="N3787" s="274"/>
      <c r="P3787" s="275"/>
    </row>
    <row r="3788" ht="15.75" customHeight="1">
      <c r="B3788" s="282"/>
      <c r="H3788" s="273"/>
      <c r="I3788" s="274"/>
      <c r="J3788" s="274"/>
      <c r="K3788" s="274"/>
      <c r="L3788" s="274"/>
      <c r="M3788" s="274"/>
      <c r="N3788" s="274"/>
      <c r="P3788" s="275"/>
    </row>
    <row r="3789" ht="15.75" customHeight="1">
      <c r="B3789" s="282"/>
      <c r="H3789" s="273"/>
      <c r="I3789" s="274"/>
      <c r="J3789" s="274"/>
      <c r="K3789" s="274"/>
      <c r="L3789" s="274"/>
      <c r="M3789" s="274"/>
      <c r="N3789" s="274"/>
      <c r="P3789" s="275"/>
    </row>
    <row r="3790" ht="15.75" customHeight="1">
      <c r="B3790" s="282"/>
      <c r="H3790" s="273"/>
      <c r="I3790" s="274"/>
      <c r="J3790" s="274"/>
      <c r="K3790" s="274"/>
      <c r="L3790" s="274"/>
      <c r="M3790" s="274"/>
      <c r="N3790" s="274"/>
      <c r="P3790" s="275"/>
    </row>
    <row r="3791" ht="15.75" customHeight="1">
      <c r="B3791" s="282"/>
      <c r="H3791" s="273"/>
      <c r="I3791" s="274"/>
      <c r="J3791" s="274"/>
      <c r="K3791" s="274"/>
      <c r="L3791" s="274"/>
      <c r="M3791" s="274"/>
      <c r="N3791" s="274"/>
      <c r="P3791" s="275"/>
    </row>
    <row r="3792" ht="15.75" customHeight="1">
      <c r="B3792" s="282"/>
      <c r="H3792" s="273"/>
      <c r="I3792" s="274"/>
      <c r="J3792" s="274"/>
      <c r="K3792" s="274"/>
      <c r="L3792" s="274"/>
      <c r="M3792" s="274"/>
      <c r="N3792" s="274"/>
      <c r="P3792" s="275"/>
    </row>
    <row r="3793" ht="15.75" customHeight="1">
      <c r="B3793" s="282"/>
      <c r="H3793" s="273"/>
      <c r="I3793" s="274"/>
      <c r="J3793" s="274"/>
      <c r="K3793" s="274"/>
      <c r="L3793" s="274"/>
      <c r="M3793" s="274"/>
      <c r="N3793" s="274"/>
      <c r="P3793" s="275"/>
    </row>
    <row r="3794" ht="15.75" customHeight="1">
      <c r="B3794" s="282"/>
      <c r="H3794" s="273"/>
      <c r="I3794" s="274"/>
      <c r="J3794" s="274"/>
      <c r="K3794" s="274"/>
      <c r="L3794" s="274"/>
      <c r="M3794" s="274"/>
      <c r="N3794" s="274"/>
      <c r="P3794" s="275"/>
    </row>
    <row r="3795" ht="15.75" customHeight="1">
      <c r="B3795" s="282"/>
      <c r="H3795" s="273"/>
      <c r="I3795" s="274"/>
      <c r="J3795" s="274"/>
      <c r="K3795" s="274"/>
      <c r="L3795" s="274"/>
      <c r="M3795" s="274"/>
      <c r="N3795" s="274"/>
      <c r="P3795" s="275"/>
    </row>
    <row r="3796" ht="15.75" customHeight="1">
      <c r="B3796" s="282"/>
      <c r="H3796" s="273"/>
      <c r="I3796" s="274"/>
      <c r="J3796" s="274"/>
      <c r="K3796" s="274"/>
      <c r="L3796" s="274"/>
      <c r="M3796" s="274"/>
      <c r="N3796" s="274"/>
      <c r="P3796" s="275"/>
    </row>
    <row r="3797" ht="15.75" customHeight="1">
      <c r="B3797" s="282"/>
      <c r="H3797" s="273"/>
      <c r="I3797" s="274"/>
      <c r="J3797" s="274"/>
      <c r="K3797" s="274"/>
      <c r="L3797" s="274"/>
      <c r="M3797" s="274"/>
      <c r="N3797" s="274"/>
      <c r="P3797" s="275"/>
    </row>
    <row r="3798" ht="15.75" customHeight="1">
      <c r="B3798" s="282"/>
      <c r="H3798" s="273"/>
      <c r="I3798" s="274"/>
      <c r="J3798" s="274"/>
      <c r="K3798" s="274"/>
      <c r="L3798" s="274"/>
      <c r="M3798" s="274"/>
      <c r="N3798" s="274"/>
      <c r="P3798" s="275"/>
    </row>
    <row r="3799" ht="15.75" customHeight="1">
      <c r="B3799" s="282"/>
      <c r="H3799" s="273"/>
      <c r="I3799" s="274"/>
      <c r="J3799" s="274"/>
      <c r="K3799" s="274"/>
      <c r="L3799" s="274"/>
      <c r="M3799" s="274"/>
      <c r="N3799" s="274"/>
      <c r="P3799" s="275"/>
    </row>
    <row r="3800" ht="15.75" customHeight="1">
      <c r="B3800" s="282"/>
      <c r="H3800" s="273"/>
      <c r="I3800" s="274"/>
      <c r="J3800" s="274"/>
      <c r="K3800" s="274"/>
      <c r="L3800" s="274"/>
      <c r="M3800" s="274"/>
      <c r="N3800" s="274"/>
      <c r="P3800" s="275"/>
    </row>
    <row r="3801" ht="15.75" customHeight="1">
      <c r="B3801" s="282"/>
      <c r="H3801" s="273"/>
      <c r="I3801" s="274"/>
      <c r="J3801" s="274"/>
      <c r="K3801" s="274"/>
      <c r="L3801" s="274"/>
      <c r="M3801" s="274"/>
      <c r="N3801" s="274"/>
      <c r="P3801" s="275"/>
    </row>
    <row r="3802" ht="15.75" customHeight="1">
      <c r="B3802" s="282"/>
      <c r="H3802" s="273"/>
      <c r="I3802" s="274"/>
      <c r="J3802" s="274"/>
      <c r="K3802" s="274"/>
      <c r="L3802" s="274"/>
      <c r="M3802" s="274"/>
      <c r="N3802" s="274"/>
      <c r="P3802" s="275"/>
    </row>
    <row r="3803" ht="15.75" customHeight="1">
      <c r="B3803" s="282"/>
      <c r="H3803" s="273"/>
      <c r="I3803" s="274"/>
      <c r="J3803" s="274"/>
      <c r="K3803" s="274"/>
      <c r="L3803" s="274"/>
      <c r="M3803" s="274"/>
      <c r="N3803" s="274"/>
      <c r="P3803" s="275"/>
    </row>
    <row r="3804" ht="15.75" customHeight="1">
      <c r="B3804" s="282"/>
      <c r="H3804" s="273"/>
      <c r="I3804" s="274"/>
      <c r="J3804" s="274"/>
      <c r="K3804" s="274"/>
      <c r="L3804" s="274"/>
      <c r="M3804" s="274"/>
      <c r="N3804" s="274"/>
      <c r="P3804" s="275"/>
    </row>
    <row r="3805" ht="15.75" customHeight="1">
      <c r="B3805" s="282"/>
      <c r="H3805" s="273"/>
      <c r="I3805" s="274"/>
      <c r="J3805" s="274"/>
      <c r="K3805" s="274"/>
      <c r="L3805" s="274"/>
      <c r="M3805" s="274"/>
      <c r="N3805" s="274"/>
      <c r="P3805" s="275"/>
    </row>
    <row r="3806" ht="15.75" customHeight="1">
      <c r="B3806" s="282"/>
      <c r="H3806" s="273"/>
      <c r="I3806" s="274"/>
      <c r="J3806" s="274"/>
      <c r="K3806" s="274"/>
      <c r="L3806" s="274"/>
      <c r="M3806" s="274"/>
      <c r="N3806" s="274"/>
      <c r="P3806" s="275"/>
    </row>
    <row r="3807" ht="15.75" customHeight="1">
      <c r="B3807" s="282"/>
      <c r="H3807" s="273"/>
      <c r="I3807" s="274"/>
      <c r="J3807" s="274"/>
      <c r="K3807" s="274"/>
      <c r="L3807" s="274"/>
      <c r="M3807" s="274"/>
      <c r="N3807" s="274"/>
      <c r="P3807" s="275"/>
    </row>
    <row r="3808" ht="15.75" customHeight="1">
      <c r="B3808" s="282"/>
      <c r="H3808" s="273"/>
      <c r="I3808" s="274"/>
      <c r="J3808" s="274"/>
      <c r="K3808" s="274"/>
      <c r="L3808" s="274"/>
      <c r="M3808" s="274"/>
      <c r="N3808" s="274"/>
      <c r="P3808" s="275"/>
    </row>
    <row r="3809" ht="15.75" customHeight="1">
      <c r="B3809" s="282"/>
      <c r="H3809" s="273"/>
      <c r="I3809" s="274"/>
      <c r="J3809" s="274"/>
      <c r="K3809" s="274"/>
      <c r="L3809" s="274"/>
      <c r="M3809" s="274"/>
      <c r="N3809" s="274"/>
      <c r="P3809" s="275"/>
    </row>
    <row r="3810" ht="15.75" customHeight="1">
      <c r="B3810" s="282"/>
      <c r="H3810" s="273"/>
      <c r="I3810" s="274"/>
      <c r="J3810" s="274"/>
      <c r="K3810" s="274"/>
      <c r="L3810" s="274"/>
      <c r="M3810" s="274"/>
      <c r="N3810" s="274"/>
      <c r="P3810" s="275"/>
    </row>
    <row r="3811" ht="15.75" customHeight="1">
      <c r="B3811" s="282"/>
      <c r="H3811" s="273"/>
      <c r="I3811" s="274"/>
      <c r="J3811" s="274"/>
      <c r="K3811" s="274"/>
      <c r="L3811" s="274"/>
      <c r="M3811" s="274"/>
      <c r="N3811" s="274"/>
      <c r="P3811" s="275"/>
    </row>
    <row r="3812" ht="15.75" customHeight="1">
      <c r="B3812" s="282"/>
      <c r="H3812" s="273"/>
      <c r="I3812" s="274"/>
      <c r="J3812" s="274"/>
      <c r="K3812" s="274"/>
      <c r="L3812" s="274"/>
      <c r="M3812" s="274"/>
      <c r="N3812" s="274"/>
      <c r="P3812" s="275"/>
    </row>
    <row r="3813" ht="15.75" customHeight="1">
      <c r="B3813" s="282"/>
      <c r="H3813" s="273"/>
      <c r="I3813" s="274"/>
      <c r="J3813" s="274"/>
      <c r="K3813" s="274"/>
      <c r="L3813" s="274"/>
      <c r="M3813" s="274"/>
      <c r="N3813" s="274"/>
      <c r="P3813" s="275"/>
    </row>
    <row r="3814" ht="15.75" customHeight="1">
      <c r="B3814" s="282"/>
      <c r="H3814" s="273"/>
      <c r="I3814" s="274"/>
      <c r="J3814" s="274"/>
      <c r="K3814" s="274"/>
      <c r="L3814" s="274"/>
      <c r="M3814" s="274"/>
      <c r="N3814" s="274"/>
      <c r="P3814" s="275"/>
    </row>
    <row r="3815" ht="15.75" customHeight="1">
      <c r="B3815" s="282"/>
      <c r="H3815" s="273"/>
      <c r="I3815" s="274"/>
      <c r="J3815" s="274"/>
      <c r="K3815" s="274"/>
      <c r="L3815" s="274"/>
      <c r="M3815" s="274"/>
      <c r="N3815" s="274"/>
      <c r="P3815" s="275"/>
    </row>
    <row r="3816" ht="15.75" customHeight="1">
      <c r="B3816" s="282"/>
      <c r="H3816" s="273"/>
      <c r="I3816" s="274"/>
      <c r="J3816" s="274"/>
      <c r="K3816" s="274"/>
      <c r="L3816" s="274"/>
      <c r="M3816" s="274"/>
      <c r="N3816" s="274"/>
      <c r="P3816" s="275"/>
    </row>
    <row r="3817" ht="15.75" customHeight="1">
      <c r="B3817" s="282"/>
      <c r="H3817" s="273"/>
      <c r="I3817" s="274"/>
      <c r="J3817" s="274"/>
      <c r="K3817" s="274"/>
      <c r="L3817" s="274"/>
      <c r="M3817" s="274"/>
      <c r="N3817" s="274"/>
      <c r="P3817" s="275"/>
    </row>
    <row r="3818" ht="15.75" customHeight="1">
      <c r="B3818" s="282"/>
      <c r="H3818" s="273"/>
      <c r="I3818" s="274"/>
      <c r="J3818" s="274"/>
      <c r="K3818" s="274"/>
      <c r="L3818" s="274"/>
      <c r="M3818" s="274"/>
      <c r="N3818" s="274"/>
      <c r="P3818" s="275"/>
    </row>
    <row r="3819" ht="15.75" customHeight="1">
      <c r="B3819" s="282"/>
      <c r="H3819" s="273"/>
      <c r="I3819" s="274"/>
      <c r="J3819" s="274"/>
      <c r="K3819" s="274"/>
      <c r="L3819" s="274"/>
      <c r="M3819" s="274"/>
      <c r="N3819" s="274"/>
      <c r="P3819" s="275"/>
    </row>
    <row r="3820" ht="15.75" customHeight="1">
      <c r="B3820" s="282"/>
      <c r="H3820" s="273"/>
      <c r="I3820" s="274"/>
      <c r="J3820" s="274"/>
      <c r="K3820" s="274"/>
      <c r="L3820" s="274"/>
      <c r="M3820" s="274"/>
      <c r="N3820" s="274"/>
      <c r="P3820" s="275"/>
    </row>
    <row r="3821" ht="15.75" customHeight="1">
      <c r="B3821" s="282"/>
      <c r="H3821" s="273"/>
      <c r="I3821" s="274"/>
      <c r="J3821" s="274"/>
      <c r="K3821" s="274"/>
      <c r="L3821" s="274"/>
      <c r="M3821" s="274"/>
      <c r="N3821" s="274"/>
      <c r="P3821" s="275"/>
    </row>
    <row r="3822" ht="15.75" customHeight="1">
      <c r="B3822" s="282"/>
      <c r="H3822" s="273"/>
      <c r="I3822" s="274"/>
      <c r="J3822" s="274"/>
      <c r="K3822" s="274"/>
      <c r="L3822" s="274"/>
      <c r="M3822" s="274"/>
      <c r="N3822" s="274"/>
      <c r="P3822" s="275"/>
    </row>
    <row r="3823" ht="15.75" customHeight="1">
      <c r="B3823" s="282"/>
      <c r="H3823" s="273"/>
      <c r="I3823" s="274"/>
      <c r="J3823" s="274"/>
      <c r="K3823" s="274"/>
      <c r="L3823" s="274"/>
      <c r="M3823" s="274"/>
      <c r="N3823" s="274"/>
      <c r="P3823" s="275"/>
    </row>
    <row r="3824" ht="15.75" customHeight="1">
      <c r="B3824" s="282"/>
      <c r="H3824" s="273"/>
      <c r="I3824" s="274"/>
      <c r="J3824" s="274"/>
      <c r="K3824" s="274"/>
      <c r="L3824" s="274"/>
      <c r="M3824" s="274"/>
      <c r="N3824" s="274"/>
      <c r="P3824" s="275"/>
    </row>
    <row r="3825" ht="15.75" customHeight="1">
      <c r="B3825" s="282"/>
      <c r="H3825" s="273"/>
      <c r="I3825" s="274"/>
      <c r="J3825" s="274"/>
      <c r="K3825" s="274"/>
      <c r="L3825" s="274"/>
      <c r="M3825" s="274"/>
      <c r="N3825" s="274"/>
      <c r="P3825" s="275"/>
    </row>
    <row r="3826" ht="15.75" customHeight="1">
      <c r="B3826" s="282"/>
      <c r="H3826" s="273"/>
      <c r="I3826" s="274"/>
      <c r="J3826" s="274"/>
      <c r="K3826" s="274"/>
      <c r="L3826" s="274"/>
      <c r="M3826" s="274"/>
      <c r="N3826" s="274"/>
      <c r="P3826" s="275"/>
    </row>
    <row r="3827" ht="15.75" customHeight="1">
      <c r="B3827" s="282"/>
      <c r="H3827" s="273"/>
      <c r="I3827" s="274"/>
      <c r="J3827" s="274"/>
      <c r="K3827" s="274"/>
      <c r="L3827" s="274"/>
      <c r="M3827" s="274"/>
      <c r="N3827" s="274"/>
      <c r="P3827" s="275"/>
    </row>
    <row r="3828" ht="15.75" customHeight="1">
      <c r="B3828" s="282"/>
      <c r="H3828" s="273"/>
      <c r="I3828" s="274"/>
      <c r="J3828" s="274"/>
      <c r="K3828" s="274"/>
      <c r="L3828" s="274"/>
      <c r="M3828" s="274"/>
      <c r="N3828" s="274"/>
      <c r="P3828" s="275"/>
    </row>
    <row r="3829" ht="15.75" customHeight="1">
      <c r="B3829" s="282"/>
      <c r="H3829" s="273"/>
      <c r="I3829" s="274"/>
      <c r="J3829" s="274"/>
      <c r="K3829" s="274"/>
      <c r="L3829" s="274"/>
      <c r="M3829" s="274"/>
      <c r="N3829" s="274"/>
      <c r="P3829" s="275"/>
    </row>
    <row r="3830" ht="15.75" customHeight="1">
      <c r="B3830" s="282"/>
      <c r="H3830" s="273"/>
      <c r="I3830" s="274"/>
      <c r="J3830" s="274"/>
      <c r="K3830" s="274"/>
      <c r="L3830" s="274"/>
      <c r="M3830" s="274"/>
      <c r="N3830" s="274"/>
      <c r="P3830" s="275"/>
    </row>
    <row r="3831" ht="15.75" customHeight="1">
      <c r="B3831" s="282"/>
      <c r="H3831" s="273"/>
      <c r="I3831" s="274"/>
      <c r="J3831" s="274"/>
      <c r="K3831" s="274"/>
      <c r="L3831" s="274"/>
      <c r="M3831" s="274"/>
      <c r="N3831" s="274"/>
      <c r="P3831" s="275"/>
    </row>
    <row r="3832" ht="15.75" customHeight="1">
      <c r="B3832" s="282"/>
      <c r="H3832" s="273"/>
      <c r="I3832" s="274"/>
      <c r="J3832" s="274"/>
      <c r="K3832" s="274"/>
      <c r="L3832" s="274"/>
      <c r="M3832" s="274"/>
      <c r="N3832" s="274"/>
      <c r="P3832" s="275"/>
    </row>
    <row r="3833" ht="15.75" customHeight="1">
      <c r="B3833" s="282"/>
      <c r="H3833" s="273"/>
      <c r="I3833" s="274"/>
      <c r="J3833" s="274"/>
      <c r="K3833" s="274"/>
      <c r="L3833" s="274"/>
      <c r="M3833" s="274"/>
      <c r="N3833" s="274"/>
      <c r="P3833" s="275"/>
    </row>
    <row r="3834" ht="15.75" customHeight="1">
      <c r="B3834" s="282"/>
      <c r="H3834" s="273"/>
      <c r="I3834" s="274"/>
      <c r="J3834" s="274"/>
      <c r="K3834" s="274"/>
      <c r="L3834" s="274"/>
      <c r="M3834" s="274"/>
      <c r="N3834" s="274"/>
      <c r="P3834" s="275"/>
    </row>
    <row r="3835" ht="15.75" customHeight="1">
      <c r="B3835" s="282"/>
      <c r="H3835" s="273"/>
      <c r="I3835" s="274"/>
      <c r="J3835" s="274"/>
      <c r="K3835" s="274"/>
      <c r="L3835" s="274"/>
      <c r="M3835" s="274"/>
      <c r="N3835" s="274"/>
      <c r="P3835" s="275"/>
    </row>
    <row r="3836" ht="15.75" customHeight="1">
      <c r="B3836" s="282"/>
      <c r="H3836" s="273"/>
      <c r="I3836" s="274"/>
      <c r="J3836" s="274"/>
      <c r="K3836" s="274"/>
      <c r="L3836" s="274"/>
      <c r="M3836" s="274"/>
      <c r="N3836" s="274"/>
      <c r="P3836" s="275"/>
    </row>
    <row r="3837" ht="15.75" customHeight="1">
      <c r="B3837" s="282"/>
      <c r="H3837" s="273"/>
      <c r="I3837" s="274"/>
      <c r="J3837" s="274"/>
      <c r="K3837" s="274"/>
      <c r="L3837" s="274"/>
      <c r="M3837" s="274"/>
      <c r="N3837" s="274"/>
      <c r="P3837" s="275"/>
    </row>
    <row r="3838" ht="15.75" customHeight="1">
      <c r="B3838" s="282"/>
      <c r="H3838" s="273"/>
      <c r="I3838" s="274"/>
      <c r="J3838" s="274"/>
      <c r="K3838" s="274"/>
      <c r="L3838" s="274"/>
      <c r="M3838" s="274"/>
      <c r="N3838" s="274"/>
      <c r="P3838" s="275"/>
    </row>
    <row r="3839" ht="15.75" customHeight="1">
      <c r="B3839" s="282"/>
      <c r="H3839" s="273"/>
      <c r="I3839" s="274"/>
      <c r="J3839" s="274"/>
      <c r="K3839" s="274"/>
      <c r="L3839" s="274"/>
      <c r="M3839" s="274"/>
      <c r="N3839" s="274"/>
      <c r="P3839" s="275"/>
    </row>
    <row r="3840" ht="15.75" customHeight="1">
      <c r="B3840" s="282"/>
      <c r="H3840" s="273"/>
      <c r="I3840" s="274"/>
      <c r="J3840" s="274"/>
      <c r="K3840" s="274"/>
      <c r="L3840" s="274"/>
      <c r="M3840" s="274"/>
      <c r="N3840" s="274"/>
      <c r="P3840" s="275"/>
    </row>
    <row r="3841" ht="15.75" customHeight="1">
      <c r="B3841" s="282"/>
      <c r="H3841" s="273"/>
      <c r="I3841" s="274"/>
      <c r="J3841" s="274"/>
      <c r="K3841" s="274"/>
      <c r="L3841" s="274"/>
      <c r="M3841" s="274"/>
      <c r="N3841" s="274"/>
      <c r="P3841" s="275"/>
    </row>
    <row r="3842" ht="15.75" customHeight="1">
      <c r="B3842" s="282"/>
      <c r="H3842" s="273"/>
      <c r="I3842" s="274"/>
      <c r="J3842" s="274"/>
      <c r="K3842" s="274"/>
      <c r="L3842" s="274"/>
      <c r="M3842" s="274"/>
      <c r="N3842" s="274"/>
      <c r="P3842" s="275"/>
    </row>
    <row r="3843" ht="15.75" customHeight="1">
      <c r="B3843" s="282"/>
      <c r="H3843" s="273"/>
      <c r="I3843" s="274"/>
      <c r="J3843" s="274"/>
      <c r="K3843" s="274"/>
      <c r="L3843" s="274"/>
      <c r="M3843" s="274"/>
      <c r="N3843" s="274"/>
      <c r="P3843" s="275"/>
    </row>
    <row r="3844" ht="15.75" customHeight="1">
      <c r="B3844" s="282"/>
      <c r="H3844" s="273"/>
      <c r="I3844" s="274"/>
      <c r="J3844" s="274"/>
      <c r="K3844" s="274"/>
      <c r="L3844" s="274"/>
      <c r="M3844" s="274"/>
      <c r="N3844" s="274"/>
      <c r="P3844" s="275"/>
    </row>
    <row r="3845" ht="15.75" customHeight="1">
      <c r="B3845" s="282"/>
      <c r="H3845" s="273"/>
      <c r="I3845" s="274"/>
      <c r="J3845" s="274"/>
      <c r="K3845" s="274"/>
      <c r="L3845" s="274"/>
      <c r="M3845" s="274"/>
      <c r="N3845" s="274"/>
      <c r="P3845" s="275"/>
    </row>
    <row r="3846" ht="15.75" customHeight="1">
      <c r="B3846" s="282"/>
      <c r="H3846" s="273"/>
      <c r="I3846" s="274"/>
      <c r="J3846" s="274"/>
      <c r="K3846" s="274"/>
      <c r="L3846" s="274"/>
      <c r="M3846" s="274"/>
      <c r="N3846" s="274"/>
      <c r="P3846" s="275"/>
    </row>
    <row r="3847" ht="15.75" customHeight="1">
      <c r="B3847" s="282"/>
      <c r="H3847" s="273"/>
      <c r="I3847" s="274"/>
      <c r="J3847" s="274"/>
      <c r="K3847" s="274"/>
      <c r="L3847" s="274"/>
      <c r="M3847" s="274"/>
      <c r="N3847" s="274"/>
      <c r="P3847" s="275"/>
    </row>
    <row r="3848" ht="15.75" customHeight="1">
      <c r="B3848" s="282"/>
      <c r="H3848" s="273"/>
      <c r="I3848" s="274"/>
      <c r="J3848" s="274"/>
      <c r="K3848" s="274"/>
      <c r="L3848" s="274"/>
      <c r="M3848" s="274"/>
      <c r="N3848" s="274"/>
      <c r="P3848" s="275"/>
    </row>
    <row r="3849" ht="15.75" customHeight="1">
      <c r="B3849" s="282"/>
      <c r="H3849" s="273"/>
      <c r="I3849" s="274"/>
      <c r="J3849" s="274"/>
      <c r="K3849" s="274"/>
      <c r="L3849" s="274"/>
      <c r="M3849" s="274"/>
      <c r="N3849" s="274"/>
      <c r="P3849" s="275"/>
    </row>
    <row r="3850" ht="15.75" customHeight="1">
      <c r="B3850" s="282"/>
      <c r="H3850" s="273"/>
      <c r="I3850" s="274"/>
      <c r="J3850" s="274"/>
      <c r="K3850" s="274"/>
      <c r="L3850" s="274"/>
      <c r="M3850" s="274"/>
      <c r="N3850" s="274"/>
      <c r="P3850" s="275"/>
    </row>
    <row r="3851" ht="15.75" customHeight="1">
      <c r="B3851" s="282"/>
      <c r="H3851" s="273"/>
      <c r="I3851" s="274"/>
      <c r="J3851" s="274"/>
      <c r="K3851" s="274"/>
      <c r="L3851" s="274"/>
      <c r="M3851" s="274"/>
      <c r="N3851" s="274"/>
      <c r="P3851" s="275"/>
    </row>
    <row r="3852" ht="15.75" customHeight="1">
      <c r="B3852" s="282"/>
      <c r="H3852" s="273"/>
      <c r="I3852" s="274"/>
      <c r="J3852" s="274"/>
      <c r="K3852" s="274"/>
      <c r="L3852" s="274"/>
      <c r="M3852" s="274"/>
      <c r="N3852" s="274"/>
      <c r="P3852" s="275"/>
    </row>
    <row r="3853" ht="15.75" customHeight="1">
      <c r="B3853" s="282"/>
      <c r="H3853" s="273"/>
      <c r="I3853" s="274"/>
      <c r="J3853" s="274"/>
      <c r="K3853" s="274"/>
      <c r="L3853" s="274"/>
      <c r="M3853" s="274"/>
      <c r="N3853" s="274"/>
      <c r="P3853" s="275"/>
    </row>
    <row r="3854" ht="15.75" customHeight="1">
      <c r="B3854" s="282"/>
      <c r="H3854" s="273"/>
      <c r="I3854" s="274"/>
      <c r="J3854" s="274"/>
      <c r="K3854" s="274"/>
      <c r="L3854" s="274"/>
      <c r="M3854" s="274"/>
      <c r="N3854" s="274"/>
      <c r="P3854" s="275"/>
    </row>
    <row r="3855" ht="15.75" customHeight="1">
      <c r="B3855" s="282"/>
      <c r="H3855" s="273"/>
      <c r="I3855" s="274"/>
      <c r="J3855" s="274"/>
      <c r="K3855" s="274"/>
      <c r="L3855" s="274"/>
      <c r="M3855" s="274"/>
      <c r="N3855" s="274"/>
      <c r="P3855" s="275"/>
    </row>
    <row r="3856" ht="15.75" customHeight="1">
      <c r="B3856" s="282"/>
      <c r="H3856" s="273"/>
      <c r="I3856" s="274"/>
      <c r="J3856" s="274"/>
      <c r="K3856" s="274"/>
      <c r="L3856" s="274"/>
      <c r="M3856" s="274"/>
      <c r="N3856" s="274"/>
      <c r="P3856" s="275"/>
    </row>
    <row r="3857" ht="15.75" customHeight="1">
      <c r="B3857" s="282"/>
      <c r="H3857" s="273"/>
      <c r="I3857" s="274"/>
      <c r="J3857" s="274"/>
      <c r="K3857" s="274"/>
      <c r="L3857" s="274"/>
      <c r="M3857" s="274"/>
      <c r="N3857" s="274"/>
      <c r="P3857" s="275"/>
    </row>
    <row r="3858" ht="15.75" customHeight="1">
      <c r="B3858" s="282"/>
      <c r="H3858" s="273"/>
      <c r="I3858" s="274"/>
      <c r="J3858" s="274"/>
      <c r="K3858" s="274"/>
      <c r="L3858" s="274"/>
      <c r="M3858" s="274"/>
      <c r="N3858" s="274"/>
      <c r="P3858" s="275"/>
    </row>
    <row r="3859" ht="15.75" customHeight="1">
      <c r="B3859" s="282"/>
      <c r="H3859" s="273"/>
      <c r="I3859" s="274"/>
      <c r="J3859" s="274"/>
      <c r="K3859" s="274"/>
      <c r="L3859" s="274"/>
      <c r="M3859" s="274"/>
      <c r="N3859" s="274"/>
      <c r="P3859" s="275"/>
    </row>
    <row r="3860" ht="15.75" customHeight="1">
      <c r="B3860" s="282"/>
      <c r="H3860" s="273"/>
      <c r="I3860" s="274"/>
      <c r="J3860" s="274"/>
      <c r="K3860" s="274"/>
      <c r="L3860" s="274"/>
      <c r="M3860" s="274"/>
      <c r="N3860" s="274"/>
      <c r="P3860" s="275"/>
    </row>
    <row r="3861" ht="15.75" customHeight="1">
      <c r="B3861" s="282"/>
      <c r="H3861" s="273"/>
      <c r="I3861" s="274"/>
      <c r="J3861" s="274"/>
      <c r="K3861" s="274"/>
      <c r="L3861" s="274"/>
      <c r="M3861" s="274"/>
      <c r="N3861" s="274"/>
      <c r="P3861" s="275"/>
    </row>
    <row r="3862" ht="15.75" customHeight="1">
      <c r="B3862" s="282"/>
      <c r="H3862" s="273"/>
      <c r="I3862" s="274"/>
      <c r="J3862" s="274"/>
      <c r="K3862" s="274"/>
      <c r="L3862" s="274"/>
      <c r="M3862" s="274"/>
      <c r="N3862" s="274"/>
      <c r="P3862" s="275"/>
    </row>
    <row r="3863" ht="15.75" customHeight="1">
      <c r="B3863" s="282"/>
      <c r="H3863" s="273"/>
      <c r="I3863" s="274"/>
      <c r="J3863" s="274"/>
      <c r="K3863" s="274"/>
      <c r="L3863" s="274"/>
      <c r="M3863" s="274"/>
      <c r="N3863" s="274"/>
      <c r="P3863" s="275"/>
    </row>
    <row r="3864" ht="15.75" customHeight="1">
      <c r="B3864" s="282"/>
      <c r="H3864" s="273"/>
      <c r="I3864" s="274"/>
      <c r="J3864" s="274"/>
      <c r="K3864" s="274"/>
      <c r="L3864" s="274"/>
      <c r="M3864" s="274"/>
      <c r="N3864" s="274"/>
      <c r="P3864" s="275"/>
    </row>
    <row r="3865" ht="15.75" customHeight="1">
      <c r="B3865" s="282"/>
      <c r="H3865" s="273"/>
      <c r="I3865" s="274"/>
      <c r="J3865" s="274"/>
      <c r="K3865" s="274"/>
      <c r="L3865" s="274"/>
      <c r="M3865" s="274"/>
      <c r="N3865" s="274"/>
      <c r="P3865" s="275"/>
    </row>
    <row r="3866" ht="15.75" customHeight="1">
      <c r="B3866" s="282"/>
      <c r="H3866" s="273"/>
      <c r="I3866" s="274"/>
      <c r="J3866" s="274"/>
      <c r="K3866" s="274"/>
      <c r="L3866" s="274"/>
      <c r="M3866" s="274"/>
      <c r="N3866" s="274"/>
      <c r="P3866" s="275"/>
    </row>
    <row r="3867" ht="15.75" customHeight="1">
      <c r="B3867" s="282"/>
      <c r="H3867" s="273"/>
      <c r="I3867" s="274"/>
      <c r="J3867" s="274"/>
      <c r="K3867" s="274"/>
      <c r="L3867" s="274"/>
      <c r="M3867" s="274"/>
      <c r="N3867" s="274"/>
      <c r="P3867" s="275"/>
    </row>
    <row r="3868" ht="15.75" customHeight="1">
      <c r="B3868" s="282"/>
      <c r="H3868" s="273"/>
      <c r="I3868" s="274"/>
      <c r="J3868" s="274"/>
      <c r="K3868" s="274"/>
      <c r="L3868" s="274"/>
      <c r="M3868" s="274"/>
      <c r="N3868" s="274"/>
      <c r="P3868" s="275"/>
    </row>
    <row r="3869" ht="15.75" customHeight="1">
      <c r="B3869" s="282"/>
      <c r="H3869" s="273"/>
      <c r="I3869" s="274"/>
      <c r="J3869" s="274"/>
      <c r="K3869" s="274"/>
      <c r="L3869" s="274"/>
      <c r="M3869" s="274"/>
      <c r="N3869" s="274"/>
      <c r="P3869" s="275"/>
    </row>
    <row r="3870" ht="15.75" customHeight="1">
      <c r="B3870" s="282"/>
      <c r="H3870" s="273"/>
      <c r="I3870" s="274"/>
      <c r="J3870" s="274"/>
      <c r="K3870" s="274"/>
      <c r="L3870" s="274"/>
      <c r="M3870" s="274"/>
      <c r="N3870" s="274"/>
      <c r="P3870" s="275"/>
    </row>
    <row r="3871" ht="15.75" customHeight="1">
      <c r="B3871" s="282"/>
      <c r="H3871" s="273"/>
      <c r="I3871" s="274"/>
      <c r="J3871" s="274"/>
      <c r="K3871" s="274"/>
      <c r="L3871" s="274"/>
      <c r="M3871" s="274"/>
      <c r="N3871" s="274"/>
      <c r="P3871" s="275"/>
    </row>
    <row r="3872" ht="15.75" customHeight="1">
      <c r="B3872" s="282"/>
      <c r="H3872" s="273"/>
      <c r="I3872" s="274"/>
      <c r="J3872" s="274"/>
      <c r="K3872" s="274"/>
      <c r="L3872" s="274"/>
      <c r="M3872" s="274"/>
      <c r="N3872" s="274"/>
      <c r="P3872" s="275"/>
    </row>
    <row r="3873" ht="15.75" customHeight="1">
      <c r="B3873" s="282"/>
      <c r="H3873" s="273"/>
      <c r="I3873" s="274"/>
      <c r="J3873" s="274"/>
      <c r="K3873" s="274"/>
      <c r="L3873" s="274"/>
      <c r="M3873" s="274"/>
      <c r="N3873" s="274"/>
      <c r="P3873" s="275"/>
    </row>
    <row r="3874" ht="15.75" customHeight="1">
      <c r="B3874" s="282"/>
      <c r="H3874" s="273"/>
      <c r="I3874" s="274"/>
      <c r="J3874" s="274"/>
      <c r="K3874" s="274"/>
      <c r="L3874" s="274"/>
      <c r="M3874" s="274"/>
      <c r="N3874" s="274"/>
      <c r="P3874" s="275"/>
    </row>
    <row r="3875" ht="15.75" customHeight="1">
      <c r="B3875" s="282"/>
      <c r="H3875" s="273"/>
      <c r="I3875" s="274"/>
      <c r="J3875" s="274"/>
      <c r="K3875" s="274"/>
      <c r="L3875" s="274"/>
      <c r="M3875" s="274"/>
      <c r="N3875" s="274"/>
      <c r="P3875" s="275"/>
    </row>
    <row r="3876" ht="15.75" customHeight="1">
      <c r="B3876" s="282"/>
      <c r="H3876" s="273"/>
      <c r="I3876" s="274"/>
      <c r="J3876" s="274"/>
      <c r="K3876" s="274"/>
      <c r="L3876" s="274"/>
      <c r="M3876" s="274"/>
      <c r="N3876" s="274"/>
      <c r="P3876" s="275"/>
    </row>
    <row r="3877" ht="15.75" customHeight="1">
      <c r="B3877" s="282"/>
      <c r="H3877" s="273"/>
      <c r="I3877" s="274"/>
      <c r="J3877" s="274"/>
      <c r="K3877" s="274"/>
      <c r="L3877" s="274"/>
      <c r="M3877" s="274"/>
      <c r="N3877" s="274"/>
      <c r="P3877" s="275"/>
    </row>
    <row r="3878" ht="15.75" customHeight="1">
      <c r="B3878" s="282"/>
      <c r="H3878" s="273"/>
      <c r="I3878" s="274"/>
      <c r="J3878" s="274"/>
      <c r="K3878" s="274"/>
      <c r="L3878" s="274"/>
      <c r="M3878" s="274"/>
      <c r="N3878" s="274"/>
      <c r="P3878" s="275"/>
    </row>
    <row r="3879" ht="15.75" customHeight="1">
      <c r="B3879" s="282"/>
      <c r="H3879" s="273"/>
      <c r="I3879" s="274"/>
      <c r="J3879" s="274"/>
      <c r="K3879" s="274"/>
      <c r="L3879" s="274"/>
      <c r="M3879" s="274"/>
      <c r="N3879" s="274"/>
      <c r="P3879" s="275"/>
    </row>
    <row r="3880" ht="15.75" customHeight="1">
      <c r="B3880" s="282"/>
      <c r="H3880" s="273"/>
      <c r="I3880" s="274"/>
      <c r="J3880" s="274"/>
      <c r="K3880" s="274"/>
      <c r="L3880" s="274"/>
      <c r="M3880" s="274"/>
      <c r="N3880" s="274"/>
      <c r="P3880" s="275"/>
    </row>
    <row r="3881" ht="15.75" customHeight="1">
      <c r="B3881" s="282"/>
      <c r="H3881" s="273"/>
      <c r="I3881" s="274"/>
      <c r="J3881" s="274"/>
      <c r="K3881" s="274"/>
      <c r="L3881" s="274"/>
      <c r="M3881" s="274"/>
      <c r="N3881" s="274"/>
      <c r="P3881" s="275"/>
    </row>
    <row r="3882" ht="15.75" customHeight="1">
      <c r="B3882" s="282"/>
      <c r="H3882" s="273"/>
      <c r="I3882" s="274"/>
      <c r="J3882" s="274"/>
      <c r="K3882" s="274"/>
      <c r="L3882" s="274"/>
      <c r="M3882" s="274"/>
      <c r="N3882" s="274"/>
      <c r="P3882" s="275"/>
    </row>
    <row r="3883" ht="15.75" customHeight="1">
      <c r="B3883" s="282"/>
      <c r="H3883" s="273"/>
      <c r="I3883" s="274"/>
      <c r="J3883" s="274"/>
      <c r="K3883" s="274"/>
      <c r="L3883" s="274"/>
      <c r="M3883" s="274"/>
      <c r="N3883" s="274"/>
      <c r="P3883" s="275"/>
    </row>
    <row r="3884" ht="15.75" customHeight="1">
      <c r="B3884" s="282"/>
      <c r="H3884" s="273"/>
      <c r="I3884" s="274"/>
      <c r="J3884" s="274"/>
      <c r="K3884" s="274"/>
      <c r="L3884" s="274"/>
      <c r="M3884" s="274"/>
      <c r="N3884" s="274"/>
      <c r="P3884" s="275"/>
    </row>
    <row r="3885" ht="15.75" customHeight="1">
      <c r="B3885" s="282"/>
      <c r="H3885" s="273"/>
      <c r="I3885" s="274"/>
      <c r="J3885" s="274"/>
      <c r="K3885" s="274"/>
      <c r="L3885" s="274"/>
      <c r="M3885" s="274"/>
      <c r="N3885" s="274"/>
      <c r="P3885" s="275"/>
    </row>
    <row r="3886" ht="15.75" customHeight="1">
      <c r="B3886" s="282"/>
      <c r="H3886" s="273"/>
      <c r="I3886" s="274"/>
      <c r="J3886" s="274"/>
      <c r="K3886" s="274"/>
      <c r="L3886" s="274"/>
      <c r="M3886" s="274"/>
      <c r="N3886" s="274"/>
      <c r="P3886" s="275"/>
    </row>
    <row r="3887" ht="15.75" customHeight="1">
      <c r="B3887" s="282"/>
      <c r="H3887" s="273"/>
      <c r="I3887" s="274"/>
      <c r="J3887" s="274"/>
      <c r="K3887" s="274"/>
      <c r="L3887" s="274"/>
      <c r="M3887" s="274"/>
      <c r="N3887" s="274"/>
      <c r="P3887" s="275"/>
    </row>
    <row r="3888" ht="15.75" customHeight="1">
      <c r="B3888" s="282"/>
      <c r="H3888" s="273"/>
      <c r="I3888" s="274"/>
      <c r="J3888" s="274"/>
      <c r="K3888" s="274"/>
      <c r="L3888" s="274"/>
      <c r="M3888" s="274"/>
      <c r="N3888" s="274"/>
      <c r="P3888" s="275"/>
    </row>
    <row r="3889" ht="15.75" customHeight="1">
      <c r="B3889" s="282"/>
      <c r="H3889" s="273"/>
      <c r="I3889" s="274"/>
      <c r="J3889" s="274"/>
      <c r="K3889" s="274"/>
      <c r="L3889" s="274"/>
      <c r="M3889" s="274"/>
      <c r="N3889" s="274"/>
      <c r="P3889" s="275"/>
    </row>
    <row r="3890" ht="15.75" customHeight="1">
      <c r="B3890" s="282"/>
      <c r="H3890" s="273"/>
      <c r="I3890" s="274"/>
      <c r="J3890" s="274"/>
      <c r="K3890" s="274"/>
      <c r="L3890" s="274"/>
      <c r="M3890" s="274"/>
      <c r="N3890" s="274"/>
      <c r="P3890" s="275"/>
    </row>
    <row r="3891" ht="15.75" customHeight="1">
      <c r="B3891" s="282"/>
      <c r="H3891" s="273"/>
      <c r="I3891" s="274"/>
      <c r="J3891" s="274"/>
      <c r="K3891" s="274"/>
      <c r="L3891" s="274"/>
      <c r="M3891" s="274"/>
      <c r="N3891" s="274"/>
      <c r="P3891" s="275"/>
    </row>
    <row r="3892" ht="15.75" customHeight="1">
      <c r="B3892" s="282"/>
      <c r="H3892" s="273"/>
      <c r="I3892" s="274"/>
      <c r="J3892" s="274"/>
      <c r="K3892" s="274"/>
      <c r="L3892" s="274"/>
      <c r="M3892" s="274"/>
      <c r="N3892" s="274"/>
      <c r="P3892" s="275"/>
    </row>
    <row r="3893" ht="15.75" customHeight="1">
      <c r="B3893" s="282"/>
      <c r="H3893" s="273"/>
      <c r="I3893" s="274"/>
      <c r="J3893" s="274"/>
      <c r="K3893" s="274"/>
      <c r="L3893" s="274"/>
      <c r="M3893" s="274"/>
      <c r="N3893" s="274"/>
      <c r="P3893" s="275"/>
    </row>
    <row r="3894" ht="15.75" customHeight="1">
      <c r="B3894" s="282"/>
      <c r="H3894" s="273"/>
      <c r="I3894" s="274"/>
      <c r="J3894" s="274"/>
      <c r="K3894" s="274"/>
      <c r="L3894" s="274"/>
      <c r="M3894" s="274"/>
      <c r="N3894" s="274"/>
      <c r="P3894" s="275"/>
    </row>
    <row r="3895" ht="15.75" customHeight="1">
      <c r="B3895" s="282"/>
      <c r="H3895" s="273"/>
      <c r="I3895" s="274"/>
      <c r="J3895" s="274"/>
      <c r="K3895" s="274"/>
      <c r="L3895" s="274"/>
      <c r="M3895" s="274"/>
      <c r="N3895" s="274"/>
      <c r="P3895" s="275"/>
    </row>
    <row r="3896" ht="15.75" customHeight="1">
      <c r="B3896" s="282"/>
      <c r="H3896" s="273"/>
      <c r="I3896" s="274"/>
      <c r="J3896" s="274"/>
      <c r="K3896" s="274"/>
      <c r="L3896" s="274"/>
      <c r="M3896" s="274"/>
      <c r="N3896" s="274"/>
      <c r="P3896" s="275"/>
    </row>
    <row r="3897" ht="15.75" customHeight="1">
      <c r="B3897" s="282"/>
      <c r="H3897" s="273"/>
      <c r="I3897" s="274"/>
      <c r="J3897" s="274"/>
      <c r="K3897" s="274"/>
      <c r="L3897" s="274"/>
      <c r="M3897" s="274"/>
      <c r="N3897" s="274"/>
      <c r="P3897" s="275"/>
    </row>
    <row r="3898" ht="15.75" customHeight="1">
      <c r="B3898" s="282"/>
      <c r="H3898" s="273"/>
      <c r="I3898" s="274"/>
      <c r="J3898" s="274"/>
      <c r="K3898" s="274"/>
      <c r="L3898" s="274"/>
      <c r="M3898" s="274"/>
      <c r="N3898" s="274"/>
      <c r="P3898" s="275"/>
    </row>
    <row r="3899" ht="15.75" customHeight="1">
      <c r="B3899" s="282"/>
      <c r="H3899" s="273"/>
      <c r="I3899" s="274"/>
      <c r="J3899" s="274"/>
      <c r="K3899" s="274"/>
      <c r="L3899" s="274"/>
      <c r="M3899" s="274"/>
      <c r="N3899" s="274"/>
      <c r="P3899" s="275"/>
    </row>
    <row r="3900" ht="15.75" customHeight="1">
      <c r="B3900" s="282"/>
      <c r="H3900" s="273"/>
      <c r="I3900" s="274"/>
      <c r="J3900" s="274"/>
      <c r="K3900" s="274"/>
      <c r="L3900" s="274"/>
      <c r="M3900" s="274"/>
      <c r="N3900" s="274"/>
      <c r="P3900" s="275"/>
    </row>
    <row r="3901" ht="15.75" customHeight="1">
      <c r="B3901" s="282"/>
      <c r="H3901" s="273"/>
      <c r="I3901" s="274"/>
      <c r="J3901" s="274"/>
      <c r="K3901" s="274"/>
      <c r="L3901" s="274"/>
      <c r="M3901" s="274"/>
      <c r="N3901" s="274"/>
      <c r="P3901" s="275"/>
    </row>
    <row r="3902" ht="15.75" customHeight="1">
      <c r="B3902" s="282"/>
      <c r="H3902" s="273"/>
      <c r="I3902" s="274"/>
      <c r="J3902" s="274"/>
      <c r="K3902" s="274"/>
      <c r="L3902" s="274"/>
      <c r="M3902" s="274"/>
      <c r="N3902" s="274"/>
      <c r="P3902" s="275"/>
    </row>
    <row r="3903" ht="15.75" customHeight="1">
      <c r="B3903" s="282"/>
      <c r="H3903" s="273"/>
      <c r="I3903" s="274"/>
      <c r="J3903" s="274"/>
      <c r="K3903" s="274"/>
      <c r="L3903" s="274"/>
      <c r="M3903" s="274"/>
      <c r="N3903" s="274"/>
      <c r="P3903" s="275"/>
    </row>
    <row r="3904" ht="15.75" customHeight="1">
      <c r="B3904" s="282"/>
      <c r="H3904" s="273"/>
      <c r="I3904" s="274"/>
      <c r="J3904" s="274"/>
      <c r="K3904" s="274"/>
      <c r="L3904" s="274"/>
      <c r="M3904" s="274"/>
      <c r="N3904" s="274"/>
      <c r="P3904" s="275"/>
    </row>
    <row r="3905" ht="15.75" customHeight="1">
      <c r="B3905" s="282"/>
      <c r="H3905" s="273"/>
      <c r="I3905" s="274"/>
      <c r="J3905" s="274"/>
      <c r="K3905" s="274"/>
      <c r="L3905" s="274"/>
      <c r="M3905" s="274"/>
      <c r="N3905" s="274"/>
      <c r="P3905" s="275"/>
    </row>
    <row r="3906" ht="15.75" customHeight="1">
      <c r="B3906" s="282"/>
      <c r="H3906" s="273"/>
      <c r="I3906" s="274"/>
      <c r="J3906" s="274"/>
      <c r="K3906" s="274"/>
      <c r="L3906" s="274"/>
      <c r="M3906" s="274"/>
      <c r="N3906" s="274"/>
      <c r="P3906" s="275"/>
    </row>
    <row r="3907" ht="15.75" customHeight="1">
      <c r="B3907" s="282"/>
      <c r="H3907" s="273"/>
      <c r="I3907" s="274"/>
      <c r="J3907" s="274"/>
      <c r="K3907" s="274"/>
      <c r="L3907" s="274"/>
      <c r="M3907" s="274"/>
      <c r="N3907" s="274"/>
      <c r="P3907" s="275"/>
    </row>
    <row r="3908" ht="15.75" customHeight="1">
      <c r="B3908" s="282"/>
      <c r="H3908" s="273"/>
      <c r="I3908" s="274"/>
      <c r="J3908" s="274"/>
      <c r="K3908" s="274"/>
      <c r="L3908" s="274"/>
      <c r="M3908" s="274"/>
      <c r="N3908" s="274"/>
      <c r="P3908" s="275"/>
    </row>
    <row r="3909" ht="15.75" customHeight="1">
      <c r="B3909" s="282"/>
      <c r="H3909" s="273"/>
      <c r="I3909" s="274"/>
      <c r="J3909" s="274"/>
      <c r="K3909" s="274"/>
      <c r="L3909" s="274"/>
      <c r="M3909" s="274"/>
      <c r="N3909" s="274"/>
      <c r="P3909" s="275"/>
    </row>
    <row r="3910" ht="15.75" customHeight="1">
      <c r="B3910" s="282"/>
      <c r="H3910" s="273"/>
      <c r="I3910" s="274"/>
      <c r="J3910" s="274"/>
      <c r="K3910" s="274"/>
      <c r="L3910" s="274"/>
      <c r="M3910" s="274"/>
      <c r="N3910" s="274"/>
      <c r="P3910" s="275"/>
    </row>
    <row r="3911" ht="15.75" customHeight="1">
      <c r="B3911" s="282"/>
      <c r="H3911" s="273"/>
      <c r="I3911" s="274"/>
      <c r="J3911" s="274"/>
      <c r="K3911" s="274"/>
      <c r="L3911" s="274"/>
      <c r="M3911" s="274"/>
      <c r="N3911" s="274"/>
      <c r="P3911" s="275"/>
    </row>
    <row r="3912" ht="15.75" customHeight="1">
      <c r="B3912" s="282"/>
      <c r="H3912" s="273"/>
      <c r="I3912" s="274"/>
      <c r="J3912" s="274"/>
      <c r="K3912" s="274"/>
      <c r="L3912" s="274"/>
      <c r="M3912" s="274"/>
      <c r="N3912" s="274"/>
      <c r="P3912" s="275"/>
    </row>
    <row r="3913" ht="15.75" customHeight="1">
      <c r="B3913" s="282"/>
      <c r="H3913" s="273"/>
      <c r="I3913" s="274"/>
      <c r="J3913" s="274"/>
      <c r="K3913" s="274"/>
      <c r="L3913" s="274"/>
      <c r="M3913" s="274"/>
      <c r="N3913" s="274"/>
      <c r="P3913" s="275"/>
    </row>
    <row r="3914" ht="15.75" customHeight="1">
      <c r="B3914" s="282"/>
      <c r="H3914" s="273"/>
      <c r="I3914" s="274"/>
      <c r="J3914" s="274"/>
      <c r="K3914" s="274"/>
      <c r="L3914" s="274"/>
      <c r="M3914" s="274"/>
      <c r="N3914" s="274"/>
      <c r="P3914" s="275"/>
    </row>
    <row r="3915" ht="15.75" customHeight="1">
      <c r="B3915" s="282"/>
      <c r="H3915" s="273"/>
      <c r="I3915" s="274"/>
      <c r="J3915" s="274"/>
      <c r="K3915" s="274"/>
      <c r="L3915" s="274"/>
      <c r="M3915" s="274"/>
      <c r="N3915" s="274"/>
      <c r="P3915" s="275"/>
    </row>
    <row r="3916" ht="15.75" customHeight="1">
      <c r="B3916" s="282"/>
      <c r="H3916" s="273"/>
      <c r="I3916" s="274"/>
      <c r="J3916" s="274"/>
      <c r="K3916" s="274"/>
      <c r="L3916" s="274"/>
      <c r="M3916" s="274"/>
      <c r="N3916" s="274"/>
      <c r="P3916" s="275"/>
    </row>
    <row r="3917" ht="15.75" customHeight="1">
      <c r="B3917" s="282"/>
      <c r="H3917" s="273"/>
      <c r="I3917" s="274"/>
      <c r="J3917" s="274"/>
      <c r="K3917" s="274"/>
      <c r="L3917" s="274"/>
      <c r="M3917" s="274"/>
      <c r="N3917" s="274"/>
      <c r="P3917" s="275"/>
    </row>
    <row r="3918" ht="15.75" customHeight="1">
      <c r="B3918" s="282"/>
      <c r="H3918" s="273"/>
      <c r="I3918" s="274"/>
      <c r="J3918" s="274"/>
      <c r="K3918" s="274"/>
      <c r="L3918" s="274"/>
      <c r="M3918" s="274"/>
      <c r="N3918" s="274"/>
      <c r="P3918" s="275"/>
    </row>
    <row r="3919" ht="15.75" customHeight="1">
      <c r="B3919" s="282"/>
      <c r="H3919" s="273"/>
      <c r="I3919" s="274"/>
      <c r="J3919" s="274"/>
      <c r="K3919" s="274"/>
      <c r="L3919" s="274"/>
      <c r="M3919" s="274"/>
      <c r="N3919" s="274"/>
      <c r="P3919" s="275"/>
    </row>
    <row r="3920" ht="15.75" customHeight="1">
      <c r="B3920" s="282"/>
      <c r="H3920" s="273"/>
      <c r="I3920" s="274"/>
      <c r="J3920" s="274"/>
      <c r="K3920" s="274"/>
      <c r="L3920" s="274"/>
      <c r="M3920" s="274"/>
      <c r="N3920" s="274"/>
      <c r="P3920" s="275"/>
    </row>
    <row r="3921" ht="15.75" customHeight="1">
      <c r="B3921" s="282"/>
      <c r="H3921" s="273"/>
      <c r="I3921" s="274"/>
      <c r="J3921" s="274"/>
      <c r="K3921" s="274"/>
      <c r="L3921" s="274"/>
      <c r="M3921" s="274"/>
      <c r="N3921" s="274"/>
      <c r="P3921" s="275"/>
    </row>
    <row r="3922" ht="15.75" customHeight="1">
      <c r="B3922" s="282"/>
      <c r="H3922" s="273"/>
      <c r="I3922" s="274"/>
      <c r="J3922" s="274"/>
      <c r="K3922" s="274"/>
      <c r="L3922" s="274"/>
      <c r="M3922" s="274"/>
      <c r="N3922" s="274"/>
      <c r="P3922" s="275"/>
    </row>
    <row r="3923" ht="15.75" customHeight="1">
      <c r="B3923" s="282"/>
      <c r="H3923" s="273"/>
      <c r="I3923" s="274"/>
      <c r="J3923" s="274"/>
      <c r="K3923" s="274"/>
      <c r="L3923" s="274"/>
      <c r="M3923" s="274"/>
      <c r="N3923" s="274"/>
      <c r="P3923" s="275"/>
    </row>
    <row r="3924" ht="15.75" customHeight="1">
      <c r="B3924" s="282"/>
      <c r="H3924" s="273"/>
      <c r="I3924" s="274"/>
      <c r="J3924" s="274"/>
      <c r="K3924" s="274"/>
      <c r="L3924" s="274"/>
      <c r="M3924" s="274"/>
      <c r="N3924" s="274"/>
      <c r="P3924" s="275"/>
    </row>
    <row r="3925" ht="15.75" customHeight="1">
      <c r="B3925" s="282"/>
      <c r="H3925" s="273"/>
      <c r="I3925" s="274"/>
      <c r="J3925" s="274"/>
      <c r="K3925" s="274"/>
      <c r="L3925" s="274"/>
      <c r="M3925" s="274"/>
      <c r="N3925" s="274"/>
      <c r="P3925" s="275"/>
    </row>
    <row r="3926" ht="15.75" customHeight="1">
      <c r="B3926" s="282"/>
      <c r="H3926" s="273"/>
      <c r="I3926" s="274"/>
      <c r="J3926" s="274"/>
      <c r="K3926" s="274"/>
      <c r="L3926" s="274"/>
      <c r="M3926" s="274"/>
      <c r="N3926" s="274"/>
      <c r="P3926" s="275"/>
    </row>
    <row r="3927" ht="15.75" customHeight="1">
      <c r="B3927" s="282"/>
      <c r="H3927" s="273"/>
      <c r="I3927" s="274"/>
      <c r="J3927" s="274"/>
      <c r="K3927" s="274"/>
      <c r="L3927" s="274"/>
      <c r="M3927" s="274"/>
      <c r="N3927" s="274"/>
      <c r="P3927" s="275"/>
    </row>
    <row r="3928" ht="15.75" customHeight="1">
      <c r="B3928" s="282"/>
      <c r="H3928" s="273"/>
      <c r="I3928" s="274"/>
      <c r="J3928" s="274"/>
      <c r="K3928" s="274"/>
      <c r="L3928" s="274"/>
      <c r="M3928" s="274"/>
      <c r="N3928" s="274"/>
      <c r="P3928" s="275"/>
    </row>
    <row r="3929" ht="15.75" customHeight="1">
      <c r="B3929" s="282"/>
      <c r="H3929" s="273"/>
      <c r="I3929" s="274"/>
      <c r="J3929" s="274"/>
      <c r="K3929" s="274"/>
      <c r="L3929" s="274"/>
      <c r="M3929" s="274"/>
      <c r="N3929" s="274"/>
      <c r="P3929" s="275"/>
    </row>
    <row r="3930" ht="15.75" customHeight="1">
      <c r="B3930" s="282"/>
      <c r="H3930" s="273"/>
      <c r="I3930" s="274"/>
      <c r="J3930" s="274"/>
      <c r="K3930" s="274"/>
      <c r="L3930" s="274"/>
      <c r="M3930" s="274"/>
      <c r="N3930" s="274"/>
      <c r="P3930" s="275"/>
    </row>
    <row r="3931" ht="15.75" customHeight="1">
      <c r="B3931" s="282"/>
      <c r="H3931" s="273"/>
      <c r="I3931" s="274"/>
      <c r="J3931" s="274"/>
      <c r="K3931" s="274"/>
      <c r="L3931" s="274"/>
      <c r="M3931" s="274"/>
      <c r="N3931" s="274"/>
      <c r="P3931" s="275"/>
    </row>
    <row r="3932" ht="15.75" customHeight="1">
      <c r="B3932" s="282"/>
      <c r="H3932" s="273"/>
      <c r="I3932" s="274"/>
      <c r="J3932" s="274"/>
      <c r="K3932" s="274"/>
      <c r="L3932" s="274"/>
      <c r="M3932" s="274"/>
      <c r="N3932" s="274"/>
      <c r="P3932" s="275"/>
    </row>
    <row r="3933" ht="15.75" customHeight="1">
      <c r="B3933" s="282"/>
      <c r="H3933" s="273"/>
      <c r="I3933" s="274"/>
      <c r="J3933" s="274"/>
      <c r="K3933" s="274"/>
      <c r="L3933" s="274"/>
      <c r="M3933" s="274"/>
      <c r="N3933" s="274"/>
      <c r="P3933" s="275"/>
    </row>
    <row r="3934" ht="15.75" customHeight="1">
      <c r="B3934" s="282"/>
      <c r="H3934" s="273"/>
      <c r="I3934" s="274"/>
      <c r="J3934" s="274"/>
      <c r="K3934" s="274"/>
      <c r="L3934" s="274"/>
      <c r="M3934" s="274"/>
      <c r="N3934" s="274"/>
      <c r="P3934" s="275"/>
    </row>
    <row r="3935" ht="15.75" customHeight="1">
      <c r="B3935" s="282"/>
      <c r="H3935" s="273"/>
      <c r="I3935" s="274"/>
      <c r="J3935" s="274"/>
      <c r="K3935" s="274"/>
      <c r="L3935" s="274"/>
      <c r="M3935" s="274"/>
      <c r="N3935" s="274"/>
      <c r="P3935" s="275"/>
    </row>
    <row r="3936" ht="15.75" customHeight="1">
      <c r="B3936" s="282"/>
      <c r="H3936" s="273"/>
      <c r="I3936" s="274"/>
      <c r="J3936" s="274"/>
      <c r="K3936" s="274"/>
      <c r="L3936" s="274"/>
      <c r="M3936" s="274"/>
      <c r="N3936" s="274"/>
      <c r="P3936" s="275"/>
    </row>
    <row r="3937" ht="15.75" customHeight="1">
      <c r="B3937" s="282"/>
      <c r="H3937" s="273"/>
      <c r="I3937" s="274"/>
      <c r="J3937" s="274"/>
      <c r="K3937" s="274"/>
      <c r="L3937" s="274"/>
      <c r="M3937" s="274"/>
      <c r="N3937" s="274"/>
      <c r="P3937" s="275"/>
    </row>
    <row r="3938" ht="15.75" customHeight="1">
      <c r="B3938" s="282"/>
      <c r="H3938" s="273"/>
      <c r="I3938" s="274"/>
      <c r="J3938" s="274"/>
      <c r="K3938" s="274"/>
      <c r="L3938" s="274"/>
      <c r="M3938" s="274"/>
      <c r="N3938" s="274"/>
      <c r="P3938" s="275"/>
    </row>
    <row r="3939" ht="15.75" customHeight="1">
      <c r="B3939" s="282"/>
      <c r="H3939" s="273"/>
      <c r="I3939" s="274"/>
      <c r="J3939" s="274"/>
      <c r="K3939" s="274"/>
      <c r="L3939" s="274"/>
      <c r="M3939" s="274"/>
      <c r="N3939" s="274"/>
      <c r="P3939" s="275"/>
    </row>
    <row r="3940" ht="15.75" customHeight="1">
      <c r="B3940" s="282"/>
      <c r="H3940" s="273"/>
      <c r="I3940" s="274"/>
      <c r="J3940" s="274"/>
      <c r="K3940" s="274"/>
      <c r="L3940" s="274"/>
      <c r="M3940" s="274"/>
      <c r="N3940" s="274"/>
      <c r="P3940" s="275"/>
    </row>
    <row r="3941" ht="15.75" customHeight="1">
      <c r="B3941" s="282"/>
      <c r="H3941" s="273"/>
      <c r="I3941" s="274"/>
      <c r="J3941" s="274"/>
      <c r="K3941" s="274"/>
      <c r="L3941" s="274"/>
      <c r="M3941" s="274"/>
      <c r="N3941" s="274"/>
      <c r="P3941" s="275"/>
    </row>
    <row r="3942" ht="15.75" customHeight="1">
      <c r="B3942" s="282"/>
      <c r="H3942" s="273"/>
      <c r="I3942" s="274"/>
      <c r="J3942" s="274"/>
      <c r="K3942" s="274"/>
      <c r="L3942" s="274"/>
      <c r="M3942" s="274"/>
      <c r="N3942" s="274"/>
      <c r="P3942" s="275"/>
    </row>
    <row r="3943" ht="15.75" customHeight="1">
      <c r="B3943" s="282"/>
      <c r="H3943" s="273"/>
      <c r="I3943" s="274"/>
      <c r="J3943" s="274"/>
      <c r="K3943" s="274"/>
      <c r="L3943" s="274"/>
      <c r="M3943" s="274"/>
      <c r="N3943" s="274"/>
      <c r="P3943" s="275"/>
    </row>
    <row r="3944" ht="15.75" customHeight="1">
      <c r="B3944" s="282"/>
      <c r="H3944" s="273"/>
      <c r="I3944" s="274"/>
      <c r="J3944" s="274"/>
      <c r="K3944" s="274"/>
      <c r="L3944" s="274"/>
      <c r="M3944" s="274"/>
      <c r="N3944" s="274"/>
      <c r="P3944" s="275"/>
    </row>
    <row r="3945" ht="15.75" customHeight="1">
      <c r="B3945" s="282"/>
      <c r="H3945" s="273"/>
      <c r="I3945" s="274"/>
      <c r="J3945" s="274"/>
      <c r="K3945" s="274"/>
      <c r="L3945" s="274"/>
      <c r="M3945" s="274"/>
      <c r="N3945" s="274"/>
      <c r="P3945" s="275"/>
    </row>
    <row r="3946" ht="15.75" customHeight="1">
      <c r="B3946" s="282"/>
      <c r="H3946" s="273"/>
      <c r="I3946" s="274"/>
      <c r="J3946" s="274"/>
      <c r="K3946" s="274"/>
      <c r="L3946" s="274"/>
      <c r="M3946" s="274"/>
      <c r="N3946" s="274"/>
      <c r="P3946" s="275"/>
    </row>
    <row r="3947" ht="15.75" customHeight="1">
      <c r="B3947" s="282"/>
      <c r="H3947" s="273"/>
      <c r="I3947" s="274"/>
      <c r="J3947" s="274"/>
      <c r="K3947" s="274"/>
      <c r="L3947" s="274"/>
      <c r="M3947" s="274"/>
      <c r="N3947" s="274"/>
      <c r="P3947" s="275"/>
    </row>
    <row r="3948" ht="15.75" customHeight="1">
      <c r="B3948" s="282"/>
      <c r="H3948" s="273"/>
      <c r="I3948" s="274"/>
      <c r="J3948" s="274"/>
      <c r="K3948" s="274"/>
      <c r="L3948" s="274"/>
      <c r="M3948" s="274"/>
      <c r="N3948" s="274"/>
      <c r="P3948" s="275"/>
    </row>
    <row r="3949" ht="15.75" customHeight="1">
      <c r="B3949" s="282"/>
      <c r="H3949" s="273"/>
      <c r="I3949" s="274"/>
      <c r="J3949" s="274"/>
      <c r="K3949" s="274"/>
      <c r="L3949" s="274"/>
      <c r="M3949" s="274"/>
      <c r="N3949" s="274"/>
      <c r="P3949" s="275"/>
    </row>
    <row r="3950" ht="15.75" customHeight="1">
      <c r="B3950" s="282"/>
      <c r="H3950" s="273"/>
      <c r="I3950" s="274"/>
      <c r="J3950" s="274"/>
      <c r="K3950" s="274"/>
      <c r="L3950" s="274"/>
      <c r="M3950" s="274"/>
      <c r="N3950" s="274"/>
      <c r="P3950" s="275"/>
    </row>
    <row r="3951" ht="15.75" customHeight="1">
      <c r="B3951" s="282"/>
      <c r="H3951" s="273"/>
      <c r="I3951" s="274"/>
      <c r="J3951" s="274"/>
      <c r="K3951" s="274"/>
      <c r="L3951" s="274"/>
      <c r="M3951" s="274"/>
      <c r="N3951" s="274"/>
      <c r="P3951" s="275"/>
    </row>
    <row r="3952" ht="15.75" customHeight="1">
      <c r="B3952" s="282"/>
      <c r="H3952" s="273"/>
      <c r="I3952" s="274"/>
      <c r="J3952" s="274"/>
      <c r="K3952" s="274"/>
      <c r="L3952" s="274"/>
      <c r="M3952" s="274"/>
      <c r="N3952" s="274"/>
      <c r="P3952" s="275"/>
    </row>
    <row r="3953" ht="15.75" customHeight="1">
      <c r="B3953" s="282"/>
      <c r="H3953" s="273"/>
      <c r="I3953" s="274"/>
      <c r="J3953" s="274"/>
      <c r="K3953" s="274"/>
      <c r="L3953" s="274"/>
      <c r="M3953" s="274"/>
      <c r="N3953" s="274"/>
      <c r="P3953" s="275"/>
    </row>
    <row r="3954" ht="15.75" customHeight="1">
      <c r="B3954" s="282"/>
      <c r="H3954" s="273"/>
      <c r="I3954" s="274"/>
      <c r="J3954" s="274"/>
      <c r="K3954" s="274"/>
      <c r="L3954" s="274"/>
      <c r="M3954" s="274"/>
      <c r="N3954" s="274"/>
      <c r="P3954" s="275"/>
    </row>
    <row r="3955" ht="15.75" customHeight="1">
      <c r="B3955" s="282"/>
      <c r="H3955" s="273"/>
      <c r="I3955" s="274"/>
      <c r="J3955" s="274"/>
      <c r="K3955" s="274"/>
      <c r="L3955" s="274"/>
      <c r="M3955" s="274"/>
      <c r="N3955" s="274"/>
      <c r="P3955" s="275"/>
    </row>
    <row r="3956" ht="15.75" customHeight="1">
      <c r="B3956" s="282"/>
      <c r="H3956" s="273"/>
      <c r="I3956" s="274"/>
      <c r="J3956" s="274"/>
      <c r="K3956" s="274"/>
      <c r="L3956" s="274"/>
      <c r="M3956" s="274"/>
      <c r="N3956" s="274"/>
      <c r="P3956" s="275"/>
    </row>
    <row r="3957" ht="15.75" customHeight="1">
      <c r="B3957" s="282"/>
      <c r="H3957" s="273"/>
      <c r="I3957" s="274"/>
      <c r="J3957" s="274"/>
      <c r="K3957" s="274"/>
      <c r="L3957" s="274"/>
      <c r="M3957" s="274"/>
      <c r="N3957" s="274"/>
      <c r="P3957" s="275"/>
    </row>
    <row r="3958" ht="15.75" customHeight="1">
      <c r="B3958" s="282"/>
      <c r="H3958" s="273"/>
      <c r="I3958" s="274"/>
      <c r="J3958" s="274"/>
      <c r="K3958" s="274"/>
      <c r="L3958" s="274"/>
      <c r="M3958" s="274"/>
      <c r="N3958" s="274"/>
      <c r="P3958" s="275"/>
    </row>
    <row r="3959" ht="15.75" customHeight="1">
      <c r="B3959" s="282"/>
      <c r="H3959" s="273"/>
      <c r="I3959" s="274"/>
      <c r="J3959" s="274"/>
      <c r="K3959" s="274"/>
      <c r="L3959" s="274"/>
      <c r="M3959" s="274"/>
      <c r="N3959" s="274"/>
      <c r="P3959" s="275"/>
    </row>
    <row r="3960" ht="15.75" customHeight="1">
      <c r="B3960" s="282"/>
      <c r="H3960" s="273"/>
      <c r="I3960" s="274"/>
      <c r="J3960" s="274"/>
      <c r="K3960" s="274"/>
      <c r="L3960" s="274"/>
      <c r="M3960" s="274"/>
      <c r="N3960" s="274"/>
      <c r="P3960" s="275"/>
    </row>
    <row r="3961" ht="15.75" customHeight="1">
      <c r="B3961" s="282"/>
      <c r="H3961" s="273"/>
      <c r="I3961" s="274"/>
      <c r="J3961" s="274"/>
      <c r="K3961" s="274"/>
      <c r="L3961" s="274"/>
      <c r="M3961" s="274"/>
      <c r="N3961" s="274"/>
      <c r="P3961" s="275"/>
    </row>
    <row r="3962" ht="15.75" customHeight="1">
      <c r="B3962" s="282"/>
      <c r="H3962" s="273"/>
      <c r="I3962" s="274"/>
      <c r="J3962" s="274"/>
      <c r="K3962" s="274"/>
      <c r="L3962" s="274"/>
      <c r="M3962" s="274"/>
      <c r="N3962" s="274"/>
      <c r="P3962" s="275"/>
    </row>
    <row r="3963" ht="15.75" customHeight="1">
      <c r="B3963" s="282"/>
      <c r="H3963" s="273"/>
      <c r="I3963" s="274"/>
      <c r="J3963" s="274"/>
      <c r="K3963" s="274"/>
      <c r="L3963" s="274"/>
      <c r="M3963" s="274"/>
      <c r="N3963" s="274"/>
      <c r="P3963" s="275"/>
    </row>
    <row r="3964" ht="15.75" customHeight="1">
      <c r="B3964" s="282"/>
      <c r="H3964" s="273"/>
      <c r="I3964" s="274"/>
      <c r="J3964" s="274"/>
      <c r="K3964" s="274"/>
      <c r="L3964" s="274"/>
      <c r="M3964" s="274"/>
      <c r="N3964" s="274"/>
      <c r="P3964" s="275"/>
    </row>
    <row r="3965" ht="15.75" customHeight="1">
      <c r="B3965" s="282"/>
      <c r="H3965" s="273"/>
      <c r="I3965" s="274"/>
      <c r="J3965" s="274"/>
      <c r="K3965" s="274"/>
      <c r="L3965" s="274"/>
      <c r="M3965" s="274"/>
      <c r="N3965" s="274"/>
      <c r="P3965" s="275"/>
    </row>
    <row r="3966" ht="15.75" customHeight="1">
      <c r="B3966" s="282"/>
      <c r="H3966" s="273"/>
      <c r="I3966" s="274"/>
      <c r="J3966" s="274"/>
      <c r="K3966" s="274"/>
      <c r="L3966" s="274"/>
      <c r="M3966" s="274"/>
      <c r="N3966" s="274"/>
      <c r="P3966" s="275"/>
    </row>
    <row r="3967" ht="15.75" customHeight="1">
      <c r="B3967" s="282"/>
      <c r="H3967" s="273"/>
      <c r="I3967" s="274"/>
      <c r="J3967" s="274"/>
      <c r="K3967" s="274"/>
      <c r="L3967" s="274"/>
      <c r="M3967" s="274"/>
      <c r="N3967" s="274"/>
      <c r="P3967" s="275"/>
    </row>
    <row r="3968" ht="15.75" customHeight="1">
      <c r="B3968" s="282"/>
      <c r="H3968" s="273"/>
      <c r="I3968" s="274"/>
      <c r="J3968" s="274"/>
      <c r="K3968" s="274"/>
      <c r="L3968" s="274"/>
      <c r="M3968" s="274"/>
      <c r="N3968" s="274"/>
      <c r="P3968" s="275"/>
    </row>
    <row r="3969" ht="15.75" customHeight="1">
      <c r="B3969" s="282"/>
      <c r="H3969" s="273"/>
      <c r="I3969" s="274"/>
      <c r="J3969" s="274"/>
      <c r="K3969" s="274"/>
      <c r="L3969" s="274"/>
      <c r="M3969" s="274"/>
      <c r="N3969" s="274"/>
      <c r="P3969" s="275"/>
    </row>
    <row r="3970" ht="15.75" customHeight="1">
      <c r="B3970" s="282"/>
      <c r="H3970" s="273"/>
      <c r="I3970" s="274"/>
      <c r="J3970" s="274"/>
      <c r="K3970" s="274"/>
      <c r="L3970" s="274"/>
      <c r="M3970" s="274"/>
      <c r="N3970" s="274"/>
      <c r="P3970" s="275"/>
    </row>
    <row r="3971" ht="15.75" customHeight="1">
      <c r="B3971" s="282"/>
      <c r="H3971" s="273"/>
      <c r="I3971" s="274"/>
      <c r="J3971" s="274"/>
      <c r="K3971" s="274"/>
      <c r="L3971" s="274"/>
      <c r="M3971" s="274"/>
      <c r="N3971" s="274"/>
      <c r="P3971" s="275"/>
    </row>
    <row r="3972" ht="15.75" customHeight="1">
      <c r="B3972" s="282"/>
      <c r="H3972" s="273"/>
      <c r="I3972" s="274"/>
      <c r="J3972" s="274"/>
      <c r="K3972" s="274"/>
      <c r="L3972" s="274"/>
      <c r="M3972" s="274"/>
      <c r="N3972" s="274"/>
      <c r="P3972" s="275"/>
    </row>
    <row r="3973" ht="15.75" customHeight="1">
      <c r="B3973" s="282"/>
      <c r="H3973" s="273"/>
      <c r="I3973" s="274"/>
      <c r="J3973" s="274"/>
      <c r="K3973" s="274"/>
      <c r="L3973" s="274"/>
      <c r="M3973" s="274"/>
      <c r="N3973" s="274"/>
      <c r="P3973" s="275"/>
    </row>
    <row r="3974" ht="15.75" customHeight="1">
      <c r="B3974" s="282"/>
      <c r="H3974" s="273"/>
      <c r="I3974" s="274"/>
      <c r="J3974" s="274"/>
      <c r="K3974" s="274"/>
      <c r="L3974" s="274"/>
      <c r="M3974" s="274"/>
      <c r="N3974" s="274"/>
      <c r="P3974" s="275"/>
    </row>
    <row r="3975" ht="15.75" customHeight="1">
      <c r="B3975" s="282"/>
      <c r="H3975" s="273"/>
      <c r="I3975" s="274"/>
      <c r="J3975" s="274"/>
      <c r="K3975" s="274"/>
      <c r="L3975" s="274"/>
      <c r="M3975" s="274"/>
      <c r="N3975" s="274"/>
      <c r="P3975" s="275"/>
    </row>
    <row r="3976" ht="15.75" customHeight="1">
      <c r="B3976" s="282"/>
      <c r="H3976" s="273"/>
      <c r="I3976" s="274"/>
      <c r="J3976" s="274"/>
      <c r="K3976" s="274"/>
      <c r="L3976" s="274"/>
      <c r="M3976" s="274"/>
      <c r="N3976" s="274"/>
      <c r="P3976" s="275"/>
    </row>
    <row r="3977" ht="15.75" customHeight="1">
      <c r="B3977" s="282"/>
      <c r="H3977" s="273"/>
      <c r="I3977" s="274"/>
      <c r="J3977" s="274"/>
      <c r="K3977" s="274"/>
      <c r="L3977" s="274"/>
      <c r="M3977" s="274"/>
      <c r="N3977" s="274"/>
      <c r="P3977" s="275"/>
    </row>
    <row r="3978" ht="15.75" customHeight="1">
      <c r="B3978" s="282"/>
      <c r="H3978" s="273"/>
      <c r="I3978" s="274"/>
      <c r="J3978" s="274"/>
      <c r="K3978" s="274"/>
      <c r="L3978" s="274"/>
      <c r="M3978" s="274"/>
      <c r="N3978" s="274"/>
      <c r="P3978" s="275"/>
    </row>
    <row r="3979" ht="15.75" customHeight="1">
      <c r="B3979" s="282"/>
      <c r="H3979" s="273"/>
      <c r="I3979" s="274"/>
      <c r="J3979" s="274"/>
      <c r="K3979" s="274"/>
      <c r="L3979" s="274"/>
      <c r="M3979" s="274"/>
      <c r="N3979" s="274"/>
      <c r="P3979" s="275"/>
    </row>
    <row r="3980" ht="15.75" customHeight="1">
      <c r="B3980" s="282"/>
      <c r="H3980" s="273"/>
      <c r="I3980" s="274"/>
      <c r="J3980" s="274"/>
      <c r="K3980" s="274"/>
      <c r="L3980" s="274"/>
      <c r="M3980" s="274"/>
      <c r="N3980" s="274"/>
      <c r="P3980" s="275"/>
    </row>
    <row r="3981" ht="15.75" customHeight="1">
      <c r="B3981" s="282"/>
      <c r="H3981" s="273"/>
      <c r="I3981" s="274"/>
      <c r="J3981" s="274"/>
      <c r="K3981" s="274"/>
      <c r="L3981" s="274"/>
      <c r="M3981" s="274"/>
      <c r="N3981" s="274"/>
      <c r="P3981" s="275"/>
    </row>
    <row r="3982" ht="15.75" customHeight="1">
      <c r="B3982" s="282"/>
      <c r="H3982" s="273"/>
      <c r="I3982" s="274"/>
      <c r="J3982" s="274"/>
      <c r="K3982" s="274"/>
      <c r="L3982" s="274"/>
      <c r="M3982" s="274"/>
      <c r="N3982" s="274"/>
      <c r="P3982" s="275"/>
    </row>
    <row r="3983" ht="15.75" customHeight="1">
      <c r="B3983" s="282"/>
      <c r="H3983" s="273"/>
      <c r="I3983" s="274"/>
      <c r="J3983" s="274"/>
      <c r="K3983" s="274"/>
      <c r="L3983" s="274"/>
      <c r="M3983" s="274"/>
      <c r="N3983" s="274"/>
      <c r="P3983" s="275"/>
    </row>
    <row r="3984" ht="15.75" customHeight="1">
      <c r="B3984" s="282"/>
      <c r="H3984" s="273"/>
      <c r="I3984" s="274"/>
      <c r="J3984" s="274"/>
      <c r="K3984" s="274"/>
      <c r="L3984" s="274"/>
      <c r="M3984" s="274"/>
      <c r="N3984" s="274"/>
      <c r="P3984" s="275"/>
    </row>
    <row r="3985" ht="15.75" customHeight="1">
      <c r="B3985" s="282"/>
      <c r="H3985" s="273"/>
      <c r="I3985" s="274"/>
      <c r="J3985" s="274"/>
      <c r="K3985" s="274"/>
      <c r="L3985" s="274"/>
      <c r="M3985" s="274"/>
      <c r="N3985" s="274"/>
      <c r="P3985" s="275"/>
    </row>
    <row r="3986" ht="15.75" customHeight="1">
      <c r="B3986" s="282"/>
      <c r="H3986" s="273"/>
      <c r="I3986" s="274"/>
      <c r="J3986" s="274"/>
      <c r="K3986" s="274"/>
      <c r="L3986" s="274"/>
      <c r="M3986" s="274"/>
      <c r="N3986" s="274"/>
      <c r="P3986" s="275"/>
    </row>
    <row r="3987" ht="15.75" customHeight="1">
      <c r="B3987" s="282"/>
      <c r="H3987" s="273"/>
      <c r="I3987" s="274"/>
      <c r="J3987" s="274"/>
      <c r="K3987" s="274"/>
      <c r="L3987" s="274"/>
      <c r="M3987" s="274"/>
      <c r="N3987" s="274"/>
      <c r="P3987" s="275"/>
    </row>
    <row r="3988" ht="15.75" customHeight="1">
      <c r="B3988" s="282"/>
      <c r="H3988" s="273"/>
      <c r="I3988" s="274"/>
      <c r="J3988" s="274"/>
      <c r="K3988" s="274"/>
      <c r="L3988" s="274"/>
      <c r="M3988" s="274"/>
      <c r="N3988" s="274"/>
      <c r="P3988" s="275"/>
    </row>
    <row r="3989" ht="15.75" customHeight="1">
      <c r="B3989" s="282"/>
      <c r="H3989" s="273"/>
      <c r="I3989" s="274"/>
      <c r="J3989" s="274"/>
      <c r="K3989" s="274"/>
      <c r="L3989" s="274"/>
      <c r="M3989" s="274"/>
      <c r="N3989" s="274"/>
      <c r="P3989" s="275"/>
    </row>
    <row r="3990" ht="15.75" customHeight="1">
      <c r="B3990" s="282"/>
      <c r="H3990" s="273"/>
      <c r="I3990" s="274"/>
      <c r="J3990" s="274"/>
      <c r="K3990" s="274"/>
      <c r="L3990" s="274"/>
      <c r="M3990" s="274"/>
      <c r="N3990" s="274"/>
      <c r="P3990" s="275"/>
    </row>
    <row r="3991" ht="15.75" customHeight="1">
      <c r="B3991" s="282"/>
      <c r="H3991" s="273"/>
      <c r="I3991" s="274"/>
      <c r="J3991" s="274"/>
      <c r="K3991" s="274"/>
      <c r="L3991" s="274"/>
      <c r="M3991" s="274"/>
      <c r="N3991" s="274"/>
      <c r="P3991" s="275"/>
    </row>
    <row r="3992" ht="15.75" customHeight="1">
      <c r="B3992" s="282"/>
      <c r="H3992" s="273"/>
      <c r="I3992" s="274"/>
      <c r="J3992" s="274"/>
      <c r="K3992" s="274"/>
      <c r="L3992" s="274"/>
      <c r="M3992" s="274"/>
      <c r="N3992" s="274"/>
      <c r="P3992" s="275"/>
    </row>
    <row r="3993" ht="15.75" customHeight="1">
      <c r="B3993" s="282"/>
      <c r="H3993" s="273"/>
      <c r="I3993" s="274"/>
      <c r="J3993" s="274"/>
      <c r="K3993" s="274"/>
      <c r="L3993" s="274"/>
      <c r="M3993" s="274"/>
      <c r="N3993" s="274"/>
      <c r="P3993" s="275"/>
    </row>
    <row r="3994" ht="15.75" customHeight="1">
      <c r="B3994" s="282"/>
      <c r="H3994" s="273"/>
      <c r="I3994" s="274"/>
      <c r="J3994" s="274"/>
      <c r="K3994" s="274"/>
      <c r="L3994" s="274"/>
      <c r="M3994" s="274"/>
      <c r="N3994" s="274"/>
      <c r="P3994" s="275"/>
    </row>
    <row r="3995" ht="15.75" customHeight="1">
      <c r="B3995" s="282"/>
      <c r="H3995" s="273"/>
      <c r="I3995" s="274"/>
      <c r="J3995" s="274"/>
      <c r="K3995" s="274"/>
      <c r="L3995" s="274"/>
      <c r="M3995" s="274"/>
      <c r="N3995" s="274"/>
      <c r="P3995" s="275"/>
    </row>
    <row r="3996" ht="15.75" customHeight="1">
      <c r="B3996" s="282"/>
      <c r="H3996" s="273"/>
      <c r="I3996" s="274"/>
      <c r="J3996" s="274"/>
      <c r="K3996" s="274"/>
      <c r="L3996" s="274"/>
      <c r="M3996" s="274"/>
      <c r="N3996" s="274"/>
      <c r="P3996" s="275"/>
    </row>
    <row r="3997" ht="15.75" customHeight="1">
      <c r="B3997" s="282"/>
      <c r="H3997" s="273"/>
      <c r="I3997" s="274"/>
      <c r="J3997" s="274"/>
      <c r="K3997" s="274"/>
      <c r="L3997" s="274"/>
      <c r="M3997" s="274"/>
      <c r="N3997" s="274"/>
      <c r="P3997" s="275"/>
    </row>
    <row r="3998" ht="15.75" customHeight="1">
      <c r="B3998" s="282"/>
      <c r="H3998" s="273"/>
      <c r="I3998" s="274"/>
      <c r="J3998" s="274"/>
      <c r="K3998" s="274"/>
      <c r="L3998" s="274"/>
      <c r="M3998" s="274"/>
      <c r="N3998" s="274"/>
      <c r="P3998" s="275"/>
    </row>
    <row r="3999" ht="15.75" customHeight="1">
      <c r="B3999" s="282"/>
      <c r="H3999" s="273"/>
      <c r="I3999" s="274"/>
      <c r="J3999" s="274"/>
      <c r="K3999" s="274"/>
      <c r="L3999" s="274"/>
      <c r="M3999" s="274"/>
      <c r="N3999" s="274"/>
      <c r="P3999" s="275"/>
    </row>
    <row r="4000" ht="15.75" customHeight="1">
      <c r="B4000" s="282"/>
      <c r="H4000" s="273"/>
      <c r="I4000" s="274"/>
      <c r="J4000" s="274"/>
      <c r="K4000" s="274"/>
      <c r="L4000" s="274"/>
      <c r="M4000" s="274"/>
      <c r="N4000" s="274"/>
      <c r="P4000" s="275"/>
    </row>
    <row r="4001" ht="15.75" customHeight="1">
      <c r="B4001" s="282"/>
      <c r="H4001" s="273"/>
      <c r="I4001" s="274"/>
      <c r="J4001" s="274"/>
      <c r="K4001" s="274"/>
      <c r="L4001" s="274"/>
      <c r="M4001" s="274"/>
      <c r="N4001" s="274"/>
      <c r="P4001" s="275"/>
    </row>
    <row r="4002" ht="15.75" customHeight="1">
      <c r="B4002" s="282"/>
      <c r="H4002" s="273"/>
      <c r="I4002" s="274"/>
      <c r="J4002" s="274"/>
      <c r="K4002" s="274"/>
      <c r="L4002" s="274"/>
      <c r="M4002" s="274"/>
      <c r="N4002" s="274"/>
      <c r="P4002" s="275"/>
    </row>
    <row r="4003" ht="15.75" customHeight="1">
      <c r="B4003" s="282"/>
      <c r="H4003" s="273"/>
      <c r="I4003" s="274"/>
      <c r="J4003" s="274"/>
      <c r="K4003" s="274"/>
      <c r="L4003" s="274"/>
      <c r="M4003" s="274"/>
      <c r="N4003" s="274"/>
      <c r="P4003" s="275"/>
    </row>
    <row r="4004" ht="15.75" customHeight="1">
      <c r="B4004" s="282"/>
      <c r="H4004" s="273"/>
      <c r="I4004" s="274"/>
      <c r="J4004" s="274"/>
      <c r="K4004" s="274"/>
      <c r="L4004" s="274"/>
      <c r="M4004" s="274"/>
      <c r="N4004" s="274"/>
      <c r="P4004" s="275"/>
    </row>
    <row r="4005" ht="15.75" customHeight="1">
      <c r="B4005" s="282"/>
      <c r="H4005" s="273"/>
      <c r="I4005" s="274"/>
      <c r="J4005" s="274"/>
      <c r="K4005" s="274"/>
      <c r="L4005" s="274"/>
      <c r="M4005" s="274"/>
      <c r="N4005" s="274"/>
      <c r="P4005" s="275"/>
    </row>
    <row r="4006" ht="15.75" customHeight="1">
      <c r="B4006" s="282"/>
      <c r="H4006" s="273"/>
      <c r="I4006" s="274"/>
      <c r="J4006" s="274"/>
      <c r="K4006" s="274"/>
      <c r="L4006" s="274"/>
      <c r="M4006" s="274"/>
      <c r="N4006" s="274"/>
      <c r="P4006" s="275"/>
    </row>
    <row r="4007" ht="15.75" customHeight="1">
      <c r="B4007" s="282"/>
      <c r="H4007" s="273"/>
      <c r="I4007" s="274"/>
      <c r="J4007" s="274"/>
      <c r="K4007" s="274"/>
      <c r="L4007" s="274"/>
      <c r="M4007" s="274"/>
      <c r="N4007" s="274"/>
      <c r="P4007" s="275"/>
    </row>
    <row r="4008" ht="15.75" customHeight="1">
      <c r="B4008" s="282"/>
      <c r="H4008" s="273"/>
      <c r="I4008" s="274"/>
      <c r="J4008" s="274"/>
      <c r="K4008" s="274"/>
      <c r="L4008" s="274"/>
      <c r="M4008" s="274"/>
      <c r="N4008" s="274"/>
      <c r="P4008" s="275"/>
    </row>
    <row r="4009" ht="15.75" customHeight="1">
      <c r="B4009" s="282"/>
      <c r="H4009" s="273"/>
      <c r="I4009" s="274"/>
      <c r="J4009" s="274"/>
      <c r="K4009" s="274"/>
      <c r="L4009" s="274"/>
      <c r="M4009" s="274"/>
      <c r="N4009" s="274"/>
      <c r="P4009" s="275"/>
    </row>
    <row r="4010" ht="15.75" customHeight="1">
      <c r="B4010" s="282"/>
      <c r="H4010" s="273"/>
      <c r="I4010" s="274"/>
      <c r="J4010" s="274"/>
      <c r="K4010" s="274"/>
      <c r="L4010" s="274"/>
      <c r="M4010" s="274"/>
      <c r="N4010" s="274"/>
      <c r="P4010" s="275"/>
    </row>
    <row r="4011" ht="15.75" customHeight="1">
      <c r="B4011" s="282"/>
      <c r="H4011" s="273"/>
      <c r="I4011" s="274"/>
      <c r="J4011" s="274"/>
      <c r="K4011" s="274"/>
      <c r="L4011" s="274"/>
      <c r="M4011" s="274"/>
      <c r="N4011" s="274"/>
      <c r="P4011" s="275"/>
    </row>
    <row r="4012" ht="15.75" customHeight="1">
      <c r="B4012" s="282"/>
      <c r="H4012" s="273"/>
      <c r="I4012" s="274"/>
      <c r="J4012" s="274"/>
      <c r="K4012" s="274"/>
      <c r="L4012" s="274"/>
      <c r="M4012" s="274"/>
      <c r="N4012" s="274"/>
      <c r="P4012" s="275"/>
    </row>
    <row r="4013" ht="15.75" customHeight="1">
      <c r="B4013" s="282"/>
      <c r="H4013" s="273"/>
      <c r="I4013" s="274"/>
      <c r="J4013" s="274"/>
      <c r="K4013" s="274"/>
      <c r="L4013" s="274"/>
      <c r="M4013" s="274"/>
      <c r="N4013" s="274"/>
      <c r="P4013" s="275"/>
    </row>
    <row r="4014" ht="15.75" customHeight="1">
      <c r="B4014" s="282"/>
      <c r="H4014" s="273"/>
      <c r="I4014" s="274"/>
      <c r="J4014" s="274"/>
      <c r="K4014" s="274"/>
      <c r="L4014" s="274"/>
      <c r="M4014" s="274"/>
      <c r="N4014" s="274"/>
      <c r="P4014" s="275"/>
    </row>
    <row r="4015" ht="15.75" customHeight="1">
      <c r="B4015" s="282"/>
      <c r="H4015" s="273"/>
      <c r="I4015" s="274"/>
      <c r="J4015" s="274"/>
      <c r="K4015" s="274"/>
      <c r="L4015" s="274"/>
      <c r="M4015" s="274"/>
      <c r="N4015" s="274"/>
      <c r="P4015" s="275"/>
    </row>
    <row r="4016" ht="15.75" customHeight="1">
      <c r="B4016" s="282"/>
      <c r="H4016" s="273"/>
      <c r="I4016" s="274"/>
      <c r="J4016" s="274"/>
      <c r="K4016" s="274"/>
      <c r="L4016" s="274"/>
      <c r="M4016" s="274"/>
      <c r="N4016" s="274"/>
      <c r="P4016" s="275"/>
    </row>
    <row r="4017" ht="15.75" customHeight="1">
      <c r="B4017" s="282"/>
      <c r="H4017" s="273"/>
      <c r="I4017" s="274"/>
      <c r="J4017" s="274"/>
      <c r="K4017" s="274"/>
      <c r="L4017" s="274"/>
      <c r="M4017" s="274"/>
      <c r="N4017" s="274"/>
      <c r="P4017" s="275"/>
    </row>
    <row r="4018" ht="15.75" customHeight="1">
      <c r="B4018" s="282"/>
      <c r="H4018" s="273"/>
      <c r="I4018" s="274"/>
      <c r="J4018" s="274"/>
      <c r="K4018" s="274"/>
      <c r="L4018" s="274"/>
      <c r="M4018" s="274"/>
      <c r="N4018" s="274"/>
      <c r="P4018" s="275"/>
    </row>
    <row r="4019" ht="15.75" customHeight="1">
      <c r="B4019" s="282"/>
      <c r="H4019" s="273"/>
      <c r="I4019" s="274"/>
      <c r="J4019" s="274"/>
      <c r="K4019" s="274"/>
      <c r="L4019" s="274"/>
      <c r="M4019" s="274"/>
      <c r="N4019" s="274"/>
      <c r="P4019" s="275"/>
    </row>
    <row r="4020" ht="15.75" customHeight="1">
      <c r="B4020" s="282"/>
      <c r="H4020" s="273"/>
      <c r="I4020" s="274"/>
      <c r="J4020" s="274"/>
      <c r="K4020" s="274"/>
      <c r="L4020" s="274"/>
      <c r="M4020" s="274"/>
      <c r="N4020" s="274"/>
      <c r="P4020" s="275"/>
    </row>
    <row r="4021" ht="15.75" customHeight="1">
      <c r="B4021" s="282"/>
      <c r="H4021" s="273"/>
      <c r="I4021" s="274"/>
      <c r="J4021" s="274"/>
      <c r="K4021" s="274"/>
      <c r="L4021" s="274"/>
      <c r="M4021" s="274"/>
      <c r="N4021" s="274"/>
      <c r="P4021" s="275"/>
    </row>
    <row r="4022" ht="15.75" customHeight="1">
      <c r="B4022" s="282"/>
      <c r="H4022" s="273"/>
      <c r="I4022" s="274"/>
      <c r="J4022" s="274"/>
      <c r="K4022" s="274"/>
      <c r="L4022" s="274"/>
      <c r="M4022" s="274"/>
      <c r="N4022" s="274"/>
      <c r="P4022" s="275"/>
    </row>
    <row r="4023" ht="15.75" customHeight="1">
      <c r="B4023" s="282"/>
      <c r="H4023" s="273"/>
      <c r="I4023" s="274"/>
      <c r="J4023" s="274"/>
      <c r="K4023" s="274"/>
      <c r="L4023" s="274"/>
      <c r="M4023" s="274"/>
      <c r="N4023" s="274"/>
      <c r="P4023" s="275"/>
    </row>
    <row r="4024" ht="15.75" customHeight="1">
      <c r="B4024" s="282"/>
      <c r="H4024" s="273"/>
      <c r="I4024" s="274"/>
      <c r="J4024" s="274"/>
      <c r="K4024" s="274"/>
      <c r="L4024" s="274"/>
      <c r="M4024" s="274"/>
      <c r="N4024" s="274"/>
      <c r="P4024" s="275"/>
    </row>
    <row r="4025" ht="15.75" customHeight="1">
      <c r="B4025" s="282"/>
      <c r="H4025" s="273"/>
      <c r="I4025" s="274"/>
      <c r="J4025" s="274"/>
      <c r="K4025" s="274"/>
      <c r="L4025" s="274"/>
      <c r="M4025" s="274"/>
      <c r="N4025" s="274"/>
      <c r="P4025" s="275"/>
    </row>
    <row r="4026" ht="15.75" customHeight="1">
      <c r="B4026" s="282"/>
      <c r="H4026" s="273"/>
      <c r="I4026" s="274"/>
      <c r="J4026" s="274"/>
      <c r="K4026" s="274"/>
      <c r="L4026" s="274"/>
      <c r="M4026" s="274"/>
      <c r="N4026" s="274"/>
      <c r="P4026" s="275"/>
    </row>
    <row r="4027" ht="15.75" customHeight="1">
      <c r="B4027" s="282"/>
      <c r="H4027" s="273"/>
      <c r="I4027" s="274"/>
      <c r="J4027" s="274"/>
      <c r="K4027" s="274"/>
      <c r="L4027" s="274"/>
      <c r="M4027" s="274"/>
      <c r="N4027" s="274"/>
      <c r="P4027" s="275"/>
    </row>
    <row r="4028" ht="15.75" customHeight="1">
      <c r="B4028" s="282"/>
      <c r="H4028" s="273"/>
      <c r="I4028" s="274"/>
      <c r="J4028" s="274"/>
      <c r="K4028" s="274"/>
      <c r="L4028" s="274"/>
      <c r="M4028" s="274"/>
      <c r="N4028" s="274"/>
      <c r="P4028" s="275"/>
    </row>
    <row r="4029" ht="15.75" customHeight="1">
      <c r="B4029" s="282"/>
      <c r="H4029" s="273"/>
      <c r="I4029" s="274"/>
      <c r="J4029" s="274"/>
      <c r="K4029" s="274"/>
      <c r="L4029" s="274"/>
      <c r="M4029" s="274"/>
      <c r="N4029" s="274"/>
      <c r="P4029" s="275"/>
    </row>
    <row r="4030" ht="15.75" customHeight="1">
      <c r="B4030" s="282"/>
      <c r="H4030" s="273"/>
      <c r="I4030" s="274"/>
      <c r="J4030" s="274"/>
      <c r="K4030" s="274"/>
      <c r="L4030" s="274"/>
      <c r="M4030" s="274"/>
      <c r="N4030" s="274"/>
      <c r="P4030" s="275"/>
    </row>
    <row r="4031" ht="15.75" customHeight="1">
      <c r="B4031" s="282"/>
      <c r="H4031" s="273"/>
      <c r="I4031" s="274"/>
      <c r="J4031" s="274"/>
      <c r="K4031" s="274"/>
      <c r="L4031" s="274"/>
      <c r="M4031" s="274"/>
      <c r="N4031" s="274"/>
      <c r="P4031" s="275"/>
    </row>
    <row r="4032" ht="15.75" customHeight="1">
      <c r="B4032" s="282"/>
      <c r="H4032" s="273"/>
      <c r="I4032" s="274"/>
      <c r="J4032" s="274"/>
      <c r="K4032" s="274"/>
      <c r="L4032" s="274"/>
      <c r="M4032" s="274"/>
      <c r="N4032" s="274"/>
      <c r="P4032" s="275"/>
    </row>
    <row r="4033" ht="15.75" customHeight="1">
      <c r="B4033" s="282"/>
      <c r="H4033" s="273"/>
      <c r="I4033" s="274"/>
      <c r="J4033" s="274"/>
      <c r="K4033" s="274"/>
      <c r="L4033" s="274"/>
      <c r="M4033" s="274"/>
      <c r="N4033" s="274"/>
      <c r="P4033" s="275"/>
    </row>
    <row r="4034" ht="15.75" customHeight="1">
      <c r="B4034" s="282"/>
      <c r="H4034" s="273"/>
      <c r="I4034" s="274"/>
      <c r="J4034" s="274"/>
      <c r="K4034" s="274"/>
      <c r="L4034" s="274"/>
      <c r="M4034" s="274"/>
      <c r="N4034" s="274"/>
      <c r="P4034" s="275"/>
    </row>
    <row r="4035" ht="15.75" customHeight="1">
      <c r="B4035" s="282"/>
      <c r="H4035" s="273"/>
      <c r="I4035" s="274"/>
      <c r="J4035" s="274"/>
      <c r="K4035" s="274"/>
      <c r="L4035" s="274"/>
      <c r="M4035" s="274"/>
      <c r="N4035" s="274"/>
      <c r="P4035" s="275"/>
    </row>
    <row r="4036" ht="15.75" customHeight="1">
      <c r="B4036" s="282"/>
      <c r="H4036" s="273"/>
      <c r="I4036" s="274"/>
      <c r="J4036" s="274"/>
      <c r="K4036" s="274"/>
      <c r="L4036" s="274"/>
      <c r="M4036" s="274"/>
      <c r="N4036" s="274"/>
      <c r="P4036" s="275"/>
    </row>
    <row r="4037" ht="15.75" customHeight="1">
      <c r="B4037" s="282"/>
      <c r="H4037" s="273"/>
      <c r="I4037" s="274"/>
      <c r="J4037" s="274"/>
      <c r="K4037" s="274"/>
      <c r="L4037" s="274"/>
      <c r="M4037" s="274"/>
      <c r="N4037" s="274"/>
      <c r="P4037" s="275"/>
    </row>
    <row r="4038" ht="15.75" customHeight="1">
      <c r="B4038" s="282"/>
      <c r="H4038" s="273"/>
      <c r="I4038" s="274"/>
      <c r="J4038" s="274"/>
      <c r="K4038" s="274"/>
      <c r="L4038" s="274"/>
      <c r="M4038" s="274"/>
      <c r="N4038" s="274"/>
      <c r="P4038" s="275"/>
    </row>
    <row r="4039" ht="15.75" customHeight="1">
      <c r="B4039" s="282"/>
      <c r="H4039" s="273"/>
      <c r="I4039" s="274"/>
      <c r="J4039" s="274"/>
      <c r="K4039" s="274"/>
      <c r="L4039" s="274"/>
      <c r="M4039" s="274"/>
      <c r="N4039" s="274"/>
      <c r="P4039" s="275"/>
    </row>
    <row r="4040" ht="15.75" customHeight="1">
      <c r="B4040" s="282"/>
      <c r="H4040" s="273"/>
      <c r="I4040" s="274"/>
      <c r="J4040" s="274"/>
      <c r="K4040" s="274"/>
      <c r="L4040" s="274"/>
      <c r="M4040" s="274"/>
      <c r="N4040" s="274"/>
      <c r="P4040" s="275"/>
    </row>
    <row r="4041" ht="15.75" customHeight="1">
      <c r="B4041" s="282"/>
      <c r="H4041" s="273"/>
      <c r="I4041" s="274"/>
      <c r="J4041" s="274"/>
      <c r="K4041" s="274"/>
      <c r="L4041" s="274"/>
      <c r="M4041" s="274"/>
      <c r="N4041" s="274"/>
      <c r="P4041" s="275"/>
    </row>
    <row r="4042" ht="15.75" customHeight="1">
      <c r="B4042" s="282"/>
      <c r="H4042" s="273"/>
      <c r="I4042" s="274"/>
      <c r="J4042" s="274"/>
      <c r="K4042" s="274"/>
      <c r="L4042" s="274"/>
      <c r="M4042" s="274"/>
      <c r="N4042" s="274"/>
      <c r="P4042" s="275"/>
    </row>
    <row r="4043" ht="15.75" customHeight="1">
      <c r="B4043" s="282"/>
      <c r="H4043" s="273"/>
      <c r="I4043" s="274"/>
      <c r="J4043" s="274"/>
      <c r="K4043" s="274"/>
      <c r="L4043" s="274"/>
      <c r="M4043" s="274"/>
      <c r="N4043" s="274"/>
      <c r="P4043" s="275"/>
    </row>
    <row r="4044" ht="15.75" customHeight="1">
      <c r="B4044" s="282"/>
      <c r="H4044" s="273"/>
      <c r="I4044" s="274"/>
      <c r="J4044" s="274"/>
      <c r="K4044" s="274"/>
      <c r="L4044" s="274"/>
      <c r="M4044" s="274"/>
      <c r="N4044" s="274"/>
      <c r="P4044" s="275"/>
    </row>
    <row r="4045" ht="15.75" customHeight="1">
      <c r="B4045" s="282"/>
      <c r="H4045" s="273"/>
      <c r="I4045" s="274"/>
      <c r="J4045" s="274"/>
      <c r="K4045" s="274"/>
      <c r="L4045" s="274"/>
      <c r="M4045" s="274"/>
      <c r="N4045" s="274"/>
      <c r="P4045" s="275"/>
    </row>
    <row r="4046" ht="15.75" customHeight="1">
      <c r="B4046" s="282"/>
      <c r="H4046" s="273"/>
      <c r="I4046" s="274"/>
      <c r="J4046" s="274"/>
      <c r="K4046" s="274"/>
      <c r="L4046" s="274"/>
      <c r="M4046" s="274"/>
      <c r="N4046" s="274"/>
      <c r="P4046" s="275"/>
    </row>
    <row r="4047" ht="15.75" customHeight="1">
      <c r="B4047" s="282"/>
      <c r="H4047" s="273"/>
      <c r="I4047" s="274"/>
      <c r="J4047" s="274"/>
      <c r="K4047" s="274"/>
      <c r="L4047" s="274"/>
      <c r="M4047" s="274"/>
      <c r="N4047" s="274"/>
      <c r="P4047" s="275"/>
    </row>
    <row r="4048" ht="15.75" customHeight="1">
      <c r="B4048" s="282"/>
      <c r="H4048" s="273"/>
      <c r="I4048" s="274"/>
      <c r="J4048" s="274"/>
      <c r="K4048" s="274"/>
      <c r="L4048" s="274"/>
      <c r="M4048" s="274"/>
      <c r="N4048" s="274"/>
      <c r="P4048" s="275"/>
    </row>
    <row r="4049" ht="15.75" customHeight="1">
      <c r="B4049" s="282"/>
      <c r="H4049" s="273"/>
      <c r="I4049" s="274"/>
      <c r="J4049" s="274"/>
      <c r="K4049" s="274"/>
      <c r="L4049" s="274"/>
      <c r="M4049" s="274"/>
      <c r="N4049" s="274"/>
      <c r="P4049" s="275"/>
    </row>
    <row r="4050" ht="15.75" customHeight="1">
      <c r="B4050" s="282"/>
      <c r="H4050" s="273"/>
      <c r="I4050" s="274"/>
      <c r="J4050" s="274"/>
      <c r="K4050" s="274"/>
      <c r="L4050" s="274"/>
      <c r="M4050" s="274"/>
      <c r="N4050" s="274"/>
      <c r="P4050" s="275"/>
    </row>
    <row r="4051" ht="15.75" customHeight="1">
      <c r="B4051" s="282"/>
      <c r="H4051" s="273"/>
      <c r="I4051" s="274"/>
      <c r="J4051" s="274"/>
      <c r="K4051" s="274"/>
      <c r="L4051" s="274"/>
      <c r="M4051" s="274"/>
      <c r="N4051" s="274"/>
      <c r="P4051" s="275"/>
    </row>
    <row r="4052" ht="15.75" customHeight="1">
      <c r="B4052" s="282"/>
      <c r="H4052" s="273"/>
      <c r="I4052" s="274"/>
      <c r="J4052" s="274"/>
      <c r="K4052" s="274"/>
      <c r="L4052" s="274"/>
      <c r="M4052" s="274"/>
      <c r="N4052" s="274"/>
      <c r="P4052" s="275"/>
    </row>
    <row r="4053" ht="15.75" customHeight="1">
      <c r="B4053" s="282"/>
      <c r="H4053" s="273"/>
      <c r="I4053" s="274"/>
      <c r="J4053" s="274"/>
      <c r="K4053" s="274"/>
      <c r="L4053" s="274"/>
      <c r="M4053" s="274"/>
      <c r="N4053" s="274"/>
      <c r="P4053" s="275"/>
    </row>
    <row r="4054" ht="15.75" customHeight="1">
      <c r="B4054" s="282"/>
      <c r="H4054" s="273"/>
      <c r="I4054" s="274"/>
      <c r="J4054" s="274"/>
      <c r="K4054" s="274"/>
      <c r="L4054" s="274"/>
      <c r="M4054" s="274"/>
      <c r="N4054" s="274"/>
      <c r="P4054" s="275"/>
    </row>
    <row r="4055" ht="15.75" customHeight="1">
      <c r="B4055" s="282"/>
      <c r="H4055" s="273"/>
      <c r="I4055" s="274"/>
      <c r="J4055" s="274"/>
      <c r="K4055" s="274"/>
      <c r="L4055" s="274"/>
      <c r="M4055" s="274"/>
      <c r="N4055" s="274"/>
      <c r="P4055" s="275"/>
    </row>
    <row r="4056" ht="15.75" customHeight="1">
      <c r="B4056" s="282"/>
      <c r="H4056" s="273"/>
      <c r="I4056" s="274"/>
      <c r="J4056" s="274"/>
      <c r="K4056" s="274"/>
      <c r="L4056" s="274"/>
      <c r="M4056" s="274"/>
      <c r="N4056" s="274"/>
      <c r="P4056" s="275"/>
    </row>
    <row r="4057" ht="15.75" customHeight="1">
      <c r="B4057" s="282"/>
      <c r="H4057" s="273"/>
      <c r="I4057" s="274"/>
      <c r="J4057" s="274"/>
      <c r="K4057" s="274"/>
      <c r="L4057" s="274"/>
      <c r="M4057" s="274"/>
      <c r="N4057" s="274"/>
      <c r="P4057" s="275"/>
    </row>
    <row r="4058" ht="15.75" customHeight="1">
      <c r="B4058" s="282"/>
      <c r="H4058" s="273"/>
      <c r="I4058" s="274"/>
      <c r="J4058" s="274"/>
      <c r="K4058" s="274"/>
      <c r="L4058" s="274"/>
      <c r="M4058" s="274"/>
      <c r="N4058" s="274"/>
      <c r="P4058" s="275"/>
    </row>
    <row r="4059" ht="15.75" customHeight="1">
      <c r="B4059" s="282"/>
      <c r="H4059" s="273"/>
      <c r="I4059" s="274"/>
      <c r="J4059" s="274"/>
      <c r="K4059" s="274"/>
      <c r="L4059" s="274"/>
      <c r="M4059" s="274"/>
      <c r="N4059" s="274"/>
      <c r="P4059" s="275"/>
    </row>
    <row r="4060" ht="15.75" customHeight="1">
      <c r="B4060" s="282"/>
      <c r="H4060" s="273"/>
      <c r="I4060" s="274"/>
      <c r="J4060" s="274"/>
      <c r="K4060" s="274"/>
      <c r="L4060" s="274"/>
      <c r="M4060" s="274"/>
      <c r="N4060" s="274"/>
      <c r="P4060" s="275"/>
    </row>
    <row r="4061" ht="15.75" customHeight="1">
      <c r="B4061" s="282"/>
      <c r="H4061" s="273"/>
      <c r="I4061" s="274"/>
      <c r="J4061" s="274"/>
      <c r="K4061" s="274"/>
      <c r="L4061" s="274"/>
      <c r="M4061" s="274"/>
      <c r="N4061" s="274"/>
      <c r="P4061" s="275"/>
    </row>
    <row r="4062" ht="15.75" customHeight="1">
      <c r="B4062" s="282"/>
      <c r="H4062" s="273"/>
      <c r="I4062" s="274"/>
      <c r="J4062" s="274"/>
      <c r="K4062" s="274"/>
      <c r="L4062" s="274"/>
      <c r="M4062" s="274"/>
      <c r="N4062" s="274"/>
      <c r="P4062" s="275"/>
    </row>
    <row r="4063" ht="15.75" customHeight="1">
      <c r="B4063" s="282"/>
      <c r="H4063" s="273"/>
      <c r="I4063" s="274"/>
      <c r="J4063" s="274"/>
      <c r="K4063" s="274"/>
      <c r="L4063" s="274"/>
      <c r="M4063" s="274"/>
      <c r="N4063" s="274"/>
      <c r="P4063" s="275"/>
    </row>
    <row r="4064" ht="15.75" customHeight="1">
      <c r="B4064" s="282"/>
      <c r="H4064" s="273"/>
      <c r="I4064" s="274"/>
      <c r="J4064" s="274"/>
      <c r="K4064" s="274"/>
      <c r="L4064" s="274"/>
      <c r="M4064" s="274"/>
      <c r="N4064" s="274"/>
      <c r="P4064" s="275"/>
    </row>
    <row r="4065" ht="15.75" customHeight="1">
      <c r="B4065" s="282"/>
      <c r="H4065" s="273"/>
      <c r="I4065" s="274"/>
      <c r="J4065" s="274"/>
      <c r="K4065" s="274"/>
      <c r="L4065" s="274"/>
      <c r="M4065" s="274"/>
      <c r="N4065" s="274"/>
      <c r="P4065" s="275"/>
    </row>
    <row r="4066" ht="15.75" customHeight="1">
      <c r="B4066" s="282"/>
      <c r="H4066" s="273"/>
      <c r="I4066" s="274"/>
      <c r="J4066" s="274"/>
      <c r="K4066" s="274"/>
      <c r="L4066" s="274"/>
      <c r="M4066" s="274"/>
      <c r="N4066" s="274"/>
      <c r="P4066" s="275"/>
    </row>
    <row r="4067" ht="15.75" customHeight="1">
      <c r="B4067" s="282"/>
      <c r="H4067" s="273"/>
      <c r="I4067" s="274"/>
      <c r="J4067" s="274"/>
      <c r="K4067" s="274"/>
      <c r="L4067" s="274"/>
      <c r="M4067" s="274"/>
      <c r="N4067" s="274"/>
      <c r="P4067" s="275"/>
    </row>
    <row r="4068" ht="15.75" customHeight="1">
      <c r="B4068" s="282"/>
      <c r="H4068" s="273"/>
      <c r="I4068" s="274"/>
      <c r="J4068" s="274"/>
      <c r="K4068" s="274"/>
      <c r="L4068" s="274"/>
      <c r="M4068" s="274"/>
      <c r="N4068" s="274"/>
      <c r="P4068" s="275"/>
    </row>
    <row r="4069" ht="15.75" customHeight="1">
      <c r="B4069" s="282"/>
      <c r="H4069" s="273"/>
      <c r="I4069" s="274"/>
      <c r="J4069" s="274"/>
      <c r="K4069" s="274"/>
      <c r="L4069" s="274"/>
      <c r="M4069" s="274"/>
      <c r="N4069" s="274"/>
      <c r="P4069" s="275"/>
    </row>
    <row r="4070" ht="15.75" customHeight="1">
      <c r="B4070" s="282"/>
      <c r="H4070" s="273"/>
      <c r="I4070" s="274"/>
      <c r="J4070" s="274"/>
      <c r="K4070" s="274"/>
      <c r="L4070" s="274"/>
      <c r="M4070" s="274"/>
      <c r="N4070" s="274"/>
      <c r="P4070" s="275"/>
    </row>
    <row r="4071" ht="15.75" customHeight="1">
      <c r="B4071" s="282"/>
      <c r="H4071" s="273"/>
      <c r="I4071" s="274"/>
      <c r="J4071" s="274"/>
      <c r="K4071" s="274"/>
      <c r="L4071" s="274"/>
      <c r="M4071" s="274"/>
      <c r="N4071" s="274"/>
      <c r="P4071" s="275"/>
    </row>
    <row r="4072" ht="15.75" customHeight="1">
      <c r="B4072" s="282"/>
      <c r="H4072" s="273"/>
      <c r="I4072" s="274"/>
      <c r="J4072" s="274"/>
      <c r="K4072" s="274"/>
      <c r="L4072" s="274"/>
      <c r="M4072" s="274"/>
      <c r="N4072" s="274"/>
      <c r="P4072" s="275"/>
    </row>
    <row r="4073" ht="15.75" customHeight="1">
      <c r="B4073" s="282"/>
      <c r="H4073" s="273"/>
      <c r="I4073" s="274"/>
      <c r="J4073" s="274"/>
      <c r="K4073" s="274"/>
      <c r="L4073" s="274"/>
      <c r="M4073" s="274"/>
      <c r="N4073" s="274"/>
      <c r="P4073" s="275"/>
    </row>
    <row r="4074" ht="15.75" customHeight="1">
      <c r="B4074" s="282"/>
      <c r="H4074" s="273"/>
      <c r="I4074" s="274"/>
      <c r="J4074" s="274"/>
      <c r="K4074" s="274"/>
      <c r="L4074" s="274"/>
      <c r="M4074" s="274"/>
      <c r="N4074" s="274"/>
      <c r="P4074" s="275"/>
    </row>
    <row r="4075" ht="15.75" customHeight="1">
      <c r="B4075" s="282"/>
      <c r="H4075" s="273"/>
      <c r="I4075" s="274"/>
      <c r="J4075" s="274"/>
      <c r="K4075" s="274"/>
      <c r="L4075" s="274"/>
      <c r="M4075" s="274"/>
      <c r="N4075" s="274"/>
      <c r="P4075" s="275"/>
    </row>
    <row r="4076" ht="15.75" customHeight="1">
      <c r="B4076" s="282"/>
      <c r="H4076" s="273"/>
      <c r="I4076" s="274"/>
      <c r="J4076" s="274"/>
      <c r="K4076" s="274"/>
      <c r="L4076" s="274"/>
      <c r="M4076" s="274"/>
      <c r="N4076" s="274"/>
      <c r="P4076" s="275"/>
    </row>
    <row r="4077" ht="15.75" customHeight="1">
      <c r="B4077" s="282"/>
      <c r="H4077" s="273"/>
      <c r="I4077" s="274"/>
      <c r="J4077" s="274"/>
      <c r="K4077" s="274"/>
      <c r="L4077" s="274"/>
      <c r="M4077" s="274"/>
      <c r="N4077" s="274"/>
      <c r="P4077" s="275"/>
    </row>
    <row r="4078" ht="15.75" customHeight="1">
      <c r="B4078" s="282"/>
      <c r="H4078" s="273"/>
      <c r="I4078" s="274"/>
      <c r="J4078" s="274"/>
      <c r="K4078" s="274"/>
      <c r="L4078" s="274"/>
      <c r="M4078" s="274"/>
      <c r="N4078" s="274"/>
      <c r="P4078" s="275"/>
    </row>
    <row r="4079" ht="15.75" customHeight="1">
      <c r="B4079" s="282"/>
      <c r="H4079" s="273"/>
      <c r="I4079" s="274"/>
      <c r="J4079" s="274"/>
      <c r="K4079" s="274"/>
      <c r="L4079" s="274"/>
      <c r="M4079" s="274"/>
      <c r="N4079" s="274"/>
      <c r="P4079" s="275"/>
    </row>
    <row r="4080" ht="15.75" customHeight="1">
      <c r="B4080" s="282"/>
      <c r="H4080" s="273"/>
      <c r="I4080" s="274"/>
      <c r="J4080" s="274"/>
      <c r="K4080" s="274"/>
      <c r="L4080" s="274"/>
      <c r="M4080" s="274"/>
      <c r="N4080" s="274"/>
      <c r="P4080" s="275"/>
    </row>
    <row r="4081" ht="15.75" customHeight="1">
      <c r="B4081" s="282"/>
      <c r="H4081" s="273"/>
      <c r="I4081" s="274"/>
      <c r="J4081" s="274"/>
      <c r="K4081" s="274"/>
      <c r="L4081" s="274"/>
      <c r="M4081" s="274"/>
      <c r="N4081" s="274"/>
      <c r="P4081" s="275"/>
    </row>
    <row r="4082" ht="15.75" customHeight="1">
      <c r="B4082" s="282"/>
      <c r="H4082" s="273"/>
      <c r="I4082" s="274"/>
      <c r="J4082" s="274"/>
      <c r="K4082" s="274"/>
      <c r="L4082" s="274"/>
      <c r="M4082" s="274"/>
      <c r="N4082" s="274"/>
      <c r="P4082" s="275"/>
    </row>
    <row r="4083" ht="15.75" customHeight="1">
      <c r="B4083" s="282"/>
      <c r="H4083" s="273"/>
      <c r="I4083" s="274"/>
      <c r="J4083" s="274"/>
      <c r="K4083" s="274"/>
      <c r="L4083" s="274"/>
      <c r="M4083" s="274"/>
      <c r="N4083" s="274"/>
      <c r="P4083" s="275"/>
    </row>
    <row r="4084" ht="15.75" customHeight="1">
      <c r="B4084" s="282"/>
      <c r="H4084" s="273"/>
      <c r="I4084" s="274"/>
      <c r="J4084" s="274"/>
      <c r="K4084" s="274"/>
      <c r="L4084" s="274"/>
      <c r="M4084" s="274"/>
      <c r="N4084" s="274"/>
      <c r="P4084" s="275"/>
    </row>
    <row r="4085" ht="15.75" customHeight="1">
      <c r="B4085" s="282"/>
      <c r="H4085" s="273"/>
      <c r="I4085" s="274"/>
      <c r="J4085" s="274"/>
      <c r="K4085" s="274"/>
      <c r="L4085" s="274"/>
      <c r="M4085" s="274"/>
      <c r="N4085" s="274"/>
      <c r="P4085" s="275"/>
    </row>
    <row r="4086" ht="15.75" customHeight="1">
      <c r="B4086" s="282"/>
      <c r="H4086" s="273"/>
      <c r="I4086" s="274"/>
      <c r="J4086" s="274"/>
      <c r="K4086" s="274"/>
      <c r="L4086" s="274"/>
      <c r="M4086" s="274"/>
      <c r="N4086" s="274"/>
      <c r="P4086" s="275"/>
    </row>
    <row r="4087" ht="15.75" customHeight="1">
      <c r="B4087" s="282"/>
      <c r="H4087" s="273"/>
      <c r="I4087" s="274"/>
      <c r="J4087" s="274"/>
      <c r="K4087" s="274"/>
      <c r="L4087" s="274"/>
      <c r="M4087" s="274"/>
      <c r="N4087" s="274"/>
      <c r="P4087" s="275"/>
    </row>
    <row r="4088" ht="15.75" customHeight="1">
      <c r="B4088" s="282"/>
      <c r="H4088" s="273"/>
      <c r="I4088" s="274"/>
      <c r="J4088" s="274"/>
      <c r="K4088" s="274"/>
      <c r="L4088" s="274"/>
      <c r="M4088" s="274"/>
      <c r="N4088" s="274"/>
      <c r="P4088" s="275"/>
    </row>
    <row r="4089" ht="15.75" customHeight="1">
      <c r="B4089" s="282"/>
      <c r="H4089" s="273"/>
      <c r="I4089" s="274"/>
      <c r="J4089" s="274"/>
      <c r="K4089" s="274"/>
      <c r="L4089" s="274"/>
      <c r="M4089" s="274"/>
      <c r="N4089" s="274"/>
      <c r="P4089" s="275"/>
    </row>
    <row r="4090" ht="15.75" customHeight="1">
      <c r="B4090" s="282"/>
      <c r="H4090" s="273"/>
      <c r="I4090" s="274"/>
      <c r="J4090" s="274"/>
      <c r="K4090" s="274"/>
      <c r="L4090" s="274"/>
      <c r="M4090" s="274"/>
      <c r="N4090" s="274"/>
      <c r="P4090" s="275"/>
    </row>
    <row r="4091" ht="15.75" customHeight="1">
      <c r="B4091" s="282"/>
      <c r="H4091" s="273"/>
      <c r="I4091" s="274"/>
      <c r="J4091" s="274"/>
      <c r="K4091" s="274"/>
      <c r="L4091" s="274"/>
      <c r="M4091" s="274"/>
      <c r="N4091" s="274"/>
      <c r="P4091" s="275"/>
    </row>
    <row r="4092" ht="15.75" customHeight="1">
      <c r="B4092" s="282"/>
      <c r="H4092" s="273"/>
      <c r="I4092" s="274"/>
      <c r="J4092" s="274"/>
      <c r="K4092" s="274"/>
      <c r="L4092" s="274"/>
      <c r="M4092" s="274"/>
      <c r="N4092" s="274"/>
      <c r="P4092" s="275"/>
    </row>
    <row r="4093" ht="15.75" customHeight="1">
      <c r="B4093" s="282"/>
      <c r="H4093" s="273"/>
      <c r="I4093" s="274"/>
      <c r="J4093" s="274"/>
      <c r="K4093" s="274"/>
      <c r="L4093" s="274"/>
      <c r="M4093" s="274"/>
      <c r="N4093" s="274"/>
      <c r="P4093" s="275"/>
    </row>
    <row r="4094" ht="15.75" customHeight="1">
      <c r="B4094" s="282"/>
      <c r="H4094" s="273"/>
      <c r="I4094" s="274"/>
      <c r="J4094" s="274"/>
      <c r="K4094" s="274"/>
      <c r="L4094" s="274"/>
      <c r="M4094" s="274"/>
      <c r="N4094" s="274"/>
      <c r="P4094" s="275"/>
    </row>
    <row r="4095" ht="15.75" customHeight="1">
      <c r="B4095" s="282"/>
      <c r="H4095" s="273"/>
      <c r="I4095" s="274"/>
      <c r="J4095" s="274"/>
      <c r="K4095" s="274"/>
      <c r="L4095" s="274"/>
      <c r="M4095" s="274"/>
      <c r="N4095" s="274"/>
      <c r="P4095" s="275"/>
    </row>
    <row r="4096" ht="15.75" customHeight="1">
      <c r="B4096" s="282"/>
      <c r="H4096" s="273"/>
      <c r="I4096" s="274"/>
      <c r="J4096" s="274"/>
      <c r="K4096" s="274"/>
      <c r="L4096" s="274"/>
      <c r="M4096" s="274"/>
      <c r="N4096" s="274"/>
      <c r="P4096" s="275"/>
    </row>
    <row r="4097" ht="15.75" customHeight="1">
      <c r="B4097" s="282"/>
      <c r="H4097" s="273"/>
      <c r="I4097" s="274"/>
      <c r="J4097" s="274"/>
      <c r="K4097" s="274"/>
      <c r="L4097" s="274"/>
      <c r="M4097" s="274"/>
      <c r="N4097" s="274"/>
      <c r="P4097" s="275"/>
    </row>
    <row r="4098" ht="15.75" customHeight="1">
      <c r="B4098" s="282"/>
      <c r="H4098" s="273"/>
      <c r="I4098" s="274"/>
      <c r="J4098" s="274"/>
      <c r="K4098" s="274"/>
      <c r="L4098" s="274"/>
      <c r="M4098" s="274"/>
      <c r="N4098" s="274"/>
      <c r="P4098" s="275"/>
    </row>
    <row r="4099" ht="15.75" customHeight="1">
      <c r="B4099" s="282"/>
      <c r="H4099" s="273"/>
      <c r="I4099" s="274"/>
      <c r="J4099" s="274"/>
      <c r="K4099" s="274"/>
      <c r="L4099" s="274"/>
      <c r="M4099" s="274"/>
      <c r="N4099" s="274"/>
      <c r="P4099" s="275"/>
    </row>
    <row r="4100" ht="15.75" customHeight="1">
      <c r="B4100" s="282"/>
      <c r="H4100" s="273"/>
      <c r="I4100" s="274"/>
      <c r="J4100" s="274"/>
      <c r="K4100" s="274"/>
      <c r="L4100" s="274"/>
      <c r="M4100" s="274"/>
      <c r="N4100" s="274"/>
      <c r="P4100" s="275"/>
    </row>
    <row r="4101" ht="15.75" customHeight="1">
      <c r="B4101" s="282"/>
      <c r="H4101" s="273"/>
      <c r="I4101" s="274"/>
      <c r="J4101" s="274"/>
      <c r="K4101" s="274"/>
      <c r="L4101" s="274"/>
      <c r="M4101" s="274"/>
      <c r="N4101" s="274"/>
      <c r="P4101" s="275"/>
    </row>
    <row r="4102" ht="15.75" customHeight="1">
      <c r="B4102" s="282"/>
      <c r="H4102" s="273"/>
      <c r="I4102" s="274"/>
      <c r="J4102" s="274"/>
      <c r="K4102" s="274"/>
      <c r="L4102" s="274"/>
      <c r="M4102" s="274"/>
      <c r="N4102" s="274"/>
      <c r="P4102" s="275"/>
    </row>
    <row r="4103" ht="15.75" customHeight="1">
      <c r="B4103" s="282"/>
      <c r="H4103" s="273"/>
      <c r="I4103" s="274"/>
      <c r="J4103" s="274"/>
      <c r="K4103" s="274"/>
      <c r="L4103" s="274"/>
      <c r="M4103" s="274"/>
      <c r="N4103" s="274"/>
      <c r="P4103" s="275"/>
    </row>
    <row r="4104" ht="15.75" customHeight="1">
      <c r="B4104" s="282"/>
      <c r="H4104" s="273"/>
      <c r="I4104" s="274"/>
      <c r="J4104" s="274"/>
      <c r="K4104" s="274"/>
      <c r="L4104" s="274"/>
      <c r="M4104" s="274"/>
      <c r="N4104" s="274"/>
      <c r="P4104" s="275"/>
    </row>
    <row r="4105" ht="15.75" customHeight="1">
      <c r="B4105" s="282"/>
      <c r="H4105" s="273"/>
      <c r="I4105" s="274"/>
      <c r="J4105" s="274"/>
      <c r="K4105" s="274"/>
      <c r="L4105" s="274"/>
      <c r="M4105" s="274"/>
      <c r="N4105" s="274"/>
      <c r="P4105" s="275"/>
    </row>
    <row r="4106" ht="15.75" customHeight="1">
      <c r="B4106" s="282"/>
      <c r="H4106" s="273"/>
      <c r="I4106" s="274"/>
      <c r="J4106" s="274"/>
      <c r="K4106" s="274"/>
      <c r="L4106" s="274"/>
      <c r="M4106" s="274"/>
      <c r="N4106" s="274"/>
      <c r="P4106" s="275"/>
    </row>
    <row r="4107" ht="15.75" customHeight="1">
      <c r="B4107" s="282"/>
      <c r="H4107" s="273"/>
      <c r="I4107" s="274"/>
      <c r="J4107" s="274"/>
      <c r="K4107" s="274"/>
      <c r="L4107" s="274"/>
      <c r="M4107" s="274"/>
      <c r="N4107" s="274"/>
      <c r="P4107" s="275"/>
    </row>
    <row r="4108" ht="15.75" customHeight="1">
      <c r="B4108" s="282"/>
      <c r="H4108" s="273"/>
      <c r="I4108" s="274"/>
      <c r="J4108" s="274"/>
      <c r="K4108" s="274"/>
      <c r="L4108" s="274"/>
      <c r="M4108" s="274"/>
      <c r="N4108" s="274"/>
      <c r="P4108" s="275"/>
    </row>
    <row r="4109" ht="15.75" customHeight="1">
      <c r="B4109" s="282"/>
      <c r="H4109" s="273"/>
      <c r="I4109" s="274"/>
      <c r="J4109" s="274"/>
      <c r="K4109" s="274"/>
      <c r="L4109" s="274"/>
      <c r="M4109" s="274"/>
      <c r="N4109" s="274"/>
      <c r="P4109" s="275"/>
    </row>
    <row r="4110" ht="15.75" customHeight="1">
      <c r="B4110" s="282"/>
      <c r="H4110" s="273"/>
      <c r="I4110" s="274"/>
      <c r="J4110" s="274"/>
      <c r="K4110" s="274"/>
      <c r="L4110" s="274"/>
      <c r="M4110" s="274"/>
      <c r="N4110" s="274"/>
      <c r="P4110" s="275"/>
    </row>
    <row r="4111" ht="15.75" customHeight="1">
      <c r="B4111" s="282"/>
      <c r="H4111" s="273"/>
      <c r="I4111" s="274"/>
      <c r="J4111" s="274"/>
      <c r="K4111" s="274"/>
      <c r="L4111" s="274"/>
      <c r="M4111" s="274"/>
      <c r="N4111" s="274"/>
      <c r="P4111" s="275"/>
    </row>
    <row r="4112" ht="15.75" customHeight="1">
      <c r="B4112" s="282"/>
      <c r="H4112" s="273"/>
      <c r="I4112" s="274"/>
      <c r="J4112" s="274"/>
      <c r="K4112" s="274"/>
      <c r="L4112" s="274"/>
      <c r="M4112" s="274"/>
      <c r="N4112" s="274"/>
      <c r="P4112" s="275"/>
    </row>
    <row r="4113" ht="15.75" customHeight="1">
      <c r="B4113" s="282"/>
      <c r="H4113" s="273"/>
      <c r="I4113" s="274"/>
      <c r="J4113" s="274"/>
      <c r="K4113" s="274"/>
      <c r="L4113" s="274"/>
      <c r="M4113" s="274"/>
      <c r="N4113" s="274"/>
      <c r="P4113" s="275"/>
    </row>
    <row r="4114" ht="15.75" customHeight="1">
      <c r="B4114" s="282"/>
      <c r="H4114" s="273"/>
      <c r="I4114" s="274"/>
      <c r="J4114" s="274"/>
      <c r="K4114" s="274"/>
      <c r="L4114" s="274"/>
      <c r="M4114" s="274"/>
      <c r="N4114" s="274"/>
      <c r="P4114" s="275"/>
    </row>
    <row r="4115" ht="15.75" customHeight="1">
      <c r="B4115" s="282"/>
      <c r="H4115" s="273"/>
      <c r="I4115" s="274"/>
      <c r="J4115" s="274"/>
      <c r="K4115" s="274"/>
      <c r="L4115" s="274"/>
      <c r="M4115" s="274"/>
      <c r="N4115" s="274"/>
      <c r="P4115" s="275"/>
    </row>
    <row r="4116" ht="15.75" customHeight="1">
      <c r="B4116" s="282"/>
      <c r="H4116" s="273"/>
      <c r="I4116" s="274"/>
      <c r="J4116" s="274"/>
      <c r="K4116" s="274"/>
      <c r="L4116" s="274"/>
      <c r="M4116" s="274"/>
      <c r="N4116" s="274"/>
      <c r="P4116" s="275"/>
    </row>
    <row r="4117" ht="15.75" customHeight="1">
      <c r="B4117" s="282"/>
      <c r="H4117" s="273"/>
      <c r="I4117" s="274"/>
      <c r="J4117" s="274"/>
      <c r="K4117" s="274"/>
      <c r="L4117" s="274"/>
      <c r="M4117" s="274"/>
      <c r="N4117" s="274"/>
      <c r="P4117" s="275"/>
    </row>
    <row r="4118" ht="15.75" customHeight="1">
      <c r="B4118" s="282"/>
      <c r="H4118" s="273"/>
      <c r="I4118" s="274"/>
      <c r="J4118" s="274"/>
      <c r="K4118" s="274"/>
      <c r="L4118" s="274"/>
      <c r="M4118" s="274"/>
      <c r="N4118" s="274"/>
      <c r="P4118" s="275"/>
    </row>
    <row r="4119" ht="15.75" customHeight="1">
      <c r="B4119" s="282"/>
      <c r="H4119" s="273"/>
      <c r="I4119" s="274"/>
      <c r="J4119" s="274"/>
      <c r="K4119" s="274"/>
      <c r="L4119" s="274"/>
      <c r="M4119" s="274"/>
      <c r="N4119" s="274"/>
      <c r="P4119" s="275"/>
    </row>
    <row r="4120" ht="15.75" customHeight="1">
      <c r="B4120" s="282"/>
      <c r="H4120" s="273"/>
      <c r="I4120" s="274"/>
      <c r="J4120" s="274"/>
      <c r="K4120" s="274"/>
      <c r="L4120" s="274"/>
      <c r="M4120" s="274"/>
      <c r="N4120" s="274"/>
      <c r="P4120" s="275"/>
    </row>
    <row r="4121" ht="15.75" customHeight="1">
      <c r="B4121" s="282"/>
      <c r="H4121" s="273"/>
      <c r="I4121" s="274"/>
      <c r="J4121" s="274"/>
      <c r="K4121" s="274"/>
      <c r="L4121" s="274"/>
      <c r="M4121" s="274"/>
      <c r="N4121" s="274"/>
      <c r="P4121" s="275"/>
    </row>
    <row r="4122" ht="15.75" customHeight="1">
      <c r="B4122" s="282"/>
      <c r="H4122" s="273"/>
      <c r="I4122" s="274"/>
      <c r="J4122" s="274"/>
      <c r="K4122" s="274"/>
      <c r="L4122" s="274"/>
      <c r="M4122" s="274"/>
      <c r="N4122" s="274"/>
      <c r="P4122" s="275"/>
    </row>
    <row r="4123" ht="15.75" customHeight="1">
      <c r="B4123" s="282"/>
      <c r="H4123" s="273"/>
      <c r="I4123" s="274"/>
      <c r="J4123" s="274"/>
      <c r="K4123" s="274"/>
      <c r="L4123" s="274"/>
      <c r="M4123" s="274"/>
      <c r="N4123" s="274"/>
      <c r="P4123" s="275"/>
    </row>
    <row r="4124" ht="15.75" customHeight="1">
      <c r="B4124" s="282"/>
      <c r="H4124" s="273"/>
      <c r="I4124" s="274"/>
      <c r="J4124" s="274"/>
      <c r="K4124" s="274"/>
      <c r="L4124" s="274"/>
      <c r="M4124" s="274"/>
      <c r="N4124" s="274"/>
      <c r="P4124" s="275"/>
    </row>
    <row r="4125" ht="15.75" customHeight="1">
      <c r="B4125" s="282"/>
      <c r="H4125" s="273"/>
      <c r="I4125" s="274"/>
      <c r="J4125" s="274"/>
      <c r="K4125" s="274"/>
      <c r="L4125" s="274"/>
      <c r="M4125" s="274"/>
      <c r="N4125" s="274"/>
      <c r="P4125" s="275"/>
    </row>
    <row r="4126" ht="15.75" customHeight="1">
      <c r="B4126" s="282"/>
      <c r="H4126" s="273"/>
      <c r="I4126" s="274"/>
      <c r="J4126" s="274"/>
      <c r="K4126" s="274"/>
      <c r="L4126" s="274"/>
      <c r="M4126" s="274"/>
      <c r="N4126" s="274"/>
      <c r="P4126" s="275"/>
    </row>
    <row r="4127" ht="15.75" customHeight="1">
      <c r="B4127" s="282"/>
      <c r="H4127" s="273"/>
      <c r="I4127" s="274"/>
      <c r="J4127" s="274"/>
      <c r="K4127" s="274"/>
      <c r="L4127" s="274"/>
      <c r="M4127" s="274"/>
      <c r="N4127" s="274"/>
      <c r="P4127" s="275"/>
    </row>
    <row r="4128" ht="15.75" customHeight="1">
      <c r="B4128" s="282"/>
      <c r="H4128" s="273"/>
      <c r="I4128" s="274"/>
      <c r="J4128" s="274"/>
      <c r="K4128" s="274"/>
      <c r="L4128" s="274"/>
      <c r="M4128" s="274"/>
      <c r="N4128" s="274"/>
      <c r="P4128" s="275"/>
    </row>
    <row r="4129" ht="15.75" customHeight="1">
      <c r="B4129" s="282"/>
      <c r="H4129" s="273"/>
      <c r="I4129" s="274"/>
      <c r="J4129" s="274"/>
      <c r="K4129" s="274"/>
      <c r="L4129" s="274"/>
      <c r="M4129" s="274"/>
      <c r="N4129" s="274"/>
      <c r="P4129" s="275"/>
    </row>
    <row r="4130" ht="15.75" customHeight="1">
      <c r="B4130" s="282"/>
      <c r="H4130" s="273"/>
      <c r="I4130" s="274"/>
      <c r="J4130" s="274"/>
      <c r="K4130" s="274"/>
      <c r="L4130" s="274"/>
      <c r="M4130" s="274"/>
      <c r="N4130" s="274"/>
      <c r="P4130" s="275"/>
    </row>
    <row r="4131" ht="15.75" customHeight="1">
      <c r="B4131" s="282"/>
      <c r="H4131" s="273"/>
      <c r="I4131" s="274"/>
      <c r="J4131" s="274"/>
      <c r="K4131" s="274"/>
      <c r="L4131" s="274"/>
      <c r="M4131" s="274"/>
      <c r="N4131" s="274"/>
      <c r="P4131" s="275"/>
    </row>
    <row r="4132" ht="15.75" customHeight="1">
      <c r="B4132" s="282"/>
      <c r="H4132" s="273"/>
      <c r="I4132" s="274"/>
      <c r="J4132" s="274"/>
      <c r="K4132" s="274"/>
      <c r="L4132" s="274"/>
      <c r="M4132" s="274"/>
      <c r="N4132" s="274"/>
      <c r="P4132" s="275"/>
    </row>
    <row r="4133" ht="15.75" customHeight="1">
      <c r="B4133" s="282"/>
      <c r="H4133" s="273"/>
      <c r="I4133" s="274"/>
      <c r="J4133" s="274"/>
      <c r="K4133" s="274"/>
      <c r="L4133" s="274"/>
      <c r="M4133" s="274"/>
      <c r="N4133" s="274"/>
      <c r="P4133" s="275"/>
    </row>
    <row r="4134" ht="15.75" customHeight="1">
      <c r="B4134" s="282"/>
      <c r="H4134" s="273"/>
      <c r="I4134" s="274"/>
      <c r="J4134" s="274"/>
      <c r="K4134" s="274"/>
      <c r="L4134" s="274"/>
      <c r="M4134" s="274"/>
      <c r="N4134" s="274"/>
      <c r="P4134" s="275"/>
    </row>
    <row r="4135" ht="15.75" customHeight="1">
      <c r="B4135" s="282"/>
      <c r="H4135" s="273"/>
      <c r="I4135" s="274"/>
      <c r="J4135" s="274"/>
      <c r="K4135" s="274"/>
      <c r="L4135" s="274"/>
      <c r="M4135" s="274"/>
      <c r="N4135" s="274"/>
      <c r="P4135" s="275"/>
    </row>
    <row r="4136" ht="15.75" customHeight="1">
      <c r="B4136" s="282"/>
      <c r="H4136" s="273"/>
      <c r="I4136" s="274"/>
      <c r="J4136" s="274"/>
      <c r="K4136" s="274"/>
      <c r="L4136" s="274"/>
      <c r="M4136" s="274"/>
      <c r="N4136" s="274"/>
      <c r="P4136" s="275"/>
    </row>
    <row r="4137" ht="15.75" customHeight="1">
      <c r="B4137" s="282"/>
      <c r="H4137" s="273"/>
      <c r="I4137" s="274"/>
      <c r="J4137" s="274"/>
      <c r="K4137" s="274"/>
      <c r="L4137" s="274"/>
      <c r="M4137" s="274"/>
      <c r="N4137" s="274"/>
      <c r="P4137" s="275"/>
    </row>
    <row r="4138" ht="15.75" customHeight="1">
      <c r="B4138" s="282"/>
      <c r="H4138" s="273"/>
      <c r="I4138" s="274"/>
      <c r="J4138" s="274"/>
      <c r="K4138" s="274"/>
      <c r="L4138" s="274"/>
      <c r="M4138" s="274"/>
      <c r="N4138" s="274"/>
      <c r="P4138" s="275"/>
    </row>
    <row r="4139" ht="15.75" customHeight="1">
      <c r="B4139" s="282"/>
      <c r="H4139" s="273"/>
      <c r="I4139" s="274"/>
      <c r="J4139" s="274"/>
      <c r="K4139" s="274"/>
      <c r="L4139" s="274"/>
      <c r="M4139" s="274"/>
      <c r="N4139" s="274"/>
      <c r="P4139" s="275"/>
    </row>
    <row r="4140" ht="15.75" customHeight="1">
      <c r="B4140" s="282"/>
      <c r="H4140" s="273"/>
      <c r="I4140" s="274"/>
      <c r="J4140" s="274"/>
      <c r="K4140" s="274"/>
      <c r="L4140" s="274"/>
      <c r="M4140" s="274"/>
      <c r="N4140" s="274"/>
      <c r="P4140" s="275"/>
    </row>
    <row r="4141" ht="15.75" customHeight="1">
      <c r="B4141" s="282"/>
      <c r="H4141" s="273"/>
      <c r="I4141" s="274"/>
      <c r="J4141" s="274"/>
      <c r="K4141" s="274"/>
      <c r="L4141" s="274"/>
      <c r="M4141" s="274"/>
      <c r="N4141" s="274"/>
      <c r="P4141" s="275"/>
    </row>
    <row r="4142" ht="15.75" customHeight="1">
      <c r="B4142" s="282"/>
      <c r="H4142" s="273"/>
      <c r="I4142" s="274"/>
      <c r="J4142" s="274"/>
      <c r="K4142" s="274"/>
      <c r="L4142" s="274"/>
      <c r="M4142" s="274"/>
      <c r="N4142" s="274"/>
      <c r="P4142" s="275"/>
    </row>
    <row r="4143" ht="15.75" customHeight="1">
      <c r="B4143" s="282"/>
      <c r="H4143" s="273"/>
      <c r="I4143" s="274"/>
      <c r="J4143" s="274"/>
      <c r="K4143" s="274"/>
      <c r="L4143" s="274"/>
      <c r="M4143" s="274"/>
      <c r="N4143" s="274"/>
      <c r="P4143" s="275"/>
    </row>
    <row r="4144" ht="15.75" customHeight="1">
      <c r="B4144" s="282"/>
      <c r="H4144" s="273"/>
      <c r="I4144" s="274"/>
      <c r="J4144" s="274"/>
      <c r="K4144" s="274"/>
      <c r="L4144" s="274"/>
      <c r="M4144" s="274"/>
      <c r="N4144" s="274"/>
      <c r="P4144" s="275"/>
    </row>
    <row r="4145" ht="15.75" customHeight="1">
      <c r="B4145" s="282"/>
      <c r="H4145" s="273"/>
      <c r="I4145" s="274"/>
      <c r="J4145" s="274"/>
      <c r="K4145" s="274"/>
      <c r="L4145" s="274"/>
      <c r="M4145" s="274"/>
      <c r="N4145" s="274"/>
      <c r="P4145" s="275"/>
    </row>
    <row r="4146" ht="15.75" customHeight="1">
      <c r="B4146" s="282"/>
      <c r="H4146" s="273"/>
      <c r="I4146" s="274"/>
      <c r="J4146" s="274"/>
      <c r="K4146" s="274"/>
      <c r="L4146" s="274"/>
      <c r="M4146" s="274"/>
      <c r="N4146" s="274"/>
      <c r="P4146" s="275"/>
    </row>
    <row r="4147" ht="15.75" customHeight="1">
      <c r="B4147" s="282"/>
      <c r="H4147" s="273"/>
      <c r="I4147" s="274"/>
      <c r="J4147" s="274"/>
      <c r="K4147" s="274"/>
      <c r="L4147" s="274"/>
      <c r="M4147" s="274"/>
      <c r="N4147" s="274"/>
      <c r="P4147" s="275"/>
    </row>
    <row r="4148" ht="15.75" customHeight="1">
      <c r="B4148" s="282"/>
      <c r="H4148" s="273"/>
      <c r="I4148" s="274"/>
      <c r="J4148" s="274"/>
      <c r="K4148" s="274"/>
      <c r="L4148" s="274"/>
      <c r="M4148" s="274"/>
      <c r="N4148" s="274"/>
      <c r="P4148" s="275"/>
    </row>
    <row r="4149" ht="15.75" customHeight="1">
      <c r="B4149" s="282"/>
      <c r="H4149" s="273"/>
      <c r="I4149" s="274"/>
      <c r="J4149" s="274"/>
      <c r="K4149" s="274"/>
      <c r="L4149" s="274"/>
      <c r="M4149" s="274"/>
      <c r="N4149" s="274"/>
      <c r="P4149" s="275"/>
    </row>
    <row r="4150" ht="15.75" customHeight="1">
      <c r="B4150" s="282"/>
      <c r="H4150" s="273"/>
      <c r="I4150" s="274"/>
      <c r="J4150" s="274"/>
      <c r="K4150" s="274"/>
      <c r="L4150" s="274"/>
      <c r="M4150" s="274"/>
      <c r="N4150" s="274"/>
      <c r="P4150" s="275"/>
    </row>
    <row r="4151" ht="15.75" customHeight="1">
      <c r="B4151" s="282"/>
      <c r="H4151" s="273"/>
      <c r="I4151" s="274"/>
      <c r="J4151" s="274"/>
      <c r="K4151" s="274"/>
      <c r="L4151" s="274"/>
      <c r="M4151" s="274"/>
      <c r="N4151" s="274"/>
      <c r="P4151" s="275"/>
    </row>
    <row r="4152" ht="15.75" customHeight="1">
      <c r="B4152" s="282"/>
      <c r="H4152" s="273"/>
      <c r="I4152" s="274"/>
      <c r="J4152" s="274"/>
      <c r="K4152" s="274"/>
      <c r="L4152" s="274"/>
      <c r="M4152" s="274"/>
      <c r="N4152" s="274"/>
      <c r="P4152" s="275"/>
    </row>
    <row r="4153" ht="15.75" customHeight="1">
      <c r="B4153" s="282"/>
      <c r="H4153" s="273"/>
      <c r="I4153" s="274"/>
      <c r="J4153" s="274"/>
      <c r="K4153" s="274"/>
      <c r="L4153" s="274"/>
      <c r="M4153" s="274"/>
      <c r="N4153" s="274"/>
      <c r="P4153" s="275"/>
    </row>
    <row r="4154" ht="15.75" customHeight="1">
      <c r="B4154" s="282"/>
      <c r="H4154" s="273"/>
      <c r="I4154" s="274"/>
      <c r="J4154" s="274"/>
      <c r="K4154" s="274"/>
      <c r="L4154" s="274"/>
      <c r="M4154" s="274"/>
      <c r="N4154" s="274"/>
      <c r="P4154" s="275"/>
    </row>
    <row r="4155" ht="15.75" customHeight="1">
      <c r="B4155" s="282"/>
      <c r="H4155" s="273"/>
      <c r="I4155" s="274"/>
      <c r="J4155" s="274"/>
      <c r="K4155" s="274"/>
      <c r="L4155" s="274"/>
      <c r="M4155" s="274"/>
      <c r="N4155" s="274"/>
      <c r="P4155" s="275"/>
    </row>
    <row r="4156" ht="15.75" customHeight="1">
      <c r="B4156" s="282"/>
      <c r="H4156" s="273"/>
      <c r="I4156" s="274"/>
      <c r="J4156" s="274"/>
      <c r="K4156" s="274"/>
      <c r="L4156" s="274"/>
      <c r="M4156" s="274"/>
      <c r="N4156" s="274"/>
      <c r="P4156" s="275"/>
    </row>
    <row r="4157" ht="15.75" customHeight="1">
      <c r="B4157" s="282"/>
      <c r="H4157" s="273"/>
      <c r="I4157" s="274"/>
      <c r="J4157" s="274"/>
      <c r="K4157" s="274"/>
      <c r="L4157" s="274"/>
      <c r="M4157" s="274"/>
      <c r="N4157" s="274"/>
      <c r="P4157" s="275"/>
    </row>
    <row r="4158" ht="15.75" customHeight="1">
      <c r="B4158" s="282"/>
      <c r="H4158" s="273"/>
      <c r="I4158" s="274"/>
      <c r="J4158" s="274"/>
      <c r="K4158" s="274"/>
      <c r="L4158" s="274"/>
      <c r="M4158" s="274"/>
      <c r="N4158" s="274"/>
      <c r="P4158" s="275"/>
    </row>
    <row r="4159" ht="15.75" customHeight="1">
      <c r="B4159" s="282"/>
      <c r="H4159" s="273"/>
      <c r="I4159" s="274"/>
      <c r="J4159" s="274"/>
      <c r="K4159" s="274"/>
      <c r="L4159" s="274"/>
      <c r="M4159" s="274"/>
      <c r="N4159" s="274"/>
      <c r="P4159" s="275"/>
    </row>
    <row r="4160" ht="15.75" customHeight="1">
      <c r="B4160" s="282"/>
      <c r="H4160" s="273"/>
      <c r="I4160" s="274"/>
      <c r="J4160" s="274"/>
      <c r="K4160" s="274"/>
      <c r="L4160" s="274"/>
      <c r="M4160" s="274"/>
      <c r="N4160" s="274"/>
      <c r="P4160" s="275"/>
    </row>
    <row r="4161" ht="15.75" customHeight="1">
      <c r="B4161" s="282"/>
      <c r="H4161" s="273"/>
      <c r="I4161" s="274"/>
      <c r="J4161" s="274"/>
      <c r="K4161" s="274"/>
      <c r="L4161" s="274"/>
      <c r="M4161" s="274"/>
      <c r="N4161" s="274"/>
      <c r="P4161" s="275"/>
    </row>
    <row r="4162" ht="15.75" customHeight="1">
      <c r="B4162" s="282"/>
      <c r="H4162" s="273"/>
      <c r="I4162" s="274"/>
      <c r="J4162" s="274"/>
      <c r="K4162" s="274"/>
      <c r="L4162" s="274"/>
      <c r="M4162" s="274"/>
      <c r="N4162" s="274"/>
      <c r="P4162" s="275"/>
    </row>
    <row r="4163" ht="15.75" customHeight="1">
      <c r="B4163" s="282"/>
      <c r="H4163" s="273"/>
      <c r="I4163" s="274"/>
      <c r="J4163" s="274"/>
      <c r="K4163" s="274"/>
      <c r="L4163" s="274"/>
      <c r="M4163" s="274"/>
      <c r="N4163" s="274"/>
      <c r="P4163" s="275"/>
    </row>
    <row r="4164" ht="15.75" customHeight="1">
      <c r="B4164" s="282"/>
      <c r="H4164" s="273"/>
      <c r="I4164" s="274"/>
      <c r="J4164" s="274"/>
      <c r="K4164" s="274"/>
      <c r="L4164" s="274"/>
      <c r="M4164" s="274"/>
      <c r="N4164" s="274"/>
      <c r="P4164" s="275"/>
    </row>
    <row r="4165" ht="15.75" customHeight="1">
      <c r="B4165" s="282"/>
      <c r="H4165" s="273"/>
      <c r="I4165" s="274"/>
      <c r="J4165" s="274"/>
      <c r="K4165" s="274"/>
      <c r="L4165" s="274"/>
      <c r="M4165" s="274"/>
      <c r="N4165" s="274"/>
      <c r="P4165" s="275"/>
    </row>
    <row r="4166" ht="15.75" customHeight="1">
      <c r="B4166" s="282"/>
      <c r="H4166" s="273"/>
      <c r="I4166" s="274"/>
      <c r="J4166" s="274"/>
      <c r="K4166" s="274"/>
      <c r="L4166" s="274"/>
      <c r="M4166" s="274"/>
      <c r="N4166" s="274"/>
      <c r="P4166" s="275"/>
    </row>
    <row r="4167" ht="15.75" customHeight="1">
      <c r="B4167" s="282"/>
      <c r="H4167" s="273"/>
      <c r="I4167" s="274"/>
      <c r="J4167" s="274"/>
      <c r="K4167" s="274"/>
      <c r="L4167" s="274"/>
      <c r="M4167" s="274"/>
      <c r="N4167" s="274"/>
      <c r="P4167" s="275"/>
    </row>
    <row r="4168" ht="15.75" customHeight="1">
      <c r="B4168" s="282"/>
      <c r="H4168" s="273"/>
      <c r="I4168" s="274"/>
      <c r="J4168" s="274"/>
      <c r="K4168" s="274"/>
      <c r="L4168" s="274"/>
      <c r="M4168" s="274"/>
      <c r="N4168" s="274"/>
      <c r="P4168" s="275"/>
    </row>
    <row r="4169" ht="15.75" customHeight="1">
      <c r="B4169" s="282"/>
      <c r="H4169" s="273"/>
      <c r="I4169" s="274"/>
      <c r="J4169" s="274"/>
      <c r="K4169" s="274"/>
      <c r="L4169" s="274"/>
      <c r="M4169" s="274"/>
      <c r="N4169" s="274"/>
      <c r="P4169" s="275"/>
    </row>
    <row r="4170" ht="15.75" customHeight="1">
      <c r="B4170" s="282"/>
      <c r="H4170" s="273"/>
      <c r="I4170" s="274"/>
      <c r="J4170" s="274"/>
      <c r="K4170" s="274"/>
      <c r="L4170" s="274"/>
      <c r="M4170" s="274"/>
      <c r="N4170" s="274"/>
      <c r="P4170" s="275"/>
    </row>
    <row r="4171" ht="15.75" customHeight="1">
      <c r="B4171" s="282"/>
      <c r="H4171" s="273"/>
      <c r="I4171" s="274"/>
      <c r="J4171" s="274"/>
      <c r="K4171" s="274"/>
      <c r="L4171" s="274"/>
      <c r="M4171" s="274"/>
      <c r="N4171" s="274"/>
      <c r="P4171" s="275"/>
    </row>
    <row r="4172" ht="15.75" customHeight="1">
      <c r="B4172" s="282"/>
      <c r="H4172" s="273"/>
      <c r="I4172" s="274"/>
      <c r="J4172" s="274"/>
      <c r="K4172" s="274"/>
      <c r="L4172" s="274"/>
      <c r="M4172" s="274"/>
      <c r="N4172" s="274"/>
      <c r="P4172" s="275"/>
    </row>
    <row r="4173" ht="15.75" customHeight="1">
      <c r="B4173" s="282"/>
      <c r="H4173" s="273"/>
      <c r="I4173" s="274"/>
      <c r="J4173" s="274"/>
      <c r="K4173" s="274"/>
      <c r="L4173" s="274"/>
      <c r="M4173" s="274"/>
      <c r="N4173" s="274"/>
      <c r="P4173" s="275"/>
    </row>
    <row r="4174" ht="15.75" customHeight="1">
      <c r="B4174" s="282"/>
      <c r="H4174" s="273"/>
      <c r="I4174" s="274"/>
      <c r="J4174" s="274"/>
      <c r="K4174" s="274"/>
      <c r="L4174" s="274"/>
      <c r="M4174" s="274"/>
      <c r="N4174" s="274"/>
      <c r="P4174" s="275"/>
    </row>
    <row r="4175" ht="15.75" customHeight="1">
      <c r="B4175" s="282"/>
      <c r="H4175" s="273"/>
      <c r="I4175" s="274"/>
      <c r="J4175" s="274"/>
      <c r="K4175" s="274"/>
      <c r="L4175" s="274"/>
      <c r="M4175" s="274"/>
      <c r="N4175" s="274"/>
      <c r="P4175" s="275"/>
    </row>
    <row r="4176" ht="15.75" customHeight="1">
      <c r="B4176" s="282"/>
      <c r="H4176" s="273"/>
      <c r="I4176" s="274"/>
      <c r="J4176" s="274"/>
      <c r="K4176" s="274"/>
      <c r="L4176" s="274"/>
      <c r="M4176" s="274"/>
      <c r="N4176" s="274"/>
      <c r="P4176" s="275"/>
    </row>
    <row r="4177" ht="15.75" customHeight="1">
      <c r="B4177" s="282"/>
      <c r="H4177" s="273"/>
      <c r="I4177" s="274"/>
      <c r="J4177" s="274"/>
      <c r="K4177" s="274"/>
      <c r="L4177" s="274"/>
      <c r="M4177" s="274"/>
      <c r="N4177" s="274"/>
      <c r="P4177" s="275"/>
    </row>
    <row r="4178" ht="15.75" customHeight="1">
      <c r="B4178" s="282"/>
      <c r="H4178" s="273"/>
      <c r="I4178" s="274"/>
      <c r="J4178" s="274"/>
      <c r="K4178" s="274"/>
      <c r="L4178" s="274"/>
      <c r="M4178" s="274"/>
      <c r="N4178" s="274"/>
      <c r="P4178" s="275"/>
    </row>
    <row r="4179" ht="15.75" customHeight="1">
      <c r="B4179" s="282"/>
      <c r="H4179" s="273"/>
      <c r="I4179" s="274"/>
      <c r="J4179" s="274"/>
      <c r="K4179" s="274"/>
      <c r="L4179" s="274"/>
      <c r="M4179" s="274"/>
      <c r="N4179" s="274"/>
      <c r="P4179" s="275"/>
    </row>
    <row r="4180" ht="15.75" customHeight="1">
      <c r="B4180" s="282"/>
      <c r="H4180" s="273"/>
      <c r="I4180" s="274"/>
      <c r="J4180" s="274"/>
      <c r="K4180" s="274"/>
      <c r="L4180" s="274"/>
      <c r="M4180" s="274"/>
      <c r="N4180" s="274"/>
      <c r="P4180" s="275"/>
    </row>
    <row r="4181" ht="15.75" customHeight="1">
      <c r="B4181" s="282"/>
      <c r="H4181" s="273"/>
      <c r="I4181" s="274"/>
      <c r="J4181" s="274"/>
      <c r="K4181" s="274"/>
      <c r="L4181" s="274"/>
      <c r="M4181" s="274"/>
      <c r="N4181" s="274"/>
      <c r="P4181" s="275"/>
    </row>
    <row r="4182" ht="15.75" customHeight="1">
      <c r="B4182" s="282"/>
      <c r="H4182" s="273"/>
      <c r="I4182" s="274"/>
      <c r="J4182" s="274"/>
      <c r="K4182" s="274"/>
      <c r="L4182" s="274"/>
      <c r="M4182" s="274"/>
      <c r="N4182" s="274"/>
      <c r="P4182" s="275"/>
    </row>
    <row r="4183" ht="15.75" customHeight="1">
      <c r="B4183" s="282"/>
      <c r="H4183" s="273"/>
      <c r="I4183" s="274"/>
      <c r="J4183" s="274"/>
      <c r="K4183" s="274"/>
      <c r="L4183" s="274"/>
      <c r="M4183" s="274"/>
      <c r="N4183" s="274"/>
      <c r="P4183" s="275"/>
    </row>
    <row r="4184" ht="15.75" customHeight="1">
      <c r="B4184" s="282"/>
      <c r="H4184" s="273"/>
      <c r="I4184" s="274"/>
      <c r="J4184" s="274"/>
      <c r="K4184" s="274"/>
      <c r="L4184" s="274"/>
      <c r="M4184" s="274"/>
      <c r="N4184" s="274"/>
      <c r="P4184" s="275"/>
    </row>
    <row r="4185" ht="15.75" customHeight="1">
      <c r="B4185" s="282"/>
      <c r="H4185" s="273"/>
      <c r="I4185" s="274"/>
      <c r="J4185" s="274"/>
      <c r="K4185" s="274"/>
      <c r="L4185" s="274"/>
      <c r="M4185" s="274"/>
      <c r="N4185" s="274"/>
      <c r="P4185" s="275"/>
    </row>
    <row r="4186" ht="15.75" customHeight="1">
      <c r="B4186" s="282"/>
      <c r="H4186" s="273"/>
      <c r="I4186" s="274"/>
      <c r="J4186" s="274"/>
      <c r="K4186" s="274"/>
      <c r="L4186" s="274"/>
      <c r="M4186" s="274"/>
      <c r="N4186" s="274"/>
      <c r="P4186" s="275"/>
    </row>
    <row r="4187" ht="15.75" customHeight="1">
      <c r="B4187" s="282"/>
      <c r="H4187" s="273"/>
      <c r="I4187" s="274"/>
      <c r="J4187" s="274"/>
      <c r="K4187" s="274"/>
      <c r="L4187" s="274"/>
      <c r="M4187" s="274"/>
      <c r="N4187" s="274"/>
      <c r="P4187" s="275"/>
    </row>
    <row r="4188" ht="15.75" customHeight="1">
      <c r="B4188" s="282"/>
      <c r="H4188" s="273"/>
      <c r="I4188" s="274"/>
      <c r="J4188" s="274"/>
      <c r="K4188" s="274"/>
      <c r="L4188" s="274"/>
      <c r="M4188" s="274"/>
      <c r="N4188" s="274"/>
      <c r="P4188" s="275"/>
    </row>
    <row r="4189" ht="15.75" customHeight="1">
      <c r="B4189" s="282"/>
      <c r="H4189" s="273"/>
      <c r="I4189" s="274"/>
      <c r="J4189" s="274"/>
      <c r="K4189" s="274"/>
      <c r="L4189" s="274"/>
      <c r="M4189" s="274"/>
      <c r="N4189" s="274"/>
      <c r="P4189" s="275"/>
    </row>
    <row r="4190" ht="15.75" customHeight="1">
      <c r="B4190" s="282"/>
      <c r="H4190" s="273"/>
      <c r="I4190" s="274"/>
      <c r="J4190" s="274"/>
      <c r="K4190" s="274"/>
      <c r="L4190" s="274"/>
      <c r="M4190" s="274"/>
      <c r="N4190" s="274"/>
      <c r="P4190" s="275"/>
    </row>
    <row r="4191" ht="15.75" customHeight="1">
      <c r="B4191" s="282"/>
      <c r="H4191" s="273"/>
      <c r="I4191" s="274"/>
      <c r="J4191" s="274"/>
      <c r="K4191" s="274"/>
      <c r="L4191" s="274"/>
      <c r="M4191" s="274"/>
      <c r="N4191" s="274"/>
      <c r="P4191" s="275"/>
    </row>
    <row r="4192" ht="15.75" customHeight="1">
      <c r="B4192" s="282"/>
      <c r="H4192" s="273"/>
      <c r="I4192" s="274"/>
      <c r="J4192" s="274"/>
      <c r="K4192" s="274"/>
      <c r="L4192" s="274"/>
      <c r="M4192" s="274"/>
      <c r="N4192" s="274"/>
      <c r="P4192" s="275"/>
    </row>
    <row r="4193" ht="15.75" customHeight="1">
      <c r="B4193" s="282"/>
      <c r="H4193" s="273"/>
      <c r="I4193" s="274"/>
      <c r="J4193" s="274"/>
      <c r="K4193" s="274"/>
      <c r="L4193" s="274"/>
      <c r="M4193" s="274"/>
      <c r="N4193" s="274"/>
      <c r="P4193" s="275"/>
    </row>
    <row r="4194" ht="15.75" customHeight="1">
      <c r="B4194" s="282"/>
      <c r="H4194" s="273"/>
      <c r="I4194" s="274"/>
      <c r="J4194" s="274"/>
      <c r="K4194" s="274"/>
      <c r="L4194" s="274"/>
      <c r="M4194" s="274"/>
      <c r="N4194" s="274"/>
      <c r="P4194" s="275"/>
    </row>
    <row r="4195" ht="15.75" customHeight="1">
      <c r="B4195" s="282"/>
      <c r="H4195" s="273"/>
      <c r="I4195" s="274"/>
      <c r="J4195" s="274"/>
      <c r="K4195" s="274"/>
      <c r="L4195" s="274"/>
      <c r="M4195" s="274"/>
      <c r="N4195" s="274"/>
      <c r="P4195" s="275"/>
    </row>
    <row r="4196" ht="15.75" customHeight="1">
      <c r="B4196" s="282"/>
      <c r="H4196" s="273"/>
      <c r="I4196" s="274"/>
      <c r="J4196" s="274"/>
      <c r="K4196" s="274"/>
      <c r="L4196" s="274"/>
      <c r="M4196" s="274"/>
      <c r="N4196" s="274"/>
      <c r="P4196" s="275"/>
    </row>
    <row r="4197" ht="15.75" customHeight="1">
      <c r="B4197" s="282"/>
      <c r="H4197" s="273"/>
      <c r="I4197" s="274"/>
      <c r="J4197" s="274"/>
      <c r="K4197" s="274"/>
      <c r="L4197" s="274"/>
      <c r="M4197" s="274"/>
      <c r="N4197" s="274"/>
      <c r="P4197" s="275"/>
    </row>
    <row r="4198" ht="15.75" customHeight="1">
      <c r="B4198" s="282"/>
      <c r="H4198" s="273"/>
      <c r="I4198" s="274"/>
      <c r="J4198" s="274"/>
      <c r="K4198" s="274"/>
      <c r="L4198" s="274"/>
      <c r="M4198" s="274"/>
      <c r="N4198" s="274"/>
      <c r="P4198" s="275"/>
    </row>
    <row r="4199" ht="15.75" customHeight="1">
      <c r="B4199" s="282"/>
      <c r="H4199" s="273"/>
      <c r="I4199" s="274"/>
      <c r="J4199" s="274"/>
      <c r="K4199" s="274"/>
      <c r="L4199" s="274"/>
      <c r="M4199" s="274"/>
      <c r="N4199" s="274"/>
      <c r="P4199" s="275"/>
    </row>
    <row r="4200" ht="15.75" customHeight="1">
      <c r="B4200" s="282"/>
      <c r="H4200" s="273"/>
      <c r="I4200" s="274"/>
      <c r="J4200" s="274"/>
      <c r="K4200" s="274"/>
      <c r="L4200" s="274"/>
      <c r="M4200" s="274"/>
      <c r="N4200" s="274"/>
      <c r="P4200" s="275"/>
    </row>
    <row r="4201" ht="15.75" customHeight="1">
      <c r="B4201" s="282"/>
      <c r="H4201" s="273"/>
      <c r="I4201" s="274"/>
      <c r="J4201" s="274"/>
      <c r="K4201" s="274"/>
      <c r="L4201" s="274"/>
      <c r="M4201" s="274"/>
      <c r="N4201" s="274"/>
      <c r="P4201" s="275"/>
    </row>
    <row r="4202" ht="15.75" customHeight="1">
      <c r="B4202" s="282"/>
      <c r="H4202" s="273"/>
      <c r="I4202" s="274"/>
      <c r="J4202" s="274"/>
      <c r="K4202" s="274"/>
      <c r="L4202" s="274"/>
      <c r="M4202" s="274"/>
      <c r="N4202" s="274"/>
      <c r="P4202" s="275"/>
    </row>
    <row r="4203" ht="15.75" customHeight="1">
      <c r="B4203" s="282"/>
      <c r="H4203" s="273"/>
      <c r="I4203" s="274"/>
      <c r="J4203" s="274"/>
      <c r="K4203" s="274"/>
      <c r="L4203" s="274"/>
      <c r="M4203" s="274"/>
      <c r="N4203" s="274"/>
      <c r="P4203" s="275"/>
    </row>
    <row r="4204" ht="15.75" customHeight="1">
      <c r="B4204" s="282"/>
      <c r="H4204" s="273"/>
      <c r="I4204" s="274"/>
      <c r="J4204" s="274"/>
      <c r="K4204" s="274"/>
      <c r="L4204" s="274"/>
      <c r="M4204" s="274"/>
      <c r="N4204" s="274"/>
      <c r="P4204" s="275"/>
    </row>
    <row r="4205" ht="15.75" customHeight="1">
      <c r="B4205" s="282"/>
      <c r="H4205" s="273"/>
      <c r="I4205" s="274"/>
      <c r="J4205" s="274"/>
      <c r="K4205" s="274"/>
      <c r="L4205" s="274"/>
      <c r="M4205" s="274"/>
      <c r="N4205" s="274"/>
      <c r="P4205" s="275"/>
    </row>
    <row r="4206" ht="15.75" customHeight="1">
      <c r="B4206" s="282"/>
      <c r="H4206" s="273"/>
      <c r="I4206" s="274"/>
      <c r="J4206" s="274"/>
      <c r="K4206" s="274"/>
      <c r="L4206" s="274"/>
      <c r="M4206" s="274"/>
      <c r="N4206" s="274"/>
      <c r="P4206" s="275"/>
    </row>
    <row r="4207" ht="15.75" customHeight="1">
      <c r="B4207" s="282"/>
      <c r="H4207" s="273"/>
      <c r="I4207" s="274"/>
      <c r="J4207" s="274"/>
      <c r="K4207" s="274"/>
      <c r="L4207" s="274"/>
      <c r="M4207" s="274"/>
      <c r="N4207" s="274"/>
      <c r="P4207" s="275"/>
    </row>
    <row r="4208" ht="15.75" customHeight="1">
      <c r="B4208" s="282"/>
      <c r="H4208" s="273"/>
      <c r="I4208" s="274"/>
      <c r="J4208" s="274"/>
      <c r="K4208" s="274"/>
      <c r="L4208" s="274"/>
      <c r="M4208" s="274"/>
      <c r="N4208" s="274"/>
      <c r="P4208" s="275"/>
    </row>
    <row r="4209" ht="15.75" customHeight="1">
      <c r="B4209" s="282"/>
      <c r="H4209" s="273"/>
      <c r="I4209" s="274"/>
      <c r="J4209" s="274"/>
      <c r="K4209" s="274"/>
      <c r="L4209" s="274"/>
      <c r="M4209" s="274"/>
      <c r="N4209" s="274"/>
      <c r="P4209" s="275"/>
    </row>
    <row r="4210" ht="15.75" customHeight="1">
      <c r="B4210" s="282"/>
      <c r="H4210" s="273"/>
      <c r="I4210" s="274"/>
      <c r="J4210" s="274"/>
      <c r="K4210" s="274"/>
      <c r="L4210" s="274"/>
      <c r="M4210" s="274"/>
      <c r="N4210" s="274"/>
      <c r="P4210" s="275"/>
    </row>
    <row r="4211" ht="15.75" customHeight="1">
      <c r="B4211" s="282"/>
      <c r="H4211" s="273"/>
      <c r="I4211" s="274"/>
      <c r="J4211" s="274"/>
      <c r="K4211" s="274"/>
      <c r="L4211" s="274"/>
      <c r="M4211" s="274"/>
      <c r="N4211" s="274"/>
      <c r="P4211" s="275"/>
    </row>
    <row r="4212" ht="15.75" customHeight="1">
      <c r="B4212" s="282"/>
      <c r="H4212" s="273"/>
      <c r="I4212" s="274"/>
      <c r="J4212" s="274"/>
      <c r="K4212" s="274"/>
      <c r="L4212" s="274"/>
      <c r="M4212" s="274"/>
      <c r="N4212" s="274"/>
      <c r="P4212" s="275"/>
    </row>
    <row r="4213" ht="15.75" customHeight="1">
      <c r="B4213" s="282"/>
      <c r="H4213" s="273"/>
      <c r="I4213" s="274"/>
      <c r="J4213" s="274"/>
      <c r="K4213" s="274"/>
      <c r="L4213" s="274"/>
      <c r="M4213" s="274"/>
      <c r="N4213" s="274"/>
      <c r="P4213" s="275"/>
    </row>
    <row r="4214" ht="15.75" customHeight="1">
      <c r="B4214" s="282"/>
      <c r="H4214" s="273"/>
      <c r="I4214" s="274"/>
      <c r="J4214" s="274"/>
      <c r="K4214" s="274"/>
      <c r="L4214" s="274"/>
      <c r="M4214" s="274"/>
      <c r="N4214" s="274"/>
      <c r="P4214" s="275"/>
    </row>
    <row r="4215" ht="15.75" customHeight="1">
      <c r="B4215" s="282"/>
      <c r="H4215" s="273"/>
      <c r="I4215" s="274"/>
      <c r="J4215" s="274"/>
      <c r="K4215" s="274"/>
      <c r="L4215" s="274"/>
      <c r="M4215" s="274"/>
      <c r="N4215" s="274"/>
      <c r="P4215" s="275"/>
    </row>
    <row r="4216" ht="15.75" customHeight="1">
      <c r="B4216" s="282"/>
      <c r="H4216" s="273"/>
      <c r="I4216" s="274"/>
      <c r="J4216" s="274"/>
      <c r="K4216" s="274"/>
      <c r="L4216" s="274"/>
      <c r="M4216" s="274"/>
      <c r="N4216" s="274"/>
      <c r="P4216" s="275"/>
    </row>
    <row r="4217" ht="15.75" customHeight="1">
      <c r="B4217" s="282"/>
      <c r="H4217" s="273"/>
      <c r="I4217" s="274"/>
      <c r="J4217" s="274"/>
      <c r="K4217" s="274"/>
      <c r="L4217" s="274"/>
      <c r="M4217" s="274"/>
      <c r="N4217" s="274"/>
      <c r="P4217" s="275"/>
    </row>
    <row r="4218" ht="15.75" customHeight="1">
      <c r="B4218" s="282"/>
      <c r="H4218" s="273"/>
      <c r="I4218" s="274"/>
      <c r="J4218" s="274"/>
      <c r="K4218" s="274"/>
      <c r="L4218" s="274"/>
      <c r="M4218" s="274"/>
      <c r="N4218" s="274"/>
      <c r="P4218" s="275"/>
    </row>
    <row r="4219" ht="15.75" customHeight="1">
      <c r="B4219" s="282"/>
      <c r="H4219" s="273"/>
      <c r="I4219" s="274"/>
      <c r="J4219" s="274"/>
      <c r="K4219" s="274"/>
      <c r="L4219" s="274"/>
      <c r="M4219" s="274"/>
      <c r="N4219" s="274"/>
      <c r="P4219" s="275"/>
    </row>
    <row r="4220" ht="15.75" customHeight="1">
      <c r="B4220" s="282"/>
      <c r="H4220" s="273"/>
      <c r="I4220" s="274"/>
      <c r="J4220" s="274"/>
      <c r="K4220" s="274"/>
      <c r="L4220" s="274"/>
      <c r="M4220" s="274"/>
      <c r="N4220" s="274"/>
      <c r="P4220" s="275"/>
    </row>
    <row r="4221" ht="15.75" customHeight="1">
      <c r="B4221" s="282"/>
      <c r="H4221" s="273"/>
      <c r="I4221" s="274"/>
      <c r="J4221" s="274"/>
      <c r="K4221" s="274"/>
      <c r="L4221" s="274"/>
      <c r="M4221" s="274"/>
      <c r="N4221" s="274"/>
      <c r="P4221" s="275"/>
    </row>
    <row r="4222" ht="15.75" customHeight="1">
      <c r="B4222" s="282"/>
      <c r="H4222" s="273"/>
      <c r="I4222" s="274"/>
      <c r="J4222" s="274"/>
      <c r="K4222" s="274"/>
      <c r="L4222" s="274"/>
      <c r="M4222" s="274"/>
      <c r="N4222" s="274"/>
      <c r="P4222" s="275"/>
    </row>
    <row r="4223" ht="15.75" customHeight="1">
      <c r="B4223" s="282"/>
      <c r="H4223" s="273"/>
      <c r="I4223" s="274"/>
      <c r="J4223" s="274"/>
      <c r="K4223" s="274"/>
      <c r="L4223" s="274"/>
      <c r="M4223" s="274"/>
      <c r="N4223" s="274"/>
      <c r="P4223" s="275"/>
    </row>
    <row r="4224" ht="15.75" customHeight="1">
      <c r="B4224" s="282"/>
      <c r="H4224" s="273"/>
      <c r="I4224" s="274"/>
      <c r="J4224" s="274"/>
      <c r="K4224" s="274"/>
      <c r="L4224" s="274"/>
      <c r="M4224" s="274"/>
      <c r="N4224" s="274"/>
      <c r="P4224" s="275"/>
    </row>
    <row r="4225" ht="15.75" customHeight="1">
      <c r="B4225" s="282"/>
      <c r="H4225" s="273"/>
      <c r="I4225" s="274"/>
      <c r="J4225" s="274"/>
      <c r="K4225" s="274"/>
      <c r="L4225" s="274"/>
      <c r="M4225" s="274"/>
      <c r="N4225" s="274"/>
      <c r="P4225" s="275"/>
    </row>
    <row r="4226" ht="15.75" customHeight="1">
      <c r="B4226" s="282"/>
      <c r="H4226" s="273"/>
      <c r="I4226" s="274"/>
      <c r="J4226" s="274"/>
      <c r="K4226" s="274"/>
      <c r="L4226" s="274"/>
      <c r="M4226" s="274"/>
      <c r="N4226" s="274"/>
      <c r="P4226" s="275"/>
    </row>
    <row r="4227" ht="15.75" customHeight="1">
      <c r="B4227" s="282"/>
      <c r="H4227" s="273"/>
      <c r="I4227" s="274"/>
      <c r="J4227" s="274"/>
      <c r="K4227" s="274"/>
      <c r="L4227" s="274"/>
      <c r="M4227" s="274"/>
      <c r="N4227" s="274"/>
      <c r="P4227" s="275"/>
    </row>
    <row r="4228" ht="15.75" customHeight="1">
      <c r="B4228" s="282"/>
      <c r="H4228" s="273"/>
      <c r="I4228" s="274"/>
      <c r="J4228" s="274"/>
      <c r="K4228" s="274"/>
      <c r="L4228" s="274"/>
      <c r="M4228" s="274"/>
      <c r="N4228" s="274"/>
      <c r="P4228" s="275"/>
    </row>
    <row r="4229" ht="15.75" customHeight="1">
      <c r="B4229" s="282"/>
      <c r="H4229" s="273"/>
      <c r="I4229" s="274"/>
      <c r="J4229" s="274"/>
      <c r="K4229" s="274"/>
      <c r="L4229" s="274"/>
      <c r="M4229" s="274"/>
      <c r="N4229" s="274"/>
      <c r="P4229" s="275"/>
    </row>
    <row r="4230" ht="15.75" customHeight="1">
      <c r="B4230" s="282"/>
      <c r="H4230" s="273"/>
      <c r="I4230" s="274"/>
      <c r="J4230" s="274"/>
      <c r="K4230" s="274"/>
      <c r="L4230" s="274"/>
      <c r="M4230" s="274"/>
      <c r="N4230" s="274"/>
      <c r="P4230" s="275"/>
    </row>
    <row r="4231" ht="15.75" customHeight="1">
      <c r="B4231" s="282"/>
      <c r="H4231" s="273"/>
      <c r="I4231" s="274"/>
      <c r="J4231" s="274"/>
      <c r="K4231" s="274"/>
      <c r="L4231" s="274"/>
      <c r="M4231" s="274"/>
      <c r="N4231" s="274"/>
      <c r="P4231" s="275"/>
    </row>
    <row r="4232" ht="15.75" customHeight="1">
      <c r="B4232" s="282"/>
      <c r="H4232" s="273"/>
      <c r="I4232" s="274"/>
      <c r="J4232" s="274"/>
      <c r="K4232" s="274"/>
      <c r="L4232" s="274"/>
      <c r="M4232" s="274"/>
      <c r="N4232" s="274"/>
      <c r="P4232" s="275"/>
    </row>
    <row r="4233" ht="15.75" customHeight="1">
      <c r="B4233" s="282"/>
      <c r="H4233" s="273"/>
      <c r="I4233" s="274"/>
      <c r="J4233" s="274"/>
      <c r="K4233" s="274"/>
      <c r="L4233" s="274"/>
      <c r="M4233" s="274"/>
      <c r="N4233" s="274"/>
      <c r="P4233" s="275"/>
    </row>
    <row r="4234" ht="15.75" customHeight="1">
      <c r="B4234" s="282"/>
      <c r="H4234" s="273"/>
      <c r="I4234" s="274"/>
      <c r="J4234" s="274"/>
      <c r="K4234" s="274"/>
      <c r="L4234" s="274"/>
      <c r="M4234" s="274"/>
      <c r="N4234" s="274"/>
      <c r="P4234" s="275"/>
    </row>
    <row r="4235" ht="15.75" customHeight="1">
      <c r="B4235" s="282"/>
      <c r="H4235" s="273"/>
      <c r="I4235" s="274"/>
      <c r="J4235" s="274"/>
      <c r="K4235" s="274"/>
      <c r="L4235" s="274"/>
      <c r="M4235" s="274"/>
      <c r="N4235" s="274"/>
      <c r="P4235" s="275"/>
    </row>
    <row r="4236" ht="15.75" customHeight="1">
      <c r="B4236" s="282"/>
      <c r="H4236" s="273"/>
      <c r="I4236" s="274"/>
      <c r="J4236" s="274"/>
      <c r="K4236" s="274"/>
      <c r="L4236" s="274"/>
      <c r="M4236" s="274"/>
      <c r="N4236" s="274"/>
      <c r="P4236" s="275"/>
    </row>
    <row r="4237" ht="15.75" customHeight="1">
      <c r="B4237" s="282"/>
      <c r="H4237" s="273"/>
      <c r="I4237" s="274"/>
      <c r="J4237" s="274"/>
      <c r="K4237" s="274"/>
      <c r="L4237" s="274"/>
      <c r="M4237" s="274"/>
      <c r="N4237" s="274"/>
      <c r="P4237" s="275"/>
    </row>
    <row r="4238" ht="15.75" customHeight="1">
      <c r="B4238" s="282"/>
      <c r="H4238" s="273"/>
      <c r="I4238" s="274"/>
      <c r="J4238" s="274"/>
      <c r="K4238" s="274"/>
      <c r="L4238" s="274"/>
      <c r="M4238" s="274"/>
      <c r="N4238" s="274"/>
      <c r="P4238" s="275"/>
    </row>
    <row r="4239" ht="15.75" customHeight="1">
      <c r="B4239" s="282"/>
      <c r="H4239" s="273"/>
      <c r="I4239" s="274"/>
      <c r="J4239" s="274"/>
      <c r="K4239" s="274"/>
      <c r="L4239" s="274"/>
      <c r="M4239" s="274"/>
      <c r="N4239" s="274"/>
      <c r="P4239" s="275"/>
    </row>
    <row r="4240" ht="15.75" customHeight="1">
      <c r="B4240" s="282"/>
      <c r="H4240" s="273"/>
      <c r="I4240" s="274"/>
      <c r="J4240" s="274"/>
      <c r="K4240" s="274"/>
      <c r="L4240" s="274"/>
      <c r="M4240" s="274"/>
      <c r="N4240" s="274"/>
      <c r="P4240" s="275"/>
    </row>
    <row r="4241" ht="15.75" customHeight="1">
      <c r="B4241" s="282"/>
      <c r="H4241" s="273"/>
      <c r="I4241" s="274"/>
      <c r="J4241" s="274"/>
      <c r="K4241" s="274"/>
      <c r="L4241" s="274"/>
      <c r="M4241" s="274"/>
      <c r="N4241" s="274"/>
      <c r="P4241" s="275"/>
    </row>
    <row r="4242" ht="15.75" customHeight="1">
      <c r="B4242" s="282"/>
      <c r="H4242" s="273"/>
      <c r="I4242" s="274"/>
      <c r="J4242" s="274"/>
      <c r="K4242" s="274"/>
      <c r="L4242" s="274"/>
      <c r="M4242" s="274"/>
      <c r="N4242" s="274"/>
      <c r="P4242" s="275"/>
    </row>
    <row r="4243" ht="15.75" customHeight="1">
      <c r="B4243" s="282"/>
      <c r="H4243" s="273"/>
      <c r="I4243" s="274"/>
      <c r="J4243" s="274"/>
      <c r="K4243" s="274"/>
      <c r="L4243" s="274"/>
      <c r="M4243" s="274"/>
      <c r="N4243" s="274"/>
      <c r="P4243" s="275"/>
    </row>
    <row r="4244" ht="15.75" customHeight="1">
      <c r="B4244" s="282"/>
      <c r="H4244" s="273"/>
      <c r="I4244" s="274"/>
      <c r="J4244" s="274"/>
      <c r="K4244" s="274"/>
      <c r="L4244" s="274"/>
      <c r="M4244" s="274"/>
      <c r="N4244" s="274"/>
      <c r="P4244" s="275"/>
    </row>
    <row r="4245" ht="15.75" customHeight="1">
      <c r="B4245" s="282"/>
      <c r="H4245" s="273"/>
      <c r="I4245" s="274"/>
      <c r="J4245" s="274"/>
      <c r="K4245" s="274"/>
      <c r="L4245" s="274"/>
      <c r="M4245" s="274"/>
      <c r="N4245" s="274"/>
      <c r="P4245" s="275"/>
    </row>
    <row r="4246" ht="15.75" customHeight="1">
      <c r="B4246" s="282"/>
      <c r="H4246" s="273"/>
      <c r="I4246" s="274"/>
      <c r="J4246" s="274"/>
      <c r="K4246" s="274"/>
      <c r="L4246" s="274"/>
      <c r="M4246" s="274"/>
      <c r="N4246" s="274"/>
      <c r="P4246" s="275"/>
    </row>
    <row r="4247" ht="15.75" customHeight="1">
      <c r="B4247" s="282"/>
      <c r="H4247" s="273"/>
      <c r="I4247" s="274"/>
      <c r="J4247" s="274"/>
      <c r="K4247" s="274"/>
      <c r="L4247" s="274"/>
      <c r="M4247" s="274"/>
      <c r="N4247" s="274"/>
      <c r="P4247" s="275"/>
    </row>
    <row r="4248" ht="15.75" customHeight="1">
      <c r="B4248" s="282"/>
      <c r="H4248" s="273"/>
      <c r="I4248" s="274"/>
      <c r="J4248" s="274"/>
      <c r="K4248" s="274"/>
      <c r="L4248" s="274"/>
      <c r="M4248" s="274"/>
      <c r="N4248" s="274"/>
      <c r="P4248" s="275"/>
    </row>
    <row r="4249" ht="15.75" customHeight="1">
      <c r="B4249" s="282"/>
      <c r="H4249" s="273"/>
      <c r="I4249" s="274"/>
      <c r="J4249" s="274"/>
      <c r="K4249" s="274"/>
      <c r="L4249" s="274"/>
      <c r="M4249" s="274"/>
      <c r="N4249" s="274"/>
      <c r="P4249" s="275"/>
    </row>
    <row r="4250" ht="15.75" customHeight="1">
      <c r="B4250" s="282"/>
      <c r="H4250" s="273"/>
      <c r="I4250" s="274"/>
      <c r="J4250" s="274"/>
      <c r="K4250" s="274"/>
      <c r="L4250" s="274"/>
      <c r="M4250" s="274"/>
      <c r="N4250" s="274"/>
      <c r="P4250" s="275"/>
    </row>
    <row r="4251" ht="15.75" customHeight="1">
      <c r="B4251" s="282"/>
      <c r="H4251" s="273"/>
      <c r="I4251" s="274"/>
      <c r="J4251" s="274"/>
      <c r="K4251" s="274"/>
      <c r="L4251" s="274"/>
      <c r="M4251" s="274"/>
      <c r="N4251" s="274"/>
      <c r="P4251" s="275"/>
    </row>
    <row r="4252" ht="15.75" customHeight="1">
      <c r="B4252" s="282"/>
      <c r="H4252" s="273"/>
      <c r="I4252" s="274"/>
      <c r="J4252" s="274"/>
      <c r="K4252" s="274"/>
      <c r="L4252" s="274"/>
      <c r="M4252" s="274"/>
      <c r="N4252" s="274"/>
      <c r="P4252" s="275"/>
    </row>
    <row r="4253" ht="15.75" customHeight="1">
      <c r="B4253" s="282"/>
      <c r="H4253" s="273"/>
      <c r="I4253" s="274"/>
      <c r="J4253" s="274"/>
      <c r="K4253" s="274"/>
      <c r="L4253" s="274"/>
      <c r="M4253" s="274"/>
      <c r="N4253" s="274"/>
      <c r="P4253" s="275"/>
    </row>
    <row r="4254" ht="15.75" customHeight="1">
      <c r="B4254" s="282"/>
      <c r="H4254" s="273"/>
      <c r="I4254" s="274"/>
      <c r="J4254" s="274"/>
      <c r="K4254" s="274"/>
      <c r="L4254" s="274"/>
      <c r="M4254" s="274"/>
      <c r="N4254" s="274"/>
      <c r="P4254" s="275"/>
    </row>
    <row r="4255" ht="15.75" customHeight="1">
      <c r="B4255" s="282"/>
      <c r="H4255" s="273"/>
      <c r="I4255" s="274"/>
      <c r="J4255" s="274"/>
      <c r="K4255" s="274"/>
      <c r="L4255" s="274"/>
      <c r="M4255" s="274"/>
      <c r="N4255" s="274"/>
      <c r="P4255" s="275"/>
    </row>
    <row r="4256" ht="15.75" customHeight="1">
      <c r="B4256" s="282"/>
      <c r="H4256" s="273"/>
      <c r="I4256" s="274"/>
      <c r="J4256" s="274"/>
      <c r="K4256" s="274"/>
      <c r="L4256" s="274"/>
      <c r="M4256" s="274"/>
      <c r="N4256" s="274"/>
      <c r="P4256" s="275"/>
    </row>
    <row r="4257" ht="15.75" customHeight="1">
      <c r="B4257" s="282"/>
      <c r="H4257" s="273"/>
      <c r="I4257" s="274"/>
      <c r="J4257" s="274"/>
      <c r="K4257" s="274"/>
      <c r="L4257" s="274"/>
      <c r="M4257" s="274"/>
      <c r="N4257" s="274"/>
      <c r="P4257" s="275"/>
    </row>
    <row r="4258" ht="15.75" customHeight="1">
      <c r="B4258" s="282"/>
      <c r="H4258" s="273"/>
      <c r="I4258" s="274"/>
      <c r="J4258" s="274"/>
      <c r="K4258" s="274"/>
      <c r="L4258" s="274"/>
      <c r="M4258" s="274"/>
      <c r="N4258" s="274"/>
      <c r="P4258" s="275"/>
    </row>
    <row r="4259" ht="15.75" customHeight="1">
      <c r="B4259" s="282"/>
      <c r="H4259" s="273"/>
      <c r="I4259" s="274"/>
      <c r="J4259" s="274"/>
      <c r="K4259" s="274"/>
      <c r="L4259" s="274"/>
      <c r="M4259" s="274"/>
      <c r="N4259" s="274"/>
      <c r="P4259" s="275"/>
    </row>
    <row r="4260" ht="15.75" customHeight="1">
      <c r="B4260" s="282"/>
      <c r="H4260" s="273"/>
      <c r="I4260" s="274"/>
      <c r="J4260" s="274"/>
      <c r="K4260" s="274"/>
      <c r="L4260" s="274"/>
      <c r="M4260" s="274"/>
      <c r="N4260" s="274"/>
      <c r="P4260" s="275"/>
    </row>
    <row r="4261" ht="15.75" customHeight="1">
      <c r="B4261" s="282"/>
      <c r="H4261" s="273"/>
      <c r="I4261" s="274"/>
      <c r="J4261" s="274"/>
      <c r="K4261" s="274"/>
      <c r="L4261" s="274"/>
      <c r="M4261" s="274"/>
      <c r="N4261" s="274"/>
      <c r="P4261" s="275"/>
    </row>
    <row r="4262" ht="15.75" customHeight="1">
      <c r="B4262" s="282"/>
      <c r="H4262" s="273"/>
      <c r="I4262" s="274"/>
      <c r="J4262" s="274"/>
      <c r="K4262" s="274"/>
      <c r="L4262" s="274"/>
      <c r="M4262" s="274"/>
      <c r="N4262" s="274"/>
      <c r="P4262" s="275"/>
    </row>
    <row r="4263" ht="15.75" customHeight="1">
      <c r="B4263" s="282"/>
      <c r="H4263" s="273"/>
      <c r="I4263" s="274"/>
      <c r="J4263" s="274"/>
      <c r="K4263" s="274"/>
      <c r="L4263" s="274"/>
      <c r="M4263" s="274"/>
      <c r="N4263" s="274"/>
      <c r="P4263" s="275"/>
    </row>
    <row r="4264" ht="15.75" customHeight="1">
      <c r="B4264" s="282"/>
      <c r="H4264" s="273"/>
      <c r="I4264" s="274"/>
      <c r="J4264" s="274"/>
      <c r="K4264" s="274"/>
      <c r="L4264" s="274"/>
      <c r="M4264" s="274"/>
      <c r="N4264" s="274"/>
      <c r="P4264" s="275"/>
    </row>
    <row r="4265" ht="15.75" customHeight="1">
      <c r="B4265" s="282"/>
      <c r="H4265" s="273"/>
      <c r="I4265" s="274"/>
      <c r="J4265" s="274"/>
      <c r="K4265" s="274"/>
      <c r="L4265" s="274"/>
      <c r="M4265" s="274"/>
      <c r="N4265" s="274"/>
      <c r="P4265" s="275"/>
    </row>
    <row r="4266" ht="15.75" customHeight="1">
      <c r="B4266" s="282"/>
      <c r="H4266" s="273"/>
      <c r="I4266" s="274"/>
      <c r="J4266" s="274"/>
      <c r="K4266" s="274"/>
      <c r="L4266" s="274"/>
      <c r="M4266" s="274"/>
      <c r="N4266" s="274"/>
      <c r="P4266" s="275"/>
    </row>
    <row r="4267" ht="15.75" customHeight="1">
      <c r="B4267" s="282"/>
      <c r="H4267" s="273"/>
      <c r="I4267" s="274"/>
      <c r="J4267" s="274"/>
      <c r="K4267" s="274"/>
      <c r="L4267" s="274"/>
      <c r="M4267" s="274"/>
      <c r="N4267" s="274"/>
      <c r="P4267" s="275"/>
    </row>
    <row r="4268" ht="15.75" customHeight="1">
      <c r="B4268" s="282"/>
      <c r="H4268" s="273"/>
      <c r="I4268" s="274"/>
      <c r="J4268" s="274"/>
      <c r="K4268" s="274"/>
      <c r="L4268" s="274"/>
      <c r="M4268" s="274"/>
      <c r="N4268" s="274"/>
      <c r="P4268" s="275"/>
    </row>
    <row r="4269" ht="15.75" customHeight="1">
      <c r="B4269" s="282"/>
      <c r="H4269" s="273"/>
      <c r="I4269" s="274"/>
      <c r="J4269" s="274"/>
      <c r="K4269" s="274"/>
      <c r="L4269" s="274"/>
      <c r="M4269" s="274"/>
      <c r="N4269" s="274"/>
      <c r="P4269" s="275"/>
    </row>
    <row r="4270" ht="15.75" customHeight="1">
      <c r="B4270" s="282"/>
      <c r="H4270" s="273"/>
      <c r="I4270" s="274"/>
      <c r="J4270" s="274"/>
      <c r="K4270" s="274"/>
      <c r="L4270" s="274"/>
      <c r="M4270" s="274"/>
      <c r="N4270" s="274"/>
      <c r="P4270" s="275"/>
    </row>
    <row r="4271" ht="15.75" customHeight="1">
      <c r="B4271" s="282"/>
      <c r="H4271" s="273"/>
      <c r="I4271" s="274"/>
      <c r="J4271" s="274"/>
      <c r="K4271" s="274"/>
      <c r="L4271" s="274"/>
      <c r="M4271" s="274"/>
      <c r="N4271" s="274"/>
      <c r="P4271" s="275"/>
    </row>
    <row r="4272" ht="15.75" customHeight="1">
      <c r="B4272" s="282"/>
      <c r="H4272" s="273"/>
      <c r="I4272" s="274"/>
      <c r="J4272" s="274"/>
      <c r="K4272" s="274"/>
      <c r="L4272" s="274"/>
      <c r="M4272" s="274"/>
      <c r="N4272" s="274"/>
      <c r="P4272" s="275"/>
    </row>
    <row r="4273" ht="15.75" customHeight="1">
      <c r="B4273" s="282"/>
      <c r="H4273" s="273"/>
      <c r="I4273" s="274"/>
      <c r="J4273" s="274"/>
      <c r="K4273" s="274"/>
      <c r="L4273" s="274"/>
      <c r="M4273" s="274"/>
      <c r="N4273" s="274"/>
      <c r="P4273" s="275"/>
    </row>
    <row r="4274" ht="15.75" customHeight="1">
      <c r="B4274" s="282"/>
      <c r="H4274" s="273"/>
      <c r="I4274" s="274"/>
      <c r="J4274" s="274"/>
      <c r="K4274" s="274"/>
      <c r="L4274" s="274"/>
      <c r="M4274" s="274"/>
      <c r="N4274" s="274"/>
      <c r="P4274" s="275"/>
    </row>
    <row r="4275" ht="15.75" customHeight="1">
      <c r="B4275" s="282"/>
      <c r="H4275" s="273"/>
      <c r="I4275" s="274"/>
      <c r="J4275" s="274"/>
      <c r="K4275" s="274"/>
      <c r="L4275" s="274"/>
      <c r="M4275" s="274"/>
      <c r="N4275" s="274"/>
      <c r="P4275" s="275"/>
    </row>
    <row r="4276" ht="15.75" customHeight="1">
      <c r="B4276" s="282"/>
      <c r="H4276" s="273"/>
      <c r="I4276" s="274"/>
      <c r="J4276" s="274"/>
      <c r="K4276" s="274"/>
      <c r="L4276" s="274"/>
      <c r="M4276" s="274"/>
      <c r="N4276" s="274"/>
      <c r="P4276" s="275"/>
    </row>
    <row r="4277" ht="15.75" customHeight="1">
      <c r="B4277" s="282"/>
      <c r="H4277" s="273"/>
      <c r="I4277" s="274"/>
      <c r="J4277" s="274"/>
      <c r="K4277" s="274"/>
      <c r="L4277" s="274"/>
      <c r="M4277" s="274"/>
      <c r="N4277" s="274"/>
      <c r="P4277" s="275"/>
    </row>
    <row r="4278" ht="15.75" customHeight="1">
      <c r="B4278" s="282"/>
      <c r="H4278" s="273"/>
      <c r="I4278" s="274"/>
      <c r="J4278" s="274"/>
      <c r="K4278" s="274"/>
      <c r="L4278" s="274"/>
      <c r="M4278" s="274"/>
      <c r="N4278" s="274"/>
      <c r="P4278" s="275"/>
    </row>
    <row r="4279" ht="15.75" customHeight="1">
      <c r="B4279" s="282"/>
      <c r="H4279" s="273"/>
      <c r="I4279" s="274"/>
      <c r="J4279" s="274"/>
      <c r="K4279" s="274"/>
      <c r="L4279" s="274"/>
      <c r="M4279" s="274"/>
      <c r="N4279" s="274"/>
      <c r="P4279" s="275"/>
    </row>
    <row r="4280" ht="15.75" customHeight="1">
      <c r="B4280" s="282"/>
      <c r="H4280" s="273"/>
      <c r="I4280" s="274"/>
      <c r="J4280" s="274"/>
      <c r="K4280" s="274"/>
      <c r="L4280" s="274"/>
      <c r="M4280" s="274"/>
      <c r="N4280" s="274"/>
      <c r="P4280" s="275"/>
    </row>
    <row r="4281" ht="15.75" customHeight="1">
      <c r="B4281" s="282"/>
      <c r="H4281" s="273"/>
      <c r="I4281" s="274"/>
      <c r="J4281" s="274"/>
      <c r="K4281" s="274"/>
      <c r="L4281" s="274"/>
      <c r="M4281" s="274"/>
      <c r="N4281" s="274"/>
      <c r="P4281" s="275"/>
    </row>
    <row r="4282" ht="15.75" customHeight="1">
      <c r="B4282" s="282"/>
      <c r="H4282" s="273"/>
      <c r="I4282" s="274"/>
      <c r="J4282" s="274"/>
      <c r="K4282" s="274"/>
      <c r="L4282" s="274"/>
      <c r="M4282" s="274"/>
      <c r="N4282" s="274"/>
      <c r="P4282" s="275"/>
    </row>
    <row r="4283" ht="15.75" customHeight="1">
      <c r="B4283" s="282"/>
      <c r="H4283" s="273"/>
      <c r="I4283" s="274"/>
      <c r="J4283" s="274"/>
      <c r="K4283" s="274"/>
      <c r="L4283" s="274"/>
      <c r="M4283" s="274"/>
      <c r="N4283" s="274"/>
      <c r="P4283" s="275"/>
    </row>
    <row r="4284" ht="15.75" customHeight="1">
      <c r="B4284" s="282"/>
      <c r="H4284" s="273"/>
      <c r="I4284" s="274"/>
      <c r="J4284" s="274"/>
      <c r="K4284" s="274"/>
      <c r="L4284" s="274"/>
      <c r="M4284" s="274"/>
      <c r="N4284" s="274"/>
      <c r="P4284" s="275"/>
    </row>
    <row r="4285" ht="15.75" customHeight="1">
      <c r="B4285" s="282"/>
      <c r="H4285" s="273"/>
      <c r="I4285" s="274"/>
      <c r="J4285" s="274"/>
      <c r="K4285" s="274"/>
      <c r="L4285" s="274"/>
      <c r="M4285" s="274"/>
      <c r="N4285" s="274"/>
      <c r="P4285" s="275"/>
    </row>
    <row r="4286" ht="15.75" customHeight="1">
      <c r="B4286" s="282"/>
      <c r="H4286" s="273"/>
      <c r="I4286" s="274"/>
      <c r="J4286" s="274"/>
      <c r="K4286" s="274"/>
      <c r="L4286" s="274"/>
      <c r="M4286" s="274"/>
      <c r="N4286" s="274"/>
      <c r="P4286" s="275"/>
    </row>
    <row r="4287" ht="15.75" customHeight="1">
      <c r="B4287" s="282"/>
      <c r="H4287" s="273"/>
      <c r="I4287" s="274"/>
      <c r="J4287" s="274"/>
      <c r="K4287" s="274"/>
      <c r="L4287" s="274"/>
      <c r="M4287" s="274"/>
      <c r="N4287" s="274"/>
      <c r="P4287" s="275"/>
    </row>
    <row r="4288" ht="15.75" customHeight="1">
      <c r="B4288" s="282"/>
      <c r="H4288" s="273"/>
      <c r="I4288" s="274"/>
      <c r="J4288" s="274"/>
      <c r="K4288" s="274"/>
      <c r="L4288" s="274"/>
      <c r="M4288" s="274"/>
      <c r="N4288" s="274"/>
      <c r="P4288" s="275"/>
    </row>
    <row r="4289" ht="15.75" customHeight="1">
      <c r="B4289" s="282"/>
      <c r="H4289" s="273"/>
      <c r="I4289" s="274"/>
      <c r="J4289" s="274"/>
      <c r="K4289" s="274"/>
      <c r="L4289" s="274"/>
      <c r="M4289" s="274"/>
      <c r="N4289" s="274"/>
      <c r="P4289" s="275"/>
    </row>
    <row r="4290" ht="15.75" customHeight="1">
      <c r="B4290" s="282"/>
      <c r="H4290" s="273"/>
      <c r="I4290" s="274"/>
      <c r="J4290" s="274"/>
      <c r="K4290" s="274"/>
      <c r="L4290" s="274"/>
      <c r="M4290" s="274"/>
      <c r="N4290" s="274"/>
      <c r="P4290" s="275"/>
    </row>
    <row r="4291" ht="15.75" customHeight="1">
      <c r="B4291" s="282"/>
      <c r="H4291" s="273"/>
      <c r="I4291" s="274"/>
      <c r="J4291" s="274"/>
      <c r="K4291" s="274"/>
      <c r="L4291" s="274"/>
      <c r="M4291" s="274"/>
      <c r="N4291" s="274"/>
      <c r="P4291" s="275"/>
    </row>
    <row r="4292" ht="15.75" customHeight="1">
      <c r="B4292" s="282"/>
      <c r="H4292" s="273"/>
      <c r="I4292" s="274"/>
      <c r="J4292" s="274"/>
      <c r="K4292" s="274"/>
      <c r="L4292" s="274"/>
      <c r="M4292" s="274"/>
      <c r="N4292" s="274"/>
      <c r="P4292" s="275"/>
    </row>
    <row r="4293" ht="15.75" customHeight="1">
      <c r="B4293" s="282"/>
      <c r="H4293" s="273"/>
      <c r="I4293" s="274"/>
      <c r="J4293" s="274"/>
      <c r="K4293" s="274"/>
      <c r="L4293" s="274"/>
      <c r="M4293" s="274"/>
      <c r="N4293" s="274"/>
      <c r="P4293" s="275"/>
    </row>
    <row r="4294" ht="15.75" customHeight="1">
      <c r="B4294" s="282"/>
      <c r="H4294" s="273"/>
      <c r="I4294" s="274"/>
      <c r="J4294" s="274"/>
      <c r="K4294" s="274"/>
      <c r="L4294" s="274"/>
      <c r="M4294" s="274"/>
      <c r="N4294" s="274"/>
      <c r="P4294" s="275"/>
    </row>
    <row r="4295" ht="15.75" customHeight="1">
      <c r="B4295" s="282"/>
      <c r="H4295" s="273"/>
      <c r="I4295" s="274"/>
      <c r="J4295" s="274"/>
      <c r="K4295" s="274"/>
      <c r="L4295" s="274"/>
      <c r="M4295" s="274"/>
      <c r="N4295" s="274"/>
      <c r="P4295" s="275"/>
    </row>
    <row r="4296" ht="15.75" customHeight="1">
      <c r="B4296" s="282"/>
      <c r="H4296" s="273"/>
      <c r="I4296" s="274"/>
      <c r="J4296" s="274"/>
      <c r="K4296" s="274"/>
      <c r="L4296" s="274"/>
      <c r="M4296" s="274"/>
      <c r="N4296" s="274"/>
      <c r="P4296" s="275"/>
    </row>
    <row r="4297" ht="15.75" customHeight="1">
      <c r="B4297" s="282"/>
      <c r="H4297" s="273"/>
      <c r="I4297" s="274"/>
      <c r="J4297" s="274"/>
      <c r="K4297" s="274"/>
      <c r="L4297" s="274"/>
      <c r="M4297" s="274"/>
      <c r="N4297" s="274"/>
      <c r="P4297" s="275"/>
    </row>
    <row r="4298" ht="15.75" customHeight="1">
      <c r="B4298" s="282"/>
      <c r="H4298" s="273"/>
      <c r="I4298" s="274"/>
      <c r="J4298" s="274"/>
      <c r="K4298" s="274"/>
      <c r="L4298" s="274"/>
      <c r="M4298" s="274"/>
      <c r="N4298" s="274"/>
      <c r="P4298" s="275"/>
    </row>
    <row r="4299" ht="15.75" customHeight="1">
      <c r="B4299" s="282"/>
      <c r="H4299" s="273"/>
      <c r="I4299" s="274"/>
      <c r="J4299" s="274"/>
      <c r="K4299" s="274"/>
      <c r="L4299" s="274"/>
      <c r="M4299" s="274"/>
      <c r="N4299" s="274"/>
      <c r="P4299" s="275"/>
    </row>
    <row r="4300" ht="15.75" customHeight="1">
      <c r="B4300" s="282"/>
      <c r="H4300" s="273"/>
      <c r="I4300" s="274"/>
      <c r="J4300" s="274"/>
      <c r="K4300" s="274"/>
      <c r="L4300" s="274"/>
      <c r="M4300" s="274"/>
      <c r="N4300" s="274"/>
      <c r="P4300" s="275"/>
    </row>
    <row r="4301" ht="15.75" customHeight="1">
      <c r="B4301" s="282"/>
      <c r="H4301" s="273"/>
      <c r="I4301" s="274"/>
      <c r="J4301" s="274"/>
      <c r="K4301" s="274"/>
      <c r="L4301" s="274"/>
      <c r="M4301" s="274"/>
      <c r="N4301" s="274"/>
      <c r="P4301" s="275"/>
    </row>
    <row r="4302" ht="15.75" customHeight="1">
      <c r="B4302" s="282"/>
      <c r="H4302" s="273"/>
      <c r="I4302" s="274"/>
      <c r="J4302" s="274"/>
      <c r="K4302" s="274"/>
      <c r="L4302" s="274"/>
      <c r="M4302" s="274"/>
      <c r="N4302" s="274"/>
      <c r="P4302" s="275"/>
    </row>
    <row r="4303" ht="15.75" customHeight="1">
      <c r="B4303" s="282"/>
      <c r="H4303" s="273"/>
      <c r="I4303" s="274"/>
      <c r="J4303" s="274"/>
      <c r="K4303" s="274"/>
      <c r="L4303" s="274"/>
      <c r="M4303" s="274"/>
      <c r="N4303" s="274"/>
      <c r="P4303" s="275"/>
    </row>
    <row r="4304" ht="15.75" customHeight="1">
      <c r="B4304" s="282"/>
      <c r="H4304" s="273"/>
      <c r="I4304" s="274"/>
      <c r="J4304" s="274"/>
      <c r="K4304" s="274"/>
      <c r="L4304" s="274"/>
      <c r="M4304" s="274"/>
      <c r="N4304" s="274"/>
      <c r="P4304" s="275"/>
    </row>
    <row r="4305" ht="15.75" customHeight="1">
      <c r="B4305" s="282"/>
      <c r="H4305" s="273"/>
      <c r="I4305" s="274"/>
      <c r="J4305" s="274"/>
      <c r="K4305" s="274"/>
      <c r="L4305" s="274"/>
      <c r="M4305" s="274"/>
      <c r="N4305" s="274"/>
      <c r="P4305" s="275"/>
    </row>
    <row r="4306" ht="15.75" customHeight="1">
      <c r="B4306" s="282"/>
      <c r="H4306" s="273"/>
      <c r="I4306" s="274"/>
      <c r="J4306" s="274"/>
      <c r="K4306" s="274"/>
      <c r="L4306" s="274"/>
      <c r="M4306" s="274"/>
      <c r="N4306" s="274"/>
      <c r="P4306" s="275"/>
    </row>
    <row r="4307" ht="15.75" customHeight="1">
      <c r="B4307" s="282"/>
      <c r="H4307" s="273"/>
      <c r="I4307" s="274"/>
      <c r="J4307" s="274"/>
      <c r="K4307" s="274"/>
      <c r="L4307" s="274"/>
      <c r="M4307" s="274"/>
      <c r="N4307" s="274"/>
      <c r="P4307" s="275"/>
    </row>
    <row r="4308" ht="15.75" customHeight="1">
      <c r="B4308" s="282"/>
      <c r="H4308" s="273"/>
      <c r="I4308" s="274"/>
      <c r="J4308" s="274"/>
      <c r="K4308" s="274"/>
      <c r="L4308" s="274"/>
      <c r="M4308" s="274"/>
      <c r="N4308" s="274"/>
      <c r="P4308" s="275"/>
    </row>
    <row r="4309" ht="15.75" customHeight="1">
      <c r="B4309" s="282"/>
      <c r="H4309" s="273"/>
      <c r="I4309" s="274"/>
      <c r="J4309" s="274"/>
      <c r="K4309" s="274"/>
      <c r="L4309" s="274"/>
      <c r="M4309" s="274"/>
      <c r="N4309" s="274"/>
      <c r="P4309" s="275"/>
    </row>
    <row r="4310" ht="15.75" customHeight="1">
      <c r="B4310" s="282"/>
      <c r="H4310" s="273"/>
      <c r="I4310" s="274"/>
      <c r="J4310" s="274"/>
      <c r="K4310" s="274"/>
      <c r="L4310" s="274"/>
      <c r="M4310" s="274"/>
      <c r="N4310" s="274"/>
      <c r="P4310" s="275"/>
    </row>
    <row r="4311" ht="15.75" customHeight="1">
      <c r="B4311" s="282"/>
      <c r="H4311" s="273"/>
      <c r="I4311" s="274"/>
      <c r="J4311" s="274"/>
      <c r="K4311" s="274"/>
      <c r="L4311" s="274"/>
      <c r="M4311" s="274"/>
      <c r="N4311" s="274"/>
      <c r="P4311" s="275"/>
    </row>
    <row r="4312" ht="15.75" customHeight="1">
      <c r="B4312" s="282"/>
      <c r="H4312" s="273"/>
      <c r="I4312" s="274"/>
      <c r="J4312" s="274"/>
      <c r="K4312" s="274"/>
      <c r="L4312" s="274"/>
      <c r="M4312" s="274"/>
      <c r="N4312" s="274"/>
      <c r="P4312" s="275"/>
    </row>
    <row r="4313" ht="15.75" customHeight="1">
      <c r="B4313" s="282"/>
      <c r="H4313" s="273"/>
      <c r="I4313" s="274"/>
      <c r="J4313" s="274"/>
      <c r="K4313" s="274"/>
      <c r="L4313" s="274"/>
      <c r="M4313" s="274"/>
      <c r="N4313" s="274"/>
      <c r="P4313" s="275"/>
    </row>
    <row r="4314" ht="15.75" customHeight="1">
      <c r="B4314" s="282"/>
      <c r="H4314" s="273"/>
      <c r="I4314" s="274"/>
      <c r="J4314" s="274"/>
      <c r="K4314" s="274"/>
      <c r="L4314" s="274"/>
      <c r="M4314" s="274"/>
      <c r="N4314" s="274"/>
      <c r="P4314" s="275"/>
    </row>
    <row r="4315" ht="15.75" customHeight="1">
      <c r="B4315" s="282"/>
      <c r="H4315" s="273"/>
      <c r="I4315" s="274"/>
      <c r="J4315" s="274"/>
      <c r="K4315" s="274"/>
      <c r="L4315" s="274"/>
      <c r="M4315" s="274"/>
      <c r="N4315" s="274"/>
      <c r="P4315" s="275"/>
    </row>
    <row r="4316" ht="15.75" customHeight="1">
      <c r="B4316" s="282"/>
      <c r="H4316" s="273"/>
      <c r="I4316" s="274"/>
      <c r="J4316" s="274"/>
      <c r="K4316" s="274"/>
      <c r="L4316" s="274"/>
      <c r="M4316" s="274"/>
      <c r="N4316" s="274"/>
      <c r="P4316" s="275"/>
    </row>
    <row r="4317" ht="15.75" customHeight="1">
      <c r="B4317" s="282"/>
      <c r="H4317" s="273"/>
      <c r="I4317" s="274"/>
      <c r="J4317" s="274"/>
      <c r="K4317" s="274"/>
      <c r="L4317" s="274"/>
      <c r="M4317" s="274"/>
      <c r="N4317" s="274"/>
      <c r="P4317" s="275"/>
    </row>
    <row r="4318" ht="15.75" customHeight="1">
      <c r="B4318" s="282"/>
      <c r="H4318" s="273"/>
      <c r="I4318" s="274"/>
      <c r="J4318" s="274"/>
      <c r="K4318" s="274"/>
      <c r="L4318" s="274"/>
      <c r="M4318" s="274"/>
      <c r="N4318" s="274"/>
      <c r="P4318" s="275"/>
    </row>
    <row r="4319" ht="15.75" customHeight="1">
      <c r="B4319" s="282"/>
      <c r="H4319" s="273"/>
      <c r="I4319" s="274"/>
      <c r="J4319" s="274"/>
      <c r="K4319" s="274"/>
      <c r="L4319" s="274"/>
      <c r="M4319" s="274"/>
      <c r="N4319" s="274"/>
      <c r="P4319" s="275"/>
    </row>
    <row r="4320" ht="15.75" customHeight="1">
      <c r="B4320" s="282"/>
      <c r="H4320" s="273"/>
      <c r="I4320" s="274"/>
      <c r="J4320" s="274"/>
      <c r="K4320" s="274"/>
      <c r="L4320" s="274"/>
      <c r="M4320" s="274"/>
      <c r="N4320" s="274"/>
      <c r="P4320" s="275"/>
    </row>
    <row r="4321" ht="15.75" customHeight="1">
      <c r="B4321" s="282"/>
      <c r="H4321" s="273"/>
      <c r="I4321" s="274"/>
      <c r="J4321" s="274"/>
      <c r="K4321" s="274"/>
      <c r="L4321" s="274"/>
      <c r="M4321" s="274"/>
      <c r="N4321" s="274"/>
      <c r="P4321" s="275"/>
    </row>
    <row r="4322" ht="15.75" customHeight="1">
      <c r="B4322" s="282"/>
      <c r="H4322" s="273"/>
      <c r="I4322" s="274"/>
      <c r="J4322" s="274"/>
      <c r="K4322" s="274"/>
      <c r="L4322" s="274"/>
      <c r="M4322" s="274"/>
      <c r="N4322" s="274"/>
      <c r="P4322" s="275"/>
    </row>
    <row r="4323" ht="15.75" customHeight="1">
      <c r="B4323" s="282"/>
      <c r="H4323" s="273"/>
      <c r="I4323" s="274"/>
      <c r="J4323" s="274"/>
      <c r="K4323" s="274"/>
      <c r="L4323" s="274"/>
      <c r="M4323" s="274"/>
      <c r="N4323" s="274"/>
      <c r="P4323" s="275"/>
    </row>
    <row r="4324" ht="15.75" customHeight="1">
      <c r="B4324" s="282"/>
      <c r="H4324" s="273"/>
      <c r="I4324" s="274"/>
      <c r="J4324" s="274"/>
      <c r="K4324" s="274"/>
      <c r="L4324" s="274"/>
      <c r="M4324" s="274"/>
      <c r="N4324" s="274"/>
      <c r="P4324" s="275"/>
    </row>
    <row r="4325" ht="15.75" customHeight="1">
      <c r="B4325" s="282"/>
      <c r="H4325" s="273"/>
      <c r="I4325" s="274"/>
      <c r="J4325" s="274"/>
      <c r="K4325" s="274"/>
      <c r="L4325" s="274"/>
      <c r="M4325" s="274"/>
      <c r="N4325" s="274"/>
      <c r="P4325" s="275"/>
    </row>
    <row r="4326" ht="15.75" customHeight="1">
      <c r="B4326" s="282"/>
      <c r="H4326" s="273"/>
      <c r="I4326" s="274"/>
      <c r="J4326" s="274"/>
      <c r="K4326" s="274"/>
      <c r="L4326" s="274"/>
      <c r="M4326" s="274"/>
      <c r="N4326" s="274"/>
      <c r="P4326" s="275"/>
    </row>
    <row r="4327" ht="15.75" customHeight="1">
      <c r="B4327" s="282"/>
      <c r="H4327" s="273"/>
      <c r="I4327" s="274"/>
      <c r="J4327" s="274"/>
      <c r="K4327" s="274"/>
      <c r="L4327" s="274"/>
      <c r="M4327" s="274"/>
      <c r="N4327" s="274"/>
      <c r="P4327" s="275"/>
    </row>
    <row r="4328" ht="15.75" customHeight="1">
      <c r="B4328" s="282"/>
      <c r="H4328" s="273"/>
      <c r="I4328" s="274"/>
      <c r="J4328" s="274"/>
      <c r="K4328" s="274"/>
      <c r="L4328" s="274"/>
      <c r="M4328" s="274"/>
      <c r="N4328" s="274"/>
      <c r="P4328" s="275"/>
    </row>
    <row r="4329" ht="15.75" customHeight="1">
      <c r="B4329" s="282"/>
      <c r="H4329" s="273"/>
      <c r="I4329" s="274"/>
      <c r="J4329" s="274"/>
      <c r="K4329" s="274"/>
      <c r="L4329" s="274"/>
      <c r="M4329" s="274"/>
      <c r="N4329" s="274"/>
      <c r="P4329" s="275"/>
    </row>
    <row r="4330" ht="15.75" customHeight="1">
      <c r="B4330" s="282"/>
      <c r="H4330" s="273"/>
      <c r="I4330" s="274"/>
      <c r="J4330" s="274"/>
      <c r="K4330" s="274"/>
      <c r="L4330" s="274"/>
      <c r="M4330" s="274"/>
      <c r="N4330" s="274"/>
      <c r="P4330" s="275"/>
    </row>
    <row r="4331" ht="15.75" customHeight="1">
      <c r="B4331" s="282"/>
      <c r="H4331" s="273"/>
      <c r="I4331" s="274"/>
      <c r="J4331" s="274"/>
      <c r="K4331" s="274"/>
      <c r="L4331" s="274"/>
      <c r="M4331" s="274"/>
      <c r="N4331" s="274"/>
      <c r="P4331" s="275"/>
    </row>
    <row r="4332" ht="15.75" customHeight="1">
      <c r="B4332" s="282"/>
      <c r="H4332" s="273"/>
      <c r="I4332" s="274"/>
      <c r="J4332" s="274"/>
      <c r="K4332" s="274"/>
      <c r="L4332" s="274"/>
      <c r="M4332" s="274"/>
      <c r="N4332" s="274"/>
      <c r="P4332" s="275"/>
    </row>
    <row r="4333" ht="15.75" customHeight="1">
      <c r="B4333" s="282"/>
      <c r="H4333" s="273"/>
      <c r="I4333" s="274"/>
      <c r="J4333" s="274"/>
      <c r="K4333" s="274"/>
      <c r="L4333" s="274"/>
      <c r="M4333" s="274"/>
      <c r="N4333" s="274"/>
      <c r="P4333" s="275"/>
    </row>
    <row r="4334" ht="15.75" customHeight="1">
      <c r="B4334" s="282"/>
      <c r="H4334" s="273"/>
      <c r="I4334" s="274"/>
      <c r="J4334" s="274"/>
      <c r="K4334" s="274"/>
      <c r="L4334" s="274"/>
      <c r="M4334" s="274"/>
      <c r="N4334" s="274"/>
      <c r="P4334" s="275"/>
    </row>
    <row r="4335" ht="15.75" customHeight="1">
      <c r="B4335" s="282"/>
      <c r="H4335" s="273"/>
      <c r="I4335" s="274"/>
      <c r="J4335" s="274"/>
      <c r="K4335" s="274"/>
      <c r="L4335" s="274"/>
      <c r="M4335" s="274"/>
      <c r="N4335" s="274"/>
      <c r="P4335" s="275"/>
    </row>
    <row r="4336" ht="15.75" customHeight="1">
      <c r="B4336" s="282"/>
      <c r="H4336" s="273"/>
      <c r="I4336" s="274"/>
      <c r="J4336" s="274"/>
      <c r="K4336" s="274"/>
      <c r="L4336" s="274"/>
      <c r="M4336" s="274"/>
      <c r="N4336" s="274"/>
      <c r="P4336" s="275"/>
    </row>
    <row r="4337" ht="15.75" customHeight="1">
      <c r="B4337" s="282"/>
      <c r="H4337" s="273"/>
      <c r="I4337" s="274"/>
      <c r="J4337" s="274"/>
      <c r="K4337" s="274"/>
      <c r="L4337" s="274"/>
      <c r="M4337" s="274"/>
      <c r="N4337" s="274"/>
      <c r="P4337" s="275"/>
    </row>
    <row r="4338" ht="15.75" customHeight="1">
      <c r="B4338" s="282"/>
      <c r="H4338" s="273"/>
      <c r="I4338" s="274"/>
      <c r="J4338" s="274"/>
      <c r="K4338" s="274"/>
      <c r="L4338" s="274"/>
      <c r="M4338" s="274"/>
      <c r="N4338" s="274"/>
      <c r="P4338" s="275"/>
    </row>
    <row r="4339" ht="15.75" customHeight="1">
      <c r="B4339" s="282"/>
      <c r="H4339" s="273"/>
      <c r="I4339" s="274"/>
      <c r="J4339" s="274"/>
      <c r="K4339" s="274"/>
      <c r="L4339" s="274"/>
      <c r="M4339" s="274"/>
      <c r="N4339" s="274"/>
      <c r="P4339" s="275"/>
    </row>
    <row r="4340" ht="15.75" customHeight="1">
      <c r="B4340" s="282"/>
      <c r="H4340" s="273"/>
      <c r="I4340" s="274"/>
      <c r="J4340" s="274"/>
      <c r="K4340" s="274"/>
      <c r="L4340" s="274"/>
      <c r="M4340" s="274"/>
      <c r="N4340" s="274"/>
      <c r="P4340" s="275"/>
    </row>
    <row r="4341" ht="15.75" customHeight="1">
      <c r="B4341" s="282"/>
      <c r="H4341" s="273"/>
      <c r="I4341" s="274"/>
      <c r="J4341" s="274"/>
      <c r="K4341" s="274"/>
      <c r="L4341" s="274"/>
      <c r="M4341" s="274"/>
      <c r="N4341" s="274"/>
      <c r="P4341" s="275"/>
    </row>
    <row r="4342" ht="15.75" customHeight="1">
      <c r="B4342" s="282"/>
      <c r="H4342" s="273"/>
      <c r="I4342" s="274"/>
      <c r="J4342" s="274"/>
      <c r="K4342" s="274"/>
      <c r="L4342" s="274"/>
      <c r="M4342" s="274"/>
      <c r="N4342" s="274"/>
      <c r="P4342" s="275"/>
    </row>
    <row r="4343" ht="15.75" customHeight="1">
      <c r="B4343" s="282"/>
      <c r="H4343" s="273"/>
      <c r="I4343" s="274"/>
      <c r="J4343" s="274"/>
      <c r="K4343" s="274"/>
      <c r="L4343" s="274"/>
      <c r="M4343" s="274"/>
      <c r="N4343" s="274"/>
      <c r="P4343" s="275"/>
    </row>
    <row r="4344" ht="15.75" customHeight="1">
      <c r="B4344" s="282"/>
      <c r="H4344" s="273"/>
      <c r="I4344" s="274"/>
      <c r="J4344" s="274"/>
      <c r="K4344" s="274"/>
      <c r="L4344" s="274"/>
      <c r="M4344" s="274"/>
      <c r="N4344" s="274"/>
      <c r="P4344" s="275"/>
    </row>
    <row r="4345" ht="15.75" customHeight="1">
      <c r="B4345" s="282"/>
      <c r="H4345" s="273"/>
      <c r="I4345" s="274"/>
      <c r="J4345" s="274"/>
      <c r="K4345" s="274"/>
      <c r="L4345" s="274"/>
      <c r="M4345" s="274"/>
      <c r="N4345" s="274"/>
      <c r="P4345" s="275"/>
    </row>
    <row r="4346" ht="15.75" customHeight="1">
      <c r="B4346" s="282"/>
      <c r="H4346" s="273"/>
      <c r="I4346" s="274"/>
      <c r="J4346" s="274"/>
      <c r="K4346" s="274"/>
      <c r="L4346" s="274"/>
      <c r="M4346" s="274"/>
      <c r="N4346" s="274"/>
      <c r="P4346" s="275"/>
    </row>
    <row r="4347" ht="15.75" customHeight="1">
      <c r="B4347" s="282"/>
      <c r="H4347" s="273"/>
      <c r="I4347" s="274"/>
      <c r="J4347" s="274"/>
      <c r="K4347" s="274"/>
      <c r="L4347" s="274"/>
      <c r="M4347" s="274"/>
      <c r="N4347" s="274"/>
      <c r="P4347" s="275"/>
    </row>
    <row r="4348" ht="15.75" customHeight="1">
      <c r="B4348" s="282"/>
      <c r="H4348" s="273"/>
      <c r="I4348" s="274"/>
      <c r="J4348" s="274"/>
      <c r="K4348" s="274"/>
      <c r="L4348" s="274"/>
      <c r="M4348" s="274"/>
      <c r="N4348" s="274"/>
      <c r="P4348" s="275"/>
    </row>
    <row r="4349" ht="15.75" customHeight="1">
      <c r="B4349" s="282"/>
      <c r="H4349" s="273"/>
      <c r="I4349" s="274"/>
      <c r="J4349" s="274"/>
      <c r="K4349" s="274"/>
      <c r="L4349" s="274"/>
      <c r="M4349" s="274"/>
      <c r="N4349" s="274"/>
      <c r="P4349" s="275"/>
    </row>
    <row r="4350" ht="15.75" customHeight="1">
      <c r="B4350" s="282"/>
      <c r="H4350" s="273"/>
      <c r="I4350" s="274"/>
      <c r="J4350" s="274"/>
      <c r="K4350" s="274"/>
      <c r="L4350" s="274"/>
      <c r="M4350" s="274"/>
      <c r="N4350" s="274"/>
      <c r="P4350" s="275"/>
    </row>
    <row r="4351" ht="15.75" customHeight="1">
      <c r="B4351" s="282"/>
      <c r="H4351" s="273"/>
      <c r="I4351" s="274"/>
      <c r="J4351" s="274"/>
      <c r="K4351" s="274"/>
      <c r="L4351" s="274"/>
      <c r="M4351" s="274"/>
      <c r="N4351" s="274"/>
      <c r="P4351" s="275"/>
    </row>
    <row r="4352" ht="15.75" customHeight="1">
      <c r="B4352" s="282"/>
      <c r="H4352" s="273"/>
      <c r="I4352" s="274"/>
      <c r="J4352" s="274"/>
      <c r="K4352" s="274"/>
      <c r="L4352" s="274"/>
      <c r="M4352" s="274"/>
      <c r="N4352" s="274"/>
      <c r="P4352" s="275"/>
    </row>
    <row r="4353" ht="15.75" customHeight="1">
      <c r="B4353" s="282"/>
      <c r="H4353" s="273"/>
      <c r="I4353" s="274"/>
      <c r="J4353" s="274"/>
      <c r="K4353" s="274"/>
      <c r="L4353" s="274"/>
      <c r="M4353" s="274"/>
      <c r="N4353" s="274"/>
      <c r="P4353" s="275"/>
    </row>
    <row r="4354" ht="15.75" customHeight="1">
      <c r="B4354" s="282"/>
      <c r="H4354" s="273"/>
      <c r="I4354" s="274"/>
      <c r="J4354" s="274"/>
      <c r="K4354" s="274"/>
      <c r="L4354" s="274"/>
      <c r="M4354" s="274"/>
      <c r="N4354" s="274"/>
      <c r="P4354" s="275"/>
    </row>
    <row r="4355" ht="15.75" customHeight="1">
      <c r="B4355" s="282"/>
      <c r="H4355" s="273"/>
      <c r="I4355" s="274"/>
      <c r="J4355" s="274"/>
      <c r="K4355" s="274"/>
      <c r="L4355" s="274"/>
      <c r="M4355" s="274"/>
      <c r="N4355" s="274"/>
      <c r="P4355" s="275"/>
    </row>
    <row r="4356" ht="15.75" customHeight="1">
      <c r="B4356" s="282"/>
      <c r="H4356" s="273"/>
      <c r="I4356" s="274"/>
      <c r="J4356" s="274"/>
      <c r="K4356" s="274"/>
      <c r="L4356" s="274"/>
      <c r="M4356" s="274"/>
      <c r="N4356" s="274"/>
      <c r="P4356" s="275"/>
    </row>
    <row r="4357" ht="15.75" customHeight="1">
      <c r="B4357" s="282"/>
      <c r="H4357" s="273"/>
      <c r="I4357" s="274"/>
      <c r="J4357" s="274"/>
      <c r="K4357" s="274"/>
      <c r="L4357" s="274"/>
      <c r="M4357" s="274"/>
      <c r="N4357" s="274"/>
      <c r="P4357" s="275"/>
    </row>
    <row r="4358" ht="15.75" customHeight="1">
      <c r="B4358" s="282"/>
      <c r="H4358" s="273"/>
      <c r="I4358" s="274"/>
      <c r="J4358" s="274"/>
      <c r="K4358" s="274"/>
      <c r="L4358" s="274"/>
      <c r="M4358" s="274"/>
      <c r="N4358" s="274"/>
      <c r="P4358" s="275"/>
    </row>
    <row r="4359" ht="15.75" customHeight="1">
      <c r="B4359" s="282"/>
      <c r="H4359" s="273"/>
      <c r="I4359" s="274"/>
      <c r="J4359" s="274"/>
      <c r="K4359" s="274"/>
      <c r="L4359" s="274"/>
      <c r="M4359" s="274"/>
      <c r="N4359" s="274"/>
      <c r="P4359" s="275"/>
    </row>
    <row r="4360" ht="15.75" customHeight="1">
      <c r="B4360" s="282"/>
      <c r="H4360" s="273"/>
      <c r="I4360" s="274"/>
      <c r="J4360" s="274"/>
      <c r="K4360" s="274"/>
      <c r="L4360" s="274"/>
      <c r="M4360" s="274"/>
      <c r="N4360" s="274"/>
      <c r="P4360" s="275"/>
    </row>
    <row r="4361" ht="15.75" customHeight="1">
      <c r="B4361" s="282"/>
      <c r="H4361" s="273"/>
      <c r="I4361" s="274"/>
      <c r="J4361" s="274"/>
      <c r="K4361" s="274"/>
      <c r="L4361" s="274"/>
      <c r="M4361" s="274"/>
      <c r="N4361" s="274"/>
      <c r="P4361" s="275"/>
    </row>
    <row r="4362" ht="15.75" customHeight="1">
      <c r="B4362" s="282"/>
      <c r="H4362" s="273"/>
      <c r="I4362" s="274"/>
      <c r="J4362" s="274"/>
      <c r="K4362" s="274"/>
      <c r="L4362" s="274"/>
      <c r="M4362" s="274"/>
      <c r="N4362" s="274"/>
      <c r="P4362" s="275"/>
    </row>
    <row r="4363" ht="15.75" customHeight="1">
      <c r="B4363" s="282"/>
      <c r="H4363" s="273"/>
      <c r="I4363" s="274"/>
      <c r="J4363" s="274"/>
      <c r="K4363" s="274"/>
      <c r="L4363" s="274"/>
      <c r="M4363" s="274"/>
      <c r="N4363" s="274"/>
      <c r="P4363" s="275"/>
    </row>
    <row r="4364" ht="15.75" customHeight="1">
      <c r="B4364" s="282"/>
      <c r="H4364" s="273"/>
      <c r="I4364" s="274"/>
      <c r="J4364" s="274"/>
      <c r="K4364" s="274"/>
      <c r="L4364" s="274"/>
      <c r="M4364" s="274"/>
      <c r="N4364" s="274"/>
      <c r="P4364" s="275"/>
    </row>
    <row r="4365" ht="15.75" customHeight="1">
      <c r="B4365" s="282"/>
      <c r="H4365" s="273"/>
      <c r="I4365" s="274"/>
      <c r="J4365" s="274"/>
      <c r="K4365" s="274"/>
      <c r="L4365" s="274"/>
      <c r="M4365" s="274"/>
      <c r="N4365" s="274"/>
      <c r="P4365" s="275"/>
    </row>
    <row r="4366" ht="15.75" customHeight="1">
      <c r="B4366" s="282"/>
      <c r="H4366" s="273"/>
      <c r="I4366" s="274"/>
      <c r="J4366" s="274"/>
      <c r="K4366" s="274"/>
      <c r="L4366" s="274"/>
      <c r="M4366" s="274"/>
      <c r="N4366" s="274"/>
      <c r="P4366" s="275"/>
    </row>
    <row r="4367" ht="15.75" customHeight="1">
      <c r="B4367" s="282"/>
      <c r="H4367" s="273"/>
      <c r="I4367" s="274"/>
      <c r="J4367" s="274"/>
      <c r="K4367" s="274"/>
      <c r="L4367" s="274"/>
      <c r="M4367" s="274"/>
      <c r="N4367" s="274"/>
      <c r="P4367" s="275"/>
    </row>
    <row r="4368" ht="15.75" customHeight="1">
      <c r="B4368" s="282"/>
      <c r="H4368" s="273"/>
      <c r="I4368" s="274"/>
      <c r="J4368" s="274"/>
      <c r="K4368" s="274"/>
      <c r="L4368" s="274"/>
      <c r="M4368" s="274"/>
      <c r="N4368" s="274"/>
      <c r="P4368" s="275"/>
    </row>
    <row r="4369" ht="15.75" customHeight="1">
      <c r="B4369" s="282"/>
      <c r="H4369" s="273"/>
      <c r="I4369" s="274"/>
      <c r="J4369" s="274"/>
      <c r="K4369" s="274"/>
      <c r="L4369" s="274"/>
      <c r="M4369" s="274"/>
      <c r="N4369" s="274"/>
      <c r="P4369" s="275"/>
    </row>
    <row r="4370" ht="15.75" customHeight="1">
      <c r="B4370" s="282"/>
      <c r="H4370" s="273"/>
      <c r="I4370" s="274"/>
      <c r="J4370" s="274"/>
      <c r="K4370" s="274"/>
      <c r="L4370" s="274"/>
      <c r="M4370" s="274"/>
      <c r="N4370" s="274"/>
      <c r="P4370" s="275"/>
    </row>
    <row r="4371" ht="15.75" customHeight="1">
      <c r="B4371" s="282"/>
      <c r="H4371" s="273"/>
      <c r="I4371" s="274"/>
      <c r="J4371" s="274"/>
      <c r="K4371" s="274"/>
      <c r="L4371" s="274"/>
      <c r="M4371" s="274"/>
      <c r="N4371" s="274"/>
      <c r="P4371" s="275"/>
    </row>
    <row r="4372" ht="15.75" customHeight="1">
      <c r="B4372" s="282"/>
      <c r="H4372" s="273"/>
      <c r="I4372" s="274"/>
      <c r="J4372" s="274"/>
      <c r="K4372" s="274"/>
      <c r="L4372" s="274"/>
      <c r="M4372" s="274"/>
      <c r="N4372" s="274"/>
      <c r="P4372" s="275"/>
    </row>
    <row r="4373" ht="15.75" customHeight="1">
      <c r="B4373" s="282"/>
      <c r="H4373" s="273"/>
      <c r="I4373" s="274"/>
      <c r="J4373" s="274"/>
      <c r="K4373" s="274"/>
      <c r="L4373" s="274"/>
      <c r="M4373" s="274"/>
      <c r="N4373" s="274"/>
      <c r="P4373" s="275"/>
    </row>
    <row r="4374" ht="15.75" customHeight="1">
      <c r="B4374" s="282"/>
      <c r="H4374" s="273"/>
      <c r="I4374" s="274"/>
      <c r="J4374" s="274"/>
      <c r="K4374" s="274"/>
      <c r="L4374" s="274"/>
      <c r="M4374" s="274"/>
      <c r="N4374" s="274"/>
      <c r="P4374" s="275"/>
    </row>
    <row r="4375" ht="15.75" customHeight="1">
      <c r="B4375" s="282"/>
      <c r="H4375" s="273"/>
      <c r="I4375" s="274"/>
      <c r="J4375" s="274"/>
      <c r="K4375" s="274"/>
      <c r="L4375" s="274"/>
      <c r="M4375" s="274"/>
      <c r="N4375" s="274"/>
      <c r="P4375" s="275"/>
    </row>
    <row r="4376" ht="15.75" customHeight="1">
      <c r="B4376" s="282"/>
      <c r="H4376" s="273"/>
      <c r="I4376" s="274"/>
      <c r="J4376" s="274"/>
      <c r="K4376" s="274"/>
      <c r="L4376" s="274"/>
      <c r="M4376" s="274"/>
      <c r="N4376" s="274"/>
      <c r="P4376" s="275"/>
    </row>
    <row r="4377" ht="15.75" customHeight="1">
      <c r="B4377" s="282"/>
      <c r="H4377" s="273"/>
      <c r="I4377" s="274"/>
      <c r="J4377" s="274"/>
      <c r="K4377" s="274"/>
      <c r="L4377" s="274"/>
      <c r="M4377" s="274"/>
      <c r="N4377" s="274"/>
      <c r="P4377" s="275"/>
    </row>
    <row r="4378" ht="15.75" customHeight="1">
      <c r="B4378" s="282"/>
      <c r="H4378" s="273"/>
      <c r="I4378" s="274"/>
      <c r="J4378" s="274"/>
      <c r="K4378" s="274"/>
      <c r="L4378" s="274"/>
      <c r="M4378" s="274"/>
      <c r="N4378" s="274"/>
      <c r="P4378" s="275"/>
    </row>
    <row r="4379" ht="15.75" customHeight="1">
      <c r="B4379" s="282"/>
      <c r="H4379" s="273"/>
      <c r="I4379" s="274"/>
      <c r="J4379" s="274"/>
      <c r="K4379" s="274"/>
      <c r="L4379" s="274"/>
      <c r="M4379" s="274"/>
      <c r="N4379" s="274"/>
      <c r="P4379" s="275"/>
    </row>
    <row r="4380" ht="15.75" customHeight="1">
      <c r="B4380" s="282"/>
      <c r="H4380" s="273"/>
      <c r="I4380" s="274"/>
      <c r="J4380" s="274"/>
      <c r="K4380" s="274"/>
      <c r="L4380" s="274"/>
      <c r="M4380" s="274"/>
      <c r="N4380" s="274"/>
      <c r="P4380" s="275"/>
    </row>
    <row r="4381" ht="15.75" customHeight="1">
      <c r="B4381" s="282"/>
      <c r="H4381" s="273"/>
      <c r="I4381" s="274"/>
      <c r="J4381" s="274"/>
      <c r="K4381" s="274"/>
      <c r="L4381" s="274"/>
      <c r="M4381" s="274"/>
      <c r="N4381" s="274"/>
      <c r="P4381" s="275"/>
    </row>
    <row r="4382" ht="15.75" customHeight="1">
      <c r="B4382" s="282"/>
      <c r="H4382" s="273"/>
      <c r="I4382" s="274"/>
      <c r="J4382" s="274"/>
      <c r="K4382" s="274"/>
      <c r="L4382" s="274"/>
      <c r="M4382" s="274"/>
      <c r="N4382" s="274"/>
      <c r="P4382" s="275"/>
    </row>
    <row r="4383" ht="15.75" customHeight="1">
      <c r="B4383" s="282"/>
      <c r="H4383" s="273"/>
      <c r="I4383" s="274"/>
      <c r="J4383" s="274"/>
      <c r="K4383" s="274"/>
      <c r="L4383" s="274"/>
      <c r="M4383" s="274"/>
      <c r="N4383" s="274"/>
      <c r="P4383" s="275"/>
    </row>
    <row r="4384" ht="15.75" customHeight="1">
      <c r="B4384" s="282"/>
      <c r="H4384" s="273"/>
      <c r="I4384" s="274"/>
      <c r="J4384" s="274"/>
      <c r="K4384" s="274"/>
      <c r="L4384" s="274"/>
      <c r="M4384" s="274"/>
      <c r="N4384" s="274"/>
      <c r="P4384" s="275"/>
    </row>
    <row r="4385" ht="15.75" customHeight="1">
      <c r="B4385" s="282"/>
      <c r="H4385" s="273"/>
      <c r="I4385" s="274"/>
      <c r="J4385" s="274"/>
      <c r="K4385" s="274"/>
      <c r="L4385" s="274"/>
      <c r="M4385" s="274"/>
      <c r="N4385" s="274"/>
      <c r="P4385" s="275"/>
    </row>
    <row r="4386" ht="15.75" customHeight="1">
      <c r="B4386" s="282"/>
      <c r="H4386" s="273"/>
      <c r="I4386" s="274"/>
      <c r="J4386" s="274"/>
      <c r="K4386" s="274"/>
      <c r="L4386" s="274"/>
      <c r="M4386" s="274"/>
      <c r="N4386" s="274"/>
      <c r="P4386" s="275"/>
    </row>
    <row r="4387" ht="15.75" customHeight="1">
      <c r="B4387" s="282"/>
      <c r="H4387" s="273"/>
      <c r="I4387" s="274"/>
      <c r="J4387" s="274"/>
      <c r="K4387" s="274"/>
      <c r="L4387" s="274"/>
      <c r="M4387" s="274"/>
      <c r="N4387" s="274"/>
      <c r="P4387" s="275"/>
    </row>
    <row r="4388" ht="15.75" customHeight="1">
      <c r="B4388" s="282"/>
      <c r="H4388" s="273"/>
      <c r="I4388" s="274"/>
      <c r="J4388" s="274"/>
      <c r="K4388" s="274"/>
      <c r="L4388" s="274"/>
      <c r="M4388" s="274"/>
      <c r="N4388" s="274"/>
      <c r="P4388" s="275"/>
    </row>
    <row r="4389" ht="15.75" customHeight="1">
      <c r="B4389" s="282"/>
      <c r="H4389" s="273"/>
      <c r="I4389" s="274"/>
      <c r="J4389" s="274"/>
      <c r="K4389" s="274"/>
      <c r="L4389" s="274"/>
      <c r="M4389" s="274"/>
      <c r="N4389" s="274"/>
      <c r="P4389" s="275"/>
    </row>
    <row r="4390" ht="15.75" customHeight="1">
      <c r="B4390" s="282"/>
      <c r="H4390" s="273"/>
      <c r="I4390" s="274"/>
      <c r="J4390" s="274"/>
      <c r="K4390" s="274"/>
      <c r="L4390" s="274"/>
      <c r="M4390" s="274"/>
      <c r="N4390" s="274"/>
      <c r="P4390" s="275"/>
    </row>
    <row r="4391" ht="15.75" customHeight="1">
      <c r="B4391" s="282"/>
      <c r="H4391" s="273"/>
      <c r="I4391" s="274"/>
      <c r="J4391" s="274"/>
      <c r="K4391" s="274"/>
      <c r="L4391" s="274"/>
      <c r="M4391" s="274"/>
      <c r="N4391" s="274"/>
      <c r="P4391" s="275"/>
    </row>
    <row r="4392" ht="15.75" customHeight="1">
      <c r="B4392" s="282"/>
      <c r="H4392" s="273"/>
      <c r="I4392" s="274"/>
      <c r="J4392" s="274"/>
      <c r="K4392" s="274"/>
      <c r="L4392" s="274"/>
      <c r="M4392" s="274"/>
      <c r="N4392" s="274"/>
      <c r="P4392" s="275"/>
    </row>
    <row r="4393" ht="15.75" customHeight="1">
      <c r="B4393" s="282"/>
      <c r="H4393" s="273"/>
      <c r="I4393" s="274"/>
      <c r="J4393" s="274"/>
      <c r="K4393" s="274"/>
      <c r="L4393" s="274"/>
      <c r="M4393" s="274"/>
      <c r="N4393" s="274"/>
      <c r="P4393" s="275"/>
    </row>
    <row r="4394" ht="15.75" customHeight="1">
      <c r="B4394" s="282"/>
      <c r="H4394" s="273"/>
      <c r="I4394" s="274"/>
      <c r="J4394" s="274"/>
      <c r="K4394" s="274"/>
      <c r="L4394" s="274"/>
      <c r="M4394" s="274"/>
      <c r="N4394" s="274"/>
      <c r="P4394" s="275"/>
    </row>
    <row r="4395" ht="15.75" customHeight="1">
      <c r="B4395" s="282"/>
      <c r="H4395" s="273"/>
      <c r="I4395" s="274"/>
      <c r="J4395" s="274"/>
      <c r="K4395" s="274"/>
      <c r="L4395" s="274"/>
      <c r="M4395" s="274"/>
      <c r="N4395" s="274"/>
      <c r="P4395" s="275"/>
    </row>
    <row r="4396" ht="15.75" customHeight="1">
      <c r="B4396" s="282"/>
      <c r="H4396" s="273"/>
      <c r="I4396" s="274"/>
      <c r="J4396" s="274"/>
      <c r="K4396" s="274"/>
      <c r="L4396" s="274"/>
      <c r="M4396" s="274"/>
      <c r="N4396" s="274"/>
      <c r="P4396" s="275"/>
    </row>
    <row r="4397" ht="15.75" customHeight="1">
      <c r="B4397" s="282"/>
      <c r="H4397" s="273"/>
      <c r="I4397" s="274"/>
      <c r="J4397" s="274"/>
      <c r="K4397" s="274"/>
      <c r="L4397" s="274"/>
      <c r="M4397" s="274"/>
      <c r="N4397" s="274"/>
      <c r="P4397" s="275"/>
    </row>
    <row r="4398" ht="15.75" customHeight="1">
      <c r="B4398" s="282"/>
      <c r="H4398" s="273"/>
      <c r="I4398" s="274"/>
      <c r="J4398" s="274"/>
      <c r="K4398" s="274"/>
      <c r="L4398" s="274"/>
      <c r="M4398" s="274"/>
      <c r="N4398" s="274"/>
      <c r="P4398" s="275"/>
    </row>
    <row r="4399" ht="15.75" customHeight="1">
      <c r="B4399" s="282"/>
      <c r="H4399" s="273"/>
      <c r="I4399" s="274"/>
      <c r="J4399" s="274"/>
      <c r="K4399" s="274"/>
      <c r="L4399" s="274"/>
      <c r="M4399" s="274"/>
      <c r="N4399" s="274"/>
      <c r="P4399" s="275"/>
    </row>
    <row r="4400" ht="15.75" customHeight="1">
      <c r="B4400" s="282"/>
      <c r="H4400" s="273"/>
      <c r="I4400" s="274"/>
      <c r="J4400" s="274"/>
      <c r="K4400" s="274"/>
      <c r="L4400" s="274"/>
      <c r="M4400" s="274"/>
      <c r="N4400" s="274"/>
      <c r="P4400" s="275"/>
    </row>
    <row r="4401" ht="15.75" customHeight="1">
      <c r="B4401" s="282"/>
      <c r="H4401" s="273"/>
      <c r="I4401" s="274"/>
      <c r="J4401" s="274"/>
      <c r="K4401" s="274"/>
      <c r="L4401" s="274"/>
      <c r="M4401" s="274"/>
      <c r="N4401" s="274"/>
      <c r="P4401" s="275"/>
    </row>
    <row r="4402" ht="15.75" customHeight="1">
      <c r="B4402" s="282"/>
      <c r="H4402" s="273"/>
      <c r="I4402" s="274"/>
      <c r="J4402" s="274"/>
      <c r="K4402" s="274"/>
      <c r="L4402" s="274"/>
      <c r="M4402" s="274"/>
      <c r="N4402" s="274"/>
      <c r="P4402" s="275"/>
    </row>
    <row r="4403" ht="15.75" customHeight="1">
      <c r="B4403" s="282"/>
      <c r="H4403" s="273"/>
      <c r="I4403" s="274"/>
      <c r="J4403" s="274"/>
      <c r="K4403" s="274"/>
      <c r="L4403" s="274"/>
      <c r="M4403" s="274"/>
      <c r="N4403" s="274"/>
      <c r="P4403" s="275"/>
    </row>
    <row r="4404" ht="15.75" customHeight="1">
      <c r="B4404" s="282"/>
      <c r="H4404" s="273"/>
      <c r="I4404" s="274"/>
      <c r="J4404" s="274"/>
      <c r="K4404" s="274"/>
      <c r="L4404" s="274"/>
      <c r="M4404" s="274"/>
      <c r="N4404" s="274"/>
      <c r="P4404" s="275"/>
    </row>
    <row r="4405" ht="15.75" customHeight="1">
      <c r="B4405" s="282"/>
      <c r="H4405" s="273"/>
      <c r="I4405" s="274"/>
      <c r="J4405" s="274"/>
      <c r="K4405" s="274"/>
      <c r="L4405" s="274"/>
      <c r="M4405" s="274"/>
      <c r="N4405" s="274"/>
      <c r="P4405" s="275"/>
    </row>
    <row r="4406" ht="15.75" customHeight="1">
      <c r="B4406" s="282"/>
      <c r="H4406" s="273"/>
      <c r="I4406" s="274"/>
      <c r="J4406" s="274"/>
      <c r="K4406" s="274"/>
      <c r="L4406" s="274"/>
      <c r="M4406" s="274"/>
      <c r="N4406" s="274"/>
      <c r="P4406" s="275"/>
    </row>
    <row r="4407" ht="15.75" customHeight="1">
      <c r="B4407" s="282"/>
      <c r="H4407" s="273"/>
      <c r="I4407" s="274"/>
      <c r="J4407" s="274"/>
      <c r="K4407" s="274"/>
      <c r="L4407" s="274"/>
      <c r="M4407" s="274"/>
      <c r="N4407" s="274"/>
      <c r="P4407" s="275"/>
    </row>
    <row r="4408" ht="15.75" customHeight="1">
      <c r="B4408" s="282"/>
      <c r="H4408" s="273"/>
      <c r="I4408" s="274"/>
      <c r="J4408" s="274"/>
      <c r="K4408" s="274"/>
      <c r="L4408" s="274"/>
      <c r="M4408" s="274"/>
      <c r="N4408" s="274"/>
      <c r="P4408" s="275"/>
    </row>
    <row r="4409" ht="15.75" customHeight="1">
      <c r="B4409" s="282"/>
      <c r="H4409" s="273"/>
      <c r="I4409" s="274"/>
      <c r="J4409" s="274"/>
      <c r="K4409" s="274"/>
      <c r="L4409" s="274"/>
      <c r="M4409" s="274"/>
      <c r="N4409" s="274"/>
      <c r="P4409" s="275"/>
    </row>
    <row r="4410" ht="15.75" customHeight="1">
      <c r="B4410" s="282"/>
      <c r="H4410" s="273"/>
      <c r="I4410" s="274"/>
      <c r="J4410" s="274"/>
      <c r="K4410" s="274"/>
      <c r="L4410" s="274"/>
      <c r="M4410" s="274"/>
      <c r="N4410" s="274"/>
      <c r="P4410" s="275"/>
    </row>
    <row r="4411" ht="15.75" customHeight="1">
      <c r="B4411" s="282"/>
      <c r="H4411" s="273"/>
      <c r="I4411" s="274"/>
      <c r="J4411" s="274"/>
      <c r="K4411" s="274"/>
      <c r="L4411" s="274"/>
      <c r="M4411" s="274"/>
      <c r="N4411" s="274"/>
      <c r="P4411" s="275"/>
    </row>
    <row r="4412" ht="15.75" customHeight="1">
      <c r="B4412" s="282"/>
      <c r="H4412" s="273"/>
      <c r="I4412" s="274"/>
      <c r="J4412" s="274"/>
      <c r="K4412" s="274"/>
      <c r="L4412" s="274"/>
      <c r="M4412" s="274"/>
      <c r="N4412" s="274"/>
      <c r="P4412" s="275"/>
    </row>
    <row r="4413" ht="15.75" customHeight="1">
      <c r="B4413" s="282"/>
      <c r="H4413" s="273"/>
      <c r="I4413" s="274"/>
      <c r="J4413" s="274"/>
      <c r="K4413" s="274"/>
      <c r="L4413" s="274"/>
      <c r="M4413" s="274"/>
      <c r="N4413" s="274"/>
      <c r="P4413" s="275"/>
    </row>
    <row r="4414" ht="15.75" customHeight="1">
      <c r="B4414" s="282"/>
      <c r="H4414" s="273"/>
      <c r="I4414" s="274"/>
      <c r="J4414" s="274"/>
      <c r="K4414" s="274"/>
      <c r="L4414" s="274"/>
      <c r="M4414" s="274"/>
      <c r="N4414" s="274"/>
      <c r="P4414" s="275"/>
    </row>
    <row r="4415" ht="15.75" customHeight="1">
      <c r="B4415" s="282"/>
      <c r="H4415" s="273"/>
      <c r="I4415" s="274"/>
      <c r="J4415" s="274"/>
      <c r="K4415" s="274"/>
      <c r="L4415" s="274"/>
      <c r="M4415" s="274"/>
      <c r="N4415" s="274"/>
      <c r="P4415" s="275"/>
    </row>
    <row r="4416" ht="15.75" customHeight="1">
      <c r="B4416" s="282"/>
      <c r="H4416" s="273"/>
      <c r="I4416" s="274"/>
      <c r="J4416" s="274"/>
      <c r="K4416" s="274"/>
      <c r="L4416" s="274"/>
      <c r="M4416" s="274"/>
      <c r="N4416" s="274"/>
      <c r="P4416" s="275"/>
    </row>
    <row r="4417" ht="15.75" customHeight="1">
      <c r="B4417" s="282"/>
      <c r="H4417" s="273"/>
      <c r="I4417" s="274"/>
      <c r="J4417" s="274"/>
      <c r="K4417" s="274"/>
      <c r="L4417" s="274"/>
      <c r="M4417" s="274"/>
      <c r="N4417" s="274"/>
      <c r="P4417" s="275"/>
    </row>
    <row r="4418" ht="15.75" customHeight="1">
      <c r="B4418" s="282"/>
      <c r="H4418" s="273"/>
      <c r="I4418" s="274"/>
      <c r="J4418" s="274"/>
      <c r="K4418" s="274"/>
      <c r="L4418" s="274"/>
      <c r="M4418" s="274"/>
      <c r="N4418" s="274"/>
      <c r="P4418" s="275"/>
    </row>
    <row r="4419" ht="15.75" customHeight="1">
      <c r="B4419" s="282"/>
      <c r="H4419" s="273"/>
      <c r="I4419" s="274"/>
      <c r="J4419" s="274"/>
      <c r="K4419" s="274"/>
      <c r="L4419" s="274"/>
      <c r="M4419" s="274"/>
      <c r="N4419" s="274"/>
      <c r="P4419" s="275"/>
    </row>
    <row r="4420" ht="15.75" customHeight="1">
      <c r="B4420" s="282"/>
      <c r="H4420" s="273"/>
      <c r="I4420" s="274"/>
      <c r="J4420" s="274"/>
      <c r="K4420" s="274"/>
      <c r="L4420" s="274"/>
      <c r="M4420" s="274"/>
      <c r="N4420" s="274"/>
      <c r="P4420" s="275"/>
    </row>
    <row r="4421" ht="15.75" customHeight="1">
      <c r="B4421" s="282"/>
      <c r="H4421" s="273"/>
      <c r="I4421" s="274"/>
      <c r="J4421" s="274"/>
      <c r="K4421" s="274"/>
      <c r="L4421" s="274"/>
      <c r="M4421" s="274"/>
      <c r="N4421" s="274"/>
      <c r="P4421" s="275"/>
    </row>
    <row r="4422" ht="15.75" customHeight="1">
      <c r="B4422" s="282"/>
      <c r="H4422" s="273"/>
      <c r="I4422" s="274"/>
      <c r="J4422" s="274"/>
      <c r="K4422" s="274"/>
      <c r="L4422" s="274"/>
      <c r="M4422" s="274"/>
      <c r="N4422" s="274"/>
      <c r="P4422" s="275"/>
    </row>
    <row r="4423" ht="15.75" customHeight="1">
      <c r="B4423" s="282"/>
      <c r="H4423" s="273"/>
      <c r="I4423" s="274"/>
      <c r="J4423" s="274"/>
      <c r="K4423" s="274"/>
      <c r="L4423" s="274"/>
      <c r="M4423" s="274"/>
      <c r="N4423" s="274"/>
      <c r="P4423" s="275"/>
    </row>
    <row r="4424" ht="15.75" customHeight="1">
      <c r="B4424" s="282"/>
      <c r="H4424" s="273"/>
      <c r="I4424" s="274"/>
      <c r="J4424" s="274"/>
      <c r="K4424" s="274"/>
      <c r="L4424" s="274"/>
      <c r="M4424" s="274"/>
      <c r="N4424" s="274"/>
      <c r="P4424" s="275"/>
    </row>
    <row r="4425" ht="15.75" customHeight="1">
      <c r="B4425" s="282"/>
      <c r="H4425" s="273"/>
      <c r="I4425" s="274"/>
      <c r="J4425" s="274"/>
      <c r="K4425" s="274"/>
      <c r="L4425" s="274"/>
      <c r="M4425" s="274"/>
      <c r="N4425" s="274"/>
      <c r="P4425" s="275"/>
    </row>
    <row r="4426" ht="15.75" customHeight="1">
      <c r="B4426" s="282"/>
      <c r="H4426" s="273"/>
      <c r="I4426" s="274"/>
      <c r="J4426" s="274"/>
      <c r="K4426" s="274"/>
      <c r="L4426" s="274"/>
      <c r="M4426" s="274"/>
      <c r="N4426" s="274"/>
      <c r="P4426" s="275"/>
    </row>
    <row r="4427" ht="15.75" customHeight="1">
      <c r="B4427" s="282"/>
      <c r="H4427" s="273"/>
      <c r="I4427" s="274"/>
      <c r="J4427" s="274"/>
      <c r="K4427" s="274"/>
      <c r="L4427" s="274"/>
      <c r="M4427" s="274"/>
      <c r="N4427" s="274"/>
      <c r="P4427" s="275"/>
    </row>
    <row r="4428" ht="15.75" customHeight="1">
      <c r="B4428" s="282"/>
      <c r="H4428" s="273"/>
      <c r="I4428" s="274"/>
      <c r="J4428" s="274"/>
      <c r="K4428" s="274"/>
      <c r="L4428" s="274"/>
      <c r="M4428" s="274"/>
      <c r="N4428" s="274"/>
      <c r="P4428" s="275"/>
    </row>
    <row r="4429" ht="15.75" customHeight="1">
      <c r="B4429" s="282"/>
      <c r="H4429" s="273"/>
      <c r="I4429" s="274"/>
      <c r="J4429" s="274"/>
      <c r="K4429" s="274"/>
      <c r="L4429" s="274"/>
      <c r="M4429" s="274"/>
      <c r="N4429" s="274"/>
      <c r="P4429" s="275"/>
    </row>
    <row r="4430" ht="15.75" customHeight="1">
      <c r="B4430" s="282"/>
      <c r="H4430" s="273"/>
      <c r="I4430" s="274"/>
      <c r="J4430" s="274"/>
      <c r="K4430" s="274"/>
      <c r="L4430" s="274"/>
      <c r="M4430" s="274"/>
      <c r="N4430" s="274"/>
      <c r="P4430" s="275"/>
    </row>
    <row r="4431" ht="15.75" customHeight="1">
      <c r="B4431" s="282"/>
      <c r="H4431" s="273"/>
      <c r="I4431" s="274"/>
      <c r="J4431" s="274"/>
      <c r="K4431" s="274"/>
      <c r="L4431" s="274"/>
      <c r="M4431" s="274"/>
      <c r="N4431" s="274"/>
      <c r="P4431" s="275"/>
    </row>
    <row r="4432" ht="15.75" customHeight="1">
      <c r="B4432" s="282"/>
      <c r="H4432" s="273"/>
      <c r="I4432" s="274"/>
      <c r="J4432" s="274"/>
      <c r="K4432" s="274"/>
      <c r="L4432" s="274"/>
      <c r="M4432" s="274"/>
      <c r="N4432" s="274"/>
      <c r="P4432" s="275"/>
    </row>
    <row r="4433" ht="15.75" customHeight="1">
      <c r="B4433" s="282"/>
      <c r="H4433" s="273"/>
      <c r="I4433" s="274"/>
      <c r="J4433" s="274"/>
      <c r="K4433" s="274"/>
      <c r="L4433" s="274"/>
      <c r="M4433" s="274"/>
      <c r="N4433" s="274"/>
      <c r="P4433" s="275"/>
    </row>
    <row r="4434" ht="15.75" customHeight="1">
      <c r="B4434" s="282"/>
      <c r="H4434" s="273"/>
      <c r="I4434" s="274"/>
      <c r="J4434" s="274"/>
      <c r="K4434" s="274"/>
      <c r="L4434" s="274"/>
      <c r="M4434" s="274"/>
      <c r="N4434" s="274"/>
      <c r="P4434" s="275"/>
    </row>
    <row r="4435" ht="15.75" customHeight="1">
      <c r="B4435" s="282"/>
      <c r="H4435" s="273"/>
      <c r="I4435" s="274"/>
      <c r="J4435" s="274"/>
      <c r="K4435" s="274"/>
      <c r="L4435" s="274"/>
      <c r="M4435" s="274"/>
      <c r="N4435" s="274"/>
      <c r="P4435" s="275"/>
    </row>
    <row r="4436" ht="15.75" customHeight="1">
      <c r="B4436" s="282"/>
      <c r="H4436" s="273"/>
      <c r="I4436" s="274"/>
      <c r="J4436" s="274"/>
      <c r="K4436" s="274"/>
      <c r="L4436" s="274"/>
      <c r="M4436" s="274"/>
      <c r="N4436" s="274"/>
      <c r="P4436" s="275"/>
    </row>
    <row r="4437" ht="15.75" customHeight="1">
      <c r="B4437" s="282"/>
      <c r="H4437" s="273"/>
      <c r="I4437" s="274"/>
      <c r="J4437" s="274"/>
      <c r="K4437" s="274"/>
      <c r="L4437" s="274"/>
      <c r="M4437" s="274"/>
      <c r="N4437" s="274"/>
      <c r="P4437" s="275"/>
    </row>
    <row r="4438" ht="15.75" customHeight="1">
      <c r="B4438" s="282"/>
      <c r="H4438" s="273"/>
      <c r="I4438" s="274"/>
      <c r="J4438" s="274"/>
      <c r="K4438" s="274"/>
      <c r="L4438" s="274"/>
      <c r="M4438" s="274"/>
      <c r="N4438" s="274"/>
      <c r="P4438" s="275"/>
    </row>
    <row r="4439" ht="15.75" customHeight="1">
      <c r="B4439" s="282"/>
      <c r="H4439" s="273"/>
      <c r="I4439" s="274"/>
      <c r="J4439" s="274"/>
      <c r="K4439" s="274"/>
      <c r="L4439" s="274"/>
      <c r="M4439" s="274"/>
      <c r="N4439" s="274"/>
      <c r="P4439" s="275"/>
    </row>
    <row r="4440" ht="15.75" customHeight="1">
      <c r="B4440" s="282"/>
      <c r="H4440" s="273"/>
      <c r="I4440" s="274"/>
      <c r="J4440" s="274"/>
      <c r="K4440" s="274"/>
      <c r="L4440" s="274"/>
      <c r="M4440" s="274"/>
      <c r="N4440" s="274"/>
      <c r="P4440" s="275"/>
    </row>
    <row r="4441" ht="15.75" customHeight="1">
      <c r="B4441" s="282"/>
      <c r="H4441" s="273"/>
      <c r="I4441" s="274"/>
      <c r="J4441" s="274"/>
      <c r="K4441" s="274"/>
      <c r="L4441" s="274"/>
      <c r="M4441" s="274"/>
      <c r="N4441" s="274"/>
      <c r="P4441" s="275"/>
    </row>
    <row r="4442" ht="15.75" customHeight="1">
      <c r="B4442" s="282"/>
      <c r="H4442" s="273"/>
      <c r="I4442" s="274"/>
      <c r="J4442" s="274"/>
      <c r="K4442" s="274"/>
      <c r="L4442" s="274"/>
      <c r="M4442" s="274"/>
      <c r="N4442" s="274"/>
      <c r="P4442" s="275"/>
    </row>
    <row r="4443" ht="15.75" customHeight="1">
      <c r="B4443" s="282"/>
      <c r="H4443" s="273"/>
      <c r="I4443" s="274"/>
      <c r="J4443" s="274"/>
      <c r="K4443" s="274"/>
      <c r="L4443" s="274"/>
      <c r="M4443" s="274"/>
      <c r="N4443" s="274"/>
      <c r="P4443" s="275"/>
    </row>
    <row r="4444" ht="15.75" customHeight="1">
      <c r="B4444" s="282"/>
      <c r="H4444" s="273"/>
      <c r="I4444" s="274"/>
      <c r="J4444" s="274"/>
      <c r="K4444" s="274"/>
      <c r="L4444" s="274"/>
      <c r="M4444" s="274"/>
      <c r="N4444" s="274"/>
      <c r="P4444" s="275"/>
    </row>
    <row r="4445" ht="15.75" customHeight="1">
      <c r="B4445" s="282"/>
      <c r="H4445" s="273"/>
      <c r="I4445" s="274"/>
      <c r="J4445" s="274"/>
      <c r="K4445" s="274"/>
      <c r="L4445" s="274"/>
      <c r="M4445" s="274"/>
      <c r="N4445" s="274"/>
      <c r="P4445" s="275"/>
    </row>
    <row r="4446" ht="15.75" customHeight="1">
      <c r="B4446" s="282"/>
      <c r="H4446" s="273"/>
      <c r="I4446" s="274"/>
      <c r="J4446" s="274"/>
      <c r="K4446" s="274"/>
      <c r="L4446" s="274"/>
      <c r="M4446" s="274"/>
      <c r="N4446" s="274"/>
      <c r="P4446" s="275"/>
    </row>
    <row r="4447" ht="15.75" customHeight="1">
      <c r="B4447" s="282"/>
      <c r="H4447" s="273"/>
      <c r="I4447" s="274"/>
      <c r="J4447" s="274"/>
      <c r="K4447" s="274"/>
      <c r="L4447" s="274"/>
      <c r="M4447" s="274"/>
      <c r="N4447" s="274"/>
      <c r="P4447" s="275"/>
    </row>
    <row r="4448" ht="15.75" customHeight="1">
      <c r="B4448" s="282"/>
      <c r="H4448" s="273"/>
      <c r="I4448" s="274"/>
      <c r="J4448" s="274"/>
      <c r="K4448" s="274"/>
      <c r="L4448" s="274"/>
      <c r="M4448" s="274"/>
      <c r="N4448" s="274"/>
      <c r="P4448" s="275"/>
    </row>
    <row r="4449" ht="15.75" customHeight="1">
      <c r="B4449" s="282"/>
      <c r="H4449" s="273"/>
      <c r="I4449" s="274"/>
      <c r="J4449" s="274"/>
      <c r="K4449" s="274"/>
      <c r="L4449" s="274"/>
      <c r="M4449" s="274"/>
      <c r="N4449" s="274"/>
      <c r="P4449" s="275"/>
    </row>
    <row r="4450" ht="15.75" customHeight="1">
      <c r="B4450" s="282"/>
      <c r="H4450" s="273"/>
      <c r="I4450" s="274"/>
      <c r="J4450" s="274"/>
      <c r="K4450" s="274"/>
      <c r="L4450" s="274"/>
      <c r="M4450" s="274"/>
      <c r="N4450" s="274"/>
      <c r="P4450" s="275"/>
    </row>
    <row r="4451" ht="15.75" customHeight="1">
      <c r="B4451" s="282"/>
      <c r="H4451" s="273"/>
      <c r="I4451" s="274"/>
      <c r="J4451" s="274"/>
      <c r="K4451" s="274"/>
      <c r="L4451" s="274"/>
      <c r="M4451" s="274"/>
      <c r="N4451" s="274"/>
      <c r="P4451" s="275"/>
    </row>
    <row r="4452" ht="15.75" customHeight="1">
      <c r="B4452" s="282"/>
      <c r="H4452" s="273"/>
      <c r="I4452" s="274"/>
      <c r="J4452" s="274"/>
      <c r="K4452" s="274"/>
      <c r="L4452" s="274"/>
      <c r="M4452" s="274"/>
      <c r="N4452" s="274"/>
      <c r="P4452" s="275"/>
    </row>
    <row r="4453" ht="15.75" customHeight="1">
      <c r="B4453" s="282"/>
      <c r="H4453" s="273"/>
      <c r="I4453" s="274"/>
      <c r="J4453" s="274"/>
      <c r="K4453" s="274"/>
      <c r="L4453" s="274"/>
      <c r="M4453" s="274"/>
      <c r="N4453" s="274"/>
      <c r="P4453" s="275"/>
    </row>
    <row r="4454" ht="15.75" customHeight="1">
      <c r="B4454" s="282"/>
      <c r="H4454" s="273"/>
      <c r="I4454" s="274"/>
      <c r="J4454" s="274"/>
      <c r="K4454" s="274"/>
      <c r="L4454" s="274"/>
      <c r="M4454" s="274"/>
      <c r="N4454" s="274"/>
      <c r="P4454" s="275"/>
    </row>
    <row r="4455" ht="15.75" customHeight="1">
      <c r="B4455" s="282"/>
      <c r="H4455" s="273"/>
      <c r="I4455" s="274"/>
      <c r="J4455" s="274"/>
      <c r="K4455" s="274"/>
      <c r="L4455" s="274"/>
      <c r="M4455" s="274"/>
      <c r="N4455" s="274"/>
      <c r="P4455" s="275"/>
    </row>
    <row r="4456" ht="15.75" customHeight="1">
      <c r="B4456" s="282"/>
      <c r="H4456" s="273"/>
      <c r="I4456" s="274"/>
      <c r="J4456" s="274"/>
      <c r="K4456" s="274"/>
      <c r="L4456" s="274"/>
      <c r="M4456" s="274"/>
      <c r="N4456" s="274"/>
      <c r="P4456" s="275"/>
    </row>
    <row r="4457" ht="15.75" customHeight="1">
      <c r="B4457" s="282"/>
      <c r="H4457" s="273"/>
      <c r="I4457" s="274"/>
      <c r="J4457" s="274"/>
      <c r="K4457" s="274"/>
      <c r="L4457" s="274"/>
      <c r="M4457" s="274"/>
      <c r="N4457" s="274"/>
      <c r="P4457" s="275"/>
    </row>
    <row r="4458" ht="15.75" customHeight="1">
      <c r="B4458" s="282"/>
      <c r="H4458" s="273"/>
      <c r="I4458" s="274"/>
      <c r="J4458" s="274"/>
      <c r="K4458" s="274"/>
      <c r="L4458" s="274"/>
      <c r="M4458" s="274"/>
      <c r="N4458" s="274"/>
      <c r="P4458" s="275"/>
    </row>
    <row r="4459" ht="15.75" customHeight="1">
      <c r="B4459" s="282"/>
      <c r="H4459" s="273"/>
      <c r="I4459" s="274"/>
      <c r="J4459" s="274"/>
      <c r="K4459" s="274"/>
      <c r="L4459" s="274"/>
      <c r="M4459" s="274"/>
      <c r="N4459" s="274"/>
      <c r="P4459" s="275"/>
    </row>
    <row r="4460" ht="15.75" customHeight="1">
      <c r="B4460" s="282"/>
      <c r="H4460" s="273"/>
      <c r="I4460" s="274"/>
      <c r="J4460" s="274"/>
      <c r="K4460" s="274"/>
      <c r="L4460" s="274"/>
      <c r="M4460" s="274"/>
      <c r="N4460" s="274"/>
      <c r="P4460" s="275"/>
    </row>
    <row r="4461" ht="15.75" customHeight="1">
      <c r="B4461" s="282"/>
      <c r="H4461" s="273"/>
      <c r="I4461" s="274"/>
      <c r="J4461" s="274"/>
      <c r="K4461" s="274"/>
      <c r="L4461" s="274"/>
      <c r="M4461" s="274"/>
      <c r="N4461" s="274"/>
      <c r="P4461" s="275"/>
    </row>
    <row r="4462" ht="15.75" customHeight="1">
      <c r="B4462" s="282"/>
      <c r="H4462" s="273"/>
      <c r="I4462" s="274"/>
      <c r="J4462" s="274"/>
      <c r="K4462" s="274"/>
      <c r="L4462" s="274"/>
      <c r="M4462" s="274"/>
      <c r="N4462" s="274"/>
      <c r="P4462" s="275"/>
    </row>
    <row r="4463" ht="15.75" customHeight="1">
      <c r="B4463" s="282"/>
      <c r="H4463" s="273"/>
      <c r="I4463" s="274"/>
      <c r="J4463" s="274"/>
      <c r="K4463" s="274"/>
      <c r="L4463" s="274"/>
      <c r="M4463" s="274"/>
      <c r="N4463" s="274"/>
      <c r="P4463" s="275"/>
    </row>
    <row r="4464" ht="15.75" customHeight="1">
      <c r="B4464" s="282"/>
      <c r="H4464" s="273"/>
      <c r="I4464" s="274"/>
      <c r="J4464" s="274"/>
      <c r="K4464" s="274"/>
      <c r="L4464" s="274"/>
      <c r="M4464" s="274"/>
      <c r="N4464" s="274"/>
      <c r="P4464" s="275"/>
    </row>
    <row r="4465" ht="15.75" customHeight="1">
      <c r="B4465" s="282"/>
      <c r="H4465" s="273"/>
      <c r="I4465" s="274"/>
      <c r="J4465" s="274"/>
      <c r="K4465" s="274"/>
      <c r="L4465" s="274"/>
      <c r="M4465" s="274"/>
      <c r="N4465" s="274"/>
      <c r="P4465" s="275"/>
    </row>
    <row r="4466" ht="15.75" customHeight="1">
      <c r="B4466" s="282"/>
      <c r="H4466" s="273"/>
      <c r="I4466" s="274"/>
      <c r="J4466" s="274"/>
      <c r="K4466" s="274"/>
      <c r="L4466" s="274"/>
      <c r="M4466" s="274"/>
      <c r="N4466" s="274"/>
      <c r="P4466" s="275"/>
    </row>
    <row r="4467" ht="15.75" customHeight="1">
      <c r="B4467" s="282"/>
      <c r="H4467" s="273"/>
      <c r="I4467" s="274"/>
      <c r="J4467" s="274"/>
      <c r="K4467" s="274"/>
      <c r="L4467" s="274"/>
      <c r="M4467" s="274"/>
      <c r="N4467" s="274"/>
      <c r="P4467" s="275"/>
    </row>
    <row r="4468" ht="15.75" customHeight="1">
      <c r="B4468" s="282"/>
      <c r="H4468" s="273"/>
      <c r="I4468" s="274"/>
      <c r="J4468" s="274"/>
      <c r="K4468" s="274"/>
      <c r="L4468" s="274"/>
      <c r="M4468" s="274"/>
      <c r="N4468" s="274"/>
      <c r="P4468" s="275"/>
    </row>
    <row r="4469" ht="15.75" customHeight="1">
      <c r="B4469" s="282"/>
      <c r="H4469" s="273"/>
      <c r="I4469" s="274"/>
      <c r="J4469" s="274"/>
      <c r="K4469" s="274"/>
      <c r="L4469" s="274"/>
      <c r="M4469" s="274"/>
      <c r="N4469" s="274"/>
      <c r="P4469" s="275"/>
    </row>
    <row r="4470" ht="15.75" customHeight="1">
      <c r="B4470" s="282"/>
      <c r="H4470" s="273"/>
      <c r="I4470" s="274"/>
      <c r="J4470" s="274"/>
      <c r="K4470" s="274"/>
      <c r="L4470" s="274"/>
      <c r="M4470" s="274"/>
      <c r="N4470" s="274"/>
      <c r="P4470" s="275"/>
    </row>
    <row r="4471" ht="15.75" customHeight="1">
      <c r="B4471" s="282"/>
      <c r="H4471" s="273"/>
      <c r="I4471" s="274"/>
      <c r="J4471" s="274"/>
      <c r="K4471" s="274"/>
      <c r="L4471" s="274"/>
      <c r="M4471" s="274"/>
      <c r="N4471" s="274"/>
      <c r="P4471" s="275"/>
    </row>
    <row r="4472" ht="15.75" customHeight="1">
      <c r="B4472" s="282"/>
      <c r="H4472" s="273"/>
      <c r="I4472" s="274"/>
      <c r="J4472" s="274"/>
      <c r="K4472" s="274"/>
      <c r="L4472" s="274"/>
      <c r="M4472" s="274"/>
      <c r="N4472" s="274"/>
      <c r="P4472" s="275"/>
    </row>
    <row r="4473" ht="15.75" customHeight="1">
      <c r="B4473" s="282"/>
      <c r="H4473" s="273"/>
      <c r="I4473" s="274"/>
      <c r="J4473" s="274"/>
      <c r="K4473" s="274"/>
      <c r="L4473" s="274"/>
      <c r="M4473" s="274"/>
      <c r="N4473" s="274"/>
      <c r="P4473" s="275"/>
    </row>
    <row r="4474" ht="15.75" customHeight="1">
      <c r="B4474" s="282"/>
      <c r="H4474" s="273"/>
      <c r="I4474" s="274"/>
      <c r="J4474" s="274"/>
      <c r="K4474" s="274"/>
      <c r="L4474" s="274"/>
      <c r="M4474" s="274"/>
      <c r="N4474" s="274"/>
      <c r="P4474" s="275"/>
    </row>
    <row r="4475" ht="15.75" customHeight="1">
      <c r="B4475" s="282"/>
      <c r="H4475" s="273"/>
      <c r="I4475" s="274"/>
      <c r="J4475" s="274"/>
      <c r="K4475" s="274"/>
      <c r="L4475" s="274"/>
      <c r="M4475" s="274"/>
      <c r="N4475" s="274"/>
      <c r="P4475" s="275"/>
    </row>
    <row r="4476" ht="15.75" customHeight="1">
      <c r="B4476" s="282"/>
      <c r="H4476" s="273"/>
      <c r="I4476" s="274"/>
      <c r="J4476" s="274"/>
      <c r="K4476" s="274"/>
      <c r="L4476" s="274"/>
      <c r="M4476" s="274"/>
      <c r="N4476" s="274"/>
      <c r="P4476" s="275"/>
    </row>
    <row r="4477" ht="15.75" customHeight="1">
      <c r="B4477" s="282"/>
      <c r="H4477" s="273"/>
      <c r="I4477" s="274"/>
      <c r="J4477" s="274"/>
      <c r="K4477" s="274"/>
      <c r="L4477" s="274"/>
      <c r="M4477" s="274"/>
      <c r="N4477" s="274"/>
      <c r="P4477" s="275"/>
    </row>
    <row r="4478" ht="15.75" customHeight="1">
      <c r="B4478" s="282"/>
      <c r="H4478" s="273"/>
      <c r="I4478" s="274"/>
      <c r="J4478" s="274"/>
      <c r="K4478" s="274"/>
      <c r="L4478" s="274"/>
      <c r="M4478" s="274"/>
      <c r="N4478" s="274"/>
      <c r="P4478" s="275"/>
    </row>
    <row r="4479" ht="15.75" customHeight="1">
      <c r="B4479" s="282"/>
      <c r="H4479" s="273"/>
      <c r="I4479" s="274"/>
      <c r="J4479" s="274"/>
      <c r="K4479" s="274"/>
      <c r="L4479" s="274"/>
      <c r="M4479" s="274"/>
      <c r="N4479" s="274"/>
      <c r="P4479" s="275"/>
    </row>
    <row r="4480" ht="15.75" customHeight="1">
      <c r="B4480" s="282"/>
      <c r="H4480" s="273"/>
      <c r="I4480" s="274"/>
      <c r="J4480" s="274"/>
      <c r="K4480" s="274"/>
      <c r="L4480" s="274"/>
      <c r="M4480" s="274"/>
      <c r="N4480" s="274"/>
      <c r="P4480" s="275"/>
    </row>
    <row r="4481" ht="15.75" customHeight="1">
      <c r="B4481" s="282"/>
      <c r="H4481" s="273"/>
      <c r="I4481" s="274"/>
      <c r="J4481" s="274"/>
      <c r="K4481" s="274"/>
      <c r="L4481" s="274"/>
      <c r="M4481" s="274"/>
      <c r="N4481" s="274"/>
      <c r="P4481" s="275"/>
    </row>
    <row r="4482" ht="15.75" customHeight="1">
      <c r="B4482" s="282"/>
      <c r="H4482" s="273"/>
      <c r="I4482" s="274"/>
      <c r="J4482" s="274"/>
      <c r="K4482" s="274"/>
      <c r="L4482" s="274"/>
      <c r="M4482" s="274"/>
      <c r="N4482" s="274"/>
      <c r="P4482" s="275"/>
    </row>
    <row r="4483" ht="15.75" customHeight="1">
      <c r="B4483" s="282"/>
      <c r="H4483" s="273"/>
      <c r="I4483" s="274"/>
      <c r="J4483" s="274"/>
      <c r="K4483" s="274"/>
      <c r="L4483" s="274"/>
      <c r="M4483" s="274"/>
      <c r="N4483" s="274"/>
      <c r="P4483" s="275"/>
    </row>
    <row r="4484" ht="15.75" customHeight="1">
      <c r="B4484" s="282"/>
      <c r="H4484" s="273"/>
      <c r="I4484" s="274"/>
      <c r="J4484" s="274"/>
      <c r="K4484" s="274"/>
      <c r="L4484" s="274"/>
      <c r="M4484" s="274"/>
      <c r="N4484" s="274"/>
      <c r="P4484" s="275"/>
    </row>
    <row r="4485" ht="15.75" customHeight="1">
      <c r="B4485" s="282"/>
      <c r="H4485" s="273"/>
      <c r="I4485" s="274"/>
      <c r="J4485" s="274"/>
      <c r="K4485" s="274"/>
      <c r="L4485" s="274"/>
      <c r="M4485" s="274"/>
      <c r="N4485" s="274"/>
      <c r="P4485" s="275"/>
    </row>
    <row r="4486" ht="15.75" customHeight="1">
      <c r="B4486" s="282"/>
      <c r="H4486" s="273"/>
      <c r="I4486" s="274"/>
      <c r="J4486" s="274"/>
      <c r="K4486" s="274"/>
      <c r="L4486" s="274"/>
      <c r="M4486" s="274"/>
      <c r="N4486" s="274"/>
      <c r="P4486" s="275"/>
    </row>
    <row r="4487" ht="15.75" customHeight="1">
      <c r="B4487" s="282"/>
      <c r="H4487" s="273"/>
      <c r="I4487" s="274"/>
      <c r="J4487" s="274"/>
      <c r="K4487" s="274"/>
      <c r="L4487" s="274"/>
      <c r="M4487" s="274"/>
      <c r="N4487" s="274"/>
      <c r="P4487" s="275"/>
    </row>
    <row r="4488" ht="15.75" customHeight="1">
      <c r="B4488" s="282"/>
      <c r="H4488" s="273"/>
      <c r="I4488" s="274"/>
      <c r="J4488" s="274"/>
      <c r="K4488" s="274"/>
      <c r="L4488" s="274"/>
      <c r="M4488" s="274"/>
      <c r="N4488" s="274"/>
      <c r="P4488" s="275"/>
    </row>
    <row r="4489" ht="15.75" customHeight="1">
      <c r="B4489" s="282"/>
      <c r="H4489" s="273"/>
      <c r="I4489" s="274"/>
      <c r="J4489" s="274"/>
      <c r="K4489" s="274"/>
      <c r="L4489" s="274"/>
      <c r="M4489" s="274"/>
      <c r="N4489" s="274"/>
      <c r="P4489" s="275"/>
    </row>
    <row r="4490" ht="15.75" customHeight="1">
      <c r="B4490" s="282"/>
      <c r="H4490" s="273"/>
      <c r="I4490" s="274"/>
      <c r="J4490" s="274"/>
      <c r="K4490" s="274"/>
      <c r="L4490" s="274"/>
      <c r="M4490" s="274"/>
      <c r="N4490" s="274"/>
      <c r="P4490" s="275"/>
    </row>
    <row r="4491" ht="15.75" customHeight="1">
      <c r="B4491" s="282"/>
      <c r="H4491" s="273"/>
      <c r="I4491" s="274"/>
      <c r="J4491" s="274"/>
      <c r="K4491" s="274"/>
      <c r="L4491" s="274"/>
      <c r="M4491" s="274"/>
      <c r="N4491" s="274"/>
      <c r="P4491" s="275"/>
    </row>
    <row r="4492" ht="15.75" customHeight="1">
      <c r="B4492" s="282"/>
      <c r="H4492" s="273"/>
      <c r="I4492" s="274"/>
      <c r="J4492" s="274"/>
      <c r="K4492" s="274"/>
      <c r="L4492" s="274"/>
      <c r="M4492" s="274"/>
      <c r="N4492" s="274"/>
      <c r="P4492" s="275"/>
    </row>
    <row r="4493" ht="15.75" customHeight="1">
      <c r="B4493" s="282"/>
      <c r="H4493" s="273"/>
      <c r="I4493" s="274"/>
      <c r="J4493" s="274"/>
      <c r="K4493" s="274"/>
      <c r="L4493" s="274"/>
      <c r="M4493" s="274"/>
      <c r="N4493" s="274"/>
      <c r="P4493" s="275"/>
    </row>
    <row r="4494" ht="15.75" customHeight="1">
      <c r="B4494" s="282"/>
      <c r="H4494" s="273"/>
      <c r="I4494" s="274"/>
      <c r="J4494" s="274"/>
      <c r="K4494" s="274"/>
      <c r="L4494" s="274"/>
      <c r="M4494" s="274"/>
      <c r="N4494" s="274"/>
      <c r="P4494" s="275"/>
    </row>
    <row r="4495" ht="15.75" customHeight="1">
      <c r="B4495" s="282"/>
      <c r="H4495" s="273"/>
      <c r="I4495" s="274"/>
      <c r="J4495" s="274"/>
      <c r="K4495" s="274"/>
      <c r="L4495" s="274"/>
      <c r="M4495" s="274"/>
      <c r="N4495" s="274"/>
      <c r="P4495" s="275"/>
    </row>
    <row r="4496" ht="15.75" customHeight="1">
      <c r="B4496" s="282"/>
      <c r="H4496" s="273"/>
      <c r="I4496" s="274"/>
      <c r="J4496" s="274"/>
      <c r="K4496" s="274"/>
      <c r="L4496" s="274"/>
      <c r="M4496" s="274"/>
      <c r="N4496" s="274"/>
      <c r="P4496" s="275"/>
    </row>
    <row r="4497" ht="15.75" customHeight="1">
      <c r="B4497" s="282"/>
      <c r="H4497" s="273"/>
      <c r="I4497" s="274"/>
      <c r="J4497" s="274"/>
      <c r="K4497" s="274"/>
      <c r="L4497" s="274"/>
      <c r="M4497" s="274"/>
      <c r="N4497" s="274"/>
      <c r="P4497" s="275"/>
    </row>
    <row r="4498" ht="15.75" customHeight="1">
      <c r="B4498" s="282"/>
      <c r="H4498" s="273"/>
      <c r="I4498" s="274"/>
      <c r="J4498" s="274"/>
      <c r="K4498" s="274"/>
      <c r="L4498" s="274"/>
      <c r="M4498" s="274"/>
      <c r="N4498" s="274"/>
      <c r="P4498" s="275"/>
    </row>
    <row r="4499" ht="15.75" customHeight="1">
      <c r="B4499" s="282"/>
      <c r="H4499" s="273"/>
      <c r="I4499" s="274"/>
      <c r="J4499" s="274"/>
      <c r="K4499" s="274"/>
      <c r="L4499" s="274"/>
      <c r="M4499" s="274"/>
      <c r="N4499" s="274"/>
      <c r="P4499" s="275"/>
    </row>
    <row r="4500" ht="15.75" customHeight="1">
      <c r="B4500" s="282"/>
      <c r="H4500" s="273"/>
      <c r="I4500" s="274"/>
      <c r="J4500" s="274"/>
      <c r="K4500" s="274"/>
      <c r="L4500" s="274"/>
      <c r="M4500" s="274"/>
      <c r="N4500" s="274"/>
      <c r="P4500" s="275"/>
    </row>
    <row r="4501" ht="15.75" customHeight="1">
      <c r="B4501" s="282"/>
      <c r="H4501" s="273"/>
      <c r="I4501" s="274"/>
      <c r="J4501" s="274"/>
      <c r="K4501" s="274"/>
      <c r="L4501" s="274"/>
      <c r="M4501" s="274"/>
      <c r="N4501" s="274"/>
      <c r="P4501" s="275"/>
    </row>
    <row r="4502" ht="15.75" customHeight="1">
      <c r="B4502" s="282"/>
      <c r="H4502" s="273"/>
      <c r="I4502" s="274"/>
      <c r="J4502" s="274"/>
      <c r="K4502" s="274"/>
      <c r="L4502" s="274"/>
      <c r="M4502" s="274"/>
      <c r="N4502" s="274"/>
      <c r="P4502" s="275"/>
    </row>
    <row r="4503" ht="15.75" customHeight="1">
      <c r="B4503" s="282"/>
      <c r="H4503" s="273"/>
      <c r="I4503" s="274"/>
      <c r="J4503" s="274"/>
      <c r="K4503" s="274"/>
      <c r="L4503" s="274"/>
      <c r="M4503" s="274"/>
      <c r="N4503" s="274"/>
      <c r="P4503" s="275"/>
    </row>
    <row r="4504" ht="15.75" customHeight="1">
      <c r="B4504" s="282"/>
      <c r="H4504" s="273"/>
      <c r="I4504" s="274"/>
      <c r="J4504" s="274"/>
      <c r="K4504" s="274"/>
      <c r="L4504" s="274"/>
      <c r="M4504" s="274"/>
      <c r="N4504" s="274"/>
      <c r="P4504" s="275"/>
    </row>
    <row r="4505" ht="15.75" customHeight="1">
      <c r="B4505" s="282"/>
      <c r="H4505" s="273"/>
      <c r="I4505" s="274"/>
      <c r="J4505" s="274"/>
      <c r="K4505" s="274"/>
      <c r="L4505" s="274"/>
      <c r="M4505" s="274"/>
      <c r="N4505" s="274"/>
      <c r="P4505" s="275"/>
    </row>
    <row r="4506" ht="15.75" customHeight="1">
      <c r="B4506" s="282"/>
      <c r="H4506" s="273"/>
      <c r="I4506" s="274"/>
      <c r="J4506" s="274"/>
      <c r="K4506" s="274"/>
      <c r="L4506" s="274"/>
      <c r="M4506" s="274"/>
      <c r="N4506" s="274"/>
      <c r="P4506" s="275"/>
    </row>
    <row r="4507" ht="15.75" customHeight="1">
      <c r="B4507" s="282"/>
      <c r="H4507" s="273"/>
      <c r="I4507" s="274"/>
      <c r="J4507" s="274"/>
      <c r="K4507" s="274"/>
      <c r="L4507" s="274"/>
      <c r="M4507" s="274"/>
      <c r="N4507" s="274"/>
      <c r="P4507" s="275"/>
    </row>
    <row r="4508" ht="15.75" customHeight="1">
      <c r="B4508" s="282"/>
      <c r="H4508" s="273"/>
      <c r="I4508" s="274"/>
      <c r="J4508" s="274"/>
      <c r="K4508" s="274"/>
      <c r="L4508" s="274"/>
      <c r="M4508" s="274"/>
      <c r="N4508" s="274"/>
      <c r="P4508" s="275"/>
    </row>
    <row r="4509" ht="15.75" customHeight="1">
      <c r="B4509" s="282"/>
      <c r="H4509" s="273"/>
      <c r="I4509" s="274"/>
      <c r="J4509" s="274"/>
      <c r="K4509" s="274"/>
      <c r="L4509" s="274"/>
      <c r="M4509" s="274"/>
      <c r="N4509" s="274"/>
      <c r="P4509" s="275"/>
    </row>
    <row r="4510" ht="15.75" customHeight="1">
      <c r="B4510" s="282"/>
      <c r="H4510" s="273"/>
      <c r="I4510" s="274"/>
      <c r="J4510" s="274"/>
      <c r="K4510" s="274"/>
      <c r="L4510" s="274"/>
      <c r="M4510" s="274"/>
      <c r="N4510" s="274"/>
      <c r="P4510" s="275"/>
    </row>
    <row r="4511" ht="15.75" customHeight="1">
      <c r="B4511" s="282"/>
      <c r="H4511" s="273"/>
      <c r="I4511" s="274"/>
      <c r="J4511" s="274"/>
      <c r="K4511" s="274"/>
      <c r="L4511" s="274"/>
      <c r="M4511" s="274"/>
      <c r="N4511" s="274"/>
      <c r="P4511" s="275"/>
    </row>
    <row r="4512" ht="15.75" customHeight="1">
      <c r="B4512" s="282"/>
      <c r="H4512" s="273"/>
      <c r="I4512" s="274"/>
      <c r="J4512" s="274"/>
      <c r="K4512" s="274"/>
      <c r="L4512" s="274"/>
      <c r="M4512" s="274"/>
      <c r="N4512" s="274"/>
      <c r="P4512" s="275"/>
    </row>
    <row r="4513" ht="15.75" customHeight="1">
      <c r="B4513" s="282"/>
      <c r="H4513" s="273"/>
      <c r="I4513" s="274"/>
      <c r="J4513" s="274"/>
      <c r="K4513" s="274"/>
      <c r="L4513" s="274"/>
      <c r="M4513" s="274"/>
      <c r="N4513" s="274"/>
      <c r="P4513" s="275"/>
    </row>
    <row r="4514" ht="15.75" customHeight="1">
      <c r="B4514" s="282"/>
      <c r="H4514" s="273"/>
      <c r="I4514" s="274"/>
      <c r="J4514" s="274"/>
      <c r="K4514" s="274"/>
      <c r="L4514" s="274"/>
      <c r="M4514" s="274"/>
      <c r="N4514" s="274"/>
      <c r="P4514" s="275"/>
    </row>
    <row r="4515" ht="15.75" customHeight="1">
      <c r="B4515" s="282"/>
      <c r="H4515" s="273"/>
      <c r="I4515" s="274"/>
      <c r="J4515" s="274"/>
      <c r="K4515" s="274"/>
      <c r="L4515" s="274"/>
      <c r="M4515" s="274"/>
      <c r="N4515" s="274"/>
      <c r="P4515" s="275"/>
    </row>
    <row r="4516" ht="15.75" customHeight="1">
      <c r="B4516" s="282"/>
      <c r="H4516" s="273"/>
      <c r="I4516" s="274"/>
      <c r="J4516" s="274"/>
      <c r="K4516" s="274"/>
      <c r="L4516" s="274"/>
      <c r="M4516" s="274"/>
      <c r="N4516" s="274"/>
      <c r="P4516" s="275"/>
    </row>
    <row r="4517" ht="15.75" customHeight="1">
      <c r="B4517" s="282"/>
      <c r="H4517" s="273"/>
      <c r="I4517" s="274"/>
      <c r="J4517" s="274"/>
      <c r="K4517" s="274"/>
      <c r="L4517" s="274"/>
      <c r="M4517" s="274"/>
      <c r="N4517" s="274"/>
      <c r="P4517" s="275"/>
    </row>
    <row r="4518" ht="15.75" customHeight="1">
      <c r="B4518" s="282"/>
      <c r="H4518" s="273"/>
      <c r="I4518" s="274"/>
      <c r="J4518" s="274"/>
      <c r="K4518" s="274"/>
      <c r="L4518" s="274"/>
      <c r="M4518" s="274"/>
      <c r="N4518" s="274"/>
      <c r="P4518" s="275"/>
    </row>
    <row r="4519" ht="15.75" customHeight="1">
      <c r="B4519" s="282"/>
      <c r="H4519" s="273"/>
      <c r="I4519" s="274"/>
      <c r="J4519" s="274"/>
      <c r="K4519" s="274"/>
      <c r="L4519" s="274"/>
      <c r="M4519" s="274"/>
      <c r="N4519" s="274"/>
      <c r="P4519" s="275"/>
    </row>
    <row r="4520" ht="15.75" customHeight="1">
      <c r="B4520" s="282"/>
      <c r="H4520" s="273"/>
      <c r="I4520" s="274"/>
      <c r="J4520" s="274"/>
      <c r="K4520" s="274"/>
      <c r="L4520" s="274"/>
      <c r="M4520" s="274"/>
      <c r="N4520" s="274"/>
      <c r="P4520" s="275"/>
    </row>
    <row r="4521" ht="15.75" customHeight="1">
      <c r="B4521" s="282"/>
      <c r="H4521" s="273"/>
      <c r="I4521" s="274"/>
      <c r="J4521" s="274"/>
      <c r="K4521" s="274"/>
      <c r="L4521" s="274"/>
      <c r="M4521" s="274"/>
      <c r="N4521" s="274"/>
      <c r="P4521" s="275"/>
    </row>
    <row r="4522" ht="15.75" customHeight="1">
      <c r="B4522" s="282"/>
      <c r="H4522" s="273"/>
      <c r="I4522" s="274"/>
      <c r="J4522" s="274"/>
      <c r="K4522" s="274"/>
      <c r="L4522" s="274"/>
      <c r="M4522" s="274"/>
      <c r="N4522" s="274"/>
      <c r="P4522" s="275"/>
    </row>
    <row r="4523" ht="15.75" customHeight="1">
      <c r="B4523" s="282"/>
      <c r="H4523" s="273"/>
      <c r="I4523" s="274"/>
      <c r="J4523" s="274"/>
      <c r="K4523" s="274"/>
      <c r="L4523" s="274"/>
      <c r="M4523" s="274"/>
      <c r="N4523" s="274"/>
      <c r="P4523" s="275"/>
    </row>
    <row r="4524" ht="15.75" customHeight="1">
      <c r="B4524" s="282"/>
      <c r="H4524" s="273"/>
      <c r="I4524" s="274"/>
      <c r="J4524" s="274"/>
      <c r="K4524" s="274"/>
      <c r="L4524" s="274"/>
      <c r="M4524" s="274"/>
      <c r="N4524" s="274"/>
      <c r="P4524" s="275"/>
    </row>
    <row r="4525" ht="15.75" customHeight="1">
      <c r="B4525" s="282"/>
      <c r="H4525" s="273"/>
      <c r="I4525" s="274"/>
      <c r="J4525" s="274"/>
      <c r="K4525" s="274"/>
      <c r="L4525" s="274"/>
      <c r="M4525" s="274"/>
      <c r="N4525" s="274"/>
      <c r="P4525" s="275"/>
    </row>
    <row r="4526" ht="15.75" customHeight="1">
      <c r="B4526" s="282"/>
      <c r="H4526" s="273"/>
      <c r="I4526" s="274"/>
      <c r="J4526" s="274"/>
      <c r="K4526" s="274"/>
      <c r="L4526" s="274"/>
      <c r="M4526" s="274"/>
      <c r="N4526" s="274"/>
      <c r="P4526" s="275"/>
    </row>
    <row r="4527" ht="15.75" customHeight="1">
      <c r="B4527" s="282"/>
      <c r="H4527" s="273"/>
      <c r="I4527" s="274"/>
      <c r="J4527" s="274"/>
      <c r="K4527" s="274"/>
      <c r="L4527" s="274"/>
      <c r="M4527" s="274"/>
      <c r="N4527" s="274"/>
      <c r="P4527" s="275"/>
    </row>
    <row r="4528" ht="15.75" customHeight="1">
      <c r="B4528" s="282"/>
      <c r="H4528" s="273"/>
      <c r="I4528" s="274"/>
      <c r="J4528" s="274"/>
      <c r="K4528" s="274"/>
      <c r="L4528" s="274"/>
      <c r="M4528" s="274"/>
      <c r="N4528" s="274"/>
      <c r="P4528" s="275"/>
    </row>
    <row r="4529" ht="15.75" customHeight="1">
      <c r="B4529" s="282"/>
      <c r="H4529" s="273"/>
      <c r="I4529" s="274"/>
      <c r="J4529" s="274"/>
      <c r="K4529" s="274"/>
      <c r="L4529" s="274"/>
      <c r="M4529" s="274"/>
      <c r="N4529" s="274"/>
      <c r="P4529" s="275"/>
    </row>
    <row r="4530" ht="15.75" customHeight="1">
      <c r="B4530" s="282"/>
      <c r="H4530" s="273"/>
      <c r="I4530" s="274"/>
      <c r="J4530" s="274"/>
      <c r="K4530" s="274"/>
      <c r="L4530" s="274"/>
      <c r="M4530" s="274"/>
      <c r="N4530" s="274"/>
      <c r="P4530" s="275"/>
    </row>
    <row r="4531" ht="15.75" customHeight="1">
      <c r="B4531" s="282"/>
      <c r="H4531" s="273"/>
      <c r="I4531" s="274"/>
      <c r="J4531" s="274"/>
      <c r="K4531" s="274"/>
      <c r="L4531" s="274"/>
      <c r="M4531" s="274"/>
      <c r="N4531" s="274"/>
      <c r="P4531" s="275"/>
    </row>
    <row r="4532" ht="15.75" customHeight="1">
      <c r="B4532" s="282"/>
      <c r="H4532" s="273"/>
      <c r="I4532" s="274"/>
      <c r="J4532" s="274"/>
      <c r="K4532" s="274"/>
      <c r="L4532" s="274"/>
      <c r="M4532" s="274"/>
      <c r="N4532" s="274"/>
      <c r="P4532" s="275"/>
    </row>
    <row r="4533" ht="15.75" customHeight="1">
      <c r="B4533" s="282"/>
      <c r="H4533" s="273"/>
      <c r="I4533" s="274"/>
      <c r="J4533" s="274"/>
      <c r="K4533" s="274"/>
      <c r="L4533" s="274"/>
      <c r="M4533" s="274"/>
      <c r="N4533" s="274"/>
      <c r="P4533" s="275"/>
    </row>
    <row r="4534" ht="15.75" customHeight="1">
      <c r="B4534" s="282"/>
      <c r="H4534" s="273"/>
      <c r="I4534" s="274"/>
      <c r="J4534" s="274"/>
      <c r="K4534" s="274"/>
      <c r="L4534" s="274"/>
      <c r="M4534" s="274"/>
      <c r="N4534" s="274"/>
      <c r="P4534" s="275"/>
    </row>
    <row r="4535" ht="15.75" customHeight="1">
      <c r="B4535" s="282"/>
      <c r="H4535" s="273"/>
      <c r="I4535" s="274"/>
      <c r="J4535" s="274"/>
      <c r="K4535" s="274"/>
      <c r="L4535" s="274"/>
      <c r="M4535" s="274"/>
      <c r="N4535" s="274"/>
      <c r="P4535" s="275"/>
    </row>
    <row r="4536" ht="15.75" customHeight="1">
      <c r="B4536" s="282"/>
      <c r="H4536" s="273"/>
      <c r="I4536" s="274"/>
      <c r="J4536" s="274"/>
      <c r="K4536" s="274"/>
      <c r="L4536" s="274"/>
      <c r="M4536" s="274"/>
      <c r="N4536" s="274"/>
      <c r="P4536" s="275"/>
    </row>
    <row r="4537" ht="15.75" customHeight="1">
      <c r="B4537" s="282"/>
      <c r="H4537" s="273"/>
      <c r="I4537" s="274"/>
      <c r="J4537" s="274"/>
      <c r="K4537" s="274"/>
      <c r="L4537" s="274"/>
      <c r="M4537" s="274"/>
      <c r="N4537" s="274"/>
      <c r="P4537" s="275"/>
    </row>
    <row r="4538" ht="15.75" customHeight="1">
      <c r="B4538" s="282"/>
      <c r="H4538" s="273"/>
      <c r="I4538" s="274"/>
      <c r="J4538" s="274"/>
      <c r="K4538" s="274"/>
      <c r="L4538" s="274"/>
      <c r="M4538" s="274"/>
      <c r="N4538" s="274"/>
      <c r="P4538" s="275"/>
    </row>
    <row r="4539" ht="15.75" customHeight="1">
      <c r="B4539" s="282"/>
      <c r="H4539" s="273"/>
      <c r="I4539" s="274"/>
      <c r="J4539" s="274"/>
      <c r="K4539" s="274"/>
      <c r="L4539" s="274"/>
      <c r="M4539" s="274"/>
      <c r="N4539" s="274"/>
      <c r="P4539" s="275"/>
    </row>
    <row r="4540" ht="15.75" customHeight="1">
      <c r="B4540" s="282"/>
      <c r="H4540" s="273"/>
      <c r="I4540" s="274"/>
      <c r="J4540" s="274"/>
      <c r="K4540" s="274"/>
      <c r="L4540" s="274"/>
      <c r="M4540" s="274"/>
      <c r="N4540" s="274"/>
      <c r="P4540" s="275"/>
    </row>
    <row r="4541" ht="15.75" customHeight="1">
      <c r="B4541" s="282"/>
      <c r="H4541" s="273"/>
      <c r="I4541" s="274"/>
      <c r="J4541" s="274"/>
      <c r="K4541" s="274"/>
      <c r="L4541" s="274"/>
      <c r="M4541" s="274"/>
      <c r="N4541" s="274"/>
      <c r="P4541" s="275"/>
    </row>
    <row r="4542" ht="15.75" customHeight="1">
      <c r="B4542" s="282"/>
      <c r="H4542" s="273"/>
      <c r="I4542" s="274"/>
      <c r="J4542" s="274"/>
      <c r="K4542" s="274"/>
      <c r="L4542" s="274"/>
      <c r="M4542" s="274"/>
      <c r="N4542" s="274"/>
      <c r="P4542" s="275"/>
    </row>
    <row r="4543" ht="15.75" customHeight="1">
      <c r="B4543" s="282"/>
      <c r="H4543" s="273"/>
      <c r="I4543" s="274"/>
      <c r="J4543" s="274"/>
      <c r="K4543" s="274"/>
      <c r="L4543" s="274"/>
      <c r="M4543" s="274"/>
      <c r="N4543" s="274"/>
      <c r="P4543" s="275"/>
    </row>
    <row r="4544" ht="15.75" customHeight="1">
      <c r="B4544" s="282"/>
      <c r="H4544" s="273"/>
      <c r="I4544" s="274"/>
      <c r="J4544" s="274"/>
      <c r="K4544" s="274"/>
      <c r="L4544" s="274"/>
      <c r="M4544" s="274"/>
      <c r="N4544" s="274"/>
      <c r="P4544" s="275"/>
    </row>
    <row r="4545" ht="15.75" customHeight="1">
      <c r="B4545" s="282"/>
      <c r="H4545" s="273"/>
      <c r="I4545" s="274"/>
      <c r="J4545" s="274"/>
      <c r="K4545" s="274"/>
      <c r="L4545" s="274"/>
      <c r="M4545" s="274"/>
      <c r="N4545" s="274"/>
      <c r="P4545" s="275"/>
    </row>
    <row r="4546" ht="15.75" customHeight="1">
      <c r="B4546" s="282"/>
      <c r="H4546" s="273"/>
      <c r="I4546" s="274"/>
      <c r="J4546" s="274"/>
      <c r="K4546" s="274"/>
      <c r="L4546" s="274"/>
      <c r="M4546" s="274"/>
      <c r="N4546" s="274"/>
      <c r="P4546" s="275"/>
    </row>
    <row r="4547" ht="15.75" customHeight="1">
      <c r="B4547" s="282"/>
      <c r="H4547" s="273"/>
      <c r="I4547" s="274"/>
      <c r="J4547" s="274"/>
      <c r="K4547" s="274"/>
      <c r="L4547" s="274"/>
      <c r="M4547" s="274"/>
      <c r="N4547" s="274"/>
      <c r="P4547" s="275"/>
    </row>
    <row r="4548" ht="15.75" customHeight="1">
      <c r="B4548" s="282"/>
      <c r="H4548" s="273"/>
      <c r="I4548" s="274"/>
      <c r="J4548" s="274"/>
      <c r="K4548" s="274"/>
      <c r="L4548" s="274"/>
      <c r="M4548" s="274"/>
      <c r="N4548" s="274"/>
      <c r="P4548" s="275"/>
    </row>
    <row r="4549" ht="15.75" customHeight="1">
      <c r="B4549" s="282"/>
      <c r="H4549" s="273"/>
      <c r="I4549" s="274"/>
      <c r="J4549" s="274"/>
      <c r="K4549" s="274"/>
      <c r="L4549" s="274"/>
      <c r="M4549" s="274"/>
      <c r="N4549" s="274"/>
      <c r="P4549" s="275"/>
    </row>
    <row r="4550" ht="15.75" customHeight="1">
      <c r="B4550" s="282"/>
      <c r="H4550" s="273"/>
      <c r="I4550" s="274"/>
      <c r="J4550" s="274"/>
      <c r="K4550" s="274"/>
      <c r="L4550" s="274"/>
      <c r="M4550" s="274"/>
      <c r="N4550" s="274"/>
      <c r="P4550" s="275"/>
    </row>
    <row r="4551" ht="15.75" customHeight="1">
      <c r="B4551" s="282"/>
      <c r="H4551" s="273"/>
      <c r="I4551" s="274"/>
      <c r="J4551" s="274"/>
      <c r="K4551" s="274"/>
      <c r="L4551" s="274"/>
      <c r="M4551" s="274"/>
      <c r="N4551" s="274"/>
      <c r="P4551" s="275"/>
    </row>
    <row r="4552" ht="15.75" customHeight="1">
      <c r="B4552" s="282"/>
      <c r="H4552" s="273"/>
      <c r="I4552" s="274"/>
      <c r="J4552" s="274"/>
      <c r="K4552" s="274"/>
      <c r="L4552" s="274"/>
      <c r="M4552" s="274"/>
      <c r="N4552" s="274"/>
      <c r="P4552" s="275"/>
    </row>
    <row r="4553" ht="15.75" customHeight="1">
      <c r="B4553" s="282"/>
      <c r="H4553" s="273"/>
      <c r="I4553" s="274"/>
      <c r="J4553" s="274"/>
      <c r="K4553" s="274"/>
      <c r="L4553" s="274"/>
      <c r="M4553" s="274"/>
      <c r="N4553" s="274"/>
      <c r="P4553" s="275"/>
    </row>
    <row r="4554" ht="15.75" customHeight="1">
      <c r="B4554" s="282"/>
      <c r="H4554" s="273"/>
      <c r="I4554" s="274"/>
      <c r="J4554" s="274"/>
      <c r="K4554" s="274"/>
      <c r="L4554" s="274"/>
      <c r="M4554" s="274"/>
      <c r="N4554" s="274"/>
      <c r="P4554" s="275"/>
    </row>
    <row r="4555" ht="15.75" customHeight="1">
      <c r="B4555" s="282"/>
      <c r="H4555" s="273"/>
      <c r="I4555" s="274"/>
      <c r="J4555" s="274"/>
      <c r="K4555" s="274"/>
      <c r="L4555" s="274"/>
      <c r="M4555" s="274"/>
      <c r="N4555" s="274"/>
      <c r="P4555" s="275"/>
    </row>
    <row r="4556" ht="15.75" customHeight="1">
      <c r="B4556" s="282"/>
      <c r="H4556" s="273"/>
      <c r="I4556" s="274"/>
      <c r="J4556" s="274"/>
      <c r="K4556" s="274"/>
      <c r="L4556" s="274"/>
      <c r="M4556" s="274"/>
      <c r="N4556" s="274"/>
      <c r="P4556" s="275"/>
    </row>
    <row r="4557" ht="15.75" customHeight="1">
      <c r="B4557" s="282"/>
      <c r="H4557" s="273"/>
      <c r="I4557" s="274"/>
      <c r="J4557" s="274"/>
      <c r="K4557" s="274"/>
      <c r="L4557" s="274"/>
      <c r="M4557" s="274"/>
      <c r="N4557" s="274"/>
      <c r="P4557" s="275"/>
    </row>
    <row r="4558" ht="15.75" customHeight="1">
      <c r="B4558" s="282"/>
      <c r="H4558" s="273"/>
      <c r="I4558" s="274"/>
      <c r="J4558" s="274"/>
      <c r="K4558" s="274"/>
      <c r="L4558" s="274"/>
      <c r="M4558" s="274"/>
      <c r="N4558" s="274"/>
      <c r="P4558" s="275"/>
    </row>
    <row r="4559" ht="15.75" customHeight="1">
      <c r="B4559" s="282"/>
      <c r="H4559" s="273"/>
      <c r="I4559" s="274"/>
      <c r="J4559" s="274"/>
      <c r="K4559" s="274"/>
      <c r="L4559" s="274"/>
      <c r="M4559" s="274"/>
      <c r="N4559" s="274"/>
      <c r="P4559" s="275"/>
    </row>
    <row r="4560" ht="15.75" customHeight="1">
      <c r="B4560" s="282"/>
      <c r="H4560" s="273"/>
      <c r="I4560" s="274"/>
      <c r="J4560" s="274"/>
      <c r="K4560" s="274"/>
      <c r="L4560" s="274"/>
      <c r="M4560" s="274"/>
      <c r="N4560" s="274"/>
      <c r="P4560" s="275"/>
    </row>
    <row r="4561" ht="15.75" customHeight="1">
      <c r="B4561" s="282"/>
      <c r="H4561" s="273"/>
      <c r="I4561" s="274"/>
      <c r="J4561" s="274"/>
      <c r="K4561" s="274"/>
      <c r="L4561" s="274"/>
      <c r="M4561" s="274"/>
      <c r="N4561" s="274"/>
      <c r="P4561" s="275"/>
    </row>
    <row r="4562" ht="15.75" customHeight="1">
      <c r="B4562" s="282"/>
      <c r="H4562" s="273"/>
      <c r="I4562" s="274"/>
      <c r="J4562" s="274"/>
      <c r="K4562" s="274"/>
      <c r="L4562" s="274"/>
      <c r="M4562" s="274"/>
      <c r="N4562" s="274"/>
      <c r="P4562" s="275"/>
    </row>
    <row r="4563" ht="15.75" customHeight="1">
      <c r="B4563" s="282"/>
      <c r="H4563" s="273"/>
      <c r="I4563" s="274"/>
      <c r="J4563" s="274"/>
      <c r="K4563" s="274"/>
      <c r="L4563" s="274"/>
      <c r="M4563" s="274"/>
      <c r="N4563" s="274"/>
      <c r="P4563" s="275"/>
    </row>
    <row r="4564" ht="15.75" customHeight="1">
      <c r="B4564" s="282"/>
      <c r="H4564" s="273"/>
      <c r="I4564" s="274"/>
      <c r="J4564" s="274"/>
      <c r="K4564" s="274"/>
      <c r="L4564" s="274"/>
      <c r="M4564" s="274"/>
      <c r="N4564" s="274"/>
      <c r="P4564" s="275"/>
    </row>
    <row r="4565" ht="15.75" customHeight="1">
      <c r="B4565" s="282"/>
      <c r="H4565" s="273"/>
      <c r="I4565" s="274"/>
      <c r="J4565" s="274"/>
      <c r="K4565" s="274"/>
      <c r="L4565" s="274"/>
      <c r="M4565" s="274"/>
      <c r="N4565" s="274"/>
      <c r="P4565" s="275"/>
    </row>
    <row r="4566" ht="15.75" customHeight="1">
      <c r="B4566" s="282"/>
      <c r="H4566" s="273"/>
      <c r="I4566" s="274"/>
      <c r="J4566" s="274"/>
      <c r="K4566" s="274"/>
      <c r="L4566" s="274"/>
      <c r="M4566" s="274"/>
      <c r="N4566" s="274"/>
      <c r="P4566" s="275"/>
    </row>
    <row r="4567" ht="15.75" customHeight="1">
      <c r="B4567" s="282"/>
      <c r="H4567" s="273"/>
      <c r="I4567" s="274"/>
      <c r="J4567" s="274"/>
      <c r="K4567" s="274"/>
      <c r="L4567" s="274"/>
      <c r="M4567" s="274"/>
      <c r="N4567" s="274"/>
      <c r="P4567" s="275"/>
    </row>
    <row r="4568" ht="15.75" customHeight="1">
      <c r="B4568" s="282"/>
      <c r="H4568" s="273"/>
      <c r="I4568" s="274"/>
      <c r="J4568" s="274"/>
      <c r="K4568" s="274"/>
      <c r="L4568" s="274"/>
      <c r="M4568" s="274"/>
      <c r="N4568" s="274"/>
      <c r="P4568" s="275"/>
    </row>
    <row r="4569" ht="15.75" customHeight="1">
      <c r="B4569" s="282"/>
      <c r="H4569" s="273"/>
      <c r="I4569" s="274"/>
      <c r="J4569" s="274"/>
      <c r="K4569" s="274"/>
      <c r="L4569" s="274"/>
      <c r="M4569" s="274"/>
      <c r="N4569" s="274"/>
      <c r="P4569" s="275"/>
    </row>
    <row r="4570" ht="15.75" customHeight="1">
      <c r="B4570" s="282"/>
      <c r="H4570" s="273"/>
      <c r="I4570" s="274"/>
      <c r="J4570" s="274"/>
      <c r="K4570" s="274"/>
      <c r="L4570" s="274"/>
      <c r="M4570" s="274"/>
      <c r="N4570" s="274"/>
      <c r="P4570" s="275"/>
    </row>
    <row r="4571" ht="15.75" customHeight="1">
      <c r="B4571" s="282"/>
      <c r="H4571" s="273"/>
      <c r="I4571" s="274"/>
      <c r="J4571" s="274"/>
      <c r="K4571" s="274"/>
      <c r="L4571" s="274"/>
      <c r="M4571" s="274"/>
      <c r="N4571" s="274"/>
      <c r="P4571" s="275"/>
    </row>
    <row r="4572" ht="15.75" customHeight="1">
      <c r="B4572" s="282"/>
      <c r="H4572" s="273"/>
      <c r="I4572" s="274"/>
      <c r="J4572" s="274"/>
      <c r="K4572" s="274"/>
      <c r="L4572" s="274"/>
      <c r="M4572" s="274"/>
      <c r="N4572" s="274"/>
      <c r="P4572" s="275"/>
    </row>
    <row r="4573" ht="15.75" customHeight="1">
      <c r="B4573" s="282"/>
      <c r="H4573" s="273"/>
      <c r="I4573" s="274"/>
      <c r="J4573" s="274"/>
      <c r="K4573" s="274"/>
      <c r="L4573" s="274"/>
      <c r="M4573" s="274"/>
      <c r="N4573" s="274"/>
      <c r="P4573" s="275"/>
    </row>
    <row r="4574" ht="15.75" customHeight="1">
      <c r="B4574" s="282"/>
      <c r="H4574" s="273"/>
      <c r="I4574" s="274"/>
      <c r="J4574" s="274"/>
      <c r="K4574" s="274"/>
      <c r="L4574" s="274"/>
      <c r="M4574" s="274"/>
      <c r="N4574" s="274"/>
      <c r="P4574" s="275"/>
    </row>
    <row r="4575" ht="15.75" customHeight="1">
      <c r="B4575" s="282"/>
      <c r="H4575" s="273"/>
      <c r="I4575" s="274"/>
      <c r="J4575" s="274"/>
      <c r="K4575" s="274"/>
      <c r="L4575" s="274"/>
      <c r="M4575" s="274"/>
      <c r="N4575" s="274"/>
      <c r="P4575" s="275"/>
    </row>
    <row r="4576" ht="15.75" customHeight="1">
      <c r="B4576" s="282"/>
      <c r="H4576" s="273"/>
      <c r="I4576" s="274"/>
      <c r="J4576" s="274"/>
      <c r="K4576" s="274"/>
      <c r="L4576" s="274"/>
      <c r="M4576" s="274"/>
      <c r="N4576" s="274"/>
      <c r="P4576" s="275"/>
    </row>
    <row r="4577" ht="15.75" customHeight="1">
      <c r="B4577" s="282"/>
      <c r="H4577" s="273"/>
      <c r="I4577" s="274"/>
      <c r="J4577" s="274"/>
      <c r="K4577" s="274"/>
      <c r="L4577" s="274"/>
      <c r="M4577" s="274"/>
      <c r="N4577" s="274"/>
      <c r="P4577" s="275"/>
    </row>
    <row r="4578" ht="15.75" customHeight="1">
      <c r="B4578" s="282"/>
      <c r="H4578" s="273"/>
      <c r="I4578" s="274"/>
      <c r="J4578" s="274"/>
      <c r="K4578" s="274"/>
      <c r="L4578" s="274"/>
      <c r="M4578" s="274"/>
      <c r="N4578" s="274"/>
      <c r="P4578" s="275"/>
    </row>
    <row r="4579" ht="15.75" customHeight="1">
      <c r="B4579" s="282"/>
      <c r="H4579" s="273"/>
      <c r="I4579" s="274"/>
      <c r="J4579" s="274"/>
      <c r="K4579" s="274"/>
      <c r="L4579" s="274"/>
      <c r="M4579" s="274"/>
      <c r="N4579" s="274"/>
      <c r="P4579" s="275"/>
    </row>
    <row r="4580" ht="15.75" customHeight="1">
      <c r="B4580" s="282"/>
      <c r="H4580" s="273"/>
      <c r="I4580" s="274"/>
      <c r="J4580" s="274"/>
      <c r="K4580" s="274"/>
      <c r="L4580" s="274"/>
      <c r="M4580" s="274"/>
      <c r="N4580" s="274"/>
      <c r="P4580" s="275"/>
    </row>
    <row r="4581" ht="15.75" customHeight="1">
      <c r="B4581" s="282"/>
      <c r="H4581" s="273"/>
      <c r="I4581" s="274"/>
      <c r="J4581" s="274"/>
      <c r="K4581" s="274"/>
      <c r="L4581" s="274"/>
      <c r="M4581" s="274"/>
      <c r="N4581" s="274"/>
      <c r="P4581" s="275"/>
    </row>
    <row r="4582" ht="15.75" customHeight="1">
      <c r="B4582" s="282"/>
      <c r="H4582" s="273"/>
      <c r="I4582" s="274"/>
      <c r="J4582" s="274"/>
      <c r="K4582" s="274"/>
      <c r="L4582" s="274"/>
      <c r="M4582" s="274"/>
      <c r="N4582" s="274"/>
      <c r="P4582" s="275"/>
    </row>
    <row r="4583" ht="15.75" customHeight="1">
      <c r="B4583" s="282"/>
      <c r="H4583" s="273"/>
      <c r="I4583" s="274"/>
      <c r="J4583" s="274"/>
      <c r="K4583" s="274"/>
      <c r="L4583" s="274"/>
      <c r="M4583" s="274"/>
      <c r="N4583" s="274"/>
      <c r="P4583" s="275"/>
    </row>
    <row r="4584" ht="15.75" customHeight="1">
      <c r="B4584" s="282"/>
      <c r="H4584" s="273"/>
      <c r="I4584" s="274"/>
      <c r="J4584" s="274"/>
      <c r="K4584" s="274"/>
      <c r="L4584" s="274"/>
      <c r="M4584" s="274"/>
      <c r="N4584" s="274"/>
      <c r="P4584" s="275"/>
    </row>
    <row r="4585" ht="15.75" customHeight="1">
      <c r="B4585" s="282"/>
      <c r="H4585" s="273"/>
      <c r="I4585" s="274"/>
      <c r="J4585" s="274"/>
      <c r="K4585" s="274"/>
      <c r="L4585" s="274"/>
      <c r="M4585" s="274"/>
      <c r="N4585" s="274"/>
      <c r="P4585" s="275"/>
    </row>
    <row r="4586" ht="15.75" customHeight="1">
      <c r="B4586" s="282"/>
      <c r="H4586" s="273"/>
      <c r="I4586" s="274"/>
      <c r="J4586" s="274"/>
      <c r="K4586" s="274"/>
      <c r="L4586" s="274"/>
      <c r="M4586" s="274"/>
      <c r="N4586" s="274"/>
      <c r="P4586" s="275"/>
    </row>
    <row r="4587" ht="15.75" customHeight="1">
      <c r="B4587" s="282"/>
      <c r="H4587" s="273"/>
      <c r="I4587" s="274"/>
      <c r="J4587" s="274"/>
      <c r="K4587" s="274"/>
      <c r="L4587" s="274"/>
      <c r="M4587" s="274"/>
      <c r="N4587" s="274"/>
      <c r="P4587" s="275"/>
    </row>
    <row r="4588" ht="15.75" customHeight="1">
      <c r="B4588" s="282"/>
      <c r="H4588" s="273"/>
      <c r="I4588" s="274"/>
      <c r="J4588" s="274"/>
      <c r="K4588" s="274"/>
      <c r="L4588" s="274"/>
      <c r="M4588" s="274"/>
      <c r="N4588" s="274"/>
      <c r="P4588" s="275"/>
    </row>
    <row r="4589" ht="15.75" customHeight="1">
      <c r="B4589" s="282"/>
      <c r="H4589" s="273"/>
      <c r="I4589" s="274"/>
      <c r="J4589" s="274"/>
      <c r="K4589" s="274"/>
      <c r="L4589" s="274"/>
      <c r="M4589" s="274"/>
      <c r="N4589" s="274"/>
      <c r="P4589" s="275"/>
    </row>
    <row r="4590" ht="15.75" customHeight="1">
      <c r="B4590" s="282"/>
      <c r="H4590" s="273"/>
      <c r="I4590" s="274"/>
      <c r="J4590" s="274"/>
      <c r="K4590" s="274"/>
      <c r="L4590" s="274"/>
      <c r="M4590" s="274"/>
      <c r="N4590" s="274"/>
      <c r="P4590" s="275"/>
    </row>
    <row r="4591" ht="15.75" customHeight="1">
      <c r="B4591" s="282"/>
      <c r="H4591" s="273"/>
      <c r="I4591" s="274"/>
      <c r="J4591" s="274"/>
      <c r="K4591" s="274"/>
      <c r="L4591" s="274"/>
      <c r="M4591" s="274"/>
      <c r="N4591" s="274"/>
      <c r="P4591" s="275"/>
    </row>
    <row r="4592" ht="15.75" customHeight="1">
      <c r="B4592" s="282"/>
      <c r="H4592" s="273"/>
      <c r="I4592" s="274"/>
      <c r="J4592" s="274"/>
      <c r="K4592" s="274"/>
      <c r="L4592" s="274"/>
      <c r="M4592" s="274"/>
      <c r="N4592" s="274"/>
      <c r="P4592" s="275"/>
    </row>
    <row r="4593" ht="15.75" customHeight="1">
      <c r="B4593" s="282"/>
      <c r="H4593" s="273"/>
      <c r="I4593" s="274"/>
      <c r="J4593" s="274"/>
      <c r="K4593" s="274"/>
      <c r="L4593" s="274"/>
      <c r="M4593" s="274"/>
      <c r="N4593" s="274"/>
      <c r="P4593" s="275"/>
    </row>
    <row r="4594" ht="15.75" customHeight="1">
      <c r="B4594" s="282"/>
      <c r="H4594" s="273"/>
      <c r="I4594" s="274"/>
      <c r="J4594" s="274"/>
      <c r="K4594" s="274"/>
      <c r="L4594" s="274"/>
      <c r="M4594" s="274"/>
      <c r="N4594" s="274"/>
      <c r="P4594" s="275"/>
    </row>
    <row r="4595" ht="15.75" customHeight="1">
      <c r="B4595" s="282"/>
      <c r="H4595" s="273"/>
      <c r="I4595" s="274"/>
      <c r="J4595" s="274"/>
      <c r="K4595" s="274"/>
      <c r="L4595" s="274"/>
      <c r="M4595" s="274"/>
      <c r="N4595" s="274"/>
      <c r="P4595" s="275"/>
    </row>
    <row r="4596" ht="15.75" customHeight="1">
      <c r="B4596" s="282"/>
      <c r="H4596" s="273"/>
      <c r="I4596" s="274"/>
      <c r="J4596" s="274"/>
      <c r="K4596" s="274"/>
      <c r="L4596" s="274"/>
      <c r="M4596" s="274"/>
      <c r="N4596" s="274"/>
      <c r="P4596" s="275"/>
    </row>
    <row r="4597" ht="15.75" customHeight="1">
      <c r="B4597" s="282"/>
      <c r="H4597" s="273"/>
      <c r="I4597" s="274"/>
      <c r="J4597" s="274"/>
      <c r="K4597" s="274"/>
      <c r="L4597" s="274"/>
      <c r="M4597" s="274"/>
      <c r="N4597" s="274"/>
      <c r="P4597" s="275"/>
    </row>
    <row r="4598" ht="15.75" customHeight="1">
      <c r="B4598" s="282"/>
      <c r="H4598" s="273"/>
      <c r="I4598" s="274"/>
      <c r="J4598" s="274"/>
      <c r="K4598" s="274"/>
      <c r="L4598" s="274"/>
      <c r="M4598" s="274"/>
      <c r="N4598" s="274"/>
      <c r="P4598" s="275"/>
    </row>
    <row r="4599" ht="15.75" customHeight="1">
      <c r="B4599" s="282"/>
      <c r="H4599" s="273"/>
      <c r="I4599" s="274"/>
      <c r="J4599" s="274"/>
      <c r="K4599" s="274"/>
      <c r="L4599" s="274"/>
      <c r="M4599" s="274"/>
      <c r="N4599" s="274"/>
      <c r="P4599" s="275"/>
    </row>
    <row r="4600" ht="15.75" customHeight="1">
      <c r="B4600" s="282"/>
      <c r="H4600" s="273"/>
      <c r="I4600" s="274"/>
      <c r="J4600" s="274"/>
      <c r="K4600" s="274"/>
      <c r="L4600" s="274"/>
      <c r="M4600" s="274"/>
      <c r="N4600" s="274"/>
      <c r="P4600" s="275"/>
    </row>
    <row r="4601" ht="15.75" customHeight="1">
      <c r="B4601" s="282"/>
      <c r="H4601" s="273"/>
      <c r="I4601" s="274"/>
      <c r="J4601" s="274"/>
      <c r="K4601" s="274"/>
      <c r="L4601" s="274"/>
      <c r="M4601" s="274"/>
      <c r="N4601" s="274"/>
      <c r="P4601" s="275"/>
    </row>
    <row r="4602" ht="15.75" customHeight="1">
      <c r="B4602" s="282"/>
      <c r="H4602" s="273"/>
      <c r="I4602" s="274"/>
      <c r="J4602" s="274"/>
      <c r="K4602" s="274"/>
      <c r="L4602" s="274"/>
      <c r="M4602" s="274"/>
      <c r="N4602" s="274"/>
      <c r="P4602" s="275"/>
    </row>
    <row r="4603" ht="15.75" customHeight="1">
      <c r="B4603" s="282"/>
      <c r="H4603" s="273"/>
      <c r="I4603" s="274"/>
      <c r="J4603" s="274"/>
      <c r="K4603" s="274"/>
      <c r="L4603" s="274"/>
      <c r="M4603" s="274"/>
      <c r="N4603" s="274"/>
      <c r="P4603" s="275"/>
    </row>
    <row r="4604" ht="15.75" customHeight="1">
      <c r="B4604" s="282"/>
      <c r="H4604" s="273"/>
      <c r="I4604" s="274"/>
      <c r="J4604" s="274"/>
      <c r="K4604" s="274"/>
      <c r="L4604" s="274"/>
      <c r="M4604" s="274"/>
      <c r="N4604" s="274"/>
      <c r="P4604" s="275"/>
    </row>
    <row r="4605" ht="15.75" customHeight="1">
      <c r="B4605" s="282"/>
      <c r="H4605" s="273"/>
      <c r="I4605" s="274"/>
      <c r="J4605" s="274"/>
      <c r="K4605" s="274"/>
      <c r="L4605" s="274"/>
      <c r="M4605" s="274"/>
      <c r="N4605" s="274"/>
      <c r="P4605" s="275"/>
    </row>
    <row r="4606" ht="15.75" customHeight="1">
      <c r="B4606" s="282"/>
      <c r="H4606" s="273"/>
      <c r="I4606" s="274"/>
      <c r="J4606" s="274"/>
      <c r="K4606" s="274"/>
      <c r="L4606" s="274"/>
      <c r="M4606" s="274"/>
      <c r="N4606" s="274"/>
      <c r="P4606" s="275"/>
    </row>
    <row r="4607" ht="15.75" customHeight="1">
      <c r="B4607" s="282"/>
      <c r="H4607" s="273"/>
      <c r="I4607" s="274"/>
      <c r="J4607" s="274"/>
      <c r="K4607" s="274"/>
      <c r="L4607" s="274"/>
      <c r="M4607" s="274"/>
      <c r="N4607" s="274"/>
      <c r="P4607" s="275"/>
    </row>
    <row r="4608" ht="15.75" customHeight="1">
      <c r="B4608" s="282"/>
      <c r="H4608" s="273"/>
      <c r="I4608" s="274"/>
      <c r="J4608" s="274"/>
      <c r="K4608" s="274"/>
      <c r="L4608" s="274"/>
      <c r="M4608" s="274"/>
      <c r="N4608" s="274"/>
      <c r="P4608" s="275"/>
    </row>
    <row r="4609" ht="15.75" customHeight="1">
      <c r="B4609" s="282"/>
      <c r="H4609" s="273"/>
      <c r="I4609" s="274"/>
      <c r="J4609" s="274"/>
      <c r="K4609" s="274"/>
      <c r="L4609" s="274"/>
      <c r="M4609" s="274"/>
      <c r="N4609" s="274"/>
      <c r="P4609" s="275"/>
    </row>
    <row r="4610" ht="15.75" customHeight="1">
      <c r="B4610" s="282"/>
      <c r="H4610" s="273"/>
      <c r="I4610" s="274"/>
      <c r="J4610" s="274"/>
      <c r="K4610" s="274"/>
      <c r="L4610" s="274"/>
      <c r="M4610" s="274"/>
      <c r="N4610" s="274"/>
      <c r="P4610" s="275"/>
    </row>
    <row r="4611" ht="15.75" customHeight="1">
      <c r="B4611" s="282"/>
      <c r="H4611" s="273"/>
      <c r="I4611" s="274"/>
      <c r="J4611" s="274"/>
      <c r="K4611" s="274"/>
      <c r="L4611" s="274"/>
      <c r="M4611" s="274"/>
      <c r="N4611" s="274"/>
      <c r="P4611" s="275"/>
    </row>
    <row r="4612" ht="15.75" customHeight="1">
      <c r="B4612" s="282"/>
      <c r="H4612" s="273"/>
      <c r="I4612" s="274"/>
      <c r="J4612" s="274"/>
      <c r="K4612" s="274"/>
      <c r="L4612" s="274"/>
      <c r="M4612" s="274"/>
      <c r="N4612" s="274"/>
      <c r="P4612" s="275"/>
    </row>
    <row r="4613" ht="15.75" customHeight="1">
      <c r="B4613" s="282"/>
      <c r="H4613" s="273"/>
      <c r="I4613" s="274"/>
      <c r="J4613" s="274"/>
      <c r="K4613" s="274"/>
      <c r="L4613" s="274"/>
      <c r="M4613" s="274"/>
      <c r="N4613" s="274"/>
      <c r="P4613" s="275"/>
    </row>
    <row r="4614" ht="15.75" customHeight="1">
      <c r="B4614" s="282"/>
      <c r="H4614" s="273"/>
      <c r="I4614" s="274"/>
      <c r="J4614" s="274"/>
      <c r="K4614" s="274"/>
      <c r="L4614" s="274"/>
      <c r="M4614" s="274"/>
      <c r="N4614" s="274"/>
      <c r="P4614" s="275"/>
    </row>
    <row r="4615" ht="15.75" customHeight="1">
      <c r="B4615" s="282"/>
      <c r="H4615" s="273"/>
      <c r="I4615" s="274"/>
      <c r="J4615" s="274"/>
      <c r="K4615" s="274"/>
      <c r="L4615" s="274"/>
      <c r="M4615" s="274"/>
      <c r="N4615" s="274"/>
      <c r="P4615" s="275"/>
    </row>
    <row r="4616" ht="15.75" customHeight="1">
      <c r="B4616" s="282"/>
      <c r="H4616" s="273"/>
      <c r="I4616" s="274"/>
      <c r="J4616" s="274"/>
      <c r="K4616" s="274"/>
      <c r="L4616" s="274"/>
      <c r="M4616" s="274"/>
      <c r="N4616" s="274"/>
      <c r="P4616" s="275"/>
    </row>
    <row r="4617" ht="15.75" customHeight="1">
      <c r="B4617" s="282"/>
      <c r="H4617" s="273"/>
      <c r="I4617" s="274"/>
      <c r="J4617" s="274"/>
      <c r="K4617" s="274"/>
      <c r="L4617" s="274"/>
      <c r="M4617" s="274"/>
      <c r="N4617" s="274"/>
      <c r="P4617" s="275"/>
    </row>
    <row r="4618" ht="15.75" customHeight="1">
      <c r="B4618" s="282"/>
      <c r="H4618" s="273"/>
      <c r="I4618" s="274"/>
      <c r="J4618" s="274"/>
      <c r="K4618" s="274"/>
      <c r="L4618" s="274"/>
      <c r="M4618" s="274"/>
      <c r="N4618" s="274"/>
      <c r="P4618" s="275"/>
    </row>
    <row r="4619" ht="15.75" customHeight="1">
      <c r="B4619" s="282"/>
      <c r="H4619" s="273"/>
      <c r="I4619" s="274"/>
      <c r="J4619" s="274"/>
      <c r="K4619" s="274"/>
      <c r="L4619" s="274"/>
      <c r="M4619" s="274"/>
      <c r="N4619" s="274"/>
      <c r="P4619" s="275"/>
    </row>
    <row r="4620" ht="15.75" customHeight="1">
      <c r="B4620" s="282"/>
      <c r="H4620" s="273"/>
      <c r="I4620" s="274"/>
      <c r="J4620" s="274"/>
      <c r="K4620" s="274"/>
      <c r="L4620" s="274"/>
      <c r="M4620" s="274"/>
      <c r="N4620" s="274"/>
      <c r="P4620" s="275"/>
    </row>
    <row r="4621" ht="15.75" customHeight="1">
      <c r="B4621" s="282"/>
      <c r="H4621" s="273"/>
      <c r="I4621" s="274"/>
      <c r="J4621" s="274"/>
      <c r="K4621" s="274"/>
      <c r="L4621" s="274"/>
      <c r="M4621" s="274"/>
      <c r="N4621" s="274"/>
      <c r="P4621" s="275"/>
    </row>
    <row r="4622" ht="15.75" customHeight="1">
      <c r="B4622" s="282"/>
      <c r="H4622" s="273"/>
      <c r="I4622" s="274"/>
      <c r="J4622" s="274"/>
      <c r="K4622" s="274"/>
      <c r="L4622" s="274"/>
      <c r="M4622" s="274"/>
      <c r="N4622" s="274"/>
      <c r="P4622" s="275"/>
    </row>
    <row r="4623" ht="15.75" customHeight="1">
      <c r="B4623" s="282"/>
      <c r="H4623" s="273"/>
      <c r="I4623" s="274"/>
      <c r="J4623" s="274"/>
      <c r="K4623" s="274"/>
      <c r="L4623" s="274"/>
      <c r="M4623" s="274"/>
      <c r="N4623" s="274"/>
      <c r="P4623" s="275"/>
    </row>
    <row r="4624" ht="15.75" customHeight="1">
      <c r="B4624" s="282"/>
      <c r="H4624" s="273"/>
      <c r="I4624" s="274"/>
      <c r="J4624" s="274"/>
      <c r="K4624" s="274"/>
      <c r="L4624" s="274"/>
      <c r="M4624" s="274"/>
      <c r="N4624" s="274"/>
      <c r="P4624" s="275"/>
    </row>
    <row r="4625" ht="15.75" customHeight="1">
      <c r="B4625" s="282"/>
      <c r="H4625" s="273"/>
      <c r="I4625" s="274"/>
      <c r="J4625" s="274"/>
      <c r="K4625" s="274"/>
      <c r="L4625" s="274"/>
      <c r="M4625" s="274"/>
      <c r="N4625" s="274"/>
      <c r="P4625" s="275"/>
    </row>
    <row r="4626" ht="15.75" customHeight="1">
      <c r="B4626" s="282"/>
      <c r="H4626" s="273"/>
      <c r="I4626" s="274"/>
      <c r="J4626" s="274"/>
      <c r="K4626" s="274"/>
      <c r="L4626" s="274"/>
      <c r="M4626" s="274"/>
      <c r="N4626" s="274"/>
      <c r="P4626" s="275"/>
    </row>
    <row r="4627" ht="15.75" customHeight="1">
      <c r="B4627" s="282"/>
      <c r="H4627" s="273"/>
      <c r="I4627" s="274"/>
      <c r="J4627" s="274"/>
      <c r="K4627" s="274"/>
      <c r="L4627" s="274"/>
      <c r="M4627" s="274"/>
      <c r="N4627" s="274"/>
      <c r="P4627" s="275"/>
    </row>
    <row r="4628" ht="15.75" customHeight="1">
      <c r="B4628" s="282"/>
      <c r="H4628" s="273"/>
      <c r="I4628" s="274"/>
      <c r="J4628" s="274"/>
      <c r="K4628" s="274"/>
      <c r="L4628" s="274"/>
      <c r="M4628" s="274"/>
      <c r="N4628" s="274"/>
      <c r="P4628" s="275"/>
    </row>
    <row r="4629" ht="15.75" customHeight="1">
      <c r="B4629" s="282"/>
      <c r="H4629" s="273"/>
      <c r="I4629" s="274"/>
      <c r="J4629" s="274"/>
      <c r="K4629" s="274"/>
      <c r="L4629" s="274"/>
      <c r="M4629" s="274"/>
      <c r="N4629" s="274"/>
      <c r="P4629" s="275"/>
    </row>
    <row r="4630" ht="15.75" customHeight="1">
      <c r="B4630" s="282"/>
      <c r="H4630" s="273"/>
      <c r="I4630" s="274"/>
      <c r="J4630" s="274"/>
      <c r="K4630" s="274"/>
      <c r="L4630" s="274"/>
      <c r="M4630" s="274"/>
      <c r="N4630" s="274"/>
      <c r="P4630" s="275"/>
    </row>
    <row r="4631" ht="15.75" customHeight="1">
      <c r="B4631" s="282"/>
      <c r="H4631" s="273"/>
      <c r="I4631" s="274"/>
      <c r="J4631" s="274"/>
      <c r="K4631" s="274"/>
      <c r="L4631" s="274"/>
      <c r="M4631" s="274"/>
      <c r="N4631" s="274"/>
      <c r="P4631" s="275"/>
    </row>
    <row r="4632" ht="15.75" customHeight="1">
      <c r="B4632" s="282"/>
      <c r="H4632" s="273"/>
      <c r="I4632" s="274"/>
      <c r="J4632" s="274"/>
      <c r="K4632" s="274"/>
      <c r="L4632" s="274"/>
      <c r="M4632" s="274"/>
      <c r="N4632" s="274"/>
      <c r="P4632" s="275"/>
    </row>
    <row r="4633" ht="15.75" customHeight="1">
      <c r="B4633" s="282"/>
      <c r="H4633" s="273"/>
      <c r="I4633" s="274"/>
      <c r="J4633" s="274"/>
      <c r="K4633" s="274"/>
      <c r="L4633" s="274"/>
      <c r="M4633" s="274"/>
      <c r="N4633" s="274"/>
      <c r="P4633" s="275"/>
    </row>
    <row r="4634" ht="15.75" customHeight="1">
      <c r="B4634" s="282"/>
      <c r="H4634" s="273"/>
      <c r="I4634" s="274"/>
      <c r="J4634" s="274"/>
      <c r="K4634" s="274"/>
      <c r="L4634" s="274"/>
      <c r="M4634" s="274"/>
      <c r="N4634" s="274"/>
      <c r="P4634" s="275"/>
    </row>
    <row r="4635" ht="15.75" customHeight="1">
      <c r="B4635" s="282"/>
      <c r="H4635" s="273"/>
      <c r="I4635" s="274"/>
      <c r="J4635" s="274"/>
      <c r="K4635" s="274"/>
      <c r="L4635" s="274"/>
      <c r="M4635" s="274"/>
      <c r="N4635" s="274"/>
      <c r="P4635" s="275"/>
    </row>
    <row r="4636" ht="15.75" customHeight="1">
      <c r="B4636" s="282"/>
      <c r="H4636" s="273"/>
      <c r="I4636" s="274"/>
      <c r="J4636" s="274"/>
      <c r="K4636" s="274"/>
      <c r="L4636" s="274"/>
      <c r="M4636" s="274"/>
      <c r="N4636" s="274"/>
      <c r="P4636" s="275"/>
    </row>
    <row r="4637" ht="15.75" customHeight="1">
      <c r="B4637" s="282"/>
      <c r="H4637" s="273"/>
      <c r="I4637" s="274"/>
      <c r="J4637" s="274"/>
      <c r="K4637" s="274"/>
      <c r="L4637" s="274"/>
      <c r="M4637" s="274"/>
      <c r="N4637" s="274"/>
      <c r="P4637" s="275"/>
    </row>
    <row r="4638" ht="15.75" customHeight="1">
      <c r="B4638" s="282"/>
      <c r="H4638" s="273"/>
      <c r="I4638" s="274"/>
      <c r="J4638" s="274"/>
      <c r="K4638" s="274"/>
      <c r="L4638" s="274"/>
      <c r="M4638" s="274"/>
      <c r="N4638" s="274"/>
      <c r="P4638" s="275"/>
    </row>
    <row r="4639" ht="15.75" customHeight="1">
      <c r="B4639" s="282"/>
      <c r="H4639" s="273"/>
      <c r="I4639" s="274"/>
      <c r="J4639" s="274"/>
      <c r="K4639" s="274"/>
      <c r="L4639" s="274"/>
      <c r="M4639" s="274"/>
      <c r="N4639" s="274"/>
      <c r="P4639" s="275"/>
    </row>
    <row r="4640" ht="15.75" customHeight="1">
      <c r="B4640" s="282"/>
      <c r="H4640" s="273"/>
      <c r="I4640" s="274"/>
      <c r="J4640" s="274"/>
      <c r="K4640" s="274"/>
      <c r="L4640" s="274"/>
      <c r="M4640" s="274"/>
      <c r="N4640" s="274"/>
      <c r="P4640" s="275"/>
    </row>
    <row r="4641" ht="15.75" customHeight="1">
      <c r="B4641" s="282"/>
      <c r="H4641" s="273"/>
      <c r="I4641" s="274"/>
      <c r="J4641" s="274"/>
      <c r="K4641" s="274"/>
      <c r="L4641" s="274"/>
      <c r="M4641" s="274"/>
      <c r="N4641" s="274"/>
      <c r="P4641" s="275"/>
    </row>
    <row r="4642" ht="15.75" customHeight="1">
      <c r="B4642" s="282"/>
      <c r="H4642" s="273"/>
      <c r="I4642" s="274"/>
      <c r="J4642" s="274"/>
      <c r="K4642" s="274"/>
      <c r="L4642" s="274"/>
      <c r="M4642" s="274"/>
      <c r="N4642" s="274"/>
      <c r="P4642" s="275"/>
    </row>
    <row r="4643" ht="15.75" customHeight="1">
      <c r="B4643" s="282"/>
      <c r="H4643" s="273"/>
      <c r="I4643" s="274"/>
      <c r="J4643" s="274"/>
      <c r="K4643" s="274"/>
      <c r="L4643" s="274"/>
      <c r="M4643" s="274"/>
      <c r="N4643" s="274"/>
      <c r="P4643" s="275"/>
    </row>
    <row r="4644" ht="15.75" customHeight="1">
      <c r="B4644" s="282"/>
      <c r="H4644" s="273"/>
      <c r="I4644" s="274"/>
      <c r="J4644" s="274"/>
      <c r="K4644" s="274"/>
      <c r="L4644" s="274"/>
      <c r="M4644" s="274"/>
      <c r="N4644" s="274"/>
      <c r="P4644" s="275"/>
    </row>
    <row r="4645" ht="15.75" customHeight="1">
      <c r="B4645" s="282"/>
      <c r="H4645" s="273"/>
      <c r="I4645" s="274"/>
      <c r="J4645" s="274"/>
      <c r="K4645" s="274"/>
      <c r="L4645" s="274"/>
      <c r="M4645" s="274"/>
      <c r="N4645" s="274"/>
      <c r="P4645" s="275"/>
    </row>
    <row r="4646" ht="15.75" customHeight="1">
      <c r="B4646" s="282"/>
      <c r="H4646" s="273"/>
      <c r="I4646" s="274"/>
      <c r="J4646" s="274"/>
      <c r="K4646" s="274"/>
      <c r="L4646" s="274"/>
      <c r="M4646" s="274"/>
      <c r="N4646" s="274"/>
      <c r="P4646" s="275"/>
    </row>
    <row r="4647" ht="15.75" customHeight="1">
      <c r="B4647" s="282"/>
      <c r="H4647" s="273"/>
      <c r="I4647" s="274"/>
      <c r="J4647" s="274"/>
      <c r="K4647" s="274"/>
      <c r="L4647" s="274"/>
      <c r="M4647" s="274"/>
      <c r="N4647" s="274"/>
      <c r="P4647" s="275"/>
    </row>
    <row r="4648" ht="15.75" customHeight="1">
      <c r="B4648" s="282"/>
      <c r="H4648" s="273"/>
      <c r="I4648" s="274"/>
      <c r="J4648" s="274"/>
      <c r="K4648" s="274"/>
      <c r="L4648" s="274"/>
      <c r="M4648" s="274"/>
      <c r="N4648" s="274"/>
      <c r="P4648" s="275"/>
    </row>
    <row r="4649" ht="15.75" customHeight="1">
      <c r="B4649" s="282"/>
      <c r="H4649" s="273"/>
      <c r="I4649" s="274"/>
      <c r="J4649" s="274"/>
      <c r="K4649" s="274"/>
      <c r="L4649" s="274"/>
      <c r="M4649" s="274"/>
      <c r="N4649" s="274"/>
      <c r="P4649" s="275"/>
    </row>
    <row r="4650" ht="15.75" customHeight="1">
      <c r="B4650" s="282"/>
      <c r="H4650" s="273"/>
      <c r="I4650" s="274"/>
      <c r="J4650" s="274"/>
      <c r="K4650" s="274"/>
      <c r="L4650" s="274"/>
      <c r="M4650" s="274"/>
      <c r="N4650" s="274"/>
      <c r="P4650" s="275"/>
    </row>
    <row r="4651" ht="15.75" customHeight="1">
      <c r="B4651" s="282"/>
      <c r="H4651" s="273"/>
      <c r="I4651" s="274"/>
      <c r="J4651" s="274"/>
      <c r="K4651" s="274"/>
      <c r="L4651" s="274"/>
      <c r="M4651" s="274"/>
      <c r="N4651" s="274"/>
      <c r="P4651" s="275"/>
    </row>
    <row r="4652" ht="15.75" customHeight="1">
      <c r="B4652" s="282"/>
      <c r="H4652" s="273"/>
      <c r="I4652" s="274"/>
      <c r="J4652" s="274"/>
      <c r="K4652" s="274"/>
      <c r="L4652" s="274"/>
      <c r="M4652" s="274"/>
      <c r="N4652" s="274"/>
      <c r="P4652" s="275"/>
    </row>
    <row r="4653" ht="15.75" customHeight="1">
      <c r="B4653" s="282"/>
      <c r="H4653" s="273"/>
      <c r="I4653" s="274"/>
      <c r="J4653" s="274"/>
      <c r="K4653" s="274"/>
      <c r="L4653" s="274"/>
      <c r="M4653" s="274"/>
      <c r="N4653" s="274"/>
      <c r="P4653" s="275"/>
    </row>
    <row r="4654" ht="15.75" customHeight="1">
      <c r="B4654" s="282"/>
      <c r="H4654" s="273"/>
      <c r="I4654" s="274"/>
      <c r="J4654" s="274"/>
      <c r="K4654" s="274"/>
      <c r="L4654" s="274"/>
      <c r="M4654" s="274"/>
      <c r="N4654" s="274"/>
      <c r="P4654" s="275"/>
    </row>
    <row r="4655" ht="15.75" customHeight="1">
      <c r="B4655" s="282"/>
      <c r="H4655" s="273"/>
      <c r="I4655" s="274"/>
      <c r="J4655" s="274"/>
      <c r="K4655" s="274"/>
      <c r="L4655" s="274"/>
      <c r="M4655" s="274"/>
      <c r="N4655" s="274"/>
      <c r="P4655" s="275"/>
    </row>
    <row r="4656" ht="15.75" customHeight="1">
      <c r="B4656" s="282"/>
      <c r="H4656" s="273"/>
      <c r="I4656" s="274"/>
      <c r="J4656" s="274"/>
      <c r="K4656" s="274"/>
      <c r="L4656" s="274"/>
      <c r="M4656" s="274"/>
      <c r="N4656" s="274"/>
      <c r="P4656" s="275"/>
    </row>
    <row r="4657" ht="15.75" customHeight="1">
      <c r="B4657" s="282"/>
      <c r="H4657" s="273"/>
      <c r="I4657" s="274"/>
      <c r="J4657" s="274"/>
      <c r="K4657" s="274"/>
      <c r="L4657" s="274"/>
      <c r="M4657" s="274"/>
      <c r="N4657" s="274"/>
      <c r="P4657" s="275"/>
    </row>
    <row r="4658" ht="15.75" customHeight="1">
      <c r="B4658" s="282"/>
      <c r="H4658" s="273"/>
      <c r="I4658" s="274"/>
      <c r="J4658" s="274"/>
      <c r="K4658" s="274"/>
      <c r="L4658" s="274"/>
      <c r="M4658" s="274"/>
      <c r="N4658" s="274"/>
      <c r="P4658" s="275"/>
    </row>
    <row r="4659" ht="15.75" customHeight="1">
      <c r="B4659" s="282"/>
      <c r="H4659" s="273"/>
      <c r="I4659" s="274"/>
      <c r="J4659" s="274"/>
      <c r="K4659" s="274"/>
      <c r="L4659" s="274"/>
      <c r="M4659" s="274"/>
      <c r="N4659" s="274"/>
      <c r="P4659" s="275"/>
    </row>
    <row r="4660" ht="15.75" customHeight="1">
      <c r="B4660" s="282"/>
      <c r="H4660" s="273"/>
      <c r="I4660" s="274"/>
      <c r="J4660" s="274"/>
      <c r="K4660" s="274"/>
      <c r="L4660" s="274"/>
      <c r="M4660" s="274"/>
      <c r="N4660" s="274"/>
      <c r="P4660" s="275"/>
    </row>
    <row r="4661" ht="15.75" customHeight="1">
      <c r="B4661" s="282"/>
      <c r="H4661" s="273"/>
      <c r="I4661" s="274"/>
      <c r="J4661" s="274"/>
      <c r="K4661" s="274"/>
      <c r="L4661" s="274"/>
      <c r="M4661" s="274"/>
      <c r="N4661" s="274"/>
      <c r="P4661" s="275"/>
    </row>
    <row r="4662" ht="15.75" customHeight="1">
      <c r="B4662" s="282"/>
      <c r="H4662" s="273"/>
      <c r="I4662" s="274"/>
      <c r="J4662" s="274"/>
      <c r="K4662" s="274"/>
      <c r="L4662" s="274"/>
      <c r="M4662" s="274"/>
      <c r="N4662" s="274"/>
      <c r="P4662" s="275"/>
    </row>
    <row r="4663" ht="15.75" customHeight="1">
      <c r="B4663" s="282"/>
      <c r="H4663" s="273"/>
      <c r="I4663" s="274"/>
      <c r="J4663" s="274"/>
      <c r="K4663" s="274"/>
      <c r="L4663" s="274"/>
      <c r="M4663" s="274"/>
      <c r="N4663" s="274"/>
      <c r="P4663" s="275"/>
    </row>
    <row r="4664" ht="15.75" customHeight="1">
      <c r="B4664" s="282"/>
      <c r="H4664" s="273"/>
      <c r="I4664" s="274"/>
      <c r="J4664" s="274"/>
      <c r="K4664" s="274"/>
      <c r="L4664" s="274"/>
      <c r="M4664" s="274"/>
      <c r="N4664" s="274"/>
      <c r="P4664" s="275"/>
    </row>
    <row r="4665" ht="15.75" customHeight="1">
      <c r="B4665" s="282"/>
      <c r="H4665" s="273"/>
      <c r="I4665" s="274"/>
      <c r="J4665" s="274"/>
      <c r="K4665" s="274"/>
      <c r="L4665" s="274"/>
      <c r="M4665" s="274"/>
      <c r="N4665" s="274"/>
      <c r="P4665" s="275"/>
    </row>
    <row r="4666" ht="15.75" customHeight="1">
      <c r="B4666" s="282"/>
      <c r="H4666" s="273"/>
      <c r="I4666" s="274"/>
      <c r="J4666" s="274"/>
      <c r="K4666" s="274"/>
      <c r="L4666" s="274"/>
      <c r="M4666" s="274"/>
      <c r="N4666" s="274"/>
      <c r="P4666" s="275"/>
    </row>
    <row r="4667" ht="15.75" customHeight="1">
      <c r="B4667" s="282"/>
      <c r="H4667" s="273"/>
      <c r="I4667" s="274"/>
      <c r="J4667" s="274"/>
      <c r="K4667" s="274"/>
      <c r="L4667" s="274"/>
      <c r="M4667" s="274"/>
      <c r="N4667" s="274"/>
      <c r="P4667" s="275"/>
    </row>
    <row r="4668" ht="15.75" customHeight="1">
      <c r="B4668" s="282"/>
      <c r="H4668" s="273"/>
      <c r="I4668" s="274"/>
      <c r="J4668" s="274"/>
      <c r="K4668" s="274"/>
      <c r="L4668" s="274"/>
      <c r="M4668" s="274"/>
      <c r="N4668" s="274"/>
      <c r="P4668" s="275"/>
    </row>
    <row r="4669" ht="15.75" customHeight="1">
      <c r="B4669" s="282"/>
      <c r="H4669" s="273"/>
      <c r="I4669" s="274"/>
      <c r="J4669" s="274"/>
      <c r="K4669" s="274"/>
      <c r="L4669" s="274"/>
      <c r="M4669" s="274"/>
      <c r="N4669" s="274"/>
      <c r="P4669" s="275"/>
    </row>
    <row r="4670" ht="15.75" customHeight="1">
      <c r="B4670" s="282"/>
      <c r="H4670" s="273"/>
      <c r="I4670" s="274"/>
      <c r="J4670" s="274"/>
      <c r="K4670" s="274"/>
      <c r="L4670" s="274"/>
      <c r="M4670" s="274"/>
      <c r="N4670" s="274"/>
      <c r="P4670" s="275"/>
    </row>
    <row r="4671" ht="15.75" customHeight="1">
      <c r="B4671" s="282"/>
      <c r="H4671" s="273"/>
      <c r="I4671" s="274"/>
      <c r="J4671" s="274"/>
      <c r="K4671" s="274"/>
      <c r="L4671" s="274"/>
      <c r="M4671" s="274"/>
      <c r="N4671" s="274"/>
      <c r="P4671" s="275"/>
    </row>
    <row r="4672" ht="15.75" customHeight="1">
      <c r="B4672" s="282"/>
      <c r="H4672" s="273"/>
      <c r="I4672" s="274"/>
      <c r="J4672" s="274"/>
      <c r="K4672" s="274"/>
      <c r="L4672" s="274"/>
      <c r="M4672" s="274"/>
      <c r="N4672" s="274"/>
      <c r="P4672" s="275"/>
    </row>
    <row r="4673" ht="15.75" customHeight="1">
      <c r="B4673" s="282"/>
      <c r="H4673" s="273"/>
      <c r="I4673" s="274"/>
      <c r="J4673" s="274"/>
      <c r="K4673" s="274"/>
      <c r="L4673" s="274"/>
      <c r="M4673" s="274"/>
      <c r="N4673" s="274"/>
      <c r="P4673" s="275"/>
    </row>
    <row r="4674" ht="15.75" customHeight="1">
      <c r="B4674" s="282"/>
      <c r="H4674" s="273"/>
      <c r="I4674" s="274"/>
      <c r="J4674" s="274"/>
      <c r="K4674" s="274"/>
      <c r="L4674" s="274"/>
      <c r="M4674" s="274"/>
      <c r="N4674" s="274"/>
      <c r="P4674" s="275"/>
    </row>
    <row r="4675" ht="15.75" customHeight="1">
      <c r="B4675" s="282"/>
      <c r="H4675" s="273"/>
      <c r="I4675" s="274"/>
      <c r="J4675" s="274"/>
      <c r="K4675" s="274"/>
      <c r="L4675" s="274"/>
      <c r="M4675" s="274"/>
      <c r="N4675" s="274"/>
      <c r="P4675" s="275"/>
    </row>
    <row r="4676" ht="15.75" customHeight="1">
      <c r="B4676" s="282"/>
      <c r="H4676" s="273"/>
      <c r="I4676" s="274"/>
      <c r="J4676" s="274"/>
      <c r="K4676" s="274"/>
      <c r="L4676" s="274"/>
      <c r="M4676" s="274"/>
      <c r="N4676" s="274"/>
      <c r="P4676" s="275"/>
    </row>
    <row r="4677" ht="15.75" customHeight="1">
      <c r="B4677" s="282"/>
      <c r="H4677" s="273"/>
      <c r="I4677" s="274"/>
      <c r="J4677" s="274"/>
      <c r="K4677" s="274"/>
      <c r="L4677" s="274"/>
      <c r="M4677" s="274"/>
      <c r="N4677" s="274"/>
      <c r="P4677" s="275"/>
    </row>
    <row r="4678" ht="15.75" customHeight="1">
      <c r="B4678" s="282"/>
      <c r="H4678" s="273"/>
      <c r="I4678" s="274"/>
      <c r="J4678" s="274"/>
      <c r="K4678" s="274"/>
      <c r="L4678" s="274"/>
      <c r="M4678" s="274"/>
      <c r="N4678" s="274"/>
      <c r="P4678" s="275"/>
    </row>
    <row r="4679" ht="15.75" customHeight="1">
      <c r="B4679" s="282"/>
      <c r="H4679" s="273"/>
      <c r="I4679" s="274"/>
      <c r="J4679" s="274"/>
      <c r="K4679" s="274"/>
      <c r="L4679" s="274"/>
      <c r="M4679" s="274"/>
      <c r="N4679" s="274"/>
      <c r="P4679" s="275"/>
    </row>
    <row r="4680" ht="15.75" customHeight="1">
      <c r="B4680" s="282"/>
      <c r="H4680" s="273"/>
      <c r="I4680" s="274"/>
      <c r="J4680" s="274"/>
      <c r="K4680" s="274"/>
      <c r="L4680" s="274"/>
      <c r="M4680" s="274"/>
      <c r="N4680" s="274"/>
      <c r="P4680" s="275"/>
    </row>
    <row r="4681" ht="15.75" customHeight="1">
      <c r="B4681" s="282"/>
      <c r="H4681" s="273"/>
      <c r="I4681" s="274"/>
      <c r="J4681" s="274"/>
      <c r="K4681" s="274"/>
      <c r="L4681" s="274"/>
      <c r="M4681" s="274"/>
      <c r="N4681" s="274"/>
      <c r="P4681" s="275"/>
    </row>
    <row r="4682" ht="15.75" customHeight="1">
      <c r="B4682" s="282"/>
      <c r="H4682" s="273"/>
      <c r="I4682" s="274"/>
      <c r="J4682" s="274"/>
      <c r="K4682" s="274"/>
      <c r="L4682" s="274"/>
      <c r="M4682" s="274"/>
      <c r="N4682" s="274"/>
      <c r="P4682" s="275"/>
    </row>
    <row r="4683" ht="15.75" customHeight="1">
      <c r="B4683" s="282"/>
      <c r="H4683" s="273"/>
      <c r="I4683" s="274"/>
      <c r="J4683" s="274"/>
      <c r="K4683" s="274"/>
      <c r="L4683" s="274"/>
      <c r="M4683" s="274"/>
      <c r="N4683" s="274"/>
      <c r="P4683" s="275"/>
    </row>
    <row r="4684" ht="15.75" customHeight="1">
      <c r="B4684" s="282"/>
      <c r="H4684" s="273"/>
      <c r="I4684" s="274"/>
      <c r="J4684" s="274"/>
      <c r="K4684" s="274"/>
      <c r="L4684" s="274"/>
      <c r="M4684" s="274"/>
      <c r="N4684" s="274"/>
      <c r="P4684" s="275"/>
    </row>
    <row r="4685" ht="15.75" customHeight="1">
      <c r="B4685" s="282"/>
      <c r="H4685" s="273"/>
      <c r="I4685" s="274"/>
      <c r="J4685" s="274"/>
      <c r="K4685" s="274"/>
      <c r="L4685" s="274"/>
      <c r="M4685" s="274"/>
      <c r="N4685" s="274"/>
      <c r="P4685" s="275"/>
    </row>
    <row r="4686" ht="15.75" customHeight="1">
      <c r="B4686" s="282"/>
      <c r="H4686" s="273"/>
      <c r="I4686" s="274"/>
      <c r="J4686" s="274"/>
      <c r="K4686" s="274"/>
      <c r="L4686" s="274"/>
      <c r="M4686" s="274"/>
      <c r="N4686" s="274"/>
      <c r="P4686" s="275"/>
    </row>
    <row r="4687" ht="15.75" customHeight="1">
      <c r="B4687" s="282"/>
      <c r="H4687" s="273"/>
      <c r="I4687" s="274"/>
      <c r="J4687" s="274"/>
      <c r="K4687" s="274"/>
      <c r="L4687" s="274"/>
      <c r="M4687" s="274"/>
      <c r="N4687" s="274"/>
      <c r="P4687" s="275"/>
    </row>
    <row r="4688" ht="15.75" customHeight="1">
      <c r="B4688" s="282"/>
      <c r="H4688" s="273"/>
      <c r="I4688" s="274"/>
      <c r="J4688" s="274"/>
      <c r="K4688" s="274"/>
      <c r="L4688" s="274"/>
      <c r="M4688" s="274"/>
      <c r="N4688" s="274"/>
      <c r="P4688" s="275"/>
    </row>
    <row r="4689" ht="15.75" customHeight="1">
      <c r="B4689" s="282"/>
      <c r="H4689" s="273"/>
      <c r="I4689" s="274"/>
      <c r="J4689" s="274"/>
      <c r="K4689" s="274"/>
      <c r="L4689" s="274"/>
      <c r="M4689" s="274"/>
      <c r="N4689" s="274"/>
      <c r="P4689" s="275"/>
    </row>
    <row r="4690" ht="15.75" customHeight="1">
      <c r="B4690" s="282"/>
      <c r="H4690" s="273"/>
      <c r="I4690" s="274"/>
      <c r="J4690" s="274"/>
      <c r="K4690" s="274"/>
      <c r="L4690" s="274"/>
      <c r="M4690" s="274"/>
      <c r="N4690" s="274"/>
      <c r="P4690" s="275"/>
    </row>
    <row r="4691" ht="15.75" customHeight="1">
      <c r="B4691" s="282"/>
      <c r="H4691" s="273"/>
      <c r="I4691" s="274"/>
      <c r="J4691" s="274"/>
      <c r="K4691" s="274"/>
      <c r="L4691" s="274"/>
      <c r="M4691" s="274"/>
      <c r="N4691" s="274"/>
      <c r="P4691" s="275"/>
    </row>
    <row r="4692" ht="15.75" customHeight="1">
      <c r="B4692" s="282"/>
      <c r="H4692" s="273"/>
      <c r="I4692" s="274"/>
      <c r="J4692" s="274"/>
      <c r="K4692" s="274"/>
      <c r="L4692" s="274"/>
      <c r="M4692" s="274"/>
      <c r="N4692" s="274"/>
      <c r="P4692" s="275"/>
    </row>
    <row r="4693" ht="15.75" customHeight="1">
      <c r="B4693" s="282"/>
      <c r="H4693" s="273"/>
      <c r="I4693" s="274"/>
      <c r="J4693" s="274"/>
      <c r="K4693" s="274"/>
      <c r="L4693" s="274"/>
      <c r="M4693" s="274"/>
      <c r="N4693" s="274"/>
      <c r="P4693" s="275"/>
    </row>
    <row r="4694" ht="15.75" customHeight="1">
      <c r="B4694" s="282"/>
      <c r="H4694" s="273"/>
      <c r="I4694" s="274"/>
      <c r="J4694" s="274"/>
      <c r="K4694" s="274"/>
      <c r="L4694" s="274"/>
      <c r="M4694" s="274"/>
      <c r="N4694" s="274"/>
      <c r="P4694" s="275"/>
    </row>
    <row r="4695" ht="15.75" customHeight="1">
      <c r="B4695" s="282"/>
      <c r="H4695" s="273"/>
      <c r="I4695" s="274"/>
      <c r="J4695" s="274"/>
      <c r="K4695" s="274"/>
      <c r="L4695" s="274"/>
      <c r="M4695" s="274"/>
      <c r="N4695" s="274"/>
      <c r="P4695" s="275"/>
    </row>
    <row r="4696" ht="15.75" customHeight="1">
      <c r="B4696" s="282"/>
      <c r="H4696" s="273"/>
      <c r="I4696" s="274"/>
      <c r="J4696" s="274"/>
      <c r="K4696" s="274"/>
      <c r="L4696" s="274"/>
      <c r="M4696" s="274"/>
      <c r="N4696" s="274"/>
      <c r="P4696" s="275"/>
    </row>
    <row r="4697" ht="15.75" customHeight="1">
      <c r="B4697" s="282"/>
      <c r="H4697" s="273"/>
      <c r="I4697" s="274"/>
      <c r="J4697" s="274"/>
      <c r="K4697" s="274"/>
      <c r="L4697" s="274"/>
      <c r="M4697" s="274"/>
      <c r="N4697" s="274"/>
      <c r="P4697" s="275"/>
    </row>
    <row r="4698" ht="15.75" customHeight="1">
      <c r="B4698" s="282"/>
      <c r="H4698" s="273"/>
      <c r="I4698" s="274"/>
      <c r="J4698" s="274"/>
      <c r="K4698" s="274"/>
      <c r="L4698" s="274"/>
      <c r="M4698" s="274"/>
      <c r="N4698" s="274"/>
      <c r="P4698" s="275"/>
    </row>
    <row r="4699" ht="15.75" customHeight="1">
      <c r="B4699" s="282"/>
      <c r="H4699" s="273"/>
      <c r="I4699" s="274"/>
      <c r="J4699" s="274"/>
      <c r="K4699" s="274"/>
      <c r="L4699" s="274"/>
      <c r="M4699" s="274"/>
      <c r="N4699" s="274"/>
      <c r="P4699" s="275"/>
    </row>
    <row r="4700" ht="15.75" customHeight="1">
      <c r="B4700" s="282"/>
      <c r="H4700" s="273"/>
      <c r="I4700" s="274"/>
      <c r="J4700" s="274"/>
      <c r="K4700" s="274"/>
      <c r="L4700" s="274"/>
      <c r="M4700" s="274"/>
      <c r="N4700" s="274"/>
      <c r="P4700" s="275"/>
    </row>
    <row r="4701" ht="15.75" customHeight="1">
      <c r="B4701" s="282"/>
      <c r="H4701" s="273"/>
      <c r="I4701" s="274"/>
      <c r="J4701" s="274"/>
      <c r="K4701" s="274"/>
      <c r="L4701" s="274"/>
      <c r="M4701" s="274"/>
      <c r="N4701" s="274"/>
      <c r="P4701" s="275"/>
    </row>
    <row r="4702" ht="15.75" customHeight="1">
      <c r="B4702" s="282"/>
      <c r="H4702" s="273"/>
      <c r="I4702" s="274"/>
      <c r="J4702" s="274"/>
      <c r="K4702" s="274"/>
      <c r="L4702" s="274"/>
      <c r="M4702" s="274"/>
      <c r="N4702" s="274"/>
      <c r="P4702" s="275"/>
    </row>
    <row r="4703" ht="15.75" customHeight="1">
      <c r="B4703" s="282"/>
      <c r="H4703" s="273"/>
      <c r="I4703" s="274"/>
      <c r="J4703" s="274"/>
      <c r="K4703" s="274"/>
      <c r="L4703" s="274"/>
      <c r="M4703" s="274"/>
      <c r="N4703" s="274"/>
      <c r="P4703" s="275"/>
    </row>
    <row r="4704" ht="15.75" customHeight="1">
      <c r="B4704" s="282"/>
      <c r="H4704" s="273"/>
      <c r="I4704" s="274"/>
      <c r="J4704" s="274"/>
      <c r="K4704" s="274"/>
      <c r="L4704" s="274"/>
      <c r="M4704" s="274"/>
      <c r="N4704" s="274"/>
      <c r="P4704" s="275"/>
    </row>
    <row r="4705" ht="15.75" customHeight="1">
      <c r="B4705" s="282"/>
      <c r="H4705" s="273"/>
      <c r="I4705" s="274"/>
      <c r="J4705" s="274"/>
      <c r="K4705" s="274"/>
      <c r="L4705" s="274"/>
      <c r="M4705" s="274"/>
      <c r="N4705" s="274"/>
      <c r="P4705" s="275"/>
    </row>
    <row r="4706" ht="15.75" customHeight="1">
      <c r="B4706" s="282"/>
      <c r="H4706" s="273"/>
      <c r="I4706" s="274"/>
      <c r="J4706" s="274"/>
      <c r="K4706" s="274"/>
      <c r="L4706" s="274"/>
      <c r="M4706" s="274"/>
      <c r="N4706" s="274"/>
      <c r="P4706" s="275"/>
    </row>
    <row r="4707" ht="15.75" customHeight="1">
      <c r="B4707" s="282"/>
      <c r="H4707" s="273"/>
      <c r="I4707" s="274"/>
      <c r="J4707" s="274"/>
      <c r="K4707" s="274"/>
      <c r="L4707" s="274"/>
      <c r="M4707" s="274"/>
      <c r="N4707" s="274"/>
      <c r="P4707" s="275"/>
    </row>
    <row r="4708" ht="15.75" customHeight="1">
      <c r="B4708" s="282"/>
      <c r="H4708" s="273"/>
      <c r="I4708" s="274"/>
      <c r="J4708" s="274"/>
      <c r="K4708" s="274"/>
      <c r="L4708" s="274"/>
      <c r="M4708" s="274"/>
      <c r="N4708" s="274"/>
      <c r="P4708" s="275"/>
    </row>
    <row r="4709" ht="15.75" customHeight="1">
      <c r="B4709" s="282"/>
      <c r="H4709" s="273"/>
      <c r="I4709" s="274"/>
      <c r="J4709" s="274"/>
      <c r="K4709" s="274"/>
      <c r="L4709" s="274"/>
      <c r="M4709" s="274"/>
      <c r="N4709" s="274"/>
      <c r="P4709" s="275"/>
    </row>
    <row r="4710" ht="15.75" customHeight="1">
      <c r="B4710" s="282"/>
      <c r="H4710" s="273"/>
      <c r="I4710" s="274"/>
      <c r="J4710" s="274"/>
      <c r="K4710" s="274"/>
      <c r="L4710" s="274"/>
      <c r="M4710" s="274"/>
      <c r="N4710" s="274"/>
      <c r="P4710" s="275"/>
    </row>
    <row r="4711" ht="15.75" customHeight="1">
      <c r="B4711" s="282"/>
      <c r="H4711" s="273"/>
      <c r="I4711" s="274"/>
      <c r="J4711" s="274"/>
      <c r="K4711" s="274"/>
      <c r="L4711" s="274"/>
      <c r="M4711" s="274"/>
      <c r="N4711" s="274"/>
      <c r="P4711" s="275"/>
    </row>
    <row r="4712" ht="15.75" customHeight="1">
      <c r="B4712" s="282"/>
      <c r="H4712" s="273"/>
      <c r="I4712" s="274"/>
      <c r="J4712" s="274"/>
      <c r="K4712" s="274"/>
      <c r="L4712" s="274"/>
      <c r="M4712" s="274"/>
      <c r="N4712" s="274"/>
      <c r="P4712" s="275"/>
    </row>
    <row r="4713" ht="15.75" customHeight="1">
      <c r="B4713" s="282"/>
      <c r="H4713" s="273"/>
      <c r="I4713" s="274"/>
      <c r="J4713" s="274"/>
      <c r="K4713" s="274"/>
      <c r="L4713" s="274"/>
      <c r="M4713" s="274"/>
      <c r="N4713" s="274"/>
      <c r="P4713" s="275"/>
    </row>
    <row r="4714" ht="15.75" customHeight="1">
      <c r="B4714" s="282"/>
      <c r="H4714" s="273"/>
      <c r="I4714" s="274"/>
      <c r="J4714" s="274"/>
      <c r="K4714" s="274"/>
      <c r="L4714" s="274"/>
      <c r="M4714" s="274"/>
      <c r="N4714" s="274"/>
      <c r="P4714" s="275"/>
    </row>
    <row r="4715" ht="15.75" customHeight="1">
      <c r="B4715" s="282"/>
      <c r="H4715" s="273"/>
      <c r="I4715" s="274"/>
      <c r="J4715" s="274"/>
      <c r="K4715" s="274"/>
      <c r="L4715" s="274"/>
      <c r="M4715" s="274"/>
      <c r="N4715" s="274"/>
      <c r="P4715" s="275"/>
    </row>
    <row r="4716" ht="15.75" customHeight="1">
      <c r="B4716" s="282"/>
      <c r="H4716" s="273"/>
      <c r="I4716" s="274"/>
      <c r="J4716" s="274"/>
      <c r="K4716" s="274"/>
      <c r="L4716" s="274"/>
      <c r="M4716" s="274"/>
      <c r="N4716" s="274"/>
      <c r="P4716" s="275"/>
    </row>
    <row r="4717" ht="15.75" customHeight="1">
      <c r="B4717" s="282"/>
      <c r="H4717" s="273"/>
      <c r="I4717" s="274"/>
      <c r="J4717" s="274"/>
      <c r="K4717" s="274"/>
      <c r="L4717" s="274"/>
      <c r="M4717" s="274"/>
      <c r="N4717" s="274"/>
      <c r="P4717" s="275"/>
    </row>
    <row r="4718" ht="15.75" customHeight="1">
      <c r="B4718" s="282"/>
      <c r="H4718" s="273"/>
      <c r="I4718" s="274"/>
      <c r="J4718" s="274"/>
      <c r="K4718" s="274"/>
      <c r="L4718" s="274"/>
      <c r="M4718" s="274"/>
      <c r="N4718" s="274"/>
      <c r="P4718" s="275"/>
    </row>
    <row r="4719" ht="15.75" customHeight="1">
      <c r="B4719" s="282"/>
      <c r="H4719" s="273"/>
      <c r="I4719" s="274"/>
      <c r="J4719" s="274"/>
      <c r="K4719" s="274"/>
      <c r="L4719" s="274"/>
      <c r="M4719" s="274"/>
      <c r="N4719" s="274"/>
      <c r="P4719" s="275"/>
    </row>
    <row r="4720" ht="15.75" customHeight="1">
      <c r="B4720" s="282"/>
      <c r="H4720" s="273"/>
      <c r="I4720" s="274"/>
      <c r="J4720" s="274"/>
      <c r="K4720" s="274"/>
      <c r="L4720" s="274"/>
      <c r="M4720" s="274"/>
      <c r="N4720" s="274"/>
      <c r="P4720" s="275"/>
    </row>
    <row r="4721" ht="15.75" customHeight="1">
      <c r="B4721" s="282"/>
      <c r="H4721" s="273"/>
      <c r="I4721" s="274"/>
      <c r="J4721" s="274"/>
      <c r="K4721" s="274"/>
      <c r="L4721" s="274"/>
      <c r="M4721" s="274"/>
      <c r="N4721" s="274"/>
      <c r="P4721" s="275"/>
    </row>
    <row r="4722" ht="15.75" customHeight="1">
      <c r="B4722" s="282"/>
      <c r="H4722" s="273"/>
      <c r="I4722" s="274"/>
      <c r="J4722" s="274"/>
      <c r="K4722" s="274"/>
      <c r="L4722" s="274"/>
      <c r="M4722" s="274"/>
      <c r="N4722" s="274"/>
      <c r="P4722" s="275"/>
    </row>
    <row r="4723" ht="15.75" customHeight="1">
      <c r="B4723" s="282"/>
      <c r="H4723" s="273"/>
      <c r="I4723" s="274"/>
      <c r="J4723" s="274"/>
      <c r="K4723" s="274"/>
      <c r="L4723" s="274"/>
      <c r="M4723" s="274"/>
      <c r="N4723" s="274"/>
      <c r="P4723" s="275"/>
    </row>
    <row r="4724" ht="15.75" customHeight="1">
      <c r="B4724" s="282"/>
      <c r="H4724" s="273"/>
      <c r="I4724" s="274"/>
      <c r="J4724" s="274"/>
      <c r="K4724" s="274"/>
      <c r="L4724" s="274"/>
      <c r="M4724" s="274"/>
      <c r="N4724" s="274"/>
      <c r="P4724" s="275"/>
    </row>
    <row r="4725" ht="15.75" customHeight="1">
      <c r="B4725" s="282"/>
      <c r="H4725" s="273"/>
      <c r="I4725" s="274"/>
      <c r="J4725" s="274"/>
      <c r="K4725" s="274"/>
      <c r="L4725" s="274"/>
      <c r="M4725" s="274"/>
      <c r="N4725" s="274"/>
      <c r="P4725" s="275"/>
    </row>
    <row r="4726" ht="15.75" customHeight="1">
      <c r="B4726" s="282"/>
      <c r="H4726" s="273"/>
      <c r="I4726" s="274"/>
      <c r="J4726" s="274"/>
      <c r="K4726" s="274"/>
      <c r="L4726" s="274"/>
      <c r="M4726" s="274"/>
      <c r="N4726" s="274"/>
      <c r="P4726" s="275"/>
    </row>
    <row r="4727" ht="15.75" customHeight="1">
      <c r="B4727" s="282"/>
      <c r="H4727" s="273"/>
      <c r="I4727" s="274"/>
      <c r="J4727" s="274"/>
      <c r="K4727" s="274"/>
      <c r="L4727" s="274"/>
      <c r="M4727" s="274"/>
      <c r="N4727" s="274"/>
      <c r="P4727" s="275"/>
    </row>
    <row r="4728" ht="15.75" customHeight="1">
      <c r="B4728" s="282"/>
      <c r="H4728" s="273"/>
      <c r="I4728" s="274"/>
      <c r="J4728" s="274"/>
      <c r="K4728" s="274"/>
      <c r="L4728" s="274"/>
      <c r="M4728" s="274"/>
      <c r="N4728" s="274"/>
      <c r="P4728" s="275"/>
    </row>
    <row r="4729" ht="15.75" customHeight="1">
      <c r="B4729" s="282"/>
      <c r="H4729" s="273"/>
      <c r="I4729" s="274"/>
      <c r="J4729" s="274"/>
      <c r="K4729" s="274"/>
      <c r="L4729" s="274"/>
      <c r="M4729" s="274"/>
      <c r="N4729" s="274"/>
      <c r="P4729" s="275"/>
    </row>
    <row r="4730" ht="15.75" customHeight="1">
      <c r="B4730" s="282"/>
      <c r="H4730" s="273"/>
      <c r="I4730" s="274"/>
      <c r="J4730" s="274"/>
      <c r="K4730" s="274"/>
      <c r="L4730" s="274"/>
      <c r="M4730" s="274"/>
      <c r="N4730" s="274"/>
      <c r="P4730" s="275"/>
    </row>
    <row r="4731" ht="15.75" customHeight="1">
      <c r="B4731" s="282"/>
      <c r="H4731" s="273"/>
      <c r="I4731" s="274"/>
      <c r="J4731" s="274"/>
      <c r="K4731" s="274"/>
      <c r="L4731" s="274"/>
      <c r="M4731" s="274"/>
      <c r="N4731" s="274"/>
      <c r="P4731" s="275"/>
    </row>
    <row r="4732" ht="15.75" customHeight="1">
      <c r="B4732" s="282"/>
      <c r="H4732" s="273"/>
      <c r="I4732" s="274"/>
      <c r="J4732" s="274"/>
      <c r="K4732" s="274"/>
      <c r="L4732" s="274"/>
      <c r="M4732" s="274"/>
      <c r="N4732" s="274"/>
      <c r="P4732" s="275"/>
    </row>
    <row r="4733" ht="15.75" customHeight="1">
      <c r="B4733" s="282"/>
      <c r="H4733" s="273"/>
      <c r="I4733" s="274"/>
      <c r="J4733" s="274"/>
      <c r="K4733" s="274"/>
      <c r="L4733" s="274"/>
      <c r="M4733" s="274"/>
      <c r="N4733" s="274"/>
      <c r="P4733" s="275"/>
    </row>
    <row r="4734" ht="15.75" customHeight="1">
      <c r="B4734" s="282"/>
      <c r="H4734" s="273"/>
      <c r="I4734" s="274"/>
      <c r="J4734" s="274"/>
      <c r="K4734" s="274"/>
      <c r="L4734" s="274"/>
      <c r="M4734" s="274"/>
      <c r="N4734" s="274"/>
      <c r="P4734" s="275"/>
    </row>
    <row r="4735" ht="15.75" customHeight="1">
      <c r="B4735" s="282"/>
      <c r="H4735" s="273"/>
      <c r="I4735" s="274"/>
      <c r="J4735" s="274"/>
      <c r="K4735" s="274"/>
      <c r="L4735" s="274"/>
      <c r="M4735" s="274"/>
      <c r="N4735" s="274"/>
      <c r="P4735" s="275"/>
    </row>
    <row r="4736" ht="15.75" customHeight="1">
      <c r="B4736" s="282"/>
      <c r="H4736" s="273"/>
      <c r="I4736" s="274"/>
      <c r="J4736" s="274"/>
      <c r="K4736" s="274"/>
      <c r="L4736" s="274"/>
      <c r="M4736" s="274"/>
      <c r="N4736" s="274"/>
      <c r="P4736" s="275"/>
    </row>
    <row r="4737" ht="15.75" customHeight="1">
      <c r="B4737" s="282"/>
      <c r="H4737" s="273"/>
      <c r="I4737" s="274"/>
      <c r="J4737" s="274"/>
      <c r="K4737" s="274"/>
      <c r="L4737" s="274"/>
      <c r="M4737" s="274"/>
      <c r="N4737" s="274"/>
      <c r="P4737" s="275"/>
    </row>
    <row r="4738" ht="15.75" customHeight="1">
      <c r="B4738" s="282"/>
      <c r="H4738" s="273"/>
      <c r="I4738" s="274"/>
      <c r="J4738" s="274"/>
      <c r="K4738" s="274"/>
      <c r="L4738" s="274"/>
      <c r="M4738" s="274"/>
      <c r="N4738" s="274"/>
      <c r="P4738" s="275"/>
    </row>
    <row r="4739" ht="15.75" customHeight="1">
      <c r="B4739" s="282"/>
      <c r="H4739" s="273"/>
      <c r="I4739" s="274"/>
      <c r="J4739" s="274"/>
      <c r="K4739" s="274"/>
      <c r="L4739" s="274"/>
      <c r="M4739" s="274"/>
      <c r="N4739" s="274"/>
      <c r="P4739" s="275"/>
    </row>
    <row r="4740" ht="15.75" customHeight="1">
      <c r="B4740" s="282"/>
      <c r="H4740" s="273"/>
      <c r="I4740" s="274"/>
      <c r="J4740" s="274"/>
      <c r="K4740" s="274"/>
      <c r="L4740" s="274"/>
      <c r="M4740" s="274"/>
      <c r="N4740" s="274"/>
      <c r="P4740" s="275"/>
    </row>
    <row r="4741" ht="15.75" customHeight="1">
      <c r="B4741" s="282"/>
      <c r="H4741" s="273"/>
      <c r="I4741" s="274"/>
      <c r="J4741" s="274"/>
      <c r="K4741" s="274"/>
      <c r="L4741" s="274"/>
      <c r="M4741" s="274"/>
      <c r="N4741" s="274"/>
      <c r="P4741" s="275"/>
    </row>
    <row r="4742" ht="15.75" customHeight="1">
      <c r="B4742" s="282"/>
      <c r="H4742" s="273"/>
      <c r="I4742" s="274"/>
      <c r="J4742" s="274"/>
      <c r="K4742" s="274"/>
      <c r="L4742" s="274"/>
      <c r="M4742" s="274"/>
      <c r="N4742" s="274"/>
      <c r="P4742" s="275"/>
    </row>
    <row r="4743" ht="15.75" customHeight="1">
      <c r="B4743" s="282"/>
      <c r="H4743" s="273"/>
      <c r="I4743" s="274"/>
      <c r="J4743" s="274"/>
      <c r="K4743" s="274"/>
      <c r="L4743" s="274"/>
      <c r="M4743" s="274"/>
      <c r="N4743" s="274"/>
      <c r="P4743" s="275"/>
    </row>
    <row r="4744" ht="15.75" customHeight="1">
      <c r="B4744" s="282"/>
      <c r="H4744" s="273"/>
      <c r="I4744" s="274"/>
      <c r="J4744" s="274"/>
      <c r="K4744" s="274"/>
      <c r="L4744" s="274"/>
      <c r="M4744" s="274"/>
      <c r="N4744" s="274"/>
      <c r="P4744" s="275"/>
    </row>
    <row r="4745" ht="15.75" customHeight="1">
      <c r="B4745" s="282"/>
      <c r="H4745" s="273"/>
      <c r="I4745" s="274"/>
      <c r="J4745" s="274"/>
      <c r="K4745" s="274"/>
      <c r="L4745" s="274"/>
      <c r="M4745" s="274"/>
      <c r="N4745" s="274"/>
      <c r="P4745" s="275"/>
    </row>
    <row r="4746" ht="15.75" customHeight="1">
      <c r="B4746" s="282"/>
      <c r="H4746" s="273"/>
      <c r="I4746" s="274"/>
      <c r="J4746" s="274"/>
      <c r="K4746" s="274"/>
      <c r="L4746" s="274"/>
      <c r="M4746" s="274"/>
      <c r="N4746" s="274"/>
      <c r="P4746" s="275"/>
    </row>
    <row r="4747" ht="15.75" customHeight="1">
      <c r="B4747" s="282"/>
      <c r="H4747" s="273"/>
      <c r="I4747" s="274"/>
      <c r="J4747" s="274"/>
      <c r="K4747" s="274"/>
      <c r="L4747" s="274"/>
      <c r="M4747" s="274"/>
      <c r="N4747" s="274"/>
      <c r="P4747" s="275"/>
    </row>
    <row r="4748" ht="15.75" customHeight="1">
      <c r="B4748" s="282"/>
      <c r="H4748" s="273"/>
      <c r="I4748" s="274"/>
      <c r="J4748" s="274"/>
      <c r="K4748" s="274"/>
      <c r="L4748" s="274"/>
      <c r="M4748" s="274"/>
      <c r="N4748" s="274"/>
      <c r="P4748" s="275"/>
    </row>
    <row r="4749" ht="15.75" customHeight="1">
      <c r="B4749" s="282"/>
      <c r="H4749" s="273"/>
      <c r="I4749" s="274"/>
      <c r="J4749" s="274"/>
      <c r="K4749" s="274"/>
      <c r="L4749" s="274"/>
      <c r="M4749" s="274"/>
      <c r="N4749" s="274"/>
      <c r="P4749" s="275"/>
    </row>
    <row r="4750" ht="15.75" customHeight="1">
      <c r="B4750" s="282"/>
      <c r="H4750" s="273"/>
      <c r="I4750" s="274"/>
      <c r="J4750" s="274"/>
      <c r="K4750" s="274"/>
      <c r="L4750" s="274"/>
      <c r="M4750" s="274"/>
      <c r="N4750" s="274"/>
      <c r="P4750" s="275"/>
    </row>
    <row r="4751" ht="15.75" customHeight="1">
      <c r="B4751" s="282"/>
      <c r="H4751" s="273"/>
      <c r="I4751" s="274"/>
      <c r="J4751" s="274"/>
      <c r="K4751" s="274"/>
      <c r="L4751" s="274"/>
      <c r="M4751" s="274"/>
      <c r="N4751" s="274"/>
      <c r="P4751" s="275"/>
    </row>
    <row r="4752" ht="15.75" customHeight="1">
      <c r="B4752" s="282"/>
      <c r="H4752" s="273"/>
      <c r="I4752" s="274"/>
      <c r="J4752" s="274"/>
      <c r="K4752" s="274"/>
      <c r="L4752" s="274"/>
      <c r="M4752" s="274"/>
      <c r="N4752" s="274"/>
      <c r="P4752" s="275"/>
    </row>
    <row r="4753" ht="15.75" customHeight="1">
      <c r="B4753" s="282"/>
      <c r="H4753" s="273"/>
      <c r="I4753" s="274"/>
      <c r="J4753" s="274"/>
      <c r="K4753" s="274"/>
      <c r="L4753" s="274"/>
      <c r="M4753" s="274"/>
      <c r="N4753" s="274"/>
      <c r="P4753" s="275"/>
    </row>
    <row r="4754" ht="15.75" customHeight="1">
      <c r="B4754" s="282"/>
      <c r="H4754" s="273"/>
      <c r="I4754" s="274"/>
      <c r="J4754" s="274"/>
      <c r="K4754" s="274"/>
      <c r="L4754" s="274"/>
      <c r="M4754" s="274"/>
      <c r="N4754" s="274"/>
      <c r="P4754" s="275"/>
    </row>
    <row r="4755" ht="15.75" customHeight="1">
      <c r="B4755" s="282"/>
      <c r="H4755" s="273"/>
      <c r="I4755" s="274"/>
      <c r="J4755" s="274"/>
      <c r="K4755" s="274"/>
      <c r="L4755" s="274"/>
      <c r="M4755" s="274"/>
      <c r="N4755" s="274"/>
      <c r="P4755" s="275"/>
    </row>
    <row r="4756" ht="15.75" customHeight="1">
      <c r="B4756" s="282"/>
      <c r="H4756" s="273"/>
      <c r="I4756" s="274"/>
      <c r="J4756" s="274"/>
      <c r="K4756" s="274"/>
      <c r="L4756" s="274"/>
      <c r="M4756" s="274"/>
      <c r="N4756" s="274"/>
      <c r="P4756" s="275"/>
    </row>
    <row r="4757" ht="15.75" customHeight="1">
      <c r="B4757" s="282"/>
      <c r="H4757" s="273"/>
      <c r="I4757" s="274"/>
      <c r="J4757" s="274"/>
      <c r="K4757" s="274"/>
      <c r="L4757" s="274"/>
      <c r="M4757" s="274"/>
      <c r="N4757" s="274"/>
      <c r="P4757" s="275"/>
    </row>
    <row r="4758" ht="15.75" customHeight="1">
      <c r="B4758" s="282"/>
      <c r="H4758" s="273"/>
      <c r="I4758" s="274"/>
      <c r="J4758" s="274"/>
      <c r="K4758" s="274"/>
      <c r="L4758" s="274"/>
      <c r="M4758" s="274"/>
      <c r="N4758" s="274"/>
      <c r="P4758" s="275"/>
    </row>
    <row r="4759" ht="15.75" customHeight="1">
      <c r="B4759" s="282"/>
      <c r="H4759" s="273"/>
      <c r="I4759" s="274"/>
      <c r="J4759" s="274"/>
      <c r="K4759" s="274"/>
      <c r="L4759" s="274"/>
      <c r="M4759" s="274"/>
      <c r="N4759" s="274"/>
      <c r="P4759" s="275"/>
    </row>
    <row r="4760" ht="15.75" customHeight="1">
      <c r="B4760" s="282"/>
      <c r="H4760" s="273"/>
      <c r="I4760" s="274"/>
      <c r="J4760" s="274"/>
      <c r="K4760" s="274"/>
      <c r="L4760" s="274"/>
      <c r="M4760" s="274"/>
      <c r="N4760" s="274"/>
      <c r="P4760" s="275"/>
    </row>
    <row r="4761" ht="15.75" customHeight="1">
      <c r="B4761" s="282"/>
      <c r="H4761" s="273"/>
      <c r="I4761" s="274"/>
      <c r="J4761" s="274"/>
      <c r="K4761" s="274"/>
      <c r="L4761" s="274"/>
      <c r="M4761" s="274"/>
      <c r="N4761" s="274"/>
      <c r="P4761" s="275"/>
    </row>
    <row r="4762" ht="15.75" customHeight="1">
      <c r="B4762" s="282"/>
      <c r="H4762" s="273"/>
      <c r="I4762" s="274"/>
      <c r="J4762" s="274"/>
      <c r="K4762" s="274"/>
      <c r="L4762" s="274"/>
      <c r="M4762" s="274"/>
      <c r="N4762" s="274"/>
      <c r="P4762" s="275"/>
    </row>
    <row r="4763" ht="15.75" customHeight="1">
      <c r="B4763" s="282"/>
      <c r="H4763" s="273"/>
      <c r="I4763" s="274"/>
      <c r="J4763" s="274"/>
      <c r="K4763" s="274"/>
      <c r="L4763" s="274"/>
      <c r="M4763" s="274"/>
      <c r="N4763" s="274"/>
      <c r="P4763" s="275"/>
    </row>
    <row r="4764" ht="15.75" customHeight="1">
      <c r="B4764" s="282"/>
      <c r="H4764" s="273"/>
      <c r="I4764" s="274"/>
      <c r="J4764" s="274"/>
      <c r="K4764" s="274"/>
      <c r="L4764" s="274"/>
      <c r="M4764" s="274"/>
      <c r="N4764" s="274"/>
      <c r="P4764" s="275"/>
    </row>
    <row r="4765" ht="15.75" customHeight="1">
      <c r="B4765" s="282"/>
      <c r="H4765" s="273"/>
      <c r="I4765" s="274"/>
      <c r="J4765" s="274"/>
      <c r="K4765" s="274"/>
      <c r="L4765" s="274"/>
      <c r="M4765" s="274"/>
      <c r="N4765" s="274"/>
      <c r="P4765" s="275"/>
    </row>
    <row r="4766" ht="15.75" customHeight="1">
      <c r="B4766" s="282"/>
      <c r="H4766" s="273"/>
      <c r="I4766" s="274"/>
      <c r="J4766" s="274"/>
      <c r="K4766" s="274"/>
      <c r="L4766" s="274"/>
      <c r="M4766" s="274"/>
      <c r="N4766" s="274"/>
      <c r="P4766" s="275"/>
    </row>
    <row r="4767" ht="15.75" customHeight="1">
      <c r="B4767" s="282"/>
      <c r="H4767" s="273"/>
      <c r="I4767" s="274"/>
      <c r="J4767" s="274"/>
      <c r="K4767" s="274"/>
      <c r="L4767" s="274"/>
      <c r="M4767" s="274"/>
      <c r="N4767" s="274"/>
      <c r="P4767" s="275"/>
    </row>
    <row r="4768" ht="15.75" customHeight="1">
      <c r="B4768" s="282"/>
      <c r="H4768" s="273"/>
      <c r="I4768" s="274"/>
      <c r="J4768" s="274"/>
      <c r="K4768" s="274"/>
      <c r="L4768" s="274"/>
      <c r="M4768" s="274"/>
      <c r="N4768" s="274"/>
      <c r="P4768" s="275"/>
    </row>
    <row r="4769" ht="15.75" customHeight="1">
      <c r="B4769" s="282"/>
      <c r="H4769" s="273"/>
      <c r="I4769" s="274"/>
      <c r="J4769" s="274"/>
      <c r="K4769" s="274"/>
      <c r="L4769" s="274"/>
      <c r="M4769" s="274"/>
      <c r="N4769" s="274"/>
      <c r="P4769" s="275"/>
    </row>
    <row r="4770" ht="15.75" customHeight="1">
      <c r="B4770" s="282"/>
      <c r="H4770" s="273"/>
      <c r="I4770" s="274"/>
      <c r="J4770" s="274"/>
      <c r="K4770" s="274"/>
      <c r="L4770" s="274"/>
      <c r="M4770" s="274"/>
      <c r="N4770" s="274"/>
      <c r="P4770" s="275"/>
    </row>
    <row r="4771" ht="15.75" customHeight="1">
      <c r="B4771" s="282"/>
      <c r="H4771" s="273"/>
      <c r="I4771" s="274"/>
      <c r="J4771" s="274"/>
      <c r="K4771" s="274"/>
      <c r="L4771" s="274"/>
      <c r="M4771" s="274"/>
      <c r="N4771" s="274"/>
      <c r="P4771" s="275"/>
    </row>
    <row r="4772" ht="15.75" customHeight="1">
      <c r="B4772" s="282"/>
      <c r="H4772" s="273"/>
      <c r="I4772" s="274"/>
      <c r="J4772" s="274"/>
      <c r="K4772" s="274"/>
      <c r="L4772" s="274"/>
      <c r="M4772" s="274"/>
      <c r="N4772" s="274"/>
      <c r="P4772" s="275"/>
    </row>
    <row r="4773" ht="15.75" customHeight="1">
      <c r="B4773" s="282"/>
      <c r="H4773" s="273"/>
      <c r="I4773" s="274"/>
      <c r="J4773" s="274"/>
      <c r="K4773" s="274"/>
      <c r="L4773" s="274"/>
      <c r="M4773" s="274"/>
      <c r="N4773" s="274"/>
      <c r="P4773" s="275"/>
    </row>
    <row r="4774" ht="15.75" customHeight="1">
      <c r="B4774" s="282"/>
      <c r="H4774" s="273"/>
      <c r="I4774" s="274"/>
      <c r="J4774" s="274"/>
      <c r="K4774" s="274"/>
      <c r="L4774" s="274"/>
      <c r="M4774" s="274"/>
      <c r="N4774" s="274"/>
      <c r="P4774" s="275"/>
    </row>
    <row r="4775" ht="15.75" customHeight="1">
      <c r="B4775" s="282"/>
      <c r="H4775" s="273"/>
      <c r="I4775" s="274"/>
      <c r="J4775" s="274"/>
      <c r="K4775" s="274"/>
      <c r="L4775" s="274"/>
      <c r="M4775" s="274"/>
      <c r="N4775" s="274"/>
      <c r="P4775" s="275"/>
    </row>
    <row r="4776" ht="15.75" customHeight="1">
      <c r="B4776" s="282"/>
      <c r="H4776" s="273"/>
      <c r="I4776" s="274"/>
      <c r="J4776" s="274"/>
      <c r="K4776" s="274"/>
      <c r="L4776" s="274"/>
      <c r="M4776" s="274"/>
      <c r="N4776" s="274"/>
      <c r="P4776" s="275"/>
    </row>
    <row r="4777" ht="15.75" customHeight="1">
      <c r="B4777" s="282"/>
      <c r="H4777" s="273"/>
      <c r="I4777" s="274"/>
      <c r="J4777" s="274"/>
      <c r="K4777" s="274"/>
      <c r="L4777" s="274"/>
      <c r="M4777" s="274"/>
      <c r="N4777" s="274"/>
      <c r="P4777" s="275"/>
    </row>
    <row r="4778" ht="15.75" customHeight="1">
      <c r="B4778" s="282"/>
      <c r="H4778" s="273"/>
      <c r="I4778" s="274"/>
      <c r="J4778" s="274"/>
      <c r="K4778" s="274"/>
      <c r="L4778" s="274"/>
      <c r="M4778" s="274"/>
      <c r="N4778" s="274"/>
      <c r="P4778" s="275"/>
    </row>
    <row r="4779" ht="15.75" customHeight="1">
      <c r="B4779" s="282"/>
      <c r="H4779" s="273"/>
      <c r="I4779" s="274"/>
      <c r="J4779" s="274"/>
      <c r="K4779" s="274"/>
      <c r="L4779" s="274"/>
      <c r="M4779" s="274"/>
      <c r="N4779" s="274"/>
      <c r="P4779" s="275"/>
    </row>
    <row r="4780" ht="15.75" customHeight="1">
      <c r="B4780" s="282"/>
      <c r="H4780" s="273"/>
      <c r="I4780" s="274"/>
      <c r="J4780" s="274"/>
      <c r="K4780" s="274"/>
      <c r="L4780" s="274"/>
      <c r="M4780" s="274"/>
      <c r="N4780" s="274"/>
      <c r="P4780" s="275"/>
    </row>
    <row r="4781" ht="15.75" customHeight="1">
      <c r="B4781" s="282"/>
      <c r="H4781" s="273"/>
      <c r="I4781" s="274"/>
      <c r="J4781" s="274"/>
      <c r="K4781" s="274"/>
      <c r="L4781" s="274"/>
      <c r="M4781" s="274"/>
      <c r="N4781" s="274"/>
      <c r="P4781" s="275"/>
    </row>
    <row r="4782" ht="15.75" customHeight="1">
      <c r="B4782" s="282"/>
      <c r="H4782" s="273"/>
      <c r="I4782" s="274"/>
      <c r="J4782" s="274"/>
      <c r="K4782" s="274"/>
      <c r="L4782" s="274"/>
      <c r="M4782" s="274"/>
      <c r="N4782" s="274"/>
      <c r="P4782" s="275"/>
    </row>
    <row r="4783" ht="15.75" customHeight="1">
      <c r="B4783" s="282"/>
      <c r="H4783" s="273"/>
      <c r="I4783" s="274"/>
      <c r="J4783" s="274"/>
      <c r="K4783" s="274"/>
      <c r="L4783" s="274"/>
      <c r="M4783" s="274"/>
      <c r="N4783" s="274"/>
      <c r="P4783" s="275"/>
    </row>
    <row r="4784" ht="15.75" customHeight="1">
      <c r="B4784" s="282"/>
      <c r="H4784" s="273"/>
      <c r="I4784" s="274"/>
      <c r="J4784" s="274"/>
      <c r="K4784" s="274"/>
      <c r="L4784" s="274"/>
      <c r="M4784" s="274"/>
      <c r="N4784" s="274"/>
      <c r="P4784" s="275"/>
    </row>
    <row r="4785" ht="15.75" customHeight="1">
      <c r="B4785" s="282"/>
      <c r="H4785" s="273"/>
      <c r="I4785" s="274"/>
      <c r="J4785" s="274"/>
      <c r="K4785" s="274"/>
      <c r="L4785" s="274"/>
      <c r="M4785" s="274"/>
      <c r="N4785" s="274"/>
      <c r="P4785" s="275"/>
    </row>
    <row r="4786" ht="15.75" customHeight="1">
      <c r="B4786" s="282"/>
      <c r="H4786" s="273"/>
      <c r="I4786" s="274"/>
      <c r="J4786" s="274"/>
      <c r="K4786" s="274"/>
      <c r="L4786" s="274"/>
      <c r="M4786" s="274"/>
      <c r="N4786" s="274"/>
      <c r="P4786" s="275"/>
    </row>
    <row r="4787" ht="15.75" customHeight="1">
      <c r="B4787" s="282"/>
      <c r="H4787" s="273"/>
      <c r="I4787" s="274"/>
      <c r="J4787" s="274"/>
      <c r="K4787" s="274"/>
      <c r="L4787" s="274"/>
      <c r="M4787" s="274"/>
      <c r="N4787" s="274"/>
      <c r="P4787" s="275"/>
    </row>
    <row r="4788" ht="15.75" customHeight="1">
      <c r="B4788" s="282"/>
      <c r="H4788" s="273"/>
      <c r="I4788" s="274"/>
      <c r="J4788" s="274"/>
      <c r="K4788" s="274"/>
      <c r="L4788" s="274"/>
      <c r="M4788" s="274"/>
      <c r="N4788" s="274"/>
      <c r="P4788" s="275"/>
    </row>
    <row r="4789" ht="15.75" customHeight="1">
      <c r="B4789" s="282"/>
      <c r="H4789" s="273"/>
      <c r="I4789" s="274"/>
      <c r="J4789" s="274"/>
      <c r="K4789" s="274"/>
      <c r="L4789" s="274"/>
      <c r="M4789" s="274"/>
      <c r="N4789" s="274"/>
      <c r="P4789" s="275"/>
    </row>
    <row r="4790" ht="15.75" customHeight="1">
      <c r="B4790" s="282"/>
      <c r="H4790" s="273"/>
      <c r="I4790" s="274"/>
      <c r="J4790" s="274"/>
      <c r="K4790" s="274"/>
      <c r="L4790" s="274"/>
      <c r="M4790" s="274"/>
      <c r="N4790" s="274"/>
      <c r="P4790" s="275"/>
    </row>
    <row r="4791" ht="15.75" customHeight="1">
      <c r="B4791" s="282"/>
      <c r="H4791" s="273"/>
      <c r="I4791" s="274"/>
      <c r="J4791" s="274"/>
      <c r="K4791" s="274"/>
      <c r="L4791" s="274"/>
      <c r="M4791" s="274"/>
      <c r="N4791" s="274"/>
      <c r="P4791" s="275"/>
    </row>
    <row r="4792" ht="15.75" customHeight="1">
      <c r="B4792" s="282"/>
      <c r="H4792" s="273"/>
      <c r="I4792" s="274"/>
      <c r="J4792" s="274"/>
      <c r="K4792" s="274"/>
      <c r="L4792" s="274"/>
      <c r="M4792" s="274"/>
      <c r="N4792" s="274"/>
      <c r="P4792" s="275"/>
    </row>
    <row r="4793" ht="15.75" customHeight="1">
      <c r="B4793" s="282"/>
      <c r="H4793" s="273"/>
      <c r="I4793" s="274"/>
      <c r="J4793" s="274"/>
      <c r="K4793" s="274"/>
      <c r="L4793" s="274"/>
      <c r="M4793" s="274"/>
      <c r="N4793" s="274"/>
      <c r="P4793" s="275"/>
    </row>
    <row r="4794" ht="15.75" customHeight="1">
      <c r="B4794" s="282"/>
      <c r="H4794" s="273"/>
      <c r="I4794" s="274"/>
      <c r="J4794" s="274"/>
      <c r="K4794" s="274"/>
      <c r="L4794" s="274"/>
      <c r="M4794" s="274"/>
      <c r="N4794" s="274"/>
      <c r="P4794" s="275"/>
    </row>
    <row r="4795" ht="15.75" customHeight="1">
      <c r="B4795" s="282"/>
      <c r="H4795" s="273"/>
      <c r="I4795" s="274"/>
      <c r="J4795" s="274"/>
      <c r="K4795" s="274"/>
      <c r="L4795" s="274"/>
      <c r="M4795" s="274"/>
      <c r="N4795" s="274"/>
      <c r="P4795" s="275"/>
    </row>
    <row r="4796" ht="15.75" customHeight="1">
      <c r="B4796" s="282"/>
      <c r="H4796" s="273"/>
      <c r="I4796" s="274"/>
      <c r="J4796" s="274"/>
      <c r="K4796" s="274"/>
      <c r="L4796" s="274"/>
      <c r="M4796" s="274"/>
      <c r="N4796" s="274"/>
      <c r="P4796" s="275"/>
    </row>
    <row r="4797" ht="15.75" customHeight="1">
      <c r="B4797" s="282"/>
      <c r="H4797" s="273"/>
      <c r="I4797" s="274"/>
      <c r="J4797" s="274"/>
      <c r="K4797" s="274"/>
      <c r="L4797" s="274"/>
      <c r="M4797" s="274"/>
      <c r="N4797" s="274"/>
      <c r="P4797" s="275"/>
    </row>
    <row r="4798" ht="15.75" customHeight="1">
      <c r="B4798" s="282"/>
      <c r="H4798" s="273"/>
      <c r="I4798" s="274"/>
      <c r="J4798" s="274"/>
      <c r="K4798" s="274"/>
      <c r="L4798" s="274"/>
      <c r="M4798" s="274"/>
      <c r="N4798" s="274"/>
      <c r="P4798" s="275"/>
    </row>
    <row r="4799" ht="15.75" customHeight="1">
      <c r="B4799" s="282"/>
      <c r="H4799" s="273"/>
      <c r="I4799" s="274"/>
      <c r="J4799" s="274"/>
      <c r="K4799" s="274"/>
      <c r="L4799" s="274"/>
      <c r="M4799" s="274"/>
      <c r="N4799" s="274"/>
      <c r="P4799" s="275"/>
    </row>
    <row r="4800" ht="15.75" customHeight="1">
      <c r="B4800" s="282"/>
      <c r="H4800" s="273"/>
      <c r="I4800" s="274"/>
      <c r="J4800" s="274"/>
      <c r="K4800" s="274"/>
      <c r="L4800" s="274"/>
      <c r="M4800" s="274"/>
      <c r="N4800" s="274"/>
      <c r="P4800" s="275"/>
    </row>
    <row r="4801" ht="15.75" customHeight="1">
      <c r="B4801" s="282"/>
      <c r="H4801" s="273"/>
      <c r="I4801" s="274"/>
      <c r="J4801" s="274"/>
      <c r="K4801" s="274"/>
      <c r="L4801" s="274"/>
      <c r="M4801" s="274"/>
      <c r="N4801" s="274"/>
      <c r="P4801" s="275"/>
    </row>
    <row r="4802" ht="15.75" customHeight="1">
      <c r="B4802" s="282"/>
      <c r="H4802" s="273"/>
      <c r="I4802" s="274"/>
      <c r="J4802" s="274"/>
      <c r="K4802" s="274"/>
      <c r="L4802" s="274"/>
      <c r="M4802" s="274"/>
      <c r="N4802" s="274"/>
      <c r="P4802" s="275"/>
    </row>
    <row r="4803" ht="15.75" customHeight="1">
      <c r="B4803" s="282"/>
      <c r="H4803" s="273"/>
      <c r="I4803" s="274"/>
      <c r="J4803" s="274"/>
      <c r="K4803" s="274"/>
      <c r="L4803" s="274"/>
      <c r="M4803" s="274"/>
      <c r="N4803" s="274"/>
      <c r="P4803" s="275"/>
    </row>
    <row r="4804" ht="15.75" customHeight="1">
      <c r="B4804" s="282"/>
      <c r="H4804" s="273"/>
      <c r="I4804" s="274"/>
      <c r="J4804" s="274"/>
      <c r="K4804" s="274"/>
      <c r="L4804" s="274"/>
      <c r="M4804" s="274"/>
      <c r="N4804" s="274"/>
      <c r="P4804" s="275"/>
    </row>
    <row r="4805" ht="15.75" customHeight="1">
      <c r="B4805" s="282"/>
      <c r="H4805" s="273"/>
      <c r="I4805" s="274"/>
      <c r="J4805" s="274"/>
      <c r="K4805" s="274"/>
      <c r="L4805" s="274"/>
      <c r="M4805" s="274"/>
      <c r="N4805" s="274"/>
      <c r="P4805" s="275"/>
    </row>
    <row r="4806" ht="15.75" customHeight="1">
      <c r="B4806" s="282"/>
      <c r="H4806" s="273"/>
      <c r="I4806" s="274"/>
      <c r="J4806" s="274"/>
      <c r="K4806" s="274"/>
      <c r="L4806" s="274"/>
      <c r="M4806" s="274"/>
      <c r="N4806" s="274"/>
      <c r="P4806" s="275"/>
    </row>
    <row r="4807" ht="15.75" customHeight="1">
      <c r="B4807" s="282"/>
      <c r="H4807" s="273"/>
      <c r="I4807" s="274"/>
      <c r="J4807" s="274"/>
      <c r="K4807" s="274"/>
      <c r="L4807" s="274"/>
      <c r="M4807" s="274"/>
      <c r="N4807" s="274"/>
      <c r="P4807" s="275"/>
    </row>
    <row r="4808" ht="15.75" customHeight="1">
      <c r="B4808" s="282"/>
      <c r="H4808" s="273"/>
      <c r="I4808" s="274"/>
      <c r="J4808" s="274"/>
      <c r="K4808" s="274"/>
      <c r="L4808" s="274"/>
      <c r="M4808" s="274"/>
      <c r="N4808" s="274"/>
      <c r="P4808" s="275"/>
    </row>
    <row r="4809" ht="15.75" customHeight="1">
      <c r="B4809" s="282"/>
      <c r="H4809" s="273"/>
      <c r="I4809" s="274"/>
      <c r="J4809" s="274"/>
      <c r="K4809" s="274"/>
      <c r="L4809" s="274"/>
      <c r="M4809" s="274"/>
      <c r="N4809" s="274"/>
      <c r="P4809" s="275"/>
    </row>
    <row r="4810" ht="15.75" customHeight="1">
      <c r="B4810" s="282"/>
      <c r="H4810" s="273"/>
      <c r="I4810" s="274"/>
      <c r="J4810" s="274"/>
      <c r="K4810" s="274"/>
      <c r="L4810" s="274"/>
      <c r="M4810" s="274"/>
      <c r="N4810" s="274"/>
      <c r="P4810" s="275"/>
    </row>
    <row r="4811" ht="15.75" customHeight="1">
      <c r="B4811" s="282"/>
      <c r="H4811" s="273"/>
      <c r="I4811" s="274"/>
      <c r="J4811" s="274"/>
      <c r="K4811" s="274"/>
      <c r="L4811" s="274"/>
      <c r="M4811" s="274"/>
      <c r="N4811" s="274"/>
      <c r="P4811" s="275"/>
    </row>
    <row r="4812" ht="15.75" customHeight="1">
      <c r="B4812" s="282"/>
      <c r="H4812" s="273"/>
      <c r="I4812" s="274"/>
      <c r="J4812" s="274"/>
      <c r="K4812" s="274"/>
      <c r="L4812" s="274"/>
      <c r="M4812" s="274"/>
      <c r="N4812" s="274"/>
      <c r="P4812" s="275"/>
    </row>
    <row r="4813" ht="15.75" customHeight="1">
      <c r="B4813" s="282"/>
      <c r="H4813" s="273"/>
      <c r="I4813" s="274"/>
      <c r="J4813" s="274"/>
      <c r="K4813" s="274"/>
      <c r="L4813" s="274"/>
      <c r="M4813" s="274"/>
      <c r="N4813" s="274"/>
      <c r="P4813" s="275"/>
    </row>
    <row r="4814" ht="15.75" customHeight="1">
      <c r="B4814" s="282"/>
      <c r="H4814" s="273"/>
      <c r="I4814" s="274"/>
      <c r="J4814" s="274"/>
      <c r="K4814" s="274"/>
      <c r="L4814" s="274"/>
      <c r="M4814" s="274"/>
      <c r="N4814" s="274"/>
      <c r="P4814" s="275"/>
    </row>
    <row r="4815" ht="15.75" customHeight="1">
      <c r="B4815" s="282"/>
      <c r="H4815" s="273"/>
      <c r="I4815" s="274"/>
      <c r="J4815" s="274"/>
      <c r="K4815" s="274"/>
      <c r="L4815" s="274"/>
      <c r="M4815" s="274"/>
      <c r="N4815" s="274"/>
      <c r="P4815" s="275"/>
    </row>
    <row r="4816" ht="15.75" customHeight="1">
      <c r="B4816" s="282"/>
      <c r="H4816" s="273"/>
      <c r="I4816" s="274"/>
      <c r="J4816" s="274"/>
      <c r="K4816" s="274"/>
      <c r="L4816" s="274"/>
      <c r="M4816" s="274"/>
      <c r="N4816" s="274"/>
      <c r="P4816" s="275"/>
    </row>
    <row r="4817" ht="15.75" customHeight="1">
      <c r="B4817" s="282"/>
      <c r="H4817" s="273"/>
      <c r="I4817" s="274"/>
      <c r="J4817" s="274"/>
      <c r="K4817" s="274"/>
      <c r="L4817" s="274"/>
      <c r="M4817" s="274"/>
      <c r="N4817" s="274"/>
      <c r="P4817" s="275"/>
    </row>
    <row r="4818" ht="15.75" customHeight="1">
      <c r="B4818" s="282"/>
      <c r="H4818" s="273"/>
      <c r="I4818" s="274"/>
      <c r="J4818" s="274"/>
      <c r="K4818" s="274"/>
      <c r="L4818" s="274"/>
      <c r="M4818" s="274"/>
      <c r="N4818" s="274"/>
      <c r="P4818" s="275"/>
    </row>
    <row r="4819" ht="15.75" customHeight="1">
      <c r="B4819" s="282"/>
      <c r="H4819" s="273"/>
      <c r="I4819" s="274"/>
      <c r="J4819" s="274"/>
      <c r="K4819" s="274"/>
      <c r="L4819" s="274"/>
      <c r="M4819" s="274"/>
      <c r="N4819" s="274"/>
      <c r="P4819" s="275"/>
    </row>
    <row r="4820" ht="15.75" customHeight="1">
      <c r="B4820" s="282"/>
      <c r="H4820" s="273"/>
      <c r="I4820" s="274"/>
      <c r="J4820" s="274"/>
      <c r="K4820" s="274"/>
      <c r="L4820" s="274"/>
      <c r="M4820" s="274"/>
      <c r="N4820" s="274"/>
      <c r="P4820" s="275"/>
    </row>
    <row r="4821" ht="15.75" customHeight="1">
      <c r="B4821" s="282"/>
      <c r="H4821" s="273"/>
      <c r="I4821" s="274"/>
      <c r="J4821" s="274"/>
      <c r="K4821" s="274"/>
      <c r="L4821" s="274"/>
      <c r="M4821" s="274"/>
      <c r="N4821" s="274"/>
      <c r="P4821" s="275"/>
    </row>
    <row r="4822" ht="15.75" customHeight="1">
      <c r="B4822" s="282"/>
      <c r="H4822" s="273"/>
      <c r="I4822" s="274"/>
      <c r="J4822" s="274"/>
      <c r="K4822" s="274"/>
      <c r="L4822" s="274"/>
      <c r="M4822" s="274"/>
      <c r="N4822" s="274"/>
      <c r="P4822" s="275"/>
    </row>
    <row r="4823" ht="15.75" customHeight="1">
      <c r="B4823" s="282"/>
      <c r="H4823" s="273"/>
      <c r="I4823" s="274"/>
      <c r="J4823" s="274"/>
      <c r="K4823" s="274"/>
      <c r="L4823" s="274"/>
      <c r="M4823" s="274"/>
      <c r="N4823" s="274"/>
      <c r="P4823" s="275"/>
    </row>
    <row r="4824" ht="15.75" customHeight="1">
      <c r="B4824" s="282"/>
      <c r="H4824" s="273"/>
      <c r="I4824" s="274"/>
      <c r="J4824" s="274"/>
      <c r="K4824" s="274"/>
      <c r="L4824" s="274"/>
      <c r="M4824" s="274"/>
      <c r="N4824" s="274"/>
      <c r="P4824" s="275"/>
    </row>
    <row r="4825" ht="15.75" customHeight="1">
      <c r="B4825" s="282"/>
      <c r="H4825" s="273"/>
      <c r="I4825" s="274"/>
      <c r="J4825" s="274"/>
      <c r="K4825" s="274"/>
      <c r="L4825" s="274"/>
      <c r="M4825" s="274"/>
      <c r="N4825" s="274"/>
      <c r="P4825" s="275"/>
    </row>
    <row r="4826" ht="15.75" customHeight="1">
      <c r="B4826" s="282"/>
      <c r="H4826" s="273"/>
      <c r="I4826" s="274"/>
      <c r="J4826" s="274"/>
      <c r="K4826" s="274"/>
      <c r="L4826" s="274"/>
      <c r="M4826" s="274"/>
      <c r="N4826" s="274"/>
      <c r="P4826" s="275"/>
    </row>
    <row r="4827" ht="15.75" customHeight="1">
      <c r="B4827" s="282"/>
      <c r="H4827" s="273"/>
      <c r="I4827" s="274"/>
      <c r="J4827" s="274"/>
      <c r="K4827" s="274"/>
      <c r="L4827" s="274"/>
      <c r="M4827" s="274"/>
      <c r="N4827" s="274"/>
      <c r="P4827" s="275"/>
    </row>
    <row r="4828" ht="15.75" customHeight="1">
      <c r="B4828" s="282"/>
      <c r="H4828" s="273"/>
      <c r="I4828" s="274"/>
      <c r="J4828" s="274"/>
      <c r="K4828" s="274"/>
      <c r="L4828" s="274"/>
      <c r="M4828" s="274"/>
      <c r="N4828" s="274"/>
      <c r="P4828" s="275"/>
    </row>
    <row r="4829" ht="15.75" customHeight="1">
      <c r="B4829" s="282"/>
      <c r="H4829" s="273"/>
      <c r="I4829" s="274"/>
      <c r="J4829" s="274"/>
      <c r="K4829" s="274"/>
      <c r="L4829" s="274"/>
      <c r="M4829" s="274"/>
      <c r="N4829" s="274"/>
      <c r="P4829" s="275"/>
    </row>
    <row r="4830" ht="15.75" customHeight="1">
      <c r="B4830" s="282"/>
      <c r="H4830" s="273"/>
      <c r="I4830" s="274"/>
      <c r="J4830" s="274"/>
      <c r="K4830" s="274"/>
      <c r="L4830" s="274"/>
      <c r="M4830" s="274"/>
      <c r="N4830" s="274"/>
      <c r="P4830" s="275"/>
    </row>
    <row r="4831" ht="15.75" customHeight="1">
      <c r="B4831" s="282"/>
      <c r="H4831" s="273"/>
      <c r="I4831" s="274"/>
      <c r="J4831" s="274"/>
      <c r="K4831" s="274"/>
      <c r="L4831" s="274"/>
      <c r="M4831" s="274"/>
      <c r="N4831" s="274"/>
      <c r="P4831" s="275"/>
    </row>
    <row r="4832" ht="15.75" customHeight="1">
      <c r="B4832" s="282"/>
      <c r="H4832" s="273"/>
      <c r="I4832" s="274"/>
      <c r="J4832" s="274"/>
      <c r="K4832" s="274"/>
      <c r="L4832" s="274"/>
      <c r="M4832" s="274"/>
      <c r="N4832" s="274"/>
      <c r="P4832" s="275"/>
    </row>
    <row r="4833" ht="15.75" customHeight="1">
      <c r="B4833" s="282"/>
      <c r="H4833" s="273"/>
      <c r="I4833" s="274"/>
      <c r="J4833" s="274"/>
      <c r="K4833" s="274"/>
      <c r="L4833" s="274"/>
      <c r="M4833" s="274"/>
      <c r="N4833" s="274"/>
      <c r="P4833" s="275"/>
    </row>
    <row r="4834" ht="15.75" customHeight="1">
      <c r="B4834" s="282"/>
      <c r="H4834" s="273"/>
      <c r="I4834" s="274"/>
      <c r="J4834" s="274"/>
      <c r="K4834" s="274"/>
      <c r="L4834" s="274"/>
      <c r="M4834" s="274"/>
      <c r="N4834" s="274"/>
      <c r="P4834" s="275"/>
    </row>
    <row r="4835" ht="15.75" customHeight="1">
      <c r="B4835" s="282"/>
      <c r="H4835" s="273"/>
      <c r="I4835" s="274"/>
      <c r="J4835" s="274"/>
      <c r="K4835" s="274"/>
      <c r="L4835" s="274"/>
      <c r="M4835" s="274"/>
      <c r="N4835" s="274"/>
      <c r="P4835" s="275"/>
    </row>
    <row r="4836" ht="15.75" customHeight="1">
      <c r="B4836" s="282"/>
      <c r="H4836" s="273"/>
      <c r="I4836" s="274"/>
      <c r="J4836" s="274"/>
      <c r="K4836" s="274"/>
      <c r="L4836" s="274"/>
      <c r="M4836" s="274"/>
      <c r="N4836" s="274"/>
      <c r="P4836" s="275"/>
    </row>
    <row r="4837" ht="15.75" customHeight="1">
      <c r="B4837" s="282"/>
      <c r="H4837" s="273"/>
      <c r="I4837" s="274"/>
      <c r="J4837" s="274"/>
      <c r="K4837" s="274"/>
      <c r="L4837" s="274"/>
      <c r="M4837" s="274"/>
      <c r="N4837" s="274"/>
      <c r="P4837" s="275"/>
    </row>
    <row r="4838" ht="15.75" customHeight="1">
      <c r="B4838" s="282"/>
      <c r="H4838" s="273"/>
      <c r="I4838" s="274"/>
      <c r="J4838" s="274"/>
      <c r="K4838" s="274"/>
      <c r="L4838" s="274"/>
      <c r="M4838" s="274"/>
      <c r="N4838" s="274"/>
      <c r="P4838" s="275"/>
    </row>
    <row r="4839" ht="15.75" customHeight="1">
      <c r="B4839" s="282"/>
      <c r="H4839" s="273"/>
      <c r="I4839" s="274"/>
      <c r="J4839" s="274"/>
      <c r="K4839" s="274"/>
      <c r="L4839" s="274"/>
      <c r="M4839" s="274"/>
      <c r="N4839" s="274"/>
      <c r="P4839" s="275"/>
    </row>
    <row r="4840" ht="15.75" customHeight="1">
      <c r="B4840" s="282"/>
      <c r="H4840" s="273"/>
      <c r="I4840" s="274"/>
      <c r="J4840" s="274"/>
      <c r="K4840" s="274"/>
      <c r="L4840" s="274"/>
      <c r="M4840" s="274"/>
      <c r="N4840" s="274"/>
      <c r="P4840" s="275"/>
    </row>
    <row r="4841" ht="15.75" customHeight="1">
      <c r="B4841" s="282"/>
      <c r="H4841" s="273"/>
      <c r="I4841" s="274"/>
      <c r="J4841" s="274"/>
      <c r="K4841" s="274"/>
      <c r="L4841" s="274"/>
      <c r="M4841" s="274"/>
      <c r="N4841" s="274"/>
      <c r="P4841" s="275"/>
    </row>
    <row r="4842" ht="15.75" customHeight="1">
      <c r="B4842" s="282"/>
      <c r="H4842" s="273"/>
      <c r="I4842" s="274"/>
      <c r="J4842" s="274"/>
      <c r="K4842" s="274"/>
      <c r="L4842" s="274"/>
      <c r="M4842" s="274"/>
      <c r="N4842" s="274"/>
      <c r="P4842" s="275"/>
    </row>
    <row r="4843" ht="15.75" customHeight="1">
      <c r="B4843" s="282"/>
      <c r="H4843" s="273"/>
      <c r="I4843" s="274"/>
      <c r="J4843" s="274"/>
      <c r="K4843" s="274"/>
      <c r="L4843" s="274"/>
      <c r="M4843" s="274"/>
      <c r="N4843" s="274"/>
      <c r="P4843" s="275"/>
    </row>
    <row r="4844" ht="15.75" customHeight="1">
      <c r="B4844" s="282"/>
      <c r="H4844" s="273"/>
      <c r="I4844" s="274"/>
      <c r="J4844" s="274"/>
      <c r="K4844" s="274"/>
      <c r="L4844" s="274"/>
      <c r="M4844" s="274"/>
      <c r="N4844" s="274"/>
      <c r="P4844" s="275"/>
    </row>
    <row r="4845" ht="15.75" customHeight="1">
      <c r="B4845" s="282"/>
      <c r="H4845" s="273"/>
      <c r="I4845" s="274"/>
      <c r="J4845" s="274"/>
      <c r="K4845" s="274"/>
      <c r="L4845" s="274"/>
      <c r="M4845" s="274"/>
      <c r="N4845" s="274"/>
      <c r="P4845" s="275"/>
    </row>
    <row r="4846" ht="15.75" customHeight="1">
      <c r="B4846" s="282"/>
      <c r="H4846" s="273"/>
      <c r="I4846" s="274"/>
      <c r="J4846" s="274"/>
      <c r="K4846" s="274"/>
      <c r="L4846" s="274"/>
      <c r="M4846" s="274"/>
      <c r="N4846" s="274"/>
      <c r="P4846" s="275"/>
    </row>
    <row r="4847" ht="15.75" customHeight="1">
      <c r="B4847" s="282"/>
      <c r="H4847" s="273"/>
      <c r="I4847" s="274"/>
      <c r="J4847" s="274"/>
      <c r="K4847" s="274"/>
      <c r="L4847" s="274"/>
      <c r="M4847" s="274"/>
      <c r="N4847" s="274"/>
      <c r="P4847" s="275"/>
    </row>
    <row r="4848" ht="15.75" customHeight="1">
      <c r="B4848" s="282"/>
      <c r="H4848" s="273"/>
      <c r="I4848" s="274"/>
      <c r="J4848" s="274"/>
      <c r="K4848" s="274"/>
      <c r="L4848" s="274"/>
      <c r="M4848" s="274"/>
      <c r="N4848" s="274"/>
      <c r="P4848" s="275"/>
    </row>
    <row r="4849" ht="15.75" customHeight="1">
      <c r="B4849" s="282"/>
      <c r="H4849" s="273"/>
      <c r="I4849" s="274"/>
      <c r="J4849" s="274"/>
      <c r="K4849" s="274"/>
      <c r="L4849" s="274"/>
      <c r="M4849" s="274"/>
      <c r="N4849" s="274"/>
      <c r="P4849" s="275"/>
    </row>
    <row r="4850" ht="15.75" customHeight="1">
      <c r="B4850" s="282"/>
      <c r="H4850" s="273"/>
      <c r="I4850" s="274"/>
      <c r="J4850" s="274"/>
      <c r="K4850" s="274"/>
      <c r="L4850" s="274"/>
      <c r="M4850" s="274"/>
      <c r="N4850" s="274"/>
      <c r="P4850" s="275"/>
    </row>
    <row r="4851" ht="15.75" customHeight="1">
      <c r="B4851" s="282"/>
      <c r="H4851" s="273"/>
      <c r="I4851" s="274"/>
      <c r="J4851" s="274"/>
      <c r="K4851" s="274"/>
      <c r="L4851" s="274"/>
      <c r="M4851" s="274"/>
      <c r="N4851" s="274"/>
      <c r="P4851" s="275"/>
    </row>
    <row r="4852" ht="15.75" customHeight="1">
      <c r="B4852" s="282"/>
      <c r="H4852" s="273"/>
      <c r="I4852" s="274"/>
      <c r="J4852" s="274"/>
      <c r="K4852" s="274"/>
      <c r="L4852" s="274"/>
      <c r="M4852" s="274"/>
      <c r="N4852" s="274"/>
      <c r="P4852" s="275"/>
    </row>
    <row r="4853" ht="15.75" customHeight="1">
      <c r="B4853" s="282"/>
      <c r="H4853" s="273"/>
      <c r="I4853" s="274"/>
      <c r="J4853" s="274"/>
      <c r="K4853" s="274"/>
      <c r="L4853" s="274"/>
      <c r="M4853" s="274"/>
      <c r="N4853" s="274"/>
      <c r="P4853" s="275"/>
    </row>
    <row r="4854" ht="15.75" customHeight="1">
      <c r="B4854" s="282"/>
      <c r="H4854" s="273"/>
      <c r="I4854" s="274"/>
      <c r="J4854" s="274"/>
      <c r="K4854" s="274"/>
      <c r="L4854" s="274"/>
      <c r="M4854" s="274"/>
      <c r="N4854" s="274"/>
      <c r="P4854" s="275"/>
    </row>
    <row r="4855" ht="15.75" customHeight="1">
      <c r="B4855" s="282"/>
      <c r="H4855" s="273"/>
      <c r="I4855" s="274"/>
      <c r="J4855" s="274"/>
      <c r="K4855" s="274"/>
      <c r="L4855" s="274"/>
      <c r="M4855" s="274"/>
      <c r="N4855" s="274"/>
      <c r="P4855" s="275"/>
    </row>
    <row r="4856" ht="15.75" customHeight="1">
      <c r="B4856" s="282"/>
      <c r="H4856" s="273"/>
      <c r="I4856" s="274"/>
      <c r="J4856" s="274"/>
      <c r="K4856" s="274"/>
      <c r="L4856" s="274"/>
      <c r="M4856" s="274"/>
      <c r="N4856" s="274"/>
      <c r="P4856" s="275"/>
    </row>
    <row r="4857" ht="15.75" customHeight="1">
      <c r="B4857" s="282"/>
      <c r="H4857" s="273"/>
      <c r="I4857" s="274"/>
      <c r="J4857" s="274"/>
      <c r="K4857" s="274"/>
      <c r="L4857" s="274"/>
      <c r="M4857" s="274"/>
      <c r="N4857" s="274"/>
      <c r="P4857" s="275"/>
    </row>
    <row r="4858" ht="15.75" customHeight="1">
      <c r="B4858" s="282"/>
      <c r="H4858" s="273"/>
      <c r="I4858" s="274"/>
      <c r="J4858" s="274"/>
      <c r="K4858" s="274"/>
      <c r="L4858" s="274"/>
      <c r="M4858" s="274"/>
      <c r="N4858" s="274"/>
      <c r="P4858" s="275"/>
    </row>
    <row r="4859" ht="15.75" customHeight="1">
      <c r="B4859" s="282"/>
      <c r="H4859" s="273"/>
      <c r="I4859" s="274"/>
      <c r="J4859" s="274"/>
      <c r="K4859" s="274"/>
      <c r="L4859" s="274"/>
      <c r="M4859" s="274"/>
      <c r="N4859" s="274"/>
      <c r="P4859" s="275"/>
    </row>
    <row r="4860" ht="15.75" customHeight="1">
      <c r="B4860" s="282"/>
      <c r="H4860" s="273"/>
      <c r="I4860" s="274"/>
      <c r="J4860" s="274"/>
      <c r="K4860" s="274"/>
      <c r="L4860" s="274"/>
      <c r="M4860" s="274"/>
      <c r="N4860" s="274"/>
      <c r="P4860" s="275"/>
    </row>
    <row r="4861" ht="15.75" customHeight="1">
      <c r="B4861" s="282"/>
      <c r="H4861" s="273"/>
      <c r="I4861" s="274"/>
      <c r="J4861" s="274"/>
      <c r="K4861" s="274"/>
      <c r="L4861" s="274"/>
      <c r="M4861" s="274"/>
      <c r="N4861" s="274"/>
      <c r="P4861" s="275"/>
    </row>
    <row r="4862" ht="15.75" customHeight="1">
      <c r="B4862" s="282"/>
      <c r="H4862" s="273"/>
      <c r="I4862" s="274"/>
      <c r="J4862" s="274"/>
      <c r="K4862" s="274"/>
      <c r="L4862" s="274"/>
      <c r="M4862" s="274"/>
      <c r="N4862" s="274"/>
      <c r="P4862" s="275"/>
    </row>
    <row r="4863" ht="15.75" customHeight="1">
      <c r="B4863" s="282"/>
      <c r="H4863" s="273"/>
      <c r="I4863" s="274"/>
      <c r="J4863" s="274"/>
      <c r="K4863" s="274"/>
      <c r="L4863" s="274"/>
      <c r="M4863" s="274"/>
      <c r="N4863" s="274"/>
      <c r="P4863" s="275"/>
    </row>
    <row r="4864" ht="15.75" customHeight="1">
      <c r="B4864" s="282"/>
      <c r="H4864" s="273"/>
      <c r="I4864" s="274"/>
      <c r="J4864" s="274"/>
      <c r="K4864" s="274"/>
      <c r="L4864" s="274"/>
      <c r="M4864" s="274"/>
      <c r="N4864" s="274"/>
      <c r="P4864" s="275"/>
    </row>
    <row r="4865" ht="15.75" customHeight="1">
      <c r="B4865" s="282"/>
      <c r="H4865" s="273"/>
      <c r="I4865" s="274"/>
      <c r="J4865" s="274"/>
      <c r="K4865" s="274"/>
      <c r="L4865" s="274"/>
      <c r="M4865" s="274"/>
      <c r="N4865" s="274"/>
      <c r="P4865" s="275"/>
    </row>
    <row r="4866" ht="15.75" customHeight="1">
      <c r="B4866" s="282"/>
      <c r="H4866" s="273"/>
      <c r="I4866" s="274"/>
      <c r="J4866" s="274"/>
      <c r="K4866" s="274"/>
      <c r="L4866" s="274"/>
      <c r="M4866" s="274"/>
      <c r="N4866" s="274"/>
      <c r="P4866" s="275"/>
    </row>
    <row r="4867" ht="15.75" customHeight="1">
      <c r="B4867" s="282"/>
      <c r="H4867" s="273"/>
      <c r="I4867" s="274"/>
      <c r="J4867" s="274"/>
      <c r="K4867" s="274"/>
      <c r="L4867" s="274"/>
      <c r="M4867" s="274"/>
      <c r="N4867" s="274"/>
      <c r="P4867" s="275"/>
    </row>
    <row r="4868" ht="15.75" customHeight="1">
      <c r="B4868" s="282"/>
      <c r="H4868" s="273"/>
      <c r="I4868" s="274"/>
      <c r="J4868" s="274"/>
      <c r="K4868" s="274"/>
      <c r="L4868" s="274"/>
      <c r="M4868" s="274"/>
      <c r="N4868" s="274"/>
      <c r="P4868" s="275"/>
    </row>
    <row r="4869" ht="15.75" customHeight="1">
      <c r="B4869" s="282"/>
      <c r="H4869" s="273"/>
      <c r="I4869" s="274"/>
      <c r="J4869" s="274"/>
      <c r="K4869" s="274"/>
      <c r="L4869" s="274"/>
      <c r="M4869" s="274"/>
      <c r="N4869" s="274"/>
      <c r="P4869" s="275"/>
    </row>
    <row r="4870" ht="15.75" customHeight="1">
      <c r="B4870" s="282"/>
      <c r="H4870" s="273"/>
      <c r="I4870" s="274"/>
      <c r="J4870" s="274"/>
      <c r="K4870" s="274"/>
      <c r="L4870" s="274"/>
      <c r="M4870" s="274"/>
      <c r="N4870" s="274"/>
      <c r="P4870" s="275"/>
    </row>
    <row r="4871" ht="15.75" customHeight="1">
      <c r="B4871" s="282"/>
      <c r="H4871" s="273"/>
      <c r="I4871" s="274"/>
      <c r="J4871" s="274"/>
      <c r="K4871" s="274"/>
      <c r="L4871" s="274"/>
      <c r="M4871" s="274"/>
      <c r="N4871" s="274"/>
      <c r="P4871" s="275"/>
    </row>
    <row r="4872" ht="15.75" customHeight="1">
      <c r="B4872" s="282"/>
      <c r="H4872" s="273"/>
      <c r="I4872" s="274"/>
      <c r="J4872" s="274"/>
      <c r="K4872" s="274"/>
      <c r="L4872" s="274"/>
      <c r="M4872" s="274"/>
      <c r="N4872" s="274"/>
      <c r="P4872" s="275"/>
    </row>
    <row r="4873" ht="15.75" customHeight="1">
      <c r="B4873" s="282"/>
      <c r="H4873" s="273"/>
      <c r="I4873" s="274"/>
      <c r="J4873" s="274"/>
      <c r="K4873" s="274"/>
      <c r="L4873" s="274"/>
      <c r="M4873" s="274"/>
      <c r="N4873" s="274"/>
      <c r="P4873" s="275"/>
    </row>
    <row r="4874" ht="15.75" customHeight="1">
      <c r="B4874" s="282"/>
      <c r="H4874" s="273"/>
      <c r="I4874" s="274"/>
      <c r="J4874" s="274"/>
      <c r="K4874" s="274"/>
      <c r="L4874" s="274"/>
      <c r="M4874" s="274"/>
      <c r="N4874" s="274"/>
      <c r="P4874" s="275"/>
    </row>
    <row r="4875" ht="15.75" customHeight="1">
      <c r="B4875" s="282"/>
      <c r="H4875" s="273"/>
      <c r="I4875" s="274"/>
      <c r="J4875" s="274"/>
      <c r="K4875" s="274"/>
      <c r="L4875" s="274"/>
      <c r="M4875" s="274"/>
      <c r="N4875" s="274"/>
      <c r="P4875" s="275"/>
    </row>
    <row r="4876" ht="15.75" customHeight="1">
      <c r="B4876" s="282"/>
      <c r="H4876" s="273"/>
      <c r="I4876" s="274"/>
      <c r="J4876" s="274"/>
      <c r="K4876" s="274"/>
      <c r="L4876" s="274"/>
      <c r="M4876" s="274"/>
      <c r="N4876" s="274"/>
      <c r="P4876" s="275"/>
    </row>
    <row r="4877" ht="15.75" customHeight="1">
      <c r="B4877" s="282"/>
      <c r="H4877" s="273"/>
      <c r="I4877" s="274"/>
      <c r="J4877" s="274"/>
      <c r="K4877" s="274"/>
      <c r="L4877" s="274"/>
      <c r="M4877" s="274"/>
      <c r="N4877" s="274"/>
      <c r="P4877" s="275"/>
    </row>
    <row r="4878" ht="15.75" customHeight="1">
      <c r="B4878" s="282"/>
      <c r="H4878" s="273"/>
      <c r="I4878" s="274"/>
      <c r="J4878" s="274"/>
      <c r="K4878" s="274"/>
      <c r="L4878" s="274"/>
      <c r="M4878" s="274"/>
      <c r="N4878" s="274"/>
      <c r="P4878" s="275"/>
    </row>
    <row r="4879" ht="15.75" customHeight="1">
      <c r="B4879" s="282"/>
      <c r="H4879" s="273"/>
      <c r="I4879" s="274"/>
      <c r="J4879" s="274"/>
      <c r="K4879" s="274"/>
      <c r="L4879" s="274"/>
      <c r="M4879" s="274"/>
      <c r="N4879" s="274"/>
      <c r="P4879" s="275"/>
    </row>
    <row r="4880" ht="15.75" customHeight="1">
      <c r="B4880" s="282"/>
      <c r="H4880" s="273"/>
      <c r="I4880" s="274"/>
      <c r="J4880" s="274"/>
      <c r="K4880" s="274"/>
      <c r="L4880" s="274"/>
      <c r="M4880" s="274"/>
      <c r="N4880" s="274"/>
      <c r="P4880" s="275"/>
    </row>
    <row r="4881" ht="15.75" customHeight="1">
      <c r="B4881" s="282"/>
      <c r="H4881" s="273"/>
      <c r="I4881" s="274"/>
      <c r="J4881" s="274"/>
      <c r="K4881" s="274"/>
      <c r="L4881" s="274"/>
      <c r="M4881" s="274"/>
      <c r="N4881" s="274"/>
      <c r="P4881" s="275"/>
    </row>
    <row r="4882" ht="15.75" customHeight="1">
      <c r="B4882" s="282"/>
      <c r="H4882" s="273"/>
      <c r="I4882" s="274"/>
      <c r="J4882" s="274"/>
      <c r="K4882" s="274"/>
      <c r="L4882" s="274"/>
      <c r="M4882" s="274"/>
      <c r="N4882" s="274"/>
      <c r="P4882" s="275"/>
    </row>
    <row r="4883" ht="15.75" customHeight="1">
      <c r="B4883" s="282"/>
      <c r="H4883" s="273"/>
      <c r="I4883" s="274"/>
      <c r="J4883" s="274"/>
      <c r="K4883" s="274"/>
      <c r="L4883" s="274"/>
      <c r="M4883" s="274"/>
      <c r="N4883" s="274"/>
      <c r="P4883" s="275"/>
    </row>
    <row r="4884" ht="15.75" customHeight="1">
      <c r="B4884" s="282"/>
      <c r="H4884" s="273"/>
      <c r="I4884" s="274"/>
      <c r="J4884" s="274"/>
      <c r="K4884" s="274"/>
      <c r="L4884" s="274"/>
      <c r="M4884" s="274"/>
      <c r="N4884" s="274"/>
      <c r="P4884" s="275"/>
    </row>
    <row r="4885" ht="15.75" customHeight="1">
      <c r="B4885" s="282"/>
      <c r="H4885" s="273"/>
      <c r="I4885" s="274"/>
      <c r="J4885" s="274"/>
      <c r="K4885" s="274"/>
      <c r="L4885" s="274"/>
      <c r="M4885" s="274"/>
      <c r="N4885" s="274"/>
      <c r="P4885" s="275"/>
    </row>
    <row r="4886" ht="15.75" customHeight="1">
      <c r="B4886" s="282"/>
      <c r="H4886" s="273"/>
      <c r="I4886" s="274"/>
      <c r="J4886" s="274"/>
      <c r="K4886" s="274"/>
      <c r="L4886" s="274"/>
      <c r="M4886" s="274"/>
      <c r="N4886" s="274"/>
      <c r="P4886" s="275"/>
    </row>
    <row r="4887" ht="15.75" customHeight="1">
      <c r="B4887" s="282"/>
      <c r="H4887" s="273"/>
      <c r="I4887" s="274"/>
      <c r="J4887" s="274"/>
      <c r="K4887" s="274"/>
      <c r="L4887" s="274"/>
      <c r="M4887" s="274"/>
      <c r="N4887" s="274"/>
      <c r="P4887" s="275"/>
    </row>
    <row r="4888" ht="15.75" customHeight="1">
      <c r="B4888" s="282"/>
      <c r="H4888" s="273"/>
      <c r="I4888" s="274"/>
      <c r="J4888" s="274"/>
      <c r="K4888" s="274"/>
      <c r="L4888" s="274"/>
      <c r="M4888" s="274"/>
      <c r="N4888" s="274"/>
      <c r="P4888" s="275"/>
    </row>
    <row r="4889" ht="15.75" customHeight="1">
      <c r="B4889" s="282"/>
      <c r="H4889" s="273"/>
      <c r="I4889" s="274"/>
      <c r="J4889" s="274"/>
      <c r="K4889" s="274"/>
      <c r="L4889" s="274"/>
      <c r="M4889" s="274"/>
      <c r="N4889" s="274"/>
      <c r="P4889" s="275"/>
    </row>
    <row r="4890" ht="15.75" customHeight="1">
      <c r="B4890" s="282"/>
      <c r="H4890" s="273"/>
      <c r="I4890" s="274"/>
      <c r="J4890" s="274"/>
      <c r="K4890" s="274"/>
      <c r="L4890" s="274"/>
      <c r="M4890" s="274"/>
      <c r="N4890" s="274"/>
      <c r="P4890" s="275"/>
    </row>
    <row r="4891" ht="15.75" customHeight="1">
      <c r="B4891" s="282"/>
      <c r="H4891" s="273"/>
      <c r="I4891" s="274"/>
      <c r="J4891" s="274"/>
      <c r="K4891" s="274"/>
      <c r="L4891" s="274"/>
      <c r="M4891" s="274"/>
      <c r="N4891" s="274"/>
      <c r="P4891" s="275"/>
    </row>
    <row r="4892" ht="15.75" customHeight="1">
      <c r="B4892" s="282"/>
      <c r="H4892" s="273"/>
      <c r="I4892" s="274"/>
      <c r="J4892" s="274"/>
      <c r="K4892" s="274"/>
      <c r="L4892" s="274"/>
      <c r="M4892" s="274"/>
      <c r="N4892" s="274"/>
      <c r="P4892" s="275"/>
    </row>
    <row r="4893" ht="15.75" customHeight="1">
      <c r="B4893" s="282"/>
      <c r="H4893" s="273"/>
      <c r="I4893" s="274"/>
      <c r="J4893" s="274"/>
      <c r="K4893" s="274"/>
      <c r="L4893" s="274"/>
      <c r="M4893" s="274"/>
      <c r="N4893" s="274"/>
      <c r="P4893" s="275"/>
    </row>
    <row r="4894" ht="15.75" customHeight="1">
      <c r="B4894" s="282"/>
      <c r="H4894" s="273"/>
      <c r="I4894" s="274"/>
      <c r="J4894" s="274"/>
      <c r="K4894" s="274"/>
      <c r="L4894" s="274"/>
      <c r="M4894" s="274"/>
      <c r="N4894" s="274"/>
      <c r="P4894" s="275"/>
    </row>
    <row r="4895" ht="15.75" customHeight="1">
      <c r="B4895" s="282"/>
      <c r="H4895" s="273"/>
      <c r="I4895" s="274"/>
      <c r="J4895" s="274"/>
      <c r="K4895" s="274"/>
      <c r="L4895" s="274"/>
      <c r="M4895" s="274"/>
      <c r="N4895" s="274"/>
      <c r="P4895" s="275"/>
    </row>
    <row r="4896" ht="15.75" customHeight="1">
      <c r="B4896" s="282"/>
      <c r="H4896" s="273"/>
      <c r="I4896" s="274"/>
      <c r="J4896" s="274"/>
      <c r="K4896" s="274"/>
      <c r="L4896" s="274"/>
      <c r="M4896" s="274"/>
      <c r="N4896" s="274"/>
      <c r="P4896" s="275"/>
    </row>
    <row r="4897" ht="15.75" customHeight="1">
      <c r="B4897" s="282"/>
      <c r="H4897" s="273"/>
      <c r="I4897" s="274"/>
      <c r="J4897" s="274"/>
      <c r="K4897" s="274"/>
      <c r="L4897" s="274"/>
      <c r="M4897" s="274"/>
      <c r="N4897" s="274"/>
      <c r="P4897" s="275"/>
    </row>
    <row r="4898" ht="15.75" customHeight="1">
      <c r="B4898" s="282"/>
      <c r="H4898" s="273"/>
      <c r="I4898" s="274"/>
      <c r="J4898" s="274"/>
      <c r="K4898" s="274"/>
      <c r="L4898" s="274"/>
      <c r="M4898" s="274"/>
      <c r="N4898" s="274"/>
      <c r="P4898" s="275"/>
    </row>
    <row r="4899" ht="15.75" customHeight="1">
      <c r="B4899" s="282"/>
      <c r="H4899" s="273"/>
      <c r="I4899" s="274"/>
      <c r="J4899" s="274"/>
      <c r="K4899" s="274"/>
      <c r="L4899" s="274"/>
      <c r="M4899" s="274"/>
      <c r="N4899" s="274"/>
      <c r="P4899" s="275"/>
    </row>
    <row r="4900" ht="15.75" customHeight="1">
      <c r="B4900" s="282"/>
      <c r="H4900" s="273"/>
      <c r="I4900" s="274"/>
      <c r="J4900" s="274"/>
      <c r="K4900" s="274"/>
      <c r="L4900" s="274"/>
      <c r="M4900" s="274"/>
      <c r="N4900" s="274"/>
      <c r="P4900" s="275"/>
    </row>
    <row r="4901" ht="15.75" customHeight="1">
      <c r="B4901" s="282"/>
      <c r="H4901" s="273"/>
      <c r="I4901" s="274"/>
      <c r="J4901" s="274"/>
      <c r="K4901" s="274"/>
      <c r="L4901" s="274"/>
      <c r="M4901" s="274"/>
      <c r="N4901" s="274"/>
      <c r="P4901" s="275"/>
    </row>
    <row r="4902" ht="15.75" customHeight="1">
      <c r="B4902" s="282"/>
      <c r="H4902" s="273"/>
      <c r="I4902" s="274"/>
      <c r="J4902" s="274"/>
      <c r="K4902" s="274"/>
      <c r="L4902" s="274"/>
      <c r="M4902" s="274"/>
      <c r="N4902" s="274"/>
      <c r="P4902" s="275"/>
    </row>
    <row r="4903" ht="15.75" customHeight="1">
      <c r="B4903" s="282"/>
      <c r="H4903" s="273"/>
      <c r="I4903" s="274"/>
      <c r="J4903" s="274"/>
      <c r="K4903" s="274"/>
      <c r="L4903" s="274"/>
      <c r="M4903" s="274"/>
      <c r="N4903" s="274"/>
      <c r="P4903" s="275"/>
    </row>
    <row r="4904" ht="15.75" customHeight="1">
      <c r="B4904" s="282"/>
      <c r="H4904" s="273"/>
      <c r="I4904" s="274"/>
      <c r="J4904" s="274"/>
      <c r="K4904" s="274"/>
      <c r="L4904" s="274"/>
      <c r="M4904" s="274"/>
      <c r="N4904" s="274"/>
      <c r="P4904" s="275"/>
    </row>
    <row r="4905" ht="15.75" customHeight="1">
      <c r="B4905" s="282"/>
      <c r="H4905" s="273"/>
      <c r="I4905" s="274"/>
      <c r="J4905" s="274"/>
      <c r="K4905" s="274"/>
      <c r="L4905" s="274"/>
      <c r="M4905" s="274"/>
      <c r="N4905" s="274"/>
      <c r="P4905" s="275"/>
    </row>
    <row r="4906" ht="15.75" customHeight="1">
      <c r="B4906" s="282"/>
      <c r="H4906" s="273"/>
      <c r="I4906" s="274"/>
      <c r="J4906" s="274"/>
      <c r="K4906" s="274"/>
      <c r="L4906" s="274"/>
      <c r="M4906" s="274"/>
      <c r="N4906" s="274"/>
      <c r="P4906" s="275"/>
    </row>
    <row r="4907" ht="15.75" customHeight="1">
      <c r="B4907" s="282"/>
      <c r="H4907" s="273"/>
      <c r="I4907" s="274"/>
      <c r="J4907" s="274"/>
      <c r="K4907" s="274"/>
      <c r="L4907" s="274"/>
      <c r="M4907" s="274"/>
      <c r="N4907" s="274"/>
      <c r="P4907" s="275"/>
    </row>
    <row r="4908" ht="15.75" customHeight="1">
      <c r="B4908" s="282"/>
      <c r="H4908" s="273"/>
      <c r="I4908" s="274"/>
      <c r="J4908" s="274"/>
      <c r="K4908" s="274"/>
      <c r="L4908" s="274"/>
      <c r="M4908" s="274"/>
      <c r="N4908" s="274"/>
      <c r="P4908" s="275"/>
    </row>
    <row r="4909" ht="15.75" customHeight="1">
      <c r="B4909" s="282"/>
      <c r="H4909" s="273"/>
      <c r="I4909" s="274"/>
      <c r="J4909" s="274"/>
      <c r="K4909" s="274"/>
      <c r="L4909" s="274"/>
      <c r="M4909" s="274"/>
      <c r="N4909" s="274"/>
      <c r="P4909" s="275"/>
    </row>
    <row r="4910" ht="15.75" customHeight="1">
      <c r="B4910" s="282"/>
      <c r="H4910" s="273"/>
      <c r="I4910" s="274"/>
      <c r="J4910" s="274"/>
      <c r="K4910" s="274"/>
      <c r="L4910" s="274"/>
      <c r="M4910" s="274"/>
      <c r="N4910" s="274"/>
      <c r="P4910" s="275"/>
    </row>
    <row r="4911" ht="15.75" customHeight="1">
      <c r="B4911" s="282"/>
      <c r="H4911" s="273"/>
      <c r="I4911" s="274"/>
      <c r="J4911" s="274"/>
      <c r="K4911" s="274"/>
      <c r="L4911" s="274"/>
      <c r="M4911" s="274"/>
      <c r="N4911" s="274"/>
      <c r="P4911" s="275"/>
    </row>
    <row r="4912" ht="15.75" customHeight="1">
      <c r="B4912" s="282"/>
      <c r="H4912" s="273"/>
      <c r="I4912" s="274"/>
      <c r="J4912" s="274"/>
      <c r="K4912" s="274"/>
      <c r="L4912" s="274"/>
      <c r="M4912" s="274"/>
      <c r="N4912" s="274"/>
      <c r="P4912" s="275"/>
    </row>
    <row r="4913" ht="15.75" customHeight="1">
      <c r="B4913" s="282"/>
      <c r="H4913" s="273"/>
      <c r="I4913" s="274"/>
      <c r="J4913" s="274"/>
      <c r="K4913" s="274"/>
      <c r="L4913" s="274"/>
      <c r="M4913" s="274"/>
      <c r="N4913" s="274"/>
      <c r="P4913" s="275"/>
    </row>
    <row r="4914" ht="15.75" customHeight="1">
      <c r="B4914" s="282"/>
      <c r="H4914" s="273"/>
      <c r="I4914" s="274"/>
      <c r="J4914" s="274"/>
      <c r="K4914" s="274"/>
      <c r="L4914" s="274"/>
      <c r="M4914" s="274"/>
      <c r="N4914" s="274"/>
      <c r="P4914" s="275"/>
    </row>
    <row r="4915" ht="15.75" customHeight="1">
      <c r="B4915" s="282"/>
      <c r="H4915" s="273"/>
      <c r="I4915" s="274"/>
      <c r="J4915" s="274"/>
      <c r="K4915" s="274"/>
      <c r="L4915" s="274"/>
      <c r="M4915" s="274"/>
      <c r="N4915" s="274"/>
      <c r="P4915" s="275"/>
    </row>
    <row r="4916" ht="15.75" customHeight="1">
      <c r="B4916" s="282"/>
      <c r="H4916" s="273"/>
      <c r="I4916" s="274"/>
      <c r="J4916" s="274"/>
      <c r="K4916" s="274"/>
      <c r="L4916" s="274"/>
      <c r="M4916" s="274"/>
      <c r="N4916" s="274"/>
      <c r="P4916" s="275"/>
    </row>
    <row r="4917" ht="15.75" customHeight="1">
      <c r="B4917" s="282"/>
      <c r="H4917" s="273"/>
      <c r="I4917" s="274"/>
      <c r="J4917" s="274"/>
      <c r="K4917" s="274"/>
      <c r="L4917" s="274"/>
      <c r="M4917" s="274"/>
      <c r="N4917" s="274"/>
      <c r="P4917" s="275"/>
    </row>
    <row r="4918" ht="15.75" customHeight="1">
      <c r="B4918" s="282"/>
      <c r="H4918" s="273"/>
      <c r="I4918" s="274"/>
      <c r="J4918" s="274"/>
      <c r="K4918" s="274"/>
      <c r="L4918" s="274"/>
      <c r="M4918" s="274"/>
      <c r="N4918" s="274"/>
      <c r="P4918" s="275"/>
    </row>
    <row r="4919" ht="15.75" customHeight="1">
      <c r="B4919" s="282"/>
      <c r="H4919" s="273"/>
      <c r="I4919" s="274"/>
      <c r="J4919" s="274"/>
      <c r="K4919" s="274"/>
      <c r="L4919" s="274"/>
      <c r="M4919" s="274"/>
      <c r="N4919" s="274"/>
      <c r="P4919" s="275"/>
    </row>
    <row r="4920" ht="15.75" customHeight="1">
      <c r="B4920" s="282"/>
      <c r="H4920" s="273"/>
      <c r="I4920" s="274"/>
      <c r="J4920" s="274"/>
      <c r="K4920" s="274"/>
      <c r="L4920" s="274"/>
      <c r="M4920" s="274"/>
      <c r="N4920" s="274"/>
      <c r="P4920" s="275"/>
    </row>
    <row r="4921" ht="15.75" customHeight="1">
      <c r="B4921" s="282"/>
      <c r="H4921" s="273"/>
      <c r="I4921" s="274"/>
      <c r="J4921" s="274"/>
      <c r="K4921" s="274"/>
      <c r="L4921" s="274"/>
      <c r="M4921" s="274"/>
      <c r="N4921" s="274"/>
      <c r="P4921" s="275"/>
    </row>
    <row r="4922" ht="15.75" customHeight="1">
      <c r="B4922" s="282"/>
      <c r="H4922" s="273"/>
      <c r="I4922" s="274"/>
      <c r="J4922" s="274"/>
      <c r="K4922" s="274"/>
      <c r="L4922" s="274"/>
      <c r="M4922" s="274"/>
      <c r="N4922" s="274"/>
      <c r="P4922" s="275"/>
    </row>
    <row r="4923" ht="15.75" customHeight="1">
      <c r="B4923" s="282"/>
      <c r="H4923" s="273"/>
      <c r="I4923" s="274"/>
      <c r="J4923" s="274"/>
      <c r="K4923" s="274"/>
      <c r="L4923" s="274"/>
      <c r="M4923" s="274"/>
      <c r="N4923" s="274"/>
      <c r="P4923" s="275"/>
    </row>
    <row r="4924" ht="15.75" customHeight="1">
      <c r="B4924" s="282"/>
      <c r="H4924" s="273"/>
      <c r="I4924" s="274"/>
      <c r="J4924" s="274"/>
      <c r="K4924" s="274"/>
      <c r="L4924" s="274"/>
      <c r="M4924" s="274"/>
      <c r="N4924" s="274"/>
      <c r="P4924" s="275"/>
    </row>
    <row r="4925" ht="15.75" customHeight="1">
      <c r="B4925" s="282"/>
      <c r="H4925" s="273"/>
      <c r="I4925" s="274"/>
      <c r="J4925" s="274"/>
      <c r="K4925" s="274"/>
      <c r="L4925" s="274"/>
      <c r="M4925" s="274"/>
      <c r="N4925" s="274"/>
      <c r="P4925" s="275"/>
    </row>
    <row r="4926" ht="15.75" customHeight="1">
      <c r="B4926" s="282"/>
      <c r="H4926" s="273"/>
      <c r="I4926" s="274"/>
      <c r="J4926" s="274"/>
      <c r="K4926" s="274"/>
      <c r="L4926" s="274"/>
      <c r="M4926" s="274"/>
      <c r="N4926" s="274"/>
      <c r="P4926" s="275"/>
    </row>
    <row r="4927" ht="15.75" customHeight="1">
      <c r="B4927" s="282"/>
      <c r="H4927" s="273"/>
      <c r="I4927" s="274"/>
      <c r="J4927" s="274"/>
      <c r="K4927" s="274"/>
      <c r="L4927" s="274"/>
      <c r="M4927" s="274"/>
      <c r="N4927" s="274"/>
      <c r="P4927" s="275"/>
    </row>
    <row r="4928" ht="15.75" customHeight="1">
      <c r="B4928" s="282"/>
      <c r="H4928" s="273"/>
      <c r="I4928" s="274"/>
      <c r="J4928" s="274"/>
      <c r="K4928" s="274"/>
      <c r="L4928" s="274"/>
      <c r="M4928" s="274"/>
      <c r="N4928" s="274"/>
      <c r="P4928" s="275"/>
    </row>
    <row r="4929" ht="15.75" customHeight="1">
      <c r="B4929" s="282"/>
      <c r="H4929" s="273"/>
      <c r="I4929" s="274"/>
      <c r="J4929" s="274"/>
      <c r="K4929" s="274"/>
      <c r="L4929" s="274"/>
      <c r="M4929" s="274"/>
      <c r="N4929" s="274"/>
      <c r="P4929" s="275"/>
    </row>
    <row r="4930" ht="15.75" customHeight="1">
      <c r="B4930" s="282"/>
      <c r="H4930" s="273"/>
      <c r="I4930" s="274"/>
      <c r="J4930" s="274"/>
      <c r="K4930" s="274"/>
      <c r="L4930" s="274"/>
      <c r="M4930" s="274"/>
      <c r="N4930" s="274"/>
      <c r="P4930" s="275"/>
    </row>
    <row r="4931" ht="15.75" customHeight="1">
      <c r="B4931" s="282"/>
      <c r="H4931" s="273"/>
      <c r="I4931" s="274"/>
      <c r="J4931" s="274"/>
      <c r="K4931" s="274"/>
      <c r="L4931" s="274"/>
      <c r="M4931" s="274"/>
      <c r="N4931" s="274"/>
      <c r="P4931" s="275"/>
    </row>
    <row r="4932" ht="15.75" customHeight="1">
      <c r="B4932" s="282"/>
      <c r="H4932" s="273"/>
      <c r="I4932" s="274"/>
      <c r="J4932" s="274"/>
      <c r="K4932" s="274"/>
      <c r="L4932" s="274"/>
      <c r="M4932" s="274"/>
      <c r="N4932" s="274"/>
      <c r="P4932" s="275"/>
    </row>
    <row r="4933" ht="15.75" customHeight="1">
      <c r="B4933" s="282"/>
      <c r="H4933" s="273"/>
      <c r="I4933" s="274"/>
      <c r="J4933" s="274"/>
      <c r="K4933" s="274"/>
      <c r="L4933" s="274"/>
      <c r="M4933" s="274"/>
      <c r="N4933" s="274"/>
      <c r="P4933" s="275"/>
    </row>
    <row r="4934" ht="15.75" customHeight="1">
      <c r="B4934" s="282"/>
      <c r="H4934" s="273"/>
      <c r="I4934" s="274"/>
      <c r="J4934" s="274"/>
      <c r="K4934" s="274"/>
      <c r="L4934" s="274"/>
      <c r="M4934" s="274"/>
      <c r="N4934" s="274"/>
      <c r="P4934" s="275"/>
    </row>
    <row r="4935" ht="15.75" customHeight="1">
      <c r="B4935" s="282"/>
      <c r="H4935" s="273"/>
      <c r="I4935" s="274"/>
      <c r="J4935" s="274"/>
      <c r="K4935" s="274"/>
      <c r="L4935" s="274"/>
      <c r="M4935" s="274"/>
      <c r="N4935" s="274"/>
      <c r="P4935" s="275"/>
    </row>
    <row r="4936" ht="15.75" customHeight="1">
      <c r="B4936" s="282"/>
      <c r="H4936" s="273"/>
      <c r="I4936" s="274"/>
      <c r="J4936" s="274"/>
      <c r="K4936" s="274"/>
      <c r="L4936" s="274"/>
      <c r="M4936" s="274"/>
      <c r="N4936" s="274"/>
      <c r="P4936" s="275"/>
    </row>
    <row r="4937" ht="15.75" customHeight="1">
      <c r="B4937" s="282"/>
      <c r="H4937" s="273"/>
      <c r="I4937" s="274"/>
      <c r="J4937" s="274"/>
      <c r="K4937" s="274"/>
      <c r="L4937" s="274"/>
      <c r="M4937" s="274"/>
      <c r="N4937" s="274"/>
      <c r="P4937" s="275"/>
    </row>
    <row r="4938" ht="15.75" customHeight="1">
      <c r="B4938" s="282"/>
      <c r="H4938" s="273"/>
      <c r="I4938" s="274"/>
      <c r="J4938" s="274"/>
      <c r="K4938" s="274"/>
      <c r="L4938" s="274"/>
      <c r="M4938" s="274"/>
      <c r="N4938" s="274"/>
      <c r="P4938" s="275"/>
    </row>
    <row r="4939" ht="15.75" customHeight="1">
      <c r="B4939" s="282"/>
      <c r="H4939" s="273"/>
      <c r="I4939" s="274"/>
      <c r="J4939" s="274"/>
      <c r="K4939" s="274"/>
      <c r="L4939" s="274"/>
      <c r="M4939" s="274"/>
      <c r="N4939" s="274"/>
      <c r="P4939" s="275"/>
    </row>
    <row r="4940" ht="15.75" customHeight="1">
      <c r="B4940" s="282"/>
      <c r="H4940" s="273"/>
      <c r="I4940" s="274"/>
      <c r="J4940" s="274"/>
      <c r="K4940" s="274"/>
      <c r="L4940" s="274"/>
      <c r="M4940" s="274"/>
      <c r="N4940" s="274"/>
      <c r="P4940" s="275"/>
    </row>
    <row r="4941" ht="15.75" customHeight="1">
      <c r="B4941" s="282"/>
      <c r="H4941" s="273"/>
      <c r="I4941" s="274"/>
      <c r="J4941" s="274"/>
      <c r="K4941" s="274"/>
      <c r="L4941" s="274"/>
      <c r="M4941" s="274"/>
      <c r="N4941" s="274"/>
      <c r="P4941" s="275"/>
    </row>
    <row r="4942" ht="15.75" customHeight="1">
      <c r="B4942" s="282"/>
      <c r="H4942" s="273"/>
      <c r="I4942" s="274"/>
      <c r="J4942" s="274"/>
      <c r="K4942" s="274"/>
      <c r="L4942" s="274"/>
      <c r="M4942" s="274"/>
      <c r="N4942" s="274"/>
      <c r="P4942" s="275"/>
    </row>
    <row r="4943" ht="15.75" customHeight="1">
      <c r="B4943" s="282"/>
      <c r="H4943" s="273"/>
      <c r="I4943" s="274"/>
      <c r="J4943" s="274"/>
      <c r="K4943" s="274"/>
      <c r="L4943" s="274"/>
      <c r="M4943" s="274"/>
      <c r="N4943" s="274"/>
      <c r="P4943" s="275"/>
    </row>
    <row r="4944" ht="15.75" customHeight="1">
      <c r="B4944" s="282"/>
      <c r="H4944" s="273"/>
      <c r="I4944" s="274"/>
      <c r="J4944" s="274"/>
      <c r="K4944" s="274"/>
      <c r="L4944" s="274"/>
      <c r="M4944" s="274"/>
      <c r="N4944" s="274"/>
      <c r="P4944" s="275"/>
    </row>
    <row r="4945" ht="15.75" customHeight="1">
      <c r="B4945" s="282"/>
      <c r="H4945" s="273"/>
      <c r="I4945" s="274"/>
      <c r="J4945" s="274"/>
      <c r="K4945" s="274"/>
      <c r="L4945" s="274"/>
      <c r="M4945" s="274"/>
      <c r="N4945" s="274"/>
      <c r="P4945" s="275"/>
    </row>
    <row r="4946" ht="15.75" customHeight="1">
      <c r="B4946" s="282"/>
      <c r="H4946" s="273"/>
      <c r="I4946" s="274"/>
      <c r="J4946" s="274"/>
      <c r="K4946" s="274"/>
      <c r="L4946" s="274"/>
      <c r="M4946" s="274"/>
      <c r="N4946" s="274"/>
      <c r="P4946" s="275"/>
    </row>
    <row r="4947" ht="15.75" customHeight="1">
      <c r="B4947" s="282"/>
      <c r="H4947" s="273"/>
      <c r="I4947" s="274"/>
      <c r="J4947" s="274"/>
      <c r="K4947" s="274"/>
      <c r="L4947" s="274"/>
      <c r="M4947" s="274"/>
      <c r="N4947" s="274"/>
      <c r="P4947" s="275"/>
    </row>
    <row r="4948" ht="15.75" customHeight="1">
      <c r="B4948" s="282"/>
      <c r="H4948" s="273"/>
      <c r="I4948" s="274"/>
      <c r="J4948" s="274"/>
      <c r="K4948" s="274"/>
      <c r="L4948" s="274"/>
      <c r="M4948" s="274"/>
      <c r="N4948" s="274"/>
      <c r="P4948" s="275"/>
    </row>
    <row r="4949" ht="15.75" customHeight="1">
      <c r="B4949" s="282"/>
      <c r="H4949" s="273"/>
      <c r="I4949" s="274"/>
      <c r="J4949" s="274"/>
      <c r="K4949" s="274"/>
      <c r="L4949" s="274"/>
      <c r="M4949" s="274"/>
      <c r="N4949" s="274"/>
      <c r="P4949" s="275"/>
    </row>
    <row r="4950" ht="15.75" customHeight="1">
      <c r="B4950" s="282"/>
      <c r="H4950" s="273"/>
      <c r="I4950" s="274"/>
      <c r="J4950" s="274"/>
      <c r="K4950" s="274"/>
      <c r="L4950" s="274"/>
      <c r="M4950" s="274"/>
      <c r="N4950" s="274"/>
      <c r="P4950" s="275"/>
    </row>
    <row r="4951" ht="15.75" customHeight="1">
      <c r="B4951" s="282"/>
      <c r="H4951" s="273"/>
      <c r="I4951" s="274"/>
      <c r="J4951" s="274"/>
      <c r="K4951" s="274"/>
      <c r="L4951" s="274"/>
      <c r="M4951" s="274"/>
      <c r="N4951" s="274"/>
      <c r="P4951" s="275"/>
    </row>
    <row r="4952" ht="15.75" customHeight="1">
      <c r="B4952" s="282"/>
      <c r="H4952" s="273"/>
      <c r="I4952" s="274"/>
      <c r="J4952" s="274"/>
      <c r="K4952" s="274"/>
      <c r="L4952" s="274"/>
      <c r="M4952" s="274"/>
      <c r="N4952" s="274"/>
      <c r="P4952" s="275"/>
    </row>
    <row r="4953" ht="15.75" customHeight="1">
      <c r="B4953" s="282"/>
      <c r="H4953" s="273"/>
      <c r="I4953" s="274"/>
      <c r="J4953" s="274"/>
      <c r="K4953" s="274"/>
      <c r="L4953" s="274"/>
      <c r="M4953" s="274"/>
      <c r="N4953" s="274"/>
      <c r="P4953" s="275"/>
    </row>
    <row r="4954" ht="15.75" customHeight="1">
      <c r="B4954" s="282"/>
      <c r="H4954" s="273"/>
      <c r="I4954" s="274"/>
      <c r="J4954" s="274"/>
      <c r="K4954" s="274"/>
      <c r="L4954" s="274"/>
      <c r="M4954" s="274"/>
      <c r="N4954" s="274"/>
      <c r="P4954" s="275"/>
    </row>
    <row r="4955" ht="15.75" customHeight="1">
      <c r="B4955" s="282"/>
      <c r="H4955" s="273"/>
      <c r="I4955" s="274"/>
      <c r="J4955" s="274"/>
      <c r="K4955" s="274"/>
      <c r="L4955" s="274"/>
      <c r="M4955" s="274"/>
      <c r="N4955" s="274"/>
      <c r="P4955" s="275"/>
    </row>
    <row r="4956" ht="15.75" customHeight="1">
      <c r="B4956" s="282"/>
      <c r="H4956" s="273"/>
      <c r="I4956" s="274"/>
      <c r="J4956" s="274"/>
      <c r="K4956" s="274"/>
      <c r="L4956" s="274"/>
      <c r="M4956" s="274"/>
      <c r="N4956" s="274"/>
      <c r="P4956" s="275"/>
    </row>
    <row r="4957" ht="15.75" customHeight="1">
      <c r="B4957" s="282"/>
      <c r="H4957" s="273"/>
      <c r="I4957" s="274"/>
      <c r="J4957" s="274"/>
      <c r="K4957" s="274"/>
      <c r="L4957" s="274"/>
      <c r="M4957" s="274"/>
      <c r="N4957" s="274"/>
      <c r="P4957" s="275"/>
    </row>
    <row r="4958" ht="15.75" customHeight="1">
      <c r="B4958" s="282"/>
      <c r="H4958" s="273"/>
      <c r="I4958" s="274"/>
      <c r="J4958" s="274"/>
      <c r="K4958" s="274"/>
      <c r="L4958" s="274"/>
      <c r="M4958" s="274"/>
      <c r="N4958" s="274"/>
      <c r="P4958" s="275"/>
    </row>
    <row r="4959" ht="15.75" customHeight="1">
      <c r="B4959" s="282"/>
      <c r="H4959" s="273"/>
      <c r="I4959" s="274"/>
      <c r="J4959" s="274"/>
      <c r="K4959" s="274"/>
      <c r="L4959" s="274"/>
      <c r="M4959" s="274"/>
      <c r="N4959" s="274"/>
      <c r="P4959" s="275"/>
    </row>
    <row r="4960" ht="15.75" customHeight="1">
      <c r="B4960" s="282"/>
      <c r="H4960" s="273"/>
      <c r="I4960" s="274"/>
      <c r="J4960" s="274"/>
      <c r="K4960" s="274"/>
      <c r="L4960" s="274"/>
      <c r="M4960" s="274"/>
      <c r="N4960" s="274"/>
      <c r="P4960" s="275"/>
    </row>
    <row r="4961" ht="15.75" customHeight="1">
      <c r="B4961" s="282"/>
      <c r="H4961" s="273"/>
      <c r="I4961" s="274"/>
      <c r="J4961" s="274"/>
      <c r="K4961" s="274"/>
      <c r="L4961" s="274"/>
      <c r="M4961" s="274"/>
      <c r="N4961" s="274"/>
      <c r="P4961" s="275"/>
    </row>
    <row r="4962" ht="15.75" customHeight="1">
      <c r="B4962" s="282"/>
      <c r="H4962" s="273"/>
      <c r="I4962" s="274"/>
      <c r="J4962" s="274"/>
      <c r="K4962" s="274"/>
      <c r="L4962" s="274"/>
      <c r="M4962" s="274"/>
      <c r="N4962" s="274"/>
      <c r="P4962" s="275"/>
    </row>
    <row r="4963" ht="15.75" customHeight="1">
      <c r="B4963" s="282"/>
      <c r="H4963" s="273"/>
      <c r="I4963" s="274"/>
      <c r="J4963" s="274"/>
      <c r="K4963" s="274"/>
      <c r="L4963" s="274"/>
      <c r="M4963" s="274"/>
      <c r="N4963" s="274"/>
      <c r="P4963" s="275"/>
    </row>
    <row r="4964" ht="15.75" customHeight="1">
      <c r="B4964" s="282"/>
      <c r="H4964" s="273"/>
      <c r="I4964" s="274"/>
      <c r="J4964" s="274"/>
      <c r="K4964" s="274"/>
      <c r="L4964" s="274"/>
      <c r="M4964" s="274"/>
      <c r="N4964" s="274"/>
      <c r="P4964" s="275"/>
    </row>
    <row r="4965" ht="15.75" customHeight="1">
      <c r="B4965" s="282"/>
      <c r="H4965" s="273"/>
      <c r="I4965" s="274"/>
      <c r="J4965" s="274"/>
      <c r="K4965" s="274"/>
      <c r="L4965" s="274"/>
      <c r="M4965" s="274"/>
      <c r="N4965" s="274"/>
      <c r="P4965" s="275"/>
    </row>
    <row r="4966" ht="15.75" customHeight="1">
      <c r="B4966" s="282"/>
      <c r="H4966" s="273"/>
      <c r="I4966" s="274"/>
      <c r="J4966" s="274"/>
      <c r="K4966" s="274"/>
      <c r="L4966" s="274"/>
      <c r="M4966" s="274"/>
      <c r="N4966" s="274"/>
      <c r="P4966" s="275"/>
    </row>
    <row r="4967" ht="15.75" customHeight="1">
      <c r="B4967" s="282"/>
      <c r="H4967" s="273"/>
      <c r="I4967" s="274"/>
      <c r="J4967" s="274"/>
      <c r="K4967" s="274"/>
      <c r="L4967" s="274"/>
      <c r="M4967" s="274"/>
      <c r="N4967" s="274"/>
      <c r="P4967" s="275"/>
    </row>
    <row r="4968" ht="15.75" customHeight="1">
      <c r="B4968" s="282"/>
      <c r="H4968" s="273"/>
      <c r="I4968" s="274"/>
      <c r="J4968" s="274"/>
      <c r="K4968" s="274"/>
      <c r="L4968" s="274"/>
      <c r="M4968" s="274"/>
      <c r="N4968" s="274"/>
      <c r="P4968" s="275"/>
    </row>
    <row r="4969" ht="15.75" customHeight="1">
      <c r="B4969" s="282"/>
      <c r="H4969" s="273"/>
      <c r="I4969" s="274"/>
      <c r="J4969" s="274"/>
      <c r="K4969" s="274"/>
      <c r="L4969" s="274"/>
      <c r="M4969" s="274"/>
      <c r="N4969" s="274"/>
      <c r="P4969" s="275"/>
    </row>
    <row r="4970" ht="15.75" customHeight="1">
      <c r="B4970" s="282"/>
      <c r="H4970" s="273"/>
      <c r="I4970" s="274"/>
      <c r="J4970" s="274"/>
      <c r="K4970" s="274"/>
      <c r="L4970" s="274"/>
      <c r="M4970" s="274"/>
      <c r="N4970" s="274"/>
      <c r="P4970" s="275"/>
    </row>
    <row r="4971" ht="15.75" customHeight="1">
      <c r="B4971" s="282"/>
      <c r="H4971" s="273"/>
      <c r="I4971" s="274"/>
      <c r="J4971" s="274"/>
      <c r="K4971" s="274"/>
      <c r="L4971" s="274"/>
      <c r="M4971" s="274"/>
      <c r="N4971" s="274"/>
      <c r="P4971" s="275"/>
    </row>
    <row r="4972" ht="15.75" customHeight="1">
      <c r="B4972" s="282"/>
      <c r="H4972" s="273"/>
      <c r="I4972" s="274"/>
      <c r="J4972" s="274"/>
      <c r="K4972" s="274"/>
      <c r="L4972" s="274"/>
      <c r="M4972" s="274"/>
      <c r="N4972" s="274"/>
      <c r="P4972" s="275"/>
    </row>
    <row r="4973" ht="15.75" customHeight="1">
      <c r="B4973" s="282"/>
      <c r="H4973" s="273"/>
      <c r="I4973" s="274"/>
      <c r="J4973" s="274"/>
      <c r="K4973" s="274"/>
      <c r="L4973" s="274"/>
      <c r="M4973" s="274"/>
      <c r="N4973" s="274"/>
      <c r="P4973" s="275"/>
    </row>
    <row r="4974" ht="15.75" customHeight="1">
      <c r="B4974" s="282"/>
      <c r="H4974" s="273"/>
      <c r="I4974" s="274"/>
      <c r="J4974" s="274"/>
      <c r="K4974" s="274"/>
      <c r="L4974" s="274"/>
      <c r="M4974" s="274"/>
      <c r="N4974" s="274"/>
      <c r="P4974" s="275"/>
    </row>
    <row r="4975" ht="15.75" customHeight="1">
      <c r="B4975" s="282"/>
      <c r="H4975" s="273"/>
      <c r="I4975" s="274"/>
      <c r="J4975" s="274"/>
      <c r="K4975" s="274"/>
      <c r="L4975" s="274"/>
      <c r="M4975" s="274"/>
      <c r="N4975" s="274"/>
      <c r="P4975" s="275"/>
    </row>
    <row r="4976" ht="15.75" customHeight="1">
      <c r="B4976" s="282"/>
      <c r="H4976" s="273"/>
      <c r="I4976" s="274"/>
      <c r="J4976" s="274"/>
      <c r="K4976" s="274"/>
      <c r="L4976" s="274"/>
      <c r="M4976" s="274"/>
      <c r="N4976" s="274"/>
      <c r="P4976" s="275"/>
    </row>
    <row r="4977" ht="15.75" customHeight="1">
      <c r="B4977" s="282"/>
      <c r="H4977" s="273"/>
      <c r="I4977" s="274"/>
      <c r="J4977" s="274"/>
      <c r="K4977" s="274"/>
      <c r="L4977" s="274"/>
      <c r="M4977" s="274"/>
      <c r="N4977" s="274"/>
      <c r="P4977" s="275"/>
    </row>
    <row r="4978" ht="15.75" customHeight="1">
      <c r="B4978" s="282"/>
      <c r="H4978" s="273"/>
      <c r="I4978" s="274"/>
      <c r="J4978" s="274"/>
      <c r="K4978" s="274"/>
      <c r="L4978" s="274"/>
      <c r="M4978" s="274"/>
      <c r="N4978" s="274"/>
      <c r="P4978" s="275"/>
    </row>
    <row r="4979" ht="15.75" customHeight="1">
      <c r="B4979" s="282"/>
      <c r="H4979" s="273"/>
      <c r="I4979" s="274"/>
      <c r="J4979" s="274"/>
      <c r="K4979" s="274"/>
      <c r="L4979" s="274"/>
      <c r="M4979" s="274"/>
      <c r="N4979" s="274"/>
      <c r="P4979" s="275"/>
    </row>
    <row r="4980" ht="15.75" customHeight="1">
      <c r="B4980" s="282"/>
      <c r="H4980" s="273"/>
      <c r="I4980" s="274"/>
      <c r="J4980" s="274"/>
      <c r="K4980" s="274"/>
      <c r="L4980" s="274"/>
      <c r="M4980" s="274"/>
      <c r="N4980" s="274"/>
      <c r="P4980" s="275"/>
    </row>
    <row r="4981" ht="15.75" customHeight="1">
      <c r="B4981" s="282"/>
      <c r="H4981" s="273"/>
      <c r="I4981" s="274"/>
      <c r="J4981" s="274"/>
      <c r="K4981" s="274"/>
      <c r="L4981" s="274"/>
      <c r="M4981" s="274"/>
      <c r="N4981" s="274"/>
      <c r="P4981" s="275"/>
    </row>
    <row r="4982" ht="15.75" customHeight="1">
      <c r="B4982" s="282"/>
      <c r="H4982" s="273"/>
      <c r="I4982" s="274"/>
      <c r="J4982" s="274"/>
      <c r="K4982" s="274"/>
      <c r="L4982" s="274"/>
      <c r="M4982" s="274"/>
      <c r="N4982" s="274"/>
      <c r="P4982" s="275"/>
    </row>
    <row r="4983" ht="15.75" customHeight="1">
      <c r="B4983" s="282"/>
      <c r="H4983" s="273"/>
      <c r="I4983" s="274"/>
      <c r="J4983" s="274"/>
      <c r="K4983" s="274"/>
      <c r="L4983" s="274"/>
      <c r="M4983" s="274"/>
      <c r="N4983" s="274"/>
      <c r="P4983" s="275"/>
    </row>
    <row r="4984" ht="15.75" customHeight="1">
      <c r="B4984" s="282"/>
      <c r="H4984" s="273"/>
      <c r="I4984" s="274"/>
      <c r="J4984" s="274"/>
      <c r="K4984" s="274"/>
      <c r="L4984" s="274"/>
      <c r="M4984" s="274"/>
      <c r="N4984" s="274"/>
      <c r="P4984" s="275"/>
    </row>
    <row r="4985" ht="15.75" customHeight="1">
      <c r="B4985" s="282"/>
      <c r="H4985" s="273"/>
      <c r="I4985" s="274"/>
      <c r="J4985" s="274"/>
      <c r="K4985" s="274"/>
      <c r="L4985" s="274"/>
      <c r="M4985" s="274"/>
      <c r="N4985" s="274"/>
      <c r="P4985" s="275"/>
    </row>
    <row r="4986" ht="15.75" customHeight="1">
      <c r="B4986" s="282"/>
      <c r="H4986" s="273"/>
      <c r="I4986" s="274"/>
      <c r="J4986" s="274"/>
      <c r="K4986" s="274"/>
      <c r="L4986" s="274"/>
      <c r="M4986" s="274"/>
      <c r="N4986" s="274"/>
      <c r="P4986" s="275"/>
    </row>
    <row r="4987" ht="15.75" customHeight="1">
      <c r="B4987" s="282"/>
      <c r="H4987" s="273"/>
      <c r="I4987" s="274"/>
      <c r="J4987" s="274"/>
      <c r="K4987" s="274"/>
      <c r="L4987" s="274"/>
      <c r="M4987" s="274"/>
      <c r="N4987" s="274"/>
      <c r="P4987" s="275"/>
    </row>
    <row r="4988" ht="15.75" customHeight="1">
      <c r="B4988" s="282"/>
      <c r="H4988" s="273"/>
      <c r="I4988" s="274"/>
      <c r="J4988" s="274"/>
      <c r="K4988" s="274"/>
      <c r="L4988" s="274"/>
      <c r="M4988" s="274"/>
      <c r="N4988" s="274"/>
      <c r="P4988" s="275"/>
    </row>
    <row r="4989" ht="15.75" customHeight="1">
      <c r="B4989" s="282"/>
      <c r="H4989" s="273"/>
      <c r="I4989" s="274"/>
      <c r="J4989" s="274"/>
      <c r="K4989" s="274"/>
      <c r="L4989" s="274"/>
      <c r="M4989" s="274"/>
      <c r="N4989" s="274"/>
      <c r="P4989" s="275"/>
    </row>
    <row r="4990" ht="15.75" customHeight="1">
      <c r="B4990" s="282"/>
      <c r="H4990" s="273"/>
      <c r="I4990" s="274"/>
      <c r="J4990" s="274"/>
      <c r="K4990" s="274"/>
      <c r="L4990" s="274"/>
      <c r="M4990" s="274"/>
      <c r="N4990" s="274"/>
      <c r="P4990" s="275"/>
    </row>
    <row r="4991" ht="15.75" customHeight="1">
      <c r="B4991" s="282"/>
      <c r="H4991" s="273"/>
      <c r="I4991" s="274"/>
      <c r="J4991" s="274"/>
      <c r="K4991" s="274"/>
      <c r="L4991" s="274"/>
      <c r="M4991" s="274"/>
      <c r="N4991" s="274"/>
      <c r="P4991" s="275"/>
    </row>
    <row r="4992" ht="15.75" customHeight="1">
      <c r="B4992" s="282"/>
      <c r="H4992" s="273"/>
      <c r="I4992" s="274"/>
      <c r="J4992" s="274"/>
      <c r="K4992" s="274"/>
      <c r="L4992" s="274"/>
      <c r="M4992" s="274"/>
      <c r="N4992" s="274"/>
      <c r="P4992" s="275"/>
    </row>
    <row r="4993" ht="15.75" customHeight="1">
      <c r="B4993" s="282"/>
      <c r="H4993" s="273"/>
      <c r="I4993" s="274"/>
      <c r="J4993" s="274"/>
      <c r="K4993" s="274"/>
      <c r="L4993" s="274"/>
      <c r="M4993" s="274"/>
      <c r="N4993" s="274"/>
      <c r="P4993" s="275"/>
    </row>
    <row r="4994" ht="15.75" customHeight="1">
      <c r="B4994" s="282"/>
      <c r="H4994" s="273"/>
      <c r="I4994" s="274"/>
      <c r="J4994" s="274"/>
      <c r="K4994" s="274"/>
      <c r="L4994" s="274"/>
      <c r="M4994" s="274"/>
      <c r="N4994" s="274"/>
      <c r="P4994" s="275"/>
    </row>
    <row r="4995" ht="15.75" customHeight="1">
      <c r="B4995" s="282"/>
      <c r="H4995" s="273"/>
      <c r="I4995" s="274"/>
      <c r="J4995" s="274"/>
      <c r="K4995" s="274"/>
      <c r="L4995" s="274"/>
      <c r="M4995" s="274"/>
      <c r="N4995" s="274"/>
      <c r="P4995" s="275"/>
    </row>
    <row r="4996" ht="15.75" customHeight="1">
      <c r="B4996" s="282"/>
      <c r="H4996" s="273"/>
      <c r="I4996" s="274"/>
      <c r="J4996" s="274"/>
      <c r="K4996" s="274"/>
      <c r="L4996" s="274"/>
      <c r="M4996" s="274"/>
      <c r="N4996" s="274"/>
      <c r="P4996" s="275"/>
    </row>
    <row r="4997" ht="15.75" customHeight="1">
      <c r="B4997" s="282"/>
      <c r="H4997" s="273"/>
      <c r="I4997" s="274"/>
      <c r="J4997" s="274"/>
      <c r="K4997" s="274"/>
      <c r="L4997" s="274"/>
      <c r="M4997" s="274"/>
      <c r="N4997" s="274"/>
      <c r="P4997" s="275"/>
    </row>
    <row r="4998" ht="15.75" customHeight="1">
      <c r="B4998" s="282"/>
      <c r="H4998" s="273"/>
      <c r="I4998" s="274"/>
      <c r="J4998" s="274"/>
      <c r="K4998" s="274"/>
      <c r="L4998" s="274"/>
      <c r="M4998" s="274"/>
      <c r="N4998" s="274"/>
      <c r="P4998" s="275"/>
    </row>
    <row r="4999" ht="15.75" customHeight="1">
      <c r="B4999" s="282"/>
      <c r="H4999" s="273"/>
      <c r="I4999" s="274"/>
      <c r="J4999" s="274"/>
      <c r="K4999" s="274"/>
      <c r="L4999" s="274"/>
      <c r="M4999" s="274"/>
      <c r="N4999" s="274"/>
      <c r="P4999" s="275"/>
    </row>
    <row r="5000" ht="15.75" customHeight="1">
      <c r="B5000" s="282"/>
      <c r="H5000" s="273"/>
      <c r="I5000" s="274"/>
      <c r="J5000" s="274"/>
      <c r="K5000" s="274"/>
      <c r="L5000" s="274"/>
      <c r="M5000" s="274"/>
      <c r="N5000" s="274"/>
      <c r="P5000" s="275"/>
    </row>
    <row r="5001" ht="15.75" customHeight="1">
      <c r="B5001" s="282"/>
      <c r="H5001" s="273"/>
      <c r="I5001" s="274"/>
      <c r="J5001" s="274"/>
      <c r="K5001" s="274"/>
      <c r="L5001" s="274"/>
      <c r="M5001" s="274"/>
      <c r="N5001" s="274"/>
      <c r="P5001" s="275"/>
    </row>
    <row r="5002" ht="15.75" customHeight="1">
      <c r="B5002" s="282"/>
      <c r="H5002" s="273"/>
      <c r="I5002" s="274"/>
      <c r="J5002" s="274"/>
      <c r="K5002" s="274"/>
      <c r="L5002" s="274"/>
      <c r="M5002" s="274"/>
      <c r="N5002" s="274"/>
      <c r="P5002" s="275"/>
    </row>
    <row r="5003" ht="15.75" customHeight="1">
      <c r="B5003" s="282"/>
      <c r="H5003" s="273"/>
      <c r="I5003" s="274"/>
      <c r="J5003" s="274"/>
      <c r="K5003" s="274"/>
      <c r="L5003" s="274"/>
      <c r="M5003" s="274"/>
      <c r="N5003" s="274"/>
      <c r="P5003" s="275"/>
    </row>
    <row r="5004" ht="15.75" customHeight="1">
      <c r="B5004" s="282"/>
      <c r="H5004" s="273"/>
      <c r="I5004" s="274"/>
      <c r="J5004" s="274"/>
      <c r="K5004" s="274"/>
      <c r="L5004" s="274"/>
      <c r="M5004" s="274"/>
      <c r="N5004" s="274"/>
      <c r="P5004" s="275"/>
    </row>
    <row r="5005" ht="15.75" customHeight="1">
      <c r="B5005" s="282"/>
      <c r="H5005" s="273"/>
      <c r="I5005" s="274"/>
      <c r="J5005" s="274"/>
      <c r="K5005" s="274"/>
      <c r="L5005" s="274"/>
      <c r="M5005" s="274"/>
      <c r="N5005" s="274"/>
      <c r="P5005" s="275"/>
    </row>
    <row r="5006" ht="15.75" customHeight="1">
      <c r="B5006" s="282"/>
      <c r="H5006" s="273"/>
      <c r="I5006" s="274"/>
      <c r="J5006" s="274"/>
      <c r="K5006" s="274"/>
      <c r="L5006" s="274"/>
      <c r="M5006" s="274"/>
      <c r="N5006" s="274"/>
      <c r="P5006" s="275"/>
    </row>
    <row r="5007" ht="15.75" customHeight="1">
      <c r="B5007" s="282"/>
      <c r="H5007" s="273"/>
      <c r="I5007" s="274"/>
      <c r="J5007" s="274"/>
      <c r="K5007" s="274"/>
      <c r="L5007" s="274"/>
      <c r="M5007" s="274"/>
      <c r="N5007" s="274"/>
      <c r="P5007" s="275"/>
    </row>
    <row r="5008" ht="15.75" customHeight="1">
      <c r="B5008" s="282"/>
      <c r="H5008" s="273"/>
      <c r="I5008" s="274"/>
      <c r="J5008" s="274"/>
      <c r="K5008" s="274"/>
      <c r="L5008" s="274"/>
      <c r="M5008" s="274"/>
      <c r="N5008" s="274"/>
      <c r="P5008" s="275"/>
    </row>
    <row r="5009" ht="15.75" customHeight="1">
      <c r="B5009" s="282"/>
      <c r="H5009" s="273"/>
      <c r="I5009" s="274"/>
      <c r="J5009" s="274"/>
      <c r="K5009" s="274"/>
      <c r="L5009" s="274"/>
      <c r="M5009" s="274"/>
      <c r="N5009" s="274"/>
      <c r="P5009" s="275"/>
    </row>
    <row r="5010" ht="15.75" customHeight="1">
      <c r="B5010" s="282"/>
      <c r="H5010" s="273"/>
      <c r="I5010" s="274"/>
      <c r="J5010" s="274"/>
      <c r="K5010" s="274"/>
      <c r="L5010" s="274"/>
      <c r="M5010" s="274"/>
      <c r="N5010" s="274"/>
      <c r="P5010" s="275"/>
    </row>
    <row r="5011" ht="15.75" customHeight="1">
      <c r="B5011" s="282"/>
      <c r="H5011" s="273"/>
      <c r="I5011" s="274"/>
      <c r="J5011" s="274"/>
      <c r="K5011" s="274"/>
      <c r="L5011" s="274"/>
      <c r="M5011" s="274"/>
      <c r="N5011" s="274"/>
      <c r="P5011" s="275"/>
    </row>
    <row r="5012" ht="15.75" customHeight="1">
      <c r="B5012" s="282"/>
      <c r="H5012" s="273"/>
      <c r="I5012" s="274"/>
      <c r="J5012" s="274"/>
      <c r="K5012" s="274"/>
      <c r="L5012" s="274"/>
      <c r="M5012" s="274"/>
      <c r="N5012" s="274"/>
      <c r="P5012" s="275"/>
    </row>
    <row r="5013" ht="15.75" customHeight="1">
      <c r="B5013" s="282"/>
      <c r="H5013" s="273"/>
      <c r="I5013" s="274"/>
      <c r="J5013" s="274"/>
      <c r="K5013" s="274"/>
      <c r="L5013" s="274"/>
      <c r="M5013" s="274"/>
      <c r="N5013" s="274"/>
      <c r="P5013" s="275"/>
    </row>
    <row r="5014" ht="15.75" customHeight="1">
      <c r="B5014" s="282"/>
      <c r="H5014" s="273"/>
      <c r="I5014" s="274"/>
      <c r="J5014" s="274"/>
      <c r="K5014" s="274"/>
      <c r="L5014" s="274"/>
      <c r="M5014" s="274"/>
      <c r="N5014" s="274"/>
      <c r="P5014" s="275"/>
    </row>
    <row r="5015" ht="15.75" customHeight="1">
      <c r="B5015" s="282"/>
      <c r="H5015" s="273"/>
      <c r="I5015" s="274"/>
      <c r="J5015" s="274"/>
      <c r="K5015" s="274"/>
      <c r="L5015" s="274"/>
      <c r="M5015" s="274"/>
      <c r="N5015" s="274"/>
      <c r="P5015" s="275"/>
    </row>
    <row r="5016" ht="15.75" customHeight="1">
      <c r="B5016" s="282"/>
      <c r="H5016" s="273"/>
      <c r="I5016" s="274"/>
      <c r="J5016" s="274"/>
      <c r="K5016" s="274"/>
      <c r="L5016" s="274"/>
      <c r="M5016" s="274"/>
      <c r="N5016" s="274"/>
      <c r="P5016" s="275"/>
    </row>
    <row r="5017" ht="15.75" customHeight="1">
      <c r="B5017" s="282"/>
      <c r="H5017" s="273"/>
      <c r="I5017" s="274"/>
      <c r="J5017" s="274"/>
      <c r="K5017" s="274"/>
      <c r="L5017" s="274"/>
      <c r="M5017" s="274"/>
      <c r="N5017" s="274"/>
      <c r="P5017" s="275"/>
    </row>
    <row r="5018" ht="15.75" customHeight="1">
      <c r="B5018" s="282"/>
      <c r="H5018" s="273"/>
      <c r="I5018" s="274"/>
      <c r="J5018" s="274"/>
      <c r="K5018" s="274"/>
      <c r="L5018" s="274"/>
      <c r="M5018" s="274"/>
      <c r="N5018" s="274"/>
      <c r="P5018" s="275"/>
    </row>
    <row r="5019" ht="15.75" customHeight="1">
      <c r="B5019" s="282"/>
      <c r="H5019" s="273"/>
      <c r="I5019" s="274"/>
      <c r="J5019" s="274"/>
      <c r="K5019" s="274"/>
      <c r="L5019" s="274"/>
      <c r="M5019" s="274"/>
      <c r="N5019" s="274"/>
      <c r="P5019" s="275"/>
    </row>
    <row r="5020" ht="15.75" customHeight="1">
      <c r="B5020" s="282"/>
      <c r="H5020" s="273"/>
      <c r="I5020" s="274"/>
      <c r="J5020" s="274"/>
      <c r="K5020" s="274"/>
      <c r="L5020" s="274"/>
      <c r="M5020" s="274"/>
      <c r="N5020" s="274"/>
      <c r="P5020" s="275"/>
    </row>
    <row r="5021" ht="15.75" customHeight="1">
      <c r="B5021" s="282"/>
      <c r="H5021" s="273"/>
      <c r="I5021" s="274"/>
      <c r="J5021" s="274"/>
      <c r="K5021" s="274"/>
      <c r="L5021" s="274"/>
      <c r="M5021" s="274"/>
      <c r="N5021" s="274"/>
      <c r="P5021" s="275"/>
    </row>
    <row r="5022" ht="15.75" customHeight="1">
      <c r="B5022" s="282"/>
      <c r="H5022" s="273"/>
      <c r="I5022" s="274"/>
      <c r="J5022" s="274"/>
      <c r="K5022" s="274"/>
      <c r="L5022" s="274"/>
      <c r="M5022" s="274"/>
      <c r="N5022" s="274"/>
      <c r="P5022" s="275"/>
    </row>
    <row r="5023" ht="15.75" customHeight="1">
      <c r="B5023" s="282"/>
      <c r="H5023" s="273"/>
      <c r="I5023" s="274"/>
      <c r="J5023" s="274"/>
      <c r="K5023" s="274"/>
      <c r="L5023" s="274"/>
      <c r="M5023" s="274"/>
      <c r="N5023" s="274"/>
      <c r="P5023" s="275"/>
    </row>
    <row r="5024" ht="15.75" customHeight="1">
      <c r="B5024" s="282"/>
      <c r="H5024" s="273"/>
      <c r="I5024" s="274"/>
      <c r="J5024" s="274"/>
      <c r="K5024" s="274"/>
      <c r="L5024" s="274"/>
      <c r="M5024" s="274"/>
      <c r="N5024" s="274"/>
      <c r="P5024" s="275"/>
    </row>
    <row r="5025" ht="15.75" customHeight="1">
      <c r="B5025" s="282"/>
      <c r="H5025" s="273"/>
      <c r="I5025" s="274"/>
      <c r="J5025" s="274"/>
      <c r="K5025" s="274"/>
      <c r="L5025" s="274"/>
      <c r="M5025" s="274"/>
      <c r="N5025" s="274"/>
      <c r="P5025" s="275"/>
    </row>
    <row r="5026" ht="15.75" customHeight="1">
      <c r="B5026" s="282"/>
      <c r="H5026" s="273"/>
      <c r="I5026" s="274"/>
      <c r="J5026" s="274"/>
      <c r="K5026" s="274"/>
      <c r="L5026" s="274"/>
      <c r="M5026" s="274"/>
      <c r="N5026" s="274"/>
      <c r="P5026" s="275"/>
    </row>
    <row r="5027" ht="15.75" customHeight="1">
      <c r="B5027" s="282"/>
      <c r="H5027" s="273"/>
      <c r="I5027" s="274"/>
      <c r="J5027" s="274"/>
      <c r="K5027" s="274"/>
      <c r="L5027" s="274"/>
      <c r="M5027" s="274"/>
      <c r="N5027" s="274"/>
      <c r="P5027" s="275"/>
    </row>
    <row r="5028" ht="15.75" customHeight="1">
      <c r="B5028" s="282"/>
      <c r="H5028" s="273"/>
      <c r="I5028" s="274"/>
      <c r="J5028" s="274"/>
      <c r="K5028" s="274"/>
      <c r="L5028" s="274"/>
      <c r="M5028" s="274"/>
      <c r="N5028" s="274"/>
      <c r="P5028" s="275"/>
    </row>
    <row r="5029" ht="15.75" customHeight="1">
      <c r="B5029" s="282"/>
      <c r="H5029" s="273"/>
      <c r="I5029" s="274"/>
      <c r="J5029" s="274"/>
      <c r="K5029" s="274"/>
      <c r="L5029" s="274"/>
      <c r="M5029" s="274"/>
      <c r="N5029" s="274"/>
      <c r="P5029" s="275"/>
    </row>
    <row r="5030" ht="15.75" customHeight="1">
      <c r="B5030" s="282"/>
      <c r="H5030" s="273"/>
      <c r="I5030" s="274"/>
      <c r="J5030" s="274"/>
      <c r="K5030" s="274"/>
      <c r="L5030" s="274"/>
      <c r="M5030" s="274"/>
      <c r="N5030" s="274"/>
      <c r="P5030" s="275"/>
    </row>
    <row r="5031" ht="15.75" customHeight="1">
      <c r="B5031" s="282"/>
      <c r="H5031" s="273"/>
      <c r="I5031" s="274"/>
      <c r="J5031" s="274"/>
      <c r="K5031" s="274"/>
      <c r="L5031" s="274"/>
      <c r="M5031" s="274"/>
      <c r="N5031" s="274"/>
      <c r="P5031" s="275"/>
    </row>
    <row r="5032" ht="15.75" customHeight="1">
      <c r="B5032" s="282"/>
      <c r="H5032" s="273"/>
      <c r="I5032" s="274"/>
      <c r="J5032" s="274"/>
      <c r="K5032" s="274"/>
      <c r="L5032" s="274"/>
      <c r="M5032" s="274"/>
      <c r="N5032" s="274"/>
      <c r="P5032" s="275"/>
    </row>
    <row r="5033" ht="15.75" customHeight="1">
      <c r="B5033" s="282"/>
      <c r="H5033" s="273"/>
      <c r="I5033" s="274"/>
      <c r="J5033" s="274"/>
      <c r="K5033" s="274"/>
      <c r="L5033" s="274"/>
      <c r="M5033" s="274"/>
      <c r="N5033" s="274"/>
      <c r="P5033" s="275"/>
    </row>
    <row r="5034" ht="15.75" customHeight="1">
      <c r="B5034" s="282"/>
      <c r="H5034" s="273"/>
      <c r="I5034" s="274"/>
      <c r="J5034" s="274"/>
      <c r="K5034" s="274"/>
      <c r="L5034" s="274"/>
      <c r="M5034" s="274"/>
      <c r="N5034" s="274"/>
      <c r="P5034" s="275"/>
    </row>
    <row r="5035" ht="15.75" customHeight="1">
      <c r="B5035" s="282"/>
      <c r="H5035" s="273"/>
      <c r="I5035" s="274"/>
      <c r="J5035" s="274"/>
      <c r="K5035" s="274"/>
      <c r="L5035" s="274"/>
      <c r="M5035" s="274"/>
      <c r="N5035" s="274"/>
      <c r="P5035" s="275"/>
    </row>
    <row r="5036" ht="15.75" customHeight="1">
      <c r="B5036" s="282"/>
      <c r="H5036" s="273"/>
      <c r="I5036" s="274"/>
      <c r="J5036" s="274"/>
      <c r="K5036" s="274"/>
      <c r="L5036" s="274"/>
      <c r="M5036" s="274"/>
      <c r="N5036" s="274"/>
      <c r="P5036" s="275"/>
    </row>
    <row r="5037" ht="15.75" customHeight="1">
      <c r="B5037" s="282"/>
      <c r="H5037" s="273"/>
      <c r="I5037" s="274"/>
      <c r="J5037" s="274"/>
      <c r="K5037" s="274"/>
      <c r="L5037" s="274"/>
      <c r="M5037" s="274"/>
      <c r="N5037" s="274"/>
      <c r="P5037" s="275"/>
    </row>
    <row r="5038" ht="15.75" customHeight="1">
      <c r="B5038" s="282"/>
      <c r="H5038" s="273"/>
      <c r="I5038" s="274"/>
      <c r="J5038" s="274"/>
      <c r="K5038" s="274"/>
      <c r="L5038" s="274"/>
      <c r="M5038" s="274"/>
      <c r="N5038" s="274"/>
      <c r="P5038" s="275"/>
    </row>
    <row r="5039" ht="15.75" customHeight="1">
      <c r="B5039" s="282"/>
      <c r="H5039" s="273"/>
      <c r="I5039" s="274"/>
      <c r="J5039" s="274"/>
      <c r="K5039" s="274"/>
      <c r="L5039" s="274"/>
      <c r="M5039" s="274"/>
      <c r="N5039" s="274"/>
      <c r="P5039" s="275"/>
    </row>
    <row r="5040" ht="15.75" customHeight="1">
      <c r="B5040" s="282"/>
      <c r="H5040" s="273"/>
      <c r="I5040" s="274"/>
      <c r="J5040" s="274"/>
      <c r="K5040" s="274"/>
      <c r="L5040" s="274"/>
      <c r="M5040" s="274"/>
      <c r="N5040" s="274"/>
      <c r="P5040" s="275"/>
    </row>
    <row r="5041" ht="15.75" customHeight="1">
      <c r="B5041" s="282"/>
      <c r="H5041" s="273"/>
      <c r="I5041" s="274"/>
      <c r="J5041" s="274"/>
      <c r="K5041" s="274"/>
      <c r="L5041" s="274"/>
      <c r="M5041" s="274"/>
      <c r="N5041" s="274"/>
      <c r="P5041" s="275"/>
    </row>
    <row r="5042" ht="15.75" customHeight="1">
      <c r="B5042" s="282"/>
      <c r="H5042" s="273"/>
      <c r="I5042" s="274"/>
      <c r="J5042" s="274"/>
      <c r="K5042" s="274"/>
      <c r="L5042" s="274"/>
      <c r="M5042" s="274"/>
      <c r="N5042" s="274"/>
      <c r="P5042" s="275"/>
    </row>
    <row r="5043" ht="15.75" customHeight="1">
      <c r="B5043" s="282"/>
      <c r="H5043" s="273"/>
      <c r="I5043" s="274"/>
      <c r="J5043" s="274"/>
      <c r="K5043" s="274"/>
      <c r="L5043" s="274"/>
      <c r="M5043" s="274"/>
      <c r="N5043" s="274"/>
      <c r="P5043" s="275"/>
    </row>
    <row r="5044" ht="15.75" customHeight="1">
      <c r="B5044" s="282"/>
      <c r="H5044" s="273"/>
      <c r="I5044" s="274"/>
      <c r="J5044" s="274"/>
      <c r="K5044" s="274"/>
      <c r="L5044" s="274"/>
      <c r="M5044" s="274"/>
      <c r="N5044" s="274"/>
      <c r="P5044" s="275"/>
    </row>
    <row r="5045" ht="15.75" customHeight="1">
      <c r="B5045" s="282"/>
      <c r="H5045" s="273"/>
      <c r="I5045" s="274"/>
      <c r="J5045" s="274"/>
      <c r="K5045" s="274"/>
      <c r="L5045" s="274"/>
      <c r="M5045" s="274"/>
      <c r="N5045" s="274"/>
      <c r="P5045" s="275"/>
    </row>
    <row r="5046" ht="15.75" customHeight="1">
      <c r="B5046" s="282"/>
      <c r="H5046" s="273"/>
      <c r="I5046" s="274"/>
      <c r="J5046" s="274"/>
      <c r="K5046" s="274"/>
      <c r="L5046" s="274"/>
      <c r="M5046" s="274"/>
      <c r="N5046" s="274"/>
      <c r="P5046" s="275"/>
    </row>
    <row r="5047" ht="15.75" customHeight="1">
      <c r="B5047" s="282"/>
      <c r="H5047" s="273"/>
      <c r="I5047" s="274"/>
      <c r="J5047" s="274"/>
      <c r="K5047" s="274"/>
      <c r="L5047" s="274"/>
      <c r="M5047" s="274"/>
      <c r="N5047" s="274"/>
      <c r="P5047" s="275"/>
    </row>
    <row r="5048" ht="15.75" customHeight="1">
      <c r="B5048" s="282"/>
      <c r="H5048" s="273"/>
      <c r="I5048" s="274"/>
      <c r="J5048" s="274"/>
      <c r="K5048" s="274"/>
      <c r="L5048" s="274"/>
      <c r="M5048" s="274"/>
      <c r="N5048" s="274"/>
      <c r="P5048" s="275"/>
    </row>
    <row r="5049" ht="15.75" customHeight="1">
      <c r="B5049" s="282"/>
      <c r="H5049" s="273"/>
      <c r="I5049" s="274"/>
      <c r="J5049" s="274"/>
      <c r="K5049" s="274"/>
      <c r="L5049" s="274"/>
      <c r="M5049" s="274"/>
      <c r="N5049" s="274"/>
      <c r="P5049" s="275"/>
    </row>
    <row r="5050" ht="15.75" customHeight="1">
      <c r="B5050" s="282"/>
      <c r="H5050" s="273"/>
      <c r="I5050" s="274"/>
      <c r="J5050" s="274"/>
      <c r="K5050" s="274"/>
      <c r="L5050" s="274"/>
      <c r="M5050" s="274"/>
      <c r="N5050" s="274"/>
      <c r="P5050" s="275"/>
    </row>
    <row r="5051" ht="15.75" customHeight="1">
      <c r="B5051" s="282"/>
      <c r="H5051" s="273"/>
      <c r="I5051" s="274"/>
      <c r="J5051" s="274"/>
      <c r="K5051" s="274"/>
      <c r="L5051" s="274"/>
      <c r="M5051" s="274"/>
      <c r="N5051" s="274"/>
      <c r="P5051" s="275"/>
    </row>
    <row r="5052" ht="15.75" customHeight="1">
      <c r="B5052" s="282"/>
      <c r="H5052" s="273"/>
      <c r="I5052" s="274"/>
      <c r="J5052" s="274"/>
      <c r="K5052" s="274"/>
      <c r="L5052" s="274"/>
      <c r="M5052" s="274"/>
      <c r="N5052" s="274"/>
      <c r="P5052" s="275"/>
    </row>
    <row r="5053" ht="15.75" customHeight="1">
      <c r="B5053" s="282"/>
      <c r="H5053" s="273"/>
      <c r="I5053" s="274"/>
      <c r="J5053" s="274"/>
      <c r="K5053" s="274"/>
      <c r="L5053" s="274"/>
      <c r="M5053" s="274"/>
      <c r="N5053" s="274"/>
      <c r="P5053" s="275"/>
    </row>
    <row r="5054" ht="15.75" customHeight="1">
      <c r="B5054" s="282"/>
      <c r="H5054" s="273"/>
      <c r="I5054" s="274"/>
      <c r="J5054" s="274"/>
      <c r="K5054" s="274"/>
      <c r="L5054" s="274"/>
      <c r="M5054" s="274"/>
      <c r="N5054" s="274"/>
      <c r="P5054" s="275"/>
    </row>
    <row r="5055" ht="15.75" customHeight="1">
      <c r="B5055" s="282"/>
      <c r="H5055" s="273"/>
      <c r="I5055" s="274"/>
      <c r="J5055" s="274"/>
      <c r="K5055" s="274"/>
      <c r="L5055" s="274"/>
      <c r="M5055" s="274"/>
      <c r="N5055" s="274"/>
      <c r="P5055" s="275"/>
    </row>
    <row r="5056" ht="15.75" customHeight="1">
      <c r="B5056" s="282"/>
      <c r="H5056" s="273"/>
      <c r="I5056" s="274"/>
      <c r="J5056" s="274"/>
      <c r="K5056" s="274"/>
      <c r="L5056" s="274"/>
      <c r="M5056" s="274"/>
      <c r="N5056" s="274"/>
      <c r="P5056" s="275"/>
    </row>
    <row r="5057" ht="15.75" customHeight="1">
      <c r="B5057" s="282"/>
      <c r="H5057" s="273"/>
      <c r="I5057" s="274"/>
      <c r="J5057" s="274"/>
      <c r="K5057" s="274"/>
      <c r="L5057" s="274"/>
      <c r="M5057" s="274"/>
      <c r="N5057" s="274"/>
      <c r="P5057" s="275"/>
    </row>
    <row r="5058" ht="15.75" customHeight="1">
      <c r="B5058" s="282"/>
      <c r="H5058" s="273"/>
      <c r="I5058" s="274"/>
      <c r="J5058" s="274"/>
      <c r="K5058" s="274"/>
      <c r="L5058" s="274"/>
      <c r="M5058" s="274"/>
      <c r="N5058" s="274"/>
      <c r="P5058" s="275"/>
    </row>
    <row r="5059" ht="15.75" customHeight="1">
      <c r="B5059" s="282"/>
      <c r="H5059" s="273"/>
      <c r="I5059" s="274"/>
      <c r="J5059" s="274"/>
      <c r="K5059" s="274"/>
      <c r="L5059" s="274"/>
      <c r="M5059" s="274"/>
      <c r="N5059" s="274"/>
      <c r="P5059" s="275"/>
    </row>
    <row r="5060" ht="15.75" customHeight="1">
      <c r="B5060" s="282"/>
      <c r="H5060" s="273"/>
      <c r="I5060" s="274"/>
      <c r="J5060" s="274"/>
      <c r="K5060" s="274"/>
      <c r="L5060" s="274"/>
      <c r="M5060" s="274"/>
      <c r="N5060" s="274"/>
      <c r="P5060" s="275"/>
    </row>
    <row r="5061" ht="15.75" customHeight="1">
      <c r="B5061" s="282"/>
      <c r="H5061" s="273"/>
      <c r="I5061" s="274"/>
      <c r="J5061" s="274"/>
      <c r="K5061" s="274"/>
      <c r="L5061" s="274"/>
      <c r="M5061" s="274"/>
      <c r="N5061" s="274"/>
      <c r="P5061" s="275"/>
    </row>
    <row r="5062" ht="15.75" customHeight="1">
      <c r="B5062" s="282"/>
      <c r="H5062" s="273"/>
      <c r="I5062" s="274"/>
      <c r="J5062" s="274"/>
      <c r="K5062" s="274"/>
      <c r="L5062" s="274"/>
      <c r="M5062" s="274"/>
      <c r="N5062" s="274"/>
      <c r="P5062" s="275"/>
    </row>
    <row r="5063" ht="15.75" customHeight="1">
      <c r="B5063" s="282"/>
      <c r="H5063" s="273"/>
      <c r="I5063" s="274"/>
      <c r="J5063" s="274"/>
      <c r="K5063" s="274"/>
      <c r="L5063" s="274"/>
      <c r="M5063" s="274"/>
      <c r="N5063" s="274"/>
      <c r="P5063" s="275"/>
    </row>
    <row r="5064" ht="15.75" customHeight="1">
      <c r="B5064" s="282"/>
      <c r="H5064" s="273"/>
      <c r="I5064" s="274"/>
      <c r="J5064" s="274"/>
      <c r="K5064" s="274"/>
      <c r="L5064" s="274"/>
      <c r="M5064" s="274"/>
      <c r="N5064" s="274"/>
      <c r="P5064" s="275"/>
    </row>
    <row r="5065" ht="15.75" customHeight="1">
      <c r="B5065" s="282"/>
      <c r="H5065" s="273"/>
      <c r="I5065" s="274"/>
      <c r="J5065" s="274"/>
      <c r="K5065" s="274"/>
      <c r="L5065" s="274"/>
      <c r="M5065" s="274"/>
      <c r="N5065" s="274"/>
      <c r="P5065" s="275"/>
    </row>
    <row r="5066" ht="15.75" customHeight="1">
      <c r="B5066" s="282"/>
      <c r="H5066" s="273"/>
      <c r="I5066" s="274"/>
      <c r="J5066" s="274"/>
      <c r="K5066" s="274"/>
      <c r="L5066" s="274"/>
      <c r="M5066" s="274"/>
      <c r="N5066" s="274"/>
      <c r="P5066" s="275"/>
    </row>
    <row r="5067" ht="15.75" customHeight="1">
      <c r="B5067" s="282"/>
      <c r="H5067" s="273"/>
      <c r="I5067" s="274"/>
      <c r="J5067" s="274"/>
      <c r="K5067" s="274"/>
      <c r="L5067" s="274"/>
      <c r="M5067" s="274"/>
      <c r="N5067" s="274"/>
      <c r="P5067" s="275"/>
    </row>
    <row r="5068" ht="15.75" customHeight="1">
      <c r="B5068" s="282"/>
      <c r="H5068" s="273"/>
      <c r="I5068" s="274"/>
      <c r="J5068" s="274"/>
      <c r="K5068" s="274"/>
      <c r="L5068" s="274"/>
      <c r="M5068" s="274"/>
      <c r="N5068" s="274"/>
      <c r="P5068" s="275"/>
    </row>
    <row r="5069" ht="15.75" customHeight="1">
      <c r="B5069" s="282"/>
      <c r="H5069" s="273"/>
      <c r="I5069" s="274"/>
      <c r="J5069" s="274"/>
      <c r="K5069" s="274"/>
      <c r="L5069" s="274"/>
      <c r="M5069" s="274"/>
      <c r="N5069" s="274"/>
      <c r="P5069" s="275"/>
    </row>
    <row r="5070" ht="15.75" customHeight="1">
      <c r="B5070" s="282"/>
      <c r="H5070" s="273"/>
      <c r="I5070" s="274"/>
      <c r="J5070" s="274"/>
      <c r="K5070" s="274"/>
      <c r="L5070" s="274"/>
      <c r="M5070" s="274"/>
      <c r="N5070" s="274"/>
      <c r="P5070" s="275"/>
    </row>
    <row r="5071" ht="15.75" customHeight="1">
      <c r="B5071" s="282"/>
      <c r="H5071" s="273"/>
      <c r="I5071" s="274"/>
      <c r="J5071" s="274"/>
      <c r="K5071" s="274"/>
      <c r="L5071" s="274"/>
      <c r="M5071" s="274"/>
      <c r="N5071" s="274"/>
      <c r="P5071" s="275"/>
    </row>
    <row r="5072" ht="15.75" customHeight="1">
      <c r="B5072" s="282"/>
      <c r="H5072" s="273"/>
      <c r="I5072" s="274"/>
      <c r="J5072" s="274"/>
      <c r="K5072" s="274"/>
      <c r="L5072" s="274"/>
      <c r="M5072" s="274"/>
      <c r="N5072" s="274"/>
      <c r="P5072" s="275"/>
    </row>
    <row r="5073" ht="15.75" customHeight="1">
      <c r="B5073" s="282"/>
      <c r="H5073" s="273"/>
      <c r="I5073" s="274"/>
      <c r="J5073" s="274"/>
      <c r="K5073" s="274"/>
      <c r="L5073" s="274"/>
      <c r="M5073" s="274"/>
      <c r="N5073" s="274"/>
      <c r="P5073" s="275"/>
    </row>
    <row r="5074" ht="15.75" customHeight="1">
      <c r="B5074" s="282"/>
      <c r="H5074" s="273"/>
      <c r="I5074" s="274"/>
      <c r="J5074" s="274"/>
      <c r="K5074" s="274"/>
      <c r="L5074" s="274"/>
      <c r="M5074" s="274"/>
      <c r="N5074" s="274"/>
      <c r="P5074" s="275"/>
    </row>
    <row r="5075" ht="15.75" customHeight="1">
      <c r="B5075" s="282"/>
      <c r="H5075" s="273"/>
      <c r="I5075" s="274"/>
      <c r="J5075" s="274"/>
      <c r="K5075" s="274"/>
      <c r="L5075" s="274"/>
      <c r="M5075" s="274"/>
      <c r="N5075" s="274"/>
      <c r="P5075" s="275"/>
    </row>
    <row r="5076" ht="15.75" customHeight="1">
      <c r="B5076" s="282"/>
      <c r="H5076" s="273"/>
      <c r="I5076" s="274"/>
      <c r="J5076" s="274"/>
      <c r="K5076" s="274"/>
      <c r="L5076" s="274"/>
      <c r="M5076" s="274"/>
      <c r="N5076" s="274"/>
      <c r="P5076" s="275"/>
    </row>
    <row r="5077" ht="15.75" customHeight="1">
      <c r="B5077" s="282"/>
      <c r="H5077" s="273"/>
      <c r="I5077" s="274"/>
      <c r="J5077" s="274"/>
      <c r="K5077" s="274"/>
      <c r="L5077" s="274"/>
      <c r="M5077" s="274"/>
      <c r="N5077" s="274"/>
      <c r="P5077" s="275"/>
    </row>
    <row r="5078" ht="15.75" customHeight="1">
      <c r="B5078" s="282"/>
      <c r="H5078" s="273"/>
      <c r="I5078" s="274"/>
      <c r="J5078" s="274"/>
      <c r="K5078" s="274"/>
      <c r="L5078" s="274"/>
      <c r="M5078" s="274"/>
      <c r="N5078" s="274"/>
      <c r="P5078" s="275"/>
    </row>
    <row r="5079" ht="15.75" customHeight="1">
      <c r="B5079" s="282"/>
      <c r="H5079" s="273"/>
      <c r="I5079" s="274"/>
      <c r="J5079" s="274"/>
      <c r="K5079" s="274"/>
      <c r="L5079" s="274"/>
      <c r="M5079" s="274"/>
      <c r="N5079" s="274"/>
      <c r="P5079" s="275"/>
    </row>
    <row r="5080" ht="15.75" customHeight="1">
      <c r="B5080" s="282"/>
      <c r="H5080" s="273"/>
      <c r="I5080" s="274"/>
      <c r="J5080" s="274"/>
      <c r="K5080" s="274"/>
      <c r="L5080" s="274"/>
      <c r="M5080" s="274"/>
      <c r="N5080" s="274"/>
      <c r="P5080" s="275"/>
    </row>
    <row r="5081" ht="15.75" customHeight="1">
      <c r="B5081" s="282"/>
      <c r="H5081" s="273"/>
      <c r="I5081" s="274"/>
      <c r="J5081" s="274"/>
      <c r="K5081" s="274"/>
      <c r="L5081" s="274"/>
      <c r="M5081" s="274"/>
      <c r="N5081" s="274"/>
      <c r="P5081" s="275"/>
    </row>
    <row r="5082" ht="15.75" customHeight="1">
      <c r="B5082" s="282"/>
      <c r="H5082" s="273"/>
      <c r="I5082" s="274"/>
      <c r="J5082" s="274"/>
      <c r="K5082" s="274"/>
      <c r="L5082" s="274"/>
      <c r="M5082" s="274"/>
      <c r="N5082" s="274"/>
      <c r="P5082" s="275"/>
    </row>
    <row r="5083" ht="15.75" customHeight="1">
      <c r="B5083" s="282"/>
      <c r="H5083" s="273"/>
      <c r="I5083" s="274"/>
      <c r="J5083" s="274"/>
      <c r="K5083" s="274"/>
      <c r="L5083" s="274"/>
      <c r="M5083" s="274"/>
      <c r="N5083" s="274"/>
      <c r="P5083" s="275"/>
    </row>
    <row r="5084" ht="15.75" customHeight="1">
      <c r="B5084" s="282"/>
      <c r="H5084" s="273"/>
      <c r="I5084" s="274"/>
      <c r="J5084" s="274"/>
      <c r="K5084" s="274"/>
      <c r="L5084" s="274"/>
      <c r="M5084" s="274"/>
      <c r="N5084" s="274"/>
      <c r="P5084" s="275"/>
    </row>
    <row r="5085" ht="15.75" customHeight="1">
      <c r="B5085" s="282"/>
      <c r="H5085" s="273"/>
      <c r="I5085" s="274"/>
      <c r="J5085" s="274"/>
      <c r="K5085" s="274"/>
      <c r="L5085" s="274"/>
      <c r="M5085" s="274"/>
      <c r="N5085" s="274"/>
      <c r="P5085" s="275"/>
    </row>
    <row r="5086" ht="15.75" customHeight="1">
      <c r="B5086" s="282"/>
      <c r="H5086" s="273"/>
      <c r="I5086" s="274"/>
      <c r="J5086" s="274"/>
      <c r="K5086" s="274"/>
      <c r="L5086" s="274"/>
      <c r="M5086" s="274"/>
      <c r="N5086" s="274"/>
      <c r="P5086" s="275"/>
    </row>
    <row r="5087" ht="15.75" customHeight="1">
      <c r="B5087" s="282"/>
      <c r="H5087" s="273"/>
      <c r="I5087" s="274"/>
      <c r="J5087" s="274"/>
      <c r="K5087" s="274"/>
      <c r="L5087" s="274"/>
      <c r="M5087" s="274"/>
      <c r="N5087" s="274"/>
      <c r="P5087" s="275"/>
    </row>
    <row r="5088" ht="15.75" customHeight="1">
      <c r="B5088" s="282"/>
      <c r="H5088" s="273"/>
      <c r="I5088" s="274"/>
      <c r="J5088" s="274"/>
      <c r="K5088" s="274"/>
      <c r="L5088" s="274"/>
      <c r="M5088" s="274"/>
      <c r="N5088" s="274"/>
      <c r="P5088" s="275"/>
    </row>
    <row r="5089" ht="15.75" customHeight="1">
      <c r="B5089" s="282"/>
      <c r="H5089" s="273"/>
      <c r="I5089" s="274"/>
      <c r="J5089" s="274"/>
      <c r="K5089" s="274"/>
      <c r="L5089" s="274"/>
      <c r="M5089" s="274"/>
      <c r="N5089" s="274"/>
      <c r="P5089" s="275"/>
    </row>
    <row r="5090" ht="15.75" customHeight="1">
      <c r="B5090" s="282"/>
      <c r="H5090" s="273"/>
      <c r="I5090" s="274"/>
      <c r="J5090" s="274"/>
      <c r="K5090" s="274"/>
      <c r="L5090" s="274"/>
      <c r="M5090" s="274"/>
      <c r="N5090" s="274"/>
      <c r="P5090" s="275"/>
    </row>
    <row r="5091" ht="15.75" customHeight="1">
      <c r="B5091" s="282"/>
      <c r="H5091" s="273"/>
      <c r="I5091" s="274"/>
      <c r="J5091" s="274"/>
      <c r="K5091" s="274"/>
      <c r="L5091" s="274"/>
      <c r="M5091" s="274"/>
      <c r="N5091" s="274"/>
      <c r="P5091" s="275"/>
    </row>
    <row r="5092" ht="15.75" customHeight="1">
      <c r="B5092" s="282"/>
      <c r="H5092" s="273"/>
      <c r="I5092" s="274"/>
      <c r="J5092" s="274"/>
      <c r="K5092" s="274"/>
      <c r="L5092" s="274"/>
      <c r="M5092" s="274"/>
      <c r="N5092" s="274"/>
      <c r="P5092" s="275"/>
    </row>
    <row r="5093" ht="15.75" customHeight="1">
      <c r="B5093" s="282"/>
      <c r="H5093" s="273"/>
      <c r="I5093" s="274"/>
      <c r="J5093" s="274"/>
      <c r="K5093" s="274"/>
      <c r="L5093" s="274"/>
      <c r="M5093" s="274"/>
      <c r="N5093" s="274"/>
      <c r="P5093" s="275"/>
    </row>
    <row r="5094" ht="15.75" customHeight="1">
      <c r="B5094" s="282"/>
      <c r="H5094" s="273"/>
      <c r="I5094" s="274"/>
      <c r="J5094" s="274"/>
      <c r="K5094" s="274"/>
      <c r="L5094" s="274"/>
      <c r="M5094" s="274"/>
      <c r="N5094" s="274"/>
      <c r="P5094" s="275"/>
    </row>
    <row r="5095" ht="15.75" customHeight="1">
      <c r="B5095" s="282"/>
      <c r="H5095" s="273"/>
      <c r="I5095" s="274"/>
      <c r="J5095" s="274"/>
      <c r="K5095" s="274"/>
      <c r="L5095" s="274"/>
      <c r="M5095" s="274"/>
      <c r="N5095" s="274"/>
      <c r="P5095" s="275"/>
    </row>
    <row r="5096" ht="15.75" customHeight="1">
      <c r="B5096" s="282"/>
      <c r="H5096" s="273"/>
      <c r="I5096" s="274"/>
      <c r="J5096" s="274"/>
      <c r="K5096" s="274"/>
      <c r="L5096" s="274"/>
      <c r="M5096" s="274"/>
      <c r="N5096" s="274"/>
      <c r="P5096" s="275"/>
    </row>
    <row r="5097" ht="15.75" customHeight="1">
      <c r="B5097" s="282"/>
      <c r="H5097" s="273"/>
      <c r="I5097" s="274"/>
      <c r="J5097" s="274"/>
      <c r="K5097" s="274"/>
      <c r="L5097" s="274"/>
      <c r="M5097" s="274"/>
      <c r="N5097" s="274"/>
      <c r="P5097" s="275"/>
    </row>
    <row r="5098" ht="15.75" customHeight="1">
      <c r="B5098" s="282"/>
      <c r="H5098" s="273"/>
      <c r="I5098" s="274"/>
      <c r="J5098" s="274"/>
      <c r="K5098" s="274"/>
      <c r="L5098" s="274"/>
      <c r="M5098" s="274"/>
      <c r="N5098" s="274"/>
      <c r="P5098" s="275"/>
    </row>
    <row r="5099" ht="15.75" customHeight="1">
      <c r="B5099" s="282"/>
      <c r="H5099" s="273"/>
      <c r="I5099" s="274"/>
      <c r="J5099" s="274"/>
      <c r="K5099" s="274"/>
      <c r="L5099" s="274"/>
      <c r="M5099" s="274"/>
      <c r="N5099" s="274"/>
      <c r="P5099" s="275"/>
    </row>
    <row r="5100" ht="15.75" customHeight="1">
      <c r="B5100" s="282"/>
      <c r="H5100" s="273"/>
      <c r="I5100" s="274"/>
      <c r="J5100" s="274"/>
      <c r="K5100" s="274"/>
      <c r="L5100" s="274"/>
      <c r="M5100" s="274"/>
      <c r="N5100" s="274"/>
      <c r="P5100" s="275"/>
    </row>
    <row r="5101" ht="15.75" customHeight="1">
      <c r="B5101" s="282"/>
      <c r="H5101" s="273"/>
      <c r="I5101" s="274"/>
      <c r="J5101" s="274"/>
      <c r="K5101" s="274"/>
      <c r="L5101" s="274"/>
      <c r="M5101" s="274"/>
      <c r="N5101" s="274"/>
      <c r="P5101" s="275"/>
    </row>
    <row r="5102" ht="15.75" customHeight="1">
      <c r="B5102" s="282"/>
      <c r="H5102" s="273"/>
      <c r="I5102" s="274"/>
      <c r="J5102" s="274"/>
      <c r="K5102" s="274"/>
      <c r="L5102" s="274"/>
      <c r="M5102" s="274"/>
      <c r="N5102" s="274"/>
      <c r="P5102" s="275"/>
    </row>
    <row r="5103" ht="15.75" customHeight="1">
      <c r="B5103" s="282"/>
      <c r="H5103" s="273"/>
      <c r="I5103" s="274"/>
      <c r="J5103" s="274"/>
      <c r="K5103" s="274"/>
      <c r="L5103" s="274"/>
      <c r="M5103" s="274"/>
      <c r="N5103" s="274"/>
      <c r="P5103" s="275"/>
    </row>
    <row r="5104" ht="15.75" customHeight="1">
      <c r="B5104" s="282"/>
      <c r="H5104" s="273"/>
      <c r="I5104" s="274"/>
      <c r="J5104" s="274"/>
      <c r="K5104" s="274"/>
      <c r="L5104" s="274"/>
      <c r="M5104" s="274"/>
      <c r="N5104" s="274"/>
      <c r="P5104" s="275"/>
    </row>
    <row r="5105" ht="15.75" customHeight="1">
      <c r="B5105" s="282"/>
      <c r="H5105" s="273"/>
      <c r="I5105" s="274"/>
      <c r="J5105" s="274"/>
      <c r="K5105" s="274"/>
      <c r="L5105" s="274"/>
      <c r="M5105" s="274"/>
      <c r="N5105" s="274"/>
      <c r="P5105" s="275"/>
    </row>
    <row r="5106" ht="15.75" customHeight="1">
      <c r="B5106" s="282"/>
      <c r="H5106" s="273"/>
      <c r="I5106" s="274"/>
      <c r="J5106" s="274"/>
      <c r="K5106" s="274"/>
      <c r="L5106" s="274"/>
      <c r="M5106" s="274"/>
      <c r="N5106" s="274"/>
      <c r="P5106" s="275"/>
    </row>
    <row r="5107" ht="15.75" customHeight="1">
      <c r="B5107" s="282"/>
      <c r="H5107" s="273"/>
      <c r="I5107" s="274"/>
      <c r="J5107" s="274"/>
      <c r="K5107" s="274"/>
      <c r="L5107" s="274"/>
      <c r="M5107" s="274"/>
      <c r="N5107" s="274"/>
      <c r="P5107" s="275"/>
    </row>
    <row r="5108" ht="15.75" customHeight="1">
      <c r="B5108" s="282"/>
      <c r="H5108" s="273"/>
      <c r="I5108" s="274"/>
      <c r="J5108" s="274"/>
      <c r="K5108" s="274"/>
      <c r="L5108" s="274"/>
      <c r="M5108" s="274"/>
      <c r="N5108" s="274"/>
      <c r="P5108" s="275"/>
    </row>
    <row r="5109" ht="15.75" customHeight="1">
      <c r="B5109" s="282"/>
      <c r="H5109" s="273"/>
      <c r="I5109" s="274"/>
      <c r="J5109" s="274"/>
      <c r="K5109" s="274"/>
      <c r="L5109" s="274"/>
      <c r="M5109" s="274"/>
      <c r="N5109" s="274"/>
      <c r="P5109" s="275"/>
    </row>
    <row r="5110" ht="15.75" customHeight="1">
      <c r="B5110" s="282"/>
      <c r="H5110" s="273"/>
      <c r="I5110" s="274"/>
      <c r="J5110" s="274"/>
      <c r="K5110" s="274"/>
      <c r="L5110" s="274"/>
      <c r="M5110" s="274"/>
      <c r="N5110" s="274"/>
      <c r="P5110" s="275"/>
    </row>
    <row r="5111" ht="15.75" customHeight="1">
      <c r="B5111" s="282"/>
      <c r="H5111" s="273"/>
      <c r="I5111" s="274"/>
      <c r="J5111" s="274"/>
      <c r="K5111" s="274"/>
      <c r="L5111" s="274"/>
      <c r="M5111" s="274"/>
      <c r="N5111" s="274"/>
      <c r="P5111" s="275"/>
    </row>
    <row r="5112" ht="15.75" customHeight="1">
      <c r="B5112" s="282"/>
      <c r="H5112" s="273"/>
      <c r="I5112" s="274"/>
      <c r="J5112" s="274"/>
      <c r="K5112" s="274"/>
      <c r="L5112" s="274"/>
      <c r="M5112" s="274"/>
      <c r="N5112" s="274"/>
      <c r="P5112" s="275"/>
    </row>
    <row r="5113" ht="15.75" customHeight="1">
      <c r="B5113" s="282"/>
      <c r="H5113" s="273"/>
      <c r="I5113" s="274"/>
      <c r="J5113" s="274"/>
      <c r="K5113" s="274"/>
      <c r="L5113" s="274"/>
      <c r="M5113" s="274"/>
      <c r="N5113" s="274"/>
      <c r="P5113" s="275"/>
    </row>
    <row r="5114" ht="15.75" customHeight="1">
      <c r="B5114" s="282"/>
      <c r="H5114" s="273"/>
      <c r="I5114" s="274"/>
      <c r="J5114" s="274"/>
      <c r="K5114" s="274"/>
      <c r="L5114" s="274"/>
      <c r="M5114" s="274"/>
      <c r="N5114" s="274"/>
      <c r="P5114" s="275"/>
    </row>
    <row r="5115" ht="15.75" customHeight="1">
      <c r="B5115" s="282"/>
      <c r="H5115" s="273"/>
      <c r="I5115" s="274"/>
      <c r="J5115" s="274"/>
      <c r="K5115" s="274"/>
      <c r="L5115" s="274"/>
      <c r="M5115" s="274"/>
      <c r="N5115" s="274"/>
      <c r="P5115" s="275"/>
    </row>
    <row r="5116" ht="15.75" customHeight="1">
      <c r="B5116" s="282"/>
      <c r="H5116" s="273"/>
      <c r="I5116" s="274"/>
      <c r="J5116" s="274"/>
      <c r="K5116" s="274"/>
      <c r="L5116" s="274"/>
      <c r="M5116" s="274"/>
      <c r="N5116" s="274"/>
      <c r="P5116" s="275"/>
    </row>
    <row r="5117" ht="15.75" customHeight="1">
      <c r="B5117" s="282"/>
      <c r="H5117" s="273"/>
      <c r="I5117" s="274"/>
      <c r="J5117" s="274"/>
      <c r="K5117" s="274"/>
      <c r="L5117" s="274"/>
      <c r="M5117" s="274"/>
      <c r="N5117" s="274"/>
      <c r="P5117" s="275"/>
    </row>
    <row r="5118" ht="15.75" customHeight="1">
      <c r="B5118" s="282"/>
      <c r="H5118" s="273"/>
      <c r="I5118" s="274"/>
      <c r="J5118" s="274"/>
      <c r="K5118" s="274"/>
      <c r="L5118" s="274"/>
      <c r="M5118" s="274"/>
      <c r="N5118" s="274"/>
      <c r="P5118" s="275"/>
    </row>
    <row r="5119" ht="15.75" customHeight="1">
      <c r="B5119" s="282"/>
      <c r="H5119" s="273"/>
      <c r="I5119" s="274"/>
      <c r="J5119" s="274"/>
      <c r="K5119" s="274"/>
      <c r="L5119" s="274"/>
      <c r="M5119" s="274"/>
      <c r="N5119" s="274"/>
      <c r="P5119" s="275"/>
    </row>
    <row r="5120" ht="15.75" customHeight="1">
      <c r="B5120" s="282"/>
      <c r="H5120" s="273"/>
      <c r="I5120" s="274"/>
      <c r="J5120" s="274"/>
      <c r="K5120" s="274"/>
      <c r="L5120" s="274"/>
      <c r="M5120" s="274"/>
      <c r="N5120" s="274"/>
      <c r="P5120" s="275"/>
    </row>
    <row r="5121" ht="15.75" customHeight="1">
      <c r="B5121" s="282"/>
      <c r="H5121" s="273"/>
      <c r="I5121" s="274"/>
      <c r="J5121" s="274"/>
      <c r="K5121" s="274"/>
      <c r="L5121" s="274"/>
      <c r="M5121" s="274"/>
      <c r="N5121" s="274"/>
      <c r="P5121" s="275"/>
    </row>
    <row r="5122" ht="15.75" customHeight="1">
      <c r="B5122" s="282"/>
      <c r="H5122" s="273"/>
      <c r="I5122" s="274"/>
      <c r="J5122" s="274"/>
      <c r="K5122" s="274"/>
      <c r="L5122" s="274"/>
      <c r="M5122" s="274"/>
      <c r="N5122" s="274"/>
      <c r="P5122" s="275"/>
    </row>
    <row r="5123" ht="15.75" customHeight="1">
      <c r="B5123" s="282"/>
      <c r="H5123" s="273"/>
      <c r="I5123" s="274"/>
      <c r="J5123" s="274"/>
      <c r="K5123" s="274"/>
      <c r="L5123" s="274"/>
      <c r="M5123" s="274"/>
      <c r="N5123" s="274"/>
      <c r="P5123" s="275"/>
    </row>
    <row r="5124" ht="15.75" customHeight="1">
      <c r="B5124" s="282"/>
      <c r="H5124" s="273"/>
      <c r="I5124" s="274"/>
      <c r="J5124" s="274"/>
      <c r="K5124" s="274"/>
      <c r="L5124" s="274"/>
      <c r="M5124" s="274"/>
      <c r="N5124" s="274"/>
      <c r="P5124" s="275"/>
    </row>
    <row r="5125" ht="15.75" customHeight="1">
      <c r="B5125" s="282"/>
      <c r="H5125" s="273"/>
      <c r="I5125" s="274"/>
      <c r="J5125" s="274"/>
      <c r="K5125" s="274"/>
      <c r="L5125" s="274"/>
      <c r="M5125" s="274"/>
      <c r="N5125" s="274"/>
      <c r="P5125" s="275"/>
    </row>
    <row r="5126" ht="15.75" customHeight="1">
      <c r="B5126" s="282"/>
      <c r="H5126" s="273"/>
      <c r="I5126" s="274"/>
      <c r="J5126" s="274"/>
      <c r="K5126" s="274"/>
      <c r="L5126" s="274"/>
      <c r="M5126" s="274"/>
      <c r="N5126" s="274"/>
      <c r="P5126" s="275"/>
    </row>
    <row r="5127" ht="15.75" customHeight="1">
      <c r="B5127" s="282"/>
      <c r="H5127" s="273"/>
      <c r="I5127" s="274"/>
      <c r="J5127" s="274"/>
      <c r="K5127" s="274"/>
      <c r="L5127" s="274"/>
      <c r="M5127" s="274"/>
      <c r="N5127" s="274"/>
      <c r="P5127" s="275"/>
    </row>
    <row r="5128" ht="15.75" customHeight="1">
      <c r="B5128" s="282"/>
      <c r="H5128" s="273"/>
      <c r="I5128" s="274"/>
      <c r="J5128" s="274"/>
      <c r="K5128" s="274"/>
      <c r="L5128" s="274"/>
      <c r="M5128" s="274"/>
      <c r="N5128" s="274"/>
      <c r="P5128" s="275"/>
    </row>
    <row r="5129" ht="15.75" customHeight="1">
      <c r="B5129" s="282"/>
      <c r="H5129" s="273"/>
      <c r="I5129" s="274"/>
      <c r="J5129" s="274"/>
      <c r="K5129" s="274"/>
      <c r="L5129" s="274"/>
      <c r="M5129" s="274"/>
      <c r="N5129" s="274"/>
      <c r="P5129" s="275"/>
    </row>
    <row r="5130" ht="15.75" customHeight="1">
      <c r="B5130" s="282"/>
      <c r="H5130" s="273"/>
      <c r="I5130" s="274"/>
      <c r="J5130" s="274"/>
      <c r="K5130" s="274"/>
      <c r="L5130" s="274"/>
      <c r="M5130" s="274"/>
      <c r="N5130" s="274"/>
      <c r="P5130" s="275"/>
    </row>
    <row r="5131" ht="15.75" customHeight="1">
      <c r="B5131" s="282"/>
      <c r="H5131" s="273"/>
      <c r="I5131" s="274"/>
      <c r="J5131" s="274"/>
      <c r="K5131" s="274"/>
      <c r="L5131" s="274"/>
      <c r="M5131" s="274"/>
      <c r="N5131" s="274"/>
      <c r="P5131" s="275"/>
    </row>
    <row r="5132" ht="15.75" customHeight="1">
      <c r="B5132" s="282"/>
      <c r="H5132" s="273"/>
      <c r="I5132" s="274"/>
      <c r="J5132" s="274"/>
      <c r="K5132" s="274"/>
      <c r="L5132" s="274"/>
      <c r="M5132" s="274"/>
      <c r="N5132" s="274"/>
      <c r="P5132" s="275"/>
    </row>
    <row r="5133" ht="15.75" customHeight="1">
      <c r="B5133" s="282"/>
      <c r="H5133" s="273"/>
      <c r="I5133" s="274"/>
      <c r="J5133" s="274"/>
      <c r="K5133" s="274"/>
      <c r="L5133" s="274"/>
      <c r="M5133" s="274"/>
      <c r="N5133" s="274"/>
      <c r="P5133" s="275"/>
    </row>
    <row r="5134" ht="15.75" customHeight="1">
      <c r="B5134" s="282"/>
      <c r="H5134" s="273"/>
      <c r="I5134" s="274"/>
      <c r="J5134" s="274"/>
      <c r="K5134" s="274"/>
      <c r="L5134" s="274"/>
      <c r="M5134" s="274"/>
      <c r="N5134" s="274"/>
      <c r="P5134" s="275"/>
    </row>
    <row r="5135" ht="15.75" customHeight="1">
      <c r="B5135" s="282"/>
      <c r="H5135" s="273"/>
      <c r="I5135" s="274"/>
      <c r="J5135" s="274"/>
      <c r="K5135" s="274"/>
      <c r="L5135" s="274"/>
      <c r="M5135" s="274"/>
      <c r="N5135" s="274"/>
      <c r="P5135" s="275"/>
    </row>
    <row r="5136" ht="15.75" customHeight="1">
      <c r="B5136" s="282"/>
      <c r="H5136" s="273"/>
      <c r="I5136" s="274"/>
      <c r="J5136" s="274"/>
      <c r="K5136" s="274"/>
      <c r="L5136" s="274"/>
      <c r="M5136" s="274"/>
      <c r="N5136" s="274"/>
      <c r="P5136" s="275"/>
    </row>
    <row r="5137" ht="15.75" customHeight="1">
      <c r="B5137" s="282"/>
      <c r="H5137" s="273"/>
      <c r="I5137" s="274"/>
      <c r="J5137" s="274"/>
      <c r="K5137" s="274"/>
      <c r="L5137" s="274"/>
      <c r="M5137" s="274"/>
      <c r="N5137" s="274"/>
      <c r="P5137" s="275"/>
    </row>
    <row r="5138" ht="15.75" customHeight="1">
      <c r="B5138" s="282"/>
      <c r="H5138" s="273"/>
      <c r="I5138" s="274"/>
      <c r="J5138" s="274"/>
      <c r="K5138" s="274"/>
      <c r="L5138" s="274"/>
      <c r="M5138" s="274"/>
      <c r="N5138" s="274"/>
      <c r="P5138" s="275"/>
    </row>
    <row r="5139" ht="15.75" customHeight="1">
      <c r="B5139" s="282"/>
      <c r="H5139" s="273"/>
      <c r="I5139" s="274"/>
      <c r="J5139" s="274"/>
      <c r="K5139" s="274"/>
      <c r="L5139" s="274"/>
      <c r="M5139" s="274"/>
      <c r="N5139" s="274"/>
      <c r="P5139" s="275"/>
    </row>
    <row r="5140" ht="15.75" customHeight="1">
      <c r="B5140" s="282"/>
      <c r="H5140" s="273"/>
      <c r="I5140" s="274"/>
      <c r="J5140" s="274"/>
      <c r="K5140" s="274"/>
      <c r="L5140" s="274"/>
      <c r="M5140" s="274"/>
      <c r="N5140" s="274"/>
      <c r="P5140" s="275"/>
    </row>
    <row r="5141" ht="15.75" customHeight="1">
      <c r="B5141" s="282"/>
      <c r="H5141" s="273"/>
      <c r="I5141" s="274"/>
      <c r="J5141" s="274"/>
      <c r="K5141" s="274"/>
      <c r="L5141" s="274"/>
      <c r="M5141" s="274"/>
      <c r="N5141" s="274"/>
      <c r="P5141" s="275"/>
    </row>
    <row r="5142" ht="15.75" customHeight="1">
      <c r="B5142" s="282"/>
      <c r="H5142" s="273"/>
      <c r="I5142" s="274"/>
      <c r="J5142" s="274"/>
      <c r="K5142" s="274"/>
      <c r="L5142" s="274"/>
      <c r="M5142" s="274"/>
      <c r="N5142" s="274"/>
      <c r="P5142" s="275"/>
    </row>
    <row r="5143" ht="15.75" customHeight="1">
      <c r="B5143" s="282"/>
      <c r="H5143" s="273"/>
      <c r="I5143" s="274"/>
      <c r="J5143" s="274"/>
      <c r="K5143" s="274"/>
      <c r="L5143" s="274"/>
      <c r="M5143" s="274"/>
      <c r="N5143" s="274"/>
      <c r="P5143" s="275"/>
    </row>
    <row r="5144" ht="15.75" customHeight="1">
      <c r="B5144" s="282"/>
      <c r="H5144" s="273"/>
      <c r="I5144" s="274"/>
      <c r="J5144" s="274"/>
      <c r="K5144" s="274"/>
      <c r="L5144" s="274"/>
      <c r="M5144" s="274"/>
      <c r="N5144" s="274"/>
      <c r="P5144" s="275"/>
    </row>
    <row r="5145" ht="15.75" customHeight="1">
      <c r="B5145" s="282"/>
      <c r="H5145" s="273"/>
      <c r="I5145" s="274"/>
      <c r="J5145" s="274"/>
      <c r="K5145" s="274"/>
      <c r="L5145" s="274"/>
      <c r="M5145" s="274"/>
      <c r="N5145" s="274"/>
      <c r="P5145" s="275"/>
    </row>
    <row r="5146" ht="15.75" customHeight="1">
      <c r="B5146" s="282"/>
      <c r="H5146" s="273"/>
      <c r="I5146" s="274"/>
      <c r="J5146" s="274"/>
      <c r="K5146" s="274"/>
      <c r="L5146" s="274"/>
      <c r="M5146" s="274"/>
      <c r="N5146" s="274"/>
      <c r="P5146" s="275"/>
    </row>
    <row r="5147" ht="15.75" customHeight="1">
      <c r="B5147" s="282"/>
      <c r="H5147" s="273"/>
      <c r="I5147" s="274"/>
      <c r="J5147" s="274"/>
      <c r="K5147" s="274"/>
      <c r="L5147" s="274"/>
      <c r="M5147" s="274"/>
      <c r="N5147" s="274"/>
      <c r="P5147" s="275"/>
    </row>
    <row r="5148" ht="15.75" customHeight="1">
      <c r="B5148" s="282"/>
      <c r="H5148" s="273"/>
      <c r="I5148" s="274"/>
      <c r="J5148" s="274"/>
      <c r="K5148" s="274"/>
      <c r="L5148" s="274"/>
      <c r="M5148" s="274"/>
      <c r="N5148" s="274"/>
      <c r="P5148" s="275"/>
    </row>
    <row r="5149" ht="15.75" customHeight="1">
      <c r="B5149" s="282"/>
      <c r="H5149" s="273"/>
      <c r="I5149" s="274"/>
      <c r="J5149" s="274"/>
      <c r="K5149" s="274"/>
      <c r="L5149" s="274"/>
      <c r="M5149" s="274"/>
      <c r="N5149" s="274"/>
      <c r="P5149" s="275"/>
    </row>
    <row r="5150" ht="15.75" customHeight="1">
      <c r="B5150" s="282"/>
      <c r="H5150" s="273"/>
      <c r="I5150" s="274"/>
      <c r="J5150" s="274"/>
      <c r="K5150" s="274"/>
      <c r="L5150" s="274"/>
      <c r="M5150" s="274"/>
      <c r="N5150" s="274"/>
      <c r="P5150" s="275"/>
    </row>
    <row r="5151" ht="15.75" customHeight="1">
      <c r="B5151" s="282"/>
      <c r="H5151" s="273"/>
      <c r="I5151" s="274"/>
      <c r="J5151" s="274"/>
      <c r="K5151" s="274"/>
      <c r="L5151" s="274"/>
      <c r="M5151" s="274"/>
      <c r="N5151" s="274"/>
      <c r="P5151" s="275"/>
    </row>
    <row r="5152" ht="15.75" customHeight="1">
      <c r="B5152" s="282"/>
      <c r="H5152" s="273"/>
      <c r="I5152" s="274"/>
      <c r="J5152" s="274"/>
      <c r="K5152" s="274"/>
      <c r="L5152" s="274"/>
      <c r="M5152" s="274"/>
      <c r="N5152" s="274"/>
      <c r="P5152" s="275"/>
    </row>
    <row r="5153" ht="15.75" customHeight="1">
      <c r="B5153" s="282"/>
      <c r="H5153" s="273"/>
      <c r="I5153" s="274"/>
      <c r="J5153" s="274"/>
      <c r="K5153" s="274"/>
      <c r="L5153" s="274"/>
      <c r="M5153" s="274"/>
      <c r="N5153" s="274"/>
      <c r="P5153" s="275"/>
    </row>
    <row r="5154" ht="15.75" customHeight="1">
      <c r="B5154" s="282"/>
      <c r="H5154" s="273"/>
      <c r="I5154" s="274"/>
      <c r="J5154" s="274"/>
      <c r="K5154" s="274"/>
      <c r="L5154" s="274"/>
      <c r="M5154" s="274"/>
      <c r="N5154" s="274"/>
      <c r="P5154" s="275"/>
    </row>
    <row r="5155" ht="15.75" customHeight="1">
      <c r="B5155" s="282"/>
      <c r="H5155" s="273"/>
      <c r="I5155" s="274"/>
      <c r="J5155" s="274"/>
      <c r="K5155" s="274"/>
      <c r="L5155" s="274"/>
      <c r="M5155" s="274"/>
      <c r="N5155" s="274"/>
      <c r="P5155" s="275"/>
    </row>
    <row r="5156" ht="15.75" customHeight="1">
      <c r="B5156" s="282"/>
      <c r="H5156" s="273"/>
      <c r="I5156" s="274"/>
      <c r="J5156" s="274"/>
      <c r="K5156" s="274"/>
      <c r="L5156" s="274"/>
      <c r="M5156" s="274"/>
      <c r="N5156" s="274"/>
      <c r="P5156" s="275"/>
    </row>
    <row r="5157" ht="15.75" customHeight="1">
      <c r="B5157" s="282"/>
      <c r="H5157" s="273"/>
      <c r="I5157" s="274"/>
      <c r="J5157" s="274"/>
      <c r="K5157" s="274"/>
      <c r="L5157" s="274"/>
      <c r="M5157" s="274"/>
      <c r="N5157" s="274"/>
      <c r="P5157" s="275"/>
    </row>
    <row r="5158" ht="15.75" customHeight="1">
      <c r="B5158" s="282"/>
      <c r="H5158" s="273"/>
      <c r="I5158" s="274"/>
      <c r="J5158" s="274"/>
      <c r="K5158" s="274"/>
      <c r="L5158" s="274"/>
      <c r="M5158" s="274"/>
      <c r="N5158" s="274"/>
      <c r="P5158" s="275"/>
    </row>
    <row r="5159" ht="15.75" customHeight="1">
      <c r="B5159" s="282"/>
      <c r="H5159" s="273"/>
      <c r="I5159" s="274"/>
      <c r="J5159" s="274"/>
      <c r="K5159" s="274"/>
      <c r="L5159" s="274"/>
      <c r="M5159" s="274"/>
      <c r="N5159" s="274"/>
      <c r="P5159" s="275"/>
    </row>
    <row r="5160" ht="15.75" customHeight="1">
      <c r="B5160" s="282"/>
      <c r="H5160" s="273"/>
      <c r="I5160" s="274"/>
      <c r="J5160" s="274"/>
      <c r="K5160" s="274"/>
      <c r="L5160" s="274"/>
      <c r="M5160" s="274"/>
      <c r="N5160" s="274"/>
      <c r="P5160" s="275"/>
    </row>
    <row r="5161" ht="15.75" customHeight="1">
      <c r="B5161" s="282"/>
      <c r="H5161" s="273"/>
      <c r="I5161" s="274"/>
      <c r="J5161" s="274"/>
      <c r="K5161" s="274"/>
      <c r="L5161" s="274"/>
      <c r="M5161" s="274"/>
      <c r="N5161" s="274"/>
      <c r="P5161" s="275"/>
    </row>
    <row r="5162" ht="15.75" customHeight="1">
      <c r="B5162" s="282"/>
      <c r="H5162" s="273"/>
      <c r="I5162" s="274"/>
      <c r="J5162" s="274"/>
      <c r="K5162" s="274"/>
      <c r="L5162" s="274"/>
      <c r="M5162" s="274"/>
      <c r="N5162" s="274"/>
      <c r="P5162" s="275"/>
    </row>
    <row r="5163" ht="15.75" customHeight="1">
      <c r="B5163" s="282"/>
      <c r="H5163" s="273"/>
      <c r="I5163" s="274"/>
      <c r="J5163" s="274"/>
      <c r="K5163" s="274"/>
      <c r="L5163" s="274"/>
      <c r="M5163" s="274"/>
      <c r="N5163" s="274"/>
      <c r="P5163" s="275"/>
    </row>
    <row r="5164" ht="15.75" customHeight="1">
      <c r="B5164" s="282"/>
      <c r="H5164" s="273"/>
      <c r="I5164" s="274"/>
      <c r="J5164" s="274"/>
      <c r="K5164" s="274"/>
      <c r="L5164" s="274"/>
      <c r="M5164" s="274"/>
      <c r="N5164" s="274"/>
      <c r="P5164" s="275"/>
    </row>
    <row r="5165" ht="15.75" customHeight="1">
      <c r="B5165" s="282"/>
      <c r="H5165" s="273"/>
      <c r="I5165" s="274"/>
      <c r="J5165" s="274"/>
      <c r="K5165" s="274"/>
      <c r="L5165" s="274"/>
      <c r="M5165" s="274"/>
      <c r="N5165" s="274"/>
      <c r="P5165" s="275"/>
    </row>
    <row r="5166" ht="15.75" customHeight="1">
      <c r="B5166" s="282"/>
      <c r="H5166" s="273"/>
      <c r="I5166" s="274"/>
      <c r="J5166" s="274"/>
      <c r="K5166" s="274"/>
      <c r="L5166" s="274"/>
      <c r="M5166" s="274"/>
      <c r="N5166" s="274"/>
      <c r="P5166" s="275"/>
    </row>
    <row r="5167" ht="15.75" customHeight="1">
      <c r="B5167" s="282"/>
      <c r="H5167" s="273"/>
      <c r="I5167" s="274"/>
      <c r="J5167" s="274"/>
      <c r="K5167" s="274"/>
      <c r="L5167" s="274"/>
      <c r="M5167" s="274"/>
      <c r="N5167" s="274"/>
      <c r="P5167" s="275"/>
    </row>
    <row r="5168" ht="15.75" customHeight="1">
      <c r="B5168" s="282"/>
      <c r="H5168" s="273"/>
      <c r="I5168" s="274"/>
      <c r="J5168" s="274"/>
      <c r="K5168" s="274"/>
      <c r="L5168" s="274"/>
      <c r="M5168" s="274"/>
      <c r="N5168" s="274"/>
      <c r="P5168" s="275"/>
    </row>
    <row r="5169" ht="15.75" customHeight="1">
      <c r="B5169" s="282"/>
      <c r="H5169" s="273"/>
      <c r="I5169" s="274"/>
      <c r="J5169" s="274"/>
      <c r="K5169" s="274"/>
      <c r="L5169" s="274"/>
      <c r="M5169" s="274"/>
      <c r="N5169" s="274"/>
      <c r="P5169" s="275"/>
    </row>
    <row r="5170" ht="15.75" customHeight="1">
      <c r="B5170" s="282"/>
      <c r="H5170" s="273"/>
      <c r="I5170" s="274"/>
      <c r="J5170" s="274"/>
      <c r="K5170" s="274"/>
      <c r="L5170" s="274"/>
      <c r="M5170" s="274"/>
      <c r="N5170" s="274"/>
      <c r="P5170" s="275"/>
    </row>
    <row r="5171" ht="15.75" customHeight="1">
      <c r="B5171" s="282"/>
      <c r="H5171" s="273"/>
      <c r="I5171" s="274"/>
      <c r="J5171" s="274"/>
      <c r="K5171" s="274"/>
      <c r="L5171" s="274"/>
      <c r="M5171" s="274"/>
      <c r="N5171" s="274"/>
      <c r="P5171" s="275"/>
    </row>
    <row r="5172" ht="15.75" customHeight="1">
      <c r="B5172" s="282"/>
      <c r="H5172" s="273"/>
      <c r="I5172" s="274"/>
      <c r="J5172" s="274"/>
      <c r="K5172" s="274"/>
      <c r="L5172" s="274"/>
      <c r="M5172" s="274"/>
      <c r="N5172" s="274"/>
      <c r="P5172" s="275"/>
    </row>
    <row r="5173" ht="15.75" customHeight="1">
      <c r="B5173" s="282"/>
      <c r="H5173" s="273"/>
      <c r="I5173" s="274"/>
      <c r="J5173" s="274"/>
      <c r="K5173" s="274"/>
      <c r="L5173" s="274"/>
      <c r="M5173" s="274"/>
      <c r="N5173" s="274"/>
      <c r="P5173" s="275"/>
    </row>
    <row r="5174" ht="15.75" customHeight="1">
      <c r="B5174" s="282"/>
      <c r="H5174" s="273"/>
      <c r="I5174" s="274"/>
      <c r="J5174" s="274"/>
      <c r="K5174" s="274"/>
      <c r="L5174" s="274"/>
      <c r="M5174" s="274"/>
      <c r="N5174" s="274"/>
      <c r="P5174" s="275"/>
    </row>
    <row r="5175" ht="15.75" customHeight="1">
      <c r="B5175" s="282"/>
      <c r="H5175" s="273"/>
      <c r="I5175" s="274"/>
      <c r="J5175" s="274"/>
      <c r="K5175" s="274"/>
      <c r="L5175" s="274"/>
      <c r="M5175" s="274"/>
      <c r="N5175" s="274"/>
      <c r="P5175" s="275"/>
    </row>
    <row r="5176" ht="15.75" customHeight="1">
      <c r="B5176" s="282"/>
      <c r="H5176" s="273"/>
      <c r="I5176" s="274"/>
      <c r="J5176" s="274"/>
      <c r="K5176" s="274"/>
      <c r="L5176" s="274"/>
      <c r="M5176" s="274"/>
      <c r="N5176" s="274"/>
      <c r="P5176" s="275"/>
    </row>
    <row r="5177" ht="15.75" customHeight="1">
      <c r="B5177" s="282"/>
      <c r="H5177" s="273"/>
      <c r="I5177" s="274"/>
      <c r="J5177" s="274"/>
      <c r="K5177" s="274"/>
      <c r="L5177" s="274"/>
      <c r="M5177" s="274"/>
      <c r="N5177" s="274"/>
      <c r="P5177" s="275"/>
    </row>
    <row r="5178" ht="15.75" customHeight="1">
      <c r="B5178" s="282"/>
      <c r="H5178" s="273"/>
      <c r="I5178" s="274"/>
      <c r="J5178" s="274"/>
      <c r="K5178" s="274"/>
      <c r="L5178" s="274"/>
      <c r="M5178" s="274"/>
      <c r="N5178" s="274"/>
      <c r="P5178" s="275"/>
    </row>
    <row r="5179" ht="15.75" customHeight="1">
      <c r="B5179" s="282"/>
      <c r="H5179" s="273"/>
      <c r="I5179" s="274"/>
      <c r="J5179" s="274"/>
      <c r="K5179" s="274"/>
      <c r="L5179" s="274"/>
      <c r="M5179" s="274"/>
      <c r="N5179" s="274"/>
      <c r="P5179" s="275"/>
    </row>
    <row r="5180" ht="15.75" customHeight="1">
      <c r="B5180" s="282"/>
      <c r="H5180" s="273"/>
      <c r="I5180" s="274"/>
      <c r="J5180" s="274"/>
      <c r="K5180" s="274"/>
      <c r="L5180" s="274"/>
      <c r="M5180" s="274"/>
      <c r="N5180" s="274"/>
      <c r="P5180" s="275"/>
    </row>
    <row r="5181" ht="15.75" customHeight="1">
      <c r="B5181" s="282"/>
      <c r="H5181" s="273"/>
      <c r="I5181" s="274"/>
      <c r="J5181" s="274"/>
      <c r="K5181" s="274"/>
      <c r="L5181" s="274"/>
      <c r="M5181" s="274"/>
      <c r="N5181" s="274"/>
      <c r="P5181" s="275"/>
    </row>
    <row r="5182" ht="15.75" customHeight="1">
      <c r="B5182" s="282"/>
      <c r="H5182" s="273"/>
      <c r="I5182" s="274"/>
      <c r="J5182" s="274"/>
      <c r="K5182" s="274"/>
      <c r="L5182" s="274"/>
      <c r="M5182" s="274"/>
      <c r="N5182" s="274"/>
      <c r="P5182" s="275"/>
    </row>
    <row r="5183" ht="15.75" customHeight="1">
      <c r="B5183" s="282"/>
      <c r="H5183" s="273"/>
      <c r="I5183" s="274"/>
      <c r="J5183" s="274"/>
      <c r="K5183" s="274"/>
      <c r="L5183" s="274"/>
      <c r="M5183" s="274"/>
      <c r="N5183" s="274"/>
      <c r="P5183" s="275"/>
    </row>
    <row r="5184" ht="15.75" customHeight="1">
      <c r="B5184" s="282"/>
      <c r="H5184" s="273"/>
      <c r="I5184" s="274"/>
      <c r="J5184" s="274"/>
      <c r="K5184" s="274"/>
      <c r="L5184" s="274"/>
      <c r="M5184" s="274"/>
      <c r="N5184" s="274"/>
      <c r="P5184" s="275"/>
    </row>
    <row r="5185" ht="15.75" customHeight="1">
      <c r="B5185" s="282"/>
      <c r="H5185" s="273"/>
      <c r="I5185" s="274"/>
      <c r="J5185" s="274"/>
      <c r="K5185" s="274"/>
      <c r="L5185" s="274"/>
      <c r="M5185" s="274"/>
      <c r="N5185" s="274"/>
      <c r="P5185" s="275"/>
    </row>
    <row r="5186" ht="15.75" customHeight="1">
      <c r="B5186" s="282"/>
      <c r="H5186" s="273"/>
      <c r="I5186" s="274"/>
      <c r="J5186" s="274"/>
      <c r="K5186" s="274"/>
      <c r="L5186" s="274"/>
      <c r="M5186" s="274"/>
      <c r="N5186" s="274"/>
      <c r="P5186" s="275"/>
    </row>
    <row r="5187" ht="15.75" customHeight="1">
      <c r="B5187" s="282"/>
      <c r="H5187" s="273"/>
      <c r="I5187" s="274"/>
      <c r="J5187" s="274"/>
      <c r="K5187" s="274"/>
      <c r="L5187" s="274"/>
      <c r="M5187" s="274"/>
      <c r="N5187" s="274"/>
      <c r="P5187" s="275"/>
    </row>
    <row r="5188" ht="15.75" customHeight="1">
      <c r="B5188" s="282"/>
      <c r="H5188" s="273"/>
      <c r="I5188" s="274"/>
      <c r="J5188" s="274"/>
      <c r="K5188" s="274"/>
      <c r="L5188" s="274"/>
      <c r="M5188" s="274"/>
      <c r="N5188" s="274"/>
      <c r="P5188" s="275"/>
    </row>
    <row r="5189" ht="15.75" customHeight="1">
      <c r="B5189" s="282"/>
      <c r="H5189" s="273"/>
      <c r="I5189" s="274"/>
      <c r="J5189" s="274"/>
      <c r="K5189" s="274"/>
      <c r="L5189" s="274"/>
      <c r="M5189" s="274"/>
      <c r="N5189" s="274"/>
      <c r="P5189" s="275"/>
    </row>
    <row r="5190" ht="15.75" customHeight="1">
      <c r="B5190" s="282"/>
      <c r="H5190" s="273"/>
      <c r="I5190" s="274"/>
      <c r="J5190" s="274"/>
      <c r="K5190" s="274"/>
      <c r="L5190" s="274"/>
      <c r="M5190" s="274"/>
      <c r="N5190" s="274"/>
      <c r="P5190" s="275"/>
    </row>
    <row r="5191" ht="15.75" customHeight="1">
      <c r="B5191" s="282"/>
      <c r="H5191" s="273"/>
      <c r="I5191" s="274"/>
      <c r="J5191" s="274"/>
      <c r="K5191" s="274"/>
      <c r="L5191" s="274"/>
      <c r="M5191" s="274"/>
      <c r="N5191" s="274"/>
      <c r="P5191" s="275"/>
    </row>
    <row r="5192" ht="15.75" customHeight="1">
      <c r="B5192" s="282"/>
      <c r="H5192" s="273"/>
      <c r="I5192" s="274"/>
      <c r="J5192" s="274"/>
      <c r="K5192" s="274"/>
      <c r="L5192" s="274"/>
      <c r="M5192" s="274"/>
      <c r="N5192" s="274"/>
      <c r="P5192" s="275"/>
    </row>
    <row r="5193" ht="15.75" customHeight="1">
      <c r="B5193" s="282"/>
      <c r="H5193" s="273"/>
      <c r="I5193" s="274"/>
      <c r="J5193" s="274"/>
      <c r="K5193" s="274"/>
      <c r="L5193" s="274"/>
      <c r="M5193" s="274"/>
      <c r="N5193" s="274"/>
      <c r="P5193" s="275"/>
    </row>
    <row r="5194" ht="15.75" customHeight="1">
      <c r="B5194" s="282"/>
      <c r="H5194" s="273"/>
      <c r="I5194" s="274"/>
      <c r="J5194" s="274"/>
      <c r="K5194" s="274"/>
      <c r="L5194" s="274"/>
      <c r="M5194" s="274"/>
      <c r="N5194" s="274"/>
      <c r="P5194" s="275"/>
    </row>
    <row r="5195" ht="15.75" customHeight="1">
      <c r="B5195" s="282"/>
      <c r="H5195" s="273"/>
      <c r="I5195" s="274"/>
      <c r="J5195" s="274"/>
      <c r="K5195" s="274"/>
      <c r="L5195" s="274"/>
      <c r="M5195" s="274"/>
      <c r="N5195" s="274"/>
      <c r="P5195" s="275"/>
    </row>
    <row r="5196" ht="15.75" customHeight="1">
      <c r="B5196" s="282"/>
      <c r="H5196" s="273"/>
      <c r="I5196" s="274"/>
      <c r="J5196" s="274"/>
      <c r="K5196" s="274"/>
      <c r="L5196" s="274"/>
      <c r="M5196" s="274"/>
      <c r="N5196" s="274"/>
      <c r="P5196" s="275"/>
    </row>
    <row r="5197" ht="15.75" customHeight="1">
      <c r="B5197" s="282"/>
      <c r="H5197" s="273"/>
      <c r="I5197" s="274"/>
      <c r="J5197" s="274"/>
      <c r="K5197" s="274"/>
      <c r="L5197" s="274"/>
      <c r="M5197" s="274"/>
      <c r="N5197" s="274"/>
      <c r="P5197" s="275"/>
    </row>
    <row r="5198" ht="15.75" customHeight="1">
      <c r="B5198" s="282"/>
      <c r="H5198" s="273"/>
      <c r="I5198" s="274"/>
      <c r="J5198" s="274"/>
      <c r="K5198" s="274"/>
      <c r="L5198" s="274"/>
      <c r="M5198" s="274"/>
      <c r="N5198" s="274"/>
      <c r="P5198" s="275"/>
    </row>
    <row r="5199" ht="15.75" customHeight="1">
      <c r="B5199" s="282"/>
      <c r="H5199" s="273"/>
      <c r="I5199" s="274"/>
      <c r="J5199" s="274"/>
      <c r="K5199" s="274"/>
      <c r="L5199" s="274"/>
      <c r="M5199" s="274"/>
      <c r="N5199" s="274"/>
      <c r="P5199" s="275"/>
    </row>
    <row r="5200" ht="15.75" customHeight="1">
      <c r="B5200" s="282"/>
      <c r="H5200" s="273"/>
      <c r="I5200" s="274"/>
      <c r="J5200" s="274"/>
      <c r="K5200" s="274"/>
      <c r="L5200" s="274"/>
      <c r="M5200" s="274"/>
      <c r="N5200" s="274"/>
      <c r="P5200" s="275"/>
    </row>
    <row r="5201" ht="15.75" customHeight="1">
      <c r="B5201" s="282"/>
      <c r="H5201" s="273"/>
      <c r="I5201" s="274"/>
      <c r="J5201" s="274"/>
      <c r="K5201" s="274"/>
      <c r="L5201" s="274"/>
      <c r="M5201" s="274"/>
      <c r="N5201" s="274"/>
      <c r="P5201" s="275"/>
    </row>
    <row r="5202" ht="15.75" customHeight="1">
      <c r="B5202" s="282"/>
      <c r="H5202" s="273"/>
      <c r="I5202" s="274"/>
      <c r="J5202" s="274"/>
      <c r="K5202" s="274"/>
      <c r="L5202" s="274"/>
      <c r="M5202" s="274"/>
      <c r="N5202" s="274"/>
      <c r="P5202" s="275"/>
    </row>
    <row r="5203" ht="15.75" customHeight="1">
      <c r="B5203" s="282"/>
      <c r="H5203" s="273"/>
      <c r="I5203" s="274"/>
      <c r="J5203" s="274"/>
      <c r="K5203" s="274"/>
      <c r="L5203" s="274"/>
      <c r="M5203" s="274"/>
      <c r="N5203" s="274"/>
      <c r="P5203" s="275"/>
    </row>
    <row r="5204" ht="15.75" customHeight="1">
      <c r="B5204" s="282"/>
      <c r="H5204" s="273"/>
      <c r="I5204" s="274"/>
      <c r="J5204" s="274"/>
      <c r="K5204" s="274"/>
      <c r="L5204" s="274"/>
      <c r="M5204" s="274"/>
      <c r="N5204" s="274"/>
      <c r="P5204" s="275"/>
    </row>
    <row r="5205" ht="15.75" customHeight="1">
      <c r="B5205" s="282"/>
      <c r="H5205" s="273"/>
      <c r="I5205" s="274"/>
      <c r="J5205" s="274"/>
      <c r="K5205" s="274"/>
      <c r="L5205" s="274"/>
      <c r="M5205" s="274"/>
      <c r="N5205" s="274"/>
      <c r="P5205" s="275"/>
    </row>
    <row r="5206" ht="15.75" customHeight="1">
      <c r="B5206" s="282"/>
      <c r="H5206" s="273"/>
      <c r="I5206" s="274"/>
      <c r="J5206" s="274"/>
      <c r="K5206" s="274"/>
      <c r="L5206" s="274"/>
      <c r="M5206" s="274"/>
      <c r="N5206" s="274"/>
      <c r="P5206" s="275"/>
    </row>
    <row r="5207" ht="15.75" customHeight="1">
      <c r="B5207" s="282"/>
      <c r="H5207" s="273"/>
      <c r="I5207" s="274"/>
      <c r="J5207" s="274"/>
      <c r="K5207" s="274"/>
      <c r="L5207" s="274"/>
      <c r="M5207" s="274"/>
      <c r="N5207" s="274"/>
      <c r="P5207" s="275"/>
    </row>
    <row r="5208" ht="15.75" customHeight="1">
      <c r="B5208" s="282"/>
      <c r="H5208" s="273"/>
      <c r="I5208" s="274"/>
      <c r="J5208" s="274"/>
      <c r="K5208" s="274"/>
      <c r="L5208" s="274"/>
      <c r="M5208" s="274"/>
      <c r="N5208" s="274"/>
      <c r="P5208" s="275"/>
    </row>
    <row r="5209" ht="15.75" customHeight="1">
      <c r="B5209" s="282"/>
      <c r="H5209" s="273"/>
      <c r="I5209" s="274"/>
      <c r="J5209" s="274"/>
      <c r="K5209" s="274"/>
      <c r="L5209" s="274"/>
      <c r="M5209" s="274"/>
      <c r="N5209" s="274"/>
      <c r="P5209" s="275"/>
    </row>
    <row r="5210" ht="15.75" customHeight="1">
      <c r="B5210" s="282"/>
      <c r="H5210" s="273"/>
      <c r="I5210" s="274"/>
      <c r="J5210" s="274"/>
      <c r="K5210" s="274"/>
      <c r="L5210" s="274"/>
      <c r="M5210" s="274"/>
      <c r="N5210" s="274"/>
      <c r="P5210" s="275"/>
    </row>
    <row r="5211" ht="15.75" customHeight="1">
      <c r="B5211" s="282"/>
      <c r="H5211" s="273"/>
      <c r="I5211" s="274"/>
      <c r="J5211" s="274"/>
      <c r="K5211" s="274"/>
      <c r="L5211" s="274"/>
      <c r="M5211" s="274"/>
      <c r="N5211" s="274"/>
      <c r="P5211" s="275"/>
    </row>
    <row r="5212" ht="15.75" customHeight="1">
      <c r="B5212" s="282"/>
      <c r="H5212" s="273"/>
      <c r="I5212" s="274"/>
      <c r="J5212" s="274"/>
      <c r="K5212" s="274"/>
      <c r="L5212" s="274"/>
      <c r="M5212" s="274"/>
      <c r="N5212" s="274"/>
      <c r="P5212" s="275"/>
    </row>
    <row r="5213" ht="15.75" customHeight="1">
      <c r="B5213" s="282"/>
      <c r="H5213" s="273"/>
      <c r="I5213" s="274"/>
      <c r="J5213" s="274"/>
      <c r="K5213" s="274"/>
      <c r="L5213" s="274"/>
      <c r="M5213" s="274"/>
      <c r="N5213" s="274"/>
      <c r="P5213" s="275"/>
    </row>
    <row r="5214" ht="15.75" customHeight="1">
      <c r="B5214" s="282"/>
      <c r="H5214" s="273"/>
      <c r="I5214" s="274"/>
      <c r="J5214" s="274"/>
      <c r="K5214" s="274"/>
      <c r="L5214" s="274"/>
      <c r="M5214" s="274"/>
      <c r="N5214" s="274"/>
      <c r="P5214" s="275"/>
    </row>
    <row r="5215" ht="15.75" customHeight="1">
      <c r="B5215" s="282"/>
      <c r="H5215" s="273"/>
      <c r="I5215" s="274"/>
      <c r="J5215" s="274"/>
      <c r="K5215" s="274"/>
      <c r="L5215" s="274"/>
      <c r="M5215" s="274"/>
      <c r="N5215" s="274"/>
      <c r="P5215" s="275"/>
    </row>
    <row r="5216" ht="15.75" customHeight="1">
      <c r="B5216" s="282"/>
      <c r="H5216" s="273"/>
      <c r="I5216" s="274"/>
      <c r="J5216" s="274"/>
      <c r="K5216" s="274"/>
      <c r="L5216" s="274"/>
      <c r="M5216" s="274"/>
      <c r="N5216" s="274"/>
      <c r="P5216" s="275"/>
    </row>
    <row r="5217" ht="15.75" customHeight="1">
      <c r="B5217" s="282"/>
      <c r="H5217" s="273"/>
      <c r="I5217" s="274"/>
      <c r="J5217" s="274"/>
      <c r="K5217" s="274"/>
      <c r="L5217" s="274"/>
      <c r="M5217" s="274"/>
      <c r="N5217" s="274"/>
      <c r="P5217" s="275"/>
    </row>
    <row r="5218" ht="15.75" customHeight="1">
      <c r="B5218" s="282"/>
      <c r="H5218" s="273"/>
      <c r="I5218" s="274"/>
      <c r="J5218" s="274"/>
      <c r="K5218" s="274"/>
      <c r="L5218" s="274"/>
      <c r="M5218" s="274"/>
      <c r="N5218" s="274"/>
      <c r="P5218" s="275"/>
    </row>
    <row r="5219" ht="15.75" customHeight="1">
      <c r="B5219" s="282"/>
      <c r="H5219" s="273"/>
      <c r="I5219" s="274"/>
      <c r="J5219" s="274"/>
      <c r="K5219" s="274"/>
      <c r="L5219" s="274"/>
      <c r="M5219" s="274"/>
      <c r="N5219" s="274"/>
      <c r="P5219" s="275"/>
    </row>
    <row r="5220" ht="15.75" customHeight="1">
      <c r="B5220" s="282"/>
      <c r="H5220" s="273"/>
      <c r="I5220" s="274"/>
      <c r="J5220" s="274"/>
      <c r="K5220" s="274"/>
      <c r="L5220" s="274"/>
      <c r="M5220" s="274"/>
      <c r="N5220" s="274"/>
      <c r="P5220" s="275"/>
    </row>
    <row r="5221" ht="15.75" customHeight="1">
      <c r="B5221" s="282"/>
      <c r="H5221" s="273"/>
      <c r="I5221" s="274"/>
      <c r="J5221" s="274"/>
      <c r="K5221" s="274"/>
      <c r="L5221" s="274"/>
      <c r="M5221" s="274"/>
      <c r="N5221" s="274"/>
      <c r="P5221" s="275"/>
    </row>
    <row r="5222" ht="15.75" customHeight="1">
      <c r="B5222" s="282"/>
      <c r="H5222" s="273"/>
      <c r="I5222" s="274"/>
      <c r="J5222" s="274"/>
      <c r="K5222" s="274"/>
      <c r="L5222" s="274"/>
      <c r="M5222" s="274"/>
      <c r="N5222" s="274"/>
      <c r="P5222" s="275"/>
    </row>
    <row r="5223" ht="15.75" customHeight="1">
      <c r="B5223" s="282"/>
      <c r="H5223" s="273"/>
      <c r="I5223" s="274"/>
      <c r="J5223" s="274"/>
      <c r="K5223" s="274"/>
      <c r="L5223" s="274"/>
      <c r="M5223" s="274"/>
      <c r="N5223" s="274"/>
      <c r="P5223" s="275"/>
    </row>
    <row r="5224" ht="15.75" customHeight="1">
      <c r="B5224" s="282"/>
      <c r="H5224" s="273"/>
      <c r="I5224" s="274"/>
      <c r="J5224" s="274"/>
      <c r="K5224" s="274"/>
      <c r="L5224" s="274"/>
      <c r="M5224" s="274"/>
      <c r="N5224" s="274"/>
      <c r="P5224" s="275"/>
    </row>
    <row r="5225" ht="15.75" customHeight="1">
      <c r="B5225" s="282"/>
      <c r="H5225" s="273"/>
      <c r="I5225" s="274"/>
      <c r="J5225" s="274"/>
      <c r="K5225" s="274"/>
      <c r="L5225" s="274"/>
      <c r="M5225" s="274"/>
      <c r="N5225" s="274"/>
      <c r="P5225" s="275"/>
    </row>
    <row r="5226" ht="15.75" customHeight="1">
      <c r="B5226" s="282"/>
      <c r="H5226" s="273"/>
      <c r="I5226" s="274"/>
      <c r="J5226" s="274"/>
      <c r="K5226" s="274"/>
      <c r="L5226" s="274"/>
      <c r="M5226" s="274"/>
      <c r="N5226" s="274"/>
      <c r="P5226" s="275"/>
    </row>
    <row r="5227" ht="15.75" customHeight="1">
      <c r="B5227" s="282"/>
      <c r="H5227" s="273"/>
      <c r="I5227" s="274"/>
      <c r="J5227" s="274"/>
      <c r="K5227" s="274"/>
      <c r="L5227" s="274"/>
      <c r="M5227" s="274"/>
      <c r="N5227" s="274"/>
      <c r="P5227" s="275"/>
    </row>
    <row r="5228" ht="15.75" customHeight="1">
      <c r="B5228" s="282"/>
      <c r="H5228" s="273"/>
      <c r="I5228" s="274"/>
      <c r="J5228" s="274"/>
      <c r="K5228" s="274"/>
      <c r="L5228" s="274"/>
      <c r="M5228" s="274"/>
      <c r="N5228" s="274"/>
      <c r="P5228" s="275"/>
    </row>
    <row r="5229" ht="15.75" customHeight="1">
      <c r="B5229" s="282"/>
      <c r="H5229" s="273"/>
      <c r="I5229" s="274"/>
      <c r="J5229" s="274"/>
      <c r="K5229" s="274"/>
      <c r="L5229" s="274"/>
      <c r="M5229" s="274"/>
      <c r="N5229" s="274"/>
      <c r="P5229" s="275"/>
    </row>
    <row r="5230" ht="15.75" customHeight="1">
      <c r="B5230" s="282"/>
      <c r="H5230" s="273"/>
      <c r="I5230" s="274"/>
      <c r="J5230" s="274"/>
      <c r="K5230" s="274"/>
      <c r="L5230" s="274"/>
      <c r="M5230" s="274"/>
      <c r="N5230" s="274"/>
      <c r="P5230" s="275"/>
    </row>
    <row r="5231" ht="15.75" customHeight="1">
      <c r="B5231" s="282"/>
      <c r="H5231" s="273"/>
      <c r="I5231" s="274"/>
      <c r="J5231" s="274"/>
      <c r="K5231" s="274"/>
      <c r="L5231" s="274"/>
      <c r="M5231" s="274"/>
      <c r="N5231" s="274"/>
      <c r="P5231" s="275"/>
    </row>
    <row r="5232" ht="15.75" customHeight="1">
      <c r="B5232" s="282"/>
      <c r="H5232" s="273"/>
      <c r="I5232" s="274"/>
      <c r="J5232" s="274"/>
      <c r="K5232" s="274"/>
      <c r="L5232" s="274"/>
      <c r="M5232" s="274"/>
      <c r="N5232" s="274"/>
      <c r="P5232" s="275"/>
    </row>
    <row r="5233" ht="15.75" customHeight="1">
      <c r="B5233" s="282"/>
      <c r="H5233" s="273"/>
      <c r="I5233" s="274"/>
      <c r="J5233" s="274"/>
      <c r="K5233" s="274"/>
      <c r="L5233" s="274"/>
      <c r="M5233" s="274"/>
      <c r="N5233" s="274"/>
      <c r="P5233" s="275"/>
    </row>
    <row r="5234" ht="15.75" customHeight="1">
      <c r="B5234" s="282"/>
      <c r="H5234" s="273"/>
      <c r="I5234" s="274"/>
      <c r="J5234" s="274"/>
      <c r="K5234" s="274"/>
      <c r="L5234" s="274"/>
      <c r="M5234" s="274"/>
      <c r="N5234" s="274"/>
      <c r="P5234" s="275"/>
    </row>
    <row r="5235" ht="15.75" customHeight="1">
      <c r="B5235" s="282"/>
      <c r="H5235" s="273"/>
      <c r="I5235" s="274"/>
      <c r="J5235" s="274"/>
      <c r="K5235" s="274"/>
      <c r="L5235" s="274"/>
      <c r="M5235" s="274"/>
      <c r="N5235" s="274"/>
      <c r="P5235" s="275"/>
    </row>
    <row r="5236" ht="15.75" customHeight="1">
      <c r="B5236" s="282"/>
      <c r="H5236" s="273"/>
      <c r="I5236" s="274"/>
      <c r="J5236" s="274"/>
      <c r="K5236" s="274"/>
      <c r="L5236" s="274"/>
      <c r="M5236" s="274"/>
      <c r="N5236" s="274"/>
      <c r="P5236" s="275"/>
    </row>
    <row r="5237" ht="15.75" customHeight="1">
      <c r="B5237" s="282"/>
      <c r="H5237" s="273"/>
      <c r="I5237" s="274"/>
      <c r="J5237" s="274"/>
      <c r="K5237" s="274"/>
      <c r="L5237" s="274"/>
      <c r="M5237" s="274"/>
      <c r="N5237" s="274"/>
      <c r="P5237" s="275"/>
    </row>
    <row r="5238" ht="15.75" customHeight="1">
      <c r="B5238" s="282"/>
      <c r="H5238" s="273"/>
      <c r="I5238" s="274"/>
      <c r="J5238" s="274"/>
      <c r="K5238" s="274"/>
      <c r="L5238" s="274"/>
      <c r="M5238" s="274"/>
      <c r="N5238" s="274"/>
      <c r="P5238" s="275"/>
    </row>
    <row r="5239" ht="15.75" customHeight="1">
      <c r="B5239" s="282"/>
      <c r="H5239" s="273"/>
      <c r="I5239" s="274"/>
      <c r="J5239" s="274"/>
      <c r="K5239" s="274"/>
      <c r="L5239" s="274"/>
      <c r="M5239" s="274"/>
      <c r="N5239" s="274"/>
      <c r="P5239" s="275"/>
    </row>
    <row r="5240" ht="15.75" customHeight="1">
      <c r="B5240" s="282"/>
      <c r="H5240" s="273"/>
      <c r="I5240" s="274"/>
      <c r="J5240" s="274"/>
      <c r="K5240" s="274"/>
      <c r="L5240" s="274"/>
      <c r="M5240" s="274"/>
      <c r="N5240" s="274"/>
      <c r="P5240" s="275"/>
    </row>
    <row r="5241" ht="15.75" customHeight="1">
      <c r="B5241" s="282"/>
      <c r="H5241" s="273"/>
      <c r="I5241" s="274"/>
      <c r="J5241" s="274"/>
      <c r="K5241" s="274"/>
      <c r="L5241" s="274"/>
      <c r="M5241" s="274"/>
      <c r="N5241" s="274"/>
      <c r="P5241" s="275"/>
    </row>
    <row r="5242" ht="15.75" customHeight="1">
      <c r="B5242" s="282"/>
      <c r="H5242" s="273"/>
      <c r="I5242" s="274"/>
      <c r="J5242" s="274"/>
      <c r="K5242" s="274"/>
      <c r="L5242" s="274"/>
      <c r="M5242" s="274"/>
      <c r="N5242" s="274"/>
      <c r="P5242" s="275"/>
    </row>
    <row r="5243" ht="15.75" customHeight="1">
      <c r="B5243" s="282"/>
      <c r="H5243" s="273"/>
      <c r="I5243" s="274"/>
      <c r="J5243" s="274"/>
      <c r="K5243" s="274"/>
      <c r="L5243" s="274"/>
      <c r="M5243" s="274"/>
      <c r="N5243" s="274"/>
      <c r="P5243" s="275"/>
    </row>
    <row r="5244" ht="15.75" customHeight="1">
      <c r="B5244" s="282"/>
      <c r="H5244" s="273"/>
      <c r="I5244" s="274"/>
      <c r="J5244" s="274"/>
      <c r="K5244" s="274"/>
      <c r="L5244" s="274"/>
      <c r="M5244" s="274"/>
      <c r="N5244" s="274"/>
      <c r="P5244" s="275"/>
    </row>
    <row r="5245" ht="15.75" customHeight="1">
      <c r="B5245" s="282"/>
      <c r="H5245" s="273"/>
      <c r="I5245" s="274"/>
      <c r="J5245" s="274"/>
      <c r="K5245" s="274"/>
      <c r="L5245" s="274"/>
      <c r="M5245" s="274"/>
      <c r="N5245" s="274"/>
      <c r="P5245" s="275"/>
    </row>
    <row r="5246" ht="15.75" customHeight="1">
      <c r="B5246" s="282"/>
      <c r="H5246" s="273"/>
      <c r="I5246" s="274"/>
      <c r="J5246" s="274"/>
      <c r="K5246" s="274"/>
      <c r="L5246" s="274"/>
      <c r="M5246" s="274"/>
      <c r="N5246" s="274"/>
      <c r="P5246" s="275"/>
    </row>
    <row r="5247" ht="15.75" customHeight="1">
      <c r="B5247" s="282"/>
      <c r="H5247" s="273"/>
      <c r="I5247" s="274"/>
      <c r="J5247" s="274"/>
      <c r="K5247" s="274"/>
      <c r="L5247" s="274"/>
      <c r="M5247" s="274"/>
      <c r="N5247" s="274"/>
      <c r="P5247" s="275"/>
    </row>
    <row r="5248" ht="15.75" customHeight="1">
      <c r="B5248" s="282"/>
      <c r="H5248" s="273"/>
      <c r="I5248" s="274"/>
      <c r="J5248" s="274"/>
      <c r="K5248" s="274"/>
      <c r="L5248" s="274"/>
      <c r="M5248" s="274"/>
      <c r="N5248" s="274"/>
      <c r="P5248" s="275"/>
    </row>
    <row r="5249" ht="15.75" customHeight="1">
      <c r="B5249" s="282"/>
      <c r="H5249" s="273"/>
      <c r="I5249" s="274"/>
      <c r="J5249" s="274"/>
      <c r="K5249" s="274"/>
      <c r="L5249" s="274"/>
      <c r="M5249" s="274"/>
      <c r="N5249" s="274"/>
      <c r="P5249" s="275"/>
    </row>
    <row r="5250" ht="15.75" customHeight="1">
      <c r="B5250" s="282"/>
      <c r="H5250" s="273"/>
      <c r="I5250" s="274"/>
      <c r="J5250" s="274"/>
      <c r="K5250" s="274"/>
      <c r="L5250" s="274"/>
      <c r="M5250" s="274"/>
      <c r="N5250" s="274"/>
      <c r="P5250" s="275"/>
    </row>
    <row r="5251" ht="15.75" customHeight="1">
      <c r="B5251" s="282"/>
      <c r="H5251" s="273"/>
      <c r="I5251" s="274"/>
      <c r="J5251" s="274"/>
      <c r="K5251" s="274"/>
      <c r="L5251" s="274"/>
      <c r="M5251" s="274"/>
      <c r="N5251" s="274"/>
      <c r="P5251" s="275"/>
    </row>
    <row r="5252" ht="15.75" customHeight="1">
      <c r="B5252" s="282"/>
      <c r="H5252" s="273"/>
      <c r="I5252" s="274"/>
      <c r="J5252" s="274"/>
      <c r="K5252" s="274"/>
      <c r="L5252" s="274"/>
      <c r="M5252" s="274"/>
      <c r="N5252" s="274"/>
      <c r="P5252" s="275"/>
    </row>
    <row r="5253" ht="15.75" customHeight="1">
      <c r="B5253" s="282"/>
      <c r="H5253" s="273"/>
      <c r="I5253" s="274"/>
      <c r="J5253" s="274"/>
      <c r="K5253" s="274"/>
      <c r="L5253" s="274"/>
      <c r="M5253" s="274"/>
      <c r="N5253" s="274"/>
      <c r="P5253" s="275"/>
    </row>
    <row r="5254" ht="15.75" customHeight="1">
      <c r="B5254" s="282"/>
      <c r="H5254" s="273"/>
      <c r="I5254" s="274"/>
      <c r="J5254" s="274"/>
      <c r="K5254" s="274"/>
      <c r="L5254" s="274"/>
      <c r="M5254" s="274"/>
      <c r="N5254" s="274"/>
      <c r="P5254" s="275"/>
    </row>
    <row r="5255" ht="15.75" customHeight="1">
      <c r="B5255" s="282"/>
      <c r="H5255" s="273"/>
      <c r="I5255" s="274"/>
      <c r="J5255" s="274"/>
      <c r="K5255" s="274"/>
      <c r="L5255" s="274"/>
      <c r="M5255" s="274"/>
      <c r="N5255" s="274"/>
      <c r="P5255" s="275"/>
    </row>
    <row r="5256" ht="15.75" customHeight="1">
      <c r="B5256" s="282"/>
      <c r="H5256" s="273"/>
      <c r="I5256" s="274"/>
      <c r="J5256" s="274"/>
      <c r="K5256" s="274"/>
      <c r="L5256" s="274"/>
      <c r="M5256" s="274"/>
      <c r="N5256" s="274"/>
      <c r="P5256" s="275"/>
    </row>
    <row r="5257" ht="15.75" customHeight="1">
      <c r="B5257" s="282"/>
      <c r="H5257" s="273"/>
      <c r="I5257" s="274"/>
      <c r="J5257" s="274"/>
      <c r="K5257" s="274"/>
      <c r="L5257" s="274"/>
      <c r="M5257" s="274"/>
      <c r="N5257" s="274"/>
      <c r="P5257" s="275"/>
    </row>
    <row r="5258" ht="15.75" customHeight="1">
      <c r="B5258" s="282"/>
      <c r="H5258" s="273"/>
      <c r="I5258" s="274"/>
      <c r="J5258" s="274"/>
      <c r="K5258" s="274"/>
      <c r="L5258" s="274"/>
      <c r="M5258" s="274"/>
      <c r="N5258" s="274"/>
      <c r="P5258" s="275"/>
    </row>
    <row r="5259" ht="15.75" customHeight="1">
      <c r="B5259" s="282"/>
      <c r="H5259" s="273"/>
      <c r="I5259" s="274"/>
      <c r="J5259" s="274"/>
      <c r="K5259" s="274"/>
      <c r="L5259" s="274"/>
      <c r="M5259" s="274"/>
      <c r="N5259" s="274"/>
      <c r="P5259" s="275"/>
    </row>
    <row r="5260" ht="15.75" customHeight="1">
      <c r="B5260" s="282"/>
      <c r="H5260" s="273"/>
      <c r="I5260" s="274"/>
      <c r="J5260" s="274"/>
      <c r="K5260" s="274"/>
      <c r="L5260" s="274"/>
      <c r="M5260" s="274"/>
      <c r="N5260" s="274"/>
      <c r="P5260" s="275"/>
    </row>
    <row r="5261" ht="15.75" customHeight="1">
      <c r="B5261" s="282"/>
      <c r="H5261" s="273"/>
      <c r="I5261" s="274"/>
      <c r="J5261" s="274"/>
      <c r="K5261" s="274"/>
      <c r="L5261" s="274"/>
      <c r="M5261" s="274"/>
      <c r="N5261" s="274"/>
      <c r="P5261" s="275"/>
    </row>
    <row r="5262" ht="15.75" customHeight="1">
      <c r="B5262" s="282"/>
      <c r="H5262" s="273"/>
      <c r="I5262" s="274"/>
      <c r="J5262" s="274"/>
      <c r="K5262" s="274"/>
      <c r="L5262" s="274"/>
      <c r="M5262" s="274"/>
      <c r="N5262" s="274"/>
      <c r="P5262" s="275"/>
    </row>
    <row r="5263" ht="15.75" customHeight="1">
      <c r="B5263" s="282"/>
      <c r="H5263" s="273"/>
      <c r="I5263" s="274"/>
      <c r="J5263" s="274"/>
      <c r="K5263" s="274"/>
      <c r="L5263" s="274"/>
      <c r="M5263" s="274"/>
      <c r="N5263" s="274"/>
      <c r="P5263" s="275"/>
    </row>
    <row r="5264" ht="15.75" customHeight="1">
      <c r="B5264" s="282"/>
      <c r="H5264" s="273"/>
      <c r="I5264" s="274"/>
      <c r="J5264" s="274"/>
      <c r="K5264" s="274"/>
      <c r="L5264" s="274"/>
      <c r="M5264" s="274"/>
      <c r="N5264" s="274"/>
      <c r="P5264" s="275"/>
    </row>
    <row r="5265" ht="15.75" customHeight="1">
      <c r="B5265" s="282"/>
      <c r="H5265" s="273"/>
      <c r="I5265" s="274"/>
      <c r="J5265" s="274"/>
      <c r="K5265" s="274"/>
      <c r="L5265" s="274"/>
      <c r="M5265" s="274"/>
      <c r="N5265" s="274"/>
      <c r="P5265" s="275"/>
    </row>
    <row r="5266" ht="15.75" customHeight="1">
      <c r="B5266" s="282"/>
      <c r="H5266" s="273"/>
      <c r="I5266" s="274"/>
      <c r="J5266" s="274"/>
      <c r="K5266" s="274"/>
      <c r="L5266" s="274"/>
      <c r="M5266" s="274"/>
      <c r="N5266" s="274"/>
      <c r="P5266" s="275"/>
    </row>
    <row r="5267" ht="15.75" customHeight="1">
      <c r="B5267" s="282"/>
      <c r="H5267" s="273"/>
      <c r="I5267" s="274"/>
      <c r="J5267" s="274"/>
      <c r="K5267" s="274"/>
      <c r="L5267" s="274"/>
      <c r="M5267" s="274"/>
      <c r="N5267" s="274"/>
      <c r="P5267" s="275"/>
    </row>
    <row r="5268" ht="15.75" customHeight="1">
      <c r="B5268" s="282"/>
      <c r="H5268" s="273"/>
      <c r="I5268" s="274"/>
      <c r="J5268" s="274"/>
      <c r="K5268" s="274"/>
      <c r="L5268" s="274"/>
      <c r="M5268" s="274"/>
      <c r="N5268" s="274"/>
      <c r="P5268" s="275"/>
    </row>
    <row r="5269" ht="15.75" customHeight="1">
      <c r="B5269" s="282"/>
      <c r="H5269" s="273"/>
      <c r="I5269" s="274"/>
      <c r="J5269" s="274"/>
      <c r="K5269" s="274"/>
      <c r="L5269" s="274"/>
      <c r="M5269" s="274"/>
      <c r="N5269" s="274"/>
      <c r="P5269" s="275"/>
    </row>
    <row r="5270" ht="15.75" customHeight="1">
      <c r="B5270" s="282"/>
      <c r="H5270" s="273"/>
      <c r="I5270" s="274"/>
      <c r="J5270" s="274"/>
      <c r="K5270" s="274"/>
      <c r="L5270" s="274"/>
      <c r="M5270" s="274"/>
      <c r="N5270" s="274"/>
      <c r="P5270" s="275"/>
    </row>
    <row r="5271" ht="15.75" customHeight="1">
      <c r="B5271" s="282"/>
      <c r="H5271" s="273"/>
      <c r="I5271" s="274"/>
      <c r="J5271" s="274"/>
      <c r="K5271" s="274"/>
      <c r="L5271" s="274"/>
      <c r="M5271" s="274"/>
      <c r="N5271" s="274"/>
      <c r="P5271" s="275"/>
    </row>
    <row r="5272" ht="15.75" customHeight="1">
      <c r="B5272" s="282"/>
      <c r="H5272" s="273"/>
      <c r="I5272" s="274"/>
      <c r="J5272" s="274"/>
      <c r="K5272" s="274"/>
      <c r="L5272" s="274"/>
      <c r="M5272" s="274"/>
      <c r="N5272" s="274"/>
      <c r="P5272" s="275"/>
    </row>
    <row r="5273" ht="15.75" customHeight="1">
      <c r="B5273" s="282"/>
      <c r="H5273" s="273"/>
      <c r="I5273" s="274"/>
      <c r="J5273" s="274"/>
      <c r="K5273" s="274"/>
      <c r="L5273" s="274"/>
      <c r="M5273" s="274"/>
      <c r="N5273" s="274"/>
      <c r="P5273" s="275"/>
    </row>
    <row r="5274" ht="15.75" customHeight="1">
      <c r="B5274" s="282"/>
      <c r="H5274" s="273"/>
      <c r="I5274" s="274"/>
      <c r="J5274" s="274"/>
      <c r="K5274" s="274"/>
      <c r="L5274" s="274"/>
      <c r="M5274" s="274"/>
      <c r="N5274" s="274"/>
      <c r="P5274" s="275"/>
    </row>
    <row r="5275" ht="15.75" customHeight="1">
      <c r="B5275" s="282"/>
      <c r="H5275" s="273"/>
      <c r="I5275" s="274"/>
      <c r="J5275" s="274"/>
      <c r="K5275" s="274"/>
      <c r="L5275" s="274"/>
      <c r="M5275" s="274"/>
      <c r="N5275" s="274"/>
      <c r="P5275" s="275"/>
    </row>
    <row r="5276" ht="15.75" customHeight="1">
      <c r="B5276" s="282"/>
      <c r="H5276" s="273"/>
      <c r="I5276" s="274"/>
      <c r="J5276" s="274"/>
      <c r="K5276" s="274"/>
      <c r="L5276" s="274"/>
      <c r="M5276" s="274"/>
      <c r="N5276" s="274"/>
      <c r="P5276" s="275"/>
    </row>
    <row r="5277" ht="15.75" customHeight="1">
      <c r="B5277" s="282"/>
      <c r="H5277" s="273"/>
      <c r="I5277" s="274"/>
      <c r="J5277" s="274"/>
      <c r="K5277" s="274"/>
      <c r="L5277" s="274"/>
      <c r="M5277" s="274"/>
      <c r="N5277" s="274"/>
      <c r="P5277" s="275"/>
    </row>
    <row r="5278" ht="15.75" customHeight="1">
      <c r="B5278" s="282"/>
      <c r="H5278" s="273"/>
      <c r="I5278" s="274"/>
      <c r="J5278" s="274"/>
      <c r="K5278" s="274"/>
      <c r="L5278" s="274"/>
      <c r="M5278" s="274"/>
      <c r="N5278" s="274"/>
      <c r="P5278" s="275"/>
    </row>
    <row r="5279" ht="15.75" customHeight="1">
      <c r="B5279" s="282"/>
      <c r="H5279" s="273"/>
      <c r="I5279" s="274"/>
      <c r="J5279" s="274"/>
      <c r="K5279" s="274"/>
      <c r="L5279" s="274"/>
      <c r="M5279" s="274"/>
      <c r="N5279" s="274"/>
      <c r="P5279" s="275"/>
    </row>
    <row r="5280" ht="15.75" customHeight="1">
      <c r="B5280" s="282"/>
      <c r="H5280" s="273"/>
      <c r="I5280" s="274"/>
      <c r="J5280" s="274"/>
      <c r="K5280" s="274"/>
      <c r="L5280" s="274"/>
      <c r="M5280" s="274"/>
      <c r="N5280" s="274"/>
      <c r="P5280" s="275"/>
    </row>
    <row r="5281" ht="15.75" customHeight="1">
      <c r="B5281" s="282"/>
      <c r="H5281" s="273"/>
      <c r="I5281" s="274"/>
      <c r="J5281" s="274"/>
      <c r="K5281" s="274"/>
      <c r="L5281" s="274"/>
      <c r="M5281" s="274"/>
      <c r="N5281" s="274"/>
      <c r="P5281" s="275"/>
    </row>
    <row r="5282" ht="15.75" customHeight="1">
      <c r="B5282" s="282"/>
      <c r="H5282" s="273"/>
      <c r="I5282" s="274"/>
      <c r="J5282" s="274"/>
      <c r="K5282" s="274"/>
      <c r="L5282" s="274"/>
      <c r="M5282" s="274"/>
      <c r="N5282" s="274"/>
      <c r="P5282" s="275"/>
    </row>
    <row r="5283" ht="15.75" customHeight="1">
      <c r="B5283" s="282"/>
      <c r="H5283" s="273"/>
      <c r="I5283" s="274"/>
      <c r="J5283" s="274"/>
      <c r="K5283" s="274"/>
      <c r="L5283" s="274"/>
      <c r="M5283" s="274"/>
      <c r="N5283" s="274"/>
      <c r="P5283" s="275"/>
    </row>
    <row r="5284" ht="15.75" customHeight="1">
      <c r="B5284" s="282"/>
      <c r="H5284" s="273"/>
      <c r="I5284" s="274"/>
      <c r="J5284" s="274"/>
      <c r="K5284" s="274"/>
      <c r="L5284" s="274"/>
      <c r="M5284" s="274"/>
      <c r="N5284" s="274"/>
      <c r="P5284" s="275"/>
    </row>
    <row r="5285" ht="15.75" customHeight="1">
      <c r="B5285" s="282"/>
      <c r="H5285" s="273"/>
      <c r="I5285" s="274"/>
      <c r="J5285" s="274"/>
      <c r="K5285" s="274"/>
      <c r="L5285" s="274"/>
      <c r="M5285" s="274"/>
      <c r="N5285" s="274"/>
      <c r="P5285" s="275"/>
    </row>
    <row r="5286" ht="15.75" customHeight="1">
      <c r="B5286" s="282"/>
      <c r="H5286" s="273"/>
      <c r="I5286" s="274"/>
      <c r="J5286" s="274"/>
      <c r="K5286" s="274"/>
      <c r="L5286" s="274"/>
      <c r="M5286" s="274"/>
      <c r="N5286" s="274"/>
      <c r="P5286" s="275"/>
    </row>
    <row r="5287" ht="15.75" customHeight="1">
      <c r="B5287" s="282"/>
      <c r="H5287" s="273"/>
      <c r="I5287" s="274"/>
      <c r="J5287" s="274"/>
      <c r="K5287" s="274"/>
      <c r="L5287" s="274"/>
      <c r="M5287" s="274"/>
      <c r="N5287" s="274"/>
      <c r="P5287" s="275"/>
    </row>
    <row r="5288" ht="15.75" customHeight="1">
      <c r="B5288" s="282"/>
      <c r="H5288" s="273"/>
      <c r="I5288" s="274"/>
      <c r="J5288" s="274"/>
      <c r="K5288" s="274"/>
      <c r="L5288" s="274"/>
      <c r="M5288" s="274"/>
      <c r="N5288" s="274"/>
      <c r="P5288" s="275"/>
    </row>
    <row r="5289" ht="15.75" customHeight="1">
      <c r="B5289" s="282"/>
      <c r="H5289" s="273"/>
      <c r="I5289" s="274"/>
      <c r="J5289" s="274"/>
      <c r="K5289" s="274"/>
      <c r="L5289" s="274"/>
      <c r="M5289" s="274"/>
      <c r="N5289" s="274"/>
      <c r="P5289" s="275"/>
    </row>
    <row r="5290" ht="15.75" customHeight="1">
      <c r="B5290" s="282"/>
      <c r="H5290" s="273"/>
      <c r="I5290" s="274"/>
      <c r="J5290" s="274"/>
      <c r="K5290" s="274"/>
      <c r="L5290" s="274"/>
      <c r="M5290" s="274"/>
      <c r="N5290" s="274"/>
      <c r="P5290" s="275"/>
    </row>
    <row r="5291" ht="15.75" customHeight="1">
      <c r="B5291" s="282"/>
      <c r="H5291" s="273"/>
      <c r="I5291" s="274"/>
      <c r="J5291" s="274"/>
      <c r="K5291" s="274"/>
      <c r="L5291" s="274"/>
      <c r="M5291" s="274"/>
      <c r="N5291" s="274"/>
      <c r="P5291" s="275"/>
    </row>
    <row r="5292" ht="15.75" customHeight="1">
      <c r="B5292" s="282"/>
      <c r="H5292" s="273"/>
      <c r="I5292" s="274"/>
      <c r="J5292" s="274"/>
      <c r="K5292" s="274"/>
      <c r="L5292" s="274"/>
      <c r="M5292" s="274"/>
      <c r="N5292" s="274"/>
      <c r="P5292" s="275"/>
    </row>
    <row r="5293" ht="15.75" customHeight="1">
      <c r="B5293" s="282"/>
      <c r="H5293" s="273"/>
      <c r="I5293" s="274"/>
      <c r="J5293" s="274"/>
      <c r="K5293" s="274"/>
      <c r="L5293" s="274"/>
      <c r="M5293" s="274"/>
      <c r="N5293" s="274"/>
      <c r="P5293" s="275"/>
    </row>
    <row r="5294" ht="15.75" customHeight="1">
      <c r="B5294" s="282"/>
      <c r="H5294" s="273"/>
      <c r="I5294" s="274"/>
      <c r="J5294" s="274"/>
      <c r="K5294" s="274"/>
      <c r="L5294" s="274"/>
      <c r="M5294" s="274"/>
      <c r="N5294" s="274"/>
      <c r="P5294" s="275"/>
    </row>
    <row r="5295" ht="15.75" customHeight="1">
      <c r="B5295" s="282"/>
      <c r="H5295" s="273"/>
      <c r="I5295" s="274"/>
      <c r="J5295" s="274"/>
      <c r="K5295" s="274"/>
      <c r="L5295" s="274"/>
      <c r="M5295" s="274"/>
      <c r="N5295" s="274"/>
      <c r="P5295" s="275"/>
    </row>
    <row r="5296" ht="15.75" customHeight="1">
      <c r="B5296" s="282"/>
      <c r="H5296" s="273"/>
      <c r="I5296" s="274"/>
      <c r="J5296" s="274"/>
      <c r="K5296" s="274"/>
      <c r="L5296" s="274"/>
      <c r="M5296" s="274"/>
      <c r="N5296" s="274"/>
      <c r="P5296" s="275"/>
    </row>
    <row r="5297" ht="15.75" customHeight="1">
      <c r="B5297" s="282"/>
      <c r="H5297" s="273"/>
      <c r="I5297" s="274"/>
      <c r="J5297" s="274"/>
      <c r="K5297" s="274"/>
      <c r="L5297" s="274"/>
      <c r="M5297" s="274"/>
      <c r="N5297" s="274"/>
      <c r="P5297" s="275"/>
    </row>
    <row r="5298" ht="15.75" customHeight="1">
      <c r="B5298" s="282"/>
      <c r="H5298" s="273"/>
      <c r="I5298" s="274"/>
      <c r="J5298" s="274"/>
      <c r="K5298" s="274"/>
      <c r="L5298" s="274"/>
      <c r="M5298" s="274"/>
      <c r="N5298" s="274"/>
      <c r="P5298" s="275"/>
    </row>
    <row r="5299" ht="15.75" customHeight="1">
      <c r="B5299" s="282"/>
      <c r="H5299" s="273"/>
      <c r="I5299" s="274"/>
      <c r="J5299" s="274"/>
      <c r="K5299" s="274"/>
      <c r="L5299" s="274"/>
      <c r="M5299" s="274"/>
      <c r="N5299" s="274"/>
      <c r="P5299" s="275"/>
    </row>
    <row r="5300" ht="15.75" customHeight="1">
      <c r="B5300" s="282"/>
      <c r="H5300" s="273"/>
      <c r="I5300" s="274"/>
      <c r="J5300" s="274"/>
      <c r="K5300" s="274"/>
      <c r="L5300" s="274"/>
      <c r="M5300" s="274"/>
      <c r="N5300" s="274"/>
      <c r="P5300" s="275"/>
    </row>
    <row r="5301" ht="15.75" customHeight="1">
      <c r="B5301" s="282"/>
      <c r="H5301" s="273"/>
      <c r="I5301" s="274"/>
      <c r="J5301" s="274"/>
      <c r="K5301" s="274"/>
      <c r="L5301" s="274"/>
      <c r="M5301" s="274"/>
      <c r="N5301" s="274"/>
      <c r="P5301" s="275"/>
    </row>
    <row r="5302" ht="15.75" customHeight="1">
      <c r="B5302" s="282"/>
      <c r="H5302" s="273"/>
      <c r="I5302" s="274"/>
      <c r="J5302" s="274"/>
      <c r="K5302" s="274"/>
      <c r="L5302" s="274"/>
      <c r="M5302" s="274"/>
      <c r="N5302" s="274"/>
      <c r="P5302" s="275"/>
    </row>
    <row r="5303" ht="15.75" customHeight="1">
      <c r="B5303" s="282"/>
      <c r="H5303" s="273"/>
      <c r="I5303" s="274"/>
      <c r="J5303" s="274"/>
      <c r="K5303" s="274"/>
      <c r="L5303" s="274"/>
      <c r="M5303" s="274"/>
      <c r="N5303" s="274"/>
      <c r="P5303" s="275"/>
    </row>
    <row r="5304" ht="15.75" customHeight="1">
      <c r="B5304" s="282"/>
      <c r="H5304" s="273"/>
      <c r="I5304" s="274"/>
      <c r="J5304" s="274"/>
      <c r="K5304" s="274"/>
      <c r="L5304" s="274"/>
      <c r="M5304" s="274"/>
      <c r="N5304" s="274"/>
      <c r="P5304" s="275"/>
    </row>
    <row r="5305" ht="15.75" customHeight="1">
      <c r="B5305" s="282"/>
      <c r="H5305" s="273"/>
      <c r="I5305" s="274"/>
      <c r="J5305" s="274"/>
      <c r="K5305" s="274"/>
      <c r="L5305" s="274"/>
      <c r="M5305" s="274"/>
      <c r="N5305" s="274"/>
      <c r="P5305" s="275"/>
    </row>
    <row r="5306" ht="15.75" customHeight="1">
      <c r="B5306" s="282"/>
      <c r="H5306" s="273"/>
      <c r="I5306" s="274"/>
      <c r="J5306" s="274"/>
      <c r="K5306" s="274"/>
      <c r="L5306" s="274"/>
      <c r="M5306" s="274"/>
      <c r="N5306" s="274"/>
      <c r="P5306" s="275"/>
    </row>
    <row r="5307" ht="15.75" customHeight="1">
      <c r="B5307" s="282"/>
      <c r="H5307" s="273"/>
      <c r="I5307" s="274"/>
      <c r="J5307" s="274"/>
      <c r="K5307" s="274"/>
      <c r="L5307" s="274"/>
      <c r="M5307" s="274"/>
      <c r="N5307" s="274"/>
      <c r="P5307" s="275"/>
    </row>
    <row r="5308" ht="15.75" customHeight="1">
      <c r="B5308" s="282"/>
      <c r="H5308" s="273"/>
      <c r="I5308" s="274"/>
      <c r="J5308" s="274"/>
      <c r="K5308" s="274"/>
      <c r="L5308" s="274"/>
      <c r="M5308" s="274"/>
      <c r="N5308" s="274"/>
      <c r="P5308" s="275"/>
    </row>
    <row r="5309" ht="15.75" customHeight="1">
      <c r="B5309" s="282"/>
      <c r="H5309" s="273"/>
      <c r="I5309" s="274"/>
      <c r="J5309" s="274"/>
      <c r="K5309" s="274"/>
      <c r="L5309" s="274"/>
      <c r="M5309" s="274"/>
      <c r="N5309" s="274"/>
      <c r="P5309" s="275"/>
    </row>
    <row r="5310" ht="15.75" customHeight="1">
      <c r="B5310" s="282"/>
      <c r="H5310" s="273"/>
      <c r="I5310" s="274"/>
      <c r="J5310" s="274"/>
      <c r="K5310" s="274"/>
      <c r="L5310" s="274"/>
      <c r="M5310" s="274"/>
      <c r="N5310" s="274"/>
      <c r="P5310" s="275"/>
    </row>
    <row r="5311" ht="15.75" customHeight="1">
      <c r="B5311" s="282"/>
      <c r="H5311" s="273"/>
      <c r="I5311" s="274"/>
      <c r="J5311" s="274"/>
      <c r="K5311" s="274"/>
      <c r="L5311" s="274"/>
      <c r="M5311" s="274"/>
      <c r="N5311" s="274"/>
      <c r="P5311" s="275"/>
    </row>
    <row r="5312" ht="15.75" customHeight="1">
      <c r="B5312" s="282"/>
      <c r="H5312" s="273"/>
      <c r="I5312" s="274"/>
      <c r="J5312" s="274"/>
      <c r="K5312" s="274"/>
      <c r="L5312" s="274"/>
      <c r="M5312" s="274"/>
      <c r="N5312" s="274"/>
      <c r="P5312" s="275"/>
    </row>
    <row r="5313" ht="15.75" customHeight="1">
      <c r="B5313" s="282"/>
      <c r="H5313" s="273"/>
      <c r="I5313" s="274"/>
      <c r="J5313" s="274"/>
      <c r="K5313" s="274"/>
      <c r="L5313" s="274"/>
      <c r="M5313" s="274"/>
      <c r="N5313" s="274"/>
      <c r="P5313" s="275"/>
    </row>
    <row r="5314" ht="15.75" customHeight="1">
      <c r="B5314" s="282"/>
      <c r="H5314" s="273"/>
      <c r="I5314" s="274"/>
      <c r="J5314" s="274"/>
      <c r="K5314" s="274"/>
      <c r="L5314" s="274"/>
      <c r="M5314" s="274"/>
      <c r="N5314" s="274"/>
      <c r="P5314" s="275"/>
    </row>
    <row r="5315" ht="15.75" customHeight="1">
      <c r="B5315" s="282"/>
      <c r="H5315" s="273"/>
      <c r="I5315" s="274"/>
      <c r="J5315" s="274"/>
      <c r="K5315" s="274"/>
      <c r="L5315" s="274"/>
      <c r="M5315" s="274"/>
      <c r="N5315" s="274"/>
      <c r="P5315" s="275"/>
    </row>
    <row r="5316" ht="15.75" customHeight="1">
      <c r="B5316" s="282"/>
      <c r="H5316" s="273"/>
      <c r="I5316" s="274"/>
      <c r="J5316" s="274"/>
      <c r="K5316" s="274"/>
      <c r="L5316" s="274"/>
      <c r="M5316" s="274"/>
      <c r="N5316" s="274"/>
      <c r="P5316" s="275"/>
    </row>
    <row r="5317" ht="15.75" customHeight="1">
      <c r="B5317" s="282"/>
      <c r="H5317" s="273"/>
      <c r="I5317" s="274"/>
      <c r="J5317" s="274"/>
      <c r="K5317" s="274"/>
      <c r="L5317" s="274"/>
      <c r="M5317" s="274"/>
      <c r="N5317" s="274"/>
      <c r="P5317" s="275"/>
    </row>
    <row r="5318" ht="15.75" customHeight="1">
      <c r="B5318" s="282"/>
      <c r="H5318" s="273"/>
      <c r="I5318" s="274"/>
      <c r="J5318" s="274"/>
      <c r="K5318" s="274"/>
      <c r="L5318" s="274"/>
      <c r="M5318" s="274"/>
      <c r="N5318" s="274"/>
      <c r="P5318" s="275"/>
    </row>
    <row r="5319" ht="15.75" customHeight="1">
      <c r="B5319" s="282"/>
      <c r="H5319" s="273"/>
      <c r="I5319" s="274"/>
      <c r="J5319" s="274"/>
      <c r="K5319" s="274"/>
      <c r="L5319" s="274"/>
      <c r="M5319" s="274"/>
      <c r="N5319" s="274"/>
      <c r="P5319" s="275"/>
    </row>
    <row r="5320" ht="15.75" customHeight="1">
      <c r="B5320" s="282"/>
      <c r="H5320" s="273"/>
      <c r="I5320" s="274"/>
      <c r="J5320" s="274"/>
      <c r="K5320" s="274"/>
      <c r="L5320" s="274"/>
      <c r="M5320" s="274"/>
      <c r="N5320" s="274"/>
      <c r="P5320" s="275"/>
    </row>
    <row r="5321" ht="15.75" customHeight="1">
      <c r="B5321" s="282"/>
      <c r="H5321" s="273"/>
      <c r="I5321" s="274"/>
      <c r="J5321" s="274"/>
      <c r="K5321" s="274"/>
      <c r="L5321" s="274"/>
      <c r="M5321" s="274"/>
      <c r="N5321" s="274"/>
      <c r="P5321" s="275"/>
    </row>
    <row r="5322" ht="15.75" customHeight="1">
      <c r="B5322" s="282"/>
      <c r="H5322" s="273"/>
      <c r="I5322" s="274"/>
      <c r="J5322" s="274"/>
      <c r="K5322" s="274"/>
      <c r="L5322" s="274"/>
      <c r="M5322" s="274"/>
      <c r="N5322" s="274"/>
      <c r="P5322" s="275"/>
    </row>
    <row r="5323" ht="15.75" customHeight="1">
      <c r="B5323" s="282"/>
      <c r="H5323" s="273"/>
      <c r="I5323" s="274"/>
      <c r="J5323" s="274"/>
      <c r="K5323" s="274"/>
      <c r="L5323" s="274"/>
      <c r="M5323" s="274"/>
      <c r="N5323" s="274"/>
      <c r="P5323" s="275"/>
    </row>
    <row r="5324" ht="15.75" customHeight="1">
      <c r="B5324" s="282"/>
      <c r="H5324" s="273"/>
      <c r="I5324" s="274"/>
      <c r="J5324" s="274"/>
      <c r="K5324" s="274"/>
      <c r="L5324" s="274"/>
      <c r="M5324" s="274"/>
      <c r="N5324" s="274"/>
      <c r="P5324" s="275"/>
    </row>
    <row r="5325" ht="15.75" customHeight="1">
      <c r="B5325" s="282"/>
      <c r="H5325" s="273"/>
      <c r="I5325" s="274"/>
      <c r="J5325" s="274"/>
      <c r="K5325" s="274"/>
      <c r="L5325" s="274"/>
      <c r="M5325" s="274"/>
      <c r="N5325" s="274"/>
      <c r="P5325" s="275"/>
    </row>
    <row r="5326" ht="15.75" customHeight="1">
      <c r="B5326" s="282"/>
      <c r="H5326" s="273"/>
      <c r="I5326" s="274"/>
      <c r="J5326" s="274"/>
      <c r="K5326" s="274"/>
      <c r="L5326" s="274"/>
      <c r="M5326" s="274"/>
      <c r="N5326" s="274"/>
      <c r="P5326" s="275"/>
    </row>
    <row r="5327" ht="15.75" customHeight="1">
      <c r="B5327" s="282"/>
      <c r="H5327" s="273"/>
      <c r="I5327" s="274"/>
      <c r="J5327" s="274"/>
      <c r="K5327" s="274"/>
      <c r="L5327" s="274"/>
      <c r="M5327" s="274"/>
      <c r="N5327" s="274"/>
      <c r="P5327" s="275"/>
    </row>
    <row r="5328" ht="15.75" customHeight="1">
      <c r="B5328" s="282"/>
      <c r="H5328" s="273"/>
      <c r="I5328" s="274"/>
      <c r="J5328" s="274"/>
      <c r="K5328" s="274"/>
      <c r="L5328" s="274"/>
      <c r="M5328" s="274"/>
      <c r="N5328" s="274"/>
      <c r="P5328" s="275"/>
    </row>
    <row r="5329" ht="15.75" customHeight="1">
      <c r="B5329" s="282"/>
      <c r="H5329" s="273"/>
      <c r="I5329" s="274"/>
      <c r="J5329" s="274"/>
      <c r="K5329" s="274"/>
      <c r="L5329" s="274"/>
      <c r="M5329" s="274"/>
      <c r="N5329" s="274"/>
      <c r="P5329" s="275"/>
    </row>
    <row r="5330" ht="15.75" customHeight="1">
      <c r="B5330" s="282"/>
      <c r="H5330" s="273"/>
      <c r="I5330" s="274"/>
      <c r="J5330" s="274"/>
      <c r="K5330" s="274"/>
      <c r="L5330" s="274"/>
      <c r="M5330" s="274"/>
      <c r="N5330" s="274"/>
      <c r="P5330" s="275"/>
    </row>
    <row r="5331" ht="15.75" customHeight="1">
      <c r="B5331" s="282"/>
      <c r="H5331" s="273"/>
      <c r="I5331" s="274"/>
      <c r="J5331" s="274"/>
      <c r="K5331" s="274"/>
      <c r="L5331" s="274"/>
      <c r="M5331" s="274"/>
      <c r="N5331" s="274"/>
      <c r="P5331" s="275"/>
    </row>
    <row r="5332" ht="15.75" customHeight="1">
      <c r="B5332" s="282"/>
      <c r="H5332" s="273"/>
      <c r="I5332" s="274"/>
      <c r="J5332" s="274"/>
      <c r="K5332" s="274"/>
      <c r="L5332" s="274"/>
      <c r="M5332" s="274"/>
      <c r="N5332" s="274"/>
      <c r="P5332" s="275"/>
    </row>
    <row r="5333" ht="15.75" customHeight="1">
      <c r="B5333" s="282"/>
      <c r="H5333" s="273"/>
      <c r="I5333" s="274"/>
      <c r="J5333" s="274"/>
      <c r="K5333" s="274"/>
      <c r="L5333" s="274"/>
      <c r="M5333" s="274"/>
      <c r="N5333" s="274"/>
      <c r="P5333" s="275"/>
    </row>
    <row r="5334" ht="15.75" customHeight="1">
      <c r="B5334" s="282"/>
      <c r="H5334" s="273"/>
      <c r="I5334" s="274"/>
      <c r="J5334" s="274"/>
      <c r="K5334" s="274"/>
      <c r="L5334" s="274"/>
      <c r="M5334" s="274"/>
      <c r="N5334" s="274"/>
      <c r="P5334" s="275"/>
    </row>
    <row r="5335" ht="15.75" customHeight="1">
      <c r="B5335" s="282"/>
      <c r="H5335" s="273"/>
      <c r="I5335" s="274"/>
      <c r="J5335" s="274"/>
      <c r="K5335" s="274"/>
      <c r="L5335" s="274"/>
      <c r="M5335" s="274"/>
      <c r="N5335" s="274"/>
      <c r="P5335" s="275"/>
    </row>
    <row r="5336" ht="15.75" customHeight="1">
      <c r="B5336" s="282"/>
      <c r="H5336" s="273"/>
      <c r="I5336" s="274"/>
      <c r="J5336" s="274"/>
      <c r="K5336" s="274"/>
      <c r="L5336" s="274"/>
      <c r="M5336" s="274"/>
      <c r="N5336" s="274"/>
      <c r="P5336" s="275"/>
    </row>
    <row r="5337" ht="15.75" customHeight="1">
      <c r="B5337" s="282"/>
      <c r="H5337" s="273"/>
      <c r="I5337" s="274"/>
      <c r="J5337" s="274"/>
      <c r="K5337" s="274"/>
      <c r="L5337" s="274"/>
      <c r="M5337" s="274"/>
      <c r="N5337" s="274"/>
      <c r="P5337" s="275"/>
    </row>
    <row r="5338" ht="15.75" customHeight="1">
      <c r="B5338" s="282"/>
      <c r="H5338" s="273"/>
      <c r="I5338" s="274"/>
      <c r="J5338" s="274"/>
      <c r="K5338" s="274"/>
      <c r="L5338" s="274"/>
      <c r="M5338" s="274"/>
      <c r="N5338" s="274"/>
      <c r="P5338" s="275"/>
    </row>
    <row r="5339" ht="15.75" customHeight="1">
      <c r="B5339" s="282"/>
      <c r="H5339" s="273"/>
      <c r="I5339" s="274"/>
      <c r="J5339" s="274"/>
      <c r="K5339" s="274"/>
      <c r="L5339" s="274"/>
      <c r="M5339" s="274"/>
      <c r="N5339" s="274"/>
      <c r="P5339" s="275"/>
    </row>
    <row r="5340" ht="15.75" customHeight="1">
      <c r="B5340" s="282"/>
      <c r="H5340" s="273"/>
      <c r="I5340" s="274"/>
      <c r="J5340" s="274"/>
      <c r="K5340" s="274"/>
      <c r="L5340" s="274"/>
      <c r="M5340" s="274"/>
      <c r="N5340" s="274"/>
      <c r="P5340" s="275"/>
    </row>
    <row r="5341" ht="15.75" customHeight="1">
      <c r="B5341" s="282"/>
      <c r="H5341" s="273"/>
      <c r="I5341" s="274"/>
      <c r="J5341" s="274"/>
      <c r="K5341" s="274"/>
      <c r="L5341" s="274"/>
      <c r="M5341" s="274"/>
      <c r="N5341" s="274"/>
      <c r="P5341" s="275"/>
    </row>
    <row r="5342" ht="15.75" customHeight="1">
      <c r="B5342" s="282"/>
      <c r="H5342" s="273"/>
      <c r="I5342" s="274"/>
      <c r="J5342" s="274"/>
      <c r="K5342" s="274"/>
      <c r="L5342" s="274"/>
      <c r="M5342" s="274"/>
      <c r="N5342" s="274"/>
      <c r="P5342" s="275"/>
    </row>
    <row r="5343" ht="15.75" customHeight="1">
      <c r="B5343" s="282"/>
      <c r="H5343" s="273"/>
      <c r="I5343" s="274"/>
      <c r="J5343" s="274"/>
      <c r="K5343" s="274"/>
      <c r="L5343" s="274"/>
      <c r="M5343" s="274"/>
      <c r="N5343" s="274"/>
      <c r="P5343" s="275"/>
    </row>
    <row r="5344" ht="15.75" customHeight="1">
      <c r="B5344" s="282"/>
      <c r="H5344" s="273"/>
      <c r="I5344" s="274"/>
      <c r="J5344" s="274"/>
      <c r="K5344" s="274"/>
      <c r="L5344" s="274"/>
      <c r="M5344" s="274"/>
      <c r="N5344" s="274"/>
      <c r="P5344" s="275"/>
    </row>
    <row r="5345" ht="15.75" customHeight="1">
      <c r="B5345" s="282"/>
      <c r="H5345" s="273"/>
      <c r="I5345" s="274"/>
      <c r="J5345" s="274"/>
      <c r="K5345" s="274"/>
      <c r="L5345" s="274"/>
      <c r="M5345" s="274"/>
      <c r="N5345" s="274"/>
      <c r="P5345" s="275"/>
    </row>
    <row r="5346" ht="15.75" customHeight="1">
      <c r="B5346" s="282"/>
      <c r="H5346" s="273"/>
      <c r="I5346" s="274"/>
      <c r="J5346" s="274"/>
      <c r="K5346" s="274"/>
      <c r="L5346" s="274"/>
      <c r="M5346" s="274"/>
      <c r="N5346" s="274"/>
      <c r="P5346" s="275"/>
    </row>
    <row r="5347" ht="15.75" customHeight="1">
      <c r="B5347" s="282"/>
      <c r="H5347" s="273"/>
      <c r="I5347" s="274"/>
      <c r="J5347" s="274"/>
      <c r="K5347" s="274"/>
      <c r="L5347" s="274"/>
      <c r="M5347" s="274"/>
      <c r="N5347" s="274"/>
      <c r="P5347" s="275"/>
    </row>
    <row r="5348" ht="15.75" customHeight="1">
      <c r="B5348" s="282"/>
      <c r="H5348" s="273"/>
      <c r="I5348" s="274"/>
      <c r="J5348" s="274"/>
      <c r="K5348" s="274"/>
      <c r="L5348" s="274"/>
      <c r="M5348" s="274"/>
      <c r="N5348" s="274"/>
      <c r="P5348" s="275"/>
    </row>
    <row r="5349" ht="15.75" customHeight="1">
      <c r="B5349" s="282"/>
      <c r="H5349" s="273"/>
      <c r="I5349" s="274"/>
      <c r="J5349" s="274"/>
      <c r="K5349" s="274"/>
      <c r="L5349" s="274"/>
      <c r="M5349" s="274"/>
      <c r="N5349" s="274"/>
      <c r="P5349" s="275"/>
    </row>
    <row r="5350" ht="15.75" customHeight="1">
      <c r="B5350" s="282"/>
      <c r="H5350" s="273"/>
      <c r="I5350" s="274"/>
      <c r="J5350" s="274"/>
      <c r="K5350" s="274"/>
      <c r="L5350" s="274"/>
      <c r="M5350" s="274"/>
      <c r="N5350" s="274"/>
      <c r="P5350" s="275"/>
    </row>
    <row r="5351" ht="15.75" customHeight="1">
      <c r="B5351" s="282"/>
      <c r="H5351" s="273"/>
      <c r="I5351" s="274"/>
      <c r="J5351" s="274"/>
      <c r="K5351" s="274"/>
      <c r="L5351" s="274"/>
      <c r="M5351" s="274"/>
      <c r="N5351" s="274"/>
      <c r="P5351" s="275"/>
    </row>
    <row r="5352" ht="15.75" customHeight="1">
      <c r="B5352" s="282"/>
      <c r="H5352" s="273"/>
      <c r="I5352" s="274"/>
      <c r="J5352" s="274"/>
      <c r="K5352" s="274"/>
      <c r="L5352" s="274"/>
      <c r="M5352" s="274"/>
      <c r="N5352" s="274"/>
      <c r="P5352" s="275"/>
    </row>
    <row r="5353" ht="15.75" customHeight="1">
      <c r="B5353" s="282"/>
      <c r="H5353" s="273"/>
      <c r="I5353" s="274"/>
      <c r="J5353" s="274"/>
      <c r="K5353" s="274"/>
      <c r="L5353" s="274"/>
      <c r="M5353" s="274"/>
      <c r="N5353" s="274"/>
      <c r="P5353" s="275"/>
    </row>
    <row r="5354" ht="15.75" customHeight="1">
      <c r="B5354" s="282"/>
      <c r="H5354" s="273"/>
      <c r="I5354" s="274"/>
      <c r="J5354" s="274"/>
      <c r="K5354" s="274"/>
      <c r="L5354" s="274"/>
      <c r="M5354" s="274"/>
      <c r="N5354" s="274"/>
      <c r="P5354" s="275"/>
    </row>
    <row r="5355" ht="15.75" customHeight="1">
      <c r="B5355" s="282"/>
      <c r="H5355" s="273"/>
      <c r="I5355" s="274"/>
      <c r="J5355" s="274"/>
      <c r="K5355" s="274"/>
      <c r="L5355" s="274"/>
      <c r="M5355" s="274"/>
      <c r="N5355" s="274"/>
      <c r="P5355" s="275"/>
    </row>
    <row r="5356" ht="15.75" customHeight="1">
      <c r="B5356" s="282"/>
      <c r="H5356" s="273"/>
      <c r="I5356" s="274"/>
      <c r="J5356" s="274"/>
      <c r="K5356" s="274"/>
      <c r="L5356" s="274"/>
      <c r="M5356" s="274"/>
      <c r="N5356" s="274"/>
      <c r="P5356" s="275"/>
    </row>
    <row r="5357" ht="15.75" customHeight="1">
      <c r="B5357" s="282"/>
      <c r="H5357" s="273"/>
      <c r="I5357" s="274"/>
      <c r="J5357" s="274"/>
      <c r="K5357" s="274"/>
      <c r="L5357" s="274"/>
      <c r="M5357" s="274"/>
      <c r="N5357" s="274"/>
      <c r="P5357" s="275"/>
    </row>
    <row r="5358" ht="15.75" customHeight="1">
      <c r="B5358" s="282"/>
      <c r="H5358" s="273"/>
      <c r="I5358" s="274"/>
      <c r="J5358" s="274"/>
      <c r="K5358" s="274"/>
      <c r="L5358" s="274"/>
      <c r="M5358" s="274"/>
      <c r="N5358" s="274"/>
      <c r="P5358" s="275"/>
    </row>
    <row r="5359" ht="15.75" customHeight="1">
      <c r="B5359" s="282"/>
      <c r="H5359" s="273"/>
      <c r="I5359" s="274"/>
      <c r="J5359" s="274"/>
      <c r="K5359" s="274"/>
      <c r="L5359" s="274"/>
      <c r="M5359" s="274"/>
      <c r="N5359" s="274"/>
      <c r="P5359" s="275"/>
    </row>
    <row r="5360" ht="15.75" customHeight="1">
      <c r="B5360" s="282"/>
      <c r="H5360" s="273"/>
      <c r="I5360" s="274"/>
      <c r="J5360" s="274"/>
      <c r="K5360" s="274"/>
      <c r="L5360" s="274"/>
      <c r="M5360" s="274"/>
      <c r="N5360" s="274"/>
      <c r="P5360" s="275"/>
    </row>
    <row r="5361" ht="15.75" customHeight="1">
      <c r="B5361" s="282"/>
      <c r="H5361" s="273"/>
      <c r="I5361" s="274"/>
      <c r="J5361" s="274"/>
      <c r="K5361" s="274"/>
      <c r="L5361" s="274"/>
      <c r="M5361" s="274"/>
      <c r="N5361" s="274"/>
      <c r="P5361" s="275"/>
    </row>
    <row r="5362" ht="15.75" customHeight="1">
      <c r="B5362" s="282"/>
      <c r="H5362" s="273"/>
      <c r="I5362" s="274"/>
      <c r="J5362" s="274"/>
      <c r="K5362" s="274"/>
      <c r="L5362" s="274"/>
      <c r="M5362" s="274"/>
      <c r="N5362" s="274"/>
      <c r="P5362" s="275"/>
    </row>
    <row r="5363" ht="15.75" customHeight="1">
      <c r="B5363" s="282"/>
      <c r="H5363" s="273"/>
      <c r="I5363" s="274"/>
      <c r="J5363" s="274"/>
      <c r="K5363" s="274"/>
      <c r="L5363" s="274"/>
      <c r="M5363" s="274"/>
      <c r="N5363" s="274"/>
      <c r="P5363" s="275"/>
    </row>
    <row r="5364" ht="15.75" customHeight="1">
      <c r="B5364" s="282"/>
      <c r="H5364" s="273"/>
      <c r="I5364" s="274"/>
      <c r="J5364" s="274"/>
      <c r="K5364" s="274"/>
      <c r="L5364" s="274"/>
      <c r="M5364" s="274"/>
      <c r="N5364" s="274"/>
      <c r="P5364" s="275"/>
    </row>
    <row r="5365" ht="15.75" customHeight="1">
      <c r="B5365" s="282"/>
      <c r="H5365" s="273"/>
      <c r="I5365" s="274"/>
      <c r="J5365" s="274"/>
      <c r="K5365" s="274"/>
      <c r="L5365" s="274"/>
      <c r="M5365" s="274"/>
      <c r="N5365" s="274"/>
      <c r="P5365" s="275"/>
    </row>
    <row r="5366" ht="15.75" customHeight="1">
      <c r="B5366" s="282"/>
      <c r="H5366" s="273"/>
      <c r="I5366" s="274"/>
      <c r="J5366" s="274"/>
      <c r="K5366" s="274"/>
      <c r="L5366" s="274"/>
      <c r="M5366" s="274"/>
      <c r="N5366" s="274"/>
      <c r="P5366" s="275"/>
    </row>
    <row r="5367" ht="15.75" customHeight="1">
      <c r="B5367" s="282"/>
      <c r="H5367" s="273"/>
      <c r="I5367" s="274"/>
      <c r="J5367" s="274"/>
      <c r="K5367" s="274"/>
      <c r="L5367" s="274"/>
      <c r="M5367" s="274"/>
      <c r="N5367" s="274"/>
      <c r="P5367" s="275"/>
    </row>
    <row r="5368" ht="15.75" customHeight="1">
      <c r="B5368" s="282"/>
      <c r="H5368" s="273"/>
      <c r="I5368" s="274"/>
      <c r="J5368" s="274"/>
      <c r="K5368" s="274"/>
      <c r="L5368" s="274"/>
      <c r="M5368" s="274"/>
      <c r="N5368" s="274"/>
      <c r="P5368" s="275"/>
    </row>
    <row r="5369" ht="15.75" customHeight="1">
      <c r="B5369" s="282"/>
      <c r="H5369" s="273"/>
      <c r="I5369" s="274"/>
      <c r="J5369" s="274"/>
      <c r="K5369" s="274"/>
      <c r="L5369" s="274"/>
      <c r="M5369" s="274"/>
      <c r="N5369" s="274"/>
      <c r="P5369" s="275"/>
    </row>
    <row r="5370" ht="15.75" customHeight="1">
      <c r="B5370" s="282"/>
      <c r="H5370" s="273"/>
      <c r="I5370" s="274"/>
      <c r="J5370" s="274"/>
      <c r="K5370" s="274"/>
      <c r="L5370" s="274"/>
      <c r="M5370" s="274"/>
      <c r="N5370" s="274"/>
      <c r="P5370" s="275"/>
    </row>
    <row r="5371" ht="15.75" customHeight="1">
      <c r="B5371" s="282"/>
      <c r="H5371" s="273"/>
      <c r="I5371" s="274"/>
      <c r="J5371" s="274"/>
      <c r="K5371" s="274"/>
      <c r="L5371" s="274"/>
      <c r="M5371" s="274"/>
      <c r="N5371" s="274"/>
      <c r="P5371" s="275"/>
    </row>
    <row r="5372" ht="15.75" customHeight="1">
      <c r="B5372" s="282"/>
      <c r="H5372" s="273"/>
      <c r="I5372" s="274"/>
      <c r="J5372" s="274"/>
      <c r="K5372" s="274"/>
      <c r="L5372" s="274"/>
      <c r="M5372" s="274"/>
      <c r="N5372" s="274"/>
      <c r="P5372" s="275"/>
    </row>
    <row r="5373" ht="15.75" customHeight="1">
      <c r="B5373" s="282"/>
      <c r="H5373" s="273"/>
      <c r="I5373" s="274"/>
      <c r="J5373" s="274"/>
      <c r="K5373" s="274"/>
      <c r="L5373" s="274"/>
      <c r="M5373" s="274"/>
      <c r="N5373" s="274"/>
      <c r="P5373" s="275"/>
    </row>
    <row r="5374" ht="15.75" customHeight="1">
      <c r="B5374" s="282"/>
      <c r="H5374" s="273"/>
      <c r="I5374" s="274"/>
      <c r="J5374" s="274"/>
      <c r="K5374" s="274"/>
      <c r="L5374" s="274"/>
      <c r="M5374" s="274"/>
      <c r="N5374" s="274"/>
      <c r="P5374" s="275"/>
    </row>
    <row r="5375" ht="15.75" customHeight="1">
      <c r="B5375" s="282"/>
      <c r="H5375" s="273"/>
      <c r="I5375" s="274"/>
      <c r="J5375" s="274"/>
      <c r="K5375" s="274"/>
      <c r="L5375" s="274"/>
      <c r="M5375" s="274"/>
      <c r="N5375" s="274"/>
      <c r="P5375" s="275"/>
    </row>
    <row r="5376" ht="15.75" customHeight="1">
      <c r="B5376" s="282"/>
      <c r="H5376" s="273"/>
      <c r="I5376" s="274"/>
      <c r="J5376" s="274"/>
      <c r="K5376" s="274"/>
      <c r="L5376" s="274"/>
      <c r="M5376" s="274"/>
      <c r="N5376" s="274"/>
      <c r="P5376" s="275"/>
    </row>
    <row r="5377" ht="15.75" customHeight="1">
      <c r="B5377" s="282"/>
      <c r="H5377" s="273"/>
      <c r="I5377" s="274"/>
      <c r="J5377" s="274"/>
      <c r="K5377" s="274"/>
      <c r="L5377" s="274"/>
      <c r="M5377" s="274"/>
      <c r="N5377" s="274"/>
      <c r="P5377" s="275"/>
    </row>
    <row r="5378" ht="15.75" customHeight="1">
      <c r="B5378" s="282"/>
      <c r="H5378" s="273"/>
      <c r="I5378" s="274"/>
      <c r="J5378" s="274"/>
      <c r="K5378" s="274"/>
      <c r="L5378" s="274"/>
      <c r="M5378" s="274"/>
      <c r="N5378" s="274"/>
      <c r="P5378" s="275"/>
    </row>
    <row r="5379" ht="15.75" customHeight="1">
      <c r="B5379" s="282"/>
      <c r="H5379" s="273"/>
      <c r="I5379" s="274"/>
      <c r="J5379" s="274"/>
      <c r="K5379" s="274"/>
      <c r="L5379" s="274"/>
      <c r="M5379" s="274"/>
      <c r="N5379" s="274"/>
      <c r="P5379" s="275"/>
    </row>
    <row r="5380" ht="15.75" customHeight="1">
      <c r="B5380" s="282"/>
      <c r="H5380" s="273"/>
      <c r="I5380" s="274"/>
      <c r="J5380" s="274"/>
      <c r="K5380" s="274"/>
      <c r="L5380" s="274"/>
      <c r="M5380" s="274"/>
      <c r="N5380" s="274"/>
      <c r="P5380" s="275"/>
    </row>
    <row r="5381" ht="15.75" customHeight="1">
      <c r="B5381" s="282"/>
      <c r="H5381" s="273"/>
      <c r="I5381" s="274"/>
      <c r="J5381" s="274"/>
      <c r="K5381" s="274"/>
      <c r="L5381" s="274"/>
      <c r="M5381" s="274"/>
      <c r="N5381" s="274"/>
      <c r="P5381" s="275"/>
    </row>
    <row r="5382" ht="15.75" customHeight="1">
      <c r="B5382" s="282"/>
      <c r="H5382" s="273"/>
      <c r="I5382" s="274"/>
      <c r="J5382" s="274"/>
      <c r="K5382" s="274"/>
      <c r="L5382" s="274"/>
      <c r="M5382" s="274"/>
      <c r="N5382" s="274"/>
      <c r="P5382" s="275"/>
    </row>
    <row r="5383" ht="15.75" customHeight="1">
      <c r="B5383" s="282"/>
      <c r="H5383" s="273"/>
      <c r="I5383" s="274"/>
      <c r="J5383" s="274"/>
      <c r="K5383" s="274"/>
      <c r="L5383" s="274"/>
      <c r="M5383" s="274"/>
      <c r="N5383" s="274"/>
      <c r="P5383" s="275"/>
    </row>
    <row r="5384" ht="15.75" customHeight="1">
      <c r="B5384" s="282"/>
      <c r="H5384" s="273"/>
      <c r="I5384" s="274"/>
      <c r="J5384" s="274"/>
      <c r="K5384" s="274"/>
      <c r="L5384" s="274"/>
      <c r="M5384" s="274"/>
      <c r="N5384" s="274"/>
      <c r="P5384" s="275"/>
    </row>
    <row r="5385" ht="15.75" customHeight="1">
      <c r="B5385" s="282"/>
      <c r="H5385" s="273"/>
      <c r="I5385" s="274"/>
      <c r="J5385" s="274"/>
      <c r="K5385" s="274"/>
      <c r="L5385" s="274"/>
      <c r="M5385" s="274"/>
      <c r="N5385" s="274"/>
      <c r="P5385" s="275"/>
    </row>
    <row r="5386" ht="15.75" customHeight="1">
      <c r="B5386" s="282"/>
      <c r="H5386" s="273"/>
      <c r="I5386" s="274"/>
      <c r="J5386" s="274"/>
      <c r="K5386" s="274"/>
      <c r="L5386" s="274"/>
      <c r="M5386" s="274"/>
      <c r="N5386" s="274"/>
      <c r="P5386" s="275"/>
    </row>
    <row r="5387" ht="15.75" customHeight="1">
      <c r="B5387" s="282"/>
      <c r="H5387" s="273"/>
      <c r="I5387" s="274"/>
      <c r="J5387" s="274"/>
      <c r="K5387" s="274"/>
      <c r="L5387" s="274"/>
      <c r="M5387" s="274"/>
      <c r="N5387" s="274"/>
      <c r="P5387" s="275"/>
    </row>
    <row r="5388" ht="15.75" customHeight="1">
      <c r="B5388" s="282"/>
      <c r="H5388" s="273"/>
      <c r="I5388" s="274"/>
      <c r="J5388" s="274"/>
      <c r="K5388" s="274"/>
      <c r="L5388" s="274"/>
      <c r="M5388" s="274"/>
      <c r="N5388" s="274"/>
      <c r="P5388" s="275"/>
    </row>
    <row r="5389" ht="15.75" customHeight="1">
      <c r="B5389" s="282"/>
      <c r="H5389" s="273"/>
      <c r="I5389" s="274"/>
      <c r="J5389" s="274"/>
      <c r="K5389" s="274"/>
      <c r="L5389" s="274"/>
      <c r="M5389" s="274"/>
      <c r="N5389" s="274"/>
      <c r="P5389" s="275"/>
    </row>
    <row r="5390" ht="15.75" customHeight="1">
      <c r="B5390" s="282"/>
      <c r="H5390" s="273"/>
      <c r="I5390" s="274"/>
      <c r="J5390" s="274"/>
      <c r="K5390" s="274"/>
      <c r="L5390" s="274"/>
      <c r="M5390" s="274"/>
      <c r="N5390" s="274"/>
      <c r="P5390" s="275"/>
    </row>
    <row r="5391" ht="15.75" customHeight="1">
      <c r="B5391" s="282"/>
      <c r="H5391" s="273"/>
      <c r="I5391" s="274"/>
      <c r="J5391" s="274"/>
      <c r="K5391" s="274"/>
      <c r="L5391" s="274"/>
      <c r="M5391" s="274"/>
      <c r="N5391" s="274"/>
      <c r="P5391" s="275"/>
    </row>
    <row r="5392" ht="15.75" customHeight="1">
      <c r="B5392" s="282"/>
      <c r="H5392" s="273"/>
      <c r="I5392" s="274"/>
      <c r="J5392" s="274"/>
      <c r="K5392" s="274"/>
      <c r="L5392" s="274"/>
      <c r="M5392" s="274"/>
      <c r="N5392" s="274"/>
      <c r="P5392" s="275"/>
    </row>
    <row r="5393" ht="15.75" customHeight="1">
      <c r="B5393" s="282"/>
      <c r="H5393" s="273"/>
      <c r="I5393" s="274"/>
      <c r="J5393" s="274"/>
      <c r="K5393" s="274"/>
      <c r="L5393" s="274"/>
      <c r="M5393" s="274"/>
      <c r="N5393" s="274"/>
      <c r="P5393" s="275"/>
    </row>
    <row r="5394" ht="15.75" customHeight="1">
      <c r="B5394" s="282"/>
      <c r="H5394" s="273"/>
      <c r="I5394" s="274"/>
      <c r="J5394" s="274"/>
      <c r="K5394" s="274"/>
      <c r="L5394" s="274"/>
      <c r="M5394" s="274"/>
      <c r="N5394" s="274"/>
      <c r="P5394" s="275"/>
    </row>
    <row r="5395" ht="15.75" customHeight="1">
      <c r="B5395" s="282"/>
      <c r="H5395" s="273"/>
      <c r="I5395" s="274"/>
      <c r="J5395" s="274"/>
      <c r="K5395" s="274"/>
      <c r="L5395" s="274"/>
      <c r="M5395" s="274"/>
      <c r="N5395" s="274"/>
      <c r="P5395" s="275"/>
    </row>
    <row r="5396" ht="15.75" customHeight="1">
      <c r="B5396" s="282"/>
      <c r="H5396" s="273"/>
      <c r="I5396" s="274"/>
      <c r="J5396" s="274"/>
      <c r="K5396" s="274"/>
      <c r="L5396" s="274"/>
      <c r="M5396" s="274"/>
      <c r="N5396" s="274"/>
      <c r="P5396" s="275"/>
    </row>
    <row r="5397" ht="15.75" customHeight="1">
      <c r="B5397" s="282"/>
      <c r="H5397" s="273"/>
      <c r="I5397" s="274"/>
      <c r="J5397" s="274"/>
      <c r="K5397" s="274"/>
      <c r="L5397" s="274"/>
      <c r="M5397" s="274"/>
      <c r="N5397" s="274"/>
      <c r="P5397" s="275"/>
    </row>
    <row r="5398" ht="15.75" customHeight="1">
      <c r="B5398" s="282"/>
      <c r="H5398" s="273"/>
      <c r="I5398" s="274"/>
      <c r="J5398" s="274"/>
      <c r="K5398" s="274"/>
      <c r="L5398" s="274"/>
      <c r="M5398" s="274"/>
      <c r="N5398" s="274"/>
      <c r="P5398" s="275"/>
    </row>
    <row r="5399" ht="15.75" customHeight="1">
      <c r="B5399" s="282"/>
      <c r="H5399" s="273"/>
      <c r="I5399" s="274"/>
      <c r="J5399" s="274"/>
      <c r="K5399" s="274"/>
      <c r="L5399" s="274"/>
      <c r="M5399" s="274"/>
      <c r="N5399" s="274"/>
      <c r="P5399" s="275"/>
    </row>
    <row r="5400" ht="15.75" customHeight="1">
      <c r="B5400" s="282"/>
      <c r="H5400" s="273"/>
      <c r="I5400" s="274"/>
      <c r="J5400" s="274"/>
      <c r="K5400" s="274"/>
      <c r="L5400" s="274"/>
      <c r="M5400" s="274"/>
      <c r="N5400" s="274"/>
      <c r="P5400" s="275"/>
    </row>
    <row r="5401" ht="15.75" customHeight="1">
      <c r="B5401" s="282"/>
      <c r="H5401" s="273"/>
      <c r="I5401" s="274"/>
      <c r="J5401" s="274"/>
      <c r="K5401" s="274"/>
      <c r="L5401" s="274"/>
      <c r="M5401" s="274"/>
      <c r="N5401" s="274"/>
      <c r="P5401" s="275"/>
    </row>
    <row r="5402" ht="15.75" customHeight="1">
      <c r="B5402" s="282"/>
      <c r="H5402" s="273"/>
      <c r="I5402" s="274"/>
      <c r="J5402" s="274"/>
      <c r="K5402" s="274"/>
      <c r="L5402" s="274"/>
      <c r="M5402" s="274"/>
      <c r="N5402" s="274"/>
      <c r="P5402" s="275"/>
    </row>
    <row r="5403" ht="15.75" customHeight="1">
      <c r="B5403" s="282"/>
      <c r="H5403" s="273"/>
      <c r="I5403" s="274"/>
      <c r="J5403" s="274"/>
      <c r="K5403" s="274"/>
      <c r="L5403" s="274"/>
      <c r="M5403" s="274"/>
      <c r="N5403" s="274"/>
      <c r="P5403" s="275"/>
    </row>
    <row r="5404" ht="15.75" customHeight="1">
      <c r="B5404" s="282"/>
      <c r="H5404" s="273"/>
      <c r="I5404" s="274"/>
      <c r="J5404" s="274"/>
      <c r="K5404" s="274"/>
      <c r="L5404" s="274"/>
      <c r="M5404" s="274"/>
      <c r="N5404" s="274"/>
      <c r="P5404" s="275"/>
    </row>
    <row r="5405" ht="15.75" customHeight="1">
      <c r="B5405" s="282"/>
      <c r="H5405" s="273"/>
      <c r="I5405" s="274"/>
      <c r="J5405" s="274"/>
      <c r="K5405" s="274"/>
      <c r="L5405" s="274"/>
      <c r="M5405" s="274"/>
      <c r="N5405" s="274"/>
      <c r="P5405" s="275"/>
    </row>
    <row r="5406" ht="15.75" customHeight="1">
      <c r="B5406" s="282"/>
      <c r="H5406" s="273"/>
      <c r="I5406" s="274"/>
      <c r="J5406" s="274"/>
      <c r="K5406" s="274"/>
      <c r="L5406" s="274"/>
      <c r="M5406" s="274"/>
      <c r="N5406" s="274"/>
      <c r="P5406" s="275"/>
    </row>
    <row r="5407" ht="15.75" customHeight="1">
      <c r="B5407" s="282"/>
      <c r="H5407" s="273"/>
      <c r="I5407" s="274"/>
      <c r="J5407" s="274"/>
      <c r="K5407" s="274"/>
      <c r="L5407" s="274"/>
      <c r="M5407" s="274"/>
      <c r="N5407" s="274"/>
      <c r="P5407" s="275"/>
    </row>
    <row r="5408" ht="15.75" customHeight="1">
      <c r="B5408" s="282"/>
      <c r="H5408" s="273"/>
      <c r="I5408" s="274"/>
      <c r="J5408" s="274"/>
      <c r="K5408" s="274"/>
      <c r="L5408" s="274"/>
      <c r="M5408" s="274"/>
      <c r="N5408" s="274"/>
      <c r="P5408" s="275"/>
    </row>
    <row r="5409" ht="15.75" customHeight="1">
      <c r="B5409" s="282"/>
      <c r="H5409" s="273"/>
      <c r="I5409" s="274"/>
      <c r="J5409" s="274"/>
      <c r="K5409" s="274"/>
      <c r="L5409" s="274"/>
      <c r="M5409" s="274"/>
      <c r="N5409" s="274"/>
      <c r="P5409" s="275"/>
    </row>
    <row r="5410" ht="15.75" customHeight="1">
      <c r="B5410" s="282"/>
      <c r="H5410" s="273"/>
      <c r="I5410" s="274"/>
      <c r="J5410" s="274"/>
      <c r="K5410" s="274"/>
      <c r="L5410" s="274"/>
      <c r="M5410" s="274"/>
      <c r="N5410" s="274"/>
      <c r="P5410" s="275"/>
    </row>
    <row r="5411" ht="15.75" customHeight="1">
      <c r="B5411" s="282"/>
      <c r="H5411" s="273"/>
      <c r="I5411" s="274"/>
      <c r="J5411" s="274"/>
      <c r="K5411" s="274"/>
      <c r="L5411" s="274"/>
      <c r="M5411" s="274"/>
      <c r="N5411" s="274"/>
      <c r="P5411" s="275"/>
    </row>
    <row r="5412" ht="15.75" customHeight="1">
      <c r="B5412" s="282"/>
      <c r="H5412" s="273"/>
      <c r="I5412" s="274"/>
      <c r="J5412" s="274"/>
      <c r="K5412" s="274"/>
      <c r="L5412" s="274"/>
      <c r="M5412" s="274"/>
      <c r="N5412" s="274"/>
      <c r="P5412" s="275"/>
    </row>
    <row r="5413" ht="15.75" customHeight="1">
      <c r="B5413" s="282"/>
      <c r="H5413" s="273"/>
      <c r="I5413" s="274"/>
      <c r="J5413" s="274"/>
      <c r="K5413" s="274"/>
      <c r="L5413" s="274"/>
      <c r="M5413" s="274"/>
      <c r="N5413" s="274"/>
      <c r="P5413" s="275"/>
    </row>
    <row r="5414" ht="15.75" customHeight="1">
      <c r="B5414" s="282"/>
      <c r="H5414" s="273"/>
      <c r="I5414" s="274"/>
      <c r="J5414" s="274"/>
      <c r="K5414" s="274"/>
      <c r="L5414" s="274"/>
      <c r="M5414" s="274"/>
      <c r="N5414" s="274"/>
      <c r="P5414" s="275"/>
    </row>
    <row r="5415" ht="15.75" customHeight="1">
      <c r="B5415" s="282"/>
      <c r="H5415" s="273"/>
      <c r="I5415" s="274"/>
      <c r="J5415" s="274"/>
      <c r="K5415" s="274"/>
      <c r="L5415" s="274"/>
      <c r="M5415" s="274"/>
      <c r="N5415" s="274"/>
      <c r="P5415" s="275"/>
    </row>
    <row r="5416" ht="15.75" customHeight="1">
      <c r="B5416" s="282"/>
      <c r="H5416" s="273"/>
      <c r="I5416" s="274"/>
      <c r="J5416" s="274"/>
      <c r="K5416" s="274"/>
      <c r="L5416" s="274"/>
      <c r="M5416" s="274"/>
      <c r="N5416" s="274"/>
      <c r="P5416" s="275"/>
    </row>
    <row r="5417" ht="15.75" customHeight="1">
      <c r="B5417" s="282"/>
      <c r="H5417" s="273"/>
      <c r="I5417" s="274"/>
      <c r="J5417" s="274"/>
      <c r="K5417" s="274"/>
      <c r="L5417" s="274"/>
      <c r="M5417" s="274"/>
      <c r="N5417" s="274"/>
      <c r="P5417" s="275"/>
    </row>
    <row r="5418" ht="15.75" customHeight="1">
      <c r="B5418" s="282"/>
      <c r="H5418" s="273"/>
      <c r="I5418" s="274"/>
      <c r="J5418" s="274"/>
      <c r="K5418" s="274"/>
      <c r="L5418" s="274"/>
      <c r="M5418" s="274"/>
      <c r="N5418" s="274"/>
      <c r="P5418" s="275"/>
    </row>
    <row r="5419" ht="15.75" customHeight="1">
      <c r="B5419" s="282"/>
      <c r="H5419" s="273"/>
      <c r="I5419" s="274"/>
      <c r="J5419" s="274"/>
      <c r="K5419" s="274"/>
      <c r="L5419" s="274"/>
      <c r="M5419" s="274"/>
      <c r="N5419" s="274"/>
      <c r="P5419" s="275"/>
    </row>
    <row r="5420" ht="15.75" customHeight="1">
      <c r="B5420" s="282"/>
      <c r="H5420" s="273"/>
      <c r="I5420" s="274"/>
      <c r="J5420" s="274"/>
      <c r="K5420" s="274"/>
      <c r="L5420" s="274"/>
      <c r="M5420" s="274"/>
      <c r="N5420" s="274"/>
      <c r="P5420" s="275"/>
    </row>
    <row r="5421" ht="15.75" customHeight="1">
      <c r="B5421" s="282"/>
      <c r="H5421" s="273"/>
      <c r="I5421" s="274"/>
      <c r="J5421" s="274"/>
      <c r="K5421" s="274"/>
      <c r="L5421" s="274"/>
      <c r="M5421" s="274"/>
      <c r="N5421" s="274"/>
      <c r="P5421" s="275"/>
    </row>
    <row r="5422" ht="15.75" customHeight="1">
      <c r="B5422" s="282"/>
      <c r="H5422" s="273"/>
      <c r="I5422" s="274"/>
      <c r="J5422" s="274"/>
      <c r="K5422" s="274"/>
      <c r="L5422" s="274"/>
      <c r="M5422" s="274"/>
      <c r="N5422" s="274"/>
      <c r="P5422" s="275"/>
    </row>
    <row r="5423" ht="15.75" customHeight="1">
      <c r="B5423" s="282"/>
      <c r="H5423" s="273"/>
      <c r="I5423" s="274"/>
      <c r="J5423" s="274"/>
      <c r="K5423" s="274"/>
      <c r="L5423" s="274"/>
      <c r="M5423" s="274"/>
      <c r="N5423" s="274"/>
      <c r="P5423" s="275"/>
    </row>
    <row r="5424" ht="15.75" customHeight="1">
      <c r="B5424" s="282"/>
      <c r="H5424" s="273"/>
      <c r="I5424" s="274"/>
      <c r="J5424" s="274"/>
      <c r="K5424" s="274"/>
      <c r="L5424" s="274"/>
      <c r="M5424" s="274"/>
      <c r="N5424" s="274"/>
      <c r="P5424" s="275"/>
    </row>
    <row r="5425" ht="15.75" customHeight="1">
      <c r="B5425" s="282"/>
      <c r="H5425" s="273"/>
      <c r="I5425" s="274"/>
      <c r="J5425" s="274"/>
      <c r="K5425" s="274"/>
      <c r="L5425" s="274"/>
      <c r="M5425" s="274"/>
      <c r="N5425" s="274"/>
      <c r="P5425" s="275"/>
    </row>
    <row r="5426" ht="15.75" customHeight="1">
      <c r="B5426" s="282"/>
      <c r="H5426" s="273"/>
      <c r="I5426" s="274"/>
      <c r="J5426" s="274"/>
      <c r="K5426" s="274"/>
      <c r="L5426" s="274"/>
      <c r="M5426" s="274"/>
      <c r="N5426" s="274"/>
      <c r="P5426" s="275"/>
    </row>
    <row r="5427" ht="15.75" customHeight="1">
      <c r="B5427" s="282"/>
      <c r="H5427" s="273"/>
      <c r="I5427" s="274"/>
      <c r="J5427" s="274"/>
      <c r="K5427" s="274"/>
      <c r="L5427" s="274"/>
      <c r="M5427" s="274"/>
      <c r="N5427" s="274"/>
      <c r="P5427" s="275"/>
    </row>
    <row r="5428" ht="15.75" customHeight="1">
      <c r="B5428" s="282"/>
      <c r="H5428" s="273"/>
      <c r="I5428" s="274"/>
      <c r="J5428" s="274"/>
      <c r="K5428" s="274"/>
      <c r="L5428" s="274"/>
      <c r="M5428" s="274"/>
      <c r="N5428" s="274"/>
      <c r="P5428" s="275"/>
    </row>
    <row r="5429" ht="15.75" customHeight="1">
      <c r="B5429" s="282"/>
      <c r="H5429" s="273"/>
      <c r="I5429" s="274"/>
      <c r="J5429" s="274"/>
      <c r="K5429" s="274"/>
      <c r="L5429" s="274"/>
      <c r="M5429" s="274"/>
      <c r="N5429" s="274"/>
      <c r="P5429" s="275"/>
    </row>
    <row r="5430" ht="15.75" customHeight="1">
      <c r="B5430" s="282"/>
      <c r="H5430" s="273"/>
      <c r="I5430" s="274"/>
      <c r="J5430" s="274"/>
      <c r="K5430" s="274"/>
      <c r="L5430" s="274"/>
      <c r="M5430" s="274"/>
      <c r="N5430" s="274"/>
      <c r="P5430" s="275"/>
    </row>
    <row r="5431" ht="15.75" customHeight="1">
      <c r="B5431" s="282"/>
      <c r="H5431" s="273"/>
      <c r="I5431" s="274"/>
      <c r="J5431" s="274"/>
      <c r="K5431" s="274"/>
      <c r="L5431" s="274"/>
      <c r="M5431" s="274"/>
      <c r="N5431" s="274"/>
      <c r="P5431" s="275"/>
    </row>
    <row r="5432" ht="15.75" customHeight="1">
      <c r="B5432" s="282"/>
      <c r="H5432" s="273"/>
      <c r="I5432" s="274"/>
      <c r="J5432" s="274"/>
      <c r="K5432" s="274"/>
      <c r="L5432" s="274"/>
      <c r="M5432" s="274"/>
      <c r="N5432" s="274"/>
      <c r="P5432" s="275"/>
    </row>
    <row r="5433" ht="15.75" customHeight="1">
      <c r="B5433" s="282"/>
      <c r="H5433" s="273"/>
      <c r="I5433" s="274"/>
      <c r="J5433" s="274"/>
      <c r="K5433" s="274"/>
      <c r="L5433" s="274"/>
      <c r="M5433" s="274"/>
      <c r="N5433" s="274"/>
      <c r="P5433" s="275"/>
    </row>
    <row r="5434" ht="15.75" customHeight="1">
      <c r="B5434" s="282"/>
      <c r="H5434" s="273"/>
      <c r="I5434" s="274"/>
      <c r="J5434" s="274"/>
      <c r="K5434" s="274"/>
      <c r="L5434" s="274"/>
      <c r="M5434" s="274"/>
      <c r="N5434" s="274"/>
      <c r="P5434" s="275"/>
    </row>
    <row r="5435" ht="15.75" customHeight="1">
      <c r="B5435" s="282"/>
      <c r="H5435" s="273"/>
      <c r="I5435" s="274"/>
      <c r="J5435" s="274"/>
      <c r="K5435" s="274"/>
      <c r="L5435" s="274"/>
      <c r="M5435" s="274"/>
      <c r="N5435" s="274"/>
      <c r="P5435" s="275"/>
    </row>
    <row r="5436" ht="15.75" customHeight="1">
      <c r="B5436" s="282"/>
      <c r="H5436" s="273"/>
      <c r="I5436" s="274"/>
      <c r="J5436" s="274"/>
      <c r="K5436" s="274"/>
      <c r="L5436" s="274"/>
      <c r="M5436" s="274"/>
      <c r="N5436" s="274"/>
      <c r="P5436" s="275"/>
    </row>
    <row r="5437" ht="15.75" customHeight="1">
      <c r="B5437" s="282"/>
      <c r="H5437" s="273"/>
      <c r="I5437" s="274"/>
      <c r="J5437" s="274"/>
      <c r="K5437" s="274"/>
      <c r="L5437" s="274"/>
      <c r="M5437" s="274"/>
      <c r="N5437" s="274"/>
      <c r="P5437" s="275"/>
    </row>
    <row r="5438" ht="15.75" customHeight="1">
      <c r="B5438" s="282"/>
      <c r="H5438" s="273"/>
      <c r="I5438" s="274"/>
      <c r="J5438" s="274"/>
      <c r="K5438" s="274"/>
      <c r="L5438" s="274"/>
      <c r="M5438" s="274"/>
      <c r="N5438" s="274"/>
      <c r="P5438" s="275"/>
    </row>
    <row r="5439" ht="15.75" customHeight="1">
      <c r="B5439" s="282"/>
      <c r="H5439" s="273"/>
      <c r="I5439" s="274"/>
      <c r="J5439" s="274"/>
      <c r="K5439" s="274"/>
      <c r="L5439" s="274"/>
      <c r="M5439" s="274"/>
      <c r="N5439" s="274"/>
      <c r="P5439" s="275"/>
    </row>
    <row r="5440" ht="15.75" customHeight="1">
      <c r="B5440" s="282"/>
      <c r="H5440" s="273"/>
      <c r="I5440" s="274"/>
      <c r="J5440" s="274"/>
      <c r="K5440" s="274"/>
      <c r="L5440" s="274"/>
      <c r="M5440" s="274"/>
      <c r="N5440" s="274"/>
      <c r="P5440" s="275"/>
    </row>
    <row r="5441" ht="15.75" customHeight="1">
      <c r="B5441" s="282"/>
      <c r="H5441" s="273"/>
      <c r="I5441" s="274"/>
      <c r="J5441" s="274"/>
      <c r="K5441" s="274"/>
      <c r="L5441" s="274"/>
      <c r="M5441" s="274"/>
      <c r="N5441" s="274"/>
      <c r="P5441" s="275"/>
    </row>
    <row r="5442" ht="15.75" customHeight="1">
      <c r="B5442" s="282"/>
      <c r="H5442" s="273"/>
      <c r="I5442" s="274"/>
      <c r="J5442" s="274"/>
      <c r="K5442" s="274"/>
      <c r="L5442" s="274"/>
      <c r="M5442" s="274"/>
      <c r="N5442" s="274"/>
      <c r="P5442" s="275"/>
    </row>
    <row r="5443" ht="15.75" customHeight="1">
      <c r="B5443" s="282"/>
      <c r="H5443" s="273"/>
      <c r="I5443" s="274"/>
      <c r="J5443" s="274"/>
      <c r="K5443" s="274"/>
      <c r="L5443" s="274"/>
      <c r="M5443" s="274"/>
      <c r="N5443" s="274"/>
      <c r="P5443" s="275"/>
    </row>
    <row r="5444" ht="15.75" customHeight="1">
      <c r="B5444" s="282"/>
      <c r="H5444" s="273"/>
      <c r="I5444" s="274"/>
      <c r="J5444" s="274"/>
      <c r="K5444" s="274"/>
      <c r="L5444" s="274"/>
      <c r="M5444" s="274"/>
      <c r="N5444" s="274"/>
      <c r="P5444" s="275"/>
    </row>
    <row r="5445" ht="15.75" customHeight="1">
      <c r="B5445" s="282"/>
      <c r="H5445" s="273"/>
      <c r="I5445" s="274"/>
      <c r="J5445" s="274"/>
      <c r="K5445" s="274"/>
      <c r="L5445" s="274"/>
      <c r="M5445" s="274"/>
      <c r="N5445" s="274"/>
      <c r="P5445" s="275"/>
    </row>
    <row r="5446" ht="15.75" customHeight="1">
      <c r="B5446" s="282"/>
      <c r="H5446" s="273"/>
      <c r="I5446" s="274"/>
      <c r="J5446" s="274"/>
      <c r="K5446" s="274"/>
      <c r="L5446" s="274"/>
      <c r="M5446" s="274"/>
      <c r="N5446" s="274"/>
      <c r="P5446" s="275"/>
    </row>
    <row r="5447" ht="15.75" customHeight="1">
      <c r="B5447" s="282"/>
      <c r="H5447" s="273"/>
      <c r="I5447" s="274"/>
      <c r="J5447" s="274"/>
      <c r="K5447" s="274"/>
      <c r="L5447" s="274"/>
      <c r="M5447" s="274"/>
      <c r="N5447" s="274"/>
      <c r="P5447" s="275"/>
    </row>
    <row r="5448" ht="15.75" customHeight="1">
      <c r="B5448" s="282"/>
      <c r="H5448" s="273"/>
      <c r="I5448" s="274"/>
      <c r="J5448" s="274"/>
      <c r="K5448" s="274"/>
      <c r="L5448" s="274"/>
      <c r="M5448" s="274"/>
      <c r="N5448" s="274"/>
      <c r="P5448" s="275"/>
    </row>
    <row r="5449" ht="15.75" customHeight="1">
      <c r="B5449" s="282"/>
      <c r="H5449" s="273"/>
      <c r="I5449" s="274"/>
      <c r="J5449" s="274"/>
      <c r="K5449" s="274"/>
      <c r="L5449" s="274"/>
      <c r="M5449" s="274"/>
      <c r="N5449" s="274"/>
      <c r="P5449" s="275"/>
    </row>
    <row r="5450" ht="15.75" customHeight="1">
      <c r="B5450" s="282"/>
      <c r="H5450" s="273"/>
      <c r="I5450" s="274"/>
      <c r="J5450" s="274"/>
      <c r="K5450" s="274"/>
      <c r="L5450" s="274"/>
      <c r="M5450" s="274"/>
      <c r="N5450" s="274"/>
      <c r="P5450" s="275"/>
    </row>
    <row r="5451" ht="15.75" customHeight="1">
      <c r="B5451" s="282"/>
      <c r="H5451" s="273"/>
      <c r="I5451" s="274"/>
      <c r="J5451" s="274"/>
      <c r="K5451" s="274"/>
      <c r="L5451" s="274"/>
      <c r="M5451" s="274"/>
      <c r="N5451" s="274"/>
      <c r="P5451" s="275"/>
    </row>
    <row r="5452" ht="15.75" customHeight="1">
      <c r="B5452" s="282"/>
      <c r="H5452" s="273"/>
      <c r="I5452" s="274"/>
      <c r="J5452" s="274"/>
      <c r="K5452" s="274"/>
      <c r="L5452" s="274"/>
      <c r="M5452" s="274"/>
      <c r="N5452" s="274"/>
      <c r="P5452" s="275"/>
    </row>
    <row r="5453" ht="15.75" customHeight="1">
      <c r="B5453" s="282"/>
      <c r="H5453" s="273"/>
      <c r="I5453" s="274"/>
      <c r="J5453" s="274"/>
      <c r="K5453" s="274"/>
      <c r="L5453" s="274"/>
      <c r="M5453" s="274"/>
      <c r="N5453" s="274"/>
      <c r="P5453" s="275"/>
    </row>
    <row r="5454" ht="15.75" customHeight="1">
      <c r="B5454" s="282"/>
      <c r="H5454" s="273"/>
      <c r="I5454" s="274"/>
      <c r="J5454" s="274"/>
      <c r="K5454" s="274"/>
      <c r="L5454" s="274"/>
      <c r="M5454" s="274"/>
      <c r="N5454" s="274"/>
      <c r="P5454" s="275"/>
    </row>
    <row r="5455" ht="15.75" customHeight="1">
      <c r="B5455" s="282"/>
      <c r="H5455" s="273"/>
      <c r="I5455" s="274"/>
      <c r="J5455" s="274"/>
      <c r="K5455" s="274"/>
      <c r="L5455" s="274"/>
      <c r="M5455" s="274"/>
      <c r="N5455" s="274"/>
      <c r="P5455" s="275"/>
    </row>
    <row r="5456" ht="15.75" customHeight="1">
      <c r="B5456" s="282"/>
      <c r="H5456" s="273"/>
      <c r="I5456" s="274"/>
      <c r="J5456" s="274"/>
      <c r="K5456" s="274"/>
      <c r="L5456" s="274"/>
      <c r="M5456" s="274"/>
      <c r="N5456" s="274"/>
      <c r="P5456" s="275"/>
    </row>
    <row r="5457" ht="15.75" customHeight="1">
      <c r="B5457" s="282"/>
      <c r="H5457" s="273"/>
      <c r="I5457" s="274"/>
      <c r="J5457" s="274"/>
      <c r="K5457" s="274"/>
      <c r="L5457" s="274"/>
      <c r="M5457" s="274"/>
      <c r="N5457" s="274"/>
      <c r="P5457" s="275"/>
    </row>
    <row r="5458" ht="15.75" customHeight="1">
      <c r="B5458" s="282"/>
      <c r="H5458" s="273"/>
      <c r="I5458" s="274"/>
      <c r="J5458" s="274"/>
      <c r="K5458" s="274"/>
      <c r="L5458" s="274"/>
      <c r="M5458" s="274"/>
      <c r="N5458" s="274"/>
      <c r="P5458" s="275"/>
    </row>
    <row r="5459" ht="15.75" customHeight="1">
      <c r="B5459" s="282"/>
      <c r="H5459" s="273"/>
      <c r="I5459" s="274"/>
      <c r="J5459" s="274"/>
      <c r="K5459" s="274"/>
      <c r="L5459" s="274"/>
      <c r="M5459" s="274"/>
      <c r="N5459" s="274"/>
      <c r="P5459" s="275"/>
    </row>
    <row r="5460" ht="15.75" customHeight="1">
      <c r="B5460" s="282"/>
      <c r="H5460" s="273"/>
      <c r="I5460" s="274"/>
      <c r="J5460" s="274"/>
      <c r="K5460" s="274"/>
      <c r="L5460" s="274"/>
      <c r="M5460" s="274"/>
      <c r="N5460" s="274"/>
      <c r="P5460" s="275"/>
    </row>
    <row r="5461" ht="15.75" customHeight="1">
      <c r="B5461" s="282"/>
      <c r="H5461" s="273"/>
      <c r="I5461" s="274"/>
      <c r="J5461" s="274"/>
      <c r="K5461" s="274"/>
      <c r="L5461" s="274"/>
      <c r="M5461" s="274"/>
      <c r="N5461" s="274"/>
      <c r="P5461" s="275"/>
    </row>
    <row r="5462" ht="15.75" customHeight="1">
      <c r="B5462" s="282"/>
      <c r="H5462" s="273"/>
      <c r="I5462" s="274"/>
      <c r="J5462" s="274"/>
      <c r="K5462" s="274"/>
      <c r="L5462" s="274"/>
      <c r="M5462" s="274"/>
      <c r="N5462" s="274"/>
      <c r="P5462" s="275"/>
    </row>
    <row r="5463" ht="15.75" customHeight="1">
      <c r="B5463" s="282"/>
      <c r="H5463" s="273"/>
      <c r="I5463" s="274"/>
      <c r="J5463" s="274"/>
      <c r="K5463" s="274"/>
      <c r="L5463" s="274"/>
      <c r="M5463" s="274"/>
      <c r="N5463" s="274"/>
      <c r="P5463" s="275"/>
    </row>
    <row r="5464" ht="15.75" customHeight="1">
      <c r="B5464" s="282"/>
      <c r="H5464" s="273"/>
      <c r="I5464" s="274"/>
      <c r="J5464" s="274"/>
      <c r="K5464" s="274"/>
      <c r="L5464" s="274"/>
      <c r="M5464" s="274"/>
      <c r="N5464" s="274"/>
      <c r="P5464" s="275"/>
    </row>
    <row r="5465" ht="15.75" customHeight="1">
      <c r="B5465" s="282"/>
      <c r="H5465" s="273"/>
      <c r="I5465" s="274"/>
      <c r="J5465" s="274"/>
      <c r="K5465" s="274"/>
      <c r="L5465" s="274"/>
      <c r="M5465" s="274"/>
      <c r="N5465" s="274"/>
      <c r="P5465" s="275"/>
    </row>
    <row r="5466" ht="15.75" customHeight="1">
      <c r="B5466" s="282"/>
      <c r="H5466" s="273"/>
      <c r="I5466" s="274"/>
      <c r="J5466" s="274"/>
      <c r="K5466" s="274"/>
      <c r="L5466" s="274"/>
      <c r="M5466" s="274"/>
      <c r="N5466" s="274"/>
      <c r="P5466" s="275"/>
    </row>
    <row r="5467" ht="15.75" customHeight="1">
      <c r="B5467" s="282"/>
      <c r="H5467" s="273"/>
      <c r="I5467" s="274"/>
      <c r="J5467" s="274"/>
      <c r="K5467" s="274"/>
      <c r="L5467" s="274"/>
      <c r="M5467" s="274"/>
      <c r="N5467" s="274"/>
      <c r="P5467" s="275"/>
    </row>
    <row r="5468" ht="15.75" customHeight="1">
      <c r="B5468" s="282"/>
      <c r="H5468" s="273"/>
      <c r="I5468" s="274"/>
      <c r="J5468" s="274"/>
      <c r="K5468" s="274"/>
      <c r="L5468" s="274"/>
      <c r="M5468" s="274"/>
      <c r="N5468" s="274"/>
      <c r="P5468" s="275"/>
    </row>
    <row r="5469" ht="15.75" customHeight="1">
      <c r="B5469" s="282"/>
      <c r="H5469" s="273"/>
      <c r="I5469" s="274"/>
      <c r="J5469" s="274"/>
      <c r="K5469" s="274"/>
      <c r="L5469" s="274"/>
      <c r="M5469" s="274"/>
      <c r="N5469" s="274"/>
      <c r="P5469" s="275"/>
    </row>
    <row r="5470" ht="15.75" customHeight="1">
      <c r="B5470" s="282"/>
      <c r="H5470" s="273"/>
      <c r="I5470" s="274"/>
      <c r="J5470" s="274"/>
      <c r="K5470" s="274"/>
      <c r="L5470" s="274"/>
      <c r="M5470" s="274"/>
      <c r="N5470" s="274"/>
      <c r="P5470" s="275"/>
    </row>
    <row r="5471" ht="15.75" customHeight="1">
      <c r="B5471" s="282"/>
      <c r="H5471" s="273"/>
      <c r="I5471" s="274"/>
      <c r="J5471" s="274"/>
      <c r="K5471" s="274"/>
      <c r="L5471" s="274"/>
      <c r="M5471" s="274"/>
      <c r="N5471" s="274"/>
      <c r="P5471" s="275"/>
    </row>
    <row r="5472" ht="15.75" customHeight="1">
      <c r="B5472" s="282"/>
      <c r="H5472" s="273"/>
      <c r="I5472" s="274"/>
      <c r="J5472" s="274"/>
      <c r="K5472" s="274"/>
      <c r="L5472" s="274"/>
      <c r="M5472" s="274"/>
      <c r="N5472" s="274"/>
      <c r="P5472" s="275"/>
    </row>
    <row r="5473" ht="15.75" customHeight="1">
      <c r="B5473" s="282"/>
      <c r="H5473" s="273"/>
      <c r="I5473" s="274"/>
      <c r="J5473" s="274"/>
      <c r="K5473" s="274"/>
      <c r="L5473" s="274"/>
      <c r="M5473" s="274"/>
      <c r="N5473" s="274"/>
      <c r="P5473" s="275"/>
    </row>
    <row r="5474" ht="15.75" customHeight="1">
      <c r="B5474" s="282"/>
      <c r="H5474" s="273"/>
      <c r="I5474" s="274"/>
      <c r="J5474" s="274"/>
      <c r="K5474" s="274"/>
      <c r="L5474" s="274"/>
      <c r="M5474" s="274"/>
      <c r="N5474" s="274"/>
      <c r="P5474" s="275"/>
    </row>
    <row r="5475" ht="15.75" customHeight="1">
      <c r="B5475" s="282"/>
      <c r="H5475" s="273"/>
      <c r="I5475" s="274"/>
      <c r="J5475" s="274"/>
      <c r="K5475" s="274"/>
      <c r="L5475" s="274"/>
      <c r="M5475" s="274"/>
      <c r="N5475" s="274"/>
      <c r="P5475" s="275"/>
    </row>
    <row r="5476" ht="15.75" customHeight="1">
      <c r="B5476" s="282"/>
      <c r="H5476" s="273"/>
      <c r="I5476" s="274"/>
      <c r="J5476" s="274"/>
      <c r="K5476" s="274"/>
      <c r="L5476" s="274"/>
      <c r="M5476" s="274"/>
      <c r="N5476" s="274"/>
      <c r="P5476" s="275"/>
    </row>
    <row r="5477" ht="15.75" customHeight="1">
      <c r="B5477" s="282"/>
      <c r="H5477" s="273"/>
      <c r="I5477" s="274"/>
      <c r="J5477" s="274"/>
      <c r="K5477" s="274"/>
      <c r="L5477" s="274"/>
      <c r="M5477" s="274"/>
      <c r="N5477" s="274"/>
      <c r="P5477" s="275"/>
    </row>
    <row r="5478" ht="15.75" customHeight="1">
      <c r="B5478" s="282"/>
      <c r="H5478" s="273"/>
      <c r="I5478" s="274"/>
      <c r="J5478" s="274"/>
      <c r="K5478" s="274"/>
      <c r="L5478" s="274"/>
      <c r="M5478" s="274"/>
      <c r="N5478" s="274"/>
      <c r="P5478" s="275"/>
    </row>
    <row r="5479" ht="15.75" customHeight="1">
      <c r="B5479" s="282"/>
      <c r="H5479" s="273"/>
      <c r="I5479" s="274"/>
      <c r="J5479" s="274"/>
      <c r="K5479" s="274"/>
      <c r="L5479" s="274"/>
      <c r="M5479" s="274"/>
      <c r="N5479" s="274"/>
      <c r="P5479" s="275"/>
    </row>
    <row r="5480" ht="15.75" customHeight="1">
      <c r="B5480" s="282"/>
      <c r="H5480" s="273"/>
      <c r="I5480" s="274"/>
      <c r="J5480" s="274"/>
      <c r="K5480" s="274"/>
      <c r="L5480" s="274"/>
      <c r="M5480" s="274"/>
      <c r="N5480" s="274"/>
      <c r="P5480" s="275"/>
    </row>
    <row r="5481" ht="15.75" customHeight="1">
      <c r="B5481" s="282"/>
      <c r="H5481" s="273"/>
      <c r="I5481" s="274"/>
      <c r="J5481" s="274"/>
      <c r="K5481" s="274"/>
      <c r="L5481" s="274"/>
      <c r="M5481" s="274"/>
      <c r="N5481" s="274"/>
      <c r="P5481" s="275"/>
    </row>
    <row r="5482" ht="15.75" customHeight="1">
      <c r="B5482" s="282"/>
      <c r="H5482" s="273"/>
      <c r="I5482" s="274"/>
      <c r="J5482" s="274"/>
      <c r="K5482" s="274"/>
      <c r="L5482" s="274"/>
      <c r="M5482" s="274"/>
      <c r="N5482" s="274"/>
      <c r="P5482" s="275"/>
    </row>
    <row r="5483" ht="15.75" customHeight="1">
      <c r="B5483" s="282"/>
      <c r="H5483" s="273"/>
      <c r="I5483" s="274"/>
      <c r="J5483" s="274"/>
      <c r="K5483" s="274"/>
      <c r="L5483" s="274"/>
      <c r="M5483" s="274"/>
      <c r="N5483" s="274"/>
      <c r="P5483" s="275"/>
    </row>
    <row r="5484" ht="15.75" customHeight="1">
      <c r="B5484" s="282"/>
      <c r="H5484" s="273"/>
      <c r="I5484" s="274"/>
      <c r="J5484" s="274"/>
      <c r="K5484" s="274"/>
      <c r="L5484" s="274"/>
      <c r="M5484" s="274"/>
      <c r="N5484" s="274"/>
      <c r="P5484" s="275"/>
    </row>
    <row r="5485" ht="15.75" customHeight="1">
      <c r="B5485" s="282"/>
      <c r="H5485" s="273"/>
      <c r="I5485" s="274"/>
      <c r="J5485" s="274"/>
      <c r="K5485" s="274"/>
      <c r="L5485" s="274"/>
      <c r="M5485" s="274"/>
      <c r="N5485" s="274"/>
      <c r="P5485" s="275"/>
    </row>
    <row r="5486" ht="15.75" customHeight="1">
      <c r="B5486" s="282"/>
      <c r="H5486" s="273"/>
      <c r="I5486" s="274"/>
      <c r="J5486" s="274"/>
      <c r="K5486" s="274"/>
      <c r="L5486" s="274"/>
      <c r="M5486" s="274"/>
      <c r="N5486" s="274"/>
      <c r="P5486" s="275"/>
    </row>
    <row r="5487" ht="15.75" customHeight="1">
      <c r="B5487" s="282"/>
      <c r="H5487" s="273"/>
      <c r="I5487" s="274"/>
      <c r="J5487" s="274"/>
      <c r="K5487" s="274"/>
      <c r="L5487" s="274"/>
      <c r="M5487" s="274"/>
      <c r="N5487" s="274"/>
      <c r="P5487" s="275"/>
    </row>
    <row r="5488" ht="15.75" customHeight="1">
      <c r="B5488" s="282"/>
      <c r="H5488" s="273"/>
      <c r="I5488" s="274"/>
      <c r="J5488" s="274"/>
      <c r="K5488" s="274"/>
      <c r="L5488" s="274"/>
      <c r="M5488" s="274"/>
      <c r="N5488" s="274"/>
      <c r="P5488" s="275"/>
    </row>
    <row r="5489" ht="15.75" customHeight="1">
      <c r="B5489" s="282"/>
      <c r="H5489" s="273"/>
      <c r="I5489" s="274"/>
      <c r="J5489" s="274"/>
      <c r="K5489" s="274"/>
      <c r="L5489" s="274"/>
      <c r="M5489" s="274"/>
      <c r="N5489" s="274"/>
      <c r="P5489" s="275"/>
    </row>
    <row r="5490" ht="15.75" customHeight="1">
      <c r="B5490" s="282"/>
      <c r="H5490" s="273"/>
      <c r="I5490" s="274"/>
      <c r="J5490" s="274"/>
      <c r="K5490" s="274"/>
      <c r="L5490" s="274"/>
      <c r="M5490" s="274"/>
      <c r="N5490" s="274"/>
      <c r="P5490" s="275"/>
    </row>
    <row r="5491" ht="15.75" customHeight="1">
      <c r="B5491" s="282"/>
      <c r="H5491" s="273"/>
      <c r="I5491" s="274"/>
      <c r="J5491" s="274"/>
      <c r="K5491" s="274"/>
      <c r="L5491" s="274"/>
      <c r="M5491" s="274"/>
      <c r="N5491" s="274"/>
      <c r="P5491" s="275"/>
    </row>
    <row r="5492" ht="15.75" customHeight="1">
      <c r="B5492" s="282"/>
      <c r="H5492" s="273"/>
      <c r="I5492" s="274"/>
      <c r="J5492" s="274"/>
      <c r="K5492" s="274"/>
      <c r="L5492" s="274"/>
      <c r="M5492" s="274"/>
      <c r="N5492" s="274"/>
      <c r="P5492" s="275"/>
    </row>
    <row r="5493" ht="15.75" customHeight="1">
      <c r="B5493" s="282"/>
      <c r="H5493" s="273"/>
      <c r="I5493" s="274"/>
      <c r="J5493" s="274"/>
      <c r="K5493" s="274"/>
      <c r="L5493" s="274"/>
      <c r="M5493" s="274"/>
      <c r="N5493" s="274"/>
      <c r="P5493" s="275"/>
    </row>
    <row r="5494" ht="15.75" customHeight="1">
      <c r="B5494" s="282"/>
      <c r="H5494" s="273"/>
      <c r="I5494" s="274"/>
      <c r="J5494" s="274"/>
      <c r="K5494" s="274"/>
      <c r="L5494" s="274"/>
      <c r="M5494" s="274"/>
      <c r="N5494" s="274"/>
      <c r="P5494" s="275"/>
    </row>
    <row r="5495" ht="15.75" customHeight="1">
      <c r="B5495" s="282"/>
      <c r="H5495" s="273"/>
      <c r="I5495" s="274"/>
      <c r="J5495" s="274"/>
      <c r="K5495" s="274"/>
      <c r="L5495" s="274"/>
      <c r="M5495" s="274"/>
      <c r="N5495" s="274"/>
      <c r="P5495" s="275"/>
    </row>
    <row r="5496" ht="15.75" customHeight="1">
      <c r="B5496" s="282"/>
      <c r="H5496" s="273"/>
      <c r="I5496" s="274"/>
      <c r="J5496" s="274"/>
      <c r="K5496" s="274"/>
      <c r="L5496" s="274"/>
      <c r="M5496" s="274"/>
      <c r="N5496" s="274"/>
      <c r="P5496" s="275"/>
    </row>
    <row r="5497" ht="15.75" customHeight="1">
      <c r="B5497" s="282"/>
      <c r="H5497" s="273"/>
      <c r="I5497" s="274"/>
      <c r="J5497" s="274"/>
      <c r="K5497" s="274"/>
      <c r="L5497" s="274"/>
      <c r="M5497" s="274"/>
      <c r="N5497" s="274"/>
      <c r="P5497" s="275"/>
    </row>
    <row r="5498" ht="15.75" customHeight="1">
      <c r="B5498" s="282"/>
      <c r="H5498" s="273"/>
      <c r="I5498" s="274"/>
      <c r="J5498" s="274"/>
      <c r="K5498" s="274"/>
      <c r="L5498" s="274"/>
      <c r="M5498" s="274"/>
      <c r="N5498" s="274"/>
      <c r="P5498" s="275"/>
    </row>
    <row r="5499" ht="15.75" customHeight="1">
      <c r="B5499" s="282"/>
      <c r="H5499" s="273"/>
      <c r="I5499" s="274"/>
      <c r="J5499" s="274"/>
      <c r="K5499" s="274"/>
      <c r="L5499" s="274"/>
      <c r="M5499" s="274"/>
      <c r="N5499" s="274"/>
      <c r="P5499" s="275"/>
    </row>
    <row r="5500" ht="15.75" customHeight="1">
      <c r="B5500" s="282"/>
      <c r="H5500" s="273"/>
      <c r="I5500" s="274"/>
      <c r="J5500" s="274"/>
      <c r="K5500" s="274"/>
      <c r="L5500" s="274"/>
      <c r="M5500" s="274"/>
      <c r="N5500" s="274"/>
      <c r="P5500" s="275"/>
    </row>
    <row r="5501" ht="15.75" customHeight="1">
      <c r="B5501" s="282"/>
      <c r="H5501" s="273"/>
      <c r="I5501" s="274"/>
      <c r="J5501" s="274"/>
      <c r="K5501" s="274"/>
      <c r="L5501" s="274"/>
      <c r="M5501" s="274"/>
      <c r="N5501" s="274"/>
      <c r="P5501" s="275"/>
    </row>
    <row r="5502" ht="15.75" customHeight="1">
      <c r="B5502" s="282"/>
      <c r="H5502" s="273"/>
      <c r="I5502" s="274"/>
      <c r="J5502" s="274"/>
      <c r="K5502" s="274"/>
      <c r="L5502" s="274"/>
      <c r="M5502" s="274"/>
      <c r="N5502" s="274"/>
      <c r="P5502" s="275"/>
    </row>
    <row r="5503" ht="15.75" customHeight="1">
      <c r="B5503" s="282"/>
      <c r="H5503" s="273"/>
      <c r="I5503" s="274"/>
      <c r="J5503" s="274"/>
      <c r="K5503" s="274"/>
      <c r="L5503" s="274"/>
      <c r="M5503" s="274"/>
      <c r="N5503" s="274"/>
      <c r="P5503" s="275"/>
    </row>
    <row r="5504" ht="15.75" customHeight="1">
      <c r="B5504" s="282"/>
      <c r="H5504" s="273"/>
      <c r="I5504" s="274"/>
      <c r="J5504" s="274"/>
      <c r="K5504" s="274"/>
      <c r="L5504" s="274"/>
      <c r="M5504" s="274"/>
      <c r="N5504" s="274"/>
      <c r="P5504" s="275"/>
    </row>
    <row r="5505" ht="15.75" customHeight="1">
      <c r="B5505" s="282"/>
      <c r="H5505" s="273"/>
      <c r="I5505" s="274"/>
      <c r="J5505" s="274"/>
      <c r="K5505" s="274"/>
      <c r="L5505" s="274"/>
      <c r="M5505" s="274"/>
      <c r="N5505" s="274"/>
      <c r="P5505" s="275"/>
    </row>
    <row r="5506" ht="15.75" customHeight="1">
      <c r="B5506" s="282"/>
      <c r="H5506" s="273"/>
      <c r="I5506" s="274"/>
      <c r="J5506" s="274"/>
      <c r="K5506" s="274"/>
      <c r="L5506" s="274"/>
      <c r="M5506" s="274"/>
      <c r="N5506" s="274"/>
      <c r="P5506" s="275"/>
    </row>
    <row r="5507" ht="15.75" customHeight="1">
      <c r="B5507" s="282"/>
      <c r="H5507" s="273"/>
      <c r="I5507" s="274"/>
      <c r="J5507" s="274"/>
      <c r="K5507" s="274"/>
      <c r="L5507" s="274"/>
      <c r="M5507" s="274"/>
      <c r="N5507" s="274"/>
      <c r="P5507" s="275"/>
    </row>
    <row r="5508" ht="15.75" customHeight="1">
      <c r="B5508" s="282"/>
      <c r="H5508" s="273"/>
      <c r="I5508" s="274"/>
      <c r="J5508" s="274"/>
      <c r="K5508" s="274"/>
      <c r="L5508" s="274"/>
      <c r="M5508" s="274"/>
      <c r="N5508" s="274"/>
      <c r="P5508" s="275"/>
    </row>
    <row r="5509" ht="15.75" customHeight="1">
      <c r="B5509" s="282"/>
      <c r="H5509" s="273"/>
      <c r="I5509" s="274"/>
      <c r="J5509" s="274"/>
      <c r="K5509" s="274"/>
      <c r="L5509" s="274"/>
      <c r="M5509" s="274"/>
      <c r="N5509" s="274"/>
      <c r="P5509" s="275"/>
    </row>
    <row r="5510" ht="15.75" customHeight="1">
      <c r="B5510" s="282"/>
      <c r="H5510" s="273"/>
      <c r="I5510" s="274"/>
      <c r="J5510" s="274"/>
      <c r="K5510" s="274"/>
      <c r="L5510" s="274"/>
      <c r="M5510" s="274"/>
      <c r="N5510" s="274"/>
      <c r="P5510" s="275"/>
    </row>
    <row r="5511" ht="15.75" customHeight="1">
      <c r="B5511" s="282"/>
      <c r="H5511" s="273"/>
      <c r="I5511" s="274"/>
      <c r="J5511" s="274"/>
      <c r="K5511" s="274"/>
      <c r="L5511" s="274"/>
      <c r="M5511" s="274"/>
      <c r="N5511" s="274"/>
      <c r="P5511" s="275"/>
    </row>
    <row r="5512" ht="15.75" customHeight="1">
      <c r="B5512" s="282"/>
      <c r="H5512" s="273"/>
      <c r="I5512" s="274"/>
      <c r="J5512" s="274"/>
      <c r="K5512" s="274"/>
      <c r="L5512" s="274"/>
      <c r="M5512" s="274"/>
      <c r="N5512" s="274"/>
      <c r="P5512" s="275"/>
    </row>
    <row r="5513" ht="15.75" customHeight="1">
      <c r="B5513" s="282"/>
      <c r="H5513" s="273"/>
      <c r="I5513" s="274"/>
      <c r="J5513" s="274"/>
      <c r="K5513" s="274"/>
      <c r="L5513" s="274"/>
      <c r="M5513" s="274"/>
      <c r="N5513" s="274"/>
      <c r="P5513" s="275"/>
    </row>
    <row r="5514" ht="15.75" customHeight="1">
      <c r="B5514" s="282"/>
      <c r="H5514" s="273"/>
      <c r="I5514" s="274"/>
      <c r="J5514" s="274"/>
      <c r="K5514" s="274"/>
      <c r="L5514" s="274"/>
      <c r="M5514" s="274"/>
      <c r="N5514" s="274"/>
      <c r="P5514" s="275"/>
    </row>
    <row r="5515" ht="15.75" customHeight="1">
      <c r="B5515" s="282"/>
      <c r="H5515" s="273"/>
      <c r="I5515" s="274"/>
      <c r="J5515" s="274"/>
      <c r="K5515" s="274"/>
      <c r="L5515" s="274"/>
      <c r="M5515" s="274"/>
      <c r="N5515" s="274"/>
      <c r="P5515" s="275"/>
    </row>
    <row r="5516" ht="15.75" customHeight="1">
      <c r="B5516" s="282"/>
      <c r="H5516" s="273"/>
      <c r="I5516" s="274"/>
      <c r="J5516" s="274"/>
      <c r="K5516" s="274"/>
      <c r="L5516" s="274"/>
      <c r="M5516" s="274"/>
      <c r="N5516" s="274"/>
      <c r="P5516" s="275"/>
    </row>
    <row r="5517" ht="15.75" customHeight="1">
      <c r="B5517" s="282"/>
      <c r="H5517" s="273"/>
      <c r="I5517" s="274"/>
      <c r="J5517" s="274"/>
      <c r="K5517" s="274"/>
      <c r="L5517" s="274"/>
      <c r="M5517" s="274"/>
      <c r="N5517" s="274"/>
      <c r="P5517" s="275"/>
    </row>
    <row r="5518" ht="15.75" customHeight="1">
      <c r="B5518" s="282"/>
      <c r="H5518" s="273"/>
      <c r="I5518" s="274"/>
      <c r="J5518" s="274"/>
      <c r="K5518" s="274"/>
      <c r="L5518" s="274"/>
      <c r="M5518" s="274"/>
      <c r="N5518" s="274"/>
      <c r="P5518" s="275"/>
    </row>
    <row r="5519" ht="15.75" customHeight="1">
      <c r="B5519" s="282"/>
      <c r="H5519" s="273"/>
      <c r="I5519" s="274"/>
      <c r="J5519" s="274"/>
      <c r="K5519" s="274"/>
      <c r="L5519" s="274"/>
      <c r="M5519" s="274"/>
      <c r="N5519" s="274"/>
      <c r="P5519" s="275"/>
    </row>
    <row r="5520" ht="15.75" customHeight="1">
      <c r="B5520" s="282"/>
      <c r="H5520" s="273"/>
      <c r="I5520" s="274"/>
      <c r="J5520" s="274"/>
      <c r="K5520" s="274"/>
      <c r="L5520" s="274"/>
      <c r="M5520" s="274"/>
      <c r="N5520" s="274"/>
      <c r="P5520" s="275"/>
    </row>
    <row r="5521" ht="15.75" customHeight="1">
      <c r="B5521" s="282"/>
      <c r="H5521" s="273"/>
      <c r="I5521" s="274"/>
      <c r="J5521" s="274"/>
      <c r="K5521" s="274"/>
      <c r="L5521" s="274"/>
      <c r="M5521" s="274"/>
      <c r="N5521" s="274"/>
      <c r="P5521" s="275"/>
    </row>
    <row r="5522" ht="15.75" customHeight="1">
      <c r="B5522" s="282"/>
      <c r="H5522" s="273"/>
      <c r="I5522" s="274"/>
      <c r="J5522" s="274"/>
      <c r="K5522" s="274"/>
      <c r="L5522" s="274"/>
      <c r="M5522" s="274"/>
      <c r="N5522" s="274"/>
      <c r="P5522" s="275"/>
    </row>
    <row r="5523" ht="15.75" customHeight="1">
      <c r="B5523" s="282"/>
      <c r="H5523" s="273"/>
      <c r="I5523" s="274"/>
      <c r="J5523" s="274"/>
      <c r="K5523" s="274"/>
      <c r="L5523" s="274"/>
      <c r="M5523" s="274"/>
      <c r="N5523" s="274"/>
      <c r="P5523" s="275"/>
    </row>
    <row r="5524" ht="15.75" customHeight="1">
      <c r="B5524" s="282"/>
      <c r="H5524" s="273"/>
      <c r="I5524" s="274"/>
      <c r="J5524" s="274"/>
      <c r="K5524" s="274"/>
      <c r="L5524" s="274"/>
      <c r="M5524" s="274"/>
      <c r="N5524" s="274"/>
      <c r="P5524" s="275"/>
    </row>
    <row r="5525" ht="15.75" customHeight="1">
      <c r="B5525" s="282"/>
      <c r="H5525" s="273"/>
      <c r="I5525" s="274"/>
      <c r="J5525" s="274"/>
      <c r="K5525" s="274"/>
      <c r="L5525" s="274"/>
      <c r="M5525" s="274"/>
      <c r="N5525" s="274"/>
      <c r="P5525" s="275"/>
    </row>
    <row r="5526" ht="15.75" customHeight="1">
      <c r="B5526" s="282"/>
      <c r="H5526" s="273"/>
      <c r="I5526" s="274"/>
      <c r="J5526" s="274"/>
      <c r="K5526" s="274"/>
      <c r="L5526" s="274"/>
      <c r="M5526" s="274"/>
      <c r="N5526" s="274"/>
      <c r="P5526" s="275"/>
    </row>
    <row r="5527" ht="15.75" customHeight="1">
      <c r="B5527" s="282"/>
      <c r="H5527" s="273"/>
      <c r="I5527" s="274"/>
      <c r="J5527" s="274"/>
      <c r="K5527" s="274"/>
      <c r="L5527" s="274"/>
      <c r="M5527" s="274"/>
      <c r="N5527" s="274"/>
      <c r="P5527" s="275"/>
    </row>
    <row r="5528" ht="15.75" customHeight="1">
      <c r="B5528" s="282"/>
      <c r="H5528" s="273"/>
      <c r="I5528" s="274"/>
      <c r="J5528" s="274"/>
      <c r="K5528" s="274"/>
      <c r="L5528" s="274"/>
      <c r="M5528" s="274"/>
      <c r="N5528" s="274"/>
      <c r="P5528" s="275"/>
    </row>
    <row r="5529" ht="15.75" customHeight="1">
      <c r="B5529" s="282"/>
      <c r="H5529" s="273"/>
      <c r="I5529" s="274"/>
      <c r="J5529" s="274"/>
      <c r="K5529" s="274"/>
      <c r="L5529" s="274"/>
      <c r="M5529" s="274"/>
      <c r="N5529" s="274"/>
      <c r="P5529" s="275"/>
    </row>
    <row r="5530" ht="15.75" customHeight="1">
      <c r="B5530" s="282"/>
      <c r="H5530" s="273"/>
      <c r="I5530" s="274"/>
      <c r="J5530" s="274"/>
      <c r="K5530" s="274"/>
      <c r="L5530" s="274"/>
      <c r="M5530" s="274"/>
      <c r="N5530" s="274"/>
      <c r="P5530" s="275"/>
    </row>
    <row r="5531" ht="15.75" customHeight="1">
      <c r="B5531" s="282"/>
      <c r="H5531" s="273"/>
      <c r="I5531" s="274"/>
      <c r="J5531" s="274"/>
      <c r="K5531" s="274"/>
      <c r="L5531" s="274"/>
      <c r="M5531" s="274"/>
      <c r="N5531" s="274"/>
      <c r="P5531" s="275"/>
    </row>
    <row r="5532" ht="15.75" customHeight="1">
      <c r="B5532" s="282"/>
      <c r="H5532" s="273"/>
      <c r="I5532" s="274"/>
      <c r="J5532" s="274"/>
      <c r="K5532" s="274"/>
      <c r="L5532" s="274"/>
      <c r="M5532" s="274"/>
      <c r="N5532" s="274"/>
      <c r="P5532" s="275"/>
    </row>
    <row r="5533" ht="15.75" customHeight="1">
      <c r="B5533" s="282"/>
      <c r="H5533" s="273"/>
      <c r="I5533" s="274"/>
      <c r="J5533" s="274"/>
      <c r="K5533" s="274"/>
      <c r="L5533" s="274"/>
      <c r="M5533" s="274"/>
      <c r="N5533" s="274"/>
      <c r="P5533" s="275"/>
    </row>
    <row r="5534" ht="15.75" customHeight="1">
      <c r="B5534" s="282"/>
      <c r="H5534" s="273"/>
      <c r="I5534" s="274"/>
      <c r="J5534" s="274"/>
      <c r="K5534" s="274"/>
      <c r="L5534" s="274"/>
      <c r="M5534" s="274"/>
      <c r="N5534" s="274"/>
      <c r="P5534" s="275"/>
    </row>
    <row r="5535" ht="15.75" customHeight="1">
      <c r="B5535" s="282"/>
      <c r="H5535" s="273"/>
      <c r="I5535" s="274"/>
      <c r="J5535" s="274"/>
      <c r="K5535" s="274"/>
      <c r="L5535" s="274"/>
      <c r="M5535" s="274"/>
      <c r="N5535" s="274"/>
      <c r="P5535" s="275"/>
    </row>
    <row r="5536" ht="15.75" customHeight="1">
      <c r="B5536" s="282"/>
      <c r="H5536" s="273"/>
      <c r="I5536" s="274"/>
      <c r="J5536" s="274"/>
      <c r="K5536" s="274"/>
      <c r="L5536" s="274"/>
      <c r="M5536" s="274"/>
      <c r="N5536" s="274"/>
      <c r="P5536" s="275"/>
    </row>
    <row r="5537" ht="15.75" customHeight="1">
      <c r="B5537" s="282"/>
      <c r="H5537" s="273"/>
      <c r="I5537" s="274"/>
      <c r="J5537" s="274"/>
      <c r="K5537" s="274"/>
      <c r="L5537" s="274"/>
      <c r="M5537" s="274"/>
      <c r="N5537" s="274"/>
      <c r="P5537" s="275"/>
    </row>
    <row r="5538" ht="15.75" customHeight="1">
      <c r="B5538" s="282"/>
      <c r="H5538" s="273"/>
      <c r="I5538" s="274"/>
      <c r="J5538" s="274"/>
      <c r="K5538" s="274"/>
      <c r="L5538" s="274"/>
      <c r="M5538" s="274"/>
      <c r="N5538" s="274"/>
      <c r="P5538" s="275"/>
    </row>
    <row r="5539" ht="15.75" customHeight="1">
      <c r="B5539" s="282"/>
      <c r="H5539" s="273"/>
      <c r="I5539" s="274"/>
      <c r="J5539" s="274"/>
      <c r="K5539" s="274"/>
      <c r="L5539" s="274"/>
      <c r="M5539" s="274"/>
      <c r="N5539" s="274"/>
      <c r="P5539" s="275"/>
    </row>
    <row r="5540" ht="15.75" customHeight="1">
      <c r="B5540" s="282"/>
      <c r="H5540" s="273"/>
      <c r="I5540" s="274"/>
      <c r="J5540" s="274"/>
      <c r="K5540" s="274"/>
      <c r="L5540" s="274"/>
      <c r="M5540" s="274"/>
      <c r="N5540" s="274"/>
      <c r="P5540" s="275"/>
    </row>
    <row r="5541" ht="15.75" customHeight="1">
      <c r="B5541" s="282"/>
      <c r="H5541" s="273"/>
      <c r="I5541" s="274"/>
      <c r="J5541" s="274"/>
      <c r="K5541" s="274"/>
      <c r="L5541" s="274"/>
      <c r="M5541" s="274"/>
      <c r="N5541" s="274"/>
      <c r="P5541" s="275"/>
    </row>
    <row r="5542" ht="15.75" customHeight="1">
      <c r="B5542" s="282"/>
      <c r="H5542" s="273"/>
      <c r="I5542" s="274"/>
      <c r="J5542" s="274"/>
      <c r="K5542" s="274"/>
      <c r="L5542" s="274"/>
      <c r="M5542" s="274"/>
      <c r="N5542" s="274"/>
      <c r="P5542" s="275"/>
    </row>
    <row r="5543" ht="15.75" customHeight="1">
      <c r="B5543" s="282"/>
      <c r="H5543" s="273"/>
      <c r="I5543" s="274"/>
      <c r="J5543" s="274"/>
      <c r="K5543" s="274"/>
      <c r="L5543" s="274"/>
      <c r="M5543" s="274"/>
      <c r="N5543" s="274"/>
      <c r="P5543" s="275"/>
    </row>
    <row r="5544" ht="15.75" customHeight="1">
      <c r="B5544" s="282"/>
      <c r="H5544" s="273"/>
      <c r="I5544" s="274"/>
      <c r="J5544" s="274"/>
      <c r="K5544" s="274"/>
      <c r="L5544" s="274"/>
      <c r="M5544" s="274"/>
      <c r="N5544" s="274"/>
      <c r="P5544" s="275"/>
    </row>
    <row r="5545" ht="15.75" customHeight="1">
      <c r="B5545" s="282"/>
      <c r="H5545" s="273"/>
      <c r="I5545" s="274"/>
      <c r="J5545" s="274"/>
      <c r="K5545" s="274"/>
      <c r="L5545" s="274"/>
      <c r="M5545" s="274"/>
      <c r="N5545" s="274"/>
      <c r="P5545" s="275"/>
    </row>
    <row r="5546" ht="15.75" customHeight="1">
      <c r="B5546" s="282"/>
      <c r="H5546" s="273"/>
      <c r="I5546" s="274"/>
      <c r="J5546" s="274"/>
      <c r="K5546" s="274"/>
      <c r="L5546" s="274"/>
      <c r="M5546" s="274"/>
      <c r="N5546" s="274"/>
      <c r="P5546" s="275"/>
    </row>
    <row r="5547" ht="15.75" customHeight="1">
      <c r="B5547" s="282"/>
      <c r="H5547" s="273"/>
      <c r="I5547" s="274"/>
      <c r="J5547" s="274"/>
      <c r="K5547" s="274"/>
      <c r="L5547" s="274"/>
      <c r="M5547" s="274"/>
      <c r="N5547" s="274"/>
      <c r="P5547" s="275"/>
    </row>
    <row r="5548" ht="15.75" customHeight="1">
      <c r="B5548" s="282"/>
      <c r="H5548" s="273"/>
      <c r="I5548" s="274"/>
      <c r="J5548" s="274"/>
      <c r="K5548" s="274"/>
      <c r="L5548" s="274"/>
      <c r="M5548" s="274"/>
      <c r="N5548" s="274"/>
      <c r="P5548" s="275"/>
    </row>
    <row r="5549" ht="15.75" customHeight="1">
      <c r="B5549" s="282"/>
      <c r="H5549" s="273"/>
      <c r="I5549" s="274"/>
      <c r="J5549" s="274"/>
      <c r="K5549" s="274"/>
      <c r="L5549" s="274"/>
      <c r="M5549" s="274"/>
      <c r="N5549" s="274"/>
      <c r="P5549" s="275"/>
    </row>
    <row r="5550" ht="15.75" customHeight="1">
      <c r="B5550" s="282"/>
      <c r="H5550" s="273"/>
      <c r="I5550" s="274"/>
      <c r="J5550" s="274"/>
      <c r="K5550" s="274"/>
      <c r="L5550" s="274"/>
      <c r="M5550" s="274"/>
      <c r="N5550" s="274"/>
      <c r="P5550" s="275"/>
    </row>
    <row r="5551" ht="15.75" customHeight="1">
      <c r="B5551" s="282"/>
      <c r="H5551" s="273"/>
      <c r="I5551" s="274"/>
      <c r="J5551" s="274"/>
      <c r="K5551" s="274"/>
      <c r="L5551" s="274"/>
      <c r="M5551" s="274"/>
      <c r="N5551" s="274"/>
      <c r="P5551" s="275"/>
    </row>
    <row r="5552" ht="15.75" customHeight="1">
      <c r="B5552" s="282"/>
      <c r="H5552" s="273"/>
      <c r="I5552" s="274"/>
      <c r="J5552" s="274"/>
      <c r="K5552" s="274"/>
      <c r="L5552" s="274"/>
      <c r="M5552" s="274"/>
      <c r="N5552" s="274"/>
      <c r="P5552" s="275"/>
    </row>
    <row r="5553" ht="15.75" customHeight="1">
      <c r="B5553" s="282"/>
      <c r="H5553" s="273"/>
      <c r="I5553" s="274"/>
      <c r="J5553" s="274"/>
      <c r="K5553" s="274"/>
      <c r="L5553" s="274"/>
      <c r="M5553" s="274"/>
      <c r="N5553" s="274"/>
      <c r="P5553" s="275"/>
    </row>
    <row r="5554" ht="15.75" customHeight="1">
      <c r="B5554" s="282"/>
      <c r="H5554" s="273"/>
      <c r="I5554" s="274"/>
      <c r="J5554" s="274"/>
      <c r="K5554" s="274"/>
      <c r="L5554" s="274"/>
      <c r="M5554" s="274"/>
      <c r="N5554" s="274"/>
      <c r="P5554" s="275"/>
    </row>
    <row r="5555" ht="15.75" customHeight="1">
      <c r="B5555" s="282"/>
      <c r="H5555" s="273"/>
      <c r="I5555" s="274"/>
      <c r="J5555" s="274"/>
      <c r="K5555" s="274"/>
      <c r="L5555" s="274"/>
      <c r="M5555" s="274"/>
      <c r="N5555" s="274"/>
      <c r="P5555" s="275"/>
    </row>
    <row r="5556" ht="15.75" customHeight="1">
      <c r="B5556" s="282"/>
      <c r="H5556" s="273"/>
      <c r="I5556" s="274"/>
      <c r="J5556" s="274"/>
      <c r="K5556" s="274"/>
      <c r="L5556" s="274"/>
      <c r="M5556" s="274"/>
      <c r="N5556" s="274"/>
      <c r="P5556" s="275"/>
    </row>
    <row r="5557" ht="15.75" customHeight="1">
      <c r="B5557" s="282"/>
      <c r="H5557" s="273"/>
      <c r="I5557" s="274"/>
      <c r="J5557" s="274"/>
      <c r="K5557" s="274"/>
      <c r="L5557" s="274"/>
      <c r="M5557" s="274"/>
      <c r="N5557" s="274"/>
      <c r="P5557" s="275"/>
    </row>
    <row r="5558" ht="15.75" customHeight="1">
      <c r="B5558" s="282"/>
      <c r="H5558" s="273"/>
      <c r="I5558" s="274"/>
      <c r="J5558" s="274"/>
      <c r="K5558" s="274"/>
      <c r="L5558" s="274"/>
      <c r="M5558" s="274"/>
      <c r="N5558" s="274"/>
      <c r="P5558" s="275"/>
    </row>
    <row r="5559" ht="15.75" customHeight="1">
      <c r="B5559" s="282"/>
      <c r="H5559" s="273"/>
      <c r="I5559" s="274"/>
      <c r="J5559" s="274"/>
      <c r="K5559" s="274"/>
      <c r="L5559" s="274"/>
      <c r="M5559" s="274"/>
      <c r="N5559" s="274"/>
      <c r="P5559" s="275"/>
    </row>
    <row r="5560" ht="15.75" customHeight="1">
      <c r="B5560" s="282"/>
      <c r="H5560" s="273"/>
      <c r="I5560" s="274"/>
      <c r="J5560" s="274"/>
      <c r="K5560" s="274"/>
      <c r="L5560" s="274"/>
      <c r="M5560" s="274"/>
      <c r="N5560" s="274"/>
      <c r="P5560" s="275"/>
    </row>
    <row r="5561" ht="15.75" customHeight="1">
      <c r="B5561" s="282"/>
      <c r="H5561" s="273"/>
      <c r="I5561" s="274"/>
      <c r="J5561" s="274"/>
      <c r="K5561" s="274"/>
      <c r="L5561" s="274"/>
      <c r="M5561" s="274"/>
      <c r="N5561" s="274"/>
      <c r="P5561" s="275"/>
    </row>
    <row r="5562" ht="15.75" customHeight="1">
      <c r="B5562" s="282"/>
      <c r="H5562" s="273"/>
      <c r="I5562" s="274"/>
      <c r="J5562" s="274"/>
      <c r="K5562" s="274"/>
      <c r="L5562" s="274"/>
      <c r="M5562" s="274"/>
      <c r="N5562" s="274"/>
      <c r="P5562" s="275"/>
    </row>
    <row r="5563" ht="15.75" customHeight="1">
      <c r="B5563" s="282"/>
      <c r="H5563" s="273"/>
      <c r="I5563" s="274"/>
      <c r="J5563" s="274"/>
      <c r="K5563" s="274"/>
      <c r="L5563" s="274"/>
      <c r="M5563" s="274"/>
      <c r="N5563" s="274"/>
      <c r="P5563" s="275"/>
    </row>
    <row r="5564" ht="15.75" customHeight="1">
      <c r="B5564" s="282"/>
      <c r="H5564" s="273"/>
      <c r="I5564" s="274"/>
      <c r="J5564" s="274"/>
      <c r="K5564" s="274"/>
      <c r="L5564" s="274"/>
      <c r="M5564" s="274"/>
      <c r="N5564" s="274"/>
      <c r="P5564" s="275"/>
    </row>
    <row r="5565" ht="15.75" customHeight="1">
      <c r="B5565" s="282"/>
      <c r="H5565" s="273"/>
      <c r="I5565" s="274"/>
      <c r="J5565" s="274"/>
      <c r="K5565" s="274"/>
      <c r="L5565" s="274"/>
      <c r="M5565" s="274"/>
      <c r="N5565" s="274"/>
      <c r="P5565" s="275"/>
    </row>
    <row r="5566" ht="15.75" customHeight="1">
      <c r="B5566" s="282"/>
      <c r="H5566" s="273"/>
      <c r="I5566" s="274"/>
      <c r="J5566" s="274"/>
      <c r="K5566" s="274"/>
      <c r="L5566" s="274"/>
      <c r="M5566" s="274"/>
      <c r="N5566" s="274"/>
      <c r="P5566" s="275"/>
    </row>
    <row r="5567" ht="15.75" customHeight="1">
      <c r="B5567" s="282"/>
      <c r="H5567" s="273"/>
      <c r="I5567" s="274"/>
      <c r="J5567" s="274"/>
      <c r="K5567" s="274"/>
      <c r="L5567" s="274"/>
      <c r="M5567" s="274"/>
      <c r="N5567" s="274"/>
      <c r="P5567" s="275"/>
    </row>
    <row r="5568" ht="15.75" customHeight="1">
      <c r="B5568" s="282"/>
      <c r="H5568" s="273"/>
      <c r="I5568" s="274"/>
      <c r="J5568" s="274"/>
      <c r="K5568" s="274"/>
      <c r="L5568" s="274"/>
      <c r="M5568" s="274"/>
      <c r="N5568" s="274"/>
      <c r="P5568" s="275"/>
    </row>
    <row r="5569" ht="15.75" customHeight="1">
      <c r="B5569" s="282"/>
      <c r="H5569" s="273"/>
      <c r="I5569" s="274"/>
      <c r="J5569" s="274"/>
      <c r="K5569" s="274"/>
      <c r="L5569" s="274"/>
      <c r="M5569" s="274"/>
      <c r="N5569" s="274"/>
      <c r="P5569" s="275"/>
    </row>
    <row r="5570" ht="15.75" customHeight="1">
      <c r="B5570" s="282"/>
      <c r="H5570" s="273"/>
      <c r="I5570" s="274"/>
      <c r="J5570" s="274"/>
      <c r="K5570" s="274"/>
      <c r="L5570" s="274"/>
      <c r="M5570" s="274"/>
      <c r="N5570" s="274"/>
      <c r="P5570" s="275"/>
    </row>
    <row r="5571" ht="15.75" customHeight="1">
      <c r="B5571" s="282"/>
      <c r="H5571" s="273"/>
      <c r="I5571" s="274"/>
      <c r="J5571" s="274"/>
      <c r="K5571" s="274"/>
      <c r="L5571" s="274"/>
      <c r="M5571" s="274"/>
      <c r="N5571" s="274"/>
      <c r="P5571" s="275"/>
    </row>
    <row r="5572" ht="15.75" customHeight="1">
      <c r="B5572" s="282"/>
      <c r="H5572" s="273"/>
      <c r="I5572" s="274"/>
      <c r="J5572" s="274"/>
      <c r="K5572" s="274"/>
      <c r="L5572" s="274"/>
      <c r="M5572" s="274"/>
      <c r="N5572" s="274"/>
      <c r="P5572" s="275"/>
    </row>
    <row r="5573" ht="15.75" customHeight="1">
      <c r="B5573" s="282"/>
      <c r="H5573" s="273"/>
      <c r="I5573" s="274"/>
      <c r="J5573" s="274"/>
      <c r="K5573" s="274"/>
      <c r="L5573" s="274"/>
      <c r="M5573" s="274"/>
      <c r="N5573" s="274"/>
      <c r="P5573" s="275"/>
    </row>
    <row r="5574" ht="15.75" customHeight="1">
      <c r="B5574" s="282"/>
      <c r="H5574" s="273"/>
      <c r="I5574" s="274"/>
      <c r="J5574" s="274"/>
      <c r="K5574" s="274"/>
      <c r="L5574" s="274"/>
      <c r="M5574" s="274"/>
      <c r="N5574" s="274"/>
      <c r="P5574" s="275"/>
    </row>
    <row r="5575" ht="15.75" customHeight="1">
      <c r="B5575" s="282"/>
      <c r="H5575" s="273"/>
      <c r="I5575" s="274"/>
      <c r="J5575" s="274"/>
      <c r="K5575" s="274"/>
      <c r="L5575" s="274"/>
      <c r="M5575" s="274"/>
      <c r="N5575" s="274"/>
      <c r="P5575" s="275"/>
    </row>
    <row r="5576" ht="15.75" customHeight="1">
      <c r="B5576" s="282"/>
      <c r="H5576" s="273"/>
      <c r="I5576" s="274"/>
      <c r="J5576" s="274"/>
      <c r="K5576" s="274"/>
      <c r="L5576" s="274"/>
      <c r="M5576" s="274"/>
      <c r="N5576" s="274"/>
      <c r="P5576" s="275"/>
    </row>
    <row r="5577" ht="15.75" customHeight="1">
      <c r="B5577" s="282"/>
      <c r="H5577" s="273"/>
      <c r="I5577" s="274"/>
      <c r="J5577" s="274"/>
      <c r="K5577" s="274"/>
      <c r="L5577" s="274"/>
      <c r="M5577" s="274"/>
      <c r="N5577" s="274"/>
      <c r="P5577" s="275"/>
    </row>
    <row r="5578" ht="15.75" customHeight="1">
      <c r="B5578" s="282"/>
      <c r="H5578" s="273"/>
      <c r="I5578" s="274"/>
      <c r="J5578" s="274"/>
      <c r="K5578" s="274"/>
      <c r="L5578" s="274"/>
      <c r="M5578" s="274"/>
      <c r="N5578" s="274"/>
      <c r="P5578" s="275"/>
    </row>
    <row r="5579" ht="15.75" customHeight="1">
      <c r="B5579" s="282"/>
      <c r="H5579" s="273"/>
      <c r="I5579" s="274"/>
      <c r="J5579" s="274"/>
      <c r="K5579" s="274"/>
      <c r="L5579" s="274"/>
      <c r="M5579" s="274"/>
      <c r="N5579" s="274"/>
      <c r="P5579" s="275"/>
    </row>
    <row r="5580" ht="15.75" customHeight="1">
      <c r="B5580" s="282"/>
      <c r="H5580" s="273"/>
      <c r="I5580" s="274"/>
      <c r="J5580" s="274"/>
      <c r="K5580" s="274"/>
      <c r="L5580" s="274"/>
      <c r="M5580" s="274"/>
      <c r="N5580" s="274"/>
      <c r="P5580" s="275"/>
    </row>
    <row r="5581" ht="15.75" customHeight="1">
      <c r="B5581" s="282"/>
      <c r="H5581" s="273"/>
      <c r="I5581" s="274"/>
      <c r="J5581" s="274"/>
      <c r="K5581" s="274"/>
      <c r="L5581" s="274"/>
      <c r="M5581" s="274"/>
      <c r="N5581" s="274"/>
      <c r="P5581" s="275"/>
    </row>
    <row r="5582" ht="15.75" customHeight="1">
      <c r="B5582" s="282"/>
      <c r="H5582" s="273"/>
      <c r="I5582" s="274"/>
      <c r="J5582" s="274"/>
      <c r="K5582" s="274"/>
      <c r="L5582" s="274"/>
      <c r="M5582" s="274"/>
      <c r="N5582" s="274"/>
      <c r="P5582" s="275"/>
    </row>
    <row r="5583" ht="15.75" customHeight="1">
      <c r="B5583" s="282"/>
      <c r="H5583" s="273"/>
      <c r="I5583" s="274"/>
      <c r="J5583" s="274"/>
      <c r="K5583" s="274"/>
      <c r="L5583" s="274"/>
      <c r="M5583" s="274"/>
      <c r="N5583" s="274"/>
      <c r="P5583" s="275"/>
    </row>
    <row r="5584" ht="15.75" customHeight="1">
      <c r="B5584" s="282"/>
      <c r="H5584" s="273"/>
      <c r="I5584" s="274"/>
      <c r="J5584" s="274"/>
      <c r="K5584" s="274"/>
      <c r="L5584" s="274"/>
      <c r="M5584" s="274"/>
      <c r="N5584" s="274"/>
      <c r="P5584" s="275"/>
    </row>
    <row r="5585" ht="15.75" customHeight="1">
      <c r="B5585" s="282"/>
      <c r="H5585" s="273"/>
      <c r="I5585" s="274"/>
      <c r="J5585" s="274"/>
      <c r="K5585" s="274"/>
      <c r="L5585" s="274"/>
      <c r="M5585" s="274"/>
      <c r="N5585" s="274"/>
      <c r="P5585" s="275"/>
    </row>
    <row r="5586" ht="15.75" customHeight="1">
      <c r="B5586" s="282"/>
      <c r="H5586" s="273"/>
      <c r="I5586" s="274"/>
      <c r="J5586" s="274"/>
      <c r="K5586" s="274"/>
      <c r="L5586" s="274"/>
      <c r="M5586" s="274"/>
      <c r="N5586" s="274"/>
      <c r="P5586" s="275"/>
    </row>
    <row r="5587" ht="15.75" customHeight="1">
      <c r="B5587" s="282"/>
      <c r="H5587" s="273"/>
      <c r="I5587" s="274"/>
      <c r="J5587" s="274"/>
      <c r="K5587" s="274"/>
      <c r="L5587" s="274"/>
      <c r="M5587" s="274"/>
      <c r="N5587" s="274"/>
      <c r="P5587" s="275"/>
    </row>
    <row r="5588" ht="15.75" customHeight="1">
      <c r="B5588" s="282"/>
      <c r="H5588" s="273"/>
      <c r="I5588" s="274"/>
      <c r="J5588" s="274"/>
      <c r="K5588" s="274"/>
      <c r="L5588" s="274"/>
      <c r="M5588" s="274"/>
      <c r="N5588" s="274"/>
      <c r="P5588" s="275"/>
    </row>
    <row r="5589" ht="15.75" customHeight="1">
      <c r="B5589" s="282"/>
      <c r="H5589" s="273"/>
      <c r="I5589" s="274"/>
      <c r="J5589" s="274"/>
      <c r="K5589" s="274"/>
      <c r="L5589" s="274"/>
      <c r="M5589" s="274"/>
      <c r="N5589" s="274"/>
      <c r="P5589" s="275"/>
    </row>
    <row r="5590" ht="15.75" customHeight="1">
      <c r="B5590" s="282"/>
      <c r="H5590" s="273"/>
      <c r="I5590" s="274"/>
      <c r="J5590" s="274"/>
      <c r="K5590" s="274"/>
      <c r="L5590" s="274"/>
      <c r="M5590" s="274"/>
      <c r="N5590" s="274"/>
      <c r="P5590" s="275"/>
    </row>
    <row r="5591" ht="15.75" customHeight="1">
      <c r="B5591" s="282"/>
      <c r="H5591" s="273"/>
      <c r="I5591" s="274"/>
      <c r="J5591" s="274"/>
      <c r="K5591" s="274"/>
      <c r="L5591" s="274"/>
      <c r="M5591" s="274"/>
      <c r="N5591" s="274"/>
      <c r="P5591" s="275"/>
    </row>
    <row r="5592" ht="15.75" customHeight="1">
      <c r="B5592" s="282"/>
      <c r="H5592" s="273"/>
      <c r="I5592" s="274"/>
      <c r="J5592" s="274"/>
      <c r="K5592" s="274"/>
      <c r="L5592" s="274"/>
      <c r="M5592" s="274"/>
      <c r="N5592" s="274"/>
      <c r="P5592" s="275"/>
    </row>
    <row r="5593" ht="15.75" customHeight="1">
      <c r="B5593" s="282"/>
      <c r="H5593" s="273"/>
      <c r="I5593" s="274"/>
      <c r="J5593" s="274"/>
      <c r="K5593" s="274"/>
      <c r="L5593" s="274"/>
      <c r="M5593" s="274"/>
      <c r="N5593" s="274"/>
      <c r="P5593" s="275"/>
    </row>
    <row r="5594" ht="15.75" customHeight="1">
      <c r="B5594" s="282"/>
      <c r="H5594" s="273"/>
      <c r="I5594" s="274"/>
      <c r="J5594" s="274"/>
      <c r="K5594" s="274"/>
      <c r="L5594" s="274"/>
      <c r="M5594" s="274"/>
      <c r="N5594" s="274"/>
      <c r="P5594" s="275"/>
    </row>
    <row r="5595" ht="15.75" customHeight="1">
      <c r="B5595" s="282"/>
      <c r="H5595" s="273"/>
      <c r="I5595" s="274"/>
      <c r="J5595" s="274"/>
      <c r="K5595" s="274"/>
      <c r="L5595" s="274"/>
      <c r="M5595" s="274"/>
      <c r="N5595" s="274"/>
      <c r="P5595" s="275"/>
    </row>
    <row r="5596" ht="15.75" customHeight="1">
      <c r="B5596" s="282"/>
      <c r="H5596" s="273"/>
      <c r="I5596" s="274"/>
      <c r="J5596" s="274"/>
      <c r="K5596" s="274"/>
      <c r="L5596" s="274"/>
      <c r="M5596" s="274"/>
      <c r="N5596" s="274"/>
      <c r="P5596" s="275"/>
    </row>
    <row r="5597" ht="15.75" customHeight="1">
      <c r="B5597" s="282"/>
      <c r="H5597" s="273"/>
      <c r="I5597" s="274"/>
      <c r="J5597" s="274"/>
      <c r="K5597" s="274"/>
      <c r="L5597" s="274"/>
      <c r="M5597" s="274"/>
      <c r="N5597" s="274"/>
      <c r="P5597" s="275"/>
    </row>
    <row r="5598" ht="15.75" customHeight="1">
      <c r="B5598" s="282"/>
      <c r="H5598" s="273"/>
      <c r="I5598" s="274"/>
      <c r="J5598" s="274"/>
      <c r="K5598" s="274"/>
      <c r="L5598" s="274"/>
      <c r="M5598" s="274"/>
      <c r="N5598" s="274"/>
      <c r="P5598" s="275"/>
    </row>
    <row r="5599" ht="15.75" customHeight="1">
      <c r="B5599" s="282"/>
      <c r="H5599" s="273"/>
      <c r="I5599" s="274"/>
      <c r="J5599" s="274"/>
      <c r="K5599" s="274"/>
      <c r="L5599" s="274"/>
      <c r="M5599" s="274"/>
      <c r="N5599" s="274"/>
      <c r="P5599" s="275"/>
    </row>
    <row r="5600" ht="15.75" customHeight="1">
      <c r="B5600" s="282"/>
      <c r="H5600" s="273"/>
      <c r="I5600" s="274"/>
      <c r="J5600" s="274"/>
      <c r="K5600" s="274"/>
      <c r="L5600" s="274"/>
      <c r="M5600" s="274"/>
      <c r="N5600" s="274"/>
      <c r="P5600" s="275"/>
    </row>
    <row r="5601" ht="15.75" customHeight="1">
      <c r="B5601" s="282"/>
      <c r="H5601" s="273"/>
      <c r="I5601" s="274"/>
      <c r="J5601" s="274"/>
      <c r="K5601" s="274"/>
      <c r="L5601" s="274"/>
      <c r="M5601" s="274"/>
      <c r="N5601" s="274"/>
      <c r="P5601" s="275"/>
    </row>
    <row r="5602" ht="15.75" customHeight="1">
      <c r="B5602" s="282"/>
      <c r="H5602" s="273"/>
      <c r="I5602" s="274"/>
      <c r="J5602" s="274"/>
      <c r="K5602" s="274"/>
      <c r="L5602" s="274"/>
      <c r="M5602" s="274"/>
      <c r="N5602" s="274"/>
      <c r="P5602" s="275"/>
    </row>
    <row r="5603" ht="15.75" customHeight="1">
      <c r="B5603" s="282"/>
      <c r="H5603" s="273"/>
      <c r="I5603" s="274"/>
      <c r="J5603" s="274"/>
      <c r="K5603" s="274"/>
      <c r="L5603" s="274"/>
      <c r="M5603" s="274"/>
      <c r="N5603" s="274"/>
      <c r="P5603" s="275"/>
    </row>
    <row r="5604" ht="15.75" customHeight="1">
      <c r="B5604" s="282"/>
      <c r="H5604" s="273"/>
      <c r="I5604" s="274"/>
      <c r="J5604" s="274"/>
      <c r="K5604" s="274"/>
      <c r="L5604" s="274"/>
      <c r="M5604" s="274"/>
      <c r="N5604" s="274"/>
      <c r="P5604" s="275"/>
    </row>
    <row r="5605" ht="15.75" customHeight="1">
      <c r="B5605" s="282"/>
      <c r="H5605" s="273"/>
      <c r="I5605" s="274"/>
      <c r="J5605" s="274"/>
      <c r="K5605" s="274"/>
      <c r="L5605" s="274"/>
      <c r="M5605" s="274"/>
      <c r="N5605" s="274"/>
      <c r="P5605" s="275"/>
    </row>
    <row r="5606" ht="15.75" customHeight="1">
      <c r="B5606" s="282"/>
      <c r="H5606" s="273"/>
      <c r="I5606" s="274"/>
      <c r="J5606" s="274"/>
      <c r="K5606" s="274"/>
      <c r="L5606" s="274"/>
      <c r="M5606" s="274"/>
      <c r="N5606" s="274"/>
      <c r="P5606" s="275"/>
    </row>
    <row r="5607" ht="15.75" customHeight="1">
      <c r="B5607" s="282"/>
      <c r="H5607" s="273"/>
      <c r="I5607" s="274"/>
      <c r="J5607" s="274"/>
      <c r="K5607" s="274"/>
      <c r="L5607" s="274"/>
      <c r="M5607" s="274"/>
      <c r="N5607" s="274"/>
      <c r="P5607" s="275"/>
    </row>
    <row r="5608" ht="15.75" customHeight="1">
      <c r="B5608" s="282"/>
      <c r="H5608" s="273"/>
      <c r="I5608" s="274"/>
      <c r="J5608" s="274"/>
      <c r="K5608" s="274"/>
      <c r="L5608" s="274"/>
      <c r="M5608" s="274"/>
      <c r="N5608" s="274"/>
      <c r="P5608" s="275"/>
    </row>
    <row r="5609" ht="15.75" customHeight="1">
      <c r="B5609" s="282"/>
      <c r="H5609" s="273"/>
      <c r="I5609" s="274"/>
      <c r="J5609" s="274"/>
      <c r="K5609" s="274"/>
      <c r="L5609" s="274"/>
      <c r="M5609" s="274"/>
      <c r="N5609" s="274"/>
      <c r="P5609" s="275"/>
    </row>
    <row r="5610" ht="15.75" customHeight="1">
      <c r="B5610" s="282"/>
      <c r="H5610" s="273"/>
      <c r="I5610" s="274"/>
      <c r="J5610" s="274"/>
      <c r="K5610" s="274"/>
      <c r="L5610" s="274"/>
      <c r="M5610" s="274"/>
      <c r="N5610" s="274"/>
      <c r="P5610" s="275"/>
    </row>
    <row r="5611" ht="15.75" customHeight="1">
      <c r="B5611" s="282"/>
      <c r="H5611" s="273"/>
      <c r="I5611" s="274"/>
      <c r="J5611" s="274"/>
      <c r="K5611" s="274"/>
      <c r="L5611" s="274"/>
      <c r="M5611" s="274"/>
      <c r="N5611" s="274"/>
      <c r="P5611" s="275"/>
    </row>
    <row r="5612" ht="15.75" customHeight="1">
      <c r="B5612" s="282"/>
      <c r="H5612" s="273"/>
      <c r="I5612" s="274"/>
      <c r="J5612" s="274"/>
      <c r="K5612" s="274"/>
      <c r="L5612" s="274"/>
      <c r="M5612" s="274"/>
      <c r="N5612" s="274"/>
      <c r="P5612" s="275"/>
    </row>
    <row r="5613" ht="15.75" customHeight="1">
      <c r="B5613" s="282"/>
      <c r="H5613" s="273"/>
      <c r="I5613" s="274"/>
      <c r="J5613" s="274"/>
      <c r="K5613" s="274"/>
      <c r="L5613" s="274"/>
      <c r="M5613" s="274"/>
      <c r="N5613" s="274"/>
      <c r="P5613" s="275"/>
    </row>
    <row r="5614" ht="15.75" customHeight="1">
      <c r="B5614" s="282"/>
      <c r="H5614" s="273"/>
      <c r="I5614" s="274"/>
      <c r="J5614" s="274"/>
      <c r="K5614" s="274"/>
      <c r="L5614" s="274"/>
      <c r="M5614" s="274"/>
      <c r="N5614" s="274"/>
      <c r="P5614" s="275"/>
    </row>
    <row r="5615" ht="15.75" customHeight="1">
      <c r="B5615" s="282"/>
      <c r="H5615" s="273"/>
      <c r="I5615" s="274"/>
      <c r="J5615" s="274"/>
      <c r="K5615" s="274"/>
      <c r="L5615" s="274"/>
      <c r="M5615" s="274"/>
      <c r="N5615" s="274"/>
      <c r="P5615" s="275"/>
    </row>
    <row r="5616" ht="15.75" customHeight="1">
      <c r="B5616" s="282"/>
      <c r="H5616" s="273"/>
      <c r="I5616" s="274"/>
      <c r="J5616" s="274"/>
      <c r="K5616" s="274"/>
      <c r="L5616" s="274"/>
      <c r="M5616" s="274"/>
      <c r="N5616" s="274"/>
      <c r="P5616" s="275"/>
    </row>
    <row r="5617" ht="15.75" customHeight="1">
      <c r="B5617" s="282"/>
      <c r="H5617" s="273"/>
      <c r="I5617" s="274"/>
      <c r="J5617" s="274"/>
      <c r="K5617" s="274"/>
      <c r="L5617" s="274"/>
      <c r="M5617" s="274"/>
      <c r="N5617" s="274"/>
      <c r="P5617" s="275"/>
    </row>
    <row r="5618" ht="15.75" customHeight="1">
      <c r="B5618" s="282"/>
      <c r="H5618" s="273"/>
      <c r="I5618" s="274"/>
      <c r="J5618" s="274"/>
      <c r="K5618" s="274"/>
      <c r="L5618" s="274"/>
      <c r="M5618" s="274"/>
      <c r="N5618" s="274"/>
      <c r="P5618" s="275"/>
    </row>
    <row r="5619" ht="15.75" customHeight="1">
      <c r="B5619" s="282"/>
      <c r="H5619" s="273"/>
      <c r="I5619" s="274"/>
      <c r="J5619" s="274"/>
      <c r="K5619" s="274"/>
      <c r="L5619" s="274"/>
      <c r="M5619" s="274"/>
      <c r="N5619" s="274"/>
      <c r="P5619" s="275"/>
    </row>
    <row r="5620" ht="15.75" customHeight="1">
      <c r="B5620" s="282"/>
      <c r="H5620" s="273"/>
      <c r="I5620" s="274"/>
      <c r="J5620" s="274"/>
      <c r="K5620" s="274"/>
      <c r="L5620" s="274"/>
      <c r="M5620" s="274"/>
      <c r="N5620" s="274"/>
      <c r="P5620" s="275"/>
    </row>
    <row r="5621" ht="15.75" customHeight="1">
      <c r="B5621" s="282"/>
      <c r="H5621" s="273"/>
      <c r="I5621" s="274"/>
      <c r="J5621" s="274"/>
      <c r="K5621" s="274"/>
      <c r="L5621" s="274"/>
      <c r="M5621" s="274"/>
      <c r="N5621" s="274"/>
      <c r="P5621" s="275"/>
    </row>
    <row r="5622" ht="15.75" customHeight="1">
      <c r="B5622" s="282"/>
      <c r="H5622" s="273"/>
      <c r="I5622" s="274"/>
      <c r="J5622" s="274"/>
      <c r="K5622" s="274"/>
      <c r="L5622" s="274"/>
      <c r="M5622" s="274"/>
      <c r="N5622" s="274"/>
      <c r="P5622" s="275"/>
    </row>
    <row r="5623" ht="15.75" customHeight="1">
      <c r="B5623" s="282"/>
      <c r="H5623" s="273"/>
      <c r="I5623" s="274"/>
      <c r="J5623" s="274"/>
      <c r="K5623" s="274"/>
      <c r="L5623" s="274"/>
      <c r="M5623" s="274"/>
      <c r="N5623" s="274"/>
      <c r="P5623" s="275"/>
    </row>
    <row r="5624" ht="15.75" customHeight="1">
      <c r="B5624" s="282"/>
      <c r="H5624" s="273"/>
      <c r="I5624" s="274"/>
      <c r="J5624" s="274"/>
      <c r="K5624" s="274"/>
      <c r="L5624" s="274"/>
      <c r="M5624" s="274"/>
      <c r="N5624" s="274"/>
      <c r="P5624" s="275"/>
    </row>
    <row r="5625" ht="15.75" customHeight="1">
      <c r="B5625" s="282"/>
      <c r="H5625" s="273"/>
      <c r="I5625" s="274"/>
      <c r="J5625" s="274"/>
      <c r="K5625" s="274"/>
      <c r="L5625" s="274"/>
      <c r="M5625" s="274"/>
      <c r="N5625" s="274"/>
      <c r="P5625" s="275"/>
    </row>
    <row r="5626" ht="15.75" customHeight="1">
      <c r="B5626" s="282"/>
      <c r="H5626" s="273"/>
      <c r="I5626" s="274"/>
      <c r="J5626" s="274"/>
      <c r="K5626" s="274"/>
      <c r="L5626" s="274"/>
      <c r="M5626" s="274"/>
      <c r="N5626" s="274"/>
      <c r="P5626" s="275"/>
    </row>
    <row r="5627" ht="15.75" customHeight="1">
      <c r="B5627" s="282"/>
      <c r="H5627" s="273"/>
      <c r="I5627" s="274"/>
      <c r="J5627" s="274"/>
      <c r="K5627" s="274"/>
      <c r="L5627" s="274"/>
      <c r="M5627" s="274"/>
      <c r="N5627" s="274"/>
      <c r="P5627" s="275"/>
    </row>
    <row r="5628" ht="15.75" customHeight="1">
      <c r="B5628" s="282"/>
      <c r="H5628" s="273"/>
      <c r="I5628" s="274"/>
      <c r="J5628" s="274"/>
      <c r="K5628" s="274"/>
      <c r="L5628" s="274"/>
      <c r="M5628" s="274"/>
      <c r="N5628" s="274"/>
      <c r="P5628" s="275"/>
    </row>
    <row r="5629" ht="15.75" customHeight="1">
      <c r="B5629" s="282"/>
      <c r="H5629" s="273"/>
      <c r="I5629" s="274"/>
      <c r="J5629" s="274"/>
      <c r="K5629" s="274"/>
      <c r="L5629" s="274"/>
      <c r="M5629" s="274"/>
      <c r="N5629" s="274"/>
      <c r="P5629" s="275"/>
    </row>
    <row r="5630" ht="15.75" customHeight="1">
      <c r="B5630" s="282"/>
      <c r="H5630" s="273"/>
      <c r="I5630" s="274"/>
      <c r="J5630" s="274"/>
      <c r="K5630" s="274"/>
      <c r="L5630" s="274"/>
      <c r="M5630" s="274"/>
      <c r="N5630" s="274"/>
      <c r="P5630" s="275"/>
    </row>
    <row r="5631" ht="15.75" customHeight="1">
      <c r="B5631" s="282"/>
      <c r="H5631" s="273"/>
      <c r="I5631" s="274"/>
      <c r="J5631" s="274"/>
      <c r="K5631" s="274"/>
      <c r="L5631" s="274"/>
      <c r="M5631" s="274"/>
      <c r="N5631" s="274"/>
      <c r="P5631" s="275"/>
    </row>
    <row r="5632" ht="15.75" customHeight="1">
      <c r="B5632" s="282"/>
      <c r="H5632" s="273"/>
      <c r="I5632" s="274"/>
      <c r="J5632" s="274"/>
      <c r="K5632" s="274"/>
      <c r="L5632" s="274"/>
      <c r="M5632" s="274"/>
      <c r="N5632" s="274"/>
      <c r="P5632" s="275"/>
    </row>
    <row r="5633" ht="15.75" customHeight="1">
      <c r="B5633" s="282"/>
      <c r="H5633" s="273"/>
      <c r="I5633" s="274"/>
      <c r="J5633" s="274"/>
      <c r="K5633" s="274"/>
      <c r="L5633" s="274"/>
      <c r="M5633" s="274"/>
      <c r="N5633" s="274"/>
      <c r="P5633" s="275"/>
    </row>
    <row r="5634" ht="15.75" customHeight="1">
      <c r="B5634" s="282"/>
      <c r="H5634" s="273"/>
      <c r="I5634" s="274"/>
      <c r="J5634" s="274"/>
      <c r="K5634" s="274"/>
      <c r="L5634" s="274"/>
      <c r="M5634" s="274"/>
      <c r="N5634" s="274"/>
      <c r="P5634" s="275"/>
    </row>
    <row r="5635" ht="15.75" customHeight="1">
      <c r="B5635" s="282"/>
      <c r="H5635" s="273"/>
      <c r="I5635" s="274"/>
      <c r="J5635" s="274"/>
      <c r="K5635" s="274"/>
      <c r="L5635" s="274"/>
      <c r="M5635" s="274"/>
      <c r="N5635" s="274"/>
      <c r="P5635" s="275"/>
    </row>
    <row r="5636" ht="15.75" customHeight="1">
      <c r="B5636" s="282"/>
      <c r="H5636" s="273"/>
      <c r="I5636" s="274"/>
      <c r="J5636" s="274"/>
      <c r="K5636" s="274"/>
      <c r="L5636" s="274"/>
      <c r="M5636" s="274"/>
      <c r="N5636" s="274"/>
      <c r="P5636" s="275"/>
    </row>
    <row r="5637" ht="15.75" customHeight="1">
      <c r="B5637" s="282"/>
      <c r="H5637" s="273"/>
      <c r="I5637" s="274"/>
      <c r="J5637" s="274"/>
      <c r="K5637" s="274"/>
      <c r="L5637" s="274"/>
      <c r="M5637" s="274"/>
      <c r="N5637" s="274"/>
      <c r="P5637" s="275"/>
    </row>
    <row r="5638" ht="15.75" customHeight="1">
      <c r="B5638" s="282"/>
      <c r="H5638" s="273"/>
      <c r="I5638" s="274"/>
      <c r="J5638" s="274"/>
      <c r="K5638" s="274"/>
      <c r="L5638" s="274"/>
      <c r="M5638" s="274"/>
      <c r="N5638" s="274"/>
      <c r="P5638" s="275"/>
    </row>
    <row r="5639" ht="15.75" customHeight="1">
      <c r="B5639" s="282"/>
      <c r="H5639" s="273"/>
      <c r="I5639" s="274"/>
      <c r="J5639" s="274"/>
      <c r="K5639" s="274"/>
      <c r="L5639" s="274"/>
      <c r="M5639" s="274"/>
      <c r="N5639" s="274"/>
      <c r="P5639" s="275"/>
    </row>
    <row r="5640" ht="15.75" customHeight="1">
      <c r="B5640" s="282"/>
      <c r="H5640" s="273"/>
      <c r="I5640" s="274"/>
      <c r="J5640" s="274"/>
      <c r="K5640" s="274"/>
      <c r="L5640" s="274"/>
      <c r="M5640" s="274"/>
      <c r="N5640" s="274"/>
      <c r="P5640" s="275"/>
    </row>
    <row r="5641" ht="15.75" customHeight="1">
      <c r="B5641" s="282"/>
      <c r="H5641" s="273"/>
      <c r="I5641" s="274"/>
      <c r="J5641" s="274"/>
      <c r="K5641" s="274"/>
      <c r="L5641" s="274"/>
      <c r="M5641" s="274"/>
      <c r="N5641" s="274"/>
      <c r="P5641" s="275"/>
    </row>
    <row r="5642" ht="15.75" customHeight="1">
      <c r="B5642" s="282"/>
      <c r="H5642" s="273"/>
      <c r="I5642" s="274"/>
      <c r="J5642" s="274"/>
      <c r="K5642" s="274"/>
      <c r="L5642" s="274"/>
      <c r="M5642" s="274"/>
      <c r="N5642" s="274"/>
      <c r="P5642" s="275"/>
    </row>
    <row r="5643" ht="15.75" customHeight="1">
      <c r="B5643" s="282"/>
      <c r="H5643" s="273"/>
      <c r="I5643" s="274"/>
      <c r="J5643" s="274"/>
      <c r="K5643" s="274"/>
      <c r="L5643" s="274"/>
      <c r="M5643" s="274"/>
      <c r="N5643" s="274"/>
      <c r="P5643" s="275"/>
    </row>
    <row r="5644" ht="15.75" customHeight="1">
      <c r="B5644" s="282"/>
      <c r="H5644" s="273"/>
      <c r="I5644" s="274"/>
      <c r="J5644" s="274"/>
      <c r="K5644" s="274"/>
      <c r="L5644" s="274"/>
      <c r="M5644" s="274"/>
      <c r="N5644" s="274"/>
      <c r="P5644" s="275"/>
    </row>
    <row r="5645" ht="15.75" customHeight="1">
      <c r="B5645" s="282"/>
      <c r="H5645" s="273"/>
      <c r="I5645" s="274"/>
      <c r="J5645" s="274"/>
      <c r="K5645" s="274"/>
      <c r="L5645" s="274"/>
      <c r="M5645" s="274"/>
      <c r="N5645" s="274"/>
      <c r="P5645" s="275"/>
    </row>
    <row r="5646" ht="15.75" customHeight="1">
      <c r="B5646" s="282"/>
      <c r="H5646" s="273"/>
      <c r="I5646" s="274"/>
      <c r="J5646" s="274"/>
      <c r="K5646" s="274"/>
      <c r="L5646" s="274"/>
      <c r="M5646" s="274"/>
      <c r="N5646" s="274"/>
      <c r="P5646" s="275"/>
    </row>
    <row r="5647" ht="15.75" customHeight="1">
      <c r="B5647" s="282"/>
      <c r="H5647" s="273"/>
      <c r="I5647" s="274"/>
      <c r="J5647" s="274"/>
      <c r="K5647" s="274"/>
      <c r="L5647" s="274"/>
      <c r="M5647" s="274"/>
      <c r="N5647" s="274"/>
      <c r="P5647" s="275"/>
    </row>
    <row r="5648" ht="15.75" customHeight="1">
      <c r="B5648" s="282"/>
      <c r="H5648" s="273"/>
      <c r="I5648" s="274"/>
      <c r="J5648" s="274"/>
      <c r="K5648" s="274"/>
      <c r="L5648" s="274"/>
      <c r="M5648" s="274"/>
      <c r="N5648" s="274"/>
      <c r="P5648" s="275"/>
    </row>
    <row r="5649" ht="15.75" customHeight="1">
      <c r="B5649" s="282"/>
      <c r="H5649" s="273"/>
      <c r="I5649" s="274"/>
      <c r="J5649" s="274"/>
      <c r="K5649" s="274"/>
      <c r="L5649" s="274"/>
      <c r="M5649" s="274"/>
      <c r="N5649" s="274"/>
      <c r="P5649" s="275"/>
    </row>
    <row r="5650" ht="15.75" customHeight="1">
      <c r="B5650" s="282"/>
      <c r="H5650" s="273"/>
      <c r="I5650" s="274"/>
      <c r="J5650" s="274"/>
      <c r="K5650" s="274"/>
      <c r="L5650" s="274"/>
      <c r="M5650" s="274"/>
      <c r="N5650" s="274"/>
      <c r="P5650" s="275"/>
    </row>
    <row r="5651" ht="15.75" customHeight="1">
      <c r="B5651" s="282"/>
      <c r="H5651" s="273"/>
      <c r="I5651" s="274"/>
      <c r="J5651" s="274"/>
      <c r="K5651" s="274"/>
      <c r="L5651" s="274"/>
      <c r="M5651" s="274"/>
      <c r="N5651" s="274"/>
      <c r="P5651" s="275"/>
    </row>
    <row r="5652" ht="15.75" customHeight="1">
      <c r="B5652" s="282"/>
      <c r="H5652" s="273"/>
      <c r="I5652" s="274"/>
      <c r="J5652" s="274"/>
      <c r="K5652" s="274"/>
      <c r="L5652" s="274"/>
      <c r="M5652" s="274"/>
      <c r="N5652" s="274"/>
      <c r="P5652" s="275"/>
    </row>
    <row r="5653" ht="15.75" customHeight="1">
      <c r="B5653" s="282"/>
      <c r="H5653" s="273"/>
      <c r="I5653" s="274"/>
      <c r="J5653" s="274"/>
      <c r="K5653" s="274"/>
      <c r="L5653" s="274"/>
      <c r="M5653" s="274"/>
      <c r="N5653" s="274"/>
      <c r="P5653" s="275"/>
    </row>
    <row r="5654" ht="15.75" customHeight="1">
      <c r="B5654" s="282"/>
      <c r="H5654" s="273"/>
      <c r="I5654" s="274"/>
      <c r="J5654" s="274"/>
      <c r="K5654" s="274"/>
      <c r="L5654" s="274"/>
      <c r="M5654" s="274"/>
      <c r="N5654" s="274"/>
      <c r="P5654" s="275"/>
    </row>
    <row r="5655" ht="15.75" customHeight="1">
      <c r="B5655" s="282"/>
      <c r="H5655" s="273"/>
      <c r="I5655" s="274"/>
      <c r="J5655" s="274"/>
      <c r="K5655" s="274"/>
      <c r="L5655" s="274"/>
      <c r="M5655" s="274"/>
      <c r="N5655" s="274"/>
      <c r="P5655" s="275"/>
    </row>
    <row r="5656" ht="15.75" customHeight="1">
      <c r="B5656" s="282"/>
      <c r="H5656" s="273"/>
      <c r="I5656" s="274"/>
      <c r="J5656" s="274"/>
      <c r="K5656" s="274"/>
      <c r="L5656" s="274"/>
      <c r="M5656" s="274"/>
      <c r="N5656" s="274"/>
      <c r="P5656" s="275"/>
    </row>
    <row r="5657" ht="15.75" customHeight="1">
      <c r="B5657" s="282"/>
      <c r="H5657" s="273"/>
      <c r="I5657" s="274"/>
      <c r="J5657" s="274"/>
      <c r="K5657" s="274"/>
      <c r="L5657" s="274"/>
      <c r="M5657" s="274"/>
      <c r="N5657" s="274"/>
      <c r="P5657" s="275"/>
    </row>
    <row r="5658" ht="15.75" customHeight="1">
      <c r="B5658" s="282"/>
      <c r="H5658" s="273"/>
      <c r="I5658" s="274"/>
      <c r="J5658" s="274"/>
      <c r="K5658" s="274"/>
      <c r="L5658" s="274"/>
      <c r="M5658" s="274"/>
      <c r="N5658" s="274"/>
      <c r="P5658" s="275"/>
    </row>
    <row r="5659" ht="15.75" customHeight="1">
      <c r="B5659" s="282"/>
      <c r="H5659" s="273"/>
      <c r="I5659" s="274"/>
      <c r="J5659" s="274"/>
      <c r="K5659" s="274"/>
      <c r="L5659" s="274"/>
      <c r="M5659" s="274"/>
      <c r="N5659" s="274"/>
      <c r="P5659" s="275"/>
    </row>
    <row r="5660" ht="15.75" customHeight="1">
      <c r="B5660" s="282"/>
      <c r="H5660" s="273"/>
      <c r="I5660" s="274"/>
      <c r="J5660" s="274"/>
      <c r="K5660" s="274"/>
      <c r="L5660" s="274"/>
      <c r="M5660" s="274"/>
      <c r="N5660" s="274"/>
      <c r="P5660" s="275"/>
    </row>
    <row r="5661" ht="15.75" customHeight="1">
      <c r="B5661" s="282"/>
      <c r="H5661" s="273"/>
      <c r="I5661" s="274"/>
      <c r="J5661" s="274"/>
      <c r="K5661" s="274"/>
      <c r="L5661" s="274"/>
      <c r="M5661" s="274"/>
      <c r="N5661" s="274"/>
      <c r="P5661" s="275"/>
    </row>
    <row r="5662" ht="15.75" customHeight="1">
      <c r="B5662" s="282"/>
      <c r="H5662" s="273"/>
      <c r="I5662" s="274"/>
      <c r="J5662" s="274"/>
      <c r="K5662" s="274"/>
      <c r="L5662" s="274"/>
      <c r="M5662" s="274"/>
      <c r="N5662" s="274"/>
      <c r="P5662" s="275"/>
    </row>
    <row r="5663" ht="15.75" customHeight="1">
      <c r="B5663" s="282"/>
      <c r="H5663" s="273"/>
      <c r="I5663" s="274"/>
      <c r="J5663" s="274"/>
      <c r="K5663" s="274"/>
      <c r="L5663" s="274"/>
      <c r="M5663" s="274"/>
      <c r="N5663" s="274"/>
      <c r="P5663" s="275"/>
    </row>
    <row r="5664" ht="15.75" customHeight="1">
      <c r="B5664" s="282"/>
      <c r="H5664" s="273"/>
      <c r="I5664" s="274"/>
      <c r="J5664" s="274"/>
      <c r="K5664" s="274"/>
      <c r="L5664" s="274"/>
      <c r="M5664" s="274"/>
      <c r="N5664" s="274"/>
      <c r="P5664" s="275"/>
    </row>
    <row r="5665" ht="15.75" customHeight="1">
      <c r="B5665" s="282"/>
      <c r="H5665" s="273"/>
      <c r="I5665" s="274"/>
      <c r="J5665" s="274"/>
      <c r="K5665" s="274"/>
      <c r="L5665" s="274"/>
      <c r="M5665" s="274"/>
      <c r="N5665" s="274"/>
      <c r="P5665" s="275"/>
    </row>
    <row r="5666" ht="15.75" customHeight="1">
      <c r="B5666" s="282"/>
      <c r="H5666" s="273"/>
      <c r="I5666" s="274"/>
      <c r="J5666" s="274"/>
      <c r="K5666" s="274"/>
      <c r="L5666" s="274"/>
      <c r="M5666" s="274"/>
      <c r="N5666" s="274"/>
      <c r="P5666" s="275"/>
    </row>
    <row r="5667" ht="15.75" customHeight="1">
      <c r="B5667" s="282"/>
      <c r="H5667" s="273"/>
      <c r="I5667" s="274"/>
      <c r="J5667" s="274"/>
      <c r="K5667" s="274"/>
      <c r="L5667" s="274"/>
      <c r="M5667" s="274"/>
      <c r="N5667" s="274"/>
      <c r="P5667" s="275"/>
    </row>
    <row r="5668" ht="15.75" customHeight="1">
      <c r="B5668" s="282"/>
      <c r="H5668" s="273"/>
      <c r="I5668" s="274"/>
      <c r="J5668" s="274"/>
      <c r="K5668" s="274"/>
      <c r="L5668" s="274"/>
      <c r="M5668" s="274"/>
      <c r="N5668" s="274"/>
      <c r="P5668" s="275"/>
    </row>
    <row r="5669" ht="15.75" customHeight="1">
      <c r="B5669" s="282"/>
      <c r="H5669" s="273"/>
      <c r="I5669" s="274"/>
      <c r="J5669" s="274"/>
      <c r="K5669" s="274"/>
      <c r="L5669" s="274"/>
      <c r="M5669" s="274"/>
      <c r="N5669" s="274"/>
      <c r="P5669" s="275"/>
    </row>
    <row r="5670" ht="15.75" customHeight="1">
      <c r="B5670" s="282"/>
      <c r="H5670" s="273"/>
      <c r="I5670" s="274"/>
      <c r="J5670" s="274"/>
      <c r="K5670" s="274"/>
      <c r="L5670" s="274"/>
      <c r="M5670" s="274"/>
      <c r="N5670" s="274"/>
      <c r="P5670" s="275"/>
    </row>
    <row r="5671" ht="15.75" customHeight="1">
      <c r="B5671" s="282"/>
      <c r="H5671" s="273"/>
      <c r="I5671" s="274"/>
      <c r="J5671" s="274"/>
      <c r="K5671" s="274"/>
      <c r="L5671" s="274"/>
      <c r="M5671" s="274"/>
      <c r="N5671" s="274"/>
      <c r="P5671" s="275"/>
    </row>
    <row r="5672" ht="15.75" customHeight="1">
      <c r="B5672" s="282"/>
      <c r="H5672" s="273"/>
      <c r="I5672" s="274"/>
      <c r="J5672" s="274"/>
      <c r="K5672" s="274"/>
      <c r="L5672" s="274"/>
      <c r="M5672" s="274"/>
      <c r="N5672" s="274"/>
      <c r="P5672" s="275"/>
    </row>
    <row r="5673" ht="15.75" customHeight="1">
      <c r="B5673" s="282"/>
      <c r="H5673" s="273"/>
      <c r="I5673" s="274"/>
      <c r="J5673" s="274"/>
      <c r="K5673" s="274"/>
      <c r="L5673" s="274"/>
      <c r="M5673" s="274"/>
      <c r="N5673" s="274"/>
      <c r="P5673" s="275"/>
    </row>
    <row r="5674" ht="15.75" customHeight="1">
      <c r="B5674" s="282"/>
      <c r="H5674" s="273"/>
      <c r="I5674" s="274"/>
      <c r="J5674" s="274"/>
      <c r="K5674" s="274"/>
      <c r="L5674" s="274"/>
      <c r="M5674" s="274"/>
      <c r="N5674" s="274"/>
      <c r="P5674" s="275"/>
    </row>
    <row r="5675" ht="15.75" customHeight="1">
      <c r="B5675" s="282"/>
      <c r="H5675" s="273"/>
      <c r="I5675" s="274"/>
      <c r="J5675" s="274"/>
      <c r="K5675" s="274"/>
      <c r="L5675" s="274"/>
      <c r="M5675" s="274"/>
      <c r="N5675" s="274"/>
      <c r="P5675" s="275"/>
    </row>
    <row r="5676" ht="15.75" customHeight="1">
      <c r="B5676" s="282"/>
      <c r="H5676" s="273"/>
      <c r="I5676" s="274"/>
      <c r="J5676" s="274"/>
      <c r="K5676" s="274"/>
      <c r="L5676" s="274"/>
      <c r="M5676" s="274"/>
      <c r="N5676" s="274"/>
      <c r="P5676" s="275"/>
    </row>
    <row r="5677" ht="15.75" customHeight="1">
      <c r="B5677" s="282"/>
      <c r="H5677" s="273"/>
      <c r="I5677" s="274"/>
      <c r="J5677" s="274"/>
      <c r="K5677" s="274"/>
      <c r="L5677" s="274"/>
      <c r="M5677" s="274"/>
      <c r="N5677" s="274"/>
      <c r="P5677" s="275"/>
    </row>
    <row r="5678" ht="15.75" customHeight="1">
      <c r="B5678" s="282"/>
      <c r="H5678" s="273"/>
      <c r="I5678" s="274"/>
      <c r="J5678" s="274"/>
      <c r="K5678" s="274"/>
      <c r="L5678" s="274"/>
      <c r="M5678" s="274"/>
      <c r="N5678" s="274"/>
      <c r="P5678" s="275"/>
    </row>
    <row r="5679" ht="15.75" customHeight="1">
      <c r="B5679" s="282"/>
      <c r="H5679" s="273"/>
      <c r="I5679" s="274"/>
      <c r="J5679" s="274"/>
      <c r="K5679" s="274"/>
      <c r="L5679" s="274"/>
      <c r="M5679" s="274"/>
      <c r="N5679" s="274"/>
      <c r="P5679" s="275"/>
    </row>
    <row r="5680" ht="15.75" customHeight="1">
      <c r="B5680" s="282"/>
      <c r="H5680" s="273"/>
      <c r="I5680" s="274"/>
      <c r="J5680" s="274"/>
      <c r="K5680" s="274"/>
      <c r="L5680" s="274"/>
      <c r="M5680" s="274"/>
      <c r="N5680" s="274"/>
      <c r="P5680" s="275"/>
    </row>
    <row r="5681" ht="15.75" customHeight="1">
      <c r="B5681" s="282"/>
      <c r="H5681" s="273"/>
      <c r="I5681" s="274"/>
      <c r="J5681" s="274"/>
      <c r="K5681" s="274"/>
      <c r="L5681" s="274"/>
      <c r="M5681" s="274"/>
      <c r="N5681" s="274"/>
      <c r="P5681" s="275"/>
    </row>
    <row r="5682" ht="15.75" customHeight="1">
      <c r="B5682" s="282"/>
      <c r="H5682" s="273"/>
      <c r="I5682" s="274"/>
      <c r="J5682" s="274"/>
      <c r="K5682" s="274"/>
      <c r="L5682" s="274"/>
      <c r="M5682" s="274"/>
      <c r="N5682" s="274"/>
      <c r="P5682" s="275"/>
    </row>
    <row r="5683" ht="15.75" customHeight="1">
      <c r="B5683" s="282"/>
      <c r="H5683" s="273"/>
      <c r="I5683" s="274"/>
      <c r="J5683" s="274"/>
      <c r="K5683" s="274"/>
      <c r="L5683" s="274"/>
      <c r="M5683" s="274"/>
      <c r="N5683" s="274"/>
      <c r="P5683" s="275"/>
    </row>
    <row r="5684" ht="15.75" customHeight="1">
      <c r="B5684" s="282"/>
      <c r="H5684" s="273"/>
      <c r="I5684" s="274"/>
      <c r="J5684" s="274"/>
      <c r="K5684" s="274"/>
      <c r="L5684" s="274"/>
      <c r="M5684" s="274"/>
      <c r="N5684" s="274"/>
      <c r="P5684" s="275"/>
    </row>
    <row r="5685" ht="15.75" customHeight="1">
      <c r="B5685" s="282"/>
      <c r="H5685" s="273"/>
      <c r="I5685" s="274"/>
      <c r="J5685" s="274"/>
      <c r="K5685" s="274"/>
      <c r="L5685" s="274"/>
      <c r="M5685" s="274"/>
      <c r="N5685" s="274"/>
      <c r="P5685" s="275"/>
    </row>
    <row r="5686" ht="15.75" customHeight="1">
      <c r="B5686" s="282"/>
      <c r="H5686" s="273"/>
      <c r="I5686" s="274"/>
      <c r="J5686" s="274"/>
      <c r="K5686" s="274"/>
      <c r="L5686" s="274"/>
      <c r="M5686" s="274"/>
      <c r="N5686" s="274"/>
      <c r="P5686" s="275"/>
    </row>
    <row r="5687" ht="15.75" customHeight="1">
      <c r="B5687" s="282"/>
      <c r="H5687" s="273"/>
      <c r="I5687" s="274"/>
      <c r="J5687" s="274"/>
      <c r="K5687" s="274"/>
      <c r="L5687" s="274"/>
      <c r="M5687" s="274"/>
      <c r="N5687" s="274"/>
      <c r="P5687" s="275"/>
    </row>
    <row r="5688" ht="15.75" customHeight="1">
      <c r="B5688" s="282"/>
      <c r="H5688" s="273"/>
      <c r="I5688" s="274"/>
      <c r="J5688" s="274"/>
      <c r="K5688" s="274"/>
      <c r="L5688" s="274"/>
      <c r="M5688" s="274"/>
      <c r="N5688" s="274"/>
      <c r="P5688" s="275"/>
    </row>
    <row r="5689" ht="15.75" customHeight="1">
      <c r="B5689" s="282"/>
      <c r="H5689" s="273"/>
      <c r="I5689" s="274"/>
      <c r="J5689" s="274"/>
      <c r="K5689" s="274"/>
      <c r="L5689" s="274"/>
      <c r="M5689" s="274"/>
      <c r="N5689" s="274"/>
      <c r="P5689" s="275"/>
    </row>
    <row r="5690" ht="15.75" customHeight="1">
      <c r="B5690" s="282"/>
      <c r="H5690" s="273"/>
      <c r="I5690" s="274"/>
      <c r="J5690" s="274"/>
      <c r="K5690" s="274"/>
      <c r="L5690" s="274"/>
      <c r="M5690" s="274"/>
      <c r="N5690" s="274"/>
      <c r="P5690" s="275"/>
    </row>
    <row r="5691" ht="15.75" customHeight="1">
      <c r="B5691" s="282"/>
      <c r="H5691" s="273"/>
      <c r="I5691" s="274"/>
      <c r="J5691" s="274"/>
      <c r="K5691" s="274"/>
      <c r="L5691" s="274"/>
      <c r="M5691" s="274"/>
      <c r="N5691" s="274"/>
      <c r="P5691" s="275"/>
    </row>
    <row r="5692" ht="15.75" customHeight="1">
      <c r="B5692" s="282"/>
      <c r="H5692" s="273"/>
      <c r="I5692" s="274"/>
      <c r="J5692" s="274"/>
      <c r="K5692" s="274"/>
      <c r="L5692" s="274"/>
      <c r="M5692" s="274"/>
      <c r="N5692" s="274"/>
      <c r="P5692" s="275"/>
    </row>
    <row r="5693" ht="15.75" customHeight="1">
      <c r="B5693" s="282"/>
      <c r="H5693" s="273"/>
      <c r="I5693" s="274"/>
      <c r="J5693" s="274"/>
      <c r="K5693" s="274"/>
      <c r="L5693" s="274"/>
      <c r="M5693" s="274"/>
      <c r="N5693" s="274"/>
      <c r="P5693" s="275"/>
    </row>
    <row r="5694" ht="15.75" customHeight="1">
      <c r="B5694" s="282"/>
      <c r="H5694" s="273"/>
      <c r="I5694" s="274"/>
      <c r="J5694" s="274"/>
      <c r="K5694" s="274"/>
      <c r="L5694" s="274"/>
      <c r="M5694" s="274"/>
      <c r="N5694" s="274"/>
      <c r="P5694" s="275"/>
    </row>
    <row r="5695" ht="15.75" customHeight="1">
      <c r="B5695" s="282"/>
      <c r="H5695" s="273"/>
      <c r="I5695" s="274"/>
      <c r="J5695" s="274"/>
      <c r="K5695" s="274"/>
      <c r="L5695" s="274"/>
      <c r="M5695" s="274"/>
      <c r="N5695" s="274"/>
      <c r="P5695" s="275"/>
    </row>
    <row r="5696" ht="15.75" customHeight="1">
      <c r="B5696" s="282"/>
      <c r="H5696" s="273"/>
      <c r="I5696" s="274"/>
      <c r="J5696" s="274"/>
      <c r="K5696" s="274"/>
      <c r="L5696" s="274"/>
      <c r="M5696" s="274"/>
      <c r="N5696" s="274"/>
      <c r="P5696" s="275"/>
    </row>
    <row r="5697" ht="15.75" customHeight="1">
      <c r="B5697" s="282"/>
      <c r="H5697" s="273"/>
      <c r="I5697" s="274"/>
      <c r="J5697" s="274"/>
      <c r="K5697" s="274"/>
      <c r="L5697" s="274"/>
      <c r="M5697" s="274"/>
      <c r="N5697" s="274"/>
      <c r="P5697" s="275"/>
    </row>
    <row r="5698" ht="15.75" customHeight="1">
      <c r="B5698" s="282"/>
      <c r="H5698" s="273"/>
      <c r="I5698" s="274"/>
      <c r="J5698" s="274"/>
      <c r="K5698" s="274"/>
      <c r="L5698" s="274"/>
      <c r="M5698" s="274"/>
      <c r="N5698" s="274"/>
      <c r="P5698" s="275"/>
    </row>
    <row r="5699" ht="15.75" customHeight="1">
      <c r="B5699" s="282"/>
      <c r="H5699" s="273"/>
      <c r="I5699" s="274"/>
      <c r="J5699" s="274"/>
      <c r="K5699" s="274"/>
      <c r="L5699" s="274"/>
      <c r="M5699" s="274"/>
      <c r="N5699" s="274"/>
      <c r="P5699" s="275"/>
    </row>
    <row r="5700" ht="15.75" customHeight="1">
      <c r="B5700" s="282"/>
      <c r="H5700" s="273"/>
      <c r="I5700" s="274"/>
      <c r="J5700" s="274"/>
      <c r="K5700" s="274"/>
      <c r="L5700" s="274"/>
      <c r="M5700" s="274"/>
      <c r="N5700" s="274"/>
      <c r="P5700" s="275"/>
    </row>
    <row r="5701" ht="15.75" customHeight="1">
      <c r="B5701" s="282"/>
      <c r="H5701" s="273"/>
      <c r="I5701" s="274"/>
      <c r="J5701" s="274"/>
      <c r="K5701" s="274"/>
      <c r="L5701" s="274"/>
      <c r="M5701" s="274"/>
      <c r="N5701" s="274"/>
      <c r="P5701" s="275"/>
    </row>
    <row r="5702" ht="15.75" customHeight="1">
      <c r="B5702" s="282"/>
      <c r="H5702" s="273"/>
      <c r="I5702" s="274"/>
      <c r="J5702" s="274"/>
      <c r="K5702" s="274"/>
      <c r="L5702" s="274"/>
      <c r="M5702" s="274"/>
      <c r="N5702" s="274"/>
      <c r="P5702" s="275"/>
    </row>
    <row r="5703" ht="15.75" customHeight="1">
      <c r="B5703" s="282"/>
      <c r="H5703" s="273"/>
      <c r="I5703" s="274"/>
      <c r="J5703" s="274"/>
      <c r="K5703" s="274"/>
      <c r="L5703" s="274"/>
      <c r="M5703" s="274"/>
      <c r="N5703" s="274"/>
      <c r="P5703" s="275"/>
    </row>
    <row r="5704" ht="15.75" customHeight="1">
      <c r="B5704" s="282"/>
      <c r="H5704" s="273"/>
      <c r="I5704" s="274"/>
      <c r="J5704" s="274"/>
      <c r="K5704" s="274"/>
      <c r="L5704" s="274"/>
      <c r="M5704" s="274"/>
      <c r="N5704" s="274"/>
      <c r="P5704" s="275"/>
    </row>
    <row r="5705" ht="15.75" customHeight="1">
      <c r="B5705" s="282"/>
      <c r="H5705" s="273"/>
      <c r="I5705" s="274"/>
      <c r="J5705" s="274"/>
      <c r="K5705" s="274"/>
      <c r="L5705" s="274"/>
      <c r="M5705" s="274"/>
      <c r="N5705" s="274"/>
      <c r="P5705" s="275"/>
    </row>
    <row r="5706" ht="15.75" customHeight="1">
      <c r="B5706" s="282"/>
      <c r="H5706" s="273"/>
      <c r="I5706" s="274"/>
      <c r="J5706" s="274"/>
      <c r="K5706" s="274"/>
      <c r="L5706" s="274"/>
      <c r="M5706" s="274"/>
      <c r="N5706" s="274"/>
      <c r="P5706" s="275"/>
    </row>
    <row r="5707" ht="15.75" customHeight="1">
      <c r="B5707" s="282"/>
      <c r="H5707" s="273"/>
      <c r="I5707" s="274"/>
      <c r="J5707" s="274"/>
      <c r="K5707" s="274"/>
      <c r="L5707" s="274"/>
      <c r="M5707" s="274"/>
      <c r="N5707" s="274"/>
      <c r="P5707" s="275"/>
    </row>
    <row r="5708" ht="15.75" customHeight="1">
      <c r="B5708" s="282"/>
      <c r="H5708" s="273"/>
      <c r="I5708" s="274"/>
      <c r="J5708" s="274"/>
      <c r="K5708" s="274"/>
      <c r="L5708" s="274"/>
      <c r="M5708" s="274"/>
      <c r="N5708" s="274"/>
      <c r="P5708" s="275"/>
    </row>
    <row r="5709" ht="15.75" customHeight="1">
      <c r="B5709" s="282"/>
      <c r="H5709" s="273"/>
      <c r="I5709" s="274"/>
      <c r="J5709" s="274"/>
      <c r="K5709" s="274"/>
      <c r="L5709" s="274"/>
      <c r="M5709" s="274"/>
      <c r="N5709" s="274"/>
      <c r="P5709" s="275"/>
    </row>
    <row r="5710" ht="15.75" customHeight="1">
      <c r="B5710" s="282"/>
      <c r="H5710" s="273"/>
      <c r="I5710" s="274"/>
      <c r="J5710" s="274"/>
      <c r="K5710" s="274"/>
      <c r="L5710" s="274"/>
      <c r="M5710" s="274"/>
      <c r="N5710" s="274"/>
      <c r="P5710" s="275"/>
    </row>
    <row r="5711" ht="15.75" customHeight="1">
      <c r="B5711" s="282"/>
      <c r="H5711" s="273"/>
      <c r="I5711" s="274"/>
      <c r="J5711" s="274"/>
      <c r="K5711" s="274"/>
      <c r="L5711" s="274"/>
      <c r="M5711" s="274"/>
      <c r="N5711" s="274"/>
      <c r="P5711" s="275"/>
    </row>
    <row r="5712" ht="15.75" customHeight="1">
      <c r="B5712" s="282"/>
      <c r="H5712" s="273"/>
      <c r="I5712" s="274"/>
      <c r="J5712" s="274"/>
      <c r="K5712" s="274"/>
      <c r="L5712" s="274"/>
      <c r="M5712" s="274"/>
      <c r="N5712" s="274"/>
      <c r="P5712" s="275"/>
    </row>
    <row r="5713" ht="15.75" customHeight="1">
      <c r="B5713" s="282"/>
      <c r="H5713" s="273"/>
      <c r="I5713" s="274"/>
      <c r="J5713" s="274"/>
      <c r="K5713" s="274"/>
      <c r="L5713" s="274"/>
      <c r="M5713" s="274"/>
      <c r="N5713" s="274"/>
      <c r="P5713" s="275"/>
    </row>
    <row r="5714" ht="15.75" customHeight="1">
      <c r="B5714" s="282"/>
      <c r="H5714" s="273"/>
      <c r="I5714" s="274"/>
      <c r="J5714" s="274"/>
      <c r="K5714" s="274"/>
      <c r="L5714" s="274"/>
      <c r="M5714" s="274"/>
      <c r="N5714" s="274"/>
      <c r="P5714" s="275"/>
    </row>
    <row r="5715" ht="15.75" customHeight="1">
      <c r="B5715" s="282"/>
      <c r="H5715" s="273"/>
      <c r="I5715" s="274"/>
      <c r="J5715" s="274"/>
      <c r="K5715" s="274"/>
      <c r="L5715" s="274"/>
      <c r="M5715" s="274"/>
      <c r="N5715" s="274"/>
      <c r="P5715" s="275"/>
    </row>
    <row r="5716" ht="15.75" customHeight="1">
      <c r="B5716" s="282"/>
      <c r="H5716" s="273"/>
      <c r="I5716" s="274"/>
      <c r="J5716" s="274"/>
      <c r="K5716" s="274"/>
      <c r="L5716" s="274"/>
      <c r="M5716" s="274"/>
      <c r="N5716" s="274"/>
      <c r="P5716" s="275"/>
    </row>
    <row r="5717" ht="15.75" customHeight="1">
      <c r="B5717" s="282"/>
      <c r="H5717" s="273"/>
      <c r="I5717" s="274"/>
      <c r="J5717" s="274"/>
      <c r="K5717" s="274"/>
      <c r="L5717" s="274"/>
      <c r="M5717" s="274"/>
      <c r="N5717" s="274"/>
      <c r="P5717" s="275"/>
    </row>
    <row r="5718" ht="15.75" customHeight="1">
      <c r="B5718" s="282"/>
      <c r="H5718" s="273"/>
      <c r="I5718" s="274"/>
      <c r="J5718" s="274"/>
      <c r="K5718" s="274"/>
      <c r="L5718" s="274"/>
      <c r="M5718" s="274"/>
      <c r="N5718" s="274"/>
      <c r="P5718" s="275"/>
    </row>
    <row r="5719" ht="15.75" customHeight="1">
      <c r="B5719" s="282"/>
      <c r="H5719" s="273"/>
      <c r="I5719" s="274"/>
      <c r="J5719" s="274"/>
      <c r="K5719" s="274"/>
      <c r="L5719" s="274"/>
      <c r="M5719" s="274"/>
      <c r="N5719" s="274"/>
      <c r="P5719" s="275"/>
    </row>
    <row r="5720" ht="15.75" customHeight="1">
      <c r="B5720" s="282"/>
      <c r="H5720" s="273"/>
      <c r="I5720" s="274"/>
      <c r="J5720" s="274"/>
      <c r="K5720" s="274"/>
      <c r="L5720" s="274"/>
      <c r="M5720" s="274"/>
      <c r="N5720" s="274"/>
      <c r="P5720" s="275"/>
    </row>
    <row r="5721" ht="15.75" customHeight="1">
      <c r="B5721" s="282"/>
      <c r="H5721" s="273"/>
      <c r="I5721" s="274"/>
      <c r="J5721" s="274"/>
      <c r="K5721" s="274"/>
      <c r="L5721" s="274"/>
      <c r="M5721" s="274"/>
      <c r="N5721" s="274"/>
      <c r="P5721" s="275"/>
    </row>
    <row r="5722" ht="15.75" customHeight="1">
      <c r="B5722" s="282"/>
      <c r="H5722" s="273"/>
      <c r="I5722" s="274"/>
      <c r="J5722" s="274"/>
      <c r="K5722" s="274"/>
      <c r="L5722" s="274"/>
      <c r="M5722" s="274"/>
      <c r="N5722" s="274"/>
      <c r="P5722" s="275"/>
    </row>
    <row r="5723" ht="15.75" customHeight="1">
      <c r="B5723" s="282"/>
      <c r="H5723" s="273"/>
      <c r="I5723" s="274"/>
      <c r="J5723" s="274"/>
      <c r="K5723" s="274"/>
      <c r="L5723" s="274"/>
      <c r="M5723" s="274"/>
      <c r="N5723" s="274"/>
      <c r="P5723" s="275"/>
    </row>
    <row r="5724" ht="15.75" customHeight="1">
      <c r="B5724" s="282"/>
      <c r="H5724" s="273"/>
      <c r="I5724" s="274"/>
      <c r="J5724" s="274"/>
      <c r="K5724" s="274"/>
      <c r="L5724" s="274"/>
      <c r="M5724" s="274"/>
      <c r="N5724" s="274"/>
      <c r="P5724" s="275"/>
    </row>
    <row r="5725" ht="15.75" customHeight="1">
      <c r="B5725" s="282"/>
      <c r="H5725" s="273"/>
      <c r="I5725" s="274"/>
      <c r="J5725" s="274"/>
      <c r="K5725" s="274"/>
      <c r="L5725" s="274"/>
      <c r="M5725" s="274"/>
      <c r="N5725" s="274"/>
      <c r="P5725" s="275"/>
    </row>
    <row r="5726" ht="15.75" customHeight="1">
      <c r="B5726" s="282"/>
      <c r="H5726" s="273"/>
      <c r="I5726" s="274"/>
      <c r="J5726" s="274"/>
      <c r="K5726" s="274"/>
      <c r="L5726" s="274"/>
      <c r="M5726" s="274"/>
      <c r="N5726" s="274"/>
      <c r="P5726" s="275"/>
    </row>
    <row r="5727" ht="15.75" customHeight="1">
      <c r="B5727" s="282"/>
      <c r="H5727" s="273"/>
      <c r="I5727" s="274"/>
      <c r="J5727" s="274"/>
      <c r="K5727" s="274"/>
      <c r="L5727" s="274"/>
      <c r="M5727" s="274"/>
      <c r="N5727" s="274"/>
      <c r="P5727" s="275"/>
    </row>
    <row r="5728" ht="15.75" customHeight="1">
      <c r="B5728" s="282"/>
      <c r="H5728" s="273"/>
      <c r="I5728" s="274"/>
      <c r="J5728" s="274"/>
      <c r="K5728" s="274"/>
      <c r="L5728" s="274"/>
      <c r="M5728" s="274"/>
      <c r="N5728" s="274"/>
      <c r="P5728" s="275"/>
    </row>
    <row r="5729" ht="15.75" customHeight="1">
      <c r="B5729" s="282"/>
      <c r="H5729" s="273"/>
      <c r="I5729" s="274"/>
      <c r="J5729" s="274"/>
      <c r="K5729" s="274"/>
      <c r="L5729" s="274"/>
      <c r="M5729" s="274"/>
      <c r="N5729" s="274"/>
      <c r="P5729" s="275"/>
    </row>
    <row r="5730" ht="15.75" customHeight="1">
      <c r="B5730" s="282"/>
      <c r="H5730" s="273"/>
      <c r="I5730" s="274"/>
      <c r="J5730" s="274"/>
      <c r="K5730" s="274"/>
      <c r="L5730" s="274"/>
      <c r="M5730" s="274"/>
      <c r="N5730" s="274"/>
      <c r="P5730" s="275"/>
    </row>
    <row r="5731" ht="15.75" customHeight="1">
      <c r="B5731" s="282"/>
      <c r="H5731" s="273"/>
      <c r="I5731" s="274"/>
      <c r="J5731" s="274"/>
      <c r="K5731" s="274"/>
      <c r="L5731" s="274"/>
      <c r="M5731" s="274"/>
      <c r="N5731" s="274"/>
      <c r="P5731" s="275"/>
    </row>
    <row r="5732" ht="15.75" customHeight="1">
      <c r="B5732" s="282"/>
      <c r="H5732" s="273"/>
      <c r="I5732" s="274"/>
      <c r="J5732" s="274"/>
      <c r="K5732" s="274"/>
      <c r="L5732" s="274"/>
      <c r="M5732" s="274"/>
      <c r="N5732" s="274"/>
      <c r="P5732" s="275"/>
    </row>
    <row r="5733" ht="15.75" customHeight="1">
      <c r="B5733" s="282"/>
      <c r="H5733" s="273"/>
      <c r="I5733" s="274"/>
      <c r="J5733" s="274"/>
      <c r="K5733" s="274"/>
      <c r="L5733" s="274"/>
      <c r="M5733" s="274"/>
      <c r="N5733" s="274"/>
      <c r="P5733" s="275"/>
    </row>
    <row r="5734" ht="15.75" customHeight="1">
      <c r="B5734" s="282"/>
      <c r="H5734" s="273"/>
      <c r="I5734" s="274"/>
      <c r="J5734" s="274"/>
      <c r="K5734" s="274"/>
      <c r="L5734" s="274"/>
      <c r="M5734" s="274"/>
      <c r="N5734" s="274"/>
      <c r="P5734" s="275"/>
    </row>
    <row r="5735" ht="15.75" customHeight="1">
      <c r="B5735" s="282"/>
      <c r="H5735" s="273"/>
      <c r="I5735" s="274"/>
      <c r="J5735" s="274"/>
      <c r="K5735" s="274"/>
      <c r="L5735" s="274"/>
      <c r="M5735" s="274"/>
      <c r="N5735" s="274"/>
      <c r="P5735" s="275"/>
    </row>
    <row r="5736" ht="15.75" customHeight="1">
      <c r="B5736" s="282"/>
      <c r="H5736" s="273"/>
      <c r="I5736" s="274"/>
      <c r="J5736" s="274"/>
      <c r="K5736" s="274"/>
      <c r="L5736" s="274"/>
      <c r="M5736" s="274"/>
      <c r="N5736" s="274"/>
      <c r="P5736" s="275"/>
    </row>
    <row r="5737" ht="15.75" customHeight="1">
      <c r="B5737" s="282"/>
      <c r="H5737" s="273"/>
      <c r="I5737" s="274"/>
      <c r="J5737" s="274"/>
      <c r="K5737" s="274"/>
      <c r="L5737" s="274"/>
      <c r="M5737" s="274"/>
      <c r="N5737" s="274"/>
      <c r="P5737" s="275"/>
    </row>
    <row r="5738" ht="15.75" customHeight="1">
      <c r="B5738" s="282"/>
      <c r="H5738" s="273"/>
      <c r="I5738" s="274"/>
      <c r="J5738" s="274"/>
      <c r="K5738" s="274"/>
      <c r="L5738" s="274"/>
      <c r="M5738" s="274"/>
      <c r="N5738" s="274"/>
      <c r="P5738" s="275"/>
    </row>
    <row r="5739" ht="15.75" customHeight="1">
      <c r="B5739" s="282"/>
      <c r="H5739" s="273"/>
      <c r="I5739" s="274"/>
      <c r="J5739" s="274"/>
      <c r="K5739" s="274"/>
      <c r="L5739" s="274"/>
      <c r="M5739" s="274"/>
      <c r="N5739" s="274"/>
      <c r="P5739" s="275"/>
    </row>
    <row r="5740" ht="15.75" customHeight="1">
      <c r="B5740" s="282"/>
      <c r="H5740" s="273"/>
      <c r="I5740" s="274"/>
      <c r="J5740" s="274"/>
      <c r="K5740" s="274"/>
      <c r="L5740" s="274"/>
      <c r="M5740" s="274"/>
      <c r="N5740" s="274"/>
      <c r="P5740" s="275"/>
    </row>
    <row r="5741" ht="15.75" customHeight="1">
      <c r="B5741" s="282"/>
      <c r="H5741" s="273"/>
      <c r="I5741" s="274"/>
      <c r="J5741" s="274"/>
      <c r="K5741" s="274"/>
      <c r="L5741" s="274"/>
      <c r="M5741" s="274"/>
      <c r="N5741" s="274"/>
      <c r="P5741" s="275"/>
    </row>
    <row r="5742" ht="15.75" customHeight="1">
      <c r="B5742" s="282"/>
      <c r="H5742" s="273"/>
      <c r="I5742" s="274"/>
      <c r="J5742" s="274"/>
      <c r="K5742" s="274"/>
      <c r="L5742" s="274"/>
      <c r="M5742" s="274"/>
      <c r="N5742" s="274"/>
      <c r="P5742" s="275"/>
    </row>
    <row r="5743" ht="15.75" customHeight="1">
      <c r="B5743" s="282"/>
      <c r="H5743" s="273"/>
      <c r="I5743" s="274"/>
      <c r="J5743" s="274"/>
      <c r="K5743" s="274"/>
      <c r="L5743" s="274"/>
      <c r="M5743" s="274"/>
      <c r="N5743" s="274"/>
      <c r="P5743" s="275"/>
    </row>
    <row r="5744" ht="15.75" customHeight="1">
      <c r="B5744" s="282"/>
      <c r="H5744" s="273"/>
      <c r="I5744" s="274"/>
      <c r="J5744" s="274"/>
      <c r="K5744" s="274"/>
      <c r="L5744" s="274"/>
      <c r="M5744" s="274"/>
      <c r="N5744" s="274"/>
      <c r="P5744" s="275"/>
    </row>
    <row r="5745" ht="15.75" customHeight="1">
      <c r="B5745" s="282"/>
      <c r="H5745" s="273"/>
      <c r="I5745" s="274"/>
      <c r="J5745" s="274"/>
      <c r="K5745" s="274"/>
      <c r="L5745" s="274"/>
      <c r="M5745" s="274"/>
      <c r="N5745" s="274"/>
      <c r="P5745" s="275"/>
    </row>
    <row r="5746" ht="15.75" customHeight="1">
      <c r="B5746" s="282"/>
      <c r="H5746" s="273"/>
      <c r="I5746" s="274"/>
      <c r="J5746" s="274"/>
      <c r="K5746" s="274"/>
      <c r="L5746" s="274"/>
      <c r="M5746" s="274"/>
      <c r="N5746" s="274"/>
      <c r="P5746" s="275"/>
    </row>
    <row r="5747" ht="15.75" customHeight="1">
      <c r="B5747" s="282"/>
      <c r="H5747" s="273"/>
      <c r="I5747" s="274"/>
      <c r="J5747" s="274"/>
      <c r="K5747" s="274"/>
      <c r="L5747" s="274"/>
      <c r="M5747" s="274"/>
      <c r="N5747" s="274"/>
      <c r="P5747" s="275"/>
    </row>
    <row r="5748" ht="15.75" customHeight="1">
      <c r="B5748" s="282"/>
      <c r="H5748" s="273"/>
      <c r="I5748" s="274"/>
      <c r="J5748" s="274"/>
      <c r="K5748" s="274"/>
      <c r="L5748" s="274"/>
      <c r="M5748" s="274"/>
      <c r="N5748" s="274"/>
      <c r="P5748" s="275"/>
    </row>
    <row r="5749" ht="15.75" customHeight="1">
      <c r="B5749" s="282"/>
      <c r="H5749" s="273"/>
      <c r="I5749" s="274"/>
      <c r="J5749" s="274"/>
      <c r="K5749" s="274"/>
      <c r="L5749" s="274"/>
      <c r="M5749" s="274"/>
      <c r="N5749" s="274"/>
      <c r="P5749" s="275"/>
    </row>
    <row r="5750" ht="15.75" customHeight="1">
      <c r="B5750" s="282"/>
      <c r="H5750" s="273"/>
      <c r="I5750" s="274"/>
      <c r="J5750" s="274"/>
      <c r="K5750" s="274"/>
      <c r="L5750" s="274"/>
      <c r="M5750" s="274"/>
      <c r="N5750" s="274"/>
      <c r="P5750" s="275"/>
    </row>
    <row r="5751" ht="15.75" customHeight="1">
      <c r="B5751" s="282"/>
      <c r="H5751" s="273"/>
      <c r="I5751" s="274"/>
      <c r="J5751" s="274"/>
      <c r="K5751" s="274"/>
      <c r="L5751" s="274"/>
      <c r="M5751" s="274"/>
      <c r="N5751" s="274"/>
      <c r="P5751" s="275"/>
    </row>
    <row r="5752" ht="15.75" customHeight="1">
      <c r="B5752" s="282"/>
      <c r="H5752" s="273"/>
      <c r="I5752" s="274"/>
      <c r="J5752" s="274"/>
      <c r="K5752" s="274"/>
      <c r="L5752" s="274"/>
      <c r="M5752" s="274"/>
      <c r="N5752" s="274"/>
      <c r="P5752" s="275"/>
    </row>
    <row r="5753" ht="15.75" customHeight="1">
      <c r="B5753" s="282"/>
      <c r="H5753" s="273"/>
      <c r="I5753" s="274"/>
      <c r="J5753" s="274"/>
      <c r="K5753" s="274"/>
      <c r="L5753" s="274"/>
      <c r="M5753" s="274"/>
      <c r="N5753" s="274"/>
      <c r="P5753" s="275"/>
    </row>
    <row r="5754" ht="15.75" customHeight="1">
      <c r="B5754" s="282"/>
      <c r="H5754" s="273"/>
      <c r="I5754" s="274"/>
      <c r="J5754" s="274"/>
      <c r="K5754" s="274"/>
      <c r="L5754" s="274"/>
      <c r="M5754" s="274"/>
      <c r="N5754" s="274"/>
      <c r="P5754" s="275"/>
    </row>
    <row r="5755" ht="15.75" customHeight="1">
      <c r="B5755" s="282"/>
      <c r="H5755" s="273"/>
      <c r="I5755" s="274"/>
      <c r="J5755" s="274"/>
      <c r="K5755" s="274"/>
      <c r="L5755" s="274"/>
      <c r="M5755" s="274"/>
      <c r="N5755" s="274"/>
      <c r="P5755" s="275"/>
    </row>
    <row r="5756" ht="15.75" customHeight="1">
      <c r="B5756" s="282"/>
      <c r="H5756" s="273"/>
      <c r="I5756" s="274"/>
      <c r="J5756" s="274"/>
      <c r="K5756" s="274"/>
      <c r="L5756" s="274"/>
      <c r="M5756" s="274"/>
      <c r="N5756" s="274"/>
      <c r="P5756" s="275"/>
    </row>
    <row r="5757" ht="15.75" customHeight="1">
      <c r="B5757" s="282"/>
      <c r="H5757" s="273"/>
      <c r="I5757" s="274"/>
      <c r="J5757" s="274"/>
      <c r="K5757" s="274"/>
      <c r="L5757" s="274"/>
      <c r="M5757" s="274"/>
      <c r="N5757" s="274"/>
      <c r="P5757" s="275"/>
    </row>
    <row r="5758" ht="15.75" customHeight="1">
      <c r="B5758" s="282"/>
      <c r="H5758" s="273"/>
      <c r="I5758" s="274"/>
      <c r="J5758" s="274"/>
      <c r="K5758" s="274"/>
      <c r="L5758" s="274"/>
      <c r="M5758" s="274"/>
      <c r="N5758" s="274"/>
      <c r="P5758" s="275"/>
    </row>
    <row r="5759" ht="15.75" customHeight="1">
      <c r="B5759" s="282"/>
      <c r="H5759" s="273"/>
      <c r="I5759" s="274"/>
      <c r="J5759" s="274"/>
      <c r="K5759" s="274"/>
      <c r="L5759" s="274"/>
      <c r="M5759" s="274"/>
      <c r="N5759" s="274"/>
      <c r="P5759" s="275"/>
    </row>
    <row r="5760" ht="15.75" customHeight="1">
      <c r="B5760" s="282"/>
      <c r="H5760" s="273"/>
      <c r="I5760" s="274"/>
      <c r="J5760" s="274"/>
      <c r="K5760" s="274"/>
      <c r="L5760" s="274"/>
      <c r="M5760" s="274"/>
      <c r="N5760" s="274"/>
      <c r="P5760" s="275"/>
    </row>
    <row r="5761" ht="15.75" customHeight="1">
      <c r="B5761" s="282"/>
      <c r="H5761" s="273"/>
      <c r="I5761" s="274"/>
      <c r="J5761" s="274"/>
      <c r="K5761" s="274"/>
      <c r="L5761" s="274"/>
      <c r="M5761" s="274"/>
      <c r="N5761" s="274"/>
      <c r="P5761" s="275"/>
    </row>
    <row r="5762" ht="15.75" customHeight="1">
      <c r="B5762" s="282"/>
      <c r="H5762" s="273"/>
      <c r="I5762" s="274"/>
      <c r="J5762" s="274"/>
      <c r="K5762" s="274"/>
      <c r="L5762" s="274"/>
      <c r="M5762" s="274"/>
      <c r="N5762" s="274"/>
      <c r="P5762" s="275"/>
    </row>
    <row r="5763" ht="15.75" customHeight="1">
      <c r="B5763" s="282"/>
      <c r="H5763" s="273"/>
      <c r="I5763" s="274"/>
      <c r="J5763" s="274"/>
      <c r="K5763" s="274"/>
      <c r="L5763" s="274"/>
      <c r="M5763" s="274"/>
      <c r="N5763" s="274"/>
      <c r="P5763" s="275"/>
    </row>
    <row r="5764" ht="15.75" customHeight="1">
      <c r="B5764" s="282"/>
      <c r="H5764" s="273"/>
      <c r="I5764" s="274"/>
      <c r="J5764" s="274"/>
      <c r="K5764" s="274"/>
      <c r="L5764" s="274"/>
      <c r="M5764" s="274"/>
      <c r="N5764" s="274"/>
      <c r="P5764" s="275"/>
    </row>
    <row r="5765" ht="15.75" customHeight="1">
      <c r="B5765" s="282"/>
      <c r="H5765" s="273"/>
      <c r="I5765" s="274"/>
      <c r="J5765" s="274"/>
      <c r="K5765" s="274"/>
      <c r="L5765" s="274"/>
      <c r="M5765" s="274"/>
      <c r="N5765" s="274"/>
      <c r="P5765" s="275"/>
    </row>
    <row r="5766" ht="15.75" customHeight="1">
      <c r="B5766" s="282"/>
      <c r="H5766" s="273"/>
      <c r="I5766" s="274"/>
      <c r="J5766" s="274"/>
      <c r="K5766" s="274"/>
      <c r="L5766" s="274"/>
      <c r="M5766" s="274"/>
      <c r="N5766" s="274"/>
      <c r="P5766" s="275"/>
    </row>
    <row r="5767" ht="15.75" customHeight="1">
      <c r="B5767" s="282"/>
      <c r="H5767" s="273"/>
      <c r="I5767" s="274"/>
      <c r="J5767" s="274"/>
      <c r="K5767" s="274"/>
      <c r="L5767" s="274"/>
      <c r="M5767" s="274"/>
      <c r="N5767" s="274"/>
      <c r="P5767" s="275"/>
    </row>
    <row r="5768" ht="15.75" customHeight="1">
      <c r="B5768" s="282"/>
      <c r="H5768" s="273"/>
      <c r="I5768" s="274"/>
      <c r="J5768" s="274"/>
      <c r="K5768" s="274"/>
      <c r="L5768" s="274"/>
      <c r="M5768" s="274"/>
      <c r="N5768" s="274"/>
      <c r="P5768" s="275"/>
    </row>
    <row r="5769" ht="15.75" customHeight="1">
      <c r="B5769" s="282"/>
      <c r="H5769" s="273"/>
      <c r="I5769" s="274"/>
      <c r="J5769" s="274"/>
      <c r="K5769" s="274"/>
      <c r="L5769" s="274"/>
      <c r="M5769" s="274"/>
      <c r="N5769" s="274"/>
      <c r="P5769" s="275"/>
    </row>
    <row r="5770" ht="15.75" customHeight="1">
      <c r="B5770" s="282"/>
      <c r="H5770" s="273"/>
      <c r="I5770" s="274"/>
      <c r="J5770" s="274"/>
      <c r="K5770" s="274"/>
      <c r="L5770" s="274"/>
      <c r="M5770" s="274"/>
      <c r="N5770" s="274"/>
      <c r="P5770" s="275"/>
    </row>
    <row r="5771" ht="15.75" customHeight="1">
      <c r="B5771" s="282"/>
      <c r="H5771" s="273"/>
      <c r="I5771" s="274"/>
      <c r="J5771" s="274"/>
      <c r="K5771" s="274"/>
      <c r="L5771" s="274"/>
      <c r="M5771" s="274"/>
      <c r="N5771" s="274"/>
      <c r="P5771" s="275"/>
    </row>
    <row r="5772" ht="15.75" customHeight="1">
      <c r="B5772" s="282"/>
      <c r="H5772" s="273"/>
      <c r="I5772" s="274"/>
      <c r="J5772" s="274"/>
      <c r="K5772" s="274"/>
      <c r="L5772" s="274"/>
      <c r="M5772" s="274"/>
      <c r="N5772" s="274"/>
      <c r="P5772" s="275"/>
    </row>
    <row r="5773" ht="15.75" customHeight="1">
      <c r="B5773" s="282"/>
      <c r="H5773" s="273"/>
      <c r="I5773" s="274"/>
      <c r="J5773" s="274"/>
      <c r="K5773" s="274"/>
      <c r="L5773" s="274"/>
      <c r="M5773" s="274"/>
      <c r="N5773" s="274"/>
      <c r="P5773" s="275"/>
    </row>
    <row r="5774" ht="15.75" customHeight="1">
      <c r="B5774" s="282"/>
      <c r="H5774" s="273"/>
      <c r="I5774" s="274"/>
      <c r="J5774" s="274"/>
      <c r="K5774" s="274"/>
      <c r="L5774" s="274"/>
      <c r="M5774" s="274"/>
      <c r="N5774" s="274"/>
      <c r="P5774" s="275"/>
    </row>
    <row r="5775" ht="15.75" customHeight="1">
      <c r="B5775" s="282"/>
      <c r="H5775" s="273"/>
      <c r="I5775" s="274"/>
      <c r="J5775" s="274"/>
      <c r="K5775" s="274"/>
      <c r="L5775" s="274"/>
      <c r="M5775" s="274"/>
      <c r="N5775" s="274"/>
      <c r="P5775" s="275"/>
    </row>
    <row r="5776" ht="15.75" customHeight="1">
      <c r="B5776" s="282"/>
      <c r="H5776" s="273"/>
      <c r="I5776" s="274"/>
      <c r="J5776" s="274"/>
      <c r="K5776" s="274"/>
      <c r="L5776" s="274"/>
      <c r="M5776" s="274"/>
      <c r="N5776" s="274"/>
      <c r="P5776" s="275"/>
    </row>
    <row r="5777" ht="15.75" customHeight="1">
      <c r="B5777" s="282"/>
      <c r="H5777" s="273"/>
      <c r="I5777" s="274"/>
      <c r="J5777" s="274"/>
      <c r="K5777" s="274"/>
      <c r="L5777" s="274"/>
      <c r="M5777" s="274"/>
      <c r="N5777" s="274"/>
      <c r="P5777" s="275"/>
    </row>
    <row r="5778" ht="15.75" customHeight="1">
      <c r="B5778" s="282"/>
      <c r="H5778" s="273"/>
      <c r="I5778" s="274"/>
      <c r="J5778" s="274"/>
      <c r="K5778" s="274"/>
      <c r="L5778" s="274"/>
      <c r="M5778" s="274"/>
      <c r="N5778" s="274"/>
      <c r="P5778" s="275"/>
    </row>
    <row r="5779" ht="15.75" customHeight="1">
      <c r="B5779" s="282"/>
      <c r="H5779" s="273"/>
      <c r="I5779" s="274"/>
      <c r="J5779" s="274"/>
      <c r="K5779" s="274"/>
      <c r="L5779" s="274"/>
      <c r="M5779" s="274"/>
      <c r="N5779" s="274"/>
      <c r="P5779" s="275"/>
    </row>
    <row r="5780" ht="15.75" customHeight="1">
      <c r="B5780" s="282"/>
      <c r="H5780" s="273"/>
      <c r="I5780" s="274"/>
      <c r="J5780" s="274"/>
      <c r="K5780" s="274"/>
      <c r="L5780" s="274"/>
      <c r="M5780" s="274"/>
      <c r="N5780" s="274"/>
      <c r="P5780" s="275"/>
    </row>
    <row r="5781" ht="15.75" customHeight="1">
      <c r="B5781" s="282"/>
      <c r="H5781" s="273"/>
      <c r="I5781" s="274"/>
      <c r="J5781" s="274"/>
      <c r="K5781" s="274"/>
      <c r="L5781" s="274"/>
      <c r="M5781" s="274"/>
      <c r="N5781" s="274"/>
      <c r="P5781" s="275"/>
    </row>
    <row r="5782" ht="15.75" customHeight="1">
      <c r="B5782" s="282"/>
      <c r="H5782" s="273"/>
      <c r="I5782" s="274"/>
      <c r="J5782" s="274"/>
      <c r="K5782" s="274"/>
      <c r="L5782" s="274"/>
      <c r="M5782" s="274"/>
      <c r="N5782" s="274"/>
      <c r="P5782" s="275"/>
    </row>
    <row r="5783" ht="15.75" customHeight="1">
      <c r="B5783" s="282"/>
      <c r="H5783" s="273"/>
      <c r="I5783" s="274"/>
      <c r="J5783" s="274"/>
      <c r="K5783" s="274"/>
      <c r="L5783" s="274"/>
      <c r="M5783" s="274"/>
      <c r="N5783" s="274"/>
      <c r="P5783" s="275"/>
    </row>
    <row r="5784" ht="15.75" customHeight="1">
      <c r="B5784" s="282"/>
      <c r="H5784" s="273"/>
      <c r="I5784" s="274"/>
      <c r="J5784" s="274"/>
      <c r="K5784" s="274"/>
      <c r="L5784" s="274"/>
      <c r="M5784" s="274"/>
      <c r="N5784" s="274"/>
      <c r="P5784" s="275"/>
    </row>
    <row r="5785" ht="15.75" customHeight="1">
      <c r="B5785" s="282"/>
      <c r="H5785" s="273"/>
      <c r="I5785" s="274"/>
      <c r="J5785" s="274"/>
      <c r="K5785" s="274"/>
      <c r="L5785" s="274"/>
      <c r="M5785" s="274"/>
      <c r="N5785" s="274"/>
      <c r="P5785" s="275"/>
    </row>
    <row r="5786" ht="15.75" customHeight="1">
      <c r="B5786" s="282"/>
      <c r="H5786" s="273"/>
      <c r="I5786" s="274"/>
      <c r="J5786" s="274"/>
      <c r="K5786" s="274"/>
      <c r="L5786" s="274"/>
      <c r="M5786" s="274"/>
      <c r="N5786" s="274"/>
      <c r="P5786" s="275"/>
    </row>
    <row r="5787" ht="15.75" customHeight="1">
      <c r="B5787" s="282"/>
      <c r="H5787" s="273"/>
      <c r="I5787" s="274"/>
      <c r="J5787" s="274"/>
      <c r="K5787" s="274"/>
      <c r="L5787" s="274"/>
      <c r="M5787" s="274"/>
      <c r="N5787" s="274"/>
      <c r="P5787" s="275"/>
    </row>
    <row r="5788" ht="15.75" customHeight="1">
      <c r="B5788" s="282"/>
      <c r="H5788" s="273"/>
      <c r="I5788" s="274"/>
      <c r="J5788" s="274"/>
      <c r="K5788" s="274"/>
      <c r="L5788" s="274"/>
      <c r="M5788" s="274"/>
      <c r="N5788" s="274"/>
      <c r="P5788" s="275"/>
    </row>
    <row r="5789" ht="15.75" customHeight="1">
      <c r="B5789" s="282"/>
      <c r="H5789" s="273"/>
      <c r="I5789" s="274"/>
      <c r="J5789" s="274"/>
      <c r="K5789" s="274"/>
      <c r="L5789" s="274"/>
      <c r="M5789" s="274"/>
      <c r="N5789" s="274"/>
      <c r="P5789" s="275"/>
    </row>
    <row r="5790" ht="15.75" customHeight="1">
      <c r="B5790" s="282"/>
      <c r="H5790" s="273"/>
      <c r="I5790" s="274"/>
      <c r="J5790" s="274"/>
      <c r="K5790" s="274"/>
      <c r="L5790" s="274"/>
      <c r="M5790" s="274"/>
      <c r="N5790" s="274"/>
      <c r="P5790" s="275"/>
    </row>
    <row r="5791" ht="15.75" customHeight="1">
      <c r="B5791" s="282"/>
      <c r="H5791" s="273"/>
      <c r="I5791" s="274"/>
      <c r="J5791" s="274"/>
      <c r="K5791" s="274"/>
      <c r="L5791" s="274"/>
      <c r="M5791" s="274"/>
      <c r="N5791" s="274"/>
      <c r="P5791" s="275"/>
    </row>
    <row r="5792" ht="15.75" customHeight="1">
      <c r="B5792" s="282"/>
      <c r="H5792" s="273"/>
      <c r="I5792" s="274"/>
      <c r="J5792" s="274"/>
      <c r="K5792" s="274"/>
      <c r="L5792" s="274"/>
      <c r="M5792" s="274"/>
      <c r="N5792" s="274"/>
      <c r="P5792" s="275"/>
    </row>
    <row r="5793" ht="15.75" customHeight="1">
      <c r="B5793" s="282"/>
      <c r="H5793" s="273"/>
      <c r="I5793" s="274"/>
      <c r="J5793" s="274"/>
      <c r="K5793" s="274"/>
      <c r="L5793" s="274"/>
      <c r="M5793" s="274"/>
      <c r="N5793" s="274"/>
      <c r="P5793" s="275"/>
    </row>
    <row r="5794" ht="15.75" customHeight="1">
      <c r="B5794" s="282"/>
      <c r="H5794" s="273"/>
      <c r="I5794" s="274"/>
      <c r="J5794" s="274"/>
      <c r="K5794" s="274"/>
      <c r="L5794" s="274"/>
      <c r="M5794" s="274"/>
      <c r="N5794" s="274"/>
      <c r="P5794" s="275"/>
    </row>
    <row r="5795" ht="15.75" customHeight="1">
      <c r="B5795" s="282"/>
      <c r="H5795" s="273"/>
      <c r="I5795" s="274"/>
      <c r="J5795" s="274"/>
      <c r="K5795" s="274"/>
      <c r="L5795" s="274"/>
      <c r="M5795" s="274"/>
      <c r="N5795" s="274"/>
      <c r="P5795" s="275"/>
    </row>
    <row r="5796" ht="15.75" customHeight="1">
      <c r="B5796" s="282"/>
      <c r="H5796" s="273"/>
      <c r="I5796" s="274"/>
      <c r="J5796" s="274"/>
      <c r="K5796" s="274"/>
      <c r="L5796" s="274"/>
      <c r="M5796" s="274"/>
      <c r="N5796" s="274"/>
      <c r="P5796" s="275"/>
    </row>
    <row r="5797" ht="15.75" customHeight="1">
      <c r="B5797" s="282"/>
      <c r="H5797" s="273"/>
      <c r="I5797" s="274"/>
      <c r="J5797" s="274"/>
      <c r="K5797" s="274"/>
      <c r="L5797" s="274"/>
      <c r="M5797" s="274"/>
      <c r="N5797" s="274"/>
      <c r="P5797" s="275"/>
    </row>
    <row r="5798" ht="15.75" customHeight="1">
      <c r="B5798" s="282"/>
      <c r="H5798" s="273"/>
      <c r="I5798" s="274"/>
      <c r="J5798" s="274"/>
      <c r="K5798" s="274"/>
      <c r="L5798" s="274"/>
      <c r="M5798" s="274"/>
      <c r="N5798" s="274"/>
      <c r="P5798" s="275"/>
    </row>
    <row r="5799" ht="15.75" customHeight="1">
      <c r="B5799" s="282"/>
      <c r="H5799" s="273"/>
      <c r="I5799" s="274"/>
      <c r="J5799" s="274"/>
      <c r="K5799" s="274"/>
      <c r="L5799" s="274"/>
      <c r="M5799" s="274"/>
      <c r="N5799" s="274"/>
      <c r="P5799" s="275"/>
    </row>
    <row r="5800" ht="15.75" customHeight="1">
      <c r="B5800" s="282"/>
      <c r="H5800" s="273"/>
      <c r="I5800" s="274"/>
      <c r="J5800" s="274"/>
      <c r="K5800" s="274"/>
      <c r="L5800" s="274"/>
      <c r="M5800" s="274"/>
      <c r="N5800" s="274"/>
      <c r="P5800" s="275"/>
    </row>
    <row r="5801" ht="15.75" customHeight="1">
      <c r="B5801" s="282"/>
      <c r="H5801" s="273"/>
      <c r="I5801" s="274"/>
      <c r="J5801" s="274"/>
      <c r="K5801" s="274"/>
      <c r="L5801" s="274"/>
      <c r="M5801" s="274"/>
      <c r="N5801" s="274"/>
      <c r="P5801" s="275"/>
    </row>
    <row r="5802" ht="15.75" customHeight="1">
      <c r="B5802" s="282"/>
      <c r="H5802" s="273"/>
      <c r="I5802" s="274"/>
      <c r="J5802" s="274"/>
      <c r="K5802" s="274"/>
      <c r="L5802" s="274"/>
      <c r="M5802" s="274"/>
      <c r="N5802" s="274"/>
      <c r="P5802" s="275"/>
    </row>
    <row r="5803" ht="15.75" customHeight="1">
      <c r="B5803" s="282"/>
      <c r="H5803" s="273"/>
      <c r="I5803" s="274"/>
      <c r="J5803" s="274"/>
      <c r="K5803" s="274"/>
      <c r="L5803" s="274"/>
      <c r="M5803" s="274"/>
      <c r="N5803" s="274"/>
      <c r="P5803" s="275"/>
    </row>
    <row r="5804" ht="15.75" customHeight="1">
      <c r="B5804" s="282"/>
      <c r="H5804" s="273"/>
      <c r="I5804" s="274"/>
      <c r="J5804" s="274"/>
      <c r="K5804" s="274"/>
      <c r="L5804" s="274"/>
      <c r="M5804" s="274"/>
      <c r="N5804" s="274"/>
      <c r="P5804" s="275"/>
    </row>
    <row r="5805" ht="15.75" customHeight="1">
      <c r="B5805" s="282"/>
      <c r="H5805" s="273"/>
      <c r="I5805" s="274"/>
      <c r="J5805" s="274"/>
      <c r="K5805" s="274"/>
      <c r="L5805" s="274"/>
      <c r="M5805" s="274"/>
      <c r="N5805" s="274"/>
      <c r="P5805" s="275"/>
    </row>
    <row r="5806" ht="15.75" customHeight="1">
      <c r="B5806" s="282"/>
      <c r="H5806" s="273"/>
      <c r="I5806" s="274"/>
      <c r="J5806" s="274"/>
      <c r="K5806" s="274"/>
      <c r="L5806" s="274"/>
      <c r="M5806" s="274"/>
      <c r="N5806" s="274"/>
      <c r="P5806" s="275"/>
    </row>
    <row r="5807" ht="15.75" customHeight="1">
      <c r="B5807" s="282"/>
      <c r="H5807" s="273"/>
      <c r="I5807" s="274"/>
      <c r="J5807" s="274"/>
      <c r="K5807" s="274"/>
      <c r="L5807" s="274"/>
      <c r="M5807" s="274"/>
      <c r="N5807" s="274"/>
      <c r="P5807" s="275"/>
    </row>
    <row r="5808" ht="15.75" customHeight="1">
      <c r="B5808" s="282"/>
      <c r="H5808" s="273"/>
      <c r="I5808" s="274"/>
      <c r="J5808" s="274"/>
      <c r="K5808" s="274"/>
      <c r="L5808" s="274"/>
      <c r="M5808" s="274"/>
      <c r="N5808" s="274"/>
      <c r="P5808" s="275"/>
    </row>
    <row r="5809" ht="15.75" customHeight="1">
      <c r="B5809" s="282"/>
      <c r="H5809" s="273"/>
      <c r="I5809" s="274"/>
      <c r="J5809" s="274"/>
      <c r="K5809" s="274"/>
      <c r="L5809" s="274"/>
      <c r="M5809" s="274"/>
      <c r="N5809" s="274"/>
      <c r="P5809" s="275"/>
    </row>
    <row r="5810" ht="15.75" customHeight="1">
      <c r="B5810" s="282"/>
      <c r="H5810" s="273"/>
      <c r="I5810" s="274"/>
      <c r="J5810" s="274"/>
      <c r="K5810" s="274"/>
      <c r="L5810" s="274"/>
      <c r="M5810" s="274"/>
      <c r="N5810" s="274"/>
      <c r="P5810" s="275"/>
    </row>
    <row r="5811" ht="15.75" customHeight="1">
      <c r="B5811" s="282"/>
      <c r="H5811" s="273"/>
      <c r="I5811" s="274"/>
      <c r="J5811" s="274"/>
      <c r="K5811" s="274"/>
      <c r="L5811" s="274"/>
      <c r="M5811" s="274"/>
      <c r="N5811" s="274"/>
      <c r="P5811" s="275"/>
    </row>
    <row r="5812" ht="15.75" customHeight="1">
      <c r="B5812" s="282"/>
      <c r="H5812" s="273"/>
      <c r="I5812" s="274"/>
      <c r="J5812" s="274"/>
      <c r="K5812" s="274"/>
      <c r="L5812" s="274"/>
      <c r="M5812" s="274"/>
      <c r="N5812" s="274"/>
      <c r="P5812" s="275"/>
    </row>
    <row r="5813" ht="15.75" customHeight="1">
      <c r="B5813" s="282"/>
      <c r="H5813" s="273"/>
      <c r="I5813" s="274"/>
      <c r="J5813" s="274"/>
      <c r="K5813" s="274"/>
      <c r="L5813" s="274"/>
      <c r="M5813" s="274"/>
      <c r="N5813" s="274"/>
      <c r="P5813" s="275"/>
    </row>
    <row r="5814" ht="15.75" customHeight="1">
      <c r="B5814" s="282"/>
      <c r="H5814" s="273"/>
      <c r="I5814" s="274"/>
      <c r="J5814" s="274"/>
      <c r="K5814" s="274"/>
      <c r="L5814" s="274"/>
      <c r="M5814" s="274"/>
      <c r="N5814" s="274"/>
      <c r="P5814" s="275"/>
    </row>
    <row r="5815" ht="15.75" customHeight="1">
      <c r="B5815" s="282"/>
      <c r="H5815" s="273"/>
      <c r="I5815" s="274"/>
      <c r="J5815" s="274"/>
      <c r="K5815" s="274"/>
      <c r="L5815" s="274"/>
      <c r="M5815" s="274"/>
      <c r="N5815" s="274"/>
      <c r="P5815" s="275"/>
    </row>
    <row r="5816" ht="15.75" customHeight="1">
      <c r="B5816" s="282"/>
      <c r="H5816" s="273"/>
      <c r="I5816" s="274"/>
      <c r="J5816" s="274"/>
      <c r="K5816" s="274"/>
      <c r="L5816" s="274"/>
      <c r="M5816" s="274"/>
      <c r="N5816" s="274"/>
      <c r="P5816" s="275"/>
    </row>
    <row r="5817" ht="15.75" customHeight="1">
      <c r="B5817" s="282"/>
      <c r="H5817" s="273"/>
      <c r="I5817" s="274"/>
      <c r="J5817" s="274"/>
      <c r="K5817" s="274"/>
      <c r="L5817" s="274"/>
      <c r="M5817" s="274"/>
      <c r="N5817" s="274"/>
      <c r="P5817" s="275"/>
    </row>
    <row r="5818" ht="15.75" customHeight="1">
      <c r="B5818" s="282"/>
      <c r="H5818" s="273"/>
      <c r="I5818" s="274"/>
      <c r="J5818" s="274"/>
      <c r="K5818" s="274"/>
      <c r="L5818" s="274"/>
      <c r="M5818" s="274"/>
      <c r="N5818" s="274"/>
      <c r="P5818" s="275"/>
    </row>
    <row r="5819" ht="15.75" customHeight="1">
      <c r="B5819" s="282"/>
      <c r="H5819" s="273"/>
      <c r="I5819" s="274"/>
      <c r="J5819" s="274"/>
      <c r="K5819" s="274"/>
      <c r="L5819" s="274"/>
      <c r="M5819" s="274"/>
      <c r="N5819" s="274"/>
      <c r="P5819" s="275"/>
    </row>
    <row r="5820" ht="15.75" customHeight="1">
      <c r="B5820" s="282"/>
      <c r="H5820" s="273"/>
      <c r="I5820" s="274"/>
      <c r="J5820" s="274"/>
      <c r="K5820" s="274"/>
      <c r="L5820" s="274"/>
      <c r="M5820" s="274"/>
      <c r="N5820" s="274"/>
      <c r="P5820" s="275"/>
    </row>
    <row r="5821" ht="15.75" customHeight="1">
      <c r="B5821" s="282"/>
      <c r="H5821" s="273"/>
      <c r="I5821" s="274"/>
      <c r="J5821" s="274"/>
      <c r="K5821" s="274"/>
      <c r="L5821" s="274"/>
      <c r="M5821" s="274"/>
      <c r="N5821" s="274"/>
      <c r="P5821" s="275"/>
    </row>
    <row r="5822" ht="15.75" customHeight="1">
      <c r="B5822" s="282"/>
      <c r="H5822" s="273"/>
      <c r="I5822" s="274"/>
      <c r="J5822" s="274"/>
      <c r="K5822" s="274"/>
      <c r="L5822" s="274"/>
      <c r="M5822" s="274"/>
      <c r="N5822" s="274"/>
      <c r="P5822" s="275"/>
    </row>
    <row r="5823" ht="15.75" customHeight="1">
      <c r="B5823" s="282"/>
      <c r="H5823" s="273"/>
      <c r="I5823" s="274"/>
      <c r="J5823" s="274"/>
      <c r="K5823" s="274"/>
      <c r="L5823" s="274"/>
      <c r="M5823" s="274"/>
      <c r="N5823" s="274"/>
      <c r="P5823" s="275"/>
    </row>
    <row r="5824" ht="15.75" customHeight="1">
      <c r="B5824" s="282"/>
      <c r="H5824" s="273"/>
      <c r="I5824" s="274"/>
      <c r="J5824" s="274"/>
      <c r="K5824" s="274"/>
      <c r="L5824" s="274"/>
      <c r="M5824" s="274"/>
      <c r="N5824" s="274"/>
      <c r="P5824" s="275"/>
    </row>
    <row r="5825" ht="15.75" customHeight="1">
      <c r="B5825" s="282"/>
      <c r="H5825" s="273"/>
      <c r="I5825" s="274"/>
      <c r="J5825" s="274"/>
      <c r="K5825" s="274"/>
      <c r="L5825" s="274"/>
      <c r="M5825" s="274"/>
      <c r="N5825" s="274"/>
      <c r="P5825" s="275"/>
    </row>
    <row r="5826" ht="15.75" customHeight="1">
      <c r="B5826" s="282"/>
      <c r="H5826" s="273"/>
      <c r="I5826" s="274"/>
      <c r="J5826" s="274"/>
      <c r="K5826" s="274"/>
      <c r="L5826" s="274"/>
      <c r="M5826" s="274"/>
      <c r="N5826" s="274"/>
      <c r="P5826" s="275"/>
    </row>
    <row r="5827" ht="15.75" customHeight="1">
      <c r="B5827" s="282"/>
      <c r="H5827" s="273"/>
      <c r="I5827" s="274"/>
      <c r="J5827" s="274"/>
      <c r="K5827" s="274"/>
      <c r="L5827" s="274"/>
      <c r="M5827" s="274"/>
      <c r="N5827" s="274"/>
      <c r="P5827" s="275"/>
    </row>
    <row r="5828" ht="15.75" customHeight="1">
      <c r="B5828" s="282"/>
      <c r="H5828" s="273"/>
      <c r="I5828" s="274"/>
      <c r="J5828" s="274"/>
      <c r="K5828" s="274"/>
      <c r="L5828" s="274"/>
      <c r="M5828" s="274"/>
      <c r="N5828" s="274"/>
      <c r="P5828" s="275"/>
    </row>
    <row r="5829" ht="15.75" customHeight="1">
      <c r="B5829" s="282"/>
      <c r="H5829" s="273"/>
      <c r="I5829" s="274"/>
      <c r="J5829" s="274"/>
      <c r="K5829" s="274"/>
      <c r="L5829" s="274"/>
      <c r="M5829" s="274"/>
      <c r="N5829" s="274"/>
      <c r="P5829" s="275"/>
    </row>
    <row r="5830" ht="15.75" customHeight="1">
      <c r="B5830" s="282"/>
      <c r="H5830" s="273"/>
      <c r="I5830" s="274"/>
      <c r="J5830" s="274"/>
      <c r="K5830" s="274"/>
      <c r="L5830" s="274"/>
      <c r="M5830" s="274"/>
      <c r="N5830" s="274"/>
      <c r="P5830" s="275"/>
    </row>
    <row r="5831" ht="15.75" customHeight="1">
      <c r="B5831" s="282"/>
      <c r="H5831" s="273"/>
      <c r="I5831" s="274"/>
      <c r="J5831" s="274"/>
      <c r="K5831" s="274"/>
      <c r="L5831" s="274"/>
      <c r="M5831" s="274"/>
      <c r="N5831" s="274"/>
      <c r="P5831" s="275"/>
    </row>
    <row r="5832" ht="15.75" customHeight="1">
      <c r="B5832" s="282"/>
      <c r="H5832" s="273"/>
      <c r="I5832" s="274"/>
      <c r="J5832" s="274"/>
      <c r="K5832" s="274"/>
      <c r="L5832" s="274"/>
      <c r="M5832" s="274"/>
      <c r="N5832" s="274"/>
      <c r="P5832" s="275"/>
    </row>
    <row r="5833" ht="15.75" customHeight="1">
      <c r="B5833" s="282"/>
      <c r="H5833" s="273"/>
      <c r="I5833" s="274"/>
      <c r="J5833" s="274"/>
      <c r="K5833" s="274"/>
      <c r="L5833" s="274"/>
      <c r="M5833" s="274"/>
      <c r="N5833" s="274"/>
      <c r="P5833" s="275"/>
    </row>
    <row r="5834" ht="15.75" customHeight="1">
      <c r="B5834" s="282"/>
      <c r="H5834" s="273"/>
      <c r="I5834" s="274"/>
      <c r="J5834" s="274"/>
      <c r="K5834" s="274"/>
      <c r="L5834" s="274"/>
      <c r="M5834" s="274"/>
      <c r="N5834" s="274"/>
      <c r="P5834" s="275"/>
    </row>
    <row r="5835" ht="15.75" customHeight="1">
      <c r="B5835" s="282"/>
      <c r="H5835" s="273"/>
      <c r="I5835" s="274"/>
      <c r="J5835" s="274"/>
      <c r="K5835" s="274"/>
      <c r="L5835" s="274"/>
      <c r="M5835" s="274"/>
      <c r="N5835" s="274"/>
      <c r="P5835" s="275"/>
    </row>
    <row r="5836" ht="15.75" customHeight="1">
      <c r="B5836" s="282"/>
      <c r="H5836" s="273"/>
      <c r="I5836" s="274"/>
      <c r="J5836" s="274"/>
      <c r="K5836" s="274"/>
      <c r="L5836" s="274"/>
      <c r="M5836" s="274"/>
      <c r="N5836" s="274"/>
      <c r="P5836" s="275"/>
    </row>
    <row r="5837" ht="15.75" customHeight="1">
      <c r="B5837" s="282"/>
      <c r="H5837" s="273"/>
      <c r="I5837" s="274"/>
      <c r="J5837" s="274"/>
      <c r="K5837" s="274"/>
      <c r="L5837" s="274"/>
      <c r="M5837" s="274"/>
      <c r="N5837" s="274"/>
      <c r="P5837" s="275"/>
    </row>
    <row r="5838" ht="15.75" customHeight="1">
      <c r="B5838" s="282"/>
      <c r="H5838" s="273"/>
      <c r="I5838" s="274"/>
      <c r="J5838" s="274"/>
      <c r="K5838" s="274"/>
      <c r="L5838" s="274"/>
      <c r="M5838" s="274"/>
      <c r="N5838" s="274"/>
      <c r="P5838" s="275"/>
    </row>
    <row r="5839" ht="15.75" customHeight="1">
      <c r="B5839" s="282"/>
      <c r="H5839" s="273"/>
      <c r="I5839" s="274"/>
      <c r="J5839" s="274"/>
      <c r="K5839" s="274"/>
      <c r="L5839" s="274"/>
      <c r="M5839" s="274"/>
      <c r="N5839" s="274"/>
      <c r="P5839" s="275"/>
    </row>
    <row r="5840" ht="15.75" customHeight="1">
      <c r="B5840" s="282"/>
      <c r="H5840" s="273"/>
      <c r="I5840" s="274"/>
      <c r="J5840" s="274"/>
      <c r="K5840" s="274"/>
      <c r="L5840" s="274"/>
      <c r="M5840" s="274"/>
      <c r="N5840" s="274"/>
      <c r="P5840" s="275"/>
    </row>
    <row r="5841" ht="15.75" customHeight="1">
      <c r="B5841" s="282"/>
      <c r="H5841" s="273"/>
      <c r="I5841" s="274"/>
      <c r="J5841" s="274"/>
      <c r="K5841" s="274"/>
      <c r="L5841" s="274"/>
      <c r="M5841" s="274"/>
      <c r="N5841" s="274"/>
      <c r="P5841" s="275"/>
    </row>
    <row r="5842" ht="15.75" customHeight="1">
      <c r="B5842" s="282"/>
      <c r="H5842" s="273"/>
      <c r="I5842" s="274"/>
      <c r="J5842" s="274"/>
      <c r="K5842" s="274"/>
      <c r="L5842" s="274"/>
      <c r="M5842" s="274"/>
      <c r="N5842" s="274"/>
      <c r="P5842" s="275"/>
    </row>
    <row r="5843" ht="15.75" customHeight="1">
      <c r="B5843" s="282"/>
      <c r="H5843" s="273"/>
      <c r="I5843" s="274"/>
      <c r="J5843" s="274"/>
      <c r="K5843" s="274"/>
      <c r="L5843" s="274"/>
      <c r="M5843" s="274"/>
      <c r="N5843" s="274"/>
      <c r="P5843" s="275"/>
    </row>
    <row r="5844" ht="15.75" customHeight="1">
      <c r="B5844" s="282"/>
      <c r="H5844" s="273"/>
      <c r="I5844" s="274"/>
      <c r="J5844" s="274"/>
      <c r="K5844" s="274"/>
      <c r="L5844" s="274"/>
      <c r="M5844" s="274"/>
      <c r="N5844" s="274"/>
      <c r="P5844" s="275"/>
    </row>
    <row r="5845" ht="15.75" customHeight="1">
      <c r="B5845" s="282"/>
      <c r="H5845" s="273"/>
      <c r="I5845" s="274"/>
      <c r="J5845" s="274"/>
      <c r="K5845" s="274"/>
      <c r="L5845" s="274"/>
      <c r="M5845" s="274"/>
      <c r="N5845" s="274"/>
      <c r="P5845" s="275"/>
    </row>
    <row r="5846" ht="15.75" customHeight="1">
      <c r="B5846" s="282"/>
      <c r="H5846" s="273"/>
      <c r="I5846" s="274"/>
      <c r="J5846" s="274"/>
      <c r="K5846" s="274"/>
      <c r="L5846" s="274"/>
      <c r="M5846" s="274"/>
      <c r="N5846" s="274"/>
      <c r="P5846" s="275"/>
    </row>
    <row r="5847" ht="15.75" customHeight="1">
      <c r="B5847" s="282"/>
      <c r="H5847" s="273"/>
      <c r="I5847" s="274"/>
      <c r="J5847" s="274"/>
      <c r="K5847" s="274"/>
      <c r="L5847" s="274"/>
      <c r="M5847" s="274"/>
      <c r="N5847" s="274"/>
      <c r="P5847" s="275"/>
    </row>
    <row r="5848" ht="15.75" customHeight="1">
      <c r="B5848" s="282"/>
      <c r="H5848" s="273"/>
      <c r="I5848" s="274"/>
      <c r="J5848" s="274"/>
      <c r="K5848" s="274"/>
      <c r="L5848" s="274"/>
      <c r="M5848" s="274"/>
      <c r="N5848" s="274"/>
      <c r="P5848" s="275"/>
    </row>
    <row r="5849" ht="15.75" customHeight="1">
      <c r="B5849" s="282"/>
      <c r="H5849" s="273"/>
      <c r="I5849" s="274"/>
      <c r="J5849" s="274"/>
      <c r="K5849" s="274"/>
      <c r="L5849" s="274"/>
      <c r="M5849" s="274"/>
      <c r="N5849" s="274"/>
      <c r="P5849" s="275"/>
    </row>
    <row r="5850" ht="15.75" customHeight="1">
      <c r="B5850" s="282"/>
      <c r="H5850" s="273"/>
      <c r="I5850" s="274"/>
      <c r="J5850" s="274"/>
      <c r="K5850" s="274"/>
      <c r="L5850" s="274"/>
      <c r="M5850" s="274"/>
      <c r="N5850" s="274"/>
      <c r="P5850" s="275"/>
    </row>
    <row r="5851" ht="15.75" customHeight="1">
      <c r="B5851" s="282"/>
      <c r="H5851" s="273"/>
      <c r="I5851" s="274"/>
      <c r="J5851" s="274"/>
      <c r="K5851" s="274"/>
      <c r="L5851" s="274"/>
      <c r="M5851" s="274"/>
      <c r="N5851" s="274"/>
      <c r="P5851" s="275"/>
    </row>
    <row r="5852" ht="15.75" customHeight="1">
      <c r="B5852" s="282"/>
      <c r="H5852" s="273"/>
      <c r="I5852" s="274"/>
      <c r="J5852" s="274"/>
      <c r="K5852" s="274"/>
      <c r="L5852" s="274"/>
      <c r="M5852" s="274"/>
      <c r="N5852" s="274"/>
      <c r="P5852" s="275"/>
    </row>
    <row r="5853" ht="15.75" customHeight="1">
      <c r="B5853" s="282"/>
      <c r="H5853" s="273"/>
      <c r="I5853" s="274"/>
      <c r="J5853" s="274"/>
      <c r="K5853" s="274"/>
      <c r="L5853" s="274"/>
      <c r="M5853" s="274"/>
      <c r="N5853" s="274"/>
      <c r="P5853" s="275"/>
    </row>
    <row r="5854" ht="15.75" customHeight="1">
      <c r="B5854" s="282"/>
      <c r="H5854" s="273"/>
      <c r="I5854" s="274"/>
      <c r="J5854" s="274"/>
      <c r="K5854" s="274"/>
      <c r="L5854" s="274"/>
      <c r="M5854" s="274"/>
      <c r="N5854" s="274"/>
      <c r="P5854" s="275"/>
    </row>
    <row r="5855" ht="15.75" customHeight="1">
      <c r="B5855" s="282"/>
      <c r="H5855" s="273"/>
      <c r="I5855" s="274"/>
      <c r="J5855" s="274"/>
      <c r="K5855" s="274"/>
      <c r="L5855" s="274"/>
      <c r="M5855" s="274"/>
      <c r="N5855" s="274"/>
      <c r="P5855" s="275"/>
    </row>
    <row r="5856" ht="15.75" customHeight="1">
      <c r="B5856" s="282"/>
      <c r="H5856" s="273"/>
      <c r="I5856" s="274"/>
      <c r="J5856" s="274"/>
      <c r="K5856" s="274"/>
      <c r="L5856" s="274"/>
      <c r="M5856" s="274"/>
      <c r="N5856" s="274"/>
      <c r="P5856" s="275"/>
    </row>
    <row r="5857" ht="15.75" customHeight="1">
      <c r="B5857" s="282"/>
      <c r="H5857" s="273"/>
      <c r="I5857" s="274"/>
      <c r="J5857" s="274"/>
      <c r="K5857" s="274"/>
      <c r="L5857" s="274"/>
      <c r="M5857" s="274"/>
      <c r="N5857" s="274"/>
      <c r="P5857" s="275"/>
    </row>
    <row r="5858" ht="15.75" customHeight="1">
      <c r="B5858" s="282"/>
      <c r="H5858" s="273"/>
      <c r="I5858" s="274"/>
      <c r="J5858" s="274"/>
      <c r="K5858" s="274"/>
      <c r="L5858" s="274"/>
      <c r="M5858" s="274"/>
      <c r="N5858" s="274"/>
      <c r="P5858" s="275"/>
    </row>
    <row r="5859" ht="15.75" customHeight="1">
      <c r="B5859" s="282"/>
      <c r="H5859" s="273"/>
      <c r="I5859" s="274"/>
      <c r="J5859" s="274"/>
      <c r="K5859" s="274"/>
      <c r="L5859" s="274"/>
      <c r="M5859" s="274"/>
      <c r="N5859" s="274"/>
      <c r="P5859" s="275"/>
    </row>
    <row r="5860" ht="15.75" customHeight="1">
      <c r="B5860" s="282"/>
      <c r="H5860" s="273"/>
      <c r="I5860" s="274"/>
      <c r="J5860" s="274"/>
      <c r="K5860" s="274"/>
      <c r="L5860" s="274"/>
      <c r="M5860" s="274"/>
      <c r="N5860" s="274"/>
      <c r="P5860" s="275"/>
    </row>
    <row r="5861" ht="15.75" customHeight="1">
      <c r="B5861" s="282"/>
      <c r="H5861" s="273"/>
      <c r="I5861" s="274"/>
      <c r="J5861" s="274"/>
      <c r="K5861" s="274"/>
      <c r="L5861" s="274"/>
      <c r="M5861" s="274"/>
      <c r="N5861" s="274"/>
      <c r="P5861" s="275"/>
    </row>
    <row r="5862" ht="15.75" customHeight="1">
      <c r="B5862" s="282"/>
      <c r="H5862" s="273"/>
      <c r="I5862" s="274"/>
      <c r="J5862" s="274"/>
      <c r="K5862" s="274"/>
      <c r="L5862" s="274"/>
      <c r="M5862" s="274"/>
      <c r="N5862" s="274"/>
      <c r="P5862" s="275"/>
    </row>
    <row r="5863" ht="15.75" customHeight="1">
      <c r="B5863" s="282"/>
      <c r="H5863" s="273"/>
      <c r="I5863" s="274"/>
      <c r="J5863" s="274"/>
      <c r="K5863" s="274"/>
      <c r="L5863" s="274"/>
      <c r="M5863" s="274"/>
      <c r="N5863" s="274"/>
      <c r="P5863" s="275"/>
    </row>
    <row r="5864" ht="15.75" customHeight="1">
      <c r="B5864" s="282"/>
      <c r="H5864" s="273"/>
      <c r="I5864" s="274"/>
      <c r="J5864" s="274"/>
      <c r="K5864" s="274"/>
      <c r="L5864" s="274"/>
      <c r="M5864" s="274"/>
      <c r="N5864" s="274"/>
      <c r="P5864" s="275"/>
    </row>
    <row r="5865" ht="15.75" customHeight="1">
      <c r="B5865" s="282"/>
      <c r="H5865" s="273"/>
      <c r="I5865" s="274"/>
      <c r="J5865" s="274"/>
      <c r="K5865" s="274"/>
      <c r="L5865" s="274"/>
      <c r="M5865" s="274"/>
      <c r="N5865" s="274"/>
      <c r="P5865" s="275"/>
    </row>
    <row r="5866" ht="15.75" customHeight="1">
      <c r="B5866" s="282"/>
      <c r="H5866" s="273"/>
      <c r="I5866" s="274"/>
      <c r="J5866" s="274"/>
      <c r="K5866" s="274"/>
      <c r="L5866" s="274"/>
      <c r="M5866" s="274"/>
      <c r="N5866" s="274"/>
      <c r="P5866" s="275"/>
    </row>
    <row r="5867" ht="15.75" customHeight="1">
      <c r="B5867" s="282"/>
      <c r="H5867" s="273"/>
      <c r="I5867" s="274"/>
      <c r="J5867" s="274"/>
      <c r="K5867" s="274"/>
      <c r="L5867" s="274"/>
      <c r="M5867" s="274"/>
      <c r="N5867" s="274"/>
      <c r="P5867" s="275"/>
    </row>
    <row r="5868" ht="15.75" customHeight="1">
      <c r="B5868" s="282"/>
      <c r="H5868" s="273"/>
      <c r="I5868" s="274"/>
      <c r="J5868" s="274"/>
      <c r="K5868" s="274"/>
      <c r="L5868" s="274"/>
      <c r="M5868" s="274"/>
      <c r="N5868" s="274"/>
      <c r="P5868" s="275"/>
    </row>
    <row r="5869" ht="15.75" customHeight="1">
      <c r="B5869" s="282"/>
      <c r="H5869" s="273"/>
      <c r="I5869" s="274"/>
      <c r="J5869" s="274"/>
      <c r="K5869" s="274"/>
      <c r="L5869" s="274"/>
      <c r="M5869" s="274"/>
      <c r="N5869" s="274"/>
      <c r="P5869" s="275"/>
    </row>
    <row r="5870" ht="15.75" customHeight="1">
      <c r="B5870" s="282"/>
      <c r="H5870" s="273"/>
      <c r="I5870" s="274"/>
      <c r="J5870" s="274"/>
      <c r="K5870" s="274"/>
      <c r="L5870" s="274"/>
      <c r="M5870" s="274"/>
      <c r="N5870" s="274"/>
      <c r="P5870" s="275"/>
    </row>
    <row r="5871" ht="15.75" customHeight="1">
      <c r="B5871" s="282"/>
      <c r="H5871" s="273"/>
      <c r="I5871" s="274"/>
      <c r="J5871" s="274"/>
      <c r="K5871" s="274"/>
      <c r="L5871" s="274"/>
      <c r="M5871" s="274"/>
      <c r="N5871" s="274"/>
      <c r="P5871" s="275"/>
    </row>
    <row r="5872" ht="15.75" customHeight="1">
      <c r="B5872" s="282"/>
      <c r="H5872" s="273"/>
      <c r="I5872" s="274"/>
      <c r="J5872" s="274"/>
      <c r="K5872" s="274"/>
      <c r="L5872" s="274"/>
      <c r="M5872" s="274"/>
      <c r="N5872" s="274"/>
      <c r="P5872" s="275"/>
    </row>
    <row r="5873" ht="15.75" customHeight="1">
      <c r="B5873" s="282"/>
      <c r="H5873" s="273"/>
      <c r="I5873" s="274"/>
      <c r="J5873" s="274"/>
      <c r="K5873" s="274"/>
      <c r="L5873" s="274"/>
      <c r="M5873" s="274"/>
      <c r="N5873" s="274"/>
      <c r="P5873" s="275"/>
    </row>
    <row r="5874" ht="15.75" customHeight="1">
      <c r="B5874" s="282"/>
      <c r="H5874" s="273"/>
      <c r="I5874" s="274"/>
      <c r="J5874" s="274"/>
      <c r="K5874" s="274"/>
      <c r="L5874" s="274"/>
      <c r="M5874" s="274"/>
      <c r="N5874" s="274"/>
      <c r="P5874" s="275"/>
    </row>
    <row r="5875" ht="15.75" customHeight="1">
      <c r="B5875" s="282"/>
      <c r="H5875" s="273"/>
      <c r="I5875" s="274"/>
      <c r="J5875" s="274"/>
      <c r="K5875" s="274"/>
      <c r="L5875" s="274"/>
      <c r="M5875" s="274"/>
      <c r="N5875" s="274"/>
      <c r="P5875" s="275"/>
    </row>
    <row r="5876" ht="15.75" customHeight="1">
      <c r="B5876" s="282"/>
      <c r="H5876" s="273"/>
      <c r="I5876" s="274"/>
      <c r="J5876" s="274"/>
      <c r="K5876" s="274"/>
      <c r="L5876" s="274"/>
      <c r="M5876" s="274"/>
      <c r="N5876" s="274"/>
      <c r="P5876" s="275"/>
    </row>
    <row r="5877" ht="15.75" customHeight="1">
      <c r="B5877" s="282"/>
      <c r="H5877" s="273"/>
      <c r="I5877" s="274"/>
      <c r="J5877" s="274"/>
      <c r="K5877" s="274"/>
      <c r="L5877" s="274"/>
      <c r="M5877" s="274"/>
      <c r="N5877" s="274"/>
      <c r="P5877" s="275"/>
    </row>
    <row r="5878" ht="15.75" customHeight="1">
      <c r="B5878" s="282"/>
      <c r="H5878" s="273"/>
      <c r="I5878" s="274"/>
      <c r="J5878" s="274"/>
      <c r="K5878" s="274"/>
      <c r="L5878" s="274"/>
      <c r="M5878" s="274"/>
      <c r="N5878" s="274"/>
      <c r="P5878" s="275"/>
    </row>
    <row r="5879" ht="15.75" customHeight="1">
      <c r="B5879" s="282"/>
      <c r="H5879" s="273"/>
      <c r="I5879" s="274"/>
      <c r="J5879" s="274"/>
      <c r="K5879" s="274"/>
      <c r="L5879" s="274"/>
      <c r="M5879" s="274"/>
      <c r="N5879" s="274"/>
      <c r="P5879" s="275"/>
    </row>
    <row r="5880" ht="15.75" customHeight="1">
      <c r="B5880" s="282"/>
      <c r="H5880" s="273"/>
      <c r="I5880" s="274"/>
      <c r="J5880" s="274"/>
      <c r="K5880" s="274"/>
      <c r="L5880" s="274"/>
      <c r="M5880" s="274"/>
      <c r="N5880" s="274"/>
      <c r="P5880" s="275"/>
    </row>
    <row r="5881" ht="15.75" customHeight="1">
      <c r="B5881" s="282"/>
      <c r="H5881" s="273"/>
      <c r="I5881" s="274"/>
      <c r="J5881" s="274"/>
      <c r="K5881" s="274"/>
      <c r="L5881" s="274"/>
      <c r="M5881" s="274"/>
      <c r="N5881" s="274"/>
      <c r="P5881" s="275"/>
    </row>
    <row r="5882" ht="15.75" customHeight="1">
      <c r="B5882" s="282"/>
      <c r="H5882" s="273"/>
      <c r="I5882" s="274"/>
      <c r="J5882" s="274"/>
      <c r="K5882" s="274"/>
      <c r="L5882" s="274"/>
      <c r="M5882" s="274"/>
      <c r="N5882" s="274"/>
      <c r="P5882" s="275"/>
    </row>
    <row r="5883" ht="15.75" customHeight="1">
      <c r="B5883" s="282"/>
      <c r="H5883" s="273"/>
      <c r="I5883" s="274"/>
      <c r="J5883" s="274"/>
      <c r="K5883" s="274"/>
      <c r="L5883" s="274"/>
      <c r="M5883" s="274"/>
      <c r="N5883" s="274"/>
      <c r="P5883" s="275"/>
    </row>
    <row r="5884" ht="15.75" customHeight="1">
      <c r="B5884" s="282"/>
      <c r="H5884" s="273"/>
      <c r="I5884" s="274"/>
      <c r="J5884" s="274"/>
      <c r="K5884" s="274"/>
      <c r="L5884" s="274"/>
      <c r="M5884" s="274"/>
      <c r="N5884" s="274"/>
      <c r="P5884" s="275"/>
    </row>
    <row r="5885" ht="15.75" customHeight="1">
      <c r="B5885" s="282"/>
      <c r="H5885" s="273"/>
      <c r="I5885" s="274"/>
      <c r="J5885" s="274"/>
      <c r="K5885" s="274"/>
      <c r="L5885" s="274"/>
      <c r="M5885" s="274"/>
      <c r="N5885" s="274"/>
      <c r="P5885" s="275"/>
    </row>
    <row r="5886" ht="15.75" customHeight="1">
      <c r="B5886" s="282"/>
      <c r="H5886" s="273"/>
      <c r="I5886" s="274"/>
      <c r="J5886" s="274"/>
      <c r="K5886" s="274"/>
      <c r="L5886" s="274"/>
      <c r="M5886" s="274"/>
      <c r="N5886" s="274"/>
      <c r="P5886" s="275"/>
    </row>
    <row r="5887" ht="15.75" customHeight="1">
      <c r="B5887" s="282"/>
      <c r="H5887" s="273"/>
      <c r="I5887" s="274"/>
      <c r="J5887" s="274"/>
      <c r="K5887" s="274"/>
      <c r="L5887" s="274"/>
      <c r="M5887" s="274"/>
      <c r="N5887" s="274"/>
      <c r="P5887" s="275"/>
    </row>
    <row r="5888" ht="15.75" customHeight="1">
      <c r="B5888" s="282"/>
      <c r="H5888" s="273"/>
      <c r="I5888" s="274"/>
      <c r="J5888" s="274"/>
      <c r="K5888" s="274"/>
      <c r="L5888" s="274"/>
      <c r="M5888" s="274"/>
      <c r="N5888" s="274"/>
      <c r="P5888" s="275"/>
    </row>
    <row r="5889" ht="15.75" customHeight="1">
      <c r="B5889" s="282"/>
      <c r="H5889" s="273"/>
      <c r="I5889" s="274"/>
      <c r="J5889" s="274"/>
      <c r="K5889" s="274"/>
      <c r="L5889" s="274"/>
      <c r="M5889" s="274"/>
      <c r="N5889" s="274"/>
      <c r="P5889" s="275"/>
    </row>
    <row r="5890" ht="15.75" customHeight="1">
      <c r="B5890" s="282"/>
      <c r="H5890" s="273"/>
      <c r="I5890" s="274"/>
      <c r="J5890" s="274"/>
      <c r="K5890" s="274"/>
      <c r="L5890" s="274"/>
      <c r="M5890" s="274"/>
      <c r="N5890" s="274"/>
      <c r="P5890" s="275"/>
    </row>
    <row r="5891" ht="15.75" customHeight="1">
      <c r="B5891" s="282"/>
      <c r="H5891" s="273"/>
      <c r="I5891" s="274"/>
      <c r="J5891" s="274"/>
      <c r="K5891" s="274"/>
      <c r="L5891" s="274"/>
      <c r="M5891" s="274"/>
      <c r="N5891" s="274"/>
      <c r="P5891" s="275"/>
    </row>
    <row r="5892" ht="15.75" customHeight="1">
      <c r="B5892" s="282"/>
      <c r="H5892" s="273"/>
      <c r="I5892" s="274"/>
      <c r="J5892" s="274"/>
      <c r="K5892" s="274"/>
      <c r="L5892" s="274"/>
      <c r="M5892" s="274"/>
      <c r="N5892" s="274"/>
      <c r="P5892" s="275"/>
    </row>
    <row r="5893" ht="15.75" customHeight="1">
      <c r="B5893" s="282"/>
      <c r="H5893" s="273"/>
      <c r="I5893" s="274"/>
      <c r="J5893" s="274"/>
      <c r="K5893" s="274"/>
      <c r="L5893" s="274"/>
      <c r="M5893" s="274"/>
      <c r="N5893" s="274"/>
      <c r="P5893" s="275"/>
    </row>
    <row r="5894" ht="15.75" customHeight="1">
      <c r="B5894" s="282"/>
      <c r="H5894" s="273"/>
      <c r="I5894" s="274"/>
      <c r="J5894" s="274"/>
      <c r="K5894" s="274"/>
      <c r="L5894" s="274"/>
      <c r="M5894" s="274"/>
      <c r="N5894" s="274"/>
      <c r="P5894" s="275"/>
    </row>
    <row r="5895" ht="15.75" customHeight="1">
      <c r="B5895" s="282"/>
      <c r="H5895" s="273"/>
      <c r="I5895" s="274"/>
      <c r="J5895" s="274"/>
      <c r="K5895" s="274"/>
      <c r="L5895" s="274"/>
      <c r="M5895" s="274"/>
      <c r="N5895" s="274"/>
      <c r="P5895" s="275"/>
    </row>
    <row r="5896" ht="15.75" customHeight="1">
      <c r="B5896" s="282"/>
      <c r="H5896" s="273"/>
      <c r="I5896" s="274"/>
      <c r="J5896" s="274"/>
      <c r="K5896" s="274"/>
      <c r="L5896" s="274"/>
      <c r="M5896" s="274"/>
      <c r="N5896" s="274"/>
      <c r="P5896" s="275"/>
    </row>
    <row r="5897" ht="15.75" customHeight="1">
      <c r="B5897" s="282"/>
      <c r="H5897" s="273"/>
      <c r="I5897" s="274"/>
      <c r="J5897" s="274"/>
      <c r="K5897" s="274"/>
      <c r="L5897" s="274"/>
      <c r="M5897" s="274"/>
      <c r="N5897" s="274"/>
      <c r="P5897" s="275"/>
    </row>
    <row r="5898" ht="15.75" customHeight="1">
      <c r="B5898" s="282"/>
      <c r="H5898" s="273"/>
      <c r="I5898" s="274"/>
      <c r="J5898" s="274"/>
      <c r="K5898" s="274"/>
      <c r="L5898" s="274"/>
      <c r="M5898" s="274"/>
      <c r="N5898" s="274"/>
      <c r="P5898" s="275"/>
    </row>
    <row r="5899" ht="15.75" customHeight="1">
      <c r="B5899" s="282"/>
      <c r="H5899" s="273"/>
      <c r="I5899" s="274"/>
      <c r="J5899" s="274"/>
      <c r="K5899" s="274"/>
      <c r="L5899" s="274"/>
      <c r="M5899" s="274"/>
      <c r="N5899" s="274"/>
      <c r="P5899" s="275"/>
    </row>
    <row r="5900" ht="15.75" customHeight="1">
      <c r="B5900" s="282"/>
      <c r="H5900" s="273"/>
      <c r="I5900" s="274"/>
      <c r="J5900" s="274"/>
      <c r="K5900" s="274"/>
      <c r="L5900" s="274"/>
      <c r="M5900" s="274"/>
      <c r="N5900" s="274"/>
      <c r="P5900" s="275"/>
    </row>
    <row r="5901" ht="15.75" customHeight="1">
      <c r="B5901" s="282"/>
      <c r="H5901" s="273"/>
      <c r="I5901" s="274"/>
      <c r="J5901" s="274"/>
      <c r="K5901" s="274"/>
      <c r="L5901" s="274"/>
      <c r="M5901" s="274"/>
      <c r="N5901" s="274"/>
      <c r="P5901" s="275"/>
    </row>
    <row r="5902" ht="15.75" customHeight="1">
      <c r="B5902" s="282"/>
      <c r="H5902" s="273"/>
      <c r="I5902" s="274"/>
      <c r="J5902" s="274"/>
      <c r="K5902" s="274"/>
      <c r="L5902" s="274"/>
      <c r="M5902" s="274"/>
      <c r="N5902" s="274"/>
      <c r="P5902" s="275"/>
    </row>
    <row r="5903" ht="15.75" customHeight="1">
      <c r="B5903" s="282"/>
      <c r="H5903" s="273"/>
      <c r="I5903" s="274"/>
      <c r="J5903" s="274"/>
      <c r="K5903" s="274"/>
      <c r="L5903" s="274"/>
      <c r="M5903" s="274"/>
      <c r="N5903" s="274"/>
      <c r="P5903" s="275"/>
    </row>
    <row r="5904" ht="15.75" customHeight="1">
      <c r="B5904" s="282"/>
      <c r="H5904" s="273"/>
      <c r="I5904" s="274"/>
      <c r="J5904" s="274"/>
      <c r="K5904" s="274"/>
      <c r="L5904" s="274"/>
      <c r="M5904" s="274"/>
      <c r="N5904" s="274"/>
      <c r="P5904" s="275"/>
    </row>
    <row r="5905" ht="15.75" customHeight="1">
      <c r="B5905" s="282"/>
      <c r="H5905" s="273"/>
      <c r="I5905" s="274"/>
      <c r="J5905" s="274"/>
      <c r="K5905" s="274"/>
      <c r="L5905" s="274"/>
      <c r="M5905" s="274"/>
      <c r="N5905" s="274"/>
      <c r="P5905" s="275"/>
    </row>
    <row r="5906" ht="15.75" customHeight="1">
      <c r="B5906" s="282"/>
      <c r="H5906" s="273"/>
      <c r="I5906" s="274"/>
      <c r="J5906" s="274"/>
      <c r="K5906" s="274"/>
      <c r="L5906" s="274"/>
      <c r="M5906" s="274"/>
      <c r="N5906" s="274"/>
      <c r="P5906" s="275"/>
    </row>
    <row r="5907" ht="15.75" customHeight="1">
      <c r="B5907" s="282"/>
      <c r="H5907" s="273"/>
      <c r="I5907" s="274"/>
      <c r="J5907" s="274"/>
      <c r="K5907" s="274"/>
      <c r="L5907" s="274"/>
      <c r="M5907" s="274"/>
      <c r="N5907" s="274"/>
      <c r="P5907" s="275"/>
    </row>
    <row r="5908" ht="15.75" customHeight="1">
      <c r="B5908" s="282"/>
      <c r="H5908" s="273"/>
      <c r="I5908" s="274"/>
      <c r="J5908" s="274"/>
      <c r="K5908" s="274"/>
      <c r="L5908" s="274"/>
      <c r="M5908" s="274"/>
      <c r="N5908" s="274"/>
      <c r="P5908" s="275"/>
    </row>
    <row r="5909" ht="15.75" customHeight="1">
      <c r="B5909" s="282"/>
      <c r="H5909" s="273"/>
      <c r="I5909" s="274"/>
      <c r="J5909" s="274"/>
      <c r="K5909" s="274"/>
      <c r="L5909" s="274"/>
      <c r="M5909" s="274"/>
      <c r="N5909" s="274"/>
      <c r="P5909" s="275"/>
    </row>
    <row r="5910" ht="15.75" customHeight="1">
      <c r="B5910" s="282"/>
      <c r="H5910" s="273"/>
      <c r="I5910" s="274"/>
      <c r="J5910" s="274"/>
      <c r="K5910" s="274"/>
      <c r="L5910" s="274"/>
      <c r="M5910" s="274"/>
      <c r="N5910" s="274"/>
      <c r="P5910" s="275"/>
    </row>
    <row r="5911" ht="15.75" customHeight="1">
      <c r="B5911" s="282"/>
      <c r="H5911" s="273"/>
      <c r="I5911" s="274"/>
      <c r="J5911" s="274"/>
      <c r="K5911" s="274"/>
      <c r="L5911" s="274"/>
      <c r="M5911" s="274"/>
      <c r="N5911" s="274"/>
      <c r="P5911" s="275"/>
    </row>
    <row r="5912" ht="15.75" customHeight="1">
      <c r="B5912" s="282"/>
      <c r="H5912" s="273"/>
      <c r="I5912" s="274"/>
      <c r="J5912" s="274"/>
      <c r="K5912" s="274"/>
      <c r="L5912" s="274"/>
      <c r="M5912" s="274"/>
      <c r="N5912" s="274"/>
      <c r="P5912" s="275"/>
    </row>
    <row r="5913" ht="15.75" customHeight="1">
      <c r="B5913" s="282"/>
      <c r="H5913" s="273"/>
      <c r="I5913" s="274"/>
      <c r="J5913" s="274"/>
      <c r="K5913" s="274"/>
      <c r="L5913" s="274"/>
      <c r="M5913" s="274"/>
      <c r="N5913" s="274"/>
      <c r="P5913" s="275"/>
    </row>
    <row r="5914" ht="15.75" customHeight="1">
      <c r="B5914" s="282"/>
      <c r="H5914" s="273"/>
      <c r="I5914" s="274"/>
      <c r="J5914" s="274"/>
      <c r="K5914" s="274"/>
      <c r="L5914" s="274"/>
      <c r="M5914" s="274"/>
      <c r="N5914" s="274"/>
      <c r="P5914" s="275"/>
    </row>
    <row r="5915" ht="15.75" customHeight="1">
      <c r="B5915" s="282"/>
      <c r="H5915" s="273"/>
      <c r="I5915" s="274"/>
      <c r="J5915" s="274"/>
      <c r="K5915" s="274"/>
      <c r="L5915" s="274"/>
      <c r="M5915" s="274"/>
      <c r="N5915" s="274"/>
      <c r="P5915" s="275"/>
    </row>
    <row r="5916" ht="15.75" customHeight="1">
      <c r="B5916" s="282"/>
      <c r="H5916" s="273"/>
      <c r="I5916" s="274"/>
      <c r="J5916" s="274"/>
      <c r="K5916" s="274"/>
      <c r="L5916" s="274"/>
      <c r="M5916" s="274"/>
      <c r="N5916" s="274"/>
      <c r="P5916" s="275"/>
    </row>
    <row r="5917" ht="15.75" customHeight="1">
      <c r="B5917" s="282"/>
      <c r="H5917" s="273"/>
      <c r="I5917" s="274"/>
      <c r="J5917" s="274"/>
      <c r="K5917" s="274"/>
      <c r="L5917" s="274"/>
      <c r="M5917" s="274"/>
      <c r="N5917" s="274"/>
      <c r="P5917" s="275"/>
    </row>
    <row r="5918" ht="15.75" customHeight="1">
      <c r="B5918" s="282"/>
      <c r="H5918" s="273"/>
      <c r="I5918" s="274"/>
      <c r="J5918" s="274"/>
      <c r="K5918" s="274"/>
      <c r="L5918" s="274"/>
      <c r="M5918" s="274"/>
      <c r="N5918" s="274"/>
      <c r="P5918" s="275"/>
    </row>
    <row r="5919" ht="15.75" customHeight="1">
      <c r="B5919" s="282"/>
      <c r="H5919" s="273"/>
      <c r="I5919" s="274"/>
      <c r="J5919" s="274"/>
      <c r="K5919" s="274"/>
      <c r="L5919" s="274"/>
      <c r="M5919" s="274"/>
      <c r="N5919" s="274"/>
      <c r="P5919" s="275"/>
    </row>
    <row r="5920" ht="15.75" customHeight="1">
      <c r="B5920" s="282"/>
      <c r="H5920" s="273"/>
      <c r="I5920" s="274"/>
      <c r="J5920" s="274"/>
      <c r="K5920" s="274"/>
      <c r="L5920" s="274"/>
      <c r="M5920" s="274"/>
      <c r="N5920" s="274"/>
      <c r="P5920" s="275"/>
    </row>
    <row r="5921" ht="15.75" customHeight="1">
      <c r="B5921" s="282"/>
      <c r="H5921" s="273"/>
      <c r="I5921" s="274"/>
      <c r="J5921" s="274"/>
      <c r="K5921" s="274"/>
      <c r="L5921" s="274"/>
      <c r="M5921" s="274"/>
      <c r="N5921" s="274"/>
      <c r="P5921" s="275"/>
    </row>
    <row r="5922" ht="15.75" customHeight="1">
      <c r="B5922" s="282"/>
      <c r="H5922" s="273"/>
      <c r="I5922" s="274"/>
      <c r="J5922" s="274"/>
      <c r="K5922" s="274"/>
      <c r="L5922" s="274"/>
      <c r="M5922" s="274"/>
      <c r="N5922" s="274"/>
      <c r="P5922" s="275"/>
    </row>
    <row r="5923" ht="15.75" customHeight="1">
      <c r="B5923" s="282"/>
      <c r="H5923" s="273"/>
      <c r="I5923" s="274"/>
      <c r="J5923" s="274"/>
      <c r="K5923" s="274"/>
      <c r="L5923" s="274"/>
      <c r="M5923" s="274"/>
      <c r="N5923" s="274"/>
      <c r="P5923" s="275"/>
    </row>
    <row r="5924" ht="15.75" customHeight="1">
      <c r="B5924" s="282"/>
      <c r="H5924" s="273"/>
      <c r="I5924" s="274"/>
      <c r="J5924" s="274"/>
      <c r="K5924" s="274"/>
      <c r="L5924" s="274"/>
      <c r="M5924" s="274"/>
      <c r="N5924" s="274"/>
      <c r="P5924" s="275"/>
    </row>
    <row r="5925" ht="15.75" customHeight="1">
      <c r="B5925" s="282"/>
      <c r="H5925" s="273"/>
      <c r="I5925" s="274"/>
      <c r="J5925" s="274"/>
      <c r="K5925" s="274"/>
      <c r="L5925" s="274"/>
      <c r="M5925" s="274"/>
      <c r="N5925" s="274"/>
      <c r="P5925" s="275"/>
    </row>
    <row r="5926" ht="15.75" customHeight="1">
      <c r="B5926" s="282"/>
      <c r="H5926" s="273"/>
      <c r="I5926" s="274"/>
      <c r="J5926" s="274"/>
      <c r="K5926" s="274"/>
      <c r="L5926" s="274"/>
      <c r="M5926" s="274"/>
      <c r="N5926" s="274"/>
      <c r="P5926" s="275"/>
    </row>
    <row r="5927" ht="15.75" customHeight="1">
      <c r="B5927" s="282"/>
      <c r="H5927" s="273"/>
      <c r="I5927" s="274"/>
      <c r="J5927" s="274"/>
      <c r="K5927" s="274"/>
      <c r="L5927" s="274"/>
      <c r="M5927" s="274"/>
      <c r="N5927" s="274"/>
      <c r="P5927" s="275"/>
    </row>
    <row r="5928" ht="15.75" customHeight="1">
      <c r="B5928" s="282"/>
      <c r="H5928" s="273"/>
      <c r="I5928" s="274"/>
      <c r="J5928" s="274"/>
      <c r="K5928" s="274"/>
      <c r="L5928" s="274"/>
      <c r="M5928" s="274"/>
      <c r="N5928" s="274"/>
      <c r="P5928" s="275"/>
    </row>
    <row r="5929" ht="15.75" customHeight="1">
      <c r="B5929" s="282"/>
      <c r="H5929" s="273"/>
      <c r="I5929" s="274"/>
      <c r="J5929" s="274"/>
      <c r="K5929" s="274"/>
      <c r="L5929" s="274"/>
      <c r="M5929" s="274"/>
      <c r="N5929" s="274"/>
      <c r="P5929" s="275"/>
    </row>
    <row r="5930" ht="15.75" customHeight="1">
      <c r="B5930" s="282"/>
      <c r="H5930" s="273"/>
      <c r="I5930" s="274"/>
      <c r="J5930" s="274"/>
      <c r="K5930" s="274"/>
      <c r="L5930" s="274"/>
      <c r="M5930" s="274"/>
      <c r="N5930" s="274"/>
      <c r="P5930" s="275"/>
    </row>
    <row r="5931" ht="15.75" customHeight="1">
      <c r="B5931" s="282"/>
      <c r="H5931" s="273"/>
      <c r="I5931" s="274"/>
      <c r="J5931" s="274"/>
      <c r="K5931" s="274"/>
      <c r="L5931" s="274"/>
      <c r="M5931" s="274"/>
      <c r="N5931" s="274"/>
      <c r="P5931" s="275"/>
    </row>
    <row r="5932" ht="15.75" customHeight="1">
      <c r="B5932" s="282"/>
      <c r="H5932" s="273"/>
      <c r="I5932" s="274"/>
      <c r="J5932" s="274"/>
      <c r="K5932" s="274"/>
      <c r="L5932" s="274"/>
      <c r="M5932" s="274"/>
      <c r="N5932" s="274"/>
      <c r="P5932" s="275"/>
    </row>
    <row r="5933" ht="15.75" customHeight="1">
      <c r="B5933" s="282"/>
      <c r="H5933" s="273"/>
      <c r="I5933" s="274"/>
      <c r="J5933" s="274"/>
      <c r="K5933" s="274"/>
      <c r="L5933" s="274"/>
      <c r="M5933" s="274"/>
      <c r="N5933" s="274"/>
      <c r="P5933" s="275"/>
    </row>
    <row r="5934" ht="15.75" customHeight="1">
      <c r="B5934" s="282"/>
      <c r="H5934" s="273"/>
      <c r="I5934" s="274"/>
      <c r="J5934" s="274"/>
      <c r="K5934" s="274"/>
      <c r="L5934" s="274"/>
      <c r="M5934" s="274"/>
      <c r="N5934" s="274"/>
      <c r="P5934" s="275"/>
    </row>
    <row r="5935" ht="15.75" customHeight="1">
      <c r="B5935" s="282"/>
      <c r="H5935" s="273"/>
      <c r="I5935" s="274"/>
      <c r="J5935" s="274"/>
      <c r="K5935" s="274"/>
      <c r="L5935" s="274"/>
      <c r="M5935" s="274"/>
      <c r="N5935" s="274"/>
      <c r="P5935" s="275"/>
    </row>
    <row r="5936" ht="15.75" customHeight="1">
      <c r="B5936" s="282"/>
      <c r="H5936" s="273"/>
      <c r="I5936" s="274"/>
      <c r="J5936" s="274"/>
      <c r="K5936" s="274"/>
      <c r="L5936" s="274"/>
      <c r="M5936" s="274"/>
      <c r="N5936" s="274"/>
      <c r="P5936" s="275"/>
    </row>
    <row r="5937" ht="15.75" customHeight="1">
      <c r="B5937" s="282"/>
      <c r="H5937" s="273"/>
      <c r="I5937" s="274"/>
      <c r="J5937" s="274"/>
      <c r="K5937" s="274"/>
      <c r="L5937" s="274"/>
      <c r="M5937" s="274"/>
      <c r="N5937" s="274"/>
      <c r="P5937" s="275"/>
    </row>
    <row r="5938" ht="15.75" customHeight="1">
      <c r="B5938" s="282"/>
      <c r="H5938" s="273"/>
      <c r="I5938" s="274"/>
      <c r="J5938" s="274"/>
      <c r="K5938" s="274"/>
      <c r="L5938" s="274"/>
      <c r="M5938" s="274"/>
      <c r="N5938" s="274"/>
      <c r="P5938" s="275"/>
    </row>
    <row r="5939" ht="15.75" customHeight="1">
      <c r="B5939" s="282"/>
      <c r="H5939" s="273"/>
      <c r="I5939" s="274"/>
      <c r="J5939" s="274"/>
      <c r="K5939" s="274"/>
      <c r="L5939" s="274"/>
      <c r="M5939" s="274"/>
      <c r="N5939" s="274"/>
      <c r="P5939" s="275"/>
    </row>
    <row r="5940" ht="15.75" customHeight="1">
      <c r="B5940" s="282"/>
      <c r="H5940" s="273"/>
      <c r="I5940" s="274"/>
      <c r="J5940" s="274"/>
      <c r="K5940" s="274"/>
      <c r="L5940" s="274"/>
      <c r="M5940" s="274"/>
      <c r="N5940" s="274"/>
      <c r="P5940" s="275"/>
    </row>
    <row r="5941" ht="15.75" customHeight="1">
      <c r="B5941" s="282"/>
      <c r="H5941" s="273"/>
      <c r="I5941" s="274"/>
      <c r="J5941" s="274"/>
      <c r="K5941" s="274"/>
      <c r="L5941" s="274"/>
      <c r="M5941" s="274"/>
      <c r="N5941" s="274"/>
      <c r="P5941" s="275"/>
    </row>
    <row r="5942" ht="15.75" customHeight="1">
      <c r="B5942" s="282"/>
      <c r="H5942" s="273"/>
      <c r="I5942" s="274"/>
      <c r="J5942" s="274"/>
      <c r="K5942" s="274"/>
      <c r="L5942" s="274"/>
      <c r="M5942" s="274"/>
      <c r="N5942" s="274"/>
      <c r="P5942" s="275"/>
    </row>
    <row r="5943" ht="15.75" customHeight="1">
      <c r="B5943" s="282"/>
      <c r="H5943" s="273"/>
      <c r="I5943" s="274"/>
      <c r="J5943" s="274"/>
      <c r="K5943" s="274"/>
      <c r="L5943" s="274"/>
      <c r="M5943" s="274"/>
      <c r="N5943" s="274"/>
      <c r="P5943" s="275"/>
    </row>
    <row r="5944" ht="15.75" customHeight="1">
      <c r="B5944" s="282"/>
      <c r="H5944" s="273"/>
      <c r="I5944" s="274"/>
      <c r="J5944" s="274"/>
      <c r="K5944" s="274"/>
      <c r="L5944" s="274"/>
      <c r="M5944" s="274"/>
      <c r="N5944" s="274"/>
      <c r="P5944" s="275"/>
    </row>
    <row r="5945" ht="15.75" customHeight="1">
      <c r="B5945" s="282"/>
      <c r="H5945" s="273"/>
      <c r="I5945" s="274"/>
      <c r="J5945" s="274"/>
      <c r="K5945" s="274"/>
      <c r="L5945" s="274"/>
      <c r="M5945" s="274"/>
      <c r="N5945" s="274"/>
      <c r="P5945" s="275"/>
    </row>
    <row r="5946" ht="15.75" customHeight="1">
      <c r="B5946" s="282"/>
      <c r="H5946" s="273"/>
      <c r="I5946" s="274"/>
      <c r="J5946" s="274"/>
      <c r="K5946" s="274"/>
      <c r="L5946" s="274"/>
      <c r="M5946" s="274"/>
      <c r="N5946" s="274"/>
      <c r="P5946" s="275"/>
    </row>
    <row r="5947" ht="15.75" customHeight="1">
      <c r="B5947" s="282"/>
      <c r="H5947" s="273"/>
      <c r="I5947" s="274"/>
      <c r="J5947" s="274"/>
      <c r="K5947" s="274"/>
      <c r="L5947" s="274"/>
      <c r="M5947" s="274"/>
      <c r="N5947" s="274"/>
      <c r="P5947" s="275"/>
    </row>
    <row r="5948" ht="15.75" customHeight="1">
      <c r="B5948" s="282"/>
      <c r="H5948" s="273"/>
      <c r="I5948" s="274"/>
      <c r="J5948" s="274"/>
      <c r="K5948" s="274"/>
      <c r="L5948" s="274"/>
      <c r="M5948" s="274"/>
      <c r="N5948" s="274"/>
      <c r="P5948" s="275"/>
    </row>
    <row r="5949" ht="15.75" customHeight="1">
      <c r="B5949" s="282"/>
      <c r="H5949" s="273"/>
      <c r="I5949" s="274"/>
      <c r="J5949" s="274"/>
      <c r="K5949" s="274"/>
      <c r="L5949" s="274"/>
      <c r="M5949" s="274"/>
      <c r="N5949" s="274"/>
      <c r="P5949" s="275"/>
    </row>
    <row r="5950" ht="15.75" customHeight="1">
      <c r="B5950" s="282"/>
      <c r="H5950" s="273"/>
      <c r="I5950" s="274"/>
      <c r="J5950" s="274"/>
      <c r="K5950" s="274"/>
      <c r="L5950" s="274"/>
      <c r="M5950" s="274"/>
      <c r="N5950" s="274"/>
      <c r="P5950" s="275"/>
    </row>
    <row r="5951" ht="15.75" customHeight="1">
      <c r="B5951" s="282"/>
      <c r="H5951" s="273"/>
      <c r="I5951" s="274"/>
      <c r="J5951" s="274"/>
      <c r="K5951" s="274"/>
      <c r="L5951" s="274"/>
      <c r="M5951" s="274"/>
      <c r="N5951" s="274"/>
      <c r="P5951" s="275"/>
    </row>
    <row r="5952" ht="15.75" customHeight="1">
      <c r="B5952" s="282"/>
      <c r="H5952" s="273"/>
      <c r="I5952" s="274"/>
      <c r="J5952" s="274"/>
      <c r="K5952" s="274"/>
      <c r="L5952" s="274"/>
      <c r="M5952" s="274"/>
      <c r="N5952" s="274"/>
      <c r="P5952" s="275"/>
    </row>
    <row r="5953" ht="15.75" customHeight="1">
      <c r="B5953" s="282"/>
      <c r="H5953" s="273"/>
      <c r="I5953" s="274"/>
      <c r="J5953" s="274"/>
      <c r="K5953" s="274"/>
      <c r="L5953" s="274"/>
      <c r="M5953" s="274"/>
      <c r="N5953" s="274"/>
      <c r="P5953" s="275"/>
    </row>
    <row r="5954" ht="15.75" customHeight="1">
      <c r="B5954" s="282"/>
      <c r="H5954" s="273"/>
      <c r="I5954" s="274"/>
      <c r="J5954" s="274"/>
      <c r="K5954" s="274"/>
      <c r="L5954" s="274"/>
      <c r="M5954" s="274"/>
      <c r="N5954" s="274"/>
      <c r="P5954" s="275"/>
    </row>
    <row r="5955" ht="15.75" customHeight="1">
      <c r="B5955" s="282"/>
      <c r="H5955" s="273"/>
      <c r="I5955" s="274"/>
      <c r="J5955" s="274"/>
      <c r="K5955" s="274"/>
      <c r="L5955" s="274"/>
      <c r="M5955" s="274"/>
      <c r="N5955" s="274"/>
      <c r="P5955" s="275"/>
    </row>
    <row r="5956" ht="15.75" customHeight="1">
      <c r="B5956" s="282"/>
      <c r="H5956" s="273"/>
      <c r="I5956" s="274"/>
      <c r="J5956" s="274"/>
      <c r="K5956" s="274"/>
      <c r="L5956" s="274"/>
      <c r="M5956" s="274"/>
      <c r="N5956" s="274"/>
      <c r="P5956" s="275"/>
    </row>
    <row r="5957" ht="15.75" customHeight="1">
      <c r="B5957" s="282"/>
      <c r="H5957" s="273"/>
      <c r="I5957" s="274"/>
      <c r="J5957" s="274"/>
      <c r="K5957" s="274"/>
      <c r="L5957" s="274"/>
      <c r="M5957" s="274"/>
      <c r="N5957" s="274"/>
      <c r="P5957" s="275"/>
    </row>
    <row r="5958" ht="15.75" customHeight="1">
      <c r="B5958" s="282"/>
      <c r="H5958" s="273"/>
      <c r="I5958" s="274"/>
      <c r="J5958" s="274"/>
      <c r="K5958" s="274"/>
      <c r="L5958" s="274"/>
      <c r="M5958" s="274"/>
      <c r="N5958" s="274"/>
      <c r="P5958" s="275"/>
    </row>
    <row r="5959" ht="15.75" customHeight="1">
      <c r="B5959" s="282"/>
      <c r="H5959" s="273"/>
      <c r="I5959" s="274"/>
      <c r="J5959" s="274"/>
      <c r="K5959" s="274"/>
      <c r="L5959" s="274"/>
      <c r="M5959" s="274"/>
      <c r="N5959" s="274"/>
      <c r="P5959" s="275"/>
    </row>
    <row r="5960" ht="15.75" customHeight="1">
      <c r="B5960" s="282"/>
      <c r="H5960" s="273"/>
      <c r="I5960" s="274"/>
      <c r="J5960" s="274"/>
      <c r="K5960" s="274"/>
      <c r="L5960" s="274"/>
      <c r="M5960" s="274"/>
      <c r="N5960" s="274"/>
      <c r="P5960" s="275"/>
    </row>
    <row r="5961" ht="15.75" customHeight="1">
      <c r="B5961" s="282"/>
      <c r="H5961" s="273"/>
      <c r="I5961" s="274"/>
      <c r="J5961" s="274"/>
      <c r="K5961" s="274"/>
      <c r="L5961" s="274"/>
      <c r="M5961" s="274"/>
      <c r="N5961" s="274"/>
      <c r="P5961" s="275"/>
    </row>
    <row r="5962" ht="15.75" customHeight="1">
      <c r="B5962" s="282"/>
      <c r="H5962" s="273"/>
      <c r="I5962" s="274"/>
      <c r="J5962" s="274"/>
      <c r="K5962" s="274"/>
      <c r="L5962" s="274"/>
      <c r="M5962" s="274"/>
      <c r="N5962" s="274"/>
      <c r="P5962" s="275"/>
    </row>
    <row r="5963" ht="15.75" customHeight="1">
      <c r="B5963" s="282"/>
      <c r="H5963" s="273"/>
      <c r="I5963" s="274"/>
      <c r="J5963" s="274"/>
      <c r="K5963" s="274"/>
      <c r="L5963" s="274"/>
      <c r="M5963" s="274"/>
      <c r="N5963" s="274"/>
      <c r="P5963" s="275"/>
    </row>
    <row r="5964" ht="15.75" customHeight="1">
      <c r="B5964" s="282"/>
      <c r="H5964" s="273"/>
      <c r="I5964" s="274"/>
      <c r="J5964" s="274"/>
      <c r="K5964" s="274"/>
      <c r="L5964" s="274"/>
      <c r="M5964" s="274"/>
      <c r="N5964" s="274"/>
      <c r="P5964" s="275"/>
    </row>
    <row r="5965" ht="15.75" customHeight="1">
      <c r="B5965" s="282"/>
      <c r="H5965" s="273"/>
      <c r="I5965" s="274"/>
      <c r="J5965" s="274"/>
      <c r="K5965" s="274"/>
      <c r="L5965" s="274"/>
      <c r="M5965" s="274"/>
      <c r="N5965" s="274"/>
      <c r="P5965" s="275"/>
    </row>
    <row r="5966" ht="15.75" customHeight="1">
      <c r="B5966" s="282"/>
      <c r="H5966" s="273"/>
      <c r="I5966" s="274"/>
      <c r="J5966" s="274"/>
      <c r="K5966" s="274"/>
      <c r="L5966" s="274"/>
      <c r="M5966" s="274"/>
      <c r="N5966" s="274"/>
      <c r="P5966" s="275"/>
    </row>
    <row r="5967" ht="15.75" customHeight="1">
      <c r="B5967" s="282"/>
      <c r="H5967" s="273"/>
      <c r="I5967" s="274"/>
      <c r="J5967" s="274"/>
      <c r="K5967" s="274"/>
      <c r="L5967" s="274"/>
      <c r="M5967" s="274"/>
      <c r="N5967" s="274"/>
      <c r="P5967" s="275"/>
    </row>
    <row r="5968" ht="15.75" customHeight="1">
      <c r="B5968" s="282"/>
      <c r="H5968" s="273"/>
      <c r="I5968" s="274"/>
      <c r="J5968" s="274"/>
      <c r="K5968" s="274"/>
      <c r="L5968" s="274"/>
      <c r="M5968" s="274"/>
      <c r="N5968" s="274"/>
      <c r="P5968" s="275"/>
    </row>
    <row r="5969" ht="15.75" customHeight="1">
      <c r="B5969" s="282"/>
      <c r="H5969" s="273"/>
      <c r="I5969" s="274"/>
      <c r="J5969" s="274"/>
      <c r="K5969" s="274"/>
      <c r="L5969" s="274"/>
      <c r="M5969" s="274"/>
      <c r="N5969" s="274"/>
      <c r="P5969" s="275"/>
    </row>
    <row r="5970" ht="15.75" customHeight="1">
      <c r="B5970" s="282"/>
      <c r="H5970" s="273"/>
      <c r="I5970" s="274"/>
      <c r="J5970" s="274"/>
      <c r="K5970" s="274"/>
      <c r="L5970" s="274"/>
      <c r="M5970" s="274"/>
      <c r="N5970" s="274"/>
      <c r="P5970" s="275"/>
    </row>
    <row r="5971" ht="15.75" customHeight="1">
      <c r="B5971" s="282"/>
      <c r="H5971" s="273"/>
      <c r="I5971" s="274"/>
      <c r="J5971" s="274"/>
      <c r="K5971" s="274"/>
      <c r="L5971" s="274"/>
      <c r="M5971" s="274"/>
      <c r="N5971" s="274"/>
      <c r="P5971" s="275"/>
    </row>
    <row r="5972" ht="15.75" customHeight="1">
      <c r="B5972" s="282"/>
      <c r="H5972" s="273"/>
      <c r="I5972" s="274"/>
      <c r="J5972" s="274"/>
      <c r="K5972" s="274"/>
      <c r="L5972" s="274"/>
      <c r="M5972" s="274"/>
      <c r="N5972" s="274"/>
      <c r="P5972" s="275"/>
    </row>
    <row r="5973" ht="15.75" customHeight="1">
      <c r="B5973" s="282"/>
      <c r="H5973" s="273"/>
      <c r="I5973" s="274"/>
      <c r="J5973" s="274"/>
      <c r="K5973" s="274"/>
      <c r="L5973" s="274"/>
      <c r="M5973" s="274"/>
      <c r="N5973" s="274"/>
      <c r="P5973" s="275"/>
    </row>
    <row r="5974" ht="15.75" customHeight="1">
      <c r="B5974" s="282"/>
      <c r="H5974" s="273"/>
      <c r="I5974" s="274"/>
      <c r="J5974" s="274"/>
      <c r="K5974" s="274"/>
      <c r="L5974" s="274"/>
      <c r="M5974" s="274"/>
      <c r="N5974" s="274"/>
      <c r="P5974" s="275"/>
    </row>
    <row r="5975" ht="15.75" customHeight="1">
      <c r="B5975" s="282"/>
      <c r="H5975" s="273"/>
      <c r="I5975" s="274"/>
      <c r="J5975" s="274"/>
      <c r="K5975" s="274"/>
      <c r="L5975" s="274"/>
      <c r="M5975" s="274"/>
      <c r="N5975" s="274"/>
      <c r="P5975" s="275"/>
    </row>
    <row r="5976" ht="15.75" customHeight="1">
      <c r="B5976" s="282"/>
      <c r="H5976" s="273"/>
      <c r="I5976" s="274"/>
      <c r="J5976" s="274"/>
      <c r="K5976" s="274"/>
      <c r="L5976" s="274"/>
      <c r="M5976" s="274"/>
      <c r="N5976" s="274"/>
      <c r="P5976" s="275"/>
    </row>
    <row r="5977" ht="15.75" customHeight="1">
      <c r="B5977" s="282"/>
      <c r="H5977" s="273"/>
      <c r="I5977" s="274"/>
      <c r="J5977" s="274"/>
      <c r="K5977" s="274"/>
      <c r="L5977" s="274"/>
      <c r="M5977" s="274"/>
      <c r="N5977" s="274"/>
      <c r="P5977" s="275"/>
    </row>
    <row r="5978" ht="15.75" customHeight="1">
      <c r="B5978" s="282"/>
      <c r="H5978" s="273"/>
      <c r="I5978" s="274"/>
      <c r="J5978" s="274"/>
      <c r="K5978" s="274"/>
      <c r="L5978" s="274"/>
      <c r="M5978" s="274"/>
      <c r="N5978" s="274"/>
      <c r="P5978" s="275"/>
    </row>
    <row r="5979" ht="15.75" customHeight="1">
      <c r="B5979" s="282"/>
      <c r="H5979" s="273"/>
      <c r="I5979" s="274"/>
      <c r="J5979" s="274"/>
      <c r="K5979" s="274"/>
      <c r="L5979" s="274"/>
      <c r="M5979" s="274"/>
      <c r="N5979" s="274"/>
      <c r="P5979" s="275"/>
    </row>
    <row r="5980" ht="15.75" customHeight="1">
      <c r="B5980" s="282"/>
      <c r="H5980" s="273"/>
      <c r="I5980" s="274"/>
      <c r="J5980" s="274"/>
      <c r="K5980" s="274"/>
      <c r="L5980" s="274"/>
      <c r="M5980" s="274"/>
      <c r="N5980" s="274"/>
      <c r="P5980" s="275"/>
    </row>
    <row r="5981" ht="15.75" customHeight="1">
      <c r="B5981" s="282"/>
      <c r="H5981" s="273"/>
      <c r="I5981" s="274"/>
      <c r="J5981" s="274"/>
      <c r="K5981" s="274"/>
      <c r="L5981" s="274"/>
      <c r="M5981" s="274"/>
      <c r="N5981" s="274"/>
      <c r="P5981" s="275"/>
    </row>
    <row r="5982" ht="15.75" customHeight="1">
      <c r="B5982" s="282"/>
      <c r="H5982" s="273"/>
      <c r="I5982" s="274"/>
      <c r="J5982" s="274"/>
      <c r="K5982" s="274"/>
      <c r="L5982" s="274"/>
      <c r="M5982" s="274"/>
      <c r="N5982" s="274"/>
      <c r="P5982" s="275"/>
    </row>
    <row r="5983" ht="15.75" customHeight="1">
      <c r="B5983" s="282"/>
      <c r="H5983" s="273"/>
      <c r="I5983" s="274"/>
      <c r="J5983" s="274"/>
      <c r="K5983" s="274"/>
      <c r="L5983" s="274"/>
      <c r="M5983" s="274"/>
      <c r="N5983" s="274"/>
      <c r="P5983" s="275"/>
    </row>
    <row r="5984" ht="15.75" customHeight="1">
      <c r="B5984" s="282"/>
      <c r="H5984" s="273"/>
      <c r="I5984" s="274"/>
      <c r="J5984" s="274"/>
      <c r="K5984" s="274"/>
      <c r="L5984" s="274"/>
      <c r="M5984" s="274"/>
      <c r="N5984" s="274"/>
      <c r="P5984" s="275"/>
    </row>
    <row r="5985" ht="15.75" customHeight="1">
      <c r="B5985" s="282"/>
      <c r="H5985" s="273"/>
      <c r="I5985" s="274"/>
      <c r="J5985" s="274"/>
      <c r="K5985" s="274"/>
      <c r="L5985" s="274"/>
      <c r="M5985" s="274"/>
      <c r="N5985" s="274"/>
      <c r="P5985" s="275"/>
    </row>
    <row r="5986" ht="15.75" customHeight="1">
      <c r="B5986" s="282"/>
      <c r="H5986" s="273"/>
      <c r="I5986" s="274"/>
      <c r="J5986" s="274"/>
      <c r="K5986" s="274"/>
      <c r="L5986" s="274"/>
      <c r="M5986" s="274"/>
      <c r="N5986" s="274"/>
      <c r="P5986" s="275"/>
    </row>
    <row r="5987" ht="15.75" customHeight="1">
      <c r="B5987" s="282"/>
      <c r="H5987" s="273"/>
      <c r="I5987" s="274"/>
      <c r="J5987" s="274"/>
      <c r="K5987" s="274"/>
      <c r="L5987" s="274"/>
      <c r="M5987" s="274"/>
      <c r="N5987" s="274"/>
      <c r="P5987" s="275"/>
    </row>
    <row r="5988" ht="15.75" customHeight="1">
      <c r="B5988" s="282"/>
      <c r="H5988" s="273"/>
      <c r="I5988" s="274"/>
      <c r="J5988" s="274"/>
      <c r="K5988" s="274"/>
      <c r="L5988" s="274"/>
      <c r="M5988" s="274"/>
      <c r="N5988" s="274"/>
      <c r="P5988" s="275"/>
    </row>
    <row r="5989" ht="15.75" customHeight="1">
      <c r="B5989" s="282"/>
      <c r="H5989" s="273"/>
      <c r="I5989" s="274"/>
      <c r="J5989" s="274"/>
      <c r="K5989" s="274"/>
      <c r="L5989" s="274"/>
      <c r="M5989" s="274"/>
      <c r="N5989" s="274"/>
      <c r="P5989" s="275"/>
    </row>
    <row r="5990" ht="15.75" customHeight="1">
      <c r="B5990" s="282"/>
      <c r="H5990" s="273"/>
      <c r="I5990" s="274"/>
      <c r="J5990" s="274"/>
      <c r="K5990" s="274"/>
      <c r="L5990" s="274"/>
      <c r="M5990" s="274"/>
      <c r="N5990" s="274"/>
      <c r="P5990" s="275"/>
    </row>
    <row r="5991" ht="15.75" customHeight="1">
      <c r="B5991" s="282"/>
      <c r="H5991" s="273"/>
      <c r="I5991" s="274"/>
      <c r="J5991" s="274"/>
      <c r="K5991" s="274"/>
      <c r="L5991" s="274"/>
      <c r="M5991" s="274"/>
      <c r="N5991" s="274"/>
      <c r="P5991" s="275"/>
    </row>
    <row r="5992" ht="15.75" customHeight="1">
      <c r="B5992" s="282"/>
      <c r="H5992" s="273"/>
      <c r="I5992" s="274"/>
      <c r="J5992" s="274"/>
      <c r="K5992" s="274"/>
      <c r="L5992" s="274"/>
      <c r="M5992" s="274"/>
      <c r="N5992" s="274"/>
      <c r="P5992" s="275"/>
    </row>
    <row r="5993" ht="15.75" customHeight="1">
      <c r="B5993" s="282"/>
      <c r="H5993" s="273"/>
      <c r="I5993" s="274"/>
      <c r="J5993" s="274"/>
      <c r="K5993" s="274"/>
      <c r="L5993" s="274"/>
      <c r="M5993" s="274"/>
      <c r="N5993" s="274"/>
      <c r="P5993" s="275"/>
    </row>
    <row r="5994" ht="15.75" customHeight="1">
      <c r="B5994" s="282"/>
      <c r="H5994" s="273"/>
      <c r="I5994" s="274"/>
      <c r="J5994" s="274"/>
      <c r="K5994" s="274"/>
      <c r="L5994" s="274"/>
      <c r="M5994" s="274"/>
      <c r="N5994" s="274"/>
      <c r="P5994" s="275"/>
    </row>
    <row r="5995" ht="15.75" customHeight="1">
      <c r="B5995" s="282"/>
      <c r="H5995" s="273"/>
      <c r="I5995" s="274"/>
      <c r="J5995" s="274"/>
      <c r="K5995" s="274"/>
      <c r="L5995" s="274"/>
      <c r="M5995" s="274"/>
      <c r="N5995" s="274"/>
      <c r="P5995" s="275"/>
    </row>
    <row r="5996" ht="15.75" customHeight="1">
      <c r="B5996" s="282"/>
      <c r="H5996" s="273"/>
      <c r="I5996" s="274"/>
      <c r="J5996" s="274"/>
      <c r="K5996" s="274"/>
      <c r="L5996" s="274"/>
      <c r="M5996" s="274"/>
      <c r="N5996" s="274"/>
      <c r="P5996" s="275"/>
    </row>
    <row r="5997" ht="15.75" customHeight="1">
      <c r="B5997" s="282"/>
      <c r="H5997" s="273"/>
      <c r="I5997" s="274"/>
      <c r="J5997" s="274"/>
      <c r="K5997" s="274"/>
      <c r="L5997" s="274"/>
      <c r="M5997" s="274"/>
      <c r="N5997" s="274"/>
      <c r="P5997" s="275"/>
    </row>
  </sheetData>
  <autoFilter ref="$A$3:$R$5997"/>
  <mergeCells count="2">
    <mergeCell ref="A1:R1"/>
    <mergeCell ref="A2:R2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2.71"/>
    <col customWidth="1" min="4" max="4" width="30.71"/>
    <col customWidth="1" min="5" max="5" width="24.71"/>
    <col customWidth="1" min="6" max="26" width="8.86"/>
  </cols>
  <sheetData>
    <row r="1" ht="30.0" customHeight="1">
      <c r="A1" s="1" t="s">
        <v>588</v>
      </c>
      <c r="B1" s="2"/>
      <c r="C1" s="2"/>
      <c r="D1" s="2"/>
      <c r="E1" s="3"/>
    </row>
    <row r="2" ht="1.5" customHeight="1">
      <c r="A2" s="283" t="s">
        <v>589</v>
      </c>
      <c r="B2" s="2"/>
      <c r="C2" s="2"/>
      <c r="D2" s="2"/>
      <c r="E2" s="3"/>
    </row>
    <row r="3" ht="21.75" customHeight="1">
      <c r="A3" s="264" t="s">
        <v>177</v>
      </c>
      <c r="B3" s="264" t="s">
        <v>179</v>
      </c>
      <c r="C3" s="264" t="s">
        <v>178</v>
      </c>
      <c r="D3" s="264" t="s">
        <v>188</v>
      </c>
      <c r="E3" s="264" t="s">
        <v>590</v>
      </c>
    </row>
    <row r="4" ht="15.0" customHeight="1">
      <c r="A4" s="268" t="s">
        <v>78</v>
      </c>
      <c r="B4" s="268" t="s">
        <v>80</v>
      </c>
      <c r="C4" s="268" t="s">
        <v>79</v>
      </c>
      <c r="D4" s="268" t="s">
        <v>591</v>
      </c>
      <c r="E4" s="268" t="s">
        <v>77</v>
      </c>
    </row>
    <row r="5" ht="15.0" customHeight="1">
      <c r="A5" s="268" t="s">
        <v>141</v>
      </c>
      <c r="B5" s="268" t="s">
        <v>592</v>
      </c>
      <c r="C5" s="268" t="s">
        <v>150</v>
      </c>
      <c r="D5" s="268" t="s">
        <v>593</v>
      </c>
      <c r="E5" s="268" t="s">
        <v>91</v>
      </c>
    </row>
    <row r="6" ht="15.0" customHeight="1">
      <c r="A6" s="268" t="s">
        <v>83</v>
      </c>
      <c r="B6" s="268" t="s">
        <v>110</v>
      </c>
      <c r="D6" s="268" t="s">
        <v>594</v>
      </c>
      <c r="E6" s="268" t="s">
        <v>84</v>
      </c>
    </row>
    <row r="7" ht="15.0" customHeight="1">
      <c r="A7" s="268" t="s">
        <v>163</v>
      </c>
      <c r="B7" s="268" t="s">
        <v>93</v>
      </c>
      <c r="D7" s="268" t="s">
        <v>595</v>
      </c>
      <c r="E7" s="268" t="s">
        <v>154</v>
      </c>
    </row>
    <row r="8" ht="15.0" customHeight="1">
      <c r="A8" s="268" t="s">
        <v>149</v>
      </c>
      <c r="B8" s="268" t="s">
        <v>107</v>
      </c>
      <c r="D8" s="268" t="s">
        <v>596</v>
      </c>
      <c r="E8" s="268" t="s">
        <v>115</v>
      </c>
    </row>
    <row r="9" ht="15.0" customHeight="1">
      <c r="A9" s="268" t="s">
        <v>168</v>
      </c>
      <c r="B9" s="268" t="s">
        <v>298</v>
      </c>
      <c r="D9" s="268" t="s">
        <v>597</v>
      </c>
      <c r="E9" s="268" t="s">
        <v>135</v>
      </c>
    </row>
    <row r="10" ht="15.0" customHeight="1">
      <c r="A10" s="268" t="s">
        <v>598</v>
      </c>
      <c r="D10" s="268" t="s">
        <v>599</v>
      </c>
      <c r="E10" s="268" t="s">
        <v>99</v>
      </c>
    </row>
    <row r="11" ht="15.0" customHeight="1">
      <c r="A11" s="59" t="s">
        <v>110</v>
      </c>
      <c r="D11" s="268" t="s">
        <v>600</v>
      </c>
      <c r="E11" s="268" t="s">
        <v>118</v>
      </c>
    </row>
    <row r="12" ht="15.0" customHeight="1">
      <c r="A12" s="59" t="s">
        <v>93</v>
      </c>
      <c r="D12" s="284" t="s">
        <v>140</v>
      </c>
      <c r="E12" s="268" t="s">
        <v>153</v>
      </c>
    </row>
    <row r="13" ht="15.0" customHeight="1">
      <c r="A13" s="59" t="s">
        <v>107</v>
      </c>
      <c r="D13" s="284" t="s">
        <v>574</v>
      </c>
      <c r="E13" s="268" t="s">
        <v>161</v>
      </c>
    </row>
    <row r="14" ht="15.0" customHeight="1">
      <c r="A14" s="59" t="s">
        <v>298</v>
      </c>
      <c r="E14" s="268" t="s">
        <v>334</v>
      </c>
    </row>
    <row r="15" ht="15.0" customHeight="1">
      <c r="E15" s="268" t="s">
        <v>159</v>
      </c>
    </row>
    <row r="16" ht="15.0" customHeight="1">
      <c r="E16" s="268" t="s">
        <v>130</v>
      </c>
    </row>
    <row r="17" ht="15.0" customHeight="1">
      <c r="E17" s="268" t="s">
        <v>126</v>
      </c>
    </row>
    <row r="18" ht="15.0" customHeight="1">
      <c r="E18" s="268" t="s">
        <v>89</v>
      </c>
    </row>
    <row r="19" ht="15.0" customHeight="1">
      <c r="E19" s="268" t="s">
        <v>82</v>
      </c>
    </row>
    <row r="20" ht="15.0" customHeight="1">
      <c r="E20" s="268" t="s">
        <v>114</v>
      </c>
    </row>
    <row r="21" ht="15.0" customHeight="1">
      <c r="E21" s="268" t="s">
        <v>145</v>
      </c>
    </row>
    <row r="22" ht="15.0" customHeight="1">
      <c r="E22" s="268" t="s">
        <v>92</v>
      </c>
    </row>
    <row r="23" ht="15.0" customHeight="1">
      <c r="E23" s="268" t="s">
        <v>87</v>
      </c>
    </row>
    <row r="24" ht="15.0" customHeight="1">
      <c r="E24" s="268" t="s">
        <v>158</v>
      </c>
    </row>
    <row r="25" ht="15.0" customHeight="1">
      <c r="E25" s="268" t="s">
        <v>336</v>
      </c>
    </row>
    <row r="26" ht="15.0" customHeight="1">
      <c r="E26" s="268" t="s">
        <v>136</v>
      </c>
    </row>
    <row r="27" ht="15.0" customHeight="1">
      <c r="E27" s="268" t="s">
        <v>333</v>
      </c>
    </row>
    <row r="28" ht="15.0" customHeight="1">
      <c r="E28" s="268" t="s">
        <v>102</v>
      </c>
    </row>
    <row r="29" ht="15.0" customHeight="1">
      <c r="E29" s="268" t="s">
        <v>164</v>
      </c>
    </row>
    <row r="30" ht="15.0" customHeight="1">
      <c r="E30" s="268" t="s">
        <v>97</v>
      </c>
    </row>
    <row r="31" ht="15.0" customHeight="1">
      <c r="E31" s="268" t="s">
        <v>337</v>
      </c>
    </row>
    <row r="32" ht="15.0" customHeight="1">
      <c r="E32" s="268" t="s">
        <v>86</v>
      </c>
    </row>
    <row r="33" ht="15.0" customHeight="1">
      <c r="E33" s="268" t="s">
        <v>113</v>
      </c>
    </row>
    <row r="34" ht="15.0" customHeight="1">
      <c r="E34" s="268" t="s">
        <v>100</v>
      </c>
    </row>
    <row r="35" ht="15.0" customHeight="1">
      <c r="E35" s="268" t="s">
        <v>96</v>
      </c>
    </row>
    <row r="36" ht="15.0" customHeight="1">
      <c r="E36" s="268" t="s">
        <v>98</v>
      </c>
    </row>
    <row r="37" ht="15.0" customHeight="1">
      <c r="E37" s="268" t="s">
        <v>112</v>
      </c>
    </row>
    <row r="38" ht="15.0" customHeight="1">
      <c r="E38" s="268" t="s">
        <v>101</v>
      </c>
    </row>
    <row r="39" ht="15.0" customHeight="1">
      <c r="E39" s="268" t="s">
        <v>138</v>
      </c>
    </row>
    <row r="40" ht="15.0" customHeight="1">
      <c r="E40" s="268" t="s">
        <v>123</v>
      </c>
    </row>
    <row r="41" ht="15.0" customHeight="1">
      <c r="E41" s="268" t="s">
        <v>88</v>
      </c>
    </row>
    <row r="42" ht="15.0" customHeight="1">
      <c r="E42" s="268" t="s">
        <v>116</v>
      </c>
    </row>
    <row r="43" ht="15.0" customHeight="1">
      <c r="E43" s="268" t="s">
        <v>119</v>
      </c>
    </row>
    <row r="44" ht="15.0" customHeight="1">
      <c r="E44" s="268" t="s">
        <v>122</v>
      </c>
    </row>
    <row r="45" ht="15.0" customHeight="1">
      <c r="E45" s="268" t="s">
        <v>129</v>
      </c>
    </row>
    <row r="46" ht="15.0" customHeight="1">
      <c r="E46" s="268" t="s">
        <v>104</v>
      </c>
    </row>
    <row r="47" ht="15.0" customHeight="1">
      <c r="E47" s="268" t="s">
        <v>121</v>
      </c>
    </row>
    <row r="48" ht="15.0" customHeight="1">
      <c r="E48" s="268" t="s">
        <v>132</v>
      </c>
    </row>
    <row r="49" ht="15.0" customHeight="1">
      <c r="E49" s="268" t="s">
        <v>148</v>
      </c>
    </row>
    <row r="50" ht="15.0" customHeight="1">
      <c r="E50" s="268" t="s">
        <v>127</v>
      </c>
    </row>
    <row r="51" ht="15.0" customHeight="1">
      <c r="E51" s="268" t="s">
        <v>162</v>
      </c>
    </row>
    <row r="52" ht="15.0" customHeight="1">
      <c r="E52" s="268" t="s">
        <v>338</v>
      </c>
    </row>
    <row r="53" ht="15.0" customHeight="1">
      <c r="E53" s="268" t="s">
        <v>111</v>
      </c>
    </row>
    <row r="54" ht="15.0" customHeight="1">
      <c r="E54" s="268" t="s">
        <v>133</v>
      </c>
    </row>
    <row r="55" ht="15.0" customHeight="1">
      <c r="E55" s="268" t="s">
        <v>339</v>
      </c>
    </row>
    <row r="56" ht="15.0" customHeight="1">
      <c r="E56" s="268" t="s">
        <v>103</v>
      </c>
    </row>
    <row r="57" ht="15.0" customHeight="1">
      <c r="E57" s="268" t="s">
        <v>117</v>
      </c>
    </row>
    <row r="58" ht="15.0" customHeight="1">
      <c r="E58" s="268" t="s">
        <v>106</v>
      </c>
    </row>
    <row r="59" ht="15.75" customHeight="1">
      <c r="E59" s="284" t="s">
        <v>105</v>
      </c>
    </row>
    <row r="60" ht="15.75" customHeight="1">
      <c r="E60" s="284" t="s">
        <v>166</v>
      </c>
    </row>
    <row r="61" ht="15.75" customHeight="1">
      <c r="E61" s="18" t="s">
        <v>109</v>
      </c>
    </row>
    <row r="62" ht="15.75" customHeight="1">
      <c r="E62" s="18" t="s">
        <v>146</v>
      </c>
    </row>
    <row r="63" ht="15.75" customHeight="1">
      <c r="E63" s="18" t="s">
        <v>167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0"/>
    <col customWidth="1" min="3" max="26" width="8.71"/>
  </cols>
  <sheetData>
    <row r="1" ht="15.0" customHeight="1">
      <c r="A1" s="285" t="s">
        <v>601</v>
      </c>
      <c r="B1" s="285" t="s">
        <v>602</v>
      </c>
    </row>
    <row r="2" ht="15.0" customHeight="1">
      <c r="A2" s="59" t="s">
        <v>78</v>
      </c>
      <c r="B2" s="59">
        <v>15000.0</v>
      </c>
    </row>
    <row r="3" ht="15.0" customHeight="1">
      <c r="A3" s="59" t="s">
        <v>141</v>
      </c>
      <c r="B3" s="59">
        <v>31000.0</v>
      </c>
    </row>
    <row r="4" ht="15.0" customHeight="1">
      <c r="A4" s="59" t="s">
        <v>83</v>
      </c>
      <c r="B4" s="59">
        <v>31000.0</v>
      </c>
    </row>
    <row r="5" ht="15.0" customHeight="1">
      <c r="A5" s="59" t="s">
        <v>163</v>
      </c>
      <c r="B5" s="59">
        <v>31000.0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286" t="s">
        <v>308</v>
      </c>
      <c r="B1" s="286" t="s">
        <v>603</v>
      </c>
    </row>
    <row r="2">
      <c r="A2" s="59" t="s">
        <v>154</v>
      </c>
    </row>
    <row r="3">
      <c r="A3" s="59" t="s">
        <v>161</v>
      </c>
    </row>
    <row r="4">
      <c r="A4" s="59" t="s">
        <v>153</v>
      </c>
    </row>
    <row r="5">
      <c r="A5" s="59" t="s">
        <v>159</v>
      </c>
    </row>
    <row r="6">
      <c r="A6" s="59" t="s">
        <v>158</v>
      </c>
    </row>
    <row r="7">
      <c r="A7" s="59" t="s">
        <v>130</v>
      </c>
    </row>
    <row r="8">
      <c r="A8" s="59" t="s">
        <v>126</v>
      </c>
    </row>
    <row r="9">
      <c r="A9" s="59" t="s">
        <v>82</v>
      </c>
    </row>
    <row r="10">
      <c r="A10" s="59" t="s">
        <v>77</v>
      </c>
      <c r="B10" s="59">
        <v>7.0</v>
      </c>
    </row>
    <row r="11">
      <c r="A11" s="59" t="s">
        <v>89</v>
      </c>
      <c r="B11" s="59">
        <v>5.0</v>
      </c>
    </row>
    <row r="12">
      <c r="A12" s="59" t="s">
        <v>100</v>
      </c>
    </row>
    <row r="13">
      <c r="A13" s="59" t="s">
        <v>115</v>
      </c>
    </row>
    <row r="14">
      <c r="A14" s="59" t="s">
        <v>99</v>
      </c>
    </row>
    <row r="15">
      <c r="A15" s="59" t="s">
        <v>96</v>
      </c>
    </row>
    <row r="16">
      <c r="A16" s="59" t="s">
        <v>118</v>
      </c>
    </row>
    <row r="17">
      <c r="A17" s="59" t="s">
        <v>123</v>
      </c>
      <c r="B17" s="59">
        <v>10.0</v>
      </c>
    </row>
    <row r="18">
      <c r="A18" s="59" t="s">
        <v>88</v>
      </c>
      <c r="B18" s="59">
        <v>10.0</v>
      </c>
    </row>
    <row r="19">
      <c r="A19" s="59" t="s">
        <v>84</v>
      </c>
      <c r="B19" s="59">
        <v>7.0</v>
      </c>
    </row>
    <row r="20">
      <c r="A20" s="59" t="s">
        <v>119</v>
      </c>
      <c r="B20" s="59">
        <v>10.0</v>
      </c>
    </row>
    <row r="21" ht="15.75" customHeight="1">
      <c r="A21" s="59" t="s">
        <v>116</v>
      </c>
      <c r="B21" s="59">
        <v>10.0</v>
      </c>
    </row>
    <row r="22" ht="15.75" customHeight="1">
      <c r="A22" s="59" t="s">
        <v>333</v>
      </c>
    </row>
    <row r="23" ht="15.75" customHeight="1">
      <c r="A23" s="59" t="s">
        <v>164</v>
      </c>
    </row>
    <row r="24" ht="15.75" customHeight="1">
      <c r="A24" s="59" t="s">
        <v>104</v>
      </c>
    </row>
    <row r="25" ht="15.75" customHeight="1">
      <c r="A25" s="59" t="s">
        <v>122</v>
      </c>
    </row>
    <row r="26" ht="15.75" customHeight="1">
      <c r="A26" s="59" t="s">
        <v>148</v>
      </c>
    </row>
    <row r="27" ht="15.75" customHeight="1">
      <c r="A27" s="59" t="s">
        <v>132</v>
      </c>
    </row>
    <row r="28" ht="15.75" customHeight="1">
      <c r="A28" s="59" t="s">
        <v>129</v>
      </c>
    </row>
    <row r="29" ht="15.75" customHeight="1">
      <c r="A29" s="59" t="s">
        <v>121</v>
      </c>
    </row>
    <row r="30" ht="15.75" customHeight="1">
      <c r="A30" s="59" t="s">
        <v>91</v>
      </c>
    </row>
    <row r="31" ht="15.75" customHeight="1">
      <c r="A31" s="59" t="s">
        <v>135</v>
      </c>
    </row>
    <row r="32" ht="15.75" customHeight="1">
      <c r="A32" s="59" t="s">
        <v>334</v>
      </c>
    </row>
    <row r="33" ht="15.75" customHeight="1">
      <c r="A33" s="59" t="s">
        <v>114</v>
      </c>
    </row>
    <row r="34" ht="15.75" customHeight="1">
      <c r="A34" s="59" t="s">
        <v>145</v>
      </c>
    </row>
    <row r="35" ht="15.75" customHeight="1">
      <c r="A35" s="59" t="s">
        <v>92</v>
      </c>
    </row>
    <row r="36" ht="15.75" customHeight="1">
      <c r="A36" s="59" t="s">
        <v>87</v>
      </c>
    </row>
    <row r="37" ht="15.75" customHeight="1">
      <c r="A37" s="59" t="s">
        <v>336</v>
      </c>
    </row>
    <row r="38" ht="15.75" customHeight="1">
      <c r="A38" s="59" t="s">
        <v>136</v>
      </c>
    </row>
    <row r="39" ht="15.75" customHeight="1">
      <c r="A39" s="59" t="s">
        <v>102</v>
      </c>
    </row>
    <row r="40" ht="15.75" customHeight="1">
      <c r="A40" s="59" t="s">
        <v>97</v>
      </c>
    </row>
    <row r="41" ht="15.75" customHeight="1">
      <c r="A41" s="59" t="s">
        <v>337</v>
      </c>
    </row>
    <row r="42" ht="15.75" customHeight="1">
      <c r="A42" s="59" t="s">
        <v>86</v>
      </c>
    </row>
    <row r="43" ht="15.75" customHeight="1">
      <c r="A43" s="59" t="s">
        <v>113</v>
      </c>
    </row>
    <row r="44" ht="15.75" customHeight="1">
      <c r="A44" s="59" t="s">
        <v>98</v>
      </c>
    </row>
    <row r="45" ht="15.75" customHeight="1">
      <c r="A45" s="59" t="s">
        <v>112</v>
      </c>
    </row>
    <row r="46" ht="15.75" customHeight="1">
      <c r="A46" s="59" t="s">
        <v>101</v>
      </c>
    </row>
    <row r="47" ht="15.75" customHeight="1">
      <c r="A47" s="59" t="s">
        <v>138</v>
      </c>
    </row>
    <row r="48" ht="15.75" customHeight="1">
      <c r="A48" s="59" t="s">
        <v>604</v>
      </c>
    </row>
    <row r="49" ht="15.75" customHeight="1">
      <c r="A49" s="59" t="s">
        <v>605</v>
      </c>
    </row>
    <row r="50" ht="15.75" customHeight="1">
      <c r="A50" s="59" t="s">
        <v>384</v>
      </c>
    </row>
    <row r="51" ht="15.75" customHeight="1">
      <c r="A51" s="59" t="s">
        <v>162</v>
      </c>
    </row>
    <row r="52" ht="15.75" customHeight="1">
      <c r="A52" s="59" t="s">
        <v>338</v>
      </c>
    </row>
    <row r="53" ht="15.75" customHeight="1">
      <c r="A53" s="59" t="s">
        <v>111</v>
      </c>
    </row>
    <row r="54" ht="15.75" customHeight="1">
      <c r="A54" s="59" t="s">
        <v>133</v>
      </c>
    </row>
    <row r="55" ht="15.75" customHeight="1">
      <c r="A55" s="59" t="s">
        <v>606</v>
      </c>
    </row>
    <row r="56" ht="15.75" customHeight="1">
      <c r="A56" s="59" t="s">
        <v>339</v>
      </c>
    </row>
    <row r="57" ht="15.75" customHeight="1">
      <c r="A57" s="59" t="s">
        <v>103</v>
      </c>
    </row>
    <row r="58" ht="15.75" customHeight="1">
      <c r="A58" s="59" t="s">
        <v>117</v>
      </c>
    </row>
    <row r="59" ht="15.75" customHeight="1">
      <c r="A59" s="59" t="s">
        <v>106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